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7.xml" ContentType="application/vnd.openxmlformats-officedocument.drawing+xml"/>
  <Override PartName="/xl/comments8.xml" ContentType="application/vnd.openxmlformats-officedocument.spreadsheetml.comments+xml"/>
  <Override PartName="/xl/threadedComments/threadedComment2.xml" ContentType="application/vnd.ms-excel.threadedcomments+xml"/>
  <Override PartName="/xl/charts/chart5.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charts/chart6.xml" ContentType="application/vnd.openxmlformats-officedocument.drawingml.chart+xml"/>
  <Override PartName="/xl/charts/style2.xml" ContentType="application/vnd.ms-office.chartstyle+xml"/>
  <Override PartName="/xl/charts/colors2.xml" ContentType="application/vnd.ms-office.chartcolorstyle+xml"/>
  <Override PartName="/xl/comments9.xml" ContentType="application/vnd.openxmlformats-officedocument.spreadsheetml.comments+xml"/>
  <Override PartName="/xl/threadedComments/threadedComment3.xml" ContentType="application/vnd.ms-excel.threaded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showInkAnnotation="0" codeName="ThisWorkbook"/>
  <mc:AlternateContent xmlns:mc="http://schemas.openxmlformats.org/markup-compatibility/2006">
    <mc:Choice Requires="x15">
      <x15ac:absPath xmlns:x15ac="http://schemas.microsoft.com/office/spreadsheetml/2010/11/ac" url="https://milestonegp.sharepoint.com/sites/TMG-Internal-T/Milestone/Investments-Unrealized/00. Acquisitions/03. West/01. Mountain West/Boise/Emblem Meridian/"/>
    </mc:Choice>
  </mc:AlternateContent>
  <xr:revisionPtr revIDLastSave="18" documentId="13_ncr:1_{BE5EA34E-EDD5-4168-80E1-4FF9DA13C080}" xr6:coauthVersionLast="47" xr6:coauthVersionMax="47" xr10:uidLastSave="{39B40DD2-58BA-44E9-A131-1327E92D3D82}"/>
  <workbookProtection workbookAlgorithmName="SHA-512" workbookHashValue="iQvn5y9Hji0Vv1sYAvzn8K9wPZytEwlt+yAwlsjwsieRTGmqW9EVggtVHYP/2To0aWTXzE4YFJjdNb5zrZLDwg==" workbookSaltValue="qbVSgQgIGrkG9EWBhnsYxg==" workbookSpinCount="100000" lockStructure="1"/>
  <bookViews>
    <workbookView xWindow="14760" yWindow="-16320" windowWidth="29040" windowHeight="15720" tabRatio="820" firstSheet="13" activeTab="13" xr2:uid="{00000000-000D-0000-FFFF-FFFF00000000}"/>
  </bookViews>
  <sheets>
    <sheet name="Venture Summary - Annual" sheetId="68" state="hidden" r:id="rId1"/>
    <sheet name="Venture Summary - Qrtly" sheetId="69" state="hidden" r:id="rId2"/>
    <sheet name="QMV III Summary" sheetId="73" state="hidden" r:id="rId3"/>
    <sheet name="Venture Model Outputs" sheetId="70" state="hidden" r:id="rId4"/>
    <sheet name="Venture Summary - Mthly" sheetId="71" state="hidden" r:id="rId5"/>
    <sheet name="Venture Assumptions" sheetId="72" state="hidden" r:id="rId6"/>
    <sheet name="Change Log" sheetId="67" state="hidden" r:id="rId7"/>
    <sheet name="TPG Summary" sheetId="96" state="hidden" r:id="rId8"/>
    <sheet name="DCPush" sheetId="75" state="hidden" r:id="rId9"/>
    <sheet name="Finance Summary" sheetId="64" state="hidden" r:id="rId10"/>
    <sheet name="Sensitivity" sheetId="24" state="hidden" r:id="rId11"/>
    <sheet name="SBS Summary" sheetId="55" state="hidden" r:id="rId12"/>
    <sheet name="Macros" sheetId="25" state="hidden" r:id="rId13"/>
    <sheet name="Cover" sheetId="13" r:id="rId14"/>
    <sheet name="Summary" sheetId="42" r:id="rId15"/>
    <sheet name="General Inputs" sheetId="17" r:id="rId16"/>
    <sheet name="Background Info &amp; Links" sheetId="90" state="hidden" r:id="rId17"/>
    <sheet name="Rent Growth Sensitivity" sheetId="95" state="hidden" r:id="rId18"/>
    <sheet name="General Input Details" sheetId="89" state="hidden" r:id="rId19"/>
    <sheet name="Operating Inputs" sheetId="1" r:id="rId20"/>
    <sheet name="Module Builder" sheetId="76" state="hidden" r:id="rId21"/>
    <sheet name="Operating Input Details" sheetId="77" state="hidden" r:id="rId22"/>
    <sheet name="Sheet1" sheetId="92" state="hidden" r:id="rId23"/>
    <sheet name="Rent Comp Builder" sheetId="93" state="hidden" r:id="rId24"/>
    <sheet name="Rent Comp Scrath Paper" sheetId="91" state="hidden" r:id="rId25"/>
    <sheet name="Tax Study Input" sheetId="84" state="hidden" r:id="rId26"/>
    <sheet name="Development Inputs" sheetId="3" r:id="rId27"/>
    <sheet name="A&amp;E Details" sheetId="88" state="hidden" r:id="rId28"/>
    <sheet name="Hard Cost Details" sheetId="78" state="hidden" r:id="rId29"/>
    <sheet name="P&amp;F Details" sheetId="86" state="hidden" r:id="rId30"/>
    <sheet name="Construction Curve" sheetId="83" state="hidden" r:id="rId31"/>
    <sheet name="Forward Curves" sheetId="45" state="hidden" r:id="rId32"/>
    <sheet name="Tax Calcs" sheetId="19" r:id="rId33"/>
    <sheet name="Soft Cost Detail" sheetId="26" state="hidden" r:id="rId34"/>
    <sheet name="Front Money Budget" sheetId="23" state="hidden" r:id="rId35"/>
    <sheet name="Emblem Unit Mix" sheetId="74" state="hidden" r:id="rId36"/>
    <sheet name="A-DevBdgt" sheetId="20" r:id="rId37"/>
    <sheet name="DevBdgt" sheetId="2" r:id="rId38"/>
    <sheet name="A-OperBgt" sheetId="21" r:id="rId39"/>
    <sheet name="OperBgt" sheetId="6" r:id="rId40"/>
    <sheet name="A-Waterfalls" sheetId="32" r:id="rId41"/>
    <sheet name="Waterfalls" sheetId="30" r:id="rId42"/>
    <sheet name="S&amp;U" sheetId="38" state="hidden" r:id="rId43"/>
    <sheet name="Package Insert" sheetId="57" state="hidden" r:id="rId44"/>
  </sheets>
  <externalReferences>
    <externalReference r:id="rId45"/>
    <externalReference r:id="rId46"/>
    <externalReference r:id="rId47"/>
    <externalReference r:id="rId48"/>
    <externalReference r:id="rId49"/>
    <externalReference r:id="rId50"/>
  </externalReferences>
  <definedNames>
    <definedName name="____________Key2" hidden="1">#REF!</definedName>
    <definedName name="___________Key2" hidden="1">#REF!</definedName>
    <definedName name="__________Key2" hidden="1">#REF!</definedName>
    <definedName name="_______a1" localSheetId="7" hidden="1">{"Assump",#N/A,TRUE,"Proforma";"first",#N/A,TRUE,"Proforma";"second",#N/A,TRUE,"Proforma";"lease1",#N/A,TRUE,"Proforma";"lease2",#N/A,TRUE,"Proforma"}</definedName>
    <definedName name="_______a1" hidden="1">{"Assump",#N/A,TRUE,"Proforma";"first",#N/A,TRUE,"Proforma";"second",#N/A,TRUE,"Proforma";"lease1",#N/A,TRUE,"Proforma";"lease2",#N/A,TRUE,"Proforma"}</definedName>
    <definedName name="_______wrn1" localSheetId="7" hidden="1">{"schedule1",#N/A,FALSE,"Sheet1";"schedule2",#N/A,FALSE,"Sheet1";"schedule3",#N/A,FALSE,"Sheet1";"schedule4",#N/A,FALSE,"Sheet1";"schedule5",#N/A,FALSE,"Sheet1";"schedule6",#N/A,FALSE,"Sheet1"}</definedName>
    <definedName name="_______wrn1" hidden="1">{"schedule1",#N/A,FALSE,"Sheet1";"schedule2",#N/A,FALSE,"Sheet1";"schedule3",#N/A,FALSE,"Sheet1";"schedule4",#N/A,FALSE,"Sheet1";"schedule5",#N/A,FALSE,"Sheet1";"schedule6",#N/A,FALSE,"Sheet1"}</definedName>
    <definedName name="______a1" localSheetId="7" hidden="1">{"Assump",#N/A,TRUE,"Proforma";"first",#N/A,TRUE,"Proforma";"second",#N/A,TRUE,"Proforma";"lease1",#N/A,TRUE,"Proforma";"lease2",#N/A,TRUE,"Proforma"}</definedName>
    <definedName name="______a1" hidden="1">{"Assump",#N/A,TRUE,"Proforma";"first",#N/A,TRUE,"Proforma";"second",#N/A,TRUE,"Proforma";"lease1",#N/A,TRUE,"Proforma";"lease2",#N/A,TRUE,"Proforma"}</definedName>
    <definedName name="______jo1" localSheetId="7" hidden="1">{#N/A,#N/A,FALSE,"Calculator"}</definedName>
    <definedName name="______jo1" hidden="1">{#N/A,#N/A,FALSE,"Calculator"}</definedName>
    <definedName name="______Key2" hidden="1">#REF!</definedName>
    <definedName name="______r" localSheetId="7" hidden="1">{#N/A,#N/A,FALSE,"Actual";#N/A,#N/A,FALSE,"Management Report 2";#N/A,#N/A,FALSE,"Management Report 3";#N/A,#N/A,FALSE,"Ergebnis";#N/A,#N/A,FALSE,"Summary";#N/A,#N/A,FALSE,"Konrzern";#N/A,#N/A,FALSE,"Abweichung Budget-Actuell"}</definedName>
    <definedName name="______r" hidden="1">{#N/A,#N/A,FALSE,"Actual";#N/A,#N/A,FALSE,"Management Report 2";#N/A,#N/A,FALSE,"Management Report 3";#N/A,#N/A,FALSE,"Ergebnis";#N/A,#N/A,FALSE,"Summary";#N/A,#N/A,FALSE,"Konrzern";#N/A,#N/A,FALSE,"Abweichung Budget-Actuell"}</definedName>
    <definedName name="______wrn1" localSheetId="7" hidden="1">{"schedule1",#N/A,FALSE,"Sheet1";"schedule2",#N/A,FALSE,"Sheet1";"schedule3",#N/A,FALSE,"Sheet1";"schedule4",#N/A,FALSE,"Sheet1";"schedule5",#N/A,FALSE,"Sheet1";"schedule6",#N/A,FALSE,"Sheet1"}</definedName>
    <definedName name="______wrn1" hidden="1">{"schedule1",#N/A,FALSE,"Sheet1";"schedule2",#N/A,FALSE,"Sheet1";"schedule3",#N/A,FALSE,"Sheet1";"schedule4",#N/A,FALSE,"Sheet1";"schedule5",#N/A,FALSE,"Sheet1";"schedule6",#N/A,FALSE,"Sheet1"}</definedName>
    <definedName name="______www1" localSheetId="7" hidden="1">{#N/A,#N/A,FALSE,"Calculator"}</definedName>
    <definedName name="______www1" hidden="1">{#N/A,#N/A,FALSE,"Calculator"}</definedName>
    <definedName name="______www2" localSheetId="7" hidden="1">{#N/A,#N/A,FALSE,"Calculator"}</definedName>
    <definedName name="______www2" hidden="1">{#N/A,#N/A,FALSE,"Calculator"}</definedName>
    <definedName name="_____a1" localSheetId="7" hidden="1">{"Assump",#N/A,TRUE,"Proforma";"first",#N/A,TRUE,"Proforma";"second",#N/A,TRUE,"Proforma";"lease1",#N/A,TRUE,"Proforma";"lease2",#N/A,TRUE,"Proforma"}</definedName>
    <definedName name="_____a1" hidden="1">{"Assump",#N/A,TRUE,"Proforma";"first",#N/A,TRUE,"Proforma";"second",#N/A,TRUE,"Proforma";"lease1",#N/A,TRUE,"Proforma";"lease2",#N/A,TRUE,"Proforma"}</definedName>
    <definedName name="_____al1" localSheetId="7" hidden="1">{"sheet a",#N/A,FALSE,"A";"sheet b 1",#N/A,FALSE,"B";"sheet b 2",#N/A,FALSE,"B"}</definedName>
    <definedName name="_____al1" hidden="1">{"sheet a",#N/A,FALSE,"A";"sheet b 1",#N/A,FALSE,"B";"sheet b 2",#N/A,FALSE,"B"}</definedName>
    <definedName name="_____AVB2" localSheetId="7" hidden="1">{"page1",#N/A,FALSE,"PROFORMA";"page2",#N/A,FALSE,"PROFORMA";"page3",#N/A,FALSE,"PROFORMA";"page4",#N/A,FALSE,"PROFORMA";"page5",#N/A,FALSE,"PROFORMA";"page6",#N/A,FALSE,"PROFORMA";"page7",#N/A,FALSE,"PROFORMA";"page8",#N/A,FALSE,"PROFORMA"}</definedName>
    <definedName name="_____AVB2" hidden="1">{"page1",#N/A,FALSE,"PROFORMA";"page2",#N/A,FALSE,"PROFORMA";"page3",#N/A,FALSE,"PROFORMA";"page4",#N/A,FALSE,"PROFORMA";"page5",#N/A,FALSE,"PROFORMA";"page6",#N/A,FALSE,"PROFORMA";"page7",#N/A,FALSE,"PROFORMA";"page8",#N/A,FALSE,"PROFORMA"}</definedName>
    <definedName name="_____wrn1" localSheetId="7" hidden="1">{"schedule1",#N/A,FALSE,"Sheet1";"schedule2",#N/A,FALSE,"Sheet1";"schedule3",#N/A,FALSE,"Sheet1";"schedule4",#N/A,FALSE,"Sheet1";"schedule5",#N/A,FALSE,"Sheet1";"schedule6",#N/A,FALSE,"Sheet1"}</definedName>
    <definedName name="_____wrn1" hidden="1">{"schedule1",#N/A,FALSE,"Sheet1";"schedule2",#N/A,FALSE,"Sheet1";"schedule3",#N/A,FALSE,"Sheet1";"schedule4",#N/A,FALSE,"Sheet1";"schedule5",#N/A,FALSE,"Sheet1";"schedule6",#N/A,FALSE,"Sheet1"}</definedName>
    <definedName name="_____wrn1_1" localSheetId="7" hidden="1">{"schedule1",#N/A,FALSE,"Sheet1";"schedule2",#N/A,FALSE,"Sheet1";"schedule3",#N/A,FALSE,"Sheet1";"schedule4",#N/A,FALSE,"Sheet1";"schedule5",#N/A,FALSE,"Sheet1";"schedule6",#N/A,FALSE,"Sheet1"}</definedName>
    <definedName name="_____wrn1_1" hidden="1">{"schedule1",#N/A,FALSE,"Sheet1";"schedule2",#N/A,FALSE,"Sheet1";"schedule3",#N/A,FALSE,"Sheet1";"schedule4",#N/A,FALSE,"Sheet1";"schedule5",#N/A,FALSE,"Sheet1";"schedule6",#N/A,FALSE,"Sheet1"}</definedName>
    <definedName name="____a1" localSheetId="7" hidden="1">{"Assump",#N/A,TRUE,"Proforma";"first",#N/A,TRUE,"Proforma";"second",#N/A,TRUE,"Proforma";"lease1",#N/A,TRUE,"Proforma";"lease2",#N/A,TRUE,"Proforma"}</definedName>
    <definedName name="____a1" hidden="1">{"Assump",#N/A,TRUE,"Proforma";"first",#N/A,TRUE,"Proforma";"second",#N/A,TRUE,"Proforma";"lease1",#N/A,TRUE,"Proforma";"lease2",#N/A,TRUE,"Proforma"}</definedName>
    <definedName name="____al1" localSheetId="7" hidden="1">{"sheet a",#N/A,FALSE,"A";"sheet b 1",#N/A,FALSE,"B";"sheet b 2",#N/A,FALSE,"B"}</definedName>
    <definedName name="____al1" hidden="1">{"sheet a",#N/A,FALSE,"A";"sheet b 1",#N/A,FALSE,"B";"sheet b 2",#N/A,FALSE,"B"}</definedName>
    <definedName name="____jo1" localSheetId="7" hidden="1">{#N/A,#N/A,FALSE,"Calculator"}</definedName>
    <definedName name="____jo1" hidden="1">{#N/A,#N/A,FALSE,"Calculator"}</definedName>
    <definedName name="____new2" localSheetId="7" hidden="1">{"'B-2 QSER Jun 98 4-27-98 cor'!$A$1:$F$57"}</definedName>
    <definedName name="____new2" hidden="1">{"'B-2 QSER Jun 98 4-27-98 cor'!$A$1:$F$57"}</definedName>
    <definedName name="____new5" localSheetId="7" hidden="1">{"'B-2 QSER Jun 98 4-27-98 cor'!$A$1:$F$57"}</definedName>
    <definedName name="____new5" hidden="1">{"'B-2 QSER Jun 98 4-27-98 cor'!$A$1:$F$57"}</definedName>
    <definedName name="____r" localSheetId="7" hidden="1">{#N/A,#N/A,FALSE,"Actual";#N/A,#N/A,FALSE,"Management Report 2";#N/A,#N/A,FALSE,"Management Report 3";#N/A,#N/A,FALSE,"Ergebnis";#N/A,#N/A,FALSE,"Summary";#N/A,#N/A,FALSE,"Konrzern";#N/A,#N/A,FALSE,"Abweichung Budget-Actuell"}</definedName>
    <definedName name="____r" hidden="1">{#N/A,#N/A,FALSE,"Actual";#N/A,#N/A,FALSE,"Management Report 2";#N/A,#N/A,FALSE,"Management Report 3";#N/A,#N/A,FALSE,"Ergebnis";#N/A,#N/A,FALSE,"Summary";#N/A,#N/A,FALSE,"Konrzern";#N/A,#N/A,FALSE,"Abweichung Budget-Actuell"}</definedName>
    <definedName name="____wrn1" localSheetId="7" hidden="1">{"schedule1",#N/A,FALSE,"Sheet1";"schedule2",#N/A,FALSE,"Sheet1";"schedule3",#N/A,FALSE,"Sheet1";"schedule4",#N/A,FALSE,"Sheet1";"schedule5",#N/A,FALSE,"Sheet1";"schedule6",#N/A,FALSE,"Sheet1"}</definedName>
    <definedName name="____wrn1" hidden="1">{"schedule1",#N/A,FALSE,"Sheet1";"schedule2",#N/A,FALSE,"Sheet1";"schedule3",#N/A,FALSE,"Sheet1";"schedule4",#N/A,FALSE,"Sheet1";"schedule5",#N/A,FALSE,"Sheet1";"schedule6",#N/A,FALSE,"Sheet1"}</definedName>
    <definedName name="____wrn1_1" localSheetId="7" hidden="1">{"schedule1",#N/A,FALSE,"Sheet1";"schedule2",#N/A,FALSE,"Sheet1";"schedule3",#N/A,FALSE,"Sheet1";"schedule4",#N/A,FALSE,"Sheet1";"schedule5",#N/A,FALSE,"Sheet1";"schedule6",#N/A,FALSE,"Sheet1"}</definedName>
    <definedName name="____wrn1_1" hidden="1">{"schedule1",#N/A,FALSE,"Sheet1";"schedule2",#N/A,FALSE,"Sheet1";"schedule3",#N/A,FALSE,"Sheet1";"schedule4",#N/A,FALSE,"Sheet1";"schedule5",#N/A,FALSE,"Sheet1";"schedule6",#N/A,FALSE,"Sheet1"}</definedName>
    <definedName name="____www1" localSheetId="7" hidden="1">{#N/A,#N/A,FALSE,"Calculator"}</definedName>
    <definedName name="____www1" hidden="1">{#N/A,#N/A,FALSE,"Calculator"}</definedName>
    <definedName name="____www2" localSheetId="7" hidden="1">{#N/A,#N/A,FALSE,"Calculator"}</definedName>
    <definedName name="____www2" hidden="1">{#N/A,#N/A,FALSE,"Calculator"}</definedName>
    <definedName name="___a1" localSheetId="7" hidden="1">{"Assump",#N/A,TRUE,"Proforma";"first",#N/A,TRUE,"Proforma";"second",#N/A,TRUE,"Proforma";"lease1",#N/A,TRUE,"Proforma";"lease2",#N/A,TRUE,"Proforma"}</definedName>
    <definedName name="___a1" hidden="1">{"Assump",#N/A,TRUE,"Proforma";"first",#N/A,TRUE,"Proforma";"second",#N/A,TRUE,"Proforma";"lease1",#N/A,TRUE,"Proforma";"lease2",#N/A,TRUE,"Proforma"}</definedName>
    <definedName name="___al1" localSheetId="7" hidden="1">{"sheet a",#N/A,FALSE,"A";"sheet b 1",#N/A,FALSE,"B";"sheet b 2",#N/A,FALSE,"B"}</definedName>
    <definedName name="___al1" hidden="1">{"sheet a",#N/A,FALSE,"A";"sheet b 1",#N/A,FALSE,"B";"sheet b 2",#N/A,FALSE,"B"}</definedName>
    <definedName name="___AVB2" localSheetId="7" hidden="1">{"page1",#N/A,FALSE,"PROFORMA";"page2",#N/A,FALSE,"PROFORMA";"page3",#N/A,FALSE,"PROFORMA";"page4",#N/A,FALSE,"PROFORMA";"page5",#N/A,FALSE,"PROFORMA";"page6",#N/A,FALSE,"PROFORMA";"page7",#N/A,FALSE,"PROFORMA";"page8",#N/A,FALSE,"PROFORMA"}</definedName>
    <definedName name="___AVB2" hidden="1">{"page1",#N/A,FALSE,"PROFORMA";"page2",#N/A,FALSE,"PROFORMA";"page3",#N/A,FALSE,"PROFORMA";"page4",#N/A,FALSE,"PROFORMA";"page5",#N/A,FALSE,"PROFORMA";"page6",#N/A,FALSE,"PROFORMA";"page7",#N/A,FALSE,"PROFORMA";"page8",#N/A,FALSE,"PROFORMA"}</definedName>
    <definedName name="___wrn1" localSheetId="7" hidden="1">{"schedule1",#N/A,FALSE,"Sheet1";"schedule2",#N/A,FALSE,"Sheet1";"schedule3",#N/A,FALSE,"Sheet1";"schedule4",#N/A,FALSE,"Sheet1";"schedule5",#N/A,FALSE,"Sheet1";"schedule6",#N/A,FALSE,"Sheet1"}</definedName>
    <definedName name="___wrn1" hidden="1">{"schedule1",#N/A,FALSE,"Sheet1";"schedule2",#N/A,FALSE,"Sheet1";"schedule3",#N/A,FALSE,"Sheet1";"schedule4",#N/A,FALSE,"Sheet1";"schedule5",#N/A,FALSE,"Sheet1";"schedule6",#N/A,FALSE,"Sheet1"}</definedName>
    <definedName name="___wrn1_1" localSheetId="7" hidden="1">{"schedule1",#N/A,FALSE,"Sheet1";"schedule2",#N/A,FALSE,"Sheet1";"schedule3",#N/A,FALSE,"Sheet1";"schedule4",#N/A,FALSE,"Sheet1";"schedule5",#N/A,FALSE,"Sheet1";"schedule6",#N/A,FALSE,"Sheet1"}</definedName>
    <definedName name="___wrn1_1" hidden="1">{"schedule1",#N/A,FALSE,"Sheet1";"schedule2",#N/A,FALSE,"Sheet1";"schedule3",#N/A,FALSE,"Sheet1";"schedule4",#N/A,FALSE,"Sheet1";"schedule5",#N/A,FALSE,"Sheet1";"schedule6",#N/A,FALSE,"Sheet1"}</definedName>
    <definedName name="__123Graph_A" hidden="1">#REF!</definedName>
    <definedName name="__123Graph_AADJUSTED" hidden="1">#REF!</definedName>
    <definedName name="__123Graph_AADR" hidden="1">#REF!</definedName>
    <definedName name="__123Graph_AAVERAGE" hidden="1">#REF!</definedName>
    <definedName name="__123Graph_ABASE" hidden="1">#REF!</definedName>
    <definedName name="__123Graph_AGRAPH" hidden="1">#REF!</definedName>
    <definedName name="__123Graph_AGRAPH4" hidden="1">#REF!</definedName>
    <definedName name="__123Graph_AGRAPH5" hidden="1">#REF!</definedName>
    <definedName name="__123Graph_AGRPH_EXPIRE" hidden="1">#N/A</definedName>
    <definedName name="__123Graph_AINDMES" hidden="1">#REF!</definedName>
    <definedName name="__123Graph_ALAYER" hidden="1">#REF!</definedName>
    <definedName name="__123Graph_ALEASED" hidden="1">#REF!</definedName>
    <definedName name="__123Graph_AMERC" hidden="1">#REF!</definedName>
    <definedName name="__123Graph_AOCC" hidden="1">#REF!</definedName>
    <definedName name="__123Graph_AOVERAGE" hidden="1">#REF!</definedName>
    <definedName name="__123Graph_ARESFIN" hidden="1">#REF!</definedName>
    <definedName name="__123Graph_ASQFT" hidden="1">#REF!</definedName>
    <definedName name="__123Graph_ATOP10" hidden="1">#N/A</definedName>
    <definedName name="__123Graph_AUNIT" hidden="1">#REF!</definedName>
    <definedName name="__123Graph_AUSS" hidden="1">#REF!</definedName>
    <definedName name="__123Graph_B" hidden="1">#REF!</definedName>
    <definedName name="__123Graph_BADR" hidden="1">#REF!</definedName>
    <definedName name="__123Graph_BGRAPH" hidden="1">#REF!</definedName>
    <definedName name="__123Graph_BINCOME" hidden="1">#REF!</definedName>
    <definedName name="__123Graph_BINDMES" hidden="1">#REF!</definedName>
    <definedName name="__123Graph_BLAYER" hidden="1">#REF!</definedName>
    <definedName name="__123Graph_BMERC" hidden="1">#REF!</definedName>
    <definedName name="__123Graph_BOCC" hidden="1">#REF!</definedName>
    <definedName name="__123Graph_BOVERAGE" hidden="1">#REF!</definedName>
    <definedName name="__123Graph_BRESFIN" hidden="1">#REF!</definedName>
    <definedName name="__123Graph_BTOP10" hidden="1">#N/A</definedName>
    <definedName name="__123Graph_C" hidden="1">#REF!</definedName>
    <definedName name="__123Graph_CINDMES" hidden="1">#REF!</definedName>
    <definedName name="__123Graph_CMERC" hidden="1">#REF!</definedName>
    <definedName name="__123Graph_COVERAGE" hidden="1">#REF!</definedName>
    <definedName name="__123Graph_CRESFIN" hidden="1">#REF!</definedName>
    <definedName name="__123Graph_D" hidden="1">#REF!</definedName>
    <definedName name="__123Graph_DGRAPH" hidden="1">#REF!</definedName>
    <definedName name="__123Graph_DINDMES" hidden="1">#REF!</definedName>
    <definedName name="__123Graph_E" hidden="1">#REF!</definedName>
    <definedName name="__123Graph_F" hidden="1">#REF!</definedName>
    <definedName name="__123Graph_LBL_A" hidden="1">#REF!</definedName>
    <definedName name="__123Graph_LBL_AADJUSTED" hidden="1">#REF!</definedName>
    <definedName name="__123Graph_LBL_AAVERAGE" hidden="1">#REF!</definedName>
    <definedName name="__123Graph_LBL_ABASE" hidden="1">#REF!</definedName>
    <definedName name="__123Graph_LBL_AGRAPH4" hidden="1">#REF!</definedName>
    <definedName name="__123Graph_LBL_AGRAPH5" hidden="1">#REF!</definedName>
    <definedName name="__123Graph_LBL_ALEASED" hidden="1">#REF!</definedName>
    <definedName name="__123Graph_LBL_ASQFT" hidden="1">#REF!</definedName>
    <definedName name="__123Graph_LBL_AUNIT" hidden="1">#REF!</definedName>
    <definedName name="__123Graph_LBL_B" hidden="1">#REF!</definedName>
    <definedName name="__123Graph_LBL_BGRAPH4" hidden="1">#REF!</definedName>
    <definedName name="__123Graph_LBL_BGRAPH5" hidden="1">#REF!</definedName>
    <definedName name="__123Graph_LBL_BINCOME" hidden="1">#REF!</definedName>
    <definedName name="__123Graph_X" hidden="1">#REF!</definedName>
    <definedName name="__123Graph_XADJUSTED" hidden="1">#REF!</definedName>
    <definedName name="__123Graph_XADR" hidden="1">#REF!</definedName>
    <definedName name="__123Graph_XBASE" hidden="1">#REF!</definedName>
    <definedName name="__123Graph_XGRAPH" hidden="1">#REF!</definedName>
    <definedName name="__123Graph_XGRAPH4" hidden="1">#REF!</definedName>
    <definedName name="__123Graph_XGRAPH5" hidden="1">#REF!</definedName>
    <definedName name="__123Graph_XGRPH_EXPIRE" hidden="1">#N/A</definedName>
    <definedName name="__123Graph_XINDMES" hidden="1">#REF!</definedName>
    <definedName name="__123Graph_XLAYER" hidden="1">#REF!</definedName>
    <definedName name="__123Graph_XMAIN" hidden="1">#REF!</definedName>
    <definedName name="__123Graph_XMERC" hidden="1">#REF!</definedName>
    <definedName name="__123Graph_XOCC" hidden="1">#REF!</definedName>
    <definedName name="__123Graph_XOVERAGE" hidden="1">#REF!</definedName>
    <definedName name="__123Graph_XRESFIN" hidden="1">#REF!</definedName>
    <definedName name="__123Graph_XTOP10" hidden="1">#N/A</definedName>
    <definedName name="__123Graph_XUSS" hidden="1">#REF!</definedName>
    <definedName name="__a1" localSheetId="7" hidden="1">{"Assump",#N/A,TRUE,"Proforma";"first",#N/A,TRUE,"Proforma";"second",#N/A,TRUE,"Proforma";"lease1",#N/A,TRUE,"Proforma";"lease2",#N/A,TRUE,"Proforma"}</definedName>
    <definedName name="__a1" hidden="1">{"Assump",#N/A,TRUE,"Proforma";"first",#N/A,TRUE,"Proforma";"second",#N/A,TRUE,"Proforma";"lease1",#N/A,TRUE,"Proforma";"lease2",#N/A,TRUE,"Proforma"}</definedName>
    <definedName name="__al1" localSheetId="7" hidden="1">{"sheet a",#N/A,FALSE,"A";"sheet b 1",#N/A,FALSE,"B";"sheet b 2",#N/A,FALSE,"B"}</definedName>
    <definedName name="__al1" hidden="1">{"sheet a",#N/A,FALSE,"A";"sheet b 1",#N/A,FALSE,"B";"sheet b 2",#N/A,FALSE,"B"}</definedName>
    <definedName name="__AVB2" localSheetId="7" hidden="1">{"page1",#N/A,FALSE,"PROFORMA";"page2",#N/A,FALSE,"PROFORMA";"page3",#N/A,FALSE,"PROFORMA";"page4",#N/A,FALSE,"PROFORMA";"page5",#N/A,FALSE,"PROFORMA";"page6",#N/A,FALSE,"PROFORMA";"page7",#N/A,FALSE,"PROFORMA";"page8",#N/A,FALSE,"PROFORMA"}</definedName>
    <definedName name="__AVB2" hidden="1">{"page1",#N/A,FALSE,"PROFORMA";"page2",#N/A,FALSE,"PROFORMA";"page3",#N/A,FALSE,"PROFORMA";"page4",#N/A,FALSE,"PROFORMA";"page5",#N/A,FALSE,"PROFORMA";"page6",#N/A,FALSE,"PROFORMA";"page7",#N/A,FALSE,"PROFORMA";"page8",#N/A,FALSE,"PROFORMA"}</definedName>
    <definedName name="__avb3" localSheetId="7" hidden="1">{"page1",#N/A,FALSE,"PROFORMA";"page2",#N/A,FALSE,"PROFORMA";"page3",#N/A,FALSE,"PROFORMA";"page4",#N/A,FALSE,"PROFORMA";"page5",#N/A,FALSE,"PROFORMA";"page6",#N/A,FALSE,"PROFORMA";"page7",#N/A,FALSE,"PROFORMA";"page8",#N/A,FALSE,"PROFORMA"}</definedName>
    <definedName name="__avb3" hidden="1">{"page1",#N/A,FALSE,"PROFORMA";"page2",#N/A,FALSE,"PROFORMA";"page3",#N/A,FALSE,"PROFORMA";"page4",#N/A,FALSE,"PROFORMA";"page5",#N/A,FALSE,"PROFORMA";"page6",#N/A,FALSE,"PROFORMA";"page7",#N/A,FALSE,"PROFORMA";"page8",#N/A,FALSE,"PROFORMA"}</definedName>
    <definedName name="__FDS_HYPERLINK_TOGGLE_STATE__" hidden="1">"ON"</definedName>
    <definedName name="__FDS_UNIQUE_RANGE_ID_GENERATOR_COUNTER" hidden="1">1</definedName>
    <definedName name="__FDS_USED_FOR_REUSING_RANGE_IDS_RECYCLE" localSheetId="7" hidden="1">{33,33,33,33,33}</definedName>
    <definedName name="__FDS_USED_FOR_REUSING_RANGE_IDS_RECYCLE" hidden="1">{33,33,33,33,33}</definedName>
    <definedName name="__IntlFixup" hidden="1">TRUE</definedName>
    <definedName name="__IntlFixupTable" hidden="1">#REF!</definedName>
    <definedName name="__jo1" localSheetId="7" hidden="1">{#N/A,#N/A,FALSE,"Calculator"}</definedName>
    <definedName name="__jo1" hidden="1">{#N/A,#N/A,FALSE,"Calculator"}</definedName>
    <definedName name="__new1" localSheetId="7" hidden="1">{"Data Input",#N/A,TRUE,"Data Input";"15-Yr Cash Flow",#N/A,TRUE,"Cash Flow";"15-Yr Value",#N/A,TRUE,"Value "}</definedName>
    <definedName name="__new1" hidden="1">{"Data Input",#N/A,TRUE,"Data Input";"15-Yr Cash Flow",#N/A,TRUE,"Cash Flow";"15-Yr Value",#N/A,TRUE,"Value "}</definedName>
    <definedName name="__new2" localSheetId="7" hidden="1">{"'B-2 QSER Jun 98 4-27-98 cor'!$A$1:$F$57"}</definedName>
    <definedName name="__new2" hidden="1">{"'B-2 QSER Jun 98 4-27-98 cor'!$A$1:$F$57"}</definedName>
    <definedName name="__new3" localSheetId="7" hidden="1">{"ODB",#N/A,FALSE,"Hold Scenario"}</definedName>
    <definedName name="__new3" hidden="1">{"ODB",#N/A,FALSE,"Hold Scenario"}</definedName>
    <definedName name="__new4" localSheetId="7" hidden="1">{#N/A,#N/A,FALSE,"OpEx (PP)";#N/A,#N/A,FALSE,"Lease Comps (O)-BT";#N/A,#N/A,FALSE,"OpEx (CC)";#N/A,#N/A,FALSE,"Value (PP-Base)";#N/A,#N/A,FALSE,"Value (CC-Base)";#N/A,#N/A,FALSE,"Sales Comps (R)";#N/A,#N/A,FALSE,"Sales Comps (O)"}</definedName>
    <definedName name="__new4" hidden="1">{#N/A,#N/A,FALSE,"OpEx (PP)";#N/A,#N/A,FALSE,"Lease Comps (O)-BT";#N/A,#N/A,FALSE,"OpEx (CC)";#N/A,#N/A,FALSE,"Value (PP-Base)";#N/A,#N/A,FALSE,"Value (CC-Base)";#N/A,#N/A,FALSE,"Sales Comps (R)";#N/A,#N/A,FALSE,"Sales Comps (O)"}</definedName>
    <definedName name="__new5" localSheetId="7" hidden="1">{"'B-2 QSER Jun 98 4-27-98 cor'!$A$1:$F$57"}</definedName>
    <definedName name="__new5" hidden="1">{"'B-2 QSER Jun 98 4-27-98 cor'!$A$1:$F$57"}</definedName>
    <definedName name="__r" localSheetId="7" hidden="1">{#N/A,#N/A,FALSE,"Actual";#N/A,#N/A,FALSE,"Management Report 2";#N/A,#N/A,FALSE,"Management Report 3";#N/A,#N/A,FALSE,"Ergebnis";#N/A,#N/A,FALSE,"Summary";#N/A,#N/A,FALSE,"Konrzern";#N/A,#N/A,FALSE,"Abweichung Budget-Actuell"}</definedName>
    <definedName name="__r" hidden="1">{#N/A,#N/A,FALSE,"Actual";#N/A,#N/A,FALSE,"Management Report 2";#N/A,#N/A,FALSE,"Management Report 3";#N/A,#N/A,FALSE,"Ergebnis";#N/A,#N/A,FALSE,"Summary";#N/A,#N/A,FALSE,"Konrzern";#N/A,#N/A,FALSE,"Abweichung Budget-Actuell"}</definedName>
    <definedName name="__wrn1" localSheetId="7" hidden="1">{"schedule1",#N/A,FALSE,"Sheet1";"schedule2",#N/A,FALSE,"Sheet1";"schedule3",#N/A,FALSE,"Sheet1";"schedule4",#N/A,FALSE,"Sheet1";"schedule5",#N/A,FALSE,"Sheet1";"schedule6",#N/A,FALSE,"Sheet1"}</definedName>
    <definedName name="__wrn1" hidden="1">{"schedule1",#N/A,FALSE,"Sheet1";"schedule2",#N/A,FALSE,"Sheet1";"schedule3",#N/A,FALSE,"Sheet1";"schedule4",#N/A,FALSE,"Sheet1";"schedule5",#N/A,FALSE,"Sheet1";"schedule6",#N/A,FALSE,"Sheet1"}</definedName>
    <definedName name="__wrn1_1" localSheetId="7" hidden="1">{"schedule1",#N/A,FALSE,"Sheet1";"schedule2",#N/A,FALSE,"Sheet1";"schedule3",#N/A,FALSE,"Sheet1";"schedule4",#N/A,FALSE,"Sheet1";"schedule5",#N/A,FALSE,"Sheet1";"schedule6",#N/A,FALSE,"Sheet1"}</definedName>
    <definedName name="__wrn1_1" hidden="1">{"schedule1",#N/A,FALSE,"Sheet1";"schedule2",#N/A,FALSE,"Sheet1";"schedule3",#N/A,FALSE,"Sheet1";"schedule4",#N/A,FALSE,"Sheet1";"schedule5",#N/A,FALSE,"Sheet1";"schedule6",#N/A,FALSE,"Sheet1"}</definedName>
    <definedName name="__www1" localSheetId="7" hidden="1">{#N/A,#N/A,FALSE,"Calculator"}</definedName>
    <definedName name="__www1" hidden="1">{#N/A,#N/A,FALSE,"Calculator"}</definedName>
    <definedName name="__www2" localSheetId="7" hidden="1">{#N/A,#N/A,FALSE,"Calculator"}</definedName>
    <definedName name="__www2" hidden="1">{#N/A,#N/A,FALSE,"Calculator"}</definedName>
    <definedName name="__xlfn.AVERAGEIF" hidden="1">#NAME?</definedName>
    <definedName name="__xlfn.AVERAGEIFS" hidden="1">#NAME?</definedName>
    <definedName name="__xlfn.BAHTTEXT" hidden="1">#NAME?</definedName>
    <definedName name="__xlfn.COUNTIFS" hidden="1">#NAME?</definedName>
    <definedName name="_1__123Graph_ACDIUS" hidden="1">#REF!</definedName>
    <definedName name="_1__123Graph_ACHART_1" localSheetId="35" hidden="1">#REF!</definedName>
    <definedName name="_1__123Graph_ACHART_1" localSheetId="28" hidden="1">'[1]REITs &amp; S&amp;P'!$F$11:$F$31</definedName>
    <definedName name="_1__123Graph_ACHART_1" localSheetId="20" hidden="1">'[1]REITs &amp; S&amp;P'!$F$11:$F$31</definedName>
    <definedName name="_1__123Graph_ACHART_1" localSheetId="7" hidden="1">#REF!</definedName>
    <definedName name="_1__123Graph_ACHART_1" hidden="1">#REF!</definedName>
    <definedName name="_1__123Graph_ACHART_12" hidden="1">#REF!</definedName>
    <definedName name="_1__123Graph_AChart_1E" hidden="1">#REF!</definedName>
    <definedName name="_1__123Graph_ACHART_2" hidden="1">#REF!</definedName>
    <definedName name="_1__123Graph_ACHART_4A" hidden="1">#REF!</definedName>
    <definedName name="_1__123Graph_AR_M_MARG" hidden="1">#REF!</definedName>
    <definedName name="_1__FDSAUDITLINK__" localSheetId="7" hidden="1">{"fdsup://directions/FAT Viewer?action=UPDATE&amp;creator=factset&amp;DYN_ARGS=TRUE&amp;DOC_NAME=FAT:FQL_AUDITING_CLIENT_TEMPLATE.FAT&amp;display_string=Audit&amp;VAR:KEY=JIVIHKDEZQ&amp;VAR:QUERY=UkdGX0VOVFJQUl9WQUwoQU5OLDQxMDQ0LCwsLFVTRCwsTk9BVURJVCk=&amp;WINDOW=FIRST_POPUP&amp;HEIGHT=45","0&amp;WIDTH=450&amp;START_MAXIMIZED=FALSE&amp;VAR:CALENDAR=US&amp;VAR:SYMBOL=707624&amp;VAR:INDEX=0"}</definedName>
    <definedName name="_1__FDSAUDITLINK__" hidden="1">{"fdsup://directions/FAT Viewer?action=UPDATE&amp;creator=factset&amp;DYN_ARGS=TRUE&amp;DOC_NAME=FAT:FQL_AUDITING_CLIENT_TEMPLATE.FAT&amp;display_string=Audit&amp;VAR:KEY=JIVIHKDEZQ&amp;VAR:QUERY=UkdGX0VOVFJQUl9WQUwoQU5OLDQxMDQ0LCwsLFVTRCwsTk9BVURJVCk=&amp;WINDOW=FIRST_POPUP&amp;HEIGHT=45","0&amp;WIDTH=450&amp;START_MAXIMIZED=FALSE&amp;VAR:CALENDAR=US&amp;VAR:SYMBOL=707624&amp;VAR:INDEX=0"}</definedName>
    <definedName name="_10__123Graph_BCHART_16" hidden="1">#REF!</definedName>
    <definedName name="_10__123Graph_BChart_2E" hidden="1">#REF!</definedName>
    <definedName name="_10__123Graph_DCHART_1" hidden="1">#REF!</definedName>
    <definedName name="_10__FDSAUDITLINK__" localSheetId="7" hidden="1">{"fdsup://Directions/FactSet Auditing Viewer?action=AUDIT_VALUE&amp;DB=129&amp;ID1=87546510&amp;VALUEID=03451&amp;SDATE=200903&amp;PERIODTYPE=QTR_STD&amp;window=popup_no_bar&amp;width=385&amp;height=120&amp;START_MAXIMIZED=FALSE&amp;creator=factset&amp;display_string=Audit"}</definedName>
    <definedName name="_10__FDSAUDITLINK__" hidden="1">{"fdsup://Directions/FactSet Auditing Viewer?action=AUDIT_VALUE&amp;DB=129&amp;ID1=87546510&amp;VALUEID=03451&amp;SDATE=200903&amp;PERIODTYPE=QTR_STD&amp;window=popup_no_bar&amp;width=385&amp;height=120&amp;START_MAXIMIZED=FALSE&amp;creator=factset&amp;display_string=Audit"}</definedName>
    <definedName name="_100__123Graph_XCHART_2" hidden="1">#REF!</definedName>
    <definedName name="_100__FDSAUDITLINK__" localSheetId="7"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3"}</definedName>
    <definedName name="_100__FDSAUDITLINK__"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3"}</definedName>
    <definedName name="_101__FDSAUDITLINK__" localSheetId="7"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2"}</definedName>
    <definedName name="_101__FDSAUDITLINK__"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2"}</definedName>
    <definedName name="_102__FDSAUDITLINK__" localSheetId="7"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1"}</definedName>
    <definedName name="_102__FDSAUDITLINK__"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1"}</definedName>
    <definedName name="_103__FDSAUDITLINK__" localSheetId="7"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0"}</definedName>
    <definedName name="_103__FDSAUDITLINK__"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0"}</definedName>
    <definedName name="_104__FDSAUDITLINK__" localSheetId="7"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27"}</definedName>
    <definedName name="_104__FDSAUDITLINK__"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27"}</definedName>
    <definedName name="_105__FDSAUDITLINK__" localSheetId="7"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26"}</definedName>
    <definedName name="_105__FDSAUDITLINK__"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26"}</definedName>
    <definedName name="_106__FDSAUDITLINK__" localSheetId="7"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25"}</definedName>
    <definedName name="_106__FDSAUDITLINK__"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25"}</definedName>
    <definedName name="_107__FDSAUDITLINK__" localSheetId="7"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24"}</definedName>
    <definedName name="_107__FDSAUDITLINK__"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24"}</definedName>
    <definedName name="_108__123Graph_BCHART_22" hidden="1">#REF!</definedName>
    <definedName name="_108__FDSAUDITLINK__" localSheetId="7"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23"}</definedName>
    <definedName name="_108__FDSAUDITLINK__"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23"}</definedName>
    <definedName name="_109__FDSAUDITLINK__" localSheetId="7"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22"}</definedName>
    <definedName name="_109__FDSAUDITLINK__"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22"}</definedName>
    <definedName name="_10F" hidden="1">#REF!</definedName>
    <definedName name="_11__123Graph_BCHART_17" hidden="1">#REF!</definedName>
    <definedName name="_11__123Graph_BChart_3E" hidden="1">#REF!</definedName>
    <definedName name="_11__FDSAUDITLINK__" localSheetId="7" hidden="1">{"fdsup://Directions/FactSet Auditing Viewer?action=AUDIT_VALUE&amp;DB=129&amp;ID1=15060220&amp;VALUEID=03451&amp;SDATE=200903&amp;PERIODTYPE=QTR_STD&amp;window=popup_no_bar&amp;width=385&amp;height=120&amp;START_MAXIMIZED=FALSE&amp;creator=factset&amp;display_string=Audit"}</definedName>
    <definedName name="_11__FDSAUDITLINK__" hidden="1">{"fdsup://Directions/FactSet Auditing Viewer?action=AUDIT_VALUE&amp;DB=129&amp;ID1=15060220&amp;VALUEID=03451&amp;SDATE=200903&amp;PERIODTYPE=QTR_STD&amp;window=popup_no_bar&amp;width=385&amp;height=120&amp;START_MAXIMIZED=FALSE&amp;creator=factset&amp;display_string=Audit"}</definedName>
    <definedName name="_11_0_0_F" hidden="1">#REF!</definedName>
    <definedName name="_110__FDSAUDITLINK__" localSheetId="7"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21"}</definedName>
    <definedName name="_110__FDSAUDITLINK__"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21"}</definedName>
    <definedName name="_111__FDSAUDITLINK__" localSheetId="7"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20"}</definedName>
    <definedName name="_111__FDSAUDITLINK__"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20"}</definedName>
    <definedName name="_112__FDSAUDITLINK__" localSheetId="7"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19"}</definedName>
    <definedName name="_112__FDSAUDITLINK__"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19"}</definedName>
    <definedName name="_113__FDSAUDITLINK__" localSheetId="7"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18"}</definedName>
    <definedName name="_113__FDSAUDITLINK__"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18"}</definedName>
    <definedName name="_114__FDSAUDITLINK__" localSheetId="7"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17"}</definedName>
    <definedName name="_114__FDSAUDITLINK__"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17"}</definedName>
    <definedName name="_115__FDSAUDITLINK__" localSheetId="7"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16"}</definedName>
    <definedName name="_115__FDSAUDITLINK__"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16"}</definedName>
    <definedName name="_116__FDSAUDITLINK__" localSheetId="7"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15"}</definedName>
    <definedName name="_116__FDSAUDITLINK__"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15"}</definedName>
    <definedName name="_117__123Graph_CCHART_15" hidden="1">#REF!</definedName>
    <definedName name="_117__FDSAUDITLINK__" localSheetId="7"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14"}</definedName>
    <definedName name="_117__FDSAUDITLINK__"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14"}</definedName>
    <definedName name="_118__FDSAUDITLINK__" localSheetId="7"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13"}</definedName>
    <definedName name="_118__FDSAUDITLINK__"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13"}</definedName>
    <definedName name="_119__FDSAUDITLINK__" localSheetId="7"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12"}</definedName>
    <definedName name="_119__FDSAUDITLINK__"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12"}</definedName>
    <definedName name="_12_______123Graph_BCHART_1" hidden="1">#REF!</definedName>
    <definedName name="_12__123Graph_BCHART_22" hidden="1">#REF!</definedName>
    <definedName name="_12__123Graph_BChart_4E" hidden="1">#REF!</definedName>
    <definedName name="_12__FDSAUDITLINK__" localSheetId="7" hidden="1">{"fdsup://Directions/FactSet Auditing Viewer?action=AUDIT_VALUE&amp;DB=129&amp;ID1=80439510&amp;VALUEID=03451&amp;SDATE=200903&amp;PERIODTYPE=QTR_STD&amp;window=popup_no_bar&amp;width=385&amp;height=120&amp;START_MAXIMIZED=FALSE&amp;creator=factset&amp;display_string=Audit"}</definedName>
    <definedName name="_12__FDSAUDITLINK__" hidden="1">{"fdsup://Directions/FactSet Auditing Viewer?action=AUDIT_VALUE&amp;DB=129&amp;ID1=80439510&amp;VALUEID=03451&amp;SDATE=200903&amp;PERIODTYPE=QTR_STD&amp;window=popup_no_bar&amp;width=385&amp;height=120&amp;START_MAXIMIZED=FALSE&amp;creator=factset&amp;display_string=Audit"}</definedName>
    <definedName name="_12_0_0_F" hidden="1">#REF!</definedName>
    <definedName name="_120__FDSAUDITLINK__" localSheetId="7"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11"}</definedName>
    <definedName name="_120__FDSAUDITLINK__"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11"}</definedName>
    <definedName name="_121__FDSAUDITLINK__" localSheetId="7"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10"}</definedName>
    <definedName name="_121__FDSAUDITLINK__"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10"}</definedName>
    <definedName name="_122__FDSAUDITLINK__" localSheetId="7"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9"}</definedName>
    <definedName name="_122__FDSAUDITLINK__"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9"}</definedName>
    <definedName name="_1220__FDSAUDITLINK__" localSheetId="7" hidden="1">{"fdsup://directions/FAT%20Viewer?WINDOW=first_popup&amp;DYN_ARGS=TRUE&amp;START_MAXIMIZED=FALSE&amp;TITLEBAR=FactSet Market Aggregates&amp;ACTION=UPDATE&amp;CREATOR=FACTSET&amp;HEIGHT=450&amp;WIDTH=500&amp;DOC_NAME=FAT:FMA_AUDIT_TM.FAT&amp;VAR:CURRENCY=USD&amp;VAR:AUDIT_ID=INDEX%3APERSONAL%3AOFF","ICE_QUARTERLY.OFDB&amp;VAR:CALC_MODE=AGGREGATE&amp;VAR:CHGPERIOD=NA&amp;DISPLAY_STRING=audit&amp;VAR:FQLFORMULA=FMA_PE&amp;VAR:MEASURE=PE&amp;VAR:NULL=.HTML&amp;VAR:TM=NTMA&amp;VAR:PCT=0.076503&amp;VAR:V=7.369161&amp;VAR:V0=7.359951&amp;VAR:V1=7.482193&amp;VAR:Y0=2000&amp;VAR:Y1=2001&amp;VAR:P=207.140076&amp;VAR:D","ATE=20000128&amp;VAR:THRESH=-|-|-|-|-|-|-"}</definedName>
    <definedName name="_1220__FDSAUDITLINK__" hidden="1">{"fdsup://directions/FAT%20Viewer?WINDOW=first_popup&amp;DYN_ARGS=TRUE&amp;START_MAXIMIZED=FALSE&amp;TITLEBAR=FactSet Market Aggregates&amp;ACTION=UPDATE&amp;CREATOR=FACTSET&amp;HEIGHT=450&amp;WIDTH=500&amp;DOC_NAME=FAT:FMA_AUDIT_TM.FAT&amp;VAR:CURRENCY=USD&amp;VAR:AUDIT_ID=INDEX%3APERSONAL%3AOFF","ICE_QUARTERLY.OFDB&amp;VAR:CALC_MODE=AGGREGATE&amp;VAR:CHGPERIOD=NA&amp;DISPLAY_STRING=audit&amp;VAR:FQLFORMULA=FMA_PE&amp;VAR:MEASURE=PE&amp;VAR:NULL=.HTML&amp;VAR:TM=NTMA&amp;VAR:PCT=0.076503&amp;VAR:V=7.369161&amp;VAR:V0=7.359951&amp;VAR:V1=7.482193&amp;VAR:Y0=2000&amp;VAR:Y1=2001&amp;VAR:P=207.140076&amp;VAR:D","ATE=20000128&amp;VAR:THRESH=-|-|-|-|-|-|-"}</definedName>
    <definedName name="_123__FDSAUDITLINK__" localSheetId="7"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8"}</definedName>
    <definedName name="_123__FDSAUDITLINK__"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8"}</definedName>
    <definedName name="_124__FDSAUDITLINK__" localSheetId="7"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7"}</definedName>
    <definedName name="_124__FDSAUDITLINK__"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7"}</definedName>
    <definedName name="_125__FDSAUDITLINK__" localSheetId="7"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6"}</definedName>
    <definedName name="_125__FDSAUDITLINK__"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6"}</definedName>
    <definedName name="_126__123Graph_CCHART_16" hidden="1">#REF!</definedName>
    <definedName name="_126__FDSAUDITLINK__" localSheetId="7"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5"}</definedName>
    <definedName name="_126__FDSAUDITLINK__"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5"}</definedName>
    <definedName name="_127__FDSAUDITLINK__" localSheetId="7"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4"}</definedName>
    <definedName name="_127__FDSAUDITLINK__"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4"}</definedName>
    <definedName name="_128__FDSAUDITLINK__" localSheetId="7"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3"}</definedName>
    <definedName name="_128__FDSAUDITLINK__"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3"}</definedName>
    <definedName name="_129__FDSAUDITLINK__" localSheetId="7"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2"}</definedName>
    <definedName name="_129__FDSAUDITLINK__"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2"}</definedName>
    <definedName name="_13__123Graph_BCHART_3" hidden="1">#REF!</definedName>
    <definedName name="_13__123Graph_BChart_5E" hidden="1">#REF!</definedName>
    <definedName name="_13__123Graph_CCHART_15" hidden="1">#REF!</definedName>
    <definedName name="_13__FDSAUDITLINK__" localSheetId="7" hidden="1">{"fdsup://Directions/FactSet Auditing Viewer?action=AUDIT_VALUE&amp;DB=129&amp;ID1=11246310&amp;VALUEID=02001&amp;SDATE=200903&amp;PERIODTYPE=QTR_STD&amp;window=popup_no_bar&amp;width=385&amp;height=120&amp;START_MAXIMIZED=FALSE&amp;creator=factset&amp;display_string=Audit"}</definedName>
    <definedName name="_13__FDSAUDITLINK__" hidden="1">{"fdsup://Directions/FactSet Auditing Viewer?action=AUDIT_VALUE&amp;DB=129&amp;ID1=11246310&amp;VALUEID=02001&amp;SDATE=200903&amp;PERIODTYPE=QTR_STD&amp;window=popup_no_bar&amp;width=385&amp;height=120&amp;START_MAXIMIZED=FALSE&amp;creator=factset&amp;display_string=Audit"}</definedName>
    <definedName name="_13_0_S" hidden="1">#REF!</definedName>
    <definedName name="_130__FDSAUDITLINK__" localSheetId="7"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1"}</definedName>
    <definedName name="_130__FDSAUDITLINK__"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1"}</definedName>
    <definedName name="_131__FDSAUDITLINK__" localSheetId="7"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0"}</definedName>
    <definedName name="_131__FDSAUDITLINK__"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0"}</definedName>
    <definedName name="_132__FDSAUDITLINK__" localSheetId="7" hidden="1">{"fdsup://directions/FAT Viewer?action=UPDATE&amp;creator=factset&amp;DYN_ARGS=TRUE&amp;DOC_NAME=FAT:FQL_AUDITING_CLIENT_TEMPLATE.FAT&amp;display_string=Audit&amp;VAR:KEY=GPOZWNWTAH&amp;VAR:QUERY=SlVMSUFOKElDX0VTVElNQVRFKEZGTyxNRUFOLEFOTl9ST0xMLCsxLDApLmRhdGVzKQ==&amp;WINDOW=FIRST_POP","UP&amp;HEIGHT=450&amp;WIDTH=450&amp;START_MAXIMIZED=FALSE&amp;VAR:CALENDAR=US&amp;VAR:SYMBOL=DLR&amp;VAR:INDEX=0"}</definedName>
    <definedName name="_132__FDSAUDITLINK__" hidden="1">{"fdsup://directions/FAT Viewer?action=UPDATE&amp;creator=factset&amp;DYN_ARGS=TRUE&amp;DOC_NAME=FAT:FQL_AUDITING_CLIENT_TEMPLATE.FAT&amp;display_string=Audit&amp;VAR:KEY=GPOZWNWTAH&amp;VAR:QUERY=SlVMSUFOKElDX0VTVElNQVRFKEZGTyxNRUFOLEFOTl9ST0xMLCsxLDApLmRhdGVzKQ==&amp;WINDOW=FIRST_POP","UP&amp;HEIGHT=450&amp;WIDTH=450&amp;START_MAXIMIZED=FALSE&amp;VAR:CALENDAR=US&amp;VAR:SYMBOL=DLR&amp;VAR:INDEX=0"}</definedName>
    <definedName name="_133__FDSAUDITLINK__" localSheetId="7" hidden="1">{"fdsup://directions/FAT Viewer?action=UPDATE&amp;creator=factset&amp;DYN_ARGS=TRUE&amp;DOC_NAME=FAT:FQL_AUDITING_CLIENT_TEMPLATE.FAT&amp;display_string=Audit&amp;VAR:KEY=GPOZWNWTAH&amp;VAR:QUERY=SlVMSUFOKElDX0VTVElNQVRFKEZGTyxNRUFOLEFOTl9ST0xMLCsxLDApLmRhdGVzKQ==&amp;WINDOW=FIRST_POP","UP&amp;HEIGHT=450&amp;WIDTH=450&amp;START_MAXIMIZED=FALSE&amp;VAR:CALENDAR=US&amp;VAR:SYMBOL=DLR&amp;VAR:INDEX=0"}</definedName>
    <definedName name="_133__FDSAUDITLINK__" hidden="1">{"fdsup://directions/FAT Viewer?action=UPDATE&amp;creator=factset&amp;DYN_ARGS=TRUE&amp;DOC_NAME=FAT:FQL_AUDITING_CLIENT_TEMPLATE.FAT&amp;display_string=Audit&amp;VAR:KEY=GPOZWNWTAH&amp;VAR:QUERY=SlVMSUFOKElDX0VTVElNQVRFKEZGTyxNRUFOLEFOTl9ST0xMLCsxLDApLmRhdGVzKQ==&amp;WINDOW=FIRST_POP","UP&amp;HEIGHT=450&amp;WIDTH=450&amp;START_MAXIMIZED=FALSE&amp;VAR:CALENDAR=US&amp;VAR:SYMBOL=DLR&amp;VAR:INDEX=0"}</definedName>
    <definedName name="_135__123Graph_CCHART_17" hidden="1">#REF!</definedName>
    <definedName name="_14__123Graph_BChart_6E" hidden="1">#REF!</definedName>
    <definedName name="_14__123Graph_CCHART_1" hidden="1">#REF!</definedName>
    <definedName name="_14__123Graph_CCHART_16" hidden="1">#REF!</definedName>
    <definedName name="_14__FDSAUDITLINK__" localSheetId="7" hidden="1">{"fdsup://Directions/FactSet Auditing Viewer?action=AUDIT_VALUE&amp;DB=129&amp;ID1=63590610&amp;VALUEID=03451&amp;SDATE=200903&amp;PERIODTYPE=QTR_STD&amp;window=popup_no_bar&amp;width=385&amp;height=120&amp;START_MAXIMIZED=FALSE&amp;creator=factset&amp;display_string=Audit"}</definedName>
    <definedName name="_14__FDSAUDITLINK__" hidden="1">{"fdsup://Directions/FactSet Auditing Viewer?action=AUDIT_VALUE&amp;DB=129&amp;ID1=63590610&amp;VALUEID=03451&amp;SDATE=200903&amp;PERIODTYPE=QTR_STD&amp;window=popup_no_bar&amp;width=385&amp;height=120&amp;START_MAXIMIZED=FALSE&amp;creator=factset&amp;display_string=Audit"}</definedName>
    <definedName name="_14_0_0_S" hidden="1">#REF!</definedName>
    <definedName name="_141105">#REF!</definedName>
    <definedName name="_141115">#REF!</definedName>
    <definedName name="_141120">#REF!</definedName>
    <definedName name="_141130">#REF!</definedName>
    <definedName name="_144__123Graph_CCHART_22" hidden="1">#REF!</definedName>
    <definedName name="_15__123Graph_BChart_7E" hidden="1">#REF!</definedName>
    <definedName name="_15__123Graph_CCHART_17" hidden="1">#REF!</definedName>
    <definedName name="_15__123Graph_CCHART_2" hidden="1">#REF!</definedName>
    <definedName name="_15__FDSAUDITLINK__" localSheetId="7" hidden="1">{"fdsup://Directions/FactSet Auditing Viewer?action=AUDIT_VALUE&amp;DB=129&amp;ID1=04544X30&amp;VALUEID=P05301&amp;SDATE=200903&amp;PERIODTYPE=QTR_STD&amp;window=popup_no_bar&amp;width=385&amp;height=120&amp;START_MAXIMIZED=FALSE&amp;creator=factset&amp;display_string=Audit"}</definedName>
    <definedName name="_15__FDSAUDITLINK__" hidden="1">{"fdsup://Directions/FactSet Auditing Viewer?action=AUDIT_VALUE&amp;DB=129&amp;ID1=04544X30&amp;VALUEID=P05301&amp;SDATE=200903&amp;PERIODTYPE=QTR_STD&amp;window=popup_no_bar&amp;width=385&amp;height=120&amp;START_MAXIMIZED=FALSE&amp;creator=factset&amp;display_string=Audit"}</definedName>
    <definedName name="_15_0_0_S" hidden="1">#REF!</definedName>
    <definedName name="_153__123Graph_CSEG_PIE" hidden="1">#REF!</definedName>
    <definedName name="_16_______123Graph_XCHART_1" hidden="1">#REF!</definedName>
    <definedName name="_16__123Graph_BChart_8E" hidden="1">#REF!</definedName>
    <definedName name="_16__123Graph_CCHART_22" hidden="1">#REF!</definedName>
    <definedName name="_16__FDSAUDITLINK__" localSheetId="7" hidden="1">{"fdsup://Directions/FactSet Auditing Viewer?action=AUDIT_VALUE&amp;DB=129&amp;ID1=00758610&amp;VALUEID=03451&amp;SDATE=200903&amp;PERIODTYPE=QTR_STD&amp;window=popup_no_bar&amp;width=385&amp;height=120&amp;START_MAXIMIZED=FALSE&amp;creator=factset&amp;display_string=Audit"}</definedName>
    <definedName name="_16__FDSAUDITLINK__" hidden="1">{"fdsup://Directions/FactSet Auditing Viewer?action=AUDIT_VALUE&amp;DB=129&amp;ID1=00758610&amp;VALUEID=03451&amp;SDATE=200903&amp;PERIODTYPE=QTR_STD&amp;window=popup_no_bar&amp;width=385&amp;height=120&amp;START_MAXIMIZED=FALSE&amp;creator=factset&amp;display_string=Audit"}</definedName>
    <definedName name="_162__123Graph_DCHART_15" hidden="1">#REF!</definedName>
    <definedName name="_17__123Graph_CChart_1E" hidden="1">#REF!</definedName>
    <definedName name="_17__123Graph_CSEG_PIE" hidden="1">#REF!</definedName>
    <definedName name="_17__FDSAUDITLINK__" localSheetId="7" hidden="1">{"fdsup://Directions/FactSet Auditing Viewer?action=AUDIT_VALUE&amp;DB=129&amp;ID1=04544X30&amp;VALUEID=02001&amp;SDATE=200903&amp;PERIODTYPE=QTR_STD&amp;window=popup_no_bar&amp;width=385&amp;height=120&amp;START_MAXIMIZED=FALSE&amp;creator=factset&amp;display_string=Audit"}</definedName>
    <definedName name="_17__FDSAUDITLINK__" hidden="1">{"fdsup://Directions/FactSet Auditing Viewer?action=AUDIT_VALUE&amp;DB=129&amp;ID1=04544X30&amp;VALUEID=02001&amp;SDATE=200903&amp;PERIODTYPE=QTR_STD&amp;window=popup_no_bar&amp;width=385&amp;height=120&amp;START_MAXIMIZED=FALSE&amp;creator=factset&amp;display_string=Audit"}</definedName>
    <definedName name="_171__123Graph_DCHART_16" hidden="1">#REF!</definedName>
    <definedName name="_18__123Graph_ACHART_15" hidden="1">#REF!</definedName>
    <definedName name="_18__123Graph_CChart_2E" hidden="1">#REF!</definedName>
    <definedName name="_18__123Graph_DCHART_15" hidden="1">#REF!</definedName>
    <definedName name="_18__FDSAUDITLINK__" localSheetId="7" hidden="1">{"fdsup://Directions/FactSet Auditing Viewer?action=AUDIT_VALUE&amp;DB=129&amp;ID1=29358P10&amp;VALUEID=02001&amp;SDATE=200903&amp;PERIODTYPE=QTR_STD&amp;window=popup_no_bar&amp;width=385&amp;height=120&amp;START_MAXIMIZED=FALSE&amp;creator=factset&amp;display_string=Audit"}</definedName>
    <definedName name="_18__FDSAUDITLINK__" hidden="1">{"fdsup://Directions/FactSet Auditing Viewer?action=AUDIT_VALUE&amp;DB=129&amp;ID1=29358P10&amp;VALUEID=02001&amp;SDATE=200903&amp;PERIODTYPE=QTR_STD&amp;window=popup_no_bar&amp;width=385&amp;height=120&amp;START_MAXIMIZED=FALSE&amp;creator=factset&amp;display_string=Audit"}</definedName>
    <definedName name="_18_0_0_F" hidden="1">#REF!</definedName>
    <definedName name="_180__123Graph_DCHART_17" hidden="1">#REF!</definedName>
    <definedName name="_189__123Graph_DCHART_22" hidden="1">#REF!</definedName>
    <definedName name="_19__123Graph_CCHART_3" hidden="1">#REF!</definedName>
    <definedName name="_19__123Graph_CChart_3E" hidden="1">#REF!</definedName>
    <definedName name="_19__123Graph_DCHART_16" hidden="1">#REF!</definedName>
    <definedName name="_19__FDSAUDITLINK__" localSheetId="7" hidden="1">{"fdsup://Directions/FactSet Auditing Viewer?action=AUDIT_VALUE&amp;DB=129&amp;ID1=33832D10&amp;VALUEID=02001&amp;SDATE=200903&amp;PERIODTYPE=QTR_STD&amp;window=popup_no_bar&amp;width=385&amp;height=120&amp;START_MAXIMIZED=FALSE&amp;creator=factset&amp;display_string=Audit"}</definedName>
    <definedName name="_19__FDSAUDITLINK__" hidden="1">{"fdsup://Directions/FactSet Auditing Viewer?action=AUDIT_VALUE&amp;DB=129&amp;ID1=33832D10&amp;VALUEID=02001&amp;SDATE=200903&amp;PERIODTYPE=QTR_STD&amp;window=popup_no_bar&amp;width=385&amp;height=120&amp;START_MAXIMIZED=FALSE&amp;creator=factset&amp;display_string=Audit"}</definedName>
    <definedName name="_198__123Graph_ECHART_15" hidden="1">#REF!</definedName>
    <definedName name="_2_" hidden="1">#REF!</definedName>
    <definedName name="_2__123Graph_ACHART_1" hidden="1">#REF!</definedName>
    <definedName name="_2__123Graph_ACHART_15" hidden="1">#REF!</definedName>
    <definedName name="_2__123Graph_ACHART_2" localSheetId="35" hidden="1">#REF!</definedName>
    <definedName name="_2__123Graph_ACHART_2" localSheetId="28" hidden="1">[2]A!$E$171:$E$177</definedName>
    <definedName name="_2__123Graph_ACHART_2" localSheetId="20" hidden="1">[2]A!$E$171:$E$177</definedName>
    <definedName name="_2__123Graph_ACHART_2" localSheetId="7" hidden="1">#REF!</definedName>
    <definedName name="_2__123Graph_ACHART_2" hidden="1">#REF!</definedName>
    <definedName name="_2__123Graph_AChart_2E" hidden="1">#REF!</definedName>
    <definedName name="_2__123Graph_ACHART_3" hidden="1">#REF!</definedName>
    <definedName name="_2__123Graph_ACHART_3I" hidden="1">#REF!</definedName>
    <definedName name="_2__123Graph_ACHART_4A" hidden="1">#REF!</definedName>
    <definedName name="_2__123Graph_BCDIUS" hidden="1">#REF!</definedName>
    <definedName name="_2__123Graph_BCHART_2" hidden="1">#N/A</definedName>
    <definedName name="_2__123Graph_DCHART_1" hidden="1">#REF!</definedName>
    <definedName name="_2__123Graph_XCHART_4A" hidden="1">#REF!</definedName>
    <definedName name="_2__FDSAUDITLINK__" localSheetId="7" hidden="1">{"fdsup://directions/FAT Viewer?action=UPDATE&amp;creator=factset&amp;DYN_ARGS=TRUE&amp;DOC_NAME=FAT:FQL_AUDITING_CLIENT_TEMPLATE.FAT&amp;display_string=Audit&amp;VAR:KEY=SVWDARGLYV&amp;VAR:QUERY=UkdGX0VOVFJQUl9WQUwoQU5OLDQxMDQ0LCwsLCwsTk9BVURJVCk=&amp;WINDOW=FIRST_POPUP&amp;HEIGHT=450&amp;WI","DTH=450&amp;START_MAXIMIZED=FALSE&amp;VAR:CALENDAR=US&amp;VAR:SYMBOL=707624&amp;VAR:INDEX=0"}</definedName>
    <definedName name="_2__FDSAUDITLINK__" hidden="1">{"fdsup://directions/FAT Viewer?action=UPDATE&amp;creator=factset&amp;DYN_ARGS=TRUE&amp;DOC_NAME=FAT:FQL_AUDITING_CLIENT_TEMPLATE.FAT&amp;display_string=Audit&amp;VAR:KEY=SVWDARGLYV&amp;VAR:QUERY=UkdGX0VOVFJQUl9WQUwoQU5OLDQxMDQ0LCwsLCwsTk9BVURJVCk=&amp;WINDOW=FIRST_POPUP&amp;HEIGHT=450&amp;WI","DTH=450&amp;START_MAXIMIZED=FALSE&amp;VAR:CALENDAR=US&amp;VAR:SYMBOL=707624&amp;VAR:INDEX=0"}</definedName>
    <definedName name="_2_0__123Grap" hidden="1">#REF!</definedName>
    <definedName name="_20_______123Graph_XCHART_2" hidden="1">#REF!</definedName>
    <definedName name="_20__123Graph_CChart_4E" hidden="1">#REF!</definedName>
    <definedName name="_20__123Graph_DCHART_1" hidden="1">#REF!</definedName>
    <definedName name="_20__123Graph_DCHART_17" hidden="1">#REF!</definedName>
    <definedName name="_20__FDSAUDITLINK__" localSheetId="7" hidden="1">{"fdsup://Directions/FactSet Auditing Viewer?action=AUDIT_VALUE&amp;DB=129&amp;ID1=49458010&amp;VALUEID=02001&amp;SDATE=200903&amp;PERIODTYPE=QTR_STD&amp;window=popup_no_bar&amp;width=385&amp;height=120&amp;START_MAXIMIZED=FALSE&amp;creator=factset&amp;display_string=Audit"}</definedName>
    <definedName name="_20__FDSAUDITLINK__" hidden="1">{"fdsup://Directions/FactSet Auditing Viewer?action=AUDIT_VALUE&amp;DB=129&amp;ID1=49458010&amp;VALUEID=02001&amp;SDATE=200903&amp;PERIODTYPE=QTR_STD&amp;window=popup_no_bar&amp;width=385&amp;height=120&amp;START_MAXIMIZED=FALSE&amp;creator=factset&amp;display_string=Audit"}</definedName>
    <definedName name="_207__123Graph_ECHART_16" hidden="1">#REF!</definedName>
    <definedName name="_20IQ_POLICĎĎ__ĘĘ__TS" hidden="1">"c1036"</definedName>
    <definedName name="_21__123Graph_CChart_5E" hidden="1">#REF!</definedName>
    <definedName name="_21__123Graph_DCHART_22" hidden="1">#REF!</definedName>
    <definedName name="_21__123Graph_ECHART_1" hidden="1">#REF!</definedName>
    <definedName name="_21__FDSAUDITLINK__" localSheetId="7" hidden="1">{"fdsup://Directions/FactSet Auditing Viewer?action=AUDIT_VALUE&amp;DB=129&amp;ID1=86693340&amp;VALUEID=02001&amp;SDATE=200903&amp;PERIODTYPE=QTR_STD&amp;window=popup_no_bar&amp;width=385&amp;height=120&amp;START_MAXIMIZED=FALSE&amp;creator=factset&amp;display_string=Audit"}</definedName>
    <definedName name="_21__FDSAUDITLINK__" hidden="1">{"fdsup://Directions/FactSet Auditing Viewer?action=AUDIT_VALUE&amp;DB=129&amp;ID1=86693340&amp;VALUEID=02001&amp;SDATE=200903&amp;PERIODTYPE=QTR_STD&amp;window=popup_no_bar&amp;width=385&amp;height=120&amp;START_MAXIMIZED=FALSE&amp;creator=factset&amp;display_string=Audit"}</definedName>
    <definedName name="_216__123Graph_ECHART_17" hidden="1">#REF!</definedName>
    <definedName name="_22__123Graph_CChart_6E" hidden="1">#REF!</definedName>
    <definedName name="_22__123Graph_ECHART_15" hidden="1">#REF!</definedName>
    <definedName name="_22__123Graph_FCHART_1" hidden="1">#REF!</definedName>
    <definedName name="_22__FDSAUDITLINK__" localSheetId="7" hidden="1">{"fdsup://Directions/FactSet Auditing Viewer?action=AUDIT_VALUE&amp;DB=129&amp;ID1=02343610&amp;VALUEID=02001&amp;SDATE=200903&amp;PERIODTYPE=QTR_STD&amp;window=popup_no_bar&amp;width=385&amp;height=120&amp;START_MAXIMIZED=FALSE&amp;creator=factset&amp;display_string=Audit"}</definedName>
    <definedName name="_22__FDSAUDITLINK__" hidden="1">{"fdsup://Directions/FactSet Auditing Viewer?action=AUDIT_VALUE&amp;DB=129&amp;ID1=02343610&amp;VALUEID=02001&amp;SDATE=200903&amp;PERIODTYPE=QTR_STD&amp;window=popup_no_bar&amp;width=385&amp;height=120&amp;START_MAXIMIZED=FALSE&amp;creator=factset&amp;display_string=Audit"}</definedName>
    <definedName name="_222" hidden="1">#REF!</definedName>
    <definedName name="_225__123Graph_ECHART_22" hidden="1">#REF!</definedName>
    <definedName name="_23__123Graph_CChart_7E" hidden="1">#REF!</definedName>
    <definedName name="_23__123Graph_ECHART_16" hidden="1">#REF!</definedName>
    <definedName name="_23__123Graph_LBL_ACHART_2" hidden="1">#REF!</definedName>
    <definedName name="_23__FDSAUDITLINK__" localSheetId="7" hidden="1">{"fdsup://Directions/FactSet Auditing Viewer?action=AUDIT_VALUE&amp;DB=129&amp;ID1=86768K10&amp;VALUEID=02001&amp;SDATE=200903&amp;PERIODTYPE=QTR_STD&amp;window=popup_no_bar&amp;width=385&amp;height=120&amp;START_MAXIMIZED=FALSE&amp;creator=factset&amp;display_string=Audit"}</definedName>
    <definedName name="_23__FDSAUDITLINK__" hidden="1">{"fdsup://Directions/FactSet Auditing Viewer?action=AUDIT_VALUE&amp;DB=129&amp;ID1=86768K10&amp;VALUEID=02001&amp;SDATE=200903&amp;PERIODTYPE=QTR_STD&amp;window=popup_no_bar&amp;width=385&amp;height=120&amp;START_MAXIMIZED=FALSE&amp;creator=factset&amp;display_string=Audit"}</definedName>
    <definedName name="_23_0_0_S" hidden="1">#REF!</definedName>
    <definedName name="_234__123Graph_FCHART_15" hidden="1">#REF!</definedName>
    <definedName name="_24______123Graph_ACHART_1" hidden="1">#REF!</definedName>
    <definedName name="_24__123Graph_CChart_8E" hidden="1">#REF!</definedName>
    <definedName name="_24__123Graph_ECHART_17" hidden="1">#REF!</definedName>
    <definedName name="_24__FDSAUDITLINK__" localSheetId="7" hidden="1">{"fdsup://Directions/FactSet Auditing Viewer?action=AUDIT_VALUE&amp;DB=129&amp;ID1=29100510&amp;VALUEID=02001&amp;SDATE=200903&amp;PERIODTYPE=QTR_STD&amp;window=popup_no_bar&amp;width=385&amp;height=120&amp;START_MAXIMIZED=FALSE&amp;creator=factset&amp;display_string=Audit"}</definedName>
    <definedName name="_24__FDSAUDITLINK__" hidden="1">{"fdsup://Directions/FactSet Auditing Viewer?action=AUDIT_VALUE&amp;DB=129&amp;ID1=29100510&amp;VALUEID=02001&amp;SDATE=200903&amp;PERIODTYPE=QTR_STD&amp;window=popup_no_bar&amp;width=385&amp;height=120&amp;START_MAXIMIZED=FALSE&amp;creator=factset&amp;display_string=Audit"}</definedName>
    <definedName name="_243__123Graph_FCHART_16" hidden="1">#REF!</definedName>
    <definedName name="_25__123Graph_ECHART_22" hidden="1">#REF!</definedName>
    <definedName name="_25__123Graph_XChart_2E" hidden="1">#REF!</definedName>
    <definedName name="_25__FDSAUDITLINK__" localSheetId="7" hidden="1">{"fdsup://Directions/FactSet Auditing Viewer?action=AUDIT_VALUE&amp;DB=129&amp;ID1=14047510&amp;VALUEID=02001&amp;SDATE=200903&amp;PERIODTYPE=QTR_STD&amp;window=popup_no_bar&amp;width=385&amp;height=120&amp;START_MAXIMIZED=FALSE&amp;creator=factset&amp;display_string=Audit"}</definedName>
    <definedName name="_25__FDSAUDITLINK__" hidden="1">{"fdsup://Directions/FactSet Auditing Viewer?action=AUDIT_VALUE&amp;DB=129&amp;ID1=14047510&amp;VALUEID=02001&amp;SDATE=200903&amp;PERIODTYPE=QTR_STD&amp;window=popup_no_bar&amp;width=385&amp;height=120&amp;START_MAXIMIZED=FALSE&amp;creator=factset&amp;display_string=Audit"}</definedName>
    <definedName name="_252__123Graph_FCHART_17" hidden="1">#REF!</definedName>
    <definedName name="_26__123Graph_FCHART_15" hidden="1">#REF!</definedName>
    <definedName name="_26__123Graph_XChart_3E" hidden="1">#REF!</definedName>
    <definedName name="_26__FDSAUDITLINK__" localSheetId="7"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21"}</definedName>
    <definedName name="_26__FDSAUDITLINK__"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21"}</definedName>
    <definedName name="_261__123Graph_FCHART_22" hidden="1">#REF!</definedName>
    <definedName name="_27__123Graph_ACHART_16" hidden="1">#REF!</definedName>
    <definedName name="_27__123Graph_FCHART_16" hidden="1">#REF!</definedName>
    <definedName name="_27__123Graph_LBL_ACHART_3" hidden="1">#REF!</definedName>
    <definedName name="_27__123Graph_XChart_4E" hidden="1">#REF!</definedName>
    <definedName name="_27__FDSAUDITLINK__" localSheetId="7"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20"}</definedName>
    <definedName name="_27__FDSAUDITLINK__"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20"}</definedName>
    <definedName name="_270__123Graph_XCHART_15" hidden="1">#REF!</definedName>
    <definedName name="_279__123Graph_XCHART_16" hidden="1">#REF!</definedName>
    <definedName name="_28______123Graph_ACHART_2" hidden="1">#REF!</definedName>
    <definedName name="_28__123Graph_FCHART_17" hidden="1">#REF!</definedName>
    <definedName name="_28__123Graph_LBL_ACHART_4" hidden="1">#REF!</definedName>
    <definedName name="_28__123Graph_XChart_5E" hidden="1">#REF!</definedName>
    <definedName name="_28__FDSAUDITLINK__" localSheetId="7"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19"}</definedName>
    <definedName name="_28__FDSAUDITLINK__"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19"}</definedName>
    <definedName name="_288__123Graph_XCHART_17" hidden="1">#REF!</definedName>
    <definedName name="_29__123Graph_FCHART_22" hidden="1">#REF!</definedName>
    <definedName name="_29__123Graph_LBL_BCHART_2" hidden="1">#REF!</definedName>
    <definedName name="_29__123Graph_XChart_6E" hidden="1">#REF!</definedName>
    <definedName name="_29__FDSAUDITLINK__" localSheetId="7"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18"}</definedName>
    <definedName name="_29__FDSAUDITLINK__"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18"}</definedName>
    <definedName name="_297__123Graph_XCHART_18" hidden="1">#REF!</definedName>
    <definedName name="_2F" hidden="1">#REF!</definedName>
    <definedName name="_2ƒ0ACwvu.Sommai" hidden="1">#REF!,#REF!,#REF!,#REF!,#REF!,#REF!</definedName>
    <definedName name="_3_" hidden="1">#REF!</definedName>
    <definedName name="_3__123Graph_ACHART_16" hidden="1">#REF!</definedName>
    <definedName name="_3__123Graph_ACHART_3" hidden="1">#REF!</definedName>
    <definedName name="_3__123Graph_AChart_3E" hidden="1">#REF!</definedName>
    <definedName name="_3__123Graph_ACHART_3I" hidden="1">#REF!</definedName>
    <definedName name="_3__123Graph_ACHART_4" hidden="1">#REF!</definedName>
    <definedName name="_3__123Graph_BCHART_1" localSheetId="35" hidden="1">#REF!</definedName>
    <definedName name="_3__123Graph_BCHART_1" localSheetId="28" hidden="1">[3]A!$E$135:$E$141</definedName>
    <definedName name="_3__123Graph_BCHART_1" localSheetId="20" hidden="1">[3]A!$E$135:$E$141</definedName>
    <definedName name="_3__123Graph_BCHART_1" localSheetId="7" hidden="1">#REF!</definedName>
    <definedName name="_3__123Graph_BCHART_1" hidden="1">#REF!</definedName>
    <definedName name="_3__123Graph_CCHART_2" hidden="1">#N/A</definedName>
    <definedName name="_3__123Graph_FCHART_1" hidden="1">#REF!</definedName>
    <definedName name="_3__123Graph_LBL_ACHART_1" hidden="1">#REF!</definedName>
    <definedName name="_3__123Graph_XCDIUS" hidden="1">#REF!</definedName>
    <definedName name="_3__FDSAUDITLINK__" localSheetId="7" hidden="1">{"fdsup://Directions/FactSet Auditing Viewer?action=AUDIT_VALUE&amp;DB=129&amp;ID1=87546510&amp;VALUEID=03451&amp;SDATE=200903&amp;PERIODTYPE=QTR_STD&amp;window=popup_no_bar&amp;width=385&amp;height=120&amp;START_MAXIMIZED=FALSE&amp;creator=factset&amp;display_string=Audit"}</definedName>
    <definedName name="_3__FDSAUDITLINK__" hidden="1">{"fdsup://Directions/FactSet Auditing Viewer?action=AUDIT_VALUE&amp;DB=129&amp;ID1=87546510&amp;VALUEID=03451&amp;SDATE=200903&amp;PERIODTYPE=QTR_STD&amp;window=popup_no_bar&amp;width=385&amp;height=120&amp;START_MAXIMIZED=FALSE&amp;creator=factset&amp;display_string=Audit"}</definedName>
    <definedName name="_3_0__123Grap" hidden="1">#REF!</definedName>
    <definedName name="_30__123Graph_XCHART_15" hidden="1">#REF!</definedName>
    <definedName name="_30__123Graph_XChart_7E" hidden="1">#REF!</definedName>
    <definedName name="_30__FDSAUDITLINK__" localSheetId="7"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17"}</definedName>
    <definedName name="_30__FDSAUDITLINK__"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17"}</definedName>
    <definedName name="_306__123Graph_XCHART_19" hidden="1">#REF!</definedName>
    <definedName name="_31__123Graph_XCHART_16" hidden="1">#REF!</definedName>
    <definedName name="_31__123Graph_XChart_8E" hidden="1">#REF!</definedName>
    <definedName name="_31__FDSAUDITLINK__" localSheetId="7"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16"}</definedName>
    <definedName name="_31__FDSAUDITLINK__"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16"}</definedName>
    <definedName name="_315__123Graph_XCHART_22" hidden="1">#REF!</definedName>
    <definedName name="_32______123Graph_BCHART_1" hidden="1">#REF!</definedName>
    <definedName name="_32__123Graph_XCHART_17" hidden="1">#REF!</definedName>
    <definedName name="_32__FDSAUDITLINK__" localSheetId="7"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15"}</definedName>
    <definedName name="_32__FDSAUDITLINK__"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15"}</definedName>
    <definedName name="_324__123Graph_XSEG_PIE" hidden="1">#REF!</definedName>
    <definedName name="_33__123Graph_LBL_BCHART_3" hidden="1">#REF!</definedName>
    <definedName name="_33__123Graph_XCHART_18" hidden="1">#REF!</definedName>
    <definedName name="_33__FDSAUDITLINK__" localSheetId="7"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14"}</definedName>
    <definedName name="_33__FDSAUDITLINK__"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14"}</definedName>
    <definedName name="_34__123Graph_LBL_CCHART_2" hidden="1">#REF!</definedName>
    <definedName name="_34__123Graph_XCHART_19" hidden="1">#REF!</definedName>
    <definedName name="_34__FDSAUDITLINK__" localSheetId="7"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13"}</definedName>
    <definedName name="_34__FDSAUDITLINK__"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13"}</definedName>
    <definedName name="_35__123Graph_XCHART_22" hidden="1">#REF!</definedName>
    <definedName name="_35__FDSAUDITLINK__" localSheetId="7"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12"}</definedName>
    <definedName name="_35__FDSAUDITLINK__"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12"}</definedName>
    <definedName name="_36______123Graph_XCHART_1" hidden="1">#REF!</definedName>
    <definedName name="_36__123Graph_ACHART_17" hidden="1">#REF!</definedName>
    <definedName name="_36__123Graph_XSEG_PIE" hidden="1">#REF!</definedName>
    <definedName name="_36__FDSAUDITLINK__" localSheetId="7"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11"}</definedName>
    <definedName name="_36__FDSAUDITLINK__"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11"}</definedName>
    <definedName name="_37__FDSAUDITLINK__" localSheetId="7"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10"}</definedName>
    <definedName name="_37__FDSAUDITLINK__"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10"}</definedName>
    <definedName name="_38__123Graph_LBL_CCHART_3" hidden="1">#REF!</definedName>
    <definedName name="_38__FDSAUDITLINK__" localSheetId="7"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9"}</definedName>
    <definedName name="_38__FDSAUDITLINK__"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9"}</definedName>
    <definedName name="_39__FDSAUDITLINK__" localSheetId="7"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8"}</definedName>
    <definedName name="_39__FDSAUDITLINK__"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8"}</definedName>
    <definedName name="_3F" hidden="1">#REF!</definedName>
    <definedName name="_4_______123Graph_ACHART_1" hidden="1">#REF!</definedName>
    <definedName name="_4__123Graph_ACHART_17" hidden="1">#REF!</definedName>
    <definedName name="_4__123Graph_ACHART_4" hidden="1">#REF!</definedName>
    <definedName name="_4__123Graph_AChart_4E" hidden="1">#REF!</definedName>
    <definedName name="_4__123Graph_ACHART_5" hidden="1">#REF!</definedName>
    <definedName name="_4__123Graph_LBL_ACHART_1" hidden="1">#REF!</definedName>
    <definedName name="_4__123Graph_LBL_ACHART_3I" hidden="1">#REF!</definedName>
    <definedName name="_4__123Graph_XCHART_1" localSheetId="35" hidden="1">#REF!</definedName>
    <definedName name="_4__123Graph_XCHART_1" localSheetId="28" hidden="1">'[1]REITs &amp; S&amp;P'!$D$11:$D$31</definedName>
    <definedName name="_4__123Graph_XCHART_1" localSheetId="20" hidden="1">'[1]REITs &amp; S&amp;P'!$D$11:$D$31</definedName>
    <definedName name="_4__123Graph_XCHART_1" localSheetId="7" hidden="1">#REF!</definedName>
    <definedName name="_4__123Graph_XCHART_1" hidden="1">#REF!</definedName>
    <definedName name="_4__123Graph_XCHART_2" hidden="1">#N/A</definedName>
    <definedName name="_4__123Graph_XCHART_4A" hidden="1">#REF!</definedName>
    <definedName name="_4__FDSAUDITLINK__" localSheetId="7" hidden="1">{"fdsup://Directions/FactSet Auditing Viewer?action=AUDIT_VALUE&amp;DB=129&amp;ID1=15060220&amp;VALUEID=03451&amp;SDATE=200903&amp;PERIODTYPE=QTR_STD&amp;window=popup_no_bar&amp;width=385&amp;height=120&amp;START_MAXIMIZED=FALSE&amp;creator=factset&amp;display_string=Audit"}</definedName>
    <definedName name="_4__FDSAUDITLINK__" hidden="1">{"fdsup://Directions/FactSet Auditing Viewer?action=AUDIT_VALUE&amp;DB=129&amp;ID1=15060220&amp;VALUEID=03451&amp;SDATE=200903&amp;PERIODTYPE=QTR_STD&amp;window=popup_no_bar&amp;width=385&amp;height=120&amp;START_MAXIMIZED=FALSE&amp;creator=factset&amp;display_string=Audit"}</definedName>
    <definedName name="_40______123Graph_XCHART_2" hidden="1">#REF!</definedName>
    <definedName name="_40__FDSAUDITLINK__" localSheetId="7"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7"}</definedName>
    <definedName name="_40__FDSAUDITLINK__"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7"}</definedName>
    <definedName name="_41__FDSAUDITLINK__" localSheetId="7"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6"}</definedName>
    <definedName name="_41__FDSAUDITLINK__"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6"}</definedName>
    <definedName name="_42__FDSAUDITLINK__" localSheetId="7"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5"}</definedName>
    <definedName name="_42__FDSAUDITLINK__"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5"}</definedName>
    <definedName name="_42_0_S" hidden="1">#REF!</definedName>
    <definedName name="_421109">#REF!</definedName>
    <definedName name="_421145">#REF!</definedName>
    <definedName name="_421215">#REF!</definedName>
    <definedName name="_421325">#REF!</definedName>
    <definedName name="_421340">#REF!</definedName>
    <definedName name="_43__FDSAUDITLINK__" localSheetId="7" hidden="1">{"fdsup://Directions/FactSet Auditing Viewer?action=AUDIT_VALUE&amp;DB=129&amp;ID1=78440X10&amp;VALUEID=03451&amp;SDATE=201104&amp;PERIODTYPE=QTR_STD&amp;SCFT=3&amp;window=popup_no_bar&amp;width=385&amp;height=120&amp;START_MAXIMIZED=FALSE&amp;creator=factset&amp;display_string=Audit"}</definedName>
    <definedName name="_43__FDSAUDITLINK__" hidden="1">{"fdsup://Directions/FactSet Auditing Viewer?action=AUDIT_VALUE&amp;DB=129&amp;ID1=78440X10&amp;VALUEID=03451&amp;SDATE=201104&amp;PERIODTYPE=QTR_STD&amp;SCFT=3&amp;window=popup_no_bar&amp;width=385&amp;height=120&amp;START_MAXIMIZED=FALSE&amp;creator=factset&amp;display_string=Audit"}</definedName>
    <definedName name="_44_____123Graph_ACHART_1" hidden="1">#REF!</definedName>
    <definedName name="_44__FDSAUDITLINK__" localSheetId="7"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3"}</definedName>
    <definedName name="_44__FDSAUDITLINK__"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3"}</definedName>
    <definedName name="_45__123Graph_ACHART_18" hidden="1">#REF!</definedName>
    <definedName name="_45__FDSAUDITLINK__" localSheetId="7"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2"}</definedName>
    <definedName name="_45__FDSAUDITLINK__"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2"}</definedName>
    <definedName name="_46__FDSAUDITLINK__" localSheetId="7"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1"}</definedName>
    <definedName name="_46__FDSAUDITLINK__"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1"}</definedName>
    <definedName name="_47__FDSAUDITLINK__" localSheetId="7"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0"}</definedName>
    <definedName name="_47__FDSAUDITLINK__"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0"}</definedName>
    <definedName name="_48_____123Graph_ACHART_2" hidden="1">#REF!</definedName>
    <definedName name="_48__FDSAUDITLINK__" localSheetId="7"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27"}</definedName>
    <definedName name="_48__FDSAUDITLINK__"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27"}</definedName>
    <definedName name="_49__FDSAUDITLINK__" localSheetId="7"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26"}</definedName>
    <definedName name="_49__FDSAUDITLINK__"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26"}</definedName>
    <definedName name="_4ƒ0Swvu.Sommai" hidden="1">#REF!,#REF!,#REF!,#REF!,#REF!,#REF!</definedName>
    <definedName name="_4S" hidden="1">#REF!</definedName>
    <definedName name="_5__123Graph_ACHART_18" hidden="1">#REF!</definedName>
    <definedName name="_5__123Graph_AChart_5E" hidden="1">#REF!</definedName>
    <definedName name="_5__123Graph_ACHART_6" hidden="1">#REF!</definedName>
    <definedName name="_5__123Graph_LBL_ACHART_3I" hidden="1">#REF!</definedName>
    <definedName name="_5__123Graph_LBL_DCHART_1" hidden="1">#REF!</definedName>
    <definedName name="_5__123Graph_XCHART_1" hidden="1">#REF!</definedName>
    <definedName name="_5__123Graph_XCHART_2" localSheetId="35" hidden="1">#REF!</definedName>
    <definedName name="_5__123Graph_XCHART_2" localSheetId="28" hidden="1">[2]A!$D$171:$D$177</definedName>
    <definedName name="_5__123Graph_XCHART_2" localSheetId="20" hidden="1">[2]A!$D$171:$D$177</definedName>
    <definedName name="_5__123Graph_XCHART_2" localSheetId="7" hidden="1">#REF!</definedName>
    <definedName name="_5__123Graph_XCHART_2" hidden="1">#REF!</definedName>
    <definedName name="_5__FDSAUDITLINK__" localSheetId="7" hidden="1">{"fdsup://Directions/FactSet Auditing Viewer?action=AUDIT_VALUE&amp;DB=129&amp;ID1=94874110&amp;VALUEID=03451&amp;SDATE=200903&amp;PERIODTYPE=QTR_STD&amp;window=popup_no_bar&amp;width=385&amp;height=120&amp;START_MAXIMIZED=FALSE&amp;creator=factset&amp;display_string=Audit"}</definedName>
    <definedName name="_5__FDSAUDITLINK__" hidden="1">{"fdsup://Directions/FactSet Auditing Viewer?action=AUDIT_VALUE&amp;DB=129&amp;ID1=94874110&amp;VALUEID=03451&amp;SDATE=200903&amp;PERIODTYPE=QTR_STD&amp;window=popup_no_bar&amp;width=385&amp;height=120&amp;START_MAXIMIZED=FALSE&amp;creator=factset&amp;display_string=Audit"}</definedName>
    <definedName name="_50__FDSAUDITLINK__" localSheetId="7"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25"}</definedName>
    <definedName name="_50__FDSAUDITLINK__"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25"}</definedName>
    <definedName name="_51__FDSAUDITLINK__" localSheetId="7"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24"}</definedName>
    <definedName name="_51__FDSAUDITLINK__"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24"}</definedName>
    <definedName name="_512160">#REF!</definedName>
    <definedName name="_512180">#REF!</definedName>
    <definedName name="_512365">#REF!</definedName>
    <definedName name="_512400">#REF!</definedName>
    <definedName name="_513250">#REF!</definedName>
    <definedName name="_52_____123Graph_BCHART_1" hidden="1">#REF!</definedName>
    <definedName name="_52__FDSAUDITLINK__" localSheetId="7"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23"}</definedName>
    <definedName name="_52__FDSAUDITLINK__"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23"}</definedName>
    <definedName name="_53__FDSAUDITLINK__" localSheetId="7"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22"}</definedName>
    <definedName name="_53__FDSAUDITLINK__"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22"}</definedName>
    <definedName name="_54__123Graph_ACHART_19" hidden="1">#REF!</definedName>
    <definedName name="_54__FDSAUDITLINK__" localSheetId="7"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21"}</definedName>
    <definedName name="_54__FDSAUDITLINK__"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21"}</definedName>
    <definedName name="_55__FDSAUDITLINK__" localSheetId="7"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20"}</definedName>
    <definedName name="_55__FDSAUDITLINK__"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20"}</definedName>
    <definedName name="_56_____123Graph_XCHART_1" hidden="1">#REF!</definedName>
    <definedName name="_56__FDSAUDITLINK__" localSheetId="7"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19"}</definedName>
    <definedName name="_56__FDSAUDITLINK__"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19"}</definedName>
    <definedName name="_57__FDSAUDITLINK__" localSheetId="7"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18"}</definedName>
    <definedName name="_57__FDSAUDITLINK__"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18"}</definedName>
    <definedName name="_58__FDSAUDITLINK__" localSheetId="7"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17"}</definedName>
    <definedName name="_58__FDSAUDITLINK__"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17"}</definedName>
    <definedName name="_59__FDSAUDITLINK__" localSheetId="7"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16"}</definedName>
    <definedName name="_59__FDSAUDITLINK__"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16"}</definedName>
    <definedName name="_6__123Graph_ACHART_19" hidden="1">#REF!</definedName>
    <definedName name="_6__123Graph_ACHART_3" hidden="1">#REF!</definedName>
    <definedName name="_6__123Graph_AChart_6E" hidden="1">#REF!</definedName>
    <definedName name="_6__123Graph_BCHART_1" hidden="1">#REF!</definedName>
    <definedName name="_6__123Graph_LBL_FCHART_1" hidden="1">#REF!</definedName>
    <definedName name="_6__123Graph_XCHART_1" hidden="1">#REF!</definedName>
    <definedName name="_6__FDSAUDITLINK__" localSheetId="7" hidden="1">{"fdsup://Directions/FactSet Auditing Viewer?action=AUDIT_VALUE&amp;DB=129&amp;ID1=87546510&amp;VALUEID=03451&amp;SDATE=200903&amp;PERIODTYPE=QTR_STD&amp;window=popup_no_bar&amp;width=385&amp;height=120&amp;START_MAXIMIZED=FALSE&amp;creator=factset&amp;display_string=Audit"}</definedName>
    <definedName name="_6__FDSAUDITLINK__" hidden="1">{"fdsup://Directions/FactSet Auditing Viewer?action=AUDIT_VALUE&amp;DB=129&amp;ID1=87546510&amp;VALUEID=03451&amp;SDATE=200903&amp;PERIODTYPE=QTR_STD&amp;window=popup_no_bar&amp;width=385&amp;height=120&amp;START_MAXIMIZED=FALSE&amp;creator=factset&amp;display_string=Audit"}</definedName>
    <definedName name="_60_____123Graph_XCHART_2" hidden="1">#REF!</definedName>
    <definedName name="_60__FDSAUDITLINK__" localSheetId="7"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15"}</definedName>
    <definedName name="_60__FDSAUDITLINK__"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15"}</definedName>
    <definedName name="_61__FDSAUDITLINK__" localSheetId="7"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14"}</definedName>
    <definedName name="_61__FDSAUDITLINK__"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14"}</definedName>
    <definedName name="_611__FDSAUDITLINK__" localSheetId="7" hidden="1">{"fdsup://directions/FAT%20Viewer?WINDOW=first_popup&amp;DYN_ARGS=TRUE&amp;START_MAXIMIZED=FALSE&amp;TITLEBAR=FactSet Market Aggregates&amp;ACTION=UPDATE&amp;CREATOR=FACTSET&amp;HEIGHT=450&amp;WIDTH=500&amp;DOC_NAME=FAT:FMA_AUDIT_TM.FAT&amp;VAR:CURRENCY=USD&amp;VAR:AUDIT_ID=INDEX%3APERSONAL%3AOFF","ICE_QUARTERLY.OFDB&amp;VAR:CALC_MODE=AGGREGATE&amp;VAR:CHGPERIOD=NA&amp;DISPLAY_STRING=audit&amp;VAR:FQLFORMULA=FMA_PE&amp;VAR:MEASURE=PE&amp;VAR:NULL=.HTML&amp;VAR:TM=NTMA&amp;VAR:PCT=0.038251&amp;VAR:V=7.453514&amp;VAR:V0=7.449905&amp;VAR:V1=7.545404&amp;VAR:Y0=2000&amp;VAR:Y1=2001&amp;VAR:P=209.581299&amp;VAR:D","ATE=20000114&amp;VAR:THRESH=-|-|-|-|-|-|-"}</definedName>
    <definedName name="_611__FDSAUDITLINK__" hidden="1">{"fdsup://directions/FAT%20Viewer?WINDOW=first_popup&amp;DYN_ARGS=TRUE&amp;START_MAXIMIZED=FALSE&amp;TITLEBAR=FactSet Market Aggregates&amp;ACTION=UPDATE&amp;CREATOR=FACTSET&amp;HEIGHT=450&amp;WIDTH=500&amp;DOC_NAME=FAT:FMA_AUDIT_TM.FAT&amp;VAR:CURRENCY=USD&amp;VAR:AUDIT_ID=INDEX%3APERSONAL%3AOFF","ICE_QUARTERLY.OFDB&amp;VAR:CALC_MODE=AGGREGATE&amp;VAR:CHGPERIOD=NA&amp;DISPLAY_STRING=audit&amp;VAR:FQLFORMULA=FMA_PE&amp;VAR:MEASURE=PE&amp;VAR:NULL=.HTML&amp;VAR:TM=NTMA&amp;VAR:PCT=0.038251&amp;VAR:V=7.453514&amp;VAR:V0=7.449905&amp;VAR:V1=7.545404&amp;VAR:Y0=2000&amp;VAR:Y1=2001&amp;VAR:P=209.581299&amp;VAR:D","ATE=20000114&amp;VAR:THRESH=-|-|-|-|-|-|-"}</definedName>
    <definedName name="_612__FDSAUDITLINK__" localSheetId="7" hidden="1">{"fdsup://directions/FAT%20Viewer?WINDOW=first_popup&amp;DYN_ARGS=TRUE&amp;START_MAXIMIZED=FALSE&amp;TITLEBAR=FactSet Market Aggregates&amp;ACTION=UPDATE&amp;CREATOR=FACTSET&amp;HEIGHT=450&amp;WIDTH=500&amp;DOC_NAME=FAT:FMA_AUDIT_TM.FAT&amp;VAR:CURRENCY=USD&amp;VAR:AUDIT_ID=INDEX%3APERSONAL%3AOFF","ICE_QUARTERLY.OFDB&amp;VAR:CALC_MODE=AGGREGATE&amp;VAR:CHGPERIOD=NA&amp;DISPLAY_STRING=audit&amp;VAR:FQLFORMULA=FMA_PE&amp;VAR:MEASURE=PE&amp;VAR:NULL=.HTML&amp;VAR:TM=NTMA&amp;VAR:PCT=0.057377&amp;VAR:V=7.491073&amp;VAR:V0=7.492499&amp;VAR:V1=7.467718&amp;VAR:Y0=2000&amp;VAR:Y1=2001&amp;VAR:P=211.699524&amp;VAR:D","ATE=20000121&amp;VAR:THRESH=-|-|-|-|-|-|-"}</definedName>
    <definedName name="_612__FDSAUDITLINK__" hidden="1">{"fdsup://directions/FAT%20Viewer?WINDOW=first_popup&amp;DYN_ARGS=TRUE&amp;START_MAXIMIZED=FALSE&amp;TITLEBAR=FactSet Market Aggregates&amp;ACTION=UPDATE&amp;CREATOR=FACTSET&amp;HEIGHT=450&amp;WIDTH=500&amp;DOC_NAME=FAT:FMA_AUDIT_TM.FAT&amp;VAR:CURRENCY=USD&amp;VAR:AUDIT_ID=INDEX%3APERSONAL%3AOFF","ICE_QUARTERLY.OFDB&amp;VAR:CALC_MODE=AGGREGATE&amp;VAR:CHGPERIOD=NA&amp;DISPLAY_STRING=audit&amp;VAR:FQLFORMULA=FMA_PE&amp;VAR:MEASURE=PE&amp;VAR:NULL=.HTML&amp;VAR:TM=NTMA&amp;VAR:PCT=0.057377&amp;VAR:V=7.491073&amp;VAR:V0=7.492499&amp;VAR:V1=7.467718&amp;VAR:Y0=2000&amp;VAR:Y1=2001&amp;VAR:P=211.699524&amp;VAR:D","ATE=20000121&amp;VAR:THRESH=-|-|-|-|-|-|-"}</definedName>
    <definedName name="_614__FDSAUDITLINK__" localSheetId="7" hidden="1">{"fdsup://directions/FAT%20Viewer?WINDOW=first_popup&amp;DYN_ARGS=TRUE&amp;START_MAXIMIZED=FALSE&amp;TITLEBAR=FactSet Market Aggregates&amp;ACTION=UPDATE&amp;CREATOR=FACTSET&amp;HEIGHT=450&amp;WIDTH=500&amp;DOC_NAME=FAT:FMA_AUDIT_TM.FAT&amp;VAR:CURRENCY=USD&amp;VAR:AUDIT_ID=INDEX%3APERSONAL%3AOFF","ICE_QUARTERLY.OFDB&amp;VAR:CALC_MODE=AGGREGATE&amp;VAR:CHGPERIOD=NA&amp;DISPLAY_STRING=audit&amp;VAR:FQLFORMULA=FMA_PE&amp;VAR:MEASURE=PE&amp;VAR:NULL=.HTML&amp;VAR:TM=NTMA&amp;VAR:PCT=0.095628&amp;VAR:V=7.225490&amp;VAR:V0=7.234442&amp;VAR:V1=7.141916&amp;VAR:Y0=2000&amp;VAR:Y1=2001&amp;VAR:P=204.702499&amp;VAR:D","ATE=20000204&amp;VAR:THRESH=-|-|-|-|-|-|-"}</definedName>
    <definedName name="_614__FDSAUDITLINK__" hidden="1">{"fdsup://directions/FAT%20Viewer?WINDOW=first_popup&amp;DYN_ARGS=TRUE&amp;START_MAXIMIZED=FALSE&amp;TITLEBAR=FactSet Market Aggregates&amp;ACTION=UPDATE&amp;CREATOR=FACTSET&amp;HEIGHT=450&amp;WIDTH=500&amp;DOC_NAME=FAT:FMA_AUDIT_TM.FAT&amp;VAR:CURRENCY=USD&amp;VAR:AUDIT_ID=INDEX%3APERSONAL%3AOFF","ICE_QUARTERLY.OFDB&amp;VAR:CALC_MODE=AGGREGATE&amp;VAR:CHGPERIOD=NA&amp;DISPLAY_STRING=audit&amp;VAR:FQLFORMULA=FMA_PE&amp;VAR:MEASURE=PE&amp;VAR:NULL=.HTML&amp;VAR:TM=NTMA&amp;VAR:PCT=0.095628&amp;VAR:V=7.225490&amp;VAR:V0=7.234442&amp;VAR:V1=7.141916&amp;VAR:Y0=2000&amp;VAR:Y1=2001&amp;VAR:P=204.702499&amp;VAR:D","ATE=20000204&amp;VAR:THRESH=-|-|-|-|-|-|-"}</definedName>
    <definedName name="_615__FDSAUDITLINK__" localSheetId="7" hidden="1">{"fdsup://directions/FAT%20Viewer?WINDOW=first_popup&amp;DYN_ARGS=TRUE&amp;START_MAXIMIZED=FALSE&amp;TITLEBAR=FactSet Market Aggregates&amp;ACTION=UPDATE&amp;CREATOR=FACTSET&amp;HEIGHT=450&amp;WIDTH=500&amp;DOC_NAME=FAT:FMA_AUDIT_TM.FAT&amp;VAR:CURRENCY=USD&amp;VAR:AUDIT_ID=INDEX%3APERSONAL%3AOFF","ICE_QUARTERLY.OFDB&amp;VAR:CALC_MODE=AGGREGATE&amp;VAR:CHGPERIOD=NA&amp;DISPLAY_STRING=audit&amp;VAR:FQLFORMULA=FMA_PE&amp;VAR:MEASURE=PE&amp;VAR:NULL=.HTML&amp;VAR:TM=NTMA&amp;VAR:PCT=0.114754&amp;VAR:V=7.077744&amp;VAR:V0=7.081999&amp;VAR:V1=7.045097&amp;VAR:Y0=2000&amp;VAR:Y1=2001&amp;VAR:P=201.057571&amp;VAR:D","ATE=20000211&amp;VAR:THRESH=-|-|-|-|-|-|-"}</definedName>
    <definedName name="_615__FDSAUDITLINK__" hidden="1">{"fdsup://directions/FAT%20Viewer?WINDOW=first_popup&amp;DYN_ARGS=TRUE&amp;START_MAXIMIZED=FALSE&amp;TITLEBAR=FactSet Market Aggregates&amp;ACTION=UPDATE&amp;CREATOR=FACTSET&amp;HEIGHT=450&amp;WIDTH=500&amp;DOC_NAME=FAT:FMA_AUDIT_TM.FAT&amp;VAR:CURRENCY=USD&amp;VAR:AUDIT_ID=INDEX%3APERSONAL%3AOFF","ICE_QUARTERLY.OFDB&amp;VAR:CALC_MODE=AGGREGATE&amp;VAR:CHGPERIOD=NA&amp;DISPLAY_STRING=audit&amp;VAR:FQLFORMULA=FMA_PE&amp;VAR:MEASURE=PE&amp;VAR:NULL=.HTML&amp;VAR:TM=NTMA&amp;VAR:PCT=0.114754&amp;VAR:V=7.077744&amp;VAR:V0=7.081999&amp;VAR:V1=7.045097&amp;VAR:Y0=2000&amp;VAR:Y1=2001&amp;VAR:P=201.057571&amp;VAR:D","ATE=20000211&amp;VAR:THRESH=-|-|-|-|-|-|-"}</definedName>
    <definedName name="_616__FDSAUDITLINK__" localSheetId="7" hidden="1">{"fdsup://directions/FAT%20Viewer?WINDOW=first_popup&amp;DYN_ARGS=TRUE&amp;START_MAXIMIZED=FALSE&amp;TITLEBAR=FactSet Market Aggregates&amp;ACTION=UPDATE&amp;CREATOR=FACTSET&amp;HEIGHT=450&amp;WIDTH=500&amp;DOC_NAME=FAT:FMA_AUDIT_TM.FAT&amp;VAR:CURRENCY=USD&amp;VAR:AUDIT_ID=INDEX%3APERSONAL%3AOFF","ICE_QUARTERLY.OFDB&amp;VAR:CALC_MODE=AGGREGATE&amp;VAR:CHGPERIOD=NA&amp;DISPLAY_STRING=audit&amp;VAR:FQLFORMULA=FMA_PE&amp;VAR:MEASURE=PE&amp;VAR:NULL=.HTML&amp;VAR:TM=NTMA&amp;VAR:PCT=0.133880&amp;VAR:V=7.015112&amp;VAR:V0=7.021547&amp;VAR:V1=6.973763&amp;VAR:Y0=2000&amp;VAR:Y1=2001&amp;VAR:P=200.534500&amp;VAR:D","ATE=20000218&amp;VAR:THRESH=-|-|-|-|-|-|-"}</definedName>
    <definedName name="_616__FDSAUDITLINK__" hidden="1">{"fdsup://directions/FAT%20Viewer?WINDOW=first_popup&amp;DYN_ARGS=TRUE&amp;START_MAXIMIZED=FALSE&amp;TITLEBAR=FactSet Market Aggregates&amp;ACTION=UPDATE&amp;CREATOR=FACTSET&amp;HEIGHT=450&amp;WIDTH=500&amp;DOC_NAME=FAT:FMA_AUDIT_TM.FAT&amp;VAR:CURRENCY=USD&amp;VAR:AUDIT_ID=INDEX%3APERSONAL%3AOFF","ICE_QUARTERLY.OFDB&amp;VAR:CALC_MODE=AGGREGATE&amp;VAR:CHGPERIOD=NA&amp;DISPLAY_STRING=audit&amp;VAR:FQLFORMULA=FMA_PE&amp;VAR:MEASURE=PE&amp;VAR:NULL=.HTML&amp;VAR:TM=NTMA&amp;VAR:PCT=0.133880&amp;VAR:V=7.015112&amp;VAR:V0=7.021547&amp;VAR:V1=6.973763&amp;VAR:Y0=2000&amp;VAR:Y1=2001&amp;VAR:P=200.534500&amp;VAR:D","ATE=20000218&amp;VAR:THRESH=-|-|-|-|-|-|-"}</definedName>
    <definedName name="_62__FDSAUDITLINK__" localSheetId="7"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13"}</definedName>
    <definedName name="_62__FDSAUDITLINK__"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13"}</definedName>
    <definedName name="_63__123Graph_ACHART_21" hidden="1">#REF!</definedName>
    <definedName name="_63__FDSAUDITLINK__" localSheetId="7"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12"}</definedName>
    <definedName name="_63__FDSAUDITLINK__"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12"}</definedName>
    <definedName name="_64____123Graph_ACHART_1" hidden="1">#REF!</definedName>
    <definedName name="_64__FDSAUDITLINK__" localSheetId="7"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11"}</definedName>
    <definedName name="_64__FDSAUDITLINK__"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11"}</definedName>
    <definedName name="_65__FDSAUDITLINK__" localSheetId="7"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10"}</definedName>
    <definedName name="_65__FDSAUDITLINK__"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10"}</definedName>
    <definedName name="_66__FDSAUDITLINK__" localSheetId="7"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9"}</definedName>
    <definedName name="_66__FDSAUDITLINK__"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9"}</definedName>
    <definedName name="_67__FDSAUDITLINK__" localSheetId="7"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8"}</definedName>
    <definedName name="_67__FDSAUDITLINK__"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8"}</definedName>
    <definedName name="_68____123Graph_ACHART_2" hidden="1">#REF!</definedName>
    <definedName name="_68__FDSAUDITLINK__" localSheetId="7"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7"}</definedName>
    <definedName name="_68__FDSAUDITLINK__"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7"}</definedName>
    <definedName name="_69__FDSAUDITLINK__" localSheetId="7"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6"}</definedName>
    <definedName name="_69__FDSAUDITLINK__"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6"}</definedName>
    <definedName name="_6F" hidden="1">#REF!</definedName>
    <definedName name="_6p0Rwvu.Sommai" hidden="1">#REF!,#REF!,#REF!,#REF!,#REF!</definedName>
    <definedName name="_6S" hidden="1">#REF!</definedName>
    <definedName name="_7__123Graph_ACHART_21" hidden="1">#REF!</definedName>
    <definedName name="_7__123Graph_ACHART_4" hidden="1">#REF!</definedName>
    <definedName name="_7__123Graph_AChart_7E" hidden="1">#REF!</definedName>
    <definedName name="_7__123Graph_BCHART_2" hidden="1">#REF!</definedName>
    <definedName name="_7__FDSAUDITLINK__" localSheetId="7" hidden="1">{"fdsup://Directions/FactSet Auditing Viewer?action=AUDIT_VALUE&amp;DB=129&amp;ID1=80439510&amp;VALUEID=03451&amp;SDATE=200903&amp;PERIODTYPE=QTR_STD&amp;window=popup_no_bar&amp;width=385&amp;height=120&amp;START_MAXIMIZED=FALSE&amp;creator=factset&amp;display_string=Audit"}</definedName>
    <definedName name="_7__FDSAUDITLINK__" hidden="1">{"fdsup://Directions/FactSet Auditing Viewer?action=AUDIT_VALUE&amp;DB=129&amp;ID1=80439510&amp;VALUEID=03451&amp;SDATE=200903&amp;PERIODTYPE=QTR_STD&amp;window=popup_no_bar&amp;width=385&amp;height=120&amp;START_MAXIMIZED=FALSE&amp;creator=factset&amp;display_string=Audit"}</definedName>
    <definedName name="_70__FDSAUDITLINK__" localSheetId="7"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5"}</definedName>
    <definedName name="_70__FDSAUDITLINK__"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5"}</definedName>
    <definedName name="_71__FDSAUDITLINK__" localSheetId="7"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4"}</definedName>
    <definedName name="_71__FDSAUDITLINK__"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4"}</definedName>
    <definedName name="_72____123Graph_BCHART_1" hidden="1">#REF!</definedName>
    <definedName name="_72__123Graph_ASEG_PIE" hidden="1">#REF!</definedName>
    <definedName name="_72__FDSAUDITLINK__" localSheetId="7"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3"}</definedName>
    <definedName name="_72__FDSAUDITLINK__"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3"}</definedName>
    <definedName name="_73__FDSAUDITLINK__" localSheetId="7"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2"}</definedName>
    <definedName name="_73__FDSAUDITLINK__"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2"}</definedName>
    <definedName name="_74__FDSAUDITLINK__" localSheetId="7"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1"}</definedName>
    <definedName name="_74__FDSAUDITLINK__"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1"}</definedName>
    <definedName name="_75__FDSAUDITLINK__" localSheetId="7"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0"}</definedName>
    <definedName name="_75__FDSAUDITLINK__" hidden="1">{"fdsup://directions/FAT Viewer?action=UPDATE&amp;creator=factset&amp;DYN_ARGS=TRUE&amp;DOC_NAME=FAT:FQL_AUDITING_CLIENT_TEMPLATE.FAT&amp;display_string=Audit&amp;VAR:KEY=EXWVINMDGV&amp;VAR:QUERY=SlVMSUFOKElDX0VTVElNQVRFKEVQUygpLE1FQU4sQU5OX1JPTEwsKzEsMCwxMi8zMS8yMDA0LEZRKS5kYXRlc","yk=&amp;WINDOW=FIRST_POPUP&amp;HEIGHT=450&amp;WIDTH=450&amp;START_MAXIMIZED=FALSE&amp;VAR:CALENDAR=US&amp;VAR:SYMBOL=DLR&amp;VAR:INDEX=0"}</definedName>
    <definedName name="_76____123Graph_XCHART_1" hidden="1">#REF!</definedName>
    <definedName name="_76__FDSAUDITLINK__" localSheetId="7"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27"}</definedName>
    <definedName name="_76__FDSAUDITLINK__"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27"}</definedName>
    <definedName name="_77__FDSAUDITLINK__" localSheetId="7"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26"}</definedName>
    <definedName name="_77__FDSAUDITLINK__"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26"}</definedName>
    <definedName name="_78__FDSAUDITLINK__" localSheetId="7"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25"}</definedName>
    <definedName name="_78__FDSAUDITLINK__"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25"}</definedName>
    <definedName name="_79__FDSAUDITLINK__" localSheetId="7"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24"}</definedName>
    <definedName name="_79__FDSAUDITLINK__"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24"}</definedName>
    <definedName name="_8_______123Graph_ACHART_2" hidden="1">#REF!</definedName>
    <definedName name="_8__123Graph_AChart_8E" hidden="1">#REF!</definedName>
    <definedName name="_8__123Graph_ASEG_PIE" hidden="1">#REF!</definedName>
    <definedName name="_8__123Graph_BCHART_1" hidden="1">#REF!</definedName>
    <definedName name="_8__123Graph_BCHART_6" hidden="1">#REF!</definedName>
    <definedName name="_8__FDSAUDITLINK__" localSheetId="7" hidden="1">{"fdsup://Directions/FactSet Auditing Viewer?action=AUDIT_VALUE&amp;DB=129&amp;ID1=15060220&amp;VALUEID=03451&amp;SDATE=200903&amp;PERIODTYPE=QTR_STD&amp;window=popup_no_bar&amp;width=385&amp;height=120&amp;START_MAXIMIZED=FALSE&amp;creator=factset&amp;display_string=Audit"}</definedName>
    <definedName name="_8__FDSAUDITLINK__" hidden="1">{"fdsup://Directions/FactSet Auditing Viewer?action=AUDIT_VALUE&amp;DB=129&amp;ID1=15060220&amp;VALUEID=03451&amp;SDATE=200903&amp;PERIODTYPE=QTR_STD&amp;window=popup_no_bar&amp;width=385&amp;height=120&amp;START_MAXIMIZED=FALSE&amp;creator=factset&amp;display_string=Audit"}</definedName>
    <definedName name="_8_0_S" hidden="1">#REF!</definedName>
    <definedName name="_80____123Graph_XCHART_2" hidden="1">#REF!</definedName>
    <definedName name="_80__FDSAUDITLINK__" localSheetId="7"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23"}</definedName>
    <definedName name="_80__FDSAUDITLINK__"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23"}</definedName>
    <definedName name="_81__123Graph_BCHART_15" hidden="1">#REF!</definedName>
    <definedName name="_81__FDSAUDITLINK__" localSheetId="7"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22"}</definedName>
    <definedName name="_81__FDSAUDITLINK__"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22"}</definedName>
    <definedName name="_82__FDSAUDITLINK__" localSheetId="7"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21"}</definedName>
    <definedName name="_82__FDSAUDITLINK__"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21"}</definedName>
    <definedName name="_83__FDSAUDITLINK__" localSheetId="7"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20"}</definedName>
    <definedName name="_83__FDSAUDITLINK__"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20"}</definedName>
    <definedName name="_84__123Graph_ACHART_1" hidden="1">#REF!</definedName>
    <definedName name="_84__FDSAUDITLINK__" localSheetId="7"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19"}</definedName>
    <definedName name="_84__FDSAUDITLINK__"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19"}</definedName>
    <definedName name="_85__FDSAUDITLINK__" localSheetId="7"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18"}</definedName>
    <definedName name="_85__FDSAUDITLINK__"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18"}</definedName>
    <definedName name="_86__FDSAUDITLINK__" localSheetId="7"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17"}</definedName>
    <definedName name="_86__FDSAUDITLINK__"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17"}</definedName>
    <definedName name="_87__FDSAUDITLINK__" localSheetId="7"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16"}</definedName>
    <definedName name="_87__FDSAUDITLINK__"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16"}</definedName>
    <definedName name="_88__123Graph_ACHART_2" hidden="1">#REF!</definedName>
    <definedName name="_88__FDSAUDITLINK__" localSheetId="7"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15"}</definedName>
    <definedName name="_88__FDSAUDITLINK__"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15"}</definedName>
    <definedName name="_89__FDSAUDITLINK__" localSheetId="7"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14"}</definedName>
    <definedName name="_89__FDSAUDITLINK__"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14"}</definedName>
    <definedName name="_8S" hidden="1">#REF!</definedName>
    <definedName name="_9__123Graph_ACHART_12" hidden="1">#REF!</definedName>
    <definedName name="_9__123Graph_BCHART_15" hidden="1">#REF!</definedName>
    <definedName name="_9__123Graph_BChart_1E" hidden="1">#REF!</definedName>
    <definedName name="_9__123Graph_BCHART_2" hidden="1">#REF!</definedName>
    <definedName name="_9__123Graph_CCHART_1" hidden="1">#REF!</definedName>
    <definedName name="_9__FDSAUDITLINK__" localSheetId="7" hidden="1">{"fdsup://Directions/FactSet Auditing Viewer?action=AUDIT_VALUE&amp;DB=129&amp;ID1=94874110&amp;VALUEID=03451&amp;SDATE=200903&amp;PERIODTYPE=QTR_STD&amp;window=popup_no_bar&amp;width=385&amp;height=120&amp;START_MAXIMIZED=FALSE&amp;creator=factset&amp;display_string=Audit"}</definedName>
    <definedName name="_9__FDSAUDITLINK__" hidden="1">{"fdsup://Directions/FactSet Auditing Viewer?action=AUDIT_VALUE&amp;DB=129&amp;ID1=94874110&amp;VALUEID=03451&amp;SDATE=200903&amp;PERIODTYPE=QTR_STD&amp;window=popup_no_bar&amp;width=385&amp;height=120&amp;START_MAXIMIZED=FALSE&amp;creator=factset&amp;display_string=Audit"}</definedName>
    <definedName name="_9_0_S" hidden="1">#REF!</definedName>
    <definedName name="_90__123Graph_BCHART_16" hidden="1">#REF!</definedName>
    <definedName name="_90__FDSAUDITLINK__" localSheetId="7"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13"}</definedName>
    <definedName name="_90__FDSAUDITLINK__"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13"}</definedName>
    <definedName name="_91__FDSAUDITLINK__" localSheetId="7"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12"}</definedName>
    <definedName name="_91__FDSAUDITLINK__"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12"}</definedName>
    <definedName name="_92__123Graph_BCHART_1" hidden="1">#REF!</definedName>
    <definedName name="_92__FDSAUDITLINK__" localSheetId="7"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11"}</definedName>
    <definedName name="_92__FDSAUDITLINK__"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11"}</definedName>
    <definedName name="_93__FDSAUDITLINK__" localSheetId="7"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10"}</definedName>
    <definedName name="_93__FDSAUDITLINK__"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10"}</definedName>
    <definedName name="_94__FDSAUDITLINK__" localSheetId="7"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9"}</definedName>
    <definedName name="_94__FDSAUDITLINK__"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9"}</definedName>
    <definedName name="_95__FDSAUDITLINK__" localSheetId="7"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8"}</definedName>
    <definedName name="_95__FDSAUDITLINK__"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8"}</definedName>
    <definedName name="_96__123Graph_XCHART_1" hidden="1">#REF!</definedName>
    <definedName name="_96__FDSAUDITLINK__" localSheetId="7"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7"}</definedName>
    <definedName name="_96__FDSAUDITLINK__"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7"}</definedName>
    <definedName name="_97__FDSAUDITLINK__" localSheetId="7"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6"}</definedName>
    <definedName name="_97__FDSAUDITLINK__"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6"}</definedName>
    <definedName name="_98__FDSAUDITLINK__" localSheetId="7"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5"}</definedName>
    <definedName name="_98__FDSAUDITLINK__"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5"}</definedName>
    <definedName name="_99__123Graph_BCHART_17" hidden="1">#REF!</definedName>
    <definedName name="_99__FDSAUDITLINK__" localSheetId="7"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4"}</definedName>
    <definedName name="_99__FDSAUDITLINK__" hidden="1">{"fdsup://directions/FAT Viewer?action=UPDATE&amp;creator=factset&amp;DYN_ARGS=TRUE&amp;DOC_NAME=FAT:FQL_AUDITING_CLIENT_TEMPLATE.FAT&amp;display_string=Audit&amp;VAR:KEY=QBWXYRCNSV&amp;VAR:QUERY=SlVMSUFOKElDX0VTVElNQVRFKEZGTyxNRUFOLEFOTl9ST0xMLCsxLDAsMTIvMzEvMjAwNCxGUSkuZGF0ZXMp&amp;","WINDOW=FIRST_POPUP&amp;HEIGHT=450&amp;WIDTH=450&amp;START_MAXIMIZED=FALSE&amp;VAR:CALENDAR=US&amp;VAR:SYMBOL=DLR&amp;VAR:INDEX=4"}</definedName>
    <definedName name="_a1" localSheetId="7" hidden="1">{"Assump",#N/A,TRUE,"Proforma";"first",#N/A,TRUE,"Proforma";"second",#N/A,TRUE,"Proforma";"lease1",#N/A,TRUE,"Proforma";"lease2",#N/A,TRUE,"Proforma"}</definedName>
    <definedName name="_a1" hidden="1">{"Assump",#N/A,TRUE,"Proforma";"first",#N/A,TRUE,"Proforma";"second",#N/A,TRUE,"Proforma";"lease1",#N/A,TRUE,"Proforma";"lease2",#N/A,TRUE,"Proforma"}</definedName>
    <definedName name="_a2" localSheetId="7" hidden="1">{"sheet a",#N/A,FALSE,"A";"2 9 casflow",#N/A,FALSE,"B"}</definedName>
    <definedName name="_a2" hidden="1">{"sheet a",#N/A,FALSE,"A";"2 9 casflow",#N/A,FALSE,"B"}</definedName>
    <definedName name="_al1" localSheetId="7" hidden="1">{"sheet a",#N/A,FALSE,"A";"sheet b 1",#N/A,FALSE,"B";"sheet b 2",#N/A,FALSE,"B"}</definedName>
    <definedName name="_al1" hidden="1">{"sheet a",#N/A,FALSE,"A";"sheet b 1",#N/A,FALSE,"B";"sheet b 2",#N/A,FALSE,"B"}</definedName>
    <definedName name="_AVB2" localSheetId="7" hidden="1">{"page1",#N/A,FALSE,"PROFORMA";"page2",#N/A,FALSE,"PROFORMA";"page3",#N/A,FALSE,"PROFORMA";"page4",#N/A,FALSE,"PROFORMA";"page5",#N/A,FALSE,"PROFORMA";"page6",#N/A,FALSE,"PROFORMA";"page7",#N/A,FALSE,"PROFORMA";"page8",#N/A,FALSE,"PROFORMA"}</definedName>
    <definedName name="_AVB2" hidden="1">{"page1",#N/A,FALSE,"PROFORMA";"page2",#N/A,FALSE,"PROFORMA";"page3",#N/A,FALSE,"PROFORMA";"page4",#N/A,FALSE,"PROFORMA";"page5",#N/A,FALSE,"PROFORMA";"page6",#N/A,FALSE,"PROFORMA";"page7",#N/A,FALSE,"PROFORMA";"page8",#N/A,FALSE,"PROFORMA"}</definedName>
    <definedName name="_bdm.00A30EEC70914950886ACA1DA54ED705.edm" hidden="1">#REF!</definedName>
    <definedName name="_bdm.0147E801F4E949E69D1E7289FDAC1752.edm" hidden="1">#REF!</definedName>
    <definedName name="_bdm.01619D1248CC4B4CA610120932270BC7.edm" hidden="1">#REF!</definedName>
    <definedName name="_bdm.026E05F70CA84C22868A1088F849EC78.edm" hidden="1">#REF!</definedName>
    <definedName name="_bdm.02DE0B24D70040A98C1ECD305C2D11C1.edm" hidden="1">#REF!</definedName>
    <definedName name="_bdm.03324F50EDA34EC19689CC033F279C4A.edm" hidden="1">#REF!</definedName>
    <definedName name="_bdm.0451F2B372AA4DD3AC5B972D18750DF3.edm" hidden="1">#REF!</definedName>
    <definedName name="_bdm.0553D6D3C04848C39FE60D0BEFC19985.edm" hidden="1">#REF!</definedName>
    <definedName name="_bdm.06A7924C2D364534A007292DB649E14C.edm" hidden="1">#REF!</definedName>
    <definedName name="_bdm.06BB45D4425B45708A8F9C4DD7FB89AC.edm" hidden="1">#REF!</definedName>
    <definedName name="_bdm.09650697FC3B45E89D9892F4509C4B8A.edm" hidden="1">#REF!</definedName>
    <definedName name="_bdm.097F38FA64D24FCB9B8D5BB1C8F1E113.edm" hidden="1">#REF!</definedName>
    <definedName name="_bdm.0ACFD591D5604E308A647E15A78DDE52.edm" hidden="1">#REF!</definedName>
    <definedName name="_bdm.0D0EE22DF24E4DB38241179E062CCFC6.edm" hidden="1">#REF!</definedName>
    <definedName name="_bdm.0FF3515C4D8A46C39371756981218BC2.edm" hidden="1">#REF!</definedName>
    <definedName name="_bdm.0ffd20ab02794512a81511ff5b108c5f.edm" hidden="1">#REF!</definedName>
    <definedName name="_bdm.106BF9AD7184485C82620E5C6501496A.edm" hidden="1">#REF!</definedName>
    <definedName name="_bdm.10D2368BF41C41EF8E8F9E99041346E3.edm" hidden="1">#REF!</definedName>
    <definedName name="_bdm.10F5484D0FD74B65934CF520A0D560A5.edm" hidden="1">#REF!</definedName>
    <definedName name="_bdm.10F9A10407664071BE8A00B75A9B030C.edm" hidden="1">#REF!</definedName>
    <definedName name="_bdm.1143AB68BA6F41B287027170BD6335F3.edm" hidden="1">#REF!</definedName>
    <definedName name="_bdm.13069B27A08F4650ACF461C14F9512B6.edm" hidden="1">#REF!</definedName>
    <definedName name="_bdm.15550E995C4A4672BCA7BCCE364FFE68.edm" hidden="1">#REF!</definedName>
    <definedName name="_bdm.16A04B8146574A2C90E70832BAAB3A39.edm" hidden="1">#REF!</definedName>
    <definedName name="_bdm.1718F6ECF9B643BB9ECFC6EF36F303DB.edm" hidden="1">#REF!</definedName>
    <definedName name="_bdm.19909419688244D18011063A083A2296.edm" hidden="1">#REF!</definedName>
    <definedName name="_bdm.19E8F636EFD64AFAA1291643A7EA1663.edm" hidden="1">#REF!</definedName>
    <definedName name="_bdm.1A6DD9EDF0014631BA5DAB54DD1AF109.edm" hidden="1">#REF!</definedName>
    <definedName name="_bdm.1B145EA4CAAF45B3B2D59BCBDDD5A6E5.edm" hidden="1">#REF!</definedName>
    <definedName name="_bdm.1E099327833E4C1A94657E6451B18BC5.edm" hidden="1">#REF!</definedName>
    <definedName name="_bdm.1EE47C4AA0064280819CC19BB4690A1F.edm" hidden="1">#REF!</definedName>
    <definedName name="_bdm.1EE9D38C233545CBB23AC83EFA57B68F.edm" hidden="1">#REF!</definedName>
    <definedName name="_bdm.20910E07AEA549609F3B0A57ED179C98.edm" hidden="1">#REF!</definedName>
    <definedName name="_bdm.20FDA4703BAC447B94A4A86B76C25D20.edm" hidden="1">#REF!</definedName>
    <definedName name="_bdm.21035019083648108165B1BA45E6A741.edm" hidden="1">#REF!</definedName>
    <definedName name="_bdm.2307E183404149899401838C1AF6E230.edm" hidden="1">#REF!</definedName>
    <definedName name="_bdm.236748EDED7F49FF9D8C8341C398889E.edm" hidden="1">#REF!</definedName>
    <definedName name="_bdm.25ED338866284F969F20284D4B025DB8.edm" hidden="1">#REF!</definedName>
    <definedName name="_bdm.27F2120E09E74269A5BE66DB4F850E0F.edm" hidden="1">#REF!</definedName>
    <definedName name="_bdm.294AA496D34A43399372281D01706956.edm" hidden="1">#REF!</definedName>
    <definedName name="_bdm.2A12A98D4B5C4E4D80F0856E2A457A3F.edm" hidden="1">#REF!</definedName>
    <definedName name="_bdm.2BE1F807A36040A28E3663AEB4908A92.edm" hidden="1">#REF!</definedName>
    <definedName name="_bdm.2CCD44ACE8EF422D88045C2A0F5B824C.edm" hidden="1">#REF!</definedName>
    <definedName name="_bdm.2CFEFA6CB85F475FB90E7743FF95304E.edm" hidden="1">#REF!</definedName>
    <definedName name="_bdm.2D6F83C8753B4133B2317A8C39D8B2F1.edm" hidden="1">#REF!</definedName>
    <definedName name="_bdm.2E4FB930CFD74B1995754A3EC575BE6E.edm" hidden="1">#REF!</definedName>
    <definedName name="_bdm.2E992C0B17A84955BA91F52DDFA70110.edm" hidden="1">#REF!</definedName>
    <definedName name="_bdm.2ECF729D201C4864BECC577D40C3D28A.edm" hidden="1">#REF!</definedName>
    <definedName name="_bdm.2F2B2B5E0A7F41A5A5153533F14B2F3B.edm" hidden="1">#REF!</definedName>
    <definedName name="_bdm.325D3BB97B8E49DEA46121D49E34241B.edm" hidden="1">#REF!</definedName>
    <definedName name="_bdm.33BB2FF312954B1A9F031A2FCC9995A2.edm" hidden="1">#REF!</definedName>
    <definedName name="_bdm.33E37279400A40A78E52F48794239712.edm" hidden="1">#REF!</definedName>
    <definedName name="_bdm.3502832637334aa6a380cb7dcf45134d.edm" hidden="1">#REF!</definedName>
    <definedName name="_bdm.35D75940BDB64DDA92DA63A8C33BC98F.edm" hidden="1">#REF!</definedName>
    <definedName name="_bdm.375B6B8715F3471A93F8E195026C2BC5.edm" hidden="1">#REF!</definedName>
    <definedName name="_bdm.3971DEAD260349328894FC228BF71DDC.edm" hidden="1">#REF!</definedName>
    <definedName name="_bdm.39ADB93D54D04AD48E6BD8B92F9B7440.edm" hidden="1">#REF!</definedName>
    <definedName name="_bdm.3A594EE3A5DA4F62938138D0A97111E4.edm" hidden="1">#REF!</definedName>
    <definedName name="_bdm.3BB48E5B33B64F20B70D763BE5371AFB.edm" hidden="1">#REF!</definedName>
    <definedName name="_bdm.3BC385B203304DC2A2F1B29290FCAD72.edm" hidden="1">#REF!</definedName>
    <definedName name="_bdm.3CF97D71BED94AA087F318AFD3AFEC75.edm" hidden="1">#REF!</definedName>
    <definedName name="_bdm.3E3113654F504F92ABE681EF60EDC22B.edm" hidden="1">#REF!</definedName>
    <definedName name="_bdm.3EA8C722C7B54B68B8D8718FF98564FB.edm" hidden="1">#REF!</definedName>
    <definedName name="_bdm.40A1365FAC9E40948A0FBE7D1DE1508D.edm" localSheetId="3" hidden="1">'Venture Model Outputs'!#REF!</definedName>
    <definedName name="_bdm.40F913B68BAF433CB4DAB9BCB11AF0E9.edm" hidden="1">#REF!</definedName>
    <definedName name="_bdm.41BB7010280A4F17A60A7A2EC65762F2.edm" hidden="1">#REF!</definedName>
    <definedName name="_bdm.4528405079174FF6851BF33F524463A7.edm" hidden="1">#REF!</definedName>
    <definedName name="_bdm.457C3FFF62114A16B0EEF3D30B4AE635.edm" hidden="1">#REF!</definedName>
    <definedName name="_bdm.457C4FA9E36640EBBD6558A2CD8BFDC8.edm" hidden="1">#REF!</definedName>
    <definedName name="_bdm.466B8700A10C494F8B30609B481CEA80.edm" hidden="1">#REF!</definedName>
    <definedName name="_bdm.4733B4EF46C24EAEAA9A3F2BFEA82712.edm" hidden="1">#REF!</definedName>
    <definedName name="_bdm.474052c9f1624488b58e80a137f37246.edm" hidden="1">#REF!</definedName>
    <definedName name="_bdm.477B93EBF48445B0A3F3243D68AA6ECF.edm" hidden="1">#REF!</definedName>
    <definedName name="_bdm.47815970653A4ACDA349466310D01BCD.edm" hidden="1">#REF!</definedName>
    <definedName name="_bdm.49C926C0A2E34DFF8DBC43572CF5A831.edm" hidden="1">#REF!</definedName>
    <definedName name="_bdm.4A28F5CE271742CFADFC368C3B0A7BB9.edm" hidden="1">#REF!</definedName>
    <definedName name="_bdm.4A5C97D8A8B4461BB06808C9781CCA97.edm" hidden="1">#REF!</definedName>
    <definedName name="_bdm.4C2187D4D78743A593C2B2C00B9F6018.edm" hidden="1">#REF!</definedName>
    <definedName name="_bdm.4C2BCBA18835460396422A6C4D5A8405.edm" hidden="1">#REF!</definedName>
    <definedName name="_bdm.4CC45777DB794402B638D2F5A2762696.edm" hidden="1">#REF!</definedName>
    <definedName name="_bdm.4CD17D3F2CBA457CB1E2A511B16EEB32.edm" hidden="1">#REF!</definedName>
    <definedName name="_bdm.4D3867F45D7F4CB1967306F382AC6E0F.edm" hidden="1">#REF!</definedName>
    <definedName name="_bdm.4E19AD3AD6E843FFBC789F67DAF207BD.edm" hidden="1">#REF!</definedName>
    <definedName name="_bdm.506BB95D5FF74692ACB6C4DCCF0C02A1.edm" hidden="1">#REF!</definedName>
    <definedName name="_bdm.515FD31461454E868861AB7B4F88338C.edm" hidden="1">#REF!</definedName>
    <definedName name="_bdm.52052D4C06B74B7C954F63F247DA6D25.edm" hidden="1">#REF!</definedName>
    <definedName name="_bdm.5222E973893B4D419699D266C985636B.edm" hidden="1">#REF!</definedName>
    <definedName name="_bdm.5341C4B37BBE487B877F6FAA19A6356D.edm" hidden="1">#REF!</definedName>
    <definedName name="_bdm.536D796A06BF43C0804D2E59AB042585.edm" hidden="1">#REF!</definedName>
    <definedName name="_bdm.5382C545D5164CB58B8BECA795D42071.edm" hidden="1">#REF!</definedName>
    <definedName name="_bdm.5420CF4F947348BBA2C2276C6EDB3A8E.edm" localSheetId="6" hidden="1">#REF!</definedName>
    <definedName name="_bdm.5420CF4F947348BBA2C2276C6EDB3A8E.edm" localSheetId="9" hidden="1">#REF!</definedName>
    <definedName name="_bdm.5420CF4F947348BBA2C2276C6EDB3A8E.edm" localSheetId="43" hidden="1">#REF!</definedName>
    <definedName name="_bdm.5420CF4F947348BBA2C2276C6EDB3A8E.edm" localSheetId="2" hidden="1">#REF!</definedName>
    <definedName name="_bdm.5420CF4F947348BBA2C2276C6EDB3A8E.edm" localSheetId="3" hidden="1">'Venture Model Outputs'!$1:$1048576</definedName>
    <definedName name="_bdm.5420CF4F947348BBA2C2276C6EDB3A8E.edm" hidden="1">#REF!</definedName>
    <definedName name="_bdm.5463ECE8E2A94A3AAE6ADFFB2DCA8E94.edm" hidden="1">#REF!</definedName>
    <definedName name="_bdm.5538121171674605AF60259BB4EC86AF.edm" hidden="1">#REF!</definedName>
    <definedName name="_bdm.56C5D54105B3406F83BA6E944EA63196.edm" hidden="1">#REF!</definedName>
    <definedName name="_bdm.57602A591E75428DB73BF1A4058A8D29.edm" hidden="1">#REF!</definedName>
    <definedName name="_bdm.57BC86A0115E457FBEB5362CAA092385.edm" hidden="1">#REF!</definedName>
    <definedName name="_bdm.59A933FA554F4B329D241559F76E11EE.edm" hidden="1">#REF!</definedName>
    <definedName name="_bdm.59B0D6079EA64411B22415531DD45D2E.edm" hidden="1">#REF!</definedName>
    <definedName name="_bdm.5A06B77531BB40EAB24074C943DCD22A.edm" hidden="1">#REF!</definedName>
    <definedName name="_bdm.5B1E523421924BA79350F40DF00B8418.edm" hidden="1">#REF!</definedName>
    <definedName name="_bdm.5BED8E322A0E4D21AD81A57E4077B268.edm" hidden="1">#REF!</definedName>
    <definedName name="_bdm.5BF19EA8727D40AD979E877CA3A5F161.edm" hidden="1">#REF!</definedName>
    <definedName name="_bdm.5CF81FEE6E9A4189820ECA41DD31C6C1.edm" hidden="1">#REF!</definedName>
    <definedName name="_bdm.5E799051263E47B2BA0AEDAA4C1670AC.edm" hidden="1">#REF!</definedName>
    <definedName name="_bdm.5F56EF0830DA4161B6322934679CE034.edm" hidden="1">#REF!</definedName>
    <definedName name="_bdm.5F759AD7F3AE42F884016AE4A1410D92.edm" hidden="1">#REF!</definedName>
    <definedName name="_bdm.60D257E30FB7482498B6E1C4604C17D1.edm" hidden="1">#REF!</definedName>
    <definedName name="_bdm.60D496C198B94FE88AAC240F81DA2AE4.edm" hidden="1">#REF!</definedName>
    <definedName name="_bdm.6353CD50AE174EBCAB49B6BC07A20DAD.edm" hidden="1">#REF!</definedName>
    <definedName name="_bdm.6388DFEB662A4ADDB8CBB0F639E1646A.edm" hidden="1">#REF!</definedName>
    <definedName name="_bdm.6514E045C64E4E04B52CBB305D40B752.edm" hidden="1">#REF!</definedName>
    <definedName name="_bdm.658BD73E718B4E1C912C47566B23EE2B.edm" hidden="1">#REF!</definedName>
    <definedName name="_bdm.687ADD500FAD471AB75C35FA0D4F0235.edm" hidden="1">#REF!</definedName>
    <definedName name="_bdm.6897851CD643447A9A6FD8FB53E3C6F1.edm" hidden="1">#REF!</definedName>
    <definedName name="_bdm.6AFB8EC9794F4B969C3DC3748E73F7B9.edm" hidden="1">#REF!</definedName>
    <definedName name="_bdm.6B922E2C01B840F3846C2C49675DC960.edm" hidden="1">#REF!</definedName>
    <definedName name="_bdm.6D6E86DAC76847DBAA3488BBAEAC036B.edm" hidden="1">#REF!</definedName>
    <definedName name="_bdm.6D8BB308F1A7454584FC7D1C95409EBC.edm" hidden="1">#REF!</definedName>
    <definedName name="_bdm.6E5FCC304F4F49D697DDC0747118455A.edm" hidden="1">#REF!</definedName>
    <definedName name="_bdm.6EDDEC311B2C4188963A2136D7B15932.edm" hidden="1">#REF!</definedName>
    <definedName name="_bdm.6EEC5A193E16440E948667A92332B274.edm" hidden="1">#REF!</definedName>
    <definedName name="_bdm.6F63D7BD58BC4563B218610338F3B0FE.edm" hidden="1">#REF!</definedName>
    <definedName name="_bdm.725DA25430D64BC8A892B3B5F15FCA60.edm" hidden="1">#REF!</definedName>
    <definedName name="_bdm.735B199573A147E1B34D2AA608BB3663.edm" hidden="1">#REF!</definedName>
    <definedName name="_bdm.73624ED942874ECF9F2F1F7CD3C383EB.edm" hidden="1">#REF!</definedName>
    <definedName name="_bdm.75345056ED5B466F9130ABE7A695D935.edm" hidden="1">#REF!</definedName>
    <definedName name="_bdm.76E86265694040A194558E6D508852CA.edm" hidden="1">#REF!</definedName>
    <definedName name="_bdm.78EC5E1ACDEA41F4966D5490BF90999B.edm" hidden="1">#REF!</definedName>
    <definedName name="_bdm.7B13BCA1C9084ED2818FF4493C926B0E.edm" hidden="1">#REF!</definedName>
    <definedName name="_bdm.7B4D6B67FFBC4EEBAB43B309C43552FD.edm" hidden="1">#REF!</definedName>
    <definedName name="_bdm.7BF58BBAE88F459D874B1B423A0C2026.edm" hidden="1">#REF!</definedName>
    <definedName name="_bdm.7C92DB387438418D938B270BBB5D5399.edm" hidden="1">#REF!</definedName>
    <definedName name="_bdm.7D6587AE9BB2446084FDB2C20F2844BB.edm" hidden="1">#REF!</definedName>
    <definedName name="_bdm.7D95730C247643EEA3B963D7969C456D.edm" hidden="1">#REF!</definedName>
    <definedName name="_bdm.7E55B65F9FCE4668BC65B027AE6AEC30.edm" hidden="1">#REF!</definedName>
    <definedName name="_bdm.7E56A22C098C4D8FBB7EF008C46176E5.edm" hidden="1">#REF!</definedName>
    <definedName name="_bdm.7EB5883FA6CD4A5CB2906AA6EE997102.edm" hidden="1">#REF!</definedName>
    <definedName name="_bdm.7F4A33F4992741CA93D883650AA017AF.edm" hidden="1">#REF!</definedName>
    <definedName name="_bdm.8170195DE3854D28B0A1D43BF16BAE00.edm" hidden="1">#REF!</definedName>
    <definedName name="_bdm.81E6C926F4EE4328912DA06E74A0858D.edm" hidden="1">#REF!</definedName>
    <definedName name="_bdm.8390AADD04A24C3F82F29F23959F2395.edm" hidden="1">#REF!</definedName>
    <definedName name="_bdm.85DA4F5273A24058B72C967E696A5EC4.edm" hidden="1">#REF!</definedName>
    <definedName name="_bdm.863D0E8023DE458289C1B34262C43BB5.edm" hidden="1">#REF!</definedName>
    <definedName name="_bdm.864001682D3F4B22AE66DB1C9DE7E5C6.edm" hidden="1">#REF!</definedName>
    <definedName name="_bdm.87D08A00A83C45D1BDAFBF0C7C16D30C.edm" hidden="1">#REF!</definedName>
    <definedName name="_bdm.882C59D4404640129C696AF15CB3755A.edm" hidden="1">#REF!</definedName>
    <definedName name="_bdm.88D3FB8B5448488FB453BC97D5C50D23.edm" hidden="1">#REF!</definedName>
    <definedName name="_bdm.89CBB36E0D6E4EEDBF4804F6E2EA6118.edm" hidden="1">#REF!</definedName>
    <definedName name="_bdm.89E6BDEE223B433E91AA988BACACCCA7.edm" hidden="1">#REF!</definedName>
    <definedName name="_bdm.8A08EA11AC38492FAE61DFC7796E493D.edm" hidden="1">#REF!</definedName>
    <definedName name="_bdm.8A408E581A374884A9388E90B26E4D85.edm" hidden="1">#REF!</definedName>
    <definedName name="_bdm.8B14DE2DABC84DC5BF652222F70FA3D6.edm" hidden="1">#REF!</definedName>
    <definedName name="_bdm.8CEE5F73A99A4C65A5163CE7E545ED8E.edm" hidden="1">#REF!</definedName>
    <definedName name="_bdm.8D1CF2B331064A7B8711F4B27AECE7B1.edm" hidden="1">#REF!</definedName>
    <definedName name="_bdm.8D7268E143BB421FB084B4FA4A2021B1.edm" hidden="1">#REF!</definedName>
    <definedName name="_bdm.8dfccf7660b7499c8e4d5c76ed3bbe71.edm" hidden="1">#REF!</definedName>
    <definedName name="_bdm.8E4FDFAAD9664539BBC749F2D95488F1.edm" hidden="1">#REF!</definedName>
    <definedName name="_bdm.8E7BF41F25C74D7EBFF00C1D46B4948A.edm" hidden="1">#REF!</definedName>
    <definedName name="_bdm.8FB8D0476D434CF0BB12679ACFD65F47.edm" hidden="1">#REF!</definedName>
    <definedName name="_bdm.9021509D168A4D09B4ADFB330E160DA9.edm" hidden="1">#REF!</definedName>
    <definedName name="_bdm.91A0B11909A947559083CFFAB8CC725C.edm" hidden="1">#REF!</definedName>
    <definedName name="_bdm.9295845727974FDA81DFBC25B6C85439.edm" hidden="1">#REF!</definedName>
    <definedName name="_bdm.94D63755E22F41798F4B40D8943C2F3C.edm" hidden="1">#REF!</definedName>
    <definedName name="_bdm.9573C4E1786C40D784EC7FAB41EC2322.edm" hidden="1">#REF!</definedName>
    <definedName name="_bdm.96851044F1F044CCA0B98CCD741B68CB.edm" hidden="1">#REF!</definedName>
    <definedName name="_bdm.97CF58696832459CA5DBC1AE9042674F.edm" hidden="1">#REF!</definedName>
    <definedName name="_bdm.99CEDA434D30439E86753D45B652195E.edm" hidden="1">#REF!</definedName>
    <definedName name="_bdm.9A040B5ACDCB4B0698A5B5E86E5A054C.edm" hidden="1">#REF!</definedName>
    <definedName name="_bdm.9A0D00DFF47F4E9D84911724761EA8C5.edm" hidden="1">#REF!</definedName>
    <definedName name="_bdm.9AAB6A7B81304794A203F01A009F28E2.edm" hidden="1">#REF!</definedName>
    <definedName name="_bdm.9B00B83077484534977C70FCBE01B9E4.edm" hidden="1">#REF!</definedName>
    <definedName name="_bdm.9BD18E75E1DB4BBC80F81D0DF65276A0.edm" hidden="1">#REF!</definedName>
    <definedName name="_bdm.9E6811AECE57433D9DDBA94A489EF8D5.edm" hidden="1">#REF!</definedName>
    <definedName name="_bdm.A0CB4DE840434EA1BFE44530BC506EDE.edm" hidden="1">#REF!</definedName>
    <definedName name="_bdm.A2479F5B3E0A41E289470E540A5CEA3F.edm" hidden="1">#REF!</definedName>
    <definedName name="_bdm.A247B1D77986400F9A61095B26F4A68A.edm" hidden="1">#REF!</definedName>
    <definedName name="_bdm.A2D7D32E999A42C693AC64234B320B5F.edm" hidden="1">#REF!</definedName>
    <definedName name="_bdm.A6385772CA844384B757A20417ABE027.edm" hidden="1">#REF!</definedName>
    <definedName name="_bdm.A65C3341439D4F1E9F37B8C36B37172E.edm" hidden="1">#REF!</definedName>
    <definedName name="_bdm.A6C0D6C65E724FF28A67949E4E9912E9.edm" hidden="1">#REF!</definedName>
    <definedName name="_bdm.A7E9B0A7186042D4AF50DEAFCCB31D93.edm" hidden="1">#REF!</definedName>
    <definedName name="_bdm.a8e8ff599e7d46ae9442f66bf737e08d.edm" hidden="1">#REF!</definedName>
    <definedName name="_bdm.A9C6CED8C4B44EE981A48109E4FB07F9.edm" hidden="1">#REF!</definedName>
    <definedName name="_bdm.A9D356AE2293467699DE779B4142E1FE.edm" hidden="1">#REF!</definedName>
    <definedName name="_bdm.AA5E6A7BB1C54CB4934B49479834B3F6.edm" hidden="1">#REF!</definedName>
    <definedName name="_bdm.ACAB79BDC0D747C2B2C2C4E19691AE80.edm" hidden="1">#REF!</definedName>
    <definedName name="_bdm.AD76930DD2224527BE719232F15AFBC9.edm" hidden="1">#REF!</definedName>
    <definedName name="_bdm.AEA38A74A02E454E87A4B923BDD90DF7.edm" hidden="1">#REF!</definedName>
    <definedName name="_bdm.AEE74497C82F47868F30CC8A5C1F3998.edm" hidden="1">#REF!</definedName>
    <definedName name="_bdm.AF8F4C6BF61348DC8814A06DAE89739F.edm" hidden="1">#REF!</definedName>
    <definedName name="_bdm.AF9303ECAFD6457B8A5659BE3F2766E0.edm" hidden="1">#REF!</definedName>
    <definedName name="_bdm.AFF4C2CA44134EBC873E24E0153BD57B.edm" hidden="1">#REF!</definedName>
    <definedName name="_bdm.B238B0BF07174C20BE49BB50D2EFA2EF.edm" hidden="1">#REF!</definedName>
    <definedName name="_bdm.B25DDC7BCF6342E5A81845C4819F9842.edm" hidden="1">#REF!</definedName>
    <definedName name="_bdm.B29B54CD517145179F2F52E213AE5FF9.edm" hidden="1">#REF!</definedName>
    <definedName name="_bdm.B34F85F812F2447884AF4FE8FBCFBBFE.edm" hidden="1">#REF!</definedName>
    <definedName name="_bdm.B3E8BC45E2F54C01B8363039A4DEFDB4.edm" hidden="1">#REF!</definedName>
    <definedName name="_bdm.B47494BA01E6478CA4795306570C8343.edm" hidden="1">#REF!</definedName>
    <definedName name="_bdm.B49FF463E37A4F749CBD55857E8D728F.edm" hidden="1">#REF!</definedName>
    <definedName name="_bdm.B5B72EC5F46E48E1811E3C8A6E9CC7AE.edm" hidden="1">#REF!</definedName>
    <definedName name="_bdm.B713C04A62514A1E90F832A96CF13B95.edm" hidden="1">#REF!</definedName>
    <definedName name="_bdm.B90CBDAE29214412997E6165D3089EFD.edm" hidden="1">#REF!</definedName>
    <definedName name="_bdm.B9E5FE74FF1D47DAACD366375CB96F2D.edm" hidden="1">#REF!</definedName>
    <definedName name="_bdm.BA26D305AA1A4E08B1E86BCFCE4DAE1C.edm" hidden="1">#REF!</definedName>
    <definedName name="_bdm.BABF452210574A9CA93D617BC84B3A91.edm" hidden="1">#REF!</definedName>
    <definedName name="_bdm.BBCC8CE72E6E47A6B81A222DE32AB4E6.edm" hidden="1">#REF!</definedName>
    <definedName name="_bdm.BC0211E181094707BD7C6FE5463B3D99.edm" hidden="1">#REF!</definedName>
    <definedName name="_bdm.BC9D86F31C87498ABA5A87F0CAD83DDD.edm" hidden="1">#REF!</definedName>
    <definedName name="_bdm.BD6971ECBCA44ABDAA313E05BD914FC1.edm" hidden="1">#REF!</definedName>
    <definedName name="_bdm.BD75CEA09BE24E5AB3B1A5F39690EA5E.edm" hidden="1">#REF!</definedName>
    <definedName name="_bdm.BEDB622452D044C69F8B3AD590463C9E.edm" hidden="1">#REF!</definedName>
    <definedName name="_bdm.BF19CADB157441E49585D586E6BBF0DB.edm" hidden="1">#REF!</definedName>
    <definedName name="_bdm.bffbad08a5a246f0ad9d01688b44ccb7.edm" hidden="1">#REF!</definedName>
    <definedName name="_bdm.C13822B27B0F4EF384722B5ECC9BDCEE.edm" hidden="1">#REF!</definedName>
    <definedName name="_bdm.C2551A3E6EBC4FB886956863617C3D47.edm" hidden="1">#REF!</definedName>
    <definedName name="_bdm.C3784C49CF124C24A65041BDB8F1C38D.edm" hidden="1">#REF!</definedName>
    <definedName name="_bdm.C4EEB4503568438580F345C554AA8E8D.edm" hidden="1">#REF!</definedName>
    <definedName name="_bdm.C58B293A46F241D0AB04D76D773896EB.edm" hidden="1">#REF!</definedName>
    <definedName name="_bdm.C5DC8FA93DE442CCB61B4A0C11C100E3.edm" hidden="1">#REF!</definedName>
    <definedName name="_bdm.C6B7218D518D4DEFBDE91D23E5344CC7.edm" hidden="1">#REF!</definedName>
    <definedName name="_bdm.C7DBB29E3D8D41B69A73DF63E338BC5B.edm" hidden="1">#REF!</definedName>
    <definedName name="_bdm.C9CC2B80588340788179B4E0B2A61471.edm" hidden="1">#REF!</definedName>
    <definedName name="_bdm.CAAAD974B177422B987D630E67930F19.edm" hidden="1">#REF!</definedName>
    <definedName name="_bdm.CB90E6AC898141ACAFC65F00E212B410.edm" hidden="1">#REF!</definedName>
    <definedName name="_bdm.CC952BE8FBFD43C29294B2F7B6CCFE57.edm" hidden="1">#REF!</definedName>
    <definedName name="_bdm.CDBAE878544843A4B4DD23B0859A9DC7.edm" hidden="1">#REF!</definedName>
    <definedName name="_bdm.CE585D8610FE4F94BE16DE6897A8F14F.edm" hidden="1">#REF!</definedName>
    <definedName name="_bdm.CED20711B331438FA4DF43FAA34A1F8B.edm" hidden="1">#REF!</definedName>
    <definedName name="_bdm.CEFA0B61202B4E53B28C5DDBD4BBB21D.edm" hidden="1">#REF!</definedName>
    <definedName name="_bdm.CFBE9B3CE5504C61BCF400DC26121F8A.edm" hidden="1">#REF!</definedName>
    <definedName name="_bdm.D2B1740531EB42EFA55C061A4965B641.edm" hidden="1">#REF!</definedName>
    <definedName name="_bdm.D40903DF9D7E4489A4BE60CF29EE8052.edm" hidden="1">#REF!</definedName>
    <definedName name="_bdm.D4F7A3BF3FA8433282C8AD0929DB82F9.edm" hidden="1">#REF!</definedName>
    <definedName name="_bdm.D70A9EE3F91540E4A2797B152A50134A.edm" hidden="1">#REF!</definedName>
    <definedName name="_bdm.D9ECDB47EB944209A49F9DEB77C8F931.edm" hidden="1">#REF!</definedName>
    <definedName name="_bdm.DC7858CC9E754D0F8448B973AEF850DD.edm" hidden="1">#REF!</definedName>
    <definedName name="_bdm.DCD4238C512B4EA5AC02BAA7BE4DDB96.edm" hidden="1">#REF!</definedName>
    <definedName name="_bdm.DE146303A2C64E8B9F6B0CC32AF7454D.edm" hidden="1">#REF!</definedName>
    <definedName name="_bdm.DEE0B551F9044ED48054D5B1855C11FE.edm" hidden="1">#REF!</definedName>
    <definedName name="_bdm.E17F036758F043D2BBD23B7829056D78.edm" hidden="1">#REF!</definedName>
    <definedName name="_bdm.E1E9C18F333B4CEBAAB05FFB2C6DC2DC.edm" hidden="1">#REF!</definedName>
    <definedName name="_bdm.E28F4DC58D17427F81D60C9AF9C615BF.edm" hidden="1">#REF!</definedName>
    <definedName name="_bdm.E3536FD50FBA413DA8DB760FDC9411CF.edm" hidden="1">#REF!</definedName>
    <definedName name="_bdm.E3AF1AB528A144BDB569F9A2BFE11F21.edm" hidden="1">#REF!</definedName>
    <definedName name="_bdm.E48B019D23A34E2FB36833D571C08B02.edm" hidden="1">#REF!</definedName>
    <definedName name="_bdm.e4c5128ed26b44559bfbecfb17ab68c1.edm" hidden="1">#REF!</definedName>
    <definedName name="_bdm.E5743739224A4283ADB83CE2636E223E.edm" hidden="1">#REF!</definedName>
    <definedName name="_bdm.e66260b488c44288a347733480a9c728.edm" hidden="1">#REF!</definedName>
    <definedName name="_bdm.E7911228DB884E619A47D805D4D11A88.edm" hidden="1">#REF!</definedName>
    <definedName name="_bdm.E7F147181F6749909E86AE0B94642443.edm" hidden="1">#REF!</definedName>
    <definedName name="_bdm.E82B9A19CF4343EC9674771C65B0EBE1.edm" hidden="1">#REF!</definedName>
    <definedName name="_bdm.E8B440B1020748E0A74C372D3D5130D4.edm" hidden="1">#REF!</definedName>
    <definedName name="_bdm.EB582BA6835D4294AB0BF30005C10288.edm" hidden="1">#REF!</definedName>
    <definedName name="_bdm.ED902DD649534E8A88226488D1070219.edm" hidden="1">#REF!</definedName>
    <definedName name="_bdm.EDB6F5E2826F4BFE840180EB83CF9A61.edm" hidden="1">#REF!</definedName>
    <definedName name="_bdm.EFF653A82DF84043BDFCC3E0665EFAB7.edm" hidden="1">#REF!</definedName>
    <definedName name="_bdm.F055A7F846794A9193EC7B6FDC4C5C7B.edm" hidden="1">#REF!</definedName>
    <definedName name="_bdm.F0E421AA42FE41D4BCBD8ADE16D21FC5.edm" hidden="1">#REF!</definedName>
    <definedName name="_bdm.F19884065C424A72AF3B85908D8DF015.edm" hidden="1">#REF!</definedName>
    <definedName name="_bdm.F2D7291CDB3D4FC3B160BBE6876EBBC4.edm" hidden="1">#REF!</definedName>
    <definedName name="_bdm.F39CD1EA26DD443FAF23C9F3E66F63E1.edm" hidden="1">#REF!</definedName>
    <definedName name="_bdm.F52307522288413C9DD7373565DB02B5.edm" hidden="1">#REF!</definedName>
    <definedName name="_bdm.F6F59FF447B64E6FAF4B9FF04DBE80E9.edm" hidden="1">#REF!</definedName>
    <definedName name="_bdm.F93EDABDA4534BCF8AFE6848E08D07C8.edm" hidden="1">#REF!</definedName>
    <definedName name="_bdm.F9EEEBC76C4E415A81951D57C9D00873.edm" hidden="1">#REF!</definedName>
    <definedName name="_bdm.F9FA4873B2314B25AD4220B2DA90E8E3.edm" hidden="1">#REF!</definedName>
    <definedName name="_bdm.F9FB09C066CE4D9484E26B3556D56529.edm" hidden="1">#REF!</definedName>
    <definedName name="_bdm.FA84F58C8C0347EABAB83C6CA9263675.edm" hidden="1">#REF!</definedName>
    <definedName name="_bdm.FastTrackBookmark.8_23_2004_10_50_33_AM.edm" hidden="1">#REF!</definedName>
    <definedName name="_bdm.FastTrackBookmark.8_23_2004_10_50_37_AM.edm" hidden="1">#REF!</definedName>
    <definedName name="_bdm.FastTrackBookmark.8_23_2004_10_54_30_AM.edm" hidden="1">#REF!</definedName>
    <definedName name="_bdm.FastTrackBookmark.8_23_2004_10_54_40_AM.edm" hidden="1">#REF!</definedName>
    <definedName name="_bdm.FastTrackBookmark.8_23_2004_3_57_07_PM.edm" hidden="1">#REF!</definedName>
    <definedName name="_bdm.FastTrackBookmark.8_23_2004_3_57_16_PM.edm" hidden="1">#REF!</definedName>
    <definedName name="_bdm.FastTrackBookmark.8_23_2004_4_05_53_PM.edm" hidden="1">#REF!</definedName>
    <definedName name="_bdm.FastTrackBookmark.8_23_2004_4_06_00_PM.edm" hidden="1">#REF!</definedName>
    <definedName name="_bdm.FC0AB122B2C747A1817E153F3D33E5EF.edm" hidden="1">#REF!</definedName>
    <definedName name="_bdm.FDCF4E1309B34AE0B79B5B32556DC55A.edm" hidden="1">#REF!</definedName>
    <definedName name="_bdm.FF0A03FB97DA4D188B322E3A6EF53865.edm" hidden="1">#REF!</definedName>
    <definedName name="_bdm.FF82836C71BB4AE9A26A33A0313486F2.edm" hidden="1">#REF!</definedName>
    <definedName name="_bdm.ToolkitBookmark.1_24_2004_11_15_31_PM.edm" hidden="1">#REF!</definedName>
    <definedName name="_bdm.ToolkitBookmark.1_24_2004_8_24_02_PM.edm" hidden="1">#REF!</definedName>
    <definedName name="_bdm.ToolkitBookmark.1_24_2004_8_54_41_PM.edm" hidden="1">#REF!</definedName>
    <definedName name="_bdm.ToolkitBookmark.1_25_2004_9_47_15_PM.edm" hidden="1">#REF!</definedName>
    <definedName name="_bdm.ToolkitBookmark.1_25_2004_9_47_23_PM.edm" hidden="1">#REF!</definedName>
    <definedName name="_bdm.ToolkitBookmark.1_25_2004_9_48_01_PM.edm" hidden="1">#REF!</definedName>
    <definedName name="_D9" localSheetId="7" hidden="1">{"Full Sheet",#N/A,FALSE,"Expense Comparison"}</definedName>
    <definedName name="_D9" hidden="1">{"Full Sheet",#N/A,FALSE,"Expense Comparison"}</definedName>
    <definedName name="_D9_1" localSheetId="7" hidden="1">{"Full Sheet",#N/A,FALSE,"Expense Comparison"}</definedName>
    <definedName name="_D9_1" hidden="1">{"Full Sheet",#N/A,FALSE,"Expense Comparison"}</definedName>
    <definedName name="_dan1" hidden="1">#REF!</definedName>
    <definedName name="_del1" localSheetId="7" hidden="1">{"Page1",#N/A,FALSE,"7979";"Page2",#N/A,FALSE,"7979";"Page3",#N/A,FALSE,"7979"}</definedName>
    <definedName name="_del1" hidden="1">{"Page1",#N/A,FALSE,"7979";"Page2",#N/A,FALSE,"7979";"Page3",#N/A,FALSE,"7979"}</definedName>
    <definedName name="_df1" localSheetId="7" hidden="1">{#N/A,#N/A,FALSE,"Calc";#N/A,#N/A,FALSE,"Sensitivity";#N/A,#N/A,FALSE,"LT Earn.Dil.";#N/A,#N/A,FALSE,"Dil. AVP"}</definedName>
    <definedName name="_df1" hidden="1">{#N/A,#N/A,FALSE,"Calc";#N/A,#N/A,FALSE,"Sensitivity";#N/A,#N/A,FALSE,"LT Earn.Dil.";#N/A,#N/A,FALSE,"Dil. AVP"}</definedName>
    <definedName name="_df2" localSheetId="7" hidden="1">{#N/A,#N/A,FALSE,"Calc";#N/A,#N/A,FALSE,"Sensitivity";#N/A,#N/A,FALSE,"LT Earn.Dil.";#N/A,#N/A,FALSE,"Dil. AVP"}</definedName>
    <definedName name="_df2" hidden="1">{#N/A,#N/A,FALSE,"Calc";#N/A,#N/A,FALSE,"Sensitivity";#N/A,#N/A,FALSE,"LT Earn.Dil.";#N/A,#N/A,FALSE,"Dil. AVP"}</definedName>
    <definedName name="_Dist_Values" hidden="1">#REF!</definedName>
    <definedName name="_Doug" hidden="1">#REF!</definedName>
    <definedName name="_ex2" localSheetId="7" hidden="1">{#N/A,#N/A,FALSE,"Brief";#N/A,#N/A,FALSE,"Loan Purpose";#N/A,#N/A,FALSE,"Borrower";#N/A,#N/A,FALSE,"Sponsor";#N/A,#N/A,FALSE,"Site-Improvements";#N/A,#N/A,FALSE,"Manager";#N/A,#N/A,FALSE,"Tenancy-MF";#N/A,#N/A,FALSE,"Market";#N/A,#N/A,FALSE,"Engineering";#N/A,#N/A,FALSE,"Environmental";#N/A,#N/A,FALSE,"Appraisal";#N/A,#N/A,FALSE,"UW Income";#N/A,#N/A,FALSE,"UW Expenses";#N/A,#N/A,FALSE,"UW Reserves";#N/A,#N/A,FALSE,"Exit-Valuation";#N/A,#N/A,FALSE,"Strengths-Weaknesses";#N/A,#N/A,FALSE,"Recommendation"}</definedName>
    <definedName name="_ex2" hidden="1">{#N/A,#N/A,FALSE,"Brief";#N/A,#N/A,FALSE,"Loan Purpose";#N/A,#N/A,FALSE,"Borrower";#N/A,#N/A,FALSE,"Sponsor";#N/A,#N/A,FALSE,"Site-Improvements";#N/A,#N/A,FALSE,"Manager";#N/A,#N/A,FALSE,"Tenancy-MF";#N/A,#N/A,FALSE,"Market";#N/A,#N/A,FALSE,"Engineering";#N/A,#N/A,FALSE,"Environmental";#N/A,#N/A,FALSE,"Appraisal";#N/A,#N/A,FALSE,"UW Income";#N/A,#N/A,FALSE,"UW Expenses";#N/A,#N/A,FALSE,"UW Reserves";#N/A,#N/A,FALSE,"Exit-Valuation";#N/A,#N/A,FALSE,"Strengths-Weaknesses";#N/A,#N/A,FALSE,"Recommendation"}</definedName>
    <definedName name="_ex3" localSheetId="7" hidden="1">{#N/A,#N/A,TRUE,"Brief";#N/A,#N/A,TRUE,"Loan Purpose";#N/A,#N/A,TRUE,"Borrower";#N/A,#N/A,TRUE,"Sponsor";#N/A,#N/A,TRUE,"Site-Improvements";#N/A,#N/A,TRUE,"Manager";#N/A,#N/A,TRUE,"Tenancy-Comm";#N/A,#N/A,TRUE,"Engineering";#N/A,#N/A,TRUE,"Market";#N/A,#N/A,TRUE,"Environmental";#N/A,#N/A,TRUE,"Appraisal";#N/A,#N/A,TRUE,"UW Income";#N/A,#N/A,TRUE,"UW Expenses";#N/A,#N/A,TRUE,"UW Reserves";#N/A,#N/A,TRUE,"Exit-Valuation";#N/A,#N/A,TRUE,"Strengths-Weaknesses";#N/A,#N/A,TRUE,"Recommendation"}</definedName>
    <definedName name="_ex3" hidden="1">{#N/A,#N/A,TRUE,"Brief";#N/A,#N/A,TRUE,"Loan Purpose";#N/A,#N/A,TRUE,"Borrower";#N/A,#N/A,TRUE,"Sponsor";#N/A,#N/A,TRUE,"Site-Improvements";#N/A,#N/A,TRUE,"Manager";#N/A,#N/A,TRUE,"Tenancy-Comm";#N/A,#N/A,TRUE,"Engineering";#N/A,#N/A,TRUE,"Market";#N/A,#N/A,TRUE,"Environmental";#N/A,#N/A,TRUE,"Appraisal";#N/A,#N/A,TRUE,"UW Income";#N/A,#N/A,TRUE,"UW Expenses";#N/A,#N/A,TRUE,"UW Reserves";#N/A,#N/A,TRUE,"Exit-Valuation";#N/A,#N/A,TRUE,"Strengths-Weaknesses";#N/A,#N/A,TRUE,"Recommendation"}</definedName>
    <definedName name="_ex4" localSheetId="7" hidden="1">{#N/A,#N/A,TRUE,"Input";#N/A,#N/A,TRUE,"Op Stmt Reconciliation";#N/A,#N/A,TRUE,"RR Reconciliation";#N/A,#N/A,TRUE,"Rollover";#N/A,#N/A,TRUE,"Cash Flow Summary";#N/A,#N/A,TRUE,"Loan Analysis";#N/A,#N/A,TRUE,"Projection"}</definedName>
    <definedName name="_ex4" hidden="1">{#N/A,#N/A,TRUE,"Input";#N/A,#N/A,TRUE,"Op Stmt Reconciliation";#N/A,#N/A,TRUE,"RR Reconciliation";#N/A,#N/A,TRUE,"Rollover";#N/A,#N/A,TRUE,"Cash Flow Summary";#N/A,#N/A,TRUE,"Loan Analysis";#N/A,#N/A,TRUE,"Projection"}</definedName>
    <definedName name="_ex5" localSheetId="7" hidden="1">{#N/A,#N/A,FALSE,"Commercial Sizing";#N/A,#N/A,FALSE,"Pricing Matrix";#N/A,#N/A,FALSE,"Cash Flow (1)";#N/A,#N/A,FALSE,"Cash Flow (2)";#N/A,#N/A,FALSE,"Refinance Test";#N/A,#N/A,FALSE,"RentRoll";#N/A,#N/A,FALSE,"TI_LC"}</definedName>
    <definedName name="_ex5" hidden="1">{#N/A,#N/A,FALSE,"Commercial Sizing";#N/A,#N/A,FALSE,"Pricing Matrix";#N/A,#N/A,FALSE,"Cash Flow (1)";#N/A,#N/A,FALSE,"Cash Flow (2)";#N/A,#N/A,FALSE,"Refinance Test";#N/A,#N/A,FALSE,"RentRoll";#N/A,#N/A,FALSE,"TI_LC"}</definedName>
    <definedName name="_ex6" localSheetId="7" hidden="1">{#N/A,#N/A,TRUE,"Commercial Sizing";#N/A,#N/A,TRUE,"Cash Flow (1)";#N/A,#N/A,TRUE,"Cash Flow (2)";#N/A,#N/A,TRUE,"Refinance Test";#N/A,#N/A,TRUE,"RentRoll";#N/A,#N/A,TRUE,"TI_LC"}</definedName>
    <definedName name="_ex6" hidden="1">{#N/A,#N/A,TRUE,"Commercial Sizing";#N/A,#N/A,TRUE,"Cash Flow (1)";#N/A,#N/A,TRUE,"Cash Flow (2)";#N/A,#N/A,TRUE,"Refinance Test";#N/A,#N/A,TRUE,"RentRoll";#N/A,#N/A,TRUE,"TI_LC"}</definedName>
    <definedName name="_fff2" localSheetId="7" hidden="1">{"Main",#N/A,FALSE,"Wacker";"Main2",#N/A,FALSE,"Wacker";"Value",#N/A,FALSE,"Wacker";"Sensitivity",#N/A,FALSE,"Wacker";"Paine",#N/A,FALSE,"Wacker";"Quaker",#N/A,FALSE,"Wacker";"Wacker",#N/A,FALSE,"Wacker";"1900",#N/A,FALSE,"Wacker";"1901",#N/A,FALSE,"Wacker"}</definedName>
    <definedName name="_fff2" hidden="1">{"Main",#N/A,FALSE,"Wacker";"Main2",#N/A,FALSE,"Wacker";"Value",#N/A,FALSE,"Wacker";"Sensitivity",#N/A,FALSE,"Wacker";"Paine",#N/A,FALSE,"Wacker";"Quaker",#N/A,FALSE,"Wacker";"Wacker",#N/A,FALSE,"Wacker";"1900",#N/A,FALSE,"Wacker";"1901",#N/A,FALSE,"Wacker"}</definedName>
    <definedName name="_Fil1" hidden="1">#REF!</definedName>
    <definedName name="_Fill" localSheetId="6" hidden="1">#REF!</definedName>
    <definedName name="_Fill" localSheetId="35" hidden="1">#REF!</definedName>
    <definedName name="_Fill" localSheetId="9" hidden="1">#REF!</definedName>
    <definedName name="_Fill" localSheetId="28" hidden="1">[4]RENTANAL!#REF!</definedName>
    <definedName name="_Fill" localSheetId="20" hidden="1">[4]RENTANAL!#REF!</definedName>
    <definedName name="_Fill" localSheetId="43" hidden="1">#REF!</definedName>
    <definedName name="_Fill" localSheetId="2" hidden="1">#REF!</definedName>
    <definedName name="_Fill" localSheetId="11" hidden="1">#REF!</definedName>
    <definedName name="_Fill" localSheetId="7" hidden="1">#REF!</definedName>
    <definedName name="_Fill" hidden="1">#REF!</definedName>
    <definedName name="_Fill2" hidden="1">#REF!</definedName>
    <definedName name="_fill3" hidden="1">#REF!</definedName>
    <definedName name="_xlnm._FilterDatabase" localSheetId="28" hidden="1">'Hard Cost Details'!#REF!</definedName>
    <definedName name="_xlnm._FilterDatabase" hidden="1">#REF!</definedName>
    <definedName name="_ggg2" localSheetId="7" hidden="1">{"View1",#N/A,FALSE,"Sheet1";"View2",#N/A,FALSE,"Sheet1"}</definedName>
    <definedName name="_ggg2" hidden="1">{"View1",#N/A,FALSE,"Sheet1";"View2",#N/A,FALSE,"Sheet1"}</definedName>
    <definedName name="_GSRATES_1" hidden="1">"CT300001Latest          "</definedName>
    <definedName name="_GSRATES_2" hidden="1">"CT30000120000516        "</definedName>
    <definedName name="_GSRATES_3" hidden="1">"CT30000119991231        "</definedName>
    <definedName name="_GSRATES_4" hidden="1">"CT30000119981231        "</definedName>
    <definedName name="_GSRATES_5" hidden="1">"CT30000119981231        "</definedName>
    <definedName name="_GSRATES_6" hidden="1">"CT30000120000517        "</definedName>
    <definedName name="_GSRATES_7" hidden="1">"CT30000120000331        "</definedName>
    <definedName name="_GSRATES_COUNT" hidden="1">1</definedName>
    <definedName name="_GSRATESR_1" hidden="1">#N/A</definedName>
    <definedName name="_hd1" localSheetId="7" hidden="1">{#N/A,#N/A,FALSE,"Calc";#N/A,#N/A,FALSE,"Sensitivity";#N/A,#N/A,FALSE,"LT Earn.Dil.";#N/A,#N/A,FALSE,"Dil. AVP"}</definedName>
    <definedName name="_hd1" hidden="1">{#N/A,#N/A,FALSE,"Calc";#N/A,#N/A,FALSE,"Sensitivity";#N/A,#N/A,FALSE,"LT Earn.Dil.";#N/A,#N/A,FALSE,"Dil. AVP"}</definedName>
    <definedName name="_hd2" localSheetId="7" hidden="1">{#N/A,#N/A,FALSE,"Calc";#N/A,#N/A,FALSE,"Sensitivity";#N/A,#N/A,FALSE,"LT Earn.Dil.";#N/A,#N/A,FALSE,"Dil. AVP"}</definedName>
    <definedName name="_hd2" hidden="1">{#N/A,#N/A,FALSE,"Calc";#N/A,#N/A,FALSE,"Sensitivity";#N/A,#N/A,FALSE,"LT Earn.Dil.";#N/A,#N/A,FALSE,"Dil. AVP"}</definedName>
    <definedName name="_jo1" localSheetId="7" hidden="1">{#N/A,#N/A,FALSE,"Calculator"}</definedName>
    <definedName name="_jo1" hidden="1">{#N/A,#N/A,FALSE,"Calculator"}</definedName>
    <definedName name="_key02" hidden="1">#N/A</definedName>
    <definedName name="_Key1" hidden="1">#REF!</definedName>
    <definedName name="_Key12" hidden="1">#REF!</definedName>
    <definedName name="_Key2" hidden="1">#REF!</definedName>
    <definedName name="_Key5" hidden="1">#REF!</definedName>
    <definedName name="_Key6" hidden="1">#REF!</definedName>
    <definedName name="_Key8" hidden="1">#REF!</definedName>
    <definedName name="_Key9" hidden="1">#REF!</definedName>
    <definedName name="_ky1" hidden="1">#REF!</definedName>
    <definedName name="_mg3" localSheetId="7" hidden="1">{"Main",#N/A,FALSE,"Wacker";"Main2",#N/A,FALSE,"Wacker";"Value",#N/A,FALSE,"Wacker";"Sensitivity",#N/A,FALSE,"Wacker";"Paine",#N/A,FALSE,"Wacker";"Quaker",#N/A,FALSE,"Wacker";"Wacker",#N/A,FALSE,"Wacker";"1900",#N/A,FALSE,"Wacker";"1901",#N/A,FALSE,"Wacker"}</definedName>
    <definedName name="_mg3" hidden="1">{"Main",#N/A,FALSE,"Wacker";"Main2",#N/A,FALSE,"Wacker";"Value",#N/A,FALSE,"Wacker";"Sensitivity",#N/A,FALSE,"Wacker";"Paine",#N/A,FALSE,"Wacker";"Quaker",#N/A,FALSE,"Wacker";"Wacker",#N/A,FALSE,"Wacker";"1900",#N/A,FALSE,"Wacker";"1901",#N/A,FALSE,"Wacker"}</definedName>
    <definedName name="_MRG2" localSheetId="7" hidden="1">{"INCOME",#N/A,FALSE,"ProNet";"VALUE",#N/A,FALSE,"ProNet"}</definedName>
    <definedName name="_MRG2" hidden="1">{"INCOME",#N/A,FALSE,"ProNet";"VALUE",#N/A,FALSE,"ProNet"}</definedName>
    <definedName name="_new" localSheetId="7" hidden="1">{#N/A,#N/A,FALSE,"COVER";#N/A,#N/A,FALSE,"PROFORMA";#N/A,#N/A,FALSE,"Construction CF";#N/A,#N/A,FALSE,"CASHFLOW";#N/A,#N/A,FALSE,"Sale &amp; IRR Analysis";#N/A,#N/A,FALSE,"Amortization Table";#N/A,#N/A,FALSE,"Amortization FEMA";#N/A,#N/A,FALSE,"INCOME"}</definedName>
    <definedName name="_new" hidden="1">{#N/A,#N/A,FALSE,"COVER";#N/A,#N/A,FALSE,"PROFORMA";#N/A,#N/A,FALSE,"Construction CF";#N/A,#N/A,FALSE,"CASHFLOW";#N/A,#N/A,FALSE,"Sale &amp; IRR Analysis";#N/A,#N/A,FALSE,"Amortization Table";#N/A,#N/A,FALSE,"Amortization FEMA";#N/A,#N/A,FALSE,"INCOME"}</definedName>
    <definedName name="_new1" localSheetId="7" hidden="1">{"Data Input",#N/A,TRUE,"Data Input";"15-Yr Cash Flow",#N/A,TRUE,"Cash Flow";"15-Yr Value",#N/A,TRUE,"Value "}</definedName>
    <definedName name="_new1" hidden="1">{"Data Input",#N/A,TRUE,"Data Input";"15-Yr Cash Flow",#N/A,TRUE,"Cash Flow";"15-Yr Value",#N/A,TRUE,"Value "}</definedName>
    <definedName name="_New10" localSheetId="7" hidden="1">{"View1",#N/A,FALSE,"Sheet1";"View2",#N/A,FALSE,"Sheet1"}</definedName>
    <definedName name="_New10" hidden="1">{"View1",#N/A,FALSE,"Sheet1";"View2",#N/A,FALSE,"Sheet1"}</definedName>
    <definedName name="_New11" localSheetId="7" hidden="1">{"View1",#N/A,FALSE,"Sheet1";"View2",#N/A,FALSE,"Sheet1"}</definedName>
    <definedName name="_New11" hidden="1">{"View1",#N/A,FALSE,"Sheet1";"View2",#N/A,FALSE,"Sheet1"}</definedName>
    <definedName name="_New12" localSheetId="7" hidden="1">{"Main",#N/A,FALSE,"Wacker";"Main2",#N/A,FALSE,"Wacker";"Value",#N/A,FALSE,"Wacker";"Sensitivity",#N/A,FALSE,"Wacker";"Paine",#N/A,FALSE,"Wacker";"Quaker",#N/A,FALSE,"Wacker";"Wacker",#N/A,FALSE,"Wacker";"1900",#N/A,FALSE,"Wacker";"1901",#N/A,FALSE,"Wacker"}</definedName>
    <definedName name="_New12" hidden="1">{"Main",#N/A,FALSE,"Wacker";"Main2",#N/A,FALSE,"Wacker";"Value",#N/A,FALSE,"Wacker";"Sensitivity",#N/A,FALSE,"Wacker";"Paine",#N/A,FALSE,"Wacker";"Quaker",#N/A,FALSE,"Wacker";"Wacker",#N/A,FALSE,"Wacker";"1900",#N/A,FALSE,"Wacker";"1901",#N/A,FALSE,"Wacker"}</definedName>
    <definedName name="_New13" localSheetId="7" hidden="1">{"Main",#N/A,FALSE,"Wacker";"Main2",#N/A,FALSE,"Wacker";"Value",#N/A,FALSE,"Wacker";"Sensitivity",#N/A,FALSE,"Wacker";"Paine",#N/A,FALSE,"Wacker";"Quaker",#N/A,FALSE,"Wacker";"Wacker",#N/A,FALSE,"Wacker";"1900",#N/A,FALSE,"Wacker";"1901",#N/A,FALSE,"Wacker"}</definedName>
    <definedName name="_New13" hidden="1">{"Main",#N/A,FALSE,"Wacker";"Main2",#N/A,FALSE,"Wacker";"Value",#N/A,FALSE,"Wacker";"Sensitivity",#N/A,FALSE,"Wacker";"Paine",#N/A,FALSE,"Wacker";"Quaker",#N/A,FALSE,"Wacker";"Wacker",#N/A,FALSE,"Wacker";"1900",#N/A,FALSE,"Wacker";"1901",#N/A,FALSE,"Wacker"}</definedName>
    <definedName name="_New15" localSheetId="7" hidden="1">{"Main",#N/A,FALSE,"Wacker";"Main2",#N/A,FALSE,"Wacker";"Value",#N/A,FALSE,"Wacker";"Sensitivity",#N/A,FALSE,"Wacker";"Paine",#N/A,FALSE,"Wacker";"Quaker",#N/A,FALSE,"Wacker";"Wacker",#N/A,FALSE,"Wacker";"1900",#N/A,FALSE,"Wacker";"1901",#N/A,FALSE,"Wacker"}</definedName>
    <definedName name="_New15" hidden="1">{"Main",#N/A,FALSE,"Wacker";"Main2",#N/A,FALSE,"Wacker";"Value",#N/A,FALSE,"Wacker";"Sensitivity",#N/A,FALSE,"Wacker";"Paine",#N/A,FALSE,"Wacker";"Quaker",#N/A,FALSE,"Wacker";"Wacker",#N/A,FALSE,"Wacker";"1900",#N/A,FALSE,"Wacker";"1901",#N/A,FALSE,"Wacker"}</definedName>
    <definedName name="_New2" localSheetId="7" hidden="1">{"Main",#N/A,FALSE,"Wacker";"Main2",#N/A,FALSE,"Wacker";"Value",#N/A,FALSE,"Wacker";"Sensitivity",#N/A,FALSE,"Wacker";"Paine",#N/A,FALSE,"Wacker";"Quaker",#N/A,FALSE,"Wacker";"Wacker",#N/A,FALSE,"Wacker";"1900",#N/A,FALSE,"Wacker";"1901",#N/A,FALSE,"Wacker"}</definedName>
    <definedName name="_New2" hidden="1">{"Main",#N/A,FALSE,"Wacker";"Main2",#N/A,FALSE,"Wacker";"Value",#N/A,FALSE,"Wacker";"Sensitivity",#N/A,FALSE,"Wacker";"Paine",#N/A,FALSE,"Wacker";"Quaker",#N/A,FALSE,"Wacker";"Wacker",#N/A,FALSE,"Wacker";"1900",#N/A,FALSE,"Wacker";"1901",#N/A,FALSE,"Wacker"}</definedName>
    <definedName name="_new3" localSheetId="7" hidden="1">{"ODB",#N/A,FALSE,"Hold Scenario"}</definedName>
    <definedName name="_new3" hidden="1">{"ODB",#N/A,FALSE,"Hold Scenario"}</definedName>
    <definedName name="_new4" localSheetId="7" hidden="1">{#N/A,#N/A,FALSE,"OpEx (PP)";#N/A,#N/A,FALSE,"Lease Comps (O)-BT";#N/A,#N/A,FALSE,"OpEx (CC)";#N/A,#N/A,FALSE,"Value (PP-Base)";#N/A,#N/A,FALSE,"Value (CC-Base)";#N/A,#N/A,FALSE,"Sales Comps (R)";#N/A,#N/A,FALSE,"Sales Comps (O)"}</definedName>
    <definedName name="_new4" hidden="1">{#N/A,#N/A,FALSE,"OpEx (PP)";#N/A,#N/A,FALSE,"Lease Comps (O)-BT";#N/A,#N/A,FALSE,"OpEx (CC)";#N/A,#N/A,FALSE,"Value (PP-Base)";#N/A,#N/A,FALSE,"Value (CC-Base)";#N/A,#N/A,FALSE,"Sales Comps (R)";#N/A,#N/A,FALSE,"Sales Comps (O)"}</definedName>
    <definedName name="_New5" localSheetId="7" hidden="1">{"View1",#N/A,FALSE,"Sheet1";"View2",#N/A,FALSE,"Sheet1"}</definedName>
    <definedName name="_New5" hidden="1">{"View1",#N/A,FALSE,"Sheet1";"View2",#N/A,FALSE,"Sheet1"}</definedName>
    <definedName name="_New6" localSheetId="7" hidden="1">{"View1",#N/A,FALSE,"Sheet1";"View2",#N/A,FALSE,"Sheet1"}</definedName>
    <definedName name="_New6" hidden="1">{"View1",#N/A,FALSE,"Sheet1";"View2",#N/A,FALSE,"Sheet1"}</definedName>
    <definedName name="_New7" localSheetId="7" hidden="1">{"View1",#N/A,FALSE,"Sheet1";"View2",#N/A,FALSE,"Sheet1"}</definedName>
    <definedName name="_New7" hidden="1">{"View1",#N/A,FALSE,"Sheet1";"View2",#N/A,FALSE,"Sheet1"}</definedName>
    <definedName name="_New8" localSheetId="7" hidden="1">{"View1",#N/A,FALSE,"Sheet1";"View2",#N/A,FALSE,"Sheet1"}</definedName>
    <definedName name="_New8" hidden="1">{"View1",#N/A,FALSE,"Sheet1";"View2",#N/A,FALSE,"Sheet1"}</definedName>
    <definedName name="_New9" localSheetId="7" hidden="1">{"View1",#N/A,FALSE,"Sheet1";"View2",#N/A,FALSE,"Sheet1"}</definedName>
    <definedName name="_New9" hidden="1">{"View1",#N/A,FALSE,"Sheet1";"View2",#N/A,FALSE,"Sheet1"}</definedName>
    <definedName name="_OLD2" hidden="1">#REF!</definedName>
    <definedName name="_Order1" hidden="1">0</definedName>
    <definedName name="_Order1_1" hidden="1">0</definedName>
    <definedName name="_Order1_1_1" hidden="1">255</definedName>
    <definedName name="_Order2" localSheetId="7" hidden="1">0</definedName>
    <definedName name="_Order2" hidden="1">255</definedName>
    <definedName name="_Order2_1" hidden="1">0</definedName>
    <definedName name="_Order2_1_1" hidden="1">255</definedName>
    <definedName name="_Parse_In" hidden="1">#N/A</definedName>
    <definedName name="_Parse_Out" hidden="1">#N/A</definedName>
    <definedName name="_pro2" localSheetId="7" hidden="1">{"Construction Costs",#N/A,FALSE,"Budget";"Income Statement",#N/A,FALSE,"Budget"}</definedName>
    <definedName name="_pro2" hidden="1">{"Construction Costs",#N/A,FALSE,"Budget";"Income Statement",#N/A,FALSE,"Budget"}</definedName>
    <definedName name="_r" localSheetId="7" hidden="1">{#N/A,#N/A,FALSE,"Actual";#N/A,#N/A,FALSE,"Management Report 2";#N/A,#N/A,FALSE,"Management Report 3";#N/A,#N/A,FALSE,"Ergebnis";#N/A,#N/A,FALSE,"Summary";#N/A,#N/A,FALSE,"Konrzern";#N/A,#N/A,FALSE,"Abweichung Budget-Actuell"}</definedName>
    <definedName name="_r" hidden="1">{#N/A,#N/A,FALSE,"Actual";#N/A,#N/A,FALSE,"Management Report 2";#N/A,#N/A,FALSE,"Management Report 3";#N/A,#N/A,FALSE,"Ergebnis";#N/A,#N/A,FALSE,"Summary";#N/A,#N/A,FALSE,"Konrzern";#N/A,#N/A,FALSE,"Abweichung Budget-Actuell"}</definedName>
    <definedName name="_re2" localSheetId="7" hidden="1">{"NOPCAPEVA",#N/A,FALSE,"Nopat";"FCFCSTAR",#N/A,FALSE,"FCFVAL";"EVAVL",#N/A,FALSE,"EVAVAL";"LEASE",#N/A,FALSE,"OpLease"}</definedName>
    <definedName name="_re2" hidden="1">{"NOPCAPEVA",#N/A,FALSE,"Nopat";"FCFCSTAR",#N/A,FALSE,"FCFVAL";"EVAVL",#N/A,FALSE,"EVAVAL";"LEASE",#N/A,FALSE,"OpLease"}</definedName>
    <definedName name="_re3" localSheetId="7" hidden="1">{"NOPCAPEVA",#N/A,FALSE,"Nopat";"FCFCSTAR",#N/A,FALSE,"FCFVAL";"EVAVL",#N/A,FALSE,"EVAVAL";"LEASE",#N/A,FALSE,"OpLease"}</definedName>
    <definedName name="_re3" hidden="1">{"NOPCAPEVA",#N/A,FALSE,"Nopat";"FCFCSTAR",#N/A,FALSE,"FCFVAL";"EVAVL",#N/A,FALSE,"EVAVAL";"LEASE",#N/A,FALSE,"OpLease"}</definedName>
    <definedName name="_re4" localSheetId="7" hidden="1">{"NOPCAPEVA",#N/A,FALSE,"Nopat";"FCFCSTAR",#N/A,FALSE,"FCFVAL";"EVAVL",#N/A,FALSE,"EVAVAL";"LEASE",#N/A,FALSE,"OpLease"}</definedName>
    <definedName name="_re4" hidden="1">{"NOPCAPEVA",#N/A,FALSE,"Nopat";"FCFCSTAR",#N/A,FALSE,"FCFVAL";"EVAVL",#N/A,FALSE,"EVAVAL";"LEASE",#N/A,FALSE,"OpLease"}</definedName>
    <definedName name="_re5" localSheetId="7" hidden="1">{"NOPCAPEVA",#N/A,FALSE,"Nopat";"FCFCSTAR",#N/A,FALSE,"FCFVAL";"EVAVL",#N/A,FALSE,"EVAVAL";"LEASE",#N/A,FALSE,"OpLease"}</definedName>
    <definedName name="_re5" hidden="1">{"NOPCAPEVA",#N/A,FALSE,"Nopat";"FCFCSTAR",#N/A,FALSE,"FCFVAL";"EVAVL",#N/A,FALSE,"EVAVAL";"LEASE",#N/A,FALSE,"OpLease"}</definedName>
    <definedName name="_re6" localSheetId="7" hidden="1">{"NOPCAPEVA",#N/A,FALSE,"Nopat";"FCFCSTAR",#N/A,FALSE,"FCFVAL";"EVAVL",#N/A,FALSE,"EVAVAL";"LEASE",#N/A,FALSE,"OpLease"}</definedName>
    <definedName name="_re6" hidden="1">{"NOPCAPEVA",#N/A,FALSE,"Nopat";"FCFCSTAR",#N/A,FALSE,"FCFVAL";"EVAVL",#N/A,FALSE,"EVAVAL";"LEASE",#N/A,FALSE,"OpLease"}</definedName>
    <definedName name="_re7" localSheetId="7" hidden="1">{"NOPCAPEVA",#N/A,FALSE,"Nopat";"FCFCSTAR",#N/A,FALSE,"FCFVAL";"EVAVL",#N/A,FALSE,"EVAVAL";"LEASE",#N/A,FALSE,"OpLease"}</definedName>
    <definedName name="_re7" hidden="1">{"NOPCAPEVA",#N/A,FALSE,"Nopat";"FCFCSTAR",#N/A,FALSE,"FCFVAL";"EVAVL",#N/A,FALSE,"EVAVAL";"LEASE",#N/A,FALSE,"OpLease"}</definedName>
    <definedName name="_re8" localSheetId="7" hidden="1">{"NOPCAPEVA",#N/A,FALSE,"Nopat";"FCFCSTAR",#N/A,FALSE,"FCFVAL";"EVAVL",#N/A,FALSE,"EVAVAL";"LEASE",#N/A,FALSE,"OpLease"}</definedName>
    <definedName name="_re8" hidden="1">{"NOPCAPEVA",#N/A,FALSE,"Nopat";"FCFCSTAR",#N/A,FALSE,"FCFVAL";"EVAVL",#N/A,FALSE,"EVAVAL";"LEASE",#N/A,FALSE,"OpLease"}</definedName>
    <definedName name="_Regression_Int" hidden="1">1</definedName>
    <definedName name="_Sort" hidden="1">#REF!</definedName>
    <definedName name="_sort2" hidden="1">#REF!</definedName>
    <definedName name="_Table1_In1" hidden="1">#REF!</definedName>
    <definedName name="_Table1_Out" hidden="1">#REF!</definedName>
    <definedName name="_Table2_In1" hidden="1">#REF!</definedName>
    <definedName name="_Table2_In1a" hidden="1">#REF!</definedName>
    <definedName name="_Table2_In2" hidden="1">#REF!</definedName>
    <definedName name="_Table2_Out" hidden="1">#REF!</definedName>
    <definedName name="_Table3_In2" hidden="1">#REF!</definedName>
    <definedName name="_Table3_In3" hidden="1">#REF!</definedName>
    <definedName name="_wrn1" localSheetId="7" hidden="1">{"schedule1",#N/A,FALSE,"Sheet1";"schedule2",#N/A,FALSE,"Sheet1";"schedule3",#N/A,FALSE,"Sheet1";"schedule4",#N/A,FALSE,"Sheet1";"schedule5",#N/A,FALSE,"Sheet1";"schedule6",#N/A,FALSE,"Sheet1"}</definedName>
    <definedName name="_wrn1" hidden="1">{"schedule1",#N/A,FALSE,"Sheet1";"schedule2",#N/A,FALSE,"Sheet1";"schedule3",#N/A,FALSE,"Sheet1";"schedule4",#N/A,FALSE,"Sheet1";"schedule5",#N/A,FALSE,"Sheet1";"schedule6",#N/A,FALSE,"Sheet1"}</definedName>
    <definedName name="_wrn1_1" localSheetId="7" hidden="1">{"schedule1",#N/A,FALSE,"Sheet1";"schedule2",#N/A,FALSE,"Sheet1";"schedule3",#N/A,FALSE,"Sheet1";"schedule4",#N/A,FALSE,"Sheet1";"schedule5",#N/A,FALSE,"Sheet1";"schedule6",#N/A,FALSE,"Sheet1"}</definedName>
    <definedName name="_wrn1_1" hidden="1">{"schedule1",#N/A,FALSE,"Sheet1";"schedule2",#N/A,FALSE,"Sheet1";"schedule3",#N/A,FALSE,"Sheet1";"schedule4",#N/A,FALSE,"Sheet1";"schedule5",#N/A,FALSE,"Sheet1";"schedule6",#N/A,FALSE,"Sheet1"}</definedName>
    <definedName name="_wrn2" localSheetId="7" hidden="1">{"TB_PR","50",FALSE,"PR_TRIAL_BALANCE";"TB_PR","51",FALSE,"PR_TRIAL_BALANCE";"TB_PR","52",FALSE,"PR_TRIAL_BALANCE";"TB_PR","53",FALSE,"PR_TRIAL_BALANCE";"TB_PR","54",FALSE,"PR_TRIAL_BALANCE";"TB_PR","55",FALSE,"PR_TRIAL_BALANCE";"TB_PR","56",FALSE,"PR_TRIAL_BALANCE";"TB_PR","57",FALSE,"PR_TRIAL_BALANCE";"TB_PR","61",FALSE,"PR_TRIAL_BALANCE";"TB_PR","63",FALSE,"PR_TRIAL_BALANCE";"TB_PR","65",FALSE,"PR_TRIAL_BALANCE";"TB_PR","66",FALSE,"PR_TRIAL_BALANCE"}</definedName>
    <definedName name="_wrn2" hidden="1">{"TB_PR","50",FALSE,"PR_TRIAL_BALANCE";"TB_PR","51",FALSE,"PR_TRIAL_BALANCE";"TB_PR","52",FALSE,"PR_TRIAL_BALANCE";"TB_PR","53",FALSE,"PR_TRIAL_BALANCE";"TB_PR","54",FALSE,"PR_TRIAL_BALANCE";"TB_PR","55",FALSE,"PR_TRIAL_BALANCE";"TB_PR","56",FALSE,"PR_TRIAL_BALANCE";"TB_PR","57",FALSE,"PR_TRIAL_BALANCE";"TB_PR","61",FALSE,"PR_TRIAL_BALANCE";"TB_PR","63",FALSE,"PR_TRIAL_BALANCE";"TB_PR","65",FALSE,"PR_TRIAL_BALANCE";"TB_PR","66",FALSE,"PR_TRIAL_BALANCE"}</definedName>
    <definedName name="_wrn3" localSheetId="7" hidden="1">{#N/A,#N/A,FALSE,"Cash Flow";#N/A,#N/A,FALSE,"FFO";#N/A,#N/A,FALSE,"Dvlpt Assumptions";#N/A,#N/A,FALSE,"Equity &amp; Constr Financing";#N/A,#N/A,FALSE,"JV Fee Analysis - cash";#N/A,#N/A,FALSE,"JV Fee Analysis - GAAP";#N/A,#N/A,FALSE,"Prop CF Adj";#N/A,#N/A,FALSE,"Land Sales";#N/A,#N/A,FALSE,"Capex, existing";#N/A,#N/A,FALSE,"Capex,97 Budget";#N/A,#N/A,FALSE,"Capex, dvlpt";#N/A,#N/A,FALSE,"Cap overhead";#N/A,#N/A,FALSE,"Project Equity";#N/A,#N/A,FALSE,"Leasing Fees";#N/A,#N/A,FALSE,"Debt";#N/A,#N/A,FALSE,"Capitalized Interest";#N/A,#N/A,FALSE,"FF&amp; E Loan";#N/A,#N/A,FALSE,"Strip loan";#N/A,#N/A,FALSE,"Franklin Loan";#N/A,#N/A,FALSE,"Poto_Gurn Amortiz";#N/A,#N/A,FALSE,"Dividend Distr";#N/A,#N/A,FALSE,"Investment in Partnerships";#N/A,#N/A,FALSE,"JV Ops Cash Flow Adj.";#N/A,#N/A,FALSE,"Ontario";#N/A,#N/A,FALSE,"Ontario-Proj";#N/A,#N/A,FALSE,"Ont Debt";#N/A,#N/A,FALSE,"Grapevine";#N/A,#N/A,FALSE,"Grapevine-Proj";#N/A,#N/A,FALSE,"Arizona";#N/A,#N/A,FALSE,"Arizona - Proj";#N/A,#N/A,FALSE,"Sawgrass Ph III";#N/A,#N/A,FALSE,"Saw Phase III-Proj";#N/A,#N/A,FALSE,"City Center";#N/A,#N/A,FALSE,"City Center-Proj";#N/A,#N/A,FALSE,"Columbus";#N/A,#N/A,FALSE,"Columbus-Proj";#N/A,#N/A,FALSE,"Atlanta";#N/A,#N/A,FALSE,"Atlanta-Proj";#N/A,#N/A,FALSE,"Monee";#N/A,#N/A,FALSE,"Monee-Proj";#N/A,#N/A,FALSE,"Houston";#N/A,#N/A,FALSE,"Houston-Proj";#N/A,#N/A,FALSE,"San Francisco";#N/A,#N/A,FALSE,"San Francisco-Proj";#N/A,#N/A,FALSE,"Meadowlands";#N/A,#N/A,FALSE,"Meadowlands-Proj";#N/A,#N/A,FALSE,"Toronto";#N/A,#N/A,FALSE,"Toronto-Proj"}</definedName>
    <definedName name="_wrn3" hidden="1">{#N/A,#N/A,FALSE,"Cash Flow";#N/A,#N/A,FALSE,"FFO";#N/A,#N/A,FALSE,"Dvlpt Assumptions";#N/A,#N/A,FALSE,"Equity &amp; Constr Financing";#N/A,#N/A,FALSE,"JV Fee Analysis - cash";#N/A,#N/A,FALSE,"JV Fee Analysis - GAAP";#N/A,#N/A,FALSE,"Prop CF Adj";#N/A,#N/A,FALSE,"Land Sales";#N/A,#N/A,FALSE,"Capex, existing";#N/A,#N/A,FALSE,"Capex,97 Budget";#N/A,#N/A,FALSE,"Capex, dvlpt";#N/A,#N/A,FALSE,"Cap overhead";#N/A,#N/A,FALSE,"Project Equity";#N/A,#N/A,FALSE,"Leasing Fees";#N/A,#N/A,FALSE,"Debt";#N/A,#N/A,FALSE,"Capitalized Interest";#N/A,#N/A,FALSE,"FF&amp; E Loan";#N/A,#N/A,FALSE,"Strip loan";#N/A,#N/A,FALSE,"Franklin Loan";#N/A,#N/A,FALSE,"Poto_Gurn Amortiz";#N/A,#N/A,FALSE,"Dividend Distr";#N/A,#N/A,FALSE,"Investment in Partnerships";#N/A,#N/A,FALSE,"JV Ops Cash Flow Adj.";#N/A,#N/A,FALSE,"Ontario";#N/A,#N/A,FALSE,"Ontario-Proj";#N/A,#N/A,FALSE,"Ont Debt";#N/A,#N/A,FALSE,"Grapevine";#N/A,#N/A,FALSE,"Grapevine-Proj";#N/A,#N/A,FALSE,"Arizona";#N/A,#N/A,FALSE,"Arizona - Proj";#N/A,#N/A,FALSE,"Sawgrass Ph III";#N/A,#N/A,FALSE,"Saw Phase III-Proj";#N/A,#N/A,FALSE,"City Center";#N/A,#N/A,FALSE,"City Center-Proj";#N/A,#N/A,FALSE,"Columbus";#N/A,#N/A,FALSE,"Columbus-Proj";#N/A,#N/A,FALSE,"Atlanta";#N/A,#N/A,FALSE,"Atlanta-Proj";#N/A,#N/A,FALSE,"Monee";#N/A,#N/A,FALSE,"Monee-Proj";#N/A,#N/A,FALSE,"Houston";#N/A,#N/A,FALSE,"Houston-Proj";#N/A,#N/A,FALSE,"San Francisco";#N/A,#N/A,FALSE,"San Francisco-Proj";#N/A,#N/A,FALSE,"Meadowlands";#N/A,#N/A,FALSE,"Meadowlands-Proj";#N/A,#N/A,FALSE,"Toronto";#N/A,#N/A,FALSE,"Toronto-Proj"}</definedName>
    <definedName name="_wrn4" localSheetId="7" hidden="1">{"data",#N/A,FALSE,"INPUT"}</definedName>
    <definedName name="_wrn4" hidden="1">{"data",#N/A,FALSE,"INPUT"}</definedName>
    <definedName name="_wrn5" localSheetId="7" hidden="1">{#N/A,#N/A,FALSE,"Brief";#N/A,#N/A,FALSE,"Loan Purpose";#N/A,#N/A,FALSE,"Borrower";#N/A,#N/A,FALSE,"Sponsor";#N/A,#N/A,FALSE,"Site-Improvements";#N/A,#N/A,FALSE,"Manager";#N/A,#N/A,FALSE,"Tenancy-MF";#N/A,#N/A,FALSE,"Market";#N/A,#N/A,FALSE,"Engineering";#N/A,#N/A,FALSE,"Environmental";#N/A,#N/A,FALSE,"Appraisal";#N/A,#N/A,FALSE,"UW Income";#N/A,#N/A,FALSE,"UW Expenses";#N/A,#N/A,FALSE,"UW Reserves";#N/A,#N/A,FALSE,"Exit-Valuation";#N/A,#N/A,FALSE,"Strengths-Weaknesses";#N/A,#N/A,FALSE,"Recommendation"}</definedName>
    <definedName name="_wrn5" hidden="1">{#N/A,#N/A,FALSE,"Brief";#N/A,#N/A,FALSE,"Loan Purpose";#N/A,#N/A,FALSE,"Borrower";#N/A,#N/A,FALSE,"Sponsor";#N/A,#N/A,FALSE,"Site-Improvements";#N/A,#N/A,FALSE,"Manager";#N/A,#N/A,FALSE,"Tenancy-MF";#N/A,#N/A,FALSE,"Market";#N/A,#N/A,FALSE,"Engineering";#N/A,#N/A,FALSE,"Environmental";#N/A,#N/A,FALSE,"Appraisal";#N/A,#N/A,FALSE,"UW Income";#N/A,#N/A,FALSE,"UW Expenses";#N/A,#N/A,FALSE,"UW Reserves";#N/A,#N/A,FALSE,"Exit-Valuation";#N/A,#N/A,FALSE,"Strengths-Weaknesses";#N/A,#N/A,FALSE,"Recommendation"}</definedName>
    <definedName name="_www1" localSheetId="7" hidden="1">{#N/A,#N/A,FALSE,"Calculator"}</definedName>
    <definedName name="_www1" hidden="1">{#N/A,#N/A,FALSE,"Calculator"}</definedName>
    <definedName name="_www2" localSheetId="7" hidden="1">{#N/A,#N/A,FALSE,"Calculator"}</definedName>
    <definedName name="_www2" hidden="1">{#N/A,#N/A,FALSE,"Calculator"}</definedName>
    <definedName name="_x1" localSheetId="7" hidden="1">{#N/A,#N/A,FALSE,"WATCHDSC";#N/A,#N/A,FALSE,"2LOSSMOD";#N/A,#N/A,FALSE,"2LOSS";#N/A,#N/A,FALSE,"DSC";#N/A,#N/A,FALSE,"OPERAT";#N/A,#N/A,FALSE,"ADJUST";#N/A,#N/A,FALSE,"LEASE EXPIRE"}</definedName>
    <definedName name="_x1" hidden="1">{#N/A,#N/A,FALSE,"WATCHDSC";#N/A,#N/A,FALSE,"2LOSSMOD";#N/A,#N/A,FALSE,"2LOSS";#N/A,#N/A,FALSE,"DSC";#N/A,#N/A,FALSE,"OPERAT";#N/A,#N/A,FALSE,"ADJUST";#N/A,#N/A,FALSE,"LEASE EXPIRE"}</definedName>
    <definedName name="_x2" localSheetId="7" hidden="1">{#N/A,#N/A,FALSE,"WATCHDSC";#N/A,#N/A,FALSE,"2LOSSMOD";#N/A,#N/A,FALSE,"2LOSS";#N/A,#N/A,FALSE,"DSC";#N/A,#N/A,FALSE,"OPERAT";#N/A,#N/A,FALSE,"ADJUST";#N/A,#N/A,FALSE,"LEASE EXPIRE"}</definedName>
    <definedName name="_x2" hidden="1">{#N/A,#N/A,FALSE,"WATCHDSC";#N/A,#N/A,FALSE,"2LOSSMOD";#N/A,#N/A,FALSE,"2LOSS";#N/A,#N/A,FALSE,"DSC";#N/A,#N/A,FALSE,"OPERAT";#N/A,#N/A,FALSE,"ADJUST";#N/A,#N/A,FALSE,"LEASE EXPIRE"}</definedName>
    <definedName name="_x3" localSheetId="7" hidden="1">{#N/A,#N/A,FALSE,"WATCHDSC";#N/A,#N/A,FALSE,"2LOSSMOD";#N/A,#N/A,FALSE,"2LOSS";#N/A,#N/A,FALSE,"DSC";#N/A,#N/A,FALSE,"OPERAT";#N/A,#N/A,FALSE,"ADJUST";#N/A,#N/A,FALSE,"LEASE EXPIRE"}</definedName>
    <definedName name="_x3" hidden="1">{#N/A,#N/A,FALSE,"WATCHDSC";#N/A,#N/A,FALSE,"2LOSSMOD";#N/A,#N/A,FALSE,"2LOSS";#N/A,#N/A,FALSE,"DSC";#N/A,#N/A,FALSE,"OPERAT";#N/A,#N/A,FALSE,"ADJUST";#N/A,#N/A,FALSE,"LEASE EXPIRE"}</definedName>
    <definedName name="_xleta.AND" hidden="1" xlm="1">#NAME?</definedName>
    <definedName name="_xleta.AVERAGE" hidden="1" xlm="1">#NAME?</definedName>
    <definedName name="_xleta.COUNT" hidden="1" xlm="1">#NAME?</definedName>
    <definedName name="_xleta.IF" hidden="1" xlm="1">#NAME?</definedName>
    <definedName name="_xleta.IRR" hidden="1" xlm="1">#NAME?</definedName>
    <definedName name="_xleta.ISERROR" hidden="1" xlm="1">#NAME?</definedName>
    <definedName name="_xleta.LOOKUP" hidden="1" xlm="1">#NAME?</definedName>
    <definedName name="_xleta.MAX" hidden="1" xlm="1">#NAME?</definedName>
    <definedName name="_xleta.MIN" hidden="1" xlm="1">#NAME?</definedName>
    <definedName name="_xleta.MOD" hidden="1" xlm="1">#NAME?</definedName>
    <definedName name="_xleta.MONTH" hidden="1" xlm="1">#NAME?</definedName>
    <definedName name="_xleta.OR" hidden="1" xlm="1">#NAME?</definedName>
    <definedName name="_xleta.ROUND" hidden="1" xlm="1">#NAME?</definedName>
    <definedName name="_xleta.ROUNDUP" hidden="1" xlm="1">#NAME?</definedName>
    <definedName name="_xleta.SUM" hidden="1" xlm="1">#NAME?</definedName>
    <definedName name="_xleta.SUMIFS" hidden="1" xlm="1">#NAME?</definedName>
    <definedName name="_xleta.SUMPRODUCT" hidden="1" xlm="1">#NAME?</definedName>
    <definedName name="_xleta.VLOOKUP" hidden="1" xlm="1">#NAME?</definedName>
    <definedName name="_xleta.YEAR" hidden="1" xlm="1">#NAME?</definedName>
    <definedName name="_xlpm.budg" hidden="1" xlm="1">#NAME?</definedName>
    <definedName name="_xlpm.dur" hidden="1" xlm="1">#NAME?</definedName>
    <definedName name="_xlpm.inPermit" hidden="1" xlm="1">#NAME?</definedName>
    <definedName name="_xlpm.inPhase" hidden="1" xlm="1">#NAME?</definedName>
    <definedName name="_xlpm.k" hidden="1" xlm="1">#NAME?</definedName>
    <definedName name="_xlpm.m0" hidden="1" xlm="1">#NAME?</definedName>
    <definedName name="_xlpm.rang" hidden="1" xlm="1">#NAME?</definedName>
    <definedName name="_xlpm.range" hidden="1" xlm="1">#NAME?</definedName>
    <definedName name="_xlpm.rembldgs" hidden="1" xlm="1">#NAME?</definedName>
    <definedName name="_xlpm.remBud" hidden="1" xlm="1">#NAME?</definedName>
    <definedName name="_xlpm.rembudget" hidden="1" xlm="1">#NAME?</definedName>
    <definedName name="_xlpm.remSF" hidden="1" xlm="1">#NAME?</definedName>
    <definedName name="_xlpm.remUnits" hidden="1" xlm="1">#NAME?</definedName>
    <definedName name="_xlpm.start" hidden="1" xlm="1">#NAME?</definedName>
    <definedName name="_xlpm.t" hidden="1" xlm="1">#NAME?</definedName>
    <definedName name="_xlpm.wBase" hidden="1" xlm="1">#NAME?</definedName>
    <definedName name="_xlpm.wDen" hidden="1" xlm="1">#NAME?</definedName>
    <definedName name="_xlpm.wThis" hidden="1" xlm="1">#NAME?</definedName>
    <definedName name="A">#REF!</definedName>
    <definedName name="a1a1" localSheetId="7" hidden="1">{"Assump",#N/A,TRUE,"Proforma";"first",#N/A,TRUE,"Proforma";"second",#N/A,TRUE,"Proforma";"lease1",#N/A,TRUE,"Proforma";"lease2",#N/A,TRUE,"Proforma"}</definedName>
    <definedName name="a1a1" hidden="1">{"Assump",#N/A,TRUE,"Proforma";"first",#N/A,TRUE,"Proforma";"second",#N/A,TRUE,"Proforma";"lease1",#N/A,TRUE,"Proforma";"lease2",#N/A,TRUE,"Proforma"}</definedName>
    <definedName name="aa" localSheetId="7" hidden="1">{"AnnualRentRoll",#N/A,FALSE,"RentRoll"}</definedName>
    <definedName name="aa" hidden="1">{"AnnualRentRoll",#N/A,FALSE,"RentRoll"}</definedName>
    <definedName name="aa.2" localSheetId="7" hidden="1">{#N/A,#N/A,FALSE,"Cashflow Analysis";#N/A,#N/A,FALSE,"Sensitivity Analysis";#N/A,#N/A,FALSE,"PV";#N/A,#N/A,FALSE,"Pro Forma"}</definedName>
    <definedName name="aa.2" hidden="1">{#N/A,#N/A,FALSE,"Cashflow Analysis";#N/A,#N/A,FALSE,"Sensitivity Analysis";#N/A,#N/A,FALSE,"PV";#N/A,#N/A,FALSE,"Pro Forma"}</definedName>
    <definedName name="aaa" localSheetId="7" hidden="1">{"AnnualRentRoll",#N/A,FALSE,"RentRoll"}</definedName>
    <definedName name="aaa" hidden="1">{"AnnualRentRoll",#N/A,FALSE,"RentRoll"}</definedName>
    <definedName name="AAA_DOCTOPS" hidden="1">"AAA_SET"</definedName>
    <definedName name="AAA_duser" hidden="1">"OFF"</definedName>
    <definedName name="aaaaaa" localSheetId="7" hidden="1">{#N/A,#N/A,FALSE,"Calculator"}</definedName>
    <definedName name="aaaaaa" hidden="1">{#N/A,#N/A,FALSE,"Calculator"}</definedName>
    <definedName name="aaaaaaa" localSheetId="7" hidden="1">{"Outflow 1",#N/A,FALSE,"Outflows-Inflows";"Outflow 2",#N/A,FALSE,"Outflows-Inflows";"Inflow 1",#N/A,FALSE,"Outflows-Inflows";"Inflow 2",#N/A,FALSE,"Outflows-Inflows"}</definedName>
    <definedName name="aaaaaaa" hidden="1">{"Outflow 1",#N/A,FALSE,"Outflows-Inflows";"Outflow 2",#N/A,FALSE,"Outflows-Inflows";"Inflow 1",#N/A,FALSE,"Outflows-Inflows";"Inflow 2",#N/A,FALSE,"Outflows-Inflows"}</definedName>
    <definedName name="aaaaaaa_1" localSheetId="7" hidden="1">{"Outflow 1",#N/A,FALSE,"Outflows-Inflows";"Outflow 2",#N/A,FALSE,"Outflows-Inflows";"Inflow 1",#N/A,FALSE,"Outflows-Inflows";"Inflow 2",#N/A,FALSE,"Outflows-Inflows"}</definedName>
    <definedName name="aaaaaaa_1" hidden="1">{"Outflow 1",#N/A,FALSE,"Outflows-Inflows";"Outflow 2",#N/A,FALSE,"Outflows-Inflows";"Inflow 1",#N/A,FALSE,"Outflows-Inflows";"Inflow 2",#N/A,FALSE,"Outflows-Inflows"}</definedName>
    <definedName name="aaaaaaa_1_1" localSheetId="7" hidden="1">{"Outflow 1",#N/A,FALSE,"Outflows-Inflows";"Outflow 2",#N/A,FALSE,"Outflows-Inflows";"Inflow 1",#N/A,FALSE,"Outflows-Inflows";"Inflow 2",#N/A,FALSE,"Outflows-Inflows"}</definedName>
    <definedName name="aaaaaaa_1_1" hidden="1">{"Outflow 1",#N/A,FALSE,"Outflows-Inflows";"Outflow 2",#N/A,FALSE,"Outflows-Inflows";"Inflow 1",#N/A,FALSE,"Outflows-Inflows";"Inflow 2",#N/A,FALSE,"Outflows-Inflows"}</definedName>
    <definedName name="aaaaaaa_1_1_1" localSheetId="7" hidden="1">{"Outflow 1",#N/A,FALSE,"Outflows-Inflows";"Outflow 2",#N/A,FALSE,"Outflows-Inflows";"Inflow 1",#N/A,FALSE,"Outflows-Inflows";"Inflow 2",#N/A,FALSE,"Outflows-Inflows"}</definedName>
    <definedName name="aaaaaaa_1_1_1" hidden="1">{"Outflow 1",#N/A,FALSE,"Outflows-Inflows";"Outflow 2",#N/A,FALSE,"Outflows-Inflows";"Inflow 1",#N/A,FALSE,"Outflows-Inflows";"Inflow 2",#N/A,FALSE,"Outflows-Inflows"}</definedName>
    <definedName name="aaaaaaa_1_2" localSheetId="7" hidden="1">{"Outflow 1",#N/A,FALSE,"Outflows-Inflows";"Outflow 2",#N/A,FALSE,"Outflows-Inflows";"Inflow 1",#N/A,FALSE,"Outflows-Inflows";"Inflow 2",#N/A,FALSE,"Outflows-Inflows"}</definedName>
    <definedName name="aaaaaaa_1_2" hidden="1">{"Outflow 1",#N/A,FALSE,"Outflows-Inflows";"Outflow 2",#N/A,FALSE,"Outflows-Inflows";"Inflow 1",#N/A,FALSE,"Outflows-Inflows";"Inflow 2",#N/A,FALSE,"Outflows-Inflows"}</definedName>
    <definedName name="aaaaaaa_1_3" localSheetId="7" hidden="1">{"Outflow 1",#N/A,FALSE,"Outflows-Inflows";"Outflow 2",#N/A,FALSE,"Outflows-Inflows";"Inflow 1",#N/A,FALSE,"Outflows-Inflows";"Inflow 2",#N/A,FALSE,"Outflows-Inflows"}</definedName>
    <definedName name="aaaaaaa_1_3" hidden="1">{"Outflow 1",#N/A,FALSE,"Outflows-Inflows";"Outflow 2",#N/A,FALSE,"Outflows-Inflows";"Inflow 1",#N/A,FALSE,"Outflows-Inflows";"Inflow 2",#N/A,FALSE,"Outflows-Inflows"}</definedName>
    <definedName name="aaaaaaa_1_4" localSheetId="7" hidden="1">{"Outflow 1",#N/A,FALSE,"Outflows-Inflows";"Outflow 2",#N/A,FALSE,"Outflows-Inflows";"Inflow 1",#N/A,FALSE,"Outflows-Inflows";"Inflow 2",#N/A,FALSE,"Outflows-Inflows"}</definedName>
    <definedName name="aaaaaaa_1_4" hidden="1">{"Outflow 1",#N/A,FALSE,"Outflows-Inflows";"Outflow 2",#N/A,FALSE,"Outflows-Inflows";"Inflow 1",#N/A,FALSE,"Outflows-Inflows";"Inflow 2",#N/A,FALSE,"Outflows-Inflows"}</definedName>
    <definedName name="aaaaaaa_1_5" localSheetId="7" hidden="1">{"Outflow 1",#N/A,FALSE,"Outflows-Inflows";"Outflow 2",#N/A,FALSE,"Outflows-Inflows";"Inflow 1",#N/A,FALSE,"Outflows-Inflows";"Inflow 2",#N/A,FALSE,"Outflows-Inflows"}</definedName>
    <definedName name="aaaaaaa_1_5" hidden="1">{"Outflow 1",#N/A,FALSE,"Outflows-Inflows";"Outflow 2",#N/A,FALSE,"Outflows-Inflows";"Inflow 1",#N/A,FALSE,"Outflows-Inflows";"Inflow 2",#N/A,FALSE,"Outflows-Inflows"}</definedName>
    <definedName name="aaaaaaa_2" localSheetId="7" hidden="1">{"Outflow 1",#N/A,FALSE,"Outflows-Inflows";"Outflow 2",#N/A,FALSE,"Outflows-Inflows";"Inflow 1",#N/A,FALSE,"Outflows-Inflows";"Inflow 2",#N/A,FALSE,"Outflows-Inflows"}</definedName>
    <definedName name="aaaaaaa_2" hidden="1">{"Outflow 1",#N/A,FALSE,"Outflows-Inflows";"Outflow 2",#N/A,FALSE,"Outflows-Inflows";"Inflow 1",#N/A,FALSE,"Outflows-Inflows";"Inflow 2",#N/A,FALSE,"Outflows-Inflows"}</definedName>
    <definedName name="aaaaaaa_3" localSheetId="7" hidden="1">{"Outflow 1",#N/A,FALSE,"Outflows-Inflows";"Outflow 2",#N/A,FALSE,"Outflows-Inflows";"Inflow 1",#N/A,FALSE,"Outflows-Inflows";"Inflow 2",#N/A,FALSE,"Outflows-Inflows"}</definedName>
    <definedName name="aaaaaaa_3" hidden="1">{"Outflow 1",#N/A,FALSE,"Outflows-Inflows";"Outflow 2",#N/A,FALSE,"Outflows-Inflows";"Inflow 1",#N/A,FALSE,"Outflows-Inflows";"Inflow 2",#N/A,FALSE,"Outflows-Inflows"}</definedName>
    <definedName name="aaaaaaa_4" localSheetId="7" hidden="1">{"Outflow 1",#N/A,FALSE,"Outflows-Inflows";"Outflow 2",#N/A,FALSE,"Outflows-Inflows";"Inflow 1",#N/A,FALSE,"Outflows-Inflows";"Inflow 2",#N/A,FALSE,"Outflows-Inflows"}</definedName>
    <definedName name="aaaaaaa_4" hidden="1">{"Outflow 1",#N/A,FALSE,"Outflows-Inflows";"Outflow 2",#N/A,FALSE,"Outflows-Inflows";"Inflow 1",#N/A,FALSE,"Outflows-Inflows";"Inflow 2",#N/A,FALSE,"Outflows-Inflows"}</definedName>
    <definedName name="aaaaaaa_5" localSheetId="7" hidden="1">{"Outflow 1",#N/A,FALSE,"Outflows-Inflows";"Outflow 2",#N/A,FALSE,"Outflows-Inflows";"Inflow 1",#N/A,FALSE,"Outflows-Inflows";"Inflow 2",#N/A,FALSE,"Outflows-Inflows"}</definedName>
    <definedName name="aaaaaaa_5" hidden="1">{"Outflow 1",#N/A,FALSE,"Outflows-Inflows";"Outflow 2",#N/A,FALSE,"Outflows-Inflows";"Inflow 1",#N/A,FALSE,"Outflows-Inflows";"Inflow 2",#N/A,FALSE,"Outflows-Inflows"}</definedName>
    <definedName name="aaaaaaa1" localSheetId="7" hidden="1">{"Outflow 1",#N/A,FALSE,"Outflows-Inflows";"Outflow 2",#N/A,FALSE,"Outflows-Inflows";"Inflow 1",#N/A,FALSE,"Outflows-Inflows";"Inflow 2",#N/A,FALSE,"Outflows-Inflows"}</definedName>
    <definedName name="aaaaaaa1" hidden="1">{"Outflow 1",#N/A,FALSE,"Outflows-Inflows";"Outflow 2",#N/A,FALSE,"Outflows-Inflows";"Inflow 1",#N/A,FALSE,"Outflows-Inflows";"Inflow 2",#N/A,FALSE,"Outflows-Inflows"}</definedName>
    <definedName name="AAAAAAAA" localSheetId="7" hidden="1">{"Outflow 1",#N/A,FALSE,"Outflows-Inflows";"Outflow 2",#N/A,FALSE,"Outflows-Inflows";"Inflow 1",#N/A,FALSE,"Outflows-Inflows";"Inflow 2",#N/A,FALSE,"Outflows-Inflows"}</definedName>
    <definedName name="AAAAAAAA" hidden="1">{"Outflow 1",#N/A,FALSE,"Outflows-Inflows";"Outflow 2",#N/A,FALSE,"Outflows-Inflows";"Inflow 1",#N/A,FALSE,"Outflows-Inflows";"Inflow 2",#N/A,FALSE,"Outflows-Inflows"}</definedName>
    <definedName name="aaaaaaaaaaaa" hidden="1">#REF!</definedName>
    <definedName name="AAB_Addin5" hidden="1">"AAB_Description for addin 5,Description for addin 5,Description for addin 5,Description for addin 5,Description for addin 5,Description for addin 5"</definedName>
    <definedName name="AAB_GSPPG" hidden="1">"AAB_Goldman Sachs PPG Chart Utilities 1.0g"</definedName>
    <definedName name="aasdfa" localSheetId="7" hidden="1">{"rtn",#N/A,FALSE,"RTN";"tables",#N/A,FALSE,"RTN";"cf",#N/A,FALSE,"CF";"stats",#N/A,FALSE,"Stats";"prop",#N/A,FALSE,"Prop"}</definedName>
    <definedName name="aasdfa" hidden="1">{"rtn",#N/A,FALSE,"RTN";"tables",#N/A,FALSE,"RTN";"cf",#N/A,FALSE,"CF";"stats",#N/A,FALSE,"Stats";"prop",#N/A,FALSE,"Prop"}</definedName>
    <definedName name="aasdfa_1" localSheetId="7" hidden="1">{"rtn",#N/A,FALSE,"RTN";"tables",#N/A,FALSE,"RTN";"cf",#N/A,FALSE,"CF";"stats",#N/A,FALSE,"Stats";"prop",#N/A,FALSE,"Prop"}</definedName>
    <definedName name="aasdfa_1" hidden="1">{"rtn",#N/A,FALSE,"RTN";"tables",#N/A,FALSE,"RTN";"cf",#N/A,FALSE,"CF";"stats",#N/A,FALSE,"Stats";"prop",#N/A,FALSE,"Prop"}</definedName>
    <definedName name="aasdfa_1_1" localSheetId="7" hidden="1">{"rtn",#N/A,FALSE,"RTN";"tables",#N/A,FALSE,"RTN";"cf",#N/A,FALSE,"CF";"stats",#N/A,FALSE,"Stats";"prop",#N/A,FALSE,"Prop"}</definedName>
    <definedName name="aasdfa_1_1" hidden="1">{"rtn",#N/A,FALSE,"RTN";"tables",#N/A,FALSE,"RTN";"cf",#N/A,FALSE,"CF";"stats",#N/A,FALSE,"Stats";"prop",#N/A,FALSE,"Prop"}</definedName>
    <definedName name="aasdfa_1_1_1" localSheetId="7" hidden="1">{"rtn",#N/A,FALSE,"RTN";"tables",#N/A,FALSE,"RTN";"cf",#N/A,FALSE,"CF";"stats",#N/A,FALSE,"Stats";"prop",#N/A,FALSE,"Prop"}</definedName>
    <definedName name="aasdfa_1_1_1" hidden="1">{"rtn",#N/A,FALSE,"RTN";"tables",#N/A,FALSE,"RTN";"cf",#N/A,FALSE,"CF";"stats",#N/A,FALSE,"Stats";"prop",#N/A,FALSE,"Prop"}</definedName>
    <definedName name="aasdfa_1_2" localSheetId="7" hidden="1">{"rtn",#N/A,FALSE,"RTN";"tables",#N/A,FALSE,"RTN";"cf",#N/A,FALSE,"CF";"stats",#N/A,FALSE,"Stats";"prop",#N/A,FALSE,"Prop"}</definedName>
    <definedName name="aasdfa_1_2" hidden="1">{"rtn",#N/A,FALSE,"RTN";"tables",#N/A,FALSE,"RTN";"cf",#N/A,FALSE,"CF";"stats",#N/A,FALSE,"Stats";"prop",#N/A,FALSE,"Prop"}</definedName>
    <definedName name="aasdfa_1_3" localSheetId="7" hidden="1">{"rtn",#N/A,FALSE,"RTN";"tables",#N/A,FALSE,"RTN";"cf",#N/A,FALSE,"CF";"stats",#N/A,FALSE,"Stats";"prop",#N/A,FALSE,"Prop"}</definedName>
    <definedName name="aasdfa_1_3" hidden="1">{"rtn",#N/A,FALSE,"RTN";"tables",#N/A,FALSE,"RTN";"cf",#N/A,FALSE,"CF";"stats",#N/A,FALSE,"Stats";"prop",#N/A,FALSE,"Prop"}</definedName>
    <definedName name="aasdfa_1_4" localSheetId="7" hidden="1">{"rtn",#N/A,FALSE,"RTN";"tables",#N/A,FALSE,"RTN";"cf",#N/A,FALSE,"CF";"stats",#N/A,FALSE,"Stats";"prop",#N/A,FALSE,"Prop"}</definedName>
    <definedName name="aasdfa_1_4" hidden="1">{"rtn",#N/A,FALSE,"RTN";"tables",#N/A,FALSE,"RTN";"cf",#N/A,FALSE,"CF";"stats",#N/A,FALSE,"Stats";"prop",#N/A,FALSE,"Prop"}</definedName>
    <definedName name="aasdfa_1_5" localSheetId="7" hidden="1">{"rtn",#N/A,FALSE,"RTN";"tables",#N/A,FALSE,"RTN";"cf",#N/A,FALSE,"CF";"stats",#N/A,FALSE,"Stats";"prop",#N/A,FALSE,"Prop"}</definedName>
    <definedName name="aasdfa_1_5" hidden="1">{"rtn",#N/A,FALSE,"RTN";"tables",#N/A,FALSE,"RTN";"cf",#N/A,FALSE,"CF";"stats",#N/A,FALSE,"Stats";"prop",#N/A,FALSE,"Prop"}</definedName>
    <definedName name="aasdfa_2" localSheetId="7" hidden="1">{"rtn",#N/A,FALSE,"RTN";"tables",#N/A,FALSE,"RTN";"cf",#N/A,FALSE,"CF";"stats",#N/A,FALSE,"Stats";"prop",#N/A,FALSE,"Prop"}</definedName>
    <definedName name="aasdfa_2" hidden="1">{"rtn",#N/A,FALSE,"RTN";"tables",#N/A,FALSE,"RTN";"cf",#N/A,FALSE,"CF";"stats",#N/A,FALSE,"Stats";"prop",#N/A,FALSE,"Prop"}</definedName>
    <definedName name="aasdfa_3" localSheetId="7" hidden="1">{"rtn",#N/A,FALSE,"RTN";"tables",#N/A,FALSE,"RTN";"cf",#N/A,FALSE,"CF";"stats",#N/A,FALSE,"Stats";"prop",#N/A,FALSE,"Prop"}</definedName>
    <definedName name="aasdfa_3" hidden="1">{"rtn",#N/A,FALSE,"RTN";"tables",#N/A,FALSE,"RTN";"cf",#N/A,FALSE,"CF";"stats",#N/A,FALSE,"Stats";"prop",#N/A,FALSE,"Prop"}</definedName>
    <definedName name="aasdfa_4" localSheetId="7" hidden="1">{"rtn",#N/A,FALSE,"RTN";"tables",#N/A,FALSE,"RTN";"cf",#N/A,FALSE,"CF";"stats",#N/A,FALSE,"Stats";"prop",#N/A,FALSE,"Prop"}</definedName>
    <definedName name="aasdfa_4" hidden="1">{"rtn",#N/A,FALSE,"RTN";"tables",#N/A,FALSE,"RTN";"cf",#N/A,FALSE,"CF";"stats",#N/A,FALSE,"Stats";"prop",#N/A,FALSE,"Prop"}</definedName>
    <definedName name="aasdfa_5" localSheetId="7" hidden="1">{"rtn",#N/A,FALSE,"RTN";"tables",#N/A,FALSE,"RTN";"cf",#N/A,FALSE,"CF";"stats",#N/A,FALSE,"Stats";"prop",#N/A,FALSE,"Prop"}</definedName>
    <definedName name="aasdfa_5" hidden="1">{"rtn",#N/A,FALSE,"RTN";"tables",#N/A,FALSE,"RTN";"cf",#N/A,FALSE,"CF";"stats",#N/A,FALSE,"Stats";"prop",#N/A,FALSE,"Prop"}</definedName>
    <definedName name="ab" localSheetId="7" hidden="1">{#N/A,#N/A,TRUE,"Ericsson Stadium PCD ";#N/A,#N/A,TRUE,"Ericsson Stadium IOR"}</definedName>
    <definedName name="ab" hidden="1">{#N/A,#N/A,TRUE,"Ericsson Stadium PCD ";#N/A,#N/A,TRUE,"Ericsson Stadium IOR"}</definedName>
    <definedName name="ab_condo" localSheetId="7" hidden="1">{#N/A,#N/A,TRUE,"Ericsson Stadium PCD ";#N/A,#N/A,TRUE,"Ericsson Stadium IOR"}</definedName>
    <definedName name="ab_condo" hidden="1">{#N/A,#N/A,TRUE,"Ericsson Stadium PCD ";#N/A,#N/A,TRUE,"Ericsson Stadium IOR"}</definedName>
    <definedName name="abc" localSheetId="7" hidden="1">{#N/A,#N/A,FALSE,"Invest Sum";#N/A,#N/A,FALSE,"Dev Costs";#N/A,#N/A,FALSE,"PnL 5 Year"}</definedName>
    <definedName name="abc" hidden="1">{#N/A,#N/A,FALSE,"Invest Sum";#N/A,#N/A,FALSE,"Dev Costs";#N/A,#N/A,FALSE,"PnL 5 Year"}</definedName>
    <definedName name="abcabc" localSheetId="7"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bcabc"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bcD" localSheetId="7" hidden="1">{#N/A,#N/A,FALSE,"Summary Schedule Heller Ltd";#N/A,#N/A,FALSE,"Qtrly  heller Page 1";#N/A,#N/A,FALSE,"Qtrly heller Page 3"}</definedName>
    <definedName name="abcD" hidden="1">{#N/A,#N/A,FALSE,"Summary Schedule Heller Ltd";#N/A,#N/A,FALSE,"Qtrly  heller Page 1";#N/A,#N/A,FALSE,"Qtrly heller Page 3"}</definedName>
    <definedName name="Absorption" localSheetId="20">#REF!</definedName>
    <definedName name="Absorption" localSheetId="7">#REF!</definedName>
    <definedName name="Absorption">'General Inputs'!$N$45</definedName>
    <definedName name="Access_Button" hidden="1">"Loan_Front_End_Input_List"</definedName>
    <definedName name="AccessDatabase" hidden="1">"\\Tc-atl-2\investment\Office &amp; Industrial\Principal Capital\Southhall\Southhall Center.mdb"</definedName>
    <definedName name="acres">#REF!</definedName>
    <definedName name="ACwvu.CAM._.RECOVERIES." hidden="1">#REF!</definedName>
    <definedName name="ACwvu.CAM._.TABLE." hidden="1">#REF!</definedName>
    <definedName name="ACwvu.INSURANCE._.RECOVERIES." hidden="1">#REF!</definedName>
    <definedName name="ACwvu.OCCUPANCY._.ANALYSIS." hidden="1">#REF!</definedName>
    <definedName name="ACwvu.Sommaire." hidden="1">#REF!,#REF!,#REF!,#REF!,#REF!,#REF!</definedName>
    <definedName name="ACwvu.TAX._.RECOVERIES." hidden="1">#REF!</definedName>
    <definedName name="Address">#REF!</definedName>
    <definedName name="adf" localSheetId="7" hidden="1">{#N/A,#N/A,FALSE,"SCHEDULE G"}</definedName>
    <definedName name="adf" hidden="1">{#N/A,#N/A,FALSE,"SCHEDULE G"}</definedName>
    <definedName name="Admin" localSheetId="20">#REF!</definedName>
    <definedName name="Admin" localSheetId="7">#REF!</definedName>
    <definedName name="Admin">'Operating Inputs'!$F$117</definedName>
    <definedName name="AdminMonth">#REF!</definedName>
    <definedName name="AdValoremTaxes">'Operating Inputs'!$F$125</definedName>
    <definedName name="af" localSheetId="7" hidden="1">{"AnnInc",#N/A,TRUE,"Inc";"QtrInc1",#N/A,TRUE,"Inc";"Balance",#N/A,TRUE,"Bal";"Cflow",#N/A,TRUE,"Cash"}</definedName>
    <definedName name="af" hidden="1">{"AnnInc",#N/A,TRUE,"Inc";"QtrInc1",#N/A,TRUE,"Inc";"Balance",#N/A,TRUE,"Bal";"Cflow",#N/A,TRUE,"Cash"}</definedName>
    <definedName name="afe" localSheetId="7" hidden="1">{#N/A,#N/A,FALSE,"A";#N/A,#N/A,FALSE,"B";#N/A,#N/A,FALSE,"C";#N/A,#N/A,FALSE,"D";#N/A,#N/A,FALSE,"E";#N/A,#N/A,FALSE,"F";#N/A,#N/A,FALSE,"G";#N/A,#N/A,FALSE,"H";#N/A,#N/A,FALSE,"I";#N/A,#N/A,FALSE,"J";#N/A,#N/A,FALSE,"K";#N/A,#N/A,FALSE,"L";#N/A,#N/A,FALSE,"M";#N/A,#N/A,FALSE,"N";#N/A,#N/A,FALSE,"O";#N/A,#N/A,FALSE,"P";#N/A,#N/A,FALSE,"Q";#N/A,#N/A,FALSE,"R"}</definedName>
    <definedName name="afe" hidden="1">{#N/A,#N/A,FALSE,"A";#N/A,#N/A,FALSE,"B";#N/A,#N/A,FALSE,"C";#N/A,#N/A,FALSE,"D";#N/A,#N/A,FALSE,"E";#N/A,#N/A,FALSE,"F";#N/A,#N/A,FALSE,"G";#N/A,#N/A,FALSE,"H";#N/A,#N/A,FALSE,"I";#N/A,#N/A,FALSE,"J";#N/A,#N/A,FALSE,"K";#N/A,#N/A,FALSE,"L";#N/A,#N/A,FALSE,"M";#N/A,#N/A,FALSE,"N";#N/A,#N/A,FALSE,"O";#N/A,#N/A,FALSE,"P";#N/A,#N/A,FALSE,"Q";#N/A,#N/A,FALSE,"R"}</definedName>
    <definedName name="afirpt" localSheetId="7" hidden="1">{#N/A,#N/A,TRUE,"TITLE";#N/A,#N/A,TRUE,"SCH 1";#N/A,#N/A,TRUE,"SCH 2";#N/A,#N/A,TRUE,"SCH 3";#N/A,#N/A,TRUE,"SCH3(A)"}</definedName>
    <definedName name="afirpt" hidden="1">{#N/A,#N/A,TRUE,"TITLE";#N/A,#N/A,TRUE,"SCH 1";#N/A,#N/A,TRUE,"SCH 2";#N/A,#N/A,TRUE,"SCH 3";#N/A,#N/A,TRUE,"SCH3(A)"}</definedName>
    <definedName name="aftreport" localSheetId="7" hidden="1">{#N/A,#N/A,TRUE,"TITLE";#N/A,#N/A,TRUE,"SCH 1";#N/A,#N/A,TRUE,"SCH 2";#N/A,#N/A,TRUE,"SCH 3";#N/A,#N/A,TRUE,"SCH3(A)"}</definedName>
    <definedName name="aftreport" hidden="1">{#N/A,#N/A,TRUE,"TITLE";#N/A,#N/A,TRUE,"SCH 1";#N/A,#N/A,TRUE,"SCH 2";#N/A,#N/A,TRUE,"SCH 3";#N/A,#N/A,TRUE,"SCH3(A)"}</definedName>
    <definedName name="ageincexh" localSheetId="7" hidden="1">{#N/A,#N/A,FALSE,"el.det";#N/A,#N/A,FALSE,"mu.det";#N/A,#N/A,FALSE,"ug.det";#N/A,#N/A,FALSE,"ex.det";#N/A,#N/A,FALSE,"lux.det";#N/A,#N/A,FALSE,"custom.lot";#N/A,#N/A,FALSE,"condo.att";#N/A,#N/A,FALSE,"el.att";#N/A,#N/A,FALSE,"mu.att";#N/A,#N/A,FALSE,"ex.att";#N/A,#N/A,FALSE,"lux.att";#N/A,#N/A,FALSE,"all.by.village"}</definedName>
    <definedName name="ageincexh" hidden="1">{#N/A,#N/A,FALSE,"el.det";#N/A,#N/A,FALSE,"mu.det";#N/A,#N/A,FALSE,"ug.det";#N/A,#N/A,FALSE,"ex.det";#N/A,#N/A,FALSE,"lux.det";#N/A,#N/A,FALSE,"custom.lot";#N/A,#N/A,FALSE,"condo.att";#N/A,#N/A,FALSE,"el.att";#N/A,#N/A,FALSE,"mu.att";#N/A,#N/A,FALSE,"ex.att";#N/A,#N/A,FALSE,"lux.att";#N/A,#N/A,FALSE,"all.by.village"}</definedName>
    <definedName name="agfds" localSheetId="7" hidden="1">{#N/A,#N/A,FALSE,"Yield Graph"}</definedName>
    <definedName name="agfds" hidden="1">{#N/A,#N/A,FALSE,"Yield Graph"}</definedName>
    <definedName name="aksdhf" localSheetId="7" hidden="1">{"Alles",#N/A,FALSE,"H A Ü"}</definedName>
    <definedName name="aksdhf" hidden="1">{"Alles",#N/A,FALSE,"H A Ü"}</definedName>
    <definedName name="Al" localSheetId="7" hidden="1">{"sheet a",#N/A,FALSE,"A";"2 9 casflow",#N/A,FALSE,"B"}</definedName>
    <definedName name="Al" hidden="1">{"sheet a",#N/A,FALSE,"A";"2 9 casflow",#N/A,FALSE,"B"}</definedName>
    <definedName name="all" localSheetId="7" hidden="1">{#N/A,#N/A,FALSE,"CF Consolidated 2";#N/A,#N/A,FALSE,"Retail Assump";#N/A,#N/A,FALSE,"CF Retail";#N/A,#N/A,FALSE,"Garage Assumpt 1";#N/A,#N/A,FALSE,"Garage Op Proj";#N/A,#N/A,FALSE,"Hist I&amp;E";#N/A,#N/A,FALSE,"Rent Roll";#N/A,#N/A,FALSE,"RE Taxes";#N/A,#N/A,FALSE,"CAM - BH";#N/A,#N/A,FALSE,"Comm.Condo CAM"}</definedName>
    <definedName name="all" hidden="1">{#N/A,#N/A,FALSE,"CF Consolidated 2";#N/A,#N/A,FALSE,"Retail Assump";#N/A,#N/A,FALSE,"CF Retail";#N/A,#N/A,FALSE,"Garage Assumpt 1";#N/A,#N/A,FALSE,"Garage Op Proj";#N/A,#N/A,FALSE,"Hist I&amp;E";#N/A,#N/A,FALSE,"Rent Roll";#N/A,#N/A,FALSE,"RE Taxes";#N/A,#N/A,FALSE,"CAM - BH";#N/A,#N/A,FALSE,"Comm.Condo CAM"}</definedName>
    <definedName name="AmenityPremiums" localSheetId="20">#REF!</definedName>
    <definedName name="AmenityPremiums" localSheetId="7">#REF!</definedName>
    <definedName name="AmenityPremiums">'Operating Inputs'!$H$61</definedName>
    <definedName name="AnalysisStartDate" localSheetId="20">#REF!</definedName>
    <definedName name="AnalysisStartDate" localSheetId="7">#REF!</definedName>
    <definedName name="AnalysisStartDate">'General Inputs'!$C$27</definedName>
    <definedName name="AnnualGrossRev">#REF!</definedName>
    <definedName name="anscount" hidden="1">1</definedName>
    <definedName name="Aok" localSheetId="7" hidden="1">{"Outflow 1",#N/A,FALSE,"Outflows-Inflows";"Outflow 2",#N/A,FALSE,"Outflows-Inflows";"Inflow 1",#N/A,FALSE,"Outflows-Inflows";"Inflow 2",#N/A,FALSE,"Outflows-Inflows"}</definedName>
    <definedName name="Aok" hidden="1">{"Outflow 1",#N/A,FALSE,"Outflows-Inflows";"Outflow 2",#N/A,FALSE,"Outflows-Inflows";"Inflow 1",#N/A,FALSE,"Outflows-Inflows";"Inflow 2",#N/A,FALSE,"Outflows-Inflows"}</definedName>
    <definedName name="Area1" hidden="1">#REF!</definedName>
    <definedName name="Area2" hidden="1">#REF!</definedName>
    <definedName name="Area3" hidden="1">#REF!</definedName>
    <definedName name="Area4" hidden="1">#REF!</definedName>
    <definedName name="Area5" hidden="1">#REF!</definedName>
    <definedName name="Area6" hidden="1">#REF!</definedName>
    <definedName name="Area7" hidden="1">#REF!</definedName>
    <definedName name="Area8" hidden="1">#REF!</definedName>
    <definedName name="Area9" hidden="1">#REF!</definedName>
    <definedName name="as" localSheetId="7" hidden="1">{"Outflow 1",#N/A,FALSE,"Outflows-Inflows";"Outflow 2",#N/A,FALSE,"Outflows-Inflows";"Inflow 1",#N/A,FALSE,"Outflows-Inflows";"Inflow 2",#N/A,FALSE,"Outflows-Inflows"}</definedName>
    <definedName name="as" hidden="1">{"Outflow 1",#N/A,FALSE,"Outflows-Inflows";"Outflow 2",#N/A,FALSE,"Outflows-Inflows";"Inflow 1",#N/A,FALSE,"Outflows-Inflows";"Inflow 2",#N/A,FALSE,"Outflows-Inflows"}</definedName>
    <definedName name="as_1" localSheetId="7" hidden="1">{"Outflow 1",#N/A,FALSE,"Outflows-Inflows";"Outflow 2",#N/A,FALSE,"Outflows-Inflows";"Inflow 1",#N/A,FALSE,"Outflows-Inflows";"Inflow 2",#N/A,FALSE,"Outflows-Inflows"}</definedName>
    <definedName name="as_1" hidden="1">{"Outflow 1",#N/A,FALSE,"Outflows-Inflows";"Outflow 2",#N/A,FALSE,"Outflows-Inflows";"Inflow 1",#N/A,FALSE,"Outflows-Inflows";"Inflow 2",#N/A,FALSE,"Outflows-Inflows"}</definedName>
    <definedName name="as_1_1" localSheetId="7" hidden="1">{"Outflow 1",#N/A,FALSE,"Outflows-Inflows";"Outflow 2",#N/A,FALSE,"Outflows-Inflows";"Inflow 1",#N/A,FALSE,"Outflows-Inflows";"Inflow 2",#N/A,FALSE,"Outflows-Inflows"}</definedName>
    <definedName name="as_1_1" hidden="1">{"Outflow 1",#N/A,FALSE,"Outflows-Inflows";"Outflow 2",#N/A,FALSE,"Outflows-Inflows";"Inflow 1",#N/A,FALSE,"Outflows-Inflows";"Inflow 2",#N/A,FALSE,"Outflows-Inflows"}</definedName>
    <definedName name="as_1_1_1" localSheetId="7" hidden="1">{"Outflow 1",#N/A,FALSE,"Outflows-Inflows";"Outflow 2",#N/A,FALSE,"Outflows-Inflows";"Inflow 1",#N/A,FALSE,"Outflows-Inflows";"Inflow 2",#N/A,FALSE,"Outflows-Inflows"}</definedName>
    <definedName name="as_1_1_1" hidden="1">{"Outflow 1",#N/A,FALSE,"Outflows-Inflows";"Outflow 2",#N/A,FALSE,"Outflows-Inflows";"Inflow 1",#N/A,FALSE,"Outflows-Inflows";"Inflow 2",#N/A,FALSE,"Outflows-Inflows"}</definedName>
    <definedName name="as_1_2" localSheetId="7" hidden="1">{"Outflow 1",#N/A,FALSE,"Outflows-Inflows";"Outflow 2",#N/A,FALSE,"Outflows-Inflows";"Inflow 1",#N/A,FALSE,"Outflows-Inflows";"Inflow 2",#N/A,FALSE,"Outflows-Inflows"}</definedName>
    <definedName name="as_1_2" hidden="1">{"Outflow 1",#N/A,FALSE,"Outflows-Inflows";"Outflow 2",#N/A,FALSE,"Outflows-Inflows";"Inflow 1",#N/A,FALSE,"Outflows-Inflows";"Inflow 2",#N/A,FALSE,"Outflows-Inflows"}</definedName>
    <definedName name="as_1_3" localSheetId="7" hidden="1">{"Outflow 1",#N/A,FALSE,"Outflows-Inflows";"Outflow 2",#N/A,FALSE,"Outflows-Inflows";"Inflow 1",#N/A,FALSE,"Outflows-Inflows";"Inflow 2",#N/A,FALSE,"Outflows-Inflows"}</definedName>
    <definedName name="as_1_3" hidden="1">{"Outflow 1",#N/A,FALSE,"Outflows-Inflows";"Outflow 2",#N/A,FALSE,"Outflows-Inflows";"Inflow 1",#N/A,FALSE,"Outflows-Inflows";"Inflow 2",#N/A,FALSE,"Outflows-Inflows"}</definedName>
    <definedName name="as_1_4" localSheetId="7" hidden="1">{"Outflow 1",#N/A,FALSE,"Outflows-Inflows";"Outflow 2",#N/A,FALSE,"Outflows-Inflows";"Inflow 1",#N/A,FALSE,"Outflows-Inflows";"Inflow 2",#N/A,FALSE,"Outflows-Inflows"}</definedName>
    <definedName name="as_1_4" hidden="1">{"Outflow 1",#N/A,FALSE,"Outflows-Inflows";"Outflow 2",#N/A,FALSE,"Outflows-Inflows";"Inflow 1",#N/A,FALSE,"Outflows-Inflows";"Inflow 2",#N/A,FALSE,"Outflows-Inflows"}</definedName>
    <definedName name="as_1_5" localSheetId="7" hidden="1">{"Outflow 1",#N/A,FALSE,"Outflows-Inflows";"Outflow 2",#N/A,FALSE,"Outflows-Inflows";"Inflow 1",#N/A,FALSE,"Outflows-Inflows";"Inflow 2",#N/A,FALSE,"Outflows-Inflows"}</definedName>
    <definedName name="as_1_5" hidden="1">{"Outflow 1",#N/A,FALSE,"Outflows-Inflows";"Outflow 2",#N/A,FALSE,"Outflows-Inflows";"Inflow 1",#N/A,FALSE,"Outflows-Inflows";"Inflow 2",#N/A,FALSE,"Outflows-Inflows"}</definedName>
    <definedName name="as_2" localSheetId="7" hidden="1">{"Outflow 1",#N/A,FALSE,"Outflows-Inflows";"Outflow 2",#N/A,FALSE,"Outflows-Inflows";"Inflow 1",#N/A,FALSE,"Outflows-Inflows";"Inflow 2",#N/A,FALSE,"Outflows-Inflows"}</definedName>
    <definedName name="as_2" hidden="1">{"Outflow 1",#N/A,FALSE,"Outflows-Inflows";"Outflow 2",#N/A,FALSE,"Outflows-Inflows";"Inflow 1",#N/A,FALSE,"Outflows-Inflows";"Inflow 2",#N/A,FALSE,"Outflows-Inflows"}</definedName>
    <definedName name="as_3" localSheetId="7" hidden="1">{"Outflow 1",#N/A,FALSE,"Outflows-Inflows";"Outflow 2",#N/A,FALSE,"Outflows-Inflows";"Inflow 1",#N/A,FALSE,"Outflows-Inflows";"Inflow 2",#N/A,FALSE,"Outflows-Inflows"}</definedName>
    <definedName name="as_3" hidden="1">{"Outflow 1",#N/A,FALSE,"Outflows-Inflows";"Outflow 2",#N/A,FALSE,"Outflows-Inflows";"Inflow 1",#N/A,FALSE,"Outflows-Inflows";"Inflow 2",#N/A,FALSE,"Outflows-Inflows"}</definedName>
    <definedName name="as_4" localSheetId="7" hidden="1">{"Outflow 1",#N/A,FALSE,"Outflows-Inflows";"Outflow 2",#N/A,FALSE,"Outflows-Inflows";"Inflow 1",#N/A,FALSE,"Outflows-Inflows";"Inflow 2",#N/A,FALSE,"Outflows-Inflows"}</definedName>
    <definedName name="as_4" hidden="1">{"Outflow 1",#N/A,FALSE,"Outflows-Inflows";"Outflow 2",#N/A,FALSE,"Outflows-Inflows";"Inflow 1",#N/A,FALSE,"Outflows-Inflows";"Inflow 2",#N/A,FALSE,"Outflows-Inflows"}</definedName>
    <definedName name="as_5" localSheetId="7" hidden="1">{"Outflow 1",#N/A,FALSE,"Outflows-Inflows";"Outflow 2",#N/A,FALSE,"Outflows-Inflows";"Inflow 1",#N/A,FALSE,"Outflows-Inflows";"Inflow 2",#N/A,FALSE,"Outflows-Inflows"}</definedName>
    <definedName name="as_5" hidden="1">{"Outflow 1",#N/A,FALSE,"Outflows-Inflows";"Outflow 2",#N/A,FALSE,"Outflows-Inflows";"Inflow 1",#N/A,FALSE,"Outflows-Inflows";"Inflow 2",#N/A,FALSE,"Outflows-Inflows"}</definedName>
    <definedName name="AS2DocOpenMode" hidden="1">"AS2DocumentEdit"</definedName>
    <definedName name="AS2HasNoAutoHeaderFooter" hidden="1">" "</definedName>
    <definedName name="AS2NamedRange" hidden="1">2</definedName>
    <definedName name="AS2TaxWorkpaper" hidden="1">" "</definedName>
    <definedName name="asa" localSheetId="7" hidden="1">{"Outflow 1",#N/A,FALSE,"Outflows-Inflows";"Outflow 2",#N/A,FALSE,"Outflows-Inflows";"Inflow 1",#N/A,FALSE,"Outflows-Inflows";"Inflow 2",#N/A,FALSE,"Outflows-Inflows"}</definedName>
    <definedName name="asa" hidden="1">{"Outflow 1",#N/A,FALSE,"Outflows-Inflows";"Outflow 2",#N/A,FALSE,"Outflows-Inflows";"Inflow 1",#N/A,FALSE,"Outflows-Inflows";"Inflow 2",#N/A,FALSE,"Outflows-Inflows"}</definedName>
    <definedName name="ascdsad" localSheetId="7" hidden="1">{#N/A,#N/A,FALSE,"el.det";#N/A,#N/A,FALSE,"mu.det";#N/A,#N/A,FALSE,"ug.det";#N/A,#N/A,FALSE,"ex.det";#N/A,#N/A,FALSE,"lux.det";#N/A,#N/A,FALSE,"custom.lot";#N/A,#N/A,FALSE,"condo.att";#N/A,#N/A,FALSE,"el.att";#N/A,#N/A,FALSE,"mu.att";#N/A,#N/A,FALSE,"ex.att";#N/A,#N/A,FALSE,"lux.att";#N/A,#N/A,FALSE,"all.by.village"}</definedName>
    <definedName name="ascdsad" hidden="1">{#N/A,#N/A,FALSE,"el.det";#N/A,#N/A,FALSE,"mu.det";#N/A,#N/A,FALSE,"ug.det";#N/A,#N/A,FALSE,"ex.det";#N/A,#N/A,FALSE,"lux.det";#N/A,#N/A,FALSE,"custom.lot";#N/A,#N/A,FALSE,"condo.att";#N/A,#N/A,FALSE,"el.att";#N/A,#N/A,FALSE,"mu.att";#N/A,#N/A,FALSE,"ex.att";#N/A,#N/A,FALSE,"lux.att";#N/A,#N/A,FALSE,"all.by.village"}</definedName>
    <definedName name="asdf2" localSheetId="7" hidden="1">{#N/A,#N/A,FALSE,"OperatingAssumptions"}</definedName>
    <definedName name="asdf2" hidden="1">{#N/A,#N/A,FALSE,"OperatingAssumptions"}</definedName>
    <definedName name="asdf3" localSheetId="7" hidden="1">{#N/A,#N/A,FALSE,"LoanAssumptions"}</definedName>
    <definedName name="asdf3" hidden="1">{#N/A,#N/A,FALSE,"LoanAssumptions"}</definedName>
    <definedName name="asdf5" localSheetId="7" hidden="1">{"MonthlyRentRoll",#N/A,FALSE,"RentRoll"}</definedName>
    <definedName name="asdf5" hidden="1">{"MonthlyRentRoll",#N/A,FALSE,"RentRoll"}</definedName>
    <definedName name="asdf7" localSheetId="7" hidden="1">{#N/A,#N/A,TRUE,"Summary";"AnnualRentRoll",#N/A,TRUE,"RentRoll";#N/A,#N/A,TRUE,"ExitStratigy";#N/A,#N/A,TRUE,"OperatingAssumptions"}</definedName>
    <definedName name="asdf7" hidden="1">{#N/A,#N/A,TRUE,"Summary";"AnnualRentRoll",#N/A,TRUE,"RentRoll";#N/A,#N/A,TRUE,"ExitStratigy";#N/A,#N/A,TRUE,"OperatingAssumptions"}</definedName>
    <definedName name="asdfa" hidden="1">#N/A</definedName>
    <definedName name="asdfas" localSheetId="7" hidden="1">{"print 1.6",#N/A,FALSE,"Sheet1";"print 2.6",#N/A,FALSE,"Sheet1";"print 3.6",#N/A,FALSE,"Sheet1";"print 4.6",#N/A,FALSE,"Sheet1";"print 5.6",#N/A,FALSE,"Sheet1";"print 6.6",#N/A,FALSE,"Sheet1"}</definedName>
    <definedName name="asdfas" hidden="1">{"print 1.6",#N/A,FALSE,"Sheet1";"print 2.6",#N/A,FALSE,"Sheet1";"print 3.6",#N/A,FALSE,"Sheet1";"print 4.6",#N/A,FALSE,"Sheet1";"print 5.6",#N/A,FALSE,"Sheet1";"print 6.6",#N/A,FALSE,"Sheet1"}</definedName>
    <definedName name="asdfas_1" localSheetId="7" hidden="1">{"print 1.6",#N/A,FALSE,"Sheet1";"print 2.6",#N/A,FALSE,"Sheet1";"print 3.6",#N/A,FALSE,"Sheet1";"print 4.6",#N/A,FALSE,"Sheet1";"print 5.6",#N/A,FALSE,"Sheet1";"print 6.6",#N/A,FALSE,"Sheet1"}</definedName>
    <definedName name="asdfas_1" hidden="1">{"print 1.6",#N/A,FALSE,"Sheet1";"print 2.6",#N/A,FALSE,"Sheet1";"print 3.6",#N/A,FALSE,"Sheet1";"print 4.6",#N/A,FALSE,"Sheet1";"print 5.6",#N/A,FALSE,"Sheet1";"print 6.6",#N/A,FALSE,"Sheet1"}</definedName>
    <definedName name="asdfas_1_1" localSheetId="7" hidden="1">{"print 1.6",#N/A,FALSE,"Sheet1";"print 2.6",#N/A,FALSE,"Sheet1";"print 3.6",#N/A,FALSE,"Sheet1";"print 4.6",#N/A,FALSE,"Sheet1";"print 5.6",#N/A,FALSE,"Sheet1";"print 6.6",#N/A,FALSE,"Sheet1"}</definedName>
    <definedName name="asdfas_1_1" hidden="1">{"print 1.6",#N/A,FALSE,"Sheet1";"print 2.6",#N/A,FALSE,"Sheet1";"print 3.6",#N/A,FALSE,"Sheet1";"print 4.6",#N/A,FALSE,"Sheet1";"print 5.6",#N/A,FALSE,"Sheet1";"print 6.6",#N/A,FALSE,"Sheet1"}</definedName>
    <definedName name="asdfas_1_1_1" localSheetId="7" hidden="1">{"print 1.6",#N/A,FALSE,"Sheet1";"print 2.6",#N/A,FALSE,"Sheet1";"print 3.6",#N/A,FALSE,"Sheet1";"print 4.6",#N/A,FALSE,"Sheet1";"print 5.6",#N/A,FALSE,"Sheet1";"print 6.6",#N/A,FALSE,"Sheet1"}</definedName>
    <definedName name="asdfas_1_1_1" hidden="1">{"print 1.6",#N/A,FALSE,"Sheet1";"print 2.6",#N/A,FALSE,"Sheet1";"print 3.6",#N/A,FALSE,"Sheet1";"print 4.6",#N/A,FALSE,"Sheet1";"print 5.6",#N/A,FALSE,"Sheet1";"print 6.6",#N/A,FALSE,"Sheet1"}</definedName>
    <definedName name="asdfas_1_2" localSheetId="7" hidden="1">{"print 1.6",#N/A,FALSE,"Sheet1";"print 2.6",#N/A,FALSE,"Sheet1";"print 3.6",#N/A,FALSE,"Sheet1";"print 4.6",#N/A,FALSE,"Sheet1";"print 5.6",#N/A,FALSE,"Sheet1";"print 6.6",#N/A,FALSE,"Sheet1"}</definedName>
    <definedName name="asdfas_1_2" hidden="1">{"print 1.6",#N/A,FALSE,"Sheet1";"print 2.6",#N/A,FALSE,"Sheet1";"print 3.6",#N/A,FALSE,"Sheet1";"print 4.6",#N/A,FALSE,"Sheet1";"print 5.6",#N/A,FALSE,"Sheet1";"print 6.6",#N/A,FALSE,"Sheet1"}</definedName>
    <definedName name="asdfas_1_3" localSheetId="7" hidden="1">{"print 1.6",#N/A,FALSE,"Sheet1";"print 2.6",#N/A,FALSE,"Sheet1";"print 3.6",#N/A,FALSE,"Sheet1";"print 4.6",#N/A,FALSE,"Sheet1";"print 5.6",#N/A,FALSE,"Sheet1";"print 6.6",#N/A,FALSE,"Sheet1"}</definedName>
    <definedName name="asdfas_1_3" hidden="1">{"print 1.6",#N/A,FALSE,"Sheet1";"print 2.6",#N/A,FALSE,"Sheet1";"print 3.6",#N/A,FALSE,"Sheet1";"print 4.6",#N/A,FALSE,"Sheet1";"print 5.6",#N/A,FALSE,"Sheet1";"print 6.6",#N/A,FALSE,"Sheet1"}</definedName>
    <definedName name="asdfas_1_4" localSheetId="7" hidden="1">{"print 1.6",#N/A,FALSE,"Sheet1";"print 2.6",#N/A,FALSE,"Sheet1";"print 3.6",#N/A,FALSE,"Sheet1";"print 4.6",#N/A,FALSE,"Sheet1";"print 5.6",#N/A,FALSE,"Sheet1";"print 6.6",#N/A,FALSE,"Sheet1"}</definedName>
    <definedName name="asdfas_1_4" hidden="1">{"print 1.6",#N/A,FALSE,"Sheet1";"print 2.6",#N/A,FALSE,"Sheet1";"print 3.6",#N/A,FALSE,"Sheet1";"print 4.6",#N/A,FALSE,"Sheet1";"print 5.6",#N/A,FALSE,"Sheet1";"print 6.6",#N/A,FALSE,"Sheet1"}</definedName>
    <definedName name="asdfas_1_5" localSheetId="7" hidden="1">{"print 1.6",#N/A,FALSE,"Sheet1";"print 2.6",#N/A,FALSE,"Sheet1";"print 3.6",#N/A,FALSE,"Sheet1";"print 4.6",#N/A,FALSE,"Sheet1";"print 5.6",#N/A,FALSE,"Sheet1";"print 6.6",#N/A,FALSE,"Sheet1"}</definedName>
    <definedName name="asdfas_1_5" hidden="1">{"print 1.6",#N/A,FALSE,"Sheet1";"print 2.6",#N/A,FALSE,"Sheet1";"print 3.6",#N/A,FALSE,"Sheet1";"print 4.6",#N/A,FALSE,"Sheet1";"print 5.6",#N/A,FALSE,"Sheet1";"print 6.6",#N/A,FALSE,"Sheet1"}</definedName>
    <definedName name="asdfas_2" localSheetId="7" hidden="1">{"print 1.6",#N/A,FALSE,"Sheet1";"print 2.6",#N/A,FALSE,"Sheet1";"print 3.6",#N/A,FALSE,"Sheet1";"print 4.6",#N/A,FALSE,"Sheet1";"print 5.6",#N/A,FALSE,"Sheet1";"print 6.6",#N/A,FALSE,"Sheet1"}</definedName>
    <definedName name="asdfas_2" hidden="1">{"print 1.6",#N/A,FALSE,"Sheet1";"print 2.6",#N/A,FALSE,"Sheet1";"print 3.6",#N/A,FALSE,"Sheet1";"print 4.6",#N/A,FALSE,"Sheet1";"print 5.6",#N/A,FALSE,"Sheet1";"print 6.6",#N/A,FALSE,"Sheet1"}</definedName>
    <definedName name="asdfas_3" localSheetId="7" hidden="1">{"print 1.6",#N/A,FALSE,"Sheet1";"print 2.6",#N/A,FALSE,"Sheet1";"print 3.6",#N/A,FALSE,"Sheet1";"print 4.6",#N/A,FALSE,"Sheet1";"print 5.6",#N/A,FALSE,"Sheet1";"print 6.6",#N/A,FALSE,"Sheet1"}</definedName>
    <definedName name="asdfas_3" hidden="1">{"print 1.6",#N/A,FALSE,"Sheet1";"print 2.6",#N/A,FALSE,"Sheet1";"print 3.6",#N/A,FALSE,"Sheet1";"print 4.6",#N/A,FALSE,"Sheet1";"print 5.6",#N/A,FALSE,"Sheet1";"print 6.6",#N/A,FALSE,"Sheet1"}</definedName>
    <definedName name="asdfas_4" localSheetId="7" hidden="1">{"print 1.6",#N/A,FALSE,"Sheet1";"print 2.6",#N/A,FALSE,"Sheet1";"print 3.6",#N/A,FALSE,"Sheet1";"print 4.6",#N/A,FALSE,"Sheet1";"print 5.6",#N/A,FALSE,"Sheet1";"print 6.6",#N/A,FALSE,"Sheet1"}</definedName>
    <definedName name="asdfas_4" hidden="1">{"print 1.6",#N/A,FALSE,"Sheet1";"print 2.6",#N/A,FALSE,"Sheet1";"print 3.6",#N/A,FALSE,"Sheet1";"print 4.6",#N/A,FALSE,"Sheet1";"print 5.6",#N/A,FALSE,"Sheet1";"print 6.6",#N/A,FALSE,"Sheet1"}</definedName>
    <definedName name="asdfas_5" localSheetId="7" hidden="1">{"print 1.6",#N/A,FALSE,"Sheet1";"print 2.6",#N/A,FALSE,"Sheet1";"print 3.6",#N/A,FALSE,"Sheet1";"print 4.6",#N/A,FALSE,"Sheet1";"print 5.6",#N/A,FALSE,"Sheet1";"print 6.6",#N/A,FALSE,"Sheet1"}</definedName>
    <definedName name="asdfas_5" hidden="1">{"print 1.6",#N/A,FALSE,"Sheet1";"print 2.6",#N/A,FALSE,"Sheet1";"print 3.6",#N/A,FALSE,"Sheet1";"print 4.6",#N/A,FALSE,"Sheet1";"print 5.6",#N/A,FALSE,"Sheet1";"print 6.6",#N/A,FALSE,"Sheet1"}</definedName>
    <definedName name="asdfasaa" localSheetId="7" hidden="1">{"print 1.6",#N/A,FALSE,"Sheet1";"print 2.6",#N/A,FALSE,"Sheet1";"print 3.6",#N/A,FALSE,"Sheet1";"print 4.6",#N/A,FALSE,"Sheet1";"print 5.6",#N/A,FALSE,"Sheet1";"print 6.6",#N/A,FALSE,"Sheet1"}</definedName>
    <definedName name="asdfasaa" hidden="1">{"print 1.6",#N/A,FALSE,"Sheet1";"print 2.6",#N/A,FALSE,"Sheet1";"print 3.6",#N/A,FALSE,"Sheet1";"print 4.6",#N/A,FALSE,"Sheet1";"print 5.6",#N/A,FALSE,"Sheet1";"print 6.6",#N/A,FALSE,"Sheet1"}</definedName>
    <definedName name="asdfasaa_1" localSheetId="7" hidden="1">{"print 1.6",#N/A,FALSE,"Sheet1";"print 2.6",#N/A,FALSE,"Sheet1";"print 3.6",#N/A,FALSE,"Sheet1";"print 4.6",#N/A,FALSE,"Sheet1";"print 5.6",#N/A,FALSE,"Sheet1";"print 6.6",#N/A,FALSE,"Sheet1"}</definedName>
    <definedName name="asdfasaa_1" hidden="1">{"print 1.6",#N/A,FALSE,"Sheet1";"print 2.6",#N/A,FALSE,"Sheet1";"print 3.6",#N/A,FALSE,"Sheet1";"print 4.6",#N/A,FALSE,"Sheet1";"print 5.6",#N/A,FALSE,"Sheet1";"print 6.6",#N/A,FALSE,"Sheet1"}</definedName>
    <definedName name="asdfasaa_1_1" localSheetId="7" hidden="1">{"print 1.6",#N/A,FALSE,"Sheet1";"print 2.6",#N/A,FALSE,"Sheet1";"print 3.6",#N/A,FALSE,"Sheet1";"print 4.6",#N/A,FALSE,"Sheet1";"print 5.6",#N/A,FALSE,"Sheet1";"print 6.6",#N/A,FALSE,"Sheet1"}</definedName>
    <definedName name="asdfasaa_1_1" hidden="1">{"print 1.6",#N/A,FALSE,"Sheet1";"print 2.6",#N/A,FALSE,"Sheet1";"print 3.6",#N/A,FALSE,"Sheet1";"print 4.6",#N/A,FALSE,"Sheet1";"print 5.6",#N/A,FALSE,"Sheet1";"print 6.6",#N/A,FALSE,"Sheet1"}</definedName>
    <definedName name="asdfasaa_1_1_1" localSheetId="7" hidden="1">{"print 1.6",#N/A,FALSE,"Sheet1";"print 2.6",#N/A,FALSE,"Sheet1";"print 3.6",#N/A,FALSE,"Sheet1";"print 4.6",#N/A,FALSE,"Sheet1";"print 5.6",#N/A,FALSE,"Sheet1";"print 6.6",#N/A,FALSE,"Sheet1"}</definedName>
    <definedName name="asdfasaa_1_1_1" hidden="1">{"print 1.6",#N/A,FALSE,"Sheet1";"print 2.6",#N/A,FALSE,"Sheet1";"print 3.6",#N/A,FALSE,"Sheet1";"print 4.6",#N/A,FALSE,"Sheet1";"print 5.6",#N/A,FALSE,"Sheet1";"print 6.6",#N/A,FALSE,"Sheet1"}</definedName>
    <definedName name="asdfasaa_1_2" localSheetId="7" hidden="1">{"print 1.6",#N/A,FALSE,"Sheet1";"print 2.6",#N/A,FALSE,"Sheet1";"print 3.6",#N/A,FALSE,"Sheet1";"print 4.6",#N/A,FALSE,"Sheet1";"print 5.6",#N/A,FALSE,"Sheet1";"print 6.6",#N/A,FALSE,"Sheet1"}</definedName>
    <definedName name="asdfasaa_1_2" hidden="1">{"print 1.6",#N/A,FALSE,"Sheet1";"print 2.6",#N/A,FALSE,"Sheet1";"print 3.6",#N/A,FALSE,"Sheet1";"print 4.6",#N/A,FALSE,"Sheet1";"print 5.6",#N/A,FALSE,"Sheet1";"print 6.6",#N/A,FALSE,"Sheet1"}</definedName>
    <definedName name="asdfasaa_1_3" localSheetId="7" hidden="1">{"print 1.6",#N/A,FALSE,"Sheet1";"print 2.6",#N/A,FALSE,"Sheet1";"print 3.6",#N/A,FALSE,"Sheet1";"print 4.6",#N/A,FALSE,"Sheet1";"print 5.6",#N/A,FALSE,"Sheet1";"print 6.6",#N/A,FALSE,"Sheet1"}</definedName>
    <definedName name="asdfasaa_1_3" hidden="1">{"print 1.6",#N/A,FALSE,"Sheet1";"print 2.6",#N/A,FALSE,"Sheet1";"print 3.6",#N/A,FALSE,"Sheet1";"print 4.6",#N/A,FALSE,"Sheet1";"print 5.6",#N/A,FALSE,"Sheet1";"print 6.6",#N/A,FALSE,"Sheet1"}</definedName>
    <definedName name="asdfasaa_1_4" localSheetId="7" hidden="1">{"print 1.6",#N/A,FALSE,"Sheet1";"print 2.6",#N/A,FALSE,"Sheet1";"print 3.6",#N/A,FALSE,"Sheet1";"print 4.6",#N/A,FALSE,"Sheet1";"print 5.6",#N/A,FALSE,"Sheet1";"print 6.6",#N/A,FALSE,"Sheet1"}</definedName>
    <definedName name="asdfasaa_1_4" hidden="1">{"print 1.6",#N/A,FALSE,"Sheet1";"print 2.6",#N/A,FALSE,"Sheet1";"print 3.6",#N/A,FALSE,"Sheet1";"print 4.6",#N/A,FALSE,"Sheet1";"print 5.6",#N/A,FALSE,"Sheet1";"print 6.6",#N/A,FALSE,"Sheet1"}</definedName>
    <definedName name="asdfasaa_1_5" localSheetId="7" hidden="1">{"print 1.6",#N/A,FALSE,"Sheet1";"print 2.6",#N/A,FALSE,"Sheet1";"print 3.6",#N/A,FALSE,"Sheet1";"print 4.6",#N/A,FALSE,"Sheet1";"print 5.6",#N/A,FALSE,"Sheet1";"print 6.6",#N/A,FALSE,"Sheet1"}</definedName>
    <definedName name="asdfasaa_1_5" hidden="1">{"print 1.6",#N/A,FALSE,"Sheet1";"print 2.6",#N/A,FALSE,"Sheet1";"print 3.6",#N/A,FALSE,"Sheet1";"print 4.6",#N/A,FALSE,"Sheet1";"print 5.6",#N/A,FALSE,"Sheet1";"print 6.6",#N/A,FALSE,"Sheet1"}</definedName>
    <definedName name="asdfasaa_2" localSheetId="7" hidden="1">{"print 1.6",#N/A,FALSE,"Sheet1";"print 2.6",#N/A,FALSE,"Sheet1";"print 3.6",#N/A,FALSE,"Sheet1";"print 4.6",#N/A,FALSE,"Sheet1";"print 5.6",#N/A,FALSE,"Sheet1";"print 6.6",#N/A,FALSE,"Sheet1"}</definedName>
    <definedName name="asdfasaa_2" hidden="1">{"print 1.6",#N/A,FALSE,"Sheet1";"print 2.6",#N/A,FALSE,"Sheet1";"print 3.6",#N/A,FALSE,"Sheet1";"print 4.6",#N/A,FALSE,"Sheet1";"print 5.6",#N/A,FALSE,"Sheet1";"print 6.6",#N/A,FALSE,"Sheet1"}</definedName>
    <definedName name="asdfasaa_3" localSheetId="7" hidden="1">{"print 1.6",#N/A,FALSE,"Sheet1";"print 2.6",#N/A,FALSE,"Sheet1";"print 3.6",#N/A,FALSE,"Sheet1";"print 4.6",#N/A,FALSE,"Sheet1";"print 5.6",#N/A,FALSE,"Sheet1";"print 6.6",#N/A,FALSE,"Sheet1"}</definedName>
    <definedName name="asdfasaa_3" hidden="1">{"print 1.6",#N/A,FALSE,"Sheet1";"print 2.6",#N/A,FALSE,"Sheet1";"print 3.6",#N/A,FALSE,"Sheet1";"print 4.6",#N/A,FALSE,"Sheet1";"print 5.6",#N/A,FALSE,"Sheet1";"print 6.6",#N/A,FALSE,"Sheet1"}</definedName>
    <definedName name="asdfasaa_4" localSheetId="7" hidden="1">{"print 1.6",#N/A,FALSE,"Sheet1";"print 2.6",#N/A,FALSE,"Sheet1";"print 3.6",#N/A,FALSE,"Sheet1";"print 4.6",#N/A,FALSE,"Sheet1";"print 5.6",#N/A,FALSE,"Sheet1";"print 6.6",#N/A,FALSE,"Sheet1"}</definedName>
    <definedName name="asdfasaa_4" hidden="1">{"print 1.6",#N/A,FALSE,"Sheet1";"print 2.6",#N/A,FALSE,"Sheet1";"print 3.6",#N/A,FALSE,"Sheet1";"print 4.6",#N/A,FALSE,"Sheet1";"print 5.6",#N/A,FALSE,"Sheet1";"print 6.6",#N/A,FALSE,"Sheet1"}</definedName>
    <definedName name="asdfasaa_5" localSheetId="7" hidden="1">{"print 1.6",#N/A,FALSE,"Sheet1";"print 2.6",#N/A,FALSE,"Sheet1";"print 3.6",#N/A,FALSE,"Sheet1";"print 4.6",#N/A,FALSE,"Sheet1";"print 5.6",#N/A,FALSE,"Sheet1";"print 6.6",#N/A,FALSE,"Sheet1"}</definedName>
    <definedName name="asdfasaa_5" hidden="1">{"print 1.6",#N/A,FALSE,"Sheet1";"print 2.6",#N/A,FALSE,"Sheet1";"print 3.6",#N/A,FALSE,"Sheet1";"print 4.6",#N/A,FALSE,"Sheet1";"print 5.6",#N/A,FALSE,"Sheet1";"print 6.6",#N/A,FALSE,"Sheet1"}</definedName>
    <definedName name="asdfasdf" localSheetId="7" hidden="1">{"rtn",#N/A,FALSE,"RTN";"tables",#N/A,FALSE,"RTN";"cf",#N/A,FALSE,"CF";"stats",#N/A,FALSE,"Stats";"prop",#N/A,FALSE,"Prop"}</definedName>
    <definedName name="asdfasdf" hidden="1">{"rtn",#N/A,FALSE,"RTN";"tables",#N/A,FALSE,"RTN";"cf",#N/A,FALSE,"CF";"stats",#N/A,FALSE,"Stats";"prop",#N/A,FALSE,"Prop"}</definedName>
    <definedName name="asdfasdf_1" localSheetId="7" hidden="1">{"rtn",#N/A,FALSE,"RTN";"tables",#N/A,FALSE,"RTN";"cf",#N/A,FALSE,"CF";"stats",#N/A,FALSE,"Stats";"prop",#N/A,FALSE,"Prop"}</definedName>
    <definedName name="asdfasdf_1" hidden="1">{"rtn",#N/A,FALSE,"RTN";"tables",#N/A,FALSE,"RTN";"cf",#N/A,FALSE,"CF";"stats",#N/A,FALSE,"Stats";"prop",#N/A,FALSE,"Prop"}</definedName>
    <definedName name="asdfasdf_1_1" localSheetId="7" hidden="1">{"rtn",#N/A,FALSE,"RTN";"tables",#N/A,FALSE,"RTN";"cf",#N/A,FALSE,"CF";"stats",#N/A,FALSE,"Stats";"prop",#N/A,FALSE,"Prop"}</definedName>
    <definedName name="asdfasdf_1_1" hidden="1">{"rtn",#N/A,FALSE,"RTN";"tables",#N/A,FALSE,"RTN";"cf",#N/A,FALSE,"CF";"stats",#N/A,FALSE,"Stats";"prop",#N/A,FALSE,"Prop"}</definedName>
    <definedName name="asdfasdf_1_1_1" localSheetId="7" hidden="1">{"rtn",#N/A,FALSE,"RTN";"tables",#N/A,FALSE,"RTN";"cf",#N/A,FALSE,"CF";"stats",#N/A,FALSE,"Stats";"prop",#N/A,FALSE,"Prop"}</definedName>
    <definedName name="asdfasdf_1_1_1" hidden="1">{"rtn",#N/A,FALSE,"RTN";"tables",#N/A,FALSE,"RTN";"cf",#N/A,FALSE,"CF";"stats",#N/A,FALSE,"Stats";"prop",#N/A,FALSE,"Prop"}</definedName>
    <definedName name="asdfasdf_1_2" localSheetId="7" hidden="1">{"rtn",#N/A,FALSE,"RTN";"tables",#N/A,FALSE,"RTN";"cf",#N/A,FALSE,"CF";"stats",#N/A,FALSE,"Stats";"prop",#N/A,FALSE,"Prop"}</definedName>
    <definedName name="asdfasdf_1_2" hidden="1">{"rtn",#N/A,FALSE,"RTN";"tables",#N/A,FALSE,"RTN";"cf",#N/A,FALSE,"CF";"stats",#N/A,FALSE,"Stats";"prop",#N/A,FALSE,"Prop"}</definedName>
    <definedName name="asdfasdf_1_3" localSheetId="7" hidden="1">{"rtn",#N/A,FALSE,"RTN";"tables",#N/A,FALSE,"RTN";"cf",#N/A,FALSE,"CF";"stats",#N/A,FALSE,"Stats";"prop",#N/A,FALSE,"Prop"}</definedName>
    <definedName name="asdfasdf_1_3" hidden="1">{"rtn",#N/A,FALSE,"RTN";"tables",#N/A,FALSE,"RTN";"cf",#N/A,FALSE,"CF";"stats",#N/A,FALSE,"Stats";"prop",#N/A,FALSE,"Prop"}</definedName>
    <definedName name="asdfasdf_1_4" localSheetId="7" hidden="1">{"rtn",#N/A,FALSE,"RTN";"tables",#N/A,FALSE,"RTN";"cf",#N/A,FALSE,"CF";"stats",#N/A,FALSE,"Stats";"prop",#N/A,FALSE,"Prop"}</definedName>
    <definedName name="asdfasdf_1_4" hidden="1">{"rtn",#N/A,FALSE,"RTN";"tables",#N/A,FALSE,"RTN";"cf",#N/A,FALSE,"CF";"stats",#N/A,FALSE,"Stats";"prop",#N/A,FALSE,"Prop"}</definedName>
    <definedName name="asdfasdf_1_5" localSheetId="7" hidden="1">{"rtn",#N/A,FALSE,"RTN";"tables",#N/A,FALSE,"RTN";"cf",#N/A,FALSE,"CF";"stats",#N/A,FALSE,"Stats";"prop",#N/A,FALSE,"Prop"}</definedName>
    <definedName name="asdfasdf_1_5" hidden="1">{"rtn",#N/A,FALSE,"RTN";"tables",#N/A,FALSE,"RTN";"cf",#N/A,FALSE,"CF";"stats",#N/A,FALSE,"Stats";"prop",#N/A,FALSE,"Prop"}</definedName>
    <definedName name="asdfasdf_2" localSheetId="7" hidden="1">{"rtn",#N/A,FALSE,"RTN";"tables",#N/A,FALSE,"RTN";"cf",#N/A,FALSE,"CF";"stats",#N/A,FALSE,"Stats";"prop",#N/A,FALSE,"Prop"}</definedName>
    <definedName name="asdfasdf_2" hidden="1">{"rtn",#N/A,FALSE,"RTN";"tables",#N/A,FALSE,"RTN";"cf",#N/A,FALSE,"CF";"stats",#N/A,FALSE,"Stats";"prop",#N/A,FALSE,"Prop"}</definedName>
    <definedName name="asdfasdf_3" localSheetId="7" hidden="1">{"rtn",#N/A,FALSE,"RTN";"tables",#N/A,FALSE,"RTN";"cf",#N/A,FALSE,"CF";"stats",#N/A,FALSE,"Stats";"prop",#N/A,FALSE,"Prop"}</definedName>
    <definedName name="asdfasdf_3" hidden="1">{"rtn",#N/A,FALSE,"RTN";"tables",#N/A,FALSE,"RTN";"cf",#N/A,FALSE,"CF";"stats",#N/A,FALSE,"Stats";"prop",#N/A,FALSE,"Prop"}</definedName>
    <definedName name="asdfasdf_4" localSheetId="7" hidden="1">{"rtn",#N/A,FALSE,"RTN";"tables",#N/A,FALSE,"RTN";"cf",#N/A,FALSE,"CF";"stats",#N/A,FALSE,"Stats";"prop",#N/A,FALSE,"Prop"}</definedName>
    <definedName name="asdfasdf_4" hidden="1">{"rtn",#N/A,FALSE,"RTN";"tables",#N/A,FALSE,"RTN";"cf",#N/A,FALSE,"CF";"stats",#N/A,FALSE,"Stats";"prop",#N/A,FALSE,"Prop"}</definedName>
    <definedName name="asdfasdf_5" localSheetId="7" hidden="1">{"rtn",#N/A,FALSE,"RTN";"tables",#N/A,FALSE,"RTN";"cf",#N/A,FALSE,"CF";"stats",#N/A,FALSE,"Stats";"prop",#N/A,FALSE,"Prop"}</definedName>
    <definedName name="asdfasdf_5" hidden="1">{"rtn",#N/A,FALSE,"RTN";"tables",#N/A,FALSE,"RTN";"cf",#N/A,FALSE,"CF";"stats",#N/A,FALSE,"Stats";"prop",#N/A,FALSE,"Prop"}</definedName>
    <definedName name="asdfasdfasdfa" localSheetId="7" hidden="1">binary</definedName>
    <definedName name="asdfasdfasdfa" hidden="1">binary</definedName>
    <definedName name="asdfasfsa" localSheetId="7" hidden="1">binary</definedName>
    <definedName name="asdfasfsa" hidden="1">binary</definedName>
    <definedName name="asdfg" localSheetId="7" hidden="1">{"rtn",#N/A,FALSE,"RTN";"tables",#N/A,FALSE,"RTN";"cf",#N/A,FALSE,"CF";"stats",#N/A,FALSE,"Stats";"prop",#N/A,FALSE,"Prop"}</definedName>
    <definedName name="asdfg" hidden="1">{"rtn",#N/A,FALSE,"RTN";"tables",#N/A,FALSE,"RTN";"cf",#N/A,FALSE,"CF";"stats",#N/A,FALSE,"Stats";"prop",#N/A,FALSE,"Prop"}</definedName>
    <definedName name="asdfsd" localSheetId="7" hidden="1">binary</definedName>
    <definedName name="asdfsd" hidden="1">binary</definedName>
    <definedName name="asdfsdfsdf" localSheetId="7" hidden="1">{#N/A,#N/A,FALSE,"Expense Comparison"}</definedName>
    <definedName name="asdfsdfsdf" hidden="1">{#N/A,#N/A,FALSE,"Expense Comparison"}</definedName>
    <definedName name="asf" localSheetId="7" hidden="1">binary</definedName>
    <definedName name="asf" hidden="1">binary</definedName>
    <definedName name="asfag2" localSheetId="7" hidden="1">{"Main",#N/A,FALSE,"Wacker";"Main2",#N/A,FALSE,"Wacker";"Value",#N/A,FALSE,"Wacker";"Sensitivity",#N/A,FALSE,"Wacker";"Paine",#N/A,FALSE,"Wacker";"Quaker",#N/A,FALSE,"Wacker";"Wacker",#N/A,FALSE,"Wacker";"1900",#N/A,FALSE,"Wacker";"1901",#N/A,FALSE,"Wacker"}</definedName>
    <definedName name="asfag2" hidden="1">{"Main",#N/A,FALSE,"Wacker";"Main2",#N/A,FALSE,"Wacker";"Value",#N/A,FALSE,"Wacker";"Sensitivity",#N/A,FALSE,"Wacker";"Paine",#N/A,FALSE,"Wacker";"Quaker",#N/A,FALSE,"Wacker";"Wacker",#N/A,FALSE,"Wacker";"1900",#N/A,FALSE,"Wacker";"1901",#N/A,FALSE,"Wacker"}</definedName>
    <definedName name="asfasg" localSheetId="7" hidden="1">{"Main",#N/A,FALSE,"Wacker";"Main2",#N/A,FALSE,"Wacker";"Value",#N/A,FALSE,"Wacker";"Sensitivity",#N/A,FALSE,"Wacker";"Paine",#N/A,FALSE,"Wacker";"Quaker",#N/A,FALSE,"Wacker";"Wacker",#N/A,FALSE,"Wacker";"1900",#N/A,FALSE,"Wacker";"1901",#N/A,FALSE,"Wacker"}</definedName>
    <definedName name="asfasg" hidden="1">{"Main",#N/A,FALSE,"Wacker";"Main2",#N/A,FALSE,"Wacker";"Value",#N/A,FALSE,"Wacker";"Sensitivity",#N/A,FALSE,"Wacker";"Paine",#N/A,FALSE,"Wacker";"Quaker",#N/A,FALSE,"Wacker";"Wacker",#N/A,FALSE,"Wacker";"1900",#N/A,FALSE,"Wacker";"1901",#N/A,FALSE,"Wacker"}</definedName>
    <definedName name="asfget" localSheetId="7" hidden="1">{"Page1",#N/A,FALSE,"7979";"Page2",#N/A,FALSE,"7979";"Page3",#N/A,FALSE,"7979"}</definedName>
    <definedName name="asfget" hidden="1">{"Page1",#N/A,FALSE,"7979";"Page2",#N/A,FALSE,"7979";"Page3",#N/A,FALSE,"7979"}</definedName>
    <definedName name="asfsaf" localSheetId="7" hidden="1">binary</definedName>
    <definedName name="asfsaf" hidden="1">binary</definedName>
    <definedName name="ashish" localSheetId="7" hidden="1">{"'Assump'!$F$6:$J$6"}</definedName>
    <definedName name="ashish" hidden="1">{"'Assump'!$F$6:$J$6"}</definedName>
    <definedName name="ass" localSheetId="7" hidden="1">{"print 1.6",#N/A,FALSE,"Sheet1";"print 2.6",#N/A,FALSE,"Sheet1";"print 3.6",#N/A,FALSE,"Sheet1";"print 4.6",#N/A,FALSE,"Sheet1";"print 5.6",#N/A,FALSE,"Sheet1";"print 6.6",#N/A,FALSE,"Sheet1"}</definedName>
    <definedName name="ass" hidden="1">{"print 1.6",#N/A,FALSE,"Sheet1";"print 2.6",#N/A,FALSE,"Sheet1";"print 3.6",#N/A,FALSE,"Sheet1";"print 4.6",#N/A,FALSE,"Sheet1";"print 5.6",#N/A,FALSE,"Sheet1";"print 6.6",#N/A,FALSE,"Sheet1"}</definedName>
    <definedName name="ass_1" localSheetId="7" hidden="1">{"print 1.6",#N/A,FALSE,"Sheet1";"print 2.6",#N/A,FALSE,"Sheet1";"print 3.6",#N/A,FALSE,"Sheet1";"print 4.6",#N/A,FALSE,"Sheet1";"print 5.6",#N/A,FALSE,"Sheet1";"print 6.6",#N/A,FALSE,"Sheet1"}</definedName>
    <definedName name="ass_1" hidden="1">{"print 1.6",#N/A,FALSE,"Sheet1";"print 2.6",#N/A,FALSE,"Sheet1";"print 3.6",#N/A,FALSE,"Sheet1";"print 4.6",#N/A,FALSE,"Sheet1";"print 5.6",#N/A,FALSE,"Sheet1";"print 6.6",#N/A,FALSE,"Sheet1"}</definedName>
    <definedName name="ass_1_1" localSheetId="7" hidden="1">{"print 1.6",#N/A,FALSE,"Sheet1";"print 2.6",#N/A,FALSE,"Sheet1";"print 3.6",#N/A,FALSE,"Sheet1";"print 4.6",#N/A,FALSE,"Sheet1";"print 5.6",#N/A,FALSE,"Sheet1";"print 6.6",#N/A,FALSE,"Sheet1"}</definedName>
    <definedName name="ass_1_1" hidden="1">{"print 1.6",#N/A,FALSE,"Sheet1";"print 2.6",#N/A,FALSE,"Sheet1";"print 3.6",#N/A,FALSE,"Sheet1";"print 4.6",#N/A,FALSE,"Sheet1";"print 5.6",#N/A,FALSE,"Sheet1";"print 6.6",#N/A,FALSE,"Sheet1"}</definedName>
    <definedName name="ass_1_1_1" localSheetId="7" hidden="1">{"print 1.6",#N/A,FALSE,"Sheet1";"print 2.6",#N/A,FALSE,"Sheet1";"print 3.6",#N/A,FALSE,"Sheet1";"print 4.6",#N/A,FALSE,"Sheet1";"print 5.6",#N/A,FALSE,"Sheet1";"print 6.6",#N/A,FALSE,"Sheet1"}</definedName>
    <definedName name="ass_1_1_1" hidden="1">{"print 1.6",#N/A,FALSE,"Sheet1";"print 2.6",#N/A,FALSE,"Sheet1";"print 3.6",#N/A,FALSE,"Sheet1";"print 4.6",#N/A,FALSE,"Sheet1";"print 5.6",#N/A,FALSE,"Sheet1";"print 6.6",#N/A,FALSE,"Sheet1"}</definedName>
    <definedName name="ass_1_2" localSheetId="7" hidden="1">{"print 1.6",#N/A,FALSE,"Sheet1";"print 2.6",#N/A,FALSE,"Sheet1";"print 3.6",#N/A,FALSE,"Sheet1";"print 4.6",#N/A,FALSE,"Sheet1";"print 5.6",#N/A,FALSE,"Sheet1";"print 6.6",#N/A,FALSE,"Sheet1"}</definedName>
    <definedName name="ass_1_2" hidden="1">{"print 1.6",#N/A,FALSE,"Sheet1";"print 2.6",#N/A,FALSE,"Sheet1";"print 3.6",#N/A,FALSE,"Sheet1";"print 4.6",#N/A,FALSE,"Sheet1";"print 5.6",#N/A,FALSE,"Sheet1";"print 6.6",#N/A,FALSE,"Sheet1"}</definedName>
    <definedName name="ass_1_3" localSheetId="7" hidden="1">{"print 1.6",#N/A,FALSE,"Sheet1";"print 2.6",#N/A,FALSE,"Sheet1";"print 3.6",#N/A,FALSE,"Sheet1";"print 4.6",#N/A,FALSE,"Sheet1";"print 5.6",#N/A,FALSE,"Sheet1";"print 6.6",#N/A,FALSE,"Sheet1"}</definedName>
    <definedName name="ass_1_3" hidden="1">{"print 1.6",#N/A,FALSE,"Sheet1";"print 2.6",#N/A,FALSE,"Sheet1";"print 3.6",#N/A,FALSE,"Sheet1";"print 4.6",#N/A,FALSE,"Sheet1";"print 5.6",#N/A,FALSE,"Sheet1";"print 6.6",#N/A,FALSE,"Sheet1"}</definedName>
    <definedName name="ass_1_4" localSheetId="7" hidden="1">{"print 1.6",#N/A,FALSE,"Sheet1";"print 2.6",#N/A,FALSE,"Sheet1";"print 3.6",#N/A,FALSE,"Sheet1";"print 4.6",#N/A,FALSE,"Sheet1";"print 5.6",#N/A,FALSE,"Sheet1";"print 6.6",#N/A,FALSE,"Sheet1"}</definedName>
    <definedName name="ass_1_4" hidden="1">{"print 1.6",#N/A,FALSE,"Sheet1";"print 2.6",#N/A,FALSE,"Sheet1";"print 3.6",#N/A,FALSE,"Sheet1";"print 4.6",#N/A,FALSE,"Sheet1";"print 5.6",#N/A,FALSE,"Sheet1";"print 6.6",#N/A,FALSE,"Sheet1"}</definedName>
    <definedName name="ass_1_5" localSheetId="7" hidden="1">{"print 1.6",#N/A,FALSE,"Sheet1";"print 2.6",#N/A,FALSE,"Sheet1";"print 3.6",#N/A,FALSE,"Sheet1";"print 4.6",#N/A,FALSE,"Sheet1";"print 5.6",#N/A,FALSE,"Sheet1";"print 6.6",#N/A,FALSE,"Sheet1"}</definedName>
    <definedName name="ass_1_5" hidden="1">{"print 1.6",#N/A,FALSE,"Sheet1";"print 2.6",#N/A,FALSE,"Sheet1";"print 3.6",#N/A,FALSE,"Sheet1";"print 4.6",#N/A,FALSE,"Sheet1";"print 5.6",#N/A,FALSE,"Sheet1";"print 6.6",#N/A,FALSE,"Sheet1"}</definedName>
    <definedName name="ass_2" localSheetId="7" hidden="1">{"print 1.6",#N/A,FALSE,"Sheet1";"print 2.6",#N/A,FALSE,"Sheet1";"print 3.6",#N/A,FALSE,"Sheet1";"print 4.6",#N/A,FALSE,"Sheet1";"print 5.6",#N/A,FALSE,"Sheet1";"print 6.6",#N/A,FALSE,"Sheet1"}</definedName>
    <definedName name="ass_2" hidden="1">{"print 1.6",#N/A,FALSE,"Sheet1";"print 2.6",#N/A,FALSE,"Sheet1";"print 3.6",#N/A,FALSE,"Sheet1";"print 4.6",#N/A,FALSE,"Sheet1";"print 5.6",#N/A,FALSE,"Sheet1";"print 6.6",#N/A,FALSE,"Sheet1"}</definedName>
    <definedName name="ass_3" localSheetId="7" hidden="1">{"print 1.6",#N/A,FALSE,"Sheet1";"print 2.6",#N/A,FALSE,"Sheet1";"print 3.6",#N/A,FALSE,"Sheet1";"print 4.6",#N/A,FALSE,"Sheet1";"print 5.6",#N/A,FALSE,"Sheet1";"print 6.6",#N/A,FALSE,"Sheet1"}</definedName>
    <definedName name="ass_3" hidden="1">{"print 1.6",#N/A,FALSE,"Sheet1";"print 2.6",#N/A,FALSE,"Sheet1";"print 3.6",#N/A,FALSE,"Sheet1";"print 4.6",#N/A,FALSE,"Sheet1";"print 5.6",#N/A,FALSE,"Sheet1";"print 6.6",#N/A,FALSE,"Sheet1"}</definedName>
    <definedName name="ass_4" localSheetId="7" hidden="1">{"print 1.6",#N/A,FALSE,"Sheet1";"print 2.6",#N/A,FALSE,"Sheet1";"print 3.6",#N/A,FALSE,"Sheet1";"print 4.6",#N/A,FALSE,"Sheet1";"print 5.6",#N/A,FALSE,"Sheet1";"print 6.6",#N/A,FALSE,"Sheet1"}</definedName>
    <definedName name="ass_4" hidden="1">{"print 1.6",#N/A,FALSE,"Sheet1";"print 2.6",#N/A,FALSE,"Sheet1";"print 3.6",#N/A,FALSE,"Sheet1";"print 4.6",#N/A,FALSE,"Sheet1";"print 5.6",#N/A,FALSE,"Sheet1";"print 6.6",#N/A,FALSE,"Sheet1"}</definedName>
    <definedName name="ass_5" localSheetId="7" hidden="1">{"print 1.6",#N/A,FALSE,"Sheet1";"print 2.6",#N/A,FALSE,"Sheet1";"print 3.6",#N/A,FALSE,"Sheet1";"print 4.6",#N/A,FALSE,"Sheet1";"print 5.6",#N/A,FALSE,"Sheet1";"print 6.6",#N/A,FALSE,"Sheet1"}</definedName>
    <definedName name="ass_5" hidden="1">{"print 1.6",#N/A,FALSE,"Sheet1";"print 2.6",#N/A,FALSE,"Sheet1";"print 3.6",#N/A,FALSE,"Sheet1";"print 4.6",#N/A,FALSE,"Sheet1";"print 5.6",#N/A,FALSE,"Sheet1";"print 6.6",#N/A,FALSE,"Sheet1"}</definedName>
    <definedName name="assd" localSheetId="7" hidden="1">{#N/A,#N/A,FALSE,"II-2 POP.HH";#N/A,#N/A,FALSE,"II-3 AGE.DIST";#N/A,#N/A,FALSE,"II-4 HH.DIST";#N/A,#N/A,FALSE,"II-5 EMP.INDUS"}</definedName>
    <definedName name="assd" hidden="1">{#N/A,#N/A,FALSE,"II-2 POP.HH";#N/A,#N/A,FALSE,"II-3 AGE.DIST";#N/A,#N/A,FALSE,"II-4 HH.DIST";#N/A,#N/A,FALSE,"II-5 EMP.INDUS"}</definedName>
    <definedName name="AssessPct" localSheetId="20">#REF!</definedName>
    <definedName name="AssessPct" localSheetId="7">#REF!</definedName>
    <definedName name="AssessPct">'Operating Inputs'!$I$174</definedName>
    <definedName name="asss" localSheetId="7" hidden="1">{"rtn",#N/A,FALSE,"RTN";"tables",#N/A,FALSE,"RTN";"cf",#N/A,FALSE,"CF";"stats",#N/A,FALSE,"Stats";"prop",#N/A,FALSE,"Prop"}</definedName>
    <definedName name="asss" hidden="1">{"rtn",#N/A,FALSE,"RTN";"tables",#N/A,FALSE,"RTN";"cf",#N/A,FALSE,"CF";"stats",#N/A,FALSE,"Stats";"prop",#N/A,FALSE,"Prop"}</definedName>
    <definedName name="asss_1" localSheetId="7" hidden="1">{"rtn",#N/A,FALSE,"RTN";"tables",#N/A,FALSE,"RTN";"cf",#N/A,FALSE,"CF";"stats",#N/A,FALSE,"Stats";"prop",#N/A,FALSE,"Prop"}</definedName>
    <definedName name="asss_1" hidden="1">{"rtn",#N/A,FALSE,"RTN";"tables",#N/A,FALSE,"RTN";"cf",#N/A,FALSE,"CF";"stats",#N/A,FALSE,"Stats";"prop",#N/A,FALSE,"Prop"}</definedName>
    <definedName name="asss_1_1" localSheetId="7" hidden="1">{"rtn",#N/A,FALSE,"RTN";"tables",#N/A,FALSE,"RTN";"cf",#N/A,FALSE,"CF";"stats",#N/A,FALSE,"Stats";"prop",#N/A,FALSE,"Prop"}</definedName>
    <definedName name="asss_1_1" hidden="1">{"rtn",#N/A,FALSE,"RTN";"tables",#N/A,FALSE,"RTN";"cf",#N/A,FALSE,"CF";"stats",#N/A,FALSE,"Stats";"prop",#N/A,FALSE,"Prop"}</definedName>
    <definedName name="asss_1_1_1" localSheetId="7" hidden="1">{"rtn",#N/A,FALSE,"RTN";"tables",#N/A,FALSE,"RTN";"cf",#N/A,FALSE,"CF";"stats",#N/A,FALSE,"Stats";"prop",#N/A,FALSE,"Prop"}</definedName>
    <definedName name="asss_1_1_1" hidden="1">{"rtn",#N/A,FALSE,"RTN";"tables",#N/A,FALSE,"RTN";"cf",#N/A,FALSE,"CF";"stats",#N/A,FALSE,"Stats";"prop",#N/A,FALSE,"Prop"}</definedName>
    <definedName name="asss_1_2" localSheetId="7" hidden="1">{"rtn",#N/A,FALSE,"RTN";"tables",#N/A,FALSE,"RTN";"cf",#N/A,FALSE,"CF";"stats",#N/A,FALSE,"Stats";"prop",#N/A,FALSE,"Prop"}</definedName>
    <definedName name="asss_1_2" hidden="1">{"rtn",#N/A,FALSE,"RTN";"tables",#N/A,FALSE,"RTN";"cf",#N/A,FALSE,"CF";"stats",#N/A,FALSE,"Stats";"prop",#N/A,FALSE,"Prop"}</definedName>
    <definedName name="asss_1_3" localSheetId="7" hidden="1">{"rtn",#N/A,FALSE,"RTN";"tables",#N/A,FALSE,"RTN";"cf",#N/A,FALSE,"CF";"stats",#N/A,FALSE,"Stats";"prop",#N/A,FALSE,"Prop"}</definedName>
    <definedName name="asss_1_3" hidden="1">{"rtn",#N/A,FALSE,"RTN";"tables",#N/A,FALSE,"RTN";"cf",#N/A,FALSE,"CF";"stats",#N/A,FALSE,"Stats";"prop",#N/A,FALSE,"Prop"}</definedName>
    <definedName name="asss_1_4" localSheetId="7" hidden="1">{"rtn",#N/A,FALSE,"RTN";"tables",#N/A,FALSE,"RTN";"cf",#N/A,FALSE,"CF";"stats",#N/A,FALSE,"Stats";"prop",#N/A,FALSE,"Prop"}</definedName>
    <definedName name="asss_1_4" hidden="1">{"rtn",#N/A,FALSE,"RTN";"tables",#N/A,FALSE,"RTN";"cf",#N/A,FALSE,"CF";"stats",#N/A,FALSE,"Stats";"prop",#N/A,FALSE,"Prop"}</definedName>
    <definedName name="asss_1_5" localSheetId="7" hidden="1">{"rtn",#N/A,FALSE,"RTN";"tables",#N/A,FALSE,"RTN";"cf",#N/A,FALSE,"CF";"stats",#N/A,FALSE,"Stats";"prop",#N/A,FALSE,"Prop"}</definedName>
    <definedName name="asss_1_5" hidden="1">{"rtn",#N/A,FALSE,"RTN";"tables",#N/A,FALSE,"RTN";"cf",#N/A,FALSE,"CF";"stats",#N/A,FALSE,"Stats";"prop",#N/A,FALSE,"Prop"}</definedName>
    <definedName name="asss_2" localSheetId="7" hidden="1">{"rtn",#N/A,FALSE,"RTN";"tables",#N/A,FALSE,"RTN";"cf",#N/A,FALSE,"CF";"stats",#N/A,FALSE,"Stats";"prop",#N/A,FALSE,"Prop"}</definedName>
    <definedName name="asss_2" hidden="1">{"rtn",#N/A,FALSE,"RTN";"tables",#N/A,FALSE,"RTN";"cf",#N/A,FALSE,"CF";"stats",#N/A,FALSE,"Stats";"prop",#N/A,FALSE,"Prop"}</definedName>
    <definedName name="asss_3" localSheetId="7" hidden="1">{"rtn",#N/A,FALSE,"RTN";"tables",#N/A,FALSE,"RTN";"cf",#N/A,FALSE,"CF";"stats",#N/A,FALSE,"Stats";"prop",#N/A,FALSE,"Prop"}</definedName>
    <definedName name="asss_3" hidden="1">{"rtn",#N/A,FALSE,"RTN";"tables",#N/A,FALSE,"RTN";"cf",#N/A,FALSE,"CF";"stats",#N/A,FALSE,"Stats";"prop",#N/A,FALSE,"Prop"}</definedName>
    <definedName name="asss_4" localSheetId="7" hidden="1">{"rtn",#N/A,FALSE,"RTN";"tables",#N/A,FALSE,"RTN";"cf",#N/A,FALSE,"CF";"stats",#N/A,FALSE,"Stats";"prop",#N/A,FALSE,"Prop"}</definedName>
    <definedName name="asss_4" hidden="1">{"rtn",#N/A,FALSE,"RTN";"tables",#N/A,FALSE,"RTN";"cf",#N/A,FALSE,"CF";"stats",#N/A,FALSE,"Stats";"prop",#N/A,FALSE,"Prop"}</definedName>
    <definedName name="asss_5" localSheetId="7" hidden="1">{"rtn",#N/A,FALSE,"RTN";"tables",#N/A,FALSE,"RTN";"cf",#N/A,FALSE,"CF";"stats",#N/A,FALSE,"Stats";"prop",#N/A,FALSE,"Prop"}</definedName>
    <definedName name="asss_5" hidden="1">{"rtn",#N/A,FALSE,"RTN";"tables",#N/A,FALSE,"RTN";"cf",#N/A,FALSE,"CF";"stats",#N/A,FALSE,"Stats";"prop",#N/A,FALSE,"Prop"}</definedName>
    <definedName name="Assumptions1" localSheetId="7" hidden="1">{#N/A,#N/A,FALSE,"1Summary";#N/A,#N/A,FALSE,"2Assumptions";#N/A,#N/A,FALSE,"3Cash Flow";#N/A,#N/A,FALSE,"4Year 1 Reconciliation";#N/A,#N/A,FALSE,"5Residual";#N/A,#N/A,FALSE,"6Residual (Year 20)";#N/A,#N/A,FALSE,"7Financing Sensitivity";#N/A,#N/A,FALSE,"8Residual Sensitivity";#N/A,#N/A,FALSE,"9Pricing Matrix";#N/A,#N/A,FALSE,"10Vacancy Matrix";#N/A,#N/A,FALSE,"11Expiration Schedule";#N/A,#N/A,FALSE,"12Lease-up Schedule";#N/A,#N/A,FALSE,"13Residual 2007";#N/A,#N/A,FALSE,"14Residual 2008";#N/A,#N/A,FALSE,"15Residual 2009";#N/A,#N/A,FALSE,"16Residual 2010";#N/A,#N/A,FALSE,"17Residual 2011";#N/A,#N/A,FALSE,"18Hold Disposition Matrix";#N/A,#N/A,FALSE,"19Other Disposition Matrix"}</definedName>
    <definedName name="Assumptions1" hidden="1">{#N/A,#N/A,FALSE,"1Summary";#N/A,#N/A,FALSE,"2Assumptions";#N/A,#N/A,FALSE,"3Cash Flow";#N/A,#N/A,FALSE,"4Year 1 Reconciliation";#N/A,#N/A,FALSE,"5Residual";#N/A,#N/A,FALSE,"6Residual (Year 20)";#N/A,#N/A,FALSE,"7Financing Sensitivity";#N/A,#N/A,FALSE,"8Residual Sensitivity";#N/A,#N/A,FALSE,"9Pricing Matrix";#N/A,#N/A,FALSE,"10Vacancy Matrix";#N/A,#N/A,FALSE,"11Expiration Schedule";#N/A,#N/A,FALSE,"12Lease-up Schedule";#N/A,#N/A,FALSE,"13Residual 2007";#N/A,#N/A,FALSE,"14Residual 2008";#N/A,#N/A,FALSE,"15Residual 2009";#N/A,#N/A,FALSE,"16Residual 2010";#N/A,#N/A,FALSE,"17Residual 2011";#N/A,#N/A,FALSE,"18Hold Disposition Matrix";#N/A,#N/A,FALSE,"19Other Disposition Matrix"}</definedName>
    <definedName name="asvasd" localSheetId="7" hidden="1">{"mgmt forecast",#N/A,FALSE,"Mgmt Forecast";"dcf table",#N/A,FALSE,"Mgmt Forecast";"sensitivity",#N/A,FALSE,"Mgmt Forecast";"table inputs",#N/A,FALSE,"Mgmt Forecast";"calculations",#N/A,FALSE,"Mgmt Forecast"}</definedName>
    <definedName name="asvasd" hidden="1">{"mgmt forecast",#N/A,FALSE,"Mgmt Forecast";"dcf table",#N/A,FALSE,"Mgmt Forecast";"sensitivity",#N/A,FALSE,"Mgmt Forecast";"table inputs",#N/A,FALSE,"Mgmt Forecast";"calculations",#N/A,FALSE,"Mgmt Forecast"}</definedName>
    <definedName name="ATTACHED" localSheetId="7" hidden="1">{#N/A,#N/A,FALSE,"el.det";#N/A,#N/A,FALSE,"mu.det";#N/A,#N/A,FALSE,"ug.det";#N/A,#N/A,FALSE,"ex.det";#N/A,#N/A,FALSE,"lux.det";#N/A,#N/A,FALSE,"custom.lot";#N/A,#N/A,FALSE,"condo.att";#N/A,#N/A,FALSE,"el.att";#N/A,#N/A,FALSE,"mu.att";#N/A,#N/A,FALSE,"ex.att";#N/A,#N/A,FALSE,"lux.att";#N/A,#N/A,FALSE,"all.by.village"}</definedName>
    <definedName name="ATTACHED" hidden="1">{#N/A,#N/A,FALSE,"el.det";#N/A,#N/A,FALSE,"mu.det";#N/A,#N/A,FALSE,"ug.det";#N/A,#N/A,FALSE,"ex.det";#N/A,#N/A,FALSE,"lux.det";#N/A,#N/A,FALSE,"custom.lot";#N/A,#N/A,FALSE,"condo.att";#N/A,#N/A,FALSE,"el.att";#N/A,#N/A,FALSE,"mu.att";#N/A,#N/A,FALSE,"ex.att";#N/A,#N/A,FALSE,"lux.att";#N/A,#N/A,FALSE,"all.by.village"}</definedName>
    <definedName name="AvgLeaseTermBMR" localSheetId="20">#REF!</definedName>
    <definedName name="AvgLeaseTermBMR" localSheetId="7">#REF!</definedName>
    <definedName name="AvgLeaseTermBMR">'Operating Inputs'!$G$10</definedName>
    <definedName name="AvgLeaseTermMarket" localSheetId="20">#REF!</definedName>
    <definedName name="AvgLeaseTermMarket" localSheetId="7">#REF!</definedName>
    <definedName name="AvgLeaseTermMarket">'Operating Inputs'!$G$11</definedName>
    <definedName name="AvgUnitSize" localSheetId="20">#REF!</definedName>
    <definedName name="AvgUnitSize" localSheetId="7">#REF!</definedName>
    <definedName name="AvgUnitSize">'Operating Inputs'!$G$45</definedName>
    <definedName name="b" localSheetId="7" hidden="1">{"mgmt forecast",#N/A,FALSE,"Mgmt Forecast";"dcf table",#N/A,FALSE,"Mgmt Forecast";"sensitivity",#N/A,FALSE,"Mgmt Forecast";"table inputs",#N/A,FALSE,"Mgmt Forecast";"calculations",#N/A,FALSE,"Mgmt Forecast"}</definedName>
    <definedName name="b" hidden="1">{"mgmt forecast",#N/A,FALSE,"Mgmt Forecast";"dcf table",#N/A,FALSE,"Mgmt Forecast";"sensitivity",#N/A,FALSE,"Mgmt Forecast";"table inputs",#N/A,FALSE,"Mgmt Forecast";"calculations",#N/A,FALSE,"Mgmt Forecast"}</definedName>
    <definedName name="BadLink" hidden="1">#REF!</definedName>
    <definedName name="BasedSection8" hidden="1">#REF!</definedName>
    <definedName name="basfa" localSheetId="7" hidden="1">{#N/A,#N/A,FALSE,"Capex Summary";#N/A,#N/A,FALSE,"Capex";#N/A,#N/A,FALSE,"Repayt Summary";#N/A,#N/A,FALSE,"Repayments";#N/A,#N/A,FALSE,"Repayt Split"}</definedName>
    <definedName name="basfa" hidden="1">{#N/A,#N/A,FALSE,"Capex Summary";#N/A,#N/A,FALSE,"Capex";#N/A,#N/A,FALSE,"Repayt Summary";#N/A,#N/A,FALSE,"Repayments";#N/A,#N/A,FALSE,"Repayt Split"}</definedName>
    <definedName name="Baths">'Operating Inputs'!$D$45</definedName>
    <definedName name="bb" localSheetId="7" hidden="1">{#N/A,#N/A,FALSE,"ExitStratigy"}</definedName>
    <definedName name="bb" hidden="1">{#N/A,#N/A,FALSE,"ExitStratigy"}</definedName>
    <definedName name="bbb" localSheetId="7" hidden="1">{#N/A,#N/A,FALSE,"ExitStratigy"}</definedName>
    <definedName name="bbb" hidden="1">{#N/A,#N/A,FALSE,"ExitStratigy"}</definedName>
    <definedName name="bbbbbb" localSheetId="7" hidden="1">{"Outflow 1",#N/A,FALSE,"Outflows-Inflows";"Outflow 2",#N/A,FALSE,"Outflows-Inflows";"Inflow 1",#N/A,FALSE,"Outflows-Inflows";"Inflow 2",#N/A,FALSE,"Outflows-Inflows"}</definedName>
    <definedName name="bbbbbb" hidden="1">{"Outflow 1",#N/A,FALSE,"Outflows-Inflows";"Outflow 2",#N/A,FALSE,"Outflows-Inflows";"Inflow 1",#N/A,FALSE,"Outflows-Inflows";"Inflow 2",#N/A,FALSE,"Outflows-Inflows"}</definedName>
    <definedName name="bbbbbb_1" localSheetId="7" hidden="1">{"Outflow 1",#N/A,FALSE,"Outflows-Inflows";"Outflow 2",#N/A,FALSE,"Outflows-Inflows";"Inflow 1",#N/A,FALSE,"Outflows-Inflows";"Inflow 2",#N/A,FALSE,"Outflows-Inflows"}</definedName>
    <definedName name="bbbbbb_1" hidden="1">{"Outflow 1",#N/A,FALSE,"Outflows-Inflows";"Outflow 2",#N/A,FALSE,"Outflows-Inflows";"Inflow 1",#N/A,FALSE,"Outflows-Inflows";"Inflow 2",#N/A,FALSE,"Outflows-Inflows"}</definedName>
    <definedName name="bbbbbb_1_1" localSheetId="7" hidden="1">{"Outflow 1",#N/A,FALSE,"Outflows-Inflows";"Outflow 2",#N/A,FALSE,"Outflows-Inflows";"Inflow 1",#N/A,FALSE,"Outflows-Inflows";"Inflow 2",#N/A,FALSE,"Outflows-Inflows"}</definedName>
    <definedName name="bbbbbb_1_1" hidden="1">{"Outflow 1",#N/A,FALSE,"Outflows-Inflows";"Outflow 2",#N/A,FALSE,"Outflows-Inflows";"Inflow 1",#N/A,FALSE,"Outflows-Inflows";"Inflow 2",#N/A,FALSE,"Outflows-Inflows"}</definedName>
    <definedName name="bbbbbb_1_1_1" localSheetId="7" hidden="1">{"Outflow 1",#N/A,FALSE,"Outflows-Inflows";"Outflow 2",#N/A,FALSE,"Outflows-Inflows";"Inflow 1",#N/A,FALSE,"Outflows-Inflows";"Inflow 2",#N/A,FALSE,"Outflows-Inflows"}</definedName>
    <definedName name="bbbbbb_1_1_1" hidden="1">{"Outflow 1",#N/A,FALSE,"Outflows-Inflows";"Outflow 2",#N/A,FALSE,"Outflows-Inflows";"Inflow 1",#N/A,FALSE,"Outflows-Inflows";"Inflow 2",#N/A,FALSE,"Outflows-Inflows"}</definedName>
    <definedName name="bbbbbb_1_2" localSheetId="7" hidden="1">{"Outflow 1",#N/A,FALSE,"Outflows-Inflows";"Outflow 2",#N/A,FALSE,"Outflows-Inflows";"Inflow 1",#N/A,FALSE,"Outflows-Inflows";"Inflow 2",#N/A,FALSE,"Outflows-Inflows"}</definedName>
    <definedName name="bbbbbb_1_2" hidden="1">{"Outflow 1",#N/A,FALSE,"Outflows-Inflows";"Outflow 2",#N/A,FALSE,"Outflows-Inflows";"Inflow 1",#N/A,FALSE,"Outflows-Inflows";"Inflow 2",#N/A,FALSE,"Outflows-Inflows"}</definedName>
    <definedName name="bbbbbb_1_3" localSheetId="7" hidden="1">{"Outflow 1",#N/A,FALSE,"Outflows-Inflows";"Outflow 2",#N/A,FALSE,"Outflows-Inflows";"Inflow 1",#N/A,FALSE,"Outflows-Inflows";"Inflow 2",#N/A,FALSE,"Outflows-Inflows"}</definedName>
    <definedName name="bbbbbb_1_3" hidden="1">{"Outflow 1",#N/A,FALSE,"Outflows-Inflows";"Outflow 2",#N/A,FALSE,"Outflows-Inflows";"Inflow 1",#N/A,FALSE,"Outflows-Inflows";"Inflow 2",#N/A,FALSE,"Outflows-Inflows"}</definedName>
    <definedName name="bbbbbb_1_4" localSheetId="7" hidden="1">{"Outflow 1",#N/A,FALSE,"Outflows-Inflows";"Outflow 2",#N/A,FALSE,"Outflows-Inflows";"Inflow 1",#N/A,FALSE,"Outflows-Inflows";"Inflow 2",#N/A,FALSE,"Outflows-Inflows"}</definedName>
    <definedName name="bbbbbb_1_4" hidden="1">{"Outflow 1",#N/A,FALSE,"Outflows-Inflows";"Outflow 2",#N/A,FALSE,"Outflows-Inflows";"Inflow 1",#N/A,FALSE,"Outflows-Inflows";"Inflow 2",#N/A,FALSE,"Outflows-Inflows"}</definedName>
    <definedName name="bbbbbb_1_5" localSheetId="7" hidden="1">{"Outflow 1",#N/A,FALSE,"Outflows-Inflows";"Outflow 2",#N/A,FALSE,"Outflows-Inflows";"Inflow 1",#N/A,FALSE,"Outflows-Inflows";"Inflow 2",#N/A,FALSE,"Outflows-Inflows"}</definedName>
    <definedName name="bbbbbb_1_5" hidden="1">{"Outflow 1",#N/A,FALSE,"Outflows-Inflows";"Outflow 2",#N/A,FALSE,"Outflows-Inflows";"Inflow 1",#N/A,FALSE,"Outflows-Inflows";"Inflow 2",#N/A,FALSE,"Outflows-Inflows"}</definedName>
    <definedName name="bbbbbb_2" localSheetId="7" hidden="1">{"Outflow 1",#N/A,FALSE,"Outflows-Inflows";"Outflow 2",#N/A,FALSE,"Outflows-Inflows";"Inflow 1",#N/A,FALSE,"Outflows-Inflows";"Inflow 2",#N/A,FALSE,"Outflows-Inflows"}</definedName>
    <definedName name="bbbbbb_2" hidden="1">{"Outflow 1",#N/A,FALSE,"Outflows-Inflows";"Outflow 2",#N/A,FALSE,"Outflows-Inflows";"Inflow 1",#N/A,FALSE,"Outflows-Inflows";"Inflow 2",#N/A,FALSE,"Outflows-Inflows"}</definedName>
    <definedName name="bbbbbb_3" localSheetId="7" hidden="1">{"Outflow 1",#N/A,FALSE,"Outflows-Inflows";"Outflow 2",#N/A,FALSE,"Outflows-Inflows";"Inflow 1",#N/A,FALSE,"Outflows-Inflows";"Inflow 2",#N/A,FALSE,"Outflows-Inflows"}</definedName>
    <definedName name="bbbbbb_3" hidden="1">{"Outflow 1",#N/A,FALSE,"Outflows-Inflows";"Outflow 2",#N/A,FALSE,"Outflows-Inflows";"Inflow 1",#N/A,FALSE,"Outflows-Inflows";"Inflow 2",#N/A,FALSE,"Outflows-Inflows"}</definedName>
    <definedName name="bbbbbb_4" localSheetId="7" hidden="1">{"Outflow 1",#N/A,FALSE,"Outflows-Inflows";"Outflow 2",#N/A,FALSE,"Outflows-Inflows";"Inflow 1",#N/A,FALSE,"Outflows-Inflows";"Inflow 2",#N/A,FALSE,"Outflows-Inflows"}</definedName>
    <definedName name="bbbbbb_4" hidden="1">{"Outflow 1",#N/A,FALSE,"Outflows-Inflows";"Outflow 2",#N/A,FALSE,"Outflows-Inflows";"Inflow 1",#N/A,FALSE,"Outflows-Inflows";"Inflow 2",#N/A,FALSE,"Outflows-Inflows"}</definedName>
    <definedName name="bbbbbb_5" localSheetId="7" hidden="1">{"Outflow 1",#N/A,FALSE,"Outflows-Inflows";"Outflow 2",#N/A,FALSE,"Outflows-Inflows";"Inflow 1",#N/A,FALSE,"Outflows-Inflows";"Inflow 2",#N/A,FALSE,"Outflows-Inflows"}</definedName>
    <definedName name="bbbbbb_5" hidden="1">{"Outflow 1",#N/A,FALSE,"Outflows-Inflows";"Outflow 2",#N/A,FALSE,"Outflows-Inflows";"Inflow 1",#N/A,FALSE,"Outflows-Inflows";"Inflow 2",#N/A,FALSE,"Outflows-Inflows"}</definedName>
    <definedName name="bbbbbbb" localSheetId="7" hidden="1">{"Outflow 1",#N/A,FALSE,"Outflows-Inflows";"Outflow 2",#N/A,FALSE,"Outflows-Inflows";"Inflow 1",#N/A,FALSE,"Outflows-Inflows";"Inflow 2",#N/A,FALSE,"Outflows-Inflows"}</definedName>
    <definedName name="bbbbbbb" hidden="1">{"Outflow 1",#N/A,FALSE,"Outflows-Inflows";"Outflow 2",#N/A,FALSE,"Outflows-Inflows";"Inflow 1",#N/A,FALSE,"Outflows-Inflows";"Inflow 2",#N/A,FALSE,"Outflows-Inflows"}</definedName>
    <definedName name="bccv" localSheetId="7" hidden="1">{"NOPCAPEVA",#N/A,FALSE,"Nopat";"FCFCSTAR",#N/A,FALSE,"FCFVAL";"EVAVL",#N/A,FALSE,"EVAVAL";"LEASE",#N/A,FALSE,"OpLease"}</definedName>
    <definedName name="bccv" hidden="1">{"NOPCAPEVA",#N/A,FALSE,"Nopat";"FCFCSTAR",#N/A,FALSE,"FCFVAL";"EVAVL",#N/A,FALSE,"EVAVAL";"LEASE",#N/A,FALSE,"OpLease"}</definedName>
    <definedName name="bcvxz" localSheetId="7" hidden="1">{"NOPCAPEVA",#N/A,FALSE,"Nopat";"FCFCSTAR",#N/A,FALSE,"FCFVAL";"EVAVL",#N/A,FALSE,"EVAVAL";"LEASE",#N/A,FALSE,"OpLease"}</definedName>
    <definedName name="bcvxz" hidden="1">{"NOPCAPEVA",#N/A,FALSE,"Nopat";"FCFCSTAR",#N/A,FALSE,"FCFVAL";"EVAVL",#N/A,FALSE,"EVAVAL";"LEASE",#N/A,FALSE,"OpLease"}</definedName>
    <definedName name="bcz" localSheetId="7" hidden="1">{"AnnInc",#N/A,TRUE,"Inc";"QtrInc1",#N/A,TRUE,"Inc";"Balance",#N/A,TRUE,"Bal";"Cflow",#N/A,TRUE,"Cash"}</definedName>
    <definedName name="bcz" hidden="1">{"AnnInc",#N/A,TRUE,"Inc";"QtrInc1",#N/A,TRUE,"Inc";"Balance",#N/A,TRUE,"Bal";"Cflow",#N/A,TRUE,"Cash"}</definedName>
    <definedName name="bd" localSheetId="7" hidden="1">{"NOPCAPEVA",#N/A,FALSE,"Nopat";"FCFCSTAR",#N/A,FALSE,"FCFVAL";"EVAVL",#N/A,FALSE,"EVAVAL";"LEASE",#N/A,FALSE,"OpLease"}</definedName>
    <definedName name="bd" hidden="1">{"NOPCAPEVA",#N/A,FALSE,"Nopat";"FCFCSTAR",#N/A,FALSE,"FCFVAL";"EVAVL",#N/A,FALSE,"EVAVAL";"LEASE",#N/A,FALSE,"OpLease"}</definedName>
    <definedName name="bdxc" localSheetId="7" hidden="1">{"NOPCAPEVA",#N/A,FALSE,"Nopat";"FCFCSTAR",#N/A,FALSE,"FCFVAL";"EVAVL",#N/A,FALSE,"EVAVAL";"LEASE",#N/A,FALSE,"OpLease"}</definedName>
    <definedName name="bdxc" hidden="1">{"NOPCAPEVA",#N/A,FALSE,"Nopat";"FCFCSTAR",#N/A,FALSE,"FCFVAL";"EVAVL",#N/A,FALSE,"EVAVAL";"LEASE",#N/A,FALSE,"OpLease"}</definedName>
    <definedName name="Bear" localSheetId="7" hidden="1">{#N/A,#N/A,FALSE,"TS";#N/A,#N/A,FALSE,"Combo";#N/A,#N/A,FALSE,"FAIR";#N/A,#N/A,FALSE,"RBC";#N/A,#N/A,FALSE,"xxxx";#N/A,#N/A,FALSE,"A_D";#N/A,#N/A,FALSE,"WACC";#N/A,#N/A,FALSE,"DCF";#N/A,#N/A,FALSE,"LBO";#N/A,#N/A,FALSE,"AcqMults";#N/A,#N/A,FALSE,"CompMults"}</definedName>
    <definedName name="Bear" hidden="1">{#N/A,#N/A,FALSE,"TS";#N/A,#N/A,FALSE,"Combo";#N/A,#N/A,FALSE,"FAIR";#N/A,#N/A,FALSE,"RBC";#N/A,#N/A,FALSE,"xxxx";#N/A,#N/A,FALSE,"A_D";#N/A,#N/A,FALSE,"WACC";#N/A,#N/A,FALSE,"DCF";#N/A,#N/A,FALSE,"LBO";#N/A,#N/A,FALSE,"AcqMults";#N/A,#N/A,FALSE,"CompMults"}</definedName>
    <definedName name="beattle" localSheetId="7" hidden="1">{"Full Sheet",#N/A,FALSE,"Expense Comparison"}</definedName>
    <definedName name="beattle" hidden="1">{"Full Sheet",#N/A,FALSE,"Expense Comparison"}</definedName>
    <definedName name="Bedrooms">'Operating Inputs'!$C$45</definedName>
    <definedName name="bfc" localSheetId="7" hidden="1">{"NOPCAPEVA",#N/A,FALSE,"Nopat";"FCFCSTAR",#N/A,FALSE,"FCFVAL";"EVAVL",#N/A,FALSE,"EVAVAL";"LEASE",#N/A,FALSE,"OpLease"}</definedName>
    <definedName name="bfc" hidden="1">{"NOPCAPEVA",#N/A,FALSE,"Nopat";"FCFCSTAR",#N/A,FALSE,"FCFVAL";"EVAVL",#N/A,FALSE,"EVAVAL";"LEASE",#N/A,FALSE,"OpLease"}</definedName>
    <definedName name="bfds" localSheetId="7" hidden="1">{"NOPCAPEVA",#N/A,FALSE,"Nopat";"FCFCSTAR",#N/A,FALSE,"FCFVAL";"EVAVL",#N/A,FALSE,"EVAVAL";"LEASE",#N/A,FALSE,"OpLease"}</definedName>
    <definedName name="bfds" hidden="1">{"NOPCAPEVA",#N/A,FALSE,"Nopat";"FCFCSTAR",#N/A,FALSE,"FCFVAL";"EVAVL",#N/A,FALSE,"EVAVAL";"LEASE",#N/A,FALSE,"OpLease"}</definedName>
    <definedName name="bfdz" localSheetId="7" hidden="1">{"NOPCAPEVA",#N/A,FALSE,"Nopat";"FCFCSTAR",#N/A,FALSE,"FCFVAL";"EVAVL",#N/A,FALSE,"EVAVAL";"LEASE",#N/A,FALSE,"OpLease"}</definedName>
    <definedName name="bfdz" hidden="1">{"NOPCAPEVA",#N/A,FALSE,"Nopat";"FCFCSTAR",#N/A,FALSE,"FCFVAL";"EVAVL",#N/A,FALSE,"EVAVAL";"LEASE",#N/A,FALSE,"OpLease"}</definedName>
    <definedName name="BFRT_hsaocnryapfgkrbys17g" localSheetId="7" hidden="1">ISSUE #REF!</definedName>
    <definedName name="BFRT_hsaocnryapfgkrbys17g" hidden="1">ISSUE #REF!</definedName>
    <definedName name="bfszd" localSheetId="7" hidden="1">{"NOPCAPEVA",#N/A,FALSE,"Nopat";"FCFCSTAR",#N/A,FALSE,"FCFVAL";"EVAVL",#N/A,FALSE,"EVAVAL";"LEASE",#N/A,FALSE,"OpLease"}</definedName>
    <definedName name="bfszd" hidden="1">{"NOPCAPEVA",#N/A,FALSE,"Nopat";"FCFCSTAR",#N/A,FALSE,"FCFVAL";"EVAVL",#N/A,FALSE,"EVAVAL";"LEASE",#N/A,FALSE,"OpLease"}</definedName>
    <definedName name="bfx" localSheetId="7" hidden="1">{"AnnInc",#N/A,TRUE,"Inc";"QtrInc1",#N/A,TRUE,"Inc";"Balance",#N/A,TRUE,"Bal";"Cflow",#N/A,TRUE,"Cash"}</definedName>
    <definedName name="bfx" hidden="1">{"AnnInc",#N/A,TRUE,"Inc";"QtrInc1",#N/A,TRUE,"Inc";"Balance",#N/A,TRUE,"Bal";"Cflow",#N/A,TRUE,"Cash"}</definedName>
    <definedName name="bfzx" localSheetId="7" hidden="1">{"AnnInc",#N/A,TRUE,"Inc";"QtrInc1",#N/A,TRUE,"Inc";"Balance",#N/A,TRUE,"Bal";"Cflow",#N/A,TRUE,"Cash"}</definedName>
    <definedName name="bfzx" hidden="1">{"AnnInc",#N/A,TRUE,"Inc";"QtrInc1",#N/A,TRUE,"Inc";"Balance",#N/A,TRUE,"Bal";"Cflow",#N/A,TRUE,"Cash"}</definedName>
    <definedName name="bill" localSheetId="7" hidden="1">{#N/A,#N/A,FALSE,"MKT.COMPS";#N/A,#N/A,FALSE,"DCF - LBO"}</definedName>
    <definedName name="bill" hidden="1">{#N/A,#N/A,FALSE,"MKT.COMPS";#N/A,#N/A,FALSE,"DCF - LBO"}</definedName>
    <definedName name="bill1" localSheetId="7" hidden="1">{#N/A,#N/A,FALSE,"MKT.COMPS";#N/A,#N/A,FALSE,"DCF - LBO"}</definedName>
    <definedName name="bill1" hidden="1">{#N/A,#N/A,FALSE,"MKT.COMPS";#N/A,#N/A,FALSE,"DCF - LBO"}</definedName>
    <definedName name="bilol" localSheetId="7" hidden="1">{#N/A,#N/A,FALSE,"VALSUM";#N/A,#N/A,FALSE,"MKT.COMPS";#N/A,#N/A,FALSE,"ACQ.MULT.";#N/A,#N/A,FALSE,"DCF - LBO"}</definedName>
    <definedName name="bilol" hidden="1">{#N/A,#N/A,FALSE,"VALSUM";#N/A,#N/A,FALSE,"MKT.COMPS";#N/A,#N/A,FALSE,"ACQ.MULT.";#N/A,#N/A,FALSE,"DCF - LBO"}</definedName>
    <definedName name="blah" localSheetId="7" hidden="1">{"Input Assumptions",#N/A,FALSE,"Summary";"Project CF",#N/A,FALSE,"Summary";"Debt &amp; Sq. Ft.",#N/A,FALSE,"Summary";"Revenues",#N/A,FALSE,"Revenue"}</definedName>
    <definedName name="blah" hidden="1">{"Input Assumptions",#N/A,FALSE,"Summary";"Project CF",#N/A,FALSE,"Summary";"Debt &amp; Sq. Ft.",#N/A,FALSE,"Summary";"Revenues",#N/A,FALSE,"Revenue"}</definedName>
    <definedName name="BLPB2" hidden="1">#N/A</definedName>
    <definedName name="BLPH1" hidden="1">#REF!</definedName>
    <definedName name="BLPH10" hidden="1">#REF!</definedName>
    <definedName name="BLPH11" hidden="1">#REF!</definedName>
    <definedName name="BLPH2" hidden="1">#REF!</definedName>
    <definedName name="BLPH3" hidden="1">#REF!</definedName>
    <definedName name="BLPH4" hidden="1">#REF!</definedName>
    <definedName name="BLPH5" hidden="1">#REF!</definedName>
    <definedName name="BLPH6" hidden="1">#REF!</definedName>
    <definedName name="BLPH7" hidden="1">#REF!</definedName>
    <definedName name="BLPH8" hidden="1">#REF!</definedName>
    <definedName name="BLPH9" hidden="1">#REF!</definedName>
    <definedName name="BMRBaseRent" localSheetId="20">#REF!</definedName>
    <definedName name="BMRBaseRent" localSheetId="7">#REF!</definedName>
    <definedName name="BMRBaseRent">'Operating Inputs'!$H$78</definedName>
    <definedName name="BMRNRSF" localSheetId="20">#REF!</definedName>
    <definedName name="BMRNRSF" localSheetId="7">#REF!</definedName>
    <definedName name="BMRNRSF">'Operating Inputs'!$J$78</definedName>
    <definedName name="BMRUnits" localSheetId="20">#REF!</definedName>
    <definedName name="BMRUnits" localSheetId="7">#REF!</definedName>
    <definedName name="BMRUnits">'Operating Inputs'!$E$78</definedName>
    <definedName name="BMRUnitSize">#REF!</definedName>
    <definedName name="BNE_MESSAGES_HIDDEN" hidden="1">#REF!</definedName>
    <definedName name="BorrOneAddress" hidden="1">#REF!</definedName>
    <definedName name="BorrOneCity" hidden="1">#REF!</definedName>
    <definedName name="BorrOneCreditReportDate" hidden="1">#REF!</definedName>
    <definedName name="BorrOneDateFormed" hidden="1">#REF!</definedName>
    <definedName name="BorrOneIsForeign" hidden="1">#REF!</definedName>
    <definedName name="BorrOneIsNonProfit" hidden="1">#REF!</definedName>
    <definedName name="BorrOneIsSingleAsset" hidden="1">#REF!</definedName>
    <definedName name="BorrOneName" hidden="1">#REF!</definedName>
    <definedName name="BorrOnePercentOwnership" hidden="1">#REF!</definedName>
    <definedName name="BorrOneState" hidden="1">#REF!</definedName>
    <definedName name="BorrOneTaxID" hidden="1">#REF!</definedName>
    <definedName name="BorrOneType" hidden="1">#REF!</definedName>
    <definedName name="BorrOneZip" hidden="1">#REF!</definedName>
    <definedName name="BorrowerRating" hidden="1">#REF!</definedName>
    <definedName name="BSIPbPageSetupChartSize" hidden="1">1</definedName>
    <definedName name="BSIPbPageSetupChartSize_0" hidden="1">0</definedName>
    <definedName name="BSIPbPageSetupDraftQuality" hidden="1">1</definedName>
    <definedName name="BSIPbPageSetupDraftQuality_0" hidden="1">0</definedName>
    <definedName name="BSIPbPageSetupDrawingColor" hidden="1">1</definedName>
    <definedName name="BSIPbPageSetupDrawingColor_0" hidden="1">0</definedName>
    <definedName name="BSIPbPageSetupFitToPagesTall" hidden="1">1</definedName>
    <definedName name="BSIPbPageSetupFitToPagesTall_0" hidden="1">1</definedName>
    <definedName name="BSIPbPageSetupFitToPagesWide" hidden="1">1</definedName>
    <definedName name="BSIPbPageSetupFitToPagesWide_0" hidden="1">1</definedName>
    <definedName name="BSIPbPageSetupMediaName" hidden="1">1</definedName>
    <definedName name="BSIPbPageSetupMediaName_0" hidden="1">"ANSI_B_(11.00_x_17.00_Inches)"</definedName>
    <definedName name="BSIPbPageSetupPageOrientation" hidden="1">1</definedName>
    <definedName name="BSIPbPageSetupPageOrientation_0" hidden="1">2</definedName>
    <definedName name="BSIPbPageSetupPaperHeight" hidden="1">1</definedName>
    <definedName name="BSIPbPageSetupPaperHeight_0" hidden="1">1224</definedName>
    <definedName name="BSIPbPageSetupPaperMarginBottom" hidden="1">1</definedName>
    <definedName name="BSIPbPageSetupPaperMarginBottom_0" hidden="1">0</definedName>
    <definedName name="BSIPbPageSetupPaperMarginFooter" hidden="1">1</definedName>
    <definedName name="BSIPbPageSetupPaperMarginFooter_0" hidden="1">0</definedName>
    <definedName name="BSIPbPageSetupPaperMarginHeader" hidden="1">1</definedName>
    <definedName name="BSIPbPageSetupPaperMarginHeader_0" hidden="1">0</definedName>
    <definedName name="BSIPbPageSetupPaperMarginLeft" hidden="1">1</definedName>
    <definedName name="BSIPbPageSetupPaperMarginLeft_0" hidden="1">0</definedName>
    <definedName name="BSIPbPageSetupPaperMarginRight" hidden="1">1</definedName>
    <definedName name="BSIPbPageSetupPaperMarginRight_0" hidden="1">0</definedName>
    <definedName name="BSIPbPageSetupPaperMarginTop" hidden="1">1</definedName>
    <definedName name="BSIPbPageSetupPaperMarginTop_0" hidden="1">0</definedName>
    <definedName name="BSIPbPageSetupPaperWidth" hidden="1">1</definedName>
    <definedName name="BSIPbPageSetupPaperWidth_0" hidden="1">792</definedName>
    <definedName name="BSIPbPageSetupPlotSizeType" hidden="1">1</definedName>
    <definedName name="BSIPbPageSetupPlotSizeType_0" hidden="1">1</definedName>
    <definedName name="BSIPbPageSetupPrintCellErrors" hidden="1">1</definedName>
    <definedName name="BSIPbPageSetupPrintCellErrors_0" hidden="1">0</definedName>
    <definedName name="BSIPbPageSetupPrintComments" hidden="1">1</definedName>
    <definedName name="BSIPbPageSetupPrintComments_0" hidden="1">-4142</definedName>
    <definedName name="BSIPbPageSetupPrintGridlines" hidden="1">1</definedName>
    <definedName name="BSIPbPageSetupPrintGridlines_0" hidden="1">0</definedName>
    <definedName name="BSIPbPageSetupUseStandardMargins" hidden="1">1</definedName>
    <definedName name="BSIPbPageSetupUseStandardMargins_0" hidden="1">0</definedName>
    <definedName name="BSIPbPageSetupUseZoom" hidden="1">1</definedName>
    <definedName name="BSIPbPageSetupUseZoom_0" hidden="1">0</definedName>
    <definedName name="BSIPbPageSetupZoom" hidden="1">1</definedName>
    <definedName name="BSIPbPageSetupZoom_0" hidden="1">100</definedName>
    <definedName name="BSIWhichPageSetup" hidden="1">1</definedName>
    <definedName name="BSIWhichPageSetup_0" hidden="1">"0þ"</definedName>
    <definedName name="bubba" localSheetId="7" hidden="1">{#N/A,#N/A,FALSE,"Cover";#N/A,#N/A,FALSE,"Cover2";#N/A,#N/A,FALSE,"Contents";#N/A,#N/A,FALSE,"Participant_Profile";#N/A,#N/A,FALSE,"Exp Sum";#N/A,#N/A,FALSE,"Dept Sum";#N/A,#N/A,FALSE,"Employee Sum";#N/A,#N/A,FALSE,"G&amp;A";#N/A,#N/A,FALSE,"Marketing, Development";#N/A,#N/A,FALSE,"Dietary";#N/A,#N/A,FALSE,"Activities";#N/A,#N/A,FALSE,"Housekeeping, Laundry";#N/A,#N/A,FALSE,"Maint,Grounds, Sec";#N/A,#N/A,FALSE,"Healthcare";#N/A,#N/A,FALSE,"Other";#N/A,#N/A,FALSE,"Employee"}</definedName>
    <definedName name="bubba" hidden="1">{#N/A,#N/A,FALSE,"Cover";#N/A,#N/A,FALSE,"Cover2";#N/A,#N/A,FALSE,"Contents";#N/A,#N/A,FALSE,"Participant_Profile";#N/A,#N/A,FALSE,"Exp Sum";#N/A,#N/A,FALSE,"Dept Sum";#N/A,#N/A,FALSE,"Employee Sum";#N/A,#N/A,FALSE,"G&amp;A";#N/A,#N/A,FALSE,"Marketing, Development";#N/A,#N/A,FALSE,"Dietary";#N/A,#N/A,FALSE,"Activities";#N/A,#N/A,FALSE,"Housekeeping, Laundry";#N/A,#N/A,FALSE,"Maint,Grounds, Sec";#N/A,#N/A,FALSE,"Healthcare";#N/A,#N/A,FALSE,"Other";#N/A,#N/A,FALSE,"Employee"}</definedName>
    <definedName name="BudgetSumm" localSheetId="7" hidden="1">{#N/A,#N/A,FALSE,"Cashflow Analysis";#N/A,#N/A,FALSE,"Sensitivity Analysis";#N/A,#N/A,FALSE,"PV";#N/A,#N/A,FALSE,"Pro Forma"}</definedName>
    <definedName name="BudgetSumm" hidden="1">{#N/A,#N/A,FALSE,"Cashflow Analysis";#N/A,#N/A,FALSE,"Sensitivity Analysis";#N/A,#N/A,FALSE,"PV";#N/A,#N/A,FALSE,"Pro Forma"}</definedName>
    <definedName name="BudgetSumm.2" localSheetId="7" hidden="1">{#N/A,#N/A,FALSE,"Cashflow Analysis";#N/A,#N/A,FALSE,"Sensitivity Analysis";#N/A,#N/A,FALSE,"PV";#N/A,#N/A,FALSE,"Pro Forma"}</definedName>
    <definedName name="BudgetSumm.2" hidden="1">{#N/A,#N/A,FALSE,"Cashflow Analysis";#N/A,#N/A,FALSE,"Sensitivity Analysis";#N/A,#N/A,FALSE,"PV";#N/A,#N/A,FALSE,"Pro Forma"}</definedName>
    <definedName name="builder" localSheetId="7" hidden="1">{#N/A,#N/A,FALSE,"el.det";#N/A,#N/A,FALSE,"mu.det";#N/A,#N/A,FALSE,"ug.det";#N/A,#N/A,FALSE,"ex.det";#N/A,#N/A,FALSE,"lux.det";#N/A,#N/A,FALSE,"custom.lot";#N/A,#N/A,FALSE,"condo.att";#N/A,#N/A,FALSE,"el.att";#N/A,#N/A,FALSE,"mu.att";#N/A,#N/A,FALSE,"ex.att";#N/A,#N/A,FALSE,"lux.att";#N/A,#N/A,FALSE,"all.by.village"}</definedName>
    <definedName name="builder" hidden="1">{#N/A,#N/A,FALSE,"el.det";#N/A,#N/A,FALSE,"mu.det";#N/A,#N/A,FALSE,"ug.det";#N/A,#N/A,FALSE,"ex.det";#N/A,#N/A,FALSE,"lux.det";#N/A,#N/A,FALSE,"custom.lot";#N/A,#N/A,FALSE,"condo.att";#N/A,#N/A,FALSE,"el.att";#N/A,#N/A,FALSE,"mu.att";#N/A,#N/A,FALSE,"ex.att";#N/A,#N/A,FALSE,"lux.att";#N/A,#N/A,FALSE,"all.by.village"}</definedName>
    <definedName name="bv" localSheetId="7" hidden="1">{#N/A,#N/A,FALSE,"DELQ";#N/A,#N/A,FALSE,"REO";#N/A,#N/A,FALSE,"WATCHDSC";#N/A,#N/A,FALSE,"2LOSSMOD";#N/A,#N/A,FALSE,"2LOSS";#N/A,#N/A,FALSE,"DSC";#N/A,#N/A,FALSE,"OPERAT";#N/A,#N/A,FALSE,"ADJUST";#N/A,#N/A,FALSE,"PAIDOFF";#N/A,#N/A,FALSE,"TENANT";#N/A,#N/A,FALSE,"LEASE EXPIRE"}</definedName>
    <definedName name="bv" hidden="1">{#N/A,#N/A,FALSE,"DELQ";#N/A,#N/A,FALSE,"REO";#N/A,#N/A,FALSE,"WATCHDSC";#N/A,#N/A,FALSE,"2LOSSMOD";#N/A,#N/A,FALSE,"2LOSS";#N/A,#N/A,FALSE,"DSC";#N/A,#N/A,FALSE,"OPERAT";#N/A,#N/A,FALSE,"ADJUST";#N/A,#N/A,FALSE,"PAIDOFF";#N/A,#N/A,FALSE,"TENANT";#N/A,#N/A,FALSE,"LEASE EXPIRE"}</definedName>
    <definedName name="bye" localSheetId="7" hidden="1">{#N/A,#N/A,FALSE,"Aging Summary";#N/A,#N/A,FALSE,"Ratio Analysis";#N/A,#N/A,FALSE,"Test 120 Day Accts";#N/A,#N/A,FALSE,"Tickmarks"}</definedName>
    <definedName name="bye" hidden="1">{#N/A,#N/A,FALSE,"Aging Summary";#N/A,#N/A,FALSE,"Ratio Analysis";#N/A,#N/A,FALSE,"Test 120 Day Accts";#N/A,#N/A,FALSE,"Tickmarks"}</definedName>
    <definedName name="c.LTMYear" hidden="1">#REF!</definedName>
    <definedName name="CAMRec" localSheetId="7" hidden="1">{#N/A,#N/A,FALSE,"OPERATING BUDGET 99";#N/A,#N/A,FALSE,"RECOVERY99"}</definedName>
    <definedName name="CAMRec" hidden="1">{#N/A,#N/A,FALSE,"OPERATING BUDGET 99";#N/A,#N/A,FALSE,"RECOVERY99"}</definedName>
    <definedName name="Capacity" localSheetId="7" hidden="1">{#N/A,#N/A,FALSE,"IPO";#N/A,#N/A,FALSE,"DCF";#N/A,#N/A,FALSE,"LBO";#N/A,#N/A,FALSE,"MULT_VAL";#N/A,#N/A,FALSE,"Status Quo";#N/A,#N/A,FALSE,"Recap"}</definedName>
    <definedName name="Capacity" hidden="1">{#N/A,#N/A,FALSE,"IPO";#N/A,#N/A,FALSE,"DCF";#N/A,#N/A,FALSE,"LBO";#N/A,#N/A,FALSE,"MULT_VAL";#N/A,#N/A,FALSE,"Status Quo";#N/A,#N/A,FALSE,"Recap"}</definedName>
    <definedName name="cb" localSheetId="7" hidden="1">{#N/A,#N/A,FALSE,"el.det";#N/A,#N/A,FALSE,"mu.det";#N/A,#N/A,FALSE,"ug.det";#N/A,#N/A,FALSE,"ex.det";#N/A,#N/A,FALSE,"lux.det";#N/A,#N/A,FALSE,"custom.lot";#N/A,#N/A,FALSE,"condo.att";#N/A,#N/A,FALSE,"el.att";#N/A,#N/A,FALSE,"mu.att";#N/A,#N/A,FALSE,"ex.att";#N/A,#N/A,FALSE,"lux.att";#N/A,#N/A,FALSE,"all.by.village"}</definedName>
    <definedName name="cb" hidden="1">{#N/A,#N/A,FALSE,"el.det";#N/A,#N/A,FALSE,"mu.det";#N/A,#N/A,FALSE,"ug.det";#N/A,#N/A,FALSE,"ex.det";#N/A,#N/A,FALSE,"lux.det";#N/A,#N/A,FALSE,"custom.lot";#N/A,#N/A,FALSE,"condo.att";#N/A,#N/A,FALSE,"el.att";#N/A,#N/A,FALSE,"mu.att";#N/A,#N/A,FALSE,"ex.att";#N/A,#N/A,FALSE,"lux.att";#N/A,#N/A,FALSE,"all.by.village"}</definedName>
    <definedName name="cb_sChart41E9A35_opts" hidden="1">"1, 9, 1, False, 2, False, False, , 0, False, True, 1, 1"</definedName>
    <definedName name="cc" localSheetId="7" hidden="1">{#N/A,#N/A,FALSE,"LoanAssumptions"}</definedName>
    <definedName name="cc" hidden="1">{#N/A,#N/A,FALSE,"LoanAssumptions"}</definedName>
    <definedName name="ccc" localSheetId="7" hidden="1">{#N/A,#N/A,FALSE,"LoanAssumptions"}</definedName>
    <definedName name="ccc" hidden="1">{#N/A,#N/A,FALSE,"LoanAssumptions"}</definedName>
    <definedName name="CCD" localSheetId="7" hidden="1">{"Summary",#N/A,TRUE,"Summary";"Cost Plan",#N/A,TRUE,"Cost Plan"}</definedName>
    <definedName name="CCD" hidden="1">{"Summary",#N/A,TRUE,"Summary";"Cost Plan",#N/A,TRUE,"Cost Plan"}</definedName>
    <definedName name="ccs" localSheetId="7" hidden="1">{#N/A,#N/A,FALSE,"Chart 2 by Prop Type"}</definedName>
    <definedName name="ccs" hidden="1">{#N/A,#N/A,FALSE,"Chart 2 by Prop Type"}</definedName>
    <definedName name="ChangeRange" hidden="1">#REF!</definedName>
    <definedName name="CIQWBGuid" hidden="1">"03401410-aa7f-4669-b121-9f8511e7d7f1"</definedName>
    <definedName name="CIQWBInfo" hidden="1">"{ ""CIQVersion"":""9.52.4409.4666"" }"</definedName>
    <definedName name="Close">#REF!</definedName>
    <definedName name="COBRA" localSheetId="7" hidden="1">{#N/A,#N/A,FALSE,"softdraw";#N/A,#N/A,FALSE,"linereclass";"northpint loan",#N/A,FALSE,"LOAN"}</definedName>
    <definedName name="COBRA" hidden="1">{#N/A,#N/A,FALSE,"softdraw";#N/A,#N/A,FALSE,"linereclass";"northpint loan",#N/A,FALSE,"LOAN"}</definedName>
    <definedName name="ColumnI">#REF!,#REF! ,#REF!,#REF!,#REF!,#REF!,#REF!,#REF!,#REF!,#REF!,#REF!,#REF!,#REF!,#REF!,#REF!,#REF!,#REF!,#REF!,#REF! ,#REF! ,#REF!</definedName>
    <definedName name="ColumnJ">#REF!,#REF! ,#REF!,#REF!,#REF!,#REF!,#REF!,#REF!,#REF!,#REF!,#REF!,#REF!,#REF!,#REF!,#REF!,#REF!,#REF!,#REF!,#REF! ,#REF! ,#REF!</definedName>
    <definedName name="ColumnK">#REF!,#REF! ,#REF!,#REF!,#REF!,#REF!,#REF!,#REF!,#REF!,#REF!,#REF!,#REF!,#REF!,#REF!,#REF!,#REF!,#REF!,#REF!,#REF! ,#REF! ,#REF!</definedName>
    <definedName name="ColumnL">#REF!,#REF! ,#REF!,#REF!,#REF!,#REF!,#REF!,#REF!,#REF!,#REF!,#REF!,#REF!,#REF!,#REF!,#REF!,#REF!,#REF!,#REF!,#REF! ,#REF! ,#REF!</definedName>
    <definedName name="ColumnM">#REF!,#REF! ,#REF!,#REF!,#REF!,#REF!,#REF!,#REF!,#REF!,#REF!,#REF!,#REF!,#REF!,#REF!,#REF!,#REF!,#REF!,#REF!,#REF! ,#REF! ,#REF!</definedName>
    <definedName name="ColumnN">#REF!,#REF! ,#REF!,#REF!,#REF!,#REF!,#REF!,#REF!,#REF!,#REF!,#REF!,#REF!,#REF!,#REF!,#REF!,#REF!,#REF!,#REF!,#REF! ,#REF! ,#REF!</definedName>
    <definedName name="ColumnO">#REF!,#REF! ,#REF!,#REF!,#REF!,#REF!,#REF!,#REF!,#REF!,#REF!,#REF!,#REF!,#REF!,#REF!,#REF!,#REF!,#REF!,#REF!,#REF! ,#REF! ,#REF!</definedName>
    <definedName name="ColumnP">#REF!,#REF! ,#REF!,#REF!,#REF!,#REF!,#REF!,#REF!,#REF!,#REF!,#REF!,#REF!,#REF!,#REF!,#REF!,#REF!,#REF!,#REF!,#REF! ,#REF! ,#REF!</definedName>
    <definedName name="ColumnQ">#REF!,#REF! ,#REF!,#REF!,#REF!,#REF!,#REF!,#REF!,#REF!,#REF!,#REF!,#REF!,#REF!,#REF!,#REF!,#REF!,#REF!,#REF!,#REF! ,#REF! ,#REF!</definedName>
    <definedName name="ColumnR">#REF!,#REF! ,#REF!,#REF!,#REF!,#REF!,#REF!,#REF!,#REF!,#REF!,#REF!,#REF!,#REF!,#REF!,#REF!,#REF!,#REF!,#REF!,#REF! ,#REF! ,#REF!</definedName>
    <definedName name="ColumnS">#REF!,#REF! ,#REF!,#REF!,#REF!,#REF!,#REF!,#REF!,#REF!,#REF!,#REF!,#REF!,#REF!,#REF!,#REF!,#REF!,#REF!,#REF!,#REF! ,#REF! ,#REF!</definedName>
    <definedName name="ColumnT">#REF!,#REF! ,#REF!,#REF!,#REF!,#REF!,#REF!,#REF!,#REF!,#REF!,#REF!,#REF!,#REF!,#REF!,#REF!,#REF!,#REF!,#REF!,#REF! ,#REF! ,#REF!</definedName>
    <definedName name="CompanyOH" hidden="1">#REF!</definedName>
    <definedName name="Comps" localSheetId="7" hidden="1">{#N/A,#N/A,FALSE,"1Summary";#N/A,#N/A,FALSE,"2Assumptions";#N/A,#N/A,FALSE,"3Cash Flow";#N/A,#N/A,FALSE,"4Return of Investment Chart";#N/A,#N/A,FALSE,"5Year 1 Reconciliation";#N/A,#N/A,FALSE,"6Residual";#N/A,#N/A,FALSE,"7Pricing Matrix";#N/A,#N/A,FALSE,"8Vacancy Matrix";#N/A,#N/A,FALSE,"9Vacancy Chart";#N/A,#N/A,FALSE,"AExpiration Schedule";#N/A,#N/A,FALSE,"BExpiration Chart";#N/A,#N/A,FALSE,"CLease-up Schedule";#N/A,#N/A,FALSE,"DWeighted Average Calculation"}</definedName>
    <definedName name="Comps" hidden="1">{#N/A,#N/A,FALSE,"1Summary";#N/A,#N/A,FALSE,"2Assumptions";#N/A,#N/A,FALSE,"3Cash Flow";#N/A,#N/A,FALSE,"4Return of Investment Chart";#N/A,#N/A,FALSE,"5Year 1 Reconciliation";#N/A,#N/A,FALSE,"6Residual";#N/A,#N/A,FALSE,"7Pricing Matrix";#N/A,#N/A,FALSE,"8Vacancy Matrix";#N/A,#N/A,FALSE,"9Vacancy Chart";#N/A,#N/A,FALSE,"AExpiration Schedule";#N/A,#N/A,FALSE,"BExpiration Chart";#N/A,#N/A,FALSE,"CLease-up Schedule";#N/A,#N/A,FALSE,"DWeighted Average Calculation"}</definedName>
    <definedName name="Comps_National" hidden="1">#REF!</definedName>
    <definedName name="conflict_name" hidden="1">#REF!</definedName>
    <definedName name="conflict_name_2" hidden="1">#REF!</definedName>
    <definedName name="ConstLoanRt">#REF!</definedName>
    <definedName name="ConstPeriod" localSheetId="20">#REF!</definedName>
    <definedName name="ConstPeriod" localSheetId="7">#REF!</definedName>
    <definedName name="ConstPeriod">'General Inputs'!$C$42</definedName>
    <definedName name="Constr_period">#REF!</definedName>
    <definedName name="ConstrStartDate" localSheetId="20">#REF!</definedName>
    <definedName name="ConstrStartDate" localSheetId="7">#REF!</definedName>
    <definedName name="ConstrStartDate">'General Inputs'!$C$30</definedName>
    <definedName name="Construct" localSheetId="7" hidden="1">{"Assumptions",#N/A,FALSE,"Assumptions"}</definedName>
    <definedName name="Construct" hidden="1">{"Assumptions",#N/A,FALSE,"Assumptions"}</definedName>
    <definedName name="construction" localSheetId="7" hidden="1">{"Construction Costs",#N/A,FALSE,"Total Costs"}</definedName>
    <definedName name="construction" hidden="1">{"Construction Costs",#N/A,FALSE,"Total Costs"}</definedName>
    <definedName name="Construction1" localSheetId="7" hidden="1">{"Construction Costs",#N/A,FALSE,"Total Costs"}</definedName>
    <definedName name="Construction1" hidden="1">{"Construction Costs",#N/A,FALSE,"Total Costs"}</definedName>
    <definedName name="ConstructionEnd">#REF!</definedName>
    <definedName name="ConstructionLength">#REF!</definedName>
    <definedName name="ConstructionLoan">#REF!</definedName>
    <definedName name="ConstructionStart">#REF!</definedName>
    <definedName name="ContentsHelp" hidden="1">#REF!</definedName>
    <definedName name="CONTRACT" localSheetId="7" hidden="1">{#N/A,#N/A,FALSE,"OPERATING BUDGET 99";#N/A,#N/A,FALSE,"RECOVERY99"}</definedName>
    <definedName name="CONTRACT" hidden="1">{#N/A,#N/A,FALSE,"OPERATING BUDGET 99";#N/A,#N/A,FALSE,"RECOVERY99"}</definedName>
    <definedName name="ContractsMth">#REF!</definedName>
    <definedName name="ContrConst" localSheetId="20">#REF!</definedName>
    <definedName name="ContrConst" localSheetId="7">#REF!</definedName>
    <definedName name="ContrConst">'General Inputs'!$H$9</definedName>
    <definedName name="ContrEquity" localSheetId="20">#REF!</definedName>
    <definedName name="ContrEquity" localSheetId="7">#REF!</definedName>
    <definedName name="ContrEquity">'General Inputs'!$J$10</definedName>
    <definedName name="ContrLand" localSheetId="20">#REF!</definedName>
    <definedName name="ContrLand" localSheetId="7">#REF!</definedName>
    <definedName name="ContrLand">'General Inputs'!$L$10</definedName>
    <definedName name="ContrLennar" localSheetId="20">#REF!</definedName>
    <definedName name="ContrLennar" localSheetId="7">#REF!</definedName>
    <definedName name="ContrLennar">'General Inputs'!$K$10</definedName>
    <definedName name="ContrMezz" localSheetId="20">#REF!</definedName>
    <definedName name="ContrMezz" localSheetId="7">#REF!</definedName>
    <definedName name="ContrMezz">'General Inputs'!$I$9</definedName>
    <definedName name="ContrQuarterra">#REF!</definedName>
    <definedName name="COO" localSheetId="7" hidden="1">{#N/A,#N/A,FALSE,"Matrix";#N/A,#N/A,FALSE,"Cash Flow";#N/A,#N/A,FALSE,"10 Year Cost Analysis"}</definedName>
    <definedName name="COO" hidden="1">{#N/A,#N/A,FALSE,"Matrix";#N/A,#N/A,FALSE,"Cash Flow";#N/A,#N/A,FALSE,"10 Year Cost Analysis"}</definedName>
    <definedName name="copied" localSheetId="7" hidden="1">{#N/A,#N/A,FALSE,"el.det";#N/A,#N/A,FALSE,"mu.det";#N/A,#N/A,FALSE,"ug.det";#N/A,#N/A,FALSE,"ex.det";#N/A,#N/A,FALSE,"lux.det";#N/A,#N/A,FALSE,"custom.lot";#N/A,#N/A,FALSE,"condo.att";#N/A,#N/A,FALSE,"el.att";#N/A,#N/A,FALSE,"mu.att";#N/A,#N/A,FALSE,"ex.att";#N/A,#N/A,FALSE,"lux.att";#N/A,#N/A,FALSE,"all.by.village"}</definedName>
    <definedName name="copied" hidden="1">{#N/A,#N/A,FALSE,"el.det";#N/A,#N/A,FALSE,"mu.det";#N/A,#N/A,FALSE,"ug.det";#N/A,#N/A,FALSE,"ex.det";#N/A,#N/A,FALSE,"lux.det";#N/A,#N/A,FALSE,"custom.lot";#N/A,#N/A,FALSE,"condo.att";#N/A,#N/A,FALSE,"el.att";#N/A,#N/A,FALSE,"mu.att";#N/A,#N/A,FALSE,"ex.att";#N/A,#N/A,FALSE,"lux.att";#N/A,#N/A,FALSE,"all.by.village"}</definedName>
    <definedName name="Copy" localSheetId="7" hidden="1">{"AnnualRentRoll",#N/A,FALSE,"RentRoll"}</definedName>
    <definedName name="Copy" hidden="1">{"AnnualRentRoll",#N/A,FALSE,"RentRoll"}</definedName>
    <definedName name="copy2" localSheetId="7" hidden="1">{#N/A,#N/A,FALSE,"el.det";#N/A,#N/A,FALSE,"mu.det";#N/A,#N/A,FALSE,"ug.det";#N/A,#N/A,FALSE,"ex.det";#N/A,#N/A,FALSE,"lux.det";#N/A,#N/A,FALSE,"custom.lot";#N/A,#N/A,FALSE,"condo.att";#N/A,#N/A,FALSE,"el.att";#N/A,#N/A,FALSE,"mu.att";#N/A,#N/A,FALSE,"ex.att";#N/A,#N/A,FALSE,"lux.att";#N/A,#N/A,FALSE,"all.by.village"}</definedName>
    <definedName name="copy2" hidden="1">{#N/A,#N/A,FALSE,"el.det";#N/A,#N/A,FALSE,"mu.det";#N/A,#N/A,FALSE,"ug.det";#N/A,#N/A,FALSE,"ex.det";#N/A,#N/A,FALSE,"lux.det";#N/A,#N/A,FALSE,"custom.lot";#N/A,#N/A,FALSE,"condo.att";#N/A,#N/A,FALSE,"el.att";#N/A,#N/A,FALSE,"mu.att";#N/A,#N/A,FALSE,"ex.att";#N/A,#N/A,FALSE,"lux.att";#N/A,#N/A,FALSE,"all.by.village"}</definedName>
    <definedName name="CostNotAttributable" hidden="1">#REF!</definedName>
    <definedName name="Cottage" localSheetId="7" hidden="1">{"cot1",#N/A,FALSE,"Cottages";"cot2",#N/A,FALSE,"Cottages";"cot3",#N/A,FALSE,"Cottages"}</definedName>
    <definedName name="Cottage" hidden="1">{"cot1",#N/A,FALSE,"Cottages";"cot2",#N/A,FALSE,"Cottages";"cot3",#N/A,FALSE,"Cottages"}</definedName>
    <definedName name="cottage2" localSheetId="7" hidden="1">{"cot1",#N/A,FALSE,"Cottages";"cot2",#N/A,FALSE,"Cottages";"cot3",#N/A,FALSE,"Cottages"}</definedName>
    <definedName name="cottage2" hidden="1">{"cot1",#N/A,FALSE,"Cottages";"cot2",#N/A,FALSE,"Cottages";"cot3",#N/A,FALSE,"Cottages"}</definedName>
    <definedName name="CreateTable" hidden="1">#REF!</definedName>
    <definedName name="cu102.ShareScalingFactor" hidden="1">1000000</definedName>
    <definedName name="cu103.EmployeeScalingFactor" hidden="1">1000</definedName>
    <definedName name="cu107.DPSSymbol" hidden="1">"R$"</definedName>
    <definedName name="cu107.EPSSymbol" hidden="1">"R$"</definedName>
    <definedName name="cu71.ScalingFactor" hidden="1">1000</definedName>
    <definedName name="CVS" hidden="1">#REF!</definedName>
    <definedName name="cxgxgfgfs" localSheetId="7" hidden="1">{#N/A,#N/A,FALSE,"Cashflow Analysis";#N/A,#N/A,FALSE,"Sensitivity Analysis";#N/A,#N/A,FALSE,"PV";#N/A,#N/A,FALSE,"Pro Forma"}</definedName>
    <definedName name="cxgxgfgfs" hidden="1">{#N/A,#N/A,FALSE,"Cashflow Analysis";#N/A,#N/A,FALSE,"Sensitivity Analysis";#N/A,#N/A,FALSE,"PV";#N/A,#N/A,FALSE,"Pro Forma"}</definedName>
    <definedName name="cxgxgfgfs.2" localSheetId="7" hidden="1">{#N/A,#N/A,FALSE,"Cashflow Analysis";#N/A,#N/A,FALSE,"Sensitivity Analysis";#N/A,#N/A,FALSE,"PV";#N/A,#N/A,FALSE,"Pro Forma"}</definedName>
    <definedName name="cxgxgfgfs.2" hidden="1">{#N/A,#N/A,FALSE,"Cashflow Analysis";#N/A,#N/A,FALSE,"Sensitivity Analysis";#N/A,#N/A,FALSE,"PV";#N/A,#N/A,FALSE,"Pro Forma"}</definedName>
    <definedName name="D" localSheetId="8">IF(Loan_Amount*Interest_Rate*Loan_Years*Loan_Start&gt;0,1,0)</definedName>
    <definedName name="D" localSheetId="20">IF(Loan_Amount*Interest_Rate*Loan_Years*Loan_Start&gt;0,1,0)</definedName>
    <definedName name="D" localSheetId="7">IF(Loan_Amount*Interest_Rate*Loan_Years*Loan_Start&gt;0,1,0)</definedName>
    <definedName name="D">IF(Loan_Amount*Interest_Rate*Loan_Years*Loan_Start&gt;0,1,0)</definedName>
    <definedName name="DACF" localSheetId="7" hidden="1">{"mgmt forecast",#N/A,FALSE,"Mgmt Forecast";"dcf table",#N/A,FALSE,"Mgmt Forecast";"sensitivity",#N/A,FALSE,"Mgmt Forecast";"table inputs",#N/A,FALSE,"Mgmt Forecast";"calculations",#N/A,FALSE,"Mgmt Forecast"}</definedName>
    <definedName name="DACF" hidden="1">{"mgmt forecast",#N/A,FALSE,"Mgmt Forecast";"dcf table",#N/A,FALSE,"Mgmt Forecast";"sensitivity",#N/A,FALSE,"Mgmt Forecast";"table inputs",#N/A,FALSE,"Mgmt Forecast";"calculations",#N/A,FALSE,"Mgmt Forecast"}</definedName>
    <definedName name="DadSD" hidden="1">#REF!</definedName>
    <definedName name="danny" hidden="1">#REF!</definedName>
    <definedName name="dasdasd" localSheetId="7" hidden="1">{"Bell",#N/A,TRUE,"Earnings Model";"Cessna",#N/A,TRUE,"Earnings Model"}</definedName>
    <definedName name="dasdasd" hidden="1">{"Bell",#N/A,TRUE,"Earnings Model";"Cessna",#N/A,TRUE,"Earnings Model"}</definedName>
    <definedName name="dasf" hidden="1">#REF!</definedName>
    <definedName name="dat" localSheetId="7" hidden="1">{"data",#N/A,FALSE,"INPUT"}</definedName>
    <definedName name="dat" hidden="1">{"data",#N/A,FALSE,"INPUT"}</definedName>
    <definedName name="Data.Dump" localSheetId="6" hidden="1">OFFSET([0]!Data.Top.Left,1,0)</definedName>
    <definedName name="Data.Dump" localSheetId="8" hidden="1">OFFSET([0]!Data.Top.Left,1,0)</definedName>
    <definedName name="Data.Dump" localSheetId="35" hidden="1">OFFSET([0]!Data.Top.Left,1,0)</definedName>
    <definedName name="Data.Dump" localSheetId="9" hidden="1">OFFSET([0]!Data.Top.Left,1,0)</definedName>
    <definedName name="Data.Dump" localSheetId="28" hidden="1">OFFSET([0]!Data.Top.Left,1,0)</definedName>
    <definedName name="Data.Dump" localSheetId="20" hidden="1">OFFSET([0]!Data.Top.Left,1,0)</definedName>
    <definedName name="Data.Dump" localSheetId="43" hidden="1">OFFSET([0]!Data.Top.Left,1,0)</definedName>
    <definedName name="Data.Dump" localSheetId="2" hidden="1">OFFSET([0]!Data.Top.Left,1,0)</definedName>
    <definedName name="Data.Dump" localSheetId="11" hidden="1">OFFSET([0]!Data.Top.Left,1,0)</definedName>
    <definedName name="Data.Dump" localSheetId="7" hidden="1">OFFSET([0]!Data.Top.Left,1,0)</definedName>
    <definedName name="Data.Dump" hidden="1">OFFSET([0]!Data.Top.Left,1,0)</definedName>
    <definedName name="DATA_01" hidden="1">#REF!</definedName>
    <definedName name="DATA_03" hidden="1">#REF!</definedName>
    <definedName name="DATA_05" hidden="1">#REF!</definedName>
    <definedName name="DATA_07" hidden="1">#REF!</definedName>
    <definedName name="data1" localSheetId="7" hidden="1">{"data",#N/A,FALSE,"INPUT"}</definedName>
    <definedName name="data1" hidden="1">{"data",#N/A,FALSE,"INPUT"}</definedName>
    <definedName name="data2" localSheetId="7" hidden="1">{"data",#N/A,FALSE,"INPUT"}</definedName>
    <definedName name="data2" hidden="1">{"data",#N/A,FALSE,"INPUT"}</definedName>
    <definedName name="data3" localSheetId="7" hidden="1">{"data",#N/A,FALSE,"INPUT"}</definedName>
    <definedName name="data3" hidden="1">{"data",#N/A,FALSE,"INPUT"}</definedName>
    <definedName name="dataerror" localSheetId="7" hidden="1">{"data",#N/A,FALSE,"INPUT"}</definedName>
    <definedName name="dataerror" hidden="1">{"data",#N/A,FALSE,"INPUT"}</definedName>
    <definedName name="DateApplicationReceived" hidden="1">#REF!</definedName>
    <definedName name="DateDisposition" localSheetId="20">#REF!</definedName>
    <definedName name="DateDisposition" localSheetId="7">#REF!</definedName>
    <definedName name="DateDisposition">'General Inputs'!$C$34</definedName>
    <definedName name="DateFinalUnits" localSheetId="20">#REF!</definedName>
    <definedName name="DateFinalUnits" localSheetId="7">#REF!</definedName>
    <definedName name="DateFinalUnits">'General Inputs'!$C$32</definedName>
    <definedName name="DateFirstUnits" localSheetId="20">#REF!</definedName>
    <definedName name="DateFirstUnits" localSheetId="7">#REF!</definedName>
    <definedName name="DateFirstUnits">'General Inputs'!$C$31</definedName>
    <definedName name="DateStabilization" localSheetId="20">#REF!</definedName>
    <definedName name="DateStabilization" localSheetId="7">#REF!</definedName>
    <definedName name="DateStabilization">'General Inputs'!$C$33</definedName>
    <definedName name="DateStamp">TEXT(TODAY(),"mmmm dd, yyyy") &amp; " " &amp; TEXT(NOW(),"( h:mm AM/PM )")</definedName>
    <definedName name="dd" localSheetId="7" hidden="1">{"CF",#N/A,FALSE,"Cash Flow";"RET",#N/A,FALSE,"Returns";"NPV",#N/A,FALSE,"Values";"ASMPT",#N/A,FALSE,"Assumptions"}</definedName>
    <definedName name="dd" hidden="1">{"CF",#N/A,FALSE,"Cash Flow";"RET",#N/A,FALSE,"Returns";"NPV",#N/A,FALSE,"Values";"ASMPT",#N/A,FALSE,"Assumptions"}</definedName>
    <definedName name="ddd" localSheetId="7" hidden="1">{"MonthlyRentRoll",#N/A,FALSE,"RentRoll"}</definedName>
    <definedName name="ddd" hidden="1">{"MonthlyRentRoll",#N/A,FALSE,"RentRoll"}</definedName>
    <definedName name="dddd" hidden="1">#REF!</definedName>
    <definedName name="dddddd" localSheetId="7" hidden="1">{#N/A,#N/A,FALSE,"CAPREIT"}</definedName>
    <definedName name="dddddd" hidden="1">{#N/A,#N/A,FALSE,"CAPREIT"}</definedName>
    <definedName name="dddddd_1" localSheetId="7" hidden="1">{#N/A,#N/A,FALSE,"CAPREIT"}</definedName>
    <definedName name="dddddd_1" hidden="1">{#N/A,#N/A,FALSE,"CAPREIT"}</definedName>
    <definedName name="dddddd_1_1" localSheetId="7" hidden="1">{#N/A,#N/A,FALSE,"CAPREIT"}</definedName>
    <definedName name="dddddd_1_1" hidden="1">{#N/A,#N/A,FALSE,"CAPREIT"}</definedName>
    <definedName name="dddddd_2" localSheetId="7" hidden="1">{#N/A,#N/A,FALSE,"CAPREIT"}</definedName>
    <definedName name="dddddd_2" hidden="1">{#N/A,#N/A,FALSE,"CAPREIT"}</definedName>
    <definedName name="dddddd_3" localSheetId="7" hidden="1">{#N/A,#N/A,FALSE,"CAPREIT"}</definedName>
    <definedName name="dddddd_3" hidden="1">{#N/A,#N/A,FALSE,"CAPREIT"}</definedName>
    <definedName name="dddddd_4" localSheetId="7" hidden="1">{#N/A,#N/A,FALSE,"CAPREIT"}</definedName>
    <definedName name="dddddd_4" hidden="1">{#N/A,#N/A,FALSE,"CAPREIT"}</definedName>
    <definedName name="dddddd_5" localSheetId="7" hidden="1">{#N/A,#N/A,FALSE,"CAPREIT"}</definedName>
    <definedName name="dddddd_5" hidden="1">{#N/A,#N/A,FALSE,"CAPREIT"}</definedName>
    <definedName name="ddddddd" localSheetId="7" hidden="1">{#N/A,#N/A,FALSE,"CAPREIT"}</definedName>
    <definedName name="ddddddd" hidden="1">{#N/A,#N/A,FALSE,"CAPREIT"}</definedName>
    <definedName name="ddddddd_1" localSheetId="7" hidden="1">{#N/A,#N/A,FALSE,"CAPREIT"}</definedName>
    <definedName name="ddddddd_1" hidden="1">{#N/A,#N/A,FALSE,"CAPREIT"}</definedName>
    <definedName name="ddddddd_1_1" localSheetId="7" hidden="1">{#N/A,#N/A,FALSE,"CAPREIT"}</definedName>
    <definedName name="ddddddd_1_1" hidden="1">{#N/A,#N/A,FALSE,"CAPREIT"}</definedName>
    <definedName name="ddddddd_2" localSheetId="7" hidden="1">{#N/A,#N/A,FALSE,"CAPREIT"}</definedName>
    <definedName name="ddddddd_2" hidden="1">{#N/A,#N/A,FALSE,"CAPREIT"}</definedName>
    <definedName name="ddddddd_3" localSheetId="7" hidden="1">{#N/A,#N/A,FALSE,"CAPREIT"}</definedName>
    <definedName name="ddddddd_3" hidden="1">{#N/A,#N/A,FALSE,"CAPREIT"}</definedName>
    <definedName name="ddddddd_4" localSheetId="7" hidden="1">{#N/A,#N/A,FALSE,"CAPREIT"}</definedName>
    <definedName name="ddddddd_4" hidden="1">{#N/A,#N/A,FALSE,"CAPREIT"}</definedName>
    <definedName name="ddddddd_5" localSheetId="7" hidden="1">{#N/A,#N/A,FALSE,"CAPREIT"}</definedName>
    <definedName name="ddddddd_5" hidden="1">{#N/A,#N/A,FALSE,"CAPREIT"}</definedName>
    <definedName name="ddxf" localSheetId="7" hidden="1">{"NOPCAPEVA",#N/A,FALSE,"Nopat";"FCFCSTAR",#N/A,FALSE,"FCFVAL";"EVAVL",#N/A,FALSE,"EVAVAL";"LEASE",#N/A,FALSE,"OpLease"}</definedName>
    <definedName name="ddxf" hidden="1">{"NOPCAPEVA",#N/A,FALSE,"Nopat";"FCFCSTAR",#N/A,FALSE,"FCFVAL";"EVAVL",#N/A,FALSE,"EVAVAL";"LEASE",#N/A,FALSE,"OpLease"}</definedName>
    <definedName name="de" localSheetId="7" hidden="1">{#N/A,#N/A,FALSE,"OPERATING BUDGET 99";#N/A,#N/A,FALSE,"RECOVERY99"}</definedName>
    <definedName name="de" hidden="1">{#N/A,#N/A,FALSE,"OPERATING BUDGET 99";#N/A,#N/A,FALSE,"RECOVERY99"}</definedName>
    <definedName name="Debt_Calc1_Amort" hidden="1">#REF!</definedName>
    <definedName name="Debt_Calc1_CapExEnd" hidden="1">#REF!</definedName>
    <definedName name="Debt_Calc1_Draw" hidden="1">#REF!</definedName>
    <definedName name="Debt_Calc1_End" hidden="1">#REF!</definedName>
    <definedName name="Debt_Calc1_InitialBalance" hidden="1">#REF!</definedName>
    <definedName name="Debt_Calc1_IO" hidden="1">#REF!</definedName>
    <definedName name="Debt_Calc1_IsPrepaid" hidden="1">#REF!</definedName>
    <definedName name="Debt_Calc1_IsRefied" hidden="1">#REF!</definedName>
    <definedName name="Debt_Calc1_Maturity" hidden="1">#REF!</definedName>
    <definedName name="Debt_Calc1_Start" hidden="1">#REF!</definedName>
    <definedName name="Debt_Calc1_Term" hidden="1">#REF!</definedName>
    <definedName name="Debt_Calc1_Year" hidden="1">#REF!</definedName>
    <definedName name="Debt_Calc2_Amort" hidden="1">#REF!</definedName>
    <definedName name="Debt_Calc2_CapExEnd" hidden="1">#REF!</definedName>
    <definedName name="Debt_Calc2_Draw" hidden="1">#REF!</definedName>
    <definedName name="Debt_Calc2_End" hidden="1">#REF!</definedName>
    <definedName name="Debt_Calc2_InitialBalance" hidden="1">#REF!</definedName>
    <definedName name="Debt_Calc2_IO" hidden="1">#REF!</definedName>
    <definedName name="Debt_Calc2_IsPrepaid" hidden="1">#REF!</definedName>
    <definedName name="Debt_Calc2_IsRefied" hidden="1">#REF!</definedName>
    <definedName name="Debt_Calc2_Maturity" hidden="1">#REF!</definedName>
    <definedName name="Debt_Calc2_Start" hidden="1">#REF!</definedName>
    <definedName name="Debt_Calc2_Term" hidden="1">#REF!</definedName>
    <definedName name="Debt_Calc2_Year" hidden="1">#REF!</definedName>
    <definedName name="Debt_Calc3_Amort" hidden="1">#REF!</definedName>
    <definedName name="Debt_Calc3_CapExEnd" hidden="1">#REF!</definedName>
    <definedName name="Debt_Calc3_Draw" hidden="1">#REF!</definedName>
    <definedName name="Debt_Calc3_End" hidden="1">#REF!</definedName>
    <definedName name="Debt_Calc3_InitialBalance" hidden="1">#REF!</definedName>
    <definedName name="Debt_Calc3_IO" hidden="1">#REF!</definedName>
    <definedName name="Debt_Calc3_IsPrepaid" hidden="1">#REF!</definedName>
    <definedName name="Debt_Calc3_Maturity" hidden="1">#REF!</definedName>
    <definedName name="Debt_Calc3_Refi1" hidden="1">#REF!</definedName>
    <definedName name="Debt_Calc3_Refi2" hidden="1">#REF!</definedName>
    <definedName name="Debt_Calc3_Start" hidden="1">#REF!</definedName>
    <definedName name="Debt_Calc3_Term" hidden="1">#REF!</definedName>
    <definedName name="Debt_CalcType2" hidden="1">#REF!</definedName>
    <definedName name="Debt_CalcType3" hidden="1">#REF!</definedName>
    <definedName name="Debt_CalcType4" hidden="1">#REF!</definedName>
    <definedName name="Debt_CalcType5" hidden="1">#REF!</definedName>
    <definedName name="Debt_CalcTypes" hidden="1">#REF!</definedName>
    <definedName name="Debt_FundType1" hidden="1">#REF!</definedName>
    <definedName name="Debt_FundType2" hidden="1">#REF!</definedName>
    <definedName name="Debt_FundType3" hidden="1">#REF!</definedName>
    <definedName name="Debt_FundTypes" hidden="1">#REF!</definedName>
    <definedName name="DEBT_InitialBalance" hidden="1">#REF!</definedName>
    <definedName name="Debt_InitialBOPBalance" hidden="1">#REF!</definedName>
    <definedName name="DEBT_InitialCapital" hidden="1">#REF!</definedName>
    <definedName name="DEBT_InitialFunding" hidden="1">#REF!</definedName>
    <definedName name="DEBT_InitialInterest" hidden="1">#REF!</definedName>
    <definedName name="Debt_InitialLoanFee" hidden="1">#REF!</definedName>
    <definedName name="DEBT_InitialMaturity" hidden="1">#REF!</definedName>
    <definedName name="Debt_InitialPrepaymentFee" hidden="1">#REF!</definedName>
    <definedName name="DEBT_InitialPrincipal" hidden="1">#REF!</definedName>
    <definedName name="DEBT_InitialRefi" hidden="1">#REF!</definedName>
    <definedName name="Debt_InitialSeniorBalance" hidden="1">#REF!</definedName>
    <definedName name="Debt_InitialSeniorBOPBalance" hidden="1">#REF!</definedName>
    <definedName name="Debt_InitialSeniorInterest" hidden="1">#REF!</definedName>
    <definedName name="Debt_InitialSeniorPrincipal" hidden="1">#REF!</definedName>
    <definedName name="Debt_Label1_Amort" hidden="1">#REF!</definedName>
    <definedName name="Debt_Label1_Amount" hidden="1">#REF!</definedName>
    <definedName name="Debt_Label1_InitialRate" hidden="1">#REF!</definedName>
    <definedName name="Debt_Label1_IO" hidden="1">#REF!</definedName>
    <definedName name="Debt_Label1_Maturity" hidden="1">#REF!</definedName>
    <definedName name="Debt_Label1_Percent" hidden="1">#REF!</definedName>
    <definedName name="Debt_Label1_Term" hidden="1">#REF!</definedName>
    <definedName name="Debt_Label1_Value" hidden="1">#REF!</definedName>
    <definedName name="Debt_Label2_Amort" hidden="1">#REF!</definedName>
    <definedName name="Debt_Label2_Amount" hidden="1">#REF!</definedName>
    <definedName name="Debt_Label2_InitialRate" hidden="1">#REF!</definedName>
    <definedName name="Debt_Label2_IO" hidden="1">#REF!</definedName>
    <definedName name="Debt_Label2_Maturity" hidden="1">#REF!</definedName>
    <definedName name="Debt_Label2_Percent" hidden="1">#REF!</definedName>
    <definedName name="Debt_Label2_Term" hidden="1">#REF!</definedName>
    <definedName name="Debt_Label2_Value" hidden="1">#REF!</definedName>
    <definedName name="Debt_Label3_Amort" hidden="1">#REF!</definedName>
    <definedName name="Debt_Label3_Amount" hidden="1">#REF!</definedName>
    <definedName name="Debt_Label3_InitialRate" hidden="1">#REF!</definedName>
    <definedName name="Debt_Label3_IO" hidden="1">#REF!</definedName>
    <definedName name="Debt_Label3_Maturity" hidden="1">#REF!</definedName>
    <definedName name="Debt_Label3_Percent" hidden="1">#REF!</definedName>
    <definedName name="Debt_Label3_Term" hidden="1">#REF!</definedName>
    <definedName name="Debt_Label3_Value" hidden="1">#REF!</definedName>
    <definedName name="Debt_LoanType1" hidden="1">#REF!</definedName>
    <definedName name="Debt_LoanType2" hidden="1">#REF!</definedName>
    <definedName name="Debt_LoanType4" hidden="1">#REF!</definedName>
    <definedName name="Debt_LoanTypes" hidden="1">#REF!</definedName>
    <definedName name="DEBT_PaymentType1" hidden="1">#REF!</definedName>
    <definedName name="DEBT_PaymentType5" hidden="1">#REF!</definedName>
    <definedName name="DEBT_PaymentTypes" hidden="1">#REF!</definedName>
    <definedName name="Debt_PurchaseRange" hidden="1">0</definedName>
    <definedName name="Debt_RefiTypes" hidden="1">#REF!</definedName>
    <definedName name="Debt_Show1_Amort" hidden="1">#REF!</definedName>
    <definedName name="Debt_Show1_AmortHC" hidden="1">#REF!</definedName>
    <definedName name="Debt_Show1_Amount" hidden="1">#REF!</definedName>
    <definedName name="Debt_Show1_CapEx" hidden="1">#REF!</definedName>
    <definedName name="Debt_Show1_FundDate" hidden="1">#REF!</definedName>
    <definedName name="Debt_Show1_FundMethod" hidden="1">#REF!</definedName>
    <definedName name="Debt_Show1_FundPercent" hidden="1">#REF!</definedName>
    <definedName name="Debt_Show1_FundPoints" hidden="1">#REF!</definedName>
    <definedName name="Debt_Show1_Loan" hidden="1">#REF!</definedName>
    <definedName name="Debt_Show1_Rate" hidden="1">#REF!</definedName>
    <definedName name="Debt_Show1_Spread" hidden="1">#REF!</definedName>
    <definedName name="Debt_Show2_Amort" hidden="1">#REF!</definedName>
    <definedName name="Debt_Show2_AmortHC" hidden="1">#REF!</definedName>
    <definedName name="Debt_Show2_Amount" hidden="1">#REF!</definedName>
    <definedName name="Debt_Show2_CapEx" hidden="1">#REF!</definedName>
    <definedName name="Debt_Show2_FundDate" hidden="1">#REF!</definedName>
    <definedName name="Debt_Show2_FundMethod" hidden="1">#REF!</definedName>
    <definedName name="Debt_Show2_FundPercent" hidden="1">#REF!</definedName>
    <definedName name="Debt_Show2_FundPoints" hidden="1">#REF!</definedName>
    <definedName name="Debt_Show2_Loan" hidden="1">#REF!</definedName>
    <definedName name="Debt_Show2_Rate" hidden="1">#REF!</definedName>
    <definedName name="Debt_Show2_Spread" hidden="1">#REF!</definedName>
    <definedName name="Debt_Show3_Amort" hidden="1">#REF!</definedName>
    <definedName name="Debt_Show3_AmortHC" hidden="1">#REF!</definedName>
    <definedName name="Debt_Show3_Amount" hidden="1">#REF!</definedName>
    <definedName name="Debt_Show3_CapEx" hidden="1">#REF!</definedName>
    <definedName name="Debt_Show3_FundDate" hidden="1">#REF!</definedName>
    <definedName name="Debt_Show3_FundMethod" hidden="1">#REF!</definedName>
    <definedName name="Debt_Show3_FundPercent" hidden="1">#REF!</definedName>
    <definedName name="Debt_Show3_FundPoints" hidden="1">#REF!</definedName>
    <definedName name="Debt_Show3_Loan" hidden="1">#REF!</definedName>
    <definedName name="Debt_Show3_Rate" hidden="1">#REF!</definedName>
    <definedName name="Debt_Show3_Refi" hidden="1">#REF!</definedName>
    <definedName name="Debt_Show3_Refi1" hidden="1">#REF!</definedName>
    <definedName name="Debt_Show3_Refi2" hidden="1">#REF!</definedName>
    <definedName name="Debt_Show3_Spread" hidden="1">#REF!</definedName>
    <definedName name="Debt_SubordinationType2" hidden="1">#REF!</definedName>
    <definedName name="Debt_SubordinationTypes" hidden="1">#REF!</definedName>
    <definedName name="Debt_Yes" hidden="1">#REF!</definedName>
    <definedName name="Debt_YesNo" hidden="1">#REF!</definedName>
    <definedName name="ded" localSheetId="7" hidden="1">{#N/A,#N/A,FALSE,"OPERATING BUDGET 99";#N/A,#N/A,FALSE,"RECOVERY99"}</definedName>
    <definedName name="ded" hidden="1">{#N/A,#N/A,FALSE,"OPERATING BUDGET 99";#N/A,#N/A,FALSE,"RECOVERY99"}</definedName>
    <definedName name="del" localSheetId="7" hidden="1">{"Page1",#N/A,FALSE,"7979";"Page2",#N/A,FALSE,"7979";"Page3",#N/A,FALSE,"7979"}</definedName>
    <definedName name="del" hidden="1">{"Page1",#N/A,FALSE,"7979";"Page2",#N/A,FALSE,"7979";"Page3",#N/A,FALSE,"7979"}</definedName>
    <definedName name="DeleteRange" hidden="1">#REF!</definedName>
    <definedName name="DeleteTable" hidden="1">#REF!</definedName>
    <definedName name="DELME" localSheetId="7" hidden="1">{#N/A,#N/A,FALSE,"A";#N/A,#N/A,FALSE,"C"}</definedName>
    <definedName name="DELME" hidden="1">{#N/A,#N/A,FALSE,"A";#N/A,#N/A,FALSE,"C"}</definedName>
    <definedName name="DELME_condo" localSheetId="7" hidden="1">{#N/A,#N/A,FALSE,"A";#N/A,#N/A,FALSE,"C"}</definedName>
    <definedName name="DELME_condo" hidden="1">{#N/A,#N/A,FALSE,"A";#N/A,#N/A,FALSE,"C"}</definedName>
    <definedName name="DELME2" localSheetId="7" hidden="1">{#N/A,#N/A,FALSE,"Expense Detail";#N/A,#N/A,FALSE,"Worksheet";#N/A,#N/A,FALSE,"Audit";#N/A,#N/A,FALSE,"Exclusions";#N/A,#N/A,FALSE,"Variance";#N/A,#N/A,FALSE,"Average Occupancy";#N/A,#N/A,FALSE,"Maintenance &amp; Repairs Occ. Adj.";#N/A,#N/A,FALSE,"Cleaning Occupancy Adj.";#N/A,#N/A,FALSE,"Escalatable Expenses 95";#N/A,#N/A,FALSE,"Rec 95";#N/A,#N/A,FALSE,"Statements"}</definedName>
    <definedName name="DELME2" hidden="1">{#N/A,#N/A,FALSE,"Expense Detail";#N/A,#N/A,FALSE,"Worksheet";#N/A,#N/A,FALSE,"Audit";#N/A,#N/A,FALSE,"Exclusions";#N/A,#N/A,FALSE,"Variance";#N/A,#N/A,FALSE,"Average Occupancy";#N/A,#N/A,FALSE,"Maintenance &amp; Repairs Occ. Adj.";#N/A,#N/A,FALSE,"Cleaning Occupancy Adj.";#N/A,#N/A,FALSE,"Escalatable Expenses 95";#N/A,#N/A,FALSE,"Rec 95";#N/A,#N/A,FALSE,"Statements"}</definedName>
    <definedName name="DELME2_Condo" localSheetId="7" hidden="1">{#N/A,#N/A,FALSE,"Expense Detail";#N/A,#N/A,FALSE,"Worksheet";#N/A,#N/A,FALSE,"Audit";#N/A,#N/A,FALSE,"Exclusions";#N/A,#N/A,FALSE,"Variance";#N/A,#N/A,FALSE,"Average Occupancy";#N/A,#N/A,FALSE,"Maintenance &amp; Repairs Occ. Adj.";#N/A,#N/A,FALSE,"Cleaning Occupancy Adj.";#N/A,#N/A,FALSE,"Escalatable Expenses 95";#N/A,#N/A,FALSE,"Rec 95";#N/A,#N/A,FALSE,"Statements"}</definedName>
    <definedName name="DELME2_Condo" hidden="1">{#N/A,#N/A,FALSE,"Expense Detail";#N/A,#N/A,FALSE,"Worksheet";#N/A,#N/A,FALSE,"Audit";#N/A,#N/A,FALSE,"Exclusions";#N/A,#N/A,FALSE,"Variance";#N/A,#N/A,FALSE,"Average Occupancy";#N/A,#N/A,FALSE,"Maintenance &amp; Repairs Occ. Adj.";#N/A,#N/A,FALSE,"Cleaning Occupancy Adj.";#N/A,#N/A,FALSE,"Escalatable Expenses 95";#N/A,#N/A,FALSE,"Rec 95";#N/A,#N/A,FALSE,"Statements"}</definedName>
    <definedName name="DELME3" localSheetId="7" hidden="1">{#N/A,#N/A,FALSE,"Common Area Accrual";#N/A,#N/A,FALSE,"Unit One LaSalle";#N/A,#N/A,FALSE,"Unit One CW";#N/A,#N/A,FALSE,"Unit One LaSallle + C &amp; W";#N/A,#N/A,FALSE,"Consolidated Accrual"}</definedName>
    <definedName name="DELME3" hidden="1">{#N/A,#N/A,FALSE,"Common Area Accrual";#N/A,#N/A,FALSE,"Unit One LaSalle";#N/A,#N/A,FALSE,"Unit One CW";#N/A,#N/A,FALSE,"Unit One LaSallle + C &amp; W";#N/A,#N/A,FALSE,"Consolidated Accrual"}</definedName>
    <definedName name="DELME3_Condo" localSheetId="7" hidden="1">{#N/A,#N/A,FALSE,"Common Area Accrual";#N/A,#N/A,FALSE,"Unit One LaSalle";#N/A,#N/A,FALSE,"Unit One CW";#N/A,#N/A,FALSE,"Unit One LaSallle + C &amp; W";#N/A,#N/A,FALSE,"Consolidated Accrual"}</definedName>
    <definedName name="DELME3_Condo" hidden="1">{#N/A,#N/A,FALSE,"Common Area Accrual";#N/A,#N/A,FALSE,"Unit One LaSalle";#N/A,#N/A,FALSE,"Unit One CW";#N/A,#N/A,FALSE,"Unit One LaSallle + C &amp; W";#N/A,#N/A,FALSE,"Consolidated Accrual"}</definedName>
    <definedName name="DELME4" localSheetId="7" hidden="1">{#N/A,#N/A,FALSE,"399 Park Var";#N/A,#N/A,FALSE,"PK NOTES"}</definedName>
    <definedName name="DELME4" hidden="1">{#N/A,#N/A,FALSE,"399 Park Var";#N/A,#N/A,FALSE,"PK NOTES"}</definedName>
    <definedName name="DELME4_Condo" localSheetId="7" hidden="1">{#N/A,#N/A,FALSE,"399 Park Var";#N/A,#N/A,FALSE,"PK NOTES"}</definedName>
    <definedName name="DELME4_Condo" hidden="1">{#N/A,#N/A,FALSE,"399 Park Var";#N/A,#N/A,FALSE,"PK NOTES"}</definedName>
    <definedName name="DELME5" localSheetId="7" hidden="1">{#N/A,#N/A,FALSE,"Expense Detail ";#N/A,#N/A,FALSE,"Worksheet";#N/A,#N/A,FALSE,"Audit";#N/A,#N/A,FALSE,"Exclusions";#N/A,#N/A,FALSE,"Variance";#N/A,#N/A,FALSE,"Reconciliation"}</definedName>
    <definedName name="DELME5" hidden="1">{#N/A,#N/A,FALSE,"Expense Detail ";#N/A,#N/A,FALSE,"Worksheet";#N/A,#N/A,FALSE,"Audit";#N/A,#N/A,FALSE,"Exclusions";#N/A,#N/A,FALSE,"Variance";#N/A,#N/A,FALSE,"Reconciliation"}</definedName>
    <definedName name="DELME5_Condo" localSheetId="7" hidden="1">{#N/A,#N/A,FALSE,"Expense Detail ";#N/A,#N/A,FALSE,"Worksheet";#N/A,#N/A,FALSE,"Audit";#N/A,#N/A,FALSE,"Exclusions";#N/A,#N/A,FALSE,"Variance";#N/A,#N/A,FALSE,"Reconciliation"}</definedName>
    <definedName name="DELME5_Condo" hidden="1">{#N/A,#N/A,FALSE,"Expense Detail ";#N/A,#N/A,FALSE,"Worksheet";#N/A,#N/A,FALSE,"Audit";#N/A,#N/A,FALSE,"Exclusions";#N/A,#N/A,FALSE,"Variance";#N/A,#N/A,FALSE,"Reconciliation"}</definedName>
    <definedName name="DELME7" localSheetId="7" hidden="1">{#N/A,#N/A,FALSE,"399 ACC Budget";#N/A,#N/A,FALSE,"Variance";#N/A,#N/A,FALSE,"399 Park RPSF";#N/A,#N/A,FALSE,"399 Rent Detail";#N/A,#N/A,FALSE,"Common";#N/A,#N/A,FALSE,"RH";#N/A,#N/A,FALSE,"R&amp;H";#N/A,#N/A,FALSE,"399 Opex Detail";#N/A,#N/A,FALSE,"399 RE Tax Detail";#N/A,#N/A,FALSE,"399 Electric Inclusion";#N/A,#N/A,FALSE,"Subelect";#N/A,#N/A,FALSE,"Wtr";#N/A,#N/A,FALSE,"OTHVAC"}</definedName>
    <definedName name="DELME7" hidden="1">{#N/A,#N/A,FALSE,"399 ACC Budget";#N/A,#N/A,FALSE,"Variance";#N/A,#N/A,FALSE,"399 Park RPSF";#N/A,#N/A,FALSE,"399 Rent Detail";#N/A,#N/A,FALSE,"Common";#N/A,#N/A,FALSE,"RH";#N/A,#N/A,FALSE,"R&amp;H";#N/A,#N/A,FALSE,"399 Opex Detail";#N/A,#N/A,FALSE,"399 RE Tax Detail";#N/A,#N/A,FALSE,"399 Electric Inclusion";#N/A,#N/A,FALSE,"Subelect";#N/A,#N/A,FALSE,"Wtr";#N/A,#N/A,FALSE,"OTHVAC"}</definedName>
    <definedName name="DELME7_Condo" localSheetId="7" hidden="1">{#N/A,#N/A,FALSE,"399 ACC Budget";#N/A,#N/A,FALSE,"Variance";#N/A,#N/A,FALSE,"399 Park RPSF";#N/A,#N/A,FALSE,"399 Rent Detail";#N/A,#N/A,FALSE,"Common";#N/A,#N/A,FALSE,"RH";#N/A,#N/A,FALSE,"R&amp;H";#N/A,#N/A,FALSE,"399 Opex Detail";#N/A,#N/A,FALSE,"399 RE Tax Detail";#N/A,#N/A,FALSE,"399 Electric Inclusion";#N/A,#N/A,FALSE,"Subelect";#N/A,#N/A,FALSE,"Wtr";#N/A,#N/A,FALSE,"OTHVAC"}</definedName>
    <definedName name="DELME7_Condo" hidden="1">{#N/A,#N/A,FALSE,"399 ACC Budget";#N/A,#N/A,FALSE,"Variance";#N/A,#N/A,FALSE,"399 Park RPSF";#N/A,#N/A,FALSE,"399 Rent Detail";#N/A,#N/A,FALSE,"Common";#N/A,#N/A,FALSE,"RH";#N/A,#N/A,FALSE,"R&amp;H";#N/A,#N/A,FALSE,"399 Opex Detail";#N/A,#N/A,FALSE,"399 RE Tax Detail";#N/A,#N/A,FALSE,"399 Electric Inclusion";#N/A,#N/A,FALSE,"Subelect";#N/A,#N/A,FALSE,"Wtr";#N/A,#N/A,FALSE,"OTHVAC"}</definedName>
    <definedName name="delmes" localSheetId="7" hidden="1">{#N/A,#N/A,FALSE,"Expense Detail ";#N/A,#N/A,FALSE,"Worksheet";#N/A,#N/A,FALSE,"Audit";#N/A,#N/A,FALSE,"Exclusions";#N/A,#N/A,FALSE,"Variance";#N/A,#N/A,FALSE,"Reconciliation"}</definedName>
    <definedName name="delmes" hidden="1">{#N/A,#N/A,FALSE,"Expense Detail ";#N/A,#N/A,FALSE,"Worksheet";#N/A,#N/A,FALSE,"Audit";#N/A,#N/A,FALSE,"Exclusions";#N/A,#N/A,FALSE,"Variance";#N/A,#N/A,FALSE,"Reconciliation"}</definedName>
    <definedName name="delta" localSheetId="7" hidden="1">{"ACCOUNTING COPY",#N/A,FALSE,"SCHEDULE A";"FINANCE COPY",#N/A,FALSE,"SCHEDULE A";"P.L. COPY",#N/A,FALSE,"SCHEDULE A"}</definedName>
    <definedName name="delta" hidden="1">{"ACCOUNTING COPY",#N/A,FALSE,"SCHEDULE A";"FINANCE COPY",#N/A,FALSE,"SCHEDULE A";"P.L. COPY",#N/A,FALSE,"SCHEDULE A"}</definedName>
    <definedName name="Density">#REF!</definedName>
    <definedName name="derek" hidden="1">#REF!</definedName>
    <definedName name="des" localSheetId="7" hidden="1">{#N/A,#N/A,FALSE,"el.det";#N/A,#N/A,FALSE,"mu.det";#N/A,#N/A,FALSE,"ug.det";#N/A,#N/A,FALSE,"ex.det";#N/A,#N/A,FALSE,"lux.det";#N/A,#N/A,FALSE,"custom.lot";#N/A,#N/A,FALSE,"condo.att";#N/A,#N/A,FALSE,"el.att";#N/A,#N/A,FALSE,"mu.att";#N/A,#N/A,FALSE,"ex.att";#N/A,#N/A,FALSE,"lux.att";#N/A,#N/A,FALSE,"all.by.village"}</definedName>
    <definedName name="des" hidden="1">{#N/A,#N/A,FALSE,"el.det";#N/A,#N/A,FALSE,"mu.det";#N/A,#N/A,FALSE,"ug.det";#N/A,#N/A,FALSE,"ex.det";#N/A,#N/A,FALSE,"lux.det";#N/A,#N/A,FALSE,"custom.lot";#N/A,#N/A,FALSE,"condo.att";#N/A,#N/A,FALSE,"el.att";#N/A,#N/A,FALSE,"mu.att";#N/A,#N/A,FALSE,"ex.att";#N/A,#N/A,FALSE,"lux.att";#N/A,#N/A,FALSE,"all.by.village"}</definedName>
    <definedName name="DevFee020" localSheetId="7" hidden="1">{"VIEW1",#N/A,TRUE,"NO DECK";"VIEW2",#N/A,TRUE,"NO DECK";"VIEW3",#N/A,TRUE,"NO DECK";"VIEW4",#N/A,TRUE,"NO DECK"}</definedName>
    <definedName name="DevFee020" hidden="1">{"VIEW1",#N/A,TRUE,"NO DECK";"VIEW2",#N/A,TRUE,"NO DECK";"VIEW3",#N/A,TRUE,"NO DECK";"VIEW4",#N/A,TRUE,"NO DECK"}</definedName>
    <definedName name="dfadsth" localSheetId="7" hidden="1">{"AnnInc",#N/A,TRUE,"Inc";"QtrInc1",#N/A,TRUE,"Inc";"Balance",#N/A,TRUE,"Bal";"Cflow",#N/A,TRUE,"Cash"}</definedName>
    <definedName name="dfadsth" hidden="1">{"AnnInc",#N/A,TRUE,"Inc";"QtrInc1",#N/A,TRUE,"Inc";"Balance",#N/A,TRUE,"Bal";"Cflow",#N/A,TRUE,"Cash"}</definedName>
    <definedName name="dfafwefqwefwqf" localSheetId="7" hidden="1">{#N/A,#N/A,FALSE,"United Summary";#N/A,#N/A,FALSE,"United Main";#N/A,#N/A,FALSE,"United Open";#N/A,#N/A,FALSE,"PPSL Summary";#N/A,#N/A,FALSE,"PPSL Main";#N/A,#N/A,FALSE,"PPSL Open";#N/A,#N/A,FALSE,"PPSL TradingYr1";#N/A,#N/A,FALSE,"PPSL TradingYr2";#N/A,#N/A,FALSE,"PPSL TradingYr3";#N/A,#N/A,FALSE,"Anchor Summary";#N/A,#N/A,FALSE,"Anchor Main";#N/A,#N/A,FALSE,"Anchor Open";#N/A,#N/A,FALSE,"Anchor TradingYr1";#N/A,#N/A,FALSE,"Anchor Trading Yr2";#N/A,#N/A,FALSE,"Anchor Trading Yr3"}</definedName>
    <definedName name="dfafwefqwefwqf" hidden="1">{#N/A,#N/A,FALSE,"United Summary";#N/A,#N/A,FALSE,"United Main";#N/A,#N/A,FALSE,"United Open";#N/A,#N/A,FALSE,"PPSL Summary";#N/A,#N/A,FALSE,"PPSL Main";#N/A,#N/A,FALSE,"PPSL Open";#N/A,#N/A,FALSE,"PPSL TradingYr1";#N/A,#N/A,FALSE,"PPSL TradingYr2";#N/A,#N/A,FALSE,"PPSL TradingYr3";#N/A,#N/A,FALSE,"Anchor Summary";#N/A,#N/A,FALSE,"Anchor Main";#N/A,#N/A,FALSE,"Anchor Open";#N/A,#N/A,FALSE,"Anchor TradingYr1";#N/A,#N/A,FALSE,"Anchor Trading Yr2";#N/A,#N/A,FALSE,"Anchor Trading Yr3"}</definedName>
    <definedName name="dfasfdsa" localSheetId="7" hidden="1">{#N/A,#N/A,TRUE,"10 Yr Hold";#N/A,#N/A,TRUE,"7 Yr Hold";#N/A,#N/A,TRUE,"5 Yr Hold";#N/A,#N/A,TRUE,"3 Yr Hold"}</definedName>
    <definedName name="dfasfdsa" hidden="1">{#N/A,#N/A,TRUE,"10 Yr Hold";#N/A,#N/A,TRUE,"7 Yr Hold";#N/A,#N/A,TRUE,"5 Yr Hold";#N/A,#N/A,TRUE,"3 Yr Hold"}</definedName>
    <definedName name="dfdf" localSheetId="7" hidden="1">{#N/A,#N/A,FALSE,"el.det";#N/A,#N/A,FALSE,"mu.det";#N/A,#N/A,FALSE,"ug.det";#N/A,#N/A,FALSE,"ex.det";#N/A,#N/A,FALSE,"lux.det";#N/A,#N/A,FALSE,"custom.lot";#N/A,#N/A,FALSE,"condo.att";#N/A,#N/A,FALSE,"el.att";#N/A,#N/A,FALSE,"mu.att";#N/A,#N/A,FALSE,"ex.att";#N/A,#N/A,FALSE,"lux.att";#N/A,#N/A,FALSE,"all.by.village"}</definedName>
    <definedName name="dfdf" hidden="1">{#N/A,#N/A,FALSE,"el.det";#N/A,#N/A,FALSE,"mu.det";#N/A,#N/A,FALSE,"ug.det";#N/A,#N/A,FALSE,"ex.det";#N/A,#N/A,FALSE,"lux.det";#N/A,#N/A,FALSE,"custom.lot";#N/A,#N/A,FALSE,"condo.att";#N/A,#N/A,FALSE,"el.att";#N/A,#N/A,FALSE,"mu.att";#N/A,#N/A,FALSE,"ex.att";#N/A,#N/A,FALSE,"lux.att";#N/A,#N/A,FALSE,"all.by.village"}</definedName>
    <definedName name="dfgb" localSheetId="7" hidden="1">{#N/A,#N/A,FALSE,"II-2 POP.HH";#N/A,#N/A,FALSE,"II-3 AGE.DIST";#N/A,#N/A,FALSE,"II-4 HH.DIST";#N/A,#N/A,FALSE,"II-5 EMP.INDUS"}</definedName>
    <definedName name="dfgb" hidden="1">{#N/A,#N/A,FALSE,"II-2 POP.HH";#N/A,#N/A,FALSE,"II-3 AGE.DIST";#N/A,#N/A,FALSE,"II-4 HH.DIST";#N/A,#N/A,FALSE,"II-5 EMP.INDUS"}</definedName>
    <definedName name="dfgd" localSheetId="7" hidden="1">{#N/A,#N/A,FALSE,"Cashflow Analysis";#N/A,#N/A,FALSE,"Sensitivity Analysis";#N/A,#N/A,FALSE,"PV";#N/A,#N/A,FALSE,"Pro Forma"}</definedName>
    <definedName name="dfgd" hidden="1">{#N/A,#N/A,FALSE,"Cashflow Analysis";#N/A,#N/A,FALSE,"Sensitivity Analysis";#N/A,#N/A,FALSE,"PV";#N/A,#N/A,FALSE,"Pro Forma"}</definedName>
    <definedName name="dfs" localSheetId="7" hidden="1">{#N/A,#N/A,FALSE,"II-2 POP.HH";#N/A,#N/A,FALSE,"II-3 AGE.DIST";#N/A,#N/A,FALSE,"II-4 HH.DIST";#N/A,#N/A,FALSE,"II-5 EMP.INDUS"}</definedName>
    <definedName name="dfs" hidden="1">{#N/A,#N/A,FALSE,"II-2 POP.HH";#N/A,#N/A,FALSE,"II-3 AGE.DIST";#N/A,#N/A,FALSE,"II-4 HH.DIST";#N/A,#N/A,FALSE,"II-5 EMP.INDUS"}</definedName>
    <definedName name="dis" localSheetId="7" hidden="1">{#N/A,#N/A,FALSE,"Cashflow Analysis";#N/A,#N/A,FALSE,"Sensitivity Analysis";#N/A,#N/A,FALSE,"PV";#N/A,#N/A,FALSE,"Pro Forma"}</definedName>
    <definedName name="dis" hidden="1">{#N/A,#N/A,FALSE,"Cashflow Analysis";#N/A,#N/A,FALSE,"Sensitivity Analysis";#N/A,#N/A,FALSE,"PV";#N/A,#N/A,FALSE,"Pro Forma"}</definedName>
    <definedName name="dis.2" localSheetId="7" hidden="1">{#N/A,#N/A,FALSE,"Cashflow Analysis";#N/A,#N/A,FALSE,"Sensitivity Analysis";#N/A,#N/A,FALSE,"PV";#N/A,#N/A,FALSE,"Pro Forma"}</definedName>
    <definedName name="dis.2" hidden="1">{#N/A,#N/A,FALSE,"Cashflow Analysis";#N/A,#N/A,FALSE,"Sensitivity Analysis";#N/A,#N/A,FALSE,"PV";#N/A,#N/A,FALSE,"Pro Forma"}</definedName>
    <definedName name="Discrepancy" localSheetId="7" hidden="1">{"cashcons",#N/A,FALSE,"CASHCONS";"cash7000",#N/A,FALSE,"CASH7000";"cash9000",#N/A,FALSE,"CASH9000";"assu7000",#N/A,FALSE,"ASSU7000";"assu9000",#N/A,FALSE,"ASSU9000";"rentroll",#N/A,FALSE,"RENTROLL";"expr7000",#N/A,FALSE,"EXPR7000";"expr9000",#N/A,FALSE,"EXPR9000"}</definedName>
    <definedName name="Discrepancy" hidden="1">{"cashcons",#N/A,FALSE,"CASHCONS";"cash7000",#N/A,FALSE,"CASH7000";"cash9000",#N/A,FALSE,"CASH9000";"assu7000",#N/A,FALSE,"ASSU7000";"assu9000",#N/A,FALSE,"ASSU9000";"rentroll",#N/A,FALSE,"RENTROLL";"expr7000",#N/A,FALSE,"EXPR7000";"expr9000",#N/A,FALSE,"EXPR9000"}</definedName>
    <definedName name="Disposition">#REF!</definedName>
    <definedName name="DispositionFee" localSheetId="20">#REF!</definedName>
    <definedName name="DispositionFee" localSheetId="7">#REF!</definedName>
    <definedName name="DispositionFee">'General Inputs'!$H$54</definedName>
    <definedName name="DispositionMonth" localSheetId="20">#REF!</definedName>
    <definedName name="DispositionMonth" localSheetId="7">#REF!</definedName>
    <definedName name="DispositionMonth">'General Inputs'!$H$45</definedName>
    <definedName name="Division">#REF!</definedName>
    <definedName name="DME_LocalFile" hidden="1">"True"</definedName>
    <definedName name="DME_ODMALinks1" hidden="1">"::ODMA\DME-MSE\London-44590=C:\TEMP\Dme\London-44590.xls"</definedName>
    <definedName name="DME_ODMALinksCount" hidden="1">"1"</definedName>
    <definedName name="Dont_know" localSheetId="7" hidden="1">{#N/A,#N/A,FALSE,"Bennington";#N/A,#N/A,FALSE,"Castle Court";#N/A,#N/A,FALSE,"Century Hills";#N/A,#N/A,FALSE,"Edgewater Hills";#N/A,#N/A,FALSE,"Edgewater Terrace";#N/A,#N/A,FALSE,"Edgewater Village";#N/A,#N/A,FALSE,"Fairfax";#N/A,#N/A,FALSE,"Gen. Wash.";#N/A,#N/A,FALSE,"Huntington-Unfurnished";#N/A,#N/A,FALSE,"Huntington-Furnished";#N/A,#N/A,FALSE,"Iris Court";#N/A,#N/A,FALSE,"North Park";#N/A,#N/A,FALSE,"Talbot Woods";#N/A,#N/A,FALSE,"Parkview";#N/A,#N/A,FALSE,"Westgate"}</definedName>
    <definedName name="Dont_know" hidden="1">{#N/A,#N/A,FALSE,"Bennington";#N/A,#N/A,FALSE,"Castle Court";#N/A,#N/A,FALSE,"Century Hills";#N/A,#N/A,FALSE,"Edgewater Hills";#N/A,#N/A,FALSE,"Edgewater Terrace";#N/A,#N/A,FALSE,"Edgewater Village";#N/A,#N/A,FALSE,"Fairfax";#N/A,#N/A,FALSE,"Gen. Wash.";#N/A,#N/A,FALSE,"Huntington-Unfurnished";#N/A,#N/A,FALSE,"Huntington-Furnished";#N/A,#N/A,FALSE,"Iris Court";#N/A,#N/A,FALSE,"North Park";#N/A,#N/A,FALSE,"Talbot Woods";#N/A,#N/A,FALSE,"Parkview";#N/A,#N/A,FALSE,"Westgate"}</definedName>
    <definedName name="DRes" localSheetId="7" hidden="1">{"'April 24'!$J$11"}</definedName>
    <definedName name="DRes" hidden="1">{"'April 24'!$J$11"}</definedName>
    <definedName name="dsa" localSheetId="7" hidden="1">{#N/A,#N/A,FALSE,"Chart 2 by Prop Type"}</definedName>
    <definedName name="dsa" hidden="1">{#N/A,#N/A,FALSE,"Chart 2 by Prop Type"}</definedName>
    <definedName name="dsfg" localSheetId="7" hidden="1">{#N/A,#N/A,FALSE,"Yield Graph";#N/A,#N/A,FALSE,"Rent Roll";#N/A,#N/A,FALSE,"OE Yr1";#N/A,#N/A,FALSE,"Repl.Cst.+Ins."}</definedName>
    <definedName name="dsfg" hidden="1">{#N/A,#N/A,FALSE,"Yield Graph";#N/A,#N/A,FALSE,"Rent Roll";#N/A,#N/A,FALSE,"OE Yr1";#N/A,#N/A,FALSE,"Repl.Cst.+Ins."}</definedName>
    <definedName name="dsfgdsfg" hidden="1">#REF!</definedName>
    <definedName name="DSS" localSheetId="7" hidden="1">{"print STAY opening assumptions",#N/A,FALSE,"STAY Openings";"print STAY openings",#N/A,FALSE,"STAY Openings"}</definedName>
    <definedName name="DSS" hidden="1">{"print STAY opening assumptions",#N/A,FALSE,"STAY Openings";"print STAY openings",#N/A,FALSE,"STAY Openings"}</definedName>
    <definedName name="DueOnSaleClause" hidden="1">#REF!</definedName>
    <definedName name="Duper" localSheetId="7" hidden="1">{#N/A,#N/A,FALSE,"Summary";#N/A,#N/A,FALSE,"Projections";#N/A,#N/A,FALSE,"Mkt Mults";#N/A,#N/A,FALSE,"DCF";#N/A,#N/A,FALSE,"Accr Dil";#N/A,#N/A,FALSE,"PIC LBO";#N/A,#N/A,FALSE,"MULT10_4";#N/A,#N/A,FALSE,"CBI LBO"}</definedName>
    <definedName name="Duper" hidden="1">{#N/A,#N/A,FALSE,"Summary";#N/A,#N/A,FALSE,"Projections";#N/A,#N/A,FALSE,"Mkt Mults";#N/A,#N/A,FALSE,"DCF";#N/A,#N/A,FALSE,"Accr Dil";#N/A,#N/A,FALSE,"PIC LBO";#N/A,#N/A,FALSE,"MULT10_4";#N/A,#N/A,FALSE,"CBI LBO"}</definedName>
    <definedName name="DUSPlusAmt" hidden="1">#REF!</definedName>
    <definedName name="DUSPlusRate" hidden="1">#REF!</definedName>
    <definedName name="DUSPlusTerm" hidden="1">#REF!</definedName>
    <definedName name="DUSPlusTier" hidden="1">#REF!</definedName>
    <definedName name="dvd" localSheetId="7" hidden="1">{#N/A,#N/A,FALSE,"el.det";#N/A,#N/A,FALSE,"mu.det";#N/A,#N/A,FALSE,"ug.det";#N/A,#N/A,FALSE,"ex.det";#N/A,#N/A,FALSE,"lux.det";#N/A,#N/A,FALSE,"custom.lot";#N/A,#N/A,FALSE,"condo.att";#N/A,#N/A,FALSE,"el.att";#N/A,#N/A,FALSE,"mu.att";#N/A,#N/A,FALSE,"ex.att";#N/A,#N/A,FALSE,"lux.att";#N/A,#N/A,FALSE,"all.by.village"}</definedName>
    <definedName name="dvd" hidden="1">{#N/A,#N/A,FALSE,"el.det";#N/A,#N/A,FALSE,"mu.det";#N/A,#N/A,FALSE,"ug.det";#N/A,#N/A,FALSE,"ex.det";#N/A,#N/A,FALSE,"lux.det";#N/A,#N/A,FALSE,"custom.lot";#N/A,#N/A,FALSE,"condo.att";#N/A,#N/A,FALSE,"el.att";#N/A,#N/A,FALSE,"mu.att";#N/A,#N/A,FALSE,"ex.att";#N/A,#N/A,FALSE,"lux.att";#N/A,#N/A,FALSE,"all.by.village"}</definedName>
    <definedName name="E" localSheetId="7" hidden="1">{"mgmt forecast",#N/A,FALSE,"Mgmt Forecast";"dcf table",#N/A,FALSE,"Mgmt Forecast";"sensitivity",#N/A,FALSE,"Mgmt Forecast";"table inputs",#N/A,FALSE,"Mgmt Forecast";"calculations",#N/A,FALSE,"Mgmt Forecast"}</definedName>
    <definedName name="E" hidden="1">{"mgmt forecast",#N/A,FALSE,"Mgmt Forecast";"dcf table",#N/A,FALSE,"Mgmt Forecast";"sensitivity",#N/A,FALSE,"Mgmt Forecast";"table inputs",#N/A,FALSE,"Mgmt Forecast";"calculations",#N/A,FALSE,"Mgmt Forecast"}</definedName>
    <definedName name="eaf" localSheetId="7" hidden="1">{"AnnInc",#N/A,TRUE,"Inc";"QtrInc1",#N/A,TRUE,"Inc";"Balance",#N/A,TRUE,"Bal";"Cflow",#N/A,TRUE,"Cash"}</definedName>
    <definedName name="eaf" hidden="1">{"AnnInc",#N/A,TRUE,"Inc";"QtrInc1",#N/A,TRUE,"Inc";"Balance",#N/A,TRUE,"Bal";"Cflow",#N/A,TRUE,"Cash"}</definedName>
    <definedName name="EagleLogo" hidden="1">"Picture 1"</definedName>
    <definedName name="eas" localSheetId="7" hidden="1">{"NOPCAPEVA",#N/A,FALSE,"Nopat";"FCFCSTAR",#N/A,FALSE,"FCFVAL";"EVAVL",#N/A,FALSE,"EVAVAL";"LEASE",#N/A,FALSE,"OpLease"}</definedName>
    <definedName name="eas" hidden="1">{"NOPCAPEVA",#N/A,FALSE,"Nopat";"FCFCSTAR",#N/A,FALSE,"FCFVAL";"EVAVL",#N/A,FALSE,"EVAVAL";"LEASE",#N/A,FALSE,"OpLease"}</definedName>
    <definedName name="ed" localSheetId="7" hidden="1">{"NOPCAPEVA",#N/A,FALSE,"Nopat";"FCFCSTAR",#N/A,FALSE,"FCFVAL";"EVAVL",#N/A,FALSE,"EVAVAL";"LEASE",#N/A,FALSE,"OpLease"}</definedName>
    <definedName name="ed" hidden="1">{"NOPCAPEVA",#N/A,FALSE,"Nopat";"FCFCSTAR",#N/A,FALSE,"FCFVAL";"EVAVL",#N/A,FALSE,"EVAVAL";"LEASE",#N/A,FALSE,"OpLease"}</definedName>
    <definedName name="ee" localSheetId="7" hidden="1">{#N/A,#N/A,FALSE,"OperatingAssumptions"}</definedName>
    <definedName name="ee" hidden="1">{#N/A,#N/A,FALSE,"OperatingAssumptions"}</definedName>
    <definedName name="EEE" localSheetId="7" hidden="1">{"Data Input",#N/A,TRUE,"Data Input";"10-Yr Cash Flow",#N/A,TRUE,"Cash Flow";"10-Yr Value",#N/A,TRUE,"Value "}</definedName>
    <definedName name="EEE" hidden="1">{"Data Input",#N/A,TRUE,"Data Input";"10-Yr Cash Flow",#N/A,TRUE,"Cash Flow";"10-Yr Value",#N/A,TRUE,"Value "}</definedName>
    <definedName name="eeee" localSheetId="7" hidden="1">{"Data Input",#N/A,TRUE,"Data Input";"10-Yr Cash Flow",#N/A,TRUE,"Cash Flow";"10-Yr Value",#N/A,TRUE,"Value "}</definedName>
    <definedName name="eeee" hidden="1">{"Data Input",#N/A,TRUE,"Data Input";"10-Yr Cash Flow",#N/A,TRUE,"Cash Flow";"10-Yr Value",#N/A,TRUE,"Value "}</definedName>
    <definedName name="eeeeee" hidden="1">#REF!</definedName>
    <definedName name="eeeeeeee" hidden="1">#REF!</definedName>
    <definedName name="ef" localSheetId="7" hidden="1">{"AnnInc",#N/A,TRUE,"Inc";"QtrInc1",#N/A,TRUE,"Inc";"Balance",#N/A,TRUE,"Bal";"Cflow",#N/A,TRUE,"Cash"}</definedName>
    <definedName name="ef" hidden="1">{"AnnInc",#N/A,TRUE,"Inc";"QtrInc1",#N/A,TRUE,"Inc";"Balance",#N/A,TRUE,"Bal";"Cflow",#N/A,TRUE,"Cash"}</definedName>
    <definedName name="efwfffwef" localSheetId="7" hidden="1">{#N/A,#N/A,FALSE,"Capex Summary";#N/A,#N/A,FALSE,"Capex";#N/A,#N/A,FALSE,"Repayt Summary";#N/A,#N/A,FALSE,"Repayments";#N/A,#N/A,FALSE,"Repayt Split"}</definedName>
    <definedName name="efwfffwef" hidden="1">{#N/A,#N/A,FALSE,"Capex Summary";#N/A,#N/A,FALSE,"Capex";#N/A,#N/A,FALSE,"Repayt Summary";#N/A,#N/A,FALSE,"Repayments";#N/A,#N/A,FALSE,"Repayt Split"}</definedName>
    <definedName name="eight" hidden="1">#REF!,#REF!,#REF!,#REF!,#REF!,#REF!,#REF!,#REF!</definedName>
    <definedName name="ELAINE" localSheetId="7" hidden="1">{#N/A,#N/A,FALSE,"RENT ROLL"}</definedName>
    <definedName name="ELAINE" hidden="1">{#N/A,#N/A,FALSE,"RENT ROLL"}</definedName>
    <definedName name="Elec" localSheetId="7" hidden="1">{"CA Summary",#N/A,FALSE,"COMMON AREA EXPENSE SUMMARY";"CA Mainten",#N/A,FALSE,"COMMON AREA MAINTENANCE"}</definedName>
    <definedName name="Elec" hidden="1">{"CA Summary",#N/A,FALSE,"COMMON AREA EXPENSE SUMMARY";"CA Mainten",#N/A,FALSE,"COMMON AREA MAINTENANCE"}</definedName>
    <definedName name="Elevator" localSheetId="7" hidden="1">{#N/A,#N/A,FALSE,"OPERATING BUDGET 99";#N/A,#N/A,FALSE,"RECOVERY99"}</definedName>
    <definedName name="Elevator" hidden="1">{#N/A,#N/A,FALSE,"OPERATING BUDGET 99";#N/A,#N/A,FALSE,"RECOVERY99"}</definedName>
    <definedName name="ellen" localSheetId="7" hidden="1">{#N/A,#N/A,FALSE,"WATCHDSC";#N/A,#N/A,FALSE,"2LOSSMOD";#N/A,#N/A,FALSE,"2LOSS";#N/A,#N/A,FALSE,"DSC";#N/A,#N/A,FALSE,"OPERAT";#N/A,#N/A,FALSE,"ADJUST";#N/A,#N/A,FALSE,"LEASE EXPIRE"}</definedName>
    <definedName name="ellen" hidden="1">{#N/A,#N/A,FALSE,"WATCHDSC";#N/A,#N/A,FALSE,"2LOSSMOD";#N/A,#N/A,FALSE,"2LOSS";#N/A,#N/A,FALSE,"DSC";#N/A,#N/A,FALSE,"OPERAT";#N/A,#N/A,FALSE,"ADJUST";#N/A,#N/A,FALSE,"LEASE EXPIRE"}</definedName>
    <definedName name="EngineeringFirm" hidden="1">#REF!</definedName>
    <definedName name="EngineeringReportDate" hidden="1">#REF!</definedName>
    <definedName name="ENTRIES" hidden="1">#REF!</definedName>
    <definedName name="EnvAssessmentPhase" hidden="1">#REF!</definedName>
    <definedName name="EnvironmentalFirm" hidden="1">#REF!</definedName>
    <definedName name="EnvironmentalReportDate" hidden="1">#REF!</definedName>
    <definedName name="EOTaxYear">'General Inputs'!$K$24</definedName>
    <definedName name="ep" hidden="1">#REF!</definedName>
    <definedName name="EPMWorkbookOptions_2" hidden="1">"cB0q99Q9gEEkJfIhWMJNtm0mDJfeCtlhqpEPkYbgDJJ4FqyTgqrd8Y2mjL9rkmIw9Pghcpr/9IEHPI9mKfJATTyLehw/fO+ritwjDwMIfAIVeZqBhQ8fBSpIvCtD9LyFbYEEZLnLiWPsR0mIo1F2oxoOUm/QSQGWQ0WUClxOIBo59s8VDKM+yEOzb/7zWH+4Y8iPpGidToehOTLglG0q2p0NEUDW/HVnVCHEuXLsxXUVoxXhBZX26tlL6AS0"</definedName>
    <definedName name="EPMWorkbookOptions_3" hidden="1">"zO8lUMcbsKarmmGK5siIB60Z46E6lM9lyG9oEoo7ezqFzjaxf5AgabojqH9YhDF319sYkrtwUTcoV6AyFG+5hmBmeGaAHDqS7sfwBd+AZxfZmNQVduHGOaXL4X9jIx8nCsjWHwTaVvlrgPJaZXOgKwEMn1z0KlBZ2reCbCAnkzhPM2ybSQTI+jNCXxVNIerSArV5yIzuewvwqiHXgwi/dhm+yc/gZFbjm1OuxjVmnVqbh7BGA9jgppMW15qw"</definedName>
    <definedName name="EPMWorkbookOptions_4" hidden="1">"QeZ9r4zAA+BjAy7IfA6nmx7Lgug3vRyZpDtaEk35VtW3k5gomSNxkKedo5CFmvrXf2s+37fmtI0+D2qJP/4/Y2mwAPvIKk5SmubaNJ2fo8zlcbQnmqKhSzFFTdWMJSVNs8osQFPZwTYuPpWyLM9zHJefpY3LY2nWZpBlc20Go5gnydFjwtGgWyUcSTjoEo7EyYlrlHAk5g7+7NlxOutb8DoAipaFCy9xzRZDt9ut/Esce3lL3EAWDVmUJDNm"</definedName>
    <definedName name="EPMWorkbookOptions_5" hidden="1">"6u1ANP68MUueZpZZlKfSAvj+R04MzSbLvuPIwF0oUyXCTiNxahgYG0nJ1qwyi7LVhA5wis+r738Lw18oXU15KA7NPb4S0bmz9YiQhCJNKpeb7DILNHDAeAMDvPrAcvPu/m1eXv9+6LtIFPUkqXpUQFStJ9/rJSR7kMi6aPaHtyUqCVQITbSSJ0lEdJlgcu6InM66p3t4U6r1mZ8PW5e38OmaKY10XR5K27dXg/KzTHaZBXhqEtknErR9eQQ1"</definedName>
    <definedName name="EPMWorkbookOptions_6" hidden="1">"+4ocM7NB01ydnKvO//v2cdBg+Pofo//tAfMAC65OzpYlFhEvFPHs91+nM4srsmiMdNn4xJm8c3kzeYwioWiwJ5b1vtrrl3uNdxntVZNtJFBZF2v3pLE5iZa+aJwUpi8nCzqcIejPVUf1oBPfTNwXhnbSAgIUBFUdAzzD2PJQHNrGt7AJN3EIY2ydVoT2ff8eIBtMFlCB6GlnnpJ//bKLEV3x7v4LUbxuvx0uAAA="</definedName>
    <definedName name="EquityPercent" hidden="1">#REF!</definedName>
    <definedName name="eqw" localSheetId="7" hidden="1">{"NOPCAPEVA",#N/A,FALSE,"Nopat";"FCFCSTAR",#N/A,FALSE,"FCFVAL";"EVAVL",#N/A,FALSE,"EVAVAL";"LEASE",#N/A,FALSE,"OpLease"}</definedName>
    <definedName name="eqw" hidden="1">{"NOPCAPEVA",#N/A,FALSE,"Nopat";"FCFCSTAR",#N/A,FALSE,"FCFVAL";"EVAVL",#N/A,FALSE,"EVAVAL";"LEASE",#N/A,FALSE,"OpLease"}</definedName>
    <definedName name="erg" localSheetId="7" hidden="1">{0,0,"",0;0,0,0,0;0,0,0,0;0,0,0,0;0,0,0,0}</definedName>
    <definedName name="erg" hidden="1">{0,0,"",0;0,0,0,0;0,0,0,0;0,0,0,0;0,0,0,0}</definedName>
    <definedName name="ers" localSheetId="7" hidden="1">{"NOPCAPEVA",#N/A,FALSE,"Nopat";"FCFCSTAR",#N/A,FALSE,"FCFVAL";"EVAVL",#N/A,FALSE,"EVAVAL";"LEASE",#N/A,FALSE,"OpLease"}</definedName>
    <definedName name="ers" hidden="1">{"NOPCAPEVA",#N/A,FALSE,"Nopat";"FCFCSTAR",#N/A,FALSE,"FCFVAL";"EVAVL",#N/A,FALSE,"EVAVAL";"LEASE",#N/A,FALSE,"OpLease"}</definedName>
    <definedName name="ERT" hidden="1">#REF!</definedName>
    <definedName name="ERTY" hidden="1">#REF!</definedName>
    <definedName name="erwerwtwerte" hidden="1">#REF!</definedName>
    <definedName name="erwtwert" hidden="1">#REF!</definedName>
    <definedName name="Estimate" localSheetId="7" hidden="1">{#N/A,#N/A,FALSE,"Detail";#N/A,#N/A,FALSE,"Totals"}</definedName>
    <definedName name="Estimate" hidden="1">{#N/A,#N/A,FALSE,"Detail";#N/A,#N/A,FALSE,"Totals"}</definedName>
    <definedName name="Estimate_1" localSheetId="7" hidden="1">{#N/A,#N/A,FALSE,"Detail";#N/A,#N/A,FALSE,"Totals"}</definedName>
    <definedName name="Estimate_1" hidden="1">{#N/A,#N/A,FALSE,"Detail";#N/A,#N/A,FALSE,"Totals"}</definedName>
    <definedName name="ev.Calculation" hidden="1">-4135</definedName>
    <definedName name="ev.Initialized" hidden="1">FALSE</definedName>
    <definedName name="EV__EVCOM_OPTIONS__" hidden="1">8</definedName>
    <definedName name="EV__EXPOPTIONS__" hidden="1">0</definedName>
    <definedName name="EV__LASTREFTIME__" hidden="1">38552.5892939815</definedName>
    <definedName name="EV__LOCKEDCVW__CapX" hidden="1">"TOTCAPSPEND,TOTCAPTYPE,FORECAST,TotalCostCode,TOTDATASRC,E435,TOTCAPPROJ,TOTLSTEN,PS_NONE,USD,2015.Q3,Periodic"</definedName>
    <definedName name="EV__LOCKEDCVW__Leasing" hidden="1">"ACTUAL,TOTDATASRC,CMP999104,GLASQFT,TOTLSCLASS,TOTLSTEN,PS_NONE,LC,2004.TOTAL,Periodic"</definedName>
    <definedName name="EV__LOCKSTATUS__" hidden="1">4</definedName>
    <definedName name="EV__MAXEXPCOLS__" hidden="1">100</definedName>
    <definedName name="EV__MAXEXPROWS__" hidden="1">1000</definedName>
    <definedName name="EV__MEMORYCVW__" hidden="1">0</definedName>
    <definedName name="EV__USERCHANGEOPTIONS__" hidden="1">1</definedName>
    <definedName name="EV__WBEVMODE__" hidden="1">1</definedName>
    <definedName name="EV__WBREFOPTIONS__" hidden="1">134217728</definedName>
    <definedName name="EV__WBVERSION__" hidden="1">0</definedName>
    <definedName name="ewa" localSheetId="7" hidden="1">{"NOPCAPEVA",#N/A,FALSE,"Nopat";"FCFCSTAR",#N/A,FALSE,"FCFVAL";"EVAVL",#N/A,FALSE,"EVAVAL";"LEASE",#N/A,FALSE,"OpLease"}</definedName>
    <definedName name="ewa" hidden="1">{"NOPCAPEVA",#N/A,FALSE,"Nopat";"FCFCSTAR",#N/A,FALSE,"FCFVAL";"EVAVL",#N/A,FALSE,"EVAVAL";"LEASE",#N/A,FALSE,"OpLease"}</definedName>
    <definedName name="ews" localSheetId="7" hidden="1">{"AnnInc",#N/A,TRUE,"Inc";"QtrInc1",#N/A,TRUE,"Inc";"Balance",#N/A,TRUE,"Bal";"Cflow",#N/A,TRUE,"Cash"}</definedName>
    <definedName name="ews" hidden="1">{"AnnInc",#N/A,TRUE,"Inc";"QtrInc1",#N/A,TRUE,"Inc";"Balance",#N/A,TRUE,"Bal";"Cflow",#N/A,TRUE,"Cash"}</definedName>
    <definedName name="ewye" localSheetId="7" hidden="1">{"NOPCAPEVA",#N/A,FALSE,"Nopat";"FCFCSTAR",#N/A,FALSE,"FCFVAL";"EVAVL",#N/A,FALSE,"EVAVAL";"LEASE",#N/A,FALSE,"OpLease"}</definedName>
    <definedName name="ewye" hidden="1">{"NOPCAPEVA",#N/A,FALSE,"Nopat";"FCFCSTAR",#N/A,FALSE,"FCFVAL";"EVAVL",#N/A,FALSE,"EVAVAL";"LEASE",#N/A,FALSE,"OpLease"}</definedName>
    <definedName name="ex" localSheetId="7" hidden="1">{#N/A,#N/A,TRUE,"Brief-Loan Request";#N/A,#N/A,TRUE,"Property History";#N/A,#N/A,TRUE,"Borrower";#N/A,#N/A,TRUE,"Sponsor-Manager";#N/A,#N/A,TRUE,"Area-Neigborhood";#N/A,#N/A,TRUE,"Site-Improvements";#N/A,#N/A,TRUE,"Tenancy";#N/A,#N/A,TRUE,"Immed Needs";#N/A,#N/A,TRUE,"Needs over Term";#N/A,#N/A,TRUE,"Environmental";#N/A,#N/A,TRUE,"Market-Quality";#N/A,#N/A,TRUE,"Appraisal";#N/A,#N/A,TRUE,"UW Income";#N/A,#N/A,TRUE,"UW Expenses";#N/A,#N/A,TRUE,"UW Reserves";#N/A,#N/A,TRUE,"Exit-Valuation";#N/A,#N/A,TRUE,"Strengths-Weaknesses";#N/A,#N/A,TRUE,"Recommendation"}</definedName>
    <definedName name="ex" hidden="1">{#N/A,#N/A,TRUE,"Brief-Loan Request";#N/A,#N/A,TRUE,"Property History";#N/A,#N/A,TRUE,"Borrower";#N/A,#N/A,TRUE,"Sponsor-Manager";#N/A,#N/A,TRUE,"Area-Neigborhood";#N/A,#N/A,TRUE,"Site-Improvements";#N/A,#N/A,TRUE,"Tenancy";#N/A,#N/A,TRUE,"Immed Needs";#N/A,#N/A,TRUE,"Needs over Term";#N/A,#N/A,TRUE,"Environmental";#N/A,#N/A,TRUE,"Market-Quality";#N/A,#N/A,TRUE,"Appraisal";#N/A,#N/A,TRUE,"UW Income";#N/A,#N/A,TRUE,"UW Expenses";#N/A,#N/A,TRUE,"UW Reserves";#N/A,#N/A,TRUE,"Exit-Valuation";#N/A,#N/A,TRUE,"Strengths-Weaknesses";#N/A,#N/A,TRUE,"Recommendation"}</definedName>
    <definedName name="ExactAddinReports" hidden="1">1</definedName>
    <definedName name="exc" localSheetId="7" hidden="1">{"'Assump'!$F$6:$J$6"}</definedName>
    <definedName name="exc" hidden="1">{"'Assump'!$F$6:$J$6"}</definedName>
    <definedName name="excel" localSheetId="7" hidden="1">{#N/A,#N/A,FALSE}</definedName>
    <definedName name="excel" hidden="1">{#N/A,#N/A,FALSE}</definedName>
    <definedName name="ExecSumYears" hidden="1">#REF!</definedName>
    <definedName name="EXHIBIT10" localSheetId="7" hidden="1">{#N/A,#N/A,FALSE,"II-2 POP.HH";#N/A,#N/A,FALSE,"II-3 AGE.DIST";#N/A,#N/A,FALSE,"II-4 HH.DIST";#N/A,#N/A,FALSE,"II-5 EMP.INDUS"}</definedName>
    <definedName name="EXHIBIT10" hidden="1">{#N/A,#N/A,FALSE,"II-2 POP.HH";#N/A,#N/A,FALSE,"II-3 AGE.DIST";#N/A,#N/A,FALSE,"II-4 HH.DIST";#N/A,#N/A,FALSE,"II-5 EMP.INDUS"}</definedName>
    <definedName name="exhibit13" localSheetId="7" hidden="1">{#N/A,#N/A,FALSE,"el.det";#N/A,#N/A,FALSE,"mu.det";#N/A,#N/A,FALSE,"ug.det";#N/A,#N/A,FALSE,"ex.det";#N/A,#N/A,FALSE,"lux.det";#N/A,#N/A,FALSE,"custom.lot";#N/A,#N/A,FALSE,"condo.att";#N/A,#N/A,FALSE,"el.att";#N/A,#N/A,FALSE,"mu.att";#N/A,#N/A,FALSE,"ex.att";#N/A,#N/A,FALSE,"lux.att";#N/A,#N/A,FALSE,"all.by.village"}</definedName>
    <definedName name="exhibit13" hidden="1">{#N/A,#N/A,FALSE,"el.det";#N/A,#N/A,FALSE,"mu.det";#N/A,#N/A,FALSE,"ug.det";#N/A,#N/A,FALSE,"ex.det";#N/A,#N/A,FALSE,"lux.det";#N/A,#N/A,FALSE,"custom.lot";#N/A,#N/A,FALSE,"condo.att";#N/A,#N/A,FALSE,"el.att";#N/A,#N/A,FALSE,"mu.att";#N/A,#N/A,FALSE,"ex.att";#N/A,#N/A,FALSE,"lux.att";#N/A,#N/A,FALSE,"all.by.village"}</definedName>
    <definedName name="EXHIBIT3" localSheetId="7" hidden="1">{#N/A,#N/A,FALSE,"el.det";#N/A,#N/A,FALSE,"mu.det";#N/A,#N/A,FALSE,"ug.det";#N/A,#N/A,FALSE,"ex.det";#N/A,#N/A,FALSE,"lux.det";#N/A,#N/A,FALSE,"custom.lot";#N/A,#N/A,FALSE,"condo.att";#N/A,#N/A,FALSE,"el.att";#N/A,#N/A,FALSE,"mu.att";#N/A,#N/A,FALSE,"ex.att";#N/A,#N/A,FALSE,"lux.att";#N/A,#N/A,FALSE,"all.by.village"}</definedName>
    <definedName name="EXHIBIT3" hidden="1">{#N/A,#N/A,FALSE,"el.det";#N/A,#N/A,FALSE,"mu.det";#N/A,#N/A,FALSE,"ug.det";#N/A,#N/A,FALSE,"ex.det";#N/A,#N/A,FALSE,"lux.det";#N/A,#N/A,FALSE,"custom.lot";#N/A,#N/A,FALSE,"condo.att";#N/A,#N/A,FALSE,"el.att";#N/A,#N/A,FALSE,"mu.att";#N/A,#N/A,FALSE,"ex.att";#N/A,#N/A,FALSE,"lux.att";#N/A,#N/A,FALSE,"all.by.village"}</definedName>
    <definedName name="EXHIBIT6" localSheetId="7" hidden="1">{#N/A,#N/A,FALSE,"el.det";#N/A,#N/A,FALSE,"mu.det";#N/A,#N/A,FALSE,"ug.det";#N/A,#N/A,FALSE,"ex.det";#N/A,#N/A,FALSE,"lux.det";#N/A,#N/A,FALSE,"custom.lot";#N/A,#N/A,FALSE,"condo.att";#N/A,#N/A,FALSE,"el.att";#N/A,#N/A,FALSE,"mu.att";#N/A,#N/A,FALSE,"ex.att";#N/A,#N/A,FALSE,"lux.att";#N/A,#N/A,FALSE,"all.by.village"}</definedName>
    <definedName name="EXHIBIT6" hidden="1">{#N/A,#N/A,FALSE,"el.det";#N/A,#N/A,FALSE,"mu.det";#N/A,#N/A,FALSE,"ug.det";#N/A,#N/A,FALSE,"ex.det";#N/A,#N/A,FALSE,"lux.det";#N/A,#N/A,FALSE,"custom.lot";#N/A,#N/A,FALSE,"condo.att";#N/A,#N/A,FALSE,"el.att";#N/A,#N/A,FALSE,"mu.att";#N/A,#N/A,FALSE,"ex.att";#N/A,#N/A,FALSE,"lux.att";#N/A,#N/A,FALSE,"all.by.village"}</definedName>
    <definedName name="EXHIBIT7" localSheetId="7" hidden="1">{#N/A,#N/A,FALSE,"II-2 POP.HH";#N/A,#N/A,FALSE,"II-3 AGE.DIST";#N/A,#N/A,FALSE,"II-4 HH.DIST";#N/A,#N/A,FALSE,"II-5 EMP.INDUS"}</definedName>
    <definedName name="EXHIBIT7" hidden="1">{#N/A,#N/A,FALSE,"II-2 POP.HH";#N/A,#N/A,FALSE,"II-3 AGE.DIST";#N/A,#N/A,FALSE,"II-4 HH.DIST";#N/A,#N/A,FALSE,"II-5 EMP.INDUS"}</definedName>
    <definedName name="EXHIBIT8" localSheetId="7" hidden="1">{#N/A,#N/A,FALSE,"el.det";#N/A,#N/A,FALSE,"mu.det";#N/A,#N/A,FALSE,"ug.det";#N/A,#N/A,FALSE,"ex.det";#N/A,#N/A,FALSE,"lux.det";#N/A,#N/A,FALSE,"custom.lot";#N/A,#N/A,FALSE,"condo.att";#N/A,#N/A,FALSE,"el.att";#N/A,#N/A,FALSE,"mu.att";#N/A,#N/A,FALSE,"ex.att";#N/A,#N/A,FALSE,"lux.att";#N/A,#N/A,FALSE,"all.by.village"}</definedName>
    <definedName name="EXHIBIT8" hidden="1">{#N/A,#N/A,FALSE,"el.det";#N/A,#N/A,FALSE,"mu.det";#N/A,#N/A,FALSE,"ug.det";#N/A,#N/A,FALSE,"ex.det";#N/A,#N/A,FALSE,"lux.det";#N/A,#N/A,FALSE,"custom.lot";#N/A,#N/A,FALSE,"condo.att";#N/A,#N/A,FALSE,"el.att";#N/A,#N/A,FALSE,"mu.att";#N/A,#N/A,FALSE,"ex.att";#N/A,#N/A,FALSE,"lux.att";#N/A,#N/A,FALSE,"all.by.village"}</definedName>
    <definedName name="EXHIBIT9" localSheetId="7" hidden="1">{#N/A,#N/A,FALSE,"III-1 Sum.Dem";#N/A,#N/A,FALSE,"III-2 RER.Dem.Pop";#N/A,#N/A,FALSE,"III-3 RER.Cap.Pop";#N/A,#N/A,FALSE,"III-4 RER.Dem.TCSS";#N/A,#N/A,FALSE,"III-5 RER.Cap.TCSS";#N/A,#N/A,FALSE,"III-6 Pow.Center.Dem";#N/A,#N/A,FALSE,"III-7 Off.Demand";#N/A,#N/A,FALSE,"III-8 Htl.Dem"}</definedName>
    <definedName name="EXHIBIT9" hidden="1">{#N/A,#N/A,FALSE,"III-1 Sum.Dem";#N/A,#N/A,FALSE,"III-2 RER.Dem.Pop";#N/A,#N/A,FALSE,"III-3 RER.Cap.Pop";#N/A,#N/A,FALSE,"III-4 RER.Dem.TCSS";#N/A,#N/A,FALSE,"III-5 RER.Cap.TCSS";#N/A,#N/A,FALSE,"III-6 Pow.Center.Dem";#N/A,#N/A,FALSE,"III-7 Off.Demand";#N/A,#N/A,FALSE,"III-8 Htl.Dem"}</definedName>
    <definedName name="Exhibits" localSheetId="7" hidden="1">{#N/A,#N/A,FALSE,"el.det";#N/A,#N/A,FALSE,"mu.det";#N/A,#N/A,FALSE,"ug.det";#N/A,#N/A,FALSE,"ex.det";#N/A,#N/A,FALSE,"lux.det";#N/A,#N/A,FALSE,"custom.lot";#N/A,#N/A,FALSE,"condo.att";#N/A,#N/A,FALSE,"el.att";#N/A,#N/A,FALSE,"mu.att";#N/A,#N/A,FALSE,"ex.att";#N/A,#N/A,FALSE,"lux.att";#N/A,#N/A,FALSE,"all.by.village"}</definedName>
    <definedName name="Exhibits" hidden="1">{#N/A,#N/A,FALSE,"el.det";#N/A,#N/A,FALSE,"mu.det";#N/A,#N/A,FALSE,"ug.det";#N/A,#N/A,FALSE,"ex.det";#N/A,#N/A,FALSE,"lux.det";#N/A,#N/A,FALSE,"custom.lot";#N/A,#N/A,FALSE,"condo.att";#N/A,#N/A,FALSE,"el.att";#N/A,#N/A,FALSE,"mu.att";#N/A,#N/A,FALSE,"ex.att";#N/A,#N/A,FALSE,"lux.att";#N/A,#N/A,FALSE,"all.by.village"}</definedName>
    <definedName name="ExitCap" localSheetId="20">#REF!</definedName>
    <definedName name="ExitCap" localSheetId="7">#REF!</definedName>
    <definedName name="ExitCap">'General Inputs'!$H$46</definedName>
    <definedName name="ExitCapRetail" localSheetId="20">#REF!</definedName>
    <definedName name="ExitCapRetail" localSheetId="7">#REF!</definedName>
    <definedName name="ExitCapRetail">'General Inputs'!$H$47</definedName>
    <definedName name="exp" hidden="1">#REF!</definedName>
    <definedName name="expense" localSheetId="7" hidden="1">{"Construction Costs",#N/A,FALSE,"Budget";"Income Statement",#N/A,FALSE,"Budget"}</definedName>
    <definedName name="expense" hidden="1">{"Construction Costs",#N/A,FALSE,"Budget";"Income Statement",#N/A,FALSE,"Budget"}</definedName>
    <definedName name="ExtendedMaturity" hidden="1">#REF!</definedName>
    <definedName name="extra14" localSheetId="7" hidden="1">{#N/A,#N/A,TRUE,"Brief-Loan Request";#N/A,#N/A,TRUE,"Property History";#N/A,#N/A,TRUE,"Borrower";#N/A,#N/A,TRUE,"Sponsor-Manager";#N/A,#N/A,TRUE,"Area-Neigborhood";#N/A,#N/A,TRUE,"Site-Improvements";#N/A,#N/A,TRUE,"Tenancy";#N/A,#N/A,TRUE,"Immed Needs";#N/A,#N/A,TRUE,"Needs over Term";#N/A,#N/A,TRUE,"Environmental";#N/A,#N/A,TRUE,"Market-Quality";#N/A,#N/A,TRUE,"Appraisal";#N/A,#N/A,TRUE,"UW Income";#N/A,#N/A,TRUE,"UW Expenses";#N/A,#N/A,TRUE,"UW Reserves";#N/A,#N/A,TRUE,"Exit-Valuation";#N/A,#N/A,TRUE,"Strengths-Weaknesses";#N/A,#N/A,TRUE,"Recommendation"}</definedName>
    <definedName name="extra14" hidden="1">{#N/A,#N/A,TRUE,"Brief-Loan Request";#N/A,#N/A,TRUE,"Property History";#N/A,#N/A,TRUE,"Borrower";#N/A,#N/A,TRUE,"Sponsor-Manager";#N/A,#N/A,TRUE,"Area-Neigborhood";#N/A,#N/A,TRUE,"Site-Improvements";#N/A,#N/A,TRUE,"Tenancy";#N/A,#N/A,TRUE,"Immed Needs";#N/A,#N/A,TRUE,"Needs over Term";#N/A,#N/A,TRUE,"Environmental";#N/A,#N/A,TRUE,"Market-Quality";#N/A,#N/A,TRUE,"Appraisal";#N/A,#N/A,TRUE,"UW Income";#N/A,#N/A,TRUE,"UW Expenses";#N/A,#N/A,TRUE,"UW Reserves";#N/A,#N/A,TRUE,"Exit-Valuation";#N/A,#N/A,TRUE,"Strengths-Weaknesses";#N/A,#N/A,TRUE,"Recommendation"}</definedName>
    <definedName name="extra15" localSheetId="7" hidden="1">{#N/A,#N/A,FALSE,"Brief";#N/A,#N/A,FALSE,"Loan Purpose";#N/A,#N/A,FALSE,"Borrower";#N/A,#N/A,FALSE,"Sponsor";#N/A,#N/A,FALSE,"Site-Improvements";#N/A,#N/A,FALSE,"Manager";#N/A,#N/A,FALSE,"Tenancy-MF";#N/A,#N/A,FALSE,"Market";#N/A,#N/A,FALSE,"Engineering";#N/A,#N/A,FALSE,"Environmental";#N/A,#N/A,FALSE,"Appraisal";#N/A,#N/A,FALSE,"UW Income";#N/A,#N/A,FALSE,"UW Expenses";#N/A,#N/A,FALSE,"UW Reserves";#N/A,#N/A,FALSE,"Exit-Valuation";#N/A,#N/A,FALSE,"Strengths-Weaknesses";#N/A,#N/A,FALSE,"Recommendation"}</definedName>
    <definedName name="extra15" hidden="1">{#N/A,#N/A,FALSE,"Brief";#N/A,#N/A,FALSE,"Loan Purpose";#N/A,#N/A,FALSE,"Borrower";#N/A,#N/A,FALSE,"Sponsor";#N/A,#N/A,FALSE,"Site-Improvements";#N/A,#N/A,FALSE,"Manager";#N/A,#N/A,FALSE,"Tenancy-MF";#N/A,#N/A,FALSE,"Market";#N/A,#N/A,FALSE,"Engineering";#N/A,#N/A,FALSE,"Environmental";#N/A,#N/A,FALSE,"Appraisal";#N/A,#N/A,FALSE,"UW Income";#N/A,#N/A,FALSE,"UW Expenses";#N/A,#N/A,FALSE,"UW Reserves";#N/A,#N/A,FALSE,"Exit-Valuation";#N/A,#N/A,FALSE,"Strengths-Weaknesses";#N/A,#N/A,FALSE,"Recommendation"}</definedName>
    <definedName name="extra16" localSheetId="7" hidden="1">{#N/A,#N/A,TRUE,"Brief";#N/A,#N/A,TRUE,"Loan Purpose";#N/A,#N/A,TRUE,"Borrower";#N/A,#N/A,TRUE,"Sponsor";#N/A,#N/A,TRUE,"Site-Improvements";#N/A,#N/A,TRUE,"Manager";#N/A,#N/A,TRUE,"Tenancy-Comm";#N/A,#N/A,TRUE,"Engineering";#N/A,#N/A,TRUE,"Market";#N/A,#N/A,TRUE,"Environmental";#N/A,#N/A,TRUE,"Appraisal";#N/A,#N/A,TRUE,"UW Income";#N/A,#N/A,TRUE,"UW Expenses";#N/A,#N/A,TRUE,"UW Reserves";#N/A,#N/A,TRUE,"Exit-Valuation";#N/A,#N/A,TRUE,"Strengths-Weaknesses";#N/A,#N/A,TRUE,"Recommendation"}</definedName>
    <definedName name="extra16" hidden="1">{#N/A,#N/A,TRUE,"Brief";#N/A,#N/A,TRUE,"Loan Purpose";#N/A,#N/A,TRUE,"Borrower";#N/A,#N/A,TRUE,"Sponsor";#N/A,#N/A,TRUE,"Site-Improvements";#N/A,#N/A,TRUE,"Manager";#N/A,#N/A,TRUE,"Tenancy-Comm";#N/A,#N/A,TRUE,"Engineering";#N/A,#N/A,TRUE,"Market";#N/A,#N/A,TRUE,"Environmental";#N/A,#N/A,TRUE,"Appraisal";#N/A,#N/A,TRUE,"UW Income";#N/A,#N/A,TRUE,"UW Expenses";#N/A,#N/A,TRUE,"UW Reserves";#N/A,#N/A,TRUE,"Exit-Valuation";#N/A,#N/A,TRUE,"Strengths-Weaknesses";#N/A,#N/A,TRUE,"Recommendation"}</definedName>
    <definedName name="extra17" localSheetId="7" hidden="1">{#N/A,#N/A,TRUE,"Input";#N/A,#N/A,TRUE,"Op Stmt Reconciliation";#N/A,#N/A,TRUE,"RR Reconciliation";#N/A,#N/A,TRUE,"Rollover";#N/A,#N/A,TRUE,"Cash Flow Summary";#N/A,#N/A,TRUE,"Loan Analysis";#N/A,#N/A,TRUE,"Projection"}</definedName>
    <definedName name="extra17" hidden="1">{#N/A,#N/A,TRUE,"Input";#N/A,#N/A,TRUE,"Op Stmt Reconciliation";#N/A,#N/A,TRUE,"RR Reconciliation";#N/A,#N/A,TRUE,"Rollover";#N/A,#N/A,TRUE,"Cash Flow Summary";#N/A,#N/A,TRUE,"Loan Analysis";#N/A,#N/A,TRUE,"Projection"}</definedName>
    <definedName name="extra18" localSheetId="7" hidden="1">{#N/A,#N/A,FALSE,"Commercial Sizing";#N/A,#N/A,FALSE,"Pricing Matrix";#N/A,#N/A,FALSE,"Cash Flow (1)";#N/A,#N/A,FALSE,"Cash Flow (2)";#N/A,#N/A,FALSE,"Refinance Test";#N/A,#N/A,FALSE,"RentRoll";#N/A,#N/A,FALSE,"TI_LC"}</definedName>
    <definedName name="extra18" hidden="1">{#N/A,#N/A,FALSE,"Commercial Sizing";#N/A,#N/A,FALSE,"Pricing Matrix";#N/A,#N/A,FALSE,"Cash Flow (1)";#N/A,#N/A,FALSE,"Cash Flow (2)";#N/A,#N/A,FALSE,"Refinance Test";#N/A,#N/A,FALSE,"RentRoll";#N/A,#N/A,FALSE,"TI_LC"}</definedName>
    <definedName name="extra19" localSheetId="7" hidden="1">{#N/A,#N/A,TRUE,"Commercial Sizing";#N/A,#N/A,TRUE,"Cash Flow (1)";#N/A,#N/A,TRUE,"Cash Flow (2)";#N/A,#N/A,TRUE,"Refinance Test";#N/A,#N/A,TRUE,"RentRoll";#N/A,#N/A,TRUE,"TI_LC"}</definedName>
    <definedName name="extra19" hidden="1">{#N/A,#N/A,TRUE,"Commercial Sizing";#N/A,#N/A,TRUE,"Cash Flow (1)";#N/A,#N/A,TRUE,"Cash Flow (2)";#N/A,#N/A,TRUE,"Refinance Test";#N/A,#N/A,TRUE,"RentRoll";#N/A,#N/A,TRUE,"TI_LC"}</definedName>
    <definedName name="faadfa" hidden="1">#REF!</definedName>
    <definedName name="fafdasfda" localSheetId="7" hidden="1">{#N/A,#N/A,TRUE,"10 Yr Hold";#N/A,#N/A,TRUE,"7 Yr Hold";#N/A,#N/A,TRUE,"5 Yr Hold";#N/A,#N/A,TRUE,"3 Yr Hold"}</definedName>
    <definedName name="fafdasfda" hidden="1">{#N/A,#N/A,TRUE,"10 Yr Hold";#N/A,#N/A,TRUE,"7 Yr Hold";#N/A,#N/A,TRUE,"5 Yr Hold";#N/A,#N/A,TRUE,"3 Yr Hold"}</definedName>
    <definedName name="fasdfas" localSheetId="7" hidden="1">{#N/A,#N/A,TRUE,"10 Yr Hold";#N/A,#N/A,TRUE,"7 Yr Hold";#N/A,#N/A,TRUE,"5 Yr Hold";#N/A,#N/A,TRUE,"3 Yr Hold"}</definedName>
    <definedName name="fasdfas" hidden="1">{#N/A,#N/A,TRUE,"10 Yr Hold";#N/A,#N/A,TRUE,"7 Yr Hold";#N/A,#N/A,TRUE,"5 Yr Hold";#N/A,#N/A,TRUE,"3 Yr Hold"}</definedName>
    <definedName name="fbvc" localSheetId="7" hidden="1">{"NOPCAPEVA",#N/A,FALSE,"Nopat";"FCFCSTAR",#N/A,FALSE,"FCFVAL";"EVAVL",#N/A,FALSE,"EVAVAL";"LEASE",#N/A,FALSE,"OpLease"}</definedName>
    <definedName name="fbvc" hidden="1">{"NOPCAPEVA",#N/A,FALSE,"Nopat";"FCFCSTAR",#N/A,FALSE,"FCFVAL";"EVAVL",#N/A,FALSE,"EVAVAL";"LEASE",#N/A,FALSE,"OpLease"}</definedName>
    <definedName name="fd" hidden="1">#REF!</definedName>
    <definedName name="fdase" localSheetId="7" hidden="1">{"NOPCAPEVA",#N/A,FALSE,"Nopat";"FCFCSTAR",#N/A,FALSE,"FCFVAL";"EVAVL",#N/A,FALSE,"EVAVAL";"LEASE",#N/A,FALSE,"OpLease"}</definedName>
    <definedName name="fdase" hidden="1">{"NOPCAPEVA",#N/A,FALSE,"Nopat";"FCFCSTAR",#N/A,FALSE,"FCFVAL";"EVAVL",#N/A,FALSE,"EVAVAL";"LEASE",#N/A,FALSE,"OpLease"}</definedName>
    <definedName name="fdc" localSheetId="7" hidden="1">{"NOPCAPEVA",#N/A,FALSE,"Nopat";"FCFCSTAR",#N/A,FALSE,"FCFVAL";"EVAVL",#N/A,FALSE,"EVAVAL";"LEASE",#N/A,FALSE,"OpLease"}</definedName>
    <definedName name="fdc" hidden="1">{"NOPCAPEVA",#N/A,FALSE,"Nopat";"FCFCSTAR",#N/A,FALSE,"FCFVAL";"EVAVL",#N/A,FALSE,"EVAVAL";"LEASE",#N/A,FALSE,"OpLease"}</definedName>
    <definedName name="fdf" localSheetId="7" hidden="1">{"Full Sheet",#N/A,FALSE,"Expense Comparison"}</definedName>
    <definedName name="fdf" hidden="1">{"Full Sheet",#N/A,FALSE,"Expense Comparison"}</definedName>
    <definedName name="fdfd" hidden="1">#REF!</definedName>
    <definedName name="fdfdfd" localSheetId="7" hidden="1">{#N/A,#N/A,FALSE,"CAPREIT"}</definedName>
    <definedName name="fdfdfd" hidden="1">{#N/A,#N/A,FALSE,"CAPREIT"}</definedName>
    <definedName name="fdfdfd_1" localSheetId="7" hidden="1">{#N/A,#N/A,FALSE,"CAPREIT"}</definedName>
    <definedName name="fdfdfd_1" hidden="1">{#N/A,#N/A,FALSE,"CAPREIT"}</definedName>
    <definedName name="fdfdfd_1_1" localSheetId="7" hidden="1">{#N/A,#N/A,FALSE,"CAPREIT"}</definedName>
    <definedName name="fdfdfd_1_1" hidden="1">{#N/A,#N/A,FALSE,"CAPREIT"}</definedName>
    <definedName name="fdfdfd_2" localSheetId="7" hidden="1">{#N/A,#N/A,FALSE,"CAPREIT"}</definedName>
    <definedName name="fdfdfd_2" hidden="1">{#N/A,#N/A,FALSE,"CAPREIT"}</definedName>
    <definedName name="fdfdfd_3" localSheetId="7" hidden="1">{#N/A,#N/A,FALSE,"CAPREIT"}</definedName>
    <definedName name="fdfdfd_3" hidden="1">{#N/A,#N/A,FALSE,"CAPREIT"}</definedName>
    <definedName name="fdfdfd_4" localSheetId="7" hidden="1">{#N/A,#N/A,FALSE,"CAPREIT"}</definedName>
    <definedName name="fdfdfd_4" hidden="1">{#N/A,#N/A,FALSE,"CAPREIT"}</definedName>
    <definedName name="fdfdfd_5" localSheetId="7" hidden="1">{#N/A,#N/A,FALSE,"CAPREIT"}</definedName>
    <definedName name="fdfdfd_5" hidden="1">{#N/A,#N/A,FALSE,"CAPREIT"}</definedName>
    <definedName name="fdfdfdf" localSheetId="7" hidden="1">{#N/A,#N/A,FALSE,"CAPREIT"}</definedName>
    <definedName name="fdfdfdf" hidden="1">{#N/A,#N/A,FALSE,"CAPREIT"}</definedName>
    <definedName name="fdfdfdf_1" localSheetId="7" hidden="1">{#N/A,#N/A,FALSE,"CAPREIT"}</definedName>
    <definedName name="fdfdfdf_1" hidden="1">{#N/A,#N/A,FALSE,"CAPREIT"}</definedName>
    <definedName name="fdfdfdf_1_1" localSheetId="7" hidden="1">{#N/A,#N/A,FALSE,"CAPREIT"}</definedName>
    <definedName name="fdfdfdf_1_1" hidden="1">{#N/A,#N/A,FALSE,"CAPREIT"}</definedName>
    <definedName name="fdfdfdf_2" localSheetId="7" hidden="1">{#N/A,#N/A,FALSE,"CAPREIT"}</definedName>
    <definedName name="fdfdfdf_2" hidden="1">{#N/A,#N/A,FALSE,"CAPREIT"}</definedName>
    <definedName name="fdfdfdf_3" localSheetId="7" hidden="1">{#N/A,#N/A,FALSE,"CAPREIT"}</definedName>
    <definedName name="fdfdfdf_3" hidden="1">{#N/A,#N/A,FALSE,"CAPREIT"}</definedName>
    <definedName name="fdfdfdf_4" localSheetId="7" hidden="1">{#N/A,#N/A,FALSE,"CAPREIT"}</definedName>
    <definedName name="fdfdfdf_4" hidden="1">{#N/A,#N/A,FALSE,"CAPREIT"}</definedName>
    <definedName name="fdfdfdf_5" localSheetId="7" hidden="1">{#N/A,#N/A,FALSE,"CAPREIT"}</definedName>
    <definedName name="fdfdfdf_5" hidden="1">{#N/A,#N/A,FALSE,"CAPREIT"}</definedName>
    <definedName name="fdfghdf" localSheetId="7" hidden="1">{"inputs raw data",#N/A,TRUE,"INPUT"}</definedName>
    <definedName name="fdfghdf" hidden="1">{"inputs raw data",#N/A,TRUE,"INPUT"}</definedName>
    <definedName name="fds" localSheetId="7" hidden="1">{"Annual Cash Flows",#N/A,FALSE,"Annual Summary";"qtrl1",#N/A,FALSE,"QTLY Summary";"qtrl2",#N/A,FALSE,"QTLY Summary";"qtrl3",#N/A,FALSE,"QTLY Summary";"qtrl4",#N/A,FALSE,"QTLY Summary";"qtrl5",#N/A,FALSE,"QTLY Summary";"qtrl6",#N/A,FALSE,"QTLY Summary"}</definedName>
    <definedName name="fds" hidden="1">{"Annual Cash Flows",#N/A,FALSE,"Annual Summary";"qtrl1",#N/A,FALSE,"QTLY Summary";"qtrl2",#N/A,FALSE,"QTLY Summary";"qtrl3",#N/A,FALSE,"QTLY Summary";"qtrl4",#N/A,FALSE,"QTLY Summary";"qtrl5",#N/A,FALSE,"QTLY Summary";"qtrl6",#N/A,FALSE,"QTLY Summary"}</definedName>
    <definedName name="fdsa" localSheetId="7" hidden="1">{#N/A,#N/A,TRUE,"10 Yr Hold";#N/A,#N/A,TRUE,"7 Yr Hold";#N/A,#N/A,TRUE,"5 Yr Hold";#N/A,#N/A,TRUE,"3 Yr Hold"}</definedName>
    <definedName name="fdsa" hidden="1">{#N/A,#N/A,TRUE,"10 Yr Hold";#N/A,#N/A,TRUE,"7 Yr Hold";#N/A,#N/A,TRUE,"5 Yr Hold";#N/A,#N/A,TRUE,"3 Yr Hold"}</definedName>
    <definedName name="fdsafdfsa" localSheetId="7" hidden="1">{#N/A,#N/A,TRUE,"10 Yr Hold";#N/A,#N/A,TRUE,"7 Yr Hold";#N/A,#N/A,TRUE,"5 Yr Hold";#N/A,#N/A,TRUE,"3 Yr Hold"}</definedName>
    <definedName name="fdsafdfsa" hidden="1">{#N/A,#N/A,TRUE,"10 Yr Hold";#N/A,#N/A,TRUE,"7 Yr Hold";#N/A,#N/A,TRUE,"5 Yr Hold";#N/A,#N/A,TRUE,"3 Yr Hold"}</definedName>
    <definedName name="fdsafdsagsadgsa" localSheetId="7" hidden="1">{#N/A,#N/A,TRUE,"10 Yr Hold";#N/A,#N/A,TRUE,"7 Yr Hold";#N/A,#N/A,TRUE,"5 Yr Hold";#N/A,#N/A,TRUE,"3 Yr Hold"}</definedName>
    <definedName name="fdsafdsagsadgsa" hidden="1">{#N/A,#N/A,TRUE,"10 Yr Hold";#N/A,#N/A,TRUE,"7 Yr Hold";#N/A,#N/A,TRUE,"5 Yr Hold";#N/A,#N/A,TRUE,"3 Yr Hold"}</definedName>
    <definedName name="fdsafsad" localSheetId="7" hidden="1">{#N/A,#N/A,TRUE,"10 Yr Hold";#N/A,#N/A,TRUE,"7 Yr Hold";#N/A,#N/A,TRUE,"5 Yr Hold";#N/A,#N/A,TRUE,"3 Yr Hold"}</definedName>
    <definedName name="fdsafsad" hidden="1">{#N/A,#N/A,TRUE,"10 Yr Hold";#N/A,#N/A,TRUE,"7 Yr Hold";#N/A,#N/A,TRUE,"5 Yr Hold";#N/A,#N/A,TRUE,"3 Yr Hold"}</definedName>
    <definedName name="fdsfdsa" localSheetId="7" hidden="1">{#N/A,#N/A,FALSE,"II-2 POP.HH";#N/A,#N/A,FALSE,"II-3 AGE.DIST";#N/A,#N/A,FALSE,"II-4 HH.DIST";#N/A,#N/A,FALSE,"II-5 EMP.INDUS"}</definedName>
    <definedName name="fdsfdsa" hidden="1">{#N/A,#N/A,FALSE,"II-2 POP.HH";#N/A,#N/A,FALSE,"II-3 AGE.DIST";#N/A,#N/A,FALSE,"II-4 HH.DIST";#N/A,#N/A,FALSE,"II-5 EMP.INDUS"}</definedName>
    <definedName name="fdyhj" localSheetId="7" hidden="1">{"NOPCAPEVA",#N/A,FALSE,"Nopat";"FCFCSTAR",#N/A,FALSE,"FCFVAL";"EVAVL",#N/A,FALSE,"EVAVAL";"LEASE",#N/A,FALSE,"OpLease"}</definedName>
    <definedName name="fdyhj" hidden="1">{"NOPCAPEVA",#N/A,FALSE,"Nopat";"FCFCSTAR",#N/A,FALSE,"FCFVAL";"EVAVL",#N/A,FALSE,"EVAVAL";"LEASE",#N/A,FALSE,"OpLease"}</definedName>
    <definedName name="FEMAFloodHazard" hidden="1">#REF!</definedName>
    <definedName name="fenchuck" localSheetId="7" hidden="1">{#N/A,#N/A,FALSE,"el.det";#N/A,#N/A,FALSE,"mu.det";#N/A,#N/A,FALSE,"ug.det";#N/A,#N/A,FALSE,"ex.det";#N/A,#N/A,FALSE,"lux.det";#N/A,#N/A,FALSE,"custom.lot";#N/A,#N/A,FALSE,"condo.att";#N/A,#N/A,FALSE,"el.att";#N/A,#N/A,FALSE,"mu.att";#N/A,#N/A,FALSE,"ex.att";#N/A,#N/A,FALSE,"lux.att";#N/A,#N/A,FALSE,"all.by.village"}</definedName>
    <definedName name="fenchuck" hidden="1">{#N/A,#N/A,FALSE,"el.det";#N/A,#N/A,FALSE,"mu.det";#N/A,#N/A,FALSE,"ug.det";#N/A,#N/A,FALSE,"ex.det";#N/A,#N/A,FALSE,"lux.det";#N/A,#N/A,FALSE,"custom.lot";#N/A,#N/A,FALSE,"condo.att";#N/A,#N/A,FALSE,"el.att";#N/A,#N/A,FALSE,"mu.att";#N/A,#N/A,FALSE,"ex.att";#N/A,#N/A,FALSE,"lux.att";#N/A,#N/A,FALSE,"all.by.village"}</definedName>
    <definedName name="ff" localSheetId="7" hidden="1">{#N/A,#N/A,TRUE,"Summary";"AnnualRentRoll",#N/A,TRUE,"RentRoll";#N/A,#N/A,TRUE,"ExitStratigy";#N/A,#N/A,TRUE,"OperatingAssumptions"}</definedName>
    <definedName name="ff" hidden="1">{#N/A,#N/A,TRUE,"Summary";"AnnualRentRoll",#N/A,TRUE,"RentRoll";#N/A,#N/A,TRUE,"ExitStratigy";#N/A,#N/A,TRUE,"OperatingAssumptions"}</definedName>
    <definedName name="ffer" localSheetId="7" hidden="1">{"NOPCAPEVA",#N/A,FALSE,"Nopat";"FCFCSTAR",#N/A,FALSE,"FCFVAL";"EVAVL",#N/A,FALSE,"EVAVAL";"LEASE",#N/A,FALSE,"OpLease"}</definedName>
    <definedName name="ffer" hidden="1">{"NOPCAPEVA",#N/A,FALSE,"Nopat";"FCFCSTAR",#N/A,FALSE,"FCFVAL";"EVAVL",#N/A,FALSE,"EVAVAL";"LEASE",#N/A,FALSE,"OpLease"}</definedName>
    <definedName name="fferw" localSheetId="7" hidden="1">{#N/A,#N/A,FALSE,"Cover";#N/A,#N/A,FALSE,"Major v. River";#N/A,#N/A,FALSE,"Industry";#N/A,#N/A,FALSE,"Stock Val";#N/A,#N/A,FALSE,"EBITDA";#N/A,#N/A,FALSE,"EBITDA Growth";#N/A,#N/A,FALSE,"LV REt";#N/A,#N/A,FALSE,"AC Ret";#N/A,#N/A,FALSE,"River Ret";#N/A,#N/A,FALSE,"Executive";#N/A,#N/A,FALSE,"Demographics";#N/A,#N/A,FALSE,"Leisure";#N/A,#N/A,FALSE,"States";#N/A,#N/A,FALSE,"nongame";#N/A,#N/A,FALSE,"nongame2";#N/A,#N/A,FALSE,"Room Margin";#N/A,#N/A,FALSE,"Hyp Casino";#N/A,#N/A,FALSE,"lv gates";#N/A,#N/A,FALSE,"potential";#N/A,#N/A,FALSE,"Large Operators";#N/A,#N/A,FALSE,"Smaller Operators";#N/A,#N/A,FALSE,"Equip. Supply";#N/A,#N/A,FALSE,"LV Detail $1 Mil"}</definedName>
    <definedName name="fferw" hidden="1">{#N/A,#N/A,FALSE,"Cover";#N/A,#N/A,FALSE,"Major v. River";#N/A,#N/A,FALSE,"Industry";#N/A,#N/A,FALSE,"Stock Val";#N/A,#N/A,FALSE,"EBITDA";#N/A,#N/A,FALSE,"EBITDA Growth";#N/A,#N/A,FALSE,"LV REt";#N/A,#N/A,FALSE,"AC Ret";#N/A,#N/A,FALSE,"River Ret";#N/A,#N/A,FALSE,"Executive";#N/A,#N/A,FALSE,"Demographics";#N/A,#N/A,FALSE,"Leisure";#N/A,#N/A,FALSE,"States";#N/A,#N/A,FALSE,"nongame";#N/A,#N/A,FALSE,"nongame2";#N/A,#N/A,FALSE,"Room Margin";#N/A,#N/A,FALSE,"Hyp Casino";#N/A,#N/A,FALSE,"lv gates";#N/A,#N/A,FALSE,"potential";#N/A,#N/A,FALSE,"Large Operators";#N/A,#N/A,FALSE,"Smaller Operators";#N/A,#N/A,FALSE,"Equip. Supply";#N/A,#N/A,FALSE,"LV Detail $1 Mil"}</definedName>
    <definedName name="FFF" localSheetId="7" hidden="1">{"Data Input",#N/A,TRUE,"Data Input";"15-Yr Cash Flow",#N/A,TRUE,"Cash Flow";"15-Yr Value",#N/A,TRUE,"Value "}</definedName>
    <definedName name="FFF" hidden="1">{"Data Input",#N/A,TRUE,"Data Input";"15-Yr Cash Flow",#N/A,TRUE,"Cash Flow";"15-Yr Value",#N/A,TRUE,"Value "}</definedName>
    <definedName name="ffff" localSheetId="7" hidden="1">{"Data Input",#N/A,TRUE,"Data Input";"15-Yr Cash Flow",#N/A,TRUE,"Cash Flow";"15-Yr Value",#N/A,TRUE,"Value "}</definedName>
    <definedName name="ffff" hidden="1">{"Data Input",#N/A,TRUE,"Data Input";"15-Yr Cash Flow",#N/A,TRUE,"Cash Flow";"15-Yr Value",#N/A,TRUE,"Value "}</definedName>
    <definedName name="ffffff" localSheetId="7" hidden="1">{#N/A,#N/A,FALSE,"Cashflow Analysis";#N/A,#N/A,FALSE,"Sensitivity Analysis";#N/A,#N/A,FALSE,"PV";#N/A,#N/A,FALSE,"Pro Forma"}</definedName>
    <definedName name="ffffff" hidden="1">{#N/A,#N/A,FALSE,"Cashflow Analysis";#N/A,#N/A,FALSE,"Sensitivity Analysis";#N/A,#N/A,FALSE,"PV";#N/A,#N/A,FALSE,"Pro Forma"}</definedName>
    <definedName name="ffffff.2" localSheetId="7" hidden="1">{#N/A,#N/A,FALSE,"Cashflow Analysis";#N/A,#N/A,FALSE,"Sensitivity Analysis";#N/A,#N/A,FALSE,"PV";#N/A,#N/A,FALSE,"Pro Forma"}</definedName>
    <definedName name="ffffff.2" hidden="1">{#N/A,#N/A,FALSE,"Cashflow Analysis";#N/A,#N/A,FALSE,"Sensitivity Analysis";#N/A,#N/A,FALSE,"PV";#N/A,#N/A,FALSE,"Pro Forma"}</definedName>
    <definedName name="ffl" hidden="1">#REF!</definedName>
    <definedName name="ffw" hidden="1">#REF!</definedName>
    <definedName name="fg" localSheetId="7" hidden="1">{"CA Summary",#N/A,FALSE,"COMMON AREA EXPENSE SUMMARY";"CA Mainten",#N/A,FALSE,"COMMON AREA MAINTENANCE"}</definedName>
    <definedName name="fg" hidden="1">{"CA Summary",#N/A,FALSE,"COMMON AREA EXPENSE SUMMARY";"CA Mainten",#N/A,FALSE,"COMMON AREA MAINTENANCE"}</definedName>
    <definedName name="fgdfs" localSheetId="7" hidden="1">{"FORMULAS",#N/A,FALSE,"ESTIMATE"}</definedName>
    <definedName name="fgdfs" hidden="1">{"FORMULAS",#N/A,FALSE,"ESTIMATE"}</definedName>
    <definedName name="fi" hidden="1">#REF!</definedName>
    <definedName name="filler" localSheetId="7" hidden="1">{"Annual Cash Flows",#N/A,FALSE,"Annual Summary"}</definedName>
    <definedName name="filler" hidden="1">{"Annual Cash Flows",#N/A,FALSE,"Annual Summary"}</definedName>
    <definedName name="filler2" localSheetId="7" hidden="1">{"Assumptions",#N/A,FALSE,"Assumptions"}</definedName>
    <definedName name="filler2" hidden="1">{"Assumptions",#N/A,FALSE,"Assumptions"}</definedName>
    <definedName name="filler3" localSheetId="7" hidden="1">{"Construction Costs",#N/A,FALSE,"Total Costs"}</definedName>
    <definedName name="filler3" hidden="1">{"Construction Costs",#N/A,FALSE,"Total Costs"}</definedName>
    <definedName name="final" localSheetId="7" hidden="1">{"Main",#N/A,FALSE,"Wacker";"Main2",#N/A,FALSE,"Wacker";"Value",#N/A,FALSE,"Wacker";"Sensitivity",#N/A,FALSE,"Wacker";"Paine",#N/A,FALSE,"Wacker";"Quaker",#N/A,FALSE,"Wacker";"Wacker",#N/A,FALSE,"Wacker";"1900",#N/A,FALSE,"Wacker";"1901",#N/A,FALSE,"Wacker"}</definedName>
    <definedName name="final" hidden="1">{"Main",#N/A,FALSE,"Wacker";"Main2",#N/A,FALSE,"Wacker";"Value",#N/A,FALSE,"Wacker";"Sensitivity",#N/A,FALSE,"Wacker";"Paine",#N/A,FALSE,"Wacker";"Quaker",#N/A,FALSE,"Wacker";"Wacker",#N/A,FALSE,"Wacker";"1900",#N/A,FALSE,"Wacker";"1901",#N/A,FALSE,"Wacker"}</definedName>
    <definedName name="fioqpqoefjqpwf" localSheetId="7" hidden="1">{#N/A,#N/A,FALSE,"Anchor Summary";#N/A,#N/A,FALSE,"Anchor Main";#N/A,#N/A,FALSE,"Anchor Open";#N/A,#N/A,FALSE,"Anchor TradingYr1";#N/A,#N/A,FALSE,"Anchor Trading Yr2";#N/A,#N/A,FALSE,"Anchor Trading Yr3"}</definedName>
    <definedName name="fioqpqoefjqpwf" hidden="1">{#N/A,#N/A,FALSE,"Anchor Summary";#N/A,#N/A,FALSE,"Anchor Main";#N/A,#N/A,FALSE,"Anchor Open";#N/A,#N/A,FALSE,"Anchor TradingYr1";#N/A,#N/A,FALSE,"Anchor Trading Yr2";#N/A,#N/A,FALSE,"Anchor Trading Yr3"}</definedName>
    <definedName name="FirstLienPosition" hidden="1">#REF!</definedName>
    <definedName name="FirstMonthAbsorption" localSheetId="8">'General Inputs'!$N$46</definedName>
    <definedName name="FirstMonthAbsorption" localSheetId="7">#REF!</definedName>
    <definedName name="FirstMonthAbsorption">'General Inputs'!$N$46</definedName>
    <definedName name="FirstMortgageLoanNumber" hidden="1">#REF!</definedName>
    <definedName name="FirstMthLeasing">#REF!</definedName>
    <definedName name="FirstPaymentDueDate" hidden="1">#REF!</definedName>
    <definedName name="FirstUnits" localSheetId="20">#REF!</definedName>
    <definedName name="FirstUnits" localSheetId="7">#REF!</definedName>
    <definedName name="FirstUnits">'General Inputs'!$C$44</definedName>
    <definedName name="five" hidden="1">#REF!,#REF!,#REF!,#REF!,#REF!,#REF!,#REF!,#REF!</definedName>
    <definedName name="fixed_assets" localSheetId="7" hidden="1">{"Detailed",#N/A,FALSE,"Schedule4"}</definedName>
    <definedName name="fixed_assets" hidden="1">{"Detailed",#N/A,FALSE,"Schedule4"}</definedName>
    <definedName name="fjdjk" localSheetId="7" hidden="1">{#N/A,#N/A,FALSE,"Calculator"}</definedName>
    <definedName name="fjdjk" hidden="1">{#N/A,#N/A,FALSE,"Calculator"}</definedName>
    <definedName name="fjdjk1" localSheetId="7" hidden="1">{#N/A,#N/A,FALSE,"Calculator"}</definedName>
    <definedName name="fjdjk1" hidden="1">{#N/A,#N/A,FALSE,"Calculator"}</definedName>
    <definedName name="fjdjk1a" localSheetId="7" hidden="1">{#N/A,#N/A,FALSE,"Calculator"}</definedName>
    <definedName name="fjdjk1a" hidden="1">{#N/A,#N/A,FALSE,"Calculator"}</definedName>
    <definedName name="fjdjka" localSheetId="7" hidden="1">{#N/A,#N/A,FALSE,"Calculator"}</definedName>
    <definedName name="fjdjka" hidden="1">{#N/A,#N/A,FALSE,"Calculator"}</definedName>
    <definedName name="fjdjkl" localSheetId="7" hidden="1">{#N/A,#N/A,FALSE,"Calculator"}</definedName>
    <definedName name="fjdjkl" hidden="1">{#N/A,#N/A,FALSE,"Calculator"}</definedName>
    <definedName name="fjdjkla" localSheetId="7" hidden="1">{#N/A,#N/A,FALSE,"Calculator"}</definedName>
    <definedName name="fjdjkla" hidden="1">{#N/A,#N/A,FALSE,"Calculator"}</definedName>
    <definedName name="fksajf" localSheetId="7" hidden="1">{#N/A,#N/A,FALSE,"SCHEDULE A";"MINIMUM RENT",#N/A,FALSE,"SCHEDULES B &amp; C";"PERCENTAGE RENT",#N/A,FALSE,"SCHEDULES B &amp; C"}</definedName>
    <definedName name="fksajf" hidden="1">{#N/A,#N/A,FALSE,"SCHEDULE A";"MINIMUM RENT",#N/A,FALSE,"SCHEDULES B &amp; C";"PERCENTAGE RENT",#N/A,FALSE,"SCHEDULES B &amp; C"}</definedName>
    <definedName name="fl" hidden="1">#REF!</definedName>
    <definedName name="fldfjlsd" hidden="1">#N/A</definedName>
    <definedName name="fll" hidden="1">#REF!</definedName>
    <definedName name="flll" hidden="1">#REF!</definedName>
    <definedName name="FloodHazardInsuranceType" hidden="1">#REF!</definedName>
    <definedName name="Ford.Verkf" localSheetId="7" hidden="1">{"Kontenverteilung",#N/A,FALSE,"H A Ü"}</definedName>
    <definedName name="Ford.Verkf" hidden="1">{"Kontenverteilung",#N/A,FALSE,"H A Ü"}</definedName>
    <definedName name="ForderungenVerk" localSheetId="7" hidden="1">{"Alles",#N/A,FALSE,"H A Ü"}</definedName>
    <definedName name="ForderungenVerk" hidden="1">{"Alles",#N/A,FALSE,"H A Ü"}</definedName>
    <definedName name="forum" localSheetId="7" hidden="1">{#N/A,#N/A,FALSE,"RENT ROLL"}</definedName>
    <definedName name="forum" hidden="1">{#N/A,#N/A,FALSE,"RENT ROLL"}</definedName>
    <definedName name="FORUMfrontSHEET" localSheetId="7" hidden="1">{#N/A,#N/A,FALSE,"RENT ROLL"}</definedName>
    <definedName name="FORUMfrontSHEET" hidden="1">{#N/A,#N/A,FALSE,"RENT ROLL"}</definedName>
    <definedName name="freg" localSheetId="7" hidden="1">{"NOPCAPEVA",#N/A,FALSE,"Nopat";"FCFCSTAR",#N/A,FALSE,"FCFVAL";"EVAVL",#N/A,FALSE,"EVAVAL";"LEASE",#N/A,FALSE,"OpLease"}</definedName>
    <definedName name="freg" hidden="1">{"NOPCAPEVA",#N/A,FALSE,"Nopat";"FCFCSTAR",#N/A,FALSE,"FCFVAL";"EVAVL",#N/A,FALSE,"EVAVAL";"LEASE",#N/A,FALSE,"OpLease"}</definedName>
    <definedName name="FRONT" localSheetId="7" hidden="1">{#N/A,#N/A,FALSE,"RENT ROLL"}</definedName>
    <definedName name="FRONT" hidden="1">{#N/A,#N/A,FALSE,"RENT ROLL"}</definedName>
    <definedName name="fs" localSheetId="7" hidden="1">{#N/A,#N/A,TRUE,"Input";#N/A,#N/A,TRUE,"Op Stmt Reconciliation";#N/A,#N/A,TRUE,"RR Reconciliation";#N/A,#N/A,TRUE,"Rollover";#N/A,#N/A,TRUE,"Cash Flow Summary";#N/A,#N/A,TRUE,"Loan Analysis";#N/A,#N/A,TRUE,"Projection"}</definedName>
    <definedName name="fs" hidden="1">{#N/A,#N/A,TRUE,"Input";#N/A,#N/A,TRUE,"Op Stmt Reconciliation";#N/A,#N/A,TRUE,"RR Reconciliation";#N/A,#N/A,TRUE,"Rollover";#N/A,#N/A,TRUE,"Cash Flow Summary";#N/A,#N/A,TRUE,"Loan Analysis";#N/A,#N/A,TRUE,"Projection"}</definedName>
    <definedName name="fsa" localSheetId="7" hidden="1">{"AnnInc",#N/A,TRUE,"Inc";"QtrInc1",#N/A,TRUE,"Inc";"Balance",#N/A,TRUE,"Bal";"Cflow",#N/A,TRUE,"Cash"}</definedName>
    <definedName name="fsa" hidden="1">{"AnnInc",#N/A,TRUE,"Inc";"QtrInc1",#N/A,TRUE,"Inc";"Balance",#N/A,TRUE,"Bal";"Cflow",#N/A,TRUE,"Cash"}</definedName>
    <definedName name="fsf" localSheetId="7" hidden="1">{#N/A,#N/A,FALSE,"pop.hh";#N/A,#N/A,FALSE,"age.dist";#N/A,#N/A,FALSE,"hh.income";#N/A,#N/A,FALSE,"hh.chars"}</definedName>
    <definedName name="fsf" hidden="1">{#N/A,#N/A,FALSE,"pop.hh";#N/A,#N/A,FALSE,"age.dist";#N/A,#N/A,FALSE,"hh.income";#N/A,#N/A,FALSE,"hh.chars"}</definedName>
    <definedName name="fuckface" localSheetId="7" hidden="1">{#N/A,#N/A,FALSE,"Assumptions";#N/A,#N/A,FALSE,"Impact Assumptions";#N/A,#N/A,FALSE,"10-Yr - detail";#N/A,#N/A,FALSE,"1,5,10 yr comp";#N/A,#N/A,FALSE,"Lse-Exp.";#N/A,#N/A,FALSE,"Rent Roll";#N/A,#N/A,FALSE,"Historical (2)";#N/A,#N/A,FALSE,"RET's";#N/A,#N/A,FALSE,"Lease Rollover"}</definedName>
    <definedName name="fuckface" hidden="1">{#N/A,#N/A,FALSE,"Assumptions";#N/A,#N/A,FALSE,"Impact Assumptions";#N/A,#N/A,FALSE,"10-Yr - detail";#N/A,#N/A,FALSE,"1,5,10 yr comp";#N/A,#N/A,FALSE,"Lse-Exp.";#N/A,#N/A,FALSE,"Rent Roll";#N/A,#N/A,FALSE,"Historical (2)";#N/A,#N/A,FALSE,"RET's";#N/A,#N/A,FALSE,"Lease Rollover"}</definedName>
    <definedName name="FullyStabilizedMth">#REF!</definedName>
    <definedName name="g" localSheetId="7" hidden="1">{"mgmt forecast",#N/A,FALSE,"Mgmt Forecast";"dcf table",#N/A,FALSE,"Mgmt Forecast";"sensitivity",#N/A,FALSE,"Mgmt Forecast";"table inputs",#N/A,FALSE,"Mgmt Forecast";"calculations",#N/A,FALSE,"Mgmt Forecast"}</definedName>
    <definedName name="g" hidden="1">{"mgmt forecast",#N/A,FALSE,"Mgmt Forecast";"dcf table",#N/A,FALSE,"Mgmt Forecast";"sensitivity",#N/A,FALSE,"Mgmt Forecast";"table inputs",#N/A,FALSE,"Mgmt Forecast";"calculations",#N/A,FALSE,"Mgmt Forecast"}</definedName>
    <definedName name="gaa" localSheetId="7" hidden="1">{"AnnInc",#N/A,TRUE,"Inc";"QtrInc1",#N/A,TRUE,"Inc";"Balance",#N/A,TRUE,"Bal";"Cflow",#N/A,TRUE,"Cash"}</definedName>
    <definedName name="gaa" hidden="1">{"AnnInc",#N/A,TRUE,"Inc";"QtrInc1",#N/A,TRUE,"Inc";"Balance",#N/A,TRUE,"Bal";"Cflow",#N/A,TRUE,"Cash"}</definedName>
    <definedName name="GC3_Cash_Equity">#REF!</definedName>
    <definedName name="gea" localSheetId="7" hidden="1">{"NOPCAPEVA",#N/A,FALSE,"Nopat";"FCFCSTAR",#N/A,FALSE,"FCFVAL";"EVAVL",#N/A,FALSE,"EVAVAL";"LEASE",#N/A,FALSE,"OpLease"}</definedName>
    <definedName name="gea" hidden="1">{"NOPCAPEVA",#N/A,FALSE,"Nopat";"FCFCSTAR",#N/A,FALSE,"FCFVAL";"EVAVL",#N/A,FALSE,"EVAVAL";"LEASE",#N/A,FALSE,"OpLease"}</definedName>
    <definedName name="geaeadd" localSheetId="7" hidden="1">{"AnnInc",#N/A,TRUE,"Inc";"QtrInc1",#N/A,TRUE,"Inc";"Balance",#N/A,TRUE,"Bal";"Cflow",#N/A,TRUE,"Cash"}</definedName>
    <definedName name="geaeadd" hidden="1">{"AnnInc",#N/A,TRUE,"Inc";"QtrInc1",#N/A,TRUE,"Inc";"Balance",#N/A,TRUE,"Bal";"Cflow",#N/A,TRUE,"Cash"}</definedName>
    <definedName name="geda" localSheetId="7" hidden="1">{"AnnInc",#N/A,TRUE,"Inc";"QtrInc1",#N/A,TRUE,"Inc";"Balance",#N/A,TRUE,"Bal";"Cflow",#N/A,TRUE,"Cash"}</definedName>
    <definedName name="geda" hidden="1">{"AnnInc",#N/A,TRUE,"Inc";"QtrInc1",#N/A,TRUE,"Inc";"Balance",#N/A,TRUE,"Bal";"Cflow",#N/A,TRUE,"Cash"}</definedName>
    <definedName name="gegeg" localSheetId="7" hidden="1">{#N/A,#N/A,FALSE,"Cashflow Analysis";#N/A,#N/A,FALSE,"Sensitivity Analysis";#N/A,#N/A,FALSE,"PV";#N/A,#N/A,FALSE,"Pro Forma"}</definedName>
    <definedName name="gegeg" hidden="1">{#N/A,#N/A,FALSE,"Cashflow Analysis";#N/A,#N/A,FALSE,"Sensitivity Analysis";#N/A,#N/A,FALSE,"PV";#N/A,#N/A,FALSE,"Pro Forma"}</definedName>
    <definedName name="gegeg.2" localSheetId="7" hidden="1">{#N/A,#N/A,FALSE,"Cashflow Analysis";#N/A,#N/A,FALSE,"Sensitivity Analysis";#N/A,#N/A,FALSE,"PV";#N/A,#N/A,FALSE,"Pro Forma"}</definedName>
    <definedName name="gegeg.2" hidden="1">{#N/A,#N/A,FALSE,"Cashflow Analysis";#N/A,#N/A,FALSE,"Sensitivity Analysis";#N/A,#N/A,FALSE,"PV";#N/A,#N/A,FALSE,"Pro Forma"}</definedName>
    <definedName name="gesaa" localSheetId="7" hidden="1">{"NOPCAPEVA",#N/A,FALSE,"Nopat";"FCFCSTAR",#N/A,FALSE,"FCFVAL";"EVAVL",#N/A,FALSE,"EVAVAL";"LEASE",#N/A,FALSE,"OpLease"}</definedName>
    <definedName name="gesaa" hidden="1">{"NOPCAPEVA",#N/A,FALSE,"Nopat";"FCFCSTAR",#N/A,FALSE,"FCFVAL";"EVAVL",#N/A,FALSE,"EVAVAL";"LEASE",#N/A,FALSE,"OpLease"}</definedName>
    <definedName name="gfae" localSheetId="7" hidden="1">{"NOPCAPEVA",#N/A,FALSE,"Nopat";"FCFCSTAR",#N/A,FALSE,"FCFVAL";"EVAVL",#N/A,FALSE,"EVAVAL";"LEASE",#N/A,FALSE,"OpLease"}</definedName>
    <definedName name="gfae" hidden="1">{"NOPCAPEVA",#N/A,FALSE,"Nopat";"FCFCSTAR",#N/A,FALSE,"FCFVAL";"EVAVL",#N/A,FALSE,"EVAVAL";"LEASE",#N/A,FALSE,"OpLease"}</definedName>
    <definedName name="gfd" localSheetId="7" hidden="1">{#N/A,#N/A,FALSE,"Cashflow Analysis";#N/A,#N/A,FALSE,"Sensitivity Analysis";#N/A,#N/A,FALSE,"PV";#N/A,#N/A,FALSE,"Pro Forma"}</definedName>
    <definedName name="gfd" hidden="1">{#N/A,#N/A,FALSE,"Cashflow Analysis";#N/A,#N/A,FALSE,"Sensitivity Analysis";#N/A,#N/A,FALSE,"PV";#N/A,#N/A,FALSE,"Pro Forma"}</definedName>
    <definedName name="gfs" localSheetId="7" hidden="1">{"NOPCAPEVA",#N/A,FALSE,"Nopat";"FCFCSTAR",#N/A,FALSE,"FCFVAL";"EVAVL",#N/A,FALSE,"EVAVAL";"LEASE",#N/A,FALSE,"OpLease"}</definedName>
    <definedName name="gfs" hidden="1">{"NOPCAPEVA",#N/A,FALSE,"Nopat";"FCFCSTAR",#N/A,FALSE,"FCFVAL";"EVAVL",#N/A,FALSE,"EVAVAL";"LEASE",#N/A,FALSE,"OpLease"}</definedName>
    <definedName name="gg" localSheetId="7" hidden="1">{#N/A,#N/A,TRUE,"XL Cash Flow";#N/A,#N/A,TRUE,"Prop Valuation";#N/A,#N/A,TRUE,"Equity";#N/A,#N/A,TRUE,"Modeling assumptions";#N/A,#N/A,TRUE,"NER Model";#N/A,#N/A,TRUE,"Lease Exp";#N/A,#N/A,TRUE,"Inc &amp; Exp";#N/A,#N/A,TRUE,"Formatted - roll";#N/A,#N/A,TRUE,"Debt Model";#N/A,#N/A,TRUE,"Debt-Moody";#N/A,#N/A,TRUE,"Debt"}</definedName>
    <definedName name="gg" hidden="1">{#N/A,#N/A,TRUE,"XL Cash Flow";#N/A,#N/A,TRUE,"Prop Valuation";#N/A,#N/A,TRUE,"Equity";#N/A,#N/A,TRUE,"Modeling assumptions";#N/A,#N/A,TRUE,"NER Model";#N/A,#N/A,TRUE,"Lease Exp";#N/A,#N/A,TRUE,"Inc &amp; Exp";#N/A,#N/A,TRUE,"Formatted - roll";#N/A,#N/A,TRUE,"Debt Model";#N/A,#N/A,TRUE,"Debt-Moody";#N/A,#N/A,TRUE,"Debt"}</definedName>
    <definedName name="gg.2" localSheetId="7" hidden="1">{#N/A,#N/A,FALSE,"Cashflow Analysis";#N/A,#N/A,FALSE,"Sensitivity Analysis";#N/A,#N/A,FALSE,"PV";#N/A,#N/A,FALSE,"Pro Forma"}</definedName>
    <definedName name="gg.2" hidden="1">{#N/A,#N/A,FALSE,"Cashflow Analysis";#N/A,#N/A,FALSE,"Sensitivity Analysis";#N/A,#N/A,FALSE,"PV";#N/A,#N/A,FALSE,"Pro Forma"}</definedName>
    <definedName name="GGG" localSheetId="7" hidden="1">{"ODB",#N/A,FALSE,"Hold Scenario"}</definedName>
    <definedName name="GGG" hidden="1">{"ODB",#N/A,FALSE,"Hold Scenario"}</definedName>
    <definedName name="gggg" localSheetId="7" hidden="1">{"ODB",#N/A,FALSE,"Hold Scenario"}</definedName>
    <definedName name="gggg" hidden="1">{"ODB",#N/A,FALSE,"Hold Scenario"}</definedName>
    <definedName name="gggg2" localSheetId="7" hidden="1">{"View1",#N/A,FALSE,"Sheet1";"View2",#N/A,FALSE,"Sheet1"}</definedName>
    <definedName name="gggg2" hidden="1">{"View1",#N/A,FALSE,"Sheet1";"View2",#N/A,FALSE,"Sheet1"}</definedName>
    <definedName name="ggh" hidden="1">#REF!</definedName>
    <definedName name="gha" localSheetId="7" hidden="1">{"NOPCAPEVA",#N/A,FALSE,"Nopat";"FCFCSTAR",#N/A,FALSE,"FCFVAL";"EVAVL",#N/A,FALSE,"EVAVAL";"LEASE",#N/A,FALSE,"OpLease"}</definedName>
    <definedName name="gha" hidden="1">{"NOPCAPEVA",#N/A,FALSE,"Nopat";"FCFCSTAR",#N/A,FALSE,"FCFVAL";"EVAVL",#N/A,FALSE,"EVAVAL";"LEASE",#N/A,FALSE,"OpLease"}</definedName>
    <definedName name="gn" localSheetId="7" hidden="1">{#N/A,#N/A,FALSE,"OPERATING BUDGET 99";#N/A,#N/A,FALSE,"RECOVERY99"}</definedName>
    <definedName name="gn" hidden="1">{#N/A,#N/A,FALSE,"OPERATING BUDGET 99";#N/A,#N/A,FALSE,"RECOVERY99"}</definedName>
    <definedName name="go" localSheetId="7" hidden="1">{"Construction Costs",#N/A,FALSE,"Budget";"Income Statement",#N/A,FALSE,"Budget"}</definedName>
    <definedName name="go" hidden="1">{"Construction Costs",#N/A,FALSE,"Budget";"Income Statement",#N/A,FALSE,"Budget"}</definedName>
    <definedName name="graph" hidden="1">#REF!</definedName>
    <definedName name="graph." localSheetId="7" hidden="1">{#N/A,#N/A,FALSE,"Yield Graph"}</definedName>
    <definedName name="graph." hidden="1">{#N/A,#N/A,FALSE,"Yield Graph"}</definedName>
    <definedName name="graph2." localSheetId="7" hidden="1">{#N/A,#N/A,FALSE,"Yield Graph";#N/A,#N/A,FALSE,"Rent Roll";#N/A,#N/A,FALSE,"OE Yr1";#N/A,#N/A,FALSE,"Repl.Cst.+Ins."}</definedName>
    <definedName name="graph2." hidden="1">{#N/A,#N/A,FALSE,"Yield Graph";#N/A,#N/A,FALSE,"Rent Roll";#N/A,#N/A,FALSE,"OE Yr1";#N/A,#N/A,FALSE,"Repl.Cst.+Ins."}</definedName>
    <definedName name="graph3." localSheetId="7" hidden="1">{#N/A,#N/A,FALSE,"Yield Graph"}</definedName>
    <definedName name="graph3." hidden="1">{#N/A,#N/A,FALSE,"Yield Graph"}</definedName>
    <definedName name="grd" localSheetId="7" hidden="1">{"AnnInc",#N/A,TRUE,"Inc";"QtrInc1",#N/A,TRUE,"Inc";"Balance",#N/A,TRUE,"Bal";"Cflow",#N/A,TRUE,"Cash"}</definedName>
    <definedName name="grd" hidden="1">{"AnnInc",#N/A,TRUE,"Inc";"QtrInc1",#N/A,TRUE,"Inc";"Balance",#N/A,TRUE,"Bal";"Cflow",#N/A,TRUE,"Cash"}</definedName>
    <definedName name="greaedfd" localSheetId="7" hidden="1">{"AnnInc",#N/A,TRUE,"Inc";"QtrInc1",#N/A,TRUE,"Inc";"Balance",#N/A,TRUE,"Bal";"Cflow",#N/A,TRUE,"Cash"}</definedName>
    <definedName name="greaedfd" hidden="1">{"AnnInc",#N/A,TRUE,"Inc";"QtrInc1",#N/A,TRUE,"Inc";"Balance",#N/A,TRUE,"Bal";"Cflow",#N/A,TRUE,"Cash"}</definedName>
    <definedName name="GrossSF">#REF!</definedName>
    <definedName name="Ground_Lease" localSheetId="7" hidden="1">{#N/A,#N/A,FALSE,"Title Page";#N/A,#N/A,FALSE,"Index";#N/A,#N/A,FALSE,"Executive Summary";#N/A,#N/A,FALSE,"Building Areas";#N/A,#N/A,FALSE,"Construction Costs";#N/A,#N/A,FALSE,"Professional Fees";#N/A,#N/A,FALSE,"Marketing Fees";#N/A,#N/A,FALSE,"Finance";#N/A,#N/A,FALSE,"Rental Revenue";#N/A,#N/A,FALSE,"Lease Up Schedule";#N/A,#N/A,FALSE,"Profit";#N/A,#N/A,FALSE,"Cash Flow"}</definedName>
    <definedName name="Ground_Lease" hidden="1">{#N/A,#N/A,FALSE,"Title Page";#N/A,#N/A,FALSE,"Index";#N/A,#N/A,FALSE,"Executive Summary";#N/A,#N/A,FALSE,"Building Areas";#N/A,#N/A,FALSE,"Construction Costs";#N/A,#N/A,FALSE,"Professional Fees";#N/A,#N/A,FALSE,"Marketing Fees";#N/A,#N/A,FALSE,"Finance";#N/A,#N/A,FALSE,"Rental Revenue";#N/A,#N/A,FALSE,"Lease Up Schedule";#N/A,#N/A,FALSE,"Profit";#N/A,#N/A,FALSE,"Cash Flow"}</definedName>
    <definedName name="GrowthTable">'Development Inputs'!$A$171:$G$218</definedName>
    <definedName name="GSI.000.001" hidden="1">"64D6144FBFF2C1A67C9BBDDFE88F95D779FEDFE2062620855FDB9924310BB3CB3BB81BE0A67DAAC7C4C1CFF77E947E841034DAE8A8BEAF0C4CD0CABC50CAE55FCA8A34EC4F3B3662317088741C218380FE30F243F0F34380058BA01D3F184FBC"</definedName>
    <definedName name="gye" localSheetId="7" hidden="1">{"AnnInc",#N/A,TRUE,"Inc";"QtrInc1",#N/A,TRUE,"Inc";"Balance",#N/A,TRUE,"Bal";"Cflow",#N/A,TRUE,"Cash"}</definedName>
    <definedName name="gye" hidden="1">{"AnnInc",#N/A,TRUE,"Inc";"QtrInc1",#N/A,TRUE,"Inc";"Balance",#N/A,TRUE,"Bal";"Cflow",#N/A,TRUE,"Cash"}</definedName>
    <definedName name="h" hidden="1">#REF!</definedName>
    <definedName name="hallo" localSheetId="7" hidden="1">{"Kontenverteilung",#N/A,FALSE,"H A Ü"}</definedName>
    <definedName name="hallo" hidden="1">{"Kontenverteilung",#N/A,FALSE,"H A Ü"}</definedName>
    <definedName name="HAPMonthsRemaining" hidden="1">#REF!</definedName>
    <definedName name="HCGrowthToJV" localSheetId="20">#REF!</definedName>
    <definedName name="HCGrowthToJV" localSheetId="7">#REF!</definedName>
    <definedName name="HCGrowthToJV">'Development Inputs'!$R$171</definedName>
    <definedName name="hd" localSheetId="7" hidden="1">{#N/A,#N/A,FALSE,"OpEx (PP)";#N/A,#N/A,FALSE,"Lease Comps (O)-BT";#N/A,#N/A,FALSE,"OpEx (CC)";#N/A,#N/A,FALSE,"Value (PP-Base)";#N/A,#N/A,FALSE,"Value (CC-Base)";#N/A,#N/A,FALSE,"Sales Comps (R)";#N/A,#N/A,FALSE,"Sales Comps (O)"}</definedName>
    <definedName name="hd" hidden="1">{#N/A,#N/A,FALSE,"OpEx (PP)";#N/A,#N/A,FALSE,"Lease Comps (O)-BT";#N/A,#N/A,FALSE,"OpEx (CC)";#N/A,#N/A,FALSE,"Value (PP-Base)";#N/A,#N/A,FALSE,"Value (CC-Base)";#N/A,#N/A,FALSE,"Sales Comps (R)";#N/A,#N/A,FALSE,"Sales Comps (O)"}</definedName>
    <definedName name="hdee" localSheetId="7" hidden="1">{"AnnInc",#N/A,TRUE,"Inc";"QtrInc1",#N/A,TRUE,"Inc";"Balance",#N/A,TRUE,"Bal";"Cflow",#N/A,TRUE,"Cash"}</definedName>
    <definedName name="hdee" hidden="1">{"AnnInc",#N/A,TRUE,"Inc";"QtrInc1",#N/A,TRUE,"Inc";"Balance",#N/A,TRUE,"Bal";"Cflow",#N/A,TRUE,"Cash"}</definedName>
    <definedName name="hea" localSheetId="7" hidden="1">{"NOPCAPEVA",#N/A,FALSE,"Nopat";"FCFCSTAR",#N/A,FALSE,"FCFVAL";"EVAVL",#N/A,FALSE,"EVAVAL";"LEASE",#N/A,FALSE,"OpLease"}</definedName>
    <definedName name="hea" hidden="1">{"NOPCAPEVA",#N/A,FALSE,"Nopat";"FCFCSTAR",#N/A,FALSE,"FCFVAL";"EVAVL",#N/A,FALSE,"EVAVAL";"LEASE",#N/A,FALSE,"OpLease"}</definedName>
    <definedName name="help" localSheetId="7" hidden="1">{#N/A,#N/A,FALSE,"ZLDebtMaturity";#N/A,#N/A,FALSE,"FCDebtMaturity";#N/A,#N/A,FALSE,"ZM3DebtMaturity";#N/A,#N/A,FALSE,"ZM2DebtMaturity";#N/A,#N/A,FALSE,"zm1DebtMaturity";#N/A,#N/A,FALSE,"ConsZM123DebtMaturity"}</definedName>
    <definedName name="help" hidden="1">{#N/A,#N/A,FALSE,"ZLDebtMaturity";#N/A,#N/A,FALSE,"FCDebtMaturity";#N/A,#N/A,FALSE,"ZM3DebtMaturity";#N/A,#N/A,FALSE,"ZM2DebtMaturity";#N/A,#N/A,FALSE,"zm1DebtMaturity";#N/A,#N/A,FALSE,"ConsZM123DebtMaturity"}</definedName>
    <definedName name="help1" localSheetId="7" hidden="1">{#N/A,#N/A,FALSE,"ZLDebtMaturity";#N/A,#N/A,FALSE,"FCDebtMaturity";#N/A,#N/A,FALSE,"ZM3DebtMaturity";#N/A,#N/A,FALSE,"ZM2DebtMaturity";#N/A,#N/A,FALSE,"zm1DebtMaturity";#N/A,#N/A,FALSE,"ConsZM123DebtMaturity"}</definedName>
    <definedName name="help1" hidden="1">{#N/A,#N/A,FALSE,"ZLDebtMaturity";#N/A,#N/A,FALSE,"FCDebtMaturity";#N/A,#N/A,FALSE,"ZM3DebtMaturity";#N/A,#N/A,FALSE,"ZM2DebtMaturity";#N/A,#N/A,FALSE,"zm1DebtMaturity";#N/A,#N/A,FALSE,"ConsZM123DebtMaturity"}</definedName>
    <definedName name="hes" localSheetId="7" hidden="1">{"NOPCAPEVA",#N/A,FALSE,"Nopat";"FCFCSTAR",#N/A,FALSE,"FCFVAL";"EVAVL",#N/A,FALSE,"EVAVAL";"LEASE",#N/A,FALSE,"OpLease"}</definedName>
    <definedName name="hes" hidden="1">{"NOPCAPEVA",#N/A,FALSE,"Nopat";"FCFCSTAR",#N/A,FALSE,"FCFVAL";"EVAVL",#N/A,FALSE,"EVAVAL";"LEASE",#N/A,FALSE,"OpLease"}</definedName>
    <definedName name="hfea" localSheetId="7" hidden="1">{"NOPCAPEVA",#N/A,FALSE,"Nopat";"FCFCSTAR",#N/A,FALSE,"FCFVAL";"EVAVL",#N/A,FALSE,"EVAVAL";"LEASE",#N/A,FALSE,"OpLease"}</definedName>
    <definedName name="hfea" hidden="1">{"NOPCAPEVA",#N/A,FALSE,"Nopat";"FCFCSTAR",#N/A,FALSE,"FCFVAL";"EVAVL",#N/A,FALSE,"EVAVAL";"LEASE",#N/A,FALSE,"OpLease"}</definedName>
    <definedName name="HFH" localSheetId="7" hidden="1">{"print annual inc. statement",#N/A,FALSE,"Summary";"print annual stats",#N/A,FALSE,"Summary";"print quarterly inc. statement",#N/A,FALSE,"Summary";"print quarterly stats",#N/A,FALSE,"Summary"}</definedName>
    <definedName name="HFH" hidden="1">{"print annual inc. statement",#N/A,FALSE,"Summary";"print annual stats",#N/A,FALSE,"Summary";"print quarterly inc. statement",#N/A,FALSE,"Summary";"print quarterly stats",#N/A,FALSE,"Summary"}</definedName>
    <definedName name="hga" localSheetId="7" hidden="1">{"NOPCAPEVA",#N/A,FALSE,"Nopat";"FCFCSTAR",#N/A,FALSE,"FCFVAL";"EVAVL",#N/A,FALSE,"EVAVAL";"LEASE",#N/A,FALSE,"OpLease"}</definedName>
    <definedName name="hga" hidden="1">{"NOPCAPEVA",#N/A,FALSE,"Nopat";"FCFCSTAR",#N/A,FALSE,"FCFVAL";"EVAVL",#N/A,FALSE,"EVAVAL";"LEASE",#N/A,FALSE,"OpLease"}</definedName>
    <definedName name="hgfs" localSheetId="7" hidden="1">{"NOPCAPEVA",#N/A,FALSE,"Nopat";"FCFCSTAR",#N/A,FALSE,"FCFVAL";"EVAVL",#N/A,FALSE,"EVAVAL";"LEASE",#N/A,FALSE,"OpLease"}</definedName>
    <definedName name="hgfs" hidden="1">{"NOPCAPEVA",#N/A,FALSE,"Nopat";"FCFCSTAR",#N/A,FALSE,"FCFVAL";"EVAVL",#N/A,FALSE,"EVAVAL";"LEASE",#N/A,FALSE,"OpLease"}</definedName>
    <definedName name="hgj" localSheetId="7" hidden="1">{"Consolidated IS",#N/A,FALSE,"Consolidated IS";"Consolidated Detail IS",#N/A,FALSE,"Consolidated Detail IS";"Consolidated Detail Supplemental Info",#N/A,FALSE,"Consolidated Detail IS";"Consolidated CF",#N/A,FALSE,"Consolidated CF";"Consolidated BS",#N/A,FALSE,"Consolidated BS";"Consolidating 1999 Detail IS",#N/A,FALSE,"1999 Detail IS";"Consolidated 1999 Supplemental Info",#N/A,FALSE,"1999 Detail IS";"Consolidating 1998 Detail IS",#N/A,FALSE,"1998 Detail IS";"Consolidating 1998 Supplemental Info",#N/A,FALSE,"1998 Detail IS";"Consolidating 1997 Detail IS",#N/A,FALSE,"1997 Detail IS";"Consolidated 1997 Supplemental Info",#N/A,FALSE,"1997 Detail IS"}</definedName>
    <definedName name="hgj" hidden="1">{"Consolidated IS",#N/A,FALSE,"Consolidated IS";"Consolidated Detail IS",#N/A,FALSE,"Consolidated Detail IS";"Consolidated Detail Supplemental Info",#N/A,FALSE,"Consolidated Detail IS";"Consolidated CF",#N/A,FALSE,"Consolidated CF";"Consolidated BS",#N/A,FALSE,"Consolidated BS";"Consolidating 1999 Detail IS",#N/A,FALSE,"1999 Detail IS";"Consolidated 1999 Supplemental Info",#N/A,FALSE,"1999 Detail IS";"Consolidating 1998 Detail IS",#N/A,FALSE,"1998 Detail IS";"Consolidating 1998 Supplemental Info",#N/A,FALSE,"1998 Detail IS";"Consolidating 1997 Detail IS",#N/A,FALSE,"1997 Detail IS";"Consolidated 1997 Supplemental Info",#N/A,FALSE,"1997 Detail IS"}</definedName>
    <definedName name="hgr" localSheetId="7" hidden="1">{"NOPCAPEVA",#N/A,FALSE,"Nopat";"FCFCSTAR",#N/A,FALSE,"FCFVAL";"EVAVL",#N/A,FALSE,"EVAVAL";"LEASE",#N/A,FALSE,"OpLease"}</definedName>
    <definedName name="hgr" hidden="1">{"NOPCAPEVA",#N/A,FALSE,"Nopat";"FCFCSTAR",#N/A,FALSE,"FCFVAL";"EVAVL",#N/A,FALSE,"EVAVAL";"LEASE",#N/A,FALSE,"OpLease"}</definedName>
    <definedName name="hgre" localSheetId="7" hidden="1">{"AnnInc",#N/A,TRUE,"Inc";"QtrInc1",#N/A,TRUE,"Inc";"Balance",#N/A,TRUE,"Bal";"Cflow",#N/A,TRUE,"Cash"}</definedName>
    <definedName name="hgre" hidden="1">{"AnnInc",#N/A,TRUE,"Inc";"QtrInc1",#N/A,TRUE,"Inc";"Balance",#N/A,TRUE,"Bal";"Cflow",#N/A,TRUE,"Cash"}</definedName>
    <definedName name="hh" localSheetId="7" hidden="1">{#N/A,#N/A,FALSE,"Summary"}</definedName>
    <definedName name="hh" hidden="1">{#N/A,#N/A,FALSE,"Summary"}</definedName>
    <definedName name="hh_income_oc" localSheetId="7" hidden="1">{#N/A,#N/A,FALSE,"II-2 POP.HH";#N/A,#N/A,FALSE,"II-3 AGE.DIST";#N/A,#N/A,FALSE,"II-4 HH.DIST";#N/A,#N/A,FALSE,"II-5 EMP.INDUS"}</definedName>
    <definedName name="hh_income_oc" hidden="1">{#N/A,#N/A,FALSE,"II-2 POP.HH";#N/A,#N/A,FALSE,"II-3 AGE.DIST";#N/A,#N/A,FALSE,"II-4 HH.DIST";#N/A,#N/A,FALSE,"II-5 EMP.INDUS"}</definedName>
    <definedName name="HHH" localSheetId="7" hidden="1">{#N/A,#N/A,FALSE,"OpEx (PP)";#N/A,#N/A,FALSE,"Lease Comps (O)-BT";#N/A,#N/A,FALSE,"OpEx (CC)";#N/A,#N/A,FALSE,"Value (PP-Base)";#N/A,#N/A,FALSE,"Value (CC-Base)";#N/A,#N/A,FALSE,"Sales Comps (R)";#N/A,#N/A,FALSE,"Sales Comps (O)"}</definedName>
    <definedName name="HHH" hidden="1">{#N/A,#N/A,FALSE,"OpEx (PP)";#N/A,#N/A,FALSE,"Lease Comps (O)-BT";#N/A,#N/A,FALSE,"OpEx (CC)";#N/A,#N/A,FALSE,"Value (PP-Base)";#N/A,#N/A,FALSE,"Value (CC-Base)";#N/A,#N/A,FALSE,"Sales Comps (R)";#N/A,#N/A,FALSE,"Sales Comps (O)"}</definedName>
    <definedName name="hhhh" localSheetId="7" hidden="1">{#N/A,#N/A,FALSE,"OpEx (PP)";#N/A,#N/A,FALSE,"Lease Comps (O)-BT";#N/A,#N/A,FALSE,"OpEx (CC)";#N/A,#N/A,FALSE,"Value (PP-Base)";#N/A,#N/A,FALSE,"Value (CC-Base)";#N/A,#N/A,FALSE,"Sales Comps (R)";#N/A,#N/A,FALSE,"Sales Comps (O)"}</definedName>
    <definedName name="hhhh" hidden="1">{#N/A,#N/A,FALSE,"OpEx (PP)";#N/A,#N/A,FALSE,"Lease Comps (O)-BT";#N/A,#N/A,FALSE,"OpEx (CC)";#N/A,#N/A,FALSE,"Value (PP-Base)";#N/A,#N/A,FALSE,"Value (CC-Base)";#N/A,#N/A,FALSE,"Sales Comps (R)";#N/A,#N/A,FALSE,"Sales Comps (O)"}</definedName>
    <definedName name="hhjsjksa" hidden="1">#REF!</definedName>
    <definedName name="HighCostArea" hidden="1">#REF!</definedName>
    <definedName name="hiks" localSheetId="7" hidden="1">{#N/A,#N/A,FALSE,"II-2 POP.HH";#N/A,#N/A,FALSE,"II-3 AGE.DIST";#N/A,#N/A,FALSE,"II-4 HH.DIST";#N/A,#N/A,FALSE,"II-5 EMP.INDUS"}</definedName>
    <definedName name="hiks" hidden="1">{#N/A,#N/A,FALSE,"II-2 POP.HH";#N/A,#N/A,FALSE,"II-3 AGE.DIST";#N/A,#N/A,FALSE,"II-4 HH.DIST";#N/A,#N/A,FALSE,"II-5 EMP.INDUS"}</definedName>
    <definedName name="hjtsf" localSheetId="7" hidden="1">{"NOPCAPEVA",#N/A,FALSE,"Nopat";"FCFCSTAR",#N/A,FALSE,"FCFVAL";"EVAVL",#N/A,FALSE,"EVAVAL";"LEASE",#N/A,FALSE,"OpLease"}</definedName>
    <definedName name="hjtsf" hidden="1">{"NOPCAPEVA",#N/A,FALSE,"Nopat";"FCFCSTAR",#N/A,FALSE,"FCFVAL";"EVAVL",#N/A,FALSE,"EVAVAL";"LEASE",#N/A,FALSE,"OpLease"}</definedName>
    <definedName name="HMLkUp" hidden="1">#REF!</definedName>
    <definedName name="HMSeek" hidden="1">#REF!</definedName>
    <definedName name="hn._I006" hidden="1">#REF!</definedName>
    <definedName name="hn._I018" hidden="1">#REF!</definedName>
    <definedName name="hn._I024" hidden="1">#REF!</definedName>
    <definedName name="hn._I028" hidden="1">#REF!</definedName>
    <definedName name="hn._I029" hidden="1">#REF!</definedName>
    <definedName name="hn._I030" hidden="1">#REF!</definedName>
    <definedName name="hn._I031" hidden="1">#REF!</definedName>
    <definedName name="hn._I059" hidden="1">#REF!</definedName>
    <definedName name="hn._I071" hidden="1">#REF!</definedName>
    <definedName name="hn._I075" hidden="1">#REF!</definedName>
    <definedName name="hn._I083" hidden="1">#REF!</definedName>
    <definedName name="hn._I085" hidden="1">#REF!</definedName>
    <definedName name="hn._P001" hidden="1">#REF!</definedName>
    <definedName name="hn._P004" hidden="1">#REF!</definedName>
    <definedName name="hn._P014" hidden="1">#REF!</definedName>
    <definedName name="hn._P016" hidden="1">#REF!</definedName>
    <definedName name="hn._P021" hidden="1">#REF!</definedName>
    <definedName name="hn._P024" hidden="1">#REF!</definedName>
    <definedName name="hn.Add015" hidden="1">#REF!</definedName>
    <definedName name="hn.Delete015" hidden="1">#REF!,#REF!,#REF!,#REF!,#REF!</definedName>
    <definedName name="hn.ModelVersion" hidden="1">1</definedName>
    <definedName name="hn.NoUpload" hidden="1">0</definedName>
    <definedName name="hn.PrivateLTMYear" hidden="1">#REF!</definedName>
    <definedName name="hngdh" localSheetId="7" hidden="1">{"NOPCAPEVA",#N/A,FALSE,"Nopat";"FCFCSTAR",#N/A,FALSE,"FCFVAL";"EVAVL",#N/A,FALSE,"EVAVAL";"LEASE",#N/A,FALSE,"OpLease"}</definedName>
    <definedName name="hngdh" hidden="1">{"NOPCAPEVA",#N/A,FALSE,"Nopat";"FCFCSTAR",#N/A,FALSE,"FCFVAL";"EVAVL",#N/A,FALSE,"EVAVAL";"LEASE",#N/A,FALSE,"OpLease"}</definedName>
    <definedName name="hod" localSheetId="7" hidden="1">{#N/A,#N/A,FALSE,"TS";#N/A,#N/A,FALSE,"Combo";#N/A,#N/A,FALSE,"FAIR";#N/A,#N/A,FALSE,"RBC";#N/A,#N/A,FALSE,"xxxx";#N/A,#N/A,FALSE,"A_D";#N/A,#N/A,FALSE,"WACC";#N/A,#N/A,FALSE,"DCF";#N/A,#N/A,FALSE,"LBO";#N/A,#N/A,FALSE,"AcqMults";#N/A,#N/A,FALSE,"CompMults"}</definedName>
    <definedName name="hod" hidden="1">{#N/A,#N/A,FALSE,"TS";#N/A,#N/A,FALSE,"Combo";#N/A,#N/A,FALSE,"FAIR";#N/A,#N/A,FALSE,"RBC";#N/A,#N/A,FALSE,"xxxx";#N/A,#N/A,FALSE,"A_D";#N/A,#N/A,FALSE,"WACC";#N/A,#N/A,FALSE,"DCF";#N/A,#N/A,FALSE,"LBO";#N/A,#N/A,FALSE,"AcqMults";#N/A,#N/A,FALSE,"CompMults"}</definedName>
    <definedName name="hope" localSheetId="7" hidden="1">{#N/A,#N/A,FALSE,"LP Exp";#N/A,#N/A,FALSE,"Salary";#N/A,#N/A,FALSE,"Admin Exp";#N/A,#N/A,FALSE,"QTS Bud";#N/A,#N/A,FALSE,"Marketing"}</definedName>
    <definedName name="hope" hidden="1">{#N/A,#N/A,FALSE,"LP Exp";#N/A,#N/A,FALSE,"Salary";#N/A,#N/A,FALSE,"Admin Exp";#N/A,#N/A,FALSE,"QTS Bud";#N/A,#N/A,FALSE,"Marketing"}</definedName>
    <definedName name="hope_condo" localSheetId="7" hidden="1">{#N/A,#N/A,FALSE,"LP Exp";#N/A,#N/A,FALSE,"Salary";#N/A,#N/A,FALSE,"Admin Exp";#N/A,#N/A,FALSE,"QTS Bud";#N/A,#N/A,FALSE,"Marketing"}</definedName>
    <definedName name="hope_condo" hidden="1">{#N/A,#N/A,FALSE,"LP Exp";#N/A,#N/A,FALSE,"Salary";#N/A,#N/A,FALSE,"Admin Exp";#N/A,#N/A,FALSE,"QTS Bud";#N/A,#N/A,FALSE,"Marketing"}</definedName>
    <definedName name="houy" localSheetId="7" hidden="1">{#N/A,#N/A,FALSE,"AD_Purchase";#N/A,#N/A,FALSE,"Credit";#N/A,#N/A,FALSE,"PF Acquisition";#N/A,#N/A,FALSE,"PF Offering"}</definedName>
    <definedName name="houy" hidden="1">{#N/A,#N/A,FALSE,"AD_Purchase";#N/A,#N/A,FALSE,"Credit";#N/A,#N/A,FALSE,"PF Acquisition";#N/A,#N/A,FALSE,"PF Offering"}</definedName>
    <definedName name="hrd" localSheetId="7" hidden="1">{"NOPCAPEVA",#N/A,FALSE,"Nopat";"FCFCSTAR",#N/A,FALSE,"FCFVAL";"EVAVL",#N/A,FALSE,"EVAVAL";"LEASE",#N/A,FALSE,"OpLease"}</definedName>
    <definedName name="hrd" hidden="1">{"NOPCAPEVA",#N/A,FALSE,"Nopat";"FCFCSTAR",#N/A,FALSE,"FCFVAL";"EVAVL",#N/A,FALSE,"EVAVAL";"LEASE",#N/A,FALSE,"OpLease"}</definedName>
    <definedName name="hrea" localSheetId="7" hidden="1">{"NOPCAPEVA",#N/A,FALSE,"Nopat";"FCFCSTAR",#N/A,FALSE,"FCFVAL";"EVAVL",#N/A,FALSE,"EVAVAL";"LEASE",#N/A,FALSE,"OpLease"}</definedName>
    <definedName name="hrea" hidden="1">{"NOPCAPEVA",#N/A,FALSE,"Nopat";"FCFCSTAR",#N/A,FALSE,"FCFVAL";"EVAVL",#N/A,FALSE,"EVAVAL";"LEASE",#N/A,FALSE,"OpLease"}</definedName>
    <definedName name="hsfdhs" hidden="1">#REF!</definedName>
    <definedName name="htd" localSheetId="7" hidden="1">{"NOPCAPEVA",#N/A,FALSE,"Nopat";"FCFCSTAR",#N/A,FALSE,"FCFVAL";"EVAVL",#N/A,FALSE,"EVAVAL";"LEASE",#N/A,FALSE,"OpLease"}</definedName>
    <definedName name="htd" hidden="1">{"NOPCAPEVA",#N/A,FALSE,"Nopat";"FCFCSTAR",#N/A,FALSE,"FCFVAL";"EVAVL",#N/A,FALSE,"EVAVAL";"LEASE",#N/A,FALSE,"OpLease"}</definedName>
    <definedName name="html" localSheetId="7" hidden="1">{"'Assump'!$F$6:$J$6"}</definedName>
    <definedName name="html" hidden="1">{"'Assump'!$F$6:$J$6"}</definedName>
    <definedName name="HTML_CodePage" hidden="1">1252</definedName>
    <definedName name="HTML_Control" localSheetId="6" hidden="1">{"'Leverage'!$B$2:$M$418"}</definedName>
    <definedName name="HTML_Control" localSheetId="8" hidden="1">{"'Leverage'!$B$2:$M$418"}</definedName>
    <definedName name="HTML_Control" localSheetId="35" hidden="1">{"'Leverage'!$B$2:$M$418"}</definedName>
    <definedName name="HTML_Control" localSheetId="28" hidden="1">{"'Leverage'!$B$2:$M$418"}</definedName>
    <definedName name="HTML_Control" localSheetId="20" hidden="1">{"'Leverage'!$B$2:$M$418"}</definedName>
    <definedName name="HTML_Control" localSheetId="43" hidden="1">{"'Leverage'!$B$2:$M$418"}</definedName>
    <definedName name="HTML_Control" localSheetId="2" hidden="1">{"'Leverage'!$B$2:$M$418"}</definedName>
    <definedName name="HTML_Control" localSheetId="11" hidden="1">{"'Leverage'!$B$2:$M$418"}</definedName>
    <definedName name="HTML_Control" localSheetId="7" hidden="1">{"'Leverage'!$B$2:$M$418"}</definedName>
    <definedName name="HTML_Control" hidden="1">{"'Leverage'!$B$2:$M$418"}</definedName>
    <definedName name="HTML_Control1" localSheetId="7" hidden="1">{"'B-2 QSER Jun 98 4-27-98 cor'!$A$1:$F$57"}</definedName>
    <definedName name="HTML_Control1" hidden="1">{"'B-2 QSER Jun 98 4-27-98 cor'!$A$1:$F$57"}</definedName>
    <definedName name="HTML_Control2" localSheetId="7" hidden="1">{"'B-2 QSER Jun 98 4-27-98 cor'!$A$1:$F$57"}</definedName>
    <definedName name="HTML_Control2" hidden="1">{"'B-2 QSER Jun 98 4-27-98 cor'!$A$1:$F$57"}</definedName>
    <definedName name="HTML_Control5" localSheetId="7" hidden="1">{"'B-2 QSER Jun 98 4-27-98 cor'!$A$1:$F$57"}</definedName>
    <definedName name="HTML_Control5" hidden="1">{"'B-2 QSER Jun 98 4-27-98 cor'!$A$1:$F$57"}</definedName>
    <definedName name="HTML_Description" hidden="1">""</definedName>
    <definedName name="HTML_Email" hidden="1">""</definedName>
    <definedName name="HTML_Header" hidden="1">"Leverage"</definedName>
    <definedName name="HTML_LastUpdate" hidden="1">"8/21/00"</definedName>
    <definedName name="HTML_LineAfter" hidden="1">FALSE</definedName>
    <definedName name="HTML_LineBefore" hidden="1">FALSE</definedName>
    <definedName name="HTML_Name" hidden="1">"Frank Vickers"</definedName>
    <definedName name="HTML_OBDlg2" hidden="1">TRUE</definedName>
    <definedName name="HTML_OBDlg4" hidden="1">TRUE</definedName>
    <definedName name="HTML_OS" hidden="1">0</definedName>
    <definedName name="HTML_PathFile" hidden="1">"C:\my documents\lever.htm"</definedName>
    <definedName name="HTML_PathFileMac" hidden="1">"Powerbook G3:Documents:Core Docs 8600:Excel DOCUMENTS:STROLLER BUS:Admin/Other:Stroller Inventory Wkst:Contract Equip and Data.html"</definedName>
    <definedName name="HTML_Title" hidden="1">"leverage"</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Count" hidden="1">1</definedName>
    <definedName name="htmlnew" localSheetId="7" hidden="1">{"'Assump'!$F$6:$J$6"}</definedName>
    <definedName name="htmlnew" hidden="1">{"'Assump'!$F$6:$J$6"}</definedName>
    <definedName name="htr" localSheetId="7" hidden="1">{"NOPCAPEVA",#N/A,FALSE,"Nopat";"FCFCSTAR",#N/A,FALSE,"FCFVAL";"EVAVL",#N/A,FALSE,"EVAVAL";"LEASE",#N/A,FALSE,"OpLease"}</definedName>
    <definedName name="htr" hidden="1">{"NOPCAPEVA",#N/A,FALSE,"Nopat";"FCFCSTAR",#N/A,FALSE,"FCFVAL";"EVAVL",#N/A,FALSE,"EVAVAL";"LEASE",#N/A,FALSE,"OpLease"}</definedName>
    <definedName name="huh" localSheetId="7" hidden="1">{#N/A,#N/A,FALSE,"Assumptions";#N/A,#N/A,FALSE,"Impact Assumptions";#N/A,#N/A,FALSE,"10-Yr - detail";#N/A,#N/A,FALSE,"1,5,10 yr comp";#N/A,#N/A,FALSE,"Lse-Exp.";#N/A,#N/A,FALSE,"Rent Roll";#N/A,#N/A,FALSE,"Historical (2)";#N/A,#N/A,FALSE,"RET's";#N/A,#N/A,FALSE,"Lease Rollover"}</definedName>
    <definedName name="huh" hidden="1">{#N/A,#N/A,FALSE,"Assumptions";#N/A,#N/A,FALSE,"Impact Assumptions";#N/A,#N/A,FALSE,"10-Yr - detail";#N/A,#N/A,FALSE,"1,5,10 yr comp";#N/A,#N/A,FALSE,"Lse-Exp.";#N/A,#N/A,FALSE,"Rent Roll";#N/A,#N/A,FALSE,"Historical (2)";#N/A,#N/A,FALSE,"RET's";#N/A,#N/A,FALSE,"Lease Rollover"}</definedName>
    <definedName name="HVACC" localSheetId="7" hidden="1">{"CA Summary",#N/A,FALSE,"COMMON AREA EXPENSE SUMMARY";"CA Mainten",#N/A,FALSE,"COMMON AREA MAINTENANCE"}</definedName>
    <definedName name="HVACC" hidden="1">{"CA Summary",#N/A,FALSE,"COMMON AREA EXPENSE SUMMARY";"CA Mainten",#N/A,FALSE,"COMMON AREA MAINTENANCE"}</definedName>
    <definedName name="hyrt" localSheetId="7" hidden="1">{"NOPCAPEVA",#N/A,FALSE,"Nopat";"FCFCSTAR",#N/A,FALSE,"FCFVAL";"EVAVL",#N/A,FALSE,"EVAVAL";"LEASE",#N/A,FALSE,"OpLease"}</definedName>
    <definedName name="hyrt" hidden="1">{"NOPCAPEVA",#N/A,FALSE,"Nopat";"FCFCSTAR",#N/A,FALSE,"FCFVAL";"EVAVL",#N/A,FALSE,"EVAVAL";"LEASE",#N/A,FALSE,"OpLease"}</definedName>
    <definedName name="hytes" localSheetId="7" hidden="1">{"NOPCAPEVA",#N/A,FALSE,"Nopat";"FCFCSTAR",#N/A,FALSE,"FCFVAL";"EVAVL",#N/A,FALSE,"EVAVAL";"LEASE",#N/A,FALSE,"OpLease"}</definedName>
    <definedName name="hytes" hidden="1">{"NOPCAPEVA",#N/A,FALSE,"Nopat";"FCFCSTAR",#N/A,FALSE,"FCFVAL";"EVAVL",#N/A,FALSE,"EVAVAL";"LEASE",#N/A,FALSE,"OpLease"}</definedName>
    <definedName name="IdentityOfInterest" hidden="1">#REF!</definedName>
    <definedName name="ignore" localSheetId="7" hidden="1">{#N/A,#N/A,FALSE,"Cover";#N/A,#N/A,FALSE,"Cover2";#N/A,#N/A,FALSE,"Contents";#N/A,#N/A,FALSE,"Participant_Profile";#N/A,#N/A,FALSE,"Exp Sum";#N/A,#N/A,FALSE,"Dept Sum";#N/A,#N/A,FALSE,"Employee Sum";#N/A,#N/A,FALSE,"G&amp;A";#N/A,#N/A,FALSE,"Marketing, Development";#N/A,#N/A,FALSE,"Dietary";#N/A,#N/A,FALSE,"Activities";#N/A,#N/A,FALSE,"Housekeeping, Laundry";#N/A,#N/A,FALSE,"Maint,Grounds, Sec";#N/A,#N/A,FALSE,"Healthcare";#N/A,#N/A,FALSE,"Other";#N/A,#N/A,FALSE,"Employee"}</definedName>
    <definedName name="ignore" hidden="1">{#N/A,#N/A,FALSE,"Cover";#N/A,#N/A,FALSE,"Cover2";#N/A,#N/A,FALSE,"Contents";#N/A,#N/A,FALSE,"Participant_Profile";#N/A,#N/A,FALSE,"Exp Sum";#N/A,#N/A,FALSE,"Dept Sum";#N/A,#N/A,FALSE,"Employee Sum";#N/A,#N/A,FALSE,"G&amp;A";#N/A,#N/A,FALSE,"Marketing, Development";#N/A,#N/A,FALSE,"Dietary";#N/A,#N/A,FALSE,"Activities";#N/A,#N/A,FALSE,"Housekeeping, Laundry";#N/A,#N/A,FALSE,"Maint,Grounds, Sec";#N/A,#N/A,FALSE,"Healthcare";#N/A,#N/A,FALSE,"Other";#N/A,#N/A,FALSE,"Employee"}</definedName>
    <definedName name="IHMConsultant" hidden="1">#REF!</definedName>
    <definedName name="IHMFirstProjected" hidden="1">#REF!</definedName>
    <definedName name="IHMLastHistoric" hidden="1">#REF!</definedName>
    <definedName name="IHMLocation" hidden="1">#REF!</definedName>
    <definedName name="IHMModelVersion" hidden="1">#REF!</definedName>
    <definedName name="IHMNumRooms" hidden="1">#REF!</definedName>
    <definedName name="IHMPrintCF1" hidden="1">#REF!</definedName>
    <definedName name="IHMPrintMR1" hidden="1">#REF!</definedName>
    <definedName name="IHMPrintMR2" hidden="1">#REF!</definedName>
    <definedName name="IHMPrintPO1" hidden="1">#REF!</definedName>
    <definedName name="IHMPrintPO2" hidden="1">#REF!</definedName>
    <definedName name="IHMPrintPO3" hidden="1">#REF!</definedName>
    <definedName name="IHMPrintPR1" hidden="1">#REF!</definedName>
    <definedName name="IHMPrintVAL1" hidden="1">#REF!</definedName>
    <definedName name="IHMPrintVAL2" hidden="1">#REF!</definedName>
    <definedName name="IHMProjectCity" hidden="1">#REF!</definedName>
    <definedName name="IHMProjectName" hidden="1">#REF!</definedName>
    <definedName name="IHMProjectState" hidden="1">#REF!</definedName>
    <definedName name="IHMPropertyLocation" hidden="1">#REF!</definedName>
    <definedName name="IHMReviewer" hidden="1">#REF!</definedName>
    <definedName name="III" localSheetId="7" hidden="1">{#N/A,#N/A,FALSE,"1_Executive Summary";#N/A,#N/A,FALSE,"2_Assumptions";#N/A,#N/A,FALSE,"3_Footnotes";#N/A,#N/A,FALSE,"4_Cash Flow";#N/A,#N/A,FALSE,"6_Residual - Marketing";#N/A,#N/A,FALSE,"7_Residual Matrix";#N/A,#N/A,FALSE,"8_Pricing Matrix";#N/A,#N/A,FALSE,"9_Value Matrix";#N/A,#N/A,FALSE,"10_Vacancy Detail";#N/A,#N/A,FALSE,"11_Basic Expiration"}</definedName>
    <definedName name="III" hidden="1">{#N/A,#N/A,FALSE,"1_Executive Summary";#N/A,#N/A,FALSE,"2_Assumptions";#N/A,#N/A,FALSE,"3_Footnotes";#N/A,#N/A,FALSE,"4_Cash Flow";#N/A,#N/A,FALSE,"6_Residual - Marketing";#N/A,#N/A,FALSE,"7_Residual Matrix";#N/A,#N/A,FALSE,"8_Pricing Matrix";#N/A,#N/A,FALSE,"9_Value Matrix";#N/A,#N/A,FALSE,"10_Vacancy Detail";#N/A,#N/A,FALSE,"11_Basic Expiration"}</definedName>
    <definedName name="iiii" localSheetId="7" hidden="1">{#N/A,#N/A,FALSE,"1_Executive Summary";#N/A,#N/A,FALSE,"2_Assumptions";#N/A,#N/A,FALSE,"3_Footnotes";#N/A,#N/A,FALSE,"4_Cash Flow";#N/A,#N/A,FALSE,"6_Residual - Marketing";#N/A,#N/A,FALSE,"7_Residual Matrix";#N/A,#N/A,FALSE,"8_Pricing Matrix";#N/A,#N/A,FALSE,"9_Value Matrix";#N/A,#N/A,FALSE,"10_Vacancy Detail";#N/A,#N/A,FALSE,"11_Basic Expiration"}</definedName>
    <definedName name="iiii" hidden="1">{#N/A,#N/A,FALSE,"1_Executive Summary";#N/A,#N/A,FALSE,"2_Assumptions";#N/A,#N/A,FALSE,"3_Footnotes";#N/A,#N/A,FALSE,"4_Cash Flow";#N/A,#N/A,FALSE,"6_Residual - Marketing";#N/A,#N/A,FALSE,"7_Residual Matrix";#N/A,#N/A,FALSE,"8_Pricing Matrix";#N/A,#N/A,FALSE,"9_Value Matrix";#N/A,#N/A,FALSE,"10_Vacancy Detail";#N/A,#N/A,FALSE,"11_Basic Expiration"}</definedName>
    <definedName name="ikghjf" localSheetId="7" hidden="1">{"NOPCAPEVA",#N/A,FALSE,"Nopat";"FCFCSTAR",#N/A,FALSE,"FCFVAL";"EVAVL",#N/A,FALSE,"EVAVAL";"LEASE",#N/A,FALSE,"OpLease"}</definedName>
    <definedName name="ikghjf" hidden="1">{"NOPCAPEVA",#N/A,FALSE,"Nopat";"FCFCSTAR",#N/A,FALSE,"FCFVAL";"EVAVL",#N/A,FALSE,"EVAVAL";"LEASE",#N/A,FALSE,"OpLease"}</definedName>
    <definedName name="ikut" localSheetId="7" hidden="1">{"NOPCAPEVA",#N/A,FALSE,"Nopat";"FCFCSTAR",#N/A,FALSE,"FCFVAL";"EVAVL",#N/A,FALSE,"EVAVAL";"LEASE",#N/A,FALSE,"OpLease"}</definedName>
    <definedName name="ikut" hidden="1">{"NOPCAPEVA",#N/A,FALSE,"Nopat";"FCFCSTAR",#N/A,FALSE,"FCFVAL";"EVAVL",#N/A,FALSE,"EVAVAL";"LEASE",#N/A,FALSE,"OpLease"}</definedName>
    <definedName name="immediate" localSheetId="7" hidden="1">{"sheet a",#N/A,FALSE,"A";"2 9 casflow",#N/A,FALSE,"B"}</definedName>
    <definedName name="immediate" hidden="1">{"sheet a",#N/A,FALSE,"A";"2 9 casflow",#N/A,FALSE,"B"}</definedName>
    <definedName name="Indicators">#REF!</definedName>
    <definedName name="InPlaceRecovery" hidden="1">#REF!</definedName>
    <definedName name="InputDisp" hidden="1">#REF!</definedName>
    <definedName name="InsRec" localSheetId="7" hidden="1">{#N/A,#N/A,FALSE,"OPERATING BUDGET 99";#N/A,#N/A,FALSE,"RECOVERY99"}</definedName>
    <definedName name="InsRec" hidden="1">{#N/A,#N/A,FALSE,"OPERATING BUDGET 99";#N/A,#N/A,FALSE,"RECOVERY99"}</definedName>
    <definedName name="Insurance" localSheetId="20">#REF!</definedName>
    <definedName name="Insurance" localSheetId="7">#REF!</definedName>
    <definedName name="Insurance">'Operating Inputs'!$F$126</definedName>
    <definedName name="InsuranceMth">#REF!</definedName>
    <definedName name="InterestOnlyEndDate" hidden="1">#REF!</definedName>
    <definedName name="InterestOnlyPeriod" hidden="1">#REF!</definedName>
    <definedName name="IntroPrintArea" hidden="1">#REF!</definedName>
    <definedName name="IQ_0_PCT_RISK_WEIGHT_TOTAL_THRIFT" hidden="1">"c25055"</definedName>
    <definedName name="IQ_1_4_CONSTRUCTION_GROSS_LOANS_FFIEC" hidden="1">"c13402"</definedName>
    <definedName name="IQ_1_4_CONSTRUCTION_LL_REC_DOM_FFIEC" hidden="1">"c12899"</definedName>
    <definedName name="IQ_1_4_CONSTRUCTION_LOAN_COMMITMENTS_UNUSED_FFIEC" hidden="1">"c13244"</definedName>
    <definedName name="IQ_1_4_CONSTRUCTION_LOANS_DUE_30_89_FFIEC" hidden="1">"c13257"</definedName>
    <definedName name="IQ_1_4_CONSTRUCTION_LOANS_DUE_90_FFIEC" hidden="1">"c13285"</definedName>
    <definedName name="IQ_1_4_CONSTRUCTION_LOANS_NON_ACCRUAL_FFIEC" hidden="1">"c13311"</definedName>
    <definedName name="IQ_1_4_CONSTRUCTION_RISK_BASED_FFIEC" hidden="1">"c13423"</definedName>
    <definedName name="IQ_1_4_DWELLING_UNITS_CONSTRUCTION_MORTGAGE_LOANS_ADJUSTED_NCOS_TOTAL_THRIFT" hidden="1">"c25200"</definedName>
    <definedName name="IQ_1_4_DWELLING_UNITS_CONSTRUCTION_MORTGAGE_LOANS_GVA_CHARGE_OFFS_THRIFT" hidden="1">"c25115"</definedName>
    <definedName name="IQ_1_4_DWELLING_UNITS_CONSTRUCTION_MORTGAGE_LOANS_GVA_RECOVERIES_THRIFT" hidden="1">"c25146"</definedName>
    <definedName name="IQ_1_4_DWELLING_UNITS_CONSTRUCTION_MORTGAGE_LOANS_SVA_PROVISIONS_TRANSFERS_FROM_GVA_TOTAL_THRIFT" hidden="1">"c25169"</definedName>
    <definedName name="IQ_1_4_DWELLING_UNITS_REVOLVING_OPEN_END_PML_ADJUSTED_NCOS_TOTAL_THRIFT" hidden="1">"c25203"</definedName>
    <definedName name="IQ_1_4_DWELLING_UNITS_REVOLVING_OPEN_END_PML_GVA_CHARGE_OFFS_THRIFT" hidden="1">"c25118"</definedName>
    <definedName name="IQ_1_4_DWELLING_UNITS_REVOLVING_OPEN_END_PML_GVA_RECOVERIES_THRIFT" hidden="1">"c25149"</definedName>
    <definedName name="IQ_1_4_DWELLING_UNITS_REVOLVING_OPEN_END_PML_SVA_PROVISIONS_TRANSFERS_FROM_GVA_TOTAL_THRIFT" hidden="1">"c25172"</definedName>
    <definedName name="IQ_1_4_DWELLING_UNITS_SECURED_FIRST_LIENS_IN_PROCESS_FORECLOSURE_THRIFT" hidden="1">"c25305"</definedName>
    <definedName name="IQ_1_4_DWELLING_UNITS_SECURED_FIRST_LIENS_PML_ADJUSTED_NCOS_TOTAL_THRIFT" hidden="1">"c25204"</definedName>
    <definedName name="IQ_1_4_DWELLING_UNITS_SECURED_FIRST_LIENS_PML_GVA_CHARGE_OFFS_THRIFT" hidden="1">"c25119"</definedName>
    <definedName name="IQ_1_4_DWELLING_UNITS_SECURED_FIRST_LIENS_PML_GVA_RECOVERIES_THRIFT" hidden="1">"c25150"</definedName>
    <definedName name="IQ_1_4_DWELLING_UNITS_SECURED_FIRST_LIENS_PML_SVA_PROVISIONS_TRANSFERS_FROM_GVA_TOTAL_THRIFT" hidden="1">"c25173"</definedName>
    <definedName name="IQ_1_4_DWELLING_UNITS_SECURED_JUNIOR_LIENS_IN_PROCESS_FORECLOSURE_THRIFT" hidden="1">"c25306"</definedName>
    <definedName name="IQ_1_4_DWELLING_UNITS_SECURED_JUNIOR_LIENS_PML_ADJUSTED_NCOS_TOTAL_THRIFT" hidden="1">"c25205"</definedName>
    <definedName name="IQ_1_4_DWELLING_UNITS_SECURED_JUNIOR_LIENS_PML_GVA_CHARGE_OFFS_THRIFT" hidden="1">"c25120"</definedName>
    <definedName name="IQ_1_4_DWELLING_UNITS_SECURED_JUNIOR_LIENS_PML_GVA_RECOVERIES_THRIFT" hidden="1">"c25151"</definedName>
    <definedName name="IQ_1_4_DWELLING_UNITS_SECURED_JUNIOR_LIENS_PML_SVA_PROVISIONS_TRANSFERS_FROM_GVA_TOTAL_THRIFT" hidden="1">"c25174"</definedName>
    <definedName name="IQ_1_4_DWELLING_UNITS_SECURED_REVOLVING_OPEN_END_LOANS_IN_PROCESS_FORECLOSURE_THRIFT" hidden="1">"c25304"</definedName>
    <definedName name="IQ_1_4_FAMILY_CONSTRUCTION_LOANS_GROSS_LOANS_THRIFT" hidden="1">"c25727"</definedName>
    <definedName name="IQ_1_4_FAMILY_CONSTRUCTION_LOANS_RISK_BASED_CAPITAL_THRIFT" hidden="1">"c25712"</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RES_DOM_FFIEC" hidden="1">"c15269"</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100_PCT_RISK_WEIGHT_TOTAL_THRIFT" hidden="1">"c25073"</definedName>
    <definedName name="IQ_20_PCT_RISK_WEIGHT_TOTAL_THRIFT" hidden="1">"c25062"</definedName>
    <definedName name="IQ_30YR_FIXED_MORTGAGE" hidden="1">"c6811"</definedName>
    <definedName name="IQ_30YR_FIXED_MORTGAGE_FC" hidden="1">"c7691"</definedName>
    <definedName name="IQ_30YR_FIXED_MORTGAGE_POP" hidden="1">"c7031"</definedName>
    <definedName name="IQ_30YR_FIXED_MORTGAGE_POP_FC" hidden="1">"c7911"</definedName>
    <definedName name="IQ_30YR_FIXED_MORTGAGE_YOY" hidden="1">"c7251"</definedName>
    <definedName name="IQ_30YR_FIXED_MORTGAGE_YOY_FC" hidden="1">"c8131"</definedName>
    <definedName name="IQ_50_PCT_RISK_WEIGHT_TOTAL_THRIFT" hidden="1">"c25069"</definedName>
    <definedName name="IQ_ABS_AFS_AMORT_COST_FFIEC" hidden="1">"c20499"</definedName>
    <definedName name="IQ_ABS_AFS_FAIR_VAL_FFIEC" hidden="1">"c20464"</definedName>
    <definedName name="IQ_ABS_AVAIL_SALE_FFIEC" hidden="1">"c12802"</definedName>
    <definedName name="IQ_ABS_FFIEC" hidden="1">"c12788"</definedName>
    <definedName name="IQ_ABS_HTM_AMORT_COST_FFIEC" hidden="1">"c20447"</definedName>
    <definedName name="IQ_ABS_HTM_FAIR_VAL_FFIEC" hidden="1">"c20482"</definedName>
    <definedName name="IQ_ABS_INVEST_SECURITIES_FFIEC" hidden="1">"c13461"</definedName>
    <definedName name="IQ_ABS_PERIOD" hidden="1">"c13823"</definedName>
    <definedName name="IQ_ABS_PERIOD_EST" hidden="1">"c16122"</definedName>
    <definedName name="IQ_ACCEPTANCES_OTHER_FOREIGN_BANKS_LL_REC_FFIEC" hidden="1">"c15293"</definedName>
    <definedName name="IQ_ACCEPTANCES_OTHER_US_BANKS_LL_REC_FFIEC" hidden="1">"c15292"</definedName>
    <definedName name="IQ_ACCOUNT_CHANGE" hidden="1">"c413"</definedName>
    <definedName name="IQ_ACCOUNT_CODE_INTEREST_PENALTIES" hidden="1">"c15741"</definedName>
    <definedName name="IQ_Account_delta" hidden="1">"c413"</definedName>
    <definedName name="IQ_ACCOUNTING_FFIEC" hidden="1">"c13054"</definedName>
    <definedName name="IQ_ACCOUNTING_STANDARD" hidden="1">"c4539"</definedName>
    <definedName name="IQ_ACCOUNTING_STANDARD_CIQ" hidden="1">"c5092"</definedName>
    <definedName name="IQ_ACCOUNTING_STANDARD_CIQ_COL" hidden="1">"c11739"</definedName>
    <definedName name="IQ_ACCOUNTS_PAY" hidden="1">"c32"</definedName>
    <definedName name="IQ_ACCOUNTS_PAYABLE_THRIFT" hidden="1">"c24910"</definedName>
    <definedName name="IQ_ACCR_INT_PAY" hidden="1">"c1"</definedName>
    <definedName name="IQ_ACCR_INT_PAY_CF" hidden="1">"c2"</definedName>
    <definedName name="IQ_ACCR_INT_RECEIV" hidden="1">"c3"</definedName>
    <definedName name="IQ_ACCR_INT_RECEIV_CF" hidden="1">"c4"</definedName>
    <definedName name="IQ_ACCRUED_EXP" hidden="1">"c8"</definedName>
    <definedName name="IQ_ACCRUED_INT_PAYABLE_DEPOSITS_THRIFT" hidden="1">"c24907"</definedName>
    <definedName name="IQ_ACCRUED_INT_PAYABLE_THRIFT" hidden="1">"c24906"</definedName>
    <definedName name="IQ_ACCRUED_INT_RECEIVABLE_MBS_THRIFT" hidden="1">"c24836"</definedName>
    <definedName name="IQ_ACCRUED_INT_RECEIVABLE_THRIFT" hidden="1">"c24827"</definedName>
    <definedName name="IQ_ACCRUED_INTEREST_RECEIVABLE_FFIEC" hidden="1">"c12842"</definedName>
    <definedName name="IQ_ACCRUED_MORTGAGE_INT_RECEIVABLE_THRIFT" hidden="1">"c24849"</definedName>
    <definedName name="IQ_ACCRUED_NON_MORTGAGE_INT_RECEIVABLE_THRIFT" hidden="1">"c24866"</definedName>
    <definedName name="IQ_ACCRUED_TAXES_THRIFT" hidden="1">"c24909"</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AMORT_GW" hidden="1">"c17749"</definedName>
    <definedName name="IQ_ACCUM_AMORT_INTAN_ASSETS" hidden="1">"c17747"</definedName>
    <definedName name="IQ_ACCUM_DEP" hidden="1">"c7"</definedName>
    <definedName name="IQ_ACCUMULATED_GAINS_LOSSES_CASH_FLOW_HEDGES_THRIFT" hidden="1">"c24922"</definedName>
    <definedName name="IQ_ACCUMULATED_GAINS_LOSSES_CERTAIN_SEC_THRIFT" hidden="1">"c24921"</definedName>
    <definedName name="IQ_ACCUMULATED_LOSSES_GAINS_CASH_FLOW_HEDGES_ADJUSTED_ASSETS_THRIFT" hidden="1">"c25035"</definedName>
    <definedName name="IQ_ACCUMULATED_LOSSES_GAINS_CASH_FLOW_HEDGES_T1_THRIFT" hidden="1">"c25026"</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_WIRELESS_SUB" hidden="1">"c2125"</definedName>
    <definedName name="IQ_ACQ_COSTS_CAPITALIZED" hidden="1">"c5"</definedName>
    <definedName name="IQ_ACQUIRE_REAL_ESTATE_CF" hidden="1">"c6"</definedName>
    <definedName name="IQ_ACQUIRED_BY_REPORTING_BANK_FDIC" hidden="1">"c6535"</definedName>
    <definedName name="IQ_ACQUISITION_COST_SUB" hidden="1">"c15807"</definedName>
    <definedName name="IQ_ACQUISITION_RE_ASSETS" hidden="1">"c1628"</definedName>
    <definedName name="IQ_ACTUAL_PRODUCTION_ALUM" hidden="1">"c9247"</definedName>
    <definedName name="IQ_ACTUAL_PRODUCTION_CATHODE_COP" hidden="1">"c9192"</definedName>
    <definedName name="IQ_ACTUAL_PRODUCTION_COAL" hidden="1">"c9821"</definedName>
    <definedName name="IQ_ACTUAL_PRODUCTION_COP" hidden="1">"c9191"</definedName>
    <definedName name="IQ_ACTUAL_PRODUCTION_DIAM" hidden="1">"c9671"</definedName>
    <definedName name="IQ_ACTUAL_PRODUCTION_GOLD" hidden="1">"c9032"</definedName>
    <definedName name="IQ_ACTUAL_PRODUCTION_IRON" hidden="1">"c9406"</definedName>
    <definedName name="IQ_ACTUAL_PRODUCTION_LEAD" hidden="1">"c9459"</definedName>
    <definedName name="IQ_ACTUAL_PRODUCTION_MANG" hidden="1">"c9512"</definedName>
    <definedName name="IQ_ACTUAL_PRODUCTION_MET_COAL" hidden="1">"c9761"</definedName>
    <definedName name="IQ_ACTUAL_PRODUCTION_MOLYB" hidden="1">"c9724"</definedName>
    <definedName name="IQ_ACTUAL_PRODUCTION_NICK" hidden="1">"c9300"</definedName>
    <definedName name="IQ_ACTUAL_PRODUCTION_PLAT" hidden="1">"c9138"</definedName>
    <definedName name="IQ_ACTUAL_PRODUCTION_SILVER" hidden="1">"c9085"</definedName>
    <definedName name="IQ_ACTUAL_PRODUCTION_STEAM" hidden="1">"c9791"</definedName>
    <definedName name="IQ_ACTUAL_PRODUCTION_TITAN" hidden="1">"c9565"</definedName>
    <definedName name="IQ_ACTUAL_PRODUCTION_URAN" hidden="1">"c9618"</definedName>
    <definedName name="IQ_ACTUAL_PRODUCTION_ZINC" hidden="1">"c9353"</definedName>
    <definedName name="IQ_ACTUAL_THRIFT_INV_PERCENTAGE_MONTH_END_FIRST_MONTH_QUARTER_THRIFT" hidden="1">"c25584"</definedName>
    <definedName name="IQ_ACTUAL_THRIFT_INV_PERCENTAGE_MONTH_END_SECOND_MONTH_QUARTER_THRIFT" hidden="1">"c25585"</definedName>
    <definedName name="IQ_ACTUAL_THRIFT_INV_PERCENTAGE_MONTH_END_THIRD_MONTH_QUARTER_THRIFT" hidden="1">"c25586"</definedName>
    <definedName name="IQ_AD" hidden="1">"c7"</definedName>
    <definedName name="IQ_ADD_PAID_IN" hidden="1">"c39"</definedName>
    <definedName name="IQ_ADD_TAX_POSITIONS_CURRENT_YR" hidden="1">"c15733"</definedName>
    <definedName name="IQ_ADD_TAX_POSITIONS_PRIOR_YRS" hidden="1">"c15735"</definedName>
    <definedName name="IQ_ADDIN" hidden="1">"AUTO"</definedName>
    <definedName name="IQ_ADDITIONAL_NON_INT_INC_FDIC" hidden="1">"c6574"</definedName>
    <definedName name="IQ_ADDITIONS_NON_ACCRUAL_ASSET_DURING_QTR_FFIEC" hidden="1">"c15349"</definedName>
    <definedName name="IQ_ADJ_AVG_BANK_ASSETS" hidden="1">"c2671"</definedName>
    <definedName name="IQ_ADJUSTABLE_RATE_LOANS_FDIC" hidden="1">"c6375"</definedName>
    <definedName name="IQ_ADJUSTED_NAV_COVERED" hidden="1">"c9963"</definedName>
    <definedName name="IQ_ADJUSTED_NAV_GROUP" hidden="1">"c9949"</definedName>
    <definedName name="IQ_ADJUSTED_OPERATING_INCOME_AVG_ASSETS_THRIFT" hidden="1">"c25651"</definedName>
    <definedName name="IQ_ADJUSTED_TOTAL_ASSETS_ADJUSTED_ASSETS_THRIFT" hidden="1">"c25038"</definedName>
    <definedName name="IQ_ADJUSTMENTS_GVA_THRIFT" hidden="1">"c25095"</definedName>
    <definedName name="IQ_ADJUSTMENTS_SVA_THRIFT" hidden="1">"c25102"</definedName>
    <definedName name="IQ_ADJUSTMENTS_TVA_THRIFT" hidden="1">"c25109"</definedName>
    <definedName name="IQ_ADMIN_RATIO" hidden="1">"c2784"</definedName>
    <definedName name="IQ_ADVANCES_FROM_FHLB_THRIFT" hidden="1">"c24900"</definedName>
    <definedName name="IQ_ADVANCES_TAXES_INSURANCE_THRIFT" hidden="1">"c24850"</definedName>
    <definedName name="IQ_ADVERTISING" hidden="1">"c2246"</definedName>
    <definedName name="IQ_ADVERTISING_MARKETING" hidden="1">"c1566"</definedName>
    <definedName name="IQ_ADVERTISING_MARKETING_EXPENSES_FFIEC" hidden="1">"c13048"</definedName>
    <definedName name="IQ_AE" hidden="1">"c8"</definedName>
    <definedName name="IQ_AE_BNK" hidden="1">"c9"</definedName>
    <definedName name="IQ_AE_BR" hidden="1">"c10"</definedName>
    <definedName name="IQ_AE_CM"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FO" hidden="1">"c8756"</definedName>
    <definedName name="IQ_AFFO_DILUTED" hidden="1">"c16188"</definedName>
    <definedName name="IQ_AFFO_PER_SHARE_ACT_OR_EST" hidden="1">"c18265"</definedName>
    <definedName name="IQ_AFFO_PER_SHARE_ACT_OR_EST_CIQ" hidden="1">"c18271"</definedName>
    <definedName name="IQ_AFFO_PER_SHARE_BASIC" hidden="1">"c8869"</definedName>
    <definedName name="IQ_AFFO_PER_SHARE_DILUTED" hidden="1">"c8870"</definedName>
    <definedName name="IQ_AFFO_PER_SHARE_EST" hidden="1">"c18112"</definedName>
    <definedName name="IQ_AFFO_PER_SHARE_EST_CIQ" hidden="1">"c18180"</definedName>
    <definedName name="IQ_AFFO_PER_SHARE_EST_NOTE" hidden="1">"c18233"</definedName>
    <definedName name="IQ_AFFO_PER_SHARE_EST_NOTE_CIQ" hidden="1">"c18240"</definedName>
    <definedName name="IQ_AFFO_PER_SHARE_GUIDANCE" hidden="1">"c18400"</definedName>
    <definedName name="IQ_AFFO_PER_SHARE_HIGH_EST" hidden="1">"c18132"</definedName>
    <definedName name="IQ_AFFO_PER_SHARE_HIGH_EST_CIQ" hidden="1">"c18194"</definedName>
    <definedName name="IQ_AFFO_PER_SHARE_HIGH_GUIDANCE" hidden="1">"c18401"</definedName>
    <definedName name="IQ_AFFO_PER_SHARE_LOW_EST" hidden="1">"c18142"</definedName>
    <definedName name="IQ_AFFO_PER_SHARE_LOW_EST_CIQ" hidden="1">"c18201"</definedName>
    <definedName name="IQ_AFFO_PER_SHARE_LOW_GUIDANCE" hidden="1">"c18402"</definedName>
    <definedName name="IQ_AFFO_PER_SHARE_MEDIAN_EST" hidden="1">"c18122"</definedName>
    <definedName name="IQ_AFFO_PER_SHARE_MEDIAN_EST_CIQ" hidden="1">"c18187"</definedName>
    <definedName name="IQ_AFFO_PER_SHARE_NUM_EST" hidden="1">"c18162"</definedName>
    <definedName name="IQ_AFFO_PER_SHARE_NUM_EST_CIQ" hidden="1">"c18215"</definedName>
    <definedName name="IQ_AFFO_PER_SHARE_STDDEV_EST" hidden="1">"c18152"</definedName>
    <definedName name="IQ_AFFO_PER_SHARE_STDDEV_EST_CIQ" hidden="1">"c18208"</definedName>
    <definedName name="IQ_AFS_INVEST_SECURITIES_FFIEC" hidden="1">"c13456"</definedName>
    <definedName name="IQ_AFS_SEC_AMOUNTS_NETTED_THRIFT" hidden="1">"c25492"</definedName>
    <definedName name="IQ_AFS_SEC_INV_SEC_THRIFT" hidden="1">"c25670"</definedName>
    <definedName name="IQ_AFS_SEC_LEVEL_1_THRIFT" hidden="1">"c25488"</definedName>
    <definedName name="IQ_AFS_SEC_LEVEL_2_THRIFT" hidden="1">"c25489"</definedName>
    <definedName name="IQ_AFS_SEC_LEVEL_3_THRIFT" hidden="1">"c25490"</definedName>
    <definedName name="IQ_AFS_SEC_THRIFT" hidden="1">"c24933"</definedName>
    <definedName name="IQ_AFS_SEC_TIER_1_CAPITAL_THRIFT" hidden="1">"c25630"</definedName>
    <definedName name="IQ_AFS_SEC_TOTAL_AFTER_NETTING_THRIFT" hidden="1">"c25493"</definedName>
    <definedName name="IQ_AFS_SEC_TOTAL_BEFORE_NETTING_THRIFT" hidden="1">"c25491"</definedName>
    <definedName name="IQ_AFS_SECURITIES_TIER_1_FFIEC" hidden="1">"c13343"</definedName>
    <definedName name="IQ_AFTER_TAX_INCOME_FDIC" hidden="1">"c6583"</definedName>
    <definedName name="IQ_AG_PROD_FARM_LOANS_DOM_QUARTERLY_AVG_FFIEC" hidden="1">"c15477"</definedName>
    <definedName name="IQ_AGENCY" hidden="1">"c8960"</definedName>
    <definedName name="IQ_AGENCY_INVEST_SECURITIES_FFIEC" hidden="1">"c13458"</definedName>
    <definedName name="IQ_AGG_BANK_OVER_TOTAL" hidden="1">"c24684"</definedName>
    <definedName name="IQ_AGG_BANK_SHARES" hidden="1">"c24686"</definedName>
    <definedName name="IQ_AGG_BANK_VALUE" hidden="1">"c24685"</definedName>
    <definedName name="IQ_AGG_COMPANY_FOUNDATION_OVER_TOTAL" hidden="1">"c13769"</definedName>
    <definedName name="IQ_AGG_COMPANY_FOUNDATION_SHARES" hidden="1">"c13783"</definedName>
    <definedName name="IQ_AGG_COMPANY_FOUNDATION_VALUE" hidden="1">"c13776"</definedName>
    <definedName name="IQ_AGG_CORPORATE_OVER_TOTAL" hidden="1">"c13767"</definedName>
    <definedName name="IQ_AGG_CORPORATE_SHARES" hidden="1">"c13781"</definedName>
    <definedName name="IQ_AGG_CORPORATE_VALUE" hidden="1">"c13774"</definedName>
    <definedName name="IQ_AGG_ENDOWMENT_OVER_TOTAL" hidden="1">"c24678"</definedName>
    <definedName name="IQ_AGG_ENDOWMENT_SHARES" hidden="1">"c24680"</definedName>
    <definedName name="IQ_AGG_ENDOWMENT_VALUE" hidden="1">"c24679"</definedName>
    <definedName name="IQ_AGG_ESOP_OVER_TOTAL" hidden="1">"c13768"</definedName>
    <definedName name="IQ_AGG_ESOP_SHARES" hidden="1">"c13782"</definedName>
    <definedName name="IQ_AGG_ESOP_VALUE" hidden="1">"c13775"</definedName>
    <definedName name="IQ_AGG_FAMILY_OVER_TOTAL" hidden="1">"c24687"</definedName>
    <definedName name="IQ_AGG_FAMILY_SHARES" hidden="1">"c24689"</definedName>
    <definedName name="IQ_AGG_FAMILY_VALUE" hidden="1">"c24688"</definedName>
    <definedName name="IQ_AGG_FOUNDATION_SHARES" hidden="1">"c13783"</definedName>
    <definedName name="IQ_AGG_FOUNDATION_VALUE" hidden="1">"c13776"</definedName>
    <definedName name="IQ_AGG_HEDGEFUND_OVER_TOTAL" hidden="1">"c13771"</definedName>
    <definedName name="IQ_AGG_HEDGEFUND_SHARES" hidden="1">"c13785"</definedName>
    <definedName name="IQ_AGG_HEDGEFUND_VALUE" hidden="1">"c13778"</definedName>
    <definedName name="IQ_AGG_INSIDER_OVER_TOTAL" hidden="1">"c1581"</definedName>
    <definedName name="IQ_AGG_INSIDER_SHARES" hidden="1">"c13780"</definedName>
    <definedName name="IQ_AGG_INSIDER_VALUE" hidden="1">"c13773"</definedName>
    <definedName name="IQ_AGG_INSTITUTION_HEDGEFUND_OVER_TOTAL" hidden="1">"c24711"</definedName>
    <definedName name="IQ_AGG_INSTITUTION_HEDGEFUND_SHARES" hidden="1">"c24713"</definedName>
    <definedName name="IQ_AGG_INSTITUTION_HEDGEFUND_VALUE" hidden="1">"c24712"</definedName>
    <definedName name="IQ_AGG_INSTITUTION_SOVEREIGN_OVER_TOTAL" hidden="1">"c24717"</definedName>
    <definedName name="IQ_AGG_INSTITUTION_SOVEREIGN_SHARES" hidden="1">"c24719"</definedName>
    <definedName name="IQ_AGG_INSTITUTION_SOVEREIGN_VALUE" hidden="1">"c24718"</definedName>
    <definedName name="IQ_AGG_INSTITUTION_UNCLASSIFIED_OVER_TOTAL" hidden="1">"c24696"</definedName>
    <definedName name="IQ_AGG_INSTITUTION_UNCLASSIFIED_SHARES" hidden="1">"c24698"</definedName>
    <definedName name="IQ_AGG_INSTITUTION_UNCLASSIFIED_VALUE" hidden="1">"c24697"</definedName>
    <definedName name="IQ_AGG_INSTITUTION_VC_PE_OVER_TOTAL" hidden="1">"c24714"</definedName>
    <definedName name="IQ_AGG_INSTITUTION_VC_PE_SHARES" hidden="1">"c24716"</definedName>
    <definedName name="IQ_AGG_INSTITUTION_VC_PE_VALUE" hidden="1">"c24715"</definedName>
    <definedName name="IQ_AGG_INSTITUTIONAL_OVER_TOTAL" hidden="1">"c1580"</definedName>
    <definedName name="IQ_AGG_INSTITUTIONAL_SHARES" hidden="1">"c13779"</definedName>
    <definedName name="IQ_AGG_INSTITUTIONAL_VALUE" hidden="1">"c13772"</definedName>
    <definedName name="IQ_AGG_INSURANCE_OVER_TOTAL" hidden="1">"c24681"</definedName>
    <definedName name="IQ_AGG_INSURANCE_SHARES" hidden="1">"c24683"</definedName>
    <definedName name="IQ_AGG_INSURANCE_VALUE" hidden="1">"c24682"</definedName>
    <definedName name="IQ_AGG_INV_MANAGERS_OVER_TOTAL" hidden="1">"c26967"</definedName>
    <definedName name="IQ_AGG_INV_MANAGERS_SHARES" hidden="1">"c26968"</definedName>
    <definedName name="IQ_AGG_INV_MANAGERS_VALUE" hidden="1">"c26969"</definedName>
    <definedName name="IQ_AGG_MONEY_MANAGERS_OVER_TOTAL" hidden="1">"c24669"</definedName>
    <definedName name="IQ_AGG_MONEY_MANAGERS_SHARES" hidden="1">"c24671"</definedName>
    <definedName name="IQ_AGG_MONEY_MANAGERS_VALUE" hidden="1">"c24670"</definedName>
    <definedName name="IQ_AGG_OTHER_OVER_TOTAL" hidden="1">"c13770"</definedName>
    <definedName name="IQ_AGG_OTHER_SHARES" hidden="1">"c13784"</definedName>
    <definedName name="IQ_AGG_OTHER_VALUE" hidden="1">"c13777"</definedName>
    <definedName name="IQ_AGG_PENSION_OVER_TOTAL" hidden="1">"c24675"</definedName>
    <definedName name="IQ_AGG_PENSION_SHARES" hidden="1">"c24677"</definedName>
    <definedName name="IQ_AGG_PENSION_VALUE" hidden="1">"c24676"</definedName>
    <definedName name="IQ_AGG_REIT_OVER_TOTAL" hidden="1">"c24693"</definedName>
    <definedName name="IQ_AGG_REIT_SHARES" hidden="1">"c24695"</definedName>
    <definedName name="IQ_AGG_REIT_VALUE" hidden="1">"c24694"</definedName>
    <definedName name="IQ_AGG_SOVEREIGN_OVER_TOTAL" hidden="1">"c24690"</definedName>
    <definedName name="IQ_AGG_SOVEREIGN_SHARES" hidden="1">"c24692"</definedName>
    <definedName name="IQ_AGG_SOVEREIGN_VALUE" hidden="1">"c24691"</definedName>
    <definedName name="IQ_AGG_STATE_OVER_TOTAL" hidden="1">"c24705"</definedName>
    <definedName name="IQ_AGG_STATE_SHARES" hidden="1">"c24707"</definedName>
    <definedName name="IQ_AGG_STATE_VALUE" hidden="1">"c24706"</definedName>
    <definedName name="IQ_AGG_STRATEGIC_CORP_PRIVATE_OVER_TOTAL" hidden="1">"c24702"</definedName>
    <definedName name="IQ_AGG_STRATEGIC_CORP_PRIVATE_SHARES" hidden="1">"c24704"</definedName>
    <definedName name="IQ_AGG_STRATEGIC_CORP_PRIVATE_VALUE" hidden="1">"c24703"</definedName>
    <definedName name="IQ_AGG_STRATEGIC_CORP_PUBLIC_OVER_TOTAL" hidden="1">"c24699"</definedName>
    <definedName name="IQ_AGG_STRATEGIC_CORP_PUBLIC_SHARES" hidden="1">"c24701"</definedName>
    <definedName name="IQ_AGG_STRATEGIC_CORP_PUBLIC_VALUE" hidden="1">"c24700"</definedName>
    <definedName name="IQ_AGG_STRATEGIC_HEDGEFUND_OVER_TOTAL" hidden="1">"c24726"</definedName>
    <definedName name="IQ_AGG_STRATEGIC_HEDGEFUND_SHARES" hidden="1">"c24728"</definedName>
    <definedName name="IQ_AGG_STRATEGIC_HEDGEFUND_VALUE" hidden="1">"c24727"</definedName>
    <definedName name="IQ_AGG_STRATEGIC_OVER_TOTAL" hidden="1">"c24708"</definedName>
    <definedName name="IQ_AGG_STRATEGIC_SHARES" hidden="1">"c24710"</definedName>
    <definedName name="IQ_AGG_STRATEGIC_SWF_OVER_TOTAL" hidden="1">"c24723"</definedName>
    <definedName name="IQ_AGG_STRATEGIC_SWF_SHARES" hidden="1">"c24725"</definedName>
    <definedName name="IQ_AGG_STRATEGIC_SWF_VALUE" hidden="1">"c24724"</definedName>
    <definedName name="IQ_AGG_STRATEGIC_VALUE" hidden="1">"c24709"</definedName>
    <definedName name="IQ_AGG_STRATEGIC_VC_PE_OVER_TOTAL" hidden="1">"c24720"</definedName>
    <definedName name="IQ_AGG_STRATEGIC_VC_PE_SHARES" hidden="1">"c24722"</definedName>
    <definedName name="IQ_AGG_STRATEGIC_VC_PE_VALUE" hidden="1">"c24721"</definedName>
    <definedName name="IQ_AGG_VC_PE_OVER_TOTAL" hidden="1">"c24672"</definedName>
    <definedName name="IQ_AGG_VC_PE_SHARES" hidden="1">"c24674"</definedName>
    <definedName name="IQ_AGG_VC_PE_VALUE" hidden="1">"c24673"</definedName>
    <definedName name="IQ_AGGREGATE_AMT_ALL_EXTENSIONS_CREDIT_THRIFT" hidden="1">"c25589"</definedName>
    <definedName name="IQ_AGGREGATE_INV_IN_SERVICE_CORPORATIONS_THRIFT" hidden="1">"c25588"</definedName>
    <definedName name="IQ_AGRICULTURAL_GROSS_LOANS_FFIEC" hidden="1">"c13413"</definedName>
    <definedName name="IQ_AGRICULTURAL_LOANS_FOREIGN_FFIEC" hidden="1">"c13481"</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GRICULTURAL_RISK_BASED_FFIEC" hidden="1">"c13434"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AVG_PSGR_FARE" hidden="1">"c10029"</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NUMBER_HRS_FLOWN" hidden="1">"c10037"</definedName>
    <definedName name="IQ_AIR_NUMBER_OPERATING_AIRCRAFT_AVG" hidden="1">"c10035"</definedName>
    <definedName name="IQ_AIR_NUMBER_TRIPS_FLOWN" hidden="1">"c10030"</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EX_PER_ASK_EXCL_FUEL" hidden="1">"c10034"</definedName>
    <definedName name="IQ_AIR_OPEX_PER_ASM_EXCL_FUEL" hidden="1">"c10033"</definedName>
    <definedName name="IQ_AIR_OPTIONS" hidden="1">"c2837"</definedName>
    <definedName name="IQ_AIR_ORDERS" hidden="1">"c2836"</definedName>
    <definedName name="IQ_AIR_OWNED" hidden="1">"c2832"</definedName>
    <definedName name="IQ_AIR_PERCENTAGE_SALES_VIA_INTERNET" hidden="1">"c10036"</definedName>
    <definedName name="IQ_AIR_PSGR_HAUL_AVG_LENGTH_KM" hidden="1">"c10032"</definedName>
    <definedName name="IQ_AIR_PSGR_HAUL_AVG_LENGTH_MILES" hidden="1">"c10031"</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IRCRAFT_RENT" hidden="1">"c17872"</definedName>
    <definedName name="IQ_ALL_OTHER_ASSETS_ELIGIBLE_100_PCT_RISK_WEIGHT_THRIFT" hidden="1">"c25072"</definedName>
    <definedName name="IQ_ALL_OTHER_DEPOSITS_FOREIGN_DEP_FFIEC" hidden="1">"c15347"</definedName>
    <definedName name="IQ_ALL_OTHER_FINANCIAL_ASSETS_AMOUNTS_NETTED_THRIFT" hidden="1">"c25516"</definedName>
    <definedName name="IQ_ALL_OTHER_FINANCIAL_ASSETS_LEVEL_1_THRIFT" hidden="1">"c25512"</definedName>
    <definedName name="IQ_ALL_OTHER_FINANCIAL_ASSETS_LEVEL_2_THRIFT" hidden="1">"c25513"</definedName>
    <definedName name="IQ_ALL_OTHER_FINANCIAL_ASSETS_LEVEL_3_THRIFT" hidden="1">"c25514"</definedName>
    <definedName name="IQ_ALL_OTHER_FINANCIAL_ASSETS_TOTAL_AFTER_NETTING_THRIFT" hidden="1">"c25517"</definedName>
    <definedName name="IQ_ALL_OTHER_FINANCIAL_ASSETS_TOTAL_BEFORE_NETTING_THRIFT" hidden="1">"c25515"</definedName>
    <definedName name="IQ_ALL_OTHER_FINANCIAL_LIABILITIES_AMOUNTS_NETTED_THRIFT" hidden="1">"c25558"</definedName>
    <definedName name="IQ_ALL_OTHER_FINANCIAL_LIABILITIES_LEVEL_1_THRIFT" hidden="1">"c25554"</definedName>
    <definedName name="IQ_ALL_OTHER_FINANCIAL_LIABILITIES_LEVEL_2_THRIFT" hidden="1">"c25555"</definedName>
    <definedName name="IQ_ALL_OTHER_FINANCIAL_LIABILITIES_LEVEL_3_THRIFT" hidden="1">"c25556"</definedName>
    <definedName name="IQ_ALL_OTHER_FINANCIAL_LIABILITIES_TOTAL_AFTER_NETTING_THRIFT" hidden="1">"c25559"</definedName>
    <definedName name="IQ_ALL_OTHER_FINANCIAL_LIABILITIES_TOTAL_BEFORE_NETTING_THRIFT" hidden="1">"c25557"</definedName>
    <definedName name="IQ_ALL_OTHER_INVEST_UNCONSOL_SUBS_FFIEC" hidden="1">"c15275"</definedName>
    <definedName name="IQ_ALL_OTHER_LEASES_CHARGE_OFFS_FFIEC" hidden="1">"c13185"</definedName>
    <definedName name="IQ_ALL_OTHER_LEASES_RECOV_FFIEC" hidden="1">"c13207"</definedName>
    <definedName name="IQ_ALL_OTHER_LOANS_CHARGE_OFFS_FFIEC" hidden="1">"c13183"</definedName>
    <definedName name="IQ_ALL_OTHER_LOANS_EXCL_CONSUMER_LL_REC_DOM_FFIEC" hidden="1">"c25857"</definedName>
    <definedName name="IQ_ALL_OTHER_LOANS_EXCL_CONSUMER_LL_REC_FFIEC" hidden="1">"c25853"</definedName>
    <definedName name="IQ_ALL_OTHER_LOANS_RECOV_FFIEC" hidden="1">"c13205"</definedName>
    <definedName name="IQ_ALL_OTHER_SEC_1_4_DOM_CHARGE_OFFS_FFIEC" hidden="1">"c25842"</definedName>
    <definedName name="IQ_ALL_OTHER_SEC_1_4_DOM_RECOV_FFIEC" hidden="1">"c25843"</definedName>
    <definedName name="IQ_ALL_OTHER_SEC_1_4_DUE_30_89_FFIEC" hidden="1">"c25835"</definedName>
    <definedName name="IQ_ALL_OTHER_SEC_1_4_DUE_90_FFIEC" hidden="1">"c25836"</definedName>
    <definedName name="IQ_ALL_OTHER_SEC_1_4_NON_ACCRUAL_FFIEC" hidden="1">"c25837"</definedName>
    <definedName name="IQ_ALL_OTHER_TRADING_LIABILITIES_DOM_FFIEC" hidden="1">"c12942"</definedName>
    <definedName name="IQ_ALL_OTHER_UNUSED_FFIEC" hidden="1">"c25861"</definedName>
    <definedName name="IQ_ALLOW_BORROW_CONST" hidden="1">"c15"</definedName>
    <definedName name="IQ_ALLOW_CONST" hidden="1">"c16"</definedName>
    <definedName name="IQ_ALLOW_DOUBT_ACCT" hidden="1">"c2092"</definedName>
    <definedName name="IQ_ALLOW_EQUITY_CONST" hidden="1">"c16"</definedName>
    <definedName name="IQ_ALLOW_LL" hidden="1">"c17"</definedName>
    <definedName name="IQ_ALLOW_LL_LOSSES_FFIEC" hidden="1">"c12810"</definedName>
    <definedName name="IQ_ALLOW_MORTGAGE_LL_LOSSES_THRIFT" hidden="1">"c24851"</definedName>
    <definedName name="IQ_ALLOW_NON_MORTGAGE_LOAN_LL_THRIFT" hidden="1">"c24867"</definedName>
    <definedName name="IQ_ALLOWABLE_T2_CAPITAL_FFIEC" hidden="1">"c13150"</definedName>
    <definedName name="IQ_ALLOWABLE_TIER_2_CAPITAL_T2_THRIFT" hidden="1">"c25046"</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AMT_INCLUDED_IN_ALLOWANCE_LOAN_LEASE_LOSSES_PURCHASED_CREDIT_IMPAIRED_LOANS_THRIFT" hidden="1">"c25239"</definedName>
    <definedName name="IQ_ALLOWANCE_CHARGE_OFFS" hidden="1">"c24"</definedName>
    <definedName name="IQ_ALLOWANCE_CREDIT_LOSSES_OFF_BS_FFIEC" hidden="1">"c12871"</definedName>
    <definedName name="IQ_ALLOWANCE_LL_LOSSES_T2_FFIEC" hidden="1">"c13146"</definedName>
    <definedName name="IQ_ALLOWANCE_NON_PERF_LOANS" hidden="1">"c25"</definedName>
    <definedName name="IQ_ALLOWANCE_TOTAL_LOANS" hidden="1">"c26"</definedName>
    <definedName name="IQ_ALLOWANCES_LL_LOSSES_T2_THRIFT" hidden="1">"c25043"</definedName>
    <definedName name="IQ_ALPHA_SCORE_DATE" hidden="1">"c25923"</definedName>
    <definedName name="IQ_AMENDED_BALANCE_PREVIOUS_YR_FDIC" hidden="1">"c6499"</definedName>
    <definedName name="IQ_AMORT_EXP_IMPAIRMENT_OTHER_INTANGIBLE_ASSETS_FFIEC" hidden="1">"c13026"</definedName>
    <definedName name="IQ_AMORT_EXPENSE_FDIC" hidden="1">"c6677"</definedName>
    <definedName name="IQ_AMORT_LOAN_SERVICING_ASSETS_LIABILITIES_THRIFT" hidden="1">"c24767"</definedName>
    <definedName name="IQ_AMORTIZATION" hidden="1">"c1471"</definedName>
    <definedName name="IQ_AMORTIZED_COST_FDIC" hidden="1">"c6426"</definedName>
    <definedName name="IQ_AMOUNT_FINANCIAL_LOC_CONVEYED_FFIEC" hidden="1">"c13250"</definedName>
    <definedName name="IQ_AMOUNT_PERFORMANCE_LOC_CONVEYED_FFIEC" hidden="1">"c13252"</definedName>
    <definedName name="IQ_AMT_DIRECT_CREDIT_SUBSTITUTES_ASSETS_THRIFT" hidden="1">"c25616"</definedName>
    <definedName name="IQ_AMT_LOW_LEVEL_RECOURSE_RESIDUAL_INTERESTS_BEFORE_RISK_WEIGHTING_THRIFT" hidden="1">"c25074"</definedName>
    <definedName name="IQ_AMT_NONINTEREST_BEARING_TRANSACTION_ACCOUNTS_MORE_THAN_250000_THRIFT" hidden="1">"c25582"</definedName>
    <definedName name="IQ_AMT_OUT" hidden="1">"c2145"</definedName>
    <definedName name="IQ_AMT_RECOURSE_OBLIGATIONS_ASSETS_THRIFT" hidden="1">"c25617"</definedName>
    <definedName name="IQ_AMT_RECOURSE_OBLIGATIONS_LOANS_THRIFT" hidden="1">"c25618"</definedName>
    <definedName name="IQ_AMT_RECOURSE_OBLIGATIONS_LOANS_WHERE_RECOURSE_IS_120_DAYS_LESS_THRIFT" hidden="1">"c25619"</definedName>
    <definedName name="IQ_AMT_RECOURSE_OBLIGATIONS_LOANS_WHERE_RECOURSE_IS_GREATER_THAN_120_DAYS_THRIFT" hidden="1">"c25620"</definedName>
    <definedName name="IQ_AMT_THIS_QUARTER_TROUBLED_DEBT_RESTRUCTURED_THRIFT" hidden="1">"c25229"</definedName>
    <definedName name="IQ_ANALYST_EMAIL" hidden="1">"c13738"</definedName>
    <definedName name="IQ_ANALYST_NAME" hidden="1">"c13736"</definedName>
    <definedName name="IQ_ANALYST_PHONE" hidden="1">"c13737"</definedName>
    <definedName name="IQ_ANALYST_START_DATE" hidden="1">"c13740"</definedName>
    <definedName name="IQ_ANNU_DISTRIBUTION_UNIT" hidden="1">"c3004"</definedName>
    <definedName name="IQ_ANNUAL_PREMIUM_EQUIVALENT_NEW_BUSINESS" hidden="1">"c9972"</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NNUITY_SALES_FEES_COMMISSIONS_FFIEC" hidden="1">"c13007"</definedName>
    <definedName name="IQ_AOCI_THRIFT" hidden="1">"c24920"</definedName>
    <definedName name="IQ_AP" hidden="1">"c32"</definedName>
    <definedName name="IQ_AP_BNK" hidden="1">"c33"</definedName>
    <definedName name="IQ_AP_BR" hidden="1">"c34"</definedName>
    <definedName name="IQ_AP_CM"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PIC_THRIFT" hidden="1">"c24918"</definedName>
    <definedName name="IQ_APPLICABLE_INCOME_TAXES_AVG_ASSETS_THRIFT" hidden="1">"c25657"</definedName>
    <definedName name="IQ_APPLICABLE_INCOME_TAXES_FTE_FFIEC" hidden="1">"c13853"</definedName>
    <definedName name="IQ_AR" hidden="1">"c40"</definedName>
    <definedName name="IQ_AR_BR" hidden="1">"c41"</definedName>
    <definedName name="IQ_AR_CM"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RPU_ANALOG_CABLE" hidden="1">"c2864"</definedName>
    <definedName name="IQ_ARPU_BASIC_CABLE" hidden="1">"c2866"</definedName>
    <definedName name="IQ_ARPU_BBAND" hidden="1">"c2867"</definedName>
    <definedName name="IQ_ARPU_DIG_CABLE" hidden="1">"c2865"</definedName>
    <definedName name="IQ_ARPU_PHONE" hidden="1">"c2868"</definedName>
    <definedName name="IQ_ARPU_POSTPAID_WIRELESS" hidden="1">"c15758"</definedName>
    <definedName name="IQ_ARPU_PREPAID_WIRELESS" hidden="1">"c15759"</definedName>
    <definedName name="IQ_ARPU_RETAIL_WIRELESS" hidden="1">"c15760"</definedName>
    <definedName name="IQ_ARPU_SATELLITE" hidden="1">"c15790"</definedName>
    <definedName name="IQ_ARPU_TOTAL" hidden="1">"c2869"</definedName>
    <definedName name="IQ_ARPU_WHOLESALE_WIRELESS" hidden="1">"c15761"</definedName>
    <definedName name="IQ_ARPU_WIRELESS" hidden="1">"c2126"</definedName>
    <definedName name="IQ_ASSET_BACKED_FDIC" hidden="1">"c6301"</definedName>
    <definedName name="IQ_ASSET_BACKED_SEC_INV_SEC_THRIFT" hidden="1">"c25674"</definedName>
    <definedName name="IQ_ASSET_MANAGED_GROWTH_RATE" hidden="1">"c20434"</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CM"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CM" hidden="1">"c50"</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SUPPLE" hidden="1">"c13812"</definedName>
    <definedName name="IQ_ASSET_WRITEDOWN_UTI" hidden="1">"c61"</definedName>
    <definedName name="IQ_ASSETS_AP" hidden="1">"c8883"</definedName>
    <definedName name="IQ_ASSETS_AP_ABS" hidden="1">"c8902"</definedName>
    <definedName name="IQ_ASSETS_CAP_LEASE_DEPR" hidden="1">"c2068"</definedName>
    <definedName name="IQ_ASSETS_CAP_LEASE_GROSS" hidden="1">"c2069"</definedName>
    <definedName name="IQ_ASSETS_EXCLUDED_PURPOSES_OTS_ASSESSMENT_COMPLEXITY_COMPONENT_MANAGED_ASSETS_THRIFT" hidden="1">"c25356"</definedName>
    <definedName name="IQ_ASSETS_EXCLUDED_PURPOSES_OTS_ASSESSMENT_COMPLEXITY_COMPONENT_NONMANAGED_ASSETS_THRIFT" hidden="1">"c25378"</definedName>
    <definedName name="IQ_ASSETS_FAIR_VALUE" hidden="1">"c13843"</definedName>
    <definedName name="IQ_ASSETS_HELD_FDIC" hidden="1">"c6305"</definedName>
    <definedName name="IQ_ASSETS_HFS_THRIFT" hidden="1">"c24934"</definedName>
    <definedName name="IQ_ASSETS_LEVEL_1" hidden="1">"c13839"</definedName>
    <definedName name="IQ_ASSETS_LEVEL_2" hidden="1">"c13840"</definedName>
    <definedName name="IQ_ASSETS_LEVEL_3" hidden="1">"c13841"</definedName>
    <definedName name="IQ_ASSETS_LOSS_SHARING_DEBT_SEC_FFIEC" hidden="1">"c25867"</definedName>
    <definedName name="IQ_ASSETS_LOSS_SHARING_FFIEC" hidden="1">"c25864"</definedName>
    <definedName name="IQ_ASSETS_LOSS_SHARING_LL_FFIEC" hidden="1">"c25865"</definedName>
    <definedName name="IQ_ASSETS_LOSS_SHARING_OREO_FFIEC" hidden="1">"c25866"</definedName>
    <definedName name="IQ_ASSETS_LOSS_SHARING_OTHER_FFIEC" hidden="1">"c25868"</definedName>
    <definedName name="IQ_ASSETS_NAME_AP" hidden="1">"c8921"</definedName>
    <definedName name="IQ_ASSETS_NAME_AP_ABS" hidden="1">"c8940"</definedName>
    <definedName name="IQ_ASSETS_NETTING_OTHER_ADJUSTMENTS" hidden="1">"c13842"</definedName>
    <definedName name="IQ_ASSETS_NON_INCLUDABLE_SUBS_ADJUSTED_ASSETS_THRIFT" hidden="1">"c25031"</definedName>
    <definedName name="IQ_ASSETS_OPER_LEASE_DEPR" hidden="1">"c2070"</definedName>
    <definedName name="IQ_ASSETS_OPER_LEASE_GROSS" hidden="1">"c2071"</definedName>
    <definedName name="IQ_ASSETS_PER_EMPLOYEE_FDIC" hidden="1">"c6737"</definedName>
    <definedName name="IQ_ASSETS_PER_EMPLOYEE_THRIFT" hidden="1">"c25783"</definedName>
    <definedName name="IQ_ASSETS_REPRICE_ASSETS_TOT_FFIEC" hidden="1">"c13454"</definedName>
    <definedName name="IQ_ASSETS_RISK_WEIGHT_THRIFT" hidden="1">"c25076"</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ETS_UNDER_ADMINISTRATION" hidden="1">"c20432"</definedName>
    <definedName name="IQ_ASSIGNED_RESERVES_COAL" hidden="1">"c15912"</definedName>
    <definedName name="IQ_ASSIGNED_RESERVES_TO_TOTAL_RESERVES_COAL" hidden="1">"c15955"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LOSSES" hidden="1">"c15870"</definedName>
    <definedName name="IQ_ASSUMED_PC_EARNED" hidden="1">"c2746"</definedName>
    <definedName name="IQ_ASSUMED_PREMIUMS_EARNED_GROSS_PREMIUMS_EARNED" hidden="1">"c15886"</definedName>
    <definedName name="IQ_ASSUMED_PREMIUMS_WRITTEN_GROSS_PREMIUMS_WRITTEN" hidden="1">"c15884"</definedName>
    <definedName name="IQ_ASSUMED_WRITTEN" hidden="1">"c2725"</definedName>
    <definedName name="IQ_ATM_FEES_FFIEC" hidden="1">"c13042"</definedName>
    <definedName name="IQ_ATM_INTERCHANGE_EXPENSES_FFIEC" hidden="1">"c13056"</definedName>
    <definedName name="IQ_AUDITOR_NAME" hidden="1">"c1539"</definedName>
    <definedName name="IQ_AUDITOR_OPINION" hidden="1">"c1540"</definedName>
    <definedName name="IQ_AUM" hidden="1">"c10043"</definedName>
    <definedName name="IQ_AUM_ACQUISITIONS_TRANSFERS" hidden="1">"c20415"</definedName>
    <definedName name="IQ_AUM_AVERAGE" hidden="1">"c20418"</definedName>
    <definedName name="IQ_AUM_BOP" hidden="1">"c20409"</definedName>
    <definedName name="IQ_AUM_CASH_FLOWS_DIVIDENDS" hidden="1">"c20413"</definedName>
    <definedName name="IQ_AUM_DOMESTIC" hidden="1">"c20400"</definedName>
    <definedName name="IQ_AUM_EOP" hidden="1">"c20417"</definedName>
    <definedName name="IQ_AUM_EQUITY_FUNDS" hidden="1">"c10039"</definedName>
    <definedName name="IQ_AUM_FEE_EARNING" hidden="1">"c20402"</definedName>
    <definedName name="IQ_AUM_FIXED_INCOME_FUNDS" hidden="1">"c10040"</definedName>
    <definedName name="IQ_AUM_FOREIGN" hidden="1">"c20401"</definedName>
    <definedName name="IQ_AUM_HIGH_NET_WORTH" hidden="1">"c20398"</definedName>
    <definedName name="IQ_AUM_INFLOWS" hidden="1">"c20410"</definedName>
    <definedName name="IQ_AUM_INSTITUTIONAL" hidden="1">"c20396"</definedName>
    <definedName name="IQ_AUM_INSTITUTIONAL_CUSTOMERS" hidden="1">"c20405"</definedName>
    <definedName name="IQ_AUM_MARKET_APPRECIATION_DEPRECIATION" hidden="1">"c20414"</definedName>
    <definedName name="IQ_AUM_MONEY_MARKET_FUNDS" hidden="1">"c10041"</definedName>
    <definedName name="IQ_AUM_NET_CHANGE" hidden="1">"c20419"</definedName>
    <definedName name="IQ_AUM_NET_INFLOWS_OUTFLOWS" hidden="1">"c20412"</definedName>
    <definedName name="IQ_AUM_NON_FEE_EARNING" hidden="1">"c20403"</definedName>
    <definedName name="IQ_AUM_OTHER" hidden="1">"c10042"</definedName>
    <definedName name="IQ_AUM_OTHER_ADJUSTMENTS" hidden="1">"c20416"</definedName>
    <definedName name="IQ_AUM_OTHER_CLIENTS" hidden="1">"c20399"</definedName>
    <definedName name="IQ_AUM_OTHER_CUSTOMERS" hidden="1">"c20407"</definedName>
    <definedName name="IQ_AUM_OUTFLOWS" hidden="1">"c20411"</definedName>
    <definedName name="IQ_AUM_PRIVATE_EQUITY" hidden="1">"c20394"</definedName>
    <definedName name="IQ_AUM_REAL_ESTATE" hidden="1">"c20395"</definedName>
    <definedName name="IQ_AUM_RETAIL" hidden="1">"c20397"</definedName>
    <definedName name="IQ_AUM_RETAIL_CUSTOMERS" hidden="1">"c20404"</definedName>
    <definedName name="IQ_AUM_SME_CUSTOMERS" hidden="1">"c20406"</definedName>
    <definedName name="IQ_AUM_TOTAL_CUSTOMERS" hidden="1">"c20408"</definedName>
    <definedName name="IQ_AUTO_LOANS_THRIFT" hidden="1">"c24862"</definedName>
    <definedName name="IQ_AUTO_LOANS_TOTAL_LOANS" hidden="1">"c15713"</definedName>
    <definedName name="IQ_AUTO_REGIST_NEW" hidden="1">"c6923"</definedName>
    <definedName name="IQ_AUTO_REGIST_NEW_APR" hidden="1">"c7583"</definedName>
    <definedName name="IQ_AUTO_REGIST_NEW_APR_FC" hidden="1">"c8463"</definedName>
    <definedName name="IQ_AUTO_REGIST_NEW_FC" hidden="1">"c7803"</definedName>
    <definedName name="IQ_AUTO_REGIST_NEW_POP" hidden="1">"c7143"</definedName>
    <definedName name="IQ_AUTO_REGIST_NEW_POP_FC" hidden="1">"c8023"</definedName>
    <definedName name="IQ_AUTO_REGIST_NEW_YOY" hidden="1">"c7363"</definedName>
    <definedName name="IQ_AUTO_REGIST_NEW_YOY_FC" hidden="1">"c8243"</definedName>
    <definedName name="IQ_AUTO_SALES_DOM" hidden="1">"c6852"</definedName>
    <definedName name="IQ_AUTO_SALES_DOM_APR" hidden="1">"c7512"</definedName>
    <definedName name="IQ_AUTO_SALES_DOM_APR_FC" hidden="1">"c8392"</definedName>
    <definedName name="IQ_AUTO_SALES_DOM_FC" hidden="1">"c7732"</definedName>
    <definedName name="IQ_AUTO_SALES_DOM_POP" hidden="1">"c7072"</definedName>
    <definedName name="IQ_AUTO_SALES_DOM_POP_FC" hidden="1">"c7952"</definedName>
    <definedName name="IQ_AUTO_SALES_DOM_YOY" hidden="1">"c7292"</definedName>
    <definedName name="IQ_AUTO_SALES_DOM_YOY_FC" hidden="1">"c8172"</definedName>
    <definedName name="IQ_AUTO_SALES_FOREIGN" hidden="1">"c6873"</definedName>
    <definedName name="IQ_AUTO_SALES_FOREIGN_APR" hidden="1">"c7533"</definedName>
    <definedName name="IQ_AUTO_SALES_FOREIGN_APR_FC" hidden="1">"c8413"</definedName>
    <definedName name="IQ_AUTO_SALES_FOREIGN_FC" hidden="1">"c7753"</definedName>
    <definedName name="IQ_AUTO_SALES_FOREIGN_POP" hidden="1">"c7093"</definedName>
    <definedName name="IQ_AUTO_SALES_FOREIGN_POP_FC" hidden="1">"c7973"</definedName>
    <definedName name="IQ_AUTO_SALES_FOREIGN_YOY" hidden="1">"c7313"</definedName>
    <definedName name="IQ_AUTO_SALES_FOREIGN_YOY_FC" hidden="1">"c8193"</definedName>
    <definedName name="IQ_AUTO_WRITTEN" hidden="1">"c62"</definedName>
    <definedName name="IQ_AVAIL_FOR_SALE_FAIR_VALUE_TOT_FFIEC" hidden="1">"c15399"</definedName>
    <definedName name="IQ_AVAIL_FOR_SALE_LEVEL_1_FFIEC" hidden="1">"c15421"</definedName>
    <definedName name="IQ_AVAIL_FOR_SALE_LEVEL_2_FFIEC" hidden="1">"c15434"</definedName>
    <definedName name="IQ_AVAIL_FOR_SALE_LEVEL_3_FFIEC" hidden="1">"c15447"</definedName>
    <definedName name="IQ_AVAILABLE_FOR_SALE_FDIC" hidden="1">"c6409"</definedName>
    <definedName name="IQ_AVAILABLE_SALE_SEC_FFIEC" hidden="1">"c12791"</definedName>
    <definedName name="IQ_AVERAGE_ASSETS_FDIC" hidden="1">"c6362"</definedName>
    <definedName name="IQ_AVERAGE_ASSETS_QUART_FDIC" hidden="1">"c6363"</definedName>
    <definedName name="IQ_AVERAGE_DEPOSITS" hidden="1">"c15256"</definedName>
    <definedName name="IQ_AVERAGE_EARNING_ASSETS_FDIC" hidden="1">"c6748"</definedName>
    <definedName name="IQ_AVERAGE_EQUITY_FDIC" hidden="1">"c6749"</definedName>
    <definedName name="IQ_AVERAGE_INTEREST_BEARING_DEPOSITS" hidden="1">"c15254"</definedName>
    <definedName name="IQ_AVERAGE_LOANS_FDIC" hidden="1">"c6750"</definedName>
    <definedName name="IQ_AVERAGE_LOANS_HFI" hidden="1">"c15251"</definedName>
    <definedName name="IQ_AVERAGE_LOANS_HFS" hidden="1">"c15252"</definedName>
    <definedName name="IQ_AVERAGE_NON_INTEREST_BEARING_DEPOSITS" hidden="1">"c15255"</definedName>
    <definedName name="IQ_AVG_BANK_ASSETS" hidden="1">"c2072"</definedName>
    <definedName name="IQ_AVG_BANK_LOANS" hidden="1">"c2073"</definedName>
    <definedName name="IQ_AVG_BROKER_REC" hidden="1">"c63"</definedName>
    <definedName name="IQ_AVG_BROKER_REC_CIQ" hidden="1">"c3612"</definedName>
    <definedName name="IQ_AVG_BROKER_REC_NO" hidden="1">"c64"</definedName>
    <definedName name="IQ_AVG_BROKER_REC_NO_CIQ" hidden="1">"c4657"</definedName>
    <definedName name="IQ_AVG_BROKER_REC_NO_REUT" hidden="1">"c5315"</definedName>
    <definedName name="IQ_AVG_BROKER_REC_NO_THOM" hidden="1">"c5094"</definedName>
    <definedName name="IQ_AVG_BROKER_REC_REUT" hidden="1">"c3630"</definedName>
    <definedName name="IQ_AVG_BROKER_REC_THOM" hidden="1">"c3648"</definedName>
    <definedName name="IQ_AVG_CALORIFIC_VALUE_COAL" hidden="1">"c9828"</definedName>
    <definedName name="IQ_AVG_CALORIFIC_VALUE_MET_COAL" hidden="1">"c9764"</definedName>
    <definedName name="IQ_AVG_CALORIFIC_VALUE_STEAM" hidden="1">"c9794"</definedName>
    <definedName name="IQ_AVG_DAILY_VOL" hidden="1">"c65"</definedName>
    <definedName name="IQ_AVG_DEPOSITS_ESCROWS_THRIFT" hidden="1">"c24950"</definedName>
    <definedName name="IQ_AVG_DEPOSITS_INV_EXCLUDING_NON_INT_EARNING_ITEMS_THRIFT" hidden="1">"c24947"</definedName>
    <definedName name="IQ_AVG_EARNING_ASSETS_AVG_ASSETS_THRIFT" hidden="1">"c25645"</definedName>
    <definedName name="IQ_AVG_EMPLOYEES" hidden="1">"c6019"</definedName>
    <definedName name="IQ_AVG_GRADE_ALUM" hidden="1">"c9254"</definedName>
    <definedName name="IQ_AVG_GRADE_COP" hidden="1">"c9201"</definedName>
    <definedName name="IQ_AVG_GRADE_DIAM" hidden="1">"c9678"</definedName>
    <definedName name="IQ_AVG_GRADE_GOLD" hidden="1">"c9039"</definedName>
    <definedName name="IQ_AVG_GRADE_IRON" hidden="1">"c9413"</definedName>
    <definedName name="IQ_AVG_GRADE_LEAD" hidden="1">"c9466"</definedName>
    <definedName name="IQ_AVG_GRADE_MANG" hidden="1">"c9519"</definedName>
    <definedName name="IQ_AVG_GRADE_MOLYB" hidden="1">"c9731"</definedName>
    <definedName name="IQ_AVG_GRADE_NICK" hidden="1">"c9307"</definedName>
    <definedName name="IQ_AVG_GRADE_PLAT" hidden="1">"c9145"</definedName>
    <definedName name="IQ_AVG_GRADE_SILVER" hidden="1">"c9092"</definedName>
    <definedName name="IQ_AVG_GRADE_TITAN" hidden="1">"c9572"</definedName>
    <definedName name="IQ_AVG_GRADE_URAN" hidden="1">"c9625"</definedName>
    <definedName name="IQ_AVG_GRADE_ZINC" hidden="1">"c9360"</definedName>
    <definedName name="IQ_AVG_INDUSTRY_REC" hidden="1">"c4455"</definedName>
    <definedName name="IQ_AVG_INDUSTRY_REC_CIQ" hidden="1">"c4984"</definedName>
    <definedName name="IQ_AVG_INDUSTRY_REC_CIQ_COL" hidden="1">"c11631"</definedName>
    <definedName name="IQ_AVG_INDUSTRY_REC_NO" hidden="1">"c4454"</definedName>
    <definedName name="IQ_AVG_INDUSTRY_REC_NO_CIQ" hidden="1">"c4983"</definedName>
    <definedName name="IQ_AVG_INDUSTRY_REC_NO_CIQ_COL" hidden="1">"c11630"</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BEARING_FUNDS_AVG_ASSETS_THRIFT" hidden="1">"c25646"</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INV_HOMEBUILDING" hidden="1">"c15812"</definedName>
    <definedName name="IQ_AVG_INV_HOMES" hidden="1">"c15810"</definedName>
    <definedName name="IQ_AVG_INV_LAND_LOTS" hidden="1">"c15811"</definedName>
    <definedName name="IQ_AVG_MARKETCAP_Z" hidden="1">"c25900"</definedName>
    <definedName name="IQ_AVG_MKTCAP" hidden="1">"c80"</definedName>
    <definedName name="IQ_AVG_MORTGAGE_LOANS_MBS_THRIFT" hidden="1">"c24948"</definedName>
    <definedName name="IQ_AVG_NON_MORTGAGE_LOANS_THRIFT" hidden="1">"c24949"</definedName>
    <definedName name="IQ_AVG_PORTFOLIO_DURATION" hidden="1">"c17693"</definedName>
    <definedName name="IQ_AVG_PRICE" hidden="1">"c81"</definedName>
    <definedName name="IQ_AVG_PRICE_TARGET" hidden="1">"c82"</definedName>
    <definedName name="IQ_AVG_PRODUCTION_PER_MINE_ALUM" hidden="1">"c9249"</definedName>
    <definedName name="IQ_AVG_PRODUCTION_PER_MINE_COAL" hidden="1">"c9823"</definedName>
    <definedName name="IQ_AVG_PRODUCTION_PER_MINE_COP" hidden="1">"c9194"</definedName>
    <definedName name="IQ_AVG_PRODUCTION_PER_MINE_DIAM" hidden="1">"c9673"</definedName>
    <definedName name="IQ_AVG_PRODUCTION_PER_MINE_GOLD" hidden="1">"c9034"</definedName>
    <definedName name="IQ_AVG_PRODUCTION_PER_MINE_IRON" hidden="1">"c9408"</definedName>
    <definedName name="IQ_AVG_PRODUCTION_PER_MINE_LEAD" hidden="1">"c9461"</definedName>
    <definedName name="IQ_AVG_PRODUCTION_PER_MINE_MANG" hidden="1">"c9514"</definedName>
    <definedName name="IQ_AVG_PRODUCTION_PER_MINE_MOLYB" hidden="1">"c9726"</definedName>
    <definedName name="IQ_AVG_PRODUCTION_PER_MINE_NICK" hidden="1">"c9302"</definedName>
    <definedName name="IQ_AVG_PRODUCTION_PER_MINE_PLAT" hidden="1">"c9140"</definedName>
    <definedName name="IQ_AVG_PRODUCTION_PER_MINE_SILVER" hidden="1">"c9087"</definedName>
    <definedName name="IQ_AVG_PRODUCTION_PER_MINE_TITAN" hidden="1">"c9567"</definedName>
    <definedName name="IQ_AVG_PRODUCTION_PER_MINE_URAN" hidden="1">"c9620"</definedName>
    <definedName name="IQ_AVG_PRODUCTION_PER_MINE_ZINC" hidden="1">"c9355"</definedName>
    <definedName name="IQ_AVG_REAL_PRICE_POST_TREAT_REFINING_ALUM" hidden="1">"c9259"</definedName>
    <definedName name="IQ_AVG_REAL_PRICE_POST_TREAT_REFINING_COP" hidden="1">"c9206"</definedName>
    <definedName name="IQ_AVG_REAL_PRICE_POST_TREAT_REFINING_DIAM" hidden="1">"c9683"</definedName>
    <definedName name="IQ_AVG_REAL_PRICE_POST_TREAT_REFINING_GOLD" hidden="1">"c9044"</definedName>
    <definedName name="IQ_AVG_REAL_PRICE_POST_TREAT_REFINING_IRON" hidden="1">"c9418"</definedName>
    <definedName name="IQ_AVG_REAL_PRICE_POST_TREAT_REFINING_LEAD" hidden="1">"c9471"</definedName>
    <definedName name="IQ_AVG_REAL_PRICE_POST_TREAT_REFINING_MANG" hidden="1">"c9524"</definedName>
    <definedName name="IQ_AVG_REAL_PRICE_POST_TREAT_REFINING_MOLYB" hidden="1">"c9736"</definedName>
    <definedName name="IQ_AVG_REAL_PRICE_POST_TREAT_REFINING_NICK" hidden="1">"c9311"</definedName>
    <definedName name="IQ_AVG_REAL_PRICE_POST_TREAT_REFINING_PLAT" hidden="1">"c9150"</definedName>
    <definedName name="IQ_AVG_REAL_PRICE_POST_TREAT_REFINING_SILVER" hidden="1">"c9097"</definedName>
    <definedName name="IQ_AVG_REAL_PRICE_POST_TREAT_REFINING_TITAN" hidden="1">"c9577"</definedName>
    <definedName name="IQ_AVG_REAL_PRICE_POST_TREAT_REFINING_URAN" hidden="1">"c9630"</definedName>
    <definedName name="IQ_AVG_REAL_PRICE_POST_TREAT_REFINING_ZINC" hidden="1">"c9365"</definedName>
    <definedName name="IQ_AVG_REAL_PRICE_PRE_TREAT_REFINING_ALUM" hidden="1">"c9258"</definedName>
    <definedName name="IQ_AVG_REAL_PRICE_PRE_TREAT_REFINING_COP" hidden="1">"c9205"</definedName>
    <definedName name="IQ_AVG_REAL_PRICE_PRE_TREAT_REFINING_DIAM" hidden="1">"c9682"</definedName>
    <definedName name="IQ_AVG_REAL_PRICE_PRE_TREAT_REFINING_GOLD" hidden="1">"c9043"</definedName>
    <definedName name="IQ_AVG_REAL_PRICE_PRE_TREAT_REFINING_IRON" hidden="1">"c9417"</definedName>
    <definedName name="IQ_AVG_REAL_PRICE_PRE_TREAT_REFINING_LEAD" hidden="1">"c9470"</definedName>
    <definedName name="IQ_AVG_REAL_PRICE_PRE_TREAT_REFINING_MANG" hidden="1">"c9523"</definedName>
    <definedName name="IQ_AVG_REAL_PRICE_PRE_TREAT_REFINING_MOLYB" hidden="1">"c9735"</definedName>
    <definedName name="IQ_AVG_REAL_PRICE_PRE_TREAT_REFINING_NICK" hidden="1">"c9312"</definedName>
    <definedName name="IQ_AVG_REAL_PRICE_PRE_TREAT_REFINING_PLAT" hidden="1">"c9149"</definedName>
    <definedName name="IQ_AVG_REAL_PRICE_PRE_TREAT_REFINING_SILVER" hidden="1">"c9096"</definedName>
    <definedName name="IQ_AVG_REAL_PRICE_PRE_TREAT_REFINING_TITAN" hidden="1">"c9576"</definedName>
    <definedName name="IQ_AVG_REAL_PRICE_PRE_TREAT_REFINING_URAN" hidden="1">"c9629"</definedName>
    <definedName name="IQ_AVG_REAL_PRICE_PRE_TREAT_REFINING_ZINC" hidden="1">"c9364"</definedName>
    <definedName name="IQ_AVG_REALIZED_PRICE_AFTER_HEDGING_ALUM" hidden="1">"c9257"</definedName>
    <definedName name="IQ_AVG_REALIZED_PRICE_AFTER_HEDGING_COAL" hidden="1">"c9830"</definedName>
    <definedName name="IQ_AVG_REALIZED_PRICE_AFTER_HEDGING_COP" hidden="1">"c9204"</definedName>
    <definedName name="IQ_AVG_REALIZED_PRICE_AFTER_HEDGING_DIAM" hidden="1">"c9681"</definedName>
    <definedName name="IQ_AVG_REALIZED_PRICE_AFTER_HEDGING_GOLD" hidden="1">"c9042"</definedName>
    <definedName name="IQ_AVG_REALIZED_PRICE_AFTER_HEDGING_IRON" hidden="1">"c9416"</definedName>
    <definedName name="IQ_AVG_REALIZED_PRICE_AFTER_HEDGING_LEAD" hidden="1">"c9469"</definedName>
    <definedName name="IQ_AVG_REALIZED_PRICE_AFTER_HEDGING_MANG" hidden="1">"c9522"</definedName>
    <definedName name="IQ_AVG_REALIZED_PRICE_AFTER_HEDGING_MET_COAL" hidden="1">"c9766"</definedName>
    <definedName name="IQ_AVG_REALIZED_PRICE_AFTER_HEDGING_MOLYB" hidden="1">"c9734"</definedName>
    <definedName name="IQ_AVG_REALIZED_PRICE_AFTER_HEDGING_NICK" hidden="1">"c9310"</definedName>
    <definedName name="IQ_AVG_REALIZED_PRICE_AFTER_HEDGING_PLAT" hidden="1">"c9148"</definedName>
    <definedName name="IQ_AVG_REALIZED_PRICE_AFTER_HEDGING_SILVER" hidden="1">"c9095"</definedName>
    <definedName name="IQ_AVG_REALIZED_PRICE_AFTER_HEDGING_STEAM" hidden="1">"c9796"</definedName>
    <definedName name="IQ_AVG_REALIZED_PRICE_AFTER_HEDGING_TITAN" hidden="1">"c9575"</definedName>
    <definedName name="IQ_AVG_REALIZED_PRICE_AFTER_HEDGING_URAN" hidden="1">"c9628"</definedName>
    <definedName name="IQ_AVG_REALIZED_PRICE_AFTER_HEDGING_ZINC" hidden="1">"c9363"</definedName>
    <definedName name="IQ_AVG_REALIZED_PRICE_BEFORE_HEDGING_ALUM" hidden="1">"c9256"</definedName>
    <definedName name="IQ_AVG_REALIZED_PRICE_BEFORE_HEDGING_COAL" hidden="1">"c9829"</definedName>
    <definedName name="IQ_AVG_REALIZED_PRICE_BEFORE_HEDGING_COP" hidden="1">"c9203"</definedName>
    <definedName name="IQ_AVG_REALIZED_PRICE_BEFORE_HEDGING_DIAM" hidden="1">"c9680"</definedName>
    <definedName name="IQ_AVG_REALIZED_PRICE_BEFORE_HEDGING_GOLD" hidden="1">"c9041"</definedName>
    <definedName name="IQ_AVG_REALIZED_PRICE_BEFORE_HEDGING_IRON" hidden="1">"c9415"</definedName>
    <definedName name="IQ_AVG_REALIZED_PRICE_BEFORE_HEDGING_LEAD" hidden="1">"c9468"</definedName>
    <definedName name="IQ_AVG_REALIZED_PRICE_BEFORE_HEDGING_MANG" hidden="1">"c9521"</definedName>
    <definedName name="IQ_AVG_REALIZED_PRICE_BEFORE_HEDGING_MET_COAL" hidden="1">"c9765"</definedName>
    <definedName name="IQ_AVG_REALIZED_PRICE_BEFORE_HEDGING_MOLYB" hidden="1">"c9733"</definedName>
    <definedName name="IQ_AVG_REALIZED_PRICE_BEFORE_HEDGING_NICK" hidden="1">"c9309"</definedName>
    <definedName name="IQ_AVG_REALIZED_PRICE_BEFORE_HEDGING_PLAT" hidden="1">"c9147"</definedName>
    <definedName name="IQ_AVG_REALIZED_PRICE_BEFORE_HEDGING_SILVER" hidden="1">"c9094"</definedName>
    <definedName name="IQ_AVG_REALIZED_PRICE_BEFORE_HEDGING_STEAM" hidden="1">"c9795"</definedName>
    <definedName name="IQ_AVG_REALIZED_PRICE_BEFORE_HEDGING_TITAN" hidden="1">"c9574"</definedName>
    <definedName name="IQ_AVG_REALIZED_PRICE_BEFORE_HEDGING_URAN" hidden="1">"c9627"</definedName>
    <definedName name="IQ_AVG_REALIZED_PRICE_BEFORE_HEDGING_ZINC" hidden="1">"c9362"</definedName>
    <definedName name="IQ_AVG_REV_PER_TRADE" hidden="1">"c20431"</definedName>
    <definedName name="IQ_AVG_SHAREOUTSTANDING" hidden="1">"c83"</definedName>
    <definedName name="IQ_AVG_TEMP_EMPLOYEES" hidden="1">"c6020"</definedName>
    <definedName name="IQ_AVG_TEV" hidden="1">"c84"</definedName>
    <definedName name="IQ_AVG_TOTAL_ASSETS_LEVERAGE_CAPITAL_FFIEC" hidden="1">"c13159"</definedName>
    <definedName name="IQ_AVG_TOTAL_ASSETS_LEVERAGE_RATIO_FFIEC" hidden="1">"c13154"</definedName>
    <definedName name="IQ_AVG_TOTAL_ASSETS_THRIFT" hidden="1">"c24946"</definedName>
    <definedName name="IQ_AVG_TOTAL_BORROWINGS_THRIFT" hidden="1">"c24951"</definedName>
    <definedName name="IQ_AVG_VOLUME" hidden="1">"c65"</definedName>
    <definedName name="IQ_AVG_WAGES" hidden="1">"c6812"</definedName>
    <definedName name="IQ_AVG_WAGES_APR" hidden="1">"c7472"</definedName>
    <definedName name="IQ_AVG_WAGES_APR_FC" hidden="1">"c8352"</definedName>
    <definedName name="IQ_AVG_WAGES_FC" hidden="1">"c7692"</definedName>
    <definedName name="IQ_AVG_WAGES_POP" hidden="1">"c7032"</definedName>
    <definedName name="IQ_AVG_WAGES_POP_FC" hidden="1">"c7912"</definedName>
    <definedName name="IQ_AVG_WAGES_YOY" hidden="1">"c7252"</definedName>
    <definedName name="IQ_AVG_WAGES_YOY_FC" hidden="1">"c8132"</definedName>
    <definedName name="IQ_BALANCE_GOODS_APR_FC_UNUSED" hidden="1">"c8353"</definedName>
    <definedName name="IQ_BALANCE_GOODS_APR_FC_UNUSED_UNUSED_UNUSED" hidden="1">"c8353"</definedName>
    <definedName name="IQ_BALANCE_GOODS_APR_UNUSED" hidden="1">"c7473"</definedName>
    <definedName name="IQ_BALANCE_GOODS_APR_UNUSED_UNUSED_UNUSED" hidden="1">"c7473"</definedName>
    <definedName name="IQ_BALANCE_GOODS_FC_UNUSED" hidden="1">"c7693"</definedName>
    <definedName name="IQ_BALANCE_GOODS_FC_UNUSED_UNUSED_UNUSED" hidden="1">"c7693"</definedName>
    <definedName name="IQ_BALANCE_GOODS_POP_FC_UNUSED" hidden="1">"c7913"</definedName>
    <definedName name="IQ_BALANCE_GOODS_POP_FC_UNUSED_UNUSED_UNUSED" hidden="1">"c7913"</definedName>
    <definedName name="IQ_BALANCE_GOODS_POP_UNUSED" hidden="1">"c7033"</definedName>
    <definedName name="IQ_BALANCE_GOODS_POP_UNUSED_UNUSED_UNUSED" hidden="1">"c7033"</definedName>
    <definedName name="IQ_BALANCE_GOODS_REAL" hidden="1">"c6952"</definedName>
    <definedName name="IQ_BALANCE_GOODS_REAL_APR" hidden="1">"c7612"</definedName>
    <definedName name="IQ_BALANCE_GOODS_REAL_APR_FC" hidden="1">"c8492"</definedName>
    <definedName name="IQ_BALANCE_GOODS_REAL_FC" hidden="1">"c7832"</definedName>
    <definedName name="IQ_BALANCE_GOODS_REAL_POP" hidden="1">"c7172"</definedName>
    <definedName name="IQ_BALANCE_GOODS_REAL_POP_FC" hidden="1">"c8052"</definedName>
    <definedName name="IQ_BALANCE_GOODS_REAL_SAAR" hidden="1">"c6953"</definedName>
    <definedName name="IQ_BALANCE_GOODS_REAL_SAAR_APR" hidden="1">"c7613"</definedName>
    <definedName name="IQ_BALANCE_GOODS_REAL_SAAR_APR_FC" hidden="1">"c8493"</definedName>
    <definedName name="IQ_BALANCE_GOODS_REAL_SAAR_FC" hidden="1">"c7833"</definedName>
    <definedName name="IQ_BALANCE_GOODS_REAL_SAAR_POP" hidden="1">"c7173"</definedName>
    <definedName name="IQ_BALANCE_GOODS_REAL_SAAR_POP_FC" hidden="1">"c8053"</definedName>
    <definedName name="IQ_BALANCE_GOODS_REAL_SAAR_USD_APR_FC" hidden="1">"c11893"</definedName>
    <definedName name="IQ_BALANCE_GOODS_REAL_SAAR_USD_FC" hidden="1">"c11890"</definedName>
    <definedName name="IQ_BALANCE_GOODS_REAL_SAAR_USD_POP_FC" hidden="1">"c11891"</definedName>
    <definedName name="IQ_BALANCE_GOODS_REAL_SAAR_USD_YOY_FC" hidden="1">"c11892"</definedName>
    <definedName name="IQ_BALANCE_GOODS_REAL_SAAR_YOY" hidden="1">"c7393"</definedName>
    <definedName name="IQ_BALANCE_GOODS_REAL_SAAR_YOY_FC" hidden="1">"c8273"</definedName>
    <definedName name="IQ_BALANCE_GOODS_REAL_USD_APR_FC" hidden="1">"c11889"</definedName>
    <definedName name="IQ_BALANCE_GOODS_REAL_USD_FC" hidden="1">"c11886"</definedName>
    <definedName name="IQ_BALANCE_GOODS_REAL_USD_POP_FC" hidden="1">"c11887"</definedName>
    <definedName name="IQ_BALANCE_GOODS_REAL_USD_YOY_FC" hidden="1">"c11888"</definedName>
    <definedName name="IQ_BALANCE_GOODS_REAL_YOY" hidden="1">"c7392"</definedName>
    <definedName name="IQ_BALANCE_GOODS_REAL_YOY_FC" hidden="1">"c8272"</definedName>
    <definedName name="IQ_BALANCE_GOODS_SAAR" hidden="1">"c6814"</definedName>
    <definedName name="IQ_BALANCE_GOODS_SAAR_APR" hidden="1">"c7474"</definedName>
    <definedName name="IQ_BALANCE_GOODS_SAAR_APR_FC" hidden="1">"c8354"</definedName>
    <definedName name="IQ_BALANCE_GOODS_SAAR_FC" hidden="1">"c7694"</definedName>
    <definedName name="IQ_BALANCE_GOODS_SAAR_POP" hidden="1">"c7034"</definedName>
    <definedName name="IQ_BALANCE_GOODS_SAAR_POP_FC" hidden="1">"c7914"</definedName>
    <definedName name="IQ_BALANCE_GOODS_SAAR_USD_APR_FC" hidden="1">"c11762"</definedName>
    <definedName name="IQ_BALANCE_GOODS_SAAR_USD_FC" hidden="1">"c11759"</definedName>
    <definedName name="IQ_BALANCE_GOODS_SAAR_USD_POP_FC" hidden="1">"c11760"</definedName>
    <definedName name="IQ_BALANCE_GOODS_SAAR_USD_YOY_FC" hidden="1">"c11761"</definedName>
    <definedName name="IQ_BALANCE_GOODS_SAAR_YOY" hidden="1">"c7254"</definedName>
    <definedName name="IQ_BALANCE_GOODS_SAAR_YOY_FC" hidden="1">"c8134"</definedName>
    <definedName name="IQ_BALANCE_GOODS_UNUSED" hidden="1">"c6813"</definedName>
    <definedName name="IQ_BALANCE_GOODS_UNUSED_UNUSED_UNUSED" hidden="1">"c6813"</definedName>
    <definedName name="IQ_BALANCE_GOODS_USD_APR_FC" hidden="1">"c11758"</definedName>
    <definedName name="IQ_BALANCE_GOODS_USD_FC" hidden="1">"c11755"</definedName>
    <definedName name="IQ_BALANCE_GOODS_USD_POP_FC" hidden="1">"c11756"</definedName>
    <definedName name="IQ_BALANCE_GOODS_USD_YOY_FC" hidden="1">"c11757"</definedName>
    <definedName name="IQ_BALANCE_GOODS_YOY_FC_UNUSED" hidden="1">"c8133"</definedName>
    <definedName name="IQ_BALANCE_GOODS_YOY_FC_UNUSED_UNUSED_UNUSED" hidden="1">"c8133"</definedName>
    <definedName name="IQ_BALANCE_GOODS_YOY_UNUSED" hidden="1">"c7253"</definedName>
    <definedName name="IQ_BALANCE_GOODS_YOY_UNUSED_UNUSED_UNUSED" hidden="1">"c7253"</definedName>
    <definedName name="IQ_BALANCE_SERV_APR_FC_UNUSED" hidden="1">"c8355"</definedName>
    <definedName name="IQ_BALANCE_SERV_APR_FC_UNUSED_UNUSED_UNUSED" hidden="1">"c8355"</definedName>
    <definedName name="IQ_BALANCE_SERV_APR_UNUSED" hidden="1">"c7475"</definedName>
    <definedName name="IQ_BALANCE_SERV_APR_UNUSED_UNUSED_UNUSED" hidden="1">"c7475"</definedName>
    <definedName name="IQ_BALANCE_SERV_FC_UNUSED" hidden="1">"c7695"</definedName>
    <definedName name="IQ_BALANCE_SERV_FC_UNUSED_UNUSED_UNUSED" hidden="1">"c7695"</definedName>
    <definedName name="IQ_BALANCE_SERV_POP_FC_UNUSED" hidden="1">"c7915"</definedName>
    <definedName name="IQ_BALANCE_SERV_POP_FC_UNUSED_UNUSED_UNUSED" hidden="1">"c7915"</definedName>
    <definedName name="IQ_BALANCE_SERV_POP_UNUSED" hidden="1">"c7035"</definedName>
    <definedName name="IQ_BALANCE_SERV_POP_UNUSED_UNUSED_UNUSED" hidden="1">"c7035"</definedName>
    <definedName name="IQ_BALANCE_SERV_SAAR" hidden="1">"c6816"</definedName>
    <definedName name="IQ_BALANCE_SERV_SAAR_APR" hidden="1">"c7476"</definedName>
    <definedName name="IQ_BALANCE_SERV_SAAR_APR_FC" hidden="1">"c8356"</definedName>
    <definedName name="IQ_BALANCE_SERV_SAAR_FC" hidden="1">"c7696"</definedName>
    <definedName name="IQ_BALANCE_SERV_SAAR_POP" hidden="1">"c7036"</definedName>
    <definedName name="IQ_BALANCE_SERV_SAAR_POP_FC" hidden="1">"c7916"</definedName>
    <definedName name="IQ_BALANCE_SERV_SAAR_YOY" hidden="1">"c7256"</definedName>
    <definedName name="IQ_BALANCE_SERV_SAAR_YOY_FC" hidden="1">"c8136"</definedName>
    <definedName name="IQ_BALANCE_SERV_UNUSED" hidden="1">"c6815"</definedName>
    <definedName name="IQ_BALANCE_SERV_UNUSED_UNUSED_UNUSED" hidden="1">"c6815"</definedName>
    <definedName name="IQ_BALANCE_SERV_USD_APR_FC" hidden="1">"c11766"</definedName>
    <definedName name="IQ_BALANCE_SERV_USD_FC" hidden="1">"c11763"</definedName>
    <definedName name="IQ_BALANCE_SERV_USD_POP_FC" hidden="1">"c11764"</definedName>
    <definedName name="IQ_BALANCE_SERV_USD_YOY_FC" hidden="1">"c11765"</definedName>
    <definedName name="IQ_BALANCE_SERV_YOY_FC_UNUSED" hidden="1">"c8135"</definedName>
    <definedName name="IQ_BALANCE_SERV_YOY_FC_UNUSED_UNUSED_UNUSED" hidden="1">"c8135"</definedName>
    <definedName name="IQ_BALANCE_SERV_YOY_UNUSED" hidden="1">"c7255"</definedName>
    <definedName name="IQ_BALANCE_SERV_YOY_UNUSED_UNUSED_UNUSED" hidden="1">"c7255"</definedName>
    <definedName name="IQ_BALANCE_SERVICES_REAL" hidden="1">"c6954"</definedName>
    <definedName name="IQ_BALANCE_SERVICES_REAL_APR" hidden="1">"c7614"</definedName>
    <definedName name="IQ_BALANCE_SERVICES_REAL_APR_FC" hidden="1">"c8494"</definedName>
    <definedName name="IQ_BALANCE_SERVICES_REAL_FC" hidden="1">"c7834"</definedName>
    <definedName name="IQ_BALANCE_SERVICES_REAL_POP" hidden="1">"c7174"</definedName>
    <definedName name="IQ_BALANCE_SERVICES_REAL_POP_FC" hidden="1">"c8054"</definedName>
    <definedName name="IQ_BALANCE_SERVICES_REAL_SAAR" hidden="1">"c6955"</definedName>
    <definedName name="IQ_BALANCE_SERVICES_REAL_SAAR_APR" hidden="1">"c7615"</definedName>
    <definedName name="IQ_BALANCE_SERVICES_REAL_SAAR_APR_FC" hidden="1">"c8495"</definedName>
    <definedName name="IQ_BALANCE_SERVICES_REAL_SAAR_FC" hidden="1">"c7835"</definedName>
    <definedName name="IQ_BALANCE_SERVICES_REAL_SAAR_POP" hidden="1">"c7175"</definedName>
    <definedName name="IQ_BALANCE_SERVICES_REAL_SAAR_POP_FC" hidden="1">"c8055"</definedName>
    <definedName name="IQ_BALANCE_SERVICES_REAL_SAAR_YOY" hidden="1">"c7395"</definedName>
    <definedName name="IQ_BALANCE_SERVICES_REAL_SAAR_YOY_FC" hidden="1">"c8275"</definedName>
    <definedName name="IQ_BALANCE_SERVICES_REAL_USD_APR_FC" hidden="1">"c11897"</definedName>
    <definedName name="IQ_BALANCE_SERVICES_REAL_USD_FC" hidden="1">"c11894"</definedName>
    <definedName name="IQ_BALANCE_SERVICES_REAL_USD_POP_FC" hidden="1">"c11895"</definedName>
    <definedName name="IQ_BALANCE_SERVICES_REAL_USD_YOY_FC" hidden="1">"c11896"</definedName>
    <definedName name="IQ_BALANCE_SERVICES_REAL_YOY" hidden="1">"c7394"</definedName>
    <definedName name="IQ_BALANCE_SERVICES_REAL_YOY_FC" hidden="1">"c8274"</definedName>
    <definedName name="IQ_BALANCE_SHEET_AP" hidden="1">"c25883"</definedName>
    <definedName name="IQ_BALANCE_SHEET_AP_CO" hidden="1">"c25884"</definedName>
    <definedName name="IQ_BALANCE_SHEET_INDUSTRY" hidden="1">"c25879"</definedName>
    <definedName name="IQ_BALANCE_SHEET_INDUSTRY_CO" hidden="1">"c25880"</definedName>
    <definedName name="IQ_BALANCE_SHEET_STANDARD" hidden="1">"c25881"</definedName>
    <definedName name="IQ_BALANCE_SHEET_STANDARD_CO" hidden="1">"c25882"</definedName>
    <definedName name="IQ_BALANCE_TRADE_APR_FC_UNUSED" hidden="1">"c8357"</definedName>
    <definedName name="IQ_BALANCE_TRADE_APR_FC_UNUSED_UNUSED_UNUSED" hidden="1">"c8357"</definedName>
    <definedName name="IQ_BALANCE_TRADE_APR_UNUSED" hidden="1">"c7477"</definedName>
    <definedName name="IQ_BALANCE_TRADE_APR_UNUSED_UNUSED_UNUSED" hidden="1">"c7477"</definedName>
    <definedName name="IQ_BALANCE_TRADE_FC_UNUSED" hidden="1">"c7697"</definedName>
    <definedName name="IQ_BALANCE_TRADE_FC_UNUSED_UNUSED_UNUSED" hidden="1">"c7697"</definedName>
    <definedName name="IQ_BALANCE_TRADE_POP_FC_UNUSED" hidden="1">"c7917"</definedName>
    <definedName name="IQ_BALANCE_TRADE_POP_FC_UNUSED_UNUSED_UNUSED" hidden="1">"c7917"</definedName>
    <definedName name="IQ_BALANCE_TRADE_POP_UNUSED" hidden="1">"c7037"</definedName>
    <definedName name="IQ_BALANCE_TRADE_POP_UNUSED_UNUSED_UNUSED" hidden="1">"c7037"</definedName>
    <definedName name="IQ_BALANCE_TRADE_REAL" hidden="1">"c6956"</definedName>
    <definedName name="IQ_BALANCE_TRADE_REAL_APR" hidden="1">"c7616"</definedName>
    <definedName name="IQ_BALANCE_TRADE_REAL_APR_FC" hidden="1">"c8496"</definedName>
    <definedName name="IQ_BALANCE_TRADE_REAL_FC" hidden="1">"c7836"</definedName>
    <definedName name="IQ_BALANCE_TRADE_REAL_POP" hidden="1">"c7176"</definedName>
    <definedName name="IQ_BALANCE_TRADE_REAL_POP_FC" hidden="1">"c8056"</definedName>
    <definedName name="IQ_BALANCE_TRADE_REAL_SAAR" hidden="1">"c6957"</definedName>
    <definedName name="IQ_BALANCE_TRADE_REAL_SAAR_APR" hidden="1">"c7617"</definedName>
    <definedName name="IQ_BALANCE_TRADE_REAL_SAAR_APR_FC" hidden="1">"c8497"</definedName>
    <definedName name="IQ_BALANCE_TRADE_REAL_SAAR_FC" hidden="1">"c7837"</definedName>
    <definedName name="IQ_BALANCE_TRADE_REAL_SAAR_POP" hidden="1">"c7177"</definedName>
    <definedName name="IQ_BALANCE_TRADE_REAL_SAAR_POP_FC" hidden="1">"c8057"</definedName>
    <definedName name="IQ_BALANCE_TRADE_REAL_SAAR_USD_APR_FC" hidden="1">"c11905"</definedName>
    <definedName name="IQ_BALANCE_TRADE_REAL_SAAR_USD_FC" hidden="1">"c11902"</definedName>
    <definedName name="IQ_BALANCE_TRADE_REAL_SAAR_USD_POP_FC" hidden="1">"c11903"</definedName>
    <definedName name="IQ_BALANCE_TRADE_REAL_SAAR_USD_YOY_FC" hidden="1">"c11904"</definedName>
    <definedName name="IQ_BALANCE_TRADE_REAL_SAAR_YOY" hidden="1">"c7397"</definedName>
    <definedName name="IQ_BALANCE_TRADE_REAL_SAAR_YOY_FC" hidden="1">"c8277"</definedName>
    <definedName name="IQ_BALANCE_TRADE_REAL_USD_APR_FC" hidden="1">"c11901"</definedName>
    <definedName name="IQ_BALANCE_TRADE_REAL_USD_FC" hidden="1">"c11898"</definedName>
    <definedName name="IQ_BALANCE_TRADE_REAL_USD_POP_FC" hidden="1">"c11899"</definedName>
    <definedName name="IQ_BALANCE_TRADE_REAL_USD_YOY_FC" hidden="1">"c11900"</definedName>
    <definedName name="IQ_BALANCE_TRADE_REAL_YOY" hidden="1">"c7396"</definedName>
    <definedName name="IQ_BALANCE_TRADE_REAL_YOY_FC" hidden="1">"c8276"</definedName>
    <definedName name="IQ_BALANCE_TRADE_SAAR" hidden="1">"c6818"</definedName>
    <definedName name="IQ_BALANCE_TRADE_SAAR_APR" hidden="1">"c7478"</definedName>
    <definedName name="IQ_BALANCE_TRADE_SAAR_APR_FC" hidden="1">"c8358"</definedName>
    <definedName name="IQ_BALANCE_TRADE_SAAR_FC" hidden="1">"c7698"</definedName>
    <definedName name="IQ_BALANCE_TRADE_SAAR_POP" hidden="1">"c7038"</definedName>
    <definedName name="IQ_BALANCE_TRADE_SAAR_POP_FC" hidden="1">"c7918"</definedName>
    <definedName name="IQ_BALANCE_TRADE_SAAR_USD_APR_FC" hidden="1">"c11774"</definedName>
    <definedName name="IQ_BALANCE_TRADE_SAAR_USD_FC" hidden="1">"c11771"</definedName>
    <definedName name="IQ_BALANCE_TRADE_SAAR_USD_POP_FC" hidden="1">"c11772"</definedName>
    <definedName name="IQ_BALANCE_TRADE_SAAR_USD_YOY_FC" hidden="1">"c11773"</definedName>
    <definedName name="IQ_BALANCE_TRADE_SAAR_YOY" hidden="1">"c7258"</definedName>
    <definedName name="IQ_BALANCE_TRADE_SAAR_YOY_FC" hidden="1">"c8138"</definedName>
    <definedName name="IQ_BALANCE_TRADE_UNUSED" hidden="1">"c6817"</definedName>
    <definedName name="IQ_BALANCE_TRADE_UNUSED_UNUSED_UNUSED" hidden="1">"c6817"</definedName>
    <definedName name="IQ_BALANCE_TRADE_USD_APR_FC" hidden="1">"c11770"</definedName>
    <definedName name="IQ_BALANCE_TRADE_USD_FC" hidden="1">"c11767"</definedName>
    <definedName name="IQ_BALANCE_TRADE_USD_POP_FC" hidden="1">"c11768"</definedName>
    <definedName name="IQ_BALANCE_TRADE_USD_YOY_FC" hidden="1">"c11769"</definedName>
    <definedName name="IQ_BALANCE_TRADE_YOY_FC_UNUSED" hidden="1">"c8137"</definedName>
    <definedName name="IQ_BALANCE_TRADE_YOY_FC_UNUSED_UNUSED_UNUSED" hidden="1">"c8137"</definedName>
    <definedName name="IQ_BALANCE_TRADE_YOY_UNUSED" hidden="1">"c7257"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LOAN_LIST" hidden="1">"c13507"</definedName>
    <definedName name="IQ_BANK_OWNED_LIFE_INSURANCE_THRIFT" hidden="1">"c24884"</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ING_FEES_OPERATING_INC_FFIEC" hidden="1">"c13386"</definedName>
    <definedName name="IQ_BANKS_FOREIGN_COUNTRIES_NON_TRANS_ACCTS_FFIEC" hidden="1">"c15326"</definedName>
    <definedName name="IQ_BANKS_FOREIGN_COUNTRIES_TOTAL_DEPOSITS_FDIC" hidden="1">"c6475"</definedName>
    <definedName name="IQ_BANKS_FOREIGN_COUNTRIES_TRANS_ACCTS_FFIEC" hidden="1">"c15318"</definedName>
    <definedName name="IQ_BASE_RENT" hidden="1">"c16017"</definedName>
    <definedName name="IQ_BASE_RENT_OPERATING_LEASE_EXPIRING_AFTER_FIVE" hidden="1">"c16107"</definedName>
    <definedName name="IQ_BASE_RENT_OPERATING_LEASE_EXPIRING_CY" hidden="1">"c16101"</definedName>
    <definedName name="IQ_BASE_RENT_OPERATING_LEASE_EXPIRING_CY1" hidden="1">"c16102"</definedName>
    <definedName name="IQ_BASE_RENT_OPERATING_LEASE_EXPIRING_CY2" hidden="1">"c16103"</definedName>
    <definedName name="IQ_BASE_RENT_OPERATING_LEASE_EXPIRING_CY3" hidden="1">"c16104"</definedName>
    <definedName name="IQ_BASE_RENT_OPERATING_LEASE_EXPIRING_CY4" hidden="1">"c16105"</definedName>
    <definedName name="IQ_BASE_RENT_OPERATING_LEASE_EXPIRING_NEXT_FIVE" hidden="1">"c16106"</definedName>
    <definedName name="IQ_BASE_RENT_OPERATING_LEASE_EXPIRING_TOTAL" hidden="1">"c16108"</definedName>
    <definedName name="IQ_BASE_RENT_RENTAL_REVENUE" hidden="1">"c16062"</definedName>
    <definedName name="IQ_BASIC_EPS_EXCL" hidden="1">"c85"</definedName>
    <definedName name="IQ_BASIC_EPS_INCL" hidden="1">"c86"</definedName>
    <definedName name="IQ_BASIC_NAV_SHARES" hidden="1">"c16012"</definedName>
    <definedName name="IQ_BASIC_NORMAL_EPS" hidden="1">"c1592"</definedName>
    <definedName name="IQ_BASIC_OUTSTANDING_CURRENT_EST" hidden="1">"c4128"</definedName>
    <definedName name="IQ_BASIC_OUTSTANDING_CURRENT_EST_CIQ" hidden="1">"c4541"</definedName>
    <definedName name="IQ_BASIC_OUTSTANDING_CURRENT_HIGH_EST" hidden="1">"c4129"</definedName>
    <definedName name="IQ_BASIC_OUTSTANDING_CURRENT_HIGH_EST_CIQ" hidden="1">"c4542"</definedName>
    <definedName name="IQ_BASIC_OUTSTANDING_CURRENT_LOW_EST" hidden="1">"c4130"</definedName>
    <definedName name="IQ_BASIC_OUTSTANDING_CURRENT_LOW_EST_CIQ" hidden="1">"c4543"</definedName>
    <definedName name="IQ_BASIC_OUTSTANDING_CURRENT_MEDIAN_EST" hidden="1">"c4131"</definedName>
    <definedName name="IQ_BASIC_OUTSTANDING_CURRENT_MEDIAN_EST_CIQ" hidden="1">"c4544"</definedName>
    <definedName name="IQ_BASIC_OUTSTANDING_CURRENT_NUM_EST" hidden="1">"c4132"</definedName>
    <definedName name="IQ_BASIC_OUTSTANDING_CURRENT_NUM_EST_CIQ" hidden="1">"c4545"</definedName>
    <definedName name="IQ_BASIC_OUTSTANDING_CURRENT_STDDEV_EST" hidden="1">"c4133"</definedName>
    <definedName name="IQ_BASIC_OUTSTANDING_CURRENT_STDDEV_EST_CIQ" hidden="1">"c4546"</definedName>
    <definedName name="IQ_BASIC_OUTSTANDING_EST" hidden="1">"c4134"</definedName>
    <definedName name="IQ_BASIC_OUTSTANDING_EST_CIQ" hidden="1">"c4547"</definedName>
    <definedName name="IQ_BASIC_OUTSTANDING_HIGH_EST" hidden="1">"c4135"</definedName>
    <definedName name="IQ_BASIC_OUTSTANDING_HIGH_EST_CIQ" hidden="1">"c4548"</definedName>
    <definedName name="IQ_BASIC_OUTSTANDING_LOW_EST" hidden="1">"c4136"</definedName>
    <definedName name="IQ_BASIC_OUTSTANDING_LOW_EST_CIQ" hidden="1">"c4549"</definedName>
    <definedName name="IQ_BASIC_OUTSTANDING_MEDIAN_EST" hidden="1">"c4137"</definedName>
    <definedName name="IQ_BASIC_OUTSTANDING_MEDIAN_EST_CIQ" hidden="1">"c4550"</definedName>
    <definedName name="IQ_BASIC_OUTSTANDING_NUM_EST" hidden="1">"c4138"</definedName>
    <definedName name="IQ_BASIC_OUTSTANDING_NUM_EST_CIQ" hidden="1">"c4551"</definedName>
    <definedName name="IQ_BASIC_OUTSTANDING_STDDEV_EST" hidden="1">"c4139"</definedName>
    <definedName name="IQ_BASIC_OUTSTANDING_STDDEV_EST_CIQ" hidden="1">"c4552"</definedName>
    <definedName name="IQ_BASIC_WEIGHT" hidden="1">"c87"</definedName>
    <definedName name="IQ_BASIC_WEIGHT_EST" hidden="1">"c4140"</definedName>
    <definedName name="IQ_BASIC_WEIGHT_EST_CIQ" hidden="1">"c4553"</definedName>
    <definedName name="IQ_BASIC_WEIGHT_GUIDANCE" hidden="1">"c4141"</definedName>
    <definedName name="IQ_BASIC_WEIGHT_HIGH_EST" hidden="1">"c4142"</definedName>
    <definedName name="IQ_BASIC_WEIGHT_HIGH_EST_CIQ" hidden="1">"c4554"</definedName>
    <definedName name="IQ_BASIC_WEIGHT_LOW_EST" hidden="1">"c4143"</definedName>
    <definedName name="IQ_BASIC_WEIGHT_LOW_EST_CIQ" hidden="1">"c4555"</definedName>
    <definedName name="IQ_BASIC_WEIGHT_MEDIAN_EST" hidden="1">"c4144"</definedName>
    <definedName name="IQ_BASIC_WEIGHT_MEDIAN_EST_CIQ" hidden="1">"c4556"</definedName>
    <definedName name="IQ_BASIC_WEIGHT_NUM_EST" hidden="1">"c4145"</definedName>
    <definedName name="IQ_BASIC_WEIGHT_NUM_EST_CIQ" hidden="1">"c4557"</definedName>
    <definedName name="IQ_BASIC_WEIGHT_STDDEV_EST" hidden="1">"c4146"</definedName>
    <definedName name="IQ_BASIC_WEIGHT_STDDEV_EST_CIQ" hidden="1">"c4558"</definedName>
    <definedName name="IQ_BEGINNING_BALANCE_GVA_THRIFT" hidden="1">"c25091"</definedName>
    <definedName name="IQ_BEGINNING_BALANCE_REPORTED_QUARTERLY_BALANCE_GVA_THRIFT" hidden="1">"c25090"</definedName>
    <definedName name="IQ_BEGINNING_BALANCE_REPORTED_QUARTERLY_BALANCE_SVA_THRIFT" hidden="1">"c25098"</definedName>
    <definedName name="IQ_BEGINNING_BALANCE_REPORTED_QUARTERLY_BALANCE_TVA_THRIFT" hidden="1">"c25105"</definedName>
    <definedName name="IQ_BEGINNING_BALANCE_SVA_THRIFT" hidden="1">"c25099"</definedName>
    <definedName name="IQ_BEGINNING_BALANCE_TVA_THRIFT" hidden="1">"c25106"</definedName>
    <definedName name="IQ_BENCHMARK_SECURITY" hidden="1">"c2154"</definedName>
    <definedName name="IQ_BENCHMARK_SPRD" hidden="1">"c2153"</definedName>
    <definedName name="IQ_BENCHMARK_YIELD" hidden="1">"c8955"</definedName>
    <definedName name="IQ_BETA" hidden="1">"c88"</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ALL_OTHER_COMP" hidden="1">"c18992"</definedName>
    <definedName name="IQ_BOARD_MEMBER_ANNUAL_CASH_COMP" hidden="1">"c18993"</definedName>
    <definedName name="IQ_BOARD_MEMBER_AS_REPORTED_COMP" hidden="1">"c18997"</definedName>
    <definedName name="IQ_BOARD_MEMBER_AS_REPORTED_DIRECTOR_COMP" hidden="1">"c19009"</definedName>
    <definedName name="IQ_BOARD_MEMBER_ASSISTANT_EMAIL" hidden="1">"c15179"</definedName>
    <definedName name="IQ_BOARD_MEMBER_ASSISTANT_FAX" hidden="1">"c15181"</definedName>
    <definedName name="IQ_BOARD_MEMBER_ASSISTANT_NAME" hidden="1">"c15178"</definedName>
    <definedName name="IQ_BOARD_MEMBER_ASSISTANT_PHONE" hidden="1">"c15180"</definedName>
    <definedName name="IQ_BOARD_MEMBER_BACKGROUND" hidden="1">"c2101"</definedName>
    <definedName name="IQ_BOARD_MEMBER_BONUS" hidden="1">"c18988"</definedName>
    <definedName name="IQ_BOARD_MEMBER_CALCULATED_COMP" hidden="1">"c18995"</definedName>
    <definedName name="IQ_BOARD_MEMBER_CHANGE_PENSION" hidden="1">"c19010"</definedName>
    <definedName name="IQ_BOARD_MEMBER_DIRECT_FAX" hidden="1">"c15176"</definedName>
    <definedName name="IQ_BOARD_MEMBER_DIRECT_PHONE" hidden="1">"c15175"</definedName>
    <definedName name="IQ_BOARD_MEMBER_DIRECTOR_BONUS" hidden="1">"c19004"</definedName>
    <definedName name="IQ_BOARD_MEMBER_DIRECTOR_CHANGE_PENSION" hidden="1">"c19005"</definedName>
    <definedName name="IQ_BOARD_MEMBER_DIRECTOR_FEE" hidden="1">"c19001"</definedName>
    <definedName name="IQ_BOARD_MEMBER_DIRECTOR_NON_EQUITY_COMP" hidden="1">"c19006"</definedName>
    <definedName name="IQ_BOARD_MEMBER_DIRECTOR_OPTION_AWARDS" hidden="1">"c19002"</definedName>
    <definedName name="IQ_BOARD_MEMBER_DIRECTOR_OTHER" hidden="1">"c19003"</definedName>
    <definedName name="IQ_BOARD_MEMBER_DIRECTOR_STOCK_AWARDS" hidden="1">"c19007"</definedName>
    <definedName name="IQ_BOARD_MEMBER_DIRECTOR_STOCK_GRANTS" hidden="1">"c19034"</definedName>
    <definedName name="IQ_BOARD_MEMBER_DIRECTOR_STOCK_OPTIONS" hidden="1">"c19008"</definedName>
    <definedName name="IQ_BOARD_MEMBER_EMAIL" hidden="1">"c15177"</definedName>
    <definedName name="IQ_BOARD_MEMBER_EQUITY_INCENTIVE" hidden="1">"c19030"</definedName>
    <definedName name="IQ_BOARD_MEMBER_EST_PAYMENTS_CHANGE_CONTROL" hidden="1">"c18999"</definedName>
    <definedName name="IQ_BOARD_MEMBER_EST_PAYMENTS_TERMINATION" hidden="1">"c19011"</definedName>
    <definedName name="IQ_BOARD_MEMBER_EXERCISABLE_OPTIONS" hidden="1">"c19014"</definedName>
    <definedName name="IQ_BOARD_MEMBER_EXERCISABLE_VALUES" hidden="1">"c19015"</definedName>
    <definedName name="IQ_BOARD_MEMBER_EXERCISED_OPTIONS" hidden="1">"c19012"</definedName>
    <definedName name="IQ_BOARD_MEMBER_EXERCISED_VALUES" hidden="1">"c19013"</definedName>
    <definedName name="IQ_BOARD_MEMBER_ID" hidden="1">"c13756"</definedName>
    <definedName name="IQ_BOARD_MEMBER_LT_INCENTIVE" hidden="1">"c18991"</definedName>
    <definedName name="IQ_BOARD_MEMBER_MAIN_FAX" hidden="1">"c15174"</definedName>
    <definedName name="IQ_BOARD_MEMBER_MAIN_PHONE" hidden="1">"c15173"</definedName>
    <definedName name="IQ_BOARD_MEMBER_MARKET_VALUE_SHARES_NOT_VESTED" hidden="1">"c19029"</definedName>
    <definedName name="IQ_BOARD_MEMBER_NON_EQUITY_INCENTIVE" hidden="1">"c19000"</definedName>
    <definedName name="IQ_BOARD_MEMBER_NUM_SHARED_NOT_VESTED" hidden="1">"c19028"</definedName>
    <definedName name="IQ_BOARD_MEMBER_NUM_SHARES_ACQUIRED" hidden="1">"c19026"</definedName>
    <definedName name="IQ_BOARD_MEMBER_OFFICE_ADDRESS" hidden="1">"c15172"</definedName>
    <definedName name="IQ_BOARD_MEMBER_OPTION_AWARDS" hidden="1">"c18996"</definedName>
    <definedName name="IQ_BOARD_MEMBER_OPTION_MARKET_PRICE" hidden="1">"c19025"</definedName>
    <definedName name="IQ_BOARD_MEMBER_OPTION_PRICE" hidden="1">"c19024"</definedName>
    <definedName name="IQ_BOARD_MEMBER_OTHER_ANNUAL_COMP" hidden="1">"c18989"</definedName>
    <definedName name="IQ_BOARD_MEMBER_OTHER_COMP" hidden="1">"c18998"</definedName>
    <definedName name="IQ_BOARD_MEMBER_RESTRICTED_STOCK_COMP" hidden="1">"c18990"</definedName>
    <definedName name="IQ_BOARD_MEMBER_SALARY" hidden="1">"c18987"</definedName>
    <definedName name="IQ_BOARD_MEMBER_ST_COMP" hidden="1">"c18994"</definedName>
    <definedName name="IQ_BOARD_MEMBER_TITLE" hidden="1">"c97"</definedName>
    <definedName name="IQ_BOARD_MEMBER_TOTAL_NUM_STOCK_AWARDS" hidden="1">"c19033"</definedName>
    <definedName name="IQ_BOARD_MEMBER_TOTAL_OPTIONS" hidden="1">"c19022"</definedName>
    <definedName name="IQ_BOARD_MEMBER_TOTAL_STOCK_VALUE" hidden="1">"c19032"</definedName>
    <definedName name="IQ_BOARD_MEMBER_TOTAL_VALUE_OPTIONS" hidden="1">"c19023"</definedName>
    <definedName name="IQ_BOARD_MEMBER_UNCLASSIFIED_OPTIONS" hidden="1">"c19018"</definedName>
    <definedName name="IQ_BOARD_MEMBER_UNCLASSIFIED_OPTIONS_VALUE" hidden="1">"c19019"</definedName>
    <definedName name="IQ_BOARD_MEMBER_UNEARNED_STOCK_VALUE" hidden="1">"c19031"</definedName>
    <definedName name="IQ_BOARD_MEMBER_UNEXERCISABLE_OPTIONS" hidden="1">"c19016"</definedName>
    <definedName name="IQ_BOARD_MEMBER_UNEXERCISABLE_VALUES" hidden="1">"c19017"</definedName>
    <definedName name="IQ_BOARD_MEMBER_UNEXERCISED_UNEARNED_OPTIONS" hidden="1">"c19020"</definedName>
    <definedName name="IQ_BOARD_MEMBER_UNEXERCISED_UNEARNED_OPTIONS_VALUE" hidden="1">"c19021"</definedName>
    <definedName name="IQ_BOARD_MEMBER_VALUE_VESTING" hidden="1">"c19027"</definedName>
    <definedName name="IQ_BOND_COUPON" hidden="1">"c2183"</definedName>
    <definedName name="IQ_BOND_COUPON_TYPE" hidden="1">"c2184"</definedName>
    <definedName name="IQ_BOND_LIST" hidden="1">"c13505"</definedName>
    <definedName name="IQ_BOND_PRICE" hidden="1">"c2162"</definedName>
    <definedName name="IQ_BONDRATING_FITCH" hidden="1">"IQ_BONDRATING_FITCH"</definedName>
    <definedName name="IQ_BONDRATING_SP" hidden="1">"IQ_BONDRATING_SP"</definedName>
    <definedName name="IQ_BOOK_VALUE" hidden="1">"IQ_BOOK_VALUE"</definedName>
    <definedName name="IQ_BOP" hidden="1">"c20560"</definedName>
    <definedName name="IQ_BOP_BALANCE_ON_CURRENT_ACCOUNT" hidden="1">"c20561"</definedName>
    <definedName name="IQ_BOP_BALANCE_ON_GOODS" hidden="1">"c20562"</definedName>
    <definedName name="IQ_BOP_BALANCE_ON_GOODS_SERVICES" hidden="1">"c20563"</definedName>
    <definedName name="IQ_BOP_BALANCE_ON_INCOME" hidden="1">"c20564"</definedName>
    <definedName name="IQ_BOP_BALANCE_ON_SERVICES" hidden="1">"c20565"</definedName>
    <definedName name="IQ_BOP_CAPITAL_TRANSACTION_NET" hidden="1">"c20566"</definedName>
    <definedName name="IQ_BOP_CURRENT_TRANSFER_GOVERNMENT_GRANTS" hidden="1">"c20567"</definedName>
    <definedName name="IQ_BOP_CURRENT_TRANSFER_GOVERNMENT_PENSIONS" hidden="1">"c20568"</definedName>
    <definedName name="IQ_BOP_CURRENT_TRANSFER_NET" hidden="1">"c20569"</definedName>
    <definedName name="IQ_BOP_CURRENT_TRANSFER_PRIVATE_TRANSFER" hidden="1">"c20570"</definedName>
    <definedName name="IQ_BOP_EXPORTS_AND_RECEIPTS" hidden="1">"c20571"</definedName>
    <definedName name="IQ_BOP_EXPORTS_GOODS" hidden="1">"c20572"</definedName>
    <definedName name="IQ_BOP_EXPORTS_GOODS_SERVICES" hidden="1">"c20573"</definedName>
    <definedName name="IQ_BOP_EXPORTS_SERVICES" hidden="1">"c20574"</definedName>
    <definedName name="IQ_BOP_EXPORTS_SERVICES_FARES" hidden="1">"c20575"</definedName>
    <definedName name="IQ_BOP_EXPORTS_SERVICES_GOVERNMENT_MISC" hidden="1">"c20576"</definedName>
    <definedName name="IQ_BOP_EXPORTS_SERVICES_MILITARY_SALES_CONTRACTS" hidden="1">"c20577"</definedName>
    <definedName name="IQ_BOP_EXPORTS_SERVICES_OTHER" hidden="1">"c20578"</definedName>
    <definedName name="IQ_BOP_EXPORTS_SERVICES_ROYALTIES" hidden="1">"c20579"</definedName>
    <definedName name="IQ_BOP_EXPORTS_SERVICES_TRANSPORTATION" hidden="1">"c20580"</definedName>
    <definedName name="IQ_BOP_EXPORTS_SERVICES_TRAVEL" hidden="1">"c20581"</definedName>
    <definedName name="IQ_BOP_FOREIGN_ASSETS" hidden="1">"c20582"</definedName>
    <definedName name="IQ_BOP_FOREIGN_ASSETS_OFFICIAL" hidden="1">"c20583"</definedName>
    <definedName name="IQ_BOP_FOREIGN_ASSETS_OFFICIAL_BANK_LIABILITIES" hidden="1">"c20584"</definedName>
    <definedName name="IQ_BOP_FOREIGN_ASSETS_OFFICIAL_GOVT_LIABILITIES" hidden="1">"c20585"</definedName>
    <definedName name="IQ_BOP_FOREIGN_ASSETS_OFFICIAL_GOVT_SECURITIES" hidden="1">"c20586"</definedName>
    <definedName name="IQ_BOP_FOREIGN_ASSETS_OFFICIAL_GOVT_SECURITIES_OTHER" hidden="1">"c20587"</definedName>
    <definedName name="IQ_BOP_FOREIGN_ASSETS_OFFICIAL_OTHER" hidden="1">"c20588"</definedName>
    <definedName name="IQ_BOP_FOREIGN_ASSETS_OFFICIAL_TREASURIES" hidden="1">"c20589"</definedName>
    <definedName name="IQ_BOP_FOREIGN_ASSETS_OTHER" hidden="1">"c20590"</definedName>
    <definedName name="IQ_BOP_FOREIGN_ASSETS_OTHER_BANK_LIABILITIES" hidden="1">"c20591"</definedName>
    <definedName name="IQ_BOP_FOREIGN_ASSETS_OTHER_CURRENCY" hidden="1">"c20592"</definedName>
    <definedName name="IQ_BOP_FOREIGN_ASSETS_OTHER_DIRECT_INVEST" hidden="1">"c20593"</definedName>
    <definedName name="IQ_BOP_FOREIGN_ASSETS_OTHER_LIABILITIES_TO_FOREIGNERS" hidden="1">"c20594"</definedName>
    <definedName name="IQ_BOP_FOREIGN_ASSETS_OTHER_SECURITIES" hidden="1">"c20595"</definedName>
    <definedName name="IQ_BOP_FOREIGN_ASSETS_OTHER_TREASURIES" hidden="1">"c20596"</definedName>
    <definedName name="IQ_BOP_IMPORTS_AND_PAYMENTS" hidden="1">"c20597"</definedName>
    <definedName name="IQ_BOP_IMPORTS_GOODS" hidden="1">"c20598"</definedName>
    <definedName name="IQ_BOP_IMPORTS_GOODS_SERVICES" hidden="1">"c20599"</definedName>
    <definedName name="IQ_BOP_IMPORTS_SERVICES" hidden="1">"c20600"</definedName>
    <definedName name="IQ_BOP_IMPORTS_SERVICES_DEF_EXPENDITURES" hidden="1">"c20601"</definedName>
    <definedName name="IQ_BOP_IMPORTS_SERVICES_FARES" hidden="1">"c20602"</definedName>
    <definedName name="IQ_BOP_IMPORTS_SERVICES_GOVERNMENT_MISC" hidden="1">"c20603"</definedName>
    <definedName name="IQ_BOP_IMPORTS_SERVICES_OTHER" hidden="1">"c20604"</definedName>
    <definedName name="IQ_BOP_IMPORTS_SERVICES_ROYALTIES" hidden="1">"c20605"</definedName>
    <definedName name="IQ_BOP_IMPORTS_SERVICES_TRANSPORTATION" hidden="1">"c20606"</definedName>
    <definedName name="IQ_BOP_IMPORTS_SERVICES_TRAVEL" hidden="1">"c20607"</definedName>
    <definedName name="IQ_BOP_PAYMENTS" hidden="1">"c20608"</definedName>
    <definedName name="IQ_BOP_PAYMENTS_DIRECT_INVEST" hidden="1">"c20609"</definedName>
    <definedName name="IQ_BOP_PAYMENTS_EMPLOYEE_COMPENSATION" hidden="1">"c20610"</definedName>
    <definedName name="IQ_BOP_PAYMENTS_FOREGN_OWNED_ASSETS" hidden="1">"c20611"</definedName>
    <definedName name="IQ_BOP_PAYMENTS_GOVT" hidden="1">"c20612"</definedName>
    <definedName name="IQ_BOP_PAYMENTS_OTHER" hidden="1">"c20613"</definedName>
    <definedName name="IQ_BOP_RECEIPTS" hidden="1">"c20614"</definedName>
    <definedName name="IQ_BOP_RECEIPTS_DIRECT_INVEST" hidden="1">"c20615"</definedName>
    <definedName name="IQ_BOP_RECEIPTS_EMPLOYEE_COMPENSATION" hidden="1">"c20616"</definedName>
    <definedName name="IQ_BOP_RECEIPTS_GOVT" hidden="1">"c20617"</definedName>
    <definedName name="IQ_BOP_RECEIPTS_OTHER" hidden="1">"c20618"</definedName>
    <definedName name="IQ_BOP_RECEIPTS_US_ASSETS_ABROAD" hidden="1">"c20619"</definedName>
    <definedName name="IQ_BOP_STATISTICAL_DISCREPANCY" hidden="1">"c20620"</definedName>
    <definedName name="IQ_BOP_US_ASSETS_ABROAD" hidden="1">"c20621"</definedName>
    <definedName name="IQ_BOP_US_GOVT_ASSETS" hidden="1">"c20622"</definedName>
    <definedName name="IQ_BOP_US_GOVT_ASSETS_FX" hidden="1">"c20623"</definedName>
    <definedName name="IQ_BOP_US_GOVT_ASSETS_US_CREDITS" hidden="1">"c20624"</definedName>
    <definedName name="IQ_BOP_US_GOVT_ASSETS_US_CREDITS_REPAYMENTS" hidden="1">"c20625"</definedName>
    <definedName name="IQ_BOP_US_PRIVATE_ASSETS" hidden="1">"c20626"</definedName>
    <definedName name="IQ_BOP_US_PRIVATE_ASSETS_CLAIMS_BANKS_BROKERS" hidden="1">"c20627"</definedName>
    <definedName name="IQ_BOP_US_PRIVATE_ASSETS_CLAIMS_ON_FOREIGNERS" hidden="1">"c20628"</definedName>
    <definedName name="IQ_BOP_US_PRIVATE_ASSETS_DIRECT_INVEST" hidden="1">"c20629"</definedName>
    <definedName name="IQ_BOP_US_PRIVATE_ASSETS_FOREIGN_SECURITIES" hidden="1">"c20630"</definedName>
    <definedName name="IQ_BOP_US_RESERVE_ASSETS" hidden="1">"c20631"</definedName>
    <definedName name="IQ_BOP_US_RESERVE_ASSETS_DRAWING_RIGHTS" hidden="1">"c20632"</definedName>
    <definedName name="IQ_BOP_US_RESERVE_ASSETS_FX" hidden="1">"c20633"</definedName>
    <definedName name="IQ_BOP_US_RESERVE_ASSETS_GOLD" hidden="1">"c20634"</definedName>
    <definedName name="IQ_BOP_US_RESERVE_ASSETS_IMF_RESERVES" hidden="1">"c20635"</definedName>
    <definedName name="IQ_BORROWED_MONEY_QUARTERLY_AVG_FFIEC" hidden="1">"c13091"</definedName>
    <definedName name="IQ_BORROWINGS_LESS_1YR_ASSETS_TOT_FFIEC" hidden="1">"c13450"</definedName>
    <definedName name="IQ_BR_FILING_DATE" hidden="1">"c16223"</definedName>
    <definedName name="IQ_BR_FILING_TYPE" hidden="1">"c16224"</definedName>
    <definedName name="IQ_BR_PLAN_APPROVE_DATE" hidden="1">"c16226"</definedName>
    <definedName name="IQ_BR_PLAN_CONFIRM" hidden="1">"c16225"</definedName>
    <definedName name="IQ_BROK_COMISSION" hidden="1">"c98"</definedName>
    <definedName name="IQ_BROK_COMMISSION" hidden="1">"c3514"</definedName>
    <definedName name="IQ_BROKER_DEPOSIT_LESS_THAN_100000_1_YR_LESS_FFIEC" hidden="1">"c15307"</definedName>
    <definedName name="IQ_BROKER_DEPOSIT_LESS_THAN_100000_1_YR_MORE_FFIEC" hidden="1">"c15308"</definedName>
    <definedName name="IQ_BROKER_DEPOSIT_LESS_THAN_100000_FFIEC" hidden="1">"c15306"</definedName>
    <definedName name="IQ_BROKER_DEPOSIT_MORE_THAN_100000_1_YR_LESS_FFIEC" hidden="1">"c15310"</definedName>
    <definedName name="IQ_BROKER_DEPOSIT_MORE_THAN_100000_1_YR_MORE_FFIEC" hidden="1">"c15311"</definedName>
    <definedName name="IQ_BROKER_DEPOSIT_MORE_THAN_100000_FFIEC" hidden="1">"c15309"</definedName>
    <definedName name="IQ_BROKER_DEPOSITS_TOTAL_DEPOSITS_THRIFT" hidden="1">"c25781"</definedName>
    <definedName name="IQ_BROKER_ORIGINATED_DEPOSITS_FULLY_INSURED_100000_THROUGH_250000_THRIFT" hidden="1">"c24980"</definedName>
    <definedName name="IQ_BROKER_ORIGINATED_DEPOSITS_FULLY_INSURED_LESS_THAN_100000_THRIFT" hidden="1">"c24979"</definedName>
    <definedName name="IQ_BROKERED_DEPOSITS_FDIC" hidden="1">"c6486"</definedName>
    <definedName name="IQ_BUDGET_BALANCE_APR_FC_UNUSED" hidden="1">"c8359"</definedName>
    <definedName name="IQ_BUDGET_BALANCE_APR_FC_UNUSED_UNUSED_UNUSED" hidden="1">"c8359"</definedName>
    <definedName name="IQ_BUDGET_BALANCE_APR_UNUSED" hidden="1">"c7479"</definedName>
    <definedName name="IQ_BUDGET_BALANCE_APR_UNUSED_UNUSED_UNUSED" hidden="1">"c7479"</definedName>
    <definedName name="IQ_BUDGET_BALANCE_FC_UNUSED" hidden="1">"c7699"</definedName>
    <definedName name="IQ_BUDGET_BALANCE_FC_UNUSED_UNUSED_UNUSED" hidden="1">"c7699"</definedName>
    <definedName name="IQ_BUDGET_BALANCE_POP_FC_UNUSED" hidden="1">"c7919"</definedName>
    <definedName name="IQ_BUDGET_BALANCE_POP_FC_UNUSED_UNUSED_UNUSED" hidden="1">"c7919"</definedName>
    <definedName name="IQ_BUDGET_BALANCE_POP_UNUSED" hidden="1">"c7039"</definedName>
    <definedName name="IQ_BUDGET_BALANCE_POP_UNUSED_UNUSED_UNUSED" hidden="1">"c7039"</definedName>
    <definedName name="IQ_BUDGET_BALANCE_SAAR" hidden="1">"c6820"</definedName>
    <definedName name="IQ_BUDGET_BALANCE_SAAR_APR" hidden="1">"c7480"</definedName>
    <definedName name="IQ_BUDGET_BALANCE_SAAR_APR_FC" hidden="1">"c8360"</definedName>
    <definedName name="IQ_BUDGET_BALANCE_SAAR_FC" hidden="1">"c7700"</definedName>
    <definedName name="IQ_BUDGET_BALANCE_SAAR_POP" hidden="1">"c7040"</definedName>
    <definedName name="IQ_BUDGET_BALANCE_SAAR_POP_FC" hidden="1">"c7920"</definedName>
    <definedName name="IQ_BUDGET_BALANCE_SAAR_YOY" hidden="1">"c7260"</definedName>
    <definedName name="IQ_BUDGET_BALANCE_SAAR_YOY_FC" hidden="1">"c8140"</definedName>
    <definedName name="IQ_BUDGET_BALANCE_UNUSED" hidden="1">"c6819"</definedName>
    <definedName name="IQ_BUDGET_BALANCE_UNUSED_UNUSED_UNUSED" hidden="1">"c6819"</definedName>
    <definedName name="IQ_BUDGET_BALANCE_YOY_FC_UNUSED" hidden="1">"c8139"</definedName>
    <definedName name="IQ_BUDGET_BALANCE_YOY_FC_UNUSED_UNUSED_UNUSED" hidden="1">"c8139"</definedName>
    <definedName name="IQ_BUDGET_BALANCE_YOY_UNUSED" hidden="1">"c7259"</definedName>
    <definedName name="IQ_BUDGET_BALANCE_YOY_UNUSED_UNUSED_UNUSED" hidden="1">"c7259"</definedName>
    <definedName name="IQ_BUDGET_RECEIPTS_APR_FC_UNUSED" hidden="1">"c8361"</definedName>
    <definedName name="IQ_BUDGET_RECEIPTS_APR_FC_UNUSED_UNUSED_UNUSED" hidden="1">"c8361"</definedName>
    <definedName name="IQ_BUDGET_RECEIPTS_APR_UNUSED" hidden="1">"c7481"</definedName>
    <definedName name="IQ_BUDGET_RECEIPTS_APR_UNUSED_UNUSED_UNUSED" hidden="1">"c7481"</definedName>
    <definedName name="IQ_BUDGET_RECEIPTS_FC_UNUSED" hidden="1">"c7701"</definedName>
    <definedName name="IQ_BUDGET_RECEIPTS_FC_UNUSED_UNUSED_UNUSED" hidden="1">"c7701"</definedName>
    <definedName name="IQ_BUDGET_RECEIPTS_POP_FC_UNUSED" hidden="1">"c7921"</definedName>
    <definedName name="IQ_BUDGET_RECEIPTS_POP_FC_UNUSED_UNUSED_UNUSED" hidden="1">"c7921"</definedName>
    <definedName name="IQ_BUDGET_RECEIPTS_POP_UNUSED" hidden="1">"c7041"</definedName>
    <definedName name="IQ_BUDGET_RECEIPTS_POP_UNUSED_UNUSED_UNUSED" hidden="1">"c7041"</definedName>
    <definedName name="IQ_BUDGET_RECEIPTS_UNUSED" hidden="1">"c6821"</definedName>
    <definedName name="IQ_BUDGET_RECEIPTS_UNUSED_UNUSED_UNUSED" hidden="1">"c6821"</definedName>
    <definedName name="IQ_BUDGET_RECEIPTS_YOY_FC_UNUSED" hidden="1">"c8141"</definedName>
    <definedName name="IQ_BUDGET_RECEIPTS_YOY_FC_UNUSED_UNUSED_UNUSED" hidden="1">"c8141"</definedName>
    <definedName name="IQ_BUDGET_RECEIPTS_YOY_UNUSED" hidden="1">"c7261"</definedName>
    <definedName name="IQ_BUDGET_RECEIPTS_YOY_UNUSED_UNUSED_UNUSED" hidden="1">"c7261"</definedName>
    <definedName name="IQ_BUDGET_SPENDING" hidden="1">"c6822"</definedName>
    <definedName name="IQ_BUDGET_SPENDING_APR" hidden="1">"c7482"</definedName>
    <definedName name="IQ_BUDGET_SPENDING_APR_FC" hidden="1">"c8362"</definedName>
    <definedName name="IQ_BUDGET_SPENDING_FC" hidden="1">"c7702"</definedName>
    <definedName name="IQ_BUDGET_SPENDING_POP" hidden="1">"c7042"</definedName>
    <definedName name="IQ_BUDGET_SPENDING_POP_FC" hidden="1">"c7922"</definedName>
    <definedName name="IQ_BUDGET_SPENDING_REAL" hidden="1">"c6958"</definedName>
    <definedName name="IQ_BUDGET_SPENDING_REAL_APR" hidden="1">"c7618"</definedName>
    <definedName name="IQ_BUDGET_SPENDING_REAL_APR_FC" hidden="1">"c8498"</definedName>
    <definedName name="IQ_BUDGET_SPENDING_REAL_FC" hidden="1">"c7838"</definedName>
    <definedName name="IQ_BUDGET_SPENDING_REAL_POP" hidden="1">"c7178"</definedName>
    <definedName name="IQ_BUDGET_SPENDING_REAL_POP_FC" hidden="1">"c8058"</definedName>
    <definedName name="IQ_BUDGET_SPENDING_REAL_SAAR" hidden="1">"c6959"</definedName>
    <definedName name="IQ_BUDGET_SPENDING_REAL_SAAR_APR" hidden="1">"c7619"</definedName>
    <definedName name="IQ_BUDGET_SPENDING_REAL_SAAR_APR_FC" hidden="1">"c8499"</definedName>
    <definedName name="IQ_BUDGET_SPENDING_REAL_SAAR_FC" hidden="1">"c7839"</definedName>
    <definedName name="IQ_BUDGET_SPENDING_REAL_SAAR_POP" hidden="1">"c7179"</definedName>
    <definedName name="IQ_BUDGET_SPENDING_REAL_SAAR_POP_FC" hidden="1">"c8059"</definedName>
    <definedName name="IQ_BUDGET_SPENDING_REAL_SAAR_USD" hidden="1">"c11906"</definedName>
    <definedName name="IQ_BUDGET_SPENDING_REAL_SAAR_USD_APR" hidden="1">"c11909"</definedName>
    <definedName name="IQ_BUDGET_SPENDING_REAL_SAAR_USD_POP" hidden="1">"c11907"</definedName>
    <definedName name="IQ_BUDGET_SPENDING_REAL_SAAR_USD_YOY" hidden="1">"c11908"</definedName>
    <definedName name="IQ_BUDGET_SPENDING_REAL_SAAR_YOY" hidden="1">"c7399"</definedName>
    <definedName name="IQ_BUDGET_SPENDING_REAL_SAAR_YOY_FC" hidden="1">"c8279"</definedName>
    <definedName name="IQ_BUDGET_SPENDING_REAL_YOY" hidden="1">"c7398"</definedName>
    <definedName name="IQ_BUDGET_SPENDING_REAL_YOY_FC" hidden="1">"c8278"</definedName>
    <definedName name="IQ_BUDGET_SPENDING_SAAR" hidden="1">"c6823"</definedName>
    <definedName name="IQ_BUDGET_SPENDING_SAAR_APR" hidden="1">"c7483"</definedName>
    <definedName name="IQ_BUDGET_SPENDING_SAAR_APR_FC" hidden="1">"c8363"</definedName>
    <definedName name="IQ_BUDGET_SPENDING_SAAR_FC" hidden="1">"c7703"</definedName>
    <definedName name="IQ_BUDGET_SPENDING_SAAR_POP" hidden="1">"c7043"</definedName>
    <definedName name="IQ_BUDGET_SPENDING_SAAR_POP_FC" hidden="1">"c7923"</definedName>
    <definedName name="IQ_BUDGET_SPENDING_SAAR_USD_APR_FC" hidden="1">"c11782"</definedName>
    <definedName name="IQ_BUDGET_SPENDING_SAAR_USD_FC" hidden="1">"c11779"</definedName>
    <definedName name="IQ_BUDGET_SPENDING_SAAR_USD_POP_FC" hidden="1">"c11780"</definedName>
    <definedName name="IQ_BUDGET_SPENDING_SAAR_USD_YOY_FC" hidden="1">"c11781"</definedName>
    <definedName name="IQ_BUDGET_SPENDING_SAAR_YOY" hidden="1">"c7263"</definedName>
    <definedName name="IQ_BUDGET_SPENDING_SAAR_YOY_FC" hidden="1">"c8143"</definedName>
    <definedName name="IQ_BUDGET_SPENDING_USD_APR_FC" hidden="1">"c11778"</definedName>
    <definedName name="IQ_BUDGET_SPENDING_USD_FC" hidden="1">"c11775"</definedName>
    <definedName name="IQ_BUDGET_SPENDING_USD_POP_FC" hidden="1">"c11776"</definedName>
    <definedName name="IQ_BUDGET_SPENDING_USD_YOY_FC" hidden="1">"c11777"</definedName>
    <definedName name="IQ_BUDGET_SPENDING_YOY" hidden="1">"c7262"</definedName>
    <definedName name="IQ_BUDGET_SPENDING_YOY_FC" hidden="1">"c8142"</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DESCRIPTION" hidden="1">"c15589"</definedName>
    <definedName name="IQ_BUS_SEG_DESCRIPTION_ABS" hidden="1">"c15577"</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IC" hidden="1">"c15588"</definedName>
    <definedName name="IQ_BUS_SEG_NAIC_ABS" hidden="1">"c15576"</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PRIMARY_GIC" hidden="1">"c15584"</definedName>
    <definedName name="IQ_BUS_SEG_PRIMARY_GIC_ABS" hidden="1">"c15572"</definedName>
    <definedName name="IQ_BUS_SEG_PRIMARY_SIC" hidden="1">"c15586"</definedName>
    <definedName name="IQ_BUS_SEG_PRIMARY_SIC_ABS" hidden="1">"c15574"</definedName>
    <definedName name="IQ_BUS_SEG_REV" hidden="1">"c4068"</definedName>
    <definedName name="IQ_BUS_SEG_REV_ABS" hidden="1">"c4090"</definedName>
    <definedName name="IQ_BUS_SEG_REV_TOTAL" hidden="1">"c4106"</definedName>
    <definedName name="IQ_BUS_SEG_SECONDARY_GIC" hidden="1">"c15585"</definedName>
    <definedName name="IQ_BUS_SEG_SECONDARY_GIC_ABS" hidden="1">"c15573"</definedName>
    <definedName name="IQ_BUS_SEG_SECONDARY_SIC" hidden="1">"c15587"</definedName>
    <definedName name="IQ_BUS_SEG_SECONDARY_SIC_ABS" hidden="1">"c15575"</definedName>
    <definedName name="IQ_BUSINESS_COMBINATIONS_FFIEC" hidden="1">"c12967"</definedName>
    <definedName name="IQ_BUSINESS_DESCRIPTION" hidden="1">"c322"</definedName>
    <definedName name="IQ_BV_ACT_OR_EST_CIQ" hidden="1">"c5068"</definedName>
    <definedName name="IQ_BV_ACT_OR_EST_CIQ_COL" hidden="1">"c11715"</definedName>
    <definedName name="IQ_BV_EST" hidden="1">"c5624"</definedName>
    <definedName name="IQ_BV_EST_CIQ" hidden="1">"c4737"</definedName>
    <definedName name="IQ_BV_HIGH_EST" hidden="1">"c5626"</definedName>
    <definedName name="IQ_BV_HIGH_EST_CIQ" hidden="1">"c4739"</definedName>
    <definedName name="IQ_BV_LOW_EST" hidden="1">"c5627"</definedName>
    <definedName name="IQ_BV_LOW_EST_CIQ" hidden="1">"c4740"</definedName>
    <definedName name="IQ_BV_MEDIAN_EST" hidden="1">"c5625"</definedName>
    <definedName name="IQ_BV_MEDIAN_EST_CIQ" hidden="1">"c4738"</definedName>
    <definedName name="IQ_BV_NUM_EST" hidden="1">"c5628"</definedName>
    <definedName name="IQ_BV_NUM_EST_CIQ" hidden="1">"c4741"</definedName>
    <definedName name="IQ_BV_OVER_SHARES" hidden="1">"c100"</definedName>
    <definedName name="IQ_BV_SHARE" hidden="1">"c100"</definedName>
    <definedName name="IQ_BV_SHARE_ACT_OR_EST" hidden="1">"c3587"</definedName>
    <definedName name="IQ_BV_SHARE_ACT_OR_EST_CIQ" hidden="1">"c5072"</definedName>
    <definedName name="IQ_BV_SHARE_ACT_OR_EST_CIQ_COL" hidden="1">"c11719"</definedName>
    <definedName name="IQ_BV_SHARE_ACT_OR_EST_THOM" hidden="1">"c5312"</definedName>
    <definedName name="IQ_BV_SHARE_EST" hidden="1">"c3541"</definedName>
    <definedName name="IQ_BV_SHARE_EST_CIQ" hidden="1">"c3800"</definedName>
    <definedName name="IQ_BV_SHARE_EST_DOWN_2MONTH" hidden="1">"c16573"</definedName>
    <definedName name="IQ_BV_SHARE_EST_DOWN_2MONTH_CIQ" hidden="1">"c16837"</definedName>
    <definedName name="IQ_BV_SHARE_EST_DOWN_3MONTH" hidden="1">"c16577"</definedName>
    <definedName name="IQ_BV_SHARE_EST_DOWN_3MONTH_CIQ" hidden="1">"c16841"</definedName>
    <definedName name="IQ_BV_SHARE_EST_DOWN_MONTH" hidden="1">"c16569"</definedName>
    <definedName name="IQ_BV_SHARE_EST_DOWN_MONTH_CIQ" hidden="1">"c16833"</definedName>
    <definedName name="IQ_BV_SHARE_EST_NOTE" hidden="1">"c17523"</definedName>
    <definedName name="IQ_BV_SHARE_EST_NOTE_CIQ" hidden="1">"c17476"</definedName>
    <definedName name="IQ_BV_SHARE_EST_NUM_ANALYSTS_2MONTH" hidden="1">"c16571"</definedName>
    <definedName name="IQ_BV_SHARE_EST_NUM_ANALYSTS_2MONTH_CIQ" hidden="1">"c16835"</definedName>
    <definedName name="IQ_BV_SHARE_EST_NUM_ANALYSTS_3MONTH" hidden="1">"c16575"</definedName>
    <definedName name="IQ_BV_SHARE_EST_NUM_ANALYSTS_3MONTH_CIQ" hidden="1">"c16839"</definedName>
    <definedName name="IQ_BV_SHARE_EST_NUM_ANALYSTS_MONTH" hidden="1">"c16567"</definedName>
    <definedName name="IQ_BV_SHARE_EST_NUM_ANALYSTS_MONTH_CIQ" hidden="1">"c16831"</definedName>
    <definedName name="IQ_BV_SHARE_EST_THOM" hidden="1">"c4020"</definedName>
    <definedName name="IQ_BV_SHARE_EST_TOTAL_REVISED_2MONTH" hidden="1">"c16574"</definedName>
    <definedName name="IQ_BV_SHARE_EST_TOTAL_REVISED_2MONTH_CIQ" hidden="1">"c16838"</definedName>
    <definedName name="IQ_BV_SHARE_EST_TOTAL_REVISED_3MONTH" hidden="1">"c16578"</definedName>
    <definedName name="IQ_BV_SHARE_EST_TOTAL_REVISED_3MONTH_CIQ" hidden="1">"c16842"</definedName>
    <definedName name="IQ_BV_SHARE_EST_TOTAL_REVISED_MONTH" hidden="1">"c16570"</definedName>
    <definedName name="IQ_BV_SHARE_EST_TOTAL_REVISED_MONTH_CIQ" hidden="1">"c16834"</definedName>
    <definedName name="IQ_BV_SHARE_EST_UP_2MONTH" hidden="1">"c16572"</definedName>
    <definedName name="IQ_BV_SHARE_EST_UP_2MONTH_CIQ" hidden="1">"c16836"</definedName>
    <definedName name="IQ_BV_SHARE_EST_UP_3MONTH" hidden="1">"c16576"</definedName>
    <definedName name="IQ_BV_SHARE_EST_UP_3MONTH_CIQ" hidden="1">"c16840"</definedName>
    <definedName name="IQ_BV_SHARE_EST_UP_MONTH" hidden="1">"c16568"</definedName>
    <definedName name="IQ_BV_SHARE_EST_UP_MONTH_CIQ" hidden="1">"c16832"</definedName>
    <definedName name="IQ_BV_SHARE_HIGH_EST" hidden="1">"c3542"</definedName>
    <definedName name="IQ_BV_SHARE_HIGH_EST_CIQ" hidden="1">"c3802"</definedName>
    <definedName name="IQ_BV_SHARE_HIGH_EST_THOM" hidden="1">"c4022"</definedName>
    <definedName name="IQ_BV_SHARE_LOW_EST" hidden="1">"c3543"</definedName>
    <definedName name="IQ_BV_SHARE_LOW_EST_CIQ" hidden="1">"c3803"</definedName>
    <definedName name="IQ_BV_SHARE_LOW_EST_THOM" hidden="1">"c4023"</definedName>
    <definedName name="IQ_BV_SHARE_MEDIAN_EST" hidden="1">"c3544"</definedName>
    <definedName name="IQ_BV_SHARE_MEDIAN_EST_CIQ" hidden="1">"c3801"</definedName>
    <definedName name="IQ_BV_SHARE_MEDIAN_EST_THOM" hidden="1">"c4021"</definedName>
    <definedName name="IQ_BV_SHARE_NUM_EST" hidden="1">"c3539"</definedName>
    <definedName name="IQ_BV_SHARE_NUM_EST_CIQ" hidden="1">"c3804"</definedName>
    <definedName name="IQ_BV_SHARE_NUM_EST_THOM" hidden="1">"c4024"</definedName>
    <definedName name="IQ_BV_SHARE_STDDEV_EST" hidden="1">"c3540"</definedName>
    <definedName name="IQ_BV_SHARE_STDDEV_EST_CIQ" hidden="1">"c3805"</definedName>
    <definedName name="IQ_BV_SHARE_STDDEV_EST_THOM" hidden="1">"c4025"</definedName>
    <definedName name="IQ_BV_STDDEV_EST" hidden="1">"c5629"</definedName>
    <definedName name="IQ_BV_STDDEV_EST_CIQ" hidden="1">"c4742"</definedName>
    <definedName name="IQ_CA_AP" hidden="1">"c8881"</definedName>
    <definedName name="IQ_CA_AP_ABS" hidden="1">"c8900"</definedName>
    <definedName name="IQ_CA_NAME_AP" hidden="1">"c8919"</definedName>
    <definedName name="IQ_CA_NAME_AP_ABS" hidden="1">"c8938"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BUS_PHONE" hidden="1">"c15773"</definedName>
    <definedName name="IQ_CABLE_SUBS_DIG" hidden="1">"c2856"</definedName>
    <definedName name="IQ_CABLE_SUBS_LONG_DIST_PHONE" hidden="1">"c15775"</definedName>
    <definedName name="IQ_CABLE_SUBS_NON_VIDEO" hidden="1">"c2860"</definedName>
    <definedName name="IQ_CABLE_SUBS_PHONE" hidden="1">"c2859"</definedName>
    <definedName name="IQ_CABLE_SUBS_RES_PHONE" hidden="1">"c15772"</definedName>
    <definedName name="IQ_CABLE_SUBS_SATELITE" hidden="1">"c15771"</definedName>
    <definedName name="IQ_CABLE_SUBS_TOTAL" hidden="1">"c2862"</definedName>
    <definedName name="IQ_CABLE_SUBS_WHOLE_PHONE" hidden="1">"c15774"</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CIQ" hidden="1">"c6808"</definedName>
    <definedName name="IQ_CAL_Q_EST_CIQ_COL" hidden="1">"c11743"</definedName>
    <definedName name="IQ_CAL_Q_EST_REUT" hidden="1">"c6800"</definedName>
    <definedName name="IQ_CAL_Q_EST_THOM" hidden="1">"c6804"</definedName>
    <definedName name="IQ_CAL_Y" hidden="1">"c102"</definedName>
    <definedName name="IQ_CAL_Y_EST" hidden="1">"c6797"</definedName>
    <definedName name="IQ_CAL_Y_EST_CIQ" hidden="1">"c6809"</definedName>
    <definedName name="IQ_CAL_Y_EST_CIQ_COL" hidden="1">"c11744"</definedName>
    <definedName name="IQ_CAL_Y_EST_REUT" hidden="1">"c6801"</definedName>
    <definedName name="IQ_CAL_Y_EST_THOM" hidden="1">"c6805"</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INVEST_CABLE" hidden="1">"c15794"</definedName>
    <definedName name="IQ_CAP_INVEST_COMMERCIAL" hidden="1">"c15800"</definedName>
    <definedName name="IQ_CAP_INVEST_CUST_PREMISE_EQUIP" hidden="1">"c15795"</definedName>
    <definedName name="IQ_CAP_INVEST_LINE_EXTENSIONS" hidden="1">"c15797"</definedName>
    <definedName name="IQ_CAP_INVEST_SCALABLE_INFRASTRUCTURE" hidden="1">"c15796"</definedName>
    <definedName name="IQ_CAP_INVEST_SUPPORT" hidden="1">"c15799"</definedName>
    <definedName name="IQ_CAP_INVEST_UPGRADE_REBUILD" hidden="1">"c15798"</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_UTIL_RATE" hidden="1">"c6824"</definedName>
    <definedName name="IQ_CAP_UTIL_RATE_POP" hidden="1">"c7044"</definedName>
    <definedName name="IQ_CAP_UTIL_RATE_YOY" hidden="1">"c7264"</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ACT_OR_EST_CIQ" hidden="1">"c5071"</definedName>
    <definedName name="IQ_CAPEX_ACT_OR_EST_CIQ_COL" hidden="1">"c11718"</definedName>
    <definedName name="IQ_CAPEX_ACT_OR_EST_THOM" hidden="1">"c5546"</definedName>
    <definedName name="IQ_CAPEX_BNK" hidden="1">"c110"</definedName>
    <definedName name="IQ_CAPEX_BR" hidden="1">"c111"</definedName>
    <definedName name="IQ_CAPEX_CM" hidden="1">"c111"</definedName>
    <definedName name="IQ_CAPEX_EST" hidden="1">"c3523"</definedName>
    <definedName name="IQ_CAPEX_EST_CIQ" hidden="1">"c3807"</definedName>
    <definedName name="IQ_CAPEX_EST_DOWN_2MONTH" hidden="1">"c16525"</definedName>
    <definedName name="IQ_CAPEX_EST_DOWN_2MONTH_CIQ" hidden="1">"c16789"</definedName>
    <definedName name="IQ_CAPEX_EST_DOWN_3MONTH" hidden="1">"c16529"</definedName>
    <definedName name="IQ_CAPEX_EST_DOWN_3MONTH_CIQ" hidden="1">"c16793"</definedName>
    <definedName name="IQ_CAPEX_EST_DOWN_MONTH" hidden="1">"c16521"</definedName>
    <definedName name="IQ_CAPEX_EST_DOWN_MONTH_CIQ" hidden="1">"c16785"</definedName>
    <definedName name="IQ_CAPEX_EST_NOTE" hidden="1">"c17519"</definedName>
    <definedName name="IQ_CAPEX_EST_NOTE_CIQ" hidden="1">"c17472"</definedName>
    <definedName name="IQ_CAPEX_EST_NUM_ANALYSTS_2MONTH" hidden="1">"c16523"</definedName>
    <definedName name="IQ_CAPEX_EST_NUM_ANALYSTS_2MONTH_CIQ" hidden="1">"c16787"</definedName>
    <definedName name="IQ_CAPEX_EST_NUM_ANALYSTS_3MONTH" hidden="1">"c16527"</definedName>
    <definedName name="IQ_CAPEX_EST_NUM_ANALYSTS_3MONTH_CIQ" hidden="1">"c16791"</definedName>
    <definedName name="IQ_CAPEX_EST_NUM_ANALYSTS_MONTH" hidden="1">"c16519"</definedName>
    <definedName name="IQ_CAPEX_EST_NUM_ANALYSTS_MONTH_CIQ" hidden="1">"c16783"</definedName>
    <definedName name="IQ_CAPEX_EST_THOM" hidden="1">"c5502"</definedName>
    <definedName name="IQ_CAPEX_EST_TOTAL_REVISED_2MONTH" hidden="1">"c16526"</definedName>
    <definedName name="IQ_CAPEX_EST_TOTAL_REVISED_2MONTH_CIQ" hidden="1">"c16790"</definedName>
    <definedName name="IQ_CAPEX_EST_TOTAL_REVISED_3MONTH" hidden="1">"c16530"</definedName>
    <definedName name="IQ_CAPEX_EST_TOTAL_REVISED_3MONTH_CIQ" hidden="1">"c16794"</definedName>
    <definedName name="IQ_CAPEX_EST_TOTAL_REVISED_MONTH" hidden="1">"c16522"</definedName>
    <definedName name="IQ_CAPEX_EST_TOTAL_REVISED_MONTH_CIQ" hidden="1">"c16786"</definedName>
    <definedName name="IQ_CAPEX_EST_UP_2MONTH" hidden="1">"c16524"</definedName>
    <definedName name="IQ_CAPEX_EST_UP_2MONTH_CIQ" hidden="1">"c16788"</definedName>
    <definedName name="IQ_CAPEX_EST_UP_3MONTH" hidden="1">"c16528"</definedName>
    <definedName name="IQ_CAPEX_EST_UP_3MONTH_CIQ" hidden="1">"c16792"</definedName>
    <definedName name="IQ_CAPEX_EST_UP_MONTH" hidden="1">"c16520"</definedName>
    <definedName name="IQ_CAPEX_EST_UP_MONTH_CIQ" hidden="1">"c16784"</definedName>
    <definedName name="IQ_CAPEX_FIN" hidden="1">"c112"</definedName>
    <definedName name="IQ_CAPEX_GUIDANCE" hidden="1">"c4150"</definedName>
    <definedName name="IQ_CAPEX_GUIDANCE_CIQ" hidden="1">"c4562"</definedName>
    <definedName name="IQ_CAPEX_GUIDANCE_CIQ_COL" hidden="1">"c11211"</definedName>
    <definedName name="IQ_CAPEX_HIGH_EST" hidden="1">"c3524"</definedName>
    <definedName name="IQ_CAPEX_HIGH_EST_CIQ" hidden="1">"c3809"</definedName>
    <definedName name="IQ_CAPEX_HIGH_EST_THOM" hidden="1">"c5504"</definedName>
    <definedName name="IQ_CAPEX_HIGH_GUIDANCE" hidden="1">"c4180"</definedName>
    <definedName name="IQ_CAPEX_HIGH_GUIDANCE_CIQ" hidden="1">"c4592"</definedName>
    <definedName name="IQ_CAPEX_HIGH_GUIDANCE_CIQ_COL" hidden="1">"c11241"</definedName>
    <definedName name="IQ_CAPEX_INS" hidden="1">"c113"</definedName>
    <definedName name="IQ_CAPEX_LOW_EST" hidden="1">"c3525"</definedName>
    <definedName name="IQ_CAPEX_LOW_EST_CIQ" hidden="1">"c3810"</definedName>
    <definedName name="IQ_CAPEX_LOW_EST_THOM" hidden="1">"c5505"</definedName>
    <definedName name="IQ_CAPEX_LOW_GUIDANCE" hidden="1">"c4220"</definedName>
    <definedName name="IQ_CAPEX_LOW_GUIDANCE_CIQ" hidden="1">"c4632"</definedName>
    <definedName name="IQ_CAPEX_LOW_GUIDANCE_CIQ_COL" hidden="1">"c11281"</definedName>
    <definedName name="IQ_CAPEX_MEDIAN_EST" hidden="1">"c3526"</definedName>
    <definedName name="IQ_CAPEX_MEDIAN_EST_CIQ" hidden="1">"c3808"</definedName>
    <definedName name="IQ_CAPEX_MEDIAN_EST_THOM" hidden="1">"c5503"</definedName>
    <definedName name="IQ_CAPEX_NUM_EST" hidden="1">"c3521"</definedName>
    <definedName name="IQ_CAPEX_NUM_EST_CIQ" hidden="1">"c3811"</definedName>
    <definedName name="IQ_CAPEX_NUM_EST_THOM" hidden="1">"c5506"</definedName>
    <definedName name="IQ_CAPEX_PCT_REV" hidden="1">"c19144"</definedName>
    <definedName name="IQ_CAPEX_STDDEV_EST" hidden="1">"c3522"</definedName>
    <definedName name="IQ_CAPEX_STDDEV_EST_CIQ" hidden="1">"c3812"</definedName>
    <definedName name="IQ_CAPEX_STDDEV_EST_THOM" hidden="1">"c5507"</definedName>
    <definedName name="IQ_CAPEX_UTI" hidden="1">"c114"</definedName>
    <definedName name="IQ_CAPITAL_ALLOCATION_ADJUSTMENT_FOREIGN_FFIEC" hidden="1">"c15389"</definedName>
    <definedName name="IQ_CAPITAL_CONTRIBUTIONS_SAVINGS_ASSOCIATION_THRIFT" hidden="1">"c25014"</definedName>
    <definedName name="IQ_CAPITAL_LEASE" hidden="1">"c115"</definedName>
    <definedName name="IQ_CAPITAL_LEASES" hidden="1">"c115"</definedName>
    <definedName name="IQ_CAPITAL_LEASES_TOTAL" hidden="1">"c3031"</definedName>
    <definedName name="IQ_CAPITAL_LEASES_TOTAL_PCT" hidden="1">"c2506"</definedName>
    <definedName name="IQ_CAPITAL_RAISED_PERIOD_COVERED" hidden="1">"c9959"</definedName>
    <definedName name="IQ_CAPITAL_RAISED_PERIOD_GROUP" hidden="1">"c9945"</definedName>
    <definedName name="IQ_CAPITAL_UNDER_MANAGE" hidden="1">"c18929"</definedName>
    <definedName name="IQ_CAPITAL_UNDER_MANAGE_CURRENCY" hidden="1">"c19171"</definedName>
    <definedName name="IQ_CAPITAL_UNDER_MANAGE_DATE" hidden="1">"c18930"</definedName>
    <definedName name="IQ_CAPITALIZED_INT_THRIFT" hidden="1">"c24763"</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RRYING_AMT_DEBT_SEC_COVERED_FDIC_LOSS_SHARING_AGREEMENTS_THRIFT" hidden="1">"c24944"</definedName>
    <definedName name="IQ_CARRYING_AMT_LOANS_LEASES_COVERED_FDIC_LOSS_SHARING_AGREEMENTS_THRIFT" hidden="1">"c24942"</definedName>
    <definedName name="IQ_CARRYING_AMT_OTHER_ASSETS_COVERED_FDIC_LOSS_SHARING_AGREEMENTS_THRIFT" hidden="1">"c24945"</definedName>
    <definedName name="IQ_CARRYING_AMT_RE_OWNED_COVERED_FDIC_LOSS_SHARING_AGREEMENTS_THRIFT" hidden="1">"c24943"</definedName>
    <definedName name="IQ_CASH" hidden="1">"c118"</definedName>
    <definedName name="IQ_CASH_ACQUIRE_CF" hidden="1">"c1630"</definedName>
    <definedName name="IQ_CASH_BALANCES_DUE_FFIEC" hidden="1">"c12773"</definedName>
    <definedName name="IQ_CASH_BANKS_FOREIGN_COUNTRIES_DOM_FFIEC" hidden="1">"c15289"</definedName>
    <definedName name="IQ_CASH_COLLECTION_UNPOSTED_DEBITS_CURRENCY_FFIEC" hidden="1">"c15279"</definedName>
    <definedName name="IQ_CASH_COLLECTION_UNPOSTED_DEBITS_DOM_FFIEC" hidden="1">"c15286"</definedName>
    <definedName name="IQ_CASH_CONVERSION" hidden="1">"c117"</definedName>
    <definedName name="IQ_CASH_COST_ALUM" hidden="1">"c9252"</definedName>
    <definedName name="IQ_CASH_COST_COAL" hidden="1">"c9825"</definedName>
    <definedName name="IQ_CASH_COST_COP" hidden="1">"c9199"</definedName>
    <definedName name="IQ_CASH_COST_DIAM" hidden="1">"c9676"</definedName>
    <definedName name="IQ_CASH_COST_GOLD" hidden="1">"c9037"</definedName>
    <definedName name="IQ_CASH_COST_IRON" hidden="1">"c9411"</definedName>
    <definedName name="IQ_CASH_COST_LEAD" hidden="1">"c9464"</definedName>
    <definedName name="IQ_CASH_COST_MANG" hidden="1">"c9517"</definedName>
    <definedName name="IQ_CASH_COST_MET_COAL" hidden="1">"c9762"</definedName>
    <definedName name="IQ_CASH_COST_MOLYB" hidden="1">"c9729"</definedName>
    <definedName name="IQ_CASH_COST_NICK" hidden="1">"c9305"</definedName>
    <definedName name="IQ_CASH_COST_PER_SUB" hidden="1">"c15763"</definedName>
    <definedName name="IQ_CASH_COST_PLAT" hidden="1">"c9143"</definedName>
    <definedName name="IQ_CASH_COST_SILVER" hidden="1">"c9090"</definedName>
    <definedName name="IQ_CASH_COST_STEAM" hidden="1">"c9792"</definedName>
    <definedName name="IQ_CASH_COST_TITAN" hidden="1">"c9570"</definedName>
    <definedName name="IQ_CASH_COST_URAN" hidden="1">"c9623"</definedName>
    <definedName name="IQ_CASH_COST_ZINC" hidden="1">"c9358"</definedName>
    <definedName name="IQ_CASH_DEPOSITORY_INSTIT_US_DOM_FFIEC" hidden="1">"c15288"</definedName>
    <definedName name="IQ_CASH_DIVIDENDS_NET_INCOME_FDIC" hidden="1">"c6738"</definedName>
    <definedName name="IQ_CASH_DIVIDENDS_NET_INCOME_THRIFT" hidden="1">"c25634"</definedName>
    <definedName name="IQ_CASH_DUE_BANKS" hidden="1">"c118"</definedName>
    <definedName name="IQ_CASH_DUE_OTHER_FED_RESERVE_BANKS_DOM_FFIEC" hidden="1">"c15290"</definedName>
    <definedName name="IQ_CASH_DUE_OTHER_FED_RESERVE_BANKS_FFIEC" hidden="1">"c15284"</definedName>
    <definedName name="IQ_CASH_DUE_US_BRANCH_FOREIGN_BANK_FFIEC" hidden="1">"c15280"</definedName>
    <definedName name="IQ_CASH_ELIGIBLE_0_PCT_RISK_WEIGHT_THRIFT" hidden="1">"c25051"</definedName>
    <definedName name="IQ_CASH_EPS_ACT_OR_EST" hidden="1">"c5638"</definedName>
    <definedName name="IQ_CASH_EPS_ACT_OR_EST_CIQ" hidden="1">"c18264"</definedName>
    <definedName name="IQ_CASH_EPS_ACT_OR_EST_THOM" hidden="1">"c5646"</definedName>
    <definedName name="IQ_CASH_EPS_EST" hidden="1">"c5631"</definedName>
    <definedName name="IQ_CASH_EPS_EST_CIQ" hidden="1">"c18111"</definedName>
    <definedName name="IQ_CASH_EPS_EST_DOWN_2MONTH" hidden="1">"c16333"</definedName>
    <definedName name="IQ_CASH_EPS_EST_DOWN_3MONTH" hidden="1">"c16337"</definedName>
    <definedName name="IQ_CASH_EPS_EST_DOWN_MONTH" hidden="1">"c16329"</definedName>
    <definedName name="IQ_CASH_EPS_EST_NOTE_CIQ" hidden="1">"c18232"</definedName>
    <definedName name="IQ_CASH_EPS_EST_NUM_ANALYSTS_2MONTH" hidden="1">"c16331"</definedName>
    <definedName name="IQ_CASH_EPS_EST_NUM_ANALYSTS_3MONTH" hidden="1">"c16335"</definedName>
    <definedName name="IQ_CASH_EPS_EST_NUM_ANALYSTS_MONTH" hidden="1">"c16327"</definedName>
    <definedName name="IQ_CASH_EPS_EST_THOM" hidden="1">"c5639"</definedName>
    <definedName name="IQ_CASH_EPS_EST_TOTAL_REVISED_2MONTH" hidden="1">"c16334"</definedName>
    <definedName name="IQ_CASH_EPS_EST_TOTAL_REVISED_3MONTH" hidden="1">"c16338"</definedName>
    <definedName name="IQ_CASH_EPS_EST_TOTAL_REVISED_MONTH" hidden="1">"c16330"</definedName>
    <definedName name="IQ_CASH_EPS_EST_UP_2MONTH" hidden="1">"c16332"</definedName>
    <definedName name="IQ_CASH_EPS_EST_UP_3MONTH" hidden="1">"c16336"</definedName>
    <definedName name="IQ_CASH_EPS_EST_UP_MONTH" hidden="1">"c16328"</definedName>
    <definedName name="IQ_CASH_EPS_GUIDANCE" hidden="1">"c18397"</definedName>
    <definedName name="IQ_CASH_EPS_HIGH_EST" hidden="1">"c5633"</definedName>
    <definedName name="IQ_CASH_EPS_HIGH_EST_CIQ" hidden="1">"c18131"</definedName>
    <definedName name="IQ_CASH_EPS_HIGH_EST_THOM" hidden="1">"c5641"</definedName>
    <definedName name="IQ_CASH_EPS_HIGH_GUIDANCE" hidden="1">"c18398"</definedName>
    <definedName name="IQ_CASH_EPS_LOW_EST" hidden="1">"c5634"</definedName>
    <definedName name="IQ_CASH_EPS_LOW_EST_CIQ" hidden="1">"c18141"</definedName>
    <definedName name="IQ_CASH_EPS_LOW_EST_THOM" hidden="1">"c5642"</definedName>
    <definedName name="IQ_CASH_EPS_LOW_GUIDANCE" hidden="1">"c18399"</definedName>
    <definedName name="IQ_CASH_EPS_MEDIAN_EST" hidden="1">"c5632"</definedName>
    <definedName name="IQ_CASH_EPS_MEDIAN_EST_CIQ" hidden="1">"c18121"</definedName>
    <definedName name="IQ_CASH_EPS_MEDIAN_EST_THOM" hidden="1">"c5640"</definedName>
    <definedName name="IQ_CASH_EPS_NUM_EST" hidden="1">"c5635"</definedName>
    <definedName name="IQ_CASH_EPS_NUM_EST_CIQ" hidden="1">"c18161"</definedName>
    <definedName name="IQ_CASH_EPS_NUM_EST_THOM" hidden="1">"c5643"</definedName>
    <definedName name="IQ_CASH_EPS_STDDEV_EST" hidden="1">"c5636"</definedName>
    <definedName name="IQ_CASH_EPS_STDDEV_EST_CIQ" hidden="1">"c18151"</definedName>
    <definedName name="IQ_CASH_EPS_STDDEV_EST_THOM" hidden="1">"c5644"</definedName>
    <definedName name="IQ_CASH_EQUIV" hidden="1">"c118"</definedName>
    <definedName name="IQ_CASH_FINAN" hidden="1">"c119"</definedName>
    <definedName name="IQ_CASH_FINAN_AP" hidden="1">"c8890"</definedName>
    <definedName name="IQ_CASH_FINAN_AP_ABS" hidden="1">"c8909"</definedName>
    <definedName name="IQ_CASH_FINAN_NAME_AP" hidden="1">"c8928"</definedName>
    <definedName name="IQ_CASH_FINAN_NAME_AP_ABS" hidden="1">"c8947"</definedName>
    <definedName name="IQ_CASH_FINAN_SUBTOTAL_AP" hidden="1">"c10111"</definedName>
    <definedName name="IQ_CASH_FLOW_ACT_OR_EST" hidden="1">"c4154"</definedName>
    <definedName name="IQ_CASH_FLOW_ACT_OR_EST_CIQ" hidden="1">"c4566"</definedName>
    <definedName name="IQ_CASH_FLOW_ACT_OR_EST_CIQ_COL" hidden="1">"c11215"</definedName>
    <definedName name="IQ_CASH_FLOW_AP" hidden="1">"c25889"</definedName>
    <definedName name="IQ_CASH_FLOW_AP_CO" hidden="1">"c25890"</definedName>
    <definedName name="IQ_CASH_FLOW_EST" hidden="1">"c4153"</definedName>
    <definedName name="IQ_CASH_FLOW_EST_CIQ" hidden="1">"c4565"</definedName>
    <definedName name="IQ_CASH_FLOW_GUIDANCE" hidden="1">"c4155"</definedName>
    <definedName name="IQ_CASH_FLOW_GUIDANCE_CIQ" hidden="1">"c4567"</definedName>
    <definedName name="IQ_CASH_FLOW_GUIDANCE_CIQ_COL" hidden="1">"c11216"</definedName>
    <definedName name="IQ_CASH_FLOW_HIGH_EST" hidden="1">"c4156"</definedName>
    <definedName name="IQ_CASH_FLOW_HIGH_EST_CIQ" hidden="1">"c4568"</definedName>
    <definedName name="IQ_CASH_FLOW_HIGH_GUIDANCE" hidden="1">"c4201"</definedName>
    <definedName name="IQ_CASH_FLOW_HIGH_GUIDANCE_CIQ" hidden="1">"c4613"</definedName>
    <definedName name="IQ_CASH_FLOW_HIGH_GUIDANCE_CIQ_COL" hidden="1">"c11262"</definedName>
    <definedName name="IQ_CASH_FLOW_INDUSTRY" hidden="1">"c25885"</definedName>
    <definedName name="IQ_CASH_FLOW_INDUSTRY_CO" hidden="1">"c25886"</definedName>
    <definedName name="IQ_CASH_FLOW_LOW_EST" hidden="1">"c4157"</definedName>
    <definedName name="IQ_CASH_FLOW_LOW_EST_CIQ" hidden="1">"c4569"</definedName>
    <definedName name="IQ_CASH_FLOW_LOW_GUIDANCE" hidden="1">"c4241"</definedName>
    <definedName name="IQ_CASH_FLOW_LOW_GUIDANCE_CIQ" hidden="1">"c4653"</definedName>
    <definedName name="IQ_CASH_FLOW_LOW_GUIDANCE_CIQ_COL" hidden="1">"c11302"</definedName>
    <definedName name="IQ_CASH_FLOW_MEDIAN_EST" hidden="1">"c4158"</definedName>
    <definedName name="IQ_CASH_FLOW_MEDIAN_EST_CIQ" hidden="1">"c4570"</definedName>
    <definedName name="IQ_CASH_FLOW_NUM_EST" hidden="1">"c4159"</definedName>
    <definedName name="IQ_CASH_FLOW_NUM_EST_CIQ" hidden="1">"c4571"</definedName>
    <definedName name="IQ_CASH_FLOW_STANDARD" hidden="1">"c25887"</definedName>
    <definedName name="IQ_CASH_FLOW_STANDARD_CO" hidden="1">"c25888"</definedName>
    <definedName name="IQ_CASH_FLOW_STDDEV_EST" hidden="1">"c4160"</definedName>
    <definedName name="IQ_CASH_FLOW_STDDEV_EST_CIQ" hidden="1">"c4572"</definedName>
    <definedName name="IQ_CASH_FOREIGN_BRANCH_OTHER_US_BANKS_FFIEC" hidden="1">"c15282"</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NET" hidden="1">"c12753"</definedName>
    <definedName name="IQ_CASH_INTEREST_OPER" hidden="1">"c6293"</definedName>
    <definedName name="IQ_CASH_INTEREST_RECEIVED" hidden="1">"c12754"</definedName>
    <definedName name="IQ_CASH_INVEST" hidden="1">"c121"</definedName>
    <definedName name="IQ_CASH_INVEST_AP" hidden="1">"c8889"</definedName>
    <definedName name="IQ_CASH_INVEST_AP_ABS" hidden="1">"c8908"</definedName>
    <definedName name="IQ_CASH_INVEST_NAME_AP" hidden="1">"c8927"</definedName>
    <definedName name="IQ_CASH_INVEST_NAME_AP_ABS" hidden="1">"c8946"</definedName>
    <definedName name="IQ_CASH_INVEST_SUBTOTAL_AP" hidden="1">"c8991"</definedName>
    <definedName name="IQ_CASH_NON_INT_EARNING_DEPOSITS_THRIFT" hidden="1">"c24818"</definedName>
    <definedName name="IQ_CASH_OPER" hidden="1">"c122"</definedName>
    <definedName name="IQ_CASH_OPER_ACT_OR_EST" hidden="1">"c4164"</definedName>
    <definedName name="IQ_CASH_OPER_ACT_OR_EST_CIQ" hidden="1">"c4576"</definedName>
    <definedName name="IQ_CASH_OPER_ACT_OR_EST_CIQ_COL" hidden="1">"c11225"</definedName>
    <definedName name="IQ_CASH_OPER_AP" hidden="1">"c8888"</definedName>
    <definedName name="IQ_CASH_OPER_AP_ABS" hidden="1">"c8907"</definedName>
    <definedName name="IQ_CASH_OPER_EST" hidden="1">"c26900"</definedName>
    <definedName name="IQ_CASH_OPER_EST_CIQ" hidden="1">"c4575"</definedName>
    <definedName name="IQ_CASH_OPER_EST_DOWN_2MONTH_CIQ" hidden="1">"c24567"</definedName>
    <definedName name="IQ_CASH_OPER_EST_DOWN_3MONTH_CIQ" hidden="1">"c24571"</definedName>
    <definedName name="IQ_CASH_OPER_EST_DOWN_MONTH_CIQ" hidden="1">"c24563"</definedName>
    <definedName name="IQ_CASH_OPER_EST_NOTE_CIQ" hidden="1">"c24554"</definedName>
    <definedName name="IQ_CASH_OPER_EST_NUM_ANALYSTS_2MONTH_CIQ" hidden="1">"c24565"</definedName>
    <definedName name="IQ_CASH_OPER_EST_NUM_ANALYSTS_3MONTH_CIQ" hidden="1">"c24569"</definedName>
    <definedName name="IQ_CASH_OPER_EST_NUM_ANALYSTS_MONTH_CIQ" hidden="1">"c24561"</definedName>
    <definedName name="IQ_CASH_OPER_EST_TOTAL_REVISED_2MONTH_CIQ" hidden="1">"c24568"</definedName>
    <definedName name="IQ_CASH_OPER_EST_TOTAL_REVISED_3MONTH_CIQ" hidden="1">"c24572"</definedName>
    <definedName name="IQ_CASH_OPER_EST_TOTAL_REVISED_MONTH_CIQ" hidden="1">"c24564"</definedName>
    <definedName name="IQ_CASH_OPER_EST_UP_2MONTH_CIQ" hidden="1">"c24566"</definedName>
    <definedName name="IQ_CASH_OPER_EST_UP_3MONTH_CIQ" hidden="1">"c24570"</definedName>
    <definedName name="IQ_CASH_OPER_EST_UP_MONTH_CIQ" hidden="1">"c24562"</definedName>
    <definedName name="IQ_CASH_OPER_GUIDANCE" hidden="1">"c4165"</definedName>
    <definedName name="IQ_CASH_OPER_GUIDANCE_CIQ" hidden="1">"c4577"</definedName>
    <definedName name="IQ_CASH_OPER_GUIDANCE_CIQ_COL" hidden="1">"c11226"</definedName>
    <definedName name="IQ_CASH_OPER_HIGH_EST" hidden="1">"c26901"</definedName>
    <definedName name="IQ_CASH_OPER_HIGH_EST_CIQ" hidden="1">"c4578"</definedName>
    <definedName name="IQ_CASH_OPER_HIGH_GUIDANCE" hidden="1">"c4185"</definedName>
    <definedName name="IQ_CASH_OPER_HIGH_GUIDANCE_CIQ" hidden="1">"c4597"</definedName>
    <definedName name="IQ_CASH_OPER_HIGH_GUIDANCE_CIQ_COL" hidden="1">"c11246"</definedName>
    <definedName name="IQ_CASH_OPER_LOW_EST" hidden="1">"c26902"</definedName>
    <definedName name="IQ_CASH_OPER_LOW_EST_CIQ" hidden="1">"c4768"</definedName>
    <definedName name="IQ_CASH_OPER_LOW_GUIDANCE" hidden="1">"c4225"</definedName>
    <definedName name="IQ_CASH_OPER_LOW_GUIDANCE_CIQ" hidden="1">"c4637"</definedName>
    <definedName name="IQ_CASH_OPER_LOW_GUIDANCE_CIQ_COL" hidden="1">"c11286"</definedName>
    <definedName name="IQ_CASH_OPER_MEDIAN_EST" hidden="1">"c26903"</definedName>
    <definedName name="IQ_CASH_OPER_MEDIAN_EST_CIQ" hidden="1">"c4771"</definedName>
    <definedName name="IQ_CASH_OPER_NAME_AP" hidden="1">"c8926"</definedName>
    <definedName name="IQ_CASH_OPER_NAME_AP_ABS" hidden="1">"c8945"</definedName>
    <definedName name="IQ_CASH_OPER_NUM_EST" hidden="1">"c26904"</definedName>
    <definedName name="IQ_CASH_OPER_NUM_EST_CIQ" hidden="1">"c4772"</definedName>
    <definedName name="IQ_CASH_OPER_STDDEV_EST" hidden="1">"c26905"</definedName>
    <definedName name="IQ_CASH_OPER_STDDEV_EST_CIQ" hidden="1">"c4773"</definedName>
    <definedName name="IQ_CASH_OPER_SUBTOTAL_AP" hidden="1">"c8990"</definedName>
    <definedName name="IQ_CASH_OTHER_ADJ_AP" hidden="1">"c8891"</definedName>
    <definedName name="IQ_CASH_OTHER_ADJ_AP_ABS" hidden="1">"c8910"</definedName>
    <definedName name="IQ_CASH_OTHER_ADJ_NAME_AP" hidden="1">"c8929"</definedName>
    <definedName name="IQ_CASH_OTHER_ADJ_NAME_AP_ABS" hidden="1">"c8948"</definedName>
    <definedName name="IQ_CASH_OTHER_BANKS_FOREIGN_COUNTRIES_FFIEC" hidden="1">"c15283"</definedName>
    <definedName name="IQ_CASH_OTHER_US_COMM_BANK_DEP_INSTIT_FFIEC" hidden="1">"c15281"</definedName>
    <definedName name="IQ_CASH_SEGREG" hidden="1">"c123"</definedName>
    <definedName name="IQ_CASH_SHARE" hidden="1">"c1911"</definedName>
    <definedName name="IQ_CASH_ST" hidden="1">"c124"</definedName>
    <definedName name="IQ_CASH_ST_INVEST" hidden="1">"c124"</definedName>
    <definedName name="IQ_CASH_ST_INVEST_EST" hidden="1">"c4249"</definedName>
    <definedName name="IQ_CASH_ST_INVEST_EST_CIQ" hidden="1">"c4775"</definedName>
    <definedName name="IQ_CASH_ST_INVEST_GUIDANCE" hidden="1">"c4250"</definedName>
    <definedName name="IQ_CASH_ST_INVEST_GUIDANCE_CIQ" hidden="1">"c4776"</definedName>
    <definedName name="IQ_CASH_ST_INVEST_GUIDANCE_CIQ_COL" hidden="1">"c11423"</definedName>
    <definedName name="IQ_CASH_ST_INVEST_HIGH_EST" hidden="1">"c4251"</definedName>
    <definedName name="IQ_CASH_ST_INVEST_HIGH_EST_CIQ" hidden="1">"c4777"</definedName>
    <definedName name="IQ_CASH_ST_INVEST_HIGH_GUIDANCE" hidden="1">"c4195"</definedName>
    <definedName name="IQ_CASH_ST_INVEST_HIGH_GUIDANCE_CIQ" hidden="1">"c4607"</definedName>
    <definedName name="IQ_CASH_ST_INVEST_HIGH_GUIDANCE_CIQ_COL" hidden="1">"c11256"</definedName>
    <definedName name="IQ_CASH_ST_INVEST_LOW_EST" hidden="1">"c4252"</definedName>
    <definedName name="IQ_CASH_ST_INVEST_LOW_EST_CIQ" hidden="1">"c4778"</definedName>
    <definedName name="IQ_CASH_ST_INVEST_LOW_GUIDANCE" hidden="1">"c4235"</definedName>
    <definedName name="IQ_CASH_ST_INVEST_LOW_GUIDANCE_CIQ" hidden="1">"c4647"</definedName>
    <definedName name="IQ_CASH_ST_INVEST_LOW_GUIDANCE_CIQ_COL" hidden="1">"c11296"</definedName>
    <definedName name="IQ_CASH_ST_INVEST_MEDIAN_EST" hidden="1">"c4253"</definedName>
    <definedName name="IQ_CASH_ST_INVEST_MEDIAN_EST_CIQ" hidden="1">"c4779"</definedName>
    <definedName name="IQ_CASH_ST_INVEST_NUM_EST" hidden="1">"c4254"</definedName>
    <definedName name="IQ_CASH_ST_INVEST_NUM_EST_CIQ" hidden="1">"c4780"</definedName>
    <definedName name="IQ_CASH_ST_INVEST_STDDEV_EST" hidden="1">"c4255"</definedName>
    <definedName name="IQ_CASH_ST_INVEST_STDDEV_EST_CIQ" hidden="1">"c4781"</definedName>
    <definedName name="IQ_CASH_STRUCTURED_PRODUCTS_AFS_AMORT_COST_FFIEC" hidden="1">"c20500"</definedName>
    <definedName name="IQ_CASH_STRUCTURED_PRODUCTS_AFS_FAIR_VAL_FFIEC" hidden="1">"c20465"</definedName>
    <definedName name="IQ_CASH_STRUCTURED_PRODUCTS_AVAIL_SALE_FFIEC" hidden="1">"c15263"</definedName>
    <definedName name="IQ_CASH_STRUCTURED_PRODUCTS_FFIEC" hidden="1">"c15260"</definedName>
    <definedName name="IQ_CASH_STRUCTURED_PRODUCTS_HTM_AMORT_COST_FFIEC" hidden="1">"c20448"</definedName>
    <definedName name="IQ_CASH_STRUCTURED_PRODUCTS_HTM_FAIR_VAL_FFIEC" hidden="1">"c20483"</definedName>
    <definedName name="IQ_CASH_TAXES" hidden="1">"c125"</definedName>
    <definedName name="IQ_CASH_TAXES_FINAN" hidden="1">"c6292"</definedName>
    <definedName name="IQ_CASH_TAXES_INVEST" hidden="1">"c6291"</definedName>
    <definedName name="IQ_CASH_TAXES_OPER" hidden="1">"c6290"</definedName>
    <definedName name="IQ_CATASTROPHIC_LOSS_RATIO" hidden="1">"c15881"</definedName>
    <definedName name="IQ_CATASTROPHIC_LOSSES" hidden="1">"c17694"</definedName>
    <definedName name="IQ_CC_RELATED_DUE_90_FFIEC" hidden="1">"c25833"</definedName>
    <definedName name="IQ_CC_RELATED_LOANS_DUE_30_89_FFIEC" hidden="1">"c25832"</definedName>
    <definedName name="IQ_CC_RELATED_NON_ACCRUAL_FFIEC" hidden="1">"c25834"</definedName>
    <definedName name="IQ_CCE_FDIC" hidden="1">"c6296"</definedName>
    <definedName name="IQ_CDS_5YR_CIQID" hidden="1">"c11751"</definedName>
    <definedName name="IQ_CDS_ASK" hidden="1">"c6027"</definedName>
    <definedName name="IQ_CDS_BID" hidden="1">"c6026"</definedName>
    <definedName name="IQ_CDS_COUPON" hidden="1">"c15234"</definedName>
    <definedName name="IQ_CDS_CURRENCY" hidden="1">"c6031"</definedName>
    <definedName name="IQ_CDS_DERIVATIVES_BENEFICIARY_FFIEC" hidden="1">"c13119"</definedName>
    <definedName name="IQ_CDS_DERIVATIVES_GUARANTOR_FFIEC" hidden="1">"c13112"</definedName>
    <definedName name="IQ_CDS_EVAL_DATE" hidden="1">"c6029"</definedName>
    <definedName name="IQ_CDS_LIST" hidden="1">"c13510"</definedName>
    <definedName name="IQ_CDS_LOAN_LIST" hidden="1">"c13518"</definedName>
    <definedName name="IQ_CDS_MID" hidden="1">"c6028"</definedName>
    <definedName name="IQ_CDS_NAME" hidden="1">"c6034"</definedName>
    <definedName name="IQ_CDS_NEXT_SERIES_ID" hidden="1">"c15231"</definedName>
    <definedName name="IQ_CDS_PREV_SERIES_ID" hidden="1">"c15232"</definedName>
    <definedName name="IQ_CDS_PRICE_TYPE" hidden="1">"c15233"</definedName>
    <definedName name="IQ_CDS_SENIOR_LIST" hidden="1">"c13508"</definedName>
    <definedName name="IQ_CDS_SUB_LIST" hidden="1">"c13509"</definedName>
    <definedName name="IQ_CDS_TERM" hidden="1">"c6030"</definedName>
    <definedName name="IQ_CDS_TYPE" hidden="1">"c6025"</definedName>
    <definedName name="IQ_CEDED_AH_EARNED" hidden="1">"c2743"</definedName>
    <definedName name="IQ_CEDED_CLAIM_ADJ_EXP_RESERVE_BOP" hidden="1">"c15875"</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LOSSES" hidden="1">"c15872"</definedName>
    <definedName name="IQ_CEDED_PC_EARNED" hidden="1">"c2748"</definedName>
    <definedName name="IQ_CEDED_PREMIUMS_EARNED_GROSS_PREMIUMS_EARNED" hidden="1">"c15887"</definedName>
    <definedName name="IQ_CEDED_PREMIUMS_WRITTEN_GROSS_PREMIUMS_WRITTEN" hidden="1">"c15885"</definedName>
    <definedName name="IQ_CEDED_WRITTEN" hidden="1">"c2727"</definedName>
    <definedName name="IQ_CEO_ID" hidden="1">"c15210"</definedName>
    <definedName name="IQ_CEO_NAME" hidden="1">"c15209"</definedName>
    <definedName name="IQ_CERTIFIED_OFFICIAL_CHECKS_TRANS_ACCTS_FFIEC" hidden="1">"c15320"</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O_ID" hidden="1">"c15212"</definedName>
    <definedName name="IQ_CFO_NAME" hidden="1">"c15211"</definedName>
    <definedName name="IQ_CFPS_ACT_OR_EST" hidden="1">"c2217"</definedName>
    <definedName name="IQ_CFPS_ACT_OR_EST_CIQ" hidden="1">"c5061"</definedName>
    <definedName name="IQ_CFPS_ACT_OR_EST_CIQ_COL" hidden="1">"c11708"</definedName>
    <definedName name="IQ_CFPS_ACT_OR_EST_THOM" hidden="1">"c5301"</definedName>
    <definedName name="IQ_CFPS_DET_EST_REUT_CURRENCY_CURRENCY_REUT" hidden="1">"c12526"</definedName>
    <definedName name="IQ_CFPS_EST" hidden="1">"c1667"</definedName>
    <definedName name="IQ_CFPS_EST_CIQ" hidden="1">"c3675"</definedName>
    <definedName name="IQ_CFPS_EST_DOWN_2MONTH" hidden="1">"c16321"</definedName>
    <definedName name="IQ_CFPS_EST_DOWN_2MONTH_CIQ" hidden="1">"c16645"</definedName>
    <definedName name="IQ_CFPS_EST_DOWN_3MONTH" hidden="1">"c16325"</definedName>
    <definedName name="IQ_CFPS_EST_DOWN_3MONTH_CIQ" hidden="1">"c16649"</definedName>
    <definedName name="IQ_CFPS_EST_DOWN_MONTH" hidden="1">"c16317"</definedName>
    <definedName name="IQ_CFPS_EST_DOWN_MONTH_CIQ" hidden="1">"c16641"</definedName>
    <definedName name="IQ_CFPS_EST_NOTE" hidden="1">"c17508"</definedName>
    <definedName name="IQ_CFPS_EST_NOTE_CIQ" hidden="1">"c17461"</definedName>
    <definedName name="IQ_CFPS_EST_NUM_ANALYSTS_2MONTH" hidden="1">"c16319"</definedName>
    <definedName name="IQ_CFPS_EST_NUM_ANALYSTS_2MONTH_CIQ" hidden="1">"c16643"</definedName>
    <definedName name="IQ_CFPS_EST_NUM_ANALYSTS_3MONTH" hidden="1">"c16323"</definedName>
    <definedName name="IQ_CFPS_EST_NUM_ANALYSTS_3MONTH_CIQ" hidden="1">"c16647"</definedName>
    <definedName name="IQ_CFPS_EST_NUM_ANALYSTS_MONTH" hidden="1">"c16315"</definedName>
    <definedName name="IQ_CFPS_EST_NUM_ANALYSTS_MONTH_CIQ" hidden="1">"c16639"</definedName>
    <definedName name="IQ_CFPS_EST_THOM" hidden="1">"c4006"</definedName>
    <definedName name="IQ_CFPS_EST_TOTAL_REVISED_2MONTH" hidden="1">"c16322"</definedName>
    <definedName name="IQ_CFPS_EST_TOTAL_REVISED_2MONTH_CIQ" hidden="1">"c16646"</definedName>
    <definedName name="IQ_CFPS_EST_TOTAL_REVISED_3MONTH" hidden="1">"c16326"</definedName>
    <definedName name="IQ_CFPS_EST_TOTAL_REVISED_3MONTH_CIQ" hidden="1">"c16650"</definedName>
    <definedName name="IQ_CFPS_EST_TOTAL_REVISED_MONTH" hidden="1">"c16318"</definedName>
    <definedName name="IQ_CFPS_EST_TOTAL_REVISED_MONTH_CIQ" hidden="1">"c16642"</definedName>
    <definedName name="IQ_CFPS_EST_UP_2MONTH" hidden="1">"c16320"</definedName>
    <definedName name="IQ_CFPS_EST_UP_2MONTH_CIQ" hidden="1">"c16644"</definedName>
    <definedName name="IQ_CFPS_EST_UP_3MONTH" hidden="1">"c16324"</definedName>
    <definedName name="IQ_CFPS_EST_UP_3MONTH_CIQ" hidden="1">"c16648"</definedName>
    <definedName name="IQ_CFPS_EST_UP_MONTH" hidden="1">"c16316"</definedName>
    <definedName name="IQ_CFPS_EST_UP_MONTH_CIQ" hidden="1">"c16640"</definedName>
    <definedName name="IQ_CFPS_GUIDANCE" hidden="1">"c4256"</definedName>
    <definedName name="IQ_CFPS_GUIDANCE_CIQ" hidden="1">"c4782"</definedName>
    <definedName name="IQ_CFPS_GUIDANCE_CIQ_COL" hidden="1">"c11429"</definedName>
    <definedName name="IQ_CFPS_HIGH_EST" hidden="1">"c1669"</definedName>
    <definedName name="IQ_CFPS_HIGH_EST_CIQ" hidden="1">"c3677"</definedName>
    <definedName name="IQ_CFPS_HIGH_EST_THOM" hidden="1">"c4008"</definedName>
    <definedName name="IQ_CFPS_HIGH_GUIDANCE" hidden="1">"c4167"</definedName>
    <definedName name="IQ_CFPS_HIGH_GUIDANCE_CIQ" hidden="1">"c4579"</definedName>
    <definedName name="IQ_CFPS_HIGH_GUIDANCE_CIQ_COL" hidden="1">"c11228"</definedName>
    <definedName name="IQ_CFPS_LOW_EST" hidden="1">"c1670"</definedName>
    <definedName name="IQ_CFPS_LOW_EST_CIQ" hidden="1">"c3678"</definedName>
    <definedName name="IQ_CFPS_LOW_EST_THOM" hidden="1">"c4009"</definedName>
    <definedName name="IQ_CFPS_LOW_GUIDANCE" hidden="1">"c4207"</definedName>
    <definedName name="IQ_CFPS_LOW_GUIDANCE_CIQ" hidden="1">"c4619"</definedName>
    <definedName name="IQ_CFPS_LOW_GUIDANCE_CIQ_COL" hidden="1">"c11268"</definedName>
    <definedName name="IQ_CFPS_MEDIAN_EST" hidden="1">"c1668"</definedName>
    <definedName name="IQ_CFPS_MEDIAN_EST_CIQ" hidden="1">"c3676"</definedName>
    <definedName name="IQ_CFPS_MEDIAN_EST_THOM" hidden="1">"c4007"</definedName>
    <definedName name="IQ_CFPS_NUM_EST" hidden="1">"c1671"</definedName>
    <definedName name="IQ_CFPS_NUM_EST_CIQ" hidden="1">"c3679"</definedName>
    <definedName name="IQ_CFPS_NUM_EST_THOM" hidden="1">"c4010"</definedName>
    <definedName name="IQ_CFPS_STDDEV_EST" hidden="1">"c1672"</definedName>
    <definedName name="IQ_CFPS_STDDEV_EST_CIQ" hidden="1">"c3680"</definedName>
    <definedName name="IQ_CFPS_STDDEV_EST_THOM" hidden="1">"c4011"</definedName>
    <definedName name="IQ_CHAIRMAN_ID" hidden="1">"c15218"</definedName>
    <definedName name="IQ_CHAIRMAN_NAME" hidden="1">"c15217"</definedName>
    <definedName name="IQ_CHANGE_AP" hidden="1">"c133"</definedName>
    <definedName name="IQ_CHANGE_AP_BNK" hidden="1">"c134"</definedName>
    <definedName name="IQ_CHANGE_AP_BR" hidden="1">"c135"</definedName>
    <definedName name="IQ_CHANGE_AP_CM"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CM"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F_TAX_TOTAL" hidden="1">"c15557"</definedName>
    <definedName name="IQ_CHANGE_DEPOSIT_ACCT" hidden="1">"c148"</definedName>
    <definedName name="IQ_CHANGE_FAIR_VALUE_FINANCIAL_LIAB_T1_FFIEC" hidden="1">"c13138"</definedName>
    <definedName name="IQ_CHANGE_FAIR_VALUE_OPTIONS_FFIEC" hidden="1">"c13045"</definedName>
    <definedName name="IQ_CHANGE_INC_TAX" hidden="1">"c149"</definedName>
    <definedName name="IQ_CHANGE_INS_RES_LIAB" hidden="1">"c150"</definedName>
    <definedName name="IQ_CHANGE_INVENT" hidden="1">"c6826"</definedName>
    <definedName name="IQ_CHANGE_INVENT_APR" hidden="1">"c7486"</definedName>
    <definedName name="IQ_CHANGE_INVENT_POP" hidden="1">"c7046"</definedName>
    <definedName name="IQ_CHANGE_INVENT_REAL_APR_FC_UNUSED" hidden="1">"c8500"</definedName>
    <definedName name="IQ_CHANGE_INVENT_REAL_APR_FC_UNUSED_UNUSED_UNUSED" hidden="1">"c8500"</definedName>
    <definedName name="IQ_CHANGE_INVENT_REAL_APR_UNUSED" hidden="1">"c7620"</definedName>
    <definedName name="IQ_CHANGE_INVENT_REAL_APR_UNUSED_UNUSED_UNUSED" hidden="1">"c7620"</definedName>
    <definedName name="IQ_CHANGE_INVENT_REAL_FC_UNUSED" hidden="1">"c7840"</definedName>
    <definedName name="IQ_CHANGE_INVENT_REAL_FC_UNUSED_UNUSED_UNUSED" hidden="1">"c7840"</definedName>
    <definedName name="IQ_CHANGE_INVENT_REAL_POP_FC_UNUSED" hidden="1">"c8060"</definedName>
    <definedName name="IQ_CHANGE_INVENT_REAL_POP_FC_UNUSED_UNUSED_UNUSED" hidden="1">"c8060"</definedName>
    <definedName name="IQ_CHANGE_INVENT_REAL_POP_UNUSED" hidden="1">"c7180"</definedName>
    <definedName name="IQ_CHANGE_INVENT_REAL_POP_UNUSED_UNUSED_UNUSED" hidden="1">"c7180"</definedName>
    <definedName name="IQ_CHANGE_INVENT_REAL_SAAR" hidden="1">"c6962"</definedName>
    <definedName name="IQ_CHANGE_INVENT_REAL_SAAR_APR" hidden="1">"c7622"</definedName>
    <definedName name="IQ_CHANGE_INVENT_REAL_SAAR_APR_FC" hidden="1">"c8502"</definedName>
    <definedName name="IQ_CHANGE_INVENT_REAL_SAAR_FC" hidden="1">"c7842"</definedName>
    <definedName name="IQ_CHANGE_INVENT_REAL_SAAR_POP" hidden="1">"c7182"</definedName>
    <definedName name="IQ_CHANGE_INVENT_REAL_SAAR_POP_FC" hidden="1">"c8062"</definedName>
    <definedName name="IQ_CHANGE_INVENT_REAL_SAAR_USD_APR_FC" hidden="1">"c11917"</definedName>
    <definedName name="IQ_CHANGE_INVENT_REAL_SAAR_USD_FC" hidden="1">"c11914"</definedName>
    <definedName name="IQ_CHANGE_INVENT_REAL_SAAR_USD_POP_FC" hidden="1">"c11915"</definedName>
    <definedName name="IQ_CHANGE_INVENT_REAL_SAAR_USD_YOY_FC" hidden="1">"c11916"</definedName>
    <definedName name="IQ_CHANGE_INVENT_REAL_SAAR_YOY" hidden="1">"c7402"</definedName>
    <definedName name="IQ_CHANGE_INVENT_REAL_SAAR_YOY_FC" hidden="1">"c8282"</definedName>
    <definedName name="IQ_CHANGE_INVENT_REAL_UNUSED" hidden="1">"c6960"</definedName>
    <definedName name="IQ_CHANGE_INVENT_REAL_UNUSED_UNUSED_UNUSED" hidden="1">"c6960"</definedName>
    <definedName name="IQ_CHANGE_INVENT_REAL_USD_APR_FC" hidden="1">"c11913"</definedName>
    <definedName name="IQ_CHANGE_INVENT_REAL_USD_FC" hidden="1">"c11910"</definedName>
    <definedName name="IQ_CHANGE_INVENT_REAL_USD_POP_FC" hidden="1">"c11911"</definedName>
    <definedName name="IQ_CHANGE_INVENT_REAL_USD_YOY_FC" hidden="1">"c11912"</definedName>
    <definedName name="IQ_CHANGE_INVENT_REAL_YOY_FC_UNUSED" hidden="1">"c8280"</definedName>
    <definedName name="IQ_CHANGE_INVENT_REAL_YOY_FC_UNUSED_UNUSED_UNUSED" hidden="1">"c8280"</definedName>
    <definedName name="IQ_CHANGE_INVENT_REAL_YOY_UNUSED" hidden="1">"c7400"</definedName>
    <definedName name="IQ_CHANGE_INVENT_REAL_YOY_UNUSED_UNUSED_UNUSED" hidden="1">"c7400"</definedName>
    <definedName name="IQ_CHANGE_INVENT_SAAR" hidden="1">"c6827"</definedName>
    <definedName name="IQ_CHANGE_INVENT_SAAR_APR" hidden="1">"c7487"</definedName>
    <definedName name="IQ_CHANGE_INVENT_SAAR_APR_FC" hidden="1">"c8367"</definedName>
    <definedName name="IQ_CHANGE_INVENT_SAAR_FC" hidden="1">"c7707"</definedName>
    <definedName name="IQ_CHANGE_INVENT_SAAR_POP" hidden="1">"c7047"</definedName>
    <definedName name="IQ_CHANGE_INVENT_SAAR_POP_FC" hidden="1">"c7927"</definedName>
    <definedName name="IQ_CHANGE_INVENT_SAAR_YOY" hidden="1">"c7267"</definedName>
    <definedName name="IQ_CHANGE_INVENT_SAAR_YOY_FC" hidden="1">"c8147"</definedName>
    <definedName name="IQ_CHANGE_INVENT_YOY" hidden="1">"c7266"</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CM"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CM"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PRIVATE_INVENT" hidden="1">"c6828"</definedName>
    <definedName name="IQ_CHANGE_PRIVATE_INVENT_APR" hidden="1">"c7488"</definedName>
    <definedName name="IQ_CHANGE_PRIVATE_INVENT_APR_FC" hidden="1">"c8368"</definedName>
    <definedName name="IQ_CHANGE_PRIVATE_INVENT_FC" hidden="1">"c7708"</definedName>
    <definedName name="IQ_CHANGE_PRIVATE_INVENT_POP" hidden="1">"c7048"</definedName>
    <definedName name="IQ_CHANGE_PRIVATE_INVENT_POP_FC" hidden="1">"c7928"</definedName>
    <definedName name="IQ_CHANGE_PRIVATE_INVENT_YOY" hidden="1">"c7268"</definedName>
    <definedName name="IQ_CHANGE_PRIVATE_INVENT_YOY_FC" hidden="1">"c8148"</definedName>
    <definedName name="IQ_CHANGE_TRADING_ASSETS" hidden="1">"c159"</definedName>
    <definedName name="IQ_CHANGE_UNEARN_REV" hidden="1">"c160"</definedName>
    <definedName name="IQ_CHANGE_UNRECOG_TAX_BENEFIT_1_YR_MAX" hidden="1">"c15747"</definedName>
    <definedName name="IQ_CHANGE_UNRECOG_TAX_BENEFIT_1_YR_MIN" hidden="1">"c15746"</definedName>
    <definedName name="IQ_CHANGE_WORK_CAP" hidden="1">"c161"</definedName>
    <definedName name="IQ_CHANGES_WORK_CAP" hidden="1">"c161"</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GVA_THRIFT" hidden="1">"c25096"</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SVA_THRIFT" hidden="1">"c25103"</definedName>
    <definedName name="IQ_CHARGE_OFFS_TOTAL_AVG_LOANS" hidden="1">"c165"</definedName>
    <definedName name="IQ_CHARGE_OFFS_TVA_THRIFT" hidden="1">"c25110"</definedName>
    <definedName name="IQ_CHICAGO_PMI" hidden="1">"c6829"</definedName>
    <definedName name="IQ_CHICAGO_PMI_APR" hidden="1">"c7489"</definedName>
    <definedName name="IQ_CHICAGO_PMI_APR_FC" hidden="1">"c8369"</definedName>
    <definedName name="IQ_CHICAGO_PMI_FC" hidden="1">"c7709"</definedName>
    <definedName name="IQ_CHICAGO_PMI_POP" hidden="1">"c7049"</definedName>
    <definedName name="IQ_CHICAGO_PMI_POP_FC" hidden="1">"c7929"</definedName>
    <definedName name="IQ_CHICAGO_PMI_YOY" hidden="1">"c7269"</definedName>
    <definedName name="IQ_CHICAGO_PMI_YOY_FC" hidden="1">"c8149"</definedName>
    <definedName name="IQ_CHURN_BASIC_CABLE" hidden="1">"c2871"</definedName>
    <definedName name="IQ_CHURN_BBAND" hidden="1">"c2872"</definedName>
    <definedName name="IQ_CHURN_DIG_CABLE" hidden="1">"c2870"</definedName>
    <definedName name="IQ_CHURN_PHONE" hidden="1">"c2873"</definedName>
    <definedName name="IQ_CHURN_POSTPAID_WIRELESS" hidden="1">"c2121"</definedName>
    <definedName name="IQ_CHURN_PREPAID_WIRELESS" hidden="1">"c2120"</definedName>
    <definedName name="IQ_CHURN_SATELLITE" hidden="1">"c15791"</definedName>
    <definedName name="IQ_CHURN_TOTAL" hidden="1">"c2874"</definedName>
    <definedName name="IQ_CHURN_TOTAL_WIRELESS" hidden="1">"c2122"</definedName>
    <definedName name="IQ_CIK" hidden="1">"c20384"</definedName>
    <definedName name="IQ_CIP" hidden="1">"c17551"</definedName>
    <definedName name="IQ_CITY" hidden="1">"c166"</definedName>
    <definedName name="IQ_CL_AP" hidden="1">"c8884"</definedName>
    <definedName name="IQ_CL_AP_ABS" hidden="1">"c8903"</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NAME_AP" hidden="1">"c8922"</definedName>
    <definedName name="IQ_CL_NAME_AP_ABS" hidden="1">"c8941"</definedName>
    <definedName name="IQ_CL_OBLIGATION_IMMEDIATE" hidden="1">"c2253"</definedName>
    <definedName name="IQ_CLAIMS_ADJUSTMENT_EXP_PC_FFIEC" hidden="1">"c13100"</definedName>
    <definedName name="IQ_CLAIMS_DOMESTIC_DEPOSITORY_INSTITUTIONS_ELIGIBLE_20_PCT_RISK_WEIGHT_THRIFT" hidden="1">"c25060"</definedName>
    <definedName name="IQ_CLAIMS_FHLBS_ELIGIBLE_20_PCT_RISK_WEIGHT_THRIFT" hidden="1">"c25058"</definedName>
    <definedName name="IQ_CLASS_MARKETCAP" hidden="1">"c13512"</definedName>
    <definedName name="IQ_CLASS_SHARESOUTSTANDING" hidden="1">"c13513"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D_END_1_4_FAM_LOANS_TOT_LOANS_FFIEC" hidden="1">"c13866"</definedName>
    <definedName name="IQ_CLOSED_END_1_4_FAMILY_LOANS_TOTAL_LOANS_THRIFT" hidden="1">"c25742"</definedName>
    <definedName name="IQ_CLOSED_END_1_4_FIRST_LIENS_TRADING_DOM_FFIEC" hidden="1">"c12928"</definedName>
    <definedName name="IQ_CLOSED_END_1_4_JR_LIENS_LL_REC_DOM_FFIEC" hidden="1">"c12904"</definedName>
    <definedName name="IQ_CLOSED_END_1_4_JUNIOR_LIENS_TRADING_DOM_FFIEC" hidden="1">"c12929"</definedName>
    <definedName name="IQ_CLOSED_END_LOANS_GROSS_LOANS_THRIFT" hidden="1">"c25724"</definedName>
    <definedName name="IQ_CLOSED_END_LOANS_RISK_BASED_CAPITAL_THRIFT" hidden="1">"c25709"</definedName>
    <definedName name="IQ_CLOSED_END_SEC_1_4_1ST_LIENS_CHARGE_OFFS_FFIEC" hidden="1">"c13169"</definedName>
    <definedName name="IQ_CLOSED_END_SEC_1_4_1ST_LIENS_DUE_30_89_FFIEC" hidden="1">"c13261"</definedName>
    <definedName name="IQ_CLOSED_END_SEC_1_4_1ST_LIENS_DUE_90_FFIEC" hidden="1">"c13289"</definedName>
    <definedName name="IQ_CLOSED_END_SEC_1_4_1ST_LIENS_NON_ACCRUAL_FFIEC" hidden="1">"c13315"</definedName>
    <definedName name="IQ_CLOSED_END_SEC_1_4_1ST_LIENS_RECOV_FFIEC" hidden="1">"c13191"</definedName>
    <definedName name="IQ_CLOSED_END_SEC_1_4_JR_LIENS_CHARGE_OFFS_FFIEC" hidden="1">"c13170"</definedName>
    <definedName name="IQ_CLOSED_END_SEC_1_4_JR_LIENS_DUE_30_89_FFIEC" hidden="1">"c13262"</definedName>
    <definedName name="IQ_CLOSED_END_SEC_1_4_JR_LIENS_DUE_90_FFIEC" hidden="1">"c13290"</definedName>
    <definedName name="IQ_CLOSED_END_SEC_1_4_JR_LIENS_NON_ACCRUAL_FFIEC" hidden="1">"c13316"</definedName>
    <definedName name="IQ_CLOSED_END_SEC_1_4_JR_LIENS_RECOV_FFIEC" hidden="1">"c13192"</definedName>
    <definedName name="IQ_CLOSED_END_SEC_1_4_RESIDENT_CHARGE_OFFS_FFIEC" hidden="1">"c15397"</definedName>
    <definedName name="IQ_CLOSED_END_SEC_1_4_RESIDENT_DUE_30_89_FFIEC" hidden="1">"c15413"</definedName>
    <definedName name="IQ_CLOSED_END_SEC_1_4_RESIDENT_DUE_90_FFIEC" hidden="1">"c15417"</definedName>
    <definedName name="IQ_CLOSED_END_SEC_1_4_RESIDENT_NON_ACCRUAL_FFIEC" hidden="1">"c15460"</definedName>
    <definedName name="IQ_CLOSED_END_SEC_1_4_RESIDENT_RECOV_FFIEC" hidden="1">"c15398"</definedName>
    <definedName name="IQ_CLOSED_END_SECURED_1_4_FIRST_LIENS_LL_REC_DOM_FFIEC" hidden="1">"c12903"</definedName>
    <definedName name="IQ_CLOSED_LOANS_GROSS_LOANS_FFIEC" hidden="1">"c13399"</definedName>
    <definedName name="IQ_CLOSED_LOANS_RISK_BASED_FFIEC" hidden="1">"c13420"</definedName>
    <definedName name="IQ_CLOSED_PURCHASED_COMM_NON_MORTGAGE_LOANS_THRIFT" hidden="1">"c25339"</definedName>
    <definedName name="IQ_CLOSED_PURCHASED_CONSUMER_NON_MORTGAGE_LOANS_THRIFT" hidden="1">"c25341"</definedName>
    <definedName name="IQ_CLOSEPRICE" hidden="1">"c174"</definedName>
    <definedName name="IQ_CLOSEPRICE_ADJ" hidden="1">"c2115"</definedName>
    <definedName name="IQ_CLOSEPRICE_RT" hidden="1">"CLOSE"</definedName>
    <definedName name="IQ_CMBS_ISSUED_AFS_AMORT_COST_FFIEC" hidden="1">"c20497"</definedName>
    <definedName name="IQ_CMBS_ISSUED_AFS_FAIR_VAL_FFIEC" hidden="1">"c20462"</definedName>
    <definedName name="IQ_CMBS_ISSUED_AVAIL_SALE_FFIEC" hidden="1">"c12800"</definedName>
    <definedName name="IQ_CMBS_ISSUED_FFIEC" hidden="1">"c12786"</definedName>
    <definedName name="IQ_CMBS_ISSUED_HTM_AMORT_COST_FFIEC" hidden="1">"c20445"</definedName>
    <definedName name="IQ_CMBS_ISSUED_HTM_FAIR_VAL_FFIEC" hidden="1">"c20480"</definedName>
    <definedName name="IQ_CMO_FDIC" hidden="1">"c6406"</definedName>
    <definedName name="IQ_CMO_THRIFT" hidden="1">"c24903"</definedName>
    <definedName name="IQ_CO_INVESTORS" hidden="1">"c18910"</definedName>
    <definedName name="IQ_CO_INVESTORS_ID" hidden="1">"c18911"</definedName>
    <definedName name="IQ_CO_INVESTORS_INVESTMENT" hidden="1">"c19113"</definedName>
    <definedName name="IQ_CO_INVESTORS_NUM_INVESTMENTS" hidden="1">"c19170"</definedName>
    <definedName name="IQ_COAL_SALES_TO_OPERATING_REVENUE_COAL" hidden="1">"c15954"</definedName>
    <definedName name="IQ_COGS" hidden="1">"c175"</definedName>
    <definedName name="IQ_COLLATERAL_TYPE" hidden="1">"c8954"</definedName>
    <definedName name="IQ_COLLATERALIZED_MBS_ISSUED_GUARANTEED_FNMA_FHLMC_GNMA_THRIFT" hidden="1">"c24834"</definedName>
    <definedName name="IQ_COLLECTION_DOMESTIC_FDIC" hidden="1">"c6387"</definedName>
    <definedName name="IQ_COLLECTIVE_INV_FUNDS_COMMON_TRUST_FUNDS_DOMESTIC_EQUITY_MARKET_VALUE_FUNDED_ASSETS_THRIFT" hidden="1">"c25445"</definedName>
    <definedName name="IQ_COLLECTIVE_INV_FUNDS_COMMON_TRUST_FUNDS_DOMESTIC_EQUITY_NUMBER_FUNDS_THRIFT" hidden="1">"c25446"</definedName>
    <definedName name="IQ_COLLECTIVE_INV_FUNDS_COMMON_TRUST_FUNDS_INTERNATIONALGLOBAL_EQUITY_MARKET_VALUE_FUNDED_ASSETS_THRIFT" hidden="1">"c25447"</definedName>
    <definedName name="IQ_COLLECTIVE_INV_FUNDS_COMMON_TRUST_FUNDS_INTERNATIONALGLOBAL_EQUITY_NUMBER_FUNDS_THRIFT" hidden="1">"c25448"</definedName>
    <definedName name="IQ_COLLECTIVE_INV_FUNDS_COMMON_TRUST_FUNDS_MUNICIPAL_BOND_MARKET_VALUE_FUNDED_ASSETS_THRIFT" hidden="1">"c25453"</definedName>
    <definedName name="IQ_COLLECTIVE_INV_FUNDS_COMMON_TRUST_FUNDS_MUNICIPAL_BOND_NUMBER_FUNDS_THRIFT" hidden="1">"c25454"</definedName>
    <definedName name="IQ_COLLECTIVE_INV_FUNDS_COMMON_TRUST_FUNDS_SHORT_TERM_INVESTMENTSMONEY_MARKET_MARKET_VALUE_FUNDED_ASSETS_THRIFT" hidden="1">"c25455"</definedName>
    <definedName name="IQ_COLLECTIVE_INV_FUNDS_COMMON_TRUST_FUNDS_SHORT_TERM_INVESTMENTSMONEY_MARKET_NUMBER_FUNDS_THRIFT" hidden="1">"c25456"</definedName>
    <definedName name="IQ_COLLECTIVE_INV_FUNDS_COMMON_TRUST_FUNDS_SPECIALTYOTHER_MARKET_VALUE_FUNDED_ASSETS_THRIFT" hidden="1">"c25457"</definedName>
    <definedName name="IQ_COLLECTIVE_INV_FUNDS_COMMON_TRUST_FUNDS_SPECIALTYOTHER_NUMBER_FUNDS_THRIFT" hidden="1">"c25458"</definedName>
    <definedName name="IQ_COLLECTIVE_INV_FUNDS_COMMON_TRUST_FUNDS_STOCKBOND_BLEND_MARKET_VALUE_FUNDED_ASSETS_THRIFT" hidden="1">"c25449"</definedName>
    <definedName name="IQ_COLLECTIVE_INV_FUNDS_COMMON_TRUST_FUNDS_STOCKBOND_BLEND_NUMBER_FUNDS_THRIFT" hidden="1">"c25450"</definedName>
    <definedName name="IQ_COLLECTIVE_INV_FUNDS_COMMON_TRUST_FUNDS_TAXABLE_BOND_MARKET_VALUE_FUNDED_ASSETS_THRIFT" hidden="1">"c25451"</definedName>
    <definedName name="IQ_COLLECTIVE_INV_FUNDS_COMMON_TRUST_FUNDS_TAXABLE_BOND_NUMBER_FUNDS_THRIFT" hidden="1">"c25452"</definedName>
    <definedName name="IQ_COLLECTIVE_INV_FUNDS_COMMON_TRUST_FUNDS_TOTAL_COLLECTIVE_INV_FUNDS_MARKET_VALUE_FUNDED_ASSETS_THRIFT" hidden="1">"c25459"</definedName>
    <definedName name="IQ_COLLECTIVE_INV_FUNDS_COMMON_TRUST_FUNDS_TOTAL_COLLECTIVE_INV_FUNDS_NUMBER_FUNDS_THRIFT" hidden="1">"c25460"</definedName>
    <definedName name="IQ_COM_TARGET_PRICE" hidden="1">"c13606"</definedName>
    <definedName name="IQ_COM_TARGET_PRICE_CIQ" hidden="1">"c13599"</definedName>
    <definedName name="IQ_COM_TARGET_PRICE_HIGH" hidden="1">"c13607"</definedName>
    <definedName name="IQ_COM_TARGET_PRICE_HIGH_CIQ" hidden="1">"c13600"</definedName>
    <definedName name="IQ_COM_TARGET_PRICE_LOW" hidden="1">"c13608"</definedName>
    <definedName name="IQ_COM_TARGET_PRICE_LOW_CIQ" hidden="1">"c13601"</definedName>
    <definedName name="IQ_COM_TARGET_PRICE_MEDIAN" hidden="1">"c13609"</definedName>
    <definedName name="IQ_COM_TARGET_PRICE_MEDIAN_CIQ" hidden="1">"c13602"</definedName>
    <definedName name="IQ_COM_TARGET_PRICE_NUM" hidden="1">"c13604"</definedName>
    <definedName name="IQ_COM_TARGET_PRICE_NUM_CIQ" hidden="1">"c13597"</definedName>
    <definedName name="IQ_COM_TARGET_PRICE_STDDEV" hidden="1">"c13605"</definedName>
    <definedName name="IQ_COM_TARGET_PRICE_STDDEV_CIQ" hidden="1">"c13598"</definedName>
    <definedName name="IQ_COMBINED_RATIO" hidden="1">"c176"</definedName>
    <definedName name="IQ_COMM_BANKS_OTHER_DEP_INST_US_TRANS_ACCTS_FFIEC" hidden="1">"c15317"</definedName>
    <definedName name="IQ_COMM_BANKS_OTHER_INST_US_NON_TRANS_ACCTS_FFIEC" hidden="1">"c15325"</definedName>
    <definedName name="IQ_COMM_IND_LOANS_TOT_LOANS_FFIEC" hidden="1">"c13874"</definedName>
    <definedName name="IQ_COMM_INDUSTRIAL_LL_REC_FFIEC" hidden="1">"c18880"</definedName>
    <definedName name="IQ_COMM_INDUSTRIAL_LOANS_FFIEC" hidden="1">"c12821"</definedName>
    <definedName name="IQ_COMM_INDUSTRIAL_NON_US_LL_REC_FFIEC" hidden="1">"c12888"</definedName>
    <definedName name="IQ_COMM_INDUSTRIAL_US_LL_REC_FFIEC" hidden="1">"c12887"</definedName>
    <definedName name="IQ_COMM_LETTERS_CREDIT_THRIFT" hidden="1">"c25613"</definedName>
    <definedName name="IQ_COMM_LOANS_GROSS_LOANS_THRIFT" hidden="1">"c25732"</definedName>
    <definedName name="IQ_COMM_LOANS_NON_MORTGAGE_ADJUSTED_NCOS_TOTAL_THRIFT" hidden="1">"c25210"</definedName>
    <definedName name="IQ_COMM_LOANS_NON_MORTGAGE_GVA_CHARGE_OFFS_THRIFT" hidden="1">"c25125"</definedName>
    <definedName name="IQ_COMM_LOANS_NON_MORTGAGE_GVA_RECOVERIES_THRIFT" hidden="1">"c25156"</definedName>
    <definedName name="IQ_COMM_LOANS_NON_MORTGAGE_SVA_PROVISIONS_TRANSFERS_FROM_GVA_TOTAL_THRIFT" hidden="1">"c25179"</definedName>
    <definedName name="IQ_COMM_LOANS_RISK_BASED_CAPITAL_THRIFT" hidden="1">"c25717"</definedName>
    <definedName name="IQ_COMM_LOANS_THRIFT" hidden="1">"c24853"</definedName>
    <definedName name="IQ_COMM_LOANS_TOTAL_LOANS_THRIFT" hidden="1">"c25749"</definedName>
    <definedName name="IQ_COMM_NON_MORTGAGE_LOANS_DUE_30_89_THRIFT" hidden="1">"c25247"</definedName>
    <definedName name="IQ_COMM_NON_MORTGAGE_LOANS_DUE_90_THRIFT" hidden="1">"c25268"</definedName>
    <definedName name="IQ_COMM_NON_MORTGAGE_LOANS_NON_ACCRUAL_THRIFT" hidden="1">"c25289"</definedName>
    <definedName name="IQ_COMM_RE_FARM_LOANS_TOT_LOANS_FFIEC" hidden="1">"c13872"</definedName>
    <definedName name="IQ_COMM_RE_FARM_LOANS_TOTAL_LOANS_THRIFT" hidden="1">"c25743"</definedName>
    <definedName name="IQ_COMM_RE_LOANS_GROSS_LOANS_THRIFT" hidden="1">"c25725"</definedName>
    <definedName name="IQ_COMM_RE_LOANS_RISK_BASED_CAPITAL_THRIFT" hidden="1">"c25710"</definedName>
    <definedName name="IQ_COMM_RE_NONFARM_NONRES_TOT_LOANS_FFIEC" hidden="1">"c13871"</definedName>
    <definedName name="IQ_COMM_RE_NONFARM_NONRESIDENTIAL_TOTAL_LOANS_THRIFT" hidden="1">"c25746"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_UNUSED_FFIEC" hidden="1">"c25859"</definedName>
    <definedName name="IQ_COMMERCIAL_INDUSTRIAL_CHARGE_OFFS_FDIC" hidden="1">"c6598"</definedName>
    <definedName name="IQ_COMMERCIAL_INDUSTRIAL_DOM_QUARTERLY_AVG_FFIEC" hidden="1">"c15478"</definedName>
    <definedName name="IQ_COMMERCIAL_INDUSTRIAL_GROSS_LOANS_FFIEC" hidden="1">"c13410"</definedName>
    <definedName name="IQ_COMMERCIAL_INDUSTRIAL_LOANS_DUE_30_89_FFIEC" hidden="1">"c13271"</definedName>
    <definedName name="IQ_COMMERCIAL_INDUSTRIAL_LOANS_DUE_90_FFIEC" hidden="1">"c13297"</definedName>
    <definedName name="IQ_COMMERCIAL_INDUSTRIAL_LOANS_LL_REC_DOM_FFIEC" hidden="1">"c12910"</definedName>
    <definedName name="IQ_COMMERCIAL_INDUSTRIAL_LOANS_NET_FDIC" hidden="1">"c6317"</definedName>
    <definedName name="IQ_COMMERCIAL_INDUSTRIAL_LOANS_NON_ACCRUAL_FFIEC" hidden="1">"c13323"</definedName>
    <definedName name="IQ_COMMERCIAL_INDUSTRIAL_NET_CHARGE_OFFS_FDIC" hidden="1">"c6636"</definedName>
    <definedName name="IQ_COMMERCIAL_INDUSTRIAL_NON_US_CHARGE_OFFS_FFIEC" hidden="1">"c13179"</definedName>
    <definedName name="IQ_COMMERCIAL_INDUSTRIAL_NON_US_DUE_30_89_FFIEC" hidden="1">"c15415"</definedName>
    <definedName name="IQ_COMMERCIAL_INDUSTRIAL_NON_US_DUE_90_FFIEC" hidden="1">"c15419"</definedName>
    <definedName name="IQ_COMMERCIAL_INDUSTRIAL_NON_US_NON_ACCRUAL_FFIEC" hidden="1">"c15464"</definedName>
    <definedName name="IQ_COMMERCIAL_INDUSTRIAL_NON_US_RECOV_FFIEC" hidden="1">"c13201"</definedName>
    <definedName name="IQ_COMMERCIAL_INDUSTRIAL_RECOVERIES_FDIC" hidden="1">"c6617"</definedName>
    <definedName name="IQ_COMMERCIAL_INDUSTRIAL_RISK_BASED_FFIEC" hidden="1">"c13431"</definedName>
    <definedName name="IQ_COMMERCIAL_INDUSTRIAL_TOTAL_LOANS_FOREIGN_FDIC" hidden="1">"c6451"</definedName>
    <definedName name="IQ_COMMERCIAL_INDUSTRIAL_TRADING_DOM_FFIEC" hidden="1">"c12932"</definedName>
    <definedName name="IQ_COMMERCIAL_INDUSTRIAL_US_CHARGE_OFFS_FFIEC" hidden="1">"c13178"</definedName>
    <definedName name="IQ_COMMERCIAL_INDUSTRIAL_US_DUE_30_89_FFIEC" hidden="1">"c15414"</definedName>
    <definedName name="IQ_COMMERCIAL_INDUSTRIAL_US_DUE_90_FFIEC" hidden="1">"c15418"</definedName>
    <definedName name="IQ_COMMERCIAL_INDUSTRIAL_US_NON_ACCRUAL_FFIEC" hidden="1">"c15463"</definedName>
    <definedName name="IQ_COMMERCIAL_INDUSTRIAL_US_RECOV_FFIEC" hidden="1">"c13200"</definedName>
    <definedName name="IQ_COMMERCIAL_INVEST_CABLE_INVEST" hidden="1">"c15806"</definedName>
    <definedName name="IQ_COMMERCIAL_LOANS_TOTAL_LOANS" hidden="1">"c15709"</definedName>
    <definedName name="IQ_COMMERCIAL_MORT" hidden="1">"c179"</definedName>
    <definedName name="IQ_COMMERCIAL_OTHER_LOC_FFIEC" hidden="1">"c13253"</definedName>
    <definedName name="IQ_COMMERCIAL_PAPER_ASSETS_TOT_FFIEC" hidden="1">"c13449"</definedName>
    <definedName name="IQ_COMMERCIAL_PAPER_FFIEC" hidden="1">"c12863"</definedName>
    <definedName name="IQ_COMMERCIAL_RE_CONSTRUCTION_LAND_DEV_FDIC" hidden="1">"c6526"</definedName>
    <definedName name="IQ_COMMERCIAL_RE_GROSS_LOANS_FFIEC" hidden="1">"c13400"</definedName>
    <definedName name="IQ_COMMERCIAL_RE_LOANS_FDIC" hidden="1">"c6312"</definedName>
    <definedName name="IQ_COMMERCIAL_RE_LOANS_TOTAL_LOANS" hidden="1">"c15710"</definedName>
    <definedName name="IQ_COMMERCIAL_RE_RISK_BASED_FFIEC" hidden="1">"c13421"</definedName>
    <definedName name="IQ_COMMISS_FEES" hidden="1">"c180"</definedName>
    <definedName name="IQ_COMMISSION_DEF" hidden="1">"c181"</definedName>
    <definedName name="IQ_COMMITMENTS_BUY_SEC_OTHER_OFF_BS_FFIEC" hidden="1">"c13128"</definedName>
    <definedName name="IQ_COMMITMENTS_COMMERCIAL_RE_UNUSED_FFIEC" hidden="1">"c13243"</definedName>
    <definedName name="IQ_COMMITMENTS_MATURITY_EXCEEDING_1YR_FDIC" hidden="1">"c6531"</definedName>
    <definedName name="IQ_COMMITMENTS_NOT_SECURED_RE_FDIC" hidden="1">"c6528"</definedName>
    <definedName name="IQ_COMMITMENTS_SECURED_RE_FDIC" hidden="1">"c6527"</definedName>
    <definedName name="IQ_COMMITMENTS_SELL_SEC_OTHER_OFF_BS_FFIEC" hidden="1">"c13129"</definedName>
    <definedName name="IQ_COMMODITY_EXPOSURE_FFIEC" hidden="1">"c13061"</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CM"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CM"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CM"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"c182"</definedName>
    <definedName name="IQ_COMMON_STOCK_DIVIDENDS_DECLARED_SAVINGS_ASSOCIATION_THRIFT" hidden="1">"c25011"</definedName>
    <definedName name="IQ_COMMON_STOCK_FFIEC" hidden="1">"c12876"</definedName>
    <definedName name="IQ_COMMON_STOCK_THRIFT" hidden="1">"c24917"</definedName>
    <definedName name="IQ_COMMON_TRUST_FUNDS_COLLECTIVE_INV_FUNDS_ALL_OTHER_ACCOUNTS_THRIFT" hidden="1">"c25430"</definedName>
    <definedName name="IQ_COMMON_TRUST_FUNDS_COLLECTIVE_INV_FUNDS_EMPLOYEE_BENEFIT_RETIREMENT_RELATED_ACCOUNTS_THRIFT" hidden="1">"c25414"</definedName>
    <definedName name="IQ_COMMON_TRUST_FUNDS_COLLECTIVE_INV_FUNDS_PERSONAL_TRUST_AGENCY_INV_MANAGEMENT_ACCOUNTS_THRIFT" hidden="1">"c25398"</definedName>
    <definedName name="IQ_COMP_BENEFITS" hidden="1">"c213"</definedName>
    <definedName name="IQ_COMPANY_ADDRESS" hidden="1">"c214"</definedName>
    <definedName name="IQ_COMPANY_ID" hidden="1">"c3513"</definedName>
    <definedName name="IQ_COMPANY_ID_QUICK_MATCH" hidden="1">"c16227"</definedName>
    <definedName name="IQ_COMPANY_MAIN_FAX" hidden="1">"c18016"</definedName>
    <definedName name="IQ_COMPANY_NAME" hidden="1">"c215"</definedName>
    <definedName name="IQ_COMPANY_NAME_LONG" hidden="1">"c1585"</definedName>
    <definedName name="IQ_COMPANY_NAME_QUICK_MATCH" hidden="1">"c16228"</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ICKER_NO_EXCH" hidden="1">"c15490"</definedName>
    <definedName name="IQ_COMPANY_TYPE" hidden="1">"c2096"</definedName>
    <definedName name="IQ_COMPANY_WEBSITE" hidden="1">"c220"</definedName>
    <definedName name="IQ_COMPANY_ZIP" hidden="1">"c221"</definedName>
    <definedName name="IQ_COMPETITOR_ALL" hidden="1">"c13754"</definedName>
    <definedName name="IQ_COMPETITOR_NAMED_BY_COMPANY" hidden="1">"c13751"</definedName>
    <definedName name="IQ_COMPETITOR_NAMED_BY_COMPETITOR" hidden="1">"c13752"</definedName>
    <definedName name="IQ_COMPETITOR_NAMED_BY_THIRDPARTY" hidden="1">"c13753"</definedName>
    <definedName name="IQ_COMPOSITE_CYCLICAL_IND" hidden="1">"c6830"</definedName>
    <definedName name="IQ_COMPOSITE_CYCLICAL_IND_APR" hidden="1">"c7490"</definedName>
    <definedName name="IQ_COMPOSITE_CYCLICAL_IND_APR_FC" hidden="1">"c8370"</definedName>
    <definedName name="IQ_COMPOSITE_CYCLICAL_IND_FC" hidden="1">"c7710"</definedName>
    <definedName name="IQ_COMPOSITE_CYCLICAL_IND_POP" hidden="1">"c7050"</definedName>
    <definedName name="IQ_COMPOSITE_CYCLICAL_IND_POP_FC" hidden="1">"c7930"</definedName>
    <definedName name="IQ_COMPOSITE_CYCLICAL_IND_YOY" hidden="1">"c7270"</definedName>
    <definedName name="IQ_COMPOSITE_CYCLICAL_IND_YOY_FC" hidden="1">"c8150"</definedName>
    <definedName name="IQ_CONSOL_BEDS" hidden="1">"c8782"</definedName>
    <definedName name="IQ_CONSOL_PROP_OPERATIONAL" hidden="1">"c8758"</definedName>
    <definedName name="IQ_CONSOL_PROP_OTHER_OWNED" hidden="1">"c8760"</definedName>
    <definedName name="IQ_CONSOL_PROP_TOTAL" hidden="1">"c8761"</definedName>
    <definedName name="IQ_CONSOL_PROP_UNDEVELOPED" hidden="1">"c8759"</definedName>
    <definedName name="IQ_CONSOL_ROOMS" hidden="1">"c8786"</definedName>
    <definedName name="IQ_CONSOL_SQ_FT_OPERATIONAL" hidden="1">"c8774"</definedName>
    <definedName name="IQ_CONSOL_SQ_FT_OTHER_OWNED" hidden="1">"c8776"</definedName>
    <definedName name="IQ_CONSOL_SQ_FT_TOTAL" hidden="1">"c8777"</definedName>
    <definedName name="IQ_CONSOL_SQ_FT_UNDEVELOPED" hidden="1">"c8775"</definedName>
    <definedName name="IQ_CONSOL_UNITS_OPERATIONAL" hidden="1">"c8766"</definedName>
    <definedName name="IQ_CONSOL_UNITS_OTHER_OWNED" hidden="1">"c8768"</definedName>
    <definedName name="IQ_CONSOL_UNITS_TOTAL" hidden="1">"c8769"</definedName>
    <definedName name="IQ_CONSOL_UNITS_UNDEVELOPED" hidden="1">"c8767"</definedName>
    <definedName name="IQ_CONSOLIDATED_ASSETS_QUARTERLY_AVG_FFIEC" hidden="1">"c13087"</definedName>
    <definedName name="IQ_CONSOLIDATED_NI_FOREIGN_FFIEC" hidden="1">"c15396"</definedName>
    <definedName name="IQ_CONST_LAND_DEV_LOANS_TOT_LOANS_FFIEC" hidden="1">"c13865"</definedName>
    <definedName name="IQ_CONST_LAND_DEVELOP_OTHER_DOM_CHARGE_OFFS_FFIEC" hidden="1">"c13628"</definedName>
    <definedName name="IQ_CONST_LAND_DEVELOP_OTHER_DOM_RECOV_FFIEC" hidden="1">"c13632"</definedName>
    <definedName name="IQ_CONSTITUENTS" hidden="1">"c19169"</definedName>
    <definedName name="IQ_CONSTITUENTS_NAME" hidden="1">"c19192"</definedName>
    <definedName name="IQ_CONSTRUCTION_1_4_DWELLING_UNITS_THRIFT" hidden="1">"c24839"</definedName>
    <definedName name="IQ_CONSTRUCTION_DEV_LOANS_FDIC" hidden="1">"c6313"</definedName>
    <definedName name="IQ_CONSTRUCTION_LAND_DEV_DOM_FFIEC" hidden="1">"c15267"</definedName>
    <definedName name="IQ_CONSTRUCTION_LAND_DEVELOPMENT_CHARGE_OFFS_FDIC" hidden="1">"c6594"</definedName>
    <definedName name="IQ_CONSTRUCTION_LAND_DEVELOPMENT_LOANS_TOTAL_LOANS_THRIFT" hidden="1">"c25744"</definedName>
    <definedName name="IQ_CONSTRUCTION_LAND_DEVELOPMENT_NET_CHARGE_OFFS_FDIC" hidden="1">"c6632"</definedName>
    <definedName name="IQ_CONSTRUCTION_LAND_DEVELOPMENT_RECOVERIES_FDIC" hidden="1">"c6613"</definedName>
    <definedName name="IQ_CONSTRUCTION_LL_REC_DOM_FFIEC" hidden="1">"c12900"</definedName>
    <definedName name="IQ_CONSTRUCTION_LOANS" hidden="1">"c222"</definedName>
    <definedName name="IQ_CONSTRUCTION_LOANS_DOM_DUE_30_89_FFIEC" hidden="1">"c13256"</definedName>
    <definedName name="IQ_CONSTRUCTION_LOANS_DOM_DUE_90_FFIEC" hidden="1">"c13284"</definedName>
    <definedName name="IQ_CONSTRUCTION_LOANS_DOM_NON_ACCRUAL_FFIEC" hidden="1">"c13310"</definedName>
    <definedName name="IQ_CONSTRUCTION_LOANS_GROSS_LOANS_FFIEC" hidden="1">"c13401"</definedName>
    <definedName name="IQ_CONSTRUCTION_LOANS_GROSS_LOANS_THRIFT" hidden="1">"c25726"</definedName>
    <definedName name="IQ_CONSTRUCTION_LOANS_IN_PROCESS_FORECLOSURE_THRIFT" hidden="1">"c25303"</definedName>
    <definedName name="IQ_CONSTRUCTION_LOANS_RISK_BASED_CAPITAL_THRIFT" hidden="1">"c25711"</definedName>
    <definedName name="IQ_CONSTRUCTION_LOANS_TOTAL_LOANS" hidden="1">"c15711"</definedName>
    <definedName name="IQ_CONSTRUCTION_MORTGAGE_LOANS_30_89_DAYS_PAST_DUE_STILL_ACCRUING_THRIFT" hidden="1">"c25240"</definedName>
    <definedName name="IQ_CONSTRUCTION_MORTGAGE_LOANS_DUE_90_THRIFT" hidden="1">"c25261"</definedName>
    <definedName name="IQ_CONSTRUCTION_MORTGAGE_LOANS_FORECLOSED_DURING_QUARTER_THRIFT" hidden="1">"c25231"</definedName>
    <definedName name="IQ_CONSTRUCTION_MORTGAGE_LOANS_NON_ACCRUAL_THRIFT" hidden="1">"c25282"</definedName>
    <definedName name="IQ_CONSTRUCTION_MORTGAGE_LOANS_THRIFT" hidden="1">"c24838"</definedName>
    <definedName name="IQ_CONSTRUCTION_MULTIFAMILY_DWELLING_UNITS_THRIFT" hidden="1">"c24840"</definedName>
    <definedName name="IQ_CONSTRUCTION_NONRES_PROPERTY_THRIFT" hidden="1">"c24841"</definedName>
    <definedName name="IQ_CONSTRUCTION_RISK_BASED_FFIEC" hidden="1">"c13422"</definedName>
    <definedName name="IQ_CONSULTING_FFIEC" hidden="1">"c13055"</definedName>
    <definedName name="IQ_CONSUMER_AUTO_LOANS_DUE_90_THRIFT" hidden="1">"c25272"</definedName>
    <definedName name="IQ_CONSUMER_AUTO_LOANS_NON_MORTGAGE_ADJUSTED_NCOS_TOTAL_THRIFT" hidden="1">"c25214"</definedName>
    <definedName name="IQ_CONSUMER_AUTO_LOANS_NON_MORTGAGE_GVA_CHARGE_OFFS_THRIFT" hidden="1">"c25129"</definedName>
    <definedName name="IQ_CONSUMER_AUTO_LOANS_NON_MORTGAGE_GVA_RECOVERIES_THRIFT" hidden="1">"c25160"</definedName>
    <definedName name="IQ_CONSUMER_AUTO_LOANS_NON_MORTGAGE_LOANS_DUE_30_89_THRIFT" hidden="1">"c25251"</definedName>
    <definedName name="IQ_CONSUMER_AUTO_LOANS_NON_MORTGAGE_LOANS_NON_ACCRUAL_THRIFT" hidden="1">"c25293"</definedName>
    <definedName name="IQ_CONSUMER_AUTO_LOANS_NON_MORTGAGE_SVA_PROVISIONS_TRANSFERS_FROM_GVA_TOTAL_THRIFT" hidden="1">"c25183"</definedName>
    <definedName name="IQ_CONSUMER_COMFORT" hidden="1">"c6831"</definedName>
    <definedName name="IQ_CONSUMER_COMFORT_APR" hidden="1">"c7491"</definedName>
    <definedName name="IQ_CONSUMER_COMFORT_APR_FC" hidden="1">"c8371"</definedName>
    <definedName name="IQ_CONSUMER_COMFORT_FC" hidden="1">"c7711"</definedName>
    <definedName name="IQ_CONSUMER_COMFORT_POP" hidden="1">"c7051"</definedName>
    <definedName name="IQ_CONSUMER_COMFORT_POP_FC" hidden="1">"c7931"</definedName>
    <definedName name="IQ_CONSUMER_CONFIDENCE" hidden="1">"c6832"</definedName>
    <definedName name="IQ_CONSUMER_CONFIDENCE_APR" hidden="1">"c7492"</definedName>
    <definedName name="IQ_CONSUMER_CONFIDENCE_APR_FC" hidden="1">"c8372"</definedName>
    <definedName name="IQ_CONSUMER_CONFIDENCE_FC" hidden="1">"c7712"</definedName>
    <definedName name="IQ_CONSUMER_CONFIDENCE_POP" hidden="1">"c7052"</definedName>
    <definedName name="IQ_CONSUMER_CONFIDENCE_POP_FC" hidden="1">"c7932"</definedName>
    <definedName name="IQ_CONSUMER_CONFIDENCE_YOY" hidden="1">"c7272"</definedName>
    <definedName name="IQ_CONSUMER_CONFIDENCE_YOY_FC" hidden="1">"c8152"</definedName>
    <definedName name="IQ_CONSUMER_CREDIT_CARD_LINES_UNUSED_FFIEC" hidden="1">"c25862"</definedName>
    <definedName name="IQ_CONSUMER_CREDIT_CARDS_NON_MORTGAGE_ADJUSTED_NCOS_TOTAL_THRIFT" hidden="1">"c25216"</definedName>
    <definedName name="IQ_CONSUMER_CREDIT_CARDS_NON_MORTGAGE_GVA_CHARGE_OFFS_THRIFT" hidden="1">"c25131"</definedName>
    <definedName name="IQ_CONSUMER_CREDIT_CARDS_NON_MORTGAGE_GVA_RECOVERIES_THRIFT" hidden="1">"c25162"</definedName>
    <definedName name="IQ_CONSUMER_CREDIT_CARDS_NON_MORTGAGE_LOANS_DUE_30_89_THRIFT" hidden="1">"c25253"</definedName>
    <definedName name="IQ_CONSUMER_CREDIT_CARDS_NON_MORTGAGE_LOANS_DUE_90_THRIFT" hidden="1">"c25274"</definedName>
    <definedName name="IQ_CONSUMER_CREDIT_CARDS_NON_MORTGAGE_LOANS_NON_ACCRUAL_THRIFT" hidden="1">"c25295"</definedName>
    <definedName name="IQ_CONSUMER_CREDIT_CARDS_NON_MORTGAGE_SVA_PROVISIONS_TRANSFERS_FROM_GVA_TOTAL_THRIFT" hidden="1">"c25185"</definedName>
    <definedName name="IQ_CONSUMER_EDUCATION_LOANS_NON_MORTGAGE_ADJUSTED_NCOS_TOTAL_THRIFT" hidden="1">"c25213"</definedName>
    <definedName name="IQ_CONSUMER_EDUCATION_LOANS_NON_MORTGAGE_GVA_CHARGE_OFFS_THRIFT" hidden="1">"c25128"</definedName>
    <definedName name="IQ_CONSUMER_EDUCATION_LOANS_NON_MORTGAGE_GVA_RECOVERIES_THRIFT" hidden="1">"c25159"</definedName>
    <definedName name="IQ_CONSUMER_EDUCATION_LOANS_NON_MORTGAGE_SVA_PROVISIONS_TRANSFERS_FROM_GVA_TOTAL_THRIFT" hidden="1">"c25182"</definedName>
    <definedName name="IQ_CONSUMER_EDUCATION_NON_MORTGAGE_LOANS_DUE_30_89_THRIFT" hidden="1">"c25250"</definedName>
    <definedName name="IQ_CONSUMER_EDUCATION_NON_MORTGAGE_LOANS_DUE_90_THRIFT" hidden="1">"c25271"</definedName>
    <definedName name="IQ_CONSUMER_EDUCATION_NON_MORTGAGE_LOANS_NON_ACCRUAL_THRIFT" hidden="1">"c25292"</definedName>
    <definedName name="IQ_CONSUMER_HOME_IMPROVEMENT_LOANS_NON_MORTGAGE_ADJUSTED_NCOS_TOTAL_THRIFT" hidden="1">"c25212"</definedName>
    <definedName name="IQ_CONSUMER_HOME_IMPROVEMENT_LOANS_NON_MORTGAGE_GVA_CHARGE_OFFS_THRIFT" hidden="1">"c25127"</definedName>
    <definedName name="IQ_CONSUMER_HOME_IMPROVEMENT_LOANS_NON_MORTGAGE_GVA_RECOVERIES_THRIFT" hidden="1">"c25158"</definedName>
    <definedName name="IQ_CONSUMER_HOME_IMPROVEMENT_LOANS_NON_MORTGAGE_SVA_PROVISIONS_TRANSFERS_FROM_GVA_TOTAL_THRIFT" hidden="1">"c25181"</definedName>
    <definedName name="IQ_CONSUMER_HOME_IMPROVEMENT_NON_MORTGAGE_LOANS_DUE_30_89_THRIFT" hidden="1">"c25249"</definedName>
    <definedName name="IQ_CONSUMER_HOME_IMPROVEMENT_NON_MORTGAGE_LOANS_DUE_90_THRIFT" hidden="1">"c25270"</definedName>
    <definedName name="IQ_CONSUMER_HOME_IMPROVEMENT_NON_MORTGAGE_LOANS_NON_ACCRUAL_THRIFT" hidden="1">"c25291"</definedName>
    <definedName name="IQ_CONSUMER_LEASES_LL_REC_FFIEC" hidden="1">"c12895"</definedName>
    <definedName name="IQ_CONSUMER_LENDING" hidden="1">"c6833"</definedName>
    <definedName name="IQ_CONSUMER_LENDING_APR" hidden="1">"c7493"</definedName>
    <definedName name="IQ_CONSUMER_LENDING_APR_FC" hidden="1">"c8373"</definedName>
    <definedName name="IQ_CONSUMER_LENDING_FC" hidden="1">"c7713"</definedName>
    <definedName name="IQ_CONSUMER_LENDING_GROSS" hidden="1">"c6878"</definedName>
    <definedName name="IQ_CONSUMER_LENDING_GROSS_APR" hidden="1">"c7538"</definedName>
    <definedName name="IQ_CONSUMER_LENDING_GROSS_APR_FC" hidden="1">"c8418"</definedName>
    <definedName name="IQ_CONSUMER_LENDING_GROSS_FC" hidden="1">"c7758"</definedName>
    <definedName name="IQ_CONSUMER_LENDING_GROSS_POP" hidden="1">"c7098"</definedName>
    <definedName name="IQ_CONSUMER_LENDING_GROSS_POP_FC" hidden="1">"c7978"</definedName>
    <definedName name="IQ_CONSUMER_LENDING_GROSS_YOY" hidden="1">"c7318"</definedName>
    <definedName name="IQ_CONSUMER_LENDING_GROSS_YOY_FC" hidden="1">"c8198"</definedName>
    <definedName name="IQ_CONSUMER_LENDING_NET" hidden="1">"c6922"</definedName>
    <definedName name="IQ_CONSUMER_LENDING_NET_APR" hidden="1">"c7582"</definedName>
    <definedName name="IQ_CONSUMER_LENDING_NET_APR_FC" hidden="1">"c8462"</definedName>
    <definedName name="IQ_CONSUMER_LENDING_NET_FC" hidden="1">"c7802"</definedName>
    <definedName name="IQ_CONSUMER_LENDING_NET_POP" hidden="1">"c7142"</definedName>
    <definedName name="IQ_CONSUMER_LENDING_NET_POP_FC" hidden="1">"c8022"</definedName>
    <definedName name="IQ_CONSUMER_LENDING_NET_YOY" hidden="1">"c7362"</definedName>
    <definedName name="IQ_CONSUMER_LENDING_NET_YOY_FC" hidden="1">"c8242"</definedName>
    <definedName name="IQ_CONSUMER_LENDING_POP" hidden="1">"c7053"</definedName>
    <definedName name="IQ_CONSUMER_LENDING_POP_FC" hidden="1">"c7933"</definedName>
    <definedName name="IQ_CONSUMER_LENDING_TOTAL" hidden="1">"c7018"</definedName>
    <definedName name="IQ_CONSUMER_LENDING_TOTAL_APR" hidden="1">"c7678"</definedName>
    <definedName name="IQ_CONSUMER_LENDING_TOTAL_APR_FC" hidden="1">"c8558"</definedName>
    <definedName name="IQ_CONSUMER_LENDING_TOTAL_FC" hidden="1">"c7898"</definedName>
    <definedName name="IQ_CONSUMER_LENDING_TOTAL_POP" hidden="1">"c7238"</definedName>
    <definedName name="IQ_CONSUMER_LENDING_TOTAL_POP_FC" hidden="1">"c8118"</definedName>
    <definedName name="IQ_CONSUMER_LENDING_TOTAL_YOY" hidden="1">"c7458"</definedName>
    <definedName name="IQ_CONSUMER_LENDING_TOTAL_YOY_FC" hidden="1">"c8338"</definedName>
    <definedName name="IQ_CONSUMER_LENDING_YOY" hidden="1">"c7273"</definedName>
    <definedName name="IQ_CONSUMER_LENDING_YOY_FC" hidden="1">"c8153"</definedName>
    <definedName name="IQ_CONSUMER_LL_REC_FFIEC" hidden="1">"c25869"</definedName>
    <definedName name="IQ_CONSUMER_LOANS" hidden="1">"c223"</definedName>
    <definedName name="IQ_CONSUMER_LOANS_CHARGE_OFFS_FFIEC" hidden="1">"c25838"</definedName>
    <definedName name="IQ_CONSUMER_LOANS_DEPOSITS_NON_MORTGAGE_ADJUSTED_NCOS_TOTAL_THRIFT" hidden="1">"c25211"</definedName>
    <definedName name="IQ_CONSUMER_LOANS_DEPOSITS_NON_MORTGAGE_GVA_CHARGE_OFFS_THRIFT" hidden="1">"c25126"</definedName>
    <definedName name="IQ_CONSUMER_LOANS_DEPOSITS_NON_MORTGAGE_GVA_RECOVERIES_THRIFT" hidden="1">"c25157"</definedName>
    <definedName name="IQ_CONSUMER_LOANS_DEPOSITS_NON_MORTGAGE_LOANS_DUE_30_89_THRIFT" hidden="1">"c25248"</definedName>
    <definedName name="IQ_CONSUMER_LOANS_DEPOSITS_NON_MORTGAGE_LOANS_DUE_90_THRIFT" hidden="1">"c25269"</definedName>
    <definedName name="IQ_CONSUMER_LOANS_DEPOSITS_NON_MORTGAGE_LOANS_NON_ACCRUAL_THRIFT" hidden="1">"c25290"</definedName>
    <definedName name="IQ_CONSUMER_LOANS_DEPOSITS_NON_MORTGAGE_SVA_PROVISIONS_TRANSFERS_FROM_GVA_TOTAL_THRIFT" hidden="1">"c25180"</definedName>
    <definedName name="IQ_CONSUMER_LOANS_DEPOSITS_THRIFT" hidden="1">"c24859"</definedName>
    <definedName name="IQ_CONSUMER_LOANS_DUE_30_89_FFIEC" hidden="1">"c25829"</definedName>
    <definedName name="IQ_CONSUMER_LOANS_DUE_90_FFIEC" hidden="1">"c25830"</definedName>
    <definedName name="IQ_CONSUMER_LOANS_LL_REC_DOM_FFIEC" hidden="1">"c12911"</definedName>
    <definedName name="IQ_CONSUMER_LOANS_NON_ACCRUAL_FFIEC" hidden="1">"c25831"</definedName>
    <definedName name="IQ_CONSUMER_LOANS_RECOV_FFIEC" hidden="1">"c25839"</definedName>
    <definedName name="IQ_CONSUMER_LOANS_THRIFT" hidden="1">"c24858"</definedName>
    <definedName name="IQ_CONSUMER_LOANS_TOT_LOANS_FFIEC" hidden="1">"c13875"</definedName>
    <definedName name="IQ_CONSUMER_LOANS_TOTAL_LOANS" hidden="1">"c15712"</definedName>
    <definedName name="IQ_CONSUMER_LOANS_TOTAL_LOANS_THRIFT" hidden="1">"c25750"</definedName>
    <definedName name="IQ_CONSUMER_MOBILE_HOME_LOANS_NON_MORTGAGE_ADJUSTED_NCOS_TOTAL_THRIFT" hidden="1">"c25215"</definedName>
    <definedName name="IQ_CONSUMER_MOBILE_HOME_LOANS_NON_MORTGAGE_GVA_CHARGE_OFFS_THRIFT" hidden="1">"c25130"</definedName>
    <definedName name="IQ_CONSUMER_MOBILE_HOME_LOANS_NON_MORTGAGE_GVA_RECOVERIES_THRIFT" hidden="1">"c25161"</definedName>
    <definedName name="IQ_CONSUMER_MOBILE_HOME_LOANS_NON_MORTGAGE_LOANS_DUE_30_89_THRIFT" hidden="1">"c25252"</definedName>
    <definedName name="IQ_CONSUMER_MOBILE_HOME_LOANS_NON_MORTGAGE_LOANS_DUE_90_THRIFT" hidden="1">"c25273"</definedName>
    <definedName name="IQ_CONSUMER_MOBILE_HOME_LOANS_NON_MORTGAGE_LOANS_NON_ACCRUAL_THRIFT" hidden="1">"c25294"</definedName>
    <definedName name="IQ_CONSUMER_MOBILE_HOME_LOANS_NON_MORTGAGE_SVA_PROVISIONS_TRANSFERS_FROM_GVA_TOTAL_THRIFT" hidden="1">"c25184"</definedName>
    <definedName name="IQ_CONSUMER_OTHER_NON_MORTGAGE_ADJUSTED_NCOS_TOTAL_THRIFT" hidden="1">"c25217"</definedName>
    <definedName name="IQ_CONSUMER_OTHER_NON_MORTGAGE_GVA_RECOVERIES_THRIFT" hidden="1">"c25163"</definedName>
    <definedName name="IQ_CONSUMER_OTHER_NON_MORTGAGE_LOANS_DUE_30_89_THRIFT" hidden="1">"c25254"</definedName>
    <definedName name="IQ_CONSUMER_OTHER_NON_MORTGAGE_LOANS_DUE_90_THRIFT" hidden="1">"c25275"</definedName>
    <definedName name="IQ_CONSUMER_OTHER_NON_MORTGAGE_LOANS_GVA_CHARGE_OFFS_THRIFT" hidden="1">"c25132"</definedName>
    <definedName name="IQ_CONSUMER_OTHER_NON_MORTGAGE_LOANS_NON_ACCRUAL_THRIFT" hidden="1">"c25296"</definedName>
    <definedName name="IQ_CONSUMER_OTHER_NON_MORTGAGE_SVA_PROVISIONS_TRANSFERS_FROM_GVA_TOTAL_THRIFT" hidden="1">"c25186"</definedName>
    <definedName name="IQ_CONSUMER_SPENDING" hidden="1">"c6834"</definedName>
    <definedName name="IQ_CONSUMER_SPENDING_APR" hidden="1">"c7494"</definedName>
    <definedName name="IQ_CONSUMER_SPENDING_APR_FC" hidden="1">"c8374"</definedName>
    <definedName name="IQ_CONSUMER_SPENDING_DURABLE" hidden="1">"c6835"</definedName>
    <definedName name="IQ_CONSUMER_SPENDING_DURABLE_APR" hidden="1">"c7495"</definedName>
    <definedName name="IQ_CONSUMER_SPENDING_DURABLE_APR_FC" hidden="1">"c8375"</definedName>
    <definedName name="IQ_CONSUMER_SPENDING_DURABLE_FC" hidden="1">"c7715"</definedName>
    <definedName name="IQ_CONSUMER_SPENDING_DURABLE_POP" hidden="1">"c7055"</definedName>
    <definedName name="IQ_CONSUMER_SPENDING_DURABLE_POP_FC" hidden="1">"c7935"</definedName>
    <definedName name="IQ_CONSUMER_SPENDING_DURABLE_REAL" hidden="1">"c6964"</definedName>
    <definedName name="IQ_CONSUMER_SPENDING_DURABLE_REAL_APR" hidden="1">"c7624"</definedName>
    <definedName name="IQ_CONSUMER_SPENDING_DURABLE_REAL_APR_FC" hidden="1">"c8504"</definedName>
    <definedName name="IQ_CONSUMER_SPENDING_DURABLE_REAL_FC" hidden="1">"c7844"</definedName>
    <definedName name="IQ_CONSUMER_SPENDING_DURABLE_REAL_POP" hidden="1">"c7184"</definedName>
    <definedName name="IQ_CONSUMER_SPENDING_DURABLE_REAL_POP_FC" hidden="1">"c8064"</definedName>
    <definedName name="IQ_CONSUMER_SPENDING_DURABLE_REAL_SAAR" hidden="1">"c6965"</definedName>
    <definedName name="IQ_CONSUMER_SPENDING_DURABLE_REAL_SAAR_APR" hidden="1">"c7625"</definedName>
    <definedName name="IQ_CONSUMER_SPENDING_DURABLE_REAL_SAAR_APR_FC" hidden="1">"c8505"</definedName>
    <definedName name="IQ_CONSUMER_SPENDING_DURABLE_REAL_SAAR_FC" hidden="1">"c7845"</definedName>
    <definedName name="IQ_CONSUMER_SPENDING_DURABLE_REAL_SAAR_POP" hidden="1">"c7185"</definedName>
    <definedName name="IQ_CONSUMER_SPENDING_DURABLE_REAL_SAAR_POP_FC" hidden="1">"c8065"</definedName>
    <definedName name="IQ_CONSUMER_SPENDING_DURABLE_REAL_SAAR_YOY" hidden="1">"c7405"</definedName>
    <definedName name="IQ_CONSUMER_SPENDING_DURABLE_REAL_SAAR_YOY_FC" hidden="1">"c8285"</definedName>
    <definedName name="IQ_CONSUMER_SPENDING_DURABLE_REAL_YOY" hidden="1">"c7404"</definedName>
    <definedName name="IQ_CONSUMER_SPENDING_DURABLE_REAL_YOY_FC" hidden="1">"c8284"</definedName>
    <definedName name="IQ_CONSUMER_SPENDING_DURABLE_YOY" hidden="1">"c7275"</definedName>
    <definedName name="IQ_CONSUMER_SPENDING_DURABLE_YOY_FC" hidden="1">"c8155"</definedName>
    <definedName name="IQ_CONSUMER_SPENDING_FC" hidden="1">"c7714"</definedName>
    <definedName name="IQ_CONSUMER_SPENDING_NONDURABLE" hidden="1">"c6836"</definedName>
    <definedName name="IQ_CONSUMER_SPENDING_NONDURABLE_APR" hidden="1">"c7496"</definedName>
    <definedName name="IQ_CONSUMER_SPENDING_NONDURABLE_APR_FC" hidden="1">"c8376"</definedName>
    <definedName name="IQ_CONSUMER_SPENDING_NONDURABLE_FC" hidden="1">"c7716"</definedName>
    <definedName name="IQ_CONSUMER_SPENDING_NONDURABLE_POP" hidden="1">"c7056"</definedName>
    <definedName name="IQ_CONSUMER_SPENDING_NONDURABLE_POP_FC" hidden="1">"c7936"</definedName>
    <definedName name="IQ_CONSUMER_SPENDING_NONDURABLE_REAL" hidden="1">"c6966"</definedName>
    <definedName name="IQ_CONSUMER_SPENDING_NONDURABLE_REAL_APR" hidden="1">"c7626"</definedName>
    <definedName name="IQ_CONSUMER_SPENDING_NONDURABLE_REAL_APR_FC" hidden="1">"c8506"</definedName>
    <definedName name="IQ_CONSUMER_SPENDING_NONDURABLE_REAL_FC" hidden="1">"c7846"</definedName>
    <definedName name="IQ_CONSUMER_SPENDING_NONDURABLE_REAL_POP" hidden="1">"c7186"</definedName>
    <definedName name="IQ_CONSUMER_SPENDING_NONDURABLE_REAL_POP_FC" hidden="1">"c8066"</definedName>
    <definedName name="IQ_CONSUMER_SPENDING_NONDURABLE_REAL_SAAR" hidden="1">"c6967"</definedName>
    <definedName name="IQ_CONSUMER_SPENDING_NONDURABLE_REAL_SAAR_APR" hidden="1">"c7627"</definedName>
    <definedName name="IQ_CONSUMER_SPENDING_NONDURABLE_REAL_SAAR_APR_FC" hidden="1">"c8507"</definedName>
    <definedName name="IQ_CONSUMER_SPENDING_NONDURABLE_REAL_SAAR_FC" hidden="1">"c7847"</definedName>
    <definedName name="IQ_CONSUMER_SPENDING_NONDURABLE_REAL_SAAR_POP" hidden="1">"c7187"</definedName>
    <definedName name="IQ_CONSUMER_SPENDING_NONDURABLE_REAL_SAAR_POP_FC" hidden="1">"c8067"</definedName>
    <definedName name="IQ_CONSUMER_SPENDING_NONDURABLE_REAL_SAAR_YOY" hidden="1">"c7407"</definedName>
    <definedName name="IQ_CONSUMER_SPENDING_NONDURABLE_REAL_SAAR_YOY_FC" hidden="1">"c8287"</definedName>
    <definedName name="IQ_CONSUMER_SPENDING_NONDURABLE_REAL_YOY" hidden="1">"c7406"</definedName>
    <definedName name="IQ_CONSUMER_SPENDING_NONDURABLE_REAL_YOY_FC" hidden="1">"c8286"</definedName>
    <definedName name="IQ_CONSUMER_SPENDING_NONDURABLE_YOY" hidden="1">"c7276"</definedName>
    <definedName name="IQ_CONSUMER_SPENDING_NONDURABLE_YOY_FC" hidden="1">"c8156"</definedName>
    <definedName name="IQ_CONSUMER_SPENDING_POP" hidden="1">"c7054"</definedName>
    <definedName name="IQ_CONSUMER_SPENDING_POP_FC" hidden="1">"c7934"</definedName>
    <definedName name="IQ_CONSUMER_SPENDING_REAL" hidden="1">"c6963"</definedName>
    <definedName name="IQ_CONSUMER_SPENDING_REAL_APR" hidden="1">"c7623"</definedName>
    <definedName name="IQ_CONSUMER_SPENDING_REAL_APR_FC" hidden="1">"c8503"</definedName>
    <definedName name="IQ_CONSUMER_SPENDING_REAL_FC" hidden="1">"c7843"</definedName>
    <definedName name="IQ_CONSUMER_SPENDING_REAL_POP" hidden="1">"c7183"</definedName>
    <definedName name="IQ_CONSUMER_SPENDING_REAL_POP_FC" hidden="1">"c8063"</definedName>
    <definedName name="IQ_CONSUMER_SPENDING_REAL_SAAR" hidden="1">"c6968"</definedName>
    <definedName name="IQ_CONSUMER_SPENDING_REAL_SAAR_APR" hidden="1">"c7628"</definedName>
    <definedName name="IQ_CONSUMER_SPENDING_REAL_SAAR_APR_FC" hidden="1">"c8508"</definedName>
    <definedName name="IQ_CONSUMER_SPENDING_REAL_SAAR_FC" hidden="1">"c7848"</definedName>
    <definedName name="IQ_CONSUMER_SPENDING_REAL_SAAR_POP" hidden="1">"c7188"</definedName>
    <definedName name="IQ_CONSUMER_SPENDING_REAL_SAAR_POP_FC" hidden="1">"c8068"</definedName>
    <definedName name="IQ_CONSUMER_SPENDING_REAL_SAAR_YOY" hidden="1">"c7408"</definedName>
    <definedName name="IQ_CONSUMER_SPENDING_REAL_SAAR_YOY_FC" hidden="1">"c8288"</definedName>
    <definedName name="IQ_CONSUMER_SPENDING_REAL_USD_APR_FC" hidden="1">"c11921"</definedName>
    <definedName name="IQ_CONSUMER_SPENDING_REAL_USD_FC" hidden="1">"c11918"</definedName>
    <definedName name="IQ_CONSUMER_SPENDING_REAL_USD_POP_FC" hidden="1">"c11919"</definedName>
    <definedName name="IQ_CONSUMER_SPENDING_REAL_USD_YOY_FC" hidden="1">"c11920"</definedName>
    <definedName name="IQ_CONSUMER_SPENDING_REAL_YOY" hidden="1">"c7403"</definedName>
    <definedName name="IQ_CONSUMER_SPENDING_REAL_YOY_FC" hidden="1">"c8283"</definedName>
    <definedName name="IQ_CONSUMER_SPENDING_SERVICES" hidden="1">"c6837"</definedName>
    <definedName name="IQ_CONSUMER_SPENDING_SERVICES_APR" hidden="1">"c7497"</definedName>
    <definedName name="IQ_CONSUMER_SPENDING_SERVICES_APR_FC" hidden="1">"c8377"</definedName>
    <definedName name="IQ_CONSUMER_SPENDING_SERVICES_FC" hidden="1">"c7717"</definedName>
    <definedName name="IQ_CONSUMER_SPENDING_SERVICES_POP" hidden="1">"c7057"</definedName>
    <definedName name="IQ_CONSUMER_SPENDING_SERVICES_POP_FC" hidden="1">"c7937"</definedName>
    <definedName name="IQ_CONSUMER_SPENDING_SERVICES_REAL" hidden="1">"c6969"</definedName>
    <definedName name="IQ_CONSUMER_SPENDING_SERVICES_REAL_APR" hidden="1">"c7629"</definedName>
    <definedName name="IQ_CONSUMER_SPENDING_SERVICES_REAL_APR_FC" hidden="1">"c8509"</definedName>
    <definedName name="IQ_CONSUMER_SPENDING_SERVICES_REAL_FC" hidden="1">"c7849"</definedName>
    <definedName name="IQ_CONSUMER_SPENDING_SERVICES_REAL_POP" hidden="1">"c7189"</definedName>
    <definedName name="IQ_CONSUMER_SPENDING_SERVICES_REAL_POP_FC" hidden="1">"c8069"</definedName>
    <definedName name="IQ_CONSUMER_SPENDING_SERVICES_REAL_SAAR" hidden="1">"c6970"</definedName>
    <definedName name="IQ_CONSUMER_SPENDING_SERVICES_REAL_SAAR_APR" hidden="1">"c7630"</definedName>
    <definedName name="IQ_CONSUMER_SPENDING_SERVICES_REAL_SAAR_APR_FC" hidden="1">"c8510"</definedName>
    <definedName name="IQ_CONSUMER_SPENDING_SERVICES_REAL_SAAR_FC" hidden="1">"c7850"</definedName>
    <definedName name="IQ_CONSUMER_SPENDING_SERVICES_REAL_SAAR_POP" hidden="1">"c7190"</definedName>
    <definedName name="IQ_CONSUMER_SPENDING_SERVICES_REAL_SAAR_POP_FC" hidden="1">"c8070"</definedName>
    <definedName name="IQ_CONSUMER_SPENDING_SERVICES_REAL_SAAR_YOY" hidden="1">"c7410"</definedName>
    <definedName name="IQ_CONSUMER_SPENDING_SERVICES_REAL_SAAR_YOY_FC" hidden="1">"c8290"</definedName>
    <definedName name="IQ_CONSUMER_SPENDING_SERVICES_REAL_YOY" hidden="1">"c7409"</definedName>
    <definedName name="IQ_CONSUMER_SPENDING_SERVICES_REAL_YOY_FC" hidden="1">"c8289"</definedName>
    <definedName name="IQ_CONSUMER_SPENDING_SERVICES_YOY" hidden="1">"c7277"</definedName>
    <definedName name="IQ_CONSUMER_SPENDING_SERVICES_YOY_FC" hidden="1">"c8157"</definedName>
    <definedName name="IQ_CONSUMER_SPENDING_YOY" hidden="1">"c7274"</definedName>
    <definedName name="IQ_CONSUMER_SPENDING_YOY_FC" hidden="1">"c8154"</definedName>
    <definedName name="IQ_CONTINGENT_ASSETS_THRIFT" hidden="1">"c25622"</definedName>
    <definedName name="IQ_CONTINGENT_LIABILITIES" hidden="1">"c18873"</definedName>
    <definedName name="IQ_CONTINGENT_RENTAL" hidden="1">"c17746"</definedName>
    <definedName name="IQ_CONTRACT_OBLIGATION_AFTER_FIVE" hidden="1">"c15691"</definedName>
    <definedName name="IQ_CONTRACT_OBLIGATION_CY" hidden="1">"c15685"</definedName>
    <definedName name="IQ_CONTRACT_OBLIGATION_CY1" hidden="1">"c15686"</definedName>
    <definedName name="IQ_CONTRACT_OBLIGATION_CY2" hidden="1">"c15687"</definedName>
    <definedName name="IQ_CONTRACT_OBLIGATION_CY3" hidden="1">"c15688"</definedName>
    <definedName name="IQ_CONTRACT_OBLIGATION_CY4" hidden="1">"c15689"</definedName>
    <definedName name="IQ_CONTRACT_OBLIGATION_NEXT_FIVE" hidden="1">"c15690"</definedName>
    <definedName name="IQ_CONTRACT_OBLIGATION_TOTAL" hidden="1">"c15692"</definedName>
    <definedName name="IQ_CONTRACTS_OTHER_COMMODITIES_EQUITIES._FDIC" hidden="1">"c6522"</definedName>
    <definedName name="IQ_CONTRACTS_OTHER_COMMODITIES_EQUITIES_FDIC" hidden="1">"c6522"</definedName>
    <definedName name="IQ_CONTRIBUTOR_CIQID" hidden="1">"c13742"</definedName>
    <definedName name="IQ_CONTRIBUTOR_NAME" hidden="1">"c13735"</definedName>
    <definedName name="IQ_CONTRIBUTOR_START_DATE" hidden="1">"c13741"</definedName>
    <definedName name="IQ_CONV_DATE" hidden="1">"c2191"</definedName>
    <definedName name="IQ_CONV_EXP_DATE" hidden="1">"c3043"</definedName>
    <definedName name="IQ_CONV_PARITY" hidden="1">"c16197"</definedName>
    <definedName name="IQ_CONV_PREMIUM" hidden="1">"c2195"</definedName>
    <definedName name="IQ_CONV_PRICE" hidden="1">"c2193"</definedName>
    <definedName name="IQ_CONV_PRICE_ISSUE" hidden="1">"c16195"</definedName>
    <definedName name="IQ_CONV_PRICE_PREM_ISSUE" hidden="1">"c16196"</definedName>
    <definedName name="IQ_CONV_PRICE_PREMIUM" hidden="1">"c16198"</definedName>
    <definedName name="IQ_CONV_PT_PREMIUM" hidden="1">"c16199"</definedName>
    <definedName name="IQ_CONV_PT_PREMIUM_PCT" hidden="1">"c16200"</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SION_COMMON_FFIEC" hidden="1">"c12964"</definedName>
    <definedName name="IQ_CONVERSION_PREF_FFIEC" hidden="1">"c12962"</definedName>
    <definedName name="IQ_CONVERT" hidden="1">"c2536"</definedName>
    <definedName name="IQ_CONVERT_PCT" hidden="1">"c2537"</definedName>
    <definedName name="IQ_CONVEXITY" hidden="1">"c2182"</definedName>
    <definedName name="IQ_CONVEYED_TO_OTHERS_FDIC" hidden="1">"c6534"</definedName>
    <definedName name="IQ_COO_ID" hidden="1">"c15222"</definedName>
    <definedName name="IQ_COO_NAME" hidden="1">"c15221"</definedName>
    <definedName name="IQ_CORE_CAPITAL_RATIO_FDIC" hidden="1">"c6745"</definedName>
    <definedName name="IQ_CORE_DEPOSITS_ASSETS_TOT_FFIEC" hidden="1">"c13442"</definedName>
    <definedName name="IQ_CORE_DEPOSITS_FFIEC" hidden="1">"c13862"</definedName>
    <definedName name="IQ_CORE_DEPOSITS_THRIFT" hidden="1">"c25089"</definedName>
    <definedName name="IQ_CORE_DEPOSITS_TOT_DEPOSITS_FFIEC" hidden="1">"c13911"</definedName>
    <definedName name="IQ_CORE_DEPOSITS_TOTAL_ASSETS_THRIFT" hidden="1">"c25699"</definedName>
    <definedName name="IQ_CORE_DEPOSITS_TOTAL_DEPOSITS_THRIFT" hidden="1">"c25782"</definedName>
    <definedName name="IQ_CORE_TIER_ONE_CAPITAL" hidden="1">"c15244"</definedName>
    <definedName name="IQ_CORE_TIER_ONE_CAPITAL_RATIO" hidden="1">"c15240"</definedName>
    <definedName name="IQ_CORP_GOODS_PRICE_INDEX_APR_FC_UNUSED" hidden="1">"c8381"</definedName>
    <definedName name="IQ_CORP_GOODS_PRICE_INDEX_APR_FC_UNUSED_UNUSED_UNUSED" hidden="1">"c8381"</definedName>
    <definedName name="IQ_CORP_GOODS_PRICE_INDEX_APR_UNUSED" hidden="1">"c7501"</definedName>
    <definedName name="IQ_CORP_GOODS_PRICE_INDEX_APR_UNUSED_UNUSED_UNUSED" hidden="1">"c7501"</definedName>
    <definedName name="IQ_CORP_GOODS_PRICE_INDEX_FC_UNUSED" hidden="1">"c7721"</definedName>
    <definedName name="IQ_CORP_GOODS_PRICE_INDEX_FC_UNUSED_UNUSED_UNUSED" hidden="1">"c7721"</definedName>
    <definedName name="IQ_CORP_GOODS_PRICE_INDEX_POP_FC_UNUSED" hidden="1">"c7941"</definedName>
    <definedName name="IQ_CORP_GOODS_PRICE_INDEX_POP_FC_UNUSED_UNUSED_UNUSED" hidden="1">"c7941"</definedName>
    <definedName name="IQ_CORP_GOODS_PRICE_INDEX_POP_UNUSED" hidden="1">"c7061"</definedName>
    <definedName name="IQ_CORP_GOODS_PRICE_INDEX_POP_UNUSED_UNUSED_UNUSED" hidden="1">"c7061"</definedName>
    <definedName name="IQ_CORP_GOODS_PRICE_INDEX_UNUSED" hidden="1">"c6841"</definedName>
    <definedName name="IQ_CORP_GOODS_PRICE_INDEX_UNUSED_UNUSED_UNUSED" hidden="1">"c6841"</definedName>
    <definedName name="IQ_CORP_GOODS_PRICE_INDEX_YOY_FC_UNUSED" hidden="1">"c8161"</definedName>
    <definedName name="IQ_CORP_GOODS_PRICE_INDEX_YOY_FC_UNUSED_UNUSED_UNUSED" hidden="1">"c8161"</definedName>
    <definedName name="IQ_CORP_GOODS_PRICE_INDEX_YOY_UNUSED" hidden="1">"c7281"</definedName>
    <definedName name="IQ_CORP_GOODS_PRICE_INDEX_YOY_UNUSED_UNUSED_UNUSED" hidden="1">"c7281"</definedName>
    <definedName name="IQ_CORP_PROFIT" hidden="1">"c20636"</definedName>
    <definedName name="IQ_CORP_PROFITS" hidden="1">"c6843"</definedName>
    <definedName name="IQ_CORP_PROFITS_AFTER_TAX_SAAR" hidden="1">"c6842"</definedName>
    <definedName name="IQ_CORP_PROFITS_AFTER_TAX_SAAR_APR" hidden="1">"c7502"</definedName>
    <definedName name="IQ_CORP_PROFITS_AFTER_TAX_SAAR_APR_FC" hidden="1">"c8382"</definedName>
    <definedName name="IQ_CORP_PROFITS_AFTER_TAX_SAAR_FC" hidden="1">"c7722"</definedName>
    <definedName name="IQ_CORP_PROFITS_AFTER_TAX_SAAR_POP" hidden="1">"c7062"</definedName>
    <definedName name="IQ_CORP_PROFITS_AFTER_TAX_SAAR_POP_FC" hidden="1">"c7942"</definedName>
    <definedName name="IQ_CORP_PROFITS_AFTER_TAX_SAAR_YOY" hidden="1">"c7282"</definedName>
    <definedName name="IQ_CORP_PROFITS_AFTER_TAX_SAAR_YOY_FC" hidden="1">"c8162"</definedName>
    <definedName name="IQ_CORP_PROFITS_AFTER_TAXES" hidden="1">"c20637"</definedName>
    <definedName name="IQ_CORP_PROFITS_APR" hidden="1">"c7503"</definedName>
    <definedName name="IQ_CORP_PROFITS_APR_FC" hidden="1">"c8383"</definedName>
    <definedName name="IQ_CORP_PROFITS_FC" hidden="1">"c7723"</definedName>
    <definedName name="IQ_CORP_PROFITS_POP" hidden="1">"c7063"</definedName>
    <definedName name="IQ_CORP_PROFITS_POP_FC" hidden="1">"c7943"</definedName>
    <definedName name="IQ_CORP_PROFITS_SAAR" hidden="1">"c6844"</definedName>
    <definedName name="IQ_CORP_PROFITS_SAAR_APR" hidden="1">"c7504"</definedName>
    <definedName name="IQ_CORP_PROFITS_SAAR_APR_FC" hidden="1">"c8384"</definedName>
    <definedName name="IQ_CORP_PROFITS_SAAR_FC" hidden="1">"c7724"</definedName>
    <definedName name="IQ_CORP_PROFITS_SAAR_POP" hidden="1">"c7064"</definedName>
    <definedName name="IQ_CORP_PROFITS_SAAR_POP_FC" hidden="1">"c7944"</definedName>
    <definedName name="IQ_CORP_PROFITS_SAAR_YOY" hidden="1">"c7284"</definedName>
    <definedName name="IQ_CORP_PROFITS_SAAR_YOY_FC" hidden="1">"c8164"</definedName>
    <definedName name="IQ_CORP_PROFITS_TAXES" hidden="1">"c20638"</definedName>
    <definedName name="IQ_CORP_PROFITS_YOY" hidden="1">"c7283"</definedName>
    <definedName name="IQ_CORP_PROFITS_YOY_FC" hidden="1">"c8163"</definedName>
    <definedName name="IQ_CORPORATE_MUNICIPAL_TRUSTEESHIPS_NUMBER_ISSUES_THRIFT" hidden="1">"c25441"</definedName>
    <definedName name="IQ_CORPORATE_MUNICIPAL_TRUSTEESHIPS_PRINCIPAL_AMT_OUTSTANDING_THRIFT" hidden="1">"c25440"</definedName>
    <definedName name="IQ_CORPORATE_OVER_TOTAL" hidden="1">"c13767"</definedName>
    <definedName name="IQ_CORPORATE_TRUST_AGENCY_ACCOUNTS_INC_THRIFT" hidden="1">"c24805"</definedName>
    <definedName name="IQ_CORPORATE_TRUST_AGENCY_ACCOUNTS_MANAGED_ASSETS_THRIFT" hidden="1">"c25352"</definedName>
    <definedName name="IQ_CORPORATE_TRUST_AGENCY_ACCOUNTS_NONMANAGED_ASSETS_THRIFT" hidden="1">"c25373"</definedName>
    <definedName name="IQ_CORPORATE_TRUST_AGENCY_ACCOUNTS_NUMBER_MANAGED_ACCOUNTS_THRIFT" hidden="1">"c25363"</definedName>
    <definedName name="IQ_CORPORATE_TRUST_AGENCY_ACCOUNTS_NUMBER_NONMANAGED_ACCOUNTS_THRIFT" hidden="1">"c25385"</definedName>
    <definedName name="IQ_COST_BORROWED_FUNDS_FFIEC" hidden="1">"c13492"</definedName>
    <definedName name="IQ_COST_BORROWING" hidden="1">"c2936"</definedName>
    <definedName name="IQ_COST_BORROWINGS" hidden="1">"c225"</definedName>
    <definedName name="IQ_COST_CAPITAL_NEW_BUSINESS" hidden="1">"c9968"</definedName>
    <definedName name="IQ_COST_FED_FUNDS_PURCHASED_THRIFT" hidden="1">"c25681"</definedName>
    <definedName name="IQ_COST_FOREIGN_DEPOSITS_FFIEC" hidden="1">"c13490"</definedName>
    <definedName name="IQ_COST_FUNDS" hidden="1">"c15726"</definedName>
    <definedName name="IQ_COST_FUNDS_PURCHASED_FFIEC" hidden="1">"c13491"</definedName>
    <definedName name="IQ_COST_INT_BEARING_DEPOSITS_THRIFT" hidden="1">"c25680"</definedName>
    <definedName name="IQ_COST_INT_DEPOSITS_FFIEC" hidden="1">"c13489"</definedName>
    <definedName name="IQ_COST_OF_FUNDING_ASSETS_FDIC" hidden="1">"c6725"</definedName>
    <definedName name="IQ_COST_OTHER_BORROWED_FUNDS_THRIFT" hidden="1">"c25682"</definedName>
    <definedName name="IQ_COST_REV" hidden="1">"c226"</definedName>
    <definedName name="IQ_COST_REVENUE" hidden="1">"c226"</definedName>
    <definedName name="IQ_COST_SALES_COAL" hidden="1">"c15933"</definedName>
    <definedName name="IQ_COST_SALES_PER_UNIT_SOLD_COAL" hidden="1">"c15944"</definedName>
    <definedName name="IQ_COST_SALES_TO_SALES_COAL" hidden="1">"c15951"</definedName>
    <definedName name="IQ_COST_SAVINGS" hidden="1">"c227"</definedName>
    <definedName name="IQ_COST_SERVICE" hidden="1">"c228"</definedName>
    <definedName name="IQ_COST_SOLVENCY_CAPITAL_COVERED" hidden="1">"c9965"</definedName>
    <definedName name="IQ_COST_SOLVENCY_CAPITAL_GROUP" hidden="1">"c9951"</definedName>
    <definedName name="IQ_COST_TOTAL_BORROWINGS" hidden="1">"c229"</definedName>
    <definedName name="IQ_COUNTRY_NAME" hidden="1">"c230"</definedName>
    <definedName name="IQ_COUNTRY_NAME_ECON" hidden="1">"c11752"</definedName>
    <definedName name="IQ_COUPON_FORMULA" hidden="1">"c8965"</definedName>
    <definedName name="IQ_COVERAGE_RATIO" hidden="1">"c15243"</definedName>
    <definedName name="IQ_COVERED_POPS" hidden="1">"c2124"</definedName>
    <definedName name="IQ_COVERED_WIRELESS_POPS" hidden="1">"c2124"</definedName>
    <definedName name="IQ_CP" hidden="1">"c2495"</definedName>
    <definedName name="IQ_CP_PCT" hidden="1">"c2496"</definedName>
    <definedName name="IQ_CPI" hidden="1">"c6845"</definedName>
    <definedName name="IQ_CPI_APR" hidden="1">"c7505"</definedName>
    <definedName name="IQ_CPI_APR_FC" hidden="1">"c8385"</definedName>
    <definedName name="IQ_CPI_CORE" hidden="1">"c6838"</definedName>
    <definedName name="IQ_CPI_CORE_APR" hidden="1">"c7498"</definedName>
    <definedName name="IQ_CPI_CORE_POP" hidden="1">"c7058"</definedName>
    <definedName name="IQ_CPI_CORE_YOY" hidden="1">"c7278"</definedName>
    <definedName name="IQ_CPI_FC" hidden="1">"c7725"</definedName>
    <definedName name="IQ_CPI_POP" hidden="1">"c7065"</definedName>
    <definedName name="IQ_CPI_POP_FC" hidden="1">"c7945"</definedName>
    <definedName name="IQ_CPI_YOY" hidden="1">"c7285"</definedName>
    <definedName name="IQ_CPI_YOY_FC" hidden="1">"c8165"</definedName>
    <definedName name="IQ_CPI_YOY_PCT" hidden="1">"c20639"</definedName>
    <definedName name="IQ_CPI_YOY_PCT_FC" hidden="1">"c20640"</definedName>
    <definedName name="IQ_CQ" hidden="1">5000</definedName>
    <definedName name="IQ_CREDIT_CARD_CHARGE_OFFS_FDIC" hidden="1">"c6652"</definedName>
    <definedName name="IQ_CREDIT_CARD_CHARGE_OFFS_RELATED_ACCRUED_INTEREST_THRIFT" hidden="1">"c25228"</definedName>
    <definedName name="IQ_CREDIT_CARD_FEE_BNK" hidden="1">"c231"</definedName>
    <definedName name="IQ_CREDIT_CARD_FEE_FIN" hidden="1">"c1583"</definedName>
    <definedName name="IQ_CREDIT_CARD_GROSS_LOANS_FFIEC" hidden="1">"c13412"</definedName>
    <definedName name="IQ_CREDIT_CARD_INTERCHANGE_FEES_FFIEC" hidden="1">"c13046"</definedName>
    <definedName name="IQ_CREDIT_CARD_LINES_FDIC" hidden="1">"c6525"</definedName>
    <definedName name="IQ_CREDIT_CARD_LINES_UNUSED_FFIEC" hidden="1">"c13242"</definedName>
    <definedName name="IQ_CREDIT_CARD_LOANS_CHARGE_OFFS_FFIEC" hidden="1">"c13180"</definedName>
    <definedName name="IQ_CREDIT_CARD_LOANS_DOM_QUARTERLY_AVG_FFIEC" hidden="1">"c15480"</definedName>
    <definedName name="IQ_CREDIT_CARD_LOANS_DUE_30_89_FFIEC" hidden="1">"c13272"</definedName>
    <definedName name="IQ_CREDIT_CARD_LOANS_DUE_90_FFIEC" hidden="1">"c13298"</definedName>
    <definedName name="IQ_CREDIT_CARD_LOANS_FDIC" hidden="1">"c6319"</definedName>
    <definedName name="IQ_CREDIT_CARD_LOANS_GROSS_LOANS_THRIFT" hidden="1">"c25734"</definedName>
    <definedName name="IQ_CREDIT_CARD_LOANS_NON_ACCRUAL_FFIEC" hidden="1">"c13324"</definedName>
    <definedName name="IQ_CREDIT_CARD_LOANS_OUTSTANDING_BUS_NON_MORTGAGE_COMM_LOANS_THRIFT" hidden="1">"c24856"</definedName>
    <definedName name="IQ_CREDIT_CARD_LOANS_RECOV_FFIEC" hidden="1">"c13202"</definedName>
    <definedName name="IQ_CREDIT_CARD_LOANS_RELATED_CHARGE_OFFS_FFIEC" hidden="1">"c25840"</definedName>
    <definedName name="IQ_CREDIT_CARD_LOANS_RELATED_RECOV_FFIEC" hidden="1">"c25841"</definedName>
    <definedName name="IQ_CREDIT_CARD_LOANS_RISK_BASED_CAPITAL_THRIFT" hidden="1">"c25719"</definedName>
    <definedName name="IQ_CREDIT_CARD_NET_CHARGE_OFFS_FDIC" hidden="1">"c6654"</definedName>
    <definedName name="IQ_CREDIT_CARD_RECOVERIES_FDIC" hidden="1">"c6653"</definedName>
    <definedName name="IQ_CREDIT_CARD_RELATED_LL_REC_FFIEC" hidden="1">"c25870"</definedName>
    <definedName name="IQ_CREDIT_CARD_RISK_BASED_FFIEC" hidden="1">"c13433"</definedName>
    <definedName name="IQ_CREDIT_CARDS_CONSUMER_LOANS_FFIEC" hidden="1">"c12822"</definedName>
    <definedName name="IQ_CREDIT_CARDS_CONSUMER_OPEN_END_LINES_CREDIT_THRIFT" hidden="1">"c25609"</definedName>
    <definedName name="IQ_CREDIT_CARDS_LL_REC_FFIEC" hidden="1">"c12889"</definedName>
    <definedName name="IQ_CREDIT_CARDS_LOANS_TRADING_DOM_FFIEC" hidden="1">"c12933"</definedName>
    <definedName name="IQ_CREDIT_CARDS_OTHER_OPEN_END_LINES_CREDIT_THRIFT" hidden="1">"c25610"</definedName>
    <definedName name="IQ_CREDIT_CARDS_THRIFT" hidden="1">"c24864"</definedName>
    <definedName name="IQ_CREDIT_EXPOSURE" hidden="1">"c10038"</definedName>
    <definedName name="IQ_CREDIT_EXPOSURE_FFIEC" hidden="1">"c13062"</definedName>
    <definedName name="IQ_CREDIT_LOSS_CF" hidden="1">"c232"</definedName>
    <definedName name="IQ_CREDIT_LOSS_PROVISION_NET_CHARGE_OFFS_FDIC" hidden="1">"c6734"</definedName>
    <definedName name="IQ_CREDIT_LOSSES_DERIVATIVES_FFIEC" hidden="1">"c13068"</definedName>
    <definedName name="IQ_CREDIT_OPTIONS_DERIVATIVES_BENEFICIARY_FFIEC" hidden="1">"c13121"</definedName>
    <definedName name="IQ_CREDIT_OPTIONS_DERIVATIVES_GUARANTOR_FFIEC" hidden="1">"c13114"</definedName>
    <definedName name="IQ_CUM_EFFECT_CHANGE_ACCOUNTING_FFIEC" hidden="1">"c25849"</definedName>
    <definedName name="IQ_CUMULATIVE_PREF_THRIFT" hidden="1">"c24915"</definedName>
    <definedName name="IQ_CUMULATIVE_PREFERREDS_T2_FFIEC" hidden="1">"c13145"</definedName>
    <definedName name="IQ_CUMULATIVE_SPLIT_FACTOR" hidden="1">"c2094"</definedName>
    <definedName name="IQ_CURR_ACCT_BALANCE" hidden="1">"c20641"</definedName>
    <definedName name="IQ_CURR_ACCT_BALANCE_APR_FC_UNUSED" hidden="1">"c8387"</definedName>
    <definedName name="IQ_CURR_ACCT_BALANCE_APR_FC_UNUSED_UNUSED_UNUSED" hidden="1">"c8387"</definedName>
    <definedName name="IQ_CURR_ACCT_BALANCE_APR_UNUSED" hidden="1">"c7507"</definedName>
    <definedName name="IQ_CURR_ACCT_BALANCE_APR_UNUSED_UNUSED_UNUSED" hidden="1">"c7507"</definedName>
    <definedName name="IQ_CURR_ACCT_BALANCE_FC_UNUSED" hidden="1">"c7727"</definedName>
    <definedName name="IQ_CURR_ACCT_BALANCE_FC_UNUSED_UNUSED_UNUSED" hidden="1">"c7727"</definedName>
    <definedName name="IQ_CURR_ACCT_BALANCE_PCT" hidden="1">"c6846"</definedName>
    <definedName name="IQ_CURR_ACCT_BALANCE_PCT_FC" hidden="1">"c7726"</definedName>
    <definedName name="IQ_CURR_ACCT_BALANCE_PCT_GDP" hidden="1">"c20642"</definedName>
    <definedName name="IQ_CURR_ACCT_BALANCE_PCT_POP" hidden="1">"c7066"</definedName>
    <definedName name="IQ_CURR_ACCT_BALANCE_PCT_POP_FC" hidden="1">"c7946"</definedName>
    <definedName name="IQ_CURR_ACCT_BALANCE_PCT_YOY" hidden="1">"c7286"</definedName>
    <definedName name="IQ_CURR_ACCT_BALANCE_PCT_YOY_FC" hidden="1">"c8166"</definedName>
    <definedName name="IQ_CURR_ACCT_BALANCE_POP_FC_UNUSED" hidden="1">"c7947"</definedName>
    <definedName name="IQ_CURR_ACCT_BALANCE_POP_FC_UNUSED_UNUSED_UNUSED" hidden="1">"c7947"</definedName>
    <definedName name="IQ_CURR_ACCT_BALANCE_POP_UNUSED" hidden="1">"c7067"</definedName>
    <definedName name="IQ_CURR_ACCT_BALANCE_POP_UNUSED_UNUSED_UNUSED" hidden="1">"c7067"</definedName>
    <definedName name="IQ_CURR_ACCT_BALANCE_SAAR" hidden="1">"c6848"</definedName>
    <definedName name="IQ_CURR_ACCT_BALANCE_SAAR_APR" hidden="1">"c7508"</definedName>
    <definedName name="IQ_CURR_ACCT_BALANCE_SAAR_APR_FC" hidden="1">"c8388"</definedName>
    <definedName name="IQ_CURR_ACCT_BALANCE_SAAR_FC" hidden="1">"c7728"</definedName>
    <definedName name="IQ_CURR_ACCT_BALANCE_SAAR_POP" hidden="1">"c7068"</definedName>
    <definedName name="IQ_CURR_ACCT_BALANCE_SAAR_POP_FC" hidden="1">"c7948"</definedName>
    <definedName name="IQ_CURR_ACCT_BALANCE_SAAR_USD_APR_FC" hidden="1">"c11797"</definedName>
    <definedName name="IQ_CURR_ACCT_BALANCE_SAAR_USD_FC" hidden="1">"c11794"</definedName>
    <definedName name="IQ_CURR_ACCT_BALANCE_SAAR_USD_POP_FC" hidden="1">"c11795"</definedName>
    <definedName name="IQ_CURR_ACCT_BALANCE_SAAR_USD_YOY_FC" hidden="1">"c11796"</definedName>
    <definedName name="IQ_CURR_ACCT_BALANCE_SAAR_YOY" hidden="1">"c7288"</definedName>
    <definedName name="IQ_CURR_ACCT_BALANCE_SAAR_YOY_FC" hidden="1">"c8168"</definedName>
    <definedName name="IQ_CURR_ACCT_BALANCE_UNUSED" hidden="1">"c6847"</definedName>
    <definedName name="IQ_CURR_ACCT_BALANCE_UNUSED_UNUSED_UNUSED" hidden="1">"c6847"</definedName>
    <definedName name="IQ_CURR_ACCT_BALANCE_USD" hidden="1">"c11786"</definedName>
    <definedName name="IQ_CURR_ACCT_BALANCE_USD_APR" hidden="1">"c11789"</definedName>
    <definedName name="IQ_CURR_ACCT_BALANCE_USD_APR_FC" hidden="1">"c11793"</definedName>
    <definedName name="IQ_CURR_ACCT_BALANCE_USD_FC" hidden="1">"c11790"</definedName>
    <definedName name="IQ_CURR_ACCT_BALANCE_USD_POP" hidden="1">"c11787"</definedName>
    <definedName name="IQ_CURR_ACCT_BALANCE_USD_POP_FC" hidden="1">"c11791"</definedName>
    <definedName name="IQ_CURR_ACCT_BALANCE_USD_YOY" hidden="1">"c11788"</definedName>
    <definedName name="IQ_CURR_ACCT_BALANCE_USD_YOY_FC" hidden="1">"c11792"</definedName>
    <definedName name="IQ_CURR_ACCT_BALANCE_YOY_FC_UNUSED" hidden="1">"c8167"</definedName>
    <definedName name="IQ_CURR_ACCT_BALANCE_YOY_FC_UNUSED_UNUSED_UNUSED" hidden="1">"c8167"</definedName>
    <definedName name="IQ_CURR_ACCT_BALANCE_YOY_UNUSED" hidden="1">"c7287"</definedName>
    <definedName name="IQ_CURR_ACCT_BALANCE_YOY_UNUSED_UNUSED_UNUSED" hidden="1">"c7287"</definedName>
    <definedName name="IQ_CURR_ACCT_INC_RECEIPTS" hidden="1">"c6849"</definedName>
    <definedName name="IQ_CURR_ACCT_INC_RECEIPTS_APR" hidden="1">"c7509"</definedName>
    <definedName name="IQ_CURR_ACCT_INC_RECEIPTS_APR_FC" hidden="1">"c8389"</definedName>
    <definedName name="IQ_CURR_ACCT_INC_RECEIPTS_FC" hidden="1">"c7729"</definedName>
    <definedName name="IQ_CURR_ACCT_INC_RECEIPTS_POP" hidden="1">"c7069"</definedName>
    <definedName name="IQ_CURR_ACCT_INC_RECEIPTS_POP_FC" hidden="1">"c7949"</definedName>
    <definedName name="IQ_CURR_ACCT_INC_RECEIPTS_YOY" hidden="1">"c7289"</definedName>
    <definedName name="IQ_CURR_ACCT_INC_RECEIPTS_YOY_FC" hidden="1">"c8169"</definedName>
    <definedName name="IQ_CURR_DOMESTIC_TAXES" hidden="1">"c2074"</definedName>
    <definedName name="IQ_CURR_FOREIGN_TAXES" hidden="1">"c2075"</definedName>
    <definedName name="IQ_CURR_TAXES" hidden="1">"c19141"</definedName>
    <definedName name="IQ_CURRENCY_COIN_DOM_FFIEC" hidden="1">"c15287"</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CM"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CM" hidden="1">"c1567"</definedName>
    <definedName name="IQ_CURRENT_PORT_DEBT_DERIVATIVES" hidden="1">"c17742"</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UST_PREMISE_EQUIP_CABLE_INVEST" hidden="1">"c15801"</definedName>
    <definedName name="IQ_CUSTODY_SAFEKEEPING_ACCOUNTS_INC_THRIFT" hidden="1">"c24809"</definedName>
    <definedName name="IQ_CUSTODY_SAFEKEEPING_ACCOUNTS_NONMANAGED_ASSETS_THRIFT" hidden="1">"c25377"</definedName>
    <definedName name="IQ_CUSTODY_SAFEKEEPING_ACCOUNTS_NUMBER_NONMANAGED_ACCOUNTS_THRIFT" hidden="1">"c25389"</definedName>
    <definedName name="IQ_CUSTOMER_LIAB_ACCEPTANCES_OUT_FFIEC" hidden="1">"c12835"</definedName>
    <definedName name="IQ_CY" hidden="1">10000</definedName>
    <definedName name="IQ_DA" hidden="1">"c247"</definedName>
    <definedName name="IQ_DA_ACT_OR_EST" hidden="1">"c18268"</definedName>
    <definedName name="IQ_DA_ACT_OR_EST_CIQ" hidden="1">"c18274"</definedName>
    <definedName name="IQ_DA_BR" hidden="1">"c248"</definedName>
    <definedName name="IQ_DA_CF" hidden="1">"c249"</definedName>
    <definedName name="IQ_DA_CF_BNK" hidden="1">"c250"</definedName>
    <definedName name="IQ_DA_CF_BR" hidden="1">"c251"</definedName>
    <definedName name="IQ_DA_CF_CM"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CM" hidden="1">"c248"</definedName>
    <definedName name="IQ_DA_EBITDA" hidden="1">"c5528"</definedName>
    <definedName name="IQ_DA_EST" hidden="1">"c18115"</definedName>
    <definedName name="IQ_DA_EST_CIQ" hidden="1">"c18183"</definedName>
    <definedName name="IQ_DA_EST_NOTE" hidden="1">"c18236"</definedName>
    <definedName name="IQ_DA_EST_NOTE_CIQ" hidden="1">"c18243"</definedName>
    <definedName name="IQ_DA_FIN" hidden="1">"c256"</definedName>
    <definedName name="IQ_DA_GUIDANCE" hidden="1">"c18409"</definedName>
    <definedName name="IQ_DA_HIGH_EST" hidden="1">"c18135"</definedName>
    <definedName name="IQ_DA_HIGH_EST_CIQ" hidden="1">"c18197"</definedName>
    <definedName name="IQ_DA_HIGH_GUIDANCE" hidden="1">"c18410"</definedName>
    <definedName name="IQ_DA_INS" hidden="1">"c257"</definedName>
    <definedName name="IQ_DA_LOW_EST" hidden="1">"c18145"</definedName>
    <definedName name="IQ_DA_LOW_EST_CIQ" hidden="1">"c18204"</definedName>
    <definedName name="IQ_DA_LOW_GUIDANCE" hidden="1">"c18411"</definedName>
    <definedName name="IQ_DA_MEDIAN_EST" hidden="1">"c18125"</definedName>
    <definedName name="IQ_DA_MEDIAN_EST_CIQ" hidden="1">"c18190"</definedName>
    <definedName name="IQ_DA_NUM_EST" hidden="1">"c18165"</definedName>
    <definedName name="IQ_DA_NUM_EST_CIQ" hidden="1">"c18218"</definedName>
    <definedName name="IQ_DA_RE" hidden="1">"c6207"</definedName>
    <definedName name="IQ_DA_REIT" hidden="1">"c258"</definedName>
    <definedName name="IQ_DA_STDDEV_EST" hidden="1">"c18155"</definedName>
    <definedName name="IQ_DA_STDDEV_EST_CIQ" hidden="1">"c18211"</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CM"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CM" hidden="1">"c260"</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RT" hidden="1">"c20427"</definedName>
    <definedName name="IQ_DATA_PROCESSING_EXP_FFIEC" hidden="1">"c13047"</definedName>
    <definedName name="IQ_DATA_SET" hidden="1">"c19244"</definedName>
    <definedName name="IQ_DATED_DATE" hidden="1">"c2185"</definedName>
    <definedName name="IQ_DAY_COUNT" hidden="1">"c2161"</definedName>
    <definedName name="IQ_DAYS_COVER_SHORT" hidden="1">"c1578"</definedName>
    <definedName name="IQ_DAYS_DELAY" hidden="1">"c8963"</definedName>
    <definedName name="IQ_DAYS_INVENTORY_OUT" hidden="1">"c273"</definedName>
    <definedName name="IQ_DAYS_PAY_OUTST" hidden="1">"c274"</definedName>
    <definedName name="IQ_DAYS_PAYABLE_OUT" hidden="1">"c274"</definedName>
    <definedName name="IQ_DAYS_SALES_OUT" hidden="1">"c275"</definedName>
    <definedName name="IQ_DAYS_SALES_OUTST" hidden="1">"c275"</definedName>
    <definedName name="IQ_DEBT_1_5_INVEST_SECURITIES_FFIEC" hidden="1">"c13465"</definedName>
    <definedName name="IQ_DEBT_ADJ" hidden="1">"c2515"</definedName>
    <definedName name="IQ_DEBT_ADJ_PCT" hidden="1">"c2516"</definedName>
    <definedName name="IQ_DEBT_EQUITY_EST" hidden="1">"c4257"</definedName>
    <definedName name="IQ_DEBT_EQUITY_EST_CIQ" hidden="1">"c4783"</definedName>
    <definedName name="IQ_DEBT_EQUITY_HIGH_EST" hidden="1">"c4258"</definedName>
    <definedName name="IQ_DEBT_EQUITY_HIGH_EST_CIQ" hidden="1">"c4784"</definedName>
    <definedName name="IQ_DEBT_EQUITY_LOW_EST" hidden="1">"c4259"</definedName>
    <definedName name="IQ_DEBT_EQUITY_LOW_EST_CIQ" hidden="1">"c4785"</definedName>
    <definedName name="IQ_DEBT_EQUITY_MEDIAN_EST" hidden="1">"c4260"</definedName>
    <definedName name="IQ_DEBT_EQUITY_MEDIAN_EST_CIQ" hidden="1">"c4786"</definedName>
    <definedName name="IQ_DEBT_EQUITY_NUM_EST" hidden="1">"c4261"</definedName>
    <definedName name="IQ_DEBT_EQUITY_NUM_EST_CIQ" hidden="1">"c4787"</definedName>
    <definedName name="IQ_DEBT_EQUITY_STDDEV_EST" hidden="1">"c4262"</definedName>
    <definedName name="IQ_DEBT_EQUITY_STDDEV_EST_CIQ" hidden="1">"c4788"</definedName>
    <definedName name="IQ_DEBT_EQUIV_NET_PBO" hidden="1">"c2938"</definedName>
    <definedName name="IQ_DEBT_EQUIV_OPER_LEASE" hidden="1">"c2935"</definedName>
    <definedName name="IQ_DEBT_LESS_1YR_INVEST_SECURITIES_FFIEC" hidden="1">"c13464"</definedName>
    <definedName name="IQ_DEBT_MATURING_MORE_THAN_ONE_YEAR_FFIEC" hidden="1">"c13164"</definedName>
    <definedName name="IQ_DEBT_MATURING_WITHIN_ONE_YEAR_FFIEC" hidden="1">"c13163"</definedName>
    <definedName name="IQ_DEBT_SEC_OVER_5YR_INVEST_SECURITIES_FFIEC" hidden="1">"c13466"</definedName>
    <definedName name="IQ_DEBT_SECURITIES_FOREIGN_FFIEC" hidden="1">"c13484"</definedName>
    <definedName name="IQ_DEBT_SECURITIES_LESS_THAN_1YR_INV_SEC_THRIFT" hidden="1">"c25676"</definedName>
    <definedName name="IQ_DEBT_SECURITIES_OTHER_ASSETS_DUE_30_89_FFIEC" hidden="1">"c13279"</definedName>
    <definedName name="IQ_DEBT_SECURITIES_OTHER_ASSETS_DUE_90_FFIEC" hidden="1">"c13305"</definedName>
    <definedName name="IQ_DEBT_SECURITIES_OTHER_ASSETS_NON_ACCRUAL_FFIEC" hidden="1">"c13331"</definedName>
    <definedName name="IQ_DEBT_SECURITIES_OVER_1YR_INV_SEC_THRIFT" hidden="1">"c25677"</definedName>
    <definedName name="IQ_DECREASE_INT_EXPENSE_FFIEC" hidden="1">"c13064"</definedName>
    <definedName name="IQ_DEDUCTION_EQUITY_INV_OTHER_ASSETS_THRIFT" hidden="1">"c25047"</definedName>
    <definedName name="IQ_DEDUCTION_LOW_LEVEL_RECOURSE_RESIDUAL_INTERESTS_THRIFT" hidden="1">"c25048"</definedName>
    <definedName name="IQ_DEDUCTIONS_TOTAL_RISK_BASED_CAPITAL_FFIEC" hidden="1">"c13152"</definedName>
    <definedName name="IQ_DEF_ACQ_CST" hidden="1">"c301"</definedName>
    <definedName name="IQ_DEF_AMORT" hidden="1">"c276"</definedName>
    <definedName name="IQ_DEF_AMORT_BNK" hidden="1">"c277"</definedName>
    <definedName name="IQ_DEF_AMORT_BR" hidden="1">"c278"</definedName>
    <definedName name="IQ_DEF_AMORT_CM"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CM" hidden="1">"c288"</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CM"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"c313"</definedName>
    <definedName name="IQ_DEF_POLICY_ACQ_COSTS" hidden="1">"c301"</definedName>
    <definedName name="IQ_DEF_POLICY_ACQ_COSTS_CF" hidden="1">"c302"</definedName>
    <definedName name="IQ_DEF_POLICY_AMORT" hidden="1">"c303"</definedName>
    <definedName name="IQ_DEF_SPENDING_REAL_SAAR" hidden="1">"c6971"</definedName>
    <definedName name="IQ_DEF_SPENDING_REAL_SAAR_APR" hidden="1">"c7631"</definedName>
    <definedName name="IQ_DEF_SPENDING_REAL_SAAR_APR_FC" hidden="1">"c8511"</definedName>
    <definedName name="IQ_DEF_SPENDING_REAL_SAAR_FC" hidden="1">"c7851"</definedName>
    <definedName name="IQ_DEF_SPENDING_REAL_SAAR_POP" hidden="1">"c7191"</definedName>
    <definedName name="IQ_DEF_SPENDING_REAL_SAAR_POP_FC" hidden="1">"c8071"</definedName>
    <definedName name="IQ_DEF_SPENDING_REAL_SAAR_YOY" hidden="1">"c7411"</definedName>
    <definedName name="IQ_DEF_SPENDING_REAL_SAAR_YOY_FC" hidden="1">"c8291"</definedName>
    <definedName name="IQ_DEF_TAX_ASSET_LT_BR" hidden="1">"c304"</definedName>
    <definedName name="IQ_DEF_TAX_ASSET_LT_CM"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CM"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AULT_DATE" hidden="1">"c16220"</definedName>
    <definedName name="IQ_DEFAULT_TYPE" hidden="1">"c16219"</definedName>
    <definedName name="IQ_DEFERRED_CONTINGENT_RENT" hidden="1">"c16181"</definedName>
    <definedName name="IQ_DEFERRED_DOMESTIC_TAXES" hidden="1">"c2077"</definedName>
    <definedName name="IQ_DEFERRED_FOREIGN_TAXES" hidden="1">"c2078"</definedName>
    <definedName name="IQ_DEFERRED_INC_TAX" hidden="1">"c315"</definedName>
    <definedName name="IQ_DEFERRED_INCOME_TAXES_THRIFT" hidden="1">"c24911"</definedName>
    <definedName name="IQ_DEFERRED_TAX_ASSETS_FFIEC" hidden="1">"c12843"</definedName>
    <definedName name="IQ_DEFERRED_TAX_ASSETS_T1_FFIEC" hidden="1">"c13141"</definedName>
    <definedName name="IQ_DEFERRED_TAX_LIAB_FFIEC" hidden="1">"c12870"</definedName>
    <definedName name="IQ_DEFERRED_TAX_NAV" hidden="1">"c16003"</definedName>
    <definedName name="IQ_DEFERRED_TAX_NNAV" hidden="1">"c16008"</definedName>
    <definedName name="IQ_DEFERRED_TAXES" hidden="1">"c147"</definedName>
    <definedName name="IQ_DEFERRED_TAXES_TOTAL" hidden="1">"c19142"</definedName>
    <definedName name="IQ_DELIVERED_HOMES_NEW_ORDERS" hidden="1">"c15821"</definedName>
    <definedName name="IQ_DELIVERED_HOMES_PRICE_NEW_ORDER_PRICE" hidden="1">"c15822"</definedName>
    <definedName name="IQ_DEMAND_DEP" hidden="1">"c320"</definedName>
    <definedName name="IQ_DEMAND_DEPOSITS_COMMERCIAL_BANK_SUBS_FFIEC" hidden="1">"c12945"</definedName>
    <definedName name="IQ_DEMAND_DEPOSITS_CONSOLIDATED_SUBSIDIARIES_THRIFT" hidden="1">"c25570"</definedName>
    <definedName name="IQ_DEMAND_DEPOSITS_FDIC" hidden="1">"c6489"</definedName>
    <definedName name="IQ_DEMAND_DEPOSITS_TOT_DEPOSITS_FFIEC" hidden="1">"c13902"</definedName>
    <definedName name="IQ_DEPOSIT_ACCOUNTS_LESS_THAN_100K_FDIC" hidden="1">"c6494"</definedName>
    <definedName name="IQ_DEPOSIT_ACCOUNTS_MORE_THAN_100K_FDIC" hidden="1">"c6492"</definedName>
    <definedName name="IQ_DEPOSITORY_INST_ACCEPTANCES_LL_REC_DOM_FFIEC" hidden="1">"c12908"</definedName>
    <definedName name="IQ_DEPOSITORY_INST_GROSS_LOANS_FFIEC" hidden="1">"c13409"</definedName>
    <definedName name="IQ_DEPOSITORY_INST_RISK_BASED_FFIEC" hidden="1">"c13430"</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100K_MORE_ASSETS_TOT_FFIEC" hidden="1">"c13444"</definedName>
    <definedName name="IQ_DEPOSITS_ACQUIRED_NET_DISPOSITIONS_IN_BULK_TRANSACTIONS_THRIFT" hidden="1">"c25345"</definedName>
    <definedName name="IQ_DEPOSITS_AMOUNTS_NETTED_THRIFT" hidden="1">"c25534"</definedName>
    <definedName name="IQ_DEPOSITS_DOM_FFIEC" hidden="1">"c12850"</definedName>
    <definedName name="IQ_DEPOSITS_ESCROWS_THRIFT" hidden="1">"c24895"</definedName>
    <definedName name="IQ_DEPOSITS_EXCLUDING_RETIREMENT_ACCOUNTS_GREATER_THAN_250000_THRIFT" hidden="1">"c24986"</definedName>
    <definedName name="IQ_DEPOSITS_EXCLUDING_RETIREMENT_ACCOUNTS_LESS_THAN_250000_THRIFT" hidden="1">"c24985"</definedName>
    <definedName name="IQ_DEPOSITS_FAIR_VALUE_TOT_FFIEC" hidden="1">"c13213"</definedName>
    <definedName name="IQ_DEPOSITS_FIN" hidden="1">"c321"</definedName>
    <definedName name="IQ_DEPOSITS_FOREIGN_BANKS_FOREIGN_AGENCIES_FFIEC" hidden="1">"c15344"</definedName>
    <definedName name="IQ_DEPOSITS_FOREIGN_FFIEC" hidden="1">"c12853"</definedName>
    <definedName name="IQ_DEPOSITS_HELD_DOMESTIC_FDIC" hidden="1">"c6340"</definedName>
    <definedName name="IQ_DEPOSITS_HELD_FOREIGN_FDIC" hidden="1">"c6341"</definedName>
    <definedName name="IQ_DEPOSITS_INTEREST_SECURITIES" hidden="1">"c5509"</definedName>
    <definedName name="IQ_DEPOSITS_INV_SEC_GVA_CHARGE_OFFS_THRIFT" hidden="1">"c25112"</definedName>
    <definedName name="IQ_DEPOSITS_INV_SEC_GVA_RECOVERIES_THRIFT" hidden="1">"c25143"</definedName>
    <definedName name="IQ_DEPOSITS_INV_SEC_SVA_PROVISIONS_TRANSFERS_FROM_GVA_THRIFT" hidden="1">"c25166"</definedName>
    <definedName name="IQ_DEPOSITS_INV_SEC_TOTAL_THRIFT" hidden="1">"c25197"</definedName>
    <definedName name="IQ_DEPOSITS_LESS_100K_COMMERCIAL_BANK_SUBS_FFIEC" hidden="1">"c12948"</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LEVEL_1_FFIEC" hidden="1">"c13221"</definedName>
    <definedName name="IQ_DEPOSITS_LEVEL_1_THRIFT" hidden="1">"c25530"</definedName>
    <definedName name="IQ_DEPOSITS_LEVEL_2_FFIEC" hidden="1">"c13229"</definedName>
    <definedName name="IQ_DEPOSITS_LEVEL_2_THRIFT" hidden="1">"c25531"</definedName>
    <definedName name="IQ_DEPOSITS_LEVEL_3_FFIEC" hidden="1">"c13237"</definedName>
    <definedName name="IQ_DEPOSITS_LEVEL_3_THRIFT" hidden="1">"c25532"</definedName>
    <definedName name="IQ_DEPOSITS_MORE_100K_COMMERCIAL_BANK_SUBS_FFIEC" hidden="1">"c12949"</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OSITS_THRIFT" hidden="1">"c24896"</definedName>
    <definedName name="IQ_DEPOSITS_TOTAL_AFTER_NETTING_THRIFT" hidden="1">"c25535"</definedName>
    <definedName name="IQ_DEPOSITS_TOTAL_BEFORE_NETTING_THRIFT" hidden="1">"c25533"</definedName>
    <definedName name="IQ_DEPRE_AMORT" hidden="1">"c247"</definedName>
    <definedName name="IQ_DEPRE_AMORT_SUPPL" hidden="1">"c1593"</definedName>
    <definedName name="IQ_DEPRE_DEPLE" hidden="1">"c261"</definedName>
    <definedName name="IQ_DEPRE_SUPP" hidden="1">"c1443"</definedName>
    <definedName name="IQ_DEPRECIATION_RENTAL_ASSETS" hidden="1">"c26972"</definedName>
    <definedName name="IQ_DEPRECIATION_RENTAL_ASSETS_CF" hidden="1">"c26973"</definedName>
    <definedName name="IQ_DERIVATIVE_ASSETS_AMOUNTS_NETTED_THRIFT" hidden="1">"c25510"</definedName>
    <definedName name="IQ_DERIVATIVE_ASSETS_CURRENT" hidden="1">"c17744"</definedName>
    <definedName name="IQ_DERIVATIVE_ASSETS_FAIR_VALUE_TOT_FFIEC" hidden="1">"c15403"</definedName>
    <definedName name="IQ_DERIVATIVE_ASSETS_LEVEL_1_FFIEC" hidden="1">"c15425"</definedName>
    <definedName name="IQ_DERIVATIVE_ASSETS_LEVEL_1_THRIFT" hidden="1">"c25506"</definedName>
    <definedName name="IQ_DERIVATIVE_ASSETS_LEVEL_2_FFIEC" hidden="1">"c15438"</definedName>
    <definedName name="IQ_DERIVATIVE_ASSETS_LEVEL_2_THRIFT" hidden="1">"c25507"</definedName>
    <definedName name="IQ_DERIVATIVE_ASSETS_LEVEL_3_FFIEC" hidden="1">"c15451"</definedName>
    <definedName name="IQ_DERIVATIVE_ASSETS_LEVEL_3_THRIFT" hidden="1">"c25508"</definedName>
    <definedName name="IQ_DERIVATIVE_ASSETS_LT" hidden="1">"c17745"</definedName>
    <definedName name="IQ_DERIVATIVE_ASSETS_TOTAL_AFTER_NETTING_THRIFT" hidden="1">"c25511"</definedName>
    <definedName name="IQ_DERIVATIVE_ASSETS_TOTAL_BEFORE_NETTING_THRIFT" hidden="1">"c25509"</definedName>
    <definedName name="IQ_DERIVATIVE_LIAB_CURRENT" hidden="1">"c17873"</definedName>
    <definedName name="IQ_DERIVATIVE_LIAB_NON_CURRENT" hidden="1">"c17874"</definedName>
    <definedName name="IQ_DERIVATIVE_LIABILITIES_AMOUNTS_NETTED_THRIFT" hidden="1">"c25552"</definedName>
    <definedName name="IQ_DERIVATIVE_LIABILITIES_FAIR_VALUE_TOT_FFIEC" hidden="1">"c15407"</definedName>
    <definedName name="IQ_DERIVATIVE_LIABILITIES_LEVEL_1_FFIEC" hidden="1">"c15429"</definedName>
    <definedName name="IQ_DERIVATIVE_LIABILITIES_LEVEL_1_THRIFT" hidden="1">"c25548"</definedName>
    <definedName name="IQ_DERIVATIVE_LIABILITIES_LEVEL_2_FFIEC" hidden="1">"c15442"</definedName>
    <definedName name="IQ_DERIVATIVE_LIABILITIES_LEVEL_2_THRIFT" hidden="1">"c25549"</definedName>
    <definedName name="IQ_DERIVATIVE_LIABILITIES_LEVEL_3_FFIEC" hidden="1">"c15455"</definedName>
    <definedName name="IQ_DERIVATIVE_LIABILITIES_LEVEL_3_THRIFT" hidden="1">"c25550"</definedName>
    <definedName name="IQ_DERIVATIVE_LIABILITIES_TOTAL_AFTER_NETTING_THRIFT" hidden="1">"c25553"</definedName>
    <definedName name="IQ_DERIVATIVE_LIABILITIES_TOTAL_BEFORE_NETTING_THRIFT" hidden="1">"c25551"</definedName>
    <definedName name="IQ_DERIVATIVE_TRADING_ASSETS" hidden="1">"c17875"</definedName>
    <definedName name="IQ_DERIVATIVES_FDIC" hidden="1">"c6523"</definedName>
    <definedName name="IQ_DERIVATIVES_NEGATIVE_FAIR_VALUE_DOM_FFIEC" hidden="1">"c12943"</definedName>
    <definedName name="IQ_DERIVATIVES_NEGATIVE_VALUE_FFIEC" hidden="1">"c12861"</definedName>
    <definedName name="IQ_DERIVATIVES_POS_FAIR_VALUE_FFIEC" hidden="1">"c12827"</definedName>
    <definedName name="IQ_DERIVATIVES_POSITIVE_FAIR_VALUE_TRADING_DOM_FFIEC" hidden="1">"c12938"</definedName>
    <definedName name="IQ_DESCRIPTION_LONG" hidden="1">"c322"</definedName>
    <definedName name="IQ_DEVELOP_LAND" hidden="1">"c323"</definedName>
    <definedName name="IQ_DEVELOPMENT_EXPENSE" hidden="1">"c16040"</definedName>
    <definedName name="IQ_DEVELOPMENT_REVENUE" hidden="1">"c16024"</definedName>
    <definedName name="IQ_DIC" hidden="1">"c13834"</definedName>
    <definedName name="IQ_DIFF_LASTCLOSE_TARGET_PRICE" hidden="1">"c1854"</definedName>
    <definedName name="IQ_DIFF_LASTCLOSE_TARGET_PRICE_CIQ" hidden="1">"c4767"</definedName>
    <definedName name="IQ_DIFF_LASTCLOSE_TARGET_PRICE_THOM" hidden="1">"c5278"</definedName>
    <definedName name="IQ_DIG_SUB_BASIC_SUB" hidden="1">"c16202"</definedName>
    <definedName name="IQ_DIG_SUB_VIDEO_SUB" hidden="1">"c15788"</definedName>
    <definedName name="IQ_DIGITAL_SUB_TOTAL_HOMES_PASSED" hidden="1">"c15769"</definedName>
    <definedName name="IQ_DIGITAL_VIDEO_PENETRATION" hidden="1">"c15768"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OUTSTANDING_CURRENT_EST" hidden="1">"c4263"</definedName>
    <definedName name="IQ_DILUT_OUTSTANDING_CURRENT_EST_CIQ" hidden="1">"c4789"</definedName>
    <definedName name="IQ_DILUT_OUTSTANDING_CURRENT_HIGH_EST" hidden="1">"c4264"</definedName>
    <definedName name="IQ_DILUT_OUTSTANDING_CURRENT_HIGH_EST_CIQ" hidden="1">"c4790"</definedName>
    <definedName name="IQ_DILUT_OUTSTANDING_CURRENT_LOW_EST" hidden="1">"c4265"</definedName>
    <definedName name="IQ_DILUT_OUTSTANDING_CURRENT_LOW_EST_CIQ" hidden="1">"c4791"</definedName>
    <definedName name="IQ_DILUT_OUTSTANDING_CURRENT_MEDIAN_EST" hidden="1">"c4266"</definedName>
    <definedName name="IQ_DILUT_OUTSTANDING_CURRENT_MEDIAN_EST_CIQ" hidden="1">"c4792"</definedName>
    <definedName name="IQ_DILUT_OUTSTANDING_CURRENT_NUM_EST" hidden="1">"c4267"</definedName>
    <definedName name="IQ_DILUT_OUTSTANDING_CURRENT_NUM_EST_CIQ" hidden="1">"c4793"</definedName>
    <definedName name="IQ_DILUT_OUTSTANDING_CURRENT_STDDEV_EST" hidden="1">"c4268"</definedName>
    <definedName name="IQ_DILUT_OUTSTANDING_CURRENT_STDDEV_EST_CIQ" hidden="1">"c4794"</definedName>
    <definedName name="IQ_DILUT_WEIGHT" hidden="1">"c326"</definedName>
    <definedName name="IQ_DILUT_WEIGHT_EST" hidden="1">"c4269"</definedName>
    <definedName name="IQ_DILUT_WEIGHT_EST_CIQ" hidden="1">"c4795"</definedName>
    <definedName name="IQ_DILUT_WEIGHT_GUIDANCE" hidden="1">"c4270"</definedName>
    <definedName name="IQ_DILUT_WEIGHT_HIGH_EST" hidden="1">"c4271"</definedName>
    <definedName name="IQ_DILUT_WEIGHT_HIGH_EST_CIQ" hidden="1">"c4796"</definedName>
    <definedName name="IQ_DILUT_WEIGHT_LOW_EST" hidden="1">"c4272"</definedName>
    <definedName name="IQ_DILUT_WEIGHT_LOW_EST_CIQ" hidden="1">"c4797"</definedName>
    <definedName name="IQ_DILUT_WEIGHT_MEDIAN_EST" hidden="1">"c4273"</definedName>
    <definedName name="IQ_DILUT_WEIGHT_MEDIAN_EST_CIQ" hidden="1">"c4798"</definedName>
    <definedName name="IQ_DILUT_WEIGHT_NUM_EST" hidden="1">"c4274"</definedName>
    <definedName name="IQ_DILUT_WEIGHT_NUM_EST_CIQ" hidden="1">"c4799"</definedName>
    <definedName name="IQ_DILUT_WEIGHT_STDDEV_EST" hidden="1">"c4275"</definedName>
    <definedName name="IQ_DILUT_WEIGHT_STDDEV_EST_CIQ" hidden="1">"c4800"</definedName>
    <definedName name="IQ_DILUTED_EPRA_NAV" hidden="1">"c16005"</definedName>
    <definedName name="IQ_DILUTED_EPRA_NAV_SHARE_RE" hidden="1">"c16014"</definedName>
    <definedName name="IQ_DILUTED_EPRA_NNAV" hidden="1">"c16010"</definedName>
    <definedName name="IQ_DILUTED_EPRA_NNAV_SHARE_RE" hidden="1">"c16015"</definedName>
    <definedName name="IQ_DILUTED_NAV_RE" hidden="1">"c15998"</definedName>
    <definedName name="IQ_DILUTED_NAV_SHARE_RE" hidden="1">"c16013"</definedName>
    <definedName name="IQ_DILUTED_NAV_SHARES" hidden="1">"c16016"</definedName>
    <definedName name="IQ_DILUTION_EFFECT_NAV" hidden="1">"c15997"</definedName>
    <definedName name="IQ_DIRECT_AH_EARNED" hidden="1">"c2740"</definedName>
    <definedName name="IQ_DIRECT_EARNED" hidden="1">"c2730"</definedName>
    <definedName name="IQ_DIRECT_INDIRECT_RE_VENTURES_FFIEC" hidden="1">"c15266"</definedName>
    <definedName name="IQ_DIRECT_INDIRECT_RE_VENTURES_UNCONSOL_FFIEC" hidden="1">"c15274"</definedName>
    <definedName name="IQ_DIRECT_LIFE_EARNED" hidden="1">"c2735"</definedName>
    <definedName name="IQ_DIRECT_LIFE_IN_FORCE" hidden="1">"c2765"</definedName>
    <definedName name="IQ_DIRECT_LOSSES" hidden="1">"c15869"</definedName>
    <definedName name="IQ_DIRECT_PC_EARNED" hidden="1">"c2745"</definedName>
    <definedName name="IQ_DIRECT_WRITTEN" hidden="1">"c2724"</definedName>
    <definedName name="IQ_DIRECTORS_FEES_FFIEC" hidden="1">"c13049"</definedName>
    <definedName name="IQ_DISALLOWED_DEFERRED_TAX_ASSETS_FFIEC" hidden="1">"c13157"</definedName>
    <definedName name="IQ_DISALLOWED_GOODWILL_INTANGIBLE_ASSETS_FFIEC" hidden="1">"c13155"</definedName>
    <definedName name="IQ_DISALLOWED_GOODWILL_INTANGIBLES_T1_FFIEC" hidden="1">"c13137"</definedName>
    <definedName name="IQ_DISALLOWED_SERVICING_ASSETS_FFIEC" hidden="1">"c13156"</definedName>
    <definedName name="IQ_DISALLOWED_SERVICING_ASSETS_T1_FFIEC" hidden="1">"c13140"</definedName>
    <definedName name="IQ_DISALLOWED_SERVICING_OTHER_ASSETS_ADJUSTED_ASSETS_THRIFT" hidden="1">"c25033"</definedName>
    <definedName name="IQ_DISALLOWED_SERVICING_OTHER_ASSETS_T1_THRIFT" hidden="1">"c25024"</definedName>
    <definedName name="IQ_DISBURSED_CONSTRUCTION_MORTGAGE_LOANS_1_4_DWELLING_UNITS_THRIFT" hidden="1">"c25317"</definedName>
    <definedName name="IQ_DISBURSED_CONSTRUCTION_MORTGAGE_LOANS_MULTIFAMILY_5_MORE_DWELLING_UNITS_THRIFT" hidden="1">"c25318"</definedName>
    <definedName name="IQ_DISBURSED_CONSTRUCTION_MORTGAGE_LOANS_NONRES_THRIFT" hidden="1">"c25319"</definedName>
    <definedName name="IQ_DISBURSED_PML_1_4_DWELLING_UNITS_THRIFT" hidden="1">"c25320"</definedName>
    <definedName name="IQ_DISBURSED_PML_HOME_EQUITY_JUNIOR_LIENS_THRIFT" hidden="1">"c25321"</definedName>
    <definedName name="IQ_DISBURSED_PML_LAND_THRIFT" hidden="1">"c25324"</definedName>
    <definedName name="IQ_DISBURSED_PML_MULTIFAMILY_5_MORE_DWELLING_UNITS_THRIFT" hidden="1">"c25322"</definedName>
    <definedName name="IQ_DISBURSED_PML_NONRES_EXCEPT_LAND_THRIFT" hidden="1">"c25323"</definedName>
    <definedName name="IQ_DISCONT_OPER" hidden="1">"c333"</definedName>
    <definedName name="IQ_DISCOUNT_RATE_PENSION_DOMESTIC" hidden="1">"c327"</definedName>
    <definedName name="IQ_DISCOUNT_RATE_PENSION_FOREIGN" hidden="1">"c328"</definedName>
    <definedName name="IQ_DISCRETIONARY_CAPEX" hidden="1">"c16183"</definedName>
    <definedName name="IQ_DISPOSABLE_PERSONAL_INC" hidden="1">"c6850"</definedName>
    <definedName name="IQ_DISPOSABLE_PERSONAL_INC_APR" hidden="1">"c7510"</definedName>
    <definedName name="IQ_DISPOSABLE_PERSONAL_INC_APR_FC" hidden="1">"c8390"</definedName>
    <definedName name="IQ_DISPOSABLE_PERSONAL_INC_FC" hidden="1">"c7730"</definedName>
    <definedName name="IQ_DISPOSABLE_PERSONAL_INC_POP" hidden="1">"c7070"</definedName>
    <definedName name="IQ_DISPOSABLE_PERSONAL_INC_POP_FC" hidden="1">"c7950"</definedName>
    <definedName name="IQ_DISPOSABLE_PERSONAL_INC_REAL" hidden="1">"c11922"</definedName>
    <definedName name="IQ_DISPOSABLE_PERSONAL_INC_REAL_APR" hidden="1">"c11925"</definedName>
    <definedName name="IQ_DISPOSABLE_PERSONAL_INC_REAL_POP" hidden="1">"c11923"</definedName>
    <definedName name="IQ_DISPOSABLE_PERSONAL_INC_REAL_YOY" hidden="1">"c11924"</definedName>
    <definedName name="IQ_DISPOSABLE_PERSONAL_INC_SAAR" hidden="1">"c6851"</definedName>
    <definedName name="IQ_DISPOSABLE_PERSONAL_INC_SAAR_APR" hidden="1">"c7511"</definedName>
    <definedName name="IQ_DISPOSABLE_PERSONAL_INC_SAAR_APR_FC" hidden="1">"c8391"</definedName>
    <definedName name="IQ_DISPOSABLE_PERSONAL_INC_SAAR_FC" hidden="1">"c7731"</definedName>
    <definedName name="IQ_DISPOSABLE_PERSONAL_INC_SAAR_POP" hidden="1">"c7071"</definedName>
    <definedName name="IQ_DISPOSABLE_PERSONAL_INC_SAAR_POP_FC" hidden="1">"c7951"</definedName>
    <definedName name="IQ_DISPOSABLE_PERSONAL_INC_SAAR_USD_APR_FC" hidden="1">"c11805"</definedName>
    <definedName name="IQ_DISPOSABLE_PERSONAL_INC_SAAR_USD_FC" hidden="1">"c11802"</definedName>
    <definedName name="IQ_DISPOSABLE_PERSONAL_INC_SAAR_USD_POP_FC" hidden="1">"c11803"</definedName>
    <definedName name="IQ_DISPOSABLE_PERSONAL_INC_SAAR_USD_YOY_FC" hidden="1">"c11804"</definedName>
    <definedName name="IQ_DISPOSABLE_PERSONAL_INC_SAAR_YOY" hidden="1">"c7291"</definedName>
    <definedName name="IQ_DISPOSABLE_PERSONAL_INC_SAAR_YOY_FC" hidden="1">"c8171"</definedName>
    <definedName name="IQ_DISPOSABLE_PERSONAL_INC_USD_APR_FC" hidden="1">"c11801"</definedName>
    <definedName name="IQ_DISPOSABLE_PERSONAL_INC_USD_FC" hidden="1">"c11798"</definedName>
    <definedName name="IQ_DISPOSABLE_PERSONAL_INC_USD_POP_FC" hidden="1">"c11799"</definedName>
    <definedName name="IQ_DISPOSABLE_PERSONAL_INC_USD_YOY_FC" hidden="1">"c11800"</definedName>
    <definedName name="IQ_DISPOSABLE_PERSONAL_INC_YOY" hidden="1">"c7290"</definedName>
    <definedName name="IQ_DISPOSABLE_PERSONAL_INC_YOY_FC" hidden="1">"c8170"</definedName>
    <definedName name="IQ_DISTR_EXCESS_EARN" hidden="1">"c329"</definedName>
    <definedName name="IQ_DISTRIB_CASH_SHARE_TRUSTS_EST" hidden="1">"c26906"</definedName>
    <definedName name="IQ_DISTRIB_CASH_SHARE_TRUSTS_EST_CIQ" hidden="1">"c4810"</definedName>
    <definedName name="IQ_DISTRIB_CASH_SHARE_TRUSTS_EST_DOWN_2MONTH_CIQ" hidden="1">"c24624"</definedName>
    <definedName name="IQ_DISTRIB_CASH_SHARE_TRUSTS_EST_DOWN_3MONTH_CIQ" hidden="1">"c24628"</definedName>
    <definedName name="IQ_DISTRIB_CASH_SHARE_TRUSTS_EST_DOWN_MONTH_CIQ" hidden="1">"c24620"</definedName>
    <definedName name="IQ_DISTRIB_CASH_SHARE_TRUSTS_EST_NOTE_CIQ" hidden="1">"c24611"</definedName>
    <definedName name="IQ_DISTRIB_CASH_SHARE_TRUSTS_EST_NUM_ANALYSTS_2MONTH_CIQ" hidden="1">"c24622"</definedName>
    <definedName name="IQ_DISTRIB_CASH_SHARE_TRUSTS_EST_NUM_ANALYSTS_3MONTH_CIQ" hidden="1">"c24626"</definedName>
    <definedName name="IQ_DISTRIB_CASH_SHARE_TRUSTS_EST_NUM_ANALYSTS_MONTH_CIQ" hidden="1">"c24618"</definedName>
    <definedName name="IQ_DISTRIB_CASH_SHARE_TRUSTS_EST_TOTAL_REVISED_2MONTH_CIQ" hidden="1">"c24625"</definedName>
    <definedName name="IQ_DISTRIB_CASH_SHARE_TRUSTS_EST_TOTAL_REVISED_3MONTH_CIQ" hidden="1">"c24629"</definedName>
    <definedName name="IQ_DISTRIB_CASH_SHARE_TRUSTS_EST_TOTAL_REVISED_MONTH_CIQ" hidden="1">"c24621"</definedName>
    <definedName name="IQ_DISTRIB_CASH_SHARE_TRUSTS_EST_UP_2MONTH_CIQ" hidden="1">"c24623"</definedName>
    <definedName name="IQ_DISTRIB_CASH_SHARE_TRUSTS_EST_UP_3MONTH_CIQ" hidden="1">"c24627"</definedName>
    <definedName name="IQ_DISTRIB_CASH_SHARE_TRUSTS_EST_UP_MONTH_CIQ" hidden="1">"c24619"</definedName>
    <definedName name="IQ_DISTRIB_CASH_SHARE_TRUSTS_HIGH_EST" hidden="1">"c26907"</definedName>
    <definedName name="IQ_DISTRIB_CASH_SHARE_TRUSTS_HIGH_EST_CIQ" hidden="1">"c4813"</definedName>
    <definedName name="IQ_DISTRIB_CASH_SHARE_TRUSTS_LOW_EST" hidden="1">"c26908"</definedName>
    <definedName name="IQ_DISTRIB_CASH_SHARE_TRUSTS_LOW_EST_CIQ" hidden="1">"c4814"</definedName>
    <definedName name="IQ_DISTRIB_CASH_SHARE_TRUSTS_MEDIAN_EST" hidden="1">"c26909"</definedName>
    <definedName name="IQ_DISTRIB_CASH_SHARE_TRUSTS_MEDIAN_EST_CIQ" hidden="1">"c4815"</definedName>
    <definedName name="IQ_DISTRIB_CASH_SHARE_TRUSTS_NUM_EST" hidden="1">"c26910"</definedName>
    <definedName name="IQ_DISTRIB_CASH_SHARE_TRUSTS_NUM_EST_CIQ" hidden="1">"c4816"</definedName>
    <definedName name="IQ_DISTRIB_CASH_SHARE_TRUSTS_STDDEV_EST" hidden="1">"c26911"</definedName>
    <definedName name="IQ_DISTRIB_CASH_SHARE_TRUSTS_STDDEV_EST_CIQ" hidden="1">"c4817"</definedName>
    <definedName name="IQ_DISTRIB_CASH_TRUSTS_EST" hidden="1">"c26912"</definedName>
    <definedName name="IQ_DISTRIB_CASH_TRUSTS_EST_CIQ" hidden="1">"c4802"</definedName>
    <definedName name="IQ_DISTRIB_CASH_TRUSTS_EST_DOWN_2MONTH_CIQ" hidden="1">"c24605"</definedName>
    <definedName name="IQ_DISTRIB_CASH_TRUSTS_EST_DOWN_3MONTH_CIQ" hidden="1">"c24609"</definedName>
    <definedName name="IQ_DISTRIB_CASH_TRUSTS_EST_DOWN_MONTH_CIQ" hidden="1">"c24601"</definedName>
    <definedName name="IQ_DISTRIB_CASH_TRUSTS_EST_NOTE_CIQ" hidden="1">"c24592"</definedName>
    <definedName name="IQ_DISTRIB_CASH_TRUSTS_EST_NUM_ANALYSTS_2MONTH_CIQ" hidden="1">"c24603"</definedName>
    <definedName name="IQ_DISTRIB_CASH_TRUSTS_EST_NUM_ANALYSTS_3MONTH_CIQ" hidden="1">"c24607"</definedName>
    <definedName name="IQ_DISTRIB_CASH_TRUSTS_EST_NUM_ANALYSTS_MONTH_CIQ" hidden="1">"c24599"</definedName>
    <definedName name="IQ_DISTRIB_CASH_TRUSTS_EST_TOTAL_REVISED_2MONTH_CIQ" hidden="1">"c24606"</definedName>
    <definedName name="IQ_DISTRIB_CASH_TRUSTS_EST_TOTAL_REVISED_3MONTH_CIQ" hidden="1">"c24610"</definedName>
    <definedName name="IQ_DISTRIB_CASH_TRUSTS_EST_TOTAL_REVISED_MONTH_CIQ" hidden="1">"c24602"</definedName>
    <definedName name="IQ_DISTRIB_CASH_TRUSTS_EST_UP_2MONTH_CIQ" hidden="1">"c24604"</definedName>
    <definedName name="IQ_DISTRIB_CASH_TRUSTS_EST_UP_3MONTH_CIQ" hidden="1">"c24608"</definedName>
    <definedName name="IQ_DISTRIB_CASH_TRUSTS_EST_UP_MONTH_CIQ" hidden="1">"c24600"</definedName>
    <definedName name="IQ_DISTRIB_CASH_TRUSTS_HIGH_EST" hidden="1">"c26913"</definedName>
    <definedName name="IQ_DISTRIB_CASH_TRUSTS_HIGH_EST_CIQ" hidden="1">"c4805"</definedName>
    <definedName name="IQ_DISTRIB_CASH_TRUSTS_LOW_EST" hidden="1">"c26914"</definedName>
    <definedName name="IQ_DISTRIB_CASH_TRUSTS_LOW_EST_CIQ" hidden="1">"c4806"</definedName>
    <definedName name="IQ_DISTRIB_CASH_TRUSTS_MEDIAN_EST" hidden="1">"c26915"</definedName>
    <definedName name="IQ_DISTRIB_CASH_TRUSTS_MEDIAN_EST_CIQ" hidden="1">"c4807"</definedName>
    <definedName name="IQ_DISTRIB_CASH_TRUSTS_NUM_EST" hidden="1">"c26916"</definedName>
    <definedName name="IQ_DISTRIB_CASH_TRUSTS_NUM_EST_CIQ" hidden="1">"c4808"</definedName>
    <definedName name="IQ_DISTRIB_CASH_TRUSTS_STDDEV_EST" hidden="1">"c26917"</definedName>
    <definedName name="IQ_DISTRIB_CASH_TRUSTS_STDDEV_EST_CIQ" hidden="1">"c4819"</definedName>
    <definedName name="IQ_DISTRIBUTABLE_CASH" hidden="1">"c3002"</definedName>
    <definedName name="IQ_DISTRIBUTABLE_CASH_ACT_OR_EST" hidden="1">"c4278"</definedName>
    <definedName name="IQ_DISTRIBUTABLE_CASH_ACT_OR_EST_CIQ" hidden="1">"c4803"</definedName>
    <definedName name="IQ_DISTRIBUTABLE_CASH_ACT_OR_EST_CIQ_COL" hidden="1">"c11450"</definedName>
    <definedName name="IQ_DISTRIBUTABLE_CASH_EST" hidden="1">"c4277"</definedName>
    <definedName name="IQ_DISTRIBUTABLE_CASH_GUIDANCE" hidden="1">"c4279"</definedName>
    <definedName name="IQ_DISTRIBUTABLE_CASH_GUIDANCE_CIQ" hidden="1">"c4804"</definedName>
    <definedName name="IQ_DISTRIBUTABLE_CASH_GUIDANCE_CIQ_COL" hidden="1">"c11451"</definedName>
    <definedName name="IQ_DISTRIBUTABLE_CASH_HIGH_EST" hidden="1">"c4280"</definedName>
    <definedName name="IQ_DISTRIBUTABLE_CASH_HIGH_GUIDANCE" hidden="1">"c4198"</definedName>
    <definedName name="IQ_DISTRIBUTABLE_CASH_HIGH_GUIDANCE_CIQ" hidden="1">"c4610"</definedName>
    <definedName name="IQ_DISTRIBUTABLE_CASH_HIGH_GUIDANCE_CIQ_COL" hidden="1">"c11259"</definedName>
    <definedName name="IQ_DISTRIBUTABLE_CASH_LOW_EST" hidden="1">"c4281"</definedName>
    <definedName name="IQ_DISTRIBUTABLE_CASH_LOW_GUIDANCE" hidden="1">"c4238"</definedName>
    <definedName name="IQ_DISTRIBUTABLE_CASH_LOW_GUIDANCE_CIQ" hidden="1">"c4650"</definedName>
    <definedName name="IQ_DISTRIBUTABLE_CASH_LOW_GUIDANCE_CIQ_COL" hidden="1">"c11299"</definedName>
    <definedName name="IQ_DISTRIBUTABLE_CASH_MEDIAN_EST" hidden="1">"c4282"</definedName>
    <definedName name="IQ_DISTRIBUTABLE_CASH_NUM_EST" hidden="1">"c4283"</definedName>
    <definedName name="IQ_DISTRIBUTABLE_CASH_PAYOUT" hidden="1">"c3005"</definedName>
    <definedName name="IQ_DISTRIBUTABLE_CASH_PER_SHARE_DILUTED" hidden="1">"c16191"</definedName>
    <definedName name="IQ_DISTRIBUTABLE_CASH_SHARE" hidden="1">"c3003"</definedName>
    <definedName name="IQ_DISTRIBUTABLE_CASH_SHARE_ACT_OR_EST" hidden="1">"c4286"</definedName>
    <definedName name="IQ_DISTRIBUTABLE_CASH_SHARE_ACT_OR_EST_CIQ" hidden="1">"c4811"</definedName>
    <definedName name="IQ_DISTRIBUTABLE_CASH_SHARE_ACT_OR_EST_CIQ_COL" hidden="1">"c11458"</definedName>
    <definedName name="IQ_DISTRIBUTABLE_CASH_SHARE_EST" hidden="1">"c4285"</definedName>
    <definedName name="IQ_DISTRIBUTABLE_CASH_SHARE_GUIDANCE" hidden="1">"c4287"</definedName>
    <definedName name="IQ_DISTRIBUTABLE_CASH_SHARE_GUIDANCE_CIQ" hidden="1">"c4812"</definedName>
    <definedName name="IQ_DISTRIBUTABLE_CASH_SHARE_GUIDANCE_CIQ_COL" hidden="1">"c11459"</definedName>
    <definedName name="IQ_DISTRIBUTABLE_CASH_SHARE_HIGH_EST" hidden="1">"c4288"</definedName>
    <definedName name="IQ_DISTRIBUTABLE_CASH_SHARE_HIGH_GUIDANCE" hidden="1">"c4199"</definedName>
    <definedName name="IQ_DISTRIBUTABLE_CASH_SHARE_HIGH_GUIDANCE_CIQ" hidden="1">"c4611"</definedName>
    <definedName name="IQ_DISTRIBUTABLE_CASH_SHARE_HIGH_GUIDANCE_CIQ_COL" hidden="1">"c11260"</definedName>
    <definedName name="IQ_DISTRIBUTABLE_CASH_SHARE_LOW_EST" hidden="1">"c4289"</definedName>
    <definedName name="IQ_DISTRIBUTABLE_CASH_SHARE_LOW_GUIDANCE" hidden="1">"c4239"</definedName>
    <definedName name="IQ_DISTRIBUTABLE_CASH_SHARE_LOW_GUIDANCE_CIQ" hidden="1">"c4651"</definedName>
    <definedName name="IQ_DISTRIBUTABLE_CASH_SHARE_LOW_GUIDANCE_CIQ_COL" hidden="1">"c11300"</definedName>
    <definedName name="IQ_DISTRIBUTABLE_CASH_SHARE_MEDIAN_EST" hidden="1">"c4290"</definedName>
    <definedName name="IQ_DISTRIBUTABLE_CASH_SHARE_NUM_EST" hidden="1">"c4291"</definedName>
    <definedName name="IQ_DISTRIBUTABLE_CASH_SHARE_STDDEV_EST" hidden="1">"c4292"</definedName>
    <definedName name="IQ_DISTRIBUTABLE_CASH_SHARES_BASIC" hidden="1">"c16189"</definedName>
    <definedName name="IQ_DISTRIBUTABLE_CASH_SHARES_DILUTED" hidden="1">"c16190"</definedName>
    <definedName name="IQ_DISTRIBUTABLE_CASH_STANDARDIZED" hidden="1">"c20435"</definedName>
    <definedName name="IQ_DISTRIBUTABLE_CASH_STDDEV_EST" hidden="1">"c4294"</definedName>
    <definedName name="IQ_DIV_AMOUNT" hidden="1">"c3041"</definedName>
    <definedName name="IQ_DIV_AMOUNT_LIST" hidden="1">"c17417"</definedName>
    <definedName name="IQ_DIV_PAYMENT_DATE" hidden="1">"c2205"</definedName>
    <definedName name="IQ_DIV_PAYMENT_DATE_LIST" hidden="1">"c17418"</definedName>
    <definedName name="IQ_DIV_PAYMENT_TYPE" hidden="1">"c12752"</definedName>
    <definedName name="IQ_DIV_PAYMENT_TYPE_LIST" hidden="1">"c17419"</definedName>
    <definedName name="IQ_DIV_RECORD_DATE" hidden="1">"c2204"</definedName>
    <definedName name="IQ_DIV_RECORD_DATE_LIST" hidden="1">"c17420"</definedName>
    <definedName name="IQ_DIV_SHARE" hidden="1">"c330"</definedName>
    <definedName name="IQ_DIVEST_CF" hidden="1">"c331"</definedName>
    <definedName name="IQ_DIVID_SHARE" hidden="1">"c330"</definedName>
    <definedName name="IQ_DIVIDEND_EST" hidden="1">"c4296"</definedName>
    <definedName name="IQ_DIVIDEND_EST_CIQ" hidden="1">"c4821"</definedName>
    <definedName name="IQ_DIVIDEND_HIGH_EST" hidden="1">"c4297"</definedName>
    <definedName name="IQ_DIVIDEND_HIGH_EST_CIQ" hidden="1">"c4822"</definedName>
    <definedName name="IQ_DIVIDEND_INCOME_FHLB_STOCK_THRIFT" hidden="1">"c24754"</definedName>
    <definedName name="IQ_DIVIDEND_INCOME_OTHER_EQUITY_INV_THRIFT" hidden="1">"c24755"</definedName>
    <definedName name="IQ_DIVIDEND_LOW_EST" hidden="1">"c4298"</definedName>
    <definedName name="IQ_DIVIDEND_LOW_EST_CIQ" hidden="1">"c4823"</definedName>
    <definedName name="IQ_DIVIDEND_MEDIAN_EST" hidden="1">"c4299"</definedName>
    <definedName name="IQ_DIVIDEND_MEDIAN_EST_CIQ" hidden="1">"c4824"</definedName>
    <definedName name="IQ_DIVIDEND_NUM_EST" hidden="1">"c4300"</definedName>
    <definedName name="IQ_DIVIDEND_NUM_EST_CIQ" hidden="1">"c4825"</definedName>
    <definedName name="IQ_DIVIDEND_STDDEV_EST" hidden="1">"c4301"</definedName>
    <definedName name="IQ_DIVIDEND_STDDEV_EST_CIQ" hidden="1">"c4826"</definedName>
    <definedName name="IQ_DIVIDEND_YIELD" hidden="1">"c332"</definedName>
    <definedName name="IQ_DIVIDENDS_DECLARED_COMMON_FDIC" hidden="1">"c6659"</definedName>
    <definedName name="IQ_DIVIDENDS_DECLARED_COMMON_FFIEC" hidden="1">"c12969"</definedName>
    <definedName name="IQ_DIVIDENDS_DECLARED_PREFERRED_FDIC" hidden="1">"c6658"</definedName>
    <definedName name="IQ_DIVIDENDS_DECLARED_PREFERRED_FFIEC" hidden="1">"c12968"</definedName>
    <definedName name="IQ_DIVIDENDS_FDIC" hidden="1">"c6660"</definedName>
    <definedName name="IQ_DIVIDENDS_NET_INCOME_FFIEC" hidden="1">"c13349"</definedName>
    <definedName name="IQ_DIVIDENDS_PAID_DECLARED_PERIOD_COVERED" hidden="1">"c9960"</definedName>
    <definedName name="IQ_DIVIDENDS_PAID_DECLARED_PERIOD_GROUP" hidden="1">"c9946"</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OM_OFFICE_DEPOSITS_TOT_DEPOSITS_FFIEC" hidden="1">"c13910"</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CIQ" hidden="1">"c5062"</definedName>
    <definedName name="IQ_DPS_ACT_OR_EST_CIQ_COL" hidden="1">"c11709"</definedName>
    <definedName name="IQ_DPS_ACT_OR_EST_THOM" hidden="1">"c5302"</definedName>
    <definedName name="IQ_DPS_EST" hidden="1">"c1674"</definedName>
    <definedName name="IQ_DPS_EST_BOTTOM_UP" hidden="1">"c5493"</definedName>
    <definedName name="IQ_DPS_EST_BOTTOM_UP_CIQ" hidden="1">"c12030"</definedName>
    <definedName name="IQ_DPS_EST_CIQ" hidden="1">"c3682"</definedName>
    <definedName name="IQ_DPS_EST_DOWN_2MONTH" hidden="1">"c16345"</definedName>
    <definedName name="IQ_DPS_EST_DOWN_2MONTH_CIQ" hidden="1">"c16657"</definedName>
    <definedName name="IQ_DPS_EST_DOWN_3MONTH" hidden="1">"c16349"</definedName>
    <definedName name="IQ_DPS_EST_DOWN_3MONTH_CIQ" hidden="1">"c16661"</definedName>
    <definedName name="IQ_DPS_EST_DOWN_MONTH" hidden="1">"c16341"</definedName>
    <definedName name="IQ_DPS_EST_DOWN_MONTH_CIQ" hidden="1">"c16653"</definedName>
    <definedName name="IQ_DPS_EST_NOTE" hidden="1">"c17509"</definedName>
    <definedName name="IQ_DPS_EST_NOTE_CIQ" hidden="1">"c17462"</definedName>
    <definedName name="IQ_DPS_EST_NUM_ANALYSTS_2MONTH" hidden="1">"c16343"</definedName>
    <definedName name="IQ_DPS_EST_NUM_ANALYSTS_2MONTH_CIQ" hidden="1">"c16655"</definedName>
    <definedName name="IQ_DPS_EST_NUM_ANALYSTS_3MONTH" hidden="1">"c16347"</definedName>
    <definedName name="IQ_DPS_EST_NUM_ANALYSTS_3MONTH_CIQ" hidden="1">"c16659"</definedName>
    <definedName name="IQ_DPS_EST_NUM_ANALYSTS_MONTH" hidden="1">"c16339"</definedName>
    <definedName name="IQ_DPS_EST_NUM_ANALYSTS_MONTH_CIQ" hidden="1">"c16651"</definedName>
    <definedName name="IQ_DPS_EST_THOM" hidden="1">"c4013"</definedName>
    <definedName name="IQ_DPS_EST_TOTAL_REVISED_2MONTH" hidden="1">"c16346"</definedName>
    <definedName name="IQ_DPS_EST_TOTAL_REVISED_2MONTH_CIQ" hidden="1">"c16658"</definedName>
    <definedName name="IQ_DPS_EST_TOTAL_REVISED_3MONTH" hidden="1">"c16350"</definedName>
    <definedName name="IQ_DPS_EST_TOTAL_REVISED_3MONTH_CIQ" hidden="1">"c16662"</definedName>
    <definedName name="IQ_DPS_EST_TOTAL_REVISED_MONTH" hidden="1">"c16342"</definedName>
    <definedName name="IQ_DPS_EST_TOTAL_REVISED_MONTH_CIQ" hidden="1">"c16654"</definedName>
    <definedName name="IQ_DPS_EST_UP_2MONTH" hidden="1">"c16344"</definedName>
    <definedName name="IQ_DPS_EST_UP_2MONTH_CIQ" hidden="1">"c16656"</definedName>
    <definedName name="IQ_DPS_EST_UP_3MONTH" hidden="1">"c16348"</definedName>
    <definedName name="IQ_DPS_EST_UP_3MONTH_CIQ" hidden="1">"c16660"</definedName>
    <definedName name="IQ_DPS_EST_UP_MONTH" hidden="1">"c16340"</definedName>
    <definedName name="IQ_DPS_EST_UP_MONTH_CIQ" hidden="1">"c16652"</definedName>
    <definedName name="IQ_DPS_GUIDANCE" hidden="1">"c4302"</definedName>
    <definedName name="IQ_DPS_GUIDANCE_CIQ" hidden="1">"c4827"</definedName>
    <definedName name="IQ_DPS_GUIDANCE_CIQ_COL" hidden="1">"c11474"</definedName>
    <definedName name="IQ_DPS_HIGH_EST" hidden="1">"c1676"</definedName>
    <definedName name="IQ_DPS_HIGH_EST_CIQ" hidden="1">"c3684"</definedName>
    <definedName name="IQ_DPS_HIGH_EST_THOM" hidden="1">"c4015"</definedName>
    <definedName name="IQ_DPS_HIGH_GUIDANCE" hidden="1">"c4168"</definedName>
    <definedName name="IQ_DPS_HIGH_GUIDANCE_CIQ" hidden="1">"c4580"</definedName>
    <definedName name="IQ_DPS_HIGH_GUIDANCE_CIQ_COL" hidden="1">"c11229"</definedName>
    <definedName name="IQ_DPS_LOW_EST" hidden="1">"c1677"</definedName>
    <definedName name="IQ_DPS_LOW_EST_CIQ" hidden="1">"c3685"</definedName>
    <definedName name="IQ_DPS_LOW_EST_THOM" hidden="1">"c4016"</definedName>
    <definedName name="IQ_DPS_LOW_GUIDANCE" hidden="1">"c4208"</definedName>
    <definedName name="IQ_DPS_LOW_GUIDANCE_CIQ" hidden="1">"c4620"</definedName>
    <definedName name="IQ_DPS_LOW_GUIDANCE_CIQ_COL" hidden="1">"c11269"</definedName>
    <definedName name="IQ_DPS_MEDIAN_EST" hidden="1">"c1675"</definedName>
    <definedName name="IQ_DPS_MEDIAN_EST_CIQ" hidden="1">"c3683"</definedName>
    <definedName name="IQ_DPS_MEDIAN_EST_THOM" hidden="1">"c4014"</definedName>
    <definedName name="IQ_DPS_NUM_EST" hidden="1">"c1678"</definedName>
    <definedName name="IQ_DPS_NUM_EST_CIQ" hidden="1">"c3686"</definedName>
    <definedName name="IQ_DPS_NUM_EST_THOM" hidden="1">"c4017"</definedName>
    <definedName name="IQ_DPS_STDDEV_EST" hidden="1">"c1679"</definedName>
    <definedName name="IQ_DPS_STDDEV_EST_CIQ" hidden="1">"c3687"</definedName>
    <definedName name="IQ_DPS_STDDEV_EST_THOM" hidden="1">"c4018"</definedName>
    <definedName name="IQ_DURABLE_INVENTORIES" hidden="1">"c6853"</definedName>
    <definedName name="IQ_DURABLE_INVENTORIES_APR" hidden="1">"c7513"</definedName>
    <definedName name="IQ_DURABLE_INVENTORIES_APR_FC" hidden="1">"c8393"</definedName>
    <definedName name="IQ_DURABLE_INVENTORIES_FC" hidden="1">"c7733"</definedName>
    <definedName name="IQ_DURABLE_INVENTORIES_POP" hidden="1">"c7073"</definedName>
    <definedName name="IQ_DURABLE_INVENTORIES_POP_FC" hidden="1">"c7953"</definedName>
    <definedName name="IQ_DURABLE_INVENTORIES_YOY" hidden="1">"c7293"</definedName>
    <definedName name="IQ_DURABLE_INVENTORIES_YOY_FC" hidden="1">"c8173"</definedName>
    <definedName name="IQ_DURABLE_ORDERS" hidden="1">"c6854"</definedName>
    <definedName name="IQ_DURABLE_ORDERS_APR" hidden="1">"c7514"</definedName>
    <definedName name="IQ_DURABLE_ORDERS_APR_FC" hidden="1">"c8394"</definedName>
    <definedName name="IQ_DURABLE_ORDERS_FC" hidden="1">"c7734"</definedName>
    <definedName name="IQ_DURABLE_ORDERS_POP" hidden="1">"c7074"</definedName>
    <definedName name="IQ_DURABLE_ORDERS_POP_FC" hidden="1">"c7954"</definedName>
    <definedName name="IQ_DURABLE_ORDERS_YOY" hidden="1">"c7294"</definedName>
    <definedName name="IQ_DURABLE_ORDERS_YOY_FC" hidden="1">"c8174"</definedName>
    <definedName name="IQ_DURABLE_SHIPMENTS" hidden="1">"c6855"</definedName>
    <definedName name="IQ_DURABLE_SHIPMENTS_APR" hidden="1">"c7515"</definedName>
    <definedName name="IQ_DURABLE_SHIPMENTS_APR_FC" hidden="1">"c8395"</definedName>
    <definedName name="IQ_DURABLE_SHIPMENTS_FC" hidden="1">"c7735"</definedName>
    <definedName name="IQ_DURABLE_SHIPMENTS_POP" hidden="1">"c7075"</definedName>
    <definedName name="IQ_DURABLE_SHIPMENTS_POP_FC" hidden="1">"c7955"</definedName>
    <definedName name="IQ_DURABLE_SHIPMENTS_YOY" hidden="1">"c7295"</definedName>
    <definedName name="IQ_DURABLE_SHIPMENTS_YOY_FC" hidden="1">"c8175"</definedName>
    <definedName name="IQ_DURATION" hidden="1">"c2181"</definedName>
    <definedName name="IQ_EARNING_ASSET_INT_BEAR_LIABILITIES" hidden="1">"c15703"</definedName>
    <definedName name="IQ_EARNING_ASSET_YIELD" hidden="1">"c343"</definedName>
    <definedName name="IQ_EARNING_ASSETS_AVG_ASSETS_FFIEC" hidden="1">"c13354"</definedName>
    <definedName name="IQ_EARNING_ASSETS_FDIC" hidden="1">"c6360"</definedName>
    <definedName name="IQ_EARNING_ASSETS_QUARTERLY_AVG_FFIEC" hidden="1">"c13086"</definedName>
    <definedName name="IQ_EARNING_ASSETS_REPRICE_ASSETS_TOT_FFIEC" hidden="1">"c13451"</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_PARENT_EXCL_EXTRA" hidden="1">"c25791"</definedName>
    <definedName name="IQ_EARNINGS_ANNOUNCE_DATE" hidden="1">"c1649"</definedName>
    <definedName name="IQ_EARNINGS_ANNOUNCE_DATE_CIQ" hidden="1">"c4656"</definedName>
    <definedName name="IQ_EARNINGS_ANNOUNCE_DATE_REUT" hidden="1">"c5314"</definedName>
    <definedName name="IQ_EARNINGS_ANNOUNCE_DATE_THOM" hidden="1">"c5093"</definedName>
    <definedName name="IQ_EARNINGS_BEFORE_TAXES_AVG_ASSETS_THRIFT" hidden="1">"c25656"</definedName>
    <definedName name="IQ_EARNINGS_CO_FFIEC" hidden="1">"c13032"</definedName>
    <definedName name="IQ_EARNINGS_CO_THRIFT" hidden="1">"c24796"</definedName>
    <definedName name="IQ_EARNINGS_CONT_OPS_HOMEBUILDING_SALES" hidden="1">"c15817"</definedName>
    <definedName name="IQ_EARNINGS_COVERAGE_LOSSES_FFIEC" hidden="1">"c13351"</definedName>
    <definedName name="IQ_EARNINGS_COVERAGE_NET_CHARGE_OFFS_FDIC" hidden="1">"c6735"</definedName>
    <definedName name="IQ_EARNINGS_COVERAGE_NET_LOSSES_THRIFT" hidden="1">"c25641"</definedName>
    <definedName name="IQ_EARNINGS_LIFE_INSURANCE_FFIEC" hidden="1">"c13041"</definedName>
    <definedName name="IQ_EARNINGS_PERIOD_COVERED" hidden="1">"c9958"</definedName>
    <definedName name="IQ_EARNINGS_PERIOD_GROUP" hidden="1">"c9944"</definedName>
    <definedName name="IQ_EBIT" hidden="1">"c352"</definedName>
    <definedName name="IQ_EBIT_10K" hidden="1">"EBIT_10K"</definedName>
    <definedName name="IQ_EBIT_10Q" hidden="1">"EBIT_10Q"</definedName>
    <definedName name="IQ_EBIT_10Q1" hidden="1">"EBIT_10Q1"</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CIQ" hidden="1">"c5063"</definedName>
    <definedName name="IQ_EBIT_ACT_OR_EST_CIQ_COL" hidden="1">"c11710"</definedName>
    <definedName name="IQ_EBIT_ACT_OR_EST_THOM" hidden="1">"c5303"</definedName>
    <definedName name="IQ_EBIT_EQ_INC" hidden="1">"c3498"</definedName>
    <definedName name="IQ_EBIT_EQ_INC_EXCL_SBC" hidden="1">"c3502"</definedName>
    <definedName name="IQ_EBIT_EST" hidden="1">"c1681"</definedName>
    <definedName name="IQ_EBIT_EST_CIQ" hidden="1">"c4674"</definedName>
    <definedName name="IQ_EBIT_EST_DOWN_2MONTH" hidden="1">"c16357"</definedName>
    <definedName name="IQ_EBIT_EST_DOWN_2MONTH_CIQ" hidden="1">"c16669"</definedName>
    <definedName name="IQ_EBIT_EST_DOWN_3MONTH" hidden="1">"c16361"</definedName>
    <definedName name="IQ_EBIT_EST_DOWN_3MONTH_CIQ" hidden="1">"c16673"</definedName>
    <definedName name="IQ_EBIT_EST_DOWN_MONTH" hidden="1">"c16353"</definedName>
    <definedName name="IQ_EBIT_EST_DOWN_MONTH_CIQ" hidden="1">"c16665"</definedName>
    <definedName name="IQ_EBIT_EST_NOTE" hidden="1">"c17510"</definedName>
    <definedName name="IQ_EBIT_EST_NOTE_CIQ" hidden="1">"c17463"</definedName>
    <definedName name="IQ_EBIT_EST_NUM_ANALYSTS_2MONTH" hidden="1">"c16355"</definedName>
    <definedName name="IQ_EBIT_EST_NUM_ANALYSTS_2MONTH_CIQ" hidden="1">"c16667"</definedName>
    <definedName name="IQ_EBIT_EST_NUM_ANALYSTS_3MONTH" hidden="1">"c16359"</definedName>
    <definedName name="IQ_EBIT_EST_NUM_ANALYSTS_3MONTH_CIQ" hidden="1">"c16671"</definedName>
    <definedName name="IQ_EBIT_EST_NUM_ANALYSTS_MONTH" hidden="1">"c16351"</definedName>
    <definedName name="IQ_EBIT_EST_NUM_ANALYSTS_MONTH_CIQ" hidden="1">"c16663"</definedName>
    <definedName name="IQ_EBIT_EST_THOM" hidden="1">"c5105"</definedName>
    <definedName name="IQ_EBIT_EST_TOTAL_REVISED_2MONTH" hidden="1">"c16358"</definedName>
    <definedName name="IQ_EBIT_EST_TOTAL_REVISED_2MONTH_CIQ" hidden="1">"c16670"</definedName>
    <definedName name="IQ_EBIT_EST_TOTAL_REVISED_3MONTH" hidden="1">"c16362"</definedName>
    <definedName name="IQ_EBIT_EST_TOTAL_REVISED_3MONTH_CIQ" hidden="1">"c16674"</definedName>
    <definedName name="IQ_EBIT_EST_TOTAL_REVISED_MONTH" hidden="1">"c16354"</definedName>
    <definedName name="IQ_EBIT_EST_TOTAL_REVISED_MONTH_CIQ" hidden="1">"c16666"</definedName>
    <definedName name="IQ_EBIT_EST_UP_2MONTH" hidden="1">"c16356"</definedName>
    <definedName name="IQ_EBIT_EST_UP_2MONTH_CIQ" hidden="1">"c16668"</definedName>
    <definedName name="IQ_EBIT_EST_UP_3MONTH" hidden="1">"c16360"</definedName>
    <definedName name="IQ_EBIT_EST_UP_3MONTH_CIQ" hidden="1">"c16672"</definedName>
    <definedName name="IQ_EBIT_EST_UP_MONTH" hidden="1">"c16352"</definedName>
    <definedName name="IQ_EBIT_EST_UP_MONTH_CIQ" hidden="1">"c16664"</definedName>
    <definedName name="IQ_EBIT_EXCL_SBC" hidden="1">"c3082"</definedName>
    <definedName name="IQ_EBIT_GROWTH_1" hidden="1">"IQ_EBIT_GROWTH_1"</definedName>
    <definedName name="IQ_EBIT_GROWTH_2" hidden="1">"IQ_EBIT_GROWTH_2"</definedName>
    <definedName name="IQ_EBIT_GUIDANCE" hidden="1">"c4303"</definedName>
    <definedName name="IQ_EBIT_GUIDANCE_CIQ" hidden="1">"c4828"</definedName>
    <definedName name="IQ_EBIT_GUIDANCE_CIQ_COL" hidden="1">"c11475"</definedName>
    <definedName name="IQ_EBIT_GW_ACT_OR_EST" hidden="1">"c4306"</definedName>
    <definedName name="IQ_EBIT_GW_ACT_OR_EST_CIQ" hidden="1">"c4831"</definedName>
    <definedName name="IQ_EBIT_GW_ACT_OR_EST_CIQ_COL" hidden="1">"c11478"</definedName>
    <definedName name="IQ_EBIT_GW_EST" hidden="1">"c4305"</definedName>
    <definedName name="IQ_EBIT_GW_EST_CIQ" hidden="1">"c4830"</definedName>
    <definedName name="IQ_EBIT_GW_GUIDANCE" hidden="1">"c4307"</definedName>
    <definedName name="IQ_EBIT_GW_GUIDANCE_CIQ" hidden="1">"c4832"</definedName>
    <definedName name="IQ_EBIT_GW_GUIDANCE_CIQ_COL" hidden="1">"c11479"</definedName>
    <definedName name="IQ_EBIT_GW_HIGH_EST" hidden="1">"c4308"</definedName>
    <definedName name="IQ_EBIT_GW_HIGH_EST_CIQ" hidden="1">"c4833"</definedName>
    <definedName name="IQ_EBIT_GW_HIGH_GUIDANCE" hidden="1">"c4171"</definedName>
    <definedName name="IQ_EBIT_GW_HIGH_GUIDANCE_CIQ" hidden="1">"c4583"</definedName>
    <definedName name="IQ_EBIT_GW_HIGH_GUIDANCE_CIQ_COL" hidden="1">"c11232"</definedName>
    <definedName name="IQ_EBIT_GW_LOW_EST" hidden="1">"c4309"</definedName>
    <definedName name="IQ_EBIT_GW_LOW_EST_CIQ" hidden="1">"c4834"</definedName>
    <definedName name="IQ_EBIT_GW_LOW_GUIDANCE" hidden="1">"c4211"</definedName>
    <definedName name="IQ_EBIT_GW_LOW_GUIDANCE_CIQ" hidden="1">"c4623"</definedName>
    <definedName name="IQ_EBIT_GW_LOW_GUIDANCE_CIQ_COL" hidden="1">"c11272"</definedName>
    <definedName name="IQ_EBIT_GW_MEDIAN_EST" hidden="1">"c4310"</definedName>
    <definedName name="IQ_EBIT_GW_MEDIAN_EST_CIQ" hidden="1">"c4835"</definedName>
    <definedName name="IQ_EBIT_GW_NUM_EST" hidden="1">"c4311"</definedName>
    <definedName name="IQ_EBIT_GW_NUM_EST_CIQ" hidden="1">"c4836"</definedName>
    <definedName name="IQ_EBIT_GW_STDDEV_EST" hidden="1">"c4312"</definedName>
    <definedName name="IQ_EBIT_GW_STDDEV_EST_CIQ" hidden="1">"c4837"</definedName>
    <definedName name="IQ_EBIT_HIGH_EST" hidden="1">"c1683"</definedName>
    <definedName name="IQ_EBIT_HIGH_EST_CIQ" hidden="1">"c4676"</definedName>
    <definedName name="IQ_EBIT_HIGH_EST_THOM" hidden="1">"c5107"</definedName>
    <definedName name="IQ_EBIT_HIGH_GUIDANCE" hidden="1">"c4172"</definedName>
    <definedName name="IQ_EBIT_HIGH_GUIDANCE_CIQ" hidden="1">"c4584"</definedName>
    <definedName name="IQ_EBIT_HIGH_GUIDANCE_CIQ_COL" hidden="1">"c11233"</definedName>
    <definedName name="IQ_EBIT_HOMEBUILDING_SALES" hidden="1">"c15815"</definedName>
    <definedName name="IQ_EBIT_INT" hidden="1">"c360"</definedName>
    <definedName name="IQ_EBIT_LOW_EST" hidden="1">"c1684"</definedName>
    <definedName name="IQ_EBIT_LOW_EST_CIQ" hidden="1">"c4677"</definedName>
    <definedName name="IQ_EBIT_LOW_EST_THOM" hidden="1">"c5108"</definedName>
    <definedName name="IQ_EBIT_LOW_GUIDANCE" hidden="1">"c4212"</definedName>
    <definedName name="IQ_EBIT_LOW_GUIDANCE_CIQ" hidden="1">"c4624"</definedName>
    <definedName name="IQ_EBIT_LOW_GUIDANCE_CIQ_COL" hidden="1">"c11273"</definedName>
    <definedName name="IQ_EBIT_MARGIN" hidden="1">"c359"</definedName>
    <definedName name="IQ_EBIT_MEDIAN_EST" hidden="1">"c1682"</definedName>
    <definedName name="IQ_EBIT_MEDIAN_EST_CIQ" hidden="1">"c4675"</definedName>
    <definedName name="IQ_EBIT_MEDIAN_EST_THOM" hidden="1">"c5106"</definedName>
    <definedName name="IQ_EBIT_NUM_EST" hidden="1">"c1685"</definedName>
    <definedName name="IQ_EBIT_NUM_EST_CIQ" hidden="1">"c4678"</definedName>
    <definedName name="IQ_EBIT_NUM_EST_THOM" hidden="1">"c5109"</definedName>
    <definedName name="IQ_EBIT_OVER_IE" hidden="1">"c360"</definedName>
    <definedName name="IQ_EBIT_SBC_ACT_OR_EST" hidden="1">"c4316"</definedName>
    <definedName name="IQ_EBIT_SBC_ACT_OR_EST_CIQ" hidden="1">"c4841"</definedName>
    <definedName name="IQ_EBIT_SBC_ACT_OR_EST_CIQ_COL" hidden="1">"c11488"</definedName>
    <definedName name="IQ_EBIT_SBC_EST" hidden="1">"c4315"</definedName>
    <definedName name="IQ_EBIT_SBC_EST_CIQ" hidden="1">"c4840"</definedName>
    <definedName name="IQ_EBIT_SBC_GUIDANCE" hidden="1">"c4317"</definedName>
    <definedName name="IQ_EBIT_SBC_GUIDANCE_CIQ" hidden="1">"c4842"</definedName>
    <definedName name="IQ_EBIT_SBC_GUIDANCE_CIQ_COL" hidden="1">"c11489"</definedName>
    <definedName name="IQ_EBIT_SBC_GW_ACT_OR_EST" hidden="1">"c4320"</definedName>
    <definedName name="IQ_EBIT_SBC_GW_ACT_OR_EST_CIQ" hidden="1">"c4845"</definedName>
    <definedName name="IQ_EBIT_SBC_GW_ACT_OR_EST_CIQ_COL" hidden="1">"c11492"</definedName>
    <definedName name="IQ_EBIT_SBC_GW_EST" hidden="1">"c4319"</definedName>
    <definedName name="IQ_EBIT_SBC_GW_EST_CIQ" hidden="1">"c4844"</definedName>
    <definedName name="IQ_EBIT_SBC_GW_GUIDANCE" hidden="1">"c4321"</definedName>
    <definedName name="IQ_EBIT_SBC_GW_GUIDANCE_CIQ" hidden="1">"c4846"</definedName>
    <definedName name="IQ_EBIT_SBC_GW_GUIDANCE_CIQ_COL" hidden="1">"c11493"</definedName>
    <definedName name="IQ_EBIT_SBC_GW_HIGH_EST" hidden="1">"c4322"</definedName>
    <definedName name="IQ_EBIT_SBC_GW_HIGH_EST_CIQ" hidden="1">"c4847"</definedName>
    <definedName name="IQ_EBIT_SBC_GW_HIGH_GUIDANCE" hidden="1">"c4193"</definedName>
    <definedName name="IQ_EBIT_SBC_GW_HIGH_GUIDANCE_CIQ" hidden="1">"c4605"</definedName>
    <definedName name="IQ_EBIT_SBC_GW_HIGH_GUIDANCE_CIQ_COL" hidden="1">"c11254"</definedName>
    <definedName name="IQ_EBIT_SBC_GW_LOW_EST" hidden="1">"c4323"</definedName>
    <definedName name="IQ_EBIT_SBC_GW_LOW_EST_CIQ" hidden="1">"c4848"</definedName>
    <definedName name="IQ_EBIT_SBC_GW_LOW_GUIDANCE" hidden="1">"c4233"</definedName>
    <definedName name="IQ_EBIT_SBC_GW_LOW_GUIDANCE_CIQ" hidden="1">"c4645"</definedName>
    <definedName name="IQ_EBIT_SBC_GW_LOW_GUIDANCE_CIQ_COL" hidden="1">"c11294"</definedName>
    <definedName name="IQ_EBIT_SBC_GW_MEDIAN_EST" hidden="1">"c4324"</definedName>
    <definedName name="IQ_EBIT_SBC_GW_MEDIAN_EST_CIQ" hidden="1">"c4849"</definedName>
    <definedName name="IQ_EBIT_SBC_GW_NUM_EST" hidden="1">"c4325"</definedName>
    <definedName name="IQ_EBIT_SBC_GW_NUM_EST_CIQ" hidden="1">"c4850"</definedName>
    <definedName name="IQ_EBIT_SBC_GW_STDDEV_EST" hidden="1">"c4326"</definedName>
    <definedName name="IQ_EBIT_SBC_GW_STDDEV_EST_CIQ" hidden="1">"c4851"</definedName>
    <definedName name="IQ_EBIT_SBC_HIGH_EST" hidden="1">"c4328"</definedName>
    <definedName name="IQ_EBIT_SBC_HIGH_EST_CIQ" hidden="1">"c4853"</definedName>
    <definedName name="IQ_EBIT_SBC_HIGH_GUIDANCE" hidden="1">"c4192"</definedName>
    <definedName name="IQ_EBIT_SBC_HIGH_GUIDANCE_CIQ" hidden="1">"c4604"</definedName>
    <definedName name="IQ_EBIT_SBC_HIGH_GUIDANCE_CIQ_COL" hidden="1">"c11253"</definedName>
    <definedName name="IQ_EBIT_SBC_LOW_EST" hidden="1">"c4329"</definedName>
    <definedName name="IQ_EBIT_SBC_LOW_EST_CIQ" hidden="1">"c4854"</definedName>
    <definedName name="IQ_EBIT_SBC_LOW_GUIDANCE" hidden="1">"c4232"</definedName>
    <definedName name="IQ_EBIT_SBC_LOW_GUIDANCE_CIQ" hidden="1">"c4644"</definedName>
    <definedName name="IQ_EBIT_SBC_LOW_GUIDANCE_CIQ_COL" hidden="1">"c11293"</definedName>
    <definedName name="IQ_EBIT_SBC_MEDIAN_EST" hidden="1">"c4330"</definedName>
    <definedName name="IQ_EBIT_SBC_MEDIAN_EST_CIQ" hidden="1">"c4855"</definedName>
    <definedName name="IQ_EBIT_SBC_NUM_EST" hidden="1">"c4331"</definedName>
    <definedName name="IQ_EBIT_SBC_NUM_EST_CIQ" hidden="1">"c4856"</definedName>
    <definedName name="IQ_EBIT_SBC_STDDEV_EST" hidden="1">"c4332"</definedName>
    <definedName name="IQ_EBIT_SBC_STDDEV_EST_CIQ" hidden="1">"c4857"</definedName>
    <definedName name="IQ_EBIT_STDDEV_EST" hidden="1">"c1686"</definedName>
    <definedName name="IQ_EBIT_STDDEV_EST_CIQ" hidden="1">"c4679"</definedName>
    <definedName name="IQ_EBIT_STDDEV_EST_THOM" hidden="1">"c5110"</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"EBITDA_10K"</definedName>
    <definedName name="IQ_EBITDA_10Q" hidden="1">"EBITDA_10Q"</definedName>
    <definedName name="IQ_EBITDA_10Q1" hidden="1">"EBITDA_10Q1"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CIQ" hidden="1">"c5060"</definedName>
    <definedName name="IQ_EBITDA_ACT_OR_EST_CIQ_COL" hidden="1">"c11707"</definedName>
    <definedName name="IQ_EBITDA_ACT_OR_EST_THOM" hidden="1">"c5300"</definedName>
    <definedName name="IQ_EBITDA_CAPEX" hidden="1">"c19143"</definedName>
    <definedName name="IQ_EBITDA_CAPEX_INT" hidden="1">"c368"</definedName>
    <definedName name="IQ_EBITDA_CAPEX_OVER_TOTAL_IE" hidden="1">"c368"</definedName>
    <definedName name="IQ_EBITDA_DET_EST_REUT_CURRENCY_CURRENCY_REUT" hidden="1">"c12529"</definedName>
    <definedName name="IQ_EBITDA_EQ_INC" hidden="1">"c3496"</definedName>
    <definedName name="IQ_EBITDA_EQ_INC_EXCL_SBC" hidden="1">"c3500"</definedName>
    <definedName name="IQ_EBITDA_EST" hidden="1">"c369"</definedName>
    <definedName name="IQ_EBITDA_EST_CIQ" hidden="1">"c3622"</definedName>
    <definedName name="IQ_EBITDA_EST_DOWN_2MONTH" hidden="1">"c16297"</definedName>
    <definedName name="IQ_EBITDA_EST_DOWN_2MONTH_CIQ" hidden="1">"c16621"</definedName>
    <definedName name="IQ_EBITDA_EST_DOWN_3MONTH" hidden="1">"c16301"</definedName>
    <definedName name="IQ_EBITDA_EST_DOWN_3MONTH_CIQ" hidden="1">"c16625"</definedName>
    <definedName name="IQ_EBITDA_EST_DOWN_MONTH" hidden="1">"c16293"</definedName>
    <definedName name="IQ_EBITDA_EST_DOWN_MONTH_CIQ" hidden="1">"c16617"</definedName>
    <definedName name="IQ_EBITDA_EST_NOTE" hidden="1">"c17503"</definedName>
    <definedName name="IQ_EBITDA_EST_NOTE_CIQ" hidden="1">"c17456"</definedName>
    <definedName name="IQ_EBITDA_EST_NUM_ANALYSTS_2MONTH" hidden="1">"c16295"</definedName>
    <definedName name="IQ_EBITDA_EST_NUM_ANALYSTS_2MONTH_CIQ" hidden="1">"c16619"</definedName>
    <definedName name="IQ_EBITDA_EST_NUM_ANALYSTS_3MONTH" hidden="1">"c16299"</definedName>
    <definedName name="IQ_EBITDA_EST_NUM_ANALYSTS_3MONTH_CIQ" hidden="1">"c16623"</definedName>
    <definedName name="IQ_EBITDA_EST_NUM_ANALYSTS_MONTH" hidden="1">"c16291"</definedName>
    <definedName name="IQ_EBITDA_EST_NUM_ANALYSTS_MONTH_CIQ" hidden="1">"c16615"</definedName>
    <definedName name="IQ_EBITDA_EST_REUT" hidden="1">"c3640"</definedName>
    <definedName name="IQ_EBITDA_EST_THOM" hidden="1">"c3658"</definedName>
    <definedName name="IQ_EBITDA_EST_TOTAL_REVISED_2MONTH" hidden="1">"c16298"</definedName>
    <definedName name="IQ_EBITDA_EST_TOTAL_REVISED_2MONTH_CIQ" hidden="1">"c16622"</definedName>
    <definedName name="IQ_EBITDA_EST_TOTAL_REVISED_3MONTH" hidden="1">"c16302"</definedName>
    <definedName name="IQ_EBITDA_EST_TOTAL_REVISED_3MONTH_CIQ" hidden="1">"c16626"</definedName>
    <definedName name="IQ_EBITDA_EST_TOTAL_REVISED_MONTH" hidden="1">"c16294"</definedName>
    <definedName name="IQ_EBITDA_EST_TOTAL_REVISED_MONTH_CIQ" hidden="1">"c16618"</definedName>
    <definedName name="IQ_EBITDA_EST_UP_2MONTH" hidden="1">"c16296"</definedName>
    <definedName name="IQ_EBITDA_EST_UP_2MONTH_CIQ" hidden="1">"c16620"</definedName>
    <definedName name="IQ_EBITDA_EST_UP_3MONTH" hidden="1">"c16300"</definedName>
    <definedName name="IQ_EBITDA_EST_UP_3MONTH_CIQ" hidden="1">"c16624"</definedName>
    <definedName name="IQ_EBITDA_EST_UP_MONTH" hidden="1">"c16292"</definedName>
    <definedName name="IQ_EBITDA_EST_UP_MONTH_CIQ" hidden="1">"c16616"</definedName>
    <definedName name="IQ_EBITDA_EXCL_SBC" hidden="1">"c3081"</definedName>
    <definedName name="IQ_EBITDA_GROWTH_1" hidden="1">"IQ_EBITDA_GROWTH_1"</definedName>
    <definedName name="IQ_EBITDA_GROWTH_2" hidden="1">"IQ_EBITDA_GROWTH_2"</definedName>
    <definedName name="IQ_EBITDA_GUIDANCE" hidden="1">"c4334"</definedName>
    <definedName name="IQ_EBITDA_GUIDANCE_CIQ" hidden="1">"c4859"</definedName>
    <definedName name="IQ_EBITDA_GUIDANCE_CIQ_COL" hidden="1">"c11506"</definedName>
    <definedName name="IQ_EBITDA_HIGH_EST" hidden="1">"c370"</definedName>
    <definedName name="IQ_EBITDA_HIGH_EST_CIQ" hidden="1">"c3624"</definedName>
    <definedName name="IQ_EBITDA_HIGH_EST_REUT" hidden="1">"c3642"</definedName>
    <definedName name="IQ_EBITDA_HIGH_EST_THOM" hidden="1">"c3660"</definedName>
    <definedName name="IQ_EBITDA_HIGH_GUIDANCE" hidden="1">"c4170"</definedName>
    <definedName name="IQ_EBITDA_HIGH_GUIDANCE_CIQ" hidden="1">"c4582"</definedName>
    <definedName name="IQ_EBITDA_HIGH_GUIDANCE_CIQ_COL" hidden="1">"c11231"</definedName>
    <definedName name="IQ_EBITDA_HOMEBUILDING_SALES" hidden="1">"c15814"</definedName>
    <definedName name="IQ_EBITDA_INT" hidden="1">"c373"</definedName>
    <definedName name="IQ_EBITDA_LOW_EST" hidden="1">"c371"</definedName>
    <definedName name="IQ_EBITDA_LOW_EST_CIQ" hidden="1">"c3625"</definedName>
    <definedName name="IQ_EBITDA_LOW_EST_REUT" hidden="1">"c3643"</definedName>
    <definedName name="IQ_EBITDA_LOW_EST_THOM" hidden="1">"c3661"</definedName>
    <definedName name="IQ_EBITDA_LOW_GUIDANCE" hidden="1">"c4210"</definedName>
    <definedName name="IQ_EBITDA_LOW_GUIDANCE_CIQ" hidden="1">"c4622"</definedName>
    <definedName name="IQ_EBITDA_LOW_GUIDANCE_CIQ_COL" hidden="1">"c11271"</definedName>
    <definedName name="IQ_EBITDA_MARGIN" hidden="1">"c372"</definedName>
    <definedName name="IQ_EBITDA_MEDIAN_EST" hidden="1">"c1663"</definedName>
    <definedName name="IQ_EBITDA_MEDIAN_EST_CIQ" hidden="1">"c3623"</definedName>
    <definedName name="IQ_EBITDA_MEDIAN_EST_REUT" hidden="1">"c3641"</definedName>
    <definedName name="IQ_EBITDA_MEDIAN_EST_THOM" hidden="1">"c3659"</definedName>
    <definedName name="IQ_EBITDA_NUM_EST" hidden="1">"c374"</definedName>
    <definedName name="IQ_EBITDA_NUM_EST_CIQ" hidden="1">"c3626"</definedName>
    <definedName name="IQ_EBITDA_NUM_EST_REUT" hidden="1">"c3644"</definedName>
    <definedName name="IQ_EBITDA_NUM_EST_THOM" hidden="1">"c3662"</definedName>
    <definedName name="IQ_EBITDA_OVER_TOTAL_IE" hidden="1">"c373"</definedName>
    <definedName name="IQ_EBITDA_SBC_ACT_OR_EST" hidden="1">"c4337"</definedName>
    <definedName name="IQ_EBITDA_SBC_ACT_OR_EST_CIQ" hidden="1">"c4862"</definedName>
    <definedName name="IQ_EBITDA_SBC_ACT_OR_EST_CIQ_COL" hidden="1">"c11509"</definedName>
    <definedName name="IQ_EBITDA_SBC_EST" hidden="1">"c4336"</definedName>
    <definedName name="IQ_EBITDA_SBC_EST_CIQ" hidden="1">"c4861"</definedName>
    <definedName name="IQ_EBITDA_SBC_GUIDANCE" hidden="1">"c4338"</definedName>
    <definedName name="IQ_EBITDA_SBC_GUIDANCE_CIQ" hidden="1">"c4863"</definedName>
    <definedName name="IQ_EBITDA_SBC_GUIDANCE_CIQ_COL" hidden="1">"c11510"</definedName>
    <definedName name="IQ_EBITDA_SBC_HIGH_EST" hidden="1">"c4339"</definedName>
    <definedName name="IQ_EBITDA_SBC_HIGH_EST_CIQ" hidden="1">"c4864"</definedName>
    <definedName name="IQ_EBITDA_SBC_HIGH_GUIDANCE" hidden="1">"c4194"</definedName>
    <definedName name="IQ_EBITDA_SBC_HIGH_GUIDANCE_CIQ" hidden="1">"c4606"</definedName>
    <definedName name="IQ_EBITDA_SBC_HIGH_GUIDANCE_CIQ_COL" hidden="1">"c11255"</definedName>
    <definedName name="IQ_EBITDA_SBC_LOW_EST" hidden="1">"c4340"</definedName>
    <definedName name="IQ_EBITDA_SBC_LOW_EST_CIQ" hidden="1">"c4865"</definedName>
    <definedName name="IQ_EBITDA_SBC_LOW_GUIDANCE" hidden="1">"c4234"</definedName>
    <definedName name="IQ_EBITDA_SBC_LOW_GUIDANCE_CIQ" hidden="1">"c4646"</definedName>
    <definedName name="IQ_EBITDA_SBC_LOW_GUIDANCE_CIQ_COL" hidden="1">"c11295"</definedName>
    <definedName name="IQ_EBITDA_SBC_MEDIAN_EST" hidden="1">"c4341"</definedName>
    <definedName name="IQ_EBITDA_SBC_MEDIAN_EST_CIQ" hidden="1">"c4866"</definedName>
    <definedName name="IQ_EBITDA_SBC_NUM_EST" hidden="1">"c4342"</definedName>
    <definedName name="IQ_EBITDA_SBC_NUM_EST_CIQ" hidden="1">"c4867"</definedName>
    <definedName name="IQ_EBITDA_SBC_STDDEV_EST" hidden="1">"c4343"</definedName>
    <definedName name="IQ_EBITDA_SBC_STDDEV_EST_CIQ" hidden="1">"c4868"</definedName>
    <definedName name="IQ_EBITDA_STDDEV_EST" hidden="1">"c375"</definedName>
    <definedName name="IQ_EBITDA_STDDEV_EST_CIQ" hidden="1">"c3627"</definedName>
    <definedName name="IQ_EBITDA_STDDEV_EST_REUT" hidden="1">"c3645"</definedName>
    <definedName name="IQ_EBITDA_STDDEV_EST_THOM" hidden="1">"c3663"</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CM" hidden="1">"c378"</definedName>
    <definedName name="IQ_EBT_EXCL" hidden="1">"c379"</definedName>
    <definedName name="IQ_EBT_EXCL_BNK" hidden="1">"c380"</definedName>
    <definedName name="IQ_EBT_EXCL_BR" hidden="1">"c381"</definedName>
    <definedName name="IQ_EBT_EXCL_CM"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FIEC" hidden="1">"c13029"</definedName>
    <definedName name="IQ_EBT_FIN" hidden="1">"c386"</definedName>
    <definedName name="IQ_EBT_FTE_FFIEC" hidden="1">"c13037"</definedName>
    <definedName name="IQ_EBT_GAAP_GUIDANCE" hidden="1">"c4345"</definedName>
    <definedName name="IQ_EBT_GAAP_GUIDANCE_CIQ" hidden="1">"c4870"</definedName>
    <definedName name="IQ_EBT_GAAP_GUIDANCE_CIQ_COL" hidden="1">"c11517"</definedName>
    <definedName name="IQ_EBT_GAAP_HIGH_GUIDANCE" hidden="1">"c4174"</definedName>
    <definedName name="IQ_EBT_GAAP_HIGH_GUIDANCE_CIQ" hidden="1">"c4586"</definedName>
    <definedName name="IQ_EBT_GAAP_HIGH_GUIDANCE_CIQ_COL" hidden="1">"c11235"</definedName>
    <definedName name="IQ_EBT_GAAP_LOW_GUIDANCE" hidden="1">"c4214"</definedName>
    <definedName name="IQ_EBT_GAAP_LOW_GUIDANCE_CIQ" hidden="1">"c4626"</definedName>
    <definedName name="IQ_EBT_GAAP_LOW_GUIDANCE_CIQ_COL" hidden="1">"c11275"</definedName>
    <definedName name="IQ_EBT_GUIDANCE" hidden="1">"c4346"</definedName>
    <definedName name="IQ_EBT_GUIDANCE_CIQ" hidden="1">"c4871"</definedName>
    <definedName name="IQ_EBT_GUIDANCE_CIQ_COL" hidden="1">"c11518"</definedName>
    <definedName name="IQ_EBT_GW_GUIDANCE" hidden="1">"c4347"</definedName>
    <definedName name="IQ_EBT_GW_GUIDANCE_CIQ" hidden="1">"c4872"</definedName>
    <definedName name="IQ_EBT_GW_GUIDANCE_CIQ_COL" hidden="1">"c11519"</definedName>
    <definedName name="IQ_EBT_GW_HIGH_GUIDANCE" hidden="1">"c4175"</definedName>
    <definedName name="IQ_EBT_GW_HIGH_GUIDANCE_CIQ" hidden="1">"c4587"</definedName>
    <definedName name="IQ_EBT_GW_HIGH_GUIDANCE_CIQ_COL" hidden="1">"c11236"</definedName>
    <definedName name="IQ_EBT_GW_LOW_GUIDANCE" hidden="1">"c4215"</definedName>
    <definedName name="IQ_EBT_GW_LOW_GUIDANCE_CIQ" hidden="1">"c4627"</definedName>
    <definedName name="IQ_EBT_GW_LOW_GUIDANCE_CIQ_COL" hidden="1">"c11276"</definedName>
    <definedName name="IQ_EBT_HIGH_GUIDANCE" hidden="1">"c4173"</definedName>
    <definedName name="IQ_EBT_HIGH_GUIDANCE_CIQ" hidden="1">"c4585"</definedName>
    <definedName name="IQ_EBT_HIGH_GUIDANCE_CIQ_COL" hidden="1">"c11234"</definedName>
    <definedName name="IQ_EBT_HOMEBUILDING_SALES" hidden="1">"c15816"</definedName>
    <definedName name="IQ_EBT_INCL_MARGIN" hidden="1">"c387"</definedName>
    <definedName name="IQ_EBT_INS" hidden="1">"c388"</definedName>
    <definedName name="IQ_EBT_LOW_GUIDANCE" hidden="1">"c4213"</definedName>
    <definedName name="IQ_EBT_LOW_GUIDANCE_CIQ" hidden="1">"c4625"</definedName>
    <definedName name="IQ_EBT_LOW_GUIDANCE_CIQ_COL" hidden="1">"c11274"</definedName>
    <definedName name="IQ_EBT_RE" hidden="1">"c6215"</definedName>
    <definedName name="IQ_EBT_REIT" hidden="1">"c389"</definedName>
    <definedName name="IQ_EBT_SBC_ACT_OR_EST" hidden="1">"c4350"</definedName>
    <definedName name="IQ_EBT_SBC_ACT_OR_EST_CIQ" hidden="1">"c4875"</definedName>
    <definedName name="IQ_EBT_SBC_ACT_OR_EST_CIQ_COL" hidden="1">"c11522"</definedName>
    <definedName name="IQ_EBT_SBC_EST" hidden="1">"c4349"</definedName>
    <definedName name="IQ_EBT_SBC_EST_CIQ" hidden="1">"c4874"</definedName>
    <definedName name="IQ_EBT_SBC_GUIDANCE" hidden="1">"c4351"</definedName>
    <definedName name="IQ_EBT_SBC_GUIDANCE_CIQ" hidden="1">"c4876"</definedName>
    <definedName name="IQ_EBT_SBC_GUIDANCE_CIQ_COL" hidden="1">"c11523"</definedName>
    <definedName name="IQ_EBT_SBC_GW_ACT_OR_EST" hidden="1">"c4354"</definedName>
    <definedName name="IQ_EBT_SBC_GW_ACT_OR_EST_CIQ" hidden="1">"c4879"</definedName>
    <definedName name="IQ_EBT_SBC_GW_ACT_OR_EST_CIQ_COL" hidden="1">"c11526"</definedName>
    <definedName name="IQ_EBT_SBC_GW_EST" hidden="1">"c4353"</definedName>
    <definedName name="IQ_EBT_SBC_GW_EST_CIQ" hidden="1">"c4878"</definedName>
    <definedName name="IQ_EBT_SBC_GW_GUIDANCE" hidden="1">"c4355"</definedName>
    <definedName name="IQ_EBT_SBC_GW_GUIDANCE_CIQ" hidden="1">"c4880"</definedName>
    <definedName name="IQ_EBT_SBC_GW_GUIDANCE_CIQ_COL" hidden="1">"c11527"</definedName>
    <definedName name="IQ_EBT_SBC_GW_HIGH_EST" hidden="1">"c4356"</definedName>
    <definedName name="IQ_EBT_SBC_GW_HIGH_EST_CIQ" hidden="1">"c4881"</definedName>
    <definedName name="IQ_EBT_SBC_GW_HIGH_GUIDANCE" hidden="1">"c4191"</definedName>
    <definedName name="IQ_EBT_SBC_GW_HIGH_GUIDANCE_CIQ" hidden="1">"c4603"</definedName>
    <definedName name="IQ_EBT_SBC_GW_HIGH_GUIDANCE_CIQ_COL" hidden="1">"c11252"</definedName>
    <definedName name="IQ_EBT_SBC_GW_LOW_EST" hidden="1">"c4357"</definedName>
    <definedName name="IQ_EBT_SBC_GW_LOW_EST_CIQ" hidden="1">"c4882"</definedName>
    <definedName name="IQ_EBT_SBC_GW_LOW_GUIDANCE" hidden="1">"c4231"</definedName>
    <definedName name="IQ_EBT_SBC_GW_LOW_GUIDANCE_CIQ" hidden="1">"c4643"</definedName>
    <definedName name="IQ_EBT_SBC_GW_LOW_GUIDANCE_CIQ_COL" hidden="1">"c11292"</definedName>
    <definedName name="IQ_EBT_SBC_GW_MEDIAN_EST" hidden="1">"c4358"</definedName>
    <definedName name="IQ_EBT_SBC_GW_MEDIAN_EST_CIQ" hidden="1">"c4883"</definedName>
    <definedName name="IQ_EBT_SBC_GW_NUM_EST" hidden="1">"c4359"</definedName>
    <definedName name="IQ_EBT_SBC_GW_NUM_EST_CIQ" hidden="1">"c4884"</definedName>
    <definedName name="IQ_EBT_SBC_GW_STDDEV_EST" hidden="1">"c4360"</definedName>
    <definedName name="IQ_EBT_SBC_GW_STDDEV_EST_CIQ" hidden="1">"c4885"</definedName>
    <definedName name="IQ_EBT_SBC_HIGH_EST" hidden="1">"c4362"</definedName>
    <definedName name="IQ_EBT_SBC_HIGH_EST_CIQ" hidden="1">"c4887"</definedName>
    <definedName name="IQ_EBT_SBC_HIGH_GUIDANCE" hidden="1">"c4190"</definedName>
    <definedName name="IQ_EBT_SBC_HIGH_GUIDANCE_CIQ" hidden="1">"c4602"</definedName>
    <definedName name="IQ_EBT_SBC_HIGH_GUIDANCE_CIQ_COL" hidden="1">"c11251"</definedName>
    <definedName name="IQ_EBT_SBC_LOW_EST" hidden="1">"c4363"</definedName>
    <definedName name="IQ_EBT_SBC_LOW_EST_CIQ" hidden="1">"c4888"</definedName>
    <definedName name="IQ_EBT_SBC_LOW_GUIDANCE" hidden="1">"c4230"</definedName>
    <definedName name="IQ_EBT_SBC_LOW_GUIDANCE_CIQ" hidden="1">"c4642"</definedName>
    <definedName name="IQ_EBT_SBC_LOW_GUIDANCE_CIQ_COL" hidden="1">"c11291"</definedName>
    <definedName name="IQ_EBT_SBC_MEDIAN_EST" hidden="1">"c4364"</definedName>
    <definedName name="IQ_EBT_SBC_MEDIAN_EST_CIQ" hidden="1">"c4889"</definedName>
    <definedName name="IQ_EBT_SBC_NUM_EST" hidden="1">"c4365"</definedName>
    <definedName name="IQ_EBT_SBC_NUM_EST_CIQ" hidden="1">"c4890"</definedName>
    <definedName name="IQ_EBT_SBC_STDDEV_EST" hidden="1">"c4366"</definedName>
    <definedName name="IQ_EBT_SBC_STDDEV_EST_CIQ" hidden="1">"c4891"</definedName>
    <definedName name="IQ_EBT_SUBTOTAL_AP" hidden="1">"c8982"</definedName>
    <definedName name="IQ_EBT_THRIFT" hidden="1">"c24794"</definedName>
    <definedName name="IQ_EBT_UTI" hidden="1">"c390"</definedName>
    <definedName name="IQ_ECO_METRIC_6825_UNUSED" hidden="1">"c6825"</definedName>
    <definedName name="IQ_ECO_METRIC_6825_UNUSED_UNUSED_UNUSED" hidden="1">"c6825"</definedName>
    <definedName name="IQ_ECO_METRIC_6839_UNUSED" hidden="1">"c6839"</definedName>
    <definedName name="IQ_ECO_METRIC_6839_UNUSED_UNUSED_UNUSED" hidden="1">"c6839"</definedName>
    <definedName name="IQ_ECO_METRIC_6896_UNUSED" hidden="1">"c6896"</definedName>
    <definedName name="IQ_ECO_METRIC_6896_UNUSED_UNUSED_UNUSED" hidden="1">"c6896"</definedName>
    <definedName name="IQ_ECO_METRIC_6897_UNUSED" hidden="1">"c6897"</definedName>
    <definedName name="IQ_ECO_METRIC_6897_UNUSED_UNUSED_UNUSED" hidden="1">"c6897"</definedName>
    <definedName name="IQ_ECO_METRIC_6927" hidden="1">"c6927"</definedName>
    <definedName name="IQ_ECO_METRIC_6988_UNUSED" hidden="1">"c6988"</definedName>
    <definedName name="IQ_ECO_METRIC_6988_UNUSED_UNUSED_UNUSED" hidden="1">"c6988"</definedName>
    <definedName name="IQ_ECO_METRIC_7045_UNUSED" hidden="1">"c7045"</definedName>
    <definedName name="IQ_ECO_METRIC_7045_UNUSED_UNUSED_UNUSED" hidden="1">"c7045"</definedName>
    <definedName name="IQ_ECO_METRIC_7059_UNUSED" hidden="1">"c7059"</definedName>
    <definedName name="IQ_ECO_METRIC_7059_UNUSED_UNUSED_UNUSED" hidden="1">"c7059"</definedName>
    <definedName name="IQ_ECO_METRIC_7116_UNUSED" hidden="1">"c7116"</definedName>
    <definedName name="IQ_ECO_METRIC_7116_UNUSED_UNUSED_UNUSED" hidden="1">"c7116"</definedName>
    <definedName name="IQ_ECO_METRIC_7117_UNUSED" hidden="1">"c7117"</definedName>
    <definedName name="IQ_ECO_METRIC_7117_UNUSED_UNUSED_UNUSED" hidden="1">"c7117"</definedName>
    <definedName name="IQ_ECO_METRIC_7147" hidden="1">"c7147"</definedName>
    <definedName name="IQ_ECO_METRIC_7208_UNUSED" hidden="1">"c7208"</definedName>
    <definedName name="IQ_ECO_METRIC_7208_UNUSED_UNUSED_UNUSED" hidden="1">"c7208"</definedName>
    <definedName name="IQ_ECO_METRIC_7265_UNUSED" hidden="1">"c7265"</definedName>
    <definedName name="IQ_ECO_METRIC_7265_UNUSED_UNUSED_UNUSED" hidden="1">"c7265"</definedName>
    <definedName name="IQ_ECO_METRIC_7279_UNUSED" hidden="1">"c7279"</definedName>
    <definedName name="IQ_ECO_METRIC_7279_UNUSED_UNUSED_UNUSED" hidden="1">"c7279"</definedName>
    <definedName name="IQ_ECO_METRIC_7336_UNUSED" hidden="1">"c7336"</definedName>
    <definedName name="IQ_ECO_METRIC_7336_UNUSED_UNUSED_UNUSED" hidden="1">"c7336"</definedName>
    <definedName name="IQ_ECO_METRIC_7337_UNUSED" hidden="1">"c7337"</definedName>
    <definedName name="IQ_ECO_METRIC_7337_UNUSED_UNUSED_UNUSED" hidden="1">"c7337"</definedName>
    <definedName name="IQ_ECO_METRIC_7367" hidden="1">"c7367"</definedName>
    <definedName name="IQ_ECO_METRIC_7428_UNUSED" hidden="1">"c7428"</definedName>
    <definedName name="IQ_ECO_METRIC_7428_UNUSED_UNUSED_UNUSED" hidden="1">"c7428"</definedName>
    <definedName name="IQ_ECO_METRIC_7556_UNUSED" hidden="1">"c7556"</definedName>
    <definedName name="IQ_ECO_METRIC_7556_UNUSED_UNUSED_UNUSED" hidden="1">"c7556"</definedName>
    <definedName name="IQ_ECO_METRIC_7557_UNUSED" hidden="1">"c7557"</definedName>
    <definedName name="IQ_ECO_METRIC_7557_UNUSED_UNUSED_UNUSED" hidden="1">"c7557"</definedName>
    <definedName name="IQ_ECO_METRIC_7587" hidden="1">"c7587"</definedName>
    <definedName name="IQ_ECO_METRIC_7648_UNUSED" hidden="1">"c7648"</definedName>
    <definedName name="IQ_ECO_METRIC_7648_UNUSED_UNUSED_UNUSED" hidden="1">"c7648"</definedName>
    <definedName name="IQ_ECO_METRIC_7704" hidden="1">"c7704"</definedName>
    <definedName name="IQ_ECO_METRIC_7705_UNUSED" hidden="1">"c7705"</definedName>
    <definedName name="IQ_ECO_METRIC_7705_UNUSED_UNUSED_UNUSED" hidden="1">"c7705"</definedName>
    <definedName name="IQ_ECO_METRIC_7706" hidden="1">"c7706"</definedName>
    <definedName name="IQ_ECO_METRIC_7718" hidden="1">"c7718"</definedName>
    <definedName name="IQ_ECO_METRIC_7719_UNUSED" hidden="1">"c7719"</definedName>
    <definedName name="IQ_ECO_METRIC_7719_UNUSED_UNUSED_UNUSED" hidden="1">"c7719"</definedName>
    <definedName name="IQ_ECO_METRIC_7776_UNUSED" hidden="1">"c7776"</definedName>
    <definedName name="IQ_ECO_METRIC_7776_UNUSED_UNUSED_UNUSED" hidden="1">"c7776"</definedName>
    <definedName name="IQ_ECO_METRIC_7777_UNUSED" hidden="1">"c7777"</definedName>
    <definedName name="IQ_ECO_METRIC_7777_UNUSED_UNUSED_UNUSED" hidden="1">"c7777"</definedName>
    <definedName name="IQ_ECO_METRIC_7807" hidden="1">"c7807"</definedName>
    <definedName name="IQ_ECO_METRIC_7811" hidden="1">"c7811"</definedName>
    <definedName name="IQ_ECO_METRIC_7868_UNUSED" hidden="1">"c7868"</definedName>
    <definedName name="IQ_ECO_METRIC_7868_UNUSED_UNUSED_UNUSED" hidden="1">"c7868"</definedName>
    <definedName name="IQ_ECO_METRIC_7873" hidden="1">"c7873"</definedName>
    <definedName name="IQ_ECO_METRIC_7924" hidden="1">"c7924"</definedName>
    <definedName name="IQ_ECO_METRIC_7925_UNUSED" hidden="1">"c7925"</definedName>
    <definedName name="IQ_ECO_METRIC_7925_UNUSED_UNUSED_UNUSED" hidden="1">"c7925"</definedName>
    <definedName name="IQ_ECO_METRIC_7926" hidden="1">"c7926"</definedName>
    <definedName name="IQ_ECO_METRIC_7938" hidden="1">"c7938"</definedName>
    <definedName name="IQ_ECO_METRIC_7939_UNUSED" hidden="1">"c7939"</definedName>
    <definedName name="IQ_ECO_METRIC_7939_UNUSED_UNUSED_UNUSED" hidden="1">"c7939"</definedName>
    <definedName name="IQ_ECO_METRIC_7996_UNUSED" hidden="1">"c7996"</definedName>
    <definedName name="IQ_ECO_METRIC_7996_UNUSED_UNUSED_UNUSED" hidden="1">"c7996"</definedName>
    <definedName name="IQ_ECO_METRIC_7997_UNUSED" hidden="1">"c7997"</definedName>
    <definedName name="IQ_ECO_METRIC_7997_UNUSED_UNUSED_UNUSED" hidden="1">"c7997"</definedName>
    <definedName name="IQ_ECO_METRIC_8027" hidden="1">"c8027"</definedName>
    <definedName name="IQ_ECO_METRIC_8031" hidden="1">"c8031"</definedName>
    <definedName name="IQ_ECO_METRIC_8088_UNUSED" hidden="1">"c8088"</definedName>
    <definedName name="IQ_ECO_METRIC_8088_UNUSED_UNUSED_UNUSED" hidden="1">"c8088"</definedName>
    <definedName name="IQ_ECO_METRIC_8093" hidden="1">"c8093"</definedName>
    <definedName name="IQ_ECO_METRIC_8144" hidden="1">"c8144"</definedName>
    <definedName name="IQ_ECO_METRIC_8145_UNUSED" hidden="1">"c8145"</definedName>
    <definedName name="IQ_ECO_METRIC_8145_UNUSED_UNUSED_UNUSED" hidden="1">"c8145"</definedName>
    <definedName name="IQ_ECO_METRIC_8146" hidden="1">"c8146"</definedName>
    <definedName name="IQ_ECO_METRIC_8158" hidden="1">"c8158"</definedName>
    <definedName name="IQ_ECO_METRIC_8159_UNUSED" hidden="1">"c8159"</definedName>
    <definedName name="IQ_ECO_METRIC_8159_UNUSED_UNUSED_UNUSED" hidden="1">"c8159"</definedName>
    <definedName name="IQ_ECO_METRIC_8216_UNUSED" hidden="1">"c8216"</definedName>
    <definedName name="IQ_ECO_METRIC_8216_UNUSED_UNUSED_UNUSED" hidden="1">"c8216"</definedName>
    <definedName name="IQ_ECO_METRIC_8217_UNUSED" hidden="1">"c8217"</definedName>
    <definedName name="IQ_ECO_METRIC_8217_UNUSED_UNUSED_UNUSED" hidden="1">"c8217"</definedName>
    <definedName name="IQ_ECO_METRIC_8247" hidden="1">"c8247"</definedName>
    <definedName name="IQ_ECO_METRIC_8251" hidden="1">"c8251"</definedName>
    <definedName name="IQ_ECO_METRIC_8308_UNUSED" hidden="1">"c8308"</definedName>
    <definedName name="IQ_ECO_METRIC_8308_UNUSED_UNUSED_UNUSED" hidden="1">"c8308"</definedName>
    <definedName name="IQ_ECO_METRIC_8313" hidden="1">"c8313"</definedName>
    <definedName name="IQ_ECO_METRIC_8366" hidden="1">"c8366"</definedName>
    <definedName name="IQ_ECO_METRIC_8378" hidden="1">"c8378"</definedName>
    <definedName name="IQ_ECO_METRIC_8436_UNUSED" hidden="1">"c8436"</definedName>
    <definedName name="IQ_ECO_METRIC_8436_UNUSED_UNUSED_UNUSED" hidden="1">"c8436"</definedName>
    <definedName name="IQ_ECO_METRIC_8437_UNUSED" hidden="1">"c8437"</definedName>
    <definedName name="IQ_ECO_METRIC_8437_UNUSED_UNUSED_UNUSED" hidden="1">"c8437"</definedName>
    <definedName name="IQ_ECO_METRIC_8467" hidden="1">"c8467"</definedName>
    <definedName name="IQ_ECO_METRIC_8471" hidden="1">"c8471"</definedName>
    <definedName name="IQ_ECO_METRIC_8528_UNUSED" hidden="1">"c8528"</definedName>
    <definedName name="IQ_ECO_METRIC_8528_UNUSED_UNUSED_UNUSED" hidden="1">"c8528"</definedName>
    <definedName name="IQ_ECO_METRIC_8533" hidden="1">"c8533"</definedName>
    <definedName name="IQ_ECS_AUTHORIZED_SHARES" hidden="1">"c5583"</definedName>
    <definedName name="IQ_ECS_AUTHORIZED_SHARES_ABS" hidden="1">"c5597"</definedName>
    <definedName name="IQ_ECS_AUTHORIZED_SHARES_OTHER" hidden="1">"c15613"</definedName>
    <definedName name="IQ_ECS_AUTHORIZED_SHARES_OTHER_ABS" hidden="1">"c15630"</definedName>
    <definedName name="IQ_ECS_CONVERT_FACTOR" hidden="1">"c5581"</definedName>
    <definedName name="IQ_ECS_CONVERT_FACTOR_ABS" hidden="1">"c5595"</definedName>
    <definedName name="IQ_ECS_CONVERT_FACTOR_OTHER" hidden="1">"c15611"</definedName>
    <definedName name="IQ_ECS_CONVERT_FACTOR_OTHER_ABS" hidden="1">"c15628"</definedName>
    <definedName name="IQ_ECS_CONVERT_INTO" hidden="1">"c5580"</definedName>
    <definedName name="IQ_ECS_CONVERT_INTO_ABS" hidden="1">"c5594"</definedName>
    <definedName name="IQ_ECS_CONVERT_INTO_OTHER" hidden="1">"c15610"</definedName>
    <definedName name="IQ_ECS_CONVERT_INTO_OTHER_ABS" hidden="1">"c15627"</definedName>
    <definedName name="IQ_ECS_CONVERT_PRIMARY_FACTOR" hidden="1">"c15592"</definedName>
    <definedName name="IQ_ECS_CONVERT_PRIMARY_FACTOR_ABS" hidden="1">"c15596"</definedName>
    <definedName name="IQ_ECS_CONVERT_TYPE" hidden="1">"c5579"</definedName>
    <definedName name="IQ_ECS_CONVERT_TYPE_ABS" hidden="1">"c5593"</definedName>
    <definedName name="IQ_ECS_CONVERT_TYPE_OTHER" hidden="1">"c15609"</definedName>
    <definedName name="IQ_ECS_CONVERT_TYPE_OTHER_ABS" hidden="1">"c15626"</definedName>
    <definedName name="IQ_ECS_INACTIVE_DATE" hidden="1">"c5576"</definedName>
    <definedName name="IQ_ECS_INACTIVE_DATE_ABS" hidden="1">"c5590"</definedName>
    <definedName name="IQ_ECS_INACTIVE_DATE_OTHER" hidden="1">"c15606"</definedName>
    <definedName name="IQ_ECS_INACTIVE_DATE_OTHER_ABS" hidden="1">"c15623"</definedName>
    <definedName name="IQ_ECS_NAME" hidden="1">"c5571"</definedName>
    <definedName name="IQ_ECS_NAME_ABS" hidden="1">"c5585"</definedName>
    <definedName name="IQ_ECS_NAME_OTHER" hidden="1">"c15599"</definedName>
    <definedName name="IQ_ECS_NAME_OTHER_ABS" hidden="1">"c15616"</definedName>
    <definedName name="IQ_ECS_NUM_SHAREHOLDERS" hidden="1">"c16242"</definedName>
    <definedName name="IQ_ECS_NUM_SHAREHOLDERS_ABS" hidden="1">"c16243"</definedName>
    <definedName name="IQ_ECS_NUM_SHAREHOLDERS_BENEFICIAL_BS_DATE" hidden="1">"c16234"</definedName>
    <definedName name="IQ_ECS_NUM_SHAREHOLDERS_BENEFICIAL_BS_DATE_ABS" hidden="1">"c16235"</definedName>
    <definedName name="IQ_ECS_NUM_SHAREHOLDERS_BENEFICIAL_BS_DATE_OTHER" hidden="1">"c16236"</definedName>
    <definedName name="IQ_ECS_NUM_SHAREHOLDERS_BENEFICIAL_BS_DATE_OTHER_ABS" hidden="1">"c16237"</definedName>
    <definedName name="IQ_ECS_NUM_SHAREHOLDERS_BENEFICIAL_FILING_DATE" hidden="1">"c16230"</definedName>
    <definedName name="IQ_ECS_NUM_SHAREHOLDERS_BENEFICIAL_FILING_DATE_ABS" hidden="1">"c16231"</definedName>
    <definedName name="IQ_ECS_NUM_SHAREHOLDERS_BENEFICIAL_FILING_DATE_OTHER" hidden="1">"c16232"</definedName>
    <definedName name="IQ_ECS_NUM_SHAREHOLDERS_BENEFICIAL_FILING_DATE_OTHER_ABS" hidden="1">"c16233"</definedName>
    <definedName name="IQ_ECS_NUM_SHAREHOLDERS_BS_DATE" hidden="1">"c16238"</definedName>
    <definedName name="IQ_ECS_NUM_SHAREHOLDERS_BS_DATE_ABS" hidden="1">"c16239"</definedName>
    <definedName name="IQ_ECS_NUM_SHAREHOLDERS_BS_DATE_OTHER" hidden="1">"c16240"</definedName>
    <definedName name="IQ_ECS_NUM_SHAREHOLDERS_BS_DATE_OTHER_ABS" hidden="1">"c16241"</definedName>
    <definedName name="IQ_ECS_NUM_SHAREHOLDERS_FILING_DATE" hidden="1">"c5584"</definedName>
    <definedName name="IQ_ECS_NUM_SHAREHOLDERS_FILING_DATE_ABS" hidden="1">"c5598"</definedName>
    <definedName name="IQ_ECS_NUM_SHAREHOLDERS_FILING_DATE_OTHER" hidden="1">"c15615"</definedName>
    <definedName name="IQ_ECS_NUM_SHAREHOLDERS_FILING_DATE_OTHER_ABS" hidden="1">"c15632"</definedName>
    <definedName name="IQ_ECS_NUM_SHAREHOLDERS_OTHER" hidden="1">"c16244"</definedName>
    <definedName name="IQ_ECS_NUM_SHAREHOLDERS_OTHER_ABS" hidden="1">"c16245"</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PAR_VALUE_CURRENCY_OTHER" hidden="1">"c15608"</definedName>
    <definedName name="IQ_ECS_PAR_VALUE_CURRENCY_OTHER_ABS" hidden="1">"c15625"</definedName>
    <definedName name="IQ_ECS_PAR_VALUE_OTHER" hidden="1">"c15607"</definedName>
    <definedName name="IQ_ECS_PAR_VALUE_OTHER_ABS" hidden="1">"c15624"</definedName>
    <definedName name="IQ_ECS_PARTICIPATE_FLAG" hidden="1">"c15591"</definedName>
    <definedName name="IQ_ECS_PARTICIPATE_FLAG_ABS" hidden="1">"c15595"</definedName>
    <definedName name="IQ_ECS_PARTICIPATE_FLAG_OTHER" hidden="1">"c15614"</definedName>
    <definedName name="IQ_ECS_PARTICIPATE_FLAG_OTHER_ABS" hidden="1">"c15631"</definedName>
    <definedName name="IQ_ECS_SHARES_OUT_BS_DATE" hidden="1">"c5572"</definedName>
    <definedName name="IQ_ECS_SHARES_OUT_BS_DATE_ABS" hidden="1">"c5586"</definedName>
    <definedName name="IQ_ECS_SHARES_OUT_BS_DATE_OTHER" hidden="1">"c15600"</definedName>
    <definedName name="IQ_ECS_SHARES_OUT_BS_DATE_OTHER_ABS" hidden="1">"c15617"</definedName>
    <definedName name="IQ_ECS_SHARES_OUT_FILING_DATE" hidden="1">"c5573"</definedName>
    <definedName name="IQ_ECS_SHARES_OUT_FILING_DATE_ABS" hidden="1">"c5587"</definedName>
    <definedName name="IQ_ECS_SHARES_OUT_FILING_DATE_OTHER" hidden="1">"c15601"</definedName>
    <definedName name="IQ_ECS_SHARES_OUT_FILING_DATE_OTHER_ABS" hidden="1">"c15618"</definedName>
    <definedName name="IQ_ECS_START_DATE" hidden="1">"c5575"</definedName>
    <definedName name="IQ_ECS_START_DATE_ABS" hidden="1">"c5589"</definedName>
    <definedName name="IQ_ECS_START_DATE_OTHER" hidden="1">"c15605"</definedName>
    <definedName name="IQ_ECS_START_DATE_OTHER_ABS" hidden="1">"c15622"</definedName>
    <definedName name="IQ_ECS_TICKER" hidden="1">"c15594"</definedName>
    <definedName name="IQ_ECS_TICKER_ABS" hidden="1">"c15598"</definedName>
    <definedName name="IQ_ECS_TICKER_OTHER" hidden="1">"c15603"</definedName>
    <definedName name="IQ_ECS_TICKER_OTHER_ABS" hidden="1">"c15620"</definedName>
    <definedName name="IQ_ECS_TRADING_ITEM_CIQID" hidden="1">"c15593"</definedName>
    <definedName name="IQ_ECS_TRADING_ITEM_CIQID_ABS" hidden="1">"c15597"</definedName>
    <definedName name="IQ_ECS_TRADING_ITEM_CIQID_OTHER" hidden="1">"c15602"</definedName>
    <definedName name="IQ_ECS_TRADING_ITEM_CIQID_OTHER_ABS" hidden="1">"c15619"</definedName>
    <definedName name="IQ_ECS_TYPE" hidden="1">"c5574"</definedName>
    <definedName name="IQ_ECS_TYPE_ABS" hidden="1">"c5588"</definedName>
    <definedName name="IQ_ECS_TYPE_OTHER" hidden="1">"c15604"</definedName>
    <definedName name="IQ_ECS_TYPE_OTHER_ABS" hidden="1">"c15621"</definedName>
    <definedName name="IQ_ECS_VOTING" hidden="1">"c5582"</definedName>
    <definedName name="IQ_ECS_VOTING_ABS" hidden="1">"c5596"</definedName>
    <definedName name="IQ_ECS_VOTING_OTHER" hidden="1">"c15612"</definedName>
    <definedName name="IQ_ECS_VOTING_OTHER_ABS" hidden="1">"c15629"</definedName>
    <definedName name="IQ_EDUCATION_LOANS_THRIFT" hidden="1">"c24861"</definedName>
    <definedName name="IQ_EFFECT_SPECIAL_CHARGE" hidden="1">"c1595"</definedName>
    <definedName name="IQ_EFFECT_TAX_RATE" hidden="1">"c1899"</definedName>
    <definedName name="IQ_EFFECTIVE_DATE" hidden="1">"c8966"</definedName>
    <definedName name="IQ_EFFECTIVE_TAX_ACT_OR_EST" hidden="1">"c18266"</definedName>
    <definedName name="IQ_EFFECTIVE_TAX_ACT_OR_EST_CIQ" hidden="1">"c18272"</definedName>
    <definedName name="IQ_EFFECTIVE_TAX_EST" hidden="1">"c18113"</definedName>
    <definedName name="IQ_EFFECTIVE_TAX_EST_CIQ" hidden="1">"c18181"</definedName>
    <definedName name="IQ_EFFECTIVE_TAX_EST_NOTE" hidden="1">"c18234"</definedName>
    <definedName name="IQ_EFFECTIVE_TAX_EST_NOTE_CIQ" hidden="1">"c18241"</definedName>
    <definedName name="IQ_EFFECTIVE_TAX_GUIDANCE" hidden="1">"c18403"</definedName>
    <definedName name="IQ_EFFECTIVE_TAX_HIGH_EST" hidden="1">"c18133"</definedName>
    <definedName name="IQ_EFFECTIVE_TAX_HIGH_EST_CIQ" hidden="1">"c18195"</definedName>
    <definedName name="IQ_EFFECTIVE_TAX_HIGH_GUIDANCE" hidden="1">"c18404"</definedName>
    <definedName name="IQ_EFFECTIVE_TAX_LOW_EST" hidden="1">"c18143"</definedName>
    <definedName name="IQ_EFFECTIVE_TAX_LOW_EST_CIQ" hidden="1">"c18202"</definedName>
    <definedName name="IQ_EFFECTIVE_TAX_LOW_GUIDANCE" hidden="1">"c18405"</definedName>
    <definedName name="IQ_EFFECTIVE_TAX_MEDIAN_EST" hidden="1">"c18123"</definedName>
    <definedName name="IQ_EFFECTIVE_TAX_MEDIAN_EST_CIQ" hidden="1">"c18188"</definedName>
    <definedName name="IQ_EFFECTIVE_TAX_NUM_EST" hidden="1">"c18163"</definedName>
    <definedName name="IQ_EFFECTIVE_TAX_NUM_EST_CIQ" hidden="1">"c18216"</definedName>
    <definedName name="IQ_EFFECTIVE_TAX_STDDEV_EST" hidden="1">"c18153"</definedName>
    <definedName name="IQ_EFFECTIVE_TAX_STDDEV_EST_CIQ" hidden="1">"c18209"</definedName>
    <definedName name="IQ_EFFICIENCY_RATIO" hidden="1">"c391"</definedName>
    <definedName name="IQ_EFFICIENCY_RATIO_FDIC" hidden="1">"c6736"</definedName>
    <definedName name="IQ_ELIMINATIONS_CONSOL_OFFICES_FOREIGN_FFIEC" hidden="1">"c15395"</definedName>
    <definedName name="IQ_EMBEDDED_VAL_COVERED" hidden="1">"c9962"</definedName>
    <definedName name="IQ_EMBEDDED_VAL_COVERED_BEG" hidden="1">"c9957"</definedName>
    <definedName name="IQ_EMBEDDED_VAL_GROUP" hidden="1">"c9948"</definedName>
    <definedName name="IQ_EMBEDDED_VAL_GROUP_BEG" hidden="1">"c9943"</definedName>
    <definedName name="IQ_EMPLOY_COST_INDEX_BENEFITS" hidden="1">"c6857"</definedName>
    <definedName name="IQ_EMPLOY_COST_INDEX_BENEFITS_APR" hidden="1">"c7517"</definedName>
    <definedName name="IQ_EMPLOY_COST_INDEX_BENEFITS_APR_FC" hidden="1">"c8397"</definedName>
    <definedName name="IQ_EMPLOY_COST_INDEX_BENEFITS_FC" hidden="1">"c7737"</definedName>
    <definedName name="IQ_EMPLOY_COST_INDEX_BENEFITS_POP" hidden="1">"c7077"</definedName>
    <definedName name="IQ_EMPLOY_COST_INDEX_BENEFITS_POP_FC" hidden="1">"c7957"</definedName>
    <definedName name="IQ_EMPLOY_COST_INDEX_BENEFITS_YOY" hidden="1">"c7297"</definedName>
    <definedName name="IQ_EMPLOY_COST_INDEX_BENEFITS_YOY_FC" hidden="1">"c8177"</definedName>
    <definedName name="IQ_EMPLOY_COST_INDEX_COMP" hidden="1">"c6856"</definedName>
    <definedName name="IQ_EMPLOY_COST_INDEX_COMP_APR" hidden="1">"c7516"</definedName>
    <definedName name="IQ_EMPLOY_COST_INDEX_COMP_APR_FC" hidden="1">"c8396"</definedName>
    <definedName name="IQ_EMPLOY_COST_INDEX_COMP_FC" hidden="1">"c7736"</definedName>
    <definedName name="IQ_EMPLOY_COST_INDEX_COMP_POP" hidden="1">"c7076"</definedName>
    <definedName name="IQ_EMPLOY_COST_INDEX_COMP_POP_FC" hidden="1">"c7956"</definedName>
    <definedName name="IQ_EMPLOY_COST_INDEX_COMP_YOY" hidden="1">"c7296"</definedName>
    <definedName name="IQ_EMPLOY_COST_INDEX_COMP_YOY_FC" hidden="1">"c8176"</definedName>
    <definedName name="IQ_EMPLOY_COST_INDEX_WAGE_SALARY" hidden="1">"c6858"</definedName>
    <definedName name="IQ_EMPLOY_COST_INDEX_WAGE_SALARY_APR" hidden="1">"c7518"</definedName>
    <definedName name="IQ_EMPLOY_COST_INDEX_WAGE_SALARY_APR_FC" hidden="1">"c8398"</definedName>
    <definedName name="IQ_EMPLOY_COST_INDEX_WAGE_SALARY_FC" hidden="1">"c7738"</definedName>
    <definedName name="IQ_EMPLOY_COST_INDEX_WAGE_SALARY_POP" hidden="1">"c7078"</definedName>
    <definedName name="IQ_EMPLOY_COST_INDEX_WAGE_SALARY_POP_FC" hidden="1">"c7958"</definedName>
    <definedName name="IQ_EMPLOY_COST_INDEX_WAGE_SALARY_YOY" hidden="1">"c7298"</definedName>
    <definedName name="IQ_EMPLOY_COST_INDEX_WAGE_SALARY_YOY_FC" hidden="1">"c8178"</definedName>
    <definedName name="IQ_EMPLOYEES" hidden="1">"c392"</definedName>
    <definedName name="IQ_EMPLOYEES_FFIEC" hidden="1">"c13035"</definedName>
    <definedName name="IQ_EMPLOYEES_UNDER_UNION_CONTRACTS" hidden="1">"c16109"</definedName>
    <definedName name="IQ_EMPLOYMENT_YOY" hidden="1">"c20643"</definedName>
    <definedName name="IQ_ENDING_BALANCE_GVA_THRIFT" hidden="1">"c25097"</definedName>
    <definedName name="IQ_ENDING_BALANCE_SVA_THRIFT" hidden="1">"c25104"</definedName>
    <definedName name="IQ_ENDING_BALANCE_TVA_THRIFT" hidden="1">"c25111"</definedName>
    <definedName name="IQ_ENERGY_CRUDE_STOCK" hidden="1">"c20644"</definedName>
    <definedName name="IQ_ENERGY_FUEL_OIL_STOCK" hidden="1">"c20645"</definedName>
    <definedName name="IQ_ENERGY_GASOLINE_AVERAGE" hidden="1">"c20646"</definedName>
    <definedName name="IQ_ENERGY_GASOLINE_STOCK" hidden="1">"c20647"</definedName>
    <definedName name="IQ_ENERGY_PROPANE_STOCK" hidden="1">"c20648"</definedName>
    <definedName name="IQ_ENERGY_WTI_SPOT" hidden="1">"c20649"</definedName>
    <definedName name="IQ_ENTERPRISE_VALUE" hidden="1">"c84"</definedName>
    <definedName name="IQ_ENTREPRENEURAL_PROPERTY_INC" hidden="1">"c6859"</definedName>
    <definedName name="IQ_ENTREPRENEURAL_PROPERTY_INC_APR" hidden="1">"c7519"</definedName>
    <definedName name="IQ_ENTREPRENEURAL_PROPERTY_INC_APR_FC" hidden="1">"c8399"</definedName>
    <definedName name="IQ_ENTREPRENEURAL_PROPERTY_INC_FC" hidden="1">"c7739"</definedName>
    <definedName name="IQ_ENTREPRENEURAL_PROPERTY_INC_POP" hidden="1">"c7079"</definedName>
    <definedName name="IQ_ENTREPRENEURAL_PROPERTY_INC_POP_FC" hidden="1">"c7959"</definedName>
    <definedName name="IQ_ENTREPRENEURAL_PROPERTY_INC_YOY" hidden="1">"c7299"</definedName>
    <definedName name="IQ_ENTREPRENEURAL_PROPERTY_INC_YOY_FC" hidden="1">"c8179"</definedName>
    <definedName name="IQ_EPS" hidden="1">"IQ_EPS"</definedName>
    <definedName name="IQ_EPS_10K" hidden="1">"EPS_10K"</definedName>
    <definedName name="IQ_EPS_10Q" hidden="1">"EPS_10Q"</definedName>
    <definedName name="IQ_EPS_10Q1" hidden="1">"EPS_10Q1"</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CIQ" hidden="1">"c5058"</definedName>
    <definedName name="IQ_EPS_ACT_OR_EST_CIQ_COL" hidden="1">"c11705"</definedName>
    <definedName name="IQ_EPS_ACT_OR_EST_THOM" hidden="1">"c5298"</definedName>
    <definedName name="IQ_EPS_AP" hidden="1">"c8880"</definedName>
    <definedName name="IQ_EPS_AP_ABS" hidden="1">"c8899"</definedName>
    <definedName name="IQ_EPS_EST" hidden="1">"c399"</definedName>
    <definedName name="IQ_EPS_EST_1" hidden="1">"IQ_EPS_EST_1"</definedName>
    <definedName name="IQ_EPS_EST_BOTTOM_UP" hidden="1">"c5489"</definedName>
    <definedName name="IQ_EPS_EST_BOTTOM_UP_CIQ" hidden="1">"c12026"</definedName>
    <definedName name="IQ_EPS_EST_BOTTOM_UP_THOM" hidden="1">"c5647"</definedName>
    <definedName name="IQ_EPS_EST_CIQ" hidden="1">"c4994"</definedName>
    <definedName name="IQ_EPS_EST_DOWN_2MONTH" hidden="1">"c16309"</definedName>
    <definedName name="IQ_EPS_EST_DOWN_2MONTH_CIQ" hidden="1">"c16633"</definedName>
    <definedName name="IQ_EPS_EST_DOWN_3MONTH" hidden="1">"c16313"</definedName>
    <definedName name="IQ_EPS_EST_DOWN_3MONTH_CIQ" hidden="1">"c16637"</definedName>
    <definedName name="IQ_EPS_EST_DOWN_MONTH" hidden="1">"c16305"</definedName>
    <definedName name="IQ_EPS_EST_DOWN_MONTH_CIQ" hidden="1">"c16629"</definedName>
    <definedName name="IQ_EPS_EST_NOTE" hidden="1">"c17504"</definedName>
    <definedName name="IQ_EPS_EST_NOTE_CIQ" hidden="1">"c17457"</definedName>
    <definedName name="IQ_EPS_EST_NUM_ANALYSTS_2MONTH" hidden="1">"c16307"</definedName>
    <definedName name="IQ_EPS_EST_NUM_ANALYSTS_2MONTH_CIQ" hidden="1">"c16631"</definedName>
    <definedName name="IQ_EPS_EST_NUM_ANALYSTS_3MONTH" hidden="1">"c16311"</definedName>
    <definedName name="IQ_EPS_EST_NUM_ANALYSTS_3MONTH_CIQ" hidden="1">"c16635"</definedName>
    <definedName name="IQ_EPS_EST_NUM_ANALYSTS_MONTH" hidden="1">"c16303"</definedName>
    <definedName name="IQ_EPS_EST_NUM_ANALYSTS_MONTH_CIQ" hidden="1">"c16627"</definedName>
    <definedName name="IQ_EPS_EST_REUT" hidden="1">"c5453"</definedName>
    <definedName name="IQ_EPS_EST_THOM" hidden="1">"c5290"</definedName>
    <definedName name="IQ_EPS_EST_TOTAL_REVISED_2MONTH" hidden="1">"c16310"</definedName>
    <definedName name="IQ_EPS_EST_TOTAL_REVISED_2MONTH_CIQ" hidden="1">"c16634"</definedName>
    <definedName name="IQ_EPS_EST_TOTAL_REVISED_3MONTH" hidden="1">"c16314"</definedName>
    <definedName name="IQ_EPS_EST_TOTAL_REVISED_3MONTH_CIQ" hidden="1">"c16638"</definedName>
    <definedName name="IQ_EPS_EST_TOTAL_REVISED_MONTH" hidden="1">"c16306"</definedName>
    <definedName name="IQ_EPS_EST_TOTAL_REVISED_MONTH_CIQ" hidden="1">"c16630"</definedName>
    <definedName name="IQ_EPS_EST_UP_2MONTH" hidden="1">"c16308"</definedName>
    <definedName name="IQ_EPS_EST_UP_2MONTH_CIQ" hidden="1">"c16632"</definedName>
    <definedName name="IQ_EPS_EST_UP_3MONTH" hidden="1">"c16312"</definedName>
    <definedName name="IQ_EPS_EST_UP_3MONTH_CIQ" hidden="1">"c16636"</definedName>
    <definedName name="IQ_EPS_EST_UP_MONTH" hidden="1">"c16304"</definedName>
    <definedName name="IQ_EPS_EST_UP_MONTH_CIQ" hidden="1">"c16628"</definedName>
    <definedName name="IQ_EPS_EXCL_GUIDANCE" hidden="1">"c4368"</definedName>
    <definedName name="IQ_EPS_EXCL_GUIDANCE_CIQ" hidden="1">"c4893"</definedName>
    <definedName name="IQ_EPS_EXCL_GUIDANCE_CIQ_COL" hidden="1">"c11540"</definedName>
    <definedName name="IQ_EPS_EXCL_HIGH_GUIDANCE" hidden="1">"c4369"</definedName>
    <definedName name="IQ_EPS_EXCL_HIGH_GUIDANCE_CIQ" hidden="1">"c4894"</definedName>
    <definedName name="IQ_EPS_EXCL_HIGH_GUIDANCE_CIQ_COL" hidden="1">"c11541"</definedName>
    <definedName name="IQ_EPS_EXCL_LOW_GUIDANCE" hidden="1">"c4204"</definedName>
    <definedName name="IQ_EPS_EXCL_LOW_GUIDANCE_CIQ" hidden="1">"c4616"</definedName>
    <definedName name="IQ_EPS_EXCL_LOW_GUIDANCE_CIQ_COL" hidden="1">"c11265"</definedName>
    <definedName name="IQ_EPS_GAAP_GUIDANCE" hidden="1">"c4370"</definedName>
    <definedName name="IQ_EPS_GAAP_GUIDANCE_CIQ" hidden="1">"c4895"</definedName>
    <definedName name="IQ_EPS_GAAP_GUIDANCE_CIQ_COL" hidden="1">"c11542"</definedName>
    <definedName name="IQ_EPS_GAAP_HIGH_GUIDANCE" hidden="1">"c4371"</definedName>
    <definedName name="IQ_EPS_GAAP_HIGH_GUIDANCE_CIQ" hidden="1">"c4896"</definedName>
    <definedName name="IQ_EPS_GAAP_HIGH_GUIDANCE_CIQ_COL" hidden="1">"c11543"</definedName>
    <definedName name="IQ_EPS_GAAP_LOW_GUIDANCE" hidden="1">"c4205"</definedName>
    <definedName name="IQ_EPS_GAAP_LOW_GUIDANCE_CIQ" hidden="1">"c4617"</definedName>
    <definedName name="IQ_EPS_GAAP_LOW_GUIDANCE_CIQ_COL" hidden="1">"c11266"</definedName>
    <definedName name="IQ_EPS_GROWTH_GUIDANCE" hidden="1">"c13495"</definedName>
    <definedName name="IQ_EPS_GROWTH_GUIDANCE_CIQ" hidden="1">"c32283"</definedName>
    <definedName name="IQ_EPS_GROWTH_GUIDANCE_CIQ_COL" hidden="1">"c32286"</definedName>
    <definedName name="IQ_EPS_GROWTH_HIGH_GUIDANCE" hidden="1">"c13496"</definedName>
    <definedName name="IQ_EPS_GROWTH_HIGH_GUIDANCE_CIQ" hidden="1">"c32284"</definedName>
    <definedName name="IQ_EPS_GROWTH_HIGH_GUIDANCE_CIQ_COL" hidden="1">"c32287"</definedName>
    <definedName name="IQ_EPS_GROWTH_LOW_GUIDANCE" hidden="1">"c13497"</definedName>
    <definedName name="IQ_EPS_GROWTH_LOW_GUIDANCE_CIQ" hidden="1">"c32285"</definedName>
    <definedName name="IQ_EPS_GROWTH_LOW_GUIDANCE_CIQ_COL" hidden="1">"c32288"</definedName>
    <definedName name="IQ_EPS_GW_ACT_OR_EST" hidden="1">"c2223"</definedName>
    <definedName name="IQ_EPS_GW_ACT_OR_EST_CIQ" hidden="1">"c5066"</definedName>
    <definedName name="IQ_EPS_GW_DET_EST_REUT_CURRENCY_CURRENCY_REUT" hidden="1">"c12533"</definedName>
    <definedName name="IQ_EPS_GW_EST" hidden="1">"c1737"</definedName>
    <definedName name="IQ_EPS_GW_EST_BOTTOM_UP" hidden="1">"c5491"</definedName>
    <definedName name="IQ_EPS_GW_EST_BOTTOM_UP_CIQ" hidden="1">"c12028"</definedName>
    <definedName name="IQ_EPS_GW_EST_CIQ" hidden="1">"c4723"</definedName>
    <definedName name="IQ_EPS_GW_EST_DOWN_2MONTH" hidden="1">"c16465"</definedName>
    <definedName name="IQ_EPS_GW_EST_DOWN_2MONTH_CIQ" hidden="1">"c16753"</definedName>
    <definedName name="IQ_EPS_GW_EST_DOWN_3MONTH" hidden="1">"c16469"</definedName>
    <definedName name="IQ_EPS_GW_EST_DOWN_3MONTH_CIQ" hidden="1">"c16757"</definedName>
    <definedName name="IQ_EPS_GW_EST_DOWN_MONTH" hidden="1">"c16461"</definedName>
    <definedName name="IQ_EPS_GW_EST_DOWN_MONTH_CIQ" hidden="1">"c16749"</definedName>
    <definedName name="IQ_EPS_GW_EST_NOTE" hidden="1">"c17524"</definedName>
    <definedName name="IQ_EPS_GW_EST_NOTE_CIQ" hidden="1">"c17477"</definedName>
    <definedName name="IQ_EPS_GW_EST_NUM_ANALYSTS_2MONTH" hidden="1">"c16463"</definedName>
    <definedName name="IQ_EPS_GW_EST_NUM_ANALYSTS_2MONTH_CIQ" hidden="1">"c16751"</definedName>
    <definedName name="IQ_EPS_GW_EST_NUM_ANALYSTS_3MONTH" hidden="1">"c16467"</definedName>
    <definedName name="IQ_EPS_GW_EST_NUM_ANALYSTS_3MONTH_CIQ" hidden="1">"c16755"</definedName>
    <definedName name="IQ_EPS_GW_EST_NUM_ANALYSTS_MONTH" hidden="1">"c16459"</definedName>
    <definedName name="IQ_EPS_GW_EST_NUM_ANALYSTS_MONTH_CIQ" hidden="1">"c16747"</definedName>
    <definedName name="IQ_EPS_GW_EST_REUT" hidden="1">"c5389"</definedName>
    <definedName name="IQ_EPS_GW_EST_THOM" hidden="1">"c5133"</definedName>
    <definedName name="IQ_EPS_GW_EST_TOTAL_REVISED_2MONTH" hidden="1">"c16466"</definedName>
    <definedName name="IQ_EPS_GW_EST_TOTAL_REVISED_2MONTH_CIQ" hidden="1">"c16754"</definedName>
    <definedName name="IQ_EPS_GW_EST_TOTAL_REVISED_3MONTH" hidden="1">"c16470"</definedName>
    <definedName name="IQ_EPS_GW_EST_TOTAL_REVISED_3MONTH_CIQ" hidden="1">"c16758"</definedName>
    <definedName name="IQ_EPS_GW_EST_TOTAL_REVISED_MONTH" hidden="1">"c16462"</definedName>
    <definedName name="IQ_EPS_GW_EST_TOTAL_REVISED_MONTH_CIQ" hidden="1">"c16750"</definedName>
    <definedName name="IQ_EPS_GW_EST_UP_2MONTH" hidden="1">"c16464"</definedName>
    <definedName name="IQ_EPS_GW_EST_UP_2MONTH_CIQ" hidden="1">"c16752"</definedName>
    <definedName name="IQ_EPS_GW_EST_UP_3MONTH" hidden="1">"c16468"</definedName>
    <definedName name="IQ_EPS_GW_EST_UP_3MONTH_CIQ" hidden="1">"c16756"</definedName>
    <definedName name="IQ_EPS_GW_EST_UP_MONTH" hidden="1">"c16460"</definedName>
    <definedName name="IQ_EPS_GW_EST_UP_MONTH_CIQ" hidden="1">"c16748"</definedName>
    <definedName name="IQ_EPS_GW_GUIDANCE" hidden="1">"c4372"</definedName>
    <definedName name="IQ_EPS_GW_GUIDANCE_CIQ" hidden="1">"c4897"</definedName>
    <definedName name="IQ_EPS_GW_GUIDANCE_CIQ_COL" hidden="1">"c11544"</definedName>
    <definedName name="IQ_EPS_GW_HIGH_EST" hidden="1">"c1739"</definedName>
    <definedName name="IQ_EPS_GW_HIGH_EST_CIQ" hidden="1">"c4725"</definedName>
    <definedName name="IQ_EPS_GW_HIGH_EST_REUT" hidden="1">"c5391"</definedName>
    <definedName name="IQ_EPS_GW_HIGH_EST_THOM" hidden="1">"c5135"</definedName>
    <definedName name="IQ_EPS_GW_HIGH_GUIDANCE" hidden="1">"c4373"</definedName>
    <definedName name="IQ_EPS_GW_HIGH_GUIDANCE_CIQ" hidden="1">"c4898"</definedName>
    <definedName name="IQ_EPS_GW_HIGH_GUIDANCE_CIQ_COL" hidden="1">"c11545"</definedName>
    <definedName name="IQ_EPS_GW_LOW_EST" hidden="1">"c1740"</definedName>
    <definedName name="IQ_EPS_GW_LOW_EST_CIQ" hidden="1">"c4726"</definedName>
    <definedName name="IQ_EPS_GW_LOW_EST_REUT" hidden="1">"c5392"</definedName>
    <definedName name="IQ_EPS_GW_LOW_EST_THOM" hidden="1">"c5136"</definedName>
    <definedName name="IQ_EPS_GW_LOW_GUIDANCE" hidden="1">"c4206"</definedName>
    <definedName name="IQ_EPS_GW_LOW_GUIDANCE_CIQ" hidden="1">"c4618"</definedName>
    <definedName name="IQ_EPS_GW_LOW_GUIDANCE_CIQ_COL" hidden="1">"c11267"</definedName>
    <definedName name="IQ_EPS_GW_MEDIAN_EST" hidden="1">"c1738"</definedName>
    <definedName name="IQ_EPS_GW_MEDIAN_EST_CIQ" hidden="1">"c4724"</definedName>
    <definedName name="IQ_EPS_GW_MEDIAN_EST_REUT" hidden="1">"c5390"</definedName>
    <definedName name="IQ_EPS_GW_MEDIAN_EST_THOM" hidden="1">"c5134"</definedName>
    <definedName name="IQ_EPS_GW_NUM_EST" hidden="1">"c1741"</definedName>
    <definedName name="IQ_EPS_GW_NUM_EST_CIQ" hidden="1">"c4727"</definedName>
    <definedName name="IQ_EPS_GW_NUM_EST_REUT" hidden="1">"c5393"</definedName>
    <definedName name="IQ_EPS_GW_NUM_EST_THOM" hidden="1">"c5137"</definedName>
    <definedName name="IQ_EPS_GW_STDDEV_EST" hidden="1">"c1742"</definedName>
    <definedName name="IQ_EPS_GW_STDDEV_EST_CIQ" hidden="1">"c4728"</definedName>
    <definedName name="IQ_EPS_GW_STDDEV_EST_REUT" hidden="1">"c5394"</definedName>
    <definedName name="IQ_EPS_GW_STDDEV_EST_THOM" hidden="1">"c5138"</definedName>
    <definedName name="IQ_EPS_HIGH_EST" hidden="1">"c400"</definedName>
    <definedName name="IQ_EPS_HIGH_EST_CIQ" hidden="1">"c4995"</definedName>
    <definedName name="IQ_EPS_HIGH_EST_REUT" hidden="1">"c5454"</definedName>
    <definedName name="IQ_EPS_HIGH_EST_THOM" hidden="1">"c5291"</definedName>
    <definedName name="IQ_EPS_LOW_EST" hidden="1">"c401"</definedName>
    <definedName name="IQ_EPS_LOW_EST_CIQ" hidden="1">"c4996"</definedName>
    <definedName name="IQ_EPS_LOW_EST_REUT" hidden="1">"c5455"</definedName>
    <definedName name="IQ_EPS_LOW_EST_THOM" hidden="1">"c5292"</definedName>
    <definedName name="IQ_EPS_MEDIAN_EST" hidden="1">"c1661"</definedName>
    <definedName name="IQ_EPS_MEDIAN_EST_CIQ" hidden="1">"c4997"</definedName>
    <definedName name="IQ_EPS_MEDIAN_EST_REUT" hidden="1">"c5456"</definedName>
    <definedName name="IQ_EPS_MEDIAN_EST_THOM" hidden="1">"c5293"</definedName>
    <definedName name="IQ_EPS_NAME_AP" hidden="1">"c8918"</definedName>
    <definedName name="IQ_EPS_NAME_AP_ABS" hidden="1">"c8937"</definedName>
    <definedName name="IQ_EPS_NORM" hidden="1">"c1902"</definedName>
    <definedName name="IQ_EPS_NORM_EST" hidden="1">"c2226"</definedName>
    <definedName name="IQ_EPS_NORM_EST_BOTTOM_UP" hidden="1">"c5490"</definedName>
    <definedName name="IQ_EPS_NORM_EST_BOTTOM_UP_CIQ" hidden="1">"c12027"</definedName>
    <definedName name="IQ_EPS_NORM_EST_CIQ" hidden="1">"c4667"</definedName>
    <definedName name="IQ_EPS_NORM_EST_DOWN_2MONTH" hidden="1">"c16597"</definedName>
    <definedName name="IQ_EPS_NORM_EST_DOWN_2MONTH_CIQ" hidden="1">"c16861"</definedName>
    <definedName name="IQ_EPS_NORM_EST_DOWN_3MONTH" hidden="1">"c16601"</definedName>
    <definedName name="IQ_EPS_NORM_EST_DOWN_3MONTH_CIQ" hidden="1">"c16865"</definedName>
    <definedName name="IQ_EPS_NORM_EST_DOWN_MONTH" hidden="1">"c16593"</definedName>
    <definedName name="IQ_EPS_NORM_EST_DOWN_MONTH_CIQ" hidden="1">"c16857"</definedName>
    <definedName name="IQ_EPS_NORM_EST_NOTE" hidden="1">"c17505"</definedName>
    <definedName name="IQ_EPS_NORM_EST_NOTE_CIQ" hidden="1">"c17458"</definedName>
    <definedName name="IQ_EPS_NORM_EST_NUM_ANALYSTS_2MONTH" hidden="1">"c16595"</definedName>
    <definedName name="IQ_EPS_NORM_EST_NUM_ANALYSTS_2MONTH_CIQ" hidden="1">"c16859"</definedName>
    <definedName name="IQ_EPS_NORM_EST_NUM_ANALYSTS_3MONTH" hidden="1">"c16599"</definedName>
    <definedName name="IQ_EPS_NORM_EST_NUM_ANALYSTS_3MONTH_CIQ" hidden="1">"c16863"</definedName>
    <definedName name="IQ_EPS_NORM_EST_NUM_ANALYSTS_MONTH" hidden="1">"c16591"</definedName>
    <definedName name="IQ_EPS_NORM_EST_NUM_ANALYSTS_MONTH_CIQ" hidden="1">"c16855"</definedName>
    <definedName name="IQ_EPS_NORM_EST_REUT" hidden="1">"c5326"</definedName>
    <definedName name="IQ_EPS_NORM_EST_TOTAL_REVISED_2MONTH" hidden="1">"c16598"</definedName>
    <definedName name="IQ_EPS_NORM_EST_TOTAL_REVISED_2MONTH_CIQ" hidden="1">"c16862"</definedName>
    <definedName name="IQ_EPS_NORM_EST_TOTAL_REVISED_3MONTH" hidden="1">"c16602"</definedName>
    <definedName name="IQ_EPS_NORM_EST_TOTAL_REVISED_3MONTH_CIQ" hidden="1">"c16866"</definedName>
    <definedName name="IQ_EPS_NORM_EST_TOTAL_REVISED_MONTH" hidden="1">"c16594"</definedName>
    <definedName name="IQ_EPS_NORM_EST_TOTAL_REVISED_MONTH_CIQ" hidden="1">"c16858"</definedName>
    <definedName name="IQ_EPS_NORM_EST_UP_2MONTH" hidden="1">"c16596"</definedName>
    <definedName name="IQ_EPS_NORM_EST_UP_2MONTH_CIQ" hidden="1">"c16860"</definedName>
    <definedName name="IQ_EPS_NORM_EST_UP_3MONTH" hidden="1">"c16600"</definedName>
    <definedName name="IQ_EPS_NORM_EST_UP_3MONTH_CIQ" hidden="1">"c16864"</definedName>
    <definedName name="IQ_EPS_NORM_EST_UP_MONTH" hidden="1">"c16592"</definedName>
    <definedName name="IQ_EPS_NORM_EST_UP_MONTH_CIQ" hidden="1">"c16856"</definedName>
    <definedName name="IQ_EPS_NORM_HIGH_EST" hidden="1">"c2228"</definedName>
    <definedName name="IQ_EPS_NORM_HIGH_EST_CIQ" hidden="1">"c4669"</definedName>
    <definedName name="IQ_EPS_NORM_HIGH_EST_REUT" hidden="1">"c5328"</definedName>
    <definedName name="IQ_EPS_NORM_LOW_EST" hidden="1">"c2229"</definedName>
    <definedName name="IQ_EPS_NORM_LOW_EST_CIQ" hidden="1">"c4670"</definedName>
    <definedName name="IQ_EPS_NORM_LOW_EST_REUT" hidden="1">"c5329"</definedName>
    <definedName name="IQ_EPS_NORM_MEDIAN_EST" hidden="1">"c2227"</definedName>
    <definedName name="IQ_EPS_NORM_MEDIAN_EST_CIQ" hidden="1">"c4668"</definedName>
    <definedName name="IQ_EPS_NORM_MEDIAN_EST_REUT" hidden="1">"c5327"</definedName>
    <definedName name="IQ_EPS_NORM_NUM_EST" hidden="1">"c2230"</definedName>
    <definedName name="IQ_EPS_NORM_NUM_EST_CIQ" hidden="1">"c4671"</definedName>
    <definedName name="IQ_EPS_NORM_NUM_EST_REUT" hidden="1">"c5330"</definedName>
    <definedName name="IQ_EPS_NORM_STDDEV_EST" hidden="1">"c2231"</definedName>
    <definedName name="IQ_EPS_NORM_STDDEV_EST_CIQ" hidden="1">"c4672"</definedName>
    <definedName name="IQ_EPS_NORM_STDDEV_EST_REUT" hidden="1">"c5331"</definedName>
    <definedName name="IQ_EPS_NUM_EST" hidden="1">"c402"</definedName>
    <definedName name="IQ_EPS_NUM_EST_CIQ" hidden="1">"c4992"</definedName>
    <definedName name="IQ_EPS_NUM_EST_REUT" hidden="1">"c5451"</definedName>
    <definedName name="IQ_EPS_NUM_EST_THOM" hidden="1">"c5288"</definedName>
    <definedName name="IQ_EPS_PRIMARY_EST" hidden="1">"c2226"</definedName>
    <definedName name="IQ_EPS_PRIMARY_HIGH_EST" hidden="1">"c2228"</definedName>
    <definedName name="IQ_EPS_PRIMARY_LOW_EST" hidden="1">"c2229"</definedName>
    <definedName name="IQ_EPS_PRIMARY_MEDIAN_EST" hidden="1">"c2227"</definedName>
    <definedName name="IQ_EPS_PRIMARY_NUM_EST" hidden="1">"c2230"</definedName>
    <definedName name="IQ_EPS_PRIMARY_STDDEV_EST" hidden="1">"c2231"</definedName>
    <definedName name="IQ_EPS_REPORT_ACT_OR_EST" hidden="1">"c2224"</definedName>
    <definedName name="IQ_EPS_REPORT_ACT_OR_EST_CIQ" hidden="1">"c5067"</definedName>
    <definedName name="IQ_EPS_REPORT_ACT_OR_EST_THOM" hidden="1">"c5307"</definedName>
    <definedName name="IQ_EPS_REPORTED_EST" hidden="1">"c1744"</definedName>
    <definedName name="IQ_EPS_REPORTED_EST_BOTTOM_UP" hidden="1">"c5492"</definedName>
    <definedName name="IQ_EPS_REPORTED_EST_BOTTOM_UP_CIQ" hidden="1">"c12029"</definedName>
    <definedName name="IQ_EPS_REPORTED_EST_CIQ" hidden="1">"c4730"</definedName>
    <definedName name="IQ_EPS_REPORTED_EST_DOWN_2MONTH" hidden="1">"c16477"</definedName>
    <definedName name="IQ_EPS_REPORTED_EST_DOWN_2MONTH_CIQ" hidden="1">"c16765"</definedName>
    <definedName name="IQ_EPS_REPORTED_EST_DOWN_3MONTH" hidden="1">"c16481"</definedName>
    <definedName name="IQ_EPS_REPORTED_EST_DOWN_3MONTH_CIQ" hidden="1">"c16769"</definedName>
    <definedName name="IQ_EPS_REPORTED_EST_DOWN_MONTH" hidden="1">"c16473"</definedName>
    <definedName name="IQ_EPS_REPORTED_EST_DOWN_MONTH_CIQ" hidden="1">"c16761"</definedName>
    <definedName name="IQ_EPS_REPORTED_EST_NOTE" hidden="1">"c17517"</definedName>
    <definedName name="IQ_EPS_REPORTED_EST_NOTE_CIQ" hidden="1">"c17470"</definedName>
    <definedName name="IQ_EPS_REPORTED_EST_NUM_ANALYSTS_2MONTH" hidden="1">"c16475"</definedName>
    <definedName name="IQ_EPS_REPORTED_EST_NUM_ANALYSTS_2MONTH_CIQ" hidden="1">"c16763"</definedName>
    <definedName name="IQ_EPS_REPORTED_EST_NUM_ANALYSTS_3MONTH" hidden="1">"c16479"</definedName>
    <definedName name="IQ_EPS_REPORTED_EST_NUM_ANALYSTS_3MONTH_CIQ" hidden="1">"c16767"</definedName>
    <definedName name="IQ_EPS_REPORTED_EST_NUM_ANALYSTS_MONTH" hidden="1">"c16471"</definedName>
    <definedName name="IQ_EPS_REPORTED_EST_NUM_ANALYSTS_MONTH_CIQ" hidden="1">"c16759"</definedName>
    <definedName name="IQ_EPS_REPORTED_EST_REUT" hidden="1">"c5396"</definedName>
    <definedName name="IQ_EPS_REPORTED_EST_THOM" hidden="1">"c5140"</definedName>
    <definedName name="IQ_EPS_REPORTED_EST_TOTAL_REVISED_2MONTH" hidden="1">"c16478"</definedName>
    <definedName name="IQ_EPS_REPORTED_EST_TOTAL_REVISED_2MONTH_CIQ" hidden="1">"c16766"</definedName>
    <definedName name="IQ_EPS_REPORTED_EST_TOTAL_REVISED_3MONTH" hidden="1">"c16482"</definedName>
    <definedName name="IQ_EPS_REPORTED_EST_TOTAL_REVISED_3MONTH_CIQ" hidden="1">"c16770"</definedName>
    <definedName name="IQ_EPS_REPORTED_EST_TOTAL_REVISED_MONTH" hidden="1">"c16474"</definedName>
    <definedName name="IQ_EPS_REPORTED_EST_TOTAL_REVISED_MONTH_CIQ" hidden="1">"c16762"</definedName>
    <definedName name="IQ_EPS_REPORTED_EST_UP_2MONTH" hidden="1">"c16476"</definedName>
    <definedName name="IQ_EPS_REPORTED_EST_UP_2MONTH_CIQ" hidden="1">"c16764"</definedName>
    <definedName name="IQ_EPS_REPORTED_EST_UP_3MONTH" hidden="1">"c16480"</definedName>
    <definedName name="IQ_EPS_REPORTED_EST_UP_3MONTH_CIQ" hidden="1">"c16768"</definedName>
    <definedName name="IQ_EPS_REPORTED_EST_UP_MONTH" hidden="1">"c16472"</definedName>
    <definedName name="IQ_EPS_REPORTED_EST_UP_MONTH_CIQ" hidden="1">"c16760"</definedName>
    <definedName name="IQ_EPS_REPORTED_HIGH_EST" hidden="1">"c1746"</definedName>
    <definedName name="IQ_EPS_REPORTED_HIGH_EST_CIQ" hidden="1">"c4732"</definedName>
    <definedName name="IQ_EPS_REPORTED_HIGH_EST_REUT" hidden="1">"c5398"</definedName>
    <definedName name="IQ_EPS_REPORTED_HIGH_EST_THOM" hidden="1">"c5142"</definedName>
    <definedName name="IQ_EPS_REPORTED_LOW_EST" hidden="1">"c1747"</definedName>
    <definedName name="IQ_EPS_REPORTED_LOW_EST_CIQ" hidden="1">"c4733"</definedName>
    <definedName name="IQ_EPS_REPORTED_LOW_EST_REUT" hidden="1">"c5399"</definedName>
    <definedName name="IQ_EPS_REPORTED_LOW_EST_THOM" hidden="1">"c5143"</definedName>
    <definedName name="IQ_EPS_REPORTED_MEDIAN_EST" hidden="1">"c1745"</definedName>
    <definedName name="IQ_EPS_REPORTED_MEDIAN_EST_CIQ" hidden="1">"c4731"</definedName>
    <definedName name="IQ_EPS_REPORTED_MEDIAN_EST_REUT" hidden="1">"c5397"</definedName>
    <definedName name="IQ_EPS_REPORTED_MEDIAN_EST_THOM" hidden="1">"c5141"</definedName>
    <definedName name="IQ_EPS_REPORTED_NUM_EST" hidden="1">"c1748"</definedName>
    <definedName name="IQ_EPS_REPORTED_NUM_EST_CIQ" hidden="1">"c4734"</definedName>
    <definedName name="IQ_EPS_REPORTED_NUM_EST_REUT" hidden="1">"c5400"</definedName>
    <definedName name="IQ_EPS_REPORTED_NUM_EST_THOM" hidden="1">"c5144"</definedName>
    <definedName name="IQ_EPS_REPORTED_STDDEV_EST" hidden="1">"c1749"</definedName>
    <definedName name="IQ_EPS_REPORTED_STDDEV_EST_CIQ" hidden="1">"c4735"</definedName>
    <definedName name="IQ_EPS_REPORTED_STDDEV_EST_REUT" hidden="1">"c5401"</definedName>
    <definedName name="IQ_EPS_REPORTED_STDDEV_EST_THOM" hidden="1">"c5145"</definedName>
    <definedName name="IQ_EPS_SBC_ACT_OR_EST" hidden="1">"c4376"</definedName>
    <definedName name="IQ_EPS_SBC_ACT_OR_EST_CIQ" hidden="1">"c4901"</definedName>
    <definedName name="IQ_EPS_SBC_ACT_OR_EST_CIQ_COL" hidden="1">"c11548"</definedName>
    <definedName name="IQ_EPS_SBC_EST" hidden="1">"c4375"</definedName>
    <definedName name="IQ_EPS_SBC_EST_CIQ" hidden="1">"c4900"</definedName>
    <definedName name="IQ_EPS_SBC_GUIDANCE" hidden="1">"c4377"</definedName>
    <definedName name="IQ_EPS_SBC_GUIDANCE_CIQ" hidden="1">"c4902"</definedName>
    <definedName name="IQ_EPS_SBC_GUIDANCE_CIQ_COL" hidden="1">"c11549"</definedName>
    <definedName name="IQ_EPS_SBC_GW_ACT_OR_EST" hidden="1">"c4380"</definedName>
    <definedName name="IQ_EPS_SBC_GW_ACT_OR_EST_CIQ" hidden="1">"c4905"</definedName>
    <definedName name="IQ_EPS_SBC_GW_ACT_OR_EST_CIQ_COL" hidden="1">"c11552"</definedName>
    <definedName name="IQ_EPS_SBC_GW_EST" hidden="1">"c4379"</definedName>
    <definedName name="IQ_EPS_SBC_GW_EST_CIQ" hidden="1">"c4904"</definedName>
    <definedName name="IQ_EPS_SBC_GW_GUIDANCE" hidden="1">"c4381"</definedName>
    <definedName name="IQ_EPS_SBC_GW_GUIDANCE_CIQ" hidden="1">"c4906"</definedName>
    <definedName name="IQ_EPS_SBC_GW_GUIDANCE_CIQ_COL" hidden="1">"c11553"</definedName>
    <definedName name="IQ_EPS_SBC_GW_HIGH_EST" hidden="1">"c4382"</definedName>
    <definedName name="IQ_EPS_SBC_GW_HIGH_EST_CIQ" hidden="1">"c4907"</definedName>
    <definedName name="IQ_EPS_SBC_GW_HIGH_GUIDANCE" hidden="1">"c4189"</definedName>
    <definedName name="IQ_EPS_SBC_GW_HIGH_GUIDANCE_CIQ" hidden="1">"c4601"</definedName>
    <definedName name="IQ_EPS_SBC_GW_HIGH_GUIDANCE_CIQ_COL" hidden="1">"c11250"</definedName>
    <definedName name="IQ_EPS_SBC_GW_LOW_EST" hidden="1">"c4383"</definedName>
    <definedName name="IQ_EPS_SBC_GW_LOW_EST_CIQ" hidden="1">"c4908"</definedName>
    <definedName name="IQ_EPS_SBC_GW_LOW_GUIDANCE" hidden="1">"c4229"</definedName>
    <definedName name="IQ_EPS_SBC_GW_LOW_GUIDANCE_CIQ" hidden="1">"c4641"</definedName>
    <definedName name="IQ_EPS_SBC_GW_LOW_GUIDANCE_CIQ_COL" hidden="1">"c11290"</definedName>
    <definedName name="IQ_EPS_SBC_GW_MEDIAN_EST" hidden="1">"c4384"</definedName>
    <definedName name="IQ_EPS_SBC_GW_MEDIAN_EST_CIQ" hidden="1">"c4909"</definedName>
    <definedName name="IQ_EPS_SBC_GW_NUM_EST" hidden="1">"c4385"</definedName>
    <definedName name="IQ_EPS_SBC_GW_NUM_EST_CIQ" hidden="1">"c4910"</definedName>
    <definedName name="IQ_EPS_SBC_GW_STDDEV_EST" hidden="1">"c4386"</definedName>
    <definedName name="IQ_EPS_SBC_GW_STDDEV_EST_CIQ" hidden="1">"c4911"</definedName>
    <definedName name="IQ_EPS_SBC_HIGH_EST" hidden="1">"c4388"</definedName>
    <definedName name="IQ_EPS_SBC_HIGH_EST_CIQ" hidden="1">"c4913"</definedName>
    <definedName name="IQ_EPS_SBC_HIGH_GUIDANCE" hidden="1">"c4188"</definedName>
    <definedName name="IQ_EPS_SBC_HIGH_GUIDANCE_CIQ" hidden="1">"c4600"</definedName>
    <definedName name="IQ_EPS_SBC_HIGH_GUIDANCE_CIQ_COL" hidden="1">"c11249"</definedName>
    <definedName name="IQ_EPS_SBC_LOW_EST" hidden="1">"c4389"</definedName>
    <definedName name="IQ_EPS_SBC_LOW_EST_CIQ" hidden="1">"c4914"</definedName>
    <definedName name="IQ_EPS_SBC_LOW_GUIDANCE" hidden="1">"c4228"</definedName>
    <definedName name="IQ_EPS_SBC_LOW_GUIDANCE_CIQ" hidden="1">"c4640"</definedName>
    <definedName name="IQ_EPS_SBC_LOW_GUIDANCE_CIQ_COL" hidden="1">"c11289"</definedName>
    <definedName name="IQ_EPS_SBC_MEDIAN_EST" hidden="1">"c4390"</definedName>
    <definedName name="IQ_EPS_SBC_MEDIAN_EST_CIQ" hidden="1">"c4915"</definedName>
    <definedName name="IQ_EPS_SBC_NUM_EST" hidden="1">"c4391"</definedName>
    <definedName name="IQ_EPS_SBC_NUM_EST_CIQ" hidden="1">"c4916"</definedName>
    <definedName name="IQ_EPS_SBC_STDDEV_EST" hidden="1">"c4392"</definedName>
    <definedName name="IQ_EPS_SBC_STDDEV_EST_CIQ" hidden="1">"c4917"</definedName>
    <definedName name="IQ_EPS_STDDEV_EST" hidden="1">"c403"</definedName>
    <definedName name="IQ_EPS_STDDEV_EST_CIQ" hidden="1">"c4993"</definedName>
    <definedName name="IQ_EPS_STDDEV_EST_REUT" hidden="1">"c5452"</definedName>
    <definedName name="IQ_EPS_STDDEV_EST_THOM" hidden="1">"c5289"</definedName>
    <definedName name="IQ_EQUITY_AFFIL" hidden="1">"c552"</definedName>
    <definedName name="IQ_EQUITY_AP" hidden="1">"c8887"</definedName>
    <definedName name="IQ_EQUITY_AP_ABS" hidden="1">"c8906"</definedName>
    <definedName name="IQ_EQUITY_ASKPRICE" hidden="1">"c17798"</definedName>
    <definedName name="IQ_EQUITY_ASSETS_TOT_FFIEC" hidden="1">"c13436"</definedName>
    <definedName name="IQ_EQUITY_BEG_EXCL_FFIEC" hidden="1">"c12957"</definedName>
    <definedName name="IQ_EQUITY_BEG_FFIEC" hidden="1">"c12959"</definedName>
    <definedName name="IQ_EQUITY_BIDPRICE" hidden="1">"c17797"</definedName>
    <definedName name="IQ_EQUITY_CAPITAL_ASSETS_FDIC" hidden="1">"c6744"</definedName>
    <definedName name="IQ_EQUITY_CAPITAL_QUARTERLY_AVG_FFIEC" hidden="1">"c13092"</definedName>
    <definedName name="IQ_EQUITY_ENDING_FFIEC" hidden="1">"c12973"</definedName>
    <definedName name="IQ_EQUITY_FDIC" hidden="1">"c6353"</definedName>
    <definedName name="IQ_EQUITY_INDEX_EXPOSURE_FFIEC" hidden="1">"c13060"</definedName>
    <definedName name="IQ_EQUITY_INV_NOT_CARRIED_FV_ADJUSTED_NCOS_THRIFT" hidden="1">"c25226"</definedName>
    <definedName name="IQ_EQUITY_INV_NOT_CARRIED_FV_SVA_PROVISIONS_TRANSFERS_FROM_GVA_THRIFT" hidden="1">"c25195"</definedName>
    <definedName name="IQ_EQUITY_INV_NOT_SUBJECT_SFAS_NO115_GVA_CHARGE_OFFS_THRIFT" hidden="1">"c25141"</definedName>
    <definedName name="IQ_EQUITY_INV_NOT_SUBJECT_SFAS_NO115_GVA_RECOVERIES_THRIFT" hidden="1">"c25164"</definedName>
    <definedName name="IQ_EQUITY_LIST" hidden="1">"c15158"</definedName>
    <definedName name="IQ_EQUITY_METHOD" hidden="1">"c404"</definedName>
    <definedName name="IQ_EQUITY_MIDPRICE" hidden="1">"c17799"</definedName>
    <definedName name="IQ_EQUITY_NAME_AP" hidden="1">"c8925"</definedName>
    <definedName name="IQ_EQUITY_NAME_AP_ABS" hidden="1">"c8944"</definedName>
    <definedName name="IQ_EQUITY_SEC_FAIR_VALUE_AFS_AMORT_COST_FFIEC" hidden="1">"c20505"</definedName>
    <definedName name="IQ_EQUITY_SEC_FAIR_VALUE_AFS_FAIR_VAL_FFIEC" hidden="1">"c20470"</definedName>
    <definedName name="IQ_EQUITY_SEC_FAIR_VALUE_FFIEC" hidden="1">"c12805"</definedName>
    <definedName name="IQ_EQUITY_SEC_FV_THRIFT" hidden="1">"c24823"</definedName>
    <definedName name="IQ_EQUITY_SEC_INVEST_SECURITIES_FFIEC" hidden="1">"c13463"</definedName>
    <definedName name="IQ_EQUITY_SECURITIES_FDIC" hidden="1">"c6304"</definedName>
    <definedName name="IQ_EQUITY_SECURITIES_QUARTERLY_AVG_FFIEC" hidden="1">"c15474"</definedName>
    <definedName name="IQ_EQUITY_SECURITIES_WITHOUT_FAIR_VALUES_FFIEC" hidden="1">"c12846"</definedName>
    <definedName name="IQ_EQUITY_SECURITY_EXPOSURES_FDIC" hidden="1">"c6664"</definedName>
    <definedName name="IQ_EQUITY_TIER_ONE_CAPITAL" hidden="1">"c15246"</definedName>
    <definedName name="IQ_EQUITY_TIER_ONE_CAPITAL_RATIO" hidden="1">"c15242"</definedName>
    <definedName name="IQ_EQV_OVER_BV" hidden="1">"c1596"</definedName>
    <definedName name="IQ_EQV_OVER_LTM_PRETAX_INC" hidden="1">"c739"</definedName>
    <definedName name="IQ_ESCROWS_THRIFT" hidden="1">"c24897"</definedName>
    <definedName name="IQ_ESOP_DEBT" hidden="1">"c1597"</definedName>
    <definedName name="IQ_ESOP_DEBT_GUARANTEED_FFIEC" hidden="1">"c12971"</definedName>
    <definedName name="IQ_ESOP_OVER_TOTAL" hidden="1">"c13768"</definedName>
    <definedName name="IQ_EST_ACT_AFFO_PER_SHARE" hidden="1">"c18250"</definedName>
    <definedName name="IQ_EST_ACT_AFFO_PER_SHARE_CIQ" hidden="1">"c18256"</definedName>
    <definedName name="IQ_EST_ACT_BV" hidden="1">"c5630"</definedName>
    <definedName name="IQ_EST_ACT_BV_CIQ" hidden="1">"c4743"</definedName>
    <definedName name="IQ_EST_ACT_BV_SHARE" hidden="1">"c3549"</definedName>
    <definedName name="IQ_EST_ACT_BV_SHARE_CIQ" hidden="1">"c3806"</definedName>
    <definedName name="IQ_EST_ACT_BV_SHARE_THOM" hidden="1">"c4026"</definedName>
    <definedName name="IQ_EST_ACT_CAPEX" hidden="1">"c3546"</definedName>
    <definedName name="IQ_EST_ACT_CAPEX_CIQ" hidden="1">"c3813"</definedName>
    <definedName name="IQ_EST_ACT_CAPEX_THOM" hidden="1">"c5508"</definedName>
    <definedName name="IQ_EST_ACT_CASH_EPS" hidden="1">"c5637"</definedName>
    <definedName name="IQ_EST_ACT_CASH_EPS_CIQ" hidden="1">"c18249"</definedName>
    <definedName name="IQ_EST_ACT_CASH_EPS_THOM" hidden="1">"c5645"</definedName>
    <definedName name="IQ_EST_ACT_CASH_FLOW" hidden="1">"c4394"</definedName>
    <definedName name="IQ_EST_ACT_CASH_FLOW_CIQ" hidden="1">"c4919"</definedName>
    <definedName name="IQ_EST_ACT_CASH_OPER" hidden="1">"c4395"</definedName>
    <definedName name="IQ_EST_ACT_CASH_OPER_CIQ" hidden="1">"c4920"</definedName>
    <definedName name="IQ_EST_ACT_CFPS" hidden="1">"c1673"</definedName>
    <definedName name="IQ_EST_ACT_CFPS_CIQ" hidden="1">"c3681"</definedName>
    <definedName name="IQ_EST_ACT_CFPS_THOM" hidden="1">"c4012"</definedName>
    <definedName name="IQ_EST_ACT_DA" hidden="1">"c18253"</definedName>
    <definedName name="IQ_EST_ACT_DA_CIQ" hidden="1">"c18259"</definedName>
    <definedName name="IQ_EST_ACT_DISTRIBUTABLE_CASH" hidden="1">"c4396"</definedName>
    <definedName name="IQ_EST_ACT_DISTRIBUTABLE_CASH_CIQ" hidden="1">"c4921"</definedName>
    <definedName name="IQ_EST_ACT_DISTRIBUTABLE_CASH_CIQ_COL" hidden="1">"c11568"</definedName>
    <definedName name="IQ_EST_ACT_DISTRIBUTABLE_CASH_SHARE" hidden="1">"c4397"</definedName>
    <definedName name="IQ_EST_ACT_DISTRIBUTABLE_CASH_SHARE_CIQ" hidden="1">"c4922"</definedName>
    <definedName name="IQ_EST_ACT_DPS" hidden="1">"c1680"</definedName>
    <definedName name="IQ_EST_ACT_DPS_CIQ" hidden="1">"c3688"</definedName>
    <definedName name="IQ_EST_ACT_DPS_THOM" hidden="1">"c4019"</definedName>
    <definedName name="IQ_EST_ACT_EBIT" hidden="1">"c1687"</definedName>
    <definedName name="IQ_EST_ACT_EBIT_CIQ" hidden="1">"c4680"</definedName>
    <definedName name="IQ_EST_ACT_EBIT_GW" hidden="1">"c4398"</definedName>
    <definedName name="IQ_EST_ACT_EBIT_GW_CIQ" hidden="1">"c4923"</definedName>
    <definedName name="IQ_EST_ACT_EBIT_SBC" hidden="1">"c4399"</definedName>
    <definedName name="IQ_EST_ACT_EBIT_SBC_CIQ" hidden="1">"c4924"</definedName>
    <definedName name="IQ_EST_ACT_EBIT_SBC_GW" hidden="1">"c4400"</definedName>
    <definedName name="IQ_EST_ACT_EBIT_SBC_GW_CIQ" hidden="1">"c4925"</definedName>
    <definedName name="IQ_EST_ACT_EBIT_THOM" hidden="1">"c5111"</definedName>
    <definedName name="IQ_EST_ACT_EBITDA" hidden="1">"c1664"</definedName>
    <definedName name="IQ_EST_ACT_EBITDA_CIQ" hidden="1">"c3667"</definedName>
    <definedName name="IQ_EST_ACT_EBITDA_SBC" hidden="1">"c4401"</definedName>
    <definedName name="IQ_EST_ACT_EBITDA_SBC_CIQ" hidden="1">"c4926"</definedName>
    <definedName name="IQ_EST_ACT_EBITDA_THOM" hidden="1">"c3998"</definedName>
    <definedName name="IQ_EST_ACT_EBT_SBC" hidden="1">"c4402"</definedName>
    <definedName name="IQ_EST_ACT_EBT_SBC_CIQ" hidden="1">"c4927"</definedName>
    <definedName name="IQ_EST_ACT_EBT_SBC_GW" hidden="1">"c4403"</definedName>
    <definedName name="IQ_EST_ACT_EBT_SBC_GW_CIQ" hidden="1">"c4928"</definedName>
    <definedName name="IQ_EST_ACT_EFFECTIVE_TAX" hidden="1">"c18251"</definedName>
    <definedName name="IQ_EST_ACT_EFFECTIVE_TAX_CIQ" hidden="1">"c18257"</definedName>
    <definedName name="IQ_EST_ACT_EPS" hidden="1">"c1648"</definedName>
    <definedName name="IQ_EST_ACT_EPS_CIQ" hidden="1">"c4998"</definedName>
    <definedName name="IQ_EST_ACT_EPS_GW" hidden="1">"c1743"</definedName>
    <definedName name="IQ_EST_ACT_EPS_GW_CIQ" hidden="1">"c4729"</definedName>
    <definedName name="IQ_EST_ACT_EPS_GW_REUT" hidden="1">"c5395"</definedName>
    <definedName name="IQ_EST_ACT_EPS_GW_THOM" hidden="1">"c5139"</definedName>
    <definedName name="IQ_EST_ACT_EPS_NORM" hidden="1">"c2232"</definedName>
    <definedName name="IQ_EST_ACT_EPS_NORM_CIQ" hidden="1">"c4673"</definedName>
    <definedName name="IQ_EST_ACT_EPS_NORM_REUT" hidden="1">"c5332"</definedName>
    <definedName name="IQ_EST_ACT_EPS_PRIMARY" hidden="1">"c2232"</definedName>
    <definedName name="IQ_EST_ACT_EPS_REPORTED" hidden="1">"c1750"</definedName>
    <definedName name="IQ_EST_ACT_EPS_REPORTED_CIQ" hidden="1">"c4736"</definedName>
    <definedName name="IQ_EST_ACT_EPS_REPORTED_REUT" hidden="1">"c5402"</definedName>
    <definedName name="IQ_EST_ACT_EPS_REPORTED_THOM" hidden="1">"c5146"</definedName>
    <definedName name="IQ_EST_ACT_EPS_SBC" hidden="1">"c4404"</definedName>
    <definedName name="IQ_EST_ACT_EPS_SBC_CIQ" hidden="1">"c4929"</definedName>
    <definedName name="IQ_EST_ACT_EPS_SBC_GW" hidden="1">"c4405"</definedName>
    <definedName name="IQ_EST_ACT_EPS_SBC_GW_CIQ" hidden="1">"c4930"</definedName>
    <definedName name="IQ_EST_ACT_EPS_THOM" hidden="1">"c5294"</definedName>
    <definedName name="IQ_EST_ACT_FCF" hidden="1">"c18255"</definedName>
    <definedName name="IQ_EST_ACT_FCF_CIQ" hidden="1">"c18261"</definedName>
    <definedName name="IQ_EST_ACT_FFO" hidden="1">"c1666"</definedName>
    <definedName name="IQ_EST_ACT_FFO_ADJ" hidden="1">"c4406"</definedName>
    <definedName name="IQ_EST_ACT_FFO_ADJ_CIQ" hidden="1">"c4931"</definedName>
    <definedName name="IQ_EST_ACT_FFO_CIQ" hidden="1">"c4932"</definedName>
    <definedName name="IQ_EST_ACT_FFO_CIQ_COL" hidden="1">"c11579"</definedName>
    <definedName name="IQ_EST_ACT_FFO_REUT" hidden="1">"c3843"</definedName>
    <definedName name="IQ_EST_ACT_FFO_SHARE" hidden="1">"c1666"</definedName>
    <definedName name="IQ_EST_ACT_FFO_SHARE_CIQ" hidden="1">"c3674"</definedName>
    <definedName name="IQ_EST_ACT_FFO_THOM" hidden="1">"c4005"</definedName>
    <definedName name="IQ_EST_ACT_GROSS_MARGIN" hidden="1">"c5553"</definedName>
    <definedName name="IQ_EST_ACT_GROSS_MARGIN_CIQ" hidden="1">"c18248"</definedName>
    <definedName name="IQ_EST_ACT_GROSS_MARGIN_THOM" hidden="1">"c5561"</definedName>
    <definedName name="IQ_EST_ACT_INTEREST_EXP" hidden="1">"c18252"</definedName>
    <definedName name="IQ_EST_ACT_INTEREST_EXP_CIQ" hidden="1">"c18258"</definedName>
    <definedName name="IQ_EST_ACT_MAINT_CAPEX" hidden="1">"c4408"</definedName>
    <definedName name="IQ_EST_ACT_MAINT_CAPEX_CIQ" hidden="1">"c4933"</definedName>
    <definedName name="IQ_EST_ACT_NAV" hidden="1">"c1757"</definedName>
    <definedName name="IQ_EST_ACT_NAV_CIQ" hidden="1">"c18247"</definedName>
    <definedName name="IQ_EST_ACT_NAV_SHARE" hidden="1">"c5608"</definedName>
    <definedName name="IQ_EST_ACT_NAV_SHARE_CIQ" hidden="1">"c12031"</definedName>
    <definedName name="IQ_EST_ACT_NAV_THOM" hidden="1">"c5600"</definedName>
    <definedName name="IQ_EST_ACT_NET_DEBT" hidden="1">"c3545"</definedName>
    <definedName name="IQ_EST_ACT_NET_DEBT_CIQ" hidden="1">"c3820"</definedName>
    <definedName name="IQ_EST_ACT_NET_DEBT_THOM" hidden="1">"c4033"</definedName>
    <definedName name="IQ_EST_ACT_NI" hidden="1">"c1722"</definedName>
    <definedName name="IQ_EST_ACT_NI_CIQ" hidden="1">"c4708"</definedName>
    <definedName name="IQ_EST_ACT_NI_GW" hidden="1">"c1729"</definedName>
    <definedName name="IQ_EST_ACT_NI_GW_CIQ" hidden="1">"c4715"</definedName>
    <definedName name="IQ_EST_ACT_NI_REPORTED" hidden="1">"c1736"</definedName>
    <definedName name="IQ_EST_ACT_NI_REPORTED_CIQ" hidden="1">"c4722"</definedName>
    <definedName name="IQ_EST_ACT_NI_SBC" hidden="1">"c4409"</definedName>
    <definedName name="IQ_EST_ACT_NI_SBC_CIQ" hidden="1">"c4934"</definedName>
    <definedName name="IQ_EST_ACT_NI_SBC_GW" hidden="1">"c4410"</definedName>
    <definedName name="IQ_EST_ACT_NI_SBC_GW_CIQ" hidden="1">"c4935"</definedName>
    <definedName name="IQ_EST_ACT_NI_THOM" hidden="1">"c5132"</definedName>
    <definedName name="IQ_EST_ACT_OPER_INC" hidden="1">"c1694"</definedName>
    <definedName name="IQ_EST_ACT_OPER_INC_CIQ" hidden="1">"c12016"</definedName>
    <definedName name="IQ_EST_ACT_OPER_INC_THOM" hidden="1">"c5118"</definedName>
    <definedName name="IQ_EST_ACT_PRETAX_GW_INC" hidden="1">"c1708"</definedName>
    <definedName name="IQ_EST_ACT_PRETAX_GW_INC_CIQ" hidden="1">"c4694"</definedName>
    <definedName name="IQ_EST_ACT_PRETAX_INC" hidden="1">"c1701"</definedName>
    <definedName name="IQ_EST_ACT_PRETAX_INC_CIQ" hidden="1">"c4687"</definedName>
    <definedName name="IQ_EST_ACT_PRETAX_INC_THOM" hidden="1">"c5125"</definedName>
    <definedName name="IQ_EST_ACT_PRETAX_REPORT_INC" hidden="1">"c1715"</definedName>
    <definedName name="IQ_EST_ACT_PRETAX_REPORT_INC_CIQ" hidden="1">"c4701"</definedName>
    <definedName name="IQ_EST_ACT_RECURRING_PROFIT" hidden="1">"c4411"</definedName>
    <definedName name="IQ_EST_ACT_RECURRING_PROFIT_CIQ" hidden="1">"c4936"</definedName>
    <definedName name="IQ_EST_ACT_RECURRING_PROFIT_SHARE" hidden="1">"c4412"</definedName>
    <definedName name="IQ_EST_ACT_RECURRING_PROFIT_SHARE_CIQ" hidden="1">"c4937"</definedName>
    <definedName name="IQ_EST_ACT_RETURN_ASSETS" hidden="1">"c3547"</definedName>
    <definedName name="IQ_EST_ACT_RETURN_ASSETS_CIQ" hidden="1">"c3834"</definedName>
    <definedName name="IQ_EST_ACT_RETURN_ASSETS_THOM" hidden="1">"c4040"</definedName>
    <definedName name="IQ_EST_ACT_RETURN_EQUITY" hidden="1">"c3548"</definedName>
    <definedName name="IQ_EST_ACT_RETURN_EQUITY_CIQ" hidden="1">"c3827"</definedName>
    <definedName name="IQ_EST_ACT_RETURN_EQUITY_THOM" hidden="1">"c5287"</definedName>
    <definedName name="IQ_EST_ACT_REV" hidden="1">"c2113"</definedName>
    <definedName name="IQ_EST_ACT_REV_CIQ" hidden="1">"c3666"</definedName>
    <definedName name="IQ_EST_ACT_REV_THOM" hidden="1">"c3997"</definedName>
    <definedName name="IQ_EST_ACT_SAME_STORE" hidden="1">"c18254"</definedName>
    <definedName name="IQ_EST_ACT_SAME_STORE_CIQ" hidden="1">"c18260"</definedName>
    <definedName name="IQ_EST_BV_SHARE_DIFF" hidden="1">"c4147"</definedName>
    <definedName name="IQ_EST_BV_SHARE_DIFF_CIQ" hidden="1">"c4559"</definedName>
    <definedName name="IQ_EST_BV_SHARE_SURPRISE_PERCENT" hidden="1">"c4148"</definedName>
    <definedName name="IQ_EST_BV_SHARE_SURPRISE_PERCENT_CIQ" hidden="1">"c4560"</definedName>
    <definedName name="IQ_EST_CAPEX_DIFF" hidden="1">"c4149"</definedName>
    <definedName name="IQ_EST_CAPEX_DIFF_CIQ" hidden="1">"c4561"</definedName>
    <definedName name="IQ_EST_CAPEX_GROWTH_1YR" hidden="1">"c3588"</definedName>
    <definedName name="IQ_EST_CAPEX_GROWTH_1YR_CIQ" hidden="1">"c4972"</definedName>
    <definedName name="IQ_EST_CAPEX_GROWTH_1YR_THOM" hidden="1">"c5542"</definedName>
    <definedName name="IQ_EST_CAPEX_GROWTH_2YR" hidden="1">"c3589"</definedName>
    <definedName name="IQ_EST_CAPEX_GROWTH_2YR_CIQ" hidden="1">"c4973"</definedName>
    <definedName name="IQ_EST_CAPEX_GROWTH_2YR_THOM" hidden="1">"c5543"</definedName>
    <definedName name="IQ_EST_CAPEX_GROWTH_Q_1YR" hidden="1">"c3590"</definedName>
    <definedName name="IQ_EST_CAPEX_GROWTH_Q_1YR_CIQ" hidden="1">"c4974"</definedName>
    <definedName name="IQ_EST_CAPEX_GROWTH_Q_1YR_THOM" hidden="1">"c5544"</definedName>
    <definedName name="IQ_EST_CAPEX_SEQ_GROWTH_Q" hidden="1">"c3591"</definedName>
    <definedName name="IQ_EST_CAPEX_SEQ_GROWTH_Q_CIQ" hidden="1">"c4975"</definedName>
    <definedName name="IQ_EST_CAPEX_SEQ_GROWTH_Q_THOM" hidden="1">"c5545"</definedName>
    <definedName name="IQ_EST_CAPEX_SURPRISE_PERCENT" hidden="1">"c4151"</definedName>
    <definedName name="IQ_EST_CAPEX_SURPRISE_PERCENT_CIQ" hidden="1">"c4563"</definedName>
    <definedName name="IQ_EST_CASH_FLOW_DIFF" hidden="1">"c4152"</definedName>
    <definedName name="IQ_EST_CASH_FLOW_DIFF_CIQ" hidden="1">"c4564"</definedName>
    <definedName name="IQ_EST_CASH_FLOW_DIFF_CIQ_COL" hidden="1">"c11213"</definedName>
    <definedName name="IQ_EST_CASH_FLOW_SURPRISE_PERCENT" hidden="1">"c4161"</definedName>
    <definedName name="IQ_EST_CASH_FLOW_SURPRISE_PERCENT_CIQ" hidden="1">"c4573"</definedName>
    <definedName name="IQ_EST_CASH_FLOW_SURPRISE_PERCENT_CIQ_COL" hidden="1">"c11222"</definedName>
    <definedName name="IQ_EST_CASH_OPER_DIFF" hidden="1">"c4162"</definedName>
    <definedName name="IQ_EST_CASH_OPER_DIFF_CIQ" hidden="1">"c4574"</definedName>
    <definedName name="IQ_EST_CASH_OPER_DIFF_CIQ_COL" hidden="1">"c11223"</definedName>
    <definedName name="IQ_EST_CASH_OPER_SURPRISE_PERCENT" hidden="1">"c4248"</definedName>
    <definedName name="IQ_EST_CASH_OPER_SURPRISE_PERCENT_CIQ" hidden="1">"c4774"</definedName>
    <definedName name="IQ_EST_CASH_OPER_SURPRISE_PERCENT_CIQ_COL" hidden="1">"c11421"</definedName>
    <definedName name="IQ_EST_CFPS_DIFF" hidden="1">"c1871"</definedName>
    <definedName name="IQ_EST_CFPS_DIFF_CIQ" hidden="1">"c3723"</definedName>
    <definedName name="IQ_EST_CFPS_DIFF_THOM" hidden="1">"c5188"</definedName>
    <definedName name="IQ_EST_CFPS_GROWTH_1YR" hidden="1">"c1774"</definedName>
    <definedName name="IQ_EST_CFPS_GROWTH_1YR_CIQ" hidden="1">"c3709"</definedName>
    <definedName name="IQ_EST_CFPS_GROWTH_1YR_THOM" hidden="1">"c5174"</definedName>
    <definedName name="IQ_EST_CFPS_GROWTH_2YR" hidden="1">"c1775"</definedName>
    <definedName name="IQ_EST_CFPS_GROWTH_2YR_CIQ" hidden="1">"c3710"</definedName>
    <definedName name="IQ_EST_CFPS_GROWTH_2YR_THOM" hidden="1">"c5175"</definedName>
    <definedName name="IQ_EST_CFPS_GROWTH_Q_1YR" hidden="1">"c1776"</definedName>
    <definedName name="IQ_EST_CFPS_GROWTH_Q_1YR_CIQ" hidden="1">"c3711"</definedName>
    <definedName name="IQ_EST_CFPS_GROWTH_Q_1YR_THOM" hidden="1">"c5176"</definedName>
    <definedName name="IQ_EST_CFPS_SEQ_GROWTH_Q" hidden="1">"c1777"</definedName>
    <definedName name="IQ_EST_CFPS_SEQ_GROWTH_Q_CIQ" hidden="1">"c3712"</definedName>
    <definedName name="IQ_EST_CFPS_SEQ_GROWTH_Q_THOM" hidden="1">"c5177"</definedName>
    <definedName name="IQ_EST_CFPS_SURPRISE_PERCENT" hidden="1">"c1872"</definedName>
    <definedName name="IQ_EST_CFPS_SURPRISE_PERCENT_CIQ" hidden="1">"c3724"</definedName>
    <definedName name="IQ_EST_CFPS_SURPRISE_PERCENT_THOM" hidden="1">"c5189"</definedName>
    <definedName name="IQ_EST_CURRENCY" hidden="1">"c2140"</definedName>
    <definedName name="IQ_EST_CURRENCY_CIQ" hidden="1">"c4769"</definedName>
    <definedName name="IQ_EST_CURRENCY_REUT" hidden="1">"c5437"</definedName>
    <definedName name="IQ_EST_CURRENCY_THOM" hidden="1">"c5280"</definedName>
    <definedName name="IQ_EST_DATE" hidden="1">"c1634"</definedName>
    <definedName name="IQ_EST_DATE_CIQ" hidden="1">"c4770"</definedName>
    <definedName name="IQ_EST_DATE_REUT" hidden="1">"c5438"</definedName>
    <definedName name="IQ_EST_DATE_THOM" hidden="1">"c5281"</definedName>
    <definedName name="IQ_EST_DISTRIBUTABLE_CASH_DIFF" hidden="1">"c4276"</definedName>
    <definedName name="IQ_EST_DISTRIBUTABLE_CASH_DIFF_CIQ" hidden="1">"c4801"</definedName>
    <definedName name="IQ_EST_DISTRIBUTABLE_CASH_DIFF_CIQ_COL" hidden="1">"c11448"</definedName>
    <definedName name="IQ_EST_DISTRIBUTABLE_CASH_GROWTH_1YR" hidden="1">"c4413"</definedName>
    <definedName name="IQ_EST_DISTRIBUTABLE_CASH_GROWTH_1YR_CIQ" hidden="1">"c4938"</definedName>
    <definedName name="IQ_EST_DISTRIBUTABLE_CASH_GROWTH_1YR_CIQ_COL" hidden="1">"c11585"</definedName>
    <definedName name="IQ_EST_DISTRIBUTABLE_CASH_GROWTH_2YR" hidden="1">"c4414"</definedName>
    <definedName name="IQ_EST_DISTRIBUTABLE_CASH_GROWTH_2YR_CIQ" hidden="1">"c4939"</definedName>
    <definedName name="IQ_EST_DISTRIBUTABLE_CASH_GROWTH_2YR_CIQ_COL" hidden="1">"c11586"</definedName>
    <definedName name="IQ_EST_DISTRIBUTABLE_CASH_GROWTH_Q_1YR" hidden="1">"c4415"</definedName>
    <definedName name="IQ_EST_DISTRIBUTABLE_CASH_GROWTH_Q_1YR_CIQ" hidden="1">"c4940"</definedName>
    <definedName name="IQ_EST_DISTRIBUTABLE_CASH_GROWTH_Q_1YR_CIQ_COL" hidden="1">"c11587"</definedName>
    <definedName name="IQ_EST_DISTRIBUTABLE_CASH_SEQ_GROWTH_Q" hidden="1">"c4416"</definedName>
    <definedName name="IQ_EST_DISTRIBUTABLE_CASH_SEQ_GROWTH_Q_CIQ" hidden="1">"c4941"</definedName>
    <definedName name="IQ_EST_DISTRIBUTABLE_CASH_SEQ_GROWTH_Q_CIQ_COL" hidden="1">"c11588"</definedName>
    <definedName name="IQ_EST_DISTRIBUTABLE_CASH_SHARE_DIFF" hidden="1">"c4284"</definedName>
    <definedName name="IQ_EST_DISTRIBUTABLE_CASH_SHARE_DIFF_CIQ" hidden="1">"c4809"</definedName>
    <definedName name="IQ_EST_DISTRIBUTABLE_CASH_SHARE_DIFF_CIQ_COL" hidden="1">"c11456"</definedName>
    <definedName name="IQ_EST_DISTRIBUTABLE_CASH_SHARE_GROWTH_1YR" hidden="1">"c4417"</definedName>
    <definedName name="IQ_EST_DISTRIBUTABLE_CASH_SHARE_GROWTH_1YR_CIQ" hidden="1">"c4942"</definedName>
    <definedName name="IQ_EST_DISTRIBUTABLE_CASH_SHARE_GROWTH_1YR_CIQ_COL" hidden="1">"c11589"</definedName>
    <definedName name="IQ_EST_DISTRIBUTABLE_CASH_SHARE_GROWTH_2YR" hidden="1">"c4418"</definedName>
    <definedName name="IQ_EST_DISTRIBUTABLE_CASH_SHARE_GROWTH_2YR_CIQ" hidden="1">"c4943"</definedName>
    <definedName name="IQ_EST_DISTRIBUTABLE_CASH_SHARE_GROWTH_2YR_CIQ_COL" hidden="1">"c11590"</definedName>
    <definedName name="IQ_EST_DISTRIBUTABLE_CASH_SHARE_GROWTH_Q_1YR" hidden="1">"c4419"</definedName>
    <definedName name="IQ_EST_DISTRIBUTABLE_CASH_SHARE_GROWTH_Q_1YR_CIQ" hidden="1">"c4944"</definedName>
    <definedName name="IQ_EST_DISTRIBUTABLE_CASH_SHARE_GROWTH_Q_1YR_CIQ_COL" hidden="1">"c11591"</definedName>
    <definedName name="IQ_EST_DISTRIBUTABLE_CASH_SHARE_SEQ_GROWTH_Q" hidden="1">"c4420"</definedName>
    <definedName name="IQ_EST_DISTRIBUTABLE_CASH_SHARE_SEQ_GROWTH_Q_CIQ" hidden="1">"c4945"</definedName>
    <definedName name="IQ_EST_DISTRIBUTABLE_CASH_SHARE_SEQ_GROWTH_Q_CIQ_COL" hidden="1">"c11592"</definedName>
    <definedName name="IQ_EST_DISTRIBUTABLE_CASH_SHARE_SURPRISE_PERCENT" hidden="1">"c4293"</definedName>
    <definedName name="IQ_EST_DISTRIBUTABLE_CASH_SHARE_SURPRISE_PERCENT_CIQ" hidden="1">"c4818"</definedName>
    <definedName name="IQ_EST_DISTRIBUTABLE_CASH_SHARE_SURPRISE_PERCENT_CIQ_COL" hidden="1">"c11465"</definedName>
    <definedName name="IQ_EST_DISTRIBUTABLE_CASH_SURPRISE_PERCENT" hidden="1">"c4295"</definedName>
    <definedName name="IQ_EST_DISTRIBUTABLE_CASH_SURPRISE_PERCENT_CIQ" hidden="1">"c4820"</definedName>
    <definedName name="IQ_EST_DISTRIBUTABLE_CASH_SURPRISE_PERCENT_CIQ_COL" hidden="1">"c11467"</definedName>
    <definedName name="IQ_EST_DPS_DIFF" hidden="1">"c1873"</definedName>
    <definedName name="IQ_EST_DPS_DIFF_CIQ" hidden="1">"c3725"</definedName>
    <definedName name="IQ_EST_DPS_DIFF_THOM" hidden="1">"c5190"</definedName>
    <definedName name="IQ_EST_DPS_GROWTH_1YR" hidden="1">"c1778"</definedName>
    <definedName name="IQ_EST_DPS_GROWTH_1YR_CIQ" hidden="1">"c3713"</definedName>
    <definedName name="IQ_EST_DPS_GROWTH_1YR_THOM" hidden="1">"c5178"</definedName>
    <definedName name="IQ_EST_DPS_GROWTH_2YR" hidden="1">"c1779"</definedName>
    <definedName name="IQ_EST_DPS_GROWTH_2YR_CIQ" hidden="1">"c3714"</definedName>
    <definedName name="IQ_EST_DPS_GROWTH_2YR_THOM" hidden="1">"c5179"</definedName>
    <definedName name="IQ_EST_DPS_GROWTH_Q_1YR" hidden="1">"c1780"</definedName>
    <definedName name="IQ_EST_DPS_GROWTH_Q_1YR_CIQ" hidden="1">"c3715"</definedName>
    <definedName name="IQ_EST_DPS_GROWTH_Q_1YR_THOM" hidden="1">"c5180"</definedName>
    <definedName name="IQ_EST_DPS_SEQ_GROWTH_Q" hidden="1">"c1781"</definedName>
    <definedName name="IQ_EST_DPS_SEQ_GROWTH_Q_CIQ" hidden="1">"c3716"</definedName>
    <definedName name="IQ_EST_DPS_SEQ_GROWTH_Q_THOM" hidden="1">"c5181"</definedName>
    <definedName name="IQ_EST_DPS_SURPRISE_PERCENT" hidden="1">"c1874"</definedName>
    <definedName name="IQ_EST_DPS_SURPRISE_PERCENT_CIQ" hidden="1">"c3726"</definedName>
    <definedName name="IQ_EST_DPS_SURPRISE_PERCENT_THOM" hidden="1">"c5191"</definedName>
    <definedName name="IQ_EST_EBIT_DIFF" hidden="1">"c1875"</definedName>
    <definedName name="IQ_EST_EBIT_DIFF_CIQ" hidden="1">"c4747"</definedName>
    <definedName name="IQ_EST_EBIT_DIFF_THOM" hidden="1">"c5192"</definedName>
    <definedName name="IQ_EST_EBIT_GW_DIFF" hidden="1">"c4304"</definedName>
    <definedName name="IQ_EST_EBIT_GW_DIFF_CIQ" hidden="1">"c4829"</definedName>
    <definedName name="IQ_EST_EBIT_GW_DIFF_CIQ_COL" hidden="1">"c11476"</definedName>
    <definedName name="IQ_EST_EBIT_GW_SURPRISE_PERCENT" hidden="1">"c4313"</definedName>
    <definedName name="IQ_EST_EBIT_GW_SURPRISE_PERCENT_CIQ" hidden="1">"c4838"</definedName>
    <definedName name="IQ_EST_EBIT_GW_SURPRISE_PERCENT_CIQ_COL" hidden="1">"c11485"</definedName>
    <definedName name="IQ_EST_EBIT_SBC_DIFF" hidden="1">"c4314"</definedName>
    <definedName name="IQ_EST_EBIT_SBC_DIFF_CIQ" hidden="1">"c4839"</definedName>
    <definedName name="IQ_EST_EBIT_SBC_DIFF_CIQ_COL" hidden="1">"c11486"</definedName>
    <definedName name="IQ_EST_EBIT_SBC_GW_DIFF" hidden="1">"c4318"</definedName>
    <definedName name="IQ_EST_EBIT_SBC_GW_DIFF_CIQ" hidden="1">"c4843"</definedName>
    <definedName name="IQ_EST_EBIT_SBC_GW_DIFF_CIQ_COL" hidden="1">"c11490"</definedName>
    <definedName name="IQ_EST_EBIT_SBC_GW_SURPRISE_PERCENT" hidden="1">"c4327"</definedName>
    <definedName name="IQ_EST_EBIT_SBC_GW_SURPRISE_PERCENT_CIQ" hidden="1">"c4852"</definedName>
    <definedName name="IQ_EST_EBIT_SBC_GW_SURPRISE_PERCENT_CIQ_COL" hidden="1">"c11499"</definedName>
    <definedName name="IQ_EST_EBIT_SBC_SURPRISE_PERCENT" hidden="1">"c4333"</definedName>
    <definedName name="IQ_EST_EBIT_SBC_SURPRISE_PERCENT_CIQ" hidden="1">"c4858"</definedName>
    <definedName name="IQ_EST_EBIT_SBC_SURPRISE_PERCENT_CIQ_COL" hidden="1">"c11505"</definedName>
    <definedName name="IQ_EST_EBIT_SURPRISE_PERCENT" hidden="1">"c1876"</definedName>
    <definedName name="IQ_EST_EBIT_SURPRISE_PERCENT_CIQ" hidden="1">"c4748"</definedName>
    <definedName name="IQ_EST_EBIT_SURPRISE_PERCENT_THOM" hidden="1">"c5193"</definedName>
    <definedName name="IQ_EST_EBITDA_DIFF" hidden="1">"c1867"</definedName>
    <definedName name="IQ_EST_EBITDA_DIFF_CIQ" hidden="1">"c3719"</definedName>
    <definedName name="IQ_EST_EBITDA_DIFF_THOM" hidden="1">"c5184"</definedName>
    <definedName name="IQ_EST_EBITDA_GROWTH_1YR" hidden="1">"c1766"</definedName>
    <definedName name="IQ_EST_EBITDA_GROWTH_1YR_CIQ" hidden="1">"c3695"</definedName>
    <definedName name="IQ_EST_EBITDA_GROWTH_1YR_THOM" hidden="1">"c5161"</definedName>
    <definedName name="IQ_EST_EBITDA_GROWTH_2YR" hidden="1">"c1767"</definedName>
    <definedName name="IQ_EST_EBITDA_GROWTH_2YR_CIQ" hidden="1">"c3696"</definedName>
    <definedName name="IQ_EST_EBITDA_GROWTH_2YR_THOM" hidden="1">"c5162"</definedName>
    <definedName name="IQ_EST_EBITDA_GROWTH_Q_1YR" hidden="1">"c1768"</definedName>
    <definedName name="IQ_EST_EBITDA_GROWTH_Q_1YR_CIQ" hidden="1">"c3697"</definedName>
    <definedName name="IQ_EST_EBITDA_GROWTH_Q_1YR_THOM" hidden="1">"c5163"</definedName>
    <definedName name="IQ_EST_EBITDA_SBC_DIFF" hidden="1">"c4335"</definedName>
    <definedName name="IQ_EST_EBITDA_SBC_DIFF_CIQ" hidden="1">"c4860"</definedName>
    <definedName name="IQ_EST_EBITDA_SBC_DIFF_CIQ_COL" hidden="1">"c11507"</definedName>
    <definedName name="IQ_EST_EBITDA_SBC_SURPRISE_PERCENT" hidden="1">"c4344"</definedName>
    <definedName name="IQ_EST_EBITDA_SBC_SURPRISE_PERCENT_CIQ" hidden="1">"c4869"</definedName>
    <definedName name="IQ_EST_EBITDA_SBC_SURPRISE_PERCENT_CIQ_COL" hidden="1">"c11516"</definedName>
    <definedName name="IQ_EST_EBITDA_SEQ_GROWTH_Q" hidden="1">"c1769"</definedName>
    <definedName name="IQ_EST_EBITDA_SEQ_GROWTH_Q_CIQ" hidden="1">"c3698"</definedName>
    <definedName name="IQ_EST_EBITDA_SEQ_GROWTH_Q_THOM" hidden="1">"c5164"</definedName>
    <definedName name="IQ_EST_EBITDA_SURPRISE_PERCENT" hidden="1">"c1868"</definedName>
    <definedName name="IQ_EST_EBITDA_SURPRISE_PERCENT_CIQ" hidden="1">"c3720"</definedName>
    <definedName name="IQ_EST_EBITDA_SURPRISE_PERCENT_THOM" hidden="1">"c5185"</definedName>
    <definedName name="IQ_EST_EBT_SBC_DIFF" hidden="1">"c4348"</definedName>
    <definedName name="IQ_EST_EBT_SBC_DIFF_CIQ" hidden="1">"c4873"</definedName>
    <definedName name="IQ_EST_EBT_SBC_DIFF_CIQ_COL" hidden="1">"c11520"</definedName>
    <definedName name="IQ_EST_EBT_SBC_GW_DIFF" hidden="1">"c4352"</definedName>
    <definedName name="IQ_EST_EBT_SBC_GW_DIFF_CIQ" hidden="1">"c4877"</definedName>
    <definedName name="IQ_EST_EBT_SBC_GW_DIFF_CIQ_COL" hidden="1">"c11524"</definedName>
    <definedName name="IQ_EST_EBT_SBC_GW_SURPRISE_PERCENT" hidden="1">"c4361"</definedName>
    <definedName name="IQ_EST_EBT_SBC_GW_SURPRISE_PERCENT_CIQ" hidden="1">"c4886"</definedName>
    <definedName name="IQ_EST_EBT_SBC_GW_SURPRISE_PERCENT_CIQ_COL" hidden="1">"c11533"</definedName>
    <definedName name="IQ_EST_EBT_SBC_SURPRISE_PERCENT" hidden="1">"c4367"</definedName>
    <definedName name="IQ_EST_EBT_SBC_SURPRISE_PERCENT_CIQ" hidden="1">"c4892"</definedName>
    <definedName name="IQ_EST_EBT_SBC_SURPRISE_PERCENT_CIQ_COL" hidden="1">"c11539"</definedName>
    <definedName name="IQ_EST_EPS_DIFF" hidden="1">"c1864"</definedName>
    <definedName name="IQ_EST_EPS_DIFF_CIQ" hidden="1">"c4999"</definedName>
    <definedName name="IQ_EST_EPS_DIFF_THOM" hidden="1">"c5295"</definedName>
    <definedName name="IQ_EST_EPS_GROWTH_1YR" hidden="1">"c1636"</definedName>
    <definedName name="IQ_EST_EPS_GROWTH_1YR_CIQ" hidden="1">"c3628"</definedName>
    <definedName name="IQ_EST_EPS_GROWTH_1YR_REUT" hidden="1">"c3646"</definedName>
    <definedName name="IQ_EST_EPS_GROWTH_1YR_THOM" hidden="1">"c3664"</definedName>
    <definedName name="IQ_EST_EPS_GROWTH_2YR" hidden="1">"c1637"</definedName>
    <definedName name="IQ_EST_EPS_GROWTH_2YR_CIQ" hidden="1">"c3689"</definedName>
    <definedName name="IQ_EST_EPS_GROWTH_2YR_THOM" hidden="1">"c5154"</definedName>
    <definedName name="IQ_EST_EPS_GROWTH_5YR" hidden="1">"c1655"</definedName>
    <definedName name="IQ_EST_EPS_GROWTH_5YR_BOTTOM_UP" hidden="1">"c5487"</definedName>
    <definedName name="IQ_EST_EPS_GROWTH_5YR_BOTTOM_UP_CIQ" hidden="1">"c12024"</definedName>
    <definedName name="IQ_EST_EPS_GROWTH_5YR_CIQ" hidden="1">"c3615"</definedName>
    <definedName name="IQ_EST_EPS_GROWTH_5YR_HIGH" hidden="1">"c1657"</definedName>
    <definedName name="IQ_EST_EPS_GROWTH_5YR_HIGH_CIQ" hidden="1">"c4663"</definedName>
    <definedName name="IQ_EST_EPS_GROWTH_5YR_HIGH_THOM" hidden="1">"c5101"</definedName>
    <definedName name="IQ_EST_EPS_GROWTH_5YR_LOW" hidden="1">"c1658"</definedName>
    <definedName name="IQ_EST_EPS_GROWTH_5YR_LOW_CIQ" hidden="1">"c4664"</definedName>
    <definedName name="IQ_EST_EPS_GROWTH_5YR_LOW_THOM" hidden="1">"c5102"</definedName>
    <definedName name="IQ_EST_EPS_GROWTH_5YR_MEDIAN" hidden="1">"c1656"</definedName>
    <definedName name="IQ_EST_EPS_GROWTH_5YR_MEDIAN_CIQ" hidden="1">"c5480"</definedName>
    <definedName name="IQ_EST_EPS_GROWTH_5YR_MEDIAN_THOM" hidden="1">"c5100"</definedName>
    <definedName name="IQ_EST_EPS_GROWTH_5YR_NUM" hidden="1">"c1659"</definedName>
    <definedName name="IQ_EST_EPS_GROWTH_5YR_NUM_CIQ" hidden="1">"c4665"</definedName>
    <definedName name="IQ_EST_EPS_GROWTH_5YR_NUM_THOM" hidden="1">"c5103"</definedName>
    <definedName name="IQ_EST_EPS_GROWTH_5YR_REUT" hidden="1">"c3633"</definedName>
    <definedName name="IQ_EST_EPS_GROWTH_5YR_STDDEV" hidden="1">"c1660"</definedName>
    <definedName name="IQ_EST_EPS_GROWTH_5YR_STDDEV_CIQ" hidden="1">"c4666"</definedName>
    <definedName name="IQ_EST_EPS_GROWTH_5YR_STDDEV_THOM" hidden="1">"c5104"</definedName>
    <definedName name="IQ_EST_EPS_GROWTH_5YR_THOM" hidden="1">"c3651"</definedName>
    <definedName name="IQ_EST_EPS_GROWTH_Q_1YR" hidden="1">"c1641"</definedName>
    <definedName name="IQ_EST_EPS_GROWTH_Q_1YR_CIQ" hidden="1">"c4744"</definedName>
    <definedName name="IQ_EST_EPS_GROWTH_Q_1YR_REUT" hidden="1">"c5410"</definedName>
    <definedName name="IQ_EST_EPS_GROWTH_Q_1YR_THOM" hidden="1">"c5155"</definedName>
    <definedName name="IQ_EST_EPS_GW_DIFF" hidden="1">"c1891"</definedName>
    <definedName name="IQ_EST_EPS_GW_DIFF_CIQ" hidden="1">"c4761"</definedName>
    <definedName name="IQ_EST_EPS_GW_DIFF_REUT" hidden="1">"c5429"</definedName>
    <definedName name="IQ_EST_EPS_GW_DIFF_THOM" hidden="1">"c5200"</definedName>
    <definedName name="IQ_EST_EPS_GW_SURPRISE_PERCENT" hidden="1">"c1892"</definedName>
    <definedName name="IQ_EST_EPS_GW_SURPRISE_PERCENT_CIQ" hidden="1">"c4762"</definedName>
    <definedName name="IQ_EST_EPS_GW_SURPRISE_PERCENT_REUT" hidden="1">"c5430"</definedName>
    <definedName name="IQ_EST_EPS_GW_SURPRISE_PERCENT_THOM" hidden="1">"c5201"</definedName>
    <definedName name="IQ_EST_EPS_NORM_DIFF" hidden="1">"c2247"</definedName>
    <definedName name="IQ_EST_EPS_NORM_DIFF_CIQ" hidden="1">"c4745"</definedName>
    <definedName name="IQ_EST_EPS_NORM_DIFF_REUT" hidden="1">"c5411"</definedName>
    <definedName name="IQ_EST_EPS_NORM_SURPRISE_PERCENT" hidden="1">"c2248"</definedName>
    <definedName name="IQ_EST_EPS_NORM_SURPRISE_PERCENT_CIQ" hidden="1">"c4746"</definedName>
    <definedName name="IQ_EST_EPS_NORM_SURPRISE_PERCENT_REUT" hidden="1">"c5412"</definedName>
    <definedName name="IQ_EST_EPS_REPORT_DIFF" hidden="1">"c1893"</definedName>
    <definedName name="IQ_EST_EPS_REPORT_DIFF_CIQ" hidden="1">"c4763"</definedName>
    <definedName name="IQ_EST_EPS_REPORT_DIFF_REUT" hidden="1">"c5431"</definedName>
    <definedName name="IQ_EST_EPS_REPORT_DIFF_THOM" hidden="1">"c5202"</definedName>
    <definedName name="IQ_EST_EPS_REPORT_SURPRISE_PERCENT" hidden="1">"c1894"</definedName>
    <definedName name="IQ_EST_EPS_REPORT_SURPRISE_PERCENT_CIQ" hidden="1">"c4764"</definedName>
    <definedName name="IQ_EST_EPS_REPORT_SURPRISE_PERCENT_REUT" hidden="1">"c5432"</definedName>
    <definedName name="IQ_EST_EPS_REPORT_SURPRISE_PERCENT_THOM" hidden="1">"c5203"</definedName>
    <definedName name="IQ_EST_EPS_SBC_DIFF" hidden="1">"c4374"</definedName>
    <definedName name="IQ_EST_EPS_SBC_DIFF_CIQ" hidden="1">"c4899"</definedName>
    <definedName name="IQ_EST_EPS_SBC_DIFF_CIQ_COL" hidden="1">"c11546"</definedName>
    <definedName name="IQ_EST_EPS_SBC_GW_DIFF" hidden="1">"c4378"</definedName>
    <definedName name="IQ_EST_EPS_SBC_GW_DIFF_CIQ" hidden="1">"c4903"</definedName>
    <definedName name="IQ_EST_EPS_SBC_GW_DIFF_CIQ_COL" hidden="1">"c11550"</definedName>
    <definedName name="IQ_EST_EPS_SBC_GW_SURPRISE_PERCENT" hidden="1">"c4387"</definedName>
    <definedName name="IQ_EST_EPS_SBC_GW_SURPRISE_PERCENT_CIQ" hidden="1">"c4912"</definedName>
    <definedName name="IQ_EST_EPS_SBC_GW_SURPRISE_PERCENT_CIQ_COL" hidden="1">"c11559"</definedName>
    <definedName name="IQ_EST_EPS_SBC_SURPRISE_PERCENT" hidden="1">"c4393"</definedName>
    <definedName name="IQ_EST_EPS_SBC_SURPRISE_PERCENT_CIQ" hidden="1">"c4918"</definedName>
    <definedName name="IQ_EST_EPS_SBC_SURPRISE_PERCENT_CIQ_COL" hidden="1">"c11565"</definedName>
    <definedName name="IQ_EST_EPS_SEQ_GROWTH_Q" hidden="1">"c1764"</definedName>
    <definedName name="IQ_EST_EPS_SEQ_GROWTH_Q_CIQ" hidden="1">"c3690"</definedName>
    <definedName name="IQ_EST_EPS_SEQ_GROWTH_Q_THOM" hidden="1">"c5156"</definedName>
    <definedName name="IQ_EST_EPS_SURPRISE" hidden="1">"c1635"</definedName>
    <definedName name="IQ_EST_EPS_SURPRISE_PERCENT" hidden="1">"c1635"</definedName>
    <definedName name="IQ_EST_EPS_SURPRISE_PERCENT_CIQ" hidden="1">"c5000"</definedName>
    <definedName name="IQ_EST_EPS_SURPRISE_PERCENT_THOM" hidden="1">"c5296"</definedName>
    <definedName name="IQ_EST_FAIR_VALUE_MORT_SERVICING_ASSETS_FFIEC" hidden="1">"c12956"</definedName>
    <definedName name="IQ_EST_FFO_ADJ_DIFF" hidden="1">"c4433"</definedName>
    <definedName name="IQ_EST_FFO_ADJ_DIFF_CIQ" hidden="1">"c4958"</definedName>
    <definedName name="IQ_EST_FFO_ADJ_DIFF_CIQ_COL" hidden="1">"c11605"</definedName>
    <definedName name="IQ_EST_FFO_ADJ_GROWTH_1YR" hidden="1">"c4421"</definedName>
    <definedName name="IQ_EST_FFO_ADJ_GROWTH_1YR_CIQ" hidden="1">"c4946"</definedName>
    <definedName name="IQ_EST_FFO_ADJ_GROWTH_1YR_CIQ_COL" hidden="1">"c11593"</definedName>
    <definedName name="IQ_EST_FFO_ADJ_GROWTH_2YR" hidden="1">"c4422"</definedName>
    <definedName name="IQ_EST_FFO_ADJ_GROWTH_2YR_CIQ" hidden="1">"c4947"</definedName>
    <definedName name="IQ_EST_FFO_ADJ_GROWTH_2YR_CIQ_COL" hidden="1">"c11594"</definedName>
    <definedName name="IQ_EST_FFO_ADJ_GROWTH_Q_1YR" hidden="1">"c4423"</definedName>
    <definedName name="IQ_EST_FFO_ADJ_GROWTH_Q_1YR_CIQ" hidden="1">"c4948"</definedName>
    <definedName name="IQ_EST_FFO_ADJ_GROWTH_Q_1YR_CIQ_COL" hidden="1">"c11595"</definedName>
    <definedName name="IQ_EST_FFO_ADJ_SEQ_GROWTH_Q" hidden="1">"c4424"</definedName>
    <definedName name="IQ_EST_FFO_ADJ_SEQ_GROWTH_Q_CIQ" hidden="1">"c4949"</definedName>
    <definedName name="IQ_EST_FFO_ADJ_SEQ_GROWTH_Q_CIQ_COL" hidden="1">"c11596"</definedName>
    <definedName name="IQ_EST_FFO_ADJ_SURPRISE_PERCENT" hidden="1">"c4442"</definedName>
    <definedName name="IQ_EST_FFO_ADJ_SURPRISE_PERCENT_CIQ" hidden="1">"c4967"</definedName>
    <definedName name="IQ_EST_FFO_ADJ_SURPRISE_PERCENT_CIQ_COL" hidden="1">"c11614"</definedName>
    <definedName name="IQ_EST_FFO_DIFF" hidden="1">"c1869"</definedName>
    <definedName name="IQ_EST_FFO_DIFF_CIQ" hidden="1">"c4969"</definedName>
    <definedName name="IQ_EST_FFO_DIFF_CIQ_COL" hidden="1">"c11616"</definedName>
    <definedName name="IQ_EST_FFO_DIFF_REUT" hidden="1">"c3890"</definedName>
    <definedName name="IQ_EST_FFO_DIFF_THOM" hidden="1">"c5186"</definedName>
    <definedName name="IQ_EST_FFO_GROWTH_1YR" hidden="1">"c1770"</definedName>
    <definedName name="IQ_EST_FFO_GROWTH_1YR_CIQ" hidden="1">"c4950"</definedName>
    <definedName name="IQ_EST_FFO_GROWTH_1YR_CIQ_COL" hidden="1">"c11597"</definedName>
    <definedName name="IQ_EST_FFO_GROWTH_1YR_THOM" hidden="1">"c5170"</definedName>
    <definedName name="IQ_EST_FFO_GROWTH_2YR" hidden="1">"c1771"</definedName>
    <definedName name="IQ_EST_FFO_GROWTH_2YR_CIQ" hidden="1">"c4951"</definedName>
    <definedName name="IQ_EST_FFO_GROWTH_2YR_CIQ_COL" hidden="1">"c11598"</definedName>
    <definedName name="IQ_EST_FFO_GROWTH_2YR_THOM" hidden="1">"c5171"</definedName>
    <definedName name="IQ_EST_FFO_GROWTH_Q_1YR" hidden="1">"c1772"</definedName>
    <definedName name="IQ_EST_FFO_GROWTH_Q_1YR_CIQ" hidden="1">"c4952"</definedName>
    <definedName name="IQ_EST_FFO_GROWTH_Q_1YR_CIQ_COL" hidden="1">"c11599"</definedName>
    <definedName name="IQ_EST_FFO_GROWTH_Q_1YR_THOM" hidden="1">"c5172"</definedName>
    <definedName name="IQ_EST_FFO_SEQ_GROWTH_Q" hidden="1">"c1773"</definedName>
    <definedName name="IQ_EST_FFO_SEQ_GROWTH_Q_CIQ" hidden="1">"c4953"</definedName>
    <definedName name="IQ_EST_FFO_SEQ_GROWTH_Q_CIQ_COL" hidden="1">"c11600"</definedName>
    <definedName name="IQ_EST_FFO_SEQ_GROWTH_Q_THOM" hidden="1">"c5173"</definedName>
    <definedName name="IQ_EST_FFO_SHARE_DIFF" hidden="1">"c1869"</definedName>
    <definedName name="IQ_EST_FFO_SHARE_DIFF_CIQ" hidden="1">"c3721"</definedName>
    <definedName name="IQ_EST_FFO_SHARE_GROWTH_1YR" hidden="1">"c1770"</definedName>
    <definedName name="IQ_EST_FFO_SHARE_GROWTH_1YR_CIQ" hidden="1">"c3705"</definedName>
    <definedName name="IQ_EST_FFO_SHARE_GROWTH_2YR" hidden="1">"c1771"</definedName>
    <definedName name="IQ_EST_FFO_SHARE_GROWTH_2YR_CIQ" hidden="1">"c3706"</definedName>
    <definedName name="IQ_EST_FFO_SHARE_GROWTH_Q_1YR" hidden="1">"c1772"</definedName>
    <definedName name="IQ_EST_FFO_SHARE_GROWTH_Q_1YR_CIQ" hidden="1">"c3707"</definedName>
    <definedName name="IQ_EST_FFO_SHARE_SEQ_GROWTH_Q" hidden="1">"c1773"</definedName>
    <definedName name="IQ_EST_FFO_SHARE_SEQ_GROWTH_Q_CIQ" hidden="1">"c3708"</definedName>
    <definedName name="IQ_EST_FFO_SHARE_SURPRISE_PERCENT" hidden="1">"c1870"</definedName>
    <definedName name="IQ_EST_FFO_SHARE_SURPRISE_PERCENT_CIQ" hidden="1">"c3722"</definedName>
    <definedName name="IQ_EST_FFO_SURPRISE_PERCENT" hidden="1">"c1870"</definedName>
    <definedName name="IQ_EST_FFO_SURPRISE_PERCENT_CIQ" hidden="1">"c4982"</definedName>
    <definedName name="IQ_EST_FFO_SURPRISE_PERCENT_CIQ_COL" hidden="1">"c11629"</definedName>
    <definedName name="IQ_EST_FFO_SURPRISE_PERCENT_REUT" hidden="1">"c3891"</definedName>
    <definedName name="IQ_EST_FFO_SURPRISE_PERCENT_THOM" hidden="1">"c5187"</definedName>
    <definedName name="IQ_EST_FOOTNOTE" hidden="1">"c4540"</definedName>
    <definedName name="IQ_EST_FOOTNOTE_CIQ" hidden="1">"c12022"</definedName>
    <definedName name="IQ_EST_FOOTNOTE_THOM" hidden="1">"c5313"</definedName>
    <definedName name="IQ_EST_MAINT_CAPEX_DIFF" hidden="1">"c4456"</definedName>
    <definedName name="IQ_EST_MAINT_CAPEX_DIFF_CIQ" hidden="1">"c4985"</definedName>
    <definedName name="IQ_EST_MAINT_CAPEX_DIFF_CIQ_COL" hidden="1">"c11632"</definedName>
    <definedName name="IQ_EST_MAINT_CAPEX_GROWTH_1YR" hidden="1">"c4429"</definedName>
    <definedName name="IQ_EST_MAINT_CAPEX_GROWTH_1YR_CIQ" hidden="1">"c4954"</definedName>
    <definedName name="IQ_EST_MAINT_CAPEX_GROWTH_1YR_CIQ_COL" hidden="1">"c11601"</definedName>
    <definedName name="IQ_EST_MAINT_CAPEX_GROWTH_2YR" hidden="1">"c4430"</definedName>
    <definedName name="IQ_EST_MAINT_CAPEX_GROWTH_2YR_CIQ" hidden="1">"c4955"</definedName>
    <definedName name="IQ_EST_MAINT_CAPEX_GROWTH_2YR_CIQ_COL" hidden="1">"c11602"</definedName>
    <definedName name="IQ_EST_MAINT_CAPEX_GROWTH_Q_1YR" hidden="1">"c4431"</definedName>
    <definedName name="IQ_EST_MAINT_CAPEX_GROWTH_Q_1YR_CIQ" hidden="1">"c4956"</definedName>
    <definedName name="IQ_EST_MAINT_CAPEX_GROWTH_Q_1YR_CIQ_COL" hidden="1">"c11603"</definedName>
    <definedName name="IQ_EST_MAINT_CAPEX_SEQ_GROWTH_Q" hidden="1">"c4432"</definedName>
    <definedName name="IQ_EST_MAINT_CAPEX_SEQ_GROWTH_Q_CIQ" hidden="1">"c4957"</definedName>
    <definedName name="IQ_EST_MAINT_CAPEX_SEQ_GROWTH_Q_CIQ_COL" hidden="1">"c11604"</definedName>
    <definedName name="IQ_EST_MAINT_CAPEX_SURPRISE_PERCENT" hidden="1">"c4465"</definedName>
    <definedName name="IQ_EST_MAINT_CAPEX_SURPRISE_PERCENT_CIQ" hidden="1">"c5003"</definedName>
    <definedName name="IQ_EST_MAINT_CAPEX_SURPRISE_PERCENT_CIQ_COL" hidden="1">"c11650"</definedName>
    <definedName name="IQ_EST_NAV_DIFF" hidden="1">"c1895"</definedName>
    <definedName name="IQ_EST_NAV_SHARE_SURPRISE_PERCENT" hidden="1">"c1896"</definedName>
    <definedName name="IQ_EST_NAV_SURPRISE_PERCENT" hidden="1">"c1896"</definedName>
    <definedName name="IQ_EST_NET_DEBT_DIFF" hidden="1">"c4466"</definedName>
    <definedName name="IQ_EST_NET_DEBT_DIFF_CIQ" hidden="1">"c5004"</definedName>
    <definedName name="IQ_EST_NET_DEBT_SURPRISE_PERCENT" hidden="1">"c4468"</definedName>
    <definedName name="IQ_EST_NET_DEBT_SURPRISE_PERCENT_CIQ" hidden="1">"c5006"</definedName>
    <definedName name="IQ_EST_NEXT_EARNINGS_DATE" hidden="1">"c13591"</definedName>
    <definedName name="IQ_EST_NI_DIFF" hidden="1">"c1885"</definedName>
    <definedName name="IQ_EST_NI_DIFF_CIQ" hidden="1">"c4755"</definedName>
    <definedName name="IQ_EST_NI_DIFF_THOM" hidden="1">"c5198"</definedName>
    <definedName name="IQ_EST_NI_GW_DIFF" hidden="1">"c1887"</definedName>
    <definedName name="IQ_EST_NI_GW_DIFF_CIQ" hidden="1">"c4757"</definedName>
    <definedName name="IQ_EST_NI_GW_SURPRISE_PERCENT" hidden="1">"c1888"</definedName>
    <definedName name="IQ_EST_NI_GW_SURPRISE_PERCENT_CIQ" hidden="1">"c4758"</definedName>
    <definedName name="IQ_EST_NI_REPORT_DIFF" hidden="1">"c1889"</definedName>
    <definedName name="IQ_EST_NI_REPORT_DIFF_CIQ" hidden="1">"c4759"</definedName>
    <definedName name="IQ_EST_NI_REPORT_SURPRISE_PERCENT" hidden="1">"c1890"</definedName>
    <definedName name="IQ_EST_NI_REPORT_SURPRISE_PERCENT_CIQ" hidden="1">"c4760"</definedName>
    <definedName name="IQ_EST_NI_SBC_DIFF" hidden="1">"c4472"</definedName>
    <definedName name="IQ_EST_NI_SBC_DIFF_CIQ" hidden="1">"c5010"</definedName>
    <definedName name="IQ_EST_NI_SBC_DIFF_CIQ_COL" hidden="1">"c11657"</definedName>
    <definedName name="IQ_EST_NI_SBC_GW_DIFF" hidden="1">"c4476"</definedName>
    <definedName name="IQ_EST_NI_SBC_GW_DIFF_CIQ" hidden="1">"c5014"</definedName>
    <definedName name="IQ_EST_NI_SBC_GW_DIFF_CIQ_COL" hidden="1">"c11661"</definedName>
    <definedName name="IQ_EST_NI_SBC_GW_SURPRISE_PERCENT" hidden="1">"c4485"</definedName>
    <definedName name="IQ_EST_NI_SBC_GW_SURPRISE_PERCENT_CIQ" hidden="1">"c5023"</definedName>
    <definedName name="IQ_EST_NI_SBC_GW_SURPRISE_PERCENT_CIQ_COL" hidden="1">"c11670"</definedName>
    <definedName name="IQ_EST_NI_SBC_SURPRISE_PERCENT" hidden="1">"c4491"</definedName>
    <definedName name="IQ_EST_NI_SBC_SURPRISE_PERCENT_CIQ" hidden="1">"c5029"</definedName>
    <definedName name="IQ_EST_NI_SBC_SURPRISE_PERCENT_CIQ_COL" hidden="1">"c11676"</definedName>
    <definedName name="IQ_EST_NI_SURPRISE_PERCENT" hidden="1">"c1886"</definedName>
    <definedName name="IQ_EST_NI_SURPRISE_PERCENT_CIQ" hidden="1">"c4756"</definedName>
    <definedName name="IQ_EST_NI_SURPRISE_PERCENT_THOM" hidden="1">"c5199"</definedName>
    <definedName name="IQ_EST_NUM_BUY" hidden="1">"c1759"</definedName>
    <definedName name="IQ_EST_NUM_BUY_REUT" hidden="1">"c3869"</definedName>
    <definedName name="IQ_EST_NUM_BUY_THOM" hidden="1">"c5165"</definedName>
    <definedName name="IQ_EST_NUM_HIGH_REC" hidden="1">"c5649"</definedName>
    <definedName name="IQ_EST_NUM_HIGH_REC_CIQ" hidden="1">"c3701"</definedName>
    <definedName name="IQ_EST_NUM_HIGH_REC_THOM" hidden="1">"c5166"</definedName>
    <definedName name="IQ_EST_NUM_HIGHEST_REC" hidden="1">"c5648"</definedName>
    <definedName name="IQ_EST_NUM_HIGHEST_REC_CIQ" hidden="1">"c3700"</definedName>
    <definedName name="IQ_EST_NUM_HIGHEST_REC_THOM" hidden="1">"c5165"</definedName>
    <definedName name="IQ_EST_NUM_HOLD" hidden="1">"c1761"</definedName>
    <definedName name="IQ_EST_NUM_HOLD_REUT" hidden="1">"c3871"</definedName>
    <definedName name="IQ_EST_NUM_HOLD_THOM" hidden="1">"c5167"</definedName>
    <definedName name="IQ_EST_NUM_LOW_REC" hidden="1">"c5651"</definedName>
    <definedName name="IQ_EST_NUM_LOW_REC_CIQ" hidden="1">"c3703"</definedName>
    <definedName name="IQ_EST_NUM_LOW_REC_THOM" hidden="1">"c5168"</definedName>
    <definedName name="IQ_EST_NUM_LOWEST_REC" hidden="1">"c5652"</definedName>
    <definedName name="IQ_EST_NUM_LOWEST_REC_CIQ" hidden="1">"c3704"</definedName>
    <definedName name="IQ_EST_NUM_LOWEST_REC_THOM" hidden="1">"c5169"</definedName>
    <definedName name="IQ_EST_NUM_NEUTRAL_REC" hidden="1">"c5650"</definedName>
    <definedName name="IQ_EST_NUM_NEUTRAL_REC_CIQ" hidden="1">"c3702"</definedName>
    <definedName name="IQ_EST_NUM_NEUTRAL_REC_THOM" hidden="1">"c5167"</definedName>
    <definedName name="IQ_EST_NUM_NO_OPINION" hidden="1">"c1758"</definedName>
    <definedName name="IQ_EST_NUM_NO_OPINION_CIQ" hidden="1">"c3699"</definedName>
    <definedName name="IQ_EST_NUM_OUTPERFORM" hidden="1">"c1760"</definedName>
    <definedName name="IQ_EST_NUM_OUTPERFORM_REUT" hidden="1">"c3870"</definedName>
    <definedName name="IQ_EST_NUM_OUTPERFORM_THOM" hidden="1">"c5166"</definedName>
    <definedName name="IQ_EST_NUM_SELL" hidden="1">"c1763"</definedName>
    <definedName name="IQ_EST_NUM_SELL_REUT" hidden="1">"c3873"</definedName>
    <definedName name="IQ_EST_NUM_SELL_THOM" hidden="1">"c5169"</definedName>
    <definedName name="IQ_EST_NUM_UNDERPERFORM" hidden="1">"c1762"</definedName>
    <definedName name="IQ_EST_NUM_UNDERPERFORM_REUT" hidden="1">"c3872"</definedName>
    <definedName name="IQ_EST_NUM_UNDERPERFORM_THOM" hidden="1">"c5168"</definedName>
    <definedName name="IQ_EST_OPER_INC_DIFF" hidden="1">"c1877"</definedName>
    <definedName name="IQ_EST_OPER_INC_DIFF_CIQ" hidden="1">"c12017"</definedName>
    <definedName name="IQ_EST_OPER_INC_DIFF_THOM" hidden="1">"c5194"</definedName>
    <definedName name="IQ_EST_OPER_INC_SURPRISE_PERCENT" hidden="1">"c1878"</definedName>
    <definedName name="IQ_EST_OPER_INC_SURPRISE_PERCENT_CIQ" hidden="1">"c12018"</definedName>
    <definedName name="IQ_EST_OPER_INC_SURPRISE_PERCENT_THOM" hidden="1">"c5195"</definedName>
    <definedName name="IQ_EST_PERIOD_ID" hidden="1">"c13923"</definedName>
    <definedName name="IQ_EST_PRE_TAX_DIFF" hidden="1">"c1879"</definedName>
    <definedName name="IQ_EST_PRE_TAX_DIFF_CIQ" hidden="1">"c4749"</definedName>
    <definedName name="IQ_EST_PRE_TAX_DIFF_THOM" hidden="1">"c5196"</definedName>
    <definedName name="IQ_EST_PRE_TAX_GW_DIFF" hidden="1">"c1881"</definedName>
    <definedName name="IQ_EST_PRE_TAX_GW_DIFF_CIQ" hidden="1">"c4751"</definedName>
    <definedName name="IQ_EST_PRE_TAX_GW_SURPRISE_PERCENT" hidden="1">"c1882"</definedName>
    <definedName name="IQ_EST_PRE_TAX_GW_SURPRISE_PERCENT_CIQ" hidden="1">"c4752"</definedName>
    <definedName name="IQ_EST_PRE_TAX_REPORT_DIFF" hidden="1">"c1883"</definedName>
    <definedName name="IQ_EST_PRE_TAX_REPORT_DIFF_CIQ" hidden="1">"c4753"</definedName>
    <definedName name="IQ_EST_PRE_TAX_REPORT_SURPRISE_PERCENT" hidden="1">"c1884"</definedName>
    <definedName name="IQ_EST_PRE_TAX_REPORT_SURPRISE_PERCENT_CIQ" hidden="1">"c4754"</definedName>
    <definedName name="IQ_EST_PRE_TAX_SURPRISE_PERCENT" hidden="1">"c1880"</definedName>
    <definedName name="IQ_EST_PRE_TAX_SURPRISE_PERCENT_CIQ" hidden="1">"c4750"</definedName>
    <definedName name="IQ_EST_PRE_TAX_SURPRISE_PERCENT_THOM" hidden="1">"c5197"</definedName>
    <definedName name="IQ_EST_RECURRING_PROFIT_SHARE_DIFF" hidden="1">"c4505"</definedName>
    <definedName name="IQ_EST_RECURRING_PROFIT_SHARE_DIFF_CIQ" hidden="1">"c5043"</definedName>
    <definedName name="IQ_EST_RECURRING_PROFIT_SHARE_DIFF_CIQ_COL" hidden="1">"c11690"</definedName>
    <definedName name="IQ_EST_RECURRING_PROFIT_SHARE_SURPRISE_PERCENT" hidden="1">"c4515"</definedName>
    <definedName name="IQ_EST_RECURRING_PROFIT_SHARE_SURPRISE_PERCENT_CIQ" hidden="1">"c5053"</definedName>
    <definedName name="IQ_EST_RECURRING_PROFIT_SHARE_SURPRISE_PERCENT_CIQ_COL" hidden="1">"c11700"</definedName>
    <definedName name="IQ_EST_REV_DIFF" hidden="1">"c1865"</definedName>
    <definedName name="IQ_EST_REV_DIFF_CIQ" hidden="1">"c3717"</definedName>
    <definedName name="IQ_EST_REV_DIFF_THOM" hidden="1">"c5182"</definedName>
    <definedName name="IQ_EST_REV_GROWTH_1YR" hidden="1">"c1638"</definedName>
    <definedName name="IQ_EST_REV_GROWTH_1YR_CIQ" hidden="1">"c3691"</definedName>
    <definedName name="IQ_EST_REV_GROWTH_1YR_THOM" hidden="1">"c5157"</definedName>
    <definedName name="IQ_EST_REV_GROWTH_2YR" hidden="1">"c1639"</definedName>
    <definedName name="IQ_EST_REV_GROWTH_2YR_CIQ" hidden="1">"c3692"</definedName>
    <definedName name="IQ_EST_REV_GROWTH_2YR_THOM" hidden="1">"c5158"</definedName>
    <definedName name="IQ_EST_REV_GROWTH_Q_1YR" hidden="1">"c1640"</definedName>
    <definedName name="IQ_EST_REV_GROWTH_Q_1YR_CIQ" hidden="1">"c3693"</definedName>
    <definedName name="IQ_EST_REV_GROWTH_Q_1YR_THOM" hidden="1">"c5159"</definedName>
    <definedName name="IQ_EST_REV_SEQ_GROWTH_Q" hidden="1">"c1765"</definedName>
    <definedName name="IQ_EST_REV_SEQ_GROWTH_Q_CIQ" hidden="1">"c3694"</definedName>
    <definedName name="IQ_EST_REV_SEQ_GROWTH_Q_THOM" hidden="1">"c5160"</definedName>
    <definedName name="IQ_EST_REV_SURPRISE_PERCENT" hidden="1">"c1866"</definedName>
    <definedName name="IQ_EST_REV_SURPRISE_PERCENT_CIQ" hidden="1">"c3718"</definedName>
    <definedName name="IQ_EST_REV_SURPRISE_PERCENT_THOM" hidden="1">"c5183"</definedName>
    <definedName name="IQ_EST_VENDOR" hidden="1">"c5564"</definedName>
    <definedName name="IQ_ESTIMATED_ASSESSABLE_DEPOSITS_FDIC" hidden="1">"c6490"</definedName>
    <definedName name="IQ_ESTIMATED_INSURED_DEPOSITS_FDIC" hidden="1">"c6491"</definedName>
    <definedName name="IQ_EV_OVER_EMPLOYEE" hidden="1">"c1225"</definedName>
    <definedName name="IQ_EV_OVER_LTM_EBIT" hidden="1">"c1221"</definedName>
    <definedName name="IQ_EV_OVER_LTM_EBITDA" hidden="1">"c1223"</definedName>
    <definedName name="IQ_EV_OVER_LTM_REVENUE" hidden="1">"c1227"</definedName>
    <definedName name="IQ_EV_OVER_REVENUE_EST" hidden="1">"IQ_EV_OVER_REVENUE_EST"</definedName>
    <definedName name="IQ_EV_OVER_REVENUE_EST_1" hidden="1">"IQ_EV_OVER_REVENUE_EST_1"</definedName>
    <definedName name="IQ_EVAL_DATE" hidden="1">"c2180"</definedName>
    <definedName name="IQ_EVENT_ADDRESS" hidden="1">"c19167"</definedName>
    <definedName name="IQ_EVENT_ADVISORS" hidden="1">"c19147"</definedName>
    <definedName name="IQ_EVENT_AGENDA" hidden="1">"c19168"</definedName>
    <definedName name="IQ_EVENT_CALL_DESCRIPTION" hidden="1">"c19154"</definedName>
    <definedName name="IQ_EVENT_CONTACT" hidden="1">"c19160"</definedName>
    <definedName name="IQ_EVENT_DATE" hidden="1">"c13819"</definedName>
    <definedName name="IQ_EVENT_EMAIL" hidden="1">"c19162"</definedName>
    <definedName name="IQ_EVENT_ID" hidden="1">"c13818"</definedName>
    <definedName name="IQ_EVENT_LIVE_AUDIO_DETAILS_WEBCAST_URL" hidden="1">"c19153"</definedName>
    <definedName name="IQ_EVENT_LIVE_OTHER_PASSCODE" hidden="1">"c19152"</definedName>
    <definedName name="IQ_EVENT_LIVE_OTHER_PHONE_NUMBER" hidden="1">"c19151"</definedName>
    <definedName name="IQ_EVENT_LIVE_PASSCODE" hidden="1">"c19150"</definedName>
    <definedName name="IQ_EVENT_LIVE_PHONE_NUMBER" hidden="1">"c19149"</definedName>
    <definedName name="IQ_EVENT_MARKETINDICATOR" hidden="1">"c19166"</definedName>
    <definedName name="IQ_EVENT_OTHER_CONTACT" hidden="1">"c19163"</definedName>
    <definedName name="IQ_EVENT_OTHER_CONTACT_EMAIL" hidden="1">"c19165"</definedName>
    <definedName name="IQ_EVENT_OTHER_CONTACT_PHONE" hidden="1">"c19164"</definedName>
    <definedName name="IQ_EVENT_PHONE" hidden="1">"c19161"</definedName>
    <definedName name="IQ_EVENT_REPLAY_AUDIO_DETAILS_WEBCAST_URL" hidden="1">"c19159"</definedName>
    <definedName name="IQ_EVENT_REPLAY_BEGINS" hidden="1">"c19157"</definedName>
    <definedName name="IQ_EVENT_REPLAY_ENDS" hidden="1">"c19158"</definedName>
    <definedName name="IQ_EVENT_REPLAY_PASSCODE" hidden="1">"c19156"</definedName>
    <definedName name="IQ_EVENT_REPLAY_PHONE_NUMBER" hidden="1">"c19155"</definedName>
    <definedName name="IQ_EVENT_SITUATION" hidden="1">"c19148"</definedName>
    <definedName name="IQ_EVENT_SOURCE" hidden="1">"c19146"</definedName>
    <definedName name="IQ_EVENT_TIME" hidden="1">"c13820"</definedName>
    <definedName name="IQ_EVENT_TYPE" hidden="1">"c13821"</definedName>
    <definedName name="IQ_EXCEL_DATA_METHOD" hidden="1">"c16229"</definedName>
    <definedName name="IQ_EXCESS_ALLOWANCE_LL_LOSSES_THRIFT" hidden="1">"c25078"</definedName>
    <definedName name="IQ_EXCHANGE" hidden="1">"c405"</definedName>
    <definedName name="IQ_EXCISE_TAXES_EXCL_SALES" hidden="1">"c5515"</definedName>
    <definedName name="IQ_EXCISE_TAXES_INCL_SALES" hidden="1">"c5514"</definedName>
    <definedName name="IQ_EXERCISE_PRICE" hidden="1">"c406"</definedName>
    <definedName name="IQ_EXERCISED" hidden="1">"c406"</definedName>
    <definedName name="IQ_EXP_REIMBURSE_RENTAL_REVENUE" hidden="1">"c16064"</definedName>
    <definedName name="IQ_EXP_RETURN_PENSION_DOMESTIC" hidden="1">"c407"</definedName>
    <definedName name="IQ_EXP_RETURN_PENSION_FOREIGN" hidden="1">"c408"</definedName>
    <definedName name="IQ_EXPENSE_CODE_" hidden="1">77111</definedName>
    <definedName name="IQ_EXPENSE_REIMBURSEMENTS" hidden="1">"c16020"</definedName>
    <definedName name="IQ_EXPENSES_AP" hidden="1">"c8875"</definedName>
    <definedName name="IQ_EXPENSES_AP_ABS" hidden="1">"c8894"</definedName>
    <definedName name="IQ_EXPENSES_FIXED_ASSETS_FFIEC" hidden="1">"c13024"</definedName>
    <definedName name="IQ_EXPENSES_NAME_AP" hidden="1">"c8913"</definedName>
    <definedName name="IQ_EXPENSES_NAME_AP_ABS" hidden="1">"c8932"</definedName>
    <definedName name="IQ_EXPLORATION_EXPENDITURE_ALUM" hidden="1">"c9255"</definedName>
    <definedName name="IQ_EXPLORATION_EXPENDITURE_COAL" hidden="1">"c9827"</definedName>
    <definedName name="IQ_EXPLORATION_EXPENDITURE_COP" hidden="1">"c9202"</definedName>
    <definedName name="IQ_EXPLORATION_EXPENDITURE_DIAM" hidden="1">"c9679"</definedName>
    <definedName name="IQ_EXPLORATION_EXPENDITURE_GOLD" hidden="1">"c9040"</definedName>
    <definedName name="IQ_EXPLORATION_EXPENDITURE_IRON" hidden="1">"c9414"</definedName>
    <definedName name="IQ_EXPLORATION_EXPENDITURE_LEAD" hidden="1">"c9467"</definedName>
    <definedName name="IQ_EXPLORATION_EXPENDITURE_MANG" hidden="1">"c9520"</definedName>
    <definedName name="IQ_EXPLORATION_EXPENDITURE_MOLYB" hidden="1">"c9732"</definedName>
    <definedName name="IQ_EXPLORATION_EXPENDITURE_NICK" hidden="1">"c9308"</definedName>
    <definedName name="IQ_EXPLORATION_EXPENDITURE_PLAT" hidden="1">"c9146"</definedName>
    <definedName name="IQ_EXPLORATION_EXPENDITURE_SILVER" hidden="1">"c9093"</definedName>
    <definedName name="IQ_EXPLORATION_EXPENDITURE_TITAN" hidden="1">"c9573"</definedName>
    <definedName name="IQ_EXPLORATION_EXPENDITURE_URAN" hidden="1">"c9626"</definedName>
    <definedName name="IQ_EXPLORATION_EXPENDITURE_ZINC" hidden="1">"c9361"</definedName>
    <definedName name="IQ_EXPLORE_DRILL" hidden="1">"c409"</definedName>
    <definedName name="IQ_EXPLORE_DRILL_EXP_TOTAL" hidden="1">"c13850"</definedName>
    <definedName name="IQ_EXPORT_PRICE_INDEX" hidden="1">"c6860"</definedName>
    <definedName name="IQ_EXPORT_PRICE_INDEX_APR" hidden="1">"c7520"</definedName>
    <definedName name="IQ_EXPORT_PRICE_INDEX_APR_FC" hidden="1">"c8400"</definedName>
    <definedName name="IQ_EXPORT_PRICE_INDEX_FC" hidden="1">"c7740"</definedName>
    <definedName name="IQ_EXPORT_PRICE_INDEX_POP" hidden="1">"c7080"</definedName>
    <definedName name="IQ_EXPORT_PRICE_INDEX_POP_FC" hidden="1">"c7960"</definedName>
    <definedName name="IQ_EXPORT_PRICE_INDEX_YOY" hidden="1">"c7300"</definedName>
    <definedName name="IQ_EXPORT_PRICE_INDEX_YOY_FC" hidden="1">"c8180"</definedName>
    <definedName name="IQ_EXPORT_USD" hidden="1">"c20650"</definedName>
    <definedName name="IQ_EXPORTS_APR_FC_UNUSED" hidden="1">"c8401"</definedName>
    <definedName name="IQ_EXPORTS_APR_FC_UNUSED_UNUSED_UNUSED" hidden="1">"c8401"</definedName>
    <definedName name="IQ_EXPORTS_APR_UNUSED" hidden="1">"c7521"</definedName>
    <definedName name="IQ_EXPORTS_APR_UNUSED_UNUSED_UNUSED" hidden="1">"c7521"</definedName>
    <definedName name="IQ_EXPORTS_FACTOR_SERVICES" hidden="1">"c6862"</definedName>
    <definedName name="IQ_EXPORTS_FACTOR_SERVICES_APR" hidden="1">"c7522"</definedName>
    <definedName name="IQ_EXPORTS_FACTOR_SERVICES_APR_FC" hidden="1">"c8402"</definedName>
    <definedName name="IQ_EXPORTS_FACTOR_SERVICES_FC" hidden="1">"c7742"</definedName>
    <definedName name="IQ_EXPORTS_FACTOR_SERVICES_POP" hidden="1">"c7082"</definedName>
    <definedName name="IQ_EXPORTS_FACTOR_SERVICES_POP_FC" hidden="1">"c7962"</definedName>
    <definedName name="IQ_EXPORTS_FACTOR_SERVICES_SAAR" hidden="1">"c6863"</definedName>
    <definedName name="IQ_EXPORTS_FACTOR_SERVICES_SAAR_APR" hidden="1">"c7523"</definedName>
    <definedName name="IQ_EXPORTS_FACTOR_SERVICES_SAAR_APR_FC" hidden="1">"c8403"</definedName>
    <definedName name="IQ_EXPORTS_FACTOR_SERVICES_SAAR_FC" hidden="1">"c7743"</definedName>
    <definedName name="IQ_EXPORTS_FACTOR_SERVICES_SAAR_POP" hidden="1">"c7083"</definedName>
    <definedName name="IQ_EXPORTS_FACTOR_SERVICES_SAAR_POP_FC" hidden="1">"c7963"</definedName>
    <definedName name="IQ_EXPORTS_FACTOR_SERVICES_SAAR_USD_APR_FC" hidden="1">"c11817"</definedName>
    <definedName name="IQ_EXPORTS_FACTOR_SERVICES_SAAR_USD_FC" hidden="1">"c11814"</definedName>
    <definedName name="IQ_EXPORTS_FACTOR_SERVICES_SAAR_USD_POP_FC" hidden="1">"c11815"</definedName>
    <definedName name="IQ_EXPORTS_FACTOR_SERVICES_SAAR_USD_YOY_FC" hidden="1">"c11816"</definedName>
    <definedName name="IQ_EXPORTS_FACTOR_SERVICES_SAAR_YOY" hidden="1">"c7303"</definedName>
    <definedName name="IQ_EXPORTS_FACTOR_SERVICES_SAAR_YOY_FC" hidden="1">"c8183"</definedName>
    <definedName name="IQ_EXPORTS_FACTOR_SERVICES_USD_APR_FC" hidden="1">"c11813"</definedName>
    <definedName name="IQ_EXPORTS_FACTOR_SERVICES_USD_FC" hidden="1">"c11810"</definedName>
    <definedName name="IQ_EXPORTS_FACTOR_SERVICES_USD_POP_FC" hidden="1">"c11811"</definedName>
    <definedName name="IQ_EXPORTS_FACTOR_SERVICES_USD_YOY_FC" hidden="1">"c11812"</definedName>
    <definedName name="IQ_EXPORTS_FACTOR_SERVICES_YOY" hidden="1">"c7302"</definedName>
    <definedName name="IQ_EXPORTS_FACTOR_SERVICES_YOY_FC" hidden="1">"c8182"</definedName>
    <definedName name="IQ_EXPORTS_FC_UNUSED" hidden="1">"c7741"</definedName>
    <definedName name="IQ_EXPORTS_FC_UNUSED_UNUSED_UNUSED" hidden="1">"c7741"</definedName>
    <definedName name="IQ_EXPORTS_GOODS" hidden="1">"c6864"</definedName>
    <definedName name="IQ_EXPORTS_GOODS_APR" hidden="1">"c7524"</definedName>
    <definedName name="IQ_EXPORTS_GOODS_APR_FC" hidden="1">"c8404"</definedName>
    <definedName name="IQ_EXPORTS_GOODS_FC" hidden="1">"c7744"</definedName>
    <definedName name="IQ_EXPORTS_GOODS_NONFACTOR_SERVICES" hidden="1">"c6865"</definedName>
    <definedName name="IQ_EXPORTS_GOODS_NONFACTOR_SERVICES_APR" hidden="1">"c7525"</definedName>
    <definedName name="IQ_EXPORTS_GOODS_NONFACTOR_SERVICES_APR_FC" hidden="1">"c8405"</definedName>
    <definedName name="IQ_EXPORTS_GOODS_NONFACTOR_SERVICES_FC" hidden="1">"c7745"</definedName>
    <definedName name="IQ_EXPORTS_GOODS_NONFACTOR_SERVICES_POP" hidden="1">"c7085"</definedName>
    <definedName name="IQ_EXPORTS_GOODS_NONFACTOR_SERVICES_POP_FC" hidden="1">"c7965"</definedName>
    <definedName name="IQ_EXPORTS_GOODS_NONFACTOR_SERVICES_YOY" hidden="1">"c7305"</definedName>
    <definedName name="IQ_EXPORTS_GOODS_NONFACTOR_SERVICES_YOY_FC" hidden="1">"c8185"</definedName>
    <definedName name="IQ_EXPORTS_GOODS_POP" hidden="1">"c7084"</definedName>
    <definedName name="IQ_EXPORTS_GOODS_POP_FC" hidden="1">"c7964"</definedName>
    <definedName name="IQ_EXPORTS_GOODS_REAL" hidden="1">"c6973"</definedName>
    <definedName name="IQ_EXPORTS_GOODS_REAL_APR" hidden="1">"c7633"</definedName>
    <definedName name="IQ_EXPORTS_GOODS_REAL_APR_FC" hidden="1">"c8513"</definedName>
    <definedName name="IQ_EXPORTS_GOODS_REAL_FC" hidden="1">"c7853"</definedName>
    <definedName name="IQ_EXPORTS_GOODS_REAL_POP" hidden="1">"c7193"</definedName>
    <definedName name="IQ_EXPORTS_GOODS_REAL_POP_FC" hidden="1">"c8073"</definedName>
    <definedName name="IQ_EXPORTS_GOODS_REAL_SAAR" hidden="1">"c11930"</definedName>
    <definedName name="IQ_EXPORTS_GOODS_REAL_SAAR_APR" hidden="1">"c11933"</definedName>
    <definedName name="IQ_EXPORTS_GOODS_REAL_SAAR_APR_FC_UNUSED" hidden="1">"c8512"</definedName>
    <definedName name="IQ_EXPORTS_GOODS_REAL_SAAR_APR_FC_UNUSED_UNUSED_UNUSED" hidden="1">"c8512"</definedName>
    <definedName name="IQ_EXPORTS_GOODS_REAL_SAAR_APR_UNUSED" hidden="1">"c7632"</definedName>
    <definedName name="IQ_EXPORTS_GOODS_REAL_SAAR_APR_UNUSED_UNUSED_UNUSED" hidden="1">"c7632"</definedName>
    <definedName name="IQ_EXPORTS_GOODS_REAL_SAAR_FC_UNUSED" hidden="1">"c7852"</definedName>
    <definedName name="IQ_EXPORTS_GOODS_REAL_SAAR_FC_UNUSED_UNUSED_UNUSED" hidden="1">"c7852"</definedName>
    <definedName name="IQ_EXPORTS_GOODS_REAL_SAAR_POP" hidden="1">"c11931"</definedName>
    <definedName name="IQ_EXPORTS_GOODS_REAL_SAAR_POP_FC_UNUSED" hidden="1">"c8072"</definedName>
    <definedName name="IQ_EXPORTS_GOODS_REAL_SAAR_POP_FC_UNUSED_UNUSED_UNUSED" hidden="1">"c8072"</definedName>
    <definedName name="IQ_EXPORTS_GOODS_REAL_SAAR_POP_UNUSED" hidden="1">"c7192"</definedName>
    <definedName name="IQ_EXPORTS_GOODS_REAL_SAAR_POP_UNUSED_UNUSED_UNUSED" hidden="1">"c7192"</definedName>
    <definedName name="IQ_EXPORTS_GOODS_REAL_SAAR_UNUSED" hidden="1">"c6972"</definedName>
    <definedName name="IQ_EXPORTS_GOODS_REAL_SAAR_UNUSED_UNUSED_UNUSED" hidden="1">"c6972"</definedName>
    <definedName name="IQ_EXPORTS_GOODS_REAL_SAAR_YOY" hidden="1">"c11932"</definedName>
    <definedName name="IQ_EXPORTS_GOODS_REAL_SAAR_YOY_FC_UNUSED" hidden="1">"c8292"</definedName>
    <definedName name="IQ_EXPORTS_GOODS_REAL_SAAR_YOY_FC_UNUSED_UNUSED_UNUSED" hidden="1">"c8292"</definedName>
    <definedName name="IQ_EXPORTS_GOODS_REAL_SAAR_YOY_UNUSED" hidden="1">"c7412"</definedName>
    <definedName name="IQ_EXPORTS_GOODS_REAL_SAAR_YOY_UNUSED_UNUSED_UNUSED" hidden="1">"c7412"</definedName>
    <definedName name="IQ_EXPORTS_GOODS_REAL_YOY" hidden="1">"c7413"</definedName>
    <definedName name="IQ_EXPORTS_GOODS_REAL_YOY_FC" hidden="1">"c8293"</definedName>
    <definedName name="IQ_EXPORTS_GOODS_SERVICES" hidden="1">"c6866"</definedName>
    <definedName name="IQ_EXPORTS_GOODS_SERVICES_APR" hidden="1">"c7526"</definedName>
    <definedName name="IQ_EXPORTS_GOODS_SERVICES_APR_FC" hidden="1">"c8406"</definedName>
    <definedName name="IQ_EXPORTS_GOODS_SERVICES_FC" hidden="1">"c7746"</definedName>
    <definedName name="IQ_EXPORTS_GOODS_SERVICES_POP" hidden="1">"c7086"</definedName>
    <definedName name="IQ_EXPORTS_GOODS_SERVICES_POP_FC" hidden="1">"c7966"</definedName>
    <definedName name="IQ_EXPORTS_GOODS_SERVICES_REAL" hidden="1">"c6974"</definedName>
    <definedName name="IQ_EXPORTS_GOODS_SERVICES_REAL_APR" hidden="1">"c7634"</definedName>
    <definedName name="IQ_EXPORTS_GOODS_SERVICES_REAL_APR_FC" hidden="1">"c8514"</definedName>
    <definedName name="IQ_EXPORTS_GOODS_SERVICES_REAL_FC" hidden="1">"c7854"</definedName>
    <definedName name="IQ_EXPORTS_GOODS_SERVICES_REAL_POP" hidden="1">"c7194"</definedName>
    <definedName name="IQ_EXPORTS_GOODS_SERVICES_REAL_POP_FC" hidden="1">"c8074"</definedName>
    <definedName name="IQ_EXPORTS_GOODS_SERVICES_REAL_SAAR" hidden="1">"c6975"</definedName>
    <definedName name="IQ_EXPORTS_GOODS_SERVICES_REAL_SAAR_APR" hidden="1">"c7635"</definedName>
    <definedName name="IQ_EXPORTS_GOODS_SERVICES_REAL_SAAR_APR_FC" hidden="1">"c8515"</definedName>
    <definedName name="IQ_EXPORTS_GOODS_SERVICES_REAL_SAAR_FC" hidden="1">"c7855"</definedName>
    <definedName name="IQ_EXPORTS_GOODS_SERVICES_REAL_SAAR_POP" hidden="1">"c7195"</definedName>
    <definedName name="IQ_EXPORTS_GOODS_SERVICES_REAL_SAAR_POP_FC" hidden="1">"c8075"</definedName>
    <definedName name="IQ_EXPORTS_GOODS_SERVICES_REAL_SAAR_YOY" hidden="1">"c7415"</definedName>
    <definedName name="IQ_EXPORTS_GOODS_SERVICES_REAL_SAAR_YOY_FC" hidden="1">"c8295"</definedName>
    <definedName name="IQ_EXPORTS_GOODS_SERVICES_REAL_USD" hidden="1">"c11926"</definedName>
    <definedName name="IQ_EXPORTS_GOODS_SERVICES_REAL_USD_APR" hidden="1">"c11929"</definedName>
    <definedName name="IQ_EXPORTS_GOODS_SERVICES_REAL_USD_POP" hidden="1">"c11927"</definedName>
    <definedName name="IQ_EXPORTS_GOODS_SERVICES_REAL_USD_YOY" hidden="1">"c11928"</definedName>
    <definedName name="IQ_EXPORTS_GOODS_SERVICES_REAL_YOY" hidden="1">"c7414"</definedName>
    <definedName name="IQ_EXPORTS_GOODS_SERVICES_REAL_YOY_FC" hidden="1">"c8294"</definedName>
    <definedName name="IQ_EXPORTS_GOODS_SERVICES_SAAR" hidden="1">"c6867"</definedName>
    <definedName name="IQ_EXPORTS_GOODS_SERVICES_SAAR_APR" hidden="1">"c7527"</definedName>
    <definedName name="IQ_EXPORTS_GOODS_SERVICES_SAAR_APR_FC" hidden="1">"c8407"</definedName>
    <definedName name="IQ_EXPORTS_GOODS_SERVICES_SAAR_FC" hidden="1">"c7747"</definedName>
    <definedName name="IQ_EXPORTS_GOODS_SERVICES_SAAR_POP" hidden="1">"c7087"</definedName>
    <definedName name="IQ_EXPORTS_GOODS_SERVICES_SAAR_POP_FC" hidden="1">"c7967"</definedName>
    <definedName name="IQ_EXPORTS_GOODS_SERVICES_SAAR_YOY" hidden="1">"c7307"</definedName>
    <definedName name="IQ_EXPORTS_GOODS_SERVICES_SAAR_YOY_FC" hidden="1">"c8187"</definedName>
    <definedName name="IQ_EXPORTS_GOODS_SERVICES_USD" hidden="1">"c11822"</definedName>
    <definedName name="IQ_EXPORTS_GOODS_SERVICES_USD_APR" hidden="1">"c11825"</definedName>
    <definedName name="IQ_EXPORTS_GOODS_SERVICES_USD_POP" hidden="1">"c11823"</definedName>
    <definedName name="IQ_EXPORTS_GOODS_SERVICES_USD_YOY" hidden="1">"c11824"</definedName>
    <definedName name="IQ_EXPORTS_GOODS_SERVICES_YOY" hidden="1">"c7306"</definedName>
    <definedName name="IQ_EXPORTS_GOODS_SERVICES_YOY_FC" hidden="1">"c8186"</definedName>
    <definedName name="IQ_EXPORTS_GOODS_USD" hidden="1">"c11818"</definedName>
    <definedName name="IQ_EXPORTS_GOODS_USD_APR" hidden="1">"c11821"</definedName>
    <definedName name="IQ_EXPORTS_GOODS_USD_POP" hidden="1">"c11819"</definedName>
    <definedName name="IQ_EXPORTS_GOODS_USD_YOY" hidden="1">"c11820"</definedName>
    <definedName name="IQ_EXPORTS_GOODS_YOY" hidden="1">"c7304"</definedName>
    <definedName name="IQ_EXPORTS_GOODS_YOY_FC" hidden="1">"c8184"</definedName>
    <definedName name="IQ_EXPORTS_NONFACTOR_SERVICES" hidden="1">"c6868"</definedName>
    <definedName name="IQ_EXPORTS_NONFACTOR_SERVICES_APR" hidden="1">"c7528"</definedName>
    <definedName name="IQ_EXPORTS_NONFACTOR_SERVICES_APR_FC" hidden="1">"c8408"</definedName>
    <definedName name="IQ_EXPORTS_NONFACTOR_SERVICES_FC" hidden="1">"c7748"</definedName>
    <definedName name="IQ_EXPORTS_NONFACTOR_SERVICES_POP" hidden="1">"c7088"</definedName>
    <definedName name="IQ_EXPORTS_NONFACTOR_SERVICES_POP_FC" hidden="1">"c7968"</definedName>
    <definedName name="IQ_EXPORTS_NONFACTOR_SERVICES_YOY" hidden="1">"c7308"</definedName>
    <definedName name="IQ_EXPORTS_NONFACTOR_SERVICES_YOY_FC" hidden="1">"c8188"</definedName>
    <definedName name="IQ_EXPORTS_POP_FC_UNUSED" hidden="1">"c7961"</definedName>
    <definedName name="IQ_EXPORTS_POP_FC_UNUSED_UNUSED_UNUSED" hidden="1">"c7961"</definedName>
    <definedName name="IQ_EXPORTS_POP_UNUSED" hidden="1">"c7081"</definedName>
    <definedName name="IQ_EXPORTS_POP_UNUSED_UNUSED_UNUSED" hidden="1">"c7081"</definedName>
    <definedName name="IQ_EXPORTS_SERVICES_REAL" hidden="1">"c6977"</definedName>
    <definedName name="IQ_EXPORTS_SERVICES_REAL_APR" hidden="1">"c7637"</definedName>
    <definedName name="IQ_EXPORTS_SERVICES_REAL_APR_FC" hidden="1">"c8517"</definedName>
    <definedName name="IQ_EXPORTS_SERVICES_REAL_FC" hidden="1">"c7857"</definedName>
    <definedName name="IQ_EXPORTS_SERVICES_REAL_POP" hidden="1">"c7197"</definedName>
    <definedName name="IQ_EXPORTS_SERVICES_REAL_POP_FC" hidden="1">"c8077"</definedName>
    <definedName name="IQ_EXPORTS_SERVICES_REAL_SAAR" hidden="1">"c11934"</definedName>
    <definedName name="IQ_EXPORTS_SERVICES_REAL_SAAR_APR" hidden="1">"c11937"</definedName>
    <definedName name="IQ_EXPORTS_SERVICES_REAL_SAAR_APR_FC_UNUSED" hidden="1">"c8516"</definedName>
    <definedName name="IQ_EXPORTS_SERVICES_REAL_SAAR_APR_FC_UNUSED_UNUSED_UNUSED" hidden="1">"c8516"</definedName>
    <definedName name="IQ_EXPORTS_SERVICES_REAL_SAAR_APR_UNUSED" hidden="1">"c7636"</definedName>
    <definedName name="IQ_EXPORTS_SERVICES_REAL_SAAR_APR_UNUSED_UNUSED_UNUSED" hidden="1">"c7636"</definedName>
    <definedName name="IQ_EXPORTS_SERVICES_REAL_SAAR_FC_UNUSED" hidden="1">"c7856"</definedName>
    <definedName name="IQ_EXPORTS_SERVICES_REAL_SAAR_FC_UNUSED_UNUSED_UNUSED" hidden="1">"c7856"</definedName>
    <definedName name="IQ_EXPORTS_SERVICES_REAL_SAAR_POP" hidden="1">"c11935"</definedName>
    <definedName name="IQ_EXPORTS_SERVICES_REAL_SAAR_POP_FC_UNUSED" hidden="1">"c8076"</definedName>
    <definedName name="IQ_EXPORTS_SERVICES_REAL_SAAR_POP_FC_UNUSED_UNUSED_UNUSED" hidden="1">"c8076"</definedName>
    <definedName name="IQ_EXPORTS_SERVICES_REAL_SAAR_POP_UNUSED" hidden="1">"c7196"</definedName>
    <definedName name="IQ_EXPORTS_SERVICES_REAL_SAAR_POP_UNUSED_UNUSED_UNUSED" hidden="1">"c7196"</definedName>
    <definedName name="IQ_EXPORTS_SERVICES_REAL_SAAR_UNUSED" hidden="1">"c6976"</definedName>
    <definedName name="IQ_EXPORTS_SERVICES_REAL_SAAR_UNUSED_UNUSED_UNUSED" hidden="1">"c6976"</definedName>
    <definedName name="IQ_EXPORTS_SERVICES_REAL_SAAR_YOY" hidden="1">"c11936"</definedName>
    <definedName name="IQ_EXPORTS_SERVICES_REAL_SAAR_YOY_FC_UNUSED" hidden="1">"c8296"</definedName>
    <definedName name="IQ_EXPORTS_SERVICES_REAL_SAAR_YOY_FC_UNUSED_UNUSED_UNUSED" hidden="1">"c8296"</definedName>
    <definedName name="IQ_EXPORTS_SERVICES_REAL_SAAR_YOY_UNUSED" hidden="1">"c7416"</definedName>
    <definedName name="IQ_EXPORTS_SERVICES_REAL_SAAR_YOY_UNUSED_UNUSED_UNUSED" hidden="1">"c7416"</definedName>
    <definedName name="IQ_EXPORTS_SERVICES_REAL_YOY" hidden="1">"c7417"</definedName>
    <definedName name="IQ_EXPORTS_SERVICES_REAL_YOY_FC" hidden="1">"c8297"</definedName>
    <definedName name="IQ_EXPORTS_UNUSED" hidden="1">"c6861"</definedName>
    <definedName name="IQ_EXPORTS_UNUSED_UNUSED_UNUSED" hidden="1">"c6861"</definedName>
    <definedName name="IQ_EXPORTS_USD" hidden="1">"c11806"</definedName>
    <definedName name="IQ_EXPORTS_USD_APR" hidden="1">"c11809"</definedName>
    <definedName name="IQ_EXPORTS_USD_POP" hidden="1">"c11807"</definedName>
    <definedName name="IQ_EXPORTS_USD_YOY" hidden="1">"c11808"</definedName>
    <definedName name="IQ_EXPORTS_YOY_FC_UNUSED" hidden="1">"c8181"</definedName>
    <definedName name="IQ_EXPORTS_YOY_FC_UNUSED_UNUSED_UNUSED" hidden="1">"c8181"</definedName>
    <definedName name="IQ_EXPORTS_YOY_UNUSED" hidden="1">"c7301"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CM"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AVG_ASSETS_FFIEC" hidden="1">"c13369"</definedName>
    <definedName name="IQ_EXTRA_ITEMS" hidden="1">"c413"</definedName>
    <definedName name="IQ_EXTRA_ITEMS_OTHER_ADJUSTMENTS_FOREIGN_FFIEC" hidden="1">"c15392"</definedName>
    <definedName name="IQ_EXTRAORDINARY_GAINS_FDIC" hidden="1">"c6586"</definedName>
    <definedName name="IQ_EXTRAORDINARY_ITEMS_AVG_ASSETS_THRIFT" hidden="1">"c25659"</definedName>
    <definedName name="IQ_EXTRAORDINARY_ITEMS_FFIEC" hidden="1">"c13033"</definedName>
    <definedName name="IQ_EXTRAORDINARY_ITEMS_THRIFT" hidden="1">"c24797"</definedName>
    <definedName name="IQ_FAD" hidden="1">"c8757"</definedName>
    <definedName name="IQ_FAD_PAYOUT_RATIO" hidden="1">"c8872"</definedName>
    <definedName name="IQ_FAIR_VALUE_CHANGE_INCL_EARNINGS" hidden="1">"c13849"</definedName>
    <definedName name="IQ_FAIR_VALUE_DEBT" hidden="1">"c16007"</definedName>
    <definedName name="IQ_FAIR_VALUE_FDIC" hidden="1">"c6427"</definedName>
    <definedName name="IQ_FAIR_VALUE_FIN_INSTRUMENTS_NAV" hidden="1">"c16002"</definedName>
    <definedName name="IQ_FAIR_VALUE_FIN_INSTRUMENTS_NNAV" hidden="1">"c16006"</definedName>
    <definedName name="IQ_FAIR_VALUE_TRADING_PROP" hidden="1">"c16001"</definedName>
    <definedName name="IQ_FARM_LOANS_NET_FDIC" hidden="1">"c6316"</definedName>
    <definedName name="IQ_FARM_LOANS_TOT_LOANS_FFIEC" hidden="1">"c13870"</definedName>
    <definedName name="IQ_FARM_LOANS_TOTAL_LOANS_FOREIGN_FDIC" hidden="1">"c6450"</definedName>
    <definedName name="IQ_FARMLAND_DOM_FFIEC" hidden="1">"c15268"</definedName>
    <definedName name="IQ_FARMLAND_LOANS_FDIC" hidden="1">"c6314"</definedName>
    <definedName name="IQ_FCF_ACT_OR_EST" hidden="1">"c18270"</definedName>
    <definedName name="IQ_FCF_ACT_OR_EST_CIQ" hidden="1">"c18276"</definedName>
    <definedName name="IQ_FCF_EST" hidden="1">"c18118"</definedName>
    <definedName name="IQ_FCF_EST_CIQ" hidden="1">"c18186"</definedName>
    <definedName name="IQ_FCF_EST_NOTE" hidden="1">"c18239"</definedName>
    <definedName name="IQ_FCF_EST_NOTE_CIQ" hidden="1">"c18246"</definedName>
    <definedName name="IQ_FCF_GUIDANCE" hidden="1">"c18415"</definedName>
    <definedName name="IQ_FCF_HIGH_EST" hidden="1">"c18138"</definedName>
    <definedName name="IQ_FCF_HIGH_EST_CIQ" hidden="1">"c18200"</definedName>
    <definedName name="IQ_FCF_HIGH_GUIDANCE" hidden="1">"c18416"</definedName>
    <definedName name="IQ_FCF_LOW_EST" hidden="1">"c18148"</definedName>
    <definedName name="IQ_FCF_LOW_EST_CIQ" hidden="1">"c18207"</definedName>
    <definedName name="IQ_FCF_LOW_GUIDANCE" hidden="1">"c18417"</definedName>
    <definedName name="IQ_FCF_MEDIAN_EST" hidden="1">"c18128"</definedName>
    <definedName name="IQ_FCF_MEDIAN_EST_CIQ" hidden="1">"c18193"</definedName>
    <definedName name="IQ_FCF_NUM_EST" hidden="1">"c18168"</definedName>
    <definedName name="IQ_FCF_NUM_EST_CIQ" hidden="1">"c18221"</definedName>
    <definedName name="IQ_FCF_STDDEV_EST" hidden="1">"c18158"</definedName>
    <definedName name="IQ_FCF_STDDEV_EST_CIQ" hidden="1">"c18214"</definedName>
    <definedName name="IQ_FDI_INFLOWS" hidden="1">"c20651"</definedName>
    <definedName name="IQ_FDI_NET" hidden="1">"c20652"</definedName>
    <definedName name="IQ_FDI_OUTFLOWS" hidden="1">"c20653"</definedName>
    <definedName name="IQ_FDIC" hidden="1">"c417"</definedName>
    <definedName name="IQ_FDIC_CERT_NUMBER_FFIEC" hidden="1">"c20507"</definedName>
    <definedName name="IQ_FDIC_DEPOSIT_INSURANCE_FFIEC" hidden="1">"c13053"</definedName>
    <definedName name="IQ_FED_BUDGET_RECEIPTS" hidden="1">"c6869"</definedName>
    <definedName name="IQ_FED_BUDGET_RECEIPTS_APR" hidden="1">"c7529"</definedName>
    <definedName name="IQ_FED_BUDGET_RECEIPTS_APR_FC" hidden="1">"c8409"</definedName>
    <definedName name="IQ_FED_BUDGET_RECEIPTS_FC" hidden="1">"c7749"</definedName>
    <definedName name="IQ_FED_BUDGET_RECEIPTS_POP" hidden="1">"c7089"</definedName>
    <definedName name="IQ_FED_BUDGET_RECEIPTS_POP_FC" hidden="1">"c7969"</definedName>
    <definedName name="IQ_FED_BUDGET_RECEIPTS_YOY" hidden="1">"c7309"</definedName>
    <definedName name="IQ_FED_BUDGET_RECEIPTS_YOY_FC" hidden="1">"c8189"</definedName>
    <definedName name="IQ_FED_FUND_PURCHASED_SEC_SOLD_REPURCHASE_FFIEC" hidden="1">"c15489"</definedName>
    <definedName name="IQ_FED_FUND_PURCHASED_SEC_SOLD_REPURCHASE_THRIFT" hidden="1">"c24901"</definedName>
    <definedName name="IQ_FED_FUND_SOLD_SEC_PURCHASED_RESELL_FFIEC" hidden="1">"c15488"</definedName>
    <definedName name="IQ_FED_FUND_SOLD_SEC_PURCHASED_RESELL_THRIFT" hidden="1">"c24821"</definedName>
    <definedName name="IQ_FED_FUNDS_AVAIL" hidden="1">"c2523"</definedName>
    <definedName name="IQ_FED_FUNDS_PURCH_SEC_SOLD_FAIR_VALUE_TOT_FFIEC" hidden="1">"c15406"</definedName>
    <definedName name="IQ_FED_FUNDS_PURCH_SEC_SOLD_LEVEL_1_FFIEC" hidden="1">"c15428"</definedName>
    <definedName name="IQ_FED_FUNDS_PURCH_SEC_SOLD_LEVEL_2_FFIEC" hidden="1">"c15441"</definedName>
    <definedName name="IQ_FED_FUNDS_PURCH_SEC_SOLD_LEVEL_3_FFIEC" hidden="1">"c15454"</definedName>
    <definedName name="IQ_FED_FUNDS_PURCHASED_DOM_FFIEC" hidden="1">"c12856"</definedName>
    <definedName name="IQ_FED_FUNDS_PURCHASED_FDIC" hidden="1">"c6343"</definedName>
    <definedName name="IQ_FED_FUNDS_PURCHASED_QUARTERLY_AVG_FFIEC" hidden="1">"c13090"</definedName>
    <definedName name="IQ_FED_FUNDS_PURCHASED_REPOS_TOTAL_ASSETS_THRIFT" hidden="1">"c25702"</definedName>
    <definedName name="IQ_FED_FUNDS_SOLD_DOM_FFIEC" hidden="1">"c12806"</definedName>
    <definedName name="IQ_FED_FUNDS_SOLD_FDIC" hidden="1">"c6307"</definedName>
    <definedName name="IQ_FED_FUNDS_SOLD_QUARTERLY_AVG_FFIEC" hidden="1">"c13080"</definedName>
    <definedName name="IQ_FED_FUNDS_SOLD_SEC_PURCH_FAIR_VALUE_TOT_FFIEC" hidden="1">"c15402"</definedName>
    <definedName name="IQ_FED_FUNDS_SOLD_SEC_PURCH_LEVEL_1_FFIEC" hidden="1">"c15424"</definedName>
    <definedName name="IQ_FED_FUNDS_SOLD_SEC_PURCH_LEVEL_2_FFIEC" hidden="1">"c15437"</definedName>
    <definedName name="IQ_FED_FUNDS_SOLD_SEC_PURCH_LEVEL_3_FFIEC" hidden="1">"c15450"</definedName>
    <definedName name="IQ_FEDERAL_FUNDS_PURCHASED_SEC_SOLD_UNDER_AGREEMENTS_REPURCHASE_AMOUNTS_NETTED_THRIFT" hidden="1">"c25528"</definedName>
    <definedName name="IQ_FEDERAL_FUNDS_PURCHASED_SEC_SOLD_UNDER_AGREEMENTS_REPURCHASE_LEVEL_1_THRIFT" hidden="1">"c25524"</definedName>
    <definedName name="IQ_FEDERAL_FUNDS_PURCHASED_SEC_SOLD_UNDER_AGREEMENTS_REPURCHASE_LEVEL_2_THRIFT" hidden="1">"c25525"</definedName>
    <definedName name="IQ_FEDERAL_FUNDS_PURCHASED_SEC_SOLD_UNDER_AGREEMENTS_REPURCHASE_LEVEL_3_THRIFT" hidden="1">"c25526"</definedName>
    <definedName name="IQ_FEDERAL_FUNDS_PURCHASED_SEC_SOLD_UNDER_AGREEMENTS_REPURCHASE_TOTAL_AFTER_NETTING_THRIFT" hidden="1">"c25529"</definedName>
    <definedName name="IQ_FEDERAL_FUNDS_PURCHASED_SEC_SOLD_UNDER_AGREEMENTS_REPURCHASE_TOTAL_BEFORE_NETTING_THRIFT" hidden="1">"c25527"</definedName>
    <definedName name="IQ_FEDERAL_FUNDS_SOLD_SEC_PURCHASED_UNDER_AGREEMENTS_RESELL_AMOUNTS_NETTED_THRIFT" hidden="1">"c25480"</definedName>
    <definedName name="IQ_FEDERAL_FUNDS_SOLD_SEC_PURCHASED_UNDER_AGREEMENTS_RESELL_LEVEL_1_THRIFT" hidden="1">"c25476"</definedName>
    <definedName name="IQ_FEDERAL_FUNDS_SOLD_SEC_PURCHASED_UNDER_AGREEMENTS_RESELL_LEVEL_2_THRIFT" hidden="1">"c25477"</definedName>
    <definedName name="IQ_FEDERAL_FUNDS_SOLD_SEC_PURCHASED_UNDER_AGREEMENTS_RESELL_LEVEL_3_THRIFT" hidden="1">"c25478"</definedName>
    <definedName name="IQ_FEDERAL_FUNDS_SOLD_SEC_PURCHASED_UNDER_AGREEMENTS_RESELL_TOTAL_AFTER_NETTING_THRIFT" hidden="1">"c25481"</definedName>
    <definedName name="IQ_FEDERAL_FUNDS_SOLD_SEC_PURCHASED_UNDER_AGREEMENTS_RESELL_TOTAL_BEFORE_NETTING_THRIFT" hidden="1">"c25479"</definedName>
    <definedName name="IQ_FEDERAL_INC_TAXES_THRIFT" hidden="1">"c24816"</definedName>
    <definedName name="IQ_FEDFUNDS_PURCHASED_RELATED" hidden="1">"c19132"</definedName>
    <definedName name="IQ_FEDFUNDS_SOLD" hidden="1">"c2256"</definedName>
    <definedName name="IQ_FEDFUNDS_SOLD_RELATED" hidden="1">"c19130"</definedName>
    <definedName name="IQ_FEE_INCOME_COMM_LOANS_THRIFT" hidden="1">"c24751"</definedName>
    <definedName name="IQ_FEE_INCOME_CONSUMER_LOANS_THRIFT" hidden="1">"c24752"</definedName>
    <definedName name="IQ_FEE_INCOME_MORTGAGE_LOANS_THRIFT" hidden="1">"c24750"</definedName>
    <definedName name="IQ_FEES_COMMISSIONS_BROKERAGE_FFIEC" hidden="1">"c13005"</definedName>
    <definedName name="IQ_FEES_OTHER_INCOME" hidden="1">"c15257"</definedName>
    <definedName name="IQ_FFO" hidden="1">"c1574"</definedName>
    <definedName name="IQ_FFO_ACT_OR_EST" hidden="1">"c2216"</definedName>
    <definedName name="IQ_FFO_ADJ_ACT_OR_EST" hidden="1">"c4435"</definedName>
    <definedName name="IQ_FFO_ADJ_ACT_OR_EST_CIQ" hidden="1">"c4960"</definedName>
    <definedName name="IQ_FFO_ADJ_ACT_OR_EST_CIQ_COL" hidden="1">"c11607"</definedName>
    <definedName name="IQ_FFO_ADJ_EST" hidden="1">"c4434"</definedName>
    <definedName name="IQ_FFO_ADJ_GUIDANCE" hidden="1">"c4436"</definedName>
    <definedName name="IQ_FFO_ADJ_GUIDANCE_CIQ" hidden="1">"c4961"</definedName>
    <definedName name="IQ_FFO_ADJ_GUIDANCE_CIQ_COL" hidden="1">"c11608"</definedName>
    <definedName name="IQ_FFO_ADJ_HIGH_EST" hidden="1">"c4437"</definedName>
    <definedName name="IQ_FFO_ADJ_HIGH_GUIDANCE" hidden="1">"c4202"</definedName>
    <definedName name="IQ_FFO_ADJ_HIGH_GUIDANCE_CIQ" hidden="1">"c4614"</definedName>
    <definedName name="IQ_FFO_ADJ_HIGH_GUIDANCE_CIQ_COL" hidden="1">"c11263"</definedName>
    <definedName name="IQ_FFO_ADJ_LOW_EST" hidden="1">"c4438"</definedName>
    <definedName name="IQ_FFO_ADJ_LOW_GUIDANCE" hidden="1">"c4242"</definedName>
    <definedName name="IQ_FFO_ADJ_LOW_GUIDANCE_CIQ" hidden="1">"c4654"</definedName>
    <definedName name="IQ_FFO_ADJ_LOW_GUIDANCE_CIQ_COL" hidden="1">"c11303"</definedName>
    <definedName name="IQ_FFO_ADJ_MEDIAN_EST" hidden="1">"c4439"</definedName>
    <definedName name="IQ_FFO_ADJ_NUM_EST" hidden="1">"c4440"</definedName>
    <definedName name="IQ_FFO_ADJ_REIT_EST" hidden="1">"c26918"</definedName>
    <definedName name="IQ_FFO_ADJ_REIT_EST_CIQ" hidden="1">"c4959"</definedName>
    <definedName name="IQ_FFO_ADJ_REIT_EST_DOWN_2MONTH_CIQ" hidden="1">"c24662"</definedName>
    <definedName name="IQ_FFO_ADJ_REIT_EST_DOWN_3MONTH_CIQ" hidden="1">"c24666"</definedName>
    <definedName name="IQ_FFO_ADJ_REIT_EST_DOWN_MONTH_CIQ" hidden="1">"c24658"</definedName>
    <definedName name="IQ_FFO_ADJ_REIT_EST_NOTE_CIQ" hidden="1">"c24649"</definedName>
    <definedName name="IQ_FFO_ADJ_REIT_EST_NUM_ANALYSTS_2MONTH_CIQ" hidden="1">"c24660"</definedName>
    <definedName name="IQ_FFO_ADJ_REIT_EST_NUM_ANALYSTS_3MONTH_CIQ" hidden="1">"c24664"</definedName>
    <definedName name="IQ_FFO_ADJ_REIT_EST_NUM_ANALYSTS_MONTH_CIQ" hidden="1">"c24656"</definedName>
    <definedName name="IQ_FFO_ADJ_REIT_EST_TOTAL_REVISED_2MONTH_CIQ" hidden="1">"c24663"</definedName>
    <definedName name="IQ_FFO_ADJ_REIT_EST_TOTAL_REVISED_3MONTH_CIQ" hidden="1">"c24667"</definedName>
    <definedName name="IQ_FFO_ADJ_REIT_EST_TOTAL_REVISED_MONTH_CIQ" hidden="1">"c24659"</definedName>
    <definedName name="IQ_FFO_ADJ_REIT_EST_UP_2MONTH_CIQ" hidden="1">"c24661"</definedName>
    <definedName name="IQ_FFO_ADJ_REIT_EST_UP_3MONTH_CIQ" hidden="1">"c24665"</definedName>
    <definedName name="IQ_FFO_ADJ_REIT_EST_UP_MONTH_CIQ" hidden="1">"c24657"</definedName>
    <definedName name="IQ_FFO_ADJ_REIT_HIGH_EST" hidden="1">"c26919"</definedName>
    <definedName name="IQ_FFO_ADJ_REIT_HIGH_EST_CIQ" hidden="1">"c4962"</definedName>
    <definedName name="IQ_FFO_ADJ_REIT_LOW_EST" hidden="1">"c26920"</definedName>
    <definedName name="IQ_FFO_ADJ_REIT_LOW_EST_CIQ" hidden="1">"c4963"</definedName>
    <definedName name="IQ_FFO_ADJ_REIT_MEDIAN_EST" hidden="1">"c26921"</definedName>
    <definedName name="IQ_FFO_ADJ_REIT_MEDIAN_EST_CIQ" hidden="1">"c4964"</definedName>
    <definedName name="IQ_FFO_ADJ_REIT_NUM_EST" hidden="1">"c26922"</definedName>
    <definedName name="IQ_FFO_ADJ_REIT_NUM_EST_CIQ" hidden="1">"c4965"</definedName>
    <definedName name="IQ_FFO_ADJ_REIT_STDDEV_EST" hidden="1">"c26923"</definedName>
    <definedName name="IQ_FFO_ADJ_REIT_STDDEV_EST_CIQ" hidden="1">"c4966"</definedName>
    <definedName name="IQ_FFO_ADJ_STDDEV_EST" hidden="1">"c4441"</definedName>
    <definedName name="IQ_FFO_DILUTED" hidden="1">"c16186"</definedName>
    <definedName name="IQ_FFO_EST" hidden="1">"c418"</definedName>
    <definedName name="IQ_FFO_EST_CIQ_COL" hidden="1">"c11617"</definedName>
    <definedName name="IQ_FFO_EST_DET_EST" hidden="1">"c12059"</definedName>
    <definedName name="IQ_FFO_EST_DET_EST_CIQ" hidden="1">"c12121"</definedName>
    <definedName name="IQ_FFO_EST_DET_EST_CIQ_COL" hidden="1">"c12185"</definedName>
    <definedName name="IQ_FFO_EST_DET_EST_CURRENCY" hidden="1">"c12466"</definedName>
    <definedName name="IQ_FFO_EST_DET_EST_CURRENCY_CIQ" hidden="1">"c12512"</definedName>
    <definedName name="IQ_FFO_EST_DET_EST_CURRENCY_CIQ_COL" hidden="1">"c12560"</definedName>
    <definedName name="IQ_FFO_EST_DET_EST_CURRENCY_REUT" hidden="1">"c12536"</definedName>
    <definedName name="IQ_FFO_EST_DET_EST_CURRENCY_THOM" hidden="1">"c12487"</definedName>
    <definedName name="IQ_FFO_EST_DET_EST_DATE" hidden="1">"c12212"</definedName>
    <definedName name="IQ_FFO_EST_DET_EST_DATE_CIQ" hidden="1">"c12267"</definedName>
    <definedName name="IQ_FFO_EST_DET_EST_DATE_CIQ_COL" hidden="1">"c12323"</definedName>
    <definedName name="IQ_FFO_EST_DET_EST_DATE_REUT" hidden="1">"c12295"</definedName>
    <definedName name="IQ_FFO_EST_DET_EST_DATE_THOM" hidden="1">"c12238"</definedName>
    <definedName name="IQ_FFO_EST_DET_EST_INCL" hidden="1">"c12349"</definedName>
    <definedName name="IQ_FFO_EST_DET_EST_INCL_CIQ" hidden="1">"c12395"</definedName>
    <definedName name="IQ_FFO_EST_DET_EST_INCL_CIQ_COL" hidden="1">"c12443"</definedName>
    <definedName name="IQ_FFO_EST_DET_EST_INCL_REUT" hidden="1">"c12419"</definedName>
    <definedName name="IQ_FFO_EST_DET_EST_INCL_THOM" hidden="1">"c12370"</definedName>
    <definedName name="IQ_FFO_EST_DET_EST_ORIGIN" hidden="1">"c12722"</definedName>
    <definedName name="IQ_FFO_EST_DET_EST_ORIGIN_CIQ" hidden="1">"c12720"</definedName>
    <definedName name="IQ_FFO_EST_DET_EST_ORIGIN_CIQ_COL" hidden="1">"c12723"</definedName>
    <definedName name="IQ_FFO_EST_DET_EST_ORIGIN_REUT" hidden="1">"c12724"</definedName>
    <definedName name="IQ_FFO_EST_DET_EST_ORIGIN_THOM" hidden="1">"c12608"</definedName>
    <definedName name="IQ_FFO_EST_DET_EST_REUT" hidden="1">"c12153"</definedName>
    <definedName name="IQ_FFO_EST_DET_EST_THOM" hidden="1">"c12088"</definedName>
    <definedName name="IQ_FFO_EST_REUT" hidden="1">"c3837"</definedName>
    <definedName name="IQ_FFO_EST_THOM" hidden="1">"c3999"</definedName>
    <definedName name="IQ_FFO_GUIDANCE" hidden="1">"c4443"</definedName>
    <definedName name="IQ_FFO_GUIDANCE_CIQ" hidden="1">"c4968"</definedName>
    <definedName name="IQ_FFO_GUIDANCE_CIQ_COL" hidden="1">"c11615"</definedName>
    <definedName name="IQ_FFO_HIGH_EST" hidden="1">"c419"</definedName>
    <definedName name="IQ_FFO_HIGH_EST_CIQ_COL" hidden="1">"c11624"</definedName>
    <definedName name="IQ_FFO_HIGH_EST_REUT" hidden="1">"c3839"</definedName>
    <definedName name="IQ_FFO_HIGH_EST_THOM" hidden="1">"c4001"</definedName>
    <definedName name="IQ_FFO_HIGH_GUIDANCE" hidden="1">"c4184"</definedName>
    <definedName name="IQ_FFO_HIGH_GUIDANCE_CIQ" hidden="1">"c4596"</definedName>
    <definedName name="IQ_FFO_HIGH_GUIDANCE_CIQ_COL" hidden="1">"c11245"</definedName>
    <definedName name="IQ_FFO_LOW_EST" hidden="1">"c420"</definedName>
    <definedName name="IQ_FFO_LOW_EST_CIQ_COL" hidden="1">"c11625"</definedName>
    <definedName name="IQ_FFO_LOW_EST_REUT" hidden="1">"c3840"</definedName>
    <definedName name="IQ_FFO_LOW_EST_THOM" hidden="1">"c4002"</definedName>
    <definedName name="IQ_FFO_LOW_GUIDANCE" hidden="1">"c4224"</definedName>
    <definedName name="IQ_FFO_LOW_GUIDANCE_CIQ" hidden="1">"c4636"</definedName>
    <definedName name="IQ_FFO_LOW_GUIDANCE_CIQ_COL" hidden="1">"c11285"</definedName>
    <definedName name="IQ_FFO_MEDIAN_EST" hidden="1">"c1665"</definedName>
    <definedName name="IQ_FFO_MEDIAN_EST_CIQ_COL" hidden="1">"c11626"</definedName>
    <definedName name="IQ_FFO_MEDIAN_EST_REUT" hidden="1">"c3838"</definedName>
    <definedName name="IQ_FFO_MEDIAN_EST_THOM" hidden="1">"c4000"</definedName>
    <definedName name="IQ_FFO_NUM_EST" hidden="1">"c421"</definedName>
    <definedName name="IQ_FFO_NUM_EST_CIQ_COL" hidden="1">"c11627"</definedName>
    <definedName name="IQ_FFO_NUM_EST_REUT" hidden="1">"c3841"</definedName>
    <definedName name="IQ_FFO_NUM_EST_THOM" hidden="1">"c4003"</definedName>
    <definedName name="IQ_FFO_PAYOUT_RATIO" hidden="1">"c3492"</definedName>
    <definedName name="IQ_FFO_PER_SHARE_BASIC" hidden="1">"c8867"</definedName>
    <definedName name="IQ_FFO_PER_SHARE_DILUTED" hidden="1">"c8868"</definedName>
    <definedName name="IQ_FFO_REIT_EST" hidden="1">"c26924"</definedName>
    <definedName name="IQ_FFO_REIT_EST_CIQ" hidden="1">"c4970"</definedName>
    <definedName name="IQ_FFO_REIT_EST_DOWN_2MONTH_CIQ" hidden="1">"c24643"</definedName>
    <definedName name="IQ_FFO_REIT_EST_DOWN_3MONTH_CIQ" hidden="1">"c24647"</definedName>
    <definedName name="IQ_FFO_REIT_EST_DOWN_MONTH_CIQ" hidden="1">"c24639"</definedName>
    <definedName name="IQ_FFO_REIT_EST_NOTE_CIQ" hidden="1">"c24630"</definedName>
    <definedName name="IQ_FFO_REIT_EST_NUM_ANALYSTS_2MONTH_CIQ" hidden="1">"c24641"</definedName>
    <definedName name="IQ_FFO_REIT_EST_NUM_ANALYSTS_3MONTH_CIQ" hidden="1">"c24645"</definedName>
    <definedName name="IQ_FFO_REIT_EST_NUM_ANALYSTS_MONTH_CIQ" hidden="1">"c24637"</definedName>
    <definedName name="IQ_FFO_REIT_EST_TOTAL_REVISED_2MONTH_CIQ" hidden="1">"c24644"</definedName>
    <definedName name="IQ_FFO_REIT_EST_TOTAL_REVISED_3MONTH_CIQ" hidden="1">"c24648"</definedName>
    <definedName name="IQ_FFO_REIT_EST_TOTAL_REVISED_MONTH_CIQ" hidden="1">"c24640"</definedName>
    <definedName name="IQ_FFO_REIT_EST_UP_2MONTH_CIQ" hidden="1">"c24642"</definedName>
    <definedName name="IQ_FFO_REIT_EST_UP_3MONTH_CIQ" hidden="1">"c24646"</definedName>
    <definedName name="IQ_FFO_REIT_EST_UP_MONTH_CIQ" hidden="1">"c24638"</definedName>
    <definedName name="IQ_FFO_REIT_HIGH_EST" hidden="1">"c26925"</definedName>
    <definedName name="IQ_FFO_REIT_HIGH_EST_CIQ" hidden="1">"c4977"</definedName>
    <definedName name="IQ_FFO_REIT_LOW_EST" hidden="1">"c26926"</definedName>
    <definedName name="IQ_FFO_REIT_LOW_EST_CIQ" hidden="1">"c4978"</definedName>
    <definedName name="IQ_FFO_REIT_MEDIAN_EST" hidden="1">"c26927"</definedName>
    <definedName name="IQ_FFO_REIT_MEDIAN_EST_CIQ" hidden="1">"c4979"</definedName>
    <definedName name="IQ_FFO_REIT_NUM_EST" hidden="1">"c26928"</definedName>
    <definedName name="IQ_FFO_REIT_NUM_EST_CIQ" hidden="1">"c4980"</definedName>
    <definedName name="IQ_FFO_REIT_STDDEV_EST" hidden="1">"c26929"</definedName>
    <definedName name="IQ_FFO_REIT_STDDEV_EST_CIQ" hidden="1">"c4981"</definedName>
    <definedName name="IQ_FFO_SHARE_ACT_OR_EST" hidden="1">"c4446"</definedName>
    <definedName name="IQ_FFO_SHARE_ACT_OR_EST_CIQ" hidden="1">"c4971"</definedName>
    <definedName name="IQ_FFO_SHARE_ACT_OR_EST_CIQ_COL" hidden="1">"c11618"</definedName>
    <definedName name="IQ_FFO_SHARE_EST" hidden="1">"c418"</definedName>
    <definedName name="IQ_FFO_SHARE_EST_CIQ" hidden="1">"c3668"</definedName>
    <definedName name="IQ_FFO_SHARE_EST_DOWN_2MONTH" hidden="1">"c16585"</definedName>
    <definedName name="IQ_FFO_SHARE_EST_DOWN_2MONTH_CIQ" hidden="1">"c16849"</definedName>
    <definedName name="IQ_FFO_SHARE_EST_DOWN_3MONTH" hidden="1">"c16589"</definedName>
    <definedName name="IQ_FFO_SHARE_EST_DOWN_3MONTH_CIQ" hidden="1">"c16853"</definedName>
    <definedName name="IQ_FFO_SHARE_EST_DOWN_MONTH" hidden="1">"c16581"</definedName>
    <definedName name="IQ_FFO_SHARE_EST_DOWN_MONTH_CIQ" hidden="1">"c16845"</definedName>
    <definedName name="IQ_FFO_SHARE_EST_NUM_ANALYSTS_2MONTH" hidden="1">"c16583"</definedName>
    <definedName name="IQ_FFO_SHARE_EST_NUM_ANALYSTS_2MONTH_CIQ" hidden="1">"c16847"</definedName>
    <definedName name="IQ_FFO_SHARE_EST_NUM_ANALYSTS_3MONTH" hidden="1">"c16587"</definedName>
    <definedName name="IQ_FFO_SHARE_EST_NUM_ANALYSTS_3MONTH_CIQ" hidden="1">"c16851"</definedName>
    <definedName name="IQ_FFO_SHARE_EST_NUM_ANALYSTS_MONTH" hidden="1">"c16579"</definedName>
    <definedName name="IQ_FFO_SHARE_EST_NUM_ANALYSTS_MONTH_CIQ" hidden="1">"c16843"</definedName>
    <definedName name="IQ_FFO_SHARE_EST_TOTAL_REVISED_2MONTH" hidden="1">"c16586"</definedName>
    <definedName name="IQ_FFO_SHARE_EST_TOTAL_REVISED_2MONTH_CIQ" hidden="1">"c16850"</definedName>
    <definedName name="IQ_FFO_SHARE_EST_TOTAL_REVISED_3MONTH" hidden="1">"c16590"</definedName>
    <definedName name="IQ_FFO_SHARE_EST_TOTAL_REVISED_3MONTH_CIQ" hidden="1">"c16854"</definedName>
    <definedName name="IQ_FFO_SHARE_EST_TOTAL_REVISED_MONTH" hidden="1">"c16582"</definedName>
    <definedName name="IQ_FFO_SHARE_EST_TOTAL_REVISED_MONTH_CIQ" hidden="1">"c16846"</definedName>
    <definedName name="IQ_FFO_SHARE_EST_UP_2MONTH" hidden="1">"c16584"</definedName>
    <definedName name="IQ_FFO_SHARE_EST_UP_2MONTH_CIQ" hidden="1">"c16848"</definedName>
    <definedName name="IQ_FFO_SHARE_EST_UP_3MONTH" hidden="1">"c16588"</definedName>
    <definedName name="IQ_FFO_SHARE_EST_UP_3MONTH_CIQ" hidden="1">"c16852"</definedName>
    <definedName name="IQ_FFO_SHARE_EST_UP_MONTH" hidden="1">"c16580"</definedName>
    <definedName name="IQ_FFO_SHARE_EST_UP_MONTH_CIQ" hidden="1">"c16844"</definedName>
    <definedName name="IQ_FFO_SHARE_GUIDANCE" hidden="1">"c4447"</definedName>
    <definedName name="IQ_FFO_SHARE_GUIDANCE_CIQ" hidden="1">"c4976"</definedName>
    <definedName name="IQ_FFO_SHARE_GUIDANCE_CIQ_COL" hidden="1">"c11623"</definedName>
    <definedName name="IQ_FFO_SHARE_HIGH_EST" hidden="1">"c419"</definedName>
    <definedName name="IQ_FFO_SHARE_HIGH_EST_CIQ" hidden="1">"c3670"</definedName>
    <definedName name="IQ_FFO_SHARE_HIGH_GUIDANCE" hidden="1">"c4203"</definedName>
    <definedName name="IQ_FFO_SHARE_HIGH_GUIDANCE_CIQ" hidden="1">"c4615"</definedName>
    <definedName name="IQ_FFO_SHARE_HIGH_GUIDANCE_CIQ_COL" hidden="1">"c11264"</definedName>
    <definedName name="IQ_FFO_SHARE_LOW_EST" hidden="1">"c420"</definedName>
    <definedName name="IQ_FFO_SHARE_LOW_EST_CIQ" hidden="1">"c3671"</definedName>
    <definedName name="IQ_FFO_SHARE_LOW_GUIDANCE" hidden="1">"c4243"</definedName>
    <definedName name="IQ_FFO_SHARE_LOW_GUIDANCE_CIQ" hidden="1">"c4655"</definedName>
    <definedName name="IQ_FFO_SHARE_LOW_GUIDANCE_CIQ_COL" hidden="1">"c11304"</definedName>
    <definedName name="IQ_FFO_SHARE_MEDIAN_EST" hidden="1">"c1665"</definedName>
    <definedName name="IQ_FFO_SHARE_MEDIAN_EST_CIQ" hidden="1">"c3669"</definedName>
    <definedName name="IQ_FFO_SHARE_NUM_EST" hidden="1">"c421"</definedName>
    <definedName name="IQ_FFO_SHARE_NUM_EST_CIQ" hidden="1">"c3672"</definedName>
    <definedName name="IQ_FFO_SHARE_STDDEV_EST" hidden="1">"c422"</definedName>
    <definedName name="IQ_FFO_SHARE_STDDEV_EST_CIQ" hidden="1">"c3673"</definedName>
    <definedName name="IQ_FFO_SHARES_BASIC" hidden="1">"c16185"</definedName>
    <definedName name="IQ_FFO_SHARES_DILUTED" hidden="1">"c16187"</definedName>
    <definedName name="IQ_FFO_STDDEV_EST" hidden="1">"c422"</definedName>
    <definedName name="IQ_FFO_STDDEV_EST_CIQ_COL" hidden="1">"c11628"</definedName>
    <definedName name="IQ_FFO_STDDEV_EST_REUT" hidden="1">"c3842"</definedName>
    <definedName name="IQ_FFO_STDDEV_EST_THOM" hidden="1">"c4004"</definedName>
    <definedName name="IQ_FFO_TOTAL_REVENUE" hidden="1">"c16060"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HLB_STOCK_NOT_CARRIED_FV_THRIFT" hidden="1">"c24880"</definedName>
    <definedName name="IQ_FIDUCIARY_ACTIVITIES_FDIC" hidden="1">"c6571"</definedName>
    <definedName name="IQ_FIDUCIARY_ACTIVITIES_INCOME_ADJUSTED_OPERATING_INCOME_THRIFT" hidden="1">"c25689"</definedName>
    <definedName name="IQ_FIDUCIARY_INCOME_OPERATING_INC_FFIEC" hidden="1">"c13383"</definedName>
    <definedName name="IQ_FIDUCIARY_MANAGED_ASSETS_THRIFT" hidden="1">"c25438"</definedName>
    <definedName name="IQ_FIDUCIARY_RELATED_SERVICES_EXP_THRIFT" hidden="1">"c24812"</definedName>
    <definedName name="IQ_FIFETEEN_YEAR_FIXED_AND_FLOATING_RATE_FDIC" hidden="1">"c6423"</definedName>
    <definedName name="IQ_FIFETEEN_YEAR_MORTGAGE_PASS_THROUGHS_FDIC" hidden="1">"c6415"</definedName>
    <definedName name="IQ_FII_12M_RETURN" hidden="1">"c25807"</definedName>
    <definedName name="IQ_FII_3M_RETURN" hidden="1">"c25808"</definedName>
    <definedName name="IQ_FII_6M_RETURN" hidden="1">"c25809"</definedName>
    <definedName name="IQ_FII_AVGBIDSPREAD" hidden="1">"c25820"</definedName>
    <definedName name="IQ_FII_CONVEX" hidden="1">"c25799"</definedName>
    <definedName name="IQ_FII_COUPON" hidden="1">"c25800"</definedName>
    <definedName name="IQ_FII_DAILY_RETURN" hidden="1">"c25810"</definedName>
    <definedName name="IQ_FII_DURTW" hidden="1">"c25802"</definedName>
    <definedName name="IQ_FII_EXCESS_RETURN" hidden="1">"c25819"</definedName>
    <definedName name="IQ_FII_INDEXPRICE" hidden="1">"c25806"</definedName>
    <definedName name="IQ_FII_MATURITY" hidden="1">"c25804"</definedName>
    <definedName name="IQ_FII_MODDUR" hidden="1">"c25801"</definedName>
    <definedName name="IQ_FII_MTD_RETURN_COUPON" hidden="1">"c25813"</definedName>
    <definedName name="IQ_FII_MTD_RETURN_CURRENCY" hidden="1">"c25814"</definedName>
    <definedName name="IQ_FII_MTD_RETURN_PAYDOWN" hidden="1">"c25815"</definedName>
    <definedName name="IQ_FII_MTD_RETURN_PRICE" hidden="1">"c25816"</definedName>
    <definedName name="IQ_FII_MTD_RETURN_TOTAL" hidden="1">"c25812"</definedName>
    <definedName name="IQ_FII_MV" hidden="1">"c25803"</definedName>
    <definedName name="IQ_FII_NUMISSUE" hidden="1">"c25805"</definedName>
    <definedName name="IQ_FII_OAS" hidden="1">"c25798"</definedName>
    <definedName name="IQ_FII_RETURN_INCEPTION" hidden="1">"c25811"</definedName>
    <definedName name="IQ_FII_YTD_RETURN" hidden="1">"c25817"</definedName>
    <definedName name="IQ_FII_YTW" hidden="1">"c25818"</definedName>
    <definedName name="IQ_FILING_CURRENCY" hidden="1">"c2129"</definedName>
    <definedName name="IQ_FILING_CURRENCY_AP" hidden="1">"c11747"</definedName>
    <definedName name="IQ_FILINGDATE_BS" hidden="1">"c424"</definedName>
    <definedName name="IQ_FILINGDATE_CF" hidden="1">"c425"</definedName>
    <definedName name="IQ_FILINGDATE_IS" hidden="1">"c426"</definedName>
    <definedName name="IQ_FILM_RIGHTS" hidden="1">"c2254"</definedName>
    <definedName name="IQ_FIN_ARCHITECTURE" hidden="1">"c20386"</definedName>
    <definedName name="IQ_FIN_COLLECTION_ID" hidden="1">"c13922"</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MINORITY_INT_REDEEM" hidden="1">"c25788"</definedName>
    <definedName name="IQ_FIN_DIV_MINORITY_INTEREST" hidden="1">"c25790"</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_INST_UNUSED_FFIEC" hidden="1">"c25860"</definedName>
    <definedName name="IQ_FIN_INSTANCE_ID" hidden="1">"c13921"</definedName>
    <definedName name="IQ_FIN_PERIOD_ID" hidden="1">"c13920"</definedName>
    <definedName name="IQ_FINANCIAL_ASSETS_CARRIED_FV_THROUGH_EARNINGS_THRIFT" hidden="1">"c24931"</definedName>
    <definedName name="IQ_FINANCIAL_ASSETS_HELD_TRADING_PURPOSES_THRIFT" hidden="1">"c24930"</definedName>
    <definedName name="IQ_FINANCIAL_LIABILITIES_CARRIED_FV_THROUGH_EARNINGS_THRIFT" hidden="1">"c24932"</definedName>
    <definedName name="IQ_FINANCIAL_LOC_FOREIGN_GUARANTEES_FFIEC" hidden="1">"c13249"</definedName>
    <definedName name="IQ_FINANCIAL_SERVICING_ASSETS_FAIR_VALUE_TOT_FFIEC" hidden="1">"c13212"</definedName>
    <definedName name="IQ_FINANCIAL_SERVICING_ASSETS_LEVEL_1_FFIEC" hidden="1">"c13220"</definedName>
    <definedName name="IQ_FINANCIAL_SERVICING_ASSETS_LEVEL_2_FFIEC" hidden="1">"c13228"</definedName>
    <definedName name="IQ_FINANCIAL_SERVICING_ASSETS_LEVEL_3_FFIEC" hidden="1">"c13236"</definedName>
    <definedName name="IQ_FINANCIAL_SERVICING_LIAB_FAIR_VALUE_TOT_FFIEC" hidden="1">"c13215"</definedName>
    <definedName name="IQ_FINANCIAL_SERVICING_LIAB_LEVEL_1_FFIEC" hidden="1">"c13223"</definedName>
    <definedName name="IQ_FINANCIAL_SERVICING_LIAB_LEVEL_2_FFIEC" hidden="1">"c13231"</definedName>
    <definedName name="IQ_FINANCIAL_SERVICING_LIAB_LEVEL_3_FFIEC" hidden="1">"c13239"</definedName>
    <definedName name="IQ_FINANCING_CASH" hidden="1">"c893"</definedName>
    <definedName name="IQ_FINANCING_CASH_SUPPL" hidden="1">"c899"</definedName>
    <definedName name="IQ_FINANCING_OBLIG_CURRENT" hidden="1">"c11753"</definedName>
    <definedName name="IQ_FINANCING_OBLIG_NON_CURRENT" hidden="1">"c11754"</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BALANCE_PCT_GDP" hidden="1">"c20654"</definedName>
    <definedName name="IQ_FISCAL_Q" hidden="1">"c440"</definedName>
    <definedName name="IQ_FISCAL_Q_EST" hidden="1">"c6794"</definedName>
    <definedName name="IQ_FISCAL_Q_EST_CIQ" hidden="1">"c6806"</definedName>
    <definedName name="IQ_FISCAL_Q_EST_CIQ_COL" hidden="1">"c11741"</definedName>
    <definedName name="IQ_FISCAL_Q_EST_REUT" hidden="1">"c6798"</definedName>
    <definedName name="IQ_FISCAL_Q_EST_THOM" hidden="1">"c6802"</definedName>
    <definedName name="IQ_FISCAL_Y" hidden="1">"c441"</definedName>
    <definedName name="IQ_FISCAL_Y_EST" hidden="1">"c6795"</definedName>
    <definedName name="IQ_FISCAL_Y_EST_CIQ" hidden="1">"c6807"</definedName>
    <definedName name="IQ_FISCAL_Y_EST_CIQ_COL" hidden="1">"c11742"</definedName>
    <definedName name="IQ_FISCAL_Y_EST_REUT" hidden="1">"c6799"</definedName>
    <definedName name="IQ_FISCAL_Y_EST_THOM" hidden="1">"c6803"</definedName>
    <definedName name="IQ_FISCAL_YEAR_END_THRIFT" hidden="1">"c25020"</definedName>
    <definedName name="IQ_FIVE_PERCENT_CIQID" hidden="1">"c19094"</definedName>
    <definedName name="IQ_FIVE_PERCENT_DERIVATIVES" hidden="1">"c19096"</definedName>
    <definedName name="IQ_FIVE_PERCENT_NAME" hidden="1">"c19093"</definedName>
    <definedName name="IQ_FIVE_PERCENT_OWNER" hidden="1">"c442"</definedName>
    <definedName name="IQ_FIVE_PERCENT_PERCENT" hidden="1">"c19097"</definedName>
    <definedName name="IQ_FIVE_PERCENT_POSITION_DATE" hidden="1">"c19099"</definedName>
    <definedName name="IQ_FIVE_PERCENT_SHARES" hidden="1">"c19095"</definedName>
    <definedName name="IQ_FIVE_PERCENT_VALUE" hidden="1">"c19098"</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_FREQUENCY" hidden="1">"c8964"</definedName>
    <definedName name="IQ_FIXED_ASSET_TURNS" hidden="1">"c445"</definedName>
    <definedName name="IQ_FIXED_INCOME_LIST" hidden="1">"c13504"</definedName>
    <definedName name="IQ_FIXED_INVEST_APR_FC_UNUSED" hidden="1">"c8410"</definedName>
    <definedName name="IQ_FIXED_INVEST_APR_FC_UNUSED_UNUSED_UNUSED" hidden="1">"c8410"</definedName>
    <definedName name="IQ_FIXED_INVEST_APR_UNUSED" hidden="1">"c7530"</definedName>
    <definedName name="IQ_FIXED_INVEST_APR_UNUSED_UNUSED_UNUSED" hidden="1">"c7530"</definedName>
    <definedName name="IQ_FIXED_INVEST_FC_UNUSED" hidden="1">"c7750"</definedName>
    <definedName name="IQ_FIXED_INVEST_FC_UNUSED_UNUSED_UNUSED" hidden="1">"c7750"</definedName>
    <definedName name="IQ_FIXED_INVEST_MACH_EQUIP" hidden="1">"c6871"</definedName>
    <definedName name="IQ_FIXED_INVEST_MACH_EQUIP_APR" hidden="1">"c7531"</definedName>
    <definedName name="IQ_FIXED_INVEST_MACH_EQUIP_APR_FC" hidden="1">"c8411"</definedName>
    <definedName name="IQ_FIXED_INVEST_MACH_EQUIP_FC" hidden="1">"c7751"</definedName>
    <definedName name="IQ_FIXED_INVEST_MACH_EQUIP_POP" hidden="1">"c7091"</definedName>
    <definedName name="IQ_FIXED_INVEST_MACH_EQUIP_POP_FC" hidden="1">"c7971"</definedName>
    <definedName name="IQ_FIXED_INVEST_MACH_EQUIP_REAL" hidden="1">"c6979"</definedName>
    <definedName name="IQ_FIXED_INVEST_MACH_EQUIP_REAL_APR" hidden="1">"c7639"</definedName>
    <definedName name="IQ_FIXED_INVEST_MACH_EQUIP_REAL_APR_FC" hidden="1">"c8519"</definedName>
    <definedName name="IQ_FIXED_INVEST_MACH_EQUIP_REAL_FC" hidden="1">"c7859"</definedName>
    <definedName name="IQ_FIXED_INVEST_MACH_EQUIP_REAL_POP" hidden="1">"c7199"</definedName>
    <definedName name="IQ_FIXED_INVEST_MACH_EQUIP_REAL_POP_FC" hidden="1">"c8079"</definedName>
    <definedName name="IQ_FIXED_INVEST_MACH_EQUIP_REAL_YOY" hidden="1">"c7419"</definedName>
    <definedName name="IQ_FIXED_INVEST_MACH_EQUIP_REAL_YOY_FC" hidden="1">"c8299"</definedName>
    <definedName name="IQ_FIXED_INVEST_MACH_EQUIP_YOY" hidden="1">"c7311"</definedName>
    <definedName name="IQ_FIXED_INVEST_MACH_EQUIP_YOY_FC" hidden="1">"c8191"</definedName>
    <definedName name="IQ_FIXED_INVEST_POP_FC_UNUSED" hidden="1">"c7970"</definedName>
    <definedName name="IQ_FIXED_INVEST_POP_FC_UNUSED_UNUSED_UNUSED" hidden="1">"c7970"</definedName>
    <definedName name="IQ_FIXED_INVEST_POP_UNUSED" hidden="1">"c7090"</definedName>
    <definedName name="IQ_FIXED_INVEST_POP_UNUSED_UNUSED_UNUSED" hidden="1">"c7090"</definedName>
    <definedName name="IQ_FIXED_INVEST_REAL_APR_FC_UNUSED" hidden="1">"c8518"</definedName>
    <definedName name="IQ_FIXED_INVEST_REAL_APR_FC_UNUSED_UNUSED_UNUSED" hidden="1">"c8518"</definedName>
    <definedName name="IQ_FIXED_INVEST_REAL_APR_UNUSED" hidden="1">"c7638"</definedName>
    <definedName name="IQ_FIXED_INVEST_REAL_APR_UNUSED_UNUSED_UNUSED" hidden="1">"c7638"</definedName>
    <definedName name="IQ_FIXED_INVEST_REAL_FC_UNUSED" hidden="1">"c7858"</definedName>
    <definedName name="IQ_FIXED_INVEST_REAL_FC_UNUSED_UNUSED_UNUSED" hidden="1">"c7858"</definedName>
    <definedName name="IQ_FIXED_INVEST_REAL_POP_FC_UNUSED" hidden="1">"c8078"</definedName>
    <definedName name="IQ_FIXED_INVEST_REAL_POP_FC_UNUSED_UNUSED_UNUSED" hidden="1">"c8078"</definedName>
    <definedName name="IQ_FIXED_INVEST_REAL_POP_UNUSED" hidden="1">"c7198"</definedName>
    <definedName name="IQ_FIXED_INVEST_REAL_POP_UNUSED_UNUSED_UNUSED" hidden="1">"c7198"</definedName>
    <definedName name="IQ_FIXED_INVEST_REAL_SAAR" hidden="1">"c6980"</definedName>
    <definedName name="IQ_FIXED_INVEST_REAL_SAAR_APR" hidden="1">"c7640"</definedName>
    <definedName name="IQ_FIXED_INVEST_REAL_SAAR_APR_FC" hidden="1">"c8520"</definedName>
    <definedName name="IQ_FIXED_INVEST_REAL_SAAR_FC" hidden="1">"c7860"</definedName>
    <definedName name="IQ_FIXED_INVEST_REAL_SAAR_POP" hidden="1">"c7200"</definedName>
    <definedName name="IQ_FIXED_INVEST_REAL_SAAR_POP_FC" hidden="1">"c8080"</definedName>
    <definedName name="IQ_FIXED_INVEST_REAL_SAAR_USD_APR_FC" hidden="1">"c11945"</definedName>
    <definedName name="IQ_FIXED_INVEST_REAL_SAAR_USD_FC" hidden="1">"c11942"</definedName>
    <definedName name="IQ_FIXED_INVEST_REAL_SAAR_USD_POP_FC" hidden="1">"c11943"</definedName>
    <definedName name="IQ_FIXED_INVEST_REAL_SAAR_USD_YOY_FC" hidden="1">"c11944"</definedName>
    <definedName name="IQ_FIXED_INVEST_REAL_SAAR_YOY" hidden="1">"c7420"</definedName>
    <definedName name="IQ_FIXED_INVEST_REAL_SAAR_YOY_FC" hidden="1">"c8300"</definedName>
    <definedName name="IQ_FIXED_INVEST_REAL_UNUSED" hidden="1">"c6978"</definedName>
    <definedName name="IQ_FIXED_INVEST_REAL_UNUSED_UNUSED_UNUSED" hidden="1">"c6978"</definedName>
    <definedName name="IQ_FIXED_INVEST_REAL_USD_APR_FC" hidden="1">"c11941"</definedName>
    <definedName name="IQ_FIXED_INVEST_REAL_USD_FC" hidden="1">"c11938"</definedName>
    <definedName name="IQ_FIXED_INVEST_REAL_USD_POP_FC" hidden="1">"c11939"</definedName>
    <definedName name="IQ_FIXED_INVEST_REAL_USD_YOY_FC" hidden="1">"c11940"</definedName>
    <definedName name="IQ_FIXED_INVEST_REAL_YOY_FC_UNUSED" hidden="1">"c8298"</definedName>
    <definedName name="IQ_FIXED_INVEST_REAL_YOY_FC_UNUSED_UNUSED_UNUSED" hidden="1">"c8298"</definedName>
    <definedName name="IQ_FIXED_INVEST_REAL_YOY_UNUSED" hidden="1">"c7418"</definedName>
    <definedName name="IQ_FIXED_INVEST_REAL_YOY_UNUSED_UNUSED_UNUSED" hidden="1">"c7418"</definedName>
    <definedName name="IQ_FIXED_INVEST_SAAR" hidden="1">"c6872"</definedName>
    <definedName name="IQ_FIXED_INVEST_SAAR_APR" hidden="1">"c7532"</definedName>
    <definedName name="IQ_FIXED_INVEST_SAAR_APR_FC" hidden="1">"c8412"</definedName>
    <definedName name="IQ_FIXED_INVEST_SAAR_FC" hidden="1">"c7752"</definedName>
    <definedName name="IQ_FIXED_INVEST_SAAR_POP" hidden="1">"c7092"</definedName>
    <definedName name="IQ_FIXED_INVEST_SAAR_POP_FC" hidden="1">"c7972"</definedName>
    <definedName name="IQ_FIXED_INVEST_SAAR_USD_APR_FC" hidden="1">"c11833"</definedName>
    <definedName name="IQ_FIXED_INVEST_SAAR_USD_FC" hidden="1">"c11830"</definedName>
    <definedName name="IQ_FIXED_INVEST_SAAR_USD_POP_FC" hidden="1">"c11831"</definedName>
    <definedName name="IQ_FIXED_INVEST_SAAR_USD_YOY_FC" hidden="1">"c11832"</definedName>
    <definedName name="IQ_FIXED_INVEST_SAAR_YOY" hidden="1">"c7312"</definedName>
    <definedName name="IQ_FIXED_INVEST_SAAR_YOY_FC" hidden="1">"c8192"</definedName>
    <definedName name="IQ_FIXED_INVEST_UNUSED" hidden="1">"c6870"</definedName>
    <definedName name="IQ_FIXED_INVEST_UNUSED_UNUSED_UNUSED" hidden="1">"c6870"</definedName>
    <definedName name="IQ_FIXED_INVEST_USD_APR_FC" hidden="1">"c11829"</definedName>
    <definedName name="IQ_FIXED_INVEST_USD_FC" hidden="1">"c11826"</definedName>
    <definedName name="IQ_FIXED_INVEST_USD_POP_FC" hidden="1">"c11827"</definedName>
    <definedName name="IQ_FIXED_INVEST_USD_YOY_FC" hidden="1">"c11828"</definedName>
    <definedName name="IQ_FIXED_INVEST_YOY_FC_UNUSED" hidden="1">"c8190"</definedName>
    <definedName name="IQ_FIXED_INVEST_YOY_FC_UNUSED_UNUSED_UNUSED" hidden="1">"c8190"</definedName>
    <definedName name="IQ_FIXED_INVEST_YOY_UNUSED" hidden="1">"c7310"</definedName>
    <definedName name="IQ_FIXED_INVEST_YOY_UNUSED_UNUSED_UNUSED" hidden="1">"c7310"</definedName>
    <definedName name="IQ_FIXED_RATE_DEBT" hidden="1">"c17894"</definedName>
    <definedName name="IQ_FIXED_RATE_DEBT_PCT" hidden="1">"c18008"</definedName>
    <definedName name="IQ_FLOAT" hidden="1">"c17421"</definedName>
    <definedName name="IQ_FLOAT_PERCENT" hidden="1">"c1575"</definedName>
    <definedName name="IQ_FNMA_FHLMC_FDIC" hidden="1">"c6397"</definedName>
    <definedName name="IQ_FNMA_FHLMC_GNMA_FDIC" hidden="1">"c6399"</definedName>
    <definedName name="IQ_FORECLOSED_PROP_GNMA_LOANS_FFIEC" hidden="1">"c15272"</definedName>
    <definedName name="IQ_FORECLOSED_PROPERTIES_FDIC" hidden="1">"c6459"</definedName>
    <definedName name="IQ_FOREIGN_BANK_LOANS_FDIC" hidden="1">"c6437"</definedName>
    <definedName name="IQ_FOREIGN_BANKS_DEPOSITS_FOREIGN_FDIC" hidden="1">"c6481"</definedName>
    <definedName name="IQ_FOREIGN_BANKS_DUE_30_89_FFIEC" hidden="1">"c13269"</definedName>
    <definedName name="IQ_FOREIGN_BANKS_DUE_90_FFIEC" hidden="1">"c13295"</definedName>
    <definedName name="IQ_FOREIGN_BANKS_LOAN_CHARG_OFFS_FDIC" hidden="1">"c6645"</definedName>
    <definedName name="IQ_FOREIGN_BANKS_NET_CHARGE_OFFS_FDIC" hidden="1">"c6647"</definedName>
    <definedName name="IQ_FOREIGN_BANKS_NON_ACCRUAL_FFIEC" hidden="1">"c13321"</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ASSETS_TOT_FFIEC" hidden="1">"c13445"</definedName>
    <definedName name="IQ_FOREIGN_DEPOSITS_NONTRANSACTION_ACCOUNTS_FDIC" hidden="1">"c6549"</definedName>
    <definedName name="IQ_FOREIGN_DEPOSITS_TOT_FFIEC" hidden="1">"c13486"</definedName>
    <definedName name="IQ_FOREIGN_DEPOSITS_TOTAL_DEPOSITS" hidden="1">"c15719"</definedName>
    <definedName name="IQ_FOREIGN_DEPOSITS_TRANSACTION_ACCOUNTS_FDIC" hidden="1">"c6541"</definedName>
    <definedName name="IQ_FOREIGN_EXCHANGE" hidden="1">"c451"</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GOVT_OFFICIAL_INST_FOREIGN_DEP_FFIEC" hidden="1">"c15345"</definedName>
    <definedName name="IQ_FOREIGN_GOVT_OFFICIAL_INST_NON_TRANS_ACCTS_FFIEC" hidden="1">"c15327"</definedName>
    <definedName name="IQ_FOREIGN_GOVT_OFFICIAL_INST_TRANS_ACCTS_FFIEC" hidden="1">"c15319"</definedName>
    <definedName name="IQ_FOREIGN_LL_REC_FFIEC" hidden="1">"c12892"</definedName>
    <definedName name="IQ_FOREIGN_LOANS" hidden="1">"c448"</definedName>
    <definedName name="IQ_FOREIGN_LOANS_LEASES_FOREIGN_FFIEC" hidden="1">"c13478"</definedName>
    <definedName name="IQ_FOREIGN_LOANS_TOTAL_LOANS" hidden="1">"c15714"</definedName>
    <definedName name="IQ_FOUNDATION_OVER_TOTAL" hidden="1">"c13769"</definedName>
    <definedName name="IQ_FOUNDATIONS_ENDOWMENT_ACCOUNTS_MANAGED_ASSETS_THRIFT" hidden="1">"c25354"</definedName>
    <definedName name="IQ_FOUNDATIONS_ENDOWMENT_ACCOUNTS_NONMANAGED_ASSETS_THRIFT" hidden="1">"c25375"</definedName>
    <definedName name="IQ_FOUNDATIONS_ENDOWMENT_ACCOUNTS_NUMBER_MANAGED_ACCOUNTS_THRIFT" hidden="1">"c25365"</definedName>
    <definedName name="IQ_FOUNDATIONS_ENDOWMENT_ACCOUNTS_NUMBER_NONMANAGED_ACCOUNTS_THRIFT" hidden="1">"c25387"</definedName>
    <definedName name="IQ_FOUNDATIONS_ENDOWMENTS_INC_THRIFT" hidden="1">"c24807"</definedName>
    <definedName name="IQ_FQ" hidden="1">500</definedName>
    <definedName name="IQ_FTOOL_CAPEX" hidden="1">"c16212"</definedName>
    <definedName name="IQ_FTOOL_CASH" hidden="1">"c16213"</definedName>
    <definedName name="IQ_FTOOL_CASH_INVEST" hidden="1">"c16214"</definedName>
    <definedName name="IQ_FTOOL_EBT" hidden="1">"c16215"</definedName>
    <definedName name="IQ_FTOOL_NI" hidden="1">"c16216"</definedName>
    <definedName name="IQ_FTOOL_NI_CF" hidden="1">"c16206"</definedName>
    <definedName name="IQ_FTOOL_NUMBER_SHAREHOLDERS" hidden="1">"c16207"</definedName>
    <definedName name="IQ_FTOOL_SHARES_PER_DR" hidden="1">"c16208"</definedName>
    <definedName name="IQ_FTOOL_TOTAL_ASSETS" hidden="1">"c16209"</definedName>
    <definedName name="IQ_FTOOL_TOTAL_LIAB_EQUITY" hidden="1">"c16210"</definedName>
    <definedName name="IQ_FTOOL_TOTAL_REV" hidden="1">"c16211"</definedName>
    <definedName name="IQ_FUEL" hidden="1">"c449"</definedName>
    <definedName name="IQ_FULL_TIME" hidden="1">"c450"</definedName>
    <definedName name="IQ_FULLY_INSURED_BROKERED_DEPOSITS_FFIEC" hidden="1">"c15305"</definedName>
    <definedName name="IQ_FULLY_INSURED_BROKERED_TIME_DEPOSITS_THRIFT" hidden="1">"c25005"</definedName>
    <definedName name="IQ_FULLY_INSURED_DEPOSITS_FDIC" hidden="1">"c6487"</definedName>
    <definedName name="IQ_FUND_ANALYSIS" hidden="1">"c19198"</definedName>
    <definedName name="IQ_FUND_AUTHORIZED_SALE" hidden="1">"c19199"</definedName>
    <definedName name="IQ_FUND_BENCHMARK" hidden="1">"c19200"</definedName>
    <definedName name="IQ_FUND_BENCHMARK_ID" hidden="1">"c19201"</definedName>
    <definedName name="IQ_FUND_DISCOUNT_OR_PREMIUM" hidden="1">"c19242"</definedName>
    <definedName name="IQ_FUND_FEE_INC_NON_INT_INC_FFIEC" hidden="1">"c13493"</definedName>
    <definedName name="IQ_FUND_GEOGRAPHIC_MANDATE" hidden="1">"c19195"</definedName>
    <definedName name="IQ_FUND_MARKET_CAP_EMPHASIS" hidden="1">"c19197"</definedName>
    <definedName name="IQ_FUND_NAV" hidden="1">"c15225"</definedName>
    <definedName name="IQ_FUND_PRIMARY_ADVISOR" hidden="1">"c19091"</definedName>
    <definedName name="IQ_FUND_SECTOR_EMPHASIS" hidden="1">"c19196"</definedName>
    <definedName name="IQ_FUND_VEHICLE_TYPE" hidden="1">"c19194"</definedName>
    <definedName name="IQ_FUNDING_DEPENDENCE_FFIEC" hidden="1">"c13336"</definedName>
    <definedName name="IQ_FUNDING_DEPENDENCE_ST_FFIEC" hidden="1">"c13337"</definedName>
    <definedName name="IQ_FUNDS_PURCHASED_ASSETS_TOT_FFIEC" hidden="1">"c13446"</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FFIEC" hidden="1">"c13125"</definedName>
    <definedName name="IQ_FX_CONTRACTS_SPOT_FDIC" hidden="1">"c6356"</definedName>
    <definedName name="IQ_FX_EXPOSURE_FFIEC" hidden="1">"c13059"</definedName>
    <definedName name="IQ_FX_RATE" hidden="1">"c20655"</definedName>
    <definedName name="IQ_FX_RATE_FC" hidden="1">"c20656"</definedName>
    <definedName name="IQ_FX_RESERVES" hidden="1">"c20657"</definedName>
    <definedName name="IQ_FX_RESERVES_PCT_GDP" hidden="1">"c20658"</definedName>
    <definedName name="IQ_FX_RESERVES_PCT_GDP_FC" hidden="1">"c20659"</definedName>
    <definedName name="IQ_FY" hidden="1">1000</definedName>
    <definedName name="IQ_FY_DATE" hidden="1">"FY_DATE"</definedName>
    <definedName name="IQ_GA_EXP" hidden="1">"c2241"</definedName>
    <definedName name="IQ_GAAP_BS" hidden="1">"c6789"</definedName>
    <definedName name="IQ_GAAP_CF" hidden="1">"c6790"</definedName>
    <definedName name="IQ_GAAP_COMBINED_RATIO" hidden="1">"c2781"</definedName>
    <definedName name="IQ_GAAP_COMBINED_RATIO_EXCL_CL" hidden="1">"c2782"</definedName>
    <definedName name="IQ_GAAP_EST_CIQ" hidden="1">"c13924"</definedName>
    <definedName name="IQ_GAAP_EXPENSE_RATIO" hidden="1">"c2780"</definedName>
    <definedName name="IQ_GAAP_IS" hidden="1">"c6194"</definedName>
    <definedName name="IQ_GAAP_LOSS" hidden="1">"c2779"</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CM"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CM" hidden="1">"c454"</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CM"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CREDIT_DERIVATIVES_FFIEC" hidden="1">"c13066"</definedName>
    <definedName name="IQ_GAIN_CREDIT_DERIVATIVES_NON_TRADING_FFIEC" hidden="1">"c13067"</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CM"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CM" hidden="1">"c1464"</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CM"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LOSS_HTM_AFS_SECURITIES_FOREIGN_FFIEC" hidden="1">"c15384"</definedName>
    <definedName name="IQ_GAIN_SALE_ASSETS" hidden="1">"c452"</definedName>
    <definedName name="IQ_GAIN_SALE_LOANS_FDIC" hidden="1">"c6673"</definedName>
    <definedName name="IQ_GAIN_SALE_RE_FDIC" hidden="1">"c6674"</definedName>
    <definedName name="IQ_GAINS_AFS_AVG_ASSETS_FFIEC" hidden="1">"c13364"</definedName>
    <definedName name="IQ_GAINS_ASSETS_TOT_FFIEC" hidden="1">"c13073"</definedName>
    <definedName name="IQ_GAINS_AVAIL_SALE_EQUITY_SEC_T2_FFIEC" hidden="1">"c13147"</definedName>
    <definedName name="IQ_GAINS_AVAIL_SALE_SEC_T1_FFIEC" hidden="1">"c13131"</definedName>
    <definedName name="IQ_GAINS_BARGAIN_PURCHASES_FFIEC" hidden="1">"c25844"</definedName>
    <definedName name="IQ_GAINS_CASH_FLOW_HEDGES_T1_FFIEC" hidden="1">"c13133"</definedName>
    <definedName name="IQ_GAINS_HTM_AVG_ASSETS_FFIEC" hidden="1">"c13363"</definedName>
    <definedName name="IQ_GAINS_INSTRUMENT_SPECIFIC_CREDIT_RISK_LIAB_FFIEC" hidden="1">"c13076"</definedName>
    <definedName name="IQ_GAINS_INSTRUMENT_SPECIFIC_RISK_FFIEC" hidden="1">"c13074"</definedName>
    <definedName name="IQ_GAINS_INSURANCE_ACTIVITIES_FFIEC" hidden="1">"c13072"</definedName>
    <definedName name="IQ_GAINS_LIABILITIES_FFIEC" hidden="1">"c13075"</definedName>
    <definedName name="IQ_GAINS_SALE_ASSETS_FDIC" hidden="1">"c6675"</definedName>
    <definedName name="IQ_GAINS_SALE_LOANS_LEASES_FFIEC" hidden="1">"c13013"</definedName>
    <definedName name="IQ_GAINS_SALE_OTHER_ASSETS_FFIEC" hidden="1">"c13015"</definedName>
    <definedName name="IQ_GAINS_SALE_OTHER_RE_OWNED_FFIEC" hidden="1">"c13014"</definedName>
    <definedName name="IQ_GAINS_SEC_AVAILABLE_SALE_AVG_ASSETS_THRIFT" hidden="1">"c25655"</definedName>
    <definedName name="IQ_GAINS_SEC_HELD_MATURITY_AVG_ASSETS_THRIFT" hidden="1">"c25654"</definedName>
    <definedName name="IQ_GAINS_SECURITIZATION_OPERATING_INC_FFIEC" hidden="1">"c13391"</definedName>
    <definedName name="IQ_GDP" hidden="1">"c6874"</definedName>
    <definedName name="IQ_GDP_APR" hidden="1">"c7534"</definedName>
    <definedName name="IQ_GDP_APR_FC" hidden="1">"c8414"</definedName>
    <definedName name="IQ_GDP_FC" hidden="1">"c7754"</definedName>
    <definedName name="IQ_GDP_POP" hidden="1">"c7094"</definedName>
    <definedName name="IQ_GDP_POP_FC" hidden="1">"c7974"</definedName>
    <definedName name="IQ_GDP_REAL" hidden="1">"c6981"</definedName>
    <definedName name="IQ_GDP_REAL_APR" hidden="1">"c7641"</definedName>
    <definedName name="IQ_GDP_REAL_APR_FC" hidden="1">"c8521"</definedName>
    <definedName name="IQ_GDP_REAL_FC" hidden="1">"c7861"</definedName>
    <definedName name="IQ_GDP_REAL_POP" hidden="1">"c7201"</definedName>
    <definedName name="IQ_GDP_REAL_POP_FC" hidden="1">"c8081"</definedName>
    <definedName name="IQ_GDP_REAL_SAAR" hidden="1">"c6982"</definedName>
    <definedName name="IQ_GDP_REAL_SAAR_APR" hidden="1">"c7642"</definedName>
    <definedName name="IQ_GDP_REAL_SAAR_APR_FC" hidden="1">"c8522"</definedName>
    <definedName name="IQ_GDP_REAL_SAAR_FC" hidden="1">"c7862"</definedName>
    <definedName name="IQ_GDP_REAL_SAAR_POP" hidden="1">"c7202"</definedName>
    <definedName name="IQ_GDP_REAL_SAAR_POP_FC" hidden="1">"c8082"</definedName>
    <definedName name="IQ_GDP_REAL_SAAR_YOY" hidden="1">"c7422"</definedName>
    <definedName name="IQ_GDP_REAL_SAAR_YOY_FC" hidden="1">"c8302"</definedName>
    <definedName name="IQ_GDP_REAL_USD" hidden="1">"c11946"</definedName>
    <definedName name="IQ_GDP_REAL_USD_APR" hidden="1">"c11949"</definedName>
    <definedName name="IQ_GDP_REAL_USD_POP" hidden="1">"c11947"</definedName>
    <definedName name="IQ_GDP_REAL_USD_YOY" hidden="1">"c11948"</definedName>
    <definedName name="IQ_GDP_REAL_YOY" hidden="1">"c7421"</definedName>
    <definedName name="IQ_GDP_REAL_YOY_FC" hidden="1">"c8301"</definedName>
    <definedName name="IQ_GDP_SAAR" hidden="1">"c6875"</definedName>
    <definedName name="IQ_GDP_SAAR_APR" hidden="1">"c7535"</definedName>
    <definedName name="IQ_GDP_SAAR_APR_FC" hidden="1">"c8415"</definedName>
    <definedName name="IQ_GDP_SAAR_FC" hidden="1">"c7755"</definedName>
    <definedName name="IQ_GDP_SAAR_POP" hidden="1">"c7095"</definedName>
    <definedName name="IQ_GDP_SAAR_POP_FC" hidden="1">"c7975"</definedName>
    <definedName name="IQ_GDP_SAAR_YOY" hidden="1">"c7315"</definedName>
    <definedName name="IQ_GDP_SAAR_YOY_FC" hidden="1">"c8195"</definedName>
    <definedName name="IQ_GDP_USD" hidden="1">"c11834"</definedName>
    <definedName name="IQ_GDP_USD_APR" hidden="1">"c11837"</definedName>
    <definedName name="IQ_GDP_USD_POP" hidden="1">"c11835"</definedName>
    <definedName name="IQ_GDP_USD_YOY" hidden="1">"c11836"</definedName>
    <definedName name="IQ_GDP_YOY" hidden="1">"c7314"</definedName>
    <definedName name="IQ_GDP_YOY_FC" hidden="1">"c8194"</definedName>
    <definedName name="IQ_GENERAL_ALLOWANCE" hidden="1">"c15248"</definedName>
    <definedName name="IQ_GENERAL_OBLIGATIONS_STATE_LOCAL_GOVERNMENTS_ELIGIBLE_20_PCT_RISK_WEIGHT_THRIFT" hidden="1">"c25059"</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ICS_CODE" hidden="1">"c16201"</definedName>
    <definedName name="IQ_GLA_PCT_LEASED_CONSOL" hidden="1">"c8810"</definedName>
    <definedName name="IQ_GLA_PCT_LEASED_MANAGED" hidden="1">"c8812"</definedName>
    <definedName name="IQ_GLA_PCT_LEASED_OTHER" hidden="1">"c8813"</definedName>
    <definedName name="IQ_GLA_PCT_LEASED_TOTAL" hidden="1">"c8814"</definedName>
    <definedName name="IQ_GLA_PCT_LEASED_UNCONSOL" hidden="1">"c8811"</definedName>
    <definedName name="IQ_GLA_SQ_FT_CONSOL" hidden="1">"c8790"</definedName>
    <definedName name="IQ_GLA_SQ_FT_MANAGED" hidden="1">"c8792"</definedName>
    <definedName name="IQ_GLA_SQ_FT_OTHER" hidden="1">"c8793"</definedName>
    <definedName name="IQ_GLA_SQ_FT_TOTAL" hidden="1">"c8794"</definedName>
    <definedName name="IQ_GLA_SQ_FT_UNCONSOL" hidden="1">"c8791"</definedName>
    <definedName name="IQ_GLA_SQ_METER_CONSOL" hidden="1">"c8795"</definedName>
    <definedName name="IQ_GLA_SQ_METER_MANAGED" hidden="1">"c8797"</definedName>
    <definedName name="IQ_GLA_SQ_METER_OTHER" hidden="1">"c8798"</definedName>
    <definedName name="IQ_GLA_SQ_METER_TOTAL" hidden="1">"c8799"</definedName>
    <definedName name="IQ_GLA_SQ_METER_UNCONSOL" hidden="1">"c8796"</definedName>
    <definedName name="IQ_GNMA_FDIC" hidden="1">"c6398"</definedName>
    <definedName name="IQ_GOODWILL_FDIC" hidden="1">"c6334"</definedName>
    <definedName name="IQ_GOODWILL_FFIEC" hidden="1">"c12836"</definedName>
    <definedName name="IQ_GOODWILL_IMPAIRMENT_FDIC" hidden="1">"c6678"</definedName>
    <definedName name="IQ_GOODWILL_IMPAIRMENT_FFIEC" hidden="1">"c13025"</definedName>
    <definedName name="IQ_GOODWILL_INTAN_FDIC" hidden="1">"c6333"</definedName>
    <definedName name="IQ_GOODWILL_INTANGIBLE_ASSETS_THRIFT" hidden="1">"c24887"</definedName>
    <definedName name="IQ_GOODWILL_NET" hidden="1">"c530"</definedName>
    <definedName name="IQ_GOODWILL_OTHER_INTANGIBLE_ASSETS_ADJUSTED_ASSETS_THRIFT" hidden="1">"c25032"</definedName>
    <definedName name="IQ_GOODWILL_OTHER_INTANGIBLE_ASSETS_T1_THRIFT" hidden="1">"c25023"</definedName>
    <definedName name="IQ_GOODWILL_OTHER_INTANGIBLE_ASSETS_THRIFT" hidden="1">"c24890"</definedName>
    <definedName name="IQ_GOODWILL_OTHER_INTANGIBLES_EXP_THRIFT" hidden="1">"c24791"</definedName>
    <definedName name="IQ_GOVT_CAPITAL_TRANSFER_PAYMENTS" hidden="1">"c20660"</definedName>
    <definedName name="IQ_GOVT_CAPITAL_TRANSFER_RECEIPTS" hidden="1">"c20661"</definedName>
    <definedName name="IQ_GOVT_CONSUM_FIXED_CAPITAL" hidden="1">"c20663"</definedName>
    <definedName name="IQ_GOVT_CONTRIBUTIONS_SOCIAL_INSURANCE" hidden="1">"c20664"</definedName>
    <definedName name="IQ_GOVT_CURRENT_EXPENDITURES" hidden="1">"c20665"</definedName>
    <definedName name="IQ_GOVT_CURRENT_RECEIPTS" hidden="1">"c20666"</definedName>
    <definedName name="IQ_GOVT_ENTERPRISE_SURPLUS" hidden="1">"c20667"</definedName>
    <definedName name="IQ_GOVT_EXPENDITURES" hidden="1">"c20668"</definedName>
    <definedName name="IQ_GOVT_EXPENDITURES_FEDERAL" hidden="1">"c20669"</definedName>
    <definedName name="IQ_GOVT_GROSS_INVEST" hidden="1">"c20673"</definedName>
    <definedName name="IQ_GOVT_GROSS_INVEST_EQUIP" hidden="1">"c20674"</definedName>
    <definedName name="IQ_GOVT_GROSS_INVEST_FEDERAL" hidden="1">"c20676"</definedName>
    <definedName name="IQ_GOVT_GROSS_INVEST_FEDERAL_DEF_EQUIP" hidden="1">"c20679"</definedName>
    <definedName name="IQ_GOVT_GROSS_INVEST_FEDERAL_DEFENSE_STRUCTURES" hidden="1">"c20677"</definedName>
    <definedName name="IQ_GOVT_GROSS_INVEST_FEDERAL_EQUIP" hidden="1">"c20680"</definedName>
    <definedName name="IQ_GOVT_GROSS_INVEST_FEDERAL_NONDEF_EQUIP" hidden="1">"c20682"</definedName>
    <definedName name="IQ_GOVT_GROSS_INVEST_FEDERAL_NONDEFENSE_STRUCTURES" hidden="1">"c24741"</definedName>
    <definedName name="IQ_GOVT_GROSS_INVEST_FEDERAL_STRUCTURES" hidden="1">"c20683"</definedName>
    <definedName name="IQ_GOVT_GROSS_INVEST_STATE_LOCAL_EQUIP" hidden="1">"c20685"</definedName>
    <definedName name="IQ_GOVT_GROSS_INVEST_STATE_LOCAL_STRUCTURES" hidden="1">"c20686"</definedName>
    <definedName name="IQ_GOVT_GROSS_INVEST_STRUCTURES" hidden="1">"c20687"</definedName>
    <definedName name="IQ_GOVT_INTEREST_PAYMENTS" hidden="1">"c20688"</definedName>
    <definedName name="IQ_GOVT_INTEREST_PAYMENTS_PERSON" hidden="1">"c20689"</definedName>
    <definedName name="IQ_GOVT_INTEREST_PAYMENTS_WORLD" hidden="1">"c20690"</definedName>
    <definedName name="IQ_GOVT_NET_BORROWING" hidden="1">"c20691"</definedName>
    <definedName name="IQ_GOVT_NET_PURCHASE_NONPRODUCED_ASSETS" hidden="1">"c20692"</definedName>
    <definedName name="IQ_GOVT_NET_SAVING" hidden="1">"c20693"</definedName>
    <definedName name="IQ_GOVT_PERSONAL_TAXES_RECEIPTS" hidden="1">"c6876"</definedName>
    <definedName name="IQ_GOVT_PERSONAL_TAXES_RECEIPTS_APR" hidden="1">"c7536"</definedName>
    <definedName name="IQ_GOVT_PERSONAL_TAXES_RECEIPTS_APR_FC" hidden="1">"c8416"</definedName>
    <definedName name="IQ_GOVT_PERSONAL_TAXES_RECEIPTS_FC" hidden="1">"c7756"</definedName>
    <definedName name="IQ_GOVT_PERSONAL_TAXES_RECEIPTS_POP" hidden="1">"c7096"</definedName>
    <definedName name="IQ_GOVT_PERSONAL_TAXES_RECEIPTS_POP_FC" hidden="1">"c7976"</definedName>
    <definedName name="IQ_GOVT_PERSONAL_TAXES_RECEIPTS_YOY" hidden="1">"c7316"</definedName>
    <definedName name="IQ_GOVT_PERSONAL_TAXES_RECEIPTS_YOY_FC" hidden="1">"c8196"</definedName>
    <definedName name="IQ_GOVT_REAL_EXPENDITURES" hidden="1">"c20694"</definedName>
    <definedName name="IQ_GOVT_REAL_EXPENDITURES_FEDERAL" hidden="1">"c20695"</definedName>
    <definedName name="IQ_GOVT_REAL_GROSS_INVEST" hidden="1">"c20699"</definedName>
    <definedName name="IQ_GOVT_REAL_GROSS_INVEST_EQUIP" hidden="1">"c20700"</definedName>
    <definedName name="IQ_GOVT_REAL_GROSS_INVEST_FEDERAL" hidden="1">"c20701"</definedName>
    <definedName name="IQ_GOVT_REAL_GROSS_INVEST_FEDERAL_DEF_EQUIP" hidden="1">"c20704"</definedName>
    <definedName name="IQ_GOVT_REAL_GROSS_INVEST_FEDERAL_DEFENSE_STRUCTURES" hidden="1">"c20702"</definedName>
    <definedName name="IQ_GOVT_REAL_GROSS_INVEST_FEDERAL_EQUIP" hidden="1">"c20705"</definedName>
    <definedName name="IQ_GOVT_REAL_GROSS_INVEST_FEDERAL_NONDEF_EQUIP" hidden="1">"c20707"</definedName>
    <definedName name="IQ_GOVT_REAL_GROSS_INVEST_FEDERAL_NONDEFENSE_STRUCTURES" hidden="1">"c24742"</definedName>
    <definedName name="IQ_GOVT_REAL_GROSS_INVEST_FEDERAL_STRUCTURES" hidden="1">"c20708"</definedName>
    <definedName name="IQ_GOVT_REAL_GROSS_INVEST_STATE_LOCAL_EQUIP" hidden="1">"c20710"</definedName>
    <definedName name="IQ_GOVT_REAL_GROSS_INVEST_STATE_LOCAL_STRUCTURES" hidden="1">"c20711"</definedName>
    <definedName name="IQ_GOVT_REAL_GROSS_INVEST_STRUCTURES" hidden="1">"c20712"</definedName>
    <definedName name="IQ_GOVT_REAL_RECEIPTS_CONSUM_INVEST_RESIDUAL" hidden="1">"c20717"</definedName>
    <definedName name="IQ_GOVT_RECEIPTS" hidden="1">"c6877"</definedName>
    <definedName name="IQ_GOVT_RECEIPTS_APR" hidden="1">"c7537"</definedName>
    <definedName name="IQ_GOVT_RECEIPTS_APR_FC" hidden="1">"c8417"</definedName>
    <definedName name="IQ_GOVT_RECEIPTS_ASSETS" hidden="1">"c20719"</definedName>
    <definedName name="IQ_GOVT_RECEIPTS_ASSETS_DIVIDENDS" hidden="1">"c20720"</definedName>
    <definedName name="IQ_GOVT_RECEIPTS_ASSETS_INTEREST" hidden="1">"c20721"</definedName>
    <definedName name="IQ_GOVT_RECEIPTS_ASSETS_RENT" hidden="1">"c20722"</definedName>
    <definedName name="IQ_GOVT_RECEIPTS_EXPENSITURES_OTHER" hidden="1">"c20728"</definedName>
    <definedName name="IQ_GOVT_RECEIPTS_FC" hidden="1">"c7757"</definedName>
    <definedName name="IQ_GOVT_RECEIPTS_POP" hidden="1">"c7097"</definedName>
    <definedName name="IQ_GOVT_RECEIPTS_POP_FC" hidden="1">"c7977"</definedName>
    <definedName name="IQ_GOVT_RECEIPTS_TRANSFER" hidden="1">"c20729"</definedName>
    <definedName name="IQ_GOVT_RECEIPTS_TRANSFER_BUSINESS" hidden="1">"c20730"</definedName>
    <definedName name="IQ_GOVT_RECEIPTS_TRANSFER_PERSONAL" hidden="1">"c20731"</definedName>
    <definedName name="IQ_GOVT_RECEIPTS_YOY" hidden="1">"c7317"</definedName>
    <definedName name="IQ_GOVT_RECEIPTS_YOY_FC" hidden="1">"c8197"</definedName>
    <definedName name="IQ_GOVT_SOCIAL_BENEFITS" hidden="1">"c20732"</definedName>
    <definedName name="IQ_GOVT_SOCIAL_BENEFITS_PERSONS" hidden="1">"c20733"</definedName>
    <definedName name="IQ_GOVT_SOCIAL_BENEFITS_WORLD" hidden="1">"c20734"</definedName>
    <definedName name="IQ_GOVT_SOCIAL_INSURANCE_FUNDS" hidden="1">"c20735"</definedName>
    <definedName name="IQ_GOVT_SUBSIDIES" hidden="1">"c20736"</definedName>
    <definedName name="IQ_GOVT_TAX_RECEIPTS" hidden="1">"c20737"</definedName>
    <definedName name="IQ_GOVT_TAX_RECEIPTS_CORPORATE" hidden="1">"c20738"</definedName>
    <definedName name="IQ_GOVT_TAX_RECEIPTS_CORPORATE_FED_RESERVE" hidden="1">"c20739"</definedName>
    <definedName name="IQ_GOVT_TAX_RECEIPTS_CORPORATE_OTHER" hidden="1">"c20740"</definedName>
    <definedName name="IQ_GOVT_TAX_RECEIPTS_CUSTOMS" hidden="1">"c20741"</definedName>
    <definedName name="IQ_GOVT_TAX_RECEIPTS_EXCISE" hidden="1">"c20742"</definedName>
    <definedName name="IQ_GOVT_TAX_RECEIPTS_PERSONAL" hidden="1">"c20743"</definedName>
    <definedName name="IQ_GOVT_TAX_RECEIPTS_PRODUCTION_IMPORTS" hidden="1">"c20744"</definedName>
    <definedName name="IQ_GOVT_TAX_RECEIPTS_WORLD" hidden="1">"c20745"</definedName>
    <definedName name="IQ_GOVT_TOTAL_EXPENDITURES" hidden="1">"c20746"</definedName>
    <definedName name="IQ_GOVT_TOTAL_RECEIPTS" hidden="1">"c20747"</definedName>
    <definedName name="IQ_GOVT_TRANSFER_PAYMENTS" hidden="1">"c20748"</definedName>
    <definedName name="IQ_GOVT_TRANSFER_PAYMENTS_OTHER" hidden="1">"c20749"</definedName>
    <definedName name="IQ_GOVT_TRANSFER_PAYMENTS_OTHER_STATE_LOCAL" hidden="1">"c20750"</definedName>
    <definedName name="IQ_GOVT_TRANSFER_PAYMENTS_OTHER_WORLD" hidden="1">"c20751"</definedName>
    <definedName name="IQ_GOVT_WAGE_ACCRUAL" hidden="1">"c20752"</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DD_BASIC" hidden="1">"c15776"</definedName>
    <definedName name="IQ_GROSS_ADD_BBAND" hidden="1">"c15779"</definedName>
    <definedName name="IQ_GROSS_ADD_DIG" hidden="1">"c15777"</definedName>
    <definedName name="IQ_GROSS_ADD_PHONE" hidden="1">"c15780"</definedName>
    <definedName name="IQ_GROSS_ADD_POSTPAID_WIRELESS" hidden="1">"c15750"</definedName>
    <definedName name="IQ_GROSS_ADD_PREPAID_WIRELESS" hidden="1">"c15751"</definedName>
    <definedName name="IQ_GROSS_ADD_RESELL_WHOLESALE_WIRELESS" hidden="1">"c15752"</definedName>
    <definedName name="IQ_GROSS_ADD_RGU" hidden="1">"c15781"</definedName>
    <definedName name="IQ_GROSS_ADD_SATELLITE" hidden="1">"c15778"</definedName>
    <definedName name="IQ_GROSS_ADD_TOTAL_WIRELESS" hidden="1">"c15753"</definedName>
    <definedName name="IQ_GROSS_AH_EARNED" hidden="1">"c2742"</definedName>
    <definedName name="IQ_GROSS_CLAIM_ADJ_EXP_RESERVE_BOP" hidden="1">"c15874"</definedName>
    <definedName name="IQ_GROSS_CLAIM_EXP_INCUR" hidden="1">"c2755"</definedName>
    <definedName name="IQ_GROSS_CLAIM_EXP_PAID" hidden="1">"c2758"</definedName>
    <definedName name="IQ_GROSS_CLAIM_EXP_RES" hidden="1">"c2752"</definedName>
    <definedName name="IQ_GROSS_DIVID" hidden="1">"c192"</definedName>
    <definedName name="IQ_GROSS_EARNED" hidden="1">"c2732"</definedName>
    <definedName name="IQ_GROSS_GW" hidden="1">"c17750"</definedName>
    <definedName name="IQ_GROSS_INTAN_ASSETS" hidden="1">"c17748"</definedName>
    <definedName name="IQ_GROSS_LIFE_EARNED" hidden="1">"c2737"</definedName>
    <definedName name="IQ_GROSS_LIFE_IN_FORCE" hidden="1">"c2767"</definedName>
    <definedName name="IQ_GROSS_LOAN_AVG_LOANS_THRIFT" hidden="1">"c25636"</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LOSSES" hidden="1">"c15871"</definedName>
    <definedName name="IQ_GROSS_LOSSES_AVG_LOANS_FFIEC" hidden="1">"c13475"</definedName>
    <definedName name="IQ_GROSS_MARGIN" hidden="1">"c529"</definedName>
    <definedName name="IQ_GROSS_MARGIN_ACT_OR_EST" hidden="1">"c5554"</definedName>
    <definedName name="IQ_GROSS_MARGIN_ACT_OR_EST_CIQ" hidden="1">"c18263"</definedName>
    <definedName name="IQ_GROSS_MARGIN_ACT_OR_EST_THOM" hidden="1">"c5562"</definedName>
    <definedName name="IQ_GROSS_MARGIN_EST" hidden="1">"c5547"</definedName>
    <definedName name="IQ_GROSS_MARGIN_EST_CIQ" hidden="1">"c18110"</definedName>
    <definedName name="IQ_GROSS_MARGIN_EST_DOWN_2MONTH" hidden="1">"c16381"</definedName>
    <definedName name="IQ_GROSS_MARGIN_EST_DOWN_3MONTH" hidden="1">"c16385"</definedName>
    <definedName name="IQ_GROSS_MARGIN_EST_DOWN_MONTH" hidden="1">"c16377"</definedName>
    <definedName name="IQ_GROSS_MARGIN_EST_NOTE_CIQ" hidden="1">"c18230"</definedName>
    <definedName name="IQ_GROSS_MARGIN_EST_NUM_ANALYSTS_2MONTH" hidden="1">"c16379"</definedName>
    <definedName name="IQ_GROSS_MARGIN_EST_NUM_ANALYSTS_3MONTH" hidden="1">"c16383"</definedName>
    <definedName name="IQ_GROSS_MARGIN_EST_NUM_ANALYSTS_MONTH" hidden="1">"c16375"</definedName>
    <definedName name="IQ_GROSS_MARGIN_EST_THOM" hidden="1">"c5555"</definedName>
    <definedName name="IQ_GROSS_MARGIN_EST_TOTAL_REVISED_2MONTH" hidden="1">"c16382"</definedName>
    <definedName name="IQ_GROSS_MARGIN_EST_TOTAL_REVISED_3MONTH" hidden="1">"c16386"</definedName>
    <definedName name="IQ_GROSS_MARGIN_EST_TOTAL_REVISED_MONTH" hidden="1">"c16378"</definedName>
    <definedName name="IQ_GROSS_MARGIN_EST_UP_2MONTH" hidden="1">"c16380"</definedName>
    <definedName name="IQ_GROSS_MARGIN_EST_UP_3MONTH" hidden="1">"c16384"</definedName>
    <definedName name="IQ_GROSS_MARGIN_EST_UP_MONTH" hidden="1">"c16376"</definedName>
    <definedName name="IQ_GROSS_MARGIN_GUIDANCE" hidden="1">"c18394"</definedName>
    <definedName name="IQ_GROSS_MARGIN_HIGH_EST" hidden="1">"c5549"</definedName>
    <definedName name="IQ_GROSS_MARGIN_HIGH_EST_CIQ" hidden="1">"c18130"</definedName>
    <definedName name="IQ_GROSS_MARGIN_HIGH_EST_THOM" hidden="1">"c5557"</definedName>
    <definedName name="IQ_GROSS_MARGIN_HIGH_GUIDANCE" hidden="1">"c18395"</definedName>
    <definedName name="IQ_GROSS_MARGIN_LOW_EST" hidden="1">"c5550"</definedName>
    <definedName name="IQ_GROSS_MARGIN_LOW_EST_CIQ" hidden="1">"c18140"</definedName>
    <definedName name="IQ_GROSS_MARGIN_LOW_EST_THOM" hidden="1">"c5558"</definedName>
    <definedName name="IQ_GROSS_MARGIN_LOW_GUIDANCE" hidden="1">"c18396"</definedName>
    <definedName name="IQ_GROSS_MARGIN_MEDIAN_EST" hidden="1">"c5548"</definedName>
    <definedName name="IQ_GROSS_MARGIN_MEDIAN_EST_CIQ" hidden="1">"c18120"</definedName>
    <definedName name="IQ_GROSS_MARGIN_MEDIAN_EST_THOM" hidden="1">"c5556"</definedName>
    <definedName name="IQ_GROSS_MARGIN_NUM_EST" hidden="1">"c5551"</definedName>
    <definedName name="IQ_GROSS_MARGIN_NUM_EST_CIQ" hidden="1">"c18160"</definedName>
    <definedName name="IQ_GROSS_MARGIN_NUM_EST_THOM" hidden="1">"c5559"</definedName>
    <definedName name="IQ_GROSS_MARGIN_STDDEV_EST" hidden="1">"c5552"</definedName>
    <definedName name="IQ_GROSS_MARGIN_STDDEV_EST_CIQ" hidden="1">"c18150"</definedName>
    <definedName name="IQ_GROSS_MARGIN_STDDEV_EST_THOM" hidden="1">"c5560"</definedName>
    <definedName name="IQ_GROSS_PC_EARNED" hidden="1">"c2747"</definedName>
    <definedName name="IQ_GROSS_PREMIUMS_WRITTEN_AVG_ASSETS" hidden="1">"c15893"</definedName>
    <definedName name="IQ_GROSS_PREMIUMS_WRITTEN_AVG_EQUITY" hidden="1">"c15892"</definedName>
    <definedName name="IQ_GROSS_PREMIUMS_WRITTEN_AVG_STATUTORY_SURPLUS" hidden="1">"c15894"</definedName>
    <definedName name="IQ_GROSS_PROFIT" hidden="1">"c511"</definedName>
    <definedName name="IQ_GROSS_SPRD" hidden="1">"c2155"</definedName>
    <definedName name="IQ_GROSS_WRITTEN" hidden="1">"c2726"</definedName>
    <definedName name="IQ_GROUP_EMBEDDED_VALUE_ASSET_MANAGEMENT" hidden="1">"c9955"</definedName>
    <definedName name="IQ_GROUP_EMBEDDED_VALUE_HEALTH" hidden="1">"c9954"</definedName>
    <definedName name="IQ_GROUP_EMBEDDED_VALUE_LIFE" hidden="1">"c9953"</definedName>
    <definedName name="IQ_GROUP_EMBEDDED_VALUE_LIFE_OTHER" hidden="1">"c9956"</definedName>
    <definedName name="IQ_GUARANTEED_PORTION_OTHER_LOANS_LEASES_EXCLUDE_REBOOKED_GNMA_LOANS_DUE_90_THRIFT" hidden="1">"c25280"</definedName>
    <definedName name="IQ_GUARANTEED_PORTION_OTHER_LOANS_LEASES_EXCLUDE_REBOOKED_GNMA_LOANS_NON_ACCRUAL_THRIFT" hidden="1">"c25301"</definedName>
    <definedName name="IQ_GUARTANTEED_PORTION_OTHER_LOANS_LEASES_EXCLUDE_REBOOKED_GNMA_LOANS_DUE_30_89_THRIFT" hidden="1">"c25259"</definedName>
    <definedName name="IQ_GVKEY" hidden="1">"c15590"</definedName>
    <definedName name="IQ_GVKEY_OTHER" hidden="1">"c15633"</definedName>
    <definedName name="IQ_GW" hidden="1">"c530"</definedName>
    <definedName name="IQ_GW_AMORT_BR" hidden="1">"c532"</definedName>
    <definedName name="IQ_GW_AMORT_CM" hidden="1">"c532"</definedName>
    <definedName name="IQ_GW_AMORT_FIN" hidden="1">"c540"</definedName>
    <definedName name="IQ_GW_AMORT_INS" hidden="1">"c541"</definedName>
    <definedName name="IQ_GW_AMORT_REIT" hidden="1">"c542"</definedName>
    <definedName name="IQ_GW_AMORT_UTI" hidden="1">"c543"</definedName>
    <definedName name="IQ_GW_INTAN" hidden="1">"c19145"</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CM"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CM" hidden="1">"c1470"</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JUSTED_DISCHARGES" hidden="1">"c9977"</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SO_COVERED_LIVES" hidden="1">"c9982"</definedName>
    <definedName name="IQ_HC_ASO_MEMBERSHIP" hidden="1">"c9985"</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CASES" hidden="1">"c9978"</definedName>
    <definedName name="IQ_HC_CLAIMS_RESERVES" hidden="1">"c9989"</definedName>
    <definedName name="IQ_HC_DAYS_REV_OUT" hidden="1">"c5993"</definedName>
    <definedName name="IQ_HC_DISCHARGES" hidden="1">"c9976"</definedName>
    <definedName name="IQ_HC_EQUIV_ADMISSIONS_GROWTH" hidden="1">"c5998"</definedName>
    <definedName name="IQ_HC_EQUIVALENT_ADMISSIONS" hidden="1">"c5958"</definedName>
    <definedName name="IQ_HC_EQUIVALENT_ADMISSIONS_SF" hidden="1">"c6007"</definedName>
    <definedName name="IQ_HC_EQUIVALENT_PATIENT_DAYS" hidden="1">"c9980"</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L_EXPENSE_RATIO" hidden="1">"c9987"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CASE" hidden="1">"c9979"</definedName>
    <definedName name="IQ_HC_REV_PER_DISCHARGE" hidden="1">"c9990"</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RISK_COVERED_LIVES" hidden="1">"c9981"</definedName>
    <definedName name="IQ_HC_RISK_MEMBERSHIP" hidden="1">"c9984"</definedName>
    <definedName name="IQ_HC_SALARIES_PCT_REV" hidden="1">"c5970"</definedName>
    <definedName name="IQ_HC_SGA_MARGIN" hidden="1">"c9988"</definedName>
    <definedName name="IQ_HC_SUPPLIES_PCT_REV" hidden="1">"c5971"</definedName>
    <definedName name="IQ_HC_TOTAL_COVERED_LIVES" hidden="1">"c9983"</definedName>
    <definedName name="IQ_HC_TOTAL_MEMBERSHIP" hidden="1">"c9986"</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DGEFUND_OVER_TOTAL" hidden="1">"c13771"</definedName>
    <definedName name="IQ_HEDGING_ACTIVITIES" hidden="1">"c17899"</definedName>
    <definedName name="IQ_HEDGING_ACTIVITIES_PCT" hidden="1">"c18013"</definedName>
    <definedName name="IQ_HELD_MATURITY_FDIC" hidden="1">"c6408"</definedName>
    <definedName name="IQ_HG_ACQUIRED_FRANCHISE_HOTEL_PROPERTIES" hidden="1">"c8584"</definedName>
    <definedName name="IQ_HG_ACQUIRED_FRANCHISE_ROOMS" hidden="1">"c8614"</definedName>
    <definedName name="IQ_HG_ACQUIRED_HOTEL_PROPERTIES" hidden="1">"c8572"</definedName>
    <definedName name="IQ_HG_ACQUIRED_MANAGED_HOTEL_PROPERTIES" hidden="1">"c8590"</definedName>
    <definedName name="IQ_HG_ACQUIRED_MANAGED_ROOMS" hidden="1">"c8620"</definedName>
    <definedName name="IQ_HG_ACQUIRED_OTHER_HOTEL_PROPERTIES" hidden="1">"c8596"</definedName>
    <definedName name="IQ_HG_ACQUIRED_OTHER_ROOMS" hidden="1">"c8626"</definedName>
    <definedName name="IQ_HG_ACQUIRED_OWNED_HOTEL_PROPERTIES" hidden="1">"c8578"</definedName>
    <definedName name="IQ_HG_ACQUIRED_OWNED_ROOMS" hidden="1">"c8608"</definedName>
    <definedName name="IQ_HG_ACQUIRED_ROOMS" hidden="1">"c8602"</definedName>
    <definedName name="IQ_HG_ADR_CHANGE_FRANCHISE" hidden="1">"c8684"</definedName>
    <definedName name="IQ_HG_ADR_CHANGE_MANAGED" hidden="1">"c8685"</definedName>
    <definedName name="IQ_HG_ADR_CHANGE_OTHER" hidden="1">"c8686"</definedName>
    <definedName name="IQ_HG_ADR_CHANGE_OWNED" hidden="1">"c8683"</definedName>
    <definedName name="IQ_HG_ADR_CHANGE_OWNED_COMP" hidden="1">"c8709"</definedName>
    <definedName name="IQ_HG_ADR_CHANGE_TOTAL" hidden="1">"c8687"</definedName>
    <definedName name="IQ_HG_ADR_CHANGE_TOTAL_COMP" hidden="1">"c8710"</definedName>
    <definedName name="IQ_HG_ADR_FRANCHISE" hidden="1">"c8664"</definedName>
    <definedName name="IQ_HG_ADR_MANAGED" hidden="1">"c8665"</definedName>
    <definedName name="IQ_HG_ADR_OTHER" hidden="1">"c8666"</definedName>
    <definedName name="IQ_HG_ADR_OWNED" hidden="1">"c8663"</definedName>
    <definedName name="IQ_HG_ADR_OWNED_COMP" hidden="1">"c8701"</definedName>
    <definedName name="IQ_HG_ADR_TOTAL" hidden="1">"c8667"</definedName>
    <definedName name="IQ_HG_ADR_TOTAL_COMP" hidden="1">"c8702"</definedName>
    <definedName name="IQ_HG_CASINO_EXP_DIRECT_OPERATING_EXP" hidden="1">"c15981"</definedName>
    <definedName name="IQ_HG_CASINO_GROSS_PROFIT" hidden="1">"c15974"</definedName>
    <definedName name="IQ_HG_CASINO_MARGIN" hidden="1">"c15976"</definedName>
    <definedName name="IQ_HG_CASINO_OPERATING_MARGIN" hidden="1">"c15977"</definedName>
    <definedName name="IQ_HG_CASINOS_JV" hidden="1">"c8631"</definedName>
    <definedName name="IQ_HG_CASINOS_MANAGED" hidden="1">"c8632"</definedName>
    <definedName name="IQ_HG_CASINOS_OWNED" hidden="1">"c8630"</definedName>
    <definedName name="IQ_HG_CASINOS_TOTAL" hidden="1">"c8633"</definedName>
    <definedName name="IQ_HG_CLOSED_FRANCHISE_HOTEL_PROPERTIES" hidden="1">"c8586"</definedName>
    <definedName name="IQ_HG_CLOSED_FRANCHISE_ROOMS" hidden="1">"c8616"</definedName>
    <definedName name="IQ_HG_CLOSED_HOTEL_PROPERTIES" hidden="1">"c8574"</definedName>
    <definedName name="IQ_HG_CLOSED_MANAGED_HOTEL_PROPERTIES" hidden="1">"c8592"</definedName>
    <definedName name="IQ_HG_CLOSED_MANAGED_ROOMS" hidden="1">"c8622"</definedName>
    <definedName name="IQ_HG_CLOSED_OTHER_HOTEL_PROPERTIES" hidden="1">"c8598"</definedName>
    <definedName name="IQ_HG_CLOSED_OTHER_ROOMS" hidden="1">"c8628"</definedName>
    <definedName name="IQ_HG_CLOSED_OWNED_HOTEL_PROPERTIES" hidden="1">"c8580"</definedName>
    <definedName name="IQ_HG_CLOSED_OWNED_ROOMS" hidden="1">"c8610"</definedName>
    <definedName name="IQ_HG_CLOSED_ROOMS" hidden="1">"c8604"</definedName>
    <definedName name="IQ_HG_CONFERENCE_SPACE" hidden="1">"c15971"</definedName>
    <definedName name="IQ_HG_EXP_CASINO" hidden="1">"c8733"</definedName>
    <definedName name="IQ_HG_EXP_DEVELOPMENT" hidden="1">"c8738"</definedName>
    <definedName name="IQ_HG_EXP_DIRECT_CASINO_GAMING" hidden="1">"c15994"</definedName>
    <definedName name="IQ_HG_EXP_ENTERTAINMENT" hidden="1">"c8736"</definedName>
    <definedName name="IQ_HG_EXP_FOOD_BEV" hidden="1">"c8734"</definedName>
    <definedName name="IQ_HG_EXP_FRANCHISE_MANAGEMENT" hidden="1">"c8744"</definedName>
    <definedName name="IQ_HG_EXP_OTHER_DIRECT_HOTEL_MOTEL" hidden="1">"c15995"</definedName>
    <definedName name="IQ_HG_EXP_OTHER_MNGD_FRANCHISE_PROP" hidden="1">"c8742"</definedName>
    <definedName name="IQ_HG_EXP_OWNED_LEASED_CONSOL_JV" hidden="1">"c8740"</definedName>
    <definedName name="IQ_HG_EXP_REIMBURSEMENTS" hidden="1">"c8743"</definedName>
    <definedName name="IQ_HG_EXP_RETAIL" hidden="1">"c8737"</definedName>
    <definedName name="IQ_HG_EXP_ROOMS" hidden="1">"c8735"</definedName>
    <definedName name="IQ_HG_EXP_THEATRE_CONCESSION" hidden="1">"c8739"</definedName>
    <definedName name="IQ_HG_EXP_VACA_OWNERSHIP_RES" hidden="1">"c8741"</definedName>
    <definedName name="IQ_HG_FOOD_BEV_EXP_DIRECT_OPERATING_EXP" hidden="1">"c15980"</definedName>
    <definedName name="IQ_HG_FOOD_BEV_REV_TOTAL_REV" hidden="1">"c15983"</definedName>
    <definedName name="IQ_HG_FOOD_PROM_COSTS" hidden="1">"c8746"</definedName>
    <definedName name="IQ_HG_FRANCHISE_HOTEL_PROPERTIES_BEG" hidden="1">"c8582"</definedName>
    <definedName name="IQ_HG_FRANCHISE_ROOMS_BEG" hidden="1">"c8612"</definedName>
    <definedName name="IQ_HG_GAMING_SPACE_JV" hidden="1">"c8635"</definedName>
    <definedName name="IQ_HG_GAMING_SPACE_MANAGED" hidden="1">"c8636"</definedName>
    <definedName name="IQ_HG_GAMING_SPACE_OWNED" hidden="1">"c8634"</definedName>
    <definedName name="IQ_HG_GAMING_SPACE_TOTAL" hidden="1">"c8637"</definedName>
    <definedName name="IQ_HG_HOTEL_PROPERTIES_BEG" hidden="1">"c8570"</definedName>
    <definedName name="IQ_HG_LAND_AVAIL_JV" hidden="1">"c8647"</definedName>
    <definedName name="IQ_HG_LAND_AVAIL_MANAGED" hidden="1">"c8648"</definedName>
    <definedName name="IQ_HG_LAND_AVAIL_OWNED" hidden="1">"c8646"</definedName>
    <definedName name="IQ_HG_LAND_AVAIL_TOTAL" hidden="1">"c8649"</definedName>
    <definedName name="IQ_HG_LAND_JV" hidden="1">"c8651"</definedName>
    <definedName name="IQ_HG_LAND_MANAGED" hidden="1">"c8652"</definedName>
    <definedName name="IQ_HG_LAND_OWNED" hidden="1">"c8650"</definedName>
    <definedName name="IQ_HG_LAND_TOTAL" hidden="1">"c8653"</definedName>
    <definedName name="IQ_HG_MANAGED_HOTEL_PROPERTIES_BEG" hidden="1">"c8588"</definedName>
    <definedName name="IQ_HG_MANAGED_ROOMS_BEG" hidden="1">"c8618"</definedName>
    <definedName name="IQ_HG_NUMBER_SUITES" hidden="1">"c15970"</definedName>
    <definedName name="IQ_HG_NUMBER_TABLES_AVG" hidden="1">"c15973"</definedName>
    <definedName name="IQ_HG_OCCUPANCY_CHANGE_FRANCHISE" hidden="1">"c8675"</definedName>
    <definedName name="IQ_HG_OCCUPANCY_CHANGE_MANAGED" hidden="1">"c8677"</definedName>
    <definedName name="IQ_HG_OCCUPANCY_CHANGE_OTHER" hidden="1">"c8679"</definedName>
    <definedName name="IQ_HG_OCCUPANCY_CHANGE_OWNED" hidden="1">"c8673"</definedName>
    <definedName name="IQ_HG_OCCUPANCY_CHANGE_OWNED_COMP" hidden="1">"c8705"</definedName>
    <definedName name="IQ_HG_OCCUPANCY_CHANGE_TOTAL" hidden="1">"c8681"</definedName>
    <definedName name="IQ_HG_OCCUPANCY_CHANGE_TOTAL_COMP" hidden="1">"c8707"</definedName>
    <definedName name="IQ_HG_OCCUPANCY_FRANCHISE" hidden="1">"c8659"</definedName>
    <definedName name="IQ_HG_OCCUPANCY_INCDEC_FRANCHISE" hidden="1">"c8676"</definedName>
    <definedName name="IQ_HG_OCCUPANCY_INCDEC_MANAGED" hidden="1">"c8678"</definedName>
    <definedName name="IQ_HG_OCCUPANCY_INCDEC_OTHER" hidden="1">"c8680"</definedName>
    <definedName name="IQ_HG_OCCUPANCY_INCDEC_OWNED" hidden="1">"c8674"</definedName>
    <definedName name="IQ_HG_OCCUPANCY_INCDEC_OWNED_COMP" hidden="1">"c8706"</definedName>
    <definedName name="IQ_HG_OCCUPANCY_INCDEC_TOTAL" hidden="1">"c8682"</definedName>
    <definedName name="IQ_HG_OCCUPANCY_INCDEC_TOTAL_COMP" hidden="1">"c8708"</definedName>
    <definedName name="IQ_HG_OCCUPANCY_MANAGED" hidden="1">"c8660"</definedName>
    <definedName name="IQ_HG_OCCUPANCY_OTHER" hidden="1">"c8661"</definedName>
    <definedName name="IQ_HG_OCCUPANCY_OWNED" hidden="1">"c8658"</definedName>
    <definedName name="IQ_HG_OCCUPANCY_OWNED_COMP" hidden="1">"c8699"</definedName>
    <definedName name="IQ_HG_OCCUPANCY_TOTAL" hidden="1">"c8662"</definedName>
    <definedName name="IQ_HG_OCCUPANCY_TOTAL_COMP" hidden="1">"c8700"</definedName>
    <definedName name="IQ_HG_OPENED_FRANCHISE_HOTEL_PROPERTIES" hidden="1">"c8583"</definedName>
    <definedName name="IQ_HG_OPENED_FRANCHISE_ROOMS" hidden="1">"c8613"</definedName>
    <definedName name="IQ_HG_OPENED_HOTEL_PROPERTIES" hidden="1">"c8571"</definedName>
    <definedName name="IQ_HG_OPENED_MANAGED_HOTEL_PROPERTIES" hidden="1">"c8589"</definedName>
    <definedName name="IQ_HG_OPENED_MANAGED_ROOMS" hidden="1">"c8619"</definedName>
    <definedName name="IQ_HG_OPENED_OTHER_HOTEL_PROPERTIES" hidden="1">"c8595"</definedName>
    <definedName name="IQ_HG_OPENED_OTHER_ROOMS" hidden="1">"c8625"</definedName>
    <definedName name="IQ_HG_OPENED_OWNED_HOTEL_PROPERTIES" hidden="1">"c8577"</definedName>
    <definedName name="IQ_HG_OPENED_OWNED_ROOMS" hidden="1">"c8607"</definedName>
    <definedName name="IQ_HG_OPENED_ROOMS" hidden="1">"c8601"</definedName>
    <definedName name="IQ_HG_OTHER_HOTEL_PROPERTIES_BEG" hidden="1">"c8594"</definedName>
    <definedName name="IQ_HG_OTHER_PROM_COSTS" hidden="1">"c8747"</definedName>
    <definedName name="IQ_HG_OTHER_ROOMS_BEG" hidden="1">"c8624"</definedName>
    <definedName name="IQ_HG_OWNED_HOTEL_PROPERTIES_BEG" hidden="1">"c8576"</definedName>
    <definedName name="IQ_HG_OWNED_ROOMS_BEG" hidden="1">"c8606"</definedName>
    <definedName name="IQ_HG_PARKING_SPACES_JV" hidden="1">"c8655"</definedName>
    <definedName name="IQ_HG_PARKING_SPACES_MANAGED" hidden="1">"c8656"</definedName>
    <definedName name="IQ_HG_PARKING_SPACES_OWNED" hidden="1">"c8654"</definedName>
    <definedName name="IQ_HG_PARKING_SPACES_TOTAL" hidden="1">"c8657"</definedName>
    <definedName name="IQ_HG_PROMO_ALLOW_GROSS_OPERATING_REV" hidden="1">"c15979"</definedName>
    <definedName name="IQ_HG_REV_BASE_MANAGEMENT_FEES" hidden="1">"c8726"</definedName>
    <definedName name="IQ_HG_REV_CASINO" hidden="1">"c8713"</definedName>
    <definedName name="IQ_HG_REV_COST_REIMBURSEMENT" hidden="1">"c8728"</definedName>
    <definedName name="IQ_HG_REV_ENTERTAINMENT" hidden="1">"c8716"</definedName>
    <definedName name="IQ_HG_REV_FOOD_BEV" hidden="1">"c8714"</definedName>
    <definedName name="IQ_HG_REV_FRANCHISE" hidden="1">"c8725"</definedName>
    <definedName name="IQ_HG_REV_GROSS_OPERATING" hidden="1">"c15993"</definedName>
    <definedName name="IQ_HG_REV_INCENTIVE_MANAGEMENT_FEES" hidden="1">"c8727"</definedName>
    <definedName name="IQ_HG_REV_MANAGEMENT_FEES" hidden="1">"c8718"</definedName>
    <definedName name="IQ_HG_REV_OTHER_CASINO" hidden="1">"c15992"</definedName>
    <definedName name="IQ_HG_REV_OTHER_MNGD_FRANCHISE_PROP" hidden="1">"c8730"</definedName>
    <definedName name="IQ_HG_REV_OTHER_OP_SEGMENT" hidden="1">"c8721"</definedName>
    <definedName name="IQ_HG_REV_OTHER_OWNERSHIP_MIX" hidden="1">"c8731"</definedName>
    <definedName name="IQ_HG_REV_OWNED_LEASED_CONSOL_JV_HOTELS" hidden="1">"c8724"</definedName>
    <definedName name="IQ_HG_REV_PROMOTIONAL_ALLOWANCE" hidden="1">"c8722"</definedName>
    <definedName name="IQ_HG_REV_RACING" hidden="1">"c8719"</definedName>
    <definedName name="IQ_HG_REV_RETAIL" hidden="1">"c8717"</definedName>
    <definedName name="IQ_HG_REV_ROOMS" hidden="1">"c8715"</definedName>
    <definedName name="IQ_HG_REV_SLOT_MACHINE" hidden="1">"c15990"</definedName>
    <definedName name="IQ_HG_REV_TABLE" hidden="1">"c15991"</definedName>
    <definedName name="IQ_HG_REV_THEATRE_CONCESSION" hidden="1">"c8720"</definedName>
    <definedName name="IQ_HG_REV_TOTAL_OP_SEGMENT" hidden="1">"c8723"</definedName>
    <definedName name="IQ_HG_REV_TOTAL_OWNERSHIP_MIX" hidden="1">"c8732"</definedName>
    <definedName name="IQ_HG_REV_VACA_OWNERSHIP_RES_SALES_SVCS" hidden="1">"c8729"</definedName>
    <definedName name="IQ_HG_REVENUES_CHANGE_OWNED_COMP" hidden="1">"c8697"</definedName>
    <definedName name="IQ_HG_REVENUES_CHANGE_TOTAL_COMP" hidden="1">"c8698"</definedName>
    <definedName name="IQ_HG_REVPAR_CHANGE_MANAGED" hidden="1">"c8690"</definedName>
    <definedName name="IQ_HG_REVPAR_CHANGE_OTHER" hidden="1">"c8691"</definedName>
    <definedName name="IQ_HG_REVPAR_CHANGE_OWNED" hidden="1">"c8688"</definedName>
    <definedName name="IQ_HG_REVPAR_CHANGE_OWNED_COMP" hidden="1">"c8711"</definedName>
    <definedName name="IQ_HG_REVPAR_CHANGE_TOTAL" hidden="1">"c8692"</definedName>
    <definedName name="IQ_HG_REVPAR_CHANGE_TOTAL_COMP" hidden="1">"c8712"</definedName>
    <definedName name="IQ_HG_REVPAR_CHNAGE_FRANCHISE" hidden="1">"c8689"</definedName>
    <definedName name="IQ_HG_REVPAR_FRANCHISE" hidden="1">"c8669"</definedName>
    <definedName name="IQ_HG_REVPAR_MANAGED" hidden="1">"c8670"</definedName>
    <definedName name="IQ_HG_REVPAR_OTHER" hidden="1">"c8671"</definedName>
    <definedName name="IQ_HG_REVPAR_OWNED" hidden="1">"c8668"</definedName>
    <definedName name="IQ_HG_REVPAR_OWNED_COMP" hidden="1">"c8703"</definedName>
    <definedName name="IQ_HG_REVPAR_TOTAL" hidden="1">"c8672"</definedName>
    <definedName name="IQ_HG_REVPAR_TOTAL_COMP" hidden="1">"c8704"</definedName>
    <definedName name="IQ_HG_ROOM_EXP_DIRECT_OPERATING_EXP" hidden="1">"c15982"</definedName>
    <definedName name="IQ_HG_ROOM_GROSS_PROFIT" hidden="1">"c15975"</definedName>
    <definedName name="IQ_HG_ROOM_MARGIN" hidden="1">"c15978"</definedName>
    <definedName name="IQ_HG_ROOM_PROM_COSTS" hidden="1">"c8745"</definedName>
    <definedName name="IQ_HG_ROOM_REV_TOTAL_REV" hidden="1">"c15984"</definedName>
    <definedName name="IQ_HG_ROOMS_BEG" hidden="1">"c8600"</definedName>
    <definedName name="IQ_HG_SAME_PROPERTIES_CASINO_REV_CHANGE" hidden="1">"c15987"</definedName>
    <definedName name="IQ_HG_SAME_PROPERTIES_FOOD_BEV_REV_CHANGE" hidden="1">"c15989"</definedName>
    <definedName name="IQ_HG_SAME_PROPERTIES_ROOM_REV_CHANGE" hidden="1">"c15988"</definedName>
    <definedName name="IQ_HG_SAME_PROPERTIES_SLOT_MACHINE_REV_CHANGE" hidden="1">"c15985"</definedName>
    <definedName name="IQ_HG_SAME_PROPERTIES_TABLE_REV_CHANGE" hidden="1">"c15986"</definedName>
    <definedName name="IQ_HG_SLOT_MACHINES_AVG" hidden="1">"c15972"</definedName>
    <definedName name="IQ_HG_SLOT_MACHINES_JV" hidden="1">"c8639"</definedName>
    <definedName name="IQ_HG_SLOT_MACHINES_MANAGED" hidden="1">"c8640"</definedName>
    <definedName name="IQ_HG_SLOT_MACHINES_OWNED" hidden="1">"c8638"</definedName>
    <definedName name="IQ_HG_SLOT_MACHINES_TOTAL" hidden="1">"c8641"</definedName>
    <definedName name="IQ_HG_SOLD_FRANCHISE_HOTEL_PROPERTIES" hidden="1">"c8585"</definedName>
    <definedName name="IQ_HG_SOLD_FRANCHISE_ROOMS" hidden="1">"c8615"</definedName>
    <definedName name="IQ_HG_SOLD_HOTEL_PROPERTIES" hidden="1">"c8573"</definedName>
    <definedName name="IQ_HG_SOLD_MANAGED_HOTEL_PROPERTIES" hidden="1">"c8591"</definedName>
    <definedName name="IQ_HG_SOLD_MANAGED_ROOMS" hidden="1">"c8621"</definedName>
    <definedName name="IQ_HG_SOLD_OTHER_HOTEL_PROPERTIES" hidden="1">"c8597"</definedName>
    <definedName name="IQ_HG_SOLD_OTHER_ROOMS" hidden="1">"c8627"</definedName>
    <definedName name="IQ_HG_SOLD_OWNED_HOTEL_PROPERTIES" hidden="1">"c8579"</definedName>
    <definedName name="IQ_HG_SOLD_OWNED_ROOMS" hidden="1">"c8609"</definedName>
    <definedName name="IQ_HG_SOLD_ROOMS" hidden="1">"c8603"</definedName>
    <definedName name="IQ_HG_TABLE_GAMES_JV" hidden="1">"c16124"</definedName>
    <definedName name="IQ_HG_TABLE_GAMES_MANAGED" hidden="1">"c16125"</definedName>
    <definedName name="IQ_HG_TABLE_GAMES_OWNED" hidden="1">"c16123"</definedName>
    <definedName name="IQ_HG_TABLE_GAMES_TOTAL" hidden="1">"c16126"</definedName>
    <definedName name="IQ_HG_TABLES_JV" hidden="1">"c8643"</definedName>
    <definedName name="IQ_HG_TABLES_MANAGED" hidden="1">"c8644"</definedName>
    <definedName name="IQ_HG_TABLES_OWNED" hidden="1">"c8642"</definedName>
    <definedName name="IQ_HG_TABLES_TOTAL" hidden="1">"c8645"</definedName>
    <definedName name="IQ_HG_TOTAL_FRANCHISE_HOTEL_PROPERTIES" hidden="1">"c8587"</definedName>
    <definedName name="IQ_HG_TOTAL_FRANCHISE_ROOMS" hidden="1">"c8617"</definedName>
    <definedName name="IQ_HG_TOTAL_HOTEL_PROPERTIES" hidden="1">"c8575"</definedName>
    <definedName name="IQ_HG_TOTAL_MANAGED_HOTEL_PROPERTIES" hidden="1">"c8593"</definedName>
    <definedName name="IQ_HG_TOTAL_MANAGED_ROOMS" hidden="1">"c8623"</definedName>
    <definedName name="IQ_HG_TOTAL_OTHER_HOTEL_PROPERTIES" hidden="1">"c8599"</definedName>
    <definedName name="IQ_HG_TOTAL_OTHER_ROOMS" hidden="1">"c8629"</definedName>
    <definedName name="IQ_HG_TOTAL_OWNED_HOTEL_PROPERTIES" hidden="1">"c8581"</definedName>
    <definedName name="IQ_HG_TOTAL_OWNED_PROPERTIES_COMP" hidden="1">"c8693"</definedName>
    <definedName name="IQ_HG_TOTAL_OWNED_ROOMS" hidden="1">"c8611"</definedName>
    <definedName name="IQ_HG_TOTAL_OWNED_ROOMS_COMP" hidden="1">"c8695"</definedName>
    <definedName name="IQ_HG_TOTAL_PROM_COSTS" hidden="1">"c8748"</definedName>
    <definedName name="IQ_HG_TOTAL_PROPERTIES_COMP" hidden="1">"c8694"</definedName>
    <definedName name="IQ_HG_TOTAL_ROOMS" hidden="1">"c8605"</definedName>
    <definedName name="IQ_HG_TOTAL_ROOMS_COMP" hidden="1">"c8696"</definedName>
    <definedName name="IQ_HIGH_LOW_CLOSEPRICE_DATE" hidden="1">"c1204"</definedName>
    <definedName name="IQ_HIGH_SULFUR_CONTENT_RESERVES_COAL" hidden="1">"c15928"</definedName>
    <definedName name="IQ_HIGH_SULFURE_RESERVES_TO_TOTAL_RESERVES_COAL" hidden="1">"c15963"</definedName>
    <definedName name="IQ_HIGH_TARGET_PRICE" hidden="1">"c1651"</definedName>
    <definedName name="IQ_HIGH_TARGET_PRICE_CIQ" hidden="1">"c4659"</definedName>
    <definedName name="IQ_HIGH_TARGET_PRICE_REUT" hidden="1">"c5317"</definedName>
    <definedName name="IQ_HIGH_TARGET_PRICE_THOM" hidden="1">"c5096"</definedName>
    <definedName name="IQ_HIGHPRICE" hidden="1">"c545"</definedName>
    <definedName name="IQ_HOLDER_CIQID" hidden="1">"c13787"</definedName>
    <definedName name="IQ_HOLDER_CIQID_SECURITY" hidden="1">"c13794"</definedName>
    <definedName name="IQ_HOLDER_DERIVATIVES" hidden="1">"c13789"</definedName>
    <definedName name="IQ_HOLDER_DERIVATIVES_SECURITY" hidden="1">"c13796"</definedName>
    <definedName name="IQ_HOLDER_FUND_CIQID" hidden="1">"c19084"</definedName>
    <definedName name="IQ_HOLDER_FUND_DERIVATIVES" hidden="1">"c19115"</definedName>
    <definedName name="IQ_HOLDER_FUND_NAME" hidden="1">"c19083"</definedName>
    <definedName name="IQ_HOLDER_FUND_NUMBER" hidden="1">"c19090"</definedName>
    <definedName name="IQ_HOLDER_FUND_PERCENT" hidden="1">"c19085"</definedName>
    <definedName name="IQ_HOLDER_FUND_POSITION_DATE" hidden="1">"c19088"</definedName>
    <definedName name="IQ_HOLDER_FUND_PRIMARY_ADVISOR" hidden="1">"c19089"</definedName>
    <definedName name="IQ_HOLDER_FUND_SHARES" hidden="1">"c19086"</definedName>
    <definedName name="IQ_HOLDER_FUND_VALUE" hidden="1">"c19087"</definedName>
    <definedName name="IQ_HOLDER_INSTITUTION_TYPE" hidden="1">"c24729"</definedName>
    <definedName name="IQ_HOLDER_NAME" hidden="1">"c13786"</definedName>
    <definedName name="IQ_HOLDER_NAME_SECURITY" hidden="1">"c13793"</definedName>
    <definedName name="IQ_HOLDER_PERCENT" hidden="1">"c13790"</definedName>
    <definedName name="IQ_HOLDER_PERCENT_SECURITY" hidden="1">"c13831"</definedName>
    <definedName name="IQ_HOLDER_POSITION_DATE" hidden="1">"c13792"</definedName>
    <definedName name="IQ_HOLDER_POSITION_DATE_SECURITY" hidden="1">"c13798"</definedName>
    <definedName name="IQ_HOLDER_SHARES" hidden="1">"c13788"</definedName>
    <definedName name="IQ_HOLDER_SHARES_SECURITY" hidden="1">"c13795"</definedName>
    <definedName name="IQ_HOLDER_VALUE" hidden="1">"c13791"</definedName>
    <definedName name="IQ_HOLDER_VALUE_SECURITY" hidden="1">"c13797"</definedName>
    <definedName name="IQ_HOLDING_CIQID" hidden="1">"c13802"</definedName>
    <definedName name="IQ_HOLDING_NAME" hidden="1">"c13799"</definedName>
    <definedName name="IQ_HOLDING_PERCENT" hidden="1">"c13805"</definedName>
    <definedName name="IQ_HOLDING_PERCENT_PORTFOLIO" hidden="1">"c13806"</definedName>
    <definedName name="IQ_HOLDING_POSITION_DATE" hidden="1">"c13808"</definedName>
    <definedName name="IQ_HOLDING_SECURITY_TYPE" hidden="1">"c13803"</definedName>
    <definedName name="IQ_HOLDING_SHARES" hidden="1">"c13804"</definedName>
    <definedName name="IQ_HOLDING_TICKER" hidden="1">"c13800"</definedName>
    <definedName name="IQ_HOLDING_TRADING_ITEM_CIQID" hidden="1">"c13801"</definedName>
    <definedName name="IQ_HOLDING_VALUE" hidden="1">"c13807"</definedName>
    <definedName name="IQ_HOLDINGS_AFRICA_MIDEAST_PERCENT" hidden="1">"c19235"</definedName>
    <definedName name="IQ_HOLDINGS_AFRICA_MIDEAST_VALUE" hidden="1">"c19234"</definedName>
    <definedName name="IQ_HOLDINGS_ASIA_PERCENT" hidden="1">"c19233"</definedName>
    <definedName name="IQ_HOLDINGS_ASIA_VALUE" hidden="1">"c19232"</definedName>
    <definedName name="IQ_HOLDINGS_CONSUMER_DISCRETIONARY_PERCENT" hidden="1">"c19213"</definedName>
    <definedName name="IQ_HOLDINGS_CONSUMER_DISCRETIONARY_VALUE" hidden="1">"c19212"</definedName>
    <definedName name="IQ_HOLDINGS_CONSUMER_STAPLES_PERCENT" hidden="1">"c19219"</definedName>
    <definedName name="IQ_HOLDINGS_CONSUMER_STAPLES_VALUE" hidden="1">"c19218"</definedName>
    <definedName name="IQ_HOLDINGS_ENERGY_PERCENT" hidden="1">"c19215"</definedName>
    <definedName name="IQ_HOLDINGS_ENERGY_VALUE" hidden="1">"c19214"</definedName>
    <definedName name="IQ_HOLDINGS_EQUITY_ASSETS" hidden="1">"c26966"</definedName>
    <definedName name="IQ_HOLDINGS_EUROPE_PERCENT" hidden="1">"c19229"</definedName>
    <definedName name="IQ_HOLDINGS_EUROPE_VALUE" hidden="1">"c19228"</definedName>
    <definedName name="IQ_HOLDINGS_FINANCIALS_PERCENT" hidden="1">"c19209"</definedName>
    <definedName name="IQ_HOLDINGS_FINANCIALS_VALUE" hidden="1">"c19208"</definedName>
    <definedName name="IQ_HOLDINGS_HEALTHCARE_PERCENT" hidden="1">"c19211"</definedName>
    <definedName name="IQ_HOLDINGS_HEALTHCARE_VALUE" hidden="1">"c19210"</definedName>
    <definedName name="IQ_HOLDINGS_INDUSTRIALS_PERCENT" hidden="1">"c19217"</definedName>
    <definedName name="IQ_HOLDINGS_INDUSTRIALS_VALUE" hidden="1">"c19216"</definedName>
    <definedName name="IQ_HOLDINGS_IT_PERCENT" hidden="1">"c19207"</definedName>
    <definedName name="IQ_HOLDINGS_IT_VALUE" hidden="1">"c19206"</definedName>
    <definedName name="IQ_HOLDINGS_LATIN_CARIBBEAN_PERCENT" hidden="1">"c19231"</definedName>
    <definedName name="IQ_HOLDINGS_LATIN_CARIBBEAN_VALUE" hidden="1">"c19230"</definedName>
    <definedName name="IQ_HOLDINGS_MATERIALS_PERCENT" hidden="1">"c19223"</definedName>
    <definedName name="IQ_HOLDINGS_MATERIALS_VALUE" hidden="1">"c19222"</definedName>
    <definedName name="IQ_HOLDINGS_TELECOMM_PERCENT" hidden="1">"c19221"</definedName>
    <definedName name="IQ_HOLDINGS_TELECOMM_VALUE" hidden="1">"c19220"</definedName>
    <definedName name="IQ_HOLDINGS_US_CANADA_PERCENT" hidden="1">"c19227"</definedName>
    <definedName name="IQ_HOLDINGS_US_CANADA_VALUE" hidden="1">"c19226"</definedName>
    <definedName name="IQ_HOLDINGS_UTILITIES_PERCENT" hidden="1">"c19225"</definedName>
    <definedName name="IQ_HOLDINGS_UTILITIES_VALUE" hidden="1">"c19224"</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ANCELLATION_RATE" hidden="1">"c16192"</definedName>
    <definedName name="IQ_HOME_CANCELLATION_RATE_INCL_JV" hidden="1">"c16194"</definedName>
    <definedName name="IQ_HOME_CANCELLATION_RATE_JV" hidden="1">"c16193"</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ANS_TOT_LOANS_FFIEC" hidden="1">"c13867"</definedName>
    <definedName name="IQ_HOME_EQUITY_LOANS_TOTAL_LOANS_THRIFT" hidden="1">"c25748"</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MPROVEMENT_LOANS_NOT_SECURED_RE_THRIFT" hidden="1">"c24860"</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SALES_NEW" hidden="1">"c6924"</definedName>
    <definedName name="IQ_HOME_SALES_NEW_APR" hidden="1">"c7584"</definedName>
    <definedName name="IQ_HOME_SALES_NEW_APR_FC" hidden="1">"c8464"</definedName>
    <definedName name="IQ_HOME_SALES_NEW_FC" hidden="1">"c7804"</definedName>
    <definedName name="IQ_HOME_SALES_NEW_POP" hidden="1">"c7144"</definedName>
    <definedName name="IQ_HOME_SALES_NEW_POP_FC" hidden="1">"c8024"</definedName>
    <definedName name="IQ_HOME_SALES_NEW_YOY" hidden="1">"c7364"</definedName>
    <definedName name="IQ_HOME_SALES_NEW_YOY_FC" hidden="1">"c8244"</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BUILDING_COGS_SALES" hidden="1">"c15813"</definedName>
    <definedName name="IQ_HOMEBUILDING_INV_TURN" hidden="1">"c15819"</definedName>
    <definedName name="IQ_HOMEBUILDING_TURN" hidden="1">"c15820"</definedName>
    <definedName name="IQ_HOMEOWNERS_WRITTEN" hidden="1">"c546"</definedName>
    <definedName name="IQ_HOTEL_OPERATING_EXPENSE" hidden="1">"c16042"</definedName>
    <definedName name="IQ_HOTEL_OPERATING_REVENUE" hidden="1">"c16026"</definedName>
    <definedName name="IQ_HOURLY_COMP" hidden="1">"c6879"</definedName>
    <definedName name="IQ_HOURLY_COMP_APR" hidden="1">"c7539"</definedName>
    <definedName name="IQ_HOURLY_COMP_APR_FC" hidden="1">"c8419"</definedName>
    <definedName name="IQ_HOURLY_COMP_FC" hidden="1">"c7759"</definedName>
    <definedName name="IQ_HOURLY_COMP_POP" hidden="1">"c7099"</definedName>
    <definedName name="IQ_HOURLY_COMP_POP_FC" hidden="1">"c7979"</definedName>
    <definedName name="IQ_HOURLY_COMP_YOY" hidden="1">"c7319"</definedName>
    <definedName name="IQ_HOURLY_COMP_YOY_FC" hidden="1">"c8199"</definedName>
    <definedName name="IQ_HOUSING_30YR_MORTGAGE" hidden="1">"c20753"</definedName>
    <definedName name="IQ_HOUSING_COMPLETION" hidden="1">"c20754"</definedName>
    <definedName name="IQ_HOUSING_COMPLETIONS" hidden="1">"c6881"</definedName>
    <definedName name="IQ_HOUSING_COMPLETIONS_APR" hidden="1">"c7541"</definedName>
    <definedName name="IQ_HOUSING_COMPLETIONS_APR_FC" hidden="1">"c8421"</definedName>
    <definedName name="IQ_HOUSING_COMPLETIONS_FC" hidden="1">"c7761"</definedName>
    <definedName name="IQ_HOUSING_COMPLETIONS_POP" hidden="1">"c7101"</definedName>
    <definedName name="IQ_HOUSING_COMPLETIONS_POP_FC" hidden="1">"c7981"</definedName>
    <definedName name="IQ_HOUSING_COMPLETIONS_SINGLE_FAM_APR_FC_UNUSED" hidden="1">"c8422"</definedName>
    <definedName name="IQ_HOUSING_COMPLETIONS_SINGLE_FAM_APR_FC_UNUSED_UNUSED_UNUSED" hidden="1">"c8422"</definedName>
    <definedName name="IQ_HOUSING_COMPLETIONS_SINGLE_FAM_APR_UNUSED" hidden="1">"c7542"</definedName>
    <definedName name="IQ_HOUSING_COMPLETIONS_SINGLE_FAM_APR_UNUSED_UNUSED_UNUSED" hidden="1">"c7542"</definedName>
    <definedName name="IQ_HOUSING_COMPLETIONS_SINGLE_FAM_FC_UNUSED" hidden="1">"c7762"</definedName>
    <definedName name="IQ_HOUSING_COMPLETIONS_SINGLE_FAM_FC_UNUSED_UNUSED_UNUSED" hidden="1">"c7762"</definedName>
    <definedName name="IQ_HOUSING_COMPLETIONS_SINGLE_FAM_POP_FC_UNUSED" hidden="1">"c7982"</definedName>
    <definedName name="IQ_HOUSING_COMPLETIONS_SINGLE_FAM_POP_FC_UNUSED_UNUSED_UNUSED" hidden="1">"c7982"</definedName>
    <definedName name="IQ_HOUSING_COMPLETIONS_SINGLE_FAM_POP_UNUSED" hidden="1">"c7102"</definedName>
    <definedName name="IQ_HOUSING_COMPLETIONS_SINGLE_FAM_POP_UNUSED_UNUSED_UNUSED" hidden="1">"c7102"</definedName>
    <definedName name="IQ_HOUSING_COMPLETIONS_SINGLE_FAM_UNUSED" hidden="1">"c6882"</definedName>
    <definedName name="IQ_HOUSING_COMPLETIONS_SINGLE_FAM_UNUSED_UNUSED_UNUSED" hidden="1">"c6882"</definedName>
    <definedName name="IQ_HOUSING_COMPLETIONS_SINGLE_FAM_YOY_FC_UNUSED" hidden="1">"c8202"</definedName>
    <definedName name="IQ_HOUSING_COMPLETIONS_SINGLE_FAM_YOY_FC_UNUSED_UNUSED_UNUSED" hidden="1">"c8202"</definedName>
    <definedName name="IQ_HOUSING_COMPLETIONS_SINGLE_FAM_YOY_UNUSED" hidden="1">"c7322"</definedName>
    <definedName name="IQ_HOUSING_COMPLETIONS_SINGLE_FAM_YOY_UNUSED_UNUSED_UNUSED" hidden="1">"c7322"</definedName>
    <definedName name="IQ_HOUSING_COMPLETIONS_YOY" hidden="1">"c7321"</definedName>
    <definedName name="IQ_HOUSING_COMPLETIONS_YOY_FC" hidden="1">"c8201"</definedName>
    <definedName name="IQ_HOUSING_CONSTRUCTION_PERMITS" hidden="1">"c20755"</definedName>
    <definedName name="IQ_HOUSING_CONSTRUCTION_PRIVATE" hidden="1">"c20756"</definedName>
    <definedName name="IQ_HOUSING_EXISTING_HOME_SALES" hidden="1">"c20757"</definedName>
    <definedName name="IQ_HOUSING_HOMEOWNER_VACANCY" hidden="1">"c20758"</definedName>
    <definedName name="IQ_HOUSING_HOMEOWNERSHIP_RATE" hidden="1">"c20759"</definedName>
    <definedName name="IQ_HOUSING_MEDIAN_SALES_PRICE" hidden="1">"c20760"</definedName>
    <definedName name="IQ_HOUSING_NEW_HOME_SALES" hidden="1">"c20761"</definedName>
    <definedName name="IQ_HOUSING_PENDING_HOME_SALE_INDEX" hidden="1">"c20762"</definedName>
    <definedName name="IQ_HOUSING_PERMITS" hidden="1">"c6883"</definedName>
    <definedName name="IQ_HOUSING_PERMITS_APR" hidden="1">"c7543"</definedName>
    <definedName name="IQ_HOUSING_PERMITS_APR_FC" hidden="1">"c8423"</definedName>
    <definedName name="IQ_HOUSING_PERMITS_FC" hidden="1">"c7763"</definedName>
    <definedName name="IQ_HOUSING_PERMITS_POP" hidden="1">"c7103"</definedName>
    <definedName name="IQ_HOUSING_PERMITS_POP_FC" hidden="1">"c7983"</definedName>
    <definedName name="IQ_HOUSING_PERMITS_YOY" hidden="1">"c7323"</definedName>
    <definedName name="IQ_HOUSING_PERMITS_YOY_FC" hidden="1">"c8203"</definedName>
    <definedName name="IQ_HOUSING_RENTAL_VACANCY" hidden="1">"c20763"</definedName>
    <definedName name="IQ_HOUSING_START" hidden="1">"c20764"</definedName>
    <definedName name="IQ_HOUSING_STARTS" hidden="1">"c6884"</definedName>
    <definedName name="IQ_HOUSING_STARTS_APR" hidden="1">"c7544"</definedName>
    <definedName name="IQ_HOUSING_STARTS_APR_FC" hidden="1">"c8424"</definedName>
    <definedName name="IQ_HOUSING_STARTS_FC" hidden="1">"c7764"</definedName>
    <definedName name="IQ_HOUSING_STARTS_POP" hidden="1">"c7104"</definedName>
    <definedName name="IQ_HOUSING_STARTS_POP_FC" hidden="1">"c7984"</definedName>
    <definedName name="IQ_HOUSING_STARTS_SAAR" hidden="1">"c6885"</definedName>
    <definedName name="IQ_HOUSING_STARTS_SAAR_APR" hidden="1">"c7545"</definedName>
    <definedName name="IQ_HOUSING_STARTS_SAAR_APR_FC" hidden="1">"c8425"</definedName>
    <definedName name="IQ_HOUSING_STARTS_SAAR_FC" hidden="1">"c7765"</definedName>
    <definedName name="IQ_HOUSING_STARTS_SAAR_POP" hidden="1">"c7105"</definedName>
    <definedName name="IQ_HOUSING_STARTS_SAAR_POP_FC" hidden="1">"c7985"</definedName>
    <definedName name="IQ_HOUSING_STARTS_SAAR_YOY" hidden="1">"c7325"</definedName>
    <definedName name="IQ_HOUSING_STARTS_SAAR_YOY_FC" hidden="1">"c8205"</definedName>
    <definedName name="IQ_HOUSING_STARTS_YOY" hidden="1">"c7324"</definedName>
    <definedName name="IQ_HOUSING_STARTS_YOY_FC" hidden="1">"c8204"</definedName>
    <definedName name="IQ_HRS_WORKED_FULL_PT" hidden="1">"c6880"</definedName>
    <definedName name="IQ_HRS_WORKED_FULL_PT_APR" hidden="1">"c7540"</definedName>
    <definedName name="IQ_HRS_WORKED_FULL_PT_APR_FC" hidden="1">"c8420"</definedName>
    <definedName name="IQ_HRS_WORKED_FULL_PT_FC" hidden="1">"c7760"</definedName>
    <definedName name="IQ_HRS_WORKED_FULL_PT_POP" hidden="1">"c7100"</definedName>
    <definedName name="IQ_HRS_WORKED_FULL_PT_POP_FC" hidden="1">"c7980"</definedName>
    <definedName name="IQ_HRS_WORKED_FULL_PT_YOY" hidden="1">"c7320"</definedName>
    <definedName name="IQ_HRS_WORKED_FULL_PT_YOY_FC" hidden="1">"c8200"</definedName>
    <definedName name="IQ_HTM_INVEST_SECURITIES_FFIEC" hidden="1">"c13455"</definedName>
    <definedName name="IQ_HTM_SEC_INV_SEC_THRIFT" hidden="1">"c25669"</definedName>
    <definedName name="IQ_HTM_SEC_TIER_1_CAPITAL_THRIFT" hidden="1">"c25629"</definedName>
    <definedName name="IQ_HTM_SECURITIES_TIER_1_FFIEC" hidden="1">"c13342"</definedName>
    <definedName name="IQ_HYBRID_CAPITAL" hidden="1">"c15245"</definedName>
    <definedName name="IQ_HYBRID_STRUCTURED_PRODUCTS_AFS_AMORT_COST_FFIEC" hidden="1">"c20502"</definedName>
    <definedName name="IQ_HYBRID_STRUCTURED_PRODUCTS_AFS_FAIR_VAL_FFIEC" hidden="1">"c20467"</definedName>
    <definedName name="IQ_HYBRID_STRUCTURED_PRODUCTS_AVAIL_SALE_FFIEC" hidden="1">"c15265"</definedName>
    <definedName name="IQ_HYBRID_STRUCTURED_PRODUCTS_FFIEC" hidden="1">"c15262"</definedName>
    <definedName name="IQ_HYBRID_STRUCTURED_PRODUCTS_HTM_AMORT_COST_FFIEC" hidden="1">"c20450"</definedName>
    <definedName name="IQ_HYBRID_STRUCTURED_PRODUCTS_HTM_FAIR_VAL_FFIEC" hidden="1">"c20485"</definedName>
    <definedName name="IQ_IB_ADVISORY_UNDERWRITING_FEES_FOREIGN_FFIEC" hidden="1">"c15378"</definedName>
    <definedName name="IQ_IBF_COMM_INDUST_LOANS_FFIEC" hidden="1">"c15298"</definedName>
    <definedName name="IQ_IBF_DEPOSIT_LIABILITIES_DUE_TO_BANKS_FFIEC" hidden="1">"c15300"</definedName>
    <definedName name="IQ_IM_AVG_REV_PER_CLICK" hidden="1">"c9991"</definedName>
    <definedName name="IQ_IM_NUMBER_PAGE_VIEWS" hidden="1">"c9993"</definedName>
    <definedName name="IQ_IM_NUMBER_PAID_CLICKS" hidden="1">"c9995"</definedName>
    <definedName name="IQ_IM_NUMBER_PAID_CLICKS_GROWTH" hidden="1">"c9996"</definedName>
    <definedName name="IQ_IM_PAGE_VIEWS_GROWTH" hidden="1">"c9994"</definedName>
    <definedName name="IQ_IM_REV_PER_PAGE_VIEW_GROWTH" hidden="1">"c9992"</definedName>
    <definedName name="IQ_IM_TRAFFIC_ACQUISITION_CHANGE" hidden="1">"c9998"</definedName>
    <definedName name="IQ_IM_TRAFFIC_ACQUISITION_COST_TO_AD_REV_RATIO" hidden="1">"c10000"</definedName>
    <definedName name="IQ_IM_TRAFFIC_ACQUISITION_COST_TO_TOTAL_REV_RATIO" hidden="1">"c9999"</definedName>
    <definedName name="IQ_IM_TRAFFIC_ACQUISITION_COSTS" hidden="1">"c9997"</definedName>
    <definedName name="IQ_IMPACT_UNRECOG_TAX_BENEFIT_EFFECTIVE_TAX" hidden="1">"c15748"</definedName>
    <definedName name="IQ_IMPAIR_CHARGES_DEBT_EQUITY_SEC_THRIFT" hidden="1">"c24777"</definedName>
    <definedName name="IQ_IMPAIR_OIL" hidden="1">"c547"</definedName>
    <definedName name="IQ_IMPAIRED_LOANS" hidden="1">"c15250"</definedName>
    <definedName name="IQ_IMPAIRMENT_GW" hidden="1">"c548"</definedName>
    <definedName name="IQ_IMPAIRMENT_GW_SUPPLE" hidden="1">"c13811"</definedName>
    <definedName name="IQ_IMPORT_PRICE_INDEX" hidden="1">"c6886"</definedName>
    <definedName name="IQ_IMPORT_PRICE_INDEX_APR" hidden="1">"c7546"</definedName>
    <definedName name="IQ_IMPORT_PRICE_INDEX_APR_FC" hidden="1">"c8426"</definedName>
    <definedName name="IQ_IMPORT_PRICE_INDEX_FC" hidden="1">"c7766"</definedName>
    <definedName name="IQ_IMPORT_PRICE_INDEX_POP" hidden="1">"c7106"</definedName>
    <definedName name="IQ_IMPORT_PRICE_INDEX_POP_FC" hidden="1">"c7986"</definedName>
    <definedName name="IQ_IMPORT_PRICE_INDEX_YOY" hidden="1">"c7326"</definedName>
    <definedName name="IQ_IMPORT_PRICE_INDEX_YOY_FC" hidden="1">"c8206"</definedName>
    <definedName name="IQ_IMPORTS_GOODS" hidden="1">"c6887"</definedName>
    <definedName name="IQ_IMPORTS_GOODS_APR" hidden="1">"c7547"</definedName>
    <definedName name="IQ_IMPORTS_GOODS_APR_FC" hidden="1">"c8427"</definedName>
    <definedName name="IQ_IMPORTS_GOODS_FC" hidden="1">"c7767"</definedName>
    <definedName name="IQ_IMPORTS_GOODS_NONFACTOR_SERVICES" hidden="1">"c6888"</definedName>
    <definedName name="IQ_IMPORTS_GOODS_NONFACTOR_SERVICES_APR" hidden="1">"c7548"</definedName>
    <definedName name="IQ_IMPORTS_GOODS_NONFACTOR_SERVICES_APR_FC" hidden="1">"c8428"</definedName>
    <definedName name="IQ_IMPORTS_GOODS_NONFACTOR_SERVICES_FC" hidden="1">"c7768"</definedName>
    <definedName name="IQ_IMPORTS_GOODS_NONFACTOR_SERVICES_POP" hidden="1">"c7108"</definedName>
    <definedName name="IQ_IMPORTS_GOODS_NONFACTOR_SERVICES_POP_FC" hidden="1">"c7988"</definedName>
    <definedName name="IQ_IMPORTS_GOODS_NONFACTOR_SERVICES_YOY" hidden="1">"c7328"</definedName>
    <definedName name="IQ_IMPORTS_GOODS_NONFACTOR_SERVICES_YOY_FC" hidden="1">"c8208"</definedName>
    <definedName name="IQ_IMPORTS_GOODS_POP" hidden="1">"c7107"</definedName>
    <definedName name="IQ_IMPORTS_GOODS_POP_FC" hidden="1">"c7987"</definedName>
    <definedName name="IQ_IMPORTS_GOODS_REAL" hidden="1">"c11950"</definedName>
    <definedName name="IQ_IMPORTS_GOODS_REAL_APR" hidden="1">"c11953"</definedName>
    <definedName name="IQ_IMPORTS_GOODS_REAL_POP" hidden="1">"c11951"</definedName>
    <definedName name="IQ_IMPORTS_GOODS_REAL_SAAR_APR_FC_UNUSED" hidden="1">"c8523"</definedName>
    <definedName name="IQ_IMPORTS_GOODS_REAL_SAAR_APR_FC_UNUSED_UNUSED_UNUSED" hidden="1">"c8523"</definedName>
    <definedName name="IQ_IMPORTS_GOODS_REAL_SAAR_APR_UNUSED" hidden="1">"c7643"</definedName>
    <definedName name="IQ_IMPORTS_GOODS_REAL_SAAR_APR_UNUSED_UNUSED_UNUSED" hidden="1">"c7643"</definedName>
    <definedName name="IQ_IMPORTS_GOODS_REAL_SAAR_FC_UNUSED" hidden="1">"c7863"</definedName>
    <definedName name="IQ_IMPORTS_GOODS_REAL_SAAR_FC_UNUSED_UNUSED_UNUSED" hidden="1">"c7863"</definedName>
    <definedName name="IQ_IMPORTS_GOODS_REAL_SAAR_POP_FC_UNUSED" hidden="1">"c8083"</definedName>
    <definedName name="IQ_IMPORTS_GOODS_REAL_SAAR_POP_FC_UNUSED_UNUSED_UNUSED" hidden="1">"c8083"</definedName>
    <definedName name="IQ_IMPORTS_GOODS_REAL_SAAR_POP_UNUSED" hidden="1">"c7203"</definedName>
    <definedName name="IQ_IMPORTS_GOODS_REAL_SAAR_POP_UNUSED_UNUSED_UNUSED" hidden="1">"c7203"</definedName>
    <definedName name="IQ_IMPORTS_GOODS_REAL_SAAR_UNUSED" hidden="1">"c6983"</definedName>
    <definedName name="IQ_IMPORTS_GOODS_REAL_SAAR_UNUSED_UNUSED_UNUSED" hidden="1">"c6983"</definedName>
    <definedName name="IQ_IMPORTS_GOODS_REAL_SAAR_YOY_FC_UNUSED" hidden="1">"c8303"</definedName>
    <definedName name="IQ_IMPORTS_GOODS_REAL_SAAR_YOY_FC_UNUSED_UNUSED_UNUSED" hidden="1">"c8303"</definedName>
    <definedName name="IQ_IMPORTS_GOODS_REAL_SAAR_YOY_UNUSED" hidden="1">"c7423"</definedName>
    <definedName name="IQ_IMPORTS_GOODS_REAL_SAAR_YOY_UNUSED_UNUSED_UNUSED" hidden="1">"c7423"</definedName>
    <definedName name="IQ_IMPORTS_GOODS_REAL_YOY" hidden="1">"c11952"</definedName>
    <definedName name="IQ_IMPORTS_GOODS_SAAR" hidden="1">"c6891"</definedName>
    <definedName name="IQ_IMPORTS_GOODS_SAAR_APR" hidden="1">"c7551"</definedName>
    <definedName name="IQ_IMPORTS_GOODS_SAAR_APR_FC" hidden="1">"c8431"</definedName>
    <definedName name="IQ_IMPORTS_GOODS_SAAR_FC" hidden="1">"c7771"</definedName>
    <definedName name="IQ_IMPORTS_GOODS_SAAR_POP" hidden="1">"c7111"</definedName>
    <definedName name="IQ_IMPORTS_GOODS_SAAR_POP_FC" hidden="1">"c7991"</definedName>
    <definedName name="IQ_IMPORTS_GOODS_SAAR_USD_APR_FC" hidden="1">"c11849"</definedName>
    <definedName name="IQ_IMPORTS_GOODS_SAAR_USD_FC" hidden="1">"c11846"</definedName>
    <definedName name="IQ_IMPORTS_GOODS_SAAR_USD_POP_FC" hidden="1">"c11847"</definedName>
    <definedName name="IQ_IMPORTS_GOODS_SAAR_USD_YOY_FC" hidden="1">"c11848"</definedName>
    <definedName name="IQ_IMPORTS_GOODS_SAAR_YOY" hidden="1">"c7331"</definedName>
    <definedName name="IQ_IMPORTS_GOODS_SAAR_YOY_FC" hidden="1">"c8211"</definedName>
    <definedName name="IQ_IMPORTS_GOODS_SERVICES_APR_FC_UNUSED" hidden="1">"c8429"</definedName>
    <definedName name="IQ_IMPORTS_GOODS_SERVICES_APR_FC_UNUSED_UNUSED_UNUSED" hidden="1">"c8429"</definedName>
    <definedName name="IQ_IMPORTS_GOODS_SERVICES_APR_UNUSED" hidden="1">"c7549"</definedName>
    <definedName name="IQ_IMPORTS_GOODS_SERVICES_APR_UNUSED_UNUSED_UNUSED" hidden="1">"c7549"</definedName>
    <definedName name="IQ_IMPORTS_GOODS_SERVICES_FC_UNUSED" hidden="1">"c7769"</definedName>
    <definedName name="IQ_IMPORTS_GOODS_SERVICES_FC_UNUSED_UNUSED_UNUSED" hidden="1">"c7769"</definedName>
    <definedName name="IQ_IMPORTS_GOODS_SERVICES_POP_FC_UNUSED" hidden="1">"c7989"</definedName>
    <definedName name="IQ_IMPORTS_GOODS_SERVICES_POP_FC_UNUSED_UNUSED_UNUSED" hidden="1">"c7989"</definedName>
    <definedName name="IQ_IMPORTS_GOODS_SERVICES_POP_UNUSED" hidden="1">"c7109"</definedName>
    <definedName name="IQ_IMPORTS_GOODS_SERVICES_POP_UNUSED_UNUSED_UNUSED" hidden="1">"c7109"</definedName>
    <definedName name="IQ_IMPORTS_GOODS_SERVICES_REAL" hidden="1">"c6985"</definedName>
    <definedName name="IQ_IMPORTS_GOODS_SERVICES_REAL_APR" hidden="1">"c7645"</definedName>
    <definedName name="IQ_IMPORTS_GOODS_SERVICES_REAL_APR_FC" hidden="1">"c8525"</definedName>
    <definedName name="IQ_IMPORTS_GOODS_SERVICES_REAL_FC" hidden="1">"c7865"</definedName>
    <definedName name="IQ_IMPORTS_GOODS_SERVICES_REAL_POP" hidden="1">"c7205"</definedName>
    <definedName name="IQ_IMPORTS_GOODS_SERVICES_REAL_POP_FC" hidden="1">"c8085"</definedName>
    <definedName name="IQ_IMPORTS_GOODS_SERVICES_REAL_SAAR" hidden="1">"c11958"</definedName>
    <definedName name="IQ_IMPORTS_GOODS_SERVICES_REAL_SAAR_APR" hidden="1">"c11961"</definedName>
    <definedName name="IQ_IMPORTS_GOODS_SERVICES_REAL_SAAR_APR_FC_UNUSED" hidden="1">"c8524"</definedName>
    <definedName name="IQ_IMPORTS_GOODS_SERVICES_REAL_SAAR_APR_FC_UNUSED_UNUSED_UNUSED" hidden="1">"c8524"</definedName>
    <definedName name="IQ_IMPORTS_GOODS_SERVICES_REAL_SAAR_APR_UNUSED" hidden="1">"c7644"</definedName>
    <definedName name="IQ_IMPORTS_GOODS_SERVICES_REAL_SAAR_APR_UNUSED_UNUSED_UNUSED" hidden="1">"c7644"</definedName>
    <definedName name="IQ_IMPORTS_GOODS_SERVICES_REAL_SAAR_FC_UNUSED" hidden="1">"c7864"</definedName>
    <definedName name="IQ_IMPORTS_GOODS_SERVICES_REAL_SAAR_FC_UNUSED_UNUSED_UNUSED" hidden="1">"c7864"</definedName>
    <definedName name="IQ_IMPORTS_GOODS_SERVICES_REAL_SAAR_POP" hidden="1">"c11959"</definedName>
    <definedName name="IQ_IMPORTS_GOODS_SERVICES_REAL_SAAR_POP_FC_UNUSED" hidden="1">"c8084"</definedName>
    <definedName name="IQ_IMPORTS_GOODS_SERVICES_REAL_SAAR_POP_FC_UNUSED_UNUSED_UNUSED" hidden="1">"c8084"</definedName>
    <definedName name="IQ_IMPORTS_GOODS_SERVICES_REAL_SAAR_POP_UNUSED" hidden="1">"c7204"</definedName>
    <definedName name="IQ_IMPORTS_GOODS_SERVICES_REAL_SAAR_POP_UNUSED_UNUSED_UNUSED" hidden="1">"c7204"</definedName>
    <definedName name="IQ_IMPORTS_GOODS_SERVICES_REAL_SAAR_UNUSED" hidden="1">"c6984"</definedName>
    <definedName name="IQ_IMPORTS_GOODS_SERVICES_REAL_SAAR_UNUSED_UNUSED_UNUSED" hidden="1">"c6984"</definedName>
    <definedName name="IQ_IMPORTS_GOODS_SERVICES_REAL_SAAR_USD" hidden="1">"c11962"</definedName>
    <definedName name="IQ_IMPORTS_GOODS_SERVICES_REAL_SAAR_USD_APR" hidden="1">"c11965"</definedName>
    <definedName name="IQ_IMPORTS_GOODS_SERVICES_REAL_SAAR_USD_APR_FC" hidden="1">"c11969"</definedName>
    <definedName name="IQ_IMPORTS_GOODS_SERVICES_REAL_SAAR_USD_FC" hidden="1">"c11966"</definedName>
    <definedName name="IQ_IMPORTS_GOODS_SERVICES_REAL_SAAR_USD_POP" hidden="1">"c11963"</definedName>
    <definedName name="IQ_IMPORTS_GOODS_SERVICES_REAL_SAAR_USD_POP_FC" hidden="1">"c11967"</definedName>
    <definedName name="IQ_IMPORTS_GOODS_SERVICES_REAL_SAAR_USD_YOY" hidden="1">"c11964"</definedName>
    <definedName name="IQ_IMPORTS_GOODS_SERVICES_REAL_SAAR_USD_YOY_FC" hidden="1">"c11968"</definedName>
    <definedName name="IQ_IMPORTS_GOODS_SERVICES_REAL_SAAR_YOY" hidden="1">"c11960"</definedName>
    <definedName name="IQ_IMPORTS_GOODS_SERVICES_REAL_SAAR_YOY_FC_UNUSED" hidden="1">"c8304"</definedName>
    <definedName name="IQ_IMPORTS_GOODS_SERVICES_REAL_SAAR_YOY_FC_UNUSED_UNUSED_UNUSED" hidden="1">"c8304"</definedName>
    <definedName name="IQ_IMPORTS_GOODS_SERVICES_REAL_SAAR_YOY_UNUSED" hidden="1">"c7424"</definedName>
    <definedName name="IQ_IMPORTS_GOODS_SERVICES_REAL_SAAR_YOY_UNUSED_UNUSED_UNUSED" hidden="1">"c7424"</definedName>
    <definedName name="IQ_IMPORTS_GOODS_SERVICES_REAL_USD" hidden="1">"c11954"</definedName>
    <definedName name="IQ_IMPORTS_GOODS_SERVICES_REAL_USD_APR" hidden="1">"c11957"</definedName>
    <definedName name="IQ_IMPORTS_GOODS_SERVICES_REAL_USD_POP" hidden="1">"c11955"</definedName>
    <definedName name="IQ_IMPORTS_GOODS_SERVICES_REAL_USD_YOY" hidden="1">"c11956"</definedName>
    <definedName name="IQ_IMPORTS_GOODS_SERVICES_REAL_YOY" hidden="1">"c7425"</definedName>
    <definedName name="IQ_IMPORTS_GOODS_SERVICES_REAL_YOY_FC" hidden="1">"c8305"</definedName>
    <definedName name="IQ_IMPORTS_GOODS_SERVICES_SAAR" hidden="1">"c6890"</definedName>
    <definedName name="IQ_IMPORTS_GOODS_SERVICES_SAAR_APR" hidden="1">"c7550"</definedName>
    <definedName name="IQ_IMPORTS_GOODS_SERVICES_SAAR_APR_FC" hidden="1">"c8430"</definedName>
    <definedName name="IQ_IMPORTS_GOODS_SERVICES_SAAR_FC" hidden="1">"c7770"</definedName>
    <definedName name="IQ_IMPORTS_GOODS_SERVICES_SAAR_POP" hidden="1">"c7110"</definedName>
    <definedName name="IQ_IMPORTS_GOODS_SERVICES_SAAR_POP_FC" hidden="1">"c7990"</definedName>
    <definedName name="IQ_IMPORTS_GOODS_SERVICES_SAAR_YOY" hidden="1">"c7330"</definedName>
    <definedName name="IQ_IMPORTS_GOODS_SERVICES_SAAR_YOY_FC" hidden="1">"c8210"</definedName>
    <definedName name="IQ_IMPORTS_GOODS_SERVICES_UNUSED" hidden="1">"c6889"</definedName>
    <definedName name="IQ_IMPORTS_GOODS_SERVICES_UNUSED_UNUSED_UNUSED" hidden="1">"c6889"</definedName>
    <definedName name="IQ_IMPORTS_GOODS_SERVICES_USD" hidden="1">"c11842"</definedName>
    <definedName name="IQ_IMPORTS_GOODS_SERVICES_USD_APR" hidden="1">"c11845"</definedName>
    <definedName name="IQ_IMPORTS_GOODS_SERVICES_USD_POP" hidden="1">"c11843"</definedName>
    <definedName name="IQ_IMPORTS_GOODS_SERVICES_USD_YOY" hidden="1">"c11844"</definedName>
    <definedName name="IQ_IMPORTS_GOODS_SERVICES_YOY_FC_UNUSED" hidden="1">"c8209"</definedName>
    <definedName name="IQ_IMPORTS_GOODS_SERVICES_YOY_FC_UNUSED_UNUSED_UNUSED" hidden="1">"c8209"</definedName>
    <definedName name="IQ_IMPORTS_GOODS_SERVICES_YOY_UNUSED" hidden="1">"c7329"</definedName>
    <definedName name="IQ_IMPORTS_GOODS_SERVICES_YOY_UNUSED_UNUSED_UNUSED" hidden="1">"c7329"</definedName>
    <definedName name="IQ_IMPORTS_GOODS_USD_APR_FC" hidden="1">"c11841"</definedName>
    <definedName name="IQ_IMPORTS_GOODS_USD_FC" hidden="1">"c11838"</definedName>
    <definedName name="IQ_IMPORTS_GOODS_USD_POP_FC" hidden="1">"c11839"</definedName>
    <definedName name="IQ_IMPORTS_GOODS_USD_YOY_FC" hidden="1">"c11840"</definedName>
    <definedName name="IQ_IMPORTS_GOODS_YOY" hidden="1">"c7327"</definedName>
    <definedName name="IQ_IMPORTS_GOODS_YOY_FC" hidden="1">"c8207"</definedName>
    <definedName name="IQ_IMPORTS_NONFACTOR_SERVICES" hidden="1">"c6892"</definedName>
    <definedName name="IQ_IMPORTS_NONFACTOR_SERVICES_APR" hidden="1">"c7552"</definedName>
    <definedName name="IQ_IMPORTS_NONFACTOR_SERVICES_APR_FC" hidden="1">"c8432"</definedName>
    <definedName name="IQ_IMPORTS_NONFACTOR_SERVICES_FC" hidden="1">"c7772"</definedName>
    <definedName name="IQ_IMPORTS_NONFACTOR_SERVICES_POP" hidden="1">"c7112"</definedName>
    <definedName name="IQ_IMPORTS_NONFACTOR_SERVICES_POP_FC" hidden="1">"c7992"</definedName>
    <definedName name="IQ_IMPORTS_NONFACTOR_SERVICES_SAAR" hidden="1">"c6893"</definedName>
    <definedName name="IQ_IMPORTS_NONFACTOR_SERVICES_SAAR_APR" hidden="1">"c7553"</definedName>
    <definedName name="IQ_IMPORTS_NONFACTOR_SERVICES_SAAR_APR_FC" hidden="1">"c8433"</definedName>
    <definedName name="IQ_IMPORTS_NONFACTOR_SERVICES_SAAR_FC" hidden="1">"c7773"</definedName>
    <definedName name="IQ_IMPORTS_NONFACTOR_SERVICES_SAAR_POP" hidden="1">"c7113"</definedName>
    <definedName name="IQ_IMPORTS_NONFACTOR_SERVICES_SAAR_POP_FC" hidden="1">"c7993"</definedName>
    <definedName name="IQ_IMPORTS_NONFACTOR_SERVICES_SAAR_USD_APR_FC" hidden="1">"c11857"</definedName>
    <definedName name="IQ_IMPORTS_NONFACTOR_SERVICES_SAAR_USD_FC" hidden="1">"c11854"</definedName>
    <definedName name="IQ_IMPORTS_NONFACTOR_SERVICES_SAAR_USD_POP_FC" hidden="1">"c11855"</definedName>
    <definedName name="IQ_IMPORTS_NONFACTOR_SERVICES_SAAR_USD_YOY_FC" hidden="1">"c11856"</definedName>
    <definedName name="IQ_IMPORTS_NONFACTOR_SERVICES_SAAR_YOY" hidden="1">"c7333"</definedName>
    <definedName name="IQ_IMPORTS_NONFACTOR_SERVICES_SAAR_YOY_FC" hidden="1">"c8213"</definedName>
    <definedName name="IQ_IMPORTS_NONFACTOR_SERVICES_USD_APR_FC" hidden="1">"c11853"</definedName>
    <definedName name="IQ_IMPORTS_NONFACTOR_SERVICES_USD_FC" hidden="1">"c11850"</definedName>
    <definedName name="IQ_IMPORTS_NONFACTOR_SERVICES_USD_POP_FC" hidden="1">"c11851"</definedName>
    <definedName name="IQ_IMPORTS_NONFACTOR_SERVICES_USD_YOY_FC" hidden="1">"c11852"</definedName>
    <definedName name="IQ_IMPORTS_NONFACTOR_SERVICES_YOY" hidden="1">"c7332"</definedName>
    <definedName name="IQ_IMPORTS_NONFACTOR_SERVICES_YOY_FC" hidden="1">"c8212"</definedName>
    <definedName name="IQ_IMPORTS_SERVICES" hidden="1">"c11858"</definedName>
    <definedName name="IQ_IMPORTS_SERVICES_APR" hidden="1">"c11861"</definedName>
    <definedName name="IQ_IMPORTS_SERVICES_POP" hidden="1">"c11859"</definedName>
    <definedName name="IQ_IMPORTS_SERVICES_REAL" hidden="1">"c6986"</definedName>
    <definedName name="IQ_IMPORTS_SERVICES_REAL_APR" hidden="1">"c7646"</definedName>
    <definedName name="IQ_IMPORTS_SERVICES_REAL_APR_FC" hidden="1">"c8526"</definedName>
    <definedName name="IQ_IMPORTS_SERVICES_REAL_FC" hidden="1">"c7866"</definedName>
    <definedName name="IQ_IMPORTS_SERVICES_REAL_POP" hidden="1">"c7206"</definedName>
    <definedName name="IQ_IMPORTS_SERVICES_REAL_POP_FC" hidden="1">"c8086"</definedName>
    <definedName name="IQ_IMPORTS_SERVICES_REAL_YOY" hidden="1">"c7426"</definedName>
    <definedName name="IQ_IMPORTS_SERVICES_REAL_YOY_FC" hidden="1">"c8306"</definedName>
    <definedName name="IQ_IMPORTS_SERVICES_YOY" hidden="1">"c11860"</definedName>
    <definedName name="IQ_IMPORTS_USD" hidden="1">"c20765"</definedName>
    <definedName name="IQ_IMPUT_OPER_LEASE_DEPR" hidden="1">"c2987"</definedName>
    <definedName name="IQ_IMPUT_OPER_LEASE_INT_EXP" hidden="1">"c2986"</definedName>
    <definedName name="IQ_INC_AFTER_TAX" hidden="1">"c1598"</definedName>
    <definedName name="IQ_INC_AVAIL_EXCL" hidden="1">"c789"</definedName>
    <definedName name="IQ_INC_AVAIL_INCL" hidden="1">"c791"</definedName>
    <definedName name="IQ_INC_BEFORE_TAX" hidden="1">"c386"</definedName>
    <definedName name="IQ_INC_DOM_LOANS_FFIEC" hidden="1">"c12975"</definedName>
    <definedName name="IQ_INC_EQUITY" hidden="1">"c549"</definedName>
    <definedName name="IQ_INC_EQUITY_BR" hidden="1">"c550"</definedName>
    <definedName name="IQ_INC_EQUITY_CF" hidden="1">"c551"</definedName>
    <definedName name="IQ_INC_EQUITY_CM" hidden="1">"c550"</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BEFORE_EXTRAORDINARY_ITEMS_AVG_ASSETS_THRIFT" hidden="1">"c25658"</definedName>
    <definedName name="IQ_INCOME_CHECKS_FFIEC" hidden="1">"c13040"</definedName>
    <definedName name="IQ_INCOME_EARNED_FDIC" hidden="1">"c6359"</definedName>
    <definedName name="IQ_INCOME_FIDUCIARY_ACTIVITIES_FFIEC" hidden="1">"c13002"</definedName>
    <definedName name="IQ_INCOME_LEASE_FINANCING_REC_FFIEC" hidden="1">"c12980"</definedName>
    <definedName name="IQ_INCOME_LOANS_LEASES_TAX_EXEMPT_FFIEC" hidden="1">"c13038"</definedName>
    <definedName name="IQ_INCOME_OTHER_INSURANCE_ACTIVITIES_FFIEC" hidden="1">"c13009"</definedName>
    <definedName name="IQ_INCOME_SALE_MUTUAL_FUNDS_DOM_FFIEC" hidden="1">"c13069"</definedName>
    <definedName name="IQ_INCOME_SECURITIES_TAX_EXEMPT_FFIEC" hidden="1">"c13039"</definedName>
    <definedName name="IQ_INCOME_STATEMENT_AP" hidden="1">"c25877"</definedName>
    <definedName name="IQ_INCOME_STATEMENT_AP_CO" hidden="1">"c25878"</definedName>
    <definedName name="IQ_INCOME_STATEMENT_INDUSTRY" hidden="1">"c25873"</definedName>
    <definedName name="IQ_INCOME_STATEMENT_INDUSTRY_CO" hidden="1">"c25874"</definedName>
    <definedName name="IQ_INCOME_STATEMENT_STANDARD" hidden="1">"c25875"</definedName>
    <definedName name="IQ_INCOME_STATEMENT_STANDARD_CO" hidden="1">"c25876"</definedName>
    <definedName name="IQ_INCOME_TAX_FOREIGN_FFIEC" hidden="1">"c15391"</definedName>
    <definedName name="IQ_INCOME_TAXES_FDIC" hidden="1">"c6582"</definedName>
    <definedName name="IQ_INCOME_TAXES_FFIEC" hidden="1">"c13030"</definedName>
    <definedName name="IQ_INCOME_TAXES_PRETAX_NET_OPERATING_INCOME_THRIFT" hidden="1">"c25693"</definedName>
    <definedName name="IQ_INCOME_TAXES_THRIFT" hidden="1">"c24795"</definedName>
    <definedName name="IQ_INCREASE_INT_INCOME_FFIEC" hidden="1">"c13063"</definedName>
    <definedName name="IQ_IND_PROD_INDEX_GROWTH" hidden="1">"c20766"</definedName>
    <definedName name="IQ_INDEX_CURRENCY" hidden="1">"c15224"</definedName>
    <definedName name="IQ_INDEX_LEADING_IND" hidden="1">"c6894"</definedName>
    <definedName name="IQ_INDEX_LEADING_IND_APR" hidden="1">"c7554"</definedName>
    <definedName name="IQ_INDEX_LEADING_IND_APR_FC" hidden="1">"c8434"</definedName>
    <definedName name="IQ_INDEX_LEADING_IND_FC" hidden="1">"c7774"</definedName>
    <definedName name="IQ_INDEX_LEADING_IND_POP" hidden="1">"c7114"</definedName>
    <definedName name="IQ_INDEX_LEADING_IND_POP_FC" hidden="1">"c7994"</definedName>
    <definedName name="IQ_INDEX_LEADING_IND_YOY" hidden="1">"c7334"</definedName>
    <definedName name="IQ_INDEX_LEADING_IND_YOY_FC" hidden="1">"c8214"</definedName>
    <definedName name="IQ_INDEX_PROVIDED_DIVIDEND" hidden="1">"c19252"</definedName>
    <definedName name="IQ_INDEX_SHARES" hidden="1">"c19193"</definedName>
    <definedName name="IQ_INDEX_TYPE" hidden="1">"c15223"</definedName>
    <definedName name="IQ_INDEXCONSTITUENT_CLOSEPRICE" hidden="1">"c19241"</definedName>
    <definedName name="IQ_INDICATED_ATTRIB_ORE_RESOURCES_ALUM" hidden="1">"c9238"</definedName>
    <definedName name="IQ_INDICATED_ATTRIB_ORE_RESOURCES_COP" hidden="1">"c9182"</definedName>
    <definedName name="IQ_INDICATED_ATTRIB_ORE_RESOURCES_DIAM" hidden="1">"c9662"</definedName>
    <definedName name="IQ_INDICATED_ATTRIB_ORE_RESOURCES_GOLD" hidden="1">"c9023"</definedName>
    <definedName name="IQ_INDICATED_ATTRIB_ORE_RESOURCES_IRON" hidden="1">"c9397"</definedName>
    <definedName name="IQ_INDICATED_ATTRIB_ORE_RESOURCES_LEAD" hidden="1">"c9450"</definedName>
    <definedName name="IQ_INDICATED_ATTRIB_ORE_RESOURCES_MANG" hidden="1">"c9503"</definedName>
    <definedName name="IQ_INDICATED_ATTRIB_ORE_RESOURCES_MOLYB" hidden="1">"c9715"</definedName>
    <definedName name="IQ_INDICATED_ATTRIB_ORE_RESOURCES_NICK" hidden="1">"c9291"</definedName>
    <definedName name="IQ_INDICATED_ATTRIB_ORE_RESOURCES_PLAT" hidden="1">"c9129"</definedName>
    <definedName name="IQ_INDICATED_ATTRIB_ORE_RESOURCES_SILVER" hidden="1">"c9076"</definedName>
    <definedName name="IQ_INDICATED_ATTRIB_ORE_RESOURCES_TITAN" hidden="1">"c9556"</definedName>
    <definedName name="IQ_INDICATED_ATTRIB_ORE_RESOURCES_URAN" hidden="1">"c9609"</definedName>
    <definedName name="IQ_INDICATED_ATTRIB_ORE_RESOURCES_ZINC" hidden="1">"c9344"</definedName>
    <definedName name="IQ_INDICATED_ORE_RESOURCES_ALUM" hidden="1">"c9224"</definedName>
    <definedName name="IQ_INDICATED_ORE_RESOURCES_COP" hidden="1">"c9168"</definedName>
    <definedName name="IQ_INDICATED_ORE_RESOURCES_DIAM" hidden="1">"c9648"</definedName>
    <definedName name="IQ_INDICATED_ORE_RESOURCES_GOLD" hidden="1">"c9009"</definedName>
    <definedName name="IQ_INDICATED_ORE_RESOURCES_IRON" hidden="1">"c9383"</definedName>
    <definedName name="IQ_INDICATED_ORE_RESOURCES_LEAD" hidden="1">"c9436"</definedName>
    <definedName name="IQ_INDICATED_ORE_RESOURCES_MANG" hidden="1">"c9489"</definedName>
    <definedName name="IQ_INDICATED_ORE_RESOURCES_MOLYB" hidden="1">"c9701"</definedName>
    <definedName name="IQ_INDICATED_ORE_RESOURCES_NICK" hidden="1">"c9277"</definedName>
    <definedName name="IQ_INDICATED_ORE_RESOURCES_PLAT" hidden="1">"c9115"</definedName>
    <definedName name="IQ_INDICATED_ORE_RESOURCES_SILVER" hidden="1">"c9062"</definedName>
    <definedName name="IQ_INDICATED_ORE_RESOURCES_TITAN" hidden="1">"c9542"</definedName>
    <definedName name="IQ_INDICATED_ORE_RESOURCES_URAN" hidden="1">"c9595"</definedName>
    <definedName name="IQ_INDICATED_ORE_RESOURCES_ZINC" hidden="1">"c9330"</definedName>
    <definedName name="IQ_INDICATED_RECOV_ATTRIB_RESOURCES_ALUM" hidden="1">"c9243"</definedName>
    <definedName name="IQ_INDICATED_RECOV_ATTRIB_RESOURCES_COAL" hidden="1">"c9817"</definedName>
    <definedName name="IQ_INDICATED_RECOV_ATTRIB_RESOURCES_COP" hidden="1">"c9187"</definedName>
    <definedName name="IQ_INDICATED_RECOV_ATTRIB_RESOURCES_DIAM" hidden="1">"c9667"</definedName>
    <definedName name="IQ_INDICATED_RECOV_ATTRIB_RESOURCES_GOLD" hidden="1">"c9028"</definedName>
    <definedName name="IQ_INDICATED_RECOV_ATTRIB_RESOURCES_IRON" hidden="1">"c9402"</definedName>
    <definedName name="IQ_INDICATED_RECOV_ATTRIB_RESOURCES_LEAD" hidden="1">"c9455"</definedName>
    <definedName name="IQ_INDICATED_RECOV_ATTRIB_RESOURCES_MANG" hidden="1">"c9508"</definedName>
    <definedName name="IQ_INDICATED_RECOV_ATTRIB_RESOURCES_MET_COAL" hidden="1">"c9757"</definedName>
    <definedName name="IQ_INDICATED_RECOV_ATTRIB_RESOURCES_MOLYB" hidden="1">"c9720"</definedName>
    <definedName name="IQ_INDICATED_RECOV_ATTRIB_RESOURCES_NICK" hidden="1">"c9296"</definedName>
    <definedName name="IQ_INDICATED_RECOV_ATTRIB_RESOURCES_PLAT" hidden="1">"c9134"</definedName>
    <definedName name="IQ_INDICATED_RECOV_ATTRIB_RESOURCES_SILVER" hidden="1">"c9081"</definedName>
    <definedName name="IQ_INDICATED_RECOV_ATTRIB_RESOURCES_STEAM" hidden="1">"c9787"</definedName>
    <definedName name="IQ_INDICATED_RECOV_ATTRIB_RESOURCES_TITAN" hidden="1">"c9561"</definedName>
    <definedName name="IQ_INDICATED_RECOV_ATTRIB_RESOURCES_URAN" hidden="1">"c9614"</definedName>
    <definedName name="IQ_INDICATED_RECOV_ATTRIB_RESOURCES_ZINC" hidden="1">"c9349"</definedName>
    <definedName name="IQ_INDICATED_RECOV_RESOURCES_ALUM" hidden="1">"c9233"</definedName>
    <definedName name="IQ_INDICATED_RECOV_RESOURCES_COAL" hidden="1">"c9812"</definedName>
    <definedName name="IQ_INDICATED_RECOV_RESOURCES_COP" hidden="1">"c9177"</definedName>
    <definedName name="IQ_INDICATED_RECOV_RESOURCES_DIAM" hidden="1">"c9657"</definedName>
    <definedName name="IQ_INDICATED_RECOV_RESOURCES_GOLD" hidden="1">"c9018"</definedName>
    <definedName name="IQ_INDICATED_RECOV_RESOURCES_IRON" hidden="1">"c9392"</definedName>
    <definedName name="IQ_INDICATED_RECOV_RESOURCES_LEAD" hidden="1">"c9445"</definedName>
    <definedName name="IQ_INDICATED_RECOV_RESOURCES_MANG" hidden="1">"c9498"</definedName>
    <definedName name="IQ_INDICATED_RECOV_RESOURCES_MET_COAL" hidden="1">"c9752"</definedName>
    <definedName name="IQ_INDICATED_RECOV_RESOURCES_MOLYB" hidden="1">"c9710"</definedName>
    <definedName name="IQ_INDICATED_RECOV_RESOURCES_NICK" hidden="1">"c9286"</definedName>
    <definedName name="IQ_INDICATED_RECOV_RESOURCES_PLAT" hidden="1">"c9124"</definedName>
    <definedName name="IQ_INDICATED_RECOV_RESOURCES_SILVER" hidden="1">"c9071"</definedName>
    <definedName name="IQ_INDICATED_RECOV_RESOURCES_STEAM" hidden="1">"c9782"</definedName>
    <definedName name="IQ_INDICATED_RECOV_RESOURCES_TITAN" hidden="1">"c9551"</definedName>
    <definedName name="IQ_INDICATED_RECOV_RESOURCES_URAN" hidden="1">"c9604"</definedName>
    <definedName name="IQ_INDICATED_RECOV_RESOURCES_ZINC" hidden="1">"c9339"</definedName>
    <definedName name="IQ_INDICATED_RESOURCES_CALORIFIC_VALUE_COAL" hidden="1">"c9807"</definedName>
    <definedName name="IQ_INDICATED_RESOURCES_CALORIFIC_VALUE_MET_COAL" hidden="1">"c9747"</definedName>
    <definedName name="IQ_INDICATED_RESOURCES_CALORIFIC_VALUE_STEAM" hidden="1">"c9777"</definedName>
    <definedName name="IQ_INDICATED_RESOURCES_GRADE_ALUM" hidden="1">"c9225"</definedName>
    <definedName name="IQ_INDICATED_RESOURCES_GRADE_COP" hidden="1">"c9169"</definedName>
    <definedName name="IQ_INDICATED_RESOURCES_GRADE_DIAM" hidden="1">"c9649"</definedName>
    <definedName name="IQ_INDICATED_RESOURCES_GRADE_GOLD" hidden="1">"c9010"</definedName>
    <definedName name="IQ_INDICATED_RESOURCES_GRADE_IRON" hidden="1">"c9384"</definedName>
    <definedName name="IQ_INDICATED_RESOURCES_GRADE_LEAD" hidden="1">"c9437"</definedName>
    <definedName name="IQ_INDICATED_RESOURCES_GRADE_MANG" hidden="1">"c9490"</definedName>
    <definedName name="IQ_INDICATED_RESOURCES_GRADE_MOLYB" hidden="1">"c9702"</definedName>
    <definedName name="IQ_INDICATED_RESOURCES_GRADE_NICK" hidden="1">"c9278"</definedName>
    <definedName name="IQ_INDICATED_RESOURCES_GRADE_PLAT" hidden="1">"c9116"</definedName>
    <definedName name="IQ_INDICATED_RESOURCES_GRADE_SILVER" hidden="1">"c9063"</definedName>
    <definedName name="IQ_INDICATED_RESOURCES_GRADE_TITAN" hidden="1">"c9543"</definedName>
    <definedName name="IQ_INDICATED_RESOURCES_GRADE_URAN" hidden="1">"c9596"</definedName>
    <definedName name="IQ_INDICATED_RESOURCES_GRADE_ZINC" hidden="1">"c9331"</definedName>
    <definedName name="IQ_INDIVIDUAL" hidden="1">"c15182"</definedName>
    <definedName name="IQ_INDIVIDUAL_ACTIVE_BOARD_MEMBERSHIPS" hidden="1">"c15201"</definedName>
    <definedName name="IQ_INDIVIDUAL_ACTIVE_PRO_AFFILIATIONS" hidden="1">"c15199"</definedName>
    <definedName name="IQ_INDIVIDUAL_AGE" hidden="1">"c15191"</definedName>
    <definedName name="IQ_INDIVIDUAL_ALL_OTHER_COMP" hidden="1">"c19040"</definedName>
    <definedName name="IQ_INDIVIDUAL_ANNUAL_CASH_COMP" hidden="1">"c19041"</definedName>
    <definedName name="IQ_INDIVIDUAL_AS_REPORTED_COMP" hidden="1">"c19045"</definedName>
    <definedName name="IQ_INDIVIDUAL_AS_REPORTED_DIRECTOR_COMP" hidden="1">"c19057"</definedName>
    <definedName name="IQ_INDIVIDUAL_ASSISTANT_EMAIL" hidden="1">"c15206"</definedName>
    <definedName name="IQ_INDIVIDUAL_ASSISTANT_FAX" hidden="1">"c15208"</definedName>
    <definedName name="IQ_INDIVIDUAL_ASSISTANT_NAME" hidden="1">"c15205"</definedName>
    <definedName name="IQ_INDIVIDUAL_ASSISTANT_PHONE" hidden="1">"c15207"</definedName>
    <definedName name="IQ_INDIVIDUAL_BACKGROUND" hidden="1">"c15184"</definedName>
    <definedName name="IQ_INDIVIDUAL_BONUS" hidden="1">"c19036"</definedName>
    <definedName name="IQ_INDIVIDUAL_CALCULATED_COMP" hidden="1">"c19043"</definedName>
    <definedName name="IQ_INDIVIDUAL_CHANGE_PENSION" hidden="1">"c19058"</definedName>
    <definedName name="IQ_INDIVIDUAL_DIRECT_FAX" hidden="1">"c15189"</definedName>
    <definedName name="IQ_INDIVIDUAL_DIRECT_PHONE" hidden="1">"c15188"</definedName>
    <definedName name="IQ_INDIVIDUAL_DIRECTOR_BONUS" hidden="1">"c19052"</definedName>
    <definedName name="IQ_INDIVIDUAL_DIRECTOR_CHANGE_PENSION" hidden="1">"c19053"</definedName>
    <definedName name="IQ_INDIVIDUAL_DIRECTOR_FEE" hidden="1">"c19049"</definedName>
    <definedName name="IQ_INDIVIDUAL_DIRECTOR_NON_EQUITY_COMP" hidden="1">"c19054"</definedName>
    <definedName name="IQ_INDIVIDUAL_DIRECTOR_OPTION_AWARDS" hidden="1">"c19050"</definedName>
    <definedName name="IQ_INDIVIDUAL_DIRECTOR_OTHER" hidden="1">"c19051"</definedName>
    <definedName name="IQ_INDIVIDUAL_DIRECTOR_STOCK_AWARDS" hidden="1">"c19055"</definedName>
    <definedName name="IQ_INDIVIDUAL_DIRECTOR_STOCK_GRANTS" hidden="1">"c19082"</definedName>
    <definedName name="IQ_INDIVIDUAL_DIRECTOR_STOCK_OPTIONS" hidden="1">"c19056"</definedName>
    <definedName name="IQ_INDIVIDUAL_EDUCATION" hidden="1">"c15203"</definedName>
    <definedName name="IQ_INDIVIDUAL_EMAIL" hidden="1">"c15193"</definedName>
    <definedName name="IQ_INDIVIDUAL_EQUITY_INCENTIVE" hidden="1">"c19078"</definedName>
    <definedName name="IQ_INDIVIDUAL_EST_PAYMENTS_CHANGE_CONTROL" hidden="1">"c19047"</definedName>
    <definedName name="IQ_INDIVIDUAL_EST_PAYMENTS_TERMINATION" hidden="1">"c19059"</definedName>
    <definedName name="IQ_INDIVIDUAL_EXERCISABLE_OPTIONS" hidden="1">"c19062"</definedName>
    <definedName name="IQ_INDIVIDUAL_EXERCISABLE_VALUES" hidden="1">"c19063"</definedName>
    <definedName name="IQ_INDIVIDUAL_EXERCISED_OPTIONS" hidden="1">"c19060"</definedName>
    <definedName name="IQ_INDIVIDUAL_EXERCISED_VALUES" hidden="1">"c19061"</definedName>
    <definedName name="IQ_INDIVIDUAL_FAMILY_LOAN_DOM_QUARTERLY_AVG_FFIEC" hidden="1">"c15479"</definedName>
    <definedName name="IQ_INDIVIDUAL_HOME_ADDRESS" hidden="1">"c15194"</definedName>
    <definedName name="IQ_INDIVIDUAL_HOME_FAX" hidden="1">"c15196"</definedName>
    <definedName name="IQ_INDIVIDUAL_HOME_PHONE" hidden="1">"c15195"</definedName>
    <definedName name="IQ_INDIVIDUAL_LT_INCENTIVE" hidden="1">"c19039"</definedName>
    <definedName name="IQ_INDIVIDUAL_MAIN_FAX" hidden="1">"c15187"</definedName>
    <definedName name="IQ_INDIVIDUAL_MAIN_PHONE" hidden="1">"c15186"</definedName>
    <definedName name="IQ_INDIVIDUAL_MARKET_VALUE_SHARES_NOT_VESTED" hidden="1">"c19077"</definedName>
    <definedName name="IQ_INDIVIDUAL_MOBILE" hidden="1">"c15198"</definedName>
    <definedName name="IQ_INDIVIDUAL_NICKNAME" hidden="1">"c15192"</definedName>
    <definedName name="IQ_INDIVIDUAL_NON_EQUITY_INCENTIVE" hidden="1">"c19048"</definedName>
    <definedName name="IQ_INDIVIDUAL_NOTES" hidden="1">"c15204"</definedName>
    <definedName name="IQ_INDIVIDUAL_NUM_SHARED_NOT_VESTED" hidden="1">"c19076"</definedName>
    <definedName name="IQ_INDIVIDUAL_NUM_SHARES_ACQUIRED" hidden="1">"c19074"</definedName>
    <definedName name="IQ_INDIVIDUAL_OFFICE_ADDRESS" hidden="1">"c15185"</definedName>
    <definedName name="IQ_INDIVIDUAL_OPTION_AWARDS" hidden="1">"c19044"</definedName>
    <definedName name="IQ_INDIVIDUAL_OPTION_MARKET_PRICE" hidden="1">"c19073"</definedName>
    <definedName name="IQ_INDIVIDUAL_OPTION_PRICE" hidden="1">"c19072"</definedName>
    <definedName name="IQ_INDIVIDUAL_OTHER_ANNUAL_COMP" hidden="1">"c19037"</definedName>
    <definedName name="IQ_INDIVIDUAL_OTHER_COMP" hidden="1">"c19046"</definedName>
    <definedName name="IQ_INDIVIDUAL_OTHER_PHONE" hidden="1">"c15197"</definedName>
    <definedName name="IQ_INDIVIDUAL_PARTNER_CORP_NON_TRANS_ACCTS_FFIEC" hidden="1">"c15322"</definedName>
    <definedName name="IQ_INDIVIDUAL_PARTNER_CORP_TRANS_ACCTS_FFIEC" hidden="1">"c15314"</definedName>
    <definedName name="IQ_INDIVIDUAL_PARTNER_CORPS_FOREIGN_DEP_FFIEC" hidden="1">"c15342"</definedName>
    <definedName name="IQ_INDIVIDUAL_PRIOR_BOARD_MEMBERSHIPS" hidden="1">"c15202"</definedName>
    <definedName name="IQ_INDIVIDUAL_PRIOR_PRO_AFFILIATIONS" hidden="1">"c15200"</definedName>
    <definedName name="IQ_INDIVIDUAL_RESTRICTED_STOCK_COMP" hidden="1">"c19038"</definedName>
    <definedName name="IQ_INDIVIDUAL_SALARY" hidden="1">"c19035"</definedName>
    <definedName name="IQ_INDIVIDUAL_SPECIALTY" hidden="1">"c15190"</definedName>
    <definedName name="IQ_INDIVIDUAL_ST_COMP" hidden="1">"c19042"</definedName>
    <definedName name="IQ_INDIVIDUAL_TITLE" hidden="1">"c15183"</definedName>
    <definedName name="IQ_INDIVIDUAL_TOTAL_NUM_STOCK_AWARDS" hidden="1">"c19081"</definedName>
    <definedName name="IQ_INDIVIDUAL_TOTAL_OPTIONS" hidden="1">"c19070"</definedName>
    <definedName name="IQ_INDIVIDUAL_TOTAL_STOCK_VALUE" hidden="1">"c19080"</definedName>
    <definedName name="IQ_INDIVIDUAL_TOTAL_VALUE_OPTIONS" hidden="1">"c19071"</definedName>
    <definedName name="IQ_INDIVIDUAL_UNCLASSIFIED_OPTIONS" hidden="1">"c19066"</definedName>
    <definedName name="IQ_INDIVIDUAL_UNCLASSIFIED_OPTIONS_VALUE" hidden="1">"c19067"</definedName>
    <definedName name="IQ_INDIVIDUAL_UNEARNED_STOCK_VALUE" hidden="1">"c19079"</definedName>
    <definedName name="IQ_INDIVIDUAL_UNEXERCISABLE_OPTIONS" hidden="1">"c19064"</definedName>
    <definedName name="IQ_INDIVIDUAL_UNEXERCISABLE_VALUES" hidden="1">"c19065"</definedName>
    <definedName name="IQ_INDIVIDUAL_UNEXERCISED_UNEARNED_OPTIONS" hidden="1">"c19068"</definedName>
    <definedName name="IQ_INDIVIDUAL_UNEXERCISED_UNEARNED_OPTIONS_VALUE" hidden="1">"c19069"</definedName>
    <definedName name="IQ_INDIVIDUAL_VALUE_VESTING" hidden="1">"c19075"</definedName>
    <definedName name="IQ_INDIVIDUALS_CHARGE_OFFS_FDIC" hidden="1">"c6599"</definedName>
    <definedName name="IQ_INDIVIDUALS_GROSS_LOANS_FFIEC" hidden="1">"c13411"</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IVIDUALS_RISK_BASED_FFIEC" hidden="1">"c13432"</definedName>
    <definedName name="IQ_INDUSTRIAL_AUTO_SALES_DOMESTIC" hidden="1">"c20767"</definedName>
    <definedName name="IQ_INDUSTRIAL_AUTO_SALES_FOREIGN" hidden="1">"c20768"</definedName>
    <definedName name="IQ_INDUSTRIAL_AUTO_SALES_TOTAL" hidden="1">"c20769"</definedName>
    <definedName name="IQ_INDUSTRIAL_CAPACITY_UTILIZATION" hidden="1">"c20770"</definedName>
    <definedName name="IQ_INDUSTRIAL_IPI" hidden="1">"c20771"</definedName>
    <definedName name="IQ_INDUSTRIAL_MV_ASSEMBLIES_AUTO" hidden="1">"c20772"</definedName>
    <definedName name="IQ_INDUSTRIAL_MV_ASSEMBLIES_TOTAL" hidden="1">"c20773"</definedName>
    <definedName name="IQ_INDUSTRIAL_MV_ASSEMBLIES_TRUCKS" hidden="1">"c20774"</definedName>
    <definedName name="IQ_INDUSTRIAL_MV_ASSEMBLIES_TRUCKS_HEAVY" hidden="1">"c20775"</definedName>
    <definedName name="IQ_INDUSTRIAL_MV_ASSEMBLIES_TRUCKS_LIGHT" hidden="1">"c20776"</definedName>
    <definedName name="IQ_INDUSTRIAL_PROD" hidden="1">"c6895"</definedName>
    <definedName name="IQ_INDUSTRIAL_PROD_APR" hidden="1">"c7555"</definedName>
    <definedName name="IQ_INDUSTRIAL_PROD_APR_FC" hidden="1">"c8435"</definedName>
    <definedName name="IQ_INDUSTRIAL_PROD_FC" hidden="1">"c7775"</definedName>
    <definedName name="IQ_INDUSTRIAL_PROD_POP" hidden="1">"c7115"</definedName>
    <definedName name="IQ_INDUSTRIAL_PROD_POP_FC" hidden="1">"c7995"</definedName>
    <definedName name="IQ_INDUSTRIAL_PROD_YOY" hidden="1">"c7335"</definedName>
    <definedName name="IQ_INDUSTRIAL_PROD_YOY_FC" hidden="1">"c8215"</definedName>
    <definedName name="IQ_INDUSTRY" hidden="1">"c3601"</definedName>
    <definedName name="IQ_INDUSTRY_GROUP" hidden="1">"c3602"</definedName>
    <definedName name="IQ_INDUSTRY_NAV_SHARE_EST" hidden="1">"c18117"</definedName>
    <definedName name="IQ_INDUSTRY_NAV_SHARE_EST_CIQ" hidden="1">"c18185"</definedName>
    <definedName name="IQ_INDUSTRY_NAV_SHARE_EST_NOTE" hidden="1">"c18238"</definedName>
    <definedName name="IQ_INDUSTRY_NAV_SHARE_EST_NOTE_CIQ" hidden="1">"c18245"</definedName>
    <definedName name="IQ_INDUSTRY_NAV_SHARE_HIGH_EST" hidden="1">"c18137"</definedName>
    <definedName name="IQ_INDUSTRY_NAV_SHARE_HIGH_EST_CIQ" hidden="1">"c18199"</definedName>
    <definedName name="IQ_INDUSTRY_NAV_SHARE_LOW_EST" hidden="1">"c18147"</definedName>
    <definedName name="IQ_INDUSTRY_NAV_SHARE_LOW_EST_CIQ" hidden="1">"c18206"</definedName>
    <definedName name="IQ_INDUSTRY_NAV_SHARE_MEDIAN_EST" hidden="1">"c18127"</definedName>
    <definedName name="IQ_INDUSTRY_NAV_SHARE_MEDIAN_EST_CIQ" hidden="1">"c18192"</definedName>
    <definedName name="IQ_INDUSTRY_NAV_SHARE_NUM_EST" hidden="1">"c18167"</definedName>
    <definedName name="IQ_INDUSTRY_NAV_SHARE_NUM_EST_CIQ" hidden="1">"c18220"</definedName>
    <definedName name="IQ_INDUSTRY_NAV_SHARE_STDDEV_EST" hidden="1">"c18157"</definedName>
    <definedName name="IQ_INDUSTRY_NAV_SHARE_STDDEV_EST_CIQ" hidden="1">"c18213"</definedName>
    <definedName name="IQ_INDUSTRY_SECTOR" hidden="1">"c3603"</definedName>
    <definedName name="IQ_INFERRED_ATTRIB_ORE_RESOURCES_ALUM" hidden="1">"c9240"</definedName>
    <definedName name="IQ_INFERRED_ATTRIB_ORE_RESOURCES_COP" hidden="1">"c9184"</definedName>
    <definedName name="IQ_INFERRED_ATTRIB_ORE_RESOURCES_DIAM" hidden="1">"c9664"</definedName>
    <definedName name="IQ_INFERRED_ATTRIB_ORE_RESOURCES_GOLD" hidden="1">"c9025"</definedName>
    <definedName name="IQ_INFERRED_ATTRIB_ORE_RESOURCES_IRON" hidden="1">"c9399"</definedName>
    <definedName name="IQ_INFERRED_ATTRIB_ORE_RESOURCES_LEAD" hidden="1">"c9452"</definedName>
    <definedName name="IQ_INFERRED_ATTRIB_ORE_RESOURCES_MANG" hidden="1">"c9505"</definedName>
    <definedName name="IQ_INFERRED_ATTRIB_ORE_RESOURCES_MOLYB" hidden="1">"c9717"</definedName>
    <definedName name="IQ_INFERRED_ATTRIB_ORE_RESOURCES_NICK" hidden="1">"c9293"</definedName>
    <definedName name="IQ_INFERRED_ATTRIB_ORE_RESOURCES_PLAT" hidden="1">"c9131"</definedName>
    <definedName name="IQ_INFERRED_ATTRIB_ORE_RESOURCES_SILVER" hidden="1">"c9078"</definedName>
    <definedName name="IQ_INFERRED_ATTRIB_ORE_RESOURCES_TITAN" hidden="1">"c9558"</definedName>
    <definedName name="IQ_INFERRED_ATTRIB_ORE_RESOURCES_URAN" hidden="1">"c9611"</definedName>
    <definedName name="IQ_INFERRED_ATTRIB_ORE_RESOURCES_ZINC" hidden="1">"c9346"</definedName>
    <definedName name="IQ_INFERRED_ORE_RESOURCES_ALUM" hidden="1">"c9228"</definedName>
    <definedName name="IQ_INFERRED_ORE_RESOURCES_COP" hidden="1">"c9172"</definedName>
    <definedName name="IQ_INFERRED_ORE_RESOURCES_DIAM" hidden="1">"c9652"</definedName>
    <definedName name="IQ_INFERRED_ORE_RESOURCES_GOLD" hidden="1">"c9013"</definedName>
    <definedName name="IQ_INFERRED_ORE_RESOURCES_IRON" hidden="1">"c9387"</definedName>
    <definedName name="IQ_INFERRED_ORE_RESOURCES_LEAD" hidden="1">"c9440"</definedName>
    <definedName name="IQ_INFERRED_ORE_RESOURCES_MANG" hidden="1">"c9493"</definedName>
    <definedName name="IQ_INFERRED_ORE_RESOURCES_MOLYB" hidden="1">"c9705"</definedName>
    <definedName name="IQ_INFERRED_ORE_RESOURCES_NICK" hidden="1">"c9281"</definedName>
    <definedName name="IQ_INFERRED_ORE_RESOURCES_PLAT" hidden="1">"c9119"</definedName>
    <definedName name="IQ_INFERRED_ORE_RESOURCES_SILVER" hidden="1">"c9066"</definedName>
    <definedName name="IQ_INFERRED_ORE_RESOURCES_TITAN" hidden="1">"c9546"</definedName>
    <definedName name="IQ_INFERRED_ORE_RESOURCES_URAN" hidden="1">"c9599"</definedName>
    <definedName name="IQ_INFERRED_ORE_RESOURCES_ZINC" hidden="1">"c9334"</definedName>
    <definedName name="IQ_INFERRED_RECOV_ATTRIB_RESOURCES_ALUM" hidden="1">"c9245"</definedName>
    <definedName name="IQ_INFERRED_RECOV_ATTRIB_RESOURCES_COAL" hidden="1">"c9819"</definedName>
    <definedName name="IQ_INFERRED_RECOV_ATTRIB_RESOURCES_COP" hidden="1">"c9189"</definedName>
    <definedName name="IQ_INFERRED_RECOV_ATTRIB_RESOURCES_DIAM" hidden="1">"c9669"</definedName>
    <definedName name="IQ_INFERRED_RECOV_ATTRIB_RESOURCES_GOLD" hidden="1">"c9030"</definedName>
    <definedName name="IQ_INFERRED_RECOV_ATTRIB_RESOURCES_IRON" hidden="1">"c9404"</definedName>
    <definedName name="IQ_INFERRED_RECOV_ATTRIB_RESOURCES_LEAD" hidden="1">"c9457"</definedName>
    <definedName name="IQ_INFERRED_RECOV_ATTRIB_RESOURCES_MANG" hidden="1">"c9510"</definedName>
    <definedName name="IQ_INFERRED_RECOV_ATTRIB_RESOURCES_MET_COAL" hidden="1">"c9759"</definedName>
    <definedName name="IQ_INFERRED_RECOV_ATTRIB_RESOURCES_MOLYB" hidden="1">"c9722"</definedName>
    <definedName name="IQ_INFERRED_RECOV_ATTRIB_RESOURCES_NICK" hidden="1">"c9298"</definedName>
    <definedName name="IQ_INFERRED_RECOV_ATTRIB_RESOURCES_PLAT" hidden="1">"c9136"</definedName>
    <definedName name="IQ_INFERRED_RECOV_ATTRIB_RESOURCES_SILVER" hidden="1">"c9083"</definedName>
    <definedName name="IQ_INFERRED_RECOV_ATTRIB_RESOURCES_STEAM" hidden="1">"c9789"</definedName>
    <definedName name="IQ_INFERRED_RECOV_ATTRIB_RESOURCES_TITAN" hidden="1">"c9563"</definedName>
    <definedName name="IQ_INFERRED_RECOV_ATTRIB_RESOURCES_URAN" hidden="1">"c9616"</definedName>
    <definedName name="IQ_INFERRED_RECOV_ATTRIB_RESOURCES_ZINC" hidden="1">"c9351"</definedName>
    <definedName name="IQ_INFERRED_RECOV_RESOURCES_ALUM" hidden="1">"c9235"</definedName>
    <definedName name="IQ_INFERRED_RECOV_RESOURCES_COAL" hidden="1">"c9814"</definedName>
    <definedName name="IQ_INFERRED_RECOV_RESOURCES_COP" hidden="1">"c9179"</definedName>
    <definedName name="IQ_INFERRED_RECOV_RESOURCES_DIAM" hidden="1">"c9659"</definedName>
    <definedName name="IQ_INFERRED_RECOV_RESOURCES_GOLD" hidden="1">"c9020"</definedName>
    <definedName name="IQ_INFERRED_RECOV_RESOURCES_IRON" hidden="1">"c9394"</definedName>
    <definedName name="IQ_INFERRED_RECOV_RESOURCES_LEAD" hidden="1">"c9447"</definedName>
    <definedName name="IQ_INFERRED_RECOV_RESOURCES_MANG" hidden="1">"c9500"</definedName>
    <definedName name="IQ_INFERRED_RECOV_RESOURCES_MET_COAL" hidden="1">"c9754"</definedName>
    <definedName name="IQ_INFERRED_RECOV_RESOURCES_MOLYB" hidden="1">"c9712"</definedName>
    <definedName name="IQ_INFERRED_RECOV_RESOURCES_NICK" hidden="1">"c9288"</definedName>
    <definedName name="IQ_INFERRED_RECOV_RESOURCES_PLAT" hidden="1">"c9126"</definedName>
    <definedName name="IQ_INFERRED_RECOV_RESOURCES_SILVER" hidden="1">"c9073"</definedName>
    <definedName name="IQ_INFERRED_RECOV_RESOURCES_STEAM" hidden="1">"c9784"</definedName>
    <definedName name="IQ_INFERRED_RECOV_RESOURCES_TITAN" hidden="1">"c9553"</definedName>
    <definedName name="IQ_INFERRED_RECOV_RESOURCES_URAN" hidden="1">"c9606"</definedName>
    <definedName name="IQ_INFERRED_RECOV_RESOURCES_ZINC" hidden="1">"c9341"</definedName>
    <definedName name="IQ_INFERRED_RESOURCES_CALORIFIC_VALUE_COAL" hidden="1">"c9809"</definedName>
    <definedName name="IQ_INFERRED_RESOURCES_CALORIFIC_VALUE_MET_COAL" hidden="1">"c9749"</definedName>
    <definedName name="IQ_INFERRED_RESOURCES_CALORIFIC_VALUE_STEAM" hidden="1">"c9779"</definedName>
    <definedName name="IQ_INFERRED_RESOURCES_GRADE_ALUM" hidden="1">"c9229"</definedName>
    <definedName name="IQ_INFERRED_RESOURCES_GRADE_COP" hidden="1">"c9173"</definedName>
    <definedName name="IQ_INFERRED_RESOURCES_GRADE_DIAM" hidden="1">"c9653"</definedName>
    <definedName name="IQ_INFERRED_RESOURCES_GRADE_GOLD" hidden="1">"c9014"</definedName>
    <definedName name="IQ_INFERRED_RESOURCES_GRADE_IRON" hidden="1">"c9388"</definedName>
    <definedName name="IQ_INFERRED_RESOURCES_GRADE_LEAD" hidden="1">"c9441"</definedName>
    <definedName name="IQ_INFERRED_RESOURCES_GRADE_MANG" hidden="1">"c9494"</definedName>
    <definedName name="IQ_INFERRED_RESOURCES_GRADE_MOLYB" hidden="1">"c9706"</definedName>
    <definedName name="IQ_INFERRED_RESOURCES_GRADE_NICK" hidden="1">"c9282"</definedName>
    <definedName name="IQ_INFERRED_RESOURCES_GRADE_PLAT" hidden="1">"c9120"</definedName>
    <definedName name="IQ_INFERRED_RESOURCES_GRADE_SILVER" hidden="1">"c9067"</definedName>
    <definedName name="IQ_INFERRED_RESOURCES_GRADE_TITAN" hidden="1">"c9547"</definedName>
    <definedName name="IQ_INFERRED_RESOURCES_GRADE_URAN" hidden="1">"c9600"</definedName>
    <definedName name="IQ_INFERRED_RESOURCES_GRADE_ZINC" hidden="1">"c9335"</definedName>
    <definedName name="IQ_INFLATION_CPI_APPAREL" hidden="1">"c20777"</definedName>
    <definedName name="IQ_INFLATION_CPI_EDUCATION" hidden="1">"c20778"</definedName>
    <definedName name="IQ_INFLATION_CPI_FOOD" hidden="1">"c20779"</definedName>
    <definedName name="IQ_INFLATION_CPI_HOUSING" hidden="1">"c20780"</definedName>
    <definedName name="IQ_INFLATION_CPI_MEDICAL" hidden="1">"c20781"</definedName>
    <definedName name="IQ_INFLATION_CPI_OTHER" hidden="1">"c20782"</definedName>
    <definedName name="IQ_INFLATION_CPI_RECREATION" hidden="1">"c20783"</definedName>
    <definedName name="IQ_INFLATION_CPI_TRANSPORTATION" hidden="1">"c20784"</definedName>
    <definedName name="IQ_INFLATION_CPI_TRANSPORTATION_PUBLIC" hidden="1">"c20785"</definedName>
    <definedName name="IQ_INFLATION_CPI_URBAN_ALL" hidden="1">"c20786"</definedName>
    <definedName name="IQ_INFLATION_PPI_FINISHED_GOODS" hidden="1">"c20787"</definedName>
    <definedName name="IQ_INFLATION_PPI_FINISHED_GOODS_EX_FOOD_ENERGY" hidden="1">"c20788"</definedName>
    <definedName name="IQ_INFLATION_RATE" hidden="1">"c6899"</definedName>
    <definedName name="IQ_INFLATION_RATE_CORE" hidden="1">"c11783"</definedName>
    <definedName name="IQ_INFLATION_RATE_CORE_POP" hidden="1">"c11784"</definedName>
    <definedName name="IQ_INFLATION_RATE_CORE_YOY" hidden="1">"c11785"</definedName>
    <definedName name="IQ_INFLATION_RATE_FC" hidden="1">"c7779"</definedName>
    <definedName name="IQ_INFLATION_RATE_POP" hidden="1">"c7119"</definedName>
    <definedName name="IQ_INFLATION_RATE_POP_FC" hidden="1">"c7999"</definedName>
    <definedName name="IQ_INFLATION_RATE_YOY" hidden="1">"c7339"</definedName>
    <definedName name="IQ_INFLATION_RATE_YOY_FC" hidden="1">"c8219"</definedName>
    <definedName name="IQ_INITIAL_CLAIMS" hidden="1">"c6900"</definedName>
    <definedName name="IQ_INITIAL_CLAIMS_APR" hidden="1">"c7560"</definedName>
    <definedName name="IQ_INITIAL_CLAIMS_APR_FC" hidden="1">"c8440"</definedName>
    <definedName name="IQ_INITIAL_CLAIMS_FC" hidden="1">"c7780"</definedName>
    <definedName name="IQ_INITIAL_CLAIMS_POP" hidden="1">"c7120"</definedName>
    <definedName name="IQ_INITIAL_CLAIMS_POP_FC" hidden="1">"c8000"</definedName>
    <definedName name="IQ_INITIAL_TRANSACTION" hidden="1">"c18885"</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CM"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SUPPLE" hidden="1">"c13814"</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CIQID" hidden="1">"c19101"</definedName>
    <definedName name="IQ_INSIDER_DERIVATIVES" hidden="1">"c19102"</definedName>
    <definedName name="IQ_INSIDER_LOANS_FDIC" hidden="1">"c6365"</definedName>
    <definedName name="IQ_INSIDER_NAME" hidden="1">"c19100"</definedName>
    <definedName name="IQ_INSIDER_OVER_TOTAL" hidden="1">"c1581"</definedName>
    <definedName name="IQ_INSIDER_OWNER" hidden="1">"c577"</definedName>
    <definedName name="IQ_INSIDER_PERCENT" hidden="1">"c578"</definedName>
    <definedName name="IQ_INSIDER_POSITION_DATE" hidden="1">"c19104"</definedName>
    <definedName name="IQ_INSIDER_SHARES" hidden="1">"c579"</definedName>
    <definedName name="IQ_INSIDER_VALUE" hidden="1">"c19103"</definedName>
    <definedName name="IQ_INST_DEPOSITS" hidden="1">"c89"</definedName>
    <definedName name="IQ_INSTITUTION_TYPE" hidden="1">"c24730"</definedName>
    <definedName name="IQ_INSTITUTIONAL_CIQID" hidden="1">"c19106"</definedName>
    <definedName name="IQ_INSTITUTIONAL_DERIVATIVES" hidden="1">"c19107"</definedName>
    <definedName name="IQ_INSTITUTIONAL_NAME" hidden="1">"c19105"</definedName>
    <definedName name="IQ_INSTITUTIONAL_OVER_TOTAL" hidden="1">"c1580"</definedName>
    <definedName name="IQ_INSTITUTIONAL_OWNER" hidden="1">"c580"</definedName>
    <definedName name="IQ_INSTITUTIONAL_PERCENT" hidden="1">"c581"</definedName>
    <definedName name="IQ_INSTITUTIONAL_POSITION_DATE" hidden="1">"c19109"</definedName>
    <definedName name="IQ_INSTITUTIONAL_SHARES" hidden="1">"c582"</definedName>
    <definedName name="IQ_INSTITUTIONAL_VALUE" hidden="1">"c19108"</definedName>
    <definedName name="IQ_INSTITUTIONS_EARNINGS_GAINS_FDIC" hidden="1">"c6723"</definedName>
    <definedName name="IQ_INSUR_RECEIV" hidden="1">"c1600"</definedName>
    <definedName name="IQ_INSURANCE_COMMISSION_FEES_FDIC" hidden="1">"c6670"</definedName>
    <definedName name="IQ_INSURANCE_REINSURANCE_UNDERWRITING_INCOME_FFIEC" hidden="1">"c13008"</definedName>
    <definedName name="IQ_INSURANCE_REV_OPERATING_INC_FFIEC" hidden="1">"c13387"</definedName>
    <definedName name="IQ_INSURANCE_UNDERWRITING_INCOME_FDIC" hidden="1">"c6671"</definedName>
    <definedName name="IQ_INSURED_GUARANTEED_AGENCY_US_SPONSORED_ENTERPRISE_THRIFT" hidden="1">"c24830"</definedName>
    <definedName name="IQ_INT_ADVANCES_FHLB_THRIFT" hidden="1">"c24759"</definedName>
    <definedName name="IQ_INT_BEARING_DEPOSITS" hidden="1">"c1166"</definedName>
    <definedName name="IQ_INT_BEARING_FUNDS_AVG_ASSETS_FFIEC" hidden="1">"c13355"</definedName>
    <definedName name="IQ_INT_BEARING_LIABILITIES_REPRICE_ASSETS_TOT_FFIEC" hidden="1">"c13452"</definedName>
    <definedName name="IQ_INT_BORROW" hidden="1">"c583"</definedName>
    <definedName name="IQ_INT_COMM_LOANS_LEASES_THRIFT" hidden="1">"c24748"</definedName>
    <definedName name="IQ_INT_CONSUMER_LOANS_LEASES_THRIFT" hidden="1">"c24749"</definedName>
    <definedName name="IQ_INT_DEMAND_NOTES_FDIC" hidden="1">"c6567"</definedName>
    <definedName name="IQ_INT_DEPOSITS" hidden="1">"c584"</definedName>
    <definedName name="IQ_INT_DEPOSITS_DOM_FFIEC" hidden="1">"c12852"</definedName>
    <definedName name="IQ_INT_DEPOSITS_DOM_QUARTERLY_AVG_FFIEC" hidden="1">"c13088"</definedName>
    <definedName name="IQ_INT_DEPOSITS_FOREIGN_FFIEC" hidden="1">"c12855"</definedName>
    <definedName name="IQ_INT_DEPOSITS_FOREIGN_QUARTERLY_AVG_FFIEC" hidden="1">"c13089"</definedName>
    <definedName name="IQ_INT_DEPOSITS_INV_SEC_THRIFT" hidden="1">"c24745"</definedName>
    <definedName name="IQ_INT_DEPOSITS_THRIFT" hidden="1">"c24757"</definedName>
    <definedName name="IQ_INT_DIV_INC" hidden="1">"c585"</definedName>
    <definedName name="IQ_INT_DIV_INC_MBS_FFIEC" hidden="1">"c12984"</definedName>
    <definedName name="IQ_INT_DIV_INC_SECURITIES_FFIEC" hidden="1">"c12982"</definedName>
    <definedName name="IQ_INT_DIV_INC_SECURITIES_OTHER_FFIEC" hidden="1">"c12985"</definedName>
    <definedName name="IQ_INT_DIV_INC_TREASURY_SECURITIES_FFIEC" hidden="1">"c12983"</definedName>
    <definedName name="IQ_INT_DOMESTIC_DEPOSITS_FDIC" hidden="1">"c6564"</definedName>
    <definedName name="IQ_INT_EARNING_DEPOSITS_FHLBS_THRIFT" hidden="1">"c24819"</definedName>
    <definedName name="IQ_INT_ESCROWS_THRIFT" hidden="1">"c24758"</definedName>
    <definedName name="IQ_INT_EXP_AVG_ASSETS_FFIEC" hidden="1">"c13357"</definedName>
    <definedName name="IQ_INT_EXP_AVG_ASSETS_THRIFT" hidden="1">"c25648"</definedName>
    <definedName name="IQ_INT_EXP_AVG_EARNING_ASSETS_THRIFT" hidden="1">"c25667"</definedName>
    <definedName name="IQ_INT_EXP_BR" hidden="1">"c586"</definedName>
    <definedName name="IQ_INT_EXP_CM" hidden="1">"c586"</definedName>
    <definedName name="IQ_INT_EXP_COVERAGE" hidden="1">"c587"</definedName>
    <definedName name="IQ_INT_EXP_EARNING_ASSETS_FFIEC" hidden="1">"c13376"</definedName>
    <definedName name="IQ_INT_EXP_FED_FUNDS_PURCHASED_FFIEC" hidden="1">"c12996"</definedName>
    <definedName name="IQ_INT_EXP_FIN" hidden="1">"c588"</definedName>
    <definedName name="IQ_INT_EXP_FULLY_INSURED_BROKERED_DEPOSITS_THRIFT" hidden="1">"c24982"</definedName>
    <definedName name="IQ_INT_EXP_INCL_CAP" hidden="1">"c2988"</definedName>
    <definedName name="IQ_INT_EXP_INS" hidden="1">"c589"</definedName>
    <definedName name="IQ_INT_EXP_LTD" hidden="1">"c2086"</definedName>
    <definedName name="IQ_INT_EXP_OTHER_BROKERED_DEPOSITS_THRIFT" hidden="1">"c24983"</definedName>
    <definedName name="IQ_INT_EXP_RE" hidden="1">"c6224"</definedName>
    <definedName name="IQ_INT_EXP_REIT" hidden="1">"c590"</definedName>
    <definedName name="IQ_INT_EXP_TOTAL" hidden="1">"c591"</definedName>
    <definedName name="IQ_INT_EXP_TOTAL_BNK_SUBTOTAL_AP" hidden="1">"c8977"</definedName>
    <definedName name="IQ_INT_EXP_TOTAL_FDIC" hidden="1">"c6569"</definedName>
    <definedName name="IQ_INT_EXP_UTI" hidden="1">"c592"</definedName>
    <definedName name="IQ_INT_EXPENSE_AVG_ASSET" hidden="1">"c15705"</definedName>
    <definedName name="IQ_INT_FED_FUNDS_FDIC" hidden="1">"c6566"</definedName>
    <definedName name="IQ_INT_FEE_INC_ACCEPTANCE_OTHER_BANKS_DOM_FFIEC" hidden="1">"c15357"</definedName>
    <definedName name="IQ_INT_FEE_INC_AGRICULTURE_LOANS_FARMERS_DOM_FFIEC" hidden="1">"c15355"</definedName>
    <definedName name="IQ_INT_FEE_INC_COMM_IND_LOANS_DOM_FFIEC" hidden="1">"c15356"</definedName>
    <definedName name="IQ_INT_FEE_INC_CREDIT_CARDS_DOM_FFIEC" hidden="1">"c15358"</definedName>
    <definedName name="IQ_INT_FEE_INC_DEPOSITORY_LOANS_DOM_FFIEC" hidden="1">"c15354"</definedName>
    <definedName name="IQ_INT_FEE_INC_FOREIGN_GOVT_LOANS_DOM_FFIEC" hidden="1">"c15360"</definedName>
    <definedName name="IQ_INT_FEE_INC_INDIVIDUAL_LOANS_DOM_FFIEC" hidden="1">"c15359"</definedName>
    <definedName name="IQ_INT_FEE_INC_LOANS_1_4_DOM_FFIEC" hidden="1">"c12976"</definedName>
    <definedName name="IQ_INT_FEE_INC_LOANS_DOM_FFIEC" hidden="1">"c13335"</definedName>
    <definedName name="IQ_INT_FEE_INC_LOANS_FOREIGN_FFIEC" hidden="1">"c12979"</definedName>
    <definedName name="IQ_INT_FEE_INC_LOANS_OTHER_DOM_FFIEC" hidden="1">"c12978"</definedName>
    <definedName name="IQ_INT_FEE_INC_RE_LOANS_DOM_FFIEC" hidden="1">"c15353"</definedName>
    <definedName name="IQ_INT_FEE_INC_SECURED_RE_DOM_FFIEC" hidden="1">"c12977"</definedName>
    <definedName name="IQ_INT_FEE_INC_TAX_EXEMPT_OBLIGATIONS_DOM_FFIEC" hidden="1">"c15362"</definedName>
    <definedName name="IQ_INT_FEE_INC_TAXABLE_OBLIGATIONS_DOM_FFIEC" hidden="1">"c15361"</definedName>
    <definedName name="IQ_INT_FEE_INCOME_FFIEC" hidden="1">"c12974"</definedName>
    <definedName name="IQ_INT_FOREIGN_DEPOSITS_FDIC" hidden="1">"c6565"</definedName>
    <definedName name="IQ_INT_INC_AVG_ASSETS_FFIEC" hidden="1">"c13356"</definedName>
    <definedName name="IQ_INT_INC_BR" hidden="1">"c593"</definedName>
    <definedName name="IQ_INT_INC_CM" hidden="1">"c593"</definedName>
    <definedName name="IQ_INT_INC_DEPOSITORY_INST_FDIC" hidden="1">"c6558"</definedName>
    <definedName name="IQ_INT_INC_DOM_LOANS_FDIC" hidden="1">"c6555"</definedName>
    <definedName name="IQ_INT_INC_DUE_DEPOSITORY_INSTITUTIONS_FFIEC" hidden="1">"c12981"</definedName>
    <definedName name="IQ_INT_INC_EARNING_ASSETS_FFIEC" hidden="1">"c13375"</definedName>
    <definedName name="IQ_INT_INC_FED_FUNDS_FDIC" hidden="1">"c6561"</definedName>
    <definedName name="IQ_INT_INC_FED_FUNDS_SOLD_FFIEC" hidden="1">"c12987"</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E_AVG_ASSETS_FFIEC" hidden="1">"c13358"</definedName>
    <definedName name="IQ_INT_INC_TE_EARNING_ASSETS_FFIEC" hidden="1">"c13377"</definedName>
    <definedName name="IQ_INT_INC_TOTAL" hidden="1">"c598"</definedName>
    <definedName name="IQ_INT_INC_TOTAL_BNK_SUBTOTAL_AP" hidden="1">"c8976"</definedName>
    <definedName name="IQ_INT_INC_TOTAL_FDIC" hidden="1">"c6563"</definedName>
    <definedName name="IQ_INT_INC_TRADING_ACCOUNTS_FDIC" hidden="1">"c6560"</definedName>
    <definedName name="IQ_INT_INC_TRADING_ASSETS_FFIEC" hidden="1">"c12986"</definedName>
    <definedName name="IQ_INT_INC_UTI" hidden="1">"c599"</definedName>
    <definedName name="IQ_INT_INCOME_AVG_ASSET" hidden="1">"c15704"</definedName>
    <definedName name="IQ_INT_INCOME_AVG_ASSETS_THRIFT" hidden="1">"c25647"</definedName>
    <definedName name="IQ_INT_INCOME_AVG_EARNING_ASSETS_THRIFT" hidden="1">"c25666"</definedName>
    <definedName name="IQ_INT_INCOME_FTE_AVG_ASSETS_FFIEC" hidden="1">"c13856"</definedName>
    <definedName name="IQ_INT_INCOME_FTE_AVG_EARNING_ASSETS_FFIEC" hidden="1">"c13857"</definedName>
    <definedName name="IQ_INT_INCOME_FTE_FFIEC" hidden="1">"c13852"</definedName>
    <definedName name="IQ_INT_INV_INC" hidden="1">"c600"</definedName>
    <definedName name="IQ_INT_INV_INC_RE" hidden="1">"c6226"</definedName>
    <definedName name="IQ_INT_INV_INC_REIT" hidden="1">"c601"</definedName>
    <definedName name="IQ_INT_INV_INC_UTI" hidden="1">"c602"</definedName>
    <definedName name="IQ_INT_MBS_THRIFT" hidden="1">"c24746"</definedName>
    <definedName name="IQ_INT_MORTGAGE_COLLATERALIZED_SEC_THRIFT" hidden="1">"c24761"</definedName>
    <definedName name="IQ_INT_MORTGAGE_LOANS_THRIFT" hidden="1">"c24747"</definedName>
    <definedName name="IQ_INT_ON_BORROWING_COVERAGE" hidden="1">"c603"</definedName>
    <definedName name="IQ_INT_ON_DEPOSITS_DOM_FFIEC" hidden="1">"c12991"</definedName>
    <definedName name="IQ_INT_ON_DEPOSITS_FFIEC" hidden="1">"c12990"</definedName>
    <definedName name="IQ_INT_ON_DEPOSITS_FOREIGN_FFIEC" hidden="1">"c12995"</definedName>
    <definedName name="IQ_INT_ONLY_STRIP_RECEIVABLES_OTHER_INSTRUMENTS_THRIFT" hidden="1">"c24891"</definedName>
    <definedName name="IQ_INT_OTHER_BORROWINGS_THRIFT" hidden="1">"c24762"</definedName>
    <definedName name="IQ_INT_RATE_EXPOSURE_FFIEC" hidden="1">"c13058"</definedName>
    <definedName name="IQ_INT_RATE_SPREAD" hidden="1">"c604"</definedName>
    <definedName name="IQ_INT_SAVINGS_DEPOSITS_MMDA_DOM_FFIEC" hidden="1">"c15364"</definedName>
    <definedName name="IQ_INT_SUB_DEBT_THRIFT" hidden="1">"c24760"</definedName>
    <definedName name="IQ_INT_SUB_NOTES_FDIC" hidden="1">"c6568"</definedName>
    <definedName name="IQ_INT_SUB_NOTES_FFIEC" hidden="1">"c12998"</definedName>
    <definedName name="IQ_INT_TIME_DEPOSITS_LESS_THAN_100K_DOM_FFIEC" hidden="1">"c12993"</definedName>
    <definedName name="IQ_INT_TIME_DEPOSITS_MORE_THAN_100K_DOM_FFIEC" hidden="1">"c12992"</definedName>
    <definedName name="IQ_INT_TRADING_LIABILITIES_FFIEC" hidden="1">"c12997"</definedName>
    <definedName name="IQ_INT_TRANSACTION_ACCOUNTS_DOM_FFIEC" hidden="1">"c15363"</definedName>
    <definedName name="IQ_INT_YIELD_DEPOSITS_INV_SEC_THRIFT" hidden="1">"c25679"</definedName>
    <definedName name="IQ_INT_YIELD_MBS_THRIFT" hidden="1">"c25678"</definedName>
    <definedName name="IQ_INTANGIBLE_ASSETS_ADJUSTED_ASSETS_THRIFT" hidden="1">"c25036"</definedName>
    <definedName name="IQ_INTANGIBLE_ASSETS_T1_THRIFT" hidden="1">"c25027"</definedName>
    <definedName name="IQ_INTANGIBLES_NET" hidden="1">"c907"</definedName>
    <definedName name="IQ_INTEL_EPS_EST" hidden="1">"c24729"</definedName>
    <definedName name="IQ_INTERBANK_RATIO" hidden="1">"c19134"</definedName>
    <definedName name="IQ_INTEREST_ACCRUED_ON_DEPOSITS_DOM_FFIEC" hidden="1">"c15277"</definedName>
    <definedName name="IQ_INTEREST_BEARING_BALANCES_FDIC" hidden="1">"c6371"</definedName>
    <definedName name="IQ_INTEREST_BEARING_BALANCES_QUARTERLY_AVG_FFIEC" hidden="1">"c15467"</definedName>
    <definedName name="IQ_INTEREST_BEARING_CASH_FFIEC" hidden="1">"c15259"</definedName>
    <definedName name="IQ_INTEREST_BEARING_CASH_FOREIGN_FFIEC" hidden="1">"c12776"</definedName>
    <definedName name="IQ_INTEREST_BEARING_CASH_US_FFIEC" hidden="1">"c12775"</definedName>
    <definedName name="IQ_INTEREST_BEARING_DEPOSITS_ALL_OTHER_ACCOUNTS_THRIFT" hidden="1">"c25424"</definedName>
    <definedName name="IQ_INTEREST_BEARING_DEPOSITS_DOMESTIC_FDIC" hidden="1">"c6478"</definedName>
    <definedName name="IQ_INTEREST_BEARING_DEPOSITS_EMPLOYEE_BENEFIT_RETIREMENT_RELATED_ACCOUNTS_THRIFT" hidden="1">"c25408"</definedName>
    <definedName name="IQ_INTEREST_BEARING_DEPOSITS_FDIC" hidden="1">"c6373"</definedName>
    <definedName name="IQ_INTEREST_BEARING_DEPOSITS_FOREIGN_FDIC" hidden="1">"c6485"</definedName>
    <definedName name="IQ_INTEREST_BEARING_DEPOSITS_PERSONAL_TRUST_AGENCY_INV_MANAGEMENT_AGENCY_ACCOUNTS_THRIFT_THRIFT" hidden="1">"c25392"</definedName>
    <definedName name="IQ_INTEREST_BEARING_TRANS_DOM_QUARTERLY_AVG_FFIEC" hidden="1">"c15484"</definedName>
    <definedName name="IQ_INTEREST_CASH_DEPOSITS" hidden="1">"c2255"</definedName>
    <definedName name="IQ_INTEREST_CREDITED_DEPOSITS_THRIFT" hidden="1">"c25344"</definedName>
    <definedName name="IQ_INTEREST_EXP" hidden="1">"c618"</definedName>
    <definedName name="IQ_INTEREST_EXP_ACT_OR_EST" hidden="1">"c18267"</definedName>
    <definedName name="IQ_INTEREST_EXP_ACT_OR_EST_CIQ" hidden="1">"c18273"</definedName>
    <definedName name="IQ_INTEREST_EXP_EST" hidden="1">"c18114"</definedName>
    <definedName name="IQ_INTEREST_EXP_EST_CIQ" hidden="1">"c18182"</definedName>
    <definedName name="IQ_INTEREST_EXP_EST_NOTE" hidden="1">"c18235"</definedName>
    <definedName name="IQ_INTEREST_EXP_EST_NOTE_CIQ" hidden="1">"c18242"</definedName>
    <definedName name="IQ_INTEREST_EXP_GUIDANCE" hidden="1">"c18406"</definedName>
    <definedName name="IQ_INTEREST_EXP_HIGH_EST" hidden="1">"c18134"</definedName>
    <definedName name="IQ_INTEREST_EXP_HIGH_EST_CIQ" hidden="1">"c18196"</definedName>
    <definedName name="IQ_INTEREST_EXP_HIGH_GUIDANCE" hidden="1">"c18407"</definedName>
    <definedName name="IQ_INTEREST_EXP_LOW_EST" hidden="1">"c18144"</definedName>
    <definedName name="IQ_INTEREST_EXP_LOW_EST_CIQ" hidden="1">"c18203"</definedName>
    <definedName name="IQ_INTEREST_EXP_LOW_GUIDANCE" hidden="1">"c18408"</definedName>
    <definedName name="IQ_INTEREST_EXP_MEDIAN_EST" hidden="1">"c18124"</definedName>
    <definedName name="IQ_INTEREST_EXP_MEDIAN_EST_CIQ" hidden="1">"c18189"</definedName>
    <definedName name="IQ_INTEREST_EXP_NET" hidden="1">"c1450"</definedName>
    <definedName name="IQ_INTEREST_EXP_NON" hidden="1">"c618"</definedName>
    <definedName name="IQ_INTEREST_EXP_NUM_EST" hidden="1">"c18164"</definedName>
    <definedName name="IQ_INTEREST_EXP_NUM_EST_CIQ" hidden="1">"c18217"</definedName>
    <definedName name="IQ_INTEREST_EXP_STDDEV_EST" hidden="1">"c18154"</definedName>
    <definedName name="IQ_INTEREST_EXP_STDDEV_EST_CIQ" hidden="1">"c18210"</definedName>
    <definedName name="IQ_INTEREST_EXP_SUPPL" hidden="1">"c1460"</definedName>
    <definedName name="IQ_INTEREST_INC" hidden="1">"c769"</definedName>
    <definedName name="IQ_INTEREST_INC_10K" hidden="1">"INTEREST_INC_10K"</definedName>
    <definedName name="IQ_INTEREST_INC_10Q" hidden="1">"INTEREST_INC_10Q"</definedName>
    <definedName name="IQ_INTEREST_INC_10Q1" hidden="1">"INTEREST_INC_10Q1"</definedName>
    <definedName name="IQ_INTEREST_INC_NON" hidden="1">"c619"</definedName>
    <definedName name="IQ_INTEREST_INVEST_INC" hidden="1">"c619"</definedName>
    <definedName name="IQ_INTEREST_PENALTIES_RECOG_BS_AFTER_TAX" hidden="1">"c15745"</definedName>
    <definedName name="IQ_INTEREST_PENALTIES_RECOG_BS_PRE_TAX" hidden="1">"c15744"</definedName>
    <definedName name="IQ_INTEREST_PENALTIES_RECOG_IS_AFTER_TAX" hidden="1">"c15743"</definedName>
    <definedName name="IQ_INTEREST_PENALTIES_RECOG_IS_PRE_TAX" hidden="1">"c15742"</definedName>
    <definedName name="IQ_INTEREST_RATE_CONTRACTS_FDIC" hidden="1">"c6512"</definedName>
    <definedName name="IQ_INTEREST_RATE_EXPOSURES_FDIC" hidden="1">"c6662"</definedName>
    <definedName name="IQ_INTERNAL_ALLOCATIONS_INC_EXP_FOREIGN_FFIEC" hidden="1">"c15394"</definedName>
    <definedName name="IQ_INTRACO_INC_CREDITS_FIDUCIARY_RELATED_SERVICES_THRIFT" hidden="1">"c24814"</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IN_UNREGISTERED_FUNDS_PRIVATE_EQUITY_INV_ALL_OTHER_ACCOUNTS_THRIFT" hidden="1">"c25433"</definedName>
    <definedName name="IQ_INV_IN_UNREGISTERED_FUNDS_PRIVATE_EQUITY_INV_EMPLOYEE_BENEFIT_RETIREMENT_RELATED_ACCOUNTS_THRIFT" hidden="1">"c25417"</definedName>
    <definedName name="IQ_INV_IN_UNREGISTERED_FUNDS_PRIVATE_EQUITY_INV_PERSONAL_TRUST_AGENCY_INV_MANAGEMENT_ACCOUNTS_THRIFT" hidden="1">"c25401"</definedName>
    <definedName name="IQ_INV_MANAGEMENT_INV_ADVISORY_AGENCY_ACCOUNTS_GROSS_LOSSES_MANAGED_ACCOUNTS_THRIFT" hidden="1">"c25463"</definedName>
    <definedName name="IQ_INV_MANAGEMENT_INV_ADVISORY_AGENCY_ACCOUNTS_GROSS_LOSSES_NONMANAGED_ACCOUNTS_THRIFT" hidden="1">"c25468"</definedName>
    <definedName name="IQ_INV_MANAGEMENT_INV_ADVISORY_AGENCY_ACCOUNTS_MANAGED_ASSETS_THRIFT" hidden="1">"c25353"</definedName>
    <definedName name="IQ_INV_MANAGEMENT_INV_ADVISORY_AGENCY_ACCOUNTS_NONMANAGED_ASSETS_THRIFT" hidden="1">"c25374"</definedName>
    <definedName name="IQ_INV_MANAGEMENT_INV_ADVISORY_AGENCY_ACCOUNTS_NUMBER_MANAGED_ACCOUNTS_THRIFT" hidden="1">"c25364"</definedName>
    <definedName name="IQ_INV_MANAGEMENT_INV_ADVISORY_AGENCY_ACCOUNTS_NUMBER_NONMANAGED_ACCOUNTS_THRIFT" hidden="1">"c25386"</definedName>
    <definedName name="IQ_INV_MANAGEMENT_INV_ADVISORY_AGENCY_ACCOUNTS_RECOVERIES_THRIFT" hidden="1">"c25473"</definedName>
    <definedName name="IQ_INV_METHOD" hidden="1">"c621"</definedName>
    <definedName name="IQ_INV_MGMT_ADVISORY_AGENCY_ACCOUNTS_INC_THRIFT" hidden="1">"c24806"</definedName>
    <definedName name="IQ_INV_NONCONTROLLING_INTERESTS_IN_SUBS_T1_THRIFT" hidden="1">"c25022"</definedName>
    <definedName name="IQ_INV_REL_ID" hidden="1">"c15220"</definedName>
    <definedName name="IQ_INV_REL_NAME" hidden="1">"c15219"</definedName>
    <definedName name="IQ_INV_SEC_TOTAL_ASSETS_THRIFT" hidden="1">"c25697"</definedName>
    <definedName name="IQ_INVENTORIES" hidden="1">"c6901"</definedName>
    <definedName name="IQ_INVENTORIES_APR" hidden="1">"c7561"</definedName>
    <definedName name="IQ_INVENTORIES_APR_FC" hidden="1">"c8441"</definedName>
    <definedName name="IQ_INVENTORIES_FC" hidden="1">"c7781"</definedName>
    <definedName name="IQ_INVENTORIES_POP" hidden="1">"c7121"</definedName>
    <definedName name="IQ_INVENTORIES_POP_FC" hidden="1">"c8001"</definedName>
    <definedName name="IQ_INVENTORIES_YOY" hidden="1">"c7341"</definedName>
    <definedName name="IQ_INVENTORIES_YOY_FC" hidden="1">"c8221"</definedName>
    <definedName name="IQ_INVENTORY" hidden="1">"c622"</definedName>
    <definedName name="IQ_INVENTORY_TURNS" hidden="1">"c623"</definedName>
    <definedName name="IQ_INVENTORY_UTI" hidden="1">"c624"</definedName>
    <definedName name="IQ_INVEST_BREAKUP_ASSET_MBS" hidden="1">"c17796"</definedName>
    <definedName name="IQ_INVEST_BREAKUP_COMMON" hidden="1">"c17687"</definedName>
    <definedName name="IQ_INVEST_BREAKUP_CORP_DEBT" hidden="1">"c17684"</definedName>
    <definedName name="IQ_INVEST_BREAKUP_CORP_EQUITY" hidden="1">"c17689"</definedName>
    <definedName name="IQ_INVEST_BREAKUP_NON_US_GOVT" hidden="1">"c17794"</definedName>
    <definedName name="IQ_INVEST_BREAKUP_NOT_CLASSIFIED" hidden="1">"c17690"</definedName>
    <definedName name="IQ_INVEST_BREAKUP_OTHER_FIXED" hidden="1">"c17685"</definedName>
    <definedName name="IQ_INVEST_BREAKUP_PREFERRED" hidden="1">"c17688"</definedName>
    <definedName name="IQ_INVEST_BREAKUP_PUBLIC_UTIL_DEBT" hidden="1">"c17683"</definedName>
    <definedName name="IQ_INVEST_BREAKUP_STATE_MUNI" hidden="1">"c17795"</definedName>
    <definedName name="IQ_INVEST_BREAKUP_TOTAL_FIXED" hidden="1">"c17686"</definedName>
    <definedName name="IQ_INVEST_BREAKUP_TOTAL_INVEST" hidden="1">"c17691"</definedName>
    <definedName name="IQ_INVEST_BREAKUP_US_GOVT" hidden="1">"c17793"</definedName>
    <definedName name="IQ_INVEST_CREDIT_QUAL_AMORT_TYPE_1" hidden="1">"c17785"</definedName>
    <definedName name="IQ_INVEST_CREDIT_QUAL_AMORT_TYPE_1_PCT" hidden="1">"c17844"</definedName>
    <definedName name="IQ_INVEST_CREDIT_QUAL_AMORT_TYPE_2" hidden="1">"c17786"</definedName>
    <definedName name="IQ_INVEST_CREDIT_QUAL_AMORT_TYPE_2_PCT" hidden="1">"c17845"</definedName>
    <definedName name="IQ_INVEST_CREDIT_QUAL_AMORT_TYPE_3" hidden="1">"c17787"</definedName>
    <definedName name="IQ_INVEST_CREDIT_QUAL_AMORT_TYPE_3_PCT" hidden="1">"c17846"</definedName>
    <definedName name="IQ_INVEST_CREDIT_QUAL_AMORT_TYPE_4" hidden="1">"c17788"</definedName>
    <definedName name="IQ_INVEST_CREDIT_QUAL_AMORT_TYPE_4_PCT" hidden="1">"c17847"</definedName>
    <definedName name="IQ_INVEST_CREDIT_QUAL_AMORT_TYPE_5" hidden="1">"c17789"</definedName>
    <definedName name="IQ_INVEST_CREDIT_QUAL_AMORT_TYPE_5_PCT" hidden="1">"c17848"</definedName>
    <definedName name="IQ_INVEST_CREDIT_QUAL_AMORT_TYPE_6" hidden="1">"c17790"</definedName>
    <definedName name="IQ_INVEST_CREDIT_QUAL_AMORT_TYPE_6_PCT" hidden="1">"c17849"</definedName>
    <definedName name="IQ_INVEST_CREDIT_QUAL_AMORT_TYPE_OTHER" hidden="1">"c17791"</definedName>
    <definedName name="IQ_INVEST_CREDIT_QUAL_AMORT_TYPE_OTHER_PCT" hidden="1">"c17850"</definedName>
    <definedName name="IQ_INVEST_CREDIT_QUAL_AMORT_TYPE_TOTAL_FIXED" hidden="1">"c17792"</definedName>
    <definedName name="IQ_INVEST_CREDIT_QUAL_CV_TYPE_1" hidden="1">"c17769"</definedName>
    <definedName name="IQ_INVEST_CREDIT_QUAL_CV_TYPE_1_PCT" hidden="1">"c17830"</definedName>
    <definedName name="IQ_INVEST_CREDIT_QUAL_CV_TYPE_2" hidden="1">"c17770"</definedName>
    <definedName name="IQ_INVEST_CREDIT_QUAL_CV_TYPE_2_PCT" hidden="1">"c17831"</definedName>
    <definedName name="IQ_INVEST_CREDIT_QUAL_CV_TYPE_3" hidden="1">"c17771"</definedName>
    <definedName name="IQ_INVEST_CREDIT_QUAL_CV_TYPE_3_PCT" hidden="1">"c17832"</definedName>
    <definedName name="IQ_INVEST_CREDIT_QUAL_CV_TYPE_4" hidden="1">"c17772"</definedName>
    <definedName name="IQ_INVEST_CREDIT_QUAL_CV_TYPE_4_PCT" hidden="1">"c17833"</definedName>
    <definedName name="IQ_INVEST_CREDIT_QUAL_CV_TYPE_5" hidden="1">"c17773"</definedName>
    <definedName name="IQ_INVEST_CREDIT_QUAL_CV_TYPE_5_PCT" hidden="1">"c17834"</definedName>
    <definedName name="IQ_INVEST_CREDIT_QUAL_CV_TYPE_6" hidden="1">"c17774"</definedName>
    <definedName name="IQ_INVEST_CREDIT_QUAL_CV_TYPE_6_PCT" hidden="1">"c17835"</definedName>
    <definedName name="IQ_INVEST_CREDIT_QUAL_CV_TYPE_OTHER" hidden="1">"c17775"</definedName>
    <definedName name="IQ_INVEST_CREDIT_QUAL_CV_TYPE_OTHER_PCT" hidden="1">"c17836"</definedName>
    <definedName name="IQ_INVEST_CREDIT_QUAL_CV_TYPE_TOTAL_FIXED" hidden="1">"c17776"</definedName>
    <definedName name="IQ_INVEST_CREDIT_QUAL_FV_TYPE_1" hidden="1">"c17777"</definedName>
    <definedName name="IQ_INVEST_CREDIT_QUAL_FV_TYPE_1_PCT" hidden="1">"c17837"</definedName>
    <definedName name="IQ_INVEST_CREDIT_QUAL_FV_TYPE_2" hidden="1">"c17778"</definedName>
    <definedName name="IQ_INVEST_CREDIT_QUAL_FV_TYPE_2_PCT" hidden="1">"c17838"</definedName>
    <definedName name="IQ_INVEST_CREDIT_QUAL_FV_TYPE_3" hidden="1">"c17779"</definedName>
    <definedName name="IQ_INVEST_CREDIT_QUAL_FV_TYPE_3_PCT" hidden="1">"c17839"</definedName>
    <definedName name="IQ_INVEST_CREDIT_QUAL_FV_TYPE_4" hidden="1">"c17780"</definedName>
    <definedName name="IQ_INVEST_CREDIT_QUAL_FV_TYPE_4_PCT" hidden="1">"c17840"</definedName>
    <definedName name="IQ_INVEST_CREDIT_QUAL_FV_TYPE_5" hidden="1">"c17781"</definedName>
    <definedName name="IQ_INVEST_CREDIT_QUAL_FV_TYPE_5_PCT" hidden="1">"c17841"</definedName>
    <definedName name="IQ_INVEST_CREDIT_QUAL_FV_TYPE_6" hidden="1">"c17782"</definedName>
    <definedName name="IQ_INVEST_CREDIT_QUAL_FV_TYPE_6_PCT" hidden="1">"c17842"</definedName>
    <definedName name="IQ_INVEST_CREDIT_QUAL_FV_TYPE_OTHER" hidden="1">"c17783"</definedName>
    <definedName name="IQ_INVEST_CREDIT_QUAL_FV_TYPE_OTHER_PCT" hidden="1">"c17843"</definedName>
    <definedName name="IQ_INVEST_CREDIT_QUAL_FV_TYPE_TOTAL_FIXED" hidden="1">"c17784"</definedName>
    <definedName name="IQ_INVEST_CRITERIA_EBITDA_MAX" hidden="1">"c18907"</definedName>
    <definedName name="IQ_INVEST_CRITERIA_EBITDA_MIN" hidden="1">"c18906"</definedName>
    <definedName name="IQ_INVEST_CRITERIA_EQUITY_MAX" hidden="1">"c18901"</definedName>
    <definedName name="IQ_INVEST_CRITERIA_EQUITY_MIN" hidden="1">"c18900"</definedName>
    <definedName name="IQ_INVEST_CRITERIA_EV_MAX" hidden="1">"c18903"</definedName>
    <definedName name="IQ_INVEST_CRITERIA_EV_MIN" hidden="1">"c18902"</definedName>
    <definedName name="IQ_INVEST_CRITERIA_GEOGRAPHY" hidden="1">"c18898"</definedName>
    <definedName name="IQ_INVEST_CRITERIA_INDUSTRY" hidden="1">"c18897"</definedName>
    <definedName name="IQ_INVEST_CRITERIA_STAGES" hidden="1">"c18899"</definedName>
    <definedName name="IQ_INVEST_CRITERIA_TOT_REV_MAX" hidden="1">"c18905"</definedName>
    <definedName name="IQ_INVEST_CRITERIA_TOT_REV_MIN" hidden="1">"c18904"</definedName>
    <definedName name="IQ_INVEST_DEBT" hidden="1">"c625"</definedName>
    <definedName name="IQ_INVEST_DETAIL_AVAIL_SALE" hidden="1">"c17692"</definedName>
    <definedName name="IQ_INVEST_DETAIL_AVAIL_SALE_AMORT" hidden="1">"c17810"</definedName>
    <definedName name="IQ_INVEST_DETAIL_HELD_MATURITY" hidden="1">"c17807"</definedName>
    <definedName name="IQ_INVEST_DETAIL_OTHER" hidden="1">"c17809"</definedName>
    <definedName name="IQ_INVEST_DETAIL_TRADING" hidden="1">"c17808"</definedName>
    <definedName name="IQ_INVEST_DETAIL_TRADING_AMORT" hidden="1">"c17811"</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CM"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AT_AMORT_1_5_YR" hidden="1">"c17764"</definedName>
    <definedName name="IQ_INVEST_MAT_AMORT_1_5_YR_PCT" hidden="1">"c17825"</definedName>
    <definedName name="IQ_INVEST_MAT_AMORT_1_YR" hidden="1">"c17763"</definedName>
    <definedName name="IQ_INVEST_MAT_AMORT_1_YR_PCT" hidden="1">"c17824"</definedName>
    <definedName name="IQ_INVEST_MAT_AMORT_5_10_YR" hidden="1">"c17765"</definedName>
    <definedName name="IQ_INVEST_MAT_AMORT_5_10_YR_PCT" hidden="1">"c17826"</definedName>
    <definedName name="IQ_INVEST_MAT_AMORT_AFTER_10_YR" hidden="1">"c17766"</definedName>
    <definedName name="IQ_INVEST_MAT_AMORT_AFTER_10_YR_PCT" hidden="1">"c17827"</definedName>
    <definedName name="IQ_INVEST_MAT_AMORT_ASSET_MBS" hidden="1">"c17767"</definedName>
    <definedName name="IQ_INVEST_MAT_AMORT_ASSET_MBS_PCT" hidden="1">"c17828"</definedName>
    <definedName name="IQ_INVEST_MAT_AMORT_OTHER_FIXED" hidden="1">"c17768"</definedName>
    <definedName name="IQ_INVEST_MAT_AMORT_OTHER_FIXED_PCT" hidden="1">"c17829"</definedName>
    <definedName name="IQ_INVEST_MAT_CV_1_5_YR" hidden="1">"c17752"</definedName>
    <definedName name="IQ_INVEST_MAT_CV_1_5_YR_PCT" hidden="1">"c17813"</definedName>
    <definedName name="IQ_INVEST_MAT_CV_1_YR" hidden="1">"c17751"</definedName>
    <definedName name="IQ_INVEST_MAT_CV_1_YR_PCT" hidden="1">"c17812"</definedName>
    <definedName name="IQ_INVEST_MAT_CV_5_10_YR" hidden="1">"c17753"</definedName>
    <definedName name="IQ_INVEST_MAT_CV_5_10_YR_PCT" hidden="1">"c17814"</definedName>
    <definedName name="IQ_INVEST_MAT_CV_AFTER_10_YR" hidden="1">"c17754"</definedName>
    <definedName name="IQ_INVEST_MAT_CV_AFTER_10_YR_PCT" hidden="1">"c17815"</definedName>
    <definedName name="IQ_INVEST_MAT_CV_ASSET_MBS" hidden="1">"c17755"</definedName>
    <definedName name="IQ_INVEST_MAT_CV_ASSET_MBS_PCT" hidden="1">"c17816"</definedName>
    <definedName name="IQ_INVEST_MAT_CV_OTHER_FIXED" hidden="1">"c17756"</definedName>
    <definedName name="IQ_INVEST_MAT_CV_OTHER_FIXED_PCT" hidden="1">"c17817"</definedName>
    <definedName name="IQ_INVEST_MAT_FV_1_5_YR" hidden="1">"c17758"</definedName>
    <definedName name="IQ_INVEST_MAT_FV_1_5_YR_PCT" hidden="1">"c17819"</definedName>
    <definedName name="IQ_INVEST_MAT_FV_1_YR" hidden="1">"c17757"</definedName>
    <definedName name="IQ_INVEST_MAT_FV_1_YR_PCT" hidden="1">"c17818"</definedName>
    <definedName name="IQ_INVEST_MAT_FV_5_10_YR" hidden="1">"c17759"</definedName>
    <definedName name="IQ_INVEST_MAT_FV_5_10_YR_PCT" hidden="1">"c17820"</definedName>
    <definedName name="IQ_INVEST_MAT_FV_AFTER_10_YR" hidden="1">"c17760"</definedName>
    <definedName name="IQ_INVEST_MAT_FV_AFTER_10_YR_PCT" hidden="1">"c17821"</definedName>
    <definedName name="IQ_INVEST_MAT_FV_ASSET_MBS" hidden="1">"c17761"</definedName>
    <definedName name="IQ_INVEST_MAT_FV_ASSET_MBS_PCT" hidden="1">"c17822"</definedName>
    <definedName name="IQ_INVEST_MAT_FV_OTHER_FIXED" hidden="1">"c17762"</definedName>
    <definedName name="IQ_INVEST_MAT_FV_OTHER_FIXED_PCT" hidden="1">"c17823"</definedName>
    <definedName name="IQ_INVEST_MUNI_SECURITY" hidden="1">"c5512"</definedName>
    <definedName name="IQ_INVEST_REAL_ESTATE" hidden="1">"c635"</definedName>
    <definedName name="IQ_INVEST_SECURITIES_ASSETS_TOT_FFIEC" hidden="1">"c13440"</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CM"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_UNCONSOLIDATED_SUBS_FFIEC" hidden="1">"c12834"</definedName>
    <definedName name="IQ_INVESTMENT_ADVISOR" hidden="1">"c19236"</definedName>
    <definedName name="IQ_INVESTMENT_ADVISOR_ID" hidden="1">"c19237"</definedName>
    <definedName name="IQ_INVESTMENT_ADVISOR_PRIMARY" hidden="1">"c19239"</definedName>
    <definedName name="IQ_INVESTMENT_ADVISOR_PRIMARY_ID" hidden="1">"c19240"</definedName>
    <definedName name="IQ_INVESTMENT_ADVISOR_REL" hidden="1">"c19238"</definedName>
    <definedName name="IQ_INVESTMENT_BANKING_BROKERAGE_FEES_FFIEC" hidden="1">"c13627"</definedName>
    <definedName name="IQ_INVESTMENT_BANKING_FEES_COMMISSIONS_FFIEC" hidden="1">"c13006"</definedName>
    <definedName name="IQ_INVESTMENT_BANKING_OTHER_FEES_FDIC" hidden="1">"c6666"</definedName>
    <definedName name="IQ_INVESTMENT_PARTNERSHIP" hidden="1">"c16072"</definedName>
    <definedName name="IQ_INVESTMENTS_ALL" hidden="1">"c18891"</definedName>
    <definedName name="IQ_INVESTMENTS_ALL_COVER" hidden="1">"c19112"</definedName>
    <definedName name="IQ_INVESTMENTS_ALL_ID" hidden="1">"c18892"</definedName>
    <definedName name="IQ_INVESTMENTS_ALL_REL" hidden="1">"c18894"</definedName>
    <definedName name="IQ_INVESTMENTS_ALL_STAKE" hidden="1">"c18893"</definedName>
    <definedName name="IQ_INVESTMENTS_CURR" hidden="1">"c18881"</definedName>
    <definedName name="IQ_INVESTMENTS_CURR_COVER" hidden="1">"c19110"</definedName>
    <definedName name="IQ_INVESTMENTS_CURR_ID" hidden="1">"c18882"</definedName>
    <definedName name="IQ_INVESTMENTS_CURR_REL" hidden="1">"c18884"</definedName>
    <definedName name="IQ_INVESTMENTS_CURR_STAKE" hidden="1">"c18883"</definedName>
    <definedName name="IQ_INVESTMENTS_LP" hidden="1">"c18912"</definedName>
    <definedName name="IQ_INVESTMENTS_LP_ID" hidden="1">"c18913"</definedName>
    <definedName name="IQ_INVESTMENTS_LP_REL" hidden="1">"c18914"</definedName>
    <definedName name="IQ_INVESTMENTS_PENDING" hidden="1">"c18887"</definedName>
    <definedName name="IQ_INVESTMENTS_PENDING_COVER" hidden="1">"c19111"</definedName>
    <definedName name="IQ_INVESTMENTS_PENDING_ID" hidden="1">"c18888"</definedName>
    <definedName name="IQ_INVESTMENTS_PENDING_REL" hidden="1">"c18890"</definedName>
    <definedName name="IQ_INVESTMENTS_PENDING_STAKE" hidden="1">"c18889"</definedName>
    <definedName name="IQ_INVESTMENTS_PRIOR" hidden="1">"c18895"</definedName>
    <definedName name="IQ_INVESTMENTS_PRIOR_ID" hidden="1">"c18896"</definedName>
    <definedName name="IQ_INVESTORS_ALL" hidden="1">"c20509"</definedName>
    <definedName name="IQ_INVESTORS_ALL_COVER" hidden="1">"c20510"</definedName>
    <definedName name="IQ_INVESTORS_ALL_ID" hidden="1">"C20508"</definedName>
    <definedName name="IQ_INVESTORS_ALL_REL" hidden="1">"c20511"</definedName>
    <definedName name="IQ_INVESTORS_ALL_STAKE" hidden="1">"c20512"</definedName>
    <definedName name="IQ_INVESTORS_CURR" hidden="1">"c20514"</definedName>
    <definedName name="IQ_INVESTORS_CURR_COVER" hidden="1">"c20515"</definedName>
    <definedName name="IQ_INVESTORS_CURR_ID" hidden="1">"c20513"</definedName>
    <definedName name="IQ_INVESTORS_CURR_RECENT_AMOUNT" hidden="1">"c20516"</definedName>
    <definedName name="IQ_INVESTORS_CURR_REL" hidden="1">"c20517"</definedName>
    <definedName name="IQ_INVESTORS_CURR_STAKE" hidden="1">"c20518"</definedName>
    <definedName name="IQ_INVESTORS_CURR_TRANSACTION_DATE" hidden="1">"c20519"</definedName>
    <definedName name="IQ_INVESTORS_CURR_TRANSACTION_ID" hidden="1">"c20520"</definedName>
    <definedName name="IQ_INVESTORS_PENDING" hidden="1">"c20522"</definedName>
    <definedName name="IQ_INVESTORS_PENDING_COVER" hidden="1">"c20523"</definedName>
    <definedName name="IQ_INVESTORS_PENDING_ID" hidden="1">"c20521"</definedName>
    <definedName name="IQ_INVESTORS_PENDING_REL" hidden="1">"c20524"</definedName>
    <definedName name="IQ_INVESTORS_PENDING_STAKE" hidden="1">"c20525"</definedName>
    <definedName name="IQ_INVESTORS_PRIOR" hidden="1">"c20526"</definedName>
    <definedName name="IQ_INVESTORS_PRIOR_ID" hidden="1">"c20527"</definedName>
    <definedName name="IQ_IPRD" hidden="1">"c644"</definedName>
    <definedName name="IQ_IPRD_SUPPLE" hidden="1">"c13813"</definedName>
    <definedName name="IQ_IRA_KEOGH_ACCOUNTS_FDIC" hidden="1">"c6496"</definedName>
    <definedName name="IQ_IRA_KEOGH_ACCOUNTS_GREATER_THAN_100000_INCLUDED_IN_TIME_DEPOSITS_THRIFT" hidden="1">"c25004"</definedName>
    <definedName name="IQ_IRA_KEOGH_ACCOUNTS_THRIFT" hidden="1">"c24994"</definedName>
    <definedName name="IQ_IRAS_HSAS_SIMILAR_ACCOUNTS_MANAGED_ASSETS_THRIFT" hidden="1">"c25351"</definedName>
    <definedName name="IQ_IRAS_HSAS_SIMILAR_ACCOUNTS_NONMANAGED_ASSETS_THRIFT" hidden="1">"c25372"</definedName>
    <definedName name="IQ_IRAS_HSAS_SIMILAR_ACCOUNTS_NUMBER_MANAGED_ACCOUNTS_THRIFT" hidden="1">"c25362"</definedName>
    <definedName name="IQ_IRAS_HSAS_SIMILAR_ACCOUNTS_NUMBER_NONMANAGED_ACCOUNTS_THRIFT" hidden="1">"c25384"</definedName>
    <definedName name="IQ_ISIN" hidden="1">"c12041"</definedName>
    <definedName name="IQ_ISM_INDEX" hidden="1">"c6902"</definedName>
    <definedName name="IQ_ISM_INDEX_APR" hidden="1">"c7562"</definedName>
    <definedName name="IQ_ISM_INDEX_APR_FC" hidden="1">"c8442"</definedName>
    <definedName name="IQ_ISM_INDEX_FC" hidden="1">"c7782"</definedName>
    <definedName name="IQ_ISM_INDEX_POP" hidden="1">"c7122"</definedName>
    <definedName name="IQ_ISM_INDEX_POP_FC" hidden="1">"c8002"</definedName>
    <definedName name="IQ_ISM_INDEX_YOY" hidden="1">"c7342"</definedName>
    <definedName name="IQ_ISM_INDEX_YOY_FC" hidden="1">"c8222"</definedName>
    <definedName name="IQ_ISM_SERVICES_APR_FC_UNUSED" hidden="1">"c8443"</definedName>
    <definedName name="IQ_ISM_SERVICES_APR_FC_UNUSED_UNUSED_UNUSED" hidden="1">"c8443"</definedName>
    <definedName name="IQ_ISM_SERVICES_APR_UNUSED" hidden="1">"c7563"</definedName>
    <definedName name="IQ_ISM_SERVICES_APR_UNUSED_UNUSED_UNUSED" hidden="1">"c7563"</definedName>
    <definedName name="IQ_ISM_SERVICES_FC_UNUSED" hidden="1">"c7783"</definedName>
    <definedName name="IQ_ISM_SERVICES_FC_UNUSED_UNUSED_UNUSED" hidden="1">"c7783"</definedName>
    <definedName name="IQ_ISM_SERVICES_INDEX" hidden="1">"c11862"</definedName>
    <definedName name="IQ_ISM_SERVICES_INDEX_APR" hidden="1">"c11865"</definedName>
    <definedName name="IQ_ISM_SERVICES_INDEX_POP" hidden="1">"c11863"</definedName>
    <definedName name="IQ_ISM_SERVICES_INDEX_YOY" hidden="1">"c11864"</definedName>
    <definedName name="IQ_ISM_SERVICES_POP_FC_UNUSED" hidden="1">"c8003"</definedName>
    <definedName name="IQ_ISM_SERVICES_POP_FC_UNUSED_UNUSED_UNUSED" hidden="1">"c8003"</definedName>
    <definedName name="IQ_ISM_SERVICES_POP_UNUSED" hidden="1">"c7123"</definedName>
    <definedName name="IQ_ISM_SERVICES_POP_UNUSED_UNUSED_UNUSED" hidden="1">"c7123"</definedName>
    <definedName name="IQ_ISM_SERVICES_UNUSED" hidden="1">"c6903"</definedName>
    <definedName name="IQ_ISM_SERVICES_UNUSED_UNUSED_UNUSED" hidden="1">"c6903"</definedName>
    <definedName name="IQ_ISM_SERVICES_YOY_FC_UNUSED" hidden="1">"c8223"</definedName>
    <definedName name="IQ_ISM_SERVICES_YOY_FC_UNUSED_UNUSED_UNUSED" hidden="1">"c8223"</definedName>
    <definedName name="IQ_ISM_SERVICES_YOY_UNUSED" hidden="1">"c7343"</definedName>
    <definedName name="IQ_ISM_SERVICES_YOY_UNUSED_UNUSED_UNUSED" hidden="1">"c7343"</definedName>
    <definedName name="IQ_ISS_DEBT_NET" hidden="1">"c751"</definedName>
    <definedName name="IQ_ISS_STOCK_NET" hidden="1">"c1601"</definedName>
    <definedName name="IQ_ISSUE_CURRENCY" hidden="1">"c2156"</definedName>
    <definedName name="IQ_ISSUE_NAME" hidden="1">"c2142"</definedName>
    <definedName name="IQ_ISSUED_GUARANTEED_FNMA_FHLMC_GNMA_THRIFT" hidden="1">"c24833"</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ISSUES_IN_DEFAULT_PRINCIPAL_AMT_OUTSTANDING_THRIFT" hidden="1">"c25442"</definedName>
    <definedName name="IQ_JR_SUB_DEBT" hidden="1">"c2534"</definedName>
    <definedName name="IQ_JR_SUB_DEBT_EBITDA" hidden="1">"c2560"</definedName>
    <definedName name="IQ_JR_SUB_DEBT_EBITDA_CAPEX" hidden="1">"c2561"</definedName>
    <definedName name="IQ_JR_SUB_DEBT_PCT" hidden="1">"c2535"</definedName>
    <definedName name="IQ_KEY_DEV_COMPANY_ID" hidden="1">"c13830"</definedName>
    <definedName name="IQ_KEY_DEV_COMPANY_NAME" hidden="1">"c13829"</definedName>
    <definedName name="IQ_KEY_DEV_DATE" hidden="1">"c13763"</definedName>
    <definedName name="IQ_KEY_DEV_HEADLINE" hidden="1">"c13761"</definedName>
    <definedName name="IQ_KEY_DEV_ID" hidden="1">"c13760"</definedName>
    <definedName name="IQ_KEY_DEV_ID_INCL_SUBS" hidden="1">"c13832"</definedName>
    <definedName name="IQ_KEY_DEV_SITUATION" hidden="1">"c13762"</definedName>
    <definedName name="IQ_KEY_DEV_SOURCE" hidden="1">"c13765"</definedName>
    <definedName name="IQ_KEY_DEV_TIME" hidden="1">"c13833"</definedName>
    <definedName name="IQ_KEY_DEV_TRANSACTION_ID" hidden="1">"c13766"</definedName>
    <definedName name="IQ_KEY_DEV_TYPE" hidden="1">"c13764"</definedName>
    <definedName name="IQ_KEY_PERSON_LIFE_INSURANCE_THRIFT" hidden="1">"c24885"</definedName>
    <definedName name="IQ_LABOR_BENEFITS_CIVILIANS" hidden="1">"c20789"</definedName>
    <definedName name="IQ_LABOR_BENEFITS_GOVT" hidden="1">"c20790"</definedName>
    <definedName name="IQ_LABOR_BENEFITS_PRIVATE_INDUSTRY" hidden="1">"c20791"</definedName>
    <definedName name="IQ_LABOR_COMP_CIVILIANS" hidden="1">"c20792"</definedName>
    <definedName name="IQ_LABOR_COMP_GOVT" hidden="1">"c20793"</definedName>
    <definedName name="IQ_LABOR_COMP_PRIVATE_INDUSTRY" hidden="1">"c20794"</definedName>
    <definedName name="IQ_LABOR_NONFARM_PAYROLL" hidden="1">"c20795"</definedName>
    <definedName name="IQ_LABOR_UNEMPLOYMENT_CLAIMS" hidden="1">"c20796"</definedName>
    <definedName name="IQ_LABOR_UNEMPLOYMENT_CLAIMS_4WEEK" hidden="1">"c20797"</definedName>
    <definedName name="IQ_LABOR_UNEMPLOYMENT_RATE" hidden="1">"c20798"</definedName>
    <definedName name="IQ_LABOR_UNEMPLOYMENT_RATE_PCT_INSURED" hidden="1">"c20799"</definedName>
    <definedName name="IQ_LABOR_WAGES_CIVILIANS" hidden="1">"c20800"</definedName>
    <definedName name="IQ_LABOR_WAGES_GOVT" hidden="1">"c20801"</definedName>
    <definedName name="IQ_LABOR_WAGES_PRIVATE_INDUSTRY" hidden="1">"c20802"</definedName>
    <definedName name="IQ_LAND" hidden="1">"c645"</definedName>
    <definedName name="IQ_LAND_LOANS_IN_PROCESS_FORECLOSURE_THRIFT" hidden="1">"c25309"</definedName>
    <definedName name="IQ_LAND_LOANS_TOTAL_LOANS_THRIFT" hidden="1">"c25747"</definedName>
    <definedName name="IQ_LAND_MINERAL_RIGHTS_TO_PPE_GROSS_COAL" hidden="1">"c15949"</definedName>
    <definedName name="IQ_LAND_MINERAL_RIGHTS_TO_PPE_NET_COAL" hidden="1">"c15950"</definedName>
    <definedName name="IQ_LAND_PML_ADJUSTED_NCOS_TOTAL_THRIFT" hidden="1">"c25208"</definedName>
    <definedName name="IQ_LAND_PML_GVA_CHARGE_OFFS_THRIFT" hidden="1">"c25123"</definedName>
    <definedName name="IQ_LAND_PML_GVA_RECOVERIES_THRIFT" hidden="1">"c25154"</definedName>
    <definedName name="IQ_LAND_PML_SVA_PROVISIONS_TRANSFERS_FROM_GVA_TOTAL_THRIFT" hidden="1">"c25177"</definedName>
    <definedName name="IQ_LANDS_MINERAL_RIGHTS_GROSS_COAL" hidden="1">"c15938"</definedName>
    <definedName name="IQ_LANDS_MINERAL_RIGHTS_NET_COAL" hidden="1">"c15939"</definedName>
    <definedName name="IQ_LAPSE_STATUTE_LIMITATIONS" hidden="1">"c15738"</definedName>
    <definedName name="IQ_LARGE_CAP_LABOR_COST_INDEX" hidden="1">"c6904"</definedName>
    <definedName name="IQ_LARGE_CAP_LABOR_COST_INDEX_APR" hidden="1">"c7564"</definedName>
    <definedName name="IQ_LARGE_CAP_LABOR_COST_INDEX_APR_FC" hidden="1">"c8444"</definedName>
    <definedName name="IQ_LARGE_CAP_LABOR_COST_INDEX_FC" hidden="1">"c7784"</definedName>
    <definedName name="IQ_LARGE_CAP_LABOR_COST_INDEX_POP" hidden="1">"c7124"</definedName>
    <definedName name="IQ_LARGE_CAP_LABOR_COST_INDEX_POP_FC" hidden="1">"c8004"</definedName>
    <definedName name="IQ_LARGE_CAP_LABOR_COST_INDEX_YOY" hidden="1">"c7344"</definedName>
    <definedName name="IQ_LARGE_CAP_LABOR_COST_INDEX_YOY_FC" hidden="1">"c8224"</definedName>
    <definedName name="IQ_LAST_EBIT_MARGIN" hidden="1">"IQ_LAST_EBIT_MARGIN"</definedName>
    <definedName name="IQ_LAST_EBITDA_MARGIN" hidden="1">"IQ_LAST_EBITDA_MARGIN"</definedName>
    <definedName name="IQ_LAST_GROSS_MARGIN" hidden="1">"IQ_LAST_GROSS_MARGIN"</definedName>
    <definedName name="IQ_LAST_NET_INC_MARGIN" hidden="1">"IQ_LAST_NET_INC_MARGIN"</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_MONTHLY_FACTOR" hidden="1">"c8971"</definedName>
    <definedName name="IQ_LATEST_MONTHLY_FACTOR_DATE" hidden="1">"c8972"</definedName>
    <definedName name="IQ_LATEST_TRANSACTION" hidden="1">"c18886"</definedName>
    <definedName name="IQ_LATESTK" hidden="1">1000</definedName>
    <definedName name="IQ_LATESTKFR" hidden="1">"50"</definedName>
    <definedName name="IQ_LATESTQ" hidden="1">500</definedName>
    <definedName name="IQ_LATESTQFR" hidden="1">"100"</definedName>
    <definedName name="IQ_LEAD_UNDERWRITER" hidden="1">"c8957"</definedName>
    <definedName name="IQ_LEASE_EXPENSE" hidden="1">"c16039"</definedName>
    <definedName name="IQ_LEASE_FIN_RECEIVABLES_NON_US_CHARGE_OFFS_FFIEC" hidden="1">"c13631"</definedName>
    <definedName name="IQ_LEASE_FIN_RECEIVABLES_NON_US_RECOV_FFIEC" hidden="1">"c13635"</definedName>
    <definedName name="IQ_LEASE_FIN_RECEIVABLES_US_CHARGE_OFFS_FFIEC" hidden="1">"c13630"</definedName>
    <definedName name="IQ_LEASE_FIN_RECEIVABLES_US_RECOV_FFIEC" hidden="1">"c13634"</definedName>
    <definedName name="IQ_LEASE_FINANCE" hidden="1">"c5654"</definedName>
    <definedName name="IQ_LEASE_FINANCING_REC_DUE_30_89_FFIEC" hidden="1">"c13276"</definedName>
    <definedName name="IQ_LEASE_FINANCING_REC_DUE_90_FFIEC" hidden="1">"c13302"</definedName>
    <definedName name="IQ_LEASE_FINANCING_REC_NON_ACCRUAL_FFIEC" hidden="1">"c13328"</definedName>
    <definedName name="IQ_LEASE_FINANCING_RECEIVABLES_CHARGE_OFFS_FDIC" hidden="1">"c6602"</definedName>
    <definedName name="IQ_LEASE_FINANCING_RECEIVABLES_DOM_FFIEC" hidden="1">"c12915"</definedName>
    <definedName name="IQ_LEASE_FINANCING_RECEIVABLES_FDIC" hidden="1">"c6433"</definedName>
    <definedName name="IQ_LEASE_FINANCING_RECEIVABLES_NET_CHARGE_OFFS_FDIC" hidden="1">"c6640"</definedName>
    <definedName name="IQ_LEASE_FINANCING_RECEIVABLES_QUARTERLY_AVG_FFIEC" hidden="1">"c15483"</definedName>
    <definedName name="IQ_LEASE_FINANCING_RECEIVABLES_RECOVERIES_FDIC" hidden="1">"c6621"</definedName>
    <definedName name="IQ_LEASE_FINANCING_RECEIVABLES_TOTAL_LOANS_FOREIGN_FDIC" hidden="1">"c6449"</definedName>
    <definedName name="IQ_LEASE_PMT_REC_AFTER_FIVE" hidden="1">"c16099"</definedName>
    <definedName name="IQ_LEASE_PMT_REC_CY" hidden="1">"c16093"</definedName>
    <definedName name="IQ_LEASE_PMT_REC_CY1" hidden="1">"c16094"</definedName>
    <definedName name="IQ_LEASE_PMT_REC_CY2" hidden="1">"c16095"</definedName>
    <definedName name="IQ_LEASE_PMT_REC_CY3" hidden="1">"c16096"</definedName>
    <definedName name="IQ_LEASE_PMT_REC_CY4" hidden="1">"c16097"</definedName>
    <definedName name="IQ_LEASE_PMT_REC_NEXT_FIVE" hidden="1">"c16098"</definedName>
    <definedName name="IQ_LEASE_PMT_REC_TOTAL" hidden="1">"c16100"</definedName>
    <definedName name="IQ_LEASE_RECEIVABLES_FOREIGN_FFIEC" hidden="1">"c13483"</definedName>
    <definedName name="IQ_LEASE_RECEIVABLES_THRIFT" hidden="1">"c24857"</definedName>
    <definedName name="IQ_LEASE_REVENUE" hidden="1">"c16023"</definedName>
    <definedName name="IQ_LEASE_TERMINATION_FEES" hidden="1">"c16182"</definedName>
    <definedName name="IQ_LEASED_RESERVES_COAL" hidden="1">"c15918"</definedName>
    <definedName name="IQ_LEASED_RESERVES_TO_TOTAL_RESERVES_COAL" hidden="1">"c15958"</definedName>
    <definedName name="IQ_LEASEHOLD_IMPROVEMENT" hidden="1">"c17549"</definedName>
    <definedName name="IQ_LEASES_INDIVIDUALS_CHARGE_OFFS_FFIEC" hidden="1">"c13184"</definedName>
    <definedName name="IQ_LEASES_INDIVIDUALS_RECOV_FFIEC" hidden="1">"c13206"</definedName>
    <definedName name="IQ_LEASES_PERSONAL_EXP_DUE_30_89_FFIEC" hidden="1">"c13277"</definedName>
    <definedName name="IQ_LEASES_PERSONAL_EXP_DUE_90_FFIEC" hidden="1">"c13303"</definedName>
    <definedName name="IQ_LEASES_PERSONAL_EXP_NON_ACCRUAL_FFIEC" hidden="1">"c13329"</definedName>
    <definedName name="IQ_LEGAL_EXP_THRIFT" hidden="1">"c24789"</definedName>
    <definedName name="IQ_LEGAL_FEES_FFIEC" hidden="1">"c13052"</definedName>
    <definedName name="IQ_LEGAL_SETTLE" hidden="1">"c647"</definedName>
    <definedName name="IQ_LEGAL_SETTLE_BNK" hidden="1">"c648"</definedName>
    <definedName name="IQ_LEGAL_SETTLE_BR" hidden="1">"c649"</definedName>
    <definedName name="IQ_LEGAL_SETTLE_CM"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SUPPLE" hidden="1">"c13815"</definedName>
    <definedName name="IQ_LEGAL_SETTLE_UTI" hidden="1">"c653"</definedName>
    <definedName name="IQ_LETTERS_CREDIT_THRIFT" hidden="1">"c25612"</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AB_AP" hidden="1">"c8886"</definedName>
    <definedName name="IQ_LIAB_AP_ABS" hidden="1">"c8905"</definedName>
    <definedName name="IQ_LIAB_NAME_AP" hidden="1">"c8924"</definedName>
    <definedName name="IQ_LIAB_NAME_AP_ABS" hidden="1">"c8943"</definedName>
    <definedName name="IQ_LIABILITIES_FAIR_VALUE" hidden="1">"c13848"</definedName>
    <definedName name="IQ_LIABILITIES_LEVEL_1" hidden="1">"c13844"</definedName>
    <definedName name="IQ_LIABILITIES_LEVEL_2" hidden="1">"c13845"</definedName>
    <definedName name="IQ_LIABILITIES_LEVEL_3" hidden="1">"c13846"</definedName>
    <definedName name="IQ_LIABILITIES_NETTING_OTHER_ADJUSTMENTS" hidden="1">"c13847"</definedName>
    <definedName name="IQ_LIABILITY_ACCEPTANCES_OUT_FFIEC" hidden="1">"c12866"</definedName>
    <definedName name="IQ_LIABILITY_SHORT_POSITIONS_DOM_FFIEC" hidden="1">"c12941"</definedName>
    <definedName name="IQ_LICENSED_POPS" hidden="1">"c2123"</definedName>
    <definedName name="IQ_LICENSED_WIRELESS_POPS" hidden="1">"c2123"</definedName>
    <definedName name="IQ_LIFE_EARNED" hidden="1">"c2739"</definedName>
    <definedName name="IQ_LIFE_INSURANCE_ASSETS_FDIC" hidden="1">"c6372"</definedName>
    <definedName name="IQ_LIFE_INSURANCE_ASSETS_FFIEC" hidden="1">"c12847"</definedName>
    <definedName name="IQ_LIFOR" hidden="1">"c655"</definedName>
    <definedName name="IQ_LIMITED_PARTNERS" hidden="1">"c18915"</definedName>
    <definedName name="IQ_LIMITED_PARTNERS_ID" hidden="1">"c18916"</definedName>
    <definedName name="IQ_LIMITED_PARTNERS_REL" hidden="1">"c19114"</definedName>
    <definedName name="IQ_LINE_EXTENSIONS_CABLE_INVEST" hidden="1">"c15803"</definedName>
    <definedName name="IQ_LIQUID_ASSETS_ASSETS_TOT_FFIEC" hidden="1">"c13439"</definedName>
    <definedName name="IQ_LIQUID_ASSETS_NON_LIQUID_ASSETS_THRIFT" hidden="1">"c25626"</definedName>
    <definedName name="IQ_LIQUID_ASSETS_NONCORE_FUNDING_FFIEC" hidden="1">"c13339"</definedName>
    <definedName name="IQ_LIQUID_ASSETS_TOTAL_ASSETS_THRIFT" hidden="1">"c25696"</definedName>
    <definedName name="IQ_LIQUIDATION_VALUE_PREFERRED_CONVERT" hidden="1">"c13835"</definedName>
    <definedName name="IQ_LIQUIDATION_VALUE_PREFERRED_NON_REDEEM" hidden="1">"c13836"</definedName>
    <definedName name="IQ_LIQUIDATION_VALUE_PREFERRED_REDEEM" hidden="1">"c13837"</definedName>
    <definedName name="IQ_LL" hidden="1">"c656"</definedName>
    <definedName name="IQ_LL_ALLOWANCE_GROSS_LOANS_THRIFT" hidden="1">"c25637"</definedName>
    <definedName name="IQ_LL_ALLOWANCE_NET_LOANS_LOSSES_THRIFT" hidden="1">"c25642"</definedName>
    <definedName name="IQ_LL_ALLOWANCE_NONACCRUAL_ASSETS_THRIFT" hidden="1">"c25638"</definedName>
    <definedName name="IQ_LOAN_ALLOW_GROSS_LOANS_FFIEC" hidden="1">"c13415"</definedName>
    <definedName name="IQ_LOAN_ALLOWANCE_GROSS_LOSSES_FFIEC" hidden="1">"c13352"</definedName>
    <definedName name="IQ_LOAN_ALLOWANCE_NET_LOANS_FFIEC" hidden="1">"c13472"</definedName>
    <definedName name="IQ_LOAN_ALLOWANCE_NONACCRUAL_ASSETS_FFIEC" hidden="1">"c13473"</definedName>
    <definedName name="IQ_LOAN_ALLOWANCE_PAST_DUE_NONACCRUAL_FFIEC" hidden="1">"c13474"</definedName>
    <definedName name="IQ_LOAN_COMMITMENTS_FAIR_VALUE_TOT_FFIEC" hidden="1">"c13216"</definedName>
    <definedName name="IQ_LOAN_COMMITMENTS_LEVEL_1_FFIEC" hidden="1">"c13224"</definedName>
    <definedName name="IQ_LOAN_COMMITMENTS_LEVEL_2_FFIEC" hidden="1">"c13232"</definedName>
    <definedName name="IQ_LOAN_COMMITMENTS_LEVEL_3_FFIEC" hidden="1">"c13240"</definedName>
    <definedName name="IQ_LOAN_COMMITMENTS_REVOLVING_FDIC" hidden="1">"c6524"</definedName>
    <definedName name="IQ_LOAN_LEASE_ALLOWANCE_PAST_DUE_NONACCRUAL_LOANS_THRIFT" hidden="1">"c25643"</definedName>
    <definedName name="IQ_LOAN_LEASE_RECEIV" hidden="1">"c657"</definedName>
    <definedName name="IQ_LOAN_LOSS" hidden="1">"c656"</definedName>
    <definedName name="IQ_LOAN_LOSS_ALLOW_FDIC" hidden="1">"c6326"</definedName>
    <definedName name="IQ_LOAN_LOSS_ALLOWANCE_GROSS_LOANS_THRIFT" hidden="1">"c25736"</definedName>
    <definedName name="IQ_LOAN_LOSS_ALLOWANCE_NON_PERF_ASSETS_FFIEC" hidden="1">"c13912"</definedName>
    <definedName name="IQ_LOAN_LOSS_ALLOWANCE_NONCURRENT_LOANS_FDIC" hidden="1">"c6740"</definedName>
    <definedName name="IQ_LOAN_LOSS_PROVISION_FOREIGN_FFIEC" hidden="1">"c15382"</definedName>
    <definedName name="IQ_LOAN_LOSSES_AVERAGE_LOANS_FFIEC" hidden="1">"c13350"</definedName>
    <definedName name="IQ_LOAN_LOSSES_FDIC" hidden="1">"c6580"</definedName>
    <definedName name="IQ_LOAN_RECOVERIES_AVG_LOANS_THRIFT" hidden="1">"c25644"</definedName>
    <definedName name="IQ_LOAN_SERVICE_REV" hidden="1">"c658"</definedName>
    <definedName name="IQ_LOAN_SERVICING_FEES_THRIFT" hidden="1">"c24790"</definedName>
    <definedName name="IQ_LOANS_AGRICULTURAL_PROD_LL_REC_FFIEC" hidden="1">"c12886"</definedName>
    <definedName name="IQ_LOANS_AND_LEASES_HELD_FDIC" hidden="1">"c6367"</definedName>
    <definedName name="IQ_LOANS_CF" hidden="1">"c659"</definedName>
    <definedName name="IQ_LOANS_CF_BNK" hidden="1">"c660"</definedName>
    <definedName name="IQ_LOANS_CF_BR" hidden="1">"c661"</definedName>
    <definedName name="IQ_LOANS_CF_CM"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_LL_REC_DOM_FFIEC" hidden="1">"c25855"</definedName>
    <definedName name="IQ_LOANS_DEP_LL_REC_FFIEC" hidden="1">"c25851"</definedName>
    <definedName name="IQ_LOANS_DEP_OTHER_LL_REC_DOM_FFIEC" hidden="1">"c25854"</definedName>
    <definedName name="IQ_LOANS_DEP_OTHER_LL_REC_FFIEC" hidden="1">"c25850"</definedName>
    <definedName name="IQ_LOANS_DEPOSITORY_INST_US_LL_REC_FFIEC" hidden="1">"c12884"</definedName>
    <definedName name="IQ_LOANS_DEPOSITORY_INSTITUTIONS_FDIC" hidden="1">"c6382"</definedName>
    <definedName name="IQ_LOANS_DOM_QUARTERLY_AVG_FFIEC" hidden="1">"c13084"</definedName>
    <definedName name="IQ_LOANS_FARMERS_CHARGE_OFFS_FFIEC" hidden="1">"c13177"</definedName>
    <definedName name="IQ_LOANS_FARMERS_RECOV_FFIEC" hidden="1">"c13199"</definedName>
    <definedName name="IQ_LOANS_FINANCE_AGRICULTURAL_DUE_30_89_FFIEC" hidden="1">"c13270"</definedName>
    <definedName name="IQ_LOANS_FINANCE_AGRICULTURAL_DUE_90_FFIEC" hidden="1">"c13296"</definedName>
    <definedName name="IQ_LOANS_FINANCE_AGRICULTURAL_NON_ACCRUAL_FFIEC" hidden="1">"c13322"</definedName>
    <definedName name="IQ_LOANS_FINANCE_AGRICULTURAL_PROD_LL_REC_DOM_FFIEC" hidden="1">"c12909"</definedName>
    <definedName name="IQ_LOANS_FOR_SALE" hidden="1">"c666"</definedName>
    <definedName name="IQ_LOANS_FOREIGN_GOV_CHARGE_OFFS_FFIEC" hidden="1">"c13182"</definedName>
    <definedName name="IQ_LOANS_FOREIGN_GOV_DUE_30_89_FFIEC" hidden="1">"c13274"</definedName>
    <definedName name="IQ_LOANS_FOREIGN_GOV_DUE_90_FFIEC" hidden="1">"c13300"</definedName>
    <definedName name="IQ_LOANS_FOREIGN_GOV_LL_REC_DOM_FFIEC" hidden="1">"c12912"</definedName>
    <definedName name="IQ_LOANS_FOREIGN_GOV_NON_ACCRUAL_FFIEC" hidden="1">"c13326"</definedName>
    <definedName name="IQ_LOANS_FOREIGN_GOV_RECOV_FFIEC" hidden="1">"c13204"</definedName>
    <definedName name="IQ_LOANS_FOREIGN_INST_CHARGE_OFFS_FFIEC" hidden="1">"c13176"</definedName>
    <definedName name="IQ_LOANS_FOREIGN_INST_RECOV_FFIEC" hidden="1">"c13198"</definedName>
    <definedName name="IQ_LOANS_FOREIGN_LL_REC_FFIEC" hidden="1">"c12885"</definedName>
    <definedName name="IQ_LOANS_GOV_GUARANTEED_DUE_30_89_FFIEC" hidden="1">"c13281"</definedName>
    <definedName name="IQ_LOANS_GOV_GUARANTEED_DUE_90_FFIEC" hidden="1">"c13307"</definedName>
    <definedName name="IQ_LOANS_GOV_GUARANTEED_EXCL_GNMA_DUE_30_89_FFIEC" hidden="1">"c13282"</definedName>
    <definedName name="IQ_LOANS_GOV_GUARANTEED_EXCL_GNMA_DUE_90_FFIEC" hidden="1">"c13308"</definedName>
    <definedName name="IQ_LOANS_GOV_GUARANTEED_EXCL_GNMA_NON_ACCRUAL_FFIEC" hidden="1">"c13333"</definedName>
    <definedName name="IQ_LOANS_GOV_GUARANTEED_NON_ACCRUAL_FFIEC" hidden="1">"c13332"</definedName>
    <definedName name="IQ_LOANS_HELD_FOREIGN_FDIC" hidden="1">"c6315"</definedName>
    <definedName name="IQ_LOANS_INDIVIDUALS_FOREIGN_FFIEC" hidden="1">"c13480"</definedName>
    <definedName name="IQ_LOANS_INDIVIDUALS_GROSS_LOANS_THRIFT" hidden="1">"c25733"</definedName>
    <definedName name="IQ_LOANS_INDIVIDUALS_RISK_BASED_CAPITAL_THRIFT" hidden="1">"c25718"</definedName>
    <definedName name="IQ_LOANS_LEASES_AMOUNTS_NETTED_THRIFT" hidden="1">"c25498"</definedName>
    <definedName name="IQ_LOANS_LEASES_ASSETS_TOT_FFIEC" hidden="1">"c13437"</definedName>
    <definedName name="IQ_LOANS_LEASES_FAIR_VALUE_TOT_FFIEC" hidden="1">"c13209"</definedName>
    <definedName name="IQ_LOANS_LEASES_FOREIGN_FDIC" hidden="1">"c6383"</definedName>
    <definedName name="IQ_LOANS_LEASES_GROSS_FDIC" hidden="1">"c6323"</definedName>
    <definedName name="IQ_LOANS_LEASES_GROSS_FOREIGN_FDIC" hidden="1">"c6384"</definedName>
    <definedName name="IQ_LOANS_LEASES_HELD_SALE_FFIEC" hidden="1">"c12808"</definedName>
    <definedName name="IQ_LOANS_LEASES_HFI_FAIR_VALUE_TOT_FFIEC" hidden="1">"c15401"</definedName>
    <definedName name="IQ_LOANS_LEASES_HFI_LEVEL_1_FFIEC" hidden="1">"c15423"</definedName>
    <definedName name="IQ_LOANS_LEASES_HFI_LEVEL_2_FFIEC" hidden="1">"c15436"</definedName>
    <definedName name="IQ_LOANS_LEASES_HFI_LEVEL_3_FFIEC" hidden="1">"c15449"</definedName>
    <definedName name="IQ_LOANS_LEASES_HFS_DUE_30_89_THRIFT" hidden="1">"c25257"</definedName>
    <definedName name="IQ_LOANS_LEASES_HFS_DUE_90_THRIFT" hidden="1">"c25278"</definedName>
    <definedName name="IQ_LOANS_LEASES_HFS_FAIR_VALUE_TOT_FFIEC" hidden="1">"c15400"</definedName>
    <definedName name="IQ_LOANS_LEASES_HFS_LEVEL_1_FFIEC" hidden="1">"c15422"</definedName>
    <definedName name="IQ_LOANS_LEASES_HFS_LEVEL_2_FFIEC" hidden="1">"c15435"</definedName>
    <definedName name="IQ_LOANS_LEASES_HFS_LEVEL_3_FFIEC" hidden="1">"c15448"</definedName>
    <definedName name="IQ_LOANS_LEASES_HFS_NON_ACCRUAL_THRIFT" hidden="1">"c25299"</definedName>
    <definedName name="IQ_LOANS_LEASES_LEVEL_1_FFIEC" hidden="1">"c13217"</definedName>
    <definedName name="IQ_LOANS_LEASES_LEVEL_1_THRIFT" hidden="1">"c25494"</definedName>
    <definedName name="IQ_LOANS_LEASES_LEVEL_2_FFIEC" hidden="1">"c13225"</definedName>
    <definedName name="IQ_LOANS_LEASES_LEVEL_2_THRIFT" hidden="1">"c25495"</definedName>
    <definedName name="IQ_LOANS_LEASES_LEVEL_3_FFIEC" hidden="1">"c13233"</definedName>
    <definedName name="IQ_LOANS_LEASES_LEVEL_3_THRIFT" hidden="1">"c25496"</definedName>
    <definedName name="IQ_LOANS_LEASES_NET_FDIC" hidden="1">"c6327"</definedName>
    <definedName name="IQ_LOANS_LEASES_NET_UNEARNED_FDIC" hidden="1">"c6325"</definedName>
    <definedName name="IQ_LOANS_LEASES_NET_UNEARNED_INC_ALLOWANCE_FFIEC" hidden="1">"c12811"</definedName>
    <definedName name="IQ_LOANS_LEASES_NET_UNEARNED_INCOME_FFIEC" hidden="1">"c12809"</definedName>
    <definedName name="IQ_LOANS_LEASES_QUARTERLY_AVG_FFIEC" hidden="1">"c13081"</definedName>
    <definedName name="IQ_LOANS_LEASES_REPORTED_WHOLLY_PARTIALLY_GUARANT_US_GOVT_AGENCY_SPONS_ENTITY_DUE_30_89_THRIFT" hidden="1">"c25258"</definedName>
    <definedName name="IQ_LOANS_LEASES_REPORTED_WHOLLY_PARTIALLY_GUARANT_US_GOVT_AGENCY_SPONS_ENTITY_DUE_90_THRIFT" hidden="1">"c25279"</definedName>
    <definedName name="IQ_LOANS_LEASES_REPORTED_WHOLLY_PARTIALLY_GUARANT_US_GOVT_AGENCY_SPONS_ENTITY_NON_ACCRUAL_THRIFT" hidden="1">"c25300"</definedName>
    <definedName name="IQ_LOANS_LEASES_TOTAL_AFTER_NETTING_THRIFT" hidden="1">"c25499"</definedName>
    <definedName name="IQ_LOANS_LEASES_TOTAL_BEFORE_NETTING_THRIFT" hidden="1">"c25497"</definedName>
    <definedName name="IQ_LOANS_LOC_ASSETS_TOT_FFIEC" hidden="1">"c13441"</definedName>
    <definedName name="IQ_LOANS_NOT_SECURED_RE_FDIC" hidden="1">"c6381"</definedName>
    <definedName name="IQ_LOANS_PAST_DUE" hidden="1">"c667"</definedName>
    <definedName name="IQ_LOANS_PURCHASE_CARRY_LL_REC_DOM_FFIEC" hidden="1">"c25856"</definedName>
    <definedName name="IQ_LOANS_PURCHASE_CARRY_LL_REC_FFIEC" hidden="1">"c25852"</definedName>
    <definedName name="IQ_LOANS_PURCHASING_CARRYING_SECURITIES_LL_REC_DOM_FFIEC" hidden="1">"c12913"</definedName>
    <definedName name="IQ_LOANS_RECEIV_CURRENT" hidden="1">"c668"</definedName>
    <definedName name="IQ_LOANS_RECEIV_LT" hidden="1">"c669"</definedName>
    <definedName name="IQ_LOANS_RECEIV_LT_UTI" hidden="1">"c670"</definedName>
    <definedName name="IQ_LOANS_SEC_RE_FOREIGN_CHARGE_OFFS_FFIEC" hidden="1">"c13174"</definedName>
    <definedName name="IQ_LOANS_SEC_RE_FOREIGN_RECOV_FFIEC" hidden="1">"c13196"</definedName>
    <definedName name="IQ_LOANS_SECURED_1_4_DOM_QUARTERLY_AVG_FFIEC" hidden="1">"c13082"</definedName>
    <definedName name="IQ_LOANS_SECURED_BY_RE_CHARGE_OFFS_FDIC" hidden="1">"c6588"</definedName>
    <definedName name="IQ_LOANS_SECURED_BY_RE_RECOVERIES_FDIC" hidden="1">"c6607"</definedName>
    <definedName name="IQ_LOANS_SECURED_CONSTRUCTION_TRADING_DOM_FFIEC" hidden="1">"c12925"</definedName>
    <definedName name="IQ_LOANS_SECURED_FARM_100000_THROUGH_250000_THRIFT" hidden="1">"c24968"</definedName>
    <definedName name="IQ_LOANS_SECURED_FARM_250000_THROUGH_500000_THRIFT" hidden="1">"c24970"</definedName>
    <definedName name="IQ_LOANS_SECURED_FARM_LESS_THAN_EQUAL_100000_THRIFT" hidden="1">"c24966"</definedName>
    <definedName name="IQ_LOANS_SECURED_FARMLAND_TRADING_DOM_FFIEC" hidden="1">"c12926"</definedName>
    <definedName name="IQ_LOANS_SECURED_NON_US_FDIC" hidden="1">"c6380"</definedName>
    <definedName name="IQ_LOANS_SECURED_RE_DOM_QUARTERLY_AVG_FFIEC" hidden="1">"c13083"</definedName>
    <definedName name="IQ_LOANS_SECURED_RE_FFIEC" hidden="1">"c12820"</definedName>
    <definedName name="IQ_LOANS_SECURED_RE_LL_REC_FFIEC" hidden="1">"c12883"</definedName>
    <definedName name="IQ_LOANS_SECURED_RE_NET_CHARGE_OFFS_FDIC" hidden="1">"c6626"</definedName>
    <definedName name="IQ_LOANS_SERVICED_OTHERS_THRIFT" hidden="1">"c24935"</definedName>
    <definedName name="IQ_LOANS_TO_DEPOSITORY_INSTITUTIONS_FOREIGN_FDIC" hidden="1">"c6453"</definedName>
    <definedName name="IQ_LOANS_TO_FOREIGN_GOVERNMENTS_FDIC" hidden="1">"c6448"</definedName>
    <definedName name="IQ_LOANS_TO_INDIVIDUALS_FOREIGN_FDIC" hidden="1">"c6452"</definedName>
    <definedName name="IQ_LOANS_US_INST_CHARGE_OFFS_FFIEC" hidden="1">"c13175"</definedName>
    <definedName name="IQ_LOANS_US_INST_RECOV_FFIEC" hidden="1">"c13197"</definedName>
    <definedName name="IQ_LONG_TERM_ASSETS_FDIC" hidden="1">"c6361"</definedName>
    <definedName name="IQ_LONG_TERM_DEBT" hidden="1">"c674"</definedName>
    <definedName name="IQ_LONG_TERM_DEBT_OVER_TOTAL_CAP" hidden="1">"c677"</definedName>
    <definedName name="IQ_LONG_TERM_GROWTH" hidden="1">"c671"</definedName>
    <definedName name="IQ_LONG_TERM_INV" hidden="1">"c697"</definedName>
    <definedName name="IQ_LOSS_ALLOWANCE_LOANS_FDIC" hidden="1">"c6739"</definedName>
    <definedName name="IQ_LOSS_AVAIL_SALE_EQUITY_SEC_T1_FFIEC" hidden="1">"c13132"</definedName>
    <definedName name="IQ_LOSS_LOSS_EXP" hidden="1">"c672"</definedName>
    <definedName name="IQ_LOSS_RECOGNIZED_OCI_FFIEC" hidden="1">"c25847"</definedName>
    <definedName name="IQ_LOSS_TO_NET_EARNED" hidden="1">"c2751"</definedName>
    <definedName name="IQ_LOW_SULFUR_CONTENT_RESERVES_COAL" hidden="1">"c15924"</definedName>
    <definedName name="IQ_LOW_SULFURE_RESERVES_TO_TOTAL_RESERVES_COAL" hidden="1">"c15961"</definedName>
    <definedName name="IQ_LOW_TARGET_PRICE" hidden="1">"c1652"</definedName>
    <definedName name="IQ_LOW_TARGET_PRICE_CIQ" hidden="1">"c4660"</definedName>
    <definedName name="IQ_LOW_TARGET_PRICE_REUT" hidden="1">"c5318"</definedName>
    <definedName name="IQ_LOW_TARGET_PRICE_THOM" hidden="1">"c5097"</definedName>
    <definedName name="IQ_LOWPRICE" hidden="1">"c673"</definedName>
    <definedName name="IQ_LT_ASSETS_AP" hidden="1">"c8882"</definedName>
    <definedName name="IQ_LT_ASSETS_AP_ABS" hidden="1">"c8901"</definedName>
    <definedName name="IQ_LT_ASSETS_NAME_AP" hidden="1">"c8920"</definedName>
    <definedName name="IQ_LT_ASSETS_NAME_AP_ABS" hidden="1">"c8939"</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CM" hidden="1">"c676"</definedName>
    <definedName name="IQ_LT_DEBT_DERIVATIVES" hidden="1">"c17743"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CM"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MATURING_1YR_INT_SENSITIVITY_FFIEC" hidden="1">"c13097"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CM"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REPRICE_ASSETS_TOT_FFIEC" hidden="1">"c13453"</definedName>
    <definedName name="IQ_LT_DEBT_REPRICING_WITHIN_1_YR_INT_SENSITIVITY_FFIEC" hidden="1">"c13095"</definedName>
    <definedName name="IQ_LT_DEBT_UTI" hidden="1">"c696"</definedName>
    <definedName name="IQ_LT_INVEST" hidden="1">"c697"</definedName>
    <definedName name="IQ_LT_INVEST_BR" hidden="1">"c698"</definedName>
    <definedName name="IQ_LT_INVEST_CM" hidden="1">"c698"</definedName>
    <definedName name="IQ_LT_INVEST_FIN" hidden="1">"c699"</definedName>
    <definedName name="IQ_LT_INVEST_RE" hidden="1">"c6234"</definedName>
    <definedName name="IQ_LT_INVEST_REIT" hidden="1">"c700"</definedName>
    <definedName name="IQ_LT_INVEST_UTI" hidden="1">"c701"</definedName>
    <definedName name="IQ_LT_LIAB_AP" hidden="1">"c8885"</definedName>
    <definedName name="IQ_LT_LIAB_AP_ABS" hidden="1">"c8904"</definedName>
    <definedName name="IQ_LT_LIAB_NAME_AP" hidden="1">"c8923"</definedName>
    <definedName name="IQ_LT_LIAB_NAME_AP_ABS" hidden="1">"c8942"</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"LTM_DATE"</definedName>
    <definedName name="IQ_LTM_REVENUE_OVER_EMPLOYEES" hidden="1">"c1304"</definedName>
    <definedName name="IQ_LTMMONTH" hidden="1">120000</definedName>
    <definedName name="IQ_M1" hidden="1">"c6906"</definedName>
    <definedName name="IQ_M1_APR" hidden="1">"c7566"</definedName>
    <definedName name="IQ_M1_APR_FC" hidden="1">"c8446"</definedName>
    <definedName name="IQ_M1_FC" hidden="1">"c7786"</definedName>
    <definedName name="IQ_M1_POP" hidden="1">"c7126"</definedName>
    <definedName name="IQ_M1_POP_FC" hidden="1">"c8006"</definedName>
    <definedName name="IQ_M1_YOY" hidden="1">"c7346"</definedName>
    <definedName name="IQ_M1_YOY_FC" hidden="1">"c8226"</definedName>
    <definedName name="IQ_M2" hidden="1">"c6907"</definedName>
    <definedName name="IQ_M2_APR" hidden="1">"c7567"</definedName>
    <definedName name="IQ_M2_APR_FC" hidden="1">"c8447"</definedName>
    <definedName name="IQ_M2_FC" hidden="1">"c7787"</definedName>
    <definedName name="IQ_M2_POP" hidden="1">"c7127"</definedName>
    <definedName name="IQ_M2_POP_FC" hidden="1">"c8007"</definedName>
    <definedName name="IQ_M2_YOY" hidden="1">"c7347"</definedName>
    <definedName name="IQ_M2_YOY_FC" hidden="1">"c8227"</definedName>
    <definedName name="IQ_M3" hidden="1">"c6908"</definedName>
    <definedName name="IQ_M3_APR" hidden="1">"c7568"</definedName>
    <definedName name="IQ_M3_APR_FC" hidden="1">"c8448"</definedName>
    <definedName name="IQ_M3_FC" hidden="1">"c7788"</definedName>
    <definedName name="IQ_M3_POP" hidden="1">"c7128"</definedName>
    <definedName name="IQ_M3_POP_FC" hidden="1">"c8008"</definedName>
    <definedName name="IQ_M3_YOY" hidden="1">"c7348"</definedName>
    <definedName name="IQ_M3_YOY_FC" hidden="1">"c8228"</definedName>
    <definedName name="IQ_MACHINERY" hidden="1">"c711"</definedName>
    <definedName name="IQ_MACRO_SURVEY_BUSINESS_BAROMETER" hidden="1">"c20803"</definedName>
    <definedName name="IQ_MACRO_SURVEY_BUSINESS_CONDITION" hidden="1">"c20804"</definedName>
    <definedName name="IQ_MACRO_SURVEY_BUSINESS_CONDITIONS" hidden="1">"c20805"</definedName>
    <definedName name="IQ_MACRO_SURVEY_CONSUMER_COMFORT" hidden="1">"c20806"</definedName>
    <definedName name="IQ_MACRO_SURVEY_CONSUMER_CONFIDENCE" hidden="1">"c20807"</definedName>
    <definedName name="IQ_MACRO_SURVEY_CONSUMER_SENTIMENT" hidden="1">"c20808"</definedName>
    <definedName name="IQ_MACRO_SURVEY_ISM_NONMANUFACTURING" hidden="1">"c20809"</definedName>
    <definedName name="IQ_MACRO_SURVEY_ISM_PMI" hidden="1">"c20810"</definedName>
    <definedName name="IQ_MACRO_SURVEY_LEADING_INDICATOR" hidden="1">"c20811"</definedName>
    <definedName name="IQ_MACRO_SURVEY_PMAC_DIFFUSION" hidden="1">"c20812"</definedName>
    <definedName name="IQ_MAINT_CAPEX" hidden="1">"c2947"</definedName>
    <definedName name="IQ_MAINT_CAPEX_ACT_OR_EST" hidden="1">"c4458"</definedName>
    <definedName name="IQ_MAINT_CAPEX_ACT_OR_EST_CIQ" hidden="1">"c4987"</definedName>
    <definedName name="IQ_MAINT_CAPEX_ACT_OR_EST_CIQ_COL" hidden="1">"c11634"</definedName>
    <definedName name="IQ_MAINT_CAPEX_EST" hidden="1">"c26930"</definedName>
    <definedName name="IQ_MAINT_CAPEX_EST_CIQ" hidden="1">"c4986"</definedName>
    <definedName name="IQ_MAINT_CAPEX_EST_DOWN_2MONTH_CIQ" hidden="1">"c24586"</definedName>
    <definedName name="IQ_MAINT_CAPEX_EST_DOWN_3MONTH_CIQ" hidden="1">"c24590"</definedName>
    <definedName name="IQ_MAINT_CAPEX_EST_DOWN_MONTH_CIQ" hidden="1">"c24582"</definedName>
    <definedName name="IQ_MAINT_CAPEX_EST_NOTE_CIQ" hidden="1">"c24573"</definedName>
    <definedName name="IQ_MAINT_CAPEX_EST_NUM_ANALYSTS_2MONTH_CIQ" hidden="1">"c24584"</definedName>
    <definedName name="IQ_MAINT_CAPEX_EST_NUM_ANALYSTS_3MONTH_CIQ" hidden="1">"c24588"</definedName>
    <definedName name="IQ_MAINT_CAPEX_EST_NUM_ANALYSTS_MONTH_CIQ" hidden="1">"c24580"</definedName>
    <definedName name="IQ_MAINT_CAPEX_EST_TOTAL_REVISED_2MONTH_CIQ" hidden="1">"c24587"</definedName>
    <definedName name="IQ_MAINT_CAPEX_EST_TOTAL_REVISED_3MONTH_CIQ" hidden="1">"c24591"</definedName>
    <definedName name="IQ_MAINT_CAPEX_EST_TOTAL_REVISED_MONTH_CIQ" hidden="1">"c24583"</definedName>
    <definedName name="IQ_MAINT_CAPEX_EST_UP_2MONTH_CIQ" hidden="1">"c24585"</definedName>
    <definedName name="IQ_MAINT_CAPEX_EST_UP_3MONTH_CIQ" hidden="1">"c24589"</definedName>
    <definedName name="IQ_MAINT_CAPEX_EST_UP_MONTH_CIQ" hidden="1">"c24581"</definedName>
    <definedName name="IQ_MAINT_CAPEX_GUIDANCE" hidden="1">"c4459"</definedName>
    <definedName name="IQ_MAINT_CAPEX_GUIDANCE_CIQ" hidden="1">"c4988"</definedName>
    <definedName name="IQ_MAINT_CAPEX_GUIDANCE_CIQ_COL" hidden="1">"c11635"</definedName>
    <definedName name="IQ_MAINT_CAPEX_HIGH_EST" hidden="1">"c26931"</definedName>
    <definedName name="IQ_MAINT_CAPEX_HIGH_EST_CIQ" hidden="1">"c4989"</definedName>
    <definedName name="IQ_MAINT_CAPEX_HIGH_GUIDANCE" hidden="1">"c4197"</definedName>
    <definedName name="IQ_MAINT_CAPEX_HIGH_GUIDANCE_CIQ" hidden="1">"c4609"</definedName>
    <definedName name="IQ_MAINT_CAPEX_HIGH_GUIDANCE_CIQ_COL" hidden="1">"c11258"</definedName>
    <definedName name="IQ_MAINT_CAPEX_LOW_EST" hidden="1">"c26932"</definedName>
    <definedName name="IQ_MAINT_CAPEX_LOW_EST_CIQ" hidden="1">"c4990"</definedName>
    <definedName name="IQ_MAINT_CAPEX_LOW_GUIDANCE" hidden="1">"c4237"</definedName>
    <definedName name="IQ_MAINT_CAPEX_LOW_GUIDANCE_CIQ" hidden="1">"c4649"</definedName>
    <definedName name="IQ_MAINT_CAPEX_LOW_GUIDANCE_CIQ_COL" hidden="1">"c11298"</definedName>
    <definedName name="IQ_MAINT_CAPEX_MEDIAN_EST" hidden="1">"c26933"</definedName>
    <definedName name="IQ_MAINT_CAPEX_MEDIAN_EST_CIQ" hidden="1">"c4991"</definedName>
    <definedName name="IQ_MAINT_CAPEX_NUM_EST" hidden="1">"c26934"</definedName>
    <definedName name="IQ_MAINT_CAPEX_NUM_EST_CIQ" hidden="1">"c5001"</definedName>
    <definedName name="IQ_MAINT_CAPEX_STDDEV_EST" hidden="1">"c26935"</definedName>
    <definedName name="IQ_MAINT_CAPEX_STDDEV_EST_CIQ" hidden="1">"c5002"</definedName>
    <definedName name="IQ_MAINT_REPAIR" hidden="1">"c2087"</definedName>
    <definedName name="IQ_MAKE_WHOLE_END_DATE" hidden="1">"c2493"</definedName>
    <definedName name="IQ_MAKE_WHOLE_SPREAD" hidden="1">"c2494"</definedName>
    <definedName name="IQ_MAKE_WHOLE_START_DATE" hidden="1">"c2492"</definedName>
    <definedName name="IQ_MAN_INVENTORIES" hidden="1">"c6913"</definedName>
    <definedName name="IQ_MAN_INVENTORIES_APR" hidden="1">"c7573"</definedName>
    <definedName name="IQ_MAN_INVENTORIES_APR_FC" hidden="1">"c8453"</definedName>
    <definedName name="IQ_MAN_INVENTORIES_FC" hidden="1">"c7793"</definedName>
    <definedName name="IQ_MAN_INVENTORIES_POP" hidden="1">"c7133"</definedName>
    <definedName name="IQ_MAN_INVENTORIES_POP_FC" hidden="1">"c8013"</definedName>
    <definedName name="IQ_MAN_INVENTORIES_YOY" hidden="1">"c7353"</definedName>
    <definedName name="IQ_MAN_INVENTORIES_YOY_FC" hidden="1">"c8233"</definedName>
    <definedName name="IQ_MAN_IS_RATIO" hidden="1">"c6912"</definedName>
    <definedName name="IQ_MAN_IS_RATIO_APR" hidden="1">"c7572"</definedName>
    <definedName name="IQ_MAN_IS_RATIO_APR_FC" hidden="1">"c8452"</definedName>
    <definedName name="IQ_MAN_IS_RATIO_FC" hidden="1">"c7792"</definedName>
    <definedName name="IQ_MAN_IS_RATIO_POP" hidden="1">"c7132"</definedName>
    <definedName name="IQ_MAN_IS_RATIO_POP_FC" hidden="1">"c8012"</definedName>
    <definedName name="IQ_MAN_IS_RATIO_YOY" hidden="1">"c7352"</definedName>
    <definedName name="IQ_MAN_IS_RATIO_YOY_FC" hidden="1">"c8232"</definedName>
    <definedName name="IQ_MAN_ORDERS" hidden="1">"c6914"</definedName>
    <definedName name="IQ_MAN_ORDERS_APR" hidden="1">"c7574"</definedName>
    <definedName name="IQ_MAN_ORDERS_APR_FC" hidden="1">"c8454"</definedName>
    <definedName name="IQ_MAN_ORDERS_FC" hidden="1">"c7794"</definedName>
    <definedName name="IQ_MAN_ORDERS_POP" hidden="1">"c7134"</definedName>
    <definedName name="IQ_MAN_ORDERS_POP_FC" hidden="1">"c8014"</definedName>
    <definedName name="IQ_MAN_ORDERS_YOY" hidden="1">"c7354"</definedName>
    <definedName name="IQ_MAN_ORDERS_YOY_FC" hidden="1">"c8234"</definedName>
    <definedName name="IQ_MAN_OUTPUT_HR" hidden="1">"c6915"</definedName>
    <definedName name="IQ_MAN_OUTPUT_HR_APR" hidden="1">"c7575"</definedName>
    <definedName name="IQ_MAN_OUTPUT_HR_APR_FC" hidden="1">"c8455"</definedName>
    <definedName name="IQ_MAN_OUTPUT_HR_FC" hidden="1">"c7795"</definedName>
    <definedName name="IQ_MAN_OUTPUT_HR_POP" hidden="1">"c7135"</definedName>
    <definedName name="IQ_MAN_OUTPUT_HR_POP_FC" hidden="1">"c8015"</definedName>
    <definedName name="IQ_MAN_OUTPUT_HR_YOY" hidden="1">"c7355"</definedName>
    <definedName name="IQ_MAN_OUTPUT_HR_YOY_FC" hidden="1">"c8235"</definedName>
    <definedName name="IQ_MAN_PAYROLLS" hidden="1">"c6916"</definedName>
    <definedName name="IQ_MAN_PAYROLLS_APR" hidden="1">"c7576"</definedName>
    <definedName name="IQ_MAN_PAYROLLS_APR_FC" hidden="1">"c8456"</definedName>
    <definedName name="IQ_MAN_PAYROLLS_FC" hidden="1">"c7796"</definedName>
    <definedName name="IQ_MAN_PAYROLLS_POP" hidden="1">"c7136"</definedName>
    <definedName name="IQ_MAN_PAYROLLS_POP_FC" hidden="1">"c8016"</definedName>
    <definedName name="IQ_MAN_PAYROLLS_YOY" hidden="1">"c7356"</definedName>
    <definedName name="IQ_MAN_PAYROLLS_YOY_FC" hidden="1">"c8236"</definedName>
    <definedName name="IQ_MAN_SHIPMENTS" hidden="1">"c6917"</definedName>
    <definedName name="IQ_MAN_SHIPMENTS_APR" hidden="1">"c7577"</definedName>
    <definedName name="IQ_MAN_SHIPMENTS_APR_FC" hidden="1">"c8457"</definedName>
    <definedName name="IQ_MAN_SHIPMENTS_FC" hidden="1">"c7797"</definedName>
    <definedName name="IQ_MAN_SHIPMENTS_POP" hidden="1">"c7137"</definedName>
    <definedName name="IQ_MAN_SHIPMENTS_POP_FC" hidden="1">"c8017"</definedName>
    <definedName name="IQ_MAN_SHIPMENTS_YOY" hidden="1">"c7357"</definedName>
    <definedName name="IQ_MAN_SHIPMENTS_YOY_FC" hidden="1">"c8237"</definedName>
    <definedName name="IQ_MAN_TOTAL_HR" hidden="1">"c6918"</definedName>
    <definedName name="IQ_MAN_TOTAL_HR_APR" hidden="1">"c7578"</definedName>
    <definedName name="IQ_MAN_TOTAL_HR_APR_FC" hidden="1">"c8458"</definedName>
    <definedName name="IQ_MAN_TOTAL_HR_FC" hidden="1">"c7798"</definedName>
    <definedName name="IQ_MAN_TOTAL_HR_POP" hidden="1">"c7138"</definedName>
    <definedName name="IQ_MAN_TOTAL_HR_POP_FC" hidden="1">"c8018"</definedName>
    <definedName name="IQ_MAN_TOTAL_HR_YOY" hidden="1">"c7358"</definedName>
    <definedName name="IQ_MAN_TOTAL_HR_YOY_FC" hidden="1">"c8238"</definedName>
    <definedName name="IQ_MAN_TRADE_INVENTORIES" hidden="1">"c6910"</definedName>
    <definedName name="IQ_MAN_TRADE_INVENTORIES_APR" hidden="1">"c7570"</definedName>
    <definedName name="IQ_MAN_TRADE_INVENTORIES_APR_FC" hidden="1">"c8450"</definedName>
    <definedName name="IQ_MAN_TRADE_INVENTORIES_FC" hidden="1">"c7790"</definedName>
    <definedName name="IQ_MAN_TRADE_INVENTORIES_POP" hidden="1">"c7130"</definedName>
    <definedName name="IQ_MAN_TRADE_INVENTORIES_POP_FC" hidden="1">"c8010"</definedName>
    <definedName name="IQ_MAN_TRADE_INVENTORIES_YOY" hidden="1">"c7350"</definedName>
    <definedName name="IQ_MAN_TRADE_INVENTORIES_YOY_FC" hidden="1">"c8230"</definedName>
    <definedName name="IQ_MAN_TRADE_IS_RATIO" hidden="1">"c6909"</definedName>
    <definedName name="IQ_MAN_TRADE_IS_RATIO_FC" hidden="1">"c7789"</definedName>
    <definedName name="IQ_MAN_TRADE_IS_RATIO_POP" hidden="1">"c7129"</definedName>
    <definedName name="IQ_MAN_TRADE_IS_RATIO_POP_FC" hidden="1">"c8009"</definedName>
    <definedName name="IQ_MAN_TRADE_IS_RATIO_YOY" hidden="1">"c7349"</definedName>
    <definedName name="IQ_MAN_TRADE_IS_RATIO_YOY_FC" hidden="1">"c8229"</definedName>
    <definedName name="IQ_MAN_TRADE_SALES" hidden="1">"c6911"</definedName>
    <definedName name="IQ_MAN_TRADE_SALES_APR" hidden="1">"c7571"</definedName>
    <definedName name="IQ_MAN_TRADE_SALES_APR_FC" hidden="1">"c8451"</definedName>
    <definedName name="IQ_MAN_TRADE_SALES_FC" hidden="1">"c7791"</definedName>
    <definedName name="IQ_MAN_TRADE_SALES_POP" hidden="1">"c7131"</definedName>
    <definedName name="IQ_MAN_TRADE_SALES_POP_FC" hidden="1">"c8011"</definedName>
    <definedName name="IQ_MAN_TRADE_SALES_YOY" hidden="1">"c7351"</definedName>
    <definedName name="IQ_MAN_TRADE_SALES_YOY_FC" hidden="1">"c8231"</definedName>
    <definedName name="IQ_MAN_WAGES" hidden="1">"c6919"</definedName>
    <definedName name="IQ_MAN_WAGES_APR" hidden="1">"c7579"</definedName>
    <definedName name="IQ_MAN_WAGES_APR_FC" hidden="1">"c8459"</definedName>
    <definedName name="IQ_MAN_WAGES_FC" hidden="1">"c7799"</definedName>
    <definedName name="IQ_MAN_WAGES_POP" hidden="1">"c7139"</definedName>
    <definedName name="IQ_MAN_WAGES_POP_FC" hidden="1">"c8019"</definedName>
    <definedName name="IQ_MAN_WAGES_YOY" hidden="1">"c7359"</definedName>
    <definedName name="IQ_MAN_WAGES_YOY_FC" hidden="1">"c8239"</definedName>
    <definedName name="IQ_MANAGED_PROP" hidden="1">"c8763"</definedName>
    <definedName name="IQ_MANAGED_SQ_FT" hidden="1">"c8779"</definedName>
    <definedName name="IQ_MANAGED_UNITS" hidden="1">"c8771"</definedName>
    <definedName name="IQ_MANUFACTURING_INV_APPAREL" hidden="1">"c20813"</definedName>
    <definedName name="IQ_MANUFACTURING_INV_BEVERAGE" hidden="1">"c20814"</definedName>
    <definedName name="IQ_MANUFACTURING_INV_CHEMICALS" hidden="1">"c20815"</definedName>
    <definedName name="IQ_MANUFACTURING_INV_COMPUTER" hidden="1">"c20816"</definedName>
    <definedName name="IQ_MANUFACTURING_INV_DUR" hidden="1">"c20817"</definedName>
    <definedName name="IQ_MANUFACTURING_INV_DUR_MISC" hidden="1">"c20818"</definedName>
    <definedName name="IQ_MANUFACTURING_INV_ELECTRIC" hidden="1">"c20819"</definedName>
    <definedName name="IQ_MANUFACTURING_INV_FAB_METALS" hidden="1">"c20820"</definedName>
    <definedName name="IQ_MANUFACTURING_INV_FOOD" hidden="1">"c20821"</definedName>
    <definedName name="IQ_MANUFACTURING_INV_FURNITURE" hidden="1">"c20822"</definedName>
    <definedName name="IQ_MANUFACTURING_INV_LEATHER" hidden="1">"c20823"</definedName>
    <definedName name="IQ_MANUFACTURING_INV_MACHINERY" hidden="1">"c20824"</definedName>
    <definedName name="IQ_MANUFACTURING_INV_MINERAL" hidden="1">"c20825"</definedName>
    <definedName name="IQ_MANUFACTURING_INV_NONDUR" hidden="1">"c20826"</definedName>
    <definedName name="IQ_MANUFACTURING_INV_PAPER" hidden="1">"c20827"</definedName>
    <definedName name="IQ_MANUFACTURING_INV_PETROLEUM" hidden="1">"c20828"</definedName>
    <definedName name="IQ_MANUFACTURING_INV_PLASTICS" hidden="1">"c20829"</definedName>
    <definedName name="IQ_MANUFACTURING_INV_PRIMARY_METALS" hidden="1">"c20830"</definedName>
    <definedName name="IQ_MANUFACTURING_INV_PRINTING" hidden="1">"c20831"</definedName>
    <definedName name="IQ_MANUFACTURING_INV_SALES_RATIO" hidden="1">"c20832"</definedName>
    <definedName name="IQ_MANUFACTURING_INV_TEXTILE_MILLS" hidden="1">"c20833"</definedName>
    <definedName name="IQ_MANUFACTURING_INV_TEXTILE_PRODUCTS" hidden="1">"c20834"</definedName>
    <definedName name="IQ_MANUFACTURING_INV_TOTAL" hidden="1">"c20835"</definedName>
    <definedName name="IQ_MANUFACTURING_INV_TRANSPORTATION" hidden="1">"c20836"</definedName>
    <definedName name="IQ_MANUFACTURING_INV_WOOD" hidden="1">"c20837"</definedName>
    <definedName name="IQ_MANUFACTURING_NEW_ORDERS" hidden="1">"c20838"</definedName>
    <definedName name="IQ_MANUFACTURING_NEW_ORDERS_COMPUTERS" hidden="1">"c20839"</definedName>
    <definedName name="IQ_MANUFACTURING_NEW_ORDERS_DUR" hidden="1">"c20840"</definedName>
    <definedName name="IQ_MANUFACTURING_NEW_ORDERS_ELECTRIC" hidden="1">"c20841"</definedName>
    <definedName name="IQ_MANUFACTURING_NEW_ORDERS_FAB_METALS" hidden="1">"c20842"</definedName>
    <definedName name="IQ_MANUFACTURING_NEW_ORDERS_FURNITURE" hidden="1">"c20843"</definedName>
    <definedName name="IQ_MANUFACTURING_NEW_ORDERS_MACHINERY" hidden="1">"c20844"</definedName>
    <definedName name="IQ_MANUFACTURING_NEW_ORDERS_METALS" hidden="1">"c20845"</definedName>
    <definedName name="IQ_MANUFACTURING_NEW_ORDERS_NONDUR" hidden="1">"c20846"</definedName>
    <definedName name="IQ_MANUFACTURING_NEW_ORDERS_TRANSPORTATION" hidden="1">"c20847"</definedName>
    <definedName name="IQ_MANUFACTURING_SHIPMENTS_APPAREL" hidden="1">"c20848"</definedName>
    <definedName name="IQ_MANUFACTURING_SHIPMENTS_BEVERAGE" hidden="1">"c20849"</definedName>
    <definedName name="IQ_MANUFACTURING_SHIPMENTS_CHEMICALS" hidden="1">"c20850"</definedName>
    <definedName name="IQ_MANUFACTURING_SHIPMENTS_DUR" hidden="1">"c20851"</definedName>
    <definedName name="IQ_MANUFACTURING_SHIPMENTS_DUR_COMPUTER" hidden="1">"c20852"</definedName>
    <definedName name="IQ_MANUFACTURING_SHIPMENTS_DUR_ELECTRIC" hidden="1">"c20853"</definedName>
    <definedName name="IQ_MANUFACTURING_SHIPMENTS_DUR_FAB_METALS" hidden="1">"c20854"</definedName>
    <definedName name="IQ_MANUFACTURING_SHIPMENTS_DUR_FURNITURE" hidden="1">"c20855"</definedName>
    <definedName name="IQ_MANUFACTURING_SHIPMENTS_DUR_MACHINERY" hidden="1">"c20856"</definedName>
    <definedName name="IQ_MANUFACTURING_SHIPMENTS_DUR_MINERALS" hidden="1">"c20857"</definedName>
    <definedName name="IQ_MANUFACTURING_SHIPMENTS_DUR_MISC" hidden="1">"c20858"</definedName>
    <definedName name="IQ_MANUFACTURING_SHIPMENTS_DUR_PRIM_METALS" hidden="1">"c20859"</definedName>
    <definedName name="IQ_MANUFACTURING_SHIPMENTS_DUR_TRANSPORTATION" hidden="1">"c20860"</definedName>
    <definedName name="IQ_MANUFACTURING_SHIPMENTS_DUR_WOOD" hidden="1">"c20861"</definedName>
    <definedName name="IQ_MANUFACTURING_SHIPMENTS_FOOD" hidden="1">"c20862"</definedName>
    <definedName name="IQ_MANUFACTURING_SHIPMENTS_LEATHER" hidden="1">"c20863"</definedName>
    <definedName name="IQ_MANUFACTURING_SHIPMENTS_NONDUR" hidden="1">"c20864"</definedName>
    <definedName name="IQ_MANUFACTURING_SHIPMENTS_PAPER" hidden="1">"c20865"</definedName>
    <definedName name="IQ_MANUFACTURING_SHIPMENTS_PETROLEUM" hidden="1">"c20866"</definedName>
    <definedName name="IQ_MANUFACTURING_SHIPMENTS_PLASTICS" hidden="1">"c20867"</definedName>
    <definedName name="IQ_MANUFACTURING_SHIPMENTS_PRINTING" hidden="1">"c20868"</definedName>
    <definedName name="IQ_MANUFACTURING_SHIPMENTS_TEXTILE_MILLS" hidden="1">"c20869"</definedName>
    <definedName name="IQ_MANUFACTURING_SHIPMENTS_TEXTILE_PRODUCTS" hidden="1">"c20870"</definedName>
    <definedName name="IQ_MANUFACTURING_SHIPMENTS_TOTAL" hidden="1">"c20871"</definedName>
    <definedName name="IQ_MANUFACTURING_UNFILLED_ORDERS" hidden="1">"c20872"</definedName>
    <definedName name="IQ_MANUFACTURING_UNFILLED_ORDERS_COMPUTERS" hidden="1">"c20873"</definedName>
    <definedName name="IQ_MANUFACTURING_UNFILLED_ORDERS_DUR" hidden="1">"c20874"</definedName>
    <definedName name="IQ_MANUFACTURING_UNFILLED_ORDERS_ELECTRIC" hidden="1">"c20875"</definedName>
    <definedName name="IQ_MANUFACTURING_UNFILLED_ORDERS_FAB_METALS" hidden="1">"c20876"</definedName>
    <definedName name="IQ_MANUFACTURING_UNFILLED_ORDERS_FURNITURE" hidden="1">"c20877"</definedName>
    <definedName name="IQ_MANUFACTURING_UNFILLED_ORDERS_MACHINERY" hidden="1">"c20878"</definedName>
    <definedName name="IQ_MANUFACTURING_UNFILLED_ORDERS_METALS" hidden="1">"c20879"</definedName>
    <definedName name="IQ_MANUFACTURING_UNFILLED_ORDERS_TRANSPORTATION" hidden="1">"c20880"</definedName>
    <definedName name="IQ_MARGIN_ANNUAL_PREMIUM_EQUIVALENT_NEW_BUSINESS" hidden="1">"c9970"</definedName>
    <definedName name="IQ_MARGIN_PV_PREMIUMS_NEW_BUSINESS" hidden="1">"c9971"</definedName>
    <definedName name="IQ_MARKET_CAP_LFCF" hidden="1">"c2209"</definedName>
    <definedName name="IQ_MARKETCAP" hidden="1">"c712"</definedName>
    <definedName name="IQ_MARKETING" hidden="1">"c2239"</definedName>
    <definedName name="IQ_MARKETING_OTHER_PROF_SERVICES_THRIFT" hidden="1">"c24788"</definedName>
    <definedName name="IQ_MARKETING_PROMOTION_EXPENSE" hidden="1">"c16035"</definedName>
    <definedName name="IQ_MATERIALS_SUPPLES_INVENTORY_COAL" hidden="1">"c15942"</definedName>
    <definedName name="IQ_MATURITY_DATE" hidden="1">"c2146"</definedName>
    <definedName name="IQ_MATURITY_ONE_YEAR_LESS_FDIC" hidden="1">"c6425"</definedName>
    <definedName name="IQ_MBS_INVEST_SECURITIES_FFIEC" hidden="1">"c13460"</definedName>
    <definedName name="IQ_MBS_OTHER_ISSUED_FNMA_HTM_AMORT_COST_FFIEC" hidden="1">"c20444"</definedName>
    <definedName name="IQ_MBS_OTHER_ISSUED_FNMA_HTM_FAIR_VAL_FFIEC" hidden="1">"c20479"</definedName>
    <definedName name="IQ_MBS_OTHER_ISSUED_FNMA_OTHERS_AFS_AMORT_COST_FFIEC" hidden="1">"c20496"</definedName>
    <definedName name="IQ_MBS_OTHER_ISSUED_FNMA_OTHERS_AFS_FAIR_VAL_FFIEC" hidden="1">"c20461"</definedName>
    <definedName name="IQ_MBS_OTHER_ISSUED_FNMA_OTHERS_AVAIL_SALE_FFIEC" hidden="1">"c12799"</definedName>
    <definedName name="IQ_MBS_OTHER_ISSUED_FNMA_OTHERS_FFIEC" hidden="1">"c12785"</definedName>
    <definedName name="IQ_MBS_PASS_THROUGH_FNMA_AFS_AMORT_COST_FFIEC" hidden="1">"c20494"</definedName>
    <definedName name="IQ_MBS_PASS_THROUGH_FNMA_AFS_FAIR_VAL_FFIEC" hidden="1">"c20459"</definedName>
    <definedName name="IQ_MBS_PASS_THROUGH_FNMA_AVAIL_SALE_FFIEC" hidden="1">"c12797"</definedName>
    <definedName name="IQ_MBS_PASS_THROUGH_FNMA_FFIEC" hidden="1">"c12783"</definedName>
    <definedName name="IQ_MBS_PASS_THROUGH_FNMA_HTM_AMORT_COST_FFIEC" hidden="1">"c20442"</definedName>
    <definedName name="IQ_MBS_PASS_THROUGH_FNMA_HTM_FAIR_VAL_FFIEC" hidden="1">"c20477"</definedName>
    <definedName name="IQ_MBS_PASS_THROUGH_GNMA_AFS_AMORT_COST_FFIEC" hidden="1">"c20493"</definedName>
    <definedName name="IQ_MBS_PASS_THROUGH_GNMA_AFS_FAIR_VAL_FFIEC" hidden="1">"c20458"</definedName>
    <definedName name="IQ_MBS_PASS_THROUGH_GNMA_AVAIL_SALE_FFIEC" hidden="1">"c12796"</definedName>
    <definedName name="IQ_MBS_PASS_THROUGH_GNMA_FFIEC" hidden="1">"c12782"</definedName>
    <definedName name="IQ_MBS_PASS_THROUGH_GNMA_HTM_AMORT_COST_FFIEC" hidden="1">"c20441"</definedName>
    <definedName name="IQ_MBS_PASS_THROUGH_GNMA_HTM_FAIR_VAL_FFIEC" hidden="1">"c20476"</definedName>
    <definedName name="IQ_MBS_PASS_THROUGH_ISSUED_FNMA_GNMA_TRADING_DOM_FFIEC" hidden="1">"c12921"</definedName>
    <definedName name="IQ_MBS_PASS_THROUGH_OTHER_AFS_AMORT_COST_FFIEC" hidden="1">"c20495"</definedName>
    <definedName name="IQ_MBS_PASS_THROUGH_OTHER_AFS_FAIR_VAL_FFIEC" hidden="1">"c20460"</definedName>
    <definedName name="IQ_MBS_PASS_THROUGH_OTHER_AVAIL_SALE_FFIEC" hidden="1">"c12798"</definedName>
    <definedName name="IQ_MBS_PASS_THROUGH_OTHER_FFIEC" hidden="1">"c12784"</definedName>
    <definedName name="IQ_MBS_PASS_THROUGH_OTHER_HTM_AMORT_COST_FFIEC" hidden="1">"c20443"</definedName>
    <definedName name="IQ_MBS_PASS_THROUGH_OTHER_HTM_FAIR_VAL_FFIEC" hidden="1">"c20478"</definedName>
    <definedName name="IQ_MBS_QUARTERLY_AVG_FFIEC" hidden="1">"c15471"</definedName>
    <definedName name="IQ_MC_ASO_COVERED_LIVES" hidden="1">"c9918"</definedName>
    <definedName name="IQ_MC_ASO_MEMBERSHIP" hidden="1">"c9921"</definedName>
    <definedName name="IQ_MC_CLAIMS_RESERVES" hidden="1">"c9941"</definedName>
    <definedName name="IQ_MC_COMBINED_RATIO" hidden="1">"c9933"</definedName>
    <definedName name="IQ_MC_COMMERCIAL_ASO_FEES" hidden="1">"c15862"</definedName>
    <definedName name="IQ_MC_COMMERCIAL_NON_RISK_MEMBERS" hidden="1">"c15835"</definedName>
    <definedName name="IQ_MC_COMMERCIAL_PREMIUMS" hidden="1">"c15852"</definedName>
    <definedName name="IQ_MC_DAYS_CLAIMS_PAYABLE" hidden="1">"c9937"</definedName>
    <definedName name="IQ_MC_DAYS_CLAIMS_PAYABLE_EXCL_CAPITATION" hidden="1">"c9938"</definedName>
    <definedName name="IQ_MC_DENTAL_MEMBERS" hidden="1">"c15832"</definedName>
    <definedName name="IQ_MC_DENTAL_PREMIUMS" hidden="1">"c15858"</definedName>
    <definedName name="IQ_MC_HMO_MEMBERS" hidden="1">"c15824"</definedName>
    <definedName name="IQ_MC_HMO_PREMIUMS" hidden="1">"c15850"</definedName>
    <definedName name="IQ_MC_INDEMNITY_MEMBERS" hidden="1">"c15825"</definedName>
    <definedName name="IQ_MC_INDEMNITY_PREMIUMS" hidden="1">"c15851"</definedName>
    <definedName name="IQ_MC_MEDICAID_ASO_FEES" hidden="1">"c15865"</definedName>
    <definedName name="IQ_MC_MEDICAID_MEMBERS" hidden="1">"c15830"</definedName>
    <definedName name="IQ_MC_MEDICAID_NON_RISK_MEMBERS" hidden="1">"c15838"</definedName>
    <definedName name="IQ_MC_MEDICAID_PREMIUMS" hidden="1">"c15856"</definedName>
    <definedName name="IQ_MC_MEDICAL_COST" hidden="1">"c15847"</definedName>
    <definedName name="IQ_MC_MEDICAL_COSTS_PMPM" hidden="1">"c9925"</definedName>
    <definedName name="IQ_MC_MEDICARE_ASO_FEES" hidden="1">"c15864"</definedName>
    <definedName name="IQ_MC_MEDICARE_MEMBERS" hidden="1">"c15828"</definedName>
    <definedName name="IQ_MC_MEDICARE_NON_RISK_MEMBERS" hidden="1">"c15837"</definedName>
    <definedName name="IQ_MC_MEDICARE_PART_D_MEMBERS" hidden="1">"c15829"</definedName>
    <definedName name="IQ_MC_MEDICARE_PART_D_PREMIUMS" hidden="1">"c15855"</definedName>
    <definedName name="IQ_MC_MEDICARE_PREMIUMS" hidden="1">"c15854"</definedName>
    <definedName name="IQ_MC_MILITARY_ASO_FEES" hidden="1">"c15863"</definedName>
    <definedName name="IQ_MC_MILITARY_MEMBERS" hidden="1">"c15827"</definedName>
    <definedName name="IQ_MC_MILITARY_NON_RISK_MEMBERS" hidden="1">"c15836"</definedName>
    <definedName name="IQ_MC_MILITARY_PREMIUMS" hidden="1">"c15853"</definedName>
    <definedName name="IQ_MC_NET_INVESTMENT_INCOME" hidden="1">"c15845"</definedName>
    <definedName name="IQ_MC_OTHER_REV" hidden="1">"c15846"</definedName>
    <definedName name="IQ_MC_PARENT_CASH" hidden="1">"c9942"</definedName>
    <definedName name="IQ_MC_PPO_POS_MEMBERS" hidden="1">"c15823"</definedName>
    <definedName name="IQ_MC_PPO_POS_PREMIUMS" hidden="1">"c15849"</definedName>
    <definedName name="IQ_MC_PREMIUMS" hidden="1">"c15861"</definedName>
    <definedName name="IQ_MC_PREMIUMS_PMPM" hidden="1">"c9924"</definedName>
    <definedName name="IQ_MC_RATIO" hidden="1">"c2783"</definedName>
    <definedName name="IQ_MC_RECEIPT_CYCLE_TIME_DAYS" hidden="1">"c9939"</definedName>
    <definedName name="IQ_MC_RECEIPT_CYCLE_TIME_MONTHS" hidden="1">"c9940"</definedName>
    <definedName name="IQ_MC_RISK_COVERED_LIVES" hidden="1">"c9917"</definedName>
    <definedName name="IQ_MC_RISK_MEMBERSHIP" hidden="1">"c9920"</definedName>
    <definedName name="IQ_MC_SELLILNG_COSTS_RATIO" hidden="1">"c9928"</definedName>
    <definedName name="IQ_MC_SGA_PMPM" hidden="1">"c9926"</definedName>
    <definedName name="IQ_MC_SPECIALTY_ASO_FEES" hidden="1">"c15867"</definedName>
    <definedName name="IQ_MC_SPECIALTY_NON_RISK_MEMBERS" hidden="1">"c15840"</definedName>
    <definedName name="IQ_MC_STATUTORY_SURPLUS" hidden="1">"c2772"</definedName>
    <definedName name="IQ_MC_TANGIBLE_EQUITY_MEDICAL_COST" hidden="1">"c15848"</definedName>
    <definedName name="IQ_MC_TANGIBLE_EQUITY_PER_MEMBER" hidden="1">"c15843"</definedName>
    <definedName name="IQ_MC_TOTAL_ASO_FEES" hidden="1">"c15868"</definedName>
    <definedName name="IQ_MC_TOTAL_COMMERCIAL_MEMBERS" hidden="1">"c15826"</definedName>
    <definedName name="IQ_MC_TOTAL_COVERED_LIVES" hidden="1">"c9919"</definedName>
    <definedName name="IQ_MC_TOTAL_EQUITY_PER_MEMBER" hidden="1">"c15842"</definedName>
    <definedName name="IQ_MC_TOTAL_GOVT_ASO_FEES" hidden="1">"c15866"</definedName>
    <definedName name="IQ_MC_TOTAL_GOVT_MEMBERS" hidden="1">"c15831"</definedName>
    <definedName name="IQ_MC_TOTAL_GOVT_NON_RISK_MEMBERS" hidden="1">"c15839"</definedName>
    <definedName name="IQ_MC_TOTAL_GOVT_PREMIUMS" hidden="1">"c15857"</definedName>
    <definedName name="IQ_MC_TOTAL_MEMBERSHIP" hidden="1">"c9922"</definedName>
    <definedName name="IQ_MC_TOTAL_MEMBERSHIP_CAPITATION" hidden="1">"c9923"</definedName>
    <definedName name="IQ_MC_TOTAL_OTHER_MEMBERS" hidden="1">"c15833"</definedName>
    <definedName name="IQ_MC_TOTAL_OTHER_PREMIUMS" hidden="1">"c15859"</definedName>
    <definedName name="IQ_MC_TOTAL_RESERVES_PER_MEMBER" hidden="1">"c15844"</definedName>
    <definedName name="IQ_MC_TOTAL_SEPCIALTY_MEMBERS" hidden="1">"c15834"</definedName>
    <definedName name="IQ_MC_TOTAL_SEPCIALTY_PREMIUMS" hidden="1">"c15860"</definedName>
    <definedName name="IQ_MC_TOTAL_STATUTORY_CAPITAL_SURPLUS_PER_MEMBER" hidden="1">"c15841"</definedName>
    <definedName name="IQ_MC_UNPROCESSED_CLAIMS_INVENTORY_DAYS" hidden="1">"c9936"</definedName>
    <definedName name="IQ_MC_UNPROCESSED_CLAIMS_INVENTORY_NUMBER" hidden="1">"c9934"</definedName>
    <definedName name="IQ_MC_UNPROCESSED_CLAIMS_INVENTORY_VALUE" hidden="1">"c9935"</definedName>
    <definedName name="IQ_MEASURED_ATTRIB_ORE_RESOURCES_ALUM" hidden="1">"c9237"</definedName>
    <definedName name="IQ_MEASURED_ATTRIB_ORE_RESOURCES_COP" hidden="1">"c9181"</definedName>
    <definedName name="IQ_MEASURED_ATTRIB_ORE_RESOURCES_DIAM" hidden="1">"c9661"</definedName>
    <definedName name="IQ_MEASURED_ATTRIB_ORE_RESOURCES_GOLD" hidden="1">"c9022"</definedName>
    <definedName name="IQ_MEASURED_ATTRIB_ORE_RESOURCES_IRON" hidden="1">"c9396"</definedName>
    <definedName name="IQ_MEASURED_ATTRIB_ORE_RESOURCES_LEAD" hidden="1">"c9449"</definedName>
    <definedName name="IQ_MEASURED_ATTRIB_ORE_RESOURCES_MANG" hidden="1">"c9502"</definedName>
    <definedName name="IQ_MEASURED_ATTRIB_ORE_RESOURCES_MOLYB" hidden="1">"c9714"</definedName>
    <definedName name="IQ_MEASURED_ATTRIB_ORE_RESOURCES_NICK" hidden="1">"c9290"</definedName>
    <definedName name="IQ_MEASURED_ATTRIB_ORE_RESOURCES_PLAT" hidden="1">"c9128"</definedName>
    <definedName name="IQ_MEASURED_ATTRIB_ORE_RESOURCES_SILVER" hidden="1">"c9075"</definedName>
    <definedName name="IQ_MEASURED_ATTRIB_ORE_RESOURCES_TITAN" hidden="1">"c9555"</definedName>
    <definedName name="IQ_MEASURED_ATTRIB_ORE_RESOURCES_URAN" hidden="1">"c9608"</definedName>
    <definedName name="IQ_MEASURED_ATTRIB_ORE_RESOURCES_ZINC" hidden="1">"c9343"</definedName>
    <definedName name="IQ_MEASURED_INDICATED_ATTRIB_ORE_RESOURCES_ALUM" hidden="1">"c9239"</definedName>
    <definedName name="IQ_MEASURED_INDICATED_ATTRIB_ORE_RESOURCES_COP" hidden="1">"c9183"</definedName>
    <definedName name="IQ_MEASURED_INDICATED_ATTRIB_ORE_RESOURCES_DIAM" hidden="1">"c9663"</definedName>
    <definedName name="IQ_MEASURED_INDICATED_ATTRIB_ORE_RESOURCES_GOLD" hidden="1">"c9024"</definedName>
    <definedName name="IQ_MEASURED_INDICATED_ATTRIB_ORE_RESOURCES_IRON" hidden="1">"c9398"</definedName>
    <definedName name="IQ_MEASURED_INDICATED_ATTRIB_ORE_RESOURCES_LEAD" hidden="1">"c9451"</definedName>
    <definedName name="IQ_MEASURED_INDICATED_ATTRIB_ORE_RESOURCES_MANG" hidden="1">"c9504"</definedName>
    <definedName name="IQ_MEASURED_INDICATED_ATTRIB_ORE_RESOURCES_MOLYB" hidden="1">"c9716"</definedName>
    <definedName name="IQ_MEASURED_INDICATED_ATTRIB_ORE_RESOURCES_NICK" hidden="1">"c9292"</definedName>
    <definedName name="IQ_MEASURED_INDICATED_ATTRIB_ORE_RESOURCES_PLAT" hidden="1">"c9130"</definedName>
    <definedName name="IQ_MEASURED_INDICATED_ATTRIB_ORE_RESOURCES_SILVER" hidden="1">"c9077"</definedName>
    <definedName name="IQ_MEASURED_INDICATED_ATTRIB_ORE_RESOURCES_TITAN" hidden="1">"c9557"</definedName>
    <definedName name="IQ_MEASURED_INDICATED_ATTRIB_ORE_RESOURCES_URAN" hidden="1">"c9610"</definedName>
    <definedName name="IQ_MEASURED_INDICATED_ATTRIB_ORE_RESOURCES_ZINC" hidden="1">"c9345"</definedName>
    <definedName name="IQ_MEASURED_INDICATED_ORE_RESOURCES_ALUM" hidden="1">"c9226"</definedName>
    <definedName name="IQ_MEASURED_INDICATED_ORE_RESOURCES_COP" hidden="1">"c9170"</definedName>
    <definedName name="IQ_MEASURED_INDICATED_ORE_RESOURCES_DIAM" hidden="1">"c9650"</definedName>
    <definedName name="IQ_MEASURED_INDICATED_ORE_RESOURCES_GOLD" hidden="1">"c9011"</definedName>
    <definedName name="IQ_MEASURED_INDICATED_ORE_RESOURCES_IRON" hidden="1">"c9385"</definedName>
    <definedName name="IQ_MEASURED_INDICATED_ORE_RESOURCES_LEAD" hidden="1">"c9438"</definedName>
    <definedName name="IQ_MEASURED_INDICATED_ORE_RESOURCES_MANG" hidden="1">"c9491"</definedName>
    <definedName name="IQ_MEASURED_INDICATED_ORE_RESOURCES_MOLYB" hidden="1">"c9703"</definedName>
    <definedName name="IQ_MEASURED_INDICATED_ORE_RESOURCES_NICK" hidden="1">"c9279"</definedName>
    <definedName name="IQ_MEASURED_INDICATED_ORE_RESOURCES_PLAT" hidden="1">"c9117"</definedName>
    <definedName name="IQ_MEASURED_INDICATED_ORE_RESOURCES_SILVER" hidden="1">"c9064"</definedName>
    <definedName name="IQ_MEASURED_INDICATED_ORE_RESOURCES_TITAN" hidden="1">"c9544"</definedName>
    <definedName name="IQ_MEASURED_INDICATED_ORE_RESOURCES_URAN" hidden="1">"c9597"</definedName>
    <definedName name="IQ_MEASURED_INDICATED_ORE_RESOURCES_ZINC" hidden="1">"c9332"</definedName>
    <definedName name="IQ_MEASURED_INDICATED_RECOV_RESOURCES_ALUM" hidden="1">"c9234"</definedName>
    <definedName name="IQ_MEASURED_INDICATED_RECOV_RESOURCES_COAL" hidden="1">"c9813"</definedName>
    <definedName name="IQ_MEASURED_INDICATED_RECOV_RESOURCES_COP" hidden="1">"c9178"</definedName>
    <definedName name="IQ_MEASURED_INDICATED_RECOV_RESOURCES_DIAM" hidden="1">"c9658"</definedName>
    <definedName name="IQ_MEASURED_INDICATED_RECOV_RESOURCES_GOLD" hidden="1">"c9019"</definedName>
    <definedName name="IQ_MEASURED_INDICATED_RECOV_RESOURCES_IRON" hidden="1">"c9393"</definedName>
    <definedName name="IQ_MEASURED_INDICATED_RECOV_RESOURCES_LEAD" hidden="1">"c9446"</definedName>
    <definedName name="IQ_MEASURED_INDICATED_RECOV_RESOURCES_MANG" hidden="1">"c9499"</definedName>
    <definedName name="IQ_MEASURED_INDICATED_RECOV_RESOURCES_MET_COAL" hidden="1">"c9753"</definedName>
    <definedName name="IQ_MEASURED_INDICATED_RECOV_RESOURCES_MOLYB" hidden="1">"c9711"</definedName>
    <definedName name="IQ_MEASURED_INDICATED_RECOV_RESOURCES_NICK" hidden="1">"c9287"</definedName>
    <definedName name="IQ_MEASURED_INDICATED_RECOV_RESOURCES_PLAT" hidden="1">"c9125"</definedName>
    <definedName name="IQ_MEASURED_INDICATED_RECOV_RESOURCES_SILVER" hidden="1">"c9072"</definedName>
    <definedName name="IQ_MEASURED_INDICATED_RECOV_RESOURCES_STEAM" hidden="1">"c9783"</definedName>
    <definedName name="IQ_MEASURED_INDICATED_RECOV_RESOURCES_TITAN" hidden="1">"c9552"</definedName>
    <definedName name="IQ_MEASURED_INDICATED_RECOV_RESOURCES_URAN" hidden="1">"c9605"</definedName>
    <definedName name="IQ_MEASURED_INDICATED_RECOV_RESOURCES_ZINC" hidden="1">"c9340"</definedName>
    <definedName name="IQ_MEASURED_INDICATED_RESOURCES_GRADE_ALUM" hidden="1">"c9227"</definedName>
    <definedName name="IQ_MEASURED_INDICATED_RESOURCES_GRADE_COP" hidden="1">"c9171"</definedName>
    <definedName name="IQ_MEASURED_INDICATED_RESOURCES_GRADE_DIAM" hidden="1">"c9651"</definedName>
    <definedName name="IQ_MEASURED_INDICATED_RESOURCES_GRADE_GOLD" hidden="1">"c9012"</definedName>
    <definedName name="IQ_MEASURED_INDICATED_RESOURCES_GRADE_IRON" hidden="1">"c9386"</definedName>
    <definedName name="IQ_MEASURED_INDICATED_RESOURCES_GRADE_LEAD" hidden="1">"c9439"</definedName>
    <definedName name="IQ_MEASURED_INDICATED_RESOURCES_GRADE_MANG" hidden="1">"c9492"</definedName>
    <definedName name="IQ_MEASURED_INDICATED_RESOURCES_GRADE_MOLYB" hidden="1">"c9704"</definedName>
    <definedName name="IQ_MEASURED_INDICATED_RESOURCES_GRADE_NICK" hidden="1">"c9280"</definedName>
    <definedName name="IQ_MEASURED_INDICATED_RESOURCES_GRADE_PLAT" hidden="1">"c9118"</definedName>
    <definedName name="IQ_MEASURED_INDICATED_RESOURCES_GRADE_SILVER" hidden="1">"c9065"</definedName>
    <definedName name="IQ_MEASURED_INDICATED_RESOURCES_GRADE_TITAN" hidden="1">"c9545"</definedName>
    <definedName name="IQ_MEASURED_INDICATED_RESOURCES_GRADE_URAN" hidden="1">"c9598"</definedName>
    <definedName name="IQ_MEASURED_INDICATED_RESOURCES_GRADE_ZINC" hidden="1">"c9333"</definedName>
    <definedName name="IQ_MEASURED_ORE_RESOURCES_ALUM" hidden="1">"c9222"</definedName>
    <definedName name="IQ_MEASURED_ORE_RESOURCES_COP" hidden="1">"c9166"</definedName>
    <definedName name="IQ_MEASURED_ORE_RESOURCES_DIAM" hidden="1">"c9646"</definedName>
    <definedName name="IQ_MEASURED_ORE_RESOURCES_GOLD" hidden="1">"c9007"</definedName>
    <definedName name="IQ_MEASURED_ORE_RESOURCES_IRON" hidden="1">"c9381"</definedName>
    <definedName name="IQ_MEASURED_ORE_RESOURCES_LEAD" hidden="1">"c9434"</definedName>
    <definedName name="IQ_MEASURED_ORE_RESOURCES_MANG" hidden="1">"c9487"</definedName>
    <definedName name="IQ_MEASURED_ORE_RESOURCES_MOLYB" hidden="1">"c9699"</definedName>
    <definedName name="IQ_MEASURED_ORE_RESOURCES_NICK" hidden="1">"c9275"</definedName>
    <definedName name="IQ_MEASURED_ORE_RESOURCES_PLAT" hidden="1">"c9113"</definedName>
    <definedName name="IQ_MEASURED_ORE_RESOURCES_SILVER" hidden="1">"c9060"</definedName>
    <definedName name="IQ_MEASURED_ORE_RESOURCES_TITAN" hidden="1">"c9540"</definedName>
    <definedName name="IQ_MEASURED_ORE_RESOURCES_URAN" hidden="1">"c9593"</definedName>
    <definedName name="IQ_MEASURED_ORE_RESOURCES_ZINC" hidden="1">"c9328"</definedName>
    <definedName name="IQ_MEASURED_RECOV_ATTRIB_RESOURCES_ALUM" hidden="1">"c9242"</definedName>
    <definedName name="IQ_MEASURED_RECOV_ATTRIB_RESOURCES_COAL" hidden="1">"c9816"</definedName>
    <definedName name="IQ_MEASURED_RECOV_ATTRIB_RESOURCES_COP" hidden="1">"c9186"</definedName>
    <definedName name="IQ_MEASURED_RECOV_ATTRIB_RESOURCES_DIAM" hidden="1">"c9666"</definedName>
    <definedName name="IQ_MEASURED_RECOV_ATTRIB_RESOURCES_GOLD" hidden="1">"c9027"</definedName>
    <definedName name="IQ_MEASURED_RECOV_ATTRIB_RESOURCES_IRON" hidden="1">"c9401"</definedName>
    <definedName name="IQ_MEASURED_RECOV_ATTRIB_RESOURCES_LEAD" hidden="1">"c9454"</definedName>
    <definedName name="IQ_MEASURED_RECOV_ATTRIB_RESOURCES_MANG" hidden="1">"c9507"</definedName>
    <definedName name="IQ_MEASURED_RECOV_ATTRIB_RESOURCES_MET_COAL" hidden="1">"c9756"</definedName>
    <definedName name="IQ_MEASURED_RECOV_ATTRIB_RESOURCES_MOLYB" hidden="1">"c9719"</definedName>
    <definedName name="IQ_MEASURED_RECOV_ATTRIB_RESOURCES_NICK" hidden="1">"c9295"</definedName>
    <definedName name="IQ_MEASURED_RECOV_ATTRIB_RESOURCES_PLAT" hidden="1">"c9133"</definedName>
    <definedName name="IQ_MEASURED_RECOV_ATTRIB_RESOURCES_SILVER" hidden="1">"c9080"</definedName>
    <definedName name="IQ_MEASURED_RECOV_ATTRIB_RESOURCES_STEAM" hidden="1">"c9786"</definedName>
    <definedName name="IQ_MEASURED_RECOV_ATTRIB_RESOURCES_TITAN" hidden="1">"c9560"</definedName>
    <definedName name="IQ_MEASURED_RECOV_ATTRIB_RESOURCES_URAN" hidden="1">"c9613"</definedName>
    <definedName name="IQ_MEASURED_RECOV_ATTRIB_RESOURCES_ZINC" hidden="1">"c9348"</definedName>
    <definedName name="IQ_MEASURED_RECOV_RESOURCES_ALUM" hidden="1">"c9232"</definedName>
    <definedName name="IQ_MEASURED_RECOV_RESOURCES_COAL" hidden="1">"c9811"</definedName>
    <definedName name="IQ_MEASURED_RECOV_RESOURCES_COP" hidden="1">"c9176"</definedName>
    <definedName name="IQ_MEASURED_RECOV_RESOURCES_DIAM" hidden="1">"c9656"</definedName>
    <definedName name="IQ_MEASURED_RECOV_RESOURCES_GOLD" hidden="1">"c9017"</definedName>
    <definedName name="IQ_MEASURED_RECOV_RESOURCES_IRON" hidden="1">"c9391"</definedName>
    <definedName name="IQ_MEASURED_RECOV_RESOURCES_LEAD" hidden="1">"c9444"</definedName>
    <definedName name="IQ_MEASURED_RECOV_RESOURCES_MANG" hidden="1">"c9497"</definedName>
    <definedName name="IQ_MEASURED_RECOV_RESOURCES_MET_COAL" hidden="1">"c9751"</definedName>
    <definedName name="IQ_MEASURED_RECOV_RESOURCES_MOLYB" hidden="1">"c9709"</definedName>
    <definedName name="IQ_MEASURED_RECOV_RESOURCES_NICK" hidden="1">"c9285"</definedName>
    <definedName name="IQ_MEASURED_RECOV_RESOURCES_PLAT" hidden="1">"c9123"</definedName>
    <definedName name="IQ_MEASURED_RECOV_RESOURCES_SILVER" hidden="1">"c9070"</definedName>
    <definedName name="IQ_MEASURED_RECOV_RESOURCES_STEAM" hidden="1">"c9781"</definedName>
    <definedName name="IQ_MEASURED_RECOV_RESOURCES_TITAN" hidden="1">"c9550"</definedName>
    <definedName name="IQ_MEASURED_RECOV_RESOURCES_URAN" hidden="1">"c9603"</definedName>
    <definedName name="IQ_MEASURED_RECOV_RESOURCES_ZINC" hidden="1">"c9338"</definedName>
    <definedName name="IQ_MEASURED_RESOURCES_CALORIFIC_VALUE_COAL" hidden="1">"c9806"</definedName>
    <definedName name="IQ_MEASURED_RESOURCES_CALORIFIC_VALUE_MET_COAL" hidden="1">"c9746"</definedName>
    <definedName name="IQ_MEASURED_RESOURCES_CALORIFIC_VALUE_STEAM" hidden="1">"c9776"</definedName>
    <definedName name="IQ_MEASURED_RESOURCES_GRADE_ALUM" hidden="1">"c9223"</definedName>
    <definedName name="IQ_MEASURED_RESOURCES_GRADE_COP" hidden="1">"c9167"</definedName>
    <definedName name="IQ_MEASURED_RESOURCES_GRADE_DIAM" hidden="1">"c9647"</definedName>
    <definedName name="IQ_MEASURED_RESOURCES_GRADE_GOLD" hidden="1">"c9008"</definedName>
    <definedName name="IQ_MEASURED_RESOURCES_GRADE_IRON" hidden="1">"c9382"</definedName>
    <definedName name="IQ_MEASURED_RESOURCES_GRADE_LEAD" hidden="1">"c9435"</definedName>
    <definedName name="IQ_MEASURED_RESOURCES_GRADE_MANG" hidden="1">"c9488"</definedName>
    <definedName name="IQ_MEASURED_RESOURCES_GRADE_MOLYB" hidden="1">"c9700"</definedName>
    <definedName name="IQ_MEASURED_RESOURCES_GRADE_NICK" hidden="1">"c9276"</definedName>
    <definedName name="IQ_MEASURED_RESOURCES_GRADE_PLAT" hidden="1">"c9114"</definedName>
    <definedName name="IQ_MEASURED_RESOURCES_GRADE_SILVER" hidden="1">"c9061"</definedName>
    <definedName name="IQ_MEASURED_RESOURCES_GRADE_TITAN" hidden="1">"c9541"</definedName>
    <definedName name="IQ_MEASURED_RESOURCES_GRADE_URAN" hidden="1">"c9594"</definedName>
    <definedName name="IQ_MEASURED_RESOURCES_GRADE_ZINC" hidden="1">"c9329"</definedName>
    <definedName name="IQ_MEDIAN_NEW_HOME_SALES_APR_FC_UNUSED" hidden="1">"c8460"</definedName>
    <definedName name="IQ_MEDIAN_NEW_HOME_SALES_APR_FC_UNUSED_UNUSED_UNUSED" hidden="1">"c8460"</definedName>
    <definedName name="IQ_MEDIAN_NEW_HOME_SALES_APR_UNUSED" hidden="1">"c7580"</definedName>
    <definedName name="IQ_MEDIAN_NEW_HOME_SALES_APR_UNUSED_UNUSED_UNUSED" hidden="1">"c7580"</definedName>
    <definedName name="IQ_MEDIAN_NEW_HOME_SALES_FC_UNUSED" hidden="1">"c7800"</definedName>
    <definedName name="IQ_MEDIAN_NEW_HOME_SALES_FC_UNUSED_UNUSED_UNUSED" hidden="1">"c7800"</definedName>
    <definedName name="IQ_MEDIAN_NEW_HOME_SALES_POP_FC_UNUSED" hidden="1">"c8020"</definedName>
    <definedName name="IQ_MEDIAN_NEW_HOME_SALES_POP_FC_UNUSED_UNUSED_UNUSED" hidden="1">"c8020"</definedName>
    <definedName name="IQ_MEDIAN_NEW_HOME_SALES_POP_UNUSED" hidden="1">"c7140"</definedName>
    <definedName name="IQ_MEDIAN_NEW_HOME_SALES_POP_UNUSED_UNUSED_UNUSED" hidden="1">"c7140"</definedName>
    <definedName name="IQ_MEDIAN_NEW_HOME_SALES_UNUSED" hidden="1">"c6920"</definedName>
    <definedName name="IQ_MEDIAN_NEW_HOME_SALES_UNUSED_UNUSED_UNUSED" hidden="1">"c6920"</definedName>
    <definedName name="IQ_MEDIAN_NEW_HOME_SALES_YOY_FC_UNUSED" hidden="1">"c8240"</definedName>
    <definedName name="IQ_MEDIAN_NEW_HOME_SALES_YOY_FC_UNUSED_UNUSED_UNUSED" hidden="1">"c8240"</definedName>
    <definedName name="IQ_MEDIAN_NEW_HOME_SALES_YOY_UNUSED" hidden="1">"c7360"</definedName>
    <definedName name="IQ_MEDIAN_NEW_HOME_SALES_YOY_UNUSED_UNUSED_UNUSED" hidden="1">"c7360"</definedName>
    <definedName name="IQ_MEDIAN_TARGET_PRICE" hidden="1">"c1650"</definedName>
    <definedName name="IQ_MEDIAN_TARGET_PRICE_CIQ" hidden="1">"c4658"</definedName>
    <definedName name="IQ_MEDIAN_TARGET_PRICE_REUT" hidden="1">"c5316"</definedName>
    <definedName name="IQ_MEDIAN_TARGET_PRICE_THOM" hidden="1">"c5095"</definedName>
    <definedName name="IQ_MEDIUM_SULFUR_CONTENT_RESERVES_COAL" hidden="1">"c15926"</definedName>
    <definedName name="IQ_MEDIUM_SULFURE_RESERVES_TO_TOTAL_RESERVES_COAL" hidden="1">"c15962"</definedName>
    <definedName name="IQ_MEMO_LOANS_SOLD_WITH_RECOURSE_120_DAYS_LESS_THRIFT" hidden="1">"c25337"</definedName>
    <definedName name="IQ_MEMO_LOANS_SOLD_WITH_RECOURSE_GREATER_THAN_120_DAYS_THRIFT" hidden="1">"c25338"</definedName>
    <definedName name="IQ_MEMO_REFINANCING_LOANS_THRIFT" hidden="1">"c25336"</definedName>
    <definedName name="IQ_MERGER" hidden="1">"c713"</definedName>
    <definedName name="IQ_MERGER_BNK" hidden="1">"c714"</definedName>
    <definedName name="IQ_MERGER_BR" hidden="1">"c715"</definedName>
    <definedName name="IQ_MERGER_CM"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CM"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SUPPLE" hidden="1">"c13810"</definedName>
    <definedName name="IQ_MERGER_UTI" hidden="1">"c726"</definedName>
    <definedName name="IQ_METRIC_NAME" hidden="1">"c18017"</definedName>
    <definedName name="IQ_MI_RECOV_ATTRIB_RESOURCES_ALUM" hidden="1">"c9244"</definedName>
    <definedName name="IQ_MI_RECOV_ATTRIB_RESOURCES_COAL" hidden="1">"c9818"</definedName>
    <definedName name="IQ_MI_RECOV_ATTRIB_RESOURCES_COP" hidden="1">"c9188"</definedName>
    <definedName name="IQ_MI_RECOV_ATTRIB_RESOURCES_DIAM" hidden="1">"c9668"</definedName>
    <definedName name="IQ_MI_RECOV_ATTRIB_RESOURCES_GOLD" hidden="1">"c9029"</definedName>
    <definedName name="IQ_MI_RECOV_ATTRIB_RESOURCES_IRON" hidden="1">"c9403"</definedName>
    <definedName name="IQ_MI_RECOV_ATTRIB_RESOURCES_LEAD" hidden="1">"c9456"</definedName>
    <definedName name="IQ_MI_RECOV_ATTRIB_RESOURCES_MANG" hidden="1">"c9509"</definedName>
    <definedName name="IQ_MI_RECOV_ATTRIB_RESOURCES_MET_COAL" hidden="1">"c9758"</definedName>
    <definedName name="IQ_MI_RECOV_ATTRIB_RESOURCES_MOLYB" hidden="1">"c9721"</definedName>
    <definedName name="IQ_MI_RECOV_ATTRIB_RESOURCES_NICK" hidden="1">"c9297"</definedName>
    <definedName name="IQ_MI_RECOV_ATTRIB_RESOURCES_PLAT" hidden="1">"c9135"</definedName>
    <definedName name="IQ_MI_RECOV_ATTRIB_RESOURCES_SILVER" hidden="1">"c9082"</definedName>
    <definedName name="IQ_MI_RECOV_ATTRIB_RESOURCES_STEAM" hidden="1">"c9788"</definedName>
    <definedName name="IQ_MI_RECOV_ATTRIB_RESOURCES_TITAN" hidden="1">"c9562"</definedName>
    <definedName name="IQ_MI_RECOV_ATTRIB_RESOURCES_URAN" hidden="1">"c9615"</definedName>
    <definedName name="IQ_MI_RECOV_ATTRIB_RESOURCES_ZINC" hidden="1">"c9350"</definedName>
    <definedName name="IQ_MI_RESOURCES_CALORIFIC_VALUE_COAL" hidden="1">"c9808"</definedName>
    <definedName name="IQ_MI_RESOURCES_CALORIFIC_VALUE_MET_COAL" hidden="1">"c9748"</definedName>
    <definedName name="IQ_MI_RESOURCES_CALORIFIC_VALUE_STEAM" hidden="1">"c9778"</definedName>
    <definedName name="IQ_MILES_PASSED" hidden="1">"c2848"</definedName>
    <definedName name="IQ_MIN_USE_PER_SUB" hidden="1">"c15764"</definedName>
    <definedName name="IQ_MINE_DEVELOPMENT_GROSS_COAL" hidden="1">"c15940"</definedName>
    <definedName name="IQ_MINIMUM_RENTAL" hidden="1">"c26970"</definedName>
    <definedName name="IQ_MINORITY_INT_AVG_ASSETS_FFIEC" hidden="1">"c13367"</definedName>
    <definedName name="IQ_MINORITY_INT_AVG_ASSETS_THRIFT" hidden="1">"c25660"</definedName>
    <definedName name="IQ_MINORITY_INT_BS_FFIEC" hidden="1">"c12874"</definedName>
    <definedName name="IQ_MINORITY_INT_FFIEC" hidden="1">"c13031"</definedName>
    <definedName name="IQ_MINORITY_INT_REDEEM" hidden="1">"c25787"</definedName>
    <definedName name="IQ_MINORITY_INT_REDEEM_TOT" hidden="1">"c25789"</definedName>
    <definedName name="IQ_MINORITY_INT_THRIFT" hidden="1">"c24926"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CM" hidden="1">"c729"</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NTUTES_USED_LOCAL" hidden="1">"c15808"</definedName>
    <definedName name="IQ_MINTUTES_USED_LONG_DIST" hidden="1">"c15809"</definedName>
    <definedName name="IQ_MISC_ADJUST_CF" hidden="1">"c736"</definedName>
    <definedName name="IQ_MISC_EARN_ADJ" hidden="1">"c1603"</definedName>
    <definedName name="IQ_MISCELLANEOUS_ASSETS_ALL_OTHER_ACCOUNTS_THRIFT" hidden="1">"c25437"</definedName>
    <definedName name="IQ_MISCELLANEOUS_ASSETS_EMPLOYEE_BENEFIT_RETIREMENT_RELATED_ACCOUNTS_THRIFT" hidden="1">"c25421"</definedName>
    <definedName name="IQ_MISCELLANEOUS_ASSETS_PERSONAL_TRUST_AGENCY_INV_MANAGEMENT_ACCOUNTS_THRIFT" hidden="1">"c25405"</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CIQ" hidden="1">"c4041"</definedName>
    <definedName name="IQ_MKTCAP_TOTAL_REV_FWD_REUT" hidden="1">"c4048"</definedName>
    <definedName name="IQ_MKTCAP_TOTAL_REV_FWD_THOM" hidden="1">"c4055"</definedName>
    <definedName name="IQ_MM_ACCOUNT" hidden="1">"c743"</definedName>
    <definedName name="IQ_MM_ACCRETION_EXPENSE" hidden="1">"c9845"</definedName>
    <definedName name="IQ_MM_ARO_BEG" hidden="1">"c9842"</definedName>
    <definedName name="IQ_MM_ARO_TOTAL" hidden="1">"c9850"</definedName>
    <definedName name="IQ_MM_CURRENT_PORT_ARO" hidden="1">"c9851"</definedName>
    <definedName name="IQ_MM_DEVELOPED_ACREAGE" hidden="1">"c9832"</definedName>
    <definedName name="IQ_MM_DEVELOPED_SQ_KMS" hidden="1">"c9831"</definedName>
    <definedName name="IQ_MM_DEVELOPED_SQ_MILES" hidden="1">"c9833"</definedName>
    <definedName name="IQ_MM_EXPLORATION_EXPENDITURE_TOT" hidden="1">"c9840"</definedName>
    <definedName name="IQ_MM_FX_ADJUSTMENT" hidden="1">"c9847"</definedName>
    <definedName name="IQ_MM_LIABILITIES_INCURRED_ACQUIRED" hidden="1">"c9843"</definedName>
    <definedName name="IQ_MM_LIABILITIES_REL_SPIN_OFFS" hidden="1">"c9848"</definedName>
    <definedName name="IQ_MM_LIABILITIES_SETTLED_DISPOSED" hidden="1">"c9844"</definedName>
    <definedName name="IQ_MM_NON_CURRENT_PORT_ARO" hidden="1">"c9852"</definedName>
    <definedName name="IQ_MM_NUMBER_MINES" hidden="1">"c9839"</definedName>
    <definedName name="IQ_MM_OTHER_ADJUSTMENTS_ARO" hidden="1">"c9849"</definedName>
    <definedName name="IQ_MM_REMAINING_MINE_LIFE" hidden="1">"c9838"</definedName>
    <definedName name="IQ_MM_RESOURCES_INCL_EXCL_RESERVES" hidden="1">"c9841"</definedName>
    <definedName name="IQ_MM_REVISIONS_ESTIMATE" hidden="1">"c9846"</definedName>
    <definedName name="IQ_MM_STRIPPING_RATIO" hidden="1">"c9837"</definedName>
    <definedName name="IQ_MM_UNDEVELOPED_ACREAGE" hidden="1">"c9835"</definedName>
    <definedName name="IQ_MM_UNDEVELOPED_SQ_KMS" hidden="1">"c9834"</definedName>
    <definedName name="IQ_MM_UNDEVELOPED_SQ_MILES" hidden="1">"c9836"</definedName>
    <definedName name="IQ_MMDA_NON_TRANS_ACCTS_FFIEC" hidden="1">"c15330"</definedName>
    <definedName name="IQ_MMDA_SAVINGS_TOT_DEPOSITS_FFIEC" hidden="1">"c13905"</definedName>
    <definedName name="IQ_MMDA_SAVINGS_TOTAL_DEPOSITS_THRIFT" hidden="1">"c25778"</definedName>
    <definedName name="IQ_MOBILE_HOME_LOANS_THRIFT" hidden="1">"c24863"</definedName>
    <definedName name="IQ_MONEY_MARKET_ACCOUNTS_COMMERCIAL_BANK_SUBS_FFIEC" hidden="1">"c12947"</definedName>
    <definedName name="IQ_MONEY_MARKET_ACCOUNTS_OTHER_INSTITUTIONS_FFIEC" hidden="1">"c12952"</definedName>
    <definedName name="IQ_MONEY_MARKET_DEPOSIT_ACCOUNTS_FDIC" hidden="1">"c6553"</definedName>
    <definedName name="IQ_MONEY_MARKET_DEPOSIT_ACCOUNTS_THRIFT" hidden="1">"c24999"</definedName>
    <definedName name="IQ_MONEY_MKT_DEPOSITS_TOTAL_DEPOSITS" hidden="1">"c15720"</definedName>
    <definedName name="IQ_MONEY_MKT_SAVINGS_ACCT_DEPOSITS_TOTAL_DEPOSITS" hidden="1">"c15722"</definedName>
    <definedName name="IQ_MONEY_SUPPLY_M1" hidden="1">"c20881"</definedName>
    <definedName name="IQ_MONEY_SUPPLY_M2" hidden="1">"c20882"</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ASSET_BACKED_SEC_ELIGIBLE_20_PCT_RISK_WEIGHT_THRIFT" hidden="1">"c25057"</definedName>
    <definedName name="IQ_MORTGAGE_ASSET_BACKED_SEC_ELIGIBLE_50_PCT_RISK_WEIGHT_THRIFT" hidden="1">"c25066"</definedName>
    <definedName name="IQ_MORTGAGE_BACKED_SEC_ADJUSTED_NCOS_THRIFT" hidden="1">"c25198"</definedName>
    <definedName name="IQ_MORTGAGE_BACKED_SEC_GVA_CHARGE_OFFS_THRIFT" hidden="1">"c25113"</definedName>
    <definedName name="IQ_MORTGAGE_BACKED_SEC_GVA_RECOVERIES_THRIFT" hidden="1">"c25144"</definedName>
    <definedName name="IQ_MORTGAGE_BACKED_SEC_INV_SEC_THRIFT" hidden="1">"c25673"</definedName>
    <definedName name="IQ_MORTGAGE_BACKED_SEC_SVA_PROVISIONS_TRANSFERS_FROM_GVA_THRIFT" hidden="1">"c25167"</definedName>
    <definedName name="IQ_MORTGAGE_BACKED_SECURITIES_FDIC" hidden="1">"c6402"</definedName>
    <definedName name="IQ_MORTGAGE_DEBT_UNDER_CAPITAL_LEASES_FFIEC" hidden="1">"c15276"</definedName>
    <definedName name="IQ_MORTGAGE_LOAN_SERVICING_FEES_THRIFT" hidden="1">"c24766"</definedName>
    <definedName name="IQ_MORTGAGE_LOANS_ADJUSTED_NCOS_TOTAL_THRIFT" hidden="1">"c25199"</definedName>
    <definedName name="IQ_MORTGAGE_LOANS_CASH_REPAYMENT_PRINCIPAL_THRIFT" hidden="1">"c25334"</definedName>
    <definedName name="IQ_MORTGAGE_LOANS_DEBITS_LESS_CREDITS_OTHER_THAN_REPAYMENT_PRINCIPAL_THRIFT" hidden="1">"c25335"</definedName>
    <definedName name="IQ_MORTGAGE_LOANS_FORECLOSED_DURING_QUARTER_TOTAL_THRIFT" hidden="1">"c25236"</definedName>
    <definedName name="IQ_MORTGAGE_LOANS_GROSS_LOANS_THRIFT" hidden="1">"c25721"</definedName>
    <definedName name="IQ_MORTGAGE_LOANS_GVA_RECOVERIES_TOTAL_THRIFT" hidden="1">"c25145"</definedName>
    <definedName name="IQ_MORTGAGE_LOANS_PARTICIPATIONS_PURCHASED_FROM_ENTITIES_OTHER_THAN_FEDERALLY_INSURED_DEPOSITORY_INSTITUTIONS_THEIR_SUBSIDIARIES_THRIFT" hidden="1">"c25326"</definedName>
    <definedName name="IQ_MORTGAGE_LOANS_PARTICIPATIONS_PURCHASED_SECURED_1_4_DWELLING_UNITS_THRIFT" hidden="1">"c25325"</definedName>
    <definedName name="IQ_MORTGAGE_LOANS_PARTICIPATIONS_PURCHASED_SECURED_HOME_EQUITY_JUNIOR_LIENS_THRIFT" hidden="1">"c25327"</definedName>
    <definedName name="IQ_MORTGAGE_LOANS_PARTICIPATIONS_PURCHASED_SECURED_MULTIFAMILY_5_MORE_DWELLING_UNITS_THRIFT" hidden="1">"c25328"</definedName>
    <definedName name="IQ_MORTGAGE_LOANS_PARTICIPATIONS_PURCHASED_SECURED_NONRES_THRIFT" hidden="1">"c25329"</definedName>
    <definedName name="IQ_MORTGAGE_LOANS_PARTICIPATIONS_SOLD_SECURED_1_4_DWELLING_UNITS_THRIFT" hidden="1">"c25330"</definedName>
    <definedName name="IQ_MORTGAGE_LOANS_PARTICIPATIONS_SOLD_SECURED_HOME_EQUITY_JUNIOR_LIENS_THRIFT" hidden="1">"c25331"</definedName>
    <definedName name="IQ_MORTGAGE_LOANS_PARTICIPATIONS_SOLD_SECURED_MULTIFAMILY_5_MORE_DWELLING_UNITS_THRIFT" hidden="1">"c25332"</definedName>
    <definedName name="IQ_MORTGAGE_LOANS_PARTICIPATIONS_SOLD_SECURED_NONRES_THRIFT" hidden="1">"c25333"</definedName>
    <definedName name="IQ_MORTGAGE_LOANS_RISK_BASED_CAPITAL_THRIFT" hidden="1">"c25706"</definedName>
    <definedName name="IQ_MORTGAGE_LOANS_SECURED_NON_RES_PROPERTY_100000_THROUGH_250000_THRIFT" hidden="1">"c24954"</definedName>
    <definedName name="IQ_MORTGAGE_LOANS_SECURED_NON_RES_PROPERTY_250000_THROUGH_1000000_THRIFT" hidden="1">"c24956"</definedName>
    <definedName name="IQ_MORTGAGE_LOANS_SECURED_NON_RES_PROPERTY_LESS_THAN_EQUAL_100000_THRIFT" hidden="1">"c24952"</definedName>
    <definedName name="IQ_MORTGAGE_LOANS_SVA_PROVISIONS_TRANSFERS_FROM_GVA_TOTAL_THRIFT" hidden="1">"c25168"</definedName>
    <definedName name="IQ_MORTGAGE_LOANS_TOTAL_GVA_CHARGE_OFFS_THRIFT" hidden="1">"c25114"</definedName>
    <definedName name="IQ_MORTGAGE_LOANS_TOTAL_LOANS_THRIFT" hidden="1">"c25740"</definedName>
    <definedName name="IQ_MORTGAGE_SERV_RIGHTS" hidden="1">"c2242"</definedName>
    <definedName name="IQ_MORTGAGE_SERVICING_ASSETS_FFIEC" hidden="1">"c12838"</definedName>
    <definedName name="IQ_MORTGAGE_SERVICING_FDIC" hidden="1">"c6335"</definedName>
    <definedName name="IQ_MORTGAGE_SERVICING_RIGHTS_AMOUNTS_NETTED_THRIFT" hidden="1">"c25504"</definedName>
    <definedName name="IQ_MORTGAGE_SERVICING_RIGHTS_LEVEL_1_THRIFT" hidden="1">"c25500"</definedName>
    <definedName name="IQ_MORTGAGE_SERVICING_RIGHTS_LEVEL_2_THRIFT" hidden="1">"c25501"</definedName>
    <definedName name="IQ_MORTGAGE_SERVICING_RIGHTS_LEVEL_3_THRIFT" hidden="1">"c25502"</definedName>
    <definedName name="IQ_MORTGAGE_SERVICING_RIGHTS_TOTAL_AFTER_NETTING_THRIFT" hidden="1">"c25505"</definedName>
    <definedName name="IQ_MORTGAGE_SERVICING_RIGHTS_TOTAL_BEFORE_NETTING_THRIFT" hidden="1">"c25503"</definedName>
    <definedName name="IQ_MTD" hidden="1">800000</definedName>
    <definedName name="IQ_MTM_ADJ" hidden="1">"c16000"</definedName>
    <definedName name="IQ_MULTI_RES_PROPERTIES_TRADING_DOM_FFIEC" hidden="1">"c12930"</definedName>
    <definedName name="IQ_MULTIFAM_5_LOANS_TOT_LOANS_FFIEC" hidden="1">"c13869"</definedName>
    <definedName name="IQ_MULTIFAMILY_5_MORE_DWELLING_UNITS_CONSTRUCTION_MORTGAGE_LOANS_ADJUSTED_NCOS_TOTAL_THRIFT" hidden="1">"c25201"</definedName>
    <definedName name="IQ_MULTIFAMILY_5_MORE_DWELLING_UNITS_CONSTRUCTION_MORTGAGE_LOANS_GVA_CHARGE_OFFS_THRIFT" hidden="1">"c25116"</definedName>
    <definedName name="IQ_MULTIFAMILY_5_MORE_DWELLING_UNITS_CONSTRUCTION_MORTGAGE_LOANS_GVA_RECOVERIES_THRIFT" hidden="1">"c25147"</definedName>
    <definedName name="IQ_MULTIFAMILY_5_MORE_DWELLING_UNITS_CONSTRUCTION_MORTGAGE_LOANS_SVA_PROVISIONS_TRANSFERS_FROM_GVA_TOTAL_THRIFT" hidden="1">"c25170"</definedName>
    <definedName name="IQ_MULTIFAMILY_5_MORE_DWELLING_UNITS_IN_PROCESS_FORECLOSURE_THRIFT" hidden="1">"c25307"</definedName>
    <definedName name="IQ_MULTIFAMILY_5_MORE_DWELLING_UNITS_PML_ADJUSTED_NCOS_TOTAL_THRIFT" hidden="1">"c25206"</definedName>
    <definedName name="IQ_MULTIFAMILY_5_MORE_DWELLING_UNITS_PML_GVA_CHARGE_OFFS_THRIFT" hidden="1">"c25121"</definedName>
    <definedName name="IQ_MULTIFAMILY_5_MORE_DWELLING_UNITS_PML_GVA_RECOVERIES_THRIFT" hidden="1">"c25152"</definedName>
    <definedName name="IQ_MULTIFAMILY_5_MORE_DWELLING_UNITS_PML_SVA_PROVISIONS_TRANSFERS_FROM_GVA_TOTAL_THRIFT" hidden="1">"c25175"</definedName>
    <definedName name="IQ_MULTIFAMILY_5_MORE_LOANS_TOTAL_LOANS_THRIFT" hidden="1">"c25745"</definedName>
    <definedName name="IQ_MULTIFAMILY_LOANS_GROSS_LOANS_FFIEC" hidden="1">"c13404"</definedName>
    <definedName name="IQ_MULTIFAMILY_LOANS_GROSS_LOANS_THRIFT" hidden="1">"c25729"</definedName>
    <definedName name="IQ_MULTIFAMILY_LOANS_RISK_BASED_CAPITAL_THRIFT" hidden="1">"c25714"</definedName>
    <definedName name="IQ_MULTIFAMILY_LOANS_RISK_BASED_FFIEC" hidden="1">"c13425"</definedName>
    <definedName name="IQ_MULTIFAMILY_RES_DOM_FFIEC" hidden="1">"c15270"</definedName>
    <definedName name="IQ_MULTIFAMILY_RESIDENTIAL_LOANS_FDIC" hidden="1">"c6311"</definedName>
    <definedName name="IQ_MUNI_ADVALOREM_TAX" hidden="1">"c15144"</definedName>
    <definedName name="IQ_MUNI_AMT_TAX" hidden="1">"c15146"</definedName>
    <definedName name="IQ_MUNI_BANK_QUALIFIED" hidden="1">"c15148"</definedName>
    <definedName name="IQ_MUNI_DEP_TRUST_ELIGIBLE" hidden="1">"c15149"</definedName>
    <definedName name="IQ_MUNI_ECONOMIC_DEFEASANCE" hidden="1">"c15151"</definedName>
    <definedName name="IQ_MUNI_ESCROW" hidden="1">"c15228"</definedName>
    <definedName name="IQ_MUNI_FED_TAX" hidden="1">"c15147"</definedName>
    <definedName name="IQ_MUNI_LEGAL_DEFEASANCE" hidden="1">"c15150"</definedName>
    <definedName name="IQ_MUNI_OFFERING_TYPE" hidden="1">"c15143"</definedName>
    <definedName name="IQ_MUNI_OPTIONAL_REDEMPTION_DEFEASANCE" hidden="1">"c15152"</definedName>
    <definedName name="IQ_MUNI_PRE_REFUNDED_DATE" hidden="1">"c15154"</definedName>
    <definedName name="IQ_MUNI_PRE_REFUNDED_DATED_DATE" hidden="1">"c15156"</definedName>
    <definedName name="IQ_MUNI_PRE_REFUNDED_PRICE" hidden="1">"c15155"</definedName>
    <definedName name="IQ_MUNI_PRE_REFUNDED_TYPE" hidden="1">"c15153"</definedName>
    <definedName name="IQ_MUNI_PURPOSE" hidden="1">"c15226"</definedName>
    <definedName name="IQ_MUNI_STATE_TAX" hidden="1">"c15145"</definedName>
    <definedName name="IQ_MUNI_TERRITORY" hidden="1">"c15142"</definedName>
    <definedName name="IQ_MUNI_TYPE" hidden="1">"c15227"</definedName>
    <definedName name="IQ_MUNICIPAL_INVEST_SECURITIES_FFIEC" hidden="1">"c13459"</definedName>
    <definedName name="IQ_MUNICIPAL_SEC_INV_SEC_THRIFT" hidden="1">"c25672"</definedName>
    <definedName name="IQ_MUTUAL_FUND_ACQUISITIONS_OTHER" hidden="1">"c20425"</definedName>
    <definedName name="IQ_MUTUAL_FUND_APPRECIATION_DEPRECIATION" hidden="1">"c20424"</definedName>
    <definedName name="IQ_MUTUAL_FUND_BOP" hidden="1">"c20420"</definedName>
    <definedName name="IQ_MUTUAL_FUND_EOP" hidden="1">"c20426"</definedName>
    <definedName name="IQ_MUTUAL_FUND_LIST" hidden="1">"c19092"</definedName>
    <definedName name="IQ_MUTUAL_FUND_NET_SALES" hidden="1">"c20423"</definedName>
    <definedName name="IQ_MUTUAL_FUND_REDEMPTIONS" hidden="1">"c20422"</definedName>
    <definedName name="IQ_MUTUAL_FUND_SALES" hidden="1">"c20421"</definedName>
    <definedName name="IQ_MUTUAL_FUNDS_EQUITY_ALL_OTHER_ACCOUNTS_THRIFT" hidden="1">"c25428"</definedName>
    <definedName name="IQ_MUTUAL_FUNDS_EQUITY_EMPLOYEE_BENEFIT_RETIREMENT_RELATED_ACCOUNTS_THRIFT" hidden="1">"c25412"</definedName>
    <definedName name="IQ_MUTUAL_FUNDS_EQUITY_PERSONAL_TRUST_AGENCY_INV_MANAGEMENT_ACCOUNTS_THRIFT" hidden="1">"c25396"</definedName>
    <definedName name="IQ_MUTUAL_FUNDS_MONEY_MARKET_ALL_OTHER_ACCOUNTS_THRIFT" hidden="1">"c25427"</definedName>
    <definedName name="IQ_MUTUAL_FUNDS_MONEY_MARKET_EMPLOYEE_BENEFIT_RETIREMENT_RELATED_ACCOUNTS_THRIFT" hidden="1">"c25411"</definedName>
    <definedName name="IQ_MUTUAL_FUNDS_MONEY_MARKET_PERSONAL_TRUST_AGENCY_INV_MANAGEMENT_ACCOUNTS_THRIFT" hidden="1">"c25395"</definedName>
    <definedName name="IQ_MUTUAL_FUNDS_OTHER_ALL_OTHER_ACCOUNTS_THRIFT" hidden="1">"c25429"</definedName>
    <definedName name="IQ_MUTUAL_FUNDS_OTHER_EMPLOYEE_BENEFIT_RETIREMENT_RELATED_ACCOUNTS_THRIFT" hidden="1">"c25413"</definedName>
    <definedName name="IQ_MUTUAL_FUNDS_OTHER_PERSONAL_TRUST_AGENCY_INV_MANAGEMENT_ACCOUNTS_THRIFT" hidden="1">"c25397"</definedName>
    <definedName name="IQ_NAMES_REVISION_DATE_" hidden="1">43115.9490046296</definedName>
    <definedName name="IQ_NAPM_BUS_CONDITIONS" hidden="1">"c6921"</definedName>
    <definedName name="IQ_NAPM_BUS_CONDITIONS_APR" hidden="1">"c7581"</definedName>
    <definedName name="IQ_NAPM_BUS_CONDITIONS_APR_FC" hidden="1">"c8461"</definedName>
    <definedName name="IQ_NAPM_BUS_CONDITIONS_FC" hidden="1">"c7801"</definedName>
    <definedName name="IQ_NAPM_BUS_CONDITIONS_POP" hidden="1">"c7141"</definedName>
    <definedName name="IQ_NAPM_BUS_CONDITIONS_POP_FC" hidden="1">"c8021"</definedName>
    <definedName name="IQ_NAPM_BUS_CONDITIONS_YOY" hidden="1">"c7361"</definedName>
    <definedName name="IQ_NAPM_BUS_CONDITIONS_YOY_FC" hidden="1">"c8241"</definedName>
    <definedName name="IQ_NATIVE_COMPANY_NAME" hidden="1">"c13822"</definedName>
    <definedName name="IQ_NATURAL_RESOURCES_COST" hidden="1">"c17550"</definedName>
    <definedName name="IQ_NAV_ACT_OR_EST" hidden="1">"c2225"</definedName>
    <definedName name="IQ_NAV_ACT_OR_EST_CIQ" hidden="1">"c18262"</definedName>
    <definedName name="IQ_NAV_ACT_OR_EST_THOM" hidden="1">"c5607"</definedName>
    <definedName name="IQ_NAV_EST" hidden="1">"c1751"</definedName>
    <definedName name="IQ_NAV_EST_CIQ" hidden="1">"c18109"</definedName>
    <definedName name="IQ_NAV_EST_DOWN_2MONTH" hidden="1">"c16501"</definedName>
    <definedName name="IQ_NAV_EST_DOWN_3MONTH" hidden="1">"c16505"</definedName>
    <definedName name="IQ_NAV_EST_DOWN_MONTH" hidden="1">"c16497"</definedName>
    <definedName name="IQ_NAV_EST_NOTE_CIQ" hidden="1">"c18229"</definedName>
    <definedName name="IQ_NAV_EST_NUM_ANALYSTS_2MONTH" hidden="1">"c16499"</definedName>
    <definedName name="IQ_NAV_EST_NUM_ANALYSTS_3MONTH" hidden="1">"c16503"</definedName>
    <definedName name="IQ_NAV_EST_NUM_ANALYSTS_MONTH" hidden="1">"c16495"</definedName>
    <definedName name="IQ_NAV_EST_THOM" hidden="1">"c5601"</definedName>
    <definedName name="IQ_NAV_EST_TOTAL_REVISED_2MONTH" hidden="1">"c16502"</definedName>
    <definedName name="IQ_NAV_EST_TOTAL_REVISED_3MONTH" hidden="1">"c16506"</definedName>
    <definedName name="IQ_NAV_EST_TOTAL_REVISED_MONTH" hidden="1">"c16498"</definedName>
    <definedName name="IQ_NAV_EST_UP_2MONTH" hidden="1">"c16500"</definedName>
    <definedName name="IQ_NAV_EST_UP_3MONTH" hidden="1">"c16504"</definedName>
    <definedName name="IQ_NAV_EST_UP_MONTH" hidden="1">"c16496"</definedName>
    <definedName name="IQ_NAV_GUIDANCE" hidden="1">"c18391"</definedName>
    <definedName name="IQ_NAV_HIGH_EST" hidden="1">"c1753"</definedName>
    <definedName name="IQ_NAV_HIGH_EST_CIQ" hidden="1">"c18129"</definedName>
    <definedName name="IQ_NAV_HIGH_EST_THOM" hidden="1">"c5604"</definedName>
    <definedName name="IQ_NAV_HIGH_GUIDANCE" hidden="1">"c18392"</definedName>
    <definedName name="IQ_NAV_LOW_EST" hidden="1">"c1754"</definedName>
    <definedName name="IQ_NAV_LOW_EST_CIQ" hidden="1">"c18139"</definedName>
    <definedName name="IQ_NAV_LOW_EST_THOM" hidden="1">"c5605"</definedName>
    <definedName name="IQ_NAV_LOW_GUIDANCE" hidden="1">"c18393"</definedName>
    <definedName name="IQ_NAV_MEDIAN_EST" hidden="1">"c1752"</definedName>
    <definedName name="IQ_NAV_MEDIAN_EST_CIQ" hidden="1">"c18119"</definedName>
    <definedName name="IQ_NAV_MEDIAN_EST_THOM" hidden="1">"c5602"</definedName>
    <definedName name="IQ_NAV_NUM_EST" hidden="1">"c1755"</definedName>
    <definedName name="IQ_NAV_NUM_EST_CIQ" hidden="1">"c18159"</definedName>
    <definedName name="IQ_NAV_NUM_EST_THOM" hidden="1">"c5606"</definedName>
    <definedName name="IQ_NAV_RE" hidden="1">"c15996"</definedName>
    <definedName name="IQ_NAV_SHARE_ACT_OR_EST" hidden="1">"c2225"</definedName>
    <definedName name="IQ_NAV_SHARE_ACT_OR_EST_CIQ" hidden="1">"c12038"</definedName>
    <definedName name="IQ_NAV_SHARE_EST" hidden="1">"c5609"</definedName>
    <definedName name="IQ_NAV_SHARE_EST_CIQ" hidden="1">"c12032"</definedName>
    <definedName name="IQ_NAV_SHARE_EST_DOWN_2MONTH" hidden="1">"c16561"</definedName>
    <definedName name="IQ_NAV_SHARE_EST_DOWN_2MONTH_CIQ" hidden="1">"c16825"</definedName>
    <definedName name="IQ_NAV_SHARE_EST_DOWN_3MONTH" hidden="1">"c16565"</definedName>
    <definedName name="IQ_NAV_SHARE_EST_DOWN_3MONTH_CIQ" hidden="1">"c16829"</definedName>
    <definedName name="IQ_NAV_SHARE_EST_DOWN_MONTH" hidden="1">"c16557"</definedName>
    <definedName name="IQ_NAV_SHARE_EST_DOWN_MONTH_CIQ" hidden="1">"c16821"</definedName>
    <definedName name="IQ_NAV_SHARE_EST_NOTE" hidden="1">"c17522"</definedName>
    <definedName name="IQ_NAV_SHARE_EST_NOTE_CIQ" hidden="1">"c17475"</definedName>
    <definedName name="IQ_NAV_SHARE_EST_NUM_ANALYSTS_2MONTH" hidden="1">"c16559"</definedName>
    <definedName name="IQ_NAV_SHARE_EST_NUM_ANALYSTS_2MONTH_CIQ" hidden="1">"c16823"</definedName>
    <definedName name="IQ_NAV_SHARE_EST_NUM_ANALYSTS_3MONTH" hidden="1">"c16563"</definedName>
    <definedName name="IQ_NAV_SHARE_EST_NUM_ANALYSTS_3MONTH_CIQ" hidden="1">"c16827"</definedName>
    <definedName name="IQ_NAV_SHARE_EST_NUM_ANALYSTS_MONTH" hidden="1">"c16555"</definedName>
    <definedName name="IQ_NAV_SHARE_EST_NUM_ANALYSTS_MONTH_CIQ" hidden="1">"c16819"</definedName>
    <definedName name="IQ_NAV_SHARE_EST_TOTAL_REVISED_2MONTH" hidden="1">"c16562"</definedName>
    <definedName name="IQ_NAV_SHARE_EST_TOTAL_REVISED_2MONTH_CIQ" hidden="1">"c16826"</definedName>
    <definedName name="IQ_NAV_SHARE_EST_TOTAL_REVISED_3MONTH" hidden="1">"c16566"</definedName>
    <definedName name="IQ_NAV_SHARE_EST_TOTAL_REVISED_3MONTH_CIQ" hidden="1">"c16830"</definedName>
    <definedName name="IQ_NAV_SHARE_EST_TOTAL_REVISED_MONTH" hidden="1">"c16558"</definedName>
    <definedName name="IQ_NAV_SHARE_EST_TOTAL_REVISED_MONTH_CIQ" hidden="1">"c16822"</definedName>
    <definedName name="IQ_NAV_SHARE_EST_UP_2MONTH" hidden="1">"c16560"</definedName>
    <definedName name="IQ_NAV_SHARE_EST_UP_2MONTH_CIQ" hidden="1">"c16824"</definedName>
    <definedName name="IQ_NAV_SHARE_EST_UP_3MONTH" hidden="1">"c16564"</definedName>
    <definedName name="IQ_NAV_SHARE_EST_UP_3MONTH_CIQ" hidden="1">"c16828"</definedName>
    <definedName name="IQ_NAV_SHARE_EST_UP_MONTH" hidden="1">"c16556"</definedName>
    <definedName name="IQ_NAV_SHARE_EST_UP_MONTH_CIQ" hidden="1">"c16820"</definedName>
    <definedName name="IQ_NAV_SHARE_HIGH_EST" hidden="1">"c5612"</definedName>
    <definedName name="IQ_NAV_SHARE_HIGH_EST_CIQ" hidden="1">"c12035"</definedName>
    <definedName name="IQ_NAV_SHARE_LOW_EST" hidden="1">"c5613"</definedName>
    <definedName name="IQ_NAV_SHARE_LOW_EST_CIQ" hidden="1">"c12036"</definedName>
    <definedName name="IQ_NAV_SHARE_MEDIAN_EST" hidden="1">"c5610"</definedName>
    <definedName name="IQ_NAV_SHARE_MEDIAN_EST_CIQ" hidden="1">"c12033"</definedName>
    <definedName name="IQ_NAV_SHARE_NUM_EST" hidden="1">"c5614"</definedName>
    <definedName name="IQ_NAV_SHARE_NUM_EST_CIQ" hidden="1">"c12037"</definedName>
    <definedName name="IQ_NAV_SHARE_RE" hidden="1">"c16011"</definedName>
    <definedName name="IQ_NAV_SHARE_STDDEV_EST" hidden="1">"c5611"</definedName>
    <definedName name="IQ_NAV_SHARE_STDDEV_EST_CIQ" hidden="1">"c12034"</definedName>
    <definedName name="IQ_NAV_STDDEV_EST" hidden="1">"c1756"</definedName>
    <definedName name="IQ_NAV_STDDEV_EST_CIQ" hidden="1">"c18149"</definedName>
    <definedName name="IQ_NAV_STDDEV_EST_THOM" hidden="1">"c5603"</definedName>
    <definedName name="IQ_NCLS_CLOSED_END_1_4_FAM_LOANS_TOT_LOANS_FFIEC" hidden="1">"c13891"</definedName>
    <definedName name="IQ_NCLS_CLOSED_END_1_4_FAMILY_LOANS_TOTAL_LOANS_THRIFT" hidden="1">"c25769"</definedName>
    <definedName name="IQ_NCLS_COMM_IND_LOANS_TOT_LOANS_FFIEC" hidden="1">"c13898"</definedName>
    <definedName name="IQ_NCLS_COMM_LOANS_TOTAL_LOANS_THRIFT" hidden="1">"c25775"</definedName>
    <definedName name="IQ_NCLS_COMM_RE_FARM_LOANS_TOT_LOANS_FFIEC" hidden="1">"c13897"</definedName>
    <definedName name="IQ_NCLS_COMM_RE_FARM_LOANS_TOTAL_LOANS_THRIFT" hidden="1">"c25771"</definedName>
    <definedName name="IQ_NCLS_COMM_RE_NONFARM_NONRES_TOT_LOANS_FFIEC" hidden="1">"c13896"</definedName>
    <definedName name="IQ_NCLS_COMM_RE_NONFARM_NONRESIDENTIAL_TOTAL_LOANS_THRIFT" hidden="1">"c25773"</definedName>
    <definedName name="IQ_NCLS_CONST_LAND_DEV_LOANS_TOT_LOANS_FFIEC" hidden="1">"c13890"</definedName>
    <definedName name="IQ_NCLS_CONSTRUCTION_LAND_DEVELOPMENT_LOANS_TOTAL_LOANS_THRIFT" hidden="1">"c25767"</definedName>
    <definedName name="IQ_NCLS_CONSUMER_LOANS_TOT_LOANS_FFIEC" hidden="1">"c13899"</definedName>
    <definedName name="IQ_NCLS_CONSUMER_LOANS_TOTAL_LOANS_THRIFT" hidden="1">"c25776"</definedName>
    <definedName name="IQ_NCLS_FARM_LOANS_TOT_LOANS_FFIEC" hidden="1">"c13895"</definedName>
    <definedName name="IQ_NCLS_HOME_EQUITY_LOANS_TOT_LOANS_FFIEC" hidden="1">"c13892"</definedName>
    <definedName name="IQ_NCLS_LAND_LOANS_TOTAL_LOANS_THRIFT" hidden="1">"c25772"</definedName>
    <definedName name="IQ_NCLS_MULTIFAM_5_LOANS_TOT_LOANS_FFIEC" hidden="1">"c13894"</definedName>
    <definedName name="IQ_NCLS_MULTIFAMILY_5_MORE_LOANS_TOTAL_LOANS_THRIFT" hidden="1">"c25770"</definedName>
    <definedName name="IQ_NCLS_TOT_1_4_FAM_LOANS_TOT_LOANS_FFIEC" hidden="1">"c13893"</definedName>
    <definedName name="IQ_NCLS_TOT_LEASES_TOT_LOANS_FFIEC" hidden="1">"c13900"</definedName>
    <definedName name="IQ_NCLS_TOT_LOANS_TOT_LOANS_FFIEC" hidden="1">"c13901"</definedName>
    <definedName name="IQ_NCLS_TOTAL_1_4_FAMILY_LOANS_TOTAL_LOANS_THRIFT" hidden="1">"c25768"</definedName>
    <definedName name="IQ_NCLS_TOTAL_LOANS_TOTAL_LOANS_THRIFT" hidden="1">"c25765"</definedName>
    <definedName name="IQ_NCLS_TOTAL_MORTGAGE_LOANS_TOTAL_LOANS_THRIFT" hidden="1">"c25766"</definedName>
    <definedName name="IQ_NCLS_TOTAL_NON_RE_LOANS_TOTAL_LOANS_THRIFT" hidden="1">"c25774"</definedName>
    <definedName name="IQ_NCOS_CLOSED_END_1_4_FAM_LOANS_TOT_LOANS_FFIEC" hidden="1">"c13879"</definedName>
    <definedName name="IQ_NCOS_CLOSED_END_1_4_FAMILY_LOANS_TOTAL_LOANS_THRIFT" hidden="1">"c25757"</definedName>
    <definedName name="IQ_NCOS_COMM_IND_LOANS_TOT_LOANS_FFIEC" hidden="1">"c13886"</definedName>
    <definedName name="IQ_NCOS_COMM_LOANS_TOTAL_LOANS_THRIFT" hidden="1">"c25763"</definedName>
    <definedName name="IQ_NCOS_COMM_RE_FARM_LOANS_TOT_LOANS_FFIEC" hidden="1">"c13885"</definedName>
    <definedName name="IQ_NCOS_COMM_RE_FARM_LOANS_TOTAL_LOANS_THRIFT" hidden="1">"c25759"</definedName>
    <definedName name="IQ_NCOS_COMM_RE_NONFARM_NONRES_TOT_LOANS_FFIEC" hidden="1">"c13884"</definedName>
    <definedName name="IQ_NCOS_COMM_RE_NONFARM_NONRESIDENTIAL_TOTAL_LOANS_THRIFT" hidden="1">"c25761"</definedName>
    <definedName name="IQ_NCOS_CONST_LAND_DEV_LOANS_TOT_LOANS_FFIEC" hidden="1">"c13878"</definedName>
    <definedName name="IQ_NCOS_CONSTRUCTION_LAND_DEVELOPMENT_LOANS_TOTAL_LOANS_THRIFT" hidden="1">"c25755"</definedName>
    <definedName name="IQ_NCOS_CONSUMER_LOANS_TOT_LOANS_FFIEC" hidden="1">"c13887"</definedName>
    <definedName name="IQ_NCOS_CONSUMER_LOANS_TOTAL_LOANS_THRIFT" hidden="1">"c25764"</definedName>
    <definedName name="IQ_NCOS_FARM_LOANS_TOT_LOANS_FFIEC" hidden="1">"c13883"</definedName>
    <definedName name="IQ_NCOS_HOME_EQUITY_LOANS_TOT_LOANS_FFIEC" hidden="1">"c13880"</definedName>
    <definedName name="IQ_NCOS_LAND_LOANS_TOTAL_LOANS_THRIFT" hidden="1">"c25760"</definedName>
    <definedName name="IQ_NCOS_MULTIFAM_5_LOANS_TOT_LOANS_FFIEC" hidden="1">"c13882"</definedName>
    <definedName name="IQ_NCOS_MULTIFAMILY_5_MORE_LOANS_TOTAL_LOANS_THRIFT" hidden="1">"c25758"</definedName>
    <definedName name="IQ_NCOS_TOT_1_4_FAM_LOANS_TOT_LOANS_FFIEC" hidden="1">"c13881"</definedName>
    <definedName name="IQ_NCOS_TOT_LEASES_TOT_LOANS_FFIEC" hidden="1">"c13888"</definedName>
    <definedName name="IQ_NCOS_TOT_LOANS_TOT_LOANS_FFIEC" hidden="1">"c13889"</definedName>
    <definedName name="IQ_NCOS_TOTAL_1_4_FAMILY_LOANS_TOTAL_LOANS_THRIFT" hidden="1">"c25756"</definedName>
    <definedName name="IQ_NCOS_TOTAL_LOANS_TOTAL_LOANS_THRIFT" hidden="1">"c25753"</definedName>
    <definedName name="IQ_NCOS_TOTAL_MORTGAGE_LOANS_TOTAL_LOANS_THRIFT" hidden="1">"c25754"</definedName>
    <definedName name="IQ_NCOS_TOTAL_NON_RE_LOANS_TOTAL_LOANS_THRIFT" hidden="1">"c25762"</definedName>
    <definedName name="IQ_NEGATIVE_FAIR_VALUE_DERIVATIVES_BENEFICIARY_FFIEC" hidden="1">"c13124"</definedName>
    <definedName name="IQ_NEGATIVE_FAIR_VALUE_DERIVATIVES_GUARANTOR_FFIEC" hidden="1">"c13117"</definedName>
    <definedName name="IQ_NET_ADD_BASIC" hidden="1">"c15782"</definedName>
    <definedName name="IQ_NET_ADD_BBAND" hidden="1">"c15785"</definedName>
    <definedName name="IQ_NET_ADD_DIG" hidden="1">"c15783"</definedName>
    <definedName name="IQ_NET_ADD_PHONE" hidden="1">"c15786"</definedName>
    <definedName name="IQ_NET_ADD_POSTPAID_WIRELESS" hidden="1">"c15754"</definedName>
    <definedName name="IQ_NET_ADD_PREPAID_WIRELESS" hidden="1">"c15755"</definedName>
    <definedName name="IQ_NET_ADD_RESELL_WHOLESALE_WIRELESS" hidden="1">"c15756"</definedName>
    <definedName name="IQ_NET_ADD_RGU" hidden="1">"c15787"</definedName>
    <definedName name="IQ_NET_ADD_SATELLITE" hidden="1">"c15784"</definedName>
    <definedName name="IQ_NET_ADD_TOTAL_WIRELESS" hidden="1">"c15757"</definedName>
    <definedName name="IQ_NET_BOOKING_LOCATION_ADJUSTMENT_FOREIGN_FFIEC" hidden="1">"c15385"</definedName>
    <definedName name="IQ_NET_CHANGE" hidden="1">"c749"</definedName>
    <definedName name="IQ_NET_CHARGE_OFFS_FDIC" hidden="1">"c6641"</definedName>
    <definedName name="IQ_NET_CHARGE_OFFS_LOANS_FDIC" hidden="1">"c6751"</definedName>
    <definedName name="IQ_NET_CLAIM_ADJ_EXP_RESERVE_BOP" hidden="1">"c15877"</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ACT_OR_EST_CIQ" hidden="1">"c5070"</definedName>
    <definedName name="IQ_NET_DEBT_ACT_OR_EST_CIQ_COL" hidden="1">"c11717"</definedName>
    <definedName name="IQ_NET_DEBT_ACT_OR_EST_THOM" hidden="1">"c5309"</definedName>
    <definedName name="IQ_NET_DEBT_EBITDA" hidden="1">"c750"</definedName>
    <definedName name="IQ_NET_DEBT_EBITDA_CAPEX" hidden="1">"c2949"</definedName>
    <definedName name="IQ_NET_DEBT_EST" hidden="1">"c3517"</definedName>
    <definedName name="IQ_NET_DEBT_EST_CIQ" hidden="1">"c3814"</definedName>
    <definedName name="IQ_NET_DEBT_EST_DOWN_2MONTH" hidden="1">"c16513"</definedName>
    <definedName name="IQ_NET_DEBT_EST_DOWN_2MONTH_CIQ" hidden="1">"c16777"</definedName>
    <definedName name="IQ_NET_DEBT_EST_DOWN_3MONTH" hidden="1">"c16517"</definedName>
    <definedName name="IQ_NET_DEBT_EST_DOWN_3MONTH_CIQ" hidden="1">"c16781"</definedName>
    <definedName name="IQ_NET_DEBT_EST_DOWN_MONTH" hidden="1">"c16509"</definedName>
    <definedName name="IQ_NET_DEBT_EST_DOWN_MONTH_CIQ" hidden="1">"c16773"</definedName>
    <definedName name="IQ_NET_DEBT_EST_NOTE" hidden="1">"c17518"</definedName>
    <definedName name="IQ_NET_DEBT_EST_NOTE_CIQ" hidden="1">"c17471"</definedName>
    <definedName name="IQ_NET_DEBT_EST_NUM_ANALYSTS_2MONTH" hidden="1">"c16511"</definedName>
    <definedName name="IQ_NET_DEBT_EST_NUM_ANALYSTS_2MONTH_CIQ" hidden="1">"c16775"</definedName>
    <definedName name="IQ_NET_DEBT_EST_NUM_ANALYSTS_3MONTH" hidden="1">"c16515"</definedName>
    <definedName name="IQ_NET_DEBT_EST_NUM_ANALYSTS_3MONTH_CIQ" hidden="1">"c16779"</definedName>
    <definedName name="IQ_NET_DEBT_EST_NUM_ANALYSTS_MONTH" hidden="1">"c16507"</definedName>
    <definedName name="IQ_NET_DEBT_EST_NUM_ANALYSTS_MONTH_CIQ" hidden="1">"c16771"</definedName>
    <definedName name="IQ_NET_DEBT_EST_THOM" hidden="1">"c4027"</definedName>
    <definedName name="IQ_NET_DEBT_EST_TOTAL_REVISED_2MONTH" hidden="1">"c16514"</definedName>
    <definedName name="IQ_NET_DEBT_EST_TOTAL_REVISED_2MONTH_CIQ" hidden="1">"c16778"</definedName>
    <definedName name="IQ_NET_DEBT_EST_TOTAL_REVISED_3MONTH" hidden="1">"c16518"</definedName>
    <definedName name="IQ_NET_DEBT_EST_TOTAL_REVISED_3MONTH_CIQ" hidden="1">"c16782"</definedName>
    <definedName name="IQ_NET_DEBT_EST_TOTAL_REVISED_MONTH" hidden="1">"c16510"</definedName>
    <definedName name="IQ_NET_DEBT_EST_TOTAL_REVISED_MONTH_CIQ" hidden="1">"c16774"</definedName>
    <definedName name="IQ_NET_DEBT_EST_UP_2MONTH" hidden="1">"c16512"</definedName>
    <definedName name="IQ_NET_DEBT_EST_UP_2MONTH_CIQ" hidden="1">"c16776"</definedName>
    <definedName name="IQ_NET_DEBT_EST_UP_3MONTH" hidden="1">"c16516"</definedName>
    <definedName name="IQ_NET_DEBT_EST_UP_3MONTH_CIQ" hidden="1">"c16780"</definedName>
    <definedName name="IQ_NET_DEBT_EST_UP_MONTH" hidden="1">"c16508"</definedName>
    <definedName name="IQ_NET_DEBT_EST_UP_MONTH_CIQ" hidden="1">"c16772"</definedName>
    <definedName name="IQ_NET_DEBT_GUIDANCE" hidden="1">"c4467"</definedName>
    <definedName name="IQ_NET_DEBT_GUIDANCE_CIQ" hidden="1">"c5005"</definedName>
    <definedName name="IQ_NET_DEBT_GUIDANCE_CIQ_COL" hidden="1">"c11652"</definedName>
    <definedName name="IQ_NET_DEBT_HIGH_EST" hidden="1">"c3518"</definedName>
    <definedName name="IQ_NET_DEBT_HIGH_EST_CIQ" hidden="1">"c3816"</definedName>
    <definedName name="IQ_NET_DEBT_HIGH_EST_THOM" hidden="1">"c4029"</definedName>
    <definedName name="IQ_NET_DEBT_HIGH_GUIDANCE" hidden="1">"c4181"</definedName>
    <definedName name="IQ_NET_DEBT_HIGH_GUIDANCE_CIQ" hidden="1">"c4593"</definedName>
    <definedName name="IQ_NET_DEBT_HIGH_GUIDANCE_CIQ_COL" hidden="1">"c11242"</definedName>
    <definedName name="IQ_NET_DEBT_ISSUED" hidden="1">"c751"</definedName>
    <definedName name="IQ_NET_DEBT_ISSUED_BNK" hidden="1">"c752"</definedName>
    <definedName name="IQ_NET_DEBT_ISSUED_BR" hidden="1">"c753"</definedName>
    <definedName name="IQ_NET_DEBT_ISSUED_CM"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CIQ" hidden="1">"c3817"</definedName>
    <definedName name="IQ_NET_DEBT_LOW_EST_THOM" hidden="1">"c4030"</definedName>
    <definedName name="IQ_NET_DEBT_LOW_GUIDANCE" hidden="1">"c4221"</definedName>
    <definedName name="IQ_NET_DEBT_LOW_GUIDANCE_CIQ" hidden="1">"c4633"</definedName>
    <definedName name="IQ_NET_DEBT_LOW_GUIDANCE_CIQ_COL" hidden="1">"c11282"</definedName>
    <definedName name="IQ_NET_DEBT_MEDIAN_EST" hidden="1">"c3520"</definedName>
    <definedName name="IQ_NET_DEBT_MEDIAN_EST_CIQ" hidden="1">"c3815"</definedName>
    <definedName name="IQ_NET_DEBT_MEDIAN_EST_THOM" hidden="1">"c4028"</definedName>
    <definedName name="IQ_NET_DEBT_NUM_EST" hidden="1">"c3515"</definedName>
    <definedName name="IQ_NET_DEBT_NUM_EST_CIQ" hidden="1">"c3818"</definedName>
    <definedName name="IQ_NET_DEBT_NUM_EST_THOM" hidden="1">"c4031"</definedName>
    <definedName name="IQ_NET_DEBT_STDDEV_EST" hidden="1">"c3516"</definedName>
    <definedName name="IQ_NET_DEBT_STDDEV_EST_CIQ" hidden="1">"c3819"</definedName>
    <definedName name="IQ_NET_DEBT_STDDEV_EST_THOM" hidden="1">"c4032"</definedName>
    <definedName name="IQ_NET_EARNED" hidden="1">"c2734"</definedName>
    <definedName name="IQ_NET_FED_FUNDS_PURCHASED_TOTAL_ASSETS_THRIFT" hidden="1">"c25704"</definedName>
    <definedName name="IQ_NET_FIDUCIARY_RELATED_SERVICES_INC_THRIFT" hidden="1">"c24815"</definedName>
    <definedName name="IQ_NET_FUNDS_PURCHASED_ASSETS_TOT_FFIEC" hidden="1">"c13448"</definedName>
    <definedName name="IQ_NET_GAIN_LOSS_OREO_EXP_FFIEC" hidden="1">"c15370"</definedName>
    <definedName name="IQ_NET_GAIN_LOSS_OREO_INC_FFIEC" hidden="1">"c15367"</definedName>
    <definedName name="IQ_NET_GAIN_LOSS_SALES_LOANS_EXP_FFIEC" hidden="1">"c15371"</definedName>
    <definedName name="IQ_NET_GAIN_LOSS_SALES_LOANS_INC_FFIEC" hidden="1">"c15368"</definedName>
    <definedName name="IQ_NET_GAIN_SALE_AFS_SEC_THRIFT" hidden="1">"c24770"</definedName>
    <definedName name="IQ_NET_GAIN_SALE_LOANS_HELD_INV_THRIFT" hidden="1">"c24774"</definedName>
    <definedName name="IQ_NET_GAIN_SALE_LOANS_LEASES_HFS_THRIFT" hidden="1">"c24771"</definedName>
    <definedName name="IQ_NET_GAIN_SALE_OTHER_ASSETS_HELD_INV_THRIFT" hidden="1">"c24775"</definedName>
    <definedName name="IQ_NET_GAIN_SALE_OTHER_ASSETS_HFS_THRIFT" hidden="1">"c24772"</definedName>
    <definedName name="IQ_NET_GAIN_SALE_PREMISES_FIXED_ASSETS_EXP_FFIEC" hidden="1">"c15372"</definedName>
    <definedName name="IQ_NET_GAIN_SALE_PREMISES_FIXED_ASSETS_INC_FFIEC" hidden="1">"c15369"</definedName>
    <definedName name="IQ_NET_GAIN_SALE_SEC_HTM_THRIFT" hidden="1">"c24773"</definedName>
    <definedName name="IQ_NET_GAINS_FIN_ASSETS_LIABILITIES_FV_THRIFT" hidden="1">"c24776"</definedName>
    <definedName name="IQ_NET_IMPAIR_LOSS_FFIEC" hidden="1">"c25848"</definedName>
    <definedName name="IQ_NET_INC" hidden="1">"c781"</definedName>
    <definedName name="IQ_NET_INC_10K" hidden="1">"NET_INC_10K"</definedName>
    <definedName name="IQ_NET_INC_10Q" hidden="1">"NET_INC_10Q"</definedName>
    <definedName name="IQ_NET_INC_10Q1" hidden="1">"NET_INC_10Q1"</definedName>
    <definedName name="IQ_NET_INC_BEFORE" hidden="1">"c344"</definedName>
    <definedName name="IQ_NET_INC_CF" hidden="1">"c793"</definedName>
    <definedName name="IQ_NET_INC_GROWTH_1" hidden="1">"IQ_NET_INC_GROWTH_1"</definedName>
    <definedName name="IQ_NET_INC_GROWTH_2" hidden="1">"IQ_NET_INC_GROWTH_2"</definedName>
    <definedName name="IQ_NET_INC_MARGIN" hidden="1">"c794"</definedName>
    <definedName name="IQ_NET_INCOME_AVG_ASSETS_THRIFT" hidden="1">"c25661"</definedName>
    <definedName name="IQ_NET_INCOME_FDIC" hidden="1">"c6587"</definedName>
    <definedName name="IQ_NET_INCOME_HOMEBUILDING_SALES" hidden="1">"c15818"</definedName>
    <definedName name="IQ_NET_INCOME_LH_FFIEC" hidden="1">"c13110"</definedName>
    <definedName name="IQ_NET_INCOME_LOCOM_ADJUST_THRIFT" hidden="1">"c24779"</definedName>
    <definedName name="IQ_NET_INCOME_LOSS_ATTRIBUTABLE_SAVINGS_ASSOCIATION_THRIFT" hidden="1">"c25009"</definedName>
    <definedName name="IQ_NET_INCOME_PC_FFIEC" hidden="1">"c13103"</definedName>
    <definedName name="IQ_NET_INCOME_REPOSSESS_ASSETS_THRIFT" hidden="1">"c24778"</definedName>
    <definedName name="IQ_NET_INCOME_SALE_ASSETS_HFS_AFS_SEC_THRIFT" hidden="1">"c24769"</definedName>
    <definedName name="IQ_NET_INCOME_SHE_FFIEC" hidden="1">"c12960"</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AFTER_LL_BNK_SUBTOTAL_AP" hidden="1">"c8979"</definedName>
    <definedName name="IQ_NET_INT_INC_BNK" hidden="1">"c764"</definedName>
    <definedName name="IQ_NET_INT_INC_BNK_AP" hidden="1">"c8874"</definedName>
    <definedName name="IQ_NET_INT_INC_BNK_AP_ABS" hidden="1">"c8893"</definedName>
    <definedName name="IQ_NET_INT_INC_BNK_FDIC" hidden="1">"c6570"</definedName>
    <definedName name="IQ_NET_INT_INC_BNK_NAME_AP" hidden="1">"c8912"</definedName>
    <definedName name="IQ_NET_INT_INC_BNK_NAME_AP_ABS" hidden="1">"c8931"</definedName>
    <definedName name="IQ_NET_INT_INC_BNK_SUBTOTAL_AP" hidden="1">"c8978"</definedName>
    <definedName name="IQ_NET_INT_INC_BR" hidden="1">"c765"</definedName>
    <definedName name="IQ_NET_INT_INC_CM" hidden="1">"c765"</definedName>
    <definedName name="IQ_NET_INT_INC_FIN" hidden="1">"c766"</definedName>
    <definedName name="IQ_NET_INT_INC_TOTAL_REV" hidden="1">"c767"</definedName>
    <definedName name="IQ_NET_INT_INCOME_AFTER_PROVISION_THRIFT" hidden="1">"c25871"</definedName>
    <definedName name="IQ_NET_INT_INCOME_AVG_ASSET" hidden="1">"c15706"</definedName>
    <definedName name="IQ_NET_INT_INCOME_AVG_ASSETS_THRIFT" hidden="1">"c25649"</definedName>
    <definedName name="IQ_NET_INT_INCOME_AVG_EARNING_ASSETS_THRIFT" hidden="1">"c25668"</definedName>
    <definedName name="IQ_NET_INT_INCOME_FFIEC" hidden="1">"c13001"</definedName>
    <definedName name="IQ_NET_INT_INCOME_FTE_FFIEC" hidden="1">"c13036"</definedName>
    <definedName name="IQ_NET_INT_INCOME_THRIFT" hidden="1">"c24765"</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"c764"</definedName>
    <definedName name="IQ_NET_INTEREST_INC_AFTER_LL" hidden="1">"c1604"</definedName>
    <definedName name="IQ_NET_INTEREST_INC_INTERNATIONAL_OPS_FFIEC" hidden="1">"c15375"</definedName>
    <definedName name="IQ_NET_INTEREST_MARGIN_FDIC" hidden="1">"c6726"</definedName>
    <definedName name="IQ_NET_LIFE_INS_IN_FORCE" hidden="1">"c2769"</definedName>
    <definedName name="IQ_NET_LOAN_LOSSES_AVG_LOANS_THRIFT" hidden="1">"c25635"</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CORE_DEPOSITS_FFIEC" hidden="1">"c13341"</definedName>
    <definedName name="IQ_NET_LOANS_CORE_DEPOSITS_THRIFT" hidden="1">"c25628"</definedName>
    <definedName name="IQ_NET_LOANS_DEPOSITS_FFIEC" hidden="1">"c13340"</definedName>
    <definedName name="IQ_NET_LOANS_EQUITY_FFIEC" hidden="1">"c13347"</definedName>
    <definedName name="IQ_NET_LOANS_EQUITY_THRIFT" hidden="1">"c25632"</definedName>
    <definedName name="IQ_NET_LOANS_LEASES_CORE_DEPOSITS_FDIC" hidden="1">"c6743"</definedName>
    <definedName name="IQ_NET_LOANS_LEASES_DEPOSITS_FDIC" hidden="1">"c6742"</definedName>
    <definedName name="IQ_NET_LOANS_LEASES_LETTERS_CREDIT_TOTAL_ASSETS_THRIFT" hidden="1">"c25698"</definedName>
    <definedName name="IQ_NET_LOANS_LEASES_TOTAL_ASSETS_THRIFT" hidden="1">"c25694"</definedName>
    <definedName name="IQ_NET_LOANS_TOTAL_DEPOSITS" hidden="1">"c779"</definedName>
    <definedName name="IQ_NET_LOANS_TOTAL_DEPOSITS_THRIFT" hidden="1">"c25627"</definedName>
    <definedName name="IQ_NET_LOSSES" hidden="1">"c15873"</definedName>
    <definedName name="IQ_NET_LOSSES_FIDUCIARY_RELATED_SERVICES_THRIFT" hidden="1">"c24813"</definedName>
    <definedName name="IQ_NET_NEW_CLIENT_ASSETS" hidden="1">"c20430"</definedName>
    <definedName name="IQ_NET_NONCORE_FUNDING_DEPENDENCE_SHORT_TERM_THRIFT" hidden="1">"c25624"</definedName>
    <definedName name="IQ_NET_NONCORE_FUNDING_DEPENDENCE_THRIFT" hidden="1">"c25623"</definedName>
    <definedName name="IQ_NET_NONINTEREST_INC_EXP_INTERNATIONAL_OPS_FFIEC" hidden="1">"c15387"</definedName>
    <definedName name="IQ_NET_OCCUPANCY_EXP_ADJUSTED_OPERATING_INCOME_THRIFT" hidden="1">"c25686"</definedName>
    <definedName name="IQ_NET_OPERATING_INCOME_ASSETS_FDIC" hidden="1">"c6729"</definedName>
    <definedName name="IQ_NET_PC_WRITTEN" hidden="1">"c1027"</definedName>
    <definedName name="IQ_NET_PREMIUM_WRITTEN_STATUTORY_SURPLUS" hidden="1">"c15880"</definedName>
    <definedName name="IQ_NET_PREMIUMS_WRITTEN_AVG_ASSETS" hidden="1">"c15888"</definedName>
    <definedName name="IQ_NET_PREMIUMS_WRITTEN_AVG_EQUITY" hidden="1">"c15891"</definedName>
    <definedName name="IQ_NET_PREMIUMS_WRITTEN_AVG_STATUTORY_SURPLUS" hidden="1">"c15890"</definedName>
    <definedName name="IQ_NET_PREMIUMS_WRITTEN_GROSS_PREMIUMS_WRITTEN" hidden="1">"c15889"</definedName>
    <definedName name="IQ_NET_PROVISION_LOSS_GVA_THRIFT" hidden="1">"c25092"</definedName>
    <definedName name="IQ_NET_PROVISION_LOSS_SVA_THRIFT" hidden="1">"c25100"</definedName>
    <definedName name="IQ_NET_PROVISION_LOSS_TVA_THRIFT" hidden="1">"c25107"</definedName>
    <definedName name="IQ_NET_RENTAL_EXP_FN" hidden="1">"c780"</definedName>
    <definedName name="IQ_NET_SECURITIZATION_INC_FOREIGN_FFIEC" hidden="1">"c15379"</definedName>
    <definedName name="IQ_NET_SECURITIZATION_INCOME_FDIC" hidden="1">"c6669"</definedName>
    <definedName name="IQ_NET_SERVICING_FEES_ADJUSTED_OPERATING_INCOME_THRIFT" hidden="1">"c25690"</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BASIS_ACCOUNTING_ADJUSTMENTS_SAVINGS_ASSOCIATION_THRIFT" hidden="1">"c25015"</definedName>
    <definedName name="IQ_NEW_DEPOSITS_RECEIVED_LESS_DEPOSITS_WITHDRAWN_THRIFT" hidden="1">"c25343"</definedName>
    <definedName name="IQ_NEW_PREM" hidden="1">"c2785"</definedName>
    <definedName name="IQ_NEWS" hidden="1">"c13743"</definedName>
    <definedName name="IQ_NEWS_DATE" hidden="1">"c13746"</definedName>
    <definedName name="IQ_NEWS_SOURCE" hidden="1">"c13745"</definedName>
    <definedName name="IQ_NEWS_TIME" hidden="1">"c13759"</definedName>
    <definedName name="IQ_NEWS_URL" hidden="1">"c13744"</definedName>
    <definedName name="IQ_NEXT_CALL_DATE" hidden="1">"c2198"</definedName>
    <definedName name="IQ_NEXT_CALL_PRICE" hidden="1">"c2199"</definedName>
    <definedName name="IQ_NEXT_DIV_AMOUNT" hidden="1">"c17414"</definedName>
    <definedName name="IQ_NEXT_DIV_PAYMENT_DATE" hidden="1">"c17413"</definedName>
    <definedName name="IQ_NEXT_DIV_PAYMENT_TYPE" hidden="1">"c17415"</definedName>
    <definedName name="IQ_NEXT_DIV_RECORD_DATE" hidden="1">"c17412"</definedName>
    <definedName name="IQ_NEXT_EARNINGS_DATE" hidden="1">"c13592"</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EXT_XDIV_DATE" hidden="1">"c17411"</definedName>
    <definedName name="IQ_NEXT_YR_PROD_EST_MAX_ALUM" hidden="1">"c9251"</definedName>
    <definedName name="IQ_NEXT_YR_PROD_EST_MAX_CATHODE_COP" hidden="1">"c9198"</definedName>
    <definedName name="IQ_NEXT_YR_PROD_EST_MAX_COP" hidden="1">"c9196"</definedName>
    <definedName name="IQ_NEXT_YR_PROD_EST_MAX_DIAM" hidden="1">"c9675"</definedName>
    <definedName name="IQ_NEXT_YR_PROD_EST_MAX_GOLD" hidden="1">"c9036"</definedName>
    <definedName name="IQ_NEXT_YR_PROD_EST_MAX_IRON" hidden="1">"c9410"</definedName>
    <definedName name="IQ_NEXT_YR_PROD_EST_MAX_LEAD" hidden="1">"c9463"</definedName>
    <definedName name="IQ_NEXT_YR_PROD_EST_MAX_MANG" hidden="1">"c9516"</definedName>
    <definedName name="IQ_NEXT_YR_PROD_EST_MAX_MOLYB" hidden="1">"c9728"</definedName>
    <definedName name="IQ_NEXT_YR_PROD_EST_MAX_NICK" hidden="1">"c9304"</definedName>
    <definedName name="IQ_NEXT_YR_PROD_EST_MAX_PLAT" hidden="1">"c9142"</definedName>
    <definedName name="IQ_NEXT_YR_PROD_EST_MAX_SILVER" hidden="1">"c9089"</definedName>
    <definedName name="IQ_NEXT_YR_PROD_EST_MAX_TITAN" hidden="1">"c9569"</definedName>
    <definedName name="IQ_NEXT_YR_PROD_EST_MAX_URAN" hidden="1">"c9622"</definedName>
    <definedName name="IQ_NEXT_YR_PROD_EST_MAX_ZINC" hidden="1">"c9357"</definedName>
    <definedName name="IQ_NEXT_YR_PROD_EST_MIN_ALUM" hidden="1">"c9250"</definedName>
    <definedName name="IQ_NEXT_YR_PROD_EST_MIN_CATHODE_COP" hidden="1">"c9197"</definedName>
    <definedName name="IQ_NEXT_YR_PROD_EST_MIN_COP" hidden="1">"c9195"</definedName>
    <definedName name="IQ_NEXT_YR_PROD_EST_MIN_DIAM" hidden="1">"c9674"</definedName>
    <definedName name="IQ_NEXT_YR_PROD_EST_MIN_GOLD" hidden="1">"c9035"</definedName>
    <definedName name="IQ_NEXT_YR_PROD_EST_MIN_IRON" hidden="1">"c9409"</definedName>
    <definedName name="IQ_NEXT_YR_PROD_EST_MIN_LEAD" hidden="1">"c9462"</definedName>
    <definedName name="IQ_NEXT_YR_PROD_EST_MIN_MANG" hidden="1">"c9515"</definedName>
    <definedName name="IQ_NEXT_YR_PROD_EST_MIN_MOLYB" hidden="1">"c9727"</definedName>
    <definedName name="IQ_NEXT_YR_PROD_EST_MIN_NICK" hidden="1">"c9303"</definedName>
    <definedName name="IQ_NEXT_YR_PROD_EST_MIN_PLAT" hidden="1">"c9141"</definedName>
    <definedName name="IQ_NEXT_YR_PROD_EST_MIN_SILVER" hidden="1">"c9088"</definedName>
    <definedName name="IQ_NEXT_YR_PROD_EST_MIN_TITAN" hidden="1">"c9568"</definedName>
    <definedName name="IQ_NEXT_YR_PROD_EST_MIN_URAN" hidden="1">"c9621"</definedName>
    <definedName name="IQ_NEXT_YR_PROD_EST_MIN_ZINC" hidden="1">"c9356"</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CIQ" hidden="1">"c5065"</definedName>
    <definedName name="IQ_NI_ACT_OR_EST_CIQ_COL" hidden="1">"c11712"</definedName>
    <definedName name="IQ_NI_ACT_OR_EST_THOM" hidden="1">"c5306"</definedName>
    <definedName name="IQ_NI_AFTER_CAPITALIZED" hidden="1">"c788"</definedName>
    <definedName name="IQ_NI_AVAIL_EXCL" hidden="1">"c789"</definedName>
    <definedName name="IQ_NI_AVAIL_EXCL_MARGIN" hidden="1">"c790"</definedName>
    <definedName name="IQ_NI_AVAIL_INCL" hidden="1">"c791"</definedName>
    <definedName name="IQ_NI_AVAIL_SUBTOTAL_AP" hidden="1">"c8984"</definedName>
    <definedName name="IQ_NI_AVG_ASSETS_FFIEC" hidden="1">"c13370"</definedName>
    <definedName name="IQ_NI_BANK_AND_NONCONTROLLING_INTEREST_FFIEC" hidden="1">"c15365"</definedName>
    <definedName name="IQ_NI_BANK_NONCONTROLLING_INT_THRIFT" hidden="1">"c24798"</definedName>
    <definedName name="IQ_NI_BEFORE_CAPITALIZED" hidden="1">"c792"</definedName>
    <definedName name="IQ_NI_BEFORE_INTERNAL_ALLOCATIONS_FOREIGN_FFIEC" hidden="1">"c15393"</definedName>
    <definedName name="IQ_NI_CF" hidden="1">"c793"</definedName>
    <definedName name="IQ_NI_CHARGES_AP" hidden="1">"c8879"</definedName>
    <definedName name="IQ_NI_CHARGES_AP_ABS" hidden="1">"c8898"</definedName>
    <definedName name="IQ_NI_CHARGES_NAME_AP" hidden="1">"c8917"</definedName>
    <definedName name="IQ_NI_CHARGES_NAME_AP_ABS" hidden="1">"c8936"</definedName>
    <definedName name="IQ_NI_COMPANY" hidden="1">"c25786"</definedName>
    <definedName name="IQ_NI_EST" hidden="1">"c1716"</definedName>
    <definedName name="IQ_NI_EST_CIQ" hidden="1">"c4702"</definedName>
    <definedName name="IQ_NI_EST_DOWN_2MONTH" hidden="1">"c16429"</definedName>
    <definedName name="IQ_NI_EST_DOWN_2MONTH_CIQ" hidden="1">"c16717"</definedName>
    <definedName name="IQ_NI_EST_DOWN_3MONTH" hidden="1">"c16433"</definedName>
    <definedName name="IQ_NI_EST_DOWN_3MONTH_CIQ" hidden="1">"c16721"</definedName>
    <definedName name="IQ_NI_EST_DOWN_MONTH" hidden="1">"c16425"</definedName>
    <definedName name="IQ_NI_EST_DOWN_MONTH_CIQ" hidden="1">"c16713"</definedName>
    <definedName name="IQ_NI_EST_NOTE" hidden="1">"c17514"</definedName>
    <definedName name="IQ_NI_EST_NOTE_CIQ" hidden="1">"c17467"</definedName>
    <definedName name="IQ_NI_EST_NUM_ANALYSTS_2MONTH" hidden="1">"c16427"</definedName>
    <definedName name="IQ_NI_EST_NUM_ANALYSTS_2MONTH_CIQ" hidden="1">"c16715"</definedName>
    <definedName name="IQ_NI_EST_NUM_ANALYSTS_3MONTH" hidden="1">"c16431"</definedName>
    <definedName name="IQ_NI_EST_NUM_ANALYSTS_3MONTH_CIQ" hidden="1">"c16719"</definedName>
    <definedName name="IQ_NI_EST_NUM_ANALYSTS_MONTH" hidden="1">"c16423"</definedName>
    <definedName name="IQ_NI_EST_NUM_ANALYSTS_MONTH_CIQ" hidden="1">"c16711"</definedName>
    <definedName name="IQ_NI_EST_THOM" hidden="1">"c5126"</definedName>
    <definedName name="IQ_NI_EST_TOTAL_REVISED_2MONTH" hidden="1">"c16430"</definedName>
    <definedName name="IQ_NI_EST_TOTAL_REVISED_2MONTH_CIQ" hidden="1">"c16718"</definedName>
    <definedName name="IQ_NI_EST_TOTAL_REVISED_3MONTH" hidden="1">"c16434"</definedName>
    <definedName name="IQ_NI_EST_TOTAL_REVISED_3MONTH_CIQ" hidden="1">"c16722"</definedName>
    <definedName name="IQ_NI_EST_TOTAL_REVISED_MONTH" hidden="1">"c16426"</definedName>
    <definedName name="IQ_NI_EST_TOTAL_REVISED_MONTH_CIQ" hidden="1">"c16714"</definedName>
    <definedName name="IQ_NI_EST_UP_2MONTH" hidden="1">"c16428"</definedName>
    <definedName name="IQ_NI_EST_UP_2MONTH_CIQ" hidden="1">"c16716"</definedName>
    <definedName name="IQ_NI_EST_UP_3MONTH" hidden="1">"c16432"</definedName>
    <definedName name="IQ_NI_EST_UP_3MONTH_CIQ" hidden="1">"c16720"</definedName>
    <definedName name="IQ_NI_EST_UP_MONTH" hidden="1">"c16424"</definedName>
    <definedName name="IQ_NI_EST_UP_MONTH_CIQ" hidden="1">"c16712"</definedName>
    <definedName name="IQ_NI_FFIEC" hidden="1">"c13034"</definedName>
    <definedName name="IQ_NI_GAAP_GUIDANCE" hidden="1">"c4470"</definedName>
    <definedName name="IQ_NI_GAAP_GUIDANCE_CIQ" hidden="1">"c5008"</definedName>
    <definedName name="IQ_NI_GAAP_GUIDANCE_CIQ_COL" hidden="1">"c11655"</definedName>
    <definedName name="IQ_NI_GAAP_HIGH_GUIDANCE" hidden="1">"c4177"</definedName>
    <definedName name="IQ_NI_GAAP_HIGH_GUIDANCE_CIQ" hidden="1">"c4589"</definedName>
    <definedName name="IQ_NI_GAAP_HIGH_GUIDANCE_CIQ_COL" hidden="1">"c11238"</definedName>
    <definedName name="IQ_NI_GAAP_LOW_GUIDANCE" hidden="1">"c4217"</definedName>
    <definedName name="IQ_NI_GAAP_LOW_GUIDANCE_CIQ" hidden="1">"c4629"</definedName>
    <definedName name="IQ_NI_GAAP_LOW_GUIDANCE_CIQ_COL" hidden="1">"c11278"</definedName>
    <definedName name="IQ_NI_GUIDANCE" hidden="1">"c4469"</definedName>
    <definedName name="IQ_NI_GUIDANCE_CIQ" hidden="1">"c5007"</definedName>
    <definedName name="IQ_NI_GUIDANCE_CIQ_COL" hidden="1">"c11654"</definedName>
    <definedName name="IQ_NI_GW_EST" hidden="1">"c1723"</definedName>
    <definedName name="IQ_NI_GW_EST_CIQ" hidden="1">"c4709"</definedName>
    <definedName name="IQ_NI_GW_EST_DOWN_2MONTH" hidden="1">"c16453"</definedName>
    <definedName name="IQ_NI_GW_EST_DOWN_2MONTH_CIQ" hidden="1">"c16741"</definedName>
    <definedName name="IQ_NI_GW_EST_DOWN_3MONTH" hidden="1">"c16457"</definedName>
    <definedName name="IQ_NI_GW_EST_DOWN_3MONTH_CIQ" hidden="1">"c16745"</definedName>
    <definedName name="IQ_NI_GW_EST_DOWN_MONTH" hidden="1">"c16449"</definedName>
    <definedName name="IQ_NI_GW_EST_DOWN_MONTH_CIQ" hidden="1">"c16737"</definedName>
    <definedName name="IQ_NI_GW_EST_NOTE" hidden="1">"c17516"</definedName>
    <definedName name="IQ_NI_GW_EST_NOTE_CIQ" hidden="1">"c17469"</definedName>
    <definedName name="IQ_NI_GW_EST_NUM_ANALYSTS_2MONTH" hidden="1">"c16451"</definedName>
    <definedName name="IQ_NI_GW_EST_NUM_ANALYSTS_2MONTH_CIQ" hidden="1">"c16739"</definedName>
    <definedName name="IQ_NI_GW_EST_NUM_ANALYSTS_3MONTH" hidden="1">"c16455"</definedName>
    <definedName name="IQ_NI_GW_EST_NUM_ANALYSTS_3MONTH_CIQ" hidden="1">"c16743"</definedName>
    <definedName name="IQ_NI_GW_EST_NUM_ANALYSTS_MONTH" hidden="1">"c16447"</definedName>
    <definedName name="IQ_NI_GW_EST_NUM_ANALYSTS_MONTH_CIQ" hidden="1">"c16735"</definedName>
    <definedName name="IQ_NI_GW_EST_TOTAL_REVISED_2MONTH" hidden="1">"c16454"</definedName>
    <definedName name="IQ_NI_GW_EST_TOTAL_REVISED_2MONTH_CIQ" hidden="1">"c16742"</definedName>
    <definedName name="IQ_NI_GW_EST_TOTAL_REVISED_3MONTH" hidden="1">"c16458"</definedName>
    <definedName name="IQ_NI_GW_EST_TOTAL_REVISED_3MONTH_CIQ" hidden="1">"c16746"</definedName>
    <definedName name="IQ_NI_GW_EST_TOTAL_REVISED_MONTH" hidden="1">"c16450"</definedName>
    <definedName name="IQ_NI_GW_EST_TOTAL_REVISED_MONTH_CIQ" hidden="1">"c16738"</definedName>
    <definedName name="IQ_NI_GW_EST_UP_2MONTH" hidden="1">"c16452"</definedName>
    <definedName name="IQ_NI_GW_EST_UP_2MONTH_CIQ" hidden="1">"c16740"</definedName>
    <definedName name="IQ_NI_GW_EST_UP_3MONTH" hidden="1">"c16456"</definedName>
    <definedName name="IQ_NI_GW_EST_UP_3MONTH_CIQ" hidden="1">"c16744"</definedName>
    <definedName name="IQ_NI_GW_EST_UP_MONTH" hidden="1">"c16448"</definedName>
    <definedName name="IQ_NI_GW_EST_UP_MONTH_CIQ" hidden="1">"c16736"</definedName>
    <definedName name="IQ_NI_GW_GUIDANCE" hidden="1">"c4471"</definedName>
    <definedName name="IQ_NI_GW_GUIDANCE_CIQ" hidden="1">"c5009"</definedName>
    <definedName name="IQ_NI_GW_GUIDANCE_CIQ_COL" hidden="1">"c11656"</definedName>
    <definedName name="IQ_NI_GW_HIGH_EST" hidden="1">"c1725"</definedName>
    <definedName name="IQ_NI_GW_HIGH_EST_CIQ" hidden="1">"c4711"</definedName>
    <definedName name="IQ_NI_GW_HIGH_GUIDANCE" hidden="1">"c4178"</definedName>
    <definedName name="IQ_NI_GW_HIGH_GUIDANCE_CIQ" hidden="1">"c4590"</definedName>
    <definedName name="IQ_NI_GW_HIGH_GUIDANCE_CIQ_COL" hidden="1">"c11239"</definedName>
    <definedName name="IQ_NI_GW_LOW_EST" hidden="1">"c1726"</definedName>
    <definedName name="IQ_NI_GW_LOW_EST_CIQ" hidden="1">"c4712"</definedName>
    <definedName name="IQ_NI_GW_LOW_GUIDANCE" hidden="1">"c4218"</definedName>
    <definedName name="IQ_NI_GW_LOW_GUIDANCE_CIQ" hidden="1">"c4630"</definedName>
    <definedName name="IQ_NI_GW_LOW_GUIDANCE_CIQ_COL" hidden="1">"c11279"</definedName>
    <definedName name="IQ_NI_GW_MEDIAN_EST" hidden="1">"c1724"</definedName>
    <definedName name="IQ_NI_GW_MEDIAN_EST_CIQ" hidden="1">"c4710"</definedName>
    <definedName name="IQ_NI_GW_NUM_EST" hidden="1">"c1727"</definedName>
    <definedName name="IQ_NI_GW_NUM_EST_CIQ" hidden="1">"c4713"</definedName>
    <definedName name="IQ_NI_GW_STDDEV_EST" hidden="1">"c1728"</definedName>
    <definedName name="IQ_NI_GW_STDDEV_EST_CIQ" hidden="1">"c4714"</definedName>
    <definedName name="IQ_NI_HIGH_EST" hidden="1">"c1718"</definedName>
    <definedName name="IQ_NI_HIGH_EST_CIQ" hidden="1">"c4704"</definedName>
    <definedName name="IQ_NI_HIGH_EST_THOM" hidden="1">"c5128"</definedName>
    <definedName name="IQ_NI_HIGH_GUIDANCE" hidden="1">"c4176"</definedName>
    <definedName name="IQ_NI_HIGH_GUIDANCE_CIQ" hidden="1">"c4588"</definedName>
    <definedName name="IQ_NI_HIGH_GUIDANCE_CIQ_COL" hidden="1">"c11237"</definedName>
    <definedName name="IQ_NI_LOW_EST" hidden="1">"c1719"</definedName>
    <definedName name="IQ_NI_LOW_EST_CIQ" hidden="1">"c4705"</definedName>
    <definedName name="IQ_NI_LOW_EST_THOM" hidden="1">"c5129"</definedName>
    <definedName name="IQ_NI_LOW_GUIDANCE" hidden="1">"c4216"</definedName>
    <definedName name="IQ_NI_LOW_GUIDANCE_CIQ" hidden="1">"c4628"</definedName>
    <definedName name="IQ_NI_LOW_GUIDANCE_CIQ_COL" hidden="1">"c11277"</definedName>
    <definedName name="IQ_NI_MARGIN" hidden="1">"c794"</definedName>
    <definedName name="IQ_NI_MEDIAN_EST" hidden="1">"c1717"</definedName>
    <definedName name="IQ_NI_MEDIAN_EST_CIQ" hidden="1">"c4703"</definedName>
    <definedName name="IQ_NI_MEDIAN_EST_THOM" hidden="1">"c5127"</definedName>
    <definedName name="IQ_NI_NON_CONTROLLING_INTERESTS_FFIEC" hidden="1">"c15366"</definedName>
    <definedName name="IQ_NI_NONCONTROLLING_INT_THRIFT" hidden="1">"c24799"</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CIQ" hidden="1">"c4706"</definedName>
    <definedName name="IQ_NI_NUM_EST_THOM" hidden="1">"c5130"</definedName>
    <definedName name="IQ_NI_REPORTED_EST" hidden="1">"c1730"</definedName>
    <definedName name="IQ_NI_REPORTED_EST_CIQ" hidden="1">"c4716"</definedName>
    <definedName name="IQ_NI_REPORTED_EST_DOWN_2MONTH" hidden="1">"c16441"</definedName>
    <definedName name="IQ_NI_REPORTED_EST_DOWN_2MONTH_CIQ" hidden="1">"c16729"</definedName>
    <definedName name="IQ_NI_REPORTED_EST_DOWN_3MONTH" hidden="1">"c16445"</definedName>
    <definedName name="IQ_NI_REPORTED_EST_DOWN_3MONTH_CIQ" hidden="1">"c16733"</definedName>
    <definedName name="IQ_NI_REPORTED_EST_DOWN_MONTH" hidden="1">"c16437"</definedName>
    <definedName name="IQ_NI_REPORTED_EST_DOWN_MONTH_CIQ" hidden="1">"c16725"</definedName>
    <definedName name="IQ_NI_REPORTED_EST_NOTE" hidden="1">"c17515"</definedName>
    <definedName name="IQ_NI_REPORTED_EST_NOTE_CIQ" hidden="1">"c17468"</definedName>
    <definedName name="IQ_NI_REPORTED_EST_NUM_ANALYSTS_2MONTH" hidden="1">"c16439"</definedName>
    <definedName name="IQ_NI_REPORTED_EST_NUM_ANALYSTS_2MONTH_CIQ" hidden="1">"c16727"</definedName>
    <definedName name="IQ_NI_REPORTED_EST_NUM_ANALYSTS_3MONTH" hidden="1">"c16443"</definedName>
    <definedName name="IQ_NI_REPORTED_EST_NUM_ANALYSTS_3MONTH_CIQ" hidden="1">"c16731"</definedName>
    <definedName name="IQ_NI_REPORTED_EST_NUM_ANALYSTS_MONTH" hidden="1">"c16435"</definedName>
    <definedName name="IQ_NI_REPORTED_EST_NUM_ANALYSTS_MONTH_CIQ" hidden="1">"c16723"</definedName>
    <definedName name="IQ_NI_REPORTED_EST_TOTAL_REVISED_2MONTH" hidden="1">"c16442"</definedName>
    <definedName name="IQ_NI_REPORTED_EST_TOTAL_REVISED_2MONTH_CIQ" hidden="1">"c16730"</definedName>
    <definedName name="IQ_NI_REPORTED_EST_TOTAL_REVISED_3MONTH" hidden="1">"c16446"</definedName>
    <definedName name="IQ_NI_REPORTED_EST_TOTAL_REVISED_3MONTH_CIQ" hidden="1">"c16734"</definedName>
    <definedName name="IQ_NI_REPORTED_EST_TOTAL_REVISED_MONTH" hidden="1">"c16438"</definedName>
    <definedName name="IQ_NI_REPORTED_EST_TOTAL_REVISED_MONTH_CIQ" hidden="1">"c16726"</definedName>
    <definedName name="IQ_NI_REPORTED_EST_UP_2MONTH" hidden="1">"c16440"</definedName>
    <definedName name="IQ_NI_REPORTED_EST_UP_2MONTH_CIQ" hidden="1">"c16728"</definedName>
    <definedName name="IQ_NI_REPORTED_EST_UP_3MONTH" hidden="1">"c16444"</definedName>
    <definedName name="IQ_NI_REPORTED_EST_UP_3MONTH_CIQ" hidden="1">"c16732"</definedName>
    <definedName name="IQ_NI_REPORTED_EST_UP_MONTH" hidden="1">"c16436"</definedName>
    <definedName name="IQ_NI_REPORTED_EST_UP_MONTH_CIQ" hidden="1">"c16724"</definedName>
    <definedName name="IQ_NI_REPORTED_HIGH_EST" hidden="1">"c1732"</definedName>
    <definedName name="IQ_NI_REPORTED_HIGH_EST_CIQ" hidden="1">"c4718"</definedName>
    <definedName name="IQ_NI_REPORTED_LOW_EST" hidden="1">"c1733"</definedName>
    <definedName name="IQ_NI_REPORTED_LOW_EST_CIQ" hidden="1">"c4719"</definedName>
    <definedName name="IQ_NI_REPORTED_MEDIAN_EST" hidden="1">"c1731"</definedName>
    <definedName name="IQ_NI_REPORTED_MEDIAN_EST_CIQ" hidden="1">"c4717"</definedName>
    <definedName name="IQ_NI_REPORTED_NUM_EST" hidden="1">"c1734"</definedName>
    <definedName name="IQ_NI_REPORTED_NUM_EST_CIQ" hidden="1">"c4720"</definedName>
    <definedName name="IQ_NI_REPORTED_STDDEV_EST" hidden="1">"c1735"</definedName>
    <definedName name="IQ_NI_REPORTED_STDDEV_EST_CIQ" hidden="1">"c4721"</definedName>
    <definedName name="IQ_NI_SBC_ACT_OR_EST" hidden="1">"c4474"</definedName>
    <definedName name="IQ_NI_SBC_ACT_OR_EST_CIQ" hidden="1">"c5012"</definedName>
    <definedName name="IQ_NI_SBC_ACT_OR_EST_CIQ_COL" hidden="1">"c11659"</definedName>
    <definedName name="IQ_NI_SBC_EST" hidden="1">"c4473"</definedName>
    <definedName name="IQ_NI_SBC_EST_CIQ" hidden="1">"c5011"</definedName>
    <definedName name="IQ_NI_SBC_GUIDANCE" hidden="1">"c4475"</definedName>
    <definedName name="IQ_NI_SBC_GUIDANCE_CIQ" hidden="1">"c5013"</definedName>
    <definedName name="IQ_NI_SBC_GUIDANCE_CIQ_COL" hidden="1">"c11660"</definedName>
    <definedName name="IQ_NI_SBC_GW_ACT_OR_EST" hidden="1">"c4478"</definedName>
    <definedName name="IQ_NI_SBC_GW_ACT_OR_EST_CIQ" hidden="1">"c5016"</definedName>
    <definedName name="IQ_NI_SBC_GW_ACT_OR_EST_CIQ_COL" hidden="1">"c11663"</definedName>
    <definedName name="IQ_NI_SBC_GW_EST" hidden="1">"c4477"</definedName>
    <definedName name="IQ_NI_SBC_GW_EST_CIQ" hidden="1">"c5015"</definedName>
    <definedName name="IQ_NI_SBC_GW_GUIDANCE" hidden="1">"c4479"</definedName>
    <definedName name="IQ_NI_SBC_GW_GUIDANCE_CIQ" hidden="1">"c5017"</definedName>
    <definedName name="IQ_NI_SBC_GW_GUIDANCE_CIQ_COL" hidden="1">"c11664"</definedName>
    <definedName name="IQ_NI_SBC_GW_HIGH_EST" hidden="1">"c4480"</definedName>
    <definedName name="IQ_NI_SBC_GW_HIGH_EST_CIQ" hidden="1">"c5018"</definedName>
    <definedName name="IQ_NI_SBC_GW_HIGH_GUIDANCE" hidden="1">"c4187"</definedName>
    <definedName name="IQ_NI_SBC_GW_HIGH_GUIDANCE_CIQ" hidden="1">"c4599"</definedName>
    <definedName name="IQ_NI_SBC_GW_HIGH_GUIDANCE_CIQ_COL" hidden="1">"c11248"</definedName>
    <definedName name="IQ_NI_SBC_GW_LOW_EST" hidden="1">"c4481"</definedName>
    <definedName name="IQ_NI_SBC_GW_LOW_EST_CIQ" hidden="1">"c5019"</definedName>
    <definedName name="IQ_NI_SBC_GW_LOW_GUIDANCE" hidden="1">"c4227"</definedName>
    <definedName name="IQ_NI_SBC_GW_LOW_GUIDANCE_CIQ" hidden="1">"c4639"</definedName>
    <definedName name="IQ_NI_SBC_GW_LOW_GUIDANCE_CIQ_COL" hidden="1">"c11288"</definedName>
    <definedName name="IQ_NI_SBC_GW_MEDIAN_EST" hidden="1">"c4482"</definedName>
    <definedName name="IQ_NI_SBC_GW_MEDIAN_EST_CIQ" hidden="1">"c5020"</definedName>
    <definedName name="IQ_NI_SBC_GW_NUM_EST" hidden="1">"c4483"</definedName>
    <definedName name="IQ_NI_SBC_GW_NUM_EST_CIQ" hidden="1">"c5021"</definedName>
    <definedName name="IQ_NI_SBC_GW_STDDEV_EST" hidden="1">"c4484"</definedName>
    <definedName name="IQ_NI_SBC_GW_STDDEV_EST_CIQ" hidden="1">"c5022"</definedName>
    <definedName name="IQ_NI_SBC_HIGH_EST" hidden="1">"c4486"</definedName>
    <definedName name="IQ_NI_SBC_HIGH_EST_CIQ" hidden="1">"c5024"</definedName>
    <definedName name="IQ_NI_SBC_HIGH_GUIDANCE" hidden="1">"c4186"</definedName>
    <definedName name="IQ_NI_SBC_HIGH_GUIDANCE_CIQ" hidden="1">"c4598"</definedName>
    <definedName name="IQ_NI_SBC_HIGH_GUIDANCE_CIQ_COL" hidden="1">"c11247"</definedName>
    <definedName name="IQ_NI_SBC_LOW_EST" hidden="1">"c4487"</definedName>
    <definedName name="IQ_NI_SBC_LOW_EST_CIQ" hidden="1">"c5025"</definedName>
    <definedName name="IQ_NI_SBC_LOW_GUIDANCE" hidden="1">"c4226"</definedName>
    <definedName name="IQ_NI_SBC_LOW_GUIDANCE_CIQ" hidden="1">"c4638"</definedName>
    <definedName name="IQ_NI_SBC_LOW_GUIDANCE_CIQ_COL" hidden="1">"c11287"</definedName>
    <definedName name="IQ_NI_SBC_MEDIAN_EST" hidden="1">"c4488"</definedName>
    <definedName name="IQ_NI_SBC_MEDIAN_EST_CIQ" hidden="1">"c5026"</definedName>
    <definedName name="IQ_NI_SBC_NUM_EST" hidden="1">"c4489"</definedName>
    <definedName name="IQ_NI_SBC_NUM_EST_CIQ" hidden="1">"c5027"</definedName>
    <definedName name="IQ_NI_SBC_STDDEV_EST" hidden="1">"c4490"</definedName>
    <definedName name="IQ_NI_SBC_STDDEV_EST_CIQ" hidden="1">"c5028"</definedName>
    <definedName name="IQ_NI_SFAS" hidden="1">"c795"</definedName>
    <definedName name="IQ_NI_STDDEV_EST" hidden="1">"c1721"</definedName>
    <definedName name="IQ_NI_STDDEV_EST_CIQ" hidden="1">"c4707"</definedName>
    <definedName name="IQ_NI_STDDEV_EST_THOM" hidden="1">"c5131"</definedName>
    <definedName name="IQ_NI_SUBTOTAL_AP" hidden="1">"c8983"</definedName>
    <definedName name="IQ_NI_THRIFT" hidden="1">"c24800"</definedName>
    <definedName name="IQ_NLA_PCT_LEASED_CONSOL" hidden="1">"c8815"</definedName>
    <definedName name="IQ_NLA_PCT_LEASED_MANAGED" hidden="1">"c8817"</definedName>
    <definedName name="IQ_NLA_PCT_LEASED_OTHER" hidden="1">"c8818"</definedName>
    <definedName name="IQ_NLA_PCT_LEASED_TOTAL" hidden="1">"c8819"</definedName>
    <definedName name="IQ_NLA_PCT_LEASED_UNCONSOL" hidden="1">"c8816"</definedName>
    <definedName name="IQ_NLA_SQ_FT_CONSOL" hidden="1">"c8800"</definedName>
    <definedName name="IQ_NLA_SQ_FT_MANAGED" hidden="1">"c8802"</definedName>
    <definedName name="IQ_NLA_SQ_FT_OTHER" hidden="1">"c8803"</definedName>
    <definedName name="IQ_NLA_SQ_FT_TOTAL" hidden="1">"c8804"</definedName>
    <definedName name="IQ_NLA_SQ_FT_UNCONSOL" hidden="1">"c8801"</definedName>
    <definedName name="IQ_NLA_SQ_METER_CONSOL" hidden="1">"c8805"</definedName>
    <definedName name="IQ_NLA_SQ_METER_MANAGED" hidden="1">"c8807"</definedName>
    <definedName name="IQ_NLA_SQ_METER_OTHER" hidden="1">"c8808"</definedName>
    <definedName name="IQ_NLA_SQ_METER_TOTAL" hidden="1">"c8809"</definedName>
    <definedName name="IQ_NLA_SQ_METER_UNCONSOL" hidden="1">"c8806"</definedName>
    <definedName name="IQ_NOI_INCL_UNCONSOL" hidden="1">"c16068"</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M_DOMESTIC_PURCHASES" hidden="1">"c20883"</definedName>
    <definedName name="IQ_NOM_EXPORT" hidden="1">"c20884"</definedName>
    <definedName name="IQ_NOM_EXPORT_GOODS" hidden="1">"c20885"</definedName>
    <definedName name="IQ_NOM_EXPORT_INCOME" hidden="1">"c20886"</definedName>
    <definedName name="IQ_NOM_EXPORT_SERVICES" hidden="1">"c20887"</definedName>
    <definedName name="IQ_NOM_GDP" hidden="1">"c20888"</definedName>
    <definedName name="IQ_NOM_GDP_RESIDUAL" hidden="1">"c20889"</definedName>
    <definedName name="IQ_NOM_GNP" hidden="1">"c20890"</definedName>
    <definedName name="IQ_NOM_GOVT_CONSUM_INVEST" hidden="1">"c20891"</definedName>
    <definedName name="IQ_NOM_GOVT_CONSUM_INVEST_DEF" hidden="1">"c20892"</definedName>
    <definedName name="IQ_NOM_GOVT_CONSUM_INVEST_DEF_CONSUM" hidden="1">"c20893"</definedName>
    <definedName name="IQ_NOM_GOVT_CONSUM_INVEST_DEF_INVEST" hidden="1">"c20894"</definedName>
    <definedName name="IQ_NOM_GOVT_CONSUM_INVEST_FEDERAL" hidden="1">"c20895"</definedName>
    <definedName name="IQ_NOM_GOVT_CONSUM_INVEST_NONDEF" hidden="1">"c20896"</definedName>
    <definedName name="IQ_NOM_GOVT_CONSUM_INVEST_NONDEF_CONSUM" hidden="1">"c20897"</definedName>
    <definedName name="IQ_NOM_GOVT_CONSUM_INVEST_NONDEF_INVEST" hidden="1">"c20898"</definedName>
    <definedName name="IQ_NOM_GOVT_CONSUM_INVEST_STATE_LOCAL" hidden="1">"c20899"</definedName>
    <definedName name="IQ_NOM_GOVT_CONSUM_INVEST_STATE_LOCAL_CONSUM" hidden="1">"c20900"</definedName>
    <definedName name="IQ_NOM_GOVT_CONSUM_INVEST_STATE_LOCAL_INVEST" hidden="1">"c20901"</definedName>
    <definedName name="IQ_NOM_IMPORT" hidden="1">"c20902"</definedName>
    <definedName name="IQ_NOM_IMPORT_GOODS" hidden="1">"c20903"</definedName>
    <definedName name="IQ_NOM_IMPORT_INCOME" hidden="1">"c20904"</definedName>
    <definedName name="IQ_NOM_IMPORT_SERVICES" hidden="1">"c20905"</definedName>
    <definedName name="IQ_NOM_NET_DOMESTIC_PRODUCTION" hidden="1">"c20906"</definedName>
    <definedName name="IQ_NOM_NET_EXPORT" hidden="1">"c20907"</definedName>
    <definedName name="IQ_NOM_PCE" hidden="1">"c20908"</definedName>
    <definedName name="IQ_NOM_PCE_CLOTHING" hidden="1">"c20909"</definedName>
    <definedName name="IQ_NOM_PCE_DUR_GOODS" hidden="1">"c20910"</definedName>
    <definedName name="IQ_NOM_PCE_DUR_GOODS_OTHER" hidden="1">"c20911"</definedName>
    <definedName name="IQ_NOM_PCE_FINANCIAL" hidden="1">"c20912"</definedName>
    <definedName name="IQ_NOM_PCE_FOOD_ACCOMADATIONS" hidden="1">"c20913"</definedName>
    <definedName name="IQ_NOM_PCE_FOOD_BEVERAGE" hidden="1">"c20914"</definedName>
    <definedName name="IQ_NOM_PCE_FURNISHINGS" hidden="1">"c20915"</definedName>
    <definedName name="IQ_NOM_PCE_GAS" hidden="1">"c20916"</definedName>
    <definedName name="IQ_NOM_PCE_GOOD" hidden="1">"c20917"</definedName>
    <definedName name="IQ_NOM_PCE_HEALTH_CARE" hidden="1">"c20918"</definedName>
    <definedName name="IQ_NOM_PCE_HOUSEHOLD_CONSUM" hidden="1">"c20919"</definedName>
    <definedName name="IQ_NOM_PCE_HOUSEHOLD_CONSUM_OTHER" hidden="1">"c20920"</definedName>
    <definedName name="IQ_NOM_PCE_HOUSING" hidden="1">"c20921"</definedName>
    <definedName name="IQ_NOM_PCE_MOTOR_VEHICLE" hidden="1">"c20922"</definedName>
    <definedName name="IQ_NOM_PCE_NONDUR_GOODS" hidden="1">"c20923"</definedName>
    <definedName name="IQ_NOM_PCE_NONDUR_GOODS_OTHER" hidden="1">"c20924"</definedName>
    <definedName name="IQ_NOM_PCE_NONPROFIT_CONSUM" hidden="1">"c20925"</definedName>
    <definedName name="IQ_NOM_PCE_NONPROFIT_OUTPUT" hidden="1">"c20926"</definedName>
    <definedName name="IQ_NOM_PCE_NONPROFIT_RECEIPTS" hidden="1">"c20927"</definedName>
    <definedName name="IQ_NOM_PCE_RECREATION_GOODS" hidden="1">"c20928"</definedName>
    <definedName name="IQ_NOM_PCE_RECREATION_SERVICES" hidden="1">"c20929"</definedName>
    <definedName name="IQ_NOM_PCE_SERVICES" hidden="1">"c20930"</definedName>
    <definedName name="IQ_NOM_PCE_TRANSPORTATION" hidden="1">"c20931"</definedName>
    <definedName name="IQ_NOM_PRIVATE_INVEST" hidden="1">"c20932"</definedName>
    <definedName name="IQ_NOM_PRIVATE_INVEST_EQUIP" hidden="1">"c20933"</definedName>
    <definedName name="IQ_NOM_PRIVATE_INVEST_EQUIP_OTHER" hidden="1">"c20934"</definedName>
    <definedName name="IQ_NOM_PRIVATE_INVEST_FIXED" hidden="1">"c20935"</definedName>
    <definedName name="IQ_NOM_PRIVATE_INVEST_INDUSTRIAL_EQUIP" hidden="1">"c20936"</definedName>
    <definedName name="IQ_NOM_PRIVATE_INVEST_INFO_EQUIP" hidden="1">"c20937"</definedName>
    <definedName name="IQ_NOM_PRIVATE_INVEST_INFO_EQUIP_COMPUTERS" hidden="1">"c20938"</definedName>
    <definedName name="IQ_NOM_PRIVATE_INVEST_INFO_EQUIP_OTHER" hidden="1">"c20939"</definedName>
    <definedName name="IQ_NOM_PRIVATE_INVEST_INFO_EQUIP_SOFTWARE" hidden="1">"c20940"</definedName>
    <definedName name="IQ_NOM_PRIVATE_INVEST_NONRES" hidden="1">"c20941"</definedName>
    <definedName name="IQ_NOM_PRIVATE_INVEST_PRIVATE_INV_CHANGE" hidden="1">"c20942"</definedName>
    <definedName name="IQ_NOM_PRIVATE_INVEST_PRIVATE_INV_FARMS" hidden="1">"c20943"</definedName>
    <definedName name="IQ_NOM_PRIVATE_INVEST_PRIVATE_INV_NONFARMS" hidden="1">"c20944"</definedName>
    <definedName name="IQ_NOM_PRIVATE_INVEST_RES" hidden="1">"c20945"</definedName>
    <definedName name="IQ_NOM_PRIVATE_INVEST_STRUCTURES" hidden="1">"c20946"</definedName>
    <definedName name="IQ_NOM_PRIVATE_INVEST_TRANSPORTATION_EQUIP" hidden="1">"c20947"</definedName>
    <definedName name="IQ_NOM_SALES_TO_DOMESTIC_PURCHASES" hidden="1">"c20948"</definedName>
    <definedName name="IQ_NOMINAL_GDP" hidden="1">"c20949"</definedName>
    <definedName name="IQ_NOMINAL_GDP_FC" hidden="1">"c20950"</definedName>
    <definedName name="IQ_NOMINAL_GDP_PER_CAPITA" hidden="1">"c20951"</definedName>
    <definedName name="IQ_NOMINAL_GDP_PER_CAPITA_FC" hidden="1">"c20952"</definedName>
    <definedName name="IQ_NON_ACCRU_ALLOW_RECEIVABLES_FFIEC" hidden="1">"c13353"</definedName>
    <definedName name="IQ_NON_ACCRUAL_ASSET_SOLD_DURING_QTR_FFIEC" hidden="1">"c15350"</definedName>
    <definedName name="IQ_NON_ACCRUAL_LOANS" hidden="1">"c796"</definedName>
    <definedName name="IQ_NON_CASH" hidden="1">"c797"</definedName>
    <definedName name="IQ_NON_CASH_ITEMS" hidden="1">"c797"</definedName>
    <definedName name="IQ_NON_CD_DEPOSITS" hidden="1">"c15718"</definedName>
    <definedName name="IQ_NON_CD_DEPOSITS_TOTAL_DEPOSITS" hidden="1">"c15725"</definedName>
    <definedName name="IQ_NON_CURRENT_LOANS_FFIEC" hidden="1">"c13860"</definedName>
    <definedName name="IQ_NON_FARM_NONRES_PROPERTIES_TRADING_DOM_FFIEC" hidden="1">"c12931"</definedName>
    <definedName name="IQ_NON_INS_EXP" hidden="1">"c798"</definedName>
    <definedName name="IQ_NON_INS_REV" hidden="1">"c799"</definedName>
    <definedName name="IQ_NON_INT_BAL_OTHER_INSTITUTIONS_FFIEC" hidden="1">"c12950"</definedName>
    <definedName name="IQ_NON_INT_BEAR_CD" hidden="1">"c800"</definedName>
    <definedName name="IQ_NON_INT_BEARING_DEMAND_DEPOSITS_THRIFT" hidden="1">"c25007"</definedName>
    <definedName name="IQ_NON_INT_BEARING_DEPOSITS" hidden="1">"c800"</definedName>
    <definedName name="IQ_NON_INT_DEPOSITS_DOM_FFIEC" hidden="1">"c12851"</definedName>
    <definedName name="IQ_NON_INT_DEPOSITS_FOREIGN_FFIEC" hidden="1">"c12854"</definedName>
    <definedName name="IQ_NON_INT_EXP" hidden="1">"c801"</definedName>
    <definedName name="IQ_NON_INT_EXP_AFTER_PROVISION_THRIFT" hidden="1">"c25872"</definedName>
    <definedName name="IQ_NON_INT_EXP_AVG_ASSETS_FFIEC" hidden="1">"c18878"</definedName>
    <definedName name="IQ_NON_INT_EXP_AVG_ASSETS_THRIFT" hidden="1">"c25784"</definedName>
    <definedName name="IQ_NON_INT_EXP_BNK_AP" hidden="1">"c8877"</definedName>
    <definedName name="IQ_NON_INT_EXP_BNK_AP_ABS" hidden="1">"c8896"</definedName>
    <definedName name="IQ_NON_INT_EXP_BNK_NAME_AP" hidden="1">"c8915"</definedName>
    <definedName name="IQ_NON_INT_EXP_BNK_NAME_AP_ABS" hidden="1">"c8934"</definedName>
    <definedName name="IQ_NON_INT_EXP_BNK_SUBTOTAL_AP" hidden="1">"c8981"</definedName>
    <definedName name="IQ_NON_INT_EXP_FDIC" hidden="1">"c6579"</definedName>
    <definedName name="IQ_NON_INT_EXP_THRIFT" hidden="1">"c24793"</definedName>
    <definedName name="IQ_NON_INT_EXPENSE_AVG_ASSET" hidden="1">"c15708"</definedName>
    <definedName name="IQ_NON_INT_EXPENSE_FFIEC" hidden="1">"c13028"</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AVG_ASSETS_FFIEC" hidden="1">"c13359"</definedName>
    <definedName name="IQ_NON_INT_INC_BNK_AP" hidden="1">"c8876"</definedName>
    <definedName name="IQ_NON_INT_INC_BNK_AP_ABS" hidden="1">"c8895"</definedName>
    <definedName name="IQ_NON_INT_INC_BNK_NAME_AP" hidden="1">"c8914"</definedName>
    <definedName name="IQ_NON_INT_INC_BNK_NAME_AP_ABS" hidden="1">"c8933"</definedName>
    <definedName name="IQ_NON_INT_INC_BNK_SUBTOTAL_AP" hidden="1">"c8980"</definedName>
    <definedName name="IQ_NON_INT_INC_FDIC" hidden="1">"c6575"</definedName>
    <definedName name="IQ_NON_INT_INC_OPERATING_INC_FFIEC" hidden="1">"c13382"</definedName>
    <definedName name="IQ_NON_INT_INCOME_ADJUSTED_OPERATING_INCOME_THRIFT" hidden="1">"c25688"</definedName>
    <definedName name="IQ_NON_INT_INCOME_AVG_ASSET" hidden="1">"c15707"</definedName>
    <definedName name="IQ_NON_INT_INCOME_AVG_ASSETS_THRIFT" hidden="1">"c25650"</definedName>
    <definedName name="IQ_NON_INT_INCOME_FFIEC" hidden="1">"c13017"</definedName>
    <definedName name="IQ_NON_INT_INCOME_THRIFT" hidden="1">"c24781"</definedName>
    <definedName name="IQ_NON_INTEREST_BEARING_DEPOSITS_ALL_OTHER_ACCOUNTS_THRIFT" hidden="1">"c25423"</definedName>
    <definedName name="IQ_NON_INTEREST_BEARING_DEPOSITS_EMPLOYEE_BENEFIT_RETIREMENT_RELATED_ACCOUNTS_THRIFT" hidden="1">"c25407"</definedName>
    <definedName name="IQ_NON_INTEREST_BEARING_DEPOSITS_PERSONAL_TRUST_AGENCY_INV_MANAGEMENT_ACCOUNTS_THRIFT" hidden="1">"c25391"</definedName>
    <definedName name="IQ_NON_INTEREST_EXP" hidden="1">"c801"</definedName>
    <definedName name="IQ_NON_INTEREST_INC" hidden="1">"c802"</definedName>
    <definedName name="IQ_NON_MORTGAGE_AGRICULTURE_FARMERS_COMM_LOANS_100000_THROUGH_250000_THRIFT" hidden="1">"c24974"</definedName>
    <definedName name="IQ_NON_MORTGAGE_AGRICULTURE_FARMERS_COMM_LOANS_250000_THROUGH_500000_THRIFT" hidden="1">"c24976"</definedName>
    <definedName name="IQ_NON_MORTGAGE_AGRICULTURE_FARMERS_COMM_LOANS_LESS_THAN_EQUAL_100000_THRIFT" hidden="1">"c24972"</definedName>
    <definedName name="IQ_NON_MORTGAGE_LOANS_ADJUSTED_NCOS_TOTAL_TOTAL_THRIFT" hidden="1">"c25209"</definedName>
    <definedName name="IQ_NON_MORTGAGE_LOANS_GVA_CHARGE_OFFS_TOTAL_THRIFT" hidden="1">"c25124"</definedName>
    <definedName name="IQ_NON_MORTGAGE_LOANS_GVA_RECOVERIES_TOTAL_THRIFT" hidden="1">"c25155"</definedName>
    <definedName name="IQ_NON_MORTGAGE_LOANS_SVA_PROVISIONS_TRANSFERS_FROM_GVA_TOTAL_TOTAL_THRIFT" hidden="1">"c25178"</definedName>
    <definedName name="IQ_NON_MORTGAGE_NON_AGRICULTURE_COMM_LOANS_100000_THROUGH_250000_THRIFT" hidden="1">"c24961"</definedName>
    <definedName name="IQ_NON_MORTGAGE_NON_AGRICULTURE_COMM_LOANS_250000_THROUGH_1000000_THRIFT" hidden="1">"c24963"</definedName>
    <definedName name="IQ_NON_MORTGAGE_NON_AGRICULTURE_COMM_LOANS_LESS_THAN_EQUAL_100000_THRIFT" hidden="1">"c24959"</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EQUITY" hidden="1">"c15702"</definedName>
    <definedName name="IQ_NON_PERF_ASSETS_LOANS_OREO" hidden="1">"c15701"</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ASSETS_FFIEC" hidden="1">"c13859"</definedName>
    <definedName name="IQ_NON_PERFORMING_LOANS" hidden="1">"c827"</definedName>
    <definedName name="IQ_NON_PERFORMING_LOANS_FFIEC" hidden="1">"c13861"</definedName>
    <definedName name="IQ_NON_RE_DA" hidden="1">"c16179"</definedName>
    <definedName name="IQ_NON_RENTAL_NOI" hidden="1">"c16066"</definedName>
    <definedName name="IQ_NON_RENTAL_OPERATING_EXPENSE" hidden="1">"c16046"</definedName>
    <definedName name="IQ_NON_US_ADDRESS_LEASE_FIN_REC_FFIEC" hidden="1">"c13625"</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INCOME_AMORT_CLOSED_END_LOANS_FFIEC" hidden="1">"c13078"</definedName>
    <definedName name="IQ_NONCASH_PENSION_EXP" hidden="1">"c3000"</definedName>
    <definedName name="IQ_NONCORE_ASSETS_TOT_FFIEC" hidden="1">"c13443"</definedName>
    <definedName name="IQ_NONCORE_FUNDING_TOTAL_ASSETS_THRIFT" hidden="1">"c25700"</definedName>
    <definedName name="IQ_NONCUMULATIVE_PREF_THRIFT" hidden="1">"c24916"</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DEF_CAPITAL_GOODS_ORDERS" hidden="1">"c6932"</definedName>
    <definedName name="IQ_NONDEF_CAPITAL_GOODS_ORDERS_APR" hidden="1">"c7592"</definedName>
    <definedName name="IQ_NONDEF_CAPITAL_GOODS_ORDERS_APR_FC" hidden="1">"c8472"</definedName>
    <definedName name="IQ_NONDEF_CAPITAL_GOODS_ORDERS_FC" hidden="1">"c7812"</definedName>
    <definedName name="IQ_NONDEF_CAPITAL_GOODS_ORDERS_POP" hidden="1">"c7152"</definedName>
    <definedName name="IQ_NONDEF_CAPITAL_GOODS_ORDERS_POP_FC" hidden="1">"c8032"</definedName>
    <definedName name="IQ_NONDEF_CAPITAL_GOODS_ORDERS_YOY" hidden="1">"c7372"</definedName>
    <definedName name="IQ_NONDEF_CAPITAL_GOODS_ORDERS_YOY_FC" hidden="1">"c8252"</definedName>
    <definedName name="IQ_NONDEF_CAPITAL_GOODS_SHIPMENTS" hidden="1">"c6933"</definedName>
    <definedName name="IQ_NONDEF_CAPITAL_GOODS_SHIPMENTS_APR" hidden="1">"c7593"</definedName>
    <definedName name="IQ_NONDEF_CAPITAL_GOODS_SHIPMENTS_APR_FC" hidden="1">"c8473"</definedName>
    <definedName name="IQ_NONDEF_CAPITAL_GOODS_SHIPMENTS_FC" hidden="1">"c7813"</definedName>
    <definedName name="IQ_NONDEF_CAPITAL_GOODS_SHIPMENTS_POP" hidden="1">"c7153"</definedName>
    <definedName name="IQ_NONDEF_CAPITAL_GOODS_SHIPMENTS_POP_FC" hidden="1">"c8033"</definedName>
    <definedName name="IQ_NONDEF_CAPITAL_GOODS_SHIPMENTS_YOY" hidden="1">"c7373"</definedName>
    <definedName name="IQ_NONDEF_CAPITAL_GOODS_SHIPMENTS_YOY_FC" hidden="1">"c8253"</definedName>
    <definedName name="IQ_NONDEF_SPENDING_SAAR" hidden="1">"c6934"</definedName>
    <definedName name="IQ_NONDEF_SPENDING_SAAR_APR" hidden="1">"c7594"</definedName>
    <definedName name="IQ_NONDEF_SPENDING_SAAR_APR_FC" hidden="1">"c8474"</definedName>
    <definedName name="IQ_NONDEF_SPENDING_SAAR_FC" hidden="1">"c7814"</definedName>
    <definedName name="IQ_NONDEF_SPENDING_SAAR_POP" hidden="1">"c7154"</definedName>
    <definedName name="IQ_NONDEF_SPENDING_SAAR_POP_FC" hidden="1">"c8034"</definedName>
    <definedName name="IQ_NONDEF_SPENDING_SAAR_YOY" hidden="1">"c7374"</definedName>
    <definedName name="IQ_NONDEF_SPENDING_SAAR_YOY_FC" hidden="1">"c8254"</definedName>
    <definedName name="IQ_NONFARM_EMP_HRS_PCT_CHANGE" hidden="1">"c6935"</definedName>
    <definedName name="IQ_NONFARM_EMP_HRS_PCT_CHANGE_FC" hidden="1">"c7815"</definedName>
    <definedName name="IQ_NONFARM_EMP_HRS_PCT_CHANGE_POP" hidden="1">"c7155"</definedName>
    <definedName name="IQ_NONFARM_EMP_HRS_PCT_CHANGE_POP_FC" hidden="1">"c8035"</definedName>
    <definedName name="IQ_NONFARM_EMP_HRS_PCT_CHANGE_YOY" hidden="1">"c7375"</definedName>
    <definedName name="IQ_NONFARM_EMP_HRS_PCT_CHANGE_YOY_FC" hidden="1">"c8255"</definedName>
    <definedName name="IQ_NONFARM_NONRES_DOM_FFIEC" hidden="1">"c15271"</definedName>
    <definedName name="IQ_NONFARM_NONRES_GROSS_LOANS_FFIEC" hidden="1">"c13405"</definedName>
    <definedName name="IQ_NONFARM_NONRES_LL_REC_DOM_FFIEC" hidden="1">"c13626"</definedName>
    <definedName name="IQ_NONFARM_NONRES_LOANS_GROSS_LOANS_THRIFT" hidden="1">"c25730"</definedName>
    <definedName name="IQ_NONFARM_NONRES_LOANS_RISK_BASED_CAPITAL_THRIFT" hidden="1">"c25715"</definedName>
    <definedName name="IQ_NONFARM_NONRES_RISK_BASED_FFIEC" hidden="1">"c13426"</definedName>
    <definedName name="IQ_NONFARM_OUTPUT_PER_HR" hidden="1">"c6936"</definedName>
    <definedName name="IQ_NONFARM_OUTPUT_PER_HR_APR" hidden="1">"c7596"</definedName>
    <definedName name="IQ_NONFARM_OUTPUT_PER_HR_APR_FC" hidden="1">"c8476"</definedName>
    <definedName name="IQ_NONFARM_OUTPUT_PER_HR_FC" hidden="1">"c7816"</definedName>
    <definedName name="IQ_NONFARM_OUTPUT_PER_HR_POP" hidden="1">"c7156"</definedName>
    <definedName name="IQ_NONFARM_OUTPUT_PER_HR_POP_FC" hidden="1">"c8036"</definedName>
    <definedName name="IQ_NONFARM_OUTPUT_PER_HR_YOY" hidden="1">"c7376"</definedName>
    <definedName name="IQ_NONFARM_OUTPUT_PER_HR_YOY_FC" hidden="1">"c8256"</definedName>
    <definedName name="IQ_NONFARM_PAYROLLS" hidden="1">"c6926"</definedName>
    <definedName name="IQ_NONFARM_PAYROLLS_APR" hidden="1">"c7586"</definedName>
    <definedName name="IQ_NONFARM_PAYROLLS_APR_FC" hidden="1">"c8466"</definedName>
    <definedName name="IQ_NONFARM_PAYROLLS_FC" hidden="1">"c7806"</definedName>
    <definedName name="IQ_NONFARM_PAYROLLS_POP" hidden="1">"c7146"</definedName>
    <definedName name="IQ_NONFARM_PAYROLLS_POP_FC" hidden="1">"c8026"</definedName>
    <definedName name="IQ_NONFARM_PAYROLLS_YOY" hidden="1">"c7366"</definedName>
    <definedName name="IQ_NONFARM_PAYROLLS_YOY_FC" hidden="1">"c8246"</definedName>
    <definedName name="IQ_NONFARM_TOTAL_HR_INDEX" hidden="1">"c6937"</definedName>
    <definedName name="IQ_NONFARM_TOTAL_HR_INDEX_APR" hidden="1">"c7597"</definedName>
    <definedName name="IQ_NONFARM_TOTAL_HR_INDEX_APR_FC" hidden="1">"c8477"</definedName>
    <definedName name="IQ_NONFARM_TOTAL_HR_INDEX_FC" hidden="1">"c7817"</definedName>
    <definedName name="IQ_NONFARM_TOTAL_HR_INDEX_POP" hidden="1">"c7157"</definedName>
    <definedName name="IQ_NONFARM_TOTAL_HR_INDEX_POP_FC" hidden="1">"c8037"</definedName>
    <definedName name="IQ_NONFARM_TOTAL_HR_INDEX_YOY" hidden="1">"c7377"</definedName>
    <definedName name="IQ_NONFARM_TOTAL_HR_INDEX_YOY_FC" hidden="1">"c8257"</definedName>
    <definedName name="IQ_NONFARM_WAGES" hidden="1">"c6938"</definedName>
    <definedName name="IQ_NONFARM_WAGES_APR" hidden="1">"c7598"</definedName>
    <definedName name="IQ_NONFARM_WAGES_APR_FC" hidden="1">"c8478"</definedName>
    <definedName name="IQ_NONFARM_WAGES_FC" hidden="1">"c7818"</definedName>
    <definedName name="IQ_NONFARM_WAGES_INDEX" hidden="1">"c6939"</definedName>
    <definedName name="IQ_NONFARM_WAGES_INDEX_APR" hidden="1">"c7599"</definedName>
    <definedName name="IQ_NONFARM_WAGES_INDEX_APR_FC" hidden="1">"c8479"</definedName>
    <definedName name="IQ_NONFARM_WAGES_INDEX_FC" hidden="1">"c7819"</definedName>
    <definedName name="IQ_NONFARM_WAGES_INDEX_POP" hidden="1">"c7159"</definedName>
    <definedName name="IQ_NONFARM_WAGES_INDEX_POP_FC" hidden="1">"c8039"</definedName>
    <definedName name="IQ_NONFARM_WAGES_INDEX_YOY" hidden="1">"c7379"</definedName>
    <definedName name="IQ_NONFARM_WAGES_INDEX_YOY_FC" hidden="1">"c8259"</definedName>
    <definedName name="IQ_NONFARM_WAGES_POP" hidden="1">"c7158"</definedName>
    <definedName name="IQ_NONFARM_WAGES_POP_FC" hidden="1">"c8038"</definedName>
    <definedName name="IQ_NONFARM_WAGES_YOY" hidden="1">"c7378"</definedName>
    <definedName name="IQ_NONFARM_WAGES_YOY_FC" hidden="1">"c8258"</definedName>
    <definedName name="IQ_NONINTEREST_BEARING_BALANCES_FDIC" hidden="1">"c6394"</definedName>
    <definedName name="IQ_NONINTEREST_BEARING_CASH_FFIEC" hidden="1">"c12774"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_FOREIGN_FFIEC" hidden="1">"c15376"</definedName>
    <definedName name="IQ_NONINTEREST_INCOME_EARNING_ASSETS_FDIC" hidden="1">"c6727"</definedName>
    <definedName name="IQ_NONMORTGAGE_SERVICING_FDIC" hidden="1">"c6336"</definedName>
    <definedName name="IQ_NONQUALIFYING_PREFERRED_T1_FFIEC" hidden="1">"c13134"</definedName>
    <definedName name="IQ_NONRECOURSE_DEBT" hidden="1">"c2550"</definedName>
    <definedName name="IQ_NONRECOURSE_DEBT_PCT" hidden="1">"c2551"</definedName>
    <definedName name="IQ_NONRES_FIXED_INVEST" hidden="1">"c6931"</definedName>
    <definedName name="IQ_NONRES_FIXED_INVEST_APR" hidden="1">"c7591"</definedName>
    <definedName name="IQ_NONRES_FIXED_INVEST_POP" hidden="1">"c7151"</definedName>
    <definedName name="IQ_NONRES_FIXED_INVEST_PRIV_APR_FC_UNUSED" hidden="1">"c8468"</definedName>
    <definedName name="IQ_NONRES_FIXED_INVEST_PRIV_APR_FC_UNUSED_UNUSED_UNUSED" hidden="1">"c8468"</definedName>
    <definedName name="IQ_NONRES_FIXED_INVEST_PRIV_APR_UNUSED" hidden="1">"c7588"</definedName>
    <definedName name="IQ_NONRES_FIXED_INVEST_PRIV_APR_UNUSED_UNUSED_UNUSED" hidden="1">"c7588"</definedName>
    <definedName name="IQ_NONRES_FIXED_INVEST_PRIV_FC_UNUSED" hidden="1">"c7808"</definedName>
    <definedName name="IQ_NONRES_FIXED_INVEST_PRIV_FC_UNUSED_UNUSED_UNUSED" hidden="1">"c7808"</definedName>
    <definedName name="IQ_NONRES_FIXED_INVEST_PRIV_POP_FC_UNUSED" hidden="1">"c8028"</definedName>
    <definedName name="IQ_NONRES_FIXED_INVEST_PRIV_POP_FC_UNUSED_UNUSED_UNUSED" hidden="1">"c8028"</definedName>
    <definedName name="IQ_NONRES_FIXED_INVEST_PRIV_POP_UNUSED" hidden="1">"c7148"</definedName>
    <definedName name="IQ_NONRES_FIXED_INVEST_PRIV_POP_UNUSED_UNUSED_UNUSED" hidden="1">"c7148"</definedName>
    <definedName name="IQ_NONRES_FIXED_INVEST_PRIV_REAL" hidden="1">"c6989"</definedName>
    <definedName name="IQ_NONRES_FIXED_INVEST_PRIV_REAL_APR" hidden="1">"c7649"</definedName>
    <definedName name="IQ_NONRES_FIXED_INVEST_PRIV_REAL_APR_FC" hidden="1">"c8529"</definedName>
    <definedName name="IQ_NONRES_FIXED_INVEST_PRIV_REAL_FC" hidden="1">"c7869"</definedName>
    <definedName name="IQ_NONRES_FIXED_INVEST_PRIV_REAL_POP" hidden="1">"c7209"</definedName>
    <definedName name="IQ_NONRES_FIXED_INVEST_PRIV_REAL_POP_FC" hidden="1">"c8089"</definedName>
    <definedName name="IQ_NONRES_FIXED_INVEST_PRIV_REAL_SAAR" hidden="1">"c6990"</definedName>
    <definedName name="IQ_NONRES_FIXED_INVEST_PRIV_REAL_SAAR_APR" hidden="1">"c7650"</definedName>
    <definedName name="IQ_NONRES_FIXED_INVEST_PRIV_REAL_SAAR_APR_FC" hidden="1">"c8530"</definedName>
    <definedName name="IQ_NONRES_FIXED_INVEST_PRIV_REAL_SAAR_FC" hidden="1">"c7870"</definedName>
    <definedName name="IQ_NONRES_FIXED_INVEST_PRIV_REAL_SAAR_POP" hidden="1">"c7210"</definedName>
    <definedName name="IQ_NONRES_FIXED_INVEST_PRIV_REAL_SAAR_POP_FC" hidden="1">"c8090"</definedName>
    <definedName name="IQ_NONRES_FIXED_INVEST_PRIV_REAL_SAAR_USD_APR_FC" hidden="1">"c11981"</definedName>
    <definedName name="IQ_NONRES_FIXED_INVEST_PRIV_REAL_SAAR_USD_FC" hidden="1">"c11978"</definedName>
    <definedName name="IQ_NONRES_FIXED_INVEST_PRIV_REAL_SAAR_USD_POP_FC" hidden="1">"c11979"</definedName>
    <definedName name="IQ_NONRES_FIXED_INVEST_PRIV_REAL_SAAR_USD_YOY_FC" hidden="1">"c11980"</definedName>
    <definedName name="IQ_NONRES_FIXED_INVEST_PRIV_REAL_SAAR_YOY" hidden="1">"c7430"</definedName>
    <definedName name="IQ_NONRES_FIXED_INVEST_PRIV_REAL_SAAR_YOY_FC" hidden="1">"c8310"</definedName>
    <definedName name="IQ_NONRES_FIXED_INVEST_PRIV_REAL_USD_APR_FC" hidden="1">"c11977"</definedName>
    <definedName name="IQ_NONRES_FIXED_INVEST_PRIV_REAL_USD_FC" hidden="1">"c11974"</definedName>
    <definedName name="IQ_NONRES_FIXED_INVEST_PRIV_REAL_USD_POP_FC" hidden="1">"c11975"</definedName>
    <definedName name="IQ_NONRES_FIXED_INVEST_PRIV_REAL_USD_YOY_FC" hidden="1">"c11976"</definedName>
    <definedName name="IQ_NONRES_FIXED_INVEST_PRIV_REAL_YOY" hidden="1">"c7429"</definedName>
    <definedName name="IQ_NONRES_FIXED_INVEST_PRIV_REAL_YOY_FC" hidden="1">"c8309"</definedName>
    <definedName name="IQ_NONRES_FIXED_INVEST_PRIV_SAAR" hidden="1">"c6929"</definedName>
    <definedName name="IQ_NONRES_FIXED_INVEST_PRIV_SAAR_APR" hidden="1">"c7589"</definedName>
    <definedName name="IQ_NONRES_FIXED_INVEST_PRIV_SAAR_APR_FC" hidden="1">"c8469"</definedName>
    <definedName name="IQ_NONRES_FIXED_INVEST_PRIV_SAAR_FC" hidden="1">"c7809"</definedName>
    <definedName name="IQ_NONRES_FIXED_INVEST_PRIV_SAAR_POP" hidden="1">"c7149"</definedName>
    <definedName name="IQ_NONRES_FIXED_INVEST_PRIV_SAAR_POP_FC" hidden="1">"c8029"</definedName>
    <definedName name="IQ_NONRES_FIXED_INVEST_PRIV_SAAR_USD_APR_FC" hidden="1">"c11877"</definedName>
    <definedName name="IQ_NONRES_FIXED_INVEST_PRIV_SAAR_USD_FC" hidden="1">"c11874"</definedName>
    <definedName name="IQ_NONRES_FIXED_INVEST_PRIV_SAAR_USD_POP_FC" hidden="1">"c11875"</definedName>
    <definedName name="IQ_NONRES_FIXED_INVEST_PRIV_SAAR_USD_YOY_FC" hidden="1">"c11876"</definedName>
    <definedName name="IQ_NONRES_FIXED_INVEST_PRIV_SAAR_YOY" hidden="1">"c7369"</definedName>
    <definedName name="IQ_NONRES_FIXED_INVEST_PRIV_SAAR_YOY_FC" hidden="1">"c8249"</definedName>
    <definedName name="IQ_NONRES_FIXED_INVEST_PRIV_UNUSED" hidden="1">"c6928"</definedName>
    <definedName name="IQ_NONRES_FIXED_INVEST_PRIV_UNUSED_UNUSED_UNUSED" hidden="1">"c6928"</definedName>
    <definedName name="IQ_NONRES_FIXED_INVEST_PRIV_USD_APR_FC" hidden="1">"c11873"</definedName>
    <definedName name="IQ_NONRES_FIXED_INVEST_PRIV_USD_FC" hidden="1">"c11870"</definedName>
    <definedName name="IQ_NONRES_FIXED_INVEST_PRIV_USD_POP_FC" hidden="1">"c11871"</definedName>
    <definedName name="IQ_NONRES_FIXED_INVEST_PRIV_USD_YOY_FC" hidden="1">"c11872"</definedName>
    <definedName name="IQ_NONRES_FIXED_INVEST_PRIV_YOY_FC_UNUSED" hidden="1">"c8248"</definedName>
    <definedName name="IQ_NONRES_FIXED_INVEST_PRIV_YOY_FC_UNUSED_UNUSED_UNUSED" hidden="1">"c8248"</definedName>
    <definedName name="IQ_NONRES_FIXED_INVEST_PRIV_YOY_UNUSED" hidden="1">"c7368"</definedName>
    <definedName name="IQ_NONRES_FIXED_INVEST_PRIV_YOY_UNUSED_UNUSED_UNUSED" hidden="1">"c7368"</definedName>
    <definedName name="IQ_NONRES_FIXED_INVEST_REAL" hidden="1">"c6993"</definedName>
    <definedName name="IQ_NONRES_FIXED_INVEST_REAL_APR" hidden="1">"c7653"</definedName>
    <definedName name="IQ_NONRES_FIXED_INVEST_REAL_POP" hidden="1">"c7213"</definedName>
    <definedName name="IQ_NONRES_FIXED_INVEST_REAL_SAAR" hidden="1">"c6987"</definedName>
    <definedName name="IQ_NONRES_FIXED_INVEST_REAL_SAAR_APR" hidden="1">"c7647"</definedName>
    <definedName name="IQ_NONRES_FIXED_INVEST_REAL_SAAR_APR_FC" hidden="1">"c8527"</definedName>
    <definedName name="IQ_NONRES_FIXED_INVEST_REAL_SAAR_FC" hidden="1">"c7867"</definedName>
    <definedName name="IQ_NONRES_FIXED_INVEST_REAL_SAAR_POP" hidden="1">"c7207"</definedName>
    <definedName name="IQ_NONRES_FIXED_INVEST_REAL_SAAR_POP_FC" hidden="1">"c8087"</definedName>
    <definedName name="IQ_NONRES_FIXED_INVEST_REAL_SAAR_YOY" hidden="1">"c7427"</definedName>
    <definedName name="IQ_NONRES_FIXED_INVEST_REAL_SAAR_YOY_FC" hidden="1">"c8307"</definedName>
    <definedName name="IQ_NONRES_FIXED_INVEST_REAL_USD_APR_FC" hidden="1">"c11973"</definedName>
    <definedName name="IQ_NONRES_FIXED_INVEST_REAL_USD_FC" hidden="1">"c11970"</definedName>
    <definedName name="IQ_NONRES_FIXED_INVEST_REAL_USD_POP_FC" hidden="1">"c11971"</definedName>
    <definedName name="IQ_NONRES_FIXED_INVEST_REAL_USD_YOY_FC" hidden="1">"c11972"</definedName>
    <definedName name="IQ_NONRES_FIXED_INVEST_REAL_YOY" hidden="1">"c7433"</definedName>
    <definedName name="IQ_NONRES_FIXED_INVEST_STRUCT" hidden="1">"c6930"</definedName>
    <definedName name="IQ_NONRES_FIXED_INVEST_STRUCT_APR" hidden="1">"c7590"</definedName>
    <definedName name="IQ_NONRES_FIXED_INVEST_STRUCT_APR_FC" hidden="1">"c8470"</definedName>
    <definedName name="IQ_NONRES_FIXED_INVEST_STRUCT_FC" hidden="1">"c7810"</definedName>
    <definedName name="IQ_NONRES_FIXED_INVEST_STRUCT_POP" hidden="1">"c7150"</definedName>
    <definedName name="IQ_NONRES_FIXED_INVEST_STRUCT_POP_FC" hidden="1">"c8030"</definedName>
    <definedName name="IQ_NONRES_FIXED_INVEST_STRUCT_REAL" hidden="1">"c6992"</definedName>
    <definedName name="IQ_NONRES_FIXED_INVEST_STRUCT_REAL_APR" hidden="1">"c7652"</definedName>
    <definedName name="IQ_NONRES_FIXED_INVEST_STRUCT_REAL_APR_FC" hidden="1">"c8532"</definedName>
    <definedName name="IQ_NONRES_FIXED_INVEST_STRUCT_REAL_FC" hidden="1">"c7872"</definedName>
    <definedName name="IQ_NONRES_FIXED_INVEST_STRUCT_REAL_POP" hidden="1">"c7212"</definedName>
    <definedName name="IQ_NONRES_FIXED_INVEST_STRUCT_REAL_POP_FC" hidden="1">"c8092"</definedName>
    <definedName name="IQ_NONRES_FIXED_INVEST_STRUCT_REAL_SAAR" hidden="1">"c6991"</definedName>
    <definedName name="IQ_NONRES_FIXED_INVEST_STRUCT_REAL_SAAR_APR" hidden="1">"c7651"</definedName>
    <definedName name="IQ_NONRES_FIXED_INVEST_STRUCT_REAL_SAAR_APR_FC" hidden="1">"c8531"</definedName>
    <definedName name="IQ_NONRES_FIXED_INVEST_STRUCT_REAL_SAAR_FC" hidden="1">"c7871"</definedName>
    <definedName name="IQ_NONRES_FIXED_INVEST_STRUCT_REAL_SAAR_POP" hidden="1">"c7211"</definedName>
    <definedName name="IQ_NONRES_FIXED_INVEST_STRUCT_REAL_SAAR_POP_FC" hidden="1">"c8091"</definedName>
    <definedName name="IQ_NONRES_FIXED_INVEST_STRUCT_REAL_SAAR_YOY" hidden="1">"c7431"</definedName>
    <definedName name="IQ_NONRES_FIXED_INVEST_STRUCT_REAL_SAAR_YOY_FC" hidden="1">"c8311"</definedName>
    <definedName name="IQ_NONRES_FIXED_INVEST_STRUCT_REAL_USD_APR_FC" hidden="1">"c11985"</definedName>
    <definedName name="IQ_NONRES_FIXED_INVEST_STRUCT_REAL_USD_FC" hidden="1">"c11982"</definedName>
    <definedName name="IQ_NONRES_FIXED_INVEST_STRUCT_REAL_USD_POP_FC" hidden="1">"c11983"</definedName>
    <definedName name="IQ_NONRES_FIXED_INVEST_STRUCT_REAL_USD_YOY_FC" hidden="1">"c11984"</definedName>
    <definedName name="IQ_NONRES_FIXED_INVEST_STRUCT_REAL_YOY" hidden="1">"c7432"</definedName>
    <definedName name="IQ_NONRES_FIXED_INVEST_STRUCT_REAL_YOY_FC" hidden="1">"c8312"</definedName>
    <definedName name="IQ_NONRES_FIXED_INVEST_STRUCT_USD_APR_FC" hidden="1">"c11881"</definedName>
    <definedName name="IQ_NONRES_FIXED_INVEST_STRUCT_USD_FC" hidden="1">"c11878"</definedName>
    <definedName name="IQ_NONRES_FIXED_INVEST_STRUCT_USD_POP_FC" hidden="1">"c11879"</definedName>
    <definedName name="IQ_NONRES_FIXED_INVEST_STRUCT_USD_YOY_FC" hidden="1">"c11880"</definedName>
    <definedName name="IQ_NONRES_FIXED_INVEST_STRUCT_YOY" hidden="1">"c7370"</definedName>
    <definedName name="IQ_NONRES_FIXED_INVEST_STRUCT_YOY_FC" hidden="1">"c8250"</definedName>
    <definedName name="IQ_NONRES_FIXED_INVEST_USD_APR_FC" hidden="1">"c11869"</definedName>
    <definedName name="IQ_NONRES_FIXED_INVEST_USD_FC" hidden="1">"c11866"</definedName>
    <definedName name="IQ_NONRES_FIXED_INVEST_USD_POP_FC" hidden="1">"c11867"</definedName>
    <definedName name="IQ_NONRES_FIXED_INVEST_USD_YOY_FC" hidden="1">"c11868"</definedName>
    <definedName name="IQ_NONRES_FIXED_INVEST_YOY" hidden="1">"c7371"</definedName>
    <definedName name="IQ_NONRES_PROPERTY_CONSTRUCTION_MORTGAGE_LOANS_GVA_CHARGE_OFFS_THRIFT" hidden="1">"c25117"</definedName>
    <definedName name="IQ_NONRES_PROPERTY_CONSTRUCTION_MORTGAGE_LOANS_GVA_RECOVERIES_THRIFT" hidden="1">"c25148"</definedName>
    <definedName name="IQ_NONRES_PROPERTY_DWELLING_UNITS_CONSTRUCTION_MORTGAGE_LOANS_ADJUSTED_NCOS_TOTAL_THRIFT" hidden="1">"c25202"</definedName>
    <definedName name="IQ_NONRES_PROPERTY_DWELLING_UNITS_CONSTRUCTION_MORTGAGE_LOANS_SVA_PROVISIONS_TRANSFERS_FROM_GVA_TOTAL_THRIFT" hidden="1">"c25171"</definedName>
    <definedName name="IQ_NONRES_PROPERTY_EXCEPT_LAND_IN_PROCESS_FORECLOSURE_THRIFT" hidden="1">"c25308"</definedName>
    <definedName name="IQ_NONRES_PROPERTY_EXCEPT_LAND_PML_ADJUSTED_NCOS_TOTAL_THRIFT" hidden="1">"c25207"</definedName>
    <definedName name="IQ_NONRES_PROPERTY_EXCEPT_LAND_PML_GVA_CHARGE_OFFS_THRIFT" hidden="1">"c25122"</definedName>
    <definedName name="IQ_NONRES_PROPERTY_EXCEPT_LAND_PML_GVA_RECOVERIES_THRIFT" hidden="1">"c25153"</definedName>
    <definedName name="IQ_NONRES_PROPERTY_EXCEPT_LAND_PML_SVA_PROVISIONS_TRANSFERS_FROM_GVA_TOTAL_THRIFT" hidden="1">"c25176"</definedName>
    <definedName name="IQ_NONTRADING_SECURITIES_FAIR_VALUE_TOT_FFIEC" hidden="1">"c13211"</definedName>
    <definedName name="IQ_NONTRADING_SECURITIES_LEVEL_1_FFIEC" hidden="1">"c13219"</definedName>
    <definedName name="IQ_NONTRADING_SECURITIES_LEVEL_2_FFIEC" hidden="1">"c13227"</definedName>
    <definedName name="IQ_NONTRADING_SECURITIES_LEVEL_3_FFIEC" hidden="1">"c13235"</definedName>
    <definedName name="IQ_NONTRANSACTION_ACCOUNTS_FDIC" hidden="1">"c6552"</definedName>
    <definedName name="IQ_NONUTIL_REV" hidden="1">"c2089"</definedName>
    <definedName name="IQ_NORM_EPS_ACT_OR_EST" hidden="1">"c2249"</definedName>
    <definedName name="IQ_NORM_EPS_ACT_OR_EST_CIQ" hidden="1">"c5069"</definedName>
    <definedName name="IQ_NORMAL_INC_AFTER" hidden="1">"c1605"</definedName>
    <definedName name="IQ_NORMAL_INC_AVAIL" hidden="1">"c1606"</definedName>
    <definedName name="IQ_NORMAL_INC_BEFORE" hidden="1">"c1607"</definedName>
    <definedName name="IQ_NOTES_OBLIGATIONS_FDIC_INC_COVERED_ASSETS_ELIGIBLE_0_PCT_RISK_WEIGHT_THRIFT" hidden="1">"c25053"</definedName>
    <definedName name="IQ_NOTES_PAY" hidden="1">"c1176"</definedName>
    <definedName name="IQ_NOTIONAL_AMOUNT_CREDIT_DERIVATIVES_FDIC" hidden="1">"c6507"</definedName>
    <definedName name="IQ_NOTIONAL_AMT_DERIVATIVES_BENEFICIARY_FFIEC" hidden="1">"c13118"</definedName>
    <definedName name="IQ_NOTIONAL_AMT_DERIVATIVES_GUARANTOR_FFIEC" hidden="1">"c13111"</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OW_ATS_ACCOUNTS_COMMERCIAL_BANK_SUBS_FFIEC" hidden="1">"c12946"</definedName>
    <definedName name="IQ_NOW_ATS_ACCOUNTS_OTHER_INSTITUTIONS_FFIEC" hidden="1">"c12951"</definedName>
    <definedName name="IQ_NOW_OTHER_TRANS_ACCTS_TOT_DEPOSITS_FFIEC" hidden="1">"c13903"</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_CONTRIBUTORS" hidden="1">"c13739"</definedName>
    <definedName name="IQ_NUMBER_ADRHOLDERS" hidden="1">"c1970"</definedName>
    <definedName name="IQ_NUMBER_CELL_SITES" hidden="1">"c15762"</definedName>
    <definedName name="IQ_NUMBER_DAYS" hidden="1">"c1904"</definedName>
    <definedName name="IQ_NUMBER_DEPOSIT_ACCOUNTS_EXCLUDING_RETIREMENT_ACCOUNTS_GREATER_THAN_250000_THRIFT" hidden="1">"c24989"</definedName>
    <definedName name="IQ_NUMBER_DEPOSIT_ACCOUNTS_EXCLUDING_RETIREMENT_ACCOUNTS_LESS_THAN_250000_THRIFT" hidden="1">"c24988"</definedName>
    <definedName name="IQ_NUMBER_DEPOSIT_ACCOUNTS_THRIFT" hidden="1">"c24987"</definedName>
    <definedName name="IQ_NUMBER_DEPOSITS_LESS_THAN_100K_FDIC" hidden="1">"c6495"</definedName>
    <definedName name="IQ_NUMBER_DEPOSITS_MORE_THAN_100K_FDIC" hidden="1">"c6493"</definedName>
    <definedName name="IQ_NUMBER_FIDUCIARY_MANAGED_ACCOUNTS_THRIFT" hidden="1">"c25439"</definedName>
    <definedName name="IQ_NUMBER_FTE_EMPLOYEES_THRIFT" hidden="1">"c24929"</definedName>
    <definedName name="IQ_NUMBER_ISSUES_IN_DEFAULT_THRIFT" hidden="1">"c25443"</definedName>
    <definedName name="IQ_NUMBER_LOANS_SECURED_FARM_100000_THROUGH_250000_THRIFT" hidden="1">"c24969"</definedName>
    <definedName name="IQ_NUMBER_LOANS_SECURED_FARM_250000_THROUGH_500000_THRIFT" hidden="1">"c24971"</definedName>
    <definedName name="IQ_NUMBER_LOANS_SECURED_FARM_LESS_THAN_EQUAL_100000_THRIFT" hidden="1">"c24967"</definedName>
    <definedName name="IQ_NUMBER_MINES_ALUM" hidden="1">"c9248"</definedName>
    <definedName name="IQ_NUMBER_MINES_COAL" hidden="1">"c9822"</definedName>
    <definedName name="IQ_NUMBER_MINES_COP" hidden="1">"c9193"</definedName>
    <definedName name="IQ_NUMBER_MINES_DIAM" hidden="1">"c9672"</definedName>
    <definedName name="IQ_NUMBER_MINES_GOLD" hidden="1">"c9033"</definedName>
    <definedName name="IQ_NUMBER_MINES_IRON" hidden="1">"c9407"</definedName>
    <definedName name="IQ_NUMBER_MINES_LEAD" hidden="1">"c9460"</definedName>
    <definedName name="IQ_NUMBER_MINES_MANG" hidden="1">"c9513"</definedName>
    <definedName name="IQ_NUMBER_MINES_MOLYB" hidden="1">"c9725"</definedName>
    <definedName name="IQ_NUMBER_MINES_NICK" hidden="1">"c9301"</definedName>
    <definedName name="IQ_NUMBER_MINES_PLAT" hidden="1">"c9139"</definedName>
    <definedName name="IQ_NUMBER_MINES_SILVER" hidden="1">"c9086"</definedName>
    <definedName name="IQ_NUMBER_MINES_TITAN" hidden="1">"c9566"</definedName>
    <definedName name="IQ_NUMBER_MINES_URAN" hidden="1">"c9619"</definedName>
    <definedName name="IQ_NUMBER_MINES_ZINC" hidden="1">"c9354"</definedName>
    <definedName name="IQ_NUMBER_MORTGAGE_LOANS_SECURED_NON_RES_PROPERTY_100000_THROUGH_250000_THRIFT" hidden="1">"c24955"</definedName>
    <definedName name="IQ_NUMBER_MORTGAGE_LOANS_SECURED_NON_RES_PROPERTY_250000_THROUGH_1000000_THRIFT" hidden="1">"c24957"</definedName>
    <definedName name="IQ_NUMBER_MORTGAGE_LOANS_SECURED_NON_RES_PROPERTY_LESS_THAN_EQUAL_100000_THRIFT" hidden="1">"c24953"</definedName>
    <definedName name="IQ_NUMBER_MORTGAGE_LOANS_SECURED_NON_RES_PROPERTY_THRIFT" hidden="1">"c24958"</definedName>
    <definedName name="IQ_NUMBER_NON_MORTGAGE_AGRICULTURE_FARMERS_COMM_LOANS_100000_THROUGH_250000_THRIFT" hidden="1">"c24975"</definedName>
    <definedName name="IQ_NUMBER_NON_MORTGAGE_AGRICULTURE_FARMERS_COMM_LOANS_250000_THROUGH_500000_THRIFT" hidden="1">"c24977"</definedName>
    <definedName name="IQ_NUMBER_NON_MORTGAGE_AGRICULTURE_FARMERS_COMM_LOANS_LESS_THAN_EQUAL_100000_THRIFT" hidden="1">"c24973"</definedName>
    <definedName name="IQ_NUMBER_NON_MORTGAGE_LOANS_EXCEPT_CREDIT_CARD_LOANS_THRIFT" hidden="1">"c24965"</definedName>
    <definedName name="IQ_NUMBER_NON_MORTGAGE_NON_AGRICULTURE_COMM_LOANS_100000_THROUGH_250000_THRIFT" hidden="1">"c24962"</definedName>
    <definedName name="IQ_NUMBER_NON_MORTGAGE_NON_AGRICULTURE_COMM_LOANS_250000_THROUGH_1000000_THRIFT" hidden="1">"c24964"</definedName>
    <definedName name="IQ_NUMBER_NON_MORTGAGE_NON_AGRICULTURE_COMM_LOANS_LESS_THAN_EQUAL_100000_THRIFT" hidden="1">"c24960"</definedName>
    <definedName name="IQ_NUMBER_NONINTEREST_BEARING_TRANSACTION_ACCOUNTS_MORE_THAN_250000_THRIFT" hidden="1">"c25583"</definedName>
    <definedName name="IQ_NUMBER_RETIREMENT_DEPOSIT_ACCOUNTS_GREATER_THAN_250000_THRIFT" hidden="1">"c24993"</definedName>
    <definedName name="IQ_NUMBER_RETIREMENT_DEPOSIT_ACCOUNTS_LESS_THAN_250000_THRIFT" hidden="1">"c24992"</definedName>
    <definedName name="IQ_NUMBER_SHAREHOLDERS" hidden="1">"c1967"</definedName>
    <definedName name="IQ_NUMBER_SHAREHOLDERS_CLASSA" hidden="1">"c1968"</definedName>
    <definedName name="IQ_NUMBER_SHAREHOLDERS_OTHER" hidden="1">"c1969"</definedName>
    <definedName name="IQ_NUMBER_TRADES_EXECUTED" hidden="1">"c20428"</definedName>
    <definedName name="IQ_NUMBER_WIRELESS_TOWERS" hidden="1">"c15766"</definedName>
    <definedName name="IQ_OBLIGATION_STATES_POLI_SUBD_US_LL_REC_DOM_FFIEC" hidden="1">"c15295"</definedName>
    <definedName name="IQ_OBLIGATION_STATES_POLI_SUBD_US_LL_REC_FFIEC" hidden="1">"c15294"</definedName>
    <definedName name="IQ_OBLIGATIONS_OF_STATES_TOTAL_LOANS_FOREIGN_FDIC" hidden="1">"c6447"</definedName>
    <definedName name="IQ_OBLIGATIONS_STATES_FDIC" hidden="1">"c6431"</definedName>
    <definedName name="IQ_OCCUPANCY_CONSOL" hidden="1">"c8840"</definedName>
    <definedName name="IQ_OCCUPANCY_EXP_AVG_ASSETS_FFIEC" hidden="1">"c13372"</definedName>
    <definedName name="IQ_OCCUPANCY_EXP_AVG_ASSETS_THRIFT" hidden="1">"c25663"</definedName>
    <definedName name="IQ_OCCUPANCY_EXP_OPERATING_INC_FFIEC" hidden="1">"c13380"</definedName>
    <definedName name="IQ_OCCUPANCY_MANAGED" hidden="1">"c8842"</definedName>
    <definedName name="IQ_OCCUPANCY_OTHER" hidden="1">"c8843"</definedName>
    <definedName name="IQ_OCCUPANCY_SAME_PROP" hidden="1">"c8845"</definedName>
    <definedName name="IQ_OCCUPANCY_TOTAL" hidden="1">"c8844"</definedName>
    <definedName name="IQ_OCCUPANCY_UNCONSOL" hidden="1">"c8841"</definedName>
    <definedName name="IQ_OCCUPY_EXP" hidden="1">"c839"</definedName>
    <definedName name="IQ_OECD_LEAD_INDICATOR" hidden="1">"c20953"</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FFICE_OCCUPANCY_EQUIP_EXP_THRIFT" hidden="1">"c24787"</definedName>
    <definedName name="IQ_OFFICE_PREMISES_EQUIPMENT_THRIFT" hidden="1">"c24882"</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GAS_EQUIV_PRODUCTION_MMCFE" hidden="1">"c10061"</definedName>
    <definedName name="IQ_OG_AVG_DAILY_OIL_EQUIV_PRODUCTION_KBOE" hidden="1">"c10060"</definedName>
    <definedName name="IQ_OG_AVG_DAILY_PROD_GAS" hidden="1">"c2910"</definedName>
    <definedName name="IQ_OG_AVG_DAILY_PROD_NGL" hidden="1">"c2911"</definedName>
    <definedName name="IQ_OG_AVG_DAILY_PROD_OIL" hidden="1">"c2909"</definedName>
    <definedName name="IQ_OG_AVG_DAILY_PRODUCTION_GAS_MMCM" hidden="1">"c10059"</definedName>
    <definedName name="IQ_OG_AVG_DAILY_SALES_VOL_EQ_INC_GAS" hidden="1">"c5797"</definedName>
    <definedName name="IQ_OG_AVG_DAILY_SALES_VOL_EQ_INC_NGL" hidden="1">"c5798"</definedName>
    <definedName name="IQ_OG_AVG_DAILY_SALES_VOL_EQ_INC_OIL" hidden="1">"c5796"</definedName>
    <definedName name="IQ_OG_AVG_GAS_PRICE_CBM_HEDGED" hidden="1">"c10054"</definedName>
    <definedName name="IQ_OG_AVG_GAS_PRICE_CBM_UNHEDGED" hidden="1">"c10055"</definedName>
    <definedName name="IQ_OG_AVG_PRODUCTION_COST_BBL" hidden="1">"c10062"</definedName>
    <definedName name="IQ_OG_AVG_PRODUCTION_COST_BOE" hidden="1">"c10064"</definedName>
    <definedName name="IQ_OG_AVG_PRODUCTION_COST_MCF" hidden="1">"c10063"</definedName>
    <definedName name="IQ_OG_AVG_PRODUCTION_COST_MCFE" hidden="1">"c10065"</definedName>
    <definedName name="IQ_OG_CLOSE_BALANCE_GAS" hidden="1">"c2049"</definedName>
    <definedName name="IQ_OG_CLOSE_BALANCE_NGL" hidden="1">"c2920"</definedName>
    <definedName name="IQ_OG_CLOSE_BALANCE_OIL" hidden="1">"c2037"</definedName>
    <definedName name="IQ_OG_DAILY_PRDUCTION_GROWTH_GAS" hidden="1">"c12732"</definedName>
    <definedName name="IQ_OG_DAILY_PRDUCTION_GROWTH_GAS_EQUIVALENT" hidden="1">"c12733"</definedName>
    <definedName name="IQ_OG_DAILY_PRDUCTION_GROWTH_NGL" hidden="1">"c12734"</definedName>
    <definedName name="IQ_OG_DAILY_PRDUCTION_GROWTH_OIL" hidden="1">"c12735"</definedName>
    <definedName name="IQ_OG_DAILY_PRDUCTION_GROWTH_OIL_EQUIVALENT" hidden="1">"c12736"</definedName>
    <definedName name="IQ_OG_DAILY_PRODUCTION_GROWTH_GAS" hidden="1">"c10073"</definedName>
    <definedName name="IQ_OG_DAILY_PRODUCTION_GROWTH_GAS_EQUIVALENT" hidden="1">"c10076"</definedName>
    <definedName name="IQ_OG_DAILY_PRODUCTION_GROWTH_NGL" hidden="1">"c10074"</definedName>
    <definedName name="IQ_OG_DAILY_PRODUCTION_GROWTH_OIL" hidden="1">"c10072"</definedName>
    <definedName name="IQ_OG_DAILY_PRODUCTION_GROWTH_OIL_EQUIVALENT" hidden="1">"c10075"</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GAS_BCM" hidden="1">"c10045"</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AFFILIATES_RESERVES_GAS_BCM" hidden="1">"c10047"</definedName>
    <definedName name="IQ_OG_EQUITY_DCF" hidden="1">"c2002"</definedName>
    <definedName name="IQ_OG_EQUITY_DCF_GAS" hidden="1">"c2022"</definedName>
    <definedName name="IQ_OG_EQUITY_DCF_OIL" hidden="1">"c2012"</definedName>
    <definedName name="IQ_OG_EQUITY_RESERVES_GAS" hidden="1">"c2050"</definedName>
    <definedName name="IQ_OG_EQUITY_RESERVES_NGL" hidden="1">"c2921"</definedName>
    <definedName name="IQ_OG_EQUITY_RESERVES_OIL" hidden="1">"c2038"</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PLORATION_DEVELOPMENT_COST" hidden="1">"c10081"</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GROSS_DEVELOPED_AREA_SQ_KM" hidden="1">"c10079"</definedName>
    <definedName name="IQ_OG_GROSS_DEVELOPMENT_DRY_WELLS_DRILLED" hidden="1">"c10098"</definedName>
    <definedName name="IQ_OG_GROSS_DEVELOPMENT_PRODUCTIVE_WELLS_DRILLED" hidden="1">"c10097"</definedName>
    <definedName name="IQ_OG_GROSS_DEVELOPMENT_PRODUCTIVE_WELLS_DRILLED_GAS" hidden="1">"c15907"</definedName>
    <definedName name="IQ_OG_GROSS_DEVELOPMENT_PRODUCTIVE_WELLS_DRILLED_OIL" hidden="1">"c15906"</definedName>
    <definedName name="IQ_OG_GROSS_DEVELOPMENT_TOTAL_WELLS_DRILLED" hidden="1">"c10099"</definedName>
    <definedName name="IQ_OG_GROSS_EXPLORATORY_DRY_WELLS_DRILLED" hidden="1">"c10095"</definedName>
    <definedName name="IQ_OG_GROSS_EXPLORATORY_PRODUCTIVE_WELLS_DRILLED" hidden="1">"c10094"</definedName>
    <definedName name="IQ_OG_GROSS_EXPLORATORY_PRODUCTIVE_WELLS_DRILLED_GAS" hidden="1">"c15905"</definedName>
    <definedName name="IQ_OG_GROSS_EXPLORATORY_PRODUCTIVE_WELLS_DRILLED_OIL" hidden="1">"c15904"</definedName>
    <definedName name="IQ_OG_GROSS_EXPLORATORY_TOTAL_WELLS_DRILLED" hidden="1">"c10096"</definedName>
    <definedName name="IQ_OG_GROSS_OPERATED_WELLS" hidden="1">"c10092"</definedName>
    <definedName name="IQ_OG_GROSS_PRODUCING_WELLS_GAS" hidden="1">"c15897"</definedName>
    <definedName name="IQ_OG_GROSS_PRODUCING_WELLS_OIL" hidden="1">"c15896"</definedName>
    <definedName name="IQ_OG_GROSS_PRODUCTIVE_WELLS_DRILLED_GAS" hidden="1">"c15901"</definedName>
    <definedName name="IQ_OG_GROSS_PRODUCTIVE_WELLS_DRILLED_OIL" hidden="1">"c15900"</definedName>
    <definedName name="IQ_OG_GROSS_PRODUCTIVE_WELLS_GAS" hidden="1">"c10087"</definedName>
    <definedName name="IQ_OG_GROSS_PRODUCTIVE_WELLS_OIL" hidden="1">"c10086"</definedName>
    <definedName name="IQ_OG_GROSS_PRODUCTIVE_WELLS_TOTAL" hidden="1">"c10088"</definedName>
    <definedName name="IQ_OG_GROSS_TOTAL_WELLS_DRILLED" hidden="1">"c10100"</definedName>
    <definedName name="IQ_OG_GROSS_UNDEVELOPED_AREA_SQ_KM" hidden="1">"c10077"</definedName>
    <definedName name="IQ_OG_GROSS_WELLS_DRILLING" hidden="1">"c10108"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DEVELOPED_AREA_SQ_KM" hidden="1">"c10080"</definedName>
    <definedName name="IQ_OG_NET_DEVELOPMENT_DRY_WELLS_DRILLED" hidden="1">"c10105"</definedName>
    <definedName name="IQ_OG_NET_DEVELOPMENT_PRODUCTIVE_WELLS_DRILLED" hidden="1">"c10104"</definedName>
    <definedName name="IQ_OG_NET_DEVELOPMENT_PRODUCTIVE_WELLS_DRILLED_GAS" hidden="1">"c15911"</definedName>
    <definedName name="IQ_OG_NET_DEVELOPMENT_PRODUCTIVE_WELLS_DRILLED_OIL" hidden="1">"c15910"</definedName>
    <definedName name="IQ_OG_NET_DEVELOPMENT_TOTAL_WELLS_DRILLED" hidden="1">"c10106"</definedName>
    <definedName name="IQ_OG_NET_EXPLORATORY_DRY_WELLS_DRILLED" hidden="1">"c10102"</definedName>
    <definedName name="IQ_OG_NET_EXPLORATORY_PRODUCTIVE_WELLS_DRILLED" hidden="1">"c10101"</definedName>
    <definedName name="IQ_OG_NET_EXPLORATORY_PRODUCTIVE_WELLS_DRILLED_GAS" hidden="1">"c15909"</definedName>
    <definedName name="IQ_OG_NET_EXPLORATORY_PRODUCTIVE_WELLS_DRILLED_OIL" hidden="1">"c15908"</definedName>
    <definedName name="IQ_OG_NET_EXPLORATORY_TOTAL_WELLS_DRILLED" hidden="1">"c10103"</definedName>
    <definedName name="IQ_OG_NET_FUTURE_CASH_FLOWS" hidden="1">"c1996"</definedName>
    <definedName name="IQ_OG_NET_FUTURE_CASH_FLOWS_GAS" hidden="1">"c2016"</definedName>
    <definedName name="IQ_OG_NET_FUTURE_CASH_FLOWS_OIL" hidden="1">"c2006"</definedName>
    <definedName name="IQ_OG_NET_OPERATED_WELLS" hidden="1">"c10093"</definedName>
    <definedName name="IQ_OG_NET_PRODUCING_WELLS_GAS" hidden="1">"c15899"</definedName>
    <definedName name="IQ_OG_NET_PRODUCING_WELLS_OIL" hidden="1">"c15898"</definedName>
    <definedName name="IQ_OG_NET_PRODUCTIVE_WELLS_DRILLED_GAS" hidden="1">"c15903"</definedName>
    <definedName name="IQ_OG_NET_PRODUCTIVE_WELLS_DRILLED_OIL" hidden="1">"c15902"</definedName>
    <definedName name="IQ_OG_NET_PRODUCTIVE_WELLS_GAS" hidden="1">"c10090"</definedName>
    <definedName name="IQ_OG_NET_PRODUCTIVE_WELLS_OIL" hidden="1">"c10089"</definedName>
    <definedName name="IQ_OG_NET_PRODUCTIVE_WELLS_TOTAL" hidden="1">"c10091"</definedName>
    <definedName name="IQ_OG_NET_TOTAL_WELLS_DRILLED" hidden="1">"c10107"</definedName>
    <definedName name="IQ_OG_NET_UNDEVELOPED_AREA_SQ_KM" hidden="1">"c10078"</definedName>
    <definedName name="IQ_OG_NET_WELLS_DRILLING" hidden="1">"c10109"</definedName>
    <definedName name="IQ_OG_NUMBER_WELLS_NEW" hidden="1">"c10085"</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DUCTION_GROWTH_GAS" hidden="1">"c12737"</definedName>
    <definedName name="IQ_OG_PRDUCTION_GROWTH_GAS_EQUIVALENT" hidden="1">"c12738"</definedName>
    <definedName name="IQ_OG_PRDUCTION_GROWTH_NGL" hidden="1">"c12739"</definedName>
    <definedName name="IQ_OG_PRDUCTION_GROWTH_OIL" hidden="1">"c12740"</definedName>
    <definedName name="IQ_OG_PRDUCTION_GROWTH_OIL_EQUIVALENT" hidden="1">"c12741"</definedName>
    <definedName name="IQ_OG_PRDUCTION_GROWTH_TOAL" hidden="1">"c12742"</definedName>
    <definedName name="IQ_OG_PRODUCTION_GAS" hidden="1">"c2047"</definedName>
    <definedName name="IQ_OG_PRODUCTION_GROWTH_GAS" hidden="1">"c10067"</definedName>
    <definedName name="IQ_OG_PRODUCTION_GROWTH_GAS_EQUIVALENT" hidden="1">"c10070"</definedName>
    <definedName name="IQ_OG_PRODUCTION_GROWTH_NGL" hidden="1">"c10068"</definedName>
    <definedName name="IQ_OG_PRODUCTION_GROWTH_OIL" hidden="1">"c10066"</definedName>
    <definedName name="IQ_OG_PRODUCTION_GROWTH_OIL_EQUIVALENT" hidden="1">"c10069"</definedName>
    <definedName name="IQ_OG_PRODUCTION_GROWTH_TOTAL" hidden="1">"c10071"</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RIGS_NON_OPERATED" hidden="1">"c10083"</definedName>
    <definedName name="IQ_OG_RIGS_OPERATED" hidden="1">"c10082"</definedName>
    <definedName name="IQ_OG_RIGS_TOTAL" hidden="1">"c10084"</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EQUIV_PRODUCTION_BCFE" hidden="1">"c10058"</definedName>
    <definedName name="IQ_OG_TOTAL_GAS_PRODUCTION" hidden="1">"c2060"</definedName>
    <definedName name="IQ_OG_TOTAL_LIQUID_GAS_PRODUCTION" hidden="1">"c2235"</definedName>
    <definedName name="IQ_OG_TOTAL_OIL_EQUIV_PRODUCTION_MMBOE" hidden="1">"c10057"</definedName>
    <definedName name="IQ_OG_TOTAL_OIL_PRODUCTION" hidden="1">"c2059"</definedName>
    <definedName name="IQ_OG_TOTAL_OIL_PRODUCTON" hidden="1">"c2059"</definedName>
    <definedName name="IQ_OG_TOTAL_POSSIBLE_RESERVES_GAS_BCF" hidden="1">"c10050"</definedName>
    <definedName name="IQ_OG_TOTAL_POSSIBLE_RESERVES_GAS_BCM" hidden="1">"c10051"</definedName>
    <definedName name="IQ_OG_TOTAL_POSSIBLE_RESERVES_OIL_MMBBLS" hidden="1">"c10053"</definedName>
    <definedName name="IQ_OG_TOTAL_PROBABLE_RESERVES_GAS_BCF" hidden="1">"c10048"</definedName>
    <definedName name="IQ_OG_TOTAL_PROBABLE_RESERVES_GAS_BCM" hidden="1">"c10049"</definedName>
    <definedName name="IQ_OG_TOTAL_PROBABLE_RESERVES_OIL_MMBBLS" hidden="1">"c10052"</definedName>
    <definedName name="IQ_OG_TOTAL_PRODUCTION_GAS_BCM" hidden="1">"c10056"</definedName>
    <definedName name="IQ_OG_TOTAL_PROVED_RESERVES_GAS_BCM" hidden="1">"c10046"</definedName>
    <definedName name="IQ_OG_UNDEVELOPED_ACRE_GROSS_EQ_INC" hidden="1">"c5800"</definedName>
    <definedName name="IQ_OG_UNDEVELOPED_ACRE_NET_EQ_INC" hidden="1">"c5801"</definedName>
    <definedName name="IQ_OG_UNDEVELOPED_RESERVES_GAS" hidden="1">"c2051"</definedName>
    <definedName name="IQ_OG_UNDEVELOPED_RESERVES_GAS_BCM" hidden="1">"c10044"</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_END_LINES_CREDIT_THRIFT" hidden="1">"c25608"</definedName>
    <definedName name="IQ_OPENED55" hidden="1">1</definedName>
    <definedName name="IQ_OPENPRICE" hidden="1">"c848"</definedName>
    <definedName name="IQ_OPER_INC" hidden="1">"c849"</definedName>
    <definedName name="IQ_OPER_INC_ACT_OR_EST" hidden="1">"c2220"</definedName>
    <definedName name="IQ_OPER_INC_ACT_OR_EST_CIQ" hidden="1">"c12019"</definedName>
    <definedName name="IQ_OPER_INC_ACT_OR_EST_THOM" hidden="1">"c5304"</definedName>
    <definedName name="IQ_OPER_INC_BR" hidden="1">"c850"</definedName>
    <definedName name="IQ_OPER_INC_CM" hidden="1">"c850"</definedName>
    <definedName name="IQ_OPER_INC_EST" hidden="1">"c1688"</definedName>
    <definedName name="IQ_OPER_INC_EST_CIQ" hidden="1">"c12010"</definedName>
    <definedName name="IQ_OPER_INC_EST_DOWN_2MONTH" hidden="1">"c16369"</definedName>
    <definedName name="IQ_OPER_INC_EST_DOWN_3MONTH" hidden="1">"c16373"</definedName>
    <definedName name="IQ_OPER_INC_EST_DOWN_MONTH" hidden="1">"c16365"</definedName>
    <definedName name="IQ_OPER_INC_EST_NUM_ANALYSTS_2MONTH" hidden="1">"c16367"</definedName>
    <definedName name="IQ_OPER_INC_EST_NUM_ANALYSTS_3MONTH" hidden="1">"c16371"</definedName>
    <definedName name="IQ_OPER_INC_EST_NUM_ANALYSTS_MONTH" hidden="1">"c16363"</definedName>
    <definedName name="IQ_OPER_INC_EST_THOM" hidden="1">"c5112"</definedName>
    <definedName name="IQ_OPER_INC_EST_TOTAL_REVISED_2MONTH" hidden="1">"c16370"</definedName>
    <definedName name="IQ_OPER_INC_EST_TOTAL_REVISED_3MONTH" hidden="1">"c16374"</definedName>
    <definedName name="IQ_OPER_INC_EST_TOTAL_REVISED_MONTH" hidden="1">"c16366"</definedName>
    <definedName name="IQ_OPER_INC_EST_UP_2MONTH" hidden="1">"c16368"</definedName>
    <definedName name="IQ_OPER_INC_EST_UP_3MONTH" hidden="1">"c16372"</definedName>
    <definedName name="IQ_OPER_INC_EST_UP_MONTH" hidden="1">"c16364"</definedName>
    <definedName name="IQ_OPER_INC_FIN" hidden="1">"c851"</definedName>
    <definedName name="IQ_OPER_INC_HIGH_EST" hidden="1">"c1690"</definedName>
    <definedName name="IQ_OPER_INC_HIGH_EST_CIQ" hidden="1">"c12012"</definedName>
    <definedName name="IQ_OPER_INC_HIGH_EST_THOM" hidden="1">"c5114"</definedName>
    <definedName name="IQ_OPER_INC_INS" hidden="1">"c852"</definedName>
    <definedName name="IQ_OPER_INC_LOW_EST" hidden="1">"c1691"</definedName>
    <definedName name="IQ_OPER_INC_LOW_EST_CIQ" hidden="1">"c12013"</definedName>
    <definedName name="IQ_OPER_INC_LOW_EST_THOM" hidden="1">"c5115"</definedName>
    <definedName name="IQ_OPER_INC_MARGIN" hidden="1">"c362"</definedName>
    <definedName name="IQ_OPER_INC_MEDIAN_EST" hidden="1">"c1689"</definedName>
    <definedName name="IQ_OPER_INC_MEDIAN_EST_CIQ" hidden="1">"c12011"</definedName>
    <definedName name="IQ_OPER_INC_MEDIAN_EST_THOM" hidden="1">"c5113"</definedName>
    <definedName name="IQ_OPER_INC_NUM_EST" hidden="1">"c1692"</definedName>
    <definedName name="IQ_OPER_INC_NUM_EST_CIQ" hidden="1">"c12014"</definedName>
    <definedName name="IQ_OPER_INC_NUM_EST_THOM" hidden="1">"c5116"</definedName>
    <definedName name="IQ_OPER_INC_RE" hidden="1">"c6240"</definedName>
    <definedName name="IQ_OPER_INC_REIT" hidden="1">"c853"</definedName>
    <definedName name="IQ_OPER_INC_STDDEV_EST" hidden="1">"c1693"</definedName>
    <definedName name="IQ_OPER_INC_STDDEV_EST_CIQ" hidden="1">"c12015"</definedName>
    <definedName name="IQ_OPER_INC_STDDEV_EST_THOM" hidden="1">"c5117"</definedName>
    <definedName name="IQ_OPER_INC_UTI" hidden="1">"c854"</definedName>
    <definedName name="IQ_OPERATING_EXP_AVG_ASSETS_FFIEC" hidden="1">"c13373"</definedName>
    <definedName name="IQ_OPERATING_INC_AVG_ASSETS_FFIEC" hidden="1">"c13368"</definedName>
    <definedName name="IQ_OPERATING_INC_TE_AVG_ASSETS_FFIEC" hidden="1">"c13360"</definedName>
    <definedName name="IQ_OPERATING_NOI_AVG_GROSS_PROP" hidden="1">"c16058"</definedName>
    <definedName name="IQ_OPERATIONS_EXP" hidden="1">"c855"</definedName>
    <definedName name="IQ_OPT_TOTAL_AGG_INT_VALUE_EXER" hidden="1">"c18441"</definedName>
    <definedName name="IQ_OPT_TOTAL_AGG_INT_VALUE_OUT" hidden="1">"c18437"</definedName>
    <definedName name="IQ_OPT_TOTAL_NUM_EXER" hidden="1">"c18439"</definedName>
    <definedName name="IQ_OPT_TOTAL_NUM_OUT" hidden="1">"c18435"</definedName>
    <definedName name="IQ_OPT_TOTAL_PLAN_NAME" hidden="1">"c18467"</definedName>
    <definedName name="IQ_OPT_TOTAL_PRICE_HIGH" hidden="1">"c18432"</definedName>
    <definedName name="IQ_OPT_TOTAL_PRICE_LOW" hidden="1">"c18431"</definedName>
    <definedName name="IQ_OPT_TOTAL_PRICE_RANGE" hidden="1">"c18433"</definedName>
    <definedName name="IQ_OPT_TOTAL_WTD_LIFE_EXER" hidden="1">"c18440"</definedName>
    <definedName name="IQ_OPT_TOTAL_WTD_LIFE_OUT" hidden="1">"c18436"</definedName>
    <definedName name="IQ_OPT_TOTAL_WTD_PRICE_EXER" hidden="1">"c18438"</definedName>
    <definedName name="IQ_OPT_TOTAL_WTD_PRICE_OUT" hidden="1">"c18434"</definedName>
    <definedName name="IQ_OPT_TRANCHE_AGG_INT_VALUE_EXER" hidden="1">"c18430"</definedName>
    <definedName name="IQ_OPT_TRANCHE_AGG_INT_VALUE_OUT" hidden="1">"c18426"</definedName>
    <definedName name="IQ_OPT_TRANCHE_CLASS_NAME" hidden="1">"c18419"</definedName>
    <definedName name="IQ_OPT_TRANCHE_NUM_EXER" hidden="1">"c18428"</definedName>
    <definedName name="IQ_OPT_TRANCHE_NUM_OUT" hidden="1">"c18424"</definedName>
    <definedName name="IQ_OPT_TRANCHE_PLAN_NAME" hidden="1">"c18418"</definedName>
    <definedName name="IQ_OPT_TRANCHE_PLAN_RANK" hidden="1">"c18466"</definedName>
    <definedName name="IQ_OPT_TRANCHE_PRICE_HIGH" hidden="1">"c18421"</definedName>
    <definedName name="IQ_OPT_TRANCHE_PRICE_LOW" hidden="1">"c18420"</definedName>
    <definedName name="IQ_OPT_TRANCHE_PRICE_RANGE" hidden="1">"c18422"</definedName>
    <definedName name="IQ_OPT_TRANCHE_WTD_LIFE_EXER" hidden="1">"c18429"</definedName>
    <definedName name="IQ_OPT_TRANCHE_WTD_LIFE_OUT" hidden="1">"c18425"</definedName>
    <definedName name="IQ_OPT_TRANCHE_WTD_PRICE_EXER" hidden="1">"c18427"</definedName>
    <definedName name="IQ_OPT_TRANCHE_WTD_PRICE_OUT" hidden="1">"c18423"</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FIEC" hidden="1">"c12831"</definedName>
    <definedName name="IQ_OREO_FOREIGN_FDIC" hidden="1">"c6460"</definedName>
    <definedName name="IQ_OREO_FOREIGN_FFIEC" hidden="1">"c15273"</definedName>
    <definedName name="IQ_OREO_MULTI_FAMILY_RESIDENTIAL_FDIC" hidden="1">"c6455"</definedName>
    <definedName name="IQ_OREO_OTHER_FFIEC" hidden="1">"c12833"</definedName>
    <definedName name="IQ_ORGANIC_GROWTH_RATE" hidden="1">"c20429"</definedName>
    <definedName name="IQ_OTHER_ACCRUED_INT_PAYABLE_THRIFT" hidden="1">"c24908"</definedName>
    <definedName name="IQ_OTHER_ADDITIONS_ADJUSTED_ASSETS_THRIFT" hidden="1">"c25037"</definedName>
    <definedName name="IQ_OTHER_ADDITIONS_T1_FFIEC" hidden="1">"c13142"</definedName>
    <definedName name="IQ_OTHER_ADDITIONS_T1_THRIFT" hidden="1">"c25028"</definedName>
    <definedName name="IQ_OTHER_ADDITIONS_T2_FFIEC" hidden="1">"c13148"</definedName>
    <definedName name="IQ_OTHER_ADDITIONS_T2_THRIFT" hidden="1">"c25044"</definedName>
    <definedName name="IQ_OTHER_ADJ_CLAIM_ADJ_EXP_INCURRED" hidden="1">"c15878"</definedName>
    <definedName name="IQ_OTHER_ADJ_CLAIM_ADJ_EXP_PAID" hidden="1">"c15879"</definedName>
    <definedName name="IQ_OTHER_ADJ_RESERVE_BOP" hidden="1">"c15876"</definedName>
    <definedName name="IQ_OTHER_ADJ_RESERVES" hidden="1">"c15882"</definedName>
    <definedName name="IQ_OTHER_ADJUST_GROSS_LOANS" hidden="1">"c859"</definedName>
    <definedName name="IQ_OTHER_ADJUSTMENTS_COVERED" hidden="1">"c9961"</definedName>
    <definedName name="IQ_OTHER_ADJUSTMENTS_FFIEC" hidden="1">"c12972"</definedName>
    <definedName name="IQ_OTHER_ADJUSTMENTS_GROUP" hidden="1">"c9947"</definedName>
    <definedName name="IQ_OTHER_ADJUSTMENTS_SAVINGS_ASSOCIATION_THRIFT" hidden="1">"c25018"</definedName>
    <definedName name="IQ_OTHER_AFFO" hidden="1">"c16180"</definedName>
    <definedName name="IQ_OTHER_AMORT" hidden="1">"c5563"</definedName>
    <definedName name="IQ_OTHER_AMORT_BNK" hidden="1">"c5565"</definedName>
    <definedName name="IQ_OTHER_AMORT_BR" hidden="1">"c5566"</definedName>
    <definedName name="IQ_OTHER_AMORT_CM"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OCI_THRIFT" hidden="1">"c24923"</definedName>
    <definedName name="IQ_OTHER_ASSETS" hidden="1">"c860"</definedName>
    <definedName name="IQ_OTHER_ASSETS_ADJUSTED_NCOS_TOTAL_THRIFT" hidden="1">"c25227"</definedName>
    <definedName name="IQ_OTHER_ASSETS_BNK" hidden="1">"c861"</definedName>
    <definedName name="IQ_OTHER_ASSETS_BR" hidden="1">"c862"</definedName>
    <definedName name="IQ_OTHER_ASSETS_CM" hidden="1">"c862"</definedName>
    <definedName name="IQ_OTHER_ASSETS_FDIC" hidden="1">"c6338"</definedName>
    <definedName name="IQ_OTHER_ASSETS_FFIEC" hidden="1">"c12848"</definedName>
    <definedName name="IQ_OTHER_ASSETS_FIN" hidden="1">"c863"</definedName>
    <definedName name="IQ_OTHER_ASSETS_GVA_CHARGE_OFFS_THRIFT" hidden="1">"c25142"</definedName>
    <definedName name="IQ_OTHER_ASSETS_GVA_RECOVERIES_THRIFT" hidden="1">"c25165"</definedName>
    <definedName name="IQ_OTHER_ASSETS_GVA_THRIFT" hidden="1">"c24893"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SVA_PROVISIONS_TRANSFERS_FROM_GVA_TOTAL_THRIFT" hidden="1">"c25196"</definedName>
    <definedName name="IQ_OTHER_ASSETS_THRIFT" hidden="1">"c24892"</definedName>
    <definedName name="IQ_OTHER_ASSETS_TOTAL_FFIEC" hidden="1">"c12841"</definedName>
    <definedName name="IQ_OTHER_ASSETS_UTI" hidden="1">"c866"</definedName>
    <definedName name="IQ_OTHER_BALANCE_CHANGES_OTHER_MORTGAGE_BACKED_SEC_THRIFT" hidden="1">"c25316"</definedName>
    <definedName name="IQ_OTHER_BALANCE_CHANGES_PASS_THROUGH_MORTGAGE_BACKED_SEC_THRIFT" hidden="1">"c25313"</definedName>
    <definedName name="IQ_OTHER_BANK_OWNED_LIFE_INSURANCE_THRIFT" hidden="1">"c24886"</definedName>
    <definedName name="IQ_OTHER_BEARING_LIAB" hidden="1">"c1608"</definedName>
    <definedName name="IQ_OTHER_BEDS" hidden="1">"c8784"</definedName>
    <definedName name="IQ_OTHER_BENEFITS_OBLIGATION" hidden="1">"c867"</definedName>
    <definedName name="IQ_OTHER_BORROWED_FUNDS_FDIC" hidden="1">"c6345"</definedName>
    <definedName name="IQ_OTHER_BORROWED_MONEY_FAIR_VALUE_TOT_FFIEC" hidden="1">"c15409"</definedName>
    <definedName name="IQ_OTHER_BORROWED_MONEY_FFIEC" hidden="1">"c12862"</definedName>
    <definedName name="IQ_OTHER_BORROWED_MONEY_LEVEL_1_FFIEC" hidden="1">"c15431"</definedName>
    <definedName name="IQ_OTHER_BORROWED_MONEY_LEVEL_2_FFIEC" hidden="1">"c15444"</definedName>
    <definedName name="IQ_OTHER_BORROWED_MONEY_LEVEL_3_FFIEC" hidden="1">"c15457"</definedName>
    <definedName name="IQ_OTHER_BORROWED_MONEY_LT_FFIEC" hidden="1">"c12865"</definedName>
    <definedName name="IQ_OTHER_BORROWED_MONEY_ST_FFIEC" hidden="1">"c12864"</definedName>
    <definedName name="IQ_OTHER_BORROWINGS_AMOUNTS_NETTED_THRIFT" hidden="1">"c25546"</definedName>
    <definedName name="IQ_OTHER_BORROWINGS_LESS_THAN_1_YR_TOTAL_ASSETS_THRIFT" hidden="1">"c25705"</definedName>
    <definedName name="IQ_OTHER_BORROWINGS_LEVEL_1_THRIFT" hidden="1">"c25542"</definedName>
    <definedName name="IQ_OTHER_BORROWINGS_LEVEL_2_THRIFT" hidden="1">"c25543"</definedName>
    <definedName name="IQ_OTHER_BORROWINGS_LEVEL_3_THRIFT" hidden="1">"c25544"</definedName>
    <definedName name="IQ_OTHER_BORROWINGS_THRIFT" hidden="1">"c24904"</definedName>
    <definedName name="IQ_OTHER_BORROWINGS_TOTAL_AFTER_NETTING_THRIFT" hidden="1">"c25547"</definedName>
    <definedName name="IQ_OTHER_BORROWINGS_TOTAL_BEFORE_NETTING_THRIFT" hidden="1">"c25545"</definedName>
    <definedName name="IQ_OTHER_BROKERED_TIME_DEPOSITS_THRIFT" hidden="1">"c25006"</definedName>
    <definedName name="IQ_OTHER_CA" hidden="1">"c868"</definedName>
    <definedName name="IQ_OTHER_CA_SUPPL" hidden="1">"c869"</definedName>
    <definedName name="IQ_OTHER_CA_SUPPL_BNK" hidden="1">"c870"</definedName>
    <definedName name="IQ_OTHER_CA_SUPPL_BR" hidden="1">"c871"</definedName>
    <definedName name="IQ_OTHER_CA_SUPPL_CM"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CM"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MON_PREFERRED_STOCKS_ALL_OTHER_ACCOUNTS_THRIFT" hidden="1">"c25434"</definedName>
    <definedName name="IQ_OTHER_COMMON_PREFERRED_STOCKS_EMPLOYEE_BENEFIT_RETIREMENT_RELATED_ACCOUNTS_THRIFT" hidden="1">"c25418"</definedName>
    <definedName name="IQ_OTHER_COMMON_PREFERRED_STOCKS_PERSONAL_TRUST_AGENCY_INV_MANAGEMENT_ACCOUNTS_THRIFT" hidden="1">"c25402"</definedName>
    <definedName name="IQ_OTHER_COMPREHENSIVE_INCOME_FDIC" hidden="1">"c6503"</definedName>
    <definedName name="IQ_OTHER_COMPREHENSIVE_INCOME_FFIEC" hidden="1">"c12970"</definedName>
    <definedName name="IQ_OTHER_COMPREHENSIVE_INCOME_SAVINGS_ASSOCIATION_THRIFT" hidden="1">"c25016"</definedName>
    <definedName name="IQ_OTHER_CONSTRUCTION_GROSS_LOANS_FFIEC" hidden="1">"c13403"</definedName>
    <definedName name="IQ_OTHER_CONSTRUCTION_LOANS_DUE_30_89_FFIEC" hidden="1">"c13258"</definedName>
    <definedName name="IQ_OTHER_CONSTRUCTION_LOANS_DUE_90_FFIEC" hidden="1">"c13286"</definedName>
    <definedName name="IQ_OTHER_CONSTRUCTION_LOANS_GROSS_LOANS_THRIFT" hidden="1">"c25728"</definedName>
    <definedName name="IQ_OTHER_CONSTRUCTION_LOANS_NON_ACCRUAL_FFIEC" hidden="1">"c13312"</definedName>
    <definedName name="IQ_OTHER_CONSTRUCTION_LOANS_RISK_BASED_CAPITAL_THRIFT" hidden="1">"c25713"</definedName>
    <definedName name="IQ_OTHER_CONSTRUCTION_LOANS_UNUSED_FFIEC" hidden="1">"c13245"</definedName>
    <definedName name="IQ_OTHER_CONSTRUCTION_RISK_BASED_FFIEC" hidden="1">"c13424"</definedName>
    <definedName name="IQ_OTHER_CONSUMER_INC_LEASE_RECEIVABLES_THRIFT" hidden="1">"c24865"</definedName>
    <definedName name="IQ_OTHER_CONSUMER_LL_REC_FFIEC" hidden="1">"c12891"</definedName>
    <definedName name="IQ_OTHER_CONSUMER_LOANS_FFIEC" hidden="1">"c12824"</definedName>
    <definedName name="IQ_OTHER_CONSUMER_LOANS_TRADING_DOM_FFIEC" hidden="1">"c12935"</definedName>
    <definedName name="IQ_OTHER_CONTINGENT_LIABILITIES_THRIFT" hidden="1">"c25621"</definedName>
    <definedName name="IQ_OTHER_CREDIT_CARD_LINES_UNUSED_FFIEC" hidden="1">"c25863"</definedName>
    <definedName name="IQ_OTHER_CURRENT_ASSETS" hidden="1">"c868"</definedName>
    <definedName name="IQ_OTHER_CURRENT_LIAB" hidden="1">"c877"</definedName>
    <definedName name="IQ_OTHER_DEBT" hidden="1">"c2507"</definedName>
    <definedName name="IQ_OTHER_DEBT_PCT" hidden="1">"c2508"</definedName>
    <definedName name="IQ_OTHER_DEBT_SEC_DOM_AFS_AMORT_COST_FFIEC" hidden="1">"c20503"</definedName>
    <definedName name="IQ_OTHER_DEBT_SEC_DOM_AFS_FAIR_VAL_FFIEC" hidden="1">"c20468"</definedName>
    <definedName name="IQ_OTHER_DEBT_SEC_DOM_AVAIL_SALE_FFIEC" hidden="1">"c12803"</definedName>
    <definedName name="IQ_OTHER_DEBT_SEC_FOREIGN_AFS_AMORT_COST_FFIEC" hidden="1">"c20504"</definedName>
    <definedName name="IQ_OTHER_DEBT_SEC_FOREIGN_AFS_FAIR_VAL_FFIEC" hidden="1">"c20469"</definedName>
    <definedName name="IQ_OTHER_DEBT_SEC_FOREIGN_AVAIL_SALE_FFIEC" hidden="1">"c12804"</definedName>
    <definedName name="IQ_OTHER_DEBT_SEC_INVEST_SECURITIES_FFIEC" hidden="1">"c13462"</definedName>
    <definedName name="IQ_OTHER_DEBT_SEC_TRADING_DOM_FFIEC" hidden="1">"c12924"</definedName>
    <definedName name="IQ_OTHER_DEBT_SEC_TRADING_FFIEC" hidden="1">"c12819"</definedName>
    <definedName name="IQ_OTHER_DEBT_SECURITIES_DOM_FFIEC" hidden="1">"c12789"</definedName>
    <definedName name="IQ_OTHER_DEBT_SECURITIES_DOM_HTM_AMORT_COST_FFIEC" hidden="1">"c20451"</definedName>
    <definedName name="IQ_OTHER_DEBT_SECURITIES_DOM_HTM_FAIR_VAL_FFIEC" hidden="1">"c20486"</definedName>
    <definedName name="IQ_OTHER_DEBT_SECURITIES_FOREIGN_FFIEC" hidden="1">"c12790"</definedName>
    <definedName name="IQ_OTHER_DEBT_SECURITIES_FOREIGN_HTM_AMORT_COST_FFIEC" hidden="1">"c20452"</definedName>
    <definedName name="IQ_OTHER_DEBT_SECURITIES_FOREIGN_HTM_FAIR_VAL_FFIEC" hidden="1">"c20487"</definedName>
    <definedName name="IQ_OTHER_DEBT_SECURITIES_QUARTERLY_AVG_FFIEC" hidden="1">"c15473"</definedName>
    <definedName name="IQ_OTHER_DEDUCTIONS_ADJUSTED_ASSETS_THRIFT" hidden="1">"c25034"</definedName>
    <definedName name="IQ_OTHER_DEDUCTIONS_LEVERAGE_RATIO_FFIEC" hidden="1">"c13158"</definedName>
    <definedName name="IQ_OTHER_DEDUCTIONS_T1_THRIFT" hidden="1">"c25025"</definedName>
    <definedName name="IQ_OTHER_DEP" hidden="1">"c885"</definedName>
    <definedName name="IQ_OTHER_DEPOSITORY_INSTITUTIONS_LOANS_FDIC" hidden="1">"c6436"</definedName>
    <definedName name="IQ_OTHER_DEPOSITORY_INSTITUTIONS_TOTAL_LOANS_FOREIGN_FDIC" hidden="1">"c6442"</definedName>
    <definedName name="IQ_OTHER_DEPOSITS_FFIEC" hidden="1">"c12994"</definedName>
    <definedName name="IQ_OTHER_DEPOSITS_TOTAL_DEPOSITS" hidden="1">"c15724"</definedName>
    <definedName name="IQ_OTHER_DERIVATIVES_BENEFICIARY_FFIEC" hidden="1">"c13122"</definedName>
    <definedName name="IQ_OTHER_DERIVATIVES_GUARANTOR_FFIEC" hidden="1">"c13115"</definedName>
    <definedName name="IQ_OTHER_DEVELOPMENT_EXPENSE" hidden="1">"c16041"</definedName>
    <definedName name="IQ_OTHER_DEVELOPMENT_REVENUE" hidden="1">"c16025"</definedName>
    <definedName name="IQ_OTHER_DOMESTIC_DEBT_SECURITIES_FDIC" hidden="1">"c6302"</definedName>
    <definedName name="IQ_OTHER_EARNING" hidden="1">"c1609"</definedName>
    <definedName name="IQ_OTHER_ELIGIBLE_0_PCT_RISK_WEIGHT_THRIFT" hidden="1">"c25054"</definedName>
    <definedName name="IQ_OTHER_ELIGIBLE_20_PCT_RISK_WEIGHT_THRIFT" hidden="1">"c25061"</definedName>
    <definedName name="IQ_OTHER_ELIGIBLE_50_PCT_RISK_WEIGHT_THRIFT" hidden="1">"c25068"</definedName>
    <definedName name="IQ_OTHER_EPRA_NAV_ADJ" hidden="1">"c16004"</definedName>
    <definedName name="IQ_OTHER_EPRA_NNAV_ADJ" hidden="1">"c16009"</definedName>
    <definedName name="IQ_OTHER_EQUITY" hidden="1">"c886"</definedName>
    <definedName name="IQ_OTHER_EQUITY_BNK" hidden="1">"c887"</definedName>
    <definedName name="IQ_OTHER_EQUITY_BR" hidden="1">"c888"</definedName>
    <definedName name="IQ_OTHER_EQUITY_CAPITAL_COMPONENTS_THRIFT" hidden="1">"c24924"</definedName>
    <definedName name="IQ_OTHER_EQUITY_CAPITAL_COMPS_FFIEC" hidden="1">"c12880"</definedName>
    <definedName name="IQ_OTHER_EQUITY_CM" hidden="1">"c888"</definedName>
    <definedName name="IQ_OTHER_EQUITY_FFIEC" hidden="1">"c12879"</definedName>
    <definedName name="IQ_OTHER_EQUITY_FIN" hidden="1">"c889"</definedName>
    <definedName name="IQ_OTHER_EQUITY_INS" hidden="1">"c890"</definedName>
    <definedName name="IQ_OTHER_EQUITY_INSTRUMENTS_T2_THRIFT" hidden="1">"c25042"</definedName>
    <definedName name="IQ_OTHER_EQUITY_INV_NOT_CARRIED_FV_THRIFT" hidden="1">"c24881"</definedName>
    <definedName name="IQ_OTHER_EQUITY_RE" hidden="1">"c6244"</definedName>
    <definedName name="IQ_OTHER_EQUITY_REIT" hidden="1">"c891"</definedName>
    <definedName name="IQ_OTHER_EQUITY_UTI" hidden="1">"c892"</definedName>
    <definedName name="IQ_OTHER_EXP_OPERATING_INC_FFIEC" hidden="1">"c13381"</definedName>
    <definedName name="IQ_OTHER_FAD" hidden="1">"c16184"</definedName>
    <definedName name="IQ_OTHER_FEES_CHARGES_THRIFT" hidden="1">"c24768"</definedName>
    <definedName name="IQ_OTHER_FIDUCIARY_ACCOUNTS_INC_THRIFT" hidden="1">"c24808"</definedName>
    <definedName name="IQ_OTHER_FIDUCIARY_ACCOUNTS_MANAGED_ASSETS_THRIFT" hidden="1">"c25355"</definedName>
    <definedName name="IQ_OTHER_FIDUCIARY_ACCOUNTS_NONMANAGED_ASSETS_THRIFT" hidden="1">"c25376"</definedName>
    <definedName name="IQ_OTHER_FIDUCIARY_ACCOUNTS_NUMBER_MANAGED_ACCOUNTS_THRIFT" hidden="1">"c25366"</definedName>
    <definedName name="IQ_OTHER_FIDUCIARY_ACCOUNTS_NUMBER_NONMANAGED_ACCOUNTS_THRIFT" hidden="1">"c25388"</definedName>
    <definedName name="IQ_OTHER_FIDUCIARY_ACCOUNTS_RELATED_SERVICES_GROSS_LOSSES_MANAGED_ACCOUNTS_THRIFT" hidden="1">"c25464"</definedName>
    <definedName name="IQ_OTHER_FIDUCIARY_ACCOUNTS_RELATED_SERVICES_GROSS_LOSSES_NONMANAGED_ACCOUNTS_THRIFT" hidden="1">"c25469"</definedName>
    <definedName name="IQ_OTHER_FIDUCIARY_ACCOUNTS_RELATED_SERVICES_RECOVERIES_THRIFT" hidden="1">"c25474"</definedName>
    <definedName name="IQ_OTHER_FIDUCIARY_RELATED_SERVICES_INC_THRIFT" hidden="1">"c24810"</definedName>
    <definedName name="IQ_OTHER_FINANCE_ACT" hidden="1">"c893"</definedName>
    <definedName name="IQ_OTHER_FINANCE_ACT_BNK" hidden="1">"c894"</definedName>
    <definedName name="IQ_OTHER_FINANCE_ACT_BR" hidden="1">"c895"</definedName>
    <definedName name="IQ_OTHER_FINANCE_ACT_CM"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CM"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FOREIGN_LOANS_FOREIGN_FFIEC" hidden="1">"c13482"</definedName>
    <definedName name="IQ_OTHER_IBF_DEPOSIT_LIABILITIES_FFIEC" hidden="1">"c15301"</definedName>
    <definedName name="IQ_OTHER_INDIVIDUAL_FAMILY_DOM_QUARTERLY_AVG_FFIEC" hidden="1">"c15481"</definedName>
    <definedName name="IQ_OTHER_INSURANCE_FEES_FDIC" hidden="1">"c6672"</definedName>
    <definedName name="IQ_OTHER_INSURANCE_PREMIUMS_FFIEC" hidden="1">"c13071"</definedName>
    <definedName name="IQ_OTHER_INT_EARNING_DEPOSITS_THRIFT" hidden="1">"c24820"</definedName>
    <definedName name="IQ_OTHER_INT_EXPENSE_FFIEC" hidden="1">"c12999"</definedName>
    <definedName name="IQ_OTHER_INT_INCOME_FFIEC" hidden="1">"c12988"</definedName>
    <definedName name="IQ_OTHER_INTAN" hidden="1">"c907"</definedName>
    <definedName name="IQ_OTHER_INTAN_BNK" hidden="1">"c908"</definedName>
    <definedName name="IQ_OTHER_INTAN_BR" hidden="1">"c909"</definedName>
    <definedName name="IQ_OTHER_INTAN_CM"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ASSETS_FFIEC" hidden="1">"c12837"</definedName>
    <definedName name="IQ_OTHER_INTANGIBLE_ASSETS_TOT_FFIEC" hidden="1">"c12840"</definedName>
    <definedName name="IQ_OTHER_INTANGIBLE_FDIC" hidden="1">"c6337"</definedName>
    <definedName name="IQ_OTHER_INV" hidden="1">"c914"</definedName>
    <definedName name="IQ_OTHER_INV_SEC_INV_SEC_THRIFT" hidden="1">"c25675"</definedName>
    <definedName name="IQ_OTHER_INV_SEC_THRIFT" hidden="1">"c24826"</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CM"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CM"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"c916"</definedName>
    <definedName name="IQ_OTHER_LEASES_DUE_30_89_FFIEC" hidden="1">"c13278"</definedName>
    <definedName name="IQ_OTHER_LEASES_DUE_90_FFIEC" hidden="1">"c13304"</definedName>
    <definedName name="IQ_OTHER_LEASES_LL_REC_FFIEC" hidden="1">"c12896"</definedName>
    <definedName name="IQ_OTHER_LEASES_NON_ACCRUAL_FFIEC" hidden="1">"c13330"</definedName>
    <definedName name="IQ_OTHER_LIAB" hidden="1">"c930"</definedName>
    <definedName name="IQ_OTHER_LIAB_BNK" hidden="1">"c931"</definedName>
    <definedName name="IQ_OTHER_LIAB_BR" hidden="1">"c932"</definedName>
    <definedName name="IQ_OTHER_LIAB_CM"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CM"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DEFERRED_INCOME_THRIFT" hidden="1">"c24912"</definedName>
    <definedName name="IQ_OTHER_LIABILITIES_FDIC" hidden="1">"c6347"</definedName>
    <definedName name="IQ_OTHER_LIABILITIES_FFIEC" hidden="1">"c12872"</definedName>
    <definedName name="IQ_OTHER_LIABILITIES_THRIFT" hidden="1">"c24905"</definedName>
    <definedName name="IQ_OTHER_LIABILITIES_TOTAL_FFIEC" hidden="1">"c12869"</definedName>
    <definedName name="IQ_OTHER_LINES_CREDIT_THRIFT" hidden="1">"c25611"</definedName>
    <definedName name="IQ_OTHER_LL_REC_FFIEC" hidden="1">"c12894"</definedName>
    <definedName name="IQ_OTHER_LOANS" hidden="1">"c945"</definedName>
    <definedName name="IQ_OTHER_LOANS_CHARGE_OFFS_FDIC" hidden="1">"c6601"</definedName>
    <definedName name="IQ_OTHER_LOANS_DUE_30_89_FFIEC" hidden="1">"c13275"</definedName>
    <definedName name="IQ_OTHER_LOANS_DUE_90_FFIEC" hidden="1">"c13301"</definedName>
    <definedName name="IQ_OTHER_LOANS_FFIEC" hidden="1">"c12825"</definedName>
    <definedName name="IQ_OTHER_LOANS_FOREIGN_FDIC" hidden="1">"c6446"</definedName>
    <definedName name="IQ_OTHER_LOANS_GROSS_LOANS_FFIEC" hidden="1">"c13414"</definedName>
    <definedName name="IQ_OTHER_LOANS_INDIVIDUALS_CHARGE_OFFS_FFIEC" hidden="1">"c13181"</definedName>
    <definedName name="IQ_OTHER_LOANS_INDIVIDUALS_DUE_30_89_FFIEC" hidden="1">"c13273"</definedName>
    <definedName name="IQ_OTHER_LOANS_INDIVIDUALS_DUE_90_FFIEC" hidden="1">"c13299"</definedName>
    <definedName name="IQ_OTHER_LOANS_INDIVIDUALS_NON_ACCRUAL_FFIEC" hidden="1">"c13325"</definedName>
    <definedName name="IQ_OTHER_LOANS_INDIVIDUALS_RECOV_FFIEC" hidden="1">"c13203"</definedName>
    <definedName name="IQ_OTHER_LOANS_LEASES_FDIC" hidden="1">"c6322"</definedName>
    <definedName name="IQ_OTHER_LOANS_LEASES_GROSS_LOANS_THRIFT" hidden="1">"c25735"</definedName>
    <definedName name="IQ_OTHER_LOANS_LEASES_RISK_BASED_CAPITAL_THRIFT" hidden="1">"c25720"</definedName>
    <definedName name="IQ_OTHER_LOANS_LL_REC_DOM_FFIEC" hidden="1">"c12914"</definedName>
    <definedName name="IQ_OTHER_LOANS_NET_CHARGE_OFFS_FDIC" hidden="1">"c6639"</definedName>
    <definedName name="IQ_OTHER_LOANS_NON_ACCRUAL_FFIEC" hidden="1">"c13327"</definedName>
    <definedName name="IQ_OTHER_LOANS_RECOVERIES_FDIC" hidden="1">"c6620"</definedName>
    <definedName name="IQ_OTHER_LOANS_RISK_BASED_FFIEC" hidden="1">"c13435"</definedName>
    <definedName name="IQ_OTHER_LOANS_TOTAL_FDIC" hidden="1">"c6432"</definedName>
    <definedName name="IQ_OTHER_LOANS_TOTAL_LOANS" hidden="1">"c15716"</definedName>
    <definedName name="IQ_OTHER_LOANS_TRADING_DOM_FFIEC" hidden="1">"c12936"</definedName>
    <definedName name="IQ_OTHER_LONG_TERM" hidden="1">"c946"</definedName>
    <definedName name="IQ_OTHER_LT_ASSETS" hidden="1">"c946"</definedName>
    <definedName name="IQ_OTHER_LT_ASSETS_BNK" hidden="1">"c947"</definedName>
    <definedName name="IQ_OTHER_LT_ASSETS_BR" hidden="1">"c948"</definedName>
    <definedName name="IQ_OTHER_LT_ASSETS_CM"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MBS_AFS_AMORT_COST_FFIEC" hidden="1">"c20498"</definedName>
    <definedName name="IQ_OTHER_MBS_AFS_FAIR_VAL_FFIEC" hidden="1">"c20463"</definedName>
    <definedName name="IQ_OTHER_MBS_AVAIL_SALE_FFIEC" hidden="1">"c12801"</definedName>
    <definedName name="IQ_OTHER_MBS_EXCLUDING_BONDS_THRIFT" hidden="1">"c24832"</definedName>
    <definedName name="IQ_OTHER_MBS_FFIEC" hidden="1">"c12787"</definedName>
    <definedName name="IQ_OTHER_MBS_HTM_AMORT_COST_FFIEC" hidden="1">"c20446"</definedName>
    <definedName name="IQ_OTHER_MBS_HTM_FAIR_VAL_FFIEC" hidden="1">"c20481"</definedName>
    <definedName name="IQ_OTHER_MBS_ISSUED_FNMA_GNMA_TRADING_DOM_FFIEC" hidden="1">"c12922"</definedName>
    <definedName name="IQ_OTHER_MBS_ISSUED_FNMA_GNMA_TRADING_FFIEC" hidden="1">"c12817"</definedName>
    <definedName name="IQ_OTHER_MBS_THRIFT" hidden="1">"c24835"</definedName>
    <definedName name="IQ_OTHER_MBS_TRADING_DOM_FFIEC" hidden="1">"c12923"</definedName>
    <definedName name="IQ_OTHER_MBS_TRADING_FFIEC" hidden="1">"c12818"</definedName>
    <definedName name="IQ_OTHER_MINING_REVENUE_COAL" hidden="1">"c15931"</definedName>
    <definedName name="IQ_OTHER_NET" hidden="1">"c959"</definedName>
    <definedName name="IQ_OTHER_NO_NINT_INCOME_THRIFT" hidden="1">"c24780"</definedName>
    <definedName name="IQ_OTHER_NON_INT_ALLOCATIONS_FFIEC" hidden="1">"c13065"</definedName>
    <definedName name="IQ_OTHER_NON_INT_EXP" hidden="1">"c953"</definedName>
    <definedName name="IQ_OTHER_NON_INT_EXP_FDIC" hidden="1">"c6578"</definedName>
    <definedName name="IQ_OTHER_NON_INT_EXP_FFIEC" hidden="1">"c13027"</definedName>
    <definedName name="IQ_OTHER_NON_INT_EXP_THRIFT" hidden="1">"c24792"</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INT_INC_OPERATING_INC_FFIEC" hidden="1">"c13392"</definedName>
    <definedName name="IQ_OTHER_NON_INT_INCOME_ADJUSTED_OPERATING_INCOME_THRIFT" hidden="1">"c25691"</definedName>
    <definedName name="IQ_OTHER_NON_INT_INCOME_FFIEC" hidden="1">"c13016"</definedName>
    <definedName name="IQ_OTHER_NON_OPER_EXP" hidden="1">"c956"</definedName>
    <definedName name="IQ_OTHER_NON_OPER_EXP_BR" hidden="1">"c957"</definedName>
    <definedName name="IQ_OTHER_NON_OPER_EXP_CM"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CM"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NONFARM_NONRES_GROSS_LOANS_FFIEC" hidden="1">"c13407"</definedName>
    <definedName name="IQ_OTHER_NONFARM_NONRES_LL_REC_DOM_FFIEC" hidden="1">"c12907"</definedName>
    <definedName name="IQ_OTHER_NONFARM_NONRES_RISK_BASED_FFIEC" hidden="1">"c13428"</definedName>
    <definedName name="IQ_OTHER_NONINTEREST_INC_FOREIGN_FFIEC" hidden="1">"c15380"</definedName>
    <definedName name="IQ_OTHER_NOTES_BONDS_ALL_OTHER_ACCOUNTS_THRIFT" hidden="1">"c25432"</definedName>
    <definedName name="IQ_OTHER_NOTES_BONDS_EMPLOYEE_BENEFIT_RETIREMENT_RELATED_ACCOUNTS_THRIFT" hidden="1">"c25416"</definedName>
    <definedName name="IQ_OTHER_NOTES_BONDS_PERSONAL_TRUST_AGENCY_INV_MANAGEMENT_ACCOUNTS_THRIFT" hidden="1">"c25400"</definedName>
    <definedName name="IQ_OTHER_OFF_BS_ITEMS_FFIEC" hidden="1">"c13126"</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CM"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CM"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CM"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CM"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ERATING_EXPENSES_ADJUSTED_OPERATING_INCOME_THRIFT" hidden="1">"c25687"</definedName>
    <definedName name="IQ_OTHER_OPERATING_EXPENSES_AVG_ASSETS_THRIFT" hidden="1">"c25664"</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OVER_TOTAL" hidden="1">"c13770"</definedName>
    <definedName name="IQ_OTHER_PASS_THROUGH_THRIFT" hidden="1">"c24831"</definedName>
    <definedName name="IQ_OTHER_PC_WRITTEN" hidden="1">"c1006"</definedName>
    <definedName name="IQ_OTHER_PML_SECURED_FIRST_LIEN_1_4_DWELLING_UNITS_DUE_30_89_THRIFT" hidden="1">"c25242"</definedName>
    <definedName name="IQ_OTHER_PML_SECURED_FIRST_LIEN_1_4_DWELLING_UNITS_DUE_90_THRIFT" hidden="1">"c25263"</definedName>
    <definedName name="IQ_OTHER_PML_SECURED_FIRST_LIEN_1_4_DWELLING_UNITS_NON_ACCRUAL_THRIFT" hidden="1">"c25284"</definedName>
    <definedName name="IQ_OTHER_PML_SECURED_JUNIOR_LIEN_1_4_DWELLING_UNITS_DUE_30_89_THRIFT" hidden="1">"c25243"</definedName>
    <definedName name="IQ_OTHER_PML_SECURED_JUNIOR_LIEN_1_4_DWELLING_UNITS_DUE_90_THRIFT" hidden="1">"c25264"</definedName>
    <definedName name="IQ_OTHER_PML_SECURED_JUNIOR_LIEN_1_4_DWELLING_UNITS_NON_ACCRUAL_THRIFT" hidden="1">"c25285"</definedName>
    <definedName name="IQ_OTHER_PROP" hidden="1">"c8764"</definedName>
    <definedName name="IQ_OTHER_PROP_OPERATING_EXPENSE" hidden="1">"c16043"</definedName>
    <definedName name="IQ_OTHER_PROP_OPERATING_REVENUE" hidden="1">"c16027"</definedName>
    <definedName name="IQ_OTHER_RE_OWNED_FDIC" hidden="1">"c6330"</definedName>
    <definedName name="IQ_OTHER_REAL_ESTATE" hidden="1">"c1007"</definedName>
    <definedName name="IQ_OTHER_RECEIV" hidden="1">"c1008"</definedName>
    <definedName name="IQ_OTHER_RECEIV_INS" hidden="1">"c1009"</definedName>
    <definedName name="IQ_OTHER_RENTAL" hidden="1">"c26971"</definedName>
    <definedName name="IQ_OTHER_REPOSSESSED_ASSETS_ADJUSTED_NCOS_TOTAL_THRIFT" hidden="1">"c25224"</definedName>
    <definedName name="IQ_OTHER_REPOSSESSED_ASSETS_GVA_CHARGE_OFFS_THRIFT" hidden="1">"c25139"</definedName>
    <definedName name="IQ_OTHER_REPOSSESSED_ASSETS_SVA_PROVISIONS_TRANSFERS_FROM_GVA_TOTAL_THRIFT" hidden="1">"c25193"</definedName>
    <definedName name="IQ_OTHER_RESIDUAL_INTERESTS_THRIFT" hidden="1">"c24940"</definedName>
    <definedName name="IQ_OTHER_REV" hidden="1">"c1010"</definedName>
    <definedName name="IQ_OTHER_REV_BR" hidden="1">"c1011"</definedName>
    <definedName name="IQ_OTHER_REV_CM"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CM"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"c1010"</definedName>
    <definedName name="IQ_OTHER_REVOL_CREDIT_CONSUMER_LOANS_FFIEC" hidden="1">"c12823"</definedName>
    <definedName name="IQ_OTHER_REVOLVING_CREDIT_LL_REC_FFIEC" hidden="1">"c12890"</definedName>
    <definedName name="IQ_OTHER_REVOLVING_CREDIT_LOANS_TRADING_DOM_FFIEC" hidden="1">"c12934"</definedName>
    <definedName name="IQ_OTHER_ROOMS" hidden="1">"c8788"</definedName>
    <definedName name="IQ_OTHER_SAVINGS_DEPOSITS_FDIC" hidden="1">"c6554"</definedName>
    <definedName name="IQ_OTHER_SAVINGS_DEPOSITS_NON_TRANS_ACCTS_FFIEC" hidden="1">"c15331"</definedName>
    <definedName name="IQ_OTHER_SECURITIES_QUARTERLY_AVG_FFIEC" hidden="1">"c15472"</definedName>
    <definedName name="IQ_OTHER_SERVICE_CHARGES_COMM_FEE_DOM_FFIEC" hidden="1">"c25822"</definedName>
    <definedName name="IQ_OTHER_SHORT_TERM_OBLIGATIONS_ALL_OTHER_ACCOUNTS_THRIFT" hidden="1">"c25431"</definedName>
    <definedName name="IQ_OTHER_SHORT_TERM_OBLIGATIONS_EMPLOYEE_BENEFIT_RETIREMENT_RELATED_ACCOUNTS_THRIFT" hidden="1">"c25415"</definedName>
    <definedName name="IQ_OTHER_SHORT_TERM_OBLIGATIONS_PERSONAL_TRUST_AGENCY_INV_MANAGEMENT_ACCOUNTS_THRIFT" hidden="1">"c25399"</definedName>
    <definedName name="IQ_OTHER_SQ_FT" hidden="1">"c8780"</definedName>
    <definedName name="IQ_OTHER_STRIKE_PRICE_GRANTED" hidden="1">"c2692"</definedName>
    <definedName name="IQ_OTHER_TAX_EQUIVALENT_ADJUSTMENTS_FFIEC" hidden="1">"c13855"</definedName>
    <definedName name="IQ_OTHER_TEMP_IMPAIR_LOSS_HTM_AFS_FFIEC" hidden="1">"c25845"</definedName>
    <definedName name="IQ_OTHER_TIME_DEPOSITS_THRIFT" hidden="1">"c25569"</definedName>
    <definedName name="IQ_OTHER_TRADING_ASSETS_FAIR_VALUE_TOT_FFIEC" hidden="1">"c15404"</definedName>
    <definedName name="IQ_OTHER_TRADING_ASSETS_FFIEC" hidden="1">"c12826"</definedName>
    <definedName name="IQ_OTHER_TRADING_ASSETS_LEVEL_1_FFIEC" hidden="1">"c15426"</definedName>
    <definedName name="IQ_OTHER_TRADING_ASSETS_LEVEL_2_FFIEC" hidden="1">"c15439"</definedName>
    <definedName name="IQ_OTHER_TRADING_ASSETS_LEVEL_3_FFIEC" hidden="1">"c15452"</definedName>
    <definedName name="IQ_OTHER_TRADING_ASSETS_TOTAL_FFIEC" hidden="1">"c12937"</definedName>
    <definedName name="IQ_OTHER_TRADING_LIABILITIES_FAIR_VALUE_TOT_FFIEC" hidden="1">"c15408"</definedName>
    <definedName name="IQ_OTHER_TRADING_LIABILITIES_FFIEC" hidden="1">"c12860"</definedName>
    <definedName name="IQ_OTHER_TRADING_LIABILITIES_LEVEL_1_FFIEC" hidden="1">"c15430"</definedName>
    <definedName name="IQ_OTHER_TRADING_LIABILITIES_LEVEL_2_FFIEC" hidden="1">"c15443"</definedName>
    <definedName name="IQ_OTHER_TRADING_LIABILITIES_LEVEL_3_FFIEC" hidden="1">"c15456"</definedName>
    <definedName name="IQ_OTHER_TRANSACTIONS_FDIC" hidden="1">"c6504"</definedName>
    <definedName name="IQ_OTHER_UNDRAWN" hidden="1">"c2522"</definedName>
    <definedName name="IQ_OTHER_UNITS" hidden="1">"c8772"</definedName>
    <definedName name="IQ_OTHER_UNUSED_COMMITMENTS_FDIC" hidden="1">"c6530"</definedName>
    <definedName name="IQ_OTHER_UNUSED_FFIEC" hidden="1">"c13248"</definedName>
    <definedName name="IQ_OTHER_UNUSUAL" hidden="1">"c1488"</definedName>
    <definedName name="IQ_OTHER_UNUSUAL_BNK" hidden="1">"c1560"</definedName>
    <definedName name="IQ_OTHER_UNUSUAL_BR" hidden="1">"c1561"</definedName>
    <definedName name="IQ_OTHER_UNUSUAL_CM"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CM"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SUPPLE" hidden="1">"c13816"</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ALANCE_CONTRACTUAL_PURCHASED_CREDIT_IMPAIRED_LOANS_THRIFT" hidden="1">"c25237"</definedName>
    <definedName name="IQ_OUTSTANDING_BS_DATE" hidden="1">"c1022"</definedName>
    <definedName name="IQ_OUTSTANDING_CHECKS_DRAWN_AGAINST_FHLBS_FEDERAL_RESERVE_BANKS_THRIFT" hidden="1">"c25571"</definedName>
    <definedName name="IQ_OUTSTANDING_COMMITMENTS_LOANS_CLOSED_LOANS_IN_PROCESS_MORTGAGE_CONSTRUCTION_LOANS_THRIFT" hidden="1">"c25591"</definedName>
    <definedName name="IQ_OUTSTANDING_COMMITMENTS_LOANS_CLOSED_LOANS_IN_PROCESS_NON_MORTGAGE_LOANS_THRIFT" hidden="1">"c25593"</definedName>
    <definedName name="IQ_OUTSTANDING_COMMITMENTS_LOANS_CLOSED_LOANS_IN_PROCESS_OTHER_MORTGAGE_LOANS_THRIFT" hidden="1">"c25592"</definedName>
    <definedName name="IQ_OUTSTANDING_COMMITMENTS_ORIGINATE_MORTGAGE_LOANS_SECURED_1_4_DWELLING_UNITS_THRIFT" hidden="1">"c25595"</definedName>
    <definedName name="IQ_OUTSTANDING_COMMITMENTS_ORIGINATE_MORTGAGE_LOANS_SECURED_ALL_OTHER_RE_THRIFT" hidden="1">"c25597"</definedName>
    <definedName name="IQ_OUTSTANDING_COMMITMENTS_ORIGINATE_MORTGAGE_LOANS_SECURED_MULTIFAMILY_5_MORE_DWELLING_UNITS_THRIFT" hidden="1">"c25596"</definedName>
    <definedName name="IQ_OUTSTANDING_COMMITMENTS_ORIGINATE_MORTGAGE_LOANS_SECURED_RE_THRIFT" hidden="1">"c25594"</definedName>
    <definedName name="IQ_OUTSTANDING_COMMITMENTS_ORIGINATE_NON_MORTGAGE_LOANS_THRIFT" hidden="1">"c25598"</definedName>
    <definedName name="IQ_OUTSTANDING_COMMITMENTS_PURCHASE_INV_SEC_THRIFT" hidden="1">"c25603"</definedName>
    <definedName name="IQ_OUTSTANDING_COMMITMENTS_PURCHASE_LOANS_THRIFT" hidden="1">"c25599"</definedName>
    <definedName name="IQ_OUTSTANDING_COMMITMENTS_PURCHASE_MORTGAGE_BACKED_SEC_THRIFT" hidden="1">"c25601"</definedName>
    <definedName name="IQ_OUTSTANDING_COMMITMENTS_SELL_INV_SEC_THRIFT" hidden="1">"c25604"</definedName>
    <definedName name="IQ_OUTSTANDING_COMMITMENTS_SELL_LOANS_THRIFT" hidden="1">"c25600"</definedName>
    <definedName name="IQ_OUTSTANDING_COMMITMENTS_SELL_MORTGAGE_BACKED_SEC_THRIFT" hidden="1">"c25602"</definedName>
    <definedName name="IQ_OUTSTANDING_COMMITMENTS_UNDISBURSED_BALANCE_LOANS_CLOSED_THRIFT" hidden="1">"c25590"</definedName>
    <definedName name="IQ_OUTSTANDING_FILING_DATE" hidden="1">"c1023"</definedName>
    <definedName name="IQ_OVER_FIFETEEN_YEAR_MORTGAGE_PASS_THROUGHS_FDIC" hidden="1">"c6416"</definedName>
    <definedName name="IQ_OVER_FIFTEEN_YEAR_FIXED_AND_FLOATING_RATE_FDIC" hidden="1">"c6424"</definedName>
    <definedName name="IQ_OVER_THREE_YEARS_FDIC" hidden="1">"c6418"</definedName>
    <definedName name="IQ_OVERHEAD_EXP_ADJUSTED_OPERATING_INCOME_THRIFT" hidden="1">"c25684"</definedName>
    <definedName name="IQ_OVERHEAD_EXP_AVG_ASSETS_FFIEC" hidden="1">"c13361"</definedName>
    <definedName name="IQ_OVERHEAD_EXP_AVG_ASSETS_THRIFT" hidden="1">"c25652"</definedName>
    <definedName name="IQ_OVERHEAD_EXP_REV_FFIEC" hidden="1">"c13494"</definedName>
    <definedName name="IQ_OVERHEAD_EXP_REVENUES_THRIFT" hidden="1">"c25683"</definedName>
    <definedName name="IQ_OVERHEAD_LESS_NON_INT_INCOME_ADJUSTED_OPERATING_INCOME_THRIFT" hidden="1">"c25692"</definedName>
    <definedName name="IQ_OVERHEAD_LESS_NON_INT_INCOME_AVG_ASSETS_THRIFT" hidden="1">"c25665"</definedName>
    <definedName name="IQ_OVERHEAD_NON_INT_INC_AVG_ASSETS_FFIEC" hidden="1">"c13374"</definedName>
    <definedName name="IQ_OVERHEAD_NON_INT_OPERATING_INC_FFIEC" hidden="1">"c13393"</definedName>
    <definedName name="IQ_OVERHEAD_OPERATING_INC_FFIEC" hidden="1">"c13378"</definedName>
    <definedName name="IQ_OWNED_RESERVES_COAL" hidden="1">"c15916"</definedName>
    <definedName name="IQ_OWNED_RESERVES_TO_TOTAL_RESERVES_COAL" hidden="1">"c15957"</definedName>
    <definedName name="IQ_OWNER_OCCUPIED_GROSS_LOANS_FFIEC" hidden="1">"c13406"</definedName>
    <definedName name="IQ_OWNER_OCCUPIED_LOANS_RISK_BASED_FFIEC" hidden="1">"c13427"</definedName>
    <definedName name="IQ_OWNER_OCCUPIED_NONFARM_NONRES_LL_REC_DOM_FFIEC" hidden="1">"c12906"</definedName>
    <definedName name="IQ_OWNERSHIP" hidden="1">"c2160"</definedName>
    <definedName name="IQ_PART_TIME" hidden="1">"c1024"</definedName>
    <definedName name="IQ_PARTICIPATION_POOLS_RESIDENTIAL_MORTGAGES_FDIC" hidden="1">"c6403"</definedName>
    <definedName name="IQ_PARTICIPATIONS_ACCEPTANCES_FFIEC" hidden="1">"c13254"</definedName>
    <definedName name="IQ_PARTNERSHIP_INC_RE" hidden="1">"c12039"</definedName>
    <definedName name="IQ_PASS_THROUGH_FNMA_GNMA_TRADING_FFIEC" hidden="1">"c12816"</definedName>
    <definedName name="IQ_PASS_THROUGH_MBS_THRIFT" hidden="1">"c24829"</definedName>
    <definedName name="IQ_PASSBOOK_ACCOUNTS_INC_NONDEMAND_ESCROWS_THRIFT" hidden="1">"c25000"</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ST_DUE_ALLOW_GROSS_LOANS_FFIEC" hidden="1">"c13416"</definedName>
    <definedName name="IQ_PAST_DUE_LOANS_GROSS_LOANS_THRIFT" hidden="1">"c25737"</definedName>
    <definedName name="IQ_PAY_ACCRUED" hidden="1">"c8"</definedName>
    <definedName name="IQ_PAYOUT_RATIO" hidden="1">"c1900"</definedName>
    <definedName name="IQ_PBV" hidden="1">"c1025"</definedName>
    <definedName name="IQ_PBV_AVG" hidden="1">"c1026"</definedName>
    <definedName name="IQ_PBV_FWD" hidden="1">"c15235"</definedName>
    <definedName name="IQ_PBV_FWD_CIQ" hidden="1">"c15236"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CIQ" hidden="1">"c4042"</definedName>
    <definedName name="IQ_PE_EXCL_FWD_REUT" hidden="1">"c4049"</definedName>
    <definedName name="IQ_PE_EXCL_FWD_THOM" hidden="1">"c4056"</definedName>
    <definedName name="IQ_PE_FUND_DATE_EST" hidden="1">"c19174"</definedName>
    <definedName name="IQ_PE_FUND_DATE_MONTH" hidden="1">"c19172"</definedName>
    <definedName name="IQ_PE_FUND_DATE_YEAR" hidden="1">"c18925"</definedName>
    <definedName name="IQ_PE_FUND_FAMILIES" hidden="1">"c18917"</definedName>
    <definedName name="IQ_PE_FUND_FAMILIES_ID" hidden="1">"c18918"</definedName>
    <definedName name="IQ_PE_FUND_FAMILIES_REL" hidden="1">"c18919"</definedName>
    <definedName name="IQ_PE_FUND_ID" hidden="1">"c18923"</definedName>
    <definedName name="IQ_PE_FUND_INVEST_AMOUNT" hidden="1">"c18933"</definedName>
    <definedName name="IQ_PE_FUND_INVEST_DATE_MONTH" hidden="1">"c19173"</definedName>
    <definedName name="IQ_PE_FUND_INVEST_DATE_YEAR" hidden="1">"c18934"</definedName>
    <definedName name="IQ_PE_FUND_NAME" hidden="1">"c18922"</definedName>
    <definedName name="IQ_PE_FUND_SIZE" hidden="1">"c18924"</definedName>
    <definedName name="IQ_PE_FUND_STAGE" hidden="1">"c18928"</definedName>
    <definedName name="IQ_PE_FUND_TARGET_MAX" hidden="1">"c18927"</definedName>
    <definedName name="IQ_PE_FUND_TARGET_MIN" hidden="1">"c18926"</definedName>
    <definedName name="IQ_PE_FUND_TRANSACTION_COMMENTS" hidden="1">"c18931"</definedName>
    <definedName name="IQ_PE_NORMALIZED" hidden="1">"c2207"</definedName>
    <definedName name="IQ_PE_RATIO" hidden="1">"c1610"</definedName>
    <definedName name="IQ_PEG_FWD" hidden="1">"c1863"</definedName>
    <definedName name="IQ_PEG_FWD_CIQ" hidden="1">"c4045"</definedName>
    <definedName name="IQ_PEG_FWD_REUT" hidden="1">"c4052"</definedName>
    <definedName name="IQ_PEG_FWD_THOM" hidden="1">"c4059"</definedName>
    <definedName name="IQ_PENETRATION_BASIC_CABLE" hidden="1">"c16204"</definedName>
    <definedName name="IQ_PENETRATION_BBAND" hidden="1">"c2852"</definedName>
    <definedName name="IQ_PENETRATION_BBAND_THP" hidden="1">"c2851"</definedName>
    <definedName name="IQ_PENETRATION_PHONE" hidden="1">"c2853"</definedName>
    <definedName name="IQ_PENETRATION_VIDEO" hidden="1">"c2850"</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ASSETS_TEST_THRIFT" hidden="1">"c25587"</definedName>
    <definedName name="IQ_PERCENT_CHANGE_EST_5YR_GROWTH_RATE_12MONTHS" hidden="1">"c1852"</definedName>
    <definedName name="IQ_PERCENT_CHANGE_EST_5YR_GROWTH_RATE_12MONTHS_CIQ" hidden="1">"c3790"</definedName>
    <definedName name="IQ_PERCENT_CHANGE_EST_5YR_GROWTH_RATE_12MONTHS_THOM" hidden="1">"c5269"</definedName>
    <definedName name="IQ_PERCENT_CHANGE_EST_5YR_GROWTH_RATE_18MONTHS" hidden="1">"c1853"</definedName>
    <definedName name="IQ_PERCENT_CHANGE_EST_5YR_GROWTH_RATE_18MONTHS_CIQ" hidden="1">"c3791"</definedName>
    <definedName name="IQ_PERCENT_CHANGE_EST_5YR_GROWTH_RATE_18MONTHS_THOM" hidden="1">"c5270"</definedName>
    <definedName name="IQ_PERCENT_CHANGE_EST_5YR_GROWTH_RATE_3MONTHS" hidden="1">"c1849"</definedName>
    <definedName name="IQ_PERCENT_CHANGE_EST_5YR_GROWTH_RATE_3MONTHS_CIQ" hidden="1">"c3787"</definedName>
    <definedName name="IQ_PERCENT_CHANGE_EST_5YR_GROWTH_RATE_3MONTHS_THOM" hidden="1">"c5266"</definedName>
    <definedName name="IQ_PERCENT_CHANGE_EST_5YR_GROWTH_RATE_6MONTHS" hidden="1">"c1850"</definedName>
    <definedName name="IQ_PERCENT_CHANGE_EST_5YR_GROWTH_RATE_6MONTHS_CIQ" hidden="1">"c3788"</definedName>
    <definedName name="IQ_PERCENT_CHANGE_EST_5YR_GROWTH_RATE_6MONTHS_THOM" hidden="1">"c5267"</definedName>
    <definedName name="IQ_PERCENT_CHANGE_EST_5YR_GROWTH_RATE_9MONTHS" hidden="1">"c1851"</definedName>
    <definedName name="IQ_PERCENT_CHANGE_EST_5YR_GROWTH_RATE_9MONTHS_CIQ" hidden="1">"c3789"</definedName>
    <definedName name="IQ_PERCENT_CHANGE_EST_5YR_GROWTH_RATE_9MONTHS_THOM" hidden="1">"c5268"</definedName>
    <definedName name="IQ_PERCENT_CHANGE_EST_5YR_GROWTH_RATE_DAY" hidden="1">"c1846"</definedName>
    <definedName name="IQ_PERCENT_CHANGE_EST_5YR_GROWTH_RATE_DAY_CIQ" hidden="1">"c3785"</definedName>
    <definedName name="IQ_PERCENT_CHANGE_EST_5YR_GROWTH_RATE_DAY_THOM" hidden="1">"c5264"</definedName>
    <definedName name="IQ_PERCENT_CHANGE_EST_5YR_GROWTH_RATE_MONTH" hidden="1">"c1848"</definedName>
    <definedName name="IQ_PERCENT_CHANGE_EST_5YR_GROWTH_RATE_MONTH_CIQ" hidden="1">"c3786"</definedName>
    <definedName name="IQ_PERCENT_CHANGE_EST_5YR_GROWTH_RATE_MONTH_THOM" hidden="1">"c5265"</definedName>
    <definedName name="IQ_PERCENT_CHANGE_EST_5YR_GROWTH_RATE_WEEK" hidden="1">"c1847"</definedName>
    <definedName name="IQ_PERCENT_CHANGE_EST_5YR_GROWTH_RATE_WEEK_CIQ" hidden="1">"c3797"</definedName>
    <definedName name="IQ_PERCENT_CHANGE_EST_5YR_GROWTH_RATE_WEEK_THOM" hidden="1">"c5277"</definedName>
    <definedName name="IQ_PERCENT_CHANGE_EST_CFPS_12MONTHS" hidden="1">"c1812"</definedName>
    <definedName name="IQ_PERCENT_CHANGE_EST_CFPS_12MONTHS_CIQ" hidden="1">"c3755"</definedName>
    <definedName name="IQ_PERCENT_CHANGE_EST_CFPS_12MONTHS_THOM" hidden="1">"c5234"</definedName>
    <definedName name="IQ_PERCENT_CHANGE_EST_CFPS_18MONTHS" hidden="1">"c1813"</definedName>
    <definedName name="IQ_PERCENT_CHANGE_EST_CFPS_18MONTHS_CIQ" hidden="1">"c3756"</definedName>
    <definedName name="IQ_PERCENT_CHANGE_EST_CFPS_18MONTHS_THOM" hidden="1">"c5235"</definedName>
    <definedName name="IQ_PERCENT_CHANGE_EST_CFPS_3MONTHS" hidden="1">"c1809"</definedName>
    <definedName name="IQ_PERCENT_CHANGE_EST_CFPS_3MONTHS_CIQ" hidden="1">"c3752"</definedName>
    <definedName name="IQ_PERCENT_CHANGE_EST_CFPS_3MONTHS_THOM" hidden="1">"c5231"</definedName>
    <definedName name="IQ_PERCENT_CHANGE_EST_CFPS_6MONTHS" hidden="1">"c1810"</definedName>
    <definedName name="IQ_PERCENT_CHANGE_EST_CFPS_6MONTHS_CIQ" hidden="1">"c3753"</definedName>
    <definedName name="IQ_PERCENT_CHANGE_EST_CFPS_6MONTHS_THOM" hidden="1">"c5232"</definedName>
    <definedName name="IQ_PERCENT_CHANGE_EST_CFPS_9MONTHS" hidden="1">"c1811"</definedName>
    <definedName name="IQ_PERCENT_CHANGE_EST_CFPS_9MONTHS_CIQ" hidden="1">"c3754"</definedName>
    <definedName name="IQ_PERCENT_CHANGE_EST_CFPS_9MONTHS_THOM" hidden="1">"c5233"</definedName>
    <definedName name="IQ_PERCENT_CHANGE_EST_CFPS_DAY" hidden="1">"c1806"</definedName>
    <definedName name="IQ_PERCENT_CHANGE_EST_CFPS_DAY_CIQ" hidden="1">"c3750"</definedName>
    <definedName name="IQ_PERCENT_CHANGE_EST_CFPS_DAY_THOM" hidden="1">"c5229"</definedName>
    <definedName name="IQ_PERCENT_CHANGE_EST_CFPS_MONTH" hidden="1">"c1808"</definedName>
    <definedName name="IQ_PERCENT_CHANGE_EST_CFPS_MONTH_CIQ" hidden="1">"c3751"</definedName>
    <definedName name="IQ_PERCENT_CHANGE_EST_CFPS_MONTH_THOM" hidden="1">"c5230"</definedName>
    <definedName name="IQ_PERCENT_CHANGE_EST_CFPS_WEEK" hidden="1">"c1807"</definedName>
    <definedName name="IQ_PERCENT_CHANGE_EST_CFPS_WEEK_CIQ" hidden="1">"c3793"</definedName>
    <definedName name="IQ_PERCENT_CHANGE_EST_CFPS_WEEK_THOM" hidden="1">"c5272"</definedName>
    <definedName name="IQ_PERCENT_CHANGE_EST_DPS_12MONTHS" hidden="1">"c1820"</definedName>
    <definedName name="IQ_PERCENT_CHANGE_EST_DPS_12MONTHS_CIQ" hidden="1">"c3762"</definedName>
    <definedName name="IQ_PERCENT_CHANGE_EST_DPS_12MONTHS_THOM" hidden="1">"c5241"</definedName>
    <definedName name="IQ_PERCENT_CHANGE_EST_DPS_18MONTHS" hidden="1">"c1821"</definedName>
    <definedName name="IQ_PERCENT_CHANGE_EST_DPS_18MONTHS_CIQ" hidden="1">"c3763"</definedName>
    <definedName name="IQ_PERCENT_CHANGE_EST_DPS_18MONTHS_THOM" hidden="1">"c5242"</definedName>
    <definedName name="IQ_PERCENT_CHANGE_EST_DPS_3MONTHS" hidden="1">"c1817"</definedName>
    <definedName name="IQ_PERCENT_CHANGE_EST_DPS_3MONTHS_CIQ" hidden="1">"c3759"</definedName>
    <definedName name="IQ_PERCENT_CHANGE_EST_DPS_3MONTHS_THOM" hidden="1">"c5238"</definedName>
    <definedName name="IQ_PERCENT_CHANGE_EST_DPS_6MONTHS" hidden="1">"c1818"</definedName>
    <definedName name="IQ_PERCENT_CHANGE_EST_DPS_6MONTHS_CIQ" hidden="1">"c3760"</definedName>
    <definedName name="IQ_PERCENT_CHANGE_EST_DPS_6MONTHS_THOM" hidden="1">"c5239"</definedName>
    <definedName name="IQ_PERCENT_CHANGE_EST_DPS_9MONTHS" hidden="1">"c1819"</definedName>
    <definedName name="IQ_PERCENT_CHANGE_EST_DPS_9MONTHS_CIQ" hidden="1">"c3761"</definedName>
    <definedName name="IQ_PERCENT_CHANGE_EST_DPS_9MONTHS_THOM" hidden="1">"c5240"</definedName>
    <definedName name="IQ_PERCENT_CHANGE_EST_DPS_DAY" hidden="1">"c1814"</definedName>
    <definedName name="IQ_PERCENT_CHANGE_EST_DPS_DAY_CIQ" hidden="1">"c3757"</definedName>
    <definedName name="IQ_PERCENT_CHANGE_EST_DPS_DAY_THOM" hidden="1">"c5236"</definedName>
    <definedName name="IQ_PERCENT_CHANGE_EST_DPS_MONTH" hidden="1">"c1816"</definedName>
    <definedName name="IQ_PERCENT_CHANGE_EST_DPS_MONTH_CIQ" hidden="1">"c3758"</definedName>
    <definedName name="IQ_PERCENT_CHANGE_EST_DPS_MONTH_THOM" hidden="1">"c5237"</definedName>
    <definedName name="IQ_PERCENT_CHANGE_EST_DPS_WEEK" hidden="1">"c1815"</definedName>
    <definedName name="IQ_PERCENT_CHANGE_EST_DPS_WEEK_CIQ" hidden="1">"c3794"</definedName>
    <definedName name="IQ_PERCENT_CHANGE_EST_DPS_WEEK_THOM" hidden="1">"c5273"</definedName>
    <definedName name="IQ_PERCENT_CHANGE_EST_EBITDA_12MONTHS" hidden="1">"c1804"</definedName>
    <definedName name="IQ_PERCENT_CHANGE_EST_EBITDA_12MONTHS_CIQ" hidden="1">"c3748"</definedName>
    <definedName name="IQ_PERCENT_CHANGE_EST_EBITDA_12MONTHS_THOM" hidden="1">"c5227"</definedName>
    <definedName name="IQ_PERCENT_CHANGE_EST_EBITDA_18MONTHS" hidden="1">"c1805"</definedName>
    <definedName name="IQ_PERCENT_CHANGE_EST_EBITDA_18MONTHS_CIQ" hidden="1">"c3749"</definedName>
    <definedName name="IQ_PERCENT_CHANGE_EST_EBITDA_18MONTHS_THOM" hidden="1">"c5228"</definedName>
    <definedName name="IQ_PERCENT_CHANGE_EST_EBITDA_3MONTHS" hidden="1">"c1801"</definedName>
    <definedName name="IQ_PERCENT_CHANGE_EST_EBITDA_3MONTHS_CIQ" hidden="1">"c3745"</definedName>
    <definedName name="IQ_PERCENT_CHANGE_EST_EBITDA_3MONTHS_THOM" hidden="1">"c5224"</definedName>
    <definedName name="IQ_PERCENT_CHANGE_EST_EBITDA_6MONTHS" hidden="1">"c1802"</definedName>
    <definedName name="IQ_PERCENT_CHANGE_EST_EBITDA_6MONTHS_CIQ" hidden="1">"c3746"</definedName>
    <definedName name="IQ_PERCENT_CHANGE_EST_EBITDA_6MONTHS_THOM" hidden="1">"c5225"</definedName>
    <definedName name="IQ_PERCENT_CHANGE_EST_EBITDA_9MONTHS" hidden="1">"c1803"</definedName>
    <definedName name="IQ_PERCENT_CHANGE_EST_EBITDA_9MONTHS_CIQ" hidden="1">"c3747"</definedName>
    <definedName name="IQ_PERCENT_CHANGE_EST_EBITDA_9MONTHS_THOM" hidden="1">"c5226"</definedName>
    <definedName name="IQ_PERCENT_CHANGE_EST_EBITDA_DAY" hidden="1">"c1798"</definedName>
    <definedName name="IQ_PERCENT_CHANGE_EST_EBITDA_DAY_CIQ" hidden="1">"c3743"</definedName>
    <definedName name="IQ_PERCENT_CHANGE_EST_EBITDA_DAY_THOM" hidden="1">"c5222"</definedName>
    <definedName name="IQ_PERCENT_CHANGE_EST_EBITDA_MONTH" hidden="1">"c1800"</definedName>
    <definedName name="IQ_PERCENT_CHANGE_EST_EBITDA_MONTH_CIQ" hidden="1">"c3744"</definedName>
    <definedName name="IQ_PERCENT_CHANGE_EST_EBITDA_MONTH_THOM" hidden="1">"c5223"</definedName>
    <definedName name="IQ_PERCENT_CHANGE_EST_EBITDA_WEEK" hidden="1">"c1799"</definedName>
    <definedName name="IQ_PERCENT_CHANGE_EST_EBITDA_WEEK_CIQ" hidden="1">"c3792"</definedName>
    <definedName name="IQ_PERCENT_CHANGE_EST_EBITDA_WEEK_THOM" hidden="1">"c5271"</definedName>
    <definedName name="IQ_PERCENT_CHANGE_EST_EPS_12MONTHS" hidden="1">"c1788"</definedName>
    <definedName name="IQ_PERCENT_CHANGE_EST_EPS_12MONTHS_CIQ" hidden="1">"c3733"</definedName>
    <definedName name="IQ_PERCENT_CHANGE_EST_EPS_12MONTHS_THOM" hidden="1">"c5212"</definedName>
    <definedName name="IQ_PERCENT_CHANGE_EST_EPS_18MONTHS" hidden="1">"c1789"</definedName>
    <definedName name="IQ_PERCENT_CHANGE_EST_EPS_18MONTHS_CIQ" hidden="1">"c3734"</definedName>
    <definedName name="IQ_PERCENT_CHANGE_EST_EPS_18MONTHS_THOM" hidden="1">"c5213"</definedName>
    <definedName name="IQ_PERCENT_CHANGE_EST_EPS_3MONTHS" hidden="1">"c1785"</definedName>
    <definedName name="IQ_PERCENT_CHANGE_EST_EPS_3MONTHS_CIQ" hidden="1">"c3730"</definedName>
    <definedName name="IQ_PERCENT_CHANGE_EST_EPS_3MONTHS_THOM" hidden="1">"c5209"</definedName>
    <definedName name="IQ_PERCENT_CHANGE_EST_EPS_6MONTHS" hidden="1">"c1786"</definedName>
    <definedName name="IQ_PERCENT_CHANGE_EST_EPS_6MONTHS_CIQ" hidden="1">"c3731"</definedName>
    <definedName name="IQ_PERCENT_CHANGE_EST_EPS_6MONTHS_THOM" hidden="1">"c5210"</definedName>
    <definedName name="IQ_PERCENT_CHANGE_EST_EPS_9MONTHS" hidden="1">"c1787"</definedName>
    <definedName name="IQ_PERCENT_CHANGE_EST_EPS_9MONTHS_CIQ" hidden="1">"c3732"</definedName>
    <definedName name="IQ_PERCENT_CHANGE_EST_EPS_9MONTHS_THOM" hidden="1">"c5211"</definedName>
    <definedName name="IQ_PERCENT_CHANGE_EST_EPS_DAY" hidden="1">"c1782"</definedName>
    <definedName name="IQ_PERCENT_CHANGE_EST_EPS_DAY_CIQ" hidden="1">"c3727"</definedName>
    <definedName name="IQ_PERCENT_CHANGE_EST_EPS_DAY_THOM" hidden="1">"c5206"</definedName>
    <definedName name="IQ_PERCENT_CHANGE_EST_EPS_MONTH" hidden="1">"c1784"</definedName>
    <definedName name="IQ_PERCENT_CHANGE_EST_EPS_MONTH_CIQ" hidden="1">"c3729"</definedName>
    <definedName name="IQ_PERCENT_CHANGE_EST_EPS_MONTH_THOM" hidden="1">"c5208"</definedName>
    <definedName name="IQ_PERCENT_CHANGE_EST_EPS_WEEK" hidden="1">"c1783"</definedName>
    <definedName name="IQ_PERCENT_CHANGE_EST_EPS_WEEK_CIQ" hidden="1">"c3728"</definedName>
    <definedName name="IQ_PERCENT_CHANGE_EST_EPS_WEEK_THOM" hidden="1">"c5207"</definedName>
    <definedName name="IQ_PERCENT_CHANGE_EST_FFO_12MONTHS" hidden="1">"c1828"</definedName>
    <definedName name="IQ_PERCENT_CHANGE_EST_FFO_12MONTHS_CIQ" hidden="1">"c3769"</definedName>
    <definedName name="IQ_PERCENT_CHANGE_EST_FFO_12MONTHS_CIQ_COL" hidden="1">"c11119"</definedName>
    <definedName name="IQ_PERCENT_CHANGE_EST_FFO_12MONTHS_REUT" hidden="1">"c3938"</definedName>
    <definedName name="IQ_PERCENT_CHANGE_EST_FFO_12MONTHS_THOM" hidden="1">"c5248"</definedName>
    <definedName name="IQ_PERCENT_CHANGE_EST_FFO_18MONTHS" hidden="1">"c1829"</definedName>
    <definedName name="IQ_PERCENT_CHANGE_EST_FFO_18MONTHS_CIQ" hidden="1">"c3770"</definedName>
    <definedName name="IQ_PERCENT_CHANGE_EST_FFO_18MONTHS_CIQ_COL" hidden="1">"c11120"</definedName>
    <definedName name="IQ_PERCENT_CHANGE_EST_FFO_18MONTHS_REUT" hidden="1">"c3939"</definedName>
    <definedName name="IQ_PERCENT_CHANGE_EST_FFO_18MONTHS_THOM" hidden="1">"c5249"</definedName>
    <definedName name="IQ_PERCENT_CHANGE_EST_FFO_3MONTHS" hidden="1">"c1825"</definedName>
    <definedName name="IQ_PERCENT_CHANGE_EST_FFO_3MONTHS_CIQ" hidden="1">"c3766"</definedName>
    <definedName name="IQ_PERCENT_CHANGE_EST_FFO_3MONTHS_CIQ_COL" hidden="1">"c11116"</definedName>
    <definedName name="IQ_PERCENT_CHANGE_EST_FFO_3MONTHS_REUT" hidden="1">"c3935"</definedName>
    <definedName name="IQ_PERCENT_CHANGE_EST_FFO_3MONTHS_THOM" hidden="1">"c5245"</definedName>
    <definedName name="IQ_PERCENT_CHANGE_EST_FFO_6MONTHS" hidden="1">"c1826"</definedName>
    <definedName name="IQ_PERCENT_CHANGE_EST_FFO_6MONTHS_CIQ" hidden="1">"c3767"</definedName>
    <definedName name="IQ_PERCENT_CHANGE_EST_FFO_6MONTHS_CIQ_COL" hidden="1">"c11117"</definedName>
    <definedName name="IQ_PERCENT_CHANGE_EST_FFO_6MONTHS_REUT" hidden="1">"c3936"</definedName>
    <definedName name="IQ_PERCENT_CHANGE_EST_FFO_6MONTHS_THOM" hidden="1">"c5246"</definedName>
    <definedName name="IQ_PERCENT_CHANGE_EST_FFO_9MONTHS" hidden="1">"c1827"</definedName>
    <definedName name="IQ_PERCENT_CHANGE_EST_FFO_9MONTHS_CIQ" hidden="1">"c3768"</definedName>
    <definedName name="IQ_PERCENT_CHANGE_EST_FFO_9MONTHS_CIQ_COL" hidden="1">"c11118"</definedName>
    <definedName name="IQ_PERCENT_CHANGE_EST_FFO_9MONTHS_REUT" hidden="1">"c3937"</definedName>
    <definedName name="IQ_PERCENT_CHANGE_EST_FFO_9MONTHS_THOM" hidden="1">"c5247"</definedName>
    <definedName name="IQ_PERCENT_CHANGE_EST_FFO_DAY" hidden="1">"c1822"</definedName>
    <definedName name="IQ_PERCENT_CHANGE_EST_FFO_DAY_CIQ" hidden="1">"c3764"</definedName>
    <definedName name="IQ_PERCENT_CHANGE_EST_FFO_DAY_CIQ_COL" hidden="1">"c11114"</definedName>
    <definedName name="IQ_PERCENT_CHANGE_EST_FFO_DAY_REUT" hidden="1">"c3933"</definedName>
    <definedName name="IQ_PERCENT_CHANGE_EST_FFO_DAY_THOM" hidden="1">"c5243"</definedName>
    <definedName name="IQ_PERCENT_CHANGE_EST_FFO_MONTH" hidden="1">"c1824"</definedName>
    <definedName name="IQ_PERCENT_CHANGE_EST_FFO_MONTH_CIQ" hidden="1">"c3765"</definedName>
    <definedName name="IQ_PERCENT_CHANGE_EST_FFO_MONTH_CIQ_COL" hidden="1">"c11115"</definedName>
    <definedName name="IQ_PERCENT_CHANGE_EST_FFO_MONTH_REUT" hidden="1">"c3934"</definedName>
    <definedName name="IQ_PERCENT_CHANGE_EST_FFO_MONTH_THOM" hidden="1">"c5244"</definedName>
    <definedName name="IQ_PERCENT_CHANGE_EST_FFO_SHARE_12MONTHS" hidden="1">"c1828"</definedName>
    <definedName name="IQ_PERCENT_CHANGE_EST_FFO_SHARE_12MONTHS_CIQ" hidden="1">"c3769"</definedName>
    <definedName name="IQ_PERCENT_CHANGE_EST_FFO_SHARE_18MONTHS" hidden="1">"c1829"</definedName>
    <definedName name="IQ_PERCENT_CHANGE_EST_FFO_SHARE_18MONTHS_CIQ" hidden="1">"c3770"</definedName>
    <definedName name="IQ_PERCENT_CHANGE_EST_FFO_SHARE_3MONTHS" hidden="1">"c1825"</definedName>
    <definedName name="IQ_PERCENT_CHANGE_EST_FFO_SHARE_3MONTHS_CIQ" hidden="1">"c3766"</definedName>
    <definedName name="IQ_PERCENT_CHANGE_EST_FFO_SHARE_6MONTHS" hidden="1">"c1826"</definedName>
    <definedName name="IQ_PERCENT_CHANGE_EST_FFO_SHARE_6MONTHS_CIQ" hidden="1">"c3767"</definedName>
    <definedName name="IQ_PERCENT_CHANGE_EST_FFO_SHARE_9MONTHS" hidden="1">"c1827"</definedName>
    <definedName name="IQ_PERCENT_CHANGE_EST_FFO_SHARE_9MONTHS_CIQ" hidden="1">"c3768"</definedName>
    <definedName name="IQ_PERCENT_CHANGE_EST_FFO_SHARE_DAY" hidden="1">"c1822"</definedName>
    <definedName name="IQ_PERCENT_CHANGE_EST_FFO_SHARE_DAY_CIQ" hidden="1">"c3764"</definedName>
    <definedName name="IQ_PERCENT_CHANGE_EST_FFO_SHARE_MONTH" hidden="1">"c1824"</definedName>
    <definedName name="IQ_PERCENT_CHANGE_EST_FFO_SHARE_MONTH_CIQ" hidden="1">"c3765"</definedName>
    <definedName name="IQ_PERCENT_CHANGE_EST_FFO_SHARE_WEEK" hidden="1">"c1823"</definedName>
    <definedName name="IQ_PERCENT_CHANGE_EST_FFO_SHARE_WEEK_CIQ" hidden="1">"c3795"</definedName>
    <definedName name="IQ_PERCENT_CHANGE_EST_FFO_WEEK" hidden="1">"c1823"</definedName>
    <definedName name="IQ_PERCENT_CHANGE_EST_FFO_WEEK_CIQ" hidden="1">"c3795"</definedName>
    <definedName name="IQ_PERCENT_CHANGE_EST_FFO_WEEK_CIQ_COL" hidden="1">"c11145"</definedName>
    <definedName name="IQ_PERCENT_CHANGE_EST_FFO_WEEK_REUT" hidden="1">"c3964"</definedName>
    <definedName name="IQ_PERCENT_CHANGE_EST_FFO_WEEK_THOM" hidden="1">"c5274"</definedName>
    <definedName name="IQ_PERCENT_CHANGE_EST_PRICE_TARGET_12MONTHS" hidden="1">"c1844"</definedName>
    <definedName name="IQ_PERCENT_CHANGE_EST_PRICE_TARGET_12MONTHS_CIQ" hidden="1">"c3783"</definedName>
    <definedName name="IQ_PERCENT_CHANGE_EST_PRICE_TARGET_12MONTHS_THOM" hidden="1">"c5262"</definedName>
    <definedName name="IQ_PERCENT_CHANGE_EST_PRICE_TARGET_18MONTHS" hidden="1">"c1845"</definedName>
    <definedName name="IQ_PERCENT_CHANGE_EST_PRICE_TARGET_18MONTHS_CIQ" hidden="1">"c3784"</definedName>
    <definedName name="IQ_PERCENT_CHANGE_EST_PRICE_TARGET_18MONTHS_THOM" hidden="1">"c5263"</definedName>
    <definedName name="IQ_PERCENT_CHANGE_EST_PRICE_TARGET_3MONTHS" hidden="1">"c1841"</definedName>
    <definedName name="IQ_PERCENT_CHANGE_EST_PRICE_TARGET_3MONTHS_CIQ" hidden="1">"c3780"</definedName>
    <definedName name="IQ_PERCENT_CHANGE_EST_PRICE_TARGET_3MONTHS_THOM" hidden="1">"c5259"</definedName>
    <definedName name="IQ_PERCENT_CHANGE_EST_PRICE_TARGET_6MONTHS" hidden="1">"c1842"</definedName>
    <definedName name="IQ_PERCENT_CHANGE_EST_PRICE_TARGET_6MONTHS_CIQ" hidden="1">"c3781"</definedName>
    <definedName name="IQ_PERCENT_CHANGE_EST_PRICE_TARGET_6MONTHS_THOM" hidden="1">"c5260"</definedName>
    <definedName name="IQ_PERCENT_CHANGE_EST_PRICE_TARGET_9MONTHS" hidden="1">"c1843"</definedName>
    <definedName name="IQ_PERCENT_CHANGE_EST_PRICE_TARGET_9MONTHS_CIQ" hidden="1">"c3782"</definedName>
    <definedName name="IQ_PERCENT_CHANGE_EST_PRICE_TARGET_9MONTHS_THOM" hidden="1">"c5261"</definedName>
    <definedName name="IQ_PERCENT_CHANGE_EST_PRICE_TARGET_DAY" hidden="1">"c1838"</definedName>
    <definedName name="IQ_PERCENT_CHANGE_EST_PRICE_TARGET_DAY_CIQ" hidden="1">"c3778"</definedName>
    <definedName name="IQ_PERCENT_CHANGE_EST_PRICE_TARGET_DAY_THOM" hidden="1">"c5257"</definedName>
    <definedName name="IQ_PERCENT_CHANGE_EST_PRICE_TARGET_MONTH" hidden="1">"c1840"</definedName>
    <definedName name="IQ_PERCENT_CHANGE_EST_PRICE_TARGET_MONTH_CIQ" hidden="1">"c3779"</definedName>
    <definedName name="IQ_PERCENT_CHANGE_EST_PRICE_TARGET_MONTH_THOM" hidden="1">"c5258"</definedName>
    <definedName name="IQ_PERCENT_CHANGE_EST_PRICE_TARGET_WEEK" hidden="1">"c1839"</definedName>
    <definedName name="IQ_PERCENT_CHANGE_EST_PRICE_TARGET_WEEK_CIQ" hidden="1">"c3798"</definedName>
    <definedName name="IQ_PERCENT_CHANGE_EST_PRICE_TARGET_WEEK_THOM" hidden="1">"c5276"</definedName>
    <definedName name="IQ_PERCENT_CHANGE_EST_RECO_12MONTHS" hidden="1">"c1836"</definedName>
    <definedName name="IQ_PERCENT_CHANGE_EST_RECO_12MONTHS_CIQ" hidden="1">"c3776"</definedName>
    <definedName name="IQ_PERCENT_CHANGE_EST_RECO_12MONTHS_THOM" hidden="1">"c5255"</definedName>
    <definedName name="IQ_PERCENT_CHANGE_EST_RECO_18MONTHS" hidden="1">"c1837"</definedName>
    <definedName name="IQ_PERCENT_CHANGE_EST_RECO_18MONTHS_CIQ" hidden="1">"c3777"</definedName>
    <definedName name="IQ_PERCENT_CHANGE_EST_RECO_18MONTHS_THOM" hidden="1">"c5256"</definedName>
    <definedName name="IQ_PERCENT_CHANGE_EST_RECO_3MONTHS" hidden="1">"c1833"</definedName>
    <definedName name="IQ_PERCENT_CHANGE_EST_RECO_3MONTHS_CIQ" hidden="1">"c3773"</definedName>
    <definedName name="IQ_PERCENT_CHANGE_EST_RECO_3MONTHS_THOM" hidden="1">"c5252"</definedName>
    <definedName name="IQ_PERCENT_CHANGE_EST_RECO_6MONTHS" hidden="1">"c1834"</definedName>
    <definedName name="IQ_PERCENT_CHANGE_EST_RECO_6MONTHS_CIQ" hidden="1">"c3774"</definedName>
    <definedName name="IQ_PERCENT_CHANGE_EST_RECO_6MONTHS_THOM" hidden="1">"c5253"</definedName>
    <definedName name="IQ_PERCENT_CHANGE_EST_RECO_9MONTHS" hidden="1">"c1835"</definedName>
    <definedName name="IQ_PERCENT_CHANGE_EST_RECO_9MONTHS_CIQ" hidden="1">"c3775"</definedName>
    <definedName name="IQ_PERCENT_CHANGE_EST_RECO_9MONTHS_THOM" hidden="1">"c5254"</definedName>
    <definedName name="IQ_PERCENT_CHANGE_EST_RECO_DAY" hidden="1">"c1830"</definedName>
    <definedName name="IQ_PERCENT_CHANGE_EST_RECO_DAY_CIQ" hidden="1">"c3771"</definedName>
    <definedName name="IQ_PERCENT_CHANGE_EST_RECO_DAY_THOM" hidden="1">"c5250"</definedName>
    <definedName name="IQ_PERCENT_CHANGE_EST_RECO_MONTH" hidden="1">"c1832"</definedName>
    <definedName name="IQ_PERCENT_CHANGE_EST_RECO_MONTH_CIQ" hidden="1">"c3772"</definedName>
    <definedName name="IQ_PERCENT_CHANGE_EST_RECO_MONTH_THOM" hidden="1">"c5251"</definedName>
    <definedName name="IQ_PERCENT_CHANGE_EST_RECO_WEEK" hidden="1">"c1831"</definedName>
    <definedName name="IQ_PERCENT_CHANGE_EST_RECO_WEEK_CIQ" hidden="1">"c3796"</definedName>
    <definedName name="IQ_PERCENT_CHANGE_EST_RECO_WEEK_THOM" hidden="1">"c5275"</definedName>
    <definedName name="IQ_PERCENT_CHANGE_EST_REV_12MONTHS" hidden="1">"c1796"</definedName>
    <definedName name="IQ_PERCENT_CHANGE_EST_REV_12MONTHS_CIQ" hidden="1">"c3741"</definedName>
    <definedName name="IQ_PERCENT_CHANGE_EST_REV_12MONTHS_THOM" hidden="1">"c5220"</definedName>
    <definedName name="IQ_PERCENT_CHANGE_EST_REV_18MONTHS" hidden="1">"c1797"</definedName>
    <definedName name="IQ_PERCENT_CHANGE_EST_REV_18MONTHS_CIQ" hidden="1">"c3742"</definedName>
    <definedName name="IQ_PERCENT_CHANGE_EST_REV_18MONTHS_THOM" hidden="1">"c5221"</definedName>
    <definedName name="IQ_PERCENT_CHANGE_EST_REV_3MONTHS" hidden="1">"c1793"</definedName>
    <definedName name="IQ_PERCENT_CHANGE_EST_REV_3MONTHS_CIQ" hidden="1">"c3738"</definedName>
    <definedName name="IQ_PERCENT_CHANGE_EST_REV_3MONTHS_THOM" hidden="1">"c5217"</definedName>
    <definedName name="IQ_PERCENT_CHANGE_EST_REV_6MONTHS" hidden="1">"c1794"</definedName>
    <definedName name="IQ_PERCENT_CHANGE_EST_REV_6MONTHS_CIQ" hidden="1">"c3739"</definedName>
    <definedName name="IQ_PERCENT_CHANGE_EST_REV_6MONTHS_THOM" hidden="1">"c5218"</definedName>
    <definedName name="IQ_PERCENT_CHANGE_EST_REV_9MONTHS" hidden="1">"c1795"</definedName>
    <definedName name="IQ_PERCENT_CHANGE_EST_REV_9MONTHS_CIQ" hidden="1">"c3740"</definedName>
    <definedName name="IQ_PERCENT_CHANGE_EST_REV_9MONTHS_THOM" hidden="1">"c5219"</definedName>
    <definedName name="IQ_PERCENT_CHANGE_EST_REV_DAY" hidden="1">"c1790"</definedName>
    <definedName name="IQ_PERCENT_CHANGE_EST_REV_DAY_CIQ" hidden="1">"c3735"</definedName>
    <definedName name="IQ_PERCENT_CHANGE_EST_REV_DAY_THOM" hidden="1">"c5214"</definedName>
    <definedName name="IQ_PERCENT_CHANGE_EST_REV_MONTH" hidden="1">"c1792"</definedName>
    <definedName name="IQ_PERCENT_CHANGE_EST_REV_MONTH_CIQ" hidden="1">"c3737"</definedName>
    <definedName name="IQ_PERCENT_CHANGE_EST_REV_MONTH_THOM" hidden="1">"c5216"</definedName>
    <definedName name="IQ_PERCENT_CHANGE_EST_REV_WEEK" hidden="1">"c1791"</definedName>
    <definedName name="IQ_PERCENT_CHANGE_EST_REV_WEEK_CIQ" hidden="1">"c3736"</definedName>
    <definedName name="IQ_PERCENT_CHANGE_EST_REV_WEEK_THOM" hidden="1">"c5215"</definedName>
    <definedName name="IQ_PERCENT_INSURED_FDIC" hidden="1">"c6374"</definedName>
    <definedName name="IQ_PERCENTAGE_RENT" hidden="1">"c16018"</definedName>
    <definedName name="IQ_PERCENTAGE_RENT_RENTAL_REVENUE" hidden="1">"c16063"</definedName>
    <definedName name="IQ_PERFORMANCE_LOC_FOREIGN_GUARANTEES_FFIEC" hidden="1">"c13251"</definedName>
    <definedName name="IQ_PERIODDATE" hidden="1">"c1034"</definedName>
    <definedName name="IQ_PERIODDATE_AP" hidden="1">"c11745"</definedName>
    <definedName name="IQ_PERIODDATE_BS" hidden="1">"c1032"</definedName>
    <definedName name="IQ_PERIODDATE_CF" hidden="1">"c1033"</definedName>
    <definedName name="IQ_PERIODDATE_FDIC" hidden="1">"c13646"</definedName>
    <definedName name="IQ_PERIODDATE_FFIEC" hidden="1">"c13645"</definedName>
    <definedName name="IQ_PERIODDATE_IS" hidden="1">"c1034"</definedName>
    <definedName name="IQ_PERIODDATE_THRIFT" hidden="1">"c25897"</definedName>
    <definedName name="IQ_PERIODLENGTH_AP" hidden="1">"c11746"</definedName>
    <definedName name="IQ_PERIODLENGTH_CF" hidden="1">"c1502"</definedName>
    <definedName name="IQ_PERIODLENGTH_IS" hidden="1">"c1503"</definedName>
    <definedName name="IQ_PERMANENT_1_4_DWELLING_UNITS_ALL_OTHER_SECURED_FIRST_LIENS_THRIFT" hidden="1">"c24844"</definedName>
    <definedName name="IQ_PERMANENT_1_4_DWELLING_UNITS_ALL_OTHER_SECURED_JUNIOR_LIENS_THRIFT" hidden="1">"c24845"</definedName>
    <definedName name="IQ_PERMANENT_1_4_DWELLING_UNITS_REVOLVING_OPEN_END_LOANS_THRIFT" hidden="1">"c24843"</definedName>
    <definedName name="IQ_PERMANENT_LAND_THRIFT" hidden="1">"c24848"</definedName>
    <definedName name="IQ_PERMANENT_LOANS_SECURED_1_4_DWELLING_UNITS_FORECLOSED_DURING_QUARTER_THRIFT" hidden="1">"c25232"</definedName>
    <definedName name="IQ_PERMANENT_LOANS_SECURED_LAND_FORECLOSED_DURING_QUARTER_THRIFT" hidden="1">"c25235"</definedName>
    <definedName name="IQ_PERMANENT_LOANS_SECURED_MULTIFAMILY_5_MORE_DWELLING_UNITS_FORECLOSED_DURING_QUARTER_THRIFT" hidden="1">"c25233"</definedName>
    <definedName name="IQ_PERMANENT_LOANS_SECURED_NONRES_EXCEPT_LAND_FORECLOSED_DURING_QUARTER_THRIFT" hidden="1">"c25234"</definedName>
    <definedName name="IQ_PERMANENT_MORTGAGE_LOANS_THRIFT" hidden="1">"c24842"</definedName>
    <definedName name="IQ_PERMANENT_MULTIFAMILY_5_MORE_DWELLING_UNITS_THRIFT" hidden="1">"c24846"</definedName>
    <definedName name="IQ_PERMANENT_NONRES_PROPERTY_EXCEPT_LAND_THRIFT" hidden="1">"c24847"</definedName>
    <definedName name="IQ_PERPETUAL_PREF_STOCK_THRIFT" hidden="1">"c24914"</definedName>
    <definedName name="IQ_PERSON_INCOME" hidden="1">"c20954"</definedName>
    <definedName name="IQ_PERSONAL_CONSUMER_SPENDING_DURABLE" hidden="1">"c6942"</definedName>
    <definedName name="IQ_PERSONAL_CONSUMER_SPENDING_DURABLE_APR" hidden="1">"c7602"</definedName>
    <definedName name="IQ_PERSONAL_CONSUMER_SPENDING_DURABLE_APR_FC" hidden="1">"c8482"</definedName>
    <definedName name="IQ_PERSONAL_CONSUMER_SPENDING_DURABLE_FC" hidden="1">"c7822"</definedName>
    <definedName name="IQ_PERSONAL_CONSUMER_SPENDING_DURABLE_POP" hidden="1">"c7162"</definedName>
    <definedName name="IQ_PERSONAL_CONSUMER_SPENDING_DURABLE_POP_FC" hidden="1">"c8042"</definedName>
    <definedName name="IQ_PERSONAL_CONSUMER_SPENDING_DURABLE_YOY" hidden="1">"c7382"</definedName>
    <definedName name="IQ_PERSONAL_CONSUMER_SPENDING_DURABLE_YOY_FC" hidden="1">"c8262"</definedName>
    <definedName name="IQ_PERSONAL_CONSUMER_SPENDING_NONDURABLE" hidden="1">"c6940"</definedName>
    <definedName name="IQ_PERSONAL_CONSUMER_SPENDING_NONDURABLE_APR" hidden="1">"c7600"</definedName>
    <definedName name="IQ_PERSONAL_CONSUMER_SPENDING_NONDURABLE_APR_FC" hidden="1">"c8480"</definedName>
    <definedName name="IQ_PERSONAL_CONSUMER_SPENDING_NONDURABLE_FC" hidden="1">"c7820"</definedName>
    <definedName name="IQ_PERSONAL_CONSUMER_SPENDING_NONDURABLE_POP" hidden="1">"c7160"</definedName>
    <definedName name="IQ_PERSONAL_CONSUMER_SPENDING_NONDURABLE_POP_FC" hidden="1">"c8040"</definedName>
    <definedName name="IQ_PERSONAL_CONSUMER_SPENDING_NONDURABLE_YOY" hidden="1">"c7380"</definedName>
    <definedName name="IQ_PERSONAL_CONSUMER_SPENDING_NONDURABLE_YOY_FC" hidden="1">"c8260"</definedName>
    <definedName name="IQ_PERSONAL_CONSUMER_SPENDING_REAL" hidden="1">"c6994"</definedName>
    <definedName name="IQ_PERSONAL_CONSUMER_SPENDING_REAL_APR" hidden="1">"c7654"</definedName>
    <definedName name="IQ_PERSONAL_CONSUMER_SPENDING_REAL_APR_FC" hidden="1">"c8534"</definedName>
    <definedName name="IQ_PERSONAL_CONSUMER_SPENDING_REAL_FC" hidden="1">"c7874"</definedName>
    <definedName name="IQ_PERSONAL_CONSUMER_SPENDING_REAL_POP" hidden="1">"c7214"</definedName>
    <definedName name="IQ_PERSONAL_CONSUMER_SPENDING_REAL_POP_FC" hidden="1">"c8094"</definedName>
    <definedName name="IQ_PERSONAL_CONSUMER_SPENDING_REAL_YOY" hidden="1">"c7434"</definedName>
    <definedName name="IQ_PERSONAL_CONSUMER_SPENDING_REAL_YOY_FC" hidden="1">"c8314"</definedName>
    <definedName name="IQ_PERSONAL_CONSUMER_SPENDING_SERVICES" hidden="1">"c6941"</definedName>
    <definedName name="IQ_PERSONAL_CONSUMER_SPENDING_SERVICES_APR" hidden="1">"c7601"</definedName>
    <definedName name="IQ_PERSONAL_CONSUMER_SPENDING_SERVICES_APR_FC" hidden="1">"c8481"</definedName>
    <definedName name="IQ_PERSONAL_CONSUMER_SPENDING_SERVICES_FC" hidden="1">"c7821"</definedName>
    <definedName name="IQ_PERSONAL_CONSUMER_SPENDING_SERVICES_POP" hidden="1">"c7161"</definedName>
    <definedName name="IQ_PERSONAL_CONSUMER_SPENDING_SERVICES_POP_FC" hidden="1">"c8041"</definedName>
    <definedName name="IQ_PERSONAL_CONSUMER_SPENDING_SERVICES_YOY" hidden="1">"c7381"</definedName>
    <definedName name="IQ_PERSONAL_CONSUMER_SPENDING_SERVICES_YOY_FC" hidden="1">"c8261"</definedName>
    <definedName name="IQ_PERSONAL_CURRENT_TAXES" hidden="1">"c20956"</definedName>
    <definedName name="IQ_PERSONAL_DISPOSABLE_INCOME" hidden="1">"c20957"</definedName>
    <definedName name="IQ_PERSONAL_INCOME" hidden="1">"c6943"</definedName>
    <definedName name="IQ_PERSONAL_INCOME_APR" hidden="1">"c7603"</definedName>
    <definedName name="IQ_PERSONAL_INCOME_APR_FC" hidden="1">"c8483"</definedName>
    <definedName name="IQ_PERSONAL_INCOME_ASSETS" hidden="1">"c20958"</definedName>
    <definedName name="IQ_PERSONAL_INCOME_ASSETS_DIVIDEND" hidden="1">"c20959"</definedName>
    <definedName name="IQ_PERSONAL_INCOME_ASSETS_INTEREST" hidden="1">"c20960"</definedName>
    <definedName name="IQ_PERSONAL_INCOME_CHAINED_DOLLARS" hidden="1">"c20961"</definedName>
    <definedName name="IQ_PERSONAL_INCOME_COMPENSATION" hidden="1">"c20962"</definedName>
    <definedName name="IQ_PERSONAL_INCOME_EMPLOYER_GOVT_INSURANCE_CONTRIBUTION" hidden="1">"c20963"</definedName>
    <definedName name="IQ_PERSONAL_INCOME_EMPLOYER_PENSION_CONTRIBUTION" hidden="1">"c20964"</definedName>
    <definedName name="IQ_PERSONAL_INCOME_EX_TRANSFER_RECEIPTS" hidden="1">"c20965"</definedName>
    <definedName name="IQ_PERSONAL_INCOME_FC" hidden="1">"c7823"</definedName>
    <definedName name="IQ_PERSONAL_INCOME_GOVT_CONTRIBUTION_SOCIAL_INS" hidden="1">"c20966"</definedName>
    <definedName name="IQ_PERSONAL_INCOME_GOVT_SOCIAL_BENEFITS" hidden="1">"c20967"</definedName>
    <definedName name="IQ_PERSONAL_INCOME_GOVT_SOCIAL_BENEFITS_FAMILY" hidden="1">"c20968"</definedName>
    <definedName name="IQ_PERSONAL_INCOME_GOVT_SOCIAL_BENEFITS_OTHER" hidden="1">"c20969"</definedName>
    <definedName name="IQ_PERSONAL_INCOME_GOVT_SOCIAL_BENEFITS_UNEMPLOYMENT" hidden="1">"c20970"</definedName>
    <definedName name="IQ_PERSONAL_INCOME_GOVT_SOCIAL_BENEFITS_VETERANS" hidden="1">"c20971"</definedName>
    <definedName name="IQ_PERSONAL_INCOME_GOVT_SOCIAL_BENEFITS_WELFARE" hidden="1">"c20972"</definedName>
    <definedName name="IQ_PERSONAL_INCOME_PCT_CHANGE" hidden="1">"c20973"</definedName>
    <definedName name="IQ_PERSONAL_INCOME_PCT_CHANGE_CHAINED_DOLLARS" hidden="1">"c20974"</definedName>
    <definedName name="IQ_PERSONAL_INCOME_PER_CAPITA" hidden="1">"c20975"</definedName>
    <definedName name="IQ_PERSONAL_INCOME_PER_CAPITA_CHAINED_DOLLARS" hidden="1">"c20976"</definedName>
    <definedName name="IQ_PERSONAL_INCOME_POP" hidden="1">"c7163"</definedName>
    <definedName name="IQ_PERSONAL_INCOME_POP_FC" hidden="1">"c8043"</definedName>
    <definedName name="IQ_PERSONAL_INCOME_PROPIETOR" hidden="1">"c20977"</definedName>
    <definedName name="IQ_PERSONAL_INCOME_PROPIETOR_FARM" hidden="1">"c20978"</definedName>
    <definedName name="IQ_PERSONAL_INCOME_PROPIETOR_NONFARM" hidden="1">"c20979"</definedName>
    <definedName name="IQ_PERSONAL_INCOME_RENTAL" hidden="1">"c20980"</definedName>
    <definedName name="IQ_PERSONAL_INCOME_SAAR" hidden="1">"c6944"</definedName>
    <definedName name="IQ_PERSONAL_INCOME_SAAR_APR" hidden="1">"c7604"</definedName>
    <definedName name="IQ_PERSONAL_INCOME_SAAR_APR_FC" hidden="1">"c8484"</definedName>
    <definedName name="IQ_PERSONAL_INCOME_SAAR_FC" hidden="1">"c7824"</definedName>
    <definedName name="IQ_PERSONAL_INCOME_SAAR_POP" hidden="1">"c7164"</definedName>
    <definedName name="IQ_PERSONAL_INCOME_SAAR_POP_FC" hidden="1">"c8044"</definedName>
    <definedName name="IQ_PERSONAL_INCOME_SAAR_YOY" hidden="1">"c7384"</definedName>
    <definedName name="IQ_PERSONAL_INCOME_SAAR_YOY_FC" hidden="1">"c8264"</definedName>
    <definedName name="IQ_PERSONAL_INCOME_TRANSFER_RECEIPTS" hidden="1">"c20981"</definedName>
    <definedName name="IQ_PERSONAL_INCOME_TRANSFER_RECEIPTS_OTHER" hidden="1">"c20982"</definedName>
    <definedName name="IQ_PERSONAL_INCOME_USD_APR_FC" hidden="1">"c11885"</definedName>
    <definedName name="IQ_PERSONAL_INCOME_USD_FC" hidden="1">"c11882"</definedName>
    <definedName name="IQ_PERSONAL_INCOME_USD_POP_FC" hidden="1">"c11883"</definedName>
    <definedName name="IQ_PERSONAL_INCOME_USD_YOY_FC" hidden="1">"c11884"</definedName>
    <definedName name="IQ_PERSONAL_INCOME_WAGE_SUPPLEMENTS" hidden="1">"c20983"</definedName>
    <definedName name="IQ_PERSONAL_INCOME_WAGES" hidden="1">"c20984"</definedName>
    <definedName name="IQ_PERSONAL_INCOME_WAGES_GOVT" hidden="1">"c20985"</definedName>
    <definedName name="IQ_PERSONAL_INCOME_WAGES_PRIVATE_INDUSTRY" hidden="1">"c20986"</definedName>
    <definedName name="IQ_PERSONAL_INCOME_YOY" hidden="1">"c7383"</definedName>
    <definedName name="IQ_PERSONAL_INCOME_YOY_FC" hidden="1">"c8263"</definedName>
    <definedName name="IQ_PERSONAL_INTEREST_PAYMENTS" hidden="1">"c20987"</definedName>
    <definedName name="IQ_PERSONAL_OUTLAYS" hidden="1">"c20988"</definedName>
    <definedName name="IQ_PERSONAL_SAVINGS" hidden="1">"c20989"</definedName>
    <definedName name="IQ_PERSONAL_SAVINGS_PCT_INCOME" hidden="1">"c20990"</definedName>
    <definedName name="IQ_PERSONAL_TRANSFER_PAYMENTS" hidden="1">"c20991"</definedName>
    <definedName name="IQ_PERSONAL_TRANSFER_PAYMENTS_GOVT" hidden="1">"c20992"</definedName>
    <definedName name="IQ_PERSONAL_TRANSFER_PAYMENTS_WORLD" hidden="1">"c20993"</definedName>
    <definedName name="IQ_PERSONAL_TRUST_AGENCY_ACCOUNTS_GROSS_LOSSES_MANAGED_ACCOUNTS_THRIFT" hidden="1">"c25461"</definedName>
    <definedName name="IQ_PERSONAL_TRUST_AGENCY_ACCOUNTS_GROSS_LOSSES_NONMANAGED_ACCOUNTS_THRIFT" hidden="1">"c25466"</definedName>
    <definedName name="IQ_PERSONAL_TRUST_AGENCY_ACCOUNTS_INC_THRIFT" hidden="1">"c24801"</definedName>
    <definedName name="IQ_PERSONAL_TRUST_AGENCY_ACCOUNTS_MANAGED_ASSETS_THRIFT" hidden="1">"c25347"</definedName>
    <definedName name="IQ_PERSONAL_TRUST_AGENCY_ACCOUNTS_NONMANAGED_ASSETS_THRIFT" hidden="1">"c25368"</definedName>
    <definedName name="IQ_PERSONAL_TRUST_AGENCY_ACCOUNTS_NUMBER_MANAGED_ACCOUNTS_THRIFT" hidden="1">"c25358"</definedName>
    <definedName name="IQ_PERSONAL_TRUST_AGENCY_ACCOUNTS_NUMBER_NONMANAGED_ACCOUNTS_THRIFT" hidden="1">"c25380"</definedName>
    <definedName name="IQ_PERSONAL_TRUST_AGENCY_ACCOUNTS_RECOVERIES_THRIFT" hidden="1">"c25471"</definedName>
    <definedName name="IQ_PERSONNEL_EXP_ADJUSTED_OPERATING_INCOME_THRIFT" hidden="1">"c25685"</definedName>
    <definedName name="IQ_PERSONNEL_EXP_AVG_ASSETS_FFIEC" hidden="1">"c13371"</definedName>
    <definedName name="IQ_PERSONNEL_EXP_AVG_ASSETS_THRIFT" hidden="1">"c25662"</definedName>
    <definedName name="IQ_PERSONNEL_EXP_OPERATING_INC_FFIEC" hidden="1">"c13379"</definedName>
    <definedName name="IQ_PERTYPE" hidden="1">"c1611"</definedName>
    <definedName name="IQ_PHARMBIO_NUMBER_LICENSED_PATENT_APP" hidden="1">"c10018"</definedName>
    <definedName name="IQ_PHARMBIO_NUMBER_LICENSED_PATENTS" hidden="1">"c10017"</definedName>
    <definedName name="IQ_PHARMBIO_NUMBER_PATENTS" hidden="1">"c10015"</definedName>
    <definedName name="IQ_PHARMBIO_NUMBER_PROD__APPROVED_DURING_PERIOD" hidden="1">"c12750"</definedName>
    <definedName name="IQ_PHARMBIO_NUMBER_PROD__CLINICAL_DEV" hidden="1">"c12745"</definedName>
    <definedName name="IQ_PHARMBIO_NUMBER_PROD__LAUNCHED_DURING_PERIOD" hidden="1">"c12751"</definedName>
    <definedName name="IQ_PHARMBIO_NUMBER_PROD__PHASE_I" hidden="1">"c12746"</definedName>
    <definedName name="IQ_PHARMBIO_NUMBER_PROD__PHASE_II" hidden="1">"c12747"</definedName>
    <definedName name="IQ_PHARMBIO_NUMBER_PROD__PHASE_III" hidden="1">"c12748"</definedName>
    <definedName name="IQ_PHARMBIO_NUMBER_PROD__PRE_CLINICAL_TRIALS" hidden="1">"c12744"</definedName>
    <definedName name="IQ_PHARMBIO_NUMBER_PROD__PRE_REGISTRATION" hidden="1">"c12749"</definedName>
    <definedName name="IQ_PHARMBIO_NUMBER_PROD__RESEARCH_DEV" hidden="1">"c12743"</definedName>
    <definedName name="IQ_PHARMBIO_NUMBER_PROD_APPROVED_DURING_PERIOD" hidden="1">"c10027"</definedName>
    <definedName name="IQ_PHARMBIO_NUMBER_PROD_CLINICAL_DEV" hidden="1">"c10022"</definedName>
    <definedName name="IQ_PHARMBIO_NUMBER_PROD_DISCOVERY_RESEARCH" hidden="1">"c10019"</definedName>
    <definedName name="IQ_PHARMBIO_NUMBER_PROD_LAUNCHED_DURING_PERIOD" hidden="1">"c10028"</definedName>
    <definedName name="IQ_PHARMBIO_NUMBER_PROD_PHASE_I" hidden="1">"c10023"</definedName>
    <definedName name="IQ_PHARMBIO_NUMBER_PROD_PHASE_II" hidden="1">"c10024"</definedName>
    <definedName name="IQ_PHARMBIO_NUMBER_PROD_PHASE_III" hidden="1">"c10025"</definedName>
    <definedName name="IQ_PHARMBIO_NUMBER_PROD_PRE_CLINICAL_TRIALS" hidden="1">"c10021"</definedName>
    <definedName name="IQ_PHARMBIO_NUMBER_PROD_PRE_REGISTRATION" hidden="1">"c10026"</definedName>
    <definedName name="IQ_PHARMBIO_NUMBER_PROD_RESEARCH_DEV" hidden="1">"c10020"</definedName>
    <definedName name="IQ_PHARMBIO_PATENT_APP" hidden="1">"c10016"</definedName>
    <definedName name="IQ_PHILADELPHIA_FED_DIFFUSION_INDEX" hidden="1">"c6945"</definedName>
    <definedName name="IQ_PHILADELPHIA_FED_DIFFUSION_INDEX_APR" hidden="1">"c7605"</definedName>
    <definedName name="IQ_PHILADELPHIA_FED_DIFFUSION_INDEX_APR_FC" hidden="1">"c8485"</definedName>
    <definedName name="IQ_PHILADELPHIA_FED_DIFFUSION_INDEX_FC" hidden="1">"c7825"</definedName>
    <definedName name="IQ_PHILADELPHIA_FED_DIFFUSION_INDEX_POP" hidden="1">"c7165"</definedName>
    <definedName name="IQ_PHILADELPHIA_FED_DIFFUSION_INDEX_POP_FC" hidden="1">"c8045"</definedName>
    <definedName name="IQ_PHILADELPHIA_FED_DIFFUSION_INDEX_YOY" hidden="1">"c7385"</definedName>
    <definedName name="IQ_PHILADELPHIA_FED_DIFFUSION_INDEX_YOY_FC" hidden="1">"c8265"</definedName>
    <definedName name="IQ_PLEDGED_LOANS_THRIFT" hidden="1">"c24936"</definedName>
    <definedName name="IQ_PLEDGED_SEC_INVEST_SECURITIES_FFIEC" hidden="1">"c13467"</definedName>
    <definedName name="IQ_PLEDGED_SECURITIES_FDIC" hidden="1">"c6401"</definedName>
    <definedName name="IQ_PLEDGED_SECURITIES_FFIEC" hidden="1">"c24743"</definedName>
    <definedName name="IQ_PLEDGED_TRADING_ASSETS_THRIFT" hidden="1">"c24937"</definedName>
    <definedName name="IQ_PLL" hidden="1">"c2114"</definedName>
    <definedName name="IQ_PMAC_DIFFUSION_INDEX" hidden="1">"c6946"</definedName>
    <definedName name="IQ_PMAC_DIFFUSION_INDEX_APR" hidden="1">"c7606"</definedName>
    <definedName name="IQ_PMAC_DIFFUSION_INDEX_APR_FC" hidden="1">"c8486"</definedName>
    <definedName name="IQ_PMAC_DIFFUSION_INDEX_FC" hidden="1">"c7826"</definedName>
    <definedName name="IQ_PMAC_DIFFUSION_INDEX_POP" hidden="1">"c7166"</definedName>
    <definedName name="IQ_PMAC_DIFFUSION_INDEX_POP_FC" hidden="1">"c8046"</definedName>
    <definedName name="IQ_PMAC_DIFFUSION_INDEX_YOY" hidden="1">"c7386"</definedName>
    <definedName name="IQ_PMAC_DIFFUSION_INDEX_YOY_FC" hidden="1">"c8266"</definedName>
    <definedName name="IQ_PML_SECURED_LAND_DUE_30_89_THRIFT" hidden="1">"c25246"</definedName>
    <definedName name="IQ_PML_SECURED_LAND_DUE_90_THRIFT" hidden="1">"c25267"</definedName>
    <definedName name="IQ_PML_SECURED_LAND_NON_ACCRUAL_THRIFT" hidden="1">"c25288"</definedName>
    <definedName name="IQ_PML_SECURED_MULTIFAMILY_5_MORE_DWELLING_UNITS_DUE_30_89_THRIFT" hidden="1">"c25244"</definedName>
    <definedName name="IQ_PML_SECURED_MULTIFAMILY_5_MORE_DWELLING_UNITS_DUE_90_THRIFT" hidden="1">"c25265"</definedName>
    <definedName name="IQ_PML_SECURED_MULTIFAMILY_5_MORE_DWELLING_UNITS_NON_ACCRUAL_THRIFT" hidden="1">"c25286"</definedName>
    <definedName name="IQ_PML_SECURED_NONRES_PROPERTY_EXCEPT_LAND_DUE_30_89_THRIFT" hidden="1">"c25245"</definedName>
    <definedName name="IQ_PML_SECURED_NONRES_PROPERTY_EXCEPT_LAND_DUE_90_THRIFT" hidden="1">"c25266"</definedName>
    <definedName name="IQ_PML_SECURED_NONRES_PROPERTY_EXCEPT_LAND_NON_ACCRUAL_THRIFT" hidden="1">"c25287"</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LICYHOLDER_BENEFITS_LH_FFIEC" hidden="1">"c13107"</definedName>
    <definedName name="IQ_POOL_AMT_ORIGINAL" hidden="1">"c8970"</definedName>
    <definedName name="IQ_POOL_NAME" hidden="1">"c8967"</definedName>
    <definedName name="IQ_POOL_NUMBER" hidden="1">"c8968"</definedName>
    <definedName name="IQ_POOL_TYPE" hidden="1">"c8969"</definedName>
    <definedName name="IQ_POPULATION" hidden="1">"c20994"</definedName>
    <definedName name="IQ_POPULATION_FC" hidden="1">"c20995"</definedName>
    <definedName name="IQ_PORTFOLIO_INVESTMENT_NET" hidden="1">"c20996"</definedName>
    <definedName name="IQ_PORTFOLIO_SHARES" hidden="1">"c19116"</definedName>
    <definedName name="IQ_POSITIVE_FAIR_VALUE_DERIVATIVES_BENEFICIARY_FFIEC" hidden="1">"c13123"</definedName>
    <definedName name="IQ_POSITIVE_FAIR_VALUE_DERIVATIVES_GUARANTOR_FFIEC" hidden="1">"c13116"</definedName>
    <definedName name="IQ_POST_RETIRE_EXP" hidden="1">"c1039"</definedName>
    <definedName name="IQ_POSTAGE_FFIEC" hidden="1">"c13051"</definedName>
    <definedName name="IQ_POSTPAID_CHURN" hidden="1">"c2121"</definedName>
    <definedName name="IQ_POSTPAID_SUBS" hidden="1">"c2118"</definedName>
    <definedName name="IQ_POTENTIAL_UPSIDE" hidden="1">"c1855"</definedName>
    <definedName name="IQ_POTENTIAL_UPSIDE_CIQ" hidden="1">"c3799"</definedName>
    <definedName name="IQ_POTENTIAL_UPSIDE_THOM" hidden="1">"c5279"</definedName>
    <definedName name="IQ_PP_ATTRIB_ORE_RESERVES_ALUM" hidden="1">"c9218"</definedName>
    <definedName name="IQ_PP_ATTRIB_ORE_RESERVES_COP" hidden="1">"c9162"</definedName>
    <definedName name="IQ_PP_ATTRIB_ORE_RESERVES_DIAM" hidden="1">"c9642"</definedName>
    <definedName name="IQ_PP_ATTRIB_ORE_RESERVES_GOLD" hidden="1">"c9003"</definedName>
    <definedName name="IQ_PP_ATTRIB_ORE_RESERVES_IRON" hidden="1">"c9377"</definedName>
    <definedName name="IQ_PP_ATTRIB_ORE_RESERVES_LEAD" hidden="1">"c9430"</definedName>
    <definedName name="IQ_PP_ATTRIB_ORE_RESERVES_MANG" hidden="1">"c9483"</definedName>
    <definedName name="IQ_PP_ATTRIB_ORE_RESERVES_MOLYB" hidden="1">"c9695"</definedName>
    <definedName name="IQ_PP_ATTRIB_ORE_RESERVES_NICK" hidden="1">"c9271"</definedName>
    <definedName name="IQ_PP_ATTRIB_ORE_RESERVES_PLAT" hidden="1">"c9109"</definedName>
    <definedName name="IQ_PP_ATTRIB_ORE_RESERVES_SILVER" hidden="1">"c9056"</definedName>
    <definedName name="IQ_PP_ATTRIB_ORE_RESERVES_TITAN" hidden="1">"c9536"</definedName>
    <definedName name="IQ_PP_ATTRIB_ORE_RESERVES_URAN" hidden="1">"c9589"</definedName>
    <definedName name="IQ_PP_ATTRIB_ORE_RESERVES_ZINC" hidden="1">"c9324"</definedName>
    <definedName name="IQ_PP_ORE_RESERVES_ALUM" hidden="1">"c9211"</definedName>
    <definedName name="IQ_PP_ORE_RESERVES_COP" hidden="1">"c9155"</definedName>
    <definedName name="IQ_PP_ORE_RESERVES_DIAM" hidden="1">"c9635"</definedName>
    <definedName name="IQ_PP_ORE_RESERVES_GOLD" hidden="1">"c8996"</definedName>
    <definedName name="IQ_PP_ORE_RESERVES_IRON" hidden="1">"c9370"</definedName>
    <definedName name="IQ_PP_ORE_RESERVES_LEAD" hidden="1">"c9423"</definedName>
    <definedName name="IQ_PP_ORE_RESERVES_MANG" hidden="1">"c9476"</definedName>
    <definedName name="IQ_PP_ORE_RESERVES_MOLYB" hidden="1">"c9688"</definedName>
    <definedName name="IQ_PP_ORE_RESERVES_NICK" hidden="1">"c9264"</definedName>
    <definedName name="IQ_PP_ORE_RESERVES_PLAT" hidden="1">"c9102"</definedName>
    <definedName name="IQ_PP_ORE_RESERVES_SILVER" hidden="1">"c9049"</definedName>
    <definedName name="IQ_PP_ORE_RESERVES_TITAN" hidden="1">"c9529"</definedName>
    <definedName name="IQ_PP_ORE_RESERVES_URAN" hidden="1">"c9582"</definedName>
    <definedName name="IQ_PP_ORE_RESERVES_ZINC" hidden="1">"c9317"</definedName>
    <definedName name="IQ_PP_RECOV_ATTRIB_RESERVES_ALUM" hidden="1">"c9221"</definedName>
    <definedName name="IQ_PP_RECOV_ATTRIB_RESERVES_COAL" hidden="1">"c9805"</definedName>
    <definedName name="IQ_PP_RECOV_ATTRIB_RESERVES_COP" hidden="1">"c9165"</definedName>
    <definedName name="IQ_PP_RECOV_ATTRIB_RESERVES_DIAM" hidden="1">"c9645"</definedName>
    <definedName name="IQ_PP_RECOV_ATTRIB_RESERVES_GOLD" hidden="1">"c9006"</definedName>
    <definedName name="IQ_PP_RECOV_ATTRIB_RESERVES_IRON" hidden="1">"c9380"</definedName>
    <definedName name="IQ_PP_RECOV_ATTRIB_RESERVES_LEAD" hidden="1">"c9433"</definedName>
    <definedName name="IQ_PP_RECOV_ATTRIB_RESERVES_MANG" hidden="1">"c9486"</definedName>
    <definedName name="IQ_PP_RECOV_ATTRIB_RESERVES_MET_COAL" hidden="1">"c9745"</definedName>
    <definedName name="IQ_PP_RECOV_ATTRIB_RESERVES_MOLYB" hidden="1">"c9698"</definedName>
    <definedName name="IQ_PP_RECOV_ATTRIB_RESERVES_NICK" hidden="1">"c9274"</definedName>
    <definedName name="IQ_PP_RECOV_ATTRIB_RESERVES_PLAT" hidden="1">"c9112"</definedName>
    <definedName name="IQ_PP_RECOV_ATTRIB_RESERVES_SILVER" hidden="1">"c9059"</definedName>
    <definedName name="IQ_PP_RECOV_ATTRIB_RESERVES_STEAM" hidden="1">"c9775"</definedName>
    <definedName name="IQ_PP_RECOV_ATTRIB_RESERVES_TITAN" hidden="1">"c9539"</definedName>
    <definedName name="IQ_PP_RECOV_ATTRIB_RESERVES_URAN" hidden="1">"c9592"</definedName>
    <definedName name="IQ_PP_RECOV_ATTRIB_RESERVES_ZINC" hidden="1">"c9327"</definedName>
    <definedName name="IQ_PP_RECOV_RESERVES_ALUM" hidden="1">"c9215"</definedName>
    <definedName name="IQ_PP_RECOV_RESERVES_COAL" hidden="1">"c9802"</definedName>
    <definedName name="IQ_PP_RECOV_RESERVES_COP" hidden="1">"c9159"</definedName>
    <definedName name="IQ_PP_RECOV_RESERVES_DIAM" hidden="1">"c9639"</definedName>
    <definedName name="IQ_PP_RECOV_RESERVES_GOLD" hidden="1">"c9000"</definedName>
    <definedName name="IQ_PP_RECOV_RESERVES_IRON" hidden="1">"c9374"</definedName>
    <definedName name="IQ_PP_RECOV_RESERVES_LEAD" hidden="1">"c9427"</definedName>
    <definedName name="IQ_PP_RECOV_RESERVES_MANG" hidden="1">"c9480"</definedName>
    <definedName name="IQ_PP_RECOV_RESERVES_MET_COAL" hidden="1">"c9742"</definedName>
    <definedName name="IQ_PP_RECOV_RESERVES_MOLYB" hidden="1">"c9692"</definedName>
    <definedName name="IQ_PP_RECOV_RESERVES_NICK" hidden="1">"c9268"</definedName>
    <definedName name="IQ_PP_RECOV_RESERVES_PLAT" hidden="1">"c9106"</definedName>
    <definedName name="IQ_PP_RECOV_RESERVES_SILVER" hidden="1">"c9053"</definedName>
    <definedName name="IQ_PP_RECOV_RESERVES_STEAM" hidden="1">"c9772"</definedName>
    <definedName name="IQ_PP_RECOV_RESERVES_TITAN" hidden="1">"c9533"</definedName>
    <definedName name="IQ_PP_RECOV_RESERVES_URAN" hidden="1">"c9586"</definedName>
    <definedName name="IQ_PP_RECOV_RESERVES_ZINC" hidden="1">"c9321"</definedName>
    <definedName name="IQ_PP_RESERVES_CALORIFIC_VALUE_COAL" hidden="1">"c9799"</definedName>
    <definedName name="IQ_PP_RESERVES_CALORIFIC_VALUE_MET_COAL" hidden="1">"c9739"</definedName>
    <definedName name="IQ_PP_RESERVES_CALORIFIC_VALUE_STEAM" hidden="1">"c9769"</definedName>
    <definedName name="IQ_PP_RESERVES_GRADE_ALUM" hidden="1">"c9212"</definedName>
    <definedName name="IQ_PP_RESERVES_GRADE_COP" hidden="1">"c9156"</definedName>
    <definedName name="IQ_PP_RESERVES_GRADE_DIAM" hidden="1">"c9636"</definedName>
    <definedName name="IQ_PP_RESERVES_GRADE_GOLD" hidden="1">"c8997"</definedName>
    <definedName name="IQ_PP_RESERVES_GRADE_IRON" hidden="1">"c9371"</definedName>
    <definedName name="IQ_PP_RESERVES_GRADE_LEAD" hidden="1">"c9424"</definedName>
    <definedName name="IQ_PP_RESERVES_GRADE_MANG" hidden="1">"c9477"</definedName>
    <definedName name="IQ_PP_RESERVES_GRADE_MOLYB" hidden="1">"c9689"</definedName>
    <definedName name="IQ_PP_RESERVES_GRADE_NICK" hidden="1">"c9265"</definedName>
    <definedName name="IQ_PP_RESERVES_GRADE_PLAT" hidden="1">"c9103"</definedName>
    <definedName name="IQ_PP_RESERVES_GRADE_SILVER" hidden="1">"c9050"</definedName>
    <definedName name="IQ_PP_RESERVES_GRADE_TITAN" hidden="1">"c9530"</definedName>
    <definedName name="IQ_PP_RESERVES_GRADE_URAN" hidden="1">"c9583"</definedName>
    <definedName name="IQ_PP_RESERVES_GRADE_ZINC" hidden="1">"c9318"</definedName>
    <definedName name="IQ_PPI" hidden="1">"c6810"</definedName>
    <definedName name="IQ_PPI_APR" hidden="1">"c7470"</definedName>
    <definedName name="IQ_PPI_APR_FC" hidden="1">"c8350"</definedName>
    <definedName name="IQ_PPI_CORE" hidden="1">"c6840"</definedName>
    <definedName name="IQ_PPI_CORE_APR" hidden="1">"c7500"</definedName>
    <definedName name="IQ_PPI_CORE_APR_FC" hidden="1">"c8380"</definedName>
    <definedName name="IQ_PPI_CORE_FC" hidden="1">"c7720"</definedName>
    <definedName name="IQ_PPI_CORE_POP" hidden="1">"c7060"</definedName>
    <definedName name="IQ_PPI_CORE_POP_FC" hidden="1">"c7940"</definedName>
    <definedName name="IQ_PPI_CORE_YOY" hidden="1">"c7280"</definedName>
    <definedName name="IQ_PPI_CORE_YOY_FC" hidden="1">"c8160"</definedName>
    <definedName name="IQ_PPI_FC" hidden="1">"c7690"</definedName>
    <definedName name="IQ_PPI_POP" hidden="1">"c7030"</definedName>
    <definedName name="IQ_PPI_POP_FC" hidden="1">"c7910"</definedName>
    <definedName name="IQ_PPI_YOY" hidden="1">"c7250"</definedName>
    <definedName name="IQ_PPI_YOY_FC" hidden="1">"c8130"</definedName>
    <definedName name="IQ_PRE_OPEN_COST" hidden="1">"c1040"</definedName>
    <definedName name="IQ_PRE_TAX_ACT_OR_EST" hidden="1">"c2221"</definedName>
    <definedName name="IQ_PRE_TAX_ACT_OR_EST_CIQ" hidden="1">"c5064"</definedName>
    <definedName name="IQ_PRE_TAX_ACT_OR_EST_CIQ_COL" hidden="1">"c11711"</definedName>
    <definedName name="IQ_PRE_TAX_ACT_OR_EST_THOM" hidden="1">"c5305"</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CM"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CM"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CM"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"c1052"</definedName>
    <definedName name="IQ_PREF_STOCK_FFIEC" hidden="1">"c12875"</definedName>
    <definedName name="IQ_PREF_TOT" hidden="1">"c1044"</definedName>
    <definedName name="IQ_PREFERRED_DEPOSITS_FFIEC" hidden="1">"c15312"</definedName>
    <definedName name="IQ_PREFERRED_DEPOSITS_THRIFT" hidden="1">"c24996"</definedName>
    <definedName name="IQ_PREFERRED_FDIC" hidden="1">"c6349"</definedName>
    <definedName name="IQ_PREFERRED_LIST" hidden="1">"c13506"</definedName>
    <definedName name="IQ_PREFERRED_STOCK_DIVIDENDS_DECLARED_SAVINGS_ASSOCIATION_THRIFT" hidden="1">"c25010"</definedName>
    <definedName name="IQ_PREMISES_EQUIPMENT_FDIC" hidden="1">"c6577"</definedName>
    <definedName name="IQ_PREMISES_FIXED_ASSETS_CAP_LEASES_FFIEC" hidden="1">"c12830"</definedName>
    <definedName name="IQ_PREMIUM_INSURANCE_CREDIT_FFIEC" hidden="1">"c13070"</definedName>
    <definedName name="IQ_PREMIUMS_ANNUITY_REV" hidden="1">"c1067"</definedName>
    <definedName name="IQ_PREPAID_CHURN" hidden="1">"c2120"</definedName>
    <definedName name="IQ_PREPAID_EXP" hidden="1">"c1068"</definedName>
    <definedName name="IQ_PREPAID_EXPEN" hidden="1">"c1068"</definedName>
    <definedName name="IQ_PREPAID_SUBS" hidden="1">"c2117"</definedName>
    <definedName name="IQ_PRESIDENT_ID" hidden="1">"c15216"</definedName>
    <definedName name="IQ_PRESIDENT_NAME" hidden="1">"c15215"</definedName>
    <definedName name="IQ_PRETAX_GW_INC_EST" hidden="1">"c1702"</definedName>
    <definedName name="IQ_PRETAX_GW_INC_EST_CIQ" hidden="1">"c4688"</definedName>
    <definedName name="IQ_PRETAX_GW_INC_EST_DOWN_2MONTH" hidden="1">"c16417"</definedName>
    <definedName name="IQ_PRETAX_GW_INC_EST_DOWN_2MONTH_CIQ" hidden="1">"c16705"</definedName>
    <definedName name="IQ_PRETAX_GW_INC_EST_DOWN_3MONTH" hidden="1">"c16421"</definedName>
    <definedName name="IQ_PRETAX_GW_INC_EST_DOWN_3MONTH_CIQ" hidden="1">"c16709"</definedName>
    <definedName name="IQ_PRETAX_GW_INC_EST_DOWN_MONTH" hidden="1">"c16413"</definedName>
    <definedName name="IQ_PRETAX_GW_INC_EST_DOWN_MONTH_CIQ" hidden="1">"c16701"</definedName>
    <definedName name="IQ_PRETAX_GW_INC_EST_NOTE" hidden="1">"c17513"</definedName>
    <definedName name="IQ_PRETAX_GW_INC_EST_NOTE_CIQ" hidden="1">"c17466"</definedName>
    <definedName name="IQ_PRETAX_GW_INC_EST_NUM_ANALYSTS_2MONTH" hidden="1">"c16415"</definedName>
    <definedName name="IQ_PRETAX_GW_INC_EST_NUM_ANALYSTS_2MONTH_CIQ" hidden="1">"c16703"</definedName>
    <definedName name="IQ_PRETAX_GW_INC_EST_NUM_ANALYSTS_3MONTH" hidden="1">"c16419"</definedName>
    <definedName name="IQ_PRETAX_GW_INC_EST_NUM_ANALYSTS_3MONTH_CIQ" hidden="1">"c16707"</definedName>
    <definedName name="IQ_PRETAX_GW_INC_EST_NUM_ANALYSTS_MONTH" hidden="1">"c16411"</definedName>
    <definedName name="IQ_PRETAX_GW_INC_EST_NUM_ANALYSTS_MONTH_CIQ" hidden="1">"c16699"</definedName>
    <definedName name="IQ_PRETAX_GW_INC_EST_TOTAL_REVISED_2MONTH" hidden="1">"c16418"</definedName>
    <definedName name="IQ_PRETAX_GW_INC_EST_TOTAL_REVISED_2MONTH_CIQ" hidden="1">"c16706"</definedName>
    <definedName name="IQ_PRETAX_GW_INC_EST_TOTAL_REVISED_3MONTH" hidden="1">"c16422"</definedName>
    <definedName name="IQ_PRETAX_GW_INC_EST_TOTAL_REVISED_3MONTH_CIQ" hidden="1">"c16710"</definedName>
    <definedName name="IQ_PRETAX_GW_INC_EST_TOTAL_REVISED_MONTH" hidden="1">"c16414"</definedName>
    <definedName name="IQ_PRETAX_GW_INC_EST_TOTAL_REVISED_MONTH_CIQ" hidden="1">"c16702"</definedName>
    <definedName name="IQ_PRETAX_GW_INC_EST_UP_2MONTH" hidden="1">"c16416"</definedName>
    <definedName name="IQ_PRETAX_GW_INC_EST_UP_2MONTH_CIQ" hidden="1">"c16704"</definedName>
    <definedName name="IQ_PRETAX_GW_INC_EST_UP_3MONTH" hidden="1">"c16420"</definedName>
    <definedName name="IQ_PRETAX_GW_INC_EST_UP_3MONTH_CIQ" hidden="1">"c16708"</definedName>
    <definedName name="IQ_PRETAX_GW_INC_EST_UP_MONTH" hidden="1">"c16412"</definedName>
    <definedName name="IQ_PRETAX_GW_INC_EST_UP_MONTH_CIQ" hidden="1">"c16700"</definedName>
    <definedName name="IQ_PRETAX_GW_INC_HIGH_EST" hidden="1">"c1704"</definedName>
    <definedName name="IQ_PRETAX_GW_INC_HIGH_EST_CIQ" hidden="1">"c4690"</definedName>
    <definedName name="IQ_PRETAX_GW_INC_LOW_EST" hidden="1">"c1705"</definedName>
    <definedName name="IQ_PRETAX_GW_INC_LOW_EST_CIQ" hidden="1">"c4691"</definedName>
    <definedName name="IQ_PRETAX_GW_INC_MEDIAN_EST" hidden="1">"c1703"</definedName>
    <definedName name="IQ_PRETAX_GW_INC_MEDIAN_EST_CIQ" hidden="1">"c4689"</definedName>
    <definedName name="IQ_PRETAX_GW_INC_NUM_EST" hidden="1">"c1706"</definedName>
    <definedName name="IQ_PRETAX_GW_INC_NUM_EST_CIQ" hidden="1">"c4692"</definedName>
    <definedName name="IQ_PRETAX_GW_INC_STDDEV_EST" hidden="1">"c1707"</definedName>
    <definedName name="IQ_PRETAX_GW_INC_STDDEV_EST_CIQ" hidden="1">"c4693"</definedName>
    <definedName name="IQ_PRETAX_INC" hidden="1">"IQ_PRETAX_INC"</definedName>
    <definedName name="IQ_PRETAX_INC_10K" hidden="1">"PRETAX_INC_10K"</definedName>
    <definedName name="IQ_PRETAX_INC_10Q" hidden="1">"PRETAX_INC_10Q"</definedName>
    <definedName name="IQ_PRETAX_INC_10Q1" hidden="1">"PRETAX_INC_10Q1"</definedName>
    <definedName name="IQ_PRETAX_INC_AFTER_CAP_ALLOCATION_FOREIGN_FFIEC" hidden="1">"c15390"</definedName>
    <definedName name="IQ_PRETAX_INC_BEFORE_CAP_ALLOCATION_FOREIGN_FFIEC" hidden="1">"c15388"</definedName>
    <definedName name="IQ_PRETAX_INC_EST" hidden="1">"c1695"</definedName>
    <definedName name="IQ_PRETAX_INC_EST_CIQ" hidden="1">"c4681"</definedName>
    <definedName name="IQ_PRETAX_INC_EST_DOWN_2MONTH" hidden="1">"c16393"</definedName>
    <definedName name="IQ_PRETAX_INC_EST_DOWN_2MONTH_CIQ" hidden="1">"c16681"</definedName>
    <definedName name="IQ_PRETAX_INC_EST_DOWN_3MONTH" hidden="1">"c16397"</definedName>
    <definedName name="IQ_PRETAX_INC_EST_DOWN_3MONTH_CIQ" hidden="1">"c16685"</definedName>
    <definedName name="IQ_PRETAX_INC_EST_DOWN_MONTH" hidden="1">"c16389"</definedName>
    <definedName name="IQ_PRETAX_INC_EST_DOWN_MONTH_CIQ" hidden="1">"c16677"</definedName>
    <definedName name="IQ_PRETAX_INC_EST_NOTE" hidden="1">"c17511"</definedName>
    <definedName name="IQ_PRETAX_INC_EST_NOTE_CIQ" hidden="1">"c17464"</definedName>
    <definedName name="IQ_PRETAX_INC_EST_NUM_ANALYSTS_2MONTH" hidden="1">"c16391"</definedName>
    <definedName name="IQ_PRETAX_INC_EST_NUM_ANALYSTS_2MONTH_CIQ" hidden="1">"c16679"</definedName>
    <definedName name="IQ_PRETAX_INC_EST_NUM_ANALYSTS_3MONTH" hidden="1">"c16395"</definedName>
    <definedName name="IQ_PRETAX_INC_EST_NUM_ANALYSTS_3MONTH_CIQ" hidden="1">"c16683"</definedName>
    <definedName name="IQ_PRETAX_INC_EST_NUM_ANALYSTS_MONTH" hidden="1">"c16387"</definedName>
    <definedName name="IQ_PRETAX_INC_EST_NUM_ANALYSTS_MONTH_CIQ" hidden="1">"c16675"</definedName>
    <definedName name="IQ_PRETAX_INC_EST_THOM" hidden="1">"c5119"</definedName>
    <definedName name="IQ_PRETAX_INC_EST_TOTAL_REVISED_2MONTH" hidden="1">"c16394"</definedName>
    <definedName name="IQ_PRETAX_INC_EST_TOTAL_REVISED_2MONTH_CIQ" hidden="1">"c16682"</definedName>
    <definedName name="IQ_PRETAX_INC_EST_TOTAL_REVISED_3MONTH" hidden="1">"c16398"</definedName>
    <definedName name="IQ_PRETAX_INC_EST_TOTAL_REVISED_3MONTH_CIQ" hidden="1">"c16686"</definedName>
    <definedName name="IQ_PRETAX_INC_EST_TOTAL_REVISED_MONTH" hidden="1">"c16390"</definedName>
    <definedName name="IQ_PRETAX_INC_EST_TOTAL_REVISED_MONTH_CIQ" hidden="1">"c16678"</definedName>
    <definedName name="IQ_PRETAX_INC_EST_UP_2MONTH" hidden="1">"c16392"</definedName>
    <definedName name="IQ_PRETAX_INC_EST_UP_2MONTH_CIQ" hidden="1">"c16680"</definedName>
    <definedName name="IQ_PRETAX_INC_EST_UP_3MONTH" hidden="1">"c16396"</definedName>
    <definedName name="IQ_PRETAX_INC_EST_UP_3MONTH_CIQ" hidden="1">"c16684"</definedName>
    <definedName name="IQ_PRETAX_INC_EST_UP_MONTH" hidden="1">"c16388"</definedName>
    <definedName name="IQ_PRETAX_INC_EST_UP_MONTH_CIQ" hidden="1">"c16676"</definedName>
    <definedName name="IQ_PRETAX_INC_HIGH_EST" hidden="1">"c1697"</definedName>
    <definedName name="IQ_PRETAX_INC_HIGH_EST_CIQ" hidden="1">"c4683"</definedName>
    <definedName name="IQ_PRETAX_INC_HIGH_EST_THOM" hidden="1">"c5121"</definedName>
    <definedName name="IQ_PRETAX_INC_LOW_EST" hidden="1">"c1698"</definedName>
    <definedName name="IQ_PRETAX_INC_LOW_EST_CIQ" hidden="1">"c4684"</definedName>
    <definedName name="IQ_PRETAX_INC_LOW_EST_THOM" hidden="1">"c5122"</definedName>
    <definedName name="IQ_PRETAX_INC_MEDIAN_EST" hidden="1">"c1696"</definedName>
    <definedName name="IQ_PRETAX_INC_MEDIAN_EST_CIQ" hidden="1">"c4682"</definedName>
    <definedName name="IQ_PRETAX_INC_MEDIAN_EST_THOM" hidden="1">"c5120"</definedName>
    <definedName name="IQ_PRETAX_INC_NUM_EST" hidden="1">"c1699"</definedName>
    <definedName name="IQ_PRETAX_INC_NUM_EST_CIQ" hidden="1">"c4685"</definedName>
    <definedName name="IQ_PRETAX_INC_NUM_EST_THOM" hidden="1">"c5123"</definedName>
    <definedName name="IQ_PRETAX_INC_STDDEV_EST" hidden="1">"c1700"</definedName>
    <definedName name="IQ_PRETAX_INC_STDDEV_EST_CIQ" hidden="1">"c4686"</definedName>
    <definedName name="IQ_PRETAX_INC_STDDEV_EST_THOM" hidden="1">"c5124"</definedName>
    <definedName name="IQ_PRETAX_OPERATING_INC_AVG_ASSETS_FFIEC" hidden="1">"c13365"</definedName>
    <definedName name="IQ_PRETAX_REPORT_INC_EST" hidden="1">"c1709"</definedName>
    <definedName name="IQ_PRETAX_REPORT_INC_EST_CIQ" hidden="1">"c4695"</definedName>
    <definedName name="IQ_PRETAX_REPORT_INC_EST_DOWN_2MONTH" hidden="1">"c16405"</definedName>
    <definedName name="IQ_PRETAX_REPORT_INC_EST_DOWN_2MONTH_CIQ" hidden="1">"c16693"</definedName>
    <definedName name="IQ_PRETAX_REPORT_INC_EST_DOWN_3MONTH" hidden="1">"c16409"</definedName>
    <definedName name="IQ_PRETAX_REPORT_INC_EST_DOWN_3MONTH_CIQ" hidden="1">"c16697"</definedName>
    <definedName name="IQ_PRETAX_REPORT_INC_EST_DOWN_MONTH" hidden="1">"c16401"</definedName>
    <definedName name="IQ_PRETAX_REPORT_INC_EST_DOWN_MONTH_CIQ" hidden="1">"c16689"</definedName>
    <definedName name="IQ_PRETAX_REPORT_INC_EST_NOTE" hidden="1">"c17512"</definedName>
    <definedName name="IQ_PRETAX_REPORT_INC_EST_NOTE_CIQ" hidden="1">"c17465"</definedName>
    <definedName name="IQ_PRETAX_REPORT_INC_EST_NUM_ANALYSTS_2MONTH" hidden="1">"c16403"</definedName>
    <definedName name="IQ_PRETAX_REPORT_INC_EST_NUM_ANALYSTS_2MONTH_CIQ" hidden="1">"c16691"</definedName>
    <definedName name="IQ_PRETAX_REPORT_INC_EST_NUM_ANALYSTS_3MONTH" hidden="1">"c16407"</definedName>
    <definedName name="IQ_PRETAX_REPORT_INC_EST_NUM_ANALYSTS_3MONTH_CIQ" hidden="1">"c16695"</definedName>
    <definedName name="IQ_PRETAX_REPORT_INC_EST_NUM_ANALYSTS_MONTH" hidden="1">"c16399"</definedName>
    <definedName name="IQ_PRETAX_REPORT_INC_EST_NUM_ANALYSTS_MONTH_CIQ" hidden="1">"c16687"</definedName>
    <definedName name="IQ_PRETAX_REPORT_INC_EST_TOTAL_REVISED_2MONTH" hidden="1">"c16406"</definedName>
    <definedName name="IQ_PRETAX_REPORT_INC_EST_TOTAL_REVISED_2MONTH_CIQ" hidden="1">"c16694"</definedName>
    <definedName name="IQ_PRETAX_REPORT_INC_EST_TOTAL_REVISED_3MONTH" hidden="1">"c16410"</definedName>
    <definedName name="IQ_PRETAX_REPORT_INC_EST_TOTAL_REVISED_3MONTH_CIQ" hidden="1">"c16698"</definedName>
    <definedName name="IQ_PRETAX_REPORT_INC_EST_TOTAL_REVISED_MONTH" hidden="1">"c16402"</definedName>
    <definedName name="IQ_PRETAX_REPORT_INC_EST_TOTAL_REVISED_MONTH_CIQ" hidden="1">"c16690"</definedName>
    <definedName name="IQ_PRETAX_REPORT_INC_EST_UP_2MONTH" hidden="1">"c16404"</definedName>
    <definedName name="IQ_PRETAX_REPORT_INC_EST_UP_2MONTH_CIQ" hidden="1">"c16692"</definedName>
    <definedName name="IQ_PRETAX_REPORT_INC_EST_UP_3MONTH" hidden="1">"c16408"</definedName>
    <definedName name="IQ_PRETAX_REPORT_INC_EST_UP_3MONTH_CIQ" hidden="1">"c16696"</definedName>
    <definedName name="IQ_PRETAX_REPORT_INC_EST_UP_MONTH" hidden="1">"c16400"</definedName>
    <definedName name="IQ_PRETAX_REPORT_INC_EST_UP_MONTH_CIQ" hidden="1">"c16688"</definedName>
    <definedName name="IQ_PRETAX_REPORT_INC_HIGH_EST" hidden="1">"c1711"</definedName>
    <definedName name="IQ_PRETAX_REPORT_INC_HIGH_EST_CIQ" hidden="1">"c4697"</definedName>
    <definedName name="IQ_PRETAX_REPORT_INC_LOW_EST" hidden="1">"c1712"</definedName>
    <definedName name="IQ_PRETAX_REPORT_INC_LOW_EST_CIQ" hidden="1">"c4698"</definedName>
    <definedName name="IQ_PRETAX_REPORT_INC_MEDIAN_EST" hidden="1">"c1710"</definedName>
    <definedName name="IQ_PRETAX_REPORT_INC_MEDIAN_EST_CIQ" hidden="1">"c4696"</definedName>
    <definedName name="IQ_PRETAX_REPORT_INC_NUM_EST" hidden="1">"c1713"</definedName>
    <definedName name="IQ_PRETAX_REPORT_INC_NUM_EST_CIQ" hidden="1">"c4699"</definedName>
    <definedName name="IQ_PRETAX_REPORT_INC_STDDEV_EST" hidden="1">"c1714"</definedName>
    <definedName name="IQ_PRETAX_REPORT_INC_STDDEV_EST_CIQ" hidden="1">"c4700"</definedName>
    <definedName name="IQ_PRETAX_RETURN_ASSETS_FDIC" hidden="1">"c6731"</definedName>
    <definedName name="IQ_PREV_MONTHLY_FACTOR" hidden="1">"c8973"</definedName>
    <definedName name="IQ_PREV_MONTHLY_FACTOR_DATE" hidden="1">"c8974"</definedName>
    <definedName name="IQ_PREVIOUS_TIME_RT" hidden="1">"PREVIOUSLASTTIME"</definedName>
    <definedName name="IQ_PRICE_CFPS_FWD" hidden="1">"c2237"</definedName>
    <definedName name="IQ_PRICE_CFPS_FWD_CIQ" hidden="1">"c4046"</definedName>
    <definedName name="IQ_PRICE_CFPS_FWD_THOM" hidden="1">"c4060"</definedName>
    <definedName name="IQ_PRICE_OVER_BVPS" hidden="1">"c1026"</definedName>
    <definedName name="IQ_PRICE_OVER_EPS_EST" hidden="1">"IQ_PRICE_OVER_EPS_EST"</definedName>
    <definedName name="IQ_PRICE_OVER_EPS_EST_1" hidden="1">"IQ_PRICE_OVER_EPS_EST_1"</definedName>
    <definedName name="IQ_PRICE_OVER_LTM_EPS" hidden="1">"c1029"</definedName>
    <definedName name="IQ_PRICE_PAID_FARM_INDEX" hidden="1">"c6948"</definedName>
    <definedName name="IQ_PRICE_PAID_FARM_INDEX_APR" hidden="1">"c7608"</definedName>
    <definedName name="IQ_PRICE_PAID_FARM_INDEX_APR_FC" hidden="1">"c8488"</definedName>
    <definedName name="IQ_PRICE_PAID_FARM_INDEX_FC" hidden="1">"c7828"</definedName>
    <definedName name="IQ_PRICE_PAID_FARM_INDEX_POP" hidden="1">"c7168"</definedName>
    <definedName name="IQ_PRICE_PAID_FARM_INDEX_POP_FC" hidden="1">"c8048"</definedName>
    <definedName name="IQ_PRICE_PAID_FARM_INDEX_YOY" hidden="1">"c7388"</definedName>
    <definedName name="IQ_PRICE_PAID_FARM_INDEX_YOY_FC" hidden="1">"c8268"</definedName>
    <definedName name="IQ_PRICE_SALES" hidden="1">"c17552"</definedName>
    <definedName name="IQ_PRICE_TARGET" hidden="1">"c82"</definedName>
    <definedName name="IQ_PRICE_TARGET_BOTTOM_UP" hidden="1">"c5486"</definedName>
    <definedName name="IQ_PRICE_TARGET_BOTTOM_UP_CIQ" hidden="1">"c12023"</definedName>
    <definedName name="IQ_PRICE_TARGET_CIQ" hidden="1">"c3613"</definedName>
    <definedName name="IQ_PRICE_TARGET_REUT" hidden="1">"c3631"</definedName>
    <definedName name="IQ_PRICE_TARGET_THOM" hidden="1">"c3649"</definedName>
    <definedName name="IQ_PRICE_VOL_HIST_2YR" hidden="1">"c15637"</definedName>
    <definedName name="IQ_PRICE_VOL_HIST_3MTH" hidden="1">"c15634"</definedName>
    <definedName name="IQ_PRICE_VOL_HIST_5YR" hidden="1">"c15638"</definedName>
    <definedName name="IQ_PRICE_VOL_HIST_6MTH" hidden="1">"c15635"</definedName>
    <definedName name="IQ_PRICE_VOL_HIST_YR" hidden="1">"c15636"</definedName>
    <definedName name="IQ_PRICE_VOLATILITY_EST" hidden="1">"c4492"</definedName>
    <definedName name="IQ_PRICE_VOLATILITY_EST_CIQ" hidden="1">"c5030"</definedName>
    <definedName name="IQ_PRICE_VOLATILITY_EST_CIQ_COL" hidden="1">"c11677"</definedName>
    <definedName name="IQ_PRICE_VOLATILITY_HIGH" hidden="1">"c4493"</definedName>
    <definedName name="IQ_PRICE_VOLATILITY_HIGH_CIQ" hidden="1">"c5031"</definedName>
    <definedName name="IQ_PRICE_VOLATILITY_HIGH_CIQ_COL" hidden="1">"c11678"</definedName>
    <definedName name="IQ_PRICE_VOLATILITY_LOW" hidden="1">"c4494"</definedName>
    <definedName name="IQ_PRICE_VOLATILITY_LOW_CIQ" hidden="1">"c5032"</definedName>
    <definedName name="IQ_PRICE_VOLATILITY_LOW_CIQ_COL" hidden="1">"c11679"</definedName>
    <definedName name="IQ_PRICE_VOLATILITY_MEDIAN" hidden="1">"c4495"</definedName>
    <definedName name="IQ_PRICE_VOLATILITY_MEDIAN_CIQ" hidden="1">"c5033"</definedName>
    <definedName name="IQ_PRICE_VOLATILITY_MEDIAN_CIQ_COL" hidden="1">"c11680"</definedName>
    <definedName name="IQ_PRICE_VOLATILITY_NUM" hidden="1">"c4496"</definedName>
    <definedName name="IQ_PRICE_VOLATILITY_NUM_CIQ" hidden="1">"c5034"</definedName>
    <definedName name="IQ_PRICE_VOLATILITY_NUM_CIQ_COL" hidden="1">"c11681"</definedName>
    <definedName name="IQ_PRICE_VOLATILITY_STDDEV" hidden="1">"c4497"</definedName>
    <definedName name="IQ_PRICE_VOLATILITY_STDDEV_CIQ" hidden="1">"c5035"</definedName>
    <definedName name="IQ_PRICE_VOLATILITY_STDDEV_CIQ_COL" hidden="1">"c11682"</definedName>
    <definedName name="IQ_PRICEDATE" hidden="1">"c1069"</definedName>
    <definedName name="IQ_PRICEDATETIME" hidden="1">"IQ_PRICEDATETIME"</definedName>
    <definedName name="IQ_PRICING_DATE" hidden="1">"c1613"</definedName>
    <definedName name="IQ_PRIMARY_EPS_TYPE" hidden="1">"c4498"</definedName>
    <definedName name="IQ_PRIMARY_EPS_TYPE_CIQ" hidden="1">"c5036"</definedName>
    <definedName name="IQ_PRIMARY_EPS_TYPE_THOM" hidden="1">"c5297"</definedName>
    <definedName name="IQ_PRIMARY_EST_CONSOLIDATION" hidden="1">"c16246"</definedName>
    <definedName name="IQ_PRIMARY_EST_CONSOLIDATION_CIQ" hidden="1">"c16247"</definedName>
    <definedName name="IQ_PRIMARY_INDUSTRY" hidden="1">"c1070"</definedName>
    <definedName name="IQ_PRIMARY_SIC_CODE" hidden="1">"c16218"</definedName>
    <definedName name="IQ_PRIMARY_SIC_INDUSTRY" hidden="1">"c16217"</definedName>
    <definedName name="IQ_PRINCIPAL_AMT" hidden="1">"c2157"</definedName>
    <definedName name="IQ_PRIOR_PERIOD_ADJUSTMENTS_SAVINGS_ASSOCIATION_THRIFT" hidden="1">"c25017"</definedName>
    <definedName name="IQ_PRIVATE_CONST_TOTAL_APR_FC_UNUSED" hidden="1">"c8559"</definedName>
    <definedName name="IQ_PRIVATE_CONST_TOTAL_APR_FC_UNUSED_UNUSED_UNUSED" hidden="1">"c8559"</definedName>
    <definedName name="IQ_PRIVATE_CONST_TOTAL_APR_UNUSED" hidden="1">"c7679"</definedName>
    <definedName name="IQ_PRIVATE_CONST_TOTAL_APR_UNUSED_UNUSED_UNUSED" hidden="1">"c7679"</definedName>
    <definedName name="IQ_PRIVATE_CONST_TOTAL_FC_UNUSED" hidden="1">"c7899"</definedName>
    <definedName name="IQ_PRIVATE_CONST_TOTAL_FC_UNUSED_UNUSED_UNUSED" hidden="1">"c7899"</definedName>
    <definedName name="IQ_PRIVATE_CONST_TOTAL_POP_FC_UNUSED" hidden="1">"c8119"</definedName>
    <definedName name="IQ_PRIVATE_CONST_TOTAL_POP_FC_UNUSED_UNUSED_UNUSED" hidden="1">"c8119"</definedName>
    <definedName name="IQ_PRIVATE_CONST_TOTAL_POP_UNUSED" hidden="1">"c7239"</definedName>
    <definedName name="IQ_PRIVATE_CONST_TOTAL_POP_UNUSED_UNUSED_UNUSED" hidden="1">"c7239"</definedName>
    <definedName name="IQ_PRIVATE_CONST_TOTAL_UNUSED" hidden="1">"c7019"</definedName>
    <definedName name="IQ_PRIVATE_CONST_TOTAL_UNUSED_UNUSED_UNUSED" hidden="1">"c7019"</definedName>
    <definedName name="IQ_PRIVATE_CONST_TOTAL_YOY_FC_UNUSED" hidden="1">"c8339"</definedName>
    <definedName name="IQ_PRIVATE_CONST_TOTAL_YOY_FC_UNUSED_UNUSED_UNUSED" hidden="1">"c8339"</definedName>
    <definedName name="IQ_PRIVATE_CONST_TOTAL_YOY_UNUSED" hidden="1">"c7459"</definedName>
    <definedName name="IQ_PRIVATE_CONST_TOTAL_YOY_UNUSED_UNUSED_UNUSED" hidden="1">"c7459"</definedName>
    <definedName name="IQ_PRIVATE_FIXED_INVEST_TOTAL" hidden="1">"c12006"</definedName>
    <definedName name="IQ_PRIVATE_FIXED_INVEST_TOTAL_APR" hidden="1">"c12009"</definedName>
    <definedName name="IQ_PRIVATE_FIXED_INVEST_TOTAL_POP" hidden="1">"c12007"</definedName>
    <definedName name="IQ_PRIVATE_FIXED_INVEST_TOTAL_YOY" hidden="1">"c12008"</definedName>
    <definedName name="IQ_PRIVATE_NONRES_CONST_IMPROV" hidden="1">"c6949"</definedName>
    <definedName name="IQ_PRIVATE_NONRES_CONST_IMPROV_APR" hidden="1">"c7609"</definedName>
    <definedName name="IQ_PRIVATE_NONRES_CONST_IMPROV_APR_FC" hidden="1">"c8489"</definedName>
    <definedName name="IQ_PRIVATE_NONRES_CONST_IMPROV_FC" hidden="1">"c7829"</definedName>
    <definedName name="IQ_PRIVATE_NONRES_CONST_IMPROV_POP" hidden="1">"c7169"</definedName>
    <definedName name="IQ_PRIVATE_NONRES_CONST_IMPROV_POP_FC" hidden="1">"c8049"</definedName>
    <definedName name="IQ_PRIVATE_NONRES_CONST_IMPROV_YOY" hidden="1">"c7389"</definedName>
    <definedName name="IQ_PRIVATE_NONRES_CONST_IMPROV_YOY_FC" hidden="1">"c8269"</definedName>
    <definedName name="IQ_PRIVATE_RES_CONST_IMPROV" hidden="1">"c6950"</definedName>
    <definedName name="IQ_PRIVATE_RES_CONST_IMPROV_APR" hidden="1">"c7610"</definedName>
    <definedName name="IQ_PRIVATE_RES_CONST_IMPROV_APR_FC" hidden="1">"c8490"</definedName>
    <definedName name="IQ_PRIVATE_RES_CONST_IMPROV_FC" hidden="1">"c7830"</definedName>
    <definedName name="IQ_PRIVATE_RES_CONST_IMPROV_POP" hidden="1">"c7170"</definedName>
    <definedName name="IQ_PRIVATE_RES_CONST_IMPROV_POP_FC" hidden="1">"c8050"</definedName>
    <definedName name="IQ_PRIVATE_RES_CONST_IMPROV_YOY" hidden="1">"c7390"</definedName>
    <definedName name="IQ_PRIVATE_RES_CONST_IMPROV_YOY_FC" hidden="1">"c8270"</definedName>
    <definedName name="IQ_PRIVATE_RES_CONST_REAL_APR_FC_UNUSED" hidden="1">"c8535"</definedName>
    <definedName name="IQ_PRIVATE_RES_CONST_REAL_APR_FC_UNUSED_UNUSED_UNUSED" hidden="1">"c8535"</definedName>
    <definedName name="IQ_PRIVATE_RES_CONST_REAL_APR_UNUSED" hidden="1">"c7655"</definedName>
    <definedName name="IQ_PRIVATE_RES_CONST_REAL_APR_UNUSED_UNUSED_UNUSED" hidden="1">"c7655"</definedName>
    <definedName name="IQ_PRIVATE_RES_CONST_REAL_FC_UNUSED" hidden="1">"c7875"</definedName>
    <definedName name="IQ_PRIVATE_RES_CONST_REAL_FC_UNUSED_UNUSED_UNUSED" hidden="1">"c7875"</definedName>
    <definedName name="IQ_PRIVATE_RES_CONST_REAL_POP_FC_UNUSED" hidden="1">"c8095"</definedName>
    <definedName name="IQ_PRIVATE_RES_CONST_REAL_POP_FC_UNUSED_UNUSED_UNUSED" hidden="1">"c8095"</definedName>
    <definedName name="IQ_PRIVATE_RES_CONST_REAL_POP_UNUSED" hidden="1">"c7215"</definedName>
    <definedName name="IQ_PRIVATE_RES_CONST_REAL_POP_UNUSED_UNUSED_UNUSED" hidden="1">"c7215"</definedName>
    <definedName name="IQ_PRIVATE_RES_CONST_REAL_UNUSED" hidden="1">"c6995"</definedName>
    <definedName name="IQ_PRIVATE_RES_CONST_REAL_UNUSED_UNUSED_UNUSED" hidden="1">"c6995"</definedName>
    <definedName name="IQ_PRIVATE_RES_CONST_REAL_YOY_FC_UNUSED" hidden="1">"c8315"</definedName>
    <definedName name="IQ_PRIVATE_RES_CONST_REAL_YOY_FC_UNUSED_UNUSED_UNUSED" hidden="1">"c8315"</definedName>
    <definedName name="IQ_PRIVATE_RES_CONST_REAL_YOY_UNUSED" hidden="1">"c7435"</definedName>
    <definedName name="IQ_PRIVATE_RES_CONST_REAL_YOY_UNUSED_UNUSED_UNUSED" hidden="1">"c7435"</definedName>
    <definedName name="IQ_PRIVATE_RES_FIXED_INVEST_REAL" hidden="1">"c11986"</definedName>
    <definedName name="IQ_PRIVATE_RES_FIXED_INVEST_REAL_APR" hidden="1">"c11989"</definedName>
    <definedName name="IQ_PRIVATE_RES_FIXED_INVEST_REAL_POP" hidden="1">"c11987"</definedName>
    <definedName name="IQ_PRIVATE_RES_FIXED_INVEST_REAL_YOY" hidden="1">"c11988"</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"c795"</definedName>
    <definedName name="IQ_PROBABLE_ATTRIB_ORE_RESERVES_ALUM" hidden="1">"c9217"</definedName>
    <definedName name="IQ_PROBABLE_ATTRIB_ORE_RESERVES_COP" hidden="1">"c9161"</definedName>
    <definedName name="IQ_PROBABLE_ATTRIB_ORE_RESERVES_DIAM" hidden="1">"c9641"</definedName>
    <definedName name="IQ_PROBABLE_ATTRIB_ORE_RESERVES_GOLD" hidden="1">"c9002"</definedName>
    <definedName name="IQ_PROBABLE_ATTRIB_ORE_RESERVES_IRON" hidden="1">"c9376"</definedName>
    <definedName name="IQ_PROBABLE_ATTRIB_ORE_RESERVES_LEAD" hidden="1">"c9429"</definedName>
    <definedName name="IQ_PROBABLE_ATTRIB_ORE_RESERVES_MANG" hidden="1">"c9482"</definedName>
    <definedName name="IQ_PROBABLE_ATTRIB_ORE_RESERVES_MOLYB" hidden="1">"c9694"</definedName>
    <definedName name="IQ_PROBABLE_ATTRIB_ORE_RESERVES_NICK" hidden="1">"c9270"</definedName>
    <definedName name="IQ_PROBABLE_ATTRIB_ORE_RESERVES_PLAT" hidden="1">"c9108"</definedName>
    <definedName name="IQ_PROBABLE_ATTRIB_ORE_RESERVES_SILVER" hidden="1">"c9055"</definedName>
    <definedName name="IQ_PROBABLE_ATTRIB_ORE_RESERVES_TITAN" hidden="1">"c9535"</definedName>
    <definedName name="IQ_PROBABLE_ATTRIB_ORE_RESERVES_URAN" hidden="1">"c9588"</definedName>
    <definedName name="IQ_PROBABLE_ATTRIB_ORE_RESERVES_ZINC" hidden="1">"c9323"</definedName>
    <definedName name="IQ_PROBABLE_ORE_RESERVES_ALUM" hidden="1">"c9209"</definedName>
    <definedName name="IQ_PROBABLE_ORE_RESERVES_COP" hidden="1">"c9153"</definedName>
    <definedName name="IQ_PROBABLE_ORE_RESERVES_DIAM" hidden="1">"c9633"</definedName>
    <definedName name="IQ_PROBABLE_ORE_RESERVES_GOLD" hidden="1">"c8994"</definedName>
    <definedName name="IQ_PROBABLE_ORE_RESERVES_IRON" hidden="1">"c9368"</definedName>
    <definedName name="IQ_PROBABLE_ORE_RESERVES_LEAD" hidden="1">"c9421"</definedName>
    <definedName name="IQ_PROBABLE_ORE_RESERVES_MANG" hidden="1">"c9474"</definedName>
    <definedName name="IQ_PROBABLE_ORE_RESERVES_MOLYB" hidden="1">"c9686"</definedName>
    <definedName name="IQ_PROBABLE_ORE_RESERVES_NICK" hidden="1">"c9262"</definedName>
    <definedName name="IQ_PROBABLE_ORE_RESERVES_PLAT" hidden="1">"c9100"</definedName>
    <definedName name="IQ_PROBABLE_ORE_RESERVES_SILVER" hidden="1">"c9047"</definedName>
    <definedName name="IQ_PROBABLE_ORE_RESERVES_TITAN" hidden="1">"c9527"</definedName>
    <definedName name="IQ_PROBABLE_ORE_RESERVES_URAN" hidden="1">"c9580"</definedName>
    <definedName name="IQ_PROBABLE_ORE_RESERVES_ZINC" hidden="1">"c9315"</definedName>
    <definedName name="IQ_PROBABLE_RECOV_ATTRIB_RESERVES_ALUM" hidden="1">"c9220"</definedName>
    <definedName name="IQ_PROBABLE_RECOV_ATTRIB_RESERVES_COAL" hidden="1">"c9804"</definedName>
    <definedName name="IQ_PROBABLE_RECOV_ATTRIB_RESERVES_COP" hidden="1">"c9164"</definedName>
    <definedName name="IQ_PROBABLE_RECOV_ATTRIB_RESERVES_DIAM" hidden="1">"c9644"</definedName>
    <definedName name="IQ_PROBABLE_RECOV_ATTRIB_RESERVES_GOLD" hidden="1">"c9005"</definedName>
    <definedName name="IQ_PROBABLE_RECOV_ATTRIB_RESERVES_IRON" hidden="1">"c9379"</definedName>
    <definedName name="IQ_PROBABLE_RECOV_ATTRIB_RESERVES_LEAD" hidden="1">"c9432"</definedName>
    <definedName name="IQ_PROBABLE_RECOV_ATTRIB_RESERVES_MANG" hidden="1">"c9485"</definedName>
    <definedName name="IQ_PROBABLE_RECOV_ATTRIB_RESERVES_MET_COAL" hidden="1">"c9744"</definedName>
    <definedName name="IQ_PROBABLE_RECOV_ATTRIB_RESERVES_MOLYB" hidden="1">"c9697"</definedName>
    <definedName name="IQ_PROBABLE_RECOV_ATTRIB_RESERVES_NICK" hidden="1">"c9273"</definedName>
    <definedName name="IQ_PROBABLE_RECOV_ATTRIB_RESERVES_PLAT" hidden="1">"c9111"</definedName>
    <definedName name="IQ_PROBABLE_RECOV_ATTRIB_RESERVES_SILVER" hidden="1">"c9058"</definedName>
    <definedName name="IQ_PROBABLE_RECOV_ATTRIB_RESERVES_STEAM" hidden="1">"c9774"</definedName>
    <definedName name="IQ_PROBABLE_RECOV_ATTRIB_RESERVES_TITAN" hidden="1">"c9538"</definedName>
    <definedName name="IQ_PROBABLE_RECOV_ATTRIB_RESERVES_URAN" hidden="1">"c9591"</definedName>
    <definedName name="IQ_PROBABLE_RECOV_ATTRIB_RESERVES_ZINC" hidden="1">"c9326"</definedName>
    <definedName name="IQ_PROBABLE_RECOV_RESERVES_ALUM" hidden="1">"c9214"</definedName>
    <definedName name="IQ_PROBABLE_RECOV_RESERVES_COAL" hidden="1">"c9801"</definedName>
    <definedName name="IQ_PROBABLE_RECOV_RESERVES_COP" hidden="1">"c9158"</definedName>
    <definedName name="IQ_PROBABLE_RECOV_RESERVES_DIAM" hidden="1">"c9638"</definedName>
    <definedName name="IQ_PROBABLE_RECOV_RESERVES_GOLD" hidden="1">"c8999"</definedName>
    <definedName name="IQ_PROBABLE_RECOV_RESERVES_IRON" hidden="1">"c9373"</definedName>
    <definedName name="IQ_PROBABLE_RECOV_RESERVES_LEAD" hidden="1">"c9426"</definedName>
    <definedName name="IQ_PROBABLE_RECOV_RESERVES_MANG" hidden="1">"c9479"</definedName>
    <definedName name="IQ_PROBABLE_RECOV_RESERVES_MET_COAL" hidden="1">"c9741"</definedName>
    <definedName name="IQ_PROBABLE_RECOV_RESERVES_MOLYB" hidden="1">"c9691"</definedName>
    <definedName name="IQ_PROBABLE_RECOV_RESERVES_NICK" hidden="1">"c9267"</definedName>
    <definedName name="IQ_PROBABLE_RECOV_RESERVES_PLAT" hidden="1">"c9105"</definedName>
    <definedName name="IQ_PROBABLE_RECOV_RESERVES_SILVER" hidden="1">"c9052"</definedName>
    <definedName name="IQ_PROBABLE_RECOV_RESERVES_STEAM" hidden="1">"c9771"</definedName>
    <definedName name="IQ_PROBABLE_RECOV_RESERVES_TITAN" hidden="1">"c9532"</definedName>
    <definedName name="IQ_PROBABLE_RECOV_RESERVES_URAN" hidden="1">"c9585"</definedName>
    <definedName name="IQ_PROBABLE_RECOV_RESERVES_ZINC" hidden="1">"c9320"</definedName>
    <definedName name="IQ_PROBABLE_RESERVES_CALORIFIC_VALUE_COAL" hidden="1">"c9798"</definedName>
    <definedName name="IQ_PROBABLE_RESERVES_CALORIFIC_VALUE_MET_COAL" hidden="1">"c9738"</definedName>
    <definedName name="IQ_PROBABLE_RESERVES_CALORIFIC_VALUE_STEAM" hidden="1">"c9768"</definedName>
    <definedName name="IQ_PROBABLE_RESERVES_GRADE_ALUM" hidden="1">"c9210"</definedName>
    <definedName name="IQ_PROBABLE_RESERVES_GRADE_COP" hidden="1">"c9154"</definedName>
    <definedName name="IQ_PROBABLE_RESERVES_GRADE_DIAM" hidden="1">"c9634"</definedName>
    <definedName name="IQ_PROBABLE_RESERVES_GRADE_GOLD" hidden="1">"c8995"</definedName>
    <definedName name="IQ_PROBABLE_RESERVES_GRADE_IRON" hidden="1">"c9369"</definedName>
    <definedName name="IQ_PROBABLE_RESERVES_GRADE_LEAD" hidden="1">"c9422"</definedName>
    <definedName name="IQ_PROBABLE_RESERVES_GRADE_MANG" hidden="1">"c9475"</definedName>
    <definedName name="IQ_PROBABLE_RESERVES_GRADE_MOLYB" hidden="1">"c9687"</definedName>
    <definedName name="IQ_PROBABLE_RESERVES_GRADE_NICK" hidden="1">"c9263"</definedName>
    <definedName name="IQ_PROBABLE_RESERVES_GRADE_PLAT" hidden="1">"c9101"</definedName>
    <definedName name="IQ_PROBABLE_RESERVES_GRADE_SILVER" hidden="1">"c9048"</definedName>
    <definedName name="IQ_PROBABLE_RESERVES_GRADE_TITAN" hidden="1">"c9528"</definedName>
    <definedName name="IQ_PROBABLE_RESERVES_GRADE_URAN" hidden="1">"c9581"</definedName>
    <definedName name="IQ_PROBABLE_RESERVES_GRADE_ZINC" hidden="1">"c9316"</definedName>
    <definedName name="IQ_PROBABLE_RESERVES_TO_TOTAL_RESERVES_COAL" hidden="1">"c15953"</definedName>
    <definedName name="IQ_PRODUCTION_COST_ALUM" hidden="1">"c9253"</definedName>
    <definedName name="IQ_PRODUCTION_COST_COAL" hidden="1">"c9826"</definedName>
    <definedName name="IQ_PRODUCTION_COST_COP" hidden="1">"c9200"</definedName>
    <definedName name="IQ_PRODUCTION_COST_DIAM" hidden="1">"c9677"</definedName>
    <definedName name="IQ_PRODUCTION_COST_GOLD" hidden="1">"c9038"</definedName>
    <definedName name="IQ_PRODUCTION_COST_IRON" hidden="1">"c9412"</definedName>
    <definedName name="IQ_PRODUCTION_COST_LEAD" hidden="1">"c9465"</definedName>
    <definedName name="IQ_PRODUCTION_COST_MANG" hidden="1">"c9518"</definedName>
    <definedName name="IQ_PRODUCTION_COST_MET_COAL" hidden="1">"c9763"</definedName>
    <definedName name="IQ_PRODUCTION_COST_MOLYB" hidden="1">"c9730"</definedName>
    <definedName name="IQ_PRODUCTION_COST_NICK" hidden="1">"c9306"</definedName>
    <definedName name="IQ_PRODUCTION_COST_PLAT" hidden="1">"c9144"</definedName>
    <definedName name="IQ_PRODUCTION_COST_SILVER" hidden="1">"c9091"</definedName>
    <definedName name="IQ_PRODUCTION_COST_STEAM" hidden="1">"c9793"</definedName>
    <definedName name="IQ_PRODUCTION_COST_TITAN" hidden="1">"c9571"</definedName>
    <definedName name="IQ_PRODUCTION_COST_URAN" hidden="1">"c9624"</definedName>
    <definedName name="IQ_PRODUCTION_COST_ZINC" hidden="1">"c9359"</definedName>
    <definedName name="IQ_PRODUCTION_TO_SOLD_COAL" hidden="1">"c15945"</definedName>
    <definedName name="IQ_PROFESSIONAL" hidden="1">"c1071"</definedName>
    <definedName name="IQ_PROFESSIONAL_ALL_OTHER_COMP" hidden="1">"c18944"</definedName>
    <definedName name="IQ_PROFESSIONAL_ANNUAL_CASH_COMP" hidden="1">"c18945"</definedName>
    <definedName name="IQ_PROFESSIONAL_AS_REPORTED_COMP" hidden="1">"c18949"</definedName>
    <definedName name="IQ_PROFESSIONAL_AS_REPORTED_DIRECTOR_COMP" hidden="1">"c18961"</definedName>
    <definedName name="IQ_PROFESSIONAL_ASSISTANT_EMAIL" hidden="1">"c15169"</definedName>
    <definedName name="IQ_PROFESSIONAL_ASSISTANT_FAX" hidden="1">"c15171"</definedName>
    <definedName name="IQ_PROFESSIONAL_ASSISTANT_NAME" hidden="1">"c15168"</definedName>
    <definedName name="IQ_PROFESSIONAL_ASSISTANT_PHONE" hidden="1">"c15170"</definedName>
    <definedName name="IQ_PROFESSIONAL_BACKGROUND" hidden="1">"c15161"</definedName>
    <definedName name="IQ_PROFESSIONAL_BONUS" hidden="1">"c18940"</definedName>
    <definedName name="IQ_PROFESSIONAL_CALCULATED_COMP" hidden="1">"c18947"</definedName>
    <definedName name="IQ_PROFESSIONAL_CHANGE_PENSION" hidden="1">"c18962"</definedName>
    <definedName name="IQ_PROFESSIONAL_DIRECT_FAX" hidden="1">"c15166"</definedName>
    <definedName name="IQ_PROFESSIONAL_DIRECT_PHONE" hidden="1">"c15165"</definedName>
    <definedName name="IQ_PROFESSIONAL_DIRECTOR_BONUS" hidden="1">"c18956"</definedName>
    <definedName name="IQ_PROFESSIONAL_DIRECTOR_CHANGE_PENSION" hidden="1">"c18957"</definedName>
    <definedName name="IQ_PROFESSIONAL_DIRECTOR_FEE" hidden="1">"c18953"</definedName>
    <definedName name="IQ_PROFESSIONAL_DIRECTOR_NON_EQUITY_COMP" hidden="1">"c18958"</definedName>
    <definedName name="IQ_PROFESSIONAL_DIRECTOR_OPTION_AWARDS" hidden="1">"c18954"</definedName>
    <definedName name="IQ_PROFESSIONAL_DIRECTOR_OTHER" hidden="1">"c18955"</definedName>
    <definedName name="IQ_PROFESSIONAL_DIRECTOR_STOCK_AWARDS" hidden="1">"c18959"</definedName>
    <definedName name="IQ_PROFESSIONAL_DIRECTOR_STOCK_GRANTS" hidden="1">"c18986"</definedName>
    <definedName name="IQ_PROFESSIONAL_DIRECTOR_STOCK_OPTIONS" hidden="1">"c18960"</definedName>
    <definedName name="IQ_PROFESSIONAL_EMAIL" hidden="1">"c15167"</definedName>
    <definedName name="IQ_PROFESSIONAL_EQUITY_INCENTIVE" hidden="1">"c18982"</definedName>
    <definedName name="IQ_PROFESSIONAL_EST_PAYMENTS_CHANGE_CONTROL" hidden="1">"c18951"</definedName>
    <definedName name="IQ_PROFESSIONAL_EST_PAYMENTS_TERMINATION" hidden="1">"c18963"</definedName>
    <definedName name="IQ_PROFESSIONAL_EXERCISABLE_OPTIONS" hidden="1">"c18966"</definedName>
    <definedName name="IQ_PROFESSIONAL_EXERCISABLE_VALUES" hidden="1">"c18967"</definedName>
    <definedName name="IQ_PROFESSIONAL_EXERCISED_OPTIONS" hidden="1">"c18964"</definedName>
    <definedName name="IQ_PROFESSIONAL_EXERCISED_VALUES" hidden="1">"c18965"</definedName>
    <definedName name="IQ_PROFESSIONAL_ID" hidden="1">"c13755"</definedName>
    <definedName name="IQ_PROFESSIONAL_LT_INCENTIVE" hidden="1">"c18943"</definedName>
    <definedName name="IQ_PROFESSIONAL_MAIN_FAX" hidden="1">"c15164"</definedName>
    <definedName name="IQ_PROFESSIONAL_MAIN_PHONE" hidden="1">"c15163"</definedName>
    <definedName name="IQ_PROFESSIONAL_MARKET_VALUE_SHARES_NOT_VESTED" hidden="1">"c18981"</definedName>
    <definedName name="IQ_PROFESSIONAL_NON_EQUITY_INCENTIVE" hidden="1">"c18952"</definedName>
    <definedName name="IQ_PROFESSIONAL_NUM_SHARED_NOT_VESTED" hidden="1">"c18980"</definedName>
    <definedName name="IQ_PROFESSIONAL_NUM_SHARES_ACQUIRED" hidden="1">"c18978"</definedName>
    <definedName name="IQ_PROFESSIONAL_OFFICE_ADDRESS" hidden="1">"c15162"</definedName>
    <definedName name="IQ_PROFESSIONAL_OPTION_AWARDS" hidden="1">"c18948"</definedName>
    <definedName name="IQ_PROFESSIONAL_OPTION_MARKET_PRICE" hidden="1">"c18977"</definedName>
    <definedName name="IQ_PROFESSIONAL_OPTION_PRICE" hidden="1">"c18976"</definedName>
    <definedName name="IQ_PROFESSIONAL_OTHER_ANNUAL_COMP" hidden="1">"c18941"</definedName>
    <definedName name="IQ_PROFESSIONAL_OTHER_COMP" hidden="1">"c18950"</definedName>
    <definedName name="IQ_PROFESSIONAL_RESTRICTED_STOCK_COMP" hidden="1">"c18942"</definedName>
    <definedName name="IQ_PROFESSIONAL_SALARY" hidden="1">"c18939"</definedName>
    <definedName name="IQ_PROFESSIONAL_ST_COMP" hidden="1">"c18946"</definedName>
    <definedName name="IQ_PROFESSIONAL_TITLE" hidden="1">"c1072"</definedName>
    <definedName name="IQ_PROFESSIONAL_TOTAL_NUM_STOCK_AWARDS" hidden="1">"c18985"</definedName>
    <definedName name="IQ_PROFESSIONAL_TOTAL_OPTIONS" hidden="1">"c18974"</definedName>
    <definedName name="IQ_PROFESSIONAL_TOTAL_STOCK_VALUE" hidden="1">"c18984"</definedName>
    <definedName name="IQ_PROFESSIONAL_TOTAL_VALUE_OPTIONS" hidden="1">"c18975"</definedName>
    <definedName name="IQ_PROFESSIONAL_UNCLASSIFIED_OPTIONS" hidden="1">"c18970"</definedName>
    <definedName name="IQ_PROFESSIONAL_UNCLASSIFIED_OPTIONS_VALUE" hidden="1">"c18971"</definedName>
    <definedName name="IQ_PROFESSIONAL_UNEARNED_STOCK_VALUE" hidden="1">"c18983"</definedName>
    <definedName name="IQ_PROFESSIONAL_UNEXERCISABLE_OPTIONS" hidden="1">"c18968"</definedName>
    <definedName name="IQ_PROFESSIONAL_UNEXERCISABLE_VALUES" hidden="1">"c18969"</definedName>
    <definedName name="IQ_PROFESSIONAL_UNEXERCISED_UNEARNED_OPTIONS" hidden="1">"c18972"</definedName>
    <definedName name="IQ_PROFESSIONAL_UNEXERCISED_UNEARNED_OPTIONS_VALUE" hidden="1">"c18973"</definedName>
    <definedName name="IQ_PROFESSIONAL_VALUE_VESTING" hidden="1">"c18979"</definedName>
    <definedName name="IQ_PROFIT_AFTER_COST_CAPITAL_NEW_BUSINESS" hidden="1">"c9969"</definedName>
    <definedName name="IQ_PROFIT_BEFORE_COST_CAPITAL_NEW_BUSINESS" hidden="1">"c9967"</definedName>
    <definedName name="IQ_PROGRAMMING_COSTS" hidden="1">"c2884"</definedName>
    <definedName name="IQ_PROJECTED_PENSION_OBLIGATION" hidden="1">"c1292"</definedName>
    <definedName name="IQ_PROJECTED_PENSION_OBLIGATION_DOMESTIC" hidden="1">"c2656"</definedName>
    <definedName name="IQ_PROJECTED_PENSION_OBLIGATION_FOREIGN" hidden="1">"c2664"</definedName>
    <definedName name="IQ_PROP_MGMT_EXPENSE" hidden="1">"c16038"</definedName>
    <definedName name="IQ_PROP_MGMT_INCOME" hidden="1">"c16028"</definedName>
    <definedName name="IQ_PROP_OPERATING_EXPENSE" hidden="1">"c16037"</definedName>
    <definedName name="IQ_PROP_RENTAL_REVENUE" hidden="1">"c16019"</definedName>
    <definedName name="IQ_PROP_SALES_EXPENSE" hidden="1">"c16044"</definedName>
    <definedName name="IQ_PROPERTY_EXP" hidden="1">"c1073"</definedName>
    <definedName name="IQ_PROPERTY_GROSS" hidden="1">"c518"</definedName>
    <definedName name="IQ_PROPERTY_MGMT_FEE" hidden="1">"c1074"</definedName>
    <definedName name="IQ_PROPERTY_NET" hidden="1">"c829"</definedName>
    <definedName name="IQ_PROPERTY_TAX_INSURANCE" hidden="1">"c16033"</definedName>
    <definedName name="IQ_PROV_BAD_DEBTS" hidden="1">"c1075"</definedName>
    <definedName name="IQ_PROV_BAD_DEBTS_CF" hidden="1">"c1076"</definedName>
    <definedName name="IQ_PROVED_ATTRIB_ORE_RESERVES_ALUM" hidden="1">"c9216"</definedName>
    <definedName name="IQ_PROVED_ATTRIB_ORE_RESERVES_COP" hidden="1">"c9160"</definedName>
    <definedName name="IQ_PROVED_ATTRIB_ORE_RESERVES_DIAM" hidden="1">"c9640"</definedName>
    <definedName name="IQ_PROVED_ATTRIB_ORE_RESERVES_GOLD" hidden="1">"c9001"</definedName>
    <definedName name="IQ_PROVED_ATTRIB_ORE_RESERVES_IRON" hidden="1">"c9375"</definedName>
    <definedName name="IQ_PROVED_ATTRIB_ORE_RESERVES_LEAD" hidden="1">"c9428"</definedName>
    <definedName name="IQ_PROVED_ATTRIB_ORE_RESERVES_MANG" hidden="1">"c9481"</definedName>
    <definedName name="IQ_PROVED_ATTRIB_ORE_RESERVES_MOLYB" hidden="1">"c9693"</definedName>
    <definedName name="IQ_PROVED_ATTRIB_ORE_RESERVES_NICK" hidden="1">"c9269"</definedName>
    <definedName name="IQ_PROVED_ATTRIB_ORE_RESERVES_PLAT" hidden="1">"c9107"</definedName>
    <definedName name="IQ_PROVED_ATTRIB_ORE_RESERVES_SILVER" hidden="1">"c9054"</definedName>
    <definedName name="IQ_PROVED_ATTRIB_ORE_RESERVES_TITAN" hidden="1">"c9534"</definedName>
    <definedName name="IQ_PROVED_ATTRIB_ORE_RESERVES_URAN" hidden="1">"c9587"</definedName>
    <definedName name="IQ_PROVED_ATTRIB_ORE_RESERVES_ZINC" hidden="1">"c9322"</definedName>
    <definedName name="IQ_PROVED_ORE_RESERVES_ALUM" hidden="1">"c9207"</definedName>
    <definedName name="IQ_PROVED_ORE_RESERVES_COP" hidden="1">"c9151"</definedName>
    <definedName name="IQ_PROVED_ORE_RESERVES_DIAM" hidden="1">"c9631"</definedName>
    <definedName name="IQ_PROVED_ORE_RESERVES_GOLD" hidden="1">"c8992"</definedName>
    <definedName name="IQ_PROVED_ORE_RESERVES_IRON" hidden="1">"c9366"</definedName>
    <definedName name="IQ_PROVED_ORE_RESERVES_LEAD" hidden="1">"c9419"</definedName>
    <definedName name="IQ_PROVED_ORE_RESERVES_MANG" hidden="1">"c9472"</definedName>
    <definedName name="IQ_PROVED_ORE_RESERVES_MOLYB" hidden="1">"c9684"</definedName>
    <definedName name="IQ_PROVED_ORE_RESERVES_NICK" hidden="1">"c9260"</definedName>
    <definedName name="IQ_PROVED_ORE_RESERVES_PLAT" hidden="1">"c9098"</definedName>
    <definedName name="IQ_PROVED_ORE_RESERVES_SILVER" hidden="1">"c9045"</definedName>
    <definedName name="IQ_PROVED_ORE_RESERVES_TITAN" hidden="1">"c9525"</definedName>
    <definedName name="IQ_PROVED_ORE_RESERVES_URAN" hidden="1">"c9578"</definedName>
    <definedName name="IQ_PROVED_ORE_RESERVES_ZINC" hidden="1">"c9313"</definedName>
    <definedName name="IQ_PROVED_RECOV_ATTRIB_RESERVES_ALUM" hidden="1">"c9219"</definedName>
    <definedName name="IQ_PROVED_RECOV_ATTRIB_RESERVES_COAL" hidden="1">"c9803"</definedName>
    <definedName name="IQ_PROVED_RECOV_ATTRIB_RESERVES_COP" hidden="1">"c9163"</definedName>
    <definedName name="IQ_PROVED_RECOV_ATTRIB_RESERVES_DIAM" hidden="1">"c9643"</definedName>
    <definedName name="IQ_PROVED_RECOV_ATTRIB_RESERVES_GOLD" hidden="1">"c9004"</definedName>
    <definedName name="IQ_PROVED_RECOV_ATTRIB_RESERVES_IRON" hidden="1">"c9378"</definedName>
    <definedName name="IQ_PROVED_RECOV_ATTRIB_RESERVES_LEAD" hidden="1">"c9431"</definedName>
    <definedName name="IQ_PROVED_RECOV_ATTRIB_RESERVES_MANG" hidden="1">"c9484"</definedName>
    <definedName name="IQ_PROVED_RECOV_ATTRIB_RESERVES_MET_COAL" hidden="1">"c9743"</definedName>
    <definedName name="IQ_PROVED_RECOV_ATTRIB_RESERVES_MOLYB" hidden="1">"c9696"</definedName>
    <definedName name="IQ_PROVED_RECOV_ATTRIB_RESERVES_NICK" hidden="1">"c9272"</definedName>
    <definedName name="IQ_PROVED_RECOV_ATTRIB_RESERVES_PLAT" hidden="1">"c9110"</definedName>
    <definedName name="IQ_PROVED_RECOV_ATTRIB_RESERVES_SILVER" hidden="1">"c9057"</definedName>
    <definedName name="IQ_PROVED_RECOV_ATTRIB_RESERVES_STEAM" hidden="1">"c9773"</definedName>
    <definedName name="IQ_PROVED_RECOV_ATTRIB_RESERVES_TITAN" hidden="1">"c9537"</definedName>
    <definedName name="IQ_PROVED_RECOV_ATTRIB_RESERVES_URAN" hidden="1">"c9590"</definedName>
    <definedName name="IQ_PROVED_RECOV_ATTRIB_RESERVES_ZINC" hidden="1">"c9325"</definedName>
    <definedName name="IQ_PROVED_RECOV_RESERVES_ALUM" hidden="1">"c9213"</definedName>
    <definedName name="IQ_PROVED_RECOV_RESERVES_COAL" hidden="1">"c9800"</definedName>
    <definedName name="IQ_PROVED_RECOV_RESERVES_COP" hidden="1">"c9157"</definedName>
    <definedName name="IQ_PROVED_RECOV_RESERVES_DIAM" hidden="1">"c9637"</definedName>
    <definedName name="IQ_PROVED_RECOV_RESERVES_GOLD" hidden="1">"c8998"</definedName>
    <definedName name="IQ_PROVED_RECOV_RESERVES_IRON" hidden="1">"c9372"</definedName>
    <definedName name="IQ_PROVED_RECOV_RESERVES_LEAD" hidden="1">"c9425"</definedName>
    <definedName name="IQ_PROVED_RECOV_RESERVES_MANG" hidden="1">"c9478"</definedName>
    <definedName name="IQ_PROVED_RECOV_RESERVES_MET_COAL" hidden="1">"c9740"</definedName>
    <definedName name="IQ_PROVED_RECOV_RESERVES_MOLYB" hidden="1">"c9690"</definedName>
    <definedName name="IQ_PROVED_RECOV_RESERVES_NICK" hidden="1">"c9266"</definedName>
    <definedName name="IQ_PROVED_RECOV_RESERVES_PLAT" hidden="1">"c9104"</definedName>
    <definedName name="IQ_PROVED_RECOV_RESERVES_SILVER" hidden="1">"c9051"</definedName>
    <definedName name="IQ_PROVED_RECOV_RESERVES_STEAM" hidden="1">"c9770"</definedName>
    <definedName name="IQ_PROVED_RECOV_RESERVES_TITAN" hidden="1">"c9531"</definedName>
    <definedName name="IQ_PROVED_RECOV_RESERVES_URAN" hidden="1">"c9584"</definedName>
    <definedName name="IQ_PROVED_RECOV_RESERVES_ZINC" hidden="1">"c9319"</definedName>
    <definedName name="IQ_PROVED_RESERVES_CALORIFIC_VALUE_COAL" hidden="1">"c9797"</definedName>
    <definedName name="IQ_PROVED_RESERVES_CALORIFIC_VALUE_MET_COAL" hidden="1">"c9737"</definedName>
    <definedName name="IQ_PROVED_RESERVES_CALORIFIC_VALUE_STEAM" hidden="1">"c9767"</definedName>
    <definedName name="IQ_PROVED_RESERVES_GRADE_ALUM" hidden="1">"c9208"</definedName>
    <definedName name="IQ_PROVED_RESERVES_GRADE_COP" hidden="1">"c9152"</definedName>
    <definedName name="IQ_PROVED_RESERVES_GRADE_DIAM" hidden="1">"c9632"</definedName>
    <definedName name="IQ_PROVED_RESERVES_GRADE_GOLD" hidden="1">"c8993"</definedName>
    <definedName name="IQ_PROVED_RESERVES_GRADE_IRON" hidden="1">"c9367"</definedName>
    <definedName name="IQ_PROVED_RESERVES_GRADE_LEAD" hidden="1">"c9420"</definedName>
    <definedName name="IQ_PROVED_RESERVES_GRADE_MANG" hidden="1">"c9473"</definedName>
    <definedName name="IQ_PROVED_RESERVES_GRADE_MOLYB" hidden="1">"c9685"</definedName>
    <definedName name="IQ_PROVED_RESERVES_GRADE_NICK" hidden="1">"c9261"</definedName>
    <definedName name="IQ_PROVED_RESERVES_GRADE_PLAT" hidden="1">"c9099"</definedName>
    <definedName name="IQ_PROVED_RESERVES_GRADE_SILVER" hidden="1">"c9046"</definedName>
    <definedName name="IQ_PROVED_RESERVES_GRADE_TITAN" hidden="1">"c9526"</definedName>
    <definedName name="IQ_PROVED_RESERVES_GRADE_URAN" hidden="1">"c9579"</definedName>
    <definedName name="IQ_PROVED_RESERVES_GRADE_ZINC" hidden="1">"c9314"</definedName>
    <definedName name="IQ_PROVEN_RESERVES_TO_TOTAL_RESERVES_COAL" hidden="1">"c15952"</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AVG_LOANS" hidden="1">"c15717"</definedName>
    <definedName name="IQ_PROVISION_CHARGE_OFFS" hidden="1">"c1083"</definedName>
    <definedName name="IQ_PROVISION_LL_AVG_LOANS_THRIFT" hidden="1">"c25639"</definedName>
    <definedName name="IQ_PROVISION_LL_FFIEC" hidden="1">"c13019"</definedName>
    <definedName name="IQ_PROVISION_LL_INT_BEARING_ASSETS_THRIFT" hidden="1">"c24783"</definedName>
    <definedName name="IQ_PROVISION_LL_NET_LOSSES_THRIFT" hidden="1">"c25640"</definedName>
    <definedName name="IQ_PROVISION_LL_NON_INT_BEARING_ASSETS_THRIFT" hidden="1">"c24784"</definedName>
    <definedName name="IQ_PROVISION_LOAN_LL_AVG_ASSETS_THRIFT" hidden="1">"c25785"</definedName>
    <definedName name="IQ_PROVISION_LOAN_LOSS_AVG_ASSETS_FFIEC" hidden="1">"c18879"</definedName>
    <definedName name="IQ_PROVISION_LOAN_LOSSES_AVG_ASSETS_THRIFT" hidden="1">"c25653"</definedName>
    <definedName name="IQ_PROVISION_LOSSES_AVG_ASSETS_FFIEC" hidden="1">"c13362"</definedName>
    <definedName name="IQ_PROVISION_LOSSES_AVG_LOANS_FFIEC" hidden="1">"c13470"</definedName>
    <definedName name="IQ_PROVISION_LOSSES_NET_LOSSES_FFIEC" hidden="1">"c13471"</definedName>
    <definedName name="IQ_PSGR_REV" hidden="1">"c19125"</definedName>
    <definedName name="IQ_PTBV" hidden="1">"c1084"</definedName>
    <definedName name="IQ_PTBV_AVG" hidden="1">"c1085"</definedName>
    <definedName name="IQ_PURCHASE_FOREIGN_CURRENCIES_FDIC" hidden="1">"c6513"</definedName>
    <definedName name="IQ_PURCHASE_TREASURY_FFIEC" hidden="1">"c12966"</definedName>
    <definedName name="IQ_PURCHASED_COAL" hidden="1">"c15934"</definedName>
    <definedName name="IQ_PURCHASED_CREDIT_RELS_SERVICING_ASSETS_FFIEC" hidden="1">"c12839"</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D_PRODUCTION_TO_SOLD_COAL" hidden="1">"c15947"</definedName>
    <definedName name="IQ_PURCHASED_TO_PRODUCTION_COAL" hidden="1">"c15948"</definedName>
    <definedName name="IQ_PURCHASED_TO_SOLD_COAL" hidden="1">"c15946"</definedName>
    <definedName name="IQ_PURCHASES_EQUIP_NONRES_SAAR_APR_FC_UNUSED" hidden="1">"c8491"</definedName>
    <definedName name="IQ_PURCHASES_EQUIP_NONRES_SAAR_APR_FC_UNUSED_UNUSED_UNUSED" hidden="1">"c8491"</definedName>
    <definedName name="IQ_PURCHASES_EQUIP_NONRES_SAAR_APR_UNUSED" hidden="1">"c7611"</definedName>
    <definedName name="IQ_PURCHASES_EQUIP_NONRES_SAAR_APR_UNUSED_UNUSED_UNUSED" hidden="1">"c7611"</definedName>
    <definedName name="IQ_PURCHASES_EQUIP_NONRES_SAAR_FC_UNUSED" hidden="1">"c7831"</definedName>
    <definedName name="IQ_PURCHASES_EQUIP_NONRES_SAAR_FC_UNUSED_UNUSED_UNUSED" hidden="1">"c7831"</definedName>
    <definedName name="IQ_PURCHASES_EQUIP_NONRES_SAAR_POP_FC_UNUSED" hidden="1">"c8051"</definedName>
    <definedName name="IQ_PURCHASES_EQUIP_NONRES_SAAR_POP_FC_UNUSED_UNUSED_UNUSED" hidden="1">"c8051"</definedName>
    <definedName name="IQ_PURCHASES_EQUIP_NONRES_SAAR_POP_UNUSED" hidden="1">"c7171"</definedName>
    <definedName name="IQ_PURCHASES_EQUIP_NONRES_SAAR_POP_UNUSED_UNUSED_UNUSED" hidden="1">"c7171"</definedName>
    <definedName name="IQ_PURCHASES_EQUIP_NONRES_SAAR_UNUSED" hidden="1">"c6951"</definedName>
    <definedName name="IQ_PURCHASES_EQUIP_NONRES_SAAR_UNUSED_UNUSED_UNUSED" hidden="1">"c6951"</definedName>
    <definedName name="IQ_PURCHASES_EQUIP_NONRES_SAAR_YOY_FC_UNUSED" hidden="1">"c8271"</definedName>
    <definedName name="IQ_PURCHASES_EQUIP_NONRES_SAAR_YOY_FC_UNUSED_UNUSED_UNUSED" hidden="1">"c8271"</definedName>
    <definedName name="IQ_PURCHASES_EQUIP_NONRES_SAAR_YOY_UNUSED" hidden="1">"c7391"</definedName>
    <definedName name="IQ_PURCHASES_EQUIP_NONRES_SAAR_YOY_UNUSED_UNUSED_UNUSED" hidden="1">"c7391"</definedName>
    <definedName name="IQ_PURCHASES_OTHER_MORTGAGE_BACKED_SEC_THRIFT" hidden="1">"c25314"</definedName>
    <definedName name="IQ_PURCHASES_PASS_THROUGH_MORTGAGE_BACKED_SEC_THRIFT" hidden="1">"c25311"</definedName>
    <definedName name="IQ_PURCHASING_SECURITIES_LL_REC_FFIEC" hidden="1">"c12893"</definedName>
    <definedName name="IQ_PUT_DATE_SCHEDULE" hidden="1">"c2483"</definedName>
    <definedName name="IQ_PUT_NOTIFICATION" hidden="1">"c2485"</definedName>
    <definedName name="IQ_PUT_PRICE_SCHEDULE" hidden="1">"c2484"</definedName>
    <definedName name="IQ_PV_PREMIUMS_NEW_BUSINESS" hidden="1">"c9973"</definedName>
    <definedName name="IQ_QTD" hidden="1">750000</definedName>
    <definedName name="IQ_QUALIFYING_MINORITY_INT_T1_FFIEC" hidden="1">"c13135"</definedName>
    <definedName name="IQ_QUALIFYING_MULTIFAMILY_RES_MORTGAGE_LOANS_ELIGIBLE_50_PCT_RISK_WEIGHT_THRIFT" hidden="1">"c25065"</definedName>
    <definedName name="IQ_QUALIFYING_SINGLE_FAMILY_RES_MORTGAGE_LOANS_ELIGIBLE_50_PCT_RISK_WEIGHT_THRIFT" hidden="1">"c25064"</definedName>
    <definedName name="IQ_QUALIFYING_SUB_DEBT_REDEEM_PREF_T2_FFIEC" hidden="1">"c13144"</definedName>
    <definedName name="IQ_QUALIFYING_SUB_DEBT_REDEEMABLE_PREFERRED_T2_THRIFT" hidden="1">"c25041"</definedName>
    <definedName name="IQ_QUALIFYING_TRUST_PREFERRED_T1_FFIEC" hidden="1">"c13136"</definedName>
    <definedName name="IQ_QUICK_COMP" hidden="1">"c13750"</definedName>
    <definedName name="IQ_QUICK_RATIO" hidden="1">"c1086"</definedName>
    <definedName name="IQ_RATE_COMP_GROWTH_DOMESTIC" hidden="1">"c1087"</definedName>
    <definedName name="IQ_RATE_COMP_GROWTH_FOREIGN" hidden="1">"c1088"</definedName>
    <definedName name="IQ_RATE_COUNTRY" hidden="1">"c19247"</definedName>
    <definedName name="IQ_RATE_LEVEL" hidden="1">"c19251"</definedName>
    <definedName name="IQ_RATE_NAME" hidden="1">"c19249"</definedName>
    <definedName name="IQ_RATE_TERM" hidden="1">"c19248"</definedName>
    <definedName name="IQ_RATE_TYPE" hidden="1">"c19246"</definedName>
    <definedName name="IQ_RAW_INV" hidden="1">"c1089"</definedName>
    <definedName name="IQ_RAW_SALEABLE_INVENTORY_COAL" hidden="1">"c15941"</definedName>
    <definedName name="IQ_RC" hidden="1">"c2497"</definedName>
    <definedName name="IQ_RC_PCT" hidden="1">"c2498"</definedName>
    <definedName name="IQ_RD_EXP" hidden="1">"c1090"</definedName>
    <definedName name="IQ_RD_EXP_FN" hidden="1">"c1091"</definedName>
    <definedName name="IQ_RE" hidden="1">"c1092"</definedName>
    <definedName name="IQ_RE_1_4_DWELLING_UNITS_REPOSSESSED_ASSETS_ADJUSTED_NCOS_TOTAL_THRIFT" hidden="1">"c25220"</definedName>
    <definedName name="IQ_RE_1_4_DWELLING_UNITS_REPOSSESSED_ASSETS_GVA_CHARGE_OFFS_THRIFT" hidden="1">"c25135"</definedName>
    <definedName name="IQ_RE_1_4_DWELLING_UNITS_REPOSSESSED_ASSETS_SVA_PROVISIONS_TRANSFERS_FROM_GVA_TOTAL_THRIFT" hidden="1">"c25189"</definedName>
    <definedName name="IQ_RE_1_4_RISK_BASED_FFIEC" hidden="1">"c13418"</definedName>
    <definedName name="IQ_RE_ACQ_SATISFACTION_DEBTS_FFIEC" hidden="1">"c12832"</definedName>
    <definedName name="IQ_RE_ALL_OTHER_ACCOUNTS_THRIFT" hidden="1">"c25436"</definedName>
    <definedName name="IQ_RE_ASSET_DEVELOPMENT_PROP" hidden="1">"c19136"</definedName>
    <definedName name="IQ_RE_ASSET_INVESTMENT_PROP" hidden="1">"c19135"</definedName>
    <definedName name="IQ_RE_ASSET_OTHER_PROP" hidden="1">"c19137"</definedName>
    <definedName name="IQ_RE_ASSET_TOTAL_PROP" hidden="1">"c19138"</definedName>
    <definedName name="IQ_RE_CONSTRUCTION_REPOSSESSED_ASSETS_ADJUSTED_NCOS_TOTAL_THRIFT" hidden="1">"c25219"</definedName>
    <definedName name="IQ_RE_CONSTRUCTION_REPOSSESSED_ASSETS_GVA_CHARGE_OFFS_THRIFT" hidden="1">"c25134"</definedName>
    <definedName name="IQ_RE_CONSTRUCTION_REPOSSESSED_ASSETS_SVA_PROVISIONS_TRANSFERS_FROM_GVA_TOTAL_THRIFT" hidden="1">"c25188"</definedName>
    <definedName name="IQ_RE_DEPR_AMORT" hidden="1">"c8750"</definedName>
    <definedName name="IQ_RE_DEPRECIATION" hidden="1">"c16045"</definedName>
    <definedName name="IQ_RE_EMPLOYEE_BENEFIT_RETIREMENT_RELATED_ACCOUNTS_THRIFT" hidden="1">"c25420"</definedName>
    <definedName name="IQ_RE_FARMLAND_GROSS_LOANS_FFIEC" hidden="1">"c13408"</definedName>
    <definedName name="IQ_RE_FARMLAND_RISK_BASED_FFIEC" hidden="1">"c13429"</definedName>
    <definedName name="IQ_RE_FCCR" hidden="1">"c8858"</definedName>
    <definedName name="IQ_RE_FCCR_CONT_OPS" hidden="1">"c8859"</definedName>
    <definedName name="IQ_RE_FCCR_INCL_DISC_OPS" hidden="1">"c8860"</definedName>
    <definedName name="IQ_RE_FCCR_INCL_PREF_DIV" hidden="1">"c8861"</definedName>
    <definedName name="IQ_RE_FCCR_INCL_PREF_DIV_CONT_OPS" hidden="1">"c8862"</definedName>
    <definedName name="IQ_RE_FCCR_INCL_PREF_DIV_INCL_DISC_OPS" hidden="1">"c8863"</definedName>
    <definedName name="IQ_RE_FIXED_CHARGES" hidden="1">"c8856"</definedName>
    <definedName name="IQ_RE_FIXED_CHARGES_INCL_PREF_DIV" hidden="1">"c8857"</definedName>
    <definedName name="IQ_RE_FORECLOSURE_FDIC" hidden="1">"c6332"</definedName>
    <definedName name="IQ_RE_FOREIGN_FFIEC" hidden="1">"c13479"</definedName>
    <definedName name="IQ_RE_GAIN_LOSS_SALE_ASSETS" hidden="1">"c8751"</definedName>
    <definedName name="IQ_RE_HELD_INV_ADJUSTED_NCOS_THRIFT" hidden="1">"c25225"</definedName>
    <definedName name="IQ_RE_HELD_INV_GVA_CHARGE_OFFS_THRIFT" hidden="1">"c25140"</definedName>
    <definedName name="IQ_RE_HELD_INV_SVA_PROVISIONS_TRANSFERS_FROM_GVA_THRIFT" hidden="1">"c25194"</definedName>
    <definedName name="IQ_RE_HELD_INV_THRIFT" hidden="1">"c24878"</definedName>
    <definedName name="IQ_RE_INVEST_FDIC" hidden="1">"c6331"</definedName>
    <definedName name="IQ_RE_LAND_REPOSSESSED_ASSETS_ADJUSTED_NCOS_TOTAL_THRIFT" hidden="1">"c25223"</definedName>
    <definedName name="IQ_RE_LAND_REPOSSESSED_ASSETS_GVA_CHARGE_OFFS_THRIFT" hidden="1">"c25138"</definedName>
    <definedName name="IQ_RE_LAND_REPOSSESSED_ASSETS_SVA_PROVISIONS_TRANSFERS_FROM_GVA_TOTAL_THRIFT" hidden="1">"c25192"</definedName>
    <definedName name="IQ_RE_LOANS_1_4_GROSS_LOANS_FFIEC" hidden="1">"c13397"</definedName>
    <definedName name="IQ_RE_LOANS_DOM_QUARTERLY_AVG_FFIEC" hidden="1">"c15476"</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DUE_30_89_FFIEC" hidden="1">"c25826"</definedName>
    <definedName name="IQ_RE_LOANS_DUE_90_FFIEC" hidden="1">"c25827"</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_LOANS_GROSS_LOANS_FFIEC" hidden="1">"c13396"</definedName>
    <definedName name="IQ_RE_LOANS_NON_ACCRUAL_FFIEC" hidden="1">"c25828"</definedName>
    <definedName name="IQ_RE_LOANS_SECURED_1_4_FAMILY_GROSS_LOANS_THRIFT" hidden="1">"c25722"</definedName>
    <definedName name="IQ_RE_LOANS_SECURED_1_4_FAMILY_RISK_BASED_CAPITAL_THRIFT" hidden="1">"c25707"</definedName>
    <definedName name="IQ_RE_LOANS_SECURED_LAND_GROSS_LOANS_THRIFT" hidden="1">"c25731"</definedName>
    <definedName name="IQ_RE_LOANS_SECURED_LAND_RISK_BASED_CAPITAL_THRIFT" hidden="1">"c25716"</definedName>
    <definedName name="IQ_RE_MAINT_CAPEX" hidden="1">"c8755"</definedName>
    <definedName name="IQ_RE_MINORITY_INTEREST" hidden="1">"c8752"</definedName>
    <definedName name="IQ_RE_MORTGAGES_ALL_OTHER_ACCOUNTS_THRIFT" hidden="1">"c25435"</definedName>
    <definedName name="IQ_RE_MORTGAGES_EMPLOYEE_BENEFIT_RETIREMENT_RELATED_ACCOUNTS_THRIFT" hidden="1">"c25419"</definedName>
    <definedName name="IQ_RE_MORTGAGES_PERSONAL_TRUST_AGENCY_INV_MANAGEMENT_ACCOUNTS_THRIFT" hidden="1">"c25403"</definedName>
    <definedName name="IQ_RE_MULTIFAMILY_5_MORE_DWELLING_UNITS_REPOSSESSED_ASSETS_ADJUSTED_NCOS_TOTAL_THRIFT" hidden="1">"c25221"</definedName>
    <definedName name="IQ_RE_MULTIFAMILY_5_MORE_DWELLING_UNITS_REPOSSESSED_ASSETS_GVA_CHARGE_OFFS_THRIFT" hidden="1">"c25136"</definedName>
    <definedName name="IQ_RE_MULTIFAMILY_5_MORE_DWELLING_UNITS_REPOSSESSED_ASSETS_SVA_PROVISIONS_TRANSFERS_FROM_GVA_TOTAL_THRIFT" hidden="1">"c25190"</definedName>
    <definedName name="IQ_RE_NET_INCOME" hidden="1">"c8749"</definedName>
    <definedName name="IQ_RE_NOI" hidden="1">"c8864"</definedName>
    <definedName name="IQ_RE_NOI_GROWTH_SAME_PROP" hidden="1">"c8866"</definedName>
    <definedName name="IQ_RE_NOI_SAME_PROP" hidden="1">"c8865"</definedName>
    <definedName name="IQ_RE_NONRES_EXCEPT_LAND_REPOSSESSED_ASSETS_ADJUSTED_NCOS_TOTAL_THRIFT" hidden="1">"c25222"</definedName>
    <definedName name="IQ_RE_NONRES_EXCEPT_LAND_REPOSSESSED_ASSETS_GVA_CHARGE_OFFS_THRIFT" hidden="1">"c25137"</definedName>
    <definedName name="IQ_RE_NONRES_EXCEPT_LAND_REPOSSESSED_ASSETS_SVA_PROVISIONS_TRANSFERS_FROM_GVA_TOTAL_THRIFT" hidden="1">"c25191"</definedName>
    <definedName name="IQ_RE_OTHER_ITEMS" hidden="1">"c8753"</definedName>
    <definedName name="IQ_RE_PERSONAL_TRUST_AGENCY_INV_MANAGEMENT_ACCOUNTS_THRIFT" hidden="1">"c25404"</definedName>
    <definedName name="IQ_RE_RENTAL_EXPENSE" hidden="1">"c16036"</definedName>
    <definedName name="IQ_RE_RISK_BASED_FFIEC" hidden="1">"c13417"</definedName>
    <definedName name="IQ_REAL_DOMESTIC_PURCHASES" hidden="1">"c20997"</definedName>
    <definedName name="IQ_REAL_ESTATE" hidden="1">"c1093"</definedName>
    <definedName name="IQ_REAL_ESTATE_ASSETS" hidden="1">"c1094"</definedName>
    <definedName name="IQ_REAL_EXPORT" hidden="1">"c20998"</definedName>
    <definedName name="IQ_REAL_EXPORT_GOODS" hidden="1">"c20999"</definedName>
    <definedName name="IQ_REAL_EXPORT_INCOME" hidden="1">"c21000"</definedName>
    <definedName name="IQ_REAL_EXPORT_SERVICES" hidden="1">"c21001"</definedName>
    <definedName name="IQ_REAL_FIXED_INVESTMENT" hidden="1">"c21002"</definedName>
    <definedName name="IQ_REAL_GDP" hidden="1">"c21003"</definedName>
    <definedName name="IQ_REAL_GDP_FC" hidden="1">"c21004"</definedName>
    <definedName name="IQ_REAL_GDP_GROWTH" hidden="1">"c21005"</definedName>
    <definedName name="IQ_REAL_GDP_GROWTH_FC" hidden="1">"c21006"</definedName>
    <definedName name="IQ_REAL_GDP_USD" hidden="1">"c21007"</definedName>
    <definedName name="IQ_REAL_GDP_USD_FC" hidden="1">"c21008"</definedName>
    <definedName name="IQ_REAL_GNP" hidden="1">"c21009"</definedName>
    <definedName name="IQ_REAL_GOVT_CONSUM_INVEST" hidden="1">"c21010"</definedName>
    <definedName name="IQ_REAL_GOVT_CONSUM_INVEST_DEF" hidden="1">"c21011"</definedName>
    <definedName name="IQ_REAL_GOVT_CONSUM_INVEST_DEF_CONSUM" hidden="1">"c21012"</definedName>
    <definedName name="IQ_REAL_GOVT_CONSUM_INVEST_DEF_INVEST" hidden="1">"c21013"</definedName>
    <definedName name="IQ_REAL_GOVT_CONSUM_INVEST_FEDERAL" hidden="1">"c21014"</definedName>
    <definedName name="IQ_REAL_GOVT_CONSUM_INVEST_NONDEF" hidden="1">"c21015"</definedName>
    <definedName name="IQ_REAL_GOVT_CONSUM_INVEST_NONDEF_CONSUM" hidden="1">"c21016"</definedName>
    <definedName name="IQ_REAL_GOVT_CONSUM_INVEST_NONDEF_INVEST" hidden="1">"c21017"</definedName>
    <definedName name="IQ_REAL_GOVT_CONSUM_INVEST_STATE_LOCAL" hidden="1">"c21018"</definedName>
    <definedName name="IQ_REAL_GOVT_CONSUM_INVEST_STATE_LOCAL_CONSUM" hidden="1">"c21019"</definedName>
    <definedName name="IQ_REAL_GOVT_CONSUM_INVEST_STATE_LOCAL_INVEST" hidden="1">"c21020"</definedName>
    <definedName name="IQ_REAL_IMPORT" hidden="1">"c21021"</definedName>
    <definedName name="IQ_REAL_IMPORT_GOODS" hidden="1">"c21022"</definedName>
    <definedName name="IQ_REAL_IMPORT_INCOME" hidden="1">"c21023"</definedName>
    <definedName name="IQ_REAL_IMPORT_SERVICES" hidden="1">"c21024"</definedName>
    <definedName name="IQ_REAL_NET_DOMESTIC_PRODUCTION" hidden="1">"c21025"</definedName>
    <definedName name="IQ_REAL_NET_EXPORT" hidden="1">"c21026"</definedName>
    <definedName name="IQ_REAL_PCE" hidden="1">"c21027"</definedName>
    <definedName name="IQ_REAL_PCE_CLOTHING" hidden="1">"c21028"</definedName>
    <definedName name="IQ_REAL_PCE_DUR_GOODS" hidden="1">"c21029"</definedName>
    <definedName name="IQ_REAL_PCE_DUR_GOODS_OTHER" hidden="1">"c21030"</definedName>
    <definedName name="IQ_REAL_PCE_FINANCIAL" hidden="1">"c21031"</definedName>
    <definedName name="IQ_REAL_PCE_FOOD_ACCOMADATIONS" hidden="1">"c21032"</definedName>
    <definedName name="IQ_REAL_PCE_FOOD_BEVERAGE" hidden="1">"c21033"</definedName>
    <definedName name="IQ_REAL_PCE_FURNISHINGS" hidden="1">"c21034"</definedName>
    <definedName name="IQ_REAL_PCE_GAS" hidden="1">"c21035"</definedName>
    <definedName name="IQ_REAL_PCE_GOOD" hidden="1">"c21036"</definedName>
    <definedName name="IQ_REAL_PCE_HEALTH_CARE" hidden="1">"c21037"</definedName>
    <definedName name="IQ_REAL_PCE_HOUSEHOLD_CONSUM" hidden="1">"c21038"</definedName>
    <definedName name="IQ_REAL_PCE_HOUSEHOLD_CONSUM_OTHER" hidden="1">"c21039"</definedName>
    <definedName name="IQ_REAL_PCE_HOUSING" hidden="1">"c21040"</definedName>
    <definedName name="IQ_REAL_PCE_MOTOR_VEHICLE" hidden="1">"c21041"</definedName>
    <definedName name="IQ_REAL_PCE_NONDUR_GOODS" hidden="1">"c21042"</definedName>
    <definedName name="IQ_REAL_PCE_NONDUR_GOODS_OTHER" hidden="1">"c21043"</definedName>
    <definedName name="IQ_REAL_PCE_NONPROFIT_CONSUM" hidden="1">"c21044"</definedName>
    <definedName name="IQ_REAL_PCE_NONPROFIT_OUTPUT" hidden="1">"c21045"</definedName>
    <definedName name="IQ_REAL_PCE_NONPROFIT_RECEIPTS" hidden="1">"c21046"</definedName>
    <definedName name="IQ_REAL_PCE_RECREATION_GOODS" hidden="1">"c21047"</definedName>
    <definedName name="IQ_REAL_PCE_RECREATION_SERVICES" hidden="1">"c21048"</definedName>
    <definedName name="IQ_REAL_PCE_SERVICES" hidden="1">"c21049"</definedName>
    <definedName name="IQ_REAL_PCE_TRANSPORTATION" hidden="1">"c21050"</definedName>
    <definedName name="IQ_REAL_PRIVATE_CONSUM_GROWTH" hidden="1">"c21051"</definedName>
    <definedName name="IQ_REAL_PRIVATE_INVEST" hidden="1">"c21052"</definedName>
    <definedName name="IQ_REAL_PRIVATE_INVEST_EQUIP" hidden="1">"c21053"</definedName>
    <definedName name="IQ_REAL_PRIVATE_INVEST_EQUIP_OTHER" hidden="1">"c21054"</definedName>
    <definedName name="IQ_REAL_PRIVATE_INVEST_FIXED" hidden="1">"c21055"</definedName>
    <definedName name="IQ_REAL_PRIVATE_INVEST_INDUSTRIAL_EQUIP" hidden="1">"c21056"</definedName>
    <definedName name="IQ_REAL_PRIVATE_INVEST_INFO_EQUIP" hidden="1">"c21057"</definedName>
    <definedName name="IQ_REAL_PRIVATE_INVEST_INFO_EQUIP_COMPUTERS" hidden="1">"c21058"</definedName>
    <definedName name="IQ_REAL_PRIVATE_INVEST_INFO_EQUIP_OTHER" hidden="1">"c21059"</definedName>
    <definedName name="IQ_REAL_PRIVATE_INVEST_INFO_EQUIP_SOFTWARE" hidden="1">"c21060"</definedName>
    <definedName name="IQ_REAL_PRIVATE_INVEST_NONRES" hidden="1">"c21061"</definedName>
    <definedName name="IQ_REAL_PRIVATE_INVEST_PRIVATE_INV_CHANGE" hidden="1">"c21062"</definedName>
    <definedName name="IQ_REAL_PRIVATE_INVEST_PRIVATE_INV_FARMS" hidden="1">"c21063"</definedName>
    <definedName name="IQ_REAL_PRIVATE_INVEST_PRIVATE_INV_NONFARMS" hidden="1">"c21064"</definedName>
    <definedName name="IQ_REAL_PRIVATE_INVEST_RES" hidden="1">"c21065"</definedName>
    <definedName name="IQ_REAL_PRIVATE_INVEST_STRUCTURES" hidden="1">"c21066"</definedName>
    <definedName name="IQ_REAL_PRIVATE_INVEST_TRANSPORTATION_EQUIP" hidden="1">"c21067"</definedName>
    <definedName name="IQ_REAL_SALES_TO_DOMESTIC_PURCHASES" hidden="1">"c21068"</definedName>
    <definedName name="IQ_REALIZED_GAINS_AVAIL_SALE_SEC_FFIEC" hidden="1">"c13022"</definedName>
    <definedName name="IQ_REALIZED_GAINS_HELD_MATURITY_SEC_FFIEC" hidden="1">"c13021"</definedName>
    <definedName name="IQ_REALIZED_GAINS_SEC_TOT_FFIEC" hidden="1">"c13517"</definedName>
    <definedName name="IQ_REBOOKED_GNMA_LOANS_REPURCHASED_ELIGIBLE_REPURCHASE_DUE_30_89_THRIFT" hidden="1">"c25260"</definedName>
    <definedName name="IQ_REBOOKED_GNMA_LOANS_REPURCHASED_ELIGIBLE_REPURCHASE_DUE_90_THRIFT" hidden="1">"c25281"</definedName>
    <definedName name="IQ_REBOOKED_GNMA_LOANS_REPURCHASED_ELIGIBLE_REPURCHASE_NON_ACCRUAL_THRIFT" hidden="1">"c25302"</definedName>
    <definedName name="IQ_RECENT_FUNDS" hidden="1">"c18908"</definedName>
    <definedName name="IQ_RECENT_FUNDS_ID" hidden="1">"c18909"</definedName>
    <definedName name="IQ_RECIPROCAL_BROKERED_DEPOSITS_THRIFT" hidden="1">"c24997"</definedName>
    <definedName name="IQ_RECORDED_INV_PURCHASED_CREDIT_IMPAIRED_LOANS_THRIFT" hidden="1">"c25238"</definedName>
    <definedName name="IQ_RECOVERIES_1_4_FAMILY_LOANS_FDIC" hidden="1">"c6707"</definedName>
    <definedName name="IQ_RECOVERIES_AUTO_LOANS_FDIC" hidden="1">"c6701"</definedName>
    <definedName name="IQ_RECOVERIES_AVG_LOANS_FFIEC" hidden="1">"c13476"</definedName>
    <definedName name="IQ_RECOVERIES_CL_LOANS_FDIC" hidden="1">"c6702"</definedName>
    <definedName name="IQ_RECOVERIES_CREDIT_CARDS_RECEIVABLES_FDIC" hidden="1">"c6704"</definedName>
    <definedName name="IQ_RECOVERIES_GVA_THRIFT" hidden="1">"c25094"</definedName>
    <definedName name="IQ_RECOVERIES_HOME_EQUITY_LINES_FDIC" hidden="1">"c6705"</definedName>
    <definedName name="IQ_RECOVERIES_OTHER_CONSUMER_LOANS_FDIC" hidden="1">"c6703"</definedName>
    <definedName name="IQ_RECOVERIES_OTHER_LOANS_FDIC" hidden="1">"c6706"</definedName>
    <definedName name="IQ_RECOVERIES_TVA_THRIFT" hidden="1">"c25108"</definedName>
    <definedName name="IQ_RECURRING_PROFIT_ACT_OR_EST" hidden="1">"c4507"</definedName>
    <definedName name="IQ_RECURRING_PROFIT_ACT_OR_EST_CIQ" hidden="1">"c5045"</definedName>
    <definedName name="IQ_RECURRING_PROFIT_ACT_OR_EST_CIQ_COL" hidden="1">"c11692"</definedName>
    <definedName name="IQ_RECURRING_PROFIT_EST" hidden="1">"c4499"</definedName>
    <definedName name="IQ_RECURRING_PROFIT_EST_CIQ" hidden="1">"c5037"</definedName>
    <definedName name="IQ_RECURRING_PROFIT_GUIDANCE" hidden="1">"c4500"</definedName>
    <definedName name="IQ_RECURRING_PROFIT_GUIDANCE_CIQ" hidden="1">"c5038"</definedName>
    <definedName name="IQ_RECURRING_PROFIT_GUIDANCE_CIQ_COL" hidden="1">"c11685"</definedName>
    <definedName name="IQ_RECURRING_PROFIT_HIGH_EST" hidden="1">"c4501"</definedName>
    <definedName name="IQ_RECURRING_PROFIT_HIGH_EST_CIQ" hidden="1">"c5039"</definedName>
    <definedName name="IQ_RECURRING_PROFIT_HIGH_GUIDANCE" hidden="1">"c4179"</definedName>
    <definedName name="IQ_RECURRING_PROFIT_HIGH_GUIDANCE_CIQ" hidden="1">"c4591"</definedName>
    <definedName name="IQ_RECURRING_PROFIT_HIGH_GUIDANCE_CIQ_COL" hidden="1">"c11240"</definedName>
    <definedName name="IQ_RECURRING_PROFIT_LOW_EST" hidden="1">"c4502"</definedName>
    <definedName name="IQ_RECURRING_PROFIT_LOW_EST_CIQ" hidden="1">"c5040"</definedName>
    <definedName name="IQ_RECURRING_PROFIT_LOW_GUIDANCE" hidden="1">"c4219"</definedName>
    <definedName name="IQ_RECURRING_PROFIT_LOW_GUIDANCE_CIQ" hidden="1">"c4631"</definedName>
    <definedName name="IQ_RECURRING_PROFIT_LOW_GUIDANCE_CIQ_COL" hidden="1">"c11280"</definedName>
    <definedName name="IQ_RECURRING_PROFIT_MEDIAN_EST" hidden="1">"c4503"</definedName>
    <definedName name="IQ_RECURRING_PROFIT_MEDIAN_EST_CIQ" hidden="1">"c5041"</definedName>
    <definedName name="IQ_RECURRING_PROFIT_NUM_EST" hidden="1">"c4504"</definedName>
    <definedName name="IQ_RECURRING_PROFIT_NUM_EST_CIQ" hidden="1">"c5042"</definedName>
    <definedName name="IQ_RECURRING_PROFIT_SHARE_ACT_OR_EST" hidden="1">"c4508"</definedName>
    <definedName name="IQ_RECURRING_PROFIT_SHARE_ACT_OR_EST_CIQ" hidden="1">"c5046"</definedName>
    <definedName name="IQ_RECURRING_PROFIT_SHARE_ACT_OR_EST_CIQ_COL" hidden="1">"c11693"</definedName>
    <definedName name="IQ_RECURRING_PROFIT_SHARE_EST" hidden="1">"c4506"</definedName>
    <definedName name="IQ_RECURRING_PROFIT_SHARE_EST_CIQ" hidden="1">"c5044"</definedName>
    <definedName name="IQ_RECURRING_PROFIT_SHARE_GUIDANCE" hidden="1">"c4509"</definedName>
    <definedName name="IQ_RECURRING_PROFIT_SHARE_GUIDANCE_CIQ" hidden="1">"c5047"</definedName>
    <definedName name="IQ_RECURRING_PROFIT_SHARE_GUIDANCE_CIQ_COL" hidden="1">"c11694"</definedName>
    <definedName name="IQ_RECURRING_PROFIT_SHARE_HIGH_EST" hidden="1">"c4510"</definedName>
    <definedName name="IQ_RECURRING_PROFIT_SHARE_HIGH_EST_CIQ" hidden="1">"c5048"</definedName>
    <definedName name="IQ_RECURRING_PROFIT_SHARE_HIGH_GUIDANCE" hidden="1">"c4200"</definedName>
    <definedName name="IQ_RECURRING_PROFIT_SHARE_HIGH_GUIDANCE_CIQ" hidden="1">"c4612"</definedName>
    <definedName name="IQ_RECURRING_PROFIT_SHARE_HIGH_GUIDANCE_CIQ_COL" hidden="1">"c11261"</definedName>
    <definedName name="IQ_RECURRING_PROFIT_SHARE_LOW_EST" hidden="1">"c4511"</definedName>
    <definedName name="IQ_RECURRING_PROFIT_SHARE_LOW_EST_CIQ" hidden="1">"c5049"</definedName>
    <definedName name="IQ_RECURRING_PROFIT_SHARE_LOW_GUIDANCE" hidden="1">"c4240"</definedName>
    <definedName name="IQ_RECURRING_PROFIT_SHARE_LOW_GUIDANCE_CIQ" hidden="1">"c4652"</definedName>
    <definedName name="IQ_RECURRING_PROFIT_SHARE_LOW_GUIDANCE_CIQ_COL" hidden="1">"c11301"</definedName>
    <definedName name="IQ_RECURRING_PROFIT_SHARE_MEDIAN_EST" hidden="1">"c4512"</definedName>
    <definedName name="IQ_RECURRING_PROFIT_SHARE_MEDIAN_EST_CIQ" hidden="1">"c5050"</definedName>
    <definedName name="IQ_RECURRING_PROFIT_SHARE_NUM_EST" hidden="1">"c4513"</definedName>
    <definedName name="IQ_RECURRING_PROFIT_SHARE_NUM_EST_CIQ" hidden="1">"c5051"</definedName>
    <definedName name="IQ_RECURRING_PROFIT_SHARE_STDDEV_EST" hidden="1">"c4514"</definedName>
    <definedName name="IQ_RECURRING_PROFIT_SHARE_STDDEV_EST_CIQ" hidden="1">"c5052"</definedName>
    <definedName name="IQ_RECURRING_PROFIT_STDDEV_EST" hidden="1">"c4516"</definedName>
    <definedName name="IQ_RECURRING_PROFIT_STDDEV_EST_CIQ" hidden="1">"c5054"</definedName>
    <definedName name="IQ_REDEEM_PREF_STOCK" hidden="1">"c1059"</definedName>
    <definedName name="IQ_REDUCTION_TAX_POSITION_CURRENT_YR" hidden="1">"c15734"</definedName>
    <definedName name="IQ_REDUCTION_TAX_POSITION_PRIOR_YRS" hidden="1">"c15736"</definedName>
    <definedName name="IQ_REF_ENTITY" hidden="1">"c6033"</definedName>
    <definedName name="IQ_REF_ENTITY_CIQID" hidden="1">"c6024"</definedName>
    <definedName name="IQ_REF_ENTITY_TICKER" hidden="1">"c6023"</definedName>
    <definedName name="IQ_REG_ASSETS" hidden="1">"c1095"</definedName>
    <definedName name="IQ_REINSTATED" hidden="1">"c16221"</definedName>
    <definedName name="IQ_REINSTATEMENT_DATE" hidden="1">"c16222"</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INSURANCE_RECOVERABLE_ASSETS_LH_FFIEC" hidden="1">"c13104"</definedName>
    <definedName name="IQ_REINSURANCE_RECOVERABLE_ASSETS_PC_FFIEC" hidden="1">"c13098"</definedName>
    <definedName name="IQ_RELATED_PLANS_FDIC" hidden="1">"c6320"</definedName>
    <definedName name="IQ_RENT_AVG_PROP" hidden="1">"c16056"</definedName>
    <definedName name="IQ_RENT_OTHER_INC_FROM_OREO_FFIEC" hidden="1">"c13043"</definedName>
    <definedName name="IQ_RENT_PER_SQ_FT_AVG_CONSOL" hidden="1">"c8846"</definedName>
    <definedName name="IQ_RENT_PER_SQ_FT_AVG_MANAGED" hidden="1">"c8848"</definedName>
    <definedName name="IQ_RENT_PER_SQ_FT_AVG_OTHER" hidden="1">"c8849"</definedName>
    <definedName name="IQ_RENT_PER_SQ_FT_AVG_TOTAL" hidden="1">"c8850"</definedName>
    <definedName name="IQ_RENT_PER_SQ_FT_AVG_UNCONSOL" hidden="1">"c8847"</definedName>
    <definedName name="IQ_RENT_PER_SQ_METER_AVG_CONSOL" hidden="1">"c8851"</definedName>
    <definedName name="IQ_RENT_PER_SQ_METER_AVG_MANAGED" hidden="1">"c8853"</definedName>
    <definedName name="IQ_RENT_PER_SQ_METER_AVG_OTHER" hidden="1">"c8854"</definedName>
    <definedName name="IQ_RENT_PER_SQ_METER_AVG_TOTAL" hidden="1">"c8855"</definedName>
    <definedName name="IQ_RENT_PER_SQ_METER_AVG_UNCONSOL" hidden="1">"c8852"</definedName>
    <definedName name="IQ_RENT_SAFE_DEPOSIT_FFIEC" hidden="1">"c13044"</definedName>
    <definedName name="IQ_RENTAL_NOI" hidden="1">"c16065"</definedName>
    <definedName name="IQ_RENTAL_NOI_AVG_GROSS_PROP" hidden="1">"c16057"</definedName>
    <definedName name="IQ_RENTAL_NOI_TOTAL_RENT_REVENUE" hidden="1">"c16061"</definedName>
    <definedName name="IQ_RENTAL_REV" hidden="1">"c1101"</definedName>
    <definedName name="IQ_REPAIRS_MAINTENANCE" hidden="1">"c16032"</definedName>
    <definedName name="IQ_REPO" hidden="1">"c19133"</definedName>
    <definedName name="IQ_REPOSSESS_1_4_DWELLING_UNITS_RE_THRIFT" hidden="1">"c24871"</definedName>
    <definedName name="IQ_REPOSSESS_ASSETS_THRIFT" hidden="1">"c24869"</definedName>
    <definedName name="IQ_REPOSSESS_CONSTRUCTION_RE_THRIFT" hidden="1">"c24870"</definedName>
    <definedName name="IQ_REPOSSESS_GVA_THRIFT" hidden="1">"c24877"</definedName>
    <definedName name="IQ_REPOSSESS_LAND_THRIFT" hidden="1">"c24874"</definedName>
    <definedName name="IQ_REPOSSESS_MULTIFAMILY_5_MORE_DWELLING_UNITS_RE_THRIFT" hidden="1">"c24872"</definedName>
    <definedName name="IQ_REPOSSESS_NONRES_EXCEPT_LAND_RE_THRIFT" hidden="1">"c24873"</definedName>
    <definedName name="IQ_REPOSSESS_OTHER_ASSETS_THRIFT" hidden="1">"c24876"</definedName>
    <definedName name="IQ_REPOSSESS_US_GOVT_GUARANTEED_INSURED_RE_OWNED_THRIFT" hidden="1">"c24875"</definedName>
    <definedName name="IQ_REPOSSESSED_ASSETS_TOTAL_ADJUSTED_NCOS_TOTAL_THRIFT" hidden="1">"c25218"</definedName>
    <definedName name="IQ_REPOSSESSED_ASSETS_TOTAL_GVA_CHARGE_OFFS_THRIFT" hidden="1">"c25133"</definedName>
    <definedName name="IQ_REPOSSESSED_ASSETS_TOTAL_SVA_PROVISIONS_TRANSFERS_FROM_GVA_TOTAL_THRIFT" hidden="1">"c25187"</definedName>
    <definedName name="IQ_REPRICEABLE_EARNING_ASSETS_INT_SENSITIVITY_FFIEC" hidden="1">"c13093"</definedName>
    <definedName name="IQ_REPRICEABLE_INT_DEPOSITS_INT_SENSITIVITY_FFIEC" hidden="1">"c13094"</definedName>
    <definedName name="IQ_REPURCHASED_REBOOKED_GNMA_DUE_30_89_FFIEC" hidden="1">"c13283"</definedName>
    <definedName name="IQ_REPURCHASED_REBOOKED_GNMA_DUE_90_FFIEC" hidden="1">"c13309"</definedName>
    <definedName name="IQ_REPURCHASED_REBOOKED_GNMA_NON_ACCRUAL_FFIEC" hidden="1">"c13334"</definedName>
    <definedName name="IQ_RES_CONST_REAL_APR_FC_UNUSED" hidden="1">"c8536"</definedName>
    <definedName name="IQ_RES_CONST_REAL_APR_FC_UNUSED_UNUSED_UNUSED" hidden="1">"c8536"</definedName>
    <definedName name="IQ_RES_CONST_REAL_APR_UNUSED" hidden="1">"c7656"</definedName>
    <definedName name="IQ_RES_CONST_REAL_APR_UNUSED_UNUSED_UNUSED" hidden="1">"c7656"</definedName>
    <definedName name="IQ_RES_CONST_REAL_FC_UNUSED" hidden="1">"c7876"</definedName>
    <definedName name="IQ_RES_CONST_REAL_FC_UNUSED_UNUSED_UNUSED" hidden="1">"c7876"</definedName>
    <definedName name="IQ_RES_CONST_REAL_POP_FC_UNUSED" hidden="1">"c8096"</definedName>
    <definedName name="IQ_RES_CONST_REAL_POP_FC_UNUSED_UNUSED_UNUSED" hidden="1">"c8096"</definedName>
    <definedName name="IQ_RES_CONST_REAL_POP_UNUSED" hidden="1">"c7216"</definedName>
    <definedName name="IQ_RES_CONST_REAL_POP_UNUSED_UNUSED_UNUSED" hidden="1">"c7216"</definedName>
    <definedName name="IQ_RES_CONST_REAL_SAAR_APR_FC_UNUSED" hidden="1">"c8537"</definedName>
    <definedName name="IQ_RES_CONST_REAL_SAAR_APR_FC_UNUSED_UNUSED_UNUSED" hidden="1">"c8537"</definedName>
    <definedName name="IQ_RES_CONST_REAL_SAAR_APR_UNUSED" hidden="1">"c7657"</definedName>
    <definedName name="IQ_RES_CONST_REAL_SAAR_APR_UNUSED_UNUSED_UNUSED" hidden="1">"c7657"</definedName>
    <definedName name="IQ_RES_CONST_REAL_SAAR_FC_UNUSED" hidden="1">"c7877"</definedName>
    <definedName name="IQ_RES_CONST_REAL_SAAR_FC_UNUSED_UNUSED_UNUSED" hidden="1">"c7877"</definedName>
    <definedName name="IQ_RES_CONST_REAL_SAAR_POP_FC_UNUSED" hidden="1">"c8097"</definedName>
    <definedName name="IQ_RES_CONST_REAL_SAAR_POP_FC_UNUSED_UNUSED_UNUSED" hidden="1">"c8097"</definedName>
    <definedName name="IQ_RES_CONST_REAL_SAAR_POP_UNUSED" hidden="1">"c7217"</definedName>
    <definedName name="IQ_RES_CONST_REAL_SAAR_POP_UNUSED_UNUSED_UNUSED" hidden="1">"c7217"</definedName>
    <definedName name="IQ_RES_CONST_REAL_SAAR_UNUSED" hidden="1">"c6997"</definedName>
    <definedName name="IQ_RES_CONST_REAL_SAAR_UNUSED_UNUSED_UNUSED" hidden="1">"c6997"</definedName>
    <definedName name="IQ_RES_CONST_REAL_SAAR_YOY_FC_UNUSED" hidden="1">"c8317"</definedName>
    <definedName name="IQ_RES_CONST_REAL_SAAR_YOY_FC_UNUSED_UNUSED_UNUSED" hidden="1">"c8317"</definedName>
    <definedName name="IQ_RES_CONST_REAL_SAAR_YOY_UNUSED" hidden="1">"c7437"</definedName>
    <definedName name="IQ_RES_CONST_REAL_SAAR_YOY_UNUSED_UNUSED_UNUSED" hidden="1">"c7437"</definedName>
    <definedName name="IQ_RES_CONST_REAL_UNUSED" hidden="1">"c6996"</definedName>
    <definedName name="IQ_RES_CONST_REAL_UNUSED_UNUSED_UNUSED" hidden="1">"c6996"</definedName>
    <definedName name="IQ_RES_CONST_REAL_YOY_FC_UNUSED" hidden="1">"c8316"</definedName>
    <definedName name="IQ_RES_CONST_REAL_YOY_FC_UNUSED_UNUSED_UNUSED" hidden="1">"c8316"</definedName>
    <definedName name="IQ_RES_CONST_REAL_YOY_UNUSED" hidden="1">"c7436"</definedName>
    <definedName name="IQ_RES_CONST_REAL_YOY_UNUSED_UNUSED_UNUSED" hidden="1">"c7436"</definedName>
    <definedName name="IQ_RES_CONST_SAAR_APR_FC_UNUSED" hidden="1">"c8540"</definedName>
    <definedName name="IQ_RES_CONST_SAAR_APR_FC_UNUSED_UNUSED_UNUSED" hidden="1">"c8540"</definedName>
    <definedName name="IQ_RES_CONST_SAAR_APR_UNUSED" hidden="1">"c7660"</definedName>
    <definedName name="IQ_RES_CONST_SAAR_APR_UNUSED_UNUSED_UNUSED" hidden="1">"c7660"</definedName>
    <definedName name="IQ_RES_CONST_SAAR_FC_UNUSED" hidden="1">"c7880"</definedName>
    <definedName name="IQ_RES_CONST_SAAR_FC_UNUSED_UNUSED_UNUSED" hidden="1">"c7880"</definedName>
    <definedName name="IQ_RES_CONST_SAAR_POP_FC_UNUSED" hidden="1">"c8100"</definedName>
    <definedName name="IQ_RES_CONST_SAAR_POP_FC_UNUSED_UNUSED_UNUSED" hidden="1">"c8100"</definedName>
    <definedName name="IQ_RES_CONST_SAAR_POP_UNUSED" hidden="1">"c7220"</definedName>
    <definedName name="IQ_RES_CONST_SAAR_POP_UNUSED_UNUSED_UNUSED" hidden="1">"c7220"</definedName>
    <definedName name="IQ_RES_CONST_SAAR_UNUSED" hidden="1">"c7000"</definedName>
    <definedName name="IQ_RES_CONST_SAAR_UNUSED_UNUSED_UNUSED" hidden="1">"c7000"</definedName>
    <definedName name="IQ_RES_CONST_SAAR_YOY_FC_UNUSED" hidden="1">"c8320"</definedName>
    <definedName name="IQ_RES_CONST_SAAR_YOY_FC_UNUSED_UNUSED_UNUSED" hidden="1">"c8320"</definedName>
    <definedName name="IQ_RES_CONST_SAAR_YOY_UNUSED" hidden="1">"c7440"</definedName>
    <definedName name="IQ_RES_CONST_SAAR_YOY_UNUSED_UNUSED_UNUSED" hidden="1">"c7440"</definedName>
    <definedName name="IQ_RES_FIXED_INVEST" hidden="1">"c7001"</definedName>
    <definedName name="IQ_RES_FIXED_INVEST_APR" hidden="1">"c7661"</definedName>
    <definedName name="IQ_RES_FIXED_INVEST_APR_FC" hidden="1">"c8541"</definedName>
    <definedName name="IQ_RES_FIXED_INVEST_FC" hidden="1">"c7881"</definedName>
    <definedName name="IQ_RES_FIXED_INVEST_POP" hidden="1">"c7221"</definedName>
    <definedName name="IQ_RES_FIXED_INVEST_POP_FC" hidden="1">"c8101"</definedName>
    <definedName name="IQ_RES_FIXED_INVEST_REAL" hidden="1">"c6998"</definedName>
    <definedName name="IQ_RES_FIXED_INVEST_REAL_APR" hidden="1">"c7658"</definedName>
    <definedName name="IQ_RES_FIXED_INVEST_REAL_APR_FC" hidden="1">"c8538"</definedName>
    <definedName name="IQ_RES_FIXED_INVEST_REAL_FC" hidden="1">"c7878"</definedName>
    <definedName name="IQ_RES_FIXED_INVEST_REAL_POP" hidden="1">"c7218"</definedName>
    <definedName name="IQ_RES_FIXED_INVEST_REAL_POP_FC" hidden="1">"c8098"</definedName>
    <definedName name="IQ_RES_FIXED_INVEST_REAL_YOY" hidden="1">"c7438"</definedName>
    <definedName name="IQ_RES_FIXED_INVEST_REAL_YOY_FC" hidden="1">"c8318"</definedName>
    <definedName name="IQ_RES_FIXED_INVEST_SAAR" hidden="1">"c11994"</definedName>
    <definedName name="IQ_RES_FIXED_INVEST_SAAR_APR" hidden="1">"c11997"</definedName>
    <definedName name="IQ_RES_FIXED_INVEST_SAAR_POP" hidden="1">"c11995"</definedName>
    <definedName name="IQ_RES_FIXED_INVEST_SAAR_REAL" hidden="1">"c11990"</definedName>
    <definedName name="IQ_RES_FIXED_INVEST_SAAR_REAL_APR" hidden="1">"c11993"</definedName>
    <definedName name="IQ_RES_FIXED_INVEST_SAAR_REAL_POP" hidden="1">"c11991"</definedName>
    <definedName name="IQ_RES_FIXED_INVEST_SAAR_REAL_YOY" hidden="1">"c11992"</definedName>
    <definedName name="IQ_RES_FIXED_INVEST_SAAR_YOY" hidden="1">"c11996"</definedName>
    <definedName name="IQ_RES_FIXED_INVEST_YOY" hidden="1">"c7441"</definedName>
    <definedName name="IQ_RES_FIXED_INVEST_YOY_FC" hidden="1">"c8321"</definedName>
    <definedName name="IQ_RESEARCH_DEV" hidden="1">"c1090"</definedName>
    <definedName name="IQ_RESIDENTIAL_LOANS" hidden="1">"c1102"</definedName>
    <definedName name="IQ_RESIDUAL_INTERESTS_INT_ONLY_STRIPS_THRIFT" hidden="1">"c24939"</definedName>
    <definedName name="IQ_RESIDUAL_INTERESTS_THRIFT" hidden="1">"c24938"</definedName>
    <definedName name="IQ_REST_ACQUIRED_AFFILIATED_OTHER_RESTAURANTS" hidden="1">"c9873"</definedName>
    <definedName name="IQ_REST_ACQUIRED_FRANCHISE_RESTAURANTS" hidden="1">"c9867"</definedName>
    <definedName name="IQ_REST_ACQUIRED_OWNED_RESTAURANTS" hidden="1">"c9861"</definedName>
    <definedName name="IQ_REST_ACQUIRED_RESTAURANTS" hidden="1">"c9855"</definedName>
    <definedName name="IQ_REST_AFFILIATED_OTHER_RESTAURANTS_BEG" hidden="1">"c9871"</definedName>
    <definedName name="IQ_REST_AVG_VALUE_TRANSACTION" hidden="1">"c9887"</definedName>
    <definedName name="IQ_REST_AVG_VALUE_TRANSACTION_GROWTH" hidden="1">"c9888"</definedName>
    <definedName name="IQ_REST_AVG_WEEKLY_SALES" hidden="1">"c9879"</definedName>
    <definedName name="IQ_REST_AVG_WEEKLY_SALES_FRANCHISE" hidden="1">"c9877"</definedName>
    <definedName name="IQ_REST_AVG_WEEKLY_SALES_OWNED" hidden="1">"c9878"</definedName>
    <definedName name="IQ_REST_CLOSED_AFFILIATED_OTHER_RESTAURANTS" hidden="1">"c9874"</definedName>
    <definedName name="IQ_REST_CLOSED_FRANCHISE_RESTAURANTS" hidden="1">"c9868"</definedName>
    <definedName name="IQ_REST_CLOSED_OWNED_RESTAURANTS" hidden="1">"c9862"</definedName>
    <definedName name="IQ_REST_CLOSED_RESTAURANTS" hidden="1">"c9856"</definedName>
    <definedName name="IQ_REST_FRANCHISE_RESTAURANTS_BEG" hidden="1">"c9865"</definedName>
    <definedName name="IQ_REST_GUEST_COUNT_GROWTH" hidden="1">"c9889"</definedName>
    <definedName name="IQ_REST_OPENED_AFFILIATED_OTHER_RESTAURANTS" hidden="1">"c9872"</definedName>
    <definedName name="IQ_REST_OPENED_FRANCHISE_RESTAURANTS" hidden="1">"c9866"</definedName>
    <definedName name="IQ_REST_OPENED_OWNED_RESTAURANTS" hidden="1">"c9860"</definedName>
    <definedName name="IQ_REST_OPENED_RESTAURANTS" hidden="1">"c9854"</definedName>
    <definedName name="IQ_REST_OPERATING_MARGIN" hidden="1">"c9886"</definedName>
    <definedName name="IQ_REST_OWNED_RESTAURANTS_BEG" hidden="1">"c9859"</definedName>
    <definedName name="IQ_REST_RESTAURANTS_BEG" hidden="1">"c9853"</definedName>
    <definedName name="IQ_REST_SAME_RESTAURANT_SALES" hidden="1">"c9885"</definedName>
    <definedName name="IQ_REST_SAME_RESTAURANT_SALES_FRANCHISE" hidden="1">"c9883"</definedName>
    <definedName name="IQ_REST_SAME_RESTAURANT_SALES_GROWTH" hidden="1">"c9882"</definedName>
    <definedName name="IQ_REST_SAME_RESTAURANT_SALES_GROWTH_FRANCHISE" hidden="1">"c9880"</definedName>
    <definedName name="IQ_REST_SAME_RESTAURANT_SALES_GROWTH_OWNED" hidden="1">"c9881"</definedName>
    <definedName name="IQ_REST_SAME_RESTAURANT_SALES_OWNED" hidden="1">"c9884"</definedName>
    <definedName name="IQ_REST_SOLD_AFFILIATED_OTHER_RESTAURANTS" hidden="1">"c9875"</definedName>
    <definedName name="IQ_REST_SOLD_FRANCHISE_RESTAURANTS" hidden="1">"c9869"</definedName>
    <definedName name="IQ_REST_SOLD_OWNED_RESTAURANTS" hidden="1">"c9863"</definedName>
    <definedName name="IQ_REST_SOLD_RESTAURANTS" hidden="1">"c9857"</definedName>
    <definedName name="IQ_REST_TOTAL_AFFILIATED_OTHER_RESTAURANTS" hidden="1">"c9876"</definedName>
    <definedName name="IQ_REST_TOTAL_FRANCHISE_RESTAURANTS" hidden="1">"c9870"</definedName>
    <definedName name="IQ_REST_TOTAL_OWNED_RESTAURANTS" hidden="1">"c9864"</definedName>
    <definedName name="IQ_REST_TOTAL_RESTAURANTS" hidden="1">"c9858"</definedName>
    <definedName name="IQ_RESTATEMENT_BS" hidden="1">"c1643"</definedName>
    <definedName name="IQ_RESTATEMENT_CF" hidden="1">"c1644"</definedName>
    <definedName name="IQ_RESTATEMENT_IS" hidden="1">"c1642"</definedName>
    <definedName name="IQ_RESTATEMENTS_FFIEC" hidden="1">"c12958"</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CM" hidden="1">"c1106"</definedName>
    <definedName name="IQ_RESTRUCTURE_FIN" hidden="1">"c1108"</definedName>
    <definedName name="IQ_RESTRUCTURE_INS" hidden="1">"c1109"</definedName>
    <definedName name="IQ_RESTRUCTURE_RE" hidden="1">"c6264"</definedName>
    <definedName name="IQ_RESTRUCTURE_REIT" hidden="1">"c1110"</definedName>
    <definedName name="IQ_RESTRUCTURE_SUPPLE" hidden="1">"c13809"</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AFFILIATED_OTHER_STORES" hidden="1">"c9892"</definedName>
    <definedName name="IQ_RETAIL_ACQUIRED_FRANCHISE_STORES" hidden="1">"c2903"</definedName>
    <definedName name="IQ_RETAIL_ACQUIRED_OWNED_STORES" hidden="1">"c2895"</definedName>
    <definedName name="IQ_RETAIL_ACQUIRED_STORES" hidden="1">"c2887"</definedName>
    <definedName name="IQ_RETAIL_AFFILIATED_OTHER_STORES_BEG" hidden="1">"c9890"</definedName>
    <definedName name="IQ_RETAIL_AVG_SQ_METERS_GROSS" hidden="1">"c9908"</definedName>
    <definedName name="IQ_RETAIL_AVG_SQ_METERS_NET" hidden="1">"c9907"</definedName>
    <definedName name="IQ_RETAIL_AVG_STORE_SIZE_GROSS" hidden="1">"c2066"</definedName>
    <definedName name="IQ_RETAIL_AVG_STORE_SIZE_NET" hidden="1">"c2067"</definedName>
    <definedName name="IQ_RETAIL_AVG_VALUE_TRANSACTION" hidden="1">"c9915"</definedName>
    <definedName name="IQ_RETAIL_AVG_VALUE_TRANSACTION_GROWTH" hidden="1">"c9916"</definedName>
    <definedName name="IQ_RETAIL_AVG_WK_SALES" hidden="1">"c2891"</definedName>
    <definedName name="IQ_RETAIL_AVG_WK_SALES_FRANCHISE" hidden="1">"c2899"</definedName>
    <definedName name="IQ_RETAIL_AVG_WK_SALES_OWNED" hidden="1">"c2907"</definedName>
    <definedName name="IQ_RETAIL_CATALOG_REVENUES" hidden="1">"c9903"</definedName>
    <definedName name="IQ_RETAIL_CLOSED_AFFILIATED_OTHER_STORES" hidden="1">"c9893"</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GROSS_MARGIN" hidden="1">"c9899"</definedName>
    <definedName name="IQ_RETAIL_INV_BUILDING_MATERIAL" hidden="1">"c21069"</definedName>
    <definedName name="IQ_RETAIL_INV_CLOTHING" hidden="1">"c21070"</definedName>
    <definedName name="IQ_RETAIL_INV_DEPT_STORE" hidden="1">"c21071"</definedName>
    <definedName name="IQ_RETAIL_INV_FOOD" hidden="1">"c21072"</definedName>
    <definedName name="IQ_RETAIL_INV_FURNITURE" hidden="1">"c21073"</definedName>
    <definedName name="IQ_RETAIL_INV_GENERAL" hidden="1">"c21074"</definedName>
    <definedName name="IQ_RETAIL_INV_MOTOR_VEHICLE" hidden="1">"c21075"</definedName>
    <definedName name="IQ_RETAIL_INV_SALES_RATIO_BUILDING" hidden="1">"c21076"</definedName>
    <definedName name="IQ_RETAIL_INV_SALES_RATIO_CLOTHING" hidden="1">"c21077"</definedName>
    <definedName name="IQ_RETAIL_INV_SALES_RATIO_DEPT_STORE" hidden="1">"c21078"</definedName>
    <definedName name="IQ_RETAIL_INV_SALES_RATIO_FOOD" hidden="1">"c21079"</definedName>
    <definedName name="IQ_RETAIL_INV_SALES_RATIO_FURNITURE" hidden="1">"c21080"</definedName>
    <definedName name="IQ_RETAIL_INV_SALES_RATIO_GENERAL" hidden="1">"c21081"</definedName>
    <definedName name="IQ_RETAIL_INV_SALES_RATIO_MV" hidden="1">"c21082"</definedName>
    <definedName name="IQ_RETAIL_INV_SALES_RATIO_TOTAL" hidden="1">"c21083"</definedName>
    <definedName name="IQ_RETAIL_INV_SALES_RATIO_TOTAL_EX_MV" hidden="1">"c21084"</definedName>
    <definedName name="IQ_RETAIL_INV_TOTAL" hidden="1">"c21085"</definedName>
    <definedName name="IQ_RETAIL_INV_TOTAL_EX_MOTOR_VEHICLE" hidden="1">"c21086"</definedName>
    <definedName name="IQ_RETAIL_IS_RATIO" hidden="1">"c7002"</definedName>
    <definedName name="IQ_RETAIL_IS_RATIO_FC" hidden="1">"c7882"</definedName>
    <definedName name="IQ_RETAIL_IS_RATIO_POP" hidden="1">"c7222"</definedName>
    <definedName name="IQ_RETAIL_IS_RATIO_POP_FC" hidden="1">"c8102"</definedName>
    <definedName name="IQ_RETAIL_IS_RATIO_YOY" hidden="1">"c7442"</definedName>
    <definedName name="IQ_RETAIL_IS_RATIO_YOY_FC" hidden="1">"c8322"</definedName>
    <definedName name="IQ_RETAIL_MERCHANDISE_MARGIN" hidden="1">"c9901"</definedName>
    <definedName name="IQ_RETAIL_ONLINE_REVENUES" hidden="1">"c9904"</definedName>
    <definedName name="IQ_RETAIL_OPENED_AFFILIATED_OTHER_STORES" hidden="1">"c9891"</definedName>
    <definedName name="IQ_RETAIL_OPENED_FRANCHISE_STORES" hidden="1">"c2894"</definedName>
    <definedName name="IQ_RETAIL_OPENED_OWNED_STORES" hidden="1">"c2902"</definedName>
    <definedName name="IQ_RETAIL_OPENED_STORES" hidden="1">"c2062"</definedName>
    <definedName name="IQ_RETAIL_OPERATING_MARGIN" hidden="1">"c9900"</definedName>
    <definedName name="IQ_RETAIL_OWNED_STORES_BEG" hidden="1">"c2901"</definedName>
    <definedName name="IQ_RETAIL_REVENUES" hidden="1">"c9902"</definedName>
    <definedName name="IQ_RETAIL_SALES" hidden="1">"c7003"</definedName>
    <definedName name="IQ_RETAIL_SALES_APR" hidden="1">"c7663"</definedName>
    <definedName name="IQ_RETAIL_SALES_APR_FC" hidden="1">"c8543"</definedName>
    <definedName name="IQ_RETAIL_SALES_BUILDING_MATERIAL" hidden="1">"c21087"</definedName>
    <definedName name="IQ_RETAIL_SALES_CATALOG" hidden="1">"c16128"</definedName>
    <definedName name="IQ_RETAIL_SALES_CLOTHING" hidden="1">"c21088"</definedName>
    <definedName name="IQ_RETAIL_SALES_FC" hidden="1">"c7883"</definedName>
    <definedName name="IQ_RETAIL_SALES_FOOD" hidden="1">"c7004"</definedName>
    <definedName name="IQ_RETAIL_SALES_FOOD_APR" hidden="1">"c7664"</definedName>
    <definedName name="IQ_RETAIL_SALES_FOOD_APR_FC" hidden="1">"c8544"</definedName>
    <definedName name="IQ_RETAIL_SALES_FOOD_EXCL_VEHICLE" hidden="1">"c7005"</definedName>
    <definedName name="IQ_RETAIL_SALES_FOOD_EXCL_VEHICLE_APR" hidden="1">"c7665"</definedName>
    <definedName name="IQ_RETAIL_SALES_FOOD_EXCL_VEHICLE_APR_FC" hidden="1">"c8545"</definedName>
    <definedName name="IQ_RETAIL_SALES_FOOD_EXCL_VEHICLE_FC" hidden="1">"c7885"</definedName>
    <definedName name="IQ_RETAIL_SALES_FOOD_EXCL_VEHICLE_POP" hidden="1">"c7225"</definedName>
    <definedName name="IQ_RETAIL_SALES_FOOD_EXCL_VEHICLE_POP_FC" hidden="1">"c8105"</definedName>
    <definedName name="IQ_RETAIL_SALES_FOOD_EXCL_VEHICLE_YOY" hidden="1">"c7445"</definedName>
    <definedName name="IQ_RETAIL_SALES_FOOD_EXCL_VEHICLE_YOY_FC" hidden="1">"c8325"</definedName>
    <definedName name="IQ_RETAIL_SALES_FOOD_FC" hidden="1">"c7884"</definedName>
    <definedName name="IQ_RETAIL_SALES_FOOD_POP" hidden="1">"c7224"</definedName>
    <definedName name="IQ_RETAIL_SALES_FOOD_POP_FC" hidden="1">"c8104"</definedName>
    <definedName name="IQ_RETAIL_SALES_FOOD_YOY" hidden="1">"c7444"</definedName>
    <definedName name="IQ_RETAIL_SALES_FOOD_YOY_FC" hidden="1">"c8324"</definedName>
    <definedName name="IQ_RETAIL_SALES_FOODSTUFF" hidden="1">"c21089"</definedName>
    <definedName name="IQ_RETAIL_SALES_FURNITURE" hidden="1">"c21090"</definedName>
    <definedName name="IQ_RETAIL_SALES_GAS" hidden="1">"c21091"</definedName>
    <definedName name="IQ_RETAIL_SALES_GENERAL" hidden="1">"c21092"</definedName>
    <definedName name="IQ_RETAIL_SALES_HEALTH" hidden="1">"c21093"</definedName>
    <definedName name="IQ_RETAIL_SALES_MISC" hidden="1">"c21094"</definedName>
    <definedName name="IQ_RETAIL_SALES_MOTOR_VEHICLE" hidden="1">"c21095"</definedName>
    <definedName name="IQ_RETAIL_SALES_NONSTORES" hidden="1">"c21096"</definedName>
    <definedName name="IQ_RETAIL_SALES_ONLINE" hidden="1">"c16129"</definedName>
    <definedName name="IQ_RETAIL_SALES_POP" hidden="1">"c7223"</definedName>
    <definedName name="IQ_RETAIL_SALES_POP_FC" hidden="1">"c8103"</definedName>
    <definedName name="IQ_RETAIL_SALES_RETAIL" hidden="1">"c16127"</definedName>
    <definedName name="IQ_RETAIL_SALES_SAAR" hidden="1">"c7009"</definedName>
    <definedName name="IQ_RETAIL_SALES_SAAR_APR" hidden="1">"c7669"</definedName>
    <definedName name="IQ_RETAIL_SALES_SAAR_APR_FC" hidden="1">"c8549"</definedName>
    <definedName name="IQ_RETAIL_SALES_SAAR_FC" hidden="1">"c7889"</definedName>
    <definedName name="IQ_RETAIL_SALES_SAAR_POP" hidden="1">"c7229"</definedName>
    <definedName name="IQ_RETAIL_SALES_SAAR_POP_FC" hidden="1">"c8109"</definedName>
    <definedName name="IQ_RETAIL_SALES_SAAR_YOY" hidden="1">"c7449"</definedName>
    <definedName name="IQ_RETAIL_SALES_SAAR_YOY_FC" hidden="1">"c8329"</definedName>
    <definedName name="IQ_RETAIL_SALES_SPORTING_GOODS" hidden="1">"c21097"</definedName>
    <definedName name="IQ_RETAIL_SALES_SQ_METER_COMPARABLE_GROSS" hidden="1">"c9914"</definedName>
    <definedName name="IQ_RETAIL_SALES_SQ_METER_COMPARABLE_NET" hidden="1">"c9913"</definedName>
    <definedName name="IQ_RETAIL_SALES_SQ_METER_GROSS" hidden="1">"c9910"</definedName>
    <definedName name="IQ_RETAIL_SALES_SQ_METER_NET" hidden="1">"c9909"</definedName>
    <definedName name="IQ_RETAIL_SALES_SQ_METER_OWNED_GROSS" hidden="1">"c9912"</definedName>
    <definedName name="IQ_RETAIL_SALES_SQ_METER_OWNED_NET" hidden="1">"c9911"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ALES_TOTAL" hidden="1">"c21098"</definedName>
    <definedName name="IQ_RETAIL_SALES_TOTAL_EX_MOTOR_VEHICLE" hidden="1">"c21099"</definedName>
    <definedName name="IQ_RETAIL_SALES_VALUE_INDEX" hidden="1">"c7006"</definedName>
    <definedName name="IQ_RETAIL_SALES_VALUE_INDEX_APR" hidden="1">"c7666"</definedName>
    <definedName name="IQ_RETAIL_SALES_VALUE_INDEX_APR_FC" hidden="1">"c8546"</definedName>
    <definedName name="IQ_RETAIL_SALES_VALUE_INDEX_FC" hidden="1">"c7886"</definedName>
    <definedName name="IQ_RETAIL_SALES_VALUE_INDEX_POP" hidden="1">"c7226"</definedName>
    <definedName name="IQ_RETAIL_SALES_VALUE_INDEX_POP_FC" hidden="1">"c8106"</definedName>
    <definedName name="IQ_RETAIL_SALES_VALUE_INDEX_YOY" hidden="1">"c7446"</definedName>
    <definedName name="IQ_RETAIL_SALES_VALUE_INDEX_YOY_FC" hidden="1">"c8326"</definedName>
    <definedName name="IQ_RETAIL_SALES_VOL_INDEX" hidden="1">"c7007"</definedName>
    <definedName name="IQ_RETAIL_SALES_VOL_INDEX_APR" hidden="1">"c7667"</definedName>
    <definedName name="IQ_RETAIL_SALES_VOL_INDEX_APR_FC" hidden="1">"c8547"</definedName>
    <definedName name="IQ_RETAIL_SALES_VOL_INDEX_EXCL_MOTOR" hidden="1">"c7008"</definedName>
    <definedName name="IQ_RETAIL_SALES_VOL_INDEX_EXCL_MOTOR_APR" hidden="1">"c7668"</definedName>
    <definedName name="IQ_RETAIL_SALES_VOL_INDEX_EXCL_MOTOR_APR_FC" hidden="1">"c8548"</definedName>
    <definedName name="IQ_RETAIL_SALES_VOL_INDEX_EXCL_MOTOR_FC" hidden="1">"c7888"</definedName>
    <definedName name="IQ_RETAIL_SALES_VOL_INDEX_EXCL_MOTOR_POP" hidden="1">"c7228"</definedName>
    <definedName name="IQ_RETAIL_SALES_VOL_INDEX_EXCL_MOTOR_POP_FC" hidden="1">"c8108"</definedName>
    <definedName name="IQ_RETAIL_SALES_VOL_INDEX_EXCL_MOTOR_YOY" hidden="1">"c7448"</definedName>
    <definedName name="IQ_RETAIL_SALES_VOL_INDEX_EXCL_MOTOR_YOY_FC" hidden="1">"c8328"</definedName>
    <definedName name="IQ_RETAIL_SALES_VOL_INDEX_FC" hidden="1">"c7887"</definedName>
    <definedName name="IQ_RETAIL_SALES_VOL_INDEX_POP" hidden="1">"c7227"</definedName>
    <definedName name="IQ_RETAIL_SALES_VOL_INDEX_POP_FC" hidden="1">"c8107"</definedName>
    <definedName name="IQ_RETAIL_SALES_VOL_INDEX_YOY" hidden="1">"c7447"</definedName>
    <definedName name="IQ_RETAIL_SALES_VOL_INDEX_YOY_FC" hidden="1">"c8327"</definedName>
    <definedName name="IQ_RETAIL_SALES_YOY" hidden="1">"c7443"</definedName>
    <definedName name="IQ_RETAIL_SALES_YOY_FC" hidden="1">"c8323"</definedName>
    <definedName name="IQ_RETAIL_SALES_YOY_PCT" hidden="1">"c21100"</definedName>
    <definedName name="IQ_RETAIL_SAME_STORE_SALES" hidden="1">"c9898"</definedName>
    <definedName name="IQ_RETAIL_SAME_STORE_SALES_FRANCHISE" hidden="1">"c9896"</definedName>
    <definedName name="IQ_RETAIL_SAME_STORE_SALES_OWNED" hidden="1">"c9897"</definedName>
    <definedName name="IQ_RETAIL_SOLD_AFFILIATED_OTHER_STORES" hidden="1">"c9894"</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AFFILIATED_OTHER_STORES" hidden="1">"c9895"</definedName>
    <definedName name="IQ_RETAIL_TOTAL_FRANCHISE_STORES" hidden="1">"c2898"</definedName>
    <definedName name="IQ_RETAIL_TOTAL_OWNED_STORES" hidden="1">"c2906"</definedName>
    <definedName name="IQ_RETAIL_TOTAL_SQ_METERS_GROSS" hidden="1">"c9906"</definedName>
    <definedName name="IQ_RETAIL_TOTAL_SQ_METERS_NET" hidden="1">"c9905"</definedName>
    <definedName name="IQ_RETAIL_TOTAL_STORES" hidden="1">"c2061"</definedName>
    <definedName name="IQ_RETAIL_WHOLESALE_REVENUES" hidden="1">"c15895"</definedName>
    <definedName name="IQ_RETAINED_EARN" hidden="1">"c1092"</definedName>
    <definedName name="IQ_RETAINED_EARNINGS_AVERAGE_EQUITY_FDIC" hidden="1">"c6733"</definedName>
    <definedName name="IQ_RETAINED_EARNINGS_EQUITY_FFIEC" hidden="1">"c13348"</definedName>
    <definedName name="IQ_RETAINED_EARNINGS_EQUITY_THRIFT" hidden="1">"c25633"</definedName>
    <definedName name="IQ_RETAINED_EARNINGS_FFIEC" hidden="1">"c12878"</definedName>
    <definedName name="IQ_RETAINED_EARNINGS_THRIFT" hidden="1">"c24919"</definedName>
    <definedName name="IQ_RETIREMENT_DEFINED_BENEFIT_INC_THRIFT" hidden="1">"c24803"</definedName>
    <definedName name="IQ_RETIREMENT_DEFINED_CONT_INC_THRIFT" hidden="1">"c24802"</definedName>
    <definedName name="IQ_RETIREMENT_DEPOSITS_LESS_THAN_250000_THRIFT" hidden="1">"c24990"</definedName>
    <definedName name="IQ_RETIREMENT_DEPOSITS_WITH_BALANCES_GREATER_THAN_250000_THRIFT" hidden="1">"c24991"</definedName>
    <definedName name="IQ_RETIREMENT_OTHER_RETIREMENT_ACCOUNTS_INC_THRIFT" hidden="1">"c24804"</definedName>
    <definedName name="IQ_RETIREMENT_RELATED_EMPLOYEE_BENEFIT_ACCOUNTS_GROSS_LOSSES_MANAGED_ACCOUNTS_THRIFT" hidden="1">"c25462"</definedName>
    <definedName name="IQ_RETIREMENT_RELATED_EMPLOYEE_BENEFIT_ACCOUNTS_GROSS_LOSSES_NONMANAGED_ACCOUNTS_THRIFT" hidden="1">"c25467"</definedName>
    <definedName name="IQ_RETIREMENT_RELATED_EMPLOYEE_BENEFIT_ACCOUNTS_RECOVERIES_THRIFT" hidden="1">"c25472"</definedName>
    <definedName name="IQ_RETIREMENT_RELATED_TRUST_AGENCY_ACCOUNTS_EMPLOYEE_BENEFIT_DEFINED_BENEFIT_MANAGED_ASSETS_THRIFT" hidden="1">"c25349"</definedName>
    <definedName name="IQ_RETIREMENT_RELATED_TRUST_AGENCY_ACCOUNTS_EMPLOYEE_BENEFIT_DEFINED_BENEFIT_NONMANAGED_ASSETS_THRIFT" hidden="1">"c25370"</definedName>
    <definedName name="IQ_RETIREMENT_RELATED_TRUST_AGENCY_ACCOUNTS_EMPLOYEE_BENEFIT_DEFINED_BENEFIT_NUMBER_MANAGED_ACCOUNTS_THRIFT" hidden="1">"c25360"</definedName>
    <definedName name="IQ_RETIREMENT_RELATED_TRUST_AGENCY_ACCOUNTS_EMPLOYEE_BENEFIT_DEFINED_BENEFIT_NUMBER_NONMANAGED_ACCOUNTS_THRIFT" hidden="1">"c25382"</definedName>
    <definedName name="IQ_RETIREMENT_RELATED_TRUST_AGENCY_ACCOUNTS_EMPLOYEE_BENEFIT_DEFINED_CONTRIBUTION_MANAGED_ASSETS_THRIFT" hidden="1">"c25348"</definedName>
    <definedName name="IQ_RETIREMENT_RELATED_TRUST_AGENCY_ACCOUNTS_EMPLOYEE_BENEFIT_DEFINED_CONTRIBUTION_NONMANAGED_ASSETS_THRIFT" hidden="1">"c25369"</definedName>
    <definedName name="IQ_RETIREMENT_RELATED_TRUST_AGENCY_ACCOUNTS_EMPLOYEE_BENEFIT_DEFINED_CONTRIBUTION_NUMBER_MANAGED_ACCOUNTS_THRIFT" hidden="1">"c25359"</definedName>
    <definedName name="IQ_RETIREMENT_RELATED_TRUST_AGENCY_ACCOUNTS_EMPLOYEE_BENEFIT_DEFINED_CONTRIBUTION_NUMBER_NONMANAGED_ACCOUNTS_THRIFT" hidden="1">"c25381"</definedName>
    <definedName name="IQ_RETIREMENT_RELATED_TRUST_AGENCY_ACCOUNTS_EMPLOYEE_BENEFIT_OTHER_MANAGED_ASSETS_THRIFT" hidden="1">"c25350"</definedName>
    <definedName name="IQ_RETIREMENT_RELATED_TRUST_AGENCY_ACCOUNTS_EMPLOYEE_BENEFIT_OTHER_NONMANAGED_ASSETS_THRIFT" hidden="1">"c25371"</definedName>
    <definedName name="IQ_RETIREMENT_RELATED_TRUST_AGENCY_ACCOUNTS_EMPLOYEE_BENEFIT_OTHER_NUMBER_MANAGED_ACCOUNTS_THRIFT" hidden="1">"c25361"</definedName>
    <definedName name="IQ_RETIREMENT_RELATED_TRUST_AGENCY_ACCOUNTS_EMPLOYEE_BENEFIT_OTHER_NUMBER_NONMANAGED_ACCOUNTS_THRIFT" hidden="1">"c25383"</definedName>
    <definedName name="IQ_RETURN_ASSETS" hidden="1">"c1113"</definedName>
    <definedName name="IQ_RETURN_ASSETS_ACT_OR_EST" hidden="1">"c3585"</definedName>
    <definedName name="IQ_RETURN_ASSETS_ACT_OR_EST_CIQ" hidden="1">"c12020"</definedName>
    <definedName name="IQ_RETURN_ASSETS_ACT_OR_EST_THOM" hidden="1">"c5310"</definedName>
    <definedName name="IQ_RETURN_ASSETS_BANK" hidden="1">"c1114"</definedName>
    <definedName name="IQ_RETURN_ASSETS_BROK" hidden="1">"c1115"</definedName>
    <definedName name="IQ_RETURN_ASSETS_CM" hidden="1">"c1115"</definedName>
    <definedName name="IQ_RETURN_ASSETS_EST" hidden="1">"c3529"</definedName>
    <definedName name="IQ_RETURN_ASSETS_EST_CIQ" hidden="1">"c3828"</definedName>
    <definedName name="IQ_RETURN_ASSETS_EST_DOWN_2MONTH" hidden="1">"c16537"</definedName>
    <definedName name="IQ_RETURN_ASSETS_EST_DOWN_2MONTH_CIQ" hidden="1">"c16801"</definedName>
    <definedName name="IQ_RETURN_ASSETS_EST_DOWN_3MONTH" hidden="1">"c16541"</definedName>
    <definedName name="IQ_RETURN_ASSETS_EST_DOWN_3MONTH_CIQ" hidden="1">"c16805"</definedName>
    <definedName name="IQ_RETURN_ASSETS_EST_DOWN_MONTH" hidden="1">"c16533"</definedName>
    <definedName name="IQ_RETURN_ASSETS_EST_DOWN_MONTH_CIQ" hidden="1">"c16797"</definedName>
    <definedName name="IQ_RETURN_ASSETS_EST_NOTE" hidden="1">"c17520"</definedName>
    <definedName name="IQ_RETURN_ASSETS_EST_NOTE_CIQ" hidden="1">"c17473"</definedName>
    <definedName name="IQ_RETURN_ASSETS_EST_NUM_ANALYSTS_2MONTH" hidden="1">"c16535"</definedName>
    <definedName name="IQ_RETURN_ASSETS_EST_NUM_ANALYSTS_2MONTH_CIQ" hidden="1">"c16799"</definedName>
    <definedName name="IQ_RETURN_ASSETS_EST_NUM_ANALYSTS_3MONTH" hidden="1">"c16539"</definedName>
    <definedName name="IQ_RETURN_ASSETS_EST_NUM_ANALYSTS_3MONTH_CIQ" hidden="1">"c16803"</definedName>
    <definedName name="IQ_RETURN_ASSETS_EST_NUM_ANALYSTS_MONTH" hidden="1">"c16531"</definedName>
    <definedName name="IQ_RETURN_ASSETS_EST_NUM_ANALYSTS_MONTH_CIQ" hidden="1">"c16795"</definedName>
    <definedName name="IQ_RETURN_ASSETS_EST_THOM" hidden="1">"c4034"</definedName>
    <definedName name="IQ_RETURN_ASSETS_EST_TOTAL_REVISED_2MONTH" hidden="1">"c16538"</definedName>
    <definedName name="IQ_RETURN_ASSETS_EST_TOTAL_REVISED_2MONTH_CIQ" hidden="1">"c16802"</definedName>
    <definedName name="IQ_RETURN_ASSETS_EST_TOTAL_REVISED_3MONTH" hidden="1">"c16542"</definedName>
    <definedName name="IQ_RETURN_ASSETS_EST_TOTAL_REVISED_3MONTH_CIQ" hidden="1">"c16806"</definedName>
    <definedName name="IQ_RETURN_ASSETS_EST_TOTAL_REVISED_MONTH" hidden="1">"c16534"</definedName>
    <definedName name="IQ_RETURN_ASSETS_EST_TOTAL_REVISED_MONTH_CIQ" hidden="1">"c16798"</definedName>
    <definedName name="IQ_RETURN_ASSETS_EST_UP_2MONTH" hidden="1">"c16536"</definedName>
    <definedName name="IQ_RETURN_ASSETS_EST_UP_2MONTH_CIQ" hidden="1">"c16800"</definedName>
    <definedName name="IQ_RETURN_ASSETS_EST_UP_3MONTH" hidden="1">"c16540"</definedName>
    <definedName name="IQ_RETURN_ASSETS_EST_UP_3MONTH_CIQ" hidden="1">"c16804"</definedName>
    <definedName name="IQ_RETURN_ASSETS_EST_UP_MONTH" hidden="1">"c16532"</definedName>
    <definedName name="IQ_RETURN_ASSETS_EST_UP_MONTH_CIQ" hidden="1">"c16796"</definedName>
    <definedName name="IQ_RETURN_ASSETS_FDIC" hidden="1">"c6730"</definedName>
    <definedName name="IQ_RETURN_ASSETS_FS" hidden="1">"c1116"</definedName>
    <definedName name="IQ_RETURN_ASSETS_GUIDANCE" hidden="1">"c4517"</definedName>
    <definedName name="IQ_RETURN_ASSETS_GUIDANCE_CIQ" hidden="1">"c5055"</definedName>
    <definedName name="IQ_RETURN_ASSETS_GUIDANCE_CIQ_COL" hidden="1">"c11702"</definedName>
    <definedName name="IQ_RETURN_ASSETS_HIGH_EST" hidden="1">"c3530"</definedName>
    <definedName name="IQ_RETURN_ASSETS_HIGH_EST_CIQ" hidden="1">"c3830"</definedName>
    <definedName name="IQ_RETURN_ASSETS_HIGH_EST_THOM" hidden="1">"c4036"</definedName>
    <definedName name="IQ_RETURN_ASSETS_HIGH_GUIDANCE" hidden="1">"c4183"</definedName>
    <definedName name="IQ_RETURN_ASSETS_HIGH_GUIDANCE_CIQ" hidden="1">"c4595"</definedName>
    <definedName name="IQ_RETURN_ASSETS_HIGH_GUIDANCE_CIQ_COL" hidden="1">"c11244"</definedName>
    <definedName name="IQ_RETURN_ASSETS_LOW_EST" hidden="1">"c3531"</definedName>
    <definedName name="IQ_RETURN_ASSETS_LOW_EST_CIQ" hidden="1">"c3831"</definedName>
    <definedName name="IQ_RETURN_ASSETS_LOW_EST_THOM" hidden="1">"c4037"</definedName>
    <definedName name="IQ_RETURN_ASSETS_LOW_GUIDANCE" hidden="1">"c4223"</definedName>
    <definedName name="IQ_RETURN_ASSETS_LOW_GUIDANCE_CIQ" hidden="1">"c4635"</definedName>
    <definedName name="IQ_RETURN_ASSETS_LOW_GUIDANCE_CIQ_COL" hidden="1">"c11284"</definedName>
    <definedName name="IQ_RETURN_ASSETS_MEDIAN_EST" hidden="1">"c3532"</definedName>
    <definedName name="IQ_RETURN_ASSETS_MEDIAN_EST_CIQ" hidden="1">"c3829"</definedName>
    <definedName name="IQ_RETURN_ASSETS_MEDIAN_EST_THOM" hidden="1">"c4035"</definedName>
    <definedName name="IQ_RETURN_ASSETS_NUM_EST" hidden="1">"c3527"</definedName>
    <definedName name="IQ_RETURN_ASSETS_NUM_EST_CIQ" hidden="1">"c3832"</definedName>
    <definedName name="IQ_RETURN_ASSETS_NUM_EST_THOM" hidden="1">"c4038"</definedName>
    <definedName name="IQ_RETURN_ASSETS_STDDEV_EST" hidden="1">"c3528"</definedName>
    <definedName name="IQ_RETURN_ASSETS_STDDEV_EST_CIQ" hidden="1">"c3833"</definedName>
    <definedName name="IQ_RETURN_ASSETS_STDDEV_EST_THOM" hidden="1">"c4039"</definedName>
    <definedName name="IQ_RETURN_CAPITAL" hidden="1">"c1117"</definedName>
    <definedName name="IQ_RETURN_COMMON_EQUITY" hidden="1">"c13838"</definedName>
    <definedName name="IQ_RETURN_EMBEDDED_VALUE" hidden="1">"c9974"</definedName>
    <definedName name="IQ_RETURN_EQUITY" hidden="1">"c1118"</definedName>
    <definedName name="IQ_RETURN_EQUITY_ACT_OR_EST" hidden="1">"c3586"</definedName>
    <definedName name="IQ_RETURN_EQUITY_ACT_OR_EST_CIQ" hidden="1">"c12021"</definedName>
    <definedName name="IQ_RETURN_EQUITY_ACT_OR_EST_THOM" hidden="1">"c5311"</definedName>
    <definedName name="IQ_RETURN_EQUITY_BANK" hidden="1">"c1119"</definedName>
    <definedName name="IQ_RETURN_EQUITY_BROK" hidden="1">"c1120"</definedName>
    <definedName name="IQ_RETURN_EQUITY_CM" hidden="1">"c1120"</definedName>
    <definedName name="IQ_RETURN_EQUITY_EST" hidden="1">"c3535"</definedName>
    <definedName name="IQ_RETURN_EQUITY_EST_CIQ" hidden="1">"c3821"</definedName>
    <definedName name="IQ_RETURN_EQUITY_EST_DOWN_2MONTH" hidden="1">"c16549"</definedName>
    <definedName name="IQ_RETURN_EQUITY_EST_DOWN_2MONTH_CIQ" hidden="1">"c16813"</definedName>
    <definedName name="IQ_RETURN_EQUITY_EST_DOWN_3MONTH" hidden="1">"c16553"</definedName>
    <definedName name="IQ_RETURN_EQUITY_EST_DOWN_3MONTH_CIQ" hidden="1">"c16817"</definedName>
    <definedName name="IQ_RETURN_EQUITY_EST_DOWN_MONTH" hidden="1">"c16545"</definedName>
    <definedName name="IQ_RETURN_EQUITY_EST_DOWN_MONTH_CIQ" hidden="1">"c16809"</definedName>
    <definedName name="IQ_RETURN_EQUITY_EST_NOTE" hidden="1">"c17521"</definedName>
    <definedName name="IQ_RETURN_EQUITY_EST_NOTE_CIQ" hidden="1">"c17474"</definedName>
    <definedName name="IQ_RETURN_EQUITY_EST_NUM_ANALYSTS_2MONTH" hidden="1">"c16547"</definedName>
    <definedName name="IQ_RETURN_EQUITY_EST_NUM_ANALYSTS_2MONTH_CIQ" hidden="1">"c16811"</definedName>
    <definedName name="IQ_RETURN_EQUITY_EST_NUM_ANALYSTS_3MONTH" hidden="1">"c16551"</definedName>
    <definedName name="IQ_RETURN_EQUITY_EST_NUM_ANALYSTS_3MONTH_CIQ" hidden="1">"c16815"</definedName>
    <definedName name="IQ_RETURN_EQUITY_EST_NUM_ANALYSTS_MONTH" hidden="1">"c16543"</definedName>
    <definedName name="IQ_RETURN_EQUITY_EST_NUM_ANALYSTS_MONTH_CIQ" hidden="1">"c16807"</definedName>
    <definedName name="IQ_RETURN_EQUITY_EST_THOM" hidden="1">"c5479"</definedName>
    <definedName name="IQ_RETURN_EQUITY_EST_TOTAL_REVISED_2MONTH" hidden="1">"c16550"</definedName>
    <definedName name="IQ_RETURN_EQUITY_EST_TOTAL_REVISED_2MONTH_CIQ" hidden="1">"c16814"</definedName>
    <definedName name="IQ_RETURN_EQUITY_EST_TOTAL_REVISED_3MONTH" hidden="1">"c16554"</definedName>
    <definedName name="IQ_RETURN_EQUITY_EST_TOTAL_REVISED_3MONTH_CIQ" hidden="1">"c16818"</definedName>
    <definedName name="IQ_RETURN_EQUITY_EST_TOTAL_REVISED_MONTH" hidden="1">"c16546"</definedName>
    <definedName name="IQ_RETURN_EQUITY_EST_TOTAL_REVISED_MONTH_CIQ" hidden="1">"c16810"</definedName>
    <definedName name="IQ_RETURN_EQUITY_EST_UP_2MONTH" hidden="1">"c16548"</definedName>
    <definedName name="IQ_RETURN_EQUITY_EST_UP_2MONTH_CIQ" hidden="1">"c16812"</definedName>
    <definedName name="IQ_RETURN_EQUITY_EST_UP_3MONTH" hidden="1">"c16552"</definedName>
    <definedName name="IQ_RETURN_EQUITY_EST_UP_3MONTH_CIQ" hidden="1">"c16816"</definedName>
    <definedName name="IQ_RETURN_EQUITY_EST_UP_MONTH" hidden="1">"c16544"</definedName>
    <definedName name="IQ_RETURN_EQUITY_EST_UP_MONTH_CIQ" hidden="1">"c16808"</definedName>
    <definedName name="IQ_RETURN_EQUITY_FDIC" hidden="1">"c6732"</definedName>
    <definedName name="IQ_RETURN_EQUITY_FS" hidden="1">"c1121"</definedName>
    <definedName name="IQ_RETURN_EQUITY_GUIDANCE" hidden="1">"c4518"</definedName>
    <definedName name="IQ_RETURN_EQUITY_GUIDANCE_CIQ" hidden="1">"c5056"</definedName>
    <definedName name="IQ_RETURN_EQUITY_GUIDANCE_CIQ_COL" hidden="1">"c11703"</definedName>
    <definedName name="IQ_RETURN_EQUITY_HIGH_EST" hidden="1">"c3536"</definedName>
    <definedName name="IQ_RETURN_EQUITY_HIGH_EST_CIQ" hidden="1">"c3823"</definedName>
    <definedName name="IQ_RETURN_EQUITY_HIGH_EST_THOM" hidden="1">"c5283"</definedName>
    <definedName name="IQ_RETURN_EQUITY_HIGH_GUIDANCE" hidden="1">"c4182"</definedName>
    <definedName name="IQ_RETURN_EQUITY_HIGH_GUIDANCE_CIQ" hidden="1">"c4594"</definedName>
    <definedName name="IQ_RETURN_EQUITY_HIGH_GUIDANCE_CIQ_COL" hidden="1">"c11243"</definedName>
    <definedName name="IQ_RETURN_EQUITY_LOW_EST" hidden="1">"c3537"</definedName>
    <definedName name="IQ_RETURN_EQUITY_LOW_EST_CIQ" hidden="1">"c3824"</definedName>
    <definedName name="IQ_RETURN_EQUITY_LOW_EST_THOM" hidden="1">"c5284"</definedName>
    <definedName name="IQ_RETURN_EQUITY_LOW_GUIDANCE" hidden="1">"c4222"</definedName>
    <definedName name="IQ_RETURN_EQUITY_LOW_GUIDANCE_CIQ" hidden="1">"c4634"</definedName>
    <definedName name="IQ_RETURN_EQUITY_LOW_GUIDANCE_CIQ_COL" hidden="1">"c11283"</definedName>
    <definedName name="IQ_RETURN_EQUITY_MEDIAN_EST" hidden="1">"c3538"</definedName>
    <definedName name="IQ_RETURN_EQUITY_MEDIAN_EST_CIQ" hidden="1">"c3822"</definedName>
    <definedName name="IQ_RETURN_EQUITY_MEDIAN_EST_THOM" hidden="1">"c5282"</definedName>
    <definedName name="IQ_RETURN_EQUITY_NUM_EST" hidden="1">"c3533"</definedName>
    <definedName name="IQ_RETURN_EQUITY_NUM_EST_CIQ" hidden="1">"c3825"</definedName>
    <definedName name="IQ_RETURN_EQUITY_NUM_EST_THOM" hidden="1">"c5285"</definedName>
    <definedName name="IQ_RETURN_EQUITY_STDDEV_EST" hidden="1">"c3534"</definedName>
    <definedName name="IQ_RETURN_EQUITY_STDDEV_EST_CIQ" hidden="1">"c3826"</definedName>
    <definedName name="IQ_RETURN_EQUITY_STDDEV_EST_THOM" hidden="1">"c5286"</definedName>
    <definedName name="IQ_RETURN_INVESTMENT" hidden="1">"c1117"</definedName>
    <definedName name="IQ_REV" hidden="1">"c1122"</definedName>
    <definedName name="IQ_REV_AP" hidden="1">"c8873"</definedName>
    <definedName name="IQ_REV_AP_ABS" hidden="1">"c8892"</definedName>
    <definedName name="IQ_REV_BEFORE_LL" hidden="1">"c1123"</definedName>
    <definedName name="IQ_REV_BEFORE_LOAN_LOSS_FOREIGN_FFIEC" hidden="1">"c15381"</definedName>
    <definedName name="IQ_REV_NAME_AP" hidden="1">"c8911"</definedName>
    <definedName name="IQ_REV_NAME_AP_ABS" hidden="1">"c8930"</definedName>
    <definedName name="IQ_REV_STDDEV_EST" hidden="1">"c1124"</definedName>
    <definedName name="IQ_REV_STDDEV_EST_CIQ" hidden="1">"c3621"</definedName>
    <definedName name="IQ_REV_STDDEV_EST_REUT" hidden="1">"c3639"</definedName>
    <definedName name="IQ_REV_STDDEV_EST_THOM" hidden="1">"c3657"</definedName>
    <definedName name="IQ_REV_UTI" hidden="1">"c1125"</definedName>
    <definedName name="IQ_REVALUATION_GAINS_DERIVATIVE_DOM_FFIEC" hidden="1">"c12828"</definedName>
    <definedName name="IQ_REVALUATION_GAINS_DERIVATIVE_FOREIGN_FFIEC" hidden="1">"c12829"</definedName>
    <definedName name="IQ_REVALUATION_GAINS_FDIC" hidden="1">"c6428"</definedName>
    <definedName name="IQ_REVALUATION_LOSSES_FDIC" hidden="1">"c6429"</definedName>
    <definedName name="IQ_REVALUATION_NON_TRADING_PROP" hidden="1">"c15999"</definedName>
    <definedName name="IQ_REVENUE" hidden="1">"c1122"</definedName>
    <definedName name="IQ_REVENUE_10K" hidden="1">"REVENUE_10K"</definedName>
    <definedName name="IQ_REVENUE_10Q" hidden="1">"REVENUE_10Q"</definedName>
    <definedName name="IQ_REVENUE_10Q1" hidden="1">"REVENUE_10Q1"</definedName>
    <definedName name="IQ_REVENUE_ACT_OR_EST" hidden="1">"c2214"</definedName>
    <definedName name="IQ_REVENUE_ACT_OR_EST_CIQ" hidden="1">"c5059"</definedName>
    <definedName name="IQ_REVENUE_ACT_OR_EST_CIQ_COL" hidden="1">"c11706"</definedName>
    <definedName name="IQ_REVENUE_ACT_OR_EST_THOM" hidden="1">"c5299"</definedName>
    <definedName name="IQ_REVENUE_ADVERTISING" hidden="1">"c2880"</definedName>
    <definedName name="IQ_REVENUE_ANALOG_CABLE" hidden="1">"c2875"</definedName>
    <definedName name="IQ_REVENUE_BASIC_CABLE" hidden="1">"c2877"</definedName>
    <definedName name="IQ_REVENUE_BBAND" hidden="1">"c2878"</definedName>
    <definedName name="IQ_REVENUE_BEFORE_LL_FFIEC" hidden="1">"c13018"</definedName>
    <definedName name="IQ_REVENUE_BEFORE_LL_THRIFT" hidden="1">"c24782"</definedName>
    <definedName name="IQ_REVENUE_COMMERCIAL" hidden="1">"c2881"</definedName>
    <definedName name="IQ_REVENUE_DIGITAL_CABLE" hidden="1">"c2876"</definedName>
    <definedName name="IQ_REVENUE_EST" hidden="1">"c1126"</definedName>
    <definedName name="IQ_REVENUE_EST_1" hidden="1">"IQ_REVENUE_EST_1"</definedName>
    <definedName name="IQ_REVENUE_EST_BOTTOM_UP" hidden="1">"c5488"</definedName>
    <definedName name="IQ_REVENUE_EST_BOTTOM_UP_CIQ" hidden="1">"c12025"</definedName>
    <definedName name="IQ_REVENUE_EST_CIQ" hidden="1">"c3616"</definedName>
    <definedName name="IQ_REVENUE_EST_DOWN_2MONTH" hidden="1">"c16285"</definedName>
    <definedName name="IQ_REVENUE_EST_DOWN_2MONTH_CIQ" hidden="1">"c16609"</definedName>
    <definedName name="IQ_REVENUE_EST_DOWN_3MONTH" hidden="1">"c16289"</definedName>
    <definedName name="IQ_REVENUE_EST_DOWN_3MONTH_CIQ" hidden="1">"c16613"</definedName>
    <definedName name="IQ_REVENUE_EST_DOWN_MONTH" hidden="1">"c16281"</definedName>
    <definedName name="IQ_REVENUE_EST_DOWN_MONTH_CIQ" hidden="1">"c16605"</definedName>
    <definedName name="IQ_REVENUE_EST_NOTE" hidden="1">"c17502"</definedName>
    <definedName name="IQ_REVENUE_EST_NOTE_CIQ" hidden="1">"c17455"</definedName>
    <definedName name="IQ_REVENUE_EST_NUM_ANALYSTS_2MONTH" hidden="1">"c16283"</definedName>
    <definedName name="IQ_REVENUE_EST_NUM_ANALYSTS_2MONTH_CIQ" hidden="1">"c16607"</definedName>
    <definedName name="IQ_REVENUE_EST_NUM_ANALYSTS_3MONTH" hidden="1">"c16287"</definedName>
    <definedName name="IQ_REVENUE_EST_NUM_ANALYSTS_3MONTH_CIQ" hidden="1">"c16611"</definedName>
    <definedName name="IQ_REVENUE_EST_NUM_ANALYSTS_MONTH" hidden="1">"c16279"</definedName>
    <definedName name="IQ_REVENUE_EST_NUM_ANALYSTS_MONTH_CIQ" hidden="1">"c16603"</definedName>
    <definedName name="IQ_REVENUE_EST_REUT" hidden="1">"c3634"</definedName>
    <definedName name="IQ_REVENUE_EST_THOM" hidden="1">"c3652"</definedName>
    <definedName name="IQ_REVENUE_EST_TOTAL_REVISED_2MONTH" hidden="1">"c16286"</definedName>
    <definedName name="IQ_REVENUE_EST_TOTAL_REVISED_2MONTH_CIQ" hidden="1">"c16610"</definedName>
    <definedName name="IQ_REVENUE_EST_TOTAL_REVISED_3MONTH" hidden="1">"c16290"</definedName>
    <definedName name="IQ_REVENUE_EST_TOTAL_REVISED_3MONTH_CIQ" hidden="1">"c16614"</definedName>
    <definedName name="IQ_REVENUE_EST_TOTAL_REVISED_MONTH" hidden="1">"c16282"</definedName>
    <definedName name="IQ_REVENUE_EST_TOTAL_REVISED_MONTH_CIQ" hidden="1">"c16606"</definedName>
    <definedName name="IQ_REVENUE_EST_UP_2MONTH" hidden="1">"c16284"</definedName>
    <definedName name="IQ_REVENUE_EST_UP_2MONTH_CIQ" hidden="1">"c16608"</definedName>
    <definedName name="IQ_REVENUE_EST_UP_3MONTH" hidden="1">"c16288"</definedName>
    <definedName name="IQ_REVENUE_EST_UP_3MONTH_CIQ" hidden="1">"c16612"</definedName>
    <definedName name="IQ_REVENUE_EST_UP_MONTH" hidden="1">"c16280"</definedName>
    <definedName name="IQ_REVENUE_EST_UP_MONTH_CIQ" hidden="1">"c16604"</definedName>
    <definedName name="IQ_REVENUE_GROWTH_1" hidden="1">"IQ_REVENUE_GROWTH_1"</definedName>
    <definedName name="IQ_REVENUE_GROWTH_2" hidden="1">"IQ_REVENUE_GROWTH_2"</definedName>
    <definedName name="IQ_REVENUE_GUIDANCE" hidden="1">"c4519"</definedName>
    <definedName name="IQ_REVENUE_GUIDANCE_CIQ" hidden="1">"c5057"</definedName>
    <definedName name="IQ_REVENUE_GUIDANCE_CIQ_COL" hidden="1">"c11704"</definedName>
    <definedName name="IQ_REVENUE_HIGH_EST" hidden="1">"c1127"</definedName>
    <definedName name="IQ_REVENUE_HIGH_EST_CIQ" hidden="1">"c3618"</definedName>
    <definedName name="IQ_REVENUE_HIGH_EST_REUT" hidden="1">"c3636"</definedName>
    <definedName name="IQ_REVENUE_HIGH_EST_THOM" hidden="1">"c3654"</definedName>
    <definedName name="IQ_REVENUE_HIGH_GUIDANCE" hidden="1">"c4169"</definedName>
    <definedName name="IQ_REVENUE_HIGH_GUIDANCE_CIQ" hidden="1">"c4581"</definedName>
    <definedName name="IQ_REVENUE_HIGH_GUIDANCE_CIQ_COL" hidden="1">"c11230"</definedName>
    <definedName name="IQ_REVENUE_LOW_EST" hidden="1">"c1128"</definedName>
    <definedName name="IQ_REVENUE_LOW_EST_CIQ" hidden="1">"c3619"</definedName>
    <definedName name="IQ_REVENUE_LOW_EST_REUT" hidden="1">"c3637"</definedName>
    <definedName name="IQ_REVENUE_LOW_EST_THOM" hidden="1">"c3655"</definedName>
    <definedName name="IQ_REVENUE_LOW_GUIDANCE" hidden="1">"c4209"</definedName>
    <definedName name="IQ_REVENUE_LOW_GUIDANCE_CIQ" hidden="1">"c4621"</definedName>
    <definedName name="IQ_REVENUE_LOW_GUIDANCE_CIQ_COL" hidden="1">"c11270"</definedName>
    <definedName name="IQ_REVENUE_MEDIAN_EST" hidden="1">"c1662"</definedName>
    <definedName name="IQ_REVENUE_MEDIAN_EST_CIQ" hidden="1">"c3617"</definedName>
    <definedName name="IQ_REVENUE_MEDIAN_EST_REUT" hidden="1">"c3635"</definedName>
    <definedName name="IQ_REVENUE_MEDIAN_EST_THOM" hidden="1">"c3653"</definedName>
    <definedName name="IQ_REVENUE_NUM_EST" hidden="1">"c1129"</definedName>
    <definedName name="IQ_REVENUE_NUM_EST_CIQ" hidden="1">"c3620"</definedName>
    <definedName name="IQ_REVENUE_NUM_EST_REUT" hidden="1">"c3638"</definedName>
    <definedName name="IQ_REVENUE_NUM_EST_THOM" hidden="1">"c3656"</definedName>
    <definedName name="IQ_REVENUE_OTHER" hidden="1">"c2882"</definedName>
    <definedName name="IQ_REVENUE_PHONE" hidden="1">"c2879"</definedName>
    <definedName name="IQ_REVENUE_TOTAL" hidden="1">"c2883"</definedName>
    <definedName name="IQ_REVENUES_SATELLITE" hidden="1">"c15792"</definedName>
    <definedName name="IQ_REVENUES_WIRELESS" hidden="1">"c15793"</definedName>
    <definedName name="IQ_REVERSE_REPO" hidden="1">"c19131"</definedName>
    <definedName name="IQ_REVISION_DATE_" hidden="1">39271.8122569444</definedName>
    <definedName name="IQ_REVOLV_OPEN_SECURED_1_4_LL_REC_DOM_FFIEC" hidden="1">"c12902"</definedName>
    <definedName name="IQ_REVOLVING_HOME_EQUITY_LINES_UNUSED_FFIEC" hidden="1">"c13241"</definedName>
    <definedName name="IQ_REVOLVING_LOANS_GROSS_LOANS_FFIEC" hidden="1">"c13398"</definedName>
    <definedName name="IQ_REVOLVING_LOANS_GROSS_LOANS_THRIFT" hidden="1">"c25723"</definedName>
    <definedName name="IQ_REVOLVING_LOANS_RISK_BASED_CAPITAL_THRIFT" hidden="1">"c25708"</definedName>
    <definedName name="IQ_REVOLVING_LOANS_RISK_BASED_FFIEC" hidden="1">"c13419"</definedName>
    <definedName name="IQ_REVOLVING_LOANS_SEC_1_4_DOM_CHARGE_OFFS_FFIEC" hidden="1">"c13168"</definedName>
    <definedName name="IQ_REVOLVING_LOANS_SEC_1_4_DOM_RECOV_FFIEC" hidden="1">"c13190"</definedName>
    <definedName name="IQ_REVOLVING_OPEN_END_1_4_TRADING_DOM_FFIEC" hidden="1">"c12927"</definedName>
    <definedName name="IQ_REVOLVING_OPEN_END_PML_SECURED_1_4_DWELLING_UNITS_DUE_30_89_THRIFT" hidden="1">"c25241"</definedName>
    <definedName name="IQ_REVOLVING_OPEN_END_PML_SECURED_1_4_DWELLING_UNITS_DUE_90_THRIFT" hidden="1">"c25262"</definedName>
    <definedName name="IQ_REVOLVING_OPEN_END_PML_SECURED_1_4_DWELLING_UNITS_NON_ACCRUAL_THRIFT" hidden="1">"c25283"</definedName>
    <definedName name="IQ_REVOLVING_SECURED_1_4_DUE_30_89_FFIEC" hidden="1">"c13260"</definedName>
    <definedName name="IQ_REVOLVING_SECURED_1_4_DUE_90_FFIEC" hidden="1">"c13288"</definedName>
    <definedName name="IQ_REVOLVING_SECURED_1_4_NON_ACCRUAL_FFIEC" hidden="1">"c13314"</definedName>
    <definedName name="IQ_RGU" hidden="1">"c2863"</definedName>
    <definedName name="IQ_RISK_ADJ_BANK_ASSETS" hidden="1">"c2670"</definedName>
    <definedName name="IQ_RISK_WEIGHTED_ASSETS_0_PCT_FFIEC" hidden="1">"c18874"</definedName>
    <definedName name="IQ_RISK_WEIGHTED_ASSETS_100_PCT_FFIEC" hidden="1">"c18877"</definedName>
    <definedName name="IQ_RISK_WEIGHTED_ASSETS_20_PCT_FFIEC" hidden="1">"c18875"</definedName>
    <definedName name="IQ_RISK_WEIGHTED_ASSETS_50_PCT_FFIEC" hidden="1">"c18876"</definedName>
    <definedName name="IQ_RISK_WEIGHTED_ASSETS_BEFORE_EXCESS_ALLOWANCE_LL_LOSSES_THRIFT" hidden="1">"c25077"</definedName>
    <definedName name="IQ_RISK_WEIGHTED_ASSETS_FDIC" hidden="1">"c6370"</definedName>
    <definedName name="IQ_RISK_WEIGHTED_ASSETS_LOW_LEVEL_RECOURSE_RESIDUAL_INTERESTS_THRIFT" hidden="1">"c25075"</definedName>
    <definedName name="IQ_ROAM_MIN_USE_OTHER_CARRIERS" hidden="1">"c15765"</definedName>
    <definedName name="IQ_ROYALTIES_DUE_AFTER_FIVE" hidden="1">"c15969"</definedName>
    <definedName name="IQ_ROYALTIES_DUE_CY" hidden="1">"c15964"</definedName>
    <definedName name="IQ_ROYALTIES_DUE_CY1" hidden="1">"c15965"</definedName>
    <definedName name="IQ_ROYALTIES_DUE_CY2" hidden="1">"c15966"</definedName>
    <definedName name="IQ_ROYALTIES_DUE_CY3" hidden="1">"c15967"</definedName>
    <definedName name="IQ_ROYALTIES_DUE_CY4" hidden="1">"c15968"</definedName>
    <definedName name="IQ_ROYALTY_REVENUE_COAL" hidden="1">"c15932"</definedName>
    <definedName name="IQ_RSI" hidden="1">"c12704"</definedName>
    <definedName name="IQ_RSI_ADJ" hidden="1">"c12705"</definedName>
    <definedName name="IQ_RSSD_ID_FFIEC" hidden="1">"c20506"</definedName>
    <definedName name="IQ_SALARIED_WORKFORCE" hidden="1">"c7010"</definedName>
    <definedName name="IQ_SALARIED_WORKFORCE_APR" hidden="1">"c7670"</definedName>
    <definedName name="IQ_SALARIED_WORKFORCE_APR_FC" hidden="1">"c8550"</definedName>
    <definedName name="IQ_SALARIED_WORKFORCE_FC" hidden="1">"c7890"</definedName>
    <definedName name="IQ_SALARIED_WORKFORCE_POP" hidden="1">"c7230"</definedName>
    <definedName name="IQ_SALARIED_WORKFORCE_POP_FC" hidden="1">"c8110"</definedName>
    <definedName name="IQ_SALARIED_WORKFORCE_YOY" hidden="1">"c7450"</definedName>
    <definedName name="IQ_SALARIED_WORKFORCE_YOY_FC" hidden="1">"c8330"</definedName>
    <definedName name="IQ_SALARIES_EMPLOYEE_BENEFITS_FFIEC" hidden="1">"c13023"</definedName>
    <definedName name="IQ_SALARIES_EMPLOYEE_BENEFITS_THRIFT" hidden="1">"c24786"</definedName>
    <definedName name="IQ_SALARIES_OTHER_BENEFITS" hidden="1">"c16176"</definedName>
    <definedName name="IQ_SALARY" hidden="1">"c1130"</definedName>
    <definedName name="IQ_SALARY_FDIC" hidden="1">"c6576"</definedName>
    <definedName name="IQ_SALE_COMMON_GROSS_FFIEC" hidden="1">"c12963"</definedName>
    <definedName name="IQ_SALE_CONVERSION_ACQUISITION_NET_COMMON_FFIEC" hidden="1">"c15351"</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CM"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CM" hidden="1">"c1139"</definedName>
    <definedName name="IQ_SALE_PPE_CF_FIN" hidden="1">"c1140"</definedName>
    <definedName name="IQ_SALE_PPE_CF_INS" hidden="1">"c1141"</definedName>
    <definedName name="IQ_SALE_PPE_CF_UTI" hidden="1">"c1142"</definedName>
    <definedName name="IQ_SALE_PREF_FFIEC" hidden="1">"c12961"</definedName>
    <definedName name="IQ_SALE_PROCEEDS_RENTAL_ASSETS" hidden="1">"c26974"</definedName>
    <definedName name="IQ_SALE_PROP" hidden="1">"c16029"</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CM" hidden="1">"c1145"</definedName>
    <definedName name="IQ_SALE_REAL_ESTATE_CF_FIN" hidden="1">"c1146"</definedName>
    <definedName name="IQ_SALE_REAL_ESTATE_CF_INS" hidden="1">"c1147"</definedName>
    <definedName name="IQ_SALE_REAL_ESTATE_CF_UTI" hidden="1">"c1148"</definedName>
    <definedName name="IQ_SALE_TREASURY_FFIEC" hidden="1">"c12965"</definedName>
    <definedName name="IQ_SALES_COAL" hidden="1">"c15930"</definedName>
    <definedName name="IQ_SALES_COMM_NON_MORTGAGE_LOANS_THRIFT" hidden="1">"c25340"</definedName>
    <definedName name="IQ_SALES_CONSUMER_NON_MORTGAGE_LOANS_THRIFT" hidden="1">"c25342"</definedName>
    <definedName name="IQ_SALES_MARKETING" hidden="1">"c2240"</definedName>
    <definedName name="IQ_SALES_OTHER_MORTGAGE_BACKED_SEC_THRIFT" hidden="1">"c25315"</definedName>
    <definedName name="IQ_SALES_PASS_THROUGH_MORTGAGE_BACKED_SEC_THRIFT" hidden="1">"c25312"</definedName>
    <definedName name="IQ_SALES_TO_TOTAL_REVENUE_COAL" hidden="1">"c15943"</definedName>
    <definedName name="IQ_SAME_PROP_AGG_GLA" hidden="1">"c16055"</definedName>
    <definedName name="IQ_SAME_PROP_AGG_UNITS" hidden="1">"c16053"</definedName>
    <definedName name="IQ_SAME_PROP_EXPENSE" hidden="1">"c16050"</definedName>
    <definedName name="IQ_SAME_PROP_EXPENSE_GROWTH" hidden="1">"c16051"</definedName>
    <definedName name="IQ_SAME_PROP_NUMBER_PROP" hidden="1">"c16052"</definedName>
    <definedName name="IQ_SAME_PROP_PORTFOLIO_AREA" hidden="1">"c16054"</definedName>
    <definedName name="IQ_SAME_PROP_REV_GROWTH" hidden="1">"c16049"</definedName>
    <definedName name="IQ_SAME_PROP_REVENUE" hidden="1">"c16048"</definedName>
    <definedName name="IQ_SAME_STORE" hidden="1">"c1149"</definedName>
    <definedName name="IQ_SAME_STORE_ACT_OR_EST" hidden="1">"c18269"</definedName>
    <definedName name="IQ_SAME_STORE_ACT_OR_EST_CIQ" hidden="1">"c18275"</definedName>
    <definedName name="IQ_SAME_STORE_EST" hidden="1">"c18116"</definedName>
    <definedName name="IQ_SAME_STORE_EST_CIQ" hidden="1">"c18184"</definedName>
    <definedName name="IQ_SAME_STORE_EST_NOTE" hidden="1">"c18237"</definedName>
    <definedName name="IQ_SAME_STORE_EST_NOTE_CIQ" hidden="1">"c18244"</definedName>
    <definedName name="IQ_SAME_STORE_FRANCHISE" hidden="1">"c2900"</definedName>
    <definedName name="IQ_SAME_STORE_GUIDANCE" hidden="1">"c18412"</definedName>
    <definedName name="IQ_SAME_STORE_HIGH_EST" hidden="1">"c18136"</definedName>
    <definedName name="IQ_SAME_STORE_HIGH_EST_CIQ" hidden="1">"c18198"</definedName>
    <definedName name="IQ_SAME_STORE_HIGH_GUIDANCE" hidden="1">"c18413"</definedName>
    <definedName name="IQ_SAME_STORE_LOW_EST" hidden="1">"c18146"</definedName>
    <definedName name="IQ_SAME_STORE_LOW_EST_CIQ" hidden="1">"c18205"</definedName>
    <definedName name="IQ_SAME_STORE_LOW_GUIDANCE" hidden="1">"c18414"</definedName>
    <definedName name="IQ_SAME_STORE_MEDIAN_EST" hidden="1">"c18126"</definedName>
    <definedName name="IQ_SAME_STORE_MEDIAN_EST_CIQ" hidden="1">"c18191"</definedName>
    <definedName name="IQ_SAME_STORE_NUM_EST" hidden="1">"c18166"</definedName>
    <definedName name="IQ_SAME_STORE_NUM_EST_CIQ" hidden="1">"c18219"</definedName>
    <definedName name="IQ_SAME_STORE_OWNED" hidden="1">"c2908"</definedName>
    <definedName name="IQ_SAME_STORE_STDDEV_EST" hidden="1">"c18156"</definedName>
    <definedName name="IQ_SAME_STORE_STDDEV_EST_CIQ" hidden="1">"c18212"</definedName>
    <definedName name="IQ_SAME_STORE_TOTAL" hidden="1">"c2892"</definedName>
    <definedName name="IQ_SAVING_DEP" hidden="1">"c1150"</definedName>
    <definedName name="IQ_SAVINGS_ACCT_DEPOSITS_TOTAL_DEPOSITS" hidden="1">"c15721"</definedName>
    <definedName name="IQ_SAVINGS_ASSOCIATION_EQUITY_CAPITAL_BEGINNING_BALANCE_FROM_PRIOR_QTR_THRIFT" hidden="1">"c25008"</definedName>
    <definedName name="IQ_SAVINGS_ASSOCIATION_EQUITY_CAPITAL_ENDING_BALANCE_THRIFT" hidden="1">"c25019"</definedName>
    <definedName name="IQ_SAVINGS_DEPOSITS_NON_TRANS_ACCTS_FFIEC" hidden="1">"c15329"</definedName>
    <definedName name="IQ_SAVINGS_DEPOSITS_QUARTERLY_AVG_FFIEC" hidden="1">"c15485"</definedName>
    <definedName name="IQ_SAVINGS_RATE_DISP_INC_PCT" hidden="1">"c7011"</definedName>
    <definedName name="IQ_SAVINGS_RATE_DISP_INC_PCT_FC" hidden="1">"c7891"</definedName>
    <definedName name="IQ_SAVINGS_RATE_DISP_INC_PCT_POP" hidden="1">"c7231"</definedName>
    <definedName name="IQ_SAVINGS_RATE_DISP_INC_PCT_POP_FC" hidden="1">"c8111"</definedName>
    <definedName name="IQ_SAVINGS_RATE_DISP_INC_PCT_YOY" hidden="1">"c7451"</definedName>
    <definedName name="IQ_SAVINGS_RATE_DISP_INC_PCT_YOY_FC" hidden="1">"c8331"</definedName>
    <definedName name="IQ_SAVINGS_RATE_GDP_PCT" hidden="1">"c7012"</definedName>
    <definedName name="IQ_SAVINGS_RATE_GDP_PCT_FC" hidden="1">"c7892"</definedName>
    <definedName name="IQ_SAVINGS_RATE_GDP_PCT_POP" hidden="1">"c7232"</definedName>
    <definedName name="IQ_SAVINGS_RATE_GDP_PCT_POP_FC" hidden="1">"c8112"</definedName>
    <definedName name="IQ_SAVINGS_RATE_GDP_PCT_YOY" hidden="1">"c7452"</definedName>
    <definedName name="IQ_SAVINGS_RATE_GDP_PCT_YOY_FC" hidden="1">"c8332"</definedName>
    <definedName name="IQ_SAVINGS_RATE_PERSONAL_INC_PCT" hidden="1">"c7013"</definedName>
    <definedName name="IQ_SAVINGS_RATE_PERSONAL_INC_PCT_FC" hidden="1">"c7893"</definedName>
    <definedName name="IQ_SAVINGS_RATE_PERSONAL_INC_PCT_POP" hidden="1">"c7233"</definedName>
    <definedName name="IQ_SAVINGS_RATE_PERSONAL_INC_PCT_POP_FC" hidden="1">"c8113"</definedName>
    <definedName name="IQ_SAVINGS_RATE_PERSONAL_INC_PCT_YOY" hidden="1">"c7453"</definedName>
    <definedName name="IQ_SAVINGS_RATE_PERSONAL_INC_PCT_YOY_FC" hidden="1">"c8333"</definedName>
    <definedName name="IQ_SBC_EXPENSE_FFIEC" hidden="1">"c13077"</definedName>
    <definedName name="IQ_SCALABLE_INFRASTRUCTURE_CABLE_INVEST" hidden="1">"c15802"</definedName>
    <definedName name="IQ_SEC_1_4_CONSTRUCTION_DOM_CHARGE_OFFS_FFIEC" hidden="1">"c13165"</definedName>
    <definedName name="IQ_SEC_1_4_CONSTRUCTION_DOM_RECOV_FFIEC" hidden="1">"c13187"</definedName>
    <definedName name="IQ_SEC_BACKED_NON_MORTGAGE_LOANS_THRIFT" hidden="1">"c24825"</definedName>
    <definedName name="IQ_SEC_BACKED_US_GOVT_ELIGIBLE_0_PCT_RISK_WEIGHT_THRIFT" hidden="1">"c25052"</definedName>
    <definedName name="IQ_SEC_BORROWED_OFF_BS_FFIEC" hidden="1">"c13127"</definedName>
    <definedName name="IQ_SEC_FARMLAND_DOM_CHARGE_OFFS_FFIEC" hidden="1">"c13167"</definedName>
    <definedName name="IQ_SEC_FARMLAND_DOM_RECOV_FFIEC" hidden="1">"c13189"</definedName>
    <definedName name="IQ_SEC_FUNDS_PURCHASED_ASSETS_TOT_FFIEC" hidden="1">"c13447"</definedName>
    <definedName name="IQ_SEC_ISSUED_US_AFS_AMORT_COST_FFIEC" hidden="1">"c20492"</definedName>
    <definedName name="IQ_SEC_ISSUED_US_AFS_FAIR_VAL_FFIEC" hidden="1">"c20457"</definedName>
    <definedName name="IQ_SEC_ISSUED_US_AVAIL_SALE_FFIEC" hidden="1">"c12795"</definedName>
    <definedName name="IQ_SEC_ISSUED_US_TRADING_DOM_FFIEC" hidden="1">"c12920"</definedName>
    <definedName name="IQ_SEC_ISSUED_US_TRADING_FFIEC" hidden="1">"c12815"</definedName>
    <definedName name="IQ_SEC_MULTIFAM_DOM_CHARGE_OFFS_FFIEC" hidden="1">"c13171"</definedName>
    <definedName name="IQ_SEC_MULTIFAM_DOM_DUE_30_89_FFIEC" hidden="1">"c13263"</definedName>
    <definedName name="IQ_SEC_MULTIFAM_DOM_DUE_90_FFIEC" hidden="1">"c13291"</definedName>
    <definedName name="IQ_SEC_MULTIFAM_DOM_NON_ACCRUAL_FFIEC" hidden="1">"c13317"</definedName>
    <definedName name="IQ_SEC_MULTIFAM_DOM_RECOV_FFIEC" hidden="1">"c13193"</definedName>
    <definedName name="IQ_SEC_NONFARM_NONRES_CHARGE_OFFS_FFIEC" hidden="1">"c13629"</definedName>
    <definedName name="IQ_SEC_NONFARM_NONRES_DOM_OFFICES_DUE_30_89_FFIEC" hidden="1">"c13264"</definedName>
    <definedName name="IQ_SEC_NONFARM_NONRES_DOM_OFFICES_DUE_90_FFIEC" hidden="1">"c13292"</definedName>
    <definedName name="IQ_SEC_NONFARM_NONRES_DOM_OFFICES_NON_ACCRUAL_FFIEC" hidden="1">"c13318"</definedName>
    <definedName name="IQ_SEC_NONFARM_NONRES_RECOV_FFIEC" hidden="1">"c13633"</definedName>
    <definedName name="IQ_SEC_OTHER_CONSTRUCTION_DOM_CHARGE_OFFS_FFIEC" hidden="1">"c13166"</definedName>
    <definedName name="IQ_SEC_OTHER_CONSTRUCTION_DOM_RECOV_FFIEC" hidden="1">"c13188"</definedName>
    <definedName name="IQ_SEC_OTHER_NONFARM_NONRES_CHARGE_OFFS_FFIEC" hidden="1">"c13173"</definedName>
    <definedName name="IQ_SEC_OTHER_NONFARM_NONRES_DUE_30_89_FFIEC" hidden="1">"c13266"</definedName>
    <definedName name="IQ_SEC_OTHER_NONFARM_NONRES_DUE_90_FFIEC" hidden="1">"c13637"</definedName>
    <definedName name="IQ_SEC_OTHER_NONFARM_NONRES_NON_ACCRUAL_FFIEC" hidden="1">"c15462"</definedName>
    <definedName name="IQ_SEC_OTHER_NONFARM_NONRES_RECOV_FFIEC" hidden="1">"c13195"</definedName>
    <definedName name="IQ_SEC_OWNER_NONFARM_NONRES_CHARGE_OFFS_FFIEC" hidden="1">"c13172"</definedName>
    <definedName name="IQ_SEC_OWNER_NONFARM_NONRES_DUE_30_89_FFIEC" hidden="1">"c13265"</definedName>
    <definedName name="IQ_SEC_OWNER_NONFARM_NONRES_DUE_90_FFIEC" hidden="1">"c13636"</definedName>
    <definedName name="IQ_SEC_OWNER_NONFARM_NONRES_NON_ACCRUAL_FFIEC" hidden="1">"c15461"</definedName>
    <definedName name="IQ_SEC_OWNER_NONFARM_NONRES_RECOV_FFIEC" hidden="1">"c13194"</definedName>
    <definedName name="IQ_SEC_PURCHASED_RESELL" hidden="1">"c5513"</definedName>
    <definedName name="IQ_SEC_PURCHASED_RESELL_FFIEC" hidden="1">"c12807"</definedName>
    <definedName name="IQ_SEC_RE_FOREIGN_DUE_30_89_FFIEC" hidden="1">"c13267"</definedName>
    <definedName name="IQ_SEC_RE_FOREIGN_DUE_90_FFIEC" hidden="1">"c13293"</definedName>
    <definedName name="IQ_SEC_RE_FOREIGN_NON_ACCRUAL_FFIEC" hidden="1">"c13319"</definedName>
    <definedName name="IQ_SEC_RISK_WEIGHTED_100_PCT_MORE_UNDER_RATINGS_THRIFT" hidden="1">"c25071"</definedName>
    <definedName name="IQ_SEC_SOLD_REPURCHASE_FFIEC" hidden="1">"c12857"</definedName>
    <definedName name="IQ_SEC_SOLD_UNDER_AGREEMENTS_REPURCHASE_THRIFT" hidden="1">"c25574"</definedName>
    <definedName name="IQ_SECOND_LIEN_BONDS_NOTES" hidden="1">"c17893"</definedName>
    <definedName name="IQ_SECOND_LIEN_BONDS_NOTES_PCT" hidden="1">"c18007"</definedName>
    <definedName name="IQ_SECOND_LIEN_DEBT" hidden="1">"c17898"</definedName>
    <definedName name="IQ_SECOND_LIEN_DEBT_PCT" hidden="1">"c18012"</definedName>
    <definedName name="IQ_SECOND_LIEN_LOANS" hidden="1">"c17892"</definedName>
    <definedName name="IQ_SECOND_LIEN_LOANS_PCT" hidden="1">"c18006"</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COMMERCIAL_LOANS_THRIFT" hidden="1">"c24854"</definedName>
    <definedName name="IQ_SECURED_DEBT" hidden="1">"c2546"</definedName>
    <definedName name="IQ_SECURED_DEBT_PCT" hidden="1">"c2547"</definedName>
    <definedName name="IQ_SECURED_FARMLAND_CHARGE_OFFS_FDIC" hidden="1">"c6593"</definedName>
    <definedName name="IQ_SECURED_FARMLAND_DOM_DUE_30_89_FFIEC" hidden="1">"c13259"</definedName>
    <definedName name="IQ_SECURED_FARMLAND_DOM_DUE_90_FFIEC" hidden="1">"c13287"</definedName>
    <definedName name="IQ_SECURED_FARMLAND_DOM_NON_ACCRUAL_FFIEC" hidden="1">"c13313"</definedName>
    <definedName name="IQ_SECURED_FARMLAND_LL_REC_DOM_FFIEC" hidden="1">"c12901"</definedName>
    <definedName name="IQ_SECURED_FARMLAND_NET_CHARGE_OFFS_FDIC" hidden="1">"c6631"</definedName>
    <definedName name="IQ_SECURED_FARMLAND_RECOVERIES_FDIC" hidden="1">"c6612"</definedName>
    <definedName name="IQ_SECURED_FED_FUNDS_PURCHASED_TOTAL_ASSETS_THRIFT" hidden="1">"c25703"</definedName>
    <definedName name="IQ_SECURED_FEDERAL_FUNDS_PURCHASED_THRIFT" hidden="1">"c25573"</definedName>
    <definedName name="IQ_SECURED_MULTI_RES_LL_REC_DOM_FFIEC" hidden="1">"c12905"</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AFS_AMORT_COST_FFIEC" hidden="1">"c20488"</definedName>
    <definedName name="IQ_SECURITIES_AFS_FAIR_VAL_FFIEC" hidden="1">"c20453"</definedName>
    <definedName name="IQ_SECURITIES_GAINS_FDIC" hidden="1">"c6584"</definedName>
    <definedName name="IQ_SECURITIES_HELD_MATURITY_FFIEC" hidden="1">"c12777"</definedName>
    <definedName name="IQ_SECURITIES_HTM_AMORT_COST_FFIEC" hidden="1">"c20436"</definedName>
    <definedName name="IQ_SECURITIES_HTM_FAIR_VAL_FFIEC" hidden="1">"c20471"</definedName>
    <definedName name="IQ_SECURITIES_ISSUED_STATES_FDIC" hidden="1">"c6300"</definedName>
    <definedName name="IQ_SECURITIES_ISSUED_US_FFIEC" hidden="1">"c12781"</definedName>
    <definedName name="IQ_SECURITIES_ISSUED_US_HTM_AMORT_COST_FFIEC" hidden="1">"c20440"</definedName>
    <definedName name="IQ_SECURITIES_ISSUED_US_HTM_FAIR_VAL_FFIEC" hidden="1">"c20475"</definedName>
    <definedName name="IQ_SECURITIES_LENT_FDIC" hidden="1">"c6532"</definedName>
    <definedName name="IQ_SECURITIES_LENT_FFIEC" hidden="1">"c13255"</definedName>
    <definedName name="IQ_SECURITIES_QUARTERLY_AVG_FFIEC" hidden="1">"c13079"</definedName>
    <definedName name="IQ_SECURITIES_STATE_POLI_SUBD_QUARTERLY_AVG_FFIEC" hidden="1">"c15470"</definedName>
    <definedName name="IQ_SECURITIES_UNDERWRITING_FDIC" hidden="1">"c6529"</definedName>
    <definedName name="IQ_SECURITIES_UNDERWRITING_UNUSED_FFIEC" hidden="1">"c13247"</definedName>
    <definedName name="IQ_SECURITIZATION_INC_OPERATING_INC_FFIEC" hidden="1">"c13390"</definedName>
    <definedName name="IQ_SECURITIZATION_INCOME_FFIEC" hidden="1">"c13012"</definedName>
    <definedName name="IQ_SECURITIZED_DEBT" hidden="1">"c17897"</definedName>
    <definedName name="IQ_SECURITIZED_DEBT_PCT" hidden="1">"c18011"</definedName>
    <definedName name="IQ_SECURITY_ACTIVE_STATUS" hidden="1">"c15160"</definedName>
    <definedName name="IQ_SECURITY_BORROW" hidden="1">"c1152"</definedName>
    <definedName name="IQ_SECURITY_FEATURES" hidden="1">"c17681"</definedName>
    <definedName name="IQ_SECURITY_LEVEL" hidden="1">"c2159"</definedName>
    <definedName name="IQ_SECURITY_NAME" hidden="1">"c15159"</definedName>
    <definedName name="IQ_SECURITY_NOTES" hidden="1">"c2202"</definedName>
    <definedName name="IQ_SECURITY_OWN" hidden="1">"c1153"</definedName>
    <definedName name="IQ_SECURITY_RESELL" hidden="1">"c1154"</definedName>
    <definedName name="IQ_SECURITY_TYPE" hidden="1">"c2158"</definedName>
    <definedName name="IQ_SEDOL" hidden="1">"c12042"</definedName>
    <definedName name="IQ_SELECTED_FOREIGN_ASSETS_FFIEC" hidden="1">"c13485"</definedName>
    <definedName name="IQ_SEMI_BACKLOG" hidden="1">"c10005"</definedName>
    <definedName name="IQ_SEMI_BACKLOG_AVG_PRICE" hidden="1">"c10006"</definedName>
    <definedName name="IQ_SEMI_BACKLOG_VALUE" hidden="1">"c10007"</definedName>
    <definedName name="IQ_SEMI_BOOK_TO_BILL_RATIO" hidden="1">"c10008"</definedName>
    <definedName name="IQ_SEMI_ORDER_AVG_PRICE" hidden="1">"c10002"</definedName>
    <definedName name="IQ_SEMI_ORDER_VALUE" hidden="1">"c10003"</definedName>
    <definedName name="IQ_SEMI_ORDER_VALUE_CHANGE" hidden="1">"c10004"</definedName>
    <definedName name="IQ_SEMI_ORDERS" hidden="1">"c10001"</definedName>
    <definedName name="IQ_SEMI_WARRANTY_RES_ACQ" hidden="1">"c10011"</definedName>
    <definedName name="IQ_SEMI_WARRANTY_RES_BEG" hidden="1">"c10009"</definedName>
    <definedName name="IQ_SEMI_WARRANTY_RES_END" hidden="1">"c10014"</definedName>
    <definedName name="IQ_SEMI_WARRANTY_RES_ISS" hidden="1">"c10010"</definedName>
    <definedName name="IQ_SEMI_WARRANTY_RES_OTHER" hidden="1">"c10013"</definedName>
    <definedName name="IQ_SEMI_WARRANTY_RES_PAY" hidden="1">"c10012"</definedName>
    <definedName name="IQ_SEP_ACCOUNT_ASSETS_LH_FFIEC" hidden="1">"c13105"</definedName>
    <definedName name="IQ_SEPARATE_ACCOUNT_LIAB_LH_FFIEC" hidden="1">"c13108"</definedName>
    <definedName name="IQ_SEPARATE_ACCT_ASSETS" hidden="1">"c1155"</definedName>
    <definedName name="IQ_SEPARATE_ACCT_LIAB" hidden="1">"c1156"</definedName>
    <definedName name="IQ_SERV_CHARGE_DEPOSITS" hidden="1">"c1157"</definedName>
    <definedName name="IQ_SERVICE_CHARGES_COMM_FEE_DOM_FFIEC" hidden="1">"c25821"</definedName>
    <definedName name="IQ_SERVICE_CHARGES_DEPOSIT_ACCOUNTS_DOM_FFIEC" hidden="1">"c13003"</definedName>
    <definedName name="IQ_SERVICE_CHARGES_FDIC" hidden="1">"c6572"</definedName>
    <definedName name="IQ_SERVICE_CHARGES_OPERATING_INC_FFIEC" hidden="1">"c13384"</definedName>
    <definedName name="IQ_SERVICE_FEE" hidden="1">"c8951"</definedName>
    <definedName name="IQ_SERVICING_ASSETS_MORTGAGE_LOANS_THRIFT" hidden="1">"c24888"</definedName>
    <definedName name="IQ_SERVICING_ASSETS_NON_MORTGAGE_LOANS_THRIFT" hidden="1">"c24889"</definedName>
    <definedName name="IQ_SERVICING_FEES_FFIEC" hidden="1">"c13011"</definedName>
    <definedName name="IQ_SERVICING_FEES_OPERATING_INC_FFIEC" hidden="1">"c13389"</definedName>
    <definedName name="IQ_SETTLEMENTS_TAX_AUTHORITIES" hidden="1">"c15737"</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_PARTNERSHIP_ASSETS" hidden="1">"c16071"</definedName>
    <definedName name="IQ_SHARE_PARTNERSHIP_CONSOL_JV_DEBT" hidden="1">"c19139"</definedName>
    <definedName name="IQ_SHARE_PARTNERSHIP_CURRENT_ASSETS" hidden="1">"c16069"</definedName>
    <definedName name="IQ_SHARE_PARTNERSHIP_CURRENT_LIAB" hidden="1">"c16073"</definedName>
    <definedName name="IQ_SHARE_PARTNERSHIP_CURRENT_TAX" hidden="1">"c16091"</definedName>
    <definedName name="IQ_SHARE_PARTNERSHIP_DEBT" hidden="1">"c16078"</definedName>
    <definedName name="IQ_SHARE_PARTNERSHIP_DEFERRED_TAX" hidden="1">"c16092"</definedName>
    <definedName name="IQ_SHARE_PARTNERSHIP_DEPRECIATION" hidden="1">"c16089"</definedName>
    <definedName name="IQ_SHARE_PARTNERSHIP_FLOAT_DEBT" hidden="1">"c16077"</definedName>
    <definedName name="IQ_SHARE_PARTNERSHIP_FR_DEBT" hidden="1">"c16076"</definedName>
    <definedName name="IQ_SHARE_PARTNERSHIP_INT_EXPENSE" hidden="1">"c16088"</definedName>
    <definedName name="IQ_SHARE_PARTNERSHIP_INT_INCOME" hidden="1">"c16090"</definedName>
    <definedName name="IQ_SHARE_PARTNERSHIP_LIAB" hidden="1">"c16075"</definedName>
    <definedName name="IQ_SHARE_PARTNERSHIP_LT_ASSETS" hidden="1">"c16070"</definedName>
    <definedName name="IQ_SHARE_PARTNERSHIP_NOI" hidden="1">"c16084"</definedName>
    <definedName name="IQ_SHARE_PARTNERSHIP_NON_CURRENT_LIAB" hidden="1">"c16074"</definedName>
    <definedName name="IQ_SHARE_PARTNERSHIP_OPEX" hidden="1">"c16086"</definedName>
    <definedName name="IQ_SHARE_PARTNERSHIP_OTHER_EXPENSE" hidden="1">"c16087"</definedName>
    <definedName name="IQ_SHARE_PARTNERSHIP_OTHER_INCOME" hidden="1">"c16085"</definedName>
    <definedName name="IQ_SHARE_PARTNERSHIP_REVENUE" hidden="1">"c16083"</definedName>
    <definedName name="IQ_SHARE_RE_ASSET" hidden="1">"c16082"</definedName>
    <definedName name="IQ_SHARE_RE_ASSET_DEVELOP_PROP" hidden="1">"c16080"</definedName>
    <definedName name="IQ_SHARE_RE_ASSET_INV_PROP" hidden="1">"c16079"</definedName>
    <definedName name="IQ_SHARE_RE_ASSET_OTHER" hidden="1">"c16081"</definedName>
    <definedName name="IQ_SHAREOUTSTANDING" hidden="1">"c83"</definedName>
    <definedName name="IQ_SHARES_PER_DR" hidden="1">"c204"</definedName>
    <definedName name="IQ_SHARES_PURCHASED_AVERAGE_PRICE" hidden="1">"c5821"</definedName>
    <definedName name="IQ_SHARES_PURCHASED_QUARTER" hidden="1">"c5820"</definedName>
    <definedName name="IQ_SHARESOUTSTANDING" hidden="1">"c1164"</definedName>
    <definedName name="IQ_SHORT_BUSINESS_DESCRIPTION" hidden="1">"c24668"</definedName>
    <definedName name="IQ_SHORT_INTEREST" hidden="1">"c1165"</definedName>
    <definedName name="IQ_SHORT_INTEREST_OVER_FLOAT" hidden="1">"c1577"</definedName>
    <definedName name="IQ_SHORT_INTEREST_OVER_INST_OWNERSHIP" hidden="1">"c17422"</definedName>
    <definedName name="IQ_SHORT_INTEREST_PERCENT" hidden="1">"c1576"</definedName>
    <definedName name="IQ_SHORT_POSITIONS_FFIEC" hidden="1">"c12859"</definedName>
    <definedName name="IQ_SHORT_SCORE_DX" hidden="1">"c17439"</definedName>
    <definedName name="IQ_SHORT_TERM_INV_SHORT_TERM_NONCORE_FUNDING_THRIFT" hidden="1">"c25625"</definedName>
    <definedName name="IQ_SHORT_TERM_INV_TOTAL_ASSETS_THRIFT" hidden="1">"c25695"</definedName>
    <definedName name="IQ_SHORT_TERM_INVEST" hidden="1">"c1197"</definedName>
    <definedName name="IQ_SMALL_INT_BEAR_CD" hidden="1">"c1166"</definedName>
    <definedName name="IQ_SOC_SEC_RECEIPTS_SAAR_USD_APR_FC" hidden="1">"c12005"</definedName>
    <definedName name="IQ_SOC_SEC_RECEIPTS_SAAR_USD_FC" hidden="1">"c12002"</definedName>
    <definedName name="IQ_SOC_SEC_RECEIPTS_SAAR_USD_POP_FC" hidden="1">"c12003"</definedName>
    <definedName name="IQ_SOC_SEC_RECEIPTS_SAAR_USD_YOY_FC" hidden="1">"c12004"</definedName>
    <definedName name="IQ_SOC_SEC_RECEIPTS_USD_APR_FC" hidden="1">"c12001"</definedName>
    <definedName name="IQ_SOC_SEC_RECEIPTS_USD_FC" hidden="1">"c11998"</definedName>
    <definedName name="IQ_SOC_SEC_RECEIPTS_USD_POP_FC" hidden="1">"c11999"</definedName>
    <definedName name="IQ_SOC_SEC_RECEIPTS_USD_YOY_FC" hidden="1">"c12000"</definedName>
    <definedName name="IQ_SOCIAL_SEC_RECEIPTS" hidden="1">"c7015"</definedName>
    <definedName name="IQ_SOCIAL_SEC_RECEIPTS_APR" hidden="1">"c7675"</definedName>
    <definedName name="IQ_SOCIAL_SEC_RECEIPTS_APR_FC" hidden="1">"c8555"</definedName>
    <definedName name="IQ_SOCIAL_SEC_RECEIPTS_FC" hidden="1">"c7895"</definedName>
    <definedName name="IQ_SOCIAL_SEC_RECEIPTS_POP" hidden="1">"c7235"</definedName>
    <definedName name="IQ_SOCIAL_SEC_RECEIPTS_POP_FC" hidden="1">"c8115"</definedName>
    <definedName name="IQ_SOCIAL_SEC_RECEIPTS_SAAR" hidden="1">"c7016"</definedName>
    <definedName name="IQ_SOCIAL_SEC_RECEIPTS_SAAR_APR" hidden="1">"c7676"</definedName>
    <definedName name="IQ_SOCIAL_SEC_RECEIPTS_SAAR_APR_FC" hidden="1">"c8556"</definedName>
    <definedName name="IQ_SOCIAL_SEC_RECEIPTS_SAAR_FC" hidden="1">"c7896"</definedName>
    <definedName name="IQ_SOCIAL_SEC_RECEIPTS_SAAR_POP" hidden="1">"c7236"</definedName>
    <definedName name="IQ_SOCIAL_SEC_RECEIPTS_SAAR_POP_FC" hidden="1">"c8116"</definedName>
    <definedName name="IQ_SOCIAL_SEC_RECEIPTS_SAAR_YOY" hidden="1">"c7456"</definedName>
    <definedName name="IQ_SOCIAL_SEC_RECEIPTS_SAAR_YOY_FC" hidden="1">"c8336"</definedName>
    <definedName name="IQ_SOCIAL_SEC_RECEIPTS_YOY" hidden="1">"c7455"</definedName>
    <definedName name="IQ_SOCIAL_SEC_RECEIPTS_YOY_FC" hidden="1">"c8335"</definedName>
    <definedName name="IQ_SOFTWARE" hidden="1">"c1167"</definedName>
    <definedName name="IQ_SOLD_COAL" hidden="1">"c15936"</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NSR_ACTION_LT" hidden="1">"c13616"</definedName>
    <definedName name="IQ_SP_ISSUE_NSR_ACTION_ST" hidden="1">"c13622"</definedName>
    <definedName name="IQ_SP_ISSUE_NSR_DATE_LT" hidden="1">"c13615"</definedName>
    <definedName name="IQ_SP_ISSUE_NSR_DATE_ST" hidden="1">"c13621"</definedName>
    <definedName name="IQ_SP_ISSUE_NSR_LT" hidden="1">"c13614"</definedName>
    <definedName name="IQ_SP_ISSUE_NSR_ST" hidden="1">"c13620"</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NSR_ACTION_LT" hidden="1">"c13613"</definedName>
    <definedName name="IQ_SP_NSR_ACTION_ST" hidden="1">"c13619"</definedName>
    <definedName name="IQ_SP_NSR_DATE_LT" hidden="1">"c13612"</definedName>
    <definedName name="IQ_SP_NSR_DATE_ST" hidden="1">"c13618"</definedName>
    <definedName name="IQ_SP_NSR_LT" hidden="1">"c13611"</definedName>
    <definedName name="IQ_SP_NSR_ST" hidden="1">"c13617"</definedName>
    <definedName name="IQ_SP_OUTLOOK_WATCH" hidden="1">"c2639"</definedName>
    <definedName name="IQ_SP_OUTLOOK_WATCH_DATE" hidden="1">"c2638"</definedName>
    <definedName name="IQ_SP_QUALITY_RANKING_DESCRIPTION" hidden="1">"c17410"</definedName>
    <definedName name="IQ_SP_QUALITY_RANKING_VALUE" hidden="1">"c17409"</definedName>
    <definedName name="IQ_SP_REASON" hidden="1">"c2174"</definedName>
    <definedName name="IQ_SP_STARS_DESCRIPTION" hidden="1">"c17408"</definedName>
    <definedName name="IQ_SP_STARS_VALUE" hidden="1">"c17407"</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CM"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PECIALTIES" hidden="1">"c18932"</definedName>
    <definedName name="IQ_SPECIFIC_ALLOWANCE" hidden="1">"c15247"</definedName>
    <definedName name="IQ_SPONSORS" hidden="1">"c18920"</definedName>
    <definedName name="IQ_SPONSORS_ID" hidden="1">"c18921"</definedName>
    <definedName name="IQ_SQ_FT_LEASED_GROSS_CONSOL" hidden="1">"c8820"</definedName>
    <definedName name="IQ_SQ_FT_LEASED_GROSS_MANAGED" hidden="1">"c8822"</definedName>
    <definedName name="IQ_SQ_FT_LEASED_GROSS_OTHER" hidden="1">"c8823"</definedName>
    <definedName name="IQ_SQ_FT_LEASED_GROSS_TOTAL" hidden="1">"c8824"</definedName>
    <definedName name="IQ_SQ_FT_LEASED_GROSS_UNCONSOL" hidden="1">"c8821"</definedName>
    <definedName name="IQ_SQ_FT_LEASED_NET_CONSOL" hidden="1">"c8825"</definedName>
    <definedName name="IQ_SQ_FT_LEASED_NET_MANAGED" hidden="1">"c8827"</definedName>
    <definedName name="IQ_SQ_FT_LEASED_NET_OTHER" hidden="1">"c8828"</definedName>
    <definedName name="IQ_SQ_FT_LEASED_NET_TOTAL" hidden="1">"c8829"</definedName>
    <definedName name="IQ_SQ_FT_LEASED_NET_UNCONSOL" hidden="1">"c8826"</definedName>
    <definedName name="IQ_SQ_METER_LEASED_GROSS_CONSOL" hidden="1">"c8830"</definedName>
    <definedName name="IQ_SQ_METER_LEASED_GROSS_MANAGED" hidden="1">"c8832"</definedName>
    <definedName name="IQ_SQ_METER_LEASED_GROSS_OTHER" hidden="1">"c8833"</definedName>
    <definedName name="IQ_SQ_METER_LEASED_GROSS_TOTAL" hidden="1">"c8834"</definedName>
    <definedName name="IQ_SQ_METER_LEASED_GROSS_UNCONSOL" hidden="1">"c8831"</definedName>
    <definedName name="IQ_SQ_METER_LEASED_NET_CONSOL" hidden="1">"c8835"</definedName>
    <definedName name="IQ_SQ_METER_LEASED_NET_MANAGED" hidden="1">"c8837"</definedName>
    <definedName name="IQ_SQ_METER_LEASED_NET_OTHER" hidden="1">"c8838"</definedName>
    <definedName name="IQ_SQ_METER_LEASED_NET_TOTAL" hidden="1">"c8839"</definedName>
    <definedName name="IQ_SQ_METER_LEASED_NET_UNCONSOL" hidden="1">"c8836"</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ECURED_BONDS_NOTES" hidden="1">"c17889"</definedName>
    <definedName name="IQ_SR_SECURED_BONDS_NOTES_PCT" hidden="1">"c18003"</definedName>
    <definedName name="IQ_SR_SECURED_LOANS" hidden="1">"c17888"</definedName>
    <definedName name="IQ_SR_SECURED_LOANS_PCT" hidden="1">"c18002"</definedName>
    <definedName name="IQ_SR_SUB_DEBT" hidden="1">"c2530"</definedName>
    <definedName name="IQ_SR_SUB_DEBT_EBITDA" hidden="1">"c2556"</definedName>
    <definedName name="IQ_SR_SUB_DEBT_EBITDA_CAPEX" hidden="1">"c2557"</definedName>
    <definedName name="IQ_SR_SUB_DEBT_PCT" hidden="1">"c2531"</definedName>
    <definedName name="IQ_SR_UNSECURED_BONDS_NOTES" hidden="1">"c17891"</definedName>
    <definedName name="IQ_SR_UNSECURED_BONDS_NOTES_PCT" hidden="1">"c18005"</definedName>
    <definedName name="IQ_ST_DEBT" hidden="1">"c1176"</definedName>
    <definedName name="IQ_ST_DEBT_BNK" hidden="1">"c1177"</definedName>
    <definedName name="IQ_ST_DEBT_BR" hidden="1">"c1178"</definedName>
    <definedName name="IQ_ST_DEBT_CM" hidden="1">"c1178"</definedName>
    <definedName name="IQ_ST_DEBT_DERIVATIVES" hidden="1">"c17741"</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CM"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CM"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ASSETS_TOT_FFIEC" hidden="1">"c13438"</definedName>
    <definedName name="IQ_ST_INVEST_ST_NONCORE_FUNDING_FFIEC" hidden="1">"c13338"</definedName>
    <definedName name="IQ_ST_INVEST_UTI" hidden="1">"c1198"</definedName>
    <definedName name="IQ_ST_NOTE_RECEIV" hidden="1">"c1199"</definedName>
    <definedName name="IQ_STANDBY_LETTERS_CREDIT_THRIFT" hidden="1">"c25614"</definedName>
    <definedName name="IQ_STANDBY_LOC_FHLB_BANK_BEHALF_OFF_BS_FFIEC" hidden="1">"c15412"</definedName>
    <definedName name="IQ_STATE" hidden="1">"c1200"</definedName>
    <definedName name="IQ_STATE_COUNTY_MUNICIPAL_OBLIGATIONS_ALL_OTHER_ACCOUNTS_THRIFT" hidden="1">"c25426"</definedName>
    <definedName name="IQ_STATE_COUNTY_MUNICIPAL_OBLIGATIONS_EMPLOYEE_BENEFIT_RETIREMENT_RELATED_ACCOUNTS_THRIFT" hidden="1">"c25410"</definedName>
    <definedName name="IQ_STATE_COUNTY_MUNICIPAL_OBLIGATIONS_PERSONAL_TRUST_AGENCY_INV_MANAGEMENT_ACCOUNTS_THRIFT" hidden="1">"c25394"</definedName>
    <definedName name="IQ_STATE_LOCAL_OTHER_INC_TAXES_THRIFT" hidden="1">"c24817"</definedName>
    <definedName name="IQ_STATE_LOCAL_REVENUE_BONDS_ELIGIBLE_50_PCT_RISK_WEIGHT_THRIFT" hidden="1">"c25067"</definedName>
    <definedName name="IQ_STATE_LOCAL_SPENDING_SAAR" hidden="1">"c7017"</definedName>
    <definedName name="IQ_STATE_LOCAL_SPENDING_SAAR_APR" hidden="1">"c7677"</definedName>
    <definedName name="IQ_STATE_LOCAL_SPENDING_SAAR_APR_FC" hidden="1">"c8557"</definedName>
    <definedName name="IQ_STATE_LOCAL_SPENDING_SAAR_FC" hidden="1">"c7897"</definedName>
    <definedName name="IQ_STATE_LOCAL_SPENDING_SAAR_POP" hidden="1">"c7237"</definedName>
    <definedName name="IQ_STATE_LOCAL_SPENDING_SAAR_POP_FC" hidden="1">"c8117"</definedName>
    <definedName name="IQ_STATE_LOCAL_SPENDING_SAAR_YOY" hidden="1">"c7457"</definedName>
    <definedName name="IQ_STATE_LOCAL_SPENDING_SAAR_YOY_FC" hidden="1">"c8337"</definedName>
    <definedName name="IQ_STATE_MUNI_OBLIGATIONS_THRIFT" hidden="1">"c24824"</definedName>
    <definedName name="IQ_STATE_OF_INC" hidden="1">"c18104"</definedName>
    <definedName name="IQ_STATES_NONTRANSACTION_ACCOUNTS_FDIC" hidden="1">"c6547"</definedName>
    <definedName name="IQ_STATES_POLI_SUBD_US_NON_TRANS_ACCTS_FFIEC" hidden="1">"c15324"</definedName>
    <definedName name="IQ_STATES_POLI_SUBD_US_TRANS_ACCTS_FFIEC" hidden="1">"c15316"</definedName>
    <definedName name="IQ_STATES_TOTAL_DEPOSITS_FDIC" hidden="1">"c6473"</definedName>
    <definedName name="IQ_STATES_TRANSACTION_ACCOUNTS_FDIC" hidden="1">"c6539"</definedName>
    <definedName name="IQ_STATUTORY_SURPLUS" hidden="1">"c1201"</definedName>
    <definedName name="IQ_STATUTORY_SURPLUS_GAAP_EQUITY" hidden="1">"c15883"</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EST" hidden="1">"c4520"</definedName>
    <definedName name="IQ_STOCK_BASED_EST_CIQ" hidden="1">"c5073"</definedName>
    <definedName name="IQ_STOCK_BASED_EXPLORE_DRILL" hidden="1">"c13851"</definedName>
    <definedName name="IQ_STOCK_BASED_GA" hidden="1">"c2993"</definedName>
    <definedName name="IQ_STOCK_BASED_HIGH_EST" hidden="1">"c4521"</definedName>
    <definedName name="IQ_STOCK_BASED_HIGH_EST_CIQ" hidden="1">"c5074"</definedName>
    <definedName name="IQ_STOCK_BASED_LOW_EST" hidden="1">"c4522"</definedName>
    <definedName name="IQ_STOCK_BASED_LOW_EST_CIQ" hidden="1">"c5075"</definedName>
    <definedName name="IQ_STOCK_BASED_MEDIAN_EST" hidden="1">"c4523"</definedName>
    <definedName name="IQ_STOCK_BASED_MEDIAN_EST_CIQ" hidden="1">"c5076"</definedName>
    <definedName name="IQ_STOCK_BASED_NUM_EST" hidden="1">"c4524"</definedName>
    <definedName name="IQ_STOCK_BASED_NUM_EST_CIQ" hidden="1">"c5077"</definedName>
    <definedName name="IQ_STOCK_BASED_OTHER" hidden="1">"c2995"</definedName>
    <definedName name="IQ_STOCK_BASED_RD" hidden="1">"c2991"</definedName>
    <definedName name="IQ_STOCK_BASED_SGA" hidden="1">"c2994"</definedName>
    <definedName name="IQ_STOCK_BASED_SM" hidden="1">"c2992"</definedName>
    <definedName name="IQ_STOCK_BASED_STDDEV_EST" hidden="1">"c4525"</definedName>
    <definedName name="IQ_STOCK_BASED_STDDEV_EST_CIQ" hidden="1">"c5078"</definedName>
    <definedName name="IQ_STOCK_BASED_TOTAL" hidden="1">"c3040"</definedName>
    <definedName name="IQ_STOCK_ISSUED_SAVINGS_ASSOCIATION_THRIFT" hidden="1">"c25012"</definedName>
    <definedName name="IQ_STOCK_MARKET_INDEX" hidden="1">"c21101"</definedName>
    <definedName name="IQ_STOCK_OPTIONS_COMP" hidden="1">"c3509"</definedName>
    <definedName name="IQ_STOCK_OPTIONS_COMP_PRETAX" hidden="1">"c3507"</definedName>
    <definedName name="IQ_STOCK_OPTIONS_COMP_TAX" hidden="1">"c3508"</definedName>
    <definedName name="IQ_STOCK_RETIRED_SAVINGS_ASSOCIATION_THRIFT" hidden="1">"c25013"</definedName>
    <definedName name="IQ_STRAIGHT_LINE_RENT_ADJ" hidden="1">"c16178"</definedName>
    <definedName name="IQ_STRATEGY_NOTE" hidden="1">"c6791"</definedName>
    <definedName name="IQ_STRIKE_PRICE_ISSUED" hidden="1">"c1645"</definedName>
    <definedName name="IQ_STRIKE_PRICE_OS" hidden="1">"c1646"</definedName>
    <definedName name="IQ_STRIPS_RECEIVABLE_MORTGAGE_LOANS_FFIEC" hidden="1">"c12844"</definedName>
    <definedName name="IQ_STRIPS_RECEIVABLE_OTHER_FFIEC" hidden="1">"c12845"</definedName>
    <definedName name="IQ_STRUCT_FIN_CLASS" hidden="1">"c8950"</definedName>
    <definedName name="IQ_STRUCT_FIN_SERIES" hidden="1">"c8956"</definedName>
    <definedName name="IQ_STRUCTURED_NOTES_INVEST_SECURITIES_FFIEC" hidden="1">"c13468"</definedName>
    <definedName name="IQ_STRUCTURING_NOTES_TIER_1_FFIEC" hidden="1">"c13344"</definedName>
    <definedName name="IQ_STW" hidden="1">"c2166"</definedName>
    <definedName name="IQ_STYLE_GROWTH_VALUE" hidden="1">"c19203"</definedName>
    <definedName name="IQ_STYLE_HIGH_YIELD" hidden="1">"c19204"</definedName>
    <definedName name="IQ_STYLE_MARKET_CAP" hidden="1">"c19202"</definedName>
    <definedName name="IQ_STYLE_REPORTED" hidden="1">"c19205"</definedName>
    <definedName name="IQ_SUB_BONDS_NOTES" hidden="1">"c2503"</definedName>
    <definedName name="IQ_SUB_BONDS_NOTES_PCT" hidden="1">"c2504"</definedName>
    <definedName name="IQ_SUB_DEBENTURES_THRIFT" hidden="1">"c24902"</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B_NOTES_DEBENTURES_FAIR_VALUE_TOT_FFIEC" hidden="1">"c15410"</definedName>
    <definedName name="IQ_SUB_NOTES_DEBENTURES_FFIEC" hidden="1">"c12867"</definedName>
    <definedName name="IQ_SUB_NOTES_DEBENTURES_LEVEL_1_FFIEC" hidden="1">"c15432"</definedName>
    <definedName name="IQ_SUB_NOTES_DEBENTURES_LEVEL_2_FFIEC" hidden="1">"c15445"</definedName>
    <definedName name="IQ_SUB_NOTES_DEBENTURES_LEVEL_3_FFIEC" hidden="1">"c15458"</definedName>
    <definedName name="IQ_SUB_NOTES_PAYABLE_UNCONSOLIDATED_TRUSTS_FFIEC" hidden="1">"c12868"</definedName>
    <definedName name="IQ_SUBORDINATED_DEBENTURES_AMOUNTS_NETTED_THRIFT" hidden="1">"c25540"</definedName>
    <definedName name="IQ_SUBORDINATED_DEBENTURES_LEVEL_1_THRIFT" hidden="1">"c25536"</definedName>
    <definedName name="IQ_SUBORDINATED_DEBENTURES_LEVEL_2_THRIFT" hidden="1">"c25537"</definedName>
    <definedName name="IQ_SUBORDINATED_DEBENTURES_LEVEL_3_THRIFT" hidden="1">"c25538"</definedName>
    <definedName name="IQ_SUBORDINATED_DEBENTURES_TOTAL_AFTER_NETTING_THRIFT" hidden="1">"c25541"</definedName>
    <definedName name="IQ_SUBORDINATED_DEBENTURES_TOTAL_BEFORE_NETTING_THRIFT" hidden="1">"c25539"</definedName>
    <definedName name="IQ_SUBORDINATED_DEBENTURES_WITH_REMAINING_MATURITY_ONE_YEAR_LESS_THRIFT" hidden="1">"c25577"</definedName>
    <definedName name="IQ_SUBORDINATED_DEBENTURES_WITH_REMAINING_MATURITY_OVER_ONE_YEAR_THRIFT" hidden="1">"c25578"</definedName>
    <definedName name="IQ_SUBS_ANALOG_CABLE" hidden="1">"c2855"</definedName>
    <definedName name="IQ_SUBS_BASIC_CABLE" hidden="1">"c16205"</definedName>
    <definedName name="IQ_SUBS_BBAND" hidden="1">"c2858"</definedName>
    <definedName name="IQ_SUBS_BUNDLED" hidden="1">"c2861"</definedName>
    <definedName name="IQ_SUBS_DIG_CABLE" hidden="1">"c2856"</definedName>
    <definedName name="IQ_SUBS_NON_VIDEO" hidden="1">"c2860"</definedName>
    <definedName name="IQ_SUBS_PHONE" hidden="1">"c2859"</definedName>
    <definedName name="IQ_SUBS_POSTPAID_WIRELESS" hidden="1">"c2118"</definedName>
    <definedName name="IQ_SUBS_PREPAID_WIRELESS" hidden="1">"c2117"</definedName>
    <definedName name="IQ_SUBS_RESELL_WHOLESALE_WIRELESS" hidden="1">"c15749"</definedName>
    <definedName name="IQ_SUBS_TOTAL" hidden="1">"c2862"</definedName>
    <definedName name="IQ_SUBS_TOTAL_WIRELESS" hidden="1">"c2119"</definedName>
    <definedName name="IQ_SUBS_VIDEO" hidden="1">"c2857"</definedName>
    <definedName name="IQ_SUPPLIES_FFIEC" hidden="1">"c13050"</definedName>
    <definedName name="IQ_SUPPORT_INFRASTRUCTURE_CABLE_INVEST" hidden="1">"c15805"</definedName>
    <definedName name="IQ_SURFACE_RESERVES_COAL" hidden="1">"c15920"</definedName>
    <definedName name="IQ_SURFACE_RESERVES_TO_TOTAL_RESERVES_COAL" hidden="1">"c15959"</definedName>
    <definedName name="IQ_SURPLUS_FDIC" hidden="1">"c6351"</definedName>
    <definedName name="IQ_SURPLUS_FFIEC" hidden="1">"c12877"</definedName>
    <definedName name="IQ_SVA" hidden="1">"c1214"</definedName>
    <definedName name="IQ_SYMBOL_RT" hidden="1">"SYMBOL"</definedName>
    <definedName name="IQ_SYNTH_STRUCTURED_PRODUCTS_AFS_AMORT_COST_FFIEC" hidden="1">"c20501"</definedName>
    <definedName name="IQ_SYNTH_STRUCTURED_PRODUCTS_AFS_FAIR_VAL_FFIEC" hidden="1">"c20466"</definedName>
    <definedName name="IQ_SYNTH_STRUCTURED_PRODUCTS_HTM_AMORT_COST_FFIEC" hidden="1">"c20449"</definedName>
    <definedName name="IQ_SYNTH_STRUCTURED_PRODUCTS_HTM_FAIR_VAL_FFIEC" hidden="1">"c20484"</definedName>
    <definedName name="IQ_SYNTHETIC_STRUCTURED_PRODUCTS_AVAIL_SALE_FFIEC" hidden="1">"c15264"</definedName>
    <definedName name="IQ_SYNTHETIC_STRUCTURED_PRODUCTS_FFIEC" hidden="1">"c15261"</definedName>
    <definedName name="IQ_TANGIBLE_ASSETS_FFIEC" hidden="1">"c13916"</definedName>
    <definedName name="IQ_TANGIBLE_ASSETS_THRIFT" hidden="1">"c25088"</definedName>
    <definedName name="IQ_TANGIBLE_COMMON_EQUITY_FFIEC" hidden="1">"c13914"</definedName>
    <definedName name="IQ_TANGIBLE_COMMON_EQUITY_THRIFT" hidden="1">"c25086"</definedName>
    <definedName name="IQ_TANGIBLE_EQUITY_ASSETS_FFIEC" hidden="1">"c13346"</definedName>
    <definedName name="IQ_TANGIBLE_EQUITY_FFIEC" hidden="1">"c13915"</definedName>
    <definedName name="IQ_TANGIBLE_EQUITY_RATIO_THRIFT" hidden="1">"c25084"</definedName>
    <definedName name="IQ_TANGIBLE_EQUITY_THRIFT" hidden="1">"c25087"</definedName>
    <definedName name="IQ_TANGIBLE_TIER_1_LEVERAGE_FFIEC" hidden="1">"c13345"</definedName>
    <definedName name="IQ_TANGIBLE_TIER_1_LEVERAGE_RATIO_THRIFT" hidden="1">"c25631"</definedName>
    <definedName name="IQ_TARGET_PRICE_NUM" hidden="1">"c1653"</definedName>
    <definedName name="IQ_TARGET_PRICE_NUM_CIQ" hidden="1">"c4661"</definedName>
    <definedName name="IQ_TARGET_PRICE_NUM_REUT" hidden="1">"c5319"</definedName>
    <definedName name="IQ_TARGET_PRICE_NUM_THOM" hidden="1">"c5098"</definedName>
    <definedName name="IQ_TARGET_PRICE_STDDEV" hidden="1">"c1654"</definedName>
    <definedName name="IQ_TARGET_PRICE_STDDEV_CIQ" hidden="1">"c4662"</definedName>
    <definedName name="IQ_TARGET_PRICE_STDDEV_REUT" hidden="1">"c5320"</definedName>
    <definedName name="IQ_TARGET_PRICE_STDDEV_THOM" hidden="1">"c5099"</definedName>
    <definedName name="IQ_TARP_INIT_INVEST_AMT" hidden="1">"c17863"</definedName>
    <definedName name="IQ_TARP_INIT_INVEST_DATE_ANN" hidden="1">"c17861"</definedName>
    <definedName name="IQ_TARP_INIT_INVEST_DATE_CLOSED" hidden="1">"c17862"</definedName>
    <definedName name="IQ_TARP_INVESTOR_STATUS" hidden="1">"c17865"</definedName>
    <definedName name="IQ_TARP_REMAINING_AMT" hidden="1">"c17869"</definedName>
    <definedName name="IQ_TARP_REMAINING_SEC_DES" hidden="1">"c17870"</definedName>
    <definedName name="IQ_TARP_REPAYMENT_DISP" hidden="1">"c17866"</definedName>
    <definedName name="IQ_TARP_REPAYMENT_DISP_AMT" hidden="1">"c17868"</definedName>
    <definedName name="IQ_TARP_REPAYMENT_DISP_DATE" hidden="1">"c17867"</definedName>
    <definedName name="IQ_TARP_ROUND" hidden="1">"c17859"</definedName>
    <definedName name="IQ_TARP_STATUS" hidden="1">"c17864"</definedName>
    <definedName name="IQ_TARP_TR_AMT" hidden="1">"c17857"</definedName>
    <definedName name="IQ_TARP_TR_DATE" hidden="1">"c17856"</definedName>
    <definedName name="IQ_TARP_TR_TYPE" hidden="1">"c17858"</definedName>
    <definedName name="IQ_TARP_TRANSACTION_ID" hidden="1">"c17871"</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AX_EQUIVALENT_ADJUSTMENTS_FFIEC" hidden="1">"c13854"</definedName>
    <definedName name="IQ_TAX_OTHER_EXP_AP" hidden="1">"c8878"</definedName>
    <definedName name="IQ_TAX_OTHER_EXP_AP_ABS" hidden="1">"c8897"</definedName>
    <definedName name="IQ_TAX_OTHER_EXP_NAME_AP" hidden="1">"c8916"</definedName>
    <definedName name="IQ_TAX_OTHER_EXP_NAME_AP_ABS" hidden="1">"c8935"</definedName>
    <definedName name="IQ_TAXES_ADJ_NOI_FFIEC" hidden="1">"c13395"</definedName>
    <definedName name="IQ_TAXES_NOI_FFIEC" hidden="1">"c13394"</definedName>
    <definedName name="IQ_TAXES_TE_AVG_ASSETS_FFIEC" hidden="1">"c13366"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EXCL_FFIEC" hidden="1">"c13516"</definedName>
    <definedName name="IQ_TBV_SHARE" hidden="1">"c1217"</definedName>
    <definedName name="IQ_TBV_SHARE_REPORTED" hidden="1">"c19140"</definedName>
    <definedName name="IQ_TELECOM_FFIEC" hidden="1">"c13057"</definedName>
    <definedName name="IQ_TEMPLATE" hidden="1">"c1521"</definedName>
    <definedName name="IQ_TENANT" hidden="1">"c1218"</definedName>
    <definedName name="IQ_TENANT_LEASE_COMMISSION" hidden="1">"c16177"</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CIQ" hidden="1">"c4047"</definedName>
    <definedName name="IQ_TEV_EBIT_FWD_THOM" hidden="1">"c4061"</definedName>
    <definedName name="IQ_TEV_EBITDA" hidden="1">"c1222"</definedName>
    <definedName name="IQ_TEV_EBITDA_AVG" hidden="1">"c1223"</definedName>
    <definedName name="IQ_TEV_EBITDA_CAPEX" hidden="1">"c17553"</definedName>
    <definedName name="IQ_TEV_EBITDA_FWD" hidden="1">"c1224"</definedName>
    <definedName name="IQ_TEV_EBITDA_FWD_CIQ" hidden="1">"c4043"</definedName>
    <definedName name="IQ_TEV_EBITDA_FWD_REUT" hidden="1">"c4050"</definedName>
    <definedName name="IQ_TEV_EBITDA_FWD_THOM" hidden="1">"c4057"</definedName>
    <definedName name="IQ_TEV_EMPLOYEE_AVG" hidden="1">"c1225"</definedName>
    <definedName name="IQ_TEV_EST" hidden="1">"c4526"</definedName>
    <definedName name="IQ_TEV_EST_CIQ" hidden="1">"c5079"</definedName>
    <definedName name="IQ_TEV_EST_DOWN_2MONTH" hidden="1">"c16489"</definedName>
    <definedName name="IQ_TEV_EST_DOWN_3MONTH" hidden="1">"c16493"</definedName>
    <definedName name="IQ_TEV_EST_DOWN_MONTH" hidden="1">"c16485"</definedName>
    <definedName name="IQ_TEV_EST_NOTE_CIQ" hidden="1">"c18231"</definedName>
    <definedName name="IQ_TEV_EST_NUM_ANALYSTS_2MONTH" hidden="1">"c16487"</definedName>
    <definedName name="IQ_TEV_EST_NUM_ANALYSTS_3MONTH" hidden="1">"c16491"</definedName>
    <definedName name="IQ_TEV_EST_NUM_ANALYSTS_MONTH" hidden="1">"c16483"</definedName>
    <definedName name="IQ_TEV_EST_THOM" hidden="1">"c5529"</definedName>
    <definedName name="IQ_TEV_EST_TOTAL_REVISED_2MONTH" hidden="1">"c16490"</definedName>
    <definedName name="IQ_TEV_EST_TOTAL_REVISED_3MONTH" hidden="1">"c16494"</definedName>
    <definedName name="IQ_TEV_EST_TOTAL_REVISED_MONTH" hidden="1">"c16486"</definedName>
    <definedName name="IQ_TEV_EST_UP_2MONTH" hidden="1">"c16488"</definedName>
    <definedName name="IQ_TEV_EST_UP_3MONTH" hidden="1">"c16492"</definedName>
    <definedName name="IQ_TEV_EST_UP_MONTH" hidden="1">"c16484"</definedName>
    <definedName name="IQ_TEV_HIGH_EST" hidden="1">"c4527"</definedName>
    <definedName name="IQ_TEV_HIGH_EST_CIQ" hidden="1">"c5080"</definedName>
    <definedName name="IQ_TEV_HIGH_EST_THOM" hidden="1">"c5530"</definedName>
    <definedName name="IQ_TEV_LOW_EST" hidden="1">"c4528"</definedName>
    <definedName name="IQ_TEV_LOW_EST_CIQ" hidden="1">"c5081"</definedName>
    <definedName name="IQ_TEV_LOW_EST_THOM" hidden="1">"c5531"</definedName>
    <definedName name="IQ_TEV_MEDIAN_EST" hidden="1">"c4529"</definedName>
    <definedName name="IQ_TEV_MEDIAN_EST_CIQ" hidden="1">"c5082"</definedName>
    <definedName name="IQ_TEV_MEDIAN_EST_THOM" hidden="1">"c5532"</definedName>
    <definedName name="IQ_TEV_NUM_EST" hidden="1">"c4530"</definedName>
    <definedName name="IQ_TEV_NUM_EST_CIQ" hidden="1">"c5083"</definedName>
    <definedName name="IQ_TEV_NUM_EST_THOM" hidden="1">"c5533"</definedName>
    <definedName name="IQ_TEV_STDDEV_EST" hidden="1">"c4531"</definedName>
    <definedName name="IQ_TEV_STDDEV_EST_CIQ" hidden="1">"c5084"</definedName>
    <definedName name="IQ_TEV_STDDEV_EST_THOM" hidden="1">"c5534"</definedName>
    <definedName name="IQ_TEV_TOTAL_REV" hidden="1">"c1226"</definedName>
    <definedName name="IQ_TEV_TOTAL_REV_AVG" hidden="1">"c1227"</definedName>
    <definedName name="IQ_TEV_TOTAL_REV_FWD" hidden="1">"c1228"</definedName>
    <definedName name="IQ_TEV_TOTAL_REV_FWD_CIQ" hidden="1">"c4044"</definedName>
    <definedName name="IQ_TEV_TOTAL_REV_FWD_REUT" hidden="1">"c4051"</definedName>
    <definedName name="IQ_TEV_TOTAL_REV_FWD_THOM" hidden="1">"c4058"</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CAPITAL_BEFORE_CHARGES_T1_FFIEC" hidden="1">"c13139"</definedName>
    <definedName name="IQ_TIER_1_CAPITAL_FFIEC" hidden="1">"c13143"</definedName>
    <definedName name="IQ_TIER_1_CAPITAL_RATIO_THRIFT" hidden="1">"c25081"</definedName>
    <definedName name="IQ_TIER_1_CAPITAL_REQUIREMENT_ADJUSTED_ASSETS_THRIFT" hidden="1">"c25039"</definedName>
    <definedName name="IQ_TIER_1_CAPITAL_T1_THRIFT" hidden="1">"c25029"</definedName>
    <definedName name="IQ_TIER_1_LEVERAGE_RATIO_FFIEC" hidden="1">"c13160"</definedName>
    <definedName name="IQ_TIER_1_RISK_BASED_CAPITAL_RATIO_FDIC" hidden="1">"c6746"</definedName>
    <definedName name="IQ_TIER_1_RISK_BASED_CAPITAL_RATIO_FFIEC" hidden="1">"c13161"</definedName>
    <definedName name="IQ_TIER_1_RISK_BASED_CAPITAL_RATIO_THRIFT" hidden="1">"c25083"</definedName>
    <definedName name="IQ_TIER_2_CAPITAL_FFIEC" hidden="1">"c13149"</definedName>
    <definedName name="IQ_TIER_2_CAPITAL_T2_THRIFT" hidden="1">"c25045"</definedName>
    <definedName name="IQ_TIER_3_CAPITAL_ALLOCATED_MARKET_RISK_FFIEC" hidden="1">"c13151"</definedName>
    <definedName name="IQ_TIER_ONE_CAPITAL" hidden="1">"c2667"</definedName>
    <definedName name="IQ_TIER_ONE_FDIC" hidden="1">"c6369"</definedName>
    <definedName name="IQ_TIER_ONE_RATIO" hidden="1">"c1229"</definedName>
    <definedName name="IQ_TIER_TWO_CAPITAL" hidden="1">"c2669"</definedName>
    <definedName name="IQ_TIER_TWO_CAPITAL_RATIO" hidden="1">"c15241"</definedName>
    <definedName name="IQ_TIME_DEP" hidden="1">"c1230"</definedName>
    <definedName name="IQ_TIME_DEPOSIT_LESS_100000_QUARTERLY_AVG_FFIEC" hidden="1">"c15487"</definedName>
    <definedName name="IQ_TIME_DEPOSIT_MORE_100000_QUARTERLY_AVG_FFIEC" hidden="1">"c15486"</definedName>
    <definedName name="IQ_TIME_DEPOSITS_100000_MORE_TOTAL_ASSETS_THRIFT" hidden="1">"c25701"</definedName>
    <definedName name="IQ_TIME_DEPOSITS_100000_THROUGH_250000_THRIFT" hidden="1">"c25002"</definedName>
    <definedName name="IQ_TIME_DEPOSITS_GREATER_100000_TOTAL_DEPOSITS_THRIFT" hidden="1">"c25779"</definedName>
    <definedName name="IQ_TIME_DEPOSITS_GREATER_THAN_250000_THRIFT" hidden="1">"c25003"</definedName>
    <definedName name="IQ_TIME_DEPOSITS_LESS_100K_OTHER_INSTITUTIONS_FFIEC" hidden="1">"c12953"</definedName>
    <definedName name="IQ_TIME_DEPOSITS_LESS_100K_TOT_DEPOSITS_FFIEC" hidden="1">"c13907"</definedName>
    <definedName name="IQ_TIME_DEPOSITS_LESS_THAN_100K_FDIC" hidden="1">"c6465"</definedName>
    <definedName name="IQ_TIME_DEPOSITS_MORE_100K_OTHER_INSTITUTIONS_FFIEC" hidden="1">"c12954"</definedName>
    <definedName name="IQ_TIME_DEPOSITS_MORE_100K_TOT_DEPOSITS_FFIEC" hidden="1">"c13906"</definedName>
    <definedName name="IQ_TIME_DEPOSITS_MORE_THAN_100K_FDIC" hidden="1">"c6470"</definedName>
    <definedName name="IQ_TIME_DEPOSITS_THRIFT" hidden="1">"c25001"</definedName>
    <definedName name="IQ_TIME_DEPOSITS_TOTAL_DEPOSITS" hidden="1">"c15723"</definedName>
    <definedName name="IQ_TODAY" hidden="1">0</definedName>
    <definedName name="IQ_TOT_1_4_FAM_LOANS_TOT_LOANS_FFIEC" hidden="1">"c13868"</definedName>
    <definedName name="IQ_TOT_ADJ_INC" hidden="1">"c1616"</definedName>
    <definedName name="IQ_TOT_LEASES_TOT_LOANS_FFIEC" hidden="1">"c13876"</definedName>
    <definedName name="IQ_TOT_NON_RE_LOANS_TOT_LOANS_FFIEC" hidden="1">"c13877"</definedName>
    <definedName name="IQ_TOT_NONTRANS_ACCTS_TOT_DEPOSITS_FFIEC" hidden="1">"c13909"</definedName>
    <definedName name="IQ_TOT_RE_LOANS_TOT_LOANS_FFIEC" hidden="1">"c13873"</definedName>
    <definedName name="IQ_TOT_TIME_DEPOSITS_TOT_DEPOSITS_FFIEC" hidden="1">"c13908"</definedName>
    <definedName name="IQ_TOTAL_1_4_FAMILY_LOANS_TOTAL_LOANS_THRIFT" hidden="1">"c25741"</definedName>
    <definedName name="IQ_TOTAL_ALLOWABLE_EXCLUSIONS_THRIFT" hidden="1">"c25567"</definedName>
    <definedName name="IQ_TOTAL_AR_BR" hidden="1">"c1231"</definedName>
    <definedName name="IQ_TOTAL_AR_CM"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ADJUSTED_ASSETS_THRIFT" hidden="1">"c25030"</definedName>
    <definedName name="IQ_TOTAL_ASSETS_BNK_SUBTOTAL_AP" hidden="1">"c13644"</definedName>
    <definedName name="IQ_TOTAL_ASSETS_FAIR_VALUE_TOT_FFIEC" hidden="1">"c15405"</definedName>
    <definedName name="IQ_TOTAL_ASSETS_FDIC" hidden="1">"c6339"</definedName>
    <definedName name="IQ_TOTAL_ASSETS_FFIEC" hidden="1">"c12849"</definedName>
    <definedName name="IQ_TOTAL_ASSETS_LEVEL_1_FFIEC" hidden="1">"c15427"</definedName>
    <definedName name="IQ_TOTAL_ASSETS_LEVEL_2_FFIEC" hidden="1">"c15440"</definedName>
    <definedName name="IQ_TOTAL_ASSETS_LEVEL_3_FFIEC" hidden="1">"c15453"</definedName>
    <definedName name="IQ_TOTAL_ASSETS_LH_FFIEC" hidden="1">"c13106"</definedName>
    <definedName name="IQ_TOTAL_ASSETS_MANAGED_PROP_MUTUAL_FUNDS_ANNUITIES_THRIFT" hidden="1">"c24941"</definedName>
    <definedName name="IQ_TOTAL_ASSETS_MEASURED_FV_RECURRING_BASIS_AMOUNTS_NETTED_THRIFT" hidden="1">"c25522"</definedName>
    <definedName name="IQ_TOTAL_ASSETS_MEASURED_FV_RECURRING_BASIS_LEVEL_1_THRIFT" hidden="1">"c25518"</definedName>
    <definedName name="IQ_TOTAL_ASSETS_MEASURED_FV_RECURRING_BASIS_LEVEL_2_THRIFT" hidden="1">"c25519"</definedName>
    <definedName name="IQ_TOTAL_ASSETS_MEASURED_FV_RECURRING_BASIS_LEVEL_3_THRIFT" hidden="1">"c25520"</definedName>
    <definedName name="IQ_TOTAL_ASSETS_MEASURED_FV_RECURRING_BASIS_TOTAL_AFTER_NETTING_THRIFT" hidden="1">"c25523"</definedName>
    <definedName name="IQ_TOTAL_ASSETS_MEASURED_FV_RECURRING_BASIS_TOTAL_BEFORE_NETTING_THRIFT" hidden="1">"c25521"</definedName>
    <definedName name="IQ_TOTAL_ASSETS_PC_FFIEC" hidden="1">"c13099"</definedName>
    <definedName name="IQ_TOTAL_ASSETS_SUBTOTAL_AP" hidden="1">"c8985"</definedName>
    <definedName name="IQ_TOTAL_ASSETS_THRIFT" hidden="1">"c24894"</definedName>
    <definedName name="IQ_TOTAL_ATTRIB_ORE_RESOURCES_ALUM" hidden="1">"c9241"</definedName>
    <definedName name="IQ_TOTAL_ATTRIB_ORE_RESOURCES_COP" hidden="1">"c9185"</definedName>
    <definedName name="IQ_TOTAL_ATTRIB_ORE_RESOURCES_DIAM" hidden="1">"c9665"</definedName>
    <definedName name="IQ_TOTAL_ATTRIB_ORE_RESOURCES_GOLD" hidden="1">"c9026"</definedName>
    <definedName name="IQ_TOTAL_ATTRIB_ORE_RESOURCES_IRON" hidden="1">"c9400"</definedName>
    <definedName name="IQ_TOTAL_ATTRIB_ORE_RESOURCES_LEAD" hidden="1">"c9453"</definedName>
    <definedName name="IQ_TOTAL_ATTRIB_ORE_RESOURCES_MANG" hidden="1">"c9506"</definedName>
    <definedName name="IQ_TOTAL_ATTRIB_ORE_RESOURCES_MOLYB" hidden="1">"c9718"</definedName>
    <definedName name="IQ_TOTAL_ATTRIB_ORE_RESOURCES_NICK" hidden="1">"c9294"</definedName>
    <definedName name="IQ_TOTAL_ATTRIB_ORE_RESOURCES_PLAT" hidden="1">"c9132"</definedName>
    <definedName name="IQ_TOTAL_ATTRIB_ORE_RESOURCES_SILVER" hidden="1">"c9079"</definedName>
    <definedName name="IQ_TOTAL_ATTRIB_ORE_RESOURCES_TITAN" hidden="1">"c9559"</definedName>
    <definedName name="IQ_TOTAL_ATTRIB_ORE_RESOURCES_URAN" hidden="1">"c9612"</definedName>
    <definedName name="IQ_TOTAL_ATTRIB_ORE_RESOURCES_ZINC" hidden="1">"c9347"</definedName>
    <definedName name="IQ_TOTAL_AVG_CE_TOTAL_AVG_ASSETS" hidden="1">"c1241"</definedName>
    <definedName name="IQ_TOTAL_AVG_EQUITY_TOTAL_AVG_ASSETS" hidden="1">"c1242"</definedName>
    <definedName name="IQ_TOTAL_BANK_CAPITAL" hidden="1">"c2668"</definedName>
    <definedName name="IQ_TOTAL_BEDS" hidden="1">"c8785"</definedName>
    <definedName name="IQ_TOTAL_BORROWINGS_THRIFT" hidden="1">"c24899"</definedName>
    <definedName name="IQ_TOTAL_BROKER_ORIGINATED_DEPOSITS_FULLY_INSURED_THRIFT" hidden="1">"c24978"</definedName>
    <definedName name="IQ_TOTAL_BROKER_ORIGINATED_DEPOSITS_OTHER_THRIFT" hidden="1">"c24981"</definedName>
    <definedName name="IQ_TOTAL_BROKERED_DEPOSIT_FFIEC" hidden="1">"c15304"</definedName>
    <definedName name="IQ_TOTAL_CA" hidden="1">"c1243"</definedName>
    <definedName name="IQ_TOTAL_CA_SUBTOTAL_AP" hidden="1">"c8986"</definedName>
    <definedName name="IQ_TOTAL_CAP" hidden="1">"c1507"</definedName>
    <definedName name="IQ_TOTAL_CAPITAL_RATIO" hidden="1">"c1244"</definedName>
    <definedName name="IQ_TOTAL_CASH_DEPOSITS_INV_SEC_THRIFT" hidden="1">"c24828"</definedName>
    <definedName name="IQ_TOTAL_CASH_DIVID" hidden="1">"c1266"</definedName>
    <definedName name="IQ_TOTAL_CASH_DUE_DEPOSITORY_INSTIT_DOM_FFIEC" hidden="1">"c15291"</definedName>
    <definedName name="IQ_TOTAL_CASH_DUE_DEPOSITORY_INSTIT_FFIEC" hidden="1">"c15285"</definedName>
    <definedName name="IQ_TOTAL_CASH_FINAN" hidden="1">"c119"</definedName>
    <definedName name="IQ_TOTAL_CASH_INVEST" hidden="1">"c121"</definedName>
    <definedName name="IQ_TOTAL_CASH_OPER" hidden="1">"c122"</definedName>
    <definedName name="IQ_TOTAL_CHARGE_OFFS_FDIC" hidden="1">"c6603"</definedName>
    <definedName name="IQ_TOTAL_CHURN" hidden="1">"c2122"</definedName>
    <definedName name="IQ_TOTAL_CL" hidden="1">"c1245"</definedName>
    <definedName name="IQ_TOTAL_CL_SUBTOTAL_AP" hidden="1">"c8987"</definedName>
    <definedName name="IQ_TOTAL_COAL_PRODUCTION_COAL" hidden="1">"c9824"</definedName>
    <definedName name="IQ_TOTAL_COMMON" hidden="1">"c1022"</definedName>
    <definedName name="IQ_TOTAL_COMMON_EQUITY" hidden="1">"c1246"</definedName>
    <definedName name="IQ_TOTAL_COMMON_EQUITY_FFIEC" hidden="1">"c13913"</definedName>
    <definedName name="IQ_TOTAL_COMMON_EQUITY_THRIFT" hidden="1">"c25085"</definedName>
    <definedName name="IQ_TOTAL_COMMON_EQUITY_TOTAL_ASSETS_FFIEC" hidden="1">"c13864"</definedName>
    <definedName name="IQ_TOTAL_COMMON_EQUITY_TOTAL_ASSETS_THRIFT" hidden="1">"c25739"</definedName>
    <definedName name="IQ_TOTAL_COMMON_SHARES_OUT_FFIEC" hidden="1">"c12955"</definedName>
    <definedName name="IQ_TOTAL_CONSTRUCTION_LL_REC_DOM_FFIEC" hidden="1">"c13515"</definedName>
    <definedName name="IQ_TOTAL_CURRENT_ASSETS" hidden="1">"c1243"</definedName>
    <definedName name="IQ_TOTAL_CURRENT_LIAB" hidden="1">"c1245"</definedName>
    <definedName name="IQ_TOTAL_DAILY_AVERAGE_ALLOWABLE_EXCLUSIONS_THRIFT" hidden="1">"c25580"</definedName>
    <definedName name="IQ_TOTAL_DAILY_AVERAGE_FOREIGN_DEPOSITS_THRIFT" hidden="1">"c25581"</definedName>
    <definedName name="IQ_TOTAL_DAILY_AVERAGE_GROSS_DEPOSIT_LIABILITIES_BEFORE_EXCLUSIONS_THRIFT" hidden="1">"c25579"</definedName>
    <definedName name="IQ_TOTAL_DEBT" hidden="1">"c1247"</definedName>
    <definedName name="IQ_TOTAL_DEBT_CAPITAL" hidden="1">"c1248"</definedName>
    <definedName name="IQ_TOTAL_DEBT_CURRENT" hidden="1">"c6190"</definedName>
    <definedName name="IQ_TOTAL_DEBT_EBITDA" hidden="1">"c1249"</definedName>
    <definedName name="IQ_TOTAL_DEBT_EBITDA_CAPEX" hidden="1">"c2948"</definedName>
    <definedName name="IQ_TOTAL_DEBT_EQUITY" hidden="1">"c1250"</definedName>
    <definedName name="IQ_TOTAL_DEBT_EST" hidden="1">"c4532"</definedName>
    <definedName name="IQ_TOTAL_DEBT_EST_CIQ" hidden="1">"c5085"</definedName>
    <definedName name="IQ_TOTAL_DEBT_EXCL_FIN" hidden="1">"c2937"</definedName>
    <definedName name="IQ_TOTAL_DEBT_GUIDANCE" hidden="1">"c4533"</definedName>
    <definedName name="IQ_TOTAL_DEBT_GUIDANCE_CIQ" hidden="1">"c5086"</definedName>
    <definedName name="IQ_TOTAL_DEBT_GUIDANCE_CIQ_COL" hidden="1">"c11733"</definedName>
    <definedName name="IQ_TOTAL_DEBT_HIGH_EST" hidden="1">"c4534"</definedName>
    <definedName name="IQ_TOTAL_DEBT_HIGH_EST_CIQ" hidden="1">"c5087"</definedName>
    <definedName name="IQ_TOTAL_DEBT_HIGH_GUIDANCE" hidden="1">"c4196"</definedName>
    <definedName name="IQ_TOTAL_DEBT_HIGH_GUIDANCE_CIQ" hidden="1">"c4608"</definedName>
    <definedName name="IQ_TOTAL_DEBT_HIGH_GUIDANCE_CIQ_COL" hidden="1">"c11257"</definedName>
    <definedName name="IQ_TOTAL_DEBT_ISSUED" hidden="1">"c1251"</definedName>
    <definedName name="IQ_TOTAL_DEBT_ISSUED_BNK" hidden="1">"c1252"</definedName>
    <definedName name="IQ_TOTAL_DEBT_ISSUED_BR" hidden="1">"c1253"</definedName>
    <definedName name="IQ_TOTAL_DEBT_ISSUED_CM"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LOW_EST" hidden="1">"c4535"</definedName>
    <definedName name="IQ_TOTAL_DEBT_LOW_EST_CIQ" hidden="1">"c5088"</definedName>
    <definedName name="IQ_TOTAL_DEBT_LOW_GUIDANCE" hidden="1">"c4236"</definedName>
    <definedName name="IQ_TOTAL_DEBT_LOW_GUIDANCE_CIQ" hidden="1">"c4648"</definedName>
    <definedName name="IQ_TOTAL_DEBT_LOW_GUIDANCE_CIQ_COL" hidden="1">"c11297"</definedName>
    <definedName name="IQ_TOTAL_DEBT_MEDIAN_EST" hidden="1">"c4536"</definedName>
    <definedName name="IQ_TOTAL_DEBT_MEDIAN_EST_CIQ" hidden="1">"c5089"</definedName>
    <definedName name="IQ_TOTAL_DEBT_NON_CURRENT" hidden="1">"c6191"</definedName>
    <definedName name="IQ_TOTAL_DEBT_NUM_EST" hidden="1">"c4537"</definedName>
    <definedName name="IQ_TOTAL_DEBT_NUM_EST_CIQ" hidden="1">"c5090"</definedName>
    <definedName name="IQ_TOTAL_DEBT_OVER_EBITDA" hidden="1">"c1249"</definedName>
    <definedName name="IQ_TOTAL_DEBT_OVER_TOTAL_BV" hidden="1">"c1250"</definedName>
    <definedName name="IQ_TOTAL_DEBT_OVER_TOTAL_CAP" hidden="1">"c1248"</definedName>
    <definedName name="IQ_TOTAL_DEBT_REPAID" hidden="1">"c1258"</definedName>
    <definedName name="IQ_TOTAL_DEBT_REPAID_BNK" hidden="1">"c1259"</definedName>
    <definedName name="IQ_TOTAL_DEBT_REPAID_BR" hidden="1">"c1260"</definedName>
    <definedName name="IQ_TOTAL_DEBT_REPAID_CM"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BT_STDDEV_EST" hidden="1">"c4538"</definedName>
    <definedName name="IQ_TOTAL_DEBT_STDDEV_EST_CIQ" hidden="1">"c5091"</definedName>
    <definedName name="IQ_TOTAL_DEPOSITS" hidden="1">"c1265"</definedName>
    <definedName name="IQ_TOTAL_DEPOSITS_DOM_FFIEC" hidden="1">"c15313"</definedName>
    <definedName name="IQ_TOTAL_DEPOSITS_FDIC" hidden="1">"c6342"</definedName>
    <definedName name="IQ_TOTAL_DEPOSITS_FFIEC" hidden="1">"c13623"</definedName>
    <definedName name="IQ_TOTAL_DEPOSITS_SUPPLE" hidden="1">"c15253"</definedName>
    <definedName name="IQ_TOTAL_DEPOSITS_THRIFT" hidden="1">"c24984"</definedName>
    <definedName name="IQ_TOTAL_DIV_PAID_CF" hidden="1">"c1266"</definedName>
    <definedName name="IQ_TOTAL_DIVIDEND_INCOME_THRIFT" hidden="1">"c24756"</definedName>
    <definedName name="IQ_TOTAL_EARNING_ASSETS_QUARTERLY_AVG_FFIEC" hidden="1">"c25823"</definedName>
    <definedName name="IQ_TOTAL_ELIGIBLE_0_PCT_RISK_WEIGHT_THRIFT" hidden="1">"c25050"</definedName>
    <definedName name="IQ_TOTAL_ELIGIBLE_100_PCT_RISK_WEIGHT_THRIFT" hidden="1">"c25070"</definedName>
    <definedName name="IQ_TOTAL_ELIGIBLE_20_PCT_RISK_WEIGHT_THRIFT" hidden="1">"c25056"</definedName>
    <definedName name="IQ_TOTAL_ELIGIBLE_50_PCT_RISK_WEIGHT_THRIFT" hidden="1">"c25063"</definedName>
    <definedName name="IQ_TOTAL_EMPLOYEE" hidden="1">"c1522"</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EQUITY_CAPITAL_INC_MINORITY_INT_THRIFT" hidden="1">"c24927"</definedName>
    <definedName name="IQ_TOTAL_EQUITY_CAPITAL_T1_FFIEC" hidden="1">"c13130"</definedName>
    <definedName name="IQ_TOTAL_EQUITY_CAPITAL_T1_THRIFT" hidden="1">"c25021"</definedName>
    <definedName name="IQ_TOTAL_EQUITY_CAPITAL_THRIFT" hidden="1">"c24925"</definedName>
    <definedName name="IQ_TOTAL_EQUITY_FFIEC" hidden="1">"c12881"</definedName>
    <definedName name="IQ_TOTAL_EQUITY_INCL_MINORITY_INTEREST_FFIEC" hidden="1">"c15278"</definedName>
    <definedName name="IQ_TOTAL_EQUITY_INV_NOT_CARRIED_FV_THRIFT" hidden="1">"c24879"</definedName>
    <definedName name="IQ_TOTAL_EQUITY_LH_FFIEC" hidden="1">"c13109"</definedName>
    <definedName name="IQ_TOTAL_EQUITY_PC_FFIEC" hidden="1">"c13102"</definedName>
    <definedName name="IQ_TOTAL_EQUITY_SUBTOTAL_AP" hidden="1">"c8989"</definedName>
    <definedName name="IQ_TOTAL_EQUITY_TOTAL_ASSETS_FFIEC" hidden="1">"c13863"</definedName>
    <definedName name="IQ_TOTAL_EQUITY_TOTAL_ASSETS_THRIFT" hidden="1">"c25738"</definedName>
    <definedName name="IQ_TOTAL_FIDUCIARY_ACCOUNTS_MANAGED_ASSETS_THRIFT" hidden="1">"c25346"</definedName>
    <definedName name="IQ_TOTAL_FIDUCIARY_ACCOUNTS_NONMANAGED_ASSETS_THRIFT" hidden="1">"c25367"</definedName>
    <definedName name="IQ_TOTAL_FIDUCIARY_ACCOUNTS_NUMBER_MANAGED_ACCOUNTS_THRIFT" hidden="1">"c25357"</definedName>
    <definedName name="IQ_TOTAL_FIDUCIARY_ACCOUNTS_NUMBER_NONMANAGED_ACCOUNTS_THRIFT" hidden="1">"c25379"</definedName>
    <definedName name="IQ_TOTAL_FOREIGN_DEPOSITS_FFIEC" hidden="1">"c15348"</definedName>
    <definedName name="IQ_TOTAL_FOREIGN_DEPOSITS_INCLUDED_IN_TOTAL_ALLOWABLE_EXCLUSIONS_THRIFT" hidden="1">"c25568"</definedName>
    <definedName name="IQ_TOTAL_FOREIGN_LOANS_QUARTERLY_AVG_FFIEC" hidden="1">"c15482"</definedName>
    <definedName name="IQ_TOTAL_GROSS_DEPOSIT_LIABILITIES_BEFORE_EXCLUSIONS_THRIFT" hidden="1">"c25566"</definedName>
    <definedName name="IQ_TOTAL_GROSS_FIDUCIARY_RELATED_SERVICES_INC_THRIFT" hidden="1">"c24811"</definedName>
    <definedName name="IQ_TOTAL_GROSS_LOSSES_MANAGED_ACCOUNTS_THRIFT" hidden="1">"c25465"</definedName>
    <definedName name="IQ_TOTAL_GROSS_LOSSES_NONMANAGED_ACCOUNTS_THRIFT" hidden="1">"c25470"</definedName>
    <definedName name="IQ_TOTAL_IBF_ASSETS_CONSOL_BANK_FFIEC" hidden="1">"c15299"</definedName>
    <definedName name="IQ_TOTAL_IBF_LIABILITIES_FFIEC" hidden="1">"c15302"</definedName>
    <definedName name="IQ_TOTAL_IBF_LL_REC_FFIEC" hidden="1">"c15297"</definedName>
    <definedName name="IQ_TOTAL_INT_EXP_THRIFT" hidden="1">"c24764"</definedName>
    <definedName name="IQ_TOTAL_INT_EXPENSE_FFIEC" hidden="1">"c13000"</definedName>
    <definedName name="IQ_TOTAL_INT_INCOME_FFIEC" hidden="1">"c12989"</definedName>
    <definedName name="IQ_TOTAL_INT_INCOME_THRIFT" hidden="1">"c24753"</definedName>
    <definedName name="IQ_TOTAL_INTEREST_EXP" hidden="1">"c591"</definedName>
    <definedName name="IQ_TOTAL_INTEREST_EXP_FOREIGN_FFIEC" hidden="1">"c15374"</definedName>
    <definedName name="IQ_TOTAL_INTEREST_INC_FOREIGN_FFIEC" hidden="1">"c15373"</definedName>
    <definedName name="IQ_TOTAL_INVENTORY" hidden="1">"c622"</definedName>
    <definedName name="IQ_TOTAL_INVEST" hidden="1">"c1275"</definedName>
    <definedName name="IQ_TOTAL_IRA_KEOGH_PLAN_ACCOUNTS_FFIEC" hidden="1">"c15303"</definedName>
    <definedName name="IQ_TOTAL_LEASES_TOTAL_LOANS_THRIFT" hidden="1">"c25751"</definedName>
    <definedName name="IQ_TOTAL_LIAB" hidden="1">"c1276"</definedName>
    <definedName name="IQ_TOTAL_LIAB_BNK" hidden="1">"c1277"</definedName>
    <definedName name="IQ_TOTAL_LIAB_BR" hidden="1">"c1278"</definedName>
    <definedName name="IQ_TOTAL_LIAB_CM" hidden="1">"c1278"</definedName>
    <definedName name="IQ_TOTAL_LIAB_EQUITY" hidden="1">"c1279"</definedName>
    <definedName name="IQ_TOTAL_LIAB_EQUITY_FDIC" hidden="1">"c6354"</definedName>
    <definedName name="IQ_TOTAL_LIAB_EQUITY_SUBTOTAL_AP" hidden="1">"c8988"</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"c1279"</definedName>
    <definedName name="IQ_TOTAL_LIAB_TOTAL_ASSETS" hidden="1">"c1283"</definedName>
    <definedName name="IQ_TOTAL_LIABILITIES_EQUITY_FFIEC" hidden="1">"c12882"</definedName>
    <definedName name="IQ_TOTAL_LIABILITIES_EQUITY_THRIFT" hidden="1">"c24928"</definedName>
    <definedName name="IQ_TOTAL_LIABILITIES_FAIR_VALUE_TOT_FFIEC" hidden="1">"c15411"</definedName>
    <definedName name="IQ_TOTAL_LIABILITIES_FDIC" hidden="1">"c6348"</definedName>
    <definedName name="IQ_TOTAL_LIABILITIES_FFIEC" hidden="1">"c12873"</definedName>
    <definedName name="IQ_TOTAL_LIABILITIES_LEVEL_1_FFIEC" hidden="1">"c15433"</definedName>
    <definedName name="IQ_TOTAL_LIABILITIES_LEVEL_2_FFIEC" hidden="1">"c15446"</definedName>
    <definedName name="IQ_TOTAL_LIABILITIES_LEVEL_3_FFIEC" hidden="1">"c15459"</definedName>
    <definedName name="IQ_TOTAL_LIABILITIES_MEASURED_FV_RECURRING_BASIS_AMOUNTS_NETTED_THRIFT" hidden="1">"c25564"</definedName>
    <definedName name="IQ_TOTAL_LIABILITIES_MEASURED_FV_RECURRING_BASIS_LEVEL_1_THRIFT" hidden="1">"c25560"</definedName>
    <definedName name="IQ_TOTAL_LIABILITIES_MEASURED_FV_RECURRING_BASIS_LEVEL_2_THRIFT" hidden="1">"c25561"</definedName>
    <definedName name="IQ_TOTAL_LIABILITIES_MEASURED_FV_RECURRING_BASIS_LEVEL_3_THRIFT" hidden="1">"c25562"</definedName>
    <definedName name="IQ_TOTAL_LIABILITIES_MEASURED_FV_RECURRING_BASIS_TOTAL_AFTER_NETTING_THRIFT" hidden="1">"c25565"</definedName>
    <definedName name="IQ_TOTAL_LIABILITIES_MEASURED_FV_RECURRING_BASIS_TOTAL_BEFORE_NETTING_THRIFT" hidden="1">"c25563"</definedName>
    <definedName name="IQ_TOTAL_LIABILITIES_THRIFT" hidden="1">"c24913"</definedName>
    <definedName name="IQ_TOTAL_LL_DOMESTIC_QUARTERLY_AVG_FFIEC" hidden="1">"c25825"</definedName>
    <definedName name="IQ_TOTAL_LL_FOREIGN_QUARTERLY_AVG_FFIEC" hidden="1">"c25824"</definedName>
    <definedName name="IQ_TOTAL_LL_REC_DOM_FFIEC" hidden="1">"c12917"</definedName>
    <definedName name="IQ_TOTAL_LL_REC_FFIEC" hidden="1">"c12898"</definedName>
    <definedName name="IQ_TOTAL_LOANS" hidden="1">"c5653"</definedName>
    <definedName name="IQ_TOTAL_LOANS_DOM_QUARTERLY_AVG_FFIEC" hidden="1">"c15475"</definedName>
    <definedName name="IQ_TOTAL_LOANS_IN_PROCESS_FORECLOSURE_THRIFT" hidden="1">"c25310"</definedName>
    <definedName name="IQ_TOTAL_LOANS_LEASES_AND_OTHER_DUE_30_89_FFIEC" hidden="1">"c15416"</definedName>
    <definedName name="IQ_TOTAL_LOANS_LEASES_AND_OTHER_DUE_90_FFIEC" hidden="1">"c15420"</definedName>
    <definedName name="IQ_TOTAL_LOANS_LEASES_AND_OTHER_NON_ACCRUAL_FFIEC" hidden="1">"c15466"</definedName>
    <definedName name="IQ_TOTAL_LOANS_LEASES_CHARGE_OFFS_FFIEC" hidden="1">"c13186"</definedName>
    <definedName name="IQ_TOTAL_LOANS_LEASES_DUE_30_89_FFIEC" hidden="1">"c13280"</definedName>
    <definedName name="IQ_TOTAL_LOANS_LEASES_DUE_90_FFIEC" hidden="1">"c13306"</definedName>
    <definedName name="IQ_TOTAL_LOANS_LEASES_NON_ACCRUAL_FFIEC" hidden="1">"c13757"</definedName>
    <definedName name="IQ_TOTAL_LOANS_LEASES_RECOV_FFIEC" hidden="1">"c13208"</definedName>
    <definedName name="IQ_TOTAL_LONG_DEBT" hidden="1">"c1617"</definedName>
    <definedName name="IQ_TOTAL_MANAGED_ASSETS_ALL_OTHER_ACCOUNTS_THRIFT" hidden="1">"c25422"</definedName>
    <definedName name="IQ_TOTAL_MANAGED_ASSETS_EMPLOYEE_BENEFIT_RETIREMENT_RELATED_ACCOUNTS_THRIFT" hidden="1">"c25406"</definedName>
    <definedName name="IQ_TOTAL_MANAGED_ASSETS_PERSONAL_TRUST_AGENCY_INV_MANAGEMENT_ACCOUNTS_THRIFT" hidden="1">"c25390"</definedName>
    <definedName name="IQ_TOTAL_MBS_THRIFT" hidden="1">"c24837"</definedName>
    <definedName name="IQ_TOTAL_MORTGAGE_LOANS_THRIFT" hidden="1">"c24852"</definedName>
    <definedName name="IQ_TOTAL_MORTGAGE_NON_MORTGAGE_LOANS_DUE_30_89_THRIFT" hidden="1">"c25255"</definedName>
    <definedName name="IQ_TOTAL_MORTGAGE_NON_MORTGAGE_LOANS_DUE_90_THRIFT" hidden="1">"c25276"</definedName>
    <definedName name="IQ_TOTAL_MORTGAGE_NON_MORTGAGE_LOANS_NON_ACCRUAL_THRIFT" hidden="1">"c25297"</definedName>
    <definedName name="IQ_TOTAL_NON_MORTGAGE_LOANS_THRIFT" hidden="1">"c24868"</definedName>
    <definedName name="IQ_TOTAL_NON_RE_LOANS_TOTAL_LOANS_THRIFT" hidden="1">"c25752"</definedName>
    <definedName name="IQ_TOTAL_NON_REC" hidden="1">"c1444"</definedName>
    <definedName name="IQ_TOTAL_NON_TRANS_ACCTS_FFIEC" hidden="1">"c15328"</definedName>
    <definedName name="IQ_TOTAL_NONINTEREST_EXPENSE_FOREIGN_FFIEC" hidden="1">"c15386"</definedName>
    <definedName name="IQ_TOTAL_OPER_EXP_BR" hidden="1">"c1284"</definedName>
    <definedName name="IQ_TOTAL_OPER_EXP_CM"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ERATING_EXPENSE" hidden="1">"c16047"</definedName>
    <definedName name="IQ_TOTAL_OPERATING_REVENUE" hidden="1">"c16030"</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RE_RESOURCES_ALUM" hidden="1">"c9230"</definedName>
    <definedName name="IQ_TOTAL_ORE_RESOURCES_COP" hidden="1">"c9174"</definedName>
    <definedName name="IQ_TOTAL_ORE_RESOURCES_DIAM" hidden="1">"c9654"</definedName>
    <definedName name="IQ_TOTAL_ORE_RESOURCES_GOLD" hidden="1">"c9015"</definedName>
    <definedName name="IQ_TOTAL_ORE_RESOURCES_IRON" hidden="1">"c9389"</definedName>
    <definedName name="IQ_TOTAL_ORE_RESOURCES_LEAD" hidden="1">"c9442"</definedName>
    <definedName name="IQ_TOTAL_ORE_RESOURCES_MANG" hidden="1">"c9495"</definedName>
    <definedName name="IQ_TOTAL_ORE_RESOURCES_MOLYB" hidden="1">"c9707"</definedName>
    <definedName name="IQ_TOTAL_ORE_RESOURCES_NICK" hidden="1">"c9283"</definedName>
    <definedName name="IQ_TOTAL_ORE_RESOURCES_PLAT" hidden="1">"c9121"</definedName>
    <definedName name="IQ_TOTAL_ORE_RESOURCES_SILVER" hidden="1">"c9068"</definedName>
    <definedName name="IQ_TOTAL_ORE_RESOURCES_TITAN" hidden="1">"c9548"</definedName>
    <definedName name="IQ_TOTAL_ORE_RESOURCES_URAN" hidden="1">"c9601"</definedName>
    <definedName name="IQ_TOTAL_ORE_RESOURCES_ZINC" hidden="1">"c9336"</definedName>
    <definedName name="IQ_TOTAL_OTHER_ASSETS_THRIFT" hidden="1">"c24883"</definedName>
    <definedName name="IQ_TOTAL_OTHER_OPER" hidden="1">"c1289"</definedName>
    <definedName name="IQ_TOTAL_OTHER_TEMP_IMPAIR_LOSS_FFIEC" hidden="1">"c25846"</definedName>
    <definedName name="IQ_TOTAL_OTHER_UNUSED_FFIEC" hidden="1">"c25858"</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AMT_ASSETS_COVERED_RECOURSE_OBLIGATIONS_DIRECT_CREDIT_SUBSTITUTES_THRIFT" hidden="1">"c25615"</definedName>
    <definedName name="IQ_TOTAL_PRINCIPAL_PCT" hidden="1">"c2510"</definedName>
    <definedName name="IQ_TOTAL_PROP" hidden="1">"c8765"</definedName>
    <definedName name="IQ_TOTAL_PROVED_RESERVES_NGL" hidden="1">"c2924"</definedName>
    <definedName name="IQ_TOTAL_PROVED_RESERVES_OIL" hidden="1">"c2040"</definedName>
    <definedName name="IQ_TOTAL_RE_LOANS_TOTAL_LOANS" hidden="1">"c15715"</definedName>
    <definedName name="IQ_TOTAL_RE_NOI_AVG_GROSS_PROP" hidden="1">"c16059"</definedName>
    <definedName name="IQ_TOTAL_RECEIV" hidden="1">"c1293"</definedName>
    <definedName name="IQ_TOTAL_RECOV_ATTRIB_RESOURCES_ALUM" hidden="1">"c9246"</definedName>
    <definedName name="IQ_TOTAL_RECOV_ATTRIB_RESOURCES_COAL" hidden="1">"c9820"</definedName>
    <definedName name="IQ_TOTAL_RECOV_ATTRIB_RESOURCES_COP" hidden="1">"c9190"</definedName>
    <definedName name="IQ_TOTAL_RECOV_ATTRIB_RESOURCES_DIAM" hidden="1">"c9670"</definedName>
    <definedName name="IQ_TOTAL_RECOV_ATTRIB_RESOURCES_GOLD" hidden="1">"c9031"</definedName>
    <definedName name="IQ_TOTAL_RECOV_ATTRIB_RESOURCES_IRON" hidden="1">"c9405"</definedName>
    <definedName name="IQ_TOTAL_RECOV_ATTRIB_RESOURCES_LEAD" hidden="1">"c9458"</definedName>
    <definedName name="IQ_TOTAL_RECOV_ATTRIB_RESOURCES_MANG" hidden="1">"c9511"</definedName>
    <definedName name="IQ_TOTAL_RECOV_ATTRIB_RESOURCES_MET_COAL" hidden="1">"c9760"</definedName>
    <definedName name="IQ_TOTAL_RECOV_ATTRIB_RESOURCES_MOLYB" hidden="1">"c9723"</definedName>
    <definedName name="IQ_TOTAL_RECOV_ATTRIB_RESOURCES_NICK" hidden="1">"c9299"</definedName>
    <definedName name="IQ_TOTAL_RECOV_ATTRIB_RESOURCES_PLAT" hidden="1">"c9137"</definedName>
    <definedName name="IQ_TOTAL_RECOV_ATTRIB_RESOURCES_SILVER" hidden="1">"c9084"</definedName>
    <definedName name="IQ_TOTAL_RECOV_ATTRIB_RESOURCES_STEAM" hidden="1">"c9790"</definedName>
    <definedName name="IQ_TOTAL_RECOV_ATTRIB_RESOURCES_TITAN" hidden="1">"c9564"</definedName>
    <definedName name="IQ_TOTAL_RECOV_ATTRIB_RESOURCES_URAN" hidden="1">"c9617"</definedName>
    <definedName name="IQ_TOTAL_RECOV_ATTRIB_RESOURCES_ZINC" hidden="1">"c9352"</definedName>
    <definedName name="IQ_TOTAL_RECOV_RESOURCES_ALUM" hidden="1">"c9236"</definedName>
    <definedName name="IQ_TOTAL_RECOV_RESOURCES_COAL" hidden="1">"c9815"</definedName>
    <definedName name="IQ_TOTAL_RECOV_RESOURCES_COP" hidden="1">"c9180"</definedName>
    <definedName name="IQ_TOTAL_RECOV_RESOURCES_DIAM" hidden="1">"c9660"</definedName>
    <definedName name="IQ_TOTAL_RECOV_RESOURCES_GOLD" hidden="1">"c9021"</definedName>
    <definedName name="IQ_TOTAL_RECOV_RESOURCES_IRON" hidden="1">"c9395"</definedName>
    <definedName name="IQ_TOTAL_RECOV_RESOURCES_LEAD" hidden="1">"c9448"</definedName>
    <definedName name="IQ_TOTAL_RECOV_RESOURCES_MANG" hidden="1">"c9501"</definedName>
    <definedName name="IQ_TOTAL_RECOV_RESOURCES_MET_COAL" hidden="1">"c9755"</definedName>
    <definedName name="IQ_TOTAL_RECOV_RESOURCES_MOLYB" hidden="1">"c9713"</definedName>
    <definedName name="IQ_TOTAL_RECOV_RESOURCES_NICK" hidden="1">"c9289"</definedName>
    <definedName name="IQ_TOTAL_RECOV_RESOURCES_PLAT" hidden="1">"c9127"</definedName>
    <definedName name="IQ_TOTAL_RECOV_RESOURCES_SILVER" hidden="1">"c9074"</definedName>
    <definedName name="IQ_TOTAL_RECOV_RESOURCES_STEAM" hidden="1">"c9785"</definedName>
    <definedName name="IQ_TOTAL_RECOV_RESOURCES_TITAN" hidden="1">"c9554"</definedName>
    <definedName name="IQ_TOTAL_RECOV_RESOURCES_URAN" hidden="1">"c9607"</definedName>
    <definedName name="IQ_TOTAL_RECOV_RESOURCES_ZINC" hidden="1">"c9342"</definedName>
    <definedName name="IQ_TOTAL_RECOVERIES_FDIC" hidden="1">"c6622"</definedName>
    <definedName name="IQ_TOTAL_RECOVERIES_THRIFT" hidden="1">"c25475"</definedName>
    <definedName name="IQ_TOTAL_RENTAL_REVENUE" hidden="1">"c16022"</definedName>
    <definedName name="IQ_TOTAL_RESERVES" hidden="1">"c21102"</definedName>
    <definedName name="IQ_TOTAL_RESOURCES_CALORIFIC_VALUE_COAL" hidden="1">"c9810"</definedName>
    <definedName name="IQ_TOTAL_RESOURCES_CALORIFIC_VALUE_MET_COAL" hidden="1">"c9750"</definedName>
    <definedName name="IQ_TOTAL_RESOURCES_CALORIFIC_VALUE_STEAM" hidden="1">"c9780"</definedName>
    <definedName name="IQ_TOTAL_RESOURCES_GRADE_ALUM" hidden="1">"c9231"</definedName>
    <definedName name="IQ_TOTAL_RESOURCES_GRADE_COP" hidden="1">"c9175"</definedName>
    <definedName name="IQ_TOTAL_RESOURCES_GRADE_DIAM" hidden="1">"c9655"</definedName>
    <definedName name="IQ_TOTAL_RESOURCES_GRADE_GOLD" hidden="1">"c9016"</definedName>
    <definedName name="IQ_TOTAL_RESOURCES_GRADE_IRON" hidden="1">"c9390"</definedName>
    <definedName name="IQ_TOTAL_RESOURCES_GRADE_LEAD" hidden="1">"c9443"</definedName>
    <definedName name="IQ_TOTAL_RESOURCES_GRADE_MANG" hidden="1">"c9496"</definedName>
    <definedName name="IQ_TOTAL_RESOURCES_GRADE_MOLYB" hidden="1">"c9708"</definedName>
    <definedName name="IQ_TOTAL_RESOURCES_GRADE_NICK" hidden="1">"c9284"</definedName>
    <definedName name="IQ_TOTAL_RESOURCES_GRADE_PLAT" hidden="1">"c9122"</definedName>
    <definedName name="IQ_TOTAL_RESOURCES_GRADE_SILVER" hidden="1">"c9069"</definedName>
    <definedName name="IQ_TOTAL_RESOURCES_GRADE_TITAN" hidden="1">"c9549"</definedName>
    <definedName name="IQ_TOTAL_RESOURCES_GRADE_URAN" hidden="1">"c9602"</definedName>
    <definedName name="IQ_TOTAL_RESOURCES_GRADE_ZINC" hidden="1">"c9337"</definedName>
    <definedName name="IQ_TOTAL_RETURN_SWAPS_DERIVATIVES_BENEFICIARY_FFIEC" hidden="1">"c13120"</definedName>
    <definedName name="IQ_TOTAL_RETURN_SWAPS_DERIVATIVES_GUARANTOR_FFIEC" hidden="1">"c13113"</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CM"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SUBTOTAL_AP" hidden="1">"c8975"</definedName>
    <definedName name="IQ_TOTAL_REV_UTI" hidden="1">"c1308"</definedName>
    <definedName name="IQ_TOTAL_REVENUE" hidden="1">"c1294"</definedName>
    <definedName name="IQ_TOTAL_REVENUE_FFIEC" hidden="1">"c13020"</definedName>
    <definedName name="IQ_TOTAL_REVENUE_FOREIGN_FFIEC" hidden="1">"c15383"</definedName>
    <definedName name="IQ_TOTAL_REVENUE_THRIFT" hidden="1">"c24785"</definedName>
    <definedName name="IQ_TOTAL_RISK_BASED_CAPITAL_FFIEC" hidden="1">"c13153"</definedName>
    <definedName name="IQ_TOTAL_RISK_BASED_CAPITAL_RATIO_FDIC" hidden="1">"c6747"</definedName>
    <definedName name="IQ_TOTAL_RISK_BASED_CAPITAL_RATIO_FFIEC" hidden="1">"c13162"</definedName>
    <definedName name="IQ_TOTAL_RISK_BASED_CAPITAL_RATIO_THRIFT" hidden="1">"c25082"</definedName>
    <definedName name="IQ_TOTAL_RISK_BASED_CAPITAL_REQUIREMENT_THRIFT" hidden="1">"c25080"</definedName>
    <definedName name="IQ_TOTAL_RISK_BASED_CAPITAL_THRIFT" hidden="1">"c25049"</definedName>
    <definedName name="IQ_TOTAL_RISK_WEIGHTED_ASSETS_FFIEC" hidden="1">"c13858"</definedName>
    <definedName name="IQ_TOTAL_RISK_WEIGHTED_ASSETS_THRIFT" hidden="1">"c25079"</definedName>
    <definedName name="IQ_TOTAL_ROOMS" hidden="1">"c8789"</definedName>
    <definedName name="IQ_TOTAL_SECURITIES_FDIC" hidden="1">"c6306"</definedName>
    <definedName name="IQ_TOTAL_SPECIAL" hidden="1">"c1618"</definedName>
    <definedName name="IQ_TOTAL_SQ_FT" hidden="1">"c8781"</definedName>
    <definedName name="IQ_TOTAL_SR_SECURED" hidden="1">"c17890"</definedName>
    <definedName name="IQ_TOTAL_SR_SECURED_EBITDA" hidden="1">"c17901"</definedName>
    <definedName name="IQ_TOTAL_SR_SECURED_EBITDA_CAPEX" hidden="1">"c17902"</definedName>
    <definedName name="IQ_TOTAL_SR_SECURED_PCT" hidden="1">"c18004"</definedName>
    <definedName name="IQ_TOTAL_ST_BORROW" hidden="1">"c1177"</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DEPOSITS_TOTAL_DEPOSITS_THRIFT" hidden="1">"c25780"</definedName>
    <definedName name="IQ_TOTAL_TIME_LESS_100000_1_TO_3_YEARS_FFIEC" hidden="1">"c15335"</definedName>
    <definedName name="IQ_TOTAL_TIME_LESS_100000_3_MONTHS_LESS_FFIEC" hidden="1">"c15333"</definedName>
    <definedName name="IQ_TOTAL_TIME_LESS_100000_3_TO_12_MONTHS_FFIEC" hidden="1">"c15334"</definedName>
    <definedName name="IQ_TOTAL_TIME_LESS_100000_FFIEC" hidden="1">"c15332"</definedName>
    <definedName name="IQ_TOTAL_TIME_LESS_100000_OVER_3_YEARS_FFIEC" hidden="1">"c15336"</definedName>
    <definedName name="IQ_TOTAL_TIME_MORE_100000_1_TO_3_YEARS_FFIEC" hidden="1">"c15340"</definedName>
    <definedName name="IQ_TOTAL_TIME_MORE_100000_3_MONTHS_LESS_FFIEC" hidden="1">"c15338"</definedName>
    <definedName name="IQ_TOTAL_TIME_MORE_100000_3_TO_12_MONTHS_FFIEC" hidden="1">"c15339"</definedName>
    <definedName name="IQ_TOTAL_TIME_MORE_100000_FFIEC" hidden="1">"c15337"</definedName>
    <definedName name="IQ_TOTAL_TIME_MORE_100000_OVER_3_YEARS_FFIEC" hidden="1">"c15341"</definedName>
    <definedName name="IQ_TOTAL_TIME_SAVINGS_DEPOSITS_FDIC" hidden="1">"c6498"</definedName>
    <definedName name="IQ_TOTAL_TRADING_ASSETS_FFIEC" hidden="1">"c12939"</definedName>
    <definedName name="IQ_TOTAL_TRADING_LIAB_DOM_FFIEC" hidden="1">"c12944"</definedName>
    <definedName name="IQ_TOTAL_TRADING_LIAB_FOREIGN_FFIEC" hidden="1">"c15296"</definedName>
    <definedName name="IQ_TOTAL_TRANS_ACCTS_FFIEC" hidden="1">"c15321"</definedName>
    <definedName name="IQ_TOTAL_UNITS" hidden="1">"c8773"</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CM"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SUPPLE" hidden="1">"c13817"</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DJ_SIZE_FINAL" hidden="1">"c16265"</definedName>
    <definedName name="IQ_TR_ANN_DATE" hidden="1">"c2395"</definedName>
    <definedName name="IQ_TR_ANN_DATE_BL" hidden="1">"c2394"</definedName>
    <definedName name="IQ_TR_BID_DATE" hidden="1">"c2357"</definedName>
    <definedName name="IQ_TR_BLUESKY_FEES" hidden="1">"c2277"</definedName>
    <definedName name="IQ_TR_BNKY_ADVISOR_CLIENT_NAME_LIST" hidden="1">"c17671"</definedName>
    <definedName name="IQ_TR_BNKY_ADVISOR_FEE_LIST" hidden="1">"c17673"</definedName>
    <definedName name="IQ_TR_BNKY_ADVISOR_FEE_PCT_LIST" hidden="1">"c17674"</definedName>
    <definedName name="IQ_TR_BNKY_ADVISOR_ID_LIST" hidden="1">"c17670"</definedName>
    <definedName name="IQ_TR_BNKY_ADVISOR_NAME_LIST" hidden="1">"c17669"</definedName>
    <definedName name="IQ_TR_BNKY_ADVISOR_ROLE_LIST" hidden="1">"c17672"</definedName>
    <definedName name="IQ_TR_BNKY_AFFILIATES_JOINT_ADMIN" hidden="1">"c17636"</definedName>
    <definedName name="IQ_TR_BNKY_AFFILIATES_JOINT_ADMIN_LIST" hidden="1">"c17656"</definedName>
    <definedName name="IQ_TR_BNKY_CASE_CONSOLIDATED_DATE" hidden="1">"c17632"</definedName>
    <definedName name="IQ_TR_BNKY_CASE_FILING_FEE_PAID" hidden="1">"c17634"</definedName>
    <definedName name="IQ_TR_BNKY_CASE_NUMBER" hidden="1">"c17627"</definedName>
    <definedName name="IQ_TR_BNKY_CASH_IN_HAND" hidden="1">"c17651"</definedName>
    <definedName name="IQ_TR_BNKY_COURT" hidden="1">"c17626"</definedName>
    <definedName name="IQ_TR_BNKY_CREDITOR_CLAIM_AMT_LIST" hidden="1">"c17660"</definedName>
    <definedName name="IQ_TR_BNKY_CREDITOR_ID_LIST" hidden="1">"c17658"</definedName>
    <definedName name="IQ_TR_BNKY_CREDITOR_NAME_LIST" hidden="1">"c17657"</definedName>
    <definedName name="IQ_TR_BNKY_CREDITOR_REL_LIST" hidden="1">"c17659"</definedName>
    <definedName name="IQ_TR_BNKY_CREDITORS" hidden="1">"c17635"</definedName>
    <definedName name="IQ_TR_BNKY_DIP_COMMITMENT_FEE_LIST" hidden="1">"c17667"</definedName>
    <definedName name="IQ_TR_BNKY_DIP_FIN_PROVIDED" hidden="1">"c17640"</definedName>
    <definedName name="IQ_TR_BNKY_DIP_FIN_PROVIDED_LIST" hidden="1">"c17665"</definedName>
    <definedName name="IQ_TR_BNKY_DIP_FIN_PROVIDERS" hidden="1">"c17639"</definedName>
    <definedName name="IQ_TR_BNKY_DIP_FIN_SECURITY_TYPES" hidden="1">"c17642"</definedName>
    <definedName name="IQ_TR_BNKY_DIP_FIN_UTILIZED" hidden="1">"c17641"</definedName>
    <definedName name="IQ_TR_BNKY_DIP_ID_LIST" hidden="1">"c17662"</definedName>
    <definedName name="IQ_TR_BNKY_DIP_LEAD_PROVIDER_LIST" hidden="1">"c17668"</definedName>
    <definedName name="IQ_TR_BNKY_DIP_LIBOR_SPREAD_LIST" hidden="1">"c17666"</definedName>
    <definedName name="IQ_TR_BNKY_DIP_MATURITY_DATE_LIST" hidden="1">"c17664"</definedName>
    <definedName name="IQ_TR_BNKY_DIP_NAME_LIST" hidden="1">"c17661"</definedName>
    <definedName name="IQ_TR_BNKY_DIP_SECURITY_LIST" hidden="1">"c17663"</definedName>
    <definedName name="IQ_TR_BNKY_DISMISSED_DATE" hidden="1">"c17633"</definedName>
    <definedName name="IQ_TR_BNKY_EMERGED_REORG_DATE" hidden="1">"c17630"</definedName>
    <definedName name="IQ_TR_BNKY_FEATURES_LIST" hidden="1">"c17655"</definedName>
    <definedName name="IQ_TR_BNKY_FILING_TYPE" hidden="1">"c17624"</definedName>
    <definedName name="IQ_TR_BNKY_INVOL_PETITION_FILED_DATE" hidden="1">"c17629"</definedName>
    <definedName name="IQ_TR_BNKY_ISSUANCE_DEBT" hidden="1">"c17648"</definedName>
    <definedName name="IQ_TR_BNKY_ISSUANCE_EQUITY" hidden="1">"c17649"</definedName>
    <definedName name="IQ_TR_BNKY_LEAD_ASSETS_INIT_FILING" hidden="1">"c17645"</definedName>
    <definedName name="IQ_TR_BNKY_LEAD_ASSETS_INIT_FILING_LIST" hidden="1">"c17678"</definedName>
    <definedName name="IQ_TR_BNKY_LEAD_DEBTOR" hidden="1">"c17643"</definedName>
    <definedName name="IQ_TR_BNKY_LEAD_DEBTOR_LIST" hidden="1">"c17675"</definedName>
    <definedName name="IQ_TR_BNKY_LEAD_LIAB_INIT_FILING" hidden="1">"c17644"</definedName>
    <definedName name="IQ_TR_BNKY_LEAD_LIAB_INIT_FILING_LIST" hidden="1">"c17677"</definedName>
    <definedName name="IQ_TR_BNKY_LEAD_REV_ANN" hidden="1">"c17646"</definedName>
    <definedName name="IQ_TR_BNKY_LEAD_REV_ANN_LIST" hidden="1">"c17679"</definedName>
    <definedName name="IQ_TR_BNKY_LEAD_STOCK_PRICE_ANN" hidden="1">"c17647"</definedName>
    <definedName name="IQ_TR_BNKY_LEAD_STOCK_PRICE_ANN_LIST" hidden="1">"c17680"</definedName>
    <definedName name="IQ_TR_BNKY_LEAD_TYPE_LIST" hidden="1">"c17676"</definedName>
    <definedName name="IQ_TR_BNKY_LIQUIDATED_DATE" hidden="1">"c17631"</definedName>
    <definedName name="IQ_TR_BNKY_PRE_BANKRUPTCY_SITUATION" hidden="1">"c17637"</definedName>
    <definedName name="IQ_TR_BNKY_RESOLUTION" hidden="1">"c17638"</definedName>
    <definedName name="IQ_TR_BNKY_RESTRUCTURING_WEBSITE" hidden="1">"c17625"</definedName>
    <definedName name="IQ_TR_BNKY_SALE_ASSETS" hidden="1">"c17650"</definedName>
    <definedName name="IQ_TR_BNKY_TOTAL_CLAIMANTS_AMT" hidden="1">"c17653"</definedName>
    <definedName name="IQ_TR_BNKY_TOTAL_FIN_PROVIDED" hidden="1">"c17652"</definedName>
    <definedName name="IQ_TR_BNKY_TOTAL_PAYMENTS_CLAIMANTS" hidden="1">"c17654"</definedName>
    <definedName name="IQ_TR_BNKY_VOL_PETITION_FILED_DATE" hidden="1">"c17628"</definedName>
    <definedName name="IQ_TR_BUY_ACC_ADVISORS" hidden="1">"c3048"</definedName>
    <definedName name="IQ_TR_BUY_FIN_ADVISORS" hidden="1">"c3045"</definedName>
    <definedName name="IQ_TR_BUY_LEG_ADVISORS" hidden="1">"c2387"</definedName>
    <definedName name="IQ_TR_BUY_TERM_FEE" hidden="1">"c13638"</definedName>
    <definedName name="IQ_TR_BUY_TERM_FEE_PCT" hidden="1">"c13639"</definedName>
    <definedName name="IQ_TR_BUYBACK_TO_CLOSE" hidden="1">"c13919"</definedName>
    <definedName name="IQ_TR_BUYBACK_TO_HIGH" hidden="1">"c13917"</definedName>
    <definedName name="IQ_TR_BUYBACK_TO_LOW" hidden="1">"c13918"</definedName>
    <definedName name="IQ_TR_BUYER_ID" hidden="1">"c2404"</definedName>
    <definedName name="IQ_TR_BUYERNAME" hidden="1">"c2401"</definedName>
    <definedName name="IQ_TR_CANCELLED_DATE" hidden="1">"c2284"</definedName>
    <definedName name="IQ_TR_CASH_CONSID_PCT" hidden="1">"c2296"</definedName>
    <definedName name="IQ_TR_CASH_CONSID_PCT_FINAL" hidden="1">"c16268"</definedName>
    <definedName name="IQ_TR_CASH_ST_INVEST" hidden="1">"c3025"</definedName>
    <definedName name="IQ_TR_CASH_ST_INVEST_FINAL" hidden="1">"c16266"</definedName>
    <definedName name="IQ_TR_CHANGE_CONTROL" hidden="1">"c2365"</definedName>
    <definedName name="IQ_TR_CLOSED_DATE" hidden="1">"c2283"</definedName>
    <definedName name="IQ_TR_CO_NET_PROCEEDS" hidden="1">"c2268"</definedName>
    <definedName name="IQ_TR_CO_NET_PROCEEDS_ISSUE" hidden="1">"c17571"</definedName>
    <definedName name="IQ_TR_CO_NET_PROCEEDS_PCT" hidden="1">"c2270"</definedName>
    <definedName name="IQ_TR_COMMENTS" hidden="1">"c2383"</definedName>
    <definedName name="IQ_TR_CURRENCY" hidden="1">"c3016"</definedName>
    <definedName name="IQ_TR_DEAL_APPROACH" hidden="1">"c12706"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BT_CONSID_PCT_FINAL" hidden="1">"c16274"</definedName>
    <definedName name="IQ_TR_DEF_AGRMT_DATE" hidden="1">"c2285"</definedName>
    <definedName name="IQ_TR_DISCLOSED_FEES_EXP" hidden="1">"c2288"</definedName>
    <definedName name="IQ_TR_EARNOUTS" hidden="1">"c3023"</definedName>
    <definedName name="IQ_TR_EARNOUTS_FINAL" hidden="1">"c16262"</definedName>
    <definedName name="IQ_TR_EX_OVER_SHARES_ISSUE" hidden="1">"c17566"</definedName>
    <definedName name="IQ_TR_EXPIRED_DATE" hidden="1">"c2412"</definedName>
    <definedName name="IQ_TR_GROSS_OFFERING_AMT" hidden="1">"c2262"</definedName>
    <definedName name="IQ_TR_GROSS_PROCEEDS_ISSUE" hidden="1">"c17568"</definedName>
    <definedName name="IQ_TR_HYBRID_CONSID_PCT" hidden="1">"c2300"</definedName>
    <definedName name="IQ_TR_HYBRID_CONSID_PCT_FINAL" hidden="1">"c16276"</definedName>
    <definedName name="IQ_TR_IMPLIED_EQ" hidden="1">"c3018"</definedName>
    <definedName name="IQ_TR_IMPLIED_EQ_BV" hidden="1">"c3019"</definedName>
    <definedName name="IQ_TR_IMPLIED_EQ_BV_FINAL" hidden="1">"c16255"</definedName>
    <definedName name="IQ_TR_IMPLIED_EQ_FINAL" hidden="1">"c16253"</definedName>
    <definedName name="IQ_TR_IMPLIED_EQ_NI_LTM" hidden="1">"c3020"</definedName>
    <definedName name="IQ_TR_IMPLIED_EQ_NI_LTM_FINAL" hidden="1">"c16254"</definedName>
    <definedName name="IQ_TR_IMPLIED_EV" hidden="1">"c2301"</definedName>
    <definedName name="IQ_TR_IMPLIED_EV_BV" hidden="1">"c2306"</definedName>
    <definedName name="IQ_TR_IMPLIED_EV_EBIT" hidden="1">"c2302"</definedName>
    <definedName name="IQ_TR_IMPLIED_EV_EBIT_FINAL" hidden="1">"c16252"</definedName>
    <definedName name="IQ_TR_IMPLIED_EV_EBIT_FWD" hidden="1">"c17878"</definedName>
    <definedName name="IQ_TR_IMPLIED_EV_EBITDA" hidden="1">"c2303"</definedName>
    <definedName name="IQ_TR_IMPLIED_EV_EBITDA_FINAL" hidden="1">"c16251"</definedName>
    <definedName name="IQ_TR_IMPLIED_EV_EBITDA_FWD" hidden="1">"c17877"</definedName>
    <definedName name="IQ_TR_IMPLIED_EV_FINAL" hidden="1">"c16249"</definedName>
    <definedName name="IQ_TR_IMPLIED_EV_NI_LTM" hidden="1">"c2307"</definedName>
    <definedName name="IQ_TR_IMPLIED_EV_REV" hidden="1">"c2304"</definedName>
    <definedName name="IQ_TR_IMPLIED_EV_REV_FINAL" hidden="1">"c16250"</definedName>
    <definedName name="IQ_TR_IMPLIED_EV_REV_FWD" hidden="1">"c17876"</definedName>
    <definedName name="IQ_TR_INIT_FILED_DATE" hidden="1">"c3495"</definedName>
    <definedName name="IQ_TR_IPO_TRANSACTION_ID" hidden="1">"c17554"</definedName>
    <definedName name="IQ_TR_LEAD_UNDERWRITERS" hidden="1">"c17576"</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ASSUM_LIABILITIES_FINAL" hidden="1">"c16264"</definedName>
    <definedName name="IQ_TR_NET_PROCEEDS" hidden="1">"c2267"</definedName>
    <definedName name="IQ_TR_OFFER_DATE" hidden="1">"c2265"</definedName>
    <definedName name="IQ_TR_OFFER_DATE_MA" hidden="1">"c3035"</definedName>
    <definedName name="IQ_TR_OFFER_PER_SHARE" hidden="1">"c3017"</definedName>
    <definedName name="IQ_TR_OFFER_PER_SHARE_FINAL" hidden="1">"c16257"</definedName>
    <definedName name="IQ_TR_OFFER_PRICE_BV_FWD" hidden="1">"c17880"</definedName>
    <definedName name="IQ_TR_OFFER_PRICE_EARNINGS_FWD" hidden="1">"c17879"</definedName>
    <definedName name="IQ_TR_OPTIONS_CONSID_PCT" hidden="1">"c2311"</definedName>
    <definedName name="IQ_TR_OPTIONS_CONSID_PCT_FINAL" hidden="1">"c16278"</definedName>
    <definedName name="IQ_TR_OTHER_CONSID" hidden="1">"c3022"</definedName>
    <definedName name="IQ_TR_OTHER_CONSID_FINAL" hidden="1">"c16261"</definedName>
    <definedName name="IQ_TR_PCT_SOUGHT" hidden="1">"c2309"</definedName>
    <definedName name="IQ_TR_PCT_SOUGHT_ACQUIRED_FINAL" hidden="1">"c16256"</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_1D_PRICE" hidden="1">"c19180"</definedName>
    <definedName name="IQ_TR_PO_1D_RETURN" hidden="1">"c19179"</definedName>
    <definedName name="IQ_TR_PO_1M_PRICE" hidden="1">"c19184"</definedName>
    <definedName name="IQ_TR_PO_1M_RETURN" hidden="1">"c19183"</definedName>
    <definedName name="IQ_TR_PO_1W_PRICE" hidden="1">"c19182"</definedName>
    <definedName name="IQ_TR_PO_1W_RETURN" hidden="1">"c19181"</definedName>
    <definedName name="IQ_TR_PO_1Y_PRICE" hidden="1">"c19190"</definedName>
    <definedName name="IQ_TR_PO_1Y_RETURN" hidden="1">"c19189"</definedName>
    <definedName name="IQ_TR_PO_3M_PRICE" hidden="1">"c19186"</definedName>
    <definedName name="IQ_TR_PO_3M_RETURN" hidden="1">"c19185"</definedName>
    <definedName name="IQ_TR_PO_6M_PRICE" hidden="1">"c19188"</definedName>
    <definedName name="IQ_TR_PO_6M_RETURN" hidden="1">"c19187"</definedName>
    <definedName name="IQ_TR_PO_DISCOUNT_SHARE" hidden="1">"c17562"</definedName>
    <definedName name="IQ_TR_PO_ISSUE_CURRENCY" hidden="1">"c17557"</definedName>
    <definedName name="IQ_TR_PO_NET_PROCEEDS_SHARE" hidden="1">"c17563"</definedName>
    <definedName name="IQ_TR_PO_PRICE_RANGE" hidden="1">"c17559"</definedName>
    <definedName name="IQ_TR_PO_PRICE_RANGE_HIGH" hidden="1">"c17560"</definedName>
    <definedName name="IQ_TR_PO_PRICE_RANGE_LOW" hidden="1">"c17561"</definedName>
    <definedName name="IQ_TR_PO_PRICE_SHARE" hidden="1">"c17558"</definedName>
    <definedName name="IQ_TR_PO_SHARES_OFFERED" hidden="1">"c17564"</definedName>
    <definedName name="IQ_TR_PO_SHARES_OFFERED_EX_OVER" hidden="1">"c17567"</definedName>
    <definedName name="IQ_TR_PO_TICKER" hidden="1">"c17556"</definedName>
    <definedName name="IQ_TR_PO_TRADING_ITEM_CIQID" hidden="1">"c17555"</definedName>
    <definedName name="IQ_TR_POSTMONEY_VAL" hidden="1">"c2286"</definedName>
    <definedName name="IQ_TR_PREDEAL_SITUATION" hidden="1">"c2390"</definedName>
    <definedName name="IQ_TR_PREF_CONSID_PCT" hidden="1">"c2310"</definedName>
    <definedName name="IQ_TR_PREF_CONSID_PCT_FINAL" hidden="1">"c16272"</definedName>
    <definedName name="IQ_TR_PREMONEY_VAL" hidden="1">"c2287"</definedName>
    <definedName name="IQ_TR_PRINTING_FEES" hidden="1">"c2276"</definedName>
    <definedName name="IQ_TR_PROCEEDS_EX_OVER_ISSUE" hidden="1">"c17574"</definedName>
    <definedName name="IQ_TR_PT_MONETARY_VALUES" hidden="1">"c2415"</definedName>
    <definedName name="IQ_TR_PT_NUMBER_SHARES" hidden="1">"c2417"</definedName>
    <definedName name="IQ_TR_PT_OFFER_PER_SHARE" hidden="1">"c18872"</definedName>
    <definedName name="IQ_TR_PT_PCT_SHARES" hidden="1">"c2416"</definedName>
    <definedName name="IQ_TR_RATING_FEES" hidden="1">"c2275"</definedName>
    <definedName name="IQ_TR_REG_EFFECT_DATE" hidden="1">"c2264"</definedName>
    <definedName name="IQ_TR_REG_FILED_DATE" hidden="1">"c2263"</definedName>
    <definedName name="IQ_TR_REG_OVER_SHARES_ISSUE" hidden="1">"c17565"</definedName>
    <definedName name="IQ_TR_REG_OVER_VALUE_ISSUE" hidden="1">"c17572"</definedName>
    <definedName name="IQ_TR_REGISTRATION_FEES" hidden="1">"c2274"</definedName>
    <definedName name="IQ_TR_REMAIN_MONETARY_VALUE" hidden="1">"c18099"</definedName>
    <definedName name="IQ_TR_REMAIN_NUMBER_SHARES" hidden="1">"c18101"</definedName>
    <definedName name="IQ_TR_REMAIN_PCT_SHARES" hidden="1">"c18100"</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_TERM_FEE" hidden="1">"c2298"</definedName>
    <definedName name="IQ_TR_SELL_TERM_FEE_PCT" hidden="1">"c2297"</definedName>
    <definedName name="IQ_TR_SELLER_DILUT_EPS_EXCL" hidden="1">"c17703"</definedName>
    <definedName name="IQ_TR_SELLER_EARNING_CO" hidden="1">"c17702"</definedName>
    <definedName name="IQ_TR_SELLER_EBIT" hidden="1">"c17700"</definedName>
    <definedName name="IQ_TR_SELLER_EBITDA" hidden="1">"c17699"</definedName>
    <definedName name="IQ_TR_SELLER_ID" hidden="1">"c2406"</definedName>
    <definedName name="IQ_TR_SELLER_MIN_INT" hidden="1">"c17707"</definedName>
    <definedName name="IQ_TR_SELLER_NET_DEBT" hidden="1">"c17709"</definedName>
    <definedName name="IQ_TR_SELLER_NI" hidden="1">"c17701"</definedName>
    <definedName name="IQ_TR_SELLER_TOTAL_ASSETS" hidden="1">"c17710"</definedName>
    <definedName name="IQ_TR_SELLER_TOTAL_CASH_ST_INVEST" hidden="1">"c17708"</definedName>
    <definedName name="IQ_TR_SELLER_TOTAL_COMMON_EQ" hidden="1">"c17704"</definedName>
    <definedName name="IQ_TR_SELLER_TOTAL_DEBT" hidden="1">"c17705"</definedName>
    <definedName name="IQ_TR_SELLER_TOTAL_PREF" hidden="1">"c17706"</definedName>
    <definedName name="IQ_TR_SELLER_TOTAL_REV" hidden="1">"c17698"</definedName>
    <definedName name="IQ_TR_SELLERNAME" hidden="1">"c2402"</definedName>
    <definedName name="IQ_TR_SFEATURES" hidden="1">"c2385"</definedName>
    <definedName name="IQ_TR_SH_NET_PROCEEDS" hidden="1">"c2269"</definedName>
    <definedName name="IQ_TR_SH_NET_PROCEEDS_ISSUE" hidden="1">"c17570"</definedName>
    <definedName name="IQ_TR_SH_NET_PROCEEDS_PCT" hidden="1">"c2271"</definedName>
    <definedName name="IQ_TR_SHELF_EXP_EXPIRATION_DATE" hidden="1">"c18102"</definedName>
    <definedName name="IQ_TR_SHELF_EXPIRED_DATE" hidden="1">"c18103"</definedName>
    <definedName name="IQ_TR_SPECIAL_COMMITTEE" hidden="1">"c2362"</definedName>
    <definedName name="IQ_TR_SPIN_DEF_AGRMT_DATE" hidden="1">"c17696"</definedName>
    <definedName name="IQ_TR_SPIN_DIST_RATIO_FINAL" hidden="1">"c17734"</definedName>
    <definedName name="IQ_TR_SPIN_DIST_RATIO_OFFER" hidden="1">"c17728"</definedName>
    <definedName name="IQ_TR_SPIN_DIST_SHARES_FINAL" hidden="1">"c17852"</definedName>
    <definedName name="IQ_TR_SPIN_DIST_SHARES_OFFER" hidden="1">"c17729"</definedName>
    <definedName name="IQ_TR_SPIN_DIST_VALUE" hidden="1">"c17711"</definedName>
    <definedName name="IQ_TR_SPIN_DIST_VALUE_FINAL" hidden="1">"c17722"</definedName>
    <definedName name="IQ_TR_SPIN_DIST_VALUE_OFFER" hidden="1">"c17712"</definedName>
    <definedName name="IQ_TR_SPIN_IMPLIED_EQ_BV_OFFER" hidden="1">"c17721"</definedName>
    <definedName name="IQ_TR_SPIN_IMPLIED_EQ_NI_LTM_OFFER" hidden="1">"c17720"</definedName>
    <definedName name="IQ_TR_SPIN_IMPLIED_EQ_OFFER" hidden="1">"c17714"</definedName>
    <definedName name="IQ_TR_SPIN_IMPLIED_EV_EBIT_OFFER" hidden="1">"c17719"</definedName>
    <definedName name="IQ_TR_SPIN_IMPLIED_EV_EBITDA_OFFER" hidden="1">"c17718"</definedName>
    <definedName name="IQ_TR_SPIN_IMPLIED_EV_OFFER" hidden="1">"c17716"</definedName>
    <definedName name="IQ_TR_SPIN_IMPLIED_EV_REV_OFFER" hidden="1">"c17717"</definedName>
    <definedName name="IQ_TR_SPIN_NET_ASSUM_LIAB_OFFER" hidden="1">"c17715"</definedName>
    <definedName name="IQ_TR_SPIN_PARENT_SHARES_OUT_FINAL" hidden="1">"c17733"</definedName>
    <definedName name="IQ_TR_SPIN_PARENT_SHARES_OUT_OFFER" hidden="1">"c17727"</definedName>
    <definedName name="IQ_TR_SPIN_PCT_DIST_FINAL" hidden="1">"c17723"</definedName>
    <definedName name="IQ_TR_SPIN_PCT_DIST_OFFER" hidden="1">"c17713"</definedName>
    <definedName name="IQ_TR_SPIN_RECORD_DATE" hidden="1">"c17697"</definedName>
    <definedName name="IQ_TR_SPIN_SECURITY_CIQID" hidden="1">"c17724"</definedName>
    <definedName name="IQ_TR_SPIN_SECURITY_PCT_DIST_FINAL" hidden="1">"c17732"</definedName>
    <definedName name="IQ_TR_SPIN_SECURITY_PCT_DIST_OFFER" hidden="1">"c17726"</definedName>
    <definedName name="IQ_TR_SPIN_SECURITY_PRICE_FINAL" hidden="1">"c17731"</definedName>
    <definedName name="IQ_TR_SPIN_SECURITY_PRICE_OFFER" hidden="1">"c17725"</definedName>
    <definedName name="IQ_TR_SPIN_VALUE_CONSID_FINAL" hidden="1">"c17853"</definedName>
    <definedName name="IQ_TR_SPIN_VALUE_CONSID_OFFER" hidden="1">"c17730"</definedName>
    <definedName name="IQ_TR_STATUS" hidden="1">"c2399"</definedName>
    <definedName name="IQ_TR_STOCK_CONSID_PCT" hidden="1">"c2312"</definedName>
    <definedName name="IQ_TR_STOCK_CONSID_PCT_FINAL" hidden="1">"c16270"</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BV_SHARE_EST" hidden="1">"c17885"</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_EST" hidden="1">"c17883"</definedName>
    <definedName name="IQ_TR_TARGET_EBITDA" hidden="1">"c2334"</definedName>
    <definedName name="IQ_TR_TARGET_EBITDA_EQ_INC" hidden="1">"c3608"</definedName>
    <definedName name="IQ_TR_TARGET_EBITDA_EST" hidden="1">"c17882"</definedName>
    <definedName name="IQ_TR_TARGET_EPS_EST" hidden="1">"c17884"</definedName>
    <definedName name="IQ_TR_TARGET_EST_CURRENCY" hidden="1">"c17886"</definedName>
    <definedName name="IQ_TR_TARGET_EST_DATE" hidden="1">"c17887"</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REVENUE_EST" hidden="1">"c17881"</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ASH_FINAL" hidden="1">"c16267"</definedName>
    <definedName name="IQ_TR_TOTAL_CONSID_SH" hidden="1">"c2316"</definedName>
    <definedName name="IQ_TR_TOTAL_CONSID_SH_FINAL" hidden="1">"c16260"</definedName>
    <definedName name="IQ_TR_TOTAL_DEBT" hidden="1">"c2317"</definedName>
    <definedName name="IQ_TR_TOTAL_DEBT_FINAL" hidden="1">"c16273"</definedName>
    <definedName name="IQ_TR_TOTAL_EX_OVER_VALUE_ISSUE" hidden="1">"c17573"</definedName>
    <definedName name="IQ_TR_TOTAL_GROSS_TV" hidden="1">"c2318"</definedName>
    <definedName name="IQ_TR_TOTAL_GROSS_TV_FINAL" hidden="1">"c16259"</definedName>
    <definedName name="IQ_TR_TOTAL_HYBRID" hidden="1">"c2319"</definedName>
    <definedName name="IQ_TR_TOTAL_HYBRID_FINAL" hidden="1">"c16275"</definedName>
    <definedName name="IQ_TR_TOTAL_LEGAL_FEES" hidden="1">"c2272"</definedName>
    <definedName name="IQ_TR_TOTAL_NET_TV" hidden="1">"c2320"</definedName>
    <definedName name="IQ_TR_TOTAL_NET_TV_FINAL" hidden="1">"c16258"</definedName>
    <definedName name="IQ_TR_TOTAL_NEWMONEY" hidden="1">"c2289"</definedName>
    <definedName name="IQ_TR_TOTAL_OPTIONS" hidden="1">"c2322"</definedName>
    <definedName name="IQ_TR_TOTAL_OPTIONS_BUYER" hidden="1">"c3026"</definedName>
    <definedName name="IQ_TR_TOTAL_OPTIONS_BUYER_FINAL" hidden="1">"c16277"</definedName>
    <definedName name="IQ_TR_TOTAL_OPTIONS_FINAL" hidden="1">"c16263"</definedName>
    <definedName name="IQ_TR_TOTAL_PREFERRED" hidden="1">"c2321"</definedName>
    <definedName name="IQ_TR_TOTAL_PREFERRED_FINAL" hidden="1">"c16271"</definedName>
    <definedName name="IQ_TR_TOTAL_REG_AMT" hidden="1">"c2261"</definedName>
    <definedName name="IQ_TR_TOTAL_STOCK" hidden="1">"c2323"</definedName>
    <definedName name="IQ_TR_TOTAL_STOCK_FINAL" hidden="1">"c16269"</definedName>
    <definedName name="IQ_TR_TOTAL_TAKEDOWNS" hidden="1">"c2278"</definedName>
    <definedName name="IQ_TR_TOTAL_UW_COMP" hidden="1">"c2280"</definedName>
    <definedName name="IQ_TR_TOTALVALUE" hidden="1">"c2400"</definedName>
    <definedName name="IQ_TR_TRANSACTION_TYPE" hidden="1">"c2398"</definedName>
    <definedName name="IQ_TR_UNDERWRITER_COMP_ISSUE" hidden="1">"c17569"</definedName>
    <definedName name="IQ_TR_UNDERWRITERS_OTHER" hidden="1">"c17577"</definedName>
    <definedName name="IQ_TR_WITHDRAWN_DTE" hidden="1">"c2266"</definedName>
    <definedName name="IQ_TRADE_AR" hidden="1">"c40"</definedName>
    <definedName name="IQ_TRADE_BALANCE_USD" hidden="1">"c21103"</definedName>
    <definedName name="IQ_TRADE_PRINCIPAL" hidden="1">"c1309"</definedName>
    <definedName name="IQ_TRADING_ACCOUNT_GAINS_FEES_FDIC" hidden="1">"c6573"</definedName>
    <definedName name="IQ_TRADING_ASSETS" hidden="1">"c1310"</definedName>
    <definedName name="IQ_TRADING_ASSETS_FAIR_VALUE_TOT_FFIEC" hidden="1">"c13210"</definedName>
    <definedName name="IQ_TRADING_ASSETS_FDIC" hidden="1">"c6328"</definedName>
    <definedName name="IQ_TRADING_ASSETS_FFIEC" hidden="1">"c12812"</definedName>
    <definedName name="IQ_TRADING_ASSETS_FOREIGN_FFIEC" hidden="1">"c12940"</definedName>
    <definedName name="IQ_TRADING_ASSETS_LEVEL_1_FFIEC" hidden="1">"c13218"</definedName>
    <definedName name="IQ_TRADING_ASSETS_LEVEL_2_FFIEC" hidden="1">"c13226"</definedName>
    <definedName name="IQ_TRADING_ASSETS_LEVEL_3_FFIEC" hidden="1">"c13234"</definedName>
    <definedName name="IQ_TRADING_ASSETS_QUARTERLY_AVG_FFIEC" hidden="1">"c13085"</definedName>
    <definedName name="IQ_TRADING_CURRENCY" hidden="1">"c2212"</definedName>
    <definedName name="IQ_TRADING_ITEM_CIQID" hidden="1">"c8949"</definedName>
    <definedName name="IQ_TRADING_LIABILITIES_FAIR_VALUE_TOT_FFIEC" hidden="1">"c13214"</definedName>
    <definedName name="IQ_TRADING_LIABILITIES_FDIC" hidden="1">"c6344"</definedName>
    <definedName name="IQ_TRADING_LIABILITIES_FFIEC" hidden="1">"c12858"</definedName>
    <definedName name="IQ_TRADING_LIABILITIES_LEVEL_1_FFIEC" hidden="1">"c13222"</definedName>
    <definedName name="IQ_TRADING_LIABILITIES_LEVEL_2_FFIEC" hidden="1">"c13230"</definedName>
    <definedName name="IQ_TRADING_LIABILITIES_LEVEL_3_FFIEC" hidden="1">"c13238"</definedName>
    <definedName name="IQ_TRADING_REV_FOREIGN_FFIEC" hidden="1">"c15377"</definedName>
    <definedName name="IQ_TRADING_REV_OPERATING_INC_FFIEC" hidden="1">"c13385"</definedName>
    <definedName name="IQ_TRADING_REVENUE_FFIEC" hidden="1">"c13004"</definedName>
    <definedName name="IQ_TRADING_SEC_AMOUNTS_NETTED_THRIFT" hidden="1">"c25486"</definedName>
    <definedName name="IQ_TRADING_SEC_LEVEL_1_THRIFT" hidden="1">"c25482"</definedName>
    <definedName name="IQ_TRADING_SEC_LEVEL_2_THRIFT" hidden="1">"c25483"</definedName>
    <definedName name="IQ_TRADING_SEC_LEVEL_3_THRIFT" hidden="1">"c25484"</definedName>
    <definedName name="IQ_TRADING_SEC_TOTAL_AFTER_NETTING_THRIFT" hidden="1">"c25487"</definedName>
    <definedName name="IQ_TRADING_SEC_TOTAL_BEFORE_NETTING_THRIFT" hidden="1">"c25485"</definedName>
    <definedName name="IQ_TRANS_ACCTS_TOT_DEPOSITS_FFIEC" hidden="1">"c13904"</definedName>
    <definedName name="IQ_TRANS_IMPACT_FIN_48_CURRENT_ASSETS" hidden="1">"c15727"</definedName>
    <definedName name="IQ_TRANS_IMPACT_FIN_48_CURRENT_LIABILITIES" hidden="1">"c15729"</definedName>
    <definedName name="IQ_TRANS_IMPACT_FIN_48_LT_ASSETS" hidden="1">"c15728"</definedName>
    <definedName name="IQ_TRANS_IMPACT_FIN_48_NON_CURRENT_LIABILITIES" hidden="1">"c15730"</definedName>
    <definedName name="IQ_TRANS_IMPACT_FIN_48_RETAINED_EARNINGS" hidden="1">"c15731"</definedName>
    <definedName name="IQ_TRANSACTION_ACCOUNTS_FDIC" hidden="1">"c6544"</definedName>
    <definedName name="IQ_TRANSACTION_ACCOUNTS_INC_DEMAND_DEPOSITS_THRIFT" hidden="1">"c24998"</definedName>
    <definedName name="IQ_TRANSACTION_ACCOUNTS_TOTAL_DEPOSITS_THRIFT" hidden="1">"c25777"</definedName>
    <definedName name="IQ_TRANSACTION_LIST" hidden="1">"c15126"</definedName>
    <definedName name="IQ_TRANSACTION_LIST_BANKRUPTCY" hidden="1">"c15131"</definedName>
    <definedName name="IQ_TRANSACTION_LIST_BUYBACK" hidden="1">"c15129"</definedName>
    <definedName name="IQ_TRANSACTION_LIST_INCL_SUBS" hidden="1">"c15132"</definedName>
    <definedName name="IQ_TRANSACTION_LIST_INCL_SUBS_BANKRUPTCY" hidden="1">"c15137"</definedName>
    <definedName name="IQ_TRANSACTION_LIST_INCL_SUBS_BUYBACK" hidden="1">"c15135"</definedName>
    <definedName name="IQ_TRANSACTION_LIST_INCL_SUBS_MA" hidden="1">"c15133"</definedName>
    <definedName name="IQ_TRANSACTION_LIST_INCL_SUBS_PO" hidden="1">"c15136"</definedName>
    <definedName name="IQ_TRANSACTION_LIST_INCL_SUBS_PP" hidden="1">"c15134"</definedName>
    <definedName name="IQ_TRANSACTION_LIST_MA" hidden="1">"c15127"</definedName>
    <definedName name="IQ_TRANSACTION_LIST_PO" hidden="1">"c15130"</definedName>
    <definedName name="IQ_TRANSACTION_LIST_PP" hidden="1">"c15128"</definedName>
    <definedName name="IQ_TRANSFER_AGENT_REGISTRAR_PAYING_AGENT_OTHER_CORPORATE_AGENCY_NUMBER_ISSUES_THRIFT" hidden="1">"c25444"</definedName>
    <definedName name="IQ_TRANSFERS_GVA_THRIFT" hidden="1">"c25093"</definedName>
    <definedName name="IQ_TRANSFERS_SVA_THRIFT" hidden="1">"c25101"</definedName>
    <definedName name="IQ_TREASURER_ID" hidden="1">"c15214"</definedName>
    <definedName name="IQ_TREASURER_NAME" hidden="1">"c15213"</definedName>
    <definedName name="IQ_TREASURY" hidden="1">"c1311"</definedName>
    <definedName name="IQ_TREASURY_INVEST_SECURITIES_FFIEC" hidden="1">"c13457"</definedName>
    <definedName name="IQ_TREASURY_OTHER_EQUITY" hidden="1">"c1312"</definedName>
    <definedName name="IQ_TREASURY_OTHER_EQUITY_BNK" hidden="1">"c1313"</definedName>
    <definedName name="IQ_TREASURY_OTHER_EQUITY_BR" hidden="1">"c1314"</definedName>
    <definedName name="IQ_TREASURY_OTHER_EQUITY_CM"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"c1311"</definedName>
    <definedName name="IQ_TREASURY_STOCK_TRANSACTIONS_FDIC" hidden="1">"c6501"</definedName>
    <definedName name="IQ_TREASURY_STOCK_TRANSACTIONS_FFIEC" hidden="1">"c15352"</definedName>
    <definedName name="IQ_TROUBLED_DEBT_RESTRUCTURED_DUE_30_89_THRIFT" hidden="1">"c25256"</definedName>
    <definedName name="IQ_TROUBLED_DEBT_RESTRUCTURED_DUE_90_THRIFT" hidden="1">"c25277"</definedName>
    <definedName name="IQ_TROUBLED_DEBT_RESTRUCTURED_NON_ACCRUAL_THRIFT" hidden="1">"c25298"</definedName>
    <definedName name="IQ_TROUBLED_DEBT_RESTRUCTURED_THRIFT" hidden="1">"c25230"</definedName>
    <definedName name="IQ_TRUCK_ASSEMBLIES" hidden="1">"c7021"</definedName>
    <definedName name="IQ_TRUCK_ASSEMBLIES_APR" hidden="1">"c7681"</definedName>
    <definedName name="IQ_TRUCK_ASSEMBLIES_APR_FC" hidden="1">"c8561"</definedName>
    <definedName name="IQ_TRUCK_ASSEMBLIES_FC" hidden="1">"c7901"</definedName>
    <definedName name="IQ_TRUCK_ASSEMBLIES_POP" hidden="1">"c7241"</definedName>
    <definedName name="IQ_TRUCK_ASSEMBLIES_POP_FC" hidden="1">"c8121"</definedName>
    <definedName name="IQ_TRUCK_ASSEMBLIES_YOY" hidden="1">"c7461"</definedName>
    <definedName name="IQ_TRUCK_ASSEMBLIES_YOY_FC" hidden="1">"c8341"</definedName>
    <definedName name="IQ_TRUST_INC" hidden="1">"c1319"</definedName>
    <definedName name="IQ_TRUST_PREF" hidden="1">"c1320"</definedName>
    <definedName name="IQ_TRUST_PREFERRED" hidden="1">"c3029"</definedName>
    <definedName name="IQ_TRUST_PREFERRED_PCT" hidden="1">"c3030"</definedName>
    <definedName name="IQ_TRUSTEE" hidden="1">"c8959"</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AMORTIZED_YIELD_ADJUSTMENTS_THRIFT" hidden="1">"c24898"</definedName>
    <definedName name="IQ_UNASSIGNED_RESERVES_COAL" hidden="1">"c15914"</definedName>
    <definedName name="IQ_UNASSIGNED_RESERVES_TO_TOTAL_RESERVES_COAL" hidden="1">"c15956"</definedName>
    <definedName name="IQ_UNCLASSIFIED_PROPERTY_OPERATING_EXPENSE" hidden="1">"c16034"</definedName>
    <definedName name="IQ_UNCLASSIFIED_RENTAL_INCOME" hidden="1">"c16021"</definedName>
    <definedName name="IQ_UNCONSOL_BEDS" hidden="1">"c8783"</definedName>
    <definedName name="IQ_UNCONSOL_NOI" hidden="1">"c16067"</definedName>
    <definedName name="IQ_UNCONSOL_PROP" hidden="1">"c8762"</definedName>
    <definedName name="IQ_UNCONSOL_ROOMS" hidden="1">"c8787"</definedName>
    <definedName name="IQ_UNCONSOL_SQ_FT" hidden="1">"c8778"</definedName>
    <definedName name="IQ_UNCONSOL_UNITS" hidden="1">"c8770"</definedName>
    <definedName name="IQ_UNDERGROUND_RESERVES_COAL" hidden="1">"c15922"</definedName>
    <definedName name="IQ_UNDERGROUND_RESERVES_TO_TOTAL_RESERVES_COAL" hidden="1">"c15960"</definedName>
    <definedName name="IQ_UNDERWRITER" hidden="1">"c8958"</definedName>
    <definedName name="IQ_UNDERWRITING_PROFIT" hidden="1">"c9975"</definedName>
    <definedName name="IQ_UNDIVIDED_PROFITS_FDIC" hidden="1">"c6352"</definedName>
    <definedName name="IQ_UNDRAWN_CP" hidden="1">"c2518"</definedName>
    <definedName name="IQ_UNDRAWN_CREDIT" hidden="1">"c3032"</definedName>
    <definedName name="IQ_UNDRAWN_FED_FUNDS" hidden="1">"c2524"</definedName>
    <definedName name="IQ_UNDRAWN_FHLB" hidden="1">"c2520"</definedName>
    <definedName name="IQ_UNDRAWN_LC" hidden="1">"c2521"</definedName>
    <definedName name="IQ_UNDRAWN_RC" hidden="1">"c2517"</definedName>
    <definedName name="IQ_UNDRAWN_SECURITIZED" hidden="1">"c17900"</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CM"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EARNED_INCOME_LL_REC_DOM_FFIEC" hidden="1">"c12916"</definedName>
    <definedName name="IQ_UNEARNED_INCOME_LL_REC_FFIEC" hidden="1">"c12897"</definedName>
    <definedName name="IQ_UNEARNED_PREMIUMS_PC_FFIEC" hidden="1">"c13101"</definedName>
    <definedName name="IQ_UNEMPLOY_RATE" hidden="1">"c21104"</definedName>
    <definedName name="IQ_UNEMPLOYMENT_RATE" hidden="1">"c7023"</definedName>
    <definedName name="IQ_UNEMPLOYMENT_RATE_FC" hidden="1">"c7903"</definedName>
    <definedName name="IQ_UNEMPLOYMENT_RATE_POP" hidden="1">"c7243"</definedName>
    <definedName name="IQ_UNEMPLOYMENT_RATE_POP_FC" hidden="1">"c8123"</definedName>
    <definedName name="IQ_UNEMPLOYMENT_RATE_YOY" hidden="1">"c7463"</definedName>
    <definedName name="IQ_UNEMPLOYMENT_RATE_YOY_FC" hidden="1">"c8343"</definedName>
    <definedName name="IQ_UNINSURED_DEPOSITS_THRIFT" hidden="1">"c24995"</definedName>
    <definedName name="IQ_UNIT_LABOR_COST_INDEX" hidden="1">"c7025"</definedName>
    <definedName name="IQ_UNIT_LABOR_COST_INDEX_APR" hidden="1">"c7685"</definedName>
    <definedName name="IQ_UNIT_LABOR_COST_INDEX_APR_FC" hidden="1">"c8565"</definedName>
    <definedName name="IQ_UNIT_LABOR_COST_INDEX_FC" hidden="1">"c7905"</definedName>
    <definedName name="IQ_UNIT_LABOR_COST_INDEX_PCT_CHANGE" hidden="1">"c7024"</definedName>
    <definedName name="IQ_UNIT_LABOR_COST_INDEX_PCT_CHANGE_FC" hidden="1">"c7904"</definedName>
    <definedName name="IQ_UNIT_LABOR_COST_INDEX_PCT_CHANGE_POP" hidden="1">"c7244"</definedName>
    <definedName name="IQ_UNIT_LABOR_COST_INDEX_PCT_CHANGE_POP_FC" hidden="1">"c8124"</definedName>
    <definedName name="IQ_UNIT_LABOR_COST_INDEX_PCT_CHANGE_YOY" hidden="1">"c7464"</definedName>
    <definedName name="IQ_UNIT_LABOR_COST_INDEX_PCT_CHANGE_YOY_FC" hidden="1">"c8344"</definedName>
    <definedName name="IQ_UNIT_LABOR_COST_INDEX_POP" hidden="1">"c7245"</definedName>
    <definedName name="IQ_UNIT_LABOR_COST_INDEX_POP_FC" hidden="1">"c8125"</definedName>
    <definedName name="IQ_UNIT_LABOR_COST_INDEX_YOY" hidden="1">"c7465"</definedName>
    <definedName name="IQ_UNIT_LABOR_COST_INDEX_YOY_FC" hidden="1">"c8345"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REALIZED_GAINS_AFS_EQUITY_SEC_T2_THRIFT" hidden="1">"c25040"</definedName>
    <definedName name="IQ_UNRECOG_TAX_BENEFIT_BEG_PERIOD" hidden="1">"c15732"</definedName>
    <definedName name="IQ_UNRECOG_TAX_BENEFIT_END_PERIOD" hidden="1">"c15740"</definedName>
    <definedName name="IQ_UNRECOG_TAX_BENEFIT_OTHER_ADJ" hidden="1">"c15739"</definedName>
    <definedName name="IQ_UNSECURED_COMMERCIAL_LOANS_THRIFT" hidden="1">"c24855"</definedName>
    <definedName name="IQ_UNSECURED_COMMITMENTS_COMMERCIAL_RE_UNUSED_FFIEC" hidden="1">"c13246"</definedName>
    <definedName name="IQ_UNSECURED_DEBT" hidden="1">"c2548"</definedName>
    <definedName name="IQ_UNSECURED_DEBT_PCT" hidden="1">"c2549"</definedName>
    <definedName name="IQ_UNSECURED_FEDERAL_FUNDS_PURCHASED_THRIFT" hidden="1">"c25572"</definedName>
    <definedName name="IQ_UNSECURED_OTHER_BORROWINGS_WITH_REMAINING_MATURITY_ONE_YEAR_LESS_THRIFT" hidden="1">"c25575"</definedName>
    <definedName name="IQ_UNSECURED_OTHER_BORROWINGS_WITH_REMAINING_MATURITY_OVER_ONE_YEAR_THRIFT" hidden="1">"c25576"</definedName>
    <definedName name="IQ_UNUSED_LINES_CREDIT_COMM_LINES_THRIFT" hidden="1">"c25607"</definedName>
    <definedName name="IQ_UNUSED_LINES_CREDIT_REVOLVING_OPEN_END_LOANS_1_4_DWELLING_UNITS_THRIFT" hidden="1">"c25606"</definedName>
    <definedName name="IQ_UNUSED_LINES_CREDIT_THRIFT" hidden="1">"c25605"</definedName>
    <definedName name="IQ_UNUSED_LOAN_COMMITMENTS_FDIC" hidden="1">"c6368"</definedName>
    <definedName name="IQ_UNUSUAL_EXP" hidden="1">"c1456"</definedName>
    <definedName name="IQ_UPGRADE_REBUILD_CABLE_INVEST" hidden="1">"c15804"</definedName>
    <definedName name="IQ_US_ADDRESS_LEASE_FIN_REC_FFIEC" hidden="1">"c13624"</definedName>
    <definedName name="IQ_US_AGENCY_OBLIG_FFIEC" hidden="1">"c12779"</definedName>
    <definedName name="IQ_US_AGENCY_OBLIG_HTM_AMORT_COST_FFIEC" hidden="1">"c20438"</definedName>
    <definedName name="IQ_US_AGENCY_OBLIG_HTM_FAIR_VAL_FFIEC" hidden="1">"c20473"</definedName>
    <definedName name="IQ_US_AGENCY_OBLIG_TRADING_DOM_FFIEC" hidden="1">"c12919"</definedName>
    <definedName name="IQ_US_AGENCY_OBLIG_TRADING_FFIEC" hidden="1">"c12814"</definedName>
    <definedName name="IQ_US_AGENCY_OBLIGATIONS_AFS_AMORT_COST_FFIEC" hidden="1">"c20490"</definedName>
    <definedName name="IQ_US_AGENCY_OBLIGATIONS_AFS_FAIR_VAL_FFIEC" hidden="1">"c20455"</definedName>
    <definedName name="IQ_US_AGENCY_OBLIGATIONS_AVAIL_SALE_FFIEC" hidden="1">"c12793"</definedName>
    <definedName name="IQ_US_AGENCY_SPONSORED_ENTERPRISE_SEC_THRIFT" hidden="1">"c24822"</definedName>
    <definedName name="IQ_US_BANKS_OTHER_INST_FOREIGN_DEP_FFIEC" hidden="1">"c15343"</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GOVT_AGENCY_SPONSORED_ENTERPRISE_SEC_INV_SEC_THRIFT" hidden="1">"c25671"</definedName>
    <definedName name="IQ_US_GOVT_NON_TRANS_ACCTS_FFIEC" hidden="1">"c15323"</definedName>
    <definedName name="IQ_US_GOVT_STATE_POLI_SUBD_IN_US_FOREIGN_DEP_FFIEC" hidden="1">"c15346"</definedName>
    <definedName name="IQ_US_GOVT_TRANS_ACCTS_FFIEC" hidden="1">"c15315"</definedName>
    <definedName name="IQ_US_INST_DUE_30_89_FFIEC" hidden="1">"c13268"</definedName>
    <definedName name="IQ_US_INST_DUE_90_FFIEC" hidden="1">"c13294"</definedName>
    <definedName name="IQ_US_INST_NON_ACCRUAL_FFIEC" hidden="1">"c13320"</definedName>
    <definedName name="IQ_US_SPONSORED_AGENCY_OBLIG_AFS_AMORT_COST_FFIEC" hidden="1">"c20491"</definedName>
    <definedName name="IQ_US_SPONSORED_AGENCY_OBLIG_AFS_FAIR_VAL_FFIEC" hidden="1">"c20456"</definedName>
    <definedName name="IQ_US_SPONSORED_AGENCY_OBLIG_AVAIL_SALE_FFIEC" hidden="1">"c12794"</definedName>
    <definedName name="IQ_US_SPONSORED_AGENCY_OBLIG_FFIEC" hidden="1">"c12780"</definedName>
    <definedName name="IQ_US_SPONSORED_AGENCY_OBLIG_HTM_AMORT_COST_FFIEC" hidden="1">"c20439"</definedName>
    <definedName name="IQ_US_SPONSORED_AGENCY_OBLIG_HTM_FAIR_VAL_FFIEC" hidden="1">"c20474"</definedName>
    <definedName name="IQ_US_TREASURY_SEC_AFS_AMORT_COST_FFIEC" hidden="1">"c20489"</definedName>
    <definedName name="IQ_US_TREASURY_SEC_AFS_FAIR_VAL_FFIEC" hidden="1">"c20454"</definedName>
    <definedName name="IQ_US_TREASURY_SEC_AVAIL_SALE_FFIEC" hidden="1">"c12792"</definedName>
    <definedName name="IQ_US_TREASURY_SEC_TRADING_DOM_FFIEC" hidden="1">"c12918"</definedName>
    <definedName name="IQ_US_TREASURY_SEC_TRADING_FFIEC" hidden="1">"c12813"</definedName>
    <definedName name="IQ_US_TREASURY_SECURITIES_FDIC" hidden="1">"c6298"</definedName>
    <definedName name="IQ_US_TREASURY_SECURITIES_FFIEC" hidden="1">"c12778"</definedName>
    <definedName name="IQ_US_TREASURY_SECURITIES_HTM_AMORT_COST_FFIEC" hidden="1">"c20437"</definedName>
    <definedName name="IQ_US_TREASURY_SECURITIES_HTM_FAIR_VAL_FFIEC" hidden="1">"c20472"</definedName>
    <definedName name="IQ_US_TREASURY_US_GOVT_AGENCY_OBLIGATIONS_ALL_OTHER_ACCOUNTS_THRIFT" hidden="1">"c25425"</definedName>
    <definedName name="IQ_US_TREASURY_US_GOVT_AGENCY_OBLIGATIONS_EMPLOYEE_BENEFIT_RETIREMENT_RELATED_ACCOUNTS_THRIFT" hidden="1">"c25409"</definedName>
    <definedName name="IQ_US_TREASURY_US_GOVT_AGENCY_OBLIGATIONS_PERSONAL_TRUST_AGENCY_INV_MANAGEMENT_ACCOUNTS_THRIFT" hidden="1">"c25393"</definedName>
    <definedName name="IQ_UST_SEC_GOVT_AGENCY_CORP_QUARTERLY_AVG_FFIEC" hidden="1">"c15469"</definedName>
    <definedName name="IQ_UST_SECURITIES_GOVT_AGENCY_QUARTERLY_AVG_FFIEC" hidden="1">"c15468"</definedName>
    <definedName name="IQ_UTIL_PPE_NET" hidden="1">"c1620"</definedName>
    <definedName name="IQ_UTIL_REV" hidden="1">"c2091"</definedName>
    <definedName name="IQ_UTILITY_EXPENSE" hidden="1">"c16031"</definedName>
    <definedName name="IQ_UV_PENSION_LIAB" hidden="1">"c1332"</definedName>
    <definedName name="IQ_VALUATION_ALLOWANCES_FDIC" hidden="1">"c6400"</definedName>
    <definedName name="IQ_VALUE_CUSTOMER_ASSETS" hidden="1">"c20433"</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ARIABLE_RATE_DEBT" hidden="1">"c17895"</definedName>
    <definedName name="IQ_VARIABLE_RATE_DEBT_PCT" hidden="1">"c18009"</definedName>
    <definedName name="IQ_VARIABLE_RATE_PREFERREDS_INT_SENSITIVITY_FFIEC" hidden="1">"c13096"</definedName>
    <definedName name="IQ_VC_REV_OPERATING_INC_FFIEC" hidden="1">"c13388"</definedName>
    <definedName name="IQ_VC_REVENUE_FDIC" hidden="1">"c6667"</definedName>
    <definedName name="IQ_VEHICLE_ASSEMBLIES_LIGHT" hidden="1">"c6905"</definedName>
    <definedName name="IQ_VEHICLE_ASSEMBLIES_LIGHT_APR" hidden="1">"c7565"</definedName>
    <definedName name="IQ_VEHICLE_ASSEMBLIES_LIGHT_APR_FC" hidden="1">"c8445"</definedName>
    <definedName name="IQ_VEHICLE_ASSEMBLIES_LIGHT_FC" hidden="1">"c7785"</definedName>
    <definedName name="IQ_VEHICLE_ASSEMBLIES_LIGHT_NEW" hidden="1">"c6925"</definedName>
    <definedName name="IQ_VEHICLE_ASSEMBLIES_LIGHT_NEW_APR" hidden="1">"c7585"</definedName>
    <definedName name="IQ_VEHICLE_ASSEMBLIES_LIGHT_NEW_APR_FC" hidden="1">"c8465"</definedName>
    <definedName name="IQ_VEHICLE_ASSEMBLIES_LIGHT_NEW_FC" hidden="1">"c7805"</definedName>
    <definedName name="IQ_VEHICLE_ASSEMBLIES_LIGHT_NEW_POP" hidden="1">"c7145"</definedName>
    <definedName name="IQ_VEHICLE_ASSEMBLIES_LIGHT_NEW_POP_FC" hidden="1">"c8025"</definedName>
    <definedName name="IQ_VEHICLE_ASSEMBLIES_LIGHT_NEW_YOY" hidden="1">"c7365"</definedName>
    <definedName name="IQ_VEHICLE_ASSEMBLIES_LIGHT_NEW_YOY_FC" hidden="1">"c8245"</definedName>
    <definedName name="IQ_VEHICLE_ASSEMBLIES_LIGHT_POP" hidden="1">"c7125"</definedName>
    <definedName name="IQ_VEHICLE_ASSEMBLIES_LIGHT_POP_FC" hidden="1">"c8005"</definedName>
    <definedName name="IQ_VEHICLE_ASSEMBLIES_LIGHT_YOY" hidden="1">"c7345"</definedName>
    <definedName name="IQ_VEHICLE_ASSEMBLIES_LIGHT_YOY_FC" hidden="1">"c8225"</definedName>
    <definedName name="IQ_VEHICLE_ASSEMBLIES_TOTAL" hidden="1">"c7020"</definedName>
    <definedName name="IQ_VEHICLE_ASSEMBLIES_TOTAL_APR" hidden="1">"c7680"</definedName>
    <definedName name="IQ_VEHICLE_ASSEMBLIES_TOTAL_APR_FC" hidden="1">"c8560"</definedName>
    <definedName name="IQ_VEHICLE_ASSEMBLIES_TOTAL_FC" hidden="1">"c7900"</definedName>
    <definedName name="IQ_VEHICLE_ASSEMBLIES_TOTAL_POP" hidden="1">"c7240"</definedName>
    <definedName name="IQ_VEHICLE_ASSEMBLIES_TOTAL_POP_FC" hidden="1">"c8120"</definedName>
    <definedName name="IQ_VEHICLE_ASSEMBLIES_TOTAL_YOY" hidden="1">"c7460"</definedName>
    <definedName name="IQ_VEHICLE_ASSEMBLIES_TOTAL_YOY_FC" hidden="1">"c8340"</definedName>
    <definedName name="IQ_VEHICLE_LOANS" hidden="1">"c15249"</definedName>
    <definedName name="IQ_VENTURE_CAPITAL_REVENUE_FFIEC" hidden="1">"c13010"</definedName>
    <definedName name="IQ_VIF_AFTER_COST_CAPITAL_COVERED" hidden="1">"c9966"</definedName>
    <definedName name="IQ_VIF_AFTER_COST_CAPITAL_GROUP" hidden="1">"c9952"</definedName>
    <definedName name="IQ_VIF_BEFORE_COST_CAPITAL_COVERED" hidden="1">"c9964"</definedName>
    <definedName name="IQ_VIF_BEFORE_COST_CAPITAL_GROUP" hidden="1">"c9950"</definedName>
    <definedName name="IQ_VOICE_SUB_BASIC_SUB" hidden="1">"c16203"</definedName>
    <definedName name="IQ_VOICE_SUB_TOTAL_HOMES_PASSED" hidden="1">"c15770"</definedName>
    <definedName name="IQ_VOICE_SUB_VIDEO_SUB" hidden="1">"c15789"</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VWAP" hidden="1">"c13514"</definedName>
    <definedName name="IQ_WAC_CURRENT" hidden="1">"c8961"</definedName>
    <definedName name="IQ_WAC_ORIGINAL" hidden="1">"c8953"</definedName>
    <definedName name="IQ_WAM_CURRENT" hidden="1">"c8962"</definedName>
    <definedName name="IQ_WAM_ORIGINAL" hidden="1">"c8952"</definedName>
    <definedName name="IQ_WAR_TOTAL_AGG_INT_VALUE_EXER" hidden="1">"c18465"</definedName>
    <definedName name="IQ_WAR_TOTAL_AGG_INT_VALUE_OUT" hidden="1">"c18461"</definedName>
    <definedName name="IQ_WAR_TOTAL_NUM_EXER" hidden="1">"c18463"</definedName>
    <definedName name="IQ_WAR_TOTAL_NUM_OUT" hidden="1">"c18459"</definedName>
    <definedName name="IQ_WAR_TOTAL_PLAN_NAME" hidden="1">"c18469"</definedName>
    <definedName name="IQ_WAR_TOTAL_PRICE_HIGH" hidden="1">"c18456"</definedName>
    <definedName name="IQ_WAR_TOTAL_PRICE_LOW" hidden="1">"c18455"</definedName>
    <definedName name="IQ_WAR_TOTAL_PRICE_RANGE" hidden="1">"c18457"</definedName>
    <definedName name="IQ_WAR_TOTAL_WTD_LIFE_EXER" hidden="1">"c18464"</definedName>
    <definedName name="IQ_WAR_TOTAL_WTD_LIFE_OUT" hidden="1">"c18460"</definedName>
    <definedName name="IQ_WAR_TOTAL_WTD_PRICE_EXER" hidden="1">"c18462"</definedName>
    <definedName name="IQ_WAR_TOTAL_WTD_PRICE_OUT" hidden="1">"c18458"</definedName>
    <definedName name="IQ_WAR_TRANCHE_AGG_INT_VALUE_EXER" hidden="1">"c18454"</definedName>
    <definedName name="IQ_WAR_TRANCHE_AGG_INT_VALUE_OUT" hidden="1">"c18450"</definedName>
    <definedName name="IQ_WAR_TRANCHE_CLASS_NAME" hidden="1">"c18443"</definedName>
    <definedName name="IQ_WAR_TRANCHE_NUM_EXER" hidden="1">"c18452"</definedName>
    <definedName name="IQ_WAR_TRANCHE_NUM_OUT" hidden="1">"c18448"</definedName>
    <definedName name="IQ_WAR_TRANCHE_PLAN_NAME" hidden="1">"c18442"</definedName>
    <definedName name="IQ_WAR_TRANCHE_PLAN_RANK" hidden="1">"c18468"</definedName>
    <definedName name="IQ_WAR_TRANCHE_PRICE_HIGH" hidden="1">"c18445"</definedName>
    <definedName name="IQ_WAR_TRANCHE_PRICE_LOW" hidden="1">"c18444"</definedName>
    <definedName name="IQ_WAR_TRANCHE_PRICE_RANGE" hidden="1">"c18446"</definedName>
    <definedName name="IQ_WAR_TRANCHE_WTD_LIFE_EXER" hidden="1">"c18453"</definedName>
    <definedName name="IQ_WAR_TRANCHE_WTD_LIFE_OUT" hidden="1">"c18449"</definedName>
    <definedName name="IQ_WAR_TRANCHE_WTD_PRICE_EXER" hidden="1">"c18451"</definedName>
    <definedName name="IQ_WAR_TRANCHE_WTD_PRICE_OUT" hidden="1">"c18447"</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IGHTED_AVG_PRICE" hidden="1">"c1334"</definedName>
    <definedName name="IQ_WHOLESALE_INV_ALCOHOL" hidden="1">"c21105"</definedName>
    <definedName name="IQ_WHOLESALE_INV_APPAREL" hidden="1">"c21106"</definedName>
    <definedName name="IQ_WHOLESALE_INV_CHEMICALS" hidden="1">"c21107"</definedName>
    <definedName name="IQ_WHOLESALE_INV_COMPUTER" hidden="1">"c21108"</definedName>
    <definedName name="IQ_WHOLESALE_INV_DRUGS" hidden="1">"c21109"</definedName>
    <definedName name="IQ_WHOLESALE_INV_DUR" hidden="1">"c21110"</definedName>
    <definedName name="IQ_WHOLESALE_INV_DUR_MISC" hidden="1">"c21111"</definedName>
    <definedName name="IQ_WHOLESALE_INV_ELECTRIC" hidden="1">"c21112"</definedName>
    <definedName name="IQ_WHOLESALE_INV_EQUIP" hidden="1">"c21113"</definedName>
    <definedName name="IQ_WHOLESALE_INV_FARM_PRODUCT" hidden="1">"c21114"</definedName>
    <definedName name="IQ_WHOLESALE_INV_FURNITURE" hidden="1">"c21115"</definedName>
    <definedName name="IQ_WHOLESALE_INV_GROCERIES" hidden="1">"c21116"</definedName>
    <definedName name="IQ_WHOLESALE_INV_HARDWARE" hidden="1">"c21117"</definedName>
    <definedName name="IQ_WHOLESALE_INV_LUMBER" hidden="1">"c21118"</definedName>
    <definedName name="IQ_WHOLESALE_INV_MACHINERY" hidden="1">"c21119"</definedName>
    <definedName name="IQ_WHOLESALE_INV_METALS_MINERALS" hidden="1">"c21120"</definedName>
    <definedName name="IQ_WHOLESALE_INV_MOTOR_VEHICLE" hidden="1">"c21121"</definedName>
    <definedName name="IQ_WHOLESALE_INV_NONDUR" hidden="1">"c21122"</definedName>
    <definedName name="IQ_WHOLESALE_INV_NONDUR_MISC" hidden="1">"c21123"</definedName>
    <definedName name="IQ_WHOLESALE_INV_PAPER" hidden="1">"c21124"</definedName>
    <definedName name="IQ_WHOLESALE_INV_PETROLEUM" hidden="1">"c21125"</definedName>
    <definedName name="IQ_WHOLESALE_INV_SALES_RATIO_ALCOHOL" hidden="1">"c21126"</definedName>
    <definedName name="IQ_WHOLESALE_INV_SALES_RATIO_APPAREL" hidden="1">"c21127"</definedName>
    <definedName name="IQ_WHOLESALE_INV_SALES_RATIO_CHEMICALS" hidden="1">"c21128"</definedName>
    <definedName name="IQ_WHOLESALE_INV_SALES_RATIO_COMPUTER" hidden="1">"c21129"</definedName>
    <definedName name="IQ_WHOLESALE_INV_SALES_RATIO_DRUGS" hidden="1">"c21130"</definedName>
    <definedName name="IQ_WHOLESALE_INV_SALES_RATIO_DUR" hidden="1">"c21131"</definedName>
    <definedName name="IQ_WHOLESALE_INV_SALES_RATIO_DUR_MISC" hidden="1">"c21132"</definedName>
    <definedName name="IQ_WHOLESALE_INV_SALES_RATIO_ELECTRIC" hidden="1">"c21133"</definedName>
    <definedName name="IQ_WHOLESALE_INV_SALES_RATIO_EQUIP" hidden="1">"c21134"</definedName>
    <definedName name="IQ_WHOLESALE_INV_SALES_RATIO_FARM_PRODUCT" hidden="1">"c21135"</definedName>
    <definedName name="IQ_WHOLESALE_INV_SALES_RATIO_FURNITURE" hidden="1">"c21136"</definedName>
    <definedName name="IQ_WHOLESALE_INV_SALES_RATIO_GROCERIES" hidden="1">"c21137"</definedName>
    <definedName name="IQ_WHOLESALE_INV_SALES_RATIO_HARDWARE" hidden="1">"c21138"</definedName>
    <definedName name="IQ_WHOLESALE_INV_SALES_RATIO_LUMBER" hidden="1">"c21139"</definedName>
    <definedName name="IQ_WHOLESALE_INV_SALES_RATIO_MACHINERY" hidden="1">"c21140"</definedName>
    <definedName name="IQ_WHOLESALE_INV_SALES_RATIO_METALS_MINERALS" hidden="1">"c21141"</definedName>
    <definedName name="IQ_WHOLESALE_INV_SALES_RATIO_MOTOR_VEHICLE" hidden="1">"c21142"</definedName>
    <definedName name="IQ_WHOLESALE_INV_SALES_RATIO_NONDUR" hidden="1">"c21143"</definedName>
    <definedName name="IQ_WHOLESALE_INV_SALES_RATIO_NONDUR_MISC" hidden="1">"c21144"</definedName>
    <definedName name="IQ_WHOLESALE_INV_SALES_RATIO_PAPER" hidden="1">"c21145"</definedName>
    <definedName name="IQ_WHOLESALE_INV_SALES_RATIO_PETROLEUM" hidden="1">"c21146"</definedName>
    <definedName name="IQ_WHOLESALE_INV_SALES_RATIO_TOTAL" hidden="1">"c21147"</definedName>
    <definedName name="IQ_WHOLESALE_INV_TOTAL" hidden="1">"c21148"</definedName>
    <definedName name="IQ_WHOLESALE_INVENTORIES" hidden="1">"c7027"</definedName>
    <definedName name="IQ_WHOLESALE_INVENTORIES_APR" hidden="1">"c7687"</definedName>
    <definedName name="IQ_WHOLESALE_INVENTORIES_APR_FC" hidden="1">"c8567"</definedName>
    <definedName name="IQ_WHOLESALE_INVENTORIES_FC" hidden="1">"c7907"</definedName>
    <definedName name="IQ_WHOLESALE_INVENTORIES_POP" hidden="1">"c7247"</definedName>
    <definedName name="IQ_WHOLESALE_INVENTORIES_POP_FC" hidden="1">"c8127"</definedName>
    <definedName name="IQ_WHOLESALE_INVENTORIES_YOY" hidden="1">"c7467"</definedName>
    <definedName name="IQ_WHOLESALE_INVENTORIES_YOY_FC" hidden="1">"c8347"</definedName>
    <definedName name="IQ_WHOLESALE_IS_RATIO" hidden="1">"c7026"</definedName>
    <definedName name="IQ_WHOLESALE_IS_RATIO_FC" hidden="1">"c7906"</definedName>
    <definedName name="IQ_WHOLESALE_IS_RATIO_POP" hidden="1">"c7246"</definedName>
    <definedName name="IQ_WHOLESALE_IS_RATIO_POP_FC" hidden="1">"c8126"</definedName>
    <definedName name="IQ_WHOLESALE_IS_RATIO_YOY" hidden="1">"c7466"</definedName>
    <definedName name="IQ_WHOLESALE_IS_RATIO_YOY_FC" hidden="1">"c8346"</definedName>
    <definedName name="IQ_WHOLESALE_SALES" hidden="1">"c7028"</definedName>
    <definedName name="IQ_WHOLESALE_SALES_ALCOHOL" hidden="1">"c21149"</definedName>
    <definedName name="IQ_WHOLESALE_SALES_APPAREL" hidden="1">"c21150"</definedName>
    <definedName name="IQ_WHOLESALE_SALES_APR" hidden="1">"c7688"</definedName>
    <definedName name="IQ_WHOLESALE_SALES_APR_FC" hidden="1">"c8568"</definedName>
    <definedName name="IQ_WHOLESALE_SALES_CHEMICALS" hidden="1">"c21151"</definedName>
    <definedName name="IQ_WHOLESALE_SALES_COMPUTER" hidden="1">"c21152"</definedName>
    <definedName name="IQ_WHOLESALE_SALES_DRUGS" hidden="1">"c21153"</definedName>
    <definedName name="IQ_WHOLESALE_SALES_DUR" hidden="1">"c21154"</definedName>
    <definedName name="IQ_WHOLESALE_SALES_DUR_MISC" hidden="1">"c21155"</definedName>
    <definedName name="IQ_WHOLESALE_SALES_ELECTRIC" hidden="1">"c21156"</definedName>
    <definedName name="IQ_WHOLESALE_SALES_EQUIP" hidden="1">"c21157"</definedName>
    <definedName name="IQ_WHOLESALE_SALES_FARM_PRODUCT" hidden="1">"c21158"</definedName>
    <definedName name="IQ_WHOLESALE_SALES_FC" hidden="1">"c7908"</definedName>
    <definedName name="IQ_WHOLESALE_SALES_FURNITURE" hidden="1">"c21159"</definedName>
    <definedName name="IQ_WHOLESALE_SALES_GROCERIES" hidden="1">"c21160"</definedName>
    <definedName name="IQ_WHOLESALE_SALES_HARDWARE" hidden="1">"c21161"</definedName>
    <definedName name="IQ_WHOLESALE_SALES_INDEX" hidden="1">"c7029"</definedName>
    <definedName name="IQ_WHOLESALE_SALES_INDEX_APR" hidden="1">"c7689"</definedName>
    <definedName name="IQ_WHOLESALE_SALES_INDEX_APR_FC" hidden="1">"c8569"</definedName>
    <definedName name="IQ_WHOLESALE_SALES_INDEX_FC" hidden="1">"c7909"</definedName>
    <definedName name="IQ_WHOLESALE_SALES_INDEX_POP" hidden="1">"c7249"</definedName>
    <definedName name="IQ_WHOLESALE_SALES_INDEX_POP_FC" hidden="1">"c8129"</definedName>
    <definedName name="IQ_WHOLESALE_SALES_INDEX_YOY" hidden="1">"c7469"</definedName>
    <definedName name="IQ_WHOLESALE_SALES_INDEX_YOY_FC" hidden="1">"c8349"</definedName>
    <definedName name="IQ_WHOLESALE_SALES_LUMBER" hidden="1">"c21162"</definedName>
    <definedName name="IQ_WHOLESALE_SALES_MACHINERY" hidden="1">"c21163"</definedName>
    <definedName name="IQ_WHOLESALE_SALES_METALS_MINERALS" hidden="1">"c21164"</definedName>
    <definedName name="IQ_WHOLESALE_SALES_MOTOR_VEHICLE" hidden="1">"c21165"</definedName>
    <definedName name="IQ_WHOLESALE_SALES_NONDUR" hidden="1">"c21166"</definedName>
    <definedName name="IQ_WHOLESALE_SALES_NONDUR_MISC" hidden="1">"c21167"</definedName>
    <definedName name="IQ_WHOLESALE_SALES_PAPER" hidden="1">"c21168"</definedName>
    <definedName name="IQ_WHOLESALE_SALES_PETROLEUM" hidden="1">"c21169"</definedName>
    <definedName name="IQ_WHOLESALE_SALES_POP" hidden="1">"c7248"</definedName>
    <definedName name="IQ_WHOLESALE_SALES_POP_FC" hidden="1">"c8128"</definedName>
    <definedName name="IQ_WHOLESALE_SALES_TOTAL" hidden="1">"c21170"</definedName>
    <definedName name="IQ_WHOLESALE_SALES_YOY" hidden="1">"c7468"</definedName>
    <definedName name="IQ_WHOLESALE_SALES_YOY_FC" hidden="1">"c8348"</definedName>
    <definedName name="IQ_WIP_INV" hidden="1">"c1335"</definedName>
    <definedName name="IQ_WIRELESS_PENETRATION" hidden="1">"c15767"</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WTD_AVG_IR_AFTER_FIVE" hidden="1">"c15700"</definedName>
    <definedName name="IQ_WTD_AVG_IR_CY" hidden="1">"c15695"</definedName>
    <definedName name="IQ_WTD_AVG_IR_CY1" hidden="1">"c15696"</definedName>
    <definedName name="IQ_WTD_AVG_IR_CY2" hidden="1">"c15697"</definedName>
    <definedName name="IQ_WTD_AVG_IR_CY3" hidden="1">"c15698"</definedName>
    <definedName name="IQ_WTD_AVG_IR_CY4" hidden="1">"c15699"</definedName>
    <definedName name="IQ_WTD_AVG_IR_LT_DEBT" hidden="1">"c15693"</definedName>
    <definedName name="IQ_WTD_AVG_IR_TOTAL_DEBT" hidden="1">"c15694"</definedName>
    <definedName name="IQ_XDIV_DATE" hidden="1">"c2203"</definedName>
    <definedName name="IQ_XDIV_DATE_LIST" hidden="1">"c17416"</definedName>
    <definedName name="IQ_YEAR_FOUNDED" hidden="1">"c6793"</definedName>
    <definedName name="IQ_YEARHIGH" hidden="1">"c1337"</definedName>
    <definedName name="IQ_YEARHIGH_DATE" hidden="1">"c2250"</definedName>
    <definedName name="IQ_YEARHIGH_RT" hidden="1">"YEARHIGH"</definedName>
    <definedName name="IQ_YEARLOW" hidden="1">"c1338"</definedName>
    <definedName name="IQ_YEARLOW_DATE" hidden="1">"c2251"</definedName>
    <definedName name="IQ_YEARLOW_RT" hidden="1">"YEARLOW"</definedName>
    <definedName name="IQ_YIELD_CURVE_LIST" hidden="1">"c19250"</definedName>
    <definedName name="IQ_YIELD_FED_FUNDS_SOLD_FFIEC" hidden="1">"c13487"</definedName>
    <definedName name="IQ_YIELD_TRADING_ASSETS_FFIEC" hidden="1">"c13488"</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_ZERO_COUPON_DEBT" hidden="1">"c17896"</definedName>
    <definedName name="IQ_ZERO_COUPON_DEBT_PCT" hidden="1">"c18010"</definedName>
    <definedName name="IQB" hidden="1">#REF!</definedName>
    <definedName name="IQB_BOOKMARK_COUNT" hidden="1">1</definedName>
    <definedName name="IQB_BOOKMARK_LOCATION_0" hidden="1">#REF!</definedName>
    <definedName name="IQRCurrencyJ24" hidden="1">#REF!</definedName>
    <definedName name="IQREPOCI174" hidden="1">#REF!</definedName>
    <definedName name="IQREPOCI9" hidden="1">#REF!</definedName>
    <definedName name="IQRL3" hidden="1">"$L$4:$L$8"</definedName>
    <definedName name="IQRMDASB119" hidden="1">#REF!</definedName>
    <definedName name="IQRMDASI174" hidden="1">#REF!</definedName>
    <definedName name="IQRMDASI3" hidden="1">#REF!</definedName>
    <definedName name="IQRMDASI9" hidden="1">#REF!</definedName>
    <definedName name="IQRMDRXB119" hidden="1">#REF!</definedName>
    <definedName name="IQRMDRXI174" hidden="1">#REF!</definedName>
    <definedName name="IQRMDRXI3" hidden="1">#REF!</definedName>
    <definedName name="IQRMDRXI9" hidden="1">#REF!</definedName>
    <definedName name="IQRMEDWI174" hidden="1">#REF!</definedName>
    <definedName name="IQRMEDWI3" hidden="1">#REF!</definedName>
    <definedName name="IQRMEDWI9" hidden="1">#REF!</definedName>
    <definedName name="IQRMRGEB119" hidden="1">#REF!</definedName>
    <definedName name="IQRMRGEI174" hidden="1">#REF!</definedName>
    <definedName name="IQRMRGEI3" hidden="1">#REF!</definedName>
    <definedName name="IQRMRGEI9" hidden="1">#REF!</definedName>
    <definedName name="IQROMCLI174" hidden="1">#REF!</definedName>
    <definedName name="IQROMCLI3" hidden="1">#REF!</definedName>
    <definedName name="IQROMCLI9" hidden="1">#REF!</definedName>
    <definedName name="IQRQSIII174" hidden="1">#REF!</definedName>
    <definedName name="IQRQSIII9" hidden="1">#REF!</definedName>
    <definedName name="IQRS3" hidden="1">"$S$4:$S$8"</definedName>
    <definedName name="iQShowHideColumns" hidden="1">"iQShowQuarterlyAnnual"</definedName>
    <definedName name="iruyt" localSheetId="7" hidden="1">{"AnnInc",#N/A,TRUE,"Inc";"QtrInc1",#N/A,TRUE,"Inc";"Balance",#N/A,TRUE,"Bal";"Cflow",#N/A,TRUE,"Cash"}</definedName>
    <definedName name="iruyt" hidden="1">{"AnnInc",#N/A,TRUE,"Inc";"QtrInc1",#N/A,TRUE,"Inc";"Balance",#N/A,TRUE,"Bal";"Cflow",#N/A,TRUE,"Cash"}</definedName>
    <definedName name="IsAssumable" hidden="1">#REF!</definedName>
    <definedName name="IsCoOp" hidden="1">#REF!</definedName>
    <definedName name="istardebt" localSheetId="7" hidden="1">{#N/A,#N/A,FALSE,"DELQ";#N/A,#N/A,FALSE,"REO";#N/A,#N/A,FALSE,"WATCHDSC";#N/A,#N/A,FALSE,"2LOSSMOD";#N/A,#N/A,FALSE,"2LOSS";#N/A,#N/A,FALSE,"DSC";#N/A,#N/A,FALSE,"OPERAT";#N/A,#N/A,FALSE,"ADJUST";#N/A,#N/A,FALSE,"PAIDOFF";#N/A,#N/A,FALSE,"TENANT";#N/A,#N/A,FALSE,"LEASE EXPIRE"}</definedName>
    <definedName name="istardebt" hidden="1">{#N/A,#N/A,FALSE,"DELQ";#N/A,#N/A,FALSE,"REO";#N/A,#N/A,FALSE,"WATCHDSC";#N/A,#N/A,FALSE,"2LOSSMOD";#N/A,#N/A,FALSE,"2LOSS";#N/A,#N/A,FALSE,"DSC";#N/A,#N/A,FALSE,"OPERAT";#N/A,#N/A,FALSE,"ADJUST";#N/A,#N/A,FALSE,"PAIDOFF";#N/A,#N/A,FALSE,"TENANT";#N/A,#N/A,FALSE,"LEASE EXPIRE"}</definedName>
    <definedName name="j" localSheetId="7" hidden="1">{#N/A,#N/A,FALSE,"COVER";#N/A,#N/A,FALSE,"PROFORMA";#N/A,#N/A,FALSE,"Construction CF";#N/A,#N/A,FALSE,"CASHFLOW";#N/A,#N/A,FALSE,"Sale &amp; IRR Analysis";#N/A,#N/A,FALSE,"Amortization Table";#N/A,#N/A,FALSE,"Amortization FEMA";#N/A,#N/A,FALSE,"INCOME"}</definedName>
    <definedName name="j" hidden="1">{#N/A,#N/A,FALSE,"COVER";#N/A,#N/A,FALSE,"PROFORMA";#N/A,#N/A,FALSE,"Construction CF";#N/A,#N/A,FALSE,"CASHFLOW";#N/A,#N/A,FALSE,"Sale &amp; IRR Analysis";#N/A,#N/A,FALSE,"Amortization Table";#N/A,#N/A,FALSE,"Amortization FEMA";#N/A,#N/A,FALSE,"INCOME"}</definedName>
    <definedName name="janpayor" localSheetId="7" hidden="1">{"sort",#N/A,FALSE,"Sheet1"}</definedName>
    <definedName name="janpayor" hidden="1">{"sort",#N/A,FALSE,"Sheet1"}</definedName>
    <definedName name="jfas" localSheetId="7" hidden="1">{"NOPCAPEVA",#N/A,FALSE,"Nopat";"FCFCSTAR",#N/A,FALSE,"FCFVAL";"EVAVL",#N/A,FALSE,"EVAVAL";"LEASE",#N/A,FALSE,"OpLease"}</definedName>
    <definedName name="jfas" hidden="1">{"NOPCAPEVA",#N/A,FALSE,"Nopat";"FCFCSTAR",#N/A,FALSE,"FCFVAL";"EVAVL",#N/A,FALSE,"EVAVAL";"LEASE",#N/A,FALSE,"OpLease"}</definedName>
    <definedName name="jfda" localSheetId="7" hidden="1">{"NOPCAPEVA",#N/A,FALSE,"Nopat";"FCFCSTAR",#N/A,FALSE,"FCFVAL";"EVAVL",#N/A,FALSE,"EVAVAL";"LEASE",#N/A,FALSE,"OpLease"}</definedName>
    <definedName name="jfda" hidden="1">{"NOPCAPEVA",#N/A,FALSE,"Nopat";"FCFCSTAR",#N/A,FALSE,"FCFVAL";"EVAVL",#N/A,FALSE,"EVAVAL";"LEASE",#N/A,FALSE,"OpLease"}</definedName>
    <definedName name="jfie" localSheetId="7" hidden="1">{"NOPCAPEVA",#N/A,FALSE,"Nopat";"FCFCSTAR",#N/A,FALSE,"FCFVAL";"EVAVL",#N/A,FALSE,"EVAVAL";"LEASE",#N/A,FALSE,"OpLease"}</definedName>
    <definedName name="jfie" hidden="1">{"NOPCAPEVA",#N/A,FALSE,"Nopat";"FCFCSTAR",#N/A,FALSE,"FCFVAL";"EVAVL",#N/A,FALSE,"EVAVAL";"LEASE",#N/A,FALSE,"OpLease"}</definedName>
    <definedName name="jgfs" localSheetId="7" hidden="1">{"AnnInc",#N/A,TRUE,"Inc";"QtrInc1",#N/A,TRUE,"Inc";"Balance",#N/A,TRUE,"Bal";"Cflow",#N/A,TRUE,"Cash"}</definedName>
    <definedName name="jgfs" hidden="1">{"AnnInc",#N/A,TRUE,"Inc";"QtrInc1",#N/A,TRUE,"Inc";"Balance",#N/A,TRUE,"Bal";"Cflow",#N/A,TRUE,"Cash"}</definedName>
    <definedName name="jhgjuy" localSheetId="7" hidden="1">{"AnnInc",#N/A,TRUE,"Inc";"QtrInc1",#N/A,TRUE,"Inc";"Balance",#N/A,TRUE,"Bal";"Cflow",#N/A,TRUE,"Cash"}</definedName>
    <definedName name="jhgjuy" hidden="1">{"AnnInc",#N/A,TRUE,"Inc";"QtrInc1",#N/A,TRUE,"Inc";"Balance",#N/A,TRUE,"Bal";"Cflow",#N/A,TRUE,"Cash"}</definedName>
    <definedName name="jj" localSheetId="7" hidden="1">{"Linkages",#N/A,TRUE,"Linkages";"Finassum",#N/A,TRUE,"Linkages";"insto_returns",#N/A,TRUE,"Insto Returns";"BAA",#N/A,TRUE,"BAA Returns";"impact_fin",#N/A,TRUE,"Impact on BAA";"ratios",#N/A,TRUE,"Key Ratios";"annual_data",#N/A,TRUE,"Annual Data"}</definedName>
    <definedName name="jj" hidden="1">{"Linkages",#N/A,TRUE,"Linkages";"Finassum",#N/A,TRUE,"Linkages";"insto_returns",#N/A,TRUE,"Insto Returns";"BAA",#N/A,TRUE,"BAA Returns";"impact_fin",#N/A,TRUE,"Impact on BAA";"ratios",#N/A,TRUE,"Key Ratios";"annual_data",#N/A,TRUE,"Annual Data"}</definedName>
    <definedName name="jjj" hidden="1">#REF!</definedName>
    <definedName name="jjjjj" hidden="1">#REF!</definedName>
    <definedName name="jjlj" localSheetId="7" hidden="1">{"scheduleB",#N/A,FALSE,"CTT_CLO"}</definedName>
    <definedName name="jjlj" hidden="1">{"scheduleB",#N/A,FALSE,"CTT_CLO"}</definedName>
    <definedName name="jlkj" localSheetId="7" hidden="1">{#N/A,#N/A,TRUE,"XL Cash Flow";#N/A,#N/A,TRUE,"Prop Valuation";#N/A,#N/A,TRUE,"Equity";#N/A,#N/A,TRUE,"Modeling assumptions";#N/A,#N/A,TRUE,"NER Model";#N/A,#N/A,TRUE,"Lease Exp";#N/A,#N/A,TRUE,"Inc &amp; Exp";#N/A,#N/A,TRUE,"Formatted - roll";#N/A,#N/A,TRUE,"Debt Model";#N/A,#N/A,TRUE,"Debt-Moody";#N/A,#N/A,TRUE,"Debt"}</definedName>
    <definedName name="jlkj" hidden="1">{#N/A,#N/A,TRUE,"XL Cash Flow";#N/A,#N/A,TRUE,"Prop Valuation";#N/A,#N/A,TRUE,"Equity";#N/A,#N/A,TRUE,"Modeling assumptions";#N/A,#N/A,TRUE,"NER Model";#N/A,#N/A,TRUE,"Lease Exp";#N/A,#N/A,TRUE,"Inc &amp; Exp";#N/A,#N/A,TRUE,"Formatted - roll";#N/A,#N/A,TRUE,"Debt Model";#N/A,#N/A,TRUE,"Debt-Moody";#N/A,#N/A,TRUE,"Debt"}</definedName>
    <definedName name="jo" localSheetId="7" hidden="1">{#N/A,#N/A,FALSE,"Calculator"}</definedName>
    <definedName name="jo" hidden="1">{#N/A,#N/A,FALSE,"Calculator"}</definedName>
    <definedName name="jo1a" localSheetId="7" hidden="1">{#N/A,#N/A,FALSE,"Calculator"}</definedName>
    <definedName name="jo1a" hidden="1">{#N/A,#N/A,FALSE,"Calculator"}</definedName>
    <definedName name="joa" localSheetId="7" hidden="1">{#N/A,#N/A,FALSE,"Calculator"}</definedName>
    <definedName name="joa" hidden="1">{#N/A,#N/A,FALSE,"Calculator"}</definedName>
    <definedName name="jop" localSheetId="7" hidden="1">{#N/A,#N/A,FALSE,"Calculator"}</definedName>
    <definedName name="jop" hidden="1">{#N/A,#N/A,FALSE,"Calculator"}</definedName>
    <definedName name="jopa" localSheetId="7" hidden="1">{#N/A,#N/A,FALSE,"Calculator"}</definedName>
    <definedName name="jopa" hidden="1">{#N/A,#N/A,FALSE,"Calculator"}</definedName>
    <definedName name="jpeg" localSheetId="7" hidden="1">{"'Assump'!$F$6:$J$6"}</definedName>
    <definedName name="jpeg" hidden="1">{"'Assump'!$F$6:$J$6"}</definedName>
    <definedName name="jrd" localSheetId="7" hidden="1">{"NOPCAPEVA",#N/A,FALSE,"Nopat";"FCFCSTAR",#N/A,FALSE,"FCFVAL";"EVAVL",#N/A,FALSE,"EVAVAL";"LEASE",#N/A,FALSE,"OpLease"}</definedName>
    <definedName name="jrd" hidden="1">{"NOPCAPEVA",#N/A,FALSE,"Nopat";"FCFCSTAR",#N/A,FALSE,"FCFVAL";"EVAVL",#N/A,FALSE,"EVAVAL";"LEASE",#N/A,FALSE,"OpLease"}</definedName>
    <definedName name="jsr" localSheetId="7" hidden="1">{"NOPCAPEVA",#N/A,FALSE,"Nopat";"FCFCSTAR",#N/A,FALSE,"FCFVAL";"EVAVL",#N/A,FALSE,"EVAVAL";"LEASE",#N/A,FALSE,"OpLease"}</definedName>
    <definedName name="jsr" hidden="1">{"NOPCAPEVA",#N/A,FALSE,"Nopat";"FCFCSTAR",#N/A,FALSE,"FCFVAL";"EVAVL",#N/A,FALSE,"EVAVAL";"LEASE",#N/A,FALSE,"OpLease"}</definedName>
    <definedName name="jumk" localSheetId="7" hidden="1">{"Linkages",#N/A,TRUE,"Linkages";"Finassum",#N/A,TRUE,"Linkages";"insto_returns",#N/A,TRUE,"Insto Returns";"BAA",#N/A,TRUE,"BAA Returns";"impact_fin",#N/A,TRUE,"Impact on BAA";"ratios",#N/A,TRUE,"Key Ratios";"annual_data",#N/A,TRUE,"Annual Data"}</definedName>
    <definedName name="jumk" hidden="1">{"Linkages",#N/A,TRUE,"Linkages";"Finassum",#N/A,TRUE,"Linkages";"insto_returns",#N/A,TRUE,"Insto Returns";"BAA",#N/A,TRUE,"BAA Returns";"impact_fin",#N/A,TRUE,"Impact on BAA";"ratios",#N/A,TRUE,"Key Ratios";"annual_data",#N/A,TRUE,"Annual Data"}</definedName>
    <definedName name="JUNK" localSheetId="7" hidden="1">{"SCHEDULE",#N/A,FALSE,"Fin_sched"}</definedName>
    <definedName name="JUNK" hidden="1">{"SCHEDULE",#N/A,FALSE,"Fin_sched"}</definedName>
    <definedName name="Junk_condo" localSheetId="7" hidden="1">{"SCHEDULE",#N/A,FALSE,"Fin_sched"}</definedName>
    <definedName name="Junk_condo" hidden="1">{"SCHEDULE",#N/A,FALSE,"Fin_sched"}</definedName>
    <definedName name="JUNK2" localSheetId="7" hidden="1">{"SUMMARY",#N/A,FALSE,"Fin_sched"}</definedName>
    <definedName name="JUNK2" hidden="1">{"SUMMARY",#N/A,FALSE,"Fin_sched"}</definedName>
    <definedName name="jut" localSheetId="7" hidden="1">{"NOPCAPEVA",#N/A,FALSE,"Nopat";"FCFCSTAR",#N/A,FALSE,"FCFVAL";"EVAVL",#N/A,FALSE,"EVAVAL";"LEASE",#N/A,FALSE,"OpLease"}</definedName>
    <definedName name="jut" hidden="1">{"NOPCAPEVA",#N/A,FALSE,"Nopat";"FCFCSTAR",#N/A,FALSE,"FCFVAL";"EVAVL",#N/A,FALSE,"EVAVAL";"LEASE",#N/A,FALSE,"OpLease"}</definedName>
    <definedName name="JVClosingDate" localSheetId="20">#REF!</definedName>
    <definedName name="JVClosingDate" localSheetId="7">#REF!</definedName>
    <definedName name="JVClosingDate">'General Inputs'!$C$28</definedName>
    <definedName name="jyte" localSheetId="7" hidden="1">{"NOPCAPEVA",#N/A,FALSE,"Nopat";"FCFCSTAR",#N/A,FALSE,"FCFVAL";"EVAVL",#N/A,FALSE,"EVAVAL";"LEASE",#N/A,FALSE,"OpLease"}</definedName>
    <definedName name="jyte" hidden="1">{"NOPCAPEVA",#N/A,FALSE,"Nopat";"FCFCSTAR",#N/A,FALSE,"FCFVAL";"EVAVL",#N/A,FALSE,"EVAVAL";"LEASE",#N/A,FALSE,"OpLease"}</definedName>
    <definedName name="jz" hidden="1">#REF!</definedName>
    <definedName name="k" localSheetId="7" hidden="1">{#N/A,#N/A,TRUE,"COVER";#N/A,#N/A,TRUE,"PROFORMA";#N/A,#N/A,TRUE,"Construction CF";#N/A,#N/A,TRUE,"CASHFLOW"}</definedName>
    <definedName name="k" hidden="1">{#N/A,#N/A,TRUE,"COVER";#N/A,#N/A,TRUE,"PROFORMA";#N/A,#N/A,TRUE,"Construction CF";#N/A,#N/A,TRUE,"CASHFLOW"}</definedName>
    <definedName name="K2_WBEVMODE" hidden="1">-1</definedName>
    <definedName name="kah" hidden="1">#REF!</definedName>
    <definedName name="Kasse" localSheetId="7" hidden="1">{"Kontenverteilung",#N/A,FALSE,"H A Ü"}</definedName>
    <definedName name="Kasse" hidden="1">{"Kontenverteilung",#N/A,FALSE,"H A Ü"}</definedName>
    <definedName name="kdfnalsfnlsdkfnlkasdnf" localSheetId="7" hidden="1">{#N/A,#N/A,FALSE,"United Summary";#N/A,#N/A,FALSE,"United Main";#N/A,#N/A,FALSE,"United Open";#N/A,#N/A,FALSE,"PPSL Summary";#N/A,#N/A,FALSE,"PPSL Main";#N/A,#N/A,FALSE,"PPSL Open";#N/A,#N/A,FALSE,"PPSL TradingYr1";#N/A,#N/A,FALSE,"PPSL TradingYr2";#N/A,#N/A,FALSE,"PPSL TradingYr3";#N/A,#N/A,FALSE,"Anchor Summary";#N/A,#N/A,FALSE,"Anchor Main";#N/A,#N/A,FALSE,"Anchor Open";#N/A,#N/A,FALSE,"Anchor TradingYr1";#N/A,#N/A,FALSE,"Anchor Trading Yr2";#N/A,#N/A,FALSE,"Anchor Trading Yr3"}</definedName>
    <definedName name="kdfnalsfnlsdkfnlkasdnf" hidden="1">{#N/A,#N/A,FALSE,"United Summary";#N/A,#N/A,FALSE,"United Main";#N/A,#N/A,FALSE,"United Open";#N/A,#N/A,FALSE,"PPSL Summary";#N/A,#N/A,FALSE,"PPSL Main";#N/A,#N/A,FALSE,"PPSL Open";#N/A,#N/A,FALSE,"PPSL TradingYr1";#N/A,#N/A,FALSE,"PPSL TradingYr2";#N/A,#N/A,FALSE,"PPSL TradingYr3";#N/A,#N/A,FALSE,"Anchor Summary";#N/A,#N/A,FALSE,"Anchor Main";#N/A,#N/A,FALSE,"Anchor Open";#N/A,#N/A,FALSE,"Anchor TradingYr1";#N/A,#N/A,FALSE,"Anchor Trading Yr2";#N/A,#N/A,FALSE,"Anchor Trading Yr3"}</definedName>
    <definedName name="Keybank" hidden="1">#REF!</definedName>
    <definedName name="KeyPrincipal1" hidden="1">#REF!</definedName>
    <definedName name="KeyPrincipal2" hidden="1">#REF!</definedName>
    <definedName name="kfhg" localSheetId="7" hidden="1">{"NOPCAPEVA",#N/A,FALSE,"Nopat";"FCFCSTAR",#N/A,FALSE,"FCFVAL";"EVAVL",#N/A,FALSE,"EVAVAL";"LEASE",#N/A,FALSE,"OpLease"}</definedName>
    <definedName name="kfhg" hidden="1">{"NOPCAPEVA",#N/A,FALSE,"Nopat";"FCFCSTAR",#N/A,FALSE,"FCFVAL";"EVAVL",#N/A,FALSE,"EVAVAL";"LEASE",#N/A,FALSE,"OpLease"}</definedName>
    <definedName name="khj" localSheetId="7" hidden="1">{"NOPCAPEVA",#N/A,FALSE,"Nopat";"FCFCSTAR",#N/A,FALSE,"FCFVAL";"EVAVL",#N/A,FALSE,"EVAVAL";"LEASE",#N/A,FALSE,"OpLease"}</definedName>
    <definedName name="khj" hidden="1">{"NOPCAPEVA",#N/A,FALSE,"Nopat";"FCFCSTAR",#N/A,FALSE,"FCFVAL";"EVAVL",#N/A,FALSE,"EVAVAL";"LEASE",#N/A,FALSE,"OpLease"}</definedName>
    <definedName name="kiut" localSheetId="7" hidden="1">{"AnnInc",#N/A,TRUE,"Inc";"QtrInc1",#N/A,TRUE,"Inc";"Balance",#N/A,TRUE,"Bal";"Cflow",#N/A,TRUE,"Cash"}</definedName>
    <definedName name="kiut" hidden="1">{"AnnInc",#N/A,TRUE,"Inc";"QtrInc1",#N/A,TRUE,"Inc";"Balance",#N/A,TRUE,"Bal";"Cflow",#N/A,TRUE,"Cash"}</definedName>
    <definedName name="kiuu" localSheetId="7" hidden="1">{"AnnInc",#N/A,TRUE,"Inc";"QtrInc1",#N/A,TRUE,"Inc";"Balance",#N/A,TRUE,"Bal";"Cflow",#N/A,TRUE,"Cash"}</definedName>
    <definedName name="kiuu" hidden="1">{"AnnInc",#N/A,TRUE,"Inc";"QtrInc1",#N/A,TRUE,"Inc";"Balance",#N/A,TRUE,"Bal";"Cflow",#N/A,TRUE,"Cash"}</definedName>
    <definedName name="kj" localSheetId="7" hidden="1">{"CASHFLOW",#N/A,FALSE,"Northpointe"}</definedName>
    <definedName name="kj" hidden="1">{"CASHFLOW",#N/A,FALSE,"Northpointe"}</definedName>
    <definedName name="kjh" localSheetId="7" hidden="1">{"NOPCAPEVA",#N/A,FALSE,"Nopat";"FCFCSTAR",#N/A,FALSE,"FCFVAL";"EVAVL",#N/A,FALSE,"EVAVAL";"LEASE",#N/A,FALSE,"OpLease"}</definedName>
    <definedName name="kjh" hidden="1">{"NOPCAPEVA",#N/A,FALSE,"Nopat";"FCFCSTAR",#N/A,FALSE,"FCFVAL";"EVAVL",#N/A,FALSE,"EVAVAL";"LEASE",#N/A,FALSE,"OpLease"}</definedName>
    <definedName name="kjj" localSheetId="7" hidden="1">binary</definedName>
    <definedName name="kjj" hidden="1">binary</definedName>
    <definedName name="kjjjjkjhk" localSheetId="7" hidden="1">{"sheet a",#N/A,FALSE,"A";"sheet b 1",#N/A,FALSE,"B";"sheet b 2",#N/A,FALSE,"B"}</definedName>
    <definedName name="kjjjjkjhk" hidden="1">{"sheet a",#N/A,FALSE,"A";"sheet b 1",#N/A,FALSE,"B";"sheet b 2",#N/A,FALSE,"B"}</definedName>
    <definedName name="kk" localSheetId="7" hidden="1">{#N/A,#N/A,FALSE,"CAPREIT"}</definedName>
    <definedName name="kk" hidden="1">{#N/A,#N/A,FALSE,"CAPREIT"}</definedName>
    <definedName name="kkk" localSheetId="7" hidden="1">{#N/A,#N/A,FALSE,"B_Spread"}</definedName>
    <definedName name="kkk" hidden="1">{#N/A,#N/A,FALSE,"B_Spread"}</definedName>
    <definedName name="kl" hidden="1">#REF!</definedName>
    <definedName name="kokokokokeifwjo" localSheetId="7" hidden="1">{#N/A,#N/A,FALSE,"United Summary";#N/A,#N/A,FALSE,"United Main";#N/A,#N/A,FALSE,"United Open"}</definedName>
    <definedName name="kokokokokeifwjo" hidden="1">{#N/A,#N/A,FALSE,"United Summary";#N/A,#N/A,FALSE,"United Main";#N/A,#N/A,FALSE,"United Open"}</definedName>
    <definedName name="Konzern1" localSheetId="7" hidden="1">{#N/A,#N/A,FALSE,"Actual";#N/A,#N/A,FALSE,"Management Report 2";#N/A,#N/A,FALSE,"Management Report 3";#N/A,#N/A,FALSE,"Ergebnis";#N/A,#N/A,FALSE,"Summary";#N/A,#N/A,FALSE,"Konrzern";#N/A,#N/A,FALSE,"Abweichung Budget-Actuell"}</definedName>
    <definedName name="Konzern1" hidden="1">{#N/A,#N/A,FALSE,"Actual";#N/A,#N/A,FALSE,"Management Report 2";#N/A,#N/A,FALSE,"Management Report 3";#N/A,#N/A,FALSE,"Ergebnis";#N/A,#N/A,FALSE,"Summary";#N/A,#N/A,FALSE,"Konrzern";#N/A,#N/A,FALSE,"Abweichung Budget-Actuell"}</definedName>
    <definedName name="KP1Address" hidden="1">#REF!</definedName>
    <definedName name="KP1CashFlow" hidden="1">#REF!</definedName>
    <definedName name="KP1City" hidden="1">#REF!</definedName>
    <definedName name="KP1FICO" hidden="1">#REF!</definedName>
    <definedName name="KP1NetWorth" hidden="1">#REF!</definedName>
    <definedName name="KP1State" hidden="1">#REF!</definedName>
    <definedName name="KP1TaxID" hidden="1">#REF!</definedName>
    <definedName name="KP1TotalCash" hidden="1">#REF!</definedName>
    <definedName name="KP1UnitsOwned" hidden="1">#REF!</definedName>
    <definedName name="KP1Zip" hidden="1">#REF!</definedName>
    <definedName name="KP2Address" hidden="1">#REF!</definedName>
    <definedName name="KP2CashFlow" hidden="1">#REF!</definedName>
    <definedName name="KP2City" hidden="1">#REF!</definedName>
    <definedName name="KP2FICO" hidden="1">#REF!</definedName>
    <definedName name="KP2NetWorth" hidden="1">#REF!</definedName>
    <definedName name="KP2State" hidden="1">#REF!</definedName>
    <definedName name="KP2TaxID" hidden="1">#REF!</definedName>
    <definedName name="KP2TotalCash" hidden="1">#REF!</definedName>
    <definedName name="KP2UnitsOwned" hidden="1">#REF!</definedName>
    <definedName name="KP2Zip" hidden="1">#REF!</definedName>
    <definedName name="ktf" localSheetId="7" hidden="1">{"NOPCAPEVA",#N/A,FALSE,"Nopat";"FCFCSTAR",#N/A,FALSE,"FCFVAL";"EVAVL",#N/A,FALSE,"EVAVAL";"LEASE",#N/A,FALSE,"OpLease"}</definedName>
    <definedName name="ktf" hidden="1">{"NOPCAPEVA",#N/A,FALSE,"Nopat";"FCFCSTAR",#N/A,FALSE,"FCFVAL";"EVAVL",#N/A,FALSE,"EVAVAL";"LEASE",#N/A,FALSE,"OpLease"}</definedName>
    <definedName name="ky" hidden="1">#REF!</definedName>
    <definedName name="kyd.ChngCell.01." hidden="1">#REF!</definedName>
    <definedName name="kyd.CounterLimitCell.01." hidden="1">"x"</definedName>
    <definedName name="kyd.Dim.01." hidden="1">"tm1serv:company"</definedName>
    <definedName name="kyd.ElementList.01." hidden="1">#REF!</definedName>
    <definedName name="kyd.ElementType.01." hidden="1">1</definedName>
    <definedName name="kyd.ItemType.01." hidden="1">2</definedName>
    <definedName name="kyd.MacroAtEnd." hidden="1">""</definedName>
    <definedName name="kyd.MacroEachCycle." hidden="1">""</definedName>
    <definedName name="kyd.MacroEndOfEachCycle." hidden="1">""</definedName>
    <definedName name="kyd.NumLevels.01." hidden="1">999</definedName>
    <definedName name="kyd.PanicStop." hidden="1">FALSE</definedName>
    <definedName name="kyd.ParentName.01." hidden="1">""</definedName>
    <definedName name="kyd.PreScreenData." hidden="1">FALSE</definedName>
    <definedName name="kyd.PrintParent.01." hidden="1">TRUE</definedName>
    <definedName name="kyd.PrintStdWhen." hidden="1">1</definedName>
    <definedName name="kyd.SaveAsFile." hidden="1">FALSE</definedName>
    <definedName name="kyd.SelectString.01." hidden="1">"*"</definedName>
    <definedName name="kyd.StdSortHide." hidden="1">FALSE</definedName>
    <definedName name="kyg" localSheetId="7" hidden="1">{"NOPCAPEVA",#N/A,FALSE,"Nopat";"FCFCSTAR",#N/A,FALSE,"FCFVAL";"EVAVL",#N/A,FALSE,"EVAVAL";"LEASE",#N/A,FALSE,"OpLease"}</definedName>
    <definedName name="kyg" hidden="1">{"NOPCAPEVA",#N/A,FALSE,"Nopat";"FCFCSTAR",#N/A,FALSE,"FCFVAL";"EVAVL",#N/A,FALSE,"EVAVAL";"LEASE",#N/A,FALSE,"OpLease"}</definedName>
    <definedName name="kyle" localSheetId="7" hidden="1">{"CASHFLOW",#N/A,FALSE,"Northpointe"}</definedName>
    <definedName name="kyle" hidden="1">{"CASHFLOW",#N/A,FALSE,"Northpointe"}</definedName>
    <definedName name="l" localSheetId="7" hidden="1">{#N/A,#N/A,FALSE,"Matrix";#N/A,#N/A,FALSE,"Cash Flow";#N/A,#N/A,FALSE,"10 Year Cost Analysis"}</definedName>
    <definedName name="l" hidden="1">{#N/A,#N/A,FALSE,"Matrix";#N/A,#N/A,FALSE,"Cash Flow";#N/A,#N/A,FALSE,"10 Year Cost Analysis"}</definedName>
    <definedName name="ladd" hidden="1">#REF!</definedName>
    <definedName name="laj" localSheetId="7" hidden="1">{"Outflow 1",#N/A,FALSE,"Outflows-Inflows";"Outflow 2",#N/A,FALSE,"Outflows-Inflows";"Inflow 1",#N/A,FALSE,"Outflows-Inflows";"Inflow 2",#N/A,FALSE,"Outflows-Inflows"}</definedName>
    <definedName name="laj" hidden="1">{"Outflow 1",#N/A,FALSE,"Outflows-Inflows";"Outflow 2",#N/A,FALSE,"Outflows-Inflows";"Inflow 1",#N/A,FALSE,"Outflows-Inflows";"Inflow 2",#N/A,FALSE,"Outflows-Inflows"}</definedName>
    <definedName name="LandAcqDate" localSheetId="20">#REF!</definedName>
    <definedName name="LandAcqDate" localSheetId="7">#REF!</definedName>
    <definedName name="LandAcqDate">'General Inputs'!$C$29</definedName>
    <definedName name="LandClosingDate" localSheetId="20">#REF!</definedName>
    <definedName name="LandClosingDate" localSheetId="7">#REF!</definedName>
    <definedName name="LandClosingDate">'General Inputs'!$C$29</definedName>
    <definedName name="landcost">#REF!</definedName>
    <definedName name="LandPrice" localSheetId="20">#REF!</definedName>
    <definedName name="LandPrice" localSheetId="7">#REF!</definedName>
    <definedName name="LandPrice">'Development Inputs'!$E$88</definedName>
    <definedName name="lank" hidden="1">#REF!</definedName>
    <definedName name="Last_Row" localSheetId="8">IF(DCPush!Values_Entered,Header_Row+DCPush!Number_of_Payments,Header_Row)</definedName>
    <definedName name="Last_Row" localSheetId="20">IF('Module Builder'!Values_Entered,Header_Row+'Module Builder'!Number_of_Payments,Header_Row)</definedName>
    <definedName name="Last_Row" localSheetId="7">IF('TPG Summary'!Values_Entered,Header_Row+'TPG Summary'!Number_of_Payments,Header_Row)</definedName>
    <definedName name="Last_Row">IF(Values_Entered,Header_Row+Number_of_Payments,Header_Row)</definedName>
    <definedName name="LateFeeRate" hidden="1">#REF!</definedName>
    <definedName name="Law_Account" hidden="1">#REF!</definedName>
    <definedName name="Law_Account_Subaccount" hidden="1">#REF!</definedName>
    <definedName name="Law_Accounting_Unit" hidden="1">#REF!</definedName>
    <definedName name="Law_Company" hidden="1">#REF!</definedName>
    <definedName name="Lennar1">#REF!</definedName>
    <definedName name="Lennar2">#REF!</definedName>
    <definedName name="Lennar3">#REF!</definedName>
    <definedName name="Lennar4">#REF!</definedName>
    <definedName name="lennar5">#REF!</definedName>
    <definedName name="lennarAddl">#REF!</definedName>
    <definedName name="LienPosition" hidden="1">#REF!</definedName>
    <definedName name="lih" localSheetId="7" hidden="1">{"NOPCAPEVA",#N/A,FALSE,"Nopat";"FCFCSTAR",#N/A,FALSE,"FCFVAL";"EVAVL",#N/A,FALSE,"EVAVAL";"LEASE",#N/A,FALSE,"OpLease"}</definedName>
    <definedName name="lih" hidden="1">{"NOPCAPEVA",#N/A,FALSE,"Nopat";"FCFCSTAR",#N/A,FALSE,"FCFVAL";"EVAVL",#N/A,FALSE,"EVAVAL";"LEASE",#N/A,FALSE,"OpLease"}</definedName>
    <definedName name="limcount" hidden="1">1</definedName>
    <definedName name="Links" hidden="1">#REF!</definedName>
    <definedName name="ListOffset" hidden="1">1</definedName>
    <definedName name="ll" localSheetId="7" hidden="1">{"Construction Costs",#N/A,FALSE,"Budget";"Income Statement",#N/A,FALSE,"Budget"}</definedName>
    <definedName name="ll" hidden="1">{"Construction Costs",#N/A,FALSE,"Budget";"Income Statement",#N/A,FALSE,"Budget"}</definedName>
    <definedName name="lll" localSheetId="7" hidden="1">{"Outflow 1",#N/A,FALSE,"Outflows-Inflows";"Outflow 2",#N/A,FALSE,"Outflows-Inflows";"Inflow 1",#N/A,FALSE,"Outflows-Inflows";"Inflow 2",#N/A,FALSE,"Outflows-Inflows"}</definedName>
    <definedName name="lll" hidden="1">{"Outflow 1",#N/A,FALSE,"Outflows-Inflows";"Outflow 2",#N/A,FALSE,"Outflows-Inflows";"Inflow 1",#N/A,FALSE,"Outflows-Inflows";"Inflow 2",#N/A,FALSE,"Outflows-Inflows"}</definedName>
    <definedName name="lllll" localSheetId="7" hidden="1">{"sheet a",#N/A,FALSE,"A";"sheet b 1",#N/A,FALSE,"B";"sheet b 2",#N/A,FALSE,"B"}</definedName>
    <definedName name="lllll" hidden="1">{"sheet a",#N/A,FALSE,"A";"sheet b 1",#N/A,FALSE,"B";"sheet b 2",#N/A,FALSE,"B"}</definedName>
    <definedName name="LOC" hidden="1">#REF!</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tion">#REF!</definedName>
    <definedName name="loi" localSheetId="7" hidden="1">{"AnnInc",#N/A,TRUE,"Inc";"QtrInc1",#N/A,TRUE,"Inc";"Balance",#N/A,TRUE,"Bal";"Cflow",#N/A,TRUE,"Cash"}</definedName>
    <definedName name="loi" hidden="1">{"AnnInc",#N/A,TRUE,"Inc";"QtrInc1",#N/A,TRUE,"Inc";"Balance",#N/A,TRUE,"Bal";"Cflow",#N/A,TRUE,"Cash"}</definedName>
    <definedName name="loiuy" localSheetId="7" hidden="1">{"AnnInc",#N/A,TRUE,"Inc";"QtrInc1",#N/A,TRUE,"Inc";"Balance",#N/A,TRUE,"Bal";"Cflow",#N/A,TRUE,"Cash"}</definedName>
    <definedName name="loiuy" hidden="1">{"AnnInc",#N/A,TRUE,"Inc";"QtrInc1",#N/A,TRUE,"Inc";"Balance",#N/A,TRUE,"Bal";"Cflow",#N/A,TRUE,"Cash"}</definedName>
    <definedName name="lopez" localSheetId="7" hidden="1">{#N/A,#N/A,FALSE,"RENT ROLL"}</definedName>
    <definedName name="lopez" hidden="1">{#N/A,#N/A,FALSE,"RENT ROLL"}</definedName>
    <definedName name="lou" localSheetId="7" hidden="1">{"AnnInc",#N/A,TRUE,"Inc";"QtrInc1",#N/A,TRUE,"Inc";"Balance",#N/A,TRUE,"Bal";"Cflow",#N/A,TRUE,"Cash"}</definedName>
    <definedName name="lou" hidden="1">{"AnnInc",#N/A,TRUE,"Inc";"QtrInc1",#N/A,TRUE,"Inc";"Balance",#N/A,TRUE,"Bal";"Cflow",#N/A,TRUE,"Cash"}</definedName>
    <definedName name="Louvers" localSheetId="7" hidden="1">{#N/A,#N/A,TRUE,"Ericsson Stadium PCD ";#N/A,#N/A,TRUE,"Ericsson Stadium IOR"}</definedName>
    <definedName name="Louvers" hidden="1">{#N/A,#N/A,TRUE,"Ericsson Stadium PCD ";#N/A,#N/A,TRUE,"Ericsson Stadium IOR"}</definedName>
    <definedName name="Louversa" localSheetId="7" hidden="1">{#N/A,#N/A,TRUE,"Ericsson Stadium PCD ";#N/A,#N/A,TRUE,"Ericsson Stadium IOR"}</definedName>
    <definedName name="Louversa" hidden="1">{#N/A,#N/A,TRUE,"Ericsson Stadium PCD ";#N/A,#N/A,TRUE,"Ericsson Stadium IOR"}</definedName>
    <definedName name="LowAndModerateIncomeTenants" hidden="1">#REF!</definedName>
    <definedName name="LTC">#REF!</definedName>
    <definedName name="Lws_FormVersion_6.1" hidden="1">#REF!</definedName>
    <definedName name="Lws_SSType_Columns" hidden="1">#REF!</definedName>
    <definedName name="M_PlaceofPath" hidden="1">"F:\DANDERS\COMPANY\MAR\MAR_VDF.xls"</definedName>
    <definedName name="MaintenanceMth">#REF!</definedName>
    <definedName name="Management">'Operating Inputs'!$F$127</definedName>
    <definedName name="ManagementCoAddress" hidden="1">#REF!</definedName>
    <definedName name="ManagementCoCity" hidden="1">#REF!</definedName>
    <definedName name="ManagementCoExperience" hidden="1">#REF!</definedName>
    <definedName name="ManagementCoExpWithSubject" hidden="1">#REF!</definedName>
    <definedName name="ManagementCompany" hidden="1">#REF!</definedName>
    <definedName name="ManagementCoPhone" hidden="1">#REF!</definedName>
    <definedName name="ManagementCoState" hidden="1">#REF!</definedName>
    <definedName name="ManagementCoUnitsManaged" hidden="1">#REF!</definedName>
    <definedName name="ManagementCoZip" hidden="1">#REF!</definedName>
    <definedName name="ManagmentFeePct" localSheetId="7">#REF!</definedName>
    <definedName name="ManagmentFeePct">'Operating Inputs'!$H$184</definedName>
    <definedName name="mark" localSheetId="7" hidden="1">{#N/A,#N/A,FALSE,"2Assumptions";#N/A,#N/A,FALSE,"3Cash Flow";#N/A,#N/A,FALSE,"I&amp;E";#N/A,#N/A,FALSE,"I&amp;E (2)";#N/A,#N/A,FALSE,"10Vacancy Matrix";#N/A,#N/A,FALSE,"11Expiration Schedule"}</definedName>
    <definedName name="mark" hidden="1">{#N/A,#N/A,FALSE,"2Assumptions";#N/A,#N/A,FALSE,"3Cash Flow";#N/A,#N/A,FALSE,"I&amp;E";#N/A,#N/A,FALSE,"I&amp;E (2)";#N/A,#N/A,FALSE,"10Vacancy Matrix";#N/A,#N/A,FALSE,"11Expiration Schedule"}</definedName>
    <definedName name="MarketBaseRent" localSheetId="20">#REF!</definedName>
    <definedName name="MarketBaseRent" localSheetId="7">#REF!</definedName>
    <definedName name="MarketBaseRent">'Operating Inputs'!$H$53</definedName>
    <definedName name="Marketing" localSheetId="20">#REF!</definedName>
    <definedName name="Marketing" localSheetId="7">#REF!</definedName>
    <definedName name="Marketing">'Operating Inputs'!$F$118</definedName>
    <definedName name="MarketingMth">#REF!</definedName>
    <definedName name="MarketNRSF" localSheetId="20">#REF!</definedName>
    <definedName name="MarketNRSF" localSheetId="7">#REF!</definedName>
    <definedName name="MarketNRSF">'Operating Inputs'!$J$53</definedName>
    <definedName name="MarketRateUnits" localSheetId="20">#REF!</definedName>
    <definedName name="MarketRateUnits" localSheetId="7">#REF!</definedName>
    <definedName name="MarketRateUnits">'Operating Inputs'!$E$53</definedName>
    <definedName name="MarketUnitSize" localSheetId="20">#REF!</definedName>
    <definedName name="MarketUnitSize" localSheetId="7">#REF!</definedName>
    <definedName name="MarketUnitSize">'Operating Inputs'!$G$53</definedName>
    <definedName name="maryann" localSheetId="7" hidden="1">{#N/A,#N/A,FALSE,"RENT ROLL"}</definedName>
    <definedName name="maryann" hidden="1">{#N/A,#N/A,FALSE,"RENT ROLL"}</definedName>
    <definedName name="matrix" localSheetId="7" hidden="1">{#N/A,#N/A,FALSE,"1Summary";#N/A,#N/A,FALSE,"2Assumptions";#N/A,#N/A,FALSE,"3Cash Flow";#N/A,#N/A,FALSE,"4Return of Investment Chart";#N/A,#N/A,FALSE,"5Year 1 Reconciliation";#N/A,#N/A,FALSE,"6Residual";#N/A,#N/A,FALSE,"7Pricing Matrix";#N/A,#N/A,FALSE,"8Vacancy Matrix";#N/A,#N/A,FALSE,"9Vacancy Chart";#N/A,#N/A,FALSE,"AExpiration Schedule";#N/A,#N/A,FALSE,"BExpiration Chart";#N/A,#N/A,FALSE,"CLease-up Schedule";#N/A,#N/A,FALSE,"DWeighted Average Calculation"}</definedName>
    <definedName name="matrix" hidden="1">{#N/A,#N/A,FALSE,"1Summary";#N/A,#N/A,FALSE,"2Assumptions";#N/A,#N/A,FALSE,"3Cash Flow";#N/A,#N/A,FALSE,"4Return of Investment Chart";#N/A,#N/A,FALSE,"5Year 1 Reconciliation";#N/A,#N/A,FALSE,"6Residual";#N/A,#N/A,FALSE,"7Pricing Matrix";#N/A,#N/A,FALSE,"8Vacancy Matrix";#N/A,#N/A,FALSE,"9Vacancy Chart";#N/A,#N/A,FALSE,"AExpiration Schedule";#N/A,#N/A,FALSE,"BExpiration Chart";#N/A,#N/A,FALSE,"CLease-up Schedule";#N/A,#N/A,FALSE,"DWeighted Average Calculation"}</definedName>
    <definedName name="MaturityDate" hidden="1">#REF!</definedName>
    <definedName name="mbc" localSheetId="7" hidden="1">{"NOPCAPEVA",#N/A,FALSE,"Nopat";"FCFCSTAR",#N/A,FALSE,"FCFVAL";"EVAVL",#N/A,FALSE,"EVAVAL";"LEASE",#N/A,FALSE,"OpLease"}</definedName>
    <definedName name="mbc" hidden="1">{"NOPCAPEVA",#N/A,FALSE,"Nopat";"FCFCSTAR",#N/A,FALSE,"FCFVAL";"EVAVL",#N/A,FALSE,"EVAVAL";"LEASE",#N/A,FALSE,"OpLease"}</definedName>
    <definedName name="mbvc" localSheetId="7" hidden="1">{"NOPCAPEVA",#N/A,FALSE,"Nopat";"FCFCSTAR",#N/A,FALSE,"FCFVAL";"EVAVL",#N/A,FALSE,"EVAVAL";"LEASE",#N/A,FALSE,"OpLease"}</definedName>
    <definedName name="mbvc" hidden="1">{"NOPCAPEVA",#N/A,FALSE,"Nopat";"FCFCSTAR",#N/A,FALSE,"FCFVAL";"EVAVL",#N/A,FALSE,"EVAVAL";"LEASE",#N/A,FALSE,"OpLease"}</definedName>
    <definedName name="MCUwork1" localSheetId="7" hidden="1">{#N/A,#N/A,TRUE,"Summary";#N/A,#N/A,TRUE,"Program Scheme";#N/A,#N/A,TRUE,"Assumptions";#N/A,#N/A,TRUE,"Development Budget &amp; Timing";#N/A,#N/A,TRUE,"Cash Flow";#N/A,#N/A,TRUE,"Cash Flow to Debt &amp; Equity"}</definedName>
    <definedName name="MCUwork1" hidden="1">{#N/A,#N/A,TRUE,"Summary";#N/A,#N/A,TRUE,"Program Scheme";#N/A,#N/A,TRUE,"Assumptions";#N/A,#N/A,TRUE,"Development Budget &amp; Timing";#N/A,#N/A,TRUE,"Cash Flow";#N/A,#N/A,TRUE,"Cash Flow to Debt &amp; Equity"}</definedName>
    <definedName name="meg" hidden="1">#REF!</definedName>
    <definedName name="memo_description">#REF!</definedName>
    <definedName name="MerrillPrintIt" hidden="1">#REF!</definedName>
    <definedName name="MezzLeverage">#REF!</definedName>
    <definedName name="MezzLoan">#REF!</definedName>
    <definedName name="MezzRate">#REF!</definedName>
    <definedName name="MgmtFeeMth">#REF!</definedName>
    <definedName name="mickey" localSheetId="7" hidden="1">{#N/A,#N/A,FALSE,"RENT ROLL"}</definedName>
    <definedName name="mickey" hidden="1">{#N/A,#N/A,FALSE,"RENT ROLL"}</definedName>
    <definedName name="Millage_Rate">#REF!</definedName>
    <definedName name="MillRate" localSheetId="20">#REF!</definedName>
    <definedName name="MillRate" localSheetId="7">#REF!</definedName>
    <definedName name="MillRate">'Operating Inputs'!$I$172</definedName>
    <definedName name="MiscFeeperMth">#REF!</definedName>
    <definedName name="Models" localSheetId="20">#REF!</definedName>
    <definedName name="Models" localSheetId="7">#REF!</definedName>
    <definedName name="Models">'Operating Inputs'!$D$10</definedName>
    <definedName name="Monkey" localSheetId="7" hidden="1">{#N/A,#N/A,FALSE,"IPO";#N/A,#N/A,FALSE,"DCF";#N/A,#N/A,FALSE,"LBO";#N/A,#N/A,FALSE,"MULT_VAL";#N/A,#N/A,FALSE,"Status Quo";#N/A,#N/A,FALSE,"Recap"}</definedName>
    <definedName name="Monkey" hidden="1">{#N/A,#N/A,FALSE,"IPO";#N/A,#N/A,FALSE,"DCF";#N/A,#N/A,FALSE,"LBO";#N/A,#N/A,FALSE,"MULT_VAL";#N/A,#N/A,FALSE,"Status Quo";#N/A,#N/A,FALSE,"Recap"}</definedName>
    <definedName name="MonthDisposition" localSheetId="20">#REF!</definedName>
    <definedName name="MonthDisposition" localSheetId="7">#REF!</definedName>
    <definedName name="MonthDisposition">'General Inputs'!$D$34</definedName>
    <definedName name="MonthFinalUnits" localSheetId="20">#REF!</definedName>
    <definedName name="MonthFinalUnits" localSheetId="7">#REF!</definedName>
    <definedName name="MonthFinalUnits">'General Inputs'!$D$32</definedName>
    <definedName name="MonthFirstUnits" localSheetId="20">#REF!</definedName>
    <definedName name="MonthFirstUnits" localSheetId="7">#REF!</definedName>
    <definedName name="MonthFirstUnits">'General Inputs'!$D$31</definedName>
    <definedName name="MonthlyMortgagePayment" hidden="1">#REF!</definedName>
    <definedName name="MonthRefi" localSheetId="20">#REF!</definedName>
    <definedName name="MonthRefi" localSheetId="7">#REF!</definedName>
    <definedName name="MonthRefi">'General Inputs'!$N$12</definedName>
    <definedName name="MonthStabilization" localSheetId="20">#REF!</definedName>
    <definedName name="MonthStabilization" localSheetId="7">#REF!</definedName>
    <definedName name="MonthStabilization">'General Inputs'!$D$33</definedName>
    <definedName name="MRG" localSheetId="7" hidden="1">{"INCOME",#N/A,FALSE,"ProNet";"VALUE",#N/A,FALSE,"ProNet"}</definedName>
    <definedName name="MRG" hidden="1">{"INCOME",#N/A,FALSE,"ProNet";"VALUE",#N/A,FALSE,"ProNet"}</definedName>
    <definedName name="MSA_ME" hidden="1">#REF!</definedName>
    <definedName name="MthGrossRent">#REF!</definedName>
    <definedName name="Name">#REF!</definedName>
    <definedName name="Nane2" localSheetId="7" hidden="1">{"TEST1",#N/A,FALSE,"SIMPLIFD"}</definedName>
    <definedName name="Nane2" hidden="1">{"TEST1",#N/A,FALSE,"SIMPLIFD"}</definedName>
    <definedName name="nbmvcmnb" localSheetId="7" hidden="1">{#N/A,#N/A,TRUE,"10 Yr Hold";#N/A,#N/A,TRUE,"7 Yr Hold";#N/A,#N/A,TRUE,"5 Yr Hold";#N/A,#N/A,TRUE,"3 Yr Hold"}</definedName>
    <definedName name="nbmvcmnb" hidden="1">{#N/A,#N/A,TRUE,"10 Yr Hold";#N/A,#N/A,TRUE,"7 Yr Hold";#N/A,#N/A,TRUE,"5 Yr Hold";#N/A,#N/A,TRUE,"3 Yr Hold"}</definedName>
    <definedName name="nbv" localSheetId="7" hidden="1">{"NOPCAPEVA",#N/A,FALSE,"Nopat";"FCFCSTAR",#N/A,FALSE,"FCFVAL";"EVAVL",#N/A,FALSE,"EVAVAL";"LEASE",#N/A,FALSE,"OpLease"}</definedName>
    <definedName name="nbv" hidden="1">{"NOPCAPEVA",#N/A,FALSE,"Nopat";"FCFCSTAR",#N/A,FALSE,"FCFVAL";"EVAVL",#N/A,FALSE,"EVAVAL";"LEASE",#N/A,FALSE,"OpLease"}</definedName>
    <definedName name="nbvs" localSheetId="7" hidden="1">{"NOPCAPEVA",#N/A,FALSE,"Nopat";"FCFCSTAR",#N/A,FALSE,"FCFVAL";"EVAVL",#N/A,FALSE,"EVAVAL";"LEASE",#N/A,FALSE,"OpLease"}</definedName>
    <definedName name="nbvs" hidden="1">{"NOPCAPEVA",#N/A,FALSE,"Nopat";"FCFCSTAR",#N/A,FALSE,"FCFVAL";"EVAVL",#N/A,FALSE,"EVAVAL";"LEASE",#N/A,FALSE,"OpLease"}</definedName>
    <definedName name="nbvxg" localSheetId="7" hidden="1">{"AnnInc",#N/A,TRUE,"Inc";"QtrInc1",#N/A,TRUE,"Inc";"Balance",#N/A,TRUE,"Bal";"Cflow",#N/A,TRUE,"Cash"}</definedName>
    <definedName name="nbvxg" hidden="1">{"AnnInc",#N/A,TRUE,"Inc";"QtrInc1",#N/A,TRUE,"Inc";"Balance",#N/A,TRUE,"Bal";"Cflow",#N/A,TRUE,"Cash"}</definedName>
    <definedName name="newhtml" localSheetId="7" hidden="1">{"'Assump'!$F$6:$J$6"}</definedName>
    <definedName name="newhtml" hidden="1">{"'Assump'!$F$6:$J$6"}</definedName>
    <definedName name="newrange" localSheetId="7" hidden="1">{"Annual Cash Flows",#N/A,FALSE,"Annual Summary"}</definedName>
    <definedName name="newrange" hidden="1">{"Annual Cash Flows",#N/A,FALSE,"Annual Summary"}</definedName>
    <definedName name="ngfd" localSheetId="7" hidden="1">{"AnnInc",#N/A,TRUE,"Inc";"QtrInc1",#N/A,TRUE,"Inc";"Balance",#N/A,TRUE,"Bal";"Cflow",#N/A,TRUE,"Cash"}</definedName>
    <definedName name="ngfd" hidden="1">{"AnnInc",#N/A,TRUE,"Inc";"QtrInc1",#N/A,TRUE,"Inc";"Balance",#N/A,TRUE,"Bal";"Cflow",#N/A,TRUE,"Cash"}</definedName>
    <definedName name="nn" localSheetId="7" hidden="1">{#N/A,#N/A,FALSE,"Cover";#N/A,#N/A,FALSE,"Table";#N/A,#N/A,FALSE,"sec 1";#N/A,#N/A,FALSE,"Summary Schedule";#N/A,#N/A,FALSE,"Sec 2";#N/A,#N/A,FALSE,"Use of Proceeds";#N/A,#N/A,FALSE,"Sec 3";#N/A,#N/A,FALSE,"Yield Cal";#N/A,#N/A,FALSE,"Sec 4";#N/A,#N/A,FALSE,"Qtrly Distributions";#N/A,#N/A,FALSE,"Sec 5";#N/A,#N/A,FALSE,"RATE";#N/A,#N/A,FALSE,"Sec 6";#N/A,#N/A,FALSE,"OPERATIONS";#N/A,#N/A,FALSE,"Sec 7";#N/A,#N/A,FALSE,"Dev. Budget";#N/A,#N/A,FALSE,"Sec 8";#N/A,#N/A,FALSE,"Draw";#N/A,#N/A,FALSE,"Sec 9";#N/A,#N/A,FALSE,"COMPARISON SCHEDULE";#N/A,#N/A,FALSE,"Sec 10";#N/A,#N/A,FALSE,"Investor10";#N/A,#N/A,FALSE,"Sec 11";#N/A,#N/A,FALSE,"10 year a";#N/A,#N/A,FALSE,"Sec 12";#N/A,#N/A,FALSE,"Assum."}</definedName>
    <definedName name="nn" hidden="1">{#N/A,#N/A,FALSE,"Cover";#N/A,#N/A,FALSE,"Table";#N/A,#N/A,FALSE,"sec 1";#N/A,#N/A,FALSE,"Summary Schedule";#N/A,#N/A,FALSE,"Sec 2";#N/A,#N/A,FALSE,"Use of Proceeds";#N/A,#N/A,FALSE,"Sec 3";#N/A,#N/A,FALSE,"Yield Cal";#N/A,#N/A,FALSE,"Sec 4";#N/A,#N/A,FALSE,"Qtrly Distributions";#N/A,#N/A,FALSE,"Sec 5";#N/A,#N/A,FALSE,"RATE";#N/A,#N/A,FALSE,"Sec 6";#N/A,#N/A,FALSE,"OPERATIONS";#N/A,#N/A,FALSE,"Sec 7";#N/A,#N/A,FALSE,"Dev. Budget";#N/A,#N/A,FALSE,"Sec 8";#N/A,#N/A,FALSE,"Draw";#N/A,#N/A,FALSE,"Sec 9";#N/A,#N/A,FALSE,"COMPARISON SCHEDULE";#N/A,#N/A,FALSE,"Sec 10";#N/A,#N/A,FALSE,"Investor10";#N/A,#N/A,FALSE,"Sec 11";#N/A,#N/A,FALSE,"10 year a";#N/A,#N/A,FALSE,"Sec 12";#N/A,#N/A,FALSE,"Assum."}</definedName>
    <definedName name="no" localSheetId="7" hidden="1">{#N/A,#N/A,FALSE,"RENT ROLL"}</definedName>
    <definedName name="no" hidden="1">{#N/A,#N/A,FALSE,"RENT ROLL"}</definedName>
    <definedName name="NONE" localSheetId="6" hidden="1">OFFSET([0]!Data.Top.Left,1,0)</definedName>
    <definedName name="NONE" localSheetId="8" hidden="1">OFFSET([0]!Data.Top.Left,1,0)</definedName>
    <definedName name="NONE" localSheetId="35" hidden="1">OFFSET([0]!Data.Top.Left,1,0)</definedName>
    <definedName name="NONE" localSheetId="9" hidden="1">OFFSET([0]!Data.Top.Left,1,0)</definedName>
    <definedName name="NONE" localSheetId="28" hidden="1">OFFSET([0]!Data.Top.Left,1,0)</definedName>
    <definedName name="NONE" localSheetId="20" hidden="1">OFFSET([0]!Data.Top.Left,1,0)</definedName>
    <definedName name="NONE" localSheetId="43" hidden="1">OFFSET([0]!Data.Top.Left,1,0)</definedName>
    <definedName name="NONE" localSheetId="2" hidden="1">OFFSET([0]!Data.Top.Left,1,0)</definedName>
    <definedName name="NONE" localSheetId="11" hidden="1">OFFSET([0]!Data.Top.Left,1,0)</definedName>
    <definedName name="NONE" localSheetId="7" hidden="1">OFFSET([0]!Data.Top.Left,1,0)</definedName>
    <definedName name="NONE" hidden="1">OFFSET([0]!Data.Top.Left,1,0)</definedName>
    <definedName name="NONE1" localSheetId="8">DATE(YEAR(Loan_Start),MONTH(Loan_Start)+Payment_Number,DAY(Loan_Start))</definedName>
    <definedName name="NONE1" localSheetId="20">DATE(YEAR(Loan_Start),MONTH(Loan_Start)+Payment_Number,DAY(Loan_Start))</definedName>
    <definedName name="NONE1" localSheetId="7">DATE(YEAR(Loan_Start),MONTH(Loan_Start)+Payment_Number,DAY(Loan_Start))</definedName>
    <definedName name="NONE1">DATE(YEAR(Loan_Start),MONTH(Loan_Start)+Payment_Number,DAY(Loan_Start))</definedName>
    <definedName name="NonProfit" hidden="1">#REF!</definedName>
    <definedName name="not" localSheetId="7" hidden="1">{#N/A,#N/A,FALSE,"FRC";#N/A,#N/A,FALSE,"ExecS";#N/A,#N/A,FALSE,"Summary CF";#N/A,#N/A,FALSE,"Detail CF";#N/A,#N/A,FALSE,"CF Assum";#N/A,#N/A,FALSE,"M Summary CF";#N/A,#N/A,FALSE,"M Detail CF";#N/A,#N/A,FALSE,"OSR";#N/A,#N/A,FALSE,"CTSR";#N/A,#N/A,FALSE,"RTSR";#N/A,#N/A,FALSE,"T Revenue";#N/A,#N/A,FALSE,"RP Trans";#N/A,#N/A,FALSE,"RE Taxes";#N/A,#N/A,FALSE,"S &amp; W";#N/A,#N/A,FALSE,"Cap X";#N/A,#N/A,FALSE,"P Bldg Improv"}</definedName>
    <definedName name="not" hidden="1">{#N/A,#N/A,FALSE,"FRC";#N/A,#N/A,FALSE,"ExecS";#N/A,#N/A,FALSE,"Summary CF";#N/A,#N/A,FALSE,"Detail CF";#N/A,#N/A,FALSE,"CF Assum";#N/A,#N/A,FALSE,"M Summary CF";#N/A,#N/A,FALSE,"M Detail CF";#N/A,#N/A,FALSE,"OSR";#N/A,#N/A,FALSE,"CTSR";#N/A,#N/A,FALSE,"RTSR";#N/A,#N/A,FALSE,"T Revenue";#N/A,#N/A,FALSE,"RP Trans";#N/A,#N/A,FALSE,"RE Taxes";#N/A,#N/A,FALSE,"S &amp; W";#N/A,#N/A,FALSE,"Cap X";#N/A,#N/A,FALSE,"P Bldg Improv"}</definedName>
    <definedName name="nothing" localSheetId="7" hidden="1">{"Construction Costs",#N/A,FALSE,"Budget";"Income Statement",#N/A,FALSE,"Budget"}</definedName>
    <definedName name="nothing" hidden="1">{"Construction Costs",#N/A,FALSE,"Budget";"Income Statement",#N/A,FALSE,"Budget"}</definedName>
    <definedName name="NRSF" localSheetId="20">#REF!</definedName>
    <definedName name="NRSF" localSheetId="7">#REF!</definedName>
    <definedName name="NRSF">'Operating Inputs'!$J$45</definedName>
    <definedName name="NRSF2">#REF!</definedName>
    <definedName name="Number_of_Payments" localSheetId="8">MATCH(0.01,End_Bal,-1)+1</definedName>
    <definedName name="Number_of_Payments" localSheetId="20">MATCH(0.01,End_Bal,-1)+1</definedName>
    <definedName name="Number_of_Payments" localSheetId="7">MATCH(0.01,End_Bal,-1)+1</definedName>
    <definedName name="Number_of_Payments">MATCH(0.01,End_Bal,-1)+1</definedName>
    <definedName name="nvbfg" localSheetId="7" hidden="1">{"NOPCAPEVA",#N/A,FALSE,"Nopat";"FCFCSTAR",#N/A,FALSE,"FCFVAL";"EVAVL",#N/A,FALSE,"EVAVAL";"LEASE",#N/A,FALSE,"OpLease"}</definedName>
    <definedName name="nvbfg" hidden="1">{"NOPCAPEVA",#N/A,FALSE,"Nopat";"FCFCSTAR",#N/A,FALSE,"FCFVAL";"EVAVL",#N/A,FALSE,"EVAVAL";"LEASE",#N/A,FALSE,"OpLease"}</definedName>
    <definedName name="NvsEndTime">36465.4707604167</definedName>
    <definedName name="nvxc" localSheetId="7" hidden="1">{"NOPCAPEVA",#N/A,FALSE,"Nopat";"FCFCSTAR",#N/A,FALSE,"FCFVAL";"EVAVL",#N/A,FALSE,"EVAVAL";"LEASE",#N/A,FALSE,"OpLease"}</definedName>
    <definedName name="nvxc" hidden="1">{"NOPCAPEVA",#N/A,FALSE,"Nopat";"FCFCSTAR",#N/A,FALSE,"FCFVAL";"EVAVL",#N/A,FALSE,"EVAVAL";"LEASE",#N/A,FALSE,"OpLease"}</definedName>
    <definedName name="OccupancyRestrictions" hidden="1">#REF!</definedName>
    <definedName name="oekdfqpfkopqfkpkf" localSheetId="7" hidden="1">{#N/A,#N/A,FALSE,"PPSL TradingYr1";#N/A,#N/A,FALSE,"PPSL TradingYr2";#N/A,#N/A,FALSE,"PPSL TradingYr3"}</definedName>
    <definedName name="oekdfqpfkopqfkpkf" hidden="1">{#N/A,#N/A,FALSE,"PPSL TradingYr1";#N/A,#N/A,FALSE,"PPSL TradingYr2";#N/A,#N/A,FALSE,"PPSL TradingYr3"}</definedName>
    <definedName name="offices" localSheetId="7" hidden="1">{"Construction Costs",#N/A,FALSE,"Budget";"Income Statement",#N/A,FALSE,"Budget"}</definedName>
    <definedName name="offices" hidden="1">{"Construction Costs",#N/A,FALSE,"Budget";"Income Statement",#N/A,FALSE,"Budget"}</definedName>
    <definedName name="ofojojpjpjpojojj" localSheetId="7" hidden="1">{#N/A,#N/A,FALSE,"Anchor TradingYr1";#N/A,#N/A,FALSE,"Anchor Trading Yr2";#N/A,#N/A,FALSE,"Anchor Trading Yr3"}</definedName>
    <definedName name="ofojojpjpjpojojj" hidden="1">{#N/A,#N/A,FALSE,"Anchor TradingYr1";#N/A,#N/A,FALSE,"Anchor Trading Yr2";#N/A,#N/A,FALSE,"Anchor Trading Yr3"}</definedName>
    <definedName name="ok" localSheetId="7" hidden="1">{"Construction Costs",#N/A,FALSE,"Budget";"Income Statement",#N/A,FALSE,"Budget"}</definedName>
    <definedName name="ok" hidden="1">{"Construction Costs",#N/A,FALSE,"Budget";"Income Statement",#N/A,FALSE,"Budget"}</definedName>
    <definedName name="okaosdkoaskdpasdkpadkp" localSheetId="7" hidden="1">{#N/A,#N/A,FALSE,"PPSL Open";#N/A,#N/A,FALSE,"PPSL Summary";#N/A,#N/A,FALSE,"PPSL Main";#N/A,#N/A,FALSE,"PPSL TradingYr1";#N/A,#N/A,FALSE,"PPSL TradingYr2";#N/A,#N/A,FALSE,"PPSL TradingYr3"}</definedName>
    <definedName name="okaosdkoaskdpasdkpadkp" hidden="1">{#N/A,#N/A,FALSE,"PPSL Open";#N/A,#N/A,FALSE,"PPSL Summary";#N/A,#N/A,FALSE,"PPSL Main";#N/A,#N/A,FALSE,"PPSL TradingYr1";#N/A,#N/A,FALSE,"PPSL TradingYr2";#N/A,#N/A,FALSE,"PPSL TradingYr3"}</definedName>
    <definedName name="okdoakdoakdpkapsdkp" localSheetId="7" hidden="1">{#N/A,#N/A,FALSE,"Cov Test Annual";#N/A,#N/A,FALSE,"Cov Inputs"}</definedName>
    <definedName name="okdoakdoakdpkapsdkp" hidden="1">{#N/A,#N/A,FALSE,"Cov Test Annual";#N/A,#N/A,FALSE,"Cov Inputs"}</definedName>
    <definedName name="okoko" localSheetId="7" hidden="1">{#N/A,#N/A,FALSE,"Taxation"}</definedName>
    <definedName name="okoko" hidden="1">{#N/A,#N/A,FALSE,"Taxation"}</definedName>
    <definedName name="okokokok" localSheetId="7" hidden="1">{#N/A,#N/A,FALSE,"United Summary";#N/A,#N/A,FALSE,"United Main";#N/A,#N/A,FALSE,"United Open";#N/A,#N/A,FALSE,"PPSL Summary";#N/A,#N/A,FALSE,"PPSL Main";#N/A,#N/A,FALSE,"PPSL Open";#N/A,#N/A,FALSE,"PPSL TradingYr1";#N/A,#N/A,FALSE,"PPSL TradingYr2";#N/A,#N/A,FALSE,"PPSL TradingYr3";#N/A,#N/A,FALSE,"Anchor Summary";#N/A,#N/A,FALSE,"Anchor Main";#N/A,#N/A,FALSE,"Anchor Open";#N/A,#N/A,FALSE,"Anchor TradingYr1";#N/A,#N/A,FALSE,"Anchor Trading Yr2";#N/A,#N/A,FALSE,"Anchor Trading Yr3";#N/A,#N/A,FALSE,"Cov Test Annual";#N/A,#N/A,FALSE,"Cov Inputs"}</definedName>
    <definedName name="okokokok" hidden="1">{#N/A,#N/A,FALSE,"United Summary";#N/A,#N/A,FALSE,"United Main";#N/A,#N/A,FALSE,"United Open";#N/A,#N/A,FALSE,"PPSL Summary";#N/A,#N/A,FALSE,"PPSL Main";#N/A,#N/A,FALSE,"PPSL Open";#N/A,#N/A,FALSE,"PPSL TradingYr1";#N/A,#N/A,FALSE,"PPSL TradingYr2";#N/A,#N/A,FALSE,"PPSL TradingYr3";#N/A,#N/A,FALSE,"Anchor Summary";#N/A,#N/A,FALSE,"Anchor Main";#N/A,#N/A,FALSE,"Anchor Open";#N/A,#N/A,FALSE,"Anchor TradingYr1";#N/A,#N/A,FALSE,"Anchor Trading Yr2";#N/A,#N/A,FALSE,"Anchor Trading Yr3";#N/A,#N/A,FALSE,"Cov Test Annual";#N/A,#N/A,FALSE,"Cov Inputs"}</definedName>
    <definedName name="okokokokokokoadoasdk" localSheetId="7" hidden="1">{#N/A,#N/A,FALSE,"Capex Summary";#N/A,#N/A,FALSE,"Capex";#N/A,#N/A,FALSE,"Repayt Summary";#N/A,#N/A,FALSE,"Repayments";#N/A,#N/A,FALSE,"Repayt Split"}</definedName>
    <definedName name="okokokokokokoadoasdk" hidden="1">{#N/A,#N/A,FALSE,"Capex Summary";#N/A,#N/A,FALSE,"Capex";#N/A,#N/A,FALSE,"Repayt Summary";#N/A,#N/A,FALSE,"Repayments";#N/A,#N/A,FALSE,"Repayt Split"}</definedName>
    <definedName name="OLDFOUR" hidden="1">OFFSET([0]!Data.Top.Left,1,0)</definedName>
    <definedName name="oldhtl" localSheetId="7" hidden="1">{"'Assump'!$F$6:$J$6"}</definedName>
    <definedName name="oldhtl" hidden="1">{"'Assump'!$F$6:$J$6"}</definedName>
    <definedName name="OLDSEVEN" hidden="1">OFFSET([0]!Data.Top.Left,1,0)</definedName>
    <definedName name="Oldtable" hidden="1">#REF!</definedName>
    <definedName name="oldtable1" hidden="1">#REF!</definedName>
    <definedName name="OLDTWO" hidden="1">OFFSET([0]!Data.Top.Left,1,0)</definedName>
    <definedName name="Omega" localSheetId="7" hidden="1">{"One",#N/A,FALSE,"Crossings";"Two",#N/A,FALSE,"Crossings";"Three",#N/A,FALSE,"Crossings";"Fous",#N/A,FALSE,"Crossings";"Five",#N/A,FALSE,"Crossings"}</definedName>
    <definedName name="Omega" hidden="1">{"One",#N/A,FALSE,"Crossings";"Two",#N/A,FALSE,"Crossings";"Three",#N/A,FALSE,"Crossings";"Fous",#N/A,FALSE,"Crossings";"Five",#N/A,FALSE,"Crossings"}</definedName>
    <definedName name="oo" hidden="1">#REF!</definedName>
    <definedName name="Order2" hidden="1">255</definedName>
    <definedName name="oss" localSheetId="7" hidden="1">{"Monthly 1999 Stats",#N/A,FALSE,"Months";"Monthly 1999 IS",#N/A,FALSE,"Months"}</definedName>
    <definedName name="oss" hidden="1">{"Monthly 1999 Stats",#N/A,FALSE,"Months";"Monthly 1999 IS",#N/A,FALSE,"Months"}</definedName>
    <definedName name="other.income." localSheetId="7" hidden="1">{#N/A,#N/A,FALSE,"Exec Sum 10Yr";#N/A,#N/A,FALSE,"Assumptions";#N/A,#N/A,FALSE,"Operating Stmts";#N/A,#N/A,FALSE,"Year One Pro Forma";#N/A,#N/A,FALSE,"Rent Roll Summary";#N/A,#N/A,FALSE,"Market Rent Detail";#N/A,#N/A,FALSE,"Effective Rental Income Detail";#N/A,#N/A,FALSE,"Cash Flow Projections";#N/A,#N/A,FALSE,"Net Residual Value"}</definedName>
    <definedName name="other.income." hidden="1">{#N/A,#N/A,FALSE,"Exec Sum 10Yr";#N/A,#N/A,FALSE,"Assumptions";#N/A,#N/A,FALSE,"Operating Stmts";#N/A,#N/A,FALSE,"Year One Pro Forma";#N/A,#N/A,FALSE,"Rent Roll Summary";#N/A,#N/A,FALSE,"Market Rent Detail";#N/A,#N/A,FALSE,"Effective Rental Income Detail";#N/A,#N/A,FALSE,"Cash Flow Projections";#N/A,#N/A,FALSE,"Net Residual Value"}</definedName>
    <definedName name="other.whatever." localSheetId="7" hidden="1">{#N/A,#N/A,FALSE,"Pricing Matrix";#N/A,#N/A,FALSE,"Assumptions";#N/A,#N/A,FALSE,"Year One Pro Forma";#N/A,#N/A,FALSE,"Operating Stmts";#N/A,#N/A,FALSE,"Cash Flow Projections";#N/A,#N/A,FALSE,"Rent Roll Summary";#N/A,#N/A,FALSE,"Market Rent Detail";#N/A,#N/A,FALSE,"Effective Rental Income Detail"}</definedName>
    <definedName name="other.whatever." hidden="1">{#N/A,#N/A,FALSE,"Pricing Matrix";#N/A,#N/A,FALSE,"Assumptions";#N/A,#N/A,FALSE,"Year One Pro Forma";#N/A,#N/A,FALSE,"Operating Stmts";#N/A,#N/A,FALSE,"Cash Flow Projections";#N/A,#N/A,FALSE,"Rent Roll Summary";#N/A,#N/A,FALSE,"Market Rent Detail";#N/A,#N/A,FALSE,"Effective Rental Income Detail"}</definedName>
    <definedName name="OtherControllable" localSheetId="20">#REF!</definedName>
    <definedName name="OtherControllable" localSheetId="7">#REF!</definedName>
    <definedName name="OtherControllable">'Operating Inputs'!$F$122</definedName>
    <definedName name="OtherIncome" localSheetId="20">#REF!</definedName>
    <definedName name="OtherIncome" localSheetId="7">#REF!</definedName>
    <definedName name="OtherIncome">'Operating Inputs'!$H$96</definedName>
    <definedName name="OtherNonControllable" localSheetId="20">#REF!</definedName>
    <definedName name="OtherNonControllable" localSheetId="7">#REF!</definedName>
    <definedName name="OtherNonControllable">'Operating Inputs'!$F$129</definedName>
    <definedName name="OVERALL" localSheetId="7" hidden="1">{#N/A,#N/A,FALSE,"el.det";#N/A,#N/A,FALSE,"mu.det";#N/A,#N/A,FALSE,"ug.det";#N/A,#N/A,FALSE,"ex.det";#N/A,#N/A,FALSE,"lux.det";#N/A,#N/A,FALSE,"custom.lot";#N/A,#N/A,FALSE,"condo.att";#N/A,#N/A,FALSE,"el.att";#N/A,#N/A,FALSE,"mu.att";#N/A,#N/A,FALSE,"ex.att";#N/A,#N/A,FALSE,"lux.att";#N/A,#N/A,FALSE,"all.by.village"}</definedName>
    <definedName name="OVERALL" hidden="1">{#N/A,#N/A,FALSE,"el.det";#N/A,#N/A,FALSE,"mu.det";#N/A,#N/A,FALSE,"ug.det";#N/A,#N/A,FALSE,"ex.det";#N/A,#N/A,FALSE,"lux.det";#N/A,#N/A,FALSE,"custom.lot";#N/A,#N/A,FALSE,"condo.att";#N/A,#N/A,FALSE,"el.att";#N/A,#N/A,FALSE,"mu.att";#N/A,#N/A,FALSE,"ex.att";#N/A,#N/A,FALSE,"lux.att";#N/A,#N/A,FALSE,"all.by.village"}</definedName>
    <definedName name="Ownership" localSheetId="6" hidden="1">OFFSET([0]!Data.Top.Left,1,0)</definedName>
    <definedName name="Ownership" localSheetId="8" hidden="1">OFFSET([0]!Data.Top.Left,1,0)</definedName>
    <definedName name="Ownership" localSheetId="35" hidden="1">OFFSET([0]!Data.Top.Left,1,0)</definedName>
    <definedName name="Ownership" localSheetId="9" hidden="1">OFFSET([0]!Data.Top.Left,1,0)</definedName>
    <definedName name="Ownership" localSheetId="28" hidden="1">OFFSET([0]!Data.Top.Left,1,0)</definedName>
    <definedName name="Ownership" localSheetId="20" hidden="1">OFFSET([0]!Data.Top.Left,1,0)</definedName>
    <definedName name="Ownership" localSheetId="43" hidden="1">OFFSET([0]!Data.Top.Left,1,0)</definedName>
    <definedName name="Ownership" localSheetId="2" hidden="1">OFFSET([0]!Data.Top.Left,1,0)</definedName>
    <definedName name="Ownership" localSheetId="11" hidden="1">OFFSET([0]!Data.Top.Left,1,0)</definedName>
    <definedName name="Ownership" localSheetId="7" hidden="1">OFFSET([0]!Data.Top.Left,1,0)</definedName>
    <definedName name="Ownership" hidden="1">OFFSET([0]!Data.Top.Left,1,0)</definedName>
    <definedName name="p_1" localSheetId="7" hidden="1">{"rtn",#N/A,FALSE,"RTN";"tables",#N/A,FALSE,"RTN";"cf",#N/A,FALSE,"CF";"stats",#N/A,FALSE,"Stats";"prop",#N/A,FALSE,"Prop"}</definedName>
    <definedName name="p_1" hidden="1">{"rtn",#N/A,FALSE,"RTN";"tables",#N/A,FALSE,"RTN";"cf",#N/A,FALSE,"CF";"stats",#N/A,FALSE,"Stats";"prop",#N/A,FALSE,"Prop"}</definedName>
    <definedName name="p_1_1" localSheetId="7" hidden="1">{"rtn",#N/A,FALSE,"RTN";"tables",#N/A,FALSE,"RTN";"cf",#N/A,FALSE,"CF";"stats",#N/A,FALSE,"Stats";"prop",#N/A,FALSE,"Prop"}</definedName>
    <definedName name="p_1_1" hidden="1">{"rtn",#N/A,FALSE,"RTN";"tables",#N/A,FALSE,"RTN";"cf",#N/A,FALSE,"CF";"stats",#N/A,FALSE,"Stats";"prop",#N/A,FALSE,"Prop"}</definedName>
    <definedName name="p_1_1_1" localSheetId="7" hidden="1">{"rtn",#N/A,FALSE,"RTN";"tables",#N/A,FALSE,"RTN";"cf",#N/A,FALSE,"CF";"stats",#N/A,FALSE,"Stats";"prop",#N/A,FALSE,"Prop"}</definedName>
    <definedName name="p_1_1_1" hidden="1">{"rtn",#N/A,FALSE,"RTN";"tables",#N/A,FALSE,"RTN";"cf",#N/A,FALSE,"CF";"stats",#N/A,FALSE,"Stats";"prop",#N/A,FALSE,"Prop"}</definedName>
    <definedName name="p_1_2" localSheetId="7" hidden="1">{"rtn",#N/A,FALSE,"RTN";"tables",#N/A,FALSE,"RTN";"cf",#N/A,FALSE,"CF";"stats",#N/A,FALSE,"Stats";"prop",#N/A,FALSE,"Prop"}</definedName>
    <definedName name="p_1_2" hidden="1">{"rtn",#N/A,FALSE,"RTN";"tables",#N/A,FALSE,"RTN";"cf",#N/A,FALSE,"CF";"stats",#N/A,FALSE,"Stats";"prop",#N/A,FALSE,"Prop"}</definedName>
    <definedName name="p_1_3" localSheetId="7" hidden="1">{"rtn",#N/A,FALSE,"RTN";"tables",#N/A,FALSE,"RTN";"cf",#N/A,FALSE,"CF";"stats",#N/A,FALSE,"Stats";"prop",#N/A,FALSE,"Prop"}</definedName>
    <definedName name="p_1_3" hidden="1">{"rtn",#N/A,FALSE,"RTN";"tables",#N/A,FALSE,"RTN";"cf",#N/A,FALSE,"CF";"stats",#N/A,FALSE,"Stats";"prop",#N/A,FALSE,"Prop"}</definedName>
    <definedName name="p_1_4" localSheetId="7" hidden="1">{"rtn",#N/A,FALSE,"RTN";"tables",#N/A,FALSE,"RTN";"cf",#N/A,FALSE,"CF";"stats",#N/A,FALSE,"Stats";"prop",#N/A,FALSE,"Prop"}</definedName>
    <definedName name="p_1_4" hidden="1">{"rtn",#N/A,FALSE,"RTN";"tables",#N/A,FALSE,"RTN";"cf",#N/A,FALSE,"CF";"stats",#N/A,FALSE,"Stats";"prop",#N/A,FALSE,"Prop"}</definedName>
    <definedName name="p_1_5" localSheetId="7" hidden="1">{"rtn",#N/A,FALSE,"RTN";"tables",#N/A,FALSE,"RTN";"cf",#N/A,FALSE,"CF";"stats",#N/A,FALSE,"Stats";"prop",#N/A,FALSE,"Prop"}</definedName>
    <definedName name="p_1_5" hidden="1">{"rtn",#N/A,FALSE,"RTN";"tables",#N/A,FALSE,"RTN";"cf",#N/A,FALSE,"CF";"stats",#N/A,FALSE,"Stats";"prop",#N/A,FALSE,"Prop"}</definedName>
    <definedName name="p_2" localSheetId="7" hidden="1">{"rtn",#N/A,FALSE,"RTN";"tables",#N/A,FALSE,"RTN";"cf",#N/A,FALSE,"CF";"stats",#N/A,FALSE,"Stats";"prop",#N/A,FALSE,"Prop"}</definedName>
    <definedName name="p_2" hidden="1">{"rtn",#N/A,FALSE,"RTN";"tables",#N/A,FALSE,"RTN";"cf",#N/A,FALSE,"CF";"stats",#N/A,FALSE,"Stats";"prop",#N/A,FALSE,"Prop"}</definedName>
    <definedName name="p_3" localSheetId="7" hidden="1">{"rtn",#N/A,FALSE,"RTN";"tables",#N/A,FALSE,"RTN";"cf",#N/A,FALSE,"CF";"stats",#N/A,FALSE,"Stats";"prop",#N/A,FALSE,"Prop"}</definedName>
    <definedName name="p_3" hidden="1">{"rtn",#N/A,FALSE,"RTN";"tables",#N/A,FALSE,"RTN";"cf",#N/A,FALSE,"CF";"stats",#N/A,FALSE,"Stats";"prop",#N/A,FALSE,"Prop"}</definedName>
    <definedName name="p_4" localSheetId="7" hidden="1">{"rtn",#N/A,FALSE,"RTN";"tables",#N/A,FALSE,"RTN";"cf",#N/A,FALSE,"CF";"stats",#N/A,FALSE,"Stats";"prop",#N/A,FALSE,"Prop"}</definedName>
    <definedName name="p_4" hidden="1">{"rtn",#N/A,FALSE,"RTN";"tables",#N/A,FALSE,"RTN";"cf",#N/A,FALSE,"CF";"stats",#N/A,FALSE,"Stats";"prop",#N/A,FALSE,"Prop"}</definedName>
    <definedName name="p_5" localSheetId="7" hidden="1">{"rtn",#N/A,FALSE,"RTN";"tables",#N/A,FALSE,"RTN";"cf",#N/A,FALSE,"CF";"stats",#N/A,FALSE,"Stats";"prop",#N/A,FALSE,"Prop"}</definedName>
    <definedName name="p_5" hidden="1">{"rtn",#N/A,FALSE,"RTN";"tables",#N/A,FALSE,"RTN";"cf",#N/A,FALSE,"CF";"stats",#N/A,FALSE,"Stats";"prop",#N/A,FALSE,"Prop"}</definedName>
    <definedName name="pac" localSheetId="7" hidden="1">{#N/A,#N/A,FALSE,"Executive Summary";#N/A,#N/A,FALSE,"Assumptions";#N/A,#N/A,FALSE,"Cash Flow";#N/A,#N/A,FALSE,"I&amp;E ";#N/A,#N/A,FALSE,"Occupancy Cost";#N/A,#N/A,FALSE,"Vacancy (Mall)";#N/A,#N/A,FALSE,"Expiration Schedule";#N/A,#N/A,FALSE,"Expiration Graph ";#N/A,#N/A,FALSE,"sales graph";#N/A,#N/A,FALSE,"Vacant rents";#N/A,#N/A,FALSE,"Hist Sales";#N/A,#N/A,FALSE,"Monthly Sales";#N/A,#N/A,FALSE,"Rent Roll"}</definedName>
    <definedName name="pac" hidden="1">{#N/A,#N/A,FALSE,"Executive Summary";#N/A,#N/A,FALSE,"Assumptions";#N/A,#N/A,FALSE,"Cash Flow";#N/A,#N/A,FALSE,"I&amp;E ";#N/A,#N/A,FALSE,"Occupancy Cost";#N/A,#N/A,FALSE,"Vacancy (Mall)";#N/A,#N/A,FALSE,"Expiration Schedule";#N/A,#N/A,FALSE,"Expiration Graph ";#N/A,#N/A,FALSE,"sales graph";#N/A,#N/A,FALSE,"Vacant rents";#N/A,#N/A,FALSE,"Hist Sales";#N/A,#N/A,FALSE,"Monthly Sales";#N/A,#N/A,FALSE,"Rent Roll"}</definedName>
    <definedName name="Param_CumRent" hidden="1">#REF!</definedName>
    <definedName name="Param_CurrentDate" hidden="1">#REF!</definedName>
    <definedName name="Param_DRCredit" hidden="1">#REF!</definedName>
    <definedName name="Param_DRNonCredit" hidden="1">#REF!</definedName>
    <definedName name="Param_IncludeCPI" hidden="1">#REF!</definedName>
    <definedName name="Param_IncludePercentRent" hidden="1">#REF!</definedName>
    <definedName name="Param_IncludePW" hidden="1">#REF!</definedName>
    <definedName name="Param_Inclusion" hidden="1">#REF!</definedName>
    <definedName name="Param_PVAbatement" hidden="1">#REF!</definedName>
    <definedName name="Param_SLAbatement" hidden="1">#REF!</definedName>
    <definedName name="Param_VacMarket" hidden="1">#REF!</definedName>
    <definedName name="Param_VacRenew" hidden="1">#REF!</definedName>
    <definedName name="Param_VacVacate" hidden="1">#REF!</definedName>
    <definedName name="Parking">#REF!</definedName>
    <definedName name="ParkingandStorage" localSheetId="20">#REF!</definedName>
    <definedName name="ParkingandStorage" localSheetId="7">#REF!</definedName>
    <definedName name="ParkingandStorage">'Operating Inputs'!$H$92</definedName>
    <definedName name="ParticipationPercent" hidden="1">#REF!</definedName>
    <definedName name="Partner1">#REF!</definedName>
    <definedName name="Partner2">#REF!</definedName>
    <definedName name="Partner3">#REF!</definedName>
    <definedName name="Partner4">#REF!</definedName>
    <definedName name="Partner5">#REF!</definedName>
    <definedName name="PartnerAddl">#REF!</definedName>
    <definedName name="Payment_Date" localSheetId="8">DATE(YEAR(Loan_Start),MONTH(Loan_Start)+Payment_Number,DAY(Loan_Start))</definedName>
    <definedName name="Payment_Date" localSheetId="20">DATE(YEAR(Loan_Start),MONTH(Loan_Start)+Payment_Number,DAY(Loan_Start))</definedName>
    <definedName name="Payment_Date" localSheetId="7">DATE(YEAR(Loan_Start),MONTH(Loan_Start)+Payment_Number,DAY(Loan_Start))</definedName>
    <definedName name="Payment_Date">DATE(YEAR(Loan_Start),MONTH(Loan_Start)+Payment_Number,DAY(Loan_Start))</definedName>
    <definedName name="PaymentFrequency" hidden="1">#REF!</definedName>
    <definedName name="PayrollMth">#REF!</definedName>
    <definedName name="PCap" hidden="1">#REF!</definedName>
    <definedName name="PercentageSection8" hidden="1">#REF!</definedName>
    <definedName name="PercentageTaxCreditUnits" hidden="1">#REF!</definedName>
    <definedName name="PercentMilitary" hidden="1">#REF!</definedName>
    <definedName name="PercentStudent" hidden="1">#REF!</definedName>
    <definedName name="PermLoan" localSheetId="20">#REF!</definedName>
    <definedName name="PermLoan" localSheetId="7">#REF!</definedName>
    <definedName name="PermLoan">'General Inputs'!$N$8</definedName>
    <definedName name="Personnel" localSheetId="20">#REF!</definedName>
    <definedName name="Personnel" localSheetId="7">#REF!</definedName>
    <definedName name="Personnel">'Operating Inputs'!$F$119</definedName>
    <definedName name="PHOTOS" localSheetId="7" hidden="1">{#N/A,#N/A,FALSE,"RENT ROLL"}</definedName>
    <definedName name="PHOTOS" hidden="1">{#N/A,#N/A,FALSE,"RENT ROLL"}</definedName>
    <definedName name="pier90" localSheetId="7" hidden="1">{"excavation",#N/A,FALSE,"DETAIL.XLS"}</definedName>
    <definedName name="pier90" hidden="1">{"excavation",#N/A,FALSE,"DETAIL.XLS"}</definedName>
    <definedName name="pipeline_status">#REF!</definedName>
    <definedName name="piu" localSheetId="7" hidden="1">{"AnnInc",#N/A,TRUE,"Inc";"QtrInc1",#N/A,TRUE,"Inc";"Balance",#N/A,TRUE,"Bal";"Cflow",#N/A,TRUE,"Cash"}</definedName>
    <definedName name="piu" hidden="1">{"AnnInc",#N/A,TRUE,"Inc";"QtrInc1",#N/A,TRUE,"Inc";"Balance",#N/A,TRUE,"Bal";"Cflow",#N/A,TRUE,"Cash"}</definedName>
    <definedName name="PJAM3Yr" localSheetId="7" hidden="1">{"INCOME",#N/A,FALSE,"ProNet";"VALUE",#N/A,FALSE,"ProNet"}</definedName>
    <definedName name="PJAM3Yr" hidden="1">{"INCOME",#N/A,FALSE,"ProNet";"VALUE",#N/A,FALSE,"ProNet"}</definedName>
    <definedName name="pky" localSheetId="7" hidden="1">{#N/A,#N/A,FALSE,"A";#N/A,#N/A,FALSE,"B";#N/A,#N/A,FALSE,"C";#N/A,#N/A,FALSE,"D";#N/A,#N/A,FALSE,"E";#N/A,#N/A,FALSE,"F";#N/A,#N/A,FALSE,"G";#N/A,#N/A,FALSE,"H";#N/A,#N/A,FALSE,"I";#N/A,#N/A,FALSE,"J";#N/A,#N/A,FALSE,"K";#N/A,#N/A,FALSE,"L";#N/A,#N/A,FALSE,"M";#N/A,#N/A,FALSE,"N";#N/A,#N/A,FALSE,"O";#N/A,#N/A,FALSE,"P";#N/A,#N/A,FALSE,"Q";#N/A,#N/A,FALSE,"R"}</definedName>
    <definedName name="pky" hidden="1">{#N/A,#N/A,FALSE,"A";#N/A,#N/A,FALSE,"B";#N/A,#N/A,FALSE,"C";#N/A,#N/A,FALSE,"D";#N/A,#N/A,FALSE,"E";#N/A,#N/A,FALSE,"F";#N/A,#N/A,FALSE,"G";#N/A,#N/A,FALSE,"H";#N/A,#N/A,FALSE,"I";#N/A,#N/A,FALSE,"J";#N/A,#N/A,FALSE,"K";#N/A,#N/A,FALSE,"L";#N/A,#N/A,FALSE,"M";#N/A,#N/A,FALSE,"N";#N/A,#N/A,FALSE,"O";#N/A,#N/A,FALSE,"P";#N/A,#N/A,FALSE,"Q";#N/A,#N/A,FALSE,"R"}</definedName>
    <definedName name="platform" localSheetId="7" hidden="1">{#N/A,#N/A,TRUE,"Ericsson Stadium PCD ";#N/A,#N/A,TRUE,"Ericsson Stadium IOR"}</definedName>
    <definedName name="platform" hidden="1">{#N/A,#N/A,TRUE,"Ericsson Stadium PCD ";#N/A,#N/A,TRUE,"Ericsson Stadium IOR"}</definedName>
    <definedName name="platforma" localSheetId="7" hidden="1">{#N/A,#N/A,TRUE,"Ericsson Stadium PCD ";#N/A,#N/A,TRUE,"Ericsson Stadium IOR"}</definedName>
    <definedName name="platforma" hidden="1">{#N/A,#N/A,TRUE,"Ericsson Stadium PCD ";#N/A,#N/A,TRUE,"Ericsson Stadium IOR"}</definedName>
    <definedName name="pli" localSheetId="7" hidden="1">{"NOPCAPEVA",#N/A,FALSE,"Nopat";"FCFCSTAR",#N/A,FALSE,"FCFVAL";"EVAVL",#N/A,FALSE,"EVAVAL";"LEASE",#N/A,FALSE,"OpLease"}</definedName>
    <definedName name="pli" hidden="1">{"NOPCAPEVA",#N/A,FALSE,"Nopat";"FCFCSTAR",#N/A,FALSE,"FCFVAL";"EVAVL",#N/A,FALSE,"EVAVAL";"LEASE",#N/A,FALSE,"OpLease"}</definedName>
    <definedName name="pm" localSheetId="7" hidden="1">{"AnnInc",#N/A,TRUE,"Inc";"QtrInc1",#N/A,TRUE,"Inc";"Balance",#N/A,TRUE,"Bal";"Cflow",#N/A,TRUE,"Cash"}</definedName>
    <definedName name="pm" hidden="1">{"AnnInc",#N/A,TRUE,"Inc";"QtrInc1",#N/A,TRUE,"Inc";"Balance",#N/A,TRUE,"Bal";"Cflow",#N/A,TRUE,"Cash"}</definedName>
    <definedName name="Port_fill" hidden="1">#REF!</definedName>
    <definedName name="Port_Fill2" hidden="1">#REF!</definedName>
    <definedName name="PPT" localSheetId="7" hidden="1">{#N/A,#N/A,FALSE,"Chart 2 by Prop Type"}</definedName>
    <definedName name="PPT" hidden="1">{#N/A,#N/A,FALSE,"Chart 2 by Prop Type"}</definedName>
    <definedName name="Pref">#REF!</definedName>
    <definedName name="PrestartBMRGrwth" localSheetId="20">#REF!</definedName>
    <definedName name="PrestartBMRGrwth" localSheetId="7">#REF!</definedName>
    <definedName name="PrestartBMRGrwth">'Development Inputs'!$K$171</definedName>
    <definedName name="PrestartExpGwth" localSheetId="20">#REF!</definedName>
    <definedName name="PrestartExpGwth" localSheetId="7">#REF!</definedName>
    <definedName name="PrestartExpGwth">'Development Inputs'!$N$171</definedName>
    <definedName name="PreStartHCGrowth" localSheetId="20">#REF!</definedName>
    <definedName name="PreStartHCGrowth" localSheetId="7">#REF!</definedName>
    <definedName name="PreStartHCGrowth">'Development Inputs'!$P$231</definedName>
    <definedName name="PrestartMktGrwth" localSheetId="20">#REF!</definedName>
    <definedName name="PrestartMktGrwth" localSheetId="7">#REF!</definedName>
    <definedName name="PrestartMktGrwth">'Development Inputs'!$J$171</definedName>
    <definedName name="PrestartOIGrwth" localSheetId="20">#REF!</definedName>
    <definedName name="PrestartOIGrwth" localSheetId="7">#REF!</definedName>
    <definedName name="PrestartOIGrwth">'Development Inputs'!$L$171</definedName>
    <definedName name="pri" localSheetId="7" hidden="1">{#N/A,#N/A,FALSE,"Commercial Sizing";#N/A,#N/A,FALSE,"Pricing Matrix";#N/A,#N/A,FALSE,"Cash Flow (1)";#N/A,#N/A,FALSE,"Cash Flow (2)";#N/A,#N/A,FALSE,"Refinance Test";#N/A,#N/A,FALSE,"RentRoll";#N/A,#N/A,FALSE,"TI_LC"}</definedName>
    <definedName name="pri" hidden="1">{#N/A,#N/A,FALSE,"Commercial Sizing";#N/A,#N/A,FALSE,"Pricing Matrix";#N/A,#N/A,FALSE,"Cash Flow (1)";#N/A,#N/A,FALSE,"Cash Flow (2)";#N/A,#N/A,FALSE,"Refinance Test";#N/A,#N/A,FALSE,"RentRoll";#N/A,#N/A,FALSE,"TI_LC"}</definedName>
    <definedName name="_xlnm.Print_Area" localSheetId="38">'A-OperBgt'!$A$1:$N$66</definedName>
    <definedName name="_xlnm.Print_Area" localSheetId="40">'A-Waterfalls'!$A$1:$N$299</definedName>
    <definedName name="_xlnm.Print_Area" localSheetId="37">DevBdgt!$A$1:$DU$49</definedName>
    <definedName name="_xlnm.Print_Area" localSheetId="26">'Development Inputs'!$A$1:$N$126</definedName>
    <definedName name="_xlnm.Print_Area" localSheetId="15">'General Inputs'!$A$1:$O$60</definedName>
    <definedName name="_xlnm.Print_Area" localSheetId="20">'Module Builder'!$A$1:$CG$91</definedName>
    <definedName name="_xlnm.Print_Area" localSheetId="19">'Operating Inputs'!$A$1:$M$238</definedName>
    <definedName name="_xlnm.Print_Area" localSheetId="39">OperBgt!$A$1:$DV$83</definedName>
    <definedName name="_xlnm.Print_Area" localSheetId="17">'Rent Growth Sensitivity'!$A$1:$G$6</definedName>
    <definedName name="_xlnm.Print_Area" localSheetId="10">Sensitivity!$A$1:$M$65</definedName>
    <definedName name="_xlnm.Print_Area" localSheetId="14">Summary!$A$1:$S$70</definedName>
    <definedName name="_xlnm.Print_Area" localSheetId="32">'Tax Calcs'!$A$1:$DT$18</definedName>
    <definedName name="_xlnm.Print_Area" localSheetId="7">'TPG Summary'!$A$1:$G$87</definedName>
    <definedName name="_xlnm.Print_Area" localSheetId="5">'Venture Assumptions'!$A$1:$G$73</definedName>
    <definedName name="_xlnm.Print_Area" localSheetId="41">Waterfalls!$A$1:$DU$310</definedName>
    <definedName name="Print_Area_Reset" localSheetId="8">OFFSET(Full_Print,0,0,DCPush!Last_Row)</definedName>
    <definedName name="Print_Area_Reset" localSheetId="20">OFFSET(Full_Print,0,0,'Module Builder'!Last_Row)</definedName>
    <definedName name="Print_Area_Reset" localSheetId="7">OFFSET(Full_Print,0,0,'TPG Summary'!Last_Row)</definedName>
    <definedName name="Print_Area_Reset">OFFSET(Full_Print,0,0,Last_Row)</definedName>
    <definedName name="Print_CSC_Report_2" localSheetId="7" hidden="1">{"CSC_1",#N/A,FALSE,"CSC Outputs";"CSC_2",#N/A,FALSE,"CSC Outputs"}</definedName>
    <definedName name="Print_CSC_Report_2" hidden="1">{"CSC_1",#N/A,FALSE,"CSC Outputs";"CSC_2",#N/A,FALSE,"CSC Outputs"}</definedName>
    <definedName name="_xlnm.Print_Titles" localSheetId="36">'A-DevBdgt'!$A:$C,'A-DevBdgt'!$1:$7</definedName>
    <definedName name="_xlnm.Print_Titles" localSheetId="38">'A-OperBgt'!$A:$D,'A-OperBgt'!$1:$7</definedName>
    <definedName name="_xlnm.Print_Titles" localSheetId="40">'A-Waterfalls'!$A:$C,'A-Waterfalls'!$1:$7</definedName>
    <definedName name="_xlnm.Print_Titles" localSheetId="37">DevBdgt!$A:$C,DevBdgt!$1:$8</definedName>
    <definedName name="_xlnm.Print_Titles" localSheetId="26">'Development Inputs'!$1:$3</definedName>
    <definedName name="_xlnm.Print_Titles" localSheetId="34">'Front Money Budget'!$A:$C,'Front Money Budget'!$1:$8</definedName>
    <definedName name="_xlnm.Print_Titles" localSheetId="19">'Operating Inputs'!$1:$3</definedName>
    <definedName name="_xlnm.Print_Titles" localSheetId="39">OperBgt!$A:$D,OperBgt!$1:$7</definedName>
    <definedName name="_xlnm.Print_Titles" localSheetId="33">'Soft Cost Detail'!$1:$7</definedName>
    <definedName name="_xlnm.Print_Titles" localSheetId="32">'Tax Calcs'!$A:$C,'Tax Calcs'!$1:$7</definedName>
    <definedName name="_xlnm.Print_Titles" localSheetId="41">Waterfalls!$A:$C,Waterfalls!$1:$7</definedName>
    <definedName name="Profit" hidden="1">#REF!</definedName>
    <definedName name="ProjectEnd" localSheetId="7">INDEX(#REF!,MIN(ROW(data))+ROWS(data)-1,1)</definedName>
    <definedName name="ProjectEnd">INDEX(#REF!,MIN(ROW(data))+ROWS(data)-1,1)</definedName>
    <definedName name="ProjectStart">#REF!(#REF!)</definedName>
    <definedName name="ProjectStatus">#REF!</definedName>
    <definedName name="Promote_10yr_1">#REF!</definedName>
    <definedName name="Promote_10yr_2">#REF!</definedName>
    <definedName name="Promote_10yr_3">#REF!</definedName>
    <definedName name="Promote_dev_1">#REF!</definedName>
    <definedName name="Promote_dev_2">#REF!</definedName>
    <definedName name="promte" localSheetId="7" hidden="1">{"Assumptions",#N/A,FALSE,"Assumptions"}</definedName>
    <definedName name="promte" hidden="1">{"Assumptions",#N/A,FALSE,"Assumptions"}</definedName>
    <definedName name="PropertyGrade" hidden="1">#REF!</definedName>
    <definedName name="PropertyOwnershipRights" hidden="1">#REF!</definedName>
    <definedName name="proxy1" localSheetId="7" hidden="1">{"Full Sheet",#N/A,FALSE,"Expense Comparison"}</definedName>
    <definedName name="proxy1" hidden="1">{"Full Sheet",#N/A,FALSE,"Expense Comparison"}</definedName>
    <definedName name="proxy2" localSheetId="7" hidden="1">{#N/A,#N/A,FALSE,"Expense Comparison"}</definedName>
    <definedName name="proxy2" hidden="1">{#N/A,#N/A,FALSE,"Expense Comparison"}</definedName>
    <definedName name="proxy3" localSheetId="7" hidden="1">{"Full Sheet",#N/A,FALSE,"Expense Comparison"}</definedName>
    <definedName name="proxy3" hidden="1">{"Full Sheet",#N/A,FALSE,"Expense Comparison"}</definedName>
    <definedName name="proxy4" localSheetId="7" hidden="1">{#N/A,#N/A,FALSE,"Expense Comparison"}</definedName>
    <definedName name="proxy4" hidden="1">{#N/A,#N/A,FALSE,"Expense Comparison"}</definedName>
    <definedName name="Pru" localSheetId="7" hidden="1">{#N/A,#N/A,FALSE,"Input"}</definedName>
    <definedName name="Pru" hidden="1">{#N/A,#N/A,FALSE,"Input"}</definedName>
    <definedName name="Pship_EIN" hidden="1">#REF!</definedName>
    <definedName name="Pship_NA2" hidden="1">#REF!</definedName>
    <definedName name="PUB_FileID" hidden="1">"L10003363.xls"</definedName>
    <definedName name="PUB_UserID" hidden="1">"MAYERX"</definedName>
    <definedName name="pvd" localSheetId="7" hidden="1">{"AnnInc",#N/A,TRUE,"Inc";"QtrInc1",#N/A,TRUE,"Inc";"Balance",#N/A,TRUE,"Bal";"Cflow",#N/A,TRUE,"Cash"}</definedName>
    <definedName name="pvd" hidden="1">{"AnnInc",#N/A,TRUE,"Inc";"QtrInc1",#N/A,TRUE,"Inc";"Balance",#N/A,TRUE,"Bal";"Cflow",#N/A,TRUE,"Cash"}</definedName>
    <definedName name="q" localSheetId="7" hidden="1">{"mgmt forecast",#N/A,FALSE,"Mgmt Forecast";"dcf table",#N/A,FALSE,"Mgmt Forecast";"sensitivity",#N/A,FALSE,"Mgmt Forecast";"table inputs",#N/A,FALSE,"Mgmt Forecast";"calculations",#N/A,FALSE,"Mgmt Forecast"}</definedName>
    <definedName name="q" hidden="1">{"mgmt forecast",#N/A,FALSE,"Mgmt Forecast";"dcf table",#N/A,FALSE,"Mgmt Forecast";"sensitivity",#N/A,FALSE,"Mgmt Forecast";"table inputs",#N/A,FALSE,"Mgmt Forecast";"calculations",#N/A,FALSE,"Mgmt Forecast"}</definedName>
    <definedName name="qa" localSheetId="7" hidden="1">{"AnnInc",#N/A,TRUE,"Inc";"QtrInc1",#N/A,TRUE,"Inc";"Balance",#N/A,TRUE,"Bal";"Cflow",#N/A,TRUE,"Cash"}</definedName>
    <definedName name="qa" hidden="1">{"AnnInc",#N/A,TRUE,"Inc";"QtrInc1",#N/A,TRUE,"Inc";"Balance",#N/A,TRUE,"Bal";"Cflow",#N/A,TRUE,"Cash"}</definedName>
    <definedName name="qq" localSheetId="7" hidden="1">{"SIMPLIFD_P1",#N/A,FALSE,"SIMPLIFD"}</definedName>
    <definedName name="qq" hidden="1">{"SIMPLIFD_P1",#N/A,FALSE,"SIMPLIFD"}</definedName>
    <definedName name="qqq" localSheetId="7" hidden="1">{"TEST1",#N/A,FALSE,"SIMPLIFD"}</definedName>
    <definedName name="qqq" hidden="1">{"TEST1",#N/A,FALSE,"SIMPLIFD"}</definedName>
    <definedName name="qqqq" localSheetId="7" hidden="1">{#N/A,#N/A,FALSE,"Chart 2 by Prop Type"}</definedName>
    <definedName name="qqqq" hidden="1">{#N/A,#N/A,FALSE,"Chart 2 by Prop Type"}</definedName>
    <definedName name="qqqqq" hidden="1">#REF!</definedName>
    <definedName name="qsty" localSheetId="7" hidden="1">{"NOPCAPEVA",#N/A,FALSE,"Nopat";"FCFCSTAR",#N/A,FALSE,"FCFVAL";"EVAVL",#N/A,FALSE,"EVAVAL";"LEASE",#N/A,FALSE,"OpLease"}</definedName>
    <definedName name="qsty" hidden="1">{"NOPCAPEVA",#N/A,FALSE,"Nopat";"FCFCSTAR",#N/A,FALSE,"FCFVAL";"EVAVL",#N/A,FALSE,"EVAVAL";"LEASE",#N/A,FALSE,"OpLease"}</definedName>
    <definedName name="qwer" localSheetId="6" hidden="1">#REF!</definedName>
    <definedName name="qwer" localSheetId="35" hidden="1">#REF!</definedName>
    <definedName name="qwer" localSheetId="2" hidden="1">#REF!</definedName>
    <definedName name="qwer" hidden="1">#REF!</definedName>
    <definedName name="Radnor" localSheetId="7" hidden="1">binary</definedName>
    <definedName name="Radnor" hidden="1">binary</definedName>
    <definedName name="RatePerTable">#REF!</definedName>
    <definedName name="Rates" localSheetId="7" hidden="1">{"'Pkg Summary'!$D$4:$AD$153","'Menu'!$A$1:$H$22","'Menu'!$A$8"}</definedName>
    <definedName name="Rates" hidden="1">{"'Pkg Summary'!$D$4:$AD$153","'Menu'!$A$1:$H$22","'Menu'!$A$8"}</definedName>
    <definedName name="rdh" localSheetId="7" hidden="1">{"NOPCAPEVA",#N/A,FALSE,"Nopat";"FCFCSTAR",#N/A,FALSE,"FCFVAL";"EVAVL",#N/A,FALSE,"EVAVAL";"LEASE",#N/A,FALSE,"OpLease"}</definedName>
    <definedName name="rdh" hidden="1">{"NOPCAPEVA",#N/A,FALSE,"Nopat";"FCFCSTAR",#N/A,FALSE,"FCFVAL";"EVAVL",#N/A,FALSE,"EVAVAL";"LEASE",#N/A,FALSE,"OpLease"}</definedName>
    <definedName name="realPref">#REF!</definedName>
    <definedName name="RecIns" localSheetId="7" hidden="1">{"CA Summary",#N/A,FALSE,"COMMON AREA EXPENSE SUMMARY";"CA Mainten",#N/A,FALSE,"COMMON AREA MAINTENANCE"}</definedName>
    <definedName name="RecIns" hidden="1">{"CA Summary",#N/A,FALSE,"COMMON AREA EXPENSE SUMMARY";"CA Mainten",#N/A,FALSE,"COMMON AREA MAINTENANCE"}</definedName>
    <definedName name="Reconcilation" localSheetId="6" hidden="1">#REF!</definedName>
    <definedName name="Reconcilation" localSheetId="35" hidden="1">#REF!</definedName>
    <definedName name="Reconcilation" localSheetId="9" hidden="1">#REF!</definedName>
    <definedName name="Reconcilation" localSheetId="28" hidden="1">[5]RENTANAL!#REF!</definedName>
    <definedName name="Reconcilation" localSheetId="20" hidden="1">[5]RENTANAL!#REF!</definedName>
    <definedName name="Reconcilation" localSheetId="43" hidden="1">#REF!</definedName>
    <definedName name="Reconcilation" localSheetId="2" hidden="1">#REF!</definedName>
    <definedName name="Reconcilation" localSheetId="11" hidden="1">#REF!</definedName>
    <definedName name="Reconcilation" localSheetId="7" hidden="1">#REF!</definedName>
    <definedName name="Reconcilation" hidden="1">#REF!</definedName>
    <definedName name="red" localSheetId="7" hidden="1">{"CA Summary",#N/A,FALSE,"COMMON AREA EXPENSE SUMMARY";"CA Mainten",#N/A,FALSE,"COMMON AREA MAINTENANCE"}</definedName>
    <definedName name="red" hidden="1">{"CA Summary",#N/A,FALSE,"COMMON AREA EXPENSE SUMMARY";"CA Mainten",#N/A,FALSE,"COMMON AREA MAINTENANCE"}</definedName>
    <definedName name="RedefinePrintTableRange" hidden="1">#REF!</definedName>
    <definedName name="ReFimth">#REF!</definedName>
    <definedName name="regtd" localSheetId="7" hidden="1">{"NOPCAPEVA",#N/A,FALSE,"Nopat";"FCFCSTAR",#N/A,FALSE,"FCFVAL";"EVAVL",#N/A,FALSE,"EVAVAL";"LEASE",#N/A,FALSE,"OpLease"}</definedName>
    <definedName name="regtd" hidden="1">{"NOPCAPEVA",#N/A,FALSE,"Nopat";"FCFCSTAR",#N/A,FALSE,"FCFVAL";"EVAVL",#N/A,FALSE,"EVAVAL";"LEASE",#N/A,FALSE,"OpLease"}</definedName>
    <definedName name="rel" hidden="1">#REF!</definedName>
    <definedName name="Rent" localSheetId="7" hidden="1">{#N/A,#N/A,TRUE,"XL Cash Flow";#N/A,#N/A,TRUE,"Prop Valuation";#N/A,#N/A,TRUE,"Equity";#N/A,#N/A,TRUE,"Modeling assumptions";#N/A,#N/A,TRUE,"NER Model";#N/A,#N/A,TRUE,"Lease Exp";#N/A,#N/A,TRUE,"Inc &amp; Exp";#N/A,#N/A,TRUE,"Formatted - roll";#N/A,#N/A,TRUE,"Debt Model";#N/A,#N/A,TRUE,"Debt-Moody";#N/A,#N/A,TRUE,"Debt"}</definedName>
    <definedName name="Rent" hidden="1">{#N/A,#N/A,TRUE,"XL Cash Flow";#N/A,#N/A,TRUE,"Prop Valuation";#N/A,#N/A,TRUE,"Equity";#N/A,#N/A,TRUE,"Modeling assumptions";#N/A,#N/A,TRUE,"NER Model";#N/A,#N/A,TRUE,"Lease Exp";#N/A,#N/A,TRUE,"Inc &amp; Exp";#N/A,#N/A,TRUE,"Formatted - roll";#N/A,#N/A,TRUE,"Debt Model";#N/A,#N/A,TRUE,"Debt-Moody";#N/A,#N/A,TRUE,"Debt"}</definedName>
    <definedName name="RepairsandMaintenance" localSheetId="20">#REF!</definedName>
    <definedName name="RepairsandMaintenance" localSheetId="7">#REF!</definedName>
    <definedName name="RepairsandMaintenance">'Operating Inputs'!$F$120</definedName>
    <definedName name="ReplacementReserves" localSheetId="20">#REF!</definedName>
    <definedName name="ReplacementReserves" localSheetId="7">#REF!</definedName>
    <definedName name="ReplacementReserves">'Operating Inputs'!$F$128</definedName>
    <definedName name="ReplacementReserveWaived" hidden="1">#REF!</definedName>
    <definedName name="report" localSheetId="7" hidden="1">{#N/A,#N/A,FALSE,"Summary";#N/A,#N/A,FALSE,"Assumptions";#N/A,#N/A,FALSE,"Cash Flow";#N/A,#N/A,FALSE,"Residual Calculation";#N/A,#N/A,FALSE,"Pricing Matrix";#N/A,#N/A,FALSE,"Pricing Matrix II";#N/A,#N/A,FALSE,"Expiration Schedule"}</definedName>
    <definedName name="report" hidden="1">{#N/A,#N/A,FALSE,"Summary";#N/A,#N/A,FALSE,"Assumptions";#N/A,#N/A,FALSE,"Cash Flow";#N/A,#N/A,FALSE,"Residual Calculation";#N/A,#N/A,FALSE,"Pricing Matrix";#N/A,#N/A,FALSE,"Pricing Matrix II";#N/A,#N/A,FALSE,"Expiration Schedule"}</definedName>
    <definedName name="report1" localSheetId="7" hidden="1">{#N/A,#N/A,FALSE,"Summary";#N/A,#N/A,FALSE,"Assumptions";#N/A,#N/A,FALSE,"Cash Flow";#N/A,#N/A,FALSE,"Residual Calculation";#N/A,#N/A,FALSE,"Pricing Matrix";#N/A,#N/A,FALSE,"Pricing Matrix II";#N/A,#N/A,FALSE,"Expiration Schedule"}</definedName>
    <definedName name="report1" hidden="1">{#N/A,#N/A,FALSE,"Summary";#N/A,#N/A,FALSE,"Assumptions";#N/A,#N/A,FALSE,"Cash Flow";#N/A,#N/A,FALSE,"Residual Calculation";#N/A,#N/A,FALSE,"Pricing Matrix";#N/A,#N/A,FALSE,"Pricing Matrix II";#N/A,#N/A,FALSE,"Expiration Schedule"}</definedName>
    <definedName name="report5" localSheetId="7" hidden="1">{#N/A,#N/A,FALSE,"Summary";#N/A,#N/A,FALSE,"Assumptions";#N/A,#N/A,FALSE,"Cash Flow";#N/A,#N/A,FALSE,"Residual Calculation";#N/A,#N/A,FALSE,"Pricing Matrix";#N/A,#N/A,FALSE,"Pricing Matrix II";#N/A,#N/A,FALSE,"Expiration Schedule"}</definedName>
    <definedName name="report5" hidden="1">{#N/A,#N/A,FALSE,"Summary";#N/A,#N/A,FALSE,"Assumptions";#N/A,#N/A,FALSE,"Cash Flow";#N/A,#N/A,FALSE,"Residual Calculation";#N/A,#N/A,FALSE,"Pricing Matrix";#N/A,#N/A,FALSE,"Pricing Matrix II";#N/A,#N/A,FALSE,"Expiration Schedule"}</definedName>
    <definedName name="ResaleRestrictions" hidden="1">#REF!</definedName>
    <definedName name="Resi_exit_cap">#REF!</definedName>
    <definedName name="residualrate">#REF!</definedName>
    <definedName name="retail" hidden="1">#REF!</definedName>
    <definedName name="Retail_exit_cap">#REF!</definedName>
    <definedName name="RetailExpense">#REF!</definedName>
    <definedName name="RetailTotalMthIncome">#REF!</definedName>
    <definedName name="RETaxesMth">#REF!</definedName>
    <definedName name="retewr" hidden="1">#REF!</definedName>
    <definedName name="retl" hidden="1">#REF!</definedName>
    <definedName name="RETRec" localSheetId="7" hidden="1">{#N/A,#N/A,FALSE,"OPERATING BUDGET 99";#N/A,#N/A,FALSE,"RECOVERY99"}</definedName>
    <definedName name="RETRec" hidden="1">{#N/A,#N/A,FALSE,"OPERATING BUDGET 99";#N/A,#N/A,FALSE,"RECOVERY99"}</definedName>
    <definedName name="rewq" localSheetId="7" hidden="1">{"NOPCAPEVA",#N/A,FALSE,"Nopat";"FCFCSTAR",#N/A,FALSE,"FCFVAL";"EVAVL",#N/A,FALSE,"EVAVAL";"LEASE",#N/A,FALSE,"OpLease"}</definedName>
    <definedName name="rewq" hidden="1">{"NOPCAPEVA",#N/A,FALSE,"Nopat";"FCFCSTAR",#N/A,FALSE,"FCFVAL";"EVAVL",#N/A,FALSE,"EVAVAL";"LEASE",#N/A,FALSE,"OpLease"}</definedName>
    <definedName name="rey" localSheetId="7" hidden="1">{"NOPCAPEVA",#N/A,FALSE,"Nopat";"FCFCSTAR",#N/A,FALSE,"FCFVAL";"EVAVL",#N/A,FALSE,"EVAVAL";"LEASE",#N/A,FALSE,"OpLease"}</definedName>
    <definedName name="rey" hidden="1">{"NOPCAPEVA",#N/A,FALSE,"Nopat";"FCFCSTAR",#N/A,FALSE,"FCFVAL";"EVAVL",#N/A,FALSE,"EVAVAL";"LEASE",#N/A,FALSE,"OpLease"}</definedName>
    <definedName name="RLAINPUT_DebtLoan1CapEx" hidden="1">#REF!</definedName>
    <definedName name="RLAINPUT_DebtLoan1FixedPIPayment" hidden="1">#REF!</definedName>
    <definedName name="RLAINPUT_DebtLoan1Funding" hidden="1">#REF!,#REF!,#REF!</definedName>
    <definedName name="RLAINPUT_DebtLoan1Gen1" hidden="1">#REF!</definedName>
    <definedName name="RLAINPUT_DebtLoan1Gen2" hidden="1">#REF!</definedName>
    <definedName name="RLAINPUT_DebtLoan1Payment" hidden="1">#REF!</definedName>
    <definedName name="RLAINPUT_DebtLoan2CapEx" hidden="1">#REF!</definedName>
    <definedName name="RLAINPUT_DebtLoan2FixedPIPayment" hidden="1">#REF!</definedName>
    <definedName name="RLAINPUT_DebtLoan2Funding" hidden="1">#REF!,#REF!,#REF!</definedName>
    <definedName name="RLAINPUT_DebtLoan2Gen1" hidden="1">#REF!</definedName>
    <definedName name="RLAINPUT_DebtLoan2Gen2" hidden="1">#REF!</definedName>
    <definedName name="RLAINPUT_DebtLoan2Payment" hidden="1">#REF!</definedName>
    <definedName name="RLAINPUT_DebtLoan3CapEx" hidden="1">#REF!</definedName>
    <definedName name="RLAINPUT_DebtLoan3FixedPIPayment" hidden="1">#REF!</definedName>
    <definedName name="RLAINPUT_DebtLoan3Funding" hidden="1">#REF!,#REF!,#REF!</definedName>
    <definedName name="RLAINPUT_DebtLoan3Gen1" hidden="1">#REF!</definedName>
    <definedName name="RLAINPUT_DebtLoan3Gen2" hidden="1">#REF!</definedName>
    <definedName name="RLAINPUT_DebtLoan3Payment" hidden="1">#REF!</definedName>
    <definedName name="RLAINPUT_DebtRateIndex" hidden="1">#REF!</definedName>
    <definedName name="RLAINPUT_EquityCatchUp1" hidden="1">#REF!,#REF!</definedName>
    <definedName name="RLAINPUT_EquityCatchUp2" hidden="1">#REF!,#REF!</definedName>
    <definedName name="RLAINPUT_EquityCatchUp3" hidden="1">#REF!,#REF!</definedName>
    <definedName name="RLAINPUT_EquityInputs" hidden="1">#REF!,#REF!,#REF!</definedName>
    <definedName name="RLAINPUT_EquityPartnerNames" hidden="1">#REF!,#REF!</definedName>
    <definedName name="RLAINPUT_EquityPercent" hidden="1">#REF!</definedName>
    <definedName name="RLAINPUT_EquityRemainder" hidden="1">#REF!,#REF!</definedName>
    <definedName name="RLAINPUT_EquityTier1" hidden="1">#REF!,#REF!</definedName>
    <definedName name="RLAINPUT_EquityTier2" hidden="1">#REF!,#REF!,#REF!</definedName>
    <definedName name="RLAINPUT_EquityTier3" hidden="1">#REF!,#REF!,#REF!</definedName>
    <definedName name="RLAINPUT_ExecSumYears" hidden="1">#REF!</definedName>
    <definedName name="RLAINPUT_InPlaceRecovery" hidden="1">#REF!</definedName>
    <definedName name="RLAINPUT_InputDisp" hidden="1">#REF!</definedName>
    <definedName name="RLAINPUT_Inputs" hidden="1">#REF!</definedName>
    <definedName name="RLAINPUT_Loan3Refi" hidden="1">#REF!,#REF!,#REF!</definedName>
    <definedName name="RLAINPUT_PortfolioInputs" hidden="1">#REF!</definedName>
    <definedName name="RLAINPUT_PortfolioPropertyInputs" hidden="1">#REF!</definedName>
    <definedName name="rngEntityTypes" hidden="1">#REF!</definedName>
    <definedName name="rngStates" hidden="1">#REF!</definedName>
    <definedName name="RNRSF" localSheetId="20">#REF!</definedName>
    <definedName name="RNRSF" localSheetId="7">#REF!</definedName>
    <definedName name="RNRSF">'Operating Inputs'!$C$110</definedName>
    <definedName name="Rock2" localSheetId="7" hidden="1">{"LBO Summary",#N/A,FALSE,"Summary";"Income Statement",#N/A,FALSE,"Model";"Cash Flow",#N/A,FALSE,"Model";"Balance Sheet",#N/A,FALSE,"Model";"Working Capital",#N/A,FALSE,"Model";"Pro Forma Balance Sheets",#N/A,FALSE,"PFBS";"Debt Balances",#N/A,FALSE,"Model";"Fee Schedules",#N/A,FALSE,"Model"}</definedName>
    <definedName name="Rock2" hidden="1">{"LBO Summary",#N/A,FALSE,"Summary";"Income Statement",#N/A,FALSE,"Model";"Cash Flow",#N/A,FALSE,"Model";"Balance Sheet",#N/A,FALSE,"Model";"Working Capital",#N/A,FALSE,"Model";"Pro Forma Balance Sheets",#N/A,FALSE,"PFBS";"Debt Balances",#N/A,FALSE,"Model";"Fee Schedules",#N/A,FALSE,"Model"}</definedName>
    <definedName name="Rockwell" localSheetId="7" hidden="1">{"LBO Summary",#N/A,FALSE,"Summary"}</definedName>
    <definedName name="Rockwell" hidden="1">{"LBO Summary",#N/A,FALSE,"Summary"}</definedName>
    <definedName name="RPA" localSheetId="7" hidden="1">{#N/A,#N/A,FALSE,"Cashflow Analysis";#N/A,#N/A,FALSE,"Sensitivity Analysis";#N/A,#N/A,FALSE,"PV";#N/A,#N/A,FALSE,"Pro Forma"}</definedName>
    <definedName name="RPA" hidden="1">{#N/A,#N/A,FALSE,"Cashflow Analysis";#N/A,#N/A,FALSE,"Sensitivity Analysis";#N/A,#N/A,FALSE,"PV";#N/A,#N/A,FALSE,"Pro Forma"}</definedName>
    <definedName name="RPA.2" localSheetId="7" hidden="1">{#N/A,#N/A,FALSE,"Cashflow Analysis";#N/A,#N/A,FALSE,"Sensitivity Analysis";#N/A,#N/A,FALSE,"PV";#N/A,#N/A,FALSE,"Pro Forma"}</definedName>
    <definedName name="RPA.2" hidden="1">{#N/A,#N/A,FALSE,"Cashflow Analysis";#N/A,#N/A,FALSE,"Sensitivity Analysis";#N/A,#N/A,FALSE,"PV";#N/A,#N/A,FALSE,"Pro Forma"}</definedName>
    <definedName name="rrg" hidden="1">#REF!</definedName>
    <definedName name="rrr" localSheetId="7" hidden="1">{#N/A,#N/A,FALSE,"ExecutiveSummary";#N/A,#N/A,FALSE,"CostDetail";#N/A,#N/A,FALSE,"IncomeDetail"}</definedName>
    <definedName name="rrr" hidden="1">{#N/A,#N/A,FALSE,"ExecutiveSummary";#N/A,#N/A,FALSE,"CostDetail";#N/A,#N/A,FALSE,"IncomeDetail"}</definedName>
    <definedName name="rsafd" localSheetId="7" hidden="1">{"AnnInc",#N/A,TRUE,"Inc";"QtrInc1",#N/A,TRUE,"Inc";"Balance",#N/A,TRUE,"Bal";"Cflow",#N/A,TRUE,"Cash"}</definedName>
    <definedName name="rsafd" hidden="1">{"AnnInc",#N/A,TRUE,"Inc";"QtrInc1",#N/A,TRUE,"Inc";"Balance",#N/A,TRUE,"Bal";"Cflow",#N/A,TRUE,"Cash"}</definedName>
    <definedName name="rtl" hidden="1">#REF!</definedName>
    <definedName name="rty" localSheetId="7" hidden="1">{"NOPCAPEVA",#N/A,FALSE,"Nopat";"FCFCSTAR",#N/A,FALSE,"FCFVAL";"EVAVL",#N/A,FALSE,"EVAVAL";"LEASE",#N/A,FALSE,"OpLease"}</definedName>
    <definedName name="rty" hidden="1">{"NOPCAPEVA",#N/A,FALSE,"Nopat";"FCFCSTAR",#N/A,FALSE,"FCFVAL";"EVAVL",#N/A,FALSE,"EVAVAL";"LEASE",#N/A,FALSE,"OpLease"}</definedName>
    <definedName name="rtyhgf" localSheetId="7" hidden="1">{"NOPCAPEVA",#N/A,FALSE,"Nopat";"FCFCSTAR",#N/A,FALSE,"FCFVAL";"EVAVL",#N/A,FALSE,"EVAVAL";"LEASE",#N/A,FALSE,"OpLease"}</definedName>
    <definedName name="rtyhgf" hidden="1">{"NOPCAPEVA",#N/A,FALSE,"Nopat";"FCFCSTAR",#N/A,FALSE,"FCFVAL";"EVAVL",#N/A,FALSE,"EVAVAL";"LEASE",#N/A,FALSE,"OpLease"}</definedName>
    <definedName name="rup" localSheetId="7" hidden="1">{"AnnInc",#N/A,TRUE,"Inc";"QtrInc1",#N/A,TRUE,"Inc";"Balance",#N/A,TRUE,"Bal";"Cflow",#N/A,TRUE,"Cash"}</definedName>
    <definedName name="rup" hidden="1">{"AnnInc",#N/A,TRUE,"Inc";"QtrInc1",#N/A,TRUE,"Inc";"Balance",#N/A,TRUE,"Bal";"Cflow",#N/A,TRUE,"Cash"}</definedName>
    <definedName name="russ" localSheetId="7" hidden="1">{"'Inventory &amp; Anal-Cur Wkbk'!$A$7:$AP$71"}</definedName>
    <definedName name="russ" hidden="1">{"'Inventory &amp; Anal-Cur Wkbk'!$A$7:$AP$71"}</definedName>
    <definedName name="Rwvu.ALL." hidden="1">#REF!,#REF!</definedName>
    <definedName name="Rwvu.CAM._.RECOVERIES." hidden="1">#REF!,#REF!,#REF!</definedName>
    <definedName name="Rwvu.CAM._.TABLE." hidden="1">#REF!,#REF!,#REF!</definedName>
    <definedName name="Rwvu.INSURANCE._.RECOVERIES." hidden="1">#REF!,#REF!,#REF!,#REF!</definedName>
    <definedName name="Rwvu.MARKETING._.REVENUE." hidden="1">#REF!,#REF!,#REF!</definedName>
    <definedName name="Rwvu.OCCUPANCY._.ANALYSIS." hidden="1">#REF!,#REF!,#REF!</definedName>
    <definedName name="Rwvu.Sommaire." hidden="1">#REF!,#REF!,#REF!,#REF!,#REF!</definedName>
    <definedName name="Rwvu.TAX._.RECOVERIES." hidden="1">#REF!,#REF!,#REF!,#REF!</definedName>
    <definedName name="S" localSheetId="8">MATCH(0.01,End_Bal,-1)+1</definedName>
    <definedName name="S" localSheetId="20">MATCH(0.01,End_Bal,-1)+1</definedName>
    <definedName name="S" localSheetId="7">MATCH(0.01,End_Bal,-1)+1</definedName>
    <definedName name="S">MATCH(0.01,End_Bal,-1)+1</definedName>
    <definedName name="saa" localSheetId="7" hidden="1">{"rtn",#N/A,FALSE,"RTN";"tables",#N/A,FALSE,"RTN";"cf",#N/A,FALSE,"CF";"stats",#N/A,FALSE,"Stats";"prop",#N/A,FALSE,"Prop"}</definedName>
    <definedName name="saa" hidden="1">{"rtn",#N/A,FALSE,"RTN";"tables",#N/A,FALSE,"RTN";"cf",#N/A,FALSE,"CF";"stats",#N/A,FALSE,"Stats";"prop",#N/A,FALSE,"Prop"}</definedName>
    <definedName name="saa_1" localSheetId="7" hidden="1">{"rtn",#N/A,FALSE,"RTN";"tables",#N/A,FALSE,"RTN";"cf",#N/A,FALSE,"CF";"stats",#N/A,FALSE,"Stats";"prop",#N/A,FALSE,"Prop"}</definedName>
    <definedName name="saa_1" hidden="1">{"rtn",#N/A,FALSE,"RTN";"tables",#N/A,FALSE,"RTN";"cf",#N/A,FALSE,"CF";"stats",#N/A,FALSE,"Stats";"prop",#N/A,FALSE,"Prop"}</definedName>
    <definedName name="saa_1_1" localSheetId="7" hidden="1">{"rtn",#N/A,FALSE,"RTN";"tables",#N/A,FALSE,"RTN";"cf",#N/A,FALSE,"CF";"stats",#N/A,FALSE,"Stats";"prop",#N/A,FALSE,"Prop"}</definedName>
    <definedName name="saa_1_1" hidden="1">{"rtn",#N/A,FALSE,"RTN";"tables",#N/A,FALSE,"RTN";"cf",#N/A,FALSE,"CF";"stats",#N/A,FALSE,"Stats";"prop",#N/A,FALSE,"Prop"}</definedName>
    <definedName name="saa_1_1_1" localSheetId="7" hidden="1">{"rtn",#N/A,FALSE,"RTN";"tables",#N/A,FALSE,"RTN";"cf",#N/A,FALSE,"CF";"stats",#N/A,FALSE,"Stats";"prop",#N/A,FALSE,"Prop"}</definedName>
    <definedName name="saa_1_1_1" hidden="1">{"rtn",#N/A,FALSE,"RTN";"tables",#N/A,FALSE,"RTN";"cf",#N/A,FALSE,"CF";"stats",#N/A,FALSE,"Stats";"prop",#N/A,FALSE,"Prop"}</definedName>
    <definedName name="saa_1_2" localSheetId="7" hidden="1">{"rtn",#N/A,FALSE,"RTN";"tables",#N/A,FALSE,"RTN";"cf",#N/A,FALSE,"CF";"stats",#N/A,FALSE,"Stats";"prop",#N/A,FALSE,"Prop"}</definedName>
    <definedName name="saa_1_2" hidden="1">{"rtn",#N/A,FALSE,"RTN";"tables",#N/A,FALSE,"RTN";"cf",#N/A,FALSE,"CF";"stats",#N/A,FALSE,"Stats";"prop",#N/A,FALSE,"Prop"}</definedName>
    <definedName name="saa_1_3" localSheetId="7" hidden="1">{"rtn",#N/A,FALSE,"RTN";"tables",#N/A,FALSE,"RTN";"cf",#N/A,FALSE,"CF";"stats",#N/A,FALSE,"Stats";"prop",#N/A,FALSE,"Prop"}</definedName>
    <definedName name="saa_1_3" hidden="1">{"rtn",#N/A,FALSE,"RTN";"tables",#N/A,FALSE,"RTN";"cf",#N/A,FALSE,"CF";"stats",#N/A,FALSE,"Stats";"prop",#N/A,FALSE,"Prop"}</definedName>
    <definedName name="saa_1_4" localSheetId="7" hidden="1">{"rtn",#N/A,FALSE,"RTN";"tables",#N/A,FALSE,"RTN";"cf",#N/A,FALSE,"CF";"stats",#N/A,FALSE,"Stats";"prop",#N/A,FALSE,"Prop"}</definedName>
    <definedName name="saa_1_4" hidden="1">{"rtn",#N/A,FALSE,"RTN";"tables",#N/A,FALSE,"RTN";"cf",#N/A,FALSE,"CF";"stats",#N/A,FALSE,"Stats";"prop",#N/A,FALSE,"Prop"}</definedName>
    <definedName name="saa_1_5" localSheetId="7" hidden="1">{"rtn",#N/A,FALSE,"RTN";"tables",#N/A,FALSE,"RTN";"cf",#N/A,FALSE,"CF";"stats",#N/A,FALSE,"Stats";"prop",#N/A,FALSE,"Prop"}</definedName>
    <definedName name="saa_1_5" hidden="1">{"rtn",#N/A,FALSE,"RTN";"tables",#N/A,FALSE,"RTN";"cf",#N/A,FALSE,"CF";"stats",#N/A,FALSE,"Stats";"prop",#N/A,FALSE,"Prop"}</definedName>
    <definedName name="saa_2" localSheetId="7" hidden="1">{"rtn",#N/A,FALSE,"RTN";"tables",#N/A,FALSE,"RTN";"cf",#N/A,FALSE,"CF";"stats",#N/A,FALSE,"Stats";"prop",#N/A,FALSE,"Prop"}</definedName>
    <definedName name="saa_2" hidden="1">{"rtn",#N/A,FALSE,"RTN";"tables",#N/A,FALSE,"RTN";"cf",#N/A,FALSE,"CF";"stats",#N/A,FALSE,"Stats";"prop",#N/A,FALSE,"Prop"}</definedName>
    <definedName name="saa_3" localSheetId="7" hidden="1">{"rtn",#N/A,FALSE,"RTN";"tables",#N/A,FALSE,"RTN";"cf",#N/A,FALSE,"CF";"stats",#N/A,FALSE,"Stats";"prop",#N/A,FALSE,"Prop"}</definedName>
    <definedName name="saa_3" hidden="1">{"rtn",#N/A,FALSE,"RTN";"tables",#N/A,FALSE,"RTN";"cf",#N/A,FALSE,"CF";"stats",#N/A,FALSE,"Stats";"prop",#N/A,FALSE,"Prop"}</definedName>
    <definedName name="saa_4" localSheetId="7" hidden="1">{"rtn",#N/A,FALSE,"RTN";"tables",#N/A,FALSE,"RTN";"cf",#N/A,FALSE,"CF";"stats",#N/A,FALSE,"Stats";"prop",#N/A,FALSE,"Prop"}</definedName>
    <definedName name="saa_4" hidden="1">{"rtn",#N/A,FALSE,"RTN";"tables",#N/A,FALSE,"RTN";"cf",#N/A,FALSE,"CF";"stats",#N/A,FALSE,"Stats";"prop",#N/A,FALSE,"Prop"}</definedName>
    <definedName name="saa_5" localSheetId="7" hidden="1">{"rtn",#N/A,FALSE,"RTN";"tables",#N/A,FALSE,"RTN";"cf",#N/A,FALSE,"CF";"stats",#N/A,FALSE,"Stats";"prop",#N/A,FALSE,"Prop"}</definedName>
    <definedName name="saa_5" hidden="1">{"rtn",#N/A,FALSE,"RTN";"tables",#N/A,FALSE,"RTN";"cf",#N/A,FALSE,"CF";"stats",#N/A,FALSE,"Stats";"prop",#N/A,FALSE,"Prop"}</definedName>
    <definedName name="sadd" localSheetId="7" hidden="1">{"MonthlyRentRoll",#N/A,FALSE,"RentRoll"}</definedName>
    <definedName name="sadd" hidden="1">{"MonthlyRentRoll",#N/A,FALSE,"RentRoll"}</definedName>
    <definedName name="sadd2" localSheetId="7" hidden="1">{"MonthlyRentRoll",#N/A,FALSE,"RentRoll"}</definedName>
    <definedName name="sadd2" hidden="1">{"MonthlyRentRoll",#N/A,FALSE,"RentRoll"}</definedName>
    <definedName name="saddd" localSheetId="7" hidden="1">{"AnnualRentRoll",#N/A,FALSE,"RentRoll"}</definedName>
    <definedName name="saddd" hidden="1">{"AnnualRentRoll",#N/A,FALSE,"RentRoll"}</definedName>
    <definedName name="saddd2" localSheetId="7" hidden="1">{"AnnualRentRoll",#N/A,FALSE,"RentRoll"}</definedName>
    <definedName name="saddd2" hidden="1">{"AnnualRentRoll",#N/A,FALSE,"RentRoll"}</definedName>
    <definedName name="sadddd2" localSheetId="7" hidden="1">{"AnnualRentRoll",#N/A,FALSE,"RentRoll"}</definedName>
    <definedName name="sadddd2" hidden="1">{"AnnualRentRoll",#N/A,FALSE,"RentRoll"}</definedName>
    <definedName name="saddddd" localSheetId="7" hidden="1">{"AnnualRentRoll",#N/A,FALSE,"RentRoll"}</definedName>
    <definedName name="saddddd" hidden="1">{"AnnualRentRoll",#N/A,FALSE,"RentRoll"}</definedName>
    <definedName name="saddddddd2" localSheetId="7" hidden="1">{#N/A,#N/A,FALSE,"ExitStratigy"}</definedName>
    <definedName name="saddddddd2" hidden="1">{#N/A,#N/A,FALSE,"ExitStratigy"}</definedName>
    <definedName name="sadddddddd" localSheetId="7" hidden="1">{#N/A,#N/A,FALSE,"ExitStratigy"}</definedName>
    <definedName name="sadddddddd" hidden="1">{#N/A,#N/A,FALSE,"ExitStratigy"}</definedName>
    <definedName name="saddddddddd2" localSheetId="7" hidden="1">{#N/A,#N/A,FALSE,"LoanAssumptions"}</definedName>
    <definedName name="saddddddddd2" hidden="1">{#N/A,#N/A,FALSE,"LoanAssumptions"}</definedName>
    <definedName name="sadddddddddd" localSheetId="7" hidden="1">{#N/A,#N/A,FALSE,"LoanAssumptions"}</definedName>
    <definedName name="sadddddddddd" hidden="1">{#N/A,#N/A,FALSE,"LoanAssumptions"}</definedName>
    <definedName name="saddddddddddd2" localSheetId="7" hidden="1">{#N/A,#N/A,FALSE,"OperatingAssumptions"}</definedName>
    <definedName name="saddddddddddd2" hidden="1">{#N/A,#N/A,FALSE,"OperatingAssumptions"}</definedName>
    <definedName name="saddddddddddddd" localSheetId="7" hidden="1">{#N/A,#N/A,FALSE,"OperatingAssumptions"}</definedName>
    <definedName name="saddddddddddddd" hidden="1">{#N/A,#N/A,FALSE,"OperatingAssumptions"}</definedName>
    <definedName name="sadfs" localSheetId="7" hidden="1">{"Const_Monthly",#N/A,FALSE,"Construction";"Construction_Summary",#N/A,FALSE,"Construction";"Cash_Flow",#N/A,FALSE,"Cash Flow";"Summary",#N/A,FALSE,"Summary";"Finsumm",#N/A,FALSE,"Summary Analysis";"Loanrecap",#N/A,FALSE,"Construction"}</definedName>
    <definedName name="sadfs" hidden="1">{"Const_Monthly",#N/A,FALSE,"Construction";"Construction_Summary",#N/A,FALSE,"Construction";"Cash_Flow",#N/A,FALSE,"Cash Flow";"Summary",#N/A,FALSE,"Summary";"Finsumm",#N/A,FALSE,"Summary Analysis";"Loanrecap",#N/A,FALSE,"Construction"}</definedName>
    <definedName name="sadsadsa" localSheetId="7" hidden="1">{"'Assump'!$F$6:$J$6"}</definedName>
    <definedName name="sadsadsa" hidden="1">{"'Assump'!$F$6:$J$6"}</definedName>
    <definedName name="SaleClosingCosts" localSheetId="20">#REF!</definedName>
    <definedName name="SaleClosingCosts" localSheetId="7">#REF!</definedName>
    <definedName name="SaleClosingCosts">'General Inputs'!$H$52</definedName>
    <definedName name="SaleCommissions" localSheetId="20">#REF!</definedName>
    <definedName name="SaleCommissions" localSheetId="7">#REF!</definedName>
    <definedName name="SaleCommissions">'General Inputs'!$H$53</definedName>
    <definedName name="SaleTitleIns" localSheetId="20">#REF!</definedName>
    <definedName name="SaleTitleIns" localSheetId="7">#REF!</definedName>
    <definedName name="SaleTitleIns">'General Inputs'!$H$51</definedName>
    <definedName name="SaleTransferTax" localSheetId="20">#REF!</definedName>
    <definedName name="SaleTransferTax" localSheetId="7">#REF!</definedName>
    <definedName name="SaleTransferTax">'General Inputs'!$H$50</definedName>
    <definedName name="SAPBEXdnldView" hidden="1">"432D9K64FIA4VSSLMV6PFEKI8"</definedName>
    <definedName name="SAPBEXrevision" hidden="1">1</definedName>
    <definedName name="SAPBEXsysID" hidden="1">"PW1"</definedName>
    <definedName name="SAPBEXwbID" hidden="1">"6SKS7FBJ10YG7PB0SMOHV6V5A"</definedName>
    <definedName name="saqw" localSheetId="7" hidden="1">{#N/A,#N/A,FALSE,"pop.hh";#N/A,#N/A,FALSE,"age.dist";#N/A,#N/A,FALSE,"hh.income";#N/A,#N/A,FALSE,"hh.chars"}</definedName>
    <definedName name="saqw" hidden="1">{#N/A,#N/A,FALSE,"pop.hh";#N/A,#N/A,FALSE,"age.dist";#N/A,#N/A,FALSE,"hh.income";#N/A,#N/A,FALSE,"hh.chars"}</definedName>
    <definedName name="Sara" localSheetId="7" hidden="1">{"cashcons",#N/A,FALSE,"CASHCONS";"cash7000",#N/A,FALSE,"CASH7000";"cash9000",#N/A,FALSE,"CASH9000";"assu7000",#N/A,FALSE,"ASSU7000";"assu9000",#N/A,FALSE,"ASSU9000";"rentroll",#N/A,FALSE,"RENTROLL";"expr7000",#N/A,FALSE,"EXPR7000";"expr9000",#N/A,FALSE,"EXPR9000"}</definedName>
    <definedName name="Sara" hidden="1">{"cashcons",#N/A,FALSE,"CASHCONS";"cash7000",#N/A,FALSE,"CASH7000";"cash9000",#N/A,FALSE,"CASH9000";"assu7000",#N/A,FALSE,"ASSU7000";"assu9000",#N/A,FALSE,"ASSU9000";"rentroll",#N/A,FALSE,"RENTROLL";"expr7000",#N/A,FALSE,"EXPR7000";"expr9000",#N/A,FALSE,"EXPR9000"}</definedName>
    <definedName name="Sara_2" localSheetId="7" hidden="1">{#N/A,#N/A,TRUE,"10 Yr Hold";#N/A,#N/A,TRUE,"7 Yr Hold";#N/A,#N/A,TRUE,"5 Yr Hold";#N/A,#N/A,TRUE,"3 Yr Hold"}</definedName>
    <definedName name="Sara_2" hidden="1">{#N/A,#N/A,TRUE,"10 Yr Hold";#N/A,#N/A,TRUE,"7 Yr Hold";#N/A,#N/A,TRUE,"5 Yr Hold";#N/A,#N/A,TRUE,"3 Yr Hold"}</definedName>
    <definedName name="sas" localSheetId="7" hidden="1">{"Outflow 1",#N/A,FALSE,"Outflows-Inflows";"Outflow 2",#N/A,FALSE,"Outflows-Inflows";"Inflow 1",#N/A,FALSE,"Outflows-Inflows";"Inflow 2",#N/A,FALSE,"Outflows-Inflows"}</definedName>
    <definedName name="sas" hidden="1">{"Outflow 1",#N/A,FALSE,"Outflows-Inflows";"Outflow 2",#N/A,FALSE,"Outflows-Inflows";"Inflow 1",#N/A,FALSE,"Outflows-Inflows";"Inflow 2",#N/A,FALSE,"Outflows-Inflows"}</definedName>
    <definedName name="sas_1" localSheetId="7" hidden="1">{"Outflow 1",#N/A,FALSE,"Outflows-Inflows";"Outflow 2",#N/A,FALSE,"Outflows-Inflows";"Inflow 1",#N/A,FALSE,"Outflows-Inflows";"Inflow 2",#N/A,FALSE,"Outflows-Inflows"}</definedName>
    <definedName name="sas_1" hidden="1">{"Outflow 1",#N/A,FALSE,"Outflows-Inflows";"Outflow 2",#N/A,FALSE,"Outflows-Inflows";"Inflow 1",#N/A,FALSE,"Outflows-Inflows";"Inflow 2",#N/A,FALSE,"Outflows-Inflows"}</definedName>
    <definedName name="sas_1_1" localSheetId="7" hidden="1">{"Outflow 1",#N/A,FALSE,"Outflows-Inflows";"Outflow 2",#N/A,FALSE,"Outflows-Inflows";"Inflow 1",#N/A,FALSE,"Outflows-Inflows";"Inflow 2",#N/A,FALSE,"Outflows-Inflows"}</definedName>
    <definedName name="sas_1_1" hidden="1">{"Outflow 1",#N/A,FALSE,"Outflows-Inflows";"Outflow 2",#N/A,FALSE,"Outflows-Inflows";"Inflow 1",#N/A,FALSE,"Outflows-Inflows";"Inflow 2",#N/A,FALSE,"Outflows-Inflows"}</definedName>
    <definedName name="sas_1_1_1" localSheetId="7" hidden="1">{"Outflow 1",#N/A,FALSE,"Outflows-Inflows";"Outflow 2",#N/A,FALSE,"Outflows-Inflows";"Inflow 1",#N/A,FALSE,"Outflows-Inflows";"Inflow 2",#N/A,FALSE,"Outflows-Inflows"}</definedName>
    <definedName name="sas_1_1_1" hidden="1">{"Outflow 1",#N/A,FALSE,"Outflows-Inflows";"Outflow 2",#N/A,FALSE,"Outflows-Inflows";"Inflow 1",#N/A,FALSE,"Outflows-Inflows";"Inflow 2",#N/A,FALSE,"Outflows-Inflows"}</definedName>
    <definedName name="sas_1_2" localSheetId="7" hidden="1">{"Outflow 1",#N/A,FALSE,"Outflows-Inflows";"Outflow 2",#N/A,FALSE,"Outflows-Inflows";"Inflow 1",#N/A,FALSE,"Outflows-Inflows";"Inflow 2",#N/A,FALSE,"Outflows-Inflows"}</definedName>
    <definedName name="sas_1_2" hidden="1">{"Outflow 1",#N/A,FALSE,"Outflows-Inflows";"Outflow 2",#N/A,FALSE,"Outflows-Inflows";"Inflow 1",#N/A,FALSE,"Outflows-Inflows";"Inflow 2",#N/A,FALSE,"Outflows-Inflows"}</definedName>
    <definedName name="sas_1_3" localSheetId="7" hidden="1">{"Outflow 1",#N/A,FALSE,"Outflows-Inflows";"Outflow 2",#N/A,FALSE,"Outflows-Inflows";"Inflow 1",#N/A,FALSE,"Outflows-Inflows";"Inflow 2",#N/A,FALSE,"Outflows-Inflows"}</definedName>
    <definedName name="sas_1_3" hidden="1">{"Outflow 1",#N/A,FALSE,"Outflows-Inflows";"Outflow 2",#N/A,FALSE,"Outflows-Inflows";"Inflow 1",#N/A,FALSE,"Outflows-Inflows";"Inflow 2",#N/A,FALSE,"Outflows-Inflows"}</definedName>
    <definedName name="sas_1_4" localSheetId="7" hidden="1">{"Outflow 1",#N/A,FALSE,"Outflows-Inflows";"Outflow 2",#N/A,FALSE,"Outflows-Inflows";"Inflow 1",#N/A,FALSE,"Outflows-Inflows";"Inflow 2",#N/A,FALSE,"Outflows-Inflows"}</definedName>
    <definedName name="sas_1_4" hidden="1">{"Outflow 1",#N/A,FALSE,"Outflows-Inflows";"Outflow 2",#N/A,FALSE,"Outflows-Inflows";"Inflow 1",#N/A,FALSE,"Outflows-Inflows";"Inflow 2",#N/A,FALSE,"Outflows-Inflows"}</definedName>
    <definedName name="sas_1_5" localSheetId="7" hidden="1">{"Outflow 1",#N/A,FALSE,"Outflows-Inflows";"Outflow 2",#N/A,FALSE,"Outflows-Inflows";"Inflow 1",#N/A,FALSE,"Outflows-Inflows";"Inflow 2",#N/A,FALSE,"Outflows-Inflows"}</definedName>
    <definedName name="sas_1_5" hidden="1">{"Outflow 1",#N/A,FALSE,"Outflows-Inflows";"Outflow 2",#N/A,FALSE,"Outflows-Inflows";"Inflow 1",#N/A,FALSE,"Outflows-Inflows";"Inflow 2",#N/A,FALSE,"Outflows-Inflows"}</definedName>
    <definedName name="sas_2" localSheetId="7" hidden="1">{"Outflow 1",#N/A,FALSE,"Outflows-Inflows";"Outflow 2",#N/A,FALSE,"Outflows-Inflows";"Inflow 1",#N/A,FALSE,"Outflows-Inflows";"Inflow 2",#N/A,FALSE,"Outflows-Inflows"}</definedName>
    <definedName name="sas_2" hidden="1">{"Outflow 1",#N/A,FALSE,"Outflows-Inflows";"Outflow 2",#N/A,FALSE,"Outflows-Inflows";"Inflow 1",#N/A,FALSE,"Outflows-Inflows";"Inflow 2",#N/A,FALSE,"Outflows-Inflows"}</definedName>
    <definedName name="sas_3" localSheetId="7" hidden="1">{"Outflow 1",#N/A,FALSE,"Outflows-Inflows";"Outflow 2",#N/A,FALSE,"Outflows-Inflows";"Inflow 1",#N/A,FALSE,"Outflows-Inflows";"Inflow 2",#N/A,FALSE,"Outflows-Inflows"}</definedName>
    <definedName name="sas_3" hidden="1">{"Outflow 1",#N/A,FALSE,"Outflows-Inflows";"Outflow 2",#N/A,FALSE,"Outflows-Inflows";"Inflow 1",#N/A,FALSE,"Outflows-Inflows";"Inflow 2",#N/A,FALSE,"Outflows-Inflows"}</definedName>
    <definedName name="sas_4" localSheetId="7" hidden="1">{"Outflow 1",#N/A,FALSE,"Outflows-Inflows";"Outflow 2",#N/A,FALSE,"Outflows-Inflows";"Inflow 1",#N/A,FALSE,"Outflows-Inflows";"Inflow 2",#N/A,FALSE,"Outflows-Inflows"}</definedName>
    <definedName name="sas_4" hidden="1">{"Outflow 1",#N/A,FALSE,"Outflows-Inflows";"Outflow 2",#N/A,FALSE,"Outflows-Inflows";"Inflow 1",#N/A,FALSE,"Outflows-Inflows";"Inflow 2",#N/A,FALSE,"Outflows-Inflows"}</definedName>
    <definedName name="sas_5" localSheetId="7" hidden="1">{"Outflow 1",#N/A,FALSE,"Outflows-Inflows";"Outflow 2",#N/A,FALSE,"Outflows-Inflows";"Inflow 1",#N/A,FALSE,"Outflows-Inflows";"Inflow 2",#N/A,FALSE,"Outflows-Inflows"}</definedName>
    <definedName name="sas_5" hidden="1">{"Outflow 1",#N/A,FALSE,"Outflows-Inflows";"Outflow 2",#N/A,FALSE,"Outflows-Inflows";"Inflow 1",#N/A,FALSE,"Outflows-Inflows";"Inflow 2",#N/A,FALSE,"Outflows-Inflows"}</definedName>
    <definedName name="SC_Fill" hidden="1">#REF!</definedName>
    <definedName name="SC_Fill2" hidden="1">#REF!</definedName>
    <definedName name="sd" localSheetId="7" hidden="1">{#N/A,#N/A,FALSE,"el.det";#N/A,#N/A,FALSE,"mu.det";#N/A,#N/A,FALSE,"ug.det";#N/A,#N/A,FALSE,"ex.det";#N/A,#N/A,FALSE,"lux.det";#N/A,#N/A,FALSE,"custom.lot";#N/A,#N/A,FALSE,"condo.att";#N/A,#N/A,FALSE,"el.att";#N/A,#N/A,FALSE,"mu.att";#N/A,#N/A,FALSE,"ex.att";#N/A,#N/A,FALSE,"lux.att";#N/A,#N/A,FALSE,"all.by.village"}</definedName>
    <definedName name="sd" hidden="1">{#N/A,#N/A,FALSE,"el.det";#N/A,#N/A,FALSE,"mu.det";#N/A,#N/A,FALSE,"ug.det";#N/A,#N/A,FALSE,"ex.det";#N/A,#N/A,FALSE,"lux.det";#N/A,#N/A,FALSE,"custom.lot";#N/A,#N/A,FALSE,"condo.att";#N/A,#N/A,FALSE,"el.att";#N/A,#N/A,FALSE,"mu.att";#N/A,#N/A,FALSE,"ex.att";#N/A,#N/A,FALSE,"lux.att";#N/A,#N/A,FALSE,"all.by.village"}</definedName>
    <definedName name="SD_Dropdown_11_Name" hidden="1">#REF!</definedName>
    <definedName name="SD_Dropdown_14_Name" hidden="1">#REF!</definedName>
    <definedName name="SD_Dropdown_9003_Name" hidden="1">#REF!</definedName>
    <definedName name="sdcds" localSheetId="7" hidden="1">{"'Assump'!$F$6:$J$6"}</definedName>
    <definedName name="sdcds" hidden="1">{"'Assump'!$F$6:$J$6"}</definedName>
    <definedName name="sdf" localSheetId="7" hidden="1">{#N/A,#N/A,FALSE,"Summary";#N/A,#N/A,FALSE,"Construction";#N/A,#N/A,FALSE,"Cash Flow"}</definedName>
    <definedName name="sdf" hidden="1">{#N/A,#N/A,FALSE,"Summary";#N/A,#N/A,FALSE,"Construction";#N/A,#N/A,FALSE,"Cash Flow"}</definedName>
    <definedName name="sdfass" localSheetId="7" hidden="1">{"Outflow 1",#N/A,FALSE,"Outflows-Inflows";"Outflow 2",#N/A,FALSE,"Outflows-Inflows";"Inflow 1",#N/A,FALSE,"Outflows-Inflows";"Inflow 2",#N/A,FALSE,"Outflows-Inflows"}</definedName>
    <definedName name="sdfass" hidden="1">{"Outflow 1",#N/A,FALSE,"Outflows-Inflows";"Outflow 2",#N/A,FALSE,"Outflows-Inflows";"Inflow 1",#N/A,FALSE,"Outflows-Inflows";"Inflow 2",#N/A,FALSE,"Outflows-Inflows"}</definedName>
    <definedName name="sdfass_1" localSheetId="7" hidden="1">{"Outflow 1",#N/A,FALSE,"Outflows-Inflows";"Outflow 2",#N/A,FALSE,"Outflows-Inflows";"Inflow 1",#N/A,FALSE,"Outflows-Inflows";"Inflow 2",#N/A,FALSE,"Outflows-Inflows"}</definedName>
    <definedName name="sdfass_1" hidden="1">{"Outflow 1",#N/A,FALSE,"Outflows-Inflows";"Outflow 2",#N/A,FALSE,"Outflows-Inflows";"Inflow 1",#N/A,FALSE,"Outflows-Inflows";"Inflow 2",#N/A,FALSE,"Outflows-Inflows"}</definedName>
    <definedName name="sdfass_1_1" localSheetId="7" hidden="1">{"Outflow 1",#N/A,FALSE,"Outflows-Inflows";"Outflow 2",#N/A,FALSE,"Outflows-Inflows";"Inflow 1",#N/A,FALSE,"Outflows-Inflows";"Inflow 2",#N/A,FALSE,"Outflows-Inflows"}</definedName>
    <definedName name="sdfass_1_1" hidden="1">{"Outflow 1",#N/A,FALSE,"Outflows-Inflows";"Outflow 2",#N/A,FALSE,"Outflows-Inflows";"Inflow 1",#N/A,FALSE,"Outflows-Inflows";"Inflow 2",#N/A,FALSE,"Outflows-Inflows"}</definedName>
    <definedName name="sdfass_1_1_1" localSheetId="7" hidden="1">{"Outflow 1",#N/A,FALSE,"Outflows-Inflows";"Outflow 2",#N/A,FALSE,"Outflows-Inflows";"Inflow 1",#N/A,FALSE,"Outflows-Inflows";"Inflow 2",#N/A,FALSE,"Outflows-Inflows"}</definedName>
    <definedName name="sdfass_1_1_1" hidden="1">{"Outflow 1",#N/A,FALSE,"Outflows-Inflows";"Outflow 2",#N/A,FALSE,"Outflows-Inflows";"Inflow 1",#N/A,FALSE,"Outflows-Inflows";"Inflow 2",#N/A,FALSE,"Outflows-Inflows"}</definedName>
    <definedName name="sdfass_1_2" localSheetId="7" hidden="1">{"Outflow 1",#N/A,FALSE,"Outflows-Inflows";"Outflow 2",#N/A,FALSE,"Outflows-Inflows";"Inflow 1",#N/A,FALSE,"Outflows-Inflows";"Inflow 2",#N/A,FALSE,"Outflows-Inflows"}</definedName>
    <definedName name="sdfass_1_2" hidden="1">{"Outflow 1",#N/A,FALSE,"Outflows-Inflows";"Outflow 2",#N/A,FALSE,"Outflows-Inflows";"Inflow 1",#N/A,FALSE,"Outflows-Inflows";"Inflow 2",#N/A,FALSE,"Outflows-Inflows"}</definedName>
    <definedName name="sdfass_1_3" localSheetId="7" hidden="1">{"Outflow 1",#N/A,FALSE,"Outflows-Inflows";"Outflow 2",#N/A,FALSE,"Outflows-Inflows";"Inflow 1",#N/A,FALSE,"Outflows-Inflows";"Inflow 2",#N/A,FALSE,"Outflows-Inflows"}</definedName>
    <definedName name="sdfass_1_3" hidden="1">{"Outflow 1",#N/A,FALSE,"Outflows-Inflows";"Outflow 2",#N/A,FALSE,"Outflows-Inflows";"Inflow 1",#N/A,FALSE,"Outflows-Inflows";"Inflow 2",#N/A,FALSE,"Outflows-Inflows"}</definedName>
    <definedName name="sdfass_1_4" localSheetId="7" hidden="1">{"Outflow 1",#N/A,FALSE,"Outflows-Inflows";"Outflow 2",#N/A,FALSE,"Outflows-Inflows";"Inflow 1",#N/A,FALSE,"Outflows-Inflows";"Inflow 2",#N/A,FALSE,"Outflows-Inflows"}</definedName>
    <definedName name="sdfass_1_4" hidden="1">{"Outflow 1",#N/A,FALSE,"Outflows-Inflows";"Outflow 2",#N/A,FALSE,"Outflows-Inflows";"Inflow 1",#N/A,FALSE,"Outflows-Inflows";"Inflow 2",#N/A,FALSE,"Outflows-Inflows"}</definedName>
    <definedName name="sdfass_1_5" localSheetId="7" hidden="1">{"Outflow 1",#N/A,FALSE,"Outflows-Inflows";"Outflow 2",#N/A,FALSE,"Outflows-Inflows";"Inflow 1",#N/A,FALSE,"Outflows-Inflows";"Inflow 2",#N/A,FALSE,"Outflows-Inflows"}</definedName>
    <definedName name="sdfass_1_5" hidden="1">{"Outflow 1",#N/A,FALSE,"Outflows-Inflows";"Outflow 2",#N/A,FALSE,"Outflows-Inflows";"Inflow 1",#N/A,FALSE,"Outflows-Inflows";"Inflow 2",#N/A,FALSE,"Outflows-Inflows"}</definedName>
    <definedName name="sdfass_2" localSheetId="7" hidden="1">{"Outflow 1",#N/A,FALSE,"Outflows-Inflows";"Outflow 2",#N/A,FALSE,"Outflows-Inflows";"Inflow 1",#N/A,FALSE,"Outflows-Inflows";"Inflow 2",#N/A,FALSE,"Outflows-Inflows"}</definedName>
    <definedName name="sdfass_2" hidden="1">{"Outflow 1",#N/A,FALSE,"Outflows-Inflows";"Outflow 2",#N/A,FALSE,"Outflows-Inflows";"Inflow 1",#N/A,FALSE,"Outflows-Inflows";"Inflow 2",#N/A,FALSE,"Outflows-Inflows"}</definedName>
    <definedName name="sdfass_3" localSheetId="7" hidden="1">{"Outflow 1",#N/A,FALSE,"Outflows-Inflows";"Outflow 2",#N/A,FALSE,"Outflows-Inflows";"Inflow 1",#N/A,FALSE,"Outflows-Inflows";"Inflow 2",#N/A,FALSE,"Outflows-Inflows"}</definedName>
    <definedName name="sdfass_3" hidden="1">{"Outflow 1",#N/A,FALSE,"Outflows-Inflows";"Outflow 2",#N/A,FALSE,"Outflows-Inflows";"Inflow 1",#N/A,FALSE,"Outflows-Inflows";"Inflow 2",#N/A,FALSE,"Outflows-Inflows"}</definedName>
    <definedName name="sdfass_4" localSheetId="7" hidden="1">{"Outflow 1",#N/A,FALSE,"Outflows-Inflows";"Outflow 2",#N/A,FALSE,"Outflows-Inflows";"Inflow 1",#N/A,FALSE,"Outflows-Inflows";"Inflow 2",#N/A,FALSE,"Outflows-Inflows"}</definedName>
    <definedName name="sdfass_4" hidden="1">{"Outflow 1",#N/A,FALSE,"Outflows-Inflows";"Outflow 2",#N/A,FALSE,"Outflows-Inflows";"Inflow 1",#N/A,FALSE,"Outflows-Inflows";"Inflow 2",#N/A,FALSE,"Outflows-Inflows"}</definedName>
    <definedName name="sdfass_5" localSheetId="7" hidden="1">{"Outflow 1",#N/A,FALSE,"Outflows-Inflows";"Outflow 2",#N/A,FALSE,"Outflows-Inflows";"Inflow 1",#N/A,FALSE,"Outflows-Inflows";"Inflow 2",#N/A,FALSE,"Outflows-Inflows"}</definedName>
    <definedName name="sdfass_5" hidden="1">{"Outflow 1",#N/A,FALSE,"Outflows-Inflows";"Outflow 2",#N/A,FALSE,"Outflows-Inflows";"Inflow 1",#N/A,FALSE,"Outflows-Inflows";"Inflow 2",#N/A,FALSE,"Outflows-Inflows"}</definedName>
    <definedName name="sdfd" localSheetId="7" hidden="1">{"Summary",#N/A,FALSE,"Summary"}</definedName>
    <definedName name="sdfd" hidden="1">{"Summary",#N/A,FALSE,"Summary"}</definedName>
    <definedName name="sdfgdsfg" hidden="1">#REF!</definedName>
    <definedName name="SDFSDF" localSheetId="7" hidden="1">{"Page One",#N/A,FALSE,"Model";"Page 2",#N/A,FALSE,"Model";"Page 3",#N/A,FALSE,"Model"}</definedName>
    <definedName name="SDFSDF" hidden="1">{"Page One",#N/A,FALSE,"Model";"Page 2",#N/A,FALSE,"Model";"Page 3",#N/A,FALSE,"Model"}</definedName>
    <definedName name="sed" localSheetId="7" hidden="1">{"CA Summary",#N/A,FALSE,"COMMON AREA EXPENSE SUMMARY";"CA Mainten",#N/A,FALSE,"COMMON AREA MAINTENANCE"}</definedName>
    <definedName name="sed" hidden="1">{"CA Summary",#N/A,FALSE,"COMMON AREA EXPENSE SUMMARY";"CA Mainten",#N/A,FALSE,"COMMON AREA MAINTENANCE"}</definedName>
    <definedName name="Seg_LBO_Summ" localSheetId="7" hidden="1">{"LBO Summary",#N/A,FALSE,"Summary"}</definedName>
    <definedName name="Seg_LBO_Summ" hidden="1">{"LBO Summary",#N/A,FALSE,"Summary"}</definedName>
    <definedName name="sencount" hidden="1">1</definedName>
    <definedName name="SeniorHousingType" hidden="1">#REF!</definedName>
    <definedName name="Seniors" hidden="1">#REF!</definedName>
    <definedName name="Sensitivity" localSheetId="7" hidden="1">{"mgmt forecast",#N/A,FALSE,"Mgmt Forecast";"dcf table",#N/A,FALSE,"Mgmt Forecast";"sensitivity",#N/A,FALSE,"Mgmt Forecast";"table inputs",#N/A,FALSE,"Mgmt Forecast";"calculations",#N/A,FALSE,"Mgmt Forecast"}</definedName>
    <definedName name="Sensitivity" hidden="1">{"mgmt forecast",#N/A,FALSE,"Mgmt Forecast";"dcf table",#N/A,FALSE,"Mgmt Forecast";"sensitivity",#N/A,FALSE,"Mgmt Forecast";"table inputs",#N/A,FALSE,"Mgmt Forecast";"calculations",#N/A,FALSE,"Mgmt Forecast"}</definedName>
    <definedName name="seven" hidden="1">#REF!,#REF!,#REF!,#REF!,#REF!,#REF!,#REF!,#REF!</definedName>
    <definedName name="SF">#REF!</definedName>
    <definedName name="sfd" localSheetId="7" hidden="1">{"Const_Monthly",#N/A,FALSE,"Construction"}</definedName>
    <definedName name="sfd" hidden="1">{"Const_Monthly",#N/A,FALSE,"Construction"}</definedName>
    <definedName name="sfds" localSheetId="7" hidden="1">{#N/A,#N/A,FALSE,"Cash Flow"}</definedName>
    <definedName name="sfds" hidden="1">{#N/A,#N/A,FALSE,"Cash Flow"}</definedName>
    <definedName name="sfghsgfnh" localSheetId="8">IF(Loan_Amount*Interest_Rate*Loan_Years*Loan_Start&gt;0,1,0)</definedName>
    <definedName name="sfghsgfnh" localSheetId="20">IF(Loan_Amount*Interest_Rate*Loan_Years*Loan_Start&gt;0,1,0)</definedName>
    <definedName name="sfghsgfnh" localSheetId="7">IF(Loan_Amount*Interest_Rate*Loan_Years*Loan_Start&gt;0,1,0)</definedName>
    <definedName name="sfghsgfnh">IF(Loan_Amount*Interest_Rate*Loan_Years*Loan_Start&gt;0,1,0)</definedName>
    <definedName name="SG_Fill" hidden="1">#REF!</definedName>
    <definedName name="sgibbel" hidden="1">#REF!</definedName>
    <definedName name="she" localSheetId="7" hidden="1">{#N/A,#N/A,TRUE,"Commercial Sizing";#N/A,#N/A,TRUE,"Cash Flow (1)";#N/A,#N/A,TRUE,"Cash Flow (2)";#N/A,#N/A,TRUE,"Refinance Test";#N/A,#N/A,TRUE,"RentRoll";#N/A,#N/A,TRUE,"TI_LC"}</definedName>
    <definedName name="she" hidden="1">{#N/A,#N/A,TRUE,"Commercial Sizing";#N/A,#N/A,TRUE,"Cash Flow (1)";#N/A,#N/A,TRUE,"Cash Flow (2)";#N/A,#N/A,TRUE,"Refinance Test";#N/A,#N/A,TRUE,"RentRoll";#N/A,#N/A,TRUE,"TI_LC"}</definedName>
    <definedName name="sheet2" localSheetId="7" hidden="1">{"CF",#N/A,FALSE,"Cash Flow";"RET",#N/A,FALSE,"Returns";"NPV",#N/A,FALSE,"Values";"ASMPT",#N/A,FALSE,"Assumptions"}</definedName>
    <definedName name="sheet2" hidden="1">{"CF",#N/A,FALSE,"Cash Flow";"RET",#N/A,FALSE,"Returns";"NPV",#N/A,FALSE,"Values";"ASMPT",#N/A,FALSE,"Assumptions"}</definedName>
    <definedName name="SheetState" hidden="1">"'2:-1:-1"</definedName>
    <definedName name="short" hidden="1">#REF!</definedName>
    <definedName name="siz" localSheetId="7" hidden="1">{#N/A,#N/A,TRUE,"Input";#N/A,#N/A,TRUE,"Op Stmt Reconciliation";#N/A,#N/A,TRUE,"RR Reconciliation";#N/A,#N/A,TRUE,"Rollover";#N/A,#N/A,TRUE,"Cash Flow Summary";#N/A,#N/A,TRUE,"Loan Analysis";#N/A,#N/A,TRUE,"Projection"}</definedName>
    <definedName name="siz" hidden="1">{#N/A,#N/A,TRUE,"Input";#N/A,#N/A,TRUE,"Op Stmt Reconciliation";#N/A,#N/A,TRUE,"RR Reconciliation";#N/A,#N/A,TRUE,"Rollover";#N/A,#N/A,TRUE,"Cash Flow Summary";#N/A,#N/A,TRUE,"Loan Analysis";#N/A,#N/A,TRUE,"Projection"}</definedName>
    <definedName name="Skey1" hidden="1">#REF!</definedName>
    <definedName name="Skey2" hidden="1">#REF!</definedName>
    <definedName name="Skey2a" hidden="1">#REF!</definedName>
    <definedName name="slbr" localSheetId="7" hidden="1">{#N/A,#N/A,FALSE,"DELQ";#N/A,#N/A,FALSE,"REO";#N/A,#N/A,FALSE,"WATCHDSC";#N/A,#N/A,FALSE,"2LOSSMOD";#N/A,#N/A,FALSE,"2LOSS";#N/A,#N/A,FALSE,"DSC";#N/A,#N/A,FALSE,"OPERAT";#N/A,#N/A,FALSE,"ADJUST";#N/A,#N/A,FALSE,"PAIDOFF";#N/A,#N/A,FALSE,"TENANT";#N/A,#N/A,FALSE,"LEASE EXPIRE"}</definedName>
    <definedName name="slbr" hidden="1">{#N/A,#N/A,FALSE,"DELQ";#N/A,#N/A,FALSE,"REO";#N/A,#N/A,FALSE,"WATCHDSC";#N/A,#N/A,FALSE,"2LOSSMOD";#N/A,#N/A,FALSE,"2LOSS";#N/A,#N/A,FALSE,"DSC";#N/A,#N/A,FALSE,"OPERAT";#N/A,#N/A,FALSE,"ADJUST";#N/A,#N/A,FALSE,"PAIDOFF";#N/A,#N/A,FALSE,"TENANT";#N/A,#N/A,FALSE,"LEASE EXPIRE"}</definedName>
    <definedName name="smith" localSheetId="7" hidden="1">{"CA Summary",#N/A,FALSE,"COMMON AREA EXPENSE SUMMARY";"CA Mainten",#N/A,FALSE,"COMMON AREA MAINTENANCE"}</definedName>
    <definedName name="smith" hidden="1">{"CA Summary",#N/A,FALSE,"COMMON AREA EXPENSE SUMMARY";"CA Mainten",#N/A,FALSE,"COMMON AREA MAINTENANCE"}</definedName>
    <definedName name="Soleil" hidden="1">#REF!</definedName>
    <definedName name="Soleil2" hidden="1">#REF!</definedName>
    <definedName name="solver_cvg" hidden="1">0.001</definedName>
    <definedName name="solver_drv" hidden="1">1</definedName>
    <definedName name="solver_est" hidden="1">1</definedName>
    <definedName name="solver_itr" hidden="1">100</definedName>
    <definedName name="solver_lin" hidden="1">2</definedName>
    <definedName name="solver_neg" hidden="1">2</definedName>
    <definedName name="solver_num" hidden="1">0</definedName>
    <definedName name="solver_nwt" hidden="1">1</definedName>
    <definedName name="solver_opt" hidden="1">#REF!</definedName>
    <definedName name="solver_pre" hidden="1">0.000001</definedName>
    <definedName name="solver_rel1" hidden="1">1</definedName>
    <definedName name="solver_rel10" hidden="1">5</definedName>
    <definedName name="solver_rel11" hidden="1">5</definedName>
    <definedName name="solver_rel12" hidden="1">5</definedName>
    <definedName name="solver_rel13" hidden="1">5</definedName>
    <definedName name="solver_rel14" hidden="1">5</definedName>
    <definedName name="solver_rel15" hidden="1">5</definedName>
    <definedName name="solver_rel16" hidden="1">5</definedName>
    <definedName name="solver_rel17" hidden="1">5</definedName>
    <definedName name="solver_rel18" hidden="1">5</definedName>
    <definedName name="solver_rel19" hidden="1">5</definedName>
    <definedName name="solver_rel2" hidden="1">5</definedName>
    <definedName name="solver_rel20" hidden="1">5</definedName>
    <definedName name="solver_rel21" hidden="1">5</definedName>
    <definedName name="solver_rel22" hidden="1">5</definedName>
    <definedName name="solver_rel23" hidden="1">1</definedName>
    <definedName name="solver_rel24" hidden="1">5</definedName>
    <definedName name="solver_rel25" hidden="1">5</definedName>
    <definedName name="solver_rel26" hidden="1">5</definedName>
    <definedName name="solver_rel27" hidden="1">5</definedName>
    <definedName name="solver_rel28" hidden="1">5</definedName>
    <definedName name="solver_rel29" hidden="1">5</definedName>
    <definedName name="solver_rel3" hidden="1">5</definedName>
    <definedName name="solver_rel30" hidden="1">5</definedName>
    <definedName name="solver_rel31" hidden="1">5</definedName>
    <definedName name="solver_rel32" hidden="1">5</definedName>
    <definedName name="solver_rel33" hidden="1">5</definedName>
    <definedName name="solver_rel34" hidden="1">5</definedName>
    <definedName name="solver_rel35" hidden="1">5</definedName>
    <definedName name="solver_rel36" hidden="1">5</definedName>
    <definedName name="solver_rel37" hidden="1">5</definedName>
    <definedName name="solver_rel38" hidden="1">5</definedName>
    <definedName name="solver_rel39" hidden="1">5</definedName>
    <definedName name="solver_rel4" hidden="1">5</definedName>
    <definedName name="solver_rel40" hidden="1">5</definedName>
    <definedName name="solver_rel41" hidden="1">5</definedName>
    <definedName name="solver_rel42" hidden="1">5</definedName>
    <definedName name="solver_rel43" hidden="1">5</definedName>
    <definedName name="solver_rel44" hidden="1">5</definedName>
    <definedName name="solver_rel45" hidden="1">1</definedName>
    <definedName name="solver_rel46" hidden="1">5</definedName>
    <definedName name="solver_rel47" hidden="1">5</definedName>
    <definedName name="solver_rel48" hidden="1">5</definedName>
    <definedName name="solver_rel49" hidden="1">5</definedName>
    <definedName name="solver_rel5" hidden="1">5</definedName>
    <definedName name="solver_rel50" hidden="1">5</definedName>
    <definedName name="solver_rel51" hidden="1">5</definedName>
    <definedName name="solver_rel52" hidden="1">5</definedName>
    <definedName name="solver_rel53" hidden="1">5</definedName>
    <definedName name="solver_rel54" hidden="1">5</definedName>
    <definedName name="solver_rel55" hidden="1">5</definedName>
    <definedName name="solver_rel56" hidden="1">5</definedName>
    <definedName name="solver_rel57" hidden="1">5</definedName>
    <definedName name="solver_rel58" hidden="1">5</definedName>
    <definedName name="solver_rel59" hidden="1">5</definedName>
    <definedName name="solver_rel6" hidden="1">5</definedName>
    <definedName name="solver_rel60" hidden="1">5</definedName>
    <definedName name="solver_rel61" hidden="1">5</definedName>
    <definedName name="solver_rel62" hidden="1">5</definedName>
    <definedName name="solver_rel63" hidden="1">5</definedName>
    <definedName name="solver_rel64" hidden="1">5</definedName>
    <definedName name="solver_rel65" hidden="1">5</definedName>
    <definedName name="solver_rel66" hidden="1">5</definedName>
    <definedName name="solver_rel67" hidden="1">1</definedName>
    <definedName name="solver_rel68" hidden="1">5</definedName>
    <definedName name="solver_rel69" hidden="1">5</definedName>
    <definedName name="solver_rel7" hidden="1">5</definedName>
    <definedName name="solver_rel70" hidden="1">5</definedName>
    <definedName name="solver_rel71" hidden="1">5</definedName>
    <definedName name="solver_rel72" hidden="1">5</definedName>
    <definedName name="solver_rel73" hidden="1">5</definedName>
    <definedName name="solver_rel74" hidden="1">5</definedName>
    <definedName name="solver_rel75" hidden="1">5</definedName>
    <definedName name="solver_rel76" hidden="1">5</definedName>
    <definedName name="solver_rel77" hidden="1">5</definedName>
    <definedName name="solver_rel78" hidden="1">5</definedName>
    <definedName name="solver_rel79" hidden="1">5</definedName>
    <definedName name="solver_rel8" hidden="1">5</definedName>
    <definedName name="solver_rel80" hidden="1">5</definedName>
    <definedName name="solver_rel81" hidden="1">5</definedName>
    <definedName name="solver_rel82" hidden="1">5</definedName>
    <definedName name="solver_rel83" hidden="1">5</definedName>
    <definedName name="solver_rel84" hidden="1">5</definedName>
    <definedName name="solver_rel85" hidden="1">5</definedName>
    <definedName name="solver_rel86" hidden="1">5</definedName>
    <definedName name="solver_rel87" hidden="1">5</definedName>
    <definedName name="solver_rel88" hidden="1">5</definedName>
    <definedName name="solver_rel9" hidden="1">5</definedName>
    <definedName name="solver_rhs1" hidden="1">0</definedName>
    <definedName name="solver_rhs10" localSheetId="7" hidden="1">binary</definedName>
    <definedName name="solver_rhs10" hidden="1">binary</definedName>
    <definedName name="solver_rhs11" localSheetId="7" hidden="1">binary</definedName>
    <definedName name="solver_rhs11" hidden="1">binary</definedName>
    <definedName name="solver_rhs12" localSheetId="7" hidden="1">binary</definedName>
    <definedName name="solver_rhs12" hidden="1">binary</definedName>
    <definedName name="solver_rhs13" localSheetId="7" hidden="1">binary</definedName>
    <definedName name="solver_rhs13" hidden="1">binary</definedName>
    <definedName name="solver_rhs14" localSheetId="7" hidden="1">binary</definedName>
    <definedName name="solver_rhs14" hidden="1">binary</definedName>
    <definedName name="solver_rhs15" localSheetId="7" hidden="1">binary</definedName>
    <definedName name="solver_rhs15" hidden="1">binary</definedName>
    <definedName name="solver_rhs16" localSheetId="7" hidden="1">binary</definedName>
    <definedName name="solver_rhs16" hidden="1">binary</definedName>
    <definedName name="solver_rhs17" localSheetId="7" hidden="1">binary</definedName>
    <definedName name="solver_rhs17" hidden="1">binary</definedName>
    <definedName name="solver_rhs18" localSheetId="7" hidden="1">binary</definedName>
    <definedName name="solver_rhs18" hidden="1">binary</definedName>
    <definedName name="solver_rhs19" localSheetId="7" hidden="1">binary</definedName>
    <definedName name="solver_rhs19" hidden="1">binary</definedName>
    <definedName name="solver_rhs2" localSheetId="7" hidden="1">binary</definedName>
    <definedName name="solver_rhs2" hidden="1">binary</definedName>
    <definedName name="solver_rhs20" localSheetId="7" hidden="1">binary</definedName>
    <definedName name="solver_rhs20" hidden="1">binary</definedName>
    <definedName name="solver_rhs21" localSheetId="7" hidden="1">binary</definedName>
    <definedName name="solver_rhs21" hidden="1">binary</definedName>
    <definedName name="solver_rhs22" localSheetId="7" hidden="1">binary</definedName>
    <definedName name="solver_rhs22" hidden="1">binary</definedName>
    <definedName name="solver_rhs24" localSheetId="7" hidden="1">binary</definedName>
    <definedName name="solver_rhs24" hidden="1">binary</definedName>
    <definedName name="solver_rhs25" localSheetId="7" hidden="1">binary</definedName>
    <definedName name="solver_rhs25" hidden="1">binary</definedName>
    <definedName name="solver_rhs26" localSheetId="7" hidden="1">binary</definedName>
    <definedName name="solver_rhs26" hidden="1">binary</definedName>
    <definedName name="solver_rhs27" localSheetId="7" hidden="1">binary</definedName>
    <definedName name="solver_rhs27" hidden="1">binary</definedName>
    <definedName name="solver_rhs28" localSheetId="7" hidden="1">binary</definedName>
    <definedName name="solver_rhs28" hidden="1">binary</definedName>
    <definedName name="solver_rhs29" localSheetId="7" hidden="1">binary</definedName>
    <definedName name="solver_rhs29" hidden="1">binary</definedName>
    <definedName name="solver_rhs3" localSheetId="7" hidden="1">binary</definedName>
    <definedName name="solver_rhs3" hidden="1">binary</definedName>
    <definedName name="solver_rhs30" localSheetId="7" hidden="1">binary</definedName>
    <definedName name="solver_rhs30" hidden="1">binary</definedName>
    <definedName name="solver_rhs31" localSheetId="7" hidden="1">binary</definedName>
    <definedName name="solver_rhs31" hidden="1">binary</definedName>
    <definedName name="solver_rhs32" localSheetId="7" hidden="1">binary</definedName>
    <definedName name="solver_rhs32" hidden="1">binary</definedName>
    <definedName name="solver_rhs33" localSheetId="7" hidden="1">binary</definedName>
    <definedName name="solver_rhs33" hidden="1">binary</definedName>
    <definedName name="solver_rhs34" localSheetId="7" hidden="1">binary</definedName>
    <definedName name="solver_rhs34" hidden="1">binary</definedName>
    <definedName name="solver_rhs35" localSheetId="7" hidden="1">binary</definedName>
    <definedName name="solver_rhs35" hidden="1">binary</definedName>
    <definedName name="solver_rhs36" localSheetId="7" hidden="1">binary</definedName>
    <definedName name="solver_rhs36" hidden="1">binary</definedName>
    <definedName name="solver_rhs37" localSheetId="7" hidden="1">binary</definedName>
    <definedName name="solver_rhs37" hidden="1">binary</definedName>
    <definedName name="solver_rhs38" localSheetId="7" hidden="1">binary</definedName>
    <definedName name="solver_rhs38" hidden="1">binary</definedName>
    <definedName name="solver_rhs39" localSheetId="7" hidden="1">binary</definedName>
    <definedName name="solver_rhs39" hidden="1">binary</definedName>
    <definedName name="solver_rhs4" localSheetId="7" hidden="1">binary</definedName>
    <definedName name="solver_rhs4" hidden="1">binary</definedName>
    <definedName name="solver_rhs40" localSheetId="7" hidden="1">binary</definedName>
    <definedName name="solver_rhs40" hidden="1">binary</definedName>
    <definedName name="solver_rhs41" localSheetId="7" hidden="1">binary</definedName>
    <definedName name="solver_rhs41" hidden="1">binary</definedName>
    <definedName name="solver_rhs42" localSheetId="7" hidden="1">binary</definedName>
    <definedName name="solver_rhs42" hidden="1">binary</definedName>
    <definedName name="solver_rhs43" localSheetId="7" hidden="1">binary</definedName>
    <definedName name="solver_rhs43" hidden="1">binary</definedName>
    <definedName name="solver_rhs44" localSheetId="7" hidden="1">binary</definedName>
    <definedName name="solver_rhs44" hidden="1">binary</definedName>
    <definedName name="solver_rhs46" localSheetId="7" hidden="1">binary</definedName>
    <definedName name="solver_rhs46" hidden="1">binary</definedName>
    <definedName name="solver_rhs47" localSheetId="7" hidden="1">binary</definedName>
    <definedName name="solver_rhs47" hidden="1">binary</definedName>
    <definedName name="solver_rhs48" localSheetId="7" hidden="1">binary</definedName>
    <definedName name="solver_rhs48" hidden="1">binary</definedName>
    <definedName name="solver_rhs49" localSheetId="7" hidden="1">binary</definedName>
    <definedName name="solver_rhs49" hidden="1">binary</definedName>
    <definedName name="solver_rhs5" localSheetId="7" hidden="1">binary</definedName>
    <definedName name="solver_rhs5" hidden="1">binary</definedName>
    <definedName name="solver_rhs50" localSheetId="7" hidden="1">binary</definedName>
    <definedName name="solver_rhs50" hidden="1">binary</definedName>
    <definedName name="solver_rhs51" localSheetId="7" hidden="1">binary</definedName>
    <definedName name="solver_rhs51" hidden="1">binary</definedName>
    <definedName name="solver_rhs52" localSheetId="7" hidden="1">binary</definedName>
    <definedName name="solver_rhs52" hidden="1">binary</definedName>
    <definedName name="solver_rhs53" localSheetId="7" hidden="1">binary</definedName>
    <definedName name="solver_rhs53" hidden="1">binary</definedName>
    <definedName name="solver_rhs54" localSheetId="7" hidden="1">binary</definedName>
    <definedName name="solver_rhs54" hidden="1">binary</definedName>
    <definedName name="solver_rhs55" localSheetId="7" hidden="1">binary</definedName>
    <definedName name="solver_rhs55" hidden="1">binary</definedName>
    <definedName name="solver_rhs56" localSheetId="7" hidden="1">binary</definedName>
    <definedName name="solver_rhs56" hidden="1">binary</definedName>
    <definedName name="solver_rhs57" localSheetId="7" hidden="1">binary</definedName>
    <definedName name="solver_rhs57" hidden="1">binary</definedName>
    <definedName name="solver_rhs58" localSheetId="7" hidden="1">binary</definedName>
    <definedName name="solver_rhs58" hidden="1">binary</definedName>
    <definedName name="solver_rhs59" localSheetId="7" hidden="1">binary</definedName>
    <definedName name="solver_rhs59" hidden="1">binary</definedName>
    <definedName name="solver_rhs6" localSheetId="7" hidden="1">binary</definedName>
    <definedName name="solver_rhs6" hidden="1">binary</definedName>
    <definedName name="solver_rhs60" localSheetId="7" hidden="1">binary</definedName>
    <definedName name="solver_rhs60" hidden="1">binary</definedName>
    <definedName name="solver_rhs61" localSheetId="7" hidden="1">binary</definedName>
    <definedName name="solver_rhs61" hidden="1">binary</definedName>
    <definedName name="solver_rhs62" localSheetId="7" hidden="1">binary</definedName>
    <definedName name="solver_rhs62" hidden="1">binary</definedName>
    <definedName name="solver_rhs63" localSheetId="7" hidden="1">binary</definedName>
    <definedName name="solver_rhs63" hidden="1">binary</definedName>
    <definedName name="solver_rhs64" localSheetId="7" hidden="1">binary</definedName>
    <definedName name="solver_rhs64" hidden="1">binary</definedName>
    <definedName name="solver_rhs65" localSheetId="7" hidden="1">binary</definedName>
    <definedName name="solver_rhs65" hidden="1">binary</definedName>
    <definedName name="solver_rhs66" localSheetId="7" hidden="1">binary</definedName>
    <definedName name="solver_rhs66" hidden="1">binary</definedName>
    <definedName name="solver_rhs68" localSheetId="7" hidden="1">binary</definedName>
    <definedName name="solver_rhs68" hidden="1">binary</definedName>
    <definedName name="solver_rhs69" localSheetId="7" hidden="1">binary</definedName>
    <definedName name="solver_rhs69" hidden="1">binary</definedName>
    <definedName name="solver_rhs7" localSheetId="7" hidden="1">binary</definedName>
    <definedName name="solver_rhs7" hidden="1">binary</definedName>
    <definedName name="solver_rhs70" localSheetId="7" hidden="1">binary</definedName>
    <definedName name="solver_rhs70" hidden="1">binary</definedName>
    <definedName name="solver_rhs71" localSheetId="7" hidden="1">binary</definedName>
    <definedName name="solver_rhs71" hidden="1">binary</definedName>
    <definedName name="solver_rhs72" localSheetId="7" hidden="1">binary</definedName>
    <definedName name="solver_rhs72" hidden="1">binary</definedName>
    <definedName name="solver_rhs73" localSheetId="7" hidden="1">binary</definedName>
    <definedName name="solver_rhs73" hidden="1">binary</definedName>
    <definedName name="solver_rhs74" localSheetId="7" hidden="1">binary</definedName>
    <definedName name="solver_rhs74" hidden="1">binary</definedName>
    <definedName name="solver_rhs75" localSheetId="7" hidden="1">binary</definedName>
    <definedName name="solver_rhs75" hidden="1">binary</definedName>
    <definedName name="solver_rhs76" localSheetId="7" hidden="1">binary</definedName>
    <definedName name="solver_rhs76" hidden="1">binary</definedName>
    <definedName name="solver_rhs77" localSheetId="7" hidden="1">binary</definedName>
    <definedName name="solver_rhs77" hidden="1">binary</definedName>
    <definedName name="solver_rhs78" localSheetId="7" hidden="1">binary</definedName>
    <definedName name="solver_rhs78" hidden="1">binary</definedName>
    <definedName name="solver_rhs79" localSheetId="7" hidden="1">binary</definedName>
    <definedName name="solver_rhs79" hidden="1">binary</definedName>
    <definedName name="solver_rhs8" localSheetId="7" hidden="1">binary</definedName>
    <definedName name="solver_rhs8" hidden="1">binary</definedName>
    <definedName name="solver_rhs80" localSheetId="7" hidden="1">binary</definedName>
    <definedName name="solver_rhs80" hidden="1">binary</definedName>
    <definedName name="solver_rhs81" localSheetId="7" hidden="1">binary</definedName>
    <definedName name="solver_rhs81" hidden="1">binary</definedName>
    <definedName name="solver_rhs82" localSheetId="7" hidden="1">binary</definedName>
    <definedName name="solver_rhs82" hidden="1">binary</definedName>
    <definedName name="solver_rhs83" localSheetId="7" hidden="1">binary</definedName>
    <definedName name="solver_rhs83" hidden="1">binary</definedName>
    <definedName name="solver_rhs84" localSheetId="7" hidden="1">binary</definedName>
    <definedName name="solver_rhs84" hidden="1">binary</definedName>
    <definedName name="solver_rhs85" localSheetId="7" hidden="1">binary</definedName>
    <definedName name="solver_rhs85" hidden="1">binary</definedName>
    <definedName name="solver_rhs86" localSheetId="7" hidden="1">binary</definedName>
    <definedName name="solver_rhs86" hidden="1">binary</definedName>
    <definedName name="solver_rhs87" localSheetId="7" hidden="1">binary</definedName>
    <definedName name="solver_rhs87" hidden="1">binary</definedName>
    <definedName name="solver_rhs88" localSheetId="7" hidden="1">binary</definedName>
    <definedName name="solver_rhs88" hidden="1">binary</definedName>
    <definedName name="solver_rhs9" localSheetId="7" hidden="1">binary</definedName>
    <definedName name="solver_rhs9" hidden="1">binary</definedName>
    <definedName name="solver_scl" hidden="1">2</definedName>
    <definedName name="solver_sho" hidden="1">2</definedName>
    <definedName name="solver_tim" hidden="1">100</definedName>
    <definedName name="solver_tmp" hidden="1">150000000</definedName>
    <definedName name="solver_tol" hidden="1">0.05</definedName>
    <definedName name="solver_typ" hidden="1">1</definedName>
    <definedName name="solver_val" hidden="1">0</definedName>
    <definedName name="Sort2" hidden="1">#REF!</definedName>
    <definedName name="SOS" hidden="1">#REF!</definedName>
    <definedName name="sot" hidden="1">#REF!</definedName>
    <definedName name="SpecialUnitCount" hidden="1">#REF!</definedName>
    <definedName name="SpecialUnitType" hidden="1">#REF!</definedName>
    <definedName name="SPM" localSheetId="7" hidden="1">{#N/A,#N/A,FALSE,"Cashflow Analysis";#N/A,#N/A,FALSE,"Sensitivity Analysis";#N/A,#N/A,FALSE,"PV";#N/A,#N/A,FALSE,"Pro Forma"}</definedName>
    <definedName name="SPM" hidden="1">{#N/A,#N/A,FALSE,"Cashflow Analysis";#N/A,#N/A,FALSE,"Sensitivity Analysis";#N/A,#N/A,FALSE,"PV";#N/A,#N/A,FALSE,"Pro Forma"}</definedName>
    <definedName name="SPM.2" localSheetId="7" hidden="1">{#N/A,#N/A,FALSE,"Cashflow Analysis";#N/A,#N/A,FALSE,"Sensitivity Analysis";#N/A,#N/A,FALSE,"PV";#N/A,#N/A,FALSE,"Pro Forma"}</definedName>
    <definedName name="SPM.2" hidden="1">{#N/A,#N/A,FALSE,"Cashflow Analysis";#N/A,#N/A,FALSE,"Sensitivity Analysis";#N/A,#N/A,FALSE,"PV";#N/A,#N/A,FALSE,"Pro Forma"}</definedName>
    <definedName name="srt" hidden="1">#REF!</definedName>
    <definedName name="SS" localSheetId="7" hidden="1">{#N/A,#N/A,FALSE,"Summary Schedule Heller Ltd";#N/A,#N/A,FALSE,"Qtrly  heller Page 1";#N/A,#N/A,FALSE,"Qtrly heller Page 3"}</definedName>
    <definedName name="SS" hidden="1">{#N/A,#N/A,FALSE,"Summary Schedule Heller Ltd";#N/A,#N/A,FALSE,"Qtrly  heller Page 1";#N/A,#N/A,FALSE,"Qtrly heller Page 3"}</definedName>
    <definedName name="ssm" hidden="1">#REF!</definedName>
    <definedName name="SSO" localSheetId="7" hidden="1">{#N/A,#N/A,FALSE,"CF Consolidated 2";#N/A,#N/A,FALSE,"Retail Assump";#N/A,#N/A,FALSE,"CF Retail";#N/A,#N/A,FALSE,"Garage Assumpt 1";#N/A,#N/A,FALSE,"Garage Op Proj";#N/A,#N/A,FALSE,"Hist I&amp;E";#N/A,#N/A,FALSE,"Rent Roll";#N/A,#N/A,FALSE,"RE Taxes";#N/A,#N/A,FALSE,"CAM - BH";#N/A,#N/A,FALSE,"Comm.Condo CAM"}</definedName>
    <definedName name="SSO" hidden="1">{#N/A,#N/A,FALSE,"CF Consolidated 2";#N/A,#N/A,FALSE,"Retail Assump";#N/A,#N/A,FALSE,"CF Retail";#N/A,#N/A,FALSE,"Garage Assumpt 1";#N/A,#N/A,FALSE,"Garage Op Proj";#N/A,#N/A,FALSE,"Hist I&amp;E";#N/A,#N/A,FALSE,"Rent Roll";#N/A,#N/A,FALSE,"RE Taxes";#N/A,#N/A,FALSE,"CAM - BH";#N/A,#N/A,FALSE,"Comm.Condo CAM"}</definedName>
    <definedName name="Ssort" hidden="1">#REF!</definedName>
    <definedName name="SSSSSVS" localSheetId="7" hidden="1">{"print annual inc. statement",#N/A,FALSE,"Summary";"print annual stats",#N/A,FALSE,"Summary";"print quarterly inc. statement",#N/A,FALSE,"Summary";"print quarterly stats",#N/A,FALSE,"Summary"}</definedName>
    <definedName name="SSSSSVS" hidden="1">{"print annual inc. statement",#N/A,FALSE,"Summary";"print annual stats",#N/A,FALSE,"Summary";"print quarterly inc. statement",#N/A,FALSE,"Summary";"print quarterly stats",#N/A,FALSE,"Summary"}</definedName>
    <definedName name="st" hidden="1">#REF!</definedName>
    <definedName name="StabilizedConc">#REF!</definedName>
    <definedName name="Stadium" localSheetId="7" hidden="1">{#N/A,#N/A,TRUE,"Ericsson Stadium PCD ";#N/A,#N/A,TRUE,"Ericsson Stadium IOR"}</definedName>
    <definedName name="Stadium" hidden="1">{#N/A,#N/A,TRUE,"Ericsson Stadium PCD ";#N/A,#N/A,TRUE,"Ericsson Stadium IOR"}</definedName>
    <definedName name="stadiuma" localSheetId="7" hidden="1">{#N/A,#N/A,TRUE,"Ericsson Stadium PCD ";#N/A,#N/A,TRUE,"Ericsson Stadium IOR"}</definedName>
    <definedName name="stadiuma" hidden="1">{#N/A,#N/A,TRUE,"Ericsson Stadium PCD ";#N/A,#N/A,TRUE,"Ericsson Stadium IOR"}</definedName>
    <definedName name="StartDate" localSheetId="20">#REF!</definedName>
    <definedName name="StartDate" localSheetId="7">#REF!</definedName>
    <definedName name="StartDate">'General Inputs'!$C$28</definedName>
    <definedName name="stck" localSheetId="7" hidden="1">{"Saldenliste",#N/A,FALSE,"H A Ü"}</definedName>
    <definedName name="stck" hidden="1">{"Saldenliste",#N/A,FALSE,"H A Ü"}</definedName>
    <definedName name="str" localSheetId="7" hidden="1">{#N/A,#N/A,FALSE,"1Summary";#N/A,#N/A,FALSE,"2Assumptions";#N/A,#N/A,FALSE,"3Cash Flow";#N/A,#N/A,FALSE,"4Year 1 Reconciliation";#N/A,#N/A,FALSE,"5Residual";#N/A,#N/A,FALSE,"6Residual (Year 20)";#N/A,#N/A,FALSE,"7Financing Sensitivity";#N/A,#N/A,FALSE,"8Residual Sensitivity";#N/A,#N/A,FALSE,"9Pricing Matrix";#N/A,#N/A,FALSE,"10Vacancy Matrix";#N/A,#N/A,FALSE,"11Expiration Schedule";#N/A,#N/A,FALSE,"12Lease-up Schedule"}</definedName>
    <definedName name="str" hidden="1">{#N/A,#N/A,FALSE,"1Summary";#N/A,#N/A,FALSE,"2Assumptions";#N/A,#N/A,FALSE,"3Cash Flow";#N/A,#N/A,FALSE,"4Year 1 Reconciliation";#N/A,#N/A,FALSE,"5Residual";#N/A,#N/A,FALSE,"6Residual (Year 20)";#N/A,#N/A,FALSE,"7Financing Sensitivity";#N/A,#N/A,FALSE,"8Residual Sensitivity";#N/A,#N/A,FALSE,"9Pricing Matrix";#N/A,#N/A,FALSE,"10Vacancy Matrix";#N/A,#N/A,FALSE,"11Expiration Schedule";#N/A,#N/A,FALSE,"12Lease-up Schedule"}</definedName>
    <definedName name="SUMMARY_BOOK" localSheetId="7" hidden="1">{"page1",#N/A,FALSE,"GIRLBO";"page2",#N/A,FALSE,"GIRLBO";"page3",#N/A,FALSE,"GIRLBO";"page4",#N/A,FALSE,"GIRLBO";"page5",#N/A,FALSE,"GIRLBO"}</definedName>
    <definedName name="SUMMARY_BOOK" hidden="1">{"page1",#N/A,FALSE,"GIRLBO";"page2",#N/A,FALSE,"GIRLBO";"page3",#N/A,FALSE,"GIRLBO";"page4",#N/A,FALSE,"GIRLBO";"page5",#N/A,FALSE,"GIRLBO"}</definedName>
    <definedName name="swa" localSheetId="7" hidden="1">{#N/A,#N/A,FALSE,"III-1 Sum.Dem";#N/A,#N/A,FALSE,"III-2 RER.Dem.Pop";#N/A,#N/A,FALSE,"III-3 RER.Cap.Pop";#N/A,#N/A,FALSE,"III-4 RER.Dem.TCSS";#N/A,#N/A,FALSE,"III-5 RER.Cap.TCSS";#N/A,#N/A,FALSE,"III-6 Pow.Center.Dem";#N/A,#N/A,FALSE,"III-7 Off.Demand";#N/A,#N/A,FALSE,"III-8 Htl.Dem"}</definedName>
    <definedName name="swa" hidden="1">{#N/A,#N/A,FALSE,"III-1 Sum.Dem";#N/A,#N/A,FALSE,"III-2 RER.Dem.Pop";#N/A,#N/A,FALSE,"III-3 RER.Cap.Pop";#N/A,#N/A,FALSE,"III-4 RER.Dem.TCSS";#N/A,#N/A,FALSE,"III-5 RER.Cap.TCSS";#N/A,#N/A,FALSE,"III-6 Pow.Center.Dem";#N/A,#N/A,FALSE,"III-7 Off.Demand";#N/A,#N/A,FALSE,"III-8 Htl.Dem"}</definedName>
    <definedName name="Swvu.CAM._.RECOVERIES." hidden="1">#REF!</definedName>
    <definedName name="Swvu.CAM._.TABLE." hidden="1">#REF!</definedName>
    <definedName name="Swvu.INSURANCE._.RECOVERIES." hidden="1">#REF!</definedName>
    <definedName name="Swvu.OCCUPANCY._.ANALYSIS." hidden="1">#REF!</definedName>
    <definedName name="Swvu.Sommaire." hidden="1">#REF!,#REF!,#REF!,#REF!,#REF!,#REF!</definedName>
    <definedName name="Swvu.TAX._.RECOVERIES." hidden="1">#REF!</definedName>
    <definedName name="t.t.t" localSheetId="7" hidden="1">{"賃貸事例比較法",#N/A,FALSE,"Sheet2";"賃貸条件",#N/A,FALSE,"Sheet2"}</definedName>
    <definedName name="t.t.t" hidden="1">{"賃貸事例比較法",#N/A,FALSE,"Sheet2";"賃貸条件",#N/A,FALSE,"Sheet2"}</definedName>
    <definedName name="t4wqd" localSheetId="7" hidden="1">{"AnnInc",#N/A,TRUE,"Inc";"QtrInc1",#N/A,TRUE,"Inc";"Balance",#N/A,TRUE,"Bal";"Cflow",#N/A,TRUE,"Cash"}</definedName>
    <definedName name="t4wqd" hidden="1">{"AnnInc",#N/A,TRUE,"Inc";"QtrInc1",#N/A,TRUE,"Inc";"Balance",#N/A,TRUE,"Bal";"Cflow",#N/A,TRUE,"Cash"}</definedName>
    <definedName name="TableAnnRentGwth" localSheetId="20">#REF!</definedName>
    <definedName name="TableAnnRentGwth" localSheetId="7">#REF!</definedName>
    <definedName name="TableAnnRentGwth">'General Inputs'!$G$36:$M$42</definedName>
    <definedName name="TableConstCurves" localSheetId="20">#REF!</definedName>
    <definedName name="TableConstCurves" localSheetId="7">#REF!</definedName>
    <definedName name="TableConstCurves">'Development Inputs'!$C$235:$BJ$242</definedName>
    <definedName name="TableOperBgt">OperBgt!$G$6:$EH$128</definedName>
    <definedName name="tables" hidden="1">#REF!</definedName>
    <definedName name="Tax_Escalation_Rate">#REF!</definedName>
    <definedName name="TaxAbatement" hidden="1">#REF!</definedName>
    <definedName name="TaxCreditPercent" hidden="1">#REF!</definedName>
    <definedName name="TaxCreditUnderwriting" hidden="1">#REF!</definedName>
    <definedName name="TaxExemptFinancing" hidden="1">#REF!</definedName>
    <definedName name="tb" hidden="1">#REF!</definedName>
    <definedName name="TBM" hidden="1">#REF!</definedName>
    <definedName name="temp2" localSheetId="7" hidden="1">{"Print CRXLAND Assumptions",#N/A,FALSE,"CRXLAND Openings";"Print CRXLAND Openings",#N/A,FALSE,"CRXLAND Openings"}</definedName>
    <definedName name="temp2" hidden="1">{"Print CRXLAND Assumptions",#N/A,FALSE,"CRXLAND Openings";"Print CRXLAND Openings",#N/A,FALSE,"CRXLAND Openings"}</definedName>
    <definedName name="tempor" localSheetId="7" hidden="1">{"print annual inc. statement",#N/A,FALSE,"Summary";"print annual stats",#N/A,FALSE,"Summary";"print quarterly inc. statement",#N/A,FALSE,"Summary";"print quarterly stats",#N/A,FALSE,"Summary";"print STAY opening assumptions",#N/A,FALSE,"STAY Openings";"print STAY openings",#N/A,FALSE,"STAY Openings";"Print SPHI Assumptions",#N/A,FALSE,"SPHI Openings";"Print SPHI Openings",#N/A,FALSE,"SPHI Openings";"Print CRXLAND Assumptions",#N/A,FALSE,"CRXLAND Openings";"Print CRXLAND Openings",#N/A,FALSE,"CRXLAND Openings"}</definedName>
    <definedName name="tempor" hidden="1">{"print annual inc. statement",#N/A,FALSE,"Summary";"print annual stats",#N/A,FALSE,"Summary";"print quarterly inc. statement",#N/A,FALSE,"Summary";"print quarterly stats",#N/A,FALSE,"Summary";"print STAY opening assumptions",#N/A,FALSE,"STAY Openings";"print STAY openings",#N/A,FALSE,"STAY Openings";"Print SPHI Assumptions",#N/A,FALSE,"SPHI Openings";"Print SPHI Openings",#N/A,FALSE,"SPHI Openings";"Print CRXLAND Assumptions",#N/A,FALSE,"CRXLAND Openings";"Print CRXLAND Openings",#N/A,FALSE,"CRXLAND Openings"}</definedName>
    <definedName name="temporary" localSheetId="7" hidden="1">{"Construction Costs",#N/A,FALSE,"Total Costs"}</definedName>
    <definedName name="temporary" hidden="1">{"Construction Costs",#N/A,FALSE,"Total Costs"}</definedName>
    <definedName name="ten" hidden="1">#REF!,#REF!,#REF!,#REF!,#REF!,#REF!,#REF!,#REF!</definedName>
    <definedName name="tes" localSheetId="7" hidden="1">{"NOPCAPEVA",#N/A,FALSE,"Nopat";"FCFCSTAR",#N/A,FALSE,"FCFVAL";"EVAVL",#N/A,FALSE,"EVAVAL";"LEASE",#N/A,FALSE,"OpLease"}</definedName>
    <definedName name="tes" hidden="1">{"NOPCAPEVA",#N/A,FALSE,"Nopat";"FCFCSTAR",#N/A,FALSE,"FCFVAL";"EVAVL",#N/A,FALSE,"EVAVAL";"LEASE",#N/A,FALSE,"OpLease"}</definedName>
    <definedName name="test_1" localSheetId="7" hidden="1">{#N/A,#N/A,FALSE,"Pricing Matrix";#N/A,#N/A,FALSE,"Assumptions";#N/A,#N/A,FALSE,"Year One Pro Forma";#N/A,#N/A,FALSE,"Operating Stmts";#N/A,#N/A,FALSE,"Cash Flow Projections";#N/A,#N/A,FALSE,"Rent Roll Summary";#N/A,#N/A,FALSE,"Market Rent Detail";#N/A,#N/A,FALSE,"Effective Rental Income Detail"}</definedName>
    <definedName name="test_1" hidden="1">{#N/A,#N/A,FALSE,"Pricing Matrix";#N/A,#N/A,FALSE,"Assumptions";#N/A,#N/A,FALSE,"Year One Pro Forma";#N/A,#N/A,FALSE,"Operating Stmts";#N/A,#N/A,FALSE,"Cash Flow Projections";#N/A,#N/A,FALSE,"Rent Roll Summary";#N/A,#N/A,FALSE,"Market Rent Detail";#N/A,#N/A,FALSE,"Effective Rental Income Detail"}</definedName>
    <definedName name="test_1_1" localSheetId="7" hidden="1">{#N/A,#N/A,FALSE,"Pricing Matrix";#N/A,#N/A,FALSE,"Assumptions";#N/A,#N/A,FALSE,"Year One Pro Forma";#N/A,#N/A,FALSE,"Operating Stmts";#N/A,#N/A,FALSE,"Cash Flow Projections";#N/A,#N/A,FALSE,"Rent Roll Summary";#N/A,#N/A,FALSE,"Market Rent Detail";#N/A,#N/A,FALSE,"Effective Rental Income Detail"}</definedName>
    <definedName name="test_1_1" hidden="1">{#N/A,#N/A,FALSE,"Pricing Matrix";#N/A,#N/A,FALSE,"Assumptions";#N/A,#N/A,FALSE,"Year One Pro Forma";#N/A,#N/A,FALSE,"Operating Stmts";#N/A,#N/A,FALSE,"Cash Flow Projections";#N/A,#N/A,FALSE,"Rent Roll Summary";#N/A,#N/A,FALSE,"Market Rent Detail";#N/A,#N/A,FALSE,"Effective Rental Income Detail"}</definedName>
    <definedName name="test_1_2" localSheetId="7" hidden="1">{#N/A,#N/A,FALSE,"Pricing Matrix";#N/A,#N/A,FALSE,"Assumptions";#N/A,#N/A,FALSE,"Year One Pro Forma";#N/A,#N/A,FALSE,"Operating Stmts";#N/A,#N/A,FALSE,"Cash Flow Projections";#N/A,#N/A,FALSE,"Rent Roll Summary";#N/A,#N/A,FALSE,"Market Rent Detail";#N/A,#N/A,FALSE,"Effective Rental Income Detail"}</definedName>
    <definedName name="test_1_2" hidden="1">{#N/A,#N/A,FALSE,"Pricing Matrix";#N/A,#N/A,FALSE,"Assumptions";#N/A,#N/A,FALSE,"Year One Pro Forma";#N/A,#N/A,FALSE,"Operating Stmts";#N/A,#N/A,FALSE,"Cash Flow Projections";#N/A,#N/A,FALSE,"Rent Roll Summary";#N/A,#N/A,FALSE,"Market Rent Detail";#N/A,#N/A,FALSE,"Effective Rental Income Detail"}</definedName>
    <definedName name="test_1_3" localSheetId="7" hidden="1">{#N/A,#N/A,FALSE,"Pricing Matrix";#N/A,#N/A,FALSE,"Assumptions";#N/A,#N/A,FALSE,"Year One Pro Forma";#N/A,#N/A,FALSE,"Operating Stmts";#N/A,#N/A,FALSE,"Cash Flow Projections";#N/A,#N/A,FALSE,"Rent Roll Summary";#N/A,#N/A,FALSE,"Market Rent Detail";#N/A,#N/A,FALSE,"Effective Rental Income Detail"}</definedName>
    <definedName name="test_1_3" hidden="1">{#N/A,#N/A,FALSE,"Pricing Matrix";#N/A,#N/A,FALSE,"Assumptions";#N/A,#N/A,FALSE,"Year One Pro Forma";#N/A,#N/A,FALSE,"Operating Stmts";#N/A,#N/A,FALSE,"Cash Flow Projections";#N/A,#N/A,FALSE,"Rent Roll Summary";#N/A,#N/A,FALSE,"Market Rent Detail";#N/A,#N/A,FALSE,"Effective Rental Income Detail"}</definedName>
    <definedName name="test_2" localSheetId="7" hidden="1">{#N/A,#N/A,FALSE,"Pricing Matrix";#N/A,#N/A,FALSE,"Assumptions";#N/A,#N/A,FALSE,"Year One Pro Forma";#N/A,#N/A,FALSE,"Operating Stmts";#N/A,#N/A,FALSE,"Cash Flow Projections";#N/A,#N/A,FALSE,"Rent Roll Summary";#N/A,#N/A,FALSE,"Market Rent Detail";#N/A,#N/A,FALSE,"Effective Rental Income Detail"}</definedName>
    <definedName name="test_2" hidden="1">{#N/A,#N/A,FALSE,"Pricing Matrix";#N/A,#N/A,FALSE,"Assumptions";#N/A,#N/A,FALSE,"Year One Pro Forma";#N/A,#N/A,FALSE,"Operating Stmts";#N/A,#N/A,FALSE,"Cash Flow Projections";#N/A,#N/A,FALSE,"Rent Roll Summary";#N/A,#N/A,FALSE,"Market Rent Detail";#N/A,#N/A,FALSE,"Effective Rental Income Detail"}</definedName>
    <definedName name="test_2_1" localSheetId="7" hidden="1">{#N/A,#N/A,FALSE,"Pricing Matrix";#N/A,#N/A,FALSE,"Assumptions";#N/A,#N/A,FALSE,"Year One Pro Forma";#N/A,#N/A,FALSE,"Operating Stmts";#N/A,#N/A,FALSE,"Cash Flow Projections";#N/A,#N/A,FALSE,"Rent Roll Summary";#N/A,#N/A,FALSE,"Market Rent Detail";#N/A,#N/A,FALSE,"Effective Rental Income Detail"}</definedName>
    <definedName name="test_2_1" hidden="1">{#N/A,#N/A,FALSE,"Pricing Matrix";#N/A,#N/A,FALSE,"Assumptions";#N/A,#N/A,FALSE,"Year One Pro Forma";#N/A,#N/A,FALSE,"Operating Stmts";#N/A,#N/A,FALSE,"Cash Flow Projections";#N/A,#N/A,FALSE,"Rent Roll Summary";#N/A,#N/A,FALSE,"Market Rent Detail";#N/A,#N/A,FALSE,"Effective Rental Income Detail"}</definedName>
    <definedName name="test_2_2" localSheetId="7" hidden="1">{#N/A,#N/A,FALSE,"Pricing Matrix";#N/A,#N/A,FALSE,"Assumptions";#N/A,#N/A,FALSE,"Year One Pro Forma";#N/A,#N/A,FALSE,"Operating Stmts";#N/A,#N/A,FALSE,"Cash Flow Projections";#N/A,#N/A,FALSE,"Rent Roll Summary";#N/A,#N/A,FALSE,"Market Rent Detail";#N/A,#N/A,FALSE,"Effective Rental Income Detail"}</definedName>
    <definedName name="test_2_2" hidden="1">{#N/A,#N/A,FALSE,"Pricing Matrix";#N/A,#N/A,FALSE,"Assumptions";#N/A,#N/A,FALSE,"Year One Pro Forma";#N/A,#N/A,FALSE,"Operating Stmts";#N/A,#N/A,FALSE,"Cash Flow Projections";#N/A,#N/A,FALSE,"Rent Roll Summary";#N/A,#N/A,FALSE,"Market Rent Detail";#N/A,#N/A,FALSE,"Effective Rental Income Detail"}</definedName>
    <definedName name="test_2_3" localSheetId="7" hidden="1">{#N/A,#N/A,FALSE,"Pricing Matrix";#N/A,#N/A,FALSE,"Assumptions";#N/A,#N/A,FALSE,"Year One Pro Forma";#N/A,#N/A,FALSE,"Operating Stmts";#N/A,#N/A,FALSE,"Cash Flow Projections";#N/A,#N/A,FALSE,"Rent Roll Summary";#N/A,#N/A,FALSE,"Market Rent Detail";#N/A,#N/A,FALSE,"Effective Rental Income Detail"}</definedName>
    <definedName name="test_2_3" hidden="1">{#N/A,#N/A,FALSE,"Pricing Matrix";#N/A,#N/A,FALSE,"Assumptions";#N/A,#N/A,FALSE,"Year One Pro Forma";#N/A,#N/A,FALSE,"Operating Stmts";#N/A,#N/A,FALSE,"Cash Flow Projections";#N/A,#N/A,FALSE,"Rent Roll Summary";#N/A,#N/A,FALSE,"Market Rent Detail";#N/A,#N/A,FALSE,"Effective Rental Income Detail"}</definedName>
    <definedName name="test_3" localSheetId="7" hidden="1">{#N/A,#N/A,FALSE,"Pricing Matrix";#N/A,#N/A,FALSE,"Assumptions";#N/A,#N/A,FALSE,"Year One Pro Forma";#N/A,#N/A,FALSE,"Operating Stmts";#N/A,#N/A,FALSE,"Cash Flow Projections";#N/A,#N/A,FALSE,"Rent Roll Summary";#N/A,#N/A,FALSE,"Market Rent Detail";#N/A,#N/A,FALSE,"Effective Rental Income Detail"}</definedName>
    <definedName name="test_3" hidden="1">{#N/A,#N/A,FALSE,"Pricing Matrix";#N/A,#N/A,FALSE,"Assumptions";#N/A,#N/A,FALSE,"Year One Pro Forma";#N/A,#N/A,FALSE,"Operating Stmts";#N/A,#N/A,FALSE,"Cash Flow Projections";#N/A,#N/A,FALSE,"Rent Roll Summary";#N/A,#N/A,FALSE,"Market Rent Detail";#N/A,#N/A,FALSE,"Effective Rental Income Detail"}</definedName>
    <definedName name="test_3_1" localSheetId="7" hidden="1">{#N/A,#N/A,FALSE,"Pricing Matrix";#N/A,#N/A,FALSE,"Assumptions";#N/A,#N/A,FALSE,"Year One Pro Forma";#N/A,#N/A,FALSE,"Operating Stmts";#N/A,#N/A,FALSE,"Cash Flow Projections";#N/A,#N/A,FALSE,"Rent Roll Summary";#N/A,#N/A,FALSE,"Market Rent Detail";#N/A,#N/A,FALSE,"Effective Rental Income Detail"}</definedName>
    <definedName name="test_3_1" hidden="1">{#N/A,#N/A,FALSE,"Pricing Matrix";#N/A,#N/A,FALSE,"Assumptions";#N/A,#N/A,FALSE,"Year One Pro Forma";#N/A,#N/A,FALSE,"Operating Stmts";#N/A,#N/A,FALSE,"Cash Flow Projections";#N/A,#N/A,FALSE,"Rent Roll Summary";#N/A,#N/A,FALSE,"Market Rent Detail";#N/A,#N/A,FALSE,"Effective Rental Income Detail"}</definedName>
    <definedName name="test_3_2" localSheetId="7" hidden="1">{#N/A,#N/A,FALSE,"Pricing Matrix";#N/A,#N/A,FALSE,"Assumptions";#N/A,#N/A,FALSE,"Year One Pro Forma";#N/A,#N/A,FALSE,"Operating Stmts";#N/A,#N/A,FALSE,"Cash Flow Projections";#N/A,#N/A,FALSE,"Rent Roll Summary";#N/A,#N/A,FALSE,"Market Rent Detail";#N/A,#N/A,FALSE,"Effective Rental Income Detail"}</definedName>
    <definedName name="test_3_2" hidden="1">{#N/A,#N/A,FALSE,"Pricing Matrix";#N/A,#N/A,FALSE,"Assumptions";#N/A,#N/A,FALSE,"Year One Pro Forma";#N/A,#N/A,FALSE,"Operating Stmts";#N/A,#N/A,FALSE,"Cash Flow Projections";#N/A,#N/A,FALSE,"Rent Roll Summary";#N/A,#N/A,FALSE,"Market Rent Detail";#N/A,#N/A,FALSE,"Effective Rental Income Detail"}</definedName>
    <definedName name="test_3_3" localSheetId="7" hidden="1">{#N/A,#N/A,FALSE,"Pricing Matrix";#N/A,#N/A,FALSE,"Assumptions";#N/A,#N/A,FALSE,"Year One Pro Forma";#N/A,#N/A,FALSE,"Operating Stmts";#N/A,#N/A,FALSE,"Cash Flow Projections";#N/A,#N/A,FALSE,"Rent Roll Summary";#N/A,#N/A,FALSE,"Market Rent Detail";#N/A,#N/A,FALSE,"Effective Rental Income Detail"}</definedName>
    <definedName name="test_3_3" hidden="1">{#N/A,#N/A,FALSE,"Pricing Matrix";#N/A,#N/A,FALSE,"Assumptions";#N/A,#N/A,FALSE,"Year One Pro Forma";#N/A,#N/A,FALSE,"Operating Stmts";#N/A,#N/A,FALSE,"Cash Flow Projections";#N/A,#N/A,FALSE,"Rent Roll Summary";#N/A,#N/A,FALSE,"Market Rent Detail";#N/A,#N/A,FALSE,"Effective Rental Income Detail"}</definedName>
    <definedName name="test_4" localSheetId="7" hidden="1">{#N/A,#N/A,FALSE,"Pricing Matrix";#N/A,#N/A,FALSE,"Assumptions";#N/A,#N/A,FALSE,"Year One Pro Forma";#N/A,#N/A,FALSE,"Operating Stmts";#N/A,#N/A,FALSE,"Cash Flow Projections";#N/A,#N/A,FALSE,"Rent Roll Summary";#N/A,#N/A,FALSE,"Market Rent Detail";#N/A,#N/A,FALSE,"Effective Rental Income Detail"}</definedName>
    <definedName name="test_4" hidden="1">{#N/A,#N/A,FALSE,"Pricing Matrix";#N/A,#N/A,FALSE,"Assumptions";#N/A,#N/A,FALSE,"Year One Pro Forma";#N/A,#N/A,FALSE,"Operating Stmts";#N/A,#N/A,FALSE,"Cash Flow Projections";#N/A,#N/A,FALSE,"Rent Roll Summary";#N/A,#N/A,FALSE,"Market Rent Detail";#N/A,#N/A,FALSE,"Effective Rental Income Detail"}</definedName>
    <definedName name="test_5" localSheetId="7" hidden="1">{#N/A,#N/A,FALSE,"Pricing Matrix";#N/A,#N/A,FALSE,"Assumptions";#N/A,#N/A,FALSE,"Year One Pro Forma";#N/A,#N/A,FALSE,"Operating Stmts";#N/A,#N/A,FALSE,"Cash Flow Projections";#N/A,#N/A,FALSE,"Rent Roll Summary";#N/A,#N/A,FALSE,"Market Rent Detail";#N/A,#N/A,FALSE,"Effective Rental Income Detail"}</definedName>
    <definedName name="test_5" hidden="1">{#N/A,#N/A,FALSE,"Pricing Matrix";#N/A,#N/A,FALSE,"Assumptions";#N/A,#N/A,FALSE,"Year One Pro Forma";#N/A,#N/A,FALSE,"Operating Stmts";#N/A,#N/A,FALSE,"Cash Flow Projections";#N/A,#N/A,FALSE,"Rent Roll Summary";#N/A,#N/A,FALSE,"Market Rent Detail";#N/A,#N/A,FALSE,"Effective Rental Income Detail"}</definedName>
    <definedName name="test1" localSheetId="7" hidden="1">{#N/A,#N/A,TRUE,"10 Yr Hold";#N/A,#N/A,TRUE,"7 Yr Hold";#N/A,#N/A,TRUE,"5 Yr Hold";#N/A,#N/A,TRUE,"3 Yr Hold"}</definedName>
    <definedName name="test1" hidden="1">{#N/A,#N/A,TRUE,"10 Yr Hold";#N/A,#N/A,TRUE,"7 Yr Hold";#N/A,#N/A,TRUE,"5 Yr Hold";#N/A,#N/A,TRUE,"3 Yr Hold"}</definedName>
    <definedName name="test2" localSheetId="7" hidden="1">{#N/A,#N/A,TRUE,"10 Yr Hold";#N/A,#N/A,TRUE,"7 Yr Hold";#N/A,#N/A,TRUE,"5 Yr Hold";#N/A,#N/A,TRUE,"3 Yr Hold"}</definedName>
    <definedName name="test2" hidden="1">{#N/A,#N/A,TRUE,"10 Yr Hold";#N/A,#N/A,TRUE,"7 Yr Hold";#N/A,#N/A,TRUE,"5 Yr Hold";#N/A,#N/A,TRUE,"3 Yr Hold"}</definedName>
    <definedName name="test21" localSheetId="7" hidden="1">{#N/A,#N/A,FALSE,"Calculator"}</definedName>
    <definedName name="test21" hidden="1">{#N/A,#N/A,FALSE,"Calculator"}</definedName>
    <definedName name="Test3" localSheetId="7" hidden="1">{"INCOME",#N/A,FALSE,"ProNet";"VALUE",#N/A,FALSE,"ProNet"}</definedName>
    <definedName name="Test3" hidden="1">{"INCOME",#N/A,FALSE,"ProNet";"VALUE",#N/A,FALSE,"ProNet"}</definedName>
    <definedName name="test31" localSheetId="7" hidden="1">{#N/A,#N/A,FALSE,"Calculator"}</definedName>
    <definedName name="test31" hidden="1">{#N/A,#N/A,FALSE,"Calculator"}</definedName>
    <definedName name="test4" localSheetId="7" hidden="1">{"CHART",#N/A,FALSE,"Arch Communications"}</definedName>
    <definedName name="test4" hidden="1">{"CHART",#N/A,FALSE,"Arch Communications"}</definedName>
    <definedName name="testing" localSheetId="7" hidden="1">{"VIEW1",#N/A,TRUE,"NO DECK";"VIEW2",#N/A,TRUE,"NO DECK";"VIEW3",#N/A,TRUE,"NO DECK";"VIEW4",#N/A,TRUE,"NO DECK"}</definedName>
    <definedName name="testing" hidden="1">{"VIEW1",#N/A,TRUE,"NO DECK";"VIEW2",#N/A,TRUE,"NO DECK";"VIEW3",#N/A,TRUE,"NO DECK";"VIEW4",#N/A,TRUE,"NO DECK"}</definedName>
    <definedName name="TextRefCopyRangeCount" hidden="1">4</definedName>
    <definedName name="Thomas" localSheetId="7" hidden="1">{#N/A,#N/A,FALSE,"Aktiv";#N/A,#N/A,FALSE,"stat.con.";#N/A,#N/A,FALSE,"Konzern"}</definedName>
    <definedName name="Thomas" hidden="1">{#N/A,#N/A,FALSE,"Aktiv";#N/A,#N/A,FALSE,"stat.con.";#N/A,#N/A,FALSE,"Konzern"}</definedName>
    <definedName name="THOMES">#REF!</definedName>
    <definedName name="Tier2rate">#REF!</definedName>
    <definedName name="Tier3rate">#REF!</definedName>
    <definedName name="Tier4rate">#REF!</definedName>
    <definedName name="tjhrw" localSheetId="7" hidden="1">{"NOPCAPEVA",#N/A,FALSE,"Nopat";"FCFCSTAR",#N/A,FALSE,"FCFVAL";"EVAVL",#N/A,FALSE,"EVAVAL";"LEASE",#N/A,FALSE,"OpLease"}</definedName>
    <definedName name="tjhrw" hidden="1">{"NOPCAPEVA",#N/A,FALSE,"Nopat";"FCFCSTAR",#N/A,FALSE,"FCFVAL";"EVAVL",#N/A,FALSE,"EVAVAL";"LEASE",#N/A,FALSE,"OpLease"}</definedName>
    <definedName name="TotalAandE" localSheetId="20">#REF!</definedName>
    <definedName name="TotalAandE" localSheetId="7">#REF!</definedName>
    <definedName name="TotalAandE">'Development Inputs'!$L$26</definedName>
    <definedName name="TotalADValorem" localSheetId="20">#REF!</definedName>
    <definedName name="TotalADValorem" localSheetId="7">#REF!</definedName>
    <definedName name="TotalADValorem">'Development Inputs'!$E$10</definedName>
    <definedName name="TotalContingency" localSheetId="20">#REF!</definedName>
    <definedName name="TotalContingency" localSheetId="7">#REF!</definedName>
    <definedName name="TotalContingency">'Development Inputs'!$E$18</definedName>
    <definedName name="TotalCostperUnit">#REF!</definedName>
    <definedName name="TotalDeficits" localSheetId="20">#REF!</definedName>
    <definedName name="TotalDeficits" localSheetId="7">#REF!</definedName>
    <definedName name="TotalDeficits">'Development Inputs'!$L$56</definedName>
    <definedName name="TotalFFandE" localSheetId="20">#REF!</definedName>
    <definedName name="TotalFFandE" localSheetId="7">#REF!</definedName>
    <definedName name="TotalFFandE">'Development Inputs'!$E$46</definedName>
    <definedName name="TotalFinancing" localSheetId="20">#REF!</definedName>
    <definedName name="TotalFinancing" localSheetId="7">#REF!</definedName>
    <definedName name="TotalFinancing">'Development Inputs'!$E$114</definedName>
    <definedName name="TotalHardCosts" localSheetId="20">#REF!</definedName>
    <definedName name="TotalHardCosts" localSheetId="7">#REF!</definedName>
    <definedName name="TotalHardCosts">'Development Inputs'!$K$123</definedName>
    <definedName name="TotalInsurance" localSheetId="20">#REF!</definedName>
    <definedName name="TotalInsurance" localSheetId="7">#REF!</definedName>
    <definedName name="TotalInsurance">'Development Inputs'!$E$126</definedName>
    <definedName name="TotalLand" localSheetId="20">#REF!</definedName>
    <definedName name="TotalLand" localSheetId="7">#REF!</definedName>
    <definedName name="TotalLand">'Development Inputs'!$E$95</definedName>
    <definedName name="TotalMunicipal">'Development Inputs'!$K$120</definedName>
    <definedName name="TotalNRSF" localSheetId="20">#REF!</definedName>
    <definedName name="TotalNRSF" localSheetId="7">#REF!</definedName>
    <definedName name="TotalNRSF">'Operating Inputs'!$J$45</definedName>
    <definedName name="TotalOverhead" localSheetId="20">#REF!</definedName>
    <definedName name="TotalOverhead" localSheetId="7">#REF!</definedName>
    <definedName name="TotalOverhead">'Development Inputs'!$L$104</definedName>
    <definedName name="TotalProjectCost" localSheetId="20">#REF!</definedName>
    <definedName name="TotalProjectCost" localSheetId="7">#REF!</definedName>
    <definedName name="TotalProjectCost">DevBdgt!$EH$48</definedName>
    <definedName name="TotalProjectOHLot" hidden="1">#REF!</definedName>
    <definedName name="TotalRetail" localSheetId="20">#REF!</definedName>
    <definedName name="TotalRetail" localSheetId="7">#REF!</definedName>
    <definedName name="TotalRetail">'Development Inputs'!$L$66</definedName>
    <definedName name="TotalSalesPrice" hidden="1">#REF!</definedName>
    <definedName name="TotalStartup" localSheetId="20">#REF!</definedName>
    <definedName name="TotalStartup" localSheetId="7">#REF!</definedName>
    <definedName name="TotalStartup">'Development Inputs'!$L$50</definedName>
    <definedName name="trash" localSheetId="7" hidden="1">binary</definedName>
    <definedName name="trash" hidden="1">binary</definedName>
    <definedName name="TrashRec" localSheetId="7" hidden="1">{"CA Summary",#N/A,FALSE,"COMMON AREA EXPENSE SUMMARY";"CA Mainten",#N/A,FALSE,"COMMON AREA MAINTENANCE"}</definedName>
    <definedName name="TrashRec" hidden="1">{"CA Summary",#N/A,FALSE,"COMMON AREA EXPENSE SUMMARY";"CA Mainten",#N/A,FALSE,"COMMON AREA MAINTENANCE"}</definedName>
    <definedName name="trashs" localSheetId="7" hidden="1">binary</definedName>
    <definedName name="trashs" hidden="1">binary</definedName>
    <definedName name="tre" localSheetId="7" hidden="1">{"NOPCAPEVA",#N/A,FALSE,"Nopat";"FCFCSTAR",#N/A,FALSE,"FCFVAL";"EVAVL",#N/A,FALSE,"EVAVAL";"LEASE",#N/A,FALSE,"OpLease"}</definedName>
    <definedName name="tre" hidden="1">{"NOPCAPEVA",#N/A,FALSE,"Nopat";"FCFCSTAR",#N/A,FALSE,"FCFVAL";"EVAVL",#N/A,FALSE,"EVAVAL";"LEASE",#N/A,FALSE,"OpLease"}</definedName>
    <definedName name="Trended_hard_cost">#REF!</definedName>
    <definedName name="trended_partner_contributions">#REF!</definedName>
    <definedName name="trhrwty" hidden="1">#REF!</definedName>
    <definedName name="trial" localSheetId="7" hidden="1">{"Outflow 1",#N/A,FALSE,"Outflows-Inflows";"Outflow 2",#N/A,FALSE,"Outflows-Inflows";"Inflow 1",#N/A,FALSE,"Outflows-Inflows";"Inflow 2",#N/A,FALSE,"Outflows-Inflows"}</definedName>
    <definedName name="trial" hidden="1">{"Outflow 1",#N/A,FALSE,"Outflows-Inflows";"Outflow 2",#N/A,FALSE,"Outflows-Inflows";"Inflow 1",#N/A,FALSE,"Outflows-Inflows";"Inflow 2",#N/A,FALSE,"Outflows-Inflows"}</definedName>
    <definedName name="ts" localSheetId="7" hidden="1">{"CASHFLOW",#N/A,FALSE,"Northpointe"}</definedName>
    <definedName name="ts" hidden="1">{"CASHFLOW",#N/A,FALSE,"Northpointe"}</definedName>
    <definedName name="tt" localSheetId="7" hidden="1">{"Kontenverteilung",#N/A,FALSE,"H A Ü"}</definedName>
    <definedName name="tt" hidden="1">{"Kontenverteilung",#N/A,FALSE,"H A Ü"}</definedName>
    <definedName name="ttt" hidden="1">#REF!</definedName>
    <definedName name="TurnoverMth">#REF!</definedName>
    <definedName name="TurnoverPct" localSheetId="20">#REF!</definedName>
    <definedName name="TurnoverPct" localSheetId="7">#REF!</definedName>
    <definedName name="TurnoverPct">'Operating Inputs'!$M$8</definedName>
    <definedName name="twins" localSheetId="7" hidden="1">{"Construction Costs",#N/A,FALSE,"Budget";"Income Statement",#N/A,FALSE,"Budget"}</definedName>
    <definedName name="twins" hidden="1">{"Construction Costs",#N/A,FALSE,"Budget";"Income Statement",#N/A,FALSE,"Budget"}</definedName>
    <definedName name="twre" localSheetId="7" hidden="1">{"NOPCAPEVA",#N/A,FALSE,"Nopat";"FCFCSTAR",#N/A,FALSE,"FCFVAL";"EVAVL",#N/A,FALSE,"EVAVAL";"LEASE",#N/A,FALSE,"OpLease"}</definedName>
    <definedName name="twre" hidden="1">{"NOPCAPEVA",#N/A,FALSE,"Nopat";"FCFCSTAR",#N/A,FALSE,"FCFVAL";"EVAVL",#N/A,FALSE,"EVAVAL";"LEASE",#N/A,FALSE,"OpLease"}</definedName>
    <definedName name="TY" hidden="1">#REF!</definedName>
    <definedName name="ug" localSheetId="7" hidden="1">{"NOPCAPEVA",#N/A,FALSE,"Nopat";"FCFCSTAR",#N/A,FALSE,"FCFVAL";"EVAVL",#N/A,FALSE,"EVAVAL";"LEASE",#N/A,FALSE,"OpLease"}</definedName>
    <definedName name="ug" hidden="1">{"NOPCAPEVA",#N/A,FALSE,"Nopat";"FCFCSTAR",#N/A,FALSE,"FCFVAL";"EVAVL",#N/A,FALSE,"EVAVAL";"LEASE",#N/A,FALSE,"OpLease"}</definedName>
    <definedName name="ujkry" localSheetId="7" hidden="1">{"NOPCAPEVA",#N/A,FALSE,"Nopat";"FCFCSTAR",#N/A,FALSE,"FCFVAL";"EVAVL",#N/A,FALSE,"EVAVAL";"LEASE",#N/A,FALSE,"OpLease"}</definedName>
    <definedName name="ujkry" hidden="1">{"NOPCAPEVA",#N/A,FALSE,"Nopat";"FCFCSTAR",#N/A,FALSE,"FCFVAL";"EVAVL",#N/A,FALSE,"EVAVAL";"LEASE",#N/A,FALSE,"OpLease"}</definedName>
    <definedName name="unattached" localSheetId="7" hidden="1">{#N/A,#N/A,FALSE,"el.det";#N/A,#N/A,FALSE,"mu.det";#N/A,#N/A,FALSE,"ug.det";#N/A,#N/A,FALSE,"ex.det";#N/A,#N/A,FALSE,"lux.det";#N/A,#N/A,FALSE,"custom.lot";#N/A,#N/A,FALSE,"condo.att";#N/A,#N/A,FALSE,"el.att";#N/A,#N/A,FALSE,"mu.att";#N/A,#N/A,FALSE,"ex.att";#N/A,#N/A,FALSE,"lux.att";#N/A,#N/A,FALSE,"all.by.village"}</definedName>
    <definedName name="unattached" hidden="1">{#N/A,#N/A,FALSE,"el.det";#N/A,#N/A,FALSE,"mu.det";#N/A,#N/A,FALSE,"ug.det";#N/A,#N/A,FALSE,"ex.det";#N/A,#N/A,FALSE,"lux.det";#N/A,#N/A,FALSE,"custom.lot";#N/A,#N/A,FALSE,"condo.att";#N/A,#N/A,FALSE,"el.att";#N/A,#N/A,FALSE,"mu.att";#N/A,#N/A,FALSE,"ex.att";#N/A,#N/A,FALSE,"lux.att";#N/A,#N/A,FALSE,"all.by.village"}</definedName>
    <definedName name="Under50Median" hidden="1">#REF!</definedName>
    <definedName name="Under60Median" hidden="1">#REF!</definedName>
    <definedName name="Under80Median" hidden="1">#REF!</definedName>
    <definedName name="unf.Leist" localSheetId="7" hidden="1">{"Alles",#N/A,FALSE,"H A Ü"}</definedName>
    <definedName name="unf.Leist" hidden="1">{"Alles",#N/A,FALSE,"H A Ü"}</definedName>
    <definedName name="Unfert.Leist" localSheetId="7" hidden="1">{"Saldenliste",#N/A,FALSE,"H A Ü"}</definedName>
    <definedName name="Unfert.Leist" hidden="1">{"Saldenliste",#N/A,FALSE,"H A Ü"}</definedName>
    <definedName name="Union">#REF!</definedName>
    <definedName name="unists2">#REF!</definedName>
    <definedName name="UnitDelivery" localSheetId="20">#REF!</definedName>
    <definedName name="UnitDelivery" localSheetId="7">#REF!</definedName>
    <definedName name="UnitDelivery">'General Inputs'!$C$43</definedName>
    <definedName name="Units" localSheetId="20">#REF!</definedName>
    <definedName name="Units" localSheetId="7">#REF!</definedName>
    <definedName name="Units">'Operating Inputs'!$E$45</definedName>
    <definedName name="units2">#REF!</definedName>
    <definedName name="unknown" localSheetId="7" hidden="1">{#N/A,#N/A,FALSE,"Occ and Rate";#N/A,#N/A,FALSE,"PF Input";#N/A,#N/A,FALSE,"Capital Input";#N/A,#N/A,FALSE,"Proforma Five Yr";#N/A,#N/A,FALSE,"Calculations";#N/A,#N/A,FALSE,"Transaction Summary-DTW"}</definedName>
    <definedName name="unknown" hidden="1">{#N/A,#N/A,FALSE,"Occ and Rate";#N/A,#N/A,FALSE,"PF Input";#N/A,#N/A,FALSE,"Capital Input";#N/A,#N/A,FALSE,"Proforma Five Yr";#N/A,#N/A,FALSE,"Calculations";#N/A,#N/A,FALSE,"Transaction Summary-DTW"}</definedName>
    <definedName name="unknown2" localSheetId="7" hidden="1">{#N/A,#N/A,FALSE,"Proforma Five Yr";#N/A,#N/A,FALSE,"Capital Input";#N/A,#N/A,FALSE,"Calculations";#N/A,#N/A,FALSE,"Transaction Summary-DTW"}</definedName>
    <definedName name="unknown2" hidden="1">{#N/A,#N/A,FALSE,"Proforma Five Yr";#N/A,#N/A,FALSE,"Capital Input";#N/A,#N/A,FALSE,"Calculations";#N/A,#N/A,FALSE,"Transaction Summary-DTW"}</definedName>
    <definedName name="untrended_dates">#REF!</definedName>
    <definedName name="untrended_partner_contributions">#REF!</definedName>
    <definedName name="UP" localSheetId="7" hidden="1">{"'Inventory &amp; Anal-Cur Wkbk'!$A$7:$AP$71"}</definedName>
    <definedName name="UP" hidden="1">{"'Inventory &amp; Anal-Cur Wkbk'!$A$7:$AP$71"}</definedName>
    <definedName name="Updated" hidden="1">#REF!</definedName>
    <definedName name="urt" localSheetId="7" hidden="1">{"NOPCAPEVA",#N/A,FALSE,"Nopat";"FCFCSTAR",#N/A,FALSE,"FCFVAL";"EVAVL",#N/A,FALSE,"EVAVAL";"LEASE",#N/A,FALSE,"OpLease"}</definedName>
    <definedName name="urt" hidden="1">{"NOPCAPEVA",#N/A,FALSE,"Nopat";"FCFCSTAR",#N/A,FALSE,"FCFVAL";"EVAVL",#N/A,FALSE,"EVAVAL";"LEASE",#N/A,FALSE,"OpLease"}</definedName>
    <definedName name="Utilities" localSheetId="20">#REF!</definedName>
    <definedName name="Utilities" localSheetId="7">#REF!</definedName>
    <definedName name="Utilities">'Operating Inputs'!$F$121</definedName>
    <definedName name="UtilitiesMth">#REF!</definedName>
    <definedName name="uu" hidden="1">#REF!</definedName>
    <definedName name="uwe" localSheetId="7" hidden="1">{"Alles",#N/A,FALSE,"H A Ü"}</definedName>
    <definedName name="uwe" hidden="1">{"Alles",#N/A,FALSE,"H A Ü"}</definedName>
    <definedName name="uyj" localSheetId="7" hidden="1">{"AnnInc",#N/A,TRUE,"Inc";"QtrInc1",#N/A,TRUE,"Inc";"Balance",#N/A,TRUE,"Bal";"Cflow",#N/A,TRUE,"Cash"}</definedName>
    <definedName name="uyj" hidden="1">{"AnnInc",#N/A,TRUE,"Inc";"QtrInc1",#N/A,TRUE,"Inc";"Balance",#N/A,TRUE,"Bal";"Cflow",#N/A,TRUE,"Cash"}</definedName>
    <definedName name="uyte" localSheetId="7" hidden="1">{"AnnInc",#N/A,TRUE,"Inc";"QtrInc1",#N/A,TRUE,"Inc";"Balance",#N/A,TRUE,"Bal";"Cflow",#N/A,TRUE,"Cash"}</definedName>
    <definedName name="uyte" hidden="1">{"AnnInc",#N/A,TRUE,"Inc";"QtrInc1",#N/A,TRUE,"Inc";"Balance",#N/A,TRUE,"Bal";"Cflow",#N/A,TRUE,"Cash"}</definedName>
    <definedName name="v" hidden="1">#REF!</definedName>
    <definedName name="Vac">1-#REF!</definedName>
    <definedName name="Vacancy" localSheetId="20">#REF!</definedName>
    <definedName name="Vacancy" localSheetId="7">#REF!</definedName>
    <definedName name="Vacancy">'Operating Inputs'!$C$11</definedName>
    <definedName name="Value" localSheetId="7" hidden="1">{#N/A,#N/A,FALSE,"Cashflow Analysis";#N/A,#N/A,FALSE,"Sensitivity Analysis";#N/A,#N/A,FALSE,"PV";#N/A,#N/A,FALSE,"Pro Forma"}</definedName>
    <definedName name="Value" hidden="1">{#N/A,#N/A,FALSE,"Cashflow Analysis";#N/A,#N/A,FALSE,"Sensitivity Analysis";#N/A,#N/A,FALSE,"PV";#N/A,#N/A,FALSE,"Pro Forma"}</definedName>
    <definedName name="Value.2" localSheetId="7" hidden="1">{#N/A,#N/A,FALSE,"Cashflow Analysis";#N/A,#N/A,FALSE,"Sensitivity Analysis";#N/A,#N/A,FALSE,"PV";#N/A,#N/A,FALSE,"Pro Forma"}</definedName>
    <definedName name="Value.2" hidden="1">{#N/A,#N/A,FALSE,"Cashflow Analysis";#N/A,#N/A,FALSE,"Sensitivity Analysis";#N/A,#N/A,FALSE,"PV";#N/A,#N/A,FALSE,"Pro Forma"}</definedName>
    <definedName name="value1" localSheetId="7" hidden="1">{#N/A,#N/A,FALSE,"Cashflow Analysis";#N/A,#N/A,FALSE,"Sensitivity Analysis";#N/A,#N/A,FALSE,"PV";#N/A,#N/A,FALSE,"Pro Forma"}</definedName>
    <definedName name="value1" hidden="1">{#N/A,#N/A,FALSE,"Cashflow Analysis";#N/A,#N/A,FALSE,"Sensitivity Analysis";#N/A,#N/A,FALSE,"PV";#N/A,#N/A,FALSE,"Pro Forma"}</definedName>
    <definedName name="value1.2" localSheetId="7" hidden="1">{#N/A,#N/A,FALSE,"Cashflow Analysis";#N/A,#N/A,FALSE,"Sensitivity Analysis";#N/A,#N/A,FALSE,"PV";#N/A,#N/A,FALSE,"Pro Forma"}</definedName>
    <definedName name="value1.2" hidden="1">{#N/A,#N/A,FALSE,"Cashflow Analysis";#N/A,#N/A,FALSE,"Sensitivity Analysis";#N/A,#N/A,FALSE,"PV";#N/A,#N/A,FALSE,"Pro Forma"}</definedName>
    <definedName name="Values_Entered" localSheetId="8">IF(Loan_Amount*Interest_Rate*Loan_Years*Loan_Start&gt;0,1,0)</definedName>
    <definedName name="Values_Entered" localSheetId="20">IF(Loan_Amount*Interest_Rate*Loan_Years*Loan_Start&gt;0,1,0)</definedName>
    <definedName name="Values_Entered" localSheetId="7">IF(Loan_Amount*Interest_Rate*Loan_Years*Loan_Start&gt;0,1,0)</definedName>
    <definedName name="Values_Entered">IF(Loan_Amount*Interest_Rate*Loan_Years*Loan_Start&gt;0,1,0)</definedName>
    <definedName name="var96_96" localSheetId="7" hidden="1">{#N/A,#N/A,FALSE,"B_Spread"}</definedName>
    <definedName name="var96_96" hidden="1">{#N/A,#N/A,FALSE,"B_Spread"}</definedName>
    <definedName name="Variance" localSheetId="7" hidden="1">{"ACI IS",#N/A,FALSE,"ACI - IS";"ACI BS",#N/A,FALSE,"ACI - BS";"ACI Detail IS",#N/A,FALSE,"ACI - Detail IS";"ACI Detail IS Supplemental Info",#N/A,FALSE,"ACI - Detail IS";"ACI Monthly 1999",#N/A,FALSE,"ACI Monthly";"ACI Monthly 1998",#N/A,FALSE,"ACI Monthly";"ACI Monthly 1997",#N/A,FALSE,"ACI Monthly"}</definedName>
    <definedName name="Variance" hidden="1">{"ACI IS",#N/A,FALSE,"ACI - IS";"ACI BS",#N/A,FALSE,"ACI - BS";"ACI Detail IS",#N/A,FALSE,"ACI - Detail IS";"ACI Detail IS Supplemental Info",#N/A,FALSE,"ACI - Detail IS";"ACI Monthly 1999",#N/A,FALSE,"ACI Monthly";"ACI Monthly 1998",#N/A,FALSE,"ACI Monthly";"ACI Monthly 1997",#N/A,FALSE,"ACI Monthly"}</definedName>
    <definedName name="vbcz" localSheetId="7" hidden="1">{"NOPCAPEVA",#N/A,FALSE,"Nopat";"FCFCSTAR",#N/A,FALSE,"FCFVAL";"EVAVL",#N/A,FALSE,"EVAVAL";"LEASE",#N/A,FALSE,"OpLease"}</definedName>
    <definedName name="vbcz" hidden="1">{"NOPCAPEVA",#N/A,FALSE,"Nopat";"FCFCSTAR",#N/A,FALSE,"FCFVAL";"EVAVL",#N/A,FALSE,"EVAVAL";"LEASE",#N/A,FALSE,"OpLease"}</definedName>
    <definedName name="vcxf" localSheetId="7" hidden="1">{"NOPCAPEVA",#N/A,FALSE,"Nopat";"FCFCSTAR",#N/A,FALSE,"FCFVAL";"EVAVL",#N/A,FALSE,"EVAVAL";"LEASE",#N/A,FALSE,"OpLease"}</definedName>
    <definedName name="vcxf" hidden="1">{"NOPCAPEVA",#N/A,FALSE,"Nopat";"FCFCSTAR",#N/A,FALSE,"FCFVAL";"EVAVL",#N/A,FALSE,"EVAVAL";"LEASE",#N/A,FALSE,"OpLease"}</definedName>
    <definedName name="vcxz" localSheetId="7" hidden="1">{"NOPCAPEVA",#N/A,FALSE,"Nopat";"FCFCSTAR",#N/A,FALSE,"FCFVAL";"EVAVL",#N/A,FALSE,"EVAVAL";"LEASE",#N/A,FALSE,"OpLease"}</definedName>
    <definedName name="vcxz" hidden="1">{"NOPCAPEVA",#N/A,FALSE,"Nopat";"FCFCSTAR",#N/A,FALSE,"FCFVAL";"EVAVL",#N/A,FALSE,"EVAVAL";"LEASE",#N/A,FALSE,"OpLease"}</definedName>
    <definedName name="vczxdf" localSheetId="7" hidden="1">{"AnnInc",#N/A,TRUE,"Inc";"QtrInc1",#N/A,TRUE,"Inc";"Balance",#N/A,TRUE,"Bal";"Cflow",#N/A,TRUE,"Cash"}</definedName>
    <definedName name="vczxdf" hidden="1">{"AnnInc",#N/A,TRUE,"Inc";"QtrInc1",#N/A,TRUE,"Inc";"Balance",#N/A,TRUE,"Bal";"Cflow",#N/A,TRUE,"Cash"}</definedName>
    <definedName name="vfdz" localSheetId="7" hidden="1">{"NOPCAPEVA",#N/A,FALSE,"Nopat";"FCFCSTAR",#N/A,FALSE,"FCFVAL";"EVAVL",#N/A,FALSE,"EVAVAL";"LEASE",#N/A,FALSE,"OpLease"}</definedName>
    <definedName name="vfdz" hidden="1">{"NOPCAPEVA",#N/A,FALSE,"Nopat";"FCFCSTAR",#N/A,FALSE,"FCFVAL";"EVAVL",#N/A,FALSE,"EVAVAL";"LEASE",#N/A,FALSE,"OpLease"}</definedName>
    <definedName name="vj" localSheetId="7" hidden="1">{#N/A,#N/A,FALSE,"Assumptions";#N/A,#N/A,FALSE,"10-Yr - detail";#N/A,#N/A,FALSE,"Rent Roll";#N/A,#N/A,FALSE,"Historical (2)";#N/A,#N/A,FALSE,"RET's";#N/A,#N/A,FALSE,"Lse-Exp.";#N/A,#N/A,FALSE,"Lease Rollover";#N/A,#N/A,FALSE,"Service Contracts"}</definedName>
    <definedName name="vj" hidden="1">{#N/A,#N/A,FALSE,"Assumptions";#N/A,#N/A,FALSE,"10-Yr - detail";#N/A,#N/A,FALSE,"Rent Roll";#N/A,#N/A,FALSE,"Historical (2)";#N/A,#N/A,FALSE,"RET's";#N/A,#N/A,FALSE,"Lse-Exp.";#N/A,#N/A,FALSE,"Lease Rollover";#N/A,#N/A,FALSE,"Service Contracts"}</definedName>
    <definedName name="vv" localSheetId="7" hidden="1">{"mgmt forecast",#N/A,FALSE,"Mgmt Forecast";"dcf table",#N/A,FALSE,"Mgmt Forecast";"sensitivity",#N/A,FALSE,"Mgmt Forecast";"table inputs",#N/A,FALSE,"Mgmt Forecast";"calculations",#N/A,FALSE,"Mgmt Forecast"}</definedName>
    <definedName name="vv" hidden="1">{"mgmt forecast",#N/A,FALSE,"Mgmt Forecast";"dcf table",#N/A,FALSE,"Mgmt Forecast";"sensitivity",#N/A,FALSE,"Mgmt Forecast";"table inputs",#N/A,FALSE,"Mgmt Forecast";"calculations",#N/A,FALSE,"Mgmt Forecast"}</definedName>
    <definedName name="vvvv" localSheetId="7" hidden="1">{#N/A,#N/A,FALSE,"Cashflow Analysis";#N/A,#N/A,FALSE,"Sensitivity Analysis";#N/A,#N/A,FALSE,"PV";#N/A,#N/A,FALSE,"Pro Forma"}</definedName>
    <definedName name="vvvv" hidden="1">{#N/A,#N/A,FALSE,"Cashflow Analysis";#N/A,#N/A,FALSE,"Sensitivity Analysis";#N/A,#N/A,FALSE,"PV";#N/A,#N/A,FALSE,"Pro Forma"}</definedName>
    <definedName name="VVVV.2" localSheetId="7" hidden="1">{#N/A,#N/A,FALSE,"Cashflow Analysis";#N/A,#N/A,FALSE,"Sensitivity Analysis";#N/A,#N/A,FALSE,"PV";#N/A,#N/A,FALSE,"Pro Forma"}</definedName>
    <definedName name="VVVV.2" hidden="1">{#N/A,#N/A,FALSE,"Cashflow Analysis";#N/A,#N/A,FALSE,"Sensitivity Analysis";#N/A,#N/A,FALSE,"PV";#N/A,#N/A,FALSE,"Pro Forma"}</definedName>
    <definedName name="vz" localSheetId="7" hidden="1">{"mgmt forecast",#N/A,FALSE,"Mgmt Forecast";"dcf table",#N/A,FALSE,"Mgmt Forecast";"sensitivity",#N/A,FALSE,"Mgmt Forecast";"table inputs",#N/A,FALSE,"Mgmt Forecast";"calculations",#N/A,FALSE,"Mgmt Forecast"}</definedName>
    <definedName name="vz" hidden="1">{"mgmt forecast",#N/A,FALSE,"Mgmt Forecast";"dcf table",#N/A,FALSE,"Mgmt Forecast";"sensitivity",#N/A,FALSE,"Mgmt Forecast";"table inputs",#N/A,FALSE,"Mgmt Forecast";"calculations",#N/A,FALSE,"Mgmt Forecast"}</definedName>
    <definedName name="vzdxf" localSheetId="7" hidden="1">{"NOPCAPEVA",#N/A,FALSE,"Nopat";"FCFCSTAR",#N/A,FALSE,"FCFVAL";"EVAVL",#N/A,FALSE,"EVAVAL";"LEASE",#N/A,FALSE,"OpLease"}</definedName>
    <definedName name="vzdxf" hidden="1">{"NOPCAPEVA",#N/A,FALSE,"Nopat";"FCFCSTAR",#N/A,FALSE,"FCFVAL";"EVAVL",#N/A,FALSE,"EVAVAL";"LEASE",#N/A,FALSE,"OpLease"}</definedName>
    <definedName name="vzx" localSheetId="7" hidden="1">{"mgmt forecast",#N/A,FALSE,"Mgmt Forecast";"dcf table",#N/A,FALSE,"Mgmt Forecast";"sensitivity",#N/A,FALSE,"Mgmt Forecast";"table inputs",#N/A,FALSE,"Mgmt Forecast";"calculations",#N/A,FALSE,"Mgmt Forecast"}</definedName>
    <definedName name="vzx" hidden="1">{"mgmt forecast",#N/A,FALSE,"Mgmt Forecast";"dcf table",#N/A,FALSE,"Mgmt Forecast";"sensitivity",#N/A,FALSE,"Mgmt Forecast";"table inputs",#N/A,FALSE,"Mgmt Forecast";"calculations",#N/A,FALSE,"Mgmt Forecast"}</definedName>
    <definedName name="w" localSheetId="7" hidden="1">{#N/A,#N/A,FALSE,"Calculator"}</definedName>
    <definedName name="w" hidden="1">{#N/A,#N/A,FALSE,"Calculator"}</definedName>
    <definedName name="wacko" localSheetId="7" hidden="1">{#N/A,#N/A,FALSE,"el.det";#N/A,#N/A,FALSE,"mu.det";#N/A,#N/A,FALSE,"ug.det";#N/A,#N/A,FALSE,"ex.det";#N/A,#N/A,FALSE,"lux.det";#N/A,#N/A,FALSE,"custom.lot";#N/A,#N/A,FALSE,"condo.att";#N/A,#N/A,FALSE,"el.att";#N/A,#N/A,FALSE,"mu.att";#N/A,#N/A,FALSE,"ex.att";#N/A,#N/A,FALSE,"lux.att";#N/A,#N/A,FALSE,"all.by.village"}</definedName>
    <definedName name="wacko" hidden="1">{#N/A,#N/A,FALSE,"el.det";#N/A,#N/A,FALSE,"mu.det";#N/A,#N/A,FALSE,"ug.det";#N/A,#N/A,FALSE,"ex.det";#N/A,#N/A,FALSE,"lux.det";#N/A,#N/A,FALSE,"custom.lot";#N/A,#N/A,FALSE,"condo.att";#N/A,#N/A,FALSE,"el.att";#N/A,#N/A,FALSE,"mu.att";#N/A,#N/A,FALSE,"ex.att";#N/A,#N/A,FALSE,"lux.att";#N/A,#N/A,FALSE,"all.by.village"}</definedName>
    <definedName name="wde" localSheetId="7" hidden="1">{#N/A,#N/A,FALSE,"II-2 POP.HH";#N/A,#N/A,FALSE,"II-3 AGE.DIST";#N/A,#N/A,FALSE,"II-4 HH.DIST";#N/A,#N/A,FALSE,"II-5 EMP.INDUS"}</definedName>
    <definedName name="wde" hidden="1">{#N/A,#N/A,FALSE,"II-2 POP.HH";#N/A,#N/A,FALSE,"II-3 AGE.DIST";#N/A,#N/A,FALSE,"II-4 HH.DIST";#N/A,#N/A,FALSE,"II-5 EMP.INDUS"}</definedName>
    <definedName name="we" localSheetId="7" hidden="1">{#N/A,#N/A,FALSE,"Capex Summary";#N/A,#N/A,FALSE,"Capex";#N/A,#N/A,FALSE,"Repayt Summary";#N/A,#N/A,FALSE,"Repayments";#N/A,#N/A,FALSE,"Repayt Split"}</definedName>
    <definedName name="we" hidden="1">{#N/A,#N/A,FALSE,"Capex Summary";#N/A,#N/A,FALSE,"Capex";#N/A,#N/A,FALSE,"Repayt Summary";#N/A,#N/A,FALSE,"Repayments";#N/A,#N/A,FALSE,"Repayt Split"}</definedName>
    <definedName name="weg" localSheetId="7" hidden="1">{"AnnInc",#N/A,TRUE,"Inc";"QtrInc1",#N/A,TRUE,"Inc";"Balance",#N/A,TRUE,"Bal";"Cflow",#N/A,TRUE,"Cash"}</definedName>
    <definedName name="weg" hidden="1">{"AnnInc",#N/A,TRUE,"Inc";"QtrInc1",#N/A,TRUE,"Inc";"Balance",#N/A,TRUE,"Bal";"Cflow",#N/A,TRUE,"Cash"}</definedName>
    <definedName name="weird" localSheetId="7" hidden="1">{"cashcons",#N/A,FALSE,"CASHCONS";"cash7000",#N/A,FALSE,"CASH7000";"cash9000",#N/A,FALSE,"CASH9000";"assu7000",#N/A,FALSE,"ASSU7000";"assu9000",#N/A,FALSE,"ASSU9000";"rentroll",#N/A,FALSE,"RENTROLL";"expr7000",#N/A,FALSE,"EXPR7000";"expr9000",#N/A,FALSE,"EXPR9000"}</definedName>
    <definedName name="weird" hidden="1">{"cashcons",#N/A,FALSE,"CASHCONS";"cash7000",#N/A,FALSE,"CASH7000";"cash9000",#N/A,FALSE,"CASH9000";"assu7000",#N/A,FALSE,"ASSU7000";"assu9000",#N/A,FALSE,"ASSU9000";"rentroll",#N/A,FALSE,"RENTROLL";"expr7000",#N/A,FALSE,"EXPR7000";"expr9000",#N/A,FALSE,"EXPR9000"}</definedName>
    <definedName name="weird2" localSheetId="7" hidden="1">{"cashcons",#N/A,FALSE,"CASHCONS";"cash7000",#N/A,FALSE,"CASH7000";"cash9000",#N/A,FALSE,"CASH9000";"assu7000",#N/A,FALSE,"ASSU7000";"assu9000",#N/A,FALSE,"ASSU9000";"rentroll",#N/A,FALSE,"RENTROLL";"expr7000",#N/A,FALSE,"EXPR7000";"expr9000",#N/A,FALSE,"EXPR9000"}</definedName>
    <definedName name="weird2" hidden="1">{"cashcons",#N/A,FALSE,"CASHCONS";"cash7000",#N/A,FALSE,"CASH7000";"cash9000",#N/A,FALSE,"CASH9000";"assu7000",#N/A,FALSE,"ASSU7000";"assu9000",#N/A,FALSE,"ASSU9000";"rentroll",#N/A,FALSE,"RENTROLL";"expr7000",#N/A,FALSE,"EXPR7000";"expr9000",#N/A,FALSE,"EXPR9000"}</definedName>
    <definedName name="werq" localSheetId="7" hidden="1">{"NOPCAPEVA",#N/A,FALSE,"Nopat";"FCFCSTAR",#N/A,FALSE,"FCFVAL";"EVAVL",#N/A,FALSE,"EVAVAL";"LEASE",#N/A,FALSE,"OpLease"}</definedName>
    <definedName name="werq" hidden="1">{"NOPCAPEVA",#N/A,FALSE,"Nopat";"FCFCSTAR",#N/A,FALSE,"FCFVAL";"EVAVL",#N/A,FALSE,"EVAVAL";"LEASE",#N/A,FALSE,"OpLease"}</definedName>
    <definedName name="wertewrt" hidden="1">#REF!</definedName>
    <definedName name="wertwert" localSheetId="7" hidden="1">{0,0,0,0;0,0,0,0;0,0,0,0;0,0,0,0;0,0,0,0}</definedName>
    <definedName name="wertwert" hidden="1">{0,0,0,0;0,0,0,0;0,0,0,0;0,0,0,0;0,0,0,0}</definedName>
    <definedName name="werwer" hidden="1">#N/A</definedName>
    <definedName name="werwerw" hidden="1">#N/A</definedName>
    <definedName name="West" hidden="1">#REF!</definedName>
    <definedName name="what" localSheetId="7" hidden="1">{"Page1",#N/A,FALSE,"7979";"Page2",#N/A,FALSE,"7979";"Page3",#N/A,FALSE,"7979"}</definedName>
    <definedName name="what" hidden="1">{"Page1",#N/A,FALSE,"7979";"Page2",#N/A,FALSE,"7979";"Page3",#N/A,FALSE,"7979"}</definedName>
    <definedName name="what_asdf2" localSheetId="7" hidden="1">{#N/A,#N/A,FALSE,"OperatingAssumptions"}</definedName>
    <definedName name="what_asdf2" hidden="1">{#N/A,#N/A,FALSE,"OperatingAssumptions"}</definedName>
    <definedName name="what2" localSheetId="7" hidden="1">{#N/A,#N/A,FALSE,"II-2 POP.HH";#N/A,#N/A,FALSE,"II-3 AGE.DIST";#N/A,#N/A,FALSE,"II-4 HH.DIST";#N/A,#N/A,FALSE,"II-5 EMP.INDUS"}</definedName>
    <definedName name="what2" hidden="1">{#N/A,#N/A,FALSE,"II-2 POP.HH";#N/A,#N/A,FALSE,"II-3 AGE.DIST";#N/A,#N/A,FALSE,"II-4 HH.DIST";#N/A,#N/A,FALSE,"II-5 EMP.INDUS"}</definedName>
    <definedName name="whatwhat" localSheetId="7" hidden="1">{"Page1",#N/A,FALSE,"7979";"Page2",#N/A,FALSE,"7979";"Page3",#N/A,FALSE,"7979"}</definedName>
    <definedName name="whatwhat" hidden="1">{"Page1",#N/A,FALSE,"7979";"Page2",#N/A,FALSE,"7979";"Page3",#N/A,FALSE,"7979"}</definedName>
    <definedName name="wrd.2._.pagers.3" localSheetId="7" hidden="1">{"Cover",#N/A,FALSE,"Cover";"Summary",#N/A,FALSE,"Summarpage"}</definedName>
    <definedName name="wrd.2._.pagers.3" hidden="1">{"Cover",#N/A,FALSE,"Cover";"Summary",#N/A,FALSE,"Summarpage"}</definedName>
    <definedName name="wrn" localSheetId="7" hidden="1">{#N/A,#N/A,FALSE,"ZellLurieFinSummary";#N/A,#N/A,FALSE,"FirstCapFinSummary";#N/A,#N/A,FALSE,"ZM I-III Consol FinSummary"}</definedName>
    <definedName name="wrn" hidden="1">{#N/A,#N/A,FALSE,"ZellLurieFinSummary";#N/A,#N/A,FALSE,"FirstCapFinSummary";#N/A,#N/A,FALSE,"ZM I-III Consol FinSummary"}</definedName>
    <definedName name="wrn.03._.Year._.Only." localSheetId="7" hidden="1">{#N/A,#N/A,FALSE,"ASSUMPTIONS";#N/A,#N/A,FALSE,"3-YEAR-LEVERAGED";#N/A,#N/A,FALSE,"3-YEAR-UNLEVERAGED"}</definedName>
    <definedName name="wrn.03._.Year._.Only." hidden="1">{#N/A,#N/A,FALSE,"ASSUMPTIONS";#N/A,#N/A,FALSE,"3-YEAR-LEVERAGED";#N/A,#N/A,FALSE,"3-YEAR-UNLEVERAGED"}</definedName>
    <definedName name="wrn.05._.Year._.Only." localSheetId="7" hidden="1">{#N/A,#N/A,FALSE,"ASSUMPTIONS";#N/A,#N/A,FALSE,"5-YEAR-LEVERAGED";#N/A,#N/A,FALSE,"5-YEAR-UNLEVERAGED"}</definedName>
    <definedName name="wrn.05._.Year._.Only." hidden="1">{#N/A,#N/A,FALSE,"ASSUMPTIONS";#N/A,#N/A,FALSE,"5-YEAR-LEVERAGED";#N/A,#N/A,FALSE,"5-YEAR-UNLEVERAGED"}</definedName>
    <definedName name="wrn.1" localSheetId="7" hidden="1">{#N/A,#N/A,FALSE,"COVER";#N/A,#N/A,FALSE,"PROFORMA";#N/A,#N/A,FALSE,"Construction CF";#N/A,#N/A,FALSE,"CASHFLOW";#N/A,#N/A,FALSE,"Sale &amp; IRR Analysis";#N/A,#N/A,FALSE,"Amortization Table";#N/A,#N/A,FALSE,"Amortization FEMA";#N/A,#N/A,FALSE,"INCOME"}</definedName>
    <definedName name="wrn.1" hidden="1">{#N/A,#N/A,FALSE,"COVER";#N/A,#N/A,FALSE,"PROFORMA";#N/A,#N/A,FALSE,"Construction CF";#N/A,#N/A,FALSE,"CASHFLOW";#N/A,#N/A,FALSE,"Sale &amp; IRR Analysis";#N/A,#N/A,FALSE,"Amortization Table";#N/A,#N/A,FALSE,"Amortization FEMA";#N/A,#N/A,FALSE,"INCOME"}</definedName>
    <definedName name="wrn.10._.Year._.Analysis." localSheetId="7" hidden="1">{"Data Input",#N/A,TRUE,"Data Input";"10-Yr Cash Flow",#N/A,TRUE,"Cash Flow";"10-Yr Value",#N/A,TRUE,"Value "}</definedName>
    <definedName name="wrn.10._.Year._.Analysis." hidden="1">{"Data Input",#N/A,TRUE,"Data Input";"10-Yr Cash Flow",#N/A,TRUE,"Cash Flow";"10-Yr Value",#N/A,TRUE,"Value "}</definedName>
    <definedName name="wrn.10._.Year._.Only." localSheetId="7" hidden="1">{#N/A,#N/A,FALSE,"ASSUMPTIONS";#N/A,#N/A,FALSE,"10-YEAR-LEVERAGED";#N/A,#N/A,FALSE,"10-YEAR-UNLEVERAGED"}</definedName>
    <definedName name="wrn.10._.Year._.Only." hidden="1">{#N/A,#N/A,FALSE,"ASSUMPTIONS";#N/A,#N/A,FALSE,"10-YEAR-LEVERAGED";#N/A,#N/A,FALSE,"10-YEAR-UNLEVERAGED"}</definedName>
    <definedName name="wrn.12._.MONTH._.SPREAD." localSheetId="7" hidden="1">{#N/A,#N/A,FALSE,"CPM";#N/A,#N/A,FALSE,"CVI";#N/A,#N/A,FALSE,"RNL";#N/A,#N/A,FALSE,"HAL";#N/A,#N/A,FALSE,"WPL";#N/A,#N/A,FALSE,"RPL";#N/A,#N/A,FALSE,"GVA";#N/A,#N/A,FALSE,"LRJKL";#N/A,#N/A,FALSE,"LPCVI";#N/A,#N/A,FALSE,"RGW and RGW2";#N/A,#N/A,FALSE,"RHL";#N/A,#N/A,FALSE,"HRP";#N/A,#N/A,FALSE,"WPE";#N/A,#N/A,FALSE,"DEL";#N/A,#N/A,FALSE,"PCA";#N/A,#N/A,FALSE,"PBL";#N/A,#N/A,FALSE,"KLL";#N/A,#N/A,FALSE,"RCR";#N/A,#N/A,FALSE,"LRJ#1";#N/A,#N/A,FALSE,"LRJ#2";#N/A,#N/A,FALSE,"OPL"}</definedName>
    <definedName name="wrn.12._.MONTH._.SPREAD." hidden="1">{#N/A,#N/A,FALSE,"CPM";#N/A,#N/A,FALSE,"CVI";#N/A,#N/A,FALSE,"RNL";#N/A,#N/A,FALSE,"HAL";#N/A,#N/A,FALSE,"WPL";#N/A,#N/A,FALSE,"RPL";#N/A,#N/A,FALSE,"GVA";#N/A,#N/A,FALSE,"LRJKL";#N/A,#N/A,FALSE,"LPCVI";#N/A,#N/A,FALSE,"RGW and RGW2";#N/A,#N/A,FALSE,"RHL";#N/A,#N/A,FALSE,"HRP";#N/A,#N/A,FALSE,"WPE";#N/A,#N/A,FALSE,"DEL";#N/A,#N/A,FALSE,"PCA";#N/A,#N/A,FALSE,"PBL";#N/A,#N/A,FALSE,"KLL";#N/A,#N/A,FALSE,"RCR";#N/A,#N/A,FALSE,"LRJ#1";#N/A,#N/A,FALSE,"LRJ#2";#N/A,#N/A,FALSE,"OPL"}</definedName>
    <definedName name="wrn.15._.Year._.Analysis." localSheetId="7" hidden="1">{"Data Input",#N/A,TRUE,"Data Input";"15-Yr Cash Flow",#N/A,TRUE,"Cash Flow";"15-Yr Value",#N/A,TRUE,"Value "}</definedName>
    <definedName name="wrn.15._.Year._.Analysis." hidden="1">{"Data Input",#N/A,TRUE,"Data Input";"15-Yr Cash Flow",#N/A,TRUE,"Cash Flow";"15-Yr Value",#N/A,TRUE,"Value "}</definedName>
    <definedName name="wrn.1995._.Analysis." localSheetId="7" hidden="1">{#N/A,#N/A,FALSE,"1995 Rev &amp; Exp"}</definedName>
    <definedName name="wrn.1995._.Analysis." hidden="1">{#N/A,#N/A,FALSE,"1995 Rev &amp; Exp"}</definedName>
    <definedName name="wrn.1998._.Budget." localSheetId="7" hidden="1">{#N/A,#N/A,FALSE,"A";#N/A,#N/A,FALSE,"B";#N/A,#N/A,FALSE,"C";#N/A,#N/A,FALSE,"D";#N/A,#N/A,FALSE,"E";#N/A,#N/A,FALSE,"F";#N/A,#N/A,FALSE,"G";#N/A,#N/A,FALSE,"H";#N/A,#N/A,FALSE,"I";#N/A,#N/A,FALSE,"J";#N/A,#N/A,FALSE,"K";#N/A,#N/A,FALSE,"L";#N/A,#N/A,FALSE,"M";#N/A,#N/A,FALSE,"N";#N/A,#N/A,FALSE,"O";#N/A,#N/A,FALSE,"P";#N/A,#N/A,FALSE,"Q";#N/A,#N/A,FALSE,"R"}</definedName>
    <definedName name="wrn.1998._.Budget." hidden="1">{#N/A,#N/A,FALSE,"A";#N/A,#N/A,FALSE,"B";#N/A,#N/A,FALSE,"C";#N/A,#N/A,FALSE,"D";#N/A,#N/A,FALSE,"E";#N/A,#N/A,FALSE,"F";#N/A,#N/A,FALSE,"G";#N/A,#N/A,FALSE,"H";#N/A,#N/A,FALSE,"I";#N/A,#N/A,FALSE,"J";#N/A,#N/A,FALSE,"K";#N/A,#N/A,FALSE,"L";#N/A,#N/A,FALSE,"M";#N/A,#N/A,FALSE,"N";#N/A,#N/A,FALSE,"O";#N/A,#N/A,FALSE,"P";#N/A,#N/A,FALSE,"Q";#N/A,#N/A,FALSE,"R"}</definedName>
    <definedName name="wrn.1998._.Budget.1" localSheetId="7" hidden="1">{#N/A,#N/A,FALSE,"A";#N/A,#N/A,FALSE,"B";#N/A,#N/A,FALSE,"C";#N/A,#N/A,FALSE,"D";#N/A,#N/A,FALSE,"E";#N/A,#N/A,FALSE,"F";#N/A,#N/A,FALSE,"G";#N/A,#N/A,FALSE,"H";#N/A,#N/A,FALSE,"I";#N/A,#N/A,FALSE,"J";#N/A,#N/A,FALSE,"K";#N/A,#N/A,FALSE,"L";#N/A,#N/A,FALSE,"M";#N/A,#N/A,FALSE,"N";#N/A,#N/A,FALSE,"O";#N/A,#N/A,FALSE,"P";#N/A,#N/A,FALSE,"Q";#N/A,#N/A,FALSE,"R"}</definedName>
    <definedName name="wrn.1998._.Budget.1" hidden="1">{#N/A,#N/A,FALSE,"A";#N/A,#N/A,FALSE,"B";#N/A,#N/A,FALSE,"C";#N/A,#N/A,FALSE,"D";#N/A,#N/A,FALSE,"E";#N/A,#N/A,FALSE,"F";#N/A,#N/A,FALSE,"G";#N/A,#N/A,FALSE,"H";#N/A,#N/A,FALSE,"I";#N/A,#N/A,FALSE,"J";#N/A,#N/A,FALSE,"K";#N/A,#N/A,FALSE,"L";#N/A,#N/A,FALSE,"M";#N/A,#N/A,FALSE,"N";#N/A,#N/A,FALSE,"O";#N/A,#N/A,FALSE,"P";#N/A,#N/A,FALSE,"Q";#N/A,#N/A,FALSE,"R"}</definedName>
    <definedName name="wrn.19982" localSheetId="7" hidden="1">{#N/A,#N/A,FALSE,"A";#N/A,#N/A,FALSE,"B";#N/A,#N/A,FALSE,"C";#N/A,#N/A,FALSE,"D";#N/A,#N/A,FALSE,"E";#N/A,#N/A,FALSE,"F";#N/A,#N/A,FALSE,"G";#N/A,#N/A,FALSE,"H";#N/A,#N/A,FALSE,"I";#N/A,#N/A,FALSE,"J";#N/A,#N/A,FALSE,"K";#N/A,#N/A,FALSE,"L";#N/A,#N/A,FALSE,"M";#N/A,#N/A,FALSE,"N";#N/A,#N/A,FALSE,"O";#N/A,#N/A,FALSE,"P";#N/A,#N/A,FALSE,"Q";#N/A,#N/A,FALSE,"R"}</definedName>
    <definedName name="wrn.19982" hidden="1">{#N/A,#N/A,FALSE,"A";#N/A,#N/A,FALSE,"B";#N/A,#N/A,FALSE,"C";#N/A,#N/A,FALSE,"D";#N/A,#N/A,FALSE,"E";#N/A,#N/A,FALSE,"F";#N/A,#N/A,FALSE,"G";#N/A,#N/A,FALSE,"H";#N/A,#N/A,FALSE,"I";#N/A,#N/A,FALSE,"J";#N/A,#N/A,FALSE,"K";#N/A,#N/A,FALSE,"L";#N/A,#N/A,FALSE,"M";#N/A,#N/A,FALSE,"N";#N/A,#N/A,FALSE,"O";#N/A,#N/A,FALSE,"P";#N/A,#N/A,FALSE,"Q";#N/A,#N/A,FALSE,"R"}</definedName>
    <definedName name="wrn.2" localSheetId="7" hidden="1">{#N/A,#N/A,FALSE,"Cash Flow";#N/A,#N/A,FALSE,"FFO";#N/A,#N/A,FALSE,"Dvlpt Assumptions";#N/A,#N/A,FALSE,"Equity &amp; Constr Financing";#N/A,#N/A,FALSE,"JV Fee Analysis - cash";#N/A,#N/A,FALSE,"JV Fee Analysis - GAAP";#N/A,#N/A,FALSE,"Prop CF Adj";#N/A,#N/A,FALSE,"Land Sales";#N/A,#N/A,FALSE,"Capex, existing";#N/A,#N/A,FALSE,"Capex,97 Budget";#N/A,#N/A,FALSE,"Capex, dvlpt";#N/A,#N/A,FALSE,"Cap overhead";#N/A,#N/A,FALSE,"Project Equity";#N/A,#N/A,FALSE,"Leasing Fees";#N/A,#N/A,FALSE,"Debt";#N/A,#N/A,FALSE,"Capitalized Interest";#N/A,#N/A,FALSE,"FF&amp; E Loan";#N/A,#N/A,FALSE,"Strip loan";#N/A,#N/A,FALSE,"Franklin Loan";#N/A,#N/A,FALSE,"Poto_Gurn Amortiz";#N/A,#N/A,FALSE,"Dividend Distr";#N/A,#N/A,FALSE,"Investment in Partnerships";#N/A,#N/A,FALSE,"JV Ops Cash Flow Adj.";#N/A,#N/A,FALSE,"Ontario";#N/A,#N/A,FALSE,"Ontario-Proj";#N/A,#N/A,FALSE,"Ont Debt";#N/A,#N/A,FALSE,"Grapevine";#N/A,#N/A,FALSE,"Grapevine-Proj";#N/A,#N/A,FALSE,"Arizona";#N/A,#N/A,FALSE,"Arizona - Proj";#N/A,#N/A,FALSE,"Sawgrass Ph III";#N/A,#N/A,FALSE,"Saw Phase III-Proj";#N/A,#N/A,FALSE,"City Center";#N/A,#N/A,FALSE,"City Center-Proj";#N/A,#N/A,FALSE,"Columbus";#N/A,#N/A,FALSE,"Columbus-Proj";#N/A,#N/A,FALSE,"Atlanta";#N/A,#N/A,FALSE,"Atlanta-Proj";#N/A,#N/A,FALSE,"Monee";#N/A,#N/A,FALSE,"Monee-Proj";#N/A,#N/A,FALSE,"Houston";#N/A,#N/A,FALSE,"Houston-Proj";#N/A,#N/A,FALSE,"San Francisco";#N/A,#N/A,FALSE,"San Francisco-Proj";#N/A,#N/A,FALSE,"Meadowlands";#N/A,#N/A,FALSE,"Meadowlands-Proj";#N/A,#N/A,FALSE,"Toronto";#N/A,#N/A,FALSE,"Toronto-Proj"}</definedName>
    <definedName name="wrn.2" hidden="1">{#N/A,#N/A,FALSE,"Cash Flow";#N/A,#N/A,FALSE,"FFO";#N/A,#N/A,FALSE,"Dvlpt Assumptions";#N/A,#N/A,FALSE,"Equity &amp; Constr Financing";#N/A,#N/A,FALSE,"JV Fee Analysis - cash";#N/A,#N/A,FALSE,"JV Fee Analysis - GAAP";#N/A,#N/A,FALSE,"Prop CF Adj";#N/A,#N/A,FALSE,"Land Sales";#N/A,#N/A,FALSE,"Capex, existing";#N/A,#N/A,FALSE,"Capex,97 Budget";#N/A,#N/A,FALSE,"Capex, dvlpt";#N/A,#N/A,FALSE,"Cap overhead";#N/A,#N/A,FALSE,"Project Equity";#N/A,#N/A,FALSE,"Leasing Fees";#N/A,#N/A,FALSE,"Debt";#N/A,#N/A,FALSE,"Capitalized Interest";#N/A,#N/A,FALSE,"FF&amp; E Loan";#N/A,#N/A,FALSE,"Strip loan";#N/A,#N/A,FALSE,"Franklin Loan";#N/A,#N/A,FALSE,"Poto_Gurn Amortiz";#N/A,#N/A,FALSE,"Dividend Distr";#N/A,#N/A,FALSE,"Investment in Partnerships";#N/A,#N/A,FALSE,"JV Ops Cash Flow Adj.";#N/A,#N/A,FALSE,"Ontario";#N/A,#N/A,FALSE,"Ontario-Proj";#N/A,#N/A,FALSE,"Ont Debt";#N/A,#N/A,FALSE,"Grapevine";#N/A,#N/A,FALSE,"Grapevine-Proj";#N/A,#N/A,FALSE,"Arizona";#N/A,#N/A,FALSE,"Arizona - Proj";#N/A,#N/A,FALSE,"Sawgrass Ph III";#N/A,#N/A,FALSE,"Saw Phase III-Proj";#N/A,#N/A,FALSE,"City Center";#N/A,#N/A,FALSE,"City Center-Proj";#N/A,#N/A,FALSE,"Columbus";#N/A,#N/A,FALSE,"Columbus-Proj";#N/A,#N/A,FALSE,"Atlanta";#N/A,#N/A,FALSE,"Atlanta-Proj";#N/A,#N/A,FALSE,"Monee";#N/A,#N/A,FALSE,"Monee-Proj";#N/A,#N/A,FALSE,"Houston";#N/A,#N/A,FALSE,"Houston-Proj";#N/A,#N/A,FALSE,"San Francisco";#N/A,#N/A,FALSE,"San Francisco-Proj";#N/A,#N/A,FALSE,"Meadowlands";#N/A,#N/A,FALSE,"Meadowlands-Proj";#N/A,#N/A,FALSE,"Toronto";#N/A,#N/A,FALSE,"Toronto-Proj"}</definedName>
    <definedName name="wrn.2._.pagers." localSheetId="7" hidden="1">{"Cover",#N/A,FALSE,"Cover";"Summary",#N/A,FALSE,"Summarpage"}</definedName>
    <definedName name="wrn.2._.pagers." hidden="1">{"Cover",#N/A,FALSE,"Cover";"Summary",#N/A,FALSE,"Summarpage"}</definedName>
    <definedName name="wrn.2._.pagers.2" localSheetId="7" hidden="1">{"Cover",#N/A,FALSE,"Cover";"Summary",#N/A,FALSE,"Summarpage"}</definedName>
    <definedName name="wrn.2._.pagers.2" hidden="1">{"Cover",#N/A,FALSE,"Cover";"Summary",#N/A,FALSE,"Summarpage"}</definedName>
    <definedName name="wrn.2._.Yr._.Proforma." localSheetId="7" hidden="1">{"Lease Up 1",#N/A,FALSE,"2 Yr. Monthly";"Lease Up 2",#N/A,FALSE,"2 Yr. Monthly";"Construction 1",#N/A,FALSE,"2 Yr. Monthly";"Construction 2",#N/A,FALSE,"2 Yr. Monthly";"Ind Loan Summ 1",#N/A,FALSE,"2 Yr. Monthly";"Ind Loan Summ 2",#N/A,FALSE,"2 Yr. Monthly";"S&amp;U 1",#N/A,FALSE,"2 Yr. Monthly";"S&amp;U 2",#N/A,FALSE,"2 Yr. Monthly"}</definedName>
    <definedName name="wrn.2._.Yr._.Proforma." hidden="1">{"Lease Up 1",#N/A,FALSE,"2 Yr. Monthly";"Lease Up 2",#N/A,FALSE,"2 Yr. Monthly";"Construction 1",#N/A,FALSE,"2 Yr. Monthly";"Construction 2",#N/A,FALSE,"2 Yr. Monthly";"Ind Loan Summ 1",#N/A,FALSE,"2 Yr. Monthly";"Ind Loan Summ 2",#N/A,FALSE,"2 Yr. Monthly";"S&amp;U 1",#N/A,FALSE,"2 Yr. Monthly";"S&amp;U 2",#N/A,FALSE,"2 Yr. Monthly"}</definedName>
    <definedName name="wrn.20._.year._.alt" localSheetId="7" hidden="1">{"proj",#N/A,TRUE,"Proj";"landschflow 20",#N/A,TRUE,"LandCshFlw";"allcshflw 20",#N/A,TRUE,"AllCshFlw";"net unit 20",#N/A,TRUE,"NetUnit";"cum net 20",#N/A,TRUE,"CumNet";"net unit 20",#N/A,TRUE,"NetRes";"gross 20",#N/A,TRUE,"Gross";"infracost",#N/A,TRUE,"InfraCost";"bldg cost 20",#N/A,TRUE,"BldgCost";"parking 20",#N/A,TRUE,"Parking";"open sp 20",#N/A,TRUE,"OpenSp";"interim 20",#N/A,TRUE,"Interim";"landsale 20",#N/A,TRUE,"LandSale";"noi 20",#N/A,TRUE,"NOI";"bldg sale 20",#N/A,TRUE,"BldgSale";"aff hsg",#N/A,TRUE,"AffHsg";"taxinc 20",#N/A,TRUE,"TaxInc"}</definedName>
    <definedName name="wrn.20._.year._.alt" hidden="1">{"proj",#N/A,TRUE,"Proj";"landschflow 20",#N/A,TRUE,"LandCshFlw";"allcshflw 20",#N/A,TRUE,"AllCshFlw";"net unit 20",#N/A,TRUE,"NetUnit";"cum net 20",#N/A,TRUE,"CumNet";"net unit 20",#N/A,TRUE,"NetRes";"gross 20",#N/A,TRUE,"Gross";"infracost",#N/A,TRUE,"InfraCost";"bldg cost 20",#N/A,TRUE,"BldgCost";"parking 20",#N/A,TRUE,"Parking";"open sp 20",#N/A,TRUE,"OpenSp";"interim 20",#N/A,TRUE,"Interim";"landsale 20",#N/A,TRUE,"LandSale";"noi 20",#N/A,TRUE,"NOI";"bldg sale 20",#N/A,TRUE,"BldgSale";"aff hsg",#N/A,TRUE,"AffHsg";"taxinc 20",#N/A,TRUE,"TaxInc"}</definedName>
    <definedName name="wrn.20._.year._.full." localSheetId="7" hidden="1">{"proj",#N/A,TRUE,"Proj";"landschflow 20",#N/A,TRUE,"LandCshFlw";"allcshflw 20",#N/A,TRUE,"AllCshFlw";"net unit 20",#N/A,TRUE,"NetUnit";"cum net 20",#N/A,TRUE,"CumNet";"net unit 20",#N/A,TRUE,"NetRes";"gross 20",#N/A,TRUE,"Gross";"infracost",#N/A,TRUE,"InfraCost";"bldg cost 20",#N/A,TRUE,"BldgCost";"parking 20",#N/A,TRUE,"Parking";"open sp 20",#N/A,TRUE,"OpenSp";"interim 20",#N/A,TRUE,"Interim";"landsale 20",#N/A,TRUE,"LandSale";"noi 20",#N/A,TRUE,"NOI";"bldg sale 20",#N/A,TRUE,"BldgSale";"aff hsg",#N/A,TRUE,"AffHsg";"taxinc 20",#N/A,TRUE,"TaxInc"}</definedName>
    <definedName name="wrn.20._.year._.full." hidden="1">{"proj",#N/A,TRUE,"Proj";"landschflow 20",#N/A,TRUE,"LandCshFlw";"allcshflw 20",#N/A,TRUE,"AllCshFlw";"net unit 20",#N/A,TRUE,"NetUnit";"cum net 20",#N/A,TRUE,"CumNet";"net unit 20",#N/A,TRUE,"NetRes";"gross 20",#N/A,TRUE,"Gross";"infracost",#N/A,TRUE,"InfraCost";"bldg cost 20",#N/A,TRUE,"BldgCost";"parking 20",#N/A,TRUE,"Parking";"open sp 20",#N/A,TRUE,"OpenSp";"interim 20",#N/A,TRUE,"Interim";"landsale 20",#N/A,TRUE,"LandSale";"noi 20",#N/A,TRUE,"NOI";"bldg sale 20",#N/A,TRUE,"BldgSale";"aff hsg",#N/A,TRUE,"AffHsg";"taxinc 20",#N/A,TRUE,"TaxInc"}</definedName>
    <definedName name="wrn.2001._.Budget._.by._.Qtr." localSheetId="7" hidden="1">{"Qtr2001",#N/A,FALSE,"Model";"Office/Retail 2001 by Qtr",#N/A,FALSE,"Formatted Office-Retail Page";"Other Income 2001 by Qtr",#N/A,FALSE,"Other";"Resort/Hotel 2001 by Qtr",#N/A,FALSE,"Hotel";"LDV 2001 by Qtr",#N/A,FALSE,"LDV";"Disp 2001 by Qtr",#N/A,FALSE,"Dispositions"}</definedName>
    <definedName name="wrn.2001._.Budget._.by._.Qtr." hidden="1">{"Qtr2001",#N/A,FALSE,"Model";"Office/Retail 2001 by Qtr",#N/A,FALSE,"Formatted Office-Retail Page";"Other Income 2001 by Qtr",#N/A,FALSE,"Other";"Resort/Hotel 2001 by Qtr",#N/A,FALSE,"Hotel";"LDV 2001 by Qtr",#N/A,FALSE,"LDV";"Disp 2001 by Qtr",#N/A,FALSE,"Dispositions"}</definedName>
    <definedName name="wrn.2001._.Budget._.by._.Year." localSheetId="7" hidden="1">{"Budget by Year",#N/A,FALSE,"Model";"Argus 2002-2006 Office/Retail by Year",#N/A,FALSE,"Office-Retail Argus 2002-2006";"Joint Venture by Year",#N/A,FALSE,"Joint Ventures";"Resort/Hotel by Year",#N/A,FALSE,"Hotel";"LDV by Year",#N/A,FALSE,"LDV";"Other Income by Year",#N/A,FALSE,"Other";"Dispo By Year",#N/A,FALSE,"Dispositions"}</definedName>
    <definedName name="wrn.2001._.Budget._.by._.Year." hidden="1">{"Budget by Year",#N/A,FALSE,"Model";"Argus 2002-2006 Office/Retail by Year",#N/A,FALSE,"Office-Retail Argus 2002-2006";"Joint Venture by Year",#N/A,FALSE,"Joint Ventures";"Resort/Hotel by Year",#N/A,FALSE,"Hotel";"LDV by Year",#N/A,FALSE,"LDV";"Other Income by Year",#N/A,FALSE,"Other";"Dispo By Year",#N/A,FALSE,"Dispositions"}</definedName>
    <definedName name="wrn.2001._.by._.Month." localSheetId="7" hidden="1">{"2001 by Month",#N/A,FALSE,"Model";"Resort/Hotel 2001 by Month",#N/A,FALSE,"Hotel";"LDV 2001 By Month",#N/A,FALSE,"LDV";"Other Income By Month",#N/A,FALSE,"Other";"Office/Retail 2001 by Month",#N/A,FALSE,"Formatted Office-Retail Page";"Dispo 2001 by Month",#N/A,FALSE,"Dispositions"}</definedName>
    <definedName name="wrn.2001._.by._.Month." hidden="1">{"2001 by Month",#N/A,FALSE,"Model";"Resort/Hotel 2001 by Month",#N/A,FALSE,"Hotel";"LDV 2001 By Month",#N/A,FALSE,"LDV";"Other Income By Month",#N/A,FALSE,"Other";"Office/Retail 2001 by Month",#N/A,FALSE,"Formatted Office-Retail Page";"Dispo 2001 by Month",#N/A,FALSE,"Dispositions"}</definedName>
    <definedName name="wrn.2013._.App._.Firm." localSheetId="7" hidden="1">{#N/A,#N/A,TRUE,"Page 1";#N/A,#N/A,TRUE,"Unit Mix";#N/A,#N/A,TRUE,"Page 2";#N/A,#N/A,TRUE,"Page 3";#N/A,#N/A,TRUE,"Page 4";#N/A,#N/A,TRUE,"Deficit";#N/A,#N/A,TRUE,"Other";#N/A,#N/A,TRUE,"Org-Lgl."}</definedName>
    <definedName name="wrn.2013._.App._.Firm." hidden="1">{#N/A,#N/A,TRUE,"Page 1";#N/A,#N/A,TRUE,"Unit Mix";#N/A,#N/A,TRUE,"Page 2";#N/A,#N/A,TRUE,"Page 3";#N/A,#N/A,TRUE,"Page 4";#N/A,#N/A,TRUE,"Deficit";#N/A,#N/A,TRUE,"Other";#N/A,#N/A,TRUE,"Org-Lgl."}</definedName>
    <definedName name="wrn.2013._.Review." localSheetId="7" hidden="1">{#N/A,#N/A,FALSE,"Page 1";#N/A,#N/A,FALSE,"Unit Mix";#N/A,#N/A,FALSE,"Page 2";#N/A,#N/A,FALSE,"Page 3";#N/A,#N/A,FALSE,"Page 4"}</definedName>
    <definedName name="wrn.2013._.Review." hidden="1">{#N/A,#N/A,FALSE,"Page 1";#N/A,#N/A,FALSE,"Unit Mix";#N/A,#N/A,FALSE,"Page 2";#N/A,#N/A,FALSE,"Page 3";#N/A,#N/A,FALSE,"Page 4"}</definedName>
    <definedName name="wrn.275PricingBook." localSheetId="7" hidden="1">{#N/A,#N/A,FALSE,"Assumptions";#N/A,#N/A,FALSE,"Impact Assumptions";#N/A,#N/A,FALSE,"10-Yr - detail";#N/A,#N/A,FALSE,"1,5,10 yr comp";#N/A,#N/A,FALSE,"Lse-Exp.";#N/A,#N/A,FALSE,"Rent Roll";#N/A,#N/A,FALSE,"Historical (2)";#N/A,#N/A,FALSE,"RET's";#N/A,#N/A,FALSE,"Lease Rollover"}</definedName>
    <definedName name="wrn.275PricingBook." hidden="1">{#N/A,#N/A,FALSE,"Assumptions";#N/A,#N/A,FALSE,"Impact Assumptions";#N/A,#N/A,FALSE,"10-Yr - detail";#N/A,#N/A,FALSE,"1,5,10 yr comp";#N/A,#N/A,FALSE,"Lse-Exp.";#N/A,#N/A,FALSE,"Rent Roll";#N/A,#N/A,FALSE,"Historical (2)";#N/A,#N/A,FALSE,"RET's";#N/A,#N/A,FALSE,"Lease Rollover"}</definedName>
    <definedName name="wrn.275Schedulles." localSheetId="7" hidden="1">{#N/A,#N/A,FALSE,"Assumptions";#N/A,#N/A,FALSE,"10-Yr - detail";#N/A,#N/A,FALSE,"Rent Roll";#N/A,#N/A,FALSE,"Historical (2)";#N/A,#N/A,FALSE,"RET's";#N/A,#N/A,FALSE,"Lse-Exp.";#N/A,#N/A,FALSE,"Lease Rollover";#N/A,#N/A,FALSE,"Service Contracts"}</definedName>
    <definedName name="wrn.275Schedulles." hidden="1">{#N/A,#N/A,FALSE,"Assumptions";#N/A,#N/A,FALSE,"10-Yr - detail";#N/A,#N/A,FALSE,"Rent Roll";#N/A,#N/A,FALSE,"Historical (2)";#N/A,#N/A,FALSE,"RET's";#N/A,#N/A,FALSE,"Lse-Exp.";#N/A,#N/A,FALSE,"Lease Rollover";#N/A,#N/A,FALSE,"Service Contracts"}</definedName>
    <definedName name="wrn.3._.Year._.Summary." localSheetId="7" hidden="1">{#N/A,#N/A,FALSE,"3-Year Summary"}</definedName>
    <definedName name="wrn.3._.Year._.Summary." hidden="1">{#N/A,#N/A,FALSE,"3-Year Summary"}</definedName>
    <definedName name="wrn.3._.Year._.Summary._1" localSheetId="7" hidden="1">{#N/A,#N/A,FALSE,"3-Year Summary"}</definedName>
    <definedName name="wrn.3._.Year._.Summary._1" hidden="1">{#N/A,#N/A,FALSE,"3-Year Summary"}</definedName>
    <definedName name="wrn.399." localSheetId="7" hidden="1">{#N/A,#N/A,FALSE,"A";#N/A,#N/A,FALSE,"C"}</definedName>
    <definedName name="wrn.399." hidden="1">{#N/A,#N/A,FALSE,"A";#N/A,#N/A,FALSE,"C"}</definedName>
    <definedName name="wrn.3yr.CF." localSheetId="7" hidden="1">{"assume",#N/A,FALSE,"K&amp;20th Month CF";"MoCF",#N/A,FALSE,"K&amp;20th Month CF";"AnCF",#N/A,FALSE,"K&amp;20th Month CF"}</definedName>
    <definedName name="wrn.3yr.CF." hidden="1">{"assume",#N/A,FALSE,"K&amp;20th Month CF";"MoCF",#N/A,FALSE,"K&amp;20th Month CF";"AnCF",#N/A,FALSE,"K&amp;20th Month CF"}</definedName>
    <definedName name="wrn.3yr.CF._1" localSheetId="7" hidden="1">{"assume",#N/A,FALSE,"K&amp;20th Month CF";"MoCF",#N/A,FALSE,"K&amp;20th Month CF";"AnCF",#N/A,FALSE,"K&amp;20th Month CF"}</definedName>
    <definedName name="wrn.3yr.CF._1" hidden="1">{"assume",#N/A,FALSE,"K&amp;20th Month CF";"MoCF",#N/A,FALSE,"K&amp;20th Month CF";"AnCF",#N/A,FALSE,"K&amp;20th Month CF"}</definedName>
    <definedName name="wrn.3yr.CF._2" localSheetId="7" hidden="1">{"assume",#N/A,FALSE,"K&amp;20th Month CF";"MoCF",#N/A,FALSE,"K&amp;20th Month CF";"AnCF",#N/A,FALSE,"K&amp;20th Month CF"}</definedName>
    <definedName name="wrn.3yr.CF._2" hidden="1">{"assume",#N/A,FALSE,"K&amp;20th Month CF";"MoCF",#N/A,FALSE,"K&amp;20th Month CF";"AnCF",#N/A,FALSE,"K&amp;20th Month CF"}</definedName>
    <definedName name="wrn.3yr.CF._3" localSheetId="7" hidden="1">{"assume",#N/A,FALSE,"K&amp;20th Month CF";"MoCF",#N/A,FALSE,"K&amp;20th Month CF";"AnCF",#N/A,FALSE,"K&amp;20th Month CF"}</definedName>
    <definedName name="wrn.3yr.CF._3" hidden="1">{"assume",#N/A,FALSE,"K&amp;20th Month CF";"MoCF",#N/A,FALSE,"K&amp;20th Month CF";"AnCF",#N/A,FALSE,"K&amp;20th Month CF"}</definedName>
    <definedName name="wrn.3yr.CF._4" localSheetId="7" hidden="1">{"assume",#N/A,FALSE,"K&amp;20th Month CF";"MoCF",#N/A,FALSE,"K&amp;20th Month CF";"AnCF",#N/A,FALSE,"K&amp;20th Month CF"}</definedName>
    <definedName name="wrn.3yr.CF._4" hidden="1">{"assume",#N/A,FALSE,"K&amp;20th Month CF";"MoCF",#N/A,FALSE,"K&amp;20th Month CF";"AnCF",#N/A,FALSE,"K&amp;20th Month CF"}</definedName>
    <definedName name="wrn.3yr.CF._5" localSheetId="7" hidden="1">{"assume",#N/A,FALSE,"K&amp;20th Month CF";"MoCF",#N/A,FALSE,"K&amp;20th Month CF";"AnCF",#N/A,FALSE,"K&amp;20th Month CF"}</definedName>
    <definedName name="wrn.3yr.CF._5" hidden="1">{"assume",#N/A,FALSE,"K&amp;20th Month CF";"MoCF",#N/A,FALSE,"K&amp;20th Month CF";"AnCF",#N/A,FALSE,"K&amp;20th Month CF"}</definedName>
    <definedName name="wrn.42._.Portfolio." localSheetId="7" hidden="1">{#N/A,#N/A,FALSE,"Consolidate Portfolio";#N/A,#N/A,FALSE,"Ashley";#N/A,#N/A,FALSE,"Atrium";#N/A,#N/A,FALSE,"Biscayne";#N/A,#N/A,FALSE,"Boulder";#N/A,#N/A,FALSE,"Braden";#N/A,#N/A,FALSE,"Cambridge";#N/A,#N/A,FALSE,"Carnegie";#N/A,#N/A,FALSE,"Charleston";#N/A,#N/A,FALSE,"Chasewood";#N/A,#N/A,FALSE,"ClubNorthHills";#N/A,#N/A,FALSE,"Cornerstone";#N/A,#N/A,FALSE,"Courtyard";#N/A,#N/A,FALSE,"Culpeper ";#N/A,#N/A,FALSE,"DoverFarms";#N/A,#N/A,FALSE,"GreenwayChase";#N/A,#N/A,FALSE,"Island Club 1";#N/A,#N/A,FALSE,"Island Club 2";#N/A,#N/A,FALSE,"IslesGateway";#N/A,#N/A,FALSE,"Kensington";#N/A,#N/A,FALSE,"LakeFront";#N/A,#N/A,FALSE,"LakeMayport";#N/A,#N/A,FALSE,"MadisonPark";#N/A,#N/A,FALSE,"MadisonRidge";#N/A,#N/A,FALSE,"Magnolia";#N/A,#N/A,FALSE,"Oaks";#N/A,#N/A,FALSE,"Paces River 1";#N/A,#N/A,FALSE,"Paces River 2";#N/A,#N/A,FALSE,"PacesRun";#N/A,#N/A,FALSE,"Paddock ";#N/A,#N/A,FALSE,"Park";#N/A,#N/A,FALSE,"PointeWest";#N/A,#N/A,FALSE,"Royal";#N/A,#N/A,FALSE,"Summer";#N/A,#N/A,FALSE,"Sunbrook";#N/A,#N/A,FALSE,"Sundance";#N/A,#N/A,FALSE,"Sutton";#N/A,#N/A,FALSE,"TownPlace";#N/A,#N/A,FALSE,"Valle";#N/A,#N/A,FALSE,"WatPark";#N/A,#N/A,FALSE,"WatPlace";#N/A,#N/A,FALSE,"WatCastleton";#N/A,#N/A,FALSE,"Wellington"}</definedName>
    <definedName name="wrn.42._.Portfolio." hidden="1">{#N/A,#N/A,FALSE,"Consolidate Portfolio";#N/A,#N/A,FALSE,"Ashley";#N/A,#N/A,FALSE,"Atrium";#N/A,#N/A,FALSE,"Biscayne";#N/A,#N/A,FALSE,"Boulder";#N/A,#N/A,FALSE,"Braden";#N/A,#N/A,FALSE,"Cambridge";#N/A,#N/A,FALSE,"Carnegie";#N/A,#N/A,FALSE,"Charleston";#N/A,#N/A,FALSE,"Chasewood";#N/A,#N/A,FALSE,"ClubNorthHills";#N/A,#N/A,FALSE,"Cornerstone";#N/A,#N/A,FALSE,"Courtyard";#N/A,#N/A,FALSE,"Culpeper ";#N/A,#N/A,FALSE,"DoverFarms";#N/A,#N/A,FALSE,"GreenwayChase";#N/A,#N/A,FALSE,"Island Club 1";#N/A,#N/A,FALSE,"Island Club 2";#N/A,#N/A,FALSE,"IslesGateway";#N/A,#N/A,FALSE,"Kensington";#N/A,#N/A,FALSE,"LakeFront";#N/A,#N/A,FALSE,"LakeMayport";#N/A,#N/A,FALSE,"MadisonPark";#N/A,#N/A,FALSE,"MadisonRidge";#N/A,#N/A,FALSE,"Magnolia";#N/A,#N/A,FALSE,"Oaks";#N/A,#N/A,FALSE,"Paces River 1";#N/A,#N/A,FALSE,"Paces River 2";#N/A,#N/A,FALSE,"PacesRun";#N/A,#N/A,FALSE,"Paddock ";#N/A,#N/A,FALSE,"Park";#N/A,#N/A,FALSE,"PointeWest";#N/A,#N/A,FALSE,"Royal";#N/A,#N/A,FALSE,"Summer";#N/A,#N/A,FALSE,"Sunbrook";#N/A,#N/A,FALSE,"Sundance";#N/A,#N/A,FALSE,"Sutton";#N/A,#N/A,FALSE,"TownPlace";#N/A,#N/A,FALSE,"Valle";#N/A,#N/A,FALSE,"WatPark";#N/A,#N/A,FALSE,"WatPlace";#N/A,#N/A,FALSE,"WatCastleton";#N/A,#N/A,FALSE,"Wellington"}</definedName>
    <definedName name="wrn.617" localSheetId="7" hidden="1">{#N/A,#N/A,FALSE,"Income Stmt";#N/A,#N/A,FALSE,"Income Summary"}</definedName>
    <definedName name="wrn.617" hidden="1">{#N/A,#N/A,FALSE,"Income Stmt";#N/A,#N/A,FALSE,"Income Summary"}</definedName>
    <definedName name="wrn.7._.Page._.Proforma." localSheetId="7" hidden="1">{#N/A,#N/A,FALSE,"Deal Summary";#N/A,#N/A,FALSE,"Unit Mix";#N/A,#N/A,FALSE,"Historical OS";#N/A,#N/A,FALSE,"Sources &amp; Uses";#N/A,#N/A,FALSE,"Proj of Cash Flow";#N/A,#N/A,FALSE,"Allocation";#N/A,#N/A,FALSE,"Debt Financing"}</definedName>
    <definedName name="wrn.7._.Page._.Proforma." hidden="1">{#N/A,#N/A,FALSE,"Deal Summary";#N/A,#N/A,FALSE,"Unit Mix";#N/A,#N/A,FALSE,"Historical OS";#N/A,#N/A,FALSE,"Sources &amp; Uses";#N/A,#N/A,FALSE,"Proj of Cash Flow";#N/A,#N/A,FALSE,"Allocation";#N/A,#N/A,FALSE,"Debt Financing"}</definedName>
    <definedName name="wrn.92264." localSheetId="7" hidden="1">{"Page 1",#N/A,FALSE,"92264 Page 1";"Page 2",#N/A,FALSE,"92264 Page 2";"Page 3",#N/A,FALSE,"92264 Page 3";"Page 4",#N/A,FALSE,"92264 Page 4";"Page 5",#N/A,FALSE,"92264 Page 5";"Page 6",#N/A,FALSE,"92264 Page 6";"Page 7",#N/A,FALSE,"92264 Page 7";"Page 8",#N/A,FALSE,"92264 Page 8"}</definedName>
    <definedName name="wrn.92264." hidden="1">{"Page 1",#N/A,FALSE,"92264 Page 1";"Page 2",#N/A,FALSE,"92264 Page 2";"Page 3",#N/A,FALSE,"92264 Page 3";"Page 4",#N/A,FALSE,"92264 Page 4";"Page 5",#N/A,FALSE,"92264 Page 5";"Page 6",#N/A,FALSE,"92264 Page 6";"Page 7",#N/A,FALSE,"92264 Page 7";"Page 8",#N/A,FALSE,"92264 Page 8"}</definedName>
    <definedName name="wrn.96_model." localSheetId="7" hidden="1">{"qtr_is_94_95",#N/A,FALSE,"MA";"ann_is_96",#N/A,FALSE,"MA";"seg_sales_96",#N/A,FALSE,"MA";"seg_inc_96",#N/A,FALSE,"MA";"divisional_91_95",#N/A,FALSE,"MA";"ann_bs_96",#N/A,FALSE,"MA";"ann_cf_96",#N/A,FALSE,"MA"}</definedName>
    <definedName name="wrn.96_model." hidden="1">{"qtr_is_94_95",#N/A,FALSE,"MA";"ann_is_96",#N/A,FALSE,"MA";"seg_sales_96",#N/A,FALSE,"MA";"seg_inc_96",#N/A,FALSE,"MA";"divisional_91_95",#N/A,FALSE,"MA";"ann_bs_96",#N/A,FALSE,"MA";"ann_cf_96",#N/A,FALSE,"MA"}</definedName>
    <definedName name="wrn.96126.00._.ValCo.Segmentation." localSheetId="7" hidden="1">{#N/A,#N/A,FALSE,"el.det";#N/A,#N/A,FALSE,"mu.det";#N/A,#N/A,FALSE,"ug.det";#N/A,#N/A,FALSE,"ex.det";#N/A,#N/A,FALSE,"lux.det";#N/A,#N/A,FALSE,"custom.lot";#N/A,#N/A,FALSE,"condo.att";#N/A,#N/A,FALSE,"el.att";#N/A,#N/A,FALSE,"mu.att";#N/A,#N/A,FALSE,"ex.att";#N/A,#N/A,FALSE,"lux.att";#N/A,#N/A,FALSE,"all.by.village"}</definedName>
    <definedName name="wrn.96126.00._.ValCo.Segmentation." hidden="1">{#N/A,#N/A,FALSE,"el.det";#N/A,#N/A,FALSE,"mu.det";#N/A,#N/A,FALSE,"ug.det";#N/A,#N/A,FALSE,"ex.det";#N/A,#N/A,FALSE,"lux.det";#N/A,#N/A,FALSE,"custom.lot";#N/A,#N/A,FALSE,"condo.att";#N/A,#N/A,FALSE,"el.att";#N/A,#N/A,FALSE,"mu.att";#N/A,#N/A,FALSE,"ex.att";#N/A,#N/A,FALSE,"lux.att";#N/A,#N/A,FALSE,"all.by.village"}</definedName>
    <definedName name="wrn.98BUDGET._.VS.._.97REPORJ." localSheetId="7" hidden="1">{"FIRST PORTION",#N/A,TRUE,"SG&amp;A ANNUAL DEPT SUMMARY98-COMP";"SECOND PORTION",#N/A,TRUE,"SG&amp;A ANNUAL DEPT SUMMARY98-COMP";"THIRD PORTION",#N/A,TRUE,"SG&amp;A ANNUAL DEPT SUMMARY98-COMP";"FOURTH PORTION",#N/A,TRUE,"SG&amp;A ANNUAL DEPT SUMMARY98-COMP"}</definedName>
    <definedName name="wrn.98BUDGET._.VS.._.97REPORJ." hidden="1">{"FIRST PORTION",#N/A,TRUE,"SG&amp;A ANNUAL DEPT SUMMARY98-COMP";"SECOND PORTION",#N/A,TRUE,"SG&amp;A ANNUAL DEPT SUMMARY98-COMP";"THIRD PORTION",#N/A,TRUE,"SG&amp;A ANNUAL DEPT SUMMARY98-COMP";"FOURTH PORTION",#N/A,TRUE,"SG&amp;A ANNUAL DEPT SUMMARY98-COMP"}</definedName>
    <definedName name="wrn.A_VALUATION." localSheetId="7" hidden="1">{#N/A,#N/A,FALSE,"A_D";#N/A,#N/A,FALSE,"WACC";#N/A,#N/A,FALSE,"DCF";#N/A,#N/A,FALSE,"A";#N/A,#N/A,FALSE,"LBO";#N/A,#N/A,FALSE,"C";#N/A,#N/A,FALSE,"impd";#N/A,#N/A,FALSE,"comps"}</definedName>
    <definedName name="wrn.A_VALUATION." hidden="1">{#N/A,#N/A,FALSE,"A_D";#N/A,#N/A,FALSE,"WACC";#N/A,#N/A,FALSE,"DCF";#N/A,#N/A,FALSE,"A";#N/A,#N/A,FALSE,"LBO";#N/A,#N/A,FALSE,"C";#N/A,#N/A,FALSE,"impd";#N/A,#N/A,FALSE,"comps"}</definedName>
    <definedName name="wrn.abc" localSheetId="7" hidden="1">{#N/A,#N/A,FALSE,"Index";#N/A,#N/A,FALSE,"IncStmt";#N/A,#N/A,FALSE,"Ratios";#N/A,#N/A,FALSE,"CashFlows";#N/A,#N/A,FALSE,"Ins1";#N/A,#N/A,FALSE,"Ins2";#N/A,#N/A,FALSE,"SelfFund";#N/A,#N/A,FALSE,"SGA";#N/A,#N/A,FALSE,"Recon";#N/A,#N/A,FALSE,"Earnings";#N/A,#N/A,FALSE,"Earnings (2)";#N/A,#N/A,FALSE,"Stock";#N/A,#N/A,FALSE,"Stock (2)";#N/A,#N/A,FALSE,"PeerRatios";#N/A,#N/A,FALSE,"PeerRanks"}</definedName>
    <definedName name="wrn.abc" hidden="1">{#N/A,#N/A,FALSE,"Index";#N/A,#N/A,FALSE,"IncStmt";#N/A,#N/A,FALSE,"Ratios";#N/A,#N/A,FALSE,"CashFlows";#N/A,#N/A,FALSE,"Ins1";#N/A,#N/A,FALSE,"Ins2";#N/A,#N/A,FALSE,"SelfFund";#N/A,#N/A,FALSE,"SGA";#N/A,#N/A,FALSE,"Recon";#N/A,#N/A,FALSE,"Earnings";#N/A,#N/A,FALSE,"Earnings (2)";#N/A,#N/A,FALSE,"Stock";#N/A,#N/A,FALSE,"Stock (2)";#N/A,#N/A,FALSE,"PeerRatios";#N/A,#N/A,FALSE,"PeerRanks"}</definedName>
    <definedName name="wrn.Accounts._.Payable." localSheetId="7" hidden="1">{"Accounts Payable",#N/A,FALSE,"Invoice &amp; AP"}</definedName>
    <definedName name="wrn.Accounts._.Payable." hidden="1">{"Accounts Payable",#N/A,FALSE,"Invoice &amp; AP"}</definedName>
    <definedName name="wrn.Accr_Dil." localSheetId="7" hidden="1">{#N/A,#N/A,FALSE,"Debt Accr";#N/A,#N/A,FALSE,"Stock Accr";#N/A,#N/A,FALSE,"Debt Stock Accr"}</definedName>
    <definedName name="wrn.Accr_Dil." hidden="1">{#N/A,#N/A,FALSE,"Debt Accr";#N/A,#N/A,FALSE,"Stock Accr";#N/A,#N/A,FALSE,"Debt Stock Accr"}</definedName>
    <definedName name="wrn.ACI." localSheetId="7" hidden="1">{"ACI IS",#N/A,FALSE,"ACI - IS";"ACI BS",#N/A,FALSE,"ACI - BS";"ACI Detail IS",#N/A,FALSE,"ACI - Detail IS";"ACI Detail IS Supplemental Info",#N/A,FALSE,"ACI - Detail IS";"ACI Monthly 1999",#N/A,FALSE,"ACI Monthly";"ACI Monthly 1998",#N/A,FALSE,"ACI Monthly";"ACI Monthly 1997",#N/A,FALSE,"ACI Monthly"}</definedName>
    <definedName name="wrn.ACI." hidden="1">{"ACI IS",#N/A,FALSE,"ACI - IS";"ACI BS",#N/A,FALSE,"ACI - BS";"ACI Detail IS",#N/A,FALSE,"ACI - Detail IS";"ACI Detail IS Supplemental Info",#N/A,FALSE,"ACI - Detail IS";"ACI Monthly 1999",#N/A,FALSE,"ACI Monthly";"ACI Monthly 1998",#N/A,FALSE,"ACI Monthly";"ACI Monthly 1997",#N/A,FALSE,"ACI Monthly"}</definedName>
    <definedName name="wrn.Acq._.Model." localSheetId="7" hidden="1">{"RTN",#N/A,FALSE,"RTN";"Inc Stmt",#N/A,FALSE,"Inc Stmt";"Stats",#N/A,FALSE,"Stats";"Rnds",#N/A,FALSE,"Rnds";"Capx",#N/A,FALSE,"CapX";"Dues",#N/A,FALSE,"Dues";"Hist",#N/A,FALSE,"Hist";"Rev1",#N/A,FALSE,"Rev";"Rev2",#N/A,FALSE,"Rev";"Exp",#N/A,FALSE,"Exp";"Rounds",#N/A,FALSE,"Rounds";"Cap Imp",#N/A,FALSE,"Cap Imp"}</definedName>
    <definedName name="wrn.Acq._.Model." hidden="1">{"RTN",#N/A,FALSE,"RTN";"Inc Stmt",#N/A,FALSE,"Inc Stmt";"Stats",#N/A,FALSE,"Stats";"Rnds",#N/A,FALSE,"Rnds";"Capx",#N/A,FALSE,"CapX";"Dues",#N/A,FALSE,"Dues";"Hist",#N/A,FALSE,"Hist";"Rev1",#N/A,FALSE,"Rev";"Rev2",#N/A,FALSE,"Rev";"Exp",#N/A,FALSE,"Exp";"Rounds",#N/A,FALSE,"Rounds";"Cap Imp",#N/A,FALSE,"Cap Imp"}</definedName>
    <definedName name="wrn.Acq._.Model._1" localSheetId="7" hidden="1">{"RTN",#N/A,FALSE,"RTN";"Inc Stmt",#N/A,FALSE,"Inc Stmt";"Stats",#N/A,FALSE,"Stats";"Rnds",#N/A,FALSE,"Rnds";"Capx",#N/A,FALSE,"CapX";"Dues",#N/A,FALSE,"Dues";"Hist",#N/A,FALSE,"Hist";"Rev1",#N/A,FALSE,"Rev";"Rev2",#N/A,FALSE,"Rev";"Exp",#N/A,FALSE,"Exp";"Rounds",#N/A,FALSE,"Rounds";"Cap Imp",#N/A,FALSE,"Cap Imp"}</definedName>
    <definedName name="wrn.Acq._.Model._1" hidden="1">{"RTN",#N/A,FALSE,"RTN";"Inc Stmt",#N/A,FALSE,"Inc Stmt";"Stats",#N/A,FALSE,"Stats";"Rnds",#N/A,FALSE,"Rnds";"Capx",#N/A,FALSE,"CapX";"Dues",#N/A,FALSE,"Dues";"Hist",#N/A,FALSE,"Hist";"Rev1",#N/A,FALSE,"Rev";"Rev2",#N/A,FALSE,"Rev";"Exp",#N/A,FALSE,"Exp";"Rounds",#N/A,FALSE,"Rounds";"Cap Imp",#N/A,FALSE,"Cap Imp"}</definedName>
    <definedName name="wrn.Acq._.Model._1_1" localSheetId="7" hidden="1">{"RTN",#N/A,FALSE,"RTN";"Inc Stmt",#N/A,FALSE,"Inc Stmt";"Stats",#N/A,FALSE,"Stats";"Rnds",#N/A,FALSE,"Rnds";"Capx",#N/A,FALSE,"CapX";"Dues",#N/A,FALSE,"Dues";"Hist",#N/A,FALSE,"Hist";"Rev1",#N/A,FALSE,"Rev";"Rev2",#N/A,FALSE,"Rev";"Exp",#N/A,FALSE,"Exp";"Rounds",#N/A,FALSE,"Rounds";"Cap Imp",#N/A,FALSE,"Cap Imp"}</definedName>
    <definedName name="wrn.Acq._.Model._1_1" hidden="1">{"RTN",#N/A,FALSE,"RTN";"Inc Stmt",#N/A,FALSE,"Inc Stmt";"Stats",#N/A,FALSE,"Stats";"Rnds",#N/A,FALSE,"Rnds";"Capx",#N/A,FALSE,"CapX";"Dues",#N/A,FALSE,"Dues";"Hist",#N/A,FALSE,"Hist";"Rev1",#N/A,FALSE,"Rev";"Rev2",#N/A,FALSE,"Rev";"Exp",#N/A,FALSE,"Exp";"Rounds",#N/A,FALSE,"Rounds";"Cap Imp",#N/A,FALSE,"Cap Imp"}</definedName>
    <definedName name="wrn.Acq._.Model._1_1_1" localSheetId="7" hidden="1">{"RTN",#N/A,FALSE,"RTN";"Inc Stmt",#N/A,FALSE,"Inc Stmt";"Stats",#N/A,FALSE,"Stats";"Rnds",#N/A,FALSE,"Rnds";"Capx",#N/A,FALSE,"CapX";"Dues",#N/A,FALSE,"Dues";"Hist",#N/A,FALSE,"Hist";"Rev1",#N/A,FALSE,"Rev";"Rev2",#N/A,FALSE,"Rev";"Exp",#N/A,FALSE,"Exp";"Rounds",#N/A,FALSE,"Rounds";"Cap Imp",#N/A,FALSE,"Cap Imp"}</definedName>
    <definedName name="wrn.Acq._.Model._1_1_1" hidden="1">{"RTN",#N/A,FALSE,"RTN";"Inc Stmt",#N/A,FALSE,"Inc Stmt";"Stats",#N/A,FALSE,"Stats";"Rnds",#N/A,FALSE,"Rnds";"Capx",#N/A,FALSE,"CapX";"Dues",#N/A,FALSE,"Dues";"Hist",#N/A,FALSE,"Hist";"Rev1",#N/A,FALSE,"Rev";"Rev2",#N/A,FALSE,"Rev";"Exp",#N/A,FALSE,"Exp";"Rounds",#N/A,FALSE,"Rounds";"Cap Imp",#N/A,FALSE,"Cap Imp"}</definedName>
    <definedName name="wrn.Acq._.Model._1_2" localSheetId="7" hidden="1">{"RTN",#N/A,FALSE,"RTN";"Inc Stmt",#N/A,FALSE,"Inc Stmt";"Stats",#N/A,FALSE,"Stats";"Rnds",#N/A,FALSE,"Rnds";"Capx",#N/A,FALSE,"CapX";"Dues",#N/A,FALSE,"Dues";"Hist",#N/A,FALSE,"Hist";"Rev1",#N/A,FALSE,"Rev";"Rev2",#N/A,FALSE,"Rev";"Exp",#N/A,FALSE,"Exp";"Rounds",#N/A,FALSE,"Rounds";"Cap Imp",#N/A,FALSE,"Cap Imp"}</definedName>
    <definedName name="wrn.Acq._.Model._1_2" hidden="1">{"RTN",#N/A,FALSE,"RTN";"Inc Stmt",#N/A,FALSE,"Inc Stmt";"Stats",#N/A,FALSE,"Stats";"Rnds",#N/A,FALSE,"Rnds";"Capx",#N/A,FALSE,"CapX";"Dues",#N/A,FALSE,"Dues";"Hist",#N/A,FALSE,"Hist";"Rev1",#N/A,FALSE,"Rev";"Rev2",#N/A,FALSE,"Rev";"Exp",#N/A,FALSE,"Exp";"Rounds",#N/A,FALSE,"Rounds";"Cap Imp",#N/A,FALSE,"Cap Imp"}</definedName>
    <definedName name="wrn.Acq._.Model._1_3" localSheetId="7" hidden="1">{"RTN",#N/A,FALSE,"RTN";"Inc Stmt",#N/A,FALSE,"Inc Stmt";"Stats",#N/A,FALSE,"Stats";"Rnds",#N/A,FALSE,"Rnds";"Capx",#N/A,FALSE,"CapX";"Dues",#N/A,FALSE,"Dues";"Hist",#N/A,FALSE,"Hist";"Rev1",#N/A,FALSE,"Rev";"Rev2",#N/A,FALSE,"Rev";"Exp",#N/A,FALSE,"Exp";"Rounds",#N/A,FALSE,"Rounds";"Cap Imp",#N/A,FALSE,"Cap Imp"}</definedName>
    <definedName name="wrn.Acq._.Model._1_3" hidden="1">{"RTN",#N/A,FALSE,"RTN";"Inc Stmt",#N/A,FALSE,"Inc Stmt";"Stats",#N/A,FALSE,"Stats";"Rnds",#N/A,FALSE,"Rnds";"Capx",#N/A,FALSE,"CapX";"Dues",#N/A,FALSE,"Dues";"Hist",#N/A,FALSE,"Hist";"Rev1",#N/A,FALSE,"Rev";"Rev2",#N/A,FALSE,"Rev";"Exp",#N/A,FALSE,"Exp";"Rounds",#N/A,FALSE,"Rounds";"Cap Imp",#N/A,FALSE,"Cap Imp"}</definedName>
    <definedName name="wrn.Acq._.Model._1_4" localSheetId="7" hidden="1">{"RTN",#N/A,FALSE,"RTN";"Inc Stmt",#N/A,FALSE,"Inc Stmt";"Stats",#N/A,FALSE,"Stats";"Rnds",#N/A,FALSE,"Rnds";"Capx",#N/A,FALSE,"CapX";"Dues",#N/A,FALSE,"Dues";"Hist",#N/A,FALSE,"Hist";"Rev1",#N/A,FALSE,"Rev";"Rev2",#N/A,FALSE,"Rev";"Exp",#N/A,FALSE,"Exp";"Rounds",#N/A,FALSE,"Rounds";"Cap Imp",#N/A,FALSE,"Cap Imp"}</definedName>
    <definedName name="wrn.Acq._.Model._1_4" hidden="1">{"RTN",#N/A,FALSE,"RTN";"Inc Stmt",#N/A,FALSE,"Inc Stmt";"Stats",#N/A,FALSE,"Stats";"Rnds",#N/A,FALSE,"Rnds";"Capx",#N/A,FALSE,"CapX";"Dues",#N/A,FALSE,"Dues";"Hist",#N/A,FALSE,"Hist";"Rev1",#N/A,FALSE,"Rev";"Rev2",#N/A,FALSE,"Rev";"Exp",#N/A,FALSE,"Exp";"Rounds",#N/A,FALSE,"Rounds";"Cap Imp",#N/A,FALSE,"Cap Imp"}</definedName>
    <definedName name="wrn.Acq._.Model._1_5" localSheetId="7" hidden="1">{"RTN",#N/A,FALSE,"RTN";"Inc Stmt",#N/A,FALSE,"Inc Stmt";"Stats",#N/A,FALSE,"Stats";"Rnds",#N/A,FALSE,"Rnds";"Capx",#N/A,FALSE,"CapX";"Dues",#N/A,FALSE,"Dues";"Hist",#N/A,FALSE,"Hist";"Rev1",#N/A,FALSE,"Rev";"Rev2",#N/A,FALSE,"Rev";"Exp",#N/A,FALSE,"Exp";"Rounds",#N/A,FALSE,"Rounds";"Cap Imp",#N/A,FALSE,"Cap Imp"}</definedName>
    <definedName name="wrn.Acq._.Model._1_5" hidden="1">{"RTN",#N/A,FALSE,"RTN";"Inc Stmt",#N/A,FALSE,"Inc Stmt";"Stats",#N/A,FALSE,"Stats";"Rnds",#N/A,FALSE,"Rnds";"Capx",#N/A,FALSE,"CapX";"Dues",#N/A,FALSE,"Dues";"Hist",#N/A,FALSE,"Hist";"Rev1",#N/A,FALSE,"Rev";"Rev2",#N/A,FALSE,"Rev";"Exp",#N/A,FALSE,"Exp";"Rounds",#N/A,FALSE,"Rounds";"Cap Imp",#N/A,FALSE,"Cap Imp"}</definedName>
    <definedName name="wrn.Acq._.Model._2" localSheetId="7" hidden="1">{"RTN",#N/A,FALSE,"RTN";"Inc Stmt",#N/A,FALSE,"Inc Stmt";"Stats",#N/A,FALSE,"Stats";"Rnds",#N/A,FALSE,"Rnds";"Capx",#N/A,FALSE,"CapX";"Dues",#N/A,FALSE,"Dues";"Hist",#N/A,FALSE,"Hist";"Rev1",#N/A,FALSE,"Rev";"Rev2",#N/A,FALSE,"Rev";"Exp",#N/A,FALSE,"Exp";"Rounds",#N/A,FALSE,"Rounds";"Cap Imp",#N/A,FALSE,"Cap Imp"}</definedName>
    <definedName name="wrn.Acq._.Model._2" hidden="1">{"RTN",#N/A,FALSE,"RTN";"Inc Stmt",#N/A,FALSE,"Inc Stmt";"Stats",#N/A,FALSE,"Stats";"Rnds",#N/A,FALSE,"Rnds";"Capx",#N/A,FALSE,"CapX";"Dues",#N/A,FALSE,"Dues";"Hist",#N/A,FALSE,"Hist";"Rev1",#N/A,FALSE,"Rev";"Rev2",#N/A,FALSE,"Rev";"Exp",#N/A,FALSE,"Exp";"Rounds",#N/A,FALSE,"Rounds";"Cap Imp",#N/A,FALSE,"Cap Imp"}</definedName>
    <definedName name="wrn.Acq._.Model._3" localSheetId="7" hidden="1">{"RTN",#N/A,FALSE,"RTN";"Inc Stmt",#N/A,FALSE,"Inc Stmt";"Stats",#N/A,FALSE,"Stats";"Rnds",#N/A,FALSE,"Rnds";"Capx",#N/A,FALSE,"CapX";"Dues",#N/A,FALSE,"Dues";"Hist",#N/A,FALSE,"Hist";"Rev1",#N/A,FALSE,"Rev";"Rev2",#N/A,FALSE,"Rev";"Exp",#N/A,FALSE,"Exp";"Rounds",#N/A,FALSE,"Rounds";"Cap Imp",#N/A,FALSE,"Cap Imp"}</definedName>
    <definedName name="wrn.Acq._.Model._3" hidden="1">{"RTN",#N/A,FALSE,"RTN";"Inc Stmt",#N/A,FALSE,"Inc Stmt";"Stats",#N/A,FALSE,"Stats";"Rnds",#N/A,FALSE,"Rnds";"Capx",#N/A,FALSE,"CapX";"Dues",#N/A,FALSE,"Dues";"Hist",#N/A,FALSE,"Hist";"Rev1",#N/A,FALSE,"Rev";"Rev2",#N/A,FALSE,"Rev";"Exp",#N/A,FALSE,"Exp";"Rounds",#N/A,FALSE,"Rounds";"Cap Imp",#N/A,FALSE,"Cap Imp"}</definedName>
    <definedName name="wrn.Acq._.Model._4" localSheetId="7" hidden="1">{"RTN",#N/A,FALSE,"RTN";"Inc Stmt",#N/A,FALSE,"Inc Stmt";"Stats",#N/A,FALSE,"Stats";"Rnds",#N/A,FALSE,"Rnds";"Capx",#N/A,FALSE,"CapX";"Dues",#N/A,FALSE,"Dues";"Hist",#N/A,FALSE,"Hist";"Rev1",#N/A,FALSE,"Rev";"Rev2",#N/A,FALSE,"Rev";"Exp",#N/A,FALSE,"Exp";"Rounds",#N/A,FALSE,"Rounds";"Cap Imp",#N/A,FALSE,"Cap Imp"}</definedName>
    <definedName name="wrn.Acq._.Model._4" hidden="1">{"RTN",#N/A,FALSE,"RTN";"Inc Stmt",#N/A,FALSE,"Inc Stmt";"Stats",#N/A,FALSE,"Stats";"Rnds",#N/A,FALSE,"Rnds";"Capx",#N/A,FALSE,"CapX";"Dues",#N/A,FALSE,"Dues";"Hist",#N/A,FALSE,"Hist";"Rev1",#N/A,FALSE,"Rev";"Rev2",#N/A,FALSE,"Rev";"Exp",#N/A,FALSE,"Exp";"Rounds",#N/A,FALSE,"Rounds";"Cap Imp",#N/A,FALSE,"Cap Imp"}</definedName>
    <definedName name="wrn.Acq._.Model._5" localSheetId="7" hidden="1">{"RTN",#N/A,FALSE,"RTN";"Inc Stmt",#N/A,FALSE,"Inc Stmt";"Stats",#N/A,FALSE,"Stats";"Rnds",#N/A,FALSE,"Rnds";"Capx",#N/A,FALSE,"CapX";"Dues",#N/A,FALSE,"Dues";"Hist",#N/A,FALSE,"Hist";"Rev1",#N/A,FALSE,"Rev";"Rev2",#N/A,FALSE,"Rev";"Exp",#N/A,FALSE,"Exp";"Rounds",#N/A,FALSE,"Rounds";"Cap Imp",#N/A,FALSE,"Cap Imp"}</definedName>
    <definedName name="wrn.Acq._.Model._5" hidden="1">{"RTN",#N/A,FALSE,"RTN";"Inc Stmt",#N/A,FALSE,"Inc Stmt";"Stats",#N/A,FALSE,"Stats";"Rnds",#N/A,FALSE,"Rnds";"Capx",#N/A,FALSE,"CapX";"Dues",#N/A,FALSE,"Dues";"Hist",#N/A,FALSE,"Hist";"Rev1",#N/A,FALSE,"Rev";"Rev2",#N/A,FALSE,"Rev";"Exp",#N/A,FALSE,"Exp";"Rounds",#N/A,FALSE,"Rounds";"Cap Imp",#N/A,FALSE,"Cap Imp"}</definedName>
    <definedName name="wrn.Acquisition._.Model." localSheetId="7" hidden="1">{"Return",#N/A,FALSE,"RTN";"Inc Stmt",#N/A,FALSE,"Inc Stmt";"Stats",#N/A,FALSE,"Stats";"Rnds",#N/A,FALSE,"Rnds";"Dues",#N/A,FALSE,"Dues";"Capx",#N/A,FALSE,"CapX";"History",#N/A,FALSE,"Hist";"Rev",#N/A,FALSE,"Rev";"Expenses",#N/A,FALSE,"Exp";"Rounds",#N/A,FALSE,"Rounds";"Capex",#N/A,FALSE,"Capex"}</definedName>
    <definedName name="wrn.Acquisition._.Model." hidden="1">{"Return",#N/A,FALSE,"RTN";"Inc Stmt",#N/A,FALSE,"Inc Stmt";"Stats",#N/A,FALSE,"Stats";"Rnds",#N/A,FALSE,"Rnds";"Dues",#N/A,FALSE,"Dues";"Capx",#N/A,FALSE,"CapX";"History",#N/A,FALSE,"Hist";"Rev",#N/A,FALSE,"Rev";"Expenses",#N/A,FALSE,"Exp";"Rounds",#N/A,FALSE,"Rounds";"Capex",#N/A,FALSE,"Capex"}</definedName>
    <definedName name="wrn.Acquisition._.Model._1" localSheetId="7" hidden="1">{"Return",#N/A,FALSE,"RTN";"Inc Stmt",#N/A,FALSE,"Inc Stmt";"Stats",#N/A,FALSE,"Stats";"Rnds",#N/A,FALSE,"Rnds";"Dues",#N/A,FALSE,"Dues";"Capx",#N/A,FALSE,"CapX";"History",#N/A,FALSE,"Hist";"Rev",#N/A,FALSE,"Rev";"Expenses",#N/A,FALSE,"Exp";"Rounds",#N/A,FALSE,"Rounds";"Capex",#N/A,FALSE,"Capex"}</definedName>
    <definedName name="wrn.Acquisition._.Model._1" hidden="1">{"Return",#N/A,FALSE,"RTN";"Inc Stmt",#N/A,FALSE,"Inc Stmt";"Stats",#N/A,FALSE,"Stats";"Rnds",#N/A,FALSE,"Rnds";"Dues",#N/A,FALSE,"Dues";"Capx",#N/A,FALSE,"CapX";"History",#N/A,FALSE,"Hist";"Rev",#N/A,FALSE,"Rev";"Expenses",#N/A,FALSE,"Exp";"Rounds",#N/A,FALSE,"Rounds";"Capex",#N/A,FALSE,"Capex"}</definedName>
    <definedName name="wrn.Acquisition._.Model._1_1" localSheetId="7" hidden="1">{"Return",#N/A,FALSE,"RTN";"Inc Stmt",#N/A,FALSE,"Inc Stmt";"Stats",#N/A,FALSE,"Stats";"Rnds",#N/A,FALSE,"Rnds";"Dues",#N/A,FALSE,"Dues";"Capx",#N/A,FALSE,"CapX";"History",#N/A,FALSE,"Hist";"Rev",#N/A,FALSE,"Rev";"Expenses",#N/A,FALSE,"Exp";"Rounds",#N/A,FALSE,"Rounds";"Capex",#N/A,FALSE,"Capex"}</definedName>
    <definedName name="wrn.Acquisition._.Model._1_1" hidden="1">{"Return",#N/A,FALSE,"RTN";"Inc Stmt",#N/A,FALSE,"Inc Stmt";"Stats",#N/A,FALSE,"Stats";"Rnds",#N/A,FALSE,"Rnds";"Dues",#N/A,FALSE,"Dues";"Capx",#N/A,FALSE,"CapX";"History",#N/A,FALSE,"Hist";"Rev",#N/A,FALSE,"Rev";"Expenses",#N/A,FALSE,"Exp";"Rounds",#N/A,FALSE,"Rounds";"Capex",#N/A,FALSE,"Capex"}</definedName>
    <definedName name="wrn.Acquisition._.Model._1_1_1" localSheetId="7" hidden="1">{"Return",#N/A,FALSE,"RTN";"Inc Stmt",#N/A,FALSE,"Inc Stmt";"Stats",#N/A,FALSE,"Stats";"Rnds",#N/A,FALSE,"Rnds";"Dues",#N/A,FALSE,"Dues";"Capx",#N/A,FALSE,"CapX";"History",#N/A,FALSE,"Hist";"Rev",#N/A,FALSE,"Rev";"Expenses",#N/A,FALSE,"Exp";"Rounds",#N/A,FALSE,"Rounds";"Capex",#N/A,FALSE,"Capex"}</definedName>
    <definedName name="wrn.Acquisition._.Model._1_1_1" hidden="1">{"Return",#N/A,FALSE,"RTN";"Inc Stmt",#N/A,FALSE,"Inc Stmt";"Stats",#N/A,FALSE,"Stats";"Rnds",#N/A,FALSE,"Rnds";"Dues",#N/A,FALSE,"Dues";"Capx",#N/A,FALSE,"CapX";"History",#N/A,FALSE,"Hist";"Rev",#N/A,FALSE,"Rev";"Expenses",#N/A,FALSE,"Exp";"Rounds",#N/A,FALSE,"Rounds";"Capex",#N/A,FALSE,"Capex"}</definedName>
    <definedName name="wrn.Acquisition._.Model._1_2" localSheetId="7" hidden="1">{"Return",#N/A,FALSE,"RTN";"Inc Stmt",#N/A,FALSE,"Inc Stmt";"Stats",#N/A,FALSE,"Stats";"Rnds",#N/A,FALSE,"Rnds";"Dues",#N/A,FALSE,"Dues";"Capx",#N/A,FALSE,"CapX";"History",#N/A,FALSE,"Hist";"Rev",#N/A,FALSE,"Rev";"Expenses",#N/A,FALSE,"Exp";"Rounds",#N/A,FALSE,"Rounds";"Capex",#N/A,FALSE,"Capex"}</definedName>
    <definedName name="wrn.Acquisition._.Model._1_2" hidden="1">{"Return",#N/A,FALSE,"RTN";"Inc Stmt",#N/A,FALSE,"Inc Stmt";"Stats",#N/A,FALSE,"Stats";"Rnds",#N/A,FALSE,"Rnds";"Dues",#N/A,FALSE,"Dues";"Capx",#N/A,FALSE,"CapX";"History",#N/A,FALSE,"Hist";"Rev",#N/A,FALSE,"Rev";"Expenses",#N/A,FALSE,"Exp";"Rounds",#N/A,FALSE,"Rounds";"Capex",#N/A,FALSE,"Capex"}</definedName>
    <definedName name="wrn.Acquisition._.Model._1_3" localSheetId="7" hidden="1">{"Return",#N/A,FALSE,"RTN";"Inc Stmt",#N/A,FALSE,"Inc Stmt";"Stats",#N/A,FALSE,"Stats";"Rnds",#N/A,FALSE,"Rnds";"Dues",#N/A,FALSE,"Dues";"Capx",#N/A,FALSE,"CapX";"History",#N/A,FALSE,"Hist";"Rev",#N/A,FALSE,"Rev";"Expenses",#N/A,FALSE,"Exp";"Rounds",#N/A,FALSE,"Rounds";"Capex",#N/A,FALSE,"Capex"}</definedName>
    <definedName name="wrn.Acquisition._.Model._1_3" hidden="1">{"Return",#N/A,FALSE,"RTN";"Inc Stmt",#N/A,FALSE,"Inc Stmt";"Stats",#N/A,FALSE,"Stats";"Rnds",#N/A,FALSE,"Rnds";"Dues",#N/A,FALSE,"Dues";"Capx",#N/A,FALSE,"CapX";"History",#N/A,FALSE,"Hist";"Rev",#N/A,FALSE,"Rev";"Expenses",#N/A,FALSE,"Exp";"Rounds",#N/A,FALSE,"Rounds";"Capex",#N/A,FALSE,"Capex"}</definedName>
    <definedName name="wrn.Acquisition._.Model._1_4" localSheetId="7" hidden="1">{"Return",#N/A,FALSE,"RTN";"Inc Stmt",#N/A,FALSE,"Inc Stmt";"Stats",#N/A,FALSE,"Stats";"Rnds",#N/A,FALSE,"Rnds";"Dues",#N/A,FALSE,"Dues";"Capx",#N/A,FALSE,"CapX";"History",#N/A,FALSE,"Hist";"Rev",#N/A,FALSE,"Rev";"Expenses",#N/A,FALSE,"Exp";"Rounds",#N/A,FALSE,"Rounds";"Capex",#N/A,FALSE,"Capex"}</definedName>
    <definedName name="wrn.Acquisition._.Model._1_4" hidden="1">{"Return",#N/A,FALSE,"RTN";"Inc Stmt",#N/A,FALSE,"Inc Stmt";"Stats",#N/A,FALSE,"Stats";"Rnds",#N/A,FALSE,"Rnds";"Dues",#N/A,FALSE,"Dues";"Capx",#N/A,FALSE,"CapX";"History",#N/A,FALSE,"Hist";"Rev",#N/A,FALSE,"Rev";"Expenses",#N/A,FALSE,"Exp";"Rounds",#N/A,FALSE,"Rounds";"Capex",#N/A,FALSE,"Capex"}</definedName>
    <definedName name="wrn.Acquisition._.Model._1_5" localSheetId="7" hidden="1">{"Return",#N/A,FALSE,"RTN";"Inc Stmt",#N/A,FALSE,"Inc Stmt";"Stats",#N/A,FALSE,"Stats";"Rnds",#N/A,FALSE,"Rnds";"Dues",#N/A,FALSE,"Dues";"Capx",#N/A,FALSE,"CapX";"History",#N/A,FALSE,"Hist";"Rev",#N/A,FALSE,"Rev";"Expenses",#N/A,FALSE,"Exp";"Rounds",#N/A,FALSE,"Rounds";"Capex",#N/A,FALSE,"Capex"}</definedName>
    <definedName name="wrn.Acquisition._.Model._1_5" hidden="1">{"Return",#N/A,FALSE,"RTN";"Inc Stmt",#N/A,FALSE,"Inc Stmt";"Stats",#N/A,FALSE,"Stats";"Rnds",#N/A,FALSE,"Rnds";"Dues",#N/A,FALSE,"Dues";"Capx",#N/A,FALSE,"CapX";"History",#N/A,FALSE,"Hist";"Rev",#N/A,FALSE,"Rev";"Expenses",#N/A,FALSE,"Exp";"Rounds",#N/A,FALSE,"Rounds";"Capex",#N/A,FALSE,"Capex"}</definedName>
    <definedName name="wrn.Acquisition._.Model._2" localSheetId="7" hidden="1">{"Return",#N/A,FALSE,"RTN";"Inc Stmt",#N/A,FALSE,"Inc Stmt";"Stats",#N/A,FALSE,"Stats";"Rnds",#N/A,FALSE,"Rnds";"Dues",#N/A,FALSE,"Dues";"Capx",#N/A,FALSE,"CapX";"History",#N/A,FALSE,"Hist";"Rev",#N/A,FALSE,"Rev";"Expenses",#N/A,FALSE,"Exp";"Rounds",#N/A,FALSE,"Rounds";"Capex",#N/A,FALSE,"Capex"}</definedName>
    <definedName name="wrn.Acquisition._.Model._2" hidden="1">{"Return",#N/A,FALSE,"RTN";"Inc Stmt",#N/A,FALSE,"Inc Stmt";"Stats",#N/A,FALSE,"Stats";"Rnds",#N/A,FALSE,"Rnds";"Dues",#N/A,FALSE,"Dues";"Capx",#N/A,FALSE,"CapX";"History",#N/A,FALSE,"Hist";"Rev",#N/A,FALSE,"Rev";"Expenses",#N/A,FALSE,"Exp";"Rounds",#N/A,FALSE,"Rounds";"Capex",#N/A,FALSE,"Capex"}</definedName>
    <definedName name="wrn.Acquisition._.Model._3" localSheetId="7" hidden="1">{"Return",#N/A,FALSE,"RTN";"Inc Stmt",#N/A,FALSE,"Inc Stmt";"Stats",#N/A,FALSE,"Stats";"Rnds",#N/A,FALSE,"Rnds";"Dues",#N/A,FALSE,"Dues";"Capx",#N/A,FALSE,"CapX";"History",#N/A,FALSE,"Hist";"Rev",#N/A,FALSE,"Rev";"Expenses",#N/A,FALSE,"Exp";"Rounds",#N/A,FALSE,"Rounds";"Capex",#N/A,FALSE,"Capex"}</definedName>
    <definedName name="wrn.Acquisition._.Model._3" hidden="1">{"Return",#N/A,FALSE,"RTN";"Inc Stmt",#N/A,FALSE,"Inc Stmt";"Stats",#N/A,FALSE,"Stats";"Rnds",#N/A,FALSE,"Rnds";"Dues",#N/A,FALSE,"Dues";"Capx",#N/A,FALSE,"CapX";"History",#N/A,FALSE,"Hist";"Rev",#N/A,FALSE,"Rev";"Expenses",#N/A,FALSE,"Exp";"Rounds",#N/A,FALSE,"Rounds";"Capex",#N/A,FALSE,"Capex"}</definedName>
    <definedName name="wrn.Acquisition._.Model._4" localSheetId="7" hidden="1">{"Return",#N/A,FALSE,"RTN";"Inc Stmt",#N/A,FALSE,"Inc Stmt";"Stats",#N/A,FALSE,"Stats";"Rnds",#N/A,FALSE,"Rnds";"Dues",#N/A,FALSE,"Dues";"Capx",#N/A,FALSE,"CapX";"History",#N/A,FALSE,"Hist";"Rev",#N/A,FALSE,"Rev";"Expenses",#N/A,FALSE,"Exp";"Rounds",#N/A,FALSE,"Rounds";"Capex",#N/A,FALSE,"Capex"}</definedName>
    <definedName name="wrn.Acquisition._.Model._4" hidden="1">{"Return",#N/A,FALSE,"RTN";"Inc Stmt",#N/A,FALSE,"Inc Stmt";"Stats",#N/A,FALSE,"Stats";"Rnds",#N/A,FALSE,"Rnds";"Dues",#N/A,FALSE,"Dues";"Capx",#N/A,FALSE,"CapX";"History",#N/A,FALSE,"Hist";"Rev",#N/A,FALSE,"Rev";"Expenses",#N/A,FALSE,"Exp";"Rounds",#N/A,FALSE,"Rounds";"Capex",#N/A,FALSE,"Capex"}</definedName>
    <definedName name="wrn.Acquisition._.Model._5" localSheetId="7" hidden="1">{"Return",#N/A,FALSE,"RTN";"Inc Stmt",#N/A,FALSE,"Inc Stmt";"Stats",#N/A,FALSE,"Stats";"Rnds",#N/A,FALSE,"Rnds";"Dues",#N/A,FALSE,"Dues";"Capx",#N/A,FALSE,"CapX";"History",#N/A,FALSE,"Hist";"Rev",#N/A,FALSE,"Rev";"Expenses",#N/A,FALSE,"Exp";"Rounds",#N/A,FALSE,"Rounds";"Capex",#N/A,FALSE,"Capex"}</definedName>
    <definedName name="wrn.Acquisition._.Model._5" hidden="1">{"Return",#N/A,FALSE,"RTN";"Inc Stmt",#N/A,FALSE,"Inc Stmt";"Stats",#N/A,FALSE,"Stats";"Rnds",#N/A,FALSE,"Rnds";"Dues",#N/A,FALSE,"Dues";"Capx",#N/A,FALSE,"CapX";"History",#N/A,FALSE,"Hist";"Rev",#N/A,FALSE,"Rev";"Expenses",#N/A,FALSE,"Exp";"Rounds",#N/A,FALSE,"Rounds";"Capex",#N/A,FALSE,"Capex"}</definedName>
    <definedName name="wrn.Acquisitions." localSheetId="7" hidden="1">{"One",#N/A,FALSE,"Acquisitions";"Two",#N/A,FALSE,"Acquisitions"}</definedName>
    <definedName name="wrn.Acquisitions." hidden="1">{"One",#N/A,FALSE,"Acquisitions";"Two",#N/A,FALSE,"Acquisitions"}</definedName>
    <definedName name="wrn.Acquistion._.Status." localSheetId="7" hidden="1">{#N/A,#N/A,FALSE,"zm III";#N/A,#N/A,FALSE,"deal flow";#N/A,#N/A,FALSE,"Pending deals"}</definedName>
    <definedName name="wrn.Acquistion._.Status." hidden="1">{#N/A,#N/A,FALSE,"zm III";#N/A,#N/A,FALSE,"deal flow";#N/A,#N/A,FALSE,"Pending deals"}</definedName>
    <definedName name="wrn.AFI._.QUARTERLY._.REPORT." localSheetId="7" hidden="1">{#N/A,#N/A,TRUE,"TITLE";#N/A,#N/A,TRUE,"SCH 1";#N/A,#N/A,TRUE,"SCH 2";#N/A,#N/A,TRUE,"SCH 3";#N/A,#N/A,TRUE,"SCH3(A)"}</definedName>
    <definedName name="wrn.AFI._.QUARTERLY._.REPORT." hidden="1">{#N/A,#N/A,TRUE,"TITLE";#N/A,#N/A,TRUE,"SCH 1";#N/A,#N/A,TRUE,"SCH 2";#N/A,#N/A,TRUE,"SCH 3";#N/A,#N/A,TRUE,"SCH3(A)"}</definedName>
    <definedName name="wrn.Aging._.and._.Trend._.Analysis." localSheetId="7"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Aircraft._.Breakdown." localSheetId="7" hidden="1">{"Bell",#N/A,TRUE,"Earnings Model";"Cessna",#N/A,TRUE,"Earnings Model"}</definedName>
    <definedName name="wrn.Aircraft._.Breakdown." hidden="1">{"Bell",#N/A,TRUE,"Earnings Model";"Cessna",#N/A,TRUE,"Earnings Model"}</definedName>
    <definedName name="wrn.All." localSheetId="7" hidden="1">{#N/A,#N/A,FALSE,"Summary";#N/A,#N/A,FALSE,"Gen. Wash.";#N/A,#N/A,FALSE,"Iris Court";#N/A,#N/A,FALSE,"Castle Court";#N/A,#N/A,FALSE,"Edge Hills";#N/A,#N/A,FALSE,"Talbot Woods";#N/A,#N/A,FALSE,"Edge Terrace";#N/A,#N/A,FALSE,"Edge Village";#N/A,#N/A,FALSE,"Westgate";#N/A,#N/A,FALSE,"Century Hills";#N/A,#N/A,FALSE,"Parkview";#N/A,#N/A,FALSE,"Park Bethesda";#N/A,#N/A,FALSE,"Fairfax";#N/A,#N/A,FALSE,"North Park";#N/A,#N/A,FALSE,"Huntington";#N/A,#N/A,FALSE,"Bennington"}</definedName>
    <definedName name="wrn.All." hidden="1">{#N/A,#N/A,FALSE,"Summary";#N/A,#N/A,FALSE,"Gen. Wash.";#N/A,#N/A,FALSE,"Iris Court";#N/A,#N/A,FALSE,"Castle Court";#N/A,#N/A,FALSE,"Edge Hills";#N/A,#N/A,FALSE,"Talbot Woods";#N/A,#N/A,FALSE,"Edge Terrace";#N/A,#N/A,FALSE,"Edge Village";#N/A,#N/A,FALSE,"Westgate";#N/A,#N/A,FALSE,"Century Hills";#N/A,#N/A,FALSE,"Parkview";#N/A,#N/A,FALSE,"Park Bethesda";#N/A,#N/A,FALSE,"Fairfax";#N/A,#N/A,FALSE,"North Park";#N/A,#N/A,FALSE,"Huntington";#N/A,#N/A,FALSE,"Bennington"}</definedName>
    <definedName name="wrn.All._.Budget._.Detail_Forecast." localSheetId="7" hidden="1">{"All Budget Detail-Forecast",#N/A,FALSE,"Forecast"}</definedName>
    <definedName name="wrn.All._.Budget._.Detail_Forecast." hidden="1">{"All Budget Detail-Forecast",#N/A,FALSE,"Forecast"}</definedName>
    <definedName name="wrn.All._.Budget._.Detail_Forecast._1" localSheetId="7" hidden="1">{"All Budget Detail-Forecast",#N/A,FALSE,"Forecast"}</definedName>
    <definedName name="wrn.All._.Budget._.Detail_Forecast._1" hidden="1">{"All Budget Detail-Forecast",#N/A,FALSE,"Forecast"}</definedName>
    <definedName name="wrn.All._.Budget._.Detail_Reit." localSheetId="7" hidden="1">{"All Budget Detail-Reit",#N/A,FALSE,"Forecast"}</definedName>
    <definedName name="wrn.All._.Budget._.Detail_Reit." hidden="1">{"All Budget Detail-Reit",#N/A,FALSE,"Forecast"}</definedName>
    <definedName name="wrn.All._.Budget._.Detail_Reit._1" localSheetId="7" hidden="1">{"All Budget Detail-Reit",#N/A,FALSE,"Forecast"}</definedName>
    <definedName name="wrn.All._.Budget._.Detail_Reit._1" hidden="1">{"All Budget Detail-Reit",#N/A,FALSE,"Forecast"}</definedName>
    <definedName name="wrn.all._.gulp._.sheets." localSheetId="7"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Non._.Recov._.Op._.Exp_Forecast." localSheetId="7" hidden="1">{"All Non-Recov. Op. Exp-Forecast",#N/A,FALSE,"Forecast"}</definedName>
    <definedName name="wrn.All._.Non._.Recov._.Op._.Exp_Forecast." hidden="1">{"All Non-Recov. Op. Exp-Forecast",#N/A,FALSE,"Forecast"}</definedName>
    <definedName name="wrn.All._.Non._.Recov._.Op._.Exp_Forecast._1" localSheetId="7" hidden="1">{"All Non-Recov. Op. Exp-Forecast",#N/A,FALSE,"Forecast"}</definedName>
    <definedName name="wrn.All._.Non._.Recov._.Op._.Exp_Forecast._1" hidden="1">{"All Non-Recov. Op. Exp-Forecast",#N/A,FALSE,"Forecast"}</definedName>
    <definedName name="wrn.All._.Non._.Recov._.Op._.Exp_Reit." localSheetId="7" hidden="1">{"All Non-Recov. Op. Exp-Reit",#N/A,FALSE,"Forecast"}</definedName>
    <definedName name="wrn.All._.Non._.Recov._.Op._.Exp_Reit." hidden="1">{"All Non-Recov. Op. Exp-Reit",#N/A,FALSE,"Forecast"}</definedName>
    <definedName name="wrn.All._.Non._.Recov._.Op._.Exp_Reit._1" localSheetId="7" hidden="1">{"All Non-Recov. Op. Exp-Reit",#N/A,FALSE,"Forecast"}</definedName>
    <definedName name="wrn.All._.Non._.Recov._.Op._.Exp_Reit._1" hidden="1">{"All Non-Recov. Op. Exp-Reit",#N/A,FALSE,"Forecast"}</definedName>
    <definedName name="wrn.ALL._.PAGES." localSheetId="7" hidden="1">{"cashcons",#N/A,FALSE,"CASHCONS";"cash7000",#N/A,FALSE,"CASH7000";"cash9000",#N/A,FALSE,"CASH9000";"assu7000",#N/A,FALSE,"ASSU7000";"assu9000",#N/A,FALSE,"ASSU9000";"rentroll",#N/A,FALSE,"RENTROLL";"expr7000",#N/A,FALSE,"EXPR7000";"expr9000",#N/A,FALSE,"EXPR9000"}</definedName>
    <definedName name="wrn.ALL._.PAGES." hidden="1">{"cashcons",#N/A,FALSE,"CASHCONS";"cash7000",#N/A,FALSE,"CASH7000";"cash9000",#N/A,FALSE,"CASH9000";"assu7000",#N/A,FALSE,"ASSU7000";"assu9000",#N/A,FALSE,"ASSU9000";"rentroll",#N/A,FALSE,"RENTROLL";"expr7000",#N/A,FALSE,"EXPR7000";"expr9000",#N/A,FALSE,"EXPR9000"}</definedName>
    <definedName name="wrn.ALL._.PAGES2" localSheetId="7" hidden="1">{"cashcons",#N/A,FALSE,"CASHCONS";"cash7000",#N/A,FALSE,"CASH7000";"cash9000",#N/A,FALSE,"CASH9000";"assu7000",#N/A,FALSE,"ASSU7000";"assu9000",#N/A,FALSE,"ASSU9000";"rentroll",#N/A,FALSE,"RENTROLL";"expr7000",#N/A,FALSE,"EXPR7000";"expr9000",#N/A,FALSE,"EXPR9000"}</definedName>
    <definedName name="wrn.ALL._.PAGES2" hidden="1">{"cashcons",#N/A,FALSE,"CASHCONS";"cash7000",#N/A,FALSE,"CASH7000";"cash9000",#N/A,FALSE,"CASH9000";"assu7000",#N/A,FALSE,"ASSU7000";"assu9000",#N/A,FALSE,"ASSU9000";"rentroll",#N/A,FALSE,"RENTROLL";"expr7000",#N/A,FALSE,"EXPR7000";"expr9000",#N/A,FALSE,"EXPR9000"}</definedName>
    <definedName name="wrn.all._.periods." localSheetId="7" hidden="1">{"summary II - 99-02",#N/A,FALSE,"Summary II";"summary - 99-02",#N/A,FALSE,"Summary";"key results",#N/A,FALSE,"Key Results";"income stmt - allper",#N/A,FALSE,"Income Statement";"model allperiods",#N/A,FALSE,"Model";"formoff-allper",#N/A,FALSE,"Formatted Office-Retail Page";"argus",#N/A,FALSE,"Office-Retail Argus 2002-2006";"jointventures-allper",#N/A,FALSE,"Joint Ventures";"hotel-allper",#N/A,FALSE,"Hotel";"ldv-allper",#N/A,FALSE,"LDV";"Int&amp;OthInc-allper",#N/A,FALSE,"Interest &amp; Other Inc";"OthUncon-allper",#N/A,FALSE,"Other Uncons";"debt allper",#N/A,FALSE,"Debt";"shares allper",#N/A,FALSE,"Shares";"ratios-allper",#N/A,FALSE,"Ratios"}</definedName>
    <definedName name="wrn.all._.periods." hidden="1">{"summary II - 99-02",#N/A,FALSE,"Summary II";"summary - 99-02",#N/A,FALSE,"Summary";"key results",#N/A,FALSE,"Key Results";"income stmt - allper",#N/A,FALSE,"Income Statement";"model allperiods",#N/A,FALSE,"Model";"formoff-allper",#N/A,FALSE,"Formatted Office-Retail Page";"argus",#N/A,FALSE,"Office-Retail Argus 2002-2006";"jointventures-allper",#N/A,FALSE,"Joint Ventures";"hotel-allper",#N/A,FALSE,"Hotel";"ldv-allper",#N/A,FALSE,"LDV";"Int&amp;OthInc-allper",#N/A,FALSE,"Interest &amp; Other Inc";"OthUncon-allper",#N/A,FALSE,"Other Uncons";"debt allper",#N/A,FALSE,"Debt";"shares allper",#N/A,FALSE,"Shares";"ratios-allper",#N/A,FALSE,"Ratios"}</definedName>
    <definedName name="wrn.All._.Rental._.Income_Forecast." localSheetId="7" hidden="1">{"All Rental Income-Reforecast",#N/A,FALSE,"Forecast"}</definedName>
    <definedName name="wrn.All._.Rental._.Income_Forecast." hidden="1">{"All Rental Income-Reforecast",#N/A,FALSE,"Forecast"}</definedName>
    <definedName name="wrn.All._.Rental._.Income_Forecast._1" localSheetId="7" hidden="1">{"All Rental Income-Reforecast",#N/A,FALSE,"Forecast"}</definedName>
    <definedName name="wrn.All._.Rental._.Income_Forecast._1" hidden="1">{"All Rental Income-Reforecast",#N/A,FALSE,"Forecast"}</definedName>
    <definedName name="wrn.All._.Rental._.Income_Reit." localSheetId="7" hidden="1">{"All Rental Income-Reit",#N/A,FALSE,"Forecast"}</definedName>
    <definedName name="wrn.All._.Rental._.Income_Reit." hidden="1">{"All Rental Income-Reit",#N/A,FALSE,"Forecast"}</definedName>
    <definedName name="wrn.All._.Rental._.Income_Reit._1" localSheetId="7" hidden="1">{"All Rental Income-Reit",#N/A,FALSE,"Forecast"}</definedName>
    <definedName name="wrn.All._.Rental._.Income_Reit._1" hidden="1">{"All Rental Income-Reit",#N/A,FALSE,"Forecast"}</definedName>
    <definedName name="wrn.All._.Reports." localSheetId="7" hidden="1">{"Stat of Ops Summary",#N/A,FALSE,"Summ P&amp;L";"Balance Sheet",#N/A,FALSE,"Summ P&amp;L";"Cash Flow",#N/A,FALSE,"Summ P&amp;L";"Facility Stats",#N/A,FALSE,"Summ P&amp;L";"Stat of Ops Detail",#N/A,FALSE,"Expenses by Dept";"Census",#N/A,FALSE,"Census";"Billing Template",#N/A,FALSE,"Billing Rates";"Staffing $s",#N/A,FALSE,"Staffing";"Staffing Pattern",#N/A,FALSE,"Staffing Pattern";"Assumptions",#N/A,FALSE,"Assumptions";"Capital Expenditures",#N/A,FALSE,"Capital Expenditures";"Prepaids/Accruals",#N/A,FALSE,"Prepaid_Accrual Wkst"}</definedName>
    <definedName name="wrn.All._.Reports." hidden="1">{"Stat of Ops Summary",#N/A,FALSE,"Summ P&amp;L";"Balance Sheet",#N/A,FALSE,"Summ P&amp;L";"Cash Flow",#N/A,FALSE,"Summ P&amp;L";"Facility Stats",#N/A,FALSE,"Summ P&amp;L";"Stat of Ops Detail",#N/A,FALSE,"Expenses by Dept";"Census",#N/A,FALSE,"Census";"Billing Template",#N/A,FALSE,"Billing Rates";"Staffing $s",#N/A,FALSE,"Staffing";"Staffing Pattern",#N/A,FALSE,"Staffing Pattern";"Assumptions",#N/A,FALSE,"Assumptions";"Capital Expenditures",#N/A,FALSE,"Capital Expenditures";"Prepaids/Accruals",#N/A,FALSE,"Prepaid_Accrual Wkst"}</definedName>
    <definedName name="wrn.All._.Schedules." localSheetId="7" hidden="1">{#N/A,#N/A,FALSE,"CF Consolidated 2";#N/A,#N/A,FALSE,"Retail Assump";#N/A,#N/A,FALSE,"CF Retail";#N/A,#N/A,FALSE,"Garage Assumpt 1";#N/A,#N/A,FALSE,"Garage Op Proj";#N/A,#N/A,FALSE,"Hist I&amp;E";#N/A,#N/A,FALSE,"Rent Roll";#N/A,#N/A,FALSE,"RE Taxes";#N/A,#N/A,FALSE,"CAM - BH";#N/A,#N/A,FALSE,"Comm.Condo CAM"}</definedName>
    <definedName name="wrn.All._.Schedules." hidden="1">{#N/A,#N/A,FALSE,"CF Consolidated 2";#N/A,#N/A,FALSE,"Retail Assump";#N/A,#N/A,FALSE,"CF Retail";#N/A,#N/A,FALSE,"Garage Assumpt 1";#N/A,#N/A,FALSE,"Garage Op Proj";#N/A,#N/A,FALSE,"Hist I&amp;E";#N/A,#N/A,FALSE,"Rent Roll";#N/A,#N/A,FALSE,"RE Taxes";#N/A,#N/A,FALSE,"CAM - BH";#N/A,#N/A,FALSE,"Comm.Condo CAM"}</definedName>
    <definedName name="wrn.ALL._.SHEETS." localSheetId="7" hidden="1">{#N/A,#N/A,FALSE,"Adj Proj";#N/A,#N/A,FALSE,"Sheet1";#N/A,#N/A,FALSE,"LBO";#N/A,#N/A,FALSE,"LBOMER";#N/A,#N/A,FALSE,"WACC";#N/A,#N/A,FALSE,"DCF";#N/A,#N/A,FALSE,"DCFMER";#N/A,#N/A,FALSE,"Pooling";#N/A,#N/A,FALSE,"income";#N/A,#N/A,FALSE,"Offer"}</definedName>
    <definedName name="wrn.ALL._.SHEETS." hidden="1">{#N/A,#N/A,FALSE,"Adj Proj";#N/A,#N/A,FALSE,"Sheet1";#N/A,#N/A,FALSE,"LBO";#N/A,#N/A,FALSE,"LBOMER";#N/A,#N/A,FALSE,"WACC";#N/A,#N/A,FALSE,"DCF";#N/A,#N/A,FALSE,"DCFMER";#N/A,#N/A,FALSE,"Pooling";#N/A,#N/A,FALSE,"income";#N/A,#N/A,FALSE,"Offer"}</definedName>
    <definedName name="wrn.All._.Sum._.Main._.Open._.Trading." localSheetId="7" hidden="1">{#N/A,#N/A,FALSE,"United Summary";#N/A,#N/A,FALSE,"United Main";#N/A,#N/A,FALSE,"United Open";#N/A,#N/A,FALSE,"PPSL Summary";#N/A,#N/A,FALSE,"PPSL Main";#N/A,#N/A,FALSE,"PPSL Open";#N/A,#N/A,FALSE,"PPSL TradingYr1";#N/A,#N/A,FALSE,"PPSL TradingYr2";#N/A,#N/A,FALSE,"PPSL TradingYr3";#N/A,#N/A,FALSE,"Anchor Summary";#N/A,#N/A,FALSE,"Anchor Main";#N/A,#N/A,FALSE,"Anchor Open";#N/A,#N/A,FALSE,"Anchor TradingYr1";#N/A,#N/A,FALSE,"Anchor Trading Yr2";#N/A,#N/A,FALSE,"Anchor Trading Yr3"}</definedName>
    <definedName name="wrn.All._.Sum._.Main._.Open._.Trading." hidden="1">{#N/A,#N/A,FALSE,"United Summary";#N/A,#N/A,FALSE,"United Main";#N/A,#N/A,FALSE,"United Open";#N/A,#N/A,FALSE,"PPSL Summary";#N/A,#N/A,FALSE,"PPSL Main";#N/A,#N/A,FALSE,"PPSL Open";#N/A,#N/A,FALSE,"PPSL TradingYr1";#N/A,#N/A,FALSE,"PPSL TradingYr2";#N/A,#N/A,FALSE,"PPSL TradingYr3";#N/A,#N/A,FALSE,"Anchor Summary";#N/A,#N/A,FALSE,"Anchor Main";#N/A,#N/A,FALSE,"Anchor Open";#N/A,#N/A,FALSE,"Anchor TradingYr1";#N/A,#N/A,FALSE,"Anchor Trading Yr2";#N/A,#N/A,FALSE,"Anchor Trading Yr3"}</definedName>
    <definedName name="wrn.ALL._1" localSheetId="7" hidden="1">{#N/A,#N/A,TRUE,"3-Gateway";#N/A,#N/A,TRUE,"4-ByrkitAve.Bus.Ctr.";#N/A,#N/A,TRUE,"5- 851 Marietta Assoc.";#N/A,#N/A,TRUE,"6-Fesslers";#N/A,#N/A,TRUE,"7- 3300 Sample";#N/A,#N/A,TRUE,"8-Blackthorn-Wells";#N/A,#N/A,TRUE,"9-BlackthornNimtz";#N/A,#N/A,TRUE,"10-Willow Trace II";#N/A,#N/A,TRUE,"11-Homeland";#N/A,#N/A,TRUE,"12-Dugdale";#N/A,#N/A,TRUE,"13-Park Center";#N/A,#N/A,TRUE,"14-Michiana";#N/A,#N/A,TRUE,"15-LTV (Niles)";#N/A,#N/A,TRUE,"16-Niles-Colfax";#N/A,#N/A,TRUE,"17-Colfax Place";#N/A,#N/A,TRUE,"18-Pru Office"}</definedName>
    <definedName name="wrn.ALL._1" hidden="1">{#N/A,#N/A,TRUE,"3-Gateway";#N/A,#N/A,TRUE,"4-ByrkitAve.Bus.Ctr.";#N/A,#N/A,TRUE,"5- 851 Marietta Assoc.";#N/A,#N/A,TRUE,"6-Fesslers";#N/A,#N/A,TRUE,"7- 3300 Sample";#N/A,#N/A,TRUE,"8-Blackthorn-Wells";#N/A,#N/A,TRUE,"9-BlackthornNimtz";#N/A,#N/A,TRUE,"10-Willow Trace II";#N/A,#N/A,TRUE,"11-Homeland";#N/A,#N/A,TRUE,"12-Dugdale";#N/A,#N/A,TRUE,"13-Park Center";#N/A,#N/A,TRUE,"14-Michiana";#N/A,#N/A,TRUE,"15-LTV (Niles)";#N/A,#N/A,TRUE,"16-Niles-Colfax";#N/A,#N/A,TRUE,"17-Colfax Place";#N/A,#N/A,TRUE,"18-Pru Office"}</definedName>
    <definedName name="wrn.ALL._2" localSheetId="7" hidden="1">{#N/A,#N/A,TRUE,"3-Gateway";#N/A,#N/A,TRUE,"4-ByrkitAve.Bus.Ctr.";#N/A,#N/A,TRUE,"5- 851 Marietta Assoc.";#N/A,#N/A,TRUE,"6-Fesslers";#N/A,#N/A,TRUE,"7- 3300 Sample";#N/A,#N/A,TRUE,"8-Blackthorn-Wells";#N/A,#N/A,TRUE,"9-BlackthornNimtz";#N/A,#N/A,TRUE,"10-Willow Trace II";#N/A,#N/A,TRUE,"11-Homeland";#N/A,#N/A,TRUE,"12-Dugdale";#N/A,#N/A,TRUE,"13-Park Center";#N/A,#N/A,TRUE,"14-Michiana";#N/A,#N/A,TRUE,"15-LTV (Niles)";#N/A,#N/A,TRUE,"16-Niles-Colfax";#N/A,#N/A,TRUE,"17-Colfax Place";#N/A,#N/A,TRUE,"18-Pru Office"}</definedName>
    <definedName name="wrn.ALL._2" hidden="1">{#N/A,#N/A,TRUE,"3-Gateway";#N/A,#N/A,TRUE,"4-ByrkitAve.Bus.Ctr.";#N/A,#N/A,TRUE,"5- 851 Marietta Assoc.";#N/A,#N/A,TRUE,"6-Fesslers";#N/A,#N/A,TRUE,"7- 3300 Sample";#N/A,#N/A,TRUE,"8-Blackthorn-Wells";#N/A,#N/A,TRUE,"9-BlackthornNimtz";#N/A,#N/A,TRUE,"10-Willow Trace II";#N/A,#N/A,TRUE,"11-Homeland";#N/A,#N/A,TRUE,"12-Dugdale";#N/A,#N/A,TRUE,"13-Park Center";#N/A,#N/A,TRUE,"14-Michiana";#N/A,#N/A,TRUE,"15-LTV (Niles)";#N/A,#N/A,TRUE,"16-Niles-Colfax";#N/A,#N/A,TRUE,"17-Colfax Place";#N/A,#N/A,TRUE,"18-Pru Office"}</definedName>
    <definedName name="wrn.ALL._3" localSheetId="7" hidden="1">{#N/A,#N/A,TRUE,"3-Gateway";#N/A,#N/A,TRUE,"4-ByrkitAve.Bus.Ctr.";#N/A,#N/A,TRUE,"5- 851 Marietta Assoc.";#N/A,#N/A,TRUE,"6-Fesslers";#N/A,#N/A,TRUE,"7- 3300 Sample";#N/A,#N/A,TRUE,"8-Blackthorn-Wells";#N/A,#N/A,TRUE,"9-BlackthornNimtz";#N/A,#N/A,TRUE,"10-Willow Trace II";#N/A,#N/A,TRUE,"11-Homeland";#N/A,#N/A,TRUE,"12-Dugdale";#N/A,#N/A,TRUE,"13-Park Center";#N/A,#N/A,TRUE,"14-Michiana";#N/A,#N/A,TRUE,"15-LTV (Niles)";#N/A,#N/A,TRUE,"16-Niles-Colfax";#N/A,#N/A,TRUE,"17-Colfax Place";#N/A,#N/A,TRUE,"18-Pru Office"}</definedName>
    <definedName name="wrn.ALL._3" hidden="1">{#N/A,#N/A,TRUE,"3-Gateway";#N/A,#N/A,TRUE,"4-ByrkitAve.Bus.Ctr.";#N/A,#N/A,TRUE,"5- 851 Marietta Assoc.";#N/A,#N/A,TRUE,"6-Fesslers";#N/A,#N/A,TRUE,"7- 3300 Sample";#N/A,#N/A,TRUE,"8-Blackthorn-Wells";#N/A,#N/A,TRUE,"9-BlackthornNimtz";#N/A,#N/A,TRUE,"10-Willow Trace II";#N/A,#N/A,TRUE,"11-Homeland";#N/A,#N/A,TRUE,"12-Dugdale";#N/A,#N/A,TRUE,"13-Park Center";#N/A,#N/A,TRUE,"14-Michiana";#N/A,#N/A,TRUE,"15-LTV (Niles)";#N/A,#N/A,TRUE,"16-Niles-Colfax";#N/A,#N/A,TRUE,"17-Colfax Place";#N/A,#N/A,TRUE,"18-Pru Office"}</definedName>
    <definedName name="wrn.ALL._4" localSheetId="7" hidden="1">{#N/A,#N/A,TRUE,"3-Gateway";#N/A,#N/A,TRUE,"4-ByrkitAve.Bus.Ctr.";#N/A,#N/A,TRUE,"5- 851 Marietta Assoc.";#N/A,#N/A,TRUE,"6-Fesslers";#N/A,#N/A,TRUE,"7- 3300 Sample";#N/A,#N/A,TRUE,"8-Blackthorn-Wells";#N/A,#N/A,TRUE,"9-BlackthornNimtz";#N/A,#N/A,TRUE,"10-Willow Trace II";#N/A,#N/A,TRUE,"11-Homeland";#N/A,#N/A,TRUE,"12-Dugdale";#N/A,#N/A,TRUE,"13-Park Center";#N/A,#N/A,TRUE,"14-Michiana";#N/A,#N/A,TRUE,"15-LTV (Niles)";#N/A,#N/A,TRUE,"16-Niles-Colfax";#N/A,#N/A,TRUE,"17-Colfax Place";#N/A,#N/A,TRUE,"18-Pru Office"}</definedName>
    <definedName name="wrn.ALL._4" hidden="1">{#N/A,#N/A,TRUE,"3-Gateway";#N/A,#N/A,TRUE,"4-ByrkitAve.Bus.Ctr.";#N/A,#N/A,TRUE,"5- 851 Marietta Assoc.";#N/A,#N/A,TRUE,"6-Fesslers";#N/A,#N/A,TRUE,"7- 3300 Sample";#N/A,#N/A,TRUE,"8-Blackthorn-Wells";#N/A,#N/A,TRUE,"9-BlackthornNimtz";#N/A,#N/A,TRUE,"10-Willow Trace II";#N/A,#N/A,TRUE,"11-Homeland";#N/A,#N/A,TRUE,"12-Dugdale";#N/A,#N/A,TRUE,"13-Park Center";#N/A,#N/A,TRUE,"14-Michiana";#N/A,#N/A,TRUE,"15-LTV (Niles)";#N/A,#N/A,TRUE,"16-Niles-Colfax";#N/A,#N/A,TRUE,"17-Colfax Place";#N/A,#N/A,TRUE,"18-Pru Office"}</definedName>
    <definedName name="wrn.ALL._5" localSheetId="7" hidden="1">{#N/A,#N/A,TRUE,"3-Gateway";#N/A,#N/A,TRUE,"4-ByrkitAve.Bus.Ctr.";#N/A,#N/A,TRUE,"5- 851 Marietta Assoc.";#N/A,#N/A,TRUE,"6-Fesslers";#N/A,#N/A,TRUE,"7- 3300 Sample";#N/A,#N/A,TRUE,"8-Blackthorn-Wells";#N/A,#N/A,TRUE,"9-BlackthornNimtz";#N/A,#N/A,TRUE,"10-Willow Trace II";#N/A,#N/A,TRUE,"11-Homeland";#N/A,#N/A,TRUE,"12-Dugdale";#N/A,#N/A,TRUE,"13-Park Center";#N/A,#N/A,TRUE,"14-Michiana";#N/A,#N/A,TRUE,"15-LTV (Niles)";#N/A,#N/A,TRUE,"16-Niles-Colfax";#N/A,#N/A,TRUE,"17-Colfax Place";#N/A,#N/A,TRUE,"18-Pru Office"}</definedName>
    <definedName name="wrn.ALL._5" hidden="1">{#N/A,#N/A,TRUE,"3-Gateway";#N/A,#N/A,TRUE,"4-ByrkitAve.Bus.Ctr.";#N/A,#N/A,TRUE,"5- 851 Marietta Assoc.";#N/A,#N/A,TRUE,"6-Fesslers";#N/A,#N/A,TRUE,"7- 3300 Sample";#N/A,#N/A,TRUE,"8-Blackthorn-Wells";#N/A,#N/A,TRUE,"9-BlackthornNimtz";#N/A,#N/A,TRUE,"10-Willow Trace II";#N/A,#N/A,TRUE,"11-Homeland";#N/A,#N/A,TRUE,"12-Dugdale";#N/A,#N/A,TRUE,"13-Park Center";#N/A,#N/A,TRUE,"14-Michiana";#N/A,#N/A,TRUE,"15-LTV (Niles)";#N/A,#N/A,TRUE,"16-Niles-Colfax";#N/A,#N/A,TRUE,"17-Colfax Place";#N/A,#N/A,TRUE,"18-Pru Office"}</definedName>
    <definedName name="wrn.all._a" localSheetId="7" hidden="1">{"Assump",#N/A,FALSE,"Assupmtions";"CAPITAL",#N/A,FALSE,"Cash Flow";"EQUITY",#N/A,FALSE,"Cash Flow";"Rev_Ratio",#N/A,FALSE,"% Total Rev";"AL_Ratio",#N/A,FALSE,"% Asst Lvng+SC";"Loan",#N/A,FALSE,"Loan Amort"}</definedName>
    <definedName name="wrn.all._a" hidden="1">{"Assump",#N/A,FALSE,"Assupmtions";"CAPITAL",#N/A,FALSE,"Cash Flow";"EQUITY",#N/A,FALSE,"Cash Flow";"Rev_Ratio",#N/A,FALSE,"% Total Rev";"AL_Ratio",#N/A,FALSE,"% Asst Lvng+SC";"Loan",#N/A,FALSE,"Loan Amort"}</definedName>
    <definedName name="wrn.all._b" localSheetId="7" hidden="1">{"Assump",#N/A,FALSE,"Assupmtions";"CAPITAL",#N/A,FALSE,"Cash Flow";"EQUITY",#N/A,FALSE,"Cash Flow";"Rev_Ratio",#N/A,FALSE,"% Total Rev";"AL_Ratio",#N/A,FALSE,"% Asst Lvng+SC";"Loan",#N/A,FALSE,"Loan Amort"}</definedName>
    <definedName name="wrn.all._b" hidden="1">{"Assump",#N/A,FALSE,"Assupmtions";"CAPITAL",#N/A,FALSE,"Cash Flow";"EQUITY",#N/A,FALSE,"Cash Flow";"Rev_Ratio",#N/A,FALSE,"% Total Rev";"AL_Ratio",#N/A,FALSE,"% Asst Lvng+SC";"Loan",#N/A,FALSE,"Loan Amort"}</definedName>
    <definedName name="wrn.all._c" localSheetId="7" hidden="1">{"Assump",#N/A,FALSE,"Assupmtions";"CAPITAL",#N/A,FALSE,"Cash Flow";"EQUITY",#N/A,FALSE,"Cash Flow";"Rev_Ratio",#N/A,FALSE,"% Total Rev";"AL_Ratio",#N/A,FALSE,"% Asst Lvng+SC";"Loan",#N/A,FALSE,"Loan Amort"}</definedName>
    <definedName name="wrn.all._c" hidden="1">{"Assump",#N/A,FALSE,"Assupmtions";"CAPITAL",#N/A,FALSE,"Cash Flow";"EQUITY",#N/A,FALSE,"Cash Flow";"Rev_Ratio",#N/A,FALSE,"% Total Rev";"AL_Ratio",#N/A,FALSE,"% Asst Lvng+SC";"Loan",#N/A,FALSE,"Loan Amort"}</definedName>
    <definedName name="wrn.all.2" localSheetId="7" hidden="1">{"Assump",#N/A,FALSE,"Assupmtions";"CAPITAL",#N/A,FALSE,"Cash Flow";"EQUITY",#N/A,FALSE,"Cash Flow";"Rev_Ratio",#N/A,FALSE,"% Total Rev";"AL_Ratio",#N/A,FALSE,"% Asst Lvng+SC";"Loan",#N/A,FALSE,"Loan Amort"}</definedName>
    <definedName name="wrn.all.2" hidden="1">{"Assump",#N/A,FALSE,"Assupmtions";"CAPITAL",#N/A,FALSE,"Cash Flow";"EQUITY",#N/A,FALSE,"Cash Flow";"Rev_Ratio",#N/A,FALSE,"% Total Rev";"AL_Ratio",#N/A,FALSE,"% Asst Lvng+SC";"Loan",#N/A,FALSE,"Loan Amort"}</definedName>
    <definedName name="wrn.All_Models." localSheetId="7" hidden="1">{#N/A,#N/A,FALSE,"Summary";#N/A,#N/A,FALSE,"Projections";#N/A,#N/A,FALSE,"Mkt Mults";#N/A,#N/A,FALSE,"DCF";#N/A,#N/A,FALSE,"Accr Dil";#N/A,#N/A,FALSE,"PIC LBO";#N/A,#N/A,FALSE,"MULT10_4";#N/A,#N/A,FALSE,"CBI LBO"}</definedName>
    <definedName name="wrn.All_Models." hidden="1">{#N/A,#N/A,FALSE,"Summary";#N/A,#N/A,FALSE,"Projections";#N/A,#N/A,FALSE,"Mkt Mults";#N/A,#N/A,FALSE,"DCF";#N/A,#N/A,FALSE,"Accr Dil";#N/A,#N/A,FALSE,"PIC LBO";#N/A,#N/A,FALSE,"MULT10_4";#N/A,#N/A,FALSE,"CBI LBO"}</definedName>
    <definedName name="wrn.All_Sheets." localSheetId="7" hidden="1">{#N/A,#N/A,FALSE,"Projections";#N/A,#N/A,FALSE,"Contribution_Stock";#N/A,#N/A,FALSE,"PF_Combo_Stock";#N/A,#N/A,FALSE,"Projections";#N/A,#N/A,FALSE,"Contribution_Cash";#N/A,#N/A,FALSE,"PF_Combo_Cash";#N/A,#N/A,FALSE,"IPO_Cash"}</definedName>
    <definedName name="wrn.All_Sheets." hidden="1">{#N/A,#N/A,FALSE,"Projections";#N/A,#N/A,FALSE,"Contribution_Stock";#N/A,#N/A,FALSE,"PF_Combo_Stock";#N/A,#N/A,FALSE,"Projections";#N/A,#N/A,FALSE,"Contribution_Cash";#N/A,#N/A,FALSE,"PF_Combo_Cash";#N/A,#N/A,FALSE,"IPO_Cash"}</definedName>
    <definedName name="wrn.ALLbutPREMIUM." localSheetId="7"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hidden="1">{#N/A,#N/A,FALSE,"Projections";#N/A,#N/A,FALSE,"AccrDil";#N/A,#N/A,FALSE,"PurchPriMult";#N/A,#N/A,FALSE,"Mults7_13";#N/A,#N/A,FALSE,"Mkt Mults";#N/A,#N/A,FALSE,"Acq Mults";#N/A,#N/A,FALSE,"StockPrices";#N/A,#N/A,FALSE,"Prem Paid";#N/A,#N/A,FALSE,"DCF";#N/A,#N/A,FALSE,"AUTO";#N/A,#N/A,FALSE,"Relative Trading";#N/A,#N/A,FALSE,"Mkt Val";#N/A,#N/A,FALSE,"Acq Val"}</definedName>
    <definedName name="wrn.Alles." localSheetId="7" hidden="1">{"Alles",#N/A,FALSE,"H A Ü"}</definedName>
    <definedName name="wrn.Alles." hidden="1">{"Alles",#N/A,FALSE,"H A Ü"}</definedName>
    <definedName name="wrn.AllModels." localSheetId="7" hidden="1">{#N/A,#N/A,FALSE,"AD_Purchase";#N/A,#N/A,FALSE,"Credit";#N/A,#N/A,FALSE,"PF Acquisition";#N/A,#N/A,FALSE,"PF Offering"}</definedName>
    <definedName name="wrn.AllModels." hidden="1">{#N/A,#N/A,FALSE,"AD_Purchase";#N/A,#N/A,FALSE,"Credit";#N/A,#N/A,FALSE,"PF Acquisition";#N/A,#N/A,FALSE,"PF Offering"}</definedName>
    <definedName name="wrn.allpages." localSheetId="7" hidden="1">{#N/A,#N/A,TRUE,"Historicals";#N/A,#N/A,TRUE,"Charts";#N/A,#N/A,TRUE,"Forecasts"}</definedName>
    <definedName name="wrn.allpages." hidden="1">{#N/A,#N/A,TRUE,"Historicals";#N/A,#N/A,TRUE,"Charts";#N/A,#N/A,TRUE,"Forecasts"}</definedName>
    <definedName name="wrn.allper." localSheetId="7" hidden="1">{"sumII-99-02",#N/A,FALSE,"Summary II";"summ-99-02",#N/A,FALSE,"Summary";"i-s-allper",#N/A,FALSE,"Income Statement";"model-allper",#N/A,FALSE,"Model";"formoff-allper",#N/A,FALSE,"Formatted Office-Retail Page";"office-retail-allper",#N/A,FALSE,"Office-Retail Argus 2002-2006";"jointventures-allper",#N/A,FALSE,"Joint Ventures";"hotel-allper",#N/A,FALSE,"Hotel";"ldv-allper",#N/A,FALSE,"LDV";"Int&amp;OthInc-allper",#N/A,FALSE,"Interest &amp; Other Inc";"OthUncon-allper",#N/A,FALSE,"Other Uncons";"debt-allper",#N/A,FALSE,"Debt";"shares-allper",#N/A,FALSE,"Shares";"ratios-allper",#N/A,FALSE,"Ratios"}</definedName>
    <definedName name="wrn.allper." hidden="1">{"sumII-99-02",#N/A,FALSE,"Summary II";"summ-99-02",#N/A,FALSE,"Summary";"i-s-allper",#N/A,FALSE,"Income Statement";"model-allper",#N/A,FALSE,"Model";"formoff-allper",#N/A,FALSE,"Formatted Office-Retail Page";"office-retail-allper",#N/A,FALSE,"Office-Retail Argus 2002-2006";"jointventures-allper",#N/A,FALSE,"Joint Ventures";"hotel-allper",#N/A,FALSE,"Hotel";"ldv-allper",#N/A,FALSE,"LDV";"Int&amp;OthInc-allper",#N/A,FALSE,"Interest &amp; Other Inc";"OthUncon-allper",#N/A,FALSE,"Other Uncons";"debt-allper",#N/A,FALSE,"Debt";"shares-allper",#N/A,FALSE,"Shares";"ratios-allper",#N/A,FALSE,"Ratios"}</definedName>
    <definedName name="wrn.Allperiods." localSheetId="7" hidden="1">{"Summaryall",#N/A,FALSE,"Model";"5Officeall",#N/A,FALSE,"Office-Retail Argus 2002-2006";"Officelegal",#N/A,FALSE,"Formatted Office-Retail Page";"Joint Ventures",#N/A,FALSE,"Joint Ventures";"Hotelall",#N/A,FALSE,"Hotel";"RDVall",#N/A,FALSE,"LDV";"Otherall",#N/A,FALSE,"Other";"Dispoall",#N/A,FALSE,"Dispositions"}</definedName>
    <definedName name="wrn.Allperiods." hidden="1">{"Summaryall",#N/A,FALSE,"Model";"5Officeall",#N/A,FALSE,"Office-Retail Argus 2002-2006";"Officelegal",#N/A,FALSE,"Formatted Office-Retail Page";"Joint Ventures",#N/A,FALSE,"Joint Ventures";"Hotelall",#N/A,FALSE,"Hotel";"RDVall",#N/A,FALSE,"LDV";"Otherall",#N/A,FALSE,"Other";"Dispoall",#N/A,FALSE,"Dispositions"}</definedName>
    <definedName name="wrn.Allperiods._.without._.Office._.Detail." localSheetId="7" hidden="1">{"Summaryall",#N/A,FALSE,"Model";"5 Year Argus Office/Retail Properties",#N/A,FALSE,"Office-Retail Argus 2002-2006";"Joint Ventures",#N/A,FALSE,"Joint Ventures";"Hotelall",#N/A,FALSE,"Hotel";"RDVall",#N/A,FALSE,"LDV";"Otherall",#N/A,FALSE,"Other";"Dispoall",#N/A,FALSE,"Dispositions"}</definedName>
    <definedName name="wrn.Allperiods._.without._.Office._.Detail." hidden="1">{"Summaryall",#N/A,FALSE,"Model";"5 Year Argus Office/Retail Properties",#N/A,FALSE,"Office-Retail Argus 2002-2006";"Joint Ventures",#N/A,FALSE,"Joint Ventures";"Hotelall",#N/A,FALSE,"Hotel";"RDVall",#N/A,FALSE,"LDV";"Otherall",#N/A,FALSE,"Other";"Dispoall",#N/A,FALSE,"Dispositions"}</definedName>
    <definedName name="wrn.AllProperties." localSheetId="7" hidden="1">{#N/A,#N/A,FALSE,"0Consolidated";#N/A,#N/A,FALSE,"1Airport A and B ";#N/A,#N/A,FALSE,"2CityWest ";#N/A,#N/A,FALSE,"3Normandale Tech A and B";#N/A,#N/A,FALSE,"4Plymouth Corporate";#N/A,#N/A,FALSE,"5Freeway1";#N/A,#N/A,FALSE,"6Freeway2";#N/A,#N/A,FALSE,"7Freeway3";#N/A,#N/A,FALSE,"8Freeway4";#N/A,#N/A,FALSE,"9Parking Lots"}</definedName>
    <definedName name="wrn.AllProperties." hidden="1">{#N/A,#N/A,FALSE,"0Consolidated";#N/A,#N/A,FALSE,"1Airport A and B ";#N/A,#N/A,FALSE,"2CityWest ";#N/A,#N/A,FALSE,"3Normandale Tech A and B";#N/A,#N/A,FALSE,"4Plymouth Corporate";#N/A,#N/A,FALSE,"5Freeway1";#N/A,#N/A,FALSE,"6Freeway2";#N/A,#N/A,FALSE,"7Freeway3";#N/A,#N/A,FALSE,"8Freeway4";#N/A,#N/A,FALSE,"9Parking Lots"}</definedName>
    <definedName name="wrn.Anchor._.All." localSheetId="7" hidden="1">{#N/A,#N/A,FALSE,"Anchor Summary";#N/A,#N/A,FALSE,"Anchor Main";#N/A,#N/A,FALSE,"Anchor Open";#N/A,#N/A,FALSE,"Anchor TradingYr1";#N/A,#N/A,FALSE,"Anchor Trading Yr2";#N/A,#N/A,FALSE,"Anchor Trading Yr3"}</definedName>
    <definedName name="wrn.Anchor._.All." hidden="1">{#N/A,#N/A,FALSE,"Anchor Summary";#N/A,#N/A,FALSE,"Anchor Main";#N/A,#N/A,FALSE,"Anchor Open";#N/A,#N/A,FALSE,"Anchor TradingYr1";#N/A,#N/A,FALSE,"Anchor Trading Yr2";#N/A,#N/A,FALSE,"Anchor Trading Yr3"}</definedName>
    <definedName name="wrn.Anchor._.Trading._.Sides." localSheetId="7" hidden="1">{#N/A,#N/A,FALSE,"Anchor TradingYr1";#N/A,#N/A,FALSE,"Anchor Trading Yr2";#N/A,#N/A,FALSE,"Anchor Trading Yr3"}</definedName>
    <definedName name="wrn.Anchor._.Trading._.Sides." hidden="1">{#N/A,#N/A,FALSE,"Anchor TradingYr1";#N/A,#N/A,FALSE,"Anchor Trading Yr2";#N/A,#N/A,FALSE,"Anchor Trading Yr3"}</definedName>
    <definedName name="wrn.Annual._.Report." localSheetId="7" hidden="1">{"annual",#N/A,FALSE,"Pro Forma";#N/A,#N/A,FALSE,"Golf Operations"}</definedName>
    <definedName name="wrn.Annual._.Report." hidden="1">{"annual",#N/A,FALSE,"Pro Forma";#N/A,#N/A,FALSE,"Golf Operations"}</definedName>
    <definedName name="wrn.Annual._.Summary." localSheetId="7" hidden="1">{"Annual Cash Flows",#N/A,FALSE,"Annual Summary"}</definedName>
    <definedName name="wrn.Annual._.Summary." hidden="1">{"Annual Cash Flows",#N/A,FALSE,"Annual Summary"}</definedName>
    <definedName name="wrn.AnnualRentRoll" localSheetId="7" hidden="1">{"AnnualRentRoll",#N/A,FALSE,"RentRoll"}</definedName>
    <definedName name="wrn.AnnualRentRoll" hidden="1">{"AnnualRentRoll",#N/A,FALSE,"RentRoll"}</definedName>
    <definedName name="wrn.AnnualRentRoll." localSheetId="7" hidden="1">{"AnnualRentRoll",#N/A,FALSE,"RentRoll"}</definedName>
    <definedName name="wrn.AnnualRentRoll." hidden="1">{"AnnualRentRoll",#N/A,FALSE,"RentRoll"}</definedName>
    <definedName name="wrn.annualrentroll2" localSheetId="7" hidden="1">{"AnnualRentRoll",#N/A,FALSE,"RentRoll"}</definedName>
    <definedName name="wrn.annualrentroll2" hidden="1">{"AnnualRentRoll",#N/A,FALSE,"RentRoll"}</definedName>
    <definedName name="wrn.AP._.2." localSheetId="7" hidden="1">{"AP2",#N/A,FALSE,"Invoice &amp; AP"}</definedName>
    <definedName name="wrn.AP._.2." hidden="1">{"AP2",#N/A,FALSE,"Invoice &amp; AP"}</definedName>
    <definedName name="wrn.AP2." localSheetId="7" hidden="1">{"AP2",#N/A,FALSE,"Invoice &amp; AP"}</definedName>
    <definedName name="wrn.AP2." hidden="1">{"AP2",#N/A,FALSE,"Invoice &amp; AP"}</definedName>
    <definedName name="wrn.APAC." localSheetId="7" hidden="1">{"Linkages",#N/A,TRUE,"Linkages";"Finassum",#N/A,TRUE,"Linkages";"insto_returns",#N/A,TRUE,"Insto Returns";"BAA",#N/A,TRUE,"BAA Returns";"impact_fin",#N/A,TRUE,"Impact on BAA";"ratios",#N/A,TRUE,"Key Ratios";"annual_data",#N/A,TRUE,"Annual Data"}</definedName>
    <definedName name="wrn.APAC." hidden="1">{"Linkages",#N/A,TRUE,"Linkages";"Finassum",#N/A,TRUE,"Linkages";"insto_returns",#N/A,TRUE,"Insto Returns";"BAA",#N/A,TRUE,"BAA Returns";"impact_fin",#N/A,TRUE,"Impact on BAA";"ratios",#N/A,TRUE,"Key Ratios";"annual_data",#N/A,TRUE,"Annual Data"}</definedName>
    <definedName name="wrn.Apartment._.Spreadsheet." localSheetId="7" hidden="1">{#N/A,#N/A,FALSE,"Primary Input Sheet"}</definedName>
    <definedName name="wrn.Apartment._.Spreadsheet." hidden="1">{#N/A,#N/A,FALSE,"Primary Input Sheet"}</definedName>
    <definedName name="wrn.Apartment._.Spreadsheet._1" localSheetId="7" hidden="1">{#N/A,#N/A,FALSE,"Primary Input Sheet"}</definedName>
    <definedName name="wrn.Apartment._.Spreadsheet._1" hidden="1">{#N/A,#N/A,FALSE,"Primary Input Sheet"}</definedName>
    <definedName name="wrn.Apartment._.Spreadsheet._2" localSheetId="7" hidden="1">{#N/A,#N/A,FALSE,"Primary Input Sheet"}</definedName>
    <definedName name="wrn.Apartment._.Spreadsheet._2" hidden="1">{#N/A,#N/A,FALSE,"Primary Input Sheet"}</definedName>
    <definedName name="wrn.Apartment._.Spreadsheet._3" localSheetId="7" hidden="1">{#N/A,#N/A,FALSE,"Primary Input Sheet"}</definedName>
    <definedName name="wrn.Apartment._.Spreadsheet._3" hidden="1">{#N/A,#N/A,FALSE,"Primary Input Sheet"}</definedName>
    <definedName name="wrn.Apartment._.Spreadsheet._4" localSheetId="7" hidden="1">{#N/A,#N/A,FALSE,"Primary Input Sheet"}</definedName>
    <definedName name="wrn.Apartment._.Spreadsheet._4" hidden="1">{#N/A,#N/A,FALSE,"Primary Input Sheet"}</definedName>
    <definedName name="wrn.Apartment._.Spreadsheet._5" localSheetId="7" hidden="1">{#N/A,#N/A,FALSE,"Primary Input Sheet"}</definedName>
    <definedName name="wrn.Apartment._.Spreadsheet._5" hidden="1">{#N/A,#N/A,FALSE,"Primary Input Sheet"}</definedName>
    <definedName name="wrn.Appendix." localSheetId="6" hidden="1">{"IS Salary new",#N/A,TRUE,"Salaries";"IS Salary old",#N/A,TRUE,"Old Allocations";"Allocation Summary",#N/A,TRUE,"Allocation Summary";"Network Allocations 1",#N/A,TRUE,"Network Allocations";"Network Allocations 2",#N/A,TRUE,"Network Allocations";"Computer Upgrades 1",#N/A,TRUE,"Computer Upgrades";"Computer Upgrades 2",#N/A,TRUE,"Computer Upgrades";"Computers new and repl 1",#N/A,TRUE,"Computers (New and Repl)";"Computers new and repl 2",#N/A,TRUE,"Computers (New and Repl)"}</definedName>
    <definedName name="wrn.Appendix." localSheetId="8" hidden="1">{"IS Salary new",#N/A,TRUE,"Salaries";"IS Salary old",#N/A,TRUE,"Old Allocations";"Allocation Summary",#N/A,TRUE,"Allocation Summary";"Network Allocations 1",#N/A,TRUE,"Network Allocations";"Network Allocations 2",#N/A,TRUE,"Network Allocations";"Computer Upgrades 1",#N/A,TRUE,"Computer Upgrades";"Computer Upgrades 2",#N/A,TRUE,"Computer Upgrades";"Computers new and repl 1",#N/A,TRUE,"Computers (New and Repl)";"Computers new and repl 2",#N/A,TRUE,"Computers (New and Repl)"}</definedName>
    <definedName name="wrn.Appendix." localSheetId="35" hidden="1">{"IS Salary new",#N/A,TRUE,"Salaries";"IS Salary old",#N/A,TRUE,"Old Allocations";"Allocation Summary",#N/A,TRUE,"Allocation Summary";"Network Allocations 1",#N/A,TRUE,"Network Allocations";"Network Allocations 2",#N/A,TRUE,"Network Allocations";"Computer Upgrades 1",#N/A,TRUE,"Computer Upgrades";"Computer Upgrades 2",#N/A,TRUE,"Computer Upgrades";"Computers new and repl 1",#N/A,TRUE,"Computers (New and Repl)";"Computers new and repl 2",#N/A,TRUE,"Computers (New and Repl)"}</definedName>
    <definedName name="wrn.Appendix." localSheetId="28" hidden="1">{"IS Salary new",#N/A,TRUE,"Salaries";"IS Salary old",#N/A,TRUE,"Old Allocations";"Allocation Summary",#N/A,TRUE,"Allocation Summary";"Network Allocations 1",#N/A,TRUE,"Network Allocations";"Network Allocations 2",#N/A,TRUE,"Network Allocations";"Computer Upgrades 1",#N/A,TRUE,"Computer Upgrades";"Computer Upgrades 2",#N/A,TRUE,"Computer Upgrades";"Computers new and repl 1",#N/A,TRUE,"Computers (New and Repl)";"Computers new and repl 2",#N/A,TRUE,"Computers (New and Repl)"}</definedName>
    <definedName name="wrn.Appendix." localSheetId="20" hidden="1">{"IS Salary new",#N/A,TRUE,"Salaries";"IS Salary old",#N/A,TRUE,"Old Allocations";"Allocation Summary",#N/A,TRUE,"Allocation Summary";"Network Allocations 1",#N/A,TRUE,"Network Allocations";"Network Allocations 2",#N/A,TRUE,"Network Allocations";"Computer Upgrades 1",#N/A,TRUE,"Computer Upgrades";"Computer Upgrades 2",#N/A,TRUE,"Computer Upgrades";"Computers new and repl 1",#N/A,TRUE,"Computers (New and Repl)";"Computers new and repl 2",#N/A,TRUE,"Computers (New and Repl)"}</definedName>
    <definedName name="wrn.Appendix." localSheetId="2" hidden="1">{"IS Salary new",#N/A,TRUE,"Salaries";"IS Salary old",#N/A,TRUE,"Old Allocations";"Allocation Summary",#N/A,TRUE,"Allocation Summary";"Network Allocations 1",#N/A,TRUE,"Network Allocations";"Network Allocations 2",#N/A,TRUE,"Network Allocations";"Computer Upgrades 1",#N/A,TRUE,"Computer Upgrades";"Computer Upgrades 2",#N/A,TRUE,"Computer Upgrades";"Computers new and repl 1",#N/A,TRUE,"Computers (New and Repl)";"Computers new and repl 2",#N/A,TRUE,"Computers (New and Repl)"}</definedName>
    <definedName name="wrn.Appendix." localSheetId="7" hidden="1">{"IS Salary new",#N/A,TRUE,"Salaries";"IS Salary old",#N/A,TRUE,"Old Allocations";"Allocation Summary",#N/A,TRUE,"Allocation Summary";"Network Allocations 1",#N/A,TRUE,"Network Allocations";"Network Allocations 2",#N/A,TRUE,"Network Allocations";"Computer Upgrades 1",#N/A,TRUE,"Computer Upgrades";"Computer Upgrades 2",#N/A,TRUE,"Computer Upgrades";"Computers new and repl 1",#N/A,TRUE,"Computers (New and Repl)";"Computers new and repl 2",#N/A,TRUE,"Computers (New and Repl)"}</definedName>
    <definedName name="wrn.Appendix." hidden="1">{"IS Salary new",#N/A,TRUE,"Salaries";"IS Salary old",#N/A,TRUE,"Old Allocations";"Allocation Summary",#N/A,TRUE,"Allocation Summary";"Network Allocations 1",#N/A,TRUE,"Network Allocations";"Network Allocations 2",#N/A,TRUE,"Network Allocations";"Computer Upgrades 1",#N/A,TRUE,"Computer Upgrades";"Computer Upgrades 2",#N/A,TRUE,"Computer Upgrades";"Computers new and repl 1",#N/A,TRUE,"Computers (New and Repl)";"Computers new and repl 2",#N/A,TRUE,"Computers (New and Repl)"}</definedName>
    <definedName name="wrn.appendix._.c." localSheetId="7" hidden="1">{"interim 20",#N/A,TRUE,"Interim";"landsale 20",#N/A,TRUE,"LandSale";"noi 20",#N/A,TRUE,"NOI";"bldg sale 20",#N/A,TRUE,"BldgSale";"aff hsg",#N/A,TRUE,"AffHsg"}</definedName>
    <definedName name="wrn.appendix._.c." hidden="1">{"interim 20",#N/A,TRUE,"Interim";"landsale 20",#N/A,TRUE,"LandSale";"noi 20",#N/A,TRUE,"NOI";"bldg sale 20",#N/A,TRUE,"BldgSale";"aff hsg",#N/A,TRUE,"AffHsg"}</definedName>
    <definedName name="wrn.Appraisal." localSheetId="7" hidden="1">{#N/A,#N/A,FALSE,"APPRAISAL";#N/A,#N/A,FALSE,"APPRAISAL 2";#N/A,#N/A,FALSE,"APPRAISAL 3"}</definedName>
    <definedName name="wrn.Appraisal." hidden="1">{#N/A,#N/A,FALSE,"APPRAISAL";#N/A,#N/A,FALSE,"APPRAISAL 2";#N/A,#N/A,FALSE,"APPRAISAL 3"}</definedName>
    <definedName name="wrn.Appraisal._.2." localSheetId="7" hidden="1">{#N/A,#N/A,FALSE,"Appraisal 2"}</definedName>
    <definedName name="wrn.Appraisal._.2." hidden="1">{#N/A,#N/A,FALSE,"Appraisal 2"}</definedName>
    <definedName name="wrn.Appraisal._.3." localSheetId="7" hidden="1">{#N/A,#N/A,FALSE,"Appraisal 3"}</definedName>
    <definedName name="wrn.Appraisal._.3." hidden="1">{#N/A,#N/A,FALSE,"Appraisal 3"}</definedName>
    <definedName name="wrn.Arena._.PCD." localSheetId="7" hidden="1">{#N/A,#N/A,TRUE,"Maritime Park Arena PCD";#N/A,#N/A,TRUE,"Maritime Park Arena IOR"}</definedName>
    <definedName name="wrn.Arena._.PCD." hidden="1">{#N/A,#N/A,TRUE,"Maritime Park Arena PCD";#N/A,#N/A,TRUE,"Maritime Park Arena IOR"}</definedName>
    <definedName name="wrn.Asia." localSheetId="7"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wrn.Asia."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wrn.Asset._.Management." localSheetId="7" hidden="1">{#N/A,#N/A,FALSE,"ASSET MGMT."}</definedName>
    <definedName name="wrn.Asset._.Management." hidden="1">{#N/A,#N/A,FALSE,"ASSET MGMT."}</definedName>
    <definedName name="wrn.Assumptions." localSheetId="7" hidden="1">{"Assumptions",#N/A,FALSE,"Assumptions"}</definedName>
    <definedName name="wrn.Assumptions." hidden="1">{"Assumptions",#N/A,FALSE,"Assumptions"}</definedName>
    <definedName name="wrn.Atrium." localSheetId="7" hidden="1">{"Atrium-Investor",#N/A,FALSE,"Atrium";"Atrium-Property",#N/A,FALSE,"Atrium"}</definedName>
    <definedName name="wrn.Atrium." hidden="1">{"Atrium-Investor",#N/A,FALSE,"Atrium";"Atrium-Property",#N/A,FALSE,"Atrium"}</definedName>
    <definedName name="wrn.Auto._.Comp." localSheetId="7" hidden="1">{#N/A,#N/A,FALSE,"Sheet1"}</definedName>
    <definedName name="wrn.Auto._.Comp." hidden="1">{#N/A,#N/A,FALSE,"Sheet1"}</definedName>
    <definedName name="wrn.B._.Spread._.Worksheet._.Summary." localSheetId="7" hidden="1">{#N/A,#N/A,FALSE,"B_Spread"}</definedName>
    <definedName name="wrn.B._.Spread._.Worksheet._.Summary." hidden="1">{#N/A,#N/A,FALSE,"B_Spread"}</definedName>
    <definedName name="wrn.B._.Spread._.Worksheets._.Detail." localSheetId="7" hidden="1">{#N/A,#N/A,FALSE,"B_Spread"}</definedName>
    <definedName name="wrn.B._.Spread._.Worksheets._.Detail." hidden="1">{#N/A,#N/A,FALSE,"B_Spread"}</definedName>
    <definedName name="wrn.Backup." localSheetId="7" hidden="1">{#N/A,#N/A,FALSE,"SUBS";#N/A,#N/A,FALSE,"SUPERS";#N/A,#N/A,FALSE,"FINISHES";#N/A,#N/A,FALSE,"FITTINGS";#N/A,#N/A,FALSE,"SERVICES";#N/A,#N/A,FALSE,"SITEWORKS"}</definedName>
    <definedName name="wrn.Backup." hidden="1">{#N/A,#N/A,FALSE,"SUBS";#N/A,#N/A,FALSE,"SUPERS";#N/A,#N/A,FALSE,"FINISHES";#N/A,#N/A,FALSE,"FITTINGS";#N/A,#N/A,FALSE,"SERVICES";#N/A,#N/A,FALSE,"SITEWORKS"}</definedName>
    <definedName name="wrn.Balance_Sheet." localSheetId="7" hidden="1">{"One",#N/A,FALSE,"Balance Sheet"}</definedName>
    <definedName name="wrn.Balance_Sheet." hidden="1">{"One",#N/A,FALSE,"Balance Sheet"}</definedName>
    <definedName name="wrn.Balcor." localSheetId="7" hidden="1">{#N/A,#N/A,FALSE,"Exec Sum 10Yr";#N/A,#N/A,FALSE,"Assumptions";#N/A,#N/A,FALSE,"Operating Stmts";#N/A,#N/A,FALSE,"Year One Pro Forma";#N/A,#N/A,FALSE,"Rent Roll Summary";#N/A,#N/A,FALSE,"Market Rent Detail";#N/A,#N/A,FALSE,"Effective Rental Income Detail";#N/A,#N/A,FALSE,"Cash Flow Projections";#N/A,#N/A,FALSE,"Net Residual Value"}</definedName>
    <definedName name="wrn.Balcor." hidden="1">{#N/A,#N/A,FALSE,"Exec Sum 10Yr";#N/A,#N/A,FALSE,"Assumptions";#N/A,#N/A,FALSE,"Operating Stmts";#N/A,#N/A,FALSE,"Year One Pro Forma";#N/A,#N/A,FALSE,"Rent Roll Summary";#N/A,#N/A,FALSE,"Market Rent Detail";#N/A,#N/A,FALSE,"Effective Rental Income Detail";#N/A,#N/A,FALSE,"Cash Flow Projections";#N/A,#N/A,FALSE,"Net Residual Value"}</definedName>
    <definedName name="wrn.Balcor._1" localSheetId="7" hidden="1">{#N/A,#N/A,FALSE,"Exec Sum 10Yr";#N/A,#N/A,FALSE,"Assumptions";#N/A,#N/A,FALSE,"Operating Stmts";#N/A,#N/A,FALSE,"Year One Pro Forma";#N/A,#N/A,FALSE,"Rent Roll Summary";#N/A,#N/A,FALSE,"Market Rent Detail";#N/A,#N/A,FALSE,"Effective Rental Income Detail";#N/A,#N/A,FALSE,"Cash Flow Projections";#N/A,#N/A,FALSE,"Net Residual Value"}</definedName>
    <definedName name="wrn.Balcor._1" hidden="1">{#N/A,#N/A,FALSE,"Exec Sum 10Yr";#N/A,#N/A,FALSE,"Assumptions";#N/A,#N/A,FALSE,"Operating Stmts";#N/A,#N/A,FALSE,"Year One Pro Forma";#N/A,#N/A,FALSE,"Rent Roll Summary";#N/A,#N/A,FALSE,"Market Rent Detail";#N/A,#N/A,FALSE,"Effective Rental Income Detail";#N/A,#N/A,FALSE,"Cash Flow Projections";#N/A,#N/A,FALSE,"Net Residual Value"}</definedName>
    <definedName name="wrn.Balcor._1_1" localSheetId="7" hidden="1">{#N/A,#N/A,FALSE,"Exec Sum 10Yr";#N/A,#N/A,FALSE,"Assumptions";#N/A,#N/A,FALSE,"Operating Stmts";#N/A,#N/A,FALSE,"Year One Pro Forma";#N/A,#N/A,FALSE,"Rent Roll Summary";#N/A,#N/A,FALSE,"Market Rent Detail";#N/A,#N/A,FALSE,"Effective Rental Income Detail";#N/A,#N/A,FALSE,"Cash Flow Projections";#N/A,#N/A,FALSE,"Net Residual Value"}</definedName>
    <definedName name="wrn.Balcor._1_1" hidden="1">{#N/A,#N/A,FALSE,"Exec Sum 10Yr";#N/A,#N/A,FALSE,"Assumptions";#N/A,#N/A,FALSE,"Operating Stmts";#N/A,#N/A,FALSE,"Year One Pro Forma";#N/A,#N/A,FALSE,"Rent Roll Summary";#N/A,#N/A,FALSE,"Market Rent Detail";#N/A,#N/A,FALSE,"Effective Rental Income Detail";#N/A,#N/A,FALSE,"Cash Flow Projections";#N/A,#N/A,FALSE,"Net Residual Value"}</definedName>
    <definedName name="wrn.Balcor._1_2" localSheetId="7" hidden="1">{#N/A,#N/A,FALSE,"Exec Sum 10Yr";#N/A,#N/A,FALSE,"Assumptions";#N/A,#N/A,FALSE,"Operating Stmts";#N/A,#N/A,FALSE,"Year One Pro Forma";#N/A,#N/A,FALSE,"Rent Roll Summary";#N/A,#N/A,FALSE,"Market Rent Detail";#N/A,#N/A,FALSE,"Effective Rental Income Detail";#N/A,#N/A,FALSE,"Cash Flow Projections";#N/A,#N/A,FALSE,"Net Residual Value"}</definedName>
    <definedName name="wrn.Balcor._1_2" hidden="1">{#N/A,#N/A,FALSE,"Exec Sum 10Yr";#N/A,#N/A,FALSE,"Assumptions";#N/A,#N/A,FALSE,"Operating Stmts";#N/A,#N/A,FALSE,"Year One Pro Forma";#N/A,#N/A,FALSE,"Rent Roll Summary";#N/A,#N/A,FALSE,"Market Rent Detail";#N/A,#N/A,FALSE,"Effective Rental Income Detail";#N/A,#N/A,FALSE,"Cash Flow Projections";#N/A,#N/A,FALSE,"Net Residual Value"}</definedName>
    <definedName name="wrn.Balcor._1_3" localSheetId="7" hidden="1">{#N/A,#N/A,FALSE,"Exec Sum 10Yr";#N/A,#N/A,FALSE,"Assumptions";#N/A,#N/A,FALSE,"Operating Stmts";#N/A,#N/A,FALSE,"Year One Pro Forma";#N/A,#N/A,FALSE,"Rent Roll Summary";#N/A,#N/A,FALSE,"Market Rent Detail";#N/A,#N/A,FALSE,"Effective Rental Income Detail";#N/A,#N/A,FALSE,"Cash Flow Projections";#N/A,#N/A,FALSE,"Net Residual Value"}</definedName>
    <definedName name="wrn.Balcor._1_3" hidden="1">{#N/A,#N/A,FALSE,"Exec Sum 10Yr";#N/A,#N/A,FALSE,"Assumptions";#N/A,#N/A,FALSE,"Operating Stmts";#N/A,#N/A,FALSE,"Year One Pro Forma";#N/A,#N/A,FALSE,"Rent Roll Summary";#N/A,#N/A,FALSE,"Market Rent Detail";#N/A,#N/A,FALSE,"Effective Rental Income Detail";#N/A,#N/A,FALSE,"Cash Flow Projections";#N/A,#N/A,FALSE,"Net Residual Value"}</definedName>
    <definedName name="wrn.Balcor._2" localSheetId="7" hidden="1">{#N/A,#N/A,FALSE,"Exec Sum 10Yr";#N/A,#N/A,FALSE,"Assumptions";#N/A,#N/A,FALSE,"Operating Stmts";#N/A,#N/A,FALSE,"Year One Pro Forma";#N/A,#N/A,FALSE,"Rent Roll Summary";#N/A,#N/A,FALSE,"Market Rent Detail";#N/A,#N/A,FALSE,"Effective Rental Income Detail";#N/A,#N/A,FALSE,"Cash Flow Projections";#N/A,#N/A,FALSE,"Net Residual Value"}</definedName>
    <definedName name="wrn.Balcor._2" hidden="1">{#N/A,#N/A,FALSE,"Exec Sum 10Yr";#N/A,#N/A,FALSE,"Assumptions";#N/A,#N/A,FALSE,"Operating Stmts";#N/A,#N/A,FALSE,"Year One Pro Forma";#N/A,#N/A,FALSE,"Rent Roll Summary";#N/A,#N/A,FALSE,"Market Rent Detail";#N/A,#N/A,FALSE,"Effective Rental Income Detail";#N/A,#N/A,FALSE,"Cash Flow Projections";#N/A,#N/A,FALSE,"Net Residual Value"}</definedName>
    <definedName name="wrn.Balcor._2_1" localSheetId="7" hidden="1">{#N/A,#N/A,FALSE,"Exec Sum 10Yr";#N/A,#N/A,FALSE,"Assumptions";#N/A,#N/A,FALSE,"Operating Stmts";#N/A,#N/A,FALSE,"Year One Pro Forma";#N/A,#N/A,FALSE,"Rent Roll Summary";#N/A,#N/A,FALSE,"Market Rent Detail";#N/A,#N/A,FALSE,"Effective Rental Income Detail";#N/A,#N/A,FALSE,"Cash Flow Projections";#N/A,#N/A,FALSE,"Net Residual Value"}</definedName>
    <definedName name="wrn.Balcor._2_1" hidden="1">{#N/A,#N/A,FALSE,"Exec Sum 10Yr";#N/A,#N/A,FALSE,"Assumptions";#N/A,#N/A,FALSE,"Operating Stmts";#N/A,#N/A,FALSE,"Year One Pro Forma";#N/A,#N/A,FALSE,"Rent Roll Summary";#N/A,#N/A,FALSE,"Market Rent Detail";#N/A,#N/A,FALSE,"Effective Rental Income Detail";#N/A,#N/A,FALSE,"Cash Flow Projections";#N/A,#N/A,FALSE,"Net Residual Value"}</definedName>
    <definedName name="wrn.Balcor._2_2" localSheetId="7" hidden="1">{#N/A,#N/A,FALSE,"Exec Sum 10Yr";#N/A,#N/A,FALSE,"Assumptions";#N/A,#N/A,FALSE,"Operating Stmts";#N/A,#N/A,FALSE,"Year One Pro Forma";#N/A,#N/A,FALSE,"Rent Roll Summary";#N/A,#N/A,FALSE,"Market Rent Detail";#N/A,#N/A,FALSE,"Effective Rental Income Detail";#N/A,#N/A,FALSE,"Cash Flow Projections";#N/A,#N/A,FALSE,"Net Residual Value"}</definedName>
    <definedName name="wrn.Balcor._2_2" hidden="1">{#N/A,#N/A,FALSE,"Exec Sum 10Yr";#N/A,#N/A,FALSE,"Assumptions";#N/A,#N/A,FALSE,"Operating Stmts";#N/A,#N/A,FALSE,"Year One Pro Forma";#N/A,#N/A,FALSE,"Rent Roll Summary";#N/A,#N/A,FALSE,"Market Rent Detail";#N/A,#N/A,FALSE,"Effective Rental Income Detail";#N/A,#N/A,FALSE,"Cash Flow Projections";#N/A,#N/A,FALSE,"Net Residual Value"}</definedName>
    <definedName name="wrn.Balcor._2_3" localSheetId="7" hidden="1">{#N/A,#N/A,FALSE,"Exec Sum 10Yr";#N/A,#N/A,FALSE,"Assumptions";#N/A,#N/A,FALSE,"Operating Stmts";#N/A,#N/A,FALSE,"Year One Pro Forma";#N/A,#N/A,FALSE,"Rent Roll Summary";#N/A,#N/A,FALSE,"Market Rent Detail";#N/A,#N/A,FALSE,"Effective Rental Income Detail";#N/A,#N/A,FALSE,"Cash Flow Projections";#N/A,#N/A,FALSE,"Net Residual Value"}</definedName>
    <definedName name="wrn.Balcor._2_3" hidden="1">{#N/A,#N/A,FALSE,"Exec Sum 10Yr";#N/A,#N/A,FALSE,"Assumptions";#N/A,#N/A,FALSE,"Operating Stmts";#N/A,#N/A,FALSE,"Year One Pro Forma";#N/A,#N/A,FALSE,"Rent Roll Summary";#N/A,#N/A,FALSE,"Market Rent Detail";#N/A,#N/A,FALSE,"Effective Rental Income Detail";#N/A,#N/A,FALSE,"Cash Flow Projections";#N/A,#N/A,FALSE,"Net Residual Value"}</definedName>
    <definedName name="wrn.Balcor._3" localSheetId="7" hidden="1">{#N/A,#N/A,FALSE,"Exec Sum 10Yr";#N/A,#N/A,FALSE,"Assumptions";#N/A,#N/A,FALSE,"Operating Stmts";#N/A,#N/A,FALSE,"Year One Pro Forma";#N/A,#N/A,FALSE,"Rent Roll Summary";#N/A,#N/A,FALSE,"Market Rent Detail";#N/A,#N/A,FALSE,"Effective Rental Income Detail";#N/A,#N/A,FALSE,"Cash Flow Projections";#N/A,#N/A,FALSE,"Net Residual Value"}</definedName>
    <definedName name="wrn.Balcor._3" hidden="1">{#N/A,#N/A,FALSE,"Exec Sum 10Yr";#N/A,#N/A,FALSE,"Assumptions";#N/A,#N/A,FALSE,"Operating Stmts";#N/A,#N/A,FALSE,"Year One Pro Forma";#N/A,#N/A,FALSE,"Rent Roll Summary";#N/A,#N/A,FALSE,"Market Rent Detail";#N/A,#N/A,FALSE,"Effective Rental Income Detail";#N/A,#N/A,FALSE,"Cash Flow Projections";#N/A,#N/A,FALSE,"Net Residual Value"}</definedName>
    <definedName name="wrn.Balcor._3_1" localSheetId="7" hidden="1">{#N/A,#N/A,FALSE,"Exec Sum 10Yr";#N/A,#N/A,FALSE,"Assumptions";#N/A,#N/A,FALSE,"Operating Stmts";#N/A,#N/A,FALSE,"Year One Pro Forma";#N/A,#N/A,FALSE,"Rent Roll Summary";#N/A,#N/A,FALSE,"Market Rent Detail";#N/A,#N/A,FALSE,"Effective Rental Income Detail";#N/A,#N/A,FALSE,"Cash Flow Projections";#N/A,#N/A,FALSE,"Net Residual Value"}</definedName>
    <definedName name="wrn.Balcor._3_1" hidden="1">{#N/A,#N/A,FALSE,"Exec Sum 10Yr";#N/A,#N/A,FALSE,"Assumptions";#N/A,#N/A,FALSE,"Operating Stmts";#N/A,#N/A,FALSE,"Year One Pro Forma";#N/A,#N/A,FALSE,"Rent Roll Summary";#N/A,#N/A,FALSE,"Market Rent Detail";#N/A,#N/A,FALSE,"Effective Rental Income Detail";#N/A,#N/A,FALSE,"Cash Flow Projections";#N/A,#N/A,FALSE,"Net Residual Value"}</definedName>
    <definedName name="wrn.Balcor._3_2" localSheetId="7" hidden="1">{#N/A,#N/A,FALSE,"Exec Sum 10Yr";#N/A,#N/A,FALSE,"Assumptions";#N/A,#N/A,FALSE,"Operating Stmts";#N/A,#N/A,FALSE,"Year One Pro Forma";#N/A,#N/A,FALSE,"Rent Roll Summary";#N/A,#N/A,FALSE,"Market Rent Detail";#N/A,#N/A,FALSE,"Effective Rental Income Detail";#N/A,#N/A,FALSE,"Cash Flow Projections";#N/A,#N/A,FALSE,"Net Residual Value"}</definedName>
    <definedName name="wrn.Balcor._3_2" hidden="1">{#N/A,#N/A,FALSE,"Exec Sum 10Yr";#N/A,#N/A,FALSE,"Assumptions";#N/A,#N/A,FALSE,"Operating Stmts";#N/A,#N/A,FALSE,"Year One Pro Forma";#N/A,#N/A,FALSE,"Rent Roll Summary";#N/A,#N/A,FALSE,"Market Rent Detail";#N/A,#N/A,FALSE,"Effective Rental Income Detail";#N/A,#N/A,FALSE,"Cash Flow Projections";#N/A,#N/A,FALSE,"Net Residual Value"}</definedName>
    <definedName name="wrn.Balcor._3_3" localSheetId="7" hidden="1">{#N/A,#N/A,FALSE,"Exec Sum 10Yr";#N/A,#N/A,FALSE,"Assumptions";#N/A,#N/A,FALSE,"Operating Stmts";#N/A,#N/A,FALSE,"Year One Pro Forma";#N/A,#N/A,FALSE,"Rent Roll Summary";#N/A,#N/A,FALSE,"Market Rent Detail";#N/A,#N/A,FALSE,"Effective Rental Income Detail";#N/A,#N/A,FALSE,"Cash Flow Projections";#N/A,#N/A,FALSE,"Net Residual Value"}</definedName>
    <definedName name="wrn.Balcor._3_3" hidden="1">{#N/A,#N/A,FALSE,"Exec Sum 10Yr";#N/A,#N/A,FALSE,"Assumptions";#N/A,#N/A,FALSE,"Operating Stmts";#N/A,#N/A,FALSE,"Year One Pro Forma";#N/A,#N/A,FALSE,"Rent Roll Summary";#N/A,#N/A,FALSE,"Market Rent Detail";#N/A,#N/A,FALSE,"Effective Rental Income Detail";#N/A,#N/A,FALSE,"Cash Flow Projections";#N/A,#N/A,FALSE,"Net Residual Value"}</definedName>
    <definedName name="wrn.Balcor._4" localSheetId="7" hidden="1">{#N/A,#N/A,FALSE,"Exec Sum 10Yr";#N/A,#N/A,FALSE,"Assumptions";#N/A,#N/A,FALSE,"Operating Stmts";#N/A,#N/A,FALSE,"Year One Pro Forma";#N/A,#N/A,FALSE,"Rent Roll Summary";#N/A,#N/A,FALSE,"Market Rent Detail";#N/A,#N/A,FALSE,"Effective Rental Income Detail";#N/A,#N/A,FALSE,"Cash Flow Projections";#N/A,#N/A,FALSE,"Net Residual Value"}</definedName>
    <definedName name="wrn.Balcor._4" hidden="1">{#N/A,#N/A,FALSE,"Exec Sum 10Yr";#N/A,#N/A,FALSE,"Assumptions";#N/A,#N/A,FALSE,"Operating Stmts";#N/A,#N/A,FALSE,"Year One Pro Forma";#N/A,#N/A,FALSE,"Rent Roll Summary";#N/A,#N/A,FALSE,"Market Rent Detail";#N/A,#N/A,FALSE,"Effective Rental Income Detail";#N/A,#N/A,FALSE,"Cash Flow Projections";#N/A,#N/A,FALSE,"Net Residual Value"}</definedName>
    <definedName name="wrn.Balcor._5" localSheetId="7" hidden="1">{#N/A,#N/A,FALSE,"Exec Sum 10Yr";#N/A,#N/A,FALSE,"Assumptions";#N/A,#N/A,FALSE,"Operating Stmts";#N/A,#N/A,FALSE,"Year One Pro Forma";#N/A,#N/A,FALSE,"Rent Roll Summary";#N/A,#N/A,FALSE,"Market Rent Detail";#N/A,#N/A,FALSE,"Effective Rental Income Detail";#N/A,#N/A,FALSE,"Cash Flow Projections";#N/A,#N/A,FALSE,"Net Residual Value"}</definedName>
    <definedName name="wrn.Balcor._5" hidden="1">{#N/A,#N/A,FALSE,"Exec Sum 10Yr";#N/A,#N/A,FALSE,"Assumptions";#N/A,#N/A,FALSE,"Operating Stmts";#N/A,#N/A,FALSE,"Year One Pro Forma";#N/A,#N/A,FALSE,"Rent Roll Summary";#N/A,#N/A,FALSE,"Market Rent Detail";#N/A,#N/A,FALSE,"Effective Rental Income Detail";#N/A,#N/A,FALSE,"Cash Flow Projections";#N/A,#N/A,FALSE,"Net Residual Value"}</definedName>
    <definedName name="wrn.Banu." localSheetId="7" hidden="1">{#N/A,#N/A,FALSE,"Report 2";#N/A,#N/A,FALSE,"Report 3";#N/A,#N/A,FALSE,"Konrzern"}</definedName>
    <definedName name="wrn.Banu." hidden="1">{#N/A,#N/A,FALSE,"Report 2";#N/A,#N/A,FALSE,"Report 3";#N/A,#N/A,FALSE,"Konrzern"}</definedName>
    <definedName name="wrn.Base._.Case." localSheetId="7" hidden="1">{#N/A,#N/A,FALSE,"United Summary";#N/A,#N/A,FALSE,"United Main";#N/A,#N/A,FALSE,"United Open";#N/A,#N/A,FALSE,"PPSL Summary";#N/A,#N/A,FALSE,"PPSL Main";#N/A,#N/A,FALSE,"PPSL Open";#N/A,#N/A,FALSE,"PPSL TradingYr1";#N/A,#N/A,FALSE,"PPSL TradingYr2";#N/A,#N/A,FALSE,"PPSL TradingYr3";#N/A,#N/A,FALSE,"Anchor Summary";#N/A,#N/A,FALSE,"Anchor Main";#N/A,#N/A,FALSE,"Anchor Open";#N/A,#N/A,FALSE,"Anchor TradingYr1";#N/A,#N/A,FALSE,"Anchor Trading Yr2";#N/A,#N/A,FALSE,"Anchor Trading Yr3";#N/A,#N/A,FALSE,"Cov Test Annual";#N/A,#N/A,FALSE,"Cov Inputs"}</definedName>
    <definedName name="wrn.Base._.Case." hidden="1">{#N/A,#N/A,FALSE,"United Summary";#N/A,#N/A,FALSE,"United Main";#N/A,#N/A,FALSE,"United Open";#N/A,#N/A,FALSE,"PPSL Summary";#N/A,#N/A,FALSE,"PPSL Main";#N/A,#N/A,FALSE,"PPSL Open";#N/A,#N/A,FALSE,"PPSL TradingYr1";#N/A,#N/A,FALSE,"PPSL TradingYr2";#N/A,#N/A,FALSE,"PPSL TradingYr3";#N/A,#N/A,FALSE,"Anchor Summary";#N/A,#N/A,FALSE,"Anchor Main";#N/A,#N/A,FALSE,"Anchor Open";#N/A,#N/A,FALSE,"Anchor TradingYr1";#N/A,#N/A,FALSE,"Anchor Trading Yr2";#N/A,#N/A,FALSE,"Anchor Trading Yr3";#N/A,#N/A,FALSE,"Cov Test Annual";#N/A,#N/A,FALSE,"Cov Inputs"}</definedName>
    <definedName name="wrn.BASIC." localSheetId="7" hidden="1">{#N/A,#N/A,FALSE,"9Pricing Matrix";#N/A,#N/A,FALSE,"3Cash Flow";#N/A,#N/A,FALSE,"2Assumptions";#N/A,#N/A,FALSE,"5Residual"}</definedName>
    <definedName name="wrn.BASIC." hidden="1">{#N/A,#N/A,FALSE,"9Pricing Matrix";#N/A,#N/A,FALSE,"3Cash Flow";#N/A,#N/A,FALSE,"2Assumptions";#N/A,#N/A,FALSE,"5Residual"}</definedName>
    <definedName name="wrn.Basic.2" localSheetId="7" hidden="1">{#N/A,#N/A,TRUE,"Exec Sum";#N/A,#N/A,TRUE,"Proforma";#N/A,#N/A,TRUE,"Product Mix";#N/A,#N/A,TRUE,"Key Assumptions";#N/A,#N/A,TRUE,"Overhead";#N/A,#N/A,TRUE,"CTD";#N/A,#N/A,TRUE,"Diagnostic"}</definedName>
    <definedName name="wrn.Basic.2" hidden="1">{#N/A,#N/A,TRUE,"Exec Sum";#N/A,#N/A,TRUE,"Proforma";#N/A,#N/A,TRUE,"Product Mix";#N/A,#N/A,TRUE,"Key Assumptions";#N/A,#N/A,TRUE,"Overhead";#N/A,#N/A,TRUE,"CTD";#N/A,#N/A,TRUE,"Diagnostic"}</definedName>
    <definedName name="wrn.basics." localSheetId="7" hidden="1">{#N/A,#N/A,FALSE,"TSUM";#N/A,#N/A,FALSE,"shares";#N/A,#N/A,FALSE,"earnout";#N/A,#N/A,FALSE,"Heaty";#N/A,#N/A,FALSE,"self-tend";#N/A,#N/A,FALSE,"self-sum"}</definedName>
    <definedName name="wrn.basics." hidden="1">{#N/A,#N/A,FALSE,"TSUM";#N/A,#N/A,FALSE,"shares";#N/A,#N/A,FALSE,"earnout";#N/A,#N/A,FALSE,"Heaty";#N/A,#N/A,FALSE,"self-tend";#N/A,#N/A,FALSE,"self-sum"}</definedName>
    <definedName name="wrn.BATON._.ROUGE._.1996._.CAP._.EX." localSheetId="7" hidden="1">{#N/A,#N/A,FALSE,"BATCAPX";#N/A,#N/A,FALSE,"GR&amp;CORR TOTALS";#N/A,#N/A,FALSE,"LUX  KING FF&amp;E";#N/A,#N/A,FALSE,"LUX KING GC";#N/A,#N/A,FALSE,"TYP DBL FF&amp;E ";#N/A,#N/A,FALSE,"TYP DBL GC ";#N/A,#N/A,FALSE,"PETITE W-SOFA FF&amp;E";#N/A,#N/A,FALSE,"PETITE W-SOFA GC";#N/A,#N/A,FALSE,"TYP KING FF&amp;E";#N/A,#N/A,FALSE,"TYP KING GC";#N/A,#N/A,FALSE,"EXEC KING FF&amp;E";#N/A,#N/A,FALSE,"EXEC KING GC";#N/A,#N/A,FALSE,"TOWNHS PARLOR FF&amp;E";#N/A,#N/A,FALSE,"TOWNHS PARLOR GC";#N/A,#N/A,FALSE,"LUX K PAR FF&amp;E ";#N/A,#N/A,FALSE,"LUX K PAR GC ";#N/A,#N/A,FALSE,"PRES SUITE FF&amp;E";#N/A,#N/A,FALSE,"PRES SUITE GC";#N/A,#N/A,FALSE,"CONC LOUNGE FF&amp;E";#N/A,#N/A,FALSE,"CONC LOUNGE GC";#N/A,#N/A,FALSE,"ADA GR  FF&amp;E ";#N/A,#N/A,FALSE,"ADA GR GC ";#N/A,#N/A,FALSE,"GUEST COR FF&amp;E ";#N/A,#N/A,FALSE,"GUEST  CORR GC";#N/A,#N/A,FALSE,"2ND FLR BANQ FF&amp;E L";#N/A,#N/A,FALSE,"2ND FLR BANQ GC L";#N/A,#N/A,FALSE,"2ND FLR BANQ FF&amp;E S";#N/A,#N/A,FALSE,"2ND FLR BANQ GC S"}</definedName>
    <definedName name="wrn.BATON._.ROUGE._.1996._.CAP._.EX." hidden="1">{#N/A,#N/A,FALSE,"BATCAPX";#N/A,#N/A,FALSE,"GR&amp;CORR TOTALS";#N/A,#N/A,FALSE,"LUX  KING FF&amp;E";#N/A,#N/A,FALSE,"LUX KING GC";#N/A,#N/A,FALSE,"TYP DBL FF&amp;E ";#N/A,#N/A,FALSE,"TYP DBL GC ";#N/A,#N/A,FALSE,"PETITE W-SOFA FF&amp;E";#N/A,#N/A,FALSE,"PETITE W-SOFA GC";#N/A,#N/A,FALSE,"TYP KING FF&amp;E";#N/A,#N/A,FALSE,"TYP KING GC";#N/A,#N/A,FALSE,"EXEC KING FF&amp;E";#N/A,#N/A,FALSE,"EXEC KING GC";#N/A,#N/A,FALSE,"TOWNHS PARLOR FF&amp;E";#N/A,#N/A,FALSE,"TOWNHS PARLOR GC";#N/A,#N/A,FALSE,"LUX K PAR FF&amp;E ";#N/A,#N/A,FALSE,"LUX K PAR GC ";#N/A,#N/A,FALSE,"PRES SUITE FF&amp;E";#N/A,#N/A,FALSE,"PRES SUITE GC";#N/A,#N/A,FALSE,"CONC LOUNGE FF&amp;E";#N/A,#N/A,FALSE,"CONC LOUNGE GC";#N/A,#N/A,FALSE,"ADA GR  FF&amp;E ";#N/A,#N/A,FALSE,"ADA GR GC ";#N/A,#N/A,FALSE,"GUEST COR FF&amp;E ";#N/A,#N/A,FALSE,"GUEST  CORR GC";#N/A,#N/A,FALSE,"2ND FLR BANQ FF&amp;E L";#N/A,#N/A,FALSE,"2ND FLR BANQ GC L";#N/A,#N/A,FALSE,"2ND FLR BANQ FF&amp;E S";#N/A,#N/A,FALSE,"2ND FLR BANQ GC S"}</definedName>
    <definedName name="wrn.Bericht._.Vorstand." localSheetId="7" hidden="1">{#N/A,#N/A,FALSE,"Finale1";#N/A,#N/A,FALSE,"Finale2";#N/A,#N/A,FALSE,"peiodisch1";#N/A,#N/A,FALSE,"periodisch2";#N/A,#N/A,FALSE,"Aktiv";#N/A,#N/A,FALSE,"Passiv";#N/A,#N/A,FALSE,"Report 2";#N/A,#N/A,FALSE,"Report 3";#N/A,#N/A,FALSE,"Summary";#N/A,#N/A,FALSE,"EWB";#N/A,#N/A,FALSE,"Actual-Budget (kum)";#N/A,#N/A,FALSE,"Actual-Budget (per)";#N/A,#N/A,FALSE,"Comparison YTD"}</definedName>
    <definedName name="wrn.Bericht._.Vorstand." hidden="1">{#N/A,#N/A,FALSE,"Finale1";#N/A,#N/A,FALSE,"Finale2";#N/A,#N/A,FALSE,"peiodisch1";#N/A,#N/A,FALSE,"periodisch2";#N/A,#N/A,FALSE,"Aktiv";#N/A,#N/A,FALSE,"Passiv";#N/A,#N/A,FALSE,"Report 2";#N/A,#N/A,FALSE,"Report 3";#N/A,#N/A,FALSE,"Summary";#N/A,#N/A,FALSE,"EWB";#N/A,#N/A,FALSE,"Actual-Budget (kum)";#N/A,#N/A,FALSE,"Actual-Budget (per)";#N/A,#N/A,FALSE,"Comparison YTD"}</definedName>
    <definedName name="wrn.BIGGER." localSheetId="7" hidden="1">{"PROFORMA",#N/A,FALSE,"A";"BIGGER 1",#N/A,FALSE,"B";"BIGGER 2",#N/A,FALSE,"B";"BIGGER 3",#N/A,FALSE,"B";"SMALL CF 1",#N/A,FALSE,"C"}</definedName>
    <definedName name="wrn.BIGGER." hidden="1">{"PROFORMA",#N/A,FALSE,"A";"BIGGER 1",#N/A,FALSE,"B";"BIGGER 2",#N/A,FALSE,"B";"BIGGER 3",#N/A,FALSE,"B";"SMALL CF 1",#N/A,FALSE,"C"}</definedName>
    <definedName name="wrn.BIS_Vorgaben." localSheetId="7" hidden="1">{#N/A,#N/A,FALSE,"Aktiv";#N/A,#N/A,FALSE,"stat.con.";#N/A,#N/A,FALSE,"Konzern"}</definedName>
    <definedName name="wrn.BIS_Vorgaben." hidden="1">{#N/A,#N/A,FALSE,"Aktiv";#N/A,#N/A,FALSE,"stat.con.";#N/A,#N/A,FALSE,"Konzern"}</definedName>
    <definedName name="wrn.Bista_Unterlagen." localSheetId="7" hidden="1">{#N/A,#N/A,FALSE,"Eingaben";#N/A,#N/A,FALSE,"Auft. Einl. + Zinsen";#N/A,#N/A,FALSE,"Forder.+Verbindlk. ";#N/A,#N/A,FALSE,"Sonstige Aktiva";#N/A,#N/A,FALSE,"Sonstige Passiva";#N/A,#N/A,FALSE,"Debitoren (Anlage B1)";#N/A,#N/A,FALSE,"Anlage zu B1";#N/A,#N/A,FALSE,"Hauptvordruck Blatt 1";#N/A,#N/A,FALSE,"Hauptvordruck Blatt 2";#N/A,#N/A,FALSE,"Buchford. B 1";#N/A,#N/A,FALSE,"Grundsatz II";#N/A,#N/A,FALSE,"Grundsatz III"}</definedName>
    <definedName name="wrn.Bista_Unterlagen." hidden="1">{#N/A,#N/A,FALSE,"Eingaben";#N/A,#N/A,FALSE,"Auft. Einl. + Zinsen";#N/A,#N/A,FALSE,"Forder.+Verbindlk. ";#N/A,#N/A,FALSE,"Sonstige Aktiva";#N/A,#N/A,FALSE,"Sonstige Passiva";#N/A,#N/A,FALSE,"Debitoren (Anlage B1)";#N/A,#N/A,FALSE,"Anlage zu B1";#N/A,#N/A,FALSE,"Hauptvordruck Blatt 1";#N/A,#N/A,FALSE,"Hauptvordruck Blatt 2";#N/A,#N/A,FALSE,"Buchford. B 1";#N/A,#N/A,FALSE,"Grundsatz II";#N/A,#N/A,FALSE,"Grundsatz III"}</definedName>
    <definedName name="wrn.BlackWhite." localSheetId="7" hidden="1">{#N/A,#N/A,FALSE,"NNN sum";#N/A,#N/A,FALSE,"10-yr Opt. A Sum";#N/A,#N/A,FALSE,"10-yr Opt A Other Costs";#N/A,#N/A,FALSE,"Purchase Sum";#N/A,#N/A,FALSE,"Purchase Other Costs"}</definedName>
    <definedName name="wrn.BlackWhite." hidden="1">{#N/A,#N/A,FALSE,"NNN sum";#N/A,#N/A,FALSE,"10-yr Opt. A Sum";#N/A,#N/A,FALSE,"10-yr Opt A Other Costs";#N/A,#N/A,FALSE,"Purchase Sum";#N/A,#N/A,FALSE,"Purchase Other Costs"}</definedName>
    <definedName name="wrn.BlackWhite5" localSheetId="7" hidden="1">{#N/A,#N/A,FALSE,"NNN sum";#N/A,#N/A,FALSE,"10-yr Opt. A Sum";#N/A,#N/A,FALSE,"10-yr Opt A Other Costs";#N/A,#N/A,FALSE,"Purchase Sum";#N/A,#N/A,FALSE,"Purchase Other Costs"}</definedName>
    <definedName name="wrn.BlackWhite5" hidden="1">{#N/A,#N/A,FALSE,"NNN sum";#N/A,#N/A,FALSE,"10-yr Opt. A Sum";#N/A,#N/A,FALSE,"10-yr Opt A Other Costs";#N/A,#N/A,FALSE,"Purchase Sum";#N/A,#N/A,FALSE,"Purchase Other Costs"}</definedName>
    <definedName name="wrn.bleu4." localSheetId="7" hidden="1">{#N/A,#N/A,FALSE}</definedName>
    <definedName name="wrn.bleu4." hidden="1">{#N/A,#N/A,FALSE}</definedName>
    <definedName name="wrn.Blue._.Book._.Sections." localSheetId="7" hidden="1">{#N/A,#N/A,TRUE,"Summary";#N/A,#N/A,TRUE,"Program Scheme";#N/A,#N/A,TRUE,"Assumptions";#N/A,#N/A,TRUE,"Development Budget &amp; Timing";#N/A,#N/A,TRUE,"Cash Flow";#N/A,#N/A,TRUE,"Cash Flow to Debt &amp; Equity"}</definedName>
    <definedName name="wrn.Blue._.Book._.Sections." hidden="1">{#N/A,#N/A,TRUE,"Summary";#N/A,#N/A,TRUE,"Program Scheme";#N/A,#N/A,TRUE,"Assumptions";#N/A,#N/A,TRUE,"Development Budget &amp; Timing";#N/A,#N/A,TRUE,"Cash Flow";#N/A,#N/A,TRUE,"Cash Flow to Debt &amp; Equity"}</definedName>
    <definedName name="wrn.Board._.Booklet." localSheetId="7" hidden="1">{#N/A,#N/A,FALSE,"Cover";#N/A,#N/A,FALSE,"Sched 1";#N/A,#N/A,FALSE,"Sched 2";#N/A,#N/A,FALSE,"Sched 3";#N/A,#N/A,FALSE,"Sched 4";#N/A,#N/A,FALSE,"Sched 5";#N/A,#N/A,FALSE,"Sched 6"}</definedName>
    <definedName name="wrn.Board._.Booklet." hidden="1">{#N/A,#N/A,FALSE,"Cover";#N/A,#N/A,FALSE,"Sched 1";#N/A,#N/A,FALSE,"Sched 2";#N/A,#N/A,FALSE,"Sched 3";#N/A,#N/A,FALSE,"Sched 4";#N/A,#N/A,FALSE,"Sched 5";#N/A,#N/A,FALSE,"Sched 6"}</definedName>
    <definedName name="wrn.boardPackage." localSheetId="7" hidden="1">{#N/A,#N/A,FALSE,"ZM I-III Consol FinSummary";#N/A,#N/A,FALSE,"ZM1 FinSummary";#N/A,#N/A,FALSE,"ZM2 FinSummary";#N/A,#N/A,FALSE,"ZM3 FinSummary";#N/A,#N/A,FALSE,"FirstCapFinSummary";#N/A,#N/A,FALSE,"ZellLurieFinSummary";#N/A,#N/A,FALSE,"PortfolioOverview";#N/A,#N/A,FALSE,"Portfolio FinSummary";#N/A,#N/A,FALSE,"OverviewbyState";#N/A,#N/A,FALSE,"portfolio";#N/A,#N/A,FALSE,"ZM123";#N/A,#N/A,FALSE,"FCOccy";#N/A,#N/A,FALSE,"ZL";#N/A,#N/A,FALSE,"ZM ROll SbyS";#N/A,#N/A,FALSE,"zmlConsildated";#N/A,#N/A,FALSE,"FC Roll";#N/A,#N/A,FALSE,"ZL Roll";#N/A,#N/A,FALSE,"Retention";#N/A,#N/A,FALSE,"ConsZM123DebtMaturity";#N/A,#N/A,FALSE,"zm1DebtMaturity";#N/A,#N/A,FALSE,"ZM2DebtMaturity";#N/A,#N/A,FALSE,"ZM3DebtMaturity";#N/A,#N/A,FALSE,"FCDebtMaturity";#N/A,#N/A,FALSE,"ZLDebtMaturity";#N/A,#N/A,FALSE,"Corporate";#N/A,#N/A,FALSE,"SALEDATA";#N/A,#N/A,FALSE,"Pending deals";#N/A,#N/A,FALSE,"zm III";#N/A,#N/A,FALSE,"deal flow";#N/A,#N/A,FALSE,"96Tran";#N/A,#N/A,FALSE,"z4Sources &amp; Uses";#N/A,#N/A,FALSE,"z3 Sources &amp; Uses";#N/A,#N/A,FALSE,"z2 Sources and Uses";#N/A,#N/A,FALSE,"z1 Sources &amp; Uses"}</definedName>
    <definedName name="wrn.boardPackage." hidden="1">{#N/A,#N/A,FALSE,"ZM I-III Consol FinSummary";#N/A,#N/A,FALSE,"ZM1 FinSummary";#N/A,#N/A,FALSE,"ZM2 FinSummary";#N/A,#N/A,FALSE,"ZM3 FinSummary";#N/A,#N/A,FALSE,"FirstCapFinSummary";#N/A,#N/A,FALSE,"ZellLurieFinSummary";#N/A,#N/A,FALSE,"PortfolioOverview";#N/A,#N/A,FALSE,"Portfolio FinSummary";#N/A,#N/A,FALSE,"OverviewbyState";#N/A,#N/A,FALSE,"portfolio";#N/A,#N/A,FALSE,"ZM123";#N/A,#N/A,FALSE,"FCOccy";#N/A,#N/A,FALSE,"ZL";#N/A,#N/A,FALSE,"ZM ROll SbyS";#N/A,#N/A,FALSE,"zmlConsildated";#N/A,#N/A,FALSE,"FC Roll";#N/A,#N/A,FALSE,"ZL Roll";#N/A,#N/A,FALSE,"Retention";#N/A,#N/A,FALSE,"ConsZM123DebtMaturity";#N/A,#N/A,FALSE,"zm1DebtMaturity";#N/A,#N/A,FALSE,"ZM2DebtMaturity";#N/A,#N/A,FALSE,"ZM3DebtMaturity";#N/A,#N/A,FALSE,"FCDebtMaturity";#N/A,#N/A,FALSE,"ZLDebtMaturity";#N/A,#N/A,FALSE,"Corporate";#N/A,#N/A,FALSE,"SALEDATA";#N/A,#N/A,FALSE,"Pending deals";#N/A,#N/A,FALSE,"zm III";#N/A,#N/A,FALSE,"deal flow";#N/A,#N/A,FALSE,"96Tran";#N/A,#N/A,FALSE,"z4Sources &amp; Uses";#N/A,#N/A,FALSE,"z3 Sources &amp; Uses";#N/A,#N/A,FALSE,"z2 Sources and Uses";#N/A,#N/A,FALSE,"z1 Sources &amp; Uses"}</definedName>
    <definedName name="wrn.BofA." localSheetId="7" hidden="1">{"BofA-Investor",#N/A,FALSE,"BofA Tower";"BofA-Property",#N/A,FALSE,"BofA Tower"}</definedName>
    <definedName name="wrn.BofA." hidden="1">{"BofA-Investor",#N/A,FALSE,"BofA Tower";"BofA-Property",#N/A,FALSE,"BofA Tower"}</definedName>
    <definedName name="wrn.Bonds." localSheetId="7" hidden="1">{#N/A,#N/A,FALSE,"Bonds - Consol";#N/A,#N/A,FALSE,"Bonds - Lakes";#N/A,#N/A,FALSE,"Bonds - Chabot";#N/A,#N/A,FALSE,"Bonds - Diablo"}</definedName>
    <definedName name="wrn.Bonds." hidden="1">{#N/A,#N/A,FALSE,"Bonds - Consol";#N/A,#N/A,FALSE,"Bonds - Lakes";#N/A,#N/A,FALSE,"Bonds - Chabot";#N/A,#N/A,FALSE,"Bonds - Diablo"}</definedName>
    <definedName name="wrn.BOOK." localSheetId="7" hidden="1">{#N/A,#N/A,FALSE,"COVER";#N/A,#N/A,FALSE,"TABLE OF CONTENTS";#N/A,#N/A,FALSE,"EXEC SUMM";#N/A,#N/A,FALSE,"SURVEY";#N/A,#N/A,FALSE,"PROSPECT";#N/A,#N/A,FALSE,"NEW,EXPANSION,RENEWAL,RELET";#N/A,#N/A,FALSE,"EXPIRED,DEFAULTED";#N/A,#N/A,FALSE,"SIGNED LEASES";#N/A,#N/A,FALSE,"LOST TRANSACTIONS ";#N/A,#N/A,FALSE,"STACKING PLAN";#N/A,#N/A,FALSE,"EXPIRATIONS";#N/A,#N/A,FALSE,"OPTIONS";#N/A,#N/A,FALSE,"SUBLEASE";#N/A,#N/A,FALSE,"AR ANALYSIS";#N/A,#N/A,FALSE,"NER_IN_PLACE";#N/A,#N/A,FALSE,"NER_ACQ_DATE";#N/A,#N/A,FALSE,"titles"}</definedName>
    <definedName name="wrn.BOOK." hidden="1">{#N/A,#N/A,FALSE,"COVER";#N/A,#N/A,FALSE,"TABLE OF CONTENTS";#N/A,#N/A,FALSE,"EXEC SUMM";#N/A,#N/A,FALSE,"SURVEY";#N/A,#N/A,FALSE,"PROSPECT";#N/A,#N/A,FALSE,"NEW,EXPANSION,RENEWAL,RELET";#N/A,#N/A,FALSE,"EXPIRED,DEFAULTED";#N/A,#N/A,FALSE,"SIGNED LEASES";#N/A,#N/A,FALSE,"LOST TRANSACTIONS ";#N/A,#N/A,FALSE,"STACKING PLAN";#N/A,#N/A,FALSE,"EXPIRATIONS";#N/A,#N/A,FALSE,"OPTIONS";#N/A,#N/A,FALSE,"SUBLEASE";#N/A,#N/A,FALSE,"AR ANALYSIS";#N/A,#N/A,FALSE,"NER_IN_PLACE";#N/A,#N/A,FALSE,"NER_ACQ_DATE";#N/A,#N/A,FALSE,"titles"}</definedName>
    <definedName name="wrn.Book._.Reports." localSheetId="7" hidden="1">{"Current Month",#N/A,FALSE,"Current Compar.";"Year-To-Date",#N/A,FALSE,"Year Comparison";"Forecast",#N/A,FALSE,"Comparison NOI";"Actual Input",#N/A,FALSE,"Act...Ratios"}</definedName>
    <definedName name="wrn.Book._.Reports." hidden="1">{"Current Month",#N/A,FALSE,"Current Compar.";"Year-To-Date",#N/A,FALSE,"Year Comparison";"Forecast",#N/A,FALSE,"Comparison NOI";"Actual Input",#N/A,FALSE,"Act...Ratios"}</definedName>
    <definedName name="wrn.BOOK._1" localSheetId="7" hidden="1">{#N/A,#N/A,FALSE,"COVER";#N/A,#N/A,FALSE,"TABLE OF CONTENTS";#N/A,#N/A,FALSE,"EXEC SUMM";#N/A,#N/A,FALSE,"SURVEY";#N/A,#N/A,FALSE,"PROSPECT";#N/A,#N/A,FALSE,"NEW,EXPANSION,RENEWAL,RELET";#N/A,#N/A,FALSE,"EXPIRED,DEFAULTED";#N/A,#N/A,FALSE,"SIGNED LEASES";#N/A,#N/A,FALSE,"LOST TRANSACTIONS ";#N/A,#N/A,FALSE,"STACKING PLAN";#N/A,#N/A,FALSE,"EXPIRATIONS";#N/A,#N/A,FALSE,"OPTIONS";#N/A,#N/A,FALSE,"SUBLEASE";#N/A,#N/A,FALSE,"AR ANALYSIS";#N/A,#N/A,FALSE,"NER_IN_PLACE";#N/A,#N/A,FALSE,"NER_ACQ_DATE";#N/A,#N/A,FALSE,"titles"}</definedName>
    <definedName name="wrn.BOOK._1" hidden="1">{#N/A,#N/A,FALSE,"COVER";#N/A,#N/A,FALSE,"TABLE OF CONTENTS";#N/A,#N/A,FALSE,"EXEC SUMM";#N/A,#N/A,FALSE,"SURVEY";#N/A,#N/A,FALSE,"PROSPECT";#N/A,#N/A,FALSE,"NEW,EXPANSION,RENEWAL,RELET";#N/A,#N/A,FALSE,"EXPIRED,DEFAULTED";#N/A,#N/A,FALSE,"SIGNED LEASES";#N/A,#N/A,FALSE,"LOST TRANSACTIONS ";#N/A,#N/A,FALSE,"STACKING PLAN";#N/A,#N/A,FALSE,"EXPIRATIONS";#N/A,#N/A,FALSE,"OPTIONS";#N/A,#N/A,FALSE,"SUBLEASE";#N/A,#N/A,FALSE,"AR ANALYSIS";#N/A,#N/A,FALSE,"NER_IN_PLACE";#N/A,#N/A,FALSE,"NER_ACQ_DATE";#N/A,#N/A,FALSE,"titles"}</definedName>
    <definedName name="wrn.Both._.Outputs." localSheetId="7" hidden="1">{"LTV Output",#N/A,FALSE,"Output";"DCR Output",#N/A,FALSE,"Output"}</definedName>
    <definedName name="wrn.Both._.Outputs." hidden="1">{"LTV Output",#N/A,FALSE,"Output";"DCR Output",#N/A,FALSE,"Output"}</definedName>
    <definedName name="wrn.both._.pages." localSheetId="7" hidden="1">{"page2",#N/A,FALSE,"Midwestbankcentre";"page1",#N/A,FALSE,"Midwestbankcentre"}</definedName>
    <definedName name="wrn.both._.pages." hidden="1">{"page2",#N/A,FALSE,"Midwestbankcentre";"page1",#N/A,FALSE,"Midwestbankcentre"}</definedName>
    <definedName name="wrn.BOV." localSheetId="7" hidden="1">{#N/A,#N/A,FALSE,"Pricing Matrix";#N/A,#N/A,FALSE,"Assumptions";#N/A,#N/A,FALSE,"Year One Pro Forma";#N/A,#N/A,FALSE,"Operating Stmts";#N/A,#N/A,FALSE,"Cash Flow Projections";#N/A,#N/A,FALSE,"Rent Roll Summary";#N/A,#N/A,FALSE,"Market Rent Detail";#N/A,#N/A,FALSE,"Effective Rental Income Detail"}</definedName>
    <definedName name="wrn.BOV." hidden="1">{#N/A,#N/A,FALSE,"Pricing Matrix";#N/A,#N/A,FALSE,"Assumptions";#N/A,#N/A,FALSE,"Year One Pro Forma";#N/A,#N/A,FALSE,"Operating Stmts";#N/A,#N/A,FALSE,"Cash Flow Projections";#N/A,#N/A,FALSE,"Rent Roll Summary";#N/A,#N/A,FALSE,"Market Rent Detail";#N/A,#N/A,FALSE,"Effective Rental Income Detail"}</definedName>
    <definedName name="wrn.BOV._1" localSheetId="7" hidden="1">{#N/A,#N/A,FALSE,"Pricing Matrix";#N/A,#N/A,FALSE,"Assumptions";#N/A,#N/A,FALSE,"Year One Pro Forma";#N/A,#N/A,FALSE,"Operating Stmts";#N/A,#N/A,FALSE,"Cash Flow Projections";#N/A,#N/A,FALSE,"Rent Roll Summary";#N/A,#N/A,FALSE,"Market Rent Detail";#N/A,#N/A,FALSE,"Effective Rental Income Detail"}</definedName>
    <definedName name="wrn.BOV._1" hidden="1">{#N/A,#N/A,FALSE,"Pricing Matrix";#N/A,#N/A,FALSE,"Assumptions";#N/A,#N/A,FALSE,"Year One Pro Forma";#N/A,#N/A,FALSE,"Operating Stmts";#N/A,#N/A,FALSE,"Cash Flow Projections";#N/A,#N/A,FALSE,"Rent Roll Summary";#N/A,#N/A,FALSE,"Market Rent Detail";#N/A,#N/A,FALSE,"Effective Rental Income Detail"}</definedName>
    <definedName name="wrn.BOV._1_1" localSheetId="7" hidden="1">{#N/A,#N/A,FALSE,"Pricing Matrix";#N/A,#N/A,FALSE,"Assumptions";#N/A,#N/A,FALSE,"Year One Pro Forma";#N/A,#N/A,FALSE,"Operating Stmts";#N/A,#N/A,FALSE,"Cash Flow Projections";#N/A,#N/A,FALSE,"Rent Roll Summary";#N/A,#N/A,FALSE,"Market Rent Detail";#N/A,#N/A,FALSE,"Effective Rental Income Detail"}</definedName>
    <definedName name="wrn.BOV._1_1" hidden="1">{#N/A,#N/A,FALSE,"Pricing Matrix";#N/A,#N/A,FALSE,"Assumptions";#N/A,#N/A,FALSE,"Year One Pro Forma";#N/A,#N/A,FALSE,"Operating Stmts";#N/A,#N/A,FALSE,"Cash Flow Projections";#N/A,#N/A,FALSE,"Rent Roll Summary";#N/A,#N/A,FALSE,"Market Rent Detail";#N/A,#N/A,FALSE,"Effective Rental Income Detail"}</definedName>
    <definedName name="wrn.BOV._1_2" localSheetId="7" hidden="1">{#N/A,#N/A,FALSE,"Pricing Matrix";#N/A,#N/A,FALSE,"Assumptions";#N/A,#N/A,FALSE,"Year One Pro Forma";#N/A,#N/A,FALSE,"Operating Stmts";#N/A,#N/A,FALSE,"Cash Flow Projections";#N/A,#N/A,FALSE,"Rent Roll Summary";#N/A,#N/A,FALSE,"Market Rent Detail";#N/A,#N/A,FALSE,"Effective Rental Income Detail"}</definedName>
    <definedName name="wrn.BOV._1_2" hidden="1">{#N/A,#N/A,FALSE,"Pricing Matrix";#N/A,#N/A,FALSE,"Assumptions";#N/A,#N/A,FALSE,"Year One Pro Forma";#N/A,#N/A,FALSE,"Operating Stmts";#N/A,#N/A,FALSE,"Cash Flow Projections";#N/A,#N/A,FALSE,"Rent Roll Summary";#N/A,#N/A,FALSE,"Market Rent Detail";#N/A,#N/A,FALSE,"Effective Rental Income Detail"}</definedName>
    <definedName name="wrn.BOV._1_3" localSheetId="7" hidden="1">{#N/A,#N/A,FALSE,"Pricing Matrix";#N/A,#N/A,FALSE,"Assumptions";#N/A,#N/A,FALSE,"Year One Pro Forma";#N/A,#N/A,FALSE,"Operating Stmts";#N/A,#N/A,FALSE,"Cash Flow Projections";#N/A,#N/A,FALSE,"Rent Roll Summary";#N/A,#N/A,FALSE,"Market Rent Detail";#N/A,#N/A,FALSE,"Effective Rental Income Detail"}</definedName>
    <definedName name="wrn.BOV._1_3" hidden="1">{#N/A,#N/A,FALSE,"Pricing Matrix";#N/A,#N/A,FALSE,"Assumptions";#N/A,#N/A,FALSE,"Year One Pro Forma";#N/A,#N/A,FALSE,"Operating Stmts";#N/A,#N/A,FALSE,"Cash Flow Projections";#N/A,#N/A,FALSE,"Rent Roll Summary";#N/A,#N/A,FALSE,"Market Rent Detail";#N/A,#N/A,FALSE,"Effective Rental Income Detail"}</definedName>
    <definedName name="wrn.BOV._2" localSheetId="7" hidden="1">{#N/A,#N/A,FALSE,"Pricing Matrix";#N/A,#N/A,FALSE,"Assumptions";#N/A,#N/A,FALSE,"Year One Pro Forma";#N/A,#N/A,FALSE,"Operating Stmts";#N/A,#N/A,FALSE,"Cash Flow Projections";#N/A,#N/A,FALSE,"Rent Roll Summary";#N/A,#N/A,FALSE,"Market Rent Detail";#N/A,#N/A,FALSE,"Effective Rental Income Detail"}</definedName>
    <definedName name="wrn.BOV._2" hidden="1">{#N/A,#N/A,FALSE,"Pricing Matrix";#N/A,#N/A,FALSE,"Assumptions";#N/A,#N/A,FALSE,"Year One Pro Forma";#N/A,#N/A,FALSE,"Operating Stmts";#N/A,#N/A,FALSE,"Cash Flow Projections";#N/A,#N/A,FALSE,"Rent Roll Summary";#N/A,#N/A,FALSE,"Market Rent Detail";#N/A,#N/A,FALSE,"Effective Rental Income Detail"}</definedName>
    <definedName name="wrn.BOV._2_1" localSheetId="7" hidden="1">{#N/A,#N/A,FALSE,"Pricing Matrix";#N/A,#N/A,FALSE,"Assumptions";#N/A,#N/A,FALSE,"Year One Pro Forma";#N/A,#N/A,FALSE,"Operating Stmts";#N/A,#N/A,FALSE,"Cash Flow Projections";#N/A,#N/A,FALSE,"Rent Roll Summary";#N/A,#N/A,FALSE,"Market Rent Detail";#N/A,#N/A,FALSE,"Effective Rental Income Detail"}</definedName>
    <definedName name="wrn.BOV._2_1" hidden="1">{#N/A,#N/A,FALSE,"Pricing Matrix";#N/A,#N/A,FALSE,"Assumptions";#N/A,#N/A,FALSE,"Year One Pro Forma";#N/A,#N/A,FALSE,"Operating Stmts";#N/A,#N/A,FALSE,"Cash Flow Projections";#N/A,#N/A,FALSE,"Rent Roll Summary";#N/A,#N/A,FALSE,"Market Rent Detail";#N/A,#N/A,FALSE,"Effective Rental Income Detail"}</definedName>
    <definedName name="wrn.BOV._2_2" localSheetId="7" hidden="1">{#N/A,#N/A,FALSE,"Pricing Matrix";#N/A,#N/A,FALSE,"Assumptions";#N/A,#N/A,FALSE,"Year One Pro Forma";#N/A,#N/A,FALSE,"Operating Stmts";#N/A,#N/A,FALSE,"Cash Flow Projections";#N/A,#N/A,FALSE,"Rent Roll Summary";#N/A,#N/A,FALSE,"Market Rent Detail";#N/A,#N/A,FALSE,"Effective Rental Income Detail"}</definedName>
    <definedName name="wrn.BOV._2_2" hidden="1">{#N/A,#N/A,FALSE,"Pricing Matrix";#N/A,#N/A,FALSE,"Assumptions";#N/A,#N/A,FALSE,"Year One Pro Forma";#N/A,#N/A,FALSE,"Operating Stmts";#N/A,#N/A,FALSE,"Cash Flow Projections";#N/A,#N/A,FALSE,"Rent Roll Summary";#N/A,#N/A,FALSE,"Market Rent Detail";#N/A,#N/A,FALSE,"Effective Rental Income Detail"}</definedName>
    <definedName name="wrn.BOV._2_3" localSheetId="7" hidden="1">{#N/A,#N/A,FALSE,"Pricing Matrix";#N/A,#N/A,FALSE,"Assumptions";#N/A,#N/A,FALSE,"Year One Pro Forma";#N/A,#N/A,FALSE,"Operating Stmts";#N/A,#N/A,FALSE,"Cash Flow Projections";#N/A,#N/A,FALSE,"Rent Roll Summary";#N/A,#N/A,FALSE,"Market Rent Detail";#N/A,#N/A,FALSE,"Effective Rental Income Detail"}</definedName>
    <definedName name="wrn.BOV._2_3" hidden="1">{#N/A,#N/A,FALSE,"Pricing Matrix";#N/A,#N/A,FALSE,"Assumptions";#N/A,#N/A,FALSE,"Year One Pro Forma";#N/A,#N/A,FALSE,"Operating Stmts";#N/A,#N/A,FALSE,"Cash Flow Projections";#N/A,#N/A,FALSE,"Rent Roll Summary";#N/A,#N/A,FALSE,"Market Rent Detail";#N/A,#N/A,FALSE,"Effective Rental Income Detail"}</definedName>
    <definedName name="wrn.BOV._3" localSheetId="7" hidden="1">{#N/A,#N/A,FALSE,"Pricing Matrix";#N/A,#N/A,FALSE,"Assumptions";#N/A,#N/A,FALSE,"Year One Pro Forma";#N/A,#N/A,FALSE,"Operating Stmts";#N/A,#N/A,FALSE,"Cash Flow Projections";#N/A,#N/A,FALSE,"Rent Roll Summary";#N/A,#N/A,FALSE,"Market Rent Detail";#N/A,#N/A,FALSE,"Effective Rental Income Detail"}</definedName>
    <definedName name="wrn.BOV._3" hidden="1">{#N/A,#N/A,FALSE,"Pricing Matrix";#N/A,#N/A,FALSE,"Assumptions";#N/A,#N/A,FALSE,"Year One Pro Forma";#N/A,#N/A,FALSE,"Operating Stmts";#N/A,#N/A,FALSE,"Cash Flow Projections";#N/A,#N/A,FALSE,"Rent Roll Summary";#N/A,#N/A,FALSE,"Market Rent Detail";#N/A,#N/A,FALSE,"Effective Rental Income Detail"}</definedName>
    <definedName name="wrn.BOV._3_1" localSheetId="7" hidden="1">{#N/A,#N/A,FALSE,"Pricing Matrix";#N/A,#N/A,FALSE,"Assumptions";#N/A,#N/A,FALSE,"Year One Pro Forma";#N/A,#N/A,FALSE,"Operating Stmts";#N/A,#N/A,FALSE,"Cash Flow Projections";#N/A,#N/A,FALSE,"Rent Roll Summary";#N/A,#N/A,FALSE,"Market Rent Detail";#N/A,#N/A,FALSE,"Effective Rental Income Detail"}</definedName>
    <definedName name="wrn.BOV._3_1" hidden="1">{#N/A,#N/A,FALSE,"Pricing Matrix";#N/A,#N/A,FALSE,"Assumptions";#N/A,#N/A,FALSE,"Year One Pro Forma";#N/A,#N/A,FALSE,"Operating Stmts";#N/A,#N/A,FALSE,"Cash Flow Projections";#N/A,#N/A,FALSE,"Rent Roll Summary";#N/A,#N/A,FALSE,"Market Rent Detail";#N/A,#N/A,FALSE,"Effective Rental Income Detail"}</definedName>
    <definedName name="wrn.BOV._3_2" localSheetId="7" hidden="1">{#N/A,#N/A,FALSE,"Pricing Matrix";#N/A,#N/A,FALSE,"Assumptions";#N/A,#N/A,FALSE,"Year One Pro Forma";#N/A,#N/A,FALSE,"Operating Stmts";#N/A,#N/A,FALSE,"Cash Flow Projections";#N/A,#N/A,FALSE,"Rent Roll Summary";#N/A,#N/A,FALSE,"Market Rent Detail";#N/A,#N/A,FALSE,"Effective Rental Income Detail"}</definedName>
    <definedName name="wrn.BOV._3_2" hidden="1">{#N/A,#N/A,FALSE,"Pricing Matrix";#N/A,#N/A,FALSE,"Assumptions";#N/A,#N/A,FALSE,"Year One Pro Forma";#N/A,#N/A,FALSE,"Operating Stmts";#N/A,#N/A,FALSE,"Cash Flow Projections";#N/A,#N/A,FALSE,"Rent Roll Summary";#N/A,#N/A,FALSE,"Market Rent Detail";#N/A,#N/A,FALSE,"Effective Rental Income Detail"}</definedName>
    <definedName name="wrn.BOV._3_3" localSheetId="7" hidden="1">{#N/A,#N/A,FALSE,"Pricing Matrix";#N/A,#N/A,FALSE,"Assumptions";#N/A,#N/A,FALSE,"Year One Pro Forma";#N/A,#N/A,FALSE,"Operating Stmts";#N/A,#N/A,FALSE,"Cash Flow Projections";#N/A,#N/A,FALSE,"Rent Roll Summary";#N/A,#N/A,FALSE,"Market Rent Detail";#N/A,#N/A,FALSE,"Effective Rental Income Detail"}</definedName>
    <definedName name="wrn.BOV._3_3" hidden="1">{#N/A,#N/A,FALSE,"Pricing Matrix";#N/A,#N/A,FALSE,"Assumptions";#N/A,#N/A,FALSE,"Year One Pro Forma";#N/A,#N/A,FALSE,"Operating Stmts";#N/A,#N/A,FALSE,"Cash Flow Projections";#N/A,#N/A,FALSE,"Rent Roll Summary";#N/A,#N/A,FALSE,"Market Rent Detail";#N/A,#N/A,FALSE,"Effective Rental Income Detail"}</definedName>
    <definedName name="wrn.BOV._4" localSheetId="7" hidden="1">{#N/A,#N/A,FALSE,"Pricing Matrix";#N/A,#N/A,FALSE,"Assumptions";#N/A,#N/A,FALSE,"Year One Pro Forma";#N/A,#N/A,FALSE,"Operating Stmts";#N/A,#N/A,FALSE,"Cash Flow Projections";#N/A,#N/A,FALSE,"Rent Roll Summary";#N/A,#N/A,FALSE,"Market Rent Detail";#N/A,#N/A,FALSE,"Effective Rental Income Detail"}</definedName>
    <definedName name="wrn.BOV._4" hidden="1">{#N/A,#N/A,FALSE,"Pricing Matrix";#N/A,#N/A,FALSE,"Assumptions";#N/A,#N/A,FALSE,"Year One Pro Forma";#N/A,#N/A,FALSE,"Operating Stmts";#N/A,#N/A,FALSE,"Cash Flow Projections";#N/A,#N/A,FALSE,"Rent Roll Summary";#N/A,#N/A,FALSE,"Market Rent Detail";#N/A,#N/A,FALSE,"Effective Rental Income Detail"}</definedName>
    <definedName name="wrn.BOV._5" localSheetId="7" hidden="1">{#N/A,#N/A,FALSE,"Pricing Matrix";#N/A,#N/A,FALSE,"Assumptions";#N/A,#N/A,FALSE,"Year One Pro Forma";#N/A,#N/A,FALSE,"Operating Stmts";#N/A,#N/A,FALSE,"Cash Flow Projections";#N/A,#N/A,FALSE,"Rent Roll Summary";#N/A,#N/A,FALSE,"Market Rent Detail";#N/A,#N/A,FALSE,"Effective Rental Income Detail"}</definedName>
    <definedName name="wrn.BOV._5" hidden="1">{#N/A,#N/A,FALSE,"Pricing Matrix";#N/A,#N/A,FALSE,"Assumptions";#N/A,#N/A,FALSE,"Year One Pro Forma";#N/A,#N/A,FALSE,"Operating Stmts";#N/A,#N/A,FALSE,"Cash Flow Projections";#N/A,#N/A,FALSE,"Rent Roll Summary";#N/A,#N/A,FALSE,"Market Rent Detail";#N/A,#N/A,FALSE,"Effective Rental Income Detail"}</definedName>
    <definedName name="wrn.BPLAN." localSheetId="7" hidden="1">{"contents",#N/A,FALSE,"Contents";"Linkages",#N/A,FALSE,"Linkages";"report",#N/A,FALSE,"Report";"Tables",#N/A,FALSE,"Landscape";"returns",#N/A,FALSE,"Annual Data";"annual_data",#N/A,FALSE,"Annual Data";"ratios",#N/A,FALSE,"Key Ratios";"balancesheet",#N/A,FALSE,"Balance Sheet";"insto_returns",#N/A,FALSE,"Insto Returns";"project_returns",#N/A,FALSE,"Project Returns";"title",#N/A,FALSE,"Contents"}</definedName>
    <definedName name="wrn.BPLAN." hidden="1">{"contents",#N/A,FALSE,"Contents";"Linkages",#N/A,FALSE,"Linkages";"report",#N/A,FALSE,"Report";"Tables",#N/A,FALSE,"Landscape";"returns",#N/A,FALSE,"Annual Data";"annual_data",#N/A,FALSE,"Annual Data";"ratios",#N/A,FALSE,"Key Ratios";"balancesheet",#N/A,FALSE,"Balance Sheet";"insto_returns",#N/A,FALSE,"Insto Returns";"project_returns",#N/A,FALSE,"Project Returns";"title",#N/A,FALSE,"Contents"}</definedName>
    <definedName name="wrn.Brookfield._.Notes." localSheetId="7" hidden="1">{#N/A,#N/A,FALSE,"Note 2";#N/A,#N/A,FALSE,"Note 3";#N/A,#N/A,FALSE,"Note 4";#N/A,#N/A,FALSE,"Note 5";#N/A,#N/A,FALSE,"Note 6";#N/A,#N/A,FALSE,"Note 10"}</definedName>
    <definedName name="wrn.Brookfield._.Notes." hidden="1">{#N/A,#N/A,FALSE,"Note 2";#N/A,#N/A,FALSE,"Note 3";#N/A,#N/A,FALSE,"Note 4";#N/A,#N/A,FALSE,"Note 5";#N/A,#N/A,FALSE,"Note 6";#N/A,#N/A,FALSE,"Note 10"}</definedName>
    <definedName name="wrn.Budget." localSheetId="7" hidden="1">{"Spread Dollars",#N/A,FALSE,"Budget";"Spread Ratios",#N/A,FALSE,"Budget";"Target Comparison",#N/A,FALSE,"Summary"}</definedName>
    <definedName name="wrn.Budget." hidden="1">{"Spread Dollars",#N/A,FALSE,"Budget";"Spread Ratios",#N/A,FALSE,"Budget";"Target Comparison",#N/A,FALSE,"Summary"}</definedName>
    <definedName name="wrn.Budget._.99." localSheetId="7" hidden="1">{#N/A,#N/A,FALSE,"OPERATING BUDGET 99";#N/A,#N/A,FALSE,"RECOVERY99"}</definedName>
    <definedName name="wrn.Budget._.99." hidden="1">{#N/A,#N/A,FALSE,"OPERATING BUDGET 99";#N/A,#N/A,FALSE,"RECOVERY99"}</definedName>
    <definedName name="wrn.bullshit1." localSheetId="7" hidden="1">{#N/A,#N/A,FALSE,"Sheet1";#N/A,#N/A,FALSE,"Summary";#N/A,#N/A,FALSE,"proj1";#N/A,#N/A,FALSE,"proj2"}</definedName>
    <definedName name="wrn.bullshit1." hidden="1">{#N/A,#N/A,FALSE,"Sheet1";#N/A,#N/A,FALSE,"Summary";#N/A,#N/A,FALSE,"proj1";#N/A,#N/A,FALSE,"proj2"}</definedName>
    <definedName name="wrn.Capex._.and._.Repayt." localSheetId="7" hidden="1">{#N/A,#N/A,FALSE,"Capex Summary";#N/A,#N/A,FALSE,"Capex";#N/A,#N/A,FALSE,"Repayt Summary";#N/A,#N/A,FALSE,"Repayments";#N/A,#N/A,FALSE,"Repayt Split"}</definedName>
    <definedName name="wrn.Capex._.and._.Repayt." hidden="1">{#N/A,#N/A,FALSE,"Capex Summary";#N/A,#N/A,FALSE,"Capex";#N/A,#N/A,FALSE,"Repayt Summary";#N/A,#N/A,FALSE,"Repayments";#N/A,#N/A,FALSE,"Repayt Split"}</definedName>
    <definedName name="wrn.Capital_Increm.." localSheetId="7" hidden="1">{#N/A,#N/A,FALSE,"Capital-Incremental"}</definedName>
    <definedName name="wrn.Capital_Increm.." hidden="1">{#N/A,#N/A,FALSE,"Capital-Incremental"}</definedName>
    <definedName name="wrn.Capital_Increm.._1" localSheetId="7" hidden="1">{#N/A,#N/A,FALSE,"Capital-Incremental"}</definedName>
    <definedName name="wrn.Capital_Increm.._1" hidden="1">{#N/A,#N/A,FALSE,"Capital-Incremental"}</definedName>
    <definedName name="wrn.Capital_Nonincre.." localSheetId="7" hidden="1">{#N/A,#N/A,FALSE,"Capital-Nonincremental"}</definedName>
    <definedName name="wrn.Capital_Nonincre.." hidden="1">{#N/A,#N/A,FALSE,"Capital-Nonincremental"}</definedName>
    <definedName name="wrn.Capital_Nonincre.._1" localSheetId="7" hidden="1">{#N/A,#N/A,FALSE,"Capital-Nonincremental"}</definedName>
    <definedName name="wrn.Capital_Nonincre.._1" hidden="1">{#N/A,#N/A,FALSE,"Capital-Nonincremental"}</definedName>
    <definedName name="wrn.CAPREIT." localSheetId="7" hidden="1">{#N/A,#N/A,FALSE,"CAPREIT"}</definedName>
    <definedName name="wrn.CAPREIT." hidden="1">{#N/A,#N/A,FALSE,"CAPREIT"}</definedName>
    <definedName name="wrn.CAPREIT._.II." localSheetId="7" hidden="1">{#N/A,#N/A,FALSE,"Consolidate II";#N/A,#N/A,FALSE,"Atrium";#N/A,#N/A,FALSE,"DoverFarms";#N/A,#N/A,FALSE,"GreenwayChase";#N/A,#N/A,FALSE,"Island Club 1";#N/A,#N/A,FALSE,"IslesGateway";#N/A,#N/A,FALSE,"MadisonPark";#N/A,#N/A,FALSE,"PacesRun";#N/A,#N/A,FALSE,"Park";#N/A,#N/A,FALSE,"Sunbrook";#N/A,#N/A,FALSE,"TownPlace";#N/A,#N/A,FALSE,"WatPark";#N/A,#N/A,FALSE,"WatPlace";#N/A,#N/A,FALSE,"WatCastleton"}</definedName>
    <definedName name="wrn.CAPREIT._.II." hidden="1">{#N/A,#N/A,FALSE,"Consolidate II";#N/A,#N/A,FALSE,"Atrium";#N/A,#N/A,FALSE,"DoverFarms";#N/A,#N/A,FALSE,"GreenwayChase";#N/A,#N/A,FALSE,"Island Club 1";#N/A,#N/A,FALSE,"IslesGateway";#N/A,#N/A,FALSE,"MadisonPark";#N/A,#N/A,FALSE,"PacesRun";#N/A,#N/A,FALSE,"Park";#N/A,#N/A,FALSE,"Sunbrook";#N/A,#N/A,FALSE,"TownPlace";#N/A,#N/A,FALSE,"WatPark";#N/A,#N/A,FALSE,"WatPlace";#N/A,#N/A,FALSE,"WatCastleton"}</definedName>
    <definedName name="wrn.CAPREIT._.II._.and._.IV." localSheetId="7" hidden="1">{#N/A,#N/A,FALSE,"Consolidate II &amp; IV";#N/A,#N/A,FALSE,"Atrium";#N/A,#N/A,FALSE,"Chasewood";#N/A,#N/A,FALSE,"ClubNorthHills";#N/A,#N/A,FALSE,"DoverFarms";#N/A,#N/A,FALSE,"GreenwayChase";#N/A,#N/A,FALSE,"Island Club 1";#N/A,#N/A,FALSE,"IslesGateway";#N/A,#N/A,FALSE,"Kensington";#N/A,#N/A,FALSE,"LakeFront";#N/A,#N/A,FALSE,"MadisonPark";#N/A,#N/A,FALSE,"Oaks";#N/A,#N/A,FALSE,"PacesRun";#N/A,#N/A,FALSE,"Park";#N/A,#N/A,FALSE,"PointeWest";#N/A,#N/A,FALSE,"Sunbrook";#N/A,#N/A,FALSE,"Sundance";#N/A,#N/A,FALSE,"TownPlace";#N/A,#N/A,FALSE,"WatPark";#N/A,#N/A,FALSE,"WatPlace";#N/A,#N/A,FALSE,"WatCastleton";#N/A,#N/A,FALSE,"Wellington"}</definedName>
    <definedName name="wrn.CAPREIT._.II._.and._.IV." hidden="1">{#N/A,#N/A,FALSE,"Consolidate II &amp; IV";#N/A,#N/A,FALSE,"Atrium";#N/A,#N/A,FALSE,"Chasewood";#N/A,#N/A,FALSE,"ClubNorthHills";#N/A,#N/A,FALSE,"DoverFarms";#N/A,#N/A,FALSE,"GreenwayChase";#N/A,#N/A,FALSE,"Island Club 1";#N/A,#N/A,FALSE,"IslesGateway";#N/A,#N/A,FALSE,"Kensington";#N/A,#N/A,FALSE,"LakeFront";#N/A,#N/A,FALSE,"MadisonPark";#N/A,#N/A,FALSE,"Oaks";#N/A,#N/A,FALSE,"PacesRun";#N/A,#N/A,FALSE,"Park";#N/A,#N/A,FALSE,"PointeWest";#N/A,#N/A,FALSE,"Sunbrook";#N/A,#N/A,FALSE,"Sundance";#N/A,#N/A,FALSE,"TownPlace";#N/A,#N/A,FALSE,"WatPark";#N/A,#N/A,FALSE,"WatPlace";#N/A,#N/A,FALSE,"WatCastleton";#N/A,#N/A,FALSE,"Wellington"}</definedName>
    <definedName name="wrn.CAPREIT._.IV." localSheetId="7" hidden="1">{#N/A,#N/A,FALSE,"Consolidate IV";#N/A,#N/A,FALSE,"Chasewood";#N/A,#N/A,FALSE,"ClubNorthHills";#N/A,#N/A,FALSE,"Kensington";#N/A,#N/A,FALSE,"LakeFront";#N/A,#N/A,FALSE,"Oaks";#N/A,#N/A,FALSE,"PointeWest";#N/A,#N/A,FALSE,"Sundance";#N/A,#N/A,FALSE,"Wellington"}</definedName>
    <definedName name="wrn.CAPREIT._.IV." hidden="1">{#N/A,#N/A,FALSE,"Consolidate IV";#N/A,#N/A,FALSE,"Chasewood";#N/A,#N/A,FALSE,"ClubNorthHills";#N/A,#N/A,FALSE,"Kensington";#N/A,#N/A,FALSE,"LakeFront";#N/A,#N/A,FALSE,"Oaks";#N/A,#N/A,FALSE,"PointeWest";#N/A,#N/A,FALSE,"Sundance";#N/A,#N/A,FALSE,"Wellington"}</definedName>
    <definedName name="wrn.CAPREIT._.TERA." localSheetId="7" hidden="1">{#N/A,#N/A,FALSE,"Consolidate TERA";#N/A,#N/A,FALSE,"Boulder";#N/A,#N/A,FALSE,"Braden";#N/A,#N/A,FALSE,"Cambridge";#N/A,#N/A,FALSE,"Charleston";#N/A,#N/A,FALSE,"Cornerstone";#N/A,#N/A,FALSE,"Courtyard";#N/A,#N/A,FALSE,"LakeMayport";#N/A,#N/A,FALSE,"Paces River 1";#N/A,#N/A,FALSE,"Paces River 2";#N/A,#N/A,FALSE,"Paddock ";#N/A,#N/A,FALSE,"Summer";#N/A,#N/A,FALSE,"Sutton"}</definedName>
    <definedName name="wrn.CAPREIT._.TERA." hidden="1">{#N/A,#N/A,FALSE,"Consolidate TERA";#N/A,#N/A,FALSE,"Boulder";#N/A,#N/A,FALSE,"Braden";#N/A,#N/A,FALSE,"Cambridge";#N/A,#N/A,FALSE,"Charleston";#N/A,#N/A,FALSE,"Cornerstone";#N/A,#N/A,FALSE,"Courtyard";#N/A,#N/A,FALSE,"LakeMayport";#N/A,#N/A,FALSE,"Paces River 1";#N/A,#N/A,FALSE,"Paces River 2";#N/A,#N/A,FALSE,"Paddock ";#N/A,#N/A,FALSE,"Summer";#N/A,#N/A,FALSE,"Sutton"}</definedName>
    <definedName name="wrn.CAPREIT._.V." localSheetId="7" hidden="1">{#N/A,#N/A,FALSE,"Consolidate V";#N/A,#N/A,FALSE,"Ashley";#N/A,#N/A,FALSE,"Biscayne";#N/A,#N/A,FALSE,"Carnegie";#N/A,#N/A,FALSE,"Culpeper ";#N/A,#N/A,FALSE,"Island Club 2";#N/A,#N/A,FALSE,"MadisonRidge";#N/A,#N/A,FALSE,"Magnolia";#N/A,#N/A,FALSE,"Royal";#N/A,#N/A,FALSE,"Valle"}</definedName>
    <definedName name="wrn.CAPREIT._.V." hidden="1">{#N/A,#N/A,FALSE,"Consolidate V";#N/A,#N/A,FALSE,"Ashley";#N/A,#N/A,FALSE,"Biscayne";#N/A,#N/A,FALSE,"Carnegie";#N/A,#N/A,FALSE,"Culpeper ";#N/A,#N/A,FALSE,"Island Club 2";#N/A,#N/A,FALSE,"MadisonRidge";#N/A,#N/A,FALSE,"Magnolia";#N/A,#N/A,FALSE,"Royal";#N/A,#N/A,FALSE,"Valle"}</definedName>
    <definedName name="wrn.CAPREIT._1" localSheetId="7" hidden="1">{#N/A,#N/A,FALSE,"CAPREIT"}</definedName>
    <definedName name="wrn.CAPREIT._1" hidden="1">{#N/A,#N/A,FALSE,"CAPREIT"}</definedName>
    <definedName name="wrn.CAPREIT._1_1" localSheetId="7" hidden="1">{#N/A,#N/A,FALSE,"CAPREIT"}</definedName>
    <definedName name="wrn.CAPREIT._1_1" hidden="1">{#N/A,#N/A,FALSE,"CAPREIT"}</definedName>
    <definedName name="wrn.CAPREIT._2" localSheetId="7" hidden="1">{#N/A,#N/A,FALSE,"CAPREIT"}</definedName>
    <definedName name="wrn.CAPREIT._2" hidden="1">{#N/A,#N/A,FALSE,"CAPREIT"}</definedName>
    <definedName name="wrn.CAPREIT._3" localSheetId="7" hidden="1">{#N/A,#N/A,FALSE,"CAPREIT"}</definedName>
    <definedName name="wrn.CAPREIT._3" hidden="1">{#N/A,#N/A,FALSE,"CAPREIT"}</definedName>
    <definedName name="wrn.CAPREIT._4" localSheetId="7" hidden="1">{#N/A,#N/A,FALSE,"CAPREIT"}</definedName>
    <definedName name="wrn.CAPREIT._4" hidden="1">{#N/A,#N/A,FALSE,"CAPREIT"}</definedName>
    <definedName name="wrn.CAPREIT._5" localSheetId="7" hidden="1">{#N/A,#N/A,FALSE,"CAPREIT"}</definedName>
    <definedName name="wrn.CAPREIT._5" hidden="1">{#N/A,#N/A,FALSE,"CAPREIT"}</definedName>
    <definedName name="wrn.CAPREIT2" localSheetId="7" hidden="1">{#N/A,#N/A,FALSE,"CAPREIT"}</definedName>
    <definedName name="wrn.CAPREIT2" hidden="1">{#N/A,#N/A,FALSE,"CAPREIT"}</definedName>
    <definedName name="wrn.CAPREIT2_1" localSheetId="7" hidden="1">{#N/A,#N/A,FALSE,"CAPREIT"}</definedName>
    <definedName name="wrn.CAPREIT2_1" hidden="1">{#N/A,#N/A,FALSE,"CAPREIT"}</definedName>
    <definedName name="wrn.CAPREIT2_1_1" localSheetId="7" hidden="1">{#N/A,#N/A,FALSE,"CAPREIT"}</definedName>
    <definedName name="wrn.CAPREIT2_1_1" hidden="1">{#N/A,#N/A,FALSE,"CAPREIT"}</definedName>
    <definedName name="wrn.CAPREIT2_2" localSheetId="7" hidden="1">{#N/A,#N/A,FALSE,"CAPREIT"}</definedName>
    <definedName name="wrn.CAPREIT2_2" hidden="1">{#N/A,#N/A,FALSE,"CAPREIT"}</definedName>
    <definedName name="wrn.CAPREIT2_3" localSheetId="7" hidden="1">{#N/A,#N/A,FALSE,"CAPREIT"}</definedName>
    <definedName name="wrn.CAPREIT2_3" hidden="1">{#N/A,#N/A,FALSE,"CAPREIT"}</definedName>
    <definedName name="wrn.CAPREIT2_4" localSheetId="7" hidden="1">{#N/A,#N/A,FALSE,"CAPREIT"}</definedName>
    <definedName name="wrn.CAPREIT2_4" hidden="1">{#N/A,#N/A,FALSE,"CAPREIT"}</definedName>
    <definedName name="wrn.CAPREIT2_5" localSheetId="7" hidden="1">{#N/A,#N/A,FALSE,"CAPREIT"}</definedName>
    <definedName name="wrn.CAPREIT2_5" hidden="1">{#N/A,#N/A,FALSE,"CAPREIT"}</definedName>
    <definedName name="wrn.Capx." localSheetId="7" hidden="1">{"Capx/exp",#N/A,FALSE,"CapX"}</definedName>
    <definedName name="wrn.Capx." hidden="1">{"Capx/exp",#N/A,FALSE,"CapX"}</definedName>
    <definedName name="wrn.Capx._1" localSheetId="7" hidden="1">{"Capx/exp",#N/A,FALSE,"CapX"}</definedName>
    <definedName name="wrn.Capx._1" hidden="1">{"Capx/exp",#N/A,FALSE,"CapX"}</definedName>
    <definedName name="wrn.Capx._1_1" localSheetId="7" hidden="1">{"Capx/exp",#N/A,FALSE,"CapX"}</definedName>
    <definedName name="wrn.Capx._1_1" hidden="1">{"Capx/exp",#N/A,FALSE,"CapX"}</definedName>
    <definedName name="wrn.Capx._1_1_1" localSheetId="7" hidden="1">{"Capx/exp",#N/A,FALSE,"CapX"}</definedName>
    <definedName name="wrn.Capx._1_1_1" hidden="1">{"Capx/exp",#N/A,FALSE,"CapX"}</definedName>
    <definedName name="wrn.Capx._1_2" localSheetId="7" hidden="1">{"Capx/exp",#N/A,FALSE,"CapX"}</definedName>
    <definedName name="wrn.Capx._1_2" hidden="1">{"Capx/exp",#N/A,FALSE,"CapX"}</definedName>
    <definedName name="wrn.Capx._1_3" localSheetId="7" hidden="1">{"Capx/exp",#N/A,FALSE,"CapX"}</definedName>
    <definedName name="wrn.Capx._1_3" hidden="1">{"Capx/exp",#N/A,FALSE,"CapX"}</definedName>
    <definedName name="wrn.Capx._1_4" localSheetId="7" hidden="1">{"Capx/exp",#N/A,FALSE,"CapX"}</definedName>
    <definedName name="wrn.Capx._1_4" hidden="1">{"Capx/exp",#N/A,FALSE,"CapX"}</definedName>
    <definedName name="wrn.Capx._1_5" localSheetId="7" hidden="1">{"Capx/exp",#N/A,FALSE,"CapX"}</definedName>
    <definedName name="wrn.Capx._1_5" hidden="1">{"Capx/exp",#N/A,FALSE,"CapX"}</definedName>
    <definedName name="wrn.Capx._2" localSheetId="7" hidden="1">{"Capx/exp",#N/A,FALSE,"CapX"}</definedName>
    <definedName name="wrn.Capx._2" hidden="1">{"Capx/exp",#N/A,FALSE,"CapX"}</definedName>
    <definedName name="wrn.Capx._3" localSheetId="7" hidden="1">{"Capx/exp",#N/A,FALSE,"CapX"}</definedName>
    <definedName name="wrn.Capx._3" hidden="1">{"Capx/exp",#N/A,FALSE,"CapX"}</definedName>
    <definedName name="wrn.Capx._4" localSheetId="7" hidden="1">{"Capx/exp",#N/A,FALSE,"CapX"}</definedName>
    <definedName name="wrn.Capx._4" hidden="1">{"Capx/exp",#N/A,FALSE,"CapX"}</definedName>
    <definedName name="wrn.Capx._5" localSheetId="7" hidden="1">{"Capx/exp",#N/A,FALSE,"CapX"}</definedName>
    <definedName name="wrn.Capx._5" hidden="1">{"Capx/exp",#N/A,FALSE,"CapX"}</definedName>
    <definedName name="wrn.Cash._.Flow._.Anal." localSheetId="7" hidden="1">{"CF",#N/A,FALSE,"Cash Flow";"RET",#N/A,FALSE,"Returns";"NPV",#N/A,FALSE,"Values";"ASMPT",#N/A,FALSE,"Assumptions"}</definedName>
    <definedName name="wrn.Cash._.Flow._.Anal." hidden="1">{"CF",#N/A,FALSE,"Cash Flow";"RET",#N/A,FALSE,"Returns";"NPV",#N/A,FALSE,"Values";"ASMPT",#N/A,FALSE,"Assumptions"}</definedName>
    <definedName name="wrn.Cash._.Flow._.Analysis." localSheetId="7" hidden="1">{"CF",#N/A,FALSE,"Cash Flow";"RET",#N/A,FALSE,"Returns";"NPV",#N/A,FALSE,"Values";"ASMPT",#N/A,FALSE,"Assumptions"}</definedName>
    <definedName name="wrn.Cash._.Flow._.Analysis." hidden="1">{"CF",#N/A,FALSE,"Cash Flow";"RET",#N/A,FALSE,"Returns";"NPV",#N/A,FALSE,"Values";"ASMPT",#N/A,FALSE,"Assumptions"}</definedName>
    <definedName name="wrn.Cash._.Flow._.and._.Matrix." localSheetId="7" hidden="1">{#N/A,#N/A,FALSE,"Matrix";#N/A,#N/A,FALSE,"Cash Flow";#N/A,#N/A,FALSE,"10 Year Cost Analysis"}</definedName>
    <definedName name="wrn.Cash._.Flow._.and._.Matrix." hidden="1">{#N/A,#N/A,FALSE,"Matrix";#N/A,#N/A,FALSE,"Cash Flow";#N/A,#N/A,FALSE,"10 Year Cost Analysis"}</definedName>
    <definedName name="wrn.CASH._.FLOWS._.ONLY." localSheetId="7" hidden="1">{#N/A,#N/A,FALSE,"Assumptions";#N/A,#N/A,FALSE,"Consol CF";#N/A,#N/A,FALSE,"Hacienda CF";#N/A,#N/A,FALSE,"Chabot CF";#N/A,#N/A,FALSE,"Diablo CF"}</definedName>
    <definedName name="wrn.CASH._.FLOWS._.ONLY." hidden="1">{#N/A,#N/A,FALSE,"Assumptions";#N/A,#N/A,FALSE,"Consol CF";#N/A,#N/A,FALSE,"Hacienda CF";#N/A,#N/A,FALSE,"Chabot CF";#N/A,#N/A,FALSE,"Diablo CF"}</definedName>
    <definedName name="wrn.Cash_Flow." localSheetId="7" hidden="1">{#N/A,#N/A,FALSE,"Cash Flow"}</definedName>
    <definedName name="wrn.Cash_Flow." hidden="1">{#N/A,#N/A,FALSE,"Cash Flow"}</definedName>
    <definedName name="wrn.Cash_Flow2." localSheetId="7" hidden="1">{#N/A,#N/A,FALSE,"Cash Flow"}</definedName>
    <definedName name="wrn.Cash_Flow2." hidden="1">{#N/A,#N/A,FALSE,"Cash Flow"}</definedName>
    <definedName name="wrn.CashFlow._.Budget." localSheetId="7" hidden="1">{#N/A,#N/A,FALSE,"FRC";#N/A,#N/A,FALSE,"ExecS";#N/A,#N/A,FALSE,"Summary CF";#N/A,#N/A,FALSE,"Detail CF";#N/A,#N/A,FALSE,"CF Assum";#N/A,#N/A,FALSE,"M Summary CF";#N/A,#N/A,FALSE,"M Detail CF";#N/A,#N/A,FALSE,"OSR";#N/A,#N/A,FALSE,"CTSR";#N/A,#N/A,FALSE,"RTSR";#N/A,#N/A,FALSE,"T Revenue";#N/A,#N/A,FALSE,"RP Trans";#N/A,#N/A,FALSE,"RE Taxes";#N/A,#N/A,FALSE,"S &amp; W";#N/A,#N/A,FALSE,"Cap X";#N/A,#N/A,FALSE,"P Bldg Improv"}</definedName>
    <definedName name="wrn.CashFlow._.Budget." hidden="1">{#N/A,#N/A,FALSE,"FRC";#N/A,#N/A,FALSE,"ExecS";#N/A,#N/A,FALSE,"Summary CF";#N/A,#N/A,FALSE,"Detail CF";#N/A,#N/A,FALSE,"CF Assum";#N/A,#N/A,FALSE,"M Summary CF";#N/A,#N/A,FALSE,"M Detail CF";#N/A,#N/A,FALSE,"OSR";#N/A,#N/A,FALSE,"CTSR";#N/A,#N/A,FALSE,"RTSR";#N/A,#N/A,FALSE,"T Revenue";#N/A,#N/A,FALSE,"RP Trans";#N/A,#N/A,FALSE,"RE Taxes";#N/A,#N/A,FALSE,"S &amp; W";#N/A,#N/A,FALSE,"Cap X";#N/A,#N/A,FALSE,"P Bldg Improv"}</definedName>
    <definedName name="wrn.CCC." localSheetId="7" hidden="1">{#N/A,#N/A,FALSE,"A";#N/A,#N/A,FALSE,"B"}</definedName>
    <definedName name="wrn.CCC." hidden="1">{#N/A,#N/A,FALSE,"A";#N/A,#N/A,FALSE,"B"}</definedName>
    <definedName name="wrn.CCC._.OPEX." localSheetId="7" hidden="1">{#N/A,#N/A,FALSE,"Expense Detail";#N/A,#N/A,FALSE,"Worksheet";#N/A,#N/A,FALSE,"Audit";#N/A,#N/A,FALSE,"Exclusions";#N/A,#N/A,FALSE,"Variance";#N/A,#N/A,FALSE,"Average Occupancy";#N/A,#N/A,FALSE,"Maintenance &amp; Repairs Occ. Adj.";#N/A,#N/A,FALSE,"Cleaning Occupancy Adj.";#N/A,#N/A,FALSE,"Escalatable Expenses 95";#N/A,#N/A,FALSE,"Rec 95";#N/A,#N/A,FALSE,"Statements"}</definedName>
    <definedName name="wrn.CCC._.OPEX." hidden="1">{#N/A,#N/A,FALSE,"Expense Detail";#N/A,#N/A,FALSE,"Worksheet";#N/A,#N/A,FALSE,"Audit";#N/A,#N/A,FALSE,"Exclusions";#N/A,#N/A,FALSE,"Variance";#N/A,#N/A,FALSE,"Average Occupancy";#N/A,#N/A,FALSE,"Maintenance &amp; Repairs Occ. Adj.";#N/A,#N/A,FALSE,"Cleaning Occupancy Adj.";#N/A,#N/A,FALSE,"Escalatable Expenses 95";#N/A,#N/A,FALSE,"Rec 95";#N/A,#N/A,FALSE,"Statements"}</definedName>
    <definedName name="wrn.CF." localSheetId="7" hidden="1">{"CAPITAL",#N/A,FALSE,"Cash Flow";"EQUITY",#N/A,FALSE,"Cash Flow"}</definedName>
    <definedName name="wrn.CF." hidden="1">{"CAPITAL",#N/A,FALSE,"Cash Flow";"EQUITY",#N/A,FALSE,"Cash Flow"}</definedName>
    <definedName name="wrn.CF._.Print." localSheetId="7" hidden="1">{#N/A,#N/A,FALSE,"Cash Flow";#N/A,#N/A,FALSE,"FFO";#N/A,#N/A,FALSE,"Dvlpt Assumptions";#N/A,#N/A,FALSE,"Equity &amp; Constr Financing";#N/A,#N/A,FALSE,"JV Fee Analysis - cash";#N/A,#N/A,FALSE,"JV Fee Analysis - GAAP";#N/A,#N/A,FALSE,"Prop CF Adj";#N/A,#N/A,FALSE,"Land Sales";#N/A,#N/A,FALSE,"Capex, existing";#N/A,#N/A,FALSE,"Capex,97 Budget";#N/A,#N/A,FALSE,"Capex, dvlpt";#N/A,#N/A,FALSE,"Cap overhead";#N/A,#N/A,FALSE,"Project Equity";#N/A,#N/A,FALSE,"Leasing Fees";#N/A,#N/A,FALSE,"Debt";#N/A,#N/A,FALSE,"Capitalized Interest";#N/A,#N/A,FALSE,"FF&amp; E Loan";#N/A,#N/A,FALSE,"Strip loan";#N/A,#N/A,FALSE,"Franklin Loan";#N/A,#N/A,FALSE,"Poto_Gurn Amortiz";#N/A,#N/A,FALSE,"Dividend Distr";#N/A,#N/A,FALSE,"Investment in Partnerships";#N/A,#N/A,FALSE,"JV Ops Cash Flow Adj.";#N/A,#N/A,FALSE,"Ontario";#N/A,#N/A,FALSE,"Ontario-Proj";#N/A,#N/A,FALSE,"Ont Debt";#N/A,#N/A,FALSE,"Grapevine";#N/A,#N/A,FALSE,"Grapevine-Proj";#N/A,#N/A,FALSE,"Arizona";#N/A,#N/A,FALSE,"Arizona - Proj";#N/A,#N/A,FALSE,"Sawgrass Ph III";#N/A,#N/A,FALSE,"Saw Phase III-Proj";#N/A,#N/A,FALSE,"City Center";#N/A,#N/A,FALSE,"City Center-Proj";#N/A,#N/A,FALSE,"Columbus";#N/A,#N/A,FALSE,"Columbus-Proj";#N/A,#N/A,FALSE,"Atlanta";#N/A,#N/A,FALSE,"Atlanta-Proj";#N/A,#N/A,FALSE,"Monee";#N/A,#N/A,FALSE,"Monee-Proj";#N/A,#N/A,FALSE,"Houston";#N/A,#N/A,FALSE,"Houston-Proj";#N/A,#N/A,FALSE,"San Francisco";#N/A,#N/A,FALSE,"San Francisco-Proj";#N/A,#N/A,FALSE,"Meadowlands";#N/A,#N/A,FALSE,"Meadowlands-Proj";#N/A,#N/A,FALSE,"Toronto";#N/A,#N/A,FALSE,"Toronto-Proj"}</definedName>
    <definedName name="wrn.CF._.Print." hidden="1">{#N/A,#N/A,FALSE,"Cash Flow";#N/A,#N/A,FALSE,"FFO";#N/A,#N/A,FALSE,"Dvlpt Assumptions";#N/A,#N/A,FALSE,"Equity &amp; Constr Financing";#N/A,#N/A,FALSE,"JV Fee Analysis - cash";#N/A,#N/A,FALSE,"JV Fee Analysis - GAAP";#N/A,#N/A,FALSE,"Prop CF Adj";#N/A,#N/A,FALSE,"Land Sales";#N/A,#N/A,FALSE,"Capex, existing";#N/A,#N/A,FALSE,"Capex,97 Budget";#N/A,#N/A,FALSE,"Capex, dvlpt";#N/A,#N/A,FALSE,"Cap overhead";#N/A,#N/A,FALSE,"Project Equity";#N/A,#N/A,FALSE,"Leasing Fees";#N/A,#N/A,FALSE,"Debt";#N/A,#N/A,FALSE,"Capitalized Interest";#N/A,#N/A,FALSE,"FF&amp; E Loan";#N/A,#N/A,FALSE,"Strip loan";#N/A,#N/A,FALSE,"Franklin Loan";#N/A,#N/A,FALSE,"Poto_Gurn Amortiz";#N/A,#N/A,FALSE,"Dividend Distr";#N/A,#N/A,FALSE,"Investment in Partnerships";#N/A,#N/A,FALSE,"JV Ops Cash Flow Adj.";#N/A,#N/A,FALSE,"Ontario";#N/A,#N/A,FALSE,"Ontario-Proj";#N/A,#N/A,FALSE,"Ont Debt";#N/A,#N/A,FALSE,"Grapevine";#N/A,#N/A,FALSE,"Grapevine-Proj";#N/A,#N/A,FALSE,"Arizona";#N/A,#N/A,FALSE,"Arizona - Proj";#N/A,#N/A,FALSE,"Sawgrass Ph III";#N/A,#N/A,FALSE,"Saw Phase III-Proj";#N/A,#N/A,FALSE,"City Center";#N/A,#N/A,FALSE,"City Center-Proj";#N/A,#N/A,FALSE,"Columbus";#N/A,#N/A,FALSE,"Columbus-Proj";#N/A,#N/A,FALSE,"Atlanta";#N/A,#N/A,FALSE,"Atlanta-Proj";#N/A,#N/A,FALSE,"Monee";#N/A,#N/A,FALSE,"Monee-Proj";#N/A,#N/A,FALSE,"Houston";#N/A,#N/A,FALSE,"Houston-Proj";#N/A,#N/A,FALSE,"San Francisco";#N/A,#N/A,FALSE,"San Francisco-Proj";#N/A,#N/A,FALSE,"Meadowlands";#N/A,#N/A,FALSE,"Meadowlands-Proj";#N/A,#N/A,FALSE,"Toronto";#N/A,#N/A,FALSE,"Toronto-Proj"}</definedName>
    <definedName name="wrn.CF._1" localSheetId="7" hidden="1">{"CAPITAL",#N/A,FALSE,"Cash Flow";"EQUITY",#N/A,FALSE,"Cash Flow"}</definedName>
    <definedName name="wrn.CF._1" hidden="1">{"CAPITAL",#N/A,FALSE,"Cash Flow";"EQUITY",#N/A,FALSE,"Cash Flow"}</definedName>
    <definedName name="wrn.CF._2" localSheetId="7" hidden="1">{"CAPITAL",#N/A,FALSE,"Cash Flow";"EQUITY",#N/A,FALSE,"Cash Flow"}</definedName>
    <definedName name="wrn.CF._2" hidden="1">{"CAPITAL",#N/A,FALSE,"Cash Flow";"EQUITY",#N/A,FALSE,"Cash Flow"}</definedName>
    <definedName name="wrn.CF._3" localSheetId="7" hidden="1">{"CAPITAL",#N/A,FALSE,"Cash Flow";"EQUITY",#N/A,FALSE,"Cash Flow"}</definedName>
    <definedName name="wrn.CF._3" hidden="1">{"CAPITAL",#N/A,FALSE,"Cash Flow";"EQUITY",#N/A,FALSE,"Cash Flow"}</definedName>
    <definedName name="wrn.cf._a" localSheetId="7" hidden="1">{"CAPITAL",#N/A,FALSE,"Cash Flow";"EQUITY",#N/A,FALSE,"Cash Flow"}</definedName>
    <definedName name="wrn.cf._a" hidden="1">{"CAPITAL",#N/A,FALSE,"Cash Flow";"EQUITY",#N/A,FALSE,"Cash Flow"}</definedName>
    <definedName name="wrn.cf._b" localSheetId="7" hidden="1">{"CAPITAL",#N/A,FALSE,"Cash Flow";"EQUITY",#N/A,FALSE,"Cash Flow"}</definedName>
    <definedName name="wrn.cf._b" hidden="1">{"CAPITAL",#N/A,FALSE,"Cash Flow";"EQUITY",#N/A,FALSE,"Cash Flow"}</definedName>
    <definedName name="wrn.cf._c" localSheetId="7" hidden="1">{"CAPITAL",#N/A,FALSE,"Cash Flow";"EQUITY",#N/A,FALSE,"Cash Flow"}</definedName>
    <definedName name="wrn.cf._c" hidden="1">{"CAPITAL",#N/A,FALSE,"Cash Flow";"EQUITY",#N/A,FALSE,"Cash Flow"}</definedName>
    <definedName name="wrn.cf.1" localSheetId="7" hidden="1">{"CAPITAL",#N/A,FALSE,"Cash Flow";"EQUITY",#N/A,FALSE,"Cash Flow"}</definedName>
    <definedName name="wrn.cf.1" hidden="1">{"CAPITAL",#N/A,FALSE,"Cash Flow";"EQUITY",#N/A,FALSE,"Cash Flow"}</definedName>
    <definedName name="wrn.CHART." localSheetId="7" hidden="1">{"chart",#N/A,FALSE,"RATE"}</definedName>
    <definedName name="wrn.CHART." hidden="1">{"chart",#N/A,FALSE,"RATE"}</definedName>
    <definedName name="wrn.CHART2._.detail." localSheetId="7" hidden="1">{#N/A,#N/A,FALSE,"Chart 2 by Prop Type"}</definedName>
    <definedName name="wrn.CHART2._.detail." hidden="1">{#N/A,#N/A,FALSE,"Chart 2 by Prop Type"}</definedName>
    <definedName name="wrn.check." localSheetId="7" hidden="1">{#N/A,#N/A,FALSE,"Summary";#N/A,#N/A,FALSE,"Project Summary";#N/A,#N/A,FALSE,"Development Cost Summary";#N/A,#N/A,FALSE,"Development Cost Allocation";#N/A,#N/A,FALSE,"Pad Fees";#N/A,#N/A,FALSE,"Costs";#N/A,#N/A,FALSE,"Parking Budget";#N/A,#N/A,FALSE,"Retail Development Budget";#N/A,#N/A,FALSE,"Office Development Budget";#N/A,#N/A,FALSE,"Hotel Development Budget"}</definedName>
    <definedName name="wrn.check." hidden="1">{#N/A,#N/A,FALSE,"Summary";#N/A,#N/A,FALSE,"Project Summary";#N/A,#N/A,FALSE,"Development Cost Summary";#N/A,#N/A,FALSE,"Development Cost Allocation";#N/A,#N/A,FALSE,"Pad Fees";#N/A,#N/A,FALSE,"Costs";#N/A,#N/A,FALSE,"Parking Budget";#N/A,#N/A,FALSE,"Retail Development Budget";#N/A,#N/A,FALSE,"Office Development Budget";#N/A,#N/A,FALSE,"Hotel Development Budget"}</definedName>
    <definedName name="wrn.check.2" localSheetId="7" hidden="1">{#N/A,#N/A,FALSE,"Summary";#N/A,#N/A,FALSE,"Project Summary";#N/A,#N/A,FALSE,"Development Cost Summary";#N/A,#N/A,FALSE,"Development Cost Allocation";#N/A,#N/A,FALSE,"Pad Fees";#N/A,#N/A,FALSE,"Costs";#N/A,#N/A,FALSE,"Parking Budget";#N/A,#N/A,FALSE,"Retail Development Budget";#N/A,#N/A,FALSE,"Office Development Budget";#N/A,#N/A,FALSE,"Hotel Development Budget"}</definedName>
    <definedName name="wrn.check.2" hidden="1">{#N/A,#N/A,FALSE,"Summary";#N/A,#N/A,FALSE,"Project Summary";#N/A,#N/A,FALSE,"Development Cost Summary";#N/A,#N/A,FALSE,"Development Cost Allocation";#N/A,#N/A,FALSE,"Pad Fees";#N/A,#N/A,FALSE,"Costs";#N/A,#N/A,FALSE,"Parking Budget";#N/A,#N/A,FALSE,"Retail Development Budget";#N/A,#N/A,FALSE,"Office Development Budget";#N/A,#N/A,FALSE,"Hotel Development Budget"}</definedName>
    <definedName name="wrn.chesapeake." localSheetId="7" hidden="1">{#N/A,#N/A,FALSE,"FEES";#N/A,#N/A,FALSE,"INTEREST CALC (1998-series A)";#N/A,#N/A,FALSE,"invoice";#N/A,#N/A,FALSE,"activity";#N/A,#N/A,FALSE,"INTEREST CALC (1998-series  B)";#N/A,#N/A,FALSE,"INTEREST CALC (1999-series A)";#N/A,#N/A,FALSE,"INTEREST CALC (2000-series A)";#N/A,#N/A,FALSE,"Bond Redemptions"}</definedName>
    <definedName name="wrn.chesapeake." hidden="1">{#N/A,#N/A,FALSE,"FEES";#N/A,#N/A,FALSE,"INTEREST CALC (1998-series A)";#N/A,#N/A,FALSE,"invoice";#N/A,#N/A,FALSE,"activity";#N/A,#N/A,FALSE,"INTEREST CALC (1998-series  B)";#N/A,#N/A,FALSE,"INTEREST CALC (1999-series A)";#N/A,#N/A,FALSE,"INTEREST CALC (2000-series A)";#N/A,#N/A,FALSE,"Bond Redemptions"}</definedName>
    <definedName name="wrn.Clarie_Bridge." localSheetId="7" hidden="1">{"One",#N/A,FALSE,"Claire Bridge";"Two",#N/A,FALSE,"Claire Bridge";"Three",#N/A,FALSE,"Claire Bridge";"Four",#N/A,FALSE,"Claire Bridge";"Five",#N/A,FALSE,"Claire Bridge"}</definedName>
    <definedName name="wrn.Clarie_Bridge." hidden="1">{"One",#N/A,FALSE,"Claire Bridge";"Two",#N/A,FALSE,"Claire Bridge";"Three",#N/A,FALSE,"Claire Bridge";"Four",#N/A,FALSE,"Claire Bridge";"Five",#N/A,FALSE,"Claire Bridge"}</definedName>
    <definedName name="wrn.cLosing." localSheetId="7" hidden="1">{#N/A,#N/A,FALSE,"cLosing"}</definedName>
    <definedName name="wrn.cLosing." hidden="1">{#N/A,#N/A,FALSE,"cLosing"}</definedName>
    <definedName name="wrn.closing._.statement." localSheetId="7" hidden="1">{"page1",#N/A,FALSE,"CTT_CLO";"page2",#N/A,FALSE,"CTT_CLO"}</definedName>
    <definedName name="wrn.closing._.statement." hidden="1">{"page1",#N/A,FALSE,"CTT_CLO";"page2",#N/A,FALSE,"CTT_CLO"}</definedName>
    <definedName name="wrn.COM." localSheetId="7" hidden="1">{"COM",#N/A,FALSE,"800 10th"}</definedName>
    <definedName name="wrn.COM." hidden="1">{"COM",#N/A,FALSE,"800 10th"}</definedName>
    <definedName name="wrn.COMLAWTC." localSheetId="7" hidden="1">{"Commish",#N/A,FALSE,"LAWTC"}</definedName>
    <definedName name="wrn.COMLAWTC." hidden="1">{"Commish",#N/A,FALSE,"LAWTC"}</definedName>
    <definedName name="wrn.Common._.Area." localSheetId="7" hidden="1">{"CA Summary",#N/A,FALSE,"COMMON AREA EXPENSE SUMMARY";"CA Mainten",#N/A,FALSE,"COMMON AREA MAINTENANCE"}</definedName>
    <definedName name="wrn.Common._.Area." hidden="1">{"CA Summary",#N/A,FALSE,"COMMON AREA EXPENSE SUMMARY";"CA Mainten",#N/A,FALSE,"COMMON AREA MAINTENANCE"}</definedName>
    <definedName name="wrn.Competition." localSheetId="7" hidden="1">{#N/A,#N/A,FALSE,"CompSummary";#N/A,#N/A,FALSE,"Comp1";#N/A,#N/A,FALSE,"Comp2";#N/A,#N/A,FALSE,"Comp3";#N/A,#N/A,FALSE,"Comp4";#N/A,#N/A,FALSE,"Comp5";#N/A,#N/A,FALSE,"Our Prop";#N/A,#N/A,FALSE,"Projection Sheet"}</definedName>
    <definedName name="wrn.Competition." hidden="1">{#N/A,#N/A,FALSE,"CompSummary";#N/A,#N/A,FALSE,"Comp1";#N/A,#N/A,FALSE,"Comp2";#N/A,#N/A,FALSE,"Comp3";#N/A,#N/A,FALSE,"Comp4";#N/A,#N/A,FALSE,"Comp5";#N/A,#N/A,FALSE,"Our Prop";#N/A,#N/A,FALSE,"Projection Sheet"}</definedName>
    <definedName name="wrn.COMPLETE." localSheetId="7" hidden="1">{#N/A,#N/A,FALSE,"COVER";#N/A,#N/A,FALSE,"PROFORMA";#N/A,#N/A,FALSE,"Construction CF";#N/A,#N/A,FALSE,"CASHFLOW";#N/A,#N/A,FALSE,"Sale &amp; IRR Analysis";#N/A,#N/A,FALSE,"Amortization Table";#N/A,#N/A,FALSE,"Amortization FEMA";#N/A,#N/A,FALSE,"INCOME"}</definedName>
    <definedName name="wrn.COMPLETE." hidden="1">{#N/A,#N/A,FALSE,"COVER";#N/A,#N/A,FALSE,"PROFORMA";#N/A,#N/A,FALSE,"Construction CF";#N/A,#N/A,FALSE,"CASHFLOW";#N/A,#N/A,FALSE,"Sale &amp; IRR Analysis";#N/A,#N/A,FALSE,"Amortization Table";#N/A,#N/A,FALSE,"Amortization FEMA";#N/A,#N/A,FALSE,"INCOME"}</definedName>
    <definedName name="wrn.Complete._.Budget.1Dev" localSheetId="7" hidden="1">{#N/A,#N/A,TRUE,"Budget";#N/A,#N/A,TRUE,"Revenue &amp; COGS"}</definedName>
    <definedName name="wrn.Complete._.Budget.1Dev" hidden="1">{#N/A,#N/A,TRUE,"Budget";#N/A,#N/A,TRUE,"Revenue &amp; COGS"}</definedName>
    <definedName name="wrn.Complete._.BudgetDev" localSheetId="7" hidden="1">{#N/A,#N/A,TRUE,"Budget";#N/A,#N/A,TRUE,"Revenue &amp; COGS"}</definedName>
    <definedName name="wrn.Complete._.BudgetDev" hidden="1">{#N/A,#N/A,TRUE,"Budget";#N/A,#N/A,TRUE,"Revenue &amp; COGS"}</definedName>
    <definedName name="wrn.Complete._.Model." localSheetId="7" hidden="1">{#N/A,#N/A,FALSE,"Assumptions";#N/A,#N/A,FALSE,"AcqShares";#N/A,#N/A,FALSE,"TgtShares";#N/A,#N/A,FALSE,"Acq IS";#N/A,#N/A,FALSE,"Tgt IS";#N/A,#N/A,FALSE,"PFIS";#N/A,#N/A,FALSE,"MergerAnalysis";#N/A,#N/A,FALSE,"Contribution";#N/A,#N/A,FALSE,"SumStat"}</definedName>
    <definedName name="wrn.Complete._.Model." hidden="1">{#N/A,#N/A,FALSE,"Assumptions";#N/A,#N/A,FALSE,"AcqShares";#N/A,#N/A,FALSE,"TgtShares";#N/A,#N/A,FALSE,"Acq IS";#N/A,#N/A,FALSE,"Tgt IS";#N/A,#N/A,FALSE,"PFIS";#N/A,#N/A,FALSE,"MergerAnalysis";#N/A,#N/A,FALSE,"Contribution";#N/A,#N/A,FALSE,"SumStat"}</definedName>
    <definedName name="wrn.Complete._.Package." localSheetId="7" hidden="1">{"Summary Including DHC",#N/A,TRUE,"SUMMARY";"Financial Assumptions",#N/A,TRUE,"Financial Assumptions";"Sources &amp; Uses",#N/A,TRUE,"Financial Assumptions";"History &amp; Projection",#N/A,TRUE,"History - Proforma"}</definedName>
    <definedName name="wrn.Complete._.Package." hidden="1">{"Summary Including DHC",#N/A,TRUE,"SUMMARY";"Financial Assumptions",#N/A,TRUE,"Financial Assumptions";"Sources &amp; Uses",#N/A,TRUE,"Financial Assumptions";"History &amp; Projection",#N/A,TRUE,"History - Proforma"}</definedName>
    <definedName name="wrn.Complete._.Review." localSheetId="7" hidden="1">{#N/A,#N/A,FALSE,"Occ and Rate";#N/A,#N/A,FALSE,"PF Input";#N/A,#N/A,FALSE,"Capital Input";#N/A,#N/A,FALSE,"Proforma Five Yr";#N/A,#N/A,FALSE,"Calculations";#N/A,#N/A,FALSE,"Transaction Summary-DTW"}</definedName>
    <definedName name="wrn.Complete._.Review." hidden="1">{#N/A,#N/A,FALSE,"Occ and Rate";#N/A,#N/A,FALSE,"PF Input";#N/A,#N/A,FALSE,"Capital Input";#N/A,#N/A,FALSE,"Proforma Five Yr";#N/A,#N/A,FALSE,"Calculations";#N/A,#N/A,FALSE,"Transaction Summary-DTW"}</definedName>
    <definedName name="wrn.COMPLETE._1" localSheetId="7" hidden="1">{#N/A,#N/A,FALSE,"COVER";#N/A,#N/A,FALSE,"PROFORMA";#N/A,#N/A,FALSE,"Construction CF";#N/A,#N/A,FALSE,"CASHFLOW";#N/A,#N/A,FALSE,"Sale &amp; IRR Analysis";#N/A,#N/A,FALSE,"Amortization Table";#N/A,#N/A,FALSE,"Amortization FEMA";#N/A,#N/A,FALSE,"INCOME"}</definedName>
    <definedName name="wrn.COMPLETE._1" hidden="1">{#N/A,#N/A,FALSE,"COVER";#N/A,#N/A,FALSE,"PROFORMA";#N/A,#N/A,FALSE,"Construction CF";#N/A,#N/A,FALSE,"CASHFLOW";#N/A,#N/A,FALSE,"Sale &amp; IRR Analysis";#N/A,#N/A,FALSE,"Amortization Table";#N/A,#N/A,FALSE,"Amortization FEMA";#N/A,#N/A,FALSE,"INCOME"}</definedName>
    <definedName name="wrn.COMPLETE._2" localSheetId="7" hidden="1">{#N/A,#N/A,FALSE,"COVER";#N/A,#N/A,FALSE,"PROFORMA";#N/A,#N/A,FALSE,"Construction CF";#N/A,#N/A,FALSE,"CASHFLOW";#N/A,#N/A,FALSE,"Sale &amp; IRR Analysis";#N/A,#N/A,FALSE,"Amortization Table";#N/A,#N/A,FALSE,"Amortization FEMA";#N/A,#N/A,FALSE,"INCOME"}</definedName>
    <definedName name="wrn.COMPLETE._2" hidden="1">{#N/A,#N/A,FALSE,"COVER";#N/A,#N/A,FALSE,"PROFORMA";#N/A,#N/A,FALSE,"Construction CF";#N/A,#N/A,FALSE,"CASHFLOW";#N/A,#N/A,FALSE,"Sale &amp; IRR Analysis";#N/A,#N/A,FALSE,"Amortization Table";#N/A,#N/A,FALSE,"Amortization FEMA";#N/A,#N/A,FALSE,"INCOME"}</definedName>
    <definedName name="wrn.COMPLETE._3" localSheetId="7" hidden="1">{#N/A,#N/A,FALSE,"COVER";#N/A,#N/A,FALSE,"PROFORMA";#N/A,#N/A,FALSE,"Construction CF";#N/A,#N/A,FALSE,"CASHFLOW";#N/A,#N/A,FALSE,"Sale &amp; IRR Analysis";#N/A,#N/A,FALSE,"Amortization Table";#N/A,#N/A,FALSE,"Amortization FEMA";#N/A,#N/A,FALSE,"INCOME"}</definedName>
    <definedName name="wrn.COMPLETE._3" hidden="1">{#N/A,#N/A,FALSE,"COVER";#N/A,#N/A,FALSE,"PROFORMA";#N/A,#N/A,FALSE,"Construction CF";#N/A,#N/A,FALSE,"CASHFLOW";#N/A,#N/A,FALSE,"Sale &amp; IRR Analysis";#N/A,#N/A,FALSE,"Amortization Table";#N/A,#N/A,FALSE,"Amortization FEMA";#N/A,#N/A,FALSE,"INCOME"}</definedName>
    <definedName name="wrn.COMPLETE._4" localSheetId="7" hidden="1">{#N/A,#N/A,FALSE,"COVER";#N/A,#N/A,FALSE,"PROFORMA";#N/A,#N/A,FALSE,"Construction CF";#N/A,#N/A,FALSE,"CASHFLOW";#N/A,#N/A,FALSE,"Sale &amp; IRR Analysis";#N/A,#N/A,FALSE,"Amortization Table";#N/A,#N/A,FALSE,"Amortization FEMA";#N/A,#N/A,FALSE,"INCOME"}</definedName>
    <definedName name="wrn.COMPLETE._4" hidden="1">{#N/A,#N/A,FALSE,"COVER";#N/A,#N/A,FALSE,"PROFORMA";#N/A,#N/A,FALSE,"Construction CF";#N/A,#N/A,FALSE,"CASHFLOW";#N/A,#N/A,FALSE,"Sale &amp; IRR Analysis";#N/A,#N/A,FALSE,"Amortization Table";#N/A,#N/A,FALSE,"Amortization FEMA";#N/A,#N/A,FALSE,"INCOME"}</definedName>
    <definedName name="wrn.COMPLETE._5" localSheetId="7" hidden="1">{#N/A,#N/A,FALSE,"COVER";#N/A,#N/A,FALSE,"PROFORMA";#N/A,#N/A,FALSE,"Construction CF";#N/A,#N/A,FALSE,"CASHFLOW";#N/A,#N/A,FALSE,"Sale &amp; IRR Analysis";#N/A,#N/A,FALSE,"Amortization Table";#N/A,#N/A,FALSE,"Amortization FEMA";#N/A,#N/A,FALSE,"INCOME"}</definedName>
    <definedName name="wrn.COMPLETE._5" hidden="1">{#N/A,#N/A,FALSE,"COVER";#N/A,#N/A,FALSE,"PROFORMA";#N/A,#N/A,FALSE,"Construction CF";#N/A,#N/A,FALSE,"CASHFLOW";#N/A,#N/A,FALSE,"Sale &amp; IRR Analysis";#N/A,#N/A,FALSE,"Amortization Table";#N/A,#N/A,FALSE,"Amortization FEMA";#N/A,#N/A,FALSE,"INCOME"}</definedName>
    <definedName name="wrn.complete._99" localSheetId="7" hidden="1">{#N/A,#N/A,FALSE,"COVER";#N/A,#N/A,FALSE,"PROFORMA";#N/A,#N/A,FALSE,"Construction CF";#N/A,#N/A,FALSE,"CASHFLOW";#N/A,#N/A,FALSE,"Sale &amp; IRR Analysis";#N/A,#N/A,FALSE,"Amortization Table";#N/A,#N/A,FALSE,"Amortization FEMA";#N/A,#N/A,FALSE,"INCOME"}</definedName>
    <definedName name="wrn.complete._99" hidden="1">{#N/A,#N/A,FALSE,"COVER";#N/A,#N/A,FALSE,"PROFORMA";#N/A,#N/A,FALSE,"Construction CF";#N/A,#N/A,FALSE,"CASHFLOW";#N/A,#N/A,FALSE,"Sale &amp; IRR Analysis";#N/A,#N/A,FALSE,"Amortization Table";#N/A,#N/A,FALSE,"Amortization FEMA";#N/A,#N/A,FALSE,"INCOME"}</definedName>
    <definedName name="wrn.Complete.2" localSheetId="7"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2"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3" localSheetId="7"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3"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s._.and._.DCF_LBO." localSheetId="7" hidden="1">{#N/A,#N/A,FALSE,"MKT.COMPS";#N/A,#N/A,FALSE,"DCF - LBO"}</definedName>
    <definedName name="wrn.comps._.and._.DCF_LBO." hidden="1">{#N/A,#N/A,FALSE,"MKT.COMPS";#N/A,#N/A,FALSE,"DCF - LBO"}</definedName>
    <definedName name="wrn.condensed." localSheetId="7" hidden="1">{#N/A,#N/A,FALSE,"Unconsolidated Debt"}</definedName>
    <definedName name="wrn.condensed." hidden="1">{#N/A,#N/A,FALSE,"Unconsolidated Debt"}</definedName>
    <definedName name="wrn.Consolidating." localSheetId="7" hidden="1">{"Consolidated IS",#N/A,FALSE,"Consolidated IS";"Consolidated Detail IS",#N/A,FALSE,"Consolidated Detail IS";"Consolidated Detail Supplemental Info",#N/A,FALSE,"Consolidated Detail IS";"Consolidated CF",#N/A,FALSE,"Consolidated CF";"Consolidated BS",#N/A,FALSE,"Consolidated BS";"Consolidating 1999 Detail IS",#N/A,FALSE,"1999 Detail IS";"Consolidated 1999 Supplemental Info",#N/A,FALSE,"1999 Detail IS";"Consolidating 1998 Detail IS",#N/A,FALSE,"1998 Detail IS";"Consolidating 1998 Supplemental Info",#N/A,FALSE,"1998 Detail IS";"Consolidating 1997 Detail IS",#N/A,FALSE,"1997 Detail IS";"Consolidated 1997 Supplemental Info",#N/A,FALSE,"1997 Detail IS"}</definedName>
    <definedName name="wrn.Consolidating." hidden="1">{"Consolidated IS",#N/A,FALSE,"Consolidated IS";"Consolidated Detail IS",#N/A,FALSE,"Consolidated Detail IS";"Consolidated Detail Supplemental Info",#N/A,FALSE,"Consolidated Detail IS";"Consolidated CF",#N/A,FALSE,"Consolidated CF";"Consolidated BS",#N/A,FALSE,"Consolidated BS";"Consolidating 1999 Detail IS",#N/A,FALSE,"1999 Detail IS";"Consolidated 1999 Supplemental Info",#N/A,FALSE,"1999 Detail IS";"Consolidating 1998 Detail IS",#N/A,FALSE,"1998 Detail IS";"Consolidating 1998 Supplemental Info",#N/A,FALSE,"1998 Detail IS";"Consolidating 1997 Detail IS",#N/A,FALSE,"1997 Detail IS";"Consolidated 1997 Supplemental Info",#N/A,FALSE,"1997 Detail IS"}</definedName>
    <definedName name="wrn.Const_Monthly." localSheetId="7" hidden="1">{"Const_Monthly",#N/A,FALSE,"Construction"}</definedName>
    <definedName name="wrn.Const_Monthly." hidden="1">{"Const_Monthly",#N/A,FALSE,"Construction"}</definedName>
    <definedName name="wrn.Const_Monthly2." localSheetId="7" hidden="1">{"Const_Monthly",#N/A,FALSE,"Construction"}</definedName>
    <definedName name="wrn.Const_Monthly2." hidden="1">{"Const_Monthly",#N/A,FALSE,"Construction"}</definedName>
    <definedName name="wrn.Construction._.and._.Leasing." localSheetId="7" hidden="1">{"Construction Yr 1",#N/A,FALSE,"constr&amp;l-up (30%Equity)";"Construction Yr 2",#N/A,FALSE,"constr&amp;l-up (30%Equity)";"Lease Analysis Yr 1",#N/A,FALSE,"constr&amp;l-up (30%Equity)";"Lease Analysis Yr 2",#N/A,FALSE,"constr&amp;l-up (30%Equity)"}</definedName>
    <definedName name="wrn.Construction._.and._.Leasing." hidden="1">{"Construction Yr 1",#N/A,FALSE,"constr&amp;l-up (30%Equity)";"Construction Yr 2",#N/A,FALSE,"constr&amp;l-up (30%Equity)";"Lease Analysis Yr 1",#N/A,FALSE,"constr&amp;l-up (30%Equity)";"Lease Analysis Yr 2",#N/A,FALSE,"constr&amp;l-up (30%Equity)"}</definedName>
    <definedName name="wrn.Construction._.Costs." localSheetId="7" hidden="1">{"Construction Costs",#N/A,FALSE,"Total Costs"}</definedName>
    <definedName name="wrn.Construction._.Costs." hidden="1">{"Construction Costs",#N/A,FALSE,"Total Costs"}</definedName>
    <definedName name="wrn.Construction_Summary." localSheetId="7" hidden="1">{#N/A,#N/A,FALSE,"Construction"}</definedName>
    <definedName name="wrn.Construction_Summary." hidden="1">{#N/A,#N/A,FALSE,"Construction"}</definedName>
    <definedName name="wrn.Construction_Summary2." localSheetId="7" hidden="1">{#N/A,#N/A,FALSE,"Construction"}</definedName>
    <definedName name="wrn.Construction_Summary2." hidden="1">{#N/A,#N/A,FALSE,"Construction"}</definedName>
    <definedName name="wrn.contribution." localSheetId="7" hidden="1">{#N/A,#N/A,FALSE,"Contribution Analysis"}</definedName>
    <definedName name="wrn.contribution." hidden="1">{#N/A,#N/A,FALSE,"Contribution Analysis"}</definedName>
    <definedName name="wrn.contribution.1" localSheetId="7" hidden="1">{#N/A,#N/A,FALSE,"Contribution Analysis"}</definedName>
    <definedName name="wrn.contribution.1" hidden="1">{#N/A,#N/A,FALSE,"Contribution Analysis"}</definedName>
    <definedName name="wrn.Control._.Sheet." localSheetId="7" hidden="1">{#N/A,#N/A,FALSE,"CONTROL"}</definedName>
    <definedName name="wrn.Control._.Sheet." hidden="1">{#N/A,#N/A,FALSE,"CONTROL"}</definedName>
    <definedName name="wrn.Control_A." localSheetId="7" hidden="1">{#N/A,#N/A,FALSE,"Notes";#N/A,#N/A,FALSE,"CFD Summary";#N/A,#N/A,FALSE,"Loan Value";#N/A,#N/A,FALSE,"CashFlowSummary";#N/A,#N/A,FALSE,"InvestorSummary";#N/A,#N/A,FALSE,"RevenueAssumptions";#N/A,#N/A,FALSE,"MasterCostAssmp";#N/A,#N/A,FALSE,"InTractCstAssmp";#N/A,#N/A,FALSE,"LotTakedowns"}</definedName>
    <definedName name="wrn.Control_A." hidden="1">{#N/A,#N/A,FALSE,"Notes";#N/A,#N/A,FALSE,"CFD Summary";#N/A,#N/A,FALSE,"Loan Value";#N/A,#N/A,FALSE,"CashFlowSummary";#N/A,#N/A,FALSE,"InvestorSummary";#N/A,#N/A,FALSE,"RevenueAssumptions";#N/A,#N/A,FALSE,"MasterCostAssmp";#N/A,#N/A,FALSE,"InTractCstAssmp";#N/A,#N/A,FALSE,"LotTakedowns"}</definedName>
    <definedName name="wrn.Cost._.Plan._.Report." localSheetId="7" hidden="1">{"Summary",#N/A,TRUE,"Summary";"Cost Plan",#N/A,TRUE,"Cost Plan"}</definedName>
    <definedName name="wrn.Cost._.Plan._.Report." hidden="1">{"Summary",#N/A,TRUE,"Summary";"Cost Plan",#N/A,TRUE,"Cost Plan"}</definedName>
    <definedName name="wrn.Cost._.Report." localSheetId="7" hidden="1">{#N/A,#N/A,TRUE,"COVER";#N/A,#N/A,TRUE,"DETAILS";#N/A,#N/A,TRUE,"SUMMARY";#N/A,#N/A,TRUE,"EXP_MON";#N/A,#N/A,TRUE,"APPENDIX_A";#N/A,#N/A,TRUE,"APPENDIX_B";#N/A,#N/A,TRUE,"APPENDIX_C";#N/A,#N/A,TRUE,"APPENDIX_D";#N/A,#N/A,TRUE,"APPENDIX_E"}</definedName>
    <definedName name="wrn.Cost._.Report." hidden="1">{#N/A,#N/A,TRUE,"COVER";#N/A,#N/A,TRUE,"DETAILS";#N/A,#N/A,TRUE,"SUMMARY";#N/A,#N/A,TRUE,"EXP_MON";#N/A,#N/A,TRUE,"APPENDIX_A";#N/A,#N/A,TRUE,"APPENDIX_B";#N/A,#N/A,TRUE,"APPENDIX_C";#N/A,#N/A,TRUE,"APPENDIX_D";#N/A,#N/A,TRUE,"APPENDIX_E"}</definedName>
    <definedName name="wrn.cotop._1" localSheetId="7" hidden="1">{"ReportTop",#N/A,FALSE,"report top"}</definedName>
    <definedName name="wrn.cotop._1" hidden="1">{"ReportTop",#N/A,FALSE,"report top"}</definedName>
    <definedName name="wrn.cotop._1_1" localSheetId="7" hidden="1">{"ReportTop",#N/A,FALSE,"report top"}</definedName>
    <definedName name="wrn.cotop._1_1" hidden="1">{"ReportTop",#N/A,FALSE,"report top"}</definedName>
    <definedName name="wrn.cotop._1_1_1" localSheetId="7" hidden="1">{"ReportTop",#N/A,FALSE,"report top"}</definedName>
    <definedName name="wrn.cotop._1_1_1" hidden="1">{"ReportTop",#N/A,FALSE,"report top"}</definedName>
    <definedName name="wrn.cotop._1_2" localSheetId="7" hidden="1">{"ReportTop",#N/A,FALSE,"report top"}</definedName>
    <definedName name="wrn.cotop._1_2" hidden="1">{"ReportTop",#N/A,FALSE,"report top"}</definedName>
    <definedName name="wrn.cotop._1_3" localSheetId="7" hidden="1">{"ReportTop",#N/A,FALSE,"report top"}</definedName>
    <definedName name="wrn.cotop._1_3" hidden="1">{"ReportTop",#N/A,FALSE,"report top"}</definedName>
    <definedName name="wrn.cotop._1_4" localSheetId="7" hidden="1">{"ReportTop",#N/A,FALSE,"report top"}</definedName>
    <definedName name="wrn.cotop._1_4" hidden="1">{"ReportTop",#N/A,FALSE,"report top"}</definedName>
    <definedName name="wrn.cotop._1_5" localSheetId="7" hidden="1">{"ReportTop",#N/A,FALSE,"report top"}</definedName>
    <definedName name="wrn.cotop._1_5" hidden="1">{"ReportTop",#N/A,FALSE,"report top"}</definedName>
    <definedName name="wrn.cotop._2" localSheetId="7" hidden="1">{"ReportTop",#N/A,FALSE,"report top"}</definedName>
    <definedName name="wrn.cotop._2" hidden="1">{"ReportTop",#N/A,FALSE,"report top"}</definedName>
    <definedName name="wrn.cotop._3" localSheetId="7" hidden="1">{"ReportTop",#N/A,FALSE,"report top"}</definedName>
    <definedName name="wrn.cotop._3" hidden="1">{"ReportTop",#N/A,FALSE,"report top"}</definedName>
    <definedName name="wrn.cotop._4" localSheetId="7" hidden="1">{"ReportTop",#N/A,FALSE,"report top"}</definedName>
    <definedName name="wrn.cotop._4" hidden="1">{"ReportTop",#N/A,FALSE,"report top"}</definedName>
    <definedName name="wrn.cotop._5" localSheetId="7" hidden="1">{"ReportTop",#N/A,FALSE,"report top"}</definedName>
    <definedName name="wrn.cotop._5" hidden="1">{"ReportTop",#N/A,FALSE,"report top"}</definedName>
    <definedName name="wrn.Cottage._.Summary." localSheetId="7" hidden="1">{"cot1",#N/A,FALSE,"Cottages";"cot2",#N/A,FALSE,"Cottages";"cot3",#N/A,FALSE,"Cottages"}</definedName>
    <definedName name="wrn.Cottage._.Summary." hidden="1">{"cot1",#N/A,FALSE,"Cottages";"cot2",#N/A,FALSE,"Cottages";"cot3",#N/A,FALSE,"Cottages"}</definedName>
    <definedName name="wrn.Covenants." localSheetId="7" hidden="1">{#N/A,#N/A,FALSE,"Cov Test Annual";#N/A,#N/A,FALSE,"Cov Inputs"}</definedName>
    <definedName name="wrn.Covenants." hidden="1">{#N/A,#N/A,FALSE,"Cov Test Annual";#N/A,#N/A,FALSE,"Cov Inputs"}</definedName>
    <definedName name="wrn.Cover." localSheetId="7" hidden="1">{"coverall",#N/A,FALSE,"Definitions";"cover1",#N/A,FALSE,"Definitions";"cover2",#N/A,FALSE,"Definitions";"cover3",#N/A,FALSE,"Definitions";"cover4",#N/A,FALSE,"Definitions";"cover5",#N/A,FALSE,"Definitions";"blank",#N/A,FALSE,"Definitions"}</definedName>
    <definedName name="wrn.Cover." hidden="1">{"coverall",#N/A,FALSE,"Definitions";"cover1",#N/A,FALSE,"Definitions";"cover2",#N/A,FALSE,"Definitions";"cover3",#N/A,FALSE,"Definitions";"cover4",#N/A,FALSE,"Definitions";"cover5",#N/A,FALSE,"Definitions";"blank",#N/A,FALSE,"Definitions"}</definedName>
    <definedName name="wrn.Credit._.Summary." localSheetId="7" hidden="1">{#N/A,#N/A,FALSE,"CREDIT"}</definedName>
    <definedName name="wrn.Credit._.Summary." hidden="1">{#N/A,#N/A,FALSE,"CREDIT"}</definedName>
    <definedName name="wrn.Crossings." localSheetId="7" hidden="1">{"One",#N/A,FALSE,"Crossings";"Two",#N/A,FALSE,"Crossings";"Three",#N/A,FALSE,"Crossings";"Fous",#N/A,FALSE,"Crossings";"Five",#N/A,FALSE,"Crossings"}</definedName>
    <definedName name="wrn.Crossings." hidden="1">{"One",#N/A,FALSE,"Crossings";"Two",#N/A,FALSE,"Crossings";"Three",#N/A,FALSE,"Crossings";"Fous",#N/A,FALSE,"Crossings";"Five",#N/A,FALSE,"Crossings"}</definedName>
    <definedName name="wrn.crossroads." localSheetId="7" hidden="1">{#N/A,#N/A,FALSE,"RENT ROLL";#N/A,#N/A,FALSE,"CAM";#N/A,#N/A,FALSE,"TAXES";#N/A,#N/A,FALSE,"INSURANCE";#N/A,#N/A,FALSE,"HVAC";#N/A,#N/A,FALSE,"MARKETING"}</definedName>
    <definedName name="wrn.crossroads." hidden="1">{#N/A,#N/A,FALSE,"RENT ROLL";#N/A,#N/A,FALSE,"CAM";#N/A,#N/A,FALSE,"TAXES";#N/A,#N/A,FALSE,"INSURANCE";#N/A,#N/A,FALSE,"HVAC";#N/A,#N/A,FALSE,"MARKETING"}</definedName>
    <definedName name="wrn.CS1." localSheetId="7" hidden="1">{#N/A,#N/A,FALSE,"Closing";#N/A,#N/A,FALSE,"Sources";#N/A,#N/A,FALSE,"Taxes (A)";#N/A,#N/A,FALSE,"Prepaid (B)";#N/A,#N/A,FALSE,"Service (C)";#N/A,#N/A,FALSE,"RR (D)"}</definedName>
    <definedName name="wrn.CS1." hidden="1">{#N/A,#N/A,FALSE,"Closing";#N/A,#N/A,FALSE,"Sources";#N/A,#N/A,FALSE,"Taxes (A)";#N/A,#N/A,FALSE,"Prepaid (B)";#N/A,#N/A,FALSE,"Service (C)";#N/A,#N/A,FALSE,"RR (D)"}</definedName>
    <definedName name="wrn.csc." localSheetId="7" hidden="1">{"orixcsc",#N/A,FALSE,"ORIX CSC";"orixcsc2",#N/A,FALSE,"ORIX CSC"}</definedName>
    <definedName name="wrn.csc." hidden="1">{"orixcsc",#N/A,FALSE,"ORIX CSC";"orixcsc2",#N/A,FALSE,"ORIX CSC"}</definedName>
    <definedName name="wrn.csc.1" localSheetId="7" hidden="1">{"orixcsc",#N/A,FALSE,"ORIX CSC";"orixcsc2",#N/A,FALSE,"ORIX CSC"}</definedName>
    <definedName name="wrn.csc.1" hidden="1">{"orixcsc",#N/A,FALSE,"ORIX CSC";"orixcsc2",#N/A,FALSE,"ORIX CSC"}</definedName>
    <definedName name="wrn.csc.3" localSheetId="7" hidden="1">{#N/A,#N/A,FALSE,"ORIX CSC"}</definedName>
    <definedName name="wrn.csc.3" hidden="1">{#N/A,#N/A,FALSE,"ORIX CSC"}</definedName>
    <definedName name="wrn.csc2." localSheetId="7" hidden="1">{#N/A,#N/A,FALSE,"ORIX CSC"}</definedName>
    <definedName name="wrn.csc2." hidden="1">{#N/A,#N/A,FALSE,"ORIX CSC"}</definedName>
    <definedName name="wrn.cssa." localSheetId="7" hidden="1">{#N/A,#N/A,FALSE,"WATCHDSC";#N/A,#N/A,FALSE,"2LOSSMOD";#N/A,#N/A,FALSE,"2LOSS";#N/A,#N/A,FALSE,"DSC";#N/A,#N/A,FALSE,"OPERAT";#N/A,#N/A,FALSE,"ADJUST";#N/A,#N/A,FALSE,"LEASE EXPIRE"}</definedName>
    <definedName name="wrn.cssa." hidden="1">{#N/A,#N/A,FALSE,"WATCHDSC";#N/A,#N/A,FALSE,"2LOSSMOD";#N/A,#N/A,FALSE,"2LOSS";#N/A,#N/A,FALSE,"DSC";#N/A,#N/A,FALSE,"OPERAT";#N/A,#N/A,FALSE,"ADJUST";#N/A,#N/A,FALSE,"LEASE EXPIRE"}</definedName>
    <definedName name="wrn.Ctrl._.A._.Annually." localSheetId="7" hidden="1">{#N/A,#N/A,FALSE,"Notes";"CashFlowSummary Annually",#N/A,FALSE,"CashFlowSummary";"InvestorSummary Annually",#N/A,FALSE,"InvestorSummary";#N/A,#N/A,FALSE,"RevenueAssumptions";"MasterCostAssmp Annually",#N/A,FALSE,"MasterCostAssmp";#N/A,#N/A,FALSE,"InTractCstAssmp";"LotTakedowns Annually",#N/A,FALSE,"LotTakedowns"}</definedName>
    <definedName name="wrn.Ctrl._.A._.Annually." hidden="1">{#N/A,#N/A,FALSE,"Notes";"CashFlowSummary Annually",#N/A,FALSE,"CashFlowSummary";"InvestorSummary Annually",#N/A,FALSE,"InvestorSummary";#N/A,#N/A,FALSE,"RevenueAssumptions";"MasterCostAssmp Annually",#N/A,FALSE,"MasterCostAssmp";#N/A,#N/A,FALSE,"InTractCstAssmp";"LotTakedowns Annually",#N/A,FALSE,"LotTakedowns"}</definedName>
    <definedName name="wrn.Ctrl._.A._.Quarterly." localSheetId="7" hidden="1">{#N/A,#N/A,FALSE,"Notes";#N/A,#N/A,FALSE,"Loan Value";"CashFlowSummary Quarterly",#N/A,FALSE,"CashFlowSummary";"InvestorSummary Quarterly",#N/A,FALSE,"InvestorSummary";#N/A,#N/A,FALSE,"RevenueAssumptions";"MasterCostAssmp Quarterly",#N/A,FALSE,"MasterCostAssmp";#N/A,#N/A,FALSE,"InTractCstAssmp";"Lot Takedowns Quarterly",#N/A,FALSE,"LotTakedowns"}</definedName>
    <definedName name="wrn.Ctrl._.A._.Quarterly." hidden="1">{#N/A,#N/A,FALSE,"Notes";#N/A,#N/A,FALSE,"Loan Value";"CashFlowSummary Quarterly",#N/A,FALSE,"CashFlowSummary";"InvestorSummary Quarterly",#N/A,FALSE,"InvestorSummary";#N/A,#N/A,FALSE,"RevenueAssumptions";"MasterCostAssmp Quarterly",#N/A,FALSE,"MasterCostAssmp";#N/A,#N/A,FALSE,"InTractCstAssmp";"Lot Takedowns Quarterly",#N/A,FALSE,"LotTakedowns"}</definedName>
    <definedName name="wrn.Ctrl._.M." localSheetId="7" hidden="1">{#N/A,#N/A,FALSE,"Project Summary";#N/A,#N/A,FALSE,"Notes";#N/A,#N/A,FALSE,"BaseAssumptions";#N/A,#N/A,FALSE,"CFD Summary";#N/A,#N/A,FALSE,"RevenueAssumptions";#N/A,#N/A,FALSE,"MasterCostAssmp";#N/A,#N/A,FALSE,"InTractCstAssmp";#N/A,#N/A,FALSE,"LotTakedowns";#N/A,#N/A,FALSE,"CashFlowSummary";#N/A,#N/A,FALSE,"FlowSummary";#N/A,#N/A,FALSE,"Consolidated Loan";#N/A,#N/A,FALSE,"SourcesAndUses";#N/A,#N/A,FALSE,"CashDistribute";#N/A,#N/A,FALSE,"InvestorSummary";#N/A,#N/A,FALSE,"Finance Summary";#N/A,#N/A,FALSE,"SourceAndUse";#N/A,#N/A,FALSE,"Valuation"}</definedName>
    <definedName name="wrn.Ctrl._.M." hidden="1">{#N/A,#N/A,FALSE,"Project Summary";#N/A,#N/A,FALSE,"Notes";#N/A,#N/A,FALSE,"BaseAssumptions";#N/A,#N/A,FALSE,"CFD Summary";#N/A,#N/A,FALSE,"RevenueAssumptions";#N/A,#N/A,FALSE,"MasterCostAssmp";#N/A,#N/A,FALSE,"InTractCstAssmp";#N/A,#N/A,FALSE,"LotTakedowns";#N/A,#N/A,FALSE,"CashFlowSummary";#N/A,#N/A,FALSE,"FlowSummary";#N/A,#N/A,FALSE,"Consolidated Loan";#N/A,#N/A,FALSE,"SourcesAndUses";#N/A,#N/A,FALSE,"CashDistribute";#N/A,#N/A,FALSE,"InvestorSummary";#N/A,#N/A,FALSE,"Finance Summary";#N/A,#N/A,FALSE,"SourceAndUse";#N/A,#N/A,FALSE,"Valuation"}</definedName>
    <definedName name="wrn.Ctrl._.M._.Annually." localSheetId="7" hidden="1">{#N/A,#N/A,FALSE,"Notes";#N/A,#N/A,FALSE,"BaseAssumptions";#N/A,#N/A,FALSE,"CFD";#N/A,#N/A,FALSE,"RevenueAssumptions";"MasterCostAssmp Annually",#N/A,FALSE,"MasterCostAssmp";#N/A,#N/A,FALSE,"InTractCstAssmp";"LotTakedowns Annually",#N/A,FALSE,"LotTakedowns";"CashFlowSummary Annually",#N/A,FALSE,"CashFlowSummary";#N/A,#N/A,FALSE,"Loan Value";"AcqDev Loan Annually",#N/A,FALSE,"AcqDev Loan";"Loan #1 Annually",#N/A,FALSE,"Loan #1";"Loan #2 Annually",#N/A,FALSE,"Loan #2";"Loan #3 Annually",#N/A,FALSE,"Loan #3";"Consolidated Loan Annually",#N/A,FALSE,"Consolidated Loan";"FlowSummary Annually",#N/A,FALSE,"FlowSummary";"SourcesAndUses Annually",#N/A,FALSE,"SourcesAndUses";"CashDistribute Annually",#N/A,FALSE,"CashDistribute";"InvestorSummary Annually",#N/A,FALSE,"InvestorSummary";#N/A,#N/A,FALSE,"Finance Summary";#N/A,#N/A,FALSE,"Valuation"}</definedName>
    <definedName name="wrn.Ctrl._.M._.Annually." hidden="1">{#N/A,#N/A,FALSE,"Notes";#N/A,#N/A,FALSE,"BaseAssumptions";#N/A,#N/A,FALSE,"CFD";#N/A,#N/A,FALSE,"RevenueAssumptions";"MasterCostAssmp Annually",#N/A,FALSE,"MasterCostAssmp";#N/A,#N/A,FALSE,"InTractCstAssmp";"LotTakedowns Annually",#N/A,FALSE,"LotTakedowns";"CashFlowSummary Annually",#N/A,FALSE,"CashFlowSummary";#N/A,#N/A,FALSE,"Loan Value";"AcqDev Loan Annually",#N/A,FALSE,"AcqDev Loan";"Loan #1 Annually",#N/A,FALSE,"Loan #1";"Loan #2 Annually",#N/A,FALSE,"Loan #2";"Loan #3 Annually",#N/A,FALSE,"Loan #3";"Consolidated Loan Annually",#N/A,FALSE,"Consolidated Loan";"FlowSummary Annually",#N/A,FALSE,"FlowSummary";"SourcesAndUses Annually",#N/A,FALSE,"SourcesAndUses";"CashDistribute Annually",#N/A,FALSE,"CashDistribute";"InvestorSummary Annually",#N/A,FALSE,"InvestorSummary";#N/A,#N/A,FALSE,"Finance Summary";#N/A,#N/A,FALSE,"Valuation"}</definedName>
    <definedName name="wrn.Ctrl._.M._.Quarterly." localSheetId="7" hidden="1">{#N/A,#N/A,FALSE,"Notes";#N/A,#N/A,FALSE,"BaseAssumptions";#N/A,#N/A,FALSE,"CFD";#N/A,#N/A,FALSE,"RevenueAssumptions";"MasterCostAssmp Quarterly",#N/A,FALSE,"MasterCostAssmp";"Lot Takedowns Quarterly",#N/A,FALSE,"LotTakedowns";#N/A,#N/A,FALSE,"InTractCstAssmp";"CashFlowSummary Quarterly",#N/A,FALSE,"CashFlowSummary";#N/A,#N/A,FALSE,"Loan Value";"AcqDev Loan Quarterly",#N/A,FALSE,"AcqDev Loan";"Loan #1 Quarterly",#N/A,FALSE,"Loan #1";"Loan #2 Quarterly",#N/A,FALSE,"Loan #2";"Loan #3 Quarterly",#N/A,FALSE,"Loan #3";"Consolidated Loan Quarterly",#N/A,FALSE,"Consolidated Loan";"FlowSummary Quarterly",#N/A,FALSE,"FlowSummary";"SourcesAndUses Quarterly",#N/A,FALSE,"SourcesAndUses";"CashDistribute Quarterly",#N/A,FALSE,"CashDistribute";"InvestorSummary Quarterly",#N/A,FALSE,"InvestorSummary";#N/A,#N/A,FALSE,"Finance Summary";#N/A,#N/A,FALSE,"Valuation"}</definedName>
    <definedName name="wrn.Ctrl._.M._.Quarterly." hidden="1">{#N/A,#N/A,FALSE,"Notes";#N/A,#N/A,FALSE,"BaseAssumptions";#N/A,#N/A,FALSE,"CFD";#N/A,#N/A,FALSE,"RevenueAssumptions";"MasterCostAssmp Quarterly",#N/A,FALSE,"MasterCostAssmp";"Lot Takedowns Quarterly",#N/A,FALSE,"LotTakedowns";#N/A,#N/A,FALSE,"InTractCstAssmp";"CashFlowSummary Quarterly",#N/A,FALSE,"CashFlowSummary";#N/A,#N/A,FALSE,"Loan Value";"AcqDev Loan Quarterly",#N/A,FALSE,"AcqDev Loan";"Loan #1 Quarterly",#N/A,FALSE,"Loan #1";"Loan #2 Quarterly",#N/A,FALSE,"Loan #2";"Loan #3 Quarterly",#N/A,FALSE,"Loan #3";"Consolidated Loan Quarterly",#N/A,FALSE,"Consolidated Loan";"FlowSummary Quarterly",#N/A,FALSE,"FlowSummary";"SourcesAndUses Quarterly",#N/A,FALSE,"SourcesAndUses";"CashDistribute Quarterly",#N/A,FALSE,"CashDistribute";"InvestorSummary Quarterly",#N/A,FALSE,"InvestorSummary";#N/A,#N/A,FALSE,"Finance Summary";#N/A,#N/A,FALSE,"Valuation"}</definedName>
    <definedName name="wrn.daily." localSheetId="7" hidden="1">{#N/A,#N/A,FALSE,"Major v. River";#N/A,#N/A,FALSE,"Large Operators";#N/A,#N/A,FALSE,"Smaller Operators";#N/A,#N/A,FALSE,"Equip. Supply";#N/A,#N/A,FALSE,"EBITDA"}</definedName>
    <definedName name="wrn.daily." hidden="1">{#N/A,#N/A,FALSE,"Major v. River";#N/A,#N/A,FALSE,"Large Operators";#N/A,#N/A,FALSE,"Smaller Operators";#N/A,#N/A,FALSE,"Equip. Supply";#N/A,#N/A,FALSE,"EBITDA"}</definedName>
    <definedName name="wrn.data." localSheetId="7" hidden="1">{"data",#N/A,FALSE,"INPUT"}</definedName>
    <definedName name="wrn.data." hidden="1">{"data",#N/A,FALSE,"INPUT"}</definedName>
    <definedName name="wrn.data1" localSheetId="7" hidden="1">{"data",#N/A,FALSE,"INPUT"}</definedName>
    <definedName name="wrn.data1" hidden="1">{"data",#N/A,FALSE,"INPUT"}</definedName>
    <definedName name="wrn.data5" localSheetId="7" hidden="1">{"data",#N/A,FALSE,"INPUT"}</definedName>
    <definedName name="wrn.data5" hidden="1">{"data",#N/A,FALSE,"INPUT"}</definedName>
    <definedName name="wrn.dcf." localSheetId="7" hidden="1">{"mgmt forecast",#N/A,FALSE,"Mgmt Forecast";"dcf table",#N/A,FALSE,"Mgmt Forecast";"sensitivity",#N/A,FALSE,"Mgmt Forecast";"table inputs",#N/A,FALSE,"Mgmt Forecast";"calculations",#N/A,FALSE,"Mgmt Forecast"}</definedName>
    <definedName name="wrn.dcf." hidden="1">{"mgmt forecast",#N/A,FALSE,"Mgmt Forecast";"dcf table",#N/A,FALSE,"Mgmt Forecast";"sensitivity",#N/A,FALSE,"Mgmt Forecast";"table inputs",#N/A,FALSE,"Mgmt Forecast";"calculations",#N/A,FALSE,"Mgmt Forecast"}</definedName>
    <definedName name="wrn.DCR._.Output." localSheetId="7" hidden="1">{"DCR Output",#N/A,FALSE,"Output"}</definedName>
    <definedName name="wrn.DCR._.Output." hidden="1">{"DCR Output",#N/A,FALSE,"Output"}</definedName>
    <definedName name="wrn.Debt._.Maturity." localSheetId="7" hidden="1">{#N/A,#N/A,FALSE,"ZLDebtMaturity";#N/A,#N/A,FALSE,"FCDebtMaturity";#N/A,#N/A,FALSE,"ZM3DebtMaturity";#N/A,#N/A,FALSE,"ZM2DebtMaturity";#N/A,#N/A,FALSE,"zm1DebtMaturity";#N/A,#N/A,FALSE,"ConsZM123DebtMaturity"}</definedName>
    <definedName name="wrn.Debt._.Maturity." hidden="1">{#N/A,#N/A,FALSE,"ZLDebtMaturity";#N/A,#N/A,FALSE,"FCDebtMaturity";#N/A,#N/A,FALSE,"ZM3DebtMaturity";#N/A,#N/A,FALSE,"ZM2DebtMaturity";#N/A,#N/A,FALSE,"zm1DebtMaturity";#N/A,#N/A,FALSE,"ConsZM123DebtMaturity"}</definedName>
    <definedName name="wrn.demand." localSheetId="7" hidden="1">{#N/A,#N/A,FALSE,"III-1 Sum.Dem";#N/A,#N/A,FALSE,"III-2 RER.Dem.Pop";#N/A,#N/A,FALSE,"III-3 RER.Cap.Pop";#N/A,#N/A,FALSE,"III-4 RER.Dem.TCSS";#N/A,#N/A,FALSE,"III-5 RER.Cap.TCSS";#N/A,#N/A,FALSE,"III-6 Pow.Center.Dem";#N/A,#N/A,FALSE,"III-7 Off.Demand";#N/A,#N/A,FALSE,"III-8 Htl.Dem"}</definedName>
    <definedName name="wrn.demand." hidden="1">{#N/A,#N/A,FALSE,"III-1 Sum.Dem";#N/A,#N/A,FALSE,"III-2 RER.Dem.Pop";#N/A,#N/A,FALSE,"III-3 RER.Cap.Pop";#N/A,#N/A,FALSE,"III-4 RER.Dem.TCSS";#N/A,#N/A,FALSE,"III-5 RER.Cap.TCSS";#N/A,#N/A,FALSE,"III-6 Pow.Center.Dem";#N/A,#N/A,FALSE,"III-7 Off.Demand";#N/A,#N/A,FALSE,"III-8 Htl.Dem"}</definedName>
    <definedName name="wrn.demographics." localSheetId="7" hidden="1">{#N/A,#N/A,FALSE,"pop.hh";#N/A,#N/A,FALSE,"age.dist";#N/A,#N/A,FALSE,"hh.income";#N/A,#N/A,FALSE,"hh.chars"}</definedName>
    <definedName name="wrn.demographics." hidden="1">{#N/A,#N/A,FALSE,"pop.hh";#N/A,#N/A,FALSE,"age.dist";#N/A,#N/A,FALSE,"hh.income";#N/A,#N/A,FALSE,"hh.chars"}</definedName>
    <definedName name="wrn.Demos." localSheetId="7" hidden="1">{#N/A,#N/A,FALSE,"II-2 POP.HH";#N/A,#N/A,FALSE,"II-3 AGE.DIST";#N/A,#N/A,FALSE,"II-4 HH.DIST";#N/A,#N/A,FALSE,"II-5 EMP.INDUS"}</definedName>
    <definedName name="wrn.Demos." hidden="1">{#N/A,#N/A,FALSE,"II-2 POP.HH";#N/A,#N/A,FALSE,"II-3 AGE.DIST";#N/A,#N/A,FALSE,"II-4 HH.DIST";#N/A,#N/A,FALSE,"II-5 EMP.INDUS"}</definedName>
    <definedName name="wrn.Depr." localSheetId="7" hidden="1">{"tax_schedule",#N/A,TRUE,"Tax Schedule";"profit_loss",#N/A,TRUE,"ProfitLoss";"impact_fin",#N/A,TRUE,"Impact on BAA";"annual_data",#N/A,TRUE,"Annual Data"}</definedName>
    <definedName name="wrn.Depr." hidden="1">{"tax_schedule",#N/A,TRUE,"Tax Schedule";"profit_loss",#N/A,TRUE,"ProfitLoss";"impact_fin",#N/A,TRUE,"Impact on BAA";"annual_data",#N/A,TRUE,"Annual Data"}</definedName>
    <definedName name="wrn.Depreciation." localSheetId="7" hidden="1">{"One",#N/A,FALSE,"Depreciation"}</definedName>
    <definedName name="wrn.Depreciation." hidden="1">{"One",#N/A,FALSE,"Depreciation"}</definedName>
    <definedName name="wrn.detail." localSheetId="7" hidden="1">{"detail1",#N/A,FALSE,"Sheet1";"detail2",#N/A,FALSE,"Sheet1";"detail3",#N/A,FALSE,"Sheet1";"detail4",#N/A,FALSE,"Sheet1";"detail5",#N/A,FALSE,"Sheet1";"detail6",#N/A,FALSE,"Sheet1";"detail7",#N/A,FALSE,"Sheet1";"detail8",#N/A,FALSE,"Sheet1";"detail9",#N/A,FALSE,"Sheet1"}</definedName>
    <definedName name="wrn.detail." hidden="1">{"detail1",#N/A,FALSE,"Sheet1";"detail2",#N/A,FALSE,"Sheet1";"detail3",#N/A,FALSE,"Sheet1";"detail4",#N/A,FALSE,"Sheet1";"detail5",#N/A,FALSE,"Sheet1";"detail6",#N/A,FALSE,"Sheet1";"detail7",#N/A,FALSE,"Sheet1";"detail8",#N/A,FALSE,"Sheet1";"detail9",#N/A,FALSE,"Sheet1"}</definedName>
    <definedName name="wrn.DETAIL._.SCHEDULES." localSheetId="7" hidden="1">{"ACCOUNT DETAIL",#N/A,FALSE,"SCHEDULE E";"ACCOUNT DETAIL",#N/A,FALSE,"SCHEDULE G";"ACCOUNT DETAIL",#N/A,FALSE,"SCHEDULE H";"ACCOUNT DETAIL",#N/A,FALSE,"SCHEDULE I"}</definedName>
    <definedName name="wrn.DETAIL._.SCHEDULES." hidden="1">{"ACCOUNT DETAIL",#N/A,FALSE,"SCHEDULE E";"ACCOUNT DETAIL",#N/A,FALSE,"SCHEDULE G";"ACCOUNT DETAIL",#N/A,FALSE,"SCHEDULE H";"ACCOUNT DETAIL",#N/A,FALSE,"SCHEDULE I"}</definedName>
    <definedName name="wrn.detail._1" localSheetId="7" hidden="1">{"detail1",#N/A,FALSE,"Sheet1";"detail2",#N/A,FALSE,"Sheet1";"detail3",#N/A,FALSE,"Sheet1";"detail4",#N/A,FALSE,"Sheet1";"detail5",#N/A,FALSE,"Sheet1";"detail6",#N/A,FALSE,"Sheet1";"detail7",#N/A,FALSE,"Sheet1";"detail8",#N/A,FALSE,"Sheet1";"detail9",#N/A,FALSE,"Sheet1"}</definedName>
    <definedName name="wrn.detail._1" hidden="1">{"detail1",#N/A,FALSE,"Sheet1";"detail2",#N/A,FALSE,"Sheet1";"detail3",#N/A,FALSE,"Sheet1";"detail4",#N/A,FALSE,"Sheet1";"detail5",#N/A,FALSE,"Sheet1";"detail6",#N/A,FALSE,"Sheet1";"detail7",#N/A,FALSE,"Sheet1";"detail8",#N/A,FALSE,"Sheet1";"detail9",#N/A,FALSE,"Sheet1"}</definedName>
    <definedName name="wrn.Detailed." localSheetId="7" hidden="1">{"Detailed",#N/A,FALSE,"Schedule4"}</definedName>
    <definedName name="wrn.Detailed." hidden="1">{"Detailed",#N/A,FALSE,"Schedule4"}</definedName>
    <definedName name="wrn.Detailed._.Partnership._.Returns._.Leveraged." localSheetId="7" hidden="1">{"Return Analysis - Leveraged",#N/A,FALSE,"Return Analysis - Leveraged"}</definedName>
    <definedName name="wrn.Detailed._.Partnership._.Returns._.Leveraged." hidden="1">{"Return Analysis - Leveraged",#N/A,FALSE,"Return Analysis - Leveraged"}</definedName>
    <definedName name="wrn.devdeal." localSheetId="7" hidden="1">{"top",#N/A,TRUE,"Detail";"next",#N/A,TRUE,"Detail";"then",#N/A,TRUE,"Detail";"and",#N/A,TRUE,"Detail";"inaddition",#N/A,TRUE,"Detail";"finally",#N/A,TRUE,"Detail"}</definedName>
    <definedName name="wrn.devdeal." hidden="1">{"top",#N/A,TRUE,"Detail";"next",#N/A,TRUE,"Detail";"then",#N/A,TRUE,"Detail";"and",#N/A,TRUE,"Detail";"inaddition",#N/A,TRUE,"Detail";"finally",#N/A,TRUE,"Detail"}</definedName>
    <definedName name="wrn.Development." localSheetId="7" hidden="1">{"Construction Costs",#N/A,FALSE,"Budget";"Income Statement",#N/A,FALSE,"Budget"}</definedName>
    <definedName name="wrn.Development." hidden="1">{"Construction Costs",#N/A,FALSE,"Budget";"Income Statement",#N/A,FALSE,"Budget"}</definedName>
    <definedName name="wrn.Development._.Proforma." localSheetId="7" hidden="1">{"Summary",#N/A,FALSE,"Primary Worksheet";"Unit Mix",#N/A,FALSE,"Primary Worksheet";"Op Statement2",#N/A,FALSE,"Primary Worksheet";"Dev Budget",#N/A,FALSE,"Primary Worksheet";"Capital",#N/A,FALSE,"Primary Worksheet";"Cash Flow2",#N/A,FALSE,"Primary Worksheet"}</definedName>
    <definedName name="wrn.Development._.Proforma." hidden="1">{"Summary",#N/A,FALSE,"Primary Worksheet";"Unit Mix",#N/A,FALSE,"Primary Worksheet";"Op Statement2",#N/A,FALSE,"Primary Worksheet";"Dev Budget",#N/A,FALSE,"Primary Worksheet";"Capital",#N/A,FALSE,"Primary Worksheet";"Cash Flow2",#N/A,FALSE,"Primary Worksheet"}</definedName>
    <definedName name="wrn.Development2" localSheetId="7" hidden="1">{"Construction Costs",#N/A,FALSE,"Budget";"Income Statement",#N/A,FALSE,"Budget"}</definedName>
    <definedName name="wrn.Development2" hidden="1">{"Construction Costs",#N/A,FALSE,"Budget";"Income Statement",#N/A,FALSE,"Budget"}</definedName>
    <definedName name="wrn.Downside." localSheetId="7" hidden="1">{"Downside",#N/A,FALSE,"Downside"}</definedName>
    <definedName name="wrn.Downside." hidden="1">{"Downside",#N/A,FALSE,"Downside"}</definedName>
    <definedName name="wrn.dtl.schedules" localSheetId="7" hidden="1">{"ACCOUNT DETAIL",#N/A,FALSE,"SCHEDULE E";"ACCOUNT DETAIL",#N/A,FALSE,"SCHEDULE G";"ACCOUNT DETAIL",#N/A,FALSE,"SCHEDULE H";"ACCOUNT DETAIL",#N/A,FALSE,"SCHEDULE I"}</definedName>
    <definedName name="wrn.dtl.schedules" hidden="1">{"ACCOUNT DETAIL",#N/A,FALSE,"SCHEDULE E";"ACCOUNT DETAIL",#N/A,FALSE,"SCHEDULE G";"ACCOUNT DETAIL",#N/A,FALSE,"SCHEDULE H";"ACCOUNT DETAIL",#N/A,FALSE,"SCHEDULE I"}</definedName>
    <definedName name="wrn.Engineering." localSheetId="7" hidden="1">{#N/A,#N/A,FALSE,"ENGINEERING"}</definedName>
    <definedName name="wrn.Engineering." hidden="1">{#N/A,#N/A,FALSE,"ENGINEERING"}</definedName>
    <definedName name="wrn.ENTIRE." localSheetId="7" hidden="1">{#N/A,#N/A,FALSE,"SUMMARY";#N/A,#N/A,FALSE,"LEASING SCHEDULE";#N/A,#N/A,FALSE,"EXPLANATION";#N/A,#N/A,FALSE,"EXPLANATION";#N/A,#N/A,FALSE,"ANALYSIS";#N/A,#N/A,FALSE,"SPREAD";#N/A,#N/A,FALSE,"INCOME";#N/A,#N/A,FALSE,"EXPENSES";#N/A,#N/A,FALSE,"CAPITAL";#N/A,#N/A,FALSE,"DEBT SERVICE"}</definedName>
    <definedName name="wrn.ENTIRE." hidden="1">{#N/A,#N/A,FALSE,"SUMMARY";#N/A,#N/A,FALSE,"LEASING SCHEDULE";#N/A,#N/A,FALSE,"EXPLANATION";#N/A,#N/A,FALSE,"EXPLANATION";#N/A,#N/A,FALSE,"ANALYSIS";#N/A,#N/A,FALSE,"SPREAD";#N/A,#N/A,FALSE,"INCOME";#N/A,#N/A,FALSE,"EXPENSES";#N/A,#N/A,FALSE,"CAPITAL";#N/A,#N/A,FALSE,"DEBT SERVICE"}</definedName>
    <definedName name="wrn.Entire._.File." localSheetId="7" hidden="1">{#N/A,#N/A,FALSE,"Base Cash Flow";"End of 1995",#N/A,FALSE,"Sale Year Analysis";"End of 1996",#N/A,FALSE,"Sale Year Analysis";"End of 1997",#N/A,FALSE,"Sale Year Analysis"}</definedName>
    <definedName name="wrn.Entire._.File." hidden="1">{#N/A,#N/A,FALSE,"Base Cash Flow";"End of 1995",#N/A,FALSE,"Sale Year Analysis";"End of 1996",#N/A,FALSE,"Sale Year Analysis";"End of 1997",#N/A,FALSE,"Sale Year Analysis"}</definedName>
    <definedName name="wrn.Entire._.Model." localSheetId="7" hidden="1">{"Income Page",#N/A,FALSE,"Income";"Quarterly Page",#N/A,FALSE,"Quarterly";"EPS Page",#N/A,FALSE,"EPS";"Cashflow Page",#N/A,FALSE,"CashFlow"}</definedName>
    <definedName name="wrn.Entire._.Model." hidden="1">{"Income Page",#N/A,FALSE,"Income";"Quarterly Page",#N/A,FALSE,"Quarterly";"EPS Page",#N/A,FALSE,"EPS";"Cashflow Page",#N/A,FALSE,"CashFlow"}</definedName>
    <definedName name="wrn.Environmental." localSheetId="7" hidden="1">{#N/A,#N/A,FALSE,"ENVIRONMENTAL"}</definedName>
    <definedName name="wrn.Environmental." hidden="1">{#N/A,#N/A,FALSE,"ENVIRONMENTAL"}</definedName>
    <definedName name="wrn.ESTSUM1_2." localSheetId="7" hidden="1">{"ESTSUM1",#N/A,TRUE,"SUM";"ESTSUM2",#N/A,TRUE,"SUM"}</definedName>
    <definedName name="wrn.ESTSUM1_2." hidden="1">{"ESTSUM1",#N/A,TRUE,"SUM";"ESTSUM2",#N/A,TRUE,"SUM"}</definedName>
    <definedName name="wrn.Europe." localSheetId="7" hidden="1">{"rawdata",#N/A,TRUE,"BT ";"in",#N/A,TRUE,"BT ";"rawdata",#N/A,TRUE,"CW ";"in",#N/A,TRUE,"CW ";"rawdata",#N/A,TRUE,"KPN";"in",#N/A,TRUE,"KPN";"rawdata",#N/A,TRUE,"OTE";"in",#N/A,TRUE,"OTE";"rawdata",#N/A,TRUE,"Port";"in",#N/A,TRUE,"Port";"rawdata",#N/A,TRUE,"SPT";"in",#N/A,TRUE,"SPT";"rawdata",#N/A,TRUE,"TD ";"in",#N/A,TRUE,"TD ";"rawdata",#N/A,TRUE,"TItal";"rawdata2",#N/A,TRUE,"TItal";"in",#N/A,TRUE,"TItal";"rawdata",#N/A,TRUE,"TdEsp";"in",#N/A,TRUE,"TdEsp";"rawdata",#N/A,TRUE,"Belg";"in",#N/A,TRUE,"Belg";"rawdata",#N/A,TRUE,"BEZEQ";"in",#N/A,TRUE,"BEZEQ";"rawdata",#N/A,TRUE,"DT ";"in",#N/A,TRUE,"DT ";"rawdata",#N/A,TRUE,"FT ";"in",#N/A,TRUE,"FT ";"rawdata",#N/A,TRUE,"MAT";"in",#N/A,TRUE,"MAT";"rawdata",#N/A,TRUE,"Eire";"in",#N/A,TRUE,"Eire";"rawdata",#N/A,TRUE,"TFin";"in",#N/A,TRUE,"TFin";"rawdata",#N/A,TRUE,"TNor";"in",#N/A,TRUE,"TNor";"rawdata",#N/A,TRUE,"Telia";"in",#N/A,TRUE,"Telia";"rawdata",#N/A,TRUE,"TPSA";"in",#N/A,TRUE,"TPSA";"rawdata",#N/A,TRUE,"TSAfr";"in",#N/A,TRUE,"TSAfr";"rawdata",#N/A,TRUE,"Turk";"in",#N/A,TRUE,"Turk"}</definedName>
    <definedName name="wrn.Europe." hidden="1">{"rawdata",#N/A,TRUE,"BT ";"in",#N/A,TRUE,"BT ";"rawdata",#N/A,TRUE,"CW ";"in",#N/A,TRUE,"CW ";"rawdata",#N/A,TRUE,"KPN";"in",#N/A,TRUE,"KPN";"rawdata",#N/A,TRUE,"OTE";"in",#N/A,TRUE,"OTE";"rawdata",#N/A,TRUE,"Port";"in",#N/A,TRUE,"Port";"rawdata",#N/A,TRUE,"SPT";"in",#N/A,TRUE,"SPT";"rawdata",#N/A,TRUE,"TD ";"in",#N/A,TRUE,"TD ";"rawdata",#N/A,TRUE,"TItal";"rawdata2",#N/A,TRUE,"TItal";"in",#N/A,TRUE,"TItal";"rawdata",#N/A,TRUE,"TdEsp";"in",#N/A,TRUE,"TdEsp";"rawdata",#N/A,TRUE,"Belg";"in",#N/A,TRUE,"Belg";"rawdata",#N/A,TRUE,"BEZEQ";"in",#N/A,TRUE,"BEZEQ";"rawdata",#N/A,TRUE,"DT ";"in",#N/A,TRUE,"DT ";"rawdata",#N/A,TRUE,"FT ";"in",#N/A,TRUE,"FT ";"rawdata",#N/A,TRUE,"MAT";"in",#N/A,TRUE,"MAT";"rawdata",#N/A,TRUE,"Eire";"in",#N/A,TRUE,"Eire";"rawdata",#N/A,TRUE,"TFin";"in",#N/A,TRUE,"TFin";"rawdata",#N/A,TRUE,"TNor";"in",#N/A,TRUE,"TNor";"rawdata",#N/A,TRUE,"Telia";"in",#N/A,TRUE,"Telia";"rawdata",#N/A,TRUE,"TPSA";"in",#N/A,TRUE,"TPSA";"rawdata",#N/A,TRUE,"TSAfr";"in",#N/A,TRUE,"TSAfr";"rawdata",#N/A,TRUE,"Turk";"in",#N/A,TRUE,"Turk"}</definedName>
    <definedName name="wrn.Everything." localSheetId="7"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Everything."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EWB." localSheetId="7" hidden="1">{#N/A,#N/A,FALSE,"EWB";#N/A,#N/A,FALSE,"EWB-2"}</definedName>
    <definedName name="wrn.EWB." hidden="1">{#N/A,#N/A,FALSE,"EWB";#N/A,#N/A,FALSE,"EWB-2"}</definedName>
    <definedName name="wrn.Excavation." localSheetId="7" hidden="1">{"excavation",#N/A,FALSE,"DETAIL.XLS"}</definedName>
    <definedName name="wrn.Excavation." hidden="1">{"excavation",#N/A,FALSE,"DETAIL.XLS"}</definedName>
    <definedName name="wrn.Exec._.Summary." localSheetId="7" hidden="1">{#N/A,#N/A,FALSE,"Index"}</definedName>
    <definedName name="wrn.Exec._.Summary." hidden="1">{#N/A,#N/A,FALSE,"Index"}</definedName>
    <definedName name="wrn.Exhibits." localSheetId="7" hidden="1">{#N/A,#N/A,FALSE,"Historical";#N/A,#N/A,FALSE,"Adjusted";#N/A,#N/A,FALSE,"CAM Alloc.";#N/A,#N/A,FALSE,"Projected CAM"}</definedName>
    <definedName name="wrn.Exhibits." hidden="1">{#N/A,#N/A,FALSE,"Historical";#N/A,#N/A,FALSE,"Adjusted";#N/A,#N/A,FALSE,"CAM Alloc.";#N/A,#N/A,FALSE,"Projected CAM"}</definedName>
    <definedName name="wrn.ExitAndSalesAssumptions." localSheetId="7" hidden="1">{#N/A,#N/A,FALSE,"ExitStratigy"}</definedName>
    <definedName name="wrn.ExitAndSalesAssumptions." hidden="1">{#N/A,#N/A,FALSE,"ExitStratigy"}</definedName>
    <definedName name="wrn.EXPENSE." localSheetId="7" hidden="1">{#N/A,#N/A,FALSE,"Common Area Accrual";#N/A,#N/A,FALSE,"Unit One LaSalle";#N/A,#N/A,FALSE,"Unit One CW";#N/A,#N/A,FALSE,"Unit One LaSallle + C &amp; W";#N/A,#N/A,FALSE,"Consolidated Accrual"}</definedName>
    <definedName name="wrn.EXPENSE." hidden="1">{#N/A,#N/A,FALSE,"Common Area Accrual";#N/A,#N/A,FALSE,"Unit One LaSalle";#N/A,#N/A,FALSE,"Unit One CW";#N/A,#N/A,FALSE,"Unit One LaSallle + C &amp; W";#N/A,#N/A,FALSE,"Consolidated Accrual"}</definedName>
    <definedName name="wrn.Expense._.Detail." localSheetId="7" hidden="1">{#N/A,#N/A,FALSE,"Common Area Accrual";#N/A,#N/A,FALSE,"Unit One LaSalle";#N/A,#N/A,FALSE,"Unit One CW";#N/A,#N/A,FALSE,"Unit One LaSalle + C &amp; W";#N/A,#N/A,FALSE,"Consolidated Accrual"}</definedName>
    <definedName name="wrn.Expense._.Detail." hidden="1">{#N/A,#N/A,FALSE,"Common Area Accrual";#N/A,#N/A,FALSE,"Unit One LaSalle";#N/A,#N/A,FALSE,"Unit One CW";#N/A,#N/A,FALSE,"Unit One LaSalle + C &amp; W";#N/A,#N/A,FALSE,"Consolidated Accrual"}</definedName>
    <definedName name="wrn.Expense._.Input." localSheetId="7" hidden="1">{#N/A,#N/A,FALSE,"Expense Input"}</definedName>
    <definedName name="wrn.Expense._.Input." hidden="1">{#N/A,#N/A,FALSE,"Expense Input"}</definedName>
    <definedName name="wrn.Exterior._.Wall." localSheetId="7" hidden="1">{#N/A,#N/A,FALSE,"Paramters";"print range",#N/A,FALSE,"GSF.XLS";"exterior wall",#N/A,FALSE,"DETAIL.XLS"}</definedName>
    <definedName name="wrn.Exterior._.Wall." hidden="1">{#N/A,#N/A,FALSE,"Paramters";"print range",#N/A,FALSE,"GSF.XLS";"exterior wall",#N/A,FALSE,"DETAIL.XLS"}</definedName>
    <definedName name="wrn.External._.Report__detail._.hidden." localSheetId="7" hidden="1">{"CREELP external",#N/A,FALSE,"CREELP";#N/A,#N/A,FALSE,"Funding 1 &amp; 2";#N/A,#N/A,FALSE,"Funding 8"}</definedName>
    <definedName name="wrn.External._.Report__detail._.hidden." hidden="1">{"CREELP external",#N/A,FALSE,"CREELP";#N/A,#N/A,FALSE,"Funding 1 &amp; 2";#N/A,#N/A,FALSE,"Funding 8"}</definedName>
    <definedName name="wrn.FCG." localSheetId="7" hidden="1">{#N/A,#N/A,TRUE,"Title Page";#N/A,#N/A,TRUE,"Executive Summary";#N/A,#N/A,TRUE,"Cash Flow";#N/A,#N/A,TRUE,"Exp Detail";#N/A,#N/A,TRUE,"Pricing Matrix";#N/A,#N/A,TRUE,"Value Matrix";#N/A,#N/A,TRUE,"Assumptions";#N/A,#N/A,TRUE,"Vacant Space";#N/A,#N/A,TRUE,"2nd Generation";#N/A,#N/A,TRUE,"Existing vs Mkt";#N/A,#N/A,TRUE,"Expiration Schedule";#N/A,#N/A,TRUE,"Expiration Graph ";#N/A,#N/A,TRUE,"Residual - Marketing";#N/A,#N/A,TRUE,"Vacancy Detail"}</definedName>
    <definedName name="wrn.FCG." hidden="1">{#N/A,#N/A,TRUE,"Title Page";#N/A,#N/A,TRUE,"Executive Summary";#N/A,#N/A,TRUE,"Cash Flow";#N/A,#N/A,TRUE,"Exp Detail";#N/A,#N/A,TRUE,"Pricing Matrix";#N/A,#N/A,TRUE,"Value Matrix";#N/A,#N/A,TRUE,"Assumptions";#N/A,#N/A,TRUE,"Vacant Space";#N/A,#N/A,TRUE,"2nd Generation";#N/A,#N/A,TRUE,"Existing vs Mkt";#N/A,#N/A,TRUE,"Expiration Schedule";#N/A,#N/A,TRUE,"Expiration Graph ";#N/A,#N/A,TRUE,"Residual - Marketing";#N/A,#N/A,TRUE,"Vacancy Detail"}</definedName>
    <definedName name="wrn.FCG._.Express." localSheetId="7" hidden="1">{#N/A,#N/A,TRUE,"Title Page";#N/A,#N/A,TRUE,"Executive Summary";#N/A,#N/A,TRUE,"Assumptions";#N/A,#N/A,TRUE,"Footnotes";#N/A,#N/A,TRUE,"Narrative Assumptions";#N/A,#N/A,TRUE,"2nd Generation";#N/A,#N/A,TRUE,"Existing vs Mkt";#N/A,#N/A,TRUE,"Cash Flow";#N/A,#N/A,TRUE,"Residual - Marketing";#N/A,#N/A,TRUE,"Pricing Matrix";#N/A,#N/A,TRUE,"Expiration Schedule";#N/A,#N/A,TRUE,"Expiration Graph "}</definedName>
    <definedName name="wrn.FCG._.Express." hidden="1">{#N/A,#N/A,TRUE,"Title Page";#N/A,#N/A,TRUE,"Executive Summary";#N/A,#N/A,TRUE,"Assumptions";#N/A,#N/A,TRUE,"Footnotes";#N/A,#N/A,TRUE,"Narrative Assumptions";#N/A,#N/A,TRUE,"2nd Generation";#N/A,#N/A,TRUE,"Existing vs Mkt";#N/A,#N/A,TRUE,"Cash Flow";#N/A,#N/A,TRUE,"Residual - Marketing";#N/A,#N/A,TRUE,"Pricing Matrix";#N/A,#N/A,TRUE,"Expiration Schedule";#N/A,#N/A,TRUE,"Expiration Graph "}</definedName>
    <definedName name="wrn.FCG._.Full." localSheetId="7" hidden="1">{#N/A,#N/A,TRUE,"Title Page";#N/A,#N/A,TRUE,"Executive Summary";#N/A,#N/A,TRUE,"Assumptions";#N/A,#N/A,TRUE,"Footnotes";#N/A,#N/A,TRUE,"Narrative Assumptions";#N/A,#N/A,TRUE,"Vacant Space";#N/A,#N/A,TRUE,"2nd Generation";#N/A,#N/A,TRUE,"Existing vs Mkt";#N/A,#N/A,TRUE,"Cash Flow";#N/A,#N/A,TRUE,"Residual - Marketing";#N/A,#N/A,TRUE,"Pricing Matrix";#N/A,#N/A,TRUE,"Vacancy Detail";#N/A,#N/A,TRUE,"Expiration Schedule";#N/A,#N/A,TRUE,"Expiration Graph ";#N/A,#N/A,TRUE,"Value Matrix";#N/A,#N/A,TRUE,"Value Matrix (2)";#N/A,#N/A,TRUE,"GI Detail";#N/A,#N/A,TRUE,"Exp Detail";#N/A,#N/A,TRUE,"ALease-up Schedule"}</definedName>
    <definedName name="wrn.FCG._.Full." hidden="1">{#N/A,#N/A,TRUE,"Title Page";#N/A,#N/A,TRUE,"Executive Summary";#N/A,#N/A,TRUE,"Assumptions";#N/A,#N/A,TRUE,"Footnotes";#N/A,#N/A,TRUE,"Narrative Assumptions";#N/A,#N/A,TRUE,"Vacant Space";#N/A,#N/A,TRUE,"2nd Generation";#N/A,#N/A,TRUE,"Existing vs Mkt";#N/A,#N/A,TRUE,"Cash Flow";#N/A,#N/A,TRUE,"Residual - Marketing";#N/A,#N/A,TRUE,"Pricing Matrix";#N/A,#N/A,TRUE,"Vacancy Detail";#N/A,#N/A,TRUE,"Expiration Schedule";#N/A,#N/A,TRUE,"Expiration Graph ";#N/A,#N/A,TRUE,"Value Matrix";#N/A,#N/A,TRUE,"Value Matrix (2)";#N/A,#N/A,TRUE,"GI Detail";#N/A,#N/A,TRUE,"Exp Detail";#N/A,#N/A,TRUE,"ALease-up Schedule"}</definedName>
    <definedName name="wrn.FCG._.Normal." localSheetId="7" hidden="1">{#N/A,#N/A,FALSE,"1Summary";#N/A,#N/A,FALSE,"9Pricing Matrix";#N/A,#N/A,FALSE,"Assumptions";#N/A,#N/A,FALSE,"3Cash Flow";#N/A,#N/A,FALSE,"5Residual";#N/A,#N/A,FALSE,"8Residual Sensitivity";#N/A,#N/A,FALSE,"10Vacancy Matrix";#N/A,#N/A,FALSE,"11Expiration Schedule";#N/A,#N/A,FALSE,"12Lease-up Schedule"}</definedName>
    <definedName name="wrn.FCG._.Normal." hidden="1">{#N/A,#N/A,FALSE,"1Summary";#N/A,#N/A,FALSE,"9Pricing Matrix";#N/A,#N/A,FALSE,"Assumptions";#N/A,#N/A,FALSE,"3Cash Flow";#N/A,#N/A,FALSE,"5Residual";#N/A,#N/A,FALSE,"8Residual Sensitivity";#N/A,#N/A,FALSE,"10Vacancy Matrix";#N/A,#N/A,FALSE,"11Expiration Schedule";#N/A,#N/A,FALSE,"12Lease-up Schedule"}</definedName>
    <definedName name="wrn.FCG2" localSheetId="7" hidden="1">{#N/A,#N/A,TRUE,"Title Page";#N/A,#N/A,TRUE,"Executive Summary";#N/A,#N/A,TRUE,"Cash Flow";#N/A,#N/A,TRUE,"Exp Detail";#N/A,#N/A,TRUE,"Pricing Matrix";#N/A,#N/A,TRUE,"Value Matrix";#N/A,#N/A,TRUE,"Assumptions";#N/A,#N/A,TRUE,"Vacant Space";#N/A,#N/A,TRUE,"2nd Generation";#N/A,#N/A,TRUE,"Existing vs Mkt";#N/A,#N/A,TRUE,"Expiration Schedule";#N/A,#N/A,TRUE,"Expiration Graph ";#N/A,#N/A,TRUE,"Residual - Marketing";#N/A,#N/A,TRUE,"Vacancy Detail"}</definedName>
    <definedName name="wrn.FCG2" hidden="1">{#N/A,#N/A,TRUE,"Title Page";#N/A,#N/A,TRUE,"Executive Summary";#N/A,#N/A,TRUE,"Cash Flow";#N/A,#N/A,TRUE,"Exp Detail";#N/A,#N/A,TRUE,"Pricing Matrix";#N/A,#N/A,TRUE,"Value Matrix";#N/A,#N/A,TRUE,"Assumptions";#N/A,#N/A,TRUE,"Vacant Space";#N/A,#N/A,TRUE,"2nd Generation";#N/A,#N/A,TRUE,"Existing vs Mkt";#N/A,#N/A,TRUE,"Expiration Schedule";#N/A,#N/A,TRUE,"Expiration Graph ";#N/A,#N/A,TRUE,"Residual - Marketing";#N/A,#N/A,TRUE,"Vacancy Detail"}</definedName>
    <definedName name="wrn.FCI1CF." localSheetId="7" hidden="1">{#N/A,#N/A,FALSE,"NO.1"}</definedName>
    <definedName name="wrn.FCI1CF." hidden="1">{#N/A,#N/A,FALSE,"NO.1"}</definedName>
    <definedName name="wrn.Feb98." localSheetId="7" hidden="1">{"sheet a",#N/A,FALSE,"A";"2 9 casflow",#N/A,FALSE,"B"}</definedName>
    <definedName name="wrn.Feb98." hidden="1">{"sheet a",#N/A,FALSE,"A";"2 9 casflow",#N/A,FALSE,"B"}</definedName>
    <definedName name="wrn.Filter." localSheetId="7" hidden="1">{#N/A,#N/A,FALSE,"Assump2";#N/A,#N/A,FALSE,"Income2";#N/A,#N/A,FALSE,"Balance2";#N/A,#N/A,FALSE,"DCF Filter";#N/A,#N/A,FALSE,"Trans Assump2";#N/A,#N/A,FALSE,"Combined Income2";#N/A,#N/A,FALSE,"Combined Balance2"}</definedName>
    <definedName name="wrn.Filter." hidden="1">{#N/A,#N/A,FALSE,"Assump2";#N/A,#N/A,FALSE,"Income2";#N/A,#N/A,FALSE,"Balance2";#N/A,#N/A,FALSE,"DCF Filter";#N/A,#N/A,FALSE,"Trans Assump2";#N/A,#N/A,FALSE,"Combined Income2";#N/A,#N/A,FALSE,"Combined Balance2"}</definedName>
    <definedName name="wrn.Final._.Account." localSheetId="7" hidden="1">{#N/A,#N/A,FALSE,"Header P";#N/A,#N/A,FALSE,"Summary";#N/A,#N/A,FALSE,"CONTRACT WORKS";#N/A,#N/A,FALSE,"Variations";#N/A,#N/A,FALSE,"Dwk"}</definedName>
    <definedName name="wrn.Final._.Account." hidden="1">{#N/A,#N/A,FALSE,"Header P";#N/A,#N/A,FALSE,"Summary";#N/A,#N/A,FALSE,"CONTRACT WORKS";#N/A,#N/A,FALSE,"Variations";#N/A,#N/A,FALSE,"Dwk"}</definedName>
    <definedName name="wrn.Financial._.Model." localSheetId="7" hidden="1">{#N/A,#N/A,TRUE,"Input Sheet Model";#N/A,#N/A,TRUE,"Project Proforma Detail";#N/A,#N/A,TRUE,"Signoff Summary";#N/A,#N/A,TRUE,"Assumptions";#N/A,#N/A,TRUE,"Constr. Int. Inc.";#N/A,#N/A,TRUE,"Cashflow Projection"}</definedName>
    <definedName name="wrn.Financial._.Model." hidden="1">{#N/A,#N/A,TRUE,"Input Sheet Model";#N/A,#N/A,TRUE,"Project Proforma Detail";#N/A,#N/A,TRUE,"Signoff Summary";#N/A,#N/A,TRUE,"Assumptions";#N/A,#N/A,TRUE,"Constr. Int. Inc.";#N/A,#N/A,TRUE,"Cashflow Projection"}</definedName>
    <definedName name="wrn.Financial._.Reports." localSheetId="7" hidden="1">{#N/A,#N/A,FALSE,"Overview";#N/A,#N/A,FALSE,"santafe";#N/A,#N/A,FALSE,"noble";#N/A,#N/A,FALSE,"Combined Results";#N/A,#N/A,FALSE,"Earnings"}</definedName>
    <definedName name="wrn.Financial._.Reports." hidden="1">{#N/A,#N/A,FALSE,"Overview";#N/A,#N/A,FALSE,"santafe";#N/A,#N/A,FALSE,"noble";#N/A,#N/A,FALSE,"Combined Results";#N/A,#N/A,FALSE,"Earnings"}</definedName>
    <definedName name="wrn.Financial._.Statements." localSheetId="7" hidden="1">{"balance sheet",#N/A,FALSE,"balance sheet";#N/A,#N/A,FALSE,"income stmt (YTD)";"income stmt",#N/A,FALSE,"income stmt ";"cash flow YTD",#N/A,FALSE,"cash flow (YTD)";"cash flow",#N/A,FALSE,"cash flow "}</definedName>
    <definedName name="wrn.Financial._.Statements." hidden="1">{"balance sheet",#N/A,FALSE,"balance sheet";#N/A,#N/A,FALSE,"income stmt (YTD)";"income stmt",#N/A,FALSE,"income stmt ";"cash flow YTD",#N/A,FALSE,"cash flow (YTD)";"cash flow",#N/A,FALSE,"cash flow "}</definedName>
    <definedName name="wrn.Financials." localSheetId="7" hidden="1">{#N/A,#N/A,FALSE,"Income Stmt";#N/A,#N/A,FALSE,"Income Summary"}</definedName>
    <definedName name="wrn.Financials." hidden="1">{#N/A,#N/A,FALSE,"Income Stmt";#N/A,#N/A,FALSE,"Income Summary"}</definedName>
    <definedName name="wrn.Financing." localSheetId="7" hidden="1">{"One",#N/A,FALSE,"Financing";"Two",#N/A,FALSE,"Financing";"Three",#N/A,FALSE,"Financing";"Four",#N/A,FALSE,"Financing"}</definedName>
    <definedName name="wrn.Financing." hidden="1">{"One",#N/A,FALSE,"Financing";"Two",#N/A,FALSE,"Financing";"Three",#N/A,FALSE,"Financing";"Four",#N/A,FALSE,"Financing"}</definedName>
    <definedName name="wrn.Financing_Assumptions." localSheetId="7" hidden="1">{"One",#N/A,FALSE,"Financing Assumptions";"Two",#N/A,FALSE,"Financing Assumptions";"Three",#N/A,FALSE,"Financing Assumptions";"Four",#N/A,FALSE,"Financing Assumptions"}</definedName>
    <definedName name="wrn.Financing_Assumptions." hidden="1">{"One",#N/A,FALSE,"Financing Assumptions";"Two",#N/A,FALSE,"Financing Assumptions";"Three",#N/A,FALSE,"Financing Assumptions";"Four",#N/A,FALSE,"Financing Assumptions"}</definedName>
    <definedName name="wrn.Finsumm." localSheetId="7" hidden="1">{"Finsumm",#N/A,FALSE,"Summary Analysis"}</definedName>
    <definedName name="wrn.Finsumm." hidden="1">{"Finsumm",#N/A,FALSE,"Summary Analysis"}</definedName>
    <definedName name="wrn.Finsumm2." localSheetId="7" hidden="1">{"Finsumm",#N/A,FALSE,"Summary Analysis"}</definedName>
    <definedName name="wrn.Finsumm2." hidden="1">{"Finsumm",#N/A,FALSE,"Summary Analysis"}</definedName>
    <definedName name="wrn.first2." localSheetId="7" hidden="1">{#N/A,#N/A,FALSE,"sum-don";#N/A,#N/A,FALSE,"inc-don"}</definedName>
    <definedName name="wrn.first2." hidden="1">{#N/A,#N/A,FALSE,"sum-don";#N/A,#N/A,FALSE,"inc-don"}</definedName>
    <definedName name="wrn.first3." localSheetId="7" hidden="1">{#N/A,#N/A,FALSE,"Summary";#N/A,#N/A,FALSE,"proj1";#N/A,#N/A,FALSE,"proj2"}</definedName>
    <definedName name="wrn.first3." hidden="1">{#N/A,#N/A,FALSE,"Summary";#N/A,#N/A,FALSE,"proj1";#N/A,#N/A,FALSE,"proj2"}</definedName>
    <definedName name="wrn.first4." localSheetId="7" hidden="1">{#N/A,#N/A,FALSE,"Summary";#N/A,#N/A,FALSE,"proj1";#N/A,#N/A,FALSE,"proj2";#N/A,#N/A,FALSE,"DCF"}</definedName>
    <definedName name="wrn.first4." hidden="1">{#N/A,#N/A,FALSE,"Summary";#N/A,#N/A,FALSE,"proj1";#N/A,#N/A,FALSE,"proj2";#N/A,#N/A,FALSE,"DCF"}</definedName>
    <definedName name="wrn.Fleet." localSheetId="7" hidden="1">{"FleetDetailsNE",#N/A,FALSE,"NEForecast"}</definedName>
    <definedName name="wrn.Fleet." hidden="1">{"FleetDetailsNE",#N/A,FALSE,"NEForecast"}</definedName>
    <definedName name="wrn.Fmgmtfee." localSheetId="7" hidden="1">{#N/A,#N/A,FALSE,"Fmgmtfee"}</definedName>
    <definedName name="wrn.Fmgmtfee." hidden="1">{#N/A,#N/A,FALSE,"Fmgmtfee"}</definedName>
    <definedName name="wrn.Fmgmtfee._1" localSheetId="7" hidden="1">{#N/A,#N/A,FALSE,"Fmgmtfee"}</definedName>
    <definedName name="wrn.Fmgmtfee._1" hidden="1">{#N/A,#N/A,FALSE,"Fmgmtfee"}</definedName>
    <definedName name="wrn.Food._.and._.Beverage._.Reports." localSheetId="7" hidden="1">{#N/A,#N/A,FALSE,"Overview";#N/A,#N/A,FALSE,"F&amp;B Day Report";#N/A,#N/A,FALSE,"Cashier Shift Report";#N/A,#N/A,FALSE,"Payroll Dining";#N/A,#N/A,FALSE,"Payroll Kitchen";#N/A,#N/A,FALSE,"Banquet Payroll"}</definedName>
    <definedName name="wrn.Food._.and._.Beverage._.Reports." hidden="1">{#N/A,#N/A,FALSE,"Overview";#N/A,#N/A,FALSE,"F&amp;B Day Report";#N/A,#N/A,FALSE,"Cashier Shift Report";#N/A,#N/A,FALSE,"Payroll Dining";#N/A,#N/A,FALSE,"Payroll Kitchen";#N/A,#N/A,FALSE,"Banquet Payroll"}</definedName>
    <definedName name="wrn.Food._.and._.Beverage._.Reports._1" localSheetId="7" hidden="1">{#N/A,#N/A,FALSE,"Overview";#N/A,#N/A,FALSE,"F&amp;B Day Report";#N/A,#N/A,FALSE,"Cashier Shift Report";#N/A,#N/A,FALSE,"Payroll Dining";#N/A,#N/A,FALSE,"Payroll Kitchen";#N/A,#N/A,FALSE,"Banquet Payroll"}</definedName>
    <definedName name="wrn.Food._.and._.Beverage._.Reports._1" hidden="1">{#N/A,#N/A,FALSE,"Overview";#N/A,#N/A,FALSE,"F&amp;B Day Report";#N/A,#N/A,FALSE,"Cashier Shift Report";#N/A,#N/A,FALSE,"Payroll Dining";#N/A,#N/A,FALSE,"Payroll Kitchen";#N/A,#N/A,FALSE,"Banquet Payroll"}</definedName>
    <definedName name="wrn.Food._.and._.Beverage._.Reports._1_1" localSheetId="7" hidden="1">{#N/A,#N/A,FALSE,"Overview";#N/A,#N/A,FALSE,"F&amp;B Day Report";#N/A,#N/A,FALSE,"Cashier Shift Report";#N/A,#N/A,FALSE,"Payroll Dining";#N/A,#N/A,FALSE,"Payroll Kitchen";#N/A,#N/A,FALSE,"Banquet Payroll"}</definedName>
    <definedName name="wrn.Food._.and._.Beverage._.Reports._1_1" hidden="1">{#N/A,#N/A,FALSE,"Overview";#N/A,#N/A,FALSE,"F&amp;B Day Report";#N/A,#N/A,FALSE,"Cashier Shift Report";#N/A,#N/A,FALSE,"Payroll Dining";#N/A,#N/A,FALSE,"Payroll Kitchen";#N/A,#N/A,FALSE,"Banquet Payroll"}</definedName>
    <definedName name="wrn.Food._.and._.Beverage._.Reports._1_1_1" localSheetId="7" hidden="1">{#N/A,#N/A,FALSE,"Overview";#N/A,#N/A,FALSE,"F&amp;B Day Report";#N/A,#N/A,FALSE,"Cashier Shift Report";#N/A,#N/A,FALSE,"Payroll Dining";#N/A,#N/A,FALSE,"Payroll Kitchen";#N/A,#N/A,FALSE,"Banquet Payroll"}</definedName>
    <definedName name="wrn.Food._.and._.Beverage._.Reports._1_1_1" hidden="1">{#N/A,#N/A,FALSE,"Overview";#N/A,#N/A,FALSE,"F&amp;B Day Report";#N/A,#N/A,FALSE,"Cashier Shift Report";#N/A,#N/A,FALSE,"Payroll Dining";#N/A,#N/A,FALSE,"Payroll Kitchen";#N/A,#N/A,FALSE,"Banquet Payroll"}</definedName>
    <definedName name="wrn.Food._.and._.Beverage._.Reports._1_2" localSheetId="7" hidden="1">{#N/A,#N/A,FALSE,"Overview";#N/A,#N/A,FALSE,"F&amp;B Day Report";#N/A,#N/A,FALSE,"Cashier Shift Report";#N/A,#N/A,FALSE,"Payroll Dining";#N/A,#N/A,FALSE,"Payroll Kitchen";#N/A,#N/A,FALSE,"Banquet Payroll"}</definedName>
    <definedName name="wrn.Food._.and._.Beverage._.Reports._1_2" hidden="1">{#N/A,#N/A,FALSE,"Overview";#N/A,#N/A,FALSE,"F&amp;B Day Report";#N/A,#N/A,FALSE,"Cashier Shift Report";#N/A,#N/A,FALSE,"Payroll Dining";#N/A,#N/A,FALSE,"Payroll Kitchen";#N/A,#N/A,FALSE,"Banquet Payroll"}</definedName>
    <definedName name="wrn.Food._.and._.Beverage._.Reports._1_3" localSheetId="7" hidden="1">{#N/A,#N/A,FALSE,"Overview";#N/A,#N/A,FALSE,"F&amp;B Day Report";#N/A,#N/A,FALSE,"Cashier Shift Report";#N/A,#N/A,FALSE,"Payroll Dining";#N/A,#N/A,FALSE,"Payroll Kitchen";#N/A,#N/A,FALSE,"Banquet Payroll"}</definedName>
    <definedName name="wrn.Food._.and._.Beverage._.Reports._1_3" hidden="1">{#N/A,#N/A,FALSE,"Overview";#N/A,#N/A,FALSE,"F&amp;B Day Report";#N/A,#N/A,FALSE,"Cashier Shift Report";#N/A,#N/A,FALSE,"Payroll Dining";#N/A,#N/A,FALSE,"Payroll Kitchen";#N/A,#N/A,FALSE,"Banquet Payroll"}</definedName>
    <definedName name="wrn.Food._.and._.Beverage._.Reports._1_4" localSheetId="7" hidden="1">{#N/A,#N/A,FALSE,"Overview";#N/A,#N/A,FALSE,"F&amp;B Day Report";#N/A,#N/A,FALSE,"Cashier Shift Report";#N/A,#N/A,FALSE,"Payroll Dining";#N/A,#N/A,FALSE,"Payroll Kitchen";#N/A,#N/A,FALSE,"Banquet Payroll"}</definedName>
    <definedName name="wrn.Food._.and._.Beverage._.Reports._1_4" hidden="1">{#N/A,#N/A,FALSE,"Overview";#N/A,#N/A,FALSE,"F&amp;B Day Report";#N/A,#N/A,FALSE,"Cashier Shift Report";#N/A,#N/A,FALSE,"Payroll Dining";#N/A,#N/A,FALSE,"Payroll Kitchen";#N/A,#N/A,FALSE,"Banquet Payroll"}</definedName>
    <definedName name="wrn.Food._.and._.Beverage._.Reports._1_5" localSheetId="7" hidden="1">{#N/A,#N/A,FALSE,"Overview";#N/A,#N/A,FALSE,"F&amp;B Day Report";#N/A,#N/A,FALSE,"Cashier Shift Report";#N/A,#N/A,FALSE,"Payroll Dining";#N/A,#N/A,FALSE,"Payroll Kitchen";#N/A,#N/A,FALSE,"Banquet Payroll"}</definedName>
    <definedName name="wrn.Food._.and._.Beverage._.Reports._1_5" hidden="1">{#N/A,#N/A,FALSE,"Overview";#N/A,#N/A,FALSE,"F&amp;B Day Report";#N/A,#N/A,FALSE,"Cashier Shift Report";#N/A,#N/A,FALSE,"Payroll Dining";#N/A,#N/A,FALSE,"Payroll Kitchen";#N/A,#N/A,FALSE,"Banquet Payroll"}</definedName>
    <definedName name="wrn.Food._.and._.Beverage._.Reports._2" localSheetId="7" hidden="1">{#N/A,#N/A,FALSE,"Overview";#N/A,#N/A,FALSE,"F&amp;B Day Report";#N/A,#N/A,FALSE,"Cashier Shift Report";#N/A,#N/A,FALSE,"Payroll Dining";#N/A,#N/A,FALSE,"Payroll Kitchen";#N/A,#N/A,FALSE,"Banquet Payroll"}</definedName>
    <definedName name="wrn.Food._.and._.Beverage._.Reports._2" hidden="1">{#N/A,#N/A,FALSE,"Overview";#N/A,#N/A,FALSE,"F&amp;B Day Report";#N/A,#N/A,FALSE,"Cashier Shift Report";#N/A,#N/A,FALSE,"Payroll Dining";#N/A,#N/A,FALSE,"Payroll Kitchen";#N/A,#N/A,FALSE,"Banquet Payroll"}</definedName>
    <definedName name="wrn.Food._.and._.Beverage._.Reports._3" localSheetId="7" hidden="1">{#N/A,#N/A,FALSE,"Overview";#N/A,#N/A,FALSE,"F&amp;B Day Report";#N/A,#N/A,FALSE,"Cashier Shift Report";#N/A,#N/A,FALSE,"Payroll Dining";#N/A,#N/A,FALSE,"Payroll Kitchen";#N/A,#N/A,FALSE,"Banquet Payroll"}</definedName>
    <definedName name="wrn.Food._.and._.Beverage._.Reports._3" hidden="1">{#N/A,#N/A,FALSE,"Overview";#N/A,#N/A,FALSE,"F&amp;B Day Report";#N/A,#N/A,FALSE,"Cashier Shift Report";#N/A,#N/A,FALSE,"Payroll Dining";#N/A,#N/A,FALSE,"Payroll Kitchen";#N/A,#N/A,FALSE,"Banquet Payroll"}</definedName>
    <definedName name="wrn.Food._.and._.Beverage._.Reports._4" localSheetId="7" hidden="1">{#N/A,#N/A,FALSE,"Overview";#N/A,#N/A,FALSE,"F&amp;B Day Report";#N/A,#N/A,FALSE,"Cashier Shift Report";#N/A,#N/A,FALSE,"Payroll Dining";#N/A,#N/A,FALSE,"Payroll Kitchen";#N/A,#N/A,FALSE,"Banquet Payroll"}</definedName>
    <definedName name="wrn.Food._.and._.Beverage._.Reports._4" hidden="1">{#N/A,#N/A,FALSE,"Overview";#N/A,#N/A,FALSE,"F&amp;B Day Report";#N/A,#N/A,FALSE,"Cashier Shift Report";#N/A,#N/A,FALSE,"Payroll Dining";#N/A,#N/A,FALSE,"Payroll Kitchen";#N/A,#N/A,FALSE,"Banquet Payroll"}</definedName>
    <definedName name="wrn.Food._.and._.Beverage._.Reports._5" localSheetId="7" hidden="1">{#N/A,#N/A,FALSE,"Overview";#N/A,#N/A,FALSE,"F&amp;B Day Report";#N/A,#N/A,FALSE,"Cashier Shift Report";#N/A,#N/A,FALSE,"Payroll Dining";#N/A,#N/A,FALSE,"Payroll Kitchen";#N/A,#N/A,FALSE,"Banquet Payroll"}</definedName>
    <definedName name="wrn.Food._.and._.Beverage._.Reports._5" hidden="1">{#N/A,#N/A,FALSE,"Overview";#N/A,#N/A,FALSE,"F&amp;B Day Report";#N/A,#N/A,FALSE,"Cashier Shift Report";#N/A,#N/A,FALSE,"Payroll Dining";#N/A,#N/A,FALSE,"Payroll Kitchen";#N/A,#N/A,FALSE,"Banquet Payroll"}</definedName>
    <definedName name="wrn.Forecast._.and._.Payroll." localSheetId="7" hidden="1">{#N/A,#N/A,FALSE,"ForecastSales";#N/A,#N/A,FALSE,"Payroll review"}</definedName>
    <definedName name="wrn.Forecast._.and._.Payroll." hidden="1">{#N/A,#N/A,FALSE,"ForecastSales";#N/A,#N/A,FALSE,"Payroll review"}</definedName>
    <definedName name="wrn.Forecast._.and._.Payroll._1" localSheetId="7" hidden="1">{#N/A,#N/A,FALSE,"ForecastSales";#N/A,#N/A,FALSE,"Payroll review"}</definedName>
    <definedName name="wrn.Forecast._.and._.Payroll._1" hidden="1">{#N/A,#N/A,FALSE,"ForecastSales";#N/A,#N/A,FALSE,"Payroll review"}</definedName>
    <definedName name="wrn.Forecast._.and._.Payroll._1_1" localSheetId="7" hidden="1">{#N/A,#N/A,FALSE,"ForecastSales";#N/A,#N/A,FALSE,"Payroll review"}</definedName>
    <definedName name="wrn.Forecast._.and._.Payroll._1_1" hidden="1">{#N/A,#N/A,FALSE,"ForecastSales";#N/A,#N/A,FALSE,"Payroll review"}</definedName>
    <definedName name="wrn.Forecast._.and._.Payroll._1_1_1" localSheetId="7" hidden="1">{#N/A,#N/A,FALSE,"ForecastSales";#N/A,#N/A,FALSE,"Payroll review"}</definedName>
    <definedName name="wrn.Forecast._.and._.Payroll._1_1_1" hidden="1">{#N/A,#N/A,FALSE,"ForecastSales";#N/A,#N/A,FALSE,"Payroll review"}</definedName>
    <definedName name="wrn.Forecast._.and._.Payroll._1_2" localSheetId="7" hidden="1">{#N/A,#N/A,FALSE,"ForecastSales";#N/A,#N/A,FALSE,"Payroll review"}</definedName>
    <definedName name="wrn.Forecast._.and._.Payroll._1_2" hidden="1">{#N/A,#N/A,FALSE,"ForecastSales";#N/A,#N/A,FALSE,"Payroll review"}</definedName>
    <definedName name="wrn.Forecast._.and._.Payroll._1_3" localSheetId="7" hidden="1">{#N/A,#N/A,FALSE,"ForecastSales";#N/A,#N/A,FALSE,"Payroll review"}</definedName>
    <definedName name="wrn.Forecast._.and._.Payroll._1_3" hidden="1">{#N/A,#N/A,FALSE,"ForecastSales";#N/A,#N/A,FALSE,"Payroll review"}</definedName>
    <definedName name="wrn.Forecast._.and._.Payroll._1_4" localSheetId="7" hidden="1">{#N/A,#N/A,FALSE,"ForecastSales";#N/A,#N/A,FALSE,"Payroll review"}</definedName>
    <definedName name="wrn.Forecast._.and._.Payroll._1_4" hidden="1">{#N/A,#N/A,FALSE,"ForecastSales";#N/A,#N/A,FALSE,"Payroll review"}</definedName>
    <definedName name="wrn.Forecast._.and._.Payroll._1_5" localSheetId="7" hidden="1">{#N/A,#N/A,FALSE,"ForecastSales";#N/A,#N/A,FALSE,"Payroll review"}</definedName>
    <definedName name="wrn.Forecast._.and._.Payroll._1_5" hidden="1">{#N/A,#N/A,FALSE,"ForecastSales";#N/A,#N/A,FALSE,"Payroll review"}</definedName>
    <definedName name="wrn.Forecast._.and._.Payroll._2" localSheetId="7" hidden="1">{#N/A,#N/A,FALSE,"ForecastSales";#N/A,#N/A,FALSE,"Payroll review"}</definedName>
    <definedName name="wrn.Forecast._.and._.Payroll._2" hidden="1">{#N/A,#N/A,FALSE,"ForecastSales";#N/A,#N/A,FALSE,"Payroll review"}</definedName>
    <definedName name="wrn.Forecast._.and._.Payroll._3" localSheetId="7" hidden="1">{#N/A,#N/A,FALSE,"ForecastSales";#N/A,#N/A,FALSE,"Payroll review"}</definedName>
    <definedName name="wrn.Forecast._.and._.Payroll._3" hidden="1">{#N/A,#N/A,FALSE,"ForecastSales";#N/A,#N/A,FALSE,"Payroll review"}</definedName>
    <definedName name="wrn.Forecast._.and._.Payroll._4" localSheetId="7" hidden="1">{#N/A,#N/A,FALSE,"ForecastSales";#N/A,#N/A,FALSE,"Payroll review"}</definedName>
    <definedName name="wrn.Forecast._.and._.Payroll._4" hidden="1">{#N/A,#N/A,FALSE,"ForecastSales";#N/A,#N/A,FALSE,"Payroll review"}</definedName>
    <definedName name="wrn.Forecast._.and._.Payroll._5" localSheetId="7" hidden="1">{#N/A,#N/A,FALSE,"ForecastSales";#N/A,#N/A,FALSE,"Payroll review"}</definedName>
    <definedName name="wrn.Forecast._.and._.Payroll._5" hidden="1">{#N/A,#N/A,FALSE,"ForecastSales";#N/A,#N/A,FALSE,"Payroll review"}</definedName>
    <definedName name="wrn.Forecast._.Red._.Book." localSheetId="7" hidden="1">{"RB QY $",#N/A,FALSE,"Fin STMT";"RB QY Stats",#N/A,FALSE,"Fin STMT";"RB 00 $",#N/A,FALSE,"Fin STMT";"RB 00 Stats",#N/A,FALSE,"Fin STMT";"RB 01 $",#N/A,FALSE,"Fin STMT";"RB 01 Stats",#N/A,FALSE,"Fin STMT"}</definedName>
    <definedName name="wrn.Forecast._.Red._.Book." hidden="1">{"RB QY $",#N/A,FALSE,"Fin STMT";"RB QY Stats",#N/A,FALSE,"Fin STMT";"RB 00 $",#N/A,FALSE,"Fin STMT";"RB 00 Stats",#N/A,FALSE,"Fin STMT";"RB 01 $",#N/A,FALSE,"Fin STMT";"RB 01 Stats",#N/A,FALSE,"Fin STMT"}</definedName>
    <definedName name="wrn.Forecast._.Report." localSheetId="7" hidden="1">{"Q&amp;A Dollars",#N/A,FALSE,"Fin STMT";"Q&amp;A Stats",#N/A,FALSE,"Fin STMT";"Monthly 1999 IS",#N/A,FALSE,"Months";"Monthly 1999 Stats",#N/A,FALSE,"Months";"Monthly 2000 IS",#N/A,FALSE,"Months";"Monthly 2000 Stats",#N/A,FALSE,"Months";"Monthly 2001 IS",#N/A,FALSE,"Months";"Monthly 2001 Stats",#N/A,FALSE,"Months";"Monthly 2002 IS",#N/A,FALSE,"Months";"Monthly 2002 Stats",#N/A,FALSE,"Months";"Monthly 2003 IS",#N/A,FALSE,"Months";"Monthly 2003 Stats",#N/A,FALSE,"Months"}</definedName>
    <definedName name="wrn.Forecast._.Report." hidden="1">{"Q&amp;A Dollars",#N/A,FALSE,"Fin STMT";"Q&amp;A Stats",#N/A,FALSE,"Fin STMT";"Monthly 1999 IS",#N/A,FALSE,"Months";"Monthly 1999 Stats",#N/A,FALSE,"Months";"Monthly 2000 IS",#N/A,FALSE,"Months";"Monthly 2000 Stats",#N/A,FALSE,"Months";"Monthly 2001 IS",#N/A,FALSE,"Months";"Monthly 2001 Stats",#N/A,FALSE,"Months";"Monthly 2002 IS",#N/A,FALSE,"Months";"Monthly 2002 Stats",#N/A,FALSE,"Months";"Monthly 2003 IS",#N/A,FALSE,"Months";"Monthly 2003 Stats",#N/A,FALSE,"Months"}</definedName>
    <definedName name="wrn.FORMULAS." localSheetId="7" hidden="1">{"FORMULAS",#N/A,FALSE,"ESTIMATE"}</definedName>
    <definedName name="wrn.FORMULAS." hidden="1">{"FORMULAS",#N/A,FALSE,"ESTIMATE"}</definedName>
    <definedName name="wrn.FOschedules." localSheetId="7" hidden="1">{"FOschedule1",#N/A,FALSE,"Sheet1";"FOschedule2",#N/A,FALSE,"Sheet1";"FOschedule3",#N/A,FALSE,"Sheet1"}</definedName>
    <definedName name="wrn.FOschedules." hidden="1">{"FOschedule1",#N/A,FALSE,"Sheet1";"FOschedule2",#N/A,FALSE,"Sheet1";"FOschedule3",#N/A,FALSE,"Sheet1"}</definedName>
    <definedName name="wrn.FOschedules._1" localSheetId="7" hidden="1">{"FOschedule1",#N/A,FALSE,"Sheet1";"FOschedule2",#N/A,FALSE,"Sheet1";"FOschedule3",#N/A,FALSE,"Sheet1"}</definedName>
    <definedName name="wrn.FOschedules._1" hidden="1">{"FOschedule1",#N/A,FALSE,"Sheet1";"FOschedule2",#N/A,FALSE,"Sheet1";"FOschedule3",#N/A,FALSE,"Sheet1"}</definedName>
    <definedName name="wrn.Freq_Res." localSheetId="7" hidden="1">{#N/A,#N/A,TRUE,"FR_HC";#N/A,#N/A,TRUE,"FR_REST";#N/A,#N/A,TRUE,"FR_RETA";#N/A,#N/A,TRUE,"FR_TECSOF";#N/A,#N/A,TRUE,"FR_NETTEC";#N/A,#N/A,TRUE,"FR_CLISER"}</definedName>
    <definedName name="wrn.Freq_Res." hidden="1">{#N/A,#N/A,TRUE,"FR_HC";#N/A,#N/A,TRUE,"FR_REST";#N/A,#N/A,TRUE,"FR_RETA";#N/A,#N/A,TRUE,"FR_TECSOF";#N/A,#N/A,TRUE,"FR_NETTEC";#N/A,#N/A,TRUE,"FR_CLISER"}</definedName>
    <definedName name="wrn.FS._.Notes." localSheetId="7" hidden="1">{#N/A,#N/A,FALSE,"Note 2";#N/A,#N/A,FALSE,"Note 3";#N/A,#N/A,FALSE,"Note 4";#N/A,#N/A,FALSE,"Note 5";#N/A,#N/A,FALSE,"Note 6";#N/A,#N/A,FALSE,"Note 10"}</definedName>
    <definedName name="wrn.FS._.Notes." hidden="1">{#N/A,#N/A,FALSE,"Note 2";#N/A,#N/A,FALSE,"Note 3";#N/A,#N/A,FALSE,"Note 4";#N/A,#N/A,FALSE,"Note 5";#N/A,#N/A,FALSE,"Note 6";#N/A,#N/A,FALSE,"Note 10"}</definedName>
    <definedName name="wrn.Full." localSheetId="7" hidden="1">{#N/A,#N/A,FALSE,"ExecutiveSummary";#N/A,#N/A,FALSE,"CostDetail";#N/A,#N/A,FALSE,"IncomeDetail";#N/A,#N/A,FALSE,"InterestCalculation"}</definedName>
    <definedName name="wrn.Full." hidden="1">{#N/A,#N/A,FALSE,"ExecutiveSummary";#N/A,#N/A,FALSE,"CostDetail";#N/A,#N/A,FALSE,"IncomeDetail";#N/A,#N/A,FALSE,"InterestCalculation"}</definedName>
    <definedName name="wrn.FULL._.COMPARISON." localSheetId="7" hidden="1">{"Full Sheet",#N/A,FALSE,"Expense Comparison"}</definedName>
    <definedName name="wrn.FULL._.COMPARISON." hidden="1">{"Full Sheet",#N/A,FALSE,"Expense Comparison"}</definedName>
    <definedName name="wrn.FULL._.COMPARISON._1" localSheetId="7" hidden="1">{"Full Sheet",#N/A,FALSE,"Expense Comparison"}</definedName>
    <definedName name="wrn.FULL._.COMPARISON._1" hidden="1">{"Full Sheet",#N/A,FALSE,"Expense Comparison"}</definedName>
    <definedName name="wrn.Full._.Print." localSheetId="7" hidden="1">{#N/A,#N/A,FALSE,"Cover";#N/A,#N/A,FALSE,"Table";#N/A,#N/A,FALSE,"sec 1";#N/A,#N/A,FALSE,"Summary Schedule";#N/A,#N/A,FALSE,"Sec 2";#N/A,#N/A,FALSE,"Use of Proceeds";#N/A,#N/A,FALSE,"Sec 3";#N/A,#N/A,FALSE,"Yield Cal";#N/A,#N/A,FALSE,"Sec 4";#N/A,#N/A,FALSE,"Qtrly Distributions";#N/A,#N/A,FALSE,"Sec 5";#N/A,#N/A,FALSE,"RATE";#N/A,#N/A,FALSE,"Sec 6";#N/A,#N/A,FALSE,"OPERATIONS";#N/A,#N/A,FALSE,"Sec 7";#N/A,#N/A,FALSE,"Dev. Budget";#N/A,#N/A,FALSE,"Sec 8";#N/A,#N/A,FALSE,"Draw";#N/A,#N/A,FALSE,"Sec 9";#N/A,#N/A,FALSE,"COMPARISON SCHEDULE";#N/A,#N/A,FALSE,"Sec 10";#N/A,#N/A,FALSE,"Investor10";#N/A,#N/A,FALSE,"Sec 11";#N/A,#N/A,FALSE,"10 year a";#N/A,#N/A,FALSE,"Sec 12";#N/A,#N/A,FALSE,"Assum."}</definedName>
    <definedName name="wrn.Full._.Print." hidden="1">{#N/A,#N/A,FALSE,"Cover";#N/A,#N/A,FALSE,"Table";#N/A,#N/A,FALSE,"sec 1";#N/A,#N/A,FALSE,"Summary Schedule";#N/A,#N/A,FALSE,"Sec 2";#N/A,#N/A,FALSE,"Use of Proceeds";#N/A,#N/A,FALSE,"Sec 3";#N/A,#N/A,FALSE,"Yield Cal";#N/A,#N/A,FALSE,"Sec 4";#N/A,#N/A,FALSE,"Qtrly Distributions";#N/A,#N/A,FALSE,"Sec 5";#N/A,#N/A,FALSE,"RATE";#N/A,#N/A,FALSE,"Sec 6";#N/A,#N/A,FALSE,"OPERATIONS";#N/A,#N/A,FALSE,"Sec 7";#N/A,#N/A,FALSE,"Dev. Budget";#N/A,#N/A,FALSE,"Sec 8";#N/A,#N/A,FALSE,"Draw";#N/A,#N/A,FALSE,"Sec 9";#N/A,#N/A,FALSE,"COMPARISON SCHEDULE";#N/A,#N/A,FALSE,"Sec 10";#N/A,#N/A,FALSE,"Investor10";#N/A,#N/A,FALSE,"Sec 11";#N/A,#N/A,FALSE,"10 year a";#N/A,#N/A,FALSE,"Sec 12";#N/A,#N/A,FALSE,"Assum."}</definedName>
    <definedName name="wrn.Full._.Report" localSheetId="7" hidden="1">{#N/A,#N/A,FALSE,"Summary";#N/A,#N/A,FALSE,"Project Summary";#N/A,#N/A,FALSE,"Master Developer Cash Flow";#N/A,#N/A,FALSE,"Development Cost Allocation";#N/A,#N/A,FALSE,"Costs";#N/A,#N/A,FALSE,"Pad Fees";#N/A,#N/A,FALSE,"Parking Budget";#N/A,#N/A,FALSE,"Podium Monthly Development #1";#N/A,#N/A,FALSE,"Podium Monthly Development #2";#N/A,#N/A,FALSE,"Podium Quarterly Development Bu";#N/A,#N/A,FALSE,"Parking Cash Flow";#N/A,#N/A,FALSE,"Parking Assumptions";#N/A,#N/A,FALSE,"Bond Debt Service";#N/A,#N/A,FALSE,"Bond Shortfall";#N/A,#N/A,FALSE,"Retail Development Budget";#N/A,#N/A,FALSE,"Retail Monthly Development Budg";#N/A,#N/A,FALSE,"Retail Quarterly Development Bu";#N/A,#N/A,FALSE,"Retail Cash Flow";#N/A,#N/A,FALSE,"Retail Cash Flow";#N/A,#N/A,FALSE,"Retail Assumptions";#N/A,#N/A,FALSE,"Retail Debt Service";#N/A,#N/A,FALSE,"Office Development Budget";#N/A,#N/A,FALSE,"Office Monthly Development Budg";#N/A,#N/A,FALSE,"Office Quarterly Development Bu";#N/A,#N/A,FALSE,"Office Cash Flow";#N/A,#N/A,FALSE,"Office Assumptions";#N/A,#N/A,FALSE,"Office Debt Service";#N/A,#N/A,FALSE,"Hotel Development Budget";#N/A,#N/A,FALSE,"Hotel Monthly Development Budge";#N/A,#N/A,FALSE,"Hotel Quarterly Development Bud";#N/A,#N/A,FALSE,"Hotel Cash Flow";#N/A,#N/A,FALSE,"Hotel Assumptions";#N/A,#N/A,FALSE,"Hotel Debt Service";#N/A,#N/A,FALSE,"Demographics-Hotel";#N/A,#N/A,FALSE,"Land Lease NPV"}</definedName>
    <definedName name="wrn.Full._.Report" hidden="1">{#N/A,#N/A,FALSE,"Summary";#N/A,#N/A,FALSE,"Project Summary";#N/A,#N/A,FALSE,"Master Developer Cash Flow";#N/A,#N/A,FALSE,"Development Cost Allocation";#N/A,#N/A,FALSE,"Costs";#N/A,#N/A,FALSE,"Pad Fees";#N/A,#N/A,FALSE,"Parking Budget";#N/A,#N/A,FALSE,"Podium Monthly Development #1";#N/A,#N/A,FALSE,"Podium Monthly Development #2";#N/A,#N/A,FALSE,"Podium Quarterly Development Bu";#N/A,#N/A,FALSE,"Parking Cash Flow";#N/A,#N/A,FALSE,"Parking Assumptions";#N/A,#N/A,FALSE,"Bond Debt Service";#N/A,#N/A,FALSE,"Bond Shortfall";#N/A,#N/A,FALSE,"Retail Development Budget";#N/A,#N/A,FALSE,"Retail Monthly Development Budg";#N/A,#N/A,FALSE,"Retail Quarterly Development Bu";#N/A,#N/A,FALSE,"Retail Cash Flow";#N/A,#N/A,FALSE,"Retail Cash Flow";#N/A,#N/A,FALSE,"Retail Assumptions";#N/A,#N/A,FALSE,"Retail Debt Service";#N/A,#N/A,FALSE,"Office Development Budget";#N/A,#N/A,FALSE,"Office Monthly Development Budg";#N/A,#N/A,FALSE,"Office Quarterly Development Bu";#N/A,#N/A,FALSE,"Office Cash Flow";#N/A,#N/A,FALSE,"Office Assumptions";#N/A,#N/A,FALSE,"Office Debt Service";#N/A,#N/A,FALSE,"Hotel Development Budget";#N/A,#N/A,FALSE,"Hotel Monthly Development Budge";#N/A,#N/A,FALSE,"Hotel Quarterly Development Bud";#N/A,#N/A,FALSE,"Hotel Cash Flow";#N/A,#N/A,FALSE,"Hotel Assumptions";#N/A,#N/A,FALSE,"Hotel Debt Service";#N/A,#N/A,FALSE,"Demographics-Hotel";#N/A,#N/A,FALSE,"Land Lease NPV"}</definedName>
    <definedName name="wrn.Full._.Report." localSheetId="7" hidden="1">{"Office Properties",#N/A,FALSE,"Consolidation";"Residential Summary",#N/A,FALSE,"Consolidation";"Retail Properties",#N/A,FALSE,"Consolidation";"Pru Loan",#N/A,FALSE,"Pru Loan";"One_Clear",#N/A,FALSE,"One Clearlake";"Comm_Corp",#N/A,FALSE,"Comm Corp Ctr";"San_Jac",#N/A,FALSE,"San Jacinto";"Wilshire",#N/A,FALSE,"8383 Wilshire";"Denver_Corp",#N/A,FALSE,"Denver Corp Center";"san_fel",#N/A,FALSE,"San Felipe";"Preston Bend",#N/A,FALSE,"Preston Bend";"The Willows",#N/A,FALSE,"The Willows";"Windemere",#N/A,FALSE,"Windemere";"Concorde",#N/A,FALSE,"Concorde";"Wyndridge",#N/A,FALSE,"Wyndridge 2 &amp; 3";"Spinnaker",#N/A,FALSE,"Spinnaker Cove";"Sedona",#N/A,FALSE,"Sedona Ridge";"Summer_Tree",#N/A,FALSE,"Summer Tree";"Ridge_Mtn",#N/A,FALSE,"Mountbrook_Ridgemont";"Highline",#N/A,FALSE,"Highline Oaks";"South_Towne",#N/A,FALSE,"South Towne";"Swansea",#N/A,FALSE,"Swansea"}</definedName>
    <definedName name="wrn.Full._.Report." hidden="1">{"Office Properties",#N/A,FALSE,"Consolidation";"Residential Summary",#N/A,FALSE,"Consolidation";"Retail Properties",#N/A,FALSE,"Consolidation";"Pru Loan",#N/A,FALSE,"Pru Loan";"One_Clear",#N/A,FALSE,"One Clearlake";"Comm_Corp",#N/A,FALSE,"Comm Corp Ctr";"San_Jac",#N/A,FALSE,"San Jacinto";"Wilshire",#N/A,FALSE,"8383 Wilshire";"Denver_Corp",#N/A,FALSE,"Denver Corp Center";"san_fel",#N/A,FALSE,"San Felipe";"Preston Bend",#N/A,FALSE,"Preston Bend";"The Willows",#N/A,FALSE,"The Willows";"Windemere",#N/A,FALSE,"Windemere";"Concorde",#N/A,FALSE,"Concorde";"Wyndridge",#N/A,FALSE,"Wyndridge 2 &amp; 3";"Spinnaker",#N/A,FALSE,"Spinnaker Cove";"Sedona",#N/A,FALSE,"Sedona Ridge";"Summer_Tree",#N/A,FALSE,"Summer Tree";"Ridge_Mtn",#N/A,FALSE,"Mountbrook_Ridgemont";"Highline",#N/A,FALSE,"Highline Oaks";"South_Towne",#N/A,FALSE,"South Towne";"Swansea",#N/A,FALSE,"Swansea"}</definedName>
    <definedName name="wrn.Full._.Template." localSheetId="7" hidden="1">{#N/A,#N/A,FALSE,"1Summary";#N/A,#N/A,FALSE,"Assumptions";#N/A,#N/A,FALSE,"3Cash Flow";#N/A,#N/A,FALSE,"5Residual";#N/A,#N/A,FALSE,"6Residual (Year 20)";#N/A,#N/A,FALSE,"7Financing Sensitivity";#N/A,#N/A,FALSE,"8Residual Sensitivity";#N/A,#N/A,FALSE,"9Pricing Matrix";#N/A,#N/A,FALSE,"10Vacancy Matrix";#N/A,#N/A,FALSE,"11Expiration Schedule";#N/A,#N/A,FALSE,"12Lease-up Schedule"}</definedName>
    <definedName name="wrn.Full._.Template." hidden="1">{#N/A,#N/A,FALSE,"1Summary";#N/A,#N/A,FALSE,"Assumptions";#N/A,#N/A,FALSE,"3Cash Flow";#N/A,#N/A,FALSE,"5Residual";#N/A,#N/A,FALSE,"6Residual (Year 20)";#N/A,#N/A,FALSE,"7Financing Sensitivity";#N/A,#N/A,FALSE,"8Residual Sensitivity";#N/A,#N/A,FALSE,"9Pricing Matrix";#N/A,#N/A,FALSE,"10Vacancy Matrix";#N/A,#N/A,FALSE,"11Expiration Schedule";#N/A,#N/A,FALSE,"12Lease-up Schedule"}</definedName>
    <definedName name="wrn.Full_Template." localSheetId="7" hidden="1">{#N/A,#N/A,FALSE,"1Summary";#N/A,#N/A,FALSE,"2Assumptions";#N/A,#N/A,FALSE,"3Cash Flow";#N/A,#N/A,FALSE,"4Year 1 Reconciliation";#N/A,#N/A,FALSE,"5Residual";#N/A,#N/A,FALSE,"6Residual (Year 20)";#N/A,#N/A,FALSE,"7Financing Sensitivity";#N/A,#N/A,FALSE,"8Residual Sensitivity";#N/A,#N/A,FALSE,"9Pricing Matrix";#N/A,#N/A,FALSE,"10Vacancy Matrix";#N/A,#N/A,FALSE,"11Expiration Schedule";#N/A,#N/A,FALSE,"12Lease-up Schedule";#N/A,#N/A,FALSE,"13Residual 2007";#N/A,#N/A,FALSE,"14Residual 2008";#N/A,#N/A,FALSE,"15Residual 2009";#N/A,#N/A,FALSE,"16Residual 2010";#N/A,#N/A,FALSE,"17Residual 2011";#N/A,#N/A,FALSE,"18Hold Disposition Matrix";#N/A,#N/A,FALSE,"19Other Disposition Matrix"}</definedName>
    <definedName name="wrn.Full_Template." hidden="1">{#N/A,#N/A,FALSE,"1Summary";#N/A,#N/A,FALSE,"2Assumptions";#N/A,#N/A,FALSE,"3Cash Flow";#N/A,#N/A,FALSE,"4Year 1 Reconciliation";#N/A,#N/A,FALSE,"5Residual";#N/A,#N/A,FALSE,"6Residual (Year 20)";#N/A,#N/A,FALSE,"7Financing Sensitivity";#N/A,#N/A,FALSE,"8Residual Sensitivity";#N/A,#N/A,FALSE,"9Pricing Matrix";#N/A,#N/A,FALSE,"10Vacancy Matrix";#N/A,#N/A,FALSE,"11Expiration Schedule";#N/A,#N/A,FALSE,"12Lease-up Schedule";#N/A,#N/A,FALSE,"13Residual 2007";#N/A,#N/A,FALSE,"14Residual 2008";#N/A,#N/A,FALSE,"15Residual 2009";#N/A,#N/A,FALSE,"16Residual 2010";#N/A,#N/A,FALSE,"17Residual 2011";#N/A,#N/A,FALSE,"18Hold Disposition Matrix";#N/A,#N/A,FALSE,"19Other Disposition Matrix"}</definedName>
    <definedName name="wrn.Full_Template.2" localSheetId="7" hidden="1">{#N/A,#N/A,FALSE,"1Summary";#N/A,#N/A,FALSE,"2Assumptions";#N/A,#N/A,FALSE,"3Cash Flow";#N/A,#N/A,FALSE,"4Return of Investment Chart";#N/A,#N/A,FALSE,"5Year 1 Reconciliation";#N/A,#N/A,FALSE,"6Residual";#N/A,#N/A,FALSE,"7Pricing Matrix";#N/A,#N/A,FALSE,"8Vacancy Matrix";#N/A,#N/A,FALSE,"9Vacancy Chart";#N/A,#N/A,FALSE,"AExpiration Schedule";#N/A,#N/A,FALSE,"BExpiration Chart";#N/A,#N/A,FALSE,"CLease-up Schedule";#N/A,#N/A,FALSE,"DWeighted Average Calculation"}</definedName>
    <definedName name="wrn.Full_Template.2" hidden="1">{#N/A,#N/A,FALSE,"1Summary";#N/A,#N/A,FALSE,"2Assumptions";#N/A,#N/A,FALSE,"3Cash Flow";#N/A,#N/A,FALSE,"4Return of Investment Chart";#N/A,#N/A,FALSE,"5Year 1 Reconciliation";#N/A,#N/A,FALSE,"6Residual";#N/A,#N/A,FALSE,"7Pricing Matrix";#N/A,#N/A,FALSE,"8Vacancy Matrix";#N/A,#N/A,FALSE,"9Vacancy Chart";#N/A,#N/A,FALSE,"AExpiration Schedule";#N/A,#N/A,FALSE,"BExpiration Chart";#N/A,#N/A,FALSE,"CLease-up Schedule";#N/A,#N/A,FALSE,"DWeighted Average Calculation"}</definedName>
    <definedName name="wrn.FUZ_REP." localSheetId="7" hidden="1">{"FUZ_INC_A",#N/A,FALSE,"NOBE";"FUZ_INC_Q",#N/A,FALSE,"NOBE";"FUZ_BAL_A",#N/A,FALSE,"NOBE";"FUZ_CASH_A",#N/A,FALSE,"NOBE";"FUZ_PROD_A",#N/A,FALSE,"NOBE"}</definedName>
    <definedName name="wrn.FUZ_REP." hidden="1">{"FUZ_INC_A",#N/A,FALSE,"NOBE";"FUZ_INC_Q",#N/A,FALSE,"NOBE";"FUZ_BAL_A",#N/A,FALSE,"NOBE";"FUZ_CASH_A",#N/A,FALSE,"NOBE";"FUZ_PROD_A",#N/A,FALSE,"NOBE"}</definedName>
    <definedName name="wrn.FY97SBP." localSheetId="7" hidden="1">{#N/A,#N/A,FALSE,"FY97";#N/A,#N/A,FALSE,"FY98";#N/A,#N/A,FALSE,"FY99";#N/A,#N/A,FALSE,"FY00";#N/A,#N/A,FALSE,"FY01"}</definedName>
    <definedName name="wrn.FY97SBP." hidden="1">{#N/A,#N/A,FALSE,"FY97";#N/A,#N/A,FALSE,"FY98";#N/A,#N/A,FALSE,"FY99";#N/A,#N/A,FALSE,"FY00";#N/A,#N/A,FALSE,"FY01"}</definedName>
    <definedName name="wrn.Garage." localSheetId="7" hidden="1">{#N/A,#N/A,FALSE,"Garage Assumpt 1";#N/A,#N/A,FALSE,"Garage Op Proj";#N/A,#N/A,FALSE,"Hist I&amp;E";#N/A,#N/A,FALSE,"Garage Lease"}</definedName>
    <definedName name="wrn.Garage." hidden="1">{#N/A,#N/A,FALSE,"Garage Assumpt 1";#N/A,#N/A,FALSE,"Garage Op Proj";#N/A,#N/A,FALSE,"Hist I&amp;E";#N/A,#N/A,FALSE,"Garage Lease"}</definedName>
    <definedName name="wrn.General." localSheetId="7" hidden="1">{"Balance",#N/A,FALSE,"General Assumptions";"Cost",#N/A,FALSE,"General Assumptions";"Working",#N/A,FALSE,"General Assumptions"}</definedName>
    <definedName name="wrn.General." hidden="1">{"Balance",#N/A,FALSE,"General Assumptions";"Cost",#N/A,FALSE,"General Assumptions";"Working",#N/A,FALSE,"General Assumptions"}</definedName>
    <definedName name="wrn.Gesamt._.Neu." localSheetId="7" hidden="1">{#N/A,#N/A,FALSE,"Report 2";#N/A,#N/A,FALSE,"Report 3";#N/A,#N/A,FALSE,"Report 4";#N/A,#N/A,FALSE,"Actual-Budget (kum)";#N/A,#N/A,FALSE,"Actual-Budget (per)";#N/A,#N/A,FALSE,"Comparison YTD";#N/A,#N/A,FALSE,"Expenses YTD";#N/A,#N/A,FALSE,"Summary";#N/A,#N/A,FALSE,"Aktiv";#N/A,#N/A,FALSE,"Passiv";#N/A,#N/A,FALSE,"Finale1";#N/A,#N/A,FALSE,"Finale2";#N/A,#N/A,FALSE,"periodisch1";#N/A,#N/A,FALSE,"periodisch2";#N/A,#N/A,FALSE,"D-Bestand";#N/A,#N/A,FALSE,"D-Zins";#N/A,#N/A,FALSE,"Fil_A_Bestand";#N/A,#N/A,FALSE,"Fil_A_Zins";#N/A,#N/A,FALSE,"Fil_A_D-Zins";#N/A,#N/A,FALSE,"Fil_P_Bestand";#N/A,#N/A,FALSE,"Fil_P_Zins";#N/A,#N/A,FALSE,"Fil_P_Neu";#N/A,#N/A,FALSE,"Fil_P_Änd";#N/A,#N/A,FALSE,"Fil_P_Änd_kum";#N/A,#N/A,FALSE,"Report 5";#N/A,#N/A,FALSE,"EWB-2";#N/A,#N/A,FALSE,"EWB";#N/A,#N/A,FALSE,"Headcount";#N/A,#N/A,FALSE,"Headcount2";#N/A,#N/A,FALSE,"Investitionsgüter";#N/A,#N/A,FALSE,"Rückstellungen"}</definedName>
    <definedName name="wrn.Gesamt._.Neu." hidden="1">{#N/A,#N/A,FALSE,"Report 2";#N/A,#N/A,FALSE,"Report 3";#N/A,#N/A,FALSE,"Report 4";#N/A,#N/A,FALSE,"Actual-Budget (kum)";#N/A,#N/A,FALSE,"Actual-Budget (per)";#N/A,#N/A,FALSE,"Comparison YTD";#N/A,#N/A,FALSE,"Expenses YTD";#N/A,#N/A,FALSE,"Summary";#N/A,#N/A,FALSE,"Aktiv";#N/A,#N/A,FALSE,"Passiv";#N/A,#N/A,FALSE,"Finale1";#N/A,#N/A,FALSE,"Finale2";#N/A,#N/A,FALSE,"periodisch1";#N/A,#N/A,FALSE,"periodisch2";#N/A,#N/A,FALSE,"D-Bestand";#N/A,#N/A,FALSE,"D-Zins";#N/A,#N/A,FALSE,"Fil_A_Bestand";#N/A,#N/A,FALSE,"Fil_A_Zins";#N/A,#N/A,FALSE,"Fil_A_D-Zins";#N/A,#N/A,FALSE,"Fil_P_Bestand";#N/A,#N/A,FALSE,"Fil_P_Zins";#N/A,#N/A,FALSE,"Fil_P_Neu";#N/A,#N/A,FALSE,"Fil_P_Änd";#N/A,#N/A,FALSE,"Fil_P_Änd_kum";#N/A,#N/A,FALSE,"Report 5";#N/A,#N/A,FALSE,"EWB-2";#N/A,#N/A,FALSE,"EWB";#N/A,#N/A,FALSE,"Headcount";#N/A,#N/A,FALSE,"Headcount2";#N/A,#N/A,FALSE,"Investitionsgüter";#N/A,#N/A,FALSE,"Rückstellungen"}</definedName>
    <definedName name="wrn.Gesamtausdruck." localSheetId="7" hidden="1">{#N/A,#N/A,FALSE,"Finale1";#N/A,#N/A,FALSE,"Finale2";#N/A,#N/A,FALSE,"peiodisch1";#N/A,#N/A,FALSE,"periodisch2";#N/A,#N/A,FALSE,"Aktiv";#N/A,#N/A,FALSE,"Passiv";#N/A,#N/A,FALSE,"EWB";#N/A,#N/A,FALSE,"EWB-2";#N/A,#N/A,FALSE,"D-Bestand";#N/A,#N/A,FALSE,"D-Zins";#N/A,#N/A,FALSE,"Fil_A_Bestand";#N/A,#N/A,FALSE,"Fil_A_Zins";#N/A,#N/A,FALSE,"Fil_A_D-Zins";#N/A,#N/A,FALSE,"Fil_P_Bestand";#N/A,#N/A,FALSE,"Fil_P_Zins";#N/A,#N/A,FALSE,"Fil_P_Neu";#N/A,#N/A,FALSE,"Report 2";#N/A,#N/A,FALSE,"Report 3";#N/A,#N/A,FALSE,"Report 4";#N/A,#N/A,FALSE,"Report 5";#N/A,#N/A,FALSE,"Summary";#N/A,#N/A,FALSE,"Actual-Budget (kum)";#N/A,#N/A,FALSE,"Actual-Budget (per)";#N/A,#N/A,FALSE,"Comparison YTD";#N/A,#N/A,FALSE,"Headcount";#N/A,#N/A,FALSE,"Headcount2";#N/A,#N/A,FALSE,"Investitionsgüter";#N/A,#N/A,FALSE,"Konzern";#N/A,#N/A,FALSE,"stat.con.";#N/A,#N/A,FALSE,"Zusatz1";#N/A,#N/A,FALSE,"BIS 1";#N/A,#N/A,FALSE,"BIS-Assets";#N/A,#N/A,FALSE,"BIS 2"}</definedName>
    <definedName name="wrn.Gesamtausdruck." hidden="1">{#N/A,#N/A,FALSE,"Finale1";#N/A,#N/A,FALSE,"Finale2";#N/A,#N/A,FALSE,"peiodisch1";#N/A,#N/A,FALSE,"periodisch2";#N/A,#N/A,FALSE,"Aktiv";#N/A,#N/A,FALSE,"Passiv";#N/A,#N/A,FALSE,"EWB";#N/A,#N/A,FALSE,"EWB-2";#N/A,#N/A,FALSE,"D-Bestand";#N/A,#N/A,FALSE,"D-Zins";#N/A,#N/A,FALSE,"Fil_A_Bestand";#N/A,#N/A,FALSE,"Fil_A_Zins";#N/A,#N/A,FALSE,"Fil_A_D-Zins";#N/A,#N/A,FALSE,"Fil_P_Bestand";#N/A,#N/A,FALSE,"Fil_P_Zins";#N/A,#N/A,FALSE,"Fil_P_Neu";#N/A,#N/A,FALSE,"Report 2";#N/A,#N/A,FALSE,"Report 3";#N/A,#N/A,FALSE,"Report 4";#N/A,#N/A,FALSE,"Report 5";#N/A,#N/A,FALSE,"Summary";#N/A,#N/A,FALSE,"Actual-Budget (kum)";#N/A,#N/A,FALSE,"Actual-Budget (per)";#N/A,#N/A,FALSE,"Comparison YTD";#N/A,#N/A,FALSE,"Headcount";#N/A,#N/A,FALSE,"Headcount2";#N/A,#N/A,FALSE,"Investitionsgüter";#N/A,#N/A,FALSE,"Konzern";#N/A,#N/A,FALSE,"stat.con.";#N/A,#N/A,FALSE,"Zusatz1";#N/A,#N/A,FALSE,"BIS 1";#N/A,#N/A,FALSE,"BIS-Assets";#N/A,#N/A,FALSE,"BIS 2"}</definedName>
    <definedName name="wrn.Golf._.Summary." localSheetId="7" hidden="1">{"View1",#N/A,FALSE,"Golf";"View2",#N/A,FALSE,"Golf";"View3",#N/A,FALSE,"Golf";"View4",#N/A,FALSE,"Golf";"View5",#N/A,FALSE,"Golf";"View6",#N/A,FALSE,"Golf";"View7",#N/A,FALSE,"Golf";"View8",#N/A,FALSE,"Golf";"View9",#N/A,FALSE,"Golf";"View10",#N/A,FALSE,"Golf";"View11",#N/A,FALSE,"Golf";"View12",#N/A,FALSE,"Golf"}</definedName>
    <definedName name="wrn.Golf._.Summary." hidden="1">{"View1",#N/A,FALSE,"Golf";"View2",#N/A,FALSE,"Golf";"View3",#N/A,FALSE,"Golf";"View4",#N/A,FALSE,"Golf";"View5",#N/A,FALSE,"Golf";"View6",#N/A,FALSE,"Golf";"View7",#N/A,FALSE,"Golf";"View8",#N/A,FALSE,"Golf";"View9",#N/A,FALSE,"Golf";"View10",#N/A,FALSE,"Golf";"View11",#N/A,FALSE,"Golf";"View12",#N/A,FALSE,"Golf"}</definedName>
    <definedName name="wrn.gros." localSheetId="7" hidden="1">{#N/A,#N/A,FALSE,"Sch01";#N/A,#N/A,FALSE,"Sch02";#N/A,#N/A,FALSE,"Sch04";#N/A,#N/A,FALSE,"Sch05";#N/A,#N/A,FALSE,"Sch05a";#N/A,#N/A,FALSE,"Sch06";#N/A,#N/A,FALSE,"Sch07";#N/A,#N/A,FALSE,"Sch08";#N/A,#N/A,FALSE,"Sch09";#N/A,#N/A,FALSE,"Sch10";#N/A,#N/A,FALSE,"Sch11";#N/A,#N/A,FALSE,"Sch12";#N/A,#N/A,FALSE,"Sch-C";#N/A,#N/A,FALSE,"Sch-E"}</definedName>
    <definedName name="wrn.gros." hidden="1">{#N/A,#N/A,FALSE,"Sch01";#N/A,#N/A,FALSE,"Sch02";#N/A,#N/A,FALSE,"Sch04";#N/A,#N/A,FALSE,"Sch05";#N/A,#N/A,FALSE,"Sch05a";#N/A,#N/A,FALSE,"Sch06";#N/A,#N/A,FALSE,"Sch07";#N/A,#N/A,FALSE,"Sch08";#N/A,#N/A,FALSE,"Sch09";#N/A,#N/A,FALSE,"Sch10";#N/A,#N/A,FALSE,"Sch11";#N/A,#N/A,FALSE,"Sch12";#N/A,#N/A,FALSE,"Sch-C";#N/A,#N/A,FALSE,"Sch-E"}</definedName>
    <definedName name="wrn.Gross._.up." localSheetId="7" hidden="1">{#N/A,#N/A,FALSE,"Gross-Up"}</definedName>
    <definedName name="wrn.Gross._.up." hidden="1">{#N/A,#N/A,FALSE,"Gross-Up"}</definedName>
    <definedName name="wrn.Gross._.up._1" localSheetId="7" hidden="1">{#N/A,#N/A,FALSE,"Gross-Up"}</definedName>
    <definedName name="wrn.Gross._.up._1" hidden="1">{#N/A,#N/A,FALSE,"Gross-Up"}</definedName>
    <definedName name="wrn.GSA._.PRINT." localSheetId="7" hidden="1">{#N/A,#N/A,FALSE,"DEV COSTS";#N/A,#N/A,FALSE,"10-YR C. F."}</definedName>
    <definedName name="wrn.GSA._.PRINT." hidden="1">{#N/A,#N/A,FALSE,"DEV COSTS";#N/A,#N/A,FALSE,"10-YR C. F."}</definedName>
    <definedName name="wrn.gsa._PRINT5" localSheetId="7" hidden="1">{#N/A,#N/A,FALSE,"DEV COSTS";#N/A,#N/A,FALSE,"10-YR C. F."}</definedName>
    <definedName name="wrn.gsa._PRINT5" hidden="1">{#N/A,#N/A,FALSE,"DEV COSTS";#N/A,#N/A,FALSE,"10-YR C. F."}</definedName>
    <definedName name="wrn.Gund._.Arena._.PCD." localSheetId="7" hidden="1">{#N/A,#N/A,TRUE,"Gund Arena PCD";#N/A,#N/A,TRUE,"Gund Arena IOR"}</definedName>
    <definedName name="wrn.Gund._.Arena._.PCD." hidden="1">{#N/A,#N/A,TRUE,"Gund Arena PCD";#N/A,#N/A,TRUE,"Gund Arena IOR"}</definedName>
    <definedName name="wrn.HEAT." localSheetId="7" hidden="1">{#N/A,#N/A,FALSE,"Heat";#N/A,#N/A,FALSE,"DCF";#N/A,#N/A,FALSE,"LBO";#N/A,#N/A,FALSE,"A";#N/A,#N/A,FALSE,"C";#N/A,#N/A,FALSE,"impd";#N/A,#N/A,FALSE,"Accr-Dilu"}</definedName>
    <definedName name="wrn.HEAT." hidden="1">{#N/A,#N/A,FALSE,"Heat";#N/A,#N/A,FALSE,"DCF";#N/A,#N/A,FALSE,"LBO";#N/A,#N/A,FALSE,"A";#N/A,#N/A,FALSE,"C";#N/A,#N/A,FALSE,"impd";#N/A,#N/A,FALSE,"Accr-Dilu"}</definedName>
    <definedName name="wrn.Hightower." localSheetId="7" hidden="1">{"Hightower-Investor",#N/A,FALSE,"Hightower";"Hightower-Property",#N/A,FALSE,"Hightower"}</definedName>
    <definedName name="wrn.Hightower." hidden="1">{"Hightower-Investor",#N/A,FALSE,"Hightower";"Hightower-Property",#N/A,FALSE,"Hightower"}</definedName>
    <definedName name="wrn.Hist._.InE." localSheetId="7" hidden="1">{#N/A,#N/A,FALSE,"Hist I&amp;E - Consol";#N/A,#N/A,FALSE,"Hist I&amp;E - Lakes";#N/A,#N/A,FALSE,"Hist I&amp;E - Chabot";#N/A,#N/A,FALSE,"Hist I&amp;E - Diablo"}</definedName>
    <definedName name="wrn.Hist._.InE." hidden="1">{#N/A,#N/A,FALSE,"Hist I&amp;E - Consol";#N/A,#N/A,FALSE,"Hist I&amp;E - Lakes";#N/A,#N/A,FALSE,"Hist I&amp;E - Chabot";#N/A,#N/A,FALSE,"Hist I&amp;E - Diablo"}</definedName>
    <definedName name="wrn.Hist._.InE2." localSheetId="7" hidden="1">{#N/A,#N/A,FALSE,"Hist I&amp;E - #2";#N/A,#N/A,FALSE,"Hist I&amp;E - #3";#N/A,#N/A,FALSE,"Hist I&amp;E - #4";#N/A,#N/A,FALSE,"Hist I&amp;E - #5";#N/A,#N/A,FALSE,"Hist I&amp;E - #6";#N/A,#N/A,FALSE,"Hist I&amp;E - #8";#N/A,#N/A,FALSE,"Hist I&amp;E - #9";#N/A,#N/A,FALSE,"Hist I&amp;E - #10"}</definedName>
    <definedName name="wrn.Hist._.InE2." hidden="1">{#N/A,#N/A,FALSE,"Hist I&amp;E - #2";#N/A,#N/A,FALSE,"Hist I&amp;E - #3";#N/A,#N/A,FALSE,"Hist I&amp;E - #4";#N/A,#N/A,FALSE,"Hist I&amp;E - #5";#N/A,#N/A,FALSE,"Hist I&amp;E - #6";#N/A,#N/A,FALSE,"Hist I&amp;E - #8";#N/A,#N/A,FALSE,"Hist I&amp;E - #9";#N/A,#N/A,FALSE,"Hist I&amp;E - #10"}</definedName>
    <definedName name="wrn.Historical._.Analysis." localSheetId="7" hidden="1">{#N/A,#N/A,FALSE,"HISTORICAL REV &amp; EXP"}</definedName>
    <definedName name="wrn.Historical._.Analysis." hidden="1">{#N/A,#N/A,FALSE,"HISTORICAL REV &amp; EXP"}</definedName>
    <definedName name="wrn.Historical._.Rev._.Exp." localSheetId="7" hidden="1">{#N/A,#N/A,FALSE,"Historical Rev &amp; Exp"}</definedName>
    <definedName name="wrn.Historical._.Rev._.Exp." hidden="1">{#N/A,#N/A,FALSE,"Historical Rev &amp; Exp"}</definedName>
    <definedName name="wrn.History._.Proforma." localSheetId="7" hidden="1">{"History &amp; Projection",#N/A,FALSE,"History - Proforma"}</definedName>
    <definedName name="wrn.History._.Proforma." hidden="1">{"History &amp; Projection",#N/A,FALSE,"History - Proforma"}</definedName>
    <definedName name="wrn.Hold._.Sell." localSheetId="7" hidden="1">{#N/A,#N/A,FALSE,"13Residual 2007";#N/A,#N/A,FALSE,"14Residual 2008";#N/A,#N/A,FALSE,"15Residual 2009";#N/A,#N/A,FALSE,"16Residual 2010";#N/A,#N/A,FALSE,"17Residual 2011";#N/A,#N/A,FALSE,"18Hold Disposition Matrix";#N/A,#N/A,FALSE,"19Other Disposition Matrix"}</definedName>
    <definedName name="wrn.Hold._.Sell." hidden="1">{#N/A,#N/A,FALSE,"13Residual 2007";#N/A,#N/A,FALSE,"14Residual 2008";#N/A,#N/A,FALSE,"15Residual 2009";#N/A,#N/A,FALSE,"16Residual 2010";#N/A,#N/A,FALSE,"17Residual 2011";#N/A,#N/A,FALSE,"18Hold Disposition Matrix";#N/A,#N/A,FALSE,"19Other Disposition Matrix"}</definedName>
    <definedName name="wrn.Hydraulic." localSheetId="7"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2." localSheetId="7" hidden="1">{#N/A,#N/A,FALSE,"HuscoCombined-Summ";#N/A,#N/A,FALSE,"HuscoCombined-Income";#N/A,#N/A,FALSE,"HuscoCombined-Offering";#N/A,#N/A,FALSE,"Husco-Income";#N/A,#N/A,FALSE,"TargetEngineer";#N/A,#N/A,FALSE,"TargetAcqCalc";#N/A,#N/A,FALSE,"Husco-Acq"}</definedName>
    <definedName name="wrn.Hydraulic2." hidden="1">{#N/A,#N/A,FALSE,"HuscoCombined-Summ";#N/A,#N/A,FALSE,"HuscoCombined-Income";#N/A,#N/A,FALSE,"HuscoCombined-Offering";#N/A,#N/A,FALSE,"Husco-Income";#N/A,#N/A,FALSE,"TargetEngineer";#N/A,#N/A,FALSE,"TargetAcqCalc";#N/A,#N/A,FALSE,"Husco-Acq"}</definedName>
    <definedName name="wrn.IGT._.Model." localSheetId="7" hidden="1">{#N/A,#N/A,TRUE,"IGT";#N/A,#N/A,TRUE,"IGTSLOT"}</definedName>
    <definedName name="wrn.IGT._.Model." hidden="1">{#N/A,#N/A,TRUE,"IGT";#N/A,#N/A,TRUE,"IGTSLOT"}</definedName>
    <definedName name="wrn.III." localSheetId="7" hidden="1">{"CASHFLOW",#N/A,FALSE,"Northpointe"}</definedName>
    <definedName name="wrn.III." hidden="1">{"CASHFLOW",#N/A,FALSE,"Northpointe"}</definedName>
    <definedName name="wrn.Income._.Input." localSheetId="7" hidden="1">{#N/A,#N/A,FALSE,"Income Input"}</definedName>
    <definedName name="wrn.Income._.Input." hidden="1">{#N/A,#N/A,FALSE,"Income Input"}</definedName>
    <definedName name="wrn.Income._.Statements." localSheetId="7" hidden="1">{#N/A,#N/A,FALSE,"Consol CF";#N/A,#N/A,FALSE,"matx B4 DS";#N/A,#N/A,FALSE,"Hacienda CF";#N/A,#N/A,FALSE,"matx B4 DS Hac";#N/A,#N/A,FALSE,"Chabot CF";#N/A,#N/A,FALSE,"matx B4 DS Chabot";#N/A,#N/A,FALSE,"Diablo CF";#N/A,#N/A,FALSE,"matx B4 DS Diablo";#N/A,#N/A,FALSE,"HAC2-CF";#N/A,#N/A,FALSE,"HAC3-CF";#N/A,#N/A,FALSE,"HAC4-CF";#N/A,#N/A,FALSE,"HAC5-CF";#N/A,#N/A,FALSE,"HAC6-CF";#N/A,#N/A,FALSE,"HAC7-CF";#N/A,#N/A,FALSE,"HAC8-CF";#N/A,#N/A,FALSE,"HAC9-CF";#N/A,#N/A,FALSE,"HA10-CF"}</definedName>
    <definedName name="wrn.Income._.Statements." hidden="1">{#N/A,#N/A,FALSE,"Consol CF";#N/A,#N/A,FALSE,"matx B4 DS";#N/A,#N/A,FALSE,"Hacienda CF";#N/A,#N/A,FALSE,"matx B4 DS Hac";#N/A,#N/A,FALSE,"Chabot CF";#N/A,#N/A,FALSE,"matx B4 DS Chabot";#N/A,#N/A,FALSE,"Diablo CF";#N/A,#N/A,FALSE,"matx B4 DS Diablo";#N/A,#N/A,FALSE,"HAC2-CF";#N/A,#N/A,FALSE,"HAC3-CF";#N/A,#N/A,FALSE,"HAC4-CF";#N/A,#N/A,FALSE,"HAC5-CF";#N/A,#N/A,FALSE,"HAC6-CF";#N/A,#N/A,FALSE,"HAC7-CF";#N/A,#N/A,FALSE,"HAC8-CF";#N/A,#N/A,FALSE,"HAC9-CF";#N/A,#N/A,FALSE,"HA10-CF"}</definedName>
    <definedName name="wrn.Income_Statement." localSheetId="7" hidden="1">{"One",#N/A,FALSE,"Income Statement";"Two",#N/A,FALSE,"Income Statement";"Three",#N/A,FALSE,"Income Statement";"Four",#N/A,FALSE,"Income Statement"}</definedName>
    <definedName name="wrn.Income_Statement." hidden="1">{"One",#N/A,FALSE,"Income Statement";"Two",#N/A,FALSE,"Income Statement";"Three",#N/A,FALSE,"Income Statement";"Four",#N/A,FALSE,"Income Statement"}</definedName>
    <definedName name="wrn.Index." localSheetId="7" hidden="1">{#N/A,#N/A,FALSE,"INDEX"}</definedName>
    <definedName name="wrn.Index." hidden="1">{#N/A,#N/A,FALSE,"INDEX"}</definedName>
    <definedName name="wrn.Industry.xls." localSheetId="7" hidden="1">{#N/A,#N/A,FALSE,"Earnings";#N/A,#N/A,FALSE,"Overview";#N/A,#N/A,FALSE,"Summary";#N/A,#N/A,FALSE,"Summary II";#N/A,#N/A,FALSE,"R&amp;D";#N/A,#N/A,FALSE,"R&amp;D Forecast";#N/A,#N/A,FALSE,"Tax Adj";#N/A,#N/A,FALSE,"Goodwill";#N/A,#N/A,FALSE,"FX ";#N/A,#N/A,FALSE,"Consolidation";#N/A,#N/A,FALSE,"Provisions"}</definedName>
    <definedName name="wrn.Industry.xls." hidden="1">{#N/A,#N/A,FALSE,"Earnings";#N/A,#N/A,FALSE,"Overview";#N/A,#N/A,FALSE,"Summary";#N/A,#N/A,FALSE,"Summary II";#N/A,#N/A,FALSE,"R&amp;D";#N/A,#N/A,FALSE,"R&amp;D Forecast";#N/A,#N/A,FALSE,"Tax Adj";#N/A,#N/A,FALSE,"Goodwill";#N/A,#N/A,FALSE,"FX ";#N/A,#N/A,FALSE,"Consolidation";#N/A,#N/A,FALSE,"Provisions"}</definedName>
    <definedName name="wrn.INPUT." localSheetId="7" hidden="1">{"input",#N/A,FALSE,"RATE"}</definedName>
    <definedName name="wrn.INPUT." hidden="1">{"input",#N/A,FALSE,"RATE"}</definedName>
    <definedName name="wrn.input._.and._.output." localSheetId="7" hidden="1">{"EBITDA",#N/A,TRUE,"P&amp;L Net of Disc Ops";"output net of disc ops",#N/A,TRUE,"Revenue";"input",#N/A,TRUE,"Revenue";"output",#N/A,TRUE,"DC";"Input",#N/A,TRUE,"DC";"MTN and MCN",#N/A,TRUE,"Margin";"output detail line items",#N/A,TRUE,"SGA";"personnel by year",#N/A,TRUE,"Payroll";#N/A,#N/A,TRUE,"CapEx"}</definedName>
    <definedName name="wrn.input._.and._.output." hidden="1">{"EBITDA",#N/A,TRUE,"P&amp;L Net of Disc Ops";"output net of disc ops",#N/A,TRUE,"Revenue";"input",#N/A,TRUE,"Revenue";"output",#N/A,TRUE,"DC";"Input",#N/A,TRUE,"DC";"MTN and MCN",#N/A,TRUE,"Margin";"output detail line items",#N/A,TRUE,"SGA";"personnel by year",#N/A,TRUE,"Payroll";#N/A,#N/A,TRUE,"CapEx"}</definedName>
    <definedName name="wrn.Input._.Pages." localSheetId="7" hidden="1">{#N/A,#N/A,TRUE,"General Assumptions (Input)";#N/A,#N/A,TRUE,"Income (Input Page)";#N/A,#N/A,TRUE,"Related Mgmt Exps (Input Page)";#N/A,#N/A,TRUE,"Development Cost (Input)"}</definedName>
    <definedName name="wrn.Input._.Pages." hidden="1">{#N/A,#N/A,TRUE,"General Assumptions (Input)";#N/A,#N/A,TRUE,"Income (Input Page)";#N/A,#N/A,TRUE,"Related Mgmt Exps (Input Page)";#N/A,#N/A,TRUE,"Development Cost (Input)"}</definedName>
    <definedName name="wrn.Input._.Pages._.and._.Pro._.Forma." localSheetId="7" hidden="1">{#N/A,#N/A,TRUE,"General Assumptions (Input)";#N/A,#N/A,TRUE,"Related Mgmt Exps (Input Page)";#N/A,#N/A,TRUE,"Development Cost (Input)";#N/A,#N/A,TRUE,"Summary";#N/A,#N/A,TRUE,"Income (Input Page)";#N/A,#N/A,TRUE,"Expenses";#N/A,#N/A,TRUE,"Dev. Cost &amp; Elig. Basis(Input)";#N/A,#N/A,TRUE,"Tax Credit";#N/A,#N/A,TRUE,"Sources and Uses";#N/A,#N/A,TRUE,"Rent Up Reserve";#N/A,#N/A,TRUE,"Cash Flow";#N/A,#N/A,TRUE,"Construction Cash Flow"}</definedName>
    <definedName name="wrn.Input._.Pages._.and._.Pro._.Forma." hidden="1">{#N/A,#N/A,TRUE,"General Assumptions (Input)";#N/A,#N/A,TRUE,"Related Mgmt Exps (Input Page)";#N/A,#N/A,TRUE,"Development Cost (Input)";#N/A,#N/A,TRUE,"Summary";#N/A,#N/A,TRUE,"Income (Input Page)";#N/A,#N/A,TRUE,"Expenses";#N/A,#N/A,TRUE,"Dev. Cost &amp; Elig. Basis(Input)";#N/A,#N/A,TRUE,"Tax Credit";#N/A,#N/A,TRUE,"Sources and Uses";#N/A,#N/A,TRUE,"Rent Up Reserve";#N/A,#N/A,TRUE,"Cash Flow";#N/A,#N/A,TRUE,"Construction Cash Flow"}</definedName>
    <definedName name="wrn.Inputs." localSheetId="7" hidden="1">{#N/A,#N/A,FALSE,"Input"}</definedName>
    <definedName name="wrn.Inputs." hidden="1">{#N/A,#N/A,FALSE,"Input"}</definedName>
    <definedName name="wrn.Interior._.finishes." localSheetId="7" hidden="1">{"interior finishes",#N/A,FALSE,"DETAIL.XLS"}</definedName>
    <definedName name="wrn.Interior._.finishes." hidden="1">{"interior finishes",#N/A,FALSE,"DETAIL.XLS"}</definedName>
    <definedName name="wrn.Internal._.Report__detail._.displayed." localSheetId="7" hidden="1">{"CREELP Internal",#N/A,FALSE,"CREELP";#N/A,#N/A,FALSE,"Funding 1 &amp; 2";#N/A,#N/A,FALSE,"Funding 8";#N/A,#N/A,FALSE,"Capitalization";#N/A,#N/A,FALSE,"Company EBITDA"}</definedName>
    <definedName name="wrn.Internal._.Report__detail._.displayed." hidden="1">{"CREELP Internal",#N/A,FALSE,"CREELP";#N/A,#N/A,FALSE,"Funding 1 &amp; 2";#N/A,#N/A,FALSE,"Funding 8";#N/A,#N/A,FALSE,"Capitalization";#N/A,#N/A,FALSE,"Company EBITDA"}</definedName>
    <definedName name="wrn.Investment._.Review." localSheetId="7" hidden="1">{#N/A,#N/A,FALSE,"Proforma Five Yr";#N/A,#N/A,FALSE,"Capital Input";#N/A,#N/A,FALSE,"Calculations";#N/A,#N/A,FALSE,"Transaction Summary-DTW"}</definedName>
    <definedName name="wrn.Investment._.Review." hidden="1">{#N/A,#N/A,FALSE,"Proforma Five Yr";#N/A,#N/A,FALSE,"Capital Input";#N/A,#N/A,FALSE,"Calculations";#N/A,#N/A,FALSE,"Transaction Summary-DTW"}</definedName>
    <definedName name="wrn.investors._.report." localSheetId="7" hidden="1">{#N/A,#N/A,FALSE,"Cover and Table of Contents";#N/A,#N/A,FALSE,"Sources and Uses";#N/A,#N/A,FALSE,"Revenue and Expenses";#N/A,#N/A,FALSE,"Profit and Loss";#N/A,#N/A,FALSE,"Sales";#N/A,#N/A,FALSE,"LIHTC Calc";#N/A,#N/A,FALSE,"Depreciation";#N/A,#N/A,FALSE,"Min_Gain";#N/A,#N/A,FALSE,"NYEF Schedules";#N/A,#N/A,FALSE,"Operating Reserve";#N/A,#N/A,FALSE,"Bridge Loan";#N/A,#N/A,FALSE,"Cap_Constr_Brdg_Loan_Intrst";#N/A,#N/A,FALSE,"Construction_Interest";#N/A,#N/A,FALSE,"Revenue and Expenses (2)";#N/A,#N/A,FALSE,"Profit and Loss (2)";#N/A,#N/A,FALSE,"Reconciliation";#N/A,#N/A,FALSE,"Disbursements"}</definedName>
    <definedName name="wrn.investors._.report." hidden="1">{#N/A,#N/A,FALSE,"Cover and Table of Contents";#N/A,#N/A,FALSE,"Sources and Uses";#N/A,#N/A,FALSE,"Revenue and Expenses";#N/A,#N/A,FALSE,"Profit and Loss";#N/A,#N/A,FALSE,"Sales";#N/A,#N/A,FALSE,"LIHTC Calc";#N/A,#N/A,FALSE,"Depreciation";#N/A,#N/A,FALSE,"Min_Gain";#N/A,#N/A,FALSE,"NYEF Schedules";#N/A,#N/A,FALSE,"Operating Reserve";#N/A,#N/A,FALSE,"Bridge Loan";#N/A,#N/A,FALSE,"Cap_Constr_Brdg_Loan_Intrst";#N/A,#N/A,FALSE,"Construction_Interest";#N/A,#N/A,FALSE,"Revenue and Expenses (2)";#N/A,#N/A,FALSE,"Profit and Loss (2)";#N/A,#N/A,FALSE,"Reconciliation";#N/A,#N/A,FALSE,"Disbursements"}</definedName>
    <definedName name="wrn.Invoice." localSheetId="7" hidden="1">{"Invoice",#N/A,FALSE,"Invoice &amp; AP"}</definedName>
    <definedName name="wrn.Invoice." hidden="1">{"Invoice",#N/A,FALSE,"Invoice &amp; AP"}</definedName>
    <definedName name="wrn.IPO._.Valuation." localSheetId="7" hidden="1">{"assumptions",#N/A,FALSE,"Scenario 1";"valuation",#N/A,FALSE,"Scenario 1"}</definedName>
    <definedName name="wrn.IPO._.Valuation." hidden="1">{"assumptions",#N/A,FALSE,"Scenario 1";"valuation",#N/A,FALSE,"Scenario 1"}</definedName>
    <definedName name="wrn.ipovalue." localSheetId="7" hidden="1">{#N/A,#N/A,FALSE,"puboff";#N/A,#N/A,FALSE,"valuation";#N/A,#N/A,FALSE,"finanalsis";#N/A,#N/A,FALSE,"split";#N/A,#N/A,FALSE,"ownership"}</definedName>
    <definedName name="wrn.ipovalue." hidden="1">{#N/A,#N/A,FALSE,"puboff";#N/A,#N/A,FALSE,"valuation";#N/A,#N/A,FALSE,"finanalsis";#N/A,#N/A,FALSE,"split";#N/A,#N/A,FALSE,"ownership"}</definedName>
    <definedName name="wrn.IRRs." localSheetId="7" hidden="1">{"IRR18",#N/A,FALSE,"Primary Worksheet";"IRR21",#N/A,FALSE,"Primary Worksheet";"IRR24",#N/A,FALSE,"Primary Worksheet";"IRR27",#N/A,FALSE,"Primary Worksheet";"IRR30",#N/A,FALSE,"Primary Worksheet";"IRR33",#N/A,FALSE,"Primary Worksheet";"IRR36",#N/A,FALSE,"Primary Worksheet"}</definedName>
    <definedName name="wrn.IRRs." hidden="1">{"IRR18",#N/A,FALSE,"Primary Worksheet";"IRR21",#N/A,FALSE,"Primary Worksheet";"IRR24",#N/A,FALSE,"Primary Worksheet";"IRR27",#N/A,FALSE,"Primary Worksheet";"IRR30",#N/A,FALSE,"Primary Worksheet";"IRR33",#N/A,FALSE,"Primary Worksheet";"IRR36",#N/A,FALSE,"Primary Worksheet"}</definedName>
    <definedName name="wrn.ISCG._.model." localSheetId="7" hidden="1">{#N/A,#N/A,FALSE,"Second";#N/A,#N/A,FALSE,"ownership";#N/A,#N/A,FALSE,"Valuation";#N/A,#N/A,FALSE,"Eqiv";#N/A,#N/A,FALSE,"Mults";#N/A,#N/A,FALSE,"ISCG Graphics"}</definedName>
    <definedName name="wrn.ISCG._.model." hidden="1">{#N/A,#N/A,FALSE,"Second";#N/A,#N/A,FALSE,"ownership";#N/A,#N/A,FALSE,"Valuation";#N/A,#N/A,FALSE,"Eqiv";#N/A,#N/A,FALSE,"Mults";#N/A,#N/A,FALSE,"ISCG Graphics"}</definedName>
    <definedName name="wrn.IV." localSheetId="7" hidden="1">{"CASHFLOW",#N/A,FALSE,"Northpointe"}</definedName>
    <definedName name="wrn.IV." hidden="1">{"CASHFLOW",#N/A,FALSE,"Northpointe"}</definedName>
    <definedName name="wrn.jan._.98." localSheetId="7" hidden="1">{"sheet a",#N/A,FALSE,"A";"sheet b 1",#N/A,FALSE,"B";"sheet b 2",#N/A,FALSE,"B"}</definedName>
    <definedName name="wrn.jan._.98." hidden="1">{"sheet a",#N/A,FALSE,"A";"sheet b 1",#N/A,FALSE,"B";"sheet b 2",#N/A,FALSE,"B"}</definedName>
    <definedName name="wrn.JanBob." localSheetId="7" hidden="1">{#N/A,#N/A,TRUE,"Index";#N/A,#N/A,TRUE,"Income Statement vs Original Pl";#N/A,#N/A,TRUE,"Income Statement vs Reproj";#N/A,#N/A,TRUE,"Dental Care DHMO Original Plan";#N/A,#N/A,TRUE,"Dental Care DHMO Revised";#N/A,#N/A,TRUE,"Premium Analysis vs Prior Month";#N/A,#N/A,TRUE,"CURRENT AR";#N/A,#N/A,TRUE,"MO TO MO UNEARNED PREM";#N/A,#N/A,TRUE,"MO TO MO AR ANALYSIS";#N/A,#N/A,TRUE,"MO BY MO SG&amp;A FULL YR";#N/A,#N/A,TRUE,"Book of Business"}</definedName>
    <definedName name="wrn.JanBob." hidden="1">{#N/A,#N/A,TRUE,"Index";#N/A,#N/A,TRUE,"Income Statement vs Original Pl";#N/A,#N/A,TRUE,"Income Statement vs Reproj";#N/A,#N/A,TRUE,"Dental Care DHMO Original Plan";#N/A,#N/A,TRUE,"Dental Care DHMO Revised";#N/A,#N/A,TRUE,"Premium Analysis vs Prior Month";#N/A,#N/A,TRUE,"CURRENT AR";#N/A,#N/A,TRUE,"MO TO MO UNEARNED PREM";#N/A,#N/A,TRUE,"MO TO MO AR ANALYSIS";#N/A,#N/A,TRUE,"MO BY MO SG&amp;A FULL YR";#N/A,#N/A,TRUE,"Book of Business"}</definedName>
    <definedName name="wrn.JEG." localSheetId="7" hidden="1">{#N/A,#N/A,FALSE,"Assumptions";#N/A,#N/A,FALSE,"I&amp;E";#N/A,#N/A,FALSE,"Tax Analysis";#N/A,#N/A,FALSE,"3Cash Flow";#N/A,#N/A,FALSE,"5Residual";#N/A,#N/A,FALSE,"9Pricing Matrix";#N/A,#N/A,FALSE,"10Vacancy Matrix";#N/A,#N/A,FALSE,"11Expiration Schedule";#N/A,#N/A,FALSE,"12Lease-up Schedule"}</definedName>
    <definedName name="wrn.JEG." hidden="1">{#N/A,#N/A,FALSE,"Assumptions";#N/A,#N/A,FALSE,"I&amp;E";#N/A,#N/A,FALSE,"Tax Analysis";#N/A,#N/A,FALSE,"3Cash Flow";#N/A,#N/A,FALSE,"5Residual";#N/A,#N/A,FALSE,"9Pricing Matrix";#N/A,#N/A,FALSE,"10Vacancy Matrix";#N/A,#N/A,FALSE,"11Expiration Schedule";#N/A,#N/A,FALSE,"12Lease-up Schedule"}</definedName>
    <definedName name="wrn.JODM._.Graphs._1" localSheetId="7" hidden="1">{"graph",#N/A,FALSE,"WWJU";"graph",#N/A,FALSE,"WWSEM";"graph",#N/A,FALSE,"GOMJU";"graph",#N/A,FALSE,"GOMSEM";"graph",#N/A,FALSE,"NSJU";"graph",#N/A,FALSE,"NSSEM";"graph",#N/A,FALSE,"WAJU";"graph",#N/A,FALSE,"STOCKPRI";"graph",#N/A,FALSE,"CFTEV";"graph",#N/A,FALSE,"NAV-RCV";"graph",#N/A,FALSE,"CRUDEWW"}</definedName>
    <definedName name="wrn.JODM._.Graphs._1" hidden="1">{"graph",#N/A,FALSE,"WWJU";"graph",#N/A,FALSE,"WWSEM";"graph",#N/A,FALSE,"GOMJU";"graph",#N/A,FALSE,"GOMSEM";"graph",#N/A,FALSE,"NSJU";"graph",#N/A,FALSE,"NSSEM";"graph",#N/A,FALSE,"WAJU";"graph",#N/A,FALSE,"STOCKPRI";"graph",#N/A,FALSE,"CFTEV";"graph",#N/A,FALSE,"NAV-RCV";"graph",#N/A,FALSE,"CRUDEWW"}</definedName>
    <definedName name="wrn.JODM._.Graphs._1_1" localSheetId="7" hidden="1">{"graph",#N/A,FALSE,"WWJU";"graph",#N/A,FALSE,"WWSEM";"graph",#N/A,FALSE,"GOMJU";"graph",#N/A,FALSE,"GOMSEM";"graph",#N/A,FALSE,"NSJU";"graph",#N/A,FALSE,"NSSEM";"graph",#N/A,FALSE,"WAJU";"graph",#N/A,FALSE,"STOCKPRI";"graph",#N/A,FALSE,"CFTEV";"graph",#N/A,FALSE,"NAV-RCV";"graph",#N/A,FALSE,"CRUDEWW"}</definedName>
    <definedName name="wrn.JODM._.Graphs._1_1" hidden="1">{"graph",#N/A,FALSE,"WWJU";"graph",#N/A,FALSE,"WWSEM";"graph",#N/A,FALSE,"GOMJU";"graph",#N/A,FALSE,"GOMSEM";"graph",#N/A,FALSE,"NSJU";"graph",#N/A,FALSE,"NSSEM";"graph",#N/A,FALSE,"WAJU";"graph",#N/A,FALSE,"STOCKPRI";"graph",#N/A,FALSE,"CFTEV";"graph",#N/A,FALSE,"NAV-RCV";"graph",#N/A,FALSE,"CRUDEWW"}</definedName>
    <definedName name="wrn.JODM._.Graphs._1_1_1" localSheetId="7" hidden="1">{"graph",#N/A,FALSE,"WWJU";"graph",#N/A,FALSE,"WWSEM";"graph",#N/A,FALSE,"GOMJU";"graph",#N/A,FALSE,"GOMSEM";"graph",#N/A,FALSE,"NSJU";"graph",#N/A,FALSE,"NSSEM";"graph",#N/A,FALSE,"WAJU";"graph",#N/A,FALSE,"STOCKPRI";"graph",#N/A,FALSE,"CFTEV";"graph",#N/A,FALSE,"NAV-RCV";"graph",#N/A,FALSE,"CRUDEWW"}</definedName>
    <definedName name="wrn.JODM._.Graphs._1_1_1" hidden="1">{"graph",#N/A,FALSE,"WWJU";"graph",#N/A,FALSE,"WWSEM";"graph",#N/A,FALSE,"GOMJU";"graph",#N/A,FALSE,"GOMSEM";"graph",#N/A,FALSE,"NSJU";"graph",#N/A,FALSE,"NSSEM";"graph",#N/A,FALSE,"WAJU";"graph",#N/A,FALSE,"STOCKPRI";"graph",#N/A,FALSE,"CFTEV";"graph",#N/A,FALSE,"NAV-RCV";"graph",#N/A,FALSE,"CRUDEWW"}</definedName>
    <definedName name="wrn.JODM._.Graphs._1_2" localSheetId="7" hidden="1">{"graph",#N/A,FALSE,"WWJU";"graph",#N/A,FALSE,"WWSEM";"graph",#N/A,FALSE,"GOMJU";"graph",#N/A,FALSE,"GOMSEM";"graph",#N/A,FALSE,"NSJU";"graph",#N/A,FALSE,"NSSEM";"graph",#N/A,FALSE,"WAJU";"graph",#N/A,FALSE,"STOCKPRI";"graph",#N/A,FALSE,"CFTEV";"graph",#N/A,FALSE,"NAV-RCV";"graph",#N/A,FALSE,"CRUDEWW"}</definedName>
    <definedName name="wrn.JODM._.Graphs._1_2" hidden="1">{"graph",#N/A,FALSE,"WWJU";"graph",#N/A,FALSE,"WWSEM";"graph",#N/A,FALSE,"GOMJU";"graph",#N/A,FALSE,"GOMSEM";"graph",#N/A,FALSE,"NSJU";"graph",#N/A,FALSE,"NSSEM";"graph",#N/A,FALSE,"WAJU";"graph",#N/A,FALSE,"STOCKPRI";"graph",#N/A,FALSE,"CFTEV";"graph",#N/A,FALSE,"NAV-RCV";"graph",#N/A,FALSE,"CRUDEWW"}</definedName>
    <definedName name="wrn.JODM._.Graphs._1_3" localSheetId="7" hidden="1">{"graph",#N/A,FALSE,"WWJU";"graph",#N/A,FALSE,"WWSEM";"graph",#N/A,FALSE,"GOMJU";"graph",#N/A,FALSE,"GOMSEM";"graph",#N/A,FALSE,"NSJU";"graph",#N/A,FALSE,"NSSEM";"graph",#N/A,FALSE,"WAJU";"graph",#N/A,FALSE,"STOCKPRI";"graph",#N/A,FALSE,"CFTEV";"graph",#N/A,FALSE,"NAV-RCV";"graph",#N/A,FALSE,"CRUDEWW"}</definedName>
    <definedName name="wrn.JODM._.Graphs._1_3" hidden="1">{"graph",#N/A,FALSE,"WWJU";"graph",#N/A,FALSE,"WWSEM";"graph",#N/A,FALSE,"GOMJU";"graph",#N/A,FALSE,"GOMSEM";"graph",#N/A,FALSE,"NSJU";"graph",#N/A,FALSE,"NSSEM";"graph",#N/A,FALSE,"WAJU";"graph",#N/A,FALSE,"STOCKPRI";"graph",#N/A,FALSE,"CFTEV";"graph",#N/A,FALSE,"NAV-RCV";"graph",#N/A,FALSE,"CRUDEWW"}</definedName>
    <definedName name="wrn.JODM._.Graphs._1_4" localSheetId="7" hidden="1">{"graph",#N/A,FALSE,"WWJU";"graph",#N/A,FALSE,"WWSEM";"graph",#N/A,FALSE,"GOMJU";"graph",#N/A,FALSE,"GOMSEM";"graph",#N/A,FALSE,"NSJU";"graph",#N/A,FALSE,"NSSEM";"graph",#N/A,FALSE,"WAJU";"graph",#N/A,FALSE,"STOCKPRI";"graph",#N/A,FALSE,"CFTEV";"graph",#N/A,FALSE,"NAV-RCV";"graph",#N/A,FALSE,"CRUDEWW"}</definedName>
    <definedName name="wrn.JODM._.Graphs._1_4" hidden="1">{"graph",#N/A,FALSE,"WWJU";"graph",#N/A,FALSE,"WWSEM";"graph",#N/A,FALSE,"GOMJU";"graph",#N/A,FALSE,"GOMSEM";"graph",#N/A,FALSE,"NSJU";"graph",#N/A,FALSE,"NSSEM";"graph",#N/A,FALSE,"WAJU";"graph",#N/A,FALSE,"STOCKPRI";"graph",#N/A,FALSE,"CFTEV";"graph",#N/A,FALSE,"NAV-RCV";"graph",#N/A,FALSE,"CRUDEWW"}</definedName>
    <definedName name="wrn.JODM._.Graphs._1_5" localSheetId="7" hidden="1">{"graph",#N/A,FALSE,"WWJU";"graph",#N/A,FALSE,"WWSEM";"graph",#N/A,FALSE,"GOMJU";"graph",#N/A,FALSE,"GOMSEM";"graph",#N/A,FALSE,"NSJU";"graph",#N/A,FALSE,"NSSEM";"graph",#N/A,FALSE,"WAJU";"graph",#N/A,FALSE,"STOCKPRI";"graph",#N/A,FALSE,"CFTEV";"graph",#N/A,FALSE,"NAV-RCV";"graph",#N/A,FALSE,"CRUDEWW"}</definedName>
    <definedName name="wrn.JODM._.Graphs._1_5" hidden="1">{"graph",#N/A,FALSE,"WWJU";"graph",#N/A,FALSE,"WWSEM";"graph",#N/A,FALSE,"GOMJU";"graph",#N/A,FALSE,"GOMSEM";"graph",#N/A,FALSE,"NSJU";"graph",#N/A,FALSE,"NSSEM";"graph",#N/A,FALSE,"WAJU";"graph",#N/A,FALSE,"STOCKPRI";"graph",#N/A,FALSE,"CFTEV";"graph",#N/A,FALSE,"NAV-RCV";"graph",#N/A,FALSE,"CRUDEWW"}</definedName>
    <definedName name="wrn.JODM._.Graphs._2" localSheetId="7" hidden="1">{"graph",#N/A,FALSE,"WWJU";"graph",#N/A,FALSE,"WWSEM";"graph",#N/A,FALSE,"GOMJU";"graph",#N/A,FALSE,"GOMSEM";"graph",#N/A,FALSE,"NSJU";"graph",#N/A,FALSE,"NSSEM";"graph",#N/A,FALSE,"WAJU";"graph",#N/A,FALSE,"STOCKPRI";"graph",#N/A,FALSE,"CFTEV";"graph",#N/A,FALSE,"NAV-RCV";"graph",#N/A,FALSE,"CRUDEWW"}</definedName>
    <definedName name="wrn.JODM._.Graphs._2" hidden="1">{"graph",#N/A,FALSE,"WWJU";"graph",#N/A,FALSE,"WWSEM";"graph",#N/A,FALSE,"GOMJU";"graph",#N/A,FALSE,"GOMSEM";"graph",#N/A,FALSE,"NSJU";"graph",#N/A,FALSE,"NSSEM";"graph",#N/A,FALSE,"WAJU";"graph",#N/A,FALSE,"STOCKPRI";"graph",#N/A,FALSE,"CFTEV";"graph",#N/A,FALSE,"NAV-RCV";"graph",#N/A,FALSE,"CRUDEWW"}</definedName>
    <definedName name="wrn.JODM._.Graphs._3" localSheetId="7" hidden="1">{"graph",#N/A,FALSE,"WWJU";"graph",#N/A,FALSE,"WWSEM";"graph",#N/A,FALSE,"GOMJU";"graph",#N/A,FALSE,"GOMSEM";"graph",#N/A,FALSE,"NSJU";"graph",#N/A,FALSE,"NSSEM";"graph",#N/A,FALSE,"WAJU";"graph",#N/A,FALSE,"STOCKPRI";"graph",#N/A,FALSE,"CFTEV";"graph",#N/A,FALSE,"NAV-RCV";"graph",#N/A,FALSE,"CRUDEWW"}</definedName>
    <definedName name="wrn.JODM._.Graphs._3" hidden="1">{"graph",#N/A,FALSE,"WWJU";"graph",#N/A,FALSE,"WWSEM";"graph",#N/A,FALSE,"GOMJU";"graph",#N/A,FALSE,"GOMSEM";"graph",#N/A,FALSE,"NSJU";"graph",#N/A,FALSE,"NSSEM";"graph",#N/A,FALSE,"WAJU";"graph",#N/A,FALSE,"STOCKPRI";"graph",#N/A,FALSE,"CFTEV";"graph",#N/A,FALSE,"NAV-RCV";"graph",#N/A,FALSE,"CRUDEWW"}</definedName>
    <definedName name="wrn.JODM._.Graphs._4" localSheetId="7" hidden="1">{"graph",#N/A,FALSE,"WWJU";"graph",#N/A,FALSE,"WWSEM";"graph",#N/A,FALSE,"GOMJU";"graph",#N/A,FALSE,"GOMSEM";"graph",#N/A,FALSE,"NSJU";"graph",#N/A,FALSE,"NSSEM";"graph",#N/A,FALSE,"WAJU";"graph",#N/A,FALSE,"STOCKPRI";"graph",#N/A,FALSE,"CFTEV";"graph",#N/A,FALSE,"NAV-RCV";"graph",#N/A,FALSE,"CRUDEWW"}</definedName>
    <definedName name="wrn.JODM._.Graphs._4" hidden="1">{"graph",#N/A,FALSE,"WWJU";"graph",#N/A,FALSE,"WWSEM";"graph",#N/A,FALSE,"GOMJU";"graph",#N/A,FALSE,"GOMSEM";"graph",#N/A,FALSE,"NSJU";"graph",#N/A,FALSE,"NSSEM";"graph",#N/A,FALSE,"WAJU";"graph",#N/A,FALSE,"STOCKPRI";"graph",#N/A,FALSE,"CFTEV";"graph",#N/A,FALSE,"NAV-RCV";"graph",#N/A,FALSE,"CRUDEWW"}</definedName>
    <definedName name="wrn.JODM._.Graphs._5" localSheetId="7" hidden="1">{"graph",#N/A,FALSE,"WWJU";"graph",#N/A,FALSE,"WWSEM";"graph",#N/A,FALSE,"GOMJU";"graph",#N/A,FALSE,"GOMSEM";"graph",#N/A,FALSE,"NSJU";"graph",#N/A,FALSE,"NSSEM";"graph",#N/A,FALSE,"WAJU";"graph",#N/A,FALSE,"STOCKPRI";"graph",#N/A,FALSE,"CFTEV";"graph",#N/A,FALSE,"NAV-RCV";"graph",#N/A,FALSE,"CRUDEWW"}</definedName>
    <definedName name="wrn.JODM._.Graphs._5" hidden="1">{"graph",#N/A,FALSE,"WWJU";"graph",#N/A,FALSE,"WWSEM";"graph",#N/A,FALSE,"GOMJU";"graph",#N/A,FALSE,"GOMSEM";"graph",#N/A,FALSE,"NSJU";"graph",#N/A,FALSE,"NSSEM";"graph",#N/A,FALSE,"WAJU";"graph",#N/A,FALSE,"STOCKPRI";"graph",#N/A,FALSE,"CFTEV";"graph",#N/A,FALSE,"NAV-RCV";"graph",#N/A,FALSE,"CRUDEWW"}</definedName>
    <definedName name="wrn.JV." localSheetId="7" hidden="1">{"One",#N/A,FALSE,"JV"}</definedName>
    <definedName name="wrn.JV." hidden="1">{"One",#N/A,FALSE,"JV"}</definedName>
    <definedName name="wrn.Kontenverteilung." localSheetId="7" hidden="1">{"Kontenverteilung",#N/A,FALSE,"H A Ü"}</definedName>
    <definedName name="wrn.Kontenverteilung." hidden="1">{"Kontenverteilung",#N/A,FALSE,"H A Ü"}</definedName>
    <definedName name="wrn.Konzept._.2." localSheetId="7" hidden="1">{#N/A,#N/A,FALSE,"Report 2";#N/A,#N/A,FALSE,"Report 3";#N/A,#N/A,FALSE,"Report 4";#N/A,#N/A,FALSE,"Report 5";#N/A,#N/A,FALSE,"Aktiv";#N/A,#N/A,FALSE,"Fil_A_Bestand";#N/A,#N/A,FALSE,"Fil_A_Zins";#N/A,#N/A,FALSE,"Fil_A_D-Zins";#N/A,#N/A,FALSE,"Passiv";#N/A,#N/A,FALSE,"Fil_P_Bestand";#N/A,#N/A,FALSE,"Fil_P_Zins";#N/A,#N/A,FALSE,"Fil_P_Neu";#N/A,#N/A,FALSE,"D-Bestand";#N/A,#N/A,FALSE,"D-Zins";#N/A,#N/A,FALSE,"peiodisch1";#N/A,#N/A,FALSE,"periodisch2";#N/A,#N/A,FALSE,"Finale1";#N/A,#N/A,FALSE,"Finale2";#N/A,#N/A,FALSE,"EWB-2";#N/A,#N/A,FALSE,"EWB";#N/A,#N/A,FALSE,"Headcount";#N/A,#N/A,FALSE,"Headcount2";#N/A,#N/A,FALSE,"Investitionsgüter";#N/A,#N/A,FALSE,"Konzern";#N/A,#N/A,FALSE,"BIS 2";#N/A,#N/A,FALSE,"BIS 1";#N/A,#N/A,FALSE,"Summary";#N/A,#N/A,FALSE,"Actual-Budget (kum)";#N/A,#N/A,FALSE,"Actual-Budget (per)";#N/A,#N/A,FALSE,"Comparison YTD";#N/A,#N/A,FALSE,"stat.con.";#N/A,#N/A,FALSE,"Zusatz1";#N/A,#N/A,FALSE,"BIS-Assets"}</definedName>
    <definedName name="wrn.Konzept._.2." hidden="1">{#N/A,#N/A,FALSE,"Report 2";#N/A,#N/A,FALSE,"Report 3";#N/A,#N/A,FALSE,"Report 4";#N/A,#N/A,FALSE,"Report 5";#N/A,#N/A,FALSE,"Aktiv";#N/A,#N/A,FALSE,"Fil_A_Bestand";#N/A,#N/A,FALSE,"Fil_A_Zins";#N/A,#N/A,FALSE,"Fil_A_D-Zins";#N/A,#N/A,FALSE,"Passiv";#N/A,#N/A,FALSE,"Fil_P_Bestand";#N/A,#N/A,FALSE,"Fil_P_Zins";#N/A,#N/A,FALSE,"Fil_P_Neu";#N/A,#N/A,FALSE,"D-Bestand";#N/A,#N/A,FALSE,"D-Zins";#N/A,#N/A,FALSE,"peiodisch1";#N/A,#N/A,FALSE,"periodisch2";#N/A,#N/A,FALSE,"Finale1";#N/A,#N/A,FALSE,"Finale2";#N/A,#N/A,FALSE,"EWB-2";#N/A,#N/A,FALSE,"EWB";#N/A,#N/A,FALSE,"Headcount";#N/A,#N/A,FALSE,"Headcount2";#N/A,#N/A,FALSE,"Investitionsgüter";#N/A,#N/A,FALSE,"Konzern";#N/A,#N/A,FALSE,"BIS 2";#N/A,#N/A,FALSE,"BIS 1";#N/A,#N/A,FALSE,"Summary";#N/A,#N/A,FALSE,"Actual-Budget (kum)";#N/A,#N/A,FALSE,"Actual-Budget (per)";#N/A,#N/A,FALSE,"Comparison YTD";#N/A,#N/A,FALSE,"stat.con.";#N/A,#N/A,FALSE,"Zusatz1";#N/A,#N/A,FALSE,"BIS-Assets"}</definedName>
    <definedName name="wrn.Kosten." localSheetId="7" hidden="1">{#N/A,#N/A,FALSE,"KST 1";#N/A,#N/A,FALSE,"KST 2";#N/A,#N/A,FALSE,"KST 3";#N/A,#N/A,FALSE,"KST Gesamt";#N/A,#N/A,FALSE,"KST D1"}</definedName>
    <definedName name="wrn.Kosten." hidden="1">{#N/A,#N/A,FALSE,"KST 1";#N/A,#N/A,FALSE,"KST 2";#N/A,#N/A,FALSE,"KST 3";#N/A,#N/A,FALSE,"KST Gesamt";#N/A,#N/A,FALSE,"KST D1"}</definedName>
    <definedName name="wrn.Land._.Takedown._.Summary." localSheetId="7" hidden="1">{"land1",#N/A,FALSE,"Land";"land2",#N/A,FALSE,"Land";"land3",#N/A,FALSE,"Land"}</definedName>
    <definedName name="wrn.Land._.Takedown._.Summary." hidden="1">{"land1",#N/A,FALSE,"Land";"land2",#N/A,FALSE,"Land";"land3",#N/A,FALSE,"Land"}</definedName>
    <definedName name="wrn.LBO._.Summary." localSheetId="7" hidden="1">{"LBO Summary",#N/A,FALSE,"Summary"}</definedName>
    <definedName name="wrn.LBO._.Summary." hidden="1">{"LBO Summary",#N/A,FALSE,"Summary"}</definedName>
    <definedName name="wrn.LDM." localSheetId="7" hidden="1">{"MRA IS",#N/A,FALSE,"MRA - IS";"MRA BS",#N/A,FALSE,"MRA - BS";"MRA Detail IS",#N/A,FALSE,"MRA - Detail IS";"MRA Detail IS Supplemental Info",#N/A,FALSE,"MRA - Detail IS";"MRA Monthly 1999",#N/A,FALSE,"MRA Monthly";"MRA Monthly IS 1998",#N/A,FALSE,"MRA Monthly";"MRA Monthly IS 1997",#N/A,FALSE,"MRA Monthly"}</definedName>
    <definedName name="wrn.LDM." hidden="1">{"MRA IS",#N/A,FALSE,"MRA - IS";"MRA BS",#N/A,FALSE,"MRA - BS";"MRA Detail IS",#N/A,FALSE,"MRA - Detail IS";"MRA Detail IS Supplemental Info",#N/A,FALSE,"MRA - Detail IS";"MRA Monthly 1999",#N/A,FALSE,"MRA Monthly";"MRA Monthly IS 1998",#N/A,FALSE,"MRA Monthly";"MRA Monthly IS 1997",#N/A,FALSE,"MRA Monthly"}</definedName>
    <definedName name="wrn.Lease._.Rollover." localSheetId="7" hidden="1">{#N/A,#N/A,FALSE,"Lease Rollover"}</definedName>
    <definedName name="wrn.Lease._.Rollover." hidden="1">{#N/A,#N/A,FALSE,"Lease Rollover"}</definedName>
    <definedName name="wrn.Leases." localSheetId="7" hidden="1">{#N/A,#N/A,FALSE,"Leases"}</definedName>
    <definedName name="wrn.Leases." hidden="1">{#N/A,#N/A,FALSE,"Leases"}</definedName>
    <definedName name="wrn.Leasing._.Variance." localSheetId="7" hidden="1">{#N/A,#N/A,FALSE,"Leasing 6A"}</definedName>
    <definedName name="wrn.Leasing._.Variance." hidden="1">{#N/A,#N/A,FALSE,"Leasing 6A"}</definedName>
    <definedName name="wrn.LeasingResults." localSheetId="7" hidden="1">{#N/A,#N/A,FALSE,"Retention";#N/A,#N/A,FALSE,"ZL Roll";#N/A,#N/A,FALSE,"FC Roll";#N/A,#N/A,FALSE,"zmlConsildated";#N/A,#N/A,FALSE,"ZM ROll SbyS";#N/A,#N/A,FALSE,"ZL";#N/A,#N/A,FALSE,"FCOccy";#N/A,#N/A,FALSE,"ZM123";#N/A,#N/A,FALSE,"portfolio"}</definedName>
    <definedName name="wrn.LeasingResults." hidden="1">{#N/A,#N/A,FALSE,"Retention";#N/A,#N/A,FALSE,"ZL Roll";#N/A,#N/A,FALSE,"FC Roll";#N/A,#N/A,FALSE,"zmlConsildated";#N/A,#N/A,FALSE,"ZM ROll SbyS";#N/A,#N/A,FALSE,"ZL";#N/A,#N/A,FALSE,"FCOccy";#N/A,#N/A,FALSE,"ZM123";#N/A,#N/A,FALSE,"portfolio"}</definedName>
    <definedName name="wrn.LETTERED." localSheetId="7" hidden="1">{"HEITMAN COPY",#N/A,FALSE,"SCHEDULE A";"MINIMUM RENT",#N/A,FALSE,"SCHEDULES B &amp; C";"PERCENTAGE RENT",#N/A,FALSE,"SCHEDULES B &amp; C";#N/A,#N/A,FALSE,"SCHEDULE D";"SUMMARY SCHEDULE",#N/A,FALSE,"SCHEDULE E";#N/A,#N/A,FALSE,"SCHEDULE F";"SUMMARY SCHEDULE",#N/A,FALSE,"SCHEDULE H";"SUMMARY SCHEDULE",#N/A,FALSE,"SCHEDULE I";#N/A,#N/A,FALSE,"SCHEDULE J"}</definedName>
    <definedName name="wrn.LETTERED." hidden="1">{"HEITMAN COPY",#N/A,FALSE,"SCHEDULE A";"MINIMUM RENT",#N/A,FALSE,"SCHEDULES B &amp; C";"PERCENTAGE RENT",#N/A,FALSE,"SCHEDULES B &amp; C";#N/A,#N/A,FALSE,"SCHEDULE D";"SUMMARY SCHEDULE",#N/A,FALSE,"SCHEDULE E";#N/A,#N/A,FALSE,"SCHEDULE F";"SUMMARY SCHEDULE",#N/A,FALSE,"SCHEDULE H";"SUMMARY SCHEDULE",#N/A,FALSE,"SCHEDULE I";#N/A,#N/A,FALSE,"SCHEDULE J"}</definedName>
    <definedName name="wrn.Level._.4." localSheetId="7" hidden="1">{#N/A,#N/A,FALSE,"Income";#N/A,#N/A,FALSE,"EPS";#N/A,#N/A,FALSE,"Quarterly";#N/A,#N/A,FALSE,"CashFlow";#N/A,#N/A,FALSE,"Other";#N/A,#N/A,FALSE,"Dividend";#N/A,#N/A,FALSE,"Financials &amp; Ratios";#N/A,#N/A,FALSE,"Return On Equity";#N/A,#N/A,FALSE,"Inventory"}</definedName>
    <definedName name="wrn.Level._.4." hidden="1">{#N/A,#N/A,FALSE,"Income";#N/A,#N/A,FALSE,"EPS";#N/A,#N/A,FALSE,"Quarterly";#N/A,#N/A,FALSE,"CashFlow";#N/A,#N/A,FALSE,"Other";#N/A,#N/A,FALSE,"Dividend";#N/A,#N/A,FALSE,"Financials &amp; Ratios";#N/A,#N/A,FALSE,"Return On Equity";#N/A,#N/A,FALSE,"Inventory"}</definedName>
    <definedName name="wrn.Line._.Item._.Summary." localSheetId="7" hidden="1">{#N/A,#N/A,FALSE,"Line Item Summ."}</definedName>
    <definedName name="wrn.Line._.Item._.Summary." hidden="1">{#N/A,#N/A,FALSE,"Line Item Summ."}</definedName>
    <definedName name="wrn.LM._.Gear." localSheetId="7" hidden="1">{"LM Gear IS",#N/A,FALSE,"LM Gear - IS";"LM Gear BS",#N/A,FALSE,"LM Gear BS";"LM Gear Detail IS",#N/A,FALSE,"LM Gear - Detail IS";"LM Gear Detail IS Supplemental Info",#N/A,FALSE,"LM Gear - Detail IS";"LM Gear Monthly 1999",#N/A,FALSE,"LM Gear Monthly";"LM Gear Monthly 1998",#N/A,FALSE,"LM Gear Monthly";"LM Gear Monthly 1997",#N/A,FALSE,"LM Gear Monthly"}</definedName>
    <definedName name="wrn.LM._.Gear." hidden="1">{"LM Gear IS",#N/A,FALSE,"LM Gear - IS";"LM Gear BS",#N/A,FALSE,"LM Gear BS";"LM Gear Detail IS",#N/A,FALSE,"LM Gear - Detail IS";"LM Gear Detail IS Supplemental Info",#N/A,FALSE,"LM Gear - Detail IS";"LM Gear Monthly 1999",#N/A,FALSE,"LM Gear Monthly";"LM Gear Monthly 1998",#N/A,FALSE,"LM Gear Monthly";"LM Gear Monthly 1997",#N/A,FALSE,"LM Gear Monthly"}</definedName>
    <definedName name="wrn.lnsum" localSheetId="7" hidden="1">{"Loan Summary",#N/A,FALSE,"Phase 1 loan &amp; data"}</definedName>
    <definedName name="wrn.lnsum" hidden="1">{"Loan Summary",#N/A,FALSE,"Phase 1 loan &amp; data"}</definedName>
    <definedName name="wrn.Loan._.Brief." localSheetId="7" hidden="1">{#N/A,#N/A,TRUE,"Brief-Loan Request";#N/A,#N/A,TRUE,"Property History";#N/A,#N/A,TRUE,"Borrower";#N/A,#N/A,TRUE,"Sponsor-Manager";#N/A,#N/A,TRUE,"Area-Neigborhood";#N/A,#N/A,TRUE,"Site-Improvements";#N/A,#N/A,TRUE,"Tenancy";#N/A,#N/A,TRUE,"Immed Needs";#N/A,#N/A,TRUE,"Needs over Term";#N/A,#N/A,TRUE,"Environmental";#N/A,#N/A,TRUE,"Market-Quality";#N/A,#N/A,TRUE,"Appraisal";#N/A,#N/A,TRUE,"UW Income";#N/A,#N/A,TRUE,"UW Expenses";#N/A,#N/A,TRUE,"UW Reserves";#N/A,#N/A,TRUE,"Exit-Valuation";#N/A,#N/A,TRUE,"Strengths-Weaknesses";#N/A,#N/A,TRUE,"Recommendation"}</definedName>
    <definedName name="wrn.Loan._.Brief." hidden="1">{#N/A,#N/A,TRUE,"Brief-Loan Request";#N/A,#N/A,TRUE,"Property History";#N/A,#N/A,TRUE,"Borrower";#N/A,#N/A,TRUE,"Sponsor-Manager";#N/A,#N/A,TRUE,"Area-Neigborhood";#N/A,#N/A,TRUE,"Site-Improvements";#N/A,#N/A,TRUE,"Tenancy";#N/A,#N/A,TRUE,"Immed Needs";#N/A,#N/A,TRUE,"Needs over Term";#N/A,#N/A,TRUE,"Environmental";#N/A,#N/A,TRUE,"Market-Quality";#N/A,#N/A,TRUE,"Appraisal";#N/A,#N/A,TRUE,"UW Income";#N/A,#N/A,TRUE,"UW Expenses";#N/A,#N/A,TRUE,"UW Reserves";#N/A,#N/A,TRUE,"Exit-Valuation";#N/A,#N/A,TRUE,"Strengths-Weaknesses";#N/A,#N/A,TRUE,"Recommendation"}</definedName>
    <definedName name="wrn.Loan._.Pricing._.Analysis." localSheetId="7" hidden="1">{#N/A,#N/A,FALSE,"LOAN ANALYSIS"}</definedName>
    <definedName name="wrn.Loan._.Pricing._.Analysis." hidden="1">{#N/A,#N/A,FALSE,"LOAN ANALYSIS"}</definedName>
    <definedName name="wrn.Loan._.Submission." localSheetId="7" hidden="1">{#N/A,#N/A,FALSE,"Brief";#N/A,#N/A,FALSE,"Loan Purpose";#N/A,#N/A,FALSE,"Borrower";#N/A,#N/A,FALSE,"Sponsor";#N/A,#N/A,FALSE,"Site-Improvements";#N/A,#N/A,FALSE,"Manager";#N/A,#N/A,FALSE,"Tenancy-MF";#N/A,#N/A,FALSE,"Market";#N/A,#N/A,FALSE,"Engineering";#N/A,#N/A,FALSE,"Environmental";#N/A,#N/A,FALSE,"Appraisal";#N/A,#N/A,FALSE,"UW Income";#N/A,#N/A,FALSE,"UW Expenses";#N/A,#N/A,FALSE,"UW Reserves";#N/A,#N/A,FALSE,"Exit-Valuation";#N/A,#N/A,FALSE,"Strengths-Weaknesses";#N/A,#N/A,FALSE,"Recommendation"}</definedName>
    <definedName name="wrn.Loan._.Submission." hidden="1">{#N/A,#N/A,FALSE,"Brief";#N/A,#N/A,FALSE,"Loan Purpose";#N/A,#N/A,FALSE,"Borrower";#N/A,#N/A,FALSE,"Sponsor";#N/A,#N/A,FALSE,"Site-Improvements";#N/A,#N/A,FALSE,"Manager";#N/A,#N/A,FALSE,"Tenancy-MF";#N/A,#N/A,FALSE,"Market";#N/A,#N/A,FALSE,"Engineering";#N/A,#N/A,FALSE,"Environmental";#N/A,#N/A,FALSE,"Appraisal";#N/A,#N/A,FALSE,"UW Income";#N/A,#N/A,FALSE,"UW Expenses";#N/A,#N/A,FALSE,"UW Reserves";#N/A,#N/A,FALSE,"Exit-Valuation";#N/A,#N/A,FALSE,"Strengths-Weaknesses";#N/A,#N/A,FALSE,"Recommendation"}</definedName>
    <definedName name="wrn.Loan._.Summary." localSheetId="7" hidden="1">{"Loan Summary",#N/A,FALSE,"Phase 1 loan &amp; data"}</definedName>
    <definedName name="wrn.Loan._.Summary." hidden="1">{"Loan Summary",#N/A,FALSE,"Phase 1 loan &amp; data"}</definedName>
    <definedName name="wrn.LoanInformation." localSheetId="7" hidden="1">{#N/A,#N/A,FALSE,"LoanAssumptions"}</definedName>
    <definedName name="wrn.LoanInformation." hidden="1">{#N/A,#N/A,FALSE,"LoanAssumptions"}</definedName>
    <definedName name="wrn.Loanrecap." localSheetId="7" hidden="1">{"Loanrecap",#N/A,FALSE,"Construction"}</definedName>
    <definedName name="wrn.Loanrecap." hidden="1">{"Loanrecap",#N/A,FALSE,"Construction"}</definedName>
    <definedName name="wrn.Loanrecap2." localSheetId="7" hidden="1">{"Loanrecap",#N/A,FALSE,"Construction"}</definedName>
    <definedName name="wrn.Loanrecap2." hidden="1">{"Loanrecap",#N/A,FALSE,"Construction"}</definedName>
    <definedName name="wrn.Lodging." localSheetId="7" hidden="1">{#N/A,#N/A,FALSE,"EPS";#N/A,#N/A,FALSE,"EBITDA"}</definedName>
    <definedName name="wrn.Lodging." hidden="1">{#N/A,#N/A,FALSE,"EPS";#N/A,#N/A,FALSE,"EBITDA"}</definedName>
    <definedName name="wrn.Lot._.Inventory." localSheetId="7" hidden="1">{"lot inventory",#N/A,FALSE,"Lot List"}</definedName>
    <definedName name="wrn.Lot._.Inventory." hidden="1">{"lot inventory",#N/A,FALSE,"Lot List"}</definedName>
    <definedName name="wrn.Lot._.Summary." localSheetId="7" hidden="1">{"Lot Prices",#N/A,FALSE,"LOTS-PRICING";"lot1",#N/A,FALSE,"Lots";"lot2",#N/A,FALSE,"Lots";"Lot3",#N/A,FALSE,"Lots";"lot4",#N/A,FALSE,"Lots";"lot5",#N/A,FALSE,"Lots";"lot6",#N/A,FALSE,"Lots";"lot7",#N/A,FALSE,"Lots";"lot8",#N/A,FALSE,"Lots";"lot9",#N/A,FALSE,"Lots";"lot10",#N/A,FALSE,"Lots";"lot11",#N/A,FALSE,"Lots";"lot12",#N/A,FALSE,"Lots"}</definedName>
    <definedName name="wrn.Lot._.Summary." hidden="1">{"Lot Prices",#N/A,FALSE,"LOTS-PRICING";"lot1",#N/A,FALSE,"Lots";"lot2",#N/A,FALSE,"Lots";"Lot3",#N/A,FALSE,"Lots";"lot4",#N/A,FALSE,"Lots";"lot5",#N/A,FALSE,"Lots";"lot6",#N/A,FALSE,"Lots";"lot7",#N/A,FALSE,"Lots";"lot8",#N/A,FALSE,"Lots";"lot9",#N/A,FALSE,"Lots";"lot10",#N/A,FALSE,"Lots";"lot11",#N/A,FALSE,"Lots";"lot12",#N/A,FALSE,"Lots"}</definedName>
    <definedName name="wrn.ltrd." localSheetId="7" hidden="1">{"HEITMAN COPY",#N/A,FALSE,"SCHEDULE A";"MINIMUM RENT",#N/A,FALSE,"SCHEDULES B &amp; C";"PERCENTAGE RENT",#N/A,FALSE,"SCHEDULES B &amp; C";#N/A,#N/A,FALSE,"SCHEDULE D";"SUMMARY SCHEDULE",#N/A,FALSE,"SCHEDULE E";#N/A,#N/A,FALSE,"SCHEDULE F";"SUMMARY SCHEDULE",#N/A,FALSE,"SCHEDULE H";"SUMMARY SCHEDULE",#N/A,FALSE,"SCHEDULE I";#N/A,#N/A,FALSE,"SCHEDULE J"}</definedName>
    <definedName name="wrn.ltrd." hidden="1">{"HEITMAN COPY",#N/A,FALSE,"SCHEDULE A";"MINIMUM RENT",#N/A,FALSE,"SCHEDULES B &amp; C";"PERCENTAGE RENT",#N/A,FALSE,"SCHEDULES B &amp; C";#N/A,#N/A,FALSE,"SCHEDULE D";"SUMMARY SCHEDULE",#N/A,FALSE,"SCHEDULE E";#N/A,#N/A,FALSE,"SCHEDULE F";"SUMMARY SCHEDULE",#N/A,FALSE,"SCHEDULE H";"SUMMARY SCHEDULE",#N/A,FALSE,"SCHEDULE I";#N/A,#N/A,FALSE,"SCHEDULE J"}</definedName>
    <definedName name="wrn.LTV._.Output." localSheetId="7" hidden="1">{"LTV Output",#N/A,FALSE,"Output"}</definedName>
    <definedName name="wrn.LTV._.Output." hidden="1">{"LTV Output",#N/A,FALSE,"Output"}</definedName>
    <definedName name="wrn.Maine." localSheetId="7" hidden="1">{"Assumptions",#N/A,TRUE,"Assumptions";"Income",#N/A,TRUE,"Income";"Balance",#N/A,TRUE,"Balance"}</definedName>
    <definedName name="wrn.Maine." hidden="1">{"Assumptions",#N/A,TRUE,"Assumptions";"Income",#N/A,TRUE,"Income";"Balance",#N/A,TRUE,"Balance"}</definedName>
    <definedName name="wrn.Maine2." localSheetId="7"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rket._.Values." localSheetId="7" hidden="1">{#N/A,#N/A,TRUE,"10 Yr Hold";#N/A,#N/A,TRUE,"7 Yr Hold";#N/A,#N/A,TRUE,"5 Yr Hold";#N/A,#N/A,TRUE,"3 Yr Hold"}</definedName>
    <definedName name="wrn.Market._.Values." hidden="1">{#N/A,#N/A,TRUE,"10 Yr Hold";#N/A,#N/A,TRUE,"7 Yr Hold";#N/A,#N/A,TRUE,"5 Yr Hold";#N/A,#N/A,TRUE,"3 Yr Hold"}</definedName>
    <definedName name="wrn.Market._.Values._1" localSheetId="7" hidden="1">{#N/A,#N/A,TRUE,"10 Yr Hold";#N/A,#N/A,TRUE,"7 Yr Hold";#N/A,#N/A,TRUE,"5 Yr Hold";#N/A,#N/A,TRUE,"3 Yr Hold"}</definedName>
    <definedName name="wrn.Market._.Values._1" hidden="1">{#N/A,#N/A,TRUE,"10 Yr Hold";#N/A,#N/A,TRUE,"7 Yr Hold";#N/A,#N/A,TRUE,"5 Yr Hold";#N/A,#N/A,TRUE,"3 Yr Hold"}</definedName>
    <definedName name="wrn.Market._.Values._2" localSheetId="7" hidden="1">{#N/A,#N/A,TRUE,"10 Yr Hold";#N/A,#N/A,TRUE,"7 Yr Hold";#N/A,#N/A,TRUE,"5 Yr Hold";#N/A,#N/A,TRUE,"3 Yr Hold"}</definedName>
    <definedName name="wrn.Market._.Values._2" hidden="1">{#N/A,#N/A,TRUE,"10 Yr Hold";#N/A,#N/A,TRUE,"7 Yr Hold";#N/A,#N/A,TRUE,"5 Yr Hold";#N/A,#N/A,TRUE,"3 Yr Hold"}</definedName>
    <definedName name="wrn.Market._.Values._3" localSheetId="7" hidden="1">{#N/A,#N/A,TRUE,"10 Yr Hold";#N/A,#N/A,TRUE,"7 Yr Hold";#N/A,#N/A,TRUE,"5 Yr Hold";#N/A,#N/A,TRUE,"3 Yr Hold"}</definedName>
    <definedName name="wrn.Market._.Values._3" hidden="1">{#N/A,#N/A,TRUE,"10 Yr Hold";#N/A,#N/A,TRUE,"7 Yr Hold";#N/A,#N/A,TRUE,"5 Yr Hold";#N/A,#N/A,TRUE,"3 Yr Hold"}</definedName>
    <definedName name="wrn.Market._.Values._4" localSheetId="7" hidden="1">{#N/A,#N/A,TRUE,"10 Yr Hold";#N/A,#N/A,TRUE,"7 Yr Hold";#N/A,#N/A,TRUE,"5 Yr Hold";#N/A,#N/A,TRUE,"3 Yr Hold"}</definedName>
    <definedName name="wrn.Market._.Values._4" hidden="1">{#N/A,#N/A,TRUE,"10 Yr Hold";#N/A,#N/A,TRUE,"7 Yr Hold";#N/A,#N/A,TRUE,"5 Yr Hold";#N/A,#N/A,TRUE,"3 Yr Hold"}</definedName>
    <definedName name="wrn.Market._.Values._5" localSheetId="7" hidden="1">{#N/A,#N/A,TRUE,"10 Yr Hold";#N/A,#N/A,TRUE,"7 Yr Hold";#N/A,#N/A,TRUE,"5 Yr Hold";#N/A,#N/A,TRUE,"3 Yr Hold"}</definedName>
    <definedName name="wrn.Market._.Values._5" hidden="1">{#N/A,#N/A,TRUE,"10 Yr Hold";#N/A,#N/A,TRUE,"7 Yr Hold";#N/A,#N/A,TRUE,"5 Yr Hold";#N/A,#N/A,TRUE,"3 Yr Hold"}</definedName>
    <definedName name="wrn.Marketing." localSheetId="7" hidden="1">{#N/A,#N/A,FALSE,"2Assumptions";#N/A,#N/A,FALSE,"3Cash Flow";#N/A,#N/A,FALSE,"I&amp;E";#N/A,#N/A,FALSE,"I&amp;E (2)";#N/A,#N/A,FALSE,"10Vacancy Matrix";#N/A,#N/A,FALSE,"11Expiration Schedule"}</definedName>
    <definedName name="wrn.Marketing." hidden="1">{#N/A,#N/A,FALSE,"2Assumptions";#N/A,#N/A,FALSE,"3Cash Flow";#N/A,#N/A,FALSE,"I&amp;E";#N/A,#N/A,FALSE,"I&amp;E (2)";#N/A,#N/A,FALSE,"10Vacancy Matrix";#N/A,#N/A,FALSE,"11Expiration Schedule"}</definedName>
    <definedName name="wrn.Marks._.Summary." localSheetId="7" hidden="1">{"Assumptions and CF Summary",#N/A,FALSE,"Assu &amp; CF Summary";"Sources and Uses",#N/A,FALSE,"Sources and Uses";"Unit Mix and Pro forma",#N/A,FALSE,"Unit Mix  Pro Forma";"Constr. and Lease Up",#N/A,FALSE,"Constr. &amp; Lease-up";"Details and Assumptions",#N/A,FALSE,"Details &amp; Assumptions";"Detailed Other Costs",#N/A,FALSE,"Detailed Other Cost";"Land Cost",#N/A,FALSE,"Land Cost"}</definedName>
    <definedName name="wrn.Marks._.Summary." hidden="1">{"Assumptions and CF Summary",#N/A,FALSE,"Assu &amp; CF Summary";"Sources and Uses",#N/A,FALSE,"Sources and Uses";"Unit Mix and Pro forma",#N/A,FALSE,"Unit Mix  Pro Forma";"Constr. and Lease Up",#N/A,FALSE,"Constr. &amp; Lease-up";"Details and Assumptions",#N/A,FALSE,"Details &amp; Assumptions";"Detailed Other Costs",#N/A,FALSE,"Detailed Other Cost";"Land Cost",#N/A,FALSE,"Land Cost"}</definedName>
    <definedName name="wrn.MATRICES._.and._.CFs." localSheetId="7" hidden="1">{#N/A,#N/A,FALSE,"Assumptions";#N/A,#N/A,FALSE,"Consol CF";#N/A,#N/A,FALSE,"matx B4 DS";#N/A,#N/A,FALSE,"Hacienda CF";#N/A,#N/A,FALSE,"matx B4 DS Hac";#N/A,#N/A,FALSE,"Chabot CF";#N/A,#N/A,FALSE,"matx B4 DS Chabot";#N/A,#N/A,FALSE,"Diablo CF";#N/A,#N/A,FALSE,"matx B4 DS Diablo"}</definedName>
    <definedName name="wrn.MATRICES._.and._.CFs." hidden="1">{#N/A,#N/A,FALSE,"Assumptions";#N/A,#N/A,FALSE,"Consol CF";#N/A,#N/A,FALSE,"matx B4 DS";#N/A,#N/A,FALSE,"Hacienda CF";#N/A,#N/A,FALSE,"matx B4 DS Hac";#N/A,#N/A,FALSE,"Chabot CF";#N/A,#N/A,FALSE,"matx B4 DS Chabot";#N/A,#N/A,FALSE,"Diablo CF";#N/A,#N/A,FALSE,"matx B4 DS Diablo"}</definedName>
    <definedName name="wrn.MATRICIES._.ONLY." localSheetId="7" hidden="1">{#N/A,#N/A,FALSE,"matx B4 DS";#N/A,#N/A,FALSE,"matx B4 DS Hac";#N/A,#N/A,FALSE,"matx B4 DS Chabot";#N/A,#N/A,FALSE,"matx B4 DS Diablo"}</definedName>
    <definedName name="wrn.MATRICIES._.ONLY." hidden="1">{#N/A,#N/A,FALSE,"matx B4 DS";#N/A,#N/A,FALSE,"matx B4 DS Hac";#N/A,#N/A,FALSE,"matx B4 DS Chabot";#N/A,#N/A,FALSE,"matx B4 DS Diablo"}</definedName>
    <definedName name="wrn.merge." localSheetId="7" hidden="1">{#N/A,#N/A,FALSE,"IPO";#N/A,#N/A,FALSE,"DCF";#N/A,#N/A,FALSE,"LBO";#N/A,#N/A,FALSE,"MULT_VAL";#N/A,#N/A,FALSE,"Status Quo";#N/A,#N/A,FALSE,"Recap"}</definedName>
    <definedName name="wrn.merge." hidden="1">{#N/A,#N/A,FALSE,"IPO";#N/A,#N/A,FALSE,"DCF";#N/A,#N/A,FALSE,"LBO";#N/A,#N/A,FALSE,"MULT_VAL";#N/A,#N/A,FALSE,"Status Quo";#N/A,#N/A,FALSE,"Recap"}</definedName>
    <definedName name="wrn.MERGER._.PLANS." localSheetId="7" hidden="1">{"Assumptions1",#N/A,FALSE,"Assumptions";"MergerPlans1","20yearamort",FALSE,"MergerPlans";"MergerPlans1","40yearamort",FALSE,"MergerPlans";"MergerPlans2",#N/A,FALSE,"MergerPlans";"inputs",#N/A,FALSE,"MergerPlans"}</definedName>
    <definedName name="wrn.MERGER._.PLANS." hidden="1">{"Assumptions1",#N/A,FALSE,"Assumptions";"MergerPlans1","20yearamort",FALSE,"MergerPlans";"MergerPlans1","40yearamort",FALSE,"MergerPlans";"MergerPlans2",#N/A,FALSE,"MergerPlans";"inputs",#N/A,FALSE,"MergerPlans"}</definedName>
    <definedName name="wrn.minrenn" localSheetId="7" hidden="1">{"MINRENT2",#N/A,FALSE,"SCHEDULE B"}</definedName>
    <definedName name="wrn.minrenn" hidden="1">{"MINRENT2",#N/A,FALSE,"SCHEDULE B"}</definedName>
    <definedName name="wrn.MINRENT." localSheetId="7" hidden="1">{"MINRENT2",#N/A,FALSE,"SCHEDULE B"}</definedName>
    <definedName name="wrn.MINRENT." hidden="1">{"MINRENT2",#N/A,FALSE,"SCHEDULE B"}</definedName>
    <definedName name="wrn.minrent.2" localSheetId="7" hidden="1">{"MINRENT2",#N/A,FALSE,"SCHEDULE B"}</definedName>
    <definedName name="wrn.minrent.2" hidden="1">{"MINRENT2",#N/A,FALSE,"SCHEDULE B"}</definedName>
    <definedName name="wrn.mirBellagio." localSheetId="7" hidden="1">{#N/A,#N/A,FALSE,"MIR";#N/A,#N/A,FALSE,"NYNY"}</definedName>
    <definedName name="wrn.mirBellagio." hidden="1">{#N/A,#N/A,FALSE,"MIR";#N/A,#N/A,FALSE,"NYNY"}</definedName>
    <definedName name="wrn.mkting" localSheetId="7" hidden="1">{#N/A,#N/A,FALSE,"MARKETING I";#N/A,#N/A,FALSE,"MARKETING II";#N/A,#N/A,FALSE,"MARKETING III"}</definedName>
    <definedName name="wrn.mkting" hidden="1">{#N/A,#N/A,FALSE,"MARKETING I";#N/A,#N/A,FALSE,"MARKETING II";#N/A,#N/A,FALSE,"MARKETING III"}</definedName>
    <definedName name="wrn.Mo._.Over._.Mo._.Rev._.Com." localSheetId="7" hidden="1">{"Mo Over Mo Rev Com",#N/A,FALSE,"Report"}</definedName>
    <definedName name="wrn.Mo._.Over._.Mo._.Rev._.Com." hidden="1">{"Mo Over Mo Rev Com",#N/A,FALSE,"Report"}</definedName>
    <definedName name="wrn.Mo._.Over._.Mo._.Rev._.Com._1" localSheetId="7" hidden="1">{"Mo Over Mo Rev Com",#N/A,FALSE,"Report"}</definedName>
    <definedName name="wrn.Mo._.Over._.Mo._.Rev._.Com._1" hidden="1">{"Mo Over Mo Rev Com",#N/A,FALSE,"Report"}</definedName>
    <definedName name="wrn.Mo._.Over._.Mo._.Rev._.Com._2" localSheetId="7" hidden="1">{"Mo Over Mo Rev Com",#N/A,FALSE,"Report"}</definedName>
    <definedName name="wrn.Mo._.Over._.Mo._.Rev._.Com._2" hidden="1">{"Mo Over Mo Rev Com",#N/A,FALSE,"Report"}</definedName>
    <definedName name="wrn.Mo._.Over._.Mo._.Rev._.Com._3" localSheetId="7" hidden="1">{"Mo Over Mo Rev Com",#N/A,FALSE,"Report"}</definedName>
    <definedName name="wrn.Mo._.Over._.Mo._.Rev._.Com._3" hidden="1">{"Mo Over Mo Rev Com",#N/A,FALSE,"Report"}</definedName>
    <definedName name="wrn.Mo._.Over._.Mo._.Rev._.Com._4" localSheetId="7" hidden="1">{"Mo Over Mo Rev Com",#N/A,FALSE,"Report"}</definedName>
    <definedName name="wrn.Mo._.Over._.Mo._.Rev._.Com._4" hidden="1">{"Mo Over Mo Rev Com",#N/A,FALSE,"Report"}</definedName>
    <definedName name="wrn.Mo._.Over._.Mo._.Rev._.Com._5" localSheetId="7" hidden="1">{"Mo Over Mo Rev Com",#N/A,FALSE,"Report"}</definedName>
    <definedName name="wrn.Mo._.Over._.Mo._.Rev._.Com._5" hidden="1">{"Mo Over Mo Rev Com",#N/A,FALSE,"Report"}</definedName>
    <definedName name="wrn.MOBIL." localSheetId="7" hidden="1">{"quarter",#N/A,FALSE,"MOB"}</definedName>
    <definedName name="wrn.MOBIL." hidden="1">{"quarter",#N/A,FALSE,"MOB"}</definedName>
    <definedName name="wrn.Model." localSheetId="7" hidden="1">{"Investor",#N/A,FALSE,"Model";"Property",#N/A,FALSE,"Model";"Incentive Taxes",#N/A,FALSE,"Model"}</definedName>
    <definedName name="wrn.Model." hidden="1">{"Investor",#N/A,FALSE,"Model";"Property",#N/A,FALSE,"Model";"Incentive Taxes",#N/A,FALSE,"Model"}</definedName>
    <definedName name="wrn.Model._.Level._.3." localSheetId="7" hidden="1">{"Income (All hidden)",#N/A,FALSE,"Income";"EPS (All Hidden)",#N/A,FALSE,"EPS";"EPS (All Hidden)",#N/A,FALSE,"CashFlow";"Quarterly (Last, Current and Next)",#N/A,FALSE,"Quarterly"}</definedName>
    <definedName name="wrn.Model._.Level._.3." hidden="1">{"Income (All hidden)",#N/A,FALSE,"Income";"EPS (All Hidden)",#N/A,FALSE,"EPS";"EPS (All Hidden)",#N/A,FALSE,"CashFlow";"Quarterly (Last, Current and Next)",#N/A,FALSE,"Quarterly"}</definedName>
    <definedName name="wrn.Model2" localSheetId="7" hidden="1">{"AnnInc",#N/A,TRUE,"Inc";"QtrInc1",#N/A,TRUE,"Inc";"Balance",#N/A,TRUE,"Bal";"Cflow",#N/A,TRUE,"Cash"}</definedName>
    <definedName name="wrn.Model2" hidden="1">{"AnnInc",#N/A,TRUE,"Inc";"QtrInc1",#N/A,TRUE,"Inc";"Balance",#N/A,TRUE,"Bal";"Cflow",#N/A,TRUE,"Cash"}</definedName>
    <definedName name="wrn.model3" localSheetId="7" hidden="1">{"AnnInc",#N/A,TRUE,"Inc";"QtrInc1",#N/A,TRUE,"Inc";"Balance",#N/A,TRUE,"Bal";"Cflow",#N/A,TRUE,"Cash"}</definedName>
    <definedName name="wrn.model3" hidden="1">{"AnnInc",#N/A,TRUE,"Inc";"QtrInc1",#N/A,TRUE,"Inc";"Balance",#N/A,TRUE,"Bal";"Cflow",#N/A,TRUE,"Cash"}</definedName>
    <definedName name="wrn.MODEL5" localSheetId="7" hidden="1">{"IS",#N/A,FALSE,"Income Statement";"ISR",#N/A,FALSE,"Income Statement Ratios";"BS",#N/A,FALSE,"Balance Sheet";"BSR",#N/A,FALSE,"Balance Sheet Ratios";"CF",#N/A,FALSE,"Cash Flow";"SALES",#N/A,FALSE,"Sales Analysis";"RR",#N/A,FALSE,"Recent Results"}</definedName>
    <definedName name="wrn.MODEL5" hidden="1">{"IS",#N/A,FALSE,"Income Statement";"ISR",#N/A,FALSE,"Income Statement Ratios";"BS",#N/A,FALSE,"Balance Sheet";"BSR",#N/A,FALSE,"Balance Sheet Ratios";"CF",#N/A,FALSE,"Cash Flow";"SALES",#N/A,FALSE,"Sales Analysis";"RR",#N/A,FALSE,"Recent Results"}</definedName>
    <definedName name="wrn.model8" localSheetId="7" hidden="1">{"AnnInc",#N/A,TRUE,"Inc";"QtrInc1",#N/A,TRUE,"Inc";"Balance",#N/A,TRUE,"Bal";"Cflow",#N/A,TRUE,"Cash"}</definedName>
    <definedName name="wrn.model8" hidden="1">{"AnnInc",#N/A,TRUE,"Inc";"QtrInc1",#N/A,TRUE,"Inc";"Balance",#N/A,TRUE,"Bal";"Cflow",#N/A,TRUE,"Cash"}</definedName>
    <definedName name="wrn.ModelReview." localSheetId="7" hidden="1">{"model-allper",#N/A,FALSE,"Model";"i-s-allper",#N/A,FALSE,"Income Statement";"formoff-allper",#N/A,FALSE,"Formated Office Detail";"office-retail-allper",#N/A,FALSE,"Office-Retail Argus 2002-2006";"AcqDispo",#N/A,FALSE,"Dispositions";"jointventures-allper",#N/A,FALSE,"Joint Ventures";"hotel-allper",#N/A,FALSE,"Hotel";"ldv-allper",#N/A,FALSE,"LDV";"Int&amp;OthInc-allper",#N/A,FALSE,"Interest &amp; Other Inc";"debt-allper",#N/A,FALSE,"Debt";"debt service calc-allper",#N/A,FALSE,"Debt Service Calc";"OthUncon-allper",#N/A,FALSE,"Other Uncons";"shares-allper",#N/A,FALSE,"Shares"}</definedName>
    <definedName name="wrn.ModelReview." hidden="1">{"model-allper",#N/A,FALSE,"Model";"i-s-allper",#N/A,FALSE,"Income Statement";"formoff-allper",#N/A,FALSE,"Formated Office Detail";"office-retail-allper",#N/A,FALSE,"Office-Retail Argus 2002-2006";"AcqDispo",#N/A,FALSE,"Dispositions";"jointventures-allper",#N/A,FALSE,"Joint Ventures";"hotel-allper",#N/A,FALSE,"Hotel";"ldv-allper",#N/A,FALSE,"LDV";"Int&amp;OthInc-allper",#N/A,FALSE,"Interest &amp; Other Inc";"debt-allper",#N/A,FALSE,"Debt";"debt service calc-allper",#N/A,FALSE,"Debt Service Calc";"OthUncon-allper",#N/A,FALSE,"Other Uncons";"shares-allper",#N/A,FALSE,"Shares"}</definedName>
    <definedName name="wrn.monthly." localSheetId="7" hidden="1">{#N/A,#N/A,FALSE,"Running Total";#N/A,#N/A,FALSE,"Oct 96";#N/A,#N/A,FALSE,"Nov 96";#N/A,#N/A,FALSE,"Dec 96";#N/A,#N/A,FALSE,"Jan 97";#N/A,#N/A,FALSE,"Feb 97";#N/A,#N/A,FALSE,"Mar 97";#N/A,#N/A,FALSE,"Apr 97";#N/A,#N/A,FALSE,"May 97";#N/A,#N/A,FALSE,"June 97";#N/A,#N/A,FALSE,"July 97"}</definedName>
    <definedName name="wrn.monthly." hidden="1">{#N/A,#N/A,FALSE,"Running Total";#N/A,#N/A,FALSE,"Oct 96";#N/A,#N/A,FALSE,"Nov 96";#N/A,#N/A,FALSE,"Dec 96";#N/A,#N/A,FALSE,"Jan 97";#N/A,#N/A,FALSE,"Feb 97";#N/A,#N/A,FALSE,"Mar 97";#N/A,#N/A,FALSE,"Apr 97";#N/A,#N/A,FALSE,"May 97";#N/A,#N/A,FALSE,"June 97";#N/A,#N/A,FALSE,"July 97"}</definedName>
    <definedName name="wrn.Monthly._.File." localSheetId="7" hidden="1">{#N/A,#N/A,FALSE,"114001";#N/A,#N/A,FALSE,"115110";#N/A,#N/A,FALSE,"120100";#N/A,#N/A,FALSE,"121000";#N/A,#N/A,FALSE,"122100";#N/A,#N/A,FALSE,"211001";#N/A,#N/A,FALSE,"211002";#N/A,#N/A,FALSE,"211110";#N/A,#N/A,FALSE,"211200"}</definedName>
    <definedName name="wrn.Monthly._.File." hidden="1">{#N/A,#N/A,FALSE,"114001";#N/A,#N/A,FALSE,"115110";#N/A,#N/A,FALSE,"120100";#N/A,#N/A,FALSE,"121000";#N/A,#N/A,FALSE,"122100";#N/A,#N/A,FALSE,"211001";#N/A,#N/A,FALSE,"211002";#N/A,#N/A,FALSE,"211110";#N/A,#N/A,FALSE,"211200"}</definedName>
    <definedName name="wrn.monthly._.financial." localSheetId="7" hidden="1">{#N/A,#N/A,FALSE,"SUMMARY 4a";#N/A,#N/A,FALSE,"GBA 4b";#N/A,#N/A,FALSE,"TENANT 4c";#N/A,#N/A,FALSE,"BUDGET DETAIL";#N/A,#N/A,FALSE,"PRO FORMA"}</definedName>
    <definedName name="wrn.monthly._.financial." hidden="1">{#N/A,#N/A,FALSE,"SUMMARY 4a";#N/A,#N/A,FALSE,"GBA 4b";#N/A,#N/A,FALSE,"TENANT 4c";#N/A,#N/A,FALSE,"BUDGET DETAIL";#N/A,#N/A,FALSE,"PRO FORMA"}</definedName>
    <definedName name="wrn.MonthlyRentRoll." localSheetId="7" hidden="1">{"MonthlyRentRoll",#N/A,FALSE,"RentRoll"}</definedName>
    <definedName name="wrn.MonthlyRentRoll." hidden="1">{"MonthlyRentRoll",#N/A,FALSE,"RentRoll"}</definedName>
    <definedName name="wrn.Months._.1999." localSheetId="7" hidden="1">{"Monthly 1999 Stats",#N/A,FALSE,"Months";"Monthly 1999 IS",#N/A,FALSE,"Months"}</definedName>
    <definedName name="wrn.Months._.1999." hidden="1">{"Monthly 1999 Stats",#N/A,FALSE,"Months";"Monthly 1999 IS",#N/A,FALSE,"Months"}</definedName>
    <definedName name="wrn.Months._.2000." localSheetId="7" hidden="1">{"Monthly 2000 Stats",#N/A,FALSE,"Months";"Monthly 2000 IS",#N/A,FALSE,"Months"}</definedName>
    <definedName name="wrn.Months._.2000." hidden="1">{"Monthly 2000 Stats",#N/A,FALSE,"Months";"Monthly 2000 IS",#N/A,FALSE,"Months"}</definedName>
    <definedName name="wrn.Months._.2001." localSheetId="7" hidden="1">{"Monthly 2001 Stats",#N/A,FALSE,"Months";"Monthly 2001 IS",#N/A,FALSE,"Months"}</definedName>
    <definedName name="wrn.Months._.2001." hidden="1">{"Monthly 2001 Stats",#N/A,FALSE,"Months";"Monthly 2001 IS",#N/A,FALSE,"Months"}</definedName>
    <definedName name="wrn.Months._.2002." localSheetId="7" hidden="1">{"Monthly 2002 Stats",#N/A,FALSE,"Months";"Monthly 2002 IS",#N/A,FALSE,"Months"}</definedName>
    <definedName name="wrn.Months._.2002." hidden="1">{"Monthly 2002 Stats",#N/A,FALSE,"Months";"Monthly 2002 IS",#N/A,FALSE,"Months"}</definedName>
    <definedName name="wrn.Months._.2003." localSheetId="7" hidden="1">{"Monthly 2003 Stats",#N/A,FALSE,"Months";"Monthly 2003 IS",#N/A,FALSE,"Months"}</definedName>
    <definedName name="wrn.Months._.2003." hidden="1">{"Monthly 2003 Stats",#N/A,FALSE,"Months";"Monthly 2003 IS",#N/A,FALSE,"Months"}</definedName>
    <definedName name="wrn.Mortgage._.Loan._.Sch." localSheetId="7" hidden="1">{#N/A,#N/A,FALSE,"Mortgage Loan Sch"}</definedName>
    <definedName name="wrn.Mortgage._.Loan._.Sch." hidden="1">{#N/A,#N/A,FALSE,"Mortgage Loan Sch"}</definedName>
    <definedName name="wrn.MRA." localSheetId="7" hidden="1">{"MRA IS",#N/A,FALSE,"MRA - IS";"MRA BS",#N/A,FALSE,"MRA - BS";"MRA Detail IS",#N/A,FALSE,"MRA - Detail IS";"MRA Detail IS Supplemental Info",#N/A,FALSE,"MRA - Detail IS";"MRA Monthly 1999",#N/A,FALSE,"MRA Monthly";"MRA Monthly IS 1998",#N/A,FALSE,"MRA Monthly";"MRA Monthly IS 1997",#N/A,FALSE,"MRA Monthly"}</definedName>
    <definedName name="wrn.MRA." hidden="1">{"MRA IS",#N/A,FALSE,"MRA - IS";"MRA BS",#N/A,FALSE,"MRA - BS";"MRA Detail IS",#N/A,FALSE,"MRA - Detail IS";"MRA Detail IS Supplemental Info",#N/A,FALSE,"MRA - Detail IS";"MRA Monthly 1999",#N/A,FALSE,"MRA Monthly";"MRA Monthly IS 1998",#N/A,FALSE,"MRA Monthly";"MRA Monthly IS 1997",#N/A,FALSE,"MRA Monthly"}</definedName>
    <definedName name="wrn.New._.Loan._.Brief." localSheetId="7" hidden="1">{#N/A,#N/A,TRUE,"Brief";#N/A,#N/A,TRUE,"Loan Purpose";#N/A,#N/A,TRUE,"Borrower";#N/A,#N/A,TRUE,"Sponsor";#N/A,#N/A,TRUE,"Site-Improvements";#N/A,#N/A,TRUE,"Manager";#N/A,#N/A,TRUE,"Tenancy-Comm";#N/A,#N/A,TRUE,"Engineering";#N/A,#N/A,TRUE,"Market";#N/A,#N/A,TRUE,"Environmental";#N/A,#N/A,TRUE,"Appraisal";#N/A,#N/A,TRUE,"UW Income";#N/A,#N/A,TRUE,"UW Expenses";#N/A,#N/A,TRUE,"UW Reserves";#N/A,#N/A,TRUE,"Exit-Valuation";#N/A,#N/A,TRUE,"Strengths-Weaknesses";#N/A,#N/A,TRUE,"Recommendation"}</definedName>
    <definedName name="wrn.New._.Loan._.Brief." hidden="1">{#N/A,#N/A,TRUE,"Brief";#N/A,#N/A,TRUE,"Loan Purpose";#N/A,#N/A,TRUE,"Borrower";#N/A,#N/A,TRUE,"Sponsor";#N/A,#N/A,TRUE,"Site-Improvements";#N/A,#N/A,TRUE,"Manager";#N/A,#N/A,TRUE,"Tenancy-Comm";#N/A,#N/A,TRUE,"Engineering";#N/A,#N/A,TRUE,"Market";#N/A,#N/A,TRUE,"Environmental";#N/A,#N/A,TRUE,"Appraisal";#N/A,#N/A,TRUE,"UW Income";#N/A,#N/A,TRUE,"UW Expenses";#N/A,#N/A,TRUE,"UW Reserves";#N/A,#N/A,TRUE,"Exit-Valuation";#N/A,#N/A,TRUE,"Strengths-Weaknesses";#N/A,#N/A,TRUE,"Recommendation"}</definedName>
    <definedName name="wrn.new._.report." localSheetId="7" hidden="1">{#N/A,#N/A,FALSE,"PROJECT BUDET";#N/A,#N/A,FALSE,"page 8";#N/A,#N/A,FALSE,"page 9";"page 1",#N/A,FALSE,"page 11,12,13,14";"page 2",#N/A,FALSE,"page 11,12,13,14";"page 3",#N/A,FALSE,"page 11,12,13,14";"page 4",#N/A,FALSE,"page 11,12,13,14";#N/A,#N/A,FALSE,"page 10";#N/A,#N/A,FALSE,"PAGE 18 &amp; 19";"PAGE15",#N/A,FALSE,"page 15,16,17";"PAGE16",#N/A,FALSE,"page 15,16,17";"PAGE17",#N/A,FALSE,"page 15,16,17";"PAGE18",#N/A,FALSE,"page 15,16,17";#N/A,#N/A,FALSE,"page 20";#N/A,#N/A,FALSE,"page 21";#N/A,#N/A,FALSE,"page 22";#N/A,#N/A,FALSE,"page 23";#N/A,#N/A,FALSE,"page 24";#N/A,#N/A,FALSE,"page 25";#N/A,#N/A,FALSE,"page 26";#N/A,#N/A,FALSE,"page 27";#N/A,#N/A,FALSE,"page 28";#N/A,#N/A,FALSE,"page 29";#N/A,#N/A,FALSE,"page 30";#N/A,#N/A,FALSE,"page 31"}</definedName>
    <definedName name="wrn.new._.report." hidden="1">{#N/A,#N/A,FALSE,"PROJECT BUDET";#N/A,#N/A,FALSE,"page 8";#N/A,#N/A,FALSE,"page 9";"page 1",#N/A,FALSE,"page 11,12,13,14";"page 2",#N/A,FALSE,"page 11,12,13,14";"page 3",#N/A,FALSE,"page 11,12,13,14";"page 4",#N/A,FALSE,"page 11,12,13,14";#N/A,#N/A,FALSE,"page 10";#N/A,#N/A,FALSE,"PAGE 18 &amp; 19";"PAGE15",#N/A,FALSE,"page 15,16,17";"PAGE16",#N/A,FALSE,"page 15,16,17";"PAGE17",#N/A,FALSE,"page 15,16,17";"PAGE18",#N/A,FALSE,"page 15,16,17";#N/A,#N/A,FALSE,"page 20";#N/A,#N/A,FALSE,"page 21";#N/A,#N/A,FALSE,"page 22";#N/A,#N/A,FALSE,"page 23";#N/A,#N/A,FALSE,"page 24";#N/A,#N/A,FALSE,"page 25";#N/A,#N/A,FALSE,"page 26";#N/A,#N/A,FALSE,"page 27";#N/A,#N/A,FALSE,"page 28";#N/A,#N/A,FALSE,"page 29";#N/A,#N/A,FALSE,"page 30";#N/A,#N/A,FALSE,"page 31"}</definedName>
    <definedName name="wrn.New._.Sizing._.Sheet." localSheetId="7" hidden="1">{#N/A,#N/A,TRUE,"Input";#N/A,#N/A,TRUE,"Op Stmt Reconciliation";#N/A,#N/A,TRUE,"RR Reconciliation";#N/A,#N/A,TRUE,"Rollover";#N/A,#N/A,TRUE,"Cash Flow Summary";#N/A,#N/A,TRUE,"Loan Analysis";#N/A,#N/A,TRUE,"Projection"}</definedName>
    <definedName name="wrn.New._.Sizing._.Sheet." hidden="1">{#N/A,#N/A,TRUE,"Input";#N/A,#N/A,TRUE,"Op Stmt Reconciliation";#N/A,#N/A,TRUE,"RR Reconciliation";#N/A,#N/A,TRUE,"Rollover";#N/A,#N/A,TRUE,"Cash Flow Summary";#N/A,#N/A,TRUE,"Loan Analysis";#N/A,#N/A,TRUE,"Projection"}</definedName>
    <definedName name="wrn.New_Business." localSheetId="7" hidden="1">{"One",#N/A,FALSE,"New Business"}</definedName>
    <definedName name="wrn.New_Business." hidden="1">{"One",#N/A,FALSE,"New Business"}</definedName>
    <definedName name="wrn.newest." localSheetId="7" hidden="1">{#N/A,#N/A,TRUE,"TS";#N/A,#N/A,TRUE,"Combo";#N/A,#N/A,TRUE,"FAIR";#N/A,#N/A,TRUE,"RBC";#N/A,#N/A,TRUE,"xxxx"}</definedName>
    <definedName name="wrn.newest." hidden="1">{#N/A,#N/A,TRUE,"TS";#N/A,#N/A,TRUE,"Combo";#N/A,#N/A,TRUE,"FAIR";#N/A,#N/A,TRUE,"RBC";#N/A,#N/A,TRUE,"xxxx"}</definedName>
    <definedName name="wrn.NOI._.Input." localSheetId="7" hidden="1">{#N/A,#N/A,FALSE,"Input"}</definedName>
    <definedName name="wrn.NOI._.Input." hidden="1">{#N/A,#N/A,FALSE,"Input"}</definedName>
    <definedName name="wrn.NOI_Summary." localSheetId="7" hidden="1">{#N/A,#N/A,FALSE,"NOI"}</definedName>
    <definedName name="wrn.NOI_Summary." hidden="1">{#N/A,#N/A,FALSE,"NOI"}</definedName>
    <definedName name="wrn.northpoint." localSheetId="7" hidden="1">{#N/A,#N/A,FALSE,"softdraw";#N/A,#N/A,FALSE,"linereclass";"northpint loan",#N/A,FALSE,"LOAN"}</definedName>
    <definedName name="wrn.northpoint." hidden="1">{#N/A,#N/A,FALSE,"softdraw";#N/A,#N/A,FALSE,"linereclass";"northpint loan",#N/A,FALSE,"LOAN"}</definedName>
    <definedName name="wrn.NovBob." localSheetId="7" hidden="1">{#N/A,#N/A,TRUE,"Index";#N/A,#N/A,TRUE,"Income Statement vs Original Pl";#N/A,#N/A,TRUE,"Income Statement vs Reproj";#N/A,#N/A,TRUE,"Dental Care DHMO Original Plan";#N/A,#N/A,TRUE,"Dental Care DHMO Revised";#N/A,#N/A,TRUE,"Premium Analysis vs Prior Month";#N/A,#N/A,TRUE,"CURRENT AR";#N/A,#N/A,TRUE,"MO TO MO UNEARNED PREM";#N/A,#N/A,TRUE,"MO TO MO AR ANALYSIS";#N/A,#N/A,TRUE,"MO BY MO SG&amp;A FULL YR";#N/A,#N/A,TRUE,"Book of Business"}</definedName>
    <definedName name="wrn.NovBob." hidden="1">{#N/A,#N/A,TRUE,"Index";#N/A,#N/A,TRUE,"Income Statement vs Original Pl";#N/A,#N/A,TRUE,"Income Statement vs Reproj";#N/A,#N/A,TRUE,"Dental Care DHMO Original Plan";#N/A,#N/A,TRUE,"Dental Care DHMO Revised";#N/A,#N/A,TRUE,"Premium Analysis vs Prior Month";#N/A,#N/A,TRUE,"CURRENT AR";#N/A,#N/A,TRUE,"MO TO MO UNEARNED PREM";#N/A,#N/A,TRUE,"MO TO MO AR ANALYSIS";#N/A,#N/A,TRUE,"MO BY MO SG&amp;A FULL YR";#N/A,#N/A,TRUE,"Book of Business"}</definedName>
    <definedName name="wrn.ODB." localSheetId="7" hidden="1">{"ODB",#N/A,FALSE,"Hold Scenario"}</definedName>
    <definedName name="wrn.ODB." hidden="1">{"ODB",#N/A,FALSE,"Hold Scenario"}</definedName>
    <definedName name="wrn.office." localSheetId="7" hidden="1">{#N/A,#N/A,FALSE,"Pad Fees";#N/A,#N/A,FALSE,"Parking Budget";#N/A,#N/A,FALSE,"Parking Cash Flow";#N/A,#N/A,FALSE,"Parking Assumptions Summary";#N/A,#N/A,FALSE,"Assumptions-M";#N/A,#N/A,FALSE,"Assumptions-T";#N/A,#N/A,FALSE,"Assumptions-W";#N/A,#N/A,FALSE,"Assumptions-R";#N/A,#N/A,FALSE,"Assumptions-F";#N/A,#N/A,FALSE,"Assumptions-Sa";#N/A,#N/A,FALSE,"Assumptions-Su";#N/A,#N/A,FALSE,"Bond Debt Service";#N/A,#N/A,FALSE,"Bond Shortfall"}</definedName>
    <definedName name="wrn.office." hidden="1">{#N/A,#N/A,FALSE,"Pad Fees";#N/A,#N/A,FALSE,"Parking Budget";#N/A,#N/A,FALSE,"Parking Cash Flow";#N/A,#N/A,FALSE,"Parking Assumptions Summary";#N/A,#N/A,FALSE,"Assumptions-M";#N/A,#N/A,FALSE,"Assumptions-T";#N/A,#N/A,FALSE,"Assumptions-W";#N/A,#N/A,FALSE,"Assumptions-R";#N/A,#N/A,FALSE,"Assumptions-F";#N/A,#N/A,FALSE,"Assumptions-Sa";#N/A,#N/A,FALSE,"Assumptions-Su";#N/A,#N/A,FALSE,"Bond Debt Service";#N/A,#N/A,FALSE,"Bond Shortfall"}</definedName>
    <definedName name="wrn.OFFICE._.BUDGET." localSheetId="7" hidden="1">{#N/A,#N/A,FALSE,"LP Exp";#N/A,#N/A,FALSE,"Salary";#N/A,#N/A,FALSE,"Admin Exp";#N/A,#N/A,FALSE,"QTS Bud";#N/A,#N/A,FALSE,"Marketing"}</definedName>
    <definedName name="wrn.OFFICE._.BUDGET." hidden="1">{#N/A,#N/A,FALSE,"LP Exp";#N/A,#N/A,FALSE,"Salary";#N/A,#N/A,FALSE,"Admin Exp";#N/A,#N/A,FALSE,"QTS Bud";#N/A,#N/A,FALSE,"Marketing"}</definedName>
    <definedName name="wrn.ontario." localSheetId="7" hidden="1">{"page1",#N/A,FALSE,"sheet 1";"Page2",#N/A,FALSE,"sheet 1";"page3",#N/A,FALSE,"sheet 1";"page4",#N/A,FALSE,"sheet 1"}</definedName>
    <definedName name="wrn.ontario." hidden="1">{"page1",#N/A,FALSE,"sheet 1";"Page2",#N/A,FALSE,"sheet 1";"page3",#N/A,FALSE,"sheet 1";"page4",#N/A,FALSE,"sheet 1"}</definedName>
    <definedName name="wrn.open." localSheetId="7" hidden="1">{#N/A,#N/A,FALSE,"Unconsolidated Debt"}</definedName>
    <definedName name="wrn.open." hidden="1">{#N/A,#N/A,FALSE,"Unconsolidated Debt"}</definedName>
    <definedName name="wrn.OperatingAssumtions." localSheetId="7" hidden="1">{#N/A,#N/A,FALSE,"OperatingAssumptions"}</definedName>
    <definedName name="wrn.OperatingAssumtions." hidden="1">{#N/A,#N/A,FALSE,"OperatingAssumptions"}</definedName>
    <definedName name="wrn.Operations._.Review." localSheetId="7" hidden="1">{#N/A,#N/A,FALSE,"Proforma Five Yr";#N/A,#N/A,FALSE,"Occ and Rate";#N/A,#N/A,FALSE,"PF Input";#N/A,#N/A,FALSE,"Hotcomps"}</definedName>
    <definedName name="wrn.Operations._.Review." hidden="1">{#N/A,#N/A,FALSE,"Proforma Five Yr";#N/A,#N/A,FALSE,"Occ and Rate";#N/A,#N/A,FALSE,"PF Input";#N/A,#N/A,FALSE,"Hotcomps"}</definedName>
    <definedName name="wrn.Output." localSheetId="7" hidden="1">{#N/A,#N/A,TRUE,"Cover";#N/A,#N/A,TRUE,"Summary";#N/A,#N/A,TRUE,"Assumptions";#N/A,#N/A,TRUE,"Stack";#N/A,#N/A,TRUE,"Budget";#N/A,#N/A,TRUE,"Condo Summary";#N/A,#N/A,TRUE,"Sellout Summary"}</definedName>
    <definedName name="wrn.Output." hidden="1">{#N/A,#N/A,TRUE,"Cover";#N/A,#N/A,TRUE,"Summary";#N/A,#N/A,TRUE,"Assumptions";#N/A,#N/A,TRUE,"Stack";#N/A,#N/A,TRUE,"Budget";#N/A,#N/A,TRUE,"Condo Summary";#N/A,#N/A,TRUE,"Sellout Summary"}</definedName>
    <definedName name="wrn.Output3Column." localSheetId="7" hidden="1">{"Output-3Column",#N/A,FALSE,"Output"}</definedName>
    <definedName name="wrn.Output3Column." hidden="1">{"Output-3Column",#N/A,FALSE,"Output"}</definedName>
    <definedName name="wrn.OutputAll." localSheetId="7" hidden="1">{"Output-All",#N/A,FALSE,"Output"}</definedName>
    <definedName name="wrn.OutputAll." hidden="1">{"Output-All",#N/A,FALSE,"Output"}</definedName>
    <definedName name="wrn.OutputBaseYear." localSheetId="7" hidden="1">{"Output-BaseYear",#N/A,FALSE,"Output"}</definedName>
    <definedName name="wrn.OutputBaseYear." hidden="1">{"Output-BaseYear",#N/A,FALSE,"Output"}</definedName>
    <definedName name="wrn.OutputMin." localSheetId="7" hidden="1">{"Output-Min",#N/A,FALSE,"Output"}</definedName>
    <definedName name="wrn.OutputMin." hidden="1">{"Output-Min",#N/A,FALSE,"Output"}</definedName>
    <definedName name="wrn.OutputPercent." localSheetId="7" hidden="1">{"Output%",#N/A,FALSE,"Output"}</definedName>
    <definedName name="wrn.OutputPercent." hidden="1">{"Output%",#N/A,FALSE,"Output"}</definedName>
    <definedName name="wrn.outputr1a" localSheetId="7" hidden="1">{#N/A,#N/A,TRUE,"Cover";#N/A,#N/A,TRUE,"Summary";#N/A,#N/A,TRUE,"Assumptions";#N/A,#N/A,TRUE,"Stack";#N/A,#N/A,TRUE,"Budget";#N/A,#N/A,TRUE,"Condo Summary";#N/A,#N/A,TRUE,"Sellout Summary"}</definedName>
    <definedName name="wrn.outputr1a" hidden="1">{#N/A,#N/A,TRUE,"Cover";#N/A,#N/A,TRUE,"Summary";#N/A,#N/A,TRUE,"Assumptions";#N/A,#N/A,TRUE,"Stack";#N/A,#N/A,TRUE,"Budget";#N/A,#N/A,TRUE,"Condo Summary";#N/A,#N/A,TRUE,"Sellout Summary"}</definedName>
    <definedName name="wrn.outputr2a." localSheetId="7" hidden="1">{#N/A,#N/A,TRUE,"Cover";#N/A,#N/A,TRUE,"Summary";#N/A,#N/A,TRUE,"Assumptions";#N/A,#N/A,TRUE,"Stack";#N/A,#N/A,TRUE,"Budget";#N/A,#N/A,TRUE,"Condo Summary";#N/A,#N/A,TRUE,"Sellout Summary"}</definedName>
    <definedName name="wrn.outputr2a." hidden="1">{#N/A,#N/A,TRUE,"Cover";#N/A,#N/A,TRUE,"Summary";#N/A,#N/A,TRUE,"Assumptions";#N/A,#N/A,TRUE,"Stack";#N/A,#N/A,TRUE,"Budget";#N/A,#N/A,TRUE,"Condo Summary";#N/A,#N/A,TRUE,"Sellout Summary"}</definedName>
    <definedName name="wrn.Overview._.Reports." localSheetId="7" hidden="1">{#N/A,#N/A,FALSE,"DCF Values";#N/A,#N/A,FALSE,"Overview";#N/A,#N/A,FALSE,"Earnings";#N/A,#N/A,FALSE,"StockMarketValues";#N/A,#N/A,FALSE,"Asset Values";#N/A,#N/A,FALSE,"Accretion EPS";#N/A,#N/A,FALSE,"Accretion CFPS";#N/A,#N/A,FALSE,"santafe";#N/A,#N/A,FALSE,"noble";#N/A,#N/A,FALSE,"Combined Results"}</definedName>
    <definedName name="wrn.Overview._.Reports." hidden="1">{#N/A,#N/A,FALSE,"DCF Values";#N/A,#N/A,FALSE,"Overview";#N/A,#N/A,FALSE,"Earnings";#N/A,#N/A,FALSE,"StockMarketValues";#N/A,#N/A,FALSE,"Asset Values";#N/A,#N/A,FALSE,"Accretion EPS";#N/A,#N/A,FALSE,"Accretion CFPS";#N/A,#N/A,FALSE,"santafe";#N/A,#N/A,FALSE,"noble";#N/A,#N/A,FALSE,"Combined Results"}</definedName>
    <definedName name="wrn.p3" localSheetId="7" hidden="1">{"TB_PR","50",FALSE,"PR_TRIAL_BALANCE";"TB_PR","51",FALSE,"PR_TRIAL_BALANCE";"TB_PR","52",FALSE,"PR_TRIAL_BALANCE";"TB_PR","53",FALSE,"PR_TRIAL_BALANCE";"TB_PR","54",FALSE,"PR_TRIAL_BALANCE";"TB_PR","55",FALSE,"PR_TRIAL_BALANCE";"TB_PR","56",FALSE,"PR_TRIAL_BALANCE";"TB_PR","57",FALSE,"PR_TRIAL_BALANCE";"TB_PR","61",FALSE,"PR_TRIAL_BALANCE";"TB_PR","63",FALSE,"PR_TRIAL_BALANCE";"TB_PR","65",FALSE,"PR_TRIAL_BALANCE";"TB_PR","66",FALSE,"PR_TRIAL_BALANCE"}</definedName>
    <definedName name="wrn.p3" hidden="1">{"TB_PR","50",FALSE,"PR_TRIAL_BALANCE";"TB_PR","51",FALSE,"PR_TRIAL_BALANCE";"TB_PR","52",FALSE,"PR_TRIAL_BALANCE";"TB_PR","53",FALSE,"PR_TRIAL_BALANCE";"TB_PR","54",FALSE,"PR_TRIAL_BALANCE";"TB_PR","55",FALSE,"PR_TRIAL_BALANCE";"TB_PR","56",FALSE,"PR_TRIAL_BALANCE";"TB_PR","57",FALSE,"PR_TRIAL_BALANCE";"TB_PR","61",FALSE,"PR_TRIAL_BALANCE";"TB_PR","63",FALSE,"PR_TRIAL_BALANCE";"TB_PR","65",FALSE,"PR_TRIAL_BALANCE";"TB_PR","66",FALSE,"PR_TRIAL_BALANCE"}</definedName>
    <definedName name="wrn.Package." localSheetId="7" hidden="1">{#N/A,#N/A,FALSE,"Executive Summary";#N/A,#N/A,FALSE,"Assumptions";#N/A,#N/A,FALSE,"Cash Flow";#N/A,#N/A,FALSE,"I&amp;E ";#N/A,#N/A,FALSE,"Occupancy Cost";#N/A,#N/A,FALSE,"Vacancy (Mall)";#N/A,#N/A,FALSE,"Expiration Schedule";#N/A,#N/A,FALSE,"Expiration Graph ";#N/A,#N/A,FALSE,"sales graph";#N/A,#N/A,FALSE,"Vacant rents";#N/A,#N/A,FALSE,"Hist Sales";#N/A,#N/A,FALSE,"Monthly Sales";#N/A,#N/A,FALSE,"Rent Roll"}</definedName>
    <definedName name="wrn.Package." hidden="1">{#N/A,#N/A,FALSE,"Executive Summary";#N/A,#N/A,FALSE,"Assumptions";#N/A,#N/A,FALSE,"Cash Flow";#N/A,#N/A,FALSE,"I&amp;E ";#N/A,#N/A,FALSE,"Occupancy Cost";#N/A,#N/A,FALSE,"Vacancy (Mall)";#N/A,#N/A,FALSE,"Expiration Schedule";#N/A,#N/A,FALSE,"Expiration Graph ";#N/A,#N/A,FALSE,"sales graph";#N/A,#N/A,FALSE,"Vacant rents";#N/A,#N/A,FALSE,"Hist Sales";#N/A,#N/A,FALSE,"Monthly Sales";#N/A,#N/A,FALSE,"Rent Roll"}</definedName>
    <definedName name="wrn.PACKAGE._1" localSheetId="7" hidden="1">{#N/A,#N/A,TRUE,"COVER";#N/A,#N/A,TRUE,"PROFORMA";#N/A,#N/A,TRUE,"Construction CF";#N/A,#N/A,TRUE,"CASHFLOW"}</definedName>
    <definedName name="wrn.PACKAGE._1" hidden="1">{#N/A,#N/A,TRUE,"COVER";#N/A,#N/A,TRUE,"PROFORMA";#N/A,#N/A,TRUE,"Construction CF";#N/A,#N/A,TRUE,"CASHFLOW"}</definedName>
    <definedName name="wrn.PACKAGE._2" localSheetId="7" hidden="1">{#N/A,#N/A,TRUE,"COVER";#N/A,#N/A,TRUE,"PROFORMA";#N/A,#N/A,TRUE,"Construction CF";#N/A,#N/A,TRUE,"CASHFLOW"}</definedName>
    <definedName name="wrn.PACKAGE._2" hidden="1">{#N/A,#N/A,TRUE,"COVER";#N/A,#N/A,TRUE,"PROFORMA";#N/A,#N/A,TRUE,"Construction CF";#N/A,#N/A,TRUE,"CASHFLOW"}</definedName>
    <definedName name="wrn.PACKAGE._3" localSheetId="7" hidden="1">{#N/A,#N/A,TRUE,"COVER";#N/A,#N/A,TRUE,"PROFORMA";#N/A,#N/A,TRUE,"Construction CF";#N/A,#N/A,TRUE,"CASHFLOW"}</definedName>
    <definedName name="wrn.PACKAGE._3" hidden="1">{#N/A,#N/A,TRUE,"COVER";#N/A,#N/A,TRUE,"PROFORMA";#N/A,#N/A,TRUE,"Construction CF";#N/A,#N/A,TRUE,"CASHFLOW"}</definedName>
    <definedName name="wrn.PACKAGE._4" localSheetId="7" hidden="1">{#N/A,#N/A,TRUE,"COVER";#N/A,#N/A,TRUE,"PROFORMA";#N/A,#N/A,TRUE,"Construction CF";#N/A,#N/A,TRUE,"CASHFLOW"}</definedName>
    <definedName name="wrn.PACKAGE._4" hidden="1">{#N/A,#N/A,TRUE,"COVER";#N/A,#N/A,TRUE,"PROFORMA";#N/A,#N/A,TRUE,"Construction CF";#N/A,#N/A,TRUE,"CASHFLOW"}</definedName>
    <definedName name="wrn.PACKAGE._5" localSheetId="7" hidden="1">{#N/A,#N/A,TRUE,"COVER";#N/A,#N/A,TRUE,"PROFORMA";#N/A,#N/A,TRUE,"Construction CF";#N/A,#N/A,TRUE,"CASHFLOW"}</definedName>
    <definedName name="wrn.PACKAGE._5" hidden="1">{#N/A,#N/A,TRUE,"COVER";#N/A,#N/A,TRUE,"PROFORMA";#N/A,#N/A,TRUE,"Construction CF";#N/A,#N/A,TRUE,"CASHFLOW"}</definedName>
    <definedName name="wrn.packer._.1." localSheetId="7"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ge1." localSheetId="7" hidden="1">{"page1",#N/A,FALSE,"Sheet1"}</definedName>
    <definedName name="wrn.page1." hidden="1">{"page1",#N/A,FALSE,"Sheet1"}</definedName>
    <definedName name="wrn.page10." localSheetId="7" hidden="1">{"page4",#N/A,FALSE,"Sheet1"}</definedName>
    <definedName name="wrn.page10." hidden="1">{"page4",#N/A,FALSE,"Sheet1"}</definedName>
    <definedName name="wrn.page11" localSheetId="7" hidden="1">{"page8",#N/A,FALSE,"Sheet1"}</definedName>
    <definedName name="wrn.page11" hidden="1">{"page8",#N/A,FALSE,"Sheet1"}</definedName>
    <definedName name="wrn.page15" localSheetId="7" hidden="1">{"page9",#N/A,FALSE,"Sheet1"}</definedName>
    <definedName name="wrn.page15" hidden="1">{"page9",#N/A,FALSE,"Sheet1"}</definedName>
    <definedName name="wrn.page16" localSheetId="7" hidden="1">{"page1",#N/A,FALSE,"Sheet1"}</definedName>
    <definedName name="wrn.page16" hidden="1">{"page1",#N/A,FALSE,"Sheet1"}</definedName>
    <definedName name="wrn.page16." localSheetId="7" hidden="1">{"page2",#N/A,FALSE,"Sheet1"}</definedName>
    <definedName name="wrn.page16." hidden="1">{"page2",#N/A,FALSE,"Sheet1"}</definedName>
    <definedName name="wrn.page17." localSheetId="7" hidden="1">{"page5",#N/A,FALSE,"Sheet1"}</definedName>
    <definedName name="wrn.page17." hidden="1">{"page5",#N/A,FALSE,"Sheet1"}</definedName>
    <definedName name="wrn.page2." localSheetId="7" hidden="1">{"page2",#N/A,FALSE,"Sheet1"}</definedName>
    <definedName name="wrn.page2." hidden="1">{"page2",#N/A,FALSE,"Sheet1"}</definedName>
    <definedName name="wrn.page20." localSheetId="7" hidden="1">{"page3",#N/A,FALSE,"Sheet1"}</definedName>
    <definedName name="wrn.page20." hidden="1">{"page3",#N/A,FALSE,"Sheet1"}</definedName>
    <definedName name="wrn.page3" localSheetId="7" hidden="1">{"page2",#N/A,FALSE,"Sheet1"}</definedName>
    <definedName name="wrn.page3" hidden="1">{"page2",#N/A,FALSE,"Sheet1"}</definedName>
    <definedName name="wrn.page3." localSheetId="7" hidden="1">{"page3",#N/A,FALSE,"Sheet1"}</definedName>
    <definedName name="wrn.page3." hidden="1">{"page3",#N/A,FALSE,"Sheet1"}</definedName>
    <definedName name="wrn.page4." localSheetId="7" hidden="1">{"page4",#N/A,FALSE,"Sheet1"}</definedName>
    <definedName name="wrn.page4." hidden="1">{"page4",#N/A,FALSE,"Sheet1"}</definedName>
    <definedName name="wrn.page5" localSheetId="7" hidden="1">{"page4",#N/A,FALSE,"Sheet1"}</definedName>
    <definedName name="wrn.page5" hidden="1">{"page4",#N/A,FALSE,"Sheet1"}</definedName>
    <definedName name="wrn.page5." localSheetId="7" hidden="1">{"page5",#N/A,FALSE,"Sheet1"}</definedName>
    <definedName name="wrn.page5." hidden="1">{"page5",#N/A,FALSE,"Sheet1"}</definedName>
    <definedName name="wrn.page6" localSheetId="7" hidden="1">{"page5",#N/A,FALSE,"Sheet1"}</definedName>
    <definedName name="wrn.page6" hidden="1">{"page5",#N/A,FALSE,"Sheet1"}</definedName>
    <definedName name="wrn.page6." localSheetId="7" hidden="1">{"page6",#N/A,FALSE,"Sheet1"}</definedName>
    <definedName name="wrn.page6." hidden="1">{"page6",#N/A,FALSE,"Sheet1"}</definedName>
    <definedName name="wrn.page7" localSheetId="7" hidden="1">{"page6",#N/A,FALSE,"Sheet1"}</definedName>
    <definedName name="wrn.page7" hidden="1">{"page6",#N/A,FALSE,"Sheet1"}</definedName>
    <definedName name="wrn.page7." localSheetId="7" hidden="1">{"page7",#N/A,FALSE,"Sheet1"}</definedName>
    <definedName name="wrn.page7." hidden="1">{"page7",#N/A,FALSE,"Sheet1"}</definedName>
    <definedName name="wrn.page8" localSheetId="7" hidden="1">{"page7",#N/A,FALSE,"Sheet1"}</definedName>
    <definedName name="wrn.page8" hidden="1">{"page7",#N/A,FALSE,"Sheet1"}</definedName>
    <definedName name="wrn.page8." localSheetId="7" hidden="1">{"page8",#N/A,FALSE,"Sheet1"}</definedName>
    <definedName name="wrn.page8." hidden="1">{"page8",#N/A,FALSE,"Sheet1"}</definedName>
    <definedName name="wrn.page9" localSheetId="7" hidden="1">{"page8",#N/A,FALSE,"Sheet1"}</definedName>
    <definedName name="wrn.page9" hidden="1">{"page8",#N/A,FALSE,"Sheet1"}</definedName>
    <definedName name="wrn.page9." localSheetId="7" hidden="1">{"page9",#N/A,FALSE,"Sheet1"}</definedName>
    <definedName name="wrn.page9." hidden="1">{"page9",#N/A,FALSE,"Sheet1"}</definedName>
    <definedName name="wrn.Palms._.at._.South._.Shore." localSheetId="7" hidden="1">{#N/A,#N/A,FALSE,"loananalysis";#N/A,#N/A,FALSE,"proforma";#N/A,#N/A,FALSE,"unitmix"}</definedName>
    <definedName name="wrn.Palms._.at._.South._.Shore." hidden="1">{#N/A,#N/A,FALSE,"loananalysis";#N/A,#N/A,FALSE,"proforma";#N/A,#N/A,FALSE,"unitmix"}</definedName>
    <definedName name="wrn.Palms._.at._.South._.Shore._1" localSheetId="7" hidden="1">{#N/A,#N/A,FALSE,"loananalysis";#N/A,#N/A,FALSE,"proforma";#N/A,#N/A,FALSE,"unitmix"}</definedName>
    <definedName name="wrn.Palms._.at._.South._.Shore._1" hidden="1">{#N/A,#N/A,FALSE,"loananalysis";#N/A,#N/A,FALSE,"proforma";#N/A,#N/A,FALSE,"unitmix"}</definedName>
    <definedName name="wrn.Partial." localSheetId="7" hidden="1">{#N/A,#N/A,FALSE,"Assumptions";#N/A,#N/A,FALSE,"Year One Pro Forma";#N/A,#N/A,FALSE,"Rent Roll Summary";#N/A,#N/A,FALSE,"Market Rent Detail";#N/A,#N/A,FALSE,"Rent Roll Summary";#N/A,#N/A,FALSE,"Market Rent Increases";#N/A,#N/A,FALSE,"Exec Sum 10Yr";#N/A,#N/A,FALSE,"Cash Flow Projections";#N/A,#N/A,FALSE,"Net Residual Value";#N/A,#N/A,FALSE,"Effective Rental Income Detail";#N/A,#N/A,FALSE,"Turnovers";#N/A,#N/A,FALSE,"Matrices"}</definedName>
    <definedName name="wrn.Partial." hidden="1">{#N/A,#N/A,FALSE,"Assumptions";#N/A,#N/A,FALSE,"Year One Pro Forma";#N/A,#N/A,FALSE,"Rent Roll Summary";#N/A,#N/A,FALSE,"Market Rent Detail";#N/A,#N/A,FALSE,"Rent Roll Summary";#N/A,#N/A,FALSE,"Market Rent Increases";#N/A,#N/A,FALSE,"Exec Sum 10Yr";#N/A,#N/A,FALSE,"Cash Flow Projections";#N/A,#N/A,FALSE,"Net Residual Value";#N/A,#N/A,FALSE,"Effective Rental Income Detail";#N/A,#N/A,FALSE,"Turnovers";#N/A,#N/A,FALSE,"Matrices"}</definedName>
    <definedName name="wrn.Partial._1" localSheetId="7" hidden="1">{#N/A,#N/A,FALSE,"Assumptions";#N/A,#N/A,FALSE,"Year One Pro Forma";#N/A,#N/A,FALSE,"Rent Roll Summary";#N/A,#N/A,FALSE,"Market Rent Detail";#N/A,#N/A,FALSE,"Rent Roll Summary";#N/A,#N/A,FALSE,"Market Rent Increases";#N/A,#N/A,FALSE,"Exec Sum 10Yr";#N/A,#N/A,FALSE,"Cash Flow Projections";#N/A,#N/A,FALSE,"Net Residual Value";#N/A,#N/A,FALSE,"Effective Rental Income Detail";#N/A,#N/A,FALSE,"Turnovers";#N/A,#N/A,FALSE,"Matrices"}</definedName>
    <definedName name="wrn.Partial._1" hidden="1">{#N/A,#N/A,FALSE,"Assumptions";#N/A,#N/A,FALSE,"Year One Pro Forma";#N/A,#N/A,FALSE,"Rent Roll Summary";#N/A,#N/A,FALSE,"Market Rent Detail";#N/A,#N/A,FALSE,"Rent Roll Summary";#N/A,#N/A,FALSE,"Market Rent Increases";#N/A,#N/A,FALSE,"Exec Sum 10Yr";#N/A,#N/A,FALSE,"Cash Flow Projections";#N/A,#N/A,FALSE,"Net Residual Value";#N/A,#N/A,FALSE,"Effective Rental Income Detail";#N/A,#N/A,FALSE,"Turnovers";#N/A,#N/A,FALSE,"Matrices"}</definedName>
    <definedName name="wrn.Partial._1_1" localSheetId="7" hidden="1">{#N/A,#N/A,FALSE,"Assumptions";#N/A,#N/A,FALSE,"Year One Pro Forma";#N/A,#N/A,FALSE,"Rent Roll Summary";#N/A,#N/A,FALSE,"Market Rent Detail";#N/A,#N/A,FALSE,"Rent Roll Summary";#N/A,#N/A,FALSE,"Market Rent Increases";#N/A,#N/A,FALSE,"Exec Sum 10Yr";#N/A,#N/A,FALSE,"Cash Flow Projections";#N/A,#N/A,FALSE,"Net Residual Value";#N/A,#N/A,FALSE,"Effective Rental Income Detail";#N/A,#N/A,FALSE,"Turnovers";#N/A,#N/A,FALSE,"Matrices"}</definedName>
    <definedName name="wrn.Partial._1_1" hidden="1">{#N/A,#N/A,FALSE,"Assumptions";#N/A,#N/A,FALSE,"Year One Pro Forma";#N/A,#N/A,FALSE,"Rent Roll Summary";#N/A,#N/A,FALSE,"Market Rent Detail";#N/A,#N/A,FALSE,"Rent Roll Summary";#N/A,#N/A,FALSE,"Market Rent Increases";#N/A,#N/A,FALSE,"Exec Sum 10Yr";#N/A,#N/A,FALSE,"Cash Flow Projections";#N/A,#N/A,FALSE,"Net Residual Value";#N/A,#N/A,FALSE,"Effective Rental Income Detail";#N/A,#N/A,FALSE,"Turnovers";#N/A,#N/A,FALSE,"Matrices"}</definedName>
    <definedName name="wrn.Partial._1_2" localSheetId="7" hidden="1">{#N/A,#N/A,FALSE,"Assumptions";#N/A,#N/A,FALSE,"Year One Pro Forma";#N/A,#N/A,FALSE,"Rent Roll Summary";#N/A,#N/A,FALSE,"Market Rent Detail";#N/A,#N/A,FALSE,"Rent Roll Summary";#N/A,#N/A,FALSE,"Market Rent Increases";#N/A,#N/A,FALSE,"Exec Sum 10Yr";#N/A,#N/A,FALSE,"Cash Flow Projections";#N/A,#N/A,FALSE,"Net Residual Value";#N/A,#N/A,FALSE,"Effective Rental Income Detail";#N/A,#N/A,FALSE,"Turnovers";#N/A,#N/A,FALSE,"Matrices"}</definedName>
    <definedName name="wrn.Partial._1_2" hidden="1">{#N/A,#N/A,FALSE,"Assumptions";#N/A,#N/A,FALSE,"Year One Pro Forma";#N/A,#N/A,FALSE,"Rent Roll Summary";#N/A,#N/A,FALSE,"Market Rent Detail";#N/A,#N/A,FALSE,"Rent Roll Summary";#N/A,#N/A,FALSE,"Market Rent Increases";#N/A,#N/A,FALSE,"Exec Sum 10Yr";#N/A,#N/A,FALSE,"Cash Flow Projections";#N/A,#N/A,FALSE,"Net Residual Value";#N/A,#N/A,FALSE,"Effective Rental Income Detail";#N/A,#N/A,FALSE,"Turnovers";#N/A,#N/A,FALSE,"Matrices"}</definedName>
    <definedName name="wrn.Partial._1_3" localSheetId="7" hidden="1">{#N/A,#N/A,FALSE,"Assumptions";#N/A,#N/A,FALSE,"Year One Pro Forma";#N/A,#N/A,FALSE,"Rent Roll Summary";#N/A,#N/A,FALSE,"Market Rent Detail";#N/A,#N/A,FALSE,"Rent Roll Summary";#N/A,#N/A,FALSE,"Market Rent Increases";#N/A,#N/A,FALSE,"Exec Sum 10Yr";#N/A,#N/A,FALSE,"Cash Flow Projections";#N/A,#N/A,FALSE,"Net Residual Value";#N/A,#N/A,FALSE,"Effective Rental Income Detail";#N/A,#N/A,FALSE,"Turnovers";#N/A,#N/A,FALSE,"Matrices"}</definedName>
    <definedName name="wrn.Partial._1_3" hidden="1">{#N/A,#N/A,FALSE,"Assumptions";#N/A,#N/A,FALSE,"Year One Pro Forma";#N/A,#N/A,FALSE,"Rent Roll Summary";#N/A,#N/A,FALSE,"Market Rent Detail";#N/A,#N/A,FALSE,"Rent Roll Summary";#N/A,#N/A,FALSE,"Market Rent Increases";#N/A,#N/A,FALSE,"Exec Sum 10Yr";#N/A,#N/A,FALSE,"Cash Flow Projections";#N/A,#N/A,FALSE,"Net Residual Value";#N/A,#N/A,FALSE,"Effective Rental Income Detail";#N/A,#N/A,FALSE,"Turnovers";#N/A,#N/A,FALSE,"Matrices"}</definedName>
    <definedName name="wrn.Partial._2" localSheetId="7" hidden="1">{#N/A,#N/A,FALSE,"Assumptions";#N/A,#N/A,FALSE,"Year One Pro Forma";#N/A,#N/A,FALSE,"Rent Roll Summary";#N/A,#N/A,FALSE,"Market Rent Detail";#N/A,#N/A,FALSE,"Rent Roll Summary";#N/A,#N/A,FALSE,"Market Rent Increases";#N/A,#N/A,FALSE,"Exec Sum 10Yr";#N/A,#N/A,FALSE,"Cash Flow Projections";#N/A,#N/A,FALSE,"Net Residual Value";#N/A,#N/A,FALSE,"Effective Rental Income Detail";#N/A,#N/A,FALSE,"Turnovers";#N/A,#N/A,FALSE,"Matrices"}</definedName>
    <definedName name="wrn.Partial._2" hidden="1">{#N/A,#N/A,FALSE,"Assumptions";#N/A,#N/A,FALSE,"Year One Pro Forma";#N/A,#N/A,FALSE,"Rent Roll Summary";#N/A,#N/A,FALSE,"Market Rent Detail";#N/A,#N/A,FALSE,"Rent Roll Summary";#N/A,#N/A,FALSE,"Market Rent Increases";#N/A,#N/A,FALSE,"Exec Sum 10Yr";#N/A,#N/A,FALSE,"Cash Flow Projections";#N/A,#N/A,FALSE,"Net Residual Value";#N/A,#N/A,FALSE,"Effective Rental Income Detail";#N/A,#N/A,FALSE,"Turnovers";#N/A,#N/A,FALSE,"Matrices"}</definedName>
    <definedName name="wrn.Partial._2_1" localSheetId="7" hidden="1">{#N/A,#N/A,FALSE,"Assumptions";#N/A,#N/A,FALSE,"Year One Pro Forma";#N/A,#N/A,FALSE,"Rent Roll Summary";#N/A,#N/A,FALSE,"Market Rent Detail";#N/A,#N/A,FALSE,"Rent Roll Summary";#N/A,#N/A,FALSE,"Market Rent Increases";#N/A,#N/A,FALSE,"Exec Sum 10Yr";#N/A,#N/A,FALSE,"Cash Flow Projections";#N/A,#N/A,FALSE,"Net Residual Value";#N/A,#N/A,FALSE,"Effective Rental Income Detail";#N/A,#N/A,FALSE,"Turnovers";#N/A,#N/A,FALSE,"Matrices"}</definedName>
    <definedName name="wrn.Partial._2_1" hidden="1">{#N/A,#N/A,FALSE,"Assumptions";#N/A,#N/A,FALSE,"Year One Pro Forma";#N/A,#N/A,FALSE,"Rent Roll Summary";#N/A,#N/A,FALSE,"Market Rent Detail";#N/A,#N/A,FALSE,"Rent Roll Summary";#N/A,#N/A,FALSE,"Market Rent Increases";#N/A,#N/A,FALSE,"Exec Sum 10Yr";#N/A,#N/A,FALSE,"Cash Flow Projections";#N/A,#N/A,FALSE,"Net Residual Value";#N/A,#N/A,FALSE,"Effective Rental Income Detail";#N/A,#N/A,FALSE,"Turnovers";#N/A,#N/A,FALSE,"Matrices"}</definedName>
    <definedName name="wrn.Partial._2_2" localSheetId="7" hidden="1">{#N/A,#N/A,FALSE,"Assumptions";#N/A,#N/A,FALSE,"Year One Pro Forma";#N/A,#N/A,FALSE,"Rent Roll Summary";#N/A,#N/A,FALSE,"Market Rent Detail";#N/A,#N/A,FALSE,"Rent Roll Summary";#N/A,#N/A,FALSE,"Market Rent Increases";#N/A,#N/A,FALSE,"Exec Sum 10Yr";#N/A,#N/A,FALSE,"Cash Flow Projections";#N/A,#N/A,FALSE,"Net Residual Value";#N/A,#N/A,FALSE,"Effective Rental Income Detail";#N/A,#N/A,FALSE,"Turnovers";#N/A,#N/A,FALSE,"Matrices"}</definedName>
    <definedName name="wrn.Partial._2_2" hidden="1">{#N/A,#N/A,FALSE,"Assumptions";#N/A,#N/A,FALSE,"Year One Pro Forma";#N/A,#N/A,FALSE,"Rent Roll Summary";#N/A,#N/A,FALSE,"Market Rent Detail";#N/A,#N/A,FALSE,"Rent Roll Summary";#N/A,#N/A,FALSE,"Market Rent Increases";#N/A,#N/A,FALSE,"Exec Sum 10Yr";#N/A,#N/A,FALSE,"Cash Flow Projections";#N/A,#N/A,FALSE,"Net Residual Value";#N/A,#N/A,FALSE,"Effective Rental Income Detail";#N/A,#N/A,FALSE,"Turnovers";#N/A,#N/A,FALSE,"Matrices"}</definedName>
    <definedName name="wrn.Partial._2_3" localSheetId="7" hidden="1">{#N/A,#N/A,FALSE,"Assumptions";#N/A,#N/A,FALSE,"Year One Pro Forma";#N/A,#N/A,FALSE,"Rent Roll Summary";#N/A,#N/A,FALSE,"Market Rent Detail";#N/A,#N/A,FALSE,"Rent Roll Summary";#N/A,#N/A,FALSE,"Market Rent Increases";#N/A,#N/A,FALSE,"Exec Sum 10Yr";#N/A,#N/A,FALSE,"Cash Flow Projections";#N/A,#N/A,FALSE,"Net Residual Value";#N/A,#N/A,FALSE,"Effective Rental Income Detail";#N/A,#N/A,FALSE,"Turnovers";#N/A,#N/A,FALSE,"Matrices"}</definedName>
    <definedName name="wrn.Partial._2_3" hidden="1">{#N/A,#N/A,FALSE,"Assumptions";#N/A,#N/A,FALSE,"Year One Pro Forma";#N/A,#N/A,FALSE,"Rent Roll Summary";#N/A,#N/A,FALSE,"Market Rent Detail";#N/A,#N/A,FALSE,"Rent Roll Summary";#N/A,#N/A,FALSE,"Market Rent Increases";#N/A,#N/A,FALSE,"Exec Sum 10Yr";#N/A,#N/A,FALSE,"Cash Flow Projections";#N/A,#N/A,FALSE,"Net Residual Value";#N/A,#N/A,FALSE,"Effective Rental Income Detail";#N/A,#N/A,FALSE,"Turnovers";#N/A,#N/A,FALSE,"Matrices"}</definedName>
    <definedName name="wrn.Partial._3" localSheetId="7" hidden="1">{#N/A,#N/A,FALSE,"Assumptions";#N/A,#N/A,FALSE,"Year One Pro Forma";#N/A,#N/A,FALSE,"Rent Roll Summary";#N/A,#N/A,FALSE,"Market Rent Detail";#N/A,#N/A,FALSE,"Rent Roll Summary";#N/A,#N/A,FALSE,"Market Rent Increases";#N/A,#N/A,FALSE,"Exec Sum 10Yr";#N/A,#N/A,FALSE,"Cash Flow Projections";#N/A,#N/A,FALSE,"Net Residual Value";#N/A,#N/A,FALSE,"Effective Rental Income Detail";#N/A,#N/A,FALSE,"Turnovers";#N/A,#N/A,FALSE,"Matrices"}</definedName>
    <definedName name="wrn.Partial._3" hidden="1">{#N/A,#N/A,FALSE,"Assumptions";#N/A,#N/A,FALSE,"Year One Pro Forma";#N/A,#N/A,FALSE,"Rent Roll Summary";#N/A,#N/A,FALSE,"Market Rent Detail";#N/A,#N/A,FALSE,"Rent Roll Summary";#N/A,#N/A,FALSE,"Market Rent Increases";#N/A,#N/A,FALSE,"Exec Sum 10Yr";#N/A,#N/A,FALSE,"Cash Flow Projections";#N/A,#N/A,FALSE,"Net Residual Value";#N/A,#N/A,FALSE,"Effective Rental Income Detail";#N/A,#N/A,FALSE,"Turnovers";#N/A,#N/A,FALSE,"Matrices"}</definedName>
    <definedName name="wrn.Partial._3_1" localSheetId="7" hidden="1">{#N/A,#N/A,FALSE,"Assumptions";#N/A,#N/A,FALSE,"Year One Pro Forma";#N/A,#N/A,FALSE,"Rent Roll Summary";#N/A,#N/A,FALSE,"Market Rent Detail";#N/A,#N/A,FALSE,"Rent Roll Summary";#N/A,#N/A,FALSE,"Market Rent Increases";#N/A,#N/A,FALSE,"Exec Sum 10Yr";#N/A,#N/A,FALSE,"Cash Flow Projections";#N/A,#N/A,FALSE,"Net Residual Value";#N/A,#N/A,FALSE,"Effective Rental Income Detail";#N/A,#N/A,FALSE,"Turnovers";#N/A,#N/A,FALSE,"Matrices"}</definedName>
    <definedName name="wrn.Partial._3_1" hidden="1">{#N/A,#N/A,FALSE,"Assumptions";#N/A,#N/A,FALSE,"Year One Pro Forma";#N/A,#N/A,FALSE,"Rent Roll Summary";#N/A,#N/A,FALSE,"Market Rent Detail";#N/A,#N/A,FALSE,"Rent Roll Summary";#N/A,#N/A,FALSE,"Market Rent Increases";#N/A,#N/A,FALSE,"Exec Sum 10Yr";#N/A,#N/A,FALSE,"Cash Flow Projections";#N/A,#N/A,FALSE,"Net Residual Value";#N/A,#N/A,FALSE,"Effective Rental Income Detail";#N/A,#N/A,FALSE,"Turnovers";#N/A,#N/A,FALSE,"Matrices"}</definedName>
    <definedName name="wrn.Partial._3_2" localSheetId="7" hidden="1">{#N/A,#N/A,FALSE,"Assumptions";#N/A,#N/A,FALSE,"Year One Pro Forma";#N/A,#N/A,FALSE,"Rent Roll Summary";#N/A,#N/A,FALSE,"Market Rent Detail";#N/A,#N/A,FALSE,"Rent Roll Summary";#N/A,#N/A,FALSE,"Market Rent Increases";#N/A,#N/A,FALSE,"Exec Sum 10Yr";#N/A,#N/A,FALSE,"Cash Flow Projections";#N/A,#N/A,FALSE,"Net Residual Value";#N/A,#N/A,FALSE,"Effective Rental Income Detail";#N/A,#N/A,FALSE,"Turnovers";#N/A,#N/A,FALSE,"Matrices"}</definedName>
    <definedName name="wrn.Partial._3_2" hidden="1">{#N/A,#N/A,FALSE,"Assumptions";#N/A,#N/A,FALSE,"Year One Pro Forma";#N/A,#N/A,FALSE,"Rent Roll Summary";#N/A,#N/A,FALSE,"Market Rent Detail";#N/A,#N/A,FALSE,"Rent Roll Summary";#N/A,#N/A,FALSE,"Market Rent Increases";#N/A,#N/A,FALSE,"Exec Sum 10Yr";#N/A,#N/A,FALSE,"Cash Flow Projections";#N/A,#N/A,FALSE,"Net Residual Value";#N/A,#N/A,FALSE,"Effective Rental Income Detail";#N/A,#N/A,FALSE,"Turnovers";#N/A,#N/A,FALSE,"Matrices"}</definedName>
    <definedName name="wrn.Partial._3_3" localSheetId="7" hidden="1">{#N/A,#N/A,FALSE,"Assumptions";#N/A,#N/A,FALSE,"Year One Pro Forma";#N/A,#N/A,FALSE,"Rent Roll Summary";#N/A,#N/A,FALSE,"Market Rent Detail";#N/A,#N/A,FALSE,"Rent Roll Summary";#N/A,#N/A,FALSE,"Market Rent Increases";#N/A,#N/A,FALSE,"Exec Sum 10Yr";#N/A,#N/A,FALSE,"Cash Flow Projections";#N/A,#N/A,FALSE,"Net Residual Value";#N/A,#N/A,FALSE,"Effective Rental Income Detail";#N/A,#N/A,FALSE,"Turnovers";#N/A,#N/A,FALSE,"Matrices"}</definedName>
    <definedName name="wrn.Partial._3_3" hidden="1">{#N/A,#N/A,FALSE,"Assumptions";#N/A,#N/A,FALSE,"Year One Pro Forma";#N/A,#N/A,FALSE,"Rent Roll Summary";#N/A,#N/A,FALSE,"Market Rent Detail";#N/A,#N/A,FALSE,"Rent Roll Summary";#N/A,#N/A,FALSE,"Market Rent Increases";#N/A,#N/A,FALSE,"Exec Sum 10Yr";#N/A,#N/A,FALSE,"Cash Flow Projections";#N/A,#N/A,FALSE,"Net Residual Value";#N/A,#N/A,FALSE,"Effective Rental Income Detail";#N/A,#N/A,FALSE,"Turnovers";#N/A,#N/A,FALSE,"Matrices"}</definedName>
    <definedName name="wrn.Partial._4" localSheetId="7" hidden="1">{#N/A,#N/A,FALSE,"Assumptions";#N/A,#N/A,FALSE,"Year One Pro Forma";#N/A,#N/A,FALSE,"Rent Roll Summary";#N/A,#N/A,FALSE,"Market Rent Detail";#N/A,#N/A,FALSE,"Rent Roll Summary";#N/A,#N/A,FALSE,"Market Rent Increases";#N/A,#N/A,FALSE,"Exec Sum 10Yr";#N/A,#N/A,FALSE,"Cash Flow Projections";#N/A,#N/A,FALSE,"Net Residual Value";#N/A,#N/A,FALSE,"Effective Rental Income Detail";#N/A,#N/A,FALSE,"Turnovers";#N/A,#N/A,FALSE,"Matrices"}</definedName>
    <definedName name="wrn.Partial._4" hidden="1">{#N/A,#N/A,FALSE,"Assumptions";#N/A,#N/A,FALSE,"Year One Pro Forma";#N/A,#N/A,FALSE,"Rent Roll Summary";#N/A,#N/A,FALSE,"Market Rent Detail";#N/A,#N/A,FALSE,"Rent Roll Summary";#N/A,#N/A,FALSE,"Market Rent Increases";#N/A,#N/A,FALSE,"Exec Sum 10Yr";#N/A,#N/A,FALSE,"Cash Flow Projections";#N/A,#N/A,FALSE,"Net Residual Value";#N/A,#N/A,FALSE,"Effective Rental Income Detail";#N/A,#N/A,FALSE,"Turnovers";#N/A,#N/A,FALSE,"Matrices"}</definedName>
    <definedName name="wrn.Partial._5" localSheetId="7" hidden="1">{#N/A,#N/A,FALSE,"Assumptions";#N/A,#N/A,FALSE,"Year One Pro Forma";#N/A,#N/A,FALSE,"Rent Roll Summary";#N/A,#N/A,FALSE,"Market Rent Detail";#N/A,#N/A,FALSE,"Rent Roll Summary";#N/A,#N/A,FALSE,"Market Rent Increases";#N/A,#N/A,FALSE,"Exec Sum 10Yr";#N/A,#N/A,FALSE,"Cash Flow Projections";#N/A,#N/A,FALSE,"Net Residual Value";#N/A,#N/A,FALSE,"Effective Rental Income Detail";#N/A,#N/A,FALSE,"Turnovers";#N/A,#N/A,FALSE,"Matrices"}</definedName>
    <definedName name="wrn.Partial._5" hidden="1">{#N/A,#N/A,FALSE,"Assumptions";#N/A,#N/A,FALSE,"Year One Pro Forma";#N/A,#N/A,FALSE,"Rent Roll Summary";#N/A,#N/A,FALSE,"Market Rent Detail";#N/A,#N/A,FALSE,"Rent Roll Summary";#N/A,#N/A,FALSE,"Market Rent Increases";#N/A,#N/A,FALSE,"Exec Sum 10Yr";#N/A,#N/A,FALSE,"Cash Flow Projections";#N/A,#N/A,FALSE,"Net Residual Value";#N/A,#N/A,FALSE,"Effective Rental Income Detail";#N/A,#N/A,FALSE,"Turnovers";#N/A,#N/A,FALSE,"Matrices"}</definedName>
    <definedName name="wrn.Partial_Template." localSheetId="7" hidden="1">{#N/A,#N/A,FALSE,"1Summary";#N/A,#N/A,FALSE,"2Assumptions";#N/A,#N/A,FALSE,"3Cash Flow";#N/A,#N/A,FALSE,"6Residual";#N/A,#N/A,FALSE,"AExpiration Schedule"}</definedName>
    <definedName name="wrn.Partial_Template." hidden="1">{#N/A,#N/A,FALSE,"1Summary";#N/A,#N/A,FALSE,"2Assumptions";#N/A,#N/A,FALSE,"3Cash Flow";#N/A,#N/A,FALSE,"6Residual";#N/A,#N/A,FALSE,"AExpiration Schedule"}</definedName>
    <definedName name="wrn.Partial_Template._1" localSheetId="7" hidden="1">{#N/A,#N/A,FALSE,"1Summary";#N/A,#N/A,FALSE,"2Assumptions";#N/A,#N/A,FALSE,"3Cash Flow";#N/A,#N/A,FALSE,"6Residual";#N/A,#N/A,FALSE,"AExpiration Schedule"}</definedName>
    <definedName name="wrn.Partial_Template._1" hidden="1">{#N/A,#N/A,FALSE,"1Summary";#N/A,#N/A,FALSE,"2Assumptions";#N/A,#N/A,FALSE,"3Cash Flow";#N/A,#N/A,FALSE,"6Residual";#N/A,#N/A,FALSE,"AExpiration Schedule"}</definedName>
    <definedName name="wrn.Pavilion." localSheetId="7" hidden="1">{"Pavilion-Investor",#N/A,FALSE,"Pavilion";"Pavilion-Property",#N/A,FALSE,"Pavilion"}</definedName>
    <definedName name="wrn.Pavilion." hidden="1">{"Pavilion-Investor",#N/A,FALSE,"Pavilion";"Pavilion-Property",#N/A,FALSE,"Pavilion"}</definedName>
    <definedName name="wrn.PERCENTAGE._.RENT." localSheetId="7" hidden="1">{"PERCENTAGE RENT",#N/A,TRUE,"SCHEDULE B"}</definedName>
    <definedName name="wrn.PERCENTAGE._.RENT." hidden="1">{"PERCENTAGE RENT",#N/A,TRUE,"SCHEDULE B"}</definedName>
    <definedName name="wrn.Phase._.I." localSheetId="7" hidden="1">{#N/A,#N/A,FALSE,"Transaction Summary-DTW";#N/A,#N/A,FALSE,"Proforma Five Yr";#N/A,#N/A,FALSE,"Occ and Rate"}</definedName>
    <definedName name="wrn.Phase._.I." hidden="1">{#N/A,#N/A,FALSE,"Transaction Summary-DTW";#N/A,#N/A,FALSE,"Proforma Five Yr";#N/A,#N/A,FALSE,"Occ and Rate"}</definedName>
    <definedName name="wrn.PIER._.UNITS." localSheetId="7" hidden="1">{"PIER UNITS",#N/A,FALSE,"PIER"}</definedName>
    <definedName name="wrn.PIER._.UNITS." hidden="1">{"PIER UNITS",#N/A,FALSE,"PIER"}</definedName>
    <definedName name="wrn.Pineway." localSheetId="7" hidden="1">{#N/A,#N/A,FALSE,"rent schedule";#N/A,#N/A,FALSE,"income expenses";#N/A,#N/A,FALSE,"proforma";#N/A,#N/A,FALSE,"proforma stab";#N/A,#N/A,FALSE,"loan analysis";#N/A,#N/A,FALSE,"loan analysis stab";#N/A,#N/A,FALSE,"income expenses"}</definedName>
    <definedName name="wrn.Pineway." hidden="1">{#N/A,#N/A,FALSE,"rent schedule";#N/A,#N/A,FALSE,"income expenses";#N/A,#N/A,FALSE,"proforma";#N/A,#N/A,FALSE,"proforma stab";#N/A,#N/A,FALSE,"loan analysis";#N/A,#N/A,FALSE,"loan analysis stab";#N/A,#N/A,FALSE,"income expenses"}</definedName>
    <definedName name="wrn.Pineway._1" localSheetId="7" hidden="1">{#N/A,#N/A,FALSE,"rent schedule";#N/A,#N/A,FALSE,"income expenses";#N/A,#N/A,FALSE,"proforma";#N/A,#N/A,FALSE,"proforma stab";#N/A,#N/A,FALSE,"loan analysis";#N/A,#N/A,FALSE,"loan analysis stab";#N/A,#N/A,FALSE,"income expenses"}</definedName>
    <definedName name="wrn.Pineway._1" hidden="1">{#N/A,#N/A,FALSE,"rent schedule";#N/A,#N/A,FALSE,"income expenses";#N/A,#N/A,FALSE,"proforma";#N/A,#N/A,FALSE,"proforma stab";#N/A,#N/A,FALSE,"loan analysis";#N/A,#N/A,FALSE,"loan analysis stab";#N/A,#N/A,FALSE,"income expenses"}</definedName>
    <definedName name="wrn.PK._.Variance." localSheetId="7" hidden="1">{#N/A,#N/A,FALSE,"399 Park Var";#N/A,#N/A,FALSE,"PK NOTES"}</definedName>
    <definedName name="wrn.PK._.Variance." hidden="1">{#N/A,#N/A,FALSE,"399 Park Var";#N/A,#N/A,FALSE,"PK NOTES"}</definedName>
    <definedName name="wrn.pl." localSheetId="7" hidden="1">{#N/A,#N/A,FALSE,"Cons PL-Accrual"}</definedName>
    <definedName name="wrn.pl." hidden="1">{#N/A,#N/A,FALSE,"Cons PL-Accrual"}</definedName>
    <definedName name="wrn.Plan." localSheetId="7" hidden="1">{#N/A,#N/A,FALSE,"Highridge Return Analysis";#N/A,#N/A,FALSE,"Sale @ end of year 3 (4yr Plan)";#N/A,#N/A,FALSE,"Highridge Assumption Page"}</definedName>
    <definedName name="wrn.Plan." hidden="1">{#N/A,#N/A,FALSE,"Highridge Return Analysis";#N/A,#N/A,FALSE,"Sale @ end of year 3 (4yr Plan)";#N/A,#N/A,FALSE,"Highridge Assumption Page"}</definedName>
    <definedName name="wrn.Plan._1" localSheetId="7" hidden="1">{#N/A,#N/A,FALSE,"Highridge Return Analysis";#N/A,#N/A,FALSE,"Sale @ end of year 3 (4yr Plan)";#N/A,#N/A,FALSE,"Highridge Assumption Page"}</definedName>
    <definedName name="wrn.Plan._1" hidden="1">{#N/A,#N/A,FALSE,"Highridge Return Analysis";#N/A,#N/A,FALSE,"Sale @ end of year 3 (4yr Plan)";#N/A,#N/A,FALSE,"Highridge Assumption Page"}</definedName>
    <definedName name="wrn.Plan._2" localSheetId="7" hidden="1">{#N/A,#N/A,FALSE,"Highridge Return Analysis";#N/A,#N/A,FALSE,"Sale @ end of year 3 (4yr Plan)";#N/A,#N/A,FALSE,"Highridge Assumption Page"}</definedName>
    <definedName name="wrn.Plan._2" hidden="1">{#N/A,#N/A,FALSE,"Highridge Return Analysis";#N/A,#N/A,FALSE,"Sale @ end of year 3 (4yr Plan)";#N/A,#N/A,FALSE,"Highridge Assumption Page"}</definedName>
    <definedName name="wrn.Plan._3" localSheetId="7" hidden="1">{#N/A,#N/A,FALSE,"Highridge Return Analysis";#N/A,#N/A,FALSE,"Sale @ end of year 3 (4yr Plan)";#N/A,#N/A,FALSE,"Highridge Assumption Page"}</definedName>
    <definedName name="wrn.Plan._3" hidden="1">{#N/A,#N/A,FALSE,"Highridge Return Analysis";#N/A,#N/A,FALSE,"Sale @ end of year 3 (4yr Plan)";#N/A,#N/A,FALSE,"Highridge Assumption Page"}</definedName>
    <definedName name="wrn.Plan._4" localSheetId="7" hidden="1">{#N/A,#N/A,FALSE,"Highridge Return Analysis";#N/A,#N/A,FALSE,"Sale @ end of year 3 (4yr Plan)";#N/A,#N/A,FALSE,"Highridge Assumption Page"}</definedName>
    <definedName name="wrn.Plan._4" hidden="1">{#N/A,#N/A,FALSE,"Highridge Return Analysis";#N/A,#N/A,FALSE,"Sale @ end of year 3 (4yr Plan)";#N/A,#N/A,FALSE,"Highridge Assumption Page"}</definedName>
    <definedName name="wrn.Plan._5" localSheetId="7" hidden="1">{#N/A,#N/A,FALSE,"Highridge Return Analysis";#N/A,#N/A,FALSE,"Sale @ end of year 3 (4yr Plan)";#N/A,#N/A,FALSE,"Highridge Assumption Page"}</definedName>
    <definedName name="wrn.Plan._5" hidden="1">{#N/A,#N/A,FALSE,"Highridge Return Analysis";#N/A,#N/A,FALSE,"Sale @ end of year 3 (4yr Plan)";#N/A,#N/A,FALSE,"Highridge Assumption Page"}</definedName>
    <definedName name="wrn.PLX._1" localSheetId="7" hidden="1">{"cred comp",#N/A,FALSE,"Comparable Credit Analysis";"IS",#N/A,FALSE,"IS";"Sensitivity",#N/A,FALSE,"Sensitivity";"BS",#N/A,FALSE,"BS";"Bond Summary",#N/A,FALSE,"B Summary";"AD",#N/A,FALSE,"Accretion";"NAV",#N/A,FALSE,"NAV";"SU",#N/A,FALSE,"S&amp;U";"acq. study",#N/A,FALSE,"Acq. Study";"F Charges",#N/A,FALSE,"Fixed Charges"}</definedName>
    <definedName name="wrn.PLX._1" hidden="1">{"cred comp",#N/A,FALSE,"Comparable Credit Analysis";"IS",#N/A,FALSE,"IS";"Sensitivity",#N/A,FALSE,"Sensitivity";"BS",#N/A,FALSE,"BS";"Bond Summary",#N/A,FALSE,"B Summary";"AD",#N/A,FALSE,"Accretion";"NAV",#N/A,FALSE,"NAV";"SU",#N/A,FALSE,"S&amp;U";"acq. study",#N/A,FALSE,"Acq. Study";"F Charges",#N/A,FALSE,"Fixed Charges"}</definedName>
    <definedName name="wrn.PLX._1_1" localSheetId="7" hidden="1">{"cred comp",#N/A,FALSE,"Comparable Credit Analysis";"IS",#N/A,FALSE,"IS";"Sensitivity",#N/A,FALSE,"Sensitivity";"BS",#N/A,FALSE,"BS";"Bond Summary",#N/A,FALSE,"B Summary";"AD",#N/A,FALSE,"Accretion";"NAV",#N/A,FALSE,"NAV";"SU",#N/A,FALSE,"S&amp;U";"acq. study",#N/A,FALSE,"Acq. Study";"F Charges",#N/A,FALSE,"Fixed Charges"}</definedName>
    <definedName name="wrn.PLX._1_1" hidden="1">{"cred comp",#N/A,FALSE,"Comparable Credit Analysis";"IS",#N/A,FALSE,"IS";"Sensitivity",#N/A,FALSE,"Sensitivity";"BS",#N/A,FALSE,"BS";"Bond Summary",#N/A,FALSE,"B Summary";"AD",#N/A,FALSE,"Accretion";"NAV",#N/A,FALSE,"NAV";"SU",#N/A,FALSE,"S&amp;U";"acq. study",#N/A,FALSE,"Acq. Study";"F Charges",#N/A,FALSE,"Fixed Charges"}</definedName>
    <definedName name="wrn.PLX._1_1_1" localSheetId="7" hidden="1">{"cred comp",#N/A,FALSE,"Comparable Credit Analysis";"IS",#N/A,FALSE,"IS";"Sensitivity",#N/A,FALSE,"Sensitivity";"BS",#N/A,FALSE,"BS";"Bond Summary",#N/A,FALSE,"B Summary";"AD",#N/A,FALSE,"Accretion";"NAV",#N/A,FALSE,"NAV";"SU",#N/A,FALSE,"S&amp;U";"acq. study",#N/A,FALSE,"Acq. Study";"F Charges",#N/A,FALSE,"Fixed Charges"}</definedName>
    <definedName name="wrn.PLX._1_1_1" hidden="1">{"cred comp",#N/A,FALSE,"Comparable Credit Analysis";"IS",#N/A,FALSE,"IS";"Sensitivity",#N/A,FALSE,"Sensitivity";"BS",#N/A,FALSE,"BS";"Bond Summary",#N/A,FALSE,"B Summary";"AD",#N/A,FALSE,"Accretion";"NAV",#N/A,FALSE,"NAV";"SU",#N/A,FALSE,"S&amp;U";"acq. study",#N/A,FALSE,"Acq. Study";"F Charges",#N/A,FALSE,"Fixed Charges"}</definedName>
    <definedName name="wrn.PLX._1_2" localSheetId="7" hidden="1">{"cred comp",#N/A,FALSE,"Comparable Credit Analysis";"IS",#N/A,FALSE,"IS";"Sensitivity",#N/A,FALSE,"Sensitivity";"BS",#N/A,FALSE,"BS";"Bond Summary",#N/A,FALSE,"B Summary";"AD",#N/A,FALSE,"Accretion";"NAV",#N/A,FALSE,"NAV";"SU",#N/A,FALSE,"S&amp;U";"acq. study",#N/A,FALSE,"Acq. Study";"F Charges",#N/A,FALSE,"Fixed Charges"}</definedName>
    <definedName name="wrn.PLX._1_2" hidden="1">{"cred comp",#N/A,FALSE,"Comparable Credit Analysis";"IS",#N/A,FALSE,"IS";"Sensitivity",#N/A,FALSE,"Sensitivity";"BS",#N/A,FALSE,"BS";"Bond Summary",#N/A,FALSE,"B Summary";"AD",#N/A,FALSE,"Accretion";"NAV",#N/A,FALSE,"NAV";"SU",#N/A,FALSE,"S&amp;U";"acq. study",#N/A,FALSE,"Acq. Study";"F Charges",#N/A,FALSE,"Fixed Charges"}</definedName>
    <definedName name="wrn.PLX._1_3" localSheetId="7" hidden="1">{"cred comp",#N/A,FALSE,"Comparable Credit Analysis";"IS",#N/A,FALSE,"IS";"Sensitivity",#N/A,FALSE,"Sensitivity";"BS",#N/A,FALSE,"BS";"Bond Summary",#N/A,FALSE,"B Summary";"AD",#N/A,FALSE,"Accretion";"NAV",#N/A,FALSE,"NAV";"SU",#N/A,FALSE,"S&amp;U";"acq. study",#N/A,FALSE,"Acq. Study";"F Charges",#N/A,FALSE,"Fixed Charges"}</definedName>
    <definedName name="wrn.PLX._1_3" hidden="1">{"cred comp",#N/A,FALSE,"Comparable Credit Analysis";"IS",#N/A,FALSE,"IS";"Sensitivity",#N/A,FALSE,"Sensitivity";"BS",#N/A,FALSE,"BS";"Bond Summary",#N/A,FALSE,"B Summary";"AD",#N/A,FALSE,"Accretion";"NAV",#N/A,FALSE,"NAV";"SU",#N/A,FALSE,"S&amp;U";"acq. study",#N/A,FALSE,"Acq. Study";"F Charges",#N/A,FALSE,"Fixed Charges"}</definedName>
    <definedName name="wrn.PLX._1_4" localSheetId="7" hidden="1">{"cred comp",#N/A,FALSE,"Comparable Credit Analysis";"IS",#N/A,FALSE,"IS";"Sensitivity",#N/A,FALSE,"Sensitivity";"BS",#N/A,FALSE,"BS";"Bond Summary",#N/A,FALSE,"B Summary";"AD",#N/A,FALSE,"Accretion";"NAV",#N/A,FALSE,"NAV";"SU",#N/A,FALSE,"S&amp;U";"acq. study",#N/A,FALSE,"Acq. Study";"F Charges",#N/A,FALSE,"Fixed Charges"}</definedName>
    <definedName name="wrn.PLX._1_4" hidden="1">{"cred comp",#N/A,FALSE,"Comparable Credit Analysis";"IS",#N/A,FALSE,"IS";"Sensitivity",#N/A,FALSE,"Sensitivity";"BS",#N/A,FALSE,"BS";"Bond Summary",#N/A,FALSE,"B Summary";"AD",#N/A,FALSE,"Accretion";"NAV",#N/A,FALSE,"NAV";"SU",#N/A,FALSE,"S&amp;U";"acq. study",#N/A,FALSE,"Acq. Study";"F Charges",#N/A,FALSE,"Fixed Charges"}</definedName>
    <definedName name="wrn.PLX._1_5" localSheetId="7" hidden="1">{"cred comp",#N/A,FALSE,"Comparable Credit Analysis";"IS",#N/A,FALSE,"IS";"Sensitivity",#N/A,FALSE,"Sensitivity";"BS",#N/A,FALSE,"BS";"Bond Summary",#N/A,FALSE,"B Summary";"AD",#N/A,FALSE,"Accretion";"NAV",#N/A,FALSE,"NAV";"SU",#N/A,FALSE,"S&amp;U";"acq. study",#N/A,FALSE,"Acq. Study";"F Charges",#N/A,FALSE,"Fixed Charges"}</definedName>
    <definedName name="wrn.PLX._1_5" hidden="1">{"cred comp",#N/A,FALSE,"Comparable Credit Analysis";"IS",#N/A,FALSE,"IS";"Sensitivity",#N/A,FALSE,"Sensitivity";"BS",#N/A,FALSE,"BS";"Bond Summary",#N/A,FALSE,"B Summary";"AD",#N/A,FALSE,"Accretion";"NAV",#N/A,FALSE,"NAV";"SU",#N/A,FALSE,"S&amp;U";"acq. study",#N/A,FALSE,"Acq. Study";"F Charges",#N/A,FALSE,"Fixed Charges"}</definedName>
    <definedName name="wrn.PLX._2" localSheetId="7" hidden="1">{"cred comp",#N/A,FALSE,"Comparable Credit Analysis";"IS",#N/A,FALSE,"IS";"Sensitivity",#N/A,FALSE,"Sensitivity";"BS",#N/A,FALSE,"BS";"Bond Summary",#N/A,FALSE,"B Summary";"AD",#N/A,FALSE,"Accretion";"NAV",#N/A,FALSE,"NAV";"SU",#N/A,FALSE,"S&amp;U";"acq. study",#N/A,FALSE,"Acq. Study";"F Charges",#N/A,FALSE,"Fixed Charges"}</definedName>
    <definedName name="wrn.PLX._2" hidden="1">{"cred comp",#N/A,FALSE,"Comparable Credit Analysis";"IS",#N/A,FALSE,"IS";"Sensitivity",#N/A,FALSE,"Sensitivity";"BS",#N/A,FALSE,"BS";"Bond Summary",#N/A,FALSE,"B Summary";"AD",#N/A,FALSE,"Accretion";"NAV",#N/A,FALSE,"NAV";"SU",#N/A,FALSE,"S&amp;U";"acq. study",#N/A,FALSE,"Acq. Study";"F Charges",#N/A,FALSE,"Fixed Charges"}</definedName>
    <definedName name="wrn.PLX._3" localSheetId="7" hidden="1">{"cred comp",#N/A,FALSE,"Comparable Credit Analysis";"IS",#N/A,FALSE,"IS";"Sensitivity",#N/A,FALSE,"Sensitivity";"BS",#N/A,FALSE,"BS";"Bond Summary",#N/A,FALSE,"B Summary";"AD",#N/A,FALSE,"Accretion";"NAV",#N/A,FALSE,"NAV";"SU",#N/A,FALSE,"S&amp;U";"acq. study",#N/A,FALSE,"Acq. Study";"F Charges",#N/A,FALSE,"Fixed Charges"}</definedName>
    <definedName name="wrn.PLX._3" hidden="1">{"cred comp",#N/A,FALSE,"Comparable Credit Analysis";"IS",#N/A,FALSE,"IS";"Sensitivity",#N/A,FALSE,"Sensitivity";"BS",#N/A,FALSE,"BS";"Bond Summary",#N/A,FALSE,"B Summary";"AD",#N/A,FALSE,"Accretion";"NAV",#N/A,FALSE,"NAV";"SU",#N/A,FALSE,"S&amp;U";"acq. study",#N/A,FALSE,"Acq. Study";"F Charges",#N/A,FALSE,"Fixed Charges"}</definedName>
    <definedName name="wrn.PLX._4" localSheetId="7" hidden="1">{"cred comp",#N/A,FALSE,"Comparable Credit Analysis";"IS",#N/A,FALSE,"IS";"Sensitivity",#N/A,FALSE,"Sensitivity";"BS",#N/A,FALSE,"BS";"Bond Summary",#N/A,FALSE,"B Summary";"AD",#N/A,FALSE,"Accretion";"NAV",#N/A,FALSE,"NAV";"SU",#N/A,FALSE,"S&amp;U";"acq. study",#N/A,FALSE,"Acq. Study";"F Charges",#N/A,FALSE,"Fixed Charges"}</definedName>
    <definedName name="wrn.PLX._4" hidden="1">{"cred comp",#N/A,FALSE,"Comparable Credit Analysis";"IS",#N/A,FALSE,"IS";"Sensitivity",#N/A,FALSE,"Sensitivity";"BS",#N/A,FALSE,"BS";"Bond Summary",#N/A,FALSE,"B Summary";"AD",#N/A,FALSE,"Accretion";"NAV",#N/A,FALSE,"NAV";"SU",#N/A,FALSE,"S&amp;U";"acq. study",#N/A,FALSE,"Acq. Study";"F Charges",#N/A,FALSE,"Fixed Charges"}</definedName>
    <definedName name="wrn.PLX._5" localSheetId="7" hidden="1">{"cred comp",#N/A,FALSE,"Comparable Credit Analysis";"IS",#N/A,FALSE,"IS";"Sensitivity",#N/A,FALSE,"Sensitivity";"BS",#N/A,FALSE,"BS";"Bond Summary",#N/A,FALSE,"B Summary";"AD",#N/A,FALSE,"Accretion";"NAV",#N/A,FALSE,"NAV";"SU",#N/A,FALSE,"S&amp;U";"acq. study",#N/A,FALSE,"Acq. Study";"F Charges",#N/A,FALSE,"Fixed Charges"}</definedName>
    <definedName name="wrn.PLX._5" hidden="1">{"cred comp",#N/A,FALSE,"Comparable Credit Analysis";"IS",#N/A,FALSE,"IS";"Sensitivity",#N/A,FALSE,"Sensitivity";"BS",#N/A,FALSE,"BS";"Bond Summary",#N/A,FALSE,"B Summary";"AD",#N/A,FALSE,"Accretion";"NAV",#N/A,FALSE,"NAV";"SU",#N/A,FALSE,"S&amp;U";"acq. study",#N/A,FALSE,"Acq. Study";"F Charges",#N/A,FALSE,"Fixed Charges"}</definedName>
    <definedName name="wrn.PorfolioFinancialSummary." localSheetId="7" hidden="1">{#N/A,#N/A,FALSE,"ZellLurieFinSummary";#N/A,#N/A,FALSE,"FirstCapFinSummary";#N/A,#N/A,FALSE,"ZM I-III Consol FinSummary"}</definedName>
    <definedName name="wrn.PorfolioFinancialSummary." hidden="1">{#N/A,#N/A,FALSE,"ZellLurieFinSummary";#N/A,#N/A,FALSE,"FirstCapFinSummary";#N/A,#N/A,FALSE,"ZM I-III Consol FinSummary"}</definedName>
    <definedName name="wrn.Portfolio." localSheetId="7" hidden="1">{#N/A,#N/A,FALSE,"Portfolio Summary";#N/A,#N/A,FALSE,"Portfolio Operating Stmt";#N/A,#N/A,FALSE,"Portfolio Cash Flow"}</definedName>
    <definedName name="wrn.Portfolio." hidden="1">{#N/A,#N/A,FALSE,"Portfolio Summary";#N/A,#N/A,FALSE,"Portfolio Operating Stmt";#N/A,#N/A,FALSE,"Portfolio Cash Flow"}</definedName>
    <definedName name="wrn.Portfolio._1" localSheetId="7" hidden="1">{#N/A,#N/A,FALSE,"Portfolio Summary";#N/A,#N/A,FALSE,"Portfolio Operating Stmt";#N/A,#N/A,FALSE,"Portfolio Cash Flow"}</definedName>
    <definedName name="wrn.Portfolio._1" hidden="1">{#N/A,#N/A,FALSE,"Portfolio Summary";#N/A,#N/A,FALSE,"Portfolio Operating Stmt";#N/A,#N/A,FALSE,"Portfolio Cash Flow"}</definedName>
    <definedName name="wrn.PPSL._.All." localSheetId="7" hidden="1">{#N/A,#N/A,FALSE,"PPSL Open";#N/A,#N/A,FALSE,"PPSL Summary";#N/A,#N/A,FALSE,"PPSL Main";#N/A,#N/A,FALSE,"PPSL TradingYr1";#N/A,#N/A,FALSE,"PPSL TradingYr2";#N/A,#N/A,FALSE,"PPSL TradingYr3"}</definedName>
    <definedName name="wrn.PPSL._.All." hidden="1">{#N/A,#N/A,FALSE,"PPSL Open";#N/A,#N/A,FALSE,"PPSL Summary";#N/A,#N/A,FALSE,"PPSL Main";#N/A,#N/A,FALSE,"PPSL TradingYr1";#N/A,#N/A,FALSE,"PPSL TradingYr2";#N/A,#N/A,FALSE,"PPSL TradingYr3"}</definedName>
    <definedName name="wrn.PPSL._.Trading._.Sides." localSheetId="7" hidden="1">{#N/A,#N/A,FALSE,"PPSL TradingYr1";#N/A,#N/A,FALSE,"PPSL TradingYr2";#N/A,#N/A,FALSE,"PPSL TradingYr3"}</definedName>
    <definedName name="wrn.PPSL._.Trading._.Sides." hidden="1">{#N/A,#N/A,FALSE,"PPSL TradingYr1";#N/A,#N/A,FALSE,"PPSL TradingYr2";#N/A,#N/A,FALSE,"PPSL TradingYr3"}</definedName>
    <definedName name="wrn.PR_TRIAL_BALANCE." localSheetId="7" hidden="1">{"TB_PR","50",FALSE,"PR_TRIAL_BALANCE";"TB_PR","51",FALSE,"PR_TRIAL_BALANCE";"TB_PR","52",FALSE,"PR_TRIAL_BALANCE";"TB_PR","53",FALSE,"PR_TRIAL_BALANCE";"TB_PR","54",FALSE,"PR_TRIAL_BALANCE";"TB_PR","55",FALSE,"PR_TRIAL_BALANCE";"TB_PR","56",FALSE,"PR_TRIAL_BALANCE";"TB_PR","57",FALSE,"PR_TRIAL_BALANCE";"TB_PR","61",FALSE,"PR_TRIAL_BALANCE";"TB_PR","63",FALSE,"PR_TRIAL_BALANCE";"TB_PR","65",FALSE,"PR_TRIAL_BALANCE";"TB_PR","66",FALSE,"PR_TRIAL_BALANCE"}</definedName>
    <definedName name="wrn.PR_TRIAL_BALANCE." hidden="1">{"TB_PR","50",FALSE,"PR_TRIAL_BALANCE";"TB_PR","51",FALSE,"PR_TRIAL_BALANCE";"TB_PR","52",FALSE,"PR_TRIAL_BALANCE";"TB_PR","53",FALSE,"PR_TRIAL_BALANCE";"TB_PR","54",FALSE,"PR_TRIAL_BALANCE";"TB_PR","55",FALSE,"PR_TRIAL_BALANCE";"TB_PR","56",FALSE,"PR_TRIAL_BALANCE";"TB_PR","57",FALSE,"PR_TRIAL_BALANCE";"TB_PR","61",FALSE,"PR_TRIAL_BALANCE";"TB_PR","63",FALSE,"PR_TRIAL_BALANCE";"TB_PR","65",FALSE,"PR_TRIAL_BALANCE";"TB_PR","66",FALSE,"PR_TRIAL_BALANCE"}</definedName>
    <definedName name="wrn.prcntrent" localSheetId="7" hidden="1">{"PERCENTAGE RENT",#N/A,TRUE,"SCHEDULE B"}</definedName>
    <definedName name="wrn.prcntrent" hidden="1">{"PERCENTAGE RENT",#N/A,TRUE,"SCHEDULE B"}</definedName>
    <definedName name="wrn.Preliminary._.Inv.._.Summ.." localSheetId="7" hidden="1">{"Details",#N/A,FALSE,"Detail";"Sources and Uses",#N/A,FALSE,"Detail";"Initial Cap",#N/A,FALSE,"Detail"}</definedName>
    <definedName name="wrn.Preliminary._.Inv.._.Summ.." hidden="1">{"Details",#N/A,FALSE,"Detail";"Sources and Uses",#N/A,FALSE,"Detail";"Initial Cap",#N/A,FALSE,"Detail"}</definedName>
    <definedName name="wrn.prelist." localSheetId="7" hidden="1">{#N/A,#N/A,FALSE,"rent roll";#N/A,#N/A,FALSE,"I&amp;E";#N/A,#N/A,FALSE,"96noleaseup";#N/A,#N/A,FALSE,"96noleaseup matrix";#N/A,#N/A,FALSE,"leaseup96";#N/A,#N/A,FALSE,"leaseup96 matrix";#N/A,#N/A,FALSE,"Leaseup and Exp."}</definedName>
    <definedName name="wrn.prelist." hidden="1">{#N/A,#N/A,FALSE,"rent roll";#N/A,#N/A,FALSE,"I&amp;E";#N/A,#N/A,FALSE,"96noleaseup";#N/A,#N/A,FALSE,"96noleaseup matrix";#N/A,#N/A,FALSE,"leaseup96";#N/A,#N/A,FALSE,"leaseup96 matrix";#N/A,#N/A,FALSE,"Leaseup and Exp."}</definedName>
    <definedName name="wrn.Prepaid_Recov.." localSheetId="7" hidden="1">{#N/A,#N/A,FALSE,"Prepaid Recoverable"}</definedName>
    <definedName name="wrn.Prepaid_Recov.." hidden="1">{#N/A,#N/A,FALSE,"Prepaid Recoverable"}</definedName>
    <definedName name="wrn.Prepaid_Recov.._1" localSheetId="7" hidden="1">{#N/A,#N/A,FALSE,"Prepaid Recoverable"}</definedName>
    <definedName name="wrn.Prepaid_Recov.._1" hidden="1">{#N/A,#N/A,FALSE,"Prepaid Recoverable"}</definedName>
    <definedName name="wrn.PrepaidB." localSheetId="7" hidden="1">{#N/A,#N/A,FALSE,"Prepaid (B)"}</definedName>
    <definedName name="wrn.PrepaidB." hidden="1">{#N/A,#N/A,FALSE,"Prepaid (B)"}</definedName>
    <definedName name="wrn.pres." localSheetId="7" hidden="1">{#N/A,#N/A,FALSE,"Major v. River";#N/A,#N/A,FALSE,"Industry";#N/A,#N/A,FALSE,"Large Operators";#N/A,#N/A,FALSE,"Smaller Operators";#N/A,#N/A,FALSE,"Equip. Supply";#N/A,#N/A,FALSE,"EBITDA";#N/A,#N/A,FALSE,"States";#N/A,#N/A,FALSE,"LV Detail"}</definedName>
    <definedName name="wrn.pres." hidden="1">{#N/A,#N/A,FALSE,"Major v. River";#N/A,#N/A,FALSE,"Industry";#N/A,#N/A,FALSE,"Large Operators";#N/A,#N/A,FALSE,"Smaller Operators";#N/A,#N/A,FALSE,"Equip. Supply";#N/A,#N/A,FALSE,"EBITDA";#N/A,#N/A,FALSE,"States";#N/A,#N/A,FALSE,"LV Detail"}</definedName>
    <definedName name="wrn.PRES_OUT." localSheetId="7" hidden="1">{"page1",#N/A,FALSE,"PRESENTATION";"page2",#N/A,FALSE,"PRESENTATION";#N/A,#N/A,FALSE,"Valuation Summary"}</definedName>
    <definedName name="wrn.PRES_OUT." hidden="1">{"page1",#N/A,FALSE,"PRESENTATION";"page2",#N/A,FALSE,"PRESENTATION";#N/A,#N/A,FALSE,"Valuation Summary"}</definedName>
    <definedName name="wrn.pres97." localSheetId="7" hidden="1">{#N/A,#N/A,FALSE,"Cover";#N/A,#N/A,FALSE,"Major v. River";#N/A,#N/A,FALSE,"Industry";#N/A,#N/A,FALSE,"Stock Val";#N/A,#N/A,FALSE,"EBITDA";#N/A,#N/A,FALSE,"EBITDA Growth";#N/A,#N/A,FALSE,"LV REt";#N/A,#N/A,FALSE,"AC Ret";#N/A,#N/A,FALSE,"River Ret";#N/A,#N/A,FALSE,"Executive";#N/A,#N/A,FALSE,"Demographics";#N/A,#N/A,FALSE,"Leisure";#N/A,#N/A,FALSE,"States";#N/A,#N/A,FALSE,"nongame";#N/A,#N/A,FALSE,"nongame2";#N/A,#N/A,FALSE,"Room Margin";#N/A,#N/A,FALSE,"Hyp Casino";#N/A,#N/A,FALSE,"lv gates";#N/A,#N/A,FALSE,"potential";#N/A,#N/A,FALSE,"Large Operators";#N/A,#N/A,FALSE,"Smaller Operators";#N/A,#N/A,FALSE,"Equip. Supply";#N/A,#N/A,FALSE,"LV Detail $1 Mil"}</definedName>
    <definedName name="wrn.pres97." hidden="1">{#N/A,#N/A,FALSE,"Cover";#N/A,#N/A,FALSE,"Major v. River";#N/A,#N/A,FALSE,"Industry";#N/A,#N/A,FALSE,"Stock Val";#N/A,#N/A,FALSE,"EBITDA";#N/A,#N/A,FALSE,"EBITDA Growth";#N/A,#N/A,FALSE,"LV REt";#N/A,#N/A,FALSE,"AC Ret";#N/A,#N/A,FALSE,"River Ret";#N/A,#N/A,FALSE,"Executive";#N/A,#N/A,FALSE,"Demographics";#N/A,#N/A,FALSE,"Leisure";#N/A,#N/A,FALSE,"States";#N/A,#N/A,FALSE,"nongame";#N/A,#N/A,FALSE,"nongame2";#N/A,#N/A,FALSE,"Room Margin";#N/A,#N/A,FALSE,"Hyp Casino";#N/A,#N/A,FALSE,"lv gates";#N/A,#N/A,FALSE,"potential";#N/A,#N/A,FALSE,"Large Operators";#N/A,#N/A,FALSE,"Smaller Operators";#N/A,#N/A,FALSE,"Equip. Supply";#N/A,#N/A,FALSE,"LV Detail $1 Mil"}</definedName>
    <definedName name="wrn.Presentation." localSheetId="7" hidden="1">{#N/A,#N/A,FALSE,"INDEX";#N/A,#N/A,FALSE,"Mortgage Loan Sch";#N/A,#N/A,FALSE,"Exec Summary";#N/A,#N/A,FALSE,"Strengths &amp; Weaknesses";#N/A,#N/A,FALSE,"Underwriting Analysis";#N/A,#N/A,FALSE,"HISTORICAL REV &amp; EXP";#N/A,#N/A,FALSE,"Rent Roll";#N/A,#N/A,FALSE,"Recovery Calcs";#N/A,#N/A,FALSE,"Lease Rollover";#N/A,#N/A,FALSE,"APPRAISAL";#N/A,#N/A,FALSE,"APPRAISAL 2";#N/A,#N/A,FALSE,"APPRAISAL 3";#N/A,#N/A,FALSE,"ENGINEERING";#N/A,#N/A,FALSE,"ENVIRONMENTAL";#N/A,#N/A,FALSE,"CREDIT";#N/A,#N/A,FALSE,"Taxes, Insurance, Title";#N/A,#N/A,FALSE,"LOAN ANALYSIS";#N/A,#N/A,FALSE,"SOURCES &amp; USES";#N/A,#N/A,FALSE,"Working List";#N/A,#N/A,FALSE,"Underwriting Comparison"}</definedName>
    <definedName name="wrn.Presentation." hidden="1">{#N/A,#N/A,FALSE,"INDEX";#N/A,#N/A,FALSE,"Mortgage Loan Sch";#N/A,#N/A,FALSE,"Exec Summary";#N/A,#N/A,FALSE,"Strengths &amp; Weaknesses";#N/A,#N/A,FALSE,"Underwriting Analysis";#N/A,#N/A,FALSE,"HISTORICAL REV &amp; EXP";#N/A,#N/A,FALSE,"Rent Roll";#N/A,#N/A,FALSE,"Recovery Calcs";#N/A,#N/A,FALSE,"Lease Rollover";#N/A,#N/A,FALSE,"APPRAISAL";#N/A,#N/A,FALSE,"APPRAISAL 2";#N/A,#N/A,FALSE,"APPRAISAL 3";#N/A,#N/A,FALSE,"ENGINEERING";#N/A,#N/A,FALSE,"ENVIRONMENTAL";#N/A,#N/A,FALSE,"CREDIT";#N/A,#N/A,FALSE,"Taxes, Insurance, Title";#N/A,#N/A,FALSE,"LOAN ANALYSIS";#N/A,#N/A,FALSE,"SOURCES &amp; USES";#N/A,#N/A,FALSE,"Working List";#N/A,#N/A,FALSE,"Underwriting Comparison"}</definedName>
    <definedName name="wrn.Presentation2" localSheetId="7" hidden="1">{#N/A,#N/A,FALSE,"INDEX";#N/A,#N/A,FALSE,"CONTROL";#N/A,#N/A,FALSE,"COMPLIANCE";#N/A,#N/A,FALSE,"OVERVIEW";#N/A,#N/A,FALSE,"OVERVIEW 1";#N/A,#N/A,FALSE,"1995 Rev &amp; Exp";#N/A,#N/A,FALSE,"HISTORICAL REV &amp; EXP";#N/A,#N/A,FALSE,"LEASES";#N/A,#N/A,FALSE,"APPRAISAL";#N/A,#N/A,FALSE,"APPRAISAL 2";#N/A,#N/A,FALSE,"APPRAISAL 3";#N/A,#N/A,FALSE,"ENGINEERING";#N/A,#N/A,FALSE,"ENVIRONMENTAL";#N/A,#N/A,FALSE,"CREDIT";#N/A,#N/A,FALSE,"ASSET MGMT.";#N/A,#N/A,FALSE,"LOAN ANALYSIS";#N/A,#N/A,FALSE,"SOURCES &amp; USES";#N/A,#N/A,FALSE,"Working List"}</definedName>
    <definedName name="wrn.Presentation2" hidden="1">{#N/A,#N/A,FALSE,"INDEX";#N/A,#N/A,FALSE,"CONTROL";#N/A,#N/A,FALSE,"COMPLIANCE";#N/A,#N/A,FALSE,"OVERVIEW";#N/A,#N/A,FALSE,"OVERVIEW 1";#N/A,#N/A,FALSE,"1995 Rev &amp; Exp";#N/A,#N/A,FALSE,"HISTORICAL REV &amp; EXP";#N/A,#N/A,FALSE,"LEASES";#N/A,#N/A,FALSE,"APPRAISAL";#N/A,#N/A,FALSE,"APPRAISAL 2";#N/A,#N/A,FALSE,"APPRAISAL 3";#N/A,#N/A,FALSE,"ENGINEERING";#N/A,#N/A,FALSE,"ENVIRONMENTAL";#N/A,#N/A,FALSE,"CREDIT";#N/A,#N/A,FALSE,"ASSET MGMT.";#N/A,#N/A,FALSE,"LOAN ANALYSIS";#N/A,#N/A,FALSE,"SOURCES &amp; USES";#N/A,#N/A,FALSE,"Working List"}</definedName>
    <definedName name="wrn.Pricing._.Sheets._.inc._.Matrix." localSheetId="7" hidden="1">{#N/A,#N/A,FALSE,"Commercial Sizing";#N/A,#N/A,FALSE,"Pricing Matrix";#N/A,#N/A,FALSE,"Cash Flow (1)";#N/A,#N/A,FALSE,"Cash Flow (2)";#N/A,#N/A,FALSE,"Refinance Test";#N/A,#N/A,FALSE,"RentRoll";#N/A,#N/A,FALSE,"TI_LC"}</definedName>
    <definedName name="wrn.Pricing._.Sheets._.inc._.Matrix." hidden="1">{#N/A,#N/A,FALSE,"Commercial Sizing";#N/A,#N/A,FALSE,"Pricing Matrix";#N/A,#N/A,FALSE,"Cash Flow (1)";#N/A,#N/A,FALSE,"Cash Flow (2)";#N/A,#N/A,FALSE,"Refinance Test";#N/A,#N/A,FALSE,"RentRoll";#N/A,#N/A,FALSE,"TI_LC"}</definedName>
    <definedName name="wrn.Pricing._.Strategy." localSheetId="7" hidden="1">{#N/A,#N/A,FALSE,"1Summary";#N/A,#N/A,FALSE,"2Assumptions";#N/A,#N/A,FALSE,"3Cash Flow";#N/A,#N/A,FALSE,"4Year 1 Reconciliation";#N/A,#N/A,FALSE,"5Residual";#N/A,#N/A,FALSE,"6Residual (Year 20)";#N/A,#N/A,FALSE,"7Financing Sensitivity";#N/A,#N/A,FALSE,"8Residual Sensitivity";#N/A,#N/A,FALSE,"9Pricing Matrix";#N/A,#N/A,FALSE,"10Vacancy Matrix";#N/A,#N/A,FALSE,"11Expiration Schedule";#N/A,#N/A,FALSE,"12Lease-up Schedule"}</definedName>
    <definedName name="wrn.Pricing._.Strategy." hidden="1">{#N/A,#N/A,FALSE,"1Summary";#N/A,#N/A,FALSE,"2Assumptions";#N/A,#N/A,FALSE,"3Cash Flow";#N/A,#N/A,FALSE,"4Year 1 Reconciliation";#N/A,#N/A,FALSE,"5Residual";#N/A,#N/A,FALSE,"6Residual (Year 20)";#N/A,#N/A,FALSE,"7Financing Sensitivity";#N/A,#N/A,FALSE,"8Residual Sensitivity";#N/A,#N/A,FALSE,"9Pricing Matrix";#N/A,#N/A,FALSE,"10Vacancy Matrix";#N/A,#N/A,FALSE,"11Expiration Schedule";#N/A,#N/A,FALSE,"12Lease-up Schedule"}</definedName>
    <definedName name="wrn.Print." localSheetId="7" hidden="1">{#N/A,#N/A,TRUE,"Cover";#N/A,#N/A,TRUE,"Stack";#N/A,#N/A,TRUE,"Cost S";#N/A,#N/A,TRUE,"Financing";#N/A,#N/A,TRUE,"Const Loan Calc";#N/A,#N/A,TRUE," CF";#N/A,#N/A,TRUE,"CF Mnthly";#N/A,#N/A,TRUE,"CF assum";#N/A,#N/A,TRUE,"Unit Sales";#N/A,#N/A,TRUE,"REV";#N/A,#N/A,TRUE,"Investor";#N/A,#N/A,TRUE,"Bdgt Backup"}</definedName>
    <definedName name="wrn.Print." hidden="1">{#N/A,#N/A,TRUE,"Cover";#N/A,#N/A,TRUE,"Stack";#N/A,#N/A,TRUE,"Cost S";#N/A,#N/A,TRUE,"Financing";#N/A,#N/A,TRUE,"Const Loan Calc";#N/A,#N/A,TRUE," CF";#N/A,#N/A,TRUE,"CF Mnthly";#N/A,#N/A,TRUE,"CF assum";#N/A,#N/A,TRUE,"Unit Sales";#N/A,#N/A,TRUE,"REV";#N/A,#N/A,TRUE,"Investor";#N/A,#N/A,TRUE,"Bdgt Backup"}</definedName>
    <definedName name="wrn.Print._.4." localSheetId="7" hidden="1">{"Outflow 1",#N/A,FALSE,"Outflows-Inflows";"Outflow 2",#N/A,FALSE,"Outflows-Inflows";"Inflow 1",#N/A,FALSE,"Outflows-Inflows";"Inflow 2",#N/A,FALSE,"Outflows-Inflows"}</definedName>
    <definedName name="wrn.Print._.4." hidden="1">{"Outflow 1",#N/A,FALSE,"Outflows-Inflows";"Outflow 2",#N/A,FALSE,"Outflows-Inflows";"Inflow 1",#N/A,FALSE,"Outflows-Inflows";"Inflow 2",#N/A,FALSE,"Outflows-Inflows"}</definedName>
    <definedName name="wrn.Print._.4._1" localSheetId="7" hidden="1">{"Outflow 1",#N/A,FALSE,"Outflows-Inflows";"Outflow 2",#N/A,FALSE,"Outflows-Inflows";"Inflow 1",#N/A,FALSE,"Outflows-Inflows";"Inflow 2",#N/A,FALSE,"Outflows-Inflows"}</definedName>
    <definedName name="wrn.Print._.4._1" hidden="1">{"Outflow 1",#N/A,FALSE,"Outflows-Inflows";"Outflow 2",#N/A,FALSE,"Outflows-Inflows";"Inflow 1",#N/A,FALSE,"Outflows-Inflows";"Inflow 2",#N/A,FALSE,"Outflows-Inflows"}</definedName>
    <definedName name="wrn.Print._.4._1_1" localSheetId="7" hidden="1">{"Outflow 1",#N/A,FALSE,"Outflows-Inflows";"Outflow 2",#N/A,FALSE,"Outflows-Inflows";"Inflow 1",#N/A,FALSE,"Outflows-Inflows";"Inflow 2",#N/A,FALSE,"Outflows-Inflows"}</definedName>
    <definedName name="wrn.Print._.4._1_1" hidden="1">{"Outflow 1",#N/A,FALSE,"Outflows-Inflows";"Outflow 2",#N/A,FALSE,"Outflows-Inflows";"Inflow 1",#N/A,FALSE,"Outflows-Inflows";"Inflow 2",#N/A,FALSE,"Outflows-Inflows"}</definedName>
    <definedName name="wrn.Print._.4._1_1_1" localSheetId="7" hidden="1">{"Outflow 1",#N/A,FALSE,"Outflows-Inflows";"Outflow 2",#N/A,FALSE,"Outflows-Inflows";"Inflow 1",#N/A,FALSE,"Outflows-Inflows";"Inflow 2",#N/A,FALSE,"Outflows-Inflows"}</definedName>
    <definedName name="wrn.Print._.4._1_1_1" hidden="1">{"Outflow 1",#N/A,FALSE,"Outflows-Inflows";"Outflow 2",#N/A,FALSE,"Outflows-Inflows";"Inflow 1",#N/A,FALSE,"Outflows-Inflows";"Inflow 2",#N/A,FALSE,"Outflows-Inflows"}</definedName>
    <definedName name="wrn.Print._.4._1_2" localSheetId="7" hidden="1">{"Outflow 1",#N/A,FALSE,"Outflows-Inflows";"Outflow 2",#N/A,FALSE,"Outflows-Inflows";"Inflow 1",#N/A,FALSE,"Outflows-Inflows";"Inflow 2",#N/A,FALSE,"Outflows-Inflows"}</definedName>
    <definedName name="wrn.Print._.4._1_2" hidden="1">{"Outflow 1",#N/A,FALSE,"Outflows-Inflows";"Outflow 2",#N/A,FALSE,"Outflows-Inflows";"Inflow 1",#N/A,FALSE,"Outflows-Inflows";"Inflow 2",#N/A,FALSE,"Outflows-Inflows"}</definedName>
    <definedName name="wrn.Print._.4._1_3" localSheetId="7" hidden="1">{"Outflow 1",#N/A,FALSE,"Outflows-Inflows";"Outflow 2",#N/A,FALSE,"Outflows-Inflows";"Inflow 1",#N/A,FALSE,"Outflows-Inflows";"Inflow 2",#N/A,FALSE,"Outflows-Inflows"}</definedName>
    <definedName name="wrn.Print._.4._1_3" hidden="1">{"Outflow 1",#N/A,FALSE,"Outflows-Inflows";"Outflow 2",#N/A,FALSE,"Outflows-Inflows";"Inflow 1",#N/A,FALSE,"Outflows-Inflows";"Inflow 2",#N/A,FALSE,"Outflows-Inflows"}</definedName>
    <definedName name="wrn.Print._.4._1_4" localSheetId="7" hidden="1">{"Outflow 1",#N/A,FALSE,"Outflows-Inflows";"Outflow 2",#N/A,FALSE,"Outflows-Inflows";"Inflow 1",#N/A,FALSE,"Outflows-Inflows";"Inflow 2",#N/A,FALSE,"Outflows-Inflows"}</definedName>
    <definedName name="wrn.Print._.4._1_4" hidden="1">{"Outflow 1",#N/A,FALSE,"Outflows-Inflows";"Outflow 2",#N/A,FALSE,"Outflows-Inflows";"Inflow 1",#N/A,FALSE,"Outflows-Inflows";"Inflow 2",#N/A,FALSE,"Outflows-Inflows"}</definedName>
    <definedName name="wrn.Print._.4._1_5" localSheetId="7" hidden="1">{"Outflow 1",#N/A,FALSE,"Outflows-Inflows";"Outflow 2",#N/A,FALSE,"Outflows-Inflows";"Inflow 1",#N/A,FALSE,"Outflows-Inflows";"Inflow 2",#N/A,FALSE,"Outflows-Inflows"}</definedName>
    <definedName name="wrn.Print._.4._1_5" hidden="1">{"Outflow 1",#N/A,FALSE,"Outflows-Inflows";"Outflow 2",#N/A,FALSE,"Outflows-Inflows";"Inflow 1",#N/A,FALSE,"Outflows-Inflows";"Inflow 2",#N/A,FALSE,"Outflows-Inflows"}</definedName>
    <definedName name="wrn.Print._.4._2" localSheetId="7" hidden="1">{"Outflow 1",#N/A,FALSE,"Outflows-Inflows";"Outflow 2",#N/A,FALSE,"Outflows-Inflows";"Inflow 1",#N/A,FALSE,"Outflows-Inflows";"Inflow 2",#N/A,FALSE,"Outflows-Inflows"}</definedName>
    <definedName name="wrn.Print._.4._2" hidden="1">{"Outflow 1",#N/A,FALSE,"Outflows-Inflows";"Outflow 2",#N/A,FALSE,"Outflows-Inflows";"Inflow 1",#N/A,FALSE,"Outflows-Inflows";"Inflow 2",#N/A,FALSE,"Outflows-Inflows"}</definedName>
    <definedName name="wrn.Print._.4._3" localSheetId="7" hidden="1">{"Outflow 1",#N/A,FALSE,"Outflows-Inflows";"Outflow 2",#N/A,FALSE,"Outflows-Inflows";"Inflow 1",#N/A,FALSE,"Outflows-Inflows";"Inflow 2",#N/A,FALSE,"Outflows-Inflows"}</definedName>
    <definedName name="wrn.Print._.4._3" hidden="1">{"Outflow 1",#N/A,FALSE,"Outflows-Inflows";"Outflow 2",#N/A,FALSE,"Outflows-Inflows";"Inflow 1",#N/A,FALSE,"Outflows-Inflows";"Inflow 2",#N/A,FALSE,"Outflows-Inflows"}</definedName>
    <definedName name="wrn.Print._.4._4" localSheetId="7" hidden="1">{"Outflow 1",#N/A,FALSE,"Outflows-Inflows";"Outflow 2",#N/A,FALSE,"Outflows-Inflows";"Inflow 1",#N/A,FALSE,"Outflows-Inflows";"Inflow 2",#N/A,FALSE,"Outflows-Inflows"}</definedName>
    <definedName name="wrn.Print._.4._4" hidden="1">{"Outflow 1",#N/A,FALSE,"Outflows-Inflows";"Outflow 2",#N/A,FALSE,"Outflows-Inflows";"Inflow 1",#N/A,FALSE,"Outflows-Inflows";"Inflow 2",#N/A,FALSE,"Outflows-Inflows"}</definedName>
    <definedName name="wrn.Print._.4._5" localSheetId="7" hidden="1">{"Outflow 1",#N/A,FALSE,"Outflows-Inflows";"Outflow 2",#N/A,FALSE,"Outflows-Inflows";"Inflow 1",#N/A,FALSE,"Outflows-Inflows";"Inflow 2",#N/A,FALSE,"Outflows-Inflows"}</definedName>
    <definedName name="wrn.Print._.4._5" hidden="1">{"Outflow 1",#N/A,FALSE,"Outflows-Inflows";"Outflow 2",#N/A,FALSE,"Outflows-Inflows";"Inflow 1",#N/A,FALSE,"Outflows-Inflows";"Inflow 2",#N/A,FALSE,"Outflows-Inflows"}</definedName>
    <definedName name="wrn.Print._.6." localSheetId="7" hidden="1">{"print 1.6",#N/A,FALSE,"Sheet1";"print 2.6",#N/A,FALSE,"Sheet1";"print 3.6",#N/A,FALSE,"Sheet1";"print 4.6",#N/A,FALSE,"Sheet1";"print 5.6",#N/A,FALSE,"Sheet1";"print 6.6",#N/A,FALSE,"Sheet1"}</definedName>
    <definedName name="wrn.Print._.6." hidden="1">{"print 1.6",#N/A,FALSE,"Sheet1";"print 2.6",#N/A,FALSE,"Sheet1";"print 3.6",#N/A,FALSE,"Sheet1";"print 4.6",#N/A,FALSE,"Sheet1";"print 5.6",#N/A,FALSE,"Sheet1";"print 6.6",#N/A,FALSE,"Sheet1"}</definedName>
    <definedName name="wrn.Print._.6._1" localSheetId="7" hidden="1">{"print 1.6",#N/A,FALSE,"Sheet1";"print 2.6",#N/A,FALSE,"Sheet1";"print 3.6",#N/A,FALSE,"Sheet1";"print 4.6",#N/A,FALSE,"Sheet1";"print 5.6",#N/A,FALSE,"Sheet1";"print 6.6",#N/A,FALSE,"Sheet1"}</definedName>
    <definedName name="wrn.Print._.6._1" hidden="1">{"print 1.6",#N/A,FALSE,"Sheet1";"print 2.6",#N/A,FALSE,"Sheet1";"print 3.6",#N/A,FALSE,"Sheet1";"print 4.6",#N/A,FALSE,"Sheet1";"print 5.6",#N/A,FALSE,"Sheet1";"print 6.6",#N/A,FALSE,"Sheet1"}</definedName>
    <definedName name="wrn.Print._.6._1_1" localSheetId="7" hidden="1">{"print 1.6",#N/A,FALSE,"Sheet1";"print 2.6",#N/A,FALSE,"Sheet1";"print 3.6",#N/A,FALSE,"Sheet1";"print 4.6",#N/A,FALSE,"Sheet1";"print 5.6",#N/A,FALSE,"Sheet1";"print 6.6",#N/A,FALSE,"Sheet1"}</definedName>
    <definedName name="wrn.Print._.6._1_1" hidden="1">{"print 1.6",#N/A,FALSE,"Sheet1";"print 2.6",#N/A,FALSE,"Sheet1";"print 3.6",#N/A,FALSE,"Sheet1";"print 4.6",#N/A,FALSE,"Sheet1";"print 5.6",#N/A,FALSE,"Sheet1";"print 6.6",#N/A,FALSE,"Sheet1"}</definedName>
    <definedName name="wrn.Print._.6._1_1_1" localSheetId="7" hidden="1">{"print 1.6",#N/A,FALSE,"Sheet1";"print 2.6",#N/A,FALSE,"Sheet1";"print 3.6",#N/A,FALSE,"Sheet1";"print 4.6",#N/A,FALSE,"Sheet1";"print 5.6",#N/A,FALSE,"Sheet1";"print 6.6",#N/A,FALSE,"Sheet1"}</definedName>
    <definedName name="wrn.Print._.6._1_1_1" hidden="1">{"print 1.6",#N/A,FALSE,"Sheet1";"print 2.6",#N/A,FALSE,"Sheet1";"print 3.6",#N/A,FALSE,"Sheet1";"print 4.6",#N/A,FALSE,"Sheet1";"print 5.6",#N/A,FALSE,"Sheet1";"print 6.6",#N/A,FALSE,"Sheet1"}</definedName>
    <definedName name="wrn.Print._.6._1_2" localSheetId="7" hidden="1">{"print 1.6",#N/A,FALSE,"Sheet1";"print 2.6",#N/A,FALSE,"Sheet1";"print 3.6",#N/A,FALSE,"Sheet1";"print 4.6",#N/A,FALSE,"Sheet1";"print 5.6",#N/A,FALSE,"Sheet1";"print 6.6",#N/A,FALSE,"Sheet1"}</definedName>
    <definedName name="wrn.Print._.6._1_2" hidden="1">{"print 1.6",#N/A,FALSE,"Sheet1";"print 2.6",#N/A,FALSE,"Sheet1";"print 3.6",#N/A,FALSE,"Sheet1";"print 4.6",#N/A,FALSE,"Sheet1";"print 5.6",#N/A,FALSE,"Sheet1";"print 6.6",#N/A,FALSE,"Sheet1"}</definedName>
    <definedName name="wrn.Print._.6._1_3" localSheetId="7" hidden="1">{"print 1.6",#N/A,FALSE,"Sheet1";"print 2.6",#N/A,FALSE,"Sheet1";"print 3.6",#N/A,FALSE,"Sheet1";"print 4.6",#N/A,FALSE,"Sheet1";"print 5.6",#N/A,FALSE,"Sheet1";"print 6.6",#N/A,FALSE,"Sheet1"}</definedName>
    <definedName name="wrn.Print._.6._1_3" hidden="1">{"print 1.6",#N/A,FALSE,"Sheet1";"print 2.6",#N/A,FALSE,"Sheet1";"print 3.6",#N/A,FALSE,"Sheet1";"print 4.6",#N/A,FALSE,"Sheet1";"print 5.6",#N/A,FALSE,"Sheet1";"print 6.6",#N/A,FALSE,"Sheet1"}</definedName>
    <definedName name="wrn.Print._.6._1_4" localSheetId="7" hidden="1">{"print 1.6",#N/A,FALSE,"Sheet1";"print 2.6",#N/A,FALSE,"Sheet1";"print 3.6",#N/A,FALSE,"Sheet1";"print 4.6",#N/A,FALSE,"Sheet1";"print 5.6",#N/A,FALSE,"Sheet1";"print 6.6",#N/A,FALSE,"Sheet1"}</definedName>
    <definedName name="wrn.Print._.6._1_4" hidden="1">{"print 1.6",#N/A,FALSE,"Sheet1";"print 2.6",#N/A,FALSE,"Sheet1";"print 3.6",#N/A,FALSE,"Sheet1";"print 4.6",#N/A,FALSE,"Sheet1";"print 5.6",#N/A,FALSE,"Sheet1";"print 6.6",#N/A,FALSE,"Sheet1"}</definedName>
    <definedName name="wrn.Print._.6._1_5" localSheetId="7" hidden="1">{"print 1.6",#N/A,FALSE,"Sheet1";"print 2.6",#N/A,FALSE,"Sheet1";"print 3.6",#N/A,FALSE,"Sheet1";"print 4.6",#N/A,FALSE,"Sheet1";"print 5.6",#N/A,FALSE,"Sheet1";"print 6.6",#N/A,FALSE,"Sheet1"}</definedName>
    <definedName name="wrn.Print._.6._1_5" hidden="1">{"print 1.6",#N/A,FALSE,"Sheet1";"print 2.6",#N/A,FALSE,"Sheet1";"print 3.6",#N/A,FALSE,"Sheet1";"print 4.6",#N/A,FALSE,"Sheet1";"print 5.6",#N/A,FALSE,"Sheet1";"print 6.6",#N/A,FALSE,"Sheet1"}</definedName>
    <definedName name="wrn.Print._.6._2" localSheetId="7" hidden="1">{"print 1.6",#N/A,FALSE,"Sheet1";"print 2.6",#N/A,FALSE,"Sheet1";"print 3.6",#N/A,FALSE,"Sheet1";"print 4.6",#N/A,FALSE,"Sheet1";"print 5.6",#N/A,FALSE,"Sheet1";"print 6.6",#N/A,FALSE,"Sheet1"}</definedName>
    <definedName name="wrn.Print._.6._2" hidden="1">{"print 1.6",#N/A,FALSE,"Sheet1";"print 2.6",#N/A,FALSE,"Sheet1";"print 3.6",#N/A,FALSE,"Sheet1";"print 4.6",#N/A,FALSE,"Sheet1";"print 5.6",#N/A,FALSE,"Sheet1";"print 6.6",#N/A,FALSE,"Sheet1"}</definedName>
    <definedName name="wrn.Print._.6._3" localSheetId="7" hidden="1">{"print 1.6",#N/A,FALSE,"Sheet1";"print 2.6",#N/A,FALSE,"Sheet1";"print 3.6",#N/A,FALSE,"Sheet1";"print 4.6",#N/A,FALSE,"Sheet1";"print 5.6",#N/A,FALSE,"Sheet1";"print 6.6",#N/A,FALSE,"Sheet1"}</definedName>
    <definedName name="wrn.Print._.6._3" hidden="1">{"print 1.6",#N/A,FALSE,"Sheet1";"print 2.6",#N/A,FALSE,"Sheet1";"print 3.6",#N/A,FALSE,"Sheet1";"print 4.6",#N/A,FALSE,"Sheet1";"print 5.6",#N/A,FALSE,"Sheet1";"print 6.6",#N/A,FALSE,"Sheet1"}</definedName>
    <definedName name="wrn.Print._.6._4" localSheetId="7" hidden="1">{"print 1.6",#N/A,FALSE,"Sheet1";"print 2.6",#N/A,FALSE,"Sheet1";"print 3.6",#N/A,FALSE,"Sheet1";"print 4.6",#N/A,FALSE,"Sheet1";"print 5.6",#N/A,FALSE,"Sheet1";"print 6.6",#N/A,FALSE,"Sheet1"}</definedName>
    <definedName name="wrn.Print._.6._4" hidden="1">{"print 1.6",#N/A,FALSE,"Sheet1";"print 2.6",#N/A,FALSE,"Sheet1";"print 3.6",#N/A,FALSE,"Sheet1";"print 4.6",#N/A,FALSE,"Sheet1";"print 5.6",#N/A,FALSE,"Sheet1";"print 6.6",#N/A,FALSE,"Sheet1"}</definedName>
    <definedName name="wrn.Print._.6._5" localSheetId="7" hidden="1">{"print 1.6",#N/A,FALSE,"Sheet1";"print 2.6",#N/A,FALSE,"Sheet1";"print 3.6",#N/A,FALSE,"Sheet1";"print 4.6",#N/A,FALSE,"Sheet1";"print 5.6",#N/A,FALSE,"Sheet1";"print 6.6",#N/A,FALSE,"Sheet1"}</definedName>
    <definedName name="wrn.Print._.6._5" hidden="1">{"print 1.6",#N/A,FALSE,"Sheet1";"print 2.6",#N/A,FALSE,"Sheet1";"print 3.6",#N/A,FALSE,"Sheet1";"print 4.6",#N/A,FALSE,"Sheet1";"print 5.6",#N/A,FALSE,"Sheet1";"print 6.6",#N/A,FALSE,"Sheet1"}</definedName>
    <definedName name="wrn.Print._.Acq._.and._.Develop._.Assumptions." localSheetId="7" hidden="1">{"Acquisition and Develop Assumptions",#N/A,FALSE,"Rossmore"}</definedName>
    <definedName name="wrn.Print._.Acq._.and._.Develop._.Assumptions." hidden="1">{"Acquisition and Develop Assumptions",#N/A,FALSE,"Rossmore"}</definedName>
    <definedName name="wrn.Print._.All." localSheetId="7" hidden="1">{#N/A,#N/A,FALSE,"I&amp;E";#N/A,#N/A,FALSE,"rent roll";#N/A,#N/A,FALSE,"96noleaseup";#N/A,#N/A,FALSE,"96noleaseup matrix";#N/A,#N/A,FALSE,"leaseup 96";#N/A,#N/A,FALSE,"leaseup 96 matrix";#N/A,#N/A,FALSE,"Leaseup and Exp."}</definedName>
    <definedName name="wrn.Print._.All." hidden="1">{#N/A,#N/A,FALSE,"I&amp;E";#N/A,#N/A,FALSE,"rent roll";#N/A,#N/A,FALSE,"96noleaseup";#N/A,#N/A,FALSE,"96noleaseup matrix";#N/A,#N/A,FALSE,"leaseup 96";#N/A,#N/A,FALSE,"leaseup 96 matrix";#N/A,#N/A,FALSE,"Leaseup and Exp."}</definedName>
    <definedName name="wrn.Print._.All._.Pages." localSheetId="7" hidden="1">{"LBO Summary",#N/A,FALSE,"Summary";"Income Statement",#N/A,FALSE,"Model";"Cash Flow",#N/A,FALSE,"Model";"Balance Sheet",#N/A,FALSE,"Model";"Working Capital",#N/A,FALSE,"Model";"Pro Forma Balance Sheets",#N/A,FALSE,"PFBS";"Debt Balances",#N/A,FALSE,"Model";"Fee Schedules",#N/A,FALSE,"Model"}</definedName>
    <definedName name="wrn.Print._.All._.Pages." hidden="1">{"LBO Summary",#N/A,FALSE,"Summary";"Income Statement",#N/A,FALSE,"Model";"Cash Flow",#N/A,FALSE,"Model";"Balance Sheet",#N/A,FALSE,"Model";"Working Capital",#N/A,FALSE,"Model";"Pro Forma Balance Sheets",#N/A,FALSE,"PFBS";"Debt Balances",#N/A,FALSE,"Model";"Fee Schedules",#N/A,FALSE,"Model"}</definedName>
    <definedName name="wrn.Print._.All._.Reports." localSheetId="7" hidden="1">{"Acquisition and Develop Assumptions",#N/A,FALSE,"Rossmore";"Cash Flows",#N/A,FALSE,"Rossmore";"Unit Rent Analysis",#N/A,FALSE,"Rossmore";"Return Analysis",#N/A,FALSE,"Rossmore";"Joint Venture Analysis",#N/A,FALSE,"Rossmore"}</definedName>
    <definedName name="wrn.Print._.All._.Reports." hidden="1">{"Acquisition and Develop Assumptions",#N/A,FALSE,"Rossmore";"Cash Flows",#N/A,FALSE,"Rossmore";"Unit Rent Analysis",#N/A,FALSE,"Rossmore";"Return Analysis",#N/A,FALSE,"Rossmore";"Joint Venture Analysis",#N/A,FALSE,"Rossmore"}</definedName>
    <definedName name="wrn.Print._.Cash._.Flows." localSheetId="7" hidden="1">{"Cash Flows",#N/A,FALSE,"Rossmore"}</definedName>
    <definedName name="wrn.Print._.Cash._.Flows." hidden="1">{"Cash Flows",#N/A,FALSE,"Rossmore"}</definedName>
    <definedName name="wrn.Print._.Cash._.Flows._.and._.Assumptions." localSheetId="7" hidden="1">{"Cash Flows and Assumptions",#N/A,FALSE,"Rossmore"}</definedName>
    <definedName name="wrn.Print._.Cash._.Flows._.and._.Assumptions." hidden="1">{"Cash Flows and Assumptions",#N/A,FALSE,"Rossmore"}</definedName>
    <definedName name="wrn.Print._.CRXLAND._.Openings." localSheetId="7" hidden="1">{"Print CRXLAND Assumptions",#N/A,FALSE,"CRXLAND Openings";"Print CRXLAND Openings",#N/A,FALSE,"CRXLAND Openings"}</definedName>
    <definedName name="wrn.Print._.CRXLAND._.Openings." hidden="1">{"Print CRXLAND Assumptions",#N/A,FALSE,"CRXLAND Openings";"Print CRXLAND Openings",#N/A,FALSE,"CRXLAND Openings"}</definedName>
    <definedName name="wrn.Print._.Debt._.Calculations." localSheetId="7" hidden="1">{"Debt Calculations",#N/A,FALSE,"Hillside"}</definedName>
    <definedName name="wrn.Print._.Debt._.Calculations." hidden="1">{"Debt Calculations",#N/A,FALSE,"Hillside"}</definedName>
    <definedName name="wrn.Print._.Entire._.Workbook." localSheetId="7" hidden="1">{"Assumptions",#N/A,TRUE,"Assumptions";"qtrl1",#N/A,TRUE,"Annual Summary";"qtrl2",#N/A,TRUE,"Annual Summary";"qtrl3",#N/A,TRUE,"Annual Summary";"qtrl4",#N/A,TRUE,"QTLY Summary";"qtrl5",#N/A,TRUE,"QTLY Summary";"qtrl6",#N/A,TRUE,"QTLY Summary";"Lot Prices",#N/A,TRUE,"Annual Summary";"Construction Costs",#N/A,TRUE,"Annual Summary";"land1",#N/A,TRUE,"Annual Summary";"land2",#N/A,TRUE,"Annual Summary";"land3",#N/A,TRUE,"Annual Summary";"lot1",#N/A,TRUE,"Annual Summary";"lot2",#N/A,TRUE,"Annual Summary";"Lot3",#N/A,TRUE,"Annual Summary";"lot4",#N/A,TRUE,"Annual Summary";"lot5",#N/A,TRUE,"Annual Summary";"lot6",#N/A,TRUE,"Annual Summary";"lot7",#N/A,TRUE,"Annual Summary";"lot8",#N/A,TRUE,"Annual Summary";"lot9",#N/A,TRUE,"Annual Summary";"lot10",#N/A,TRUE,"Annual Summary";"lot11",#N/A,TRUE,"Annual Summary";"lot12",#N/A,TRUE,"Annual Summary";"lot inventory",#N/A,TRUE,"Annual Summary";"scen1",#N/A,TRUE,"Annual Summary";"scen2",#N/A,TRUE,"Annual Summary";"View1",#N/A,TRUE,"Annual Summary";"View2",#N/A,TRUE,"Annual Summary";"View3",#N/A,TRUE,"Annual Summary";"View4",#N/A,TRUE,"Annual Summary";"View5",#N/A,TRUE,"Annual Summary";"View6",#N/A,TRUE,"Annual Summary";"View7",#N/A,TRUE,"Annual Summary";"View8",#N/A,TRUE,"Annual Summary";"View9",#N/A,TRUE,"Annual Summary";"View10",#N/A,TRUE,"Annual Summary";"View11",#N/A,TRUE,"Annual Summary";"View12",#N/A,TRUE,"Annual Summary";"cot1",#N/A,TRUE,"Annual Summary";"cot2",#N/A,TRUE,"Annual Summary";"cot3",#N/A,TRUE,"Annual Summary"}</definedName>
    <definedName name="wrn.Print._.Entire._.Workbook." hidden="1">{"Assumptions",#N/A,TRUE,"Assumptions";"qtrl1",#N/A,TRUE,"Annual Summary";"qtrl2",#N/A,TRUE,"Annual Summary";"qtrl3",#N/A,TRUE,"Annual Summary";"qtrl4",#N/A,TRUE,"QTLY Summary";"qtrl5",#N/A,TRUE,"QTLY Summary";"qtrl6",#N/A,TRUE,"QTLY Summary";"Lot Prices",#N/A,TRUE,"Annual Summary";"Construction Costs",#N/A,TRUE,"Annual Summary";"land1",#N/A,TRUE,"Annual Summary";"land2",#N/A,TRUE,"Annual Summary";"land3",#N/A,TRUE,"Annual Summary";"lot1",#N/A,TRUE,"Annual Summary";"lot2",#N/A,TRUE,"Annual Summary";"Lot3",#N/A,TRUE,"Annual Summary";"lot4",#N/A,TRUE,"Annual Summary";"lot5",#N/A,TRUE,"Annual Summary";"lot6",#N/A,TRUE,"Annual Summary";"lot7",#N/A,TRUE,"Annual Summary";"lot8",#N/A,TRUE,"Annual Summary";"lot9",#N/A,TRUE,"Annual Summary";"lot10",#N/A,TRUE,"Annual Summary";"lot11",#N/A,TRUE,"Annual Summary";"lot12",#N/A,TRUE,"Annual Summary";"lot inventory",#N/A,TRUE,"Annual Summary";"scen1",#N/A,TRUE,"Annual Summary";"scen2",#N/A,TRUE,"Annual Summary";"View1",#N/A,TRUE,"Annual Summary";"View2",#N/A,TRUE,"Annual Summary";"View3",#N/A,TRUE,"Annual Summary";"View4",#N/A,TRUE,"Annual Summary";"View5",#N/A,TRUE,"Annual Summary";"View6",#N/A,TRUE,"Annual Summary";"View7",#N/A,TRUE,"Annual Summary";"View8",#N/A,TRUE,"Annual Summary";"View9",#N/A,TRUE,"Annual Summary";"View10",#N/A,TRUE,"Annual Summary";"View11",#N/A,TRUE,"Annual Summary";"View12",#N/A,TRUE,"Annual Summary";"cot1",#N/A,TRUE,"Annual Summary";"cot2",#N/A,TRUE,"Annual Summary";"cot3",#N/A,TRUE,"Annual Summary"}</definedName>
    <definedName name="wrn.Print._.Everythin." localSheetId="7" hidden="1">{#N/A,#N/A,FALSE,"PRELIMINARY REVIEW";#N/A,#N/A,FALSE,"SOURCES AND USES OF FUNDS";#N/A,#N/A,FALSE,"COST ITEMS";#N/A,#N/A,FALSE,"DRAW SCHEDULE";#N/A,#N/A,FALSE,"STABILIZED OPERATING PROFORMA";#N/A,#N/A,FALSE,"LEASE UP OPERATING PROFORMA";#N/A,#N/A,FALSE,"INPUT SHEET"}</definedName>
    <definedName name="wrn.Print._.Everythin." hidden="1">{#N/A,#N/A,FALSE,"PRELIMINARY REVIEW";#N/A,#N/A,FALSE,"SOURCES AND USES OF FUNDS";#N/A,#N/A,FALSE,"COST ITEMS";#N/A,#N/A,FALSE,"DRAW SCHEDULE";#N/A,#N/A,FALSE,"STABILIZED OPERATING PROFORMA";#N/A,#N/A,FALSE,"LEASE UP OPERATING PROFORMA";#N/A,#N/A,FALSE,"INPUT SHEET"}</definedName>
    <definedName name="wrn.Print._.Everything." localSheetId="7" hidden="1">{"print annual inc. statement",#N/A,FALSE,"Summary";"print annual stats",#N/A,FALSE,"Summary";"print quarterly inc. statement",#N/A,FALSE,"Summary";"print quarterly stats",#N/A,FALSE,"Summary";"print STAY opening assumptions",#N/A,FALSE,"STAY Openings";"print STAY openings",#N/A,FALSE,"STAY Openings";"Print SPHI Assumptions",#N/A,FALSE,"SPHI Openings";"Print SPHI Openings",#N/A,FALSE,"SPHI Openings";"Print CRXLAND Assumptions",#N/A,FALSE,"CRXLAND Openings";"Print CRXLAND Openings",#N/A,FALSE,"CRXLAND Openings"}</definedName>
    <definedName name="wrn.Print._.Everything." hidden="1">{"print annual inc. statement",#N/A,FALSE,"Summary";"print annual stats",#N/A,FALSE,"Summary";"print quarterly inc. statement",#N/A,FALSE,"Summary";"print quarterly stats",#N/A,FALSE,"Summary";"print STAY opening assumptions",#N/A,FALSE,"STAY Openings";"print STAY openings",#N/A,FALSE,"STAY Openings";"Print SPHI Assumptions",#N/A,FALSE,"SPHI Openings";"Print SPHI Openings",#N/A,FALSE,"SPHI Openings";"Print CRXLAND Assumptions",#N/A,FALSE,"CRXLAND Openings";"Print CRXLAND Openings",#N/A,FALSE,"CRXLAND Openings"}</definedName>
    <definedName name="wrn.print._.graphs." localSheetId="7" hidden="1">{"cap_structure",#N/A,FALSE,"Graph-Mkt Cap";"price",#N/A,FALSE,"Graph-Price";"ebit",#N/A,FALSE,"Graph-EBITDA";"ebitda",#N/A,FALSE,"Graph-EBITDA"}</definedName>
    <definedName name="wrn.print._.graphs." hidden="1">{"cap_structure",#N/A,FALSE,"Graph-Mkt Cap";"price",#N/A,FALSE,"Graph-Price";"ebit",#N/A,FALSE,"Graph-EBITDA";"ebitda",#N/A,FALSE,"Graph-EBITDA"}</definedName>
    <definedName name="wrn.Print._.Inc.._.Statement._.and._.Stats.." localSheetId="7" hidden="1">{"print annual inc. statement",#N/A,FALSE,"Summary";"print annual stats",#N/A,FALSE,"Summary";"print quarterly inc. statement",#N/A,FALSE,"Summary";"print quarterly stats",#N/A,FALSE,"Summary"}</definedName>
    <definedName name="wrn.Print._.Inc.._.Statement._.and._.Stats.." hidden="1">{"print annual inc. statement",#N/A,FALSE,"Summary";"print annual stats",#N/A,FALSE,"Summary";"print quarterly inc. statement",#N/A,FALSE,"Summary";"print quarterly stats",#N/A,FALSE,"Summary"}</definedName>
    <definedName name="wrn.Print._.Inv._.Rec." localSheetId="7" hidden="1">{"Cash Flows",#N/A,FALSE,"Hillside";"Return Analysis",#N/A,FALSE,"Hillside";#N/A,#N/A,FALSE,"Hillside"}</definedName>
    <definedName name="wrn.Print._.Inv._.Rec." hidden="1">{"Cash Flows",#N/A,FALSE,"Hillside";"Return Analysis",#N/A,FALSE,"Hillside";#N/A,#N/A,FALSE,"Hillside"}</definedName>
    <definedName name="wrn.Print._.It." localSheetId="7" hidden="1">{#N/A,#N/A,TRUE,"base case";#N/A,#N/A,TRUE,"valuation";#N/A,#N/A,TRUE,"sources and uses";#N/A,#N/A,TRUE,"recapitalization";#N/A,#N/A,TRUE,"flowchart";#N/A,#N/A,TRUE,"summary";#N/A,#N/A,TRUE,"sensitivities";#N/A,#N/A,TRUE,"pro forma";#N/A,#N/A,TRUE,"PAC shares"}</definedName>
    <definedName name="wrn.Print._.It." hidden="1">{#N/A,#N/A,TRUE,"base case";#N/A,#N/A,TRUE,"valuation";#N/A,#N/A,TRUE,"sources and uses";#N/A,#N/A,TRUE,"recapitalization";#N/A,#N/A,TRUE,"flowchart";#N/A,#N/A,TRUE,"summary";#N/A,#N/A,TRUE,"sensitivities";#N/A,#N/A,TRUE,"pro forma";#N/A,#N/A,TRUE,"PAC shares"}</definedName>
    <definedName name="wrn.Print._.It._1" localSheetId="7" hidden="1">{#N/A,#N/A,TRUE,"base case";#N/A,#N/A,TRUE,"valuation";#N/A,#N/A,TRUE,"sources and uses";#N/A,#N/A,TRUE,"recapitalization";#N/A,#N/A,TRUE,"flowchart";#N/A,#N/A,TRUE,"summary";#N/A,#N/A,TRUE,"sensitivities";#N/A,#N/A,TRUE,"pro forma";#N/A,#N/A,TRUE,"PAC shares"}</definedName>
    <definedName name="wrn.Print._.It._1" hidden="1">{#N/A,#N/A,TRUE,"base case";#N/A,#N/A,TRUE,"valuation";#N/A,#N/A,TRUE,"sources and uses";#N/A,#N/A,TRUE,"recapitalization";#N/A,#N/A,TRUE,"flowchart";#N/A,#N/A,TRUE,"summary";#N/A,#N/A,TRUE,"sensitivities";#N/A,#N/A,TRUE,"pro forma";#N/A,#N/A,TRUE,"PAC shares"}</definedName>
    <definedName name="wrn.Print._.Joint._.Venture._.Analysis." localSheetId="7" hidden="1">{"Joint Venture Analysis",#N/A,FALSE,"Rossmore"}</definedName>
    <definedName name="wrn.Print._.Joint._.Venture._.Analysis." hidden="1">{"Joint Venture Analysis",#N/A,FALSE,"Rossmore"}</definedName>
    <definedName name="wrn.Print._.Ltd._.Ptr._.Heller." localSheetId="7" hidden="1">{#N/A,#N/A,FALSE,"Summary Schedule Heller Ltd";#N/A,#N/A,FALSE,"Qtrly  heller Page 1";#N/A,#N/A,FALSE,"Qtrly heller Page 3"}</definedName>
    <definedName name="wrn.Print._.Ltd._.Ptr._.Heller." hidden="1">{#N/A,#N/A,FALSE,"Summary Schedule Heller Ltd";#N/A,#N/A,FALSE,"Qtrly  heller Page 1";#N/A,#N/A,FALSE,"Qtrly heller Page 3"}</definedName>
    <definedName name="wrn.Print._.Package." localSheetId="7" hidden="1">{#N/A,#N/A,FALSE,"rent roll";#N/A,#N/A,FALSE,"I&amp;E";#N/A,#N/A,FALSE,"Sales";#N/A,#N/A,FALSE,"% rent";#N/A,#N/A,FALSE,"no leasup 96";#N/A,#N/A,FALSE,"96 Cap Matrix No Leaseup";#N/A,#N/A,FALSE,"Proforma (2)";#N/A,#N/A,FALSE,"Proforma Matrix (2)";#N/A,#N/A,FALSE,"Offering Summary";#N/A,#N/A,FALSE,"RE TAX"}</definedName>
    <definedName name="wrn.Print._.Package." hidden="1">{#N/A,#N/A,FALSE,"rent roll";#N/A,#N/A,FALSE,"I&amp;E";#N/A,#N/A,FALSE,"Sales";#N/A,#N/A,FALSE,"% rent";#N/A,#N/A,FALSE,"no leasup 96";#N/A,#N/A,FALSE,"96 Cap Matrix No Leaseup";#N/A,#N/A,FALSE,"Proforma (2)";#N/A,#N/A,FALSE,"Proforma Matrix (2)";#N/A,#N/A,FALSE,"Offering Summary";#N/A,#N/A,FALSE,"RE TAX"}</definedName>
    <definedName name="wrn.print._.raw._.data._.entry." localSheetId="7" hidden="1">{"inputs raw data",#N/A,TRUE,"INPUT"}</definedName>
    <definedName name="wrn.print._.raw._.data._.entry." hidden="1">{"inputs raw data",#N/A,TRUE,"INPUT"}</definedName>
    <definedName name="wrn.Print._.Report." localSheetId="7" hidden="1">{"annual",#N/A,FALSE,"Sheet2";"quarters",#N/A,FALSE,"Sheet2"}</definedName>
    <definedName name="wrn.Print._.Report." hidden="1">{"annual",#N/A,FALSE,"Sheet2";"quarters",#N/A,FALSE,"Sheet2"}</definedName>
    <definedName name="wrn.Print._.Report._.Package." localSheetId="7" hidden="1">{"Cash Flows",#N/A,FALSE,"Rossmore";"Return Analysis",#N/A,FALSE,"Rossmore";"Unit Rent Analysis",#N/A,FALSE,"Rossmore"}</definedName>
    <definedName name="wrn.Print._.Report._.Package." hidden="1">{"Cash Flows",#N/A,FALSE,"Rossmore";"Return Analysis",#N/A,FALSE,"Rossmore";"Unit Rent Analysis",#N/A,FALSE,"Rossmore"}</definedName>
    <definedName name="wrn.Print._.Return._.Analysis." localSheetId="7" hidden="1">{"Return Analysis",#N/A,FALSE,"Rossmore"}</definedName>
    <definedName name="wrn.Print._.Return._.Analysis." hidden="1">{"Return Analysis",#N/A,FALSE,"Rossmore"}</definedName>
    <definedName name="wrn.Print._.Runs." localSheetId="7" hidden="1">{"ratios",#N/A,FALSE,"Key Ratios";#N/A,#N/A,FALSE,"Annual Data";#N/A,#N/A,FALSE,"Balance Sheet"}</definedName>
    <definedName name="wrn.Print._.Runs." hidden="1">{"ratios",#N/A,FALSE,"Key Ratios";#N/A,#N/A,FALSE,"Annual Data";#N/A,#N/A,FALSE,"Balance Sheet"}</definedName>
    <definedName name="wrn.Print._.SPHI._.Openings." localSheetId="7" hidden="1">{"Print SPHI Assumptions",#N/A,FALSE,"SPHI Openings";"Print SPHI Openings",#N/A,FALSE,"SPHI Openings"}</definedName>
    <definedName name="wrn.Print._.SPHI._.Openings." hidden="1">{"Print SPHI Assumptions",#N/A,FALSE,"SPHI Openings";"Print SPHI Openings",#N/A,FALSE,"SPHI Openings"}</definedName>
    <definedName name="wrn.print._.standalone." localSheetId="7" hidden="1">{"standalone1",#N/A,FALSE,"DCFBase";"standalone2",#N/A,FALSE,"DCFBase"}</definedName>
    <definedName name="wrn.print._.standalone." hidden="1">{"standalone1",#N/A,FALSE,"DCFBase";"standalone2",#N/A,FALSE,"DCFBase"}</definedName>
    <definedName name="wrn.Print._.STAY._.Openings." localSheetId="7" hidden="1">{"print STAY opening assumptions",#N/A,FALSE,"STAY Openings";"print STAY openings",#N/A,FALSE,"STAY Openings"}</definedName>
    <definedName name="wrn.Print._.STAY._.Openings." hidden="1">{"print STAY opening assumptions",#N/A,FALSE,"STAY Openings";"print STAY openings",#N/A,FALSE,"STAY Openings"}</definedName>
    <definedName name="wrn.Print._.sum." localSheetId="7" hidden="1">{#N/A,#N/A,FALSE,"Summary Schedule";#N/A,#N/A,FALSE,"Use of Proceeds";#N/A,#N/A,FALSE,"Yield Cal";#N/A,#N/A,FALSE,"Qtrly Distributions";#N/A,#N/A,FALSE,"RATE";#N/A,#N/A,FALSE,"OPERATIONS";#N/A,#N/A,FALSE,"Draw";#N/A,#N/A,FALSE,"COMPARISON SCHEDULE";#N/A,#N/A,FALSE,"Dev. Budget";#N/A,#N/A,FALSE,"Investor10";#N/A,#N/A,FALSE,"10 year a";#N/A,#N/A,FALSE,"Assum."}</definedName>
    <definedName name="wrn.Print._.sum." hidden="1">{#N/A,#N/A,FALSE,"Summary Schedule";#N/A,#N/A,FALSE,"Use of Proceeds";#N/A,#N/A,FALSE,"Yield Cal";#N/A,#N/A,FALSE,"Qtrly Distributions";#N/A,#N/A,FALSE,"RATE";#N/A,#N/A,FALSE,"OPERATIONS";#N/A,#N/A,FALSE,"Draw";#N/A,#N/A,FALSE,"COMPARISON SCHEDULE";#N/A,#N/A,FALSE,"Dev. Budget";#N/A,#N/A,FALSE,"Investor10";#N/A,#N/A,FALSE,"10 year a";#N/A,#N/A,FALSE,"Assum."}</definedName>
    <definedName name="wrn.print._.summary._.sheets." localSheetId="7" hidden="1">{"summary1",#N/A,TRUE,"Comps";"summary2",#N/A,TRUE,"Comps";"summary3",#N/A,TRUE,"Comps"}</definedName>
    <definedName name="wrn.print._.summary._.sheets." hidden="1">{"summary1",#N/A,TRUE,"Comps";"summary2",#N/A,TRUE,"Comps";"summary3",#N/A,TRUE,"Comps"}</definedName>
    <definedName name="wrn.Print._.Three._.Page._.Model." localSheetId="7" hidden="1">{"Page One",#N/A,FALSE,"Model";"Page 2",#N/A,FALSE,"Model";"Page 3",#N/A,FALSE,"Model"}</definedName>
    <definedName name="wrn.Print._.Three._.Page._.Model." hidden="1">{"Page One",#N/A,FALSE,"Model";"Page 2",#N/A,FALSE,"Model";"Page 3",#N/A,FALSE,"Model"}</definedName>
    <definedName name="wrn.Print._.Unit._.Rent._.Analysis." localSheetId="7" hidden="1">{"Unit Rent Analysis",#N/A,FALSE,"Rossmore"}</definedName>
    <definedName name="wrn.Print._.Unit._.Rent._.Analysis." hidden="1">{"Unit Rent Analysis",#N/A,FALSE,"Rossmore"}</definedName>
    <definedName name="wrn.Print._.Workbook." localSheetId="7" hidden="1">{#N/A,#N/A,FALSE,"Exec. Summ";#N/A,#N/A,FALSE,"Income";#N/A,#N/A,FALSE,"Expenses";#N/A,#N/A,FALSE,"Loan Options";#N/A,#N/A,FALSE,"Sources &amp; Uses";#N/A,#N/A,FALSE,"Spreadsheet"}</definedName>
    <definedName name="wrn.Print._.Workbook." hidden="1">{#N/A,#N/A,FALSE,"Exec. Summ";#N/A,#N/A,FALSE,"Income";#N/A,#N/A,FALSE,"Expenses";#N/A,#N/A,FALSE,"Loan Options";#N/A,#N/A,FALSE,"Sources &amp; Uses";#N/A,#N/A,FALSE,"Spreadsheet"}</definedName>
    <definedName name="wrn.Print.B" localSheetId="7" hidden="1">{"View1",#N/A,FALSE,"Sheet1";"View2",#N/A,FALSE,"Sheet1"}</definedName>
    <definedName name="wrn.Print.B" hidden="1">{"View1",#N/A,FALSE,"Sheet1";"View2",#N/A,FALSE,"Sheet1"}</definedName>
    <definedName name="wrn.Print_Buyer." localSheetId="7" hidden="1">{#N/A,"DR",FALSE,"increm pf";#N/A,"MAMSI",FALSE,"increm pf";#N/A,"MAXI",FALSE,"increm pf";#N/A,"PCAM",FALSE,"increm pf";#N/A,"PHSV",FALSE,"increm pf";#N/A,"SIE",FALSE,"increm pf"}</definedName>
    <definedName name="wrn.Print_Buyer." hidden="1">{#N/A,"DR",FALSE,"increm pf";#N/A,"MAMSI",FALSE,"increm pf";#N/A,"MAXI",FALSE,"increm pf";#N/A,"PCAM",FALSE,"increm pf";#N/A,"PHSV",FALSE,"increm pf";#N/A,"SIE",FALSE,"increm pf"}</definedName>
    <definedName name="wrn.Print_CSC." localSheetId="7" hidden="1">{"CSC_1",#N/A,FALSE,"CSC Outputs";"CSC_2",#N/A,FALSE,"CSC Outputs"}</definedName>
    <definedName name="wrn.Print_CSC." hidden="1">{"CSC_1",#N/A,FALSE,"CSC Outputs";"CSC_2",#N/A,FALSE,"CSC Outputs"}</definedName>
    <definedName name="wrn.Print_Heller." localSheetId="7" hidden="1">{#N/A,#N/A,TRUE,"Summary Schedule Heller";#N/A,#N/A,TRUE,"Qtrly  heller Page 1";#N/A,#N/A,TRUE,"Qtrly heller Page 2";#N/A,#N/A,TRUE,"Qtrly heller Page 2A";#N/A,#N/A,TRUE,"Qtrly heller Page 3";#N/A,#N/A,TRUE,"Qtrly heller Page 3A";#N/A,#N/A,TRUE,"Summary Schedule Heller Ltd";#N/A,#N/A,TRUE,"Qtrly  heller 4 yr"}</definedName>
    <definedName name="wrn.Print_Heller." hidden="1">{#N/A,#N/A,TRUE,"Summary Schedule Heller";#N/A,#N/A,TRUE,"Qtrly  heller Page 1";#N/A,#N/A,TRUE,"Qtrly heller Page 2";#N/A,#N/A,TRUE,"Qtrly heller Page 2A";#N/A,#N/A,TRUE,"Qtrly heller Page 3";#N/A,#N/A,TRUE,"Qtrly heller Page 3A";#N/A,#N/A,TRUE,"Summary Schedule Heller Ltd";#N/A,#N/A,TRUE,"Qtrly  heller 4 yr"}</definedName>
    <definedName name="wrn.Print_Target." localSheetId="7" hidden="1">{#N/A,"Foundation Health",FALSE,"increm pf";#N/A,"FHP International",FALSE,"increm pf";#N/A,"Healthsource",FALSE,"increm pf";#N/A,"Humana",FALSE,"increm pf";#N/A,"Oxford Health Plans",FALSE,"increm pf";#N/A,"PacifiCare",FALSE,"increm pf";#N/A,"United HealthCare",FALSE,"increm pf";#N/A,"U.S. Healthcare",FALSE,"increm pf";#N/A,"Value Health",FALSE,"increm pf";#N/A,"WellPoint",FALSE,"increm pf"}</definedName>
    <definedName name="wrn.Print_Target." hidden="1">{#N/A,"Foundation Health",FALSE,"increm pf";#N/A,"FHP International",FALSE,"increm pf";#N/A,"Healthsource",FALSE,"increm pf";#N/A,"Humana",FALSE,"increm pf";#N/A,"Oxford Health Plans",FALSE,"increm pf";#N/A,"PacifiCare",FALSE,"increm pf";#N/A,"United HealthCare",FALSE,"increm pf";#N/A,"U.S. Healthcare",FALSE,"increm pf";#N/A,"Value Health",FALSE,"increm pf";#N/A,"WellPoint",FALSE,"increm pf"}</definedName>
    <definedName name="wrn.print2" localSheetId="7" hidden="1">{"View1",#N/A,FALSE,"Sheet1";"View2",#N/A,FALSE,"Sheet1"}</definedName>
    <definedName name="wrn.print2" hidden="1">{"View1",#N/A,FALSE,"Sheet1";"View2",#N/A,FALSE,"Sheet1"}</definedName>
    <definedName name="wrn.print2." localSheetId="7" hidden="1">{"Assump",#N/A,TRUE,"Proforma";"first",#N/A,TRUE,"Proforma";"second",#N/A,TRUE,"Proforma";"lease1",#N/A,TRUE,"Proforma";"lease2",#N/A,TRUE,"Proforma"}</definedName>
    <definedName name="wrn.print2." hidden="1">{"Assump",#N/A,TRUE,"Proforma";"first",#N/A,TRUE,"Proforma";"second",#N/A,TRUE,"Proforma";"lease1",#N/A,TRUE,"Proforma";"lease2",#N/A,TRUE,"Proforma"}</definedName>
    <definedName name="wrn.print5" localSheetId="7" hidden="1">{"Assump",#N/A,TRUE,"Proforma";"first",#N/A,TRUE,"Proforma";"second",#N/A,TRUE,"Proforma";"lease1",#N/A,TRUE,"Proforma";"lease2",#N/A,TRUE,"Proforma"}</definedName>
    <definedName name="wrn.print5" hidden="1">{"Assump",#N/A,TRUE,"Proforma";"first",#N/A,TRUE,"Proforma";"second",#N/A,TRUE,"Proforma";"lease1",#N/A,TRUE,"Proforma";"lease2",#N/A,TRUE,"Proforma"}</definedName>
    <definedName name="wrn.PrintAll." localSheetId="7" hidden="1">{#N/A,#N/A,FALSE,"Broker Sheet";#N/A,#N/A,FALSE,"Exec.Summary";#N/A,#N/A,FALSE,"Argus Cash Flow";#N/A,#N/A,FALSE,"SPF";#N/A,#N/A,FALSE,"RentRoll"}</definedName>
    <definedName name="wrn.PrintAll." hidden="1">{#N/A,#N/A,FALSE,"Broker Sheet";#N/A,#N/A,FALSE,"Exec.Summary";#N/A,#N/A,FALSE,"Argus Cash Flow";#N/A,#N/A,FALSE,"SPF";#N/A,#N/A,FALSE,"RentRoll"}</definedName>
    <definedName name="wrn.printb2" localSheetId="7" hidden="1">{"View1",#N/A,FALSE,"Sheet1";"View2",#N/A,FALSE,"Sheet1"}</definedName>
    <definedName name="wrn.printb2" hidden="1">{"View1",#N/A,FALSE,"Sheet1";"View2",#N/A,FALSE,"Sheet1"}</definedName>
    <definedName name="wrn.PRINTOUT." localSheetId="7" hidden="1">{"PRINTOUT",#N/A,FALSE,"MODEL"}</definedName>
    <definedName name="wrn.PRINTOUT." hidden="1">{"PRINTOUT",#N/A,FALSE,"MODEL"}</definedName>
    <definedName name="wrn.Printout2." localSheetId="7" hidden="1">{"Linkages",#N/A,FALSE,"Linkages";"Busplan",#N/A,FALSE,"Linkages";"traffic",#N/A,FALSE,"Linkages";"Finassum",#N/A,FALSE,"Linkages"}</definedName>
    <definedName name="wrn.Printout2." hidden="1">{"Linkages",#N/A,FALSE,"Linkages";"Busplan",#N/A,FALSE,"Linkages";"traffic",#N/A,FALSE,"Linkages";"Finassum",#N/A,FALSE,"Linkages"}</definedName>
    <definedName name="wrn.Prints._.All." localSheetId="7" hidden="1">{"Main",#N/A,FALSE,"Wacker";"Main2",#N/A,FALSE,"Wacker";"Value",#N/A,FALSE,"Wacker";"Sensitivity",#N/A,FALSE,"Wacker";"Paine",#N/A,FALSE,"Wacker";"Quaker",#N/A,FALSE,"Wacker";"Wacker",#N/A,FALSE,"Wacker";"1900",#N/A,FALSE,"Wacker";"1901",#N/A,FALSE,"Wacker"}</definedName>
    <definedName name="wrn.Prints._.All." hidden="1">{"Main",#N/A,FALSE,"Wacker";"Main2",#N/A,FALSE,"Wacker";"Value",#N/A,FALSE,"Wacker";"Sensitivity",#N/A,FALSE,"Wacker";"Paine",#N/A,FALSE,"Wacker";"Quaker",#N/A,FALSE,"Wacker";"Wacker",#N/A,FALSE,"Wacker";"1900",#N/A,FALSE,"Wacker";"1901",#N/A,FALSE,"Wacker"}</definedName>
    <definedName name="wrn.Prints._All.B" localSheetId="7" hidden="1">{"Main",#N/A,FALSE,"Wacker";"Main2",#N/A,FALSE,"Wacker";"Value",#N/A,FALSE,"Wacker";"Sensitivity",#N/A,FALSE,"Wacker";"Paine",#N/A,FALSE,"Wacker";"Quaker",#N/A,FALSE,"Wacker";"Wacker",#N/A,FALSE,"Wacker";"1900",#N/A,FALSE,"Wacker";"1901",#N/A,FALSE,"Wacker"}</definedName>
    <definedName name="wrn.Prints._All.B" hidden="1">{"Main",#N/A,FALSE,"Wacker";"Main2",#N/A,FALSE,"Wacker";"Value",#N/A,FALSE,"Wacker";"Sensitivity",#N/A,FALSE,"Wacker";"Paine",#N/A,FALSE,"Wacker";"Quaker",#N/A,FALSE,"Wacker";"Wacker",#N/A,FALSE,"Wacker";"1900",#N/A,FALSE,"Wacker";"1901",#N/A,FALSE,"Wacker"}</definedName>
    <definedName name="wrn.PRO." localSheetId="7" hidden="1">{#N/A,#N/A,FALSE,"COVER";#N/A,#N/A,FALSE,"Construction CF";#N/A,#N/A,FALSE,"PROFORMA";#N/A,#N/A,FALSE,"CASHFLOW"}</definedName>
    <definedName name="wrn.PRO." hidden="1">{#N/A,#N/A,FALSE,"COVER";#N/A,#N/A,FALSE,"Construction CF";#N/A,#N/A,FALSE,"PROFORMA";#N/A,#N/A,FALSE,"CASHFLOW"}</definedName>
    <definedName name="wrn.Pro._.Forma." localSheetId="7" hidden="1">{"Profit and Loss",#N/A,FALSE,"P&amp;L and Loan Structure";"Product Mix",#N/A,FALSE,"Inputs";"Input costs",#N/A,FALSE,"Inputs";"Loan Structure",#N/A,FALSE,"P&amp;L and Loan Structure";"CF",#N/A,FALSE,"Cash Flow"}</definedName>
    <definedName name="wrn.Pro._.Forma." hidden="1">{"Profit and Loss",#N/A,FALSE,"P&amp;L and Loan Structure";"Product Mix",#N/A,FALSE,"Inputs";"Input costs",#N/A,FALSE,"Inputs";"Loan Structure",#N/A,FALSE,"P&amp;L and Loan Structure";"CF",#N/A,FALSE,"Cash Flow"}</definedName>
    <definedName name="wrn.PRO._1" localSheetId="7" hidden="1">{#N/A,#N/A,FALSE,"COVER";#N/A,#N/A,FALSE,"Construction CF";#N/A,#N/A,FALSE,"PROFORMA";#N/A,#N/A,FALSE,"CASHFLOW"}</definedName>
    <definedName name="wrn.PRO._1" hidden="1">{#N/A,#N/A,FALSE,"COVER";#N/A,#N/A,FALSE,"Construction CF";#N/A,#N/A,FALSE,"PROFORMA";#N/A,#N/A,FALSE,"CASHFLOW"}</definedName>
    <definedName name="wrn.PRO._2" localSheetId="7" hidden="1">{#N/A,#N/A,FALSE,"COVER";#N/A,#N/A,FALSE,"Construction CF";#N/A,#N/A,FALSE,"PROFORMA";#N/A,#N/A,FALSE,"CASHFLOW"}</definedName>
    <definedName name="wrn.PRO._2" hidden="1">{#N/A,#N/A,FALSE,"COVER";#N/A,#N/A,FALSE,"Construction CF";#N/A,#N/A,FALSE,"PROFORMA";#N/A,#N/A,FALSE,"CASHFLOW"}</definedName>
    <definedName name="wrn.PRO._3" localSheetId="7" hidden="1">{#N/A,#N/A,FALSE,"COVER";#N/A,#N/A,FALSE,"Construction CF";#N/A,#N/A,FALSE,"PROFORMA";#N/A,#N/A,FALSE,"CASHFLOW"}</definedName>
    <definedName name="wrn.PRO._3" hidden="1">{#N/A,#N/A,FALSE,"COVER";#N/A,#N/A,FALSE,"Construction CF";#N/A,#N/A,FALSE,"PROFORMA";#N/A,#N/A,FALSE,"CASHFLOW"}</definedName>
    <definedName name="wrn.PRO._4" localSheetId="7" hidden="1">{#N/A,#N/A,FALSE,"COVER";#N/A,#N/A,FALSE,"Construction CF";#N/A,#N/A,FALSE,"PROFORMA";#N/A,#N/A,FALSE,"CASHFLOW"}</definedName>
    <definedName name="wrn.PRO._4" hidden="1">{#N/A,#N/A,FALSE,"COVER";#N/A,#N/A,FALSE,"Construction CF";#N/A,#N/A,FALSE,"PROFORMA";#N/A,#N/A,FALSE,"CASHFLOW"}</definedName>
    <definedName name="wrn.PRO._5" localSheetId="7" hidden="1">{#N/A,#N/A,FALSE,"COVER";#N/A,#N/A,FALSE,"Construction CF";#N/A,#N/A,FALSE,"PROFORMA";#N/A,#N/A,FALSE,"CASHFLOW"}</definedName>
    <definedName name="wrn.PRO._5" hidden="1">{#N/A,#N/A,FALSE,"COVER";#N/A,#N/A,FALSE,"Construction CF";#N/A,#N/A,FALSE,"PROFORMA";#N/A,#N/A,FALSE,"CASHFLOW"}</definedName>
    <definedName name="wrn.Product_Assumptions." localSheetId="7" hidden="1">{"One",#N/A,FALSE,"Product Assumptions";"Two",#N/A,FALSE,"Product Assumptions";"Three",#N/A,FALSE,"Product Assumptions";"Four",#N/A,FALSE,"Product Assumptions";"Five",#N/A,FALSE,"Product Assumptions";"Six",#N/A,FALSE,"Product Assumptions"}</definedName>
    <definedName name="wrn.Product_Assumptions." hidden="1">{"One",#N/A,FALSE,"Product Assumptions";"Two",#N/A,FALSE,"Product Assumptions";"Three",#N/A,FALSE,"Product Assumptions";"Four",#N/A,FALSE,"Product Assumptions";"Five",#N/A,FALSE,"Product Assumptions";"Six",#N/A,FALSE,"Product Assumptions"}</definedName>
    <definedName name="wrn.Proforma." localSheetId="7" hidden="1">{#N/A,#N/A,TRUE,"Summary";#N/A,#N/A,TRUE,"InPlace";#N/A,#N/A,TRUE,"Stable";#N/A,#N/A,TRUE,"RentRoll";#N/A,#N/A,TRUE,"I&amp;E";#N/A,#N/A,TRUE,"Expense Detail";#N/A,#N/A,TRUE,"CAM Recov(InPlace)";#N/A,#N/A,TRUE,"CAM Recov(Stable)";#N/A,#N/A,TRUE,"Tax Recov";#N/A,#N/A,TRUE,"Expiration";#N/A,#N/A,TRUE,"Sales";#N/A,#N/A,TRUE,"Tax"}</definedName>
    <definedName name="wrn.Proforma." hidden="1">{#N/A,#N/A,TRUE,"Summary";#N/A,#N/A,TRUE,"InPlace";#N/A,#N/A,TRUE,"Stable";#N/A,#N/A,TRUE,"RentRoll";#N/A,#N/A,TRUE,"I&amp;E";#N/A,#N/A,TRUE,"Expense Detail";#N/A,#N/A,TRUE,"CAM Recov(InPlace)";#N/A,#N/A,TRUE,"CAM Recov(Stable)";#N/A,#N/A,TRUE,"Tax Recov";#N/A,#N/A,TRUE,"Expiration";#N/A,#N/A,TRUE,"Sales";#N/A,#N/A,TRUE,"Tax"}</definedName>
    <definedName name="wrn.Proforma._.Review." localSheetId="7" hidden="1">{#N/A,#N/A,FALSE,"Occ and Rate";#N/A,#N/A,FALSE,"PF Input";#N/A,#N/A,FALSE,"Proforma Five Yr";#N/A,#N/A,FALSE,"Hotcomps"}</definedName>
    <definedName name="wrn.Proforma._.Review." hidden="1">{#N/A,#N/A,FALSE,"Occ and Rate";#N/A,#N/A,FALSE,"PF Input";#N/A,#N/A,FALSE,"Proforma Five Yr";#N/A,#N/A,FALSE,"Hotcomps"}</definedName>
    <definedName name="wrn.proforma.1" localSheetId="7" hidden="1">{#N/A,#N/A,TRUE,"Invest Sum";#N/A,#N/A,TRUE,"Dev Costs";#N/A,#N/A,TRUE,"PnL 5 Year";#N/A,#N/A,TRUE,"Draw - Constr Period";#N/A,#N/A,TRUE,"Ops - Constr Period";#N/A,#N/A,TRUE,"Ops Yr 1";#N/A,#N/A,TRUE,"Ops Yr 2";#N/A,#N/A,TRUE,"Ops Yr 3 Stabl"}</definedName>
    <definedName name="wrn.proforma.1" hidden="1">{#N/A,#N/A,TRUE,"Invest Sum";#N/A,#N/A,TRUE,"Dev Costs";#N/A,#N/A,TRUE,"PnL 5 Year";#N/A,#N/A,TRUE,"Draw - Constr Period";#N/A,#N/A,TRUE,"Ops - Constr Period";#N/A,#N/A,TRUE,"Ops Yr 1";#N/A,#N/A,TRUE,"Ops Yr 2";#N/A,#N/A,TRUE,"Ops Yr 3 Stabl"}</definedName>
    <definedName name="wrn.Program._.Compliance." localSheetId="7" hidden="1">{#N/A,#N/A,FALSE,"COMPLIANCE"}</definedName>
    <definedName name="wrn.Program._.Compliance." hidden="1">{#N/A,#N/A,FALSE,"COMPLIANCE"}</definedName>
    <definedName name="wrn.Projections." localSheetId="7" hidden="1">{#N/A,#N/A,FALSE,"Release Price";#N/A,#N/A,FALSE,"Cash flow for 50 Unit";#N/A,#N/A,FALSE,"Cash Flow for 3 Models"}</definedName>
    <definedName name="wrn.Projections." hidden="1">{#N/A,#N/A,FALSE,"Release Price";#N/A,#N/A,FALSE,"Cash flow for 50 Unit";#N/A,#N/A,FALSE,"Cash Flow for 3 Models"}</definedName>
    <definedName name="wrn.Property._.Description." localSheetId="7" hidden="1">{#N/A,#N/A,FALSE,"PROP. DESCRIPTION"}</definedName>
    <definedName name="wrn.Property._.Description." hidden="1">{#N/A,#N/A,FALSE,"PROP. DESCRIPTION"}</definedName>
    <definedName name="wrn.PropertyInformation." localSheetId="7" hidden="1">{#N/A,#N/A,FALSE,"PropertyInfo"}</definedName>
    <definedName name="wrn.PropertyInformation." hidden="1">{#N/A,#N/A,FALSE,"PropertyInfo"}</definedName>
    <definedName name="wrn.Proposal." localSheetId="7" hidden="1">{"Bid",#N/A,FALSE,"Estimate";"Breakdowm",#N/A,FALSE,"Estimate"}</definedName>
    <definedName name="wrn.Proposal." hidden="1">{"Bid",#N/A,FALSE,"Estimate";"Breakdowm",#N/A,FALSE,"Estimate"}</definedName>
    <definedName name="wrn.Prototypes." localSheetId="7" hidden="1">{"One",#N/A,FALSE,"Prototypes";"Two",#N/A,FALSE,"Prototypes";"Three",#N/A,FALSE,"Prototypes";"Four",#N/A,FALSE,"Prototypes";"Five",#N/A,FALSE,"Prototypes"}</definedName>
    <definedName name="wrn.Prototypes." hidden="1">{"One",#N/A,FALSE,"Prototypes";"Two",#N/A,FALSE,"Prototypes";"Three",#N/A,FALSE,"Prototypes";"Four",#N/A,FALSE,"Prototypes";"Five",#N/A,FALSE,"Prototypes"}</definedName>
    <definedName name="wrn.Pulp." localSheetId="7" hidden="1">{"Pulp Production",#N/A,FALSE,"Pulp";"Pulp Earnings",#N/A,FALSE,"Pulp"}</definedName>
    <definedName name="wrn.Pulp." hidden="1">{"Pulp Production",#N/A,FALSE,"Pulp";"Pulp Earnings",#N/A,FALSE,"Pulp"}</definedName>
    <definedName name="wrn.Pulp.2" localSheetId="7" hidden="1">{"Pulp Production",#N/A,FALSE,"Pulp";"Pulp Earnings",#N/A,FALSE,"Pulp"}</definedName>
    <definedName name="wrn.Pulp.2" hidden="1">{"Pulp Production",#N/A,FALSE,"Pulp";"Pulp Earnings",#N/A,FALSE,"Pulp"}</definedName>
    <definedName name="wrn.Pulp.3" localSheetId="7" hidden="1">{"Pulp Production",#N/A,FALSE,"Pulp";"Pulp Earnings",#N/A,FALSE,"Pulp"}</definedName>
    <definedName name="wrn.Pulp.3" hidden="1">{"Pulp Production",#N/A,FALSE,"Pulp";"Pulp Earnings",#N/A,FALSE,"Pulp"}</definedName>
    <definedName name="wrn.Pump." localSheetId="7" hidden="1">{#N/A,#N/A,FALSE,"Assump";#N/A,#N/A,FALSE,"Income";#N/A,#N/A,FALSE,"Balance";#N/A,#N/A,FALSE,"DCF Pump";#N/A,#N/A,FALSE,"Trans Assump";#N/A,#N/A,FALSE,"Combined Income";#N/A,#N/A,FALSE,"Combined Balance"}</definedName>
    <definedName name="wrn.Pump." hidden="1">{#N/A,#N/A,FALSE,"Assump";#N/A,#N/A,FALSE,"Income";#N/A,#N/A,FALSE,"Balance";#N/A,#N/A,FALSE,"DCF Pump";#N/A,#N/A,FALSE,"Trans Assump";#N/A,#N/A,FALSE,"Combined Income";#N/A,#N/A,FALSE,"Combined Balance"}</definedName>
    <definedName name="wrn.Q3._.Prof._.Serv._.Summary." localSheetId="7" hidden="1">{"Professional Service Summary",#N/A,FALSE,"Q3 Prof Serv"}</definedName>
    <definedName name="wrn.Q3._.Prof._.Serv._.Summary." hidden="1">{"Professional Service Summary",#N/A,FALSE,"Q3 Prof Serv"}</definedName>
    <definedName name="wrn.Q3._.Professional._.service._.detail." localSheetId="7" hidden="1">{"Professional Service Detail",#N/A,FALSE,"Q3 Prof Serv"}</definedName>
    <definedName name="wrn.Q3._.Professional._.service._.detail." hidden="1">{"Professional Service Detail",#N/A,FALSE,"Q3 Prof Serv"}</definedName>
    <definedName name="wrn.Quarterly._.Summary." localSheetId="7" hidden="1">{"qtrl1",#N/A,TRUE,"Annual Summary";"qtrl2",#N/A,TRUE,"Annual Summary";"qtrl3",#N/A,TRUE,"Annual Summary";"qtrl4",#N/A,TRUE,"QTLY Summary";"qtrl5",#N/A,TRUE,"QTLY Summary";"qtrl6",#N/A,TRUE,"QTLY Summary"}</definedName>
    <definedName name="wrn.Quarterly._.Summary." hidden="1">{"qtrl1",#N/A,TRUE,"Annual Summary";"qtrl2",#N/A,TRUE,"Annual Summary";"qtrl3",#N/A,TRUE,"Annual Summary";"qtrl4",#N/A,TRUE,"QTLY Summary";"qtrl5",#N/A,TRUE,"QTLY Summary";"qtrl6",#N/A,TRUE,"QTLY Summary"}</definedName>
    <definedName name="wrn.Quick._.Print." localSheetId="7" hidden="1">{"Pro Forma",#N/A,FALSE,"Prof";"Statistics",#N/A,FALSE,"Stats";"Incentive Fee Calc",#N/A,FALSE,"Incent"}</definedName>
    <definedName name="wrn.Quick._.Print." hidden="1">{"Pro Forma",#N/A,FALSE,"Prof";"Statistics",#N/A,FALSE,"Stats";"Incentive Fee Calc",#N/A,FALSE,"Incent"}</definedName>
    <definedName name="wrn.Quick._.View." localSheetId="7" hidden="1">{"Pro Forma",#N/A,FALSE,"Prof";"Statistics",#N/A,FALSE,"Stats";"Incentive Fee Calc",#N/A,FALSE,"Incent"}</definedName>
    <definedName name="wrn.Quick._.View." hidden="1">{"Pro Forma",#N/A,FALSE,"Prof";"Statistics",#N/A,FALSE,"Stats";"Incentive Fee Calc",#N/A,FALSE,"Incent"}</definedName>
    <definedName name="wrn.Rapport." localSheetId="7" hidden="1">{#N/A,#N/A,FALSE,"SHEET1";#N/A,#N/A,FALSE,"SHEET2";#N/A,#N/A,FALSE,"SHEET3";#N/A,#N/A,FALSE,"SHEET4"}</definedName>
    <definedName name="wrn.Rapport." hidden="1">{#N/A,#N/A,FALSE,"SHEET1";#N/A,#N/A,FALSE,"SHEET2";#N/A,#N/A,FALSE,"SHEET3";#N/A,#N/A,FALSE,"SHEET4"}</definedName>
    <definedName name="wrn.rate." localSheetId="7" hidden="1">{"RATES",#N/A,FALSE,"RECOVERY RATES";"CONTRIBUTIONS",#N/A,FALSE,"RECOVERY RATES";"GLA CATEGORY SUMMARY",#N/A,FALSE,"RECOVERY RATES"}</definedName>
    <definedName name="wrn.rate." hidden="1">{"RATES",#N/A,FALSE,"RECOVERY RATES";"CONTRIBUTIONS",#N/A,FALSE,"RECOVERY RATES";"GLA CATEGORY SUMMARY",#N/A,FALSE,"RECOVERY RATES"}</definedName>
    <definedName name="wrn.RATES." localSheetId="7" hidden="1">{"RATES",#N/A,FALSE,"RECOVERY RATES";"CONTRIBUTIONS",#N/A,FALSE,"RECOVERY RATES";"GLA CATEGORY SUMMARY",#N/A,FALSE,"RECOVERY RATES"}</definedName>
    <definedName name="wrn.RATES." hidden="1">{"RATES",#N/A,FALSE,"RECOVERY RATES";"CONTRIBUTIONS",#N/A,FALSE,"RECOVERY RATES";"GLA CATEGORY SUMMARY",#N/A,FALSE,"RECOVERY RATES"}</definedName>
    <definedName name="wrn.Recovery._.Calcs." localSheetId="7" hidden="1">{#N/A,#N/A,FALSE,"Recovery Calcs"}</definedName>
    <definedName name="wrn.Recovery._.Calcs." hidden="1">{#N/A,#N/A,FALSE,"Recovery Calcs"}</definedName>
    <definedName name="wrn.Relevant._.Sections." localSheetId="7" hidden="1">{#N/A,#N/A,FALSE,"Summary";#N/A,#N/A,FALSE,"Program Scheme";#N/A,#N/A,FALSE,"Assumptions";#N/A,#N/A,FALSE,"Development Budget";#N/A,#N/A,FALSE,"Timing";#N/A,#N/A,FALSE,"Development Costs &amp; Revenues";#N/A,#N/A,FALSE,"Cash Flow to Debt &amp; Equity"}</definedName>
    <definedName name="wrn.Relevant._.Sections." hidden="1">{#N/A,#N/A,FALSE,"Summary";#N/A,#N/A,FALSE,"Program Scheme";#N/A,#N/A,FALSE,"Assumptions";#N/A,#N/A,FALSE,"Development Budget";#N/A,#N/A,FALSE,"Timing";#N/A,#N/A,FALSE,"Development Costs &amp; Revenues";#N/A,#N/A,FALSE,"Cash Flow to Debt &amp; Equity"}</definedName>
    <definedName name="wrn.RELEVANTSHEETS." localSheetId="7" hidden="1">{#N/A,#N/A,FALSE,"AD_Purch";#N/A,#N/A,FALSE,"Projections";#N/A,#N/A,FALSE,"DCF";#N/A,#N/A,FALSE,"Mkt Val"}</definedName>
    <definedName name="wrn.RELEVANTSHEETS." hidden="1">{#N/A,#N/A,FALSE,"AD_Purch";#N/A,#N/A,FALSE,"Projections";#N/A,#N/A,FALSE,"DCF";#N/A,#N/A,FALSE,"Mkt Val"}</definedName>
    <definedName name="wrn.Rent._.Roll." localSheetId="7" hidden="1">{#N/A,#N/A,FALSE,"Rent Roll"}</definedName>
    <definedName name="wrn.Rent._.Roll." hidden="1">{#N/A,#N/A,FALSE,"Rent Roll"}</definedName>
    <definedName name="wrn.Rental._.Scenario." localSheetId="7" hidden="1">{#N/A,#N/A,TRUE,"Summary";#N/A,#N/A,TRUE,"Rental Summary";#N/A,#N/A,TRUE,"Budget";#N/A,#N/A,TRUE,"Assumptions";#N/A,#N/A,TRUE,"Financing"}</definedName>
    <definedName name="wrn.Rental._.Scenario." hidden="1">{#N/A,#N/A,TRUE,"Summary";#N/A,#N/A,TRUE,"Rental Summary";#N/A,#N/A,TRUE,"Budget";#N/A,#N/A,TRUE,"Assumptions";#N/A,#N/A,TRUE,"Financing"}</definedName>
    <definedName name="wrn.RENTROL." localSheetId="7" hidden="1">{#N/A,#N/A,FALSE,"RENT ROLL"}</definedName>
    <definedName name="wrn.RENTROL." hidden="1">{#N/A,#N/A,FALSE,"RENT ROLL"}</definedName>
    <definedName name="wrn.RentRoll." localSheetId="7" hidden="1">{"CurrentRentRoll",#N/A,FALSE,"Graph &amp; Rent Roll"}</definedName>
    <definedName name="wrn.RentRoll." hidden="1">{"CurrentRentRoll",#N/A,FALSE,"Graph &amp; Rent Roll"}</definedName>
    <definedName name="wrn.RentRollD." localSheetId="7" hidden="1">{#N/A,#N/A,FALSE,"RR (D)"}</definedName>
    <definedName name="wrn.RentRollD." hidden="1">{#N/A,#N/A,FALSE,"RR (D)"}</definedName>
    <definedName name="wrn.Repayments." localSheetId="7" hidden="1">{"One",#N/A,FALSE,"Repayments";"Two",#N/A,FALSE,"Repayments"}</definedName>
    <definedName name="wrn.Repayments." hidden="1">{"One",#N/A,FALSE,"Repayments";"Two",#N/A,FALSE,"Repayments"}</definedName>
    <definedName name="wrn.report" localSheetId="7" hidden="1">{#N/A,#N/A,FALSE,"Loan Summary";#N/A,#N/A,FALSE,"NOI";"RR and Expir",#N/A,FALSE,"Rental";"Sales History",#N/A,FALSE,"Rental";#N/A,#N/A,FALSE,"Reserves"}</definedName>
    <definedName name="wrn.report" hidden="1">{#N/A,#N/A,FALSE,"Loan Summary";#N/A,#N/A,FALSE,"NOI";"RR and Expir",#N/A,FALSE,"Rental";"Sales History",#N/A,FALSE,"Rental";#N/A,#N/A,FALSE,"Reserves"}</definedName>
    <definedName name="wrn.Report." localSheetId="7" hidden="1">{#N/A,#N/A,FALSE,"Bennington";#N/A,#N/A,FALSE,"Castle Court";#N/A,#N/A,FALSE,"Century Hills";#N/A,#N/A,FALSE,"Edgewater Hills";#N/A,#N/A,FALSE,"Edgewater Terrace";#N/A,#N/A,FALSE,"Edgewater Village";#N/A,#N/A,FALSE,"Fairfax";#N/A,#N/A,FALSE,"Gen. Wash.";#N/A,#N/A,FALSE,"Huntington-Unfurnished";#N/A,#N/A,FALSE,"Huntington-Furnished";#N/A,#N/A,FALSE,"Iris Court";#N/A,#N/A,FALSE,"North Park";#N/A,#N/A,FALSE,"Talbot Woods";#N/A,#N/A,FALSE,"Parkview";#N/A,#N/A,FALSE,"Westgate"}</definedName>
    <definedName name="wrn.Report." hidden="1">{#N/A,#N/A,FALSE,"Bennington";#N/A,#N/A,FALSE,"Castle Court";#N/A,#N/A,FALSE,"Century Hills";#N/A,#N/A,FALSE,"Edgewater Hills";#N/A,#N/A,FALSE,"Edgewater Terrace";#N/A,#N/A,FALSE,"Edgewater Village";#N/A,#N/A,FALSE,"Fairfax";#N/A,#N/A,FALSE,"Gen. Wash.";#N/A,#N/A,FALSE,"Huntington-Unfurnished";#N/A,#N/A,FALSE,"Huntington-Furnished";#N/A,#N/A,FALSE,"Iris Court";#N/A,#N/A,FALSE,"North Park";#N/A,#N/A,FALSE,"Talbot Woods";#N/A,#N/A,FALSE,"Parkview";#N/A,#N/A,FALSE,"Westgate"}</definedName>
    <definedName name="wrn.Report._.I." localSheetId="7" hidden="1">{#N/A,#N/A,FALSE,"Assumptions";#N/A,#N/A,FALSE,"Promote Assumptions";#N/A,#N/A,FALSE,"Residual Analysis";#N/A,#N/A,FALSE,"ROC";#N/A,#N/A,FALSE,"Project Costs";#N/A,#N/A,FALSE,"Annual CF";#N/A,#N/A,FALSE,"Stab Proforma"}</definedName>
    <definedName name="wrn.Report._.I." hidden="1">{#N/A,#N/A,FALSE,"Assumptions";#N/A,#N/A,FALSE,"Promote Assumptions";#N/A,#N/A,FALSE,"Residual Analysis";#N/A,#N/A,FALSE,"ROC";#N/A,#N/A,FALSE,"Project Costs";#N/A,#N/A,FALSE,"Annual CF";#N/A,#N/A,FALSE,"Stab Proforma"}</definedName>
    <definedName name="wrn.Report._1" localSheetId="7" hidden="1">{#N/A,#N/A,FALSE,"Loan Summary";#N/A,#N/A,FALSE,"NOI";"RR and Expir",#N/A,FALSE,"Rental";"Sales History",#N/A,FALSE,"Rental";#N/A,#N/A,FALSE,"Reserves"}</definedName>
    <definedName name="wrn.Report._1" hidden="1">{#N/A,#N/A,FALSE,"Loan Summary";#N/A,#N/A,FALSE,"NOI";"RR and Expir",#N/A,FALSE,"Rental";"Sales History",#N/A,FALSE,"Rental";#N/A,#N/A,FALSE,"Reserves"}</definedName>
    <definedName name="wrn.Report._2" localSheetId="7" hidden="1">{#N/A,#N/A,FALSE,"Loan Summary";#N/A,#N/A,FALSE,"NOI";"RR and Expir",#N/A,FALSE,"Rental";"Sales History",#N/A,FALSE,"Rental";#N/A,#N/A,FALSE,"Reserves"}</definedName>
    <definedName name="wrn.Report._2" hidden="1">{#N/A,#N/A,FALSE,"Loan Summary";#N/A,#N/A,FALSE,"NOI";"RR and Expir",#N/A,FALSE,"Rental";"Sales History",#N/A,FALSE,"Rental";#N/A,#N/A,FALSE,"Reserves"}</definedName>
    <definedName name="wrn.Report._3" localSheetId="7" hidden="1">{#N/A,#N/A,FALSE,"Loan Summary";#N/A,#N/A,FALSE,"NOI";"RR and Expir",#N/A,FALSE,"Rental";"Sales History",#N/A,FALSE,"Rental";#N/A,#N/A,FALSE,"Reserves"}</definedName>
    <definedName name="wrn.Report._3" hidden="1">{#N/A,#N/A,FALSE,"Loan Summary";#N/A,#N/A,FALSE,"NOI";"RR and Expir",#N/A,FALSE,"Rental";"Sales History",#N/A,FALSE,"Rental";#N/A,#N/A,FALSE,"Reserves"}</definedName>
    <definedName name="wrn.Report._4" localSheetId="7" hidden="1">{#N/A,#N/A,FALSE,"Loan Summary";#N/A,#N/A,FALSE,"NOI";"RR and Expir",#N/A,FALSE,"Rental";"Sales History",#N/A,FALSE,"Rental";#N/A,#N/A,FALSE,"Reserves"}</definedName>
    <definedName name="wrn.Report._4" hidden="1">{#N/A,#N/A,FALSE,"Loan Summary";#N/A,#N/A,FALSE,"NOI";"RR and Expir",#N/A,FALSE,"Rental";"Sales History",#N/A,FALSE,"Rental";#N/A,#N/A,FALSE,"Reserves"}</definedName>
    <definedName name="wrn.Report._5" localSheetId="7" hidden="1">{#N/A,#N/A,FALSE,"Loan Summary";#N/A,#N/A,FALSE,"NOI";"RR and Expir",#N/A,FALSE,"Rental";"Sales History",#N/A,FALSE,"Rental";#N/A,#N/A,FALSE,"Reserves"}</definedName>
    <definedName name="wrn.Report._5" hidden="1">{#N/A,#N/A,FALSE,"Loan Summary";#N/A,#N/A,FALSE,"NOI";"RR and Expir",#N/A,FALSE,"Rental";"Sales History",#N/A,FALSE,"Rental";#N/A,#N/A,FALSE,"Reserves"}</definedName>
    <definedName name="wrn.REPORT_1." localSheetId="7" hidden="1">{"SIMPLIFD_P1",#N/A,FALSE,"SIMPLIFD"}</definedName>
    <definedName name="wrn.REPORT_1." hidden="1">{"SIMPLIFD_P1",#N/A,FALSE,"SIMPLIFD"}</definedName>
    <definedName name="wrn.REPORT1." localSheetId="7" hidden="1">{"VIEW1",#N/A,TRUE,"NO DECK";"VIEW2",#N/A,TRUE,"NO DECK";"VIEW3",#N/A,TRUE,"NO DECK";"VIEW4",#N/A,TRUE,"NO DECK"}</definedName>
    <definedName name="wrn.REPORT1." hidden="1">{"VIEW1",#N/A,TRUE,"NO DECK";"VIEW2",#N/A,TRUE,"NO DECK";"VIEW3",#N/A,TRUE,"NO DECK";"VIEW4",#N/A,TRUE,"NO DECK"}</definedName>
    <definedName name="wrn.REPORT2." localSheetId="7" hidden="1">{"VIEW1",#N/A,FALSE,"VESTA2";"VIEW2",#N/A,FALSE,"VESTA2";"VIEW3",#N/A,FALSE,"VESTA2";"VIEW4",#N/A,FALSE,"VESTA2"}</definedName>
    <definedName name="wrn.REPORT2." hidden="1">{"VIEW1",#N/A,FALSE,"VESTA2";"VIEW2",#N/A,FALSE,"VESTA2";"VIEW3",#N/A,FALSE,"VESTA2";"VIEW4",#N/A,FALSE,"VESTA2"}</definedName>
    <definedName name="wrn.Report5" localSheetId="7" hidden="1">{#N/A,#N/A,FALSE,"Summary";#N/A,#N/A,FALSE,"Assumptions";#N/A,#N/A,FALSE,"Cash Flow";#N/A,#N/A,FALSE,"Residual Calculation";#N/A,#N/A,FALSE,"Pricing Matrix";#N/A,#N/A,FALSE,"Pricing Matrix II";#N/A,#N/A,FALSE,"Expiration Schedule"}</definedName>
    <definedName name="wrn.Report5" hidden="1">{#N/A,#N/A,FALSE,"Summary";#N/A,#N/A,FALSE,"Assumptions";#N/A,#N/A,FALSE,"Cash Flow";#N/A,#N/A,FALSE,"Residual Calculation";#N/A,#N/A,FALSE,"Pricing Matrix";#N/A,#N/A,FALSE,"Pricing Matrix II";#N/A,#N/A,FALSE,"Expiration Schedule"}</definedName>
    <definedName name="wrn.reports." localSheetId="7" hidden="1">{#N/A,#N/A,FALSE,"Project Summary";#N/A,#N/A,FALSE,"Parameter Summary";#N/A,#N/A,FALSE,"Budget Control Report";#N/A,#N/A,FALSE,"DETAIL.XLS"}</definedName>
    <definedName name="wrn.reports." hidden="1">{#N/A,#N/A,FALSE,"Project Summary";#N/A,#N/A,FALSE,"Parameter Summary";#N/A,#N/A,FALSE,"Budget Control Report";#N/A,#N/A,FALSE,"DETAIL.XLS"}</definedName>
    <definedName name="wrn.Reports._.to._.EBITDARM." localSheetId="7" hidden="1">{"Q&amp;A Dollars to EBITDARM",#N/A,FALSE,"Fin STMT";"Q&amp;A Stats",#N/A,FALSE,"Fin STMT";"Monthly IS 1999 to EBITDARM",#N/A,FALSE,"Months";"Monthly 1999 Stats",#N/A,FALSE,"Months";"Monthly IS 2000 to EBITDARM",#N/A,FALSE,"Months";"Monthly 2000 Stats",#N/A,FALSE,"Months";"Monthly IS 2001 to EBITDAR",#N/A,FALSE,"Months";"Monthly 2001 Stats",#N/A,FALSE,"Months";"Monthly IS 2002 to EBITDARM",#N/A,FALSE,"Months";"Monthly 2002 Stats",#N/A,FALSE,"Months";"Monthly IS 2003 to EBITDARM",#N/A,FALSE,"Months";"Monthly 2003 Stats",#N/A,FALSE,"Months"}</definedName>
    <definedName name="wrn.Reports._.to._.EBITDARM." hidden="1">{"Q&amp;A Dollars to EBITDARM",#N/A,FALSE,"Fin STMT";"Q&amp;A Stats",#N/A,FALSE,"Fin STMT";"Monthly IS 1999 to EBITDARM",#N/A,FALSE,"Months";"Monthly 1999 Stats",#N/A,FALSE,"Months";"Monthly IS 2000 to EBITDARM",#N/A,FALSE,"Months";"Monthly 2000 Stats",#N/A,FALSE,"Months";"Monthly IS 2001 to EBITDAR",#N/A,FALSE,"Months";"Monthly 2001 Stats",#N/A,FALSE,"Months";"Monthly IS 2002 to EBITDARM",#N/A,FALSE,"Months";"Monthly 2002 Stats",#N/A,FALSE,"Months";"Monthly IS 2003 to EBITDARM",#N/A,FALSE,"Months";"Monthly 2003 Stats",#N/A,FALSE,"Months"}</definedName>
    <definedName name="wrn.Restbericht." localSheetId="7" hidden="1">{#N/A,#N/A,FALSE,"DATA";#N/A,#N/A,FALSE,"BS";#N/A,#N/A,FALSE,"P&amp;L";#N/A,#N/A,FALSE,"stat.con.";#N/A,#N/A,FALSE,"Average";#N/A,#N/A,FALSE,"Zusatz1";#N/A,#N/A,FALSE,"Konzern";#N/A,#N/A,FALSE,"BIS 1";#N/A,#N/A,FALSE,"BIS-Assets";#N/A,#N/A,FALSE,"BIS 2"}</definedName>
    <definedName name="wrn.Restbericht." hidden="1">{#N/A,#N/A,FALSE,"DATA";#N/A,#N/A,FALSE,"BS";#N/A,#N/A,FALSE,"P&amp;L";#N/A,#N/A,FALSE,"stat.con.";#N/A,#N/A,FALSE,"Average";#N/A,#N/A,FALSE,"Zusatz1";#N/A,#N/A,FALSE,"Konzern";#N/A,#N/A,FALSE,"BIS 1";#N/A,#N/A,FALSE,"BIS-Assets";#N/A,#N/A,FALSE,"BIS 2"}</definedName>
    <definedName name="wrn.Returns." localSheetId="7" hidden="1">{"Returns1",#N/A,FALSE,"Primary Worksheet";"Returns2",#N/A,FALSE,"Primary Worksheet";"Returns3",#N/A,FALSE,"Primary Worksheet"}</definedName>
    <definedName name="wrn.Returns." hidden="1">{"Returns1",#N/A,FALSE,"Primary Worksheet";"Returns2",#N/A,FALSE,"Primary Worksheet";"Returns3",#N/A,FALSE,"Primary Worksheet"}</definedName>
    <definedName name="wrn.review." localSheetId="7" hidden="1">{#N/A,#N/A,FALSE,"FRONTPG";#N/A,#N/A,FALSE,"STATUSREC";#N/A,#N/A,FALSE,"INELIG";#N/A,#N/A,FALSE,"ARACTIV";#N/A,#N/A,FALSE,"ARANAL";#N/A,#N/A,FALSE,"INVANAL";#N/A,#N/A,FALSE,"BALSHT";#N/A,#N/A,FALSE,"INCSTMT";#N/A,#N/A,FALSE,"CASHFLOW";#N/A,#N/A,FALSE,"TREND";#N/A,#N/A,FALSE,"LIAB"}</definedName>
    <definedName name="wrn.review." hidden="1">{#N/A,#N/A,FALSE,"FRONTPG";#N/A,#N/A,FALSE,"STATUSREC";#N/A,#N/A,FALSE,"INELIG";#N/A,#N/A,FALSE,"ARACTIV";#N/A,#N/A,FALSE,"ARANAL";#N/A,#N/A,FALSE,"INVANAL";#N/A,#N/A,FALSE,"BALSHT";#N/A,#N/A,FALSE,"INCSTMT";#N/A,#N/A,FALSE,"CASHFLOW";#N/A,#N/A,FALSE,"TREND";#N/A,#N/A,FALSE,"LIAB"}</definedName>
    <definedName name="wrn.review._1" localSheetId="7" hidden="1">{#N/A,#N/A,FALSE,"FRONTPG";#N/A,#N/A,FALSE,"STATUSREC";#N/A,#N/A,FALSE,"INELIG";#N/A,#N/A,FALSE,"ARACTIV";#N/A,#N/A,FALSE,"ARANAL";#N/A,#N/A,FALSE,"INVANAL";#N/A,#N/A,FALSE,"BALSHT";#N/A,#N/A,FALSE,"INCSTMT";#N/A,#N/A,FALSE,"CASHFLOW";#N/A,#N/A,FALSE,"TREND";#N/A,#N/A,FALSE,"LIAB"}</definedName>
    <definedName name="wrn.review._1" hidden="1">{#N/A,#N/A,FALSE,"FRONTPG";#N/A,#N/A,FALSE,"STATUSREC";#N/A,#N/A,FALSE,"INELIG";#N/A,#N/A,FALSE,"ARACTIV";#N/A,#N/A,FALSE,"ARANAL";#N/A,#N/A,FALSE,"INVANAL";#N/A,#N/A,FALSE,"BALSHT";#N/A,#N/A,FALSE,"INCSTMT";#N/A,#N/A,FALSE,"CASHFLOW";#N/A,#N/A,FALSE,"TREND";#N/A,#N/A,FALSE,"LIAB"}</definedName>
    <definedName name="wrn.review._2" localSheetId="7" hidden="1">{#N/A,#N/A,FALSE,"FRONTPG";#N/A,#N/A,FALSE,"STATUSREC";#N/A,#N/A,FALSE,"INELIG";#N/A,#N/A,FALSE,"ARACTIV";#N/A,#N/A,FALSE,"ARANAL";#N/A,#N/A,FALSE,"INVANAL";#N/A,#N/A,FALSE,"BALSHT";#N/A,#N/A,FALSE,"INCSTMT";#N/A,#N/A,FALSE,"CASHFLOW";#N/A,#N/A,FALSE,"TREND";#N/A,#N/A,FALSE,"LIAB"}</definedName>
    <definedName name="wrn.review._2" hidden="1">{#N/A,#N/A,FALSE,"FRONTPG";#N/A,#N/A,FALSE,"STATUSREC";#N/A,#N/A,FALSE,"INELIG";#N/A,#N/A,FALSE,"ARACTIV";#N/A,#N/A,FALSE,"ARANAL";#N/A,#N/A,FALSE,"INVANAL";#N/A,#N/A,FALSE,"BALSHT";#N/A,#N/A,FALSE,"INCSTMT";#N/A,#N/A,FALSE,"CASHFLOW";#N/A,#N/A,FALSE,"TREND";#N/A,#N/A,FALSE,"LIAB"}</definedName>
    <definedName name="wrn.review._3" localSheetId="7" hidden="1">{#N/A,#N/A,FALSE,"FRONTPG";#N/A,#N/A,FALSE,"STATUSREC";#N/A,#N/A,FALSE,"INELIG";#N/A,#N/A,FALSE,"ARACTIV";#N/A,#N/A,FALSE,"ARANAL";#N/A,#N/A,FALSE,"INVANAL";#N/A,#N/A,FALSE,"BALSHT";#N/A,#N/A,FALSE,"INCSTMT";#N/A,#N/A,FALSE,"CASHFLOW";#N/A,#N/A,FALSE,"TREND";#N/A,#N/A,FALSE,"LIAB"}</definedName>
    <definedName name="wrn.review._3" hidden="1">{#N/A,#N/A,FALSE,"FRONTPG";#N/A,#N/A,FALSE,"STATUSREC";#N/A,#N/A,FALSE,"INELIG";#N/A,#N/A,FALSE,"ARACTIV";#N/A,#N/A,FALSE,"ARANAL";#N/A,#N/A,FALSE,"INVANAL";#N/A,#N/A,FALSE,"BALSHT";#N/A,#N/A,FALSE,"INCSTMT";#N/A,#N/A,FALSE,"CASHFLOW";#N/A,#N/A,FALSE,"TREND";#N/A,#N/A,FALSE,"LIAB"}</definedName>
    <definedName name="wrn.review._4" localSheetId="7" hidden="1">{#N/A,#N/A,FALSE,"FRONTPG";#N/A,#N/A,FALSE,"STATUSREC";#N/A,#N/A,FALSE,"INELIG";#N/A,#N/A,FALSE,"ARACTIV";#N/A,#N/A,FALSE,"ARANAL";#N/A,#N/A,FALSE,"INVANAL";#N/A,#N/A,FALSE,"BALSHT";#N/A,#N/A,FALSE,"INCSTMT";#N/A,#N/A,FALSE,"CASHFLOW";#N/A,#N/A,FALSE,"TREND";#N/A,#N/A,FALSE,"LIAB"}</definedName>
    <definedName name="wrn.review._4" hidden="1">{#N/A,#N/A,FALSE,"FRONTPG";#N/A,#N/A,FALSE,"STATUSREC";#N/A,#N/A,FALSE,"INELIG";#N/A,#N/A,FALSE,"ARACTIV";#N/A,#N/A,FALSE,"ARANAL";#N/A,#N/A,FALSE,"INVANAL";#N/A,#N/A,FALSE,"BALSHT";#N/A,#N/A,FALSE,"INCSTMT";#N/A,#N/A,FALSE,"CASHFLOW";#N/A,#N/A,FALSE,"TREND";#N/A,#N/A,FALSE,"LIAB"}</definedName>
    <definedName name="wrn.review._5" localSheetId="7" hidden="1">{#N/A,#N/A,FALSE,"FRONTPG";#N/A,#N/A,FALSE,"STATUSREC";#N/A,#N/A,FALSE,"INELIG";#N/A,#N/A,FALSE,"ARACTIV";#N/A,#N/A,FALSE,"ARANAL";#N/A,#N/A,FALSE,"INVANAL";#N/A,#N/A,FALSE,"BALSHT";#N/A,#N/A,FALSE,"INCSTMT";#N/A,#N/A,FALSE,"CASHFLOW";#N/A,#N/A,FALSE,"TREND";#N/A,#N/A,FALSE,"LIAB"}</definedName>
    <definedName name="wrn.review._5" hidden="1">{#N/A,#N/A,FALSE,"FRONTPG";#N/A,#N/A,FALSE,"STATUSREC";#N/A,#N/A,FALSE,"INELIG";#N/A,#N/A,FALSE,"ARACTIV";#N/A,#N/A,FALSE,"ARANAL";#N/A,#N/A,FALSE,"INVANAL";#N/A,#N/A,FALSE,"BALSHT";#N/A,#N/A,FALSE,"INCSTMT";#N/A,#N/A,FALSE,"CASHFLOW";#N/A,#N/A,FALSE,"TREND";#N/A,#N/A,FALSE,"LIAB"}</definedName>
    <definedName name="wrn.Rmgmtfee." localSheetId="7" hidden="1">{#N/A,#N/A,FALSE,"Rmgmtfee"}</definedName>
    <definedName name="wrn.Rmgmtfee." hidden="1">{#N/A,#N/A,FALSE,"Rmgmtfee"}</definedName>
    <definedName name="wrn.Rmgmtfee._1" localSheetId="7" hidden="1">{#N/A,#N/A,FALSE,"Rmgmtfee"}</definedName>
    <definedName name="wrn.Rmgmtfee._1" hidden="1">{#N/A,#N/A,FALSE,"Rmgmtfee"}</definedName>
    <definedName name="wrn.Roll_Out." localSheetId="7" hidden="1">{"One",#N/A,FALSE,"Roll-out";"Two",#N/A,FALSE,"Roll-out";"Three",#N/A,FALSE,"Roll-out";"Four",#N/A,FALSE,"Roll-out";"Five",#N/A,FALSE,"Roll-out"}</definedName>
    <definedName name="wrn.Roll_Out." hidden="1">{"One",#N/A,FALSE,"Roll-out";"Two",#N/A,FALSE,"Roll-out";"Three",#N/A,FALSE,"Roll-out";"Four",#N/A,FALSE,"Roll-out";"Five",#N/A,FALSE,"Roll-out"}</definedName>
    <definedName name="wrn.RRDOMINION._.TOWER." localSheetId="7" hidden="1">{#N/A,#N/A,FALSE,"Title Pg.- Summary of Rent Roll";#N/A,#N/A,FALSE,"SUMMARY OF RENT ROLL";#N/A,#N/A,FALSE,"SUMMARY OF FLOOR AREAS";#N/A,#N/A,FALSE,"Title Pg. - Rent Roll";#N/A,#N/A,FALSE,"RETAIL SECTION";#N/A,#N/A,FALSE,"OFFICES";#N/A,#N/A,FALSE,"STORAGE";#N/A,#N/A,FALSE,"MISCELLANEOUS";#N/A,#N/A,FALSE,"Title Pg.Rental Income Analysis";#N/A,#N/A,FALSE,"RENTAL INCOME ANALYSIS";#N/A,#N/A,FALSE,"Title Pg.-Lease Expirations";#N/A,#N/A,FALSE,"LEASE EXPIRATIONS"}</definedName>
    <definedName name="wrn.RRDOMINION._.TOWER." hidden="1">{#N/A,#N/A,FALSE,"Title Pg.- Summary of Rent Roll";#N/A,#N/A,FALSE,"SUMMARY OF RENT ROLL";#N/A,#N/A,FALSE,"SUMMARY OF FLOOR AREAS";#N/A,#N/A,FALSE,"Title Pg. - Rent Roll";#N/A,#N/A,FALSE,"RETAIL SECTION";#N/A,#N/A,FALSE,"OFFICES";#N/A,#N/A,FALSE,"STORAGE";#N/A,#N/A,FALSE,"MISCELLANEOUS";#N/A,#N/A,FALSE,"Title Pg.Rental Income Analysis";#N/A,#N/A,FALSE,"RENTAL INCOME ANALYSIS";#N/A,#N/A,FALSE,"Title Pg.-Lease Expirations";#N/A,#N/A,FALSE,"LEASE EXPIRATIONS"}</definedName>
    <definedName name="wrn.RV._.SAR." localSheetId="7" hidden="1">{#N/A,#N/A,FALSE,"COVER";#N/A,#N/A,FALSE,"WEEKLY SUMMARY";"RiverView I",#N/A,FALSE,"EAST TOWER";#N/A,#N/A,FALSE,"WEST TOWER";"Parking",#N/A,FALSE,"EAST TOWER"}</definedName>
    <definedName name="wrn.RV._.SAR." hidden="1">{#N/A,#N/A,FALSE,"COVER";#N/A,#N/A,FALSE,"WEEKLY SUMMARY";"RiverView I",#N/A,FALSE,"EAST TOWER";#N/A,#N/A,FALSE,"WEST TOWER";"Parking",#N/A,FALSE,"EAST TOWER"}</definedName>
    <definedName name="wrn.Saldenliste." localSheetId="7" hidden="1">{"Saldenliste",#N/A,FALSE,"H A Ü"}</definedName>
    <definedName name="wrn.Saldenliste." hidden="1">{"Saldenliste",#N/A,FALSE,"H A Ü"}</definedName>
    <definedName name="wrn.sales." localSheetId="7" hidden="1">{"sales",#N/A,FALSE,"Sales";"sales existing",#N/A,FALSE,"Sales";"sales rd1",#N/A,FALSE,"Sales";"sales rd2",#N/A,FALSE,"Sales"}</definedName>
    <definedName name="wrn.sales." hidden="1">{"sales",#N/A,FALSE,"Sales";"sales existing",#N/A,FALSE,"Sales";"sales rd1",#N/A,FALSE,"Sales";"sales rd2",#N/A,FALSE,"Sales"}</definedName>
    <definedName name="wrn.Scenario." localSheetId="7" hidden="1">{"scen1",#N/A,FALSE,"Scenarios";"scen2",#N/A,FALSE,"Scenarios"}</definedName>
    <definedName name="wrn.Scenario." hidden="1">{"scen1",#N/A,FALSE,"Scenarios";"scen2",#N/A,FALSE,"Scenarios"}</definedName>
    <definedName name="wrn.Sch._.Sel._.Chg." localSheetId="7" hidden="1">{"Sch Sel Chg",#N/A,FALSE,"Report"}</definedName>
    <definedName name="wrn.Sch._.Sel._.Chg." hidden="1">{"Sch Sel Chg",#N/A,FALSE,"Report"}</definedName>
    <definedName name="wrn.Sch._.Sel._.Chg._1" localSheetId="7" hidden="1">{"Sch Sel Chg",#N/A,FALSE,"Report"}</definedName>
    <definedName name="wrn.Sch._.Sel._.Chg._1" hidden="1">{"Sch Sel Chg",#N/A,FALSE,"Report"}</definedName>
    <definedName name="wrn.Sch._.Sel._.Chg._2" localSheetId="7" hidden="1">{"Sch Sel Chg",#N/A,FALSE,"Report"}</definedName>
    <definedName name="wrn.Sch._.Sel._.Chg._2" hidden="1">{"Sch Sel Chg",#N/A,FALSE,"Report"}</definedName>
    <definedName name="wrn.Sch._.Sel._.Chg._3" localSheetId="7" hidden="1">{"Sch Sel Chg",#N/A,FALSE,"Report"}</definedName>
    <definedName name="wrn.Sch._.Sel._.Chg._3" hidden="1">{"Sch Sel Chg",#N/A,FALSE,"Report"}</definedName>
    <definedName name="wrn.Sch._.Sel._.Chg._4" localSheetId="7" hidden="1">{"Sch Sel Chg",#N/A,FALSE,"Report"}</definedName>
    <definedName name="wrn.Sch._.Sel._.Chg._4" hidden="1">{"Sch Sel Chg",#N/A,FALSE,"Report"}</definedName>
    <definedName name="wrn.Sch._.Sel._.Chg._5" localSheetId="7" hidden="1">{"Sch Sel Chg",#N/A,FALSE,"Report"}</definedName>
    <definedName name="wrn.Sch._.Sel._.Chg._5" hidden="1">{"Sch Sel Chg",#N/A,FALSE,"Report"}</definedName>
    <definedName name="wrn.Sch._.Sel._.Var." localSheetId="7" hidden="1">{"Sch Sel Var",#N/A,FALSE,"Report"}</definedName>
    <definedName name="wrn.Sch._.Sel._.Var." hidden="1">{"Sch Sel Var",#N/A,FALSE,"Report"}</definedName>
    <definedName name="wrn.Sch._.Sel._.Var._1" localSheetId="7" hidden="1">{"Sch Sel Var",#N/A,FALSE,"Report"}</definedName>
    <definedName name="wrn.Sch._.Sel._.Var._1" hidden="1">{"Sch Sel Var",#N/A,FALSE,"Report"}</definedName>
    <definedName name="wrn.Sch._.Sel._.Var._2" localSheetId="7" hidden="1">{"Sch Sel Var",#N/A,FALSE,"Report"}</definedName>
    <definedName name="wrn.Sch._.Sel._.Var._2" hidden="1">{"Sch Sel Var",#N/A,FALSE,"Report"}</definedName>
    <definedName name="wrn.Sch._.Sel._.Var._3" localSheetId="7" hidden="1">{"Sch Sel Var",#N/A,FALSE,"Report"}</definedName>
    <definedName name="wrn.Sch._.Sel._.Var._3" hidden="1">{"Sch Sel Var",#N/A,FALSE,"Report"}</definedName>
    <definedName name="wrn.Sch._.Sel._.Var._4" localSheetId="7" hidden="1">{"Sch Sel Var",#N/A,FALSE,"Report"}</definedName>
    <definedName name="wrn.Sch._.Sel._.Var._4" hidden="1">{"Sch Sel Var",#N/A,FALSE,"Report"}</definedName>
    <definedName name="wrn.Sch._.Sel._.Var._5" localSheetId="7" hidden="1">{"Sch Sel Var",#N/A,FALSE,"Report"}</definedName>
    <definedName name="wrn.Sch._.Sel._.Var._5" hidden="1">{"Sch Sel Var",#N/A,FALSE,"Report"}</definedName>
    <definedName name="wrn.SCHAs." localSheetId="7" hidden="1">{"ACCOUNTING COPY",#N/A,FALSE,"SCHEDULE A";"FINANCE COPY",#N/A,FALSE,"SCHEDULE A";"P.L. COPY",#N/A,FALSE,"SCHEDULE A"}</definedName>
    <definedName name="wrn.SCHAs." hidden="1">{"ACCOUNTING COPY",#N/A,FALSE,"SCHEDULE A";"FINANCE COPY",#N/A,FALSE,"SCHEDULE A";"P.L. COPY",#N/A,FALSE,"SCHEDULE A"}</definedName>
    <definedName name="wrn.schas2" localSheetId="7" hidden="1">{"ACCOUNTING COPY",#N/A,FALSE,"SCHEDULE A";"FINANCE COPY",#N/A,FALSE,"SCHEDULE A";"P.L. COPY",#N/A,FALSE,"SCHEDULE A"}</definedName>
    <definedName name="wrn.schas2" hidden="1">{"ACCOUNTING COPY",#N/A,FALSE,"SCHEDULE A";"FINANCE COPY",#N/A,FALSE,"SCHEDULE A";"P.L. COPY",#N/A,FALSE,"SCHEDULE A"}</definedName>
    <definedName name="wrn.SCHEDULE" localSheetId="7" hidden="1">{"SCHEDULE",#N/A,FALSE,"Fin_sched"}</definedName>
    <definedName name="wrn.SCHEDULE" hidden="1">{"SCHEDULE",#N/A,FALSE,"Fin_sched"}</definedName>
    <definedName name="wrn.SCHEDULE." localSheetId="7" hidden="1">{"SCHEDULE",#N/A,FALSE,"Fin_sched"}</definedName>
    <definedName name="wrn.SCHEDULE." hidden="1">{"SCHEDULE",#N/A,FALSE,"Fin_sched"}</definedName>
    <definedName name="wrn.SCHEDULE._.H." localSheetId="7" hidden="1">{"ACCOUNT DETAIL",#N/A,FALSE,"SCHEDULE E";"ACCOUNT DETAIL",#N/A,FALSE,"SCHEDULE G";"ACCOUNT DETAIL",#N/A,FALSE,"SCHEDULE H";"ACCOUNT DETAIL",#N/A,FALSE,"SCHEDULE I"}</definedName>
    <definedName name="wrn.SCHEDULE._.H." hidden="1">{"ACCOUNT DETAIL",#N/A,FALSE,"SCHEDULE E";"ACCOUNT DETAIL",#N/A,FALSE,"SCHEDULE G";"ACCOUNT DETAIL",#N/A,FALSE,"SCHEDULE H";"ACCOUNT DETAIL",#N/A,FALSE,"SCHEDULE I"}</definedName>
    <definedName name="wrn.scheduleA." localSheetId="7" hidden="1">{"scheduleA",#N/A,FALSE,"CTT_CLO"}</definedName>
    <definedName name="wrn.scheduleA." hidden="1">{"scheduleA",#N/A,FALSE,"CTT_CLO"}</definedName>
    <definedName name="wrn.scheduleB." localSheetId="7" hidden="1">{"scheduleB",#N/A,FALSE,"CTT_CLO"}</definedName>
    <definedName name="wrn.scheduleB." hidden="1">{"scheduleB",#N/A,FALSE,"CTT_CLO"}</definedName>
    <definedName name="wrn.scheduleEF." localSheetId="7" hidden="1">{"scheduleEF",#N/A,FALSE,"CTT_CLO"}</definedName>
    <definedName name="wrn.scheduleEF." hidden="1">{"scheduleEF",#N/A,FALSE,"CTT_CLO"}</definedName>
    <definedName name="wrn.scheduleF." localSheetId="7" hidden="1">{"scheduleF",#N/A,FALSE,"CTT_CLO"}</definedName>
    <definedName name="wrn.scheduleF." hidden="1">{"scheduleF",#N/A,FALSE,"CTT_CLO"}</definedName>
    <definedName name="wrn.schedules." localSheetId="7" hidden="1">{"schedule1",#N/A,FALSE,"Sheet1";"schedule2",#N/A,FALSE,"Sheet1";"schedule3",#N/A,FALSE,"Sheet1";"schedule4",#N/A,FALSE,"Sheet1";"schedule5",#N/A,FALSE,"Sheet1";"schedule6",#N/A,FALSE,"Sheet1"}</definedName>
    <definedName name="wrn.schedules." hidden="1">{"schedule1",#N/A,FALSE,"Sheet1";"schedule2",#N/A,FALSE,"Sheet1";"schedule3",#N/A,FALSE,"Sheet1";"schedule4",#N/A,FALSE,"Sheet1";"schedule5",#N/A,FALSE,"Sheet1";"schedule6",#N/A,FALSE,"Sheet1"}</definedName>
    <definedName name="wrn.SCHEDULES._.ABC." localSheetId="7" hidden="1">{#N/A,#N/A,FALSE,"SCHEDULE A";"MINIMUM RENT",#N/A,FALSE,"SCHEDULES B &amp; C";"PERCENTAGE RENT",#N/A,FALSE,"SCHEDULES B &amp; C"}</definedName>
    <definedName name="wrn.SCHEDULES._.ABC." hidden="1">{#N/A,#N/A,FALSE,"SCHEDULE A";"MINIMUM RENT",#N/A,FALSE,"SCHEDULES B &amp; C";"PERCENTAGE RENT",#N/A,FALSE,"SCHEDULES B &amp; C"}</definedName>
    <definedName name="wrn.schedules._1" localSheetId="7" hidden="1">{"schedule1",#N/A,FALSE,"Sheet1";"schedule2",#N/A,FALSE,"Sheet1";"schedule3",#N/A,FALSE,"Sheet1";"schedule4",#N/A,FALSE,"Sheet1";"schedule5",#N/A,FALSE,"Sheet1";"schedule6",#N/A,FALSE,"Sheet1"}</definedName>
    <definedName name="wrn.schedules._1" hidden="1">{"schedule1",#N/A,FALSE,"Sheet1";"schedule2",#N/A,FALSE,"Sheet1";"schedule3",#N/A,FALSE,"Sheet1";"schedule4",#N/A,FALSE,"Sheet1";"schedule5",#N/A,FALSE,"Sheet1";"schedule6",#N/A,FALSE,"Sheet1"}</definedName>
    <definedName name="wrn.seafirst." localSheetId="7" hidden="1">{#N/A,#N/A,FALSE,"Project Summary";#N/A,#N/A,FALSE,"Master Developer Cash Flow";#N/A,#N/A,FALSE,"Parking Budget";#N/A,#N/A,FALSE,"Parking Cash Flow2";#N/A,#N/A,FALSE,"Parking Assumptions";#N/A,#N/A,FALSE,"Bond Structure - Lease";#N/A,#N/A,FALSE,"Retail Development Budget";#N/A,#N/A,FALSE,"Retail Cash Flow";#N/A,#N/A,FALSE,"Retail Assumptions Summary";#N/A,#N/A,FALSE,"Retail Income Assumptions";#N/A,#N/A,FALSE,"Retail % Rent";#N/A,#N/A,FALSE,"Retail Debt Service";#N/A,#N/A,FALSE,"Office Development Budget";#N/A,#N/A,FALSE,"Office Cash Flow";#N/A,#N/A,FALSE,"Office Assumptions";#N/A,#N/A,FALSE,"Office Debt Service";#N/A,#N/A,FALSE,"Hotel Development Budget";#N/A,#N/A,FALSE,"Hotel Cash Flow";#N/A,#N/A,FALSE,"Hotel Assumptions";#N/A,#N/A,FALSE,"Hotel Debt Service"}</definedName>
    <definedName name="wrn.seafirst." hidden="1">{#N/A,#N/A,FALSE,"Project Summary";#N/A,#N/A,FALSE,"Master Developer Cash Flow";#N/A,#N/A,FALSE,"Parking Budget";#N/A,#N/A,FALSE,"Parking Cash Flow2";#N/A,#N/A,FALSE,"Parking Assumptions";#N/A,#N/A,FALSE,"Bond Structure - Lease";#N/A,#N/A,FALSE,"Retail Development Budget";#N/A,#N/A,FALSE,"Retail Cash Flow";#N/A,#N/A,FALSE,"Retail Assumptions Summary";#N/A,#N/A,FALSE,"Retail Income Assumptions";#N/A,#N/A,FALSE,"Retail % Rent";#N/A,#N/A,FALSE,"Retail Debt Service";#N/A,#N/A,FALSE,"Office Development Budget";#N/A,#N/A,FALSE,"Office Cash Flow";#N/A,#N/A,FALSE,"Office Assumptions";#N/A,#N/A,FALSE,"Office Debt Service";#N/A,#N/A,FALSE,"Hotel Development Budget";#N/A,#N/A,FALSE,"Hotel Cash Flow";#N/A,#N/A,FALSE,"Hotel Assumptions";#N/A,#N/A,FALSE,"Hotel Debt Service"}</definedName>
    <definedName name="wrn.Sens7." localSheetId="7" hidden="1">{#N/A,#N/A,FALSE,"United Summary";#N/A,#N/A,FALSE,"United Main";#N/A,#N/A,FALSE,"United Open";#N/A,#N/A,FALSE,"Anchor Summary";#N/A,#N/A,FALSE,"Anchor Main";#N/A,#N/A,FALSE,"Anchor Open";#N/A,#N/A,FALSE,"Cov Test Annual";#N/A,#N/A,FALSE,"Cov Inputs"}</definedName>
    <definedName name="wrn.Sens7." hidden="1">{#N/A,#N/A,FALSE,"United Summary";#N/A,#N/A,FALSE,"United Main";#N/A,#N/A,FALSE,"United Open";#N/A,#N/A,FALSE,"Anchor Summary";#N/A,#N/A,FALSE,"Anchor Main";#N/A,#N/A,FALSE,"Anchor Open";#N/A,#N/A,FALSE,"Cov Test Annual";#N/A,#N/A,FALSE,"Cov Inputs"}</definedName>
    <definedName name="wrn.ServiceC." localSheetId="7" hidden="1">{#N/A,#N/A,FALSE,"Service (C)"}</definedName>
    <definedName name="wrn.ServiceC." hidden="1">{#N/A,#N/A,FALSE,"Service (C)"}</definedName>
    <definedName name="wrn.Short." localSheetId="7" hidden="1">{#N/A,#N/A,FALSE,"ExecutiveSummary";#N/A,#N/A,FALSE,"CostDetail";#N/A,#N/A,FALSE,"IncomeDetail"}</definedName>
    <definedName name="wrn.Short." hidden="1">{#N/A,#N/A,FALSE,"ExecutiveSummary";#N/A,#N/A,FALSE,"CostDetail";#N/A,#N/A,FALSE,"IncomeDetail"}</definedName>
    <definedName name="wrn.Short._.Form._.Pro._.forma." localSheetId="7" hidden="1">{"Page1_Short_Form",#N/A,TRUE,"Pro Forma";"Page2_Short_Form",#N/A,TRUE,"Pro Forma";"Page3_Short_Form",#N/A,TRUE,"Pro Forma";"Page4_Short_Form",#N/A,TRUE,"Pro Forma"}</definedName>
    <definedName name="wrn.Short._.Form._.Pro._.forma." hidden="1">{"Page1_Short_Form",#N/A,TRUE,"Pro Forma";"Page2_Short_Form",#N/A,TRUE,"Pro Forma";"Page3_Short_Form",#N/A,TRUE,"Pro Forma";"Page4_Short_Form",#N/A,TRUE,"Pro Forma"}</definedName>
    <definedName name="wrn.Short._.Print." localSheetId="7" hidden="1">{#N/A,#N/A,FALSE,"Cover";#N/A,#N/A,FALSE,"Stack";#N/A,#N/A,FALSE,"Cost S";#N/A,#N/A,FALSE," CF";#N/A,#N/A,FALSE,"Investor"}</definedName>
    <definedName name="wrn.Short._.Print." hidden="1">{#N/A,#N/A,FALSE,"Cover";#N/A,#N/A,FALSE,"Stack";#N/A,#N/A,FALSE,"Cost S";#N/A,#N/A,FALSE," CF";#N/A,#N/A,FALSE,"Investor"}</definedName>
    <definedName name="wrn.Short._.Print.2" localSheetId="7" hidden="1">{#N/A,#N/A,FALSE,"Cover";#N/A,#N/A,FALSE,"Stack";#N/A,#N/A,FALSE,"Cost S";#N/A,#N/A,FALSE," CF";#N/A,#N/A,FALSE,"Investor"}</definedName>
    <definedName name="wrn.Short._.Print.2" hidden="1">{#N/A,#N/A,FALSE,"Cover";#N/A,#N/A,FALSE,"Stack";#N/A,#N/A,FALSE,"Cost S";#N/A,#N/A,FALSE," CF";#N/A,#N/A,FALSE,"Investor"}</definedName>
    <definedName name="wrn.Short._.Report." localSheetId="7" hidden="1">{#N/A,#N/A,FALSE,"Summary";#N/A,#N/A,FALSE,"Development Plan";#N/A,#N/A,FALSE,"Ten Year Proforma";#N/A,#N/A,FALSE,"Lease-Up Chart (2)"}</definedName>
    <definedName name="wrn.Short._.Report." hidden="1">{#N/A,#N/A,FALSE,"Summary";#N/A,#N/A,FALSE,"Development Plan";#N/A,#N/A,FALSE,"Ten Year Proforma";#N/A,#N/A,FALSE,"Lease-Up Chart (2)"}</definedName>
    <definedName name="wrn.Sizing._.Sheets." localSheetId="7" hidden="1">{#N/A,#N/A,TRUE,"Commercial Sizing";#N/A,#N/A,TRUE,"Cash Flow (1)";#N/A,#N/A,TRUE,"Cash Flow (2)";#N/A,#N/A,TRUE,"Refinance Test";#N/A,#N/A,TRUE,"RentRoll";#N/A,#N/A,TRUE,"TI_LC"}</definedName>
    <definedName name="wrn.Sizing._.Sheets." hidden="1">{#N/A,#N/A,TRUE,"Commercial Sizing";#N/A,#N/A,TRUE,"Cash Flow (1)";#N/A,#N/A,TRUE,"Cash Flow (2)";#N/A,#N/A,TRUE,"Refinance Test";#N/A,#N/A,TRUE,"RentRoll";#N/A,#N/A,TRUE,"TI_LC"}</definedName>
    <definedName name="wrn.SKSCS1." localSheetId="7" hidden="1">{#N/A,#N/A,FALSE,"Antony Financials";#N/A,#N/A,FALSE,"Cowboy Financials";#N/A,#N/A,FALSE,"Combined";#N/A,#N/A,FALSE,"Valuematrix";#N/A,#N/A,FALSE,"DCFAntony";#N/A,#N/A,FALSE,"DCFCowboy";#N/A,#N/A,FALSE,"DCFCombined"}</definedName>
    <definedName name="wrn.SKSCS1." hidden="1">{#N/A,#N/A,FALSE,"Antony Financials";#N/A,#N/A,FALSE,"Cowboy Financials";#N/A,#N/A,FALSE,"Combined";#N/A,#N/A,FALSE,"Valuematrix";#N/A,#N/A,FALSE,"DCFAntony";#N/A,#N/A,FALSE,"DCFCowboy";#N/A,#N/A,FALSE,"DCFCombined"}</definedName>
    <definedName name="wrn.sony11.09." localSheetId="7" hidden="1">{#N/A,#N/A,FALSE,"cover sheet";#N/A,#N/A,FALSE,"page 1";#N/A,#N/A,FALSE,"page 2";#N/A,#N/A,FALSE,"page 3";"page4a",#N/A,FALSE,"page 4";"page 5",#N/A,FALSE,"page 5 &amp; 6";"page 6",#N/A,FALSE,"page 5 &amp; 6";#N/A,#N/A,FALSE,"page 7";#N/A,#N/A,FALSE,"page 8";#N/A,#N/A,FALSE,"SCH15 RENT UP LOSS";#N/A,#N/A,FALSE,"page 9";#N/A,#N/A,FALSE,"SCH15 RENT UP LOSS";"prorent",#N/A,FALSE,"SCH 15 RENTAL ASSUMPTIONS";"rentblda",#N/A,FALSE,"SHEET 21 BLD A RENT UP";"rentb1",#N/A,FALSE,"SHEET 22 BLD B-1 RENT UP";"rentb2",#N/A,FALSE,"SHEET 23 BLD B-2 APARTMENT";"rentbldc",#N/A,FALSE,"SHEET 24 OFFICE BLDG C";"rentbldd",#N/A,FALSE,"SHEET 25 BLDG D";"rentblde1",#N/A,FALSE,"SHEET 26 BLDG E-1";"rentblde2",#N/A,FALSE,"SHEET 26 BLDG E-2";"rentbldgf",#N/A,FALSE,"SHEET 27 BLDG F";"rentbg",#N/A,FALSE,"B-GRADE CINEMA &amp; PARKING"}</definedName>
    <definedName name="wrn.sony11.09." hidden="1">{#N/A,#N/A,FALSE,"cover sheet";#N/A,#N/A,FALSE,"page 1";#N/A,#N/A,FALSE,"page 2";#N/A,#N/A,FALSE,"page 3";"page4a",#N/A,FALSE,"page 4";"page 5",#N/A,FALSE,"page 5 &amp; 6";"page 6",#N/A,FALSE,"page 5 &amp; 6";#N/A,#N/A,FALSE,"page 7";#N/A,#N/A,FALSE,"page 8";#N/A,#N/A,FALSE,"SCH15 RENT UP LOSS";#N/A,#N/A,FALSE,"page 9";#N/A,#N/A,FALSE,"SCH15 RENT UP LOSS";"prorent",#N/A,FALSE,"SCH 15 RENTAL ASSUMPTIONS";"rentblda",#N/A,FALSE,"SHEET 21 BLD A RENT UP";"rentb1",#N/A,FALSE,"SHEET 22 BLD B-1 RENT UP";"rentb2",#N/A,FALSE,"SHEET 23 BLD B-2 APARTMENT";"rentbldc",#N/A,FALSE,"SHEET 24 OFFICE BLDG C";"rentbldd",#N/A,FALSE,"SHEET 25 BLDG D";"rentblde1",#N/A,FALSE,"SHEET 26 BLDG E-1";"rentblde2",#N/A,FALSE,"SHEET 26 BLDG E-2";"rentbldgf",#N/A,FALSE,"SHEET 27 BLDG F";"rentbg",#N/A,FALSE,"B-GRADE CINEMA &amp; PARKING"}</definedName>
    <definedName name="wrn.sort." localSheetId="7" hidden="1">{"sort",#N/A,FALSE,"Sheet1"}</definedName>
    <definedName name="wrn.sort." hidden="1">{"sort",#N/A,FALSE,"Sheet1"}</definedName>
    <definedName name="wrn.Sources." localSheetId="7" hidden="1">{#N/A,#N/A,FALSE,"Sources"}</definedName>
    <definedName name="wrn.Sources." hidden="1">{#N/A,#N/A,FALSE,"Sources"}</definedName>
    <definedName name="wrn.SouthTrust." localSheetId="7" hidden="1">{"SouthTrust-Investor",#N/A,FALSE,"SouthTrust";"SouthTrust-Property",#N/A,FALSE,"SouthTrust"}</definedName>
    <definedName name="wrn.SouthTrust." hidden="1">{"SouthTrust-Investor",#N/A,FALSE,"SouthTrust";"SouthTrust-Property",#N/A,FALSE,"SouthTrust"}</definedName>
    <definedName name="wrn.SPG._.Estimate." localSheetId="7" hidden="1">{#N/A,#N/A,FALSE,"Detail";#N/A,#N/A,FALSE,"Totals"}</definedName>
    <definedName name="wrn.SPG._.Estimate." hidden="1">{#N/A,#N/A,FALSE,"Detail";#N/A,#N/A,FALSE,"Totals"}</definedName>
    <definedName name="wrn.SPG._.Estimate._1" localSheetId="7" hidden="1">{#N/A,#N/A,FALSE,"Detail";#N/A,#N/A,FALSE,"Totals"}</definedName>
    <definedName name="wrn.SPG._.Estimate._1" hidden="1">{#N/A,#N/A,FALSE,"Detail";#N/A,#N/A,FALSE,"Totals"}</definedName>
    <definedName name="wrn.sponsor._.report." localSheetId="7" hidden="1">{#N/A,#N/A,FALSE,"Cover and Table of Contents";#N/A,#N/A,FALSE,"Sources and Uses";#N/A,#N/A,FALSE,"Revenue and Expenses";#N/A,#N/A,FALSE,"Profit and Loss";#N/A,#N/A,FALSE,"Sales";#N/A,#N/A,FALSE,"LIHTC Calc";#N/A,#N/A,FALSE,"Depreciation";#N/A,#N/A,FALSE,"Operating Reserve";#N/A,#N/A,FALSE,"Disbursements";#N/A,#N/A,FALSE,"Insurance"}</definedName>
    <definedName name="wrn.sponsor._.report." hidden="1">{#N/A,#N/A,FALSE,"Cover and Table of Contents";#N/A,#N/A,FALSE,"Sources and Uses";#N/A,#N/A,FALSE,"Revenue and Expenses";#N/A,#N/A,FALSE,"Profit and Loss";#N/A,#N/A,FALSE,"Sales";#N/A,#N/A,FALSE,"LIHTC Calc";#N/A,#N/A,FALSE,"Depreciation";#N/A,#N/A,FALSE,"Operating Reserve";#N/A,#N/A,FALSE,"Disbursements";#N/A,#N/A,FALSE,"Insurance"}</definedName>
    <definedName name="wrn.Stadium._.PCD." localSheetId="7" hidden="1">{#N/A,#N/A,TRUE,"Ericsson Stadium PCD ";#N/A,#N/A,TRUE,"Ericsson Stadium IOR"}</definedName>
    <definedName name="wrn.Stadium._.PCD." hidden="1">{#N/A,#N/A,TRUE,"Ericsson Stadium PCD ";#N/A,#N/A,TRUE,"Ericsson Stadium IOR"}</definedName>
    <definedName name="wrn.STANDARD." localSheetId="7" hidden="1">{"GENERAL INPUT",#N/A,FALSE,"GENERAL INPUT";"PROFORMA DRAW SCHEDULE",#N/A,FALSE,"WORKSHEET";"BUDGET ALL",#N/A,FALSE,"BUDGET";"OPERATING ALL",#N/A,FALSE,"OPERATING";"DRAW ESTIMATES",#N/A,FALSE,"DRAWS";"SOURCES &amp; USES",#N/A,FALSE,"SOURCES &amp; USES"}</definedName>
    <definedName name="wrn.STANDARD." hidden="1">{"GENERAL INPUT",#N/A,FALSE,"GENERAL INPUT";"PROFORMA DRAW SCHEDULE",#N/A,FALSE,"WORKSHEET";"BUDGET ALL",#N/A,FALSE,"BUDGET";"OPERATING ALL",#N/A,FALSE,"OPERATING";"DRAW ESTIMATES",#N/A,FALSE,"DRAWS";"SOURCES &amp; USES",#N/A,FALSE,"SOURCES &amp; USES"}</definedName>
    <definedName name="wrn.Standard._.Report." localSheetId="7" hidden="1">{#N/A,#N/A,FALSE,"Summary";#N/A,#N/A,FALSE,"Construction";#N/A,#N/A,FALSE,"Cash Flow"}</definedName>
    <definedName name="wrn.Standard._.Report." hidden="1">{#N/A,#N/A,FALSE,"Summary";#N/A,#N/A,FALSE,"Construction";#N/A,#N/A,FALSE,"Cash Flow"}</definedName>
    <definedName name="wrn.Standard._.Reports." localSheetId="7" hidden="1">{"Const_Monthly",#N/A,FALSE,"Construction";"Construction_Summary",#N/A,FALSE,"Construction";"Cash_Flow",#N/A,FALSE,"Cash Flow";"Summary",#N/A,FALSE,"Summary";"Finsumm",#N/A,FALSE,"Summary Analysis";"Loanrecap",#N/A,FALSE,"Construction"}</definedName>
    <definedName name="wrn.Standard._.Reports." hidden="1">{"Const_Monthly",#N/A,FALSE,"Construction";"Construction_Summary",#N/A,FALSE,"Construction";"Cash_Flow",#N/A,FALSE,"Cash Flow";"Summary",#N/A,FALSE,"Summary";"Finsumm",#N/A,FALSE,"Summary Analysis";"Loanrecap",#N/A,FALSE,"Construction"}</definedName>
    <definedName name="wrn.Standard._.Reports2." localSheetId="7" hidden="1">{"Const_Monthly",#N/A,FALSE,"Construction";"Construction_Summary",#N/A,FALSE,"Construction";"Cash_Flow",#N/A,FALSE,"Cash Flow";"Summary",#N/A,FALSE,"Summary";"Finsumm",#N/A,FALSE,"Summary Analysis";"Loanrecap",#N/A,FALSE,"Construction"}</definedName>
    <definedName name="wrn.Standard._.Reports2." hidden="1">{"Const_Monthly",#N/A,FALSE,"Construction";"Construction_Summary",#N/A,FALSE,"Construction";"Cash_Flow",#N/A,FALSE,"Cash Flow";"Summary",#N/A,FALSE,"Summary";"Finsumm",#N/A,FALSE,"Summary Analysis";"Loanrecap",#N/A,FALSE,"Construction"}</definedName>
    <definedName name="wrn.Statements." localSheetId="7" hidden="1">{"Co1statements",#N/A,FALSE,"Cmpy1";"Co2statement",#N/A,FALSE,"Cmpy2";"co1pm",#N/A,FALSE,"Co1PM";"co2PM",#N/A,FALSE,"Co2PM";"value",#N/A,FALSE,"value";"opco",#N/A,FALSE,"NewSparkle";"adjusts",#N/A,FALSE,"Adjustments"}</definedName>
    <definedName name="wrn.Statements." hidden="1">{"Co1statements",#N/A,FALSE,"Cmpy1";"Co2statement",#N/A,FALSE,"Cmpy2";"co1pm",#N/A,FALSE,"Co1PM";"co2PM",#N/A,FALSE,"Co2PM";"value",#N/A,FALSE,"value";"opco",#N/A,FALSE,"NewSparkle";"adjusts",#N/A,FALSE,"Adjustments"}</definedName>
    <definedName name="wrn.Sterling._.House." localSheetId="7" hidden="1">{"One",#N/A,FALSE,"SterlingHouse";"Two",#N/A,FALSE,"SterlingHouse";"Three",#N/A,FALSE,"SterlingHouse";"Four",#N/A,FALSE,"SterlingHouse";"Five",#N/A,FALSE,"SterlingHouse"}</definedName>
    <definedName name="wrn.Sterling._.House." hidden="1">{"One",#N/A,FALSE,"SterlingHouse";"Two",#N/A,FALSE,"SterlingHouse";"Three",#N/A,FALSE,"SterlingHouse";"Four",#N/A,FALSE,"SterlingHouse";"Five",#N/A,FALSE,"SterlingHouse"}</definedName>
    <definedName name="wrn.Sterling_House." localSheetId="7" hidden="1">{"One",#N/A,FALSE,"SterlingHouse";"Two",#N/A,FALSE,"SterlingHouse";"Three",#N/A,FALSE,"SterlingHouse";"Four",#N/A,FALSE,"SterlingHouse";"Five",#N/A,FALSE,"SterlingHouse"}</definedName>
    <definedName name="wrn.Sterling_House." hidden="1">{"One",#N/A,FALSE,"SterlingHouse";"Two",#N/A,FALSE,"SterlingHouse";"Three",#N/A,FALSE,"SterlingHouse";"Four",#N/A,FALSE,"SterlingHouse";"Five",#N/A,FALSE,"SterlingHouse"}</definedName>
    <definedName name="wrn.Strengths._.Weaknesses." localSheetId="7" hidden="1">{#N/A,#N/A,FALSE,"Strengths &amp; Weaknesses"}</definedName>
    <definedName name="wrn.Strengths._.Weaknesses." hidden="1">{#N/A,#N/A,FALSE,"Strengths &amp; Weaknesses"}</definedName>
    <definedName name="wrn.Structural._.Frame." localSheetId="7" hidden="1">{"structural",#N/A,FALSE,"DETAIL.XLS"}</definedName>
    <definedName name="wrn.Structural._.Frame." hidden="1">{"structural",#N/A,FALSE,"DETAIL.XLS"}</definedName>
    <definedName name="wrn.Sugar." localSheetId="7" hidden="1">{"Sugar-Investor",#N/A,FALSE,"Sugar";"Sugar-Property",#N/A,FALSE,"Sugar"}</definedName>
    <definedName name="wrn.Sugar." hidden="1">{"Sugar-Investor",#N/A,FALSE,"Sugar";"Sugar-Property",#N/A,FALSE,"Sugar"}</definedName>
    <definedName name="wrn.SUM._.ONLY." localSheetId="7" hidden="1">{"SUMMARY",#N/A,FALSE,"BIDSUM"}</definedName>
    <definedName name="wrn.SUM._.ONLY." hidden="1">{"SUMMARY",#N/A,FALSE,"BIDSUM"}</definedName>
    <definedName name="wrn.SUM._.WITH._.GC." localSheetId="7" hidden="1">{"SUMMARY",#N/A,FALSE,"BIDSUM";"SUMALTS",#N/A,FALSE,"BIDSUM";#N/A,#N/A,FALSE,"GCOND"}</definedName>
    <definedName name="wrn.SUM._.WITH._.GC." hidden="1">{"SUMMARY",#N/A,FALSE,"BIDSUM";"SUMALTS",#N/A,FALSE,"BIDSUM";#N/A,#N/A,FALSE,"GCOND"}</definedName>
    <definedName name="wrn.SUMM.BUD." localSheetId="7" hidden="1">{#N/A,#N/A,FALSE,"96BUDGET";#N/A,#N/A,FALSE,"96BUDGET"}</definedName>
    <definedName name="wrn.SUMM.BUD." hidden="1">{#N/A,#N/A,FALSE,"96BUDGET";#N/A,#N/A,FALSE,"96BUDGET"}</definedName>
    <definedName name="wrn.Summaries." localSheetId="7" hidden="1">{#N/A,#N/A,FALSE,"Summaries &amp; NOI Compare";#N/A,#N/A,FALSE,"Consolidate Portfolio";#N/A,#N/A,FALSE,"Consolidate TERA";#N/A,#N/A,FALSE,"Consolidate II";#N/A,#N/A,FALSE,"Consolidate IV";#N/A,#N/A,FALSE,"Consolidate II &amp; IV";#N/A,#N/A,FALSE,"Consolidate V";#N/A,#N/A,FALSE,"2001 PortSum";#N/A,#N/A,FALSE,"2001 Summary";#N/A,#N/A,FALSE,"2002 PortSum";#N/A,#N/A,FALSE,"2002 Summary";#N/A,#N/A,FALSE,"2003 PortSum";#N/A,#N/A,FALSE,"2003 Summary";#N/A,#N/A,FALSE,"2004 Budg PortSum";#N/A,#N/A,FALSE,"2004 Budg Summ";#N/A,#N/A,FALSE,"Econ Occupancy"}</definedName>
    <definedName name="wrn.Summaries." hidden="1">{#N/A,#N/A,FALSE,"Summaries &amp; NOI Compare";#N/A,#N/A,FALSE,"Consolidate Portfolio";#N/A,#N/A,FALSE,"Consolidate TERA";#N/A,#N/A,FALSE,"Consolidate II";#N/A,#N/A,FALSE,"Consolidate IV";#N/A,#N/A,FALSE,"Consolidate II &amp; IV";#N/A,#N/A,FALSE,"Consolidate V";#N/A,#N/A,FALSE,"2001 PortSum";#N/A,#N/A,FALSE,"2001 Summary";#N/A,#N/A,FALSE,"2002 PortSum";#N/A,#N/A,FALSE,"2002 Summary";#N/A,#N/A,FALSE,"2003 PortSum";#N/A,#N/A,FALSE,"2003 Summary";#N/A,#N/A,FALSE,"2004 Budg PortSum";#N/A,#N/A,FALSE,"2004 Budg Summ";#N/A,#N/A,FALSE,"Econ Occupancy"}</definedName>
    <definedName name="wrn.Summary." localSheetId="7" hidden="1">{#N/A,#N/A,FALSE,"Category Summ."}</definedName>
    <definedName name="wrn.Summary." hidden="1">{#N/A,#N/A,FALSE,"Category Summ."}</definedName>
    <definedName name="wrn.Summary._.and._.Budget." localSheetId="7" hidden="1">{#N/A,#N/A,TRUE,"Summary";#N/A,#N/A,TRUE,"Budget"}</definedName>
    <definedName name="wrn.Summary._.and._.Budget." hidden="1">{#N/A,#N/A,TRUE,"Summary";#N/A,#N/A,TRUE,"Budget"}</definedName>
    <definedName name="wrn.Summary._.Budget._.Assumptions." localSheetId="7" hidden="1">{#N/A,#N/A,TRUE,"Summary";#N/A,#N/A,TRUE,"Budget";#N/A,#N/A,TRUE,"Assumptions"}</definedName>
    <definedName name="wrn.Summary._.Budget._.Assumptions." hidden="1">{#N/A,#N/A,TRUE,"Summary";#N/A,#N/A,TRUE,"Budget";#N/A,#N/A,TRUE,"Assumptions"}</definedName>
    <definedName name="wrn.Summary._.Budget._.Stack._.Assumptions." localSheetId="7" hidden="1">{#N/A,#N/A,TRUE,"Summary";#N/A,#N/A,TRUE,"Budget";#N/A,#N/A,TRUE,"Stack";#N/A,#N/A,TRUE,"Assumptions"}</definedName>
    <definedName name="wrn.Summary._.Budget._.Stack._.Assumptions." hidden="1">{#N/A,#N/A,TRUE,"Summary";#N/A,#N/A,TRUE,"Budget";#N/A,#N/A,TRUE,"Stack";#N/A,#N/A,TRUE,"Assumptions"}</definedName>
    <definedName name="wrn.Summary._.Excluding._.DHC." localSheetId="7" hidden="1">{"Summary Excluding DHC",#N/A,FALSE,"SUMMARY"}</definedName>
    <definedName name="wrn.Summary._.Excluding._.DHC." hidden="1">{"Summary Excluding DHC",#N/A,FALSE,"SUMMARY"}</definedName>
    <definedName name="wrn.Summary._.Including._.DHC." localSheetId="7" hidden="1">{"Summary Including DHC",#N/A,FALSE,"SUMMARY"}</definedName>
    <definedName name="wrn.Summary._.Including._.DHC." hidden="1">{"Summary Including DHC",#N/A,FALSE,"SUMMARY"}</definedName>
    <definedName name="wrn.Summary._.Overview." localSheetId="7" hidden="1">{#N/A,#N/A,FALSE,"OVERVIEW"}</definedName>
    <definedName name="wrn.Summary._.Overview." hidden="1">{#N/A,#N/A,FALSE,"OVERVIEW"}</definedName>
    <definedName name="wrn.Summary._.Proforma." localSheetId="7" hidden="1">{#N/A,#N/A,FALSE,"Invest Sum";#N/A,#N/A,FALSE,"Dev Costs";#N/A,#N/A,FALSE,"PnL 5 Year"}</definedName>
    <definedName name="wrn.Summary._.Proforma." hidden="1">{#N/A,#N/A,FALSE,"Invest Sum";#N/A,#N/A,FALSE,"Dev Costs";#N/A,#N/A,FALSE,"PnL 5 Year"}</definedName>
    <definedName name="wrn.summary._.proforma.1" localSheetId="7" hidden="1">{#N/A,#N/A,FALSE,"Invest Sum";#N/A,#N/A,FALSE,"Dev Costs";#N/A,#N/A,FALSE,"PnL 5 Year"}</definedName>
    <definedName name="wrn.summary._.proforma.1" hidden="1">{#N/A,#N/A,FALSE,"Invest Sum";#N/A,#N/A,FALSE,"Dev Costs";#N/A,#N/A,FALSE,"PnL 5 Year"}</definedName>
    <definedName name="wrn.summary._.proforma.2" localSheetId="7" hidden="1">{#N/A,#N/A,FALSE,"Invest Sum";#N/A,#N/A,FALSE,"Dev Costs";#N/A,#N/A,FALSE,"PnL 5 Year"}</definedName>
    <definedName name="wrn.summary._.proforma.2" hidden="1">{#N/A,#N/A,FALSE,"Invest Sum";#N/A,#N/A,FALSE,"Dev Costs";#N/A,#N/A,FALSE,"PnL 5 Year"}</definedName>
    <definedName name="wrn.SUMMARY1." localSheetId="7" hidden="1">{"SUMMARY",#N/A,FALSE,"Fin_sched"}</definedName>
    <definedName name="wrn.SUMMARY1." hidden="1">{"SUMMARY",#N/A,FALSE,"Fin_sched"}</definedName>
    <definedName name="wrn.Summary2." localSheetId="7" hidden="1">{"Summary",#N/A,FALSE,"Summary"}</definedName>
    <definedName name="wrn.Summary2." hidden="1">{"Summary",#N/A,FALSE,"Summary"}</definedName>
    <definedName name="wrn.SummaryPgs." localSheetId="7" hidden="1">{#N/A,#N/A,FALSE,"CreditStat";#N/A,#N/A,FALSE,"SPbrkup";#N/A,#N/A,FALSE,"MerSPsyn";#N/A,#N/A,FALSE,"MerSPwKCsyn";#N/A,#N/A,FALSE,"MerSPwKCsyn (2)";#N/A,#N/A,FALSE,"CreditStat (2)"}</definedName>
    <definedName name="wrn.SummaryPgs." hidden="1">{#N/A,#N/A,FALSE,"CreditStat";#N/A,#N/A,FALSE,"SPbrkup";#N/A,#N/A,FALSE,"MerSPsyn";#N/A,#N/A,FALSE,"MerSPwKCsyn";#N/A,#N/A,FALSE,"MerSPwKCsyn (2)";#N/A,#N/A,FALSE,"CreditStat (2)"}</definedName>
    <definedName name="wrn.SunModel." localSheetId="7" hidden="1">{#N/A,#N/A,FALSE,"summary";#N/A,#N/A,FALSE,"SIH";#N/A,#N/A,FALSE,"SIH Value";#N/A,#N/A,FALSE,"tax est.";#N/A,#N/A,FALSE,"Mohegan";#N/A,#N/A,FALSE,"Resorts";#N/A,#N/A,FALSE,"Win Per Day";#N/A,#N/A,FALSE,"CapStr"}</definedName>
    <definedName name="wrn.SunModel." hidden="1">{#N/A,#N/A,FALSE,"summary";#N/A,#N/A,FALSE,"SIH";#N/A,#N/A,FALSE,"SIH Value";#N/A,#N/A,FALSE,"tax est.";#N/A,#N/A,FALSE,"Mohegan";#N/A,#N/A,FALSE,"Resorts";#N/A,#N/A,FALSE,"Win Per Day";#N/A,#N/A,FALSE,"CapStr"}</definedName>
    <definedName name="wrn.surveillance." localSheetId="7" hidden="1">{#N/A,#N/A,FALSE,"DELQ";#N/A,#N/A,FALSE,"REO";#N/A,#N/A,FALSE,"WATCHDSC";#N/A,#N/A,FALSE,"2LOSSMOD";#N/A,#N/A,FALSE,"2LOSS";#N/A,#N/A,FALSE,"DSC";#N/A,#N/A,FALSE,"OPERAT";#N/A,#N/A,FALSE,"ADJUST";#N/A,#N/A,FALSE,"PAIDOFF";#N/A,#N/A,FALSE,"TENANT";#N/A,#N/A,FALSE,"LEASE EXPIRE"}</definedName>
    <definedName name="wrn.surveillance." hidden="1">{#N/A,#N/A,FALSE,"DELQ";#N/A,#N/A,FALSE,"REO";#N/A,#N/A,FALSE,"WATCHDSC";#N/A,#N/A,FALSE,"2LOSSMOD";#N/A,#N/A,FALSE,"2LOSS";#N/A,#N/A,FALSE,"DSC";#N/A,#N/A,FALSE,"OPERAT";#N/A,#N/A,FALSE,"ADJUST";#N/A,#N/A,FALSE,"PAIDOFF";#N/A,#N/A,FALSE,"TENANT";#N/A,#N/A,FALSE,"LEASE EXPIRE"}</definedName>
    <definedName name="wrn.Syndication." localSheetId="7" hidden="1">{#N/A,#N/A,FALSE,"Assumptions";"Section 1",#N/A,FALSE,"SYNDICATION MODEL";"Section 2",#N/A,FALSE,"SYNDICATION MODEL";#N/A,#N/A,FALSE,"Input Sheet";#N/A,#N/A,FALSE,"SYNDICATION ROE"}</definedName>
    <definedName name="wrn.Syndication." hidden="1">{#N/A,#N/A,FALSE,"Assumptions";"Section 1",#N/A,FALSE,"SYNDICATION MODEL";"Section 2",#N/A,FALSE,"SYNDICATION MODEL";#N/A,#N/A,FALSE,"Input Sheet";#N/A,#N/A,FALSE,"SYNDICATION ROE"}</definedName>
    <definedName name="wrn.TANASBOURNE._.ONLY." localSheetId="7" hidden="1">{#N/A,#N/A,FALSE,"Expense Comparison"}</definedName>
    <definedName name="wrn.TANASBOURNE._.ONLY." hidden="1">{#N/A,#N/A,FALSE,"Expense Comparison"}</definedName>
    <definedName name="wrn.TANASBOURNE._.ONLY._1" localSheetId="7" hidden="1">{#N/A,#N/A,FALSE,"Expense Comparison"}</definedName>
    <definedName name="wrn.TANASBOURNE._.ONLY._1" hidden="1">{#N/A,#N/A,FALSE,"Expense Comparison"}</definedName>
    <definedName name="wrn.Target._.Comparison." localSheetId="7" hidden="1">{"Target Comparison",#N/A,FALSE,"Summary"}</definedName>
    <definedName name="wrn.Target._.Comparison." hidden="1">{"Target Comparison",#N/A,FALSE,"Summary"}</definedName>
    <definedName name="wrn.Tax." localSheetId="7" hidden="1">{#N/A,#N/A,FALSE,"Taxation"}</definedName>
    <definedName name="wrn.Tax." hidden="1">{#N/A,#N/A,FALSE,"Taxation"}</definedName>
    <definedName name="wrn.taxes." localSheetId="7" hidden="1">{"taxes",#N/A,FALSE,"CTT_CLO"}</definedName>
    <definedName name="wrn.taxes." hidden="1">{"taxes",#N/A,FALSE,"CTT_CLO"}</definedName>
    <definedName name="wrn.Taxes._.Title._.Insurance." localSheetId="7" hidden="1">{#N/A,#N/A,FALSE,"Taxes, Insurance, Title"}</definedName>
    <definedName name="wrn.Taxes._.Title._.Insurance." hidden="1">{#N/A,#N/A,FALSE,"Taxes, Insurance, Title"}</definedName>
    <definedName name="wrn.TaxesA." localSheetId="7" hidden="1">{#N/A,#N/A,FALSE,"Taxes (A)"}</definedName>
    <definedName name="wrn.TaxesA." hidden="1">{#N/A,#N/A,FALSE,"Taxes (A)"}</definedName>
    <definedName name="wrn.Template." localSheetId="7" hidden="1">{#N/A,#N/A,FALSE,"1_Executive Summary";#N/A,#N/A,FALSE,"2_Assumptions";#N/A,#N/A,FALSE,"3_Footnotes";#N/A,#N/A,FALSE,"4_Cash Flow";#N/A,#N/A,FALSE,"6_Residual - Marketing";#N/A,#N/A,FALSE,"7_Residual Matrix";#N/A,#N/A,FALSE,"8_Pricing Matrix";#N/A,#N/A,FALSE,"9_Value Matrix";#N/A,#N/A,FALSE,"10_Vacancy Detail";#N/A,#N/A,FALSE,"11_Basic Expiration"}</definedName>
    <definedName name="wrn.Template." hidden="1">{#N/A,#N/A,FALSE,"1_Executive Summary";#N/A,#N/A,FALSE,"2_Assumptions";#N/A,#N/A,FALSE,"3_Footnotes";#N/A,#N/A,FALSE,"4_Cash Flow";#N/A,#N/A,FALSE,"6_Residual - Marketing";#N/A,#N/A,FALSE,"7_Residual Matrix";#N/A,#N/A,FALSE,"8_Pricing Matrix";#N/A,#N/A,FALSE,"9_Value Matrix";#N/A,#N/A,FALSE,"10_Vacancy Detail";#N/A,#N/A,FALSE,"11_Basic Expiration"}</definedName>
    <definedName name="wrn.Tenants." localSheetId="7" hidden="1">{#N/A,#N/A,FALSE,"TENANTS"}</definedName>
    <definedName name="wrn.Tenants." hidden="1">{#N/A,#N/A,FALSE,"TENANTS"}</definedName>
    <definedName name="wrn.TEST." localSheetId="7" hidden="1">{#N/A,#N/A,FALSE,"SCHEDULE G"}</definedName>
    <definedName name="wrn.TEST." hidden="1">{#N/A,#N/A,FALSE,"SCHEDULE G"}</definedName>
    <definedName name="wrn.test.2" localSheetId="7" hidden="1">{#N/A,#N/A,FALSE,"Calculator"}</definedName>
    <definedName name="wrn.test.2" hidden="1">{#N/A,#N/A,FALSE,"Calculator"}</definedName>
    <definedName name="wrn.test.2a" localSheetId="7" hidden="1">{#N/A,#N/A,FALSE,"Calculator"}</definedName>
    <definedName name="wrn.test.2a" hidden="1">{#N/A,#N/A,FALSE,"Calculator"}</definedName>
    <definedName name="wrn.test1" localSheetId="7" hidden="1">{#N/A,#N/A,FALSE,"Calculator"}</definedName>
    <definedName name="wrn.test1" hidden="1">{#N/A,#N/A,FALSE,"Calculator"}</definedName>
    <definedName name="wrn.TEST1." localSheetId="7" hidden="1">{"TEST1",#N/A,FALSE,"SIMPLIFD"}</definedName>
    <definedName name="wrn.TEST1." hidden="1">{"TEST1",#N/A,FALSE,"SIMPLIFD"}</definedName>
    <definedName name="wrn.test11" localSheetId="7" hidden="1">{#N/A,#N/A,FALSE,"Calculator"}</definedName>
    <definedName name="wrn.test11" hidden="1">{#N/A,#N/A,FALSE,"Calculator"}</definedName>
    <definedName name="wrn.test11." localSheetId="7" hidden="1">{#N/A,#N/A,FALSE,"Calculator"}</definedName>
    <definedName name="wrn.test11." hidden="1">{#N/A,#N/A,FALSE,"Calculator"}</definedName>
    <definedName name="wrn.test11a" localSheetId="7" hidden="1">{#N/A,#N/A,FALSE,"Calculator"}</definedName>
    <definedName name="wrn.test11a" hidden="1">{#N/A,#N/A,FALSE,"Calculator"}</definedName>
    <definedName name="wrn.test11aa." localSheetId="7" hidden="1">{#N/A,#N/A,FALSE,"Calculator"}</definedName>
    <definedName name="wrn.test11aa." hidden="1">{#N/A,#N/A,FALSE,"Calculator"}</definedName>
    <definedName name="wrn.test1a." localSheetId="7" hidden="1">{#N/A,#N/A,FALSE,"Calculator"}</definedName>
    <definedName name="wrn.test1a." hidden="1">{#N/A,#N/A,FALSE,"Calculator"}</definedName>
    <definedName name="wrn.test1a1" localSheetId="7" hidden="1">{#N/A,#N/A,FALSE,"Calculator"}</definedName>
    <definedName name="wrn.test1a1" hidden="1">{#N/A,#N/A,FALSE,"Calculator"}</definedName>
    <definedName name="wrn.test1a1." localSheetId="7" hidden="1">{#N/A,#N/A,FALSE,"Calculator"}</definedName>
    <definedName name="wrn.test1a1." hidden="1">{#N/A,#N/A,FALSE,"Calculator"}</definedName>
    <definedName name="wrn.test2" localSheetId="7" hidden="1">{#N/A,#N/A,FALSE,"Calculator"}</definedName>
    <definedName name="wrn.test2" hidden="1">{#N/A,#N/A,FALSE,"Calculator"}</definedName>
    <definedName name="wrn.test21" localSheetId="7" hidden="1">{#N/A,#N/A,FALSE,"Calculator"}</definedName>
    <definedName name="wrn.test21" hidden="1">{#N/A,#N/A,FALSE,"Calculator"}</definedName>
    <definedName name="wrn.test21b" localSheetId="7" hidden="1">{#N/A,#N/A,FALSE,"Calculator"}</definedName>
    <definedName name="wrn.test21b" hidden="1">{#N/A,#N/A,FALSE,"Calculator"}</definedName>
    <definedName name="wrn.test2a" localSheetId="7" hidden="1">{#N/A,#N/A,FALSE,"Calculator"}</definedName>
    <definedName name="wrn.test2a" hidden="1">{#N/A,#N/A,FALSE,"Calculator"}</definedName>
    <definedName name="wrn.test2a1" localSheetId="7" hidden="1">{#N/A,#N/A,FALSE,"Calculator"}</definedName>
    <definedName name="wrn.test2a1" hidden="1">{#N/A,#N/A,FALSE,"Calculator"}</definedName>
    <definedName name="wrn.test3" localSheetId="7" hidden="1">{#N/A,#N/A,FALSE,"Calculator"}</definedName>
    <definedName name="wrn.test3" hidden="1">{#N/A,#N/A,FALSE,"Calculator"}</definedName>
    <definedName name="wrn.test31" localSheetId="7" hidden="1">{#N/A,#N/A,FALSE,"Calculator"}</definedName>
    <definedName name="wrn.test31" hidden="1">{#N/A,#N/A,FALSE,"Calculator"}</definedName>
    <definedName name="wrn.test31a" localSheetId="7" hidden="1">{#N/A,#N/A,FALSE,"Calculator"}</definedName>
    <definedName name="wrn.test31a" hidden="1">{#N/A,#N/A,FALSE,"Calculator"}</definedName>
    <definedName name="wrn.test3a" localSheetId="7" hidden="1">{#N/A,#N/A,FALSE,"Calculator"}</definedName>
    <definedName name="wrn.test3a" hidden="1">{#N/A,#N/A,FALSE,"Calculator"}</definedName>
    <definedName name="wrn.test3b" localSheetId="7" hidden="1">{#N/A,#N/A,FALSE,"Calculator"}</definedName>
    <definedName name="wrn.test3b" hidden="1">{#N/A,#N/A,FALSE,"Calculator"}</definedName>
    <definedName name="wrn.THR._.Budget." localSheetId="7" hidden="1">{"7-Year Pro Forma",#N/A,FALSE,"Prof";"Statistics",#N/A,FALSE,"Stats"}</definedName>
    <definedName name="wrn.THR._.Budget." hidden="1">{"7-Year Pro Forma",#N/A,FALSE,"Prof";"Statistics",#N/A,FALSE,"Stats"}</definedName>
    <definedName name="wrn.TOCHTERMAN." localSheetId="7" hidden="1">{#N/A,#N/A,FALSE,"Project Summary";#N/A,#N/A,FALSE,"Parking Budget";#N/A,#N/A,FALSE,"Parking Cash Flow";#N/A,#N/A,FALSE,"Parking Assumptions";#N/A,#N/A,FALSE,"Bond Debt Service";#N/A,#N/A,FALSE,"Pad Fees";#N/A,#N/A,FALSE,"Bond Shortfall";#N/A,#N/A,FALSE,"Retail Development Budget";#N/A,#N/A,FALSE,"Retail Cash Flow";#N/A,#N/A,FALSE,"Retail Assumptions Summary";#N/A,#N/A,FALSE,"Office Development Budget";#N/A,#N/A,FALSE,"Office Cash Flow";#N/A,#N/A,FALSE,"Office Assumptions";#N/A,#N/A,FALSE,"Hotel Development Budget";#N/A,#N/A,FALSE,"Hotel Cash Flow";#N/A,#N/A,FALSE,"Land Lease NPV"}</definedName>
    <definedName name="wrn.TOCHTERMAN." hidden="1">{#N/A,#N/A,FALSE,"Project Summary";#N/A,#N/A,FALSE,"Parking Budget";#N/A,#N/A,FALSE,"Parking Cash Flow";#N/A,#N/A,FALSE,"Parking Assumptions";#N/A,#N/A,FALSE,"Bond Debt Service";#N/A,#N/A,FALSE,"Pad Fees";#N/A,#N/A,FALSE,"Bond Shortfall";#N/A,#N/A,FALSE,"Retail Development Budget";#N/A,#N/A,FALSE,"Retail Cash Flow";#N/A,#N/A,FALSE,"Retail Assumptions Summary";#N/A,#N/A,FALSE,"Office Development Budget";#N/A,#N/A,FALSE,"Office Cash Flow";#N/A,#N/A,FALSE,"Office Assumptions";#N/A,#N/A,FALSE,"Hotel Development Budget";#N/A,#N/A,FALSE,"Hotel Cash Flow";#N/A,#N/A,FALSE,"Land Lease NPV"}</definedName>
    <definedName name="wrn.TOOL." localSheetId="7"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p._.REITS." localSheetId="7" hidden="1">{#N/A,#N/A,FALSE,"REIT ";#N/A,#N/A,FALSE,"Equity Office";#N/A,#N/A,FALSE,"Boston Properties";#N/A,#N/A,FALSE,"Crescent RE";#N/A,#N/A,FALSE,"HRPT";#N/A,#N/A,FALSE,"Vornado";#N/A,#N/A,FALSE,"Cornerstone"}</definedName>
    <definedName name="wrn.Top._.REITS." hidden="1">{#N/A,#N/A,FALSE,"REIT ";#N/A,#N/A,FALSE,"Equity Office";#N/A,#N/A,FALSE,"Boston Properties";#N/A,#N/A,FALSE,"Crescent RE";#N/A,#N/A,FALSE,"HRPT";#N/A,#N/A,FALSE,"Vornado";#N/A,#N/A,FALSE,"Cornerstone"}</definedName>
    <definedName name="wrn.Total." localSheetId="7" hidden="1">{#N/A,#N/A,FALSE,"Trans-Sum";#N/A,#N/A,FALSE,"Accr-Dilu2";#N/A,#N/A,FALSE,"Contribution";#N/A,#N/A,FALSE,"Combined";#N/A,#N/A,FALSE,"ASTF";#N/A,#N/A,FALSE,"BRA";#N/A,#N/A,FALSE,"Bra_C";#N/A,#N/A,FALSE,"AcqMults";#N/A,#N/A,FALSE,"CompMults";#N/A,#N/A,FALSE,"DCF";#N/A,#N/A,FALSE,"WACC";#N/A,#N/A,FALSE,"LBO";#N/A,#N/A,FALSE,"Summary";#N/A,#N/A,FALSE,"StructSum"}</definedName>
    <definedName name="wrn.Total." hidden="1">{#N/A,#N/A,FALSE,"Trans-Sum";#N/A,#N/A,FALSE,"Accr-Dilu2";#N/A,#N/A,FALSE,"Contribution";#N/A,#N/A,FALSE,"Combined";#N/A,#N/A,FALSE,"ASTF";#N/A,#N/A,FALSE,"BRA";#N/A,#N/A,FALSE,"Bra_C";#N/A,#N/A,FALSE,"AcqMults";#N/A,#N/A,FALSE,"CompMults";#N/A,#N/A,FALSE,"DCF";#N/A,#N/A,FALSE,"WACC";#N/A,#N/A,FALSE,"LBO";#N/A,#N/A,FALSE,"Summary";#N/A,#N/A,FALSE,"StructSum"}</definedName>
    <definedName name="wrn.total._.closing." localSheetId="7" hidden="1">{"page1",#N/A,FALSE,"CTT_CLO";"page2",#N/A,FALSE,"CTT_CLO";"schedules",#N/A,FALSE,"CTT_CLO";"scheduleA",#N/A,FALSE,"CTT_CLO";"scheduleBC",#N/A,FALSE,"CTT_CLO";"scheduleDE",#N/A,FALSE,"CTT_CLO";"scheduleF",#N/A,FALSE,"CTT_CLO"}</definedName>
    <definedName name="wrn.total._.closing." hidden="1">{"page1",#N/A,FALSE,"CTT_CLO";"page2",#N/A,FALSE,"CTT_CLO";"schedules",#N/A,FALSE,"CTT_CLO";"scheduleA",#N/A,FALSE,"CTT_CLO";"scheduleBC",#N/A,FALSE,"CTT_CLO";"scheduleDE",#N/A,FALSE,"CTT_CLO";"scheduleF",#N/A,FALSE,"CTT_CLO"}</definedName>
    <definedName name="wrn.TOTAL._.SHEETS." localSheetId="7" hidden="1">{#N/A,#N/A,FALSE,"DEV COSTS";#N/A,#N/A,FALSE,"10-YR C. F."}</definedName>
    <definedName name="wrn.TOTAL._.SHEETS." hidden="1">{#N/A,#N/A,FALSE,"DEV COSTS";#N/A,#N/A,FALSE,"10-YR C. F."}</definedName>
    <definedName name="wrn.TOTAL._.SHEETS5" localSheetId="7" hidden="1">{#N/A,#N/A,FALSE,"DEV COSTS";#N/A,#N/A,FALSE,"10-YR C. F."}</definedName>
    <definedName name="wrn.TOTAL._.SHEETS5" hidden="1">{#N/A,#N/A,FALSE,"DEV COSTS";#N/A,#N/A,FALSE,"10-YR C. F."}</definedName>
    <definedName name="wrn.Total5" localSheetId="7" hidden="1">{#N/A,#N/A,FALSE,"Exec Sum";#N/A,#N/A,FALSE,"Rent Rate Comp";#N/A,#N/A,FALSE,"Rate, NPV Comp";#N/A,#N/A,FALSE,"Opt A NNN";#N/A,#N/A,FALSE,"15-yr Opt. A Sum";#N/A,#N/A,FALSE,"15-yr Opt A Other Costs";#N/A,#N/A,FALSE,"10-yr Opt. A Sum";#N/A,#N/A,FALSE,"10-yr Opt A Other Costs";#N/A,#N/A,FALSE,"NPV Calc"}</definedName>
    <definedName name="wrn.Total5" hidden="1">{#N/A,#N/A,FALSE,"Exec Sum";#N/A,#N/A,FALSE,"Rent Rate Comp";#N/A,#N/A,FALSE,"Rate, NPV Comp";#N/A,#N/A,FALSE,"Opt A NNN";#N/A,#N/A,FALSE,"15-yr Opt. A Sum";#N/A,#N/A,FALSE,"15-yr Opt A Other Costs";#N/A,#N/A,FALSE,"10-yr Opt. A Sum";#N/A,#N/A,FALSE,"10-yr Opt A Other Costs";#N/A,#N/A,FALSE,"NPV Calc"}</definedName>
    <definedName name="wrn.TownPoint." localSheetId="7" hidden="1">{"Townpoint-Investor",#N/A,FALSE,"TownPoint";"Townpoint-Property",#N/A,FALSE,"TownPoint"}</definedName>
    <definedName name="wrn.TownPoint." hidden="1">{"Townpoint-Investor",#N/A,FALSE,"TownPoint";"Townpoint-Property",#N/A,FALSE,"TownPoint"}</definedName>
    <definedName name="wrn.TransPrcd_123." localSheetId="7" hidden="1">{#N/A,#N/A,TRUE,"TransPrcd 1";#N/A,#N/A,TRUE,"TransPrcd 2";#N/A,#N/A,TRUE,"TransPrcd 3"}</definedName>
    <definedName name="wrn.TransPrcd_123." hidden="1">{#N/A,#N/A,TRUE,"TransPrcd 1";#N/A,#N/A,TRUE,"TransPrcd 2";#N/A,#N/A,TRUE,"TransPrcd 3"}</definedName>
    <definedName name="wrn.Tweety." localSheetId="7" hidden="1">{#N/A,#N/A,FALSE,"A&amp;E";#N/A,#N/A,FALSE,"HighTop";#N/A,#N/A,FALSE,"JG";#N/A,#N/A,FALSE,"RI";#N/A,#N/A,FALSE,"woHT";#N/A,#N/A,FALSE,"woHT&amp;JG"}</definedName>
    <definedName name="wrn.Tweety." hidden="1">{#N/A,#N/A,FALSE,"A&amp;E";#N/A,#N/A,FALSE,"HighTop";#N/A,#N/A,FALSE,"JG";#N/A,#N/A,FALSE,"RI";#N/A,#N/A,FALSE,"woHT";#N/A,#N/A,FALSE,"woHT&amp;JG"}</definedName>
    <definedName name="wrn.Tycon._.Model." localSheetId="7" hidden="1">{"rtn",#N/A,FALSE,"RTN";"tables",#N/A,FALSE,"RTN";"cf",#N/A,FALSE,"CF";"stats",#N/A,FALSE,"Stats";"prop",#N/A,FALSE,"Prop"}</definedName>
    <definedName name="wrn.Tycon._.Model." hidden="1">{"rtn",#N/A,FALSE,"RTN";"tables",#N/A,FALSE,"RTN";"cf",#N/A,FALSE,"CF";"stats",#N/A,FALSE,"Stats";"prop",#N/A,FALSE,"Prop"}</definedName>
    <definedName name="wrn.Tycon._.Model._1" localSheetId="7" hidden="1">{"rtn",#N/A,FALSE,"RTN";"tables",#N/A,FALSE,"RTN";"cf",#N/A,FALSE,"CF";"stats",#N/A,FALSE,"Stats";"prop",#N/A,FALSE,"Prop"}</definedName>
    <definedName name="wrn.Tycon._.Model._1" hidden="1">{"rtn",#N/A,FALSE,"RTN";"tables",#N/A,FALSE,"RTN";"cf",#N/A,FALSE,"CF";"stats",#N/A,FALSE,"Stats";"prop",#N/A,FALSE,"Prop"}</definedName>
    <definedName name="wrn.Tycon._.Model._1_1" localSheetId="7" hidden="1">{"rtn",#N/A,FALSE,"RTN";"tables",#N/A,FALSE,"RTN";"cf",#N/A,FALSE,"CF";"stats",#N/A,FALSE,"Stats";"prop",#N/A,FALSE,"Prop"}</definedName>
    <definedName name="wrn.Tycon._.Model._1_1" hidden="1">{"rtn",#N/A,FALSE,"RTN";"tables",#N/A,FALSE,"RTN";"cf",#N/A,FALSE,"CF";"stats",#N/A,FALSE,"Stats";"prop",#N/A,FALSE,"Prop"}</definedName>
    <definedName name="wrn.Tycon._.Model._1_1_1" localSheetId="7" hidden="1">{"rtn",#N/A,FALSE,"RTN";"tables",#N/A,FALSE,"RTN";"cf",#N/A,FALSE,"CF";"stats",#N/A,FALSE,"Stats";"prop",#N/A,FALSE,"Prop"}</definedName>
    <definedName name="wrn.Tycon._.Model._1_1_1" hidden="1">{"rtn",#N/A,FALSE,"RTN";"tables",#N/A,FALSE,"RTN";"cf",#N/A,FALSE,"CF";"stats",#N/A,FALSE,"Stats";"prop",#N/A,FALSE,"Prop"}</definedName>
    <definedName name="wrn.Tycon._.Model._1_2" localSheetId="7" hidden="1">{"rtn",#N/A,FALSE,"RTN";"tables",#N/A,FALSE,"RTN";"cf",#N/A,FALSE,"CF";"stats",#N/A,FALSE,"Stats";"prop",#N/A,FALSE,"Prop"}</definedName>
    <definedName name="wrn.Tycon._.Model._1_2" hidden="1">{"rtn",#N/A,FALSE,"RTN";"tables",#N/A,FALSE,"RTN";"cf",#N/A,FALSE,"CF";"stats",#N/A,FALSE,"Stats";"prop",#N/A,FALSE,"Prop"}</definedName>
    <definedName name="wrn.Tycon._.Model._1_3" localSheetId="7" hidden="1">{"rtn",#N/A,FALSE,"RTN";"tables",#N/A,FALSE,"RTN";"cf",#N/A,FALSE,"CF";"stats",#N/A,FALSE,"Stats";"prop",#N/A,FALSE,"Prop"}</definedName>
    <definedName name="wrn.Tycon._.Model._1_3" hidden="1">{"rtn",#N/A,FALSE,"RTN";"tables",#N/A,FALSE,"RTN";"cf",#N/A,FALSE,"CF";"stats",#N/A,FALSE,"Stats";"prop",#N/A,FALSE,"Prop"}</definedName>
    <definedName name="wrn.Tycon._.Model._1_4" localSheetId="7" hidden="1">{"rtn",#N/A,FALSE,"RTN";"tables",#N/A,FALSE,"RTN";"cf",#N/A,FALSE,"CF";"stats",#N/A,FALSE,"Stats";"prop",#N/A,FALSE,"Prop"}</definedName>
    <definedName name="wrn.Tycon._.Model._1_4" hidden="1">{"rtn",#N/A,FALSE,"RTN";"tables",#N/A,FALSE,"RTN";"cf",#N/A,FALSE,"CF";"stats",#N/A,FALSE,"Stats";"prop",#N/A,FALSE,"Prop"}</definedName>
    <definedName name="wrn.Tycon._.Model._1_5" localSheetId="7" hidden="1">{"rtn",#N/A,FALSE,"RTN";"tables",#N/A,FALSE,"RTN";"cf",#N/A,FALSE,"CF";"stats",#N/A,FALSE,"Stats";"prop",#N/A,FALSE,"Prop"}</definedName>
    <definedName name="wrn.Tycon._.Model._1_5" hidden="1">{"rtn",#N/A,FALSE,"RTN";"tables",#N/A,FALSE,"RTN";"cf",#N/A,FALSE,"CF";"stats",#N/A,FALSE,"Stats";"prop",#N/A,FALSE,"Prop"}</definedName>
    <definedName name="wrn.Tycon._.Model._2" localSheetId="7" hidden="1">{"rtn",#N/A,FALSE,"RTN";"tables",#N/A,FALSE,"RTN";"cf",#N/A,FALSE,"CF";"stats",#N/A,FALSE,"Stats";"prop",#N/A,FALSE,"Prop"}</definedName>
    <definedName name="wrn.Tycon._.Model._2" hidden="1">{"rtn",#N/A,FALSE,"RTN";"tables",#N/A,FALSE,"RTN";"cf",#N/A,FALSE,"CF";"stats",#N/A,FALSE,"Stats";"prop",#N/A,FALSE,"Prop"}</definedName>
    <definedName name="wrn.Tycon._.Model._3" localSheetId="7" hidden="1">{"rtn",#N/A,FALSE,"RTN";"tables",#N/A,FALSE,"RTN";"cf",#N/A,FALSE,"CF";"stats",#N/A,FALSE,"Stats";"prop",#N/A,FALSE,"Prop"}</definedName>
    <definedName name="wrn.Tycon._.Model._3" hidden="1">{"rtn",#N/A,FALSE,"RTN";"tables",#N/A,FALSE,"RTN";"cf",#N/A,FALSE,"CF";"stats",#N/A,FALSE,"Stats";"prop",#N/A,FALSE,"Prop"}</definedName>
    <definedName name="wrn.Tycon._.Model._4" localSheetId="7" hidden="1">{"rtn",#N/A,FALSE,"RTN";"tables",#N/A,FALSE,"RTN";"cf",#N/A,FALSE,"CF";"stats",#N/A,FALSE,"Stats";"prop",#N/A,FALSE,"Prop"}</definedName>
    <definedName name="wrn.Tycon._.Model._4" hidden="1">{"rtn",#N/A,FALSE,"RTN";"tables",#N/A,FALSE,"RTN";"cf",#N/A,FALSE,"CF";"stats",#N/A,FALSE,"Stats";"prop",#N/A,FALSE,"Prop"}</definedName>
    <definedName name="wrn.Tycon._.Model._5" localSheetId="7" hidden="1">{"rtn",#N/A,FALSE,"RTN";"tables",#N/A,FALSE,"RTN";"cf",#N/A,FALSE,"CF";"stats",#N/A,FALSE,"Stats";"prop",#N/A,FALSE,"Prop"}</definedName>
    <definedName name="wrn.Tycon._.Model._5" hidden="1">{"rtn",#N/A,FALSE,"RTN";"tables",#N/A,FALSE,"RTN";"cf",#N/A,FALSE,"CF";"stats",#N/A,FALSE,"Stats";"prop",#N/A,FALSE,"Prop"}</definedName>
    <definedName name="wrn.Underwriting." localSheetId="7" hidden="1">{#N/A,#N/A,FALSE,"proforma";#N/A,#N/A,FALSE,"loananalysis";#N/A,#N/A,FALSE,"unitmix"}</definedName>
    <definedName name="wrn.Underwriting." hidden="1">{#N/A,#N/A,FALSE,"proforma";#N/A,#N/A,FALSE,"loananalysis";#N/A,#N/A,FALSE,"unitmix"}</definedName>
    <definedName name="wrn.Underwriting._.Analysis." localSheetId="7" hidden="1">{#N/A,#N/A,FALSE,"Underwriting Analysis"}</definedName>
    <definedName name="wrn.Underwriting._.Analysis." hidden="1">{#N/A,#N/A,FALSE,"Underwriting Analysis"}</definedName>
    <definedName name="wrn.United." localSheetId="7" hidden="1">{#N/A,#N/A,FALSE,"United Summary";#N/A,#N/A,FALSE,"United Main";#N/A,#N/A,FALSE,"United Open"}</definedName>
    <definedName name="wrn.United." hidden="1">{#N/A,#N/A,FALSE,"United Summary";#N/A,#N/A,FALSE,"United Main";#N/A,#N/A,FALSE,"United Open"}</definedName>
    <definedName name="wrn.USSC_Reports." localSheetId="7" hidden="1">{#N/A,#N/A,FALSE,"9Pricing Matrix";#N/A,#N/A,FALSE,"1Summary";#N/A,#N/A,FALSE,"2Assumptions";#N/A,#N/A,FALSE,"3Cash Flow";#N/A,#N/A,FALSE,"5Residual";#N/A,#N/A,FALSE,"Occupancy Cost";#N/A,#N/A,FALSE,"7Financing Sensitivity";#N/A,#N/A,FALSE,"8Residual Sensitivity";#N/A,#N/A,FALSE,"10Vacancy Matrix";#N/A,#N/A,FALSE,"11Expiration Schedule";#N/A,#N/A,FALSE,"12Lease-up Schedule";#N/A,#N/A,FALSE,"OFS-Lease-up Schedule";#N/A,#N/A,FALSE,"Short Holds"}</definedName>
    <definedName name="wrn.USSC_Reports." hidden="1">{#N/A,#N/A,FALSE,"9Pricing Matrix";#N/A,#N/A,FALSE,"1Summary";#N/A,#N/A,FALSE,"2Assumptions";#N/A,#N/A,FALSE,"3Cash Flow";#N/A,#N/A,FALSE,"5Residual";#N/A,#N/A,FALSE,"Occupancy Cost";#N/A,#N/A,FALSE,"7Financing Sensitivity";#N/A,#N/A,FALSE,"8Residual Sensitivity";#N/A,#N/A,FALSE,"10Vacancy Matrix";#N/A,#N/A,FALSE,"11Expiration Schedule";#N/A,#N/A,FALSE,"12Lease-up Schedule";#N/A,#N/A,FALSE,"OFS-Lease-up Schedule";#N/A,#N/A,FALSE,"Short Holds"}</definedName>
    <definedName name="wrn.valuation." localSheetId="7" hidden="1">{"Page1",#N/A,FALSE,"7979";"Page2",#N/A,FALSE,"7979";"Page3",#N/A,FALSE,"7979"}</definedName>
    <definedName name="wrn.valuation." hidden="1">{"Page1",#N/A,FALSE,"7979";"Page2",#N/A,FALSE,"7979";"Page3",#N/A,FALSE,"7979"}</definedName>
    <definedName name="wrn.Valuation._.Package._.1." localSheetId="7" hidden="1">{"Balance Sheet",#N/A,FALSE,"Balance Sheet";"Sum Cash Flow",#N/A,FALSE,"Sum Cash Flow";"Income Statement 1",#N/A,FALSE,"Income Statement 1";"DCF Projections",#N/A,FALSE,"DCF Projections";"DCF1",#N/A,FALSE,"DCF1";"AVP",#N/A,FALSE,"AVP";"CalcWorksheet",#N/A,FALSE,"Calc Wksht New";"PV of Future Prices",#N/A,FALSE,"Fut Share Price - New EPS";"FutureSharePrices",#N/A,FALSE,"Future Share Prices"}</definedName>
    <definedName name="wrn.Valuation._.Package._.1." hidden="1">{"Balance Sheet",#N/A,FALSE,"Balance Sheet";"Sum Cash Flow",#N/A,FALSE,"Sum Cash Flow";"Income Statement 1",#N/A,FALSE,"Income Statement 1";"DCF Projections",#N/A,FALSE,"DCF Projections";"DCF1",#N/A,FALSE,"DCF1";"AVP",#N/A,FALSE,"AVP";"CalcWorksheet",#N/A,FALSE,"Calc Wksht New";"PV of Future Prices",#N/A,FALSE,"Fut Share Price - New EPS";"FutureSharePrices",#N/A,FALSE,"Future Share Prices"}</definedName>
    <definedName name="wrn.Value." localSheetId="7" hidden="1">{#N/A,#N/A,FALSE,"Cashflow Analysis";#N/A,#N/A,FALSE,"Sensitivity Analysis";#N/A,#N/A,FALSE,"PV";#N/A,#N/A,FALSE,"Pro Forma"}</definedName>
    <definedName name="wrn.Value." hidden="1">{#N/A,#N/A,FALSE,"Cashflow Analysis";#N/A,#N/A,FALSE,"Sensitivity Analysis";#N/A,#N/A,FALSE,"PV";#N/A,#N/A,FALSE,"Pro Forma"}</definedName>
    <definedName name="wrn.Value.2" localSheetId="7" hidden="1">{#N/A,#N/A,FALSE,"Cashflow Analysis";#N/A,#N/A,FALSE,"Sensitivity Analysis";#N/A,#N/A,FALSE,"PV";#N/A,#N/A,FALSE,"Pro Forma"}</definedName>
    <definedName name="wrn.Value.2" hidden="1">{#N/A,#N/A,FALSE,"Cashflow Analysis";#N/A,#N/A,FALSE,"Sensitivity Analysis";#N/A,#N/A,FALSE,"PV";#N/A,#N/A,FALSE,"Pro Forma"}</definedName>
    <definedName name="wrn.value2" localSheetId="7" hidden="1">{"NOPCAPEVA",#N/A,FALSE,"Nopat";"FCFCSTAR",#N/A,FALSE,"FCFVAL";"EVAVL",#N/A,FALSE,"EVAVAL";"LEASE",#N/A,FALSE,"OpLease"}</definedName>
    <definedName name="wrn.value2" hidden="1">{"NOPCAPEVA",#N/A,FALSE,"Nopat";"FCFCSTAR",#N/A,FALSE,"FCFVAL";"EVAVL",#N/A,FALSE,"EVAVAL";"LEASE",#N/A,FALSE,"OpLease"}</definedName>
    <definedName name="wrn.value3" localSheetId="7" hidden="1">{"NOPCAPEVA",#N/A,FALSE,"Nopat";"FCFCSTAR",#N/A,FALSE,"FCFVAL";"EVAVL",#N/A,FALSE,"EVAVAL";"LEASE",#N/A,FALSE,"OpLease"}</definedName>
    <definedName name="wrn.value3" hidden="1">{"NOPCAPEVA",#N/A,FALSE,"Nopat";"FCFCSTAR",#N/A,FALSE,"FCFVAL";"EVAVL",#N/A,FALSE,"EVAVAL";"LEASE",#N/A,FALSE,"OpLease"}</definedName>
    <definedName name="wrn.value4" localSheetId="7" hidden="1">{"NOPCAPEVA",#N/A,FALSE,"Nopat";"FCFCSTAR",#N/A,FALSE,"FCFVAL";"EVAVL",#N/A,FALSE,"EVAVAL";"LEASE",#N/A,FALSE,"OpLease"}</definedName>
    <definedName name="wrn.value4" hidden="1">{"NOPCAPEVA",#N/A,FALSE,"Nopat";"FCFCSTAR",#N/A,FALSE,"FCFVAL";"EVAVL",#N/A,FALSE,"EVAVAL";"LEASE",#N/A,FALSE,"OpLease"}</definedName>
    <definedName name="wrn.Variance." localSheetId="7" hidden="1">{#N/A,#N/A,FALSE,"CCC Variance";#N/A,#N/A,FALSE,"CCC Notes"}</definedName>
    <definedName name="wrn.Variance." hidden="1">{#N/A,#N/A,FALSE,"CCC Variance";#N/A,#N/A,FALSE,"CCC Notes"}</definedName>
    <definedName name="wrn.Variance._.Worksheet." localSheetId="7" hidden="1">{#N/A,#N/A,FALSE,"VARSTRIP"}</definedName>
    <definedName name="wrn.Variance._.Worksheet." hidden="1">{#N/A,#N/A,FALSE,"VARSTRIP"}</definedName>
    <definedName name="wrn.Very._.Short." localSheetId="7" hidden="1">{#N/A,#N/A,TRUE,"Summary";#N/A,#N/A,TRUE,"Lease Up"}</definedName>
    <definedName name="wrn.Very._.Short." hidden="1">{#N/A,#N/A,TRUE,"Summary";#N/A,#N/A,TRUE,"Lease Up"}</definedName>
    <definedName name="wrn.villages." localSheetId="7" hidden="1">{#N/A,#N/A,FALSE,"Exec Sum 10Yr";#N/A,#N/A,FALSE,"Assumptions";#N/A,#N/A,FALSE,"Operating Stmts";#N/A,#N/A,FALSE,"Year One Pro Forma";#N/A,#N/A,FALSE,"Rent Roll Summary";#N/A,#N/A,FALSE,"Market Rent Detail";#N/A,#N/A,FALSE,"Effective Rental Income Detail";#N/A,#N/A,FALSE,"Cash Flow Projections";#N/A,#N/A,FALSE,"Net Residual Value"}</definedName>
    <definedName name="wrn.villages." hidden="1">{#N/A,#N/A,FALSE,"Exec Sum 10Yr";#N/A,#N/A,FALSE,"Assumptions";#N/A,#N/A,FALSE,"Operating Stmts";#N/A,#N/A,FALSE,"Year One Pro Forma";#N/A,#N/A,FALSE,"Rent Roll Summary";#N/A,#N/A,FALSE,"Market Rent Detail";#N/A,#N/A,FALSE,"Effective Rental Income Detail";#N/A,#N/A,FALSE,"Cash Flow Projections";#N/A,#N/A,FALSE,"Net Residual Value"}</definedName>
    <definedName name="wrn.villages._1" localSheetId="7" hidden="1">{#N/A,#N/A,FALSE,"Exec Sum 10Yr";#N/A,#N/A,FALSE,"Assumptions";#N/A,#N/A,FALSE,"Operating Stmts";#N/A,#N/A,FALSE,"Year One Pro Forma";#N/A,#N/A,FALSE,"Rent Roll Summary";#N/A,#N/A,FALSE,"Market Rent Detail";#N/A,#N/A,FALSE,"Effective Rental Income Detail";#N/A,#N/A,FALSE,"Cash Flow Projections";#N/A,#N/A,FALSE,"Net Residual Value"}</definedName>
    <definedName name="wrn.villages._1" hidden="1">{#N/A,#N/A,FALSE,"Exec Sum 10Yr";#N/A,#N/A,FALSE,"Assumptions";#N/A,#N/A,FALSE,"Operating Stmts";#N/A,#N/A,FALSE,"Year One Pro Forma";#N/A,#N/A,FALSE,"Rent Roll Summary";#N/A,#N/A,FALSE,"Market Rent Detail";#N/A,#N/A,FALSE,"Effective Rental Income Detail";#N/A,#N/A,FALSE,"Cash Flow Projections";#N/A,#N/A,FALSE,"Net Residual Value"}</definedName>
    <definedName name="wrn.villages._1_1" localSheetId="7" hidden="1">{#N/A,#N/A,FALSE,"Exec Sum 10Yr";#N/A,#N/A,FALSE,"Assumptions";#N/A,#N/A,FALSE,"Operating Stmts";#N/A,#N/A,FALSE,"Year One Pro Forma";#N/A,#N/A,FALSE,"Rent Roll Summary";#N/A,#N/A,FALSE,"Market Rent Detail";#N/A,#N/A,FALSE,"Effective Rental Income Detail";#N/A,#N/A,FALSE,"Cash Flow Projections";#N/A,#N/A,FALSE,"Net Residual Value"}</definedName>
    <definedName name="wrn.villages._1_1" hidden="1">{#N/A,#N/A,FALSE,"Exec Sum 10Yr";#N/A,#N/A,FALSE,"Assumptions";#N/A,#N/A,FALSE,"Operating Stmts";#N/A,#N/A,FALSE,"Year One Pro Forma";#N/A,#N/A,FALSE,"Rent Roll Summary";#N/A,#N/A,FALSE,"Market Rent Detail";#N/A,#N/A,FALSE,"Effective Rental Income Detail";#N/A,#N/A,FALSE,"Cash Flow Projections";#N/A,#N/A,FALSE,"Net Residual Value"}</definedName>
    <definedName name="wrn.villages._1_2" localSheetId="7" hidden="1">{#N/A,#N/A,FALSE,"Exec Sum 10Yr";#N/A,#N/A,FALSE,"Assumptions";#N/A,#N/A,FALSE,"Operating Stmts";#N/A,#N/A,FALSE,"Year One Pro Forma";#N/A,#N/A,FALSE,"Rent Roll Summary";#N/A,#N/A,FALSE,"Market Rent Detail";#N/A,#N/A,FALSE,"Effective Rental Income Detail";#N/A,#N/A,FALSE,"Cash Flow Projections";#N/A,#N/A,FALSE,"Net Residual Value"}</definedName>
    <definedName name="wrn.villages._1_2" hidden="1">{#N/A,#N/A,FALSE,"Exec Sum 10Yr";#N/A,#N/A,FALSE,"Assumptions";#N/A,#N/A,FALSE,"Operating Stmts";#N/A,#N/A,FALSE,"Year One Pro Forma";#N/A,#N/A,FALSE,"Rent Roll Summary";#N/A,#N/A,FALSE,"Market Rent Detail";#N/A,#N/A,FALSE,"Effective Rental Income Detail";#N/A,#N/A,FALSE,"Cash Flow Projections";#N/A,#N/A,FALSE,"Net Residual Value"}</definedName>
    <definedName name="wrn.villages._1_3" localSheetId="7" hidden="1">{#N/A,#N/A,FALSE,"Exec Sum 10Yr";#N/A,#N/A,FALSE,"Assumptions";#N/A,#N/A,FALSE,"Operating Stmts";#N/A,#N/A,FALSE,"Year One Pro Forma";#N/A,#N/A,FALSE,"Rent Roll Summary";#N/A,#N/A,FALSE,"Market Rent Detail";#N/A,#N/A,FALSE,"Effective Rental Income Detail";#N/A,#N/A,FALSE,"Cash Flow Projections";#N/A,#N/A,FALSE,"Net Residual Value"}</definedName>
    <definedName name="wrn.villages._1_3" hidden="1">{#N/A,#N/A,FALSE,"Exec Sum 10Yr";#N/A,#N/A,FALSE,"Assumptions";#N/A,#N/A,FALSE,"Operating Stmts";#N/A,#N/A,FALSE,"Year One Pro Forma";#N/A,#N/A,FALSE,"Rent Roll Summary";#N/A,#N/A,FALSE,"Market Rent Detail";#N/A,#N/A,FALSE,"Effective Rental Income Detail";#N/A,#N/A,FALSE,"Cash Flow Projections";#N/A,#N/A,FALSE,"Net Residual Value"}</definedName>
    <definedName name="wrn.villages._2" localSheetId="7" hidden="1">{#N/A,#N/A,FALSE,"Exec Sum 10Yr";#N/A,#N/A,FALSE,"Assumptions";#N/A,#N/A,FALSE,"Operating Stmts";#N/A,#N/A,FALSE,"Year One Pro Forma";#N/A,#N/A,FALSE,"Rent Roll Summary";#N/A,#N/A,FALSE,"Market Rent Detail";#N/A,#N/A,FALSE,"Effective Rental Income Detail";#N/A,#N/A,FALSE,"Cash Flow Projections";#N/A,#N/A,FALSE,"Net Residual Value"}</definedName>
    <definedName name="wrn.villages._2" hidden="1">{#N/A,#N/A,FALSE,"Exec Sum 10Yr";#N/A,#N/A,FALSE,"Assumptions";#N/A,#N/A,FALSE,"Operating Stmts";#N/A,#N/A,FALSE,"Year One Pro Forma";#N/A,#N/A,FALSE,"Rent Roll Summary";#N/A,#N/A,FALSE,"Market Rent Detail";#N/A,#N/A,FALSE,"Effective Rental Income Detail";#N/A,#N/A,FALSE,"Cash Flow Projections";#N/A,#N/A,FALSE,"Net Residual Value"}</definedName>
    <definedName name="wrn.villages._2_1" localSheetId="7" hidden="1">{#N/A,#N/A,FALSE,"Exec Sum 10Yr";#N/A,#N/A,FALSE,"Assumptions";#N/A,#N/A,FALSE,"Operating Stmts";#N/A,#N/A,FALSE,"Year One Pro Forma";#N/A,#N/A,FALSE,"Rent Roll Summary";#N/A,#N/A,FALSE,"Market Rent Detail";#N/A,#N/A,FALSE,"Effective Rental Income Detail";#N/A,#N/A,FALSE,"Cash Flow Projections";#N/A,#N/A,FALSE,"Net Residual Value"}</definedName>
    <definedName name="wrn.villages._2_1" hidden="1">{#N/A,#N/A,FALSE,"Exec Sum 10Yr";#N/A,#N/A,FALSE,"Assumptions";#N/A,#N/A,FALSE,"Operating Stmts";#N/A,#N/A,FALSE,"Year One Pro Forma";#N/A,#N/A,FALSE,"Rent Roll Summary";#N/A,#N/A,FALSE,"Market Rent Detail";#N/A,#N/A,FALSE,"Effective Rental Income Detail";#N/A,#N/A,FALSE,"Cash Flow Projections";#N/A,#N/A,FALSE,"Net Residual Value"}</definedName>
    <definedName name="wrn.villages._2_2" localSheetId="7" hidden="1">{#N/A,#N/A,FALSE,"Exec Sum 10Yr";#N/A,#N/A,FALSE,"Assumptions";#N/A,#N/A,FALSE,"Operating Stmts";#N/A,#N/A,FALSE,"Year One Pro Forma";#N/A,#N/A,FALSE,"Rent Roll Summary";#N/A,#N/A,FALSE,"Market Rent Detail";#N/A,#N/A,FALSE,"Effective Rental Income Detail";#N/A,#N/A,FALSE,"Cash Flow Projections";#N/A,#N/A,FALSE,"Net Residual Value"}</definedName>
    <definedName name="wrn.villages._2_2" hidden="1">{#N/A,#N/A,FALSE,"Exec Sum 10Yr";#N/A,#N/A,FALSE,"Assumptions";#N/A,#N/A,FALSE,"Operating Stmts";#N/A,#N/A,FALSE,"Year One Pro Forma";#N/A,#N/A,FALSE,"Rent Roll Summary";#N/A,#N/A,FALSE,"Market Rent Detail";#N/A,#N/A,FALSE,"Effective Rental Income Detail";#N/A,#N/A,FALSE,"Cash Flow Projections";#N/A,#N/A,FALSE,"Net Residual Value"}</definedName>
    <definedName name="wrn.villages._2_3" localSheetId="7" hidden="1">{#N/A,#N/A,FALSE,"Exec Sum 10Yr";#N/A,#N/A,FALSE,"Assumptions";#N/A,#N/A,FALSE,"Operating Stmts";#N/A,#N/A,FALSE,"Year One Pro Forma";#N/A,#N/A,FALSE,"Rent Roll Summary";#N/A,#N/A,FALSE,"Market Rent Detail";#N/A,#N/A,FALSE,"Effective Rental Income Detail";#N/A,#N/A,FALSE,"Cash Flow Projections";#N/A,#N/A,FALSE,"Net Residual Value"}</definedName>
    <definedName name="wrn.villages._2_3" hidden="1">{#N/A,#N/A,FALSE,"Exec Sum 10Yr";#N/A,#N/A,FALSE,"Assumptions";#N/A,#N/A,FALSE,"Operating Stmts";#N/A,#N/A,FALSE,"Year One Pro Forma";#N/A,#N/A,FALSE,"Rent Roll Summary";#N/A,#N/A,FALSE,"Market Rent Detail";#N/A,#N/A,FALSE,"Effective Rental Income Detail";#N/A,#N/A,FALSE,"Cash Flow Projections";#N/A,#N/A,FALSE,"Net Residual Value"}</definedName>
    <definedName name="wrn.villages._3" localSheetId="7" hidden="1">{#N/A,#N/A,FALSE,"Exec Sum 10Yr";#N/A,#N/A,FALSE,"Assumptions";#N/A,#N/A,FALSE,"Operating Stmts";#N/A,#N/A,FALSE,"Year One Pro Forma";#N/A,#N/A,FALSE,"Rent Roll Summary";#N/A,#N/A,FALSE,"Market Rent Detail";#N/A,#N/A,FALSE,"Effective Rental Income Detail";#N/A,#N/A,FALSE,"Cash Flow Projections";#N/A,#N/A,FALSE,"Net Residual Value"}</definedName>
    <definedName name="wrn.villages._3" hidden="1">{#N/A,#N/A,FALSE,"Exec Sum 10Yr";#N/A,#N/A,FALSE,"Assumptions";#N/A,#N/A,FALSE,"Operating Stmts";#N/A,#N/A,FALSE,"Year One Pro Forma";#N/A,#N/A,FALSE,"Rent Roll Summary";#N/A,#N/A,FALSE,"Market Rent Detail";#N/A,#N/A,FALSE,"Effective Rental Income Detail";#N/A,#N/A,FALSE,"Cash Flow Projections";#N/A,#N/A,FALSE,"Net Residual Value"}</definedName>
    <definedName name="wrn.villages._3_1" localSheetId="7" hidden="1">{#N/A,#N/A,FALSE,"Exec Sum 10Yr";#N/A,#N/A,FALSE,"Assumptions";#N/A,#N/A,FALSE,"Operating Stmts";#N/A,#N/A,FALSE,"Year One Pro Forma";#N/A,#N/A,FALSE,"Rent Roll Summary";#N/A,#N/A,FALSE,"Market Rent Detail";#N/A,#N/A,FALSE,"Effective Rental Income Detail";#N/A,#N/A,FALSE,"Cash Flow Projections";#N/A,#N/A,FALSE,"Net Residual Value"}</definedName>
    <definedName name="wrn.villages._3_1" hidden="1">{#N/A,#N/A,FALSE,"Exec Sum 10Yr";#N/A,#N/A,FALSE,"Assumptions";#N/A,#N/A,FALSE,"Operating Stmts";#N/A,#N/A,FALSE,"Year One Pro Forma";#N/A,#N/A,FALSE,"Rent Roll Summary";#N/A,#N/A,FALSE,"Market Rent Detail";#N/A,#N/A,FALSE,"Effective Rental Income Detail";#N/A,#N/A,FALSE,"Cash Flow Projections";#N/A,#N/A,FALSE,"Net Residual Value"}</definedName>
    <definedName name="wrn.villages._3_2" localSheetId="7" hidden="1">{#N/A,#N/A,FALSE,"Exec Sum 10Yr";#N/A,#N/A,FALSE,"Assumptions";#N/A,#N/A,FALSE,"Operating Stmts";#N/A,#N/A,FALSE,"Year One Pro Forma";#N/A,#N/A,FALSE,"Rent Roll Summary";#N/A,#N/A,FALSE,"Market Rent Detail";#N/A,#N/A,FALSE,"Effective Rental Income Detail";#N/A,#N/A,FALSE,"Cash Flow Projections";#N/A,#N/A,FALSE,"Net Residual Value"}</definedName>
    <definedName name="wrn.villages._3_2" hidden="1">{#N/A,#N/A,FALSE,"Exec Sum 10Yr";#N/A,#N/A,FALSE,"Assumptions";#N/A,#N/A,FALSE,"Operating Stmts";#N/A,#N/A,FALSE,"Year One Pro Forma";#N/A,#N/A,FALSE,"Rent Roll Summary";#N/A,#N/A,FALSE,"Market Rent Detail";#N/A,#N/A,FALSE,"Effective Rental Income Detail";#N/A,#N/A,FALSE,"Cash Flow Projections";#N/A,#N/A,FALSE,"Net Residual Value"}</definedName>
    <definedName name="wrn.villages._3_3" localSheetId="7" hidden="1">{#N/A,#N/A,FALSE,"Exec Sum 10Yr";#N/A,#N/A,FALSE,"Assumptions";#N/A,#N/A,FALSE,"Operating Stmts";#N/A,#N/A,FALSE,"Year One Pro Forma";#N/A,#N/A,FALSE,"Rent Roll Summary";#N/A,#N/A,FALSE,"Market Rent Detail";#N/A,#N/A,FALSE,"Effective Rental Income Detail";#N/A,#N/A,FALSE,"Cash Flow Projections";#N/A,#N/A,FALSE,"Net Residual Value"}</definedName>
    <definedName name="wrn.villages._3_3" hidden="1">{#N/A,#N/A,FALSE,"Exec Sum 10Yr";#N/A,#N/A,FALSE,"Assumptions";#N/A,#N/A,FALSE,"Operating Stmts";#N/A,#N/A,FALSE,"Year One Pro Forma";#N/A,#N/A,FALSE,"Rent Roll Summary";#N/A,#N/A,FALSE,"Market Rent Detail";#N/A,#N/A,FALSE,"Effective Rental Income Detail";#N/A,#N/A,FALSE,"Cash Flow Projections";#N/A,#N/A,FALSE,"Net Residual Value"}</definedName>
    <definedName name="wrn.villages._4" localSheetId="7" hidden="1">{#N/A,#N/A,FALSE,"Exec Sum 10Yr";#N/A,#N/A,FALSE,"Assumptions";#N/A,#N/A,FALSE,"Operating Stmts";#N/A,#N/A,FALSE,"Year One Pro Forma";#N/A,#N/A,FALSE,"Rent Roll Summary";#N/A,#N/A,FALSE,"Market Rent Detail";#N/A,#N/A,FALSE,"Effective Rental Income Detail";#N/A,#N/A,FALSE,"Cash Flow Projections";#N/A,#N/A,FALSE,"Net Residual Value"}</definedName>
    <definedName name="wrn.villages._4" hidden="1">{#N/A,#N/A,FALSE,"Exec Sum 10Yr";#N/A,#N/A,FALSE,"Assumptions";#N/A,#N/A,FALSE,"Operating Stmts";#N/A,#N/A,FALSE,"Year One Pro Forma";#N/A,#N/A,FALSE,"Rent Roll Summary";#N/A,#N/A,FALSE,"Market Rent Detail";#N/A,#N/A,FALSE,"Effective Rental Income Detail";#N/A,#N/A,FALSE,"Cash Flow Projections";#N/A,#N/A,FALSE,"Net Residual Value"}</definedName>
    <definedName name="wrn.villages._5" localSheetId="7" hidden="1">{#N/A,#N/A,FALSE,"Exec Sum 10Yr";#N/A,#N/A,FALSE,"Assumptions";#N/A,#N/A,FALSE,"Operating Stmts";#N/A,#N/A,FALSE,"Year One Pro Forma";#N/A,#N/A,FALSE,"Rent Roll Summary";#N/A,#N/A,FALSE,"Market Rent Detail";#N/A,#N/A,FALSE,"Effective Rental Income Detail";#N/A,#N/A,FALSE,"Cash Flow Projections";#N/A,#N/A,FALSE,"Net Residual Value"}</definedName>
    <definedName name="wrn.villages._5" hidden="1">{#N/A,#N/A,FALSE,"Exec Sum 10Yr";#N/A,#N/A,FALSE,"Assumptions";#N/A,#N/A,FALSE,"Operating Stmts";#N/A,#N/A,FALSE,"Year One Pro Forma";#N/A,#N/A,FALSE,"Rent Roll Summary";#N/A,#N/A,FALSE,"Market Rent Detail";#N/A,#N/A,FALSE,"Effective Rental Income Detail";#N/A,#N/A,FALSE,"Cash Flow Projections";#N/A,#N/A,FALSE,"Net Residual Value"}</definedName>
    <definedName name="wrn.Vorstand." localSheetId="7" hidden="1">{#N/A,#N/A,FALSE,"Report 2";#N/A,#N/A,FALSE,"Report 3";#N/A,#N/A,FALSE,"Report 4";#N/A,#N/A,FALSE,"Actual-Budget (per)";#N/A,#N/A,FALSE,"Actual-Budget (kum)";#N/A,#N/A,FALSE,"Comparison YTD";#N/A,#N/A,FALSE,"Summary";#N/A,#N/A,FALSE,"Aktiv";#N/A,#N/A,FALSE,"Passiv";#N/A,#N/A,FALSE,"peiodisch1";#N/A,#N/A,FALSE,"periodisch2";#N/A,#N/A,FALSE,"Finale1";#N/A,#N/A,FALSE,"Finale2";#N/A,#N/A,FALSE,"D-Bestand";#N/A,#N/A,FALSE,"D-Zins";#N/A,#N/A,FALSE,"Fil_A_Bestand";#N/A,#N/A,FALSE,"Fil_A_D-Zins";#N/A,#N/A,FALSE,"Fil_A_Zins";#N/A,#N/A,FALSE,"Fil_P_Bestand";#N/A,#N/A,FALSE,"Fil_P_Neu";#N/A,#N/A,FALSE,"Fil_P_Zins";#N/A,#N/A,FALSE,"Report 5";#N/A,#N/A,FALSE,"EWB-2";#N/A,#N/A,FALSE,"EWB";#N/A,#N/A,FALSE,"Headcount";#N/A,#N/A,FALSE,"Headcount2";#N/A,#N/A,FALSE,"Investitionsgüter"}</definedName>
    <definedName name="wrn.Vorstand." hidden="1">{#N/A,#N/A,FALSE,"Report 2";#N/A,#N/A,FALSE,"Report 3";#N/A,#N/A,FALSE,"Report 4";#N/A,#N/A,FALSE,"Actual-Budget (per)";#N/A,#N/A,FALSE,"Actual-Budget (kum)";#N/A,#N/A,FALSE,"Comparison YTD";#N/A,#N/A,FALSE,"Summary";#N/A,#N/A,FALSE,"Aktiv";#N/A,#N/A,FALSE,"Passiv";#N/A,#N/A,FALSE,"peiodisch1";#N/A,#N/A,FALSE,"periodisch2";#N/A,#N/A,FALSE,"Finale1";#N/A,#N/A,FALSE,"Finale2";#N/A,#N/A,FALSE,"D-Bestand";#N/A,#N/A,FALSE,"D-Zins";#N/A,#N/A,FALSE,"Fil_A_Bestand";#N/A,#N/A,FALSE,"Fil_A_D-Zins";#N/A,#N/A,FALSE,"Fil_A_Zins";#N/A,#N/A,FALSE,"Fil_P_Bestand";#N/A,#N/A,FALSE,"Fil_P_Neu";#N/A,#N/A,FALSE,"Fil_P_Zins";#N/A,#N/A,FALSE,"Report 5";#N/A,#N/A,FALSE,"EWB-2";#N/A,#N/A,FALSE,"EWB";#N/A,#N/A,FALSE,"Headcount";#N/A,#N/A,FALSE,"Headcount2";#N/A,#N/A,FALSE,"Investitionsgüter"}</definedName>
    <definedName name="wrn.WCC." localSheetId="7" hidden="1">{#N/A,#N/A,FALSE,"9Pricing Matrix";#N/A,#N/A,FALSE,"3Cash Flow";#N/A,#N/A,FALSE,"5Residual";#N/A,#N/A,FALSE,"8Residual Sensitivity";#N/A,#N/A,FALSE,"10Vacancy Matrix";#N/A,#N/A,FALSE,"11Expiration Schedule";#N/A,#N/A,FALSE,"12Lease-up Schedule";#N/A,#N/A,FALSE,"I&amp;E";#N/A,#N/A,FALSE,"Tax_Analysis"}</definedName>
    <definedName name="wrn.WCC." hidden="1">{#N/A,#N/A,FALSE,"9Pricing Matrix";#N/A,#N/A,FALSE,"3Cash Flow";#N/A,#N/A,FALSE,"5Residual";#N/A,#N/A,FALSE,"8Residual Sensitivity";#N/A,#N/A,FALSE,"10Vacancy Matrix";#N/A,#N/A,FALSE,"11Expiration Schedule";#N/A,#N/A,FALSE,"12Lease-up Schedule";#N/A,#N/A,FALSE,"I&amp;E";#N/A,#N/A,FALSE,"Tax_Analysis"}</definedName>
    <definedName name="wrn.weekly." localSheetId="7" hidden="1">{#N/A,#N/A,FALSE,"Large Operators";#N/A,#N/A,FALSE,"Smaller Operators";#N/A,#N/A,FALSE,"Equip. Supply";#N/A,#N/A,FALSE,"EBITDA";#N/A,#N/A,FALSE,"perform"}</definedName>
    <definedName name="wrn.weekly." hidden="1">{#N/A,#N/A,FALSE,"Large Operators";#N/A,#N/A,FALSE,"Smaller Operators";#N/A,#N/A,FALSE,"Equip. Supply";#N/A,#N/A,FALSE,"EBITDA";#N/A,#N/A,FALSE,"perform"}</definedName>
    <definedName name="wrn.Weißrock." localSheetId="7" hidden="1">{#N/A,#N/A,FALSE,"Finale1";#N/A,#N/A,FALSE,"Finale2";#N/A,#N/A,FALSE,"peiodisch1";#N/A,#N/A,FALSE,"periodisch2";#N/A,#N/A,FALSE,"Aktiv";#N/A,#N/A,FALSE,"Passiv";#N/A,#N/A,FALSE,"D-Bestand";#N/A,#N/A,FALSE,"D-Zins"}</definedName>
    <definedName name="wrn.Weißrock." hidden="1">{#N/A,#N/A,FALSE,"Finale1";#N/A,#N/A,FALSE,"Finale2";#N/A,#N/A,FALSE,"peiodisch1";#N/A,#N/A,FALSE,"periodisch2";#N/A,#N/A,FALSE,"Aktiv";#N/A,#N/A,FALSE,"Passiv";#N/A,#N/A,FALSE,"D-Bestand";#N/A,#N/A,FALSE,"D-Zins"}</definedName>
    <definedName name="wrn.whole._.document." localSheetId="7" hidden="1">{"page 1",#N/A,FALSE,"A";"page 2",#N/A,FALSE,"A";"page 3",#N/A,FALSE,"A";"page 4",#N/A,FALSE,"A";"page 5",#N/A,FALSE,"A";"page 6",#N/A,FALSE,"A";"page 7",#N/A,FALSE,"A";"page 8",#N/A,FALSE,"A";"page 9",#N/A,FALSE,"A";"page 10",#N/A,FALSE,"A";"page 11",#N/A,FALSE,"A";"page 12",#N/A,FALSE,"A";"page 13",#N/A,FALSE,"A";"page 14",#N/A,FALSE,"A"}</definedName>
    <definedName name="wrn.whole._.document." hidden="1">{"page 1",#N/A,FALSE,"A";"page 2",#N/A,FALSE,"A";"page 3",#N/A,FALSE,"A";"page 4",#N/A,FALSE,"A";"page 5",#N/A,FALSE,"A";"page 6",#N/A,FALSE,"A";"page 7",#N/A,FALSE,"A";"page 8",#N/A,FALSE,"A";"page 9",#N/A,FALSE,"A";"page 10",#N/A,FALSE,"A";"page 11",#N/A,FALSE,"A";"page 12",#N/A,FALSE,"A";"page 13",#N/A,FALSE,"A";"page 14",#N/A,FALSE,"A"}</definedName>
    <definedName name="wrn.WholeShabang." localSheetId="7" hidden="1">{"QIncStmt",#N/A,FALSE,"Quarter Inc St";"QGrthNMrgn",#N/A,FALSE,"Quarter Inc St";"SummIncStmt",#N/A,FALSE,"Income Statement";"BalanceSheet",#N/A,FALSE,"Balance Sheet";"SumCashFlow",#N/A,FALSE,"Sum Cash Flow";"DCFProjections",#N/A,FALSE,"DCF Projections";"CalcWorksheet",#N/A,FALSE,"Calc Wksht New";"DCFPresent Value",#N/A,FALSE,"DCF1";"FutureSharePrices",#N/A,FALSE,"Future Share Prices";"AVP",#N/A,FALSE,"AVP";"PV of Future Prices",#N/A,FALSE,"Fut Share Price - New EPS"}</definedName>
    <definedName name="wrn.WholeShabang." hidden="1">{"QIncStmt",#N/A,FALSE,"Quarter Inc St";"QGrthNMrgn",#N/A,FALSE,"Quarter Inc St";"SummIncStmt",#N/A,FALSE,"Income Statement";"BalanceSheet",#N/A,FALSE,"Balance Sheet";"SumCashFlow",#N/A,FALSE,"Sum Cash Flow";"DCFProjections",#N/A,FALSE,"DCF Projections";"CalcWorksheet",#N/A,FALSE,"Calc Wksht New";"DCFPresent Value",#N/A,FALSE,"DCF1";"FutureSharePrices",#N/A,FALSE,"Future Share Prices";"AVP",#N/A,FALSE,"AVP";"PV of Future Prices",#N/A,FALSE,"Fut Share Price - New EPS"}</definedName>
    <definedName name="wrn.wicor." localSheetId="7" hidden="1">{#N/A,#N/A,FALSE,"FACTSHEETS";#N/A,#N/A,FALSE,"pump";#N/A,#N/A,FALSE,"filter"}</definedName>
    <definedName name="wrn.wicor." hidden="1">{#N/A,#N/A,FALSE,"FACTSHEETS";#N/A,#N/A,FALSE,"pump";#N/A,#N/A,FALSE,"filter"}</definedName>
    <definedName name="wrn.Worcester._.Model._._._.Full." localSheetId="7" hidden="1">{"Title",#N/A,TRUE,"Title";"Assumptions",#N/A,TRUE,"Assumptions";"Cash Flow",#N/A,TRUE,"Cash Flow";"Profit and Loss",#N/A,TRUE,"Profit and Loss";"Balance Sheet",#N/A,TRUE,"Balance Sheet";"Operating Expenditure",#N/A,TRUE,"Operational Expenditure";"Preoperating Expenditure",#N/A,TRUE,"Pre-operating Expenditure";"Revenue",#N/A,TRUE,"Revenue";"Senior Debt",#N/A,TRUE,"Senior Debt";"Subordinated Debt",#N/A,TRUE,"Subordinated Debt";"Debt Service",#N/A,TRUE,"Debt Service";"Depreciation",#N/A,TRUE,"Depreciation charges";"Taxation",#N/A,TRUE,"Taxation";"Dividends",#N/A,TRUE,"Dividends";"Inputs",#N/A,TRUE,"Inputs"}</definedName>
    <definedName name="wrn.Worcester._.Model._._._.Full." hidden="1">{"Title",#N/A,TRUE,"Title";"Assumptions",#N/A,TRUE,"Assumptions";"Cash Flow",#N/A,TRUE,"Cash Flow";"Profit and Loss",#N/A,TRUE,"Profit and Loss";"Balance Sheet",#N/A,TRUE,"Balance Sheet";"Operating Expenditure",#N/A,TRUE,"Operational Expenditure";"Preoperating Expenditure",#N/A,TRUE,"Pre-operating Expenditure";"Revenue",#N/A,TRUE,"Revenue";"Senior Debt",#N/A,TRUE,"Senior Debt";"Subordinated Debt",#N/A,TRUE,"Subordinated Debt";"Debt Service",#N/A,TRUE,"Debt Service";"Depreciation",#N/A,TRUE,"Depreciation charges";"Taxation",#N/A,TRUE,"Taxation";"Dividends",#N/A,TRUE,"Dividends";"Inputs",#N/A,TRUE,"Inputs"}</definedName>
    <definedName name="wrn.Working._.Party._.List." localSheetId="7" hidden="1">{#N/A,#N/A,FALSE,"Working List"}</definedName>
    <definedName name="wrn.Working._.Party._.List." hidden="1">{#N/A,#N/A,FALSE,"Working List"}</definedName>
    <definedName name="wrn.Wovenhearts." localSheetId="7" hidden="1">{"One",#N/A,FALSE,"Wovenhearts";"Two",#N/A,FALSE,"Wovenhearts";"Three",#N/A,FALSE,"Wovenhearts";"Four",#N/A,FALSE,"Wovenhearts";"Five",#N/A,FALSE,"Wovenhearts"}</definedName>
    <definedName name="wrn.Wovenhearts." hidden="1">{"One",#N/A,FALSE,"Wovenhearts";"Two",#N/A,FALSE,"Wovenhearts";"Three",#N/A,FALSE,"Wovenhearts";"Four",#N/A,FALSE,"Wovenhearts";"Five",#N/A,FALSE,"Wovenhearts"}</definedName>
    <definedName name="wrn.Wynwood." localSheetId="7" hidden="1">{"One",#N/A,FALSE,"Wynwood";"Two",#N/A,FALSE,"Wynwood";"Three",#N/A,FALSE,"Wynwood";"Four",#N/A,FALSE,"Wynwood";"Five",#N/A,FALSE,"Wynwood"}</definedName>
    <definedName name="wrn.Wynwood." hidden="1">{"One",#N/A,FALSE,"Wynwood";"Two",#N/A,FALSE,"Wynwood";"Three",#N/A,FALSE,"Wynwood";"Four",#N/A,FALSE,"Wynwood";"Five",#N/A,FALSE,"Wynwood"}</definedName>
    <definedName name="wrn.XL._.DTR." localSheetId="7" hidden="1">{#N/A,#N/A,TRUE,"XL Cash Flow";#N/A,#N/A,TRUE,"Prop Valuation";#N/A,#N/A,TRUE,"Equity";#N/A,#N/A,TRUE,"Modeling assumptions";#N/A,#N/A,TRUE,"NER Model";#N/A,#N/A,TRUE,"Lease Exp";#N/A,#N/A,TRUE,"Inc &amp; Exp";#N/A,#N/A,TRUE,"Formatted - roll";#N/A,#N/A,TRUE,"Debt Model";#N/A,#N/A,TRUE,"Debt-Moody";#N/A,#N/A,TRUE,"Debt"}</definedName>
    <definedName name="wrn.XL._.DTR." hidden="1">{#N/A,#N/A,TRUE,"XL Cash Flow";#N/A,#N/A,TRUE,"Prop Valuation";#N/A,#N/A,TRUE,"Equity";#N/A,#N/A,TRUE,"Modeling assumptions";#N/A,#N/A,TRUE,"NER Model";#N/A,#N/A,TRUE,"Lease Exp";#N/A,#N/A,TRUE,"Inc &amp; Exp";#N/A,#N/A,TRUE,"Formatted - roll";#N/A,#N/A,TRUE,"Debt Model";#N/A,#N/A,TRUE,"Debt-Moody";#N/A,#N/A,TRUE,"Debt"}</definedName>
    <definedName name="wrn.Year._.End._.APF._.reports." localSheetId="7" hidden="1">{#N/A,#N/A,FALSE,"Summary";#N/A,#N/A,FALSE,"CVI04";#N/A,#N/A,FALSE,"REG04";#N/A,#N/A,FALSE,"HAL04";#N/A,#N/A,FALSE,"WPL04";#N/A,#N/A,FALSE,"RPL04";#N/A,#N/A,FALSE,"GVA04";#N/A,#N/A,FALSE,"LRJKL04";#N/A,#N/A,FALSE,"RGW04";#N/A,#N/A,FALSE,"RHL04sum ";#N/A,#N/A,FALSE,"WPM04sum"}</definedName>
    <definedName name="wrn.Year._.End._.APF._.reports." hidden="1">{#N/A,#N/A,FALSE,"Summary";#N/A,#N/A,FALSE,"CVI04";#N/A,#N/A,FALSE,"REG04";#N/A,#N/A,FALSE,"HAL04";#N/A,#N/A,FALSE,"WPL04";#N/A,#N/A,FALSE,"RPL04";#N/A,#N/A,FALSE,"GVA04";#N/A,#N/A,FALSE,"LRJKL04";#N/A,#N/A,FALSE,"RGW04";#N/A,#N/A,FALSE,"RHL04sum ";#N/A,#N/A,FALSE,"WPM04sum"}</definedName>
    <definedName name="wrn.Yearly." localSheetId="7" hidden="1">{"One",#N/A,FALSE,"Yearly"}</definedName>
    <definedName name="wrn.Yearly." hidden="1">{"One",#N/A,FALSE,"Yearly"}</definedName>
    <definedName name="wrn.yeild._.graph.1" localSheetId="7" hidden="1">{#N/A,#N/A,FALSE,"Yield Graph"}</definedName>
    <definedName name="wrn.yeild._.graph.1" hidden="1">{#N/A,#N/A,FALSE,"Yield Graph"}</definedName>
    <definedName name="wrn.Yield._.Graph." localSheetId="7" hidden="1">{#N/A,#N/A,FALSE,"Yield Graph"}</definedName>
    <definedName name="wrn.Yield._.Graph." hidden="1">{#N/A,#N/A,FALSE,"Yield Graph"}</definedName>
    <definedName name="wrn.Yield._.Graph._.plus._.Input." localSheetId="7" hidden="1">{#N/A,#N/A,FALSE,"Yield Graph";#N/A,#N/A,FALSE,"Rent Roll";#N/A,#N/A,FALSE,"OE Yr1";#N/A,#N/A,FALSE,"Repl.Cst.+Ins."}</definedName>
    <definedName name="wrn.Yield._.Graph._.plus._.Input." hidden="1">{#N/A,#N/A,FALSE,"Yield Graph";#N/A,#N/A,FALSE,"Rent Roll";#N/A,#N/A,FALSE,"OE Yr1";#N/A,#N/A,FALSE,"Repl.Cst.+Ins."}</definedName>
    <definedName name="wrn.Zinsen." localSheetId="7" hidden="1">{#N/A,#N/A,FALSE,"peiodisch1";#N/A,#N/A,FALSE,"D-Bestand";#N/A,#N/A,FALSE,"D-Zins"}</definedName>
    <definedName name="wrn.Zinsen." hidden="1">{#N/A,#N/A,FALSE,"peiodisch1";#N/A,#N/A,FALSE,"D-Bestand";#N/A,#N/A,FALSE,"D-Zins"}</definedName>
    <definedName name="wrn.ZML123._.Financial._.Summaries." localSheetId="7" hidden="1">{#N/A,#N/A,FALSE,"ZM3 FinSummary";#N/A,#N/A,FALSE,"ZM2 FinSummary";#N/A,#N/A,FALSE,"ZM1 FinSummary"}</definedName>
    <definedName name="wrn.ZML123._.Financial._.Summaries." hidden="1">{#N/A,#N/A,FALSE,"ZM3 FinSummary";#N/A,#N/A,FALSE,"ZM2 FinSummary";#N/A,#N/A,FALSE,"ZM1 FinSummary"}</definedName>
    <definedName name="wrn.テスト." localSheetId="7" hidden="1">{"賃貸事例比較法",#N/A,FALSE,"Sheet2";"賃貸条件",#N/A,FALSE,"Sheet2"}</definedName>
    <definedName name="wrn.テスト." hidden="1">{"賃貸事例比較法",#N/A,FALSE,"Sheet2";"賃貸条件",#N/A,FALSE,"Sheet2"}</definedName>
    <definedName name="wrnpkg" localSheetId="7" hidden="1">{#N/A,#N/A,FALSE,"Income Stmt";#N/A,#N/A,FALSE,"Income Summary"}</definedName>
    <definedName name="wrnpkg" hidden="1">{#N/A,#N/A,FALSE,"Income Stmt";#N/A,#N/A,FALSE,"Income Summary"}</definedName>
    <definedName name="wrnpkgs" localSheetId="7" hidden="1">{#N/A,#N/A,FALSE,"Income Stmt";#N/A,#N/A,FALSE,"Income Summary"}</definedName>
    <definedName name="wrnpkgs" hidden="1">{#N/A,#N/A,FALSE,"Income Stmt";#N/A,#N/A,FALSE,"Income Summary"}</definedName>
    <definedName name="wrnprintall2" localSheetId="7" hidden="1">{"Main",#N/A,FALSE,"Wacker";"Main2",#N/A,FALSE,"Wacker";"Value",#N/A,FALSE,"Wacker";"Sensitivity",#N/A,FALSE,"Wacker";"Paine",#N/A,FALSE,"Wacker";"Quaker",#N/A,FALSE,"Wacker";"Wacker",#N/A,FALSE,"Wacker";"1900",#N/A,FALSE,"Wacker";"1901",#N/A,FALSE,"Wacker"}</definedName>
    <definedName name="wrnprintall2" hidden="1">{"Main",#N/A,FALSE,"Wacker";"Main2",#N/A,FALSE,"Wacker";"Value",#N/A,FALSE,"Wacker";"Sensitivity",#N/A,FALSE,"Wacker";"Paine",#N/A,FALSE,"Wacker";"Quaker",#N/A,FALSE,"Wacker";"Wacker",#N/A,FALSE,"Wacker";"1900",#N/A,FALSE,"Wacker";"1901",#N/A,FALSE,"Wacker"}</definedName>
    <definedName name="wrnprintallb2" localSheetId="7" hidden="1">{"Main",#N/A,FALSE,"Wacker";"Main2",#N/A,FALSE,"Wacker";"Value",#N/A,FALSE,"Wacker";"Sensitivity",#N/A,FALSE,"Wacker";"Paine",#N/A,FALSE,"Wacker";"Quaker",#N/A,FALSE,"Wacker";"Wacker",#N/A,FALSE,"Wacker";"1900",#N/A,FALSE,"Wacker";"1901",#N/A,FALSE,"Wacker"}</definedName>
    <definedName name="wrnprintallb2" hidden="1">{"Main",#N/A,FALSE,"Wacker";"Main2",#N/A,FALSE,"Wacker";"Value",#N/A,FALSE,"Wacker";"Sensitivity",#N/A,FALSE,"Wacker";"Paine",#N/A,FALSE,"Wacker";"Quaker",#N/A,FALSE,"Wacker";"Wacker",#N/A,FALSE,"Wacker";"1900",#N/A,FALSE,"Wacker";"1901",#N/A,FALSE,"Wacker"}</definedName>
    <definedName name="ws" localSheetId="7" hidden="1">{#N/A,#N/A,FALSE,"9Pricing Matrix";#N/A,#N/A,FALSE,"1Summary";#N/A,#N/A,FALSE,"2Assumptions";#N/A,#N/A,FALSE,"3Cash Flow";#N/A,#N/A,FALSE,"5Residual";#N/A,#N/A,FALSE,"Occupancy Cost";#N/A,#N/A,FALSE,"7Financing Sensitivity";#N/A,#N/A,FALSE,"8Residual Sensitivity";#N/A,#N/A,FALSE,"10Vacancy Matrix";#N/A,#N/A,FALSE,"11Expiration Schedule";#N/A,#N/A,FALSE,"12Lease-up Schedule";#N/A,#N/A,FALSE,"OFS-Lease-up Schedule";#N/A,#N/A,FALSE,"Short Holds"}</definedName>
    <definedName name="ws" hidden="1">{#N/A,#N/A,FALSE,"9Pricing Matrix";#N/A,#N/A,FALSE,"1Summary";#N/A,#N/A,FALSE,"2Assumptions";#N/A,#N/A,FALSE,"3Cash Flow";#N/A,#N/A,FALSE,"5Residual";#N/A,#N/A,FALSE,"Occupancy Cost";#N/A,#N/A,FALSE,"7Financing Sensitivity";#N/A,#N/A,FALSE,"8Residual Sensitivity";#N/A,#N/A,FALSE,"10Vacancy Matrix";#N/A,#N/A,FALSE,"11Expiration Schedule";#N/A,#N/A,FALSE,"12Lease-up Schedule";#N/A,#N/A,FALSE,"OFS-Lease-up Schedule";#N/A,#N/A,FALSE,"Short Holds"}</definedName>
    <definedName name="wvu.Détails." localSheetId="7" hidden="1">{TRUE,TRUE,-1.25,-15.5,604.5,366.75,FALSE,TRUE,TRUE,TRUE,0,1,#N/A,1,#N/A,6.54838709677419,31.3076923076923,1,FALSE,FALSE,3,TRUE,1,FALSE,75,"Swvu.Détails.","ACwvu.Détails.",#N/A,FALSE,FALSE,0.15748031496063,0.15748031496063,0.748031496062992,0.511811023622047,2,"&amp;C&amp;""Arial,Gras""&amp;20DISNEY  -  PRODUCTION  BUDGET&amp;R&amp;""Arial,Gras""&amp;20SUMMARY","&amp;L&amp;F  -  &amp;A&amp;C&amp;""Arial,Gras""&amp;D&amp;""Arial,Normal""  -  &amp;T&amp;RPage
",TRUE,TRUE,FALSE,TRUE,1,#N/A,1,1,"=R1C1:R60C24","=R1:R5",#N/A,#N/A,FALSE,FALSE,FALSE,5,65532,65532,FALSE,FALSE,TRUE,TRUE,TRUE}</definedName>
    <definedName name="wvu.Détails." hidden="1">{TRUE,TRUE,-1.25,-15.5,604.5,366.75,FALSE,TRUE,TRUE,TRUE,0,1,#N/A,1,#N/A,6.54838709677419,31.3076923076923,1,FALSE,FALSE,3,TRUE,1,FALSE,75,"Swvu.Détails.","ACwvu.Détails.",#N/A,FALSE,FALSE,0.15748031496063,0.15748031496063,0.748031496062992,0.511811023622047,2,"&amp;C&amp;""Arial,Gras""&amp;20DISNEY  -  PRODUCTION  BUDGET&amp;R&amp;""Arial,Gras""&amp;20SUMMARY","&amp;L&amp;F  -  &amp;A&amp;C&amp;""Arial,Gras""&amp;D&amp;""Arial,Normal""  -  &amp;T&amp;RPage
",TRUE,TRUE,FALSE,TRUE,1,#N/A,1,1,"=R1C1:R60C24","=R1:R5",#N/A,#N/A,FALSE,FALSE,FALSE,5,65532,65532,FALSE,FALSE,TRUE,TRUE,TRUE}</definedName>
    <definedName name="wvu.Escalation._.Table." localSheetId="7" hidden="1">{TRUE,TRUE,-1.25,-15.5,484.5,276.75,FALSE,TRUE,TRUE,TRUE,0,14,#N/A,20,#N/A,6.39784946236559,14.6190476190476,1,FALSE,FALSE,3,TRUE,1,FALSE,100,"Swvu.Escalation._.Table.","ACwvu.Escalation._.Table.",#N/A,FALSE,FALSE,0.51,0.5,0.5,1,2,"","",FALSE,FALSE,FALSE,FALSE,1,#N/A,1,3,FALSE,FALSE,#N/A,#N/A,FALSE,FALSE,FALSE,5,65532,300,FALSE,FALSE,TRUE,TRUE,TRUE}</definedName>
    <definedName name="wvu.Escalation._.Table." hidden="1">{TRUE,TRUE,-1.25,-15.5,484.5,276.75,FALSE,TRUE,TRUE,TRUE,0,14,#N/A,20,#N/A,6.39784946236559,14.6190476190476,1,FALSE,FALSE,3,TRUE,1,FALSE,100,"Swvu.Escalation._.Table.","ACwvu.Escalation._.Table.",#N/A,FALSE,FALSE,0.51,0.5,0.5,1,2,"","",FALSE,FALSE,FALSE,FALSE,1,#N/A,1,3,FALSE,FALSE,#N/A,#N/A,FALSE,FALSE,FALSE,5,65532,300,FALSE,FALSE,TRUE,TRUE,TRUE}</definedName>
    <definedName name="wvu.inputs._.raw._.data." localSheetId="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hidden="1">{TRUE,TRUE,-1.25,-15.5,604.5,369,FALSE,FALSE,TRUE,TRUE,0,1,83,1,38,4,5,4,TRUE,TRUE,3,TRUE,1,TRUE,75,"Swvu.inputs._.raw._.data.","ACwvu.inputs._.raw._.data.",#N/A,FALSE,FALSE,0.5,0.5,0.5,0.5,2,"&amp;F","&amp;A&amp;RPage &amp;P",FALSE,FALSE,FALSE,FALSE,1,60,#N/A,#N/A,"=R1C61:R53C89","=C1:C5",#N/A,#N/A,FALSE,FALSE,FALSE,1,600,600,FALSE,FALSE,TRUE,TRUE,TRUE}</definedName>
    <definedName name="wvu.Sommaire." localSheetId="7" hidden="1">{TRUE,TRUE,-1.25,-15.5,604.5,366.75,FALSE,TRUE,TRUE,TRUE,0,1,2,1,6,1,5,4,TRUE,TRUE,3,TRUE,1,TRUE,75,"Swvu.Sommaire.","ACwvu.Sommaire.",#N/A,FALSE,FALSE,0.15748031496063,0.15748031496063,0.748031496062992,0.511811023622047,2,"&amp;C&amp;""Arial,Gras""&amp;20DISNEY  -  PRODUCTION  BUDGET&amp;R&amp;""Arial,Gras""&amp;20SUMMARY","&amp;L&amp;F  -  &amp;A&amp;C&amp;""Arial,Gras""&amp;D&amp;""Arial,Normal""  -  &amp;T&amp;RPage
",TRUE,TRUE,FALSE,TRUE,1,#N/A,1,1,"=R1C1:R60C24","=R1:R5","Rwvu.Sommaire.",#N/A,FALSE,FALSE,FALSE,5,65532,65532,FALSE,FALSE,TRUE,TRUE,TRUE}</definedName>
    <definedName name="wvu.Sommaire." hidden="1">{TRUE,TRUE,-1.25,-15.5,604.5,366.75,FALSE,TRUE,TRUE,TRUE,0,1,2,1,6,1,5,4,TRUE,TRUE,3,TRUE,1,TRUE,75,"Swvu.Sommaire.","ACwvu.Sommaire.",#N/A,FALSE,FALSE,0.15748031496063,0.15748031496063,0.748031496062992,0.511811023622047,2,"&amp;C&amp;""Arial,Gras""&amp;20DISNEY  -  PRODUCTION  BUDGET&amp;R&amp;""Arial,Gras""&amp;20SUMMARY","&amp;L&amp;F  -  &amp;A&amp;C&amp;""Arial,Gras""&amp;D&amp;""Arial,Normal""  -  &amp;T&amp;RPage
",TRUE,TRUE,FALSE,TRUE,1,#N/A,1,1,"=R1C1:R60C24","=R1:R5","Rwvu.Sommaire.",#N/A,FALSE,FALSE,FALSE,5,65532,65532,FALSE,FALSE,TRUE,TRUE,TRUE}</definedName>
    <definedName name="wvu.summary1." localSheetId="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localSheetId="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localSheetId="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w" localSheetId="7" hidden="1">{"Alles",#N/A,FALSE,"H A Ü"}</definedName>
    <definedName name="ww" hidden="1">{"Alles",#N/A,FALSE,"H A Ü"}</definedName>
    <definedName name="www" localSheetId="7" hidden="1">{"data",#N/A,FALSE,"INPUT"}</definedName>
    <definedName name="www" hidden="1">{"data",#N/A,FALSE,"INPUT"}</definedName>
    <definedName name="www11c" localSheetId="7" hidden="1">{#N/A,#N/A,FALSE,"Calculator"}</definedName>
    <definedName name="www11c" hidden="1">{#N/A,#N/A,FALSE,"Calculator"}</definedName>
    <definedName name="www1a" localSheetId="7" hidden="1">{#N/A,#N/A,FALSE,"Calculator"}</definedName>
    <definedName name="www1a" hidden="1">{#N/A,#N/A,FALSE,"Calculator"}</definedName>
    <definedName name="wwww" localSheetId="7" hidden="1">{#N/A,#N/A,FALSE,"Calculator"}</definedName>
    <definedName name="wwww" hidden="1">{#N/A,#N/A,FALSE,"Calculator"}</definedName>
    <definedName name="wwwww" localSheetId="7" hidden="1">{"HEITMAN COPY",#N/A,FALSE,"SCHEDULE A";"MINIMUM RENT",#N/A,FALSE,"SCHEDULES B &amp; C";"PERCENTAGE RENT",#N/A,FALSE,"SCHEDULES B &amp; C";#N/A,#N/A,FALSE,"SCHEDULE D";"SUMMARY SCHEDULE",#N/A,FALSE,"SCHEDULE E";#N/A,#N/A,FALSE,"SCHEDULE F";"SUMMARY SCHEDULE",#N/A,FALSE,"SCHEDULE H";"SUMMARY SCHEDULE",#N/A,FALSE,"SCHEDULE I";#N/A,#N/A,FALSE,"SCHEDULE J"}</definedName>
    <definedName name="wwwww" hidden="1">{"HEITMAN COPY",#N/A,FALSE,"SCHEDULE A";"MINIMUM RENT",#N/A,FALSE,"SCHEDULES B &amp; C";"PERCENTAGE RENT",#N/A,FALSE,"SCHEDULES B &amp; C";#N/A,#N/A,FALSE,"SCHEDULE D";"SUMMARY SCHEDULE",#N/A,FALSE,"SCHEDULE E";#N/A,#N/A,FALSE,"SCHEDULE F";"SUMMARY SCHEDULE",#N/A,FALSE,"SCHEDULE H";"SUMMARY SCHEDULE",#N/A,FALSE,"SCHEDULE I";#N/A,#N/A,FALSE,"SCHEDULE J"}</definedName>
    <definedName name="x" localSheetId="7" hidden="1">{"mgmt forecast",#N/A,FALSE,"Mgmt Forecast";"dcf table",#N/A,FALSE,"Mgmt Forecast";"sensitivity",#N/A,FALSE,"Mgmt Forecast";"table inputs",#N/A,FALSE,"Mgmt Forecast";"calculations",#N/A,FALSE,"Mgmt Forecast"}</definedName>
    <definedName name="x" hidden="1">{"mgmt forecast",#N/A,FALSE,"Mgmt Forecast";"dcf table",#N/A,FALSE,"Mgmt Forecast";"sensitivity",#N/A,FALSE,"Mgmt Forecast";"table inputs",#N/A,FALSE,"Mgmt Forecast";"calculations",#N/A,FALSE,"Mgmt Forecast"}</definedName>
    <definedName name="xcxzc" localSheetId="7" hidden="1">{"NOPCAPEVA",#N/A,FALSE,"Nopat";"FCFCSTAR",#N/A,FALSE,"FCFVAL";"EVAVL",#N/A,FALSE,"EVAVAL";"LEASE",#N/A,FALSE,"OpLease"}</definedName>
    <definedName name="xcxzc" hidden="1">{"NOPCAPEVA",#N/A,FALSE,"Nopat";"FCFCSTAR",#N/A,FALSE,"FCFVAL";"EVAVL",#N/A,FALSE,"EVAVAL";"LEASE",#N/A,FALSE,"OpLease"}</definedName>
    <definedName name="xp" hidden="1">#REF!</definedName>
    <definedName name="XRefColumnsCount" hidden="1">1</definedName>
    <definedName name="XRefCopyRangeCount" hidden="1">1</definedName>
    <definedName name="xs" hidden="1">#REF!</definedName>
    <definedName name="xx" hidden="1">#REF!</definedName>
    <definedName name="xxd" localSheetId="7" hidden="1">{#N/A,#N/A,FALSE,"Cashflow Analysis";#N/A,#N/A,FALSE,"Sensitivity Analysis";#N/A,#N/A,FALSE,"PV";#N/A,#N/A,FALSE,"Pro Forma"}</definedName>
    <definedName name="xxd" hidden="1">{#N/A,#N/A,FALSE,"Cashflow Analysis";#N/A,#N/A,FALSE,"Sensitivity Analysis";#N/A,#N/A,FALSE,"PV";#N/A,#N/A,FALSE,"Pro Forma"}</definedName>
    <definedName name="xxd.2" localSheetId="7" hidden="1">{#N/A,#N/A,FALSE,"Cashflow Analysis";#N/A,#N/A,FALSE,"Sensitivity Analysis";#N/A,#N/A,FALSE,"PV";#N/A,#N/A,FALSE,"Pro Forma"}</definedName>
    <definedName name="xxd.2" hidden="1">{#N/A,#N/A,FALSE,"Cashflow Analysis";#N/A,#N/A,FALSE,"Sensitivity Analysis";#N/A,#N/A,FALSE,"PV";#N/A,#N/A,FALSE,"Pro Forma"}</definedName>
    <definedName name="xxx" localSheetId="7" hidden="1">{"COM",#N/A,FALSE,"800 10th"}</definedName>
    <definedName name="xxx" hidden="1">{"COM",#N/A,FALSE,"800 10th"}</definedName>
    <definedName name="xxx3" localSheetId="7" hidden="1">{"AnnualRentRoll",#N/A,FALSE,"RentRoll"}</definedName>
    <definedName name="xxx3" hidden="1">{"AnnualRentRoll",#N/A,FALSE,"RentRoll"}</definedName>
    <definedName name="xxx4" localSheetId="7" hidden="1">{#N/A,#N/A,FALSE,"ExitStratigy"}</definedName>
    <definedName name="xxx4" hidden="1">{#N/A,#N/A,FALSE,"ExitStratigy"}</definedName>
    <definedName name="xxxx" localSheetId="7" hidden="1">{"mgmt forecast",#N/A,FALSE,"Mgmt Forecast";"dcf table",#N/A,FALSE,"Mgmt Forecast";"sensitivity",#N/A,FALSE,"Mgmt Forecast";"table inputs",#N/A,FALSE,"Mgmt Forecast";"calculations",#N/A,FALSE,"Mgmt Forecast"}</definedName>
    <definedName name="xxxx" hidden="1">{"mgmt forecast",#N/A,FALSE,"Mgmt Forecast";"dcf table",#N/A,FALSE,"Mgmt Forecast";"sensitivity",#N/A,FALSE,"Mgmt Forecast";"table inputs",#N/A,FALSE,"Mgmt Forecast";"calculations",#N/A,FALSE,"Mgmt Forecast"}</definedName>
    <definedName name="xyz" localSheetId="7" hidden="1">{#N/A,#N/A,TRUE,"XL Cash Flow";#N/A,#N/A,TRUE,"Prop Valuation";#N/A,#N/A,TRUE,"Equity";#N/A,#N/A,TRUE,"Modeling assumptions";#N/A,#N/A,TRUE,"NER Model";#N/A,#N/A,TRUE,"Lease Exp";#N/A,#N/A,TRUE,"Inc &amp; Exp";#N/A,#N/A,TRUE,"Formatted - roll";#N/A,#N/A,TRUE,"Debt Model";#N/A,#N/A,TRUE,"Debt-Moody";#N/A,#N/A,TRUE,"Debt"}</definedName>
    <definedName name="xyz" hidden="1">{#N/A,#N/A,TRUE,"XL Cash Flow";#N/A,#N/A,TRUE,"Prop Valuation";#N/A,#N/A,TRUE,"Equity";#N/A,#N/A,TRUE,"Modeling assumptions";#N/A,#N/A,TRUE,"NER Model";#N/A,#N/A,TRUE,"Lease Exp";#N/A,#N/A,TRUE,"Inc &amp; Exp";#N/A,#N/A,TRUE,"Formatted - roll";#N/A,#N/A,TRUE,"Debt Model";#N/A,#N/A,TRUE,"Debt-Moody";#N/A,#N/A,TRUE,"Debt"}</definedName>
    <definedName name="y" localSheetId="7" hidden="1">{"mgmt forecast",#N/A,FALSE,"Mgmt Forecast";"dcf table",#N/A,FALSE,"Mgmt Forecast";"sensitivity",#N/A,FALSE,"Mgmt Forecast";"table inputs",#N/A,FALSE,"Mgmt Forecast";"calculations",#N/A,FALSE,"Mgmt Forecast"}</definedName>
    <definedName name="y" hidden="1">{"mgmt forecast",#N/A,FALSE,"Mgmt Forecast";"dcf table",#N/A,FALSE,"Mgmt Forecast";"sensitivity",#N/A,FALSE,"Mgmt Forecast";"table inputs",#N/A,FALSE,"Mgmt Forecast";"calculations",#N/A,FALSE,"Mgmt Forecast"}</definedName>
    <definedName name="yes" localSheetId="7" hidden="1">{"Construction Costs",#N/A,FALSE,"Budget";"Income Statement",#N/A,FALSE,"Budget"}</definedName>
    <definedName name="yes" hidden="1">{"Construction Costs",#N/A,FALSE,"Budget";"Income Statement",#N/A,FALSE,"Budget"}</definedName>
    <definedName name="YesNo">#REF!</definedName>
    <definedName name="yhi" localSheetId="7" hidden="1">{"NOPCAPEVA",#N/A,FALSE,"Nopat";"FCFCSTAR",#N/A,FALSE,"FCFVAL";"EVAVL",#N/A,FALSE,"EVAVAL";"LEASE",#N/A,FALSE,"OpLease"}</definedName>
    <definedName name="yhi" hidden="1">{"NOPCAPEVA",#N/A,FALSE,"Nopat";"FCFCSTAR",#N/A,FALSE,"FCFVAL";"EVAVL",#N/A,FALSE,"EVAVAL";"LEASE",#N/A,FALSE,"OpLease"}</definedName>
    <definedName name="yield_graph" localSheetId="7" hidden="1">{#N/A,#N/A,FALSE,"Yield Graph"}</definedName>
    <definedName name="yield_graph" hidden="1">{#N/A,#N/A,FALSE,"Yield Graph"}</definedName>
    <definedName name="you" localSheetId="7" hidden="1">{"'Assump'!$F$6:$J$6"}</definedName>
    <definedName name="you" hidden="1">{"'Assump'!$F$6:$J$6"}</definedName>
    <definedName name="yr">#REF!</definedName>
    <definedName name="yre" localSheetId="7" hidden="1">{"NOPCAPEVA",#N/A,FALSE,"Nopat";"FCFCSTAR",#N/A,FALSE,"FCFVAL";"EVAVL",#N/A,FALSE,"EVAVAL";"LEASE",#N/A,FALSE,"OpLease"}</definedName>
    <definedName name="yre" hidden="1">{"NOPCAPEVA",#N/A,FALSE,"Nopat";"FCFCSTAR",#N/A,FALSE,"FCFVAL";"EVAVL",#N/A,FALSE,"EVAVAL";"LEASE",#N/A,FALSE,"OpLease"}</definedName>
    <definedName name="yrty" localSheetId="7" hidden="1">{"NOPCAPEVA",#N/A,FALSE,"Nopat";"FCFCSTAR",#N/A,FALSE,"FCFVAL";"EVAVL",#N/A,FALSE,"EVAVAL";"LEASE",#N/A,FALSE,"OpLease"}</definedName>
    <definedName name="yrty" hidden="1">{"NOPCAPEVA",#N/A,FALSE,"Nopat";"FCFCSTAR",#N/A,FALSE,"FCFVAL";"EVAVL",#N/A,FALSE,"EVAVAL";"LEASE",#N/A,FALSE,"OpLease"}</definedName>
    <definedName name="ytr" localSheetId="7" hidden="1">{"AnnInc",#N/A,TRUE,"Inc";"QtrInc1",#N/A,TRUE,"Inc";"Balance",#N/A,TRUE,"Bal";"Cflow",#N/A,TRUE,"Cash"}</definedName>
    <definedName name="ytr" hidden="1">{"AnnInc",#N/A,TRUE,"Inc";"QtrInc1",#N/A,TRUE,"Inc";"Balance",#N/A,TRUE,"Bal";"Cflow",#N/A,TRUE,"Cash"}</definedName>
    <definedName name="yyy" hidden="1">#REF!</definedName>
    <definedName name="Z_0DF4CCD5_BD29_11D2_B943_0050040AC21C_.wvu.FilterData" hidden="1">#REF!</definedName>
    <definedName name="Z_1906290E_BC61_11D2_B941_0050040AC21C_.wvu.FilterData" hidden="1">#REF!</definedName>
    <definedName name="Z_19062910_BC61_11D2_B941_0050040AC21C_.wvu.FilterData" hidden="1">#REF!</definedName>
    <definedName name="Z_28BDDCD0_2551_11D1_BD8E_0020AF42250B_.wvu.Cols" hidden="1">#REF!,#REF!,#REF!</definedName>
    <definedName name="Z_2DF11753_B84B_11D2_B93A_0050040AC227_.wvu.PrintArea" hidden="1">#REF!</definedName>
    <definedName name="Z_38B66626_465C_11D1_8554_0080C7F00AC6_.wvu.Cols" hidden="1">#REF!,#REF!,#REF!</definedName>
    <definedName name="Z_40D1A02E_1594_11D1_BD73_0020AF42250B_.wvu.Cols" hidden="1">#REF!,#REF!,#REF!</definedName>
    <definedName name="Z_40D1A109_1594_11D1_BD73_0020AF42250B_.wvu.Cols" hidden="1">#REF!,#REF!,#REF!</definedName>
    <definedName name="Z_4C1CBF02_B7B5_11D2_B93A_0050040AC21C_.wvu.FilterData" hidden="1">#REF!</definedName>
    <definedName name="Z_4C1CBF02_B7B5_11D2_B93A_0050040AC21C_.wvu.PrintArea" hidden="1">#REF!</definedName>
    <definedName name="Z_4C1CBF02_B7B5_11D2_B93A_0050040AC21C_.wvu.PrintTitles" hidden="1">#REF!</definedName>
    <definedName name="Z_627E98CB_893D_11D2_9EFC_00C04FE0572F_.wvu.Cols" hidden="1">#REF!,#REF!,#REF!</definedName>
    <definedName name="Z_66231A85_C0F1_11D2_B93B_0050040AC227_.wvu.FilterData" hidden="1">#REF!</definedName>
    <definedName name="Z_66231A86_C0F1_11D2_B93B_0050040AC227_.wvu.FilterData" hidden="1">#REF!</definedName>
    <definedName name="Z_6DFA7DDD_3C08_11D1_BDBE_0020AF42250B_.wvu.Cols" hidden="1">#REF!,#REF!,#REF!</definedName>
    <definedName name="Z_6ECC8A5D_F873_11D0_BD29_0020AF42250B_.wvu.Cols" hidden="1">#REF!,#REF!,#REF!</definedName>
    <definedName name="Z_7A335D06_3E2B_11D5_982F_00B0D0A6BCF2_.wvu.PrintArea" hidden="1">#REF!</definedName>
    <definedName name="Z_995DB91F_DC87_11D2_BCA9_00C04F8BBE86_.wvu.Cols" hidden="1">#REF!,#REF!,#REF!</definedName>
    <definedName name="Z_995DB91F_DC87_11D2_BCA9_00C04F8BBE86_.wvu.Rows" hidden="1">#REF!,#REF!</definedName>
    <definedName name="Z_9A8750D3_468A_11D3_8ECF_00C04F9226C7_.wvu.Cols" hidden="1">#REF!,#REF!,#REF!</definedName>
    <definedName name="Z_A2426FEA_B812_466E_AD56_91907F9FA6F0_.wvu.PrintArea" hidden="1">#REF!</definedName>
    <definedName name="Z_A73E33D5_2630_11D1_BD91_0020AF42250B_.wvu.Cols" hidden="1">#REF!,#REF!,#REF!</definedName>
    <definedName name="Z_A99CC723_C1C7_11D2_B941_0050040AC228_.wvu.FilterData" hidden="1">#REF!</definedName>
    <definedName name="Z_A99CC729_C1C7_11D2_B941_0050040AC228_.wvu.FilterData" hidden="1">#REF!</definedName>
    <definedName name="Z_A99CC733_C1C7_11D2_B941_0050040AC228_.wvu.FilterData" hidden="1">#REF!</definedName>
    <definedName name="Z_A99CC736_C1C7_11D2_B941_0050040AC228_.wvu.FilterData" hidden="1">#REF!</definedName>
    <definedName name="Z_B47DD99B_1976_11D1_BD7C_0020AF42250B_.wvu.Cols" hidden="1">#REF!,#REF!,#REF!</definedName>
    <definedName name="Z_B6AE087C_DC06_11D2_BCA9_00C04F8BBE86_.wvu.Cols" hidden="1">#REF!,#REF!,#REF!,#REF!,#REF!</definedName>
    <definedName name="Z_B6AE087C_DC06_11D2_BCA9_00C04F8BBE86_.wvu.Rows" hidden="1">#REF!,#REF!</definedName>
    <definedName name="Z_C9FB2A72_5C56_11D3_AD66_0050040A13CD_.wvu.PrintArea" hidden="1">#REF!</definedName>
    <definedName name="Z_C9FB2A72_5C56_11D3_AD66_0050040A13CD_.wvu.PrintTitles" hidden="1">#REF!</definedName>
    <definedName name="Z_C9FB2A73_5C56_11D3_AD66_0050040A13CD_.wvu.PrintArea" hidden="1">#REF!</definedName>
    <definedName name="Z_C9FB2A73_5C56_11D3_AD66_0050040A13CD_.wvu.PrintTitles" hidden="1">#REF!</definedName>
    <definedName name="Z_C9FB2A75_5C56_11D3_AD66_0050040A13CD_.wvu.PrintArea" hidden="1">#REF!</definedName>
    <definedName name="Z_C9FB2A75_5C56_11D3_AD66_0050040A13CD_.wvu.PrintTitles" hidden="1">#REF!</definedName>
    <definedName name="Z_C9FB2A76_5C56_11D3_AD66_0050040A13CD_.wvu.PrintArea" hidden="1">#REF!</definedName>
    <definedName name="Z_C9FB2A76_5C56_11D3_AD66_0050040A13CD_.wvu.PrintTitles" hidden="1">#REF!</definedName>
    <definedName name="Z_C9FB2A77_5C56_11D3_AD66_0050040A13CD_.wvu.PrintArea" hidden="1">#REF!</definedName>
    <definedName name="Z_C9FB2A77_5C56_11D3_AD66_0050040A13CD_.wvu.PrintTitles" hidden="1">#REF!</definedName>
    <definedName name="Z_C9FB2A79_5C56_11D3_AD66_0050040A13CD_.wvu.PrintArea" hidden="1">#REF!</definedName>
    <definedName name="Z_C9FB2A79_5C56_11D3_AD66_0050040A13CD_.wvu.PrintTitles" hidden="1">#REF!</definedName>
    <definedName name="Z_D782F750_C0FB_11D2_B941_0050040AC228_.wvu.FilterData" hidden="1">#REF!</definedName>
    <definedName name="Z_DC379DF6_BBB3_11D2_B93F_0050040AC228_.wvu.FilterData" hidden="1">#REF!</definedName>
    <definedName name="Z_ED7DF65E_BB85_11D2_B93F_0050040AC228_.wvu.FilterData" hidden="1">#REF!</definedName>
    <definedName name="Z_F14718EE_5AC2_11D3_AD63_0050040A13CD_.wvu.PrintArea" hidden="1">#REF!</definedName>
    <definedName name="Z_F14718EF_5AC2_11D3_AD63_0050040A13CD_.wvu.PrintArea" hidden="1">#REF!</definedName>
    <definedName name="Z_F14718F1_5AC2_11D3_AD63_0050040A13CD_.wvu.PrintArea" hidden="1">#REF!</definedName>
    <definedName name="Z_F14718F2_5AC2_11D3_AD63_0050040A13CD_.wvu.PrintArea" hidden="1">#REF!</definedName>
    <definedName name="Z_F14718F3_5AC2_11D3_AD63_0050040A13CD_.wvu.PrintArea" hidden="1">#REF!</definedName>
    <definedName name="Z_F14718F5_5AC2_11D3_AD63_0050040A13CD_.wvu.PrintArea" hidden="1">#REF!</definedName>
    <definedName name="Z_F1471909_5AC2_11D3_AD63_0050040A13CD_.wvu.PrintArea" hidden="1">#REF!</definedName>
    <definedName name="Z_F1471909_5AC2_11D3_AD63_0050040A13CD_.wvu.PrintTitles" hidden="1">#REF!</definedName>
    <definedName name="Z_F147190A_5AC2_11D3_AD63_0050040A13CD_.wvu.PrintArea" hidden="1">#REF!</definedName>
    <definedName name="Z_F147190A_5AC2_11D3_AD63_0050040A13CD_.wvu.PrintTitles" hidden="1">#REF!</definedName>
    <definedName name="Z_F147190C_5AC2_11D3_AD63_0050040A13CD_.wvu.PrintArea" hidden="1">#REF!</definedName>
    <definedName name="Z_F147190C_5AC2_11D3_AD63_0050040A13CD_.wvu.PrintTitles" hidden="1">#REF!</definedName>
    <definedName name="Z_F147190D_5AC2_11D3_AD63_0050040A13CD_.wvu.PrintArea" hidden="1">#REF!</definedName>
    <definedName name="Z_F147190D_5AC2_11D3_AD63_0050040A13CD_.wvu.PrintTitles" hidden="1">#REF!</definedName>
    <definedName name="Z_F147190E_5AC2_11D3_AD63_0050040A13CD_.wvu.PrintArea" hidden="1">#REF!</definedName>
    <definedName name="Z_F147190E_5AC2_11D3_AD63_0050040A13CD_.wvu.PrintTitles" hidden="1">#REF!</definedName>
    <definedName name="Z_F1471910_5AC2_11D3_AD63_0050040A13CD_.wvu.PrintArea" hidden="1">#REF!</definedName>
    <definedName name="Z_F1471910_5AC2_11D3_AD63_0050040A13CD_.wvu.PrintTitles" hidden="1">#REF!</definedName>
    <definedName name="Z_F1471912_5AC2_11D3_AD63_0050040A13CD_.wvu.PrintArea" hidden="1">#REF!</definedName>
    <definedName name="Z_F1471912_5AC2_11D3_AD63_0050040A13CD_.wvu.PrintTitles" hidden="1">#REF!</definedName>
    <definedName name="Z_F1471913_5AC2_11D3_AD63_0050040A13CD_.wvu.PrintArea" hidden="1">#REF!</definedName>
    <definedName name="Z_F1471913_5AC2_11D3_AD63_0050040A13CD_.wvu.PrintTitles" hidden="1">#REF!</definedName>
    <definedName name="Z_F1471915_5AC2_11D3_AD63_0050040A13CD_.wvu.PrintArea" hidden="1">#REF!</definedName>
    <definedName name="Z_F1471915_5AC2_11D3_AD63_0050040A13CD_.wvu.PrintTitles" hidden="1">#REF!</definedName>
    <definedName name="Z_F1471916_5AC2_11D3_AD63_0050040A13CD_.wvu.PrintArea" hidden="1">#REF!</definedName>
    <definedName name="Z_F1471916_5AC2_11D3_AD63_0050040A13CD_.wvu.PrintTitles" hidden="1">#REF!</definedName>
    <definedName name="Z_F1471917_5AC2_11D3_AD63_0050040A13CD_.wvu.PrintArea" hidden="1">#REF!</definedName>
    <definedName name="Z_F1471917_5AC2_11D3_AD63_0050040A13CD_.wvu.PrintTitles" hidden="1">#REF!</definedName>
    <definedName name="Z_F1471919_5AC2_11D3_AD63_0050040A13CD_.wvu.PrintArea" hidden="1">#REF!</definedName>
    <definedName name="Z_F1471919_5AC2_11D3_AD63_0050040A13CD_.wvu.PrintTitles" hidden="1">#REF!</definedName>
    <definedName name="Z_F2D042F3_2606_11D1_BD91_0020AF42250B_.wvu.Cols" hidden="1">#REF!,#REF!,#REF!</definedName>
    <definedName name="Z_F4D26AD1_3E1A_11D5_A9C5_00A0C91596F2_.wvu.PrintArea" hidden="1">#REF!</definedName>
    <definedName name="Z_FAFA6ED1_0531_11D1_BD56_0020AF42250B_.wvu.Cols" hidden="1">#REF!,#REF!,#REF!</definedName>
    <definedName name="zed" localSheetId="7" hidden="1">{"CA Summary",#N/A,FALSE,"COMMON AREA EXPENSE SUMMARY";"CA Mainten",#N/A,FALSE,"COMMON AREA MAINTENANCE"}</definedName>
    <definedName name="zed" hidden="1">{"CA Summary",#N/A,FALSE,"COMMON AREA EXPENSE SUMMARY";"CA Mainten",#N/A,FALSE,"COMMON AREA MAINTENANCE"}</definedName>
    <definedName name="zedd" localSheetId="7" hidden="1">{#N/A,#N/A,FALSE,"OPERATING BUDGET 99";#N/A,#N/A,FALSE,"RECOVERY99"}</definedName>
    <definedName name="zedd" hidden="1">{#N/A,#N/A,FALSE,"OPERATING BUDGET 99";#N/A,#N/A,FALSE,"RECOVERY99"}</definedName>
    <definedName name="ZEDDDDDDD" localSheetId="7" hidden="1">{"CA Summary",#N/A,FALSE,"COMMON AREA EXPENSE SUMMARY";"CA Mainten",#N/A,FALSE,"COMMON AREA MAINTENANCE"}</definedName>
    <definedName name="ZEDDDDDDD" hidden="1">{"CA Summary",#N/A,FALSE,"COMMON AREA EXPENSE SUMMARY";"CA Mainten",#N/A,FALSE,"COMMON AREA MAINTENANCE"}</definedName>
    <definedName name="ZS" localSheetId="7" hidden="1">{#N/A,#N/A,FALSE,"OPERATING BUDGET 99";#N/A,#N/A,FALSE,"RECOVERY99"}</definedName>
    <definedName name="ZS" hidden="1">{#N/A,#N/A,FALSE,"OPERATING BUDGET 99";#N/A,#N/A,FALSE,"RECOVERY99"}</definedName>
    <definedName name="zxc" localSheetId="7" hidden="1">{"mgmt forecast",#N/A,FALSE,"Mgmt Forecast";"dcf table",#N/A,FALSE,"Mgmt Forecast";"sensitivity",#N/A,FALSE,"Mgmt Forecast";"table inputs",#N/A,FALSE,"Mgmt Forecast";"calculations",#N/A,FALSE,"Mgmt Forecast"}</definedName>
    <definedName name="zxc" hidden="1">{"mgmt forecast",#N/A,FALSE,"Mgmt Forecast";"dcf table",#N/A,FALSE,"Mgmt Forecast";"sensitivity",#N/A,FALSE,"Mgmt Forecast";"table inputs",#N/A,FALSE,"Mgmt Forecast";"calculations",#N/A,FALSE,"Mgmt Forecast"}</definedName>
    <definedName name="zxcv" localSheetId="7" hidden="1">{"NOPCAPEVA",#N/A,FALSE,"Nopat";"FCFCSTAR",#N/A,FALSE,"FCFVAL";"EVAVL",#N/A,FALSE,"EVAVAL";"LEASE",#N/A,FALSE,"OpLease"}</definedName>
    <definedName name="zxcv" hidden="1">{"NOPCAPEVA",#N/A,FALSE,"Nopat";"FCFCSTAR",#N/A,FALSE,"FCFVAL";"EVAVL",#N/A,FALSE,"EVAVAL";"LEASE",#N/A,FALSE,"OpLease"}</definedName>
    <definedName name="zz" localSheetId="7" hidden="1">{#N/A,#N/A,FALSE,"III-1 Sum.Dem";#N/A,#N/A,FALSE,"III-2 RER.Dem.Pop";#N/A,#N/A,FALSE,"III-3 RER.Cap.Pop";#N/A,#N/A,FALSE,"III-4 RER.Dem.TCSS";#N/A,#N/A,FALSE,"III-5 RER.Cap.TCSS";#N/A,#N/A,FALSE,"III-6 Pow.Center.Dem";#N/A,#N/A,FALSE,"III-7 Off.Demand";#N/A,#N/A,FALSE,"III-8 Htl.Dem"}</definedName>
    <definedName name="zz" hidden="1">{#N/A,#N/A,FALSE,"III-1 Sum.Dem";#N/A,#N/A,FALSE,"III-2 RER.Dem.Pop";#N/A,#N/A,FALSE,"III-3 RER.Cap.Pop";#N/A,#N/A,FALSE,"III-4 RER.Dem.TCSS";#N/A,#N/A,FALSE,"III-5 RER.Cap.TCSS";#N/A,#N/A,FALSE,"III-6 Pow.Center.Dem";#N/A,#N/A,FALSE,"III-7 Off.Demand";#N/A,#N/A,FALSE,"III-8 Htl.Dem"}</definedName>
    <definedName name="zzz" localSheetId="7" hidden="1">{"Outflow 1",#N/A,FALSE,"Outflows-Inflows";"Outflow 2",#N/A,FALSE,"Outflows-Inflows";"Inflow 1",#N/A,FALSE,"Outflows-Inflows";"Inflow 2",#N/A,FALSE,"Outflows-Inflows"}</definedName>
    <definedName name="zzz" hidden="1">{"Outflow 1",#N/A,FALSE,"Outflows-Inflows";"Outflow 2",#N/A,FALSE,"Outflows-Inflows";"Inflow 1",#N/A,FALSE,"Outflows-Inflows";"Inflow 2",#N/A,FALSE,"Outflows-Inflows"}</definedName>
    <definedName name="zzzz" localSheetId="7" hidden="1">{"Commish",#N/A,FALSE,"LAWTC"}</definedName>
    <definedName name="zzzz" hidden="1">{"Commish",#N/A,FALSE,"LAWTC"}</definedName>
    <definedName name="zzzzz" localSheetId="7" hidden="1">{#N/A,#N/A,FALSE,"II-2 POP.HH";#N/A,#N/A,FALSE,"II-3 AGE.DIST";#N/A,#N/A,FALSE,"II-4 HH.DIST";#N/A,#N/A,FALSE,"II-5 EMP.INDUS"}</definedName>
    <definedName name="zzzzz" hidden="1">{#N/A,#N/A,FALSE,"II-2 POP.HH";#N/A,#N/A,FALSE,"II-3 AGE.DIST";#N/A,#N/A,FALSE,"II-4 HH.DIST";#N/A,#N/A,FALSE,"II-5 EMP.INDUS"}</definedName>
    <definedName name="zzzzzz" localSheetId="7" hidden="1">{"AnnualRentRoll",#N/A,FALSE,"RentRoll"}</definedName>
    <definedName name="zzzzzz" hidden="1">{"AnnualRentRoll",#N/A,FALSE,"RentRoll"}</definedName>
    <definedName name="zzzzzzzz" localSheetId="7" hidden="1">{#N/A,#N/A,FALSE,"el.det";#N/A,#N/A,FALSE,"mu.det";#N/A,#N/A,FALSE,"ug.det";#N/A,#N/A,FALSE,"ex.det";#N/A,#N/A,FALSE,"lux.det";#N/A,#N/A,FALSE,"custom.lot";#N/A,#N/A,FALSE,"condo.att";#N/A,#N/A,FALSE,"el.att";#N/A,#N/A,FALSE,"mu.att";#N/A,#N/A,FALSE,"ex.att";#N/A,#N/A,FALSE,"lux.att";#N/A,#N/A,FALSE,"all.by.village"}</definedName>
    <definedName name="zzzzzzzz" hidden="1">{#N/A,#N/A,FALSE,"el.det";#N/A,#N/A,FALSE,"mu.det";#N/A,#N/A,FALSE,"ug.det";#N/A,#N/A,FALSE,"ex.det";#N/A,#N/A,FALSE,"lux.det";#N/A,#N/A,FALSE,"custom.lot";#N/A,#N/A,FALSE,"condo.att";#N/A,#N/A,FALSE,"el.att";#N/A,#N/A,FALSE,"mu.att";#N/A,#N/A,FALSE,"ex.att";#N/A,#N/A,FALSE,"lux.att";#N/A,#N/A,FALSE,"all.by.village"}</definedName>
    <definedName name="zzzzzzzzzzzzzzz" localSheetId="7" hidden="1">{#N/A,#N/A,FALSE,"el.det";#N/A,#N/A,FALSE,"mu.det";#N/A,#N/A,FALSE,"ug.det";#N/A,#N/A,FALSE,"ex.det";#N/A,#N/A,FALSE,"lux.det";#N/A,#N/A,FALSE,"custom.lot";#N/A,#N/A,FALSE,"condo.att";#N/A,#N/A,FALSE,"el.att";#N/A,#N/A,FALSE,"mu.att";#N/A,#N/A,FALSE,"ex.att";#N/A,#N/A,FALSE,"lux.att";#N/A,#N/A,FALSE,"all.by.village"}</definedName>
    <definedName name="zzzzzzzzzzzzzzz" hidden="1">{#N/A,#N/A,FALSE,"el.det";#N/A,#N/A,FALSE,"mu.det";#N/A,#N/A,FALSE,"ug.det";#N/A,#N/A,FALSE,"ex.det";#N/A,#N/A,FALSE,"lux.det";#N/A,#N/A,FALSE,"custom.lot";#N/A,#N/A,FALSE,"condo.att";#N/A,#N/A,FALSE,"el.att";#N/A,#N/A,FALSE,"mu.att";#N/A,#N/A,FALSE,"ex.att";#N/A,#N/A,FALSE,"lux.att";#N/A,#N/A,FALSE,"all.by.village"}</definedName>
    <definedName name="zzzzzzzzzzzzzzzzzzzzzzzzzz" localSheetId="7" hidden="1">{#N/A,#N/A,FALSE,"II-2 POP.HH";#N/A,#N/A,FALSE,"II-3 AGE.DIST";#N/A,#N/A,FALSE,"II-4 HH.DIST";#N/A,#N/A,FALSE,"II-5 EMP.INDUS"}</definedName>
    <definedName name="zzzzzzzzzzzzzzzzzzzzzzzzzz" hidden="1">{#N/A,#N/A,FALSE,"II-2 POP.HH";#N/A,#N/A,FALSE,"II-3 AGE.DIST";#N/A,#N/A,FALSE,"II-4 HH.DIST";#N/A,#N/A,FALSE,"II-5 EMP.INDUS"}</definedName>
    <definedName name="zzzzzzzzzzzzzzzzzzzzzzzzzzz" localSheetId="7" hidden="1">{#N/A,#N/A,FALSE,"el.det";#N/A,#N/A,FALSE,"mu.det";#N/A,#N/A,FALSE,"ug.det";#N/A,#N/A,FALSE,"ex.det";#N/A,#N/A,FALSE,"lux.det";#N/A,#N/A,FALSE,"custom.lot";#N/A,#N/A,FALSE,"condo.att";#N/A,#N/A,FALSE,"el.att";#N/A,#N/A,FALSE,"mu.att";#N/A,#N/A,FALSE,"ex.att";#N/A,#N/A,FALSE,"lux.att";#N/A,#N/A,FALSE,"all.by.village"}</definedName>
    <definedName name="zzzzzzzzzzzzzzzzzzzzzzzzzzz" hidden="1">{#N/A,#N/A,FALSE,"el.det";#N/A,#N/A,FALSE,"mu.det";#N/A,#N/A,FALSE,"ug.det";#N/A,#N/A,FALSE,"ex.det";#N/A,#N/A,FALSE,"lux.det";#N/A,#N/A,FALSE,"custom.lot";#N/A,#N/A,FALSE,"condo.att";#N/A,#N/A,FALSE,"el.att";#N/A,#N/A,FALSE,"mu.att";#N/A,#N/A,FALSE,"ex.att";#N/A,#N/A,FALSE,"lux.att";#N/A,#N/A,FALSE,"all.by.village"}</definedName>
  </definedNames>
  <calcPr calcId="191029" calcMode="manual" iterate="1" iterateCount="1000" iterateDelta="0.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16" i="77" l="1"/>
  <c r="D10" i="78" l="1"/>
  <c r="D13" i="78"/>
  <c r="D9" i="78"/>
  <c r="D30" i="78"/>
  <c r="D8" i="78"/>
  <c r="D7" i="78"/>
  <c r="D6" i="78"/>
  <c r="D5" i="78"/>
  <c r="D4" i="78"/>
  <c r="D15" i="78" l="1"/>
  <c r="D17" i="78" s="1"/>
  <c r="R20" i="77"/>
  <c r="W16" i="77" s="1"/>
  <c r="Y16" i="77" s="1"/>
  <c r="R19" i="77"/>
  <c r="M30" i="1"/>
  <c r="M31" i="1" s="1"/>
  <c r="M29" i="1"/>
  <c r="D18" i="77"/>
  <c r="C33" i="93"/>
  <c r="B16" i="77"/>
  <c r="B18" i="77"/>
  <c r="C17" i="93"/>
  <c r="D12" i="77" s="1"/>
  <c r="C21" i="93"/>
  <c r="D16" i="77" s="1"/>
  <c r="H20" i="77" l="1"/>
  <c r="H19" i="77"/>
  <c r="J63" i="96"/>
  <c r="J35" i="96"/>
  <c r="R39" i="42"/>
  <c r="Q39" i="42"/>
  <c r="O39" i="42"/>
  <c r="D8" i="96"/>
  <c r="D7" i="96"/>
  <c r="C28" i="17"/>
  <c r="C50" i="17" l="1"/>
  <c r="C47" i="17"/>
  <c r="J11" i="17"/>
  <c r="K99" i="3"/>
  <c r="N99" i="3"/>
  <c r="J10" i="17"/>
  <c r="K10" i="17" s="1"/>
  <c r="H25" i="17"/>
  <c r="H28" i="96" s="1"/>
  <c r="K33" i="17"/>
  <c r="K32" i="17"/>
  <c r="I32" i="17"/>
  <c r="K31" i="17"/>
  <c r="I31" i="17"/>
  <c r="K30" i="17"/>
  <c r="I30" i="17"/>
  <c r="C16" i="55"/>
  <c r="C15" i="55"/>
  <c r="C14" i="55"/>
  <c r="C10" i="55"/>
  <c r="C9" i="55"/>
  <c r="C5" i="55"/>
  <c r="C4" i="55"/>
  <c r="E56" i="3"/>
  <c r="F5" i="95"/>
  <c r="E5" i="95"/>
  <c r="D5" i="95"/>
  <c r="Q19" i="77"/>
  <c r="E19" i="77"/>
  <c r="E20" i="77"/>
  <c r="X15" i="77" l="1"/>
  <c r="W15" i="77"/>
  <c r="C6" i="55"/>
  <c r="A175" i="6"/>
  <c r="A160" i="6"/>
  <c r="EH129" i="6"/>
  <c r="EG129" i="6"/>
  <c r="EF129" i="6"/>
  <c r="EE129" i="6"/>
  <c r="ED129" i="6"/>
  <c r="EC129" i="6"/>
  <c r="EB129" i="6"/>
  <c r="EA129" i="6"/>
  <c r="DZ129" i="6"/>
  <c r="DY129" i="6"/>
  <c r="DX129" i="6"/>
  <c r="DW129" i="6"/>
  <c r="DV129" i="6"/>
  <c r="DU129" i="6"/>
  <c r="DT129" i="6"/>
  <c r="DS129" i="6"/>
  <c r="DR129" i="6"/>
  <c r="DQ129" i="6"/>
  <c r="DP129" i="6"/>
  <c r="DO129" i="6"/>
  <c r="DN129" i="6"/>
  <c r="DM129" i="6"/>
  <c r="DL129" i="6"/>
  <c r="DK129" i="6"/>
  <c r="DJ129" i="6"/>
  <c r="DI129" i="6"/>
  <c r="DH129" i="6"/>
  <c r="DG129" i="6"/>
  <c r="DF129" i="6"/>
  <c r="DE129" i="6"/>
  <c r="DD129" i="6"/>
  <c r="DC129" i="6"/>
  <c r="DB129" i="6"/>
  <c r="DA129" i="6"/>
  <c r="CZ129" i="6"/>
  <c r="CY129" i="6"/>
  <c r="CX129" i="6"/>
  <c r="CW129" i="6"/>
  <c r="CV129" i="6"/>
  <c r="CU129" i="6"/>
  <c r="CT129" i="6"/>
  <c r="CS129" i="6"/>
  <c r="CR129" i="6"/>
  <c r="CQ129" i="6"/>
  <c r="CP129" i="6"/>
  <c r="CO129" i="6"/>
  <c r="CN129" i="6"/>
  <c r="CM129" i="6"/>
  <c r="CL129" i="6"/>
  <c r="CK129" i="6"/>
  <c r="CJ129" i="6"/>
  <c r="CI129" i="6"/>
  <c r="CH129" i="6"/>
  <c r="CG129" i="6"/>
  <c r="CF129" i="6"/>
  <c r="CE129" i="6"/>
  <c r="CD129" i="6"/>
  <c r="CC129" i="6"/>
  <c r="CB129" i="6"/>
  <c r="CA129" i="6"/>
  <c r="BZ129" i="6"/>
  <c r="BY129" i="6"/>
  <c r="BX129" i="6"/>
  <c r="BW129" i="6"/>
  <c r="BV129" i="6"/>
  <c r="BU129" i="6"/>
  <c r="BT129" i="6"/>
  <c r="BS129" i="6"/>
  <c r="BR129" i="6"/>
  <c r="BQ129" i="6"/>
  <c r="BP129" i="6"/>
  <c r="BO129" i="6"/>
  <c r="BN129" i="6"/>
  <c r="BM129" i="6"/>
  <c r="BL129" i="6"/>
  <c r="BK129" i="6"/>
  <c r="BJ129" i="6"/>
  <c r="BI129" i="6"/>
  <c r="BH129" i="6"/>
  <c r="BG129" i="6"/>
  <c r="BF129" i="6"/>
  <c r="BE129" i="6"/>
  <c r="BD129" i="6"/>
  <c r="BC129" i="6"/>
  <c r="BB129" i="6"/>
  <c r="BA129" i="6"/>
  <c r="AZ129" i="6"/>
  <c r="AY129" i="6"/>
  <c r="AX129" i="6"/>
  <c r="AW129" i="6"/>
  <c r="AV129" i="6"/>
  <c r="AU129" i="6"/>
  <c r="AT129" i="6"/>
  <c r="AS129" i="6"/>
  <c r="AR129" i="6"/>
  <c r="AQ129" i="6"/>
  <c r="AP129" i="6"/>
  <c r="AO129" i="6"/>
  <c r="AN129" i="6"/>
  <c r="AM129" i="6"/>
  <c r="AL129" i="6"/>
  <c r="AK129" i="6"/>
  <c r="AJ129" i="6"/>
  <c r="AI129" i="6"/>
  <c r="AH129" i="6"/>
  <c r="AG129" i="6"/>
  <c r="AF129" i="6"/>
  <c r="AE129" i="6"/>
  <c r="AD129" i="6"/>
  <c r="AC129" i="6"/>
  <c r="AB129" i="6"/>
  <c r="AA129" i="6"/>
  <c r="Z129" i="6"/>
  <c r="Y129" i="6"/>
  <c r="X129" i="6"/>
  <c r="W129" i="6"/>
  <c r="V129" i="6"/>
  <c r="U129" i="6"/>
  <c r="T129" i="6"/>
  <c r="S129" i="6"/>
  <c r="R129" i="6"/>
  <c r="Q129" i="6"/>
  <c r="P129" i="6"/>
  <c r="O129" i="6"/>
  <c r="N129" i="6"/>
  <c r="M129" i="6"/>
  <c r="L129" i="6"/>
  <c r="K129" i="6"/>
  <c r="J129" i="6"/>
  <c r="I129" i="6"/>
  <c r="H129" i="6"/>
  <c r="G129" i="6"/>
  <c r="A79" i="6"/>
  <c r="A74" i="6"/>
  <c r="A19" i="6"/>
  <c r="A18" i="6"/>
  <c r="A17" i="6"/>
  <c r="A15" i="6"/>
  <c r="A14" i="6"/>
  <c r="A13" i="6"/>
  <c r="A11" i="6"/>
  <c r="A10" i="6"/>
  <c r="A9" i="6"/>
  <c r="EH5" i="6"/>
  <c r="EH115" i="6" s="1"/>
  <c r="EG5" i="6"/>
  <c r="EG84" i="6" s="1"/>
  <c r="EF5" i="6"/>
  <c r="EF84" i="6" s="1"/>
  <c r="EE5" i="6"/>
  <c r="EE115" i="6" s="1"/>
  <c r="ED5" i="6"/>
  <c r="ED115" i="6" s="1"/>
  <c r="EC5" i="6"/>
  <c r="EC107" i="6" s="1"/>
  <c r="EB5" i="6"/>
  <c r="EB92" i="6" s="1"/>
  <c r="EA5" i="6"/>
  <c r="EA84" i="6" s="1"/>
  <c r="DZ5" i="6"/>
  <c r="DZ84" i="6" s="1"/>
  <c r="DY5" i="6"/>
  <c r="DY92" i="6" s="1"/>
  <c r="DX5" i="6"/>
  <c r="DX92" i="6" s="1"/>
  <c r="DW5" i="6"/>
  <c r="DW115" i="6" s="1"/>
  <c r="DV5" i="6"/>
  <c r="DV115" i="6" s="1"/>
  <c r="DU5" i="6"/>
  <c r="DU107" i="6" s="1"/>
  <c r="DT5" i="6"/>
  <c r="DT115" i="6" s="1"/>
  <c r="DS5" i="6"/>
  <c r="DS115" i="6" s="1"/>
  <c r="DR5" i="6"/>
  <c r="DR92" i="6" s="1"/>
  <c r="DQ5" i="6"/>
  <c r="DQ115" i="6" s="1"/>
  <c r="DP5" i="6"/>
  <c r="DP107" i="6" s="1"/>
  <c r="DO5" i="6"/>
  <c r="DO107" i="6" s="1"/>
  <c r="DN5" i="6"/>
  <c r="DN92" i="6" s="1"/>
  <c r="DM5" i="6"/>
  <c r="DM107" i="6" s="1"/>
  <c r="DL5" i="6"/>
  <c r="DL115" i="6" s="1"/>
  <c r="DK5" i="6"/>
  <c r="DK92" i="6" s="1"/>
  <c r="DJ5" i="6"/>
  <c r="DJ107" i="6" s="1"/>
  <c r="DI5" i="6"/>
  <c r="DI115" i="6" s="1"/>
  <c r="DH5" i="6"/>
  <c r="DH92" i="6" s="1"/>
  <c r="DG5" i="6"/>
  <c r="DG92" i="6" s="1"/>
  <c r="DF5" i="6"/>
  <c r="DF107" i="6" s="1"/>
  <c r="DE5" i="6"/>
  <c r="DE92" i="6" s="1"/>
  <c r="DD5" i="6"/>
  <c r="DD92" i="6" s="1"/>
  <c r="DC5" i="6"/>
  <c r="DC115" i="6" s="1"/>
  <c r="DB5" i="6"/>
  <c r="DB92" i="6" s="1"/>
  <c r="DA5" i="6"/>
  <c r="DA107" i="6" s="1"/>
  <c r="CZ5" i="6"/>
  <c r="CZ92" i="6" s="1"/>
  <c r="CY5" i="6"/>
  <c r="CY115" i="6" s="1"/>
  <c r="CX5" i="6"/>
  <c r="CX107" i="6" s="1"/>
  <c r="CW5" i="6"/>
  <c r="CW92" i="6" s="1"/>
  <c r="CV5" i="6"/>
  <c r="CV115" i="6" s="1"/>
  <c r="CU5" i="6"/>
  <c r="CU115" i="6" s="1"/>
  <c r="CT5" i="6"/>
  <c r="CT107" i="6" s="1"/>
  <c r="CS5" i="6"/>
  <c r="CS107" i="6" s="1"/>
  <c r="CR5" i="6"/>
  <c r="CR115" i="6" s="1"/>
  <c r="CQ5" i="6"/>
  <c r="CQ107" i="6" s="1"/>
  <c r="CP5" i="6"/>
  <c r="CP92" i="6" s="1"/>
  <c r="CO5" i="6"/>
  <c r="CO115" i="6" s="1"/>
  <c r="CN5" i="6"/>
  <c r="CN115" i="6" s="1"/>
  <c r="CM5" i="6"/>
  <c r="CM107" i="6" s="1"/>
  <c r="CL5" i="6"/>
  <c r="CL92" i="6" s="1"/>
  <c r="CK5" i="6"/>
  <c r="CK92" i="6" s="1"/>
  <c r="CJ5" i="6"/>
  <c r="CJ92" i="6" s="1"/>
  <c r="CI5" i="6"/>
  <c r="CI92" i="6" s="1"/>
  <c r="CH5" i="6"/>
  <c r="CH84" i="6" s="1"/>
  <c r="CG5" i="6"/>
  <c r="CG115" i="6" s="1"/>
  <c r="CF5" i="6"/>
  <c r="CF107" i="6" s="1"/>
  <c r="CE5" i="6"/>
  <c r="CE107" i="6" s="1"/>
  <c r="CD5" i="6"/>
  <c r="CD115" i="6" s="1"/>
  <c r="CC5" i="6"/>
  <c r="CC115" i="6" s="1"/>
  <c r="CB5" i="6"/>
  <c r="CB84" i="6" s="1"/>
  <c r="CA5" i="6"/>
  <c r="CA115" i="6" s="1"/>
  <c r="BZ5" i="6"/>
  <c r="BZ107" i="6" s="1"/>
  <c r="BY5" i="6"/>
  <c r="BY107" i="6" s="1"/>
  <c r="BX5" i="6"/>
  <c r="BX92" i="6" s="1"/>
  <c r="BW5" i="6"/>
  <c r="BW92" i="6" s="1"/>
  <c r="BV5" i="6"/>
  <c r="BV107" i="6" s="1"/>
  <c r="BU5" i="6"/>
  <c r="BU92" i="6" s="1"/>
  <c r="BT5" i="6"/>
  <c r="BT92" i="6" s="1"/>
  <c r="BS5" i="6"/>
  <c r="BS115" i="6" s="1"/>
  <c r="BR5" i="6"/>
  <c r="BR115" i="6" s="1"/>
  <c r="BQ5" i="6"/>
  <c r="BQ115" i="6" s="1"/>
  <c r="BP5" i="6"/>
  <c r="BP115" i="6" s="1"/>
  <c r="BO5" i="6"/>
  <c r="BO115" i="6" s="1"/>
  <c r="BN5" i="6"/>
  <c r="BN84" i="6" s="1"/>
  <c r="BM5" i="6"/>
  <c r="BM115" i="6" s="1"/>
  <c r="BL5" i="6"/>
  <c r="BL107" i="6" s="1"/>
  <c r="BK5" i="6"/>
  <c r="BK107" i="6" s="1"/>
  <c r="BJ5" i="6"/>
  <c r="BJ92" i="6" s="1"/>
  <c r="BI5" i="6"/>
  <c r="BI107" i="6" s="1"/>
  <c r="BH5" i="6"/>
  <c r="BH107" i="6" s="1"/>
  <c r="BG5" i="6"/>
  <c r="BG92" i="6" s="1"/>
  <c r="BF5" i="6"/>
  <c r="BF84" i="6" s="1"/>
  <c r="BE5" i="6"/>
  <c r="BE115" i="6" s="1"/>
  <c r="BD5" i="6"/>
  <c r="BD115" i="6" s="1"/>
  <c r="BC5" i="6"/>
  <c r="BC84" i="6" s="1"/>
  <c r="BB5" i="6"/>
  <c r="BB115" i="6" s="1"/>
  <c r="BA5" i="6"/>
  <c r="BA92" i="6" s="1"/>
  <c r="AZ5" i="6"/>
  <c r="AZ92" i="6" s="1"/>
  <c r="AY5" i="6"/>
  <c r="AY115" i="6" s="1"/>
  <c r="AX5" i="6"/>
  <c r="AX84" i="6" s="1"/>
  <c r="AW5" i="6"/>
  <c r="AW107" i="6" s="1"/>
  <c r="AV5" i="6"/>
  <c r="AV92" i="6" s="1"/>
  <c r="AU5" i="6"/>
  <c r="AU115" i="6" s="1"/>
  <c r="AT5" i="6"/>
  <c r="AT107" i="6" s="1"/>
  <c r="AS5" i="6"/>
  <c r="AS92" i="6" s="1"/>
  <c r="AR5" i="6"/>
  <c r="AR84" i="6" s="1"/>
  <c r="AQ5" i="6"/>
  <c r="AQ115" i="6" s="1"/>
  <c r="AP5" i="6"/>
  <c r="AP92" i="6" s="1"/>
  <c r="AO5" i="6"/>
  <c r="AO92" i="6" s="1"/>
  <c r="AN5" i="6"/>
  <c r="AN115" i="6" s="1"/>
  <c r="AM5" i="6"/>
  <c r="AM92" i="6" s="1"/>
  <c r="AL5" i="6"/>
  <c r="AL92" i="6" s="1"/>
  <c r="AK5" i="6"/>
  <c r="AK115" i="6" s="1"/>
  <c r="AJ5" i="6"/>
  <c r="AJ92" i="6" s="1"/>
  <c r="AI5" i="6"/>
  <c r="AI107" i="6" s="1"/>
  <c r="AH5" i="6"/>
  <c r="AH92" i="6" s="1"/>
  <c r="AG5" i="6"/>
  <c r="AG84" i="6" s="1"/>
  <c r="AF5" i="6"/>
  <c r="AF84" i="6" s="1"/>
  <c r="AE5" i="6"/>
  <c r="AE92" i="6" s="1"/>
  <c r="AD5" i="6"/>
  <c r="AD92" i="6" s="1"/>
  <c r="AC5" i="6"/>
  <c r="AC115" i="6" s="1"/>
  <c r="AB5" i="6"/>
  <c r="AB107" i="6" s="1"/>
  <c r="AA5" i="6"/>
  <c r="AA115" i="6" s="1"/>
  <c r="Z5" i="6"/>
  <c r="Z115" i="6" s="1"/>
  <c r="Y5" i="6"/>
  <c r="Y115" i="6" s="1"/>
  <c r="X5" i="6"/>
  <c r="X84" i="6" s="1"/>
  <c r="W5" i="6"/>
  <c r="W115" i="6" s="1"/>
  <c r="V5" i="6"/>
  <c r="V107" i="6" s="1"/>
  <c r="U5" i="6"/>
  <c r="U107" i="6" s="1"/>
  <c r="T5" i="6"/>
  <c r="T92" i="6" s="1"/>
  <c r="S5" i="6"/>
  <c r="S92" i="6" s="1"/>
  <c r="R5" i="6"/>
  <c r="R92" i="6" s="1"/>
  <c r="Q5" i="6"/>
  <c r="Q92" i="6" s="1"/>
  <c r="P5" i="6"/>
  <c r="P84" i="6" s="1"/>
  <c r="P87" i="6" s="1"/>
  <c r="P88" i="6" s="1"/>
  <c r="O5" i="6"/>
  <c r="O115" i="6" s="1"/>
  <c r="N5" i="6"/>
  <c r="N84" i="6" s="1"/>
  <c r="N87" i="6" s="1"/>
  <c r="N88" i="6" s="1"/>
  <c r="M5" i="6"/>
  <c r="M84" i="6" s="1"/>
  <c r="M87" i="6" s="1"/>
  <c r="M88" i="6" s="1"/>
  <c r="L5" i="6"/>
  <c r="L115" i="6" s="1"/>
  <c r="K5" i="6"/>
  <c r="K107" i="6" s="1"/>
  <c r="K110" i="6" s="1"/>
  <c r="K111" i="6" s="1"/>
  <c r="J5" i="6"/>
  <c r="J84" i="6" s="1"/>
  <c r="J87" i="6" s="1"/>
  <c r="J88" i="6" s="1"/>
  <c r="I5" i="6"/>
  <c r="I115" i="6" s="1"/>
  <c r="H5" i="6"/>
  <c r="H84" i="6" s="1"/>
  <c r="H87" i="6" s="1"/>
  <c r="H88" i="6" s="1"/>
  <c r="G5" i="6"/>
  <c r="G107" i="6" s="1"/>
  <c r="G110" i="6" s="1"/>
  <c r="G111" i="6" s="1"/>
  <c r="C3" i="6"/>
  <c r="B3" i="6"/>
  <c r="B1" i="6"/>
  <c r="EG320" i="30"/>
  <c r="EF320" i="30"/>
  <c r="EE320" i="30"/>
  <c r="ED320" i="30"/>
  <c r="EC320" i="30"/>
  <c r="EB320" i="30"/>
  <c r="EA320" i="30"/>
  <c r="DZ320" i="30"/>
  <c r="DY320" i="30"/>
  <c r="DX320" i="30"/>
  <c r="DW320" i="30"/>
  <c r="DV320" i="30"/>
  <c r="DU320" i="30"/>
  <c r="DT320" i="30"/>
  <c r="DS320" i="30"/>
  <c r="DR320" i="30"/>
  <c r="DQ320" i="30"/>
  <c r="DP320" i="30"/>
  <c r="DO320" i="30"/>
  <c r="DN320" i="30"/>
  <c r="DM320" i="30"/>
  <c r="DL320" i="30"/>
  <c r="DK320" i="30"/>
  <c r="DJ320" i="30"/>
  <c r="DI320" i="30"/>
  <c r="DH320" i="30"/>
  <c r="DG320" i="30"/>
  <c r="DF320" i="30"/>
  <c r="DE320" i="30"/>
  <c r="DD320" i="30"/>
  <c r="DC320" i="30"/>
  <c r="DB320" i="30"/>
  <c r="DA320" i="30"/>
  <c r="CZ320" i="30"/>
  <c r="CY320" i="30"/>
  <c r="CX320" i="30"/>
  <c r="CW320" i="30"/>
  <c r="CV320" i="30"/>
  <c r="CU320" i="30"/>
  <c r="CT320" i="30"/>
  <c r="CS320" i="30"/>
  <c r="CR320" i="30"/>
  <c r="CQ320" i="30"/>
  <c r="CP320" i="30"/>
  <c r="CO320" i="30"/>
  <c r="CN320" i="30"/>
  <c r="CM320" i="30"/>
  <c r="CL320" i="30"/>
  <c r="CK320" i="30"/>
  <c r="CJ320" i="30"/>
  <c r="CI320" i="30"/>
  <c r="CH320" i="30"/>
  <c r="CG320" i="30"/>
  <c r="CF320" i="30"/>
  <c r="CE320" i="30"/>
  <c r="CD320" i="30"/>
  <c r="CC320" i="30"/>
  <c r="CB320" i="30"/>
  <c r="CA320" i="30"/>
  <c r="BZ320" i="30"/>
  <c r="BY320" i="30"/>
  <c r="BX320" i="30"/>
  <c r="BW320" i="30"/>
  <c r="BV320" i="30"/>
  <c r="BU320" i="30"/>
  <c r="BT320" i="30"/>
  <c r="BS320" i="30"/>
  <c r="BR320" i="30"/>
  <c r="BQ320" i="30"/>
  <c r="BP320" i="30"/>
  <c r="BO320" i="30"/>
  <c r="BN320" i="30"/>
  <c r="BM320" i="30"/>
  <c r="BL320" i="30"/>
  <c r="BK320" i="30"/>
  <c r="BJ320" i="30"/>
  <c r="BI320" i="30"/>
  <c r="BH320" i="30"/>
  <c r="BG320" i="30"/>
  <c r="BF320" i="30"/>
  <c r="BE320" i="30"/>
  <c r="BD320" i="30"/>
  <c r="BC320" i="30"/>
  <c r="BB320" i="30"/>
  <c r="BA320" i="30"/>
  <c r="AZ320" i="30"/>
  <c r="AY320" i="30"/>
  <c r="AX320" i="30"/>
  <c r="AW320" i="30"/>
  <c r="AV320" i="30"/>
  <c r="AU320" i="30"/>
  <c r="AT320" i="30"/>
  <c r="AS320" i="30"/>
  <c r="AR320" i="30"/>
  <c r="AQ320" i="30"/>
  <c r="AP320" i="30"/>
  <c r="AO320" i="30"/>
  <c r="AN320" i="30"/>
  <c r="AM320" i="30"/>
  <c r="AL320" i="30"/>
  <c r="AK320" i="30"/>
  <c r="AJ320" i="30"/>
  <c r="AI320" i="30"/>
  <c r="AH320" i="30"/>
  <c r="AG320" i="30"/>
  <c r="AF320" i="30"/>
  <c r="AE320" i="30"/>
  <c r="AD320" i="30"/>
  <c r="AC320" i="30"/>
  <c r="AB320" i="30"/>
  <c r="AA320" i="30"/>
  <c r="Z320" i="30"/>
  <c r="Y320" i="30"/>
  <c r="X320" i="30"/>
  <c r="W320" i="30"/>
  <c r="V320" i="30"/>
  <c r="U320" i="30"/>
  <c r="T320" i="30"/>
  <c r="S320" i="30"/>
  <c r="R320" i="30"/>
  <c r="Q320" i="30"/>
  <c r="P320" i="30"/>
  <c r="O320" i="30"/>
  <c r="N320" i="30"/>
  <c r="M320" i="30"/>
  <c r="L320" i="30"/>
  <c r="K320" i="30"/>
  <c r="J320" i="30"/>
  <c r="I320" i="30"/>
  <c r="H320" i="30"/>
  <c r="G320" i="30"/>
  <c r="F320" i="30"/>
  <c r="E320" i="30"/>
  <c r="A304" i="30"/>
  <c r="A297" i="30"/>
  <c r="A290" i="30"/>
  <c r="A288" i="30"/>
  <c r="A287" i="30"/>
  <c r="A286" i="30"/>
  <c r="A279" i="30"/>
  <c r="A278" i="30"/>
  <c r="A277" i="30"/>
  <c r="A271" i="30"/>
  <c r="A270" i="30"/>
  <c r="A269" i="30"/>
  <c r="A267" i="30"/>
  <c r="A266" i="30"/>
  <c r="C265" i="30"/>
  <c r="A262" i="30"/>
  <c r="A258" i="30"/>
  <c r="A257" i="30"/>
  <c r="A256" i="30"/>
  <c r="A254" i="30"/>
  <c r="A253" i="30"/>
  <c r="C252" i="30"/>
  <c r="A249" i="30"/>
  <c r="A245" i="30"/>
  <c r="A244" i="30"/>
  <c r="A243" i="30"/>
  <c r="A241" i="30"/>
  <c r="A240" i="30"/>
  <c r="C239" i="30"/>
  <c r="A236" i="30"/>
  <c r="A235" i="30"/>
  <c r="A233" i="30"/>
  <c r="A232" i="30"/>
  <c r="A229" i="30"/>
  <c r="A228" i="30"/>
  <c r="A227" i="30"/>
  <c r="A226" i="30"/>
  <c r="A225" i="30"/>
  <c r="A224" i="30"/>
  <c r="A223" i="30"/>
  <c r="A221" i="30"/>
  <c r="A220" i="30"/>
  <c r="A219" i="30"/>
  <c r="A218" i="30"/>
  <c r="A217" i="30"/>
  <c r="A216" i="30"/>
  <c r="A215" i="30"/>
  <c r="A213" i="30"/>
  <c r="A212" i="30"/>
  <c r="A211" i="30"/>
  <c r="A210" i="30"/>
  <c r="A209" i="30"/>
  <c r="A208" i="30"/>
  <c r="A207" i="30"/>
  <c r="A198" i="30"/>
  <c r="A197" i="30"/>
  <c r="A196" i="30"/>
  <c r="A192" i="30"/>
  <c r="DU183" i="30"/>
  <c r="DT183" i="30"/>
  <c r="DS183" i="30"/>
  <c r="DR183" i="30"/>
  <c r="DQ183" i="30"/>
  <c r="DP183" i="30"/>
  <c r="DO183" i="30"/>
  <c r="DN183" i="30"/>
  <c r="DM183" i="30"/>
  <c r="DL183" i="30"/>
  <c r="DK183" i="30"/>
  <c r="DJ183" i="30"/>
  <c r="DI183" i="30"/>
  <c r="DH183" i="30"/>
  <c r="DG183" i="30"/>
  <c r="DF183" i="30"/>
  <c r="DE183" i="30"/>
  <c r="DD183" i="30"/>
  <c r="DC183" i="30"/>
  <c r="DB183" i="30"/>
  <c r="DA183" i="30"/>
  <c r="CZ183" i="30"/>
  <c r="CY183" i="30"/>
  <c r="CX183" i="30"/>
  <c r="CW183" i="30"/>
  <c r="CV183" i="30"/>
  <c r="CU183" i="30"/>
  <c r="CT183" i="30"/>
  <c r="CS183" i="30"/>
  <c r="CR183" i="30"/>
  <c r="CQ183" i="30"/>
  <c r="CP183" i="30"/>
  <c r="CO183" i="30"/>
  <c r="CN183" i="30"/>
  <c r="CM183" i="30"/>
  <c r="CL183" i="30"/>
  <c r="CK183" i="30"/>
  <c r="CJ183" i="30"/>
  <c r="CI183" i="30"/>
  <c r="CH183" i="30"/>
  <c r="CG183" i="30"/>
  <c r="CF183" i="30"/>
  <c r="CE183" i="30"/>
  <c r="CD183" i="30"/>
  <c r="CC183" i="30"/>
  <c r="CB183" i="30"/>
  <c r="CA183" i="30"/>
  <c r="BZ183" i="30"/>
  <c r="BY183" i="30"/>
  <c r="BX183" i="30"/>
  <c r="BW183" i="30"/>
  <c r="BV183" i="30"/>
  <c r="BU183" i="30"/>
  <c r="BT183" i="30"/>
  <c r="BS183" i="30"/>
  <c r="BR183" i="30"/>
  <c r="BQ183" i="30"/>
  <c r="BP183" i="30"/>
  <c r="BO183" i="30"/>
  <c r="BN183" i="30"/>
  <c r="BM183" i="30"/>
  <c r="BL183" i="30"/>
  <c r="BK183" i="30"/>
  <c r="BJ183" i="30"/>
  <c r="BI183" i="30"/>
  <c r="BH183" i="30"/>
  <c r="BG183" i="30"/>
  <c r="BF183" i="30"/>
  <c r="BE183" i="30"/>
  <c r="BD183" i="30"/>
  <c r="BC183" i="30"/>
  <c r="BB183" i="30"/>
  <c r="BA183" i="30"/>
  <c r="AZ183" i="30"/>
  <c r="AY183" i="30"/>
  <c r="AX183" i="30"/>
  <c r="AW183" i="30"/>
  <c r="AV183" i="30"/>
  <c r="AU183" i="30"/>
  <c r="AT183" i="30"/>
  <c r="AS183" i="30"/>
  <c r="AR183" i="30"/>
  <c r="AQ183" i="30"/>
  <c r="AP183" i="30"/>
  <c r="AO183" i="30"/>
  <c r="AN183" i="30"/>
  <c r="AM183" i="30"/>
  <c r="AL183" i="30"/>
  <c r="AK183" i="30"/>
  <c r="AJ183" i="30"/>
  <c r="AI183" i="30"/>
  <c r="AH183" i="30"/>
  <c r="AG183" i="30"/>
  <c r="AF183" i="30"/>
  <c r="AE183" i="30"/>
  <c r="AD183" i="30"/>
  <c r="AC183" i="30"/>
  <c r="AB183" i="30"/>
  <c r="AA183" i="30"/>
  <c r="Z183" i="30"/>
  <c r="Y183" i="30"/>
  <c r="X183" i="30"/>
  <c r="W183" i="30"/>
  <c r="V183" i="30"/>
  <c r="U183" i="30"/>
  <c r="T183" i="30"/>
  <c r="S183" i="30"/>
  <c r="R183" i="30"/>
  <c r="Q183" i="30"/>
  <c r="P183" i="30"/>
  <c r="DU182" i="30"/>
  <c r="DT182" i="30"/>
  <c r="DS182" i="30"/>
  <c r="DR182" i="30"/>
  <c r="DQ182" i="30"/>
  <c r="DP182" i="30"/>
  <c r="DO182" i="30"/>
  <c r="DN182" i="30"/>
  <c r="DM182" i="30"/>
  <c r="DL182" i="30"/>
  <c r="DK182" i="30"/>
  <c r="DJ182" i="30"/>
  <c r="DI182" i="30"/>
  <c r="DH182" i="30"/>
  <c r="DG182" i="30"/>
  <c r="DF182" i="30"/>
  <c r="DE182" i="30"/>
  <c r="DD182" i="30"/>
  <c r="DC182" i="30"/>
  <c r="DB182" i="30"/>
  <c r="DA182" i="30"/>
  <c r="CZ182" i="30"/>
  <c r="CY182" i="30"/>
  <c r="CX182" i="30"/>
  <c r="CW182" i="30"/>
  <c r="CV182" i="30"/>
  <c r="CU182" i="30"/>
  <c r="CT182" i="30"/>
  <c r="CS182" i="30"/>
  <c r="CR182" i="30"/>
  <c r="CQ182" i="30"/>
  <c r="CP182" i="30"/>
  <c r="CO182" i="30"/>
  <c r="CN182" i="30"/>
  <c r="CM182" i="30"/>
  <c r="CL182" i="30"/>
  <c r="CK182" i="30"/>
  <c r="CJ182" i="30"/>
  <c r="CI182" i="30"/>
  <c r="CH182" i="30"/>
  <c r="CG182" i="30"/>
  <c r="CF182" i="30"/>
  <c r="CE182" i="30"/>
  <c r="CD182" i="30"/>
  <c r="CC182" i="30"/>
  <c r="CB182" i="30"/>
  <c r="CA182" i="30"/>
  <c r="BZ182" i="30"/>
  <c r="BY182" i="30"/>
  <c r="BX182" i="30"/>
  <c r="BW182" i="30"/>
  <c r="BV182" i="30"/>
  <c r="BU182" i="30"/>
  <c r="BT182" i="30"/>
  <c r="BS182" i="30"/>
  <c r="BR182" i="30"/>
  <c r="BQ182" i="30"/>
  <c r="BP182" i="30"/>
  <c r="BO182" i="30"/>
  <c r="BN182" i="30"/>
  <c r="BM182" i="30"/>
  <c r="BL182" i="30"/>
  <c r="BK182" i="30"/>
  <c r="BJ182" i="30"/>
  <c r="BI182" i="30"/>
  <c r="BH182" i="30"/>
  <c r="BG182" i="30"/>
  <c r="BF182" i="30"/>
  <c r="BE182" i="30"/>
  <c r="BD182" i="30"/>
  <c r="BC182" i="30"/>
  <c r="BB182" i="30"/>
  <c r="BA182" i="30"/>
  <c r="AZ182" i="30"/>
  <c r="AY182" i="30"/>
  <c r="AX182" i="30"/>
  <c r="AW182" i="30"/>
  <c r="AV182" i="30"/>
  <c r="AU182" i="30"/>
  <c r="AT182" i="30"/>
  <c r="AS182" i="30"/>
  <c r="AR182" i="30"/>
  <c r="AQ182" i="30"/>
  <c r="AP182" i="30"/>
  <c r="AO182" i="30"/>
  <c r="AN182" i="30"/>
  <c r="AM182" i="30"/>
  <c r="AL182" i="30"/>
  <c r="AK182" i="30"/>
  <c r="AJ182" i="30"/>
  <c r="AI182" i="30"/>
  <c r="AH182" i="30"/>
  <c r="AG182" i="30"/>
  <c r="AF182" i="30"/>
  <c r="AE182" i="30"/>
  <c r="AD182" i="30"/>
  <c r="AC182" i="30"/>
  <c r="AB182" i="30"/>
  <c r="AA182" i="30"/>
  <c r="Z182" i="30"/>
  <c r="Y182" i="30"/>
  <c r="X182" i="30"/>
  <c r="W182" i="30"/>
  <c r="V182" i="30"/>
  <c r="U182" i="30"/>
  <c r="T182" i="30"/>
  <c r="S182" i="30"/>
  <c r="R182" i="30"/>
  <c r="Q182" i="30"/>
  <c r="A177" i="30"/>
  <c r="A176" i="30"/>
  <c r="A175" i="30"/>
  <c r="A171" i="30"/>
  <c r="A168" i="30"/>
  <c r="A165" i="30"/>
  <c r="EG158" i="30" a="1"/>
  <c r="EF158" i="30" a="1"/>
  <c r="EE158" i="30" a="1"/>
  <c r="ED158" i="30" a="1"/>
  <c r="EC158" i="30" a="1"/>
  <c r="EB158" i="30" a="1"/>
  <c r="EA158" i="30" a="1"/>
  <c r="DZ158" i="30" a="1"/>
  <c r="DY158" i="30" a="1"/>
  <c r="DX158" i="30" a="1"/>
  <c r="DW158" i="30" a="1"/>
  <c r="DV158" i="30" a="1"/>
  <c r="DU158" i="30" a="1"/>
  <c r="DT158" i="30" a="1"/>
  <c r="DS158" i="30" a="1"/>
  <c r="DR158" i="30" a="1"/>
  <c r="DQ158" i="30" a="1"/>
  <c r="DP158" i="30" a="1"/>
  <c r="DO158" i="30" a="1"/>
  <c r="DN158" i="30" a="1"/>
  <c r="DM158" i="30" a="1"/>
  <c r="DL158" i="30" a="1"/>
  <c r="DK158" i="30" a="1"/>
  <c r="DJ158" i="30" a="1"/>
  <c r="DI158" i="30" a="1"/>
  <c r="DH158" i="30" a="1"/>
  <c r="DG158" i="30" a="1"/>
  <c r="DF158" i="30" a="1"/>
  <c r="DE158" i="30" a="1"/>
  <c r="DD158" i="30" a="1"/>
  <c r="DC158" i="30" a="1"/>
  <c r="DB158" i="30" a="1"/>
  <c r="DA158" i="30" a="1"/>
  <c r="CZ158" i="30" a="1"/>
  <c r="CY158" i="30" a="1"/>
  <c r="CX158" i="30" a="1"/>
  <c r="CW158" i="30" a="1"/>
  <c r="CV158" i="30" a="1"/>
  <c r="CU158" i="30" a="1"/>
  <c r="CT158" i="30" a="1"/>
  <c r="CS158" i="30" a="1"/>
  <c r="CR158" i="30" a="1"/>
  <c r="CQ158" i="30" a="1"/>
  <c r="CP158" i="30" a="1"/>
  <c r="CO158" i="30" a="1"/>
  <c r="CN158" i="30" a="1"/>
  <c r="CM158" i="30" a="1"/>
  <c r="CL158" i="30" a="1"/>
  <c r="CK158" i="30" a="1"/>
  <c r="CJ158" i="30" a="1"/>
  <c r="CI158" i="30" a="1"/>
  <c r="CH158" i="30" a="1"/>
  <c r="CG158" i="30" a="1"/>
  <c r="CF158" i="30" a="1"/>
  <c r="CE158" i="30" a="1"/>
  <c r="CD158" i="30" a="1"/>
  <c r="CC158" i="30" a="1"/>
  <c r="CB158" i="30" a="1"/>
  <c r="CA158" i="30" a="1"/>
  <c r="BZ158" i="30" a="1"/>
  <c r="BY158" i="30" a="1"/>
  <c r="BX158" i="30" a="1"/>
  <c r="BW158" i="30" a="1"/>
  <c r="BV158" i="30" a="1"/>
  <c r="BU158" i="30" a="1"/>
  <c r="BT158" i="30" a="1"/>
  <c r="BS158" i="30" a="1"/>
  <c r="BR158" i="30" a="1"/>
  <c r="BQ158" i="30" a="1"/>
  <c r="BP158" i="30" a="1"/>
  <c r="BO158" i="30" a="1"/>
  <c r="BN158" i="30" a="1"/>
  <c r="BM158" i="30" a="1"/>
  <c r="BL158" i="30" a="1"/>
  <c r="BK158" i="30" a="1"/>
  <c r="BJ158" i="30" a="1"/>
  <c r="BI158" i="30" a="1"/>
  <c r="BH158" i="30" a="1"/>
  <c r="BG158" i="30" a="1"/>
  <c r="BF158" i="30" a="1"/>
  <c r="BE158" i="30" a="1"/>
  <c r="BD158" i="30" a="1"/>
  <c r="BC158" i="30" a="1"/>
  <c r="BB158" i="30" a="1"/>
  <c r="BA158" i="30" a="1"/>
  <c r="AZ158" i="30" a="1"/>
  <c r="AY158" i="30" a="1"/>
  <c r="AX158" i="30" a="1"/>
  <c r="AW158" i="30" a="1"/>
  <c r="AV158" i="30" a="1"/>
  <c r="AU158" i="30" a="1"/>
  <c r="AT158" i="30" a="1"/>
  <c r="AS158" i="30" a="1"/>
  <c r="AR158" i="30" a="1"/>
  <c r="AQ158" i="30" a="1"/>
  <c r="AP158" i="30" a="1"/>
  <c r="AO158" i="30" a="1"/>
  <c r="AN158" i="30" a="1"/>
  <c r="AM158" i="30" a="1"/>
  <c r="AL158" i="30" a="1"/>
  <c r="AK158" i="30" a="1"/>
  <c r="AJ158" i="30" a="1"/>
  <c r="AI158" i="30" a="1"/>
  <c r="AH158" i="30" a="1"/>
  <c r="AG158" i="30" a="1"/>
  <c r="AF158" i="30" a="1"/>
  <c r="AE158" i="30" a="1"/>
  <c r="AD158" i="30" a="1"/>
  <c r="AC158" i="30" a="1"/>
  <c r="AB158" i="30" a="1"/>
  <c r="AA158" i="30" a="1"/>
  <c r="Z158" i="30" a="1"/>
  <c r="Y158" i="30" a="1"/>
  <c r="X158" i="30" a="1"/>
  <c r="W158" i="30" a="1"/>
  <c r="V158" i="30" a="1"/>
  <c r="U158" i="30" a="1"/>
  <c r="T158" i="30" a="1"/>
  <c r="S158" i="30" a="1"/>
  <c r="R158" i="30" a="1"/>
  <c r="Q158" i="30" a="1"/>
  <c r="P158" i="30" a="1"/>
  <c r="O158" i="30" a="1"/>
  <c r="N158" i="30" a="1"/>
  <c r="M158" i="30" a="1"/>
  <c r="L158" i="30" a="1"/>
  <c r="K158" i="30" a="1"/>
  <c r="J158" i="30" a="1"/>
  <c r="I158" i="30" a="1"/>
  <c r="H158" i="30" a="1"/>
  <c r="G158" i="30" a="1"/>
  <c r="F158" i="30" a="1"/>
  <c r="A148" i="30"/>
  <c r="A147" i="30"/>
  <c r="A146" i="30"/>
  <c r="A142" i="30"/>
  <c r="A140" i="30"/>
  <c r="A138" i="30"/>
  <c r="A136" i="30"/>
  <c r="A134" i="30"/>
  <c r="A132" i="30"/>
  <c r="A106" i="30"/>
  <c r="A95" i="30"/>
  <c r="EG92" i="30"/>
  <c r="EG98" i="30" s="1"/>
  <c r="EF92" i="30"/>
  <c r="EF98" i="30" s="1"/>
  <c r="EE92" i="30"/>
  <c r="EE98" i="30" s="1"/>
  <c r="ED92" i="30"/>
  <c r="ED98" i="30" s="1"/>
  <c r="EC92" i="30"/>
  <c r="EC98" i="30" s="1"/>
  <c r="EB92" i="30"/>
  <c r="EB98" i="30" s="1"/>
  <c r="EA92" i="30"/>
  <c r="EA98" i="30" s="1"/>
  <c r="DZ92" i="30"/>
  <c r="DZ98" i="30" s="1"/>
  <c r="DY92" i="30"/>
  <c r="DY98" i="30" s="1"/>
  <c r="DX92" i="30"/>
  <c r="DX98" i="30" s="1"/>
  <c r="DW92" i="30"/>
  <c r="DW98" i="30" s="1"/>
  <c r="DV92" i="30"/>
  <c r="DV98" i="30" s="1"/>
  <c r="DU92" i="30"/>
  <c r="DU98" i="30" s="1"/>
  <c r="DT92" i="30"/>
  <c r="DT98" i="30" s="1"/>
  <c r="DS92" i="30"/>
  <c r="DS98" i="30" s="1"/>
  <c r="DR92" i="30"/>
  <c r="DR98" i="30" s="1"/>
  <c r="DQ92" i="30"/>
  <c r="DQ98" i="30" s="1"/>
  <c r="DP92" i="30"/>
  <c r="DP98" i="30" s="1"/>
  <c r="DO92" i="30"/>
  <c r="DO98" i="30" s="1"/>
  <c r="DN92" i="30"/>
  <c r="DN98" i="30" s="1"/>
  <c r="DM92" i="30"/>
  <c r="DM98" i="30" s="1"/>
  <c r="DL92" i="30"/>
  <c r="DL98" i="30" s="1"/>
  <c r="DK92" i="30"/>
  <c r="DK98" i="30" s="1"/>
  <c r="DJ92" i="30"/>
  <c r="DJ98" i="30" s="1"/>
  <c r="DI92" i="30"/>
  <c r="DI98" i="30" s="1"/>
  <c r="DH92" i="30"/>
  <c r="DH98" i="30" s="1"/>
  <c r="DG92" i="30"/>
  <c r="DG98" i="30" s="1"/>
  <c r="DF92" i="30"/>
  <c r="DF98" i="30" s="1"/>
  <c r="DE92" i="30"/>
  <c r="DE98" i="30" s="1"/>
  <c r="DD92" i="30"/>
  <c r="DD98" i="30" s="1"/>
  <c r="DC92" i="30"/>
  <c r="DC98" i="30" s="1"/>
  <c r="DB92" i="30"/>
  <c r="DB98" i="30" s="1"/>
  <c r="DA92" i="30"/>
  <c r="DA98" i="30" s="1"/>
  <c r="CZ92" i="30"/>
  <c r="CZ98" i="30" s="1"/>
  <c r="CY92" i="30"/>
  <c r="CY98" i="30" s="1"/>
  <c r="CX92" i="30"/>
  <c r="CX98" i="30" s="1"/>
  <c r="CW92" i="30"/>
  <c r="CW98" i="30" s="1"/>
  <c r="CV92" i="30"/>
  <c r="CV98" i="30" s="1"/>
  <c r="CU92" i="30"/>
  <c r="CU98" i="30" s="1"/>
  <c r="CT92" i="30"/>
  <c r="CT98" i="30" s="1"/>
  <c r="CS92" i="30"/>
  <c r="CS98" i="30" s="1"/>
  <c r="CR92" i="30"/>
  <c r="CR98" i="30" s="1"/>
  <c r="CQ92" i="30"/>
  <c r="CQ98" i="30" s="1"/>
  <c r="CP92" i="30"/>
  <c r="CP98" i="30" s="1"/>
  <c r="CO92" i="30"/>
  <c r="CO98" i="30" s="1"/>
  <c r="CN92" i="30"/>
  <c r="CN98" i="30" s="1"/>
  <c r="CM92" i="30"/>
  <c r="CM98" i="30" s="1"/>
  <c r="CL92" i="30"/>
  <c r="CL98" i="30" s="1"/>
  <c r="CK92" i="30"/>
  <c r="CK98" i="30" s="1"/>
  <c r="CJ92" i="30"/>
  <c r="CJ98" i="30" s="1"/>
  <c r="CI92" i="30"/>
  <c r="CI98" i="30" s="1"/>
  <c r="CH92" i="30"/>
  <c r="CH98" i="30" s="1"/>
  <c r="CG92" i="30"/>
  <c r="CG98" i="30" s="1"/>
  <c r="CF92" i="30"/>
  <c r="CF98" i="30" s="1"/>
  <c r="CE92" i="30"/>
  <c r="CE98" i="30" s="1"/>
  <c r="CD92" i="30"/>
  <c r="CD98" i="30" s="1"/>
  <c r="CC92" i="30"/>
  <c r="CC98" i="30" s="1"/>
  <c r="CB92" i="30"/>
  <c r="CB98" i="30" s="1"/>
  <c r="CA92" i="30"/>
  <c r="CA98" i="30" s="1"/>
  <c r="BZ92" i="30"/>
  <c r="BZ98" i="30" s="1"/>
  <c r="BY92" i="30"/>
  <c r="BY98" i="30" s="1"/>
  <c r="BX92" i="30"/>
  <c r="BX98" i="30" s="1"/>
  <c r="BW92" i="30"/>
  <c r="BW98" i="30" s="1"/>
  <c r="BV92" i="30"/>
  <c r="BV98" i="30" s="1"/>
  <c r="BU92" i="30"/>
  <c r="BU98" i="30" s="1"/>
  <c r="BT92" i="30"/>
  <c r="BT98" i="30" s="1"/>
  <c r="BS92" i="30"/>
  <c r="BS98" i="30" s="1"/>
  <c r="BR92" i="30"/>
  <c r="BR98" i="30" s="1"/>
  <c r="BQ92" i="30"/>
  <c r="BQ98" i="30" s="1"/>
  <c r="BP92" i="30"/>
  <c r="BP98" i="30" s="1"/>
  <c r="BO92" i="30"/>
  <c r="BO98" i="30" s="1"/>
  <c r="BN92" i="30"/>
  <c r="BN98" i="30" s="1"/>
  <c r="BM92" i="30"/>
  <c r="BM98" i="30" s="1"/>
  <c r="BL92" i="30"/>
  <c r="BL98" i="30" s="1"/>
  <c r="BK92" i="30"/>
  <c r="BK98" i="30" s="1"/>
  <c r="BJ92" i="30"/>
  <c r="BJ98" i="30" s="1"/>
  <c r="BI92" i="30"/>
  <c r="BI98" i="30" s="1"/>
  <c r="BH92" i="30"/>
  <c r="BH98" i="30" s="1"/>
  <c r="BG92" i="30"/>
  <c r="BG98" i="30" s="1"/>
  <c r="BF92" i="30"/>
  <c r="BF98" i="30" s="1"/>
  <c r="BE92" i="30"/>
  <c r="BE98" i="30" s="1"/>
  <c r="BD92" i="30"/>
  <c r="BD98" i="30" s="1"/>
  <c r="BC92" i="30"/>
  <c r="BC98" i="30" s="1"/>
  <c r="BB92" i="30"/>
  <c r="BB98" i="30" s="1"/>
  <c r="BA92" i="30"/>
  <c r="BA98" i="30" s="1"/>
  <c r="AZ92" i="30"/>
  <c r="AZ98" i="30" s="1"/>
  <c r="AY92" i="30"/>
  <c r="AY98" i="30" s="1"/>
  <c r="AX92" i="30"/>
  <c r="AX98" i="30" s="1"/>
  <c r="AW92" i="30"/>
  <c r="AW98" i="30" s="1"/>
  <c r="AV92" i="30"/>
  <c r="AV98" i="30" s="1"/>
  <c r="AU92" i="30"/>
  <c r="AU98" i="30" s="1"/>
  <c r="AT92" i="30"/>
  <c r="AT98" i="30" s="1"/>
  <c r="AS92" i="30"/>
  <c r="AS98" i="30" s="1"/>
  <c r="AR92" i="30"/>
  <c r="AR98" i="30" s="1"/>
  <c r="AQ92" i="30"/>
  <c r="AQ98" i="30" s="1"/>
  <c r="AP92" i="30"/>
  <c r="AP98" i="30" s="1"/>
  <c r="AO92" i="30"/>
  <c r="AO98" i="30" s="1"/>
  <c r="AN92" i="30"/>
  <c r="AN98" i="30" s="1"/>
  <c r="AM92" i="30"/>
  <c r="AM98" i="30" s="1"/>
  <c r="AL92" i="30"/>
  <c r="AL98" i="30" s="1"/>
  <c r="AK92" i="30"/>
  <c r="AK98" i="30" s="1"/>
  <c r="AJ92" i="30"/>
  <c r="AJ98" i="30" s="1"/>
  <c r="AI92" i="30"/>
  <c r="AI98" i="30" s="1"/>
  <c r="AH92" i="30"/>
  <c r="AH98" i="30" s="1"/>
  <c r="AG92" i="30"/>
  <c r="AG98" i="30" s="1"/>
  <c r="AF92" i="30"/>
  <c r="AF98" i="30" s="1"/>
  <c r="AE92" i="30"/>
  <c r="AE98" i="30" s="1"/>
  <c r="AD92" i="30"/>
  <c r="AD98" i="30" s="1"/>
  <c r="AC92" i="30"/>
  <c r="AC98" i="30" s="1"/>
  <c r="AB92" i="30"/>
  <c r="AB98" i="30" s="1"/>
  <c r="AA92" i="30"/>
  <c r="AA98" i="30" s="1"/>
  <c r="Z92" i="30"/>
  <c r="Z98" i="30" s="1"/>
  <c r="Y92" i="30"/>
  <c r="Y98" i="30" s="1"/>
  <c r="X92" i="30"/>
  <c r="X98" i="30" s="1"/>
  <c r="W92" i="30"/>
  <c r="W98" i="30" s="1"/>
  <c r="V92" i="30"/>
  <c r="V98" i="30" s="1"/>
  <c r="U92" i="30"/>
  <c r="U98" i="30" s="1"/>
  <c r="T92" i="30"/>
  <c r="T98" i="30" s="1"/>
  <c r="S92" i="30"/>
  <c r="S98" i="30" s="1"/>
  <c r="R92" i="30"/>
  <c r="R98" i="30" s="1"/>
  <c r="Q92" i="30"/>
  <c r="Q98" i="30" s="1"/>
  <c r="P92" i="30"/>
  <c r="P98" i="30" s="1"/>
  <c r="O92" i="30"/>
  <c r="O98" i="30" s="1"/>
  <c r="N92" i="30"/>
  <c r="N98" i="30" s="1"/>
  <c r="M92" i="30"/>
  <c r="M98" i="30" s="1"/>
  <c r="L92" i="30"/>
  <c r="L98" i="30" s="1"/>
  <c r="K92" i="30"/>
  <c r="K98" i="30" s="1"/>
  <c r="J92" i="30"/>
  <c r="J98" i="30" s="1"/>
  <c r="I92" i="30"/>
  <c r="I98" i="30" s="1"/>
  <c r="H92" i="30"/>
  <c r="H98" i="30" s="1"/>
  <c r="G92" i="30"/>
  <c r="G98" i="30" s="1"/>
  <c r="F92" i="30"/>
  <c r="F98" i="30" s="1"/>
  <c r="E92" i="30"/>
  <c r="E98" i="30" s="1"/>
  <c r="A90" i="30"/>
  <c r="A81" i="30"/>
  <c r="A70" i="30"/>
  <c r="A65" i="30"/>
  <c r="A56" i="30"/>
  <c r="A45" i="30"/>
  <c r="A40" i="30"/>
  <c r="E33" i="30"/>
  <c r="EG5" i="30"/>
  <c r="EF5" i="30"/>
  <c r="EE5" i="30"/>
  <c r="ED5" i="30"/>
  <c r="EC5" i="30"/>
  <c r="EB5" i="30"/>
  <c r="EA5" i="30"/>
  <c r="DZ5" i="30"/>
  <c r="DY5" i="30"/>
  <c r="DX5" i="30"/>
  <c r="DW5" i="30"/>
  <c r="DV5" i="30"/>
  <c r="DU5" i="30"/>
  <c r="DT5" i="30"/>
  <c r="DS5" i="30"/>
  <c r="DR5" i="30"/>
  <c r="DQ5" i="30"/>
  <c r="DP5" i="30"/>
  <c r="DO5" i="30"/>
  <c r="DN5" i="30"/>
  <c r="DM5" i="30"/>
  <c r="DL5" i="30"/>
  <c r="DK5" i="30"/>
  <c r="DJ5" i="30"/>
  <c r="DI5" i="30"/>
  <c r="DH5" i="30"/>
  <c r="DG5" i="30"/>
  <c r="DF5" i="30"/>
  <c r="DE5" i="30"/>
  <c r="DD5" i="30"/>
  <c r="DC5" i="30"/>
  <c r="DB5" i="30"/>
  <c r="DA5" i="30"/>
  <c r="CZ5" i="30"/>
  <c r="CY5" i="30"/>
  <c r="CX5" i="30"/>
  <c r="CW5" i="30"/>
  <c r="CV5" i="30"/>
  <c r="CU5" i="30"/>
  <c r="CT5" i="30"/>
  <c r="CS5" i="30"/>
  <c r="CR5" i="30"/>
  <c r="CQ5" i="30"/>
  <c r="CP5" i="30"/>
  <c r="CO5" i="30"/>
  <c r="CN5" i="30"/>
  <c r="CM5" i="30"/>
  <c r="CL5" i="30"/>
  <c r="CK5" i="30"/>
  <c r="CJ5" i="30"/>
  <c r="CI5" i="30"/>
  <c r="CH5" i="30"/>
  <c r="CG5" i="30"/>
  <c r="CF5" i="30"/>
  <c r="CE5" i="30"/>
  <c r="CD5" i="30"/>
  <c r="CC5" i="30"/>
  <c r="CB5" i="30"/>
  <c r="CA5" i="30"/>
  <c r="BZ5" i="30"/>
  <c r="BY5" i="30"/>
  <c r="BX5" i="30"/>
  <c r="BW5" i="30"/>
  <c r="BV5" i="30"/>
  <c r="BU5" i="30"/>
  <c r="BT5" i="30"/>
  <c r="BS5" i="30"/>
  <c r="BR5" i="30"/>
  <c r="BQ5" i="30"/>
  <c r="BP5" i="30"/>
  <c r="BO5" i="30"/>
  <c r="BN5" i="30"/>
  <c r="BM5" i="30"/>
  <c r="BL5" i="30"/>
  <c r="BK5" i="30"/>
  <c r="BJ5" i="30"/>
  <c r="BI5" i="30"/>
  <c r="BH5" i="30"/>
  <c r="BG5" i="30"/>
  <c r="BF5" i="30"/>
  <c r="BE5" i="30"/>
  <c r="BD5" i="30"/>
  <c r="BC5" i="30"/>
  <c r="BB5" i="30"/>
  <c r="BA5" i="30"/>
  <c r="AZ5" i="30"/>
  <c r="AY5" i="30"/>
  <c r="AX5" i="30"/>
  <c r="AW5" i="30"/>
  <c r="AV5" i="30"/>
  <c r="AU5" i="30"/>
  <c r="AT5" i="30"/>
  <c r="AS5" i="30"/>
  <c r="AR5" i="30"/>
  <c r="AQ5" i="30"/>
  <c r="AP5" i="30"/>
  <c r="AO5" i="30"/>
  <c r="AN5" i="30"/>
  <c r="AM5" i="30"/>
  <c r="AL5" i="30"/>
  <c r="AK5" i="30"/>
  <c r="AJ5" i="30"/>
  <c r="AI5" i="30"/>
  <c r="AH5" i="30"/>
  <c r="AG5" i="30"/>
  <c r="AF5" i="30"/>
  <c r="AE5" i="30"/>
  <c r="AD5" i="30"/>
  <c r="AC5" i="30"/>
  <c r="AB5" i="30"/>
  <c r="AA5" i="30"/>
  <c r="Z5" i="30"/>
  <c r="Y5" i="30"/>
  <c r="X5" i="30"/>
  <c r="W5" i="30"/>
  <c r="V5" i="30"/>
  <c r="U5" i="30"/>
  <c r="T5" i="30"/>
  <c r="S5" i="30"/>
  <c r="R5" i="30"/>
  <c r="Q5" i="30"/>
  <c r="P5" i="30"/>
  <c r="O5" i="30"/>
  <c r="N5" i="30"/>
  <c r="M5" i="30"/>
  <c r="L5" i="30"/>
  <c r="K5" i="30"/>
  <c r="J5" i="30"/>
  <c r="I5" i="30"/>
  <c r="H5" i="30"/>
  <c r="G5" i="30"/>
  <c r="F5" i="30"/>
  <c r="E5" i="30"/>
  <c r="A3" i="30"/>
  <c r="A2" i="30"/>
  <c r="A1" i="30"/>
  <c r="E348" i="30"/>
  <c r="E337" i="30"/>
  <c r="AC317" i="30"/>
  <c r="AO317" i="30" s="1"/>
  <c r="BA317" i="30" s="1"/>
  <c r="BM317" i="30" s="1"/>
  <c r="BY317" i="30" s="1"/>
  <c r="CK317" i="30" s="1"/>
  <c r="CW317" i="30" s="1"/>
  <c r="DI317" i="30" s="1"/>
  <c r="DU317" i="30" s="1"/>
  <c r="EG317" i="30" s="1"/>
  <c r="AB317" i="30"/>
  <c r="AN317" i="30" s="1"/>
  <c r="AZ317" i="30" s="1"/>
  <c r="BL317" i="30" s="1"/>
  <c r="BX317" i="30" s="1"/>
  <c r="CJ317" i="30" s="1"/>
  <c r="CV317" i="30" s="1"/>
  <c r="DH317" i="30" s="1"/>
  <c r="DT317" i="30" s="1"/>
  <c r="EF317" i="30" s="1"/>
  <c r="AA317" i="30"/>
  <c r="AM317" i="30" s="1"/>
  <c r="AY317" i="30" s="1"/>
  <c r="BK317" i="30" s="1"/>
  <c r="BW317" i="30" s="1"/>
  <c r="CI317" i="30" s="1"/>
  <c r="CU317" i="30" s="1"/>
  <c r="DG317" i="30" s="1"/>
  <c r="DS317" i="30" s="1"/>
  <c r="EE317" i="30" s="1"/>
  <c r="Z317" i="30"/>
  <c r="AL317" i="30" s="1"/>
  <c r="AX317" i="30" s="1"/>
  <c r="BJ317" i="30" s="1"/>
  <c r="BV317" i="30" s="1"/>
  <c r="CH317" i="30" s="1"/>
  <c r="CT317" i="30" s="1"/>
  <c r="DF317" i="30" s="1"/>
  <c r="DR317" i="30" s="1"/>
  <c r="ED317" i="30" s="1"/>
  <c r="Y317" i="30"/>
  <c r="AK317" i="30" s="1"/>
  <c r="AW317" i="30" s="1"/>
  <c r="BI317" i="30" s="1"/>
  <c r="BU317" i="30" s="1"/>
  <c r="CG317" i="30" s="1"/>
  <c r="CS317" i="30" s="1"/>
  <c r="DE317" i="30" s="1"/>
  <c r="DQ317" i="30" s="1"/>
  <c r="EC317" i="30" s="1"/>
  <c r="X317" i="30"/>
  <c r="AJ317" i="30" s="1"/>
  <c r="AV317" i="30" s="1"/>
  <c r="BH317" i="30" s="1"/>
  <c r="BT317" i="30" s="1"/>
  <c r="CF317" i="30" s="1"/>
  <c r="CR317" i="30" s="1"/>
  <c r="DD317" i="30" s="1"/>
  <c r="DP317" i="30" s="1"/>
  <c r="EB317" i="30" s="1"/>
  <c r="W317" i="30"/>
  <c r="AI317" i="30" s="1"/>
  <c r="AU317" i="30" s="1"/>
  <c r="BG317" i="30" s="1"/>
  <c r="BS317" i="30" s="1"/>
  <c r="CE317" i="30" s="1"/>
  <c r="CQ317" i="30" s="1"/>
  <c r="DC317" i="30" s="1"/>
  <c r="DO317" i="30" s="1"/>
  <c r="EA317" i="30" s="1"/>
  <c r="V317" i="30"/>
  <c r="AH317" i="30" s="1"/>
  <c r="AT317" i="30" s="1"/>
  <c r="BF317" i="30" s="1"/>
  <c r="BR317" i="30" s="1"/>
  <c r="CD317" i="30" s="1"/>
  <c r="CP317" i="30" s="1"/>
  <c r="DB317" i="30" s="1"/>
  <c r="DN317" i="30" s="1"/>
  <c r="DZ317" i="30" s="1"/>
  <c r="U317" i="30"/>
  <c r="AG317" i="30" s="1"/>
  <c r="AS317" i="30" s="1"/>
  <c r="BE317" i="30" s="1"/>
  <c r="BQ317" i="30" s="1"/>
  <c r="CC317" i="30" s="1"/>
  <c r="CO317" i="30" s="1"/>
  <c r="DA317" i="30" s="1"/>
  <c r="DM317" i="30" s="1"/>
  <c r="DY317" i="30" s="1"/>
  <c r="T317" i="30"/>
  <c r="AF317" i="30" s="1"/>
  <c r="AR317" i="30" s="1"/>
  <c r="BD317" i="30" s="1"/>
  <c r="BP317" i="30" s="1"/>
  <c r="CB317" i="30" s="1"/>
  <c r="CN317" i="30" s="1"/>
  <c r="CZ317" i="30" s="1"/>
  <c r="DL317" i="30" s="1"/>
  <c r="DX317" i="30" s="1"/>
  <c r="S317" i="30"/>
  <c r="AE317" i="30" s="1"/>
  <c r="AQ317" i="30" s="1"/>
  <c r="BC317" i="30" s="1"/>
  <c r="BO317" i="30" s="1"/>
  <c r="CA317" i="30" s="1"/>
  <c r="CM317" i="30" s="1"/>
  <c r="CY317" i="30" s="1"/>
  <c r="DK317" i="30" s="1"/>
  <c r="DW317" i="30" s="1"/>
  <c r="R317" i="30"/>
  <c r="AD317" i="30" s="1"/>
  <c r="AP317" i="30" s="1"/>
  <c r="BB317" i="30" s="1"/>
  <c r="BN317" i="30" s="1"/>
  <c r="BZ317" i="30" s="1"/>
  <c r="CL317" i="30" s="1"/>
  <c r="CX317" i="30" s="1"/>
  <c r="DJ317" i="30" s="1"/>
  <c r="DV317" i="30" s="1"/>
  <c r="DU190" i="30"/>
  <c r="DT190" i="30"/>
  <c r="DS190" i="30"/>
  <c r="DR190" i="30"/>
  <c r="DQ190" i="30"/>
  <c r="DP190" i="30"/>
  <c r="DO190" i="30"/>
  <c r="DN190" i="30"/>
  <c r="DM190" i="30"/>
  <c r="DL190" i="30"/>
  <c r="DK190" i="30"/>
  <c r="DJ190" i="30"/>
  <c r="DI190" i="30"/>
  <c r="DH190" i="30"/>
  <c r="DG190" i="30"/>
  <c r="DF190" i="30"/>
  <c r="DE190" i="30"/>
  <c r="DD190" i="30"/>
  <c r="DC190" i="30"/>
  <c r="DB190" i="30"/>
  <c r="DA190" i="30"/>
  <c r="CZ190" i="30"/>
  <c r="CY190" i="30"/>
  <c r="CX190" i="30"/>
  <c r="CW190" i="30"/>
  <c r="CV190" i="30"/>
  <c r="CU190" i="30"/>
  <c r="CT190" i="30"/>
  <c r="CS190" i="30"/>
  <c r="CR190" i="30"/>
  <c r="CQ190" i="30"/>
  <c r="CP190" i="30"/>
  <c r="CO190" i="30"/>
  <c r="CN190" i="30"/>
  <c r="CM190" i="30"/>
  <c r="CL190" i="30"/>
  <c r="CK190" i="30"/>
  <c r="CJ190" i="30"/>
  <c r="CI190" i="30"/>
  <c r="CH190" i="30"/>
  <c r="CG190" i="30"/>
  <c r="CF190" i="30"/>
  <c r="CE190" i="30"/>
  <c r="CD190" i="30"/>
  <c r="CC190" i="30"/>
  <c r="CB190" i="30"/>
  <c r="CA190" i="30"/>
  <c r="BZ190" i="30"/>
  <c r="BY190" i="30"/>
  <c r="BX190" i="30"/>
  <c r="BW190" i="30"/>
  <c r="BV190" i="30"/>
  <c r="BU190" i="30"/>
  <c r="BT190" i="30"/>
  <c r="BS190" i="30"/>
  <c r="BR190" i="30"/>
  <c r="BQ190" i="30"/>
  <c r="BP190" i="30"/>
  <c r="BO190" i="30"/>
  <c r="BN190" i="30"/>
  <c r="BM190" i="30"/>
  <c r="BL190" i="30"/>
  <c r="BK190" i="30"/>
  <c r="BJ190" i="30"/>
  <c r="BI190" i="30"/>
  <c r="BH190" i="30"/>
  <c r="BG190" i="30"/>
  <c r="BF190" i="30"/>
  <c r="BE190" i="30"/>
  <c r="BD190" i="30"/>
  <c r="BC190" i="30"/>
  <c r="BB190" i="30"/>
  <c r="BA190" i="30"/>
  <c r="AZ190" i="30"/>
  <c r="AY190" i="30"/>
  <c r="AX190" i="30"/>
  <c r="AW190" i="30"/>
  <c r="AV190" i="30"/>
  <c r="AU190" i="30"/>
  <c r="AT190" i="30"/>
  <c r="AS190" i="30"/>
  <c r="AR190" i="30"/>
  <c r="AQ190" i="30"/>
  <c r="AP190" i="30"/>
  <c r="AO190" i="30"/>
  <c r="AN190" i="30"/>
  <c r="AM190" i="30"/>
  <c r="AL190" i="30"/>
  <c r="AK190" i="30"/>
  <c r="AJ190" i="30"/>
  <c r="AI190" i="30"/>
  <c r="AH190" i="30"/>
  <c r="AG190" i="30"/>
  <c r="AF190" i="30"/>
  <c r="AE190" i="30"/>
  <c r="AD190" i="30"/>
  <c r="AC190" i="30"/>
  <c r="AB190" i="30"/>
  <c r="AA190" i="30"/>
  <c r="Z190" i="30"/>
  <c r="Y190" i="30"/>
  <c r="X190" i="30"/>
  <c r="W190" i="30"/>
  <c r="V190" i="30"/>
  <c r="U190" i="30"/>
  <c r="T190" i="30"/>
  <c r="S190" i="30"/>
  <c r="R190" i="30"/>
  <c r="Q190" i="30"/>
  <c r="E107" i="30"/>
  <c r="E96" i="30"/>
  <c r="E91" i="30"/>
  <c r="E82" i="30"/>
  <c r="E71" i="30"/>
  <c r="E66" i="30"/>
  <c r="E57" i="30"/>
  <c r="E46" i="30"/>
  <c r="E41" i="30"/>
  <c r="E32" i="30"/>
  <c r="E27" i="30"/>
  <c r="E21" i="30"/>
  <c r="E14" i="30"/>
  <c r="E9" i="30"/>
  <c r="G173" i="6"/>
  <c r="G128" i="6"/>
  <c r="EH112" i="6"/>
  <c r="G108" i="6"/>
  <c r="DW107" i="6"/>
  <c r="DK107" i="6"/>
  <c r="DI107" i="6"/>
  <c r="CI107" i="6"/>
  <c r="BE107" i="6"/>
  <c r="O107" i="6"/>
  <c r="O110" i="6" s="1"/>
  <c r="O111" i="6" s="1"/>
  <c r="G105" i="6"/>
  <c r="BF92" i="6"/>
  <c r="EH89" i="6"/>
  <c r="G85" i="6"/>
  <c r="AE84" i="6"/>
  <c r="F72" i="6"/>
  <c r="F35" i="6"/>
  <c r="G31" i="6"/>
  <c r="H27" i="6"/>
  <c r="H23" i="6"/>
  <c r="G23" i="6"/>
  <c r="M153" i="1"/>
  <c r="M152" i="1"/>
  <c r="M150" i="1"/>
  <c r="M149" i="1"/>
  <c r="M148" i="1"/>
  <c r="M147" i="1"/>
  <c r="M146" i="1"/>
  <c r="M145" i="1"/>
  <c r="M143" i="1"/>
  <c r="M142" i="1"/>
  <c r="M141" i="1"/>
  <c r="M140" i="1"/>
  <c r="M139" i="1"/>
  <c r="M138" i="1"/>
  <c r="M129" i="1"/>
  <c r="F24" i="55"/>
  <c r="J33" i="17" s="1"/>
  <c r="F23" i="55"/>
  <c r="J32" i="17" s="1"/>
  <c r="F22" i="55"/>
  <c r="J31" i="17" s="1"/>
  <c r="F21" i="55"/>
  <c r="J30" i="17" s="1"/>
  <c r="BU115" i="6" l="1"/>
  <c r="CT115" i="6"/>
  <c r="BU84" i="6"/>
  <c r="CG84" i="6"/>
  <c r="Y15" i="77"/>
  <c r="DV107" i="6"/>
  <c r="BT84" i="6"/>
  <c r="CH92" i="6"/>
  <c r="CV92" i="6"/>
  <c r="DK115" i="6"/>
  <c r="CW84" i="6"/>
  <c r="DX115" i="6"/>
  <c r="DJ84" i="6"/>
  <c r="DX107" i="6"/>
  <c r="DY115" i="6"/>
  <c r="DJ115" i="6"/>
  <c r="CH115" i="6"/>
  <c r="P107" i="6"/>
  <c r="P110" i="6" s="1"/>
  <c r="P111" i="6" s="1"/>
  <c r="DX84" i="6"/>
  <c r="Q107" i="6"/>
  <c r="Q110" i="6" s="1"/>
  <c r="Q111" i="6" s="1"/>
  <c r="DY84" i="6"/>
  <c r="AD107" i="6"/>
  <c r="CI84" i="6"/>
  <c r="AR107" i="6"/>
  <c r="P115" i="6"/>
  <c r="Q115" i="6"/>
  <c r="DY107" i="6"/>
  <c r="P92" i="6"/>
  <c r="BU107" i="6"/>
  <c r="AD115" i="6"/>
  <c r="CV107" i="6"/>
  <c r="DJ92" i="6"/>
  <c r="DK84" i="6"/>
  <c r="Q84" i="6"/>
  <c r="Q87" i="6" s="1"/>
  <c r="Q88" i="6" s="1"/>
  <c r="AR92" i="6"/>
  <c r="CH107" i="6"/>
  <c r="AE115" i="6"/>
  <c r="BR92" i="6"/>
  <c r="BF115" i="6"/>
  <c r="BG115" i="6"/>
  <c r="BF107" i="6"/>
  <c r="BS84" i="6"/>
  <c r="AB84" i="6"/>
  <c r="AD84" i="6"/>
  <c r="AQ107" i="6"/>
  <c r="AS115" i="6"/>
  <c r="CW107" i="6"/>
  <c r="AS84" i="6"/>
  <c r="AE107" i="6"/>
  <c r="CI115" i="6"/>
  <c r="BG84" i="6"/>
  <c r="AS107" i="6"/>
  <c r="CW115" i="6"/>
  <c r="BG107" i="6"/>
  <c r="CS92" i="6"/>
  <c r="AC84" i="6"/>
  <c r="DW84" i="6"/>
  <c r="BQ107" i="6"/>
  <c r="DV84" i="6"/>
  <c r="BS107" i="6"/>
  <c r="BE84" i="6"/>
  <c r="BD84" i="6"/>
  <c r="M107" i="6"/>
  <c r="M110" i="6" s="1"/>
  <c r="M111" i="6" s="1"/>
  <c r="CU107" i="6"/>
  <c r="BR84" i="6"/>
  <c r="BD92" i="6"/>
  <c r="AP115" i="6"/>
  <c r="DH107" i="6"/>
  <c r="CD92" i="6"/>
  <c r="AQ84" i="6"/>
  <c r="CE92" i="6"/>
  <c r="AO107" i="6"/>
  <c r="CS84" i="6"/>
  <c r="CF92" i="6"/>
  <c r="AP107" i="6"/>
  <c r="AO115" i="6"/>
  <c r="AM115" i="6"/>
  <c r="AA92" i="6"/>
  <c r="DU92" i="6"/>
  <c r="AO84" i="6"/>
  <c r="DV92" i="6"/>
  <c r="AR115" i="6"/>
  <c r="CV84" i="6"/>
  <c r="AY92" i="6"/>
  <c r="BC115" i="6"/>
  <c r="CR92" i="6"/>
  <c r="BR107" i="6"/>
  <c r="AB92" i="6"/>
  <c r="AJ107" i="6"/>
  <c r="AK107" i="6"/>
  <c r="CT84" i="6"/>
  <c r="AM107" i="6"/>
  <c r="CU84" i="6"/>
  <c r="DQ92" i="6"/>
  <c r="AN107" i="6"/>
  <c r="EC84" i="6"/>
  <c r="DM115" i="6"/>
  <c r="M115" i="6"/>
  <c r="BB107" i="6"/>
  <c r="BZ115" i="6"/>
  <c r="DO115" i="6"/>
  <c r="DP115" i="6"/>
  <c r="L92" i="6"/>
  <c r="AY107" i="6"/>
  <c r="DU115" i="6"/>
  <c r="CO92" i="6"/>
  <c r="BC107" i="6"/>
  <c r="DB107" i="6"/>
  <c r="CE115" i="6"/>
  <c r="ED84" i="6"/>
  <c r="CO84" i="6"/>
  <c r="EE84" i="6"/>
  <c r="DN115" i="6"/>
  <c r="BY115" i="6"/>
  <c r="N92" i="6"/>
  <c r="BQ84" i="6"/>
  <c r="W92" i="6"/>
  <c r="CQ92" i="6"/>
  <c r="BD107" i="6"/>
  <c r="DC107" i="6"/>
  <c r="CF115" i="6"/>
  <c r="AW115" i="6"/>
  <c r="AK84" i="6"/>
  <c r="AX92" i="6"/>
  <c r="I107" i="6"/>
  <c r="I110" i="6" s="1"/>
  <c r="I111" i="6" s="1"/>
  <c r="DG107" i="6"/>
  <c r="K115" i="6"/>
  <c r="AX115" i="6"/>
  <c r="CS115" i="6"/>
  <c r="AJ84" i="6"/>
  <c r="AW92" i="6"/>
  <c r="H107" i="6"/>
  <c r="H110" i="6" s="1"/>
  <c r="H111" i="6" s="1"/>
  <c r="H115" i="6"/>
  <c r="BV84" i="6"/>
  <c r="AP84" i="6"/>
  <c r="BX84" i="6"/>
  <c r="M92" i="6"/>
  <c r="BC92" i="6"/>
  <c r="CT92" i="6"/>
  <c r="N107" i="6"/>
  <c r="N110" i="6" s="1"/>
  <c r="N111" i="6" s="1"/>
  <c r="BT107" i="6"/>
  <c r="N115" i="6"/>
  <c r="AT92" i="6"/>
  <c r="AV107" i="6"/>
  <c r="DG115" i="6"/>
  <c r="CA84" i="6"/>
  <c r="DU84" i="6"/>
  <c r="V92" i="6"/>
  <c r="BQ92" i="6"/>
  <c r="DL92" i="6"/>
  <c r="AX107" i="6"/>
  <c r="AB115" i="6"/>
  <c r="BT115" i="6"/>
  <c r="DH115" i="6"/>
  <c r="CZ107" i="6"/>
  <c r="AI84" i="6"/>
  <c r="G115" i="6"/>
  <c r="BY84" i="6"/>
  <c r="AU107" i="6"/>
  <c r="BZ84" i="6"/>
  <c r="CE84" i="6"/>
  <c r="DO92" i="6"/>
  <c r="AA84" i="6"/>
  <c r="CF84" i="6"/>
  <c r="Y92" i="6"/>
  <c r="DP92" i="6"/>
  <c r="BX115" i="6"/>
  <c r="BV115" i="6"/>
  <c r="AF107" i="6"/>
  <c r="R84" i="6"/>
  <c r="R87" i="6" s="1"/>
  <c r="R88" i="6" s="1"/>
  <c r="DL84" i="6"/>
  <c r="CJ107" i="6"/>
  <c r="T84" i="6"/>
  <c r="DN84" i="6"/>
  <c r="BV92" i="6"/>
  <c r="AH107" i="6"/>
  <c r="CK107" i="6"/>
  <c r="AF115" i="6"/>
  <c r="U84" i="6"/>
  <c r="BH84" i="6"/>
  <c r="DO84" i="6"/>
  <c r="BY92" i="6"/>
  <c r="CL107" i="6"/>
  <c r="AH115" i="6"/>
  <c r="CX115" i="6"/>
  <c r="V84" i="6"/>
  <c r="BJ84" i="6"/>
  <c r="DP84" i="6"/>
  <c r="G92" i="6"/>
  <c r="BZ92" i="6"/>
  <c r="CN107" i="6"/>
  <c r="DZ107" i="6"/>
  <c r="AI115" i="6"/>
  <c r="CZ115" i="6"/>
  <c r="W84" i="6"/>
  <c r="BK84" i="6"/>
  <c r="CX84" i="6"/>
  <c r="DQ84" i="6"/>
  <c r="H92" i="6"/>
  <c r="AF92" i="6"/>
  <c r="CA92" i="6"/>
  <c r="CX92" i="6"/>
  <c r="BX107" i="6"/>
  <c r="CO107" i="6"/>
  <c r="EA107" i="6"/>
  <c r="AJ115" i="6"/>
  <c r="BH115" i="6"/>
  <c r="DA115" i="6"/>
  <c r="BL84" i="6"/>
  <c r="CZ84" i="6"/>
  <c r="I92" i="6"/>
  <c r="AG92" i="6"/>
  <c r="BH92" i="6"/>
  <c r="CY92" i="6"/>
  <c r="DZ92" i="6"/>
  <c r="R107" i="6"/>
  <c r="R110" i="6" s="1"/>
  <c r="R111" i="6" s="1"/>
  <c r="EB107" i="6"/>
  <c r="BI115" i="6"/>
  <c r="DB115" i="6"/>
  <c r="G84" i="6"/>
  <c r="G87" i="6" s="1"/>
  <c r="G88" i="6" s="1"/>
  <c r="AT84" i="6"/>
  <c r="BM84" i="6"/>
  <c r="DA84" i="6"/>
  <c r="AI92" i="6"/>
  <c r="BI92" i="6"/>
  <c r="DA92" i="6"/>
  <c r="EA92" i="6"/>
  <c r="T107" i="6"/>
  <c r="CA107" i="6"/>
  <c r="DL107" i="6"/>
  <c r="ED107" i="6"/>
  <c r="R115" i="6"/>
  <c r="BJ115" i="6"/>
  <c r="DE115" i="6"/>
  <c r="DZ115" i="6"/>
  <c r="I84" i="6"/>
  <c r="I87" i="6" s="1"/>
  <c r="I88" i="6" s="1"/>
  <c r="AW84" i="6"/>
  <c r="CJ84" i="6"/>
  <c r="DC84" i="6"/>
  <c r="AK92" i="6"/>
  <c r="BL92" i="6"/>
  <c r="DC92" i="6"/>
  <c r="ED92" i="6"/>
  <c r="CD107" i="6"/>
  <c r="T115" i="6"/>
  <c r="BL115" i="6"/>
  <c r="CK115" i="6"/>
  <c r="DG84" i="6"/>
  <c r="BM92" i="6"/>
  <c r="AA107" i="6"/>
  <c r="BJ107" i="6"/>
  <c r="DQ107" i="6"/>
  <c r="U115" i="6"/>
  <c r="CL115" i="6"/>
  <c r="AY84" i="6"/>
  <c r="CM84" i="6"/>
  <c r="DH84" i="6"/>
  <c r="BO92" i="6"/>
  <c r="CM92" i="6"/>
  <c r="EH92" i="6"/>
  <c r="DS107" i="6"/>
  <c r="V115" i="6"/>
  <c r="AT115" i="6"/>
  <c r="CM115" i="6"/>
  <c r="EG115" i="6"/>
  <c r="E93" i="30"/>
  <c r="F91" i="30" s="1"/>
  <c r="F93" i="30" s="1"/>
  <c r="G91" i="30" s="1"/>
  <c r="G93" i="30" s="1"/>
  <c r="H91" i="30" s="1"/>
  <c r="H93" i="30" s="1"/>
  <c r="I91" i="30" s="1"/>
  <c r="I93" i="30" s="1"/>
  <c r="J91" i="30" s="1"/>
  <c r="J93" i="30" s="1"/>
  <c r="K91" i="30" s="1"/>
  <c r="K93" i="30" s="1"/>
  <c r="L91" i="30" s="1"/>
  <c r="L93" i="30" s="1"/>
  <c r="M91" i="30" s="1"/>
  <c r="M93" i="30" s="1"/>
  <c r="N91" i="30" s="1"/>
  <c r="N93" i="30" s="1"/>
  <c r="O91" i="30" s="1"/>
  <c r="O93" i="30" s="1"/>
  <c r="P91" i="30" s="1"/>
  <c r="P93" i="30" s="1"/>
  <c r="Q91" i="30" s="1"/>
  <c r="Q93" i="30" s="1"/>
  <c r="R91" i="30" s="1"/>
  <c r="R93" i="30" s="1"/>
  <c r="S91" i="30" s="1"/>
  <c r="S93" i="30" s="1"/>
  <c r="T91" i="30" s="1"/>
  <c r="T93" i="30" s="1"/>
  <c r="U91" i="30" s="1"/>
  <c r="U93" i="30" s="1"/>
  <c r="V91" i="30" s="1"/>
  <c r="V93" i="30" s="1"/>
  <c r="W91" i="30" s="1"/>
  <c r="W93" i="30" s="1"/>
  <c r="X91" i="30" s="1"/>
  <c r="X93" i="30" s="1"/>
  <c r="Y91" i="30" s="1"/>
  <c r="Y93" i="30" s="1"/>
  <c r="Z91" i="30" s="1"/>
  <c r="Z93" i="30" s="1"/>
  <c r="AA91" i="30" s="1"/>
  <c r="AA93" i="30" s="1"/>
  <c r="AB91" i="30" s="1"/>
  <c r="AB93" i="30" s="1"/>
  <c r="AC91" i="30" s="1"/>
  <c r="AC93" i="30" s="1"/>
  <c r="AD91" i="30" s="1"/>
  <c r="AD93" i="30" s="1"/>
  <c r="AE91" i="30" s="1"/>
  <c r="AE93" i="30" s="1"/>
  <c r="AF91" i="30" s="1"/>
  <c r="AF93" i="30" s="1"/>
  <c r="AG91" i="30" s="1"/>
  <c r="AG93" i="30" s="1"/>
  <c r="AH91" i="30" s="1"/>
  <c r="AH93" i="30" s="1"/>
  <c r="AI91" i="30" s="1"/>
  <c r="AI93" i="30" s="1"/>
  <c r="AJ91" i="30" s="1"/>
  <c r="AJ93" i="30" s="1"/>
  <c r="AK91" i="30" s="1"/>
  <c r="AK93" i="30" s="1"/>
  <c r="AL91" i="30" s="1"/>
  <c r="AL93" i="30" s="1"/>
  <c r="AM91" i="30" s="1"/>
  <c r="AM93" i="30" s="1"/>
  <c r="AN91" i="30" s="1"/>
  <c r="AN93" i="30" s="1"/>
  <c r="AO91" i="30" s="1"/>
  <c r="AO93" i="30" s="1"/>
  <c r="AP91" i="30" s="1"/>
  <c r="AP93" i="30" s="1"/>
  <c r="AQ91" i="30" s="1"/>
  <c r="AQ93" i="30" s="1"/>
  <c r="AR91" i="30" s="1"/>
  <c r="AR93" i="30" s="1"/>
  <c r="AS91" i="30" s="1"/>
  <c r="AS93" i="30" s="1"/>
  <c r="AT91" i="30" s="1"/>
  <c r="AT93" i="30" s="1"/>
  <c r="AU91" i="30" s="1"/>
  <c r="AU93" i="30" s="1"/>
  <c r="AV91" i="30" s="1"/>
  <c r="AV93" i="30" s="1"/>
  <c r="AW91" i="30" s="1"/>
  <c r="AW93" i="30" s="1"/>
  <c r="AX91" i="30" s="1"/>
  <c r="AX93" i="30" s="1"/>
  <c r="AY91" i="30" s="1"/>
  <c r="AY93" i="30" s="1"/>
  <c r="AZ91" i="30" s="1"/>
  <c r="AZ93" i="30" s="1"/>
  <c r="BA91" i="30" s="1"/>
  <c r="BA93" i="30" s="1"/>
  <c r="BB91" i="30" s="1"/>
  <c r="BB93" i="30" s="1"/>
  <c r="BC91" i="30" s="1"/>
  <c r="BC93" i="30" s="1"/>
  <c r="BD91" i="30" s="1"/>
  <c r="BD93" i="30" s="1"/>
  <c r="BE91" i="30" s="1"/>
  <c r="BE93" i="30" s="1"/>
  <c r="BF91" i="30" s="1"/>
  <c r="BF93" i="30" s="1"/>
  <c r="BG91" i="30" s="1"/>
  <c r="BG93" i="30" s="1"/>
  <c r="BH91" i="30" s="1"/>
  <c r="BH93" i="30" s="1"/>
  <c r="BI91" i="30" s="1"/>
  <c r="BI93" i="30" s="1"/>
  <c r="BJ91" i="30" s="1"/>
  <c r="BJ93" i="30" s="1"/>
  <c r="BK91" i="30" s="1"/>
  <c r="BK93" i="30" s="1"/>
  <c r="BL91" i="30" s="1"/>
  <c r="BL93" i="30" s="1"/>
  <c r="BM91" i="30" s="1"/>
  <c r="BM93" i="30" s="1"/>
  <c r="BN91" i="30" s="1"/>
  <c r="BN93" i="30" s="1"/>
  <c r="BO91" i="30" s="1"/>
  <c r="BO93" i="30" s="1"/>
  <c r="BP91" i="30" s="1"/>
  <c r="BP93" i="30" s="1"/>
  <c r="BQ91" i="30" s="1"/>
  <c r="BQ93" i="30" s="1"/>
  <c r="BR91" i="30" s="1"/>
  <c r="BR93" i="30" s="1"/>
  <c r="BS91" i="30" s="1"/>
  <c r="BS93" i="30" s="1"/>
  <c r="BT91" i="30" s="1"/>
  <c r="BT93" i="30" s="1"/>
  <c r="BU91" i="30" s="1"/>
  <c r="BU93" i="30" s="1"/>
  <c r="BV91" i="30" s="1"/>
  <c r="BV93" i="30" s="1"/>
  <c r="BW91" i="30" s="1"/>
  <c r="BW93" i="30" s="1"/>
  <c r="BX91" i="30" s="1"/>
  <c r="BX93" i="30" s="1"/>
  <c r="BY91" i="30" s="1"/>
  <c r="BY93" i="30" s="1"/>
  <c r="BZ91" i="30" s="1"/>
  <c r="BZ93" i="30" s="1"/>
  <c r="CA91" i="30" s="1"/>
  <c r="CA93" i="30" s="1"/>
  <c r="CB91" i="30" s="1"/>
  <c r="CB93" i="30" s="1"/>
  <c r="CC91" i="30" s="1"/>
  <c r="CC93" i="30" s="1"/>
  <c r="CD91" i="30" s="1"/>
  <c r="CD93" i="30" s="1"/>
  <c r="CE91" i="30" s="1"/>
  <c r="CE93" i="30" s="1"/>
  <c r="CF91" i="30" s="1"/>
  <c r="CF93" i="30" s="1"/>
  <c r="CG91" i="30" s="1"/>
  <c r="CG93" i="30" s="1"/>
  <c r="CH91" i="30" s="1"/>
  <c r="CH93" i="30" s="1"/>
  <c r="CI91" i="30" s="1"/>
  <c r="CI93" i="30" s="1"/>
  <c r="CJ91" i="30" s="1"/>
  <c r="CJ93" i="30" s="1"/>
  <c r="CK91" i="30" s="1"/>
  <c r="CK93" i="30" s="1"/>
  <c r="CL91" i="30" s="1"/>
  <c r="CL93" i="30" s="1"/>
  <c r="CM91" i="30" s="1"/>
  <c r="CM93" i="30" s="1"/>
  <c r="CN91" i="30" s="1"/>
  <c r="CN93" i="30" s="1"/>
  <c r="CO91" i="30" s="1"/>
  <c r="CO93" i="30" s="1"/>
  <c r="CP91" i="30" s="1"/>
  <c r="CP93" i="30" s="1"/>
  <c r="CQ91" i="30" s="1"/>
  <c r="CQ93" i="30" s="1"/>
  <c r="CR91" i="30" s="1"/>
  <c r="CR93" i="30" s="1"/>
  <c r="CS91" i="30" s="1"/>
  <c r="CS93" i="30" s="1"/>
  <c r="CT91" i="30" s="1"/>
  <c r="CT93" i="30" s="1"/>
  <c r="CU91" i="30" s="1"/>
  <c r="CU93" i="30" s="1"/>
  <c r="CV91" i="30" s="1"/>
  <c r="CV93" i="30" s="1"/>
  <c r="CW91" i="30" s="1"/>
  <c r="CW93" i="30" s="1"/>
  <c r="CX91" i="30" s="1"/>
  <c r="CX93" i="30" s="1"/>
  <c r="CY91" i="30" s="1"/>
  <c r="CY93" i="30" s="1"/>
  <c r="CZ91" i="30" s="1"/>
  <c r="CZ93" i="30" s="1"/>
  <c r="DA91" i="30" s="1"/>
  <c r="DA93" i="30" s="1"/>
  <c r="DB91" i="30" s="1"/>
  <c r="DB93" i="30" s="1"/>
  <c r="DC91" i="30" s="1"/>
  <c r="DC93" i="30" s="1"/>
  <c r="DD91" i="30" s="1"/>
  <c r="DD93" i="30" s="1"/>
  <c r="DE91" i="30" s="1"/>
  <c r="DE93" i="30" s="1"/>
  <c r="DF91" i="30" s="1"/>
  <c r="DF93" i="30" s="1"/>
  <c r="DG91" i="30" s="1"/>
  <c r="DG93" i="30" s="1"/>
  <c r="DH91" i="30" s="1"/>
  <c r="DH93" i="30" s="1"/>
  <c r="DI91" i="30" s="1"/>
  <c r="DI93" i="30" s="1"/>
  <c r="DJ91" i="30" s="1"/>
  <c r="DJ93" i="30" s="1"/>
  <c r="DK91" i="30" s="1"/>
  <c r="DK93" i="30" s="1"/>
  <c r="DL91" i="30" s="1"/>
  <c r="DL93" i="30" s="1"/>
  <c r="DM91" i="30" s="1"/>
  <c r="DM93" i="30" s="1"/>
  <c r="DN91" i="30" s="1"/>
  <c r="DN93" i="30" s="1"/>
  <c r="DO91" i="30" s="1"/>
  <c r="DO93" i="30" s="1"/>
  <c r="DP91" i="30" s="1"/>
  <c r="DP93" i="30" s="1"/>
  <c r="DQ91" i="30" s="1"/>
  <c r="DQ93" i="30" s="1"/>
  <c r="DR91" i="30" s="1"/>
  <c r="DR93" i="30" s="1"/>
  <c r="DS91" i="30" s="1"/>
  <c r="DS93" i="30" s="1"/>
  <c r="DT91" i="30" s="1"/>
  <c r="DT93" i="30" s="1"/>
  <c r="DU91" i="30" s="1"/>
  <c r="DU93" i="30" s="1"/>
  <c r="DV91" i="30" s="1"/>
  <c r="DV93" i="30" s="1"/>
  <c r="DW91" i="30" s="1"/>
  <c r="DW93" i="30" s="1"/>
  <c r="DX91" i="30" s="1"/>
  <c r="DX93" i="30" s="1"/>
  <c r="DY91" i="30" s="1"/>
  <c r="DY93" i="30" s="1"/>
  <c r="DZ91" i="30" s="1"/>
  <c r="DZ93" i="30" s="1"/>
  <c r="EA91" i="30" s="1"/>
  <c r="EA93" i="30" s="1"/>
  <c r="EB91" i="30" s="1"/>
  <c r="EB93" i="30" s="1"/>
  <c r="EC91" i="30" s="1"/>
  <c r="EC93" i="30" s="1"/>
  <c r="ED91" i="30" s="1"/>
  <c r="ED93" i="30" s="1"/>
  <c r="EE91" i="30" s="1"/>
  <c r="EE93" i="30" s="1"/>
  <c r="EF91" i="30" s="1"/>
  <c r="EF93" i="30" s="1"/>
  <c r="EG91" i="30" s="1"/>
  <c r="EG93" i="30" s="1"/>
  <c r="AV84" i="6"/>
  <c r="DB84" i="6"/>
  <c r="BK92" i="6"/>
  <c r="EC92" i="6"/>
  <c r="CC107" i="6"/>
  <c r="DN107" i="6"/>
  <c r="EE107" i="6"/>
  <c r="S115" i="6"/>
  <c r="BK115" i="6"/>
  <c r="CJ115" i="6"/>
  <c r="EB115" i="6"/>
  <c r="W107" i="6"/>
  <c r="EH107" i="6"/>
  <c r="EC115" i="6"/>
  <c r="CL84" i="6"/>
  <c r="EE92" i="6"/>
  <c r="O84" i="6"/>
  <c r="O87" i="6" s="1"/>
  <c r="O88" i="6" s="1"/>
  <c r="AH84" i="6"/>
  <c r="CN84" i="6"/>
  <c r="DI84" i="6"/>
  <c r="EB84" i="6"/>
  <c r="U92" i="6"/>
  <c r="BP92" i="6"/>
  <c r="CN92" i="6"/>
  <c r="AC107" i="6"/>
  <c r="BM107" i="6"/>
  <c r="CG107" i="6"/>
  <c r="CY107" i="6"/>
  <c r="DT107" i="6"/>
  <c r="AV115" i="6"/>
  <c r="BO107" i="6"/>
  <c r="AG115" i="6"/>
  <c r="BA115" i="6"/>
  <c r="EA115" i="6"/>
  <c r="Z92" i="6"/>
  <c r="CB92" i="6"/>
  <c r="AG107" i="6"/>
  <c r="S84" i="6"/>
  <c r="AU84" i="6"/>
  <c r="BI84" i="6"/>
  <c r="BW84" i="6"/>
  <c r="CK84" i="6"/>
  <c r="CY84" i="6"/>
  <c r="DM84" i="6"/>
  <c r="J92" i="6"/>
  <c r="CC92" i="6"/>
  <c r="DM92" i="6"/>
  <c r="BP107" i="6"/>
  <c r="X92" i="6"/>
  <c r="K92" i="6"/>
  <c r="AU92" i="6"/>
  <c r="EF92" i="6"/>
  <c r="S107" i="6"/>
  <c r="BA107" i="6"/>
  <c r="BW115" i="6"/>
  <c r="CQ115" i="6"/>
  <c r="BN92" i="6"/>
  <c r="EG92" i="6"/>
  <c r="EG107" i="6"/>
  <c r="AL84" i="6"/>
  <c r="DR84" i="6"/>
  <c r="AZ84" i="6"/>
  <c r="CP84" i="6"/>
  <c r="DD84" i="6"/>
  <c r="DS92" i="6"/>
  <c r="Y107" i="6"/>
  <c r="K84" i="6"/>
  <c r="K87" i="6" s="1"/>
  <c r="K88" i="6" s="1"/>
  <c r="Y84" i="6"/>
  <c r="AM84" i="6"/>
  <c r="BA84" i="6"/>
  <c r="BO84" i="6"/>
  <c r="CC84" i="6"/>
  <c r="CQ84" i="6"/>
  <c r="DE84" i="6"/>
  <c r="DS84" i="6"/>
  <c r="DT92" i="6"/>
  <c r="Z107" i="6"/>
  <c r="L84" i="6"/>
  <c r="L87" i="6" s="1"/>
  <c r="L88" i="6" s="1"/>
  <c r="Z84" i="6"/>
  <c r="AN84" i="6"/>
  <c r="BP84" i="6"/>
  <c r="CD84" i="6"/>
  <c r="CR84" i="6"/>
  <c r="DF84" i="6"/>
  <c r="DT84" i="6"/>
  <c r="EH84" i="6"/>
  <c r="BB92" i="6"/>
  <c r="BW107" i="6"/>
  <c r="DE107" i="6"/>
  <c r="M154" i="1"/>
  <c r="BB84" i="6"/>
  <c r="L107" i="6"/>
  <c r="L110" i="6" s="1"/>
  <c r="L111" i="6" s="1"/>
  <c r="DF92" i="6"/>
  <c r="AN92" i="6"/>
  <c r="CR107" i="6"/>
  <c r="E35" i="30"/>
  <c r="J107" i="6"/>
  <c r="J110" i="6" s="1"/>
  <c r="J111" i="6" s="1"/>
  <c r="J115" i="6"/>
  <c r="X107" i="6"/>
  <c r="X115" i="6"/>
  <c r="AL107" i="6"/>
  <c r="AL115" i="6"/>
  <c r="AZ107" i="6"/>
  <c r="AZ115" i="6"/>
  <c r="BN107" i="6"/>
  <c r="BN115" i="6"/>
  <c r="CB107" i="6"/>
  <c r="CB115" i="6"/>
  <c r="CP107" i="6"/>
  <c r="CP115" i="6"/>
  <c r="DD107" i="6"/>
  <c r="DD115" i="6"/>
  <c r="DR107" i="6"/>
  <c r="DR115" i="6"/>
  <c r="EF107" i="6"/>
  <c r="EF115" i="6"/>
  <c r="G60" i="6"/>
  <c r="O92" i="6"/>
  <c r="AC92" i="6"/>
  <c r="AQ92" i="6"/>
  <c r="BE92" i="6"/>
  <c r="BS92" i="6"/>
  <c r="CG92" i="6"/>
  <c r="CU92" i="6"/>
  <c r="DI92" i="6"/>
  <c r="DW92" i="6"/>
  <c r="DF115" i="6"/>
  <c r="F6" i="6" l="1"/>
  <c r="I14" i="93" a="1"/>
  <c r="I13" i="93" a="1"/>
  <c r="B48" i="77"/>
  <c r="B42" i="77"/>
  <c r="B41" i="77"/>
  <c r="I44" i="77"/>
  <c r="B44" i="77" s="1"/>
  <c r="B43" i="77"/>
  <c r="B45" i="77"/>
  <c r="B46" i="77"/>
  <c r="B47" i="77"/>
  <c r="B49" i="77"/>
  <c r="C4" i="83" l="1"/>
  <c r="I25" i="93" a="1"/>
  <c r="I29" i="93" a="1"/>
  <c r="J25" i="93" a="1"/>
  <c r="E19" i="78" l="1"/>
  <c r="E26" i="78"/>
  <c r="I65" i="93"/>
  <c r="D66" i="93"/>
  <c r="I66" i="93" s="1"/>
  <c r="B25" i="77" s="1"/>
  <c r="I68" i="93"/>
  <c r="I76" i="93"/>
  <c r="I75" i="93"/>
  <c r="I74" i="93"/>
  <c r="I73" i="93"/>
  <c r="G69" i="93"/>
  <c r="F69" i="93"/>
  <c r="E69" i="93"/>
  <c r="D69" i="93"/>
  <c r="C69" i="93"/>
  <c r="I67" i="93"/>
  <c r="I64" i="93"/>
  <c r="I63" i="93"/>
  <c r="I62" i="93"/>
  <c r="B28" i="77" s="1"/>
  <c r="I61" i="93"/>
  <c r="I69" i="93" l="1"/>
  <c r="K34" i="93" l="1"/>
  <c r="K30" i="93"/>
  <c r="C56" i="93"/>
  <c r="C55" i="93"/>
  <c r="G35" i="93"/>
  <c r="F35" i="93"/>
  <c r="E35" i="93"/>
  <c r="D35" i="93"/>
  <c r="C35" i="93"/>
  <c r="I34" i="93" a="1"/>
  <c r="J34" i="93" s="1"/>
  <c r="J33" i="93" a="1"/>
  <c r="I33" i="93" a="1"/>
  <c r="I26" i="93" a="1"/>
  <c r="J26" i="93" s="1"/>
  <c r="J21" i="93" a="1"/>
  <c r="I22" i="93" a="1"/>
  <c r="D53" i="93" s="1"/>
  <c r="I21" i="93" a="1"/>
  <c r="J17" i="93" a="1"/>
  <c r="I18" i="93" a="1"/>
  <c r="I17" i="93" a="1"/>
  <c r="J13" i="93" a="1"/>
  <c r="J14" i="93"/>
  <c r="J29" i="93" a="1"/>
  <c r="I30" i="93" a="1"/>
  <c r="J30" i="93" s="1"/>
  <c r="D41" i="93"/>
  <c r="D60" i="93" s="1"/>
  <c r="D72" i="93" s="1"/>
  <c r="E41" i="93"/>
  <c r="E60" i="93" s="1"/>
  <c r="E72" i="93" s="1"/>
  <c r="F41" i="93"/>
  <c r="F60" i="93" s="1"/>
  <c r="F72" i="93" s="1"/>
  <c r="G41" i="93"/>
  <c r="G60" i="93" s="1"/>
  <c r="G72" i="93" s="1"/>
  <c r="C41" i="93"/>
  <c r="C60" i="93" s="1"/>
  <c r="C72" i="93" s="1"/>
  <c r="D37" i="93"/>
  <c r="E37" i="93"/>
  <c r="F37" i="93"/>
  <c r="G37" i="93"/>
  <c r="C37" i="93"/>
  <c r="G31" i="93"/>
  <c r="F31" i="93"/>
  <c r="E31" i="93"/>
  <c r="D31" i="93"/>
  <c r="C31" i="93"/>
  <c r="G27" i="93"/>
  <c r="F27" i="93"/>
  <c r="E27" i="93"/>
  <c r="D27" i="93"/>
  <c r="C27" i="93"/>
  <c r="G23" i="93"/>
  <c r="F23" i="93"/>
  <c r="E23" i="93"/>
  <c r="D23" i="93"/>
  <c r="C23" i="93"/>
  <c r="G19" i="93"/>
  <c r="F19" i="93"/>
  <c r="E19" i="93"/>
  <c r="D19" i="93"/>
  <c r="C19" i="93"/>
  <c r="G15" i="93"/>
  <c r="F15" i="93"/>
  <c r="E15" i="93"/>
  <c r="D15" i="93"/>
  <c r="C15" i="93"/>
  <c r="K33" i="93" l="1"/>
  <c r="K35" i="93" s="1"/>
  <c r="K29" i="93"/>
  <c r="K31" i="93" s="1"/>
  <c r="D54" i="93"/>
  <c r="D56" i="93"/>
  <c r="E56" i="93" s="1"/>
  <c r="F56" i="93" s="1"/>
  <c r="D55" i="93"/>
  <c r="E55" i="93" s="1"/>
  <c r="F55" i="93" s="1"/>
  <c r="I35" i="93"/>
  <c r="J35" i="93"/>
  <c r="I23" i="93"/>
  <c r="D52" i="93"/>
  <c r="J22" i="93"/>
  <c r="D51" i="93"/>
  <c r="J18" i="93"/>
  <c r="D50" i="93"/>
  <c r="J15" i="93"/>
  <c r="D48" i="93"/>
  <c r="D49" i="93"/>
  <c r="I27" i="93"/>
  <c r="J31" i="93"/>
  <c r="I31" i="93"/>
  <c r="J27" i="93"/>
  <c r="I19" i="93"/>
  <c r="I15" i="93"/>
  <c r="J23" i="93" l="1"/>
  <c r="J19" i="93"/>
  <c r="B17" i="92" l="1"/>
  <c r="D17" i="92" s="1"/>
  <c r="E16" i="92"/>
  <c r="E14" i="92"/>
  <c r="E12" i="92"/>
  <c r="E10" i="92"/>
  <c r="E9" i="92"/>
  <c r="H10" i="88"/>
  <c r="H13" i="88"/>
  <c r="C11" i="88"/>
  <c r="B11" i="88"/>
  <c r="D23" i="91"/>
  <c r="H16" i="89"/>
  <c r="F16" i="89"/>
  <c r="B188" i="86"/>
  <c r="G13" i="89" l="1"/>
  <c r="G15" i="89"/>
  <c r="B15" i="89" s="1"/>
  <c r="G14" i="89"/>
  <c r="B14" i="89" s="1"/>
  <c r="H11" i="88"/>
  <c r="C17" i="92"/>
  <c r="E17" i="92" s="1"/>
  <c r="G12" i="89"/>
  <c r="B12" i="89" s="1"/>
  <c r="B195" i="86"/>
  <c r="B202" i="86"/>
  <c r="B194" i="86"/>
  <c r="B183" i="86"/>
  <c r="B184" i="86"/>
  <c r="B185" i="86"/>
  <c r="B155" i="86"/>
  <c r="B154" i="86"/>
  <c r="E88" i="3" l="1"/>
  <c r="H11" i="78"/>
  <c r="B62" i="78"/>
  <c r="DL192" i="30" l="1"/>
  <c r="CX192" i="30"/>
  <c r="CJ192" i="30"/>
  <c r="BV192" i="30"/>
  <c r="BH192" i="30"/>
  <c r="AT192" i="30"/>
  <c r="AF192" i="30"/>
  <c r="R192" i="30"/>
  <c r="DI192" i="30"/>
  <c r="CU192" i="30"/>
  <c r="CG192" i="30"/>
  <c r="BS192" i="30"/>
  <c r="BE192" i="30"/>
  <c r="AQ192" i="30"/>
  <c r="AC192" i="30"/>
  <c r="DH192" i="30"/>
  <c r="CT192" i="30"/>
  <c r="CF192" i="30"/>
  <c r="BR192" i="30"/>
  <c r="BD192" i="30"/>
  <c r="AP192" i="30"/>
  <c r="AB192" i="30"/>
  <c r="DU192" i="30"/>
  <c r="DG192" i="30"/>
  <c r="CS192" i="30"/>
  <c r="CE192" i="30"/>
  <c r="BQ192" i="30"/>
  <c r="BC192" i="30"/>
  <c r="AO192" i="30"/>
  <c r="AA192" i="30"/>
  <c r="DT192" i="30"/>
  <c r="DF192" i="30"/>
  <c r="CR192" i="30"/>
  <c r="CD192" i="30"/>
  <c r="BP192" i="30"/>
  <c r="BB192" i="30"/>
  <c r="AN192" i="30"/>
  <c r="Z192" i="30"/>
  <c r="DD192" i="30"/>
  <c r="AL192" i="30"/>
  <c r="DS192" i="30"/>
  <c r="DE192" i="30"/>
  <c r="CQ192" i="30"/>
  <c r="CC192" i="30"/>
  <c r="BO192" i="30"/>
  <c r="BA192" i="30"/>
  <c r="AM192" i="30"/>
  <c r="Y192" i="30"/>
  <c r="DR192" i="30"/>
  <c r="CP192" i="30"/>
  <c r="CB192" i="30"/>
  <c r="BN192" i="30"/>
  <c r="AZ192" i="30"/>
  <c r="X192" i="30"/>
  <c r="DQ192" i="30"/>
  <c r="DC192" i="30"/>
  <c r="CO192" i="30"/>
  <c r="CA192" i="30"/>
  <c r="BM192" i="30"/>
  <c r="AY192" i="30"/>
  <c r="AK192" i="30"/>
  <c r="W192" i="30"/>
  <c r="DP192" i="30"/>
  <c r="DB192" i="30"/>
  <c r="CN192" i="30"/>
  <c r="BZ192" i="30"/>
  <c r="BL192" i="30"/>
  <c r="AX192" i="30"/>
  <c r="AJ192" i="30"/>
  <c r="V192" i="30"/>
  <c r="DO192" i="30"/>
  <c r="DA192" i="30"/>
  <c r="CM192" i="30"/>
  <c r="BY192" i="30"/>
  <c r="BK192" i="30"/>
  <c r="AW192" i="30"/>
  <c r="AI192" i="30"/>
  <c r="U192" i="30"/>
  <c r="AG192" i="30"/>
  <c r="DN192" i="30"/>
  <c r="CZ192" i="30"/>
  <c r="CL192" i="30"/>
  <c r="BX192" i="30"/>
  <c r="BJ192" i="30"/>
  <c r="AV192" i="30"/>
  <c r="AH192" i="30"/>
  <c r="T192" i="30"/>
  <c r="CY192" i="30"/>
  <c r="BI192" i="30"/>
  <c r="S192" i="30"/>
  <c r="DM192" i="30"/>
  <c r="CK192" i="30"/>
  <c r="BW192" i="30"/>
  <c r="AU192" i="30"/>
  <c r="AR192" i="30"/>
  <c r="DK192" i="30"/>
  <c r="AE192" i="30"/>
  <c r="AD192" i="30"/>
  <c r="Q192" i="30"/>
  <c r="DJ192" i="30"/>
  <c r="CW192" i="30"/>
  <c r="CV192" i="30"/>
  <c r="CH192" i="30"/>
  <c r="BU192" i="30"/>
  <c r="AS192" i="30"/>
  <c r="BT192" i="30"/>
  <c r="CI192" i="30"/>
  <c r="BG192" i="30"/>
  <c r="BF192" i="30"/>
  <c r="H55" i="88"/>
  <c r="F58" i="77"/>
  <c r="E59" i="77"/>
  <c r="E58" i="77"/>
  <c r="D60" i="77"/>
  <c r="C60" i="77"/>
  <c r="B60" i="77"/>
  <c r="E37" i="91"/>
  <c r="E36" i="91"/>
  <c r="E35" i="91"/>
  <c r="E34" i="91"/>
  <c r="D29" i="91"/>
  <c r="C29" i="91"/>
  <c r="D27" i="91"/>
  <c r="C27" i="91"/>
  <c r="C23" i="91"/>
  <c r="E23" i="91" s="1"/>
  <c r="E18" i="91"/>
  <c r="E17" i="91"/>
  <c r="E16" i="91"/>
  <c r="E15" i="91"/>
  <c r="E11" i="77"/>
  <c r="E29" i="91" l="1"/>
  <c r="E27" i="91"/>
  <c r="E60" i="77"/>
  <c r="F59" i="77" s="1"/>
  <c r="F60" i="77" s="1"/>
  <c r="B35" i="89"/>
  <c r="E30" i="91" l="1"/>
  <c r="B66" i="77"/>
  <c r="B17" i="84" s="1"/>
  <c r="C29" i="17"/>
  <c r="C68" i="77" l="1"/>
  <c r="C69" i="77" s="1"/>
  <c r="D68" i="77"/>
  <c r="B68" i="77"/>
  <c r="B69" i="77" s="1"/>
  <c r="D80" i="3"/>
  <c r="C26" i="83"/>
  <c r="H33" i="88"/>
  <c r="H21" i="88"/>
  <c r="H37" i="88"/>
  <c r="H36" i="88"/>
  <c r="F46" i="88"/>
  <c r="H46" i="88" s="1"/>
  <c r="B25" i="83" l="1"/>
  <c r="B26" i="83"/>
  <c r="H57" i="88"/>
  <c r="H56" i="88"/>
  <c r="H54" i="88"/>
  <c r="H42" i="88"/>
  <c r="H41" i="88"/>
  <c r="H40" i="88"/>
  <c r="H39" i="88"/>
  <c r="H23" i="88"/>
  <c r="H43" i="88"/>
  <c r="H44" i="88"/>
  <c r="H45" i="88"/>
  <c r="H48" i="88"/>
  <c r="H49" i="88"/>
  <c r="H47" i="88"/>
  <c r="H35" i="88"/>
  <c r="H31" i="88"/>
  <c r="H30" i="88"/>
  <c r="B6" i="88"/>
  <c r="H12" i="88"/>
  <c r="H25" i="88"/>
  <c r="H24" i="88"/>
  <c r="H22" i="88"/>
  <c r="H20" i="88"/>
  <c r="H34" i="88"/>
  <c r="H14" i="88"/>
  <c r="H15" i="88"/>
  <c r="F4" i="88"/>
  <c r="E4" i="88"/>
  <c r="D4" i="88"/>
  <c r="C19" i="78"/>
  <c r="B19" i="78"/>
  <c r="H26" i="88" l="1"/>
  <c r="H16" i="88"/>
  <c r="D19" i="78" l="1"/>
  <c r="B43" i="78"/>
  <c r="B42" i="78"/>
  <c r="B41" i="78"/>
  <c r="C39" i="78"/>
  <c r="D39" i="78"/>
  <c r="E39" i="78"/>
  <c r="F39" i="78"/>
  <c r="C40" i="78"/>
  <c r="D40" i="78"/>
  <c r="E40" i="78"/>
  <c r="F40" i="78"/>
  <c r="C41" i="78"/>
  <c r="D41" i="78"/>
  <c r="E41" i="78"/>
  <c r="F41" i="78"/>
  <c r="C42" i="78"/>
  <c r="D42" i="78"/>
  <c r="E42" i="78"/>
  <c r="F42" i="78"/>
  <c r="C43" i="78"/>
  <c r="D43" i="78"/>
  <c r="E43" i="78"/>
  <c r="F43" i="78"/>
  <c r="B40" i="78"/>
  <c r="B39" i="78"/>
  <c r="H8" i="78"/>
  <c r="H7" i="78"/>
  <c r="C36" i="78"/>
  <c r="D36" i="78"/>
  <c r="E36" i="78"/>
  <c r="F36" i="78"/>
  <c r="C37" i="78"/>
  <c r="D37" i="78"/>
  <c r="E37" i="78"/>
  <c r="F37" i="78"/>
  <c r="C38" i="78"/>
  <c r="F38" i="78"/>
  <c r="B38" i="78"/>
  <c r="B37" i="78"/>
  <c r="B36" i="78"/>
  <c r="C35" i="78"/>
  <c r="B35" i="78"/>
  <c r="E34" i="78"/>
  <c r="F19" i="78"/>
  <c r="F35" i="78" s="1"/>
  <c r="D34" i="78" l="1"/>
  <c r="E52" i="3"/>
  <c r="B34" i="78"/>
  <c r="C34" i="78"/>
  <c r="F34" i="78"/>
  <c r="H44" i="77" l="1"/>
  <c r="B28" i="83" l="1"/>
  <c r="B228" i="86"/>
  <c r="L80" i="3" s="1"/>
  <c r="B220" i="86"/>
  <c r="L79" i="3" s="1"/>
  <c r="B212" i="86"/>
  <c r="B199" i="86"/>
  <c r="I80" i="3"/>
  <c r="I79" i="3"/>
  <c r="I78" i="3"/>
  <c r="I77" i="3"/>
  <c r="I76" i="3"/>
  <c r="I75" i="3"/>
  <c r="Q11" i="77"/>
  <c r="N11" i="77"/>
  <c r="M11" i="77"/>
  <c r="R11" i="77"/>
  <c r="B21" i="77"/>
  <c r="B26" i="77"/>
  <c r="D21" i="77" l="1"/>
  <c r="C21" i="77"/>
  <c r="S11" i="77"/>
  <c r="E21" i="77" l="1"/>
  <c r="BL185" i="6"/>
  <c r="AX185" i="6"/>
  <c r="BP184" i="6"/>
  <c r="BB184" i="6"/>
  <c r="AN184" i="6"/>
  <c r="AR190" i="6"/>
  <c r="AQ190" i="6"/>
  <c r="BI185" i="6"/>
  <c r="AU185" i="6"/>
  <c r="BM184" i="6"/>
  <c r="AY184" i="6"/>
  <c r="AP190" i="6"/>
  <c r="BH185" i="6"/>
  <c r="AT185" i="6"/>
  <c r="BL184" i="6"/>
  <c r="AX184" i="6"/>
  <c r="AO190" i="6"/>
  <c r="BG185" i="6"/>
  <c r="AS185" i="6"/>
  <c r="BK184" i="6"/>
  <c r="AW184" i="6"/>
  <c r="AN190" i="6"/>
  <c r="BF185" i="6"/>
  <c r="AR185" i="6"/>
  <c r="BJ184" i="6"/>
  <c r="AV184" i="6"/>
  <c r="AM190" i="6"/>
  <c r="BE185" i="6"/>
  <c r="AQ185" i="6"/>
  <c r="BI184" i="6"/>
  <c r="AU184" i="6"/>
  <c r="BR185" i="6"/>
  <c r="BD185" i="6"/>
  <c r="AP185" i="6"/>
  <c r="BH184" i="6"/>
  <c r="AT184" i="6"/>
  <c r="BQ185" i="6"/>
  <c r="BC185" i="6"/>
  <c r="AO185" i="6"/>
  <c r="BG184" i="6"/>
  <c r="AS184" i="6"/>
  <c r="BP185" i="6"/>
  <c r="BB185" i="6"/>
  <c r="AN185" i="6"/>
  <c r="BF184" i="6"/>
  <c r="AR184" i="6"/>
  <c r="BO185" i="6"/>
  <c r="BA185" i="6"/>
  <c r="AM185" i="6"/>
  <c r="BE184" i="6"/>
  <c r="AQ184" i="6"/>
  <c r="BN185" i="6"/>
  <c r="AZ185" i="6"/>
  <c r="BR184" i="6"/>
  <c r="BD184" i="6"/>
  <c r="AP184" i="6"/>
  <c r="BM185" i="6"/>
  <c r="AY185" i="6"/>
  <c r="BQ184" i="6"/>
  <c r="BC184" i="6"/>
  <c r="AO184" i="6"/>
  <c r="AS190" i="6"/>
  <c r="BK185" i="6"/>
  <c r="AW185" i="6"/>
  <c r="BJ185" i="6"/>
  <c r="BA184" i="6"/>
  <c r="AV185" i="6"/>
  <c r="BO184" i="6"/>
  <c r="BN184" i="6"/>
  <c r="AZ184" i="6"/>
  <c r="AM184" i="6"/>
  <c r="E62" i="77"/>
  <c r="D62" i="77"/>
  <c r="F62" i="77"/>
  <c r="E128" i="86"/>
  <c r="B133" i="86" s="1"/>
  <c r="F26" i="88" l="1"/>
  <c r="B62" i="77" l="1"/>
  <c r="F68" i="77" l="1"/>
  <c r="F69" i="77" s="1"/>
  <c r="E68" i="77"/>
  <c r="E69" i="77" s="1"/>
  <c r="I171" i="1"/>
  <c r="C62" i="77" l="1"/>
  <c r="H91" i="1"/>
  <c r="H89" i="1"/>
  <c r="H96" i="1"/>
  <c r="E51" i="6" s="1"/>
  <c r="JX90" i="1"/>
  <c r="JX92" i="1"/>
  <c r="JX89" i="1"/>
  <c r="B20" i="89"/>
  <c r="C39" i="17"/>
  <c r="C38" i="17"/>
  <c r="C37" i="17"/>
  <c r="E6" i="6" s="1"/>
  <c r="B16" i="89"/>
  <c r="C30" i="17" l="1"/>
  <c r="D81" i="3"/>
  <c r="D82" i="3" s="1"/>
  <c r="D83" i="3" s="1"/>
  <c r="E16" i="77"/>
  <c r="E14" i="77"/>
  <c r="E12" i="77"/>
  <c r="E18" i="77"/>
  <c r="D69" i="77"/>
  <c r="H4" i="88" l="1"/>
  <c r="G16" i="88"/>
  <c r="F16" i="88"/>
  <c r="E16" i="88"/>
  <c r="G26" i="88"/>
  <c r="E26" i="88"/>
  <c r="D26" i="88"/>
  <c r="C26" i="88"/>
  <c r="B26" i="88"/>
  <c r="G50" i="88"/>
  <c r="F50" i="88"/>
  <c r="E50" i="88"/>
  <c r="C50" i="88"/>
  <c r="B50" i="88"/>
  <c r="G58" i="88"/>
  <c r="F58" i="88"/>
  <c r="E58" i="88"/>
  <c r="C58" i="88"/>
  <c r="B58" i="88"/>
  <c r="H58" i="88" l="1"/>
  <c r="D50" i="88"/>
  <c r="B16" i="88"/>
  <c r="B63" i="88" s="1"/>
  <c r="H38" i="88"/>
  <c r="L17" i="3" l="1"/>
  <c r="C16" i="88"/>
  <c r="D16" i="88"/>
  <c r="H50" i="88"/>
  <c r="L18" i="3" s="1"/>
  <c r="ES92" i="1"/>
  <c r="ES91" i="1"/>
  <c r="ES90" i="1"/>
  <c r="ES89" i="1"/>
  <c r="E47" i="30"/>
  <c r="E58" i="30" s="1"/>
  <c r="E59" i="30" s="1"/>
  <c r="C278" i="30"/>
  <c r="C277" i="30"/>
  <c r="C270" i="30"/>
  <c r="C269" i="30"/>
  <c r="C264" i="30"/>
  <c r="C257" i="30"/>
  <c r="C256" i="30"/>
  <c r="C251" i="30"/>
  <c r="C244" i="30"/>
  <c r="C243" i="30"/>
  <c r="C238" i="30"/>
  <c r="S27" i="55"/>
  <c r="R27" i="55"/>
  <c r="L27" i="55"/>
  <c r="K27" i="55"/>
  <c r="L16" i="3" l="1"/>
  <c r="R30" i="55"/>
  <c r="S30" i="55" l="1"/>
  <c r="C102" i="86"/>
  <c r="D102" i="86" s="1"/>
  <c r="C101" i="86"/>
  <c r="D101" i="86" s="1"/>
  <c r="C89" i="86"/>
  <c r="D89" i="86" s="1"/>
  <c r="C88" i="86"/>
  <c r="D88" i="86" s="1"/>
  <c r="C87" i="86"/>
  <c r="D87" i="86" s="1"/>
  <c r="C85" i="86"/>
  <c r="D85" i="86" s="1"/>
  <c r="C84" i="86"/>
  <c r="D84" i="86" s="1"/>
  <c r="C83" i="86"/>
  <c r="D83" i="86" s="1"/>
  <c r="C78" i="86"/>
  <c r="D78" i="86" s="1"/>
  <c r="C77" i="86"/>
  <c r="D77" i="86" s="1"/>
  <c r="C76" i="86"/>
  <c r="D76" i="86" s="1"/>
  <c r="C74" i="86"/>
  <c r="D74" i="86" s="1"/>
  <c r="C73" i="86"/>
  <c r="D73" i="86" s="1"/>
  <c r="C72" i="86"/>
  <c r="D72" i="86" s="1"/>
  <c r="C70" i="86"/>
  <c r="D70" i="86" s="1"/>
  <c r="C69" i="86"/>
  <c r="D69" i="86" s="1"/>
  <c r="C68" i="86"/>
  <c r="D68" i="86" s="1"/>
  <c r="D105" i="86" l="1"/>
  <c r="B8" i="86" s="1"/>
  <c r="D98" i="86"/>
  <c r="B7" i="86" s="1"/>
  <c r="I19" i="84"/>
  <c r="J19" i="84" s="1"/>
  <c r="K19" i="84" s="1"/>
  <c r="L19" i="84" s="1"/>
  <c r="M19" i="84" s="1"/>
  <c r="N19" i="84" s="1"/>
  <c r="H14" i="84"/>
  <c r="G14" i="84"/>
  <c r="G23" i="84" s="1"/>
  <c r="F14" i="84"/>
  <c r="E14" i="84"/>
  <c r="D14" i="84"/>
  <c r="C14" i="84"/>
  <c r="G42" i="84"/>
  <c r="B19" i="84" s="1"/>
  <c r="C42" i="84"/>
  <c r="B13" i="84" s="1"/>
  <c r="B42" i="84"/>
  <c r="B12" i="84" s="1"/>
  <c r="B8" i="84"/>
  <c r="B9" i="84" s="1"/>
  <c r="D41" i="84"/>
  <c r="F41" i="84" s="1"/>
  <c r="H41" i="84" s="1"/>
  <c r="D40" i="84"/>
  <c r="F40" i="84" s="1"/>
  <c r="H40" i="84" s="1"/>
  <c r="D39" i="84"/>
  <c r="F39" i="84" s="1"/>
  <c r="H39" i="84" s="1"/>
  <c r="D38" i="84"/>
  <c r="F38" i="84" s="1"/>
  <c r="H38" i="84" s="1"/>
  <c r="D37" i="84"/>
  <c r="F37" i="84" s="1"/>
  <c r="H37" i="84" s="1"/>
  <c r="D36" i="84"/>
  <c r="F36" i="84" s="1"/>
  <c r="H36" i="84" s="1"/>
  <c r="D35" i="84"/>
  <c r="F35" i="84" s="1"/>
  <c r="H35" i="84" s="1"/>
  <c r="D34" i="84"/>
  <c r="F34" i="84" s="1"/>
  <c r="H34" i="84" s="1"/>
  <c r="D33" i="84"/>
  <c r="F33" i="84" s="1"/>
  <c r="H33" i="84" s="1"/>
  <c r="D32" i="84"/>
  <c r="F32" i="84" s="1"/>
  <c r="H32" i="84" s="1"/>
  <c r="D31" i="84"/>
  <c r="F31" i="84" s="1"/>
  <c r="H31" i="84" s="1"/>
  <c r="B14" i="84" l="1"/>
  <c r="B18" i="84" s="1"/>
  <c r="B20" i="84" s="1"/>
  <c r="C17" i="84"/>
  <c r="B23" i="84"/>
  <c r="B24" i="84" s="1"/>
  <c r="I14" i="84"/>
  <c r="J14" i="84" s="1"/>
  <c r="K14" i="84" s="1"/>
  <c r="L14" i="84" s="1"/>
  <c r="M14" i="84" s="1"/>
  <c r="N14" i="84" s="1"/>
  <c r="C8" i="84"/>
  <c r="C23" i="84" s="1"/>
  <c r="C18" i="84" l="1"/>
  <c r="C20" i="84" s="1"/>
  <c r="C24" i="84"/>
  <c r="D17" i="84"/>
  <c r="D8" i="84"/>
  <c r="D23" i="84" s="1"/>
  <c r="C9" i="84"/>
  <c r="D24" i="84" l="1"/>
  <c r="E17" i="84"/>
  <c r="D18" i="84"/>
  <c r="D20" i="84" s="1"/>
  <c r="E8" i="84"/>
  <c r="E23" i="84" s="1"/>
  <c r="D9" i="84"/>
  <c r="E24" i="84" l="1"/>
  <c r="F17" i="84"/>
  <c r="E18" i="84"/>
  <c r="E20" i="84" s="1"/>
  <c r="E9" i="84"/>
  <c r="F8" i="84"/>
  <c r="F23" i="84" s="1"/>
  <c r="F24" i="84" l="1"/>
  <c r="G17" i="84"/>
  <c r="F18" i="84"/>
  <c r="F20" i="84" s="1"/>
  <c r="G8" i="84"/>
  <c r="F9" i="84"/>
  <c r="H17" i="84" l="1"/>
  <c r="G24" i="84"/>
  <c r="G18" i="84"/>
  <c r="G20" i="84" s="1"/>
  <c r="H8" i="84"/>
  <c r="H23" i="84" s="1"/>
  <c r="G9" i="84"/>
  <c r="H24" i="84" l="1"/>
  <c r="I17" i="84"/>
  <c r="H18" i="84"/>
  <c r="H20" i="84" s="1"/>
  <c r="H9" i="84"/>
  <c r="I8" i="84"/>
  <c r="I23" i="84" s="1"/>
  <c r="I24" i="84" l="1"/>
  <c r="J17" i="84"/>
  <c r="I18" i="84"/>
  <c r="I20" i="84" s="1"/>
  <c r="I9" i="84"/>
  <c r="J8" i="84"/>
  <c r="J23" i="84" s="1"/>
  <c r="J24" i="84" l="1"/>
  <c r="J18" i="84"/>
  <c r="J20" i="84" s="1"/>
  <c r="K17" i="84"/>
  <c r="J9" i="84"/>
  <c r="K8" i="84"/>
  <c r="K23" i="84" s="1"/>
  <c r="K24" i="84" l="1"/>
  <c r="K18" i="84"/>
  <c r="K20" i="84" s="1"/>
  <c r="L17" i="84"/>
  <c r="L8" i="84"/>
  <c r="L23" i="84" s="1"/>
  <c r="K9" i="84"/>
  <c r="L24" i="84" l="1"/>
  <c r="L18" i="84"/>
  <c r="L20" i="84" s="1"/>
  <c r="M17" i="84"/>
  <c r="L9" i="84"/>
  <c r="M8" i="84"/>
  <c r="M23" i="84" s="1"/>
  <c r="M24" i="84" l="1"/>
  <c r="M18" i="84"/>
  <c r="M20" i="84" s="1"/>
  <c r="N17" i="84"/>
  <c r="M9" i="84"/>
  <c r="N8" i="84"/>
  <c r="N23" i="84" s="1"/>
  <c r="N18" i="84" l="1"/>
  <c r="N20" i="84" s="1"/>
  <c r="N24" i="84"/>
  <c r="N9" i="84"/>
  <c r="B27" i="83" l="1"/>
  <c r="B36" i="83"/>
  <c r="B35" i="83"/>
  <c r="D21" i="83" l="1"/>
  <c r="C68" i="83"/>
  <c r="D66" i="83"/>
  <c r="E21" i="83" l="1"/>
  <c r="E66" i="83"/>
  <c r="F66" i="83" l="1"/>
  <c r="F21" i="83"/>
  <c r="C33" i="83"/>
  <c r="C22" i="83" s="1"/>
  <c r="BK45" i="83"/>
  <c r="BJ45" i="83"/>
  <c r="BI45" i="83"/>
  <c r="BH45" i="83"/>
  <c r="BG45" i="83"/>
  <c r="BF45" i="83"/>
  <c r="BE45" i="83"/>
  <c r="BD45" i="83"/>
  <c r="BC45" i="83"/>
  <c r="BB45" i="83"/>
  <c r="BA45" i="83"/>
  <c r="AZ45" i="83"/>
  <c r="AY45" i="83"/>
  <c r="AX45" i="83"/>
  <c r="AW45" i="83"/>
  <c r="AV45" i="83"/>
  <c r="AU45" i="83"/>
  <c r="AT45" i="83"/>
  <c r="AS45" i="83"/>
  <c r="AR45" i="83"/>
  <c r="AQ45" i="83"/>
  <c r="AP45" i="83"/>
  <c r="AO45" i="83"/>
  <c r="AN45" i="83"/>
  <c r="AM45" i="83"/>
  <c r="AL45" i="83"/>
  <c r="AK45" i="83"/>
  <c r="AJ45" i="83"/>
  <c r="AI45" i="83"/>
  <c r="D45" i="83"/>
  <c r="E45" i="83" s="1"/>
  <c r="F45" i="83" s="1"/>
  <c r="G45" i="83" s="1"/>
  <c r="H45" i="83" s="1"/>
  <c r="I45" i="83" s="1"/>
  <c r="J45" i="83" s="1"/>
  <c r="K45" i="83" s="1"/>
  <c r="L45" i="83" s="1"/>
  <c r="M45" i="83" s="1"/>
  <c r="N45" i="83" s="1"/>
  <c r="O45" i="83" s="1"/>
  <c r="P45" i="83" s="1"/>
  <c r="Q45" i="83" s="1"/>
  <c r="R45" i="83" s="1"/>
  <c r="S45" i="83" s="1"/>
  <c r="T45" i="83" s="1"/>
  <c r="U45" i="83" s="1"/>
  <c r="V45" i="83" s="1"/>
  <c r="W45" i="83" s="1"/>
  <c r="X45" i="83" s="1"/>
  <c r="Y45" i="83" s="1"/>
  <c r="Z45" i="83" s="1"/>
  <c r="AA45" i="83" s="1"/>
  <c r="AB45" i="83" s="1"/>
  <c r="AC45" i="83" s="1"/>
  <c r="AD45" i="83" s="1"/>
  <c r="AE45" i="83" s="1"/>
  <c r="AF45" i="83" s="1"/>
  <c r="AG45" i="83" s="1"/>
  <c r="AH45" i="83" s="1"/>
  <c r="D24" i="83"/>
  <c r="BK47" i="83"/>
  <c r="BJ47" i="83"/>
  <c r="BI47" i="83"/>
  <c r="BH47" i="83"/>
  <c r="BG47" i="83"/>
  <c r="BF47" i="83"/>
  <c r="BE47" i="83"/>
  <c r="BD47" i="83"/>
  <c r="BC47" i="83"/>
  <c r="BB47" i="83"/>
  <c r="BA47" i="83"/>
  <c r="AZ47" i="83"/>
  <c r="AY47" i="83"/>
  <c r="AX47" i="83"/>
  <c r="AW47" i="83"/>
  <c r="AV47" i="83"/>
  <c r="AU47" i="83"/>
  <c r="AT47" i="83"/>
  <c r="AS47" i="83"/>
  <c r="AR47" i="83"/>
  <c r="AQ47" i="83"/>
  <c r="AP47" i="83"/>
  <c r="AO47" i="83"/>
  <c r="AN47" i="83"/>
  <c r="AM47" i="83"/>
  <c r="AL47" i="83"/>
  <c r="AK47" i="83"/>
  <c r="AJ47" i="83"/>
  <c r="AI47" i="83"/>
  <c r="AH47" i="83"/>
  <c r="AG47" i="83"/>
  <c r="AF47" i="83"/>
  <c r="AE47" i="83"/>
  <c r="AD47" i="83"/>
  <c r="AC47" i="83"/>
  <c r="AB47" i="83"/>
  <c r="AA47" i="83"/>
  <c r="Z47" i="83"/>
  <c r="Y47" i="83"/>
  <c r="X47" i="83"/>
  <c r="W47" i="83"/>
  <c r="V47" i="83"/>
  <c r="U47" i="83"/>
  <c r="T47" i="83"/>
  <c r="S47" i="83"/>
  <c r="R47" i="83"/>
  <c r="Q47" i="83"/>
  <c r="P47" i="83"/>
  <c r="O47" i="83"/>
  <c r="N47" i="83"/>
  <c r="M47" i="83"/>
  <c r="L47" i="83"/>
  <c r="K47" i="83"/>
  <c r="J47" i="83"/>
  <c r="I47" i="83"/>
  <c r="H47" i="83"/>
  <c r="G47" i="83"/>
  <c r="F47" i="83"/>
  <c r="E47" i="83"/>
  <c r="D47" i="83"/>
  <c r="C47" i="83"/>
  <c r="C28" i="83" l="1"/>
  <c r="G21" i="83"/>
  <c r="E24" i="83"/>
  <c r="G66" i="83"/>
  <c r="H66" i="83" l="1"/>
  <c r="F24" i="83"/>
  <c r="H21" i="83"/>
  <c r="I21" i="83" l="1"/>
  <c r="G24" i="83"/>
  <c r="I66" i="83"/>
  <c r="J66" i="83" l="1"/>
  <c r="H24" i="83"/>
  <c r="J21" i="83"/>
  <c r="K21" i="83" l="1"/>
  <c r="K66" i="83"/>
  <c r="I24" i="83"/>
  <c r="J24" i="83" l="1"/>
  <c r="L66" i="83"/>
  <c r="L21" i="83"/>
  <c r="M66" i="83" l="1"/>
  <c r="K24" i="83"/>
  <c r="M21" i="83"/>
  <c r="N21" i="83" l="1"/>
  <c r="N66" i="83"/>
  <c r="L24" i="83"/>
  <c r="M24" i="83" l="1"/>
  <c r="O66" i="83"/>
  <c r="O21" i="83"/>
  <c r="P21" i="83" l="1"/>
  <c r="P66" i="83"/>
  <c r="N24" i="83"/>
  <c r="O24" i="83" l="1"/>
  <c r="Q66" i="83"/>
  <c r="Q21" i="83"/>
  <c r="R21" i="83" l="1"/>
  <c r="R66" i="83"/>
  <c r="P24" i="83"/>
  <c r="Q24" i="83" l="1"/>
  <c r="S66" i="83"/>
  <c r="S21" i="83"/>
  <c r="T21" i="83" l="1"/>
  <c r="T66" i="83"/>
  <c r="R24" i="83"/>
  <c r="U21" i="83" l="1"/>
  <c r="S24" i="83"/>
  <c r="U66" i="83"/>
  <c r="V21" i="83" l="1"/>
  <c r="V66" i="83"/>
  <c r="T24" i="83"/>
  <c r="U24" i="83" l="1"/>
  <c r="W66" i="83"/>
  <c r="W21" i="83"/>
  <c r="X21" i="83" l="1"/>
  <c r="X66" i="83"/>
  <c r="V24" i="83"/>
  <c r="Y66" i="83" l="1"/>
  <c r="W24" i="83"/>
  <c r="Y21" i="83"/>
  <c r="Z21" i="83" l="1"/>
  <c r="X24" i="83"/>
  <c r="Z66" i="83"/>
  <c r="AA66" i="83" l="1"/>
  <c r="Y24" i="83"/>
  <c r="AA21" i="83"/>
  <c r="AB21" i="83" l="1"/>
  <c r="Z24" i="83"/>
  <c r="AB66" i="83"/>
  <c r="AC66" i="83" l="1"/>
  <c r="AA24" i="83"/>
  <c r="AC21" i="83"/>
  <c r="AD21" i="83" l="1"/>
  <c r="AB24" i="83"/>
  <c r="AD66" i="83"/>
  <c r="AE66" i="83" l="1"/>
  <c r="AC24" i="83"/>
  <c r="AE21" i="83"/>
  <c r="AF21" i="83" l="1"/>
  <c r="AF66" i="83"/>
  <c r="AD24" i="83"/>
  <c r="AE24" i="83" l="1"/>
  <c r="AG66" i="83"/>
  <c r="AG21" i="83"/>
  <c r="AH21" i="83" l="1"/>
  <c r="AH66" i="83"/>
  <c r="AF24" i="83"/>
  <c r="AG24" i="83" l="1"/>
  <c r="AI66" i="83"/>
  <c r="AI21" i="83"/>
  <c r="AJ66" i="83" l="1"/>
  <c r="AJ21" i="83"/>
  <c r="AH24" i="83"/>
  <c r="AK21" i="83" l="1"/>
  <c r="AI24" i="83"/>
  <c r="AK66" i="83"/>
  <c r="AL66" i="83" l="1"/>
  <c r="AJ24" i="83"/>
  <c r="AL21" i="83"/>
  <c r="AK24" i="83" l="1"/>
  <c r="AM21" i="83"/>
  <c r="AM66" i="83"/>
  <c r="AN66" i="83" l="1"/>
  <c r="AL24" i="83"/>
  <c r="AN21" i="83"/>
  <c r="AO21" i="83" l="1"/>
  <c r="AM24" i="83"/>
  <c r="AO66" i="83"/>
  <c r="AN24" i="83" l="1"/>
  <c r="AP66" i="83"/>
  <c r="AP21" i="83"/>
  <c r="AQ66" i="83" l="1"/>
  <c r="AQ21" i="83"/>
  <c r="AO24" i="83"/>
  <c r="AR66" i="83" l="1"/>
  <c r="AR21" i="83"/>
  <c r="AP24" i="83"/>
  <c r="AQ24" i="83" l="1"/>
  <c r="AS21" i="83"/>
  <c r="AS66" i="83"/>
  <c r="AT66" i="83" l="1"/>
  <c r="AT21" i="83"/>
  <c r="AR24" i="83"/>
  <c r="AS24" i="83" l="1"/>
  <c r="AU21" i="83"/>
  <c r="AU66" i="83"/>
  <c r="AV66" i="83" l="1"/>
  <c r="AV21" i="83"/>
  <c r="AT24" i="83"/>
  <c r="AU24" i="83" l="1"/>
  <c r="AW21" i="83"/>
  <c r="AW66" i="83"/>
  <c r="AX66" i="83" l="1"/>
  <c r="AX21" i="83"/>
  <c r="AV24" i="83"/>
  <c r="AW24" i="83" l="1"/>
  <c r="AY21" i="83"/>
  <c r="AY66" i="83"/>
  <c r="AZ66" i="83" l="1"/>
  <c r="AZ21" i="83"/>
  <c r="AX24" i="83"/>
  <c r="AY24" i="83" l="1"/>
  <c r="BA21" i="83"/>
  <c r="BA66" i="83"/>
  <c r="BB66" i="83" l="1"/>
  <c r="BB21" i="83"/>
  <c r="AZ24" i="83"/>
  <c r="BA24" i="83" l="1"/>
  <c r="BC21" i="83"/>
  <c r="BC66" i="83"/>
  <c r="BD66" i="83" l="1"/>
  <c r="BD21" i="83"/>
  <c r="BB24" i="83"/>
  <c r="BC24" i="83" l="1"/>
  <c r="BE21" i="83"/>
  <c r="BE66" i="83"/>
  <c r="BF66" i="83" l="1"/>
  <c r="BF21" i="83"/>
  <c r="BD24" i="83"/>
  <c r="BE24" i="83" l="1"/>
  <c r="BG21" i="83"/>
  <c r="BG66" i="83"/>
  <c r="BH66" i="83" l="1"/>
  <c r="BH21" i="83"/>
  <c r="BF24" i="83"/>
  <c r="BG24" i="83" l="1"/>
  <c r="BI21" i="83"/>
  <c r="BI66" i="83"/>
  <c r="BJ66" i="83" l="1"/>
  <c r="BJ21" i="83"/>
  <c r="BH24" i="83"/>
  <c r="BI24" i="83" l="1"/>
  <c r="BK21" i="83"/>
  <c r="BK66" i="83"/>
  <c r="BJ24" i="83" l="1"/>
  <c r="BK24" i="83" l="1"/>
  <c r="C106" i="76" l="1"/>
  <c r="E104" i="76"/>
  <c r="G104" i="76" s="1"/>
  <c r="E103" i="76"/>
  <c r="G103" i="76" s="1"/>
  <c r="E102" i="76"/>
  <c r="G102" i="76" s="1"/>
  <c r="C101" i="76"/>
  <c r="E99" i="76"/>
  <c r="G99" i="76" s="1"/>
  <c r="E98" i="76"/>
  <c r="G98" i="76" s="1"/>
  <c r="E97" i="76"/>
  <c r="G97" i="76" s="1"/>
  <c r="C96" i="76"/>
  <c r="R85" i="76"/>
  <c r="Q85" i="76"/>
  <c r="P85" i="76"/>
  <c r="O85" i="76"/>
  <c r="R84" i="76"/>
  <c r="Q84" i="76"/>
  <c r="P84" i="76"/>
  <c r="O84" i="76"/>
  <c r="I80" i="76"/>
  <c r="H80" i="76"/>
  <c r="G80" i="76"/>
  <c r="F80" i="76"/>
  <c r="D80" i="76"/>
  <c r="I79" i="76"/>
  <c r="H79" i="76"/>
  <c r="G79" i="76"/>
  <c r="F79" i="76"/>
  <c r="D79" i="76"/>
  <c r="I76" i="76"/>
  <c r="R76" i="76" s="1"/>
  <c r="H76" i="76"/>
  <c r="Q76" i="76" s="1"/>
  <c r="G76" i="76"/>
  <c r="P76" i="76" s="1"/>
  <c r="F76" i="76"/>
  <c r="O76" i="76" s="1"/>
  <c r="I75" i="76"/>
  <c r="R75" i="76" s="1"/>
  <c r="H75" i="76"/>
  <c r="Q75" i="76" s="1"/>
  <c r="G75" i="76"/>
  <c r="P75" i="76" s="1"/>
  <c r="F75" i="76"/>
  <c r="O75" i="76" s="1"/>
  <c r="I74" i="76"/>
  <c r="R74" i="76" s="1"/>
  <c r="H74" i="76"/>
  <c r="Q74" i="76" s="1"/>
  <c r="G74" i="76"/>
  <c r="P74" i="76" s="1"/>
  <c r="F74" i="76"/>
  <c r="O74" i="76" s="1"/>
  <c r="I73" i="76"/>
  <c r="R73" i="76" s="1"/>
  <c r="H73" i="76"/>
  <c r="Q73" i="76" s="1"/>
  <c r="G73" i="76"/>
  <c r="P73" i="76" s="1"/>
  <c r="F73" i="76"/>
  <c r="O73" i="76" s="1"/>
  <c r="I72" i="76"/>
  <c r="R72" i="76" s="1"/>
  <c r="H72" i="76"/>
  <c r="Q72" i="76" s="1"/>
  <c r="G72" i="76"/>
  <c r="P72" i="76" s="1"/>
  <c r="F72" i="76"/>
  <c r="O72" i="76" s="1"/>
  <c r="I71" i="76"/>
  <c r="R71" i="76" s="1"/>
  <c r="H71" i="76"/>
  <c r="Q71" i="76" s="1"/>
  <c r="G71" i="76"/>
  <c r="P71" i="76" s="1"/>
  <c r="F71" i="76"/>
  <c r="O71" i="76" s="1"/>
  <c r="I64" i="76"/>
  <c r="R64" i="76" s="1"/>
  <c r="H64" i="76"/>
  <c r="Q64" i="76" s="1"/>
  <c r="G64" i="76"/>
  <c r="P64" i="76" s="1"/>
  <c r="F64" i="76"/>
  <c r="O64" i="76" s="1"/>
  <c r="I63" i="76"/>
  <c r="R63" i="76" s="1"/>
  <c r="H63" i="76"/>
  <c r="Q63" i="76" s="1"/>
  <c r="G63" i="76"/>
  <c r="P63" i="76" s="1"/>
  <c r="F63" i="76"/>
  <c r="O63" i="76" s="1"/>
  <c r="I62" i="76"/>
  <c r="R62" i="76" s="1"/>
  <c r="H62" i="76"/>
  <c r="Q62" i="76" s="1"/>
  <c r="G62" i="76"/>
  <c r="P62" i="76" s="1"/>
  <c r="F62" i="76"/>
  <c r="O62" i="76" s="1"/>
  <c r="I61" i="76"/>
  <c r="H61" i="76"/>
  <c r="Q61" i="76" s="1"/>
  <c r="G61" i="76"/>
  <c r="P61" i="76" s="1"/>
  <c r="F61" i="76"/>
  <c r="R59" i="76"/>
  <c r="Q59" i="76"/>
  <c r="P59" i="76"/>
  <c r="O59" i="76"/>
  <c r="I59" i="76"/>
  <c r="H59" i="76"/>
  <c r="G59" i="76"/>
  <c r="F59" i="76"/>
  <c r="AW47" i="76"/>
  <c r="AV47" i="76"/>
  <c r="CL46" i="76"/>
  <c r="BN42" i="76" s="1"/>
  <c r="CK46" i="76"/>
  <c r="CJ46" i="76"/>
  <c r="AW46" i="76"/>
  <c r="AV46" i="76"/>
  <c r="AU46" i="76"/>
  <c r="AT46" i="76"/>
  <c r="CL45" i="76"/>
  <c r="BM42" i="76" s="1"/>
  <c r="CK45" i="76"/>
  <c r="CJ45" i="76"/>
  <c r="AW45" i="76"/>
  <c r="AV45" i="76"/>
  <c r="CL44" i="76"/>
  <c r="BL42" i="76" s="1"/>
  <c r="CK44" i="76"/>
  <c r="CJ44" i="76"/>
  <c r="AW44" i="76"/>
  <c r="AV44" i="76"/>
  <c r="AU44" i="76"/>
  <c r="AT44" i="76"/>
  <c r="CL43" i="76"/>
  <c r="BK42" i="76" s="1"/>
  <c r="CK42" i="76"/>
  <c r="BD43" i="76" s="1"/>
  <c r="CI42" i="76" a="1"/>
  <c r="BQ42" i="76" s="1"/>
  <c r="BC41" i="76"/>
  <c r="I36" i="76"/>
  <c r="H36" i="76"/>
  <c r="G36" i="76"/>
  <c r="F36" i="76"/>
  <c r="CL34" i="76"/>
  <c r="BN30" i="76" s="1"/>
  <c r="CK34" i="76"/>
  <c r="CJ34" i="76"/>
  <c r="CL33" i="76"/>
  <c r="BM30" i="76" s="1"/>
  <c r="CK33" i="76"/>
  <c r="CJ33" i="76"/>
  <c r="CK30" i="76"/>
  <c r="BC32" i="76" s="1"/>
  <c r="CI30" i="76" a="1"/>
  <c r="BC29" i="76"/>
  <c r="CU25" i="76"/>
  <c r="CT25" i="76"/>
  <c r="CS25" i="76"/>
  <c r="CR25" i="76"/>
  <c r="CU24" i="76"/>
  <c r="CT24" i="76"/>
  <c r="CS24" i="76"/>
  <c r="CR24" i="76"/>
  <c r="H24" i="76"/>
  <c r="B22" i="17" s="1"/>
  <c r="CU23" i="76"/>
  <c r="CT23" i="76"/>
  <c r="CS23" i="76"/>
  <c r="CR23" i="76"/>
  <c r="CL22" i="76"/>
  <c r="BN18" i="76" s="1"/>
  <c r="CK22" i="76"/>
  <c r="CJ22" i="76"/>
  <c r="O22" i="76"/>
  <c r="DK28" i="76" s="1"/>
  <c r="N22" i="76"/>
  <c r="DJ28" i="76" s="1"/>
  <c r="M22" i="76"/>
  <c r="DI28" i="76" s="1"/>
  <c r="L22" i="76"/>
  <c r="DH28" i="76" s="1"/>
  <c r="K22" i="76"/>
  <c r="J22" i="76"/>
  <c r="DF28" i="76" s="1"/>
  <c r="I22" i="76"/>
  <c r="DE28" i="76" s="1"/>
  <c r="H22" i="76"/>
  <c r="B22" i="76"/>
  <c r="CK21" i="76"/>
  <c r="CJ21" i="76"/>
  <c r="O21" i="76"/>
  <c r="DK27" i="76" s="1"/>
  <c r="N21" i="76"/>
  <c r="DJ27" i="76" s="1"/>
  <c r="M21" i="76"/>
  <c r="DI27" i="76" s="1"/>
  <c r="L21" i="76"/>
  <c r="DH27" i="76" s="1"/>
  <c r="K21" i="76"/>
  <c r="J21" i="76"/>
  <c r="DF27" i="76" s="1"/>
  <c r="I21" i="76"/>
  <c r="DE27" i="76" s="1"/>
  <c r="H21" i="76"/>
  <c r="B21" i="76"/>
  <c r="CK20" i="76"/>
  <c r="CJ20" i="76"/>
  <c r="O20" i="76"/>
  <c r="DK26" i="76" s="1"/>
  <c r="N20" i="76"/>
  <c r="DJ26" i="76" s="1"/>
  <c r="M20" i="76"/>
  <c r="DI26" i="76" s="1"/>
  <c r="L20" i="76"/>
  <c r="DH26" i="76" s="1"/>
  <c r="K20" i="76"/>
  <c r="J20" i="76"/>
  <c r="DF26" i="76" s="1"/>
  <c r="I20" i="76"/>
  <c r="DE26" i="76" s="1"/>
  <c r="H20" i="76"/>
  <c r="B20" i="76"/>
  <c r="O19" i="76"/>
  <c r="DK25" i="76" s="1"/>
  <c r="N19" i="76"/>
  <c r="DJ25" i="76" s="1"/>
  <c r="M19" i="76"/>
  <c r="DI25" i="76" s="1"/>
  <c r="J19" i="76"/>
  <c r="DF25" i="76" s="1"/>
  <c r="I19" i="76"/>
  <c r="DE25" i="76" s="1"/>
  <c r="H19" i="76"/>
  <c r="B19" i="76"/>
  <c r="CK18" i="76"/>
  <c r="CJ19" i="76" s="1"/>
  <c r="CK19" i="76" s="1"/>
  <c r="CI18" i="76" a="1"/>
  <c r="O18" i="76"/>
  <c r="DK24" i="76" s="1"/>
  <c r="N18" i="76"/>
  <c r="DJ24" i="76" s="1"/>
  <c r="M18" i="76"/>
  <c r="DI24" i="76" s="1"/>
  <c r="J18" i="76"/>
  <c r="DF24" i="76" s="1"/>
  <c r="I18" i="76"/>
  <c r="DE24" i="76" s="1"/>
  <c r="H18" i="76"/>
  <c r="B18" i="76"/>
  <c r="BC17" i="76"/>
  <c r="P17" i="76"/>
  <c r="O17" i="76"/>
  <c r="DK23" i="76" s="1"/>
  <c r="N17" i="76"/>
  <c r="DJ23" i="76" s="1"/>
  <c r="M17" i="76"/>
  <c r="DI23" i="76" s="1"/>
  <c r="J17" i="76"/>
  <c r="DF23" i="76" s="1"/>
  <c r="I17" i="76"/>
  <c r="DE23" i="76" s="1"/>
  <c r="H17" i="76"/>
  <c r="B17" i="76"/>
  <c r="O16" i="76"/>
  <c r="DK22" i="76" s="1"/>
  <c r="N16" i="76"/>
  <c r="DJ22" i="76" s="1"/>
  <c r="M16" i="76"/>
  <c r="DI22" i="76" s="1"/>
  <c r="L16" i="76"/>
  <c r="DH22" i="76" s="1"/>
  <c r="K16" i="76"/>
  <c r="J16" i="76"/>
  <c r="DF22" i="76" s="1"/>
  <c r="I16" i="76"/>
  <c r="DE22" i="76" s="1"/>
  <c r="H16" i="76"/>
  <c r="B16" i="76"/>
  <c r="O15" i="76"/>
  <c r="DK21" i="76" s="1"/>
  <c r="N15" i="76"/>
  <c r="DJ21" i="76" s="1"/>
  <c r="M15" i="76"/>
  <c r="DI21" i="76" s="1"/>
  <c r="L15" i="76"/>
  <c r="DH21" i="76" s="1"/>
  <c r="K15" i="76"/>
  <c r="J15" i="76"/>
  <c r="DF21" i="76" s="1"/>
  <c r="I15" i="76"/>
  <c r="DE21" i="76" s="1"/>
  <c r="H15" i="76"/>
  <c r="B15" i="76"/>
  <c r="O14" i="76"/>
  <c r="DK20" i="76" s="1"/>
  <c r="N14" i="76"/>
  <c r="DJ20" i="76" s="1"/>
  <c r="M14" i="76"/>
  <c r="DI20" i="76" s="1"/>
  <c r="L14" i="76"/>
  <c r="DH20" i="76" s="1"/>
  <c r="K14" i="76"/>
  <c r="J14" i="76"/>
  <c r="DF20" i="76" s="1"/>
  <c r="I14" i="76"/>
  <c r="DE20" i="76" s="1"/>
  <c r="H14" i="76"/>
  <c r="B14" i="76"/>
  <c r="O13" i="76"/>
  <c r="DK19" i="76" s="1"/>
  <c r="N13" i="76"/>
  <c r="DJ19" i="76" s="1"/>
  <c r="M13" i="76"/>
  <c r="DI19" i="76" s="1"/>
  <c r="L13" i="76"/>
  <c r="DH19" i="76" s="1"/>
  <c r="K13" i="76"/>
  <c r="J13" i="76"/>
  <c r="DF19" i="76" s="1"/>
  <c r="I13" i="76"/>
  <c r="DE19" i="76" s="1"/>
  <c r="H13" i="76"/>
  <c r="B13" i="76"/>
  <c r="O12" i="76"/>
  <c r="DK18" i="76" s="1"/>
  <c r="N12" i="76"/>
  <c r="DJ18" i="76" s="1"/>
  <c r="M12" i="76"/>
  <c r="DI18" i="76" s="1"/>
  <c r="L12" i="76"/>
  <c r="DH18" i="76" s="1"/>
  <c r="K12" i="76"/>
  <c r="J12" i="76"/>
  <c r="DF18" i="76" s="1"/>
  <c r="I12" i="76"/>
  <c r="DE18" i="76" s="1"/>
  <c r="H12" i="76"/>
  <c r="B12" i="76"/>
  <c r="O11" i="76"/>
  <c r="DK17" i="76" s="1"/>
  <c r="N11" i="76"/>
  <c r="DJ17" i="76" s="1"/>
  <c r="M11" i="76"/>
  <c r="DI17" i="76" s="1"/>
  <c r="L11" i="76"/>
  <c r="DH17" i="76" s="1"/>
  <c r="K11" i="76"/>
  <c r="J11" i="76"/>
  <c r="DF17" i="76" s="1"/>
  <c r="I11" i="76"/>
  <c r="DE17" i="76" s="1"/>
  <c r="H11" i="76"/>
  <c r="B11" i="76"/>
  <c r="CL10" i="76"/>
  <c r="BN6" i="76" s="1"/>
  <c r="CK10" i="76"/>
  <c r="CJ10" i="76"/>
  <c r="O10" i="76"/>
  <c r="DK16" i="76" s="1"/>
  <c r="N10" i="76"/>
  <c r="DJ16" i="76" s="1"/>
  <c r="M10" i="76"/>
  <c r="DI16" i="76" s="1"/>
  <c r="L10" i="76"/>
  <c r="DH16" i="76" s="1"/>
  <c r="K10" i="76"/>
  <c r="J10" i="76"/>
  <c r="DF16" i="76" s="1"/>
  <c r="I10" i="76"/>
  <c r="DE16" i="76" s="1"/>
  <c r="H10" i="76"/>
  <c r="B10" i="76"/>
  <c r="CL9" i="76"/>
  <c r="BM6" i="76" s="1"/>
  <c r="CK9" i="76"/>
  <c r="CJ9" i="76"/>
  <c r="O9" i="76"/>
  <c r="N9" i="76"/>
  <c r="DJ15" i="76" s="1"/>
  <c r="M9" i="76"/>
  <c r="DI15" i="76" s="1"/>
  <c r="L9" i="76"/>
  <c r="DH15" i="76" s="1"/>
  <c r="K9" i="76"/>
  <c r="J9" i="76"/>
  <c r="DF15" i="76" s="1"/>
  <c r="I9" i="76"/>
  <c r="DE15" i="76" s="1"/>
  <c r="H9" i="76"/>
  <c r="B9" i="76"/>
  <c r="O8" i="76"/>
  <c r="N8" i="76"/>
  <c r="DJ14" i="76" s="1"/>
  <c r="M8" i="76"/>
  <c r="DI14" i="76" s="1"/>
  <c r="L8" i="76"/>
  <c r="DH14" i="76" s="1"/>
  <c r="K8" i="76"/>
  <c r="J8" i="76"/>
  <c r="DF14" i="76" s="1"/>
  <c r="I8" i="76"/>
  <c r="DE14" i="76" s="1"/>
  <c r="H8" i="76"/>
  <c r="B8" i="76"/>
  <c r="O7" i="76"/>
  <c r="N7" i="76"/>
  <c r="DJ13" i="76" s="1"/>
  <c r="M7" i="76"/>
  <c r="DI13" i="76" s="1"/>
  <c r="L7" i="76"/>
  <c r="DH13" i="76" s="1"/>
  <c r="K7" i="76"/>
  <c r="J7" i="76"/>
  <c r="DF13" i="76" s="1"/>
  <c r="I7" i="76"/>
  <c r="DE13" i="76" s="1"/>
  <c r="H7" i="76"/>
  <c r="B7" i="76"/>
  <c r="CK6" i="76"/>
  <c r="BE8" i="76" s="1"/>
  <c r="CI6" i="76" a="1"/>
  <c r="CL7" i="76" s="1"/>
  <c r="O6" i="76"/>
  <c r="N6" i="76"/>
  <c r="DJ12" i="76" s="1"/>
  <c r="M6" i="76"/>
  <c r="DI12" i="76" s="1"/>
  <c r="L6" i="76"/>
  <c r="K6" i="76"/>
  <c r="J6" i="76"/>
  <c r="DF12" i="76" s="1"/>
  <c r="I6" i="76"/>
  <c r="DE12" i="76" s="1"/>
  <c r="H6" i="76"/>
  <c r="B6" i="76"/>
  <c r="BC5" i="76"/>
  <c r="O5" i="76"/>
  <c r="N5" i="76"/>
  <c r="M5" i="76"/>
  <c r="L5" i="76"/>
  <c r="DH11" i="76" s="1"/>
  <c r="K5" i="76"/>
  <c r="J5" i="76"/>
  <c r="I5" i="76"/>
  <c r="H5" i="76"/>
  <c r="B5" i="76"/>
  <c r="AY2" i="76"/>
  <c r="CL8" i="76" l="1"/>
  <c r="BL6" i="76" s="1"/>
  <c r="CL20" i="76"/>
  <c r="BL18" i="76" s="1"/>
  <c r="CL21" i="76"/>
  <c r="BM18" i="76" s="1"/>
  <c r="E107" i="76"/>
  <c r="G107" i="76" s="1"/>
  <c r="G106" i="76" s="1"/>
  <c r="E106" i="76" s="1"/>
  <c r="H78" i="76"/>
  <c r="F78" i="76"/>
  <c r="R80" i="76"/>
  <c r="Q80" i="76"/>
  <c r="L18" i="76"/>
  <c r="DH24" i="76" s="1"/>
  <c r="BA8" i="76"/>
  <c r="AZ7" i="76"/>
  <c r="BA7" i="76"/>
  <c r="BA20" i="76"/>
  <c r="G78" i="76"/>
  <c r="BA32" i="76"/>
  <c r="BC20" i="76"/>
  <c r="BD7" i="76"/>
  <c r="BB19" i="76"/>
  <c r="CC19" i="76"/>
  <c r="BD19" i="76"/>
  <c r="BE19" i="76"/>
  <c r="BU19" i="76"/>
  <c r="Q79" i="76"/>
  <c r="F69" i="76"/>
  <c r="O69" i="76" s="1"/>
  <c r="P80" i="76"/>
  <c r="AZ44" i="76"/>
  <c r="AZ45" i="76" s="1"/>
  <c r="BB44" i="76"/>
  <c r="CE20" i="76"/>
  <c r="CE21" i="76" s="1"/>
  <c r="AZ31" i="76"/>
  <c r="C109" i="76"/>
  <c r="D99" i="76" s="1"/>
  <c r="AZ43" i="76"/>
  <c r="BC31" i="76"/>
  <c r="BC43" i="76"/>
  <c r="BC8" i="76"/>
  <c r="BT18" i="76" s="1"/>
  <c r="O80" i="76"/>
  <c r="BC7" i="76"/>
  <c r="BB8" i="76"/>
  <c r="BC19" i="76"/>
  <c r="G66" i="76"/>
  <c r="P66" i="76" s="1"/>
  <c r="K19" i="76"/>
  <c r="DG25" i="76" s="1"/>
  <c r="BE43" i="76"/>
  <c r="CJ7" i="76"/>
  <c r="CK7" i="76" s="1"/>
  <c r="BJ7" i="76" s="1"/>
  <c r="BD8" i="76"/>
  <c r="L17" i="76"/>
  <c r="DH23" i="76" s="1"/>
  <c r="L19" i="76"/>
  <c r="DH25" i="76" s="1"/>
  <c r="BT19" i="76"/>
  <c r="AZ20" i="76"/>
  <c r="AZ21" i="76" s="1"/>
  <c r="CJ31" i="76"/>
  <c r="CK31" i="76" s="1"/>
  <c r="BF31" i="76" s="1"/>
  <c r="DA29" i="76"/>
  <c r="CL31" i="76"/>
  <c r="BK30" i="76" s="1"/>
  <c r="BN20" i="76"/>
  <c r="BN21" i="76" s="1"/>
  <c r="O79" i="76"/>
  <c r="CL19" i="76"/>
  <c r="BK18" i="76" s="1"/>
  <c r="P79" i="76"/>
  <c r="CJ43" i="76"/>
  <c r="CK43" i="76" s="1"/>
  <c r="BT44" i="76" s="1"/>
  <c r="BT45" i="76" s="1"/>
  <c r="G48" i="76"/>
  <c r="G47" i="76" s="1"/>
  <c r="BB43" i="76"/>
  <c r="BK6" i="76"/>
  <c r="BJ20" i="76"/>
  <c r="AZ8" i="76"/>
  <c r="AZ9" i="76" s="1"/>
  <c r="BB7" i="76"/>
  <c r="BE7" i="76"/>
  <c r="BK20" i="76"/>
  <c r="BK21" i="76" s="1"/>
  <c r="BP42" i="76"/>
  <c r="CL42" i="76"/>
  <c r="I23" i="76"/>
  <c r="H38" i="76"/>
  <c r="G38" i="76"/>
  <c r="I38" i="76"/>
  <c r="DE11" i="76"/>
  <c r="F38" i="76"/>
  <c r="I39" i="76"/>
  <c r="H39" i="76"/>
  <c r="J23" i="76"/>
  <c r="DF11" i="76"/>
  <c r="G39" i="76"/>
  <c r="F39" i="76"/>
  <c r="DK14" i="76"/>
  <c r="DK15" i="76"/>
  <c r="BV19" i="76"/>
  <c r="G65" i="76"/>
  <c r="P65" i="76" s="1"/>
  <c r="H65" i="76"/>
  <c r="F65" i="76"/>
  <c r="O65" i="76" s="1"/>
  <c r="I65" i="76"/>
  <c r="R65" i="76" s="1"/>
  <c r="K17" i="76"/>
  <c r="K18" i="76"/>
  <c r="DG24" i="76" s="1"/>
  <c r="O23" i="76"/>
  <c r="CZ29" i="76"/>
  <c r="BL20" i="76"/>
  <c r="BL21" i="76" s="1"/>
  <c r="BM20" i="76"/>
  <c r="BM21" i="76" s="1"/>
  <c r="BP30" i="76"/>
  <c r="CL30" i="76"/>
  <c r="BQ30" i="76"/>
  <c r="F26" i="76"/>
  <c r="G26" i="76"/>
  <c r="E26" i="76"/>
  <c r="D26" i="76"/>
  <c r="BF19" i="76"/>
  <c r="BX19" i="76"/>
  <c r="CS29" i="76"/>
  <c r="R79" i="76"/>
  <c r="I78" i="76"/>
  <c r="DK13" i="76"/>
  <c r="H48" i="76"/>
  <c r="H47" i="76" s="1"/>
  <c r="CA19" i="76"/>
  <c r="CV29" i="76"/>
  <c r="CW29" i="76"/>
  <c r="CA20" i="76"/>
  <c r="CA21" i="76" s="1"/>
  <c r="BR19" i="76"/>
  <c r="BQ19" i="76"/>
  <c r="BV20" i="76"/>
  <c r="BV21" i="76" s="1"/>
  <c r="BM19" i="76"/>
  <c r="CE19" i="76"/>
  <c r="CD19" i="76"/>
  <c r="BZ20" i="76"/>
  <c r="BZ21" i="76" s="1"/>
  <c r="BP19" i="76"/>
  <c r="BR20" i="76"/>
  <c r="BR21" i="76" s="1"/>
  <c r="BQ20" i="76"/>
  <c r="BQ21" i="76" s="1"/>
  <c r="BL19" i="76"/>
  <c r="BI19" i="76"/>
  <c r="BT20" i="76"/>
  <c r="BT21" i="76" s="1"/>
  <c r="BO19" i="76"/>
  <c r="BO20" i="76"/>
  <c r="BO21" i="76" s="1"/>
  <c r="H66" i="76"/>
  <c r="Q66" i="76" s="1"/>
  <c r="I66" i="76"/>
  <c r="R66" i="76" s="1"/>
  <c r="F66" i="76"/>
  <c r="O66" i="76" s="1"/>
  <c r="BI20" i="76"/>
  <c r="J74" i="76"/>
  <c r="CX29" i="76"/>
  <c r="J70" i="76"/>
  <c r="J64" i="76"/>
  <c r="J44" i="76"/>
  <c r="CY29" i="76"/>
  <c r="J69" i="76"/>
  <c r="CU29" i="76"/>
  <c r="J76" i="76"/>
  <c r="J71" i="76"/>
  <c r="J61" i="76"/>
  <c r="J39" i="76"/>
  <c r="J80" i="76"/>
  <c r="J66" i="76"/>
  <c r="CT29" i="76"/>
  <c r="CO29" i="76"/>
  <c r="J45" i="76"/>
  <c r="CN29" i="76"/>
  <c r="J72" i="76"/>
  <c r="J48" i="76"/>
  <c r="J38" i="76"/>
  <c r="DC29" i="76"/>
  <c r="J75" i="76"/>
  <c r="DB29" i="76"/>
  <c r="CR29" i="76"/>
  <c r="J63" i="76"/>
  <c r="H23" i="76"/>
  <c r="J62" i="76"/>
  <c r="CQ29" i="76"/>
  <c r="J73" i="76"/>
  <c r="J65" i="76"/>
  <c r="J79" i="76"/>
  <c r="CP29" i="76"/>
  <c r="DH12" i="76"/>
  <c r="BG19" i="76"/>
  <c r="CC20" i="76"/>
  <c r="CC21" i="76" s="1"/>
  <c r="H45" i="76"/>
  <c r="G96" i="76"/>
  <c r="H44" i="76"/>
  <c r="G44" i="76"/>
  <c r="F44" i="76"/>
  <c r="I44" i="76"/>
  <c r="DI11" i="76"/>
  <c r="F70" i="76"/>
  <c r="O70" i="76" s="1"/>
  <c r="M23" i="76"/>
  <c r="G101" i="76"/>
  <c r="E101" i="76" s="1"/>
  <c r="G70" i="76"/>
  <c r="P70" i="76" s="1"/>
  <c r="F48" i="76"/>
  <c r="F47" i="76" s="1"/>
  <c r="DK11" i="76"/>
  <c r="I48" i="76"/>
  <c r="I47" i="76" s="1"/>
  <c r="H70" i="76"/>
  <c r="Q70" i="76" s="1"/>
  <c r="I70" i="76"/>
  <c r="R70" i="76" s="1"/>
  <c r="DK12" i="76"/>
  <c r="AZ32" i="76"/>
  <c r="AZ33" i="76" s="1"/>
  <c r="BE32" i="76"/>
  <c r="BB32" i="76"/>
  <c r="BE31" i="76"/>
  <c r="BD31" i="76"/>
  <c r="BB31" i="76"/>
  <c r="BD32" i="76"/>
  <c r="BA31" i="76"/>
  <c r="I45" i="76"/>
  <c r="G45" i="76"/>
  <c r="F45" i="76"/>
  <c r="N23" i="76"/>
  <c r="CL32" i="76"/>
  <c r="BL30" i="76" s="1"/>
  <c r="DJ11" i="76"/>
  <c r="BS20" i="76"/>
  <c r="BS21" i="76" s="1"/>
  <c r="CD20" i="76"/>
  <c r="CD21" i="76" s="1"/>
  <c r="BP20" i="76"/>
  <c r="BP21" i="76" s="1"/>
  <c r="BB20" i="76"/>
  <c r="BX20" i="76"/>
  <c r="BX21" i="76" s="1"/>
  <c r="BH20" i="76"/>
  <c r="CB19" i="76"/>
  <c r="BN19" i="76"/>
  <c r="AZ19" i="76"/>
  <c r="BY20" i="76"/>
  <c r="BY21" i="76" s="1"/>
  <c r="BG20" i="76"/>
  <c r="BZ19" i="76"/>
  <c r="BK19" i="76"/>
  <c r="BW20" i="76"/>
  <c r="BW21" i="76" s="1"/>
  <c r="BF20" i="76"/>
  <c r="BY19" i="76"/>
  <c r="BJ19" i="76"/>
  <c r="BU20" i="76"/>
  <c r="BU21" i="76" s="1"/>
  <c r="BD20" i="76"/>
  <c r="BW19" i="76"/>
  <c r="BH19" i="76"/>
  <c r="BA19" i="76"/>
  <c r="BS19" i="76"/>
  <c r="BE20" i="76"/>
  <c r="CB20" i="76"/>
  <c r="CB21" i="76" s="1"/>
  <c r="O61" i="76"/>
  <c r="BE44" i="76"/>
  <c r="BD44" i="76"/>
  <c r="BC44" i="76"/>
  <c r="BA44" i="76"/>
  <c r="BA43" i="76"/>
  <c r="R61" i="76"/>
  <c r="I69" i="76"/>
  <c r="H69" i="76"/>
  <c r="G69" i="76"/>
  <c r="R78" i="76" l="1"/>
  <c r="BF32" i="76"/>
  <c r="Q78" i="76"/>
  <c r="AZ51" i="76"/>
  <c r="AZ37" i="76"/>
  <c r="D107" i="76"/>
  <c r="D106" i="76" s="1"/>
  <c r="AZ48" i="76"/>
  <c r="D103" i="76"/>
  <c r="J40" i="76"/>
  <c r="AZ49" i="76"/>
  <c r="P60" i="76"/>
  <c r="AZ10" i="76"/>
  <c r="P78" i="76"/>
  <c r="AZ50" i="76"/>
  <c r="D97" i="76"/>
  <c r="BF8" i="76"/>
  <c r="D102" i="76"/>
  <c r="CC24" i="76"/>
  <c r="BG7" i="76"/>
  <c r="AZ47" i="76"/>
  <c r="D104" i="76"/>
  <c r="H43" i="76"/>
  <c r="H42" i="76" s="1"/>
  <c r="AZ46" i="76"/>
  <c r="D98" i="76"/>
  <c r="BI43" i="76"/>
  <c r="I43" i="76"/>
  <c r="I42" i="76" s="1"/>
  <c r="AZ14" i="76"/>
  <c r="CJ32" i="76"/>
  <c r="BT26" i="76"/>
  <c r="BJ31" i="76"/>
  <c r="BI32" i="76"/>
  <c r="BU24" i="76"/>
  <c r="BH32" i="76"/>
  <c r="BG31" i="76"/>
  <c r="BH31" i="76"/>
  <c r="AZ34" i="76"/>
  <c r="BG32" i="76"/>
  <c r="BI31" i="76"/>
  <c r="AZ52" i="76"/>
  <c r="BA45" i="76" s="1"/>
  <c r="AZ15" i="76"/>
  <c r="BR30" i="76"/>
  <c r="O78" i="76"/>
  <c r="BR18" i="76"/>
  <c r="AZ13" i="76"/>
  <c r="BJ32" i="76"/>
  <c r="AZ16" i="76"/>
  <c r="BA9" i="76" s="1"/>
  <c r="BA14" i="76" s="1"/>
  <c r="BK8" i="76"/>
  <c r="BW43" i="76"/>
  <c r="BL44" i="76"/>
  <c r="BL45" i="76" s="1"/>
  <c r="BN44" i="76"/>
  <c r="BN45" i="76" s="1"/>
  <c r="CD43" i="76"/>
  <c r="BU22" i="76"/>
  <c r="BJ8" i="76"/>
  <c r="BK44" i="76"/>
  <c r="BK45" i="76" s="1"/>
  <c r="BM44" i="76"/>
  <c r="BM45" i="76" s="1"/>
  <c r="BO44" i="76"/>
  <c r="BO45" i="76" s="1"/>
  <c r="BL43" i="76"/>
  <c r="BU27" i="76"/>
  <c r="BI8" i="76"/>
  <c r="BK7" i="76"/>
  <c r="BT43" i="76"/>
  <c r="BT52" i="76" s="1"/>
  <c r="BO43" i="76"/>
  <c r="BS44" i="76"/>
  <c r="BS45" i="76" s="1"/>
  <c r="CC44" i="76"/>
  <c r="CC45" i="76" s="1"/>
  <c r="AZ36" i="76"/>
  <c r="CJ8" i="76"/>
  <c r="CK8" i="76" s="1"/>
  <c r="BP7" i="76" s="1"/>
  <c r="CB44" i="76"/>
  <c r="CB45" i="76" s="1"/>
  <c r="BX44" i="76"/>
  <c r="BX45" i="76" s="1"/>
  <c r="CC43" i="76"/>
  <c r="CB43" i="76"/>
  <c r="BP44" i="76"/>
  <c r="BP45" i="76" s="1"/>
  <c r="BZ43" i="76"/>
  <c r="BI44" i="76"/>
  <c r="BY43" i="76"/>
  <c r="BG43" i="76"/>
  <c r="BR43" i="76"/>
  <c r="BF43" i="76"/>
  <c r="BF44" i="76"/>
  <c r="BF7" i="76"/>
  <c r="CC25" i="76"/>
  <c r="BT28" i="76"/>
  <c r="BT23" i="76"/>
  <c r="BT24" i="76"/>
  <c r="J43" i="76"/>
  <c r="BH8" i="76"/>
  <c r="CA43" i="76"/>
  <c r="BT27" i="76"/>
  <c r="BH7" i="76"/>
  <c r="BJ44" i="76"/>
  <c r="BH43" i="76"/>
  <c r="BM43" i="76"/>
  <c r="AZ40" i="76"/>
  <c r="BA33" i="76" s="1"/>
  <c r="BA39" i="76" s="1"/>
  <c r="BN43" i="76"/>
  <c r="BV43" i="76"/>
  <c r="CE43" i="76"/>
  <c r="BU44" i="76"/>
  <c r="BU45" i="76" s="1"/>
  <c r="AZ35" i="76"/>
  <c r="CC22" i="76"/>
  <c r="BG44" i="76"/>
  <c r="F43" i="76"/>
  <c r="F42" i="76" s="1"/>
  <c r="BJ43" i="76"/>
  <c r="BT25" i="76"/>
  <c r="BX43" i="76"/>
  <c r="BQ43" i="76"/>
  <c r="AZ38" i="76"/>
  <c r="D39" i="76"/>
  <c r="C49" i="93" s="1"/>
  <c r="E49" i="93" s="1"/>
  <c r="F49" i="93" s="1"/>
  <c r="BR42" i="76"/>
  <c r="BI7" i="76"/>
  <c r="CC23" i="76"/>
  <c r="BU43" i="76"/>
  <c r="BS43" i="76"/>
  <c r="F40" i="76"/>
  <c r="F37" i="76" s="1"/>
  <c r="CA44" i="76"/>
  <c r="CA45" i="76" s="1"/>
  <c r="BY44" i="76"/>
  <c r="BY45" i="76" s="1"/>
  <c r="BP43" i="76"/>
  <c r="BK43" i="76"/>
  <c r="BH44" i="76"/>
  <c r="BQ44" i="76"/>
  <c r="BQ45" i="76" s="1"/>
  <c r="L23" i="76"/>
  <c r="BV44" i="76"/>
  <c r="BV45" i="76" s="1"/>
  <c r="AZ39" i="76"/>
  <c r="BS42" i="76"/>
  <c r="BG8" i="76"/>
  <c r="CC27" i="76"/>
  <c r="BS18" i="76"/>
  <c r="BQ18" i="76"/>
  <c r="BP18" i="76"/>
  <c r="CL18" i="76"/>
  <c r="CL23" i="76" s="1"/>
  <c r="BO18" i="76" s="1"/>
  <c r="CL35" i="76"/>
  <c r="BO30" i="76" s="1"/>
  <c r="CD44" i="76"/>
  <c r="CD45" i="76" s="1"/>
  <c r="BR44" i="76"/>
  <c r="BR45" i="76" s="1"/>
  <c r="BZ44" i="76"/>
  <c r="BZ45" i="76" s="1"/>
  <c r="CE44" i="76"/>
  <c r="CE45" i="76" s="1"/>
  <c r="G43" i="76"/>
  <c r="G42" i="76" s="1"/>
  <c r="BT42" i="76"/>
  <c r="CC26" i="76"/>
  <c r="BW44" i="76"/>
  <c r="BW45" i="76" s="1"/>
  <c r="K107" i="76"/>
  <c r="H18" i="77" s="1"/>
  <c r="J47" i="76"/>
  <c r="M72" i="76"/>
  <c r="M65" i="76"/>
  <c r="M62" i="76"/>
  <c r="M64" i="76"/>
  <c r="H40" i="76"/>
  <c r="H37" i="76" s="1"/>
  <c r="M63" i="76"/>
  <c r="D48" i="76"/>
  <c r="C54" i="93" s="1"/>
  <c r="M70" i="76"/>
  <c r="BQ22" i="76"/>
  <c r="BQ28" i="76"/>
  <c r="BQ26" i="76"/>
  <c r="BQ24" i="76"/>
  <c r="BQ23" i="76"/>
  <c r="BQ25" i="76"/>
  <c r="BQ27" i="76"/>
  <c r="BU25" i="76"/>
  <c r="K23" i="76"/>
  <c r="BP6" i="76"/>
  <c r="CL6" i="76"/>
  <c r="CL11" i="76" s="1"/>
  <c r="BO6" i="76" s="1"/>
  <c r="BQ6" i="76"/>
  <c r="M66" i="76"/>
  <c r="BR28" i="76"/>
  <c r="BR26" i="76"/>
  <c r="BR23" i="76"/>
  <c r="BR24" i="76"/>
  <c r="BR27" i="76"/>
  <c r="BR25" i="76"/>
  <c r="BR22" i="76"/>
  <c r="BU26" i="76"/>
  <c r="G40" i="76"/>
  <c r="G37" i="76" s="1"/>
  <c r="I68" i="76"/>
  <c r="R69" i="76"/>
  <c r="R68" i="76" s="1"/>
  <c r="M76" i="76"/>
  <c r="J78" i="76"/>
  <c r="D78" i="76" s="1"/>
  <c r="M79" i="76"/>
  <c r="BP27" i="76"/>
  <c r="BP24" i="76"/>
  <c r="BP28" i="76"/>
  <c r="BP23" i="76"/>
  <c r="BP26" i="76"/>
  <c r="BP25" i="76"/>
  <c r="BP22" i="76"/>
  <c r="BS27" i="76"/>
  <c r="BS26" i="76"/>
  <c r="BS22" i="76"/>
  <c r="BS24" i="76"/>
  <c r="BS23" i="76"/>
  <c r="BS28" i="76"/>
  <c r="BS25" i="76"/>
  <c r="Q65" i="76"/>
  <c r="Q60" i="76" s="1"/>
  <c r="H60" i="76"/>
  <c r="D45" i="76"/>
  <c r="C53" i="93" s="1"/>
  <c r="E53" i="93" s="1"/>
  <c r="F53" i="93" s="1"/>
  <c r="K104" i="76"/>
  <c r="CD28" i="76"/>
  <c r="CD23" i="76"/>
  <c r="CD25" i="76"/>
  <c r="CD22" i="76"/>
  <c r="CD27" i="76"/>
  <c r="CD26" i="76"/>
  <c r="CD24" i="76"/>
  <c r="DG23" i="76"/>
  <c r="CB22" i="76"/>
  <c r="CB25" i="76"/>
  <c r="CB24" i="76"/>
  <c r="CB27" i="76"/>
  <c r="CB28" i="76"/>
  <c r="CB23" i="76"/>
  <c r="CB26" i="76"/>
  <c r="K103" i="76"/>
  <c r="CE22" i="76"/>
  <c r="CE25" i="76"/>
  <c r="CE27" i="76"/>
  <c r="CE26" i="76"/>
  <c r="CE24" i="76"/>
  <c r="CE28" i="76"/>
  <c r="CE23" i="76"/>
  <c r="BX24" i="76"/>
  <c r="BX23" i="76"/>
  <c r="BX28" i="76"/>
  <c r="BX27" i="76"/>
  <c r="BX25" i="76"/>
  <c r="BX26" i="76"/>
  <c r="BX22" i="76"/>
  <c r="O60" i="76"/>
  <c r="M80" i="76"/>
  <c r="BO26" i="76"/>
  <c r="BO24" i="76"/>
  <c r="BO28" i="76"/>
  <c r="BO27" i="76"/>
  <c r="BO25" i="76"/>
  <c r="BO23" i="76"/>
  <c r="BO22" i="76"/>
  <c r="G60" i="76"/>
  <c r="G109" i="76"/>
  <c r="E109" i="76" s="1"/>
  <c r="E96" i="76"/>
  <c r="M75" i="76"/>
  <c r="K98" i="76"/>
  <c r="M74" i="76"/>
  <c r="AZ11" i="76"/>
  <c r="BU23" i="76"/>
  <c r="I40" i="76"/>
  <c r="I37" i="76" s="1"/>
  <c r="O68" i="76"/>
  <c r="D44" i="76"/>
  <c r="C52" i="93" s="1"/>
  <c r="AZ12" i="76"/>
  <c r="CA23" i="76"/>
  <c r="CA24" i="76"/>
  <c r="CA22" i="76"/>
  <c r="CA27" i="76"/>
  <c r="CA26" i="76"/>
  <c r="CA28" i="76"/>
  <c r="CA25" i="76"/>
  <c r="BU28" i="76"/>
  <c r="BT22" i="76"/>
  <c r="CC28" i="76"/>
  <c r="BJ30" i="76"/>
  <c r="H68" i="76"/>
  <c r="Q69" i="76"/>
  <c r="Q68" i="76" s="1"/>
  <c r="BZ27" i="76"/>
  <c r="BZ22" i="76"/>
  <c r="BZ26" i="76"/>
  <c r="BZ25" i="76"/>
  <c r="BZ23" i="76"/>
  <c r="BZ24" i="76"/>
  <c r="BZ28" i="76"/>
  <c r="M71" i="76"/>
  <c r="AZ22" i="76"/>
  <c r="AZ26" i="76"/>
  <c r="AZ24" i="76"/>
  <c r="AZ27" i="76"/>
  <c r="AZ23" i="76"/>
  <c r="AZ25" i="76"/>
  <c r="AZ28" i="76"/>
  <c r="BA21" i="76" s="1"/>
  <c r="BA24" i="76" s="1"/>
  <c r="M69" i="76"/>
  <c r="J68" i="76"/>
  <c r="D68" i="76" s="1"/>
  <c r="I60" i="76"/>
  <c r="BN27" i="76"/>
  <c r="BN22" i="76"/>
  <c r="BN25" i="76"/>
  <c r="BN24" i="76"/>
  <c r="BN28" i="76"/>
  <c r="BN26" i="76"/>
  <c r="BN23" i="76"/>
  <c r="M73" i="76"/>
  <c r="R60" i="76"/>
  <c r="F60" i="76"/>
  <c r="BW28" i="76"/>
  <c r="BW26" i="76"/>
  <c r="BW22" i="76"/>
  <c r="BW24" i="76"/>
  <c r="BW25" i="76"/>
  <c r="BW23" i="76"/>
  <c r="BW27" i="76"/>
  <c r="BM28" i="76"/>
  <c r="BM25" i="76"/>
  <c r="BM23" i="76"/>
  <c r="BM26" i="76"/>
  <c r="BM27" i="76"/>
  <c r="BM22" i="76"/>
  <c r="BM24" i="76"/>
  <c r="BV26" i="76"/>
  <c r="BV25" i="76"/>
  <c r="BV28" i="76"/>
  <c r="BV27" i="76"/>
  <c r="BV23" i="76"/>
  <c r="BV22" i="76"/>
  <c r="BV24" i="76"/>
  <c r="BY25" i="76"/>
  <c r="BY24" i="76"/>
  <c r="BY22" i="76"/>
  <c r="BY26" i="76"/>
  <c r="BY23" i="76"/>
  <c r="BY27" i="76"/>
  <c r="BY28" i="76"/>
  <c r="P69" i="76"/>
  <c r="P68" i="76" s="1"/>
  <c r="G68" i="76"/>
  <c r="BK27" i="76"/>
  <c r="BK28" i="76"/>
  <c r="BK24" i="76"/>
  <c r="BK25" i="76"/>
  <c r="BK23" i="76"/>
  <c r="BK26" i="76"/>
  <c r="BK22" i="76"/>
  <c r="F68" i="76"/>
  <c r="K97" i="76"/>
  <c r="H12" i="77" s="1"/>
  <c r="D38" i="76"/>
  <c r="C48" i="93" s="1"/>
  <c r="E48" i="93" s="1"/>
  <c r="F48" i="93" s="1"/>
  <c r="J60" i="76"/>
  <c r="M61" i="76"/>
  <c r="BL25" i="76"/>
  <c r="BL23" i="76"/>
  <c r="BL28" i="76"/>
  <c r="BL26" i="76"/>
  <c r="BL27" i="76"/>
  <c r="BL24" i="76"/>
  <c r="BL22" i="76"/>
  <c r="CL47" i="76"/>
  <c r="BO42" i="76" s="1"/>
  <c r="BJ42" i="76"/>
  <c r="BR6" i="76" l="1"/>
  <c r="E52" i="93"/>
  <c r="F52" i="93" s="1"/>
  <c r="E54" i="93"/>
  <c r="F54" i="93" s="1"/>
  <c r="Q12" i="77"/>
  <c r="L104" i="76"/>
  <c r="H17" i="77"/>
  <c r="L98" i="76"/>
  <c r="H13" i="77"/>
  <c r="Q18" i="77"/>
  <c r="L103" i="76"/>
  <c r="H16" i="77"/>
  <c r="CK32" i="76"/>
  <c r="BY31" i="76" s="1"/>
  <c r="BT30" i="76"/>
  <c r="BS30" i="76"/>
  <c r="BI29" i="76" s="1" a="1"/>
  <c r="M39" i="76"/>
  <c r="O98" i="76" s="1"/>
  <c r="I13" i="77" s="1"/>
  <c r="R13" i="77" s="1"/>
  <c r="CE48" i="76"/>
  <c r="D40" i="76"/>
  <c r="C50" i="93" s="1"/>
  <c r="BX51" i="76"/>
  <c r="BW51" i="76"/>
  <c r="BU49" i="76"/>
  <c r="P82" i="76"/>
  <c r="P88" i="76" s="1"/>
  <c r="J37" i="76"/>
  <c r="D37" i="76" s="1"/>
  <c r="M96" i="76" s="1"/>
  <c r="K99" i="76"/>
  <c r="BV50" i="76"/>
  <c r="BZ8" i="76"/>
  <c r="BZ9" i="76" s="1"/>
  <c r="CE52" i="76"/>
  <c r="BU8" i="76"/>
  <c r="BU9" i="76" s="1"/>
  <c r="BN7" i="76"/>
  <c r="BM50" i="76"/>
  <c r="BR51" i="76"/>
  <c r="BA11" i="76"/>
  <c r="CD49" i="76"/>
  <c r="CC7" i="76"/>
  <c r="BM7" i="76"/>
  <c r="BA10" i="76"/>
  <c r="CE50" i="76"/>
  <c r="CB8" i="76"/>
  <c r="CB9" i="76" s="1"/>
  <c r="BV8" i="76"/>
  <c r="BV9" i="76" s="1"/>
  <c r="BM49" i="76"/>
  <c r="BX52" i="76"/>
  <c r="BW49" i="76"/>
  <c r="CD47" i="76"/>
  <c r="BL49" i="76"/>
  <c r="D96" i="76"/>
  <c r="BR52" i="76"/>
  <c r="BN46" i="76"/>
  <c r="D101" i="76"/>
  <c r="CD52" i="76"/>
  <c r="BQ50" i="76"/>
  <c r="BR47" i="76"/>
  <c r="BN51" i="76"/>
  <c r="BA35" i="76"/>
  <c r="CE49" i="76"/>
  <c r="BP47" i="76"/>
  <c r="BR48" i="76"/>
  <c r="BR46" i="76"/>
  <c r="CD50" i="76"/>
  <c r="BA34" i="76"/>
  <c r="BS48" i="76"/>
  <c r="BN52" i="76"/>
  <c r="BA40" i="76"/>
  <c r="BB33" i="76" s="1"/>
  <c r="BB38" i="76" s="1"/>
  <c r="CD51" i="76"/>
  <c r="BN48" i="76"/>
  <c r="CD46" i="76"/>
  <c r="BN49" i="76"/>
  <c r="BN47" i="76"/>
  <c r="CD48" i="76"/>
  <c r="BN50" i="76"/>
  <c r="BQ49" i="76"/>
  <c r="CC52" i="76"/>
  <c r="BR50" i="76"/>
  <c r="CE47" i="76"/>
  <c r="BM52" i="76"/>
  <c r="BA15" i="76"/>
  <c r="M60" i="76"/>
  <c r="BY8" i="76"/>
  <c r="BY9" i="76" s="1"/>
  <c r="BA16" i="76"/>
  <c r="BB9" i="76" s="1"/>
  <c r="BB16" i="76" s="1"/>
  <c r="BC9" i="76" s="1"/>
  <c r="BC12" i="76" s="1"/>
  <c r="BQ48" i="76"/>
  <c r="BV47" i="76"/>
  <c r="BL48" i="76"/>
  <c r="BW8" i="76"/>
  <c r="BW9" i="76" s="1"/>
  <c r="BV52" i="76"/>
  <c r="BZ7" i="76"/>
  <c r="BM47" i="76"/>
  <c r="BL47" i="76"/>
  <c r="BO50" i="76"/>
  <c r="CE46" i="76"/>
  <c r="BT6" i="76"/>
  <c r="BL51" i="76"/>
  <c r="BA38" i="76"/>
  <c r="BS6" i="76"/>
  <c r="BM51" i="76"/>
  <c r="BL46" i="76"/>
  <c r="BA12" i="76"/>
  <c r="BX48" i="76"/>
  <c r="CD8" i="76"/>
  <c r="CD9" i="76" s="1"/>
  <c r="BX50" i="76"/>
  <c r="BY7" i="76"/>
  <c r="BM46" i="76"/>
  <c r="BV49" i="76"/>
  <c r="BL52" i="76"/>
  <c r="BT7" i="76"/>
  <c r="I82" i="76"/>
  <c r="BR49" i="76"/>
  <c r="CE7" i="76"/>
  <c r="BR7" i="76"/>
  <c r="BV46" i="76"/>
  <c r="BX46" i="76"/>
  <c r="BR8" i="76"/>
  <c r="BR9" i="76" s="1"/>
  <c r="BQ47" i="76"/>
  <c r="BQ8" i="76"/>
  <c r="BM48" i="76"/>
  <c r="CB51" i="76"/>
  <c r="BL50" i="76"/>
  <c r="BK49" i="76"/>
  <c r="BA13" i="76"/>
  <c r="BO7" i="76"/>
  <c r="CC8" i="76"/>
  <c r="CC9" i="76" s="1"/>
  <c r="BM8" i="76"/>
  <c r="BV48" i="76"/>
  <c r="CA7" i="76"/>
  <c r="BL7" i="76"/>
  <c r="BV51" i="76"/>
  <c r="BX49" i="76"/>
  <c r="CA8" i="76"/>
  <c r="CA9" i="76" s="1"/>
  <c r="BQ51" i="76"/>
  <c r="BS49" i="76"/>
  <c r="BA50" i="76"/>
  <c r="BA47" i="76"/>
  <c r="BA48" i="76"/>
  <c r="BA46" i="76"/>
  <c r="BA51" i="76"/>
  <c r="BA49" i="76"/>
  <c r="BA52" i="76"/>
  <c r="BB45" i="76" s="1"/>
  <c r="BB50" i="76" s="1"/>
  <c r="BS51" i="76"/>
  <c r="BO49" i="76"/>
  <c r="G50" i="76"/>
  <c r="BO51" i="76"/>
  <c r="CB7" i="76"/>
  <c r="BO52" i="76"/>
  <c r="CD7" i="76"/>
  <c r="BK51" i="76"/>
  <c r="CE51" i="76"/>
  <c r="BO46" i="76"/>
  <c r="BU7" i="76"/>
  <c r="BU51" i="76"/>
  <c r="CE8" i="76"/>
  <c r="CE9" i="76" s="1"/>
  <c r="R82" i="76"/>
  <c r="R88" i="76" s="1"/>
  <c r="BN8" i="76"/>
  <c r="BT8" i="76"/>
  <c r="BT9" i="76" s="1"/>
  <c r="BL8" i="76"/>
  <c r="BP8" i="76"/>
  <c r="BA36" i="76"/>
  <c r="BO8" i="76"/>
  <c r="CC51" i="76"/>
  <c r="BW7" i="76"/>
  <c r="BY52" i="76"/>
  <c r="BZ49" i="76"/>
  <c r="BZ47" i="76"/>
  <c r="BZ52" i="76"/>
  <c r="BZ51" i="76"/>
  <c r="BZ48" i="76"/>
  <c r="BY47" i="76"/>
  <c r="BY46" i="76"/>
  <c r="BY49" i="76"/>
  <c r="BY50" i="76"/>
  <c r="BY48" i="76"/>
  <c r="BS47" i="76"/>
  <c r="BQ52" i="76"/>
  <c r="H50" i="76"/>
  <c r="BO48" i="76"/>
  <c r="CB52" i="76"/>
  <c r="CB46" i="76"/>
  <c r="CB49" i="76"/>
  <c r="CB48" i="76"/>
  <c r="CB50" i="76"/>
  <c r="CB47" i="76"/>
  <c r="BS50" i="76"/>
  <c r="D43" i="76"/>
  <c r="C51" i="93" s="1"/>
  <c r="E51" i="93" s="1"/>
  <c r="F51" i="93" s="1"/>
  <c r="F50" i="76"/>
  <c r="BZ46" i="76"/>
  <c r="CC49" i="76"/>
  <c r="BS52" i="76"/>
  <c r="BX47" i="76"/>
  <c r="BQ46" i="76"/>
  <c r="BO47" i="76"/>
  <c r="CC50" i="76"/>
  <c r="CC47" i="76"/>
  <c r="CC48" i="76"/>
  <c r="CC46" i="76"/>
  <c r="BS46" i="76"/>
  <c r="BJ6" i="76"/>
  <c r="BP49" i="76"/>
  <c r="BT51" i="76"/>
  <c r="M98" i="76"/>
  <c r="BK48" i="76"/>
  <c r="BP50" i="76"/>
  <c r="BT46" i="76"/>
  <c r="M104" i="76"/>
  <c r="BW47" i="76"/>
  <c r="K102" i="76"/>
  <c r="BW50" i="76"/>
  <c r="H82" i="76"/>
  <c r="BK47" i="76"/>
  <c r="BP51" i="76"/>
  <c r="BT47" i="76"/>
  <c r="CA52" i="76"/>
  <c r="BS8" i="76"/>
  <c r="BS9" i="76" s="1"/>
  <c r="BQ7" i="76"/>
  <c r="BV7" i="76"/>
  <c r="M103" i="76"/>
  <c r="BY51" i="76"/>
  <c r="J82" i="76"/>
  <c r="J42" i="76"/>
  <c r="BW46" i="76"/>
  <c r="BK46" i="76"/>
  <c r="BP52" i="76"/>
  <c r="BT48" i="76"/>
  <c r="BX7" i="76"/>
  <c r="BX8" i="76"/>
  <c r="BX9" i="76" s="1"/>
  <c r="BW52" i="76"/>
  <c r="M44" i="76"/>
  <c r="O103" i="76" s="1"/>
  <c r="I16" i="77" s="1"/>
  <c r="R16" i="77" s="1"/>
  <c r="BK52" i="76"/>
  <c r="BP46" i="76"/>
  <c r="BT49" i="76"/>
  <c r="BZ50" i="76"/>
  <c r="BS7" i="76"/>
  <c r="BJ18" i="76"/>
  <c r="BI17" i="76" s="1" a="1"/>
  <c r="BW48" i="76"/>
  <c r="I50" i="76"/>
  <c r="BA37" i="76"/>
  <c r="BK50" i="76"/>
  <c r="BP48" i="76"/>
  <c r="BA26" i="76"/>
  <c r="BT50" i="76"/>
  <c r="BU46" i="76"/>
  <c r="BU50" i="76"/>
  <c r="BU52" i="76"/>
  <c r="BU47" i="76"/>
  <c r="BU48" i="76"/>
  <c r="CA47" i="76"/>
  <c r="CA46" i="76"/>
  <c r="CA51" i="76"/>
  <c r="CA49" i="76"/>
  <c r="CA50" i="76"/>
  <c r="CA48" i="76"/>
  <c r="BI41" i="76" a="1"/>
  <c r="L107" i="76"/>
  <c r="L106" i="76" s="1"/>
  <c r="K106" i="76"/>
  <c r="BA22" i="76"/>
  <c r="D47" i="76"/>
  <c r="M106" i="76" s="1"/>
  <c r="M107" i="76"/>
  <c r="BA27" i="76"/>
  <c r="M48" i="76"/>
  <c r="M78" i="76"/>
  <c r="M45" i="76"/>
  <c r="O104" i="76" s="1"/>
  <c r="I17" i="77" s="1"/>
  <c r="R17" i="77" s="1"/>
  <c r="M97" i="76"/>
  <c r="M38" i="76"/>
  <c r="BA23" i="76"/>
  <c r="G82" i="76"/>
  <c r="BA28" i="76"/>
  <c r="BB21" i="76" s="1"/>
  <c r="O82" i="76"/>
  <c r="O88" i="76" s="1"/>
  <c r="L97" i="76"/>
  <c r="BA25" i="76"/>
  <c r="D60" i="76"/>
  <c r="M68" i="76"/>
  <c r="F82" i="76"/>
  <c r="Q82" i="76"/>
  <c r="Q88" i="76" s="1"/>
  <c r="BX32" i="76" l="1"/>
  <c r="BX33" i="76" s="1"/>
  <c r="L96" i="76"/>
  <c r="BL31" i="76"/>
  <c r="BR32" i="76"/>
  <c r="BR33" i="76" s="1"/>
  <c r="BQ32" i="76"/>
  <c r="BQ33" i="76" s="1"/>
  <c r="CA32" i="76"/>
  <c r="CA33" i="76" s="1"/>
  <c r="CA31" i="76"/>
  <c r="CB31" i="76"/>
  <c r="BN32" i="76"/>
  <c r="CD32" i="76"/>
  <c r="CD33" i="76" s="1"/>
  <c r="BM32" i="76"/>
  <c r="CD31" i="76"/>
  <c r="BZ32" i="76"/>
  <c r="BZ33" i="76" s="1"/>
  <c r="BL32" i="76"/>
  <c r="BR31" i="76"/>
  <c r="BP31" i="76"/>
  <c r="BU31" i="76"/>
  <c r="CB32" i="76"/>
  <c r="CB33" i="76" s="1"/>
  <c r="CE32" i="76"/>
  <c r="CE33" i="76" s="1"/>
  <c r="BX31" i="76"/>
  <c r="BX37" i="76" s="1"/>
  <c r="BT32" i="76"/>
  <c r="BT33" i="76" s="1"/>
  <c r="CC32" i="76"/>
  <c r="CC33" i="76" s="1"/>
  <c r="BK31" i="76"/>
  <c r="BZ31" i="76"/>
  <c r="BQ31" i="76"/>
  <c r="F50" i="93"/>
  <c r="G50" i="93" s="1"/>
  <c r="E50" i="93"/>
  <c r="BV32" i="76"/>
  <c r="BV33" i="76" s="1"/>
  <c r="BO31" i="76"/>
  <c r="BW31" i="76"/>
  <c r="BK32" i="76"/>
  <c r="CE31" i="76"/>
  <c r="BS31" i="76"/>
  <c r="BV31" i="76"/>
  <c r="BO32" i="76"/>
  <c r="BT31" i="76"/>
  <c r="BP32" i="76"/>
  <c r="BU32" i="76"/>
  <c r="BU33" i="76" s="1"/>
  <c r="CC31" i="76"/>
  <c r="BS32" i="76"/>
  <c r="BS33" i="76" s="1"/>
  <c r="BW32" i="76"/>
  <c r="BW33" i="76" s="1"/>
  <c r="BM31" i="76"/>
  <c r="Q13" i="77"/>
  <c r="J13" i="77"/>
  <c r="M13" i="77" s="1"/>
  <c r="Q17" i="77"/>
  <c r="J17" i="77"/>
  <c r="L102" i="76"/>
  <c r="L101" i="76" s="1"/>
  <c r="H15" i="77"/>
  <c r="L99" i="76"/>
  <c r="H14" i="77"/>
  <c r="Q16" i="77"/>
  <c r="J16" i="77"/>
  <c r="K16" i="77" s="1"/>
  <c r="N16" i="77" s="1"/>
  <c r="BY32" i="76"/>
  <c r="BY33" i="76" s="1"/>
  <c r="BN31" i="76"/>
  <c r="M99" i="76"/>
  <c r="M40" i="76"/>
  <c r="O99" i="76" s="1"/>
  <c r="I14" i="77" s="1"/>
  <c r="R14" i="77" s="1"/>
  <c r="CE13" i="76"/>
  <c r="D109" i="76"/>
  <c r="CD15" i="76"/>
  <c r="CA15" i="76"/>
  <c r="BZ13" i="76"/>
  <c r="BZ11" i="76"/>
  <c r="CC15" i="76"/>
  <c r="BW15" i="76"/>
  <c r="BU12" i="76"/>
  <c r="CE15" i="76"/>
  <c r="BV15" i="76"/>
  <c r="BB11" i="76"/>
  <c r="BZ15" i="76"/>
  <c r="K96" i="76"/>
  <c r="BZ12" i="76"/>
  <c r="BB37" i="76"/>
  <c r="BZ14" i="76"/>
  <c r="CB11" i="76"/>
  <c r="BC11" i="76"/>
  <c r="BC13" i="76"/>
  <c r="BI5" i="76" a="1"/>
  <c r="BR12" i="76"/>
  <c r="CE16" i="76"/>
  <c r="BB35" i="76"/>
  <c r="CA12" i="76"/>
  <c r="CA11" i="76"/>
  <c r="BB39" i="76"/>
  <c r="BC10" i="76"/>
  <c r="BB47" i="76"/>
  <c r="BB40" i="76"/>
  <c r="BC33" i="76" s="1"/>
  <c r="BC36" i="76" s="1"/>
  <c r="BR13" i="76"/>
  <c r="BB34" i="76"/>
  <c r="BT15" i="76"/>
  <c r="CA16" i="76"/>
  <c r="BB15" i="76"/>
  <c r="BB14" i="76"/>
  <c r="BB46" i="76"/>
  <c r="BB10" i="76"/>
  <c r="BB51" i="76"/>
  <c r="BR16" i="76"/>
  <c r="CD12" i="76"/>
  <c r="BR11" i="76"/>
  <c r="BR14" i="76"/>
  <c r="BB12" i="76"/>
  <c r="BB36" i="76"/>
  <c r="BC14" i="76"/>
  <c r="BC15" i="76"/>
  <c r="CC11" i="76"/>
  <c r="BR10" i="76"/>
  <c r="BB13" i="76"/>
  <c r="BB49" i="76"/>
  <c r="BC16" i="76"/>
  <c r="BD9" i="76" s="1"/>
  <c r="BD13" i="76" s="1"/>
  <c r="CE11" i="76"/>
  <c r="BR15" i="76"/>
  <c r="CC10" i="76"/>
  <c r="CD11" i="76"/>
  <c r="CC12" i="76"/>
  <c r="CC16" i="76"/>
  <c r="CC14" i="76"/>
  <c r="CD16" i="76"/>
  <c r="BY13" i="76"/>
  <c r="CD10" i="76"/>
  <c r="M82" i="76"/>
  <c r="D82" i="76" s="1"/>
  <c r="CD13" i="76"/>
  <c r="CC13" i="76"/>
  <c r="BW10" i="76"/>
  <c r="BY10" i="76"/>
  <c r="BZ16" i="76"/>
  <c r="BY12" i="76"/>
  <c r="BY16" i="76"/>
  <c r="K101" i="76"/>
  <c r="BB52" i="76"/>
  <c r="BC45" i="76" s="1"/>
  <c r="BC46" i="76" s="1"/>
  <c r="BW12" i="76"/>
  <c r="BZ10" i="76"/>
  <c r="BY14" i="76"/>
  <c r="CA10" i="76"/>
  <c r="BY11" i="76"/>
  <c r="CB14" i="76"/>
  <c r="CE14" i="76"/>
  <c r="CE10" i="76"/>
  <c r="BY15" i="76"/>
  <c r="BB48" i="76"/>
  <c r="BW14" i="76"/>
  <c r="BW13" i="76"/>
  <c r="CA13" i="76"/>
  <c r="CD14" i="76"/>
  <c r="CA14" i="76"/>
  <c r="BW16" i="76"/>
  <c r="BW11" i="76"/>
  <c r="CE12" i="76"/>
  <c r="BV13" i="76"/>
  <c r="D42" i="76"/>
  <c r="M101" i="76" s="1"/>
  <c r="BU16" i="76"/>
  <c r="BU15" i="76"/>
  <c r="BU11" i="76"/>
  <c r="BU10" i="76"/>
  <c r="CB15" i="76"/>
  <c r="CB13" i="76"/>
  <c r="CB10" i="76"/>
  <c r="CB12" i="76"/>
  <c r="CB16" i="76"/>
  <c r="BT10" i="76"/>
  <c r="BT12" i="76"/>
  <c r="BT13" i="76"/>
  <c r="BT16" i="76"/>
  <c r="BU14" i="76"/>
  <c r="BT11" i="76"/>
  <c r="BT14" i="76"/>
  <c r="BU13" i="76"/>
  <c r="J50" i="76"/>
  <c r="M43" i="76"/>
  <c r="O102" i="76" s="1"/>
  <c r="BS11" i="76"/>
  <c r="BS13" i="76"/>
  <c r="BS12" i="76"/>
  <c r="BS15" i="76"/>
  <c r="BS16" i="76"/>
  <c r="BS10" i="76"/>
  <c r="BS14" i="76"/>
  <c r="BX11" i="76"/>
  <c r="BX10" i="76"/>
  <c r="BX16" i="76"/>
  <c r="BX15" i="76"/>
  <c r="BX12" i="76"/>
  <c r="BX14" i="76"/>
  <c r="BX13" i="76"/>
  <c r="BV16" i="76"/>
  <c r="M102" i="76"/>
  <c r="BV10" i="76"/>
  <c r="BV14" i="76"/>
  <c r="BV12" i="76"/>
  <c r="BV11" i="76"/>
  <c r="BB22" i="76"/>
  <c r="BB28" i="76"/>
  <c r="BC21" i="76" s="1"/>
  <c r="BB27" i="76"/>
  <c r="BB26" i="76"/>
  <c r="BB25" i="76"/>
  <c r="BB24" i="76"/>
  <c r="BB23" i="76"/>
  <c r="O107" i="76"/>
  <c r="I18" i="77" s="1"/>
  <c r="M47" i="76"/>
  <c r="O106" i="76" s="1"/>
  <c r="M37" i="76"/>
  <c r="O97" i="76"/>
  <c r="I12" i="77" s="1"/>
  <c r="J12" i="77" s="1"/>
  <c r="H21" i="77" l="1"/>
  <c r="BX35" i="76"/>
  <c r="BX38" i="76"/>
  <c r="BX40" i="76"/>
  <c r="CA39" i="76"/>
  <c r="CA34" i="76"/>
  <c r="CA35" i="76"/>
  <c r="BX34" i="76"/>
  <c r="I15" i="77"/>
  <c r="J15" i="77" s="1"/>
  <c r="M17" i="77"/>
  <c r="J19" i="77"/>
  <c r="BX36" i="76"/>
  <c r="BT38" i="76"/>
  <c r="CE39" i="76"/>
  <c r="CA38" i="76"/>
  <c r="BQ38" i="76"/>
  <c r="BX39" i="76"/>
  <c r="CA37" i="76"/>
  <c r="CA36" i="76"/>
  <c r="BZ36" i="76"/>
  <c r="CC37" i="76"/>
  <c r="CD39" i="76"/>
  <c r="BR35" i="76"/>
  <c r="CA40" i="76"/>
  <c r="BZ39" i="76"/>
  <c r="CD34" i="76"/>
  <c r="BZ34" i="76"/>
  <c r="CD37" i="76"/>
  <c r="CD35" i="76"/>
  <c r="CD36" i="76"/>
  <c r="CD40" i="76"/>
  <c r="BZ38" i="76"/>
  <c r="BQ36" i="76"/>
  <c r="BR36" i="76"/>
  <c r="BQ40" i="76"/>
  <c r="CC36" i="76"/>
  <c r="BR34" i="76"/>
  <c r="BQ35" i="76"/>
  <c r="CC40" i="76"/>
  <c r="BR37" i="76"/>
  <c r="BQ37" i="76"/>
  <c r="CC38" i="76"/>
  <c r="BQ34" i="76"/>
  <c r="CC39" i="76"/>
  <c r="CC35" i="76"/>
  <c r="CD38" i="76"/>
  <c r="BQ39" i="76"/>
  <c r="BR39" i="76"/>
  <c r="CC34" i="76"/>
  <c r="CB38" i="76"/>
  <c r="CB40" i="76"/>
  <c r="BR40" i="76"/>
  <c r="BZ35" i="76"/>
  <c r="CB34" i="76"/>
  <c r="CB37" i="76"/>
  <c r="CB36" i="76"/>
  <c r="CB35" i="76"/>
  <c r="BR38" i="76"/>
  <c r="CB39" i="76"/>
  <c r="BZ37" i="76"/>
  <c r="BU36" i="76"/>
  <c r="BZ40" i="76"/>
  <c r="BS36" i="76"/>
  <c r="BT37" i="76"/>
  <c r="BT39" i="76"/>
  <c r="CE35" i="76"/>
  <c r="CE38" i="76"/>
  <c r="BV35" i="76"/>
  <c r="BW40" i="76"/>
  <c r="BT40" i="76"/>
  <c r="BT36" i="76"/>
  <c r="BT35" i="76"/>
  <c r="BW35" i="76"/>
  <c r="BT34" i="76"/>
  <c r="CE34" i="76"/>
  <c r="BV34" i="76"/>
  <c r="CE36" i="76"/>
  <c r="BV39" i="76"/>
  <c r="BS39" i="76"/>
  <c r="BV36" i="76"/>
  <c r="BS38" i="76"/>
  <c r="BV40" i="76"/>
  <c r="BV38" i="76"/>
  <c r="CE37" i="76"/>
  <c r="BS34" i="76"/>
  <c r="CE40" i="76"/>
  <c r="BV37" i="76"/>
  <c r="BS37" i="76"/>
  <c r="BS40" i="76"/>
  <c r="BU40" i="76"/>
  <c r="BU34" i="76"/>
  <c r="BU39" i="76"/>
  <c r="BU37" i="76"/>
  <c r="BS35" i="76"/>
  <c r="BW36" i="76"/>
  <c r="BW39" i="76"/>
  <c r="BW34" i="76"/>
  <c r="BU35" i="76"/>
  <c r="BU38" i="76"/>
  <c r="BW38" i="76"/>
  <c r="BW37" i="76"/>
  <c r="S16" i="77"/>
  <c r="M14" i="77"/>
  <c r="Q14" i="77"/>
  <c r="N14" i="77"/>
  <c r="J14" i="77"/>
  <c r="K14" i="77" s="1"/>
  <c r="R12" i="77"/>
  <c r="W12" i="77" s="1"/>
  <c r="Q15" i="77"/>
  <c r="S17" i="77"/>
  <c r="R18" i="77"/>
  <c r="W14" i="77" s="1"/>
  <c r="J18" i="77"/>
  <c r="J20" i="77" s="1"/>
  <c r="M16" i="77"/>
  <c r="S13" i="77"/>
  <c r="BY37" i="76"/>
  <c r="BY39" i="76"/>
  <c r="BY38" i="76"/>
  <c r="BY35" i="76"/>
  <c r="BY36" i="76"/>
  <c r="BY40" i="76"/>
  <c r="BY34" i="76"/>
  <c r="BC35" i="76"/>
  <c r="BC47" i="76"/>
  <c r="BC38" i="76"/>
  <c r="BC40" i="76"/>
  <c r="BD33" i="76" s="1"/>
  <c r="BD34" i="76" s="1"/>
  <c r="BC39" i="76"/>
  <c r="BC34" i="76"/>
  <c r="BC37" i="76"/>
  <c r="BD12" i="76"/>
  <c r="BC51" i="76"/>
  <c r="BC49" i="76"/>
  <c r="K109" i="76"/>
  <c r="BD16" i="76"/>
  <c r="BE9" i="76" s="1"/>
  <c r="BE12" i="76" s="1"/>
  <c r="BD15" i="76"/>
  <c r="BD11" i="76"/>
  <c r="BD14" i="76"/>
  <c r="BD10" i="76"/>
  <c r="BC52" i="76"/>
  <c r="BD45" i="76" s="1"/>
  <c r="BD50" i="76" s="1"/>
  <c r="BC50" i="76"/>
  <c r="BC48" i="76"/>
  <c r="L40" i="76"/>
  <c r="L80" i="76"/>
  <c r="L76" i="76"/>
  <c r="L44" i="76"/>
  <c r="L45" i="76"/>
  <c r="L61" i="76"/>
  <c r="L65" i="76"/>
  <c r="L72" i="76"/>
  <c r="L79" i="76"/>
  <c r="L39" i="76"/>
  <c r="L71" i="76"/>
  <c r="L75" i="76"/>
  <c r="L69" i="76"/>
  <c r="L38" i="76"/>
  <c r="L64" i="76"/>
  <c r="L63" i="76"/>
  <c r="L62" i="76"/>
  <c r="L66" i="76"/>
  <c r="L73" i="76"/>
  <c r="L74" i="76"/>
  <c r="L70" i="76"/>
  <c r="L48" i="76"/>
  <c r="L47" i="76" s="1"/>
  <c r="L43" i="76"/>
  <c r="M42" i="76"/>
  <c r="O101" i="76" s="1"/>
  <c r="O96" i="76"/>
  <c r="BC25" i="76"/>
  <c r="BC27" i="76"/>
  <c r="BC26" i="76"/>
  <c r="BC24" i="76"/>
  <c r="BC23" i="76"/>
  <c r="BC22" i="76"/>
  <c r="BC28" i="76"/>
  <c r="BD21" i="76" s="1"/>
  <c r="J21" i="77" l="1"/>
  <c r="M21" i="77" s="1"/>
  <c r="I21" i="77"/>
  <c r="Q21" i="77"/>
  <c r="M20" i="77"/>
  <c r="K20" i="77"/>
  <c r="N20" i="77" s="1"/>
  <c r="M19" i="77"/>
  <c r="K19" i="77"/>
  <c r="N19" i="77" s="1"/>
  <c r="R15" i="77"/>
  <c r="W13" i="77" s="1"/>
  <c r="T19" i="77"/>
  <c r="M25" i="1"/>
  <c r="M24" i="1"/>
  <c r="M26" i="1"/>
  <c r="M22" i="1"/>
  <c r="M23" i="1"/>
  <c r="M21" i="1"/>
  <c r="M17" i="1"/>
  <c r="M18" i="1"/>
  <c r="T16" i="77"/>
  <c r="S15" i="77"/>
  <c r="X13" i="77" s="1"/>
  <c r="K15" i="77"/>
  <c r="N15" i="77" s="1"/>
  <c r="K12" i="77"/>
  <c r="N12" i="77" s="1"/>
  <c r="M12" i="77"/>
  <c r="S12" i="77"/>
  <c r="X12" i="77" s="1"/>
  <c r="Y12" i="77" s="1"/>
  <c r="T13" i="77"/>
  <c r="M18" i="77"/>
  <c r="S18" i="77"/>
  <c r="X14" i="77" s="1"/>
  <c r="Y14" i="77" s="1"/>
  <c r="T17" i="77"/>
  <c r="M15" i="77"/>
  <c r="S14" i="77"/>
  <c r="T14" i="77" s="1"/>
  <c r="BD39" i="76"/>
  <c r="BD37" i="76"/>
  <c r="BD40" i="76"/>
  <c r="BE33" i="76" s="1"/>
  <c r="BE34" i="76" s="1"/>
  <c r="BD36" i="76"/>
  <c r="BD38" i="76"/>
  <c r="BD35" i="76"/>
  <c r="BE16" i="76"/>
  <c r="BF9" i="76" s="1"/>
  <c r="BF16" i="76" s="1"/>
  <c r="BG9" i="76" s="1"/>
  <c r="BE11" i="76"/>
  <c r="BE14" i="76"/>
  <c r="BE13" i="76"/>
  <c r="BE15" i="76"/>
  <c r="BE10" i="76"/>
  <c r="BD51" i="76"/>
  <c r="BD47" i="76"/>
  <c r="BD49" i="76"/>
  <c r="BD48" i="76"/>
  <c r="BD46" i="76"/>
  <c r="BD52" i="76"/>
  <c r="BE45" i="76" s="1"/>
  <c r="BE47" i="76" s="1"/>
  <c r="L78" i="76"/>
  <c r="L42" i="76"/>
  <c r="L60" i="76"/>
  <c r="L37" i="76"/>
  <c r="L68" i="76"/>
  <c r="M50" i="76"/>
  <c r="D50" i="76" s="1"/>
  <c r="M109" i="76" s="1"/>
  <c r="BD28" i="76"/>
  <c r="BE21" i="76" s="1"/>
  <c r="BD26" i="76"/>
  <c r="BD24" i="76"/>
  <c r="BD25" i="76"/>
  <c r="BD23" i="76"/>
  <c r="BD22" i="76"/>
  <c r="BD27" i="76"/>
  <c r="Y13" i="77" l="1"/>
  <c r="K21" i="77"/>
  <c r="R21" i="77"/>
  <c r="S21" i="77"/>
  <c r="T20" i="77"/>
  <c r="M20" i="1"/>
  <c r="M19" i="1"/>
  <c r="M16" i="1"/>
  <c r="M15" i="1"/>
  <c r="M28" i="1"/>
  <c r="M27" i="1"/>
  <c r="T18" i="77"/>
  <c r="BE36" i="76"/>
  <c r="T12" i="77"/>
  <c r="T15" i="77"/>
  <c r="BE35" i="76"/>
  <c r="BE38" i="76"/>
  <c r="BE40" i="76"/>
  <c r="BF33" i="76" s="1"/>
  <c r="BF40" i="76" s="1"/>
  <c r="BG33" i="76" s="1"/>
  <c r="BE37" i="76"/>
  <c r="BE39" i="76"/>
  <c r="BF10" i="76"/>
  <c r="BF15" i="76"/>
  <c r="BF12" i="76"/>
  <c r="BF13" i="76"/>
  <c r="BF14" i="76"/>
  <c r="BF11" i="76"/>
  <c r="BE48" i="76"/>
  <c r="O109" i="76"/>
  <c r="BE46" i="76"/>
  <c r="BE49" i="76"/>
  <c r="BE50" i="76"/>
  <c r="BE52" i="76"/>
  <c r="BF45" i="76" s="1"/>
  <c r="BF52" i="76" s="1"/>
  <c r="BG45" i="76" s="1"/>
  <c r="BE51" i="76"/>
  <c r="L50" i="76"/>
  <c r="L82" i="76"/>
  <c r="BE28" i="76"/>
  <c r="BF21" i="76" s="1"/>
  <c r="BE23" i="76"/>
  <c r="BE24" i="76"/>
  <c r="BE22" i="76"/>
  <c r="BE26" i="76"/>
  <c r="BE25" i="76"/>
  <c r="BE27" i="76"/>
  <c r="BG13" i="76"/>
  <c r="BG12" i="76"/>
  <c r="BG16" i="76"/>
  <c r="BH9" i="76" s="1"/>
  <c r="BG10" i="76"/>
  <c r="BG15" i="76"/>
  <c r="BG11" i="76"/>
  <c r="BG14" i="76"/>
  <c r="T21" i="77" l="1"/>
  <c r="BF39" i="76"/>
  <c r="BF34" i="76"/>
  <c r="BF35" i="76"/>
  <c r="BF36" i="76"/>
  <c r="BF37" i="76"/>
  <c r="BF38" i="76"/>
  <c r="BF49" i="76"/>
  <c r="BF47" i="76"/>
  <c r="BF50" i="76"/>
  <c r="BF51" i="76"/>
  <c r="BF48" i="76"/>
  <c r="BF46" i="76"/>
  <c r="BG35" i="76"/>
  <c r="BG36" i="76"/>
  <c r="BG34" i="76"/>
  <c r="BG40" i="76"/>
  <c r="BH33" i="76" s="1"/>
  <c r="BG39" i="76"/>
  <c r="BG38" i="76"/>
  <c r="BG37" i="76"/>
  <c r="BH15" i="76"/>
  <c r="BH16" i="76"/>
  <c r="BI9" i="76" s="1"/>
  <c r="BH12" i="76"/>
  <c r="BH10" i="76"/>
  <c r="BH11" i="76"/>
  <c r="BH13" i="76"/>
  <c r="BH14" i="76"/>
  <c r="BG49" i="76"/>
  <c r="BG52" i="76"/>
  <c r="BH45" i="76" s="1"/>
  <c r="BG48" i="76"/>
  <c r="BG51" i="76"/>
  <c r="BG47" i="76"/>
  <c r="BG50" i="76"/>
  <c r="BG46" i="76"/>
  <c r="BF25" i="76"/>
  <c r="BF27" i="76"/>
  <c r="BF22" i="76"/>
  <c r="BF23" i="76"/>
  <c r="BF28" i="76"/>
  <c r="BG21" i="76" s="1"/>
  <c r="BF24" i="76"/>
  <c r="BF26" i="76"/>
  <c r="BI15" i="76" l="1"/>
  <c r="BI10" i="76"/>
  <c r="BI11" i="76"/>
  <c r="BI16" i="76"/>
  <c r="BJ9" i="76" s="1"/>
  <c r="BI14" i="76"/>
  <c r="BI13" i="76"/>
  <c r="BI12" i="76"/>
  <c r="BH34" i="76"/>
  <c r="BH40" i="76"/>
  <c r="BI33" i="76" s="1"/>
  <c r="BH38" i="76"/>
  <c r="BH39" i="76"/>
  <c r="BH37" i="76"/>
  <c r="BH35" i="76"/>
  <c r="BH36" i="76"/>
  <c r="BH47" i="76"/>
  <c r="BH52" i="76"/>
  <c r="BI45" i="76" s="1"/>
  <c r="BH48" i="76"/>
  <c r="BH46" i="76"/>
  <c r="BH51" i="76"/>
  <c r="BH49" i="76"/>
  <c r="BH50" i="76"/>
  <c r="BG24" i="76"/>
  <c r="BG23" i="76"/>
  <c r="BG28" i="76"/>
  <c r="BH21" i="76" s="1"/>
  <c r="BG26" i="76"/>
  <c r="BG27" i="76"/>
  <c r="BG25" i="76"/>
  <c r="BG22" i="76"/>
  <c r="BH22" i="76" l="1"/>
  <c r="BH24" i="76"/>
  <c r="BH27" i="76"/>
  <c r="BH26" i="76"/>
  <c r="BH23" i="76"/>
  <c r="BH25" i="76"/>
  <c r="BH28" i="76"/>
  <c r="BI21" i="76" s="1"/>
  <c r="BI40" i="76"/>
  <c r="BJ33" i="76" s="1"/>
  <c r="BI35" i="76"/>
  <c r="BI38" i="76"/>
  <c r="BI37" i="76"/>
  <c r="BI36" i="76"/>
  <c r="BI34" i="76"/>
  <c r="BI39" i="76"/>
  <c r="BJ16" i="76"/>
  <c r="BK9" i="76" s="1"/>
  <c r="BJ12" i="76"/>
  <c r="BJ13" i="76"/>
  <c r="BJ10" i="76"/>
  <c r="BJ15" i="76"/>
  <c r="BJ11" i="76"/>
  <c r="BJ14" i="76"/>
  <c r="BI52" i="76"/>
  <c r="BJ45" i="76" s="1"/>
  <c r="BI49" i="76"/>
  <c r="BI48" i="76"/>
  <c r="BI46" i="76"/>
  <c r="BI51" i="76"/>
  <c r="BI47" i="76"/>
  <c r="BI50" i="76"/>
  <c r="BI28" i="76" l="1"/>
  <c r="BJ21" i="76" s="1"/>
  <c r="BI24" i="76"/>
  <c r="BI23" i="76"/>
  <c r="BI27" i="76"/>
  <c r="BI25" i="76"/>
  <c r="BI26" i="76"/>
  <c r="BI22" i="76"/>
  <c r="BJ38" i="76"/>
  <c r="BJ37" i="76"/>
  <c r="BJ35" i="76"/>
  <c r="BJ36" i="76"/>
  <c r="BJ34" i="76"/>
  <c r="BJ39" i="76"/>
  <c r="BJ40" i="76"/>
  <c r="BK33" i="76" s="1"/>
  <c r="BJ46" i="76"/>
  <c r="BJ49" i="76"/>
  <c r="BJ48" i="76"/>
  <c r="BJ52" i="76"/>
  <c r="BJ51" i="76"/>
  <c r="BJ47" i="76"/>
  <c r="BJ50" i="76"/>
  <c r="BK13" i="76"/>
  <c r="BK15" i="76"/>
  <c r="BK16" i="76"/>
  <c r="BL9" i="76" s="1"/>
  <c r="BK10" i="76"/>
  <c r="BK11" i="76"/>
  <c r="BK14" i="76"/>
  <c r="BK12" i="76"/>
  <c r="BK38" i="76" l="1"/>
  <c r="BK35" i="76"/>
  <c r="BK39" i="76"/>
  <c r="BK40" i="76"/>
  <c r="BL33" i="76" s="1"/>
  <c r="BK36" i="76"/>
  <c r="BK37" i="76"/>
  <c r="BK34" i="76"/>
  <c r="BL11" i="76"/>
  <c r="BL12" i="76"/>
  <c r="BL15" i="76"/>
  <c r="BL16" i="76"/>
  <c r="BM9" i="76" s="1"/>
  <c r="BL10" i="76"/>
  <c r="BL13" i="76"/>
  <c r="BL14" i="76"/>
  <c r="BJ27" i="76"/>
  <c r="BJ28" i="76"/>
  <c r="BJ23" i="76"/>
  <c r="BJ22" i="76"/>
  <c r="BJ24" i="76"/>
  <c r="BJ26" i="76"/>
  <c r="BJ25" i="76"/>
  <c r="BM12" i="76" l="1"/>
  <c r="BM15" i="76"/>
  <c r="BM13" i="76"/>
  <c r="BM11" i="76"/>
  <c r="BM14" i="76"/>
  <c r="BM16" i="76"/>
  <c r="BN9" i="76" s="1"/>
  <c r="BM10" i="76"/>
  <c r="BL34" i="76"/>
  <c r="BL40" i="76"/>
  <c r="BM33" i="76" s="1"/>
  <c r="BL36" i="76"/>
  <c r="BL38" i="76"/>
  <c r="BL37" i="76"/>
  <c r="BL39" i="76"/>
  <c r="BL35" i="76"/>
  <c r="BN12" i="76" l="1"/>
  <c r="BN11" i="76"/>
  <c r="BN16" i="76"/>
  <c r="BO9" i="76" s="1"/>
  <c r="BN13" i="76"/>
  <c r="BN14" i="76"/>
  <c r="BN10" i="76"/>
  <c r="BN15" i="76"/>
  <c r="BM37" i="76"/>
  <c r="BM38" i="76"/>
  <c r="BM34" i="76"/>
  <c r="BM36" i="76"/>
  <c r="BM40" i="76"/>
  <c r="BN33" i="76" s="1"/>
  <c r="BM39" i="76"/>
  <c r="BM35" i="76"/>
  <c r="BN39" i="76" l="1"/>
  <c r="BN36" i="76"/>
  <c r="BN40" i="76"/>
  <c r="BO33" i="76" s="1"/>
  <c r="BN37" i="76"/>
  <c r="BN34" i="76"/>
  <c r="BN38" i="76"/>
  <c r="BN35" i="76"/>
  <c r="BO15" i="76"/>
  <c r="BO16" i="76"/>
  <c r="BP9" i="76" s="1"/>
  <c r="BO14" i="76"/>
  <c r="BO12" i="76"/>
  <c r="BO13" i="76"/>
  <c r="BO10" i="76"/>
  <c r="BO11" i="76"/>
  <c r="BP11" i="76" l="1"/>
  <c r="BP15" i="76"/>
  <c r="BP14" i="76"/>
  <c r="BP16" i="76"/>
  <c r="BQ9" i="76" s="1"/>
  <c r="BP10" i="76"/>
  <c r="BP12" i="76"/>
  <c r="BP13" i="76"/>
  <c r="BO34" i="76"/>
  <c r="BO36" i="76"/>
  <c r="BO40" i="76"/>
  <c r="BP33" i="76" s="1"/>
  <c r="BO37" i="76"/>
  <c r="BO39" i="76"/>
  <c r="BO35" i="76"/>
  <c r="BO38" i="76"/>
  <c r="BP38" i="76" l="1"/>
  <c r="BP37" i="76"/>
  <c r="BP40" i="76"/>
  <c r="BP39" i="76"/>
  <c r="BP35" i="76"/>
  <c r="BP34" i="76"/>
  <c r="BP36" i="76"/>
  <c r="BQ11" i="76"/>
  <c r="BQ12" i="76"/>
  <c r="BQ16" i="76"/>
  <c r="BQ13" i="76"/>
  <c r="BQ14" i="76"/>
  <c r="BQ15" i="76"/>
  <c r="BQ10" i="76"/>
  <c r="AJ3" i="75" l="1"/>
  <c r="AF3" i="75"/>
  <c r="AE3" i="75"/>
  <c r="D3" i="75"/>
  <c r="AJ6" i="75" a="1"/>
  <c r="Q120" i="1"/>
  <c r="Q121" i="1" s="1"/>
  <c r="Q118" i="1"/>
  <c r="Q117" i="1" s="1"/>
  <c r="B68" i="24"/>
  <c r="B66" i="24"/>
  <c r="B46" i="24"/>
  <c r="B69" i="24" l="1"/>
  <c r="B45" i="24"/>
  <c r="B65" i="24"/>
  <c r="U13" i="3"/>
  <c r="U12" i="3"/>
  <c r="U9" i="3"/>
  <c r="U10" i="3"/>
  <c r="U19" i="3"/>
  <c r="B44" i="24" l="1"/>
  <c r="R26" i="3"/>
  <c r="L15" i="3"/>
  <c r="B43" i="24" l="1"/>
  <c r="E5" i="88"/>
  <c r="C5" i="88"/>
  <c r="C6" i="88" s="1"/>
  <c r="F5" i="88"/>
  <c r="D5" i="88"/>
  <c r="G5" i="88"/>
  <c r="G6" i="88" s="1"/>
  <c r="H9" i="3"/>
  <c r="H5" i="88" l="1"/>
  <c r="R32" i="3"/>
  <c r="R34" i="3"/>
  <c r="R21" i="3" l="1"/>
  <c r="R20" i="3"/>
  <c r="B245" i="3"/>
  <c r="C245" i="3" l="1"/>
  <c r="L12" i="3"/>
  <c r="L13" i="3"/>
  <c r="AH18" i="3"/>
  <c r="AH20" i="3"/>
  <c r="AH16" i="3"/>
  <c r="D245" i="3"/>
  <c r="F3" i="88" l="1"/>
  <c r="F6" i="88" s="1"/>
  <c r="E3" i="88"/>
  <c r="E6" i="88" s="1"/>
  <c r="D3" i="88"/>
  <c r="N33" i="1"/>
  <c r="N34" i="1"/>
  <c r="N35" i="1"/>
  <c r="N36" i="1"/>
  <c r="N37" i="1"/>
  <c r="N38" i="1"/>
  <c r="N39" i="1"/>
  <c r="N40" i="1"/>
  <c r="N41" i="1"/>
  <c r="N42" i="1"/>
  <c r="C28" i="1"/>
  <c r="A28" i="1"/>
  <c r="E28" i="1" s="1"/>
  <c r="A27" i="1"/>
  <c r="E27" i="1" s="1"/>
  <c r="A26" i="1"/>
  <c r="E26" i="1" s="1"/>
  <c r="A25" i="1"/>
  <c r="E25" i="1" s="1"/>
  <c r="A24" i="1"/>
  <c r="E24" i="1" s="1"/>
  <c r="A23" i="1"/>
  <c r="E23" i="1" s="1"/>
  <c r="A22" i="1"/>
  <c r="E22" i="1" s="1"/>
  <c r="A21" i="1"/>
  <c r="E21" i="1" s="1"/>
  <c r="A18" i="1"/>
  <c r="E18" i="1" s="1"/>
  <c r="A17" i="1"/>
  <c r="E17" i="1" s="1"/>
  <c r="A16" i="1"/>
  <c r="E16" i="1" s="1"/>
  <c r="A15" i="1"/>
  <c r="D28" i="1"/>
  <c r="D27" i="1"/>
  <c r="D26" i="1"/>
  <c r="D25" i="1"/>
  <c r="D24" i="1"/>
  <c r="D23" i="1"/>
  <c r="D22" i="1"/>
  <c r="D21" i="1"/>
  <c r="D20" i="1"/>
  <c r="D19" i="1"/>
  <c r="D18" i="1"/>
  <c r="D17" i="1"/>
  <c r="D16" i="1"/>
  <c r="D15" i="1"/>
  <c r="C27" i="1"/>
  <c r="C26" i="1"/>
  <c r="C25" i="1"/>
  <c r="C24" i="1"/>
  <c r="C23" i="1"/>
  <c r="C22" i="1"/>
  <c r="C21" i="1"/>
  <c r="C20" i="1"/>
  <c r="C19" i="1"/>
  <c r="C18" i="1"/>
  <c r="C17" i="1"/>
  <c r="C16" i="1"/>
  <c r="C15" i="1"/>
  <c r="G66" i="74"/>
  <c r="F66" i="74"/>
  <c r="E66" i="74"/>
  <c r="D66" i="74"/>
  <c r="G65" i="74"/>
  <c r="F65" i="74"/>
  <c r="E65" i="74"/>
  <c r="D65" i="74"/>
  <c r="G64" i="74"/>
  <c r="F64" i="74"/>
  <c r="E64" i="74"/>
  <c r="D64" i="74"/>
  <c r="G63" i="74"/>
  <c r="F63" i="74"/>
  <c r="E63" i="74"/>
  <c r="D63" i="74"/>
  <c r="G62" i="74"/>
  <c r="F62" i="74"/>
  <c r="E62" i="74"/>
  <c r="D62" i="74"/>
  <c r="G61" i="74"/>
  <c r="F61" i="74"/>
  <c r="E61" i="74"/>
  <c r="D61" i="74"/>
  <c r="G60" i="74"/>
  <c r="F60" i="74"/>
  <c r="E60" i="74"/>
  <c r="D60" i="74"/>
  <c r="G59" i="74"/>
  <c r="F59" i="74"/>
  <c r="E59" i="74"/>
  <c r="D59" i="74"/>
  <c r="G58" i="74"/>
  <c r="F58" i="74"/>
  <c r="E58" i="74"/>
  <c r="G57" i="74"/>
  <c r="F57" i="74"/>
  <c r="E57" i="74"/>
  <c r="G56" i="74"/>
  <c r="F56" i="74"/>
  <c r="E56" i="74"/>
  <c r="D56" i="74"/>
  <c r="G55" i="74"/>
  <c r="F55" i="74"/>
  <c r="E55" i="74"/>
  <c r="D55" i="74"/>
  <c r="G54" i="74"/>
  <c r="F54" i="74"/>
  <c r="E54" i="74"/>
  <c r="D54" i="74"/>
  <c r="G53" i="74"/>
  <c r="F53" i="74"/>
  <c r="E53" i="74"/>
  <c r="D53" i="74"/>
  <c r="G52" i="74"/>
  <c r="F52" i="74"/>
  <c r="E52" i="74"/>
  <c r="D52" i="74"/>
  <c r="G51" i="74"/>
  <c r="F51" i="74"/>
  <c r="E51" i="74"/>
  <c r="D51" i="74"/>
  <c r="G50" i="74"/>
  <c r="F50" i="74"/>
  <c r="E50" i="74"/>
  <c r="D50" i="74"/>
  <c r="G49" i="74"/>
  <c r="F49" i="74"/>
  <c r="E49" i="74"/>
  <c r="D49" i="74"/>
  <c r="G48" i="74"/>
  <c r="F48" i="74"/>
  <c r="E48" i="74"/>
  <c r="D48" i="74"/>
  <c r="G47" i="74"/>
  <c r="F47" i="74"/>
  <c r="E47" i="74"/>
  <c r="D47" i="74"/>
  <c r="G46" i="74"/>
  <c r="F46" i="74"/>
  <c r="E46" i="74"/>
  <c r="D46" i="74"/>
  <c r="G45" i="74"/>
  <c r="F45" i="74"/>
  <c r="E45" i="74"/>
  <c r="D45" i="74"/>
  <c r="G44" i="74"/>
  <c r="F44" i="74"/>
  <c r="E44" i="74"/>
  <c r="D44" i="74"/>
  <c r="G43" i="74"/>
  <c r="F43" i="74"/>
  <c r="E43" i="74"/>
  <c r="D43" i="74"/>
  <c r="G42" i="74"/>
  <c r="F42" i="74"/>
  <c r="E42" i="74"/>
  <c r="D42" i="74"/>
  <c r="G41" i="74"/>
  <c r="F41" i="74"/>
  <c r="E41" i="74"/>
  <c r="D41" i="74"/>
  <c r="G40" i="74"/>
  <c r="F40" i="74"/>
  <c r="E40" i="74"/>
  <c r="D40" i="74"/>
  <c r="G39" i="74"/>
  <c r="F39" i="74"/>
  <c r="E39" i="74"/>
  <c r="D39" i="74"/>
  <c r="J12" i="74"/>
  <c r="D58" i="74" s="1"/>
  <c r="J11" i="74"/>
  <c r="D57" i="74" s="1"/>
  <c r="S47" i="64"/>
  <c r="S46" i="64"/>
  <c r="S45" i="64"/>
  <c r="S42" i="64"/>
  <c r="S41" i="64"/>
  <c r="S40" i="64"/>
  <c r="M42" i="64"/>
  <c r="M41" i="64"/>
  <c r="M40" i="64"/>
  <c r="H3" i="88" l="1"/>
  <c r="H6" i="88" s="1"/>
  <c r="D6" i="88"/>
  <c r="E15" i="1"/>
  <c r="D44" i="1"/>
  <c r="D38" i="1"/>
  <c r="D32" i="1"/>
  <c r="C44" i="1"/>
  <c r="C38" i="1"/>
  <c r="C32" i="1"/>
  <c r="D43" i="1"/>
  <c r="D37" i="1"/>
  <c r="D31" i="1"/>
  <c r="C33" i="1"/>
  <c r="C43" i="1"/>
  <c r="C37" i="1"/>
  <c r="C31" i="1"/>
  <c r="C39" i="1"/>
  <c r="D42" i="1"/>
  <c r="D36" i="1"/>
  <c r="D33" i="1"/>
  <c r="C42" i="1"/>
  <c r="C36" i="1"/>
  <c r="D41" i="1"/>
  <c r="D35" i="1"/>
  <c r="C41" i="1"/>
  <c r="C35" i="1"/>
  <c r="D39" i="1"/>
  <c r="D40" i="1"/>
  <c r="D34" i="1"/>
  <c r="C40" i="1"/>
  <c r="C34" i="1"/>
  <c r="G39" i="1"/>
  <c r="G38" i="1"/>
  <c r="G28" i="1"/>
  <c r="G16" i="1"/>
  <c r="G17" i="1"/>
  <c r="G40" i="1"/>
  <c r="A19" i="1"/>
  <c r="G42" i="1"/>
  <c r="G41" i="1"/>
  <c r="A20" i="1"/>
  <c r="G43" i="1"/>
  <c r="G18" i="1"/>
  <c r="G21" i="1"/>
  <c r="G32" i="1"/>
  <c r="G44" i="1"/>
  <c r="G22" i="1"/>
  <c r="G33" i="1"/>
  <c r="G23" i="1"/>
  <c r="G34" i="1"/>
  <c r="S48" i="64"/>
  <c r="G24" i="1"/>
  <c r="G35" i="1"/>
  <c r="S43" i="64"/>
  <c r="G25" i="1"/>
  <c r="G36" i="1"/>
  <c r="G26" i="1"/>
  <c r="G37" i="1"/>
  <c r="G15" i="1"/>
  <c r="G27" i="1"/>
  <c r="B32" i="55"/>
  <c r="B31" i="55"/>
  <c r="B30" i="55"/>
  <c r="D33" i="55"/>
  <c r="D32" i="55"/>
  <c r="D31" i="55"/>
  <c r="D30" i="55"/>
  <c r="C33" i="55"/>
  <c r="C32" i="55"/>
  <c r="C31" i="55"/>
  <c r="C30" i="55"/>
  <c r="C5" i="89" l="1"/>
  <c r="C3" i="89"/>
  <c r="Q3" i="75"/>
  <c r="G20" i="1"/>
  <c r="E20" i="1"/>
  <c r="G19" i="1"/>
  <c r="E19" i="1"/>
  <c r="I48" i="55"/>
  <c r="P48" i="55"/>
  <c r="F14" i="55"/>
  <c r="F16" i="55"/>
  <c r="F15" i="55"/>
  <c r="F10" i="55"/>
  <c r="F9" i="55"/>
  <c r="F6" i="55"/>
  <c r="F5" i="55"/>
  <c r="F4" i="55"/>
  <c r="Q6" i="75" a="1"/>
  <c r="B186" i="86" l="1"/>
  <c r="C4" i="89"/>
  <c r="A304" i="32"/>
  <c r="A303" i="32"/>
  <c r="A302" i="32"/>
  <c r="A301" i="32"/>
  <c r="A300" i="32"/>
  <c r="K17" i="77" l="1"/>
  <c r="N17" i="77" s="1"/>
  <c r="K13" i="77"/>
  <c r="N13" i="77" s="1"/>
  <c r="D63" i="86"/>
  <c r="B6" i="86" s="1"/>
  <c r="Y57" i="17"/>
  <c r="Y56" i="17"/>
  <c r="Y55" i="17"/>
  <c r="Y54" i="17"/>
  <c r="Y53" i="17"/>
  <c r="Y52" i="17"/>
  <c r="Y51" i="17"/>
  <c r="Y50" i="17"/>
  <c r="Y49" i="17"/>
  <c r="Y48" i="17"/>
  <c r="Y47" i="17"/>
  <c r="Y46" i="17"/>
  <c r="Y29" i="17"/>
  <c r="Y30" i="17"/>
  <c r="Y31" i="17"/>
  <c r="Y32" i="17"/>
  <c r="Y33" i="17"/>
  <c r="Y34" i="17"/>
  <c r="Y35" i="17"/>
  <c r="Y36" i="17"/>
  <c r="Y37" i="17"/>
  <c r="Y38" i="17"/>
  <c r="Y39" i="17"/>
  <c r="Y40" i="17"/>
  <c r="K18" i="77" l="1"/>
  <c r="N18" i="77" s="1"/>
  <c r="N7" i="45"/>
  <c r="N5" i="45"/>
  <c r="N21" i="77" l="1"/>
  <c r="H184" i="1"/>
  <c r="D176" i="45"/>
  <c r="D177" i="45" s="1"/>
  <c r="D175" i="45"/>
  <c r="D174" i="45"/>
  <c r="D173" i="45"/>
  <c r="D172" i="45"/>
  <c r="D171" i="45"/>
  <c r="D170" i="45"/>
  <c r="D169" i="45"/>
  <c r="D168" i="45"/>
  <c r="D167" i="45"/>
  <c r="D166" i="45"/>
  <c r="D165" i="45"/>
  <c r="D164" i="45"/>
  <c r="D163" i="45"/>
  <c r="D162" i="45"/>
  <c r="D161" i="45"/>
  <c r="D160" i="45"/>
  <c r="D159" i="45"/>
  <c r="D158" i="45"/>
  <c r="D157" i="45"/>
  <c r="D156" i="45"/>
  <c r="D155" i="45"/>
  <c r="D154" i="45"/>
  <c r="D153" i="45"/>
  <c r="D152" i="45"/>
  <c r="D151" i="45"/>
  <c r="D150" i="45"/>
  <c r="D149" i="45"/>
  <c r="D148" i="45"/>
  <c r="D147" i="45"/>
  <c r="D146" i="45"/>
  <c r="D145" i="45"/>
  <c r="D144" i="45"/>
  <c r="D143" i="45"/>
  <c r="D142" i="45"/>
  <c r="D141" i="45"/>
  <c r="D140" i="45"/>
  <c r="D139" i="45"/>
  <c r="D138" i="45"/>
  <c r="D137" i="45"/>
  <c r="D136" i="45"/>
  <c r="D135" i="45"/>
  <c r="D134" i="45"/>
  <c r="D133" i="45"/>
  <c r="D132" i="45"/>
  <c r="D131" i="45"/>
  <c r="D130" i="45"/>
  <c r="D129" i="45"/>
  <c r="D128" i="45"/>
  <c r="D127" i="45"/>
  <c r="D126" i="45"/>
  <c r="D125" i="45"/>
  <c r="D124" i="45"/>
  <c r="D123" i="45"/>
  <c r="D122" i="45"/>
  <c r="D121" i="45"/>
  <c r="D120" i="45"/>
  <c r="D119" i="45"/>
  <c r="D118" i="45"/>
  <c r="D117" i="45"/>
  <c r="D116" i="45"/>
  <c r="D115" i="45"/>
  <c r="D114" i="45"/>
  <c r="D113" i="45"/>
  <c r="D112" i="45"/>
  <c r="D111" i="45"/>
  <c r="D110" i="45"/>
  <c r="D109" i="45"/>
  <c r="D108" i="45"/>
  <c r="D107" i="45"/>
  <c r="D106" i="45"/>
  <c r="D105" i="45"/>
  <c r="D104" i="45"/>
  <c r="D103" i="45"/>
  <c r="D102" i="45"/>
  <c r="D101" i="45"/>
  <c r="D100" i="45"/>
  <c r="D99" i="45"/>
  <c r="D98" i="45"/>
  <c r="D97" i="45"/>
  <c r="D96" i="45"/>
  <c r="D95" i="45"/>
  <c r="D94" i="45"/>
  <c r="D93" i="45"/>
  <c r="D92" i="45"/>
  <c r="D91" i="45"/>
  <c r="D90" i="45"/>
  <c r="D89" i="45"/>
  <c r="D88" i="45"/>
  <c r="D87" i="45"/>
  <c r="D86" i="45"/>
  <c r="D85" i="45"/>
  <c r="D84" i="45"/>
  <c r="D83" i="45"/>
  <c r="D82" i="45"/>
  <c r="D81" i="45"/>
  <c r="D80" i="45"/>
  <c r="D79" i="45"/>
  <c r="D78" i="45"/>
  <c r="D77" i="45"/>
  <c r="D76" i="45"/>
  <c r="D75" i="45"/>
  <c r="D74" i="45"/>
  <c r="D73" i="45"/>
  <c r="D72" i="45"/>
  <c r="D71" i="45"/>
  <c r="D70" i="45"/>
  <c r="D69" i="45"/>
  <c r="D68" i="45"/>
  <c r="D67" i="45"/>
  <c r="D66" i="45"/>
  <c r="D65" i="45"/>
  <c r="D64" i="45"/>
  <c r="D63" i="45"/>
  <c r="D62" i="45"/>
  <c r="D61" i="45"/>
  <c r="D60" i="45"/>
  <c r="D59" i="45"/>
  <c r="D58" i="45"/>
  <c r="D57" i="45"/>
  <c r="D56" i="45"/>
  <c r="D55" i="45"/>
  <c r="D54" i="45"/>
  <c r="D53" i="45"/>
  <c r="D52" i="45"/>
  <c r="D51" i="45"/>
  <c r="D50" i="45"/>
  <c r="D49" i="45"/>
  <c r="D48" i="45"/>
  <c r="D47" i="45"/>
  <c r="D46" i="45"/>
  <c r="D45" i="45"/>
  <c r="D44" i="45"/>
  <c r="D43" i="45"/>
  <c r="D42" i="45"/>
  <c r="D41" i="45"/>
  <c r="D40" i="45"/>
  <c r="D39" i="45"/>
  <c r="D38" i="45"/>
  <c r="D37" i="45"/>
  <c r="D36" i="45"/>
  <c r="D35" i="45"/>
  <c r="D34" i="45"/>
  <c r="D33" i="45"/>
  <c r="D32" i="45"/>
  <c r="D31" i="45"/>
  <c r="D30" i="45"/>
  <c r="D29" i="45"/>
  <c r="D28" i="45"/>
  <c r="D27" i="45"/>
  <c r="D26" i="45"/>
  <c r="D25" i="45"/>
  <c r="D24" i="45"/>
  <c r="D23" i="45"/>
  <c r="D22" i="45"/>
  <c r="D21" i="45"/>
  <c r="D20" i="45"/>
  <c r="D19" i="45"/>
  <c r="D18" i="45"/>
  <c r="D17" i="45"/>
  <c r="D16" i="45"/>
  <c r="D15" i="45"/>
  <c r="D14" i="45"/>
  <c r="D13" i="45"/>
  <c r="D12" i="45"/>
  <c r="D11" i="45"/>
  <c r="D10" i="45"/>
  <c r="D9" i="45"/>
  <c r="D8" i="45"/>
  <c r="D7" i="45"/>
  <c r="D6" i="45"/>
  <c r="D5" i="45"/>
  <c r="D4" i="45"/>
  <c r="E34" i="70"/>
  <c r="E33" i="70"/>
  <c r="E32" i="70"/>
  <c r="E31" i="70"/>
  <c r="E30" i="70"/>
  <c r="E29" i="70"/>
  <c r="C18" i="70"/>
  <c r="J42" i="1"/>
  <c r="I42" i="1" s="1"/>
  <c r="H42" i="1"/>
  <c r="K42" i="1" s="1"/>
  <c r="L42" i="1" s="1"/>
  <c r="J41" i="1"/>
  <c r="I41" i="1" s="1"/>
  <c r="H41" i="1"/>
  <c r="K41" i="1" s="1"/>
  <c r="L41" i="1" s="1"/>
  <c r="J40" i="1"/>
  <c r="I40" i="1" s="1"/>
  <c r="H40" i="1"/>
  <c r="K40" i="1" s="1"/>
  <c r="L40" i="1" s="1"/>
  <c r="J39" i="1"/>
  <c r="I39" i="1" s="1"/>
  <c r="H39" i="1"/>
  <c r="K39" i="1" s="1"/>
  <c r="L39" i="1" s="1"/>
  <c r="J38" i="1"/>
  <c r="I38" i="1" s="1"/>
  <c r="H38" i="1"/>
  <c r="K38" i="1" s="1"/>
  <c r="L38" i="1" s="1"/>
  <c r="J37" i="1"/>
  <c r="I37" i="1" s="1"/>
  <c r="H37" i="1"/>
  <c r="K37" i="1" s="1"/>
  <c r="L37" i="1" s="1"/>
  <c r="J36" i="1"/>
  <c r="I36" i="1" s="1"/>
  <c r="H36" i="1"/>
  <c r="K36" i="1" s="1"/>
  <c r="L36" i="1" s="1"/>
  <c r="J35" i="1"/>
  <c r="I35" i="1" s="1"/>
  <c r="H35" i="1"/>
  <c r="K35" i="1" s="1"/>
  <c r="L35" i="1" s="1"/>
  <c r="J34" i="1"/>
  <c r="I34" i="1" s="1"/>
  <c r="H34" i="1"/>
  <c r="K34" i="1" s="1"/>
  <c r="L34" i="1" s="1"/>
  <c r="J33" i="1"/>
  <c r="I33" i="1" s="1"/>
  <c r="H33" i="1"/>
  <c r="K33" i="1" s="1"/>
  <c r="L33" i="1" s="1"/>
  <c r="D178" i="45" l="1"/>
  <c r="B61" i="24"/>
  <c r="U20" i="3" s="1"/>
  <c r="B59" i="24"/>
  <c r="U18" i="3" s="1"/>
  <c r="D179" i="45" l="1"/>
  <c r="B58" i="24"/>
  <c r="U17" i="3" s="1"/>
  <c r="B62" i="24"/>
  <c r="U21" i="3" s="1"/>
  <c r="B39" i="24"/>
  <c r="B37" i="24"/>
  <c r="B32" i="24"/>
  <c r="B30" i="24"/>
  <c r="B18" i="24"/>
  <c r="B16" i="24"/>
  <c r="B33" i="24" l="1"/>
  <c r="B29" i="24"/>
  <c r="A66" i="42"/>
  <c r="A68" i="42" s="1"/>
  <c r="A66" i="64"/>
  <c r="D180" i="45"/>
  <c r="B36" i="24"/>
  <c r="B40" i="24"/>
  <c r="B15" i="24"/>
  <c r="B19" i="24"/>
  <c r="A67" i="42" l="1"/>
  <c r="A68" i="64"/>
  <c r="A67" i="64"/>
  <c r="D181" i="45"/>
  <c r="D182" i="45" l="1"/>
  <c r="B15" i="55"/>
  <c r="I49" i="55"/>
  <c r="P49" i="55"/>
  <c r="B16" i="55"/>
  <c r="H185" i="1"/>
  <c r="D183" i="45" l="1"/>
  <c r="Z35" i="17"/>
  <c r="Z37" i="17"/>
  <c r="Z30" i="17"/>
  <c r="Z38" i="17"/>
  <c r="Z31" i="17"/>
  <c r="Z39" i="17"/>
  <c r="Z29" i="17"/>
  <c r="Z32" i="17"/>
  <c r="Z40" i="17"/>
  <c r="Z36" i="17"/>
  <c r="Z33" i="17"/>
  <c r="Z34" i="17"/>
  <c r="Y41" i="17"/>
  <c r="Y42" i="17" s="1"/>
  <c r="D184" i="45" l="1"/>
  <c r="Z41" i="17"/>
  <c r="D185" i="45" l="1"/>
  <c r="D186" i="45" l="1"/>
  <c r="K11" i="17"/>
  <c r="E72" i="30" s="1"/>
  <c r="E83" i="30" s="1"/>
  <c r="E84" i="30" s="1"/>
  <c r="D187" i="45" l="1"/>
  <c r="L11" i="17"/>
  <c r="E97" i="30" s="1"/>
  <c r="E108" i="30" s="1"/>
  <c r="E109" i="30" s="1"/>
  <c r="C51" i="17"/>
  <c r="D188" i="45" l="1"/>
  <c r="E7" i="55"/>
  <c r="D189" i="45" l="1"/>
  <c r="L44" i="73"/>
  <c r="O44" i="73"/>
  <c r="O43" i="73"/>
  <c r="O29" i="73"/>
  <c r="L29" i="73"/>
  <c r="O28" i="73"/>
  <c r="O27" i="73"/>
  <c r="L23" i="73"/>
  <c r="K15" i="73"/>
  <c r="K14" i="73"/>
  <c r="K13" i="73"/>
  <c r="K12" i="73"/>
  <c r="N9" i="73"/>
  <c r="N8" i="73"/>
  <c r="K8" i="73"/>
  <c r="K7" i="73"/>
  <c r="N6" i="73"/>
  <c r="K6" i="73"/>
  <c r="B30" i="73"/>
  <c r="B29" i="73"/>
  <c r="B28" i="73"/>
  <c r="I27" i="73"/>
  <c r="E27" i="73"/>
  <c r="I4" i="73"/>
  <c r="H4" i="73"/>
  <c r="G4" i="73"/>
  <c r="F4" i="73"/>
  <c r="B23" i="73"/>
  <c r="B19" i="73"/>
  <c r="B10" i="73"/>
  <c r="B7" i="73"/>
  <c r="B6" i="73"/>
  <c r="B5" i="73"/>
  <c r="B4" i="73"/>
  <c r="M70" i="73"/>
  <c r="J70" i="73"/>
  <c r="A58" i="73"/>
  <c r="A59" i="73" s="1"/>
  <c r="A60" i="73" s="1"/>
  <c r="A61" i="73" s="1"/>
  <c r="A51" i="73"/>
  <c r="A52" i="73" s="1"/>
  <c r="D190" i="45" l="1"/>
  <c r="A53" i="73"/>
  <c r="A62" i="73"/>
  <c r="D191" i="45" l="1"/>
  <c r="A63" i="73"/>
  <c r="A54" i="73"/>
  <c r="D192" i="45" l="1"/>
  <c r="A64" i="73"/>
  <c r="D193" i="45" l="1"/>
  <c r="C35" i="70"/>
  <c r="D194" i="45" l="1"/>
  <c r="EG188" i="71"/>
  <c r="EF188" i="71"/>
  <c r="EE188" i="71"/>
  <c r="ED188" i="71"/>
  <c r="EC188" i="71"/>
  <c r="EB188" i="71"/>
  <c r="EA188" i="71"/>
  <c r="DZ188" i="71"/>
  <c r="DY188" i="71"/>
  <c r="DX188" i="71"/>
  <c r="DW188" i="71"/>
  <c r="DV188" i="71"/>
  <c r="DU188" i="71"/>
  <c r="DT188" i="71"/>
  <c r="DS188" i="71"/>
  <c r="DR188" i="71"/>
  <c r="DQ188" i="71"/>
  <c r="DP188" i="71"/>
  <c r="DO188" i="71"/>
  <c r="DN188" i="71"/>
  <c r="DM188" i="71"/>
  <c r="DL188" i="71"/>
  <c r="DK188" i="71"/>
  <c r="DJ188" i="71"/>
  <c r="DI188" i="71"/>
  <c r="DH188" i="71"/>
  <c r="DG188" i="71"/>
  <c r="DF188" i="71"/>
  <c r="DE188" i="71"/>
  <c r="DD188" i="71"/>
  <c r="DC188" i="71"/>
  <c r="DB188" i="71"/>
  <c r="DA188" i="71"/>
  <c r="CZ188" i="71"/>
  <c r="CY188" i="71"/>
  <c r="CX188" i="71"/>
  <c r="CW188" i="71"/>
  <c r="CV188" i="71"/>
  <c r="CU188" i="71"/>
  <c r="CT188" i="71"/>
  <c r="CS188" i="71"/>
  <c r="CR188" i="71"/>
  <c r="CQ188" i="71"/>
  <c r="CP188" i="71"/>
  <c r="CO188" i="71"/>
  <c r="CN188" i="71"/>
  <c r="CM188" i="71"/>
  <c r="CL188" i="71"/>
  <c r="CK188" i="71"/>
  <c r="CJ188" i="71"/>
  <c r="CI188" i="71"/>
  <c r="CH188" i="71"/>
  <c r="CG188" i="71"/>
  <c r="CF188" i="71"/>
  <c r="CE188" i="71"/>
  <c r="CD188" i="71"/>
  <c r="CC188" i="71"/>
  <c r="CB188" i="71"/>
  <c r="CA188" i="71"/>
  <c r="BZ188" i="71"/>
  <c r="BY188" i="71"/>
  <c r="BX188" i="71"/>
  <c r="BW188" i="71"/>
  <c r="BV188" i="71"/>
  <c r="BU188" i="71"/>
  <c r="BT188" i="71"/>
  <c r="BS188" i="71"/>
  <c r="BR188" i="71"/>
  <c r="BQ188" i="71"/>
  <c r="BP188" i="71"/>
  <c r="BO188" i="71"/>
  <c r="BN188" i="71"/>
  <c r="BM188" i="71"/>
  <c r="BL188" i="71"/>
  <c r="BK188" i="71"/>
  <c r="BJ188" i="71"/>
  <c r="BI188" i="71"/>
  <c r="BH188" i="71"/>
  <c r="BG188" i="71"/>
  <c r="BF188" i="71"/>
  <c r="BE188" i="71"/>
  <c r="BD188" i="71"/>
  <c r="BC188" i="71"/>
  <c r="BB188" i="71"/>
  <c r="BA188" i="71"/>
  <c r="AZ188" i="71"/>
  <c r="AY188" i="71"/>
  <c r="AX188" i="71"/>
  <c r="AW188" i="71"/>
  <c r="AV188" i="71"/>
  <c r="AU188" i="71"/>
  <c r="AT188" i="71"/>
  <c r="AS188" i="71"/>
  <c r="AR188" i="71"/>
  <c r="AQ188" i="71"/>
  <c r="AP188" i="71"/>
  <c r="AO188" i="71"/>
  <c r="AN188" i="71"/>
  <c r="AM188" i="71"/>
  <c r="AL188" i="71"/>
  <c r="AK188" i="71"/>
  <c r="AJ188" i="71"/>
  <c r="AI188" i="71"/>
  <c r="AH188" i="71"/>
  <c r="AG188" i="71"/>
  <c r="AF188" i="71"/>
  <c r="AE188" i="71"/>
  <c r="AD188" i="71"/>
  <c r="AC188" i="71"/>
  <c r="AB188" i="71"/>
  <c r="AA188" i="71"/>
  <c r="Z188" i="71"/>
  <c r="Y188" i="71"/>
  <c r="X188" i="71"/>
  <c r="W188" i="71"/>
  <c r="V188" i="71"/>
  <c r="U188" i="71"/>
  <c r="T188" i="71"/>
  <c r="S188" i="71"/>
  <c r="R188" i="71"/>
  <c r="Q188" i="71"/>
  <c r="P188" i="71"/>
  <c r="O188" i="71"/>
  <c r="N188" i="71"/>
  <c r="M188" i="71"/>
  <c r="L188" i="71"/>
  <c r="K188" i="71"/>
  <c r="J188" i="71"/>
  <c r="I188" i="71"/>
  <c r="H188" i="71"/>
  <c r="G188" i="71"/>
  <c r="F188" i="71"/>
  <c r="E188" i="71"/>
  <c r="I6" i="72"/>
  <c r="I43" i="72" s="1"/>
  <c r="B2" i="71"/>
  <c r="B11" i="70" s="1"/>
  <c r="E38" i="70"/>
  <c r="B2" i="69"/>
  <c r="B2" i="68"/>
  <c r="P206" i="72"/>
  <c r="P207" i="72" s="1"/>
  <c r="O207" i="72" s="1"/>
  <c r="I117" i="72"/>
  <c r="L81" i="72"/>
  <c r="H77" i="72"/>
  <c r="H117" i="72" s="1"/>
  <c r="H76" i="72"/>
  <c r="H116" i="72" s="1"/>
  <c r="H75" i="72"/>
  <c r="H115" i="72" s="1"/>
  <c r="H74" i="72"/>
  <c r="H114" i="72" s="1"/>
  <c r="H73" i="72"/>
  <c r="H113" i="72" s="1"/>
  <c r="H72" i="72"/>
  <c r="H112" i="72" s="1"/>
  <c r="H71" i="72"/>
  <c r="H111" i="72" s="1"/>
  <c r="H70" i="72"/>
  <c r="H110" i="72" s="1"/>
  <c r="H69" i="72"/>
  <c r="H109" i="72" s="1"/>
  <c r="H68" i="72"/>
  <c r="H108" i="72" s="1"/>
  <c r="H67" i="72"/>
  <c r="H107" i="72" s="1"/>
  <c r="H66" i="72"/>
  <c r="H106" i="72" s="1"/>
  <c r="H65" i="72"/>
  <c r="H105" i="72" s="1"/>
  <c r="H64" i="72"/>
  <c r="H104" i="72" s="1"/>
  <c r="H63" i="72"/>
  <c r="H103" i="72" s="1"/>
  <c r="H62" i="72"/>
  <c r="H102" i="72" s="1"/>
  <c r="H61" i="72"/>
  <c r="H101" i="72" s="1"/>
  <c r="H60" i="72"/>
  <c r="H100" i="72" s="1"/>
  <c r="H59" i="72"/>
  <c r="H99" i="72" s="1"/>
  <c r="H58" i="72"/>
  <c r="H98" i="72" s="1"/>
  <c r="H57" i="72"/>
  <c r="H97" i="72" s="1"/>
  <c r="H56" i="72"/>
  <c r="H96" i="72" s="1"/>
  <c r="H55" i="72"/>
  <c r="H95" i="72" s="1"/>
  <c r="H54" i="72"/>
  <c r="H94" i="72" s="1"/>
  <c r="H53" i="72"/>
  <c r="H93" i="72" s="1"/>
  <c r="H52" i="72"/>
  <c r="H92" i="72" s="1"/>
  <c r="F52" i="72"/>
  <c r="H51" i="72"/>
  <c r="H91" i="72" s="1"/>
  <c r="H50" i="72"/>
  <c r="H90" i="72" s="1"/>
  <c r="H49" i="72"/>
  <c r="H89" i="72" s="1"/>
  <c r="F49" i="72"/>
  <c r="H48" i="72"/>
  <c r="H88" i="72" s="1"/>
  <c r="H47" i="72"/>
  <c r="H87" i="72" s="1"/>
  <c r="H46" i="72"/>
  <c r="H86" i="72" s="1"/>
  <c r="F46" i="72"/>
  <c r="H45" i="72"/>
  <c r="H85" i="72" s="1"/>
  <c r="H44" i="72"/>
  <c r="H84" i="72" s="1"/>
  <c r="H43" i="72"/>
  <c r="H83" i="72" s="1"/>
  <c r="F40" i="72"/>
  <c r="C107" i="71" s="1"/>
  <c r="F37" i="72"/>
  <c r="C98" i="71" s="1"/>
  <c r="C93" i="68" s="1"/>
  <c r="F22" i="72"/>
  <c r="D22" i="72"/>
  <c r="F11" i="72"/>
  <c r="B622" i="71"/>
  <c r="B621" i="71"/>
  <c r="B620" i="71"/>
  <c r="C579" i="71"/>
  <c r="B483" i="71"/>
  <c r="B504" i="71" s="1"/>
  <c r="EG363" i="71"/>
  <c r="EF363" i="71"/>
  <c r="EE363" i="71"/>
  <c r="ED363" i="71"/>
  <c r="EC363" i="71"/>
  <c r="EB363" i="71"/>
  <c r="EA363" i="71"/>
  <c r="DZ363" i="71"/>
  <c r="DY363" i="71"/>
  <c r="DX363" i="71"/>
  <c r="DW363" i="71"/>
  <c r="DV363" i="71"/>
  <c r="EG362" i="71"/>
  <c r="EF362" i="71"/>
  <c r="EE362" i="71"/>
  <c r="ED362" i="71"/>
  <c r="EC362" i="71"/>
  <c r="EB362" i="71"/>
  <c r="EA362" i="71"/>
  <c r="DZ362" i="71"/>
  <c r="DY362" i="71"/>
  <c r="DX362" i="71"/>
  <c r="DW362" i="71"/>
  <c r="DV362" i="71"/>
  <c r="EG350" i="71"/>
  <c r="EF350" i="71"/>
  <c r="EE350" i="71"/>
  <c r="ED350" i="71"/>
  <c r="EC350" i="71"/>
  <c r="EB350" i="71"/>
  <c r="EA350" i="71"/>
  <c r="DZ350" i="71"/>
  <c r="DY350" i="71"/>
  <c r="DX350" i="71"/>
  <c r="DW350" i="71"/>
  <c r="DV350" i="71"/>
  <c r="EG349" i="71"/>
  <c r="EF349" i="71"/>
  <c r="EE349" i="71"/>
  <c r="ED349" i="71"/>
  <c r="EC349" i="71"/>
  <c r="EB349" i="71"/>
  <c r="EA349" i="71"/>
  <c r="DZ349" i="71"/>
  <c r="DY349" i="71"/>
  <c r="DX349" i="71"/>
  <c r="DW349" i="71"/>
  <c r="DV349" i="71"/>
  <c r="E338" i="71"/>
  <c r="C238" i="71"/>
  <c r="C239" i="71" s="1"/>
  <c r="C236" i="71"/>
  <c r="C237" i="71" s="1"/>
  <c r="C234" i="71"/>
  <c r="C235" i="71" s="1"/>
  <c r="C208" i="71"/>
  <c r="C209" i="71" s="1"/>
  <c r="C206" i="69" s="1"/>
  <c r="E184" i="71"/>
  <c r="C108" i="71"/>
  <c r="C99" i="71"/>
  <c r="C94" i="68" s="1"/>
  <c r="C91" i="71"/>
  <c r="C86" i="68" s="1"/>
  <c r="C90" i="71"/>
  <c r="C85" i="68" s="1"/>
  <c r="C83" i="71"/>
  <c r="C78" i="68" s="1"/>
  <c r="C82" i="71"/>
  <c r="C77" i="68" s="1"/>
  <c r="C74" i="71"/>
  <c r="C75" i="71" s="1"/>
  <c r="C72" i="71"/>
  <c r="C73" i="71" s="1"/>
  <c r="C70" i="71"/>
  <c r="C71" i="71" s="1"/>
  <c r="E10" i="71"/>
  <c r="E11" i="71" s="1"/>
  <c r="C34" i="70"/>
  <c r="C33" i="70"/>
  <c r="C32" i="70"/>
  <c r="C31" i="70"/>
  <c r="C30" i="70"/>
  <c r="C29" i="70"/>
  <c r="C28" i="70"/>
  <c r="C27" i="70"/>
  <c r="C26" i="70"/>
  <c r="C25" i="70"/>
  <c r="C24" i="70"/>
  <c r="C23" i="70"/>
  <c r="C22" i="70"/>
  <c r="C21" i="70"/>
  <c r="C20" i="70"/>
  <c r="C19" i="70"/>
  <c r="C17" i="70"/>
  <c r="C16" i="70"/>
  <c r="C15" i="70"/>
  <c r="C14" i="70"/>
  <c r="C13" i="70"/>
  <c r="C12" i="70"/>
  <c r="E335" i="69"/>
  <c r="C235" i="69"/>
  <c r="C236" i="69" s="1"/>
  <c r="C233" i="69"/>
  <c r="C234" i="69" s="1"/>
  <c r="C231" i="69"/>
  <c r="C232" i="69" s="1"/>
  <c r="C105" i="69"/>
  <c r="C96" i="69"/>
  <c r="C88" i="69"/>
  <c r="C87" i="69"/>
  <c r="C80" i="69"/>
  <c r="C79" i="69"/>
  <c r="C71" i="69"/>
  <c r="C72" i="69" s="1"/>
  <c r="C69" i="69"/>
  <c r="C70" i="69" s="1"/>
  <c r="C67" i="69"/>
  <c r="C68" i="69" s="1"/>
  <c r="F8" i="69"/>
  <c r="G8" i="69" s="1"/>
  <c r="H8" i="69" s="1"/>
  <c r="I8" i="69" s="1"/>
  <c r="J8" i="69" s="1"/>
  <c r="K8" i="69" s="1"/>
  <c r="L8" i="69" s="1"/>
  <c r="M8" i="69" s="1"/>
  <c r="N8" i="69" s="1"/>
  <c r="O8" i="69" s="1"/>
  <c r="P8" i="69" s="1"/>
  <c r="Q8" i="69" s="1"/>
  <c r="R8" i="69" s="1"/>
  <c r="S8" i="69" s="1"/>
  <c r="T8" i="69" s="1"/>
  <c r="U8" i="69" s="1"/>
  <c r="V8" i="69" s="1"/>
  <c r="W8" i="69" s="1"/>
  <c r="X8" i="69" s="1"/>
  <c r="Y8" i="69" s="1"/>
  <c r="Z8" i="69" s="1"/>
  <c r="AA8" i="69" s="1"/>
  <c r="AB8" i="69" s="1"/>
  <c r="AC8" i="69" s="1"/>
  <c r="AD8" i="69" s="1"/>
  <c r="AE8" i="69" s="1"/>
  <c r="AF8" i="69" s="1"/>
  <c r="AG8" i="69" s="1"/>
  <c r="AH8" i="69" s="1"/>
  <c r="AI8" i="69" s="1"/>
  <c r="AJ8" i="69" s="1"/>
  <c r="AK8" i="69" s="1"/>
  <c r="AL8" i="69" s="1"/>
  <c r="AM8" i="69" s="1"/>
  <c r="AN8" i="69" s="1"/>
  <c r="AO8" i="69" s="1"/>
  <c r="AP8" i="69" s="1"/>
  <c r="AQ8" i="69" s="1"/>
  <c r="AR8" i="69" s="1"/>
  <c r="AS8" i="69" s="1"/>
  <c r="AT8" i="69" s="1"/>
  <c r="AU8" i="69" s="1"/>
  <c r="AV8" i="69" s="1"/>
  <c r="AW8" i="69" s="1"/>
  <c r="E333" i="68"/>
  <c r="C233" i="68"/>
  <c r="C234" i="68" s="1"/>
  <c r="C231" i="68"/>
  <c r="C232" i="68" s="1"/>
  <c r="C229" i="68"/>
  <c r="C230" i="68" s="1"/>
  <c r="C103" i="68"/>
  <c r="C69" i="68"/>
  <c r="C70" i="68" s="1"/>
  <c r="C67" i="68"/>
  <c r="C68" i="68" s="1"/>
  <c r="C65" i="68"/>
  <c r="C66" i="68" s="1"/>
  <c r="D195" i="45" l="1"/>
  <c r="C204" i="68"/>
  <c r="C205" i="69"/>
  <c r="EB364" i="71"/>
  <c r="EF364" i="71"/>
  <c r="C102" i="68"/>
  <c r="C104" i="69"/>
  <c r="DW364" i="71"/>
  <c r="EE364" i="71"/>
  <c r="EC364" i="71"/>
  <c r="I83" i="72"/>
  <c r="C203" i="68"/>
  <c r="DX364" i="71"/>
  <c r="DY364" i="71"/>
  <c r="EG364" i="71"/>
  <c r="DZ364" i="71"/>
  <c r="DV364" i="71"/>
  <c r="F19" i="72"/>
  <c r="F21" i="72" s="1"/>
  <c r="C95" i="69"/>
  <c r="F13" i="72"/>
  <c r="EA364" i="71"/>
  <c r="ED364" i="71"/>
  <c r="P208" i="72"/>
  <c r="O206" i="72"/>
  <c r="D196" i="45" l="1"/>
  <c r="O208" i="72"/>
  <c r="P209" i="72"/>
  <c r="D197" i="45" l="1"/>
  <c r="P210" i="72"/>
  <c r="O209" i="72"/>
  <c r="D198" i="45" l="1"/>
  <c r="P211" i="72"/>
  <c r="O210" i="72"/>
  <c r="D199" i="45" l="1"/>
  <c r="O211" i="72"/>
  <c r="P212" i="72"/>
  <c r="D200" i="45" l="1"/>
  <c r="O212" i="72"/>
  <c r="P213" i="72"/>
  <c r="D201" i="45" l="1"/>
  <c r="P214" i="72"/>
  <c r="O213" i="72"/>
  <c r="D202" i="45" l="1"/>
  <c r="P215" i="72"/>
  <c r="O214" i="72"/>
  <c r="D203" i="45" l="1"/>
  <c r="O215" i="72"/>
  <c r="P216" i="72"/>
  <c r="D204" i="45" l="1"/>
  <c r="O216" i="72"/>
  <c r="P217" i="72"/>
  <c r="D205" i="45" l="1"/>
  <c r="P218" i="72"/>
  <c r="O217" i="72"/>
  <c r="D206" i="45" l="1"/>
  <c r="P219" i="72"/>
  <c r="O218" i="72"/>
  <c r="D207" i="45" l="1"/>
  <c r="O219" i="72"/>
  <c r="P220" i="72"/>
  <c r="D208" i="45" l="1"/>
  <c r="O220" i="72"/>
  <c r="P221" i="72"/>
  <c r="D209" i="45" l="1"/>
  <c r="P222" i="72"/>
  <c r="O221" i="72"/>
  <c r="D210" i="45" l="1"/>
  <c r="P223" i="72"/>
  <c r="O222" i="72"/>
  <c r="D211" i="45" l="1"/>
  <c r="P224" i="72"/>
  <c r="O223" i="72"/>
  <c r="D212" i="45" l="1"/>
  <c r="O224" i="72"/>
  <c r="P225" i="72"/>
  <c r="D213" i="45" l="1"/>
  <c r="P226" i="72"/>
  <c r="O226" i="72" s="1"/>
  <c r="O225" i="72"/>
  <c r="D214" i="45" l="1"/>
  <c r="D36" i="67"/>
  <c r="D31" i="67"/>
  <c r="D30" i="67"/>
  <c r="D27" i="67"/>
  <c r="D34" i="67"/>
  <c r="D25" i="67"/>
  <c r="D24" i="67"/>
  <c r="D23" i="67"/>
  <c r="D22" i="67"/>
  <c r="D21" i="67"/>
  <c r="D18" i="67"/>
  <c r="D17" i="67"/>
  <c r="D215" i="45" l="1"/>
  <c r="B5" i="45"/>
  <c r="B6" i="45" s="1"/>
  <c r="B7" i="45" s="1"/>
  <c r="B8" i="45" s="1"/>
  <c r="B9" i="45" s="1"/>
  <c r="B10" i="45" s="1"/>
  <c r="B11" i="45" s="1"/>
  <c r="B12" i="45" s="1"/>
  <c r="B13" i="45" s="1"/>
  <c r="B14" i="45" s="1"/>
  <c r="B15" i="45" s="1"/>
  <c r="B16" i="45" s="1"/>
  <c r="B17" i="45" s="1"/>
  <c r="B18" i="45" s="1"/>
  <c r="B19" i="45" s="1"/>
  <c r="B20" i="45" s="1"/>
  <c r="B21" i="45" s="1"/>
  <c r="B22" i="45" s="1"/>
  <c r="B23" i="45" s="1"/>
  <c r="B24" i="45" s="1"/>
  <c r="B25" i="45" s="1"/>
  <c r="B26" i="45" s="1"/>
  <c r="B27" i="45" s="1"/>
  <c r="B28" i="45" s="1"/>
  <c r="B29" i="45" s="1"/>
  <c r="B30" i="45" s="1"/>
  <c r="B31" i="45" s="1"/>
  <c r="B32" i="45" s="1"/>
  <c r="B33" i="45" s="1"/>
  <c r="B34" i="45" s="1"/>
  <c r="B35" i="45" s="1"/>
  <c r="B36" i="45" s="1"/>
  <c r="B37" i="45" s="1"/>
  <c r="B38" i="45" s="1"/>
  <c r="B39" i="45" s="1"/>
  <c r="B40" i="45" s="1"/>
  <c r="B41" i="45" s="1"/>
  <c r="B42" i="45" s="1"/>
  <c r="B43" i="45" s="1"/>
  <c r="B44" i="45" s="1"/>
  <c r="B45" i="45" s="1"/>
  <c r="B46" i="45" s="1"/>
  <c r="B47" i="45" s="1"/>
  <c r="B48" i="45" s="1"/>
  <c r="B49" i="45" s="1"/>
  <c r="B50" i="45" s="1"/>
  <c r="B51" i="45" s="1"/>
  <c r="B52" i="45" s="1"/>
  <c r="B53" i="45" s="1"/>
  <c r="B54" i="45" s="1"/>
  <c r="B55" i="45" s="1"/>
  <c r="B56" i="45" s="1"/>
  <c r="B57" i="45" s="1"/>
  <c r="B58" i="45" s="1"/>
  <c r="B59" i="45" s="1"/>
  <c r="B60" i="45" s="1"/>
  <c r="B61" i="45" s="1"/>
  <c r="B62" i="45" s="1"/>
  <c r="B63" i="45" s="1"/>
  <c r="B64" i="45" s="1"/>
  <c r="B65" i="45" s="1"/>
  <c r="B66" i="45" s="1"/>
  <c r="B67" i="45" s="1"/>
  <c r="B68" i="45" s="1"/>
  <c r="B69" i="45" s="1"/>
  <c r="B70" i="45" s="1"/>
  <c r="B71" i="45" s="1"/>
  <c r="B72" i="45" s="1"/>
  <c r="B73" i="45" s="1"/>
  <c r="B74" i="45" s="1"/>
  <c r="B75" i="45" s="1"/>
  <c r="B76" i="45" s="1"/>
  <c r="B77" i="45" s="1"/>
  <c r="B78" i="45" s="1"/>
  <c r="B79" i="45" s="1"/>
  <c r="B80" i="45" s="1"/>
  <c r="B81" i="45" s="1"/>
  <c r="B82" i="45" s="1"/>
  <c r="B83" i="45" s="1"/>
  <c r="B84" i="45" s="1"/>
  <c r="B85" i="45" s="1"/>
  <c r="B86" i="45" s="1"/>
  <c r="B87" i="45" s="1"/>
  <c r="B88" i="45" s="1"/>
  <c r="B89" i="45" s="1"/>
  <c r="B90" i="45" s="1"/>
  <c r="B91" i="45" s="1"/>
  <c r="B92" i="45" s="1"/>
  <c r="B93" i="45" s="1"/>
  <c r="B94" i="45" s="1"/>
  <c r="B95" i="45" s="1"/>
  <c r="B96" i="45" s="1"/>
  <c r="B97" i="45" s="1"/>
  <c r="B98" i="45" s="1"/>
  <c r="B99" i="45" s="1"/>
  <c r="B100" i="45" s="1"/>
  <c r="B101" i="45" s="1"/>
  <c r="B102" i="45" s="1"/>
  <c r="B103" i="45" s="1"/>
  <c r="B104" i="45" s="1"/>
  <c r="B105" i="45" s="1"/>
  <c r="B106" i="45" s="1"/>
  <c r="B107" i="45" s="1"/>
  <c r="B108" i="45" s="1"/>
  <c r="B109" i="45" s="1"/>
  <c r="B110" i="45" s="1"/>
  <c r="B111" i="45" s="1"/>
  <c r="B112" i="45" s="1"/>
  <c r="B113" i="45" s="1"/>
  <c r="B114" i="45" s="1"/>
  <c r="B115" i="45" s="1"/>
  <c r="B116" i="45" s="1"/>
  <c r="B117" i="45" s="1"/>
  <c r="B118" i="45" s="1"/>
  <c r="B119" i="45" s="1"/>
  <c r="B120" i="45" s="1"/>
  <c r="B121" i="45" s="1"/>
  <c r="B122" i="45" s="1"/>
  <c r="B123" i="45" s="1"/>
  <c r="B124" i="45" s="1"/>
  <c r="B125" i="45" s="1"/>
  <c r="B126" i="45" s="1"/>
  <c r="B127" i="45" s="1"/>
  <c r="B128" i="45" s="1"/>
  <c r="B129" i="45" s="1"/>
  <c r="B130" i="45" s="1"/>
  <c r="B131" i="45" s="1"/>
  <c r="B132" i="45" s="1"/>
  <c r="B133" i="45" s="1"/>
  <c r="B134" i="45" s="1"/>
  <c r="B135" i="45" s="1"/>
  <c r="B136" i="45" s="1"/>
  <c r="B137" i="45" s="1"/>
  <c r="B138" i="45" s="1"/>
  <c r="B139" i="45" s="1"/>
  <c r="B140" i="45" s="1"/>
  <c r="B141" i="45" s="1"/>
  <c r="B142" i="45" s="1"/>
  <c r="B143" i="45" s="1"/>
  <c r="B144" i="45" s="1"/>
  <c r="B145" i="45" s="1"/>
  <c r="B146" i="45" s="1"/>
  <c r="B147" i="45" s="1"/>
  <c r="B148" i="45" s="1"/>
  <c r="B149" i="45" s="1"/>
  <c r="B150" i="45" s="1"/>
  <c r="B151" i="45" s="1"/>
  <c r="B152" i="45" s="1"/>
  <c r="B153" i="45" s="1"/>
  <c r="B154" i="45" s="1"/>
  <c r="B155" i="45" s="1"/>
  <c r="B156" i="45" s="1"/>
  <c r="B157" i="45" s="1"/>
  <c r="B158" i="45" s="1"/>
  <c r="B159" i="45" s="1"/>
  <c r="B160" i="45" s="1"/>
  <c r="B161" i="45" s="1"/>
  <c r="B162" i="45" s="1"/>
  <c r="B163" i="45" s="1"/>
  <c r="B164" i="45" s="1"/>
  <c r="B165" i="45" s="1"/>
  <c r="B166" i="45" s="1"/>
  <c r="B167" i="45" s="1"/>
  <c r="B168" i="45" s="1"/>
  <c r="B169" i="45" s="1"/>
  <c r="B170" i="45" s="1"/>
  <c r="B171" i="45" s="1"/>
  <c r="B172" i="45" s="1"/>
  <c r="B173" i="45" s="1"/>
  <c r="B174" i="45" s="1"/>
  <c r="B175" i="45" s="1"/>
  <c r="B176" i="45" s="1"/>
  <c r="B177" i="45" s="1"/>
  <c r="B178" i="45" s="1"/>
  <c r="B179" i="45" s="1"/>
  <c r="B180" i="45" s="1"/>
  <c r="B181" i="45" s="1"/>
  <c r="B182" i="45" s="1"/>
  <c r="B183" i="45" s="1"/>
  <c r="B184" i="45" s="1"/>
  <c r="B185" i="45" s="1"/>
  <c r="B186" i="45" s="1"/>
  <c r="B187" i="45" s="1"/>
  <c r="B188" i="45" s="1"/>
  <c r="B189" i="45" s="1"/>
  <c r="B190" i="45" s="1"/>
  <c r="B191" i="45" s="1"/>
  <c r="B192" i="45" s="1"/>
  <c r="B193" i="45" s="1"/>
  <c r="B194" i="45" s="1"/>
  <c r="B195" i="45" s="1"/>
  <c r="B196" i="45" s="1"/>
  <c r="B197" i="45" s="1"/>
  <c r="B198" i="45" s="1"/>
  <c r="B199" i="45" s="1"/>
  <c r="B200" i="45" s="1"/>
  <c r="B201" i="45" s="1"/>
  <c r="B202" i="45" s="1"/>
  <c r="B203" i="45" s="1"/>
  <c r="B204" i="45" s="1"/>
  <c r="B205" i="45" s="1"/>
  <c r="B206" i="45" s="1"/>
  <c r="B207" i="45" s="1"/>
  <c r="B208" i="45" s="1"/>
  <c r="B209" i="45" s="1"/>
  <c r="B210" i="45" s="1"/>
  <c r="B211" i="45" s="1"/>
  <c r="B212" i="45" s="1"/>
  <c r="B213" i="45" s="1"/>
  <c r="B214" i="45" s="1"/>
  <c r="B215" i="45" s="1"/>
  <c r="B216" i="45" s="1"/>
  <c r="B217" i="45" s="1"/>
  <c r="B218" i="45" s="1"/>
  <c r="B219" i="45" s="1"/>
  <c r="B220" i="45" s="1"/>
  <c r="B221" i="45" s="1"/>
  <c r="B222" i="45" s="1"/>
  <c r="B223" i="45" s="1"/>
  <c r="B224" i="45" s="1"/>
  <c r="B225" i="45" s="1"/>
  <c r="B226" i="45" s="1"/>
  <c r="B227" i="45" s="1"/>
  <c r="B228" i="45" s="1"/>
  <c r="B229" i="45" s="1"/>
  <c r="B230" i="45" s="1"/>
  <c r="B231" i="45" s="1"/>
  <c r="B232" i="45" s="1"/>
  <c r="B233" i="45" s="1"/>
  <c r="B234" i="45" s="1"/>
  <c r="B235" i="45" s="1"/>
  <c r="B236" i="45" s="1"/>
  <c r="B237" i="45" s="1"/>
  <c r="B238" i="45" s="1"/>
  <c r="B239" i="45" s="1"/>
  <c r="B240" i="45" s="1"/>
  <c r="B241" i="45" s="1"/>
  <c r="B242" i="45" s="1"/>
  <c r="B243" i="45" s="1"/>
  <c r="B244" i="45" s="1"/>
  <c r="B245" i="45" s="1"/>
  <c r="B246" i="45" s="1"/>
  <c r="B247" i="45" s="1"/>
  <c r="B248" i="45" s="1"/>
  <c r="B249" i="45" s="1"/>
  <c r="B250" i="45" s="1"/>
  <c r="B251" i="45" s="1"/>
  <c r="B252" i="45" s="1"/>
  <c r="B253" i="45" s="1"/>
  <c r="B254" i="45" s="1"/>
  <c r="B255" i="45" s="1"/>
  <c r="B256" i="45" s="1"/>
  <c r="B257" i="45" s="1"/>
  <c r="B258" i="45" s="1"/>
  <c r="B259" i="45" s="1"/>
  <c r="B260" i="45" s="1"/>
  <c r="B261" i="45" s="1"/>
  <c r="B262" i="45" s="1"/>
  <c r="B263" i="45" s="1"/>
  <c r="B264" i="45" s="1"/>
  <c r="B265" i="45" s="1"/>
  <c r="B266" i="45" s="1"/>
  <c r="B267" i="45" s="1"/>
  <c r="B268" i="45" s="1"/>
  <c r="B269" i="45" s="1"/>
  <c r="B270" i="45" s="1"/>
  <c r="B271" i="45" s="1"/>
  <c r="B272" i="45" s="1"/>
  <c r="B273" i="45" s="1"/>
  <c r="B274" i="45" s="1"/>
  <c r="B275" i="45" s="1"/>
  <c r="B276" i="45" s="1"/>
  <c r="B277" i="45" s="1"/>
  <c r="B278" i="45" s="1"/>
  <c r="B279" i="45" s="1"/>
  <c r="B280" i="45" s="1"/>
  <c r="B281" i="45" s="1"/>
  <c r="B282" i="45" s="1"/>
  <c r="B283" i="45" s="1"/>
  <c r="B284" i="45" s="1"/>
  <c r="B285" i="45" s="1"/>
  <c r="B286" i="45" s="1"/>
  <c r="B287" i="45" s="1"/>
  <c r="B288" i="45" s="1"/>
  <c r="B289" i="45" s="1"/>
  <c r="B290" i="45" s="1"/>
  <c r="B291" i="45" s="1"/>
  <c r="B292" i="45" s="1"/>
  <c r="B293" i="45" s="1"/>
  <c r="B294" i="45" s="1"/>
  <c r="B295" i="45" s="1"/>
  <c r="B296" i="45" s="1"/>
  <c r="B297" i="45" s="1"/>
  <c r="B298" i="45" s="1"/>
  <c r="B299" i="45" s="1"/>
  <c r="B300" i="45" s="1"/>
  <c r="B301" i="45" s="1"/>
  <c r="B302" i="45" s="1"/>
  <c r="B303" i="45" s="1"/>
  <c r="B304" i="45" s="1"/>
  <c r="B305" i="45" s="1"/>
  <c r="B306" i="45" s="1"/>
  <c r="B307" i="45" s="1"/>
  <c r="B308" i="45" s="1"/>
  <c r="B309" i="45" s="1"/>
  <c r="B310" i="45" s="1"/>
  <c r="B311" i="45" s="1"/>
  <c r="B312" i="45" s="1"/>
  <c r="B313" i="45" s="1"/>
  <c r="B314" i="45" s="1"/>
  <c r="B315" i="45" s="1"/>
  <c r="B316" i="45" s="1"/>
  <c r="B317" i="45" s="1"/>
  <c r="B318" i="45" s="1"/>
  <c r="B319" i="45" s="1"/>
  <c r="B320" i="45" s="1"/>
  <c r="B321" i="45" s="1"/>
  <c r="B322" i="45" s="1"/>
  <c r="B323" i="45" s="1"/>
  <c r="B324" i="45" s="1"/>
  <c r="B325" i="45" s="1"/>
  <c r="B326" i="45" s="1"/>
  <c r="B327" i="45" s="1"/>
  <c r="B328" i="45" s="1"/>
  <c r="B329" i="45" s="1"/>
  <c r="B330" i="45" s="1"/>
  <c r="B331" i="45" s="1"/>
  <c r="B332" i="45" s="1"/>
  <c r="B333" i="45" s="1"/>
  <c r="B334" i="45" s="1"/>
  <c r="B335" i="45" s="1"/>
  <c r="B336" i="45" s="1"/>
  <c r="B337" i="45" s="1"/>
  <c r="B338" i="45" s="1"/>
  <c r="B339" i="45" s="1"/>
  <c r="B340" i="45" s="1"/>
  <c r="B341" i="45" s="1"/>
  <c r="B342" i="45" s="1"/>
  <c r="B343" i="45" s="1"/>
  <c r="B344" i="45" s="1"/>
  <c r="B345" i="45" s="1"/>
  <c r="B346" i="45" s="1"/>
  <c r="B347" i="45" s="1"/>
  <c r="B348" i="45" s="1"/>
  <c r="B349" i="45" s="1"/>
  <c r="B350" i="45" s="1"/>
  <c r="B351" i="45" s="1"/>
  <c r="B352" i="45" s="1"/>
  <c r="B353" i="45" s="1"/>
  <c r="B354" i="45" s="1"/>
  <c r="B355" i="45" s="1"/>
  <c r="B356" i="45" s="1"/>
  <c r="B357" i="45" s="1"/>
  <c r="B358" i="45" s="1"/>
  <c r="B359" i="45" s="1"/>
  <c r="B360" i="45" s="1"/>
  <c r="B361" i="45" s="1"/>
  <c r="B362" i="45" s="1"/>
  <c r="B363" i="45" s="1"/>
  <c r="B364" i="45" s="1"/>
  <c r="B365" i="45" s="1"/>
  <c r="B366" i="45" s="1"/>
  <c r="B367" i="45" s="1"/>
  <c r="B368" i="45" s="1"/>
  <c r="B369" i="45" s="1"/>
  <c r="B370" i="45" s="1"/>
  <c r="B371" i="45" s="1"/>
  <c r="B372" i="45" s="1"/>
  <c r="B373" i="45" s="1"/>
  <c r="B374" i="45" s="1"/>
  <c r="B375" i="45" s="1"/>
  <c r="B376" i="45" s="1"/>
  <c r="B377" i="45" s="1"/>
  <c r="B378" i="45" s="1"/>
  <c r="B379" i="45" s="1"/>
  <c r="B380" i="45" s="1"/>
  <c r="B381" i="45" s="1"/>
  <c r="B382" i="45" s="1"/>
  <c r="B383" i="45" s="1"/>
  <c r="B384" i="45" s="1"/>
  <c r="B385" i="45" s="1"/>
  <c r="B386" i="45" s="1"/>
  <c r="B387" i="45" s="1"/>
  <c r="B388" i="45" s="1"/>
  <c r="B389" i="45" s="1"/>
  <c r="B390" i="45" s="1"/>
  <c r="B391" i="45" s="1"/>
  <c r="B392" i="45" s="1"/>
  <c r="B393" i="45" s="1"/>
  <c r="B394" i="45" s="1"/>
  <c r="B395" i="45" s="1"/>
  <c r="B396" i="45" s="1"/>
  <c r="B397" i="45" s="1"/>
  <c r="B398" i="45" s="1"/>
  <c r="B399" i="45" s="1"/>
  <c r="B400" i="45" s="1"/>
  <c r="B401" i="45" s="1"/>
  <c r="B402" i="45" s="1"/>
  <c r="B403" i="45" s="1"/>
  <c r="B404" i="45" s="1"/>
  <c r="B405" i="45" s="1"/>
  <c r="B406" i="45" s="1"/>
  <c r="B407" i="45" s="1"/>
  <c r="B408" i="45" s="1"/>
  <c r="B409" i="45" s="1"/>
  <c r="B410" i="45" s="1"/>
  <c r="B411" i="45" s="1"/>
  <c r="B412" i="45" s="1"/>
  <c r="B413" i="45" s="1"/>
  <c r="B414" i="45" s="1"/>
  <c r="B415" i="45" s="1"/>
  <c r="B416" i="45" s="1"/>
  <c r="B417" i="45" s="1"/>
  <c r="B418" i="45" s="1"/>
  <c r="B419" i="45" s="1"/>
  <c r="B420" i="45" s="1"/>
  <c r="B421" i="45" s="1"/>
  <c r="B422" i="45" s="1"/>
  <c r="B423" i="45" s="1"/>
  <c r="B424" i="45" s="1"/>
  <c r="B425" i="45" s="1"/>
  <c r="B426" i="45" s="1"/>
  <c r="B427" i="45" s="1"/>
  <c r="B428" i="45" s="1"/>
  <c r="B429" i="45" s="1"/>
  <c r="B430" i="45" s="1"/>
  <c r="B431" i="45" s="1"/>
  <c r="B432" i="45" s="1"/>
  <c r="B433" i="45" s="1"/>
  <c r="B434" i="45" s="1"/>
  <c r="B435" i="45" s="1"/>
  <c r="B436" i="45" s="1"/>
  <c r="B437" i="45" s="1"/>
  <c r="B438" i="45" s="1"/>
  <c r="B439" i="45" s="1"/>
  <c r="B440" i="45" s="1"/>
  <c r="B441" i="45" s="1"/>
  <c r="B442" i="45" s="1"/>
  <c r="B443" i="45" s="1"/>
  <c r="B444" i="45" s="1"/>
  <c r="B445" i="45" s="1"/>
  <c r="B446" i="45" s="1"/>
  <c r="B447" i="45" s="1"/>
  <c r="B448" i="45" s="1"/>
  <c r="B449" i="45" s="1"/>
  <c r="B450" i="45" s="1"/>
  <c r="B451" i="45" s="1"/>
  <c r="B452" i="45" s="1"/>
  <c r="B453" i="45" s="1"/>
  <c r="B454" i="45" s="1"/>
  <c r="B455" i="45" s="1"/>
  <c r="B456" i="45" s="1"/>
  <c r="B457" i="45" s="1"/>
  <c r="B458" i="45" s="1"/>
  <c r="B459" i="45" s="1"/>
  <c r="D216" i="45" l="1"/>
  <c r="F100" i="1"/>
  <c r="H138" i="23"/>
  <c r="H117" i="23"/>
  <c r="H114" i="23"/>
  <c r="H98" i="23"/>
  <c r="H90" i="23"/>
  <c r="H79" i="23"/>
  <c r="H55" i="23"/>
  <c r="H43" i="23"/>
  <c r="H39" i="23"/>
  <c r="H35" i="23"/>
  <c r="H31" i="23"/>
  <c r="H14" i="23"/>
  <c r="H11" i="23"/>
  <c r="D217" i="45" l="1"/>
  <c r="P100" i="1"/>
  <c r="D218" i="45" l="1"/>
  <c r="D19" i="67"/>
  <c r="D219" i="45" l="1"/>
  <c r="S29" i="64"/>
  <c r="S29" i="42"/>
  <c r="D220" i="45" l="1"/>
  <c r="D221" i="45" l="1"/>
  <c r="C45" i="1"/>
  <c r="O14" i="17"/>
  <c r="D222" i="45" l="1"/>
  <c r="B14" i="55"/>
  <c r="D223" i="45" l="1"/>
  <c r="R29" i="42"/>
  <c r="R29" i="64"/>
  <c r="B3" i="2"/>
  <c r="B3" i="30" s="1"/>
  <c r="AG3" i="75" l="1"/>
  <c r="D224" i="45"/>
  <c r="E4" i="68"/>
  <c r="F8" i="72"/>
  <c r="E4" i="69"/>
  <c r="E4" i="71"/>
  <c r="R30" i="64"/>
  <c r="R30" i="42"/>
  <c r="R31" i="42"/>
  <c r="D14" i="96" s="1"/>
  <c r="R31" i="64"/>
  <c r="AG6" i="75" a="1"/>
  <c r="T3" i="75"/>
  <c r="L6" i="73"/>
  <c r="U3" i="75"/>
  <c r="D225" i="45"/>
  <c r="E12" i="71"/>
  <c r="E37" i="71" s="1"/>
  <c r="E451" i="71"/>
  <c r="E310" i="71"/>
  <c r="F4" i="71"/>
  <c r="E6" i="71"/>
  <c r="E22" i="71"/>
  <c r="E119" i="71" s="1"/>
  <c r="E271" i="71"/>
  <c r="E288" i="71"/>
  <c r="E5" i="71"/>
  <c r="E660" i="71"/>
  <c r="E183" i="71" s="1"/>
  <c r="E9" i="69"/>
  <c r="F4" i="69"/>
  <c r="E6" i="69"/>
  <c r="E5" i="69"/>
  <c r="E7" i="69" s="1"/>
  <c r="C574" i="71"/>
  <c r="F42" i="70"/>
  <c r="E5" i="68"/>
  <c r="E6" i="68"/>
  <c r="F4" i="68"/>
  <c r="E162" i="1"/>
  <c r="D161" i="1"/>
  <c r="D160" i="1"/>
  <c r="D159" i="1"/>
  <c r="D158" i="1"/>
  <c r="D157" i="1"/>
  <c r="D156" i="1"/>
  <c r="D155" i="1"/>
  <c r="D154" i="1"/>
  <c r="D153" i="1"/>
  <c r="D152" i="1"/>
  <c r="D151" i="1"/>
  <c r="D150" i="1"/>
  <c r="D149" i="1"/>
  <c r="D148" i="1"/>
  <c r="D147" i="1"/>
  <c r="D146" i="1"/>
  <c r="D145" i="1"/>
  <c r="D144" i="1"/>
  <c r="D143" i="1"/>
  <c r="D142" i="1"/>
  <c r="D141" i="1"/>
  <c r="D140" i="1"/>
  <c r="D139" i="1"/>
  <c r="D138" i="1"/>
  <c r="D137" i="1"/>
  <c r="D136" i="1"/>
  <c r="D187" i="1"/>
  <c r="D186" i="1"/>
  <c r="D185" i="1"/>
  <c r="D184" i="1"/>
  <c r="D183" i="1"/>
  <c r="D182" i="1"/>
  <c r="D181" i="1"/>
  <c r="D180" i="1"/>
  <c r="D179" i="1"/>
  <c r="D178" i="1"/>
  <c r="D177" i="1"/>
  <c r="D176" i="1"/>
  <c r="D175" i="1"/>
  <c r="D174" i="1"/>
  <c r="D173" i="1"/>
  <c r="D172" i="1"/>
  <c r="D171" i="1"/>
  <c r="D170" i="1"/>
  <c r="D169" i="1"/>
  <c r="D168" i="1"/>
  <c r="T6" i="75" a="1"/>
  <c r="U6" i="75" a="1"/>
  <c r="D226" i="45"/>
  <c r="F5" i="68"/>
  <c r="F7" i="68" s="1"/>
  <c r="G4" i="68"/>
  <c r="F6" i="68"/>
  <c r="F5" i="69"/>
  <c r="F7" i="69" s="1"/>
  <c r="F6" i="69"/>
  <c r="F9" i="69"/>
  <c r="G4" i="69"/>
  <c r="F660" i="71"/>
  <c r="G4" i="71"/>
  <c r="F22" i="71"/>
  <c r="F5" i="71"/>
  <c r="F6" i="71"/>
  <c r="F12" i="71"/>
  <c r="E33" i="71" s="1"/>
  <c r="E130" i="71" s="1"/>
  <c r="E7" i="68"/>
  <c r="E48" i="73"/>
  <c r="F451" i="71"/>
  <c r="E32" i="71"/>
  <c r="E129" i="71" s="1"/>
  <c r="E180" i="71"/>
  <c r="E31" i="71" s="1"/>
  <c r="E128" i="71" s="1"/>
  <c r="E21" i="71"/>
  <c r="F8" i="71"/>
  <c r="E20" i="71"/>
  <c r="E7" i="71"/>
  <c r="E134" i="71"/>
  <c r="E373" i="71"/>
  <c r="E348" i="71"/>
  <c r="E60" i="7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248" i="1"/>
  <c r="M177" i="1"/>
  <c r="D220" i="1"/>
  <c r="M212" i="1"/>
  <c r="I212" i="1"/>
  <c r="D208" i="1"/>
  <c r="E188" i="1"/>
  <c r="D188" i="1" s="1"/>
  <c r="D162" i="1"/>
  <c r="D221" i="1" l="1"/>
  <c r="D227" i="45"/>
  <c r="G6" i="69"/>
  <c r="G5" i="69"/>
  <c r="G7" i="69" s="1"/>
  <c r="H4" i="69"/>
  <c r="G9" i="69"/>
  <c r="E117" i="71"/>
  <c r="E47" i="71"/>
  <c r="E118" i="71"/>
  <c r="E48" i="71"/>
  <c r="F21" i="71"/>
  <c r="G8" i="71"/>
  <c r="F7" i="71"/>
  <c r="F20" i="71"/>
  <c r="F48" i="73"/>
  <c r="G451" i="71"/>
  <c r="G5" i="68"/>
  <c r="G7" i="68" s="1"/>
  <c r="H4" i="68"/>
  <c r="G6" i="68"/>
  <c r="G12" i="71"/>
  <c r="F33" i="71" s="1"/>
  <c r="G660" i="71"/>
  <c r="G5" i="71"/>
  <c r="H4" i="71"/>
  <c r="G6" i="71"/>
  <c r="G22" i="71"/>
  <c r="D228" i="45" l="1"/>
  <c r="G20" i="71"/>
  <c r="G7" i="71"/>
  <c r="H8" i="71"/>
  <c r="G21" i="71"/>
  <c r="G48" i="73"/>
  <c r="H451" i="71"/>
  <c r="H6" i="69"/>
  <c r="I4" i="69"/>
  <c r="H9" i="69"/>
  <c r="H5" i="69"/>
  <c r="H7" i="69" s="1"/>
  <c r="H12" i="71"/>
  <c r="G33" i="71" s="1"/>
  <c r="H660" i="71"/>
  <c r="H6" i="71"/>
  <c r="H5" i="71"/>
  <c r="H22" i="71"/>
  <c r="I4" i="71"/>
  <c r="I4" i="68"/>
  <c r="H6" i="68"/>
  <c r="H5" i="68"/>
  <c r="H7" i="68" s="1"/>
  <c r="N54" i="17"/>
  <c r="M54" i="17" s="1"/>
  <c r="D229" i="45" l="1"/>
  <c r="Y58" i="17"/>
  <c r="Y59" i="17" s="1"/>
  <c r="I9" i="69"/>
  <c r="I5" i="69"/>
  <c r="I7" i="69" s="1"/>
  <c r="J4" i="69"/>
  <c r="I6" i="69"/>
  <c r="J4" i="68"/>
  <c r="I6" i="68"/>
  <c r="I5" i="68"/>
  <c r="I7" i="68" s="1"/>
  <c r="I660" i="71"/>
  <c r="I12" i="71"/>
  <c r="H33" i="71" s="1"/>
  <c r="I22" i="71"/>
  <c r="J4" i="71"/>
  <c r="I5" i="71"/>
  <c r="I6" i="71"/>
  <c r="H48" i="73"/>
  <c r="I451" i="71"/>
  <c r="H20" i="71"/>
  <c r="H21" i="71"/>
  <c r="H7" i="71"/>
  <c r="I8" i="71"/>
  <c r="O66" i="64"/>
  <c r="O65" i="64"/>
  <c r="O64" i="64"/>
  <c r="I57" i="64"/>
  <c r="I55" i="64"/>
  <c r="I54" i="64"/>
  <c r="R39" i="64"/>
  <c r="Q39" i="64"/>
  <c r="O39" i="64"/>
  <c r="C33" i="64"/>
  <c r="E32" i="64"/>
  <c r="F29" i="64"/>
  <c r="E29" i="64"/>
  <c r="D29" i="64"/>
  <c r="M24" i="64"/>
  <c r="A23" i="64"/>
  <c r="A20" i="64"/>
  <c r="S15" i="64"/>
  <c r="N14" i="64"/>
  <c r="M14" i="64"/>
  <c r="K14" i="64"/>
  <c r="J14" i="64"/>
  <c r="S13" i="64"/>
  <c r="L15" i="73" s="1"/>
  <c r="S12" i="64"/>
  <c r="L14" i="73" s="1"/>
  <c r="S11" i="64"/>
  <c r="L13" i="73" s="1"/>
  <c r="S10" i="64"/>
  <c r="L12" i="73" s="1"/>
  <c r="J8" i="64"/>
  <c r="N7" i="64"/>
  <c r="A1" i="64"/>
  <c r="D32" i="64"/>
  <c r="D230" i="45" l="1"/>
  <c r="J9" i="69"/>
  <c r="J5" i="69"/>
  <c r="J7" i="69" s="1"/>
  <c r="J6" i="69"/>
  <c r="K4" i="69"/>
  <c r="K4" i="68"/>
  <c r="J6" i="68"/>
  <c r="J5" i="68"/>
  <c r="J7" i="68" s="1"/>
  <c r="I20" i="71"/>
  <c r="I7" i="71"/>
  <c r="I21" i="71"/>
  <c r="J8" i="71"/>
  <c r="I48" i="73"/>
  <c r="J451" i="71"/>
  <c r="J22" i="71"/>
  <c r="K4" i="71"/>
  <c r="J6" i="71"/>
  <c r="J12" i="71"/>
  <c r="I33" i="71" s="1"/>
  <c r="J5" i="71"/>
  <c r="J660" i="71"/>
  <c r="D231" i="45" l="1"/>
  <c r="K5" i="71"/>
  <c r="K6" i="71"/>
  <c r="K660" i="71"/>
  <c r="K22" i="71"/>
  <c r="L4" i="71"/>
  <c r="K12" i="71"/>
  <c r="J33" i="71" s="1"/>
  <c r="K9" i="69"/>
  <c r="L4" i="69"/>
  <c r="K5" i="69"/>
  <c r="K7" i="69" s="1"/>
  <c r="K6" i="69"/>
  <c r="K5" i="68"/>
  <c r="K7" i="68" s="1"/>
  <c r="L4" i="68"/>
  <c r="K6" i="68"/>
  <c r="J7" i="71"/>
  <c r="J21" i="71"/>
  <c r="K8" i="71"/>
  <c r="J20" i="71"/>
  <c r="K48" i="73"/>
  <c r="K451" i="71"/>
  <c r="C66" i="57"/>
  <c r="J66" i="57"/>
  <c r="K66" i="57"/>
  <c r="M66" i="57"/>
  <c r="N66" i="57"/>
  <c r="C67" i="57"/>
  <c r="G67" i="57"/>
  <c r="H67" i="57"/>
  <c r="J67" i="57"/>
  <c r="K67" i="57"/>
  <c r="M67" i="57"/>
  <c r="N67" i="57"/>
  <c r="C68" i="57"/>
  <c r="C69" i="57"/>
  <c r="J69" i="57"/>
  <c r="C70" i="57"/>
  <c r="C71" i="57"/>
  <c r="J71" i="57"/>
  <c r="C72" i="57"/>
  <c r="C60" i="57"/>
  <c r="I60" i="57"/>
  <c r="J60" i="57"/>
  <c r="K60" i="57"/>
  <c r="L60" i="57"/>
  <c r="M60" i="57"/>
  <c r="N60" i="57"/>
  <c r="C61" i="57"/>
  <c r="G61" i="57"/>
  <c r="H61" i="57"/>
  <c r="I61" i="57"/>
  <c r="J61" i="57"/>
  <c r="K61" i="57"/>
  <c r="L61" i="57"/>
  <c r="M61" i="57"/>
  <c r="N61" i="57"/>
  <c r="C62" i="57"/>
  <c r="C63" i="57"/>
  <c r="C64" i="57"/>
  <c r="C54" i="57"/>
  <c r="C55" i="57"/>
  <c r="C56" i="57"/>
  <c r="C57" i="57"/>
  <c r="C58" i="57"/>
  <c r="H47" i="57"/>
  <c r="H49" i="57"/>
  <c r="C50" i="57"/>
  <c r="N15" i="64"/>
  <c r="M15" i="64"/>
  <c r="K15" i="64"/>
  <c r="J15" i="64"/>
  <c r="D232" i="45" l="1"/>
  <c r="K21" i="71"/>
  <c r="L8" i="71"/>
  <c r="K7" i="71"/>
  <c r="K20" i="71"/>
  <c r="L5" i="68"/>
  <c r="L7" i="68" s="1"/>
  <c r="M4" i="68"/>
  <c r="L6" i="68"/>
  <c r="M4" i="69"/>
  <c r="L5" i="69"/>
  <c r="L7" i="69" s="1"/>
  <c r="L6" i="69"/>
  <c r="L9" i="69"/>
  <c r="L660" i="71"/>
  <c r="L12" i="71"/>
  <c r="K33" i="71" s="1"/>
  <c r="L5" i="71"/>
  <c r="L6" i="71"/>
  <c r="L22" i="71"/>
  <c r="M4" i="71"/>
  <c r="L48" i="73"/>
  <c r="L451" i="71"/>
  <c r="D40" i="64"/>
  <c r="D233" i="45" l="1"/>
  <c r="L21" i="71"/>
  <c r="M8" i="71"/>
  <c r="L20" i="71"/>
  <c r="L7" i="71"/>
  <c r="M9" i="69"/>
  <c r="M5" i="69"/>
  <c r="M7" i="69" s="1"/>
  <c r="M6" i="69"/>
  <c r="N4" i="69"/>
  <c r="M6" i="68"/>
  <c r="M5" i="68"/>
  <c r="M7" i="68" s="1"/>
  <c r="N4" i="68"/>
  <c r="N48" i="73"/>
  <c r="M451" i="71"/>
  <c r="M5" i="71"/>
  <c r="M22" i="71"/>
  <c r="M660" i="71"/>
  <c r="M6" i="71"/>
  <c r="M12" i="71"/>
  <c r="L33" i="71" s="1"/>
  <c r="N4" i="71"/>
  <c r="A45" i="20"/>
  <c r="A30" i="20"/>
  <c r="A29" i="20"/>
  <c r="A41" i="21"/>
  <c r="A42" i="21"/>
  <c r="D234" i="45" l="1"/>
  <c r="N12" i="71"/>
  <c r="M33" i="71" s="1"/>
  <c r="N5" i="71"/>
  <c r="N660" i="71"/>
  <c r="N22" i="71"/>
  <c r="O4" i="71"/>
  <c r="N6" i="71"/>
  <c r="N9" i="69"/>
  <c r="N6" i="69"/>
  <c r="N5" i="69"/>
  <c r="N7" i="69" s="1"/>
  <c r="O4" i="69"/>
  <c r="O48" i="73"/>
  <c r="M21" i="71"/>
  <c r="N8" i="71"/>
  <c r="M20" i="71"/>
  <c r="M7" i="71"/>
  <c r="O4" i="68"/>
  <c r="N6" i="68"/>
  <c r="N5" i="68"/>
  <c r="N7" i="68" s="1"/>
  <c r="D235" i="45" l="1"/>
  <c r="N20" i="71"/>
  <c r="N7" i="71"/>
  <c r="O8" i="71"/>
  <c r="N21" i="71"/>
  <c r="O6" i="69"/>
  <c r="P4" i="69"/>
  <c r="O9" i="69"/>
  <c r="O5" i="69"/>
  <c r="O7" i="69" s="1"/>
  <c r="O12" i="71"/>
  <c r="N33" i="71" s="1"/>
  <c r="O5" i="71"/>
  <c r="O6" i="71"/>
  <c r="O660" i="71"/>
  <c r="P4" i="71"/>
  <c r="O22" i="71"/>
  <c r="P4" i="68"/>
  <c r="O6" i="68"/>
  <c r="O5" i="68"/>
  <c r="O7" i="68" s="1"/>
  <c r="Q219" i="3"/>
  <c r="Q220" i="3"/>
  <c r="Q221" i="3"/>
  <c r="Q222" i="3"/>
  <c r="Q223" i="3"/>
  <c r="Q224" i="3"/>
  <c r="Q225" i="3"/>
  <c r="Q226" i="3"/>
  <c r="Q227" i="3"/>
  <c r="Q228" i="3"/>
  <c r="Q229" i="3"/>
  <c r="Q230" i="3"/>
  <c r="D236" i="45" l="1"/>
  <c r="P5" i="68"/>
  <c r="P7" i="68" s="1"/>
  <c r="P6" i="68"/>
  <c r="P6" i="69"/>
  <c r="Q4" i="69"/>
  <c r="P5" i="69"/>
  <c r="P7" i="69" s="1"/>
  <c r="P9" i="69"/>
  <c r="Q4" i="71"/>
  <c r="P12" i="71"/>
  <c r="O33" i="71" s="1"/>
  <c r="P6" i="71"/>
  <c r="P5" i="71"/>
  <c r="P22" i="71"/>
  <c r="P660" i="71"/>
  <c r="O7" i="71"/>
  <c r="P8" i="71"/>
  <c r="O21" i="71"/>
  <c r="O20" i="71"/>
  <c r="N83" i="57"/>
  <c r="M83" i="57"/>
  <c r="J97" i="57"/>
  <c r="J96" i="57"/>
  <c r="J95" i="57"/>
  <c r="J94" i="57"/>
  <c r="J93" i="57"/>
  <c r="J92" i="57"/>
  <c r="J90" i="57"/>
  <c r="J89" i="57"/>
  <c r="J88" i="57"/>
  <c r="G88" i="57"/>
  <c r="F88" i="57"/>
  <c r="E88" i="57"/>
  <c r="D88" i="57"/>
  <c r="J87" i="57"/>
  <c r="G87" i="57"/>
  <c r="F87" i="57"/>
  <c r="E87" i="57"/>
  <c r="D87" i="57"/>
  <c r="J86" i="57"/>
  <c r="G86" i="57"/>
  <c r="F86" i="57"/>
  <c r="E86" i="57"/>
  <c r="D86" i="57"/>
  <c r="J85" i="57"/>
  <c r="G85" i="57"/>
  <c r="F85" i="57"/>
  <c r="E85" i="57"/>
  <c r="D85" i="57"/>
  <c r="J84" i="57"/>
  <c r="G84" i="57"/>
  <c r="F84" i="57"/>
  <c r="E84" i="57"/>
  <c r="D84" i="57"/>
  <c r="G83" i="57"/>
  <c r="F83" i="57"/>
  <c r="F89" i="57" s="1"/>
  <c r="E83" i="57"/>
  <c r="D83" i="57"/>
  <c r="J82" i="57"/>
  <c r="G82" i="57"/>
  <c r="F82" i="57"/>
  <c r="E82" i="57"/>
  <c r="D82" i="57"/>
  <c r="C82" i="57"/>
  <c r="C78" i="57"/>
  <c r="L49" i="57"/>
  <c r="I49" i="57"/>
  <c r="G49" i="57"/>
  <c r="C49" i="57"/>
  <c r="C48" i="57"/>
  <c r="N47" i="57"/>
  <c r="M47" i="57"/>
  <c r="L47" i="57"/>
  <c r="K47" i="57"/>
  <c r="J47" i="57"/>
  <c r="I47" i="57"/>
  <c r="G47" i="57"/>
  <c r="N46" i="57"/>
  <c r="M46" i="57"/>
  <c r="K46" i="57"/>
  <c r="J46" i="57"/>
  <c r="I46" i="57"/>
  <c r="C46" i="57"/>
  <c r="C76" i="57"/>
  <c r="N75" i="57"/>
  <c r="M75" i="57"/>
  <c r="L75" i="57"/>
  <c r="K75" i="57"/>
  <c r="J75" i="57"/>
  <c r="H75" i="57"/>
  <c r="G75" i="57"/>
  <c r="N74" i="57"/>
  <c r="M74" i="57"/>
  <c r="K74" i="57"/>
  <c r="J74" i="57"/>
  <c r="C74" i="57"/>
  <c r="C44" i="57"/>
  <c r="J43" i="57"/>
  <c r="G43" i="57"/>
  <c r="C43" i="57"/>
  <c r="J42" i="57"/>
  <c r="G42" i="57"/>
  <c r="C42" i="57"/>
  <c r="J41" i="57"/>
  <c r="C41" i="57"/>
  <c r="J40" i="57"/>
  <c r="G40" i="57"/>
  <c r="C40" i="57"/>
  <c r="N39" i="57"/>
  <c r="M39" i="57"/>
  <c r="K39" i="57"/>
  <c r="J39" i="57"/>
  <c r="H39" i="57"/>
  <c r="G39" i="57"/>
  <c r="C39" i="57"/>
  <c r="N38" i="57"/>
  <c r="M38" i="57"/>
  <c r="K38" i="57"/>
  <c r="J38" i="57"/>
  <c r="C38" i="57"/>
  <c r="C36" i="57"/>
  <c r="C35" i="57"/>
  <c r="C34" i="57"/>
  <c r="C33" i="57"/>
  <c r="C32" i="57"/>
  <c r="N31" i="57"/>
  <c r="M31" i="57"/>
  <c r="L31" i="57"/>
  <c r="K31" i="57"/>
  <c r="J31" i="57"/>
  <c r="I31" i="57"/>
  <c r="H31" i="57"/>
  <c r="G31" i="57"/>
  <c r="C31" i="57"/>
  <c r="N30" i="57"/>
  <c r="M30" i="57"/>
  <c r="K30" i="57"/>
  <c r="J30" i="57"/>
  <c r="C30" i="57"/>
  <c r="O28" i="57"/>
  <c r="C28" i="57"/>
  <c r="O27" i="57"/>
  <c r="I27" i="57"/>
  <c r="G27" i="57"/>
  <c r="F27" i="57"/>
  <c r="E27" i="57"/>
  <c r="D27" i="57"/>
  <c r="C27" i="57"/>
  <c r="O26" i="57"/>
  <c r="I26" i="57"/>
  <c r="G26" i="57"/>
  <c r="F26" i="57"/>
  <c r="E26" i="57"/>
  <c r="D26" i="57"/>
  <c r="C26" i="57"/>
  <c r="O25" i="57"/>
  <c r="I25" i="57"/>
  <c r="G25" i="57"/>
  <c r="F25" i="57"/>
  <c r="E25" i="57"/>
  <c r="D25" i="57"/>
  <c r="C25" i="57"/>
  <c r="O24" i="57"/>
  <c r="I24" i="57"/>
  <c r="G24" i="57"/>
  <c r="F24" i="57"/>
  <c r="E24" i="57"/>
  <c r="D24" i="57"/>
  <c r="C24" i="57"/>
  <c r="O23" i="57"/>
  <c r="I23" i="57"/>
  <c r="G23" i="57"/>
  <c r="F23" i="57"/>
  <c r="E23" i="57"/>
  <c r="D23" i="57"/>
  <c r="C23" i="57"/>
  <c r="O22" i="57"/>
  <c r="I22" i="57"/>
  <c r="G22" i="57"/>
  <c r="F22" i="57"/>
  <c r="E22" i="57"/>
  <c r="D22" i="57"/>
  <c r="C22" i="57"/>
  <c r="O21" i="57"/>
  <c r="I21" i="57"/>
  <c r="G21" i="57"/>
  <c r="F21" i="57"/>
  <c r="E21" i="57"/>
  <c r="D21" i="57"/>
  <c r="C21" i="57"/>
  <c r="O20" i="57"/>
  <c r="I20" i="57"/>
  <c r="G20" i="57"/>
  <c r="F20" i="57"/>
  <c r="E20" i="57"/>
  <c r="D20" i="57"/>
  <c r="C20" i="57"/>
  <c r="O19" i="57"/>
  <c r="I19" i="57"/>
  <c r="G19" i="57"/>
  <c r="F19" i="57"/>
  <c r="E19" i="57"/>
  <c r="D19" i="57"/>
  <c r="C19" i="57"/>
  <c r="O18" i="57"/>
  <c r="I18" i="57"/>
  <c r="G18" i="57"/>
  <c r="F18" i="57"/>
  <c r="E18" i="57"/>
  <c r="D18" i="57"/>
  <c r="C18" i="57"/>
  <c r="O17" i="57"/>
  <c r="I17" i="57"/>
  <c r="G17" i="57"/>
  <c r="F17" i="57"/>
  <c r="E17" i="57"/>
  <c r="D17" i="57"/>
  <c r="C17" i="57"/>
  <c r="O16" i="57"/>
  <c r="I16" i="57"/>
  <c r="G16" i="57"/>
  <c r="F16" i="57"/>
  <c r="E16" i="57"/>
  <c r="D16" i="57"/>
  <c r="C16" i="57"/>
  <c r="O15" i="57"/>
  <c r="I15" i="57"/>
  <c r="G15" i="57"/>
  <c r="F15" i="57"/>
  <c r="E15" i="57"/>
  <c r="D15" i="57"/>
  <c r="C15" i="57"/>
  <c r="O14" i="57"/>
  <c r="I14" i="57"/>
  <c r="G14" i="57"/>
  <c r="F14" i="57"/>
  <c r="E14" i="57"/>
  <c r="D14" i="57"/>
  <c r="C14" i="57"/>
  <c r="O13" i="57"/>
  <c r="I13" i="57"/>
  <c r="G13" i="57"/>
  <c r="F13" i="57"/>
  <c r="E13" i="57"/>
  <c r="D13" i="57"/>
  <c r="C13" i="57"/>
  <c r="O12" i="57"/>
  <c r="I12" i="57"/>
  <c r="G12" i="57"/>
  <c r="F12" i="57"/>
  <c r="E12" i="57"/>
  <c r="D12" i="57"/>
  <c r="C12" i="57"/>
  <c r="O11" i="57"/>
  <c r="I11" i="57"/>
  <c r="G11" i="57"/>
  <c r="F11" i="57"/>
  <c r="E11" i="57"/>
  <c r="D11" i="57"/>
  <c r="C11" i="57"/>
  <c r="O10" i="57"/>
  <c r="I10" i="57"/>
  <c r="G10" i="57"/>
  <c r="F10" i="57"/>
  <c r="E10" i="57"/>
  <c r="D10" i="57"/>
  <c r="C10" i="57"/>
  <c r="O9" i="57"/>
  <c r="I9" i="57"/>
  <c r="G9" i="57"/>
  <c r="F9" i="57"/>
  <c r="E9" i="57"/>
  <c r="D9" i="57"/>
  <c r="C9" i="57"/>
  <c r="O8" i="57"/>
  <c r="I8" i="57"/>
  <c r="G8" i="57"/>
  <c r="F8" i="57"/>
  <c r="E8" i="57"/>
  <c r="D8" i="57"/>
  <c r="C8" i="57"/>
  <c r="O7" i="57"/>
  <c r="N7" i="57"/>
  <c r="M7" i="57"/>
  <c r="L7" i="57"/>
  <c r="K7" i="57"/>
  <c r="J7" i="57"/>
  <c r="I7" i="57"/>
  <c r="H7" i="57"/>
  <c r="G7" i="57"/>
  <c r="F7" i="57"/>
  <c r="E7" i="57"/>
  <c r="D7" i="57"/>
  <c r="C7" i="57"/>
  <c r="O6" i="57"/>
  <c r="N6" i="57"/>
  <c r="M6" i="57"/>
  <c r="K6" i="57"/>
  <c r="J6" i="57"/>
  <c r="C6" i="57"/>
  <c r="D237" i="45" l="1"/>
  <c r="R4" i="71"/>
  <c r="Q660" i="71"/>
  <c r="Q12" i="71"/>
  <c r="P33" i="71" s="1"/>
  <c r="Q5" i="71"/>
  <c r="Q6" i="71"/>
  <c r="Q22" i="71"/>
  <c r="Q5" i="69"/>
  <c r="Q7" i="69" s="1"/>
  <c r="Q6" i="69"/>
  <c r="R4" i="69"/>
  <c r="Q9" i="69"/>
  <c r="P20" i="71"/>
  <c r="P7" i="71"/>
  <c r="P21" i="71"/>
  <c r="Q8" i="71"/>
  <c r="E89" i="57"/>
  <c r="F96" i="57" s="1"/>
  <c r="G89" i="57"/>
  <c r="D238" i="45" l="1"/>
  <c r="Q20" i="71"/>
  <c r="Q7" i="71"/>
  <c r="Q21" i="71"/>
  <c r="R8" i="71"/>
  <c r="S4" i="69"/>
  <c r="R9" i="69"/>
  <c r="R6" i="69"/>
  <c r="R5" i="69"/>
  <c r="R7" i="69" s="1"/>
  <c r="R6" i="71"/>
  <c r="R5" i="71"/>
  <c r="R22" i="71"/>
  <c r="S4" i="71"/>
  <c r="R12" i="71"/>
  <c r="Q33" i="71" s="1"/>
  <c r="R660" i="71"/>
  <c r="D33" i="64"/>
  <c r="E33" i="64"/>
  <c r="F33" i="64"/>
  <c r="D239" i="45" l="1"/>
  <c r="S660" i="71"/>
  <c r="S6" i="71"/>
  <c r="T4" i="71"/>
  <c r="S12" i="71"/>
  <c r="R33" i="71" s="1"/>
  <c r="S5" i="71"/>
  <c r="S22" i="71"/>
  <c r="S9" i="69"/>
  <c r="S6" i="69"/>
  <c r="T4" i="69"/>
  <c r="S5" i="69"/>
  <c r="S7" i="69" s="1"/>
  <c r="R21" i="71"/>
  <c r="S8" i="71"/>
  <c r="R20" i="71"/>
  <c r="R7" i="71"/>
  <c r="F32" i="64"/>
  <c r="G32" i="64" s="1"/>
  <c r="D240" i="45" l="1"/>
  <c r="S20" i="71"/>
  <c r="S7" i="71"/>
  <c r="S21" i="71"/>
  <c r="T8" i="71"/>
  <c r="T6" i="69"/>
  <c r="T9" i="69"/>
  <c r="U4" i="69"/>
  <c r="T5" i="69"/>
  <c r="T7" i="69" s="1"/>
  <c r="T12" i="71"/>
  <c r="S33" i="71" s="1"/>
  <c r="T660" i="71"/>
  <c r="T5" i="71"/>
  <c r="T22" i="71"/>
  <c r="U4" i="71"/>
  <c r="T6" i="71"/>
  <c r="C240" i="3"/>
  <c r="D240" i="3"/>
  <c r="E240" i="3"/>
  <c r="F240" i="3"/>
  <c r="G240" i="3"/>
  <c r="H240" i="3"/>
  <c r="I240" i="3"/>
  <c r="J240" i="3"/>
  <c r="K240" i="3"/>
  <c r="L240" i="3"/>
  <c r="M240" i="3"/>
  <c r="N240" i="3"/>
  <c r="O240" i="3"/>
  <c r="P240" i="3"/>
  <c r="Q240" i="3"/>
  <c r="R240" i="3"/>
  <c r="S240" i="3"/>
  <c r="T240" i="3"/>
  <c r="U240" i="3"/>
  <c r="V240" i="3"/>
  <c r="W240" i="3"/>
  <c r="X240" i="3"/>
  <c r="Y240" i="3"/>
  <c r="Z240" i="3"/>
  <c r="AA240" i="3"/>
  <c r="AB240" i="3"/>
  <c r="AC240" i="3"/>
  <c r="AD240" i="3"/>
  <c r="AE240" i="3"/>
  <c r="AF240" i="3"/>
  <c r="AG240" i="3"/>
  <c r="AH240" i="3"/>
  <c r="AI240" i="3"/>
  <c r="AJ240" i="3"/>
  <c r="AK240" i="3"/>
  <c r="AL240" i="3"/>
  <c r="AM240" i="3"/>
  <c r="AN240" i="3"/>
  <c r="AO240" i="3"/>
  <c r="AP240" i="3"/>
  <c r="AQ240" i="3"/>
  <c r="AR240" i="3"/>
  <c r="AS240" i="3"/>
  <c r="AT240" i="3"/>
  <c r="AU240" i="3"/>
  <c r="AV240" i="3"/>
  <c r="AW240" i="3"/>
  <c r="AX240" i="3"/>
  <c r="AY240" i="3"/>
  <c r="AZ240" i="3"/>
  <c r="BA240" i="3"/>
  <c r="BB240" i="3"/>
  <c r="BC240" i="3"/>
  <c r="BD240" i="3"/>
  <c r="BE240" i="3"/>
  <c r="BF240" i="3"/>
  <c r="BG240" i="3"/>
  <c r="BH240" i="3"/>
  <c r="BI240" i="3"/>
  <c r="BJ240" i="3"/>
  <c r="D241" i="45" l="1"/>
  <c r="U12" i="71"/>
  <c r="T33" i="71" s="1"/>
  <c r="U660" i="71"/>
  <c r="U5" i="71"/>
  <c r="U22" i="71"/>
  <c r="U6" i="71"/>
  <c r="V4" i="71"/>
  <c r="U5" i="69"/>
  <c r="U7" i="69" s="1"/>
  <c r="V4" i="69"/>
  <c r="U6" i="69"/>
  <c r="U9" i="69"/>
  <c r="T21" i="71"/>
  <c r="T20" i="71"/>
  <c r="T7" i="71"/>
  <c r="U8" i="71"/>
  <c r="D242" i="45" l="1"/>
  <c r="V9" i="69"/>
  <c r="V5" i="69"/>
  <c r="V7" i="69" s="1"/>
  <c r="V6" i="69"/>
  <c r="W4" i="69"/>
  <c r="V22" i="71"/>
  <c r="W4" i="71"/>
  <c r="V660" i="71"/>
  <c r="V6" i="71"/>
  <c r="V5" i="71"/>
  <c r="V12" i="71"/>
  <c r="U33" i="71" s="1"/>
  <c r="U7" i="71"/>
  <c r="U21" i="71"/>
  <c r="U20" i="71"/>
  <c r="V8" i="71"/>
  <c r="D243" i="45" l="1"/>
  <c r="W8" i="71"/>
  <c r="V20" i="71"/>
  <c r="V7" i="71"/>
  <c r="V21" i="71"/>
  <c r="W9" i="69"/>
  <c r="W5" i="69"/>
  <c r="W7" i="69" s="1"/>
  <c r="W6" i="69"/>
  <c r="X4" i="69"/>
  <c r="W660" i="71"/>
  <c r="W22" i="71"/>
  <c r="W6" i="71"/>
  <c r="X4" i="71"/>
  <c r="W5" i="71"/>
  <c r="W12" i="71"/>
  <c r="V33" i="71" s="1"/>
  <c r="D244" i="45" l="1"/>
  <c r="X5" i="69"/>
  <c r="X7" i="69" s="1"/>
  <c r="X6" i="69"/>
  <c r="X9" i="69"/>
  <c r="Y4" i="69"/>
  <c r="X8" i="71"/>
  <c r="W21" i="71"/>
  <c r="W20" i="71"/>
  <c r="W7" i="71"/>
  <c r="X12" i="71"/>
  <c r="W33" i="71" s="1"/>
  <c r="X660" i="71"/>
  <c r="X5" i="71"/>
  <c r="X22" i="71"/>
  <c r="X6" i="71"/>
  <c r="Y4" i="71"/>
  <c r="B13" i="55"/>
  <c r="D245" i="45" l="1"/>
  <c r="Y660" i="71"/>
  <c r="Z4" i="71"/>
  <c r="Y5" i="71"/>
  <c r="Y6" i="71"/>
  <c r="Y22" i="71"/>
  <c r="Y12" i="71"/>
  <c r="X33" i="71" s="1"/>
  <c r="Y5" i="69"/>
  <c r="Y7" i="69" s="1"/>
  <c r="Y6" i="69"/>
  <c r="Z4" i="69"/>
  <c r="Y9" i="69"/>
  <c r="X20" i="71"/>
  <c r="X21" i="71"/>
  <c r="X7" i="71"/>
  <c r="Y8" i="71"/>
  <c r="D246" i="45" l="1"/>
  <c r="AA4" i="69"/>
  <c r="Z5" i="69"/>
  <c r="Z7" i="69" s="1"/>
  <c r="Z6" i="69"/>
  <c r="Z9" i="69"/>
  <c r="Y20" i="71"/>
  <c r="Y7" i="71"/>
  <c r="Y21" i="71"/>
  <c r="Z8" i="71"/>
  <c r="Z22" i="71"/>
  <c r="AA4" i="71"/>
  <c r="Z6" i="71"/>
  <c r="Z660" i="71"/>
  <c r="Z5" i="71"/>
  <c r="Z12" i="71"/>
  <c r="Y33" i="71" s="1"/>
  <c r="D247" i="45" l="1"/>
  <c r="AA9" i="69"/>
  <c r="AA5" i="69"/>
  <c r="AA7" i="69" s="1"/>
  <c r="AB4" i="69"/>
  <c r="AA6" i="69"/>
  <c r="AA6" i="71"/>
  <c r="AA660" i="71"/>
  <c r="AA12" i="71"/>
  <c r="Z33" i="71" s="1"/>
  <c r="AA5" i="71"/>
  <c r="AA22" i="71"/>
  <c r="AB4" i="71"/>
  <c r="Z7" i="71"/>
  <c r="Z21" i="71"/>
  <c r="Z20" i="71"/>
  <c r="AA8" i="71"/>
  <c r="B12" i="55"/>
  <c r="B11" i="55"/>
  <c r="D248" i="45" l="1"/>
  <c r="AB5" i="69"/>
  <c r="AB7" i="69" s="1"/>
  <c r="AB6" i="69"/>
  <c r="AB9" i="69"/>
  <c r="AC4" i="69"/>
  <c r="AB6" i="71"/>
  <c r="AC4" i="71"/>
  <c r="AB12" i="71"/>
  <c r="AA33" i="71" s="1"/>
  <c r="AB660" i="71"/>
  <c r="AB5" i="71"/>
  <c r="AB22" i="71"/>
  <c r="AA21" i="71"/>
  <c r="AB8" i="71"/>
  <c r="AA20" i="71"/>
  <c r="AA7" i="71"/>
  <c r="B7" i="55"/>
  <c r="B6" i="55"/>
  <c r="B5" i="55"/>
  <c r="I24" i="55"/>
  <c r="P24" i="55" s="1"/>
  <c r="I20" i="55"/>
  <c r="P20" i="55" s="1"/>
  <c r="I11" i="55"/>
  <c r="P11" i="55" s="1"/>
  <c r="I8" i="55"/>
  <c r="P8" i="55" s="1"/>
  <c r="I7" i="55"/>
  <c r="P7" i="55" s="1"/>
  <c r="I6" i="55"/>
  <c r="P6" i="55" s="1"/>
  <c r="M5" i="55"/>
  <c r="T5" i="55" s="1"/>
  <c r="L5" i="55"/>
  <c r="S5" i="55" s="1"/>
  <c r="I5" i="55"/>
  <c r="P5" i="55" s="1"/>
  <c r="I3" i="55"/>
  <c r="P3" i="55" s="1"/>
  <c r="M58" i="55"/>
  <c r="T58" i="55" s="1"/>
  <c r="P56" i="55"/>
  <c r="P55" i="55"/>
  <c r="M55" i="55"/>
  <c r="T55" i="55" s="1"/>
  <c r="P54" i="55"/>
  <c r="P53" i="55"/>
  <c r="L30" i="55"/>
  <c r="D249" i="45" l="1"/>
  <c r="AB21" i="71"/>
  <c r="AC8" i="71"/>
  <c r="AB20" i="71"/>
  <c r="AB7" i="71"/>
  <c r="AC660" i="71"/>
  <c r="AC5" i="71"/>
  <c r="AC22" i="71"/>
  <c r="AC6" i="71"/>
  <c r="AC12" i="71"/>
  <c r="AB33" i="71" s="1"/>
  <c r="AD4" i="71"/>
  <c r="AC6" i="69"/>
  <c r="AD4" i="69"/>
  <c r="AC9" i="69"/>
  <c r="AC5" i="69"/>
  <c r="AC7" i="69" s="1"/>
  <c r="V110" i="3"/>
  <c r="V122" i="3"/>
  <c r="D250" i="45" l="1"/>
  <c r="AD660" i="71"/>
  <c r="AD22" i="71"/>
  <c r="AD6" i="71"/>
  <c r="AD12" i="71"/>
  <c r="AC33" i="71" s="1"/>
  <c r="AD5" i="71"/>
  <c r="AE4" i="71"/>
  <c r="AC21" i="71"/>
  <c r="AD8" i="71"/>
  <c r="AC20" i="71"/>
  <c r="AC7" i="71"/>
  <c r="AD5" i="69"/>
  <c r="AD7" i="69" s="1"/>
  <c r="AD6" i="69"/>
  <c r="AE4" i="69"/>
  <c r="AD9" i="69"/>
  <c r="D251" i="45" l="1"/>
  <c r="AF4" i="71"/>
  <c r="AE12" i="71"/>
  <c r="AD33" i="71" s="1"/>
  <c r="AE5" i="71"/>
  <c r="AE660" i="71"/>
  <c r="AE22" i="71"/>
  <c r="AE6" i="71"/>
  <c r="AE8" i="71"/>
  <c r="AD20" i="71"/>
  <c r="AD7" i="71"/>
  <c r="AD21" i="71"/>
  <c r="AE6" i="69"/>
  <c r="AF4" i="69"/>
  <c r="AE9" i="69"/>
  <c r="AE5" i="69"/>
  <c r="AE7" i="69" s="1"/>
  <c r="Q459" i="45"/>
  <c r="Q458" i="45"/>
  <c r="Q457" i="45"/>
  <c r="Q456" i="45"/>
  <c r="Q455" i="45"/>
  <c r="Q454" i="45"/>
  <c r="Q453" i="45"/>
  <c r="Q452" i="45"/>
  <c r="Q451" i="45"/>
  <c r="Q450" i="45"/>
  <c r="Q449" i="45"/>
  <c r="Q448" i="45"/>
  <c r="Q447" i="45"/>
  <c r="Q446" i="45"/>
  <c r="Q445" i="45"/>
  <c r="Q444" i="45"/>
  <c r="Q443" i="45"/>
  <c r="Q442" i="45"/>
  <c r="Q441" i="45"/>
  <c r="Q440" i="45"/>
  <c r="Q439" i="45"/>
  <c r="Q438" i="45"/>
  <c r="Q437" i="45"/>
  <c r="Q436" i="45"/>
  <c r="Q435" i="45"/>
  <c r="Q434" i="45"/>
  <c r="Q433" i="45"/>
  <c r="Q432" i="45"/>
  <c r="Q431" i="45"/>
  <c r="Q430" i="45"/>
  <c r="Q429" i="45"/>
  <c r="Q428" i="45"/>
  <c r="Q427" i="45"/>
  <c r="Q426" i="45"/>
  <c r="Q425" i="45"/>
  <c r="Q424" i="45"/>
  <c r="Q423" i="45"/>
  <c r="Q422" i="45"/>
  <c r="Q421" i="45"/>
  <c r="Q420" i="45"/>
  <c r="Q419" i="45"/>
  <c r="Q418" i="45"/>
  <c r="Q417" i="45"/>
  <c r="Q416" i="45"/>
  <c r="Q415" i="45"/>
  <c r="Q414" i="45"/>
  <c r="Q413" i="45"/>
  <c r="Q412" i="45"/>
  <c r="Q411" i="45"/>
  <c r="Q410" i="45"/>
  <c r="Q409" i="45"/>
  <c r="Q408" i="45"/>
  <c r="Q407" i="45"/>
  <c r="Q406" i="45"/>
  <c r="Q405" i="45"/>
  <c r="Q404" i="45"/>
  <c r="Q403" i="45"/>
  <c r="Q402" i="45"/>
  <c r="Q401" i="45"/>
  <c r="Q400" i="45"/>
  <c r="Q399" i="45"/>
  <c r="Q398" i="45"/>
  <c r="Q397" i="45"/>
  <c r="Q396" i="45"/>
  <c r="Q395" i="45"/>
  <c r="Q394" i="45"/>
  <c r="Q393" i="45"/>
  <c r="Q392" i="45"/>
  <c r="Q391" i="45"/>
  <c r="Q390" i="45"/>
  <c r="Q389" i="45"/>
  <c r="Q388" i="45"/>
  <c r="Q387" i="45"/>
  <c r="Q386" i="45"/>
  <c r="Q385" i="45"/>
  <c r="Q384" i="45"/>
  <c r="Q383" i="45"/>
  <c r="Q382" i="45"/>
  <c r="Q381" i="45"/>
  <c r="Q380" i="45"/>
  <c r="Q379" i="45"/>
  <c r="Q378" i="45"/>
  <c r="Q377" i="45"/>
  <c r="Q376" i="45"/>
  <c r="Q375" i="45"/>
  <c r="Q374" i="45"/>
  <c r="Q373" i="45"/>
  <c r="Q372" i="45"/>
  <c r="Q371" i="45"/>
  <c r="Q370" i="45"/>
  <c r="Q369" i="45"/>
  <c r="Q368" i="45"/>
  <c r="Q367" i="45"/>
  <c r="Q366" i="45"/>
  <c r="Q365" i="45"/>
  <c r="Q364" i="45"/>
  <c r="Q363" i="45"/>
  <c r="Q362" i="45"/>
  <c r="Q361" i="45"/>
  <c r="Q360" i="45"/>
  <c r="Q359" i="45"/>
  <c r="Q358" i="45"/>
  <c r="Q357" i="45"/>
  <c r="Q356" i="45"/>
  <c r="Q355" i="45"/>
  <c r="Q354" i="45"/>
  <c r="Q353" i="45"/>
  <c r="Q352" i="45"/>
  <c r="Q351" i="45"/>
  <c r="Q350" i="45"/>
  <c r="Q349" i="45"/>
  <c r="Q348" i="45"/>
  <c r="Q347" i="45"/>
  <c r="Q346" i="45"/>
  <c r="Q345" i="45"/>
  <c r="Q344" i="45"/>
  <c r="Q343" i="45"/>
  <c r="Q342" i="45"/>
  <c r="Q341" i="45"/>
  <c r="Q340" i="45"/>
  <c r="Q339" i="45"/>
  <c r="Q338" i="45"/>
  <c r="Q337" i="45"/>
  <c r="Q336" i="45"/>
  <c r="Q335" i="45"/>
  <c r="Q334" i="45"/>
  <c r="Q333" i="45"/>
  <c r="Q332" i="45"/>
  <c r="Q331" i="45"/>
  <c r="Q330" i="45"/>
  <c r="Q329" i="45"/>
  <c r="Q328" i="45"/>
  <c r="Q327" i="45"/>
  <c r="Q326" i="45"/>
  <c r="Q325" i="45"/>
  <c r="Q324" i="45"/>
  <c r="Q323" i="45"/>
  <c r="Q322" i="45"/>
  <c r="Q321" i="45"/>
  <c r="Q320" i="45"/>
  <c r="Q319" i="45"/>
  <c r="Q318" i="45"/>
  <c r="Q317" i="45"/>
  <c r="Q316" i="45"/>
  <c r="Q315" i="45"/>
  <c r="Q314" i="45"/>
  <c r="Q313" i="45"/>
  <c r="Q312" i="45"/>
  <c r="Q311" i="45"/>
  <c r="Q310" i="45"/>
  <c r="Q309" i="45"/>
  <c r="Q308" i="45"/>
  <c r="Q307" i="45"/>
  <c r="Q306" i="45"/>
  <c r="Q305" i="45"/>
  <c r="Q304" i="45"/>
  <c r="Q303" i="45"/>
  <c r="Q302" i="45"/>
  <c r="Q301" i="45"/>
  <c r="Q300" i="45"/>
  <c r="Q299" i="45"/>
  <c r="Q298" i="45"/>
  <c r="Q297" i="45"/>
  <c r="Q296" i="45"/>
  <c r="Q295" i="45"/>
  <c r="Q294" i="45"/>
  <c r="Q293" i="45"/>
  <c r="Q292" i="45"/>
  <c r="Q291" i="45"/>
  <c r="Q290" i="45"/>
  <c r="Q289" i="45"/>
  <c r="Q288" i="45"/>
  <c r="Q287" i="45"/>
  <c r="Q286" i="45"/>
  <c r="Q285" i="45"/>
  <c r="Q284" i="45"/>
  <c r="Q283" i="45"/>
  <c r="Q282" i="45"/>
  <c r="Q281" i="45"/>
  <c r="Q280" i="45"/>
  <c r="Q279" i="45"/>
  <c r="Q278" i="45"/>
  <c r="Q277" i="45"/>
  <c r="Q276" i="45"/>
  <c r="Q275" i="45"/>
  <c r="Q274" i="45"/>
  <c r="Q273" i="45"/>
  <c r="Q272" i="45"/>
  <c r="Q271" i="45"/>
  <c r="Q270" i="45"/>
  <c r="Q269" i="45"/>
  <c r="Q268" i="45"/>
  <c r="Q267" i="45"/>
  <c r="Q266" i="45"/>
  <c r="Q265" i="45"/>
  <c r="Q264" i="45"/>
  <c r="Q263" i="45"/>
  <c r="Q262" i="45"/>
  <c r="Q261" i="45"/>
  <c r="Q260" i="45"/>
  <c r="Q259" i="45"/>
  <c r="Q258" i="45"/>
  <c r="Q257" i="45"/>
  <c r="Q256" i="45"/>
  <c r="Q255" i="45"/>
  <c r="Q254" i="45"/>
  <c r="Q253" i="45"/>
  <c r="Q252" i="45"/>
  <c r="Q251" i="45"/>
  <c r="Q250" i="45"/>
  <c r="Q249" i="45"/>
  <c r="Q248" i="45"/>
  <c r="Q247" i="45"/>
  <c r="Q246" i="45"/>
  <c r="Q245" i="45"/>
  <c r="Q244" i="45"/>
  <c r="Q243" i="45"/>
  <c r="Q242" i="45"/>
  <c r="Q241" i="45"/>
  <c r="Q240" i="45"/>
  <c r="Q239" i="45"/>
  <c r="Q238" i="45"/>
  <c r="Q237" i="45"/>
  <c r="Q236" i="45"/>
  <c r="Q235" i="45"/>
  <c r="Q234" i="45"/>
  <c r="Q233" i="45"/>
  <c r="Q232" i="45"/>
  <c r="Q231" i="45"/>
  <c r="Q230" i="45"/>
  <c r="Q229" i="45"/>
  <c r="Q228" i="45"/>
  <c r="Q227" i="45"/>
  <c r="Q226" i="45"/>
  <c r="Q225" i="45"/>
  <c r="Q224" i="45"/>
  <c r="Q223" i="45"/>
  <c r="Q222" i="45"/>
  <c r="Q221" i="45"/>
  <c r="Q220" i="45"/>
  <c r="Q219" i="45"/>
  <c r="Q218" i="45"/>
  <c r="Q217" i="45"/>
  <c r="Q216" i="45"/>
  <c r="Q215" i="45"/>
  <c r="Q214" i="45"/>
  <c r="Q213" i="45"/>
  <c r="Q212" i="45"/>
  <c r="Q211" i="45"/>
  <c r="Q210" i="45"/>
  <c r="Q209" i="45"/>
  <c r="Q208" i="45"/>
  <c r="Q207" i="45"/>
  <c r="Q206" i="45"/>
  <c r="Q205" i="45"/>
  <c r="Q204" i="45"/>
  <c r="Q203" i="45"/>
  <c r="Q202" i="45"/>
  <c r="Q201" i="45"/>
  <c r="Q200" i="45"/>
  <c r="Q199" i="45"/>
  <c r="Q198" i="45"/>
  <c r="Q197" i="45"/>
  <c r="Q196" i="45"/>
  <c r="Q195" i="45"/>
  <c r="Q194" i="45"/>
  <c r="Q193" i="45"/>
  <c r="Q192" i="45"/>
  <c r="Q191" i="45"/>
  <c r="Q190" i="45"/>
  <c r="Q189" i="45"/>
  <c r="Q188" i="45"/>
  <c r="Q187" i="45"/>
  <c r="Q186" i="45"/>
  <c r="Q185" i="45"/>
  <c r="Q184" i="45"/>
  <c r="Q183" i="45"/>
  <c r="Q182" i="45"/>
  <c r="Q181" i="45"/>
  <c r="Q180" i="45"/>
  <c r="Q179" i="45"/>
  <c r="Q178" i="45"/>
  <c r="Q177" i="45"/>
  <c r="Q176" i="45"/>
  <c r="Q175" i="45"/>
  <c r="Q174" i="45"/>
  <c r="Q173" i="45"/>
  <c r="Q172" i="45"/>
  <c r="Q171" i="45"/>
  <c r="Q170" i="45"/>
  <c r="Q169" i="45"/>
  <c r="Q168" i="45"/>
  <c r="Q167" i="45"/>
  <c r="Q166" i="45"/>
  <c r="Q165" i="45"/>
  <c r="Q164" i="45"/>
  <c r="Q163" i="45"/>
  <c r="Q162" i="45"/>
  <c r="Q161" i="45"/>
  <c r="Q160" i="45"/>
  <c r="Q159" i="45"/>
  <c r="Q158" i="45"/>
  <c r="Q157" i="45"/>
  <c r="Q156" i="45"/>
  <c r="Q155" i="45"/>
  <c r="Q154" i="45"/>
  <c r="Q153" i="45"/>
  <c r="Q152" i="45"/>
  <c r="Q151" i="45"/>
  <c r="Q150" i="45"/>
  <c r="Q149" i="45"/>
  <c r="Q148" i="45"/>
  <c r="Q147" i="45"/>
  <c r="Q146" i="45"/>
  <c r="Q145" i="45"/>
  <c r="Q144" i="45"/>
  <c r="Q143" i="45"/>
  <c r="Q142" i="45"/>
  <c r="Q141" i="45"/>
  <c r="Q140" i="45"/>
  <c r="Q139" i="45"/>
  <c r="Q138" i="45"/>
  <c r="Q137" i="45"/>
  <c r="Q136" i="45"/>
  <c r="Q135" i="45"/>
  <c r="Q134" i="45"/>
  <c r="Q133" i="45"/>
  <c r="Q132" i="45"/>
  <c r="Q131" i="45"/>
  <c r="Q130" i="45"/>
  <c r="Q129" i="45"/>
  <c r="Q128" i="45"/>
  <c r="Q127" i="45"/>
  <c r="Q126" i="45"/>
  <c r="Q125" i="45"/>
  <c r="Q124" i="45"/>
  <c r="Q123" i="45"/>
  <c r="Q122" i="45"/>
  <c r="Q121" i="45"/>
  <c r="Q120" i="45"/>
  <c r="Q119" i="45"/>
  <c r="Q118" i="45"/>
  <c r="Q117" i="45"/>
  <c r="Q116" i="45"/>
  <c r="Q115" i="45"/>
  <c r="Q114" i="45"/>
  <c r="Q113" i="45"/>
  <c r="Q112" i="45"/>
  <c r="Q111" i="45"/>
  <c r="Q110" i="45"/>
  <c r="Q109" i="45"/>
  <c r="Q108" i="45"/>
  <c r="Q107" i="45"/>
  <c r="Q106" i="45"/>
  <c r="Q105" i="45"/>
  <c r="Q104" i="45"/>
  <c r="Q103" i="45"/>
  <c r="Q102" i="45"/>
  <c r="Q101" i="45"/>
  <c r="Q100" i="45"/>
  <c r="Q99" i="45"/>
  <c r="Q98" i="45"/>
  <c r="Q97" i="45"/>
  <c r="Q96" i="45"/>
  <c r="Q95" i="45"/>
  <c r="Q94" i="45"/>
  <c r="Q93" i="45"/>
  <c r="Q92" i="45"/>
  <c r="Q91" i="45"/>
  <c r="Q90" i="45"/>
  <c r="Q89" i="45"/>
  <c r="Q88" i="45"/>
  <c r="Q87" i="45"/>
  <c r="Q86" i="45"/>
  <c r="Q85" i="45"/>
  <c r="Q84" i="45"/>
  <c r="Q83" i="45"/>
  <c r="D252" i="45" l="1"/>
  <c r="AF6" i="69"/>
  <c r="AG4" i="69"/>
  <c r="AF9" i="69"/>
  <c r="AF5" i="69"/>
  <c r="AF7" i="69" s="1"/>
  <c r="AE20" i="71"/>
  <c r="AE7" i="71"/>
  <c r="AF8" i="71"/>
  <c r="AE21" i="71"/>
  <c r="AF12" i="71"/>
  <c r="AE33" i="71" s="1"/>
  <c r="AF22" i="71"/>
  <c r="AF5" i="71"/>
  <c r="AF660" i="71"/>
  <c r="AG4" i="71"/>
  <c r="AF6" i="71"/>
  <c r="E45" i="1"/>
  <c r="E58" i="6" s="1"/>
  <c r="J15" i="1"/>
  <c r="L8" i="57" s="1"/>
  <c r="J16" i="1"/>
  <c r="L9" i="57" s="1"/>
  <c r="J17" i="1"/>
  <c r="L10" i="57" s="1"/>
  <c r="J18" i="1"/>
  <c r="L11" i="57" s="1"/>
  <c r="J19" i="1"/>
  <c r="L12" i="57" s="1"/>
  <c r="J20" i="1"/>
  <c r="L13" i="57" s="1"/>
  <c r="J21" i="1"/>
  <c r="L14" i="57" s="1"/>
  <c r="J22" i="1"/>
  <c r="L15" i="57" s="1"/>
  <c r="J23" i="1"/>
  <c r="L16" i="57" s="1"/>
  <c r="J24" i="1"/>
  <c r="L17" i="57" s="1"/>
  <c r="J25" i="1"/>
  <c r="L18" i="57" s="1"/>
  <c r="J26" i="1"/>
  <c r="L19" i="57" s="1"/>
  <c r="J27" i="1"/>
  <c r="L20" i="57" s="1"/>
  <c r="J28" i="1"/>
  <c r="L21" i="57" s="1"/>
  <c r="J29" i="1"/>
  <c r="L22" i="57" s="1"/>
  <c r="J30" i="1"/>
  <c r="L23" i="57" s="1"/>
  <c r="J31" i="1"/>
  <c r="L24" i="57" s="1"/>
  <c r="J32" i="1"/>
  <c r="L25" i="57" s="1"/>
  <c r="J43" i="1"/>
  <c r="L26" i="57" s="1"/>
  <c r="J44" i="1"/>
  <c r="L27" i="57" s="1"/>
  <c r="J49" i="1"/>
  <c r="L32" i="57" s="1"/>
  <c r="J50" i="1"/>
  <c r="L33" i="57" s="1"/>
  <c r="J51" i="1"/>
  <c r="L34" i="57" s="1"/>
  <c r="J52" i="1"/>
  <c r="L35" i="57" s="1"/>
  <c r="Q151" i="3"/>
  <c r="Q170" i="3"/>
  <c r="Q4" i="45"/>
  <c r="Q17" i="45"/>
  <c r="Q16" i="45"/>
  <c r="Q15" i="45"/>
  <c r="Q14" i="45"/>
  <c r="Q13" i="45"/>
  <c r="Q12" i="45"/>
  <c r="Q11" i="45"/>
  <c r="Q10" i="45"/>
  <c r="Q9" i="45"/>
  <c r="Q8" i="45"/>
  <c r="Q7" i="45"/>
  <c r="Q6" i="45"/>
  <c r="Q5" i="45"/>
  <c r="L33" i="42"/>
  <c r="L32" i="42"/>
  <c r="A11" i="38"/>
  <c r="A10" i="38"/>
  <c r="A9" i="38"/>
  <c r="A269" i="32"/>
  <c r="A264" i="32"/>
  <c r="A293" i="32"/>
  <c r="A286" i="32"/>
  <c r="A279" i="32"/>
  <c r="A268" i="32"/>
  <c r="A267" i="32"/>
  <c r="A266" i="32"/>
  <c r="A260" i="32"/>
  <c r="A259" i="32"/>
  <c r="A258" i="32"/>
  <c r="A256" i="32"/>
  <c r="A255" i="32"/>
  <c r="A254" i="32"/>
  <c r="A250" i="32"/>
  <c r="A249" i="32"/>
  <c r="A248" i="32"/>
  <c r="A246" i="32"/>
  <c r="A245" i="32"/>
  <c r="A244" i="32"/>
  <c r="A240" i="32"/>
  <c r="A239" i="32"/>
  <c r="A238" i="32"/>
  <c r="A236" i="32"/>
  <c r="A235" i="32"/>
  <c r="A234" i="32"/>
  <c r="A233" i="32"/>
  <c r="A232" i="32"/>
  <c r="A231" i="32"/>
  <c r="A228" i="32"/>
  <c r="A227" i="32"/>
  <c r="A226" i="32"/>
  <c r="A225" i="32"/>
  <c r="A224" i="32"/>
  <c r="A223" i="32"/>
  <c r="A222" i="32"/>
  <c r="A220" i="32"/>
  <c r="A219" i="32"/>
  <c r="A218" i="32"/>
  <c r="A217" i="32"/>
  <c r="A216" i="32"/>
  <c r="A215" i="32"/>
  <c r="A214" i="32"/>
  <c r="A212" i="32"/>
  <c r="A211" i="32"/>
  <c r="A210" i="32"/>
  <c r="A209" i="32"/>
  <c r="A208" i="32"/>
  <c r="A207" i="32"/>
  <c r="A206" i="32"/>
  <c r="A197" i="32"/>
  <c r="A196" i="32"/>
  <c r="A195" i="32"/>
  <c r="A171" i="32"/>
  <c r="A168" i="32"/>
  <c r="A165" i="32"/>
  <c r="A142" i="32"/>
  <c r="A140" i="32"/>
  <c r="A138" i="32"/>
  <c r="A136" i="32"/>
  <c r="A134" i="32"/>
  <c r="A132" i="32"/>
  <c r="A106" i="32"/>
  <c r="A95" i="32"/>
  <c r="A90" i="32"/>
  <c r="A81" i="32"/>
  <c r="A70" i="32"/>
  <c r="A65" i="32"/>
  <c r="A56" i="32"/>
  <c r="A45" i="32"/>
  <c r="A40" i="32"/>
  <c r="C110" i="1"/>
  <c r="E35" i="2"/>
  <c r="N32" i="42"/>
  <c r="N33" i="42"/>
  <c r="L30" i="17"/>
  <c r="C245" i="30" s="1"/>
  <c r="L32" i="17"/>
  <c r="C271" i="30" s="1"/>
  <c r="I30" i="42"/>
  <c r="C238" i="32"/>
  <c r="C248" i="32"/>
  <c r="C259" i="32"/>
  <c r="C258" i="32"/>
  <c r="C267" i="32"/>
  <c r="C266" i="32"/>
  <c r="B105" i="3"/>
  <c r="B48" i="23" s="1"/>
  <c r="T122" i="3"/>
  <c r="O13" i="17"/>
  <c r="O9" i="17"/>
  <c r="A120" i="30" s="1"/>
  <c r="T15" i="17"/>
  <c r="A122" i="32"/>
  <c r="A121" i="32"/>
  <c r="A37" i="32"/>
  <c r="E174" i="23"/>
  <c r="E169" i="23"/>
  <c r="E164" i="23"/>
  <c r="D96" i="23"/>
  <c r="B92" i="23"/>
  <c r="B93" i="23"/>
  <c r="B94" i="23"/>
  <c r="B95" i="23"/>
  <c r="B96" i="23"/>
  <c r="B91" i="23"/>
  <c r="A92" i="23"/>
  <c r="A93" i="23"/>
  <c r="A94" i="23"/>
  <c r="A95" i="23"/>
  <c r="A96" i="23"/>
  <c r="A91" i="23"/>
  <c r="A115" i="23"/>
  <c r="B115" i="23"/>
  <c r="BT114" i="23"/>
  <c r="BS114" i="23"/>
  <c r="BR114" i="23"/>
  <c r="BQ114" i="23"/>
  <c r="BP114" i="23"/>
  <c r="BO114" i="23"/>
  <c r="BN114" i="23"/>
  <c r="BM114" i="23"/>
  <c r="BL114" i="23"/>
  <c r="BK114" i="23"/>
  <c r="BJ114" i="23"/>
  <c r="BI114" i="23"/>
  <c r="BH114" i="23"/>
  <c r="BG114" i="23"/>
  <c r="BF114" i="23"/>
  <c r="BE114" i="23"/>
  <c r="BD114" i="23"/>
  <c r="BC114" i="23"/>
  <c r="BB114" i="23"/>
  <c r="BA114" i="23"/>
  <c r="AZ114" i="23"/>
  <c r="AY114" i="23"/>
  <c r="AX114" i="23"/>
  <c r="AW114" i="23"/>
  <c r="AV114" i="23"/>
  <c r="AU114" i="23"/>
  <c r="AT114" i="23"/>
  <c r="AS114" i="23"/>
  <c r="AR114" i="23"/>
  <c r="AQ114" i="23"/>
  <c r="AP114" i="23"/>
  <c r="AO114" i="23"/>
  <c r="AN114" i="23"/>
  <c r="AM114" i="23"/>
  <c r="AL114" i="23"/>
  <c r="AK114" i="23"/>
  <c r="AJ114" i="23"/>
  <c r="AI114" i="23"/>
  <c r="AH114" i="23"/>
  <c r="AG114" i="23"/>
  <c r="AF114" i="23"/>
  <c r="AE114" i="23"/>
  <c r="AD114" i="23"/>
  <c r="AC114" i="23"/>
  <c r="AB114" i="23"/>
  <c r="AA114" i="23"/>
  <c r="Z114" i="23"/>
  <c r="Y114" i="23"/>
  <c r="X114" i="23"/>
  <c r="W114" i="23"/>
  <c r="V114" i="23"/>
  <c r="U114" i="23"/>
  <c r="T114" i="23"/>
  <c r="S114" i="23"/>
  <c r="R114" i="23"/>
  <c r="Q114" i="23"/>
  <c r="P114" i="23"/>
  <c r="O114" i="23"/>
  <c r="N114" i="23"/>
  <c r="M114" i="23"/>
  <c r="L114" i="23"/>
  <c r="K114" i="23"/>
  <c r="J114" i="23"/>
  <c r="I114" i="23"/>
  <c r="A119" i="23"/>
  <c r="B119" i="23"/>
  <c r="A120" i="23"/>
  <c r="B120" i="23"/>
  <c r="A121" i="23"/>
  <c r="B121" i="23"/>
  <c r="A122" i="23"/>
  <c r="B122" i="23"/>
  <c r="A123" i="23"/>
  <c r="B123" i="23"/>
  <c r="A124" i="23"/>
  <c r="B124" i="23"/>
  <c r="A125" i="23"/>
  <c r="B125" i="23"/>
  <c r="A126" i="23"/>
  <c r="B126" i="23"/>
  <c r="A127" i="23"/>
  <c r="B127" i="23"/>
  <c r="A128" i="23"/>
  <c r="B128" i="23"/>
  <c r="A129" i="23"/>
  <c r="B129" i="23"/>
  <c r="A130" i="23"/>
  <c r="B130" i="23"/>
  <c r="A131" i="23"/>
  <c r="B131" i="23"/>
  <c r="A132" i="23"/>
  <c r="B132" i="23"/>
  <c r="A133" i="23"/>
  <c r="B133" i="23"/>
  <c r="A134" i="23"/>
  <c r="B134" i="23"/>
  <c r="A135" i="23"/>
  <c r="B135" i="23"/>
  <c r="A136" i="23"/>
  <c r="B136" i="23"/>
  <c r="B118" i="23"/>
  <c r="A118" i="23"/>
  <c r="A100" i="23"/>
  <c r="A101" i="23"/>
  <c r="A102" i="23"/>
  <c r="A103" i="23"/>
  <c r="A104" i="23"/>
  <c r="A105" i="23"/>
  <c r="A106" i="23"/>
  <c r="A107" i="23"/>
  <c r="A108" i="23"/>
  <c r="A109" i="23"/>
  <c r="A111" i="23"/>
  <c r="A112" i="23"/>
  <c r="A99" i="23"/>
  <c r="A81" i="23"/>
  <c r="A82" i="23"/>
  <c r="A83" i="23"/>
  <c r="A84" i="23"/>
  <c r="A85" i="23"/>
  <c r="A86" i="23"/>
  <c r="A87" i="23"/>
  <c r="A88" i="23"/>
  <c r="A80" i="23"/>
  <c r="A57" i="23"/>
  <c r="A58" i="23"/>
  <c r="A59" i="23"/>
  <c r="A60" i="23"/>
  <c r="A61" i="23"/>
  <c r="A62" i="23"/>
  <c r="A63" i="23"/>
  <c r="A64" i="23"/>
  <c r="A65" i="23"/>
  <c r="A66" i="23"/>
  <c r="A67" i="23"/>
  <c r="A68" i="23"/>
  <c r="A69" i="23"/>
  <c r="A70" i="23"/>
  <c r="A71" i="23"/>
  <c r="A72" i="23"/>
  <c r="A73" i="23"/>
  <c r="A74" i="23"/>
  <c r="A75" i="23"/>
  <c r="A76" i="23"/>
  <c r="A77" i="23"/>
  <c r="A56" i="23"/>
  <c r="A53" i="23"/>
  <c r="A52" i="23"/>
  <c r="A47" i="23"/>
  <c r="A48" i="23"/>
  <c r="A49" i="23"/>
  <c r="A50" i="23"/>
  <c r="A51" i="23"/>
  <c r="A46" i="23"/>
  <c r="A45" i="23"/>
  <c r="A44" i="23"/>
  <c r="A41" i="23"/>
  <c r="A40" i="23"/>
  <c r="A33" i="23"/>
  <c r="A32" i="23"/>
  <c r="A16" i="23"/>
  <c r="A17" i="23"/>
  <c r="A18" i="23"/>
  <c r="A19" i="23"/>
  <c r="A20" i="23"/>
  <c r="A21" i="23"/>
  <c r="A22" i="23"/>
  <c r="A23" i="23"/>
  <c r="A24" i="23"/>
  <c r="A25" i="23"/>
  <c r="A26" i="23"/>
  <c r="A27" i="23"/>
  <c r="A28" i="23"/>
  <c r="A29" i="23"/>
  <c r="A15" i="23"/>
  <c r="A12" i="23"/>
  <c r="BT117" i="23"/>
  <c r="BS117" i="23"/>
  <c r="BR117" i="23"/>
  <c r="BQ117" i="23"/>
  <c r="BP117" i="23"/>
  <c r="BO117" i="23"/>
  <c r="BN117" i="23"/>
  <c r="BM117" i="23"/>
  <c r="BL117" i="23"/>
  <c r="BK117" i="23"/>
  <c r="BJ117" i="23"/>
  <c r="BI117" i="23"/>
  <c r="BH117" i="23"/>
  <c r="BG117" i="23"/>
  <c r="BF117" i="23"/>
  <c r="BE117" i="23"/>
  <c r="BD117" i="23"/>
  <c r="BC117" i="23"/>
  <c r="BB117" i="23"/>
  <c r="BA117" i="23"/>
  <c r="AZ117" i="23"/>
  <c r="AY117" i="23"/>
  <c r="AX117" i="23"/>
  <c r="AW117" i="23"/>
  <c r="AV117" i="23"/>
  <c r="AU117" i="23"/>
  <c r="AT117" i="23"/>
  <c r="AS117" i="23"/>
  <c r="AR117" i="23"/>
  <c r="AQ117" i="23"/>
  <c r="AP117" i="23"/>
  <c r="AO117" i="23"/>
  <c r="AN117" i="23"/>
  <c r="AM117" i="23"/>
  <c r="AL117" i="23"/>
  <c r="AK117" i="23"/>
  <c r="AJ117" i="23"/>
  <c r="AI117" i="23"/>
  <c r="AH117" i="23"/>
  <c r="AG117" i="23"/>
  <c r="AF117" i="23"/>
  <c r="AE117" i="23"/>
  <c r="AD117" i="23"/>
  <c r="AC117" i="23"/>
  <c r="AB117" i="23"/>
  <c r="AA117" i="23"/>
  <c r="Z117" i="23"/>
  <c r="Y117" i="23"/>
  <c r="X117" i="23"/>
  <c r="W117" i="23"/>
  <c r="V117" i="23"/>
  <c r="U117" i="23"/>
  <c r="T117" i="23"/>
  <c r="S117" i="23"/>
  <c r="R117" i="23"/>
  <c r="Q117" i="23"/>
  <c r="P117" i="23"/>
  <c r="O117" i="23"/>
  <c r="N117" i="23"/>
  <c r="M117" i="23"/>
  <c r="L117" i="23"/>
  <c r="K117" i="23"/>
  <c r="J117" i="23"/>
  <c r="I117" i="23"/>
  <c r="D156" i="23"/>
  <c r="D112" i="23"/>
  <c r="D83" i="23"/>
  <c r="D84" i="23"/>
  <c r="D77" i="23"/>
  <c r="D50" i="23"/>
  <c r="D46" i="23"/>
  <c r="D29" i="23"/>
  <c r="B33" i="23"/>
  <c r="B32" i="23"/>
  <c r="BT31" i="23"/>
  <c r="BS31" i="23"/>
  <c r="BR31" i="23"/>
  <c r="BQ31" i="23"/>
  <c r="BP31" i="23"/>
  <c r="BO31" i="23"/>
  <c r="BN31" i="23"/>
  <c r="BM31" i="23"/>
  <c r="BL31" i="23"/>
  <c r="BK31" i="23"/>
  <c r="BJ31" i="23"/>
  <c r="BI31" i="23"/>
  <c r="BH31" i="23"/>
  <c r="BG31" i="23"/>
  <c r="BF31" i="23"/>
  <c r="BE31" i="23"/>
  <c r="BD31" i="23"/>
  <c r="BC31" i="23"/>
  <c r="BB31" i="23"/>
  <c r="BA31" i="23"/>
  <c r="AZ31" i="23"/>
  <c r="AY31" i="23"/>
  <c r="AX31" i="23"/>
  <c r="AW31" i="23"/>
  <c r="AV31" i="23"/>
  <c r="AU31" i="23"/>
  <c r="AT31" i="23"/>
  <c r="AS31" i="23"/>
  <c r="AR31" i="23"/>
  <c r="AQ31" i="23"/>
  <c r="AP31" i="23"/>
  <c r="AO31" i="23"/>
  <c r="AN31" i="23"/>
  <c r="AM31" i="23"/>
  <c r="AL31" i="23"/>
  <c r="AK31" i="23"/>
  <c r="AJ31" i="23"/>
  <c r="AI31" i="23"/>
  <c r="AH31" i="23"/>
  <c r="AG31" i="23"/>
  <c r="AF31" i="23"/>
  <c r="AE31" i="23"/>
  <c r="AD31" i="23"/>
  <c r="AC31" i="23"/>
  <c r="AB31" i="23"/>
  <c r="AA31" i="23"/>
  <c r="Z31" i="23"/>
  <c r="Y31" i="23"/>
  <c r="X31" i="23"/>
  <c r="W31" i="23"/>
  <c r="V31" i="23"/>
  <c r="U31" i="23"/>
  <c r="T31" i="23"/>
  <c r="S31" i="23"/>
  <c r="R31" i="23"/>
  <c r="Q31" i="23"/>
  <c r="P31" i="23"/>
  <c r="O31" i="23"/>
  <c r="N31" i="23"/>
  <c r="M31" i="23"/>
  <c r="L31" i="23"/>
  <c r="L11" i="23"/>
  <c r="L14" i="23"/>
  <c r="L35" i="23"/>
  <c r="L39" i="23"/>
  <c r="L43" i="23"/>
  <c r="L55" i="23"/>
  <c r="L79" i="23"/>
  <c r="L90" i="23" s="1"/>
  <c r="L98" i="23"/>
  <c r="L138" i="23"/>
  <c r="K31" i="23"/>
  <c r="J31" i="23"/>
  <c r="I31" i="23"/>
  <c r="B41" i="23"/>
  <c r="B40" i="23"/>
  <c r="BT39" i="23"/>
  <c r="BS39" i="23"/>
  <c r="BR39" i="23"/>
  <c r="BQ39" i="23"/>
  <c r="BP39" i="23"/>
  <c r="BO39" i="23"/>
  <c r="BN39" i="23"/>
  <c r="BM39" i="23"/>
  <c r="BL39" i="23"/>
  <c r="BK39" i="23"/>
  <c r="BJ39" i="23"/>
  <c r="BI39" i="23"/>
  <c r="BH39" i="23"/>
  <c r="BG39" i="23"/>
  <c r="BF39" i="23"/>
  <c r="BE39" i="23"/>
  <c r="BD39" i="23"/>
  <c r="BC39" i="23"/>
  <c r="BB39" i="23"/>
  <c r="BA39" i="23"/>
  <c r="AZ39" i="23"/>
  <c r="AY39" i="23"/>
  <c r="AX39" i="23"/>
  <c r="AW39" i="23"/>
  <c r="AV39" i="23"/>
  <c r="AU39" i="23"/>
  <c r="AT39" i="23"/>
  <c r="AS39" i="23"/>
  <c r="AR39" i="23"/>
  <c r="AQ39" i="23"/>
  <c r="AP39" i="23"/>
  <c r="AO39" i="23"/>
  <c r="AN39" i="23"/>
  <c r="AM39" i="23"/>
  <c r="AL39" i="23"/>
  <c r="AK39" i="23"/>
  <c r="AJ39" i="23"/>
  <c r="AI39" i="23"/>
  <c r="AH39" i="23"/>
  <c r="AG39" i="23"/>
  <c r="AF39" i="23"/>
  <c r="AE39" i="23"/>
  <c r="AD39" i="23"/>
  <c r="AC39" i="23"/>
  <c r="AB39" i="23"/>
  <c r="AA39" i="23"/>
  <c r="Z39" i="23"/>
  <c r="Y39" i="23"/>
  <c r="X39" i="23"/>
  <c r="W39" i="23"/>
  <c r="V39" i="23"/>
  <c r="U39" i="23"/>
  <c r="T39" i="23"/>
  <c r="S39" i="23"/>
  <c r="S11" i="23"/>
  <c r="S14" i="23"/>
  <c r="S35" i="23"/>
  <c r="S43" i="23"/>
  <c r="S55" i="23"/>
  <c r="S79" i="23"/>
  <c r="S90" i="23" s="1"/>
  <c r="S98" i="23"/>
  <c r="S138" i="23"/>
  <c r="R39" i="23"/>
  <c r="Q39" i="23"/>
  <c r="P39" i="23"/>
  <c r="O39" i="23"/>
  <c r="N39" i="23"/>
  <c r="M39" i="23"/>
  <c r="K39" i="23"/>
  <c r="J39" i="23"/>
  <c r="I39" i="23"/>
  <c r="B140" i="23"/>
  <c r="B141" i="23"/>
  <c r="B142" i="23"/>
  <c r="B143" i="23"/>
  <c r="B144" i="23"/>
  <c r="B145" i="23"/>
  <c r="B146" i="23"/>
  <c r="B147" i="23"/>
  <c r="B148" i="23"/>
  <c r="B149" i="23"/>
  <c r="B150" i="23"/>
  <c r="B151" i="23"/>
  <c r="B152" i="23"/>
  <c r="B153" i="23"/>
  <c r="B154" i="23"/>
  <c r="B155" i="23"/>
  <c r="B156" i="23"/>
  <c r="B100" i="23"/>
  <c r="B101" i="23"/>
  <c r="B102" i="23"/>
  <c r="B103" i="23"/>
  <c r="B104" i="23"/>
  <c r="B105" i="23"/>
  <c r="B106" i="23"/>
  <c r="B107" i="23"/>
  <c r="B108" i="23"/>
  <c r="B109" i="23"/>
  <c r="B110" i="23"/>
  <c r="B111" i="23"/>
  <c r="B112" i="23"/>
  <c r="B81" i="23"/>
  <c r="B82" i="23"/>
  <c r="B83" i="23"/>
  <c r="B84" i="23"/>
  <c r="B85" i="23"/>
  <c r="B86" i="23"/>
  <c r="B87" i="23"/>
  <c r="B88" i="23"/>
  <c r="B57" i="23"/>
  <c r="B58" i="23"/>
  <c r="B59" i="23"/>
  <c r="B60" i="23"/>
  <c r="B61" i="23"/>
  <c r="B62" i="23"/>
  <c r="B63" i="23"/>
  <c r="B64" i="23"/>
  <c r="B65" i="23"/>
  <c r="B66" i="23"/>
  <c r="B67" i="23"/>
  <c r="B68" i="23"/>
  <c r="B69" i="23"/>
  <c r="B70" i="23"/>
  <c r="B71" i="23"/>
  <c r="B72" i="23"/>
  <c r="B73" i="23"/>
  <c r="B74" i="23"/>
  <c r="B75" i="23"/>
  <c r="B76" i="23"/>
  <c r="B77" i="23"/>
  <c r="B16" i="23"/>
  <c r="B17" i="23"/>
  <c r="B18" i="23"/>
  <c r="B19" i="23"/>
  <c r="B20" i="23"/>
  <c r="B21" i="23"/>
  <c r="B22" i="23"/>
  <c r="B23" i="23"/>
  <c r="B24" i="23"/>
  <c r="B25" i="23"/>
  <c r="B26" i="23"/>
  <c r="B27" i="23"/>
  <c r="B28" i="23"/>
  <c r="B29" i="23"/>
  <c r="L50" i="3"/>
  <c r="D85" i="23"/>
  <c r="L109" i="1"/>
  <c r="ET109" i="1" s="1"/>
  <c r="L108" i="1"/>
  <c r="ET108" i="1" s="1"/>
  <c r="L107" i="1"/>
  <c r="ET107" i="1" s="1"/>
  <c r="L106" i="1"/>
  <c r="ET106" i="1" s="1"/>
  <c r="L105" i="1"/>
  <c r="ET105" i="1" s="1"/>
  <c r="L104" i="1"/>
  <c r="ET104" i="1" s="1"/>
  <c r="L103" i="1"/>
  <c r="ET103" i="1" s="1"/>
  <c r="L102" i="1"/>
  <c r="ET102" i="1" s="1"/>
  <c r="L101" i="1"/>
  <c r="ET101" i="1" s="1"/>
  <c r="L100" i="1"/>
  <c r="B3" i="26"/>
  <c r="A203" i="32"/>
  <c r="A205" i="32"/>
  <c r="A230" i="32"/>
  <c r="A237" i="32"/>
  <c r="A241" i="32"/>
  <c r="A243" i="32"/>
  <c r="A251" i="32"/>
  <c r="A253" i="32"/>
  <c r="A261" i="32"/>
  <c r="A263" i="32"/>
  <c r="A271" i="32"/>
  <c r="A272" i="32"/>
  <c r="B272" i="32"/>
  <c r="C272" i="32"/>
  <c r="A274" i="32"/>
  <c r="A280" i="32"/>
  <c r="A281" i="32"/>
  <c r="A282" i="32"/>
  <c r="A283" i="32"/>
  <c r="A284" i="32"/>
  <c r="A287" i="32"/>
  <c r="A288" i="32"/>
  <c r="A289" i="32"/>
  <c r="A290" i="32"/>
  <c r="A291" i="32"/>
  <c r="A294" i="32"/>
  <c r="A295" i="32"/>
  <c r="A296" i="32"/>
  <c r="A297" i="32"/>
  <c r="A298" i="32"/>
  <c r="G35" i="26"/>
  <c r="G73" i="26"/>
  <c r="Q18" i="45"/>
  <c r="O30" i="42"/>
  <c r="F32" i="42"/>
  <c r="E32" i="42"/>
  <c r="D32" i="42"/>
  <c r="N30" i="42"/>
  <c r="L30" i="42"/>
  <c r="F109" i="1"/>
  <c r="AN109" i="1" s="1"/>
  <c r="AO109" i="1" s="1"/>
  <c r="AP109" i="1" s="1"/>
  <c r="AQ109" i="1" s="1"/>
  <c r="AR109" i="1" s="1"/>
  <c r="AS109" i="1" s="1"/>
  <c r="AT109" i="1" s="1"/>
  <c r="AU109" i="1" s="1"/>
  <c r="AV109" i="1" s="1"/>
  <c r="AW109" i="1" s="1"/>
  <c r="AX109" i="1" s="1"/>
  <c r="AY109" i="1" s="1"/>
  <c r="F108" i="1"/>
  <c r="F107" i="1"/>
  <c r="DH107" i="1" s="1"/>
  <c r="DI107" i="1" s="1"/>
  <c r="DJ107" i="1" s="1"/>
  <c r="DK107" i="1" s="1"/>
  <c r="DL107" i="1" s="1"/>
  <c r="DM107" i="1" s="1"/>
  <c r="DN107" i="1" s="1"/>
  <c r="DO107" i="1" s="1"/>
  <c r="DP107" i="1" s="1"/>
  <c r="DQ107" i="1" s="1"/>
  <c r="DR107" i="1" s="1"/>
  <c r="DS107" i="1" s="1"/>
  <c r="F106" i="1"/>
  <c r="W106" i="1" s="1"/>
  <c r="F105" i="1"/>
  <c r="R105" i="1" s="1"/>
  <c r="F104" i="1"/>
  <c r="AA104" i="1" s="1"/>
  <c r="F103" i="1"/>
  <c r="F102" i="1"/>
  <c r="Q102" i="1" s="1"/>
  <c r="F101" i="1"/>
  <c r="O29" i="42"/>
  <c r="L31" i="42"/>
  <c r="L34" i="42"/>
  <c r="N29" i="42"/>
  <c r="L29" i="42"/>
  <c r="F29" i="42"/>
  <c r="E29" i="42"/>
  <c r="G27" i="73" s="1"/>
  <c r="D29" i="42"/>
  <c r="F27" i="73" s="1"/>
  <c r="A23" i="42"/>
  <c r="J29" i="96" s="1"/>
  <c r="R18" i="17"/>
  <c r="R19" i="17"/>
  <c r="F224" i="1"/>
  <c r="I55" i="42"/>
  <c r="B2" i="26"/>
  <c r="B2" i="2"/>
  <c r="A1" i="42"/>
  <c r="A1" i="3" s="1"/>
  <c r="BT11" i="23"/>
  <c r="BT14" i="23"/>
  <c r="BT35" i="23"/>
  <c r="BT43" i="23"/>
  <c r="BT79" i="23"/>
  <c r="BT90" i="23" s="1"/>
  <c r="BT55" i="23"/>
  <c r="BT98" i="23"/>
  <c r="BT138" i="23"/>
  <c r="AR11" i="23"/>
  <c r="AS11" i="23"/>
  <c r="AT11" i="23"/>
  <c r="AU11" i="23"/>
  <c r="AV11" i="23"/>
  <c r="AW11" i="23"/>
  <c r="AX11" i="23"/>
  <c r="AY11" i="23"/>
  <c r="AZ11" i="23"/>
  <c r="BA11" i="23"/>
  <c r="BB11" i="23"/>
  <c r="BC11" i="23"/>
  <c r="BD11" i="23"/>
  <c r="BE11" i="23"/>
  <c r="BF11" i="23"/>
  <c r="BG11" i="23"/>
  <c r="BH11" i="23"/>
  <c r="BI11" i="23"/>
  <c r="BJ11" i="23"/>
  <c r="BK11" i="23"/>
  <c r="BL11" i="23"/>
  <c r="BM11" i="23"/>
  <c r="BN11" i="23"/>
  <c r="BO11" i="23"/>
  <c r="BP11" i="23"/>
  <c r="BQ11" i="23"/>
  <c r="BR11" i="23"/>
  <c r="BS11" i="23"/>
  <c r="AR14" i="23"/>
  <c r="AS14" i="23"/>
  <c r="AT14" i="23"/>
  <c r="AU14" i="23"/>
  <c r="AV14" i="23"/>
  <c r="AW14" i="23"/>
  <c r="AX14" i="23"/>
  <c r="AY14" i="23"/>
  <c r="AZ14" i="23"/>
  <c r="BA14" i="23"/>
  <c r="BB14" i="23"/>
  <c r="BC14" i="23"/>
  <c r="BD14" i="23"/>
  <c r="BE14" i="23"/>
  <c r="BF14" i="23"/>
  <c r="BG14" i="23"/>
  <c r="BH14" i="23"/>
  <c r="BI14" i="23"/>
  <c r="BJ14" i="23"/>
  <c r="BK14" i="23"/>
  <c r="BL14" i="23"/>
  <c r="BM14" i="23"/>
  <c r="BN14" i="23"/>
  <c r="BO14" i="23"/>
  <c r="BP14" i="23"/>
  <c r="BQ14" i="23"/>
  <c r="BR14" i="23"/>
  <c r="BS14" i="23"/>
  <c r="AR35" i="23"/>
  <c r="AS35" i="23"/>
  <c r="AT35" i="23"/>
  <c r="AU35" i="23"/>
  <c r="AV35" i="23"/>
  <c r="AW35" i="23"/>
  <c r="AX35" i="23"/>
  <c r="AY35" i="23"/>
  <c r="AZ35" i="23"/>
  <c r="BA35" i="23"/>
  <c r="BB35" i="23"/>
  <c r="BC35" i="23"/>
  <c r="BD35" i="23"/>
  <c r="BE35" i="23"/>
  <c r="BF35" i="23"/>
  <c r="BG35" i="23"/>
  <c r="BH35" i="23"/>
  <c r="BI35" i="23"/>
  <c r="BJ35" i="23"/>
  <c r="BK35" i="23"/>
  <c r="BL35" i="23"/>
  <c r="BM35" i="23"/>
  <c r="BN35" i="23"/>
  <c r="BO35" i="23"/>
  <c r="BP35" i="23"/>
  <c r="BQ35" i="23"/>
  <c r="BR35" i="23"/>
  <c r="BS35" i="23"/>
  <c r="AR43" i="23"/>
  <c r="AS43" i="23"/>
  <c r="AT43" i="23"/>
  <c r="AU43" i="23"/>
  <c r="AV43" i="23"/>
  <c r="AW43" i="23"/>
  <c r="AX43" i="23"/>
  <c r="AY43" i="23"/>
  <c r="AZ43" i="23"/>
  <c r="BA43" i="23"/>
  <c r="BB43" i="23"/>
  <c r="BC43" i="23"/>
  <c r="BD43" i="23"/>
  <c r="BE43" i="23"/>
  <c r="BF43" i="23"/>
  <c r="BG43" i="23"/>
  <c r="BH43" i="23"/>
  <c r="BI43" i="23"/>
  <c r="BJ43" i="23"/>
  <c r="BK43" i="23"/>
  <c r="BL43" i="23"/>
  <c r="BM43" i="23"/>
  <c r="BN43" i="23"/>
  <c r="BO43" i="23"/>
  <c r="BP43" i="23"/>
  <c r="BQ43" i="23"/>
  <c r="BR43" i="23"/>
  <c r="BS43" i="23"/>
  <c r="AR79" i="23"/>
  <c r="AR90" i="23" s="1"/>
  <c r="AS79" i="23"/>
  <c r="AS90" i="23" s="1"/>
  <c r="AT79" i="23"/>
  <c r="AT90" i="23" s="1"/>
  <c r="AU79" i="23"/>
  <c r="AU90" i="23" s="1"/>
  <c r="AV79" i="23"/>
  <c r="AV90" i="23" s="1"/>
  <c r="AW79" i="23"/>
  <c r="AW90" i="23" s="1"/>
  <c r="AX79" i="23"/>
  <c r="AX90" i="23" s="1"/>
  <c r="AY79" i="23"/>
  <c r="AY90" i="23" s="1"/>
  <c r="AZ79" i="23"/>
  <c r="AZ90" i="23" s="1"/>
  <c r="BA79" i="23"/>
  <c r="BA90" i="23" s="1"/>
  <c r="BB79" i="23"/>
  <c r="BB90" i="23" s="1"/>
  <c r="BC79" i="23"/>
  <c r="BC90" i="23" s="1"/>
  <c r="BD79" i="23"/>
  <c r="BE79" i="23"/>
  <c r="BE90" i="23" s="1"/>
  <c r="BF79" i="23"/>
  <c r="BF90" i="23" s="1"/>
  <c r="BG79" i="23"/>
  <c r="BG90" i="23" s="1"/>
  <c r="BH79" i="23"/>
  <c r="BH90" i="23" s="1"/>
  <c r="BI79" i="23"/>
  <c r="BI90" i="23" s="1"/>
  <c r="BJ79" i="23"/>
  <c r="BJ90" i="23" s="1"/>
  <c r="BK79" i="23"/>
  <c r="BK90" i="23" s="1"/>
  <c r="BL79" i="23"/>
  <c r="BL90" i="23" s="1"/>
  <c r="BM79" i="23"/>
  <c r="BM90" i="23" s="1"/>
  <c r="BN79" i="23"/>
  <c r="BN90" i="23" s="1"/>
  <c r="BO79" i="23"/>
  <c r="BO90" i="23" s="1"/>
  <c r="BP79" i="23"/>
  <c r="BP90" i="23" s="1"/>
  <c r="BQ79" i="23"/>
  <c r="BQ90" i="23" s="1"/>
  <c r="BR79" i="23"/>
  <c r="BR90" i="23" s="1"/>
  <c r="BS79" i="23"/>
  <c r="BS90" i="23" s="1"/>
  <c r="AR55" i="23"/>
  <c r="AS55" i="23"/>
  <c r="AT55" i="23"/>
  <c r="AU55" i="23"/>
  <c r="AV55" i="23"/>
  <c r="AW55" i="23"/>
  <c r="AX55" i="23"/>
  <c r="AY55" i="23"/>
  <c r="AZ55" i="23"/>
  <c r="BA55" i="23"/>
  <c r="BB55" i="23"/>
  <c r="BC55" i="23"/>
  <c r="BD55" i="23"/>
  <c r="BE55" i="23"/>
  <c r="BF55" i="23"/>
  <c r="BG55" i="23"/>
  <c r="BH55" i="23"/>
  <c r="BI55" i="23"/>
  <c r="BJ55" i="23"/>
  <c r="BK55" i="23"/>
  <c r="BL55" i="23"/>
  <c r="BM55" i="23"/>
  <c r="BN55" i="23"/>
  <c r="BO55" i="23"/>
  <c r="BP55" i="23"/>
  <c r="BQ55" i="23"/>
  <c r="BR55" i="23"/>
  <c r="BR98" i="23"/>
  <c r="BR138" i="23"/>
  <c r="BS55" i="23"/>
  <c r="AR98" i="23"/>
  <c r="AS98" i="23"/>
  <c r="AT98" i="23"/>
  <c r="AU98" i="23"/>
  <c r="AV98" i="23"/>
  <c r="AW98" i="23"/>
  <c r="AX98" i="23"/>
  <c r="AY98" i="23"/>
  <c r="AZ98" i="23"/>
  <c r="BA98" i="23"/>
  <c r="BB98" i="23"/>
  <c r="BC98" i="23"/>
  <c r="BD98" i="23"/>
  <c r="BE98" i="23"/>
  <c r="BF98" i="23"/>
  <c r="BG98" i="23"/>
  <c r="BH98" i="23"/>
  <c r="BI98" i="23"/>
  <c r="BJ98" i="23"/>
  <c r="BK98" i="23"/>
  <c r="BL98" i="23"/>
  <c r="BM98" i="23"/>
  <c r="BN98" i="23"/>
  <c r="BO98" i="23"/>
  <c r="BP98" i="23"/>
  <c r="BQ98" i="23"/>
  <c r="BS98" i="23"/>
  <c r="AR138" i="23"/>
  <c r="AS138" i="23"/>
  <c r="AT138" i="23"/>
  <c r="AU138" i="23"/>
  <c r="AV138" i="23"/>
  <c r="AW138" i="23"/>
  <c r="AX138" i="23"/>
  <c r="AY138" i="23"/>
  <c r="AZ138" i="23"/>
  <c r="BA138" i="23"/>
  <c r="BB138" i="23"/>
  <c r="BC138" i="23"/>
  <c r="BD138" i="23"/>
  <c r="BE138" i="23"/>
  <c r="BF138" i="23"/>
  <c r="BG138" i="23"/>
  <c r="BH138" i="23"/>
  <c r="BI138" i="23"/>
  <c r="BJ138" i="23"/>
  <c r="BK138" i="23"/>
  <c r="BL138" i="23"/>
  <c r="BM138" i="23"/>
  <c r="BN138" i="23"/>
  <c r="BO138" i="23"/>
  <c r="BP138" i="23"/>
  <c r="BQ138" i="23"/>
  <c r="BS138" i="23"/>
  <c r="A140" i="23"/>
  <c r="A141" i="23"/>
  <c r="A142" i="23"/>
  <c r="A143" i="23"/>
  <c r="A144" i="23"/>
  <c r="A145" i="23"/>
  <c r="A146" i="23"/>
  <c r="A147" i="23"/>
  <c r="A148" i="23"/>
  <c r="A149" i="23"/>
  <c r="A150" i="23"/>
  <c r="A151" i="23"/>
  <c r="A152" i="23"/>
  <c r="A153" i="23"/>
  <c r="A154" i="23"/>
  <c r="A155" i="23"/>
  <c r="A156" i="23"/>
  <c r="A139" i="23"/>
  <c r="B139" i="23"/>
  <c r="B56" i="23"/>
  <c r="F9" i="38"/>
  <c r="I9" i="38"/>
  <c r="F10" i="38"/>
  <c r="F11" i="38"/>
  <c r="F12" i="38"/>
  <c r="F15" i="38"/>
  <c r="F24" i="38"/>
  <c r="F28" i="38"/>
  <c r="I54" i="42"/>
  <c r="I57" i="42"/>
  <c r="N15" i="42"/>
  <c r="M15" i="42"/>
  <c r="K15" i="42"/>
  <c r="J15" i="42"/>
  <c r="J14" i="42"/>
  <c r="K14" i="42"/>
  <c r="M14" i="42"/>
  <c r="N14" i="42"/>
  <c r="M24" i="42"/>
  <c r="S15" i="42"/>
  <c r="N7" i="42"/>
  <c r="O7" i="73" s="1"/>
  <c r="S13" i="42"/>
  <c r="S12" i="42"/>
  <c r="AK3" i="75" s="1"/>
  <c r="S11" i="42"/>
  <c r="S10" i="42"/>
  <c r="A63" i="21"/>
  <c r="A58" i="21"/>
  <c r="H83" i="57"/>
  <c r="F33" i="42"/>
  <c r="E33" i="42"/>
  <c r="D33" i="42"/>
  <c r="C33" i="42"/>
  <c r="C3" i="38"/>
  <c r="B3" i="38"/>
  <c r="B1" i="38"/>
  <c r="A175" i="23"/>
  <c r="A173" i="23"/>
  <c r="A172" i="23"/>
  <c r="N44" i="1"/>
  <c r="H44" i="1" s="1"/>
  <c r="N43" i="1"/>
  <c r="H43" i="1" s="1"/>
  <c r="N32" i="1"/>
  <c r="H32" i="1" s="1"/>
  <c r="N31" i="1"/>
  <c r="H31" i="1" s="1"/>
  <c r="N30" i="1"/>
  <c r="H30" i="1" s="1"/>
  <c r="N29" i="1"/>
  <c r="H29" i="1" s="1"/>
  <c r="N28" i="1"/>
  <c r="H28" i="1" s="1"/>
  <c r="N27" i="1"/>
  <c r="H27" i="1" s="1"/>
  <c r="N26" i="1"/>
  <c r="H26" i="1" s="1"/>
  <c r="N25" i="1"/>
  <c r="H25" i="1" s="1"/>
  <c r="N24" i="1"/>
  <c r="N23" i="1"/>
  <c r="H23" i="1" s="1"/>
  <c r="N22" i="1"/>
  <c r="H22" i="1" s="1"/>
  <c r="N21" i="1"/>
  <c r="H21" i="1" s="1"/>
  <c r="N20" i="1"/>
  <c r="H20" i="1" s="1"/>
  <c r="N19" i="1"/>
  <c r="N18" i="1"/>
  <c r="H18" i="1" s="1"/>
  <c r="N17" i="1"/>
  <c r="H17" i="1" s="1"/>
  <c r="N16" i="1"/>
  <c r="H16" i="1" s="1"/>
  <c r="N15" i="1"/>
  <c r="H15" i="1" s="1"/>
  <c r="F7" i="23"/>
  <c r="A277" i="32"/>
  <c r="A276" i="32"/>
  <c r="A275" i="32"/>
  <c r="A177" i="32"/>
  <c r="A176" i="32"/>
  <c r="A175" i="32"/>
  <c r="A148" i="32"/>
  <c r="A147" i="32"/>
  <c r="A146" i="32"/>
  <c r="A170" i="23"/>
  <c r="A167" i="23"/>
  <c r="A168" i="23"/>
  <c r="T39" i="17"/>
  <c r="T31" i="17"/>
  <c r="D42" i="24" s="1"/>
  <c r="T23" i="17"/>
  <c r="T7" i="17"/>
  <c r="L7" i="17"/>
  <c r="K7" i="17"/>
  <c r="B53" i="23"/>
  <c r="B52" i="23"/>
  <c r="B47" i="23"/>
  <c r="B49" i="23"/>
  <c r="B50" i="23"/>
  <c r="B51" i="23"/>
  <c r="B46" i="23"/>
  <c r="B45" i="23"/>
  <c r="J11" i="23"/>
  <c r="A8" i="32"/>
  <c r="A9" i="32"/>
  <c r="A10" i="32"/>
  <c r="A11" i="32"/>
  <c r="A13" i="32"/>
  <c r="A14" i="32"/>
  <c r="A15" i="32"/>
  <c r="A16" i="32"/>
  <c r="A17" i="32"/>
  <c r="A18" i="32"/>
  <c r="A20" i="32"/>
  <c r="A21" i="32"/>
  <c r="A22" i="32"/>
  <c r="A23" i="32"/>
  <c r="A24" i="32"/>
  <c r="A26" i="32"/>
  <c r="A27" i="32"/>
  <c r="A28" i="32"/>
  <c r="A29" i="32"/>
  <c r="A31" i="32"/>
  <c r="A32" i="32"/>
  <c r="A33" i="32"/>
  <c r="A34" i="32"/>
  <c r="A35" i="32"/>
  <c r="A36" i="32"/>
  <c r="A38" i="32"/>
  <c r="A41" i="32"/>
  <c r="A42" i="32"/>
  <c r="A43" i="32"/>
  <c r="A46" i="32"/>
  <c r="A47" i="32"/>
  <c r="A48" i="32"/>
  <c r="A49" i="32"/>
  <c r="A50" i="32"/>
  <c r="A51" i="32"/>
  <c r="A52" i="32"/>
  <c r="A53" i="32"/>
  <c r="A54" i="32"/>
  <c r="A57" i="32"/>
  <c r="A58" i="32"/>
  <c r="A59" i="32"/>
  <c r="A60" i="32"/>
  <c r="A61" i="32"/>
  <c r="A62" i="32"/>
  <c r="A63" i="32"/>
  <c r="A66" i="32"/>
  <c r="A67" i="32"/>
  <c r="A68" i="32"/>
  <c r="A71" i="32"/>
  <c r="A72" i="32"/>
  <c r="A73" i="32"/>
  <c r="A74" i="32"/>
  <c r="A75" i="32"/>
  <c r="A76" i="32"/>
  <c r="A77" i="32"/>
  <c r="A78" i="32"/>
  <c r="A79" i="32"/>
  <c r="A82" i="32"/>
  <c r="A83" i="32"/>
  <c r="A84" i="32"/>
  <c r="A85" i="32"/>
  <c r="A86" i="32"/>
  <c r="A87" i="32"/>
  <c r="A88" i="32"/>
  <c r="A91" i="32"/>
  <c r="A92" i="32"/>
  <c r="A93" i="32"/>
  <c r="A96" i="32"/>
  <c r="A97" i="32"/>
  <c r="A98" i="32"/>
  <c r="A99" i="32"/>
  <c r="A100" i="32"/>
  <c r="A101" i="32"/>
  <c r="A102" i="32"/>
  <c r="A103" i="32"/>
  <c r="A104" i="32"/>
  <c r="A107" i="32"/>
  <c r="A108" i="32"/>
  <c r="A109" i="32"/>
  <c r="A110" i="32"/>
  <c r="A111" i="32"/>
  <c r="A112" i="32"/>
  <c r="A113" i="32"/>
  <c r="A115" i="32"/>
  <c r="A117" i="32"/>
  <c r="A118" i="32"/>
  <c r="A124" i="32"/>
  <c r="A125" i="32"/>
  <c r="A127" i="32"/>
  <c r="A128" i="32"/>
  <c r="A129" i="32"/>
  <c r="A130" i="32"/>
  <c r="A133" i="32"/>
  <c r="A135" i="32"/>
  <c r="A137" i="32"/>
  <c r="A139" i="32"/>
  <c r="A141" i="32"/>
  <c r="A143" i="32"/>
  <c r="A145" i="32"/>
  <c r="A150" i="32"/>
  <c r="A151" i="32"/>
  <c r="D151" i="32"/>
  <c r="A152" i="32"/>
  <c r="A153" i="32"/>
  <c r="A154" i="32"/>
  <c r="D154" i="32"/>
  <c r="A155" i="32"/>
  <c r="A156" i="32"/>
  <c r="D156" i="32"/>
  <c r="A158" i="32"/>
  <c r="D158" i="32"/>
  <c r="A159" i="32"/>
  <c r="A160" i="32"/>
  <c r="A162" i="32"/>
  <c r="A163" i="32"/>
  <c r="A166" i="32"/>
  <c r="A169" i="32"/>
  <c r="A172" i="32"/>
  <c r="A174" i="32"/>
  <c r="A179" i="32"/>
  <c r="A180" i="32"/>
  <c r="A181" i="32"/>
  <c r="A182" i="32"/>
  <c r="A183" i="32"/>
  <c r="A184" i="32"/>
  <c r="A185" i="32"/>
  <c r="A186" i="32"/>
  <c r="A187" i="32"/>
  <c r="A188" i="32"/>
  <c r="A189" i="32"/>
  <c r="A190" i="32"/>
  <c r="A192" i="32"/>
  <c r="A193" i="32"/>
  <c r="A194" i="32"/>
  <c r="A198" i="32"/>
  <c r="N33" i="32"/>
  <c r="M33" i="32"/>
  <c r="L33" i="32"/>
  <c r="K33" i="32"/>
  <c r="J33" i="32"/>
  <c r="I33" i="32"/>
  <c r="H33" i="32"/>
  <c r="G33" i="32"/>
  <c r="F33" i="32"/>
  <c r="E107" i="32"/>
  <c r="E96" i="32"/>
  <c r="E91" i="32"/>
  <c r="E82" i="32"/>
  <c r="E71" i="32"/>
  <c r="E66" i="32"/>
  <c r="E57" i="32"/>
  <c r="E46" i="32"/>
  <c r="E41" i="32"/>
  <c r="E33" i="32"/>
  <c r="E21" i="32"/>
  <c r="E14" i="32"/>
  <c r="E9" i="32"/>
  <c r="D35" i="2"/>
  <c r="A191" i="32"/>
  <c r="N189" i="32"/>
  <c r="M189" i="32"/>
  <c r="L189" i="32"/>
  <c r="K189" i="32"/>
  <c r="J189" i="32"/>
  <c r="I189" i="32"/>
  <c r="H189" i="32"/>
  <c r="G189" i="32"/>
  <c r="F189" i="32"/>
  <c r="E189" i="32"/>
  <c r="D107" i="32"/>
  <c r="D82" i="32"/>
  <c r="D91" i="32"/>
  <c r="D96" i="32"/>
  <c r="D66" i="32"/>
  <c r="D71" i="32"/>
  <c r="D57" i="32"/>
  <c r="D46" i="32"/>
  <c r="D41" i="32"/>
  <c r="D32" i="32"/>
  <c r="D27" i="32"/>
  <c r="D21" i="32"/>
  <c r="D14" i="32"/>
  <c r="D9" i="32"/>
  <c r="Q173" i="3"/>
  <c r="Q174" i="3"/>
  <c r="Q175" i="3"/>
  <c r="Q176" i="3"/>
  <c r="Q177" i="3"/>
  <c r="Q178" i="3"/>
  <c r="Q179" i="3"/>
  <c r="Q180" i="3"/>
  <c r="Q181" i="3"/>
  <c r="Q182" i="3"/>
  <c r="Q183" i="3"/>
  <c r="Q184" i="3"/>
  <c r="Q185" i="3"/>
  <c r="Q186" i="3"/>
  <c r="Q187" i="3"/>
  <c r="Q188" i="3"/>
  <c r="Q189" i="3"/>
  <c r="Q190" i="3"/>
  <c r="Q191" i="3"/>
  <c r="Q192" i="3"/>
  <c r="Q193" i="3"/>
  <c r="Q194" i="3"/>
  <c r="Q195" i="3"/>
  <c r="Q196" i="3"/>
  <c r="Q197" i="3"/>
  <c r="Q198" i="3"/>
  <c r="Q199" i="3"/>
  <c r="Q200" i="3"/>
  <c r="Q201" i="3"/>
  <c r="Q202" i="3"/>
  <c r="Q203" i="3"/>
  <c r="Q204" i="3"/>
  <c r="Q205" i="3"/>
  <c r="Q206" i="3"/>
  <c r="Q207" i="3"/>
  <c r="Q208" i="3"/>
  <c r="Q209" i="3"/>
  <c r="Q210" i="3"/>
  <c r="Q211" i="3"/>
  <c r="Q212" i="3"/>
  <c r="Q213" i="3"/>
  <c r="Q214" i="3"/>
  <c r="Q215" i="3"/>
  <c r="Q216" i="3"/>
  <c r="Q217" i="3"/>
  <c r="Q218" i="3"/>
  <c r="Q172" i="3"/>
  <c r="Q171" i="3"/>
  <c r="AQ55" i="23"/>
  <c r="AP55" i="23"/>
  <c r="AO55" i="23"/>
  <c r="AN55" i="23"/>
  <c r="AM55" i="23"/>
  <c r="AL55" i="23"/>
  <c r="AK55" i="23"/>
  <c r="AJ55" i="23"/>
  <c r="AI55" i="23"/>
  <c r="AH55" i="23"/>
  <c r="AG55" i="23"/>
  <c r="AF55" i="23"/>
  <c r="AE55" i="23"/>
  <c r="AD55" i="23"/>
  <c r="AC55" i="23"/>
  <c r="AB55" i="23"/>
  <c r="AA55" i="23"/>
  <c r="Z55" i="23"/>
  <c r="Y55" i="23"/>
  <c r="X55" i="23"/>
  <c r="W55" i="23"/>
  <c r="V55" i="23"/>
  <c r="U55" i="23"/>
  <c r="T55" i="23"/>
  <c r="R55" i="23"/>
  <c r="Q55" i="23"/>
  <c r="P55" i="23"/>
  <c r="O55" i="23"/>
  <c r="N55" i="23"/>
  <c r="M55" i="23"/>
  <c r="K55" i="23"/>
  <c r="J55" i="23"/>
  <c r="I55" i="23"/>
  <c r="R244" i="1"/>
  <c r="R260" i="1" s="1"/>
  <c r="JV109" i="1"/>
  <c r="JU109" i="1"/>
  <c r="JT109" i="1"/>
  <c r="JS109" i="1"/>
  <c r="JR109" i="1"/>
  <c r="JQ109" i="1"/>
  <c r="JP109" i="1"/>
  <c r="JO109" i="1"/>
  <c r="JN109" i="1"/>
  <c r="JM109" i="1"/>
  <c r="JL109" i="1"/>
  <c r="JK109" i="1"/>
  <c r="JJ109" i="1"/>
  <c r="JI109" i="1"/>
  <c r="JH109" i="1"/>
  <c r="JG109" i="1"/>
  <c r="JF109" i="1"/>
  <c r="JE109" i="1"/>
  <c r="JD109" i="1"/>
  <c r="JC109" i="1"/>
  <c r="JB109" i="1"/>
  <c r="JA109" i="1"/>
  <c r="IZ109" i="1"/>
  <c r="IY109" i="1"/>
  <c r="IX109" i="1"/>
  <c r="IW109" i="1"/>
  <c r="IV109" i="1"/>
  <c r="IU109" i="1"/>
  <c r="IT109" i="1"/>
  <c r="IS109" i="1"/>
  <c r="IR109" i="1"/>
  <c r="IQ109" i="1"/>
  <c r="IP109" i="1"/>
  <c r="IO109" i="1"/>
  <c r="IN109" i="1"/>
  <c r="IM109" i="1"/>
  <c r="IL109" i="1"/>
  <c r="IK109" i="1"/>
  <c r="IJ109" i="1"/>
  <c r="II109" i="1"/>
  <c r="IH109" i="1"/>
  <c r="IG109" i="1"/>
  <c r="IF109" i="1"/>
  <c r="IE109" i="1"/>
  <c r="ID109" i="1"/>
  <c r="IC109" i="1"/>
  <c r="IB109" i="1"/>
  <c r="IA109" i="1"/>
  <c r="HZ109" i="1"/>
  <c r="HY109" i="1"/>
  <c r="HX109" i="1"/>
  <c r="HW109" i="1"/>
  <c r="HV109" i="1"/>
  <c r="HU109" i="1"/>
  <c r="HT109" i="1"/>
  <c r="HS109" i="1"/>
  <c r="HR109" i="1"/>
  <c r="HQ109" i="1"/>
  <c r="HP109" i="1"/>
  <c r="HO109" i="1"/>
  <c r="HN109" i="1"/>
  <c r="HM109" i="1"/>
  <c r="HL109" i="1"/>
  <c r="HK109" i="1"/>
  <c r="HJ109" i="1"/>
  <c r="HI109" i="1"/>
  <c r="HH109" i="1"/>
  <c r="HG109" i="1"/>
  <c r="HF109" i="1"/>
  <c r="HE109" i="1"/>
  <c r="HD109" i="1"/>
  <c r="HC109" i="1"/>
  <c r="HB109" i="1"/>
  <c r="HA109" i="1"/>
  <c r="GZ109" i="1"/>
  <c r="GY109" i="1"/>
  <c r="GX109" i="1"/>
  <c r="GW109" i="1"/>
  <c r="GV109" i="1"/>
  <c r="GU109" i="1"/>
  <c r="GT109" i="1"/>
  <c r="GS109" i="1"/>
  <c r="GR109" i="1"/>
  <c r="GQ109" i="1"/>
  <c r="GP109" i="1"/>
  <c r="GO109" i="1"/>
  <c r="GN109" i="1"/>
  <c r="GM109" i="1"/>
  <c r="GL109" i="1"/>
  <c r="GG109" i="1"/>
  <c r="GF109" i="1"/>
  <c r="GE109" i="1"/>
  <c r="GD109" i="1"/>
  <c r="GC109" i="1"/>
  <c r="GB109" i="1"/>
  <c r="GA109" i="1"/>
  <c r="FZ109" i="1"/>
  <c r="FY109" i="1"/>
  <c r="FX109" i="1"/>
  <c r="FW109" i="1"/>
  <c r="FV109" i="1"/>
  <c r="FU109" i="1"/>
  <c r="FT109" i="1"/>
  <c r="FS109" i="1"/>
  <c r="FR109" i="1"/>
  <c r="FQ109" i="1"/>
  <c r="FP109" i="1"/>
  <c r="FO109" i="1"/>
  <c r="FN109" i="1"/>
  <c r="FM109" i="1"/>
  <c r="FL109" i="1"/>
  <c r="FK109" i="1"/>
  <c r="FJ109" i="1"/>
  <c r="FI109" i="1"/>
  <c r="FH109" i="1"/>
  <c r="FG109" i="1"/>
  <c r="FF109" i="1"/>
  <c r="FE109" i="1"/>
  <c r="FD109" i="1"/>
  <c r="FC109" i="1"/>
  <c r="FB109" i="1"/>
  <c r="FA109" i="1"/>
  <c r="EZ109" i="1"/>
  <c r="EY109" i="1"/>
  <c r="EX109" i="1"/>
  <c r="EW109" i="1"/>
  <c r="EV109" i="1"/>
  <c r="JV108" i="1"/>
  <c r="JU108" i="1"/>
  <c r="JT108" i="1"/>
  <c r="JS108" i="1"/>
  <c r="JR108" i="1"/>
  <c r="JQ108" i="1"/>
  <c r="JP108" i="1"/>
  <c r="JO108" i="1"/>
  <c r="JN108" i="1"/>
  <c r="JM108" i="1"/>
  <c r="JL108" i="1"/>
  <c r="JK108" i="1"/>
  <c r="JJ108" i="1"/>
  <c r="JI108" i="1"/>
  <c r="JH108" i="1"/>
  <c r="JG108" i="1"/>
  <c r="JF108" i="1"/>
  <c r="JE108" i="1"/>
  <c r="JD108" i="1"/>
  <c r="JC108" i="1"/>
  <c r="JB108" i="1"/>
  <c r="JA108" i="1"/>
  <c r="IZ108" i="1"/>
  <c r="IY108" i="1"/>
  <c r="IX108" i="1"/>
  <c r="IW108" i="1"/>
  <c r="IV108" i="1"/>
  <c r="IU108" i="1"/>
  <c r="IT108" i="1"/>
  <c r="IS108" i="1"/>
  <c r="IR108" i="1"/>
  <c r="IQ108" i="1"/>
  <c r="IP108" i="1"/>
  <c r="IO108" i="1"/>
  <c r="IN108" i="1"/>
  <c r="IM108" i="1"/>
  <c r="IL108" i="1"/>
  <c r="IK108" i="1"/>
  <c r="IJ108" i="1"/>
  <c r="II108" i="1"/>
  <c r="IH108" i="1"/>
  <c r="IG108" i="1"/>
  <c r="IF108" i="1"/>
  <c r="IE108" i="1"/>
  <c r="ID108" i="1"/>
  <c r="IC108" i="1"/>
  <c r="IB108" i="1"/>
  <c r="IA108" i="1"/>
  <c r="HZ108" i="1"/>
  <c r="HY108" i="1"/>
  <c r="HX108" i="1"/>
  <c r="HW108" i="1"/>
  <c r="HV108" i="1"/>
  <c r="HU108" i="1"/>
  <c r="HT108" i="1"/>
  <c r="HS108" i="1"/>
  <c r="HR108" i="1"/>
  <c r="HQ108" i="1"/>
  <c r="HP108" i="1"/>
  <c r="HO108" i="1"/>
  <c r="HN108" i="1"/>
  <c r="HM108" i="1"/>
  <c r="HL108" i="1"/>
  <c r="HK108" i="1"/>
  <c r="HJ108" i="1"/>
  <c r="HI108" i="1"/>
  <c r="HH108" i="1"/>
  <c r="HG108" i="1"/>
  <c r="HF108" i="1"/>
  <c r="HE108" i="1"/>
  <c r="HD108" i="1"/>
  <c r="HC108" i="1"/>
  <c r="HB108" i="1"/>
  <c r="HA108" i="1"/>
  <c r="GZ108" i="1"/>
  <c r="GY108" i="1"/>
  <c r="GX108" i="1"/>
  <c r="GW108" i="1"/>
  <c r="GV108" i="1"/>
  <c r="GU108" i="1"/>
  <c r="GT108" i="1"/>
  <c r="GS108" i="1"/>
  <c r="GR108" i="1"/>
  <c r="GQ108" i="1"/>
  <c r="GP108" i="1"/>
  <c r="GO108" i="1"/>
  <c r="GN108" i="1"/>
  <c r="GM108" i="1"/>
  <c r="GL108" i="1"/>
  <c r="GK108" i="1"/>
  <c r="GJ108" i="1"/>
  <c r="GE108" i="1"/>
  <c r="GD108" i="1"/>
  <c r="GC108" i="1"/>
  <c r="GB108" i="1"/>
  <c r="GA108" i="1"/>
  <c r="FZ108" i="1"/>
  <c r="FY108" i="1"/>
  <c r="FX108" i="1"/>
  <c r="FW108" i="1"/>
  <c r="FV108" i="1"/>
  <c r="FU108" i="1"/>
  <c r="FT108" i="1"/>
  <c r="FS108" i="1"/>
  <c r="FR108" i="1"/>
  <c r="FQ108" i="1"/>
  <c r="FP108" i="1"/>
  <c r="FO108" i="1"/>
  <c r="FN108" i="1"/>
  <c r="FM108" i="1"/>
  <c r="FL108" i="1"/>
  <c r="FK108" i="1"/>
  <c r="FJ108" i="1"/>
  <c r="FI108" i="1"/>
  <c r="FH108" i="1"/>
  <c r="FG108" i="1"/>
  <c r="FF108" i="1"/>
  <c r="FE108" i="1"/>
  <c r="FD108" i="1"/>
  <c r="FC108" i="1"/>
  <c r="FB108" i="1"/>
  <c r="FA108" i="1"/>
  <c r="EZ108" i="1"/>
  <c r="EY108" i="1"/>
  <c r="EX108" i="1"/>
  <c r="EW108" i="1"/>
  <c r="EV108" i="1"/>
  <c r="JV107" i="1"/>
  <c r="JU107" i="1"/>
  <c r="JT107" i="1"/>
  <c r="JS107" i="1"/>
  <c r="JR107" i="1"/>
  <c r="JQ107" i="1"/>
  <c r="JP107" i="1"/>
  <c r="JO107" i="1"/>
  <c r="JN107" i="1"/>
  <c r="JM107" i="1"/>
  <c r="JL107" i="1"/>
  <c r="JK107" i="1"/>
  <c r="JJ107" i="1"/>
  <c r="JI107" i="1"/>
  <c r="JH107" i="1"/>
  <c r="JG107" i="1"/>
  <c r="JF107" i="1"/>
  <c r="JE107" i="1"/>
  <c r="JD107" i="1"/>
  <c r="JC107" i="1"/>
  <c r="JB107" i="1"/>
  <c r="JA107" i="1"/>
  <c r="IZ107" i="1"/>
  <c r="IY107" i="1"/>
  <c r="IX107" i="1"/>
  <c r="IW107" i="1"/>
  <c r="IV107" i="1"/>
  <c r="IU107" i="1"/>
  <c r="IT107" i="1"/>
  <c r="IS107" i="1"/>
  <c r="IR107" i="1"/>
  <c r="IQ107" i="1"/>
  <c r="IP107" i="1"/>
  <c r="IO107" i="1"/>
  <c r="IN107" i="1"/>
  <c r="IM107" i="1"/>
  <c r="IL107" i="1"/>
  <c r="IK107" i="1"/>
  <c r="IJ107" i="1"/>
  <c r="II107" i="1"/>
  <c r="IH107" i="1"/>
  <c r="IG107" i="1"/>
  <c r="IF107" i="1"/>
  <c r="IE107" i="1"/>
  <c r="ID107" i="1"/>
  <c r="IC107" i="1"/>
  <c r="IB107" i="1"/>
  <c r="IA107" i="1"/>
  <c r="HZ107" i="1"/>
  <c r="HY107" i="1"/>
  <c r="HX107" i="1"/>
  <c r="HW107" i="1"/>
  <c r="HV107" i="1"/>
  <c r="HU107" i="1"/>
  <c r="HT107" i="1"/>
  <c r="HS107" i="1"/>
  <c r="HR107" i="1"/>
  <c r="HQ107" i="1"/>
  <c r="HP107" i="1"/>
  <c r="HO107" i="1"/>
  <c r="HN107" i="1"/>
  <c r="HM107" i="1"/>
  <c r="HL107" i="1"/>
  <c r="HK107" i="1"/>
  <c r="HJ107" i="1"/>
  <c r="HI107" i="1"/>
  <c r="HH107" i="1"/>
  <c r="HG107" i="1"/>
  <c r="HF107" i="1"/>
  <c r="HE107" i="1"/>
  <c r="HD107" i="1"/>
  <c r="HC107" i="1"/>
  <c r="HB107" i="1"/>
  <c r="HA107" i="1"/>
  <c r="GZ107" i="1"/>
  <c r="GY107" i="1"/>
  <c r="GX107" i="1"/>
  <c r="GW107" i="1"/>
  <c r="GV107" i="1"/>
  <c r="GU107" i="1"/>
  <c r="GT107" i="1"/>
  <c r="GS107" i="1"/>
  <c r="GR107" i="1"/>
  <c r="GQ107" i="1"/>
  <c r="GP107" i="1"/>
  <c r="GO107" i="1"/>
  <c r="GN107" i="1"/>
  <c r="GM107" i="1"/>
  <c r="GC107" i="1"/>
  <c r="GB107" i="1"/>
  <c r="GA107" i="1"/>
  <c r="FZ107" i="1"/>
  <c r="FY107" i="1"/>
  <c r="FX107" i="1"/>
  <c r="FV107" i="1"/>
  <c r="FU107" i="1"/>
  <c r="FT107" i="1"/>
  <c r="FS107" i="1"/>
  <c r="FR107" i="1"/>
  <c r="FQ107" i="1"/>
  <c r="FP107" i="1"/>
  <c r="FO107" i="1"/>
  <c r="FN107" i="1"/>
  <c r="FM107" i="1"/>
  <c r="FL107" i="1"/>
  <c r="FK107" i="1"/>
  <c r="FJ107" i="1"/>
  <c r="FI107" i="1"/>
  <c r="FH107" i="1"/>
  <c r="FG107" i="1"/>
  <c r="FF107" i="1"/>
  <c r="FE107" i="1"/>
  <c r="FD107" i="1"/>
  <c r="FC107" i="1"/>
  <c r="FB107" i="1"/>
  <c r="FA107" i="1"/>
  <c r="EZ107" i="1"/>
  <c r="EY107" i="1"/>
  <c r="EX107" i="1"/>
  <c r="EW107" i="1"/>
  <c r="EV107" i="1"/>
  <c r="JV106" i="1"/>
  <c r="JU106" i="1"/>
  <c r="JT106" i="1"/>
  <c r="JS106" i="1"/>
  <c r="JR106" i="1"/>
  <c r="JQ106" i="1"/>
  <c r="JP106" i="1"/>
  <c r="JO106" i="1"/>
  <c r="JN106" i="1"/>
  <c r="JM106" i="1"/>
  <c r="JL106" i="1"/>
  <c r="JK106" i="1"/>
  <c r="JJ106" i="1"/>
  <c r="JI106" i="1"/>
  <c r="JH106" i="1"/>
  <c r="JG106" i="1"/>
  <c r="JF106" i="1"/>
  <c r="JE106" i="1"/>
  <c r="JD106" i="1"/>
  <c r="JC106" i="1"/>
  <c r="JB106" i="1"/>
  <c r="JA106" i="1"/>
  <c r="IZ106" i="1"/>
  <c r="IY106" i="1"/>
  <c r="IX106" i="1"/>
  <c r="IW106" i="1"/>
  <c r="IV106" i="1"/>
  <c r="IU106" i="1"/>
  <c r="IT106" i="1"/>
  <c r="IS106" i="1"/>
  <c r="IR106" i="1"/>
  <c r="IQ106" i="1"/>
  <c r="IP106" i="1"/>
  <c r="IO106" i="1"/>
  <c r="IN106" i="1"/>
  <c r="IM106" i="1"/>
  <c r="IL106" i="1"/>
  <c r="IK106" i="1"/>
  <c r="IJ106" i="1"/>
  <c r="II106" i="1"/>
  <c r="IH106" i="1"/>
  <c r="IG106" i="1"/>
  <c r="IF106" i="1"/>
  <c r="IE106" i="1"/>
  <c r="ID106" i="1"/>
  <c r="IC106" i="1"/>
  <c r="IB106" i="1"/>
  <c r="IA106" i="1"/>
  <c r="HZ106" i="1"/>
  <c r="HY106" i="1"/>
  <c r="HX106" i="1"/>
  <c r="HW106" i="1"/>
  <c r="HV106" i="1"/>
  <c r="HU106" i="1"/>
  <c r="HT106" i="1"/>
  <c r="HS106" i="1"/>
  <c r="HR106" i="1"/>
  <c r="HQ106" i="1"/>
  <c r="HP106" i="1"/>
  <c r="HO106" i="1"/>
  <c r="HN106" i="1"/>
  <c r="HM106" i="1"/>
  <c r="HL106" i="1"/>
  <c r="HK106" i="1"/>
  <c r="HJ106" i="1"/>
  <c r="HI106" i="1"/>
  <c r="HH106" i="1"/>
  <c r="HG106" i="1"/>
  <c r="HF106" i="1"/>
  <c r="HE106" i="1"/>
  <c r="HD106" i="1"/>
  <c r="HC106" i="1"/>
  <c r="HB106" i="1"/>
  <c r="HA106" i="1"/>
  <c r="GZ106" i="1"/>
  <c r="GY106" i="1"/>
  <c r="GX106" i="1"/>
  <c r="GW106" i="1"/>
  <c r="GV106" i="1"/>
  <c r="GU106" i="1"/>
  <c r="GT106" i="1"/>
  <c r="GS106" i="1"/>
  <c r="GR106" i="1"/>
  <c r="GQ106" i="1"/>
  <c r="GP106" i="1"/>
  <c r="GO106" i="1"/>
  <c r="GN106" i="1"/>
  <c r="GM106" i="1"/>
  <c r="GL106" i="1"/>
  <c r="GK106" i="1"/>
  <c r="GJ106" i="1"/>
  <c r="GI106" i="1"/>
  <c r="GH106" i="1"/>
  <c r="GG106" i="1"/>
  <c r="GF106" i="1"/>
  <c r="GA106" i="1"/>
  <c r="FZ106" i="1"/>
  <c r="FY106" i="1"/>
  <c r="FX106" i="1"/>
  <c r="FW106" i="1"/>
  <c r="FU106" i="1"/>
  <c r="FT106" i="1"/>
  <c r="FS106" i="1"/>
  <c r="FR106" i="1"/>
  <c r="FQ106" i="1"/>
  <c r="FP106" i="1"/>
  <c r="FO106" i="1"/>
  <c r="FN106" i="1"/>
  <c r="FM106" i="1"/>
  <c r="FL106" i="1"/>
  <c r="FK106" i="1"/>
  <c r="FJ106" i="1"/>
  <c r="FI106" i="1"/>
  <c r="FH106" i="1"/>
  <c r="FG106" i="1"/>
  <c r="FF106" i="1"/>
  <c r="FE106" i="1"/>
  <c r="FD106" i="1"/>
  <c r="FC106" i="1"/>
  <c r="FB106" i="1"/>
  <c r="FA106" i="1"/>
  <c r="EZ106" i="1"/>
  <c r="EY106" i="1"/>
  <c r="EX106" i="1"/>
  <c r="EW106" i="1"/>
  <c r="EV106" i="1"/>
  <c r="JV105" i="1"/>
  <c r="JU105" i="1"/>
  <c r="JT105" i="1"/>
  <c r="JS105" i="1"/>
  <c r="JR105" i="1"/>
  <c r="JQ105" i="1"/>
  <c r="JP105" i="1"/>
  <c r="JO105" i="1"/>
  <c r="JN105" i="1"/>
  <c r="JM105" i="1"/>
  <c r="JL105" i="1"/>
  <c r="JK105" i="1"/>
  <c r="JJ105" i="1"/>
  <c r="JI105" i="1"/>
  <c r="JH105" i="1"/>
  <c r="JG105" i="1"/>
  <c r="JF105" i="1"/>
  <c r="JE105" i="1"/>
  <c r="JD105" i="1"/>
  <c r="JC105" i="1"/>
  <c r="JB105" i="1"/>
  <c r="JA105" i="1"/>
  <c r="IZ105" i="1"/>
  <c r="IY105" i="1"/>
  <c r="IX105" i="1"/>
  <c r="IW105" i="1"/>
  <c r="IV105" i="1"/>
  <c r="IU105" i="1"/>
  <c r="IT105" i="1"/>
  <c r="IS105" i="1"/>
  <c r="IR105" i="1"/>
  <c r="IQ105" i="1"/>
  <c r="IP105" i="1"/>
  <c r="IO105" i="1"/>
  <c r="IN105" i="1"/>
  <c r="IM105" i="1"/>
  <c r="IL105" i="1"/>
  <c r="IK105" i="1"/>
  <c r="IJ105" i="1"/>
  <c r="II105" i="1"/>
  <c r="IH105" i="1"/>
  <c r="IG105" i="1"/>
  <c r="IF105" i="1"/>
  <c r="IE105" i="1"/>
  <c r="ID105" i="1"/>
  <c r="IC105" i="1"/>
  <c r="IB105" i="1"/>
  <c r="IA105" i="1"/>
  <c r="HZ105" i="1"/>
  <c r="HY105" i="1"/>
  <c r="HX105" i="1"/>
  <c r="HW105" i="1"/>
  <c r="HV105" i="1"/>
  <c r="HU105" i="1"/>
  <c r="HT105" i="1"/>
  <c r="HS105" i="1"/>
  <c r="HR105" i="1"/>
  <c r="HQ105" i="1"/>
  <c r="HP105" i="1"/>
  <c r="HO105" i="1"/>
  <c r="HN105" i="1"/>
  <c r="HM105" i="1"/>
  <c r="HL105" i="1"/>
  <c r="HK105" i="1"/>
  <c r="HJ105" i="1"/>
  <c r="HI105" i="1"/>
  <c r="HH105" i="1"/>
  <c r="HG105" i="1"/>
  <c r="HF105" i="1"/>
  <c r="HE105" i="1"/>
  <c r="HD105" i="1"/>
  <c r="HC105" i="1"/>
  <c r="HB105" i="1"/>
  <c r="HA105" i="1"/>
  <c r="GZ105" i="1"/>
  <c r="GY105" i="1"/>
  <c r="GX105" i="1"/>
  <c r="GW105" i="1"/>
  <c r="GV105" i="1"/>
  <c r="GU105" i="1"/>
  <c r="GT105" i="1"/>
  <c r="GS105" i="1"/>
  <c r="GR105" i="1"/>
  <c r="GQ105" i="1"/>
  <c r="GP105" i="1"/>
  <c r="GO105" i="1"/>
  <c r="GN105" i="1"/>
  <c r="GM105" i="1"/>
  <c r="GL105" i="1"/>
  <c r="GK105" i="1"/>
  <c r="GJ105" i="1"/>
  <c r="GI105" i="1"/>
  <c r="FY105" i="1"/>
  <c r="FX105" i="1"/>
  <c r="FW105" i="1"/>
  <c r="FV105" i="1"/>
  <c r="FT105" i="1"/>
  <c r="FS105" i="1"/>
  <c r="FR105" i="1"/>
  <c r="FQ105" i="1"/>
  <c r="FP105" i="1"/>
  <c r="FO105" i="1"/>
  <c r="FN105" i="1"/>
  <c r="FM105" i="1"/>
  <c r="FL105" i="1"/>
  <c r="FK105" i="1"/>
  <c r="FJ105" i="1"/>
  <c r="FI105" i="1"/>
  <c r="FH105" i="1"/>
  <c r="FG105" i="1"/>
  <c r="FF105" i="1"/>
  <c r="FE105" i="1"/>
  <c r="FD105" i="1"/>
  <c r="FC105" i="1"/>
  <c r="FB105" i="1"/>
  <c r="FA105" i="1"/>
  <c r="EZ105" i="1"/>
  <c r="EY105" i="1"/>
  <c r="EX105" i="1"/>
  <c r="EW105" i="1"/>
  <c r="EV105" i="1"/>
  <c r="JV104" i="1"/>
  <c r="JU104" i="1"/>
  <c r="JT104" i="1"/>
  <c r="JS104" i="1"/>
  <c r="JR104" i="1"/>
  <c r="JQ104" i="1"/>
  <c r="JP104" i="1"/>
  <c r="JO104" i="1"/>
  <c r="JN104" i="1"/>
  <c r="JM104" i="1"/>
  <c r="JL104" i="1"/>
  <c r="JK104" i="1"/>
  <c r="JJ104" i="1"/>
  <c r="JI104" i="1"/>
  <c r="JH104" i="1"/>
  <c r="JG104" i="1"/>
  <c r="JF104" i="1"/>
  <c r="JE104" i="1"/>
  <c r="JD104" i="1"/>
  <c r="JC104" i="1"/>
  <c r="JB104" i="1"/>
  <c r="JA104" i="1"/>
  <c r="IZ104" i="1"/>
  <c r="IY104" i="1"/>
  <c r="IX104" i="1"/>
  <c r="IW104" i="1"/>
  <c r="IV104" i="1"/>
  <c r="IU104" i="1"/>
  <c r="IT104" i="1"/>
  <c r="IS104" i="1"/>
  <c r="IR104" i="1"/>
  <c r="IQ104" i="1"/>
  <c r="IP104" i="1"/>
  <c r="IO104" i="1"/>
  <c r="IN104" i="1"/>
  <c r="IM104" i="1"/>
  <c r="IL104" i="1"/>
  <c r="IK104" i="1"/>
  <c r="IJ104" i="1"/>
  <c r="II104" i="1"/>
  <c r="IH104" i="1"/>
  <c r="IG104" i="1"/>
  <c r="IF104" i="1"/>
  <c r="IE104" i="1"/>
  <c r="ID104" i="1"/>
  <c r="IC104" i="1"/>
  <c r="IB104" i="1"/>
  <c r="IA104" i="1"/>
  <c r="HZ104" i="1"/>
  <c r="HY104" i="1"/>
  <c r="HX104" i="1"/>
  <c r="HW104" i="1"/>
  <c r="HV104" i="1"/>
  <c r="HU104" i="1"/>
  <c r="HT104" i="1"/>
  <c r="HS104" i="1"/>
  <c r="HR104" i="1"/>
  <c r="HQ104" i="1"/>
  <c r="HP104" i="1"/>
  <c r="HO104" i="1"/>
  <c r="HN104" i="1"/>
  <c r="HM104" i="1"/>
  <c r="HL104" i="1"/>
  <c r="HK104" i="1"/>
  <c r="HJ104" i="1"/>
  <c r="HI104" i="1"/>
  <c r="HH104" i="1"/>
  <c r="HG104" i="1"/>
  <c r="HF104" i="1"/>
  <c r="HE104" i="1"/>
  <c r="HD104" i="1"/>
  <c r="HC104" i="1"/>
  <c r="HB104" i="1"/>
  <c r="HA104" i="1"/>
  <c r="GZ104" i="1"/>
  <c r="GY104" i="1"/>
  <c r="GX104" i="1"/>
  <c r="GW104" i="1"/>
  <c r="GV104" i="1"/>
  <c r="GU104" i="1"/>
  <c r="GT104" i="1"/>
  <c r="GS104" i="1"/>
  <c r="GR104" i="1"/>
  <c r="GQ104" i="1"/>
  <c r="GP104" i="1"/>
  <c r="GO104" i="1"/>
  <c r="GN104" i="1"/>
  <c r="GM104" i="1"/>
  <c r="GL104" i="1"/>
  <c r="GK104" i="1"/>
  <c r="GJ104" i="1"/>
  <c r="GI104" i="1"/>
  <c r="GH104" i="1"/>
  <c r="GG104" i="1"/>
  <c r="GF104" i="1"/>
  <c r="GE104" i="1"/>
  <c r="GD104" i="1"/>
  <c r="FY104" i="1"/>
  <c r="FX104" i="1"/>
  <c r="FW104" i="1"/>
  <c r="FS104" i="1"/>
  <c r="FR104" i="1"/>
  <c r="FQ104" i="1"/>
  <c r="FP104" i="1"/>
  <c r="FO104" i="1"/>
  <c r="FN104" i="1"/>
  <c r="FM104" i="1"/>
  <c r="FL104" i="1"/>
  <c r="FK104" i="1"/>
  <c r="FJ104" i="1"/>
  <c r="FI104" i="1"/>
  <c r="FH104" i="1"/>
  <c r="FG104" i="1"/>
  <c r="FF104" i="1"/>
  <c r="FE104" i="1"/>
  <c r="FD104" i="1"/>
  <c r="FC104" i="1"/>
  <c r="FB104" i="1"/>
  <c r="FA104" i="1"/>
  <c r="EZ104" i="1"/>
  <c r="EY104" i="1"/>
  <c r="EX104" i="1"/>
  <c r="EW104" i="1"/>
  <c r="EV104" i="1"/>
  <c r="JV103" i="1"/>
  <c r="JU103" i="1"/>
  <c r="JT103" i="1"/>
  <c r="JS103" i="1"/>
  <c r="JR103" i="1"/>
  <c r="JQ103" i="1"/>
  <c r="JP103" i="1"/>
  <c r="JO103" i="1"/>
  <c r="JN103" i="1"/>
  <c r="JM103" i="1"/>
  <c r="JL103" i="1"/>
  <c r="JK103" i="1"/>
  <c r="JJ103" i="1"/>
  <c r="JI103" i="1"/>
  <c r="JH103" i="1"/>
  <c r="JG103" i="1"/>
  <c r="JF103" i="1"/>
  <c r="JE103" i="1"/>
  <c r="JD103" i="1"/>
  <c r="JC103" i="1"/>
  <c r="JB103" i="1"/>
  <c r="JA103" i="1"/>
  <c r="IZ103" i="1"/>
  <c r="IY103" i="1"/>
  <c r="IX103" i="1"/>
  <c r="IW103" i="1"/>
  <c r="IV103" i="1"/>
  <c r="IU103" i="1"/>
  <c r="IT103" i="1"/>
  <c r="IS103" i="1"/>
  <c r="IR103" i="1"/>
  <c r="IQ103" i="1"/>
  <c r="IP103" i="1"/>
  <c r="IO103" i="1"/>
  <c r="IN103" i="1"/>
  <c r="IM103" i="1"/>
  <c r="IL103" i="1"/>
  <c r="IK103" i="1"/>
  <c r="IJ103" i="1"/>
  <c r="II103" i="1"/>
  <c r="IH103" i="1"/>
  <c r="IG103" i="1"/>
  <c r="IF103" i="1"/>
  <c r="IE103" i="1"/>
  <c r="ID103" i="1"/>
  <c r="IC103" i="1"/>
  <c r="IB103" i="1"/>
  <c r="IA103" i="1"/>
  <c r="HZ103" i="1"/>
  <c r="HY103" i="1"/>
  <c r="HX103" i="1"/>
  <c r="HW103" i="1"/>
  <c r="HV103" i="1"/>
  <c r="HU103" i="1"/>
  <c r="HT103" i="1"/>
  <c r="HS103" i="1"/>
  <c r="HR103" i="1"/>
  <c r="HQ103" i="1"/>
  <c r="HP103" i="1"/>
  <c r="HO103" i="1"/>
  <c r="HN103" i="1"/>
  <c r="HM103" i="1"/>
  <c r="HL103" i="1"/>
  <c r="HK103" i="1"/>
  <c r="HJ103" i="1"/>
  <c r="HI103" i="1"/>
  <c r="HH103" i="1"/>
  <c r="HG103" i="1"/>
  <c r="HF103" i="1"/>
  <c r="HE103" i="1"/>
  <c r="HD103" i="1"/>
  <c r="HC103" i="1"/>
  <c r="HB103" i="1"/>
  <c r="HA103" i="1"/>
  <c r="GZ103" i="1"/>
  <c r="GY103" i="1"/>
  <c r="GX103" i="1"/>
  <c r="GW103" i="1"/>
  <c r="GV103" i="1"/>
  <c r="GU103" i="1"/>
  <c r="GT103" i="1"/>
  <c r="GS103" i="1"/>
  <c r="GR103" i="1"/>
  <c r="GQ103" i="1"/>
  <c r="GP103" i="1"/>
  <c r="GO103" i="1"/>
  <c r="GN103" i="1"/>
  <c r="GM103" i="1"/>
  <c r="GL103" i="1"/>
  <c r="GK103" i="1"/>
  <c r="GJ103" i="1"/>
  <c r="GI103" i="1"/>
  <c r="GH103" i="1"/>
  <c r="GG103" i="1"/>
  <c r="GF103" i="1"/>
  <c r="GE103" i="1"/>
  <c r="GD103" i="1"/>
  <c r="FW103" i="1"/>
  <c r="FV103" i="1"/>
  <c r="FU103" i="1"/>
  <c r="FT103" i="1"/>
  <c r="FS103" i="1"/>
  <c r="FR103" i="1"/>
  <c r="FQ103" i="1"/>
  <c r="FP103" i="1"/>
  <c r="FO103" i="1"/>
  <c r="FN103" i="1"/>
  <c r="FM103" i="1"/>
  <c r="FL103" i="1"/>
  <c r="FK103" i="1"/>
  <c r="FJ103" i="1"/>
  <c r="FI103" i="1"/>
  <c r="FH103" i="1"/>
  <c r="FG103" i="1"/>
  <c r="FF103" i="1"/>
  <c r="FE103" i="1"/>
  <c r="FD103" i="1"/>
  <c r="FC103" i="1"/>
  <c r="FB103" i="1"/>
  <c r="FA103" i="1"/>
  <c r="EZ103" i="1"/>
  <c r="EY103" i="1"/>
  <c r="EX103" i="1"/>
  <c r="EW103" i="1"/>
  <c r="EV103" i="1"/>
  <c r="JV102" i="1"/>
  <c r="JU102" i="1"/>
  <c r="JT102" i="1"/>
  <c r="JS102" i="1"/>
  <c r="JR102" i="1"/>
  <c r="JQ102" i="1"/>
  <c r="JP102" i="1"/>
  <c r="JO102" i="1"/>
  <c r="JN102" i="1"/>
  <c r="JM102" i="1"/>
  <c r="JL102" i="1"/>
  <c r="JK102" i="1"/>
  <c r="JJ102" i="1"/>
  <c r="JI102" i="1"/>
  <c r="JH102" i="1"/>
  <c r="JG102" i="1"/>
  <c r="JF102" i="1"/>
  <c r="JE102" i="1"/>
  <c r="JD102" i="1"/>
  <c r="JC102" i="1"/>
  <c r="JB102" i="1"/>
  <c r="JA102" i="1"/>
  <c r="IZ102" i="1"/>
  <c r="IY102" i="1"/>
  <c r="IX102" i="1"/>
  <c r="IW102" i="1"/>
  <c r="IV102" i="1"/>
  <c r="IU102" i="1"/>
  <c r="IT102" i="1"/>
  <c r="IS102" i="1"/>
  <c r="IR102" i="1"/>
  <c r="IQ102" i="1"/>
  <c r="IP102" i="1"/>
  <c r="IO102" i="1"/>
  <c r="IN102" i="1"/>
  <c r="IM102" i="1"/>
  <c r="IL102" i="1"/>
  <c r="IK102" i="1"/>
  <c r="IJ102" i="1"/>
  <c r="II102" i="1"/>
  <c r="IH102" i="1"/>
  <c r="IG102" i="1"/>
  <c r="IF102" i="1"/>
  <c r="IE102" i="1"/>
  <c r="ID102" i="1"/>
  <c r="IC102" i="1"/>
  <c r="IB102" i="1"/>
  <c r="IA102" i="1"/>
  <c r="HZ102" i="1"/>
  <c r="HY102" i="1"/>
  <c r="HX102" i="1"/>
  <c r="HW102" i="1"/>
  <c r="HV102" i="1"/>
  <c r="HU102" i="1"/>
  <c r="HT102" i="1"/>
  <c r="HS102" i="1"/>
  <c r="HR102" i="1"/>
  <c r="HQ102" i="1"/>
  <c r="HP102" i="1"/>
  <c r="HO102" i="1"/>
  <c r="HN102" i="1"/>
  <c r="HM102" i="1"/>
  <c r="HL102" i="1"/>
  <c r="HK102" i="1"/>
  <c r="HJ102" i="1"/>
  <c r="HI102" i="1"/>
  <c r="HH102" i="1"/>
  <c r="HG102" i="1"/>
  <c r="HF102" i="1"/>
  <c r="HE102" i="1"/>
  <c r="HD102" i="1"/>
  <c r="HC102" i="1"/>
  <c r="HB102" i="1"/>
  <c r="HA102" i="1"/>
  <c r="GZ102" i="1"/>
  <c r="GY102" i="1"/>
  <c r="GX102" i="1"/>
  <c r="GW102" i="1"/>
  <c r="GV102" i="1"/>
  <c r="GU102" i="1"/>
  <c r="GT102" i="1"/>
  <c r="GS102" i="1"/>
  <c r="GR102" i="1"/>
  <c r="GQ102" i="1"/>
  <c r="GP102" i="1"/>
  <c r="GO102" i="1"/>
  <c r="GN102" i="1"/>
  <c r="GM102" i="1"/>
  <c r="GL102" i="1"/>
  <c r="GK102" i="1"/>
  <c r="GJ102" i="1"/>
  <c r="GI102" i="1"/>
  <c r="GH102" i="1"/>
  <c r="GG102" i="1"/>
  <c r="GF102" i="1"/>
  <c r="GE102" i="1"/>
  <c r="GD102" i="1"/>
  <c r="GC102" i="1"/>
  <c r="GB102" i="1"/>
  <c r="FU102" i="1"/>
  <c r="FT102" i="1"/>
  <c r="FS102" i="1"/>
  <c r="FR102" i="1"/>
  <c r="FQ102" i="1"/>
  <c r="FP102" i="1"/>
  <c r="FO102" i="1"/>
  <c r="FN102" i="1"/>
  <c r="FM102" i="1"/>
  <c r="FL102" i="1"/>
  <c r="FK102" i="1"/>
  <c r="FJ102" i="1"/>
  <c r="FI102" i="1"/>
  <c r="FH102" i="1"/>
  <c r="FG102" i="1"/>
  <c r="FF102" i="1"/>
  <c r="FE102" i="1"/>
  <c r="FD102" i="1"/>
  <c r="FC102" i="1"/>
  <c r="FB102" i="1"/>
  <c r="FA102" i="1"/>
  <c r="EZ102" i="1"/>
  <c r="EY102" i="1"/>
  <c r="EX102" i="1"/>
  <c r="EW102" i="1"/>
  <c r="EV102" i="1"/>
  <c r="JV101" i="1"/>
  <c r="JU101" i="1"/>
  <c r="JT101" i="1"/>
  <c r="JS101" i="1"/>
  <c r="JR101" i="1"/>
  <c r="JQ101" i="1"/>
  <c r="JP101" i="1"/>
  <c r="JO101" i="1"/>
  <c r="JN101" i="1"/>
  <c r="JM101" i="1"/>
  <c r="JL101" i="1"/>
  <c r="JK101" i="1"/>
  <c r="JJ101" i="1"/>
  <c r="JI101" i="1"/>
  <c r="JH101" i="1"/>
  <c r="JG101" i="1"/>
  <c r="JF101" i="1"/>
  <c r="JE101" i="1"/>
  <c r="JD101" i="1"/>
  <c r="JC101" i="1"/>
  <c r="JB101" i="1"/>
  <c r="JA101" i="1"/>
  <c r="IZ101" i="1"/>
  <c r="IY101" i="1"/>
  <c r="IX101" i="1"/>
  <c r="IW101" i="1"/>
  <c r="IV101" i="1"/>
  <c r="IU101" i="1"/>
  <c r="IT101" i="1"/>
  <c r="IS101" i="1"/>
  <c r="IR101" i="1"/>
  <c r="IQ101" i="1"/>
  <c r="IP101" i="1"/>
  <c r="IO101" i="1"/>
  <c r="IN101" i="1"/>
  <c r="IM101" i="1"/>
  <c r="IL101" i="1"/>
  <c r="IK101" i="1"/>
  <c r="IJ101" i="1"/>
  <c r="II101" i="1"/>
  <c r="IH101" i="1"/>
  <c r="IG101" i="1"/>
  <c r="IF101" i="1"/>
  <c r="IE101" i="1"/>
  <c r="ID101" i="1"/>
  <c r="IC101" i="1"/>
  <c r="IB101" i="1"/>
  <c r="IA101" i="1"/>
  <c r="HZ101" i="1"/>
  <c r="HY101" i="1"/>
  <c r="HX101" i="1"/>
  <c r="HW101" i="1"/>
  <c r="HV101" i="1"/>
  <c r="HU101" i="1"/>
  <c r="HT101" i="1"/>
  <c r="HS101" i="1"/>
  <c r="HR101" i="1"/>
  <c r="HQ101" i="1"/>
  <c r="HP101" i="1"/>
  <c r="HO101" i="1"/>
  <c r="HN101" i="1"/>
  <c r="HM101" i="1"/>
  <c r="HL101" i="1"/>
  <c r="HK101" i="1"/>
  <c r="HJ101" i="1"/>
  <c r="HI101" i="1"/>
  <c r="HH101" i="1"/>
  <c r="HG101" i="1"/>
  <c r="HF101" i="1"/>
  <c r="HE101" i="1"/>
  <c r="HD101" i="1"/>
  <c r="HC101" i="1"/>
  <c r="HB101" i="1"/>
  <c r="HA101" i="1"/>
  <c r="GZ101" i="1"/>
  <c r="GY101" i="1"/>
  <c r="GX101" i="1"/>
  <c r="GW101" i="1"/>
  <c r="GV101" i="1"/>
  <c r="GU101" i="1"/>
  <c r="GT101" i="1"/>
  <c r="GS101" i="1"/>
  <c r="GR101" i="1"/>
  <c r="GQ101" i="1"/>
  <c r="GP101" i="1"/>
  <c r="GO101" i="1"/>
  <c r="GN101" i="1"/>
  <c r="GM101" i="1"/>
  <c r="GL101" i="1"/>
  <c r="GK101" i="1"/>
  <c r="GJ101" i="1"/>
  <c r="GI101" i="1"/>
  <c r="GH101" i="1"/>
  <c r="GG101" i="1"/>
  <c r="GF101" i="1"/>
  <c r="GE101" i="1"/>
  <c r="FZ101" i="1"/>
  <c r="FT101" i="1"/>
  <c r="FS101" i="1"/>
  <c r="FM101" i="1"/>
  <c r="FL101" i="1"/>
  <c r="FK101" i="1"/>
  <c r="FJ101" i="1"/>
  <c r="FI101" i="1"/>
  <c r="FH101" i="1"/>
  <c r="FG101" i="1"/>
  <c r="FF101" i="1"/>
  <c r="FE101" i="1"/>
  <c r="FD101" i="1"/>
  <c r="FC101" i="1"/>
  <c r="FB101" i="1"/>
  <c r="FA101" i="1"/>
  <c r="EZ101" i="1"/>
  <c r="EY101" i="1"/>
  <c r="EX101" i="1"/>
  <c r="EW101" i="1"/>
  <c r="EV101" i="1"/>
  <c r="H100" i="1"/>
  <c r="H109" i="1"/>
  <c r="GI109" i="1" s="1"/>
  <c r="H108" i="1"/>
  <c r="GI108" i="1" s="1"/>
  <c r="H107" i="1"/>
  <c r="GG107" i="1" s="1"/>
  <c r="H106" i="1"/>
  <c r="GE106" i="1" s="1"/>
  <c r="H105" i="1"/>
  <c r="GC105" i="1" s="1"/>
  <c r="H104" i="1"/>
  <c r="GA104" i="1" s="1"/>
  <c r="H103" i="1"/>
  <c r="H102" i="1"/>
  <c r="FY102" i="1" s="1"/>
  <c r="H101" i="1"/>
  <c r="FY101" i="1" s="1"/>
  <c r="FN101" i="1"/>
  <c r="FU105" i="1"/>
  <c r="FW102" i="1"/>
  <c r="FV102" i="1"/>
  <c r="FV106" i="1"/>
  <c r="FV104" i="1"/>
  <c r="FU104" i="1"/>
  <c r="FT104" i="1"/>
  <c r="FU101" i="1"/>
  <c r="FY103" i="1"/>
  <c r="FX103" i="1"/>
  <c r="FW107" i="1"/>
  <c r="FO101" i="1"/>
  <c r="FP101" i="1"/>
  <c r="FR101" i="1"/>
  <c r="FQ101" i="1"/>
  <c r="EU105" i="1"/>
  <c r="EU106" i="1"/>
  <c r="EU103" i="1"/>
  <c r="EU107" i="1"/>
  <c r="EU101" i="1"/>
  <c r="EU109" i="1"/>
  <c r="EU102" i="1"/>
  <c r="EU104" i="1"/>
  <c r="EU108" i="1"/>
  <c r="GD101" i="1"/>
  <c r="GB101" i="1"/>
  <c r="GC101" i="1"/>
  <c r="GA101" i="1"/>
  <c r="C3" i="26"/>
  <c r="A34" i="20"/>
  <c r="A39" i="20"/>
  <c r="B80" i="23"/>
  <c r="A14" i="13"/>
  <c r="R35" i="17"/>
  <c r="R27" i="17"/>
  <c r="R11" i="17"/>
  <c r="R28" i="17"/>
  <c r="R26" i="17"/>
  <c r="R12" i="17"/>
  <c r="E49" i="1"/>
  <c r="Q149" i="3"/>
  <c r="Q150" i="3"/>
  <c r="Q152" i="3"/>
  <c r="Q153" i="3"/>
  <c r="Q154" i="3"/>
  <c r="Q155" i="3"/>
  <c r="Q156" i="3"/>
  <c r="Q157" i="3"/>
  <c r="Q158" i="3"/>
  <c r="Q159" i="3"/>
  <c r="Q160" i="3"/>
  <c r="Q161" i="3"/>
  <c r="Q162" i="3"/>
  <c r="Q163" i="3"/>
  <c r="Q164" i="3"/>
  <c r="Q165" i="3"/>
  <c r="Q166" i="3"/>
  <c r="Q167" i="3"/>
  <c r="Q168" i="3"/>
  <c r="Q169" i="3"/>
  <c r="Q134" i="3"/>
  <c r="Q135" i="3"/>
  <c r="Q136" i="3"/>
  <c r="Q137" i="3"/>
  <c r="Q138" i="3"/>
  <c r="Q139" i="3"/>
  <c r="Q140" i="3"/>
  <c r="Q141" i="3"/>
  <c r="Q142" i="3"/>
  <c r="Q143" i="3"/>
  <c r="Q144" i="3"/>
  <c r="Q145" i="3"/>
  <c r="Q146" i="3"/>
  <c r="Q147" i="3"/>
  <c r="Q148" i="3"/>
  <c r="R37" i="17"/>
  <c r="R33" i="17"/>
  <c r="C42" i="24"/>
  <c r="I138" i="23"/>
  <c r="J138" i="23"/>
  <c r="K138" i="23"/>
  <c r="M138" i="23"/>
  <c r="N138" i="23"/>
  <c r="O138" i="23"/>
  <c r="P138" i="23"/>
  <c r="Q138" i="23"/>
  <c r="R138" i="23"/>
  <c r="T138" i="23"/>
  <c r="U138" i="23"/>
  <c r="V138" i="23"/>
  <c r="W138" i="23"/>
  <c r="X138" i="23"/>
  <c r="Y138" i="23"/>
  <c r="Z138" i="23"/>
  <c r="AA138" i="23"/>
  <c r="AB138" i="23"/>
  <c r="AC138" i="23"/>
  <c r="AD138" i="23"/>
  <c r="AE138" i="23"/>
  <c r="AF138" i="23"/>
  <c r="AG138" i="23"/>
  <c r="AH138" i="23"/>
  <c r="AI138" i="23"/>
  <c r="AJ138" i="23"/>
  <c r="AK138" i="23"/>
  <c r="AL138" i="23"/>
  <c r="AM138" i="23"/>
  <c r="AN138" i="23"/>
  <c r="AO138" i="23"/>
  <c r="AP138" i="23"/>
  <c r="AQ138" i="23"/>
  <c r="AQ98" i="23"/>
  <c r="I98" i="23"/>
  <c r="J98" i="23"/>
  <c r="K98" i="23"/>
  <c r="N98" i="23"/>
  <c r="O98" i="23"/>
  <c r="P98" i="23"/>
  <c r="Q98" i="23"/>
  <c r="R98" i="23"/>
  <c r="T98" i="23"/>
  <c r="U98" i="23"/>
  <c r="V98" i="23"/>
  <c r="W98" i="23"/>
  <c r="X98" i="23"/>
  <c r="Y98" i="23"/>
  <c r="Z98" i="23"/>
  <c r="AA98" i="23"/>
  <c r="AB98" i="23"/>
  <c r="AC98" i="23"/>
  <c r="AD98" i="23"/>
  <c r="AE98" i="23"/>
  <c r="AF98" i="23"/>
  <c r="AG98" i="23"/>
  <c r="AH98" i="23"/>
  <c r="AI98" i="23"/>
  <c r="AJ98" i="23"/>
  <c r="AK98" i="23"/>
  <c r="AL98" i="23"/>
  <c r="AM98" i="23"/>
  <c r="AN98" i="23"/>
  <c r="AO98" i="23"/>
  <c r="AP98" i="23"/>
  <c r="I79" i="23"/>
  <c r="I90" i="23" s="1"/>
  <c r="J79" i="23"/>
  <c r="J90" i="23" s="1"/>
  <c r="K79" i="23"/>
  <c r="K90" i="23" s="1"/>
  <c r="M79" i="23"/>
  <c r="M90" i="23" s="1"/>
  <c r="N79" i="23"/>
  <c r="N90" i="23" s="1"/>
  <c r="O79" i="23"/>
  <c r="O90" i="23" s="1"/>
  <c r="P79" i="23"/>
  <c r="P90" i="23" s="1"/>
  <c r="Q79" i="23"/>
  <c r="Q90" i="23" s="1"/>
  <c r="R79" i="23"/>
  <c r="R90" i="23" s="1"/>
  <c r="T79" i="23"/>
  <c r="T90" i="23" s="1"/>
  <c r="U79" i="23"/>
  <c r="U90" i="23" s="1"/>
  <c r="V79" i="23"/>
  <c r="V90" i="23" s="1"/>
  <c r="W79" i="23"/>
  <c r="W90" i="23" s="1"/>
  <c r="X79" i="23"/>
  <c r="X90" i="23" s="1"/>
  <c r="Y79" i="23"/>
  <c r="Y90" i="23" s="1"/>
  <c r="Z79" i="23"/>
  <c r="Z90" i="23" s="1"/>
  <c r="AA79" i="23"/>
  <c r="AA90" i="23" s="1"/>
  <c r="AB79" i="23"/>
  <c r="AB90" i="23" s="1"/>
  <c r="AC79" i="23"/>
  <c r="AC90" i="23" s="1"/>
  <c r="AD79" i="23"/>
  <c r="AD90" i="23" s="1"/>
  <c r="AE79" i="23"/>
  <c r="AE90" i="23" s="1"/>
  <c r="AF79" i="23"/>
  <c r="AG79" i="23"/>
  <c r="AG90" i="23" s="1"/>
  <c r="AH79" i="23"/>
  <c r="AH90" i="23" s="1"/>
  <c r="AI79" i="23"/>
  <c r="AI90" i="23" s="1"/>
  <c r="AJ79" i="23"/>
  <c r="AJ90" i="23" s="1"/>
  <c r="AK79" i="23"/>
  <c r="AK90" i="23" s="1"/>
  <c r="AL79" i="23"/>
  <c r="AL90" i="23" s="1"/>
  <c r="AM79" i="23"/>
  <c r="AM90" i="23" s="1"/>
  <c r="AN79" i="23"/>
  <c r="AN90" i="23" s="1"/>
  <c r="AO79" i="23"/>
  <c r="AO90" i="23" s="1"/>
  <c r="AP79" i="23"/>
  <c r="AP90" i="23" s="1"/>
  <c r="AQ79" i="23"/>
  <c r="AQ90" i="23" s="1"/>
  <c r="I43" i="23"/>
  <c r="J43" i="23"/>
  <c r="K43" i="23"/>
  <c r="N43" i="23"/>
  <c r="O43" i="23"/>
  <c r="P43" i="23"/>
  <c r="Q43" i="23"/>
  <c r="R43" i="23"/>
  <c r="T43" i="23"/>
  <c r="U43" i="23"/>
  <c r="V43" i="23"/>
  <c r="W43" i="23"/>
  <c r="X43" i="23"/>
  <c r="Y43" i="23"/>
  <c r="Z43" i="23"/>
  <c r="AA43" i="23"/>
  <c r="AB43" i="23"/>
  <c r="AC43" i="23"/>
  <c r="AD43" i="23"/>
  <c r="AE43" i="23"/>
  <c r="AF43" i="23"/>
  <c r="AG43" i="23"/>
  <c r="AH43" i="23"/>
  <c r="AI43" i="23"/>
  <c r="AJ43" i="23"/>
  <c r="AK43" i="23"/>
  <c r="AL43" i="23"/>
  <c r="AM43" i="23"/>
  <c r="AN43" i="23"/>
  <c r="AO43" i="23"/>
  <c r="AP43" i="23"/>
  <c r="AQ43" i="23"/>
  <c r="I35" i="23"/>
  <c r="J35" i="23"/>
  <c r="K35" i="23"/>
  <c r="M35" i="23"/>
  <c r="N35" i="23"/>
  <c r="O35" i="23"/>
  <c r="P35" i="23"/>
  <c r="Q35" i="23"/>
  <c r="R35" i="23"/>
  <c r="T35" i="23"/>
  <c r="U35" i="23"/>
  <c r="V35" i="23"/>
  <c r="W35" i="23"/>
  <c r="X35" i="23"/>
  <c r="Y35" i="23"/>
  <c r="Z35" i="23"/>
  <c r="AA35" i="23"/>
  <c r="AB35" i="23"/>
  <c r="AC35" i="23"/>
  <c r="AD35" i="23"/>
  <c r="AE35" i="23"/>
  <c r="AF35" i="23"/>
  <c r="AG35" i="23"/>
  <c r="AH35" i="23"/>
  <c r="AI35" i="23"/>
  <c r="AJ35" i="23"/>
  <c r="AK35" i="23"/>
  <c r="AL35" i="23"/>
  <c r="AM35" i="23"/>
  <c r="AN35" i="23"/>
  <c r="AO35" i="23"/>
  <c r="AP35" i="23"/>
  <c r="AQ35" i="23"/>
  <c r="AQ14" i="23"/>
  <c r="AP14" i="23"/>
  <c r="AP11" i="23"/>
  <c r="AO14" i="23"/>
  <c r="AN14" i="23"/>
  <c r="AM14" i="23"/>
  <c r="AL14" i="23"/>
  <c r="AK14" i="23"/>
  <c r="AJ14" i="23"/>
  <c r="AI14" i="23"/>
  <c r="AH14" i="23"/>
  <c r="AG14" i="23"/>
  <c r="AF14" i="23"/>
  <c r="AE14" i="23"/>
  <c r="AD14" i="23"/>
  <c r="AD11" i="23"/>
  <c r="AC14" i="23"/>
  <c r="AB14" i="23"/>
  <c r="AA14" i="23"/>
  <c r="Z14" i="23"/>
  <c r="Y14" i="23"/>
  <c r="X14" i="23"/>
  <c r="W14" i="23"/>
  <c r="V14" i="23"/>
  <c r="U14" i="23"/>
  <c r="T14" i="23"/>
  <c r="R14" i="23"/>
  <c r="Q14" i="23"/>
  <c r="P14" i="23"/>
  <c r="O14" i="23"/>
  <c r="N14" i="23"/>
  <c r="K14" i="23"/>
  <c r="J14" i="23"/>
  <c r="I14" i="23"/>
  <c r="I11" i="23"/>
  <c r="K11" i="23"/>
  <c r="M11" i="23"/>
  <c r="N11" i="23"/>
  <c r="O11" i="23"/>
  <c r="P11" i="23"/>
  <c r="Q11" i="23"/>
  <c r="R11" i="23"/>
  <c r="T11" i="23"/>
  <c r="U11" i="23"/>
  <c r="V11" i="23"/>
  <c r="W11" i="23"/>
  <c r="X11" i="23"/>
  <c r="Y11" i="23"/>
  <c r="Z11" i="23"/>
  <c r="AA11" i="23"/>
  <c r="AB11" i="23"/>
  <c r="AC11" i="23"/>
  <c r="AE11" i="23"/>
  <c r="AF11" i="23"/>
  <c r="AG11" i="23"/>
  <c r="AH11" i="23"/>
  <c r="AI11" i="23"/>
  <c r="AJ11" i="23"/>
  <c r="AK11" i="23"/>
  <c r="AL11" i="23"/>
  <c r="AM11" i="23"/>
  <c r="AN11" i="23"/>
  <c r="AO11" i="23"/>
  <c r="AQ11" i="23"/>
  <c r="B99" i="23"/>
  <c r="A36" i="23"/>
  <c r="B36" i="23"/>
  <c r="A37" i="23"/>
  <c r="B37" i="23"/>
  <c r="B12" i="23"/>
  <c r="B15" i="23"/>
  <c r="C3" i="21"/>
  <c r="B3" i="21"/>
  <c r="B1" i="21"/>
  <c r="E111" i="21"/>
  <c r="E88" i="21"/>
  <c r="E27" i="21"/>
  <c r="A1" i="21"/>
  <c r="A2" i="21"/>
  <c r="A3" i="21"/>
  <c r="A8" i="21"/>
  <c r="A20" i="21"/>
  <c r="A22" i="21"/>
  <c r="A23" i="21"/>
  <c r="A24" i="21"/>
  <c r="A25" i="21"/>
  <c r="A27" i="21"/>
  <c r="A28" i="21"/>
  <c r="A29" i="21"/>
  <c r="A31" i="21"/>
  <c r="A32" i="21"/>
  <c r="A33" i="21"/>
  <c r="A34" i="21"/>
  <c r="A35" i="21"/>
  <c r="A37" i="21"/>
  <c r="A38" i="21"/>
  <c r="A39" i="21"/>
  <c r="A40" i="21"/>
  <c r="A43" i="21"/>
  <c r="A44" i="21"/>
  <c r="A45" i="21"/>
  <c r="A46" i="21"/>
  <c r="A47" i="21"/>
  <c r="A48" i="21"/>
  <c r="A49" i="21"/>
  <c r="A50" i="21"/>
  <c r="A52" i="21"/>
  <c r="A59" i="21"/>
  <c r="A53" i="21"/>
  <c r="A60" i="21"/>
  <c r="A61" i="21"/>
  <c r="A54" i="21"/>
  <c r="A55" i="21"/>
  <c r="A56" i="21"/>
  <c r="A62" i="21"/>
  <c r="A57" i="21"/>
  <c r="A64" i="21"/>
  <c r="A65" i="21"/>
  <c r="A68" i="21"/>
  <c r="A69" i="21"/>
  <c r="A70" i="21"/>
  <c r="A71" i="21"/>
  <c r="A72" i="21"/>
  <c r="A73" i="21"/>
  <c r="A74" i="21"/>
  <c r="A76" i="21"/>
  <c r="A77" i="21"/>
  <c r="A78" i="21"/>
  <c r="A79" i="21"/>
  <c r="A80" i="21"/>
  <c r="A81" i="21"/>
  <c r="A82" i="21"/>
  <c r="A83" i="21"/>
  <c r="A84" i="21"/>
  <c r="A85" i="21"/>
  <c r="A86" i="21"/>
  <c r="A87" i="21"/>
  <c r="A88" i="21"/>
  <c r="A89" i="21"/>
  <c r="A91" i="21"/>
  <c r="A92" i="21"/>
  <c r="A93" i="21"/>
  <c r="A94" i="21"/>
  <c r="A95" i="21"/>
  <c r="A96" i="21"/>
  <c r="A97" i="21"/>
  <c r="A99" i="21"/>
  <c r="A100" i="21"/>
  <c r="A101" i="21"/>
  <c r="A102" i="21"/>
  <c r="A103" i="21"/>
  <c r="A104" i="21"/>
  <c r="A105" i="21"/>
  <c r="A106" i="21"/>
  <c r="A107" i="21"/>
  <c r="A108" i="21"/>
  <c r="A109" i="21"/>
  <c r="A110" i="21"/>
  <c r="A111" i="21"/>
  <c r="A112" i="21"/>
  <c r="J7" i="17"/>
  <c r="B44" i="23"/>
  <c r="A1" i="19"/>
  <c r="A1" i="26" s="1"/>
  <c r="A2" i="19"/>
  <c r="A2" i="26" s="1"/>
  <c r="A3" i="19"/>
  <c r="A3" i="26" s="1"/>
  <c r="A1" i="20"/>
  <c r="A1" i="23" s="1"/>
  <c r="A2" i="20"/>
  <c r="A2" i="23" s="1"/>
  <c r="A3" i="20"/>
  <c r="A3" i="23" s="1"/>
  <c r="A8" i="20"/>
  <c r="A10" i="20"/>
  <c r="A11" i="20"/>
  <c r="A12" i="20"/>
  <c r="A14" i="20"/>
  <c r="A15" i="20"/>
  <c r="A16" i="20"/>
  <c r="A18" i="20"/>
  <c r="A19" i="20"/>
  <c r="A20" i="20"/>
  <c r="A22" i="20"/>
  <c r="A24" i="20"/>
  <c r="A25" i="20"/>
  <c r="A27" i="20"/>
  <c r="A32" i="20"/>
  <c r="A33" i="20"/>
  <c r="A11" i="64" s="1"/>
  <c r="A42" i="20"/>
  <c r="A35" i="20"/>
  <c r="A13" i="64" s="1"/>
  <c r="A36" i="20"/>
  <c r="A14" i="64" s="1"/>
  <c r="A44" i="20"/>
  <c r="A37" i="20"/>
  <c r="A38" i="20"/>
  <c r="A41" i="20"/>
  <c r="A40" i="20"/>
  <c r="A18" i="64" s="1"/>
  <c r="A46" i="20"/>
  <c r="A24" i="64" s="1"/>
  <c r="A47" i="20"/>
  <c r="A48" i="20"/>
  <c r="I172" i="1"/>
  <c r="I176" i="1" s="1"/>
  <c r="C17" i="17"/>
  <c r="B3" i="19"/>
  <c r="C3" i="19"/>
  <c r="C3" i="2"/>
  <c r="Q244" i="1"/>
  <c r="P244" i="1"/>
  <c r="E50" i="1"/>
  <c r="E51" i="1"/>
  <c r="E52" i="1"/>
  <c r="E31" i="21"/>
  <c r="E69" i="21"/>
  <c r="E92" i="21"/>
  <c r="A12" i="13"/>
  <c r="E23" i="21"/>
  <c r="D19" i="2"/>
  <c r="D15" i="2"/>
  <c r="D11" i="2"/>
  <c r="B1" i="19"/>
  <c r="B1" i="26" s="1"/>
  <c r="B1" i="2"/>
  <c r="B1" i="30" s="1"/>
  <c r="A9" i="21"/>
  <c r="A10" i="21"/>
  <c r="A11" i="21"/>
  <c r="A13" i="21"/>
  <c r="A14" i="21"/>
  <c r="A15" i="21"/>
  <c r="A17" i="21"/>
  <c r="A18" i="21"/>
  <c r="A19" i="21"/>
  <c r="D45" i="1"/>
  <c r="F28" i="57" s="1"/>
  <c r="K59" i="1"/>
  <c r="K60" i="1"/>
  <c r="M43" i="57" s="1"/>
  <c r="K57" i="1"/>
  <c r="M40" i="57" s="1"/>
  <c r="D152" i="32"/>
  <c r="M98" i="23"/>
  <c r="M14" i="23"/>
  <c r="D24" i="20"/>
  <c r="D25" i="20"/>
  <c r="D32" i="20"/>
  <c r="M43" i="23"/>
  <c r="M10" i="17"/>
  <c r="D34" i="32"/>
  <c r="Q20" i="45"/>
  <c r="L31" i="17"/>
  <c r="C258" i="30" s="1"/>
  <c r="C249" i="32"/>
  <c r="Q19" i="45"/>
  <c r="Q22" i="45"/>
  <c r="Q23" i="45"/>
  <c r="Q21" i="45"/>
  <c r="Q24" i="45"/>
  <c r="Q25" i="45"/>
  <c r="Q26" i="45"/>
  <c r="Q27" i="45"/>
  <c r="Q28" i="45"/>
  <c r="Q29" i="45"/>
  <c r="Q30" i="45"/>
  <c r="Q31" i="45"/>
  <c r="Q32" i="45"/>
  <c r="Q33" i="45"/>
  <c r="Q34" i="45"/>
  <c r="Q35" i="45"/>
  <c r="Q36" i="45"/>
  <c r="Q37" i="45"/>
  <c r="Q38" i="45"/>
  <c r="Q39" i="45"/>
  <c r="Q40" i="45"/>
  <c r="Q41" i="45"/>
  <c r="Q42" i="45"/>
  <c r="Q43" i="45"/>
  <c r="Q44" i="45"/>
  <c r="Q45" i="45"/>
  <c r="Q46" i="45"/>
  <c r="Q47" i="45"/>
  <c r="Q48" i="45"/>
  <c r="Q49" i="45"/>
  <c r="Q50" i="45"/>
  <c r="Q51" i="45"/>
  <c r="Q52" i="45"/>
  <c r="Q53" i="45"/>
  <c r="Q54" i="45"/>
  <c r="Q55" i="45"/>
  <c r="Q56" i="45"/>
  <c r="Q57" i="45"/>
  <c r="Q58" i="45"/>
  <c r="Q59" i="45"/>
  <c r="Q60" i="45"/>
  <c r="Q61" i="45"/>
  <c r="Q62" i="45"/>
  <c r="Q63" i="45"/>
  <c r="Q64" i="45"/>
  <c r="Q65" i="45"/>
  <c r="Q66" i="45"/>
  <c r="Q67" i="45"/>
  <c r="Q68" i="45"/>
  <c r="Q69" i="45"/>
  <c r="Q70" i="45"/>
  <c r="Q71" i="45"/>
  <c r="Q72" i="45"/>
  <c r="Q73" i="45"/>
  <c r="Q74" i="45"/>
  <c r="Q75" i="45"/>
  <c r="Q76" i="45"/>
  <c r="Q77" i="45"/>
  <c r="Q78" i="45"/>
  <c r="Q79" i="45"/>
  <c r="Q80" i="45"/>
  <c r="Q81" i="45"/>
  <c r="Q82" i="45"/>
  <c r="C239" i="32"/>
  <c r="J8" i="42"/>
  <c r="D17" i="17"/>
  <c r="N31" i="42"/>
  <c r="N34" i="42"/>
  <c r="L33" i="17"/>
  <c r="C279" i="30" s="1"/>
  <c r="AK6" i="75" a="1"/>
  <c r="B2" i="6" l="1"/>
  <c r="B2" i="21" s="1"/>
  <c r="B2" i="30"/>
  <c r="C3" i="20"/>
  <c r="C3" i="23" s="1"/>
  <c r="C3" i="30"/>
  <c r="R3" i="75"/>
  <c r="B8" i="89"/>
  <c r="C8" i="89" s="1"/>
  <c r="D28" i="23"/>
  <c r="D41" i="77"/>
  <c r="E85" i="3"/>
  <c r="H6" i="78"/>
  <c r="H5" i="78"/>
  <c r="D47" i="77"/>
  <c r="D49" i="77"/>
  <c r="B206" i="86"/>
  <c r="L78" i="3" s="1"/>
  <c r="M78" i="3" s="1"/>
  <c r="B190" i="86"/>
  <c r="L77" i="3" s="1"/>
  <c r="M77" i="3" s="1"/>
  <c r="E123" i="86"/>
  <c r="E129" i="86"/>
  <c r="B134" i="86"/>
  <c r="Q27" i="3"/>
  <c r="R36" i="3" s="1"/>
  <c r="E124" i="86"/>
  <c r="G35" i="57"/>
  <c r="B19" i="89"/>
  <c r="B22" i="89" s="1"/>
  <c r="B24" i="89" s="1"/>
  <c r="B25" i="89" s="1"/>
  <c r="B26" i="89" s="1"/>
  <c r="G33" i="57"/>
  <c r="B21" i="73"/>
  <c r="B25" i="84"/>
  <c r="C25" i="84"/>
  <c r="D25" i="84"/>
  <c r="E25" i="84"/>
  <c r="F25" i="84"/>
  <c r="H25" i="84"/>
  <c r="G21" i="84"/>
  <c r="G25" i="84"/>
  <c r="I25" i="84"/>
  <c r="H21" i="84"/>
  <c r="J25" i="84"/>
  <c r="I21" i="84"/>
  <c r="K25" i="84"/>
  <c r="J21" i="84"/>
  <c r="L25" i="84"/>
  <c r="K21" i="84"/>
  <c r="M25" i="84"/>
  <c r="L21" i="84"/>
  <c r="N25" i="84"/>
  <c r="N21" i="84"/>
  <c r="M21" i="84"/>
  <c r="L21" i="73"/>
  <c r="AC3" i="75"/>
  <c r="M16" i="3"/>
  <c r="E53" i="3"/>
  <c r="E90" i="1"/>
  <c r="F90" i="1" s="1"/>
  <c r="H70" i="57" s="1"/>
  <c r="E89" i="1"/>
  <c r="F58" i="3"/>
  <c r="F60" i="3"/>
  <c r="F57" i="3"/>
  <c r="F59" i="3"/>
  <c r="D253" i="45"/>
  <c r="F37" i="1"/>
  <c r="F35" i="1"/>
  <c r="F40" i="1"/>
  <c r="F39" i="1"/>
  <c r="F33" i="1"/>
  <c r="F36" i="1"/>
  <c r="F41" i="1"/>
  <c r="F42" i="1"/>
  <c r="F38" i="1"/>
  <c r="F34" i="1"/>
  <c r="E156" i="71"/>
  <c r="E165" i="71"/>
  <c r="E163" i="71"/>
  <c r="E162" i="71"/>
  <c r="E164" i="71"/>
  <c r="E372" i="71" s="1"/>
  <c r="E157" i="71"/>
  <c r="E91" i="1"/>
  <c r="F91" i="1" s="1"/>
  <c r="H71" i="57" s="1"/>
  <c r="AG6" i="71"/>
  <c r="AG22" i="71"/>
  <c r="AG12" i="71"/>
  <c r="AF33" i="71" s="1"/>
  <c r="AH4" i="71"/>
  <c r="AG660" i="71"/>
  <c r="AG5" i="71"/>
  <c r="AF20" i="71"/>
  <c r="AF7" i="71"/>
  <c r="AG8" i="71"/>
  <c r="AF21" i="71"/>
  <c r="AG6" i="69"/>
  <c r="AG9" i="69"/>
  <c r="AH4" i="69"/>
  <c r="AG5" i="69"/>
  <c r="AG7" i="69" s="1"/>
  <c r="D5" i="32"/>
  <c r="E189" i="71"/>
  <c r="E174" i="71"/>
  <c r="E191" i="71"/>
  <c r="E193" i="71"/>
  <c r="E190" i="71"/>
  <c r="E195" i="71"/>
  <c r="E190" i="68" s="1"/>
  <c r="F195" i="71"/>
  <c r="F191" i="71"/>
  <c r="F188" i="69" s="1"/>
  <c r="F189" i="71"/>
  <c r="F190" i="71"/>
  <c r="F187" i="69" s="1"/>
  <c r="F193" i="71"/>
  <c r="G190" i="71"/>
  <c r="G195" i="71"/>
  <c r="G191" i="71"/>
  <c r="G193" i="71"/>
  <c r="G194" i="71" s="1"/>
  <c r="G189" i="71"/>
  <c r="H195" i="71"/>
  <c r="H191" i="71"/>
  <c r="H193" i="71"/>
  <c r="H194" i="71" s="1"/>
  <c r="H190" i="71"/>
  <c r="H189" i="71"/>
  <c r="I193" i="71"/>
  <c r="I191" i="71"/>
  <c r="G188" i="69" s="1"/>
  <c r="I195" i="71"/>
  <c r="I189" i="71"/>
  <c r="I190" i="71"/>
  <c r="G187" i="69" s="1"/>
  <c r="J189" i="71"/>
  <c r="J190" i="71"/>
  <c r="J193" i="71"/>
  <c r="J194" i="71" s="1"/>
  <c r="J195" i="71"/>
  <c r="J191" i="71"/>
  <c r="K193" i="71"/>
  <c r="K194" i="71" s="1"/>
  <c r="K195" i="71"/>
  <c r="K191" i="71"/>
  <c r="K190" i="71"/>
  <c r="K189" i="71"/>
  <c r="L195" i="71"/>
  <c r="L191" i="71"/>
  <c r="H188" i="69" s="1"/>
  <c r="L189" i="71"/>
  <c r="L190" i="71"/>
  <c r="H187" i="69" s="1"/>
  <c r="L193" i="71"/>
  <c r="M189" i="71"/>
  <c r="M193" i="71"/>
  <c r="M194" i="71" s="1"/>
  <c r="M191" i="71"/>
  <c r="M190" i="71"/>
  <c r="M195" i="71"/>
  <c r="N190" i="71"/>
  <c r="N189" i="71"/>
  <c r="N195" i="71"/>
  <c r="N191" i="71"/>
  <c r="N193" i="71"/>
  <c r="N194" i="71" s="1"/>
  <c r="O189" i="71"/>
  <c r="O190" i="71"/>
  <c r="I187" i="69" s="1"/>
  <c r="O193" i="71"/>
  <c r="O195" i="71"/>
  <c r="O191" i="71"/>
  <c r="I188" i="69" s="1"/>
  <c r="P189" i="71"/>
  <c r="P195" i="71"/>
  <c r="P193" i="71"/>
  <c r="P194" i="71" s="1"/>
  <c r="P190" i="71"/>
  <c r="O27" i="72"/>
  <c r="F30" i="73"/>
  <c r="O26" i="72"/>
  <c r="G30" i="73"/>
  <c r="E147" i="71"/>
  <c r="R17" i="72"/>
  <c r="C577" i="71"/>
  <c r="H157" i="1"/>
  <c r="AZ107" i="1"/>
  <c r="BA107" i="1" s="1"/>
  <c r="BB107" i="1" s="1"/>
  <c r="BC107" i="1" s="1"/>
  <c r="BD107" i="1" s="1"/>
  <c r="BE107" i="1" s="1"/>
  <c r="BF107" i="1" s="1"/>
  <c r="BG107" i="1" s="1"/>
  <c r="BH107" i="1" s="1"/>
  <c r="BI107" i="1" s="1"/>
  <c r="BJ107" i="1" s="1"/>
  <c r="BK107" i="1" s="1"/>
  <c r="R34" i="17"/>
  <c r="D97" i="32"/>
  <c r="D58" i="32"/>
  <c r="D84" i="32"/>
  <c r="D147" i="23"/>
  <c r="D155" i="23"/>
  <c r="D140" i="23"/>
  <c r="D148" i="23"/>
  <c r="D139" i="23"/>
  <c r="D153" i="23"/>
  <c r="D146" i="23"/>
  <c r="D141" i="23"/>
  <c r="D149" i="23"/>
  <c r="D143" i="23"/>
  <c r="D144" i="23"/>
  <c r="D145" i="23"/>
  <c r="D154" i="23"/>
  <c r="D142" i="23"/>
  <c r="D150" i="23"/>
  <c r="D151" i="23"/>
  <c r="D152" i="23"/>
  <c r="D21" i="23"/>
  <c r="D22" i="23"/>
  <c r="D26" i="23"/>
  <c r="D27" i="23"/>
  <c r="D24" i="23"/>
  <c r="D25" i="23"/>
  <c r="D16" i="23"/>
  <c r="D17" i="23"/>
  <c r="D18" i="23"/>
  <c r="D19" i="23"/>
  <c r="D110" i="23"/>
  <c r="D111" i="23"/>
  <c r="D104" i="23"/>
  <c r="D100" i="23"/>
  <c r="D99" i="23"/>
  <c r="D107" i="23"/>
  <c r="D105" i="23"/>
  <c r="D106" i="23"/>
  <c r="D59" i="23"/>
  <c r="D67" i="23"/>
  <c r="D75" i="23"/>
  <c r="D60" i="23"/>
  <c r="D68" i="23"/>
  <c r="D56" i="23"/>
  <c r="D64" i="23"/>
  <c r="D57" i="23"/>
  <c r="D73" i="23"/>
  <c r="D74" i="23"/>
  <c r="D61" i="23"/>
  <c r="D69" i="23"/>
  <c r="D71" i="23"/>
  <c r="D72" i="23"/>
  <c r="D65" i="23"/>
  <c r="D58" i="23"/>
  <c r="D66" i="23"/>
  <c r="D62" i="23"/>
  <c r="D70" i="23"/>
  <c r="D63" i="23"/>
  <c r="D76" i="23"/>
  <c r="AN107" i="1"/>
  <c r="AO107" i="1" s="1"/>
  <c r="AP107" i="1" s="1"/>
  <c r="AQ107" i="1" s="1"/>
  <c r="AR107" i="1" s="1"/>
  <c r="AS107" i="1" s="1"/>
  <c r="AT107" i="1" s="1"/>
  <c r="AU107" i="1" s="1"/>
  <c r="AV107" i="1" s="1"/>
  <c r="AW107" i="1" s="1"/>
  <c r="AX107" i="1" s="1"/>
  <c r="AY107" i="1" s="1"/>
  <c r="D92" i="23"/>
  <c r="Z107" i="1"/>
  <c r="C214" i="1"/>
  <c r="C204" i="1"/>
  <c r="C196" i="1"/>
  <c r="C200" i="1"/>
  <c r="C217" i="1"/>
  <c r="C199" i="1"/>
  <c r="C216" i="1"/>
  <c r="C206" i="1"/>
  <c r="C198" i="1"/>
  <c r="C215" i="1"/>
  <c r="C197" i="1"/>
  <c r="C212" i="1"/>
  <c r="C203" i="1"/>
  <c r="C195" i="1"/>
  <c r="C218" i="1"/>
  <c r="C213" i="1"/>
  <c r="C202" i="1"/>
  <c r="C205" i="1"/>
  <c r="C219" i="1"/>
  <c r="C211" i="1"/>
  <c r="C201" i="1"/>
  <c r="C207" i="1"/>
  <c r="C220" i="1"/>
  <c r="C208" i="1"/>
  <c r="R25" i="17"/>
  <c r="A19" i="42"/>
  <c r="J32" i="96" s="1"/>
  <c r="A19" i="64"/>
  <c r="A10" i="64"/>
  <c r="A16" i="42"/>
  <c r="J41" i="96" s="1"/>
  <c r="A16" i="64"/>
  <c r="A15" i="64"/>
  <c r="A17" i="42"/>
  <c r="J39" i="96" s="1"/>
  <c r="A17" i="64"/>
  <c r="P105" i="1"/>
  <c r="AZ106" i="1"/>
  <c r="BA106" i="1" s="1"/>
  <c r="BB106" i="1" s="1"/>
  <c r="BC106" i="1" s="1"/>
  <c r="BD106" i="1" s="1"/>
  <c r="BE106" i="1" s="1"/>
  <c r="BF106" i="1" s="1"/>
  <c r="BG106" i="1" s="1"/>
  <c r="BH106" i="1" s="1"/>
  <c r="BI106" i="1" s="1"/>
  <c r="BJ106" i="1" s="1"/>
  <c r="BK106" i="1" s="1"/>
  <c r="BL106" i="1" s="1"/>
  <c r="BM106" i="1" s="1"/>
  <c r="BN106" i="1" s="1"/>
  <c r="BO106" i="1" s="1"/>
  <c r="BP106" i="1" s="1"/>
  <c r="BQ106" i="1" s="1"/>
  <c r="BR106" i="1" s="1"/>
  <c r="BS106" i="1" s="1"/>
  <c r="BT106" i="1" s="1"/>
  <c r="BU106" i="1" s="1"/>
  <c r="BV106" i="1" s="1"/>
  <c r="BW106" i="1" s="1"/>
  <c r="BX106" i="1" s="1"/>
  <c r="BY106" i="1" s="1"/>
  <c r="BZ106" i="1" s="1"/>
  <c r="CA106" i="1" s="1"/>
  <c r="CB106" i="1" s="1"/>
  <c r="CC106" i="1" s="1"/>
  <c r="CD106" i="1" s="1"/>
  <c r="CE106" i="1" s="1"/>
  <c r="CF106" i="1" s="1"/>
  <c r="CG106" i="1" s="1"/>
  <c r="CH106" i="1" s="1"/>
  <c r="CI106" i="1" s="1"/>
  <c r="CJ106" i="1" s="1"/>
  <c r="CK106" i="1" s="1"/>
  <c r="CL106" i="1" s="1"/>
  <c r="CM106" i="1" s="1"/>
  <c r="CN106" i="1" s="1"/>
  <c r="CO106" i="1" s="1"/>
  <c r="CP106" i="1" s="1"/>
  <c r="CQ106" i="1" s="1"/>
  <c r="CR106" i="1" s="1"/>
  <c r="CS106" i="1" s="1"/>
  <c r="CT106" i="1" s="1"/>
  <c r="CU106" i="1" s="1"/>
  <c r="CV106" i="1" s="1"/>
  <c r="CW106" i="1" s="1"/>
  <c r="CX106" i="1" s="1"/>
  <c r="CY106" i="1" s="1"/>
  <c r="CZ106" i="1" s="1"/>
  <c r="DA106" i="1" s="1"/>
  <c r="DB106" i="1" s="1"/>
  <c r="DC106" i="1" s="1"/>
  <c r="DD106" i="1" s="1"/>
  <c r="DE106" i="1" s="1"/>
  <c r="DF106" i="1" s="1"/>
  <c r="DG106" i="1" s="1"/>
  <c r="DH106" i="1" s="1"/>
  <c r="DI106" i="1" s="1"/>
  <c r="DJ106" i="1" s="1"/>
  <c r="DK106" i="1" s="1"/>
  <c r="DL106" i="1" s="1"/>
  <c r="DM106" i="1" s="1"/>
  <c r="DN106" i="1" s="1"/>
  <c r="DO106" i="1" s="1"/>
  <c r="DP106" i="1" s="1"/>
  <c r="DQ106" i="1" s="1"/>
  <c r="DR106" i="1" s="1"/>
  <c r="DS106" i="1" s="1"/>
  <c r="DT106" i="1" s="1"/>
  <c r="DU106" i="1" s="1"/>
  <c r="DV106" i="1" s="1"/>
  <c r="DW106" i="1" s="1"/>
  <c r="DX106" i="1" s="1"/>
  <c r="DY106" i="1" s="1"/>
  <c r="DZ106" i="1" s="1"/>
  <c r="EA106" i="1" s="1"/>
  <c r="EB106" i="1" s="1"/>
  <c r="EC106" i="1" s="1"/>
  <c r="ED106" i="1" s="1"/>
  <c r="EE106" i="1" s="1"/>
  <c r="EF106" i="1" s="1"/>
  <c r="EG106" i="1" s="1"/>
  <c r="EH106" i="1" s="1"/>
  <c r="EI106" i="1" s="1"/>
  <c r="EJ106" i="1" s="1"/>
  <c r="EK106" i="1" s="1"/>
  <c r="EL106" i="1" s="1"/>
  <c r="EM106" i="1" s="1"/>
  <c r="EN106" i="1" s="1"/>
  <c r="EO106" i="1" s="1"/>
  <c r="EP106" i="1" s="1"/>
  <c r="EQ106" i="1" s="1"/>
  <c r="ER106" i="1" s="1"/>
  <c r="T104" i="1"/>
  <c r="U104" i="1"/>
  <c r="Q105" i="1"/>
  <c r="R106" i="1"/>
  <c r="U106" i="1"/>
  <c r="T107" i="1"/>
  <c r="Q107" i="1"/>
  <c r="U107" i="1"/>
  <c r="V106" i="1"/>
  <c r="Y106" i="1"/>
  <c r="X107" i="1"/>
  <c r="Y107" i="1"/>
  <c r="AB106" i="1"/>
  <c r="AC106" i="1" s="1"/>
  <c r="AD106" i="1" s="1"/>
  <c r="AE106" i="1" s="1"/>
  <c r="AF106" i="1" s="1"/>
  <c r="AG106" i="1" s="1"/>
  <c r="AH106" i="1" s="1"/>
  <c r="AI106" i="1" s="1"/>
  <c r="AJ106" i="1" s="1"/>
  <c r="AK106" i="1" s="1"/>
  <c r="AL106" i="1" s="1"/>
  <c r="AM106" i="1" s="1"/>
  <c r="S107" i="1"/>
  <c r="AB107" i="1"/>
  <c r="AC107" i="1" s="1"/>
  <c r="AD107" i="1" s="1"/>
  <c r="AE107" i="1" s="1"/>
  <c r="AF107" i="1" s="1"/>
  <c r="AG107" i="1" s="1"/>
  <c r="AH107" i="1" s="1"/>
  <c r="AI107" i="1" s="1"/>
  <c r="AJ107" i="1" s="1"/>
  <c r="AK107" i="1" s="1"/>
  <c r="AL107" i="1" s="1"/>
  <c r="AM107" i="1" s="1"/>
  <c r="AN106" i="1"/>
  <c r="AO106" i="1" s="1"/>
  <c r="AP106" i="1" s="1"/>
  <c r="AQ106" i="1" s="1"/>
  <c r="AR106" i="1" s="1"/>
  <c r="AS106" i="1" s="1"/>
  <c r="AT106" i="1" s="1"/>
  <c r="AU106" i="1" s="1"/>
  <c r="AV106" i="1" s="1"/>
  <c r="AW106" i="1" s="1"/>
  <c r="AX106" i="1" s="1"/>
  <c r="AY106" i="1" s="1"/>
  <c r="P106" i="1"/>
  <c r="AA107" i="1"/>
  <c r="X106" i="1"/>
  <c r="R107" i="1"/>
  <c r="W107" i="1"/>
  <c r="P107" i="1"/>
  <c r="V107" i="1"/>
  <c r="H209" i="1"/>
  <c r="H201" i="1"/>
  <c r="L204" i="1"/>
  <c r="L196" i="1"/>
  <c r="H208" i="1"/>
  <c r="H200" i="1"/>
  <c r="L211" i="1"/>
  <c r="L203" i="1"/>
  <c r="H207" i="1"/>
  <c r="H206" i="1"/>
  <c r="H198" i="1"/>
  <c r="L209" i="1"/>
  <c r="L201" i="1"/>
  <c r="L195" i="1"/>
  <c r="H199" i="1"/>
  <c r="L202" i="1"/>
  <c r="H205" i="1"/>
  <c r="H197" i="1"/>
  <c r="L208" i="1"/>
  <c r="L200" i="1"/>
  <c r="H204" i="1"/>
  <c r="H196" i="1"/>
  <c r="L207" i="1"/>
  <c r="L199" i="1"/>
  <c r="H211" i="1"/>
  <c r="H203" i="1"/>
  <c r="H195" i="1"/>
  <c r="L206" i="1"/>
  <c r="L198" i="1"/>
  <c r="H210" i="1"/>
  <c r="H202" i="1"/>
  <c r="L205" i="1"/>
  <c r="L197" i="1"/>
  <c r="L210" i="1"/>
  <c r="H212" i="1"/>
  <c r="L212" i="1"/>
  <c r="L172" i="1"/>
  <c r="L171" i="1"/>
  <c r="L169" i="1"/>
  <c r="L176" i="1"/>
  <c r="L168" i="1"/>
  <c r="L175" i="1"/>
  <c r="L174" i="1"/>
  <c r="L173" i="1"/>
  <c r="L170" i="1"/>
  <c r="L177" i="1"/>
  <c r="S266" i="1"/>
  <c r="S267" i="1"/>
  <c r="S261" i="1"/>
  <c r="S269" i="1"/>
  <c r="S263" i="1"/>
  <c r="S264" i="1"/>
  <c r="S268" i="1"/>
  <c r="S272" i="1"/>
  <c r="S262" i="1"/>
  <c r="S265" i="1"/>
  <c r="S270" i="1"/>
  <c r="S271" i="1"/>
  <c r="J212" i="1"/>
  <c r="A208" i="1"/>
  <c r="A220" i="1"/>
  <c r="E212" i="1"/>
  <c r="J177" i="1"/>
  <c r="A221" i="1"/>
  <c r="A188" i="1"/>
  <c r="A162" i="1"/>
  <c r="D18" i="17"/>
  <c r="F107" i="3"/>
  <c r="M21" i="3"/>
  <c r="EF107" i="1"/>
  <c r="EG107" i="1" s="1"/>
  <c r="EH107" i="1" s="1"/>
  <c r="EI107" i="1" s="1"/>
  <c r="EJ107" i="1" s="1"/>
  <c r="EK107" i="1" s="1"/>
  <c r="EL107" i="1" s="1"/>
  <c r="EM107" i="1" s="1"/>
  <c r="EN107" i="1" s="1"/>
  <c r="EO107" i="1" s="1"/>
  <c r="EP107" i="1" s="1"/>
  <c r="EQ107" i="1" s="1"/>
  <c r="C129" i="1"/>
  <c r="D70" i="96" s="1"/>
  <c r="M85" i="3"/>
  <c r="BL107" i="1"/>
  <c r="BM107" i="1" s="1"/>
  <c r="BN107" i="1" s="1"/>
  <c r="BO107" i="1" s="1"/>
  <c r="BP107" i="1" s="1"/>
  <c r="BQ107" i="1" s="1"/>
  <c r="BR107" i="1" s="1"/>
  <c r="BS107" i="1" s="1"/>
  <c r="BT107" i="1" s="1"/>
  <c r="BU107" i="1" s="1"/>
  <c r="BV107" i="1" s="1"/>
  <c r="BW107" i="1" s="1"/>
  <c r="BX107" i="1"/>
  <c r="BY107" i="1" s="1"/>
  <c r="BZ107" i="1" s="1"/>
  <c r="CA107" i="1" s="1"/>
  <c r="CB107" i="1" s="1"/>
  <c r="CC107" i="1" s="1"/>
  <c r="CD107" i="1" s="1"/>
  <c r="CE107" i="1" s="1"/>
  <c r="CF107" i="1" s="1"/>
  <c r="CG107" i="1" s="1"/>
  <c r="CH107" i="1" s="1"/>
  <c r="CI107" i="1" s="1"/>
  <c r="GB106" i="1"/>
  <c r="GC106" i="1"/>
  <c r="GD106" i="1"/>
  <c r="GK107" i="1"/>
  <c r="M86" i="3"/>
  <c r="J22" i="64"/>
  <c r="J21" i="64"/>
  <c r="J19" i="64"/>
  <c r="J20" i="64"/>
  <c r="J7" i="42"/>
  <c r="J7" i="64"/>
  <c r="A120" i="32"/>
  <c r="M33" i="17"/>
  <c r="O31" i="42"/>
  <c r="M31" i="17"/>
  <c r="O33" i="42"/>
  <c r="O24" i="64"/>
  <c r="R15" i="64"/>
  <c r="BS157" i="23"/>
  <c r="BS168" i="23" s="1"/>
  <c r="FZ102" i="1"/>
  <c r="GA102" i="1"/>
  <c r="FX102" i="1"/>
  <c r="GD105" i="1"/>
  <c r="GH107" i="1"/>
  <c r="GF108" i="1"/>
  <c r="V157" i="23"/>
  <c r="V163" i="23" s="1"/>
  <c r="GK109" i="1"/>
  <c r="H157" i="23"/>
  <c r="H168" i="23" s="1"/>
  <c r="FV101" i="1"/>
  <c r="GE105" i="1"/>
  <c r="GI107" i="1"/>
  <c r="GG108" i="1"/>
  <c r="GJ109" i="1"/>
  <c r="FZ103" i="1"/>
  <c r="BB157" i="23"/>
  <c r="BB173" i="23" s="1"/>
  <c r="ER107" i="1"/>
  <c r="GJ107" i="1"/>
  <c r="GH108" i="1"/>
  <c r="FZ104" i="1"/>
  <c r="GF105" i="1"/>
  <c r="DT107" i="1"/>
  <c r="DU107" i="1" s="1"/>
  <c r="DV107" i="1" s="1"/>
  <c r="DW107" i="1" s="1"/>
  <c r="DX107" i="1" s="1"/>
  <c r="DY107" i="1" s="1"/>
  <c r="DZ107" i="1" s="1"/>
  <c r="EA107" i="1" s="1"/>
  <c r="EB107" i="1" s="1"/>
  <c r="EC107" i="1" s="1"/>
  <c r="ED107" i="1" s="1"/>
  <c r="EE107" i="1" s="1"/>
  <c r="CV107" i="1"/>
  <c r="CW107" i="1" s="1"/>
  <c r="CX107" i="1" s="1"/>
  <c r="CY107" i="1" s="1"/>
  <c r="CZ107" i="1" s="1"/>
  <c r="DA107" i="1" s="1"/>
  <c r="DB107" i="1" s="1"/>
  <c r="DC107" i="1" s="1"/>
  <c r="DD107" i="1" s="1"/>
  <c r="DE107" i="1" s="1"/>
  <c r="DF107" i="1" s="1"/>
  <c r="DG107" i="1" s="1"/>
  <c r="FW101" i="1"/>
  <c r="FX101" i="1"/>
  <c r="GB103" i="1"/>
  <c r="GB104" i="1"/>
  <c r="FZ105" i="1"/>
  <c r="GH105" i="1"/>
  <c r="GD107" i="1"/>
  <c r="GL107" i="1"/>
  <c r="CJ107" i="1"/>
  <c r="CK107" i="1" s="1"/>
  <c r="CL107" i="1" s="1"/>
  <c r="CM107" i="1" s="1"/>
  <c r="CN107" i="1" s="1"/>
  <c r="CO107" i="1" s="1"/>
  <c r="CP107" i="1" s="1"/>
  <c r="CQ107" i="1" s="1"/>
  <c r="CR107" i="1" s="1"/>
  <c r="CS107" i="1" s="1"/>
  <c r="CT107" i="1" s="1"/>
  <c r="CU107" i="1" s="1"/>
  <c r="GC103" i="1"/>
  <c r="GC104" i="1"/>
  <c r="GA105" i="1"/>
  <c r="GE107" i="1"/>
  <c r="GA103" i="1"/>
  <c r="GG105" i="1"/>
  <c r="GB105" i="1"/>
  <c r="GF107" i="1"/>
  <c r="GH109" i="1"/>
  <c r="F43" i="3"/>
  <c r="J22" i="42"/>
  <c r="M89" i="3"/>
  <c r="F38" i="3"/>
  <c r="M43" i="3"/>
  <c r="M81" i="3"/>
  <c r="M41" i="3"/>
  <c r="F26" i="1"/>
  <c r="H19" i="57" s="1"/>
  <c r="F35" i="3"/>
  <c r="F29" i="1"/>
  <c r="H22" i="57" s="1"/>
  <c r="F60" i="1"/>
  <c r="H43" i="57" s="1"/>
  <c r="F56" i="3"/>
  <c r="F27" i="3"/>
  <c r="F26" i="3"/>
  <c r="F103" i="3"/>
  <c r="F25" i="3"/>
  <c r="F23" i="1"/>
  <c r="H16" i="57" s="1"/>
  <c r="F37" i="3"/>
  <c r="F24" i="1"/>
  <c r="H17" i="57" s="1"/>
  <c r="C18" i="17"/>
  <c r="F125" i="3"/>
  <c r="M80" i="3"/>
  <c r="M46" i="3"/>
  <c r="M87" i="3"/>
  <c r="J21" i="42"/>
  <c r="X157" i="23"/>
  <c r="X163" i="23" s="1"/>
  <c r="AR157" i="23"/>
  <c r="AR163" i="23" s="1"/>
  <c r="BH157" i="23"/>
  <c r="BH173" i="23" s="1"/>
  <c r="Y105" i="1"/>
  <c r="BO157" i="23"/>
  <c r="BO173" i="23" s="1"/>
  <c r="BK157" i="23"/>
  <c r="BK173" i="23" s="1"/>
  <c r="AU157" i="23"/>
  <c r="AU173" i="23" s="1"/>
  <c r="AA157" i="23"/>
  <c r="AA168" i="23" s="1"/>
  <c r="AG157" i="23"/>
  <c r="AG163" i="23" s="1"/>
  <c r="AW157" i="23"/>
  <c r="AW173" i="23" s="1"/>
  <c r="T157" i="23"/>
  <c r="T163" i="23" s="1"/>
  <c r="AZ157" i="23"/>
  <c r="AZ163" i="23" s="1"/>
  <c r="BP157" i="23"/>
  <c r="BP163" i="23" s="1"/>
  <c r="Z157" i="23"/>
  <c r="Z163" i="23" s="1"/>
  <c r="S105" i="1"/>
  <c r="AP157" i="23"/>
  <c r="AP173" i="23" s="1"/>
  <c r="M157" i="23"/>
  <c r="M173" i="23" s="1"/>
  <c r="AM157" i="23"/>
  <c r="AM168" i="23" s="1"/>
  <c r="N157" i="23"/>
  <c r="N168" i="23" s="1"/>
  <c r="BN157" i="23"/>
  <c r="BN168" i="23" s="1"/>
  <c r="BF157" i="23"/>
  <c r="BF168" i="23" s="1"/>
  <c r="BR157" i="23"/>
  <c r="BR168" i="23" s="1"/>
  <c r="AT157" i="23"/>
  <c r="AT173" i="23" s="1"/>
  <c r="Q157" i="23"/>
  <c r="Q163" i="23" s="1"/>
  <c r="BM157" i="23"/>
  <c r="BM163" i="23" s="1"/>
  <c r="BQ157" i="23"/>
  <c r="BQ173" i="23" s="1"/>
  <c r="AH157" i="23"/>
  <c r="AH163" i="23" s="1"/>
  <c r="J157" i="23"/>
  <c r="J173" i="23" s="1"/>
  <c r="U157" i="23"/>
  <c r="U168" i="23" s="1"/>
  <c r="BE157" i="23"/>
  <c r="BE168" i="23" s="1"/>
  <c r="S157" i="23"/>
  <c r="K157" i="23"/>
  <c r="Y157" i="23"/>
  <c r="BD90" i="23"/>
  <c r="BD157" i="23" s="1"/>
  <c r="AF90" i="23"/>
  <c r="AF157" i="23" s="1"/>
  <c r="BT157" i="23"/>
  <c r="AQ157" i="23"/>
  <c r="R157" i="23"/>
  <c r="I157" i="23"/>
  <c r="I163" i="23" s="1"/>
  <c r="AO157" i="23"/>
  <c r="R10" i="17"/>
  <c r="R9" i="17"/>
  <c r="AD157" i="23"/>
  <c r="BA157" i="23"/>
  <c r="AN104" i="1"/>
  <c r="AO104" i="1" s="1"/>
  <c r="AP104" i="1" s="1"/>
  <c r="AQ104" i="1" s="1"/>
  <c r="AR104" i="1" s="1"/>
  <c r="AS104" i="1" s="1"/>
  <c r="AT104" i="1" s="1"/>
  <c r="AU104" i="1" s="1"/>
  <c r="AV104" i="1" s="1"/>
  <c r="AW104" i="1" s="1"/>
  <c r="AX104" i="1" s="1"/>
  <c r="AY104" i="1" s="1"/>
  <c r="A18" i="42"/>
  <c r="J31" i="96" s="1"/>
  <c r="AN157" i="23"/>
  <c r="W157" i="23"/>
  <c r="A1" i="32"/>
  <c r="AV157" i="23"/>
  <c r="BL157" i="23"/>
  <c r="F89" i="3"/>
  <c r="M88" i="3"/>
  <c r="F58" i="1"/>
  <c r="H41" i="57" s="1"/>
  <c r="F94" i="3"/>
  <c r="F87" i="3"/>
  <c r="M39" i="3"/>
  <c r="F30" i="1"/>
  <c r="H23" i="57" s="1"/>
  <c r="F40" i="3"/>
  <c r="F15" i="1"/>
  <c r="H8" i="57" s="1"/>
  <c r="F17" i="1"/>
  <c r="H10" i="57" s="1"/>
  <c r="M47" i="3"/>
  <c r="M18" i="3"/>
  <c r="F25" i="1"/>
  <c r="H18" i="57" s="1"/>
  <c r="M12" i="3"/>
  <c r="F86" i="3"/>
  <c r="M13" i="3"/>
  <c r="F16" i="1"/>
  <c r="H9" i="57" s="1"/>
  <c r="M34" i="3"/>
  <c r="A11" i="42"/>
  <c r="J33" i="96" s="1"/>
  <c r="AE157" i="23"/>
  <c r="O157" i="23"/>
  <c r="AB157" i="23"/>
  <c r="BG157" i="23"/>
  <c r="BC157" i="23"/>
  <c r="H86" i="57"/>
  <c r="W103" i="1"/>
  <c r="AZ103" i="1"/>
  <c r="BA103" i="1" s="1"/>
  <c r="BB103" i="1" s="1"/>
  <c r="BC103" i="1" s="1"/>
  <c r="BD103" i="1" s="1"/>
  <c r="BE103" i="1" s="1"/>
  <c r="BF103" i="1" s="1"/>
  <c r="BG103" i="1" s="1"/>
  <c r="BH103" i="1" s="1"/>
  <c r="BI103" i="1" s="1"/>
  <c r="BJ103" i="1" s="1"/>
  <c r="BK103" i="1" s="1"/>
  <c r="BL103" i="1" s="1"/>
  <c r="BM103" i="1" s="1"/>
  <c r="BN103" i="1" s="1"/>
  <c r="BO103" i="1" s="1"/>
  <c r="BP103" i="1" s="1"/>
  <c r="BQ103" i="1" s="1"/>
  <c r="BR103" i="1" s="1"/>
  <c r="BS103" i="1" s="1"/>
  <c r="BT103" i="1" s="1"/>
  <c r="BU103" i="1" s="1"/>
  <c r="BV103" i="1" s="1"/>
  <c r="BW103" i="1" s="1"/>
  <c r="BX103" i="1" s="1"/>
  <c r="BY103" i="1" s="1"/>
  <c r="BZ103" i="1" s="1"/>
  <c r="CA103" i="1" s="1"/>
  <c r="CB103" i="1" s="1"/>
  <c r="CC103" i="1" s="1"/>
  <c r="CD103" i="1" s="1"/>
  <c r="CE103" i="1" s="1"/>
  <c r="CF103" i="1" s="1"/>
  <c r="CG103" i="1" s="1"/>
  <c r="CH103" i="1" s="1"/>
  <c r="CI103" i="1" s="1"/>
  <c r="CJ103" i="1" s="1"/>
  <c r="CK103" i="1" s="1"/>
  <c r="CL103" i="1" s="1"/>
  <c r="CM103" i="1" s="1"/>
  <c r="CN103" i="1" s="1"/>
  <c r="CO103" i="1" s="1"/>
  <c r="CP103" i="1" s="1"/>
  <c r="CQ103" i="1" s="1"/>
  <c r="CR103" i="1" s="1"/>
  <c r="CS103" i="1" s="1"/>
  <c r="CT103" i="1" s="1"/>
  <c r="CU103" i="1" s="1"/>
  <c r="CV103" i="1" s="1"/>
  <c r="CW103" i="1" s="1"/>
  <c r="CX103" i="1" s="1"/>
  <c r="CY103" i="1" s="1"/>
  <c r="CZ103" i="1" s="1"/>
  <c r="DA103" i="1" s="1"/>
  <c r="DB103" i="1" s="1"/>
  <c r="DC103" i="1" s="1"/>
  <c r="DD103" i="1" s="1"/>
  <c r="DE103" i="1" s="1"/>
  <c r="DF103" i="1" s="1"/>
  <c r="DG103" i="1" s="1"/>
  <c r="DH103" i="1" s="1"/>
  <c r="DI103" i="1" s="1"/>
  <c r="DJ103" i="1" s="1"/>
  <c r="DK103" i="1" s="1"/>
  <c r="DL103" i="1" s="1"/>
  <c r="DM103" i="1" s="1"/>
  <c r="DN103" i="1" s="1"/>
  <c r="DO103" i="1" s="1"/>
  <c r="DP103" i="1" s="1"/>
  <c r="DQ103" i="1" s="1"/>
  <c r="DR103" i="1" s="1"/>
  <c r="DS103" i="1" s="1"/>
  <c r="DT103" i="1" s="1"/>
  <c r="DU103" i="1" s="1"/>
  <c r="DV103" i="1" s="1"/>
  <c r="DW103" i="1" s="1"/>
  <c r="DX103" i="1" s="1"/>
  <c r="DY103" i="1" s="1"/>
  <c r="DZ103" i="1" s="1"/>
  <c r="EA103" i="1" s="1"/>
  <c r="EB103" i="1" s="1"/>
  <c r="EC103" i="1" s="1"/>
  <c r="ED103" i="1" s="1"/>
  <c r="EE103" i="1" s="1"/>
  <c r="EF103" i="1" s="1"/>
  <c r="EG103" i="1" s="1"/>
  <c r="EH103" i="1" s="1"/>
  <c r="EI103" i="1" s="1"/>
  <c r="EJ103" i="1" s="1"/>
  <c r="EK103" i="1" s="1"/>
  <c r="EL103" i="1" s="1"/>
  <c r="EM103" i="1" s="1"/>
  <c r="EN103" i="1" s="1"/>
  <c r="EO103" i="1" s="1"/>
  <c r="EP103" i="1" s="1"/>
  <c r="EQ103" i="1" s="1"/>
  <c r="ER103" i="1" s="1"/>
  <c r="BJ157" i="23"/>
  <c r="H87" i="57"/>
  <c r="P104" i="1"/>
  <c r="Z104" i="1"/>
  <c r="R104" i="1"/>
  <c r="Y104" i="1"/>
  <c r="W104" i="1"/>
  <c r="AZ104" i="1"/>
  <c r="BA104" i="1" s="1"/>
  <c r="BB104" i="1" s="1"/>
  <c r="BC104" i="1" s="1"/>
  <c r="BD104" i="1" s="1"/>
  <c r="BE104" i="1" s="1"/>
  <c r="BF104" i="1" s="1"/>
  <c r="BG104" i="1" s="1"/>
  <c r="BH104" i="1" s="1"/>
  <c r="BI104" i="1" s="1"/>
  <c r="BJ104" i="1" s="1"/>
  <c r="BK104" i="1" s="1"/>
  <c r="BL104" i="1" s="1"/>
  <c r="BM104" i="1" s="1"/>
  <c r="BN104" i="1" s="1"/>
  <c r="BO104" i="1" s="1"/>
  <c r="BP104" i="1" s="1"/>
  <c r="BQ104" i="1" s="1"/>
  <c r="BR104" i="1" s="1"/>
  <c r="BS104" i="1" s="1"/>
  <c r="BT104" i="1" s="1"/>
  <c r="BU104" i="1" s="1"/>
  <c r="BV104" i="1" s="1"/>
  <c r="BW104" i="1" s="1"/>
  <c r="BX104" i="1" s="1"/>
  <c r="BY104" i="1" s="1"/>
  <c r="BZ104" i="1" s="1"/>
  <c r="CA104" i="1" s="1"/>
  <c r="CB104" i="1" s="1"/>
  <c r="CC104" i="1" s="1"/>
  <c r="CD104" i="1" s="1"/>
  <c r="CE104" i="1" s="1"/>
  <c r="CF104" i="1" s="1"/>
  <c r="CG104" i="1" s="1"/>
  <c r="CH104" i="1" s="1"/>
  <c r="CI104" i="1" s="1"/>
  <c r="CJ104" i="1" s="1"/>
  <c r="CK104" i="1" s="1"/>
  <c r="CL104" i="1" s="1"/>
  <c r="CM104" i="1" s="1"/>
  <c r="CN104" i="1" s="1"/>
  <c r="CO104" i="1" s="1"/>
  <c r="CP104" i="1" s="1"/>
  <c r="CQ104" i="1" s="1"/>
  <c r="CR104" i="1" s="1"/>
  <c r="CS104" i="1" s="1"/>
  <c r="CT104" i="1" s="1"/>
  <c r="CU104" i="1" s="1"/>
  <c r="CV104" i="1" s="1"/>
  <c r="CW104" i="1" s="1"/>
  <c r="CX104" i="1" s="1"/>
  <c r="CY104" i="1" s="1"/>
  <c r="CZ104" i="1" s="1"/>
  <c r="DA104" i="1" s="1"/>
  <c r="DB104" i="1" s="1"/>
  <c r="DC104" i="1" s="1"/>
  <c r="DD104" i="1" s="1"/>
  <c r="DE104" i="1" s="1"/>
  <c r="DF104" i="1" s="1"/>
  <c r="DG104" i="1" s="1"/>
  <c r="DH104" i="1" s="1"/>
  <c r="DI104" i="1" s="1"/>
  <c r="DJ104" i="1" s="1"/>
  <c r="DK104" i="1" s="1"/>
  <c r="DL104" i="1" s="1"/>
  <c r="DM104" i="1" s="1"/>
  <c r="DN104" i="1" s="1"/>
  <c r="DO104" i="1" s="1"/>
  <c r="DP104" i="1" s="1"/>
  <c r="DQ104" i="1" s="1"/>
  <c r="DR104" i="1" s="1"/>
  <c r="DS104" i="1" s="1"/>
  <c r="DT104" i="1" s="1"/>
  <c r="DU104" i="1" s="1"/>
  <c r="DV104" i="1" s="1"/>
  <c r="DW104" i="1" s="1"/>
  <c r="DX104" i="1" s="1"/>
  <c r="DY104" i="1" s="1"/>
  <c r="DZ104" i="1" s="1"/>
  <c r="EA104" i="1" s="1"/>
  <c r="EB104" i="1" s="1"/>
  <c r="EC104" i="1" s="1"/>
  <c r="ED104" i="1" s="1"/>
  <c r="EE104" i="1" s="1"/>
  <c r="EF104" i="1" s="1"/>
  <c r="EG104" i="1" s="1"/>
  <c r="EH104" i="1" s="1"/>
  <c r="EI104" i="1" s="1"/>
  <c r="EJ104" i="1" s="1"/>
  <c r="EK104" i="1" s="1"/>
  <c r="EL104" i="1" s="1"/>
  <c r="EM104" i="1" s="1"/>
  <c r="EN104" i="1" s="1"/>
  <c r="EO104" i="1" s="1"/>
  <c r="EP104" i="1" s="1"/>
  <c r="EQ104" i="1" s="1"/>
  <c r="ER104" i="1" s="1"/>
  <c r="AK157" i="23"/>
  <c r="BI157" i="23"/>
  <c r="AS157" i="23"/>
  <c r="S104" i="1"/>
  <c r="AB104" i="1"/>
  <c r="AC104" i="1" s="1"/>
  <c r="AD104" i="1" s="1"/>
  <c r="AE104" i="1" s="1"/>
  <c r="AF104" i="1" s="1"/>
  <c r="AG104" i="1" s="1"/>
  <c r="AH104" i="1" s="1"/>
  <c r="AI104" i="1" s="1"/>
  <c r="AJ104" i="1" s="1"/>
  <c r="AK104" i="1" s="1"/>
  <c r="AL104" i="1" s="1"/>
  <c r="AM104" i="1" s="1"/>
  <c r="X104" i="1"/>
  <c r="AL157" i="23"/>
  <c r="AC157" i="23"/>
  <c r="AJ157" i="23"/>
  <c r="AI157" i="23"/>
  <c r="AY157" i="23"/>
  <c r="P157" i="23"/>
  <c r="AX157" i="23"/>
  <c r="A13" i="42"/>
  <c r="J37" i="96" s="1"/>
  <c r="V104" i="1"/>
  <c r="Q104" i="1"/>
  <c r="L157" i="23"/>
  <c r="A2" i="32"/>
  <c r="R248" i="1"/>
  <c r="A3" i="32"/>
  <c r="B2" i="32"/>
  <c r="R103" i="1"/>
  <c r="AA102" i="1"/>
  <c r="X103" i="1"/>
  <c r="L60" i="1"/>
  <c r="N43" i="57" s="1"/>
  <c r="W102" i="1"/>
  <c r="BL108" i="1"/>
  <c r="BM108" i="1" s="1"/>
  <c r="BN108" i="1" s="1"/>
  <c r="BO108" i="1" s="1"/>
  <c r="BP108" i="1" s="1"/>
  <c r="BQ108" i="1" s="1"/>
  <c r="BR108" i="1" s="1"/>
  <c r="BS108" i="1" s="1"/>
  <c r="BT108" i="1" s="1"/>
  <c r="BU108" i="1" s="1"/>
  <c r="BV108" i="1" s="1"/>
  <c r="BW108" i="1" s="1"/>
  <c r="BX108" i="1" s="1"/>
  <c r="BY108" i="1" s="1"/>
  <c r="BZ108" i="1" s="1"/>
  <c r="CA108" i="1" s="1"/>
  <c r="CB108" i="1" s="1"/>
  <c r="CC108" i="1" s="1"/>
  <c r="CD108" i="1" s="1"/>
  <c r="CE108" i="1" s="1"/>
  <c r="CF108" i="1" s="1"/>
  <c r="CG108" i="1" s="1"/>
  <c r="CH108" i="1" s="1"/>
  <c r="CI108" i="1" s="1"/>
  <c r="CJ108" i="1" s="1"/>
  <c r="CK108" i="1" s="1"/>
  <c r="CL108" i="1" s="1"/>
  <c r="CM108" i="1" s="1"/>
  <c r="CN108" i="1" s="1"/>
  <c r="CO108" i="1" s="1"/>
  <c r="CP108" i="1" s="1"/>
  <c r="CQ108" i="1" s="1"/>
  <c r="CR108" i="1" s="1"/>
  <c r="CS108" i="1" s="1"/>
  <c r="CT108" i="1" s="1"/>
  <c r="CU108" i="1" s="1"/>
  <c r="CV108" i="1" s="1"/>
  <c r="CW108" i="1" s="1"/>
  <c r="CX108" i="1" s="1"/>
  <c r="CY108" i="1" s="1"/>
  <c r="CZ108" i="1" s="1"/>
  <c r="DA108" i="1" s="1"/>
  <c r="DB108" i="1" s="1"/>
  <c r="DC108" i="1" s="1"/>
  <c r="DD108" i="1" s="1"/>
  <c r="DE108" i="1" s="1"/>
  <c r="DF108" i="1" s="1"/>
  <c r="DG108" i="1" s="1"/>
  <c r="DH108" i="1" s="1"/>
  <c r="DI108" i="1" s="1"/>
  <c r="DJ108" i="1" s="1"/>
  <c r="DK108" i="1" s="1"/>
  <c r="DL108" i="1" s="1"/>
  <c r="DM108" i="1" s="1"/>
  <c r="DN108" i="1" s="1"/>
  <c r="DO108" i="1" s="1"/>
  <c r="DP108" i="1" s="1"/>
  <c r="DQ108" i="1" s="1"/>
  <c r="DR108" i="1" s="1"/>
  <c r="DS108" i="1" s="1"/>
  <c r="DT108" i="1" s="1"/>
  <c r="DU108" i="1" s="1"/>
  <c r="DV108" i="1" s="1"/>
  <c r="DW108" i="1" s="1"/>
  <c r="DX108" i="1" s="1"/>
  <c r="DY108" i="1" s="1"/>
  <c r="DZ108" i="1" s="1"/>
  <c r="EA108" i="1" s="1"/>
  <c r="EB108" i="1" s="1"/>
  <c r="EC108" i="1" s="1"/>
  <c r="ED108" i="1" s="1"/>
  <c r="EE108" i="1" s="1"/>
  <c r="EF108" i="1" s="1"/>
  <c r="EG108" i="1" s="1"/>
  <c r="EH108" i="1" s="1"/>
  <c r="EI108" i="1" s="1"/>
  <c r="EJ108" i="1" s="1"/>
  <c r="EK108" i="1" s="1"/>
  <c r="EL108" i="1" s="1"/>
  <c r="EM108" i="1" s="1"/>
  <c r="EN108" i="1" s="1"/>
  <c r="EO108" i="1" s="1"/>
  <c r="EP108" i="1" s="1"/>
  <c r="EQ108" i="1" s="1"/>
  <c r="ER108" i="1" s="1"/>
  <c r="Y108" i="1"/>
  <c r="V108" i="1"/>
  <c r="AN108" i="1"/>
  <c r="AO108" i="1" s="1"/>
  <c r="AP108" i="1" s="1"/>
  <c r="AQ108" i="1" s="1"/>
  <c r="AR108" i="1" s="1"/>
  <c r="AS108" i="1" s="1"/>
  <c r="AT108" i="1" s="1"/>
  <c r="AU108" i="1" s="1"/>
  <c r="AV108" i="1" s="1"/>
  <c r="AW108" i="1" s="1"/>
  <c r="AX108" i="1" s="1"/>
  <c r="AY108" i="1" s="1"/>
  <c r="T103" i="1"/>
  <c r="AN103" i="1"/>
  <c r="AO103" i="1" s="1"/>
  <c r="AP103" i="1" s="1"/>
  <c r="AQ103" i="1" s="1"/>
  <c r="AR103" i="1" s="1"/>
  <c r="AS103" i="1" s="1"/>
  <c r="AT103" i="1" s="1"/>
  <c r="AU103" i="1" s="1"/>
  <c r="AV103" i="1" s="1"/>
  <c r="AW103" i="1" s="1"/>
  <c r="AX103" i="1" s="1"/>
  <c r="AY103" i="1" s="1"/>
  <c r="U108" i="1"/>
  <c r="Y109" i="1"/>
  <c r="I44" i="1"/>
  <c r="K27" i="57" s="1"/>
  <c r="T108" i="1"/>
  <c r="Q103" i="1"/>
  <c r="AZ108" i="1"/>
  <c r="BA108" i="1" s="1"/>
  <c r="BB108" i="1" s="1"/>
  <c r="BC108" i="1" s="1"/>
  <c r="BD108" i="1" s="1"/>
  <c r="BE108" i="1" s="1"/>
  <c r="BF108" i="1" s="1"/>
  <c r="BG108" i="1" s="1"/>
  <c r="BH108" i="1" s="1"/>
  <c r="BI108" i="1" s="1"/>
  <c r="BJ108" i="1" s="1"/>
  <c r="BK108" i="1" s="1"/>
  <c r="U103" i="1"/>
  <c r="X108" i="1"/>
  <c r="P109" i="1"/>
  <c r="S108" i="1"/>
  <c r="W108" i="1"/>
  <c r="Q108" i="1"/>
  <c r="Y103" i="1"/>
  <c r="T109" i="1"/>
  <c r="J19" i="42"/>
  <c r="M83" i="3"/>
  <c r="F42" i="3"/>
  <c r="F55" i="3"/>
  <c r="F21" i="1"/>
  <c r="H14" i="57" s="1"/>
  <c r="A13" i="13"/>
  <c r="M40" i="3"/>
  <c r="M25" i="3"/>
  <c r="M84" i="3"/>
  <c r="M91" i="3"/>
  <c r="F27" i="1"/>
  <c r="H20" i="57" s="1"/>
  <c r="AA109" i="1"/>
  <c r="Z105" i="1"/>
  <c r="S103" i="1"/>
  <c r="T102" i="1"/>
  <c r="X109" i="1"/>
  <c r="W109" i="1"/>
  <c r="AZ109" i="1"/>
  <c r="BA109" i="1" s="1"/>
  <c r="BB109" i="1" s="1"/>
  <c r="BC109" i="1" s="1"/>
  <c r="BD109" i="1" s="1"/>
  <c r="BE109" i="1" s="1"/>
  <c r="BF109" i="1" s="1"/>
  <c r="BG109" i="1" s="1"/>
  <c r="BH109" i="1" s="1"/>
  <c r="BI109" i="1" s="1"/>
  <c r="BJ109" i="1" s="1"/>
  <c r="BK109" i="1" s="1"/>
  <c r="F31" i="3"/>
  <c r="M49" i="3"/>
  <c r="M42" i="3"/>
  <c r="M45" i="3"/>
  <c r="F45" i="3"/>
  <c r="M15" i="3"/>
  <c r="M48" i="3"/>
  <c r="B13" i="17"/>
  <c r="D11" i="96" s="1"/>
  <c r="F19" i="1"/>
  <c r="H12" i="57" s="1"/>
  <c r="F92" i="3"/>
  <c r="F34" i="3"/>
  <c r="F44" i="1"/>
  <c r="H27" i="57" s="1"/>
  <c r="S109" i="1"/>
  <c r="V109" i="1"/>
  <c r="T105" i="1"/>
  <c r="AB103" i="1"/>
  <c r="AC103" i="1" s="1"/>
  <c r="AD103" i="1" s="1"/>
  <c r="AE103" i="1" s="1"/>
  <c r="AF103" i="1" s="1"/>
  <c r="AG103" i="1" s="1"/>
  <c r="AH103" i="1" s="1"/>
  <c r="AI103" i="1" s="1"/>
  <c r="AJ103" i="1" s="1"/>
  <c r="AK103" i="1" s="1"/>
  <c r="AL103" i="1" s="1"/>
  <c r="AM103" i="1" s="1"/>
  <c r="AA103" i="1"/>
  <c r="P102" i="1"/>
  <c r="F30" i="3"/>
  <c r="BL109" i="1"/>
  <c r="BM109" i="1" s="1"/>
  <c r="BN109" i="1" s="1"/>
  <c r="BO109" i="1" s="1"/>
  <c r="BP109" i="1" s="1"/>
  <c r="BQ109" i="1" s="1"/>
  <c r="BR109" i="1" s="1"/>
  <c r="BS109" i="1" s="1"/>
  <c r="BT109" i="1" s="1"/>
  <c r="BU109" i="1" s="1"/>
  <c r="BV109" i="1" s="1"/>
  <c r="BW109" i="1" s="1"/>
  <c r="BX109" i="1" s="1"/>
  <c r="BY109" i="1" s="1"/>
  <c r="BZ109" i="1" s="1"/>
  <c r="CA109" i="1" s="1"/>
  <c r="CB109" i="1" s="1"/>
  <c r="CC109" i="1" s="1"/>
  <c r="CD109" i="1" s="1"/>
  <c r="CE109" i="1" s="1"/>
  <c r="CF109" i="1" s="1"/>
  <c r="CG109" i="1" s="1"/>
  <c r="CH109" i="1" s="1"/>
  <c r="CI109" i="1" s="1"/>
  <c r="CJ109" i="1" s="1"/>
  <c r="CK109" i="1" s="1"/>
  <c r="CL109" i="1" s="1"/>
  <c r="CM109" i="1" s="1"/>
  <c r="CN109" i="1" s="1"/>
  <c r="CO109" i="1" s="1"/>
  <c r="CP109" i="1" s="1"/>
  <c r="CQ109" i="1" s="1"/>
  <c r="CR109" i="1" s="1"/>
  <c r="CS109" i="1" s="1"/>
  <c r="CT109" i="1" s="1"/>
  <c r="CU109" i="1" s="1"/>
  <c r="CV109" i="1" s="1"/>
  <c r="CW109" i="1" s="1"/>
  <c r="CX109" i="1" s="1"/>
  <c r="CY109" i="1" s="1"/>
  <c r="CZ109" i="1" s="1"/>
  <c r="DA109" i="1" s="1"/>
  <c r="DB109" i="1" s="1"/>
  <c r="DC109" i="1" s="1"/>
  <c r="DD109" i="1" s="1"/>
  <c r="DE109" i="1" s="1"/>
  <c r="DF109" i="1" s="1"/>
  <c r="DG109" i="1" s="1"/>
  <c r="DH109" i="1" s="1"/>
  <c r="DI109" i="1" s="1"/>
  <c r="DJ109" i="1" s="1"/>
  <c r="DK109" i="1" s="1"/>
  <c r="DL109" i="1" s="1"/>
  <c r="DM109" i="1" s="1"/>
  <c r="DN109" i="1" s="1"/>
  <c r="DO109" i="1" s="1"/>
  <c r="DP109" i="1" s="1"/>
  <c r="DQ109" i="1" s="1"/>
  <c r="DR109" i="1" s="1"/>
  <c r="DS109" i="1" s="1"/>
  <c r="DT109" i="1" s="1"/>
  <c r="DU109" i="1" s="1"/>
  <c r="DV109" i="1" s="1"/>
  <c r="DW109" i="1" s="1"/>
  <c r="DX109" i="1" s="1"/>
  <c r="DY109" i="1" s="1"/>
  <c r="DZ109" i="1" s="1"/>
  <c r="EA109" i="1" s="1"/>
  <c r="EB109" i="1" s="1"/>
  <c r="EC109" i="1" s="1"/>
  <c r="ED109" i="1" s="1"/>
  <c r="EE109" i="1" s="1"/>
  <c r="EF109" i="1" s="1"/>
  <c r="EG109" i="1" s="1"/>
  <c r="EH109" i="1" s="1"/>
  <c r="EI109" i="1" s="1"/>
  <c r="EJ109" i="1" s="1"/>
  <c r="EK109" i="1" s="1"/>
  <c r="EL109" i="1" s="1"/>
  <c r="EM109" i="1" s="1"/>
  <c r="EN109" i="1" s="1"/>
  <c r="EO109" i="1" s="1"/>
  <c r="EP109" i="1" s="1"/>
  <c r="EQ109" i="1" s="1"/>
  <c r="ER109" i="1" s="1"/>
  <c r="Z102" i="1"/>
  <c r="AB109" i="1"/>
  <c r="AC109" i="1" s="1"/>
  <c r="AD109" i="1" s="1"/>
  <c r="AE109" i="1" s="1"/>
  <c r="AF109" i="1" s="1"/>
  <c r="AG109" i="1" s="1"/>
  <c r="AH109" i="1" s="1"/>
  <c r="AI109" i="1" s="1"/>
  <c r="AJ109" i="1" s="1"/>
  <c r="AK109" i="1" s="1"/>
  <c r="AL109" i="1" s="1"/>
  <c r="AM109" i="1" s="1"/>
  <c r="M37" i="3"/>
  <c r="F121" i="3"/>
  <c r="M33" i="3"/>
  <c r="J20" i="42"/>
  <c r="F39" i="3"/>
  <c r="F93" i="3"/>
  <c r="F78" i="3"/>
  <c r="F28" i="1"/>
  <c r="H21" i="57" s="1"/>
  <c r="U109" i="1"/>
  <c r="Z109" i="1"/>
  <c r="X105" i="1"/>
  <c r="Z103" i="1"/>
  <c r="R109" i="1"/>
  <c r="Y102" i="1"/>
  <c r="H110" i="1"/>
  <c r="X102" i="1"/>
  <c r="M23" i="3"/>
  <c r="F43" i="1"/>
  <c r="H26" i="57" s="1"/>
  <c r="F33" i="3"/>
  <c r="M90" i="3"/>
  <c r="F24" i="3"/>
  <c r="F20" i="1"/>
  <c r="H13" i="57" s="1"/>
  <c r="F57" i="1"/>
  <c r="H40" i="57" s="1"/>
  <c r="F22" i="1"/>
  <c r="H15" i="57" s="1"/>
  <c r="F59" i="1"/>
  <c r="H42" i="57" s="1"/>
  <c r="F36" i="3"/>
  <c r="M79" i="3"/>
  <c r="F41" i="3"/>
  <c r="Q109" i="1"/>
  <c r="U105" i="1"/>
  <c r="AN105" i="1"/>
  <c r="AO105" i="1" s="1"/>
  <c r="AP105" i="1" s="1"/>
  <c r="AQ105" i="1" s="1"/>
  <c r="AR105" i="1" s="1"/>
  <c r="AS105" i="1" s="1"/>
  <c r="AT105" i="1" s="1"/>
  <c r="AU105" i="1" s="1"/>
  <c r="AV105" i="1" s="1"/>
  <c r="AW105" i="1" s="1"/>
  <c r="AX105" i="1" s="1"/>
  <c r="AY105" i="1" s="1"/>
  <c r="V103" i="1"/>
  <c r="H84" i="57"/>
  <c r="W101" i="1"/>
  <c r="AA101" i="1"/>
  <c r="R101" i="1"/>
  <c r="V101" i="1"/>
  <c r="T101" i="1"/>
  <c r="Z101" i="1"/>
  <c r="P101" i="1"/>
  <c r="Y101" i="1"/>
  <c r="AZ101" i="1"/>
  <c r="BA101" i="1" s="1"/>
  <c r="BB101" i="1" s="1"/>
  <c r="BC101" i="1" s="1"/>
  <c r="BD101" i="1" s="1"/>
  <c r="BE101" i="1" s="1"/>
  <c r="BF101" i="1" s="1"/>
  <c r="BG101" i="1" s="1"/>
  <c r="BH101" i="1" s="1"/>
  <c r="BI101" i="1" s="1"/>
  <c r="BJ101" i="1" s="1"/>
  <c r="BK101" i="1" s="1"/>
  <c r="BL101" i="1" s="1"/>
  <c r="BM101" i="1" s="1"/>
  <c r="BN101" i="1" s="1"/>
  <c r="BO101" i="1" s="1"/>
  <c r="BP101" i="1" s="1"/>
  <c r="BQ101" i="1" s="1"/>
  <c r="BR101" i="1" s="1"/>
  <c r="BS101" i="1" s="1"/>
  <c r="BT101" i="1" s="1"/>
  <c r="BU101" i="1" s="1"/>
  <c r="BV101" i="1" s="1"/>
  <c r="BW101" i="1" s="1"/>
  <c r="BX101" i="1" s="1"/>
  <c r="BY101" i="1" s="1"/>
  <c r="BZ101" i="1" s="1"/>
  <c r="CA101" i="1" s="1"/>
  <c r="CB101" i="1" s="1"/>
  <c r="CC101" i="1" s="1"/>
  <c r="CD101" i="1" s="1"/>
  <c r="CE101" i="1" s="1"/>
  <c r="CF101" i="1" s="1"/>
  <c r="CG101" i="1" s="1"/>
  <c r="CH101" i="1" s="1"/>
  <c r="CI101" i="1" s="1"/>
  <c r="CJ101" i="1" s="1"/>
  <c r="CK101" i="1" s="1"/>
  <c r="CL101" i="1" s="1"/>
  <c r="CM101" i="1" s="1"/>
  <c r="CN101" i="1" s="1"/>
  <c r="CO101" i="1" s="1"/>
  <c r="CP101" i="1" s="1"/>
  <c r="CQ101" i="1" s="1"/>
  <c r="CR101" i="1" s="1"/>
  <c r="CS101" i="1" s="1"/>
  <c r="CT101" i="1" s="1"/>
  <c r="CU101" i="1" s="1"/>
  <c r="CV101" i="1" s="1"/>
  <c r="CW101" i="1" s="1"/>
  <c r="CX101" i="1" s="1"/>
  <c r="CY101" i="1" s="1"/>
  <c r="CZ101" i="1" s="1"/>
  <c r="DA101" i="1" s="1"/>
  <c r="DB101" i="1" s="1"/>
  <c r="DC101" i="1" s="1"/>
  <c r="DD101" i="1" s="1"/>
  <c r="DE101" i="1" s="1"/>
  <c r="DF101" i="1" s="1"/>
  <c r="DG101" i="1" s="1"/>
  <c r="DH101" i="1" s="1"/>
  <c r="DI101" i="1" s="1"/>
  <c r="DJ101" i="1" s="1"/>
  <c r="DK101" i="1" s="1"/>
  <c r="DL101" i="1" s="1"/>
  <c r="DM101" i="1" s="1"/>
  <c r="DN101" i="1" s="1"/>
  <c r="DO101" i="1" s="1"/>
  <c r="DP101" i="1" s="1"/>
  <c r="DQ101" i="1" s="1"/>
  <c r="DR101" i="1" s="1"/>
  <c r="DS101" i="1" s="1"/>
  <c r="DT101" i="1" s="1"/>
  <c r="DU101" i="1" s="1"/>
  <c r="DV101" i="1" s="1"/>
  <c r="DW101" i="1" s="1"/>
  <c r="DX101" i="1" s="1"/>
  <c r="DY101" i="1" s="1"/>
  <c r="DZ101" i="1" s="1"/>
  <c r="EA101" i="1" s="1"/>
  <c r="EB101" i="1" s="1"/>
  <c r="EC101" i="1" s="1"/>
  <c r="ED101" i="1" s="1"/>
  <c r="EE101" i="1" s="1"/>
  <c r="EF101" i="1" s="1"/>
  <c r="EG101" i="1" s="1"/>
  <c r="EH101" i="1" s="1"/>
  <c r="EI101" i="1" s="1"/>
  <c r="EJ101" i="1" s="1"/>
  <c r="EK101" i="1" s="1"/>
  <c r="EL101" i="1" s="1"/>
  <c r="EM101" i="1" s="1"/>
  <c r="EN101" i="1" s="1"/>
  <c r="EO101" i="1" s="1"/>
  <c r="EP101" i="1" s="1"/>
  <c r="EQ101" i="1" s="1"/>
  <c r="ER101" i="1" s="1"/>
  <c r="U101" i="1"/>
  <c r="Q101" i="1"/>
  <c r="AB101" i="1"/>
  <c r="AC101" i="1" s="1"/>
  <c r="AD101" i="1" s="1"/>
  <c r="AE101" i="1" s="1"/>
  <c r="AF101" i="1" s="1"/>
  <c r="AG101" i="1" s="1"/>
  <c r="AH101" i="1" s="1"/>
  <c r="AI101" i="1" s="1"/>
  <c r="AJ101" i="1" s="1"/>
  <c r="AK101" i="1" s="1"/>
  <c r="AL101" i="1" s="1"/>
  <c r="AM101" i="1" s="1"/>
  <c r="X101" i="1"/>
  <c r="AN101" i="1"/>
  <c r="AO101" i="1" s="1"/>
  <c r="AP101" i="1" s="1"/>
  <c r="AQ101" i="1" s="1"/>
  <c r="AR101" i="1" s="1"/>
  <c r="AS101" i="1" s="1"/>
  <c r="AT101" i="1" s="1"/>
  <c r="AU101" i="1" s="1"/>
  <c r="AV101" i="1" s="1"/>
  <c r="AW101" i="1" s="1"/>
  <c r="AX101" i="1" s="1"/>
  <c r="AY101" i="1" s="1"/>
  <c r="S101" i="1"/>
  <c r="M42" i="57"/>
  <c r="L59" i="1"/>
  <c r="N42" i="57" s="1"/>
  <c r="H88" i="57"/>
  <c r="V105" i="1"/>
  <c r="AA105" i="1"/>
  <c r="AB105" i="1"/>
  <c r="AC105" i="1" s="1"/>
  <c r="AD105" i="1" s="1"/>
  <c r="AE105" i="1" s="1"/>
  <c r="AF105" i="1" s="1"/>
  <c r="AG105" i="1" s="1"/>
  <c r="AH105" i="1" s="1"/>
  <c r="AI105" i="1" s="1"/>
  <c r="AJ105" i="1" s="1"/>
  <c r="AK105" i="1" s="1"/>
  <c r="AL105" i="1" s="1"/>
  <c r="AM105" i="1" s="1"/>
  <c r="AZ105" i="1"/>
  <c r="BA105" i="1" s="1"/>
  <c r="BB105" i="1" s="1"/>
  <c r="BC105" i="1" s="1"/>
  <c r="BD105" i="1" s="1"/>
  <c r="BE105" i="1" s="1"/>
  <c r="BF105" i="1" s="1"/>
  <c r="BG105" i="1" s="1"/>
  <c r="BH105" i="1" s="1"/>
  <c r="BI105" i="1" s="1"/>
  <c r="BJ105" i="1" s="1"/>
  <c r="BK105" i="1" s="1"/>
  <c r="BL105" i="1" s="1"/>
  <c r="BM105" i="1" s="1"/>
  <c r="BN105" i="1" s="1"/>
  <c r="BO105" i="1" s="1"/>
  <c r="BP105" i="1" s="1"/>
  <c r="BQ105" i="1" s="1"/>
  <c r="BR105" i="1" s="1"/>
  <c r="BS105" i="1" s="1"/>
  <c r="BT105" i="1" s="1"/>
  <c r="BU105" i="1" s="1"/>
  <c r="BV105" i="1" s="1"/>
  <c r="BW105" i="1" s="1"/>
  <c r="BX105" i="1" s="1"/>
  <c r="BY105" i="1" s="1"/>
  <c r="BZ105" i="1" s="1"/>
  <c r="CA105" i="1" s="1"/>
  <c r="CB105" i="1" s="1"/>
  <c r="CC105" i="1" s="1"/>
  <c r="CD105" i="1" s="1"/>
  <c r="CE105" i="1" s="1"/>
  <c r="CF105" i="1" s="1"/>
  <c r="CG105" i="1" s="1"/>
  <c r="CH105" i="1" s="1"/>
  <c r="CI105" i="1" s="1"/>
  <c r="CJ105" i="1" s="1"/>
  <c r="CK105" i="1" s="1"/>
  <c r="CL105" i="1" s="1"/>
  <c r="CM105" i="1" s="1"/>
  <c r="CN105" i="1" s="1"/>
  <c r="CO105" i="1" s="1"/>
  <c r="CP105" i="1" s="1"/>
  <c r="CQ105" i="1" s="1"/>
  <c r="CR105" i="1" s="1"/>
  <c r="CS105" i="1" s="1"/>
  <c r="CT105" i="1" s="1"/>
  <c r="CU105" i="1" s="1"/>
  <c r="CV105" i="1" s="1"/>
  <c r="CW105" i="1" s="1"/>
  <c r="CX105" i="1" s="1"/>
  <c r="CY105" i="1" s="1"/>
  <c r="CZ105" i="1" s="1"/>
  <c r="DA105" i="1" s="1"/>
  <c r="DB105" i="1" s="1"/>
  <c r="DC105" i="1" s="1"/>
  <c r="DD105" i="1" s="1"/>
  <c r="DE105" i="1" s="1"/>
  <c r="DF105" i="1" s="1"/>
  <c r="DG105" i="1" s="1"/>
  <c r="DH105" i="1" s="1"/>
  <c r="DI105" i="1" s="1"/>
  <c r="DJ105" i="1" s="1"/>
  <c r="DK105" i="1" s="1"/>
  <c r="DL105" i="1" s="1"/>
  <c r="DM105" i="1" s="1"/>
  <c r="DN105" i="1" s="1"/>
  <c r="DO105" i="1" s="1"/>
  <c r="DP105" i="1" s="1"/>
  <c r="DQ105" i="1" s="1"/>
  <c r="DR105" i="1" s="1"/>
  <c r="DS105" i="1" s="1"/>
  <c r="DT105" i="1" s="1"/>
  <c r="DU105" i="1" s="1"/>
  <c r="DV105" i="1" s="1"/>
  <c r="DW105" i="1" s="1"/>
  <c r="DX105" i="1" s="1"/>
  <c r="DY105" i="1" s="1"/>
  <c r="DZ105" i="1" s="1"/>
  <c r="EA105" i="1" s="1"/>
  <c r="EB105" i="1" s="1"/>
  <c r="EC105" i="1" s="1"/>
  <c r="ED105" i="1" s="1"/>
  <c r="EE105" i="1" s="1"/>
  <c r="EF105" i="1" s="1"/>
  <c r="EG105" i="1" s="1"/>
  <c r="EH105" i="1" s="1"/>
  <c r="EI105" i="1" s="1"/>
  <c r="EJ105" i="1" s="1"/>
  <c r="EK105" i="1" s="1"/>
  <c r="EL105" i="1" s="1"/>
  <c r="EM105" i="1" s="1"/>
  <c r="EN105" i="1" s="1"/>
  <c r="EO105" i="1" s="1"/>
  <c r="EP105" i="1" s="1"/>
  <c r="EQ105" i="1" s="1"/>
  <c r="ER105" i="1" s="1"/>
  <c r="W105" i="1"/>
  <c r="C10" i="1"/>
  <c r="E96" i="1"/>
  <c r="G76" i="57" s="1"/>
  <c r="F18" i="1"/>
  <c r="H11" i="57" s="1"/>
  <c r="M35" i="3"/>
  <c r="F29" i="3"/>
  <c r="F28" i="3"/>
  <c r="F88" i="3"/>
  <c r="M38" i="3"/>
  <c r="M14" i="3"/>
  <c r="F32" i="3"/>
  <c r="F32" i="1"/>
  <c r="H25" i="57" s="1"/>
  <c r="M44" i="3"/>
  <c r="F31" i="1"/>
  <c r="H24" i="57" s="1"/>
  <c r="M32" i="3"/>
  <c r="M82" i="3"/>
  <c r="Q106" i="1"/>
  <c r="T106" i="1"/>
  <c r="AA106" i="1"/>
  <c r="Z106" i="1"/>
  <c r="S106" i="1"/>
  <c r="Z108" i="1"/>
  <c r="AB108" i="1"/>
  <c r="AC108" i="1" s="1"/>
  <c r="AD108" i="1" s="1"/>
  <c r="AE108" i="1" s="1"/>
  <c r="AF108" i="1" s="1"/>
  <c r="AG108" i="1" s="1"/>
  <c r="AH108" i="1" s="1"/>
  <c r="AI108" i="1" s="1"/>
  <c r="AJ108" i="1" s="1"/>
  <c r="AK108" i="1" s="1"/>
  <c r="AL108" i="1" s="1"/>
  <c r="AM108" i="1" s="1"/>
  <c r="P108" i="1"/>
  <c r="R108" i="1"/>
  <c r="AA108" i="1"/>
  <c r="AN102" i="1"/>
  <c r="AO102" i="1" s="1"/>
  <c r="AP102" i="1" s="1"/>
  <c r="AQ102" i="1" s="1"/>
  <c r="AR102" i="1" s="1"/>
  <c r="AS102" i="1" s="1"/>
  <c r="AT102" i="1" s="1"/>
  <c r="AU102" i="1" s="1"/>
  <c r="AV102" i="1" s="1"/>
  <c r="AW102" i="1" s="1"/>
  <c r="AX102" i="1" s="1"/>
  <c r="AY102" i="1" s="1"/>
  <c r="H85" i="57"/>
  <c r="P103" i="1"/>
  <c r="L57" i="1"/>
  <c r="N40" i="57" s="1"/>
  <c r="K16" i="1"/>
  <c r="M9" i="57" s="1"/>
  <c r="J9" i="57"/>
  <c r="K23" i="1"/>
  <c r="I23" i="1" s="1"/>
  <c r="K16" i="57" s="1"/>
  <c r="J16" i="57"/>
  <c r="E28" i="57"/>
  <c r="K25" i="1"/>
  <c r="I25" i="1" s="1"/>
  <c r="K18" i="57" s="1"/>
  <c r="J18" i="57"/>
  <c r="K27" i="1"/>
  <c r="I27" i="1" s="1"/>
  <c r="K20" i="57" s="1"/>
  <c r="J20" i="57"/>
  <c r="G28" i="57"/>
  <c r="K31" i="1"/>
  <c r="I31" i="1" s="1"/>
  <c r="K24" i="57" s="1"/>
  <c r="J24" i="57"/>
  <c r="K44" i="1"/>
  <c r="J27" i="57"/>
  <c r="K17" i="1"/>
  <c r="M10" i="57" s="1"/>
  <c r="J10" i="57"/>
  <c r="K32" i="1"/>
  <c r="M25" i="57" s="1"/>
  <c r="J25" i="57"/>
  <c r="K15" i="1"/>
  <c r="I15" i="1" s="1"/>
  <c r="K8" i="57" s="1"/>
  <c r="J8" i="57"/>
  <c r="K26" i="1"/>
  <c r="M19" i="57" s="1"/>
  <c r="J19" i="57"/>
  <c r="K20" i="1"/>
  <c r="M13" i="57" s="1"/>
  <c r="J13" i="57"/>
  <c r="K28" i="1"/>
  <c r="M21" i="57" s="1"/>
  <c r="J21" i="57"/>
  <c r="K18" i="1"/>
  <c r="I18" i="1" s="1"/>
  <c r="K11" i="57" s="1"/>
  <c r="J11" i="57"/>
  <c r="K29" i="1"/>
  <c r="I29" i="1" s="1"/>
  <c r="K22" i="57" s="1"/>
  <c r="J22" i="57"/>
  <c r="K43" i="1"/>
  <c r="J26" i="57"/>
  <c r="K30" i="1"/>
  <c r="M23" i="57" s="1"/>
  <c r="J23" i="57"/>
  <c r="F50" i="1"/>
  <c r="K22" i="1"/>
  <c r="I22" i="1" s="1"/>
  <c r="K15" i="57" s="1"/>
  <c r="J15" i="57"/>
  <c r="K21" i="1"/>
  <c r="M14" i="57" s="1"/>
  <c r="J14" i="57"/>
  <c r="G51" i="1"/>
  <c r="G34" i="57"/>
  <c r="F49" i="1"/>
  <c r="G32" i="57"/>
  <c r="B3" i="32"/>
  <c r="O32" i="42"/>
  <c r="C250" i="32"/>
  <c r="D19" i="17"/>
  <c r="O34" i="42"/>
  <c r="C260" i="32"/>
  <c r="M32" i="17"/>
  <c r="B2" i="19"/>
  <c r="A10" i="42"/>
  <c r="J40" i="96" s="1"/>
  <c r="A15" i="42"/>
  <c r="J34" i="96" s="1"/>
  <c r="F26" i="38"/>
  <c r="I22" i="55"/>
  <c r="L110" i="1"/>
  <c r="F61" i="3"/>
  <c r="B2" i="38"/>
  <c r="B2" i="20"/>
  <c r="B2" i="23" s="1"/>
  <c r="M30" i="17"/>
  <c r="C240" i="32"/>
  <c r="G52" i="1"/>
  <c r="C268" i="32"/>
  <c r="G32" i="42"/>
  <c r="I30" i="73" s="1"/>
  <c r="A1" i="24"/>
  <c r="D34" i="20"/>
  <c r="R13" i="17"/>
  <c r="R29" i="17"/>
  <c r="A1" i="1"/>
  <c r="R36" i="17"/>
  <c r="A1" i="17"/>
  <c r="U102" i="1"/>
  <c r="AZ102" i="1"/>
  <c r="BA102" i="1" s="1"/>
  <c r="BB102" i="1" s="1"/>
  <c r="BC102" i="1" s="1"/>
  <c r="BD102" i="1" s="1"/>
  <c r="BE102" i="1" s="1"/>
  <c r="BF102" i="1" s="1"/>
  <c r="BG102" i="1" s="1"/>
  <c r="BH102" i="1" s="1"/>
  <c r="BI102" i="1" s="1"/>
  <c r="BJ102" i="1" s="1"/>
  <c r="BK102" i="1" s="1"/>
  <c r="BL102" i="1" s="1"/>
  <c r="BM102" i="1" s="1"/>
  <c r="BN102" i="1" s="1"/>
  <c r="BO102" i="1" s="1"/>
  <c r="BP102" i="1" s="1"/>
  <c r="BQ102" i="1" s="1"/>
  <c r="BR102" i="1" s="1"/>
  <c r="BS102" i="1" s="1"/>
  <c r="BT102" i="1" s="1"/>
  <c r="BU102" i="1" s="1"/>
  <c r="BV102" i="1" s="1"/>
  <c r="BW102" i="1" s="1"/>
  <c r="BX102" i="1" s="1"/>
  <c r="BY102" i="1" s="1"/>
  <c r="BZ102" i="1" s="1"/>
  <c r="CA102" i="1" s="1"/>
  <c r="CB102" i="1" s="1"/>
  <c r="CC102" i="1" s="1"/>
  <c r="CD102" i="1" s="1"/>
  <c r="CE102" i="1" s="1"/>
  <c r="CF102" i="1" s="1"/>
  <c r="CG102" i="1" s="1"/>
  <c r="CH102" i="1" s="1"/>
  <c r="CI102" i="1" s="1"/>
  <c r="CJ102" i="1" s="1"/>
  <c r="CK102" i="1" s="1"/>
  <c r="CL102" i="1" s="1"/>
  <c r="CM102" i="1" s="1"/>
  <c r="CN102" i="1" s="1"/>
  <c r="CO102" i="1" s="1"/>
  <c r="CP102" i="1" s="1"/>
  <c r="CQ102" i="1" s="1"/>
  <c r="CR102" i="1" s="1"/>
  <c r="CS102" i="1" s="1"/>
  <c r="CT102" i="1" s="1"/>
  <c r="CU102" i="1" s="1"/>
  <c r="CV102" i="1" s="1"/>
  <c r="CW102" i="1" s="1"/>
  <c r="CX102" i="1" s="1"/>
  <c r="CY102" i="1" s="1"/>
  <c r="CZ102" i="1" s="1"/>
  <c r="DA102" i="1" s="1"/>
  <c r="DB102" i="1" s="1"/>
  <c r="DC102" i="1" s="1"/>
  <c r="DD102" i="1" s="1"/>
  <c r="DE102" i="1" s="1"/>
  <c r="DF102" i="1" s="1"/>
  <c r="DG102" i="1" s="1"/>
  <c r="DH102" i="1" s="1"/>
  <c r="DI102" i="1" s="1"/>
  <c r="DJ102" i="1" s="1"/>
  <c r="DK102" i="1" s="1"/>
  <c r="DL102" i="1" s="1"/>
  <c r="DM102" i="1" s="1"/>
  <c r="DN102" i="1" s="1"/>
  <c r="DO102" i="1" s="1"/>
  <c r="DP102" i="1" s="1"/>
  <c r="DQ102" i="1" s="1"/>
  <c r="DR102" i="1" s="1"/>
  <c r="DS102" i="1" s="1"/>
  <c r="DT102" i="1" s="1"/>
  <c r="DU102" i="1" s="1"/>
  <c r="DV102" i="1" s="1"/>
  <c r="DW102" i="1" s="1"/>
  <c r="DX102" i="1" s="1"/>
  <c r="DY102" i="1" s="1"/>
  <c r="DZ102" i="1" s="1"/>
  <c r="EA102" i="1" s="1"/>
  <c r="EB102" i="1" s="1"/>
  <c r="EC102" i="1" s="1"/>
  <c r="ED102" i="1" s="1"/>
  <c r="EE102" i="1" s="1"/>
  <c r="EF102" i="1" s="1"/>
  <c r="EG102" i="1" s="1"/>
  <c r="EH102" i="1" s="1"/>
  <c r="EI102" i="1" s="1"/>
  <c r="EJ102" i="1" s="1"/>
  <c r="EK102" i="1" s="1"/>
  <c r="EL102" i="1" s="1"/>
  <c r="EM102" i="1" s="1"/>
  <c r="EN102" i="1" s="1"/>
  <c r="EO102" i="1" s="1"/>
  <c r="EP102" i="1" s="1"/>
  <c r="EQ102" i="1" s="1"/>
  <c r="ER102" i="1" s="1"/>
  <c r="AB102" i="1"/>
  <c r="AC102" i="1" s="1"/>
  <c r="AD102" i="1" s="1"/>
  <c r="AE102" i="1" s="1"/>
  <c r="AF102" i="1" s="1"/>
  <c r="AG102" i="1" s="1"/>
  <c r="AH102" i="1" s="1"/>
  <c r="AI102" i="1" s="1"/>
  <c r="AJ102" i="1" s="1"/>
  <c r="AK102" i="1" s="1"/>
  <c r="AL102" i="1" s="1"/>
  <c r="AM102" i="1" s="1"/>
  <c r="F110" i="1"/>
  <c r="E65" i="6" s="1"/>
  <c r="F65" i="6" s="1"/>
  <c r="S102" i="1"/>
  <c r="R102" i="1"/>
  <c r="V102" i="1"/>
  <c r="F51" i="1"/>
  <c r="I43" i="1"/>
  <c r="K26" i="57" s="1"/>
  <c r="I32" i="1"/>
  <c r="K25" i="57" s="1"/>
  <c r="E77" i="1"/>
  <c r="G57" i="57" s="1"/>
  <c r="B1" i="20"/>
  <c r="B1" i="23" s="1"/>
  <c r="A24" i="42"/>
  <c r="B22" i="73" s="1"/>
  <c r="A14" i="42"/>
  <c r="J38" i="96" s="1"/>
  <c r="O24" i="42"/>
  <c r="E110" i="1"/>
  <c r="M110" i="1"/>
  <c r="B15" i="17"/>
  <c r="O13" i="73" s="1"/>
  <c r="F44" i="3"/>
  <c r="R20" i="17"/>
  <c r="R21" i="17"/>
  <c r="H24" i="1"/>
  <c r="J74" i="1"/>
  <c r="L54" i="57" s="1"/>
  <c r="E76" i="1"/>
  <c r="G56" i="57" s="1"/>
  <c r="J76" i="1"/>
  <c r="L56" i="57" s="1"/>
  <c r="J77" i="1"/>
  <c r="L57" i="57" s="1"/>
  <c r="H19" i="1"/>
  <c r="J45" i="1"/>
  <c r="F52" i="1"/>
  <c r="G50" i="1"/>
  <c r="G49" i="1"/>
  <c r="E53" i="1"/>
  <c r="F28" i="6" s="1"/>
  <c r="F24" i="6" s="1"/>
  <c r="E74" i="1"/>
  <c r="G54" i="57" s="1"/>
  <c r="J75" i="1"/>
  <c r="L55" i="57" s="1"/>
  <c r="E75" i="1"/>
  <c r="G55" i="57" s="1"/>
  <c r="J53" i="1"/>
  <c r="K110" i="1"/>
  <c r="R15" i="42"/>
  <c r="J110" i="1"/>
  <c r="I110" i="1"/>
  <c r="R17" i="17"/>
  <c r="B3" i="20"/>
  <c r="B3" i="23" s="1"/>
  <c r="G36" i="17"/>
  <c r="H7" i="23"/>
  <c r="H5" i="23" s="1"/>
  <c r="H164" i="23" s="1"/>
  <c r="F77" i="3"/>
  <c r="E46" i="3"/>
  <c r="M50" i="3"/>
  <c r="D138" i="23"/>
  <c r="K117" i="3"/>
  <c r="AC6" i="75" a="1"/>
  <c r="R6" i="75" a="1"/>
  <c r="E25" i="78" l="1"/>
  <c r="D25" i="78"/>
  <c r="C52" i="96"/>
  <c r="E70" i="96"/>
  <c r="E38" i="78"/>
  <c r="E35" i="78"/>
  <c r="M19" i="64"/>
  <c r="L17" i="73" s="1"/>
  <c r="K26" i="93"/>
  <c r="K25" i="93" s="1"/>
  <c r="K18" i="93"/>
  <c r="K17" i="93" s="1"/>
  <c r="G48" i="93" s="1"/>
  <c r="I32" i="57"/>
  <c r="K22" i="93"/>
  <c r="K21" i="93" s="1"/>
  <c r="K23" i="93" s="1"/>
  <c r="K37" i="73"/>
  <c r="H9" i="78"/>
  <c r="H19" i="78"/>
  <c r="H22" i="78" s="1"/>
  <c r="C9" i="89"/>
  <c r="C14" i="89" s="1"/>
  <c r="M24" i="3"/>
  <c r="B242" i="3"/>
  <c r="H4" i="78"/>
  <c r="L117" i="1"/>
  <c r="D46" i="77"/>
  <c r="D45" i="77"/>
  <c r="L121" i="1" s="1"/>
  <c r="D44" i="77"/>
  <c r="L120" i="1" s="1"/>
  <c r="C120" i="1" s="1"/>
  <c r="D62" i="96" s="1"/>
  <c r="E62" i="96" s="1"/>
  <c r="D43" i="77"/>
  <c r="L119" i="1" s="1"/>
  <c r="D42" i="77"/>
  <c r="L118" i="1" s="1"/>
  <c r="C118" i="1" s="1"/>
  <c r="D60" i="96" s="1"/>
  <c r="D48" i="77"/>
  <c r="L128" i="1" s="1"/>
  <c r="M128" i="1" s="1"/>
  <c r="L126" i="1"/>
  <c r="M126" i="1" s="1"/>
  <c r="K108" i="3"/>
  <c r="M108" i="3" s="1"/>
  <c r="D7" i="64"/>
  <c r="E7" i="64" s="1"/>
  <c r="J9" i="64"/>
  <c r="J10" i="64" s="1"/>
  <c r="X195" i="71"/>
  <c r="G191" i="32"/>
  <c r="AA195" i="71"/>
  <c r="L191" i="32"/>
  <c r="E91" i="3"/>
  <c r="I168" i="1"/>
  <c r="AG195" i="71"/>
  <c r="K191" i="32"/>
  <c r="S195" i="71"/>
  <c r="Y195" i="71"/>
  <c r="E79" i="3"/>
  <c r="D7" i="42"/>
  <c r="J9" i="42"/>
  <c r="AD195" i="71"/>
  <c r="V195" i="71"/>
  <c r="AB195" i="71"/>
  <c r="R195" i="71"/>
  <c r="J191" i="32"/>
  <c r="N191" i="32"/>
  <c r="AF195" i="71"/>
  <c r="T195" i="71"/>
  <c r="I191" i="32"/>
  <c r="AE195" i="71"/>
  <c r="U195" i="71"/>
  <c r="H191" i="32"/>
  <c r="Z195" i="71"/>
  <c r="M191" i="32"/>
  <c r="W195" i="71"/>
  <c r="C19" i="17"/>
  <c r="E125" i="86"/>
  <c r="B132" i="86" s="1"/>
  <c r="B15" i="73"/>
  <c r="B14" i="73"/>
  <c r="B17" i="73"/>
  <c r="B8" i="73"/>
  <c r="B13" i="73"/>
  <c r="B16" i="73"/>
  <c r="B12" i="73"/>
  <c r="B11" i="73"/>
  <c r="B9" i="73"/>
  <c r="D129" i="1"/>
  <c r="D20" i="23"/>
  <c r="I35" i="57"/>
  <c r="I33" i="57"/>
  <c r="I34" i="57"/>
  <c r="F53" i="3"/>
  <c r="AD3" i="75"/>
  <c r="G53" i="3"/>
  <c r="AH21" i="3"/>
  <c r="AH19" i="3"/>
  <c r="AH17" i="3"/>
  <c r="L11" i="3" s="1"/>
  <c r="G70" i="57"/>
  <c r="I30" i="1"/>
  <c r="K23" i="57" s="1"/>
  <c r="G60" i="3"/>
  <c r="G59" i="3"/>
  <c r="G58" i="3"/>
  <c r="G57" i="3"/>
  <c r="J157" i="1"/>
  <c r="K157" i="1" s="1"/>
  <c r="M157" i="1" s="1"/>
  <c r="M159" i="1" s="1"/>
  <c r="M165" i="1" s="1"/>
  <c r="D254" i="45"/>
  <c r="D83" i="32"/>
  <c r="E152" i="68"/>
  <c r="E154" i="69"/>
  <c r="E166" i="71"/>
  <c r="E192" i="69"/>
  <c r="E153" i="69"/>
  <c r="E151" i="68"/>
  <c r="G71" i="57"/>
  <c r="K91" i="1"/>
  <c r="AG7" i="71"/>
  <c r="AG21" i="71"/>
  <c r="AH8" i="71"/>
  <c r="AG20" i="71"/>
  <c r="AH660" i="71"/>
  <c r="AH12" i="71"/>
  <c r="AG33" i="71" s="1"/>
  <c r="AH5" i="71"/>
  <c r="AH22" i="71"/>
  <c r="AH6" i="71"/>
  <c r="AI4" i="71"/>
  <c r="AI4" i="69"/>
  <c r="AH9" i="69"/>
  <c r="AH6" i="69"/>
  <c r="AH5" i="69"/>
  <c r="AH7" i="69" s="1"/>
  <c r="H192" i="71"/>
  <c r="H196" i="71" s="1"/>
  <c r="H201" i="71" s="1"/>
  <c r="G192" i="71"/>
  <c r="G200" i="71" s="1"/>
  <c r="H186" i="69"/>
  <c r="H189" i="69" s="1"/>
  <c r="L192" i="71"/>
  <c r="O194" i="71"/>
  <c r="I190" i="69"/>
  <c r="I191" i="69" s="1"/>
  <c r="G190" i="69"/>
  <c r="G191" i="69" s="1"/>
  <c r="I194" i="71"/>
  <c r="E187" i="69"/>
  <c r="E185" i="68"/>
  <c r="I186" i="69"/>
  <c r="I189" i="69" s="1"/>
  <c r="O192" i="71"/>
  <c r="K192" i="71"/>
  <c r="E188" i="68"/>
  <c r="E194" i="71"/>
  <c r="E190" i="69"/>
  <c r="J192" i="71"/>
  <c r="F194" i="71"/>
  <c r="F190" i="69"/>
  <c r="F191" i="69" s="1"/>
  <c r="E188" i="69"/>
  <c r="E186" i="68"/>
  <c r="M192" i="71"/>
  <c r="E27" i="71"/>
  <c r="L194" i="71"/>
  <c r="H190" i="69"/>
  <c r="H191" i="69" s="1"/>
  <c r="G186" i="69"/>
  <c r="G189" i="69" s="1"/>
  <c r="I192" i="71"/>
  <c r="F186" i="69"/>
  <c r="F189" i="69" s="1"/>
  <c r="F192" i="71"/>
  <c r="E186" i="69"/>
  <c r="E184" i="68"/>
  <c r="E192" i="71"/>
  <c r="N192" i="71"/>
  <c r="C578" i="71"/>
  <c r="L22" i="73"/>
  <c r="H34" i="57"/>
  <c r="H32" i="57"/>
  <c r="H35" i="57"/>
  <c r="H33" i="57"/>
  <c r="G41" i="57"/>
  <c r="K58" i="1"/>
  <c r="I58" i="1" s="1"/>
  <c r="K41" i="57" s="1"/>
  <c r="D59" i="32"/>
  <c r="D47" i="32"/>
  <c r="D109" i="32"/>
  <c r="BB163" i="23"/>
  <c r="F22" i="38"/>
  <c r="I18" i="55"/>
  <c r="BB168" i="23"/>
  <c r="AW168" i="23"/>
  <c r="F14" i="38"/>
  <c r="X173" i="23"/>
  <c r="I15" i="55"/>
  <c r="I16" i="55"/>
  <c r="I17" i="55"/>
  <c r="D72" i="32"/>
  <c r="F20" i="38"/>
  <c r="T168" i="23"/>
  <c r="F16" i="38"/>
  <c r="E15" i="19"/>
  <c r="BE173" i="23"/>
  <c r="BN163" i="23"/>
  <c r="AU163" i="23"/>
  <c r="H162" i="23"/>
  <c r="N173" i="23"/>
  <c r="T173" i="23"/>
  <c r="N163" i="23"/>
  <c r="BK168" i="23"/>
  <c r="BK163" i="23"/>
  <c r="BE163" i="23"/>
  <c r="Z168" i="23"/>
  <c r="H173" i="23"/>
  <c r="H163" i="23"/>
  <c r="H158" i="23"/>
  <c r="I158" i="23" s="1"/>
  <c r="J158" i="23" s="1"/>
  <c r="K158" i="23" s="1"/>
  <c r="L158" i="23" s="1"/>
  <c r="M158" i="23" s="1"/>
  <c r="N158" i="23" s="1"/>
  <c r="O158" i="23" s="1"/>
  <c r="P158" i="23" s="1"/>
  <c r="Q158" i="23" s="1"/>
  <c r="R158" i="23" s="1"/>
  <c r="S158" i="23" s="1"/>
  <c r="T158" i="23" s="1"/>
  <c r="U158" i="23" s="1"/>
  <c r="V158" i="23" s="1"/>
  <c r="W158" i="23" s="1"/>
  <c r="X158" i="23" s="1"/>
  <c r="Y158" i="23" s="1"/>
  <c r="Z158" i="23" s="1"/>
  <c r="AA158" i="23" s="1"/>
  <c r="AB158" i="23" s="1"/>
  <c r="AC158" i="23" s="1"/>
  <c r="AD158" i="23" s="1"/>
  <c r="AE158" i="23" s="1"/>
  <c r="AF158" i="23" s="1"/>
  <c r="AG158" i="23" s="1"/>
  <c r="AH158" i="23" s="1"/>
  <c r="AI158" i="23" s="1"/>
  <c r="AJ158" i="23" s="1"/>
  <c r="AK158" i="23" s="1"/>
  <c r="AL158" i="23" s="1"/>
  <c r="AM158" i="23" s="1"/>
  <c r="AN158" i="23" s="1"/>
  <c r="AO158" i="23" s="1"/>
  <c r="AP158" i="23" s="1"/>
  <c r="AQ158" i="23" s="1"/>
  <c r="AR158" i="23" s="1"/>
  <c r="AS158" i="23" s="1"/>
  <c r="AT158" i="23" s="1"/>
  <c r="AU158" i="23" s="1"/>
  <c r="AV158" i="23" s="1"/>
  <c r="AW158" i="23" s="1"/>
  <c r="AX158" i="23" s="1"/>
  <c r="AY158" i="23" s="1"/>
  <c r="AZ158" i="23" s="1"/>
  <c r="BA158" i="23" s="1"/>
  <c r="BB158" i="23" s="1"/>
  <c r="BC158" i="23" s="1"/>
  <c r="BD158" i="23" s="1"/>
  <c r="BE158" i="23" s="1"/>
  <c r="BF158" i="23" s="1"/>
  <c r="BG158" i="23" s="1"/>
  <c r="BH158" i="23" s="1"/>
  <c r="BI158" i="23" s="1"/>
  <c r="BJ158" i="23" s="1"/>
  <c r="BK158" i="23" s="1"/>
  <c r="BL158" i="23" s="1"/>
  <c r="BM158" i="23" s="1"/>
  <c r="BN158" i="23" s="1"/>
  <c r="BO158" i="23" s="1"/>
  <c r="BP158" i="23" s="1"/>
  <c r="BQ158" i="23" s="1"/>
  <c r="BR158" i="23" s="1"/>
  <c r="BS158" i="23" s="1"/>
  <c r="BT158" i="23" s="1"/>
  <c r="BO168" i="23"/>
  <c r="Z173" i="23"/>
  <c r="I7" i="23"/>
  <c r="J7" i="23" s="1"/>
  <c r="J168" i="23"/>
  <c r="F19" i="38"/>
  <c r="Z46" i="17"/>
  <c r="Z47" i="17"/>
  <c r="Z52" i="17"/>
  <c r="Z53" i="17"/>
  <c r="Z54" i="17"/>
  <c r="Z56" i="17"/>
  <c r="Z51" i="17"/>
  <c r="Z55" i="17"/>
  <c r="Z57" i="17"/>
  <c r="Z50" i="17"/>
  <c r="Z49" i="17"/>
  <c r="Z48" i="17"/>
  <c r="N10" i="64"/>
  <c r="O9" i="73" s="1"/>
  <c r="I26" i="1"/>
  <c r="K19" i="57" s="1"/>
  <c r="M163" i="23"/>
  <c r="I28" i="1"/>
  <c r="K21" i="57" s="1"/>
  <c r="G69" i="57"/>
  <c r="K89" i="1"/>
  <c r="I89" i="1" s="1"/>
  <c r="K69" i="57" s="1"/>
  <c r="F89" i="1"/>
  <c r="S259" i="1"/>
  <c r="S251" i="1"/>
  <c r="S258" i="1"/>
  <c r="S250" i="1"/>
  <c r="S256" i="1"/>
  <c r="S253" i="1"/>
  <c r="S252" i="1"/>
  <c r="S249" i="1"/>
  <c r="S260" i="1"/>
  <c r="S257" i="1"/>
  <c r="S255" i="1"/>
  <c r="S254" i="1"/>
  <c r="S7" i="42"/>
  <c r="S7" i="64"/>
  <c r="M96" i="57"/>
  <c r="L36" i="57"/>
  <c r="O19" i="64"/>
  <c r="O23" i="64"/>
  <c r="G110" i="1"/>
  <c r="D50" i="64"/>
  <c r="S24" i="64"/>
  <c r="R24" i="64"/>
  <c r="Q24" i="64"/>
  <c r="R9" i="64"/>
  <c r="I12" i="55"/>
  <c r="F21" i="38"/>
  <c r="BM173" i="23"/>
  <c r="V173" i="23"/>
  <c r="AM173" i="23"/>
  <c r="X168" i="23"/>
  <c r="U173" i="23"/>
  <c r="BP168" i="23"/>
  <c r="BQ168" i="23"/>
  <c r="AT168" i="23"/>
  <c r="AM163" i="23"/>
  <c r="BH163" i="23"/>
  <c r="V168" i="23"/>
  <c r="BS173" i="23"/>
  <c r="J163" i="23"/>
  <c r="BO163" i="23"/>
  <c r="AZ173" i="23"/>
  <c r="BQ163" i="23"/>
  <c r="AT163" i="23"/>
  <c r="AW163" i="23"/>
  <c r="AG173" i="23"/>
  <c r="BP173" i="23"/>
  <c r="BM168" i="23"/>
  <c r="BS163" i="23"/>
  <c r="AR173" i="23"/>
  <c r="M168" i="23"/>
  <c r="I20" i="1"/>
  <c r="K13" i="57" s="1"/>
  <c r="Q168" i="23"/>
  <c r="BR173" i="23"/>
  <c r="AP168" i="23"/>
  <c r="AH173" i="23"/>
  <c r="AZ168" i="23"/>
  <c r="Q173" i="23"/>
  <c r="BR163" i="23"/>
  <c r="AP163" i="23"/>
  <c r="BH168" i="23"/>
  <c r="AH168" i="23"/>
  <c r="AA173" i="23"/>
  <c r="BF173" i="23"/>
  <c r="U163" i="23"/>
  <c r="AR168" i="23"/>
  <c r="AA163" i="23"/>
  <c r="BF163" i="23"/>
  <c r="AU168" i="23"/>
  <c r="AG168" i="23"/>
  <c r="BN173" i="23"/>
  <c r="I10" i="55"/>
  <c r="AF173" i="23"/>
  <c r="AF168" i="23"/>
  <c r="AF163" i="23"/>
  <c r="BD163" i="23"/>
  <c r="BD168" i="23"/>
  <c r="BD173" i="23"/>
  <c r="AS168" i="23"/>
  <c r="AS163" i="23"/>
  <c r="AS173" i="23"/>
  <c r="BA173" i="23"/>
  <c r="BA163" i="23"/>
  <c r="BA168" i="23"/>
  <c r="AQ173" i="23"/>
  <c r="AQ168" i="23"/>
  <c r="AQ163" i="23"/>
  <c r="W163" i="23"/>
  <c r="W168" i="23"/>
  <c r="W173" i="23"/>
  <c r="BT163" i="23"/>
  <c r="BT168" i="23"/>
  <c r="BT173" i="23"/>
  <c r="AJ163" i="23"/>
  <c r="AJ168" i="23"/>
  <c r="AJ173" i="23"/>
  <c r="BC173" i="23"/>
  <c r="BC168" i="23"/>
  <c r="BC163" i="23"/>
  <c r="AN163" i="23"/>
  <c r="AN168" i="23"/>
  <c r="AN173" i="23"/>
  <c r="AC163" i="23"/>
  <c r="AC168" i="23"/>
  <c r="AC173" i="23"/>
  <c r="BG163" i="23"/>
  <c r="BG168" i="23"/>
  <c r="BG173" i="23"/>
  <c r="L168" i="23"/>
  <c r="L173" i="23"/>
  <c r="L163" i="23"/>
  <c r="AL173" i="23"/>
  <c r="AL163" i="23"/>
  <c r="AL168" i="23"/>
  <c r="AB173" i="23"/>
  <c r="AB163" i="23"/>
  <c r="AB168" i="23"/>
  <c r="Y173" i="23"/>
  <c r="Y168" i="23"/>
  <c r="Y163" i="23"/>
  <c r="BI163" i="23"/>
  <c r="BI168" i="23"/>
  <c r="BI173" i="23"/>
  <c r="R163" i="23"/>
  <c r="R168" i="23"/>
  <c r="R173" i="23"/>
  <c r="AK168" i="23"/>
  <c r="AK163" i="23"/>
  <c r="AK173" i="23"/>
  <c r="AD168" i="23"/>
  <c r="AD163" i="23"/>
  <c r="AD173" i="23"/>
  <c r="D50" i="42"/>
  <c r="O173" i="23"/>
  <c r="O163" i="23"/>
  <c r="O168" i="23"/>
  <c r="BL173" i="23"/>
  <c r="BL163" i="23"/>
  <c r="BL168" i="23"/>
  <c r="S173" i="23"/>
  <c r="S163" i="23"/>
  <c r="S168" i="23"/>
  <c r="P163" i="23"/>
  <c r="P173" i="23"/>
  <c r="P168" i="23"/>
  <c r="I168" i="23"/>
  <c r="I173" i="23"/>
  <c r="K163" i="23"/>
  <c r="K168" i="23"/>
  <c r="K173" i="23"/>
  <c r="AY168" i="23"/>
  <c r="AY173" i="23"/>
  <c r="AY163" i="23"/>
  <c r="AI173" i="23"/>
  <c r="AI168" i="23"/>
  <c r="AI163" i="23"/>
  <c r="B1" i="32"/>
  <c r="AX173" i="23"/>
  <c r="AX168" i="23"/>
  <c r="AX163" i="23"/>
  <c r="BJ168" i="23"/>
  <c r="BJ163" i="23"/>
  <c r="BJ173" i="23"/>
  <c r="AE173" i="23"/>
  <c r="AE163" i="23"/>
  <c r="AE168" i="23"/>
  <c r="AV173" i="23"/>
  <c r="AV163" i="23"/>
  <c r="AV168" i="23"/>
  <c r="AO173" i="23"/>
  <c r="AO163" i="23"/>
  <c r="AO168" i="23"/>
  <c r="L16" i="1"/>
  <c r="N9" i="57" s="1"/>
  <c r="F96" i="1"/>
  <c r="H76" i="57" s="1"/>
  <c r="I16" i="1"/>
  <c r="K9" i="57" s="1"/>
  <c r="L32" i="1"/>
  <c r="N25" i="57" s="1"/>
  <c r="L30" i="1"/>
  <c r="N23" i="57" s="1"/>
  <c r="H89" i="57"/>
  <c r="H96" i="57" s="1"/>
  <c r="L28" i="1"/>
  <c r="N21" i="57" s="1"/>
  <c r="R24" i="42"/>
  <c r="S244" i="1"/>
  <c r="R272" i="1" s="1"/>
  <c r="F45" i="1"/>
  <c r="H28" i="57" s="1"/>
  <c r="L44" i="1"/>
  <c r="N27" i="57" s="1"/>
  <c r="M27" i="57"/>
  <c r="L18" i="1"/>
  <c r="N11" i="57" s="1"/>
  <c r="M11" i="57"/>
  <c r="L15" i="1"/>
  <c r="N8" i="57" s="1"/>
  <c r="M8" i="57"/>
  <c r="L31" i="1"/>
  <c r="N24" i="57" s="1"/>
  <c r="M24" i="57"/>
  <c r="L43" i="1"/>
  <c r="N26" i="57" s="1"/>
  <c r="M26" i="57"/>
  <c r="L25" i="1"/>
  <c r="N18" i="57" s="1"/>
  <c r="M18" i="57"/>
  <c r="I17" i="1"/>
  <c r="K10" i="57" s="1"/>
  <c r="K24" i="1"/>
  <c r="I24" i="1" s="1"/>
  <c r="K17" i="57" s="1"/>
  <c r="J17" i="57"/>
  <c r="M61" i="55"/>
  <c r="T61" i="55" s="1"/>
  <c r="N10" i="42"/>
  <c r="L23" i="1"/>
  <c r="N16" i="57" s="1"/>
  <c r="M16" i="57"/>
  <c r="L21" i="1"/>
  <c r="N14" i="57" s="1"/>
  <c r="L20" i="1"/>
  <c r="N13" i="57" s="1"/>
  <c r="G77" i="1"/>
  <c r="I57" i="57" s="1"/>
  <c r="L27" i="1"/>
  <c r="N20" i="57" s="1"/>
  <c r="M20" i="57"/>
  <c r="L29" i="1"/>
  <c r="N22" i="57" s="1"/>
  <c r="M22" i="57"/>
  <c r="L17" i="1"/>
  <c r="N10" i="57" s="1"/>
  <c r="L28" i="57"/>
  <c r="F95" i="57" s="1"/>
  <c r="F97" i="57" s="1"/>
  <c r="L26" i="1"/>
  <c r="N19" i="57" s="1"/>
  <c r="K19" i="1"/>
  <c r="L19" i="1" s="1"/>
  <c r="N12" i="57" s="1"/>
  <c r="J12" i="57"/>
  <c r="I21" i="1"/>
  <c r="K14" i="57" s="1"/>
  <c r="G36" i="57"/>
  <c r="L22" i="1"/>
  <c r="N15" i="57" s="1"/>
  <c r="M15" i="57"/>
  <c r="C3" i="32"/>
  <c r="M17" i="3"/>
  <c r="V117" i="3"/>
  <c r="F17" i="38"/>
  <c r="I13" i="55"/>
  <c r="F18" i="38"/>
  <c r="I14" i="55"/>
  <c r="F27" i="38"/>
  <c r="I23" i="55"/>
  <c r="F13" i="38"/>
  <c r="I9" i="55"/>
  <c r="F53" i="1"/>
  <c r="D81" i="23"/>
  <c r="D40" i="42"/>
  <c r="A4" i="1"/>
  <c r="C115" i="1"/>
  <c r="N82" i="57" s="1"/>
  <c r="A48" i="3"/>
  <c r="F77" i="1"/>
  <c r="H57" i="57" s="1"/>
  <c r="K49" i="1"/>
  <c r="K77" i="1"/>
  <c r="K50" i="1"/>
  <c r="K75" i="1"/>
  <c r="K74" i="1"/>
  <c r="K76" i="1"/>
  <c r="K52" i="1"/>
  <c r="K51" i="1"/>
  <c r="R9" i="42"/>
  <c r="Q24" i="42"/>
  <c r="S24" i="42"/>
  <c r="F75" i="1"/>
  <c r="H55" i="57" s="1"/>
  <c r="G75" i="1"/>
  <c r="I55" i="57" s="1"/>
  <c r="G76" i="1"/>
  <c r="I56" i="57" s="1"/>
  <c r="F76" i="1"/>
  <c r="H56" i="57" s="1"/>
  <c r="E65" i="1"/>
  <c r="E67" i="1" s="1"/>
  <c r="M19" i="42"/>
  <c r="G53" i="1"/>
  <c r="J78" i="1"/>
  <c r="I57" i="1"/>
  <c r="K40" i="57" s="1"/>
  <c r="O19" i="42"/>
  <c r="J65" i="1"/>
  <c r="J67" i="1" s="1"/>
  <c r="J82" i="1" s="1"/>
  <c r="L62" i="57" s="1"/>
  <c r="I60" i="1"/>
  <c r="K43" i="57" s="1"/>
  <c r="I59" i="1"/>
  <c r="K42" i="57" s="1"/>
  <c r="G107" i="3"/>
  <c r="B14" i="17"/>
  <c r="O12" i="73" s="1"/>
  <c r="G103" i="3"/>
  <c r="G45" i="1"/>
  <c r="J96" i="1"/>
  <c r="L76" i="57" s="1"/>
  <c r="O23" i="42"/>
  <c r="F74" i="1"/>
  <c r="H54" i="57" s="1"/>
  <c r="E78" i="1"/>
  <c r="G74" i="1"/>
  <c r="I54" i="57" s="1"/>
  <c r="H75" i="1"/>
  <c r="J55" i="57" s="1"/>
  <c r="I75" i="1"/>
  <c r="K55" i="57" s="1"/>
  <c r="H76" i="1"/>
  <c r="J56" i="57" s="1"/>
  <c r="I76" i="1"/>
  <c r="K56" i="57" s="1"/>
  <c r="H106" i="3"/>
  <c r="A112" i="1"/>
  <c r="C36" i="17"/>
  <c r="F36" i="17"/>
  <c r="G37" i="17"/>
  <c r="T117" i="3"/>
  <c r="M117" i="3"/>
  <c r="L117" i="3"/>
  <c r="F46" i="3"/>
  <c r="D55" i="23"/>
  <c r="K115" i="3"/>
  <c r="AD6" i="75" a="1"/>
  <c r="K14" i="93" l="1"/>
  <c r="D24" i="78"/>
  <c r="D38" i="78"/>
  <c r="D35" i="78"/>
  <c r="E60" i="96"/>
  <c r="F7" i="42"/>
  <c r="H5" i="73" s="1"/>
  <c r="C10" i="89"/>
  <c r="C12" i="89"/>
  <c r="N8" i="42"/>
  <c r="G55" i="93"/>
  <c r="G54" i="93"/>
  <c r="K27" i="93"/>
  <c r="G56" i="93" s="1"/>
  <c r="J10" i="42"/>
  <c r="N96" i="57"/>
  <c r="G51" i="93"/>
  <c r="I91" i="1"/>
  <c r="K71" i="57" s="1"/>
  <c r="G53" i="93"/>
  <c r="G52" i="93"/>
  <c r="G49" i="93"/>
  <c r="K19" i="93"/>
  <c r="K13" i="93"/>
  <c r="K15" i="93" s="1"/>
  <c r="M59" i="55"/>
  <c r="T59" i="55" s="1"/>
  <c r="C43" i="17"/>
  <c r="C42" i="83"/>
  <c r="N8" i="64"/>
  <c r="O6" i="73" s="1"/>
  <c r="AH13" i="3"/>
  <c r="E191" i="32"/>
  <c r="Q195" i="71"/>
  <c r="F190" i="68" s="1"/>
  <c r="F191" i="32"/>
  <c r="AC195" i="71"/>
  <c r="G190" i="68" s="1"/>
  <c r="D120" i="1"/>
  <c r="M120" i="1" s="1"/>
  <c r="M87" i="57"/>
  <c r="M85" i="57"/>
  <c r="D118" i="1"/>
  <c r="M118" i="1" s="1"/>
  <c r="B70" i="77"/>
  <c r="F70" i="77"/>
  <c r="H90" i="1"/>
  <c r="C121" i="1"/>
  <c r="D64" i="96" s="1"/>
  <c r="E64" i="96" s="1"/>
  <c r="C126" i="1"/>
  <c r="D68" i="96" s="1"/>
  <c r="E68" i="96" s="1"/>
  <c r="C122" i="1"/>
  <c r="D63" i="96" s="1"/>
  <c r="E63" i="96" s="1"/>
  <c r="L123" i="1"/>
  <c r="C117" i="1"/>
  <c r="D59" i="96" s="1"/>
  <c r="E59" i="96" s="1"/>
  <c r="C128" i="1"/>
  <c r="D66" i="96" s="1"/>
  <c r="E66" i="96" s="1"/>
  <c r="F7" i="64"/>
  <c r="L6" i="55"/>
  <c r="I10" i="38"/>
  <c r="O3" i="75"/>
  <c r="F5" i="73"/>
  <c r="E7" i="42"/>
  <c r="S6" i="55"/>
  <c r="D101" i="23"/>
  <c r="F79" i="3"/>
  <c r="F91" i="3"/>
  <c r="D109" i="23"/>
  <c r="J11" i="42"/>
  <c r="T108" i="3"/>
  <c r="L108" i="3"/>
  <c r="V108" i="3"/>
  <c r="J11" i="64"/>
  <c r="E70" i="77"/>
  <c r="J13" i="64"/>
  <c r="A29" i="89"/>
  <c r="C70" i="77"/>
  <c r="D70" i="77"/>
  <c r="A237" i="3"/>
  <c r="C241" i="3"/>
  <c r="C242" i="3" s="1"/>
  <c r="D25" i="83" s="1"/>
  <c r="AV241" i="3"/>
  <c r="AL241" i="3"/>
  <c r="AP241" i="3"/>
  <c r="AN241" i="3"/>
  <c r="AT241" i="3"/>
  <c r="AT242" i="3" s="1"/>
  <c r="AU25" i="83" s="1"/>
  <c r="AX241" i="3"/>
  <c r="AX242" i="3" s="1"/>
  <c r="AY25" i="83" s="1"/>
  <c r="AO241" i="3"/>
  <c r="BB241" i="3"/>
  <c r="BB242" i="3" s="1"/>
  <c r="BC25" i="83" s="1"/>
  <c r="BF241" i="3"/>
  <c r="BG242" i="3" s="1"/>
  <c r="BH25" i="83" s="1"/>
  <c r="AW241" i="3"/>
  <c r="AW242" i="3" s="1"/>
  <c r="AX25" i="83" s="1"/>
  <c r="BJ241" i="3"/>
  <c r="BJ242" i="3"/>
  <c r="BK25" i="83" s="1"/>
  <c r="BE241" i="3"/>
  <c r="BE242" i="3" s="1"/>
  <c r="BF25" i="83" s="1"/>
  <c r="AM241" i="3"/>
  <c r="AU242" i="3"/>
  <c r="AV25" i="83" s="1"/>
  <c r="BG241" i="3"/>
  <c r="AJ241" i="3"/>
  <c r="BC241" i="3"/>
  <c r="AY241" i="3"/>
  <c r="AY242" i="3" s="1"/>
  <c r="AZ25" i="83" s="1"/>
  <c r="AZ241" i="3"/>
  <c r="AZ242" i="3" s="1"/>
  <c r="BA25" i="83" s="1"/>
  <c r="AR241" i="3"/>
  <c r="AR242" i="3" s="1"/>
  <c r="AS25" i="83" s="1"/>
  <c r="AQ241" i="3"/>
  <c r="AQ242" i="3" s="1"/>
  <c r="AR25" i="83" s="1"/>
  <c r="AN242" i="3"/>
  <c r="AO25" i="83" s="1"/>
  <c r="BH241" i="3"/>
  <c r="BH242" i="3" s="1"/>
  <c r="BI25" i="83" s="1"/>
  <c r="AV242" i="3"/>
  <c r="AW25" i="83" s="1"/>
  <c r="AO242" i="3"/>
  <c r="AP25" i="83" s="1"/>
  <c r="AK241" i="3"/>
  <c r="AK242" i="3" s="1"/>
  <c r="AL25" i="83" s="1"/>
  <c r="BA241" i="3"/>
  <c r="BI241" i="3"/>
  <c r="BI242" i="3" s="1"/>
  <c r="BJ25" i="83" s="1"/>
  <c r="AU241" i="3"/>
  <c r="BA242" i="3"/>
  <c r="BB25" i="83" s="1"/>
  <c r="G241" i="3"/>
  <c r="BD242" i="3"/>
  <c r="BE25" i="83" s="1"/>
  <c r="AS241" i="3"/>
  <c r="AS242" i="3" s="1"/>
  <c r="AT25" i="83" s="1"/>
  <c r="BD241" i="3"/>
  <c r="AP242" i="3"/>
  <c r="AQ25" i="83" s="1"/>
  <c r="AC241" i="3"/>
  <c r="L241" i="3"/>
  <c r="BC242" i="3"/>
  <c r="BD25" i="83" s="1"/>
  <c r="Z241" i="3"/>
  <c r="U241" i="3"/>
  <c r="BF242" i="3"/>
  <c r="BG25" i="83" s="1"/>
  <c r="Q241" i="3"/>
  <c r="D241" i="3"/>
  <c r="AH241" i="3"/>
  <c r="S241" i="3"/>
  <c r="T241" i="3"/>
  <c r="Y241" i="3"/>
  <c r="H241" i="3"/>
  <c r="W241" i="3"/>
  <c r="AM242" i="3"/>
  <c r="AN25" i="83" s="1"/>
  <c r="E241" i="3"/>
  <c r="AI241" i="3"/>
  <c r="AJ242" i="3" s="1"/>
  <c r="AK25" i="83" s="1"/>
  <c r="R241" i="3"/>
  <c r="I241" i="3"/>
  <c r="AL242" i="3"/>
  <c r="AM25" i="83" s="1"/>
  <c r="F241" i="3"/>
  <c r="AE241" i="3"/>
  <c r="P241" i="3"/>
  <c r="AA241" i="3"/>
  <c r="AG241" i="3"/>
  <c r="M241" i="3"/>
  <c r="O241" i="3"/>
  <c r="K241" i="3"/>
  <c r="J241" i="3"/>
  <c r="X241" i="3"/>
  <c r="AF241" i="3"/>
  <c r="V241" i="3"/>
  <c r="N241" i="3"/>
  <c r="AB241" i="3"/>
  <c r="AD241" i="3"/>
  <c r="AD242" i="3"/>
  <c r="AE25" i="83" s="1"/>
  <c r="AE242" i="3"/>
  <c r="AF25" i="83" s="1"/>
  <c r="AF242" i="3"/>
  <c r="AG25" i="83" s="1"/>
  <c r="AG242" i="3"/>
  <c r="AH25" i="83" s="1"/>
  <c r="AI242" i="3"/>
  <c r="AJ25" i="83" s="1"/>
  <c r="AH242" i="3"/>
  <c r="AI25" i="83" s="1"/>
  <c r="AC242" i="3"/>
  <c r="AD25" i="83" s="1"/>
  <c r="AW71" i="83"/>
  <c r="AZ72" i="83"/>
  <c r="AZ67" i="83" s="1"/>
  <c r="AZ27" i="83" s="1"/>
  <c r="BJ72" i="83"/>
  <c r="BJ67" i="83" s="1"/>
  <c r="BJ27" i="83" s="1"/>
  <c r="D58" i="88"/>
  <c r="C13" i="89"/>
  <c r="D23" i="17" s="1"/>
  <c r="C15" i="89"/>
  <c r="D24" i="17"/>
  <c r="H69" i="57"/>
  <c r="F123" i="3"/>
  <c r="D94" i="23"/>
  <c r="D53" i="86"/>
  <c r="B5" i="86" s="1"/>
  <c r="D24" i="86"/>
  <c r="B4" i="86" s="1"/>
  <c r="L27" i="73"/>
  <c r="M11" i="3"/>
  <c r="D15" i="23"/>
  <c r="D255" i="45"/>
  <c r="E19" i="71"/>
  <c r="E185" i="71"/>
  <c r="M71" i="57"/>
  <c r="L91" i="1"/>
  <c r="N71" i="57" s="1"/>
  <c r="H202" i="71"/>
  <c r="H199" i="71"/>
  <c r="H200" i="71"/>
  <c r="E187" i="68"/>
  <c r="AJ4" i="69"/>
  <c r="AI9" i="69"/>
  <c r="AI6" i="69"/>
  <c r="AI5" i="69"/>
  <c r="AI7" i="69" s="1"/>
  <c r="AI660" i="71"/>
  <c r="AI12" i="71"/>
  <c r="AH33" i="71" s="1"/>
  <c r="AI5" i="71"/>
  <c r="AI6" i="71"/>
  <c r="AI22" i="71"/>
  <c r="AJ4" i="71"/>
  <c r="AI8" i="71"/>
  <c r="AH20" i="71"/>
  <c r="AH7" i="71"/>
  <c r="AH21" i="71"/>
  <c r="AH195" i="71"/>
  <c r="G196" i="71"/>
  <c r="G201" i="71" s="1"/>
  <c r="G202" i="71"/>
  <c r="G199" i="71"/>
  <c r="G197" i="69"/>
  <c r="G199" i="69"/>
  <c r="G196" i="69"/>
  <c r="O202" i="71"/>
  <c r="O196" i="71"/>
  <c r="O201" i="71" s="1"/>
  <c r="O199" i="71"/>
  <c r="O200" i="71"/>
  <c r="E54" i="71"/>
  <c r="E125" i="71"/>
  <c r="D108" i="32"/>
  <c r="E199" i="71"/>
  <c r="E202" i="71"/>
  <c r="E200" i="71"/>
  <c r="E196" i="71"/>
  <c r="E201" i="71" s="1"/>
  <c r="M199" i="71"/>
  <c r="M200" i="71"/>
  <c r="M202" i="71"/>
  <c r="M196" i="71"/>
  <c r="M201" i="71" s="1"/>
  <c r="E189" i="69"/>
  <c r="L196" i="71"/>
  <c r="L201" i="71" s="1"/>
  <c r="L199" i="71"/>
  <c r="L200" i="71"/>
  <c r="L202" i="71"/>
  <c r="F196" i="71"/>
  <c r="F201" i="71" s="1"/>
  <c r="F199" i="71"/>
  <c r="F202" i="71"/>
  <c r="F200" i="71"/>
  <c r="E191" i="69"/>
  <c r="H196" i="69"/>
  <c r="H199" i="69"/>
  <c r="H197" i="69"/>
  <c r="N199" i="71"/>
  <c r="N200" i="71"/>
  <c r="N196" i="71"/>
  <c r="N201" i="71" s="1"/>
  <c r="N202" i="71"/>
  <c r="F199" i="69"/>
  <c r="F197" i="69"/>
  <c r="F196" i="69"/>
  <c r="K202" i="71"/>
  <c r="K196" i="71"/>
  <c r="K201" i="71" s="1"/>
  <c r="K200" i="71"/>
  <c r="K199" i="71"/>
  <c r="I196" i="69"/>
  <c r="I199" i="69"/>
  <c r="I197" i="69"/>
  <c r="I196" i="71"/>
  <c r="I201" i="71" s="1"/>
  <c r="I202" i="71"/>
  <c r="I199" i="71"/>
  <c r="I200" i="71"/>
  <c r="J196" i="71"/>
  <c r="J201" i="71" s="1"/>
  <c r="J202" i="71"/>
  <c r="J200" i="71"/>
  <c r="J199" i="71"/>
  <c r="E189" i="68"/>
  <c r="O18" i="73"/>
  <c r="O15" i="73"/>
  <c r="O17" i="73"/>
  <c r="F50" i="64"/>
  <c r="N37" i="73"/>
  <c r="O16" i="73"/>
  <c r="P191" i="71"/>
  <c r="M41" i="57"/>
  <c r="L58" i="1"/>
  <c r="K61" i="1"/>
  <c r="Z58" i="17"/>
  <c r="M69" i="57"/>
  <c r="L89" i="1"/>
  <c r="S274" i="1"/>
  <c r="S282" i="1"/>
  <c r="S275" i="1"/>
  <c r="S283" i="1"/>
  <c r="S277" i="1"/>
  <c r="S276" i="1"/>
  <c r="S278" i="1"/>
  <c r="S280" i="1"/>
  <c r="S273" i="1"/>
  <c r="S281" i="1"/>
  <c r="S284" i="1"/>
  <c r="S279" i="1"/>
  <c r="J83" i="1"/>
  <c r="L63" i="57" s="1"/>
  <c r="O22" i="64"/>
  <c r="L58" i="57"/>
  <c r="I36" i="57"/>
  <c r="Q19" i="64"/>
  <c r="M22" i="64"/>
  <c r="G58" i="57"/>
  <c r="E50" i="64"/>
  <c r="E82" i="1"/>
  <c r="G62" i="57" s="1"/>
  <c r="N19" i="64"/>
  <c r="Q23" i="64"/>
  <c r="L77" i="1"/>
  <c r="N57" i="57" s="1"/>
  <c r="M57" i="57"/>
  <c r="L74" i="1"/>
  <c r="N54" i="57" s="1"/>
  <c r="M54" i="57"/>
  <c r="L76" i="1"/>
  <c r="N56" i="57" s="1"/>
  <c r="M56" i="57"/>
  <c r="L75" i="1"/>
  <c r="N55" i="57" s="1"/>
  <c r="M55" i="57"/>
  <c r="G96" i="57"/>
  <c r="C11" i="1"/>
  <c r="H74" i="1"/>
  <c r="J54" i="57" s="1"/>
  <c r="I74" i="1"/>
  <c r="K54" i="57" s="1"/>
  <c r="F50" i="42"/>
  <c r="E50" i="42"/>
  <c r="H36" i="57"/>
  <c r="F65" i="1"/>
  <c r="E83" i="1"/>
  <c r="N9" i="1"/>
  <c r="I28" i="57"/>
  <c r="T244" i="1"/>
  <c r="R284" i="1" s="1"/>
  <c r="K45" i="1"/>
  <c r="H45" i="1" s="1"/>
  <c r="L26" i="73" s="1"/>
  <c r="I19" i="1"/>
  <c r="K12" i="57" s="1"/>
  <c r="M12" i="57"/>
  <c r="N8" i="1"/>
  <c r="H77" i="1"/>
  <c r="J57" i="57" s="1"/>
  <c r="I77" i="1"/>
  <c r="K57" i="57" s="1"/>
  <c r="L24" i="1"/>
  <c r="N17" i="57" s="1"/>
  <c r="M17" i="57"/>
  <c r="N19" i="42"/>
  <c r="I52" i="1"/>
  <c r="K35" i="57" s="1"/>
  <c r="M35" i="57"/>
  <c r="H51" i="1"/>
  <c r="J34" i="57" s="1"/>
  <c r="M34" i="57"/>
  <c r="L49" i="1"/>
  <c r="N32" i="57" s="1"/>
  <c r="M32" i="57"/>
  <c r="L50" i="1"/>
  <c r="N33" i="57" s="1"/>
  <c r="M33" i="57"/>
  <c r="L48" i="57"/>
  <c r="G48" i="57"/>
  <c r="V115" i="3"/>
  <c r="H49" i="1"/>
  <c r="J32" i="57" s="1"/>
  <c r="H52" i="1"/>
  <c r="J35" i="57" s="1"/>
  <c r="I49" i="1"/>
  <c r="K32" i="57" s="1"/>
  <c r="K78" i="1"/>
  <c r="I50" i="1"/>
  <c r="K33" i="57" s="1"/>
  <c r="H50" i="1"/>
  <c r="J33" i="57" s="1"/>
  <c r="I51" i="1"/>
  <c r="K34" i="57" s="1"/>
  <c r="L52" i="1"/>
  <c r="N35" i="57" s="1"/>
  <c r="L51" i="1"/>
  <c r="K53" i="1"/>
  <c r="K65" i="1" s="1"/>
  <c r="F78" i="1"/>
  <c r="Q19" i="42"/>
  <c r="G65" i="1"/>
  <c r="G67" i="1" s="1"/>
  <c r="G96" i="1"/>
  <c r="O22" i="42"/>
  <c r="Q23" i="42"/>
  <c r="AB3" i="75" s="1"/>
  <c r="G78" i="1"/>
  <c r="M22" i="42"/>
  <c r="M23" i="42" s="1"/>
  <c r="G38" i="17"/>
  <c r="F37" i="17"/>
  <c r="J13" i="42"/>
  <c r="K7" i="23"/>
  <c r="T115" i="3"/>
  <c r="L115" i="3"/>
  <c r="M115" i="3"/>
  <c r="AB6" i="75" a="1"/>
  <c r="O6" i="75" a="1"/>
  <c r="N85" i="57" l="1"/>
  <c r="O26" i="73"/>
  <c r="K32" i="73" s="1"/>
  <c r="D162" i="30"/>
  <c r="J70" i="83"/>
  <c r="F71" i="83"/>
  <c r="BK71" i="83"/>
  <c r="U70" i="83"/>
  <c r="BH71" i="83"/>
  <c r="D71" i="83"/>
  <c r="AX70" i="83"/>
  <c r="D70" i="83"/>
  <c r="AW70" i="83"/>
  <c r="AM70" i="83"/>
  <c r="AM72" i="83"/>
  <c r="AM67" i="83" s="1"/>
  <c r="AM27" i="83" s="1"/>
  <c r="AL72" i="83"/>
  <c r="AL67" i="83" s="1"/>
  <c r="AL27" i="83" s="1"/>
  <c r="AL71" i="83"/>
  <c r="AA70" i="83"/>
  <c r="Z71" i="83"/>
  <c r="Y71" i="83"/>
  <c r="BF70" i="83"/>
  <c r="AH72" i="83"/>
  <c r="AH67" i="83" s="1"/>
  <c r="AH27" i="83" s="1"/>
  <c r="AH71" i="83"/>
  <c r="M71" i="83"/>
  <c r="T71" i="83"/>
  <c r="BG72" i="83"/>
  <c r="BG67" i="83" s="1"/>
  <c r="BG27" i="83" s="1"/>
  <c r="AV71" i="83"/>
  <c r="C63" i="83"/>
  <c r="C64" i="83" s="1"/>
  <c r="AU71" i="83"/>
  <c r="AH70" i="83"/>
  <c r="BE70" i="83"/>
  <c r="AR72" i="83"/>
  <c r="AR67" i="83" s="1"/>
  <c r="AR27" i="83" s="1"/>
  <c r="AG71" i="83"/>
  <c r="AG72" i="83" s="1"/>
  <c r="AG67" i="83" s="1"/>
  <c r="AG27" i="83" s="1"/>
  <c r="R71" i="83"/>
  <c r="BC72" i="83"/>
  <c r="BC67" i="83" s="1"/>
  <c r="BC27" i="83" s="1"/>
  <c r="AG70" i="83"/>
  <c r="AB70" i="83"/>
  <c r="BG70" i="83"/>
  <c r="AV72" i="83"/>
  <c r="AV67" i="83" s="1"/>
  <c r="AV27" i="83" s="1"/>
  <c r="AK72" i="83"/>
  <c r="AK67" i="83" s="1"/>
  <c r="AK27" i="83" s="1"/>
  <c r="E70" i="83"/>
  <c r="T70" i="83"/>
  <c r="S71" i="83"/>
  <c r="BF72" i="83"/>
  <c r="BF67" i="83" s="1"/>
  <c r="BF27" i="83" s="1"/>
  <c r="AR70" i="83"/>
  <c r="S70" i="83"/>
  <c r="AR71" i="83"/>
  <c r="BB71" i="83"/>
  <c r="AQ70" i="83"/>
  <c r="AF71" i="83"/>
  <c r="M70" i="83"/>
  <c r="BB72" i="83"/>
  <c r="BB67" i="83" s="1"/>
  <c r="BB27" i="83" s="1"/>
  <c r="AQ72" i="83"/>
  <c r="AQ67" i="83" s="1"/>
  <c r="AQ27" i="83" s="1"/>
  <c r="L71" i="83"/>
  <c r="BA71" i="83"/>
  <c r="AP70" i="83"/>
  <c r="AB71" i="83"/>
  <c r="L70" i="83"/>
  <c r="BA70" i="83"/>
  <c r="AM71" i="83"/>
  <c r="AA71" i="83"/>
  <c r="K71" i="83"/>
  <c r="BK70" i="83"/>
  <c r="BF71" i="83"/>
  <c r="BA72" i="83"/>
  <c r="BA67" i="83" s="1"/>
  <c r="BA27" i="83" s="1"/>
  <c r="AV70" i="83"/>
  <c r="AQ71" i="83"/>
  <c r="AL70" i="83"/>
  <c r="AF72" i="83"/>
  <c r="AF67" i="83" s="1"/>
  <c r="AF27" i="83" s="1"/>
  <c r="Z70" i="83"/>
  <c r="R70" i="83"/>
  <c r="K70" i="83"/>
  <c r="E71" i="83"/>
  <c r="BJ71" i="83"/>
  <c r="AU72" i="83"/>
  <c r="AU67" i="83" s="1"/>
  <c r="AU27" i="83" s="1"/>
  <c r="AK70" i="83"/>
  <c r="AF70" i="83"/>
  <c r="Y70" i="83"/>
  <c r="Q70" i="83"/>
  <c r="BJ70" i="83"/>
  <c r="AU70" i="83"/>
  <c r="Q71" i="83"/>
  <c r="AY72" i="83"/>
  <c r="AY67" i="83" s="1"/>
  <c r="AY27" i="83" s="1"/>
  <c r="AO71" i="83"/>
  <c r="AE71" i="83"/>
  <c r="X71" i="83"/>
  <c r="BI72" i="83"/>
  <c r="BI67" i="83" s="1"/>
  <c r="BI27" i="83" s="1"/>
  <c r="BD71" i="83"/>
  <c r="AY70" i="83"/>
  <c r="AT72" i="83"/>
  <c r="AT67" i="83" s="1"/>
  <c r="AT27" i="83" s="1"/>
  <c r="AO70" i="83"/>
  <c r="AJ71" i="83"/>
  <c r="AD72" i="83"/>
  <c r="AD67" i="83" s="1"/>
  <c r="AD27" i="83" s="1"/>
  <c r="W71" i="83"/>
  <c r="O70" i="83"/>
  <c r="H70" i="83"/>
  <c r="AZ71" i="83"/>
  <c r="AZ70" i="83"/>
  <c r="AP72" i="83"/>
  <c r="AP67" i="83" s="1"/>
  <c r="AP27" i="83" s="1"/>
  <c r="AK71" i="83"/>
  <c r="AE70" i="83"/>
  <c r="AE72" i="83" s="1"/>
  <c r="AE67" i="83" s="1"/>
  <c r="AE27" i="83" s="1"/>
  <c r="X70" i="83"/>
  <c r="BI71" i="83"/>
  <c r="AJ72" i="83"/>
  <c r="AJ67" i="83" s="1"/>
  <c r="AJ27" i="83" s="1"/>
  <c r="H71" i="83"/>
  <c r="AO72" i="83"/>
  <c r="AO67" i="83" s="1"/>
  <c r="AO27" i="83" s="1"/>
  <c r="AP71" i="83"/>
  <c r="BD70" i="83"/>
  <c r="BH70" i="83"/>
  <c r="BC71" i="83"/>
  <c r="AX72" i="83"/>
  <c r="AX67" i="83" s="1"/>
  <c r="AX27" i="83" s="1"/>
  <c r="AS70" i="83"/>
  <c r="AN71" i="83"/>
  <c r="AI71" i="83"/>
  <c r="AC70" i="83"/>
  <c r="V70" i="83"/>
  <c r="N70" i="83"/>
  <c r="G70" i="83"/>
  <c r="BE72" i="83"/>
  <c r="BE67" i="83" s="1"/>
  <c r="BE27" i="83" s="1"/>
  <c r="J71" i="83"/>
  <c r="BE71" i="83"/>
  <c r="I71" i="83"/>
  <c r="AT70" i="83"/>
  <c r="P71" i="83"/>
  <c r="BI70" i="83"/>
  <c r="BD72" i="83"/>
  <c r="BD67" i="83" s="1"/>
  <c r="BD27" i="83" s="1"/>
  <c r="AY71" i="83"/>
  <c r="AT71" i="83"/>
  <c r="AJ70" i="83"/>
  <c r="AD71" i="83"/>
  <c r="V71" i="83"/>
  <c r="O71" i="83"/>
  <c r="G71" i="83"/>
  <c r="BH72" i="83"/>
  <c r="BH67" i="83" s="1"/>
  <c r="BH27" i="83" s="1"/>
  <c r="BC70" i="83"/>
  <c r="AX71" i="83"/>
  <c r="AS72" i="83"/>
  <c r="AS67" i="83" s="1"/>
  <c r="AS27" i="83" s="1"/>
  <c r="AN72" i="83"/>
  <c r="AN67" i="83" s="1"/>
  <c r="AN27" i="83" s="1"/>
  <c r="AI70" i="83"/>
  <c r="AC71" i="83"/>
  <c r="U71" i="83"/>
  <c r="N71" i="83"/>
  <c r="F70" i="83"/>
  <c r="D15" i="89"/>
  <c r="D25" i="17"/>
  <c r="JW92" i="1" s="1"/>
  <c r="BK72" i="83"/>
  <c r="BK67" i="83" s="1"/>
  <c r="BK27" i="83" s="1"/>
  <c r="BG71" i="83"/>
  <c r="BB70" i="83"/>
  <c r="AW72" i="83"/>
  <c r="AW67" i="83" s="1"/>
  <c r="AW27" i="83" s="1"/>
  <c r="AS71" i="83"/>
  <c r="AN70" i="83"/>
  <c r="AI72" i="83"/>
  <c r="AI67" i="83" s="1"/>
  <c r="AI27" i="83" s="1"/>
  <c r="AD70" i="83"/>
  <c r="W70" i="83"/>
  <c r="P70" i="83"/>
  <c r="I70" i="83"/>
  <c r="N87" i="57"/>
  <c r="B72" i="77"/>
  <c r="B74" i="77" s="1"/>
  <c r="B75" i="77" s="1"/>
  <c r="N9" i="42"/>
  <c r="N9" i="64"/>
  <c r="O8" i="73" s="1"/>
  <c r="C16" i="89"/>
  <c r="D16" i="89" s="1"/>
  <c r="JW91" i="1"/>
  <c r="JX91" i="1" s="1"/>
  <c r="H10" i="78"/>
  <c r="M95" i="57"/>
  <c r="D128" i="1"/>
  <c r="D117" i="1"/>
  <c r="M117" i="1" s="1"/>
  <c r="M84" i="57"/>
  <c r="D122" i="1"/>
  <c r="M122" i="1" s="1"/>
  <c r="M89" i="57"/>
  <c r="M93" i="57"/>
  <c r="D126" i="1"/>
  <c r="J70" i="57"/>
  <c r="K90" i="1"/>
  <c r="G5" i="73"/>
  <c r="M6" i="55"/>
  <c r="T6" i="55"/>
  <c r="D242" i="3"/>
  <c r="E25" i="83" s="1"/>
  <c r="P242" i="3"/>
  <c r="Q25" i="83" s="1"/>
  <c r="U242" i="3"/>
  <c r="V25" i="83" s="1"/>
  <c r="Y242" i="3"/>
  <c r="Z25" i="83" s="1"/>
  <c r="V242" i="3"/>
  <c r="W25" i="83" s="1"/>
  <c r="AA242" i="3"/>
  <c r="AB25" i="83" s="1"/>
  <c r="AB242" i="3"/>
  <c r="AC25" i="83" s="1"/>
  <c r="T242" i="3"/>
  <c r="U25" i="83" s="1"/>
  <c r="L242" i="3"/>
  <c r="M25" i="83" s="1"/>
  <c r="K13" i="64"/>
  <c r="A30" i="89"/>
  <c r="AC72" i="83"/>
  <c r="M242" i="3"/>
  <c r="N25" i="83" s="1"/>
  <c r="Q242" i="3"/>
  <c r="R25" i="83" s="1"/>
  <c r="N242" i="3"/>
  <c r="O25" i="83" s="1"/>
  <c r="G242" i="3"/>
  <c r="H25" i="83" s="1"/>
  <c r="J242" i="3"/>
  <c r="K25" i="83" s="1"/>
  <c r="K242" i="3"/>
  <c r="L25" i="83" s="1"/>
  <c r="E242" i="3"/>
  <c r="F25" i="83" s="1"/>
  <c r="Z242" i="3"/>
  <c r="AA25" i="83" s="1"/>
  <c r="H242" i="3"/>
  <c r="I25" i="83" s="1"/>
  <c r="I242" i="3"/>
  <c r="J25" i="83" s="1"/>
  <c r="X242" i="3"/>
  <c r="Y25" i="83" s="1"/>
  <c r="R242" i="3"/>
  <c r="S25" i="83" s="1"/>
  <c r="W242" i="3"/>
  <c r="X25" i="83" s="1"/>
  <c r="O242" i="3"/>
  <c r="P25" i="83" s="1"/>
  <c r="S242" i="3"/>
  <c r="T25" i="83" s="1"/>
  <c r="JW90" i="1"/>
  <c r="R8" i="64"/>
  <c r="R8" i="42"/>
  <c r="F242" i="3"/>
  <c r="D22" i="17"/>
  <c r="B9" i="86"/>
  <c r="L28" i="73"/>
  <c r="R7" i="72"/>
  <c r="N3" i="75"/>
  <c r="D256" i="45"/>
  <c r="E194" i="68"/>
  <c r="E116" i="71"/>
  <c r="E46" i="71"/>
  <c r="M23" i="64"/>
  <c r="L18" i="73"/>
  <c r="AJ8" i="71"/>
  <c r="AI20" i="71"/>
  <c r="AI21" i="71"/>
  <c r="AI7" i="71"/>
  <c r="AI195" i="71"/>
  <c r="AJ5" i="69"/>
  <c r="AJ7" i="69" s="1"/>
  <c r="AJ6" i="69"/>
  <c r="AK4" i="69"/>
  <c r="AJ9" i="69"/>
  <c r="E191" i="68"/>
  <c r="E196" i="68" s="1"/>
  <c r="AK4" i="71"/>
  <c r="AJ12" i="71"/>
  <c r="AI33" i="71" s="1"/>
  <c r="AJ660" i="71"/>
  <c r="AJ5" i="71"/>
  <c r="AJ22" i="71"/>
  <c r="AJ6" i="71"/>
  <c r="E195" i="68"/>
  <c r="E197" i="68"/>
  <c r="E199" i="69"/>
  <c r="E197" i="69"/>
  <c r="E196" i="69"/>
  <c r="E193" i="69"/>
  <c r="E198" i="69" s="1"/>
  <c r="P192" i="71"/>
  <c r="K66" i="1"/>
  <c r="M49" i="57" s="1"/>
  <c r="M44" i="57"/>
  <c r="H61" i="1"/>
  <c r="E47" i="6" s="1"/>
  <c r="E56" i="6" s="1"/>
  <c r="I61" i="1"/>
  <c r="N41" i="57"/>
  <c r="L61" i="1"/>
  <c r="N69" i="57"/>
  <c r="J84" i="1"/>
  <c r="L64" i="57" s="1"/>
  <c r="S290" i="1"/>
  <c r="S291" i="1"/>
  <c r="S285" i="1"/>
  <c r="S293" i="1"/>
  <c r="S288" i="1"/>
  <c r="S289" i="1"/>
  <c r="S294" i="1"/>
  <c r="S295" i="1"/>
  <c r="S296" i="1"/>
  <c r="S286" i="1"/>
  <c r="S287" i="1"/>
  <c r="S292" i="1"/>
  <c r="A44" i="64"/>
  <c r="Q22" i="64"/>
  <c r="I58" i="57"/>
  <c r="G82" i="1"/>
  <c r="I62" i="57" s="1"/>
  <c r="H58" i="57"/>
  <c r="N22" i="64"/>
  <c r="N23" i="64" s="1"/>
  <c r="E84" i="1"/>
  <c r="G64" i="57" s="1"/>
  <c r="G63" i="57"/>
  <c r="F67" i="1"/>
  <c r="F82" i="1" s="1"/>
  <c r="H62" i="57" s="1"/>
  <c r="H48" i="57"/>
  <c r="L78" i="1"/>
  <c r="N58" i="57" s="1"/>
  <c r="I78" i="1"/>
  <c r="S22" i="42" s="1"/>
  <c r="M58" i="57"/>
  <c r="E96" i="57"/>
  <c r="A44" i="42"/>
  <c r="D40" i="2"/>
  <c r="G83" i="1"/>
  <c r="I63" i="57" s="1"/>
  <c r="N22" i="42"/>
  <c r="N23" i="42" s="1"/>
  <c r="F83" i="1"/>
  <c r="K83" i="1"/>
  <c r="M28" i="57"/>
  <c r="I45" i="1"/>
  <c r="U244" i="1"/>
  <c r="R296" i="1" s="1"/>
  <c r="L45" i="1"/>
  <c r="N28" i="57" s="1"/>
  <c r="L53" i="1"/>
  <c r="L65" i="1" s="1"/>
  <c r="N34" i="57"/>
  <c r="M36" i="57"/>
  <c r="H78" i="1"/>
  <c r="E44" i="6" s="1"/>
  <c r="E54" i="6" s="1"/>
  <c r="I48" i="57"/>
  <c r="J28" i="57"/>
  <c r="G50" i="57"/>
  <c r="L50" i="57"/>
  <c r="I53" i="1"/>
  <c r="H53" i="1"/>
  <c r="E46" i="6" s="1"/>
  <c r="M20" i="3"/>
  <c r="Q22" i="42"/>
  <c r="K13" i="42"/>
  <c r="F38" i="17"/>
  <c r="G39" i="17"/>
  <c r="G40" i="17" s="1"/>
  <c r="L7" i="23"/>
  <c r="N6" i="75" a="1"/>
  <c r="S8" i="42" l="1"/>
  <c r="S8" i="64" s="1"/>
  <c r="E48" i="6"/>
  <c r="E55" i="6"/>
  <c r="C72" i="77"/>
  <c r="AB72" i="83"/>
  <c r="V72" i="83"/>
  <c r="J72" i="83"/>
  <c r="Q72" i="83"/>
  <c r="H72" i="83"/>
  <c r="W72" i="83"/>
  <c r="E72" i="83"/>
  <c r="AA72" i="83"/>
  <c r="F72" i="83"/>
  <c r="L72" i="83"/>
  <c r="M72" i="83"/>
  <c r="U72" i="83"/>
  <c r="S72" i="83"/>
  <c r="X72" i="83"/>
  <c r="G72" i="83"/>
  <c r="Z72" i="83"/>
  <c r="R72" i="83"/>
  <c r="O72" i="83"/>
  <c r="N72" i="83"/>
  <c r="T72" i="83"/>
  <c r="K72" i="83"/>
  <c r="Y72" i="83"/>
  <c r="P72" i="83"/>
  <c r="D72" i="83"/>
  <c r="I72" i="83"/>
  <c r="N93" i="57"/>
  <c r="N95" i="57"/>
  <c r="H15" i="78"/>
  <c r="H16" i="78" s="1"/>
  <c r="H17" i="78" s="1"/>
  <c r="N89" i="57"/>
  <c r="N84" i="57"/>
  <c r="I90" i="1"/>
  <c r="K70" i="57" s="1"/>
  <c r="M70" i="57"/>
  <c r="L90" i="1"/>
  <c r="N70" i="57" s="1"/>
  <c r="M13" i="64"/>
  <c r="A31" i="89"/>
  <c r="AC67" i="83"/>
  <c r="AC27" i="83" s="1"/>
  <c r="L19" i="3"/>
  <c r="E88" i="1"/>
  <c r="JW89" i="1"/>
  <c r="H88" i="1" s="1"/>
  <c r="L16" i="73"/>
  <c r="S9" i="64"/>
  <c r="S9" i="42"/>
  <c r="G25" i="83"/>
  <c r="B10" i="86"/>
  <c r="N93" i="3" s="1"/>
  <c r="J76" i="57"/>
  <c r="K96" i="1"/>
  <c r="D257" i="45"/>
  <c r="S19" i="64"/>
  <c r="K67" i="1"/>
  <c r="K82" i="1" s="1"/>
  <c r="M62" i="57" s="1"/>
  <c r="AK8" i="71"/>
  <c r="AJ20" i="71"/>
  <c r="AJ7" i="71"/>
  <c r="AJ21" i="71"/>
  <c r="AJ195" i="71"/>
  <c r="AK22" i="71"/>
  <c r="AK6" i="71"/>
  <c r="AK660" i="71"/>
  <c r="AK5" i="71"/>
  <c r="AL4" i="71"/>
  <c r="AK12" i="71"/>
  <c r="AJ33" i="71" s="1"/>
  <c r="AK6" i="69"/>
  <c r="AK9" i="69"/>
  <c r="AK5" i="69"/>
  <c r="AK7" i="69" s="1"/>
  <c r="AL4" i="69"/>
  <c r="P200" i="71"/>
  <c r="P202" i="71"/>
  <c r="P199" i="71"/>
  <c r="P196" i="71"/>
  <c r="N10" i="1"/>
  <c r="L66" i="1"/>
  <c r="N49" i="57" s="1"/>
  <c r="N44" i="57"/>
  <c r="S20" i="64"/>
  <c r="S20" i="42"/>
  <c r="K44" i="57"/>
  <c r="I66" i="1"/>
  <c r="K49" i="57" s="1"/>
  <c r="H66" i="1"/>
  <c r="J49" i="57" s="1"/>
  <c r="J44" i="57"/>
  <c r="R20" i="64"/>
  <c r="R20" i="42"/>
  <c r="R22" i="64"/>
  <c r="S298" i="1"/>
  <c r="S306" i="1"/>
  <c r="S299" i="1"/>
  <c r="S307" i="1"/>
  <c r="S301" i="1"/>
  <c r="S302" i="1"/>
  <c r="S303" i="1"/>
  <c r="S305" i="1"/>
  <c r="S300" i="1"/>
  <c r="S304" i="1"/>
  <c r="S297" i="1"/>
  <c r="S308" i="1"/>
  <c r="R19" i="64"/>
  <c r="K58" i="57"/>
  <c r="S22" i="64"/>
  <c r="G84" i="1"/>
  <c r="I64" i="57" s="1"/>
  <c r="F84" i="1"/>
  <c r="H64" i="57" s="1"/>
  <c r="H63" i="57"/>
  <c r="L83" i="1"/>
  <c r="N63" i="57" s="1"/>
  <c r="R22" i="42"/>
  <c r="J58" i="57"/>
  <c r="I83" i="1"/>
  <c r="K63" i="57" s="1"/>
  <c r="M63" i="57"/>
  <c r="H83" i="1"/>
  <c r="J63" i="57" s="1"/>
  <c r="K28" i="57"/>
  <c r="V244" i="1"/>
  <c r="R308" i="1" s="1"/>
  <c r="N36" i="57"/>
  <c r="H65" i="1"/>
  <c r="J48" i="57" s="1"/>
  <c r="K36" i="57"/>
  <c r="J36" i="57"/>
  <c r="I65" i="1"/>
  <c r="K48" i="57" s="1"/>
  <c r="M48" i="57"/>
  <c r="I50" i="57"/>
  <c r="R19" i="42"/>
  <c r="D17" i="96" s="1"/>
  <c r="S19" i="42"/>
  <c r="M22" i="3"/>
  <c r="F39" i="17"/>
  <c r="M13" i="42"/>
  <c r="M7" i="23"/>
  <c r="AB67" i="83" l="1"/>
  <c r="AB27" i="83" s="1"/>
  <c r="F67" i="83"/>
  <c r="F27" i="83" s="1"/>
  <c r="N67" i="83"/>
  <c r="N27" i="83" s="1"/>
  <c r="Y67" i="83"/>
  <c r="Y27" i="83" s="1"/>
  <c r="P67" i="83"/>
  <c r="P27" i="83" s="1"/>
  <c r="L67" i="83"/>
  <c r="L27" i="83" s="1"/>
  <c r="I67" i="83"/>
  <c r="I27" i="83" s="1"/>
  <c r="O67" i="83"/>
  <c r="O27" i="83" s="1"/>
  <c r="U67" i="83"/>
  <c r="U27" i="83" s="1"/>
  <c r="M67" i="83"/>
  <c r="M27" i="83" s="1"/>
  <c r="S67" i="83"/>
  <c r="S27" i="83" s="1"/>
  <c r="R67" i="83"/>
  <c r="R27" i="83" s="1"/>
  <c r="T67" i="83"/>
  <c r="T27" i="83" s="1"/>
  <c r="K67" i="83"/>
  <c r="K27" i="83" s="1"/>
  <c r="E67" i="83"/>
  <c r="E27" i="83" s="1"/>
  <c r="V67" i="83"/>
  <c r="V27" i="83" s="1"/>
  <c r="W67" i="83"/>
  <c r="W27" i="83" s="1"/>
  <c r="H67" i="83"/>
  <c r="H27" i="83" s="1"/>
  <c r="AA67" i="83"/>
  <c r="AA27" i="83" s="1"/>
  <c r="X67" i="83"/>
  <c r="X27" i="83" s="1"/>
  <c r="Z67" i="83"/>
  <c r="Z27" i="83" s="1"/>
  <c r="Q67" i="83"/>
  <c r="Q27" i="83" s="1"/>
  <c r="J67" i="83"/>
  <c r="J27" i="83" s="1"/>
  <c r="G67" i="83"/>
  <c r="G27" i="83" s="1"/>
  <c r="D67" i="83"/>
  <c r="D27" i="83" s="1"/>
  <c r="N13" i="64"/>
  <c r="A32" i="89"/>
  <c r="J68" i="57"/>
  <c r="G68" i="57"/>
  <c r="K88" i="1"/>
  <c r="F88" i="1"/>
  <c r="H68" i="57" s="1"/>
  <c r="D23" i="23"/>
  <c r="M19" i="3"/>
  <c r="L26" i="3"/>
  <c r="L96" i="1"/>
  <c r="D56" i="96" s="1"/>
  <c r="E56" i="96" s="1"/>
  <c r="I96" i="1"/>
  <c r="K76" i="57" s="1"/>
  <c r="M76" i="57"/>
  <c r="M93" i="3"/>
  <c r="D136" i="23"/>
  <c r="D258" i="45"/>
  <c r="S21" i="64"/>
  <c r="K84" i="1"/>
  <c r="M64" i="57" s="1"/>
  <c r="H82" i="1"/>
  <c r="J62" i="57" s="1"/>
  <c r="I82" i="1"/>
  <c r="K62" i="57" s="1"/>
  <c r="S21" i="42"/>
  <c r="AL5" i="69"/>
  <c r="AL7" i="69" s="1"/>
  <c r="AL6" i="69"/>
  <c r="AM4" i="69"/>
  <c r="AL9" i="69"/>
  <c r="AM4" i="71"/>
  <c r="AL12" i="71"/>
  <c r="AK33" i="71" s="1"/>
  <c r="AL22" i="71"/>
  <c r="AL5" i="71"/>
  <c r="AL660" i="71"/>
  <c r="AL6" i="71"/>
  <c r="AK21" i="71"/>
  <c r="AL8" i="71"/>
  <c r="AK20" i="71"/>
  <c r="AK7" i="71"/>
  <c r="AK195" i="71"/>
  <c r="P201" i="71"/>
  <c r="R21" i="64"/>
  <c r="R21" i="42"/>
  <c r="L67" i="1"/>
  <c r="N50" i="57" s="1"/>
  <c r="S309" i="1"/>
  <c r="S317" i="1"/>
  <c r="S313" i="1"/>
  <c r="S314" i="1"/>
  <c r="S316" i="1"/>
  <c r="S312" i="1"/>
  <c r="S315" i="1"/>
  <c r="S319" i="1"/>
  <c r="S320" i="1"/>
  <c r="S318" i="1"/>
  <c r="S310" i="1"/>
  <c r="S311" i="1"/>
  <c r="F165" i="1"/>
  <c r="D43" i="64"/>
  <c r="N48" i="57"/>
  <c r="W244" i="1"/>
  <c r="R320" i="1" s="1"/>
  <c r="N22" i="3"/>
  <c r="N38" i="3"/>
  <c r="G31" i="3"/>
  <c r="N13" i="3"/>
  <c r="G93" i="3"/>
  <c r="G27" i="3"/>
  <c r="N79" i="3"/>
  <c r="N81" i="3"/>
  <c r="G45" i="3"/>
  <c r="N24" i="3"/>
  <c r="G121" i="3"/>
  <c r="G77" i="3"/>
  <c r="G38" i="3"/>
  <c r="N32" i="3"/>
  <c r="G30" i="3"/>
  <c r="G35" i="3"/>
  <c r="N34" i="3"/>
  <c r="G88" i="3"/>
  <c r="N43" i="3"/>
  <c r="G32" i="3"/>
  <c r="N41" i="3"/>
  <c r="N86" i="3"/>
  <c r="G36" i="3"/>
  <c r="G86" i="3"/>
  <c r="G44" i="3"/>
  <c r="G61" i="3"/>
  <c r="N50" i="3"/>
  <c r="G56" i="3"/>
  <c r="N48" i="3"/>
  <c r="G92" i="3"/>
  <c r="N46" i="3"/>
  <c r="N84" i="3"/>
  <c r="N83" i="3"/>
  <c r="G40" i="3"/>
  <c r="N17" i="3"/>
  <c r="N40" i="3"/>
  <c r="N12" i="3"/>
  <c r="G29" i="3"/>
  <c r="N23" i="3"/>
  <c r="N78" i="3"/>
  <c r="N89" i="3"/>
  <c r="N14" i="3"/>
  <c r="G89" i="3"/>
  <c r="G55" i="3"/>
  <c r="N88" i="3"/>
  <c r="G46" i="3"/>
  <c r="G41" i="3"/>
  <c r="N21" i="3"/>
  <c r="N16" i="3"/>
  <c r="G33" i="3"/>
  <c r="N19" i="3"/>
  <c r="N91" i="3"/>
  <c r="N20" i="3"/>
  <c r="G26" i="3"/>
  <c r="G39" i="3"/>
  <c r="G37" i="3"/>
  <c r="N11" i="3"/>
  <c r="N35" i="3"/>
  <c r="N87" i="3"/>
  <c r="N37" i="3"/>
  <c r="N85" i="3"/>
  <c r="G43" i="3"/>
  <c r="G34" i="3"/>
  <c r="G28" i="3"/>
  <c r="N39" i="3"/>
  <c r="N82" i="3"/>
  <c r="N44" i="3"/>
  <c r="N33" i="3"/>
  <c r="G125" i="3"/>
  <c r="N25" i="3"/>
  <c r="G123" i="3"/>
  <c r="G91" i="3"/>
  <c r="N80" i="3"/>
  <c r="N47" i="3"/>
  <c r="N49" i="3"/>
  <c r="G87" i="3"/>
  <c r="G94" i="3"/>
  <c r="N90" i="3"/>
  <c r="G25" i="3"/>
  <c r="N15" i="3"/>
  <c r="G42" i="3"/>
  <c r="G78" i="3"/>
  <c r="G79" i="3"/>
  <c r="N42" i="3"/>
  <c r="N77" i="3"/>
  <c r="N45" i="3"/>
  <c r="G24" i="3"/>
  <c r="N18" i="3"/>
  <c r="F40" i="17"/>
  <c r="G41" i="17"/>
  <c r="N13" i="42"/>
  <c r="N7" i="23"/>
  <c r="E68" i="83" l="1"/>
  <c r="BH68" i="83"/>
  <c r="AT68" i="83"/>
  <c r="P68" i="83"/>
  <c r="AS68" i="83"/>
  <c r="BF68" i="83"/>
  <c r="X68" i="83"/>
  <c r="S68" i="83"/>
  <c r="AQ68" i="83"/>
  <c r="BD68" i="83"/>
  <c r="AP68" i="83"/>
  <c r="V68" i="83"/>
  <c r="BC68" i="83"/>
  <c r="AO68" i="83"/>
  <c r="Y68" i="83"/>
  <c r="BB68" i="83"/>
  <c r="AZ68" i="83"/>
  <c r="AG68" i="83"/>
  <c r="U68" i="83"/>
  <c r="AY68" i="83"/>
  <c r="BK68" i="83"/>
  <c r="AR68" i="83"/>
  <c r="M68" i="83"/>
  <c r="AF68" i="83"/>
  <c r="L68" i="83"/>
  <c r="R68" i="83"/>
  <c r="BG68" i="83"/>
  <c r="Z68" i="83"/>
  <c r="AD68" i="83"/>
  <c r="BE68" i="83"/>
  <c r="AB68" i="83"/>
  <c r="AH68" i="83"/>
  <c r="AN68" i="83"/>
  <c r="K68" i="83"/>
  <c r="AC68" i="83"/>
  <c r="BA68" i="83"/>
  <c r="AK68" i="83"/>
  <c r="F68" i="83"/>
  <c r="AJ68" i="83"/>
  <c r="AL68" i="83"/>
  <c r="AI68" i="83"/>
  <c r="W68" i="83"/>
  <c r="Q68" i="83"/>
  <c r="AM68" i="83"/>
  <c r="AX68" i="83"/>
  <c r="I68" i="83"/>
  <c r="AE68" i="83"/>
  <c r="AA68" i="83"/>
  <c r="AW68" i="83"/>
  <c r="O68" i="83"/>
  <c r="N68" i="83"/>
  <c r="J68" i="83"/>
  <c r="BJ68" i="83"/>
  <c r="AV68" i="83"/>
  <c r="D68" i="83"/>
  <c r="G68" i="83"/>
  <c r="BI68" i="83"/>
  <c r="AU68" i="83"/>
  <c r="H68" i="83"/>
  <c r="T68" i="83"/>
  <c r="A33" i="89"/>
  <c r="H21" i="78"/>
  <c r="M26" i="3"/>
  <c r="D14" i="23"/>
  <c r="K112" i="3"/>
  <c r="N26" i="3"/>
  <c r="L88" i="1"/>
  <c r="M68" i="57"/>
  <c r="I88" i="1"/>
  <c r="K68" i="57" s="1"/>
  <c r="K92" i="1"/>
  <c r="N76" i="57"/>
  <c r="D127" i="23"/>
  <c r="D123" i="23"/>
  <c r="D131" i="23"/>
  <c r="D120" i="23"/>
  <c r="D121" i="23"/>
  <c r="D130" i="23"/>
  <c r="D124" i="23"/>
  <c r="D132" i="23"/>
  <c r="D134" i="23"/>
  <c r="D129" i="23"/>
  <c r="D125" i="23"/>
  <c r="D133" i="23"/>
  <c r="D128" i="23"/>
  <c r="D122" i="23"/>
  <c r="D126" i="23"/>
  <c r="D259" i="45"/>
  <c r="H84" i="1"/>
  <c r="R23" i="64" s="1"/>
  <c r="I84" i="1"/>
  <c r="S23" i="64" s="1"/>
  <c r="B11" i="24"/>
  <c r="B9" i="24"/>
  <c r="Q27" i="1"/>
  <c r="AN4" i="69"/>
  <c r="AM6" i="69"/>
  <c r="AM9" i="69"/>
  <c r="AM5" i="69"/>
  <c r="AM7" i="69" s="1"/>
  <c r="AM8" i="71"/>
  <c r="AL20" i="71"/>
  <c r="AL7" i="71"/>
  <c r="AL21" i="71"/>
  <c r="AL195" i="71"/>
  <c r="AN4" i="71"/>
  <c r="AM12" i="71"/>
  <c r="AL33" i="71" s="1"/>
  <c r="AM5" i="71"/>
  <c r="AM6" i="71"/>
  <c r="AM660" i="71"/>
  <c r="AM22" i="71"/>
  <c r="L82" i="1"/>
  <c r="N62" i="57" s="1"/>
  <c r="S325" i="1"/>
  <c r="S322" i="1"/>
  <c r="S331" i="1"/>
  <c r="S323" i="1"/>
  <c r="S332" i="1"/>
  <c r="S326" i="1"/>
  <c r="S328" i="1"/>
  <c r="S329" i="1"/>
  <c r="S321" i="1"/>
  <c r="S324" i="1"/>
  <c r="S327" i="1"/>
  <c r="S330" i="1"/>
  <c r="C119" i="1"/>
  <c r="D61" i="96" s="1"/>
  <c r="X244" i="1"/>
  <c r="R332" i="1" s="1"/>
  <c r="M50" i="57"/>
  <c r="H67" i="1"/>
  <c r="I67" i="1"/>
  <c r="K50" i="57" s="1"/>
  <c r="D43" i="42"/>
  <c r="D66" i="42" s="1"/>
  <c r="D54" i="96" s="1"/>
  <c r="F41" i="17"/>
  <c r="A34" i="89" s="1"/>
  <c r="G42" i="17"/>
  <c r="D80" i="23"/>
  <c r="O7" i="23"/>
  <c r="E61" i="96" l="1"/>
  <c r="D65" i="96"/>
  <c r="E65" i="96" s="1"/>
  <c r="E54" i="96"/>
  <c r="D66" i="64"/>
  <c r="E54" i="3"/>
  <c r="D49" i="3" s="1"/>
  <c r="D28" i="96" s="1"/>
  <c r="F28" i="96" s="1"/>
  <c r="G52" i="3"/>
  <c r="F52" i="3"/>
  <c r="Z8" i="3" s="1"/>
  <c r="V112" i="3"/>
  <c r="T112" i="3"/>
  <c r="M112" i="3"/>
  <c r="L112" i="3"/>
  <c r="H92" i="1"/>
  <c r="I92" i="1"/>
  <c r="K72" i="57" s="1"/>
  <c r="M72" i="57"/>
  <c r="N68" i="57"/>
  <c r="L92" i="1"/>
  <c r="D57" i="96" s="1"/>
  <c r="E57" i="96" s="1"/>
  <c r="R23" i="42"/>
  <c r="J64" i="57"/>
  <c r="K64" i="57"/>
  <c r="E39" i="70"/>
  <c r="D260" i="45"/>
  <c r="S23" i="42"/>
  <c r="B8" i="24"/>
  <c r="Q26" i="1"/>
  <c r="B12" i="24"/>
  <c r="Q28" i="1"/>
  <c r="L84" i="1"/>
  <c r="D51" i="96" s="1"/>
  <c r="AM20" i="71"/>
  <c r="AM7" i="71"/>
  <c r="AN8" i="71"/>
  <c r="AM21" i="71"/>
  <c r="AM195" i="71"/>
  <c r="AN9" i="69"/>
  <c r="AN6" i="69"/>
  <c r="AN5" i="69"/>
  <c r="AN7" i="69" s="1"/>
  <c r="AO4" i="69"/>
  <c r="AN660" i="71"/>
  <c r="AN5" i="71"/>
  <c r="AN22" i="71"/>
  <c r="AN6" i="71"/>
  <c r="AO4" i="71"/>
  <c r="AN12" i="71"/>
  <c r="AM33" i="71" s="1"/>
  <c r="S333" i="1"/>
  <c r="S341" i="1"/>
  <c r="S340" i="1"/>
  <c r="S342" i="1"/>
  <c r="S335" i="1"/>
  <c r="S344" i="1"/>
  <c r="S343" i="1"/>
  <c r="S334" i="1"/>
  <c r="S336" i="1"/>
  <c r="S337" i="1"/>
  <c r="S338" i="1"/>
  <c r="S339" i="1"/>
  <c r="M86" i="57"/>
  <c r="D119" i="1"/>
  <c r="M119" i="1" s="1"/>
  <c r="J50" i="57"/>
  <c r="Y244" i="1"/>
  <c r="R344" i="1" s="1"/>
  <c r="F42" i="17"/>
  <c r="A35" i="89" s="1"/>
  <c r="P7" i="23"/>
  <c r="D53" i="96" l="1"/>
  <c r="E53" i="96" s="1"/>
  <c r="E51" i="96"/>
  <c r="D52" i="96"/>
  <c r="E52" i="96" s="1"/>
  <c r="E50" i="6"/>
  <c r="E57" i="6"/>
  <c r="E59" i="6" s="1"/>
  <c r="F62" i="3"/>
  <c r="D86" i="23"/>
  <c r="G62" i="3"/>
  <c r="Y8" i="3"/>
  <c r="AI3" i="75"/>
  <c r="F54" i="3"/>
  <c r="D82" i="23"/>
  <c r="G54" i="3"/>
  <c r="E63" i="3"/>
  <c r="N72" i="57"/>
  <c r="J72" i="57"/>
  <c r="N64" i="57"/>
  <c r="D261" i="45"/>
  <c r="Q29" i="1"/>
  <c r="Q25" i="1"/>
  <c r="AP4" i="69"/>
  <c r="AO5" i="69"/>
  <c r="AO7" i="69" s="1"/>
  <c r="AO6" i="69"/>
  <c r="AO9" i="69"/>
  <c r="AO660" i="71"/>
  <c r="AO12" i="71"/>
  <c r="AN33" i="71" s="1"/>
  <c r="AO5" i="71"/>
  <c r="AP4" i="71"/>
  <c r="AO6" i="71"/>
  <c r="AO22" i="71"/>
  <c r="AN7" i="71"/>
  <c r="AO8" i="71"/>
  <c r="AN21" i="71"/>
  <c r="AN20" i="71"/>
  <c r="AN195" i="71"/>
  <c r="S349" i="1"/>
  <c r="S350" i="1"/>
  <c r="S351" i="1"/>
  <c r="S353" i="1"/>
  <c r="S356" i="1"/>
  <c r="S345" i="1"/>
  <c r="S347" i="1"/>
  <c r="S348" i="1"/>
  <c r="S346" i="1"/>
  <c r="S352" i="1"/>
  <c r="S354" i="1"/>
  <c r="S355" i="1"/>
  <c r="N86" i="57"/>
  <c r="Z244" i="1"/>
  <c r="R356" i="1" s="1"/>
  <c r="Q7" i="23"/>
  <c r="AI6" i="75" a="1"/>
  <c r="D55" i="96" l="1"/>
  <c r="E55" i="96" s="1"/>
  <c r="E61" i="6"/>
  <c r="E62" i="6"/>
  <c r="D87" i="23"/>
  <c r="E64" i="3"/>
  <c r="F63" i="3"/>
  <c r="G63" i="3"/>
  <c r="H95" i="57"/>
  <c r="G95" i="57" s="1"/>
  <c r="E95" i="57" s="1"/>
  <c r="D262" i="45"/>
  <c r="AQ4" i="69"/>
  <c r="AP9" i="69"/>
  <c r="AP5" i="69"/>
  <c r="AP7" i="69" s="1"/>
  <c r="AP6" i="69"/>
  <c r="AP22" i="71"/>
  <c r="AQ4" i="71"/>
  <c r="AP6" i="71"/>
  <c r="AP5" i="71"/>
  <c r="AP660" i="71"/>
  <c r="AP12" i="71"/>
  <c r="AO33" i="71" s="1"/>
  <c r="AO20" i="71"/>
  <c r="AP8" i="71"/>
  <c r="AO7" i="71"/>
  <c r="AO21" i="71"/>
  <c r="AO195" i="71"/>
  <c r="H190" i="68" s="1"/>
  <c r="S357" i="1"/>
  <c r="S365" i="1"/>
  <c r="S359" i="1"/>
  <c r="S368" i="1"/>
  <c r="S360" i="1"/>
  <c r="S362" i="1"/>
  <c r="S358" i="1"/>
  <c r="S363" i="1"/>
  <c r="S364" i="1"/>
  <c r="S361" i="1"/>
  <c r="S366" i="1"/>
  <c r="S367" i="1"/>
  <c r="AA244" i="1"/>
  <c r="R368" i="1" s="1"/>
  <c r="R7" i="23"/>
  <c r="D58" i="96" l="1"/>
  <c r="E58" i="96" s="1"/>
  <c r="E64" i="6"/>
  <c r="E66" i="6" s="1"/>
  <c r="E65" i="3"/>
  <c r="G64" i="3"/>
  <c r="D88" i="23"/>
  <c r="F64" i="3"/>
  <c r="H97" i="57"/>
  <c r="D42" i="42"/>
  <c r="D42" i="64"/>
  <c r="D44" i="64"/>
  <c r="N32" i="73" s="1"/>
  <c r="D44" i="42"/>
  <c r="G97" i="57"/>
  <c r="E97" i="57" s="1"/>
  <c r="D263" i="45"/>
  <c r="AQ8" i="71"/>
  <c r="AP20" i="71"/>
  <c r="AP7" i="71"/>
  <c r="AP21" i="71"/>
  <c r="AP195" i="71"/>
  <c r="AQ5" i="69"/>
  <c r="AQ7" i="69" s="1"/>
  <c r="AQ9" i="69"/>
  <c r="AQ6" i="69"/>
  <c r="AR4" i="69"/>
  <c r="AQ660" i="71"/>
  <c r="AQ12" i="71"/>
  <c r="AP33" i="71" s="1"/>
  <c r="AQ6" i="71"/>
  <c r="AQ5" i="71"/>
  <c r="AQ22" i="71"/>
  <c r="AR4" i="71"/>
  <c r="S373" i="1"/>
  <c r="S377" i="1"/>
  <c r="S369" i="1"/>
  <c r="S378" i="1"/>
  <c r="S371" i="1"/>
  <c r="S380" i="1"/>
  <c r="S372" i="1"/>
  <c r="S374" i="1"/>
  <c r="S376" i="1"/>
  <c r="S379" i="1"/>
  <c r="S375" i="1"/>
  <c r="S370" i="1"/>
  <c r="G158" i="32"/>
  <c r="L158" i="32"/>
  <c r="H158" i="32"/>
  <c r="M158" i="32"/>
  <c r="I158" i="32"/>
  <c r="N158" i="32"/>
  <c r="J158" i="32"/>
  <c r="AB244" i="1"/>
  <c r="R380" i="1" s="1"/>
  <c r="K158" i="32"/>
  <c r="F158" i="32"/>
  <c r="E158" i="32"/>
  <c r="S7" i="23"/>
  <c r="M127" i="1" l="1"/>
  <c r="G65" i="3"/>
  <c r="F65" i="3"/>
  <c r="T172" i="3"/>
  <c r="K123" i="3"/>
  <c r="I184" i="1"/>
  <c r="I186" i="1" s="1"/>
  <c r="D45" i="64"/>
  <c r="N33" i="73" s="1"/>
  <c r="N31" i="73"/>
  <c r="D45" i="42"/>
  <c r="D264" i="45"/>
  <c r="AR660" i="71"/>
  <c r="AR5" i="71"/>
  <c r="AR22" i="71"/>
  <c r="AS4" i="71"/>
  <c r="AR6" i="71"/>
  <c r="AR12" i="71"/>
  <c r="AQ33" i="71" s="1"/>
  <c r="AQ7" i="71"/>
  <c r="AQ21" i="71"/>
  <c r="AQ20" i="71"/>
  <c r="AR8" i="71"/>
  <c r="AQ195" i="71"/>
  <c r="AS4" i="69"/>
  <c r="AR6" i="69"/>
  <c r="AR9" i="69"/>
  <c r="AR5" i="69"/>
  <c r="AR7" i="69" s="1"/>
  <c r="S381" i="1"/>
  <c r="S389" i="1"/>
  <c r="S386" i="1"/>
  <c r="S387" i="1"/>
  <c r="S390" i="1"/>
  <c r="S385" i="1"/>
  <c r="S388" i="1"/>
  <c r="S392" i="1"/>
  <c r="S382" i="1"/>
  <c r="S383" i="1"/>
  <c r="S384" i="1"/>
  <c r="S391" i="1"/>
  <c r="AC244" i="1"/>
  <c r="R392" i="1" s="1"/>
  <c r="T7" i="23"/>
  <c r="E17" i="3" l="1"/>
  <c r="D79" i="23"/>
  <c r="M123" i="3"/>
  <c r="L123" i="3"/>
  <c r="F186" i="1"/>
  <c r="C127" i="1"/>
  <c r="D69" i="96" s="1"/>
  <c r="E69" i="96" s="1"/>
  <c r="D265" i="45"/>
  <c r="AS660" i="71"/>
  <c r="AS22" i="71"/>
  <c r="AS6" i="71"/>
  <c r="AT4" i="71"/>
  <c r="AS5" i="71"/>
  <c r="AS12" i="71"/>
  <c r="AR33" i="71" s="1"/>
  <c r="AS8" i="71"/>
  <c r="AR20" i="71"/>
  <c r="AR7" i="71"/>
  <c r="AR21" i="71"/>
  <c r="AR195" i="71"/>
  <c r="AS5" i="69"/>
  <c r="AS7" i="69" s="1"/>
  <c r="AS6" i="69"/>
  <c r="AT4" i="69"/>
  <c r="AS9" i="69"/>
  <c r="S397" i="1"/>
  <c r="S395" i="1"/>
  <c r="S404" i="1"/>
  <c r="S396" i="1"/>
  <c r="S399" i="1"/>
  <c r="S401" i="1"/>
  <c r="S402" i="1"/>
  <c r="S393" i="1"/>
  <c r="S403" i="1"/>
  <c r="S394" i="1"/>
  <c r="S398" i="1"/>
  <c r="S400" i="1"/>
  <c r="AD244" i="1"/>
  <c r="R404" i="1" s="1"/>
  <c r="U7" i="23"/>
  <c r="G17" i="3" l="1"/>
  <c r="D37" i="23"/>
  <c r="K124" i="3"/>
  <c r="F17" i="3"/>
  <c r="M94" i="57"/>
  <c r="D127" i="1"/>
  <c r="D266" i="45"/>
  <c r="AT8" i="71"/>
  <c r="AS20" i="71"/>
  <c r="AS7" i="71"/>
  <c r="AS21" i="71"/>
  <c r="AS195" i="71"/>
  <c r="AT22" i="71"/>
  <c r="AT660" i="71"/>
  <c r="AT6" i="71"/>
  <c r="AU4" i="71"/>
  <c r="AT12" i="71"/>
  <c r="AS33" i="71" s="1"/>
  <c r="AT5" i="71"/>
  <c r="AU4" i="69"/>
  <c r="AT5" i="69"/>
  <c r="AT7" i="69" s="1"/>
  <c r="AT9" i="69"/>
  <c r="AT6" i="69"/>
  <c r="S405" i="1"/>
  <c r="S413" i="1"/>
  <c r="S414" i="1"/>
  <c r="S406" i="1"/>
  <c r="S415" i="1"/>
  <c r="S408" i="1"/>
  <c r="S416" i="1"/>
  <c r="S407" i="1"/>
  <c r="S409" i="1"/>
  <c r="S410" i="1"/>
  <c r="S411" i="1"/>
  <c r="S412" i="1"/>
  <c r="AE244" i="1"/>
  <c r="R416" i="1" s="1"/>
  <c r="V7" i="23"/>
  <c r="M124" i="3" l="1"/>
  <c r="L124" i="3"/>
  <c r="V124" i="3"/>
  <c r="N94" i="57"/>
  <c r="L127" i="1"/>
  <c r="D267" i="45"/>
  <c r="AV4" i="69"/>
  <c r="AU9" i="69"/>
  <c r="AU5" i="69"/>
  <c r="AU7" i="69" s="1"/>
  <c r="AU6" i="69"/>
  <c r="AT7" i="71"/>
  <c r="AT21" i="71"/>
  <c r="AU8" i="71"/>
  <c r="AT20" i="71"/>
  <c r="AT195" i="71"/>
  <c r="AU12" i="71"/>
  <c r="AT33" i="71" s="1"/>
  <c r="AU660" i="71"/>
  <c r="AU22" i="71"/>
  <c r="AU6" i="71"/>
  <c r="AV4" i="71"/>
  <c r="AU5" i="71"/>
  <c r="S421" i="1"/>
  <c r="S423" i="1"/>
  <c r="S424" i="1"/>
  <c r="S417" i="1"/>
  <c r="S426" i="1"/>
  <c r="S418" i="1"/>
  <c r="S420" i="1"/>
  <c r="S422" i="1"/>
  <c r="S419" i="1"/>
  <c r="S425" i="1"/>
  <c r="S427" i="1"/>
  <c r="S428" i="1"/>
  <c r="AF244" i="1"/>
  <c r="R428" i="1" s="1"/>
  <c r="W7" i="23"/>
  <c r="D268" i="45" l="1"/>
  <c r="AU20" i="71"/>
  <c r="AV8" i="71"/>
  <c r="AU7" i="71"/>
  <c r="AU21" i="71"/>
  <c r="AU195" i="71"/>
  <c r="AV5" i="69"/>
  <c r="AV7" i="69" s="1"/>
  <c r="AW4" i="69"/>
  <c r="AV6" i="69"/>
  <c r="AV9" i="69"/>
  <c r="AV660" i="71"/>
  <c r="AV5" i="71"/>
  <c r="AV22" i="71"/>
  <c r="AV6" i="71"/>
  <c r="AW4" i="71"/>
  <c r="AV12" i="71"/>
  <c r="AU33" i="71" s="1"/>
  <c r="S429" i="1"/>
  <c r="S437" i="1"/>
  <c r="S432" i="1"/>
  <c r="S433" i="1"/>
  <c r="S435" i="1"/>
  <c r="S430" i="1"/>
  <c r="S431" i="1"/>
  <c r="S436" i="1"/>
  <c r="S438" i="1"/>
  <c r="S434" i="1"/>
  <c r="S439" i="1"/>
  <c r="S440" i="1"/>
  <c r="AG244" i="1"/>
  <c r="R440" i="1" s="1"/>
  <c r="X7" i="23"/>
  <c r="D269" i="45" l="1"/>
  <c r="AW660" i="71"/>
  <c r="AW22" i="71"/>
  <c r="AX4" i="71"/>
  <c r="AW12" i="71"/>
  <c r="AV33" i="71" s="1"/>
  <c r="AW5" i="71"/>
  <c r="AW6" i="71"/>
  <c r="AV20" i="71"/>
  <c r="AV7" i="71"/>
  <c r="AV21" i="71"/>
  <c r="AW8" i="71"/>
  <c r="AV195" i="71"/>
  <c r="AW6" i="69"/>
  <c r="AW9" i="69"/>
  <c r="AW5" i="69"/>
  <c r="AW7" i="69" s="1"/>
  <c r="S445" i="1"/>
  <c r="S441" i="1"/>
  <c r="S450" i="1"/>
  <c r="S442" i="1"/>
  <c r="S451" i="1"/>
  <c r="S444" i="1"/>
  <c r="S446" i="1"/>
  <c r="S447" i="1"/>
  <c r="S449" i="1"/>
  <c r="S452" i="1"/>
  <c r="S443" i="1"/>
  <c r="S448" i="1"/>
  <c r="AH244" i="1"/>
  <c r="R452" i="1" s="1"/>
  <c r="Y7" i="23"/>
  <c r="D270" i="45" l="1"/>
  <c r="AW20" i="71"/>
  <c r="AW7" i="71"/>
  <c r="AW21" i="71"/>
  <c r="AX8" i="71"/>
  <c r="AW195" i="71"/>
  <c r="AX22" i="71"/>
  <c r="AY4" i="71"/>
  <c r="AX6" i="71"/>
  <c r="AX660" i="71"/>
  <c r="AX12" i="71"/>
  <c r="AW33" i="71" s="1"/>
  <c r="AX5" i="71"/>
  <c r="S453" i="1"/>
  <c r="S461" i="1"/>
  <c r="S459" i="1"/>
  <c r="S454" i="1"/>
  <c r="S463" i="1"/>
  <c r="S458" i="1"/>
  <c r="S460" i="1"/>
  <c r="S464" i="1"/>
  <c r="S462" i="1"/>
  <c r="S455" i="1"/>
  <c r="S456" i="1"/>
  <c r="S457" i="1"/>
  <c r="AI244" i="1"/>
  <c r="R464" i="1" s="1"/>
  <c r="Z7" i="23"/>
  <c r="D271" i="45" l="1"/>
  <c r="AY8" i="71"/>
  <c r="AX20" i="71"/>
  <c r="AX21" i="71"/>
  <c r="AX7" i="71"/>
  <c r="AX195" i="71"/>
  <c r="AY660" i="71"/>
  <c r="AY12" i="71"/>
  <c r="AX33" i="71" s="1"/>
  <c r="AY5" i="71"/>
  <c r="AY6" i="71"/>
  <c r="AY22" i="71"/>
  <c r="AZ4" i="71"/>
  <c r="S469" i="1"/>
  <c r="S468" i="1"/>
  <c r="S472" i="1"/>
  <c r="S471" i="1"/>
  <c r="S473" i="1"/>
  <c r="S475" i="1"/>
  <c r="S465" i="1"/>
  <c r="S476" i="1"/>
  <c r="S466" i="1"/>
  <c r="S467" i="1"/>
  <c r="S470" i="1"/>
  <c r="S474" i="1"/>
  <c r="AJ244" i="1"/>
  <c r="R476" i="1" s="1"/>
  <c r="AA7" i="23"/>
  <c r="D272" i="45" l="1"/>
  <c r="AZ660" i="71"/>
  <c r="AZ5" i="71"/>
  <c r="AZ6" i="71"/>
  <c r="BA4" i="71"/>
  <c r="AZ22" i="71"/>
  <c r="AZ12" i="71"/>
  <c r="AY33" i="71" s="1"/>
  <c r="AZ8" i="71"/>
  <c r="AY20" i="71"/>
  <c r="AY7" i="71"/>
  <c r="AY21" i="71"/>
  <c r="AY195" i="71"/>
  <c r="S477" i="1"/>
  <c r="S485" i="1"/>
  <c r="S478" i="1"/>
  <c r="S487" i="1"/>
  <c r="S481" i="1"/>
  <c r="S483" i="1"/>
  <c r="S484" i="1"/>
  <c r="S488" i="1"/>
  <c r="S486" i="1"/>
  <c r="S479" i="1"/>
  <c r="S480" i="1"/>
  <c r="S482" i="1"/>
  <c r="AK244" i="1"/>
  <c r="R488" i="1" s="1"/>
  <c r="AB7" i="23"/>
  <c r="D273" i="45" l="1"/>
  <c r="BA6" i="71"/>
  <c r="BA660" i="71"/>
  <c r="BA5" i="71"/>
  <c r="BA22" i="71"/>
  <c r="BB4" i="71"/>
  <c r="BA12" i="71"/>
  <c r="AZ33" i="71" s="1"/>
  <c r="BA8" i="71"/>
  <c r="AZ21" i="71"/>
  <c r="AZ20" i="71"/>
  <c r="AZ7" i="71"/>
  <c r="AZ195" i="71"/>
  <c r="S493" i="1"/>
  <c r="S496" i="1"/>
  <c r="S490" i="1"/>
  <c r="S499" i="1"/>
  <c r="S495" i="1"/>
  <c r="S497" i="1"/>
  <c r="S500" i="1"/>
  <c r="S489" i="1"/>
  <c r="S491" i="1"/>
  <c r="S492" i="1"/>
  <c r="S494" i="1"/>
  <c r="S498" i="1"/>
  <c r="AL244" i="1"/>
  <c r="R500" i="1" s="1"/>
  <c r="AC7" i="23"/>
  <c r="D274" i="45" l="1"/>
  <c r="BB8" i="71"/>
  <c r="BA20" i="71"/>
  <c r="BA7" i="71"/>
  <c r="BA21" i="71"/>
  <c r="BA195" i="71"/>
  <c r="I190" i="68" s="1"/>
  <c r="BB660" i="71"/>
  <c r="BB22" i="71"/>
  <c r="BB5" i="71"/>
  <c r="BB6" i="71"/>
  <c r="BB12" i="71"/>
  <c r="BA33" i="71" s="1"/>
  <c r="BC4" i="71"/>
  <c r="S501" i="1"/>
  <c r="S509" i="1"/>
  <c r="S505" i="1"/>
  <c r="S508" i="1"/>
  <c r="S507" i="1"/>
  <c r="S510" i="1"/>
  <c r="S512" i="1"/>
  <c r="S502" i="1"/>
  <c r="S511" i="1"/>
  <c r="S503" i="1"/>
  <c r="S504" i="1"/>
  <c r="S506" i="1"/>
  <c r="AM244" i="1"/>
  <c r="R512" i="1" s="1"/>
  <c r="AD7" i="23"/>
  <c r="D275" i="45" l="1"/>
  <c r="BB20" i="71"/>
  <c r="BB7" i="71"/>
  <c r="BC8" i="71"/>
  <c r="BB21" i="71"/>
  <c r="BB195" i="71"/>
  <c r="BC660" i="71"/>
  <c r="BC22" i="71"/>
  <c r="BC6" i="71"/>
  <c r="BC12" i="71"/>
  <c r="BB33" i="71" s="1"/>
  <c r="BC5" i="71"/>
  <c r="BD4" i="71"/>
  <c r="S517" i="1"/>
  <c r="S514" i="1"/>
  <c r="S523" i="1"/>
  <c r="S518" i="1"/>
  <c r="S520" i="1"/>
  <c r="S521" i="1"/>
  <c r="S524" i="1"/>
  <c r="S513" i="1"/>
  <c r="S515" i="1"/>
  <c r="S516" i="1"/>
  <c r="S519" i="1"/>
  <c r="S522" i="1"/>
  <c r="AN244" i="1"/>
  <c r="R524" i="1" s="1"/>
  <c r="AE7" i="23"/>
  <c r="D276" i="45" l="1"/>
  <c r="BC20" i="71"/>
  <c r="BC7" i="71"/>
  <c r="BD8" i="71"/>
  <c r="BC21" i="71"/>
  <c r="BC195" i="71"/>
  <c r="BD12" i="71"/>
  <c r="BC33" i="71" s="1"/>
  <c r="BD5" i="71"/>
  <c r="BE4" i="71"/>
  <c r="BD22" i="71"/>
  <c r="BD660" i="71"/>
  <c r="BD6" i="71"/>
  <c r="S525" i="1"/>
  <c r="S533" i="1"/>
  <c r="S532" i="1"/>
  <c r="S527" i="1"/>
  <c r="S536" i="1"/>
  <c r="S531" i="1"/>
  <c r="S534" i="1"/>
  <c r="S526" i="1"/>
  <c r="S535" i="1"/>
  <c r="S528" i="1"/>
  <c r="S529" i="1"/>
  <c r="S530" i="1"/>
  <c r="AO244" i="1"/>
  <c r="R536" i="1" s="1"/>
  <c r="AF7" i="23"/>
  <c r="D277" i="45" l="1"/>
  <c r="BF4" i="71"/>
  <c r="BE22" i="71"/>
  <c r="BE12" i="71"/>
  <c r="BD33" i="71" s="1"/>
  <c r="BE5" i="71"/>
  <c r="BE660" i="71"/>
  <c r="BE6" i="71"/>
  <c r="BE8" i="71"/>
  <c r="BD7" i="71"/>
  <c r="BD21" i="71"/>
  <c r="BD20" i="71"/>
  <c r="BD195" i="71"/>
  <c r="S541" i="1"/>
  <c r="S542" i="1"/>
  <c r="S545" i="1"/>
  <c r="S544" i="1"/>
  <c r="S546" i="1"/>
  <c r="S537" i="1"/>
  <c r="S548" i="1"/>
  <c r="S538" i="1"/>
  <c r="S539" i="1"/>
  <c r="S540" i="1"/>
  <c r="S543" i="1"/>
  <c r="S547" i="1"/>
  <c r="AP244" i="1"/>
  <c r="R548" i="1" s="1"/>
  <c r="AG7" i="23"/>
  <c r="D278" i="45" l="1"/>
  <c r="BE7" i="71"/>
  <c r="BE21" i="71"/>
  <c r="BF8" i="71"/>
  <c r="BE20" i="71"/>
  <c r="BE195" i="71"/>
  <c r="BG4" i="71"/>
  <c r="BF5" i="71"/>
  <c r="BF6" i="71"/>
  <c r="BF660" i="71"/>
  <c r="BF12" i="71"/>
  <c r="BE33" i="71" s="1"/>
  <c r="BF22" i="71"/>
  <c r="S549" i="1"/>
  <c r="S557" i="1"/>
  <c r="S551" i="1"/>
  <c r="S560" i="1"/>
  <c r="S554" i="1"/>
  <c r="S556" i="1"/>
  <c r="S558" i="1"/>
  <c r="S553" i="1"/>
  <c r="S555" i="1"/>
  <c r="S559" i="1"/>
  <c r="S550" i="1"/>
  <c r="S552" i="1"/>
  <c r="AQ244" i="1"/>
  <c r="R560" i="1" s="1"/>
  <c r="AH7" i="23"/>
  <c r="D279" i="45" l="1"/>
  <c r="BF21" i="71"/>
  <c r="BG8" i="71"/>
  <c r="BF20" i="71"/>
  <c r="BF7" i="71"/>
  <c r="BF195" i="71"/>
  <c r="BH4" i="71"/>
  <c r="BG22" i="71"/>
  <c r="BG660" i="71"/>
  <c r="BG12" i="71"/>
  <c r="BF33" i="71" s="1"/>
  <c r="BG5" i="71"/>
  <c r="BG6" i="71"/>
  <c r="S565" i="1"/>
  <c r="S569" i="1"/>
  <c r="S563" i="1"/>
  <c r="S572" i="1"/>
  <c r="S568" i="1"/>
  <c r="S570" i="1"/>
  <c r="S561" i="1"/>
  <c r="S562" i="1"/>
  <c r="S564" i="1"/>
  <c r="S566" i="1"/>
  <c r="S567" i="1"/>
  <c r="S571" i="1"/>
  <c r="AR244" i="1"/>
  <c r="R572" i="1" s="1"/>
  <c r="AI7" i="23"/>
  <c r="D280" i="45" l="1"/>
  <c r="BH660" i="71"/>
  <c r="BH5" i="71"/>
  <c r="BH22" i="71"/>
  <c r="BH12" i="71"/>
  <c r="BG33" i="71" s="1"/>
  <c r="BH6" i="71"/>
  <c r="BI4" i="71"/>
  <c r="BH8" i="71"/>
  <c r="BG20" i="71"/>
  <c r="BG21" i="71"/>
  <c r="BG7" i="71"/>
  <c r="BG195" i="71"/>
  <c r="S573" i="1"/>
  <c r="S581" i="1"/>
  <c r="S578" i="1"/>
  <c r="S582" i="1"/>
  <c r="S580" i="1"/>
  <c r="S583" i="1"/>
  <c r="S574" i="1"/>
  <c r="S575" i="1"/>
  <c r="S576" i="1"/>
  <c r="S577" i="1"/>
  <c r="S579" i="1"/>
  <c r="S584" i="1"/>
  <c r="AS244" i="1"/>
  <c r="R584" i="1" s="1"/>
  <c r="AJ7" i="23"/>
  <c r="D281" i="45" l="1"/>
  <c r="BI660" i="71"/>
  <c r="BI6" i="71"/>
  <c r="BI12" i="71"/>
  <c r="BH33" i="71" s="1"/>
  <c r="BI5" i="71"/>
  <c r="BI22" i="71"/>
  <c r="BJ4" i="71"/>
  <c r="BH20" i="71"/>
  <c r="BH21" i="71"/>
  <c r="BI8" i="71"/>
  <c r="BH7" i="71"/>
  <c r="BH195" i="71"/>
  <c r="S589" i="1"/>
  <c r="S587" i="1"/>
  <c r="S596" i="1"/>
  <c r="S591" i="1"/>
  <c r="S593" i="1"/>
  <c r="S594" i="1"/>
  <c r="S585" i="1"/>
  <c r="S592" i="1"/>
  <c r="S595" i="1"/>
  <c r="S586" i="1"/>
  <c r="S588" i="1"/>
  <c r="S590" i="1"/>
  <c r="AT244" i="1"/>
  <c r="R596" i="1" s="1"/>
  <c r="AK7" i="23"/>
  <c r="D282" i="45" l="1"/>
  <c r="BK4" i="71"/>
  <c r="BJ22" i="71"/>
  <c r="BJ6" i="71"/>
  <c r="BJ12" i="71"/>
  <c r="BI33" i="71" s="1"/>
  <c r="BJ5" i="71"/>
  <c r="BJ660" i="71"/>
  <c r="BI21" i="71"/>
  <c r="BJ8" i="71"/>
  <c r="BI7" i="71"/>
  <c r="BI20" i="71"/>
  <c r="BI195" i="71"/>
  <c r="S597" i="1"/>
  <c r="S605" i="1"/>
  <c r="S600" i="1"/>
  <c r="S604" i="1"/>
  <c r="S606" i="1"/>
  <c r="S598" i="1"/>
  <c r="S608" i="1"/>
  <c r="S599" i="1"/>
  <c r="S601" i="1"/>
  <c r="S602" i="1"/>
  <c r="S603" i="1"/>
  <c r="S607" i="1"/>
  <c r="AU244" i="1"/>
  <c r="R608" i="1" s="1"/>
  <c r="AL7" i="23"/>
  <c r="D283" i="45" l="1"/>
  <c r="BK8" i="71"/>
  <c r="BJ20" i="71"/>
  <c r="BJ7" i="71"/>
  <c r="BJ21" i="71"/>
  <c r="BJ195" i="71"/>
  <c r="BK12" i="71"/>
  <c r="BJ33" i="71" s="1"/>
  <c r="BK5" i="71"/>
  <c r="BK22" i="71"/>
  <c r="BL4" i="71"/>
  <c r="BK660" i="71"/>
  <c r="BK6" i="71"/>
  <c r="S613" i="1"/>
  <c r="S609" i="1"/>
  <c r="S618" i="1"/>
  <c r="S615" i="1"/>
  <c r="S616" i="1"/>
  <c r="S619" i="1"/>
  <c r="S611" i="1"/>
  <c r="S612" i="1"/>
  <c r="S614" i="1"/>
  <c r="S617" i="1"/>
  <c r="S620" i="1"/>
  <c r="S610" i="1"/>
  <c r="AV244" i="1"/>
  <c r="R620" i="1" s="1"/>
  <c r="AM7" i="23"/>
  <c r="D284" i="45" l="1"/>
  <c r="BL8" i="71"/>
  <c r="BK21" i="71"/>
  <c r="BK20" i="71"/>
  <c r="BK7" i="71"/>
  <c r="BK195" i="71"/>
  <c r="BL660" i="71"/>
  <c r="BL6" i="71"/>
  <c r="BM4" i="71"/>
  <c r="BL12" i="71"/>
  <c r="BK33" i="71" s="1"/>
  <c r="BL5" i="71"/>
  <c r="BL22" i="71"/>
  <c r="S621" i="1"/>
  <c r="S629" i="1"/>
  <c r="S627" i="1"/>
  <c r="S625" i="1"/>
  <c r="S626" i="1"/>
  <c r="S630" i="1"/>
  <c r="S628" i="1"/>
  <c r="S631" i="1"/>
  <c r="S632" i="1"/>
  <c r="S622" i="1"/>
  <c r="S623" i="1"/>
  <c r="S624" i="1"/>
  <c r="AW244" i="1"/>
  <c r="R632" i="1" s="1"/>
  <c r="AN7" i="23"/>
  <c r="D285" i="45" l="1"/>
  <c r="BM6" i="71"/>
  <c r="BM12" i="71"/>
  <c r="BL33" i="71" s="1"/>
  <c r="BM5" i="71"/>
  <c r="BM22" i="71"/>
  <c r="BM660" i="71"/>
  <c r="BN4" i="71"/>
  <c r="BL7" i="71"/>
  <c r="BL21" i="71"/>
  <c r="BM8" i="71"/>
  <c r="BL20" i="71"/>
  <c r="BL195" i="71"/>
  <c r="S637" i="1"/>
  <c r="S636" i="1"/>
  <c r="S635" i="1"/>
  <c r="S638" i="1"/>
  <c r="S640" i="1"/>
  <c r="S643" i="1"/>
  <c r="S644" i="1"/>
  <c r="S633" i="1"/>
  <c r="S634" i="1"/>
  <c r="S639" i="1"/>
  <c r="S641" i="1"/>
  <c r="S642" i="1"/>
  <c r="AX244" i="1"/>
  <c r="R644" i="1" s="1"/>
  <c r="AO7" i="23"/>
  <c r="D286" i="45" l="1"/>
  <c r="BN22" i="71"/>
  <c r="BN5" i="71"/>
  <c r="BO4" i="71"/>
  <c r="BN6" i="71"/>
  <c r="BN660" i="71"/>
  <c r="BN12" i="71"/>
  <c r="BM33" i="71" s="1"/>
  <c r="BM20" i="71"/>
  <c r="BM7" i="71"/>
  <c r="BM21" i="71"/>
  <c r="BN8" i="71"/>
  <c r="BM195" i="71"/>
  <c r="J190" i="68" s="1"/>
  <c r="S645" i="1"/>
  <c r="S653" i="1"/>
  <c r="S646" i="1"/>
  <c r="S655" i="1"/>
  <c r="S647" i="1"/>
  <c r="S648" i="1"/>
  <c r="S650" i="1"/>
  <c r="S649" i="1"/>
  <c r="S651" i="1"/>
  <c r="S652" i="1"/>
  <c r="S654" i="1"/>
  <c r="S656" i="1"/>
  <c r="AY244" i="1"/>
  <c r="R656" i="1" s="1"/>
  <c r="AP7" i="23"/>
  <c r="D287" i="45" l="1"/>
  <c r="BO660" i="71"/>
  <c r="BO12" i="71"/>
  <c r="BN33" i="71" s="1"/>
  <c r="BO5" i="71"/>
  <c r="BO22" i="71"/>
  <c r="BO6" i="71"/>
  <c r="BP4" i="71"/>
  <c r="BN20" i="71"/>
  <c r="BN7" i="71"/>
  <c r="BN21" i="71"/>
  <c r="BO8" i="71"/>
  <c r="BN195" i="71"/>
  <c r="S661" i="1"/>
  <c r="S664" i="1"/>
  <c r="S657" i="1"/>
  <c r="S667" i="1"/>
  <c r="S658" i="1"/>
  <c r="S668" i="1"/>
  <c r="S660" i="1"/>
  <c r="S662" i="1"/>
  <c r="S663" i="1"/>
  <c r="S665" i="1"/>
  <c r="S666" i="1"/>
  <c r="S659" i="1"/>
  <c r="AZ244" i="1"/>
  <c r="R668" i="1" s="1"/>
  <c r="AQ7" i="23"/>
  <c r="D288" i="45" l="1"/>
  <c r="BQ4" i="71"/>
  <c r="BP22" i="71"/>
  <c r="BP6" i="71"/>
  <c r="BP12" i="71"/>
  <c r="BO33" i="71" s="1"/>
  <c r="BP660" i="71"/>
  <c r="BP5" i="71"/>
  <c r="BO21" i="71"/>
  <c r="BP8" i="71"/>
  <c r="BO20" i="71"/>
  <c r="BO7" i="71"/>
  <c r="BO195" i="71"/>
  <c r="S669" i="1"/>
  <c r="S677" i="1"/>
  <c r="S673" i="1"/>
  <c r="S678" i="1"/>
  <c r="S679" i="1"/>
  <c r="S671" i="1"/>
  <c r="S676" i="1"/>
  <c r="S680" i="1"/>
  <c r="S670" i="1"/>
  <c r="S672" i="1"/>
  <c r="S674" i="1"/>
  <c r="S675" i="1"/>
  <c r="BA244" i="1"/>
  <c r="R680" i="1" s="1"/>
  <c r="AR7" i="23"/>
  <c r="D289" i="45" l="1"/>
  <c r="BQ8" i="71"/>
  <c r="BP20" i="71"/>
  <c r="BP21" i="71"/>
  <c r="BP7" i="71"/>
  <c r="BP195" i="71"/>
  <c r="BR4" i="71"/>
  <c r="BQ12" i="71"/>
  <c r="BP33" i="71" s="1"/>
  <c r="BQ5" i="71"/>
  <c r="BQ22" i="71"/>
  <c r="BQ6" i="71"/>
  <c r="BQ660" i="71"/>
  <c r="S685" i="1"/>
  <c r="S682" i="1"/>
  <c r="S691" i="1"/>
  <c r="S688" i="1"/>
  <c r="S689" i="1"/>
  <c r="S681" i="1"/>
  <c r="S692" i="1"/>
  <c r="S683" i="1"/>
  <c r="S684" i="1"/>
  <c r="S686" i="1"/>
  <c r="S687" i="1"/>
  <c r="S690" i="1"/>
  <c r="BB244" i="1"/>
  <c r="R692" i="1" s="1"/>
  <c r="AS7" i="23"/>
  <c r="D290" i="45" l="1"/>
  <c r="BS4" i="71"/>
  <c r="BR660" i="71"/>
  <c r="BR12" i="71"/>
  <c r="BQ33" i="71" s="1"/>
  <c r="BR5" i="71"/>
  <c r="BR22" i="71"/>
  <c r="BR6" i="71"/>
  <c r="BR8" i="71"/>
  <c r="BQ20" i="71"/>
  <c r="BQ21" i="71"/>
  <c r="BQ7" i="71"/>
  <c r="BQ195" i="71"/>
  <c r="S693" i="1"/>
  <c r="S701" i="1"/>
  <c r="S700" i="1"/>
  <c r="S698" i="1"/>
  <c r="S699" i="1"/>
  <c r="S703" i="1"/>
  <c r="S695" i="1"/>
  <c r="S696" i="1"/>
  <c r="S697" i="1"/>
  <c r="S702" i="1"/>
  <c r="S704" i="1"/>
  <c r="S694" i="1"/>
  <c r="BC244" i="1"/>
  <c r="R704" i="1" s="1"/>
  <c r="AT7" i="23"/>
  <c r="D291" i="45" l="1"/>
  <c r="BR20" i="71"/>
  <c r="BR7" i="71"/>
  <c r="BR21" i="71"/>
  <c r="BS8" i="71"/>
  <c r="BR195" i="71"/>
  <c r="BS660" i="71"/>
  <c r="BS6" i="71"/>
  <c r="BS12" i="71"/>
  <c r="BR33" i="71" s="1"/>
  <c r="BS5" i="71"/>
  <c r="BS22" i="71"/>
  <c r="BT4" i="71"/>
  <c r="S709" i="1"/>
  <c r="S710" i="1"/>
  <c r="S708" i="1"/>
  <c r="S711" i="1"/>
  <c r="S713" i="1"/>
  <c r="S712" i="1"/>
  <c r="S714" i="1"/>
  <c r="S715" i="1"/>
  <c r="S716" i="1"/>
  <c r="S705" i="1"/>
  <c r="S706" i="1"/>
  <c r="S707" i="1"/>
  <c r="BD244" i="1"/>
  <c r="R716" i="1" s="1"/>
  <c r="AU7" i="23"/>
  <c r="D292" i="45" l="1"/>
  <c r="BT660" i="71"/>
  <c r="BT6" i="71"/>
  <c r="BU4" i="71"/>
  <c r="BT5" i="71"/>
  <c r="BT12" i="71"/>
  <c r="BS33" i="71" s="1"/>
  <c r="BT22" i="71"/>
  <c r="BT8" i="71"/>
  <c r="BS20" i="71"/>
  <c r="BS21" i="71"/>
  <c r="BS7" i="71"/>
  <c r="BS195" i="71"/>
  <c r="S717" i="1"/>
  <c r="S725" i="1"/>
  <c r="S719" i="1"/>
  <c r="S728" i="1"/>
  <c r="S720" i="1"/>
  <c r="S721" i="1"/>
  <c r="S723" i="1"/>
  <c r="S727" i="1"/>
  <c r="S718" i="1"/>
  <c r="S722" i="1"/>
  <c r="S724" i="1"/>
  <c r="S726" i="1"/>
  <c r="BE244" i="1"/>
  <c r="R728" i="1" s="1"/>
  <c r="AV7" i="23"/>
  <c r="D293" i="45" l="1"/>
  <c r="BT7" i="71"/>
  <c r="BT21" i="71"/>
  <c r="BU8" i="71"/>
  <c r="BT20" i="71"/>
  <c r="BT195" i="71"/>
  <c r="BV4" i="71"/>
  <c r="BU6" i="71"/>
  <c r="BU660" i="71"/>
  <c r="BU12" i="71"/>
  <c r="BT33" i="71" s="1"/>
  <c r="BU5" i="71"/>
  <c r="BU22" i="71"/>
  <c r="S733" i="1"/>
  <c r="S737" i="1"/>
  <c r="S730" i="1"/>
  <c r="S740" i="1"/>
  <c r="S731" i="1"/>
  <c r="S734" i="1"/>
  <c r="S729" i="1"/>
  <c r="S732" i="1"/>
  <c r="S735" i="1"/>
  <c r="S736" i="1"/>
  <c r="S738" i="1"/>
  <c r="S739" i="1"/>
  <c r="BF244" i="1"/>
  <c r="R740" i="1" s="1"/>
  <c r="AW7" i="23"/>
  <c r="D294" i="45" l="1"/>
  <c r="BV22" i="71"/>
  <c r="BW4" i="71"/>
  <c r="BV12" i="71"/>
  <c r="BU33" i="71" s="1"/>
  <c r="BV6" i="71"/>
  <c r="BV660" i="71"/>
  <c r="BV5" i="71"/>
  <c r="BU20" i="71"/>
  <c r="BV8" i="71"/>
  <c r="BU7" i="71"/>
  <c r="BU21" i="71"/>
  <c r="BU195" i="71"/>
  <c r="S741" i="1"/>
  <c r="S749" i="1"/>
  <c r="S746" i="1"/>
  <c r="S751" i="1"/>
  <c r="S742" i="1"/>
  <c r="S752" i="1"/>
  <c r="S744" i="1"/>
  <c r="S745" i="1"/>
  <c r="S747" i="1"/>
  <c r="S748" i="1"/>
  <c r="S750" i="1"/>
  <c r="S743" i="1"/>
  <c r="BG244" i="1"/>
  <c r="R752" i="1" s="1"/>
  <c r="AX7" i="23"/>
  <c r="D295" i="45" l="1"/>
  <c r="BW8" i="71"/>
  <c r="BV20" i="71"/>
  <c r="BV7" i="71"/>
  <c r="BV21" i="71"/>
  <c r="BV195" i="71"/>
  <c r="BW660" i="71"/>
  <c r="BW5" i="71"/>
  <c r="BW22" i="71"/>
  <c r="BX4" i="71"/>
  <c r="BW12" i="71"/>
  <c r="BV33" i="71" s="1"/>
  <c r="BW6" i="71"/>
  <c r="S755" i="1"/>
  <c r="S763" i="1"/>
  <c r="S760" i="1"/>
  <c r="S761" i="1"/>
  <c r="S754" i="1"/>
  <c r="S764" i="1"/>
  <c r="S759" i="1"/>
  <c r="S762" i="1"/>
  <c r="S753" i="1"/>
  <c r="S756" i="1"/>
  <c r="S757" i="1"/>
  <c r="S758" i="1"/>
  <c r="BH244" i="1"/>
  <c r="R764" i="1" s="1"/>
  <c r="AY7" i="23"/>
  <c r="D296" i="45" l="1"/>
  <c r="BW7" i="71"/>
  <c r="BW21" i="71"/>
  <c r="BX8" i="71"/>
  <c r="BW20" i="71"/>
  <c r="BW195" i="71"/>
  <c r="BX6" i="71"/>
  <c r="BY4" i="71"/>
  <c r="BX12" i="71"/>
  <c r="BW33" i="71" s="1"/>
  <c r="BX22" i="71"/>
  <c r="BX660" i="71"/>
  <c r="BX5" i="71"/>
  <c r="S771" i="1"/>
  <c r="S769" i="1"/>
  <c r="S770" i="1"/>
  <c r="S773" i="1"/>
  <c r="S775" i="1"/>
  <c r="S776" i="1"/>
  <c r="S765" i="1"/>
  <c r="S766" i="1"/>
  <c r="S767" i="1"/>
  <c r="S768" i="1"/>
  <c r="S772" i="1"/>
  <c r="S774" i="1"/>
  <c r="BI244" i="1"/>
  <c r="R776" i="1" s="1"/>
  <c r="AZ7" i="23"/>
  <c r="D297" i="45" l="1"/>
  <c r="BY5" i="71"/>
  <c r="BY22" i="71"/>
  <c r="BZ4" i="71"/>
  <c r="BY660" i="71"/>
  <c r="BY6" i="71"/>
  <c r="BY12" i="71"/>
  <c r="BX33" i="71" s="1"/>
  <c r="BY8" i="71"/>
  <c r="BX20" i="71"/>
  <c r="BX7" i="71"/>
  <c r="BX21" i="71"/>
  <c r="BX195" i="71"/>
  <c r="S779" i="1"/>
  <c r="S787" i="1"/>
  <c r="S778" i="1"/>
  <c r="S788" i="1"/>
  <c r="S780" i="1"/>
  <c r="S782" i="1"/>
  <c r="S777" i="1"/>
  <c r="S781" i="1"/>
  <c r="S783" i="1"/>
  <c r="S784" i="1"/>
  <c r="S785" i="1"/>
  <c r="S786" i="1"/>
  <c r="BJ244" i="1"/>
  <c r="R788" i="1" s="1"/>
  <c r="BA7" i="23"/>
  <c r="D298" i="45" l="1"/>
  <c r="BZ660" i="71"/>
  <c r="CA4" i="71"/>
  <c r="BZ22" i="71"/>
  <c r="BZ6" i="71"/>
  <c r="BZ12" i="71"/>
  <c r="BY33" i="71" s="1"/>
  <c r="BZ5" i="71"/>
  <c r="BY20" i="71"/>
  <c r="BY7" i="71"/>
  <c r="BY21" i="71"/>
  <c r="BZ8" i="71"/>
  <c r="BY195" i="71"/>
  <c r="K190" i="68" s="1"/>
  <c r="S795" i="1"/>
  <c r="S797" i="1"/>
  <c r="S789" i="1"/>
  <c r="S798" i="1"/>
  <c r="S791" i="1"/>
  <c r="S800" i="1"/>
  <c r="S790" i="1"/>
  <c r="S792" i="1"/>
  <c r="S793" i="1"/>
  <c r="S794" i="1"/>
  <c r="S796" i="1"/>
  <c r="S799" i="1"/>
  <c r="BK244" i="1"/>
  <c r="R800" i="1" s="1"/>
  <c r="BB7" i="23"/>
  <c r="D299" i="45" l="1"/>
  <c r="CA8" i="71"/>
  <c r="BZ20" i="71"/>
  <c r="BZ7" i="71"/>
  <c r="BZ21" i="71"/>
  <c r="BZ195" i="71"/>
  <c r="CB4" i="71"/>
  <c r="CA5" i="71"/>
  <c r="CA22" i="71"/>
  <c r="CA12" i="71"/>
  <c r="BZ33" i="71" s="1"/>
  <c r="CA660" i="71"/>
  <c r="CA6" i="71"/>
  <c r="S803" i="1"/>
  <c r="S811" i="1"/>
  <c r="S806" i="1"/>
  <c r="S807" i="1"/>
  <c r="S809" i="1"/>
  <c r="S804" i="1"/>
  <c r="S801" i="1"/>
  <c r="S805" i="1"/>
  <c r="S808" i="1"/>
  <c r="S810" i="1"/>
  <c r="S812" i="1"/>
  <c r="S802" i="1"/>
  <c r="BL244" i="1"/>
  <c r="R812" i="1" s="1"/>
  <c r="BC7" i="23"/>
  <c r="D300" i="45" l="1"/>
  <c r="CA20" i="71"/>
  <c r="CB8" i="71"/>
  <c r="CA21" i="71"/>
  <c r="CA7" i="71"/>
  <c r="CA195" i="71"/>
  <c r="CB5" i="71"/>
  <c r="CB22" i="71"/>
  <c r="CB6" i="71"/>
  <c r="CC4" i="71"/>
  <c r="CB660" i="71"/>
  <c r="CB12" i="71"/>
  <c r="CA33" i="71" s="1"/>
  <c r="S819" i="1"/>
  <c r="S815" i="1"/>
  <c r="S824" i="1"/>
  <c r="S816" i="1"/>
  <c r="S818" i="1"/>
  <c r="S820" i="1"/>
  <c r="S821" i="1"/>
  <c r="S822" i="1"/>
  <c r="S823" i="1"/>
  <c r="S813" i="1"/>
  <c r="S814" i="1"/>
  <c r="S817" i="1"/>
  <c r="BM244" i="1"/>
  <c r="R824" i="1" s="1"/>
  <c r="BD7" i="23"/>
  <c r="D301" i="45" l="1"/>
  <c r="CB7" i="71"/>
  <c r="CB21" i="71"/>
  <c r="CC8" i="71"/>
  <c r="CB20" i="71"/>
  <c r="CB195" i="71"/>
  <c r="CD4" i="71"/>
  <c r="CC6" i="71"/>
  <c r="CC660" i="71"/>
  <c r="CC12" i="71"/>
  <c r="CB33" i="71" s="1"/>
  <c r="CC5" i="71"/>
  <c r="CC22" i="71"/>
  <c r="S827" i="1"/>
  <c r="S835" i="1"/>
  <c r="S833" i="1"/>
  <c r="S825" i="1"/>
  <c r="S834" i="1"/>
  <c r="S828" i="1"/>
  <c r="S832" i="1"/>
  <c r="S836" i="1"/>
  <c r="S826" i="1"/>
  <c r="S829" i="1"/>
  <c r="S830" i="1"/>
  <c r="S831" i="1"/>
  <c r="BN244" i="1"/>
  <c r="R836" i="1" s="1"/>
  <c r="BE7" i="23"/>
  <c r="D302" i="45" l="1"/>
  <c r="CD660" i="71"/>
  <c r="CD12" i="71"/>
  <c r="CC33" i="71" s="1"/>
  <c r="CD5" i="71"/>
  <c r="CD22" i="71"/>
  <c r="CE4" i="71"/>
  <c r="CD6" i="71"/>
  <c r="CC7" i="71"/>
  <c r="CD8" i="71"/>
  <c r="CC21" i="71"/>
  <c r="CC20" i="71"/>
  <c r="CC195" i="71"/>
  <c r="S843" i="1"/>
  <c r="S842" i="1"/>
  <c r="S844" i="1"/>
  <c r="S837" i="1"/>
  <c r="S846" i="1"/>
  <c r="S848" i="1"/>
  <c r="S838" i="1"/>
  <c r="S839" i="1"/>
  <c r="S840" i="1"/>
  <c r="S841" i="1"/>
  <c r="S845" i="1"/>
  <c r="S847" i="1"/>
  <c r="BO244" i="1"/>
  <c r="R848" i="1" s="1"/>
  <c r="BF7" i="23"/>
  <c r="D303" i="45" l="1"/>
  <c r="CE660" i="71"/>
  <c r="CE5" i="71"/>
  <c r="CE22" i="71"/>
  <c r="CF4" i="71"/>
  <c r="CE12" i="71"/>
  <c r="CD33" i="71" s="1"/>
  <c r="CE6" i="71"/>
  <c r="CE8" i="71"/>
  <c r="CD20" i="71"/>
  <c r="CD7" i="71"/>
  <c r="CD21" i="71"/>
  <c r="CD195" i="71"/>
  <c r="S851" i="1"/>
  <c r="S859" i="1"/>
  <c r="S852" i="1"/>
  <c r="S853" i="1"/>
  <c r="S855" i="1"/>
  <c r="S850" i="1"/>
  <c r="S849" i="1"/>
  <c r="S854" i="1"/>
  <c r="S856" i="1"/>
  <c r="S857" i="1"/>
  <c r="S858" i="1"/>
  <c r="S860" i="1"/>
  <c r="BP244" i="1"/>
  <c r="R860" i="1" s="1"/>
  <c r="BG7" i="23"/>
  <c r="D304" i="45" l="1"/>
  <c r="CF660" i="71"/>
  <c r="CF22" i="71"/>
  <c r="CF6" i="71"/>
  <c r="CF12" i="71"/>
  <c r="CE33" i="71" s="1"/>
  <c r="CF5" i="71"/>
  <c r="CG4" i="71"/>
  <c r="CE21" i="71"/>
  <c r="CF8" i="71"/>
  <c r="CE20" i="71"/>
  <c r="CE7" i="71"/>
  <c r="CE195" i="71"/>
  <c r="S867" i="1"/>
  <c r="S861" i="1"/>
  <c r="S870" i="1"/>
  <c r="S862" i="1"/>
  <c r="S871" i="1"/>
  <c r="S864" i="1"/>
  <c r="S863" i="1"/>
  <c r="S865" i="1"/>
  <c r="S866" i="1"/>
  <c r="S868" i="1"/>
  <c r="S869" i="1"/>
  <c r="S872" i="1"/>
  <c r="BQ244" i="1"/>
  <c r="R872" i="1" s="1"/>
  <c r="BH7" i="23"/>
  <c r="D305" i="45" l="1"/>
  <c r="CG6" i="71"/>
  <c r="CH4" i="71"/>
  <c r="CG12" i="71"/>
  <c r="CF33" i="71" s="1"/>
  <c r="CG5" i="71"/>
  <c r="CG22" i="71"/>
  <c r="CG660" i="71"/>
  <c r="CF21" i="71"/>
  <c r="CG8" i="71"/>
  <c r="CF20" i="71"/>
  <c r="CF7" i="71"/>
  <c r="CF195" i="71"/>
  <c r="S875" i="1"/>
  <c r="S883" i="1"/>
  <c r="S879" i="1"/>
  <c r="S880" i="1"/>
  <c r="S873" i="1"/>
  <c r="S882" i="1"/>
  <c r="S877" i="1"/>
  <c r="S878" i="1"/>
  <c r="S881" i="1"/>
  <c r="S874" i="1"/>
  <c r="S884" i="1"/>
  <c r="S876" i="1"/>
  <c r="BR244" i="1"/>
  <c r="R884" i="1" s="1"/>
  <c r="BI7" i="23"/>
  <c r="D306" i="45" l="1"/>
  <c r="CH8" i="71"/>
  <c r="CG20" i="71"/>
  <c r="CG7" i="71"/>
  <c r="CG21" i="71"/>
  <c r="CG195" i="71"/>
  <c r="CH22" i="71"/>
  <c r="CH6" i="71"/>
  <c r="CH12" i="71"/>
  <c r="CG33" i="71" s="1"/>
  <c r="CH5" i="71"/>
  <c r="CH660" i="71"/>
  <c r="CI4" i="71"/>
  <c r="S891" i="1"/>
  <c r="S888" i="1"/>
  <c r="S889" i="1"/>
  <c r="S892" i="1"/>
  <c r="S893" i="1"/>
  <c r="S887" i="1"/>
  <c r="S894" i="1"/>
  <c r="S895" i="1"/>
  <c r="S896" i="1"/>
  <c r="S885" i="1"/>
  <c r="S886" i="1"/>
  <c r="S890" i="1"/>
  <c r="BS244" i="1"/>
  <c r="R896" i="1" s="1"/>
  <c r="BJ7" i="23"/>
  <c r="D307" i="45" l="1"/>
  <c r="CJ4" i="71"/>
  <c r="CI12" i="71"/>
  <c r="CH33" i="71" s="1"/>
  <c r="CI660" i="71"/>
  <c r="CI6" i="71"/>
  <c r="CI5" i="71"/>
  <c r="CI22" i="71"/>
  <c r="CI8" i="71"/>
  <c r="CH7" i="71"/>
  <c r="CH21" i="71"/>
  <c r="CH20" i="71"/>
  <c r="CH195" i="71"/>
  <c r="S899" i="1"/>
  <c r="S907" i="1"/>
  <c r="S897" i="1"/>
  <c r="S906" i="1"/>
  <c r="S898" i="1"/>
  <c r="S908" i="1"/>
  <c r="S901" i="1"/>
  <c r="S905" i="1"/>
  <c r="S900" i="1"/>
  <c r="S902" i="1"/>
  <c r="S903" i="1"/>
  <c r="S904" i="1"/>
  <c r="BT244" i="1"/>
  <c r="R908" i="1" s="1"/>
  <c r="BK7" i="23"/>
  <c r="D308" i="45" l="1"/>
  <c r="CJ12" i="71"/>
  <c r="CI33" i="71" s="1"/>
  <c r="CJ5" i="71"/>
  <c r="CJ22" i="71"/>
  <c r="CJ660" i="71"/>
  <c r="CK4" i="71"/>
  <c r="CJ6" i="71"/>
  <c r="CI20" i="71"/>
  <c r="CJ8" i="71"/>
  <c r="CI21" i="71"/>
  <c r="CI7" i="71"/>
  <c r="CI195" i="71"/>
  <c r="S915" i="1"/>
  <c r="S916" i="1"/>
  <c r="S917" i="1"/>
  <c r="S910" i="1"/>
  <c r="S919" i="1"/>
  <c r="S909" i="1"/>
  <c r="S911" i="1"/>
  <c r="S912" i="1"/>
  <c r="S913" i="1"/>
  <c r="S914" i="1"/>
  <c r="S918" i="1"/>
  <c r="S920" i="1"/>
  <c r="BU244" i="1"/>
  <c r="R920" i="1" s="1"/>
  <c r="BL7" i="23"/>
  <c r="D309" i="45" l="1"/>
  <c r="CJ21" i="71"/>
  <c r="CK8" i="71"/>
  <c r="CJ20" i="71"/>
  <c r="CJ7" i="71"/>
  <c r="CJ195" i="71"/>
  <c r="CK660" i="71"/>
  <c r="CK12" i="71"/>
  <c r="CJ33" i="71" s="1"/>
  <c r="CK5" i="71"/>
  <c r="CK6" i="71"/>
  <c r="CK22" i="71"/>
  <c r="CL4" i="71"/>
  <c r="S923" i="1"/>
  <c r="S931" i="1"/>
  <c r="S925" i="1"/>
  <c r="S926" i="1"/>
  <c r="S928" i="1"/>
  <c r="S921" i="1"/>
  <c r="S932" i="1"/>
  <c r="S922" i="1"/>
  <c r="S924" i="1"/>
  <c r="S927" i="1"/>
  <c r="S929" i="1"/>
  <c r="S930" i="1"/>
  <c r="BV244" i="1"/>
  <c r="R932" i="1" s="1"/>
  <c r="BM7" i="23"/>
  <c r="D310" i="45" l="1"/>
  <c r="CK21" i="71"/>
  <c r="CL8" i="71"/>
  <c r="CK20" i="71"/>
  <c r="CK7" i="71"/>
  <c r="CK195" i="71"/>
  <c r="L190" i="68" s="1"/>
  <c r="CL660" i="71"/>
  <c r="CL5" i="71"/>
  <c r="CL22" i="71"/>
  <c r="CM4" i="71"/>
  <c r="CL12" i="71"/>
  <c r="CK33" i="71" s="1"/>
  <c r="CL6" i="71"/>
  <c r="S939" i="1"/>
  <c r="S934" i="1"/>
  <c r="S943" i="1"/>
  <c r="S935" i="1"/>
  <c r="S944" i="1"/>
  <c r="S937" i="1"/>
  <c r="S936" i="1"/>
  <c r="S938" i="1"/>
  <c r="S940" i="1"/>
  <c r="S941" i="1"/>
  <c r="S942" i="1"/>
  <c r="S933" i="1"/>
  <c r="BW244" i="1"/>
  <c r="R944" i="1" s="1"/>
  <c r="BN7" i="23"/>
  <c r="D311" i="45" l="1"/>
  <c r="CM8" i="71"/>
  <c r="CL20" i="71"/>
  <c r="CL7" i="71"/>
  <c r="CL21" i="71"/>
  <c r="CL195" i="71"/>
  <c r="CM660" i="71"/>
  <c r="CM5" i="71"/>
  <c r="CM6" i="71"/>
  <c r="CN4" i="71"/>
  <c r="CM12" i="71"/>
  <c r="CL33" i="71" s="1"/>
  <c r="CM22" i="71"/>
  <c r="S947" i="1"/>
  <c r="S955" i="1"/>
  <c r="S952" i="1"/>
  <c r="S953" i="1"/>
  <c r="S946" i="1"/>
  <c r="S956" i="1"/>
  <c r="S950" i="1"/>
  <c r="S954" i="1"/>
  <c r="S951" i="1"/>
  <c r="S945" i="1"/>
  <c r="S948" i="1"/>
  <c r="S949" i="1"/>
  <c r="BX244" i="1"/>
  <c r="R956" i="1" s="1"/>
  <c r="BO7" i="23"/>
  <c r="D312" i="45" l="1"/>
  <c r="CM7" i="71"/>
  <c r="CM21" i="71"/>
  <c r="CN8" i="71"/>
  <c r="CM20" i="71"/>
  <c r="CM195" i="71"/>
  <c r="CN6" i="71"/>
  <c r="CO4" i="71"/>
  <c r="CN5" i="71"/>
  <c r="CN12" i="71"/>
  <c r="CM33" i="71" s="1"/>
  <c r="CN660" i="71"/>
  <c r="CN22" i="71"/>
  <c r="S963" i="1"/>
  <c r="S961" i="1"/>
  <c r="S962" i="1"/>
  <c r="S965" i="1"/>
  <c r="S966" i="1"/>
  <c r="S960" i="1"/>
  <c r="S967" i="1"/>
  <c r="S968" i="1"/>
  <c r="S957" i="1"/>
  <c r="S958" i="1"/>
  <c r="S959" i="1"/>
  <c r="S964" i="1"/>
  <c r="BY244" i="1"/>
  <c r="R968" i="1" s="1"/>
  <c r="BP7" i="23"/>
  <c r="D313" i="45" l="1"/>
  <c r="CO8" i="71"/>
  <c r="CN7" i="71"/>
  <c r="CN21" i="71"/>
  <c r="CN20" i="71"/>
  <c r="CN195" i="71"/>
  <c r="CO660" i="71"/>
  <c r="CO5" i="71"/>
  <c r="CO22" i="71"/>
  <c r="CO6" i="71"/>
  <c r="CO12" i="71"/>
  <c r="CN33" i="71" s="1"/>
  <c r="CP4" i="71"/>
  <c r="S971" i="1"/>
  <c r="S979" i="1"/>
  <c r="S970" i="1"/>
  <c r="S980" i="1"/>
  <c r="S972" i="1"/>
  <c r="S974" i="1"/>
  <c r="S978" i="1"/>
  <c r="S969" i="1"/>
  <c r="S973" i="1"/>
  <c r="S975" i="1"/>
  <c r="S976" i="1"/>
  <c r="S977" i="1"/>
  <c r="BZ244" i="1"/>
  <c r="R980" i="1" s="1"/>
  <c r="BQ7" i="23"/>
  <c r="D314" i="45" l="1"/>
  <c r="CP8" i="71"/>
  <c r="CO20" i="71"/>
  <c r="CO7" i="71"/>
  <c r="CO21" i="71"/>
  <c r="CO195" i="71"/>
  <c r="CP660" i="71"/>
  <c r="CP6" i="71"/>
  <c r="CQ4" i="71"/>
  <c r="CP5" i="71"/>
  <c r="CP22" i="71"/>
  <c r="CP12" i="71"/>
  <c r="CO33" i="71" s="1"/>
  <c r="S987" i="1"/>
  <c r="S989" i="1"/>
  <c r="S981" i="1"/>
  <c r="S990" i="1"/>
  <c r="S983" i="1"/>
  <c r="S992" i="1"/>
  <c r="S991" i="1"/>
  <c r="S982" i="1"/>
  <c r="S984" i="1"/>
  <c r="S985" i="1"/>
  <c r="S986" i="1"/>
  <c r="S988" i="1"/>
  <c r="CA244" i="1"/>
  <c r="R992" i="1" s="1"/>
  <c r="BR7" i="23"/>
  <c r="D315" i="45" l="1"/>
  <c r="CR4" i="71"/>
  <c r="CQ22" i="71"/>
  <c r="CQ12" i="71"/>
  <c r="CP33" i="71" s="1"/>
  <c r="CQ5" i="71"/>
  <c r="CQ6" i="71"/>
  <c r="CQ660" i="71"/>
  <c r="CQ8" i="71"/>
  <c r="CP20" i="71"/>
  <c r="CP7" i="71"/>
  <c r="CP21" i="71"/>
  <c r="CP195" i="71"/>
  <c r="S995" i="1"/>
  <c r="S1003" i="1"/>
  <c r="S998" i="1"/>
  <c r="S999" i="1"/>
  <c r="S1001" i="1"/>
  <c r="S994" i="1"/>
  <c r="S997" i="1"/>
  <c r="S996" i="1"/>
  <c r="S1000" i="1"/>
  <c r="S1002" i="1"/>
  <c r="S1004" i="1"/>
  <c r="S993" i="1"/>
  <c r="CB244" i="1"/>
  <c r="R1004" i="1" s="1"/>
  <c r="BS7" i="23"/>
  <c r="D316" i="45" l="1"/>
  <c r="CQ7" i="71"/>
  <c r="CQ21" i="71"/>
  <c r="CR8" i="71"/>
  <c r="CQ20" i="71"/>
  <c r="CQ195" i="71"/>
  <c r="CR660" i="71"/>
  <c r="CR6" i="71"/>
  <c r="CS4" i="71"/>
  <c r="CR12" i="71"/>
  <c r="CQ33" i="71" s="1"/>
  <c r="CR5" i="71"/>
  <c r="CR22" i="71"/>
  <c r="S1011" i="1"/>
  <c r="S1007" i="1"/>
  <c r="S1016" i="1"/>
  <c r="S1008" i="1"/>
  <c r="S1010" i="1"/>
  <c r="S1009" i="1"/>
  <c r="S1012" i="1"/>
  <c r="S1013" i="1"/>
  <c r="S1014" i="1"/>
  <c r="S1015" i="1"/>
  <c r="S1005" i="1"/>
  <c r="S1006" i="1"/>
  <c r="CC244" i="1"/>
  <c r="R1016" i="1" s="1"/>
  <c r="BT7" i="23"/>
  <c r="E138" i="23" s="1"/>
  <c r="D317" i="45" l="1"/>
  <c r="CS660" i="71"/>
  <c r="CT4" i="71"/>
  <c r="CS12" i="71"/>
  <c r="CR33" i="71" s="1"/>
  <c r="CS6" i="71"/>
  <c r="CS22" i="71"/>
  <c r="CS5" i="71"/>
  <c r="CR21" i="71"/>
  <c r="CS8" i="71"/>
  <c r="CR7" i="71"/>
  <c r="CR20" i="71"/>
  <c r="CR195" i="71"/>
  <c r="F85" i="23"/>
  <c r="F156" i="23"/>
  <c r="F100" i="23"/>
  <c r="F60" i="23"/>
  <c r="F80" i="23"/>
  <c r="F15" i="23"/>
  <c r="F79" i="23"/>
  <c r="F140" i="23"/>
  <c r="F117" i="23"/>
  <c r="F109" i="23"/>
  <c r="F112" i="23"/>
  <c r="F77" i="23"/>
  <c r="F43" i="23"/>
  <c r="F111" i="23"/>
  <c r="F90" i="23"/>
  <c r="F22" i="23"/>
  <c r="F92" i="23"/>
  <c r="F76" i="23"/>
  <c r="F68" i="23"/>
  <c r="F16" i="23"/>
  <c r="F48" i="23"/>
  <c r="F31" i="23"/>
  <c r="F144" i="23"/>
  <c r="F46" i="23"/>
  <c r="F56" i="23"/>
  <c r="F33" i="23"/>
  <c r="F151" i="23"/>
  <c r="F126" i="23"/>
  <c r="F88" i="23"/>
  <c r="F95" i="23"/>
  <c r="F36" i="23"/>
  <c r="F96" i="23"/>
  <c r="F24" i="23"/>
  <c r="F114" i="23"/>
  <c r="F17" i="23"/>
  <c r="F71" i="23"/>
  <c r="F130" i="23"/>
  <c r="F47" i="23"/>
  <c r="F55" i="23"/>
  <c r="F20" i="23"/>
  <c r="F93" i="23"/>
  <c r="F99" i="23"/>
  <c r="F29" i="23"/>
  <c r="F21" i="23"/>
  <c r="F127" i="23"/>
  <c r="F18" i="23"/>
  <c r="F110" i="23"/>
  <c r="F153" i="23"/>
  <c r="F45" i="23"/>
  <c r="F67" i="23"/>
  <c r="F150" i="23"/>
  <c r="F136" i="23"/>
  <c r="F145" i="23"/>
  <c r="F122" i="23"/>
  <c r="F138" i="23"/>
  <c r="F139" i="23"/>
  <c r="F124" i="23"/>
  <c r="F63" i="23"/>
  <c r="F125" i="23"/>
  <c r="F106" i="23"/>
  <c r="F73" i="23"/>
  <c r="F11" i="23"/>
  <c r="F69" i="23"/>
  <c r="F105" i="23"/>
  <c r="F134" i="23"/>
  <c r="F123" i="23"/>
  <c r="F57" i="23"/>
  <c r="F61" i="23"/>
  <c r="F81" i="23"/>
  <c r="F120" i="23"/>
  <c r="F141" i="23"/>
  <c r="F58" i="23"/>
  <c r="F128" i="23"/>
  <c r="F41" i="23"/>
  <c r="F87" i="23"/>
  <c r="F12" i="23"/>
  <c r="F143" i="23"/>
  <c r="F98" i="23"/>
  <c r="F52" i="23"/>
  <c r="F23" i="23"/>
  <c r="F59" i="23"/>
  <c r="F155" i="23"/>
  <c r="F70" i="23"/>
  <c r="F107" i="23"/>
  <c r="F27" i="23"/>
  <c r="F108" i="23"/>
  <c r="F14" i="23"/>
  <c r="F103" i="23"/>
  <c r="F102" i="23"/>
  <c r="F119" i="23"/>
  <c r="F152" i="23"/>
  <c r="F72" i="23"/>
  <c r="F142" i="23"/>
  <c r="F132" i="23"/>
  <c r="F66" i="23"/>
  <c r="F147" i="23"/>
  <c r="F91" i="23"/>
  <c r="F19" i="23"/>
  <c r="F104" i="23"/>
  <c r="F75" i="23"/>
  <c r="F121" i="23"/>
  <c r="F74" i="23"/>
  <c r="F115" i="23"/>
  <c r="F148" i="23"/>
  <c r="F28" i="23"/>
  <c r="F131" i="23"/>
  <c r="F50" i="23"/>
  <c r="F84" i="23"/>
  <c r="F51" i="23"/>
  <c r="F35" i="23"/>
  <c r="F86" i="23"/>
  <c r="F62" i="23"/>
  <c r="F44" i="23"/>
  <c r="F146" i="23"/>
  <c r="F135" i="23"/>
  <c r="F82" i="23"/>
  <c r="F49" i="23"/>
  <c r="F133" i="23"/>
  <c r="F53" i="23"/>
  <c r="F39" i="23"/>
  <c r="F25" i="23"/>
  <c r="F154" i="23"/>
  <c r="F40" i="23"/>
  <c r="F94" i="23"/>
  <c r="F26" i="23"/>
  <c r="F101" i="23"/>
  <c r="F129" i="23"/>
  <c r="F83" i="23"/>
  <c r="F64" i="23"/>
  <c r="F32" i="23"/>
  <c r="F118" i="23"/>
  <c r="F149" i="23"/>
  <c r="F37" i="23"/>
  <c r="F65" i="23"/>
  <c r="E154" i="23"/>
  <c r="E58" i="23"/>
  <c r="E92" i="23"/>
  <c r="E72" i="23"/>
  <c r="E69" i="23"/>
  <c r="E119" i="23"/>
  <c r="E131" i="23"/>
  <c r="E129" i="23"/>
  <c r="E114" i="23"/>
  <c r="E77" i="23"/>
  <c r="E39" i="23"/>
  <c r="E68" i="23"/>
  <c r="E48" i="23"/>
  <c r="E26" i="23"/>
  <c r="E125" i="23"/>
  <c r="E32" i="23"/>
  <c r="E143" i="23"/>
  <c r="E29" i="23"/>
  <c r="E94" i="23"/>
  <c r="E112" i="23"/>
  <c r="E35" i="23"/>
  <c r="E151" i="23"/>
  <c r="E146" i="23"/>
  <c r="E128" i="23"/>
  <c r="E59" i="23"/>
  <c r="E104" i="23"/>
  <c r="E18" i="23"/>
  <c r="E31" i="23"/>
  <c r="E148" i="23"/>
  <c r="E73" i="23"/>
  <c r="E49" i="23"/>
  <c r="E52" i="23"/>
  <c r="E74" i="23"/>
  <c r="E14" i="23"/>
  <c r="E109" i="23"/>
  <c r="E147" i="23"/>
  <c r="E80" i="23"/>
  <c r="E76" i="23"/>
  <c r="E86" i="23"/>
  <c r="E28" i="23"/>
  <c r="E12" i="23"/>
  <c r="E16" i="23"/>
  <c r="E88" i="23"/>
  <c r="E66" i="23"/>
  <c r="E144" i="23"/>
  <c r="E101" i="23"/>
  <c r="E61" i="23"/>
  <c r="E25" i="23"/>
  <c r="E141" i="23"/>
  <c r="E55" i="23"/>
  <c r="E21" i="23"/>
  <c r="E126" i="23"/>
  <c r="E142" i="23"/>
  <c r="E96" i="23"/>
  <c r="E62" i="23"/>
  <c r="E20" i="23"/>
  <c r="E149" i="23"/>
  <c r="E108" i="23"/>
  <c r="E105" i="23"/>
  <c r="E43" i="23"/>
  <c r="E134" i="23"/>
  <c r="E82" i="23"/>
  <c r="E44" i="23"/>
  <c r="E46" i="23"/>
  <c r="E123" i="23"/>
  <c r="E100" i="23"/>
  <c r="E93" i="23"/>
  <c r="E130" i="23"/>
  <c r="E45" i="23"/>
  <c r="E67" i="23"/>
  <c r="E152" i="23"/>
  <c r="E64" i="23"/>
  <c r="E83" i="23"/>
  <c r="E115" i="23"/>
  <c r="E133" i="23"/>
  <c r="E11" i="23"/>
  <c r="E17" i="23"/>
  <c r="E57" i="23"/>
  <c r="E156" i="23"/>
  <c r="E120" i="23"/>
  <c r="E155" i="23"/>
  <c r="E53" i="23"/>
  <c r="E107" i="23"/>
  <c r="E40" i="23"/>
  <c r="E103" i="23"/>
  <c r="E87" i="23"/>
  <c r="E70" i="23"/>
  <c r="E135" i="23"/>
  <c r="E99" i="23"/>
  <c r="E36" i="23"/>
  <c r="E91" i="23"/>
  <c r="E95" i="23"/>
  <c r="E65" i="23"/>
  <c r="E24" i="23"/>
  <c r="E111" i="23"/>
  <c r="E79" i="23"/>
  <c r="E22" i="23"/>
  <c r="E122" i="23"/>
  <c r="E118" i="23"/>
  <c r="E33" i="23"/>
  <c r="E136" i="23"/>
  <c r="E150" i="23"/>
  <c r="E56" i="23"/>
  <c r="E117" i="23"/>
  <c r="E50" i="23"/>
  <c r="E132" i="23"/>
  <c r="E140" i="23"/>
  <c r="E121" i="23"/>
  <c r="E153" i="23"/>
  <c r="E98" i="23"/>
  <c r="E37" i="23"/>
  <c r="E124" i="23"/>
  <c r="E47" i="23"/>
  <c r="E19" i="23"/>
  <c r="E15" i="23"/>
  <c r="E85" i="23"/>
  <c r="E84" i="23"/>
  <c r="E51" i="23"/>
  <c r="E127" i="23"/>
  <c r="E71" i="23"/>
  <c r="E139" i="23"/>
  <c r="E63" i="23"/>
  <c r="E106" i="23"/>
  <c r="E90" i="23"/>
  <c r="E81" i="23"/>
  <c r="E75" i="23"/>
  <c r="E145" i="23"/>
  <c r="E110" i="23"/>
  <c r="E60" i="23"/>
  <c r="E102" i="23"/>
  <c r="E23" i="23"/>
  <c r="E41" i="23"/>
  <c r="E27" i="23"/>
  <c r="S1019" i="1"/>
  <c r="S1027" i="1"/>
  <c r="S1025" i="1"/>
  <c r="S1017" i="1"/>
  <c r="S1026" i="1"/>
  <c r="S1020" i="1"/>
  <c r="S1023" i="1"/>
  <c r="S1028" i="1"/>
  <c r="S1024" i="1"/>
  <c r="S1021" i="1"/>
  <c r="S1018" i="1"/>
  <c r="S1022" i="1"/>
  <c r="CD244" i="1"/>
  <c r="R1028" i="1" s="1"/>
  <c r="D318" i="45" l="1"/>
  <c r="G17" i="23"/>
  <c r="CS20" i="71"/>
  <c r="CS7" i="71"/>
  <c r="CS21" i="71"/>
  <c r="CT8" i="71"/>
  <c r="CS195" i="71"/>
  <c r="CT22" i="71"/>
  <c r="CU4" i="71"/>
  <c r="CT6" i="71"/>
  <c r="CT660" i="71"/>
  <c r="CT12" i="71"/>
  <c r="CS33" i="71" s="1"/>
  <c r="CT5" i="71"/>
  <c r="G12" i="23"/>
  <c r="E157" i="23"/>
  <c r="E158" i="23" s="1"/>
  <c r="F157" i="23"/>
  <c r="F158" i="23" s="1"/>
  <c r="G16" i="23"/>
  <c r="G14" i="23"/>
  <c r="G11" i="23"/>
  <c r="G15" i="23"/>
  <c r="S1035" i="1"/>
  <c r="S1034" i="1"/>
  <c r="S1036" i="1"/>
  <c r="S1029" i="1"/>
  <c r="S1038" i="1"/>
  <c r="S1039" i="1"/>
  <c r="S1040" i="1"/>
  <c r="S1030" i="1"/>
  <c r="S1031" i="1"/>
  <c r="S1032" i="1"/>
  <c r="S1033" i="1"/>
  <c r="S1037" i="1"/>
  <c r="CE244" i="1"/>
  <c r="R1040" i="1" s="1"/>
  <c r="D319" i="45" l="1"/>
  <c r="CU22" i="71"/>
  <c r="CV4" i="71"/>
  <c r="CU6" i="71"/>
  <c r="CU660" i="71"/>
  <c r="CU5" i="71"/>
  <c r="CU12" i="71"/>
  <c r="CT33" i="71" s="1"/>
  <c r="CT7" i="71"/>
  <c r="CT21" i="71"/>
  <c r="CU8" i="71"/>
  <c r="CT20" i="71"/>
  <c r="CT195" i="71"/>
  <c r="S1043" i="1"/>
  <c r="S1051" i="1"/>
  <c r="S1044" i="1"/>
  <c r="S1045" i="1"/>
  <c r="S1047" i="1"/>
  <c r="S1052" i="1"/>
  <c r="S1049" i="1"/>
  <c r="S1041" i="1"/>
  <c r="S1042" i="1"/>
  <c r="S1046" i="1"/>
  <c r="S1048" i="1"/>
  <c r="S1050" i="1"/>
  <c r="CF244" i="1"/>
  <c r="R1052" i="1" s="1"/>
  <c r="D320" i="45" l="1"/>
  <c r="CV8" i="71"/>
  <c r="CU20" i="71"/>
  <c r="CU21" i="71"/>
  <c r="CU7" i="71"/>
  <c r="CU195" i="71"/>
  <c r="CV660" i="71"/>
  <c r="CV5" i="71"/>
  <c r="CV22" i="71"/>
  <c r="CV6" i="71"/>
  <c r="CW4" i="71"/>
  <c r="CV12" i="71"/>
  <c r="CU33" i="71" s="1"/>
  <c r="S1059" i="1"/>
  <c r="S1053" i="1"/>
  <c r="S1062" i="1"/>
  <c r="S1054" i="1"/>
  <c r="S1063" i="1"/>
  <c r="S1056" i="1"/>
  <c r="S1057" i="1"/>
  <c r="S1055" i="1"/>
  <c r="S1058" i="1"/>
  <c r="S1060" i="1"/>
  <c r="S1061" i="1"/>
  <c r="S1064" i="1"/>
  <c r="CG244" i="1"/>
  <c r="R1064" i="1" s="1"/>
  <c r="D321" i="45" l="1"/>
  <c r="CW8" i="71"/>
  <c r="CV7" i="71"/>
  <c r="CV20" i="71"/>
  <c r="CV21" i="71"/>
  <c r="CV195" i="71"/>
  <c r="CW12" i="71"/>
  <c r="CV33" i="71" s="1"/>
  <c r="CW6" i="71"/>
  <c r="CX4" i="71"/>
  <c r="CW660" i="71"/>
  <c r="CW5" i="71"/>
  <c r="S1067" i="1"/>
  <c r="S1075" i="1"/>
  <c r="S1071" i="1"/>
  <c r="S1072" i="1"/>
  <c r="S1065" i="1"/>
  <c r="S1074" i="1"/>
  <c r="S1068" i="1"/>
  <c r="S1069" i="1"/>
  <c r="S1070" i="1"/>
  <c r="S1073" i="1"/>
  <c r="S1076" i="1"/>
  <c r="S1066" i="1"/>
  <c r="CH244" i="1"/>
  <c r="R1076" i="1" s="1"/>
  <c r="FZ100" i="1"/>
  <c r="FZ110" i="1" s="1"/>
  <c r="AK47" i="2" s="1"/>
  <c r="Q100" i="1"/>
  <c r="Q110" i="1" s="1"/>
  <c r="G65" i="6" s="1"/>
  <c r="HG100" i="1"/>
  <c r="HG110" i="1" s="1"/>
  <c r="BR47" i="2" s="1"/>
  <c r="GW100" i="1"/>
  <c r="GW110" i="1" s="1"/>
  <c r="BH47" i="2" s="1"/>
  <c r="JD100" i="1"/>
  <c r="JD110" i="1" s="1"/>
  <c r="DO47" i="2" s="1"/>
  <c r="JT100" i="1"/>
  <c r="JT110" i="1" s="1"/>
  <c r="EE47" i="2" s="1"/>
  <c r="HV100" i="1"/>
  <c r="HV110" i="1" s="1"/>
  <c r="CG47" i="2" s="1"/>
  <c r="AB100" i="1"/>
  <c r="AB110" i="1" s="1"/>
  <c r="R65" i="6" s="1"/>
  <c r="IU100" i="1"/>
  <c r="IU110" i="1" s="1"/>
  <c r="DF47" i="2" s="1"/>
  <c r="HU100" i="1"/>
  <c r="HU110" i="1" s="1"/>
  <c r="CF47" i="2" s="1"/>
  <c r="IL100" i="1"/>
  <c r="IL110" i="1" s="1"/>
  <c r="CW47" i="2" s="1"/>
  <c r="II100" i="1"/>
  <c r="II110" i="1" s="1"/>
  <c r="CT47" i="2" s="1"/>
  <c r="HT100" i="1"/>
  <c r="HT110" i="1" s="1"/>
  <c r="CE47" i="2" s="1"/>
  <c r="HI100" i="1"/>
  <c r="HI110" i="1" s="1"/>
  <c r="BT47" i="2" s="1"/>
  <c r="GT100" i="1"/>
  <c r="GT110" i="1" s="1"/>
  <c r="BE47" i="2" s="1"/>
  <c r="FP100" i="1"/>
  <c r="FP110" i="1" s="1"/>
  <c r="AA47" i="2" s="1"/>
  <c r="EW100" i="1"/>
  <c r="EW110" i="1" s="1"/>
  <c r="H47" i="2" s="1"/>
  <c r="HR100" i="1"/>
  <c r="HR110" i="1" s="1"/>
  <c r="CC47" i="2" s="1"/>
  <c r="EY100" i="1"/>
  <c r="EY110" i="1" s="1"/>
  <c r="J47" i="2" s="1"/>
  <c r="GA100" i="1"/>
  <c r="GA110" i="1" s="1"/>
  <c r="AL47" i="2" s="1"/>
  <c r="GJ100" i="1"/>
  <c r="GJ110" i="1" s="1"/>
  <c r="AU47" i="2" s="1"/>
  <c r="GG100" i="1"/>
  <c r="GG110" i="1" s="1"/>
  <c r="AR47" i="2" s="1"/>
  <c r="GP100" i="1"/>
  <c r="GP110" i="1" s="1"/>
  <c r="BA47" i="2" s="1"/>
  <c r="FU100" i="1"/>
  <c r="FU110" i="1" s="1"/>
  <c r="AF47" i="2" s="1"/>
  <c r="EZ100" i="1"/>
  <c r="EZ110" i="1" s="1"/>
  <c r="K47" i="2" s="1"/>
  <c r="JA100" i="1"/>
  <c r="JA110" i="1" s="1"/>
  <c r="DL47" i="2" s="1"/>
  <c r="FR100" i="1"/>
  <c r="FR110" i="1" s="1"/>
  <c r="AC47" i="2" s="1"/>
  <c r="GM100" i="1"/>
  <c r="GM110" i="1" s="1"/>
  <c r="AX47" i="2" s="1"/>
  <c r="JP100" i="1"/>
  <c r="JP110" i="1" s="1"/>
  <c r="EA47" i="2" s="1"/>
  <c r="JE100" i="1"/>
  <c r="JE110" i="1" s="1"/>
  <c r="DP47" i="2" s="1"/>
  <c r="IP100" i="1"/>
  <c r="IP110" i="1" s="1"/>
  <c r="DA47" i="2" s="1"/>
  <c r="FL100" i="1"/>
  <c r="FL110" i="1" s="1"/>
  <c r="W47" i="2" s="1"/>
  <c r="GV100" i="1"/>
  <c r="GV110" i="1" s="1"/>
  <c r="BG47" i="2" s="1"/>
  <c r="HQ100" i="1"/>
  <c r="HQ110" i="1" s="1"/>
  <c r="CB47" i="2" s="1"/>
  <c r="FB100" i="1"/>
  <c r="FB110" i="1" s="1"/>
  <c r="M47" i="2" s="1"/>
  <c r="IX100" i="1"/>
  <c r="IX110" i="1" s="1"/>
  <c r="DI47" i="2" s="1"/>
  <c r="U100" i="1"/>
  <c r="U110" i="1" s="1"/>
  <c r="K65" i="6" s="1"/>
  <c r="FK100" i="1"/>
  <c r="FK110" i="1" s="1"/>
  <c r="V47" i="2" s="1"/>
  <c r="FT100" i="1"/>
  <c r="FT110" i="1" s="1"/>
  <c r="AE47" i="2" s="1"/>
  <c r="JC100" i="1"/>
  <c r="JC110" i="1" s="1"/>
  <c r="DN47" i="2" s="1"/>
  <c r="FE100" i="1"/>
  <c r="FE110" i="1" s="1"/>
  <c r="P47" i="2" s="1"/>
  <c r="GB100" i="1"/>
  <c r="GB110" i="1" s="1"/>
  <c r="AM47" i="2" s="1"/>
  <c r="JQ100" i="1"/>
  <c r="JQ110" i="1" s="1"/>
  <c r="EB47" i="2" s="1"/>
  <c r="GH100" i="1"/>
  <c r="GH110" i="1" s="1"/>
  <c r="AS47" i="2" s="1"/>
  <c r="GI100" i="1"/>
  <c r="GI110" i="1" s="1"/>
  <c r="AT47" i="2" s="1"/>
  <c r="JL100" i="1"/>
  <c r="JL110" i="1" s="1"/>
  <c r="DW47" i="2" s="1"/>
  <c r="FV100" i="1"/>
  <c r="FV110" i="1" s="1"/>
  <c r="AG47" i="2" s="1"/>
  <c r="GN100" i="1"/>
  <c r="GN110" i="1" s="1"/>
  <c r="AY47" i="2" s="1"/>
  <c r="ET100" i="1"/>
  <c r="ET110" i="1" s="1"/>
  <c r="E47" i="2" s="1"/>
  <c r="GU100" i="1"/>
  <c r="GU110" i="1" s="1"/>
  <c r="BF47" i="2" s="1"/>
  <c r="JG100" i="1"/>
  <c r="JG110" i="1" s="1"/>
  <c r="DR47" i="2" s="1"/>
  <c r="IR100" i="1"/>
  <c r="IR110" i="1" s="1"/>
  <c r="DC47" i="2" s="1"/>
  <c r="JB100" i="1"/>
  <c r="JB110" i="1" s="1"/>
  <c r="DM47" i="2" s="1"/>
  <c r="W100" i="1"/>
  <c r="W110" i="1" s="1"/>
  <c r="M65" i="6" s="1"/>
  <c r="EU100" i="1"/>
  <c r="EU110" i="1" s="1"/>
  <c r="F47" i="2" s="1"/>
  <c r="HX100" i="1"/>
  <c r="HX110" i="1" s="1"/>
  <c r="CI47" i="2" s="1"/>
  <c r="GY100" i="1"/>
  <c r="GY110" i="1" s="1"/>
  <c r="BJ47" i="2" s="1"/>
  <c r="IK100" i="1"/>
  <c r="IK110" i="1" s="1"/>
  <c r="CV47" i="2" s="1"/>
  <c r="ID100" i="1"/>
  <c r="ID110" i="1" s="1"/>
  <c r="CO47" i="2" s="1"/>
  <c r="FX100" i="1"/>
  <c r="FX110" i="1" s="1"/>
  <c r="AI47" i="2" s="1"/>
  <c r="GZ100" i="1"/>
  <c r="GZ110" i="1" s="1"/>
  <c r="BK47" i="2" s="1"/>
  <c r="FH100" i="1"/>
  <c r="FH110" i="1" s="1"/>
  <c r="S47" i="2" s="1"/>
  <c r="Y100" i="1"/>
  <c r="Y110" i="1" s="1"/>
  <c r="O65" i="6" s="1"/>
  <c r="FO100" i="1"/>
  <c r="FO110" i="1" s="1"/>
  <c r="Z47" i="2" s="1"/>
  <c r="HC100" i="1"/>
  <c r="HC110" i="1" s="1"/>
  <c r="BN47" i="2" s="1"/>
  <c r="JO100" i="1"/>
  <c r="JO110" i="1" s="1"/>
  <c r="DZ47" i="2" s="1"/>
  <c r="GC100" i="1"/>
  <c r="GC110" i="1" s="1"/>
  <c r="AN47" i="2" s="1"/>
  <c r="JU100" i="1"/>
  <c r="JU110" i="1" s="1"/>
  <c r="EF47" i="2" s="1"/>
  <c r="AA100" i="1"/>
  <c r="AA110" i="1" s="1"/>
  <c r="Q65" i="6" s="1"/>
  <c r="FA100" i="1"/>
  <c r="FA110" i="1" s="1"/>
  <c r="L47" i="2" s="1"/>
  <c r="IA100" i="1"/>
  <c r="IA110" i="1" s="1"/>
  <c r="CL47" i="2" s="1"/>
  <c r="HL100" i="1"/>
  <c r="HL110" i="1" s="1"/>
  <c r="BW47" i="2" s="1"/>
  <c r="IG100" i="1"/>
  <c r="IG110" i="1" s="1"/>
  <c r="CR47" i="2" s="1"/>
  <c r="GL100" i="1"/>
  <c r="GL110" i="1" s="1"/>
  <c r="AW47" i="2" s="1"/>
  <c r="JN100" i="1"/>
  <c r="JN110" i="1" s="1"/>
  <c r="DY47" i="2" s="1"/>
  <c r="JV100" i="1"/>
  <c r="JV110" i="1" s="1"/>
  <c r="EG47" i="2" s="1"/>
  <c r="FJ100" i="1"/>
  <c r="FJ110" i="1" s="1"/>
  <c r="U47" i="2" s="1"/>
  <c r="FI100" i="1"/>
  <c r="FI110" i="1" s="1"/>
  <c r="T47" i="2" s="1"/>
  <c r="HH100" i="1"/>
  <c r="HH110" i="1" s="1"/>
  <c r="BS47" i="2" s="1"/>
  <c r="HP100" i="1"/>
  <c r="HP110" i="1" s="1"/>
  <c r="CA47" i="2" s="1"/>
  <c r="HO100" i="1"/>
  <c r="HO110" i="1" s="1"/>
  <c r="BZ47" i="2" s="1"/>
  <c r="GO100" i="1"/>
  <c r="GO110" i="1" s="1"/>
  <c r="AZ47" i="2" s="1"/>
  <c r="V100" i="1"/>
  <c r="V110" i="1" s="1"/>
  <c r="L65" i="6" s="1"/>
  <c r="FW100" i="1"/>
  <c r="FW110" i="1" s="1"/>
  <c r="AH47" i="2" s="1"/>
  <c r="R100" i="1"/>
  <c r="R110" i="1" s="1"/>
  <c r="H65" i="6" s="1"/>
  <c r="GR100" i="1"/>
  <c r="GR110" i="1" s="1"/>
  <c r="BC47" i="2" s="1"/>
  <c r="IS100" i="1"/>
  <c r="IS110" i="1" s="1"/>
  <c r="DD47" i="2" s="1"/>
  <c r="FY100" i="1"/>
  <c r="FY110" i="1" s="1"/>
  <c r="AJ47" i="2" s="1"/>
  <c r="FC100" i="1"/>
  <c r="FC110" i="1" s="1"/>
  <c r="N47" i="2" s="1"/>
  <c r="IZ100" i="1"/>
  <c r="IZ110" i="1" s="1"/>
  <c r="DK47" i="2" s="1"/>
  <c r="IO100" i="1"/>
  <c r="IO110" i="1" s="1"/>
  <c r="CZ47" i="2" s="1"/>
  <c r="HZ100" i="1"/>
  <c r="HZ110" i="1" s="1"/>
  <c r="CK47" i="2" s="1"/>
  <c r="HA100" i="1"/>
  <c r="HA110" i="1" s="1"/>
  <c r="BL47" i="2" s="1"/>
  <c r="B110" i="1"/>
  <c r="JI100" i="1"/>
  <c r="JI110" i="1" s="1"/>
  <c r="DT47" i="2" s="1"/>
  <c r="HN100" i="1"/>
  <c r="HN110" i="1" s="1"/>
  <c r="BY47" i="2" s="1"/>
  <c r="X100" i="1"/>
  <c r="X110" i="1" s="1"/>
  <c r="N65" i="6" s="1"/>
  <c r="FD100" i="1"/>
  <c r="FD110" i="1" s="1"/>
  <c r="O47" i="2" s="1"/>
  <c r="IQ100" i="1"/>
  <c r="IQ110" i="1" s="1"/>
  <c r="DB47" i="2" s="1"/>
  <c r="IB100" i="1"/>
  <c r="IB110" i="1" s="1"/>
  <c r="CM47" i="2" s="1"/>
  <c r="HB100" i="1"/>
  <c r="HB110" i="1" s="1"/>
  <c r="BM47" i="2" s="1"/>
  <c r="JJ100" i="1"/>
  <c r="JJ110" i="1" s="1"/>
  <c r="DU47" i="2" s="1"/>
  <c r="P110" i="1"/>
  <c r="GQ100" i="1"/>
  <c r="GQ110" i="1" s="1"/>
  <c r="BB47" i="2" s="1"/>
  <c r="GX100" i="1"/>
  <c r="GX110" i="1" s="1"/>
  <c r="BI47" i="2" s="1"/>
  <c r="EX100" i="1"/>
  <c r="EX110" i="1" s="1"/>
  <c r="I47" i="2" s="1"/>
  <c r="HF100" i="1"/>
  <c r="HF110" i="1" s="1"/>
  <c r="BQ47" i="2" s="1"/>
  <c r="HD100" i="1"/>
  <c r="HD110" i="1" s="1"/>
  <c r="BO47" i="2" s="1"/>
  <c r="GS100" i="1"/>
  <c r="GS110" i="1" s="1"/>
  <c r="BD47" i="2" s="1"/>
  <c r="S100" i="1"/>
  <c r="S110" i="1" s="1"/>
  <c r="I65" i="6" s="1"/>
  <c r="EV100" i="1"/>
  <c r="EV110" i="1" s="1"/>
  <c r="G47" i="2" s="1"/>
  <c r="JH100" i="1"/>
  <c r="JH110" i="1" s="1"/>
  <c r="DS47" i="2" s="1"/>
  <c r="IW100" i="1"/>
  <c r="IW110" i="1" s="1"/>
  <c r="DH47" i="2" s="1"/>
  <c r="HM100" i="1"/>
  <c r="HM110" i="1" s="1"/>
  <c r="BX47" i="2" s="1"/>
  <c r="IH100" i="1"/>
  <c r="IH110" i="1" s="1"/>
  <c r="CS47" i="2" s="1"/>
  <c r="IN100" i="1"/>
  <c r="IN110" i="1" s="1"/>
  <c r="CY47" i="2" s="1"/>
  <c r="JF100" i="1"/>
  <c r="JF110" i="1" s="1"/>
  <c r="DQ47" i="2" s="1"/>
  <c r="IV100" i="1"/>
  <c r="IV110" i="1" s="1"/>
  <c r="DG47" i="2" s="1"/>
  <c r="IF100" i="1"/>
  <c r="IF110" i="1" s="1"/>
  <c r="CQ47" i="2" s="1"/>
  <c r="FF100" i="1"/>
  <c r="FF110" i="1" s="1"/>
  <c r="Q47" i="2" s="1"/>
  <c r="GD100" i="1"/>
  <c r="GD110" i="1" s="1"/>
  <c r="AO47" i="2" s="1"/>
  <c r="GE100" i="1"/>
  <c r="GE110" i="1" s="1"/>
  <c r="AP47" i="2" s="1"/>
  <c r="Z100" i="1"/>
  <c r="Z110" i="1" s="1"/>
  <c r="P65" i="6" s="1"/>
  <c r="HW100" i="1"/>
  <c r="HW110" i="1" s="1"/>
  <c r="CH47" i="2" s="1"/>
  <c r="IC100" i="1"/>
  <c r="IC110" i="1" s="1"/>
  <c r="CN47" i="2" s="1"/>
  <c r="JR100" i="1"/>
  <c r="JR110" i="1" s="1"/>
  <c r="EC47" i="2" s="1"/>
  <c r="JS100" i="1"/>
  <c r="JS110" i="1" s="1"/>
  <c r="ED47" i="2" s="1"/>
  <c r="HE100" i="1"/>
  <c r="HE110" i="1" s="1"/>
  <c r="BP47" i="2" s="1"/>
  <c r="IT100" i="1"/>
  <c r="IT110" i="1" s="1"/>
  <c r="DE47" i="2" s="1"/>
  <c r="HY100" i="1"/>
  <c r="HY110" i="1" s="1"/>
  <c r="CJ47" i="2" s="1"/>
  <c r="FQ100" i="1"/>
  <c r="FQ110" i="1" s="1"/>
  <c r="AB47" i="2" s="1"/>
  <c r="HJ100" i="1"/>
  <c r="HJ110" i="1" s="1"/>
  <c r="BU47" i="2" s="1"/>
  <c r="GK100" i="1"/>
  <c r="GK110" i="1" s="1"/>
  <c r="AV47" i="2" s="1"/>
  <c r="FS100" i="1"/>
  <c r="FS110" i="1" s="1"/>
  <c r="AD47" i="2" s="1"/>
  <c r="IM100" i="1"/>
  <c r="IM110" i="1" s="1"/>
  <c r="CX47" i="2" s="1"/>
  <c r="FN100" i="1"/>
  <c r="FN110" i="1" s="1"/>
  <c r="Y47" i="2" s="1"/>
  <c r="HS100" i="1"/>
  <c r="HS110" i="1" s="1"/>
  <c r="CD47" i="2" s="1"/>
  <c r="FM100" i="1"/>
  <c r="FM110" i="1" s="1"/>
  <c r="X47" i="2" s="1"/>
  <c r="IE100" i="1"/>
  <c r="IE110" i="1" s="1"/>
  <c r="CP47" i="2" s="1"/>
  <c r="GF100" i="1"/>
  <c r="GF110" i="1" s="1"/>
  <c r="AQ47" i="2" s="1"/>
  <c r="AN100" i="1"/>
  <c r="AN110" i="1" s="1"/>
  <c r="AD65" i="6" s="1"/>
  <c r="FG100" i="1"/>
  <c r="FG110" i="1" s="1"/>
  <c r="R47" i="2" s="1"/>
  <c r="T100" i="1"/>
  <c r="T110" i="1" s="1"/>
  <c r="J65" i="6" s="1"/>
  <c r="JM100" i="1"/>
  <c r="JM110" i="1" s="1"/>
  <c r="DX47" i="2" s="1"/>
  <c r="IY100" i="1"/>
  <c r="IY110" i="1" s="1"/>
  <c r="DJ47" i="2" s="1"/>
  <c r="IJ100" i="1"/>
  <c r="IJ110" i="1" s="1"/>
  <c r="CU47" i="2" s="1"/>
  <c r="HK100" i="1"/>
  <c r="HK110" i="1" s="1"/>
  <c r="BV47" i="2" s="1"/>
  <c r="JK100" i="1"/>
  <c r="JK110" i="1" s="1"/>
  <c r="DV47" i="2" s="1"/>
  <c r="D322" i="45" l="1"/>
  <c r="AC100" i="1"/>
  <c r="AC110" i="1" s="1"/>
  <c r="S65" i="6" s="1"/>
  <c r="AO100" i="1"/>
  <c r="AO110" i="1" s="1"/>
  <c r="AE65" i="6" s="1"/>
  <c r="CX660" i="71"/>
  <c r="CY4" i="71"/>
  <c r="CX22" i="71"/>
  <c r="CX12" i="71"/>
  <c r="CX6" i="71"/>
  <c r="CX5" i="71"/>
  <c r="CX8" i="71"/>
  <c r="CW20" i="71"/>
  <c r="CW7" i="71"/>
  <c r="CW21" i="71"/>
  <c r="CW195" i="71"/>
  <c r="M190" i="68" s="1"/>
  <c r="S1083" i="1"/>
  <c r="S1080" i="1"/>
  <c r="S1081" i="1"/>
  <c r="S1084" i="1"/>
  <c r="S1082" i="1"/>
  <c r="S1086" i="1"/>
  <c r="S1085" i="1"/>
  <c r="S1078" i="1"/>
  <c r="S1087" i="1"/>
  <c r="S1088" i="1"/>
  <c r="S1077" i="1"/>
  <c r="S1079" i="1"/>
  <c r="CI244" i="1"/>
  <c r="R1088" i="1" s="1"/>
  <c r="N46" i="20"/>
  <c r="H46" i="20"/>
  <c r="K46" i="20"/>
  <c r="F46" i="20"/>
  <c r="M46" i="20"/>
  <c r="J46" i="20"/>
  <c r="G46" i="20"/>
  <c r="L46" i="20"/>
  <c r="E46" i="20"/>
  <c r="D46" i="20"/>
  <c r="EH47" i="2"/>
  <c r="D24" i="64" s="1"/>
  <c r="I46" i="20"/>
  <c r="E49" i="21"/>
  <c r="D323" i="45" l="1"/>
  <c r="AD100" i="1"/>
  <c r="AD110" i="1" s="1"/>
  <c r="T65" i="6" s="1"/>
  <c r="AP100" i="1"/>
  <c r="AP110" i="1" s="1"/>
  <c r="AF65" i="6" s="1"/>
  <c r="CX20" i="71"/>
  <c r="CX7" i="71"/>
  <c r="CX21" i="71"/>
  <c r="CY8" i="71"/>
  <c r="CX195" i="71"/>
  <c r="CY5" i="71"/>
  <c r="CY660" i="71"/>
  <c r="CY6" i="71"/>
  <c r="CZ4" i="71"/>
  <c r="CY22" i="71"/>
  <c r="CY12" i="71"/>
  <c r="CX33" i="71" s="1"/>
  <c r="S1091" i="1"/>
  <c r="S1099" i="1"/>
  <c r="S1089" i="1"/>
  <c r="S1098" i="1"/>
  <c r="S1090" i="1"/>
  <c r="S1100" i="1"/>
  <c r="S1093" i="1"/>
  <c r="S1096" i="1"/>
  <c r="S1094" i="1"/>
  <c r="S1097" i="1"/>
  <c r="S1092" i="1"/>
  <c r="S1095" i="1"/>
  <c r="E24" i="64"/>
  <c r="F24" i="64"/>
  <c r="CJ244" i="1"/>
  <c r="R1100" i="1" s="1"/>
  <c r="L66" i="3"/>
  <c r="D24" i="42"/>
  <c r="O46" i="20"/>
  <c r="AE100" i="1" l="1"/>
  <c r="D324" i="45"/>
  <c r="F22" i="73"/>
  <c r="AQ100" i="1"/>
  <c r="AQ110" i="1" s="1"/>
  <c r="AG65" i="6" s="1"/>
  <c r="CY20" i="71"/>
  <c r="CZ8" i="71"/>
  <c r="CY21" i="71"/>
  <c r="CY7" i="71"/>
  <c r="CY195" i="71"/>
  <c r="CZ12" i="71"/>
  <c r="CY33" i="71" s="1"/>
  <c r="CZ5" i="71"/>
  <c r="CZ22" i="71"/>
  <c r="CZ660" i="71"/>
  <c r="CZ6" i="71"/>
  <c r="DA4" i="71"/>
  <c r="S1107" i="1"/>
  <c r="S1108" i="1"/>
  <c r="S1109" i="1"/>
  <c r="S1102" i="1"/>
  <c r="S1111" i="1"/>
  <c r="S1112" i="1"/>
  <c r="S1101" i="1"/>
  <c r="S1103" i="1"/>
  <c r="S1104" i="1"/>
  <c r="S1105" i="1"/>
  <c r="S1106" i="1"/>
  <c r="S1110" i="1"/>
  <c r="CK244" i="1"/>
  <c r="R1112" i="1" s="1"/>
  <c r="L23" i="55"/>
  <c r="S23" i="55"/>
  <c r="K125" i="3"/>
  <c r="L64" i="3"/>
  <c r="D31" i="23"/>
  <c r="M66" i="3"/>
  <c r="N66" i="3"/>
  <c r="E24" i="42"/>
  <c r="G22" i="73" s="1"/>
  <c r="I27" i="38"/>
  <c r="F24" i="42"/>
  <c r="H22" i="73" s="1"/>
  <c r="AE110" i="1" l="1"/>
  <c r="U65" i="6" s="1"/>
  <c r="AF100" i="1"/>
  <c r="AF110" i="1" s="1"/>
  <c r="V65" i="6" s="1"/>
  <c r="AR100" i="1"/>
  <c r="D325" i="45"/>
  <c r="CZ21" i="71"/>
  <c r="DA8" i="71"/>
  <c r="CZ20" i="71"/>
  <c r="CZ7" i="71"/>
  <c r="CZ195" i="71"/>
  <c r="DA660" i="71"/>
  <c r="DA12" i="71"/>
  <c r="CZ33" i="71" s="1"/>
  <c r="DA5" i="71"/>
  <c r="DA6" i="71"/>
  <c r="DA22" i="71"/>
  <c r="DB4" i="71"/>
  <c r="S1115" i="1"/>
  <c r="S1123" i="1"/>
  <c r="S1117" i="1"/>
  <c r="S1118" i="1"/>
  <c r="S1120" i="1"/>
  <c r="S1114" i="1"/>
  <c r="S1122" i="1"/>
  <c r="S1113" i="1"/>
  <c r="S1116" i="1"/>
  <c r="S1119" i="1"/>
  <c r="S1121" i="1"/>
  <c r="S1124" i="1"/>
  <c r="CL244" i="1"/>
  <c r="R1124" i="1" s="1"/>
  <c r="V125" i="3"/>
  <c r="M23" i="55"/>
  <c r="T23" i="55"/>
  <c r="L65" i="3"/>
  <c r="D32" i="23"/>
  <c r="M64" i="3"/>
  <c r="N64" i="3"/>
  <c r="L125" i="3"/>
  <c r="T125" i="3"/>
  <c r="M125" i="3"/>
  <c r="AG100" i="1" l="1"/>
  <c r="AH100" i="1" s="1"/>
  <c r="AS100" i="1"/>
  <c r="AS110" i="1" s="1"/>
  <c r="AI65" i="6" s="1"/>
  <c r="AR110" i="1"/>
  <c r="AH65" i="6" s="1"/>
  <c r="D326" i="45"/>
  <c r="DA20" i="71"/>
  <c r="DB8" i="71"/>
  <c r="DA7" i="71"/>
  <c r="DA21" i="71"/>
  <c r="DA195" i="71"/>
  <c r="DB22" i="71"/>
  <c r="DB6" i="71"/>
  <c r="DB660" i="71"/>
  <c r="DB5" i="71"/>
  <c r="DC4" i="71"/>
  <c r="DB12" i="71"/>
  <c r="DA33" i="71" s="1"/>
  <c r="S1131" i="1"/>
  <c r="S1126" i="1"/>
  <c r="S1135" i="1"/>
  <c r="S1127" i="1"/>
  <c r="S1136" i="1"/>
  <c r="S1129" i="1"/>
  <c r="S1125" i="1"/>
  <c r="S1128" i="1"/>
  <c r="S1130" i="1"/>
  <c r="S1132" i="1"/>
  <c r="S1133" i="1"/>
  <c r="S1134" i="1"/>
  <c r="CM244" i="1"/>
  <c r="R1136" i="1" s="1"/>
  <c r="N65" i="3"/>
  <c r="M65" i="3"/>
  <c r="D33" i="23"/>
  <c r="AG110" i="1" l="1"/>
  <c r="W65" i="6" s="1"/>
  <c r="AT100" i="1"/>
  <c r="AU100" i="1" s="1"/>
  <c r="D327" i="45"/>
  <c r="DC22" i="71"/>
  <c r="DC6" i="71"/>
  <c r="DD4" i="71"/>
  <c r="DC660" i="71"/>
  <c r="DC12" i="71"/>
  <c r="DB33" i="71" s="1"/>
  <c r="DC5" i="71"/>
  <c r="DB7" i="71"/>
  <c r="DB21" i="71"/>
  <c r="DC8" i="71"/>
  <c r="DB20" i="71"/>
  <c r="DB195" i="71"/>
  <c r="S1139" i="1"/>
  <c r="S1147" i="1"/>
  <c r="S1144" i="1"/>
  <c r="S1145" i="1"/>
  <c r="S1138" i="1"/>
  <c r="S1148" i="1"/>
  <c r="S1141" i="1"/>
  <c r="S1143" i="1"/>
  <c r="S1142" i="1"/>
  <c r="S1137" i="1"/>
  <c r="S1146" i="1"/>
  <c r="S1140" i="1"/>
  <c r="CN244" i="1"/>
  <c r="R1148" i="1" s="1"/>
  <c r="AH110" i="1"/>
  <c r="X65" i="6" s="1"/>
  <c r="AI100" i="1"/>
  <c r="AT110" i="1" l="1"/>
  <c r="AJ65" i="6" s="1"/>
  <c r="D328" i="45"/>
  <c r="DD5" i="71"/>
  <c r="DD22" i="71"/>
  <c r="DE4" i="71"/>
  <c r="DD660" i="71"/>
  <c r="DD6" i="71"/>
  <c r="DD12" i="71"/>
  <c r="DC33" i="71" s="1"/>
  <c r="DC21" i="71"/>
  <c r="DD8" i="71"/>
  <c r="DC7" i="71"/>
  <c r="DC20" i="71"/>
  <c r="DC195" i="71"/>
  <c r="S1155" i="1"/>
  <c r="S1153" i="1"/>
  <c r="S1154" i="1"/>
  <c r="S1157" i="1"/>
  <c r="S1156" i="1"/>
  <c r="S1159" i="1"/>
  <c r="S1158" i="1"/>
  <c r="S1160" i="1"/>
  <c r="S1149" i="1"/>
  <c r="S1150" i="1"/>
  <c r="S1151" i="1"/>
  <c r="S1152" i="1"/>
  <c r="CO244" i="1"/>
  <c r="R1160" i="1" s="1"/>
  <c r="AI110" i="1"/>
  <c r="Y65" i="6" s="1"/>
  <c r="AJ100" i="1"/>
  <c r="AU110" i="1"/>
  <c r="AK65" i="6" s="1"/>
  <c r="AV100" i="1"/>
  <c r="D329" i="45" l="1"/>
  <c r="DE660" i="71"/>
  <c r="DE5" i="71"/>
  <c r="DE22" i="71"/>
  <c r="DE6" i="71"/>
  <c r="DE12" i="71"/>
  <c r="DD33" i="71" s="1"/>
  <c r="DF4" i="71"/>
  <c r="DE8" i="71"/>
  <c r="DD20" i="71"/>
  <c r="DD21" i="71"/>
  <c r="DD7" i="71"/>
  <c r="DD195" i="71"/>
  <c r="S1163" i="1"/>
  <c r="S1171" i="1"/>
  <c r="S1162" i="1"/>
  <c r="S1172" i="1"/>
  <c r="S1164" i="1"/>
  <c r="S1166" i="1"/>
  <c r="S1169" i="1"/>
  <c r="S1167" i="1"/>
  <c r="S1170" i="1"/>
  <c r="S1161" i="1"/>
  <c r="S1165" i="1"/>
  <c r="S1168" i="1"/>
  <c r="CP244" i="1"/>
  <c r="R1172" i="1" s="1"/>
  <c r="AJ110" i="1"/>
  <c r="Z65" i="6" s="1"/>
  <c r="AK100" i="1"/>
  <c r="AV110" i="1"/>
  <c r="AL65" i="6" s="1"/>
  <c r="AW100" i="1"/>
  <c r="D330" i="45" l="1"/>
  <c r="DF660" i="71"/>
  <c r="DF22" i="71"/>
  <c r="DF6" i="71"/>
  <c r="DG4" i="71"/>
  <c r="DF12" i="71"/>
  <c r="DE33" i="71" s="1"/>
  <c r="DF5" i="71"/>
  <c r="DF8" i="71"/>
  <c r="DE20" i="71"/>
  <c r="DE7" i="71"/>
  <c r="DE21" i="71"/>
  <c r="DE195" i="71"/>
  <c r="S1179" i="1"/>
  <c r="S1181" i="1"/>
  <c r="S1173" i="1"/>
  <c r="S1182" i="1"/>
  <c r="S1175" i="1"/>
  <c r="S1184" i="1"/>
  <c r="S1174" i="1"/>
  <c r="S1180" i="1"/>
  <c r="S1176" i="1"/>
  <c r="S1177" i="1"/>
  <c r="S1178" i="1"/>
  <c r="S1183" i="1"/>
  <c r="CQ244" i="1"/>
  <c r="R1184" i="1" s="1"/>
  <c r="AK110" i="1"/>
  <c r="AA65" i="6" s="1"/>
  <c r="AL100" i="1"/>
  <c r="AW110" i="1"/>
  <c r="AM65" i="6" s="1"/>
  <c r="AX100" i="1"/>
  <c r="D331" i="45" l="1"/>
  <c r="DH4" i="71"/>
  <c r="DG12" i="71"/>
  <c r="DF33" i="71" s="1"/>
  <c r="DG5" i="71"/>
  <c r="DG660" i="71"/>
  <c r="DG6" i="71"/>
  <c r="DG22" i="71"/>
  <c r="DG8" i="71"/>
  <c r="DF20" i="71"/>
  <c r="DF7" i="71"/>
  <c r="DF21" i="71"/>
  <c r="DF195" i="71"/>
  <c r="S1187" i="1"/>
  <c r="S1195" i="1"/>
  <c r="S1190" i="1"/>
  <c r="S1191" i="1"/>
  <c r="S1193" i="1"/>
  <c r="S1185" i="1"/>
  <c r="S1188" i="1"/>
  <c r="S1196" i="1"/>
  <c r="S1186" i="1"/>
  <c r="S1189" i="1"/>
  <c r="S1192" i="1"/>
  <c r="S1194" i="1"/>
  <c r="CR244" i="1"/>
  <c r="R1196" i="1" s="1"/>
  <c r="AX110" i="1"/>
  <c r="AN65" i="6" s="1"/>
  <c r="AY100" i="1"/>
  <c r="AL110" i="1"/>
  <c r="AB65" i="6" s="1"/>
  <c r="AM100" i="1"/>
  <c r="AM110" i="1" s="1"/>
  <c r="AC65" i="6" s="1"/>
  <c r="Z185" i="30" l="1"/>
  <c r="Z186" i="30" s="1"/>
  <c r="W185" i="30"/>
  <c r="W186" i="30" s="1"/>
  <c r="AA185" i="30"/>
  <c r="AA186" i="30" s="1"/>
  <c r="Q185" i="30"/>
  <c r="Q186" i="30" s="1"/>
  <c r="R185" i="30"/>
  <c r="R186" i="30" s="1"/>
  <c r="T185" i="30"/>
  <c r="T186" i="30" s="1"/>
  <c r="U185" i="30"/>
  <c r="U186" i="30" s="1"/>
  <c r="V185" i="30"/>
  <c r="V186" i="30" s="1"/>
  <c r="S185" i="30"/>
  <c r="S186" i="30" s="1"/>
  <c r="Y185" i="30"/>
  <c r="Y186" i="30" s="1"/>
  <c r="X185" i="30"/>
  <c r="X186" i="30" s="1"/>
  <c r="D332" i="45"/>
  <c r="DG20" i="71"/>
  <c r="DG7" i="71"/>
  <c r="DH8" i="71"/>
  <c r="DG21" i="71"/>
  <c r="DG195" i="71"/>
  <c r="DH5" i="71"/>
  <c r="DH22" i="71"/>
  <c r="DH660" i="71"/>
  <c r="DH12" i="71"/>
  <c r="DG33" i="71" s="1"/>
  <c r="DH6" i="71"/>
  <c r="DI4" i="71"/>
  <c r="AY110" i="1"/>
  <c r="AO65" i="6" s="1"/>
  <c r="AZ100" i="1"/>
  <c r="S1203" i="1"/>
  <c r="S1199" i="1"/>
  <c r="S1208" i="1"/>
  <c r="S1200" i="1"/>
  <c r="S1202" i="1"/>
  <c r="S1198" i="1"/>
  <c r="S1201" i="1"/>
  <c r="S1204" i="1"/>
  <c r="S1205" i="1"/>
  <c r="S1206" i="1"/>
  <c r="S1207" i="1"/>
  <c r="S1197" i="1"/>
  <c r="CS244" i="1"/>
  <c r="R1208" i="1" s="1"/>
  <c r="F49" i="21"/>
  <c r="AB185" i="30" l="1"/>
  <c r="AB186" i="30" s="1"/>
  <c r="D333" i="45"/>
  <c r="DI6" i="71"/>
  <c r="DI22" i="71"/>
  <c r="DI12" i="71"/>
  <c r="DH33" i="71" s="1"/>
  <c r="DI5" i="71"/>
  <c r="DI660" i="71"/>
  <c r="DJ4" i="71"/>
  <c r="DH7" i="71"/>
  <c r="DH21" i="71"/>
  <c r="DI8" i="71"/>
  <c r="DH20" i="71"/>
  <c r="DH195" i="71"/>
  <c r="Z193" i="71"/>
  <c r="Z194" i="71" s="1"/>
  <c r="AA193" i="71"/>
  <c r="U193" i="71"/>
  <c r="Q193" i="71"/>
  <c r="T193" i="71"/>
  <c r="T194" i="71" s="1"/>
  <c r="S193" i="71"/>
  <c r="S194" i="71" s="1"/>
  <c r="W193" i="71"/>
  <c r="W194" i="71" s="1"/>
  <c r="X193" i="71"/>
  <c r="V193" i="71"/>
  <c r="V194" i="71" s="1"/>
  <c r="AB193" i="71"/>
  <c r="AB194" i="71" s="1"/>
  <c r="Y193" i="71"/>
  <c r="Y194" i="71" s="1"/>
  <c r="R193" i="71"/>
  <c r="AZ110" i="1"/>
  <c r="AP65" i="6" s="1"/>
  <c r="BA100" i="1"/>
  <c r="S1211" i="1"/>
  <c r="S1219" i="1"/>
  <c r="S1217" i="1"/>
  <c r="S1209" i="1"/>
  <c r="S1218" i="1"/>
  <c r="S1212" i="1"/>
  <c r="S1214" i="1"/>
  <c r="S1216" i="1"/>
  <c r="S1215" i="1"/>
  <c r="S1220" i="1"/>
  <c r="S1210" i="1"/>
  <c r="S1213" i="1"/>
  <c r="CT244" i="1"/>
  <c r="R1220" i="1" s="1"/>
  <c r="E185" i="32"/>
  <c r="E184" i="32"/>
  <c r="E71" i="21"/>
  <c r="E72" i="21"/>
  <c r="AC185" i="30" l="1"/>
  <c r="AC186" i="30" s="1"/>
  <c r="D334" i="45"/>
  <c r="DJ660" i="71"/>
  <c r="DJ12" i="71"/>
  <c r="DI33" i="71" s="1"/>
  <c r="DJ5" i="71"/>
  <c r="DJ22" i="71"/>
  <c r="DK4" i="71"/>
  <c r="DJ6" i="71"/>
  <c r="DI21" i="71"/>
  <c r="DJ8" i="71"/>
  <c r="DI20" i="71"/>
  <c r="DI7" i="71"/>
  <c r="DI195" i="71"/>
  <c r="N190" i="68" s="1"/>
  <c r="R194" i="71"/>
  <c r="J190" i="69"/>
  <c r="X194" i="71"/>
  <c r="L190" i="69"/>
  <c r="L191" i="69" s="1"/>
  <c r="Q194" i="71"/>
  <c r="F188" i="68"/>
  <c r="U194" i="71"/>
  <c r="K190" i="69"/>
  <c r="K191" i="69" s="1"/>
  <c r="AA194" i="71"/>
  <c r="M190" i="69"/>
  <c r="M191" i="69" s="1"/>
  <c r="BA110" i="1"/>
  <c r="AQ65" i="6" s="1"/>
  <c r="BB100" i="1"/>
  <c r="G49" i="21"/>
  <c r="S1227" i="1"/>
  <c r="S1226" i="1"/>
  <c r="S1228" i="1"/>
  <c r="S1221" i="1"/>
  <c r="S1230" i="1"/>
  <c r="S1229" i="1"/>
  <c r="S1224" i="1"/>
  <c r="S1231" i="1"/>
  <c r="S1232" i="1"/>
  <c r="S1222" i="1"/>
  <c r="S1223" i="1"/>
  <c r="S1225" i="1"/>
  <c r="CU244" i="1"/>
  <c r="R1232" i="1" s="1"/>
  <c r="E95" i="21"/>
  <c r="E94" i="21"/>
  <c r="AD185" i="30" l="1"/>
  <c r="AD186" i="30" s="1"/>
  <c r="D335" i="45"/>
  <c r="DK6" i="71"/>
  <c r="DK5" i="71"/>
  <c r="DK22" i="71"/>
  <c r="DL4" i="71"/>
  <c r="DK660" i="71"/>
  <c r="DK12" i="71"/>
  <c r="DJ33" i="71" s="1"/>
  <c r="DJ21" i="71"/>
  <c r="DK8" i="71"/>
  <c r="DJ20" i="71"/>
  <c r="DJ7" i="71"/>
  <c r="DJ195" i="71"/>
  <c r="AC193" i="71"/>
  <c r="F189" i="68"/>
  <c r="AD193" i="71"/>
  <c r="J191" i="69"/>
  <c r="F184" i="32"/>
  <c r="F185" i="32"/>
  <c r="BB110" i="1"/>
  <c r="AR65" i="6" s="1"/>
  <c r="BC100" i="1"/>
  <c r="S1235" i="1"/>
  <c r="S1243" i="1"/>
  <c r="S1236" i="1"/>
  <c r="S1237" i="1"/>
  <c r="S1239" i="1"/>
  <c r="S1242" i="1"/>
  <c r="S1244" i="1"/>
  <c r="S1240" i="1"/>
  <c r="S1233" i="1"/>
  <c r="S1234" i="1"/>
  <c r="S1238" i="1"/>
  <c r="S1241" i="1"/>
  <c r="CV244" i="1"/>
  <c r="R1244" i="1" s="1"/>
  <c r="AE185" i="30" l="1"/>
  <c r="AE186" i="30" s="1"/>
  <c r="D336" i="45"/>
  <c r="DL660" i="71"/>
  <c r="DL5" i="71"/>
  <c r="DL22" i="71"/>
  <c r="DL6" i="71"/>
  <c r="DM4" i="71"/>
  <c r="DL12" i="71"/>
  <c r="DK33" i="71" s="1"/>
  <c r="DL8" i="71"/>
  <c r="DK20" i="71"/>
  <c r="DK7" i="71"/>
  <c r="DK21" i="71"/>
  <c r="DK195" i="71"/>
  <c r="AD194" i="71"/>
  <c r="N190" i="69"/>
  <c r="AC194" i="71"/>
  <c r="G188" i="68"/>
  <c r="BD100" i="1"/>
  <c r="BC110" i="1"/>
  <c r="AS65" i="6" s="1"/>
  <c r="S1251" i="1"/>
  <c r="S1245" i="1"/>
  <c r="S1254" i="1"/>
  <c r="S1246" i="1"/>
  <c r="S1255" i="1"/>
  <c r="S1248" i="1"/>
  <c r="S1247" i="1"/>
  <c r="S1249" i="1"/>
  <c r="S1250" i="1"/>
  <c r="S1252" i="1"/>
  <c r="S1253" i="1"/>
  <c r="S1256" i="1"/>
  <c r="CW244" i="1"/>
  <c r="R1256" i="1" s="1"/>
  <c r="BL100" i="1"/>
  <c r="AF185" i="30" l="1"/>
  <c r="AF186" i="30" s="1"/>
  <c r="D337" i="45"/>
  <c r="DN4" i="71"/>
  <c r="DM12" i="71"/>
  <c r="DL33" i="71" s="1"/>
  <c r="DM660" i="71"/>
  <c r="DM5" i="71"/>
  <c r="DM22" i="71"/>
  <c r="DM6" i="71"/>
  <c r="DM8" i="71"/>
  <c r="DL21" i="71"/>
  <c r="DL20" i="71"/>
  <c r="DL7" i="71"/>
  <c r="DL195" i="71"/>
  <c r="AE193" i="71"/>
  <c r="N191" i="69"/>
  <c r="G189" i="68"/>
  <c r="BD110" i="1"/>
  <c r="AT65" i="6" s="1"/>
  <c r="BE100" i="1"/>
  <c r="S1259" i="1"/>
  <c r="S1267" i="1"/>
  <c r="S1263" i="1"/>
  <c r="S1264" i="1"/>
  <c r="S1257" i="1"/>
  <c r="S1266" i="1"/>
  <c r="S1258" i="1"/>
  <c r="S1260" i="1"/>
  <c r="S1261" i="1"/>
  <c r="S1262" i="1"/>
  <c r="S1265" i="1"/>
  <c r="S1268" i="1"/>
  <c r="CX244" i="1"/>
  <c r="R1268" i="1" s="1"/>
  <c r="BL110" i="1"/>
  <c r="BB65" i="6" s="1"/>
  <c r="BM100" i="1"/>
  <c r="AG185" i="30" l="1"/>
  <c r="AG186" i="30" s="1"/>
  <c r="D338" i="45"/>
  <c r="DN8" i="71"/>
  <c r="DM20" i="71"/>
  <c r="DM7" i="71"/>
  <c r="DM21" i="71"/>
  <c r="DM195" i="71"/>
  <c r="DN660" i="71"/>
  <c r="DN22" i="71"/>
  <c r="DN6" i="71"/>
  <c r="DO4" i="71"/>
  <c r="DN12" i="71"/>
  <c r="DM33" i="71" s="1"/>
  <c r="DN5" i="71"/>
  <c r="AF193" i="71"/>
  <c r="AF194" i="71" s="1"/>
  <c r="AE194" i="71"/>
  <c r="BE110" i="1"/>
  <c r="AU65" i="6" s="1"/>
  <c r="BF100" i="1"/>
  <c r="S1275" i="1"/>
  <c r="S1272" i="1"/>
  <c r="S1273" i="1"/>
  <c r="S1276" i="1"/>
  <c r="S1271" i="1"/>
  <c r="S1277" i="1"/>
  <c r="S1269" i="1"/>
  <c r="S1274" i="1"/>
  <c r="S1278" i="1"/>
  <c r="S1279" i="1"/>
  <c r="S1280" i="1"/>
  <c r="S1270" i="1"/>
  <c r="CY244" i="1"/>
  <c r="R1280" i="1" s="1"/>
  <c r="BN100" i="1"/>
  <c r="BM110" i="1"/>
  <c r="BC65" i="6" s="1"/>
  <c r="AH185" i="30" l="1"/>
  <c r="AH186" i="30" s="1"/>
  <c r="D339" i="45"/>
  <c r="DO8" i="71"/>
  <c r="DN20" i="71"/>
  <c r="DN7" i="71"/>
  <c r="DN21" i="71"/>
  <c r="DN195" i="71"/>
  <c r="DP4" i="71"/>
  <c r="DO12" i="71"/>
  <c r="DN33" i="71" s="1"/>
  <c r="DO5" i="71"/>
  <c r="DO660" i="71"/>
  <c r="DO22" i="71"/>
  <c r="DO6" i="71"/>
  <c r="AG193" i="71"/>
  <c r="AH193" i="71"/>
  <c r="AH194" i="71" s="1"/>
  <c r="BF110" i="1"/>
  <c r="AV65" i="6" s="1"/>
  <c r="BG100" i="1"/>
  <c r="S1283" i="1"/>
  <c r="S1291" i="1"/>
  <c r="S1281" i="1"/>
  <c r="S1290" i="1"/>
  <c r="S1282" i="1"/>
  <c r="S1292" i="1"/>
  <c r="S1285" i="1"/>
  <c r="S1287" i="1"/>
  <c r="S1288" i="1"/>
  <c r="S1289" i="1"/>
  <c r="S1284" i="1"/>
  <c r="S1286" i="1"/>
  <c r="CZ244" i="1"/>
  <c r="R1292" i="1" s="1"/>
  <c r="BN110" i="1"/>
  <c r="BD65" i="6" s="1"/>
  <c r="BO100" i="1"/>
  <c r="AI185" i="30" l="1"/>
  <c r="D340" i="45"/>
  <c r="DO20" i="71"/>
  <c r="DO7" i="71"/>
  <c r="DP8" i="71"/>
  <c r="DO21" i="71"/>
  <c r="DO195" i="71"/>
  <c r="DP5" i="71"/>
  <c r="DP22" i="71"/>
  <c r="DP6" i="71"/>
  <c r="DQ4" i="71"/>
  <c r="DP660" i="71"/>
  <c r="DP12" i="71"/>
  <c r="DO33" i="71" s="1"/>
  <c r="AG194" i="71"/>
  <c r="O190" i="69"/>
  <c r="BG110" i="1"/>
  <c r="AW65" i="6" s="1"/>
  <c r="BH100" i="1"/>
  <c r="S1299" i="1"/>
  <c r="S1300" i="1"/>
  <c r="S1301" i="1"/>
  <c r="S1294" i="1"/>
  <c r="S1303" i="1"/>
  <c r="S1302" i="1"/>
  <c r="S1304" i="1"/>
  <c r="S1297" i="1"/>
  <c r="S1293" i="1"/>
  <c r="S1295" i="1"/>
  <c r="S1296" i="1"/>
  <c r="S1298" i="1"/>
  <c r="DA244" i="1"/>
  <c r="R1304" i="1" s="1"/>
  <c r="BO110" i="1"/>
  <c r="BE65" i="6" s="1"/>
  <c r="BP100" i="1"/>
  <c r="AI186" i="30" l="1"/>
  <c r="AI193" i="71"/>
  <c r="AI194" i="71" s="1"/>
  <c r="AJ185" i="30"/>
  <c r="AJ186" i="30" s="1"/>
  <c r="D341" i="45"/>
  <c r="DP20" i="71"/>
  <c r="DP21" i="71"/>
  <c r="DQ8" i="71"/>
  <c r="DP7" i="71"/>
  <c r="DP195" i="71"/>
  <c r="DQ5" i="71"/>
  <c r="DQ6" i="71"/>
  <c r="DQ22" i="71"/>
  <c r="DQ660" i="71"/>
  <c r="DQ12" i="71"/>
  <c r="DP33" i="71" s="1"/>
  <c r="DR4" i="71"/>
  <c r="O191" i="69"/>
  <c r="BI100" i="1"/>
  <c r="BH110" i="1"/>
  <c r="AX65" i="6" s="1"/>
  <c r="S1308" i="1"/>
  <c r="S1316" i="1"/>
  <c r="S1309" i="1"/>
  <c r="S1311" i="1"/>
  <c r="S1314" i="1"/>
  <c r="S1305" i="1"/>
  <c r="S1312" i="1"/>
  <c r="S1315" i="1"/>
  <c r="S1306" i="1"/>
  <c r="S1307" i="1"/>
  <c r="S1310" i="1"/>
  <c r="S1313" i="1"/>
  <c r="DB244" i="1"/>
  <c r="R1316" i="1" s="1"/>
  <c r="BP110" i="1"/>
  <c r="BF65" i="6" s="1"/>
  <c r="BQ100" i="1"/>
  <c r="AK185" i="30" l="1"/>
  <c r="AK186" i="30" s="1"/>
  <c r="D342" i="45"/>
  <c r="DQ20" i="71"/>
  <c r="DQ7" i="71"/>
  <c r="DQ21" i="71"/>
  <c r="DR8" i="71"/>
  <c r="DQ195" i="71"/>
  <c r="DR22" i="71"/>
  <c r="DS4" i="71"/>
  <c r="DR660" i="71"/>
  <c r="DR6" i="71"/>
  <c r="DR12" i="71"/>
  <c r="DQ33" i="71" s="1"/>
  <c r="DR5" i="71"/>
  <c r="AJ193" i="71"/>
  <c r="BI110" i="1"/>
  <c r="AY65" i="6" s="1"/>
  <c r="BJ100" i="1"/>
  <c r="S1324" i="1"/>
  <c r="S1317" i="1"/>
  <c r="S1325" i="1"/>
  <c r="S1319" i="1"/>
  <c r="S1327" i="1"/>
  <c r="S1328" i="1"/>
  <c r="S1318" i="1"/>
  <c r="S1320" i="1"/>
  <c r="S1321" i="1"/>
  <c r="S1322" i="1"/>
  <c r="S1323" i="1"/>
  <c r="S1326" i="1"/>
  <c r="DC244" i="1"/>
  <c r="R1328" i="1" s="1"/>
  <c r="BQ110" i="1"/>
  <c r="BG65" i="6" s="1"/>
  <c r="BR100" i="1"/>
  <c r="AL185" i="30" l="1"/>
  <c r="AL186" i="30" s="1"/>
  <c r="D343" i="45"/>
  <c r="DS8" i="71"/>
  <c r="DR20" i="71"/>
  <c r="DR7" i="71"/>
  <c r="DR21" i="71"/>
  <c r="DR195" i="71"/>
  <c r="DS660" i="71"/>
  <c r="DS12" i="71"/>
  <c r="DR33" i="71" s="1"/>
  <c r="DS5" i="71"/>
  <c r="DS22" i="71"/>
  <c r="DS6" i="71"/>
  <c r="DT4" i="71"/>
  <c r="AJ194" i="71"/>
  <c r="P190" i="69"/>
  <c r="AK193" i="71"/>
  <c r="AK194" i="71" s="1"/>
  <c r="BJ110" i="1"/>
  <c r="AZ65" i="6" s="1"/>
  <c r="BK100" i="1"/>
  <c r="BK110" i="1" s="1"/>
  <c r="BA65" i="6" s="1"/>
  <c r="S1332" i="1"/>
  <c r="S1340" i="1"/>
  <c r="S1333" i="1"/>
  <c r="S1335" i="1"/>
  <c r="S1339" i="1"/>
  <c r="S1330" i="1"/>
  <c r="S1329" i="1"/>
  <c r="S1337" i="1"/>
  <c r="S1331" i="1"/>
  <c r="S1334" i="1"/>
  <c r="S1336" i="1"/>
  <c r="S1338" i="1"/>
  <c r="DD244" i="1"/>
  <c r="R1340" i="1" s="1"/>
  <c r="BS100" i="1"/>
  <c r="BR110" i="1"/>
  <c r="BH65" i="6" s="1"/>
  <c r="AO185" i="30" l="1"/>
  <c r="AO186" i="30" s="1"/>
  <c r="AN185" i="30"/>
  <c r="AN186" i="30" s="1"/>
  <c r="AQ185" i="30"/>
  <c r="AQ186" i="30" s="1"/>
  <c r="AP185" i="30"/>
  <c r="AP186" i="30" s="1"/>
  <c r="AR185" i="30"/>
  <c r="AR186" i="30" s="1"/>
  <c r="AS185" i="30"/>
  <c r="AS186" i="30" s="1"/>
  <c r="AM185" i="30"/>
  <c r="AM186" i="30" s="1"/>
  <c r="AU185" i="30"/>
  <c r="AU186" i="30" s="1"/>
  <c r="AT185" i="30"/>
  <c r="AT186" i="30" s="1"/>
  <c r="D344" i="45"/>
  <c r="H49" i="21"/>
  <c r="DS7" i="71"/>
  <c r="DS21" i="71"/>
  <c r="DT8" i="71"/>
  <c r="DS20" i="71"/>
  <c r="DS195" i="71"/>
  <c r="DT6" i="71"/>
  <c r="DU4" i="71"/>
  <c r="DT12" i="71"/>
  <c r="DS33" i="71" s="1"/>
  <c r="DT5" i="71"/>
  <c r="DT660" i="71"/>
  <c r="DT22" i="71"/>
  <c r="AM193" i="71"/>
  <c r="P191" i="69"/>
  <c r="AL193" i="71"/>
  <c r="AL194" i="71" s="1"/>
  <c r="S1348" i="1"/>
  <c r="S1341" i="1"/>
  <c r="S1349" i="1"/>
  <c r="S1343" i="1"/>
  <c r="S1351" i="1"/>
  <c r="S1350" i="1"/>
  <c r="S1342" i="1"/>
  <c r="S1344" i="1"/>
  <c r="S1345" i="1"/>
  <c r="S1346" i="1"/>
  <c r="S1347" i="1"/>
  <c r="S1352" i="1"/>
  <c r="DE244" i="1"/>
  <c r="R1352" i="1" s="1"/>
  <c r="BS110" i="1"/>
  <c r="BI65" i="6" s="1"/>
  <c r="BT100" i="1"/>
  <c r="AR193" i="71" l="1"/>
  <c r="AR194" i="71" s="1"/>
  <c r="AV185" i="30"/>
  <c r="AV186" i="30" s="1"/>
  <c r="D345" i="45"/>
  <c r="AP193" i="71"/>
  <c r="AP194" i="71" s="1"/>
  <c r="AU193" i="71"/>
  <c r="AU194" i="71" s="1"/>
  <c r="AQ193" i="71"/>
  <c r="AQ194" i="71" s="1"/>
  <c r="AN193" i="71"/>
  <c r="AN194" i="71" s="1"/>
  <c r="AT193" i="71"/>
  <c r="AT194" i="71" s="1"/>
  <c r="AS193" i="71"/>
  <c r="AS194" i="71" s="1"/>
  <c r="DU660" i="71"/>
  <c r="DU5" i="71"/>
  <c r="DU22" i="71"/>
  <c r="DU6" i="71"/>
  <c r="DV4" i="71"/>
  <c r="DU12" i="71"/>
  <c r="DT33" i="71" s="1"/>
  <c r="DU8" i="71"/>
  <c r="DT20" i="71"/>
  <c r="DT7" i="71"/>
  <c r="DT21" i="71"/>
  <c r="DT195" i="71"/>
  <c r="G185" i="32"/>
  <c r="AO193" i="71"/>
  <c r="AM194" i="71"/>
  <c r="Q190" i="69"/>
  <c r="Q191" i="69" s="1"/>
  <c r="G184" i="32"/>
  <c r="S1356" i="1"/>
  <c r="S1364" i="1"/>
  <c r="S1357" i="1"/>
  <c r="S1359" i="1"/>
  <c r="S1353" i="1"/>
  <c r="S1355" i="1"/>
  <c r="S1354" i="1"/>
  <c r="S1358" i="1"/>
  <c r="S1360" i="1"/>
  <c r="S1361" i="1"/>
  <c r="S1362" i="1"/>
  <c r="S1363" i="1"/>
  <c r="DF244" i="1"/>
  <c r="R1364" i="1" s="1"/>
  <c r="BT110" i="1"/>
  <c r="BJ65" i="6" s="1"/>
  <c r="BU100" i="1"/>
  <c r="AW185" i="30" l="1"/>
  <c r="AW186" i="30" s="1"/>
  <c r="R190" i="69"/>
  <c r="R191" i="69" s="1"/>
  <c r="D346" i="45"/>
  <c r="S190" i="69"/>
  <c r="S191" i="69" s="1"/>
  <c r="DV660" i="71"/>
  <c r="DV22" i="71"/>
  <c r="DV6" i="71"/>
  <c r="DW4" i="71"/>
  <c r="DV12" i="71"/>
  <c r="DV5" i="71"/>
  <c r="DV8" i="71"/>
  <c r="DU20" i="71"/>
  <c r="DU7" i="71"/>
  <c r="DU21" i="71"/>
  <c r="DU195" i="71"/>
  <c r="O190" i="68" s="1"/>
  <c r="C190" i="68" s="1"/>
  <c r="AO194" i="71"/>
  <c r="H188" i="68"/>
  <c r="AV193" i="71"/>
  <c r="S1372" i="1"/>
  <c r="S1365" i="1"/>
  <c r="S1373" i="1"/>
  <c r="S1367" i="1"/>
  <c r="S1375" i="1"/>
  <c r="S1366" i="1"/>
  <c r="S1368" i="1"/>
  <c r="S1369" i="1"/>
  <c r="S1376" i="1"/>
  <c r="S1370" i="1"/>
  <c r="S1371" i="1"/>
  <c r="S1374" i="1"/>
  <c r="DG244" i="1"/>
  <c r="R1376" i="1" s="1"/>
  <c r="BU110" i="1"/>
  <c r="BK65" i="6" s="1"/>
  <c r="BV100" i="1"/>
  <c r="AX185" i="30" l="1"/>
  <c r="AX186" i="30" s="1"/>
  <c r="D347" i="45"/>
  <c r="DU33" i="71"/>
  <c r="DW660" i="71"/>
  <c r="DW22" i="71"/>
  <c r="DW6" i="71"/>
  <c r="DX4" i="71"/>
  <c r="DW12" i="71"/>
  <c r="DW5" i="71"/>
  <c r="DV20" i="71"/>
  <c r="DV7" i="71"/>
  <c r="DV21" i="71"/>
  <c r="DW8" i="71"/>
  <c r="DV191" i="71"/>
  <c r="AT188" i="69" s="1"/>
  <c r="DV193" i="71"/>
  <c r="DV194" i="71" s="1"/>
  <c r="DV189" i="71"/>
  <c r="DV190" i="71"/>
  <c r="AT187" i="69" s="1"/>
  <c r="DV195" i="71"/>
  <c r="AV194" i="71"/>
  <c r="T190" i="69"/>
  <c r="T191" i="69" s="1"/>
  <c r="AW193" i="71"/>
  <c r="AW194" i="71" s="1"/>
  <c r="H189" i="68"/>
  <c r="S1380" i="1"/>
  <c r="S1388" i="1"/>
  <c r="S1381" i="1"/>
  <c r="S1383" i="1"/>
  <c r="S1378" i="1"/>
  <c r="S1387" i="1"/>
  <c r="S1379" i="1"/>
  <c r="S1382" i="1"/>
  <c r="S1384" i="1"/>
  <c r="S1385" i="1"/>
  <c r="S1386" i="1"/>
  <c r="S1377" i="1"/>
  <c r="DH244" i="1"/>
  <c r="R1388" i="1" s="1"/>
  <c r="BV110" i="1"/>
  <c r="BL65" i="6" s="1"/>
  <c r="AY185" i="30" s="1"/>
  <c r="AY186" i="30" s="1"/>
  <c r="BW100" i="1"/>
  <c r="D348" i="45" l="1"/>
  <c r="DX8" i="71"/>
  <c r="DW21" i="71"/>
  <c r="DW20" i="71"/>
  <c r="DW7" i="71"/>
  <c r="DW190" i="71"/>
  <c r="DW191" i="71"/>
  <c r="DW195" i="71"/>
  <c r="DW189" i="71"/>
  <c r="DW193" i="71"/>
  <c r="DW194" i="71" s="1"/>
  <c r="DX660" i="71"/>
  <c r="DX6" i="71"/>
  <c r="DY4" i="71"/>
  <c r="DX22" i="71"/>
  <c r="DX12" i="71"/>
  <c r="DX5" i="71"/>
  <c r="DV33" i="71"/>
  <c r="DV192" i="71"/>
  <c r="AX193" i="71"/>
  <c r="AX194" i="71" s="1"/>
  <c r="S1396" i="1"/>
  <c r="S1389" i="1"/>
  <c r="S1397" i="1"/>
  <c r="S1391" i="1"/>
  <c r="S1399" i="1"/>
  <c r="S1392" i="1"/>
  <c r="S1394" i="1"/>
  <c r="S1393" i="1"/>
  <c r="S1395" i="1"/>
  <c r="S1398" i="1"/>
  <c r="S1400" i="1"/>
  <c r="S1390" i="1"/>
  <c r="DI244" i="1"/>
  <c r="R1400" i="1" s="1"/>
  <c r="BW110" i="1"/>
  <c r="BM65" i="6" s="1"/>
  <c r="BX100" i="1"/>
  <c r="AZ185" i="30" l="1"/>
  <c r="AZ186" i="30" s="1"/>
  <c r="D349" i="45"/>
  <c r="DW192" i="71"/>
  <c r="DW202" i="71" s="1"/>
  <c r="DX7" i="71"/>
  <c r="DX21" i="71"/>
  <c r="DY8" i="71"/>
  <c r="DX195" i="71"/>
  <c r="DX191" i="71"/>
  <c r="DX189" i="71"/>
  <c r="DX193" i="71"/>
  <c r="DX194" i="71" s="1"/>
  <c r="DX190" i="71"/>
  <c r="DY5" i="71"/>
  <c r="DY6" i="71"/>
  <c r="DZ4" i="71"/>
  <c r="DY22" i="71"/>
  <c r="DY660" i="71"/>
  <c r="DY12" i="71"/>
  <c r="DW33" i="71"/>
  <c r="C20" i="71"/>
  <c r="DV200" i="71"/>
  <c r="DV199" i="71"/>
  <c r="DV202" i="71"/>
  <c r="DV196" i="71"/>
  <c r="DV201" i="71" s="1"/>
  <c r="AY193" i="71"/>
  <c r="AZ193" i="71"/>
  <c r="AZ194" i="71" s="1"/>
  <c r="S1404" i="1"/>
  <c r="S1412" i="1"/>
  <c r="S1405" i="1"/>
  <c r="S1407" i="1"/>
  <c r="S1403" i="1"/>
  <c r="S1406" i="1"/>
  <c r="S1408" i="1"/>
  <c r="S1409" i="1"/>
  <c r="S1410" i="1"/>
  <c r="S1411" i="1"/>
  <c r="S1401" i="1"/>
  <c r="S1402" i="1"/>
  <c r="DJ244" i="1"/>
  <c r="R1412" i="1" s="1"/>
  <c r="BY100" i="1"/>
  <c r="BX110" i="1"/>
  <c r="BN65" i="6" s="1"/>
  <c r="BA185" i="30" l="1"/>
  <c r="D350" i="45"/>
  <c r="DW199" i="71"/>
  <c r="DW196" i="71"/>
  <c r="DW201" i="71" s="1"/>
  <c r="DW200" i="71"/>
  <c r="DX192" i="71"/>
  <c r="DX202" i="71" s="1"/>
  <c r="EA4" i="71"/>
  <c r="DZ6" i="71"/>
  <c r="DZ12" i="71"/>
  <c r="DZ660" i="71"/>
  <c r="DZ5" i="71"/>
  <c r="DZ22" i="71"/>
  <c r="DY7" i="71"/>
  <c r="DY21" i="71"/>
  <c r="DZ8" i="71"/>
  <c r="DY195" i="71"/>
  <c r="DY193" i="71"/>
  <c r="DY194" i="71" s="1"/>
  <c r="DY191" i="71"/>
  <c r="AU188" i="69" s="1"/>
  <c r="DY190" i="71"/>
  <c r="AU187" i="69" s="1"/>
  <c r="DY189" i="71"/>
  <c r="DX33" i="71"/>
  <c r="AY194" i="71"/>
  <c r="U190" i="69"/>
  <c r="U191" i="69" s="1"/>
  <c r="S1420" i="1"/>
  <c r="S1413" i="1"/>
  <c r="S1421" i="1"/>
  <c r="S1415" i="1"/>
  <c r="S1423" i="1"/>
  <c r="S1417" i="1"/>
  <c r="S1419" i="1"/>
  <c r="S1418" i="1"/>
  <c r="S1414" i="1"/>
  <c r="S1422" i="1"/>
  <c r="S1424" i="1"/>
  <c r="S1416" i="1"/>
  <c r="DK244" i="1"/>
  <c r="BZ100" i="1"/>
  <c r="BY110" i="1"/>
  <c r="BO65" i="6" s="1"/>
  <c r="I49" i="21"/>
  <c r="BA186" i="30" l="1"/>
  <c r="H185" i="32" s="1"/>
  <c r="BA193" i="71"/>
  <c r="H184" i="32"/>
  <c r="BB185" i="30"/>
  <c r="BB186" i="30" s="1"/>
  <c r="D351" i="45"/>
  <c r="DX200" i="71"/>
  <c r="DX196" i="71"/>
  <c r="DX201" i="71" s="1"/>
  <c r="DY192" i="71"/>
  <c r="DY200" i="71" s="1"/>
  <c r="DX199" i="71"/>
  <c r="EA660" i="71"/>
  <c r="EA12" i="71"/>
  <c r="EA5" i="71"/>
  <c r="EA22" i="71"/>
  <c r="EA6" i="71"/>
  <c r="EB4" i="71"/>
  <c r="DY33" i="71"/>
  <c r="EA8" i="71"/>
  <c r="DZ7" i="71"/>
  <c r="DZ21" i="71"/>
  <c r="DZ195" i="71"/>
  <c r="DZ191" i="71"/>
  <c r="DZ189" i="71"/>
  <c r="DZ190" i="71"/>
  <c r="DZ193" i="71"/>
  <c r="DZ194" i="71" s="1"/>
  <c r="BA194" i="71"/>
  <c r="I188" i="68"/>
  <c r="R1436" i="1"/>
  <c r="R1424" i="1"/>
  <c r="DK245" i="1"/>
  <c r="BZ110" i="1"/>
  <c r="BP65" i="6" s="1"/>
  <c r="CA100" i="1"/>
  <c r="BC185" i="30" l="1"/>
  <c r="BC186" i="30" s="1"/>
  <c r="D352" i="45"/>
  <c r="DY202" i="71"/>
  <c r="DY196" i="71"/>
  <c r="DY201" i="71" s="1"/>
  <c r="DY199" i="71"/>
  <c r="DZ192" i="71"/>
  <c r="DZ196" i="71" s="1"/>
  <c r="DZ201" i="71" s="1"/>
  <c r="DZ33" i="71"/>
  <c r="EC4" i="71"/>
  <c r="EB12" i="71"/>
  <c r="EB5" i="71"/>
  <c r="EB660" i="71"/>
  <c r="EB22" i="71"/>
  <c r="EB6" i="71"/>
  <c r="EA7" i="71"/>
  <c r="EA21" i="71"/>
  <c r="EB8" i="71"/>
  <c r="EA193" i="71"/>
  <c r="EA194" i="71" s="1"/>
  <c r="EA190" i="71"/>
  <c r="EA195" i="71"/>
  <c r="EA191" i="71"/>
  <c r="EA189" i="71"/>
  <c r="BB193" i="71"/>
  <c r="I189" i="68"/>
  <c r="BC193" i="71"/>
  <c r="BC194" i="71" s="1"/>
  <c r="S1425" i="1"/>
  <c r="S1429" i="1"/>
  <c r="S1430" i="1"/>
  <c r="S1436" i="1"/>
  <c r="S1432" i="1"/>
  <c r="S1431" i="1"/>
  <c r="S1433" i="1"/>
  <c r="S1434" i="1"/>
  <c r="S1435" i="1"/>
  <c r="S1426" i="1"/>
  <c r="S1427" i="1"/>
  <c r="S1428" i="1"/>
  <c r="CB100" i="1"/>
  <c r="CA110" i="1"/>
  <c r="BQ65" i="6" s="1"/>
  <c r="BD185" i="30" l="1"/>
  <c r="BD186" i="30" s="1"/>
  <c r="D353" i="45"/>
  <c r="DZ200" i="71"/>
  <c r="DZ199" i="71"/>
  <c r="DZ202" i="71"/>
  <c r="EA192" i="71"/>
  <c r="EA199" i="71" s="1"/>
  <c r="ED4" i="71"/>
  <c r="EC12" i="71"/>
  <c r="EC22" i="71"/>
  <c r="EC660" i="71"/>
  <c r="EC5" i="71"/>
  <c r="EC6" i="71"/>
  <c r="EB21" i="71"/>
  <c r="EC8" i="71"/>
  <c r="EB7" i="71"/>
  <c r="EB190" i="71"/>
  <c r="AV187" i="69" s="1"/>
  <c r="EB195" i="71"/>
  <c r="EB189" i="71"/>
  <c r="EB191" i="71"/>
  <c r="AV188" i="69" s="1"/>
  <c r="EB193" i="71"/>
  <c r="EB194" i="71" s="1"/>
  <c r="EA33" i="71"/>
  <c r="BB194" i="71"/>
  <c r="V190" i="69"/>
  <c r="V191" i="69" s="1"/>
  <c r="T1433" i="1"/>
  <c r="T1431" i="1"/>
  <c r="T1427" i="1"/>
  <c r="T1435" i="1"/>
  <c r="T1436" i="1"/>
  <c r="T253" i="1"/>
  <c r="T255" i="1"/>
  <c r="T257" i="1"/>
  <c r="T254" i="1"/>
  <c r="T274" i="1"/>
  <c r="T265" i="1"/>
  <c r="T261" i="1"/>
  <c r="T263" i="1"/>
  <c r="T248" i="1"/>
  <c r="P245" i="1" s="1"/>
  <c r="D224" i="1" s="1"/>
  <c r="D8" i="19" s="1"/>
  <c r="D12" i="19" s="1"/>
  <c r="T259" i="1"/>
  <c r="T258" i="1"/>
  <c r="T252" i="1"/>
  <c r="T267" i="1"/>
  <c r="T266" i="1"/>
  <c r="T269" i="1"/>
  <c r="T268" i="1"/>
  <c r="T271" i="1"/>
  <c r="T262" i="1"/>
  <c r="T264" i="1"/>
  <c r="T249" i="1"/>
  <c r="T278" i="1"/>
  <c r="T280" i="1"/>
  <c r="T256" i="1"/>
  <c r="T273" i="1"/>
  <c r="T279" i="1"/>
  <c r="T270" i="1"/>
  <c r="T260" i="1"/>
  <c r="Q245" i="1" s="1"/>
  <c r="D225" i="1" s="1"/>
  <c r="T250" i="1"/>
  <c r="T275" i="1"/>
  <c r="T287" i="1"/>
  <c r="T282" i="1"/>
  <c r="T276" i="1"/>
  <c r="T281" i="1"/>
  <c r="T285" i="1"/>
  <c r="T293" i="1"/>
  <c r="T277" i="1"/>
  <c r="T289" i="1"/>
  <c r="T291" i="1"/>
  <c r="T283" i="1"/>
  <c r="T272" i="1"/>
  <c r="R245" i="1" s="1"/>
  <c r="D226" i="1" s="1"/>
  <c r="T301" i="1"/>
  <c r="T288" i="1"/>
  <c r="T251" i="1"/>
  <c r="T286" i="1"/>
  <c r="T300" i="1"/>
  <c r="T307" i="1"/>
  <c r="T299" i="1"/>
  <c r="T295" i="1"/>
  <c r="T297" i="1"/>
  <c r="T284" i="1"/>
  <c r="S245" i="1" s="1"/>
  <c r="D227" i="1" s="1"/>
  <c r="T294" i="1"/>
  <c r="T305" i="1"/>
  <c r="T292" i="1"/>
  <c r="T298" i="1"/>
  <c r="T302" i="1"/>
  <c r="T306" i="1"/>
  <c r="T303" i="1"/>
  <c r="T304" i="1"/>
  <c r="T318" i="1"/>
  <c r="T312" i="1"/>
  <c r="T310" i="1"/>
  <c r="T319" i="1"/>
  <c r="T296" i="1"/>
  <c r="T245" i="1" s="1"/>
  <c r="D228" i="1" s="1"/>
  <c r="T326" i="1"/>
  <c r="T309" i="1"/>
  <c r="T311" i="1"/>
  <c r="T317" i="1"/>
  <c r="T316" i="1"/>
  <c r="T314" i="1"/>
  <c r="T315" i="1"/>
  <c r="T321" i="1"/>
  <c r="T335" i="1"/>
  <c r="T322" i="1"/>
  <c r="T329" i="1"/>
  <c r="T328" i="1"/>
  <c r="T323" i="1"/>
  <c r="T324" i="1"/>
  <c r="T331" i="1"/>
  <c r="T327" i="1"/>
  <c r="T290" i="1"/>
  <c r="T337" i="1"/>
  <c r="T313" i="1"/>
  <c r="T330" i="1"/>
  <c r="T325" i="1"/>
  <c r="T345" i="1"/>
  <c r="T336" i="1"/>
  <c r="T333" i="1"/>
  <c r="T339" i="1"/>
  <c r="T341" i="1"/>
  <c r="T334" i="1"/>
  <c r="T338" i="1"/>
  <c r="T340" i="1"/>
  <c r="T352" i="1"/>
  <c r="T320" i="1"/>
  <c r="V245" i="1" s="1"/>
  <c r="D230" i="1" s="1"/>
  <c r="T353" i="1"/>
  <c r="T349" i="1"/>
  <c r="T344" i="1"/>
  <c r="X245" i="1" s="1"/>
  <c r="D232" i="1" s="1"/>
  <c r="T351" i="1"/>
  <c r="T354" i="1"/>
  <c r="T350" i="1"/>
  <c r="T364" i="1"/>
  <c r="T346" i="1"/>
  <c r="T308" i="1"/>
  <c r="U245" i="1" s="1"/>
  <c r="D229" i="1" s="1"/>
  <c r="T347" i="1"/>
  <c r="T355" i="1"/>
  <c r="T343" i="1"/>
  <c r="T365" i="1"/>
  <c r="T342" i="1"/>
  <c r="T348" i="1"/>
  <c r="T357" i="1"/>
  <c r="T370" i="1"/>
  <c r="T359" i="1"/>
  <c r="T360" i="1"/>
  <c r="T363" i="1"/>
  <c r="T378" i="1"/>
  <c r="T356" i="1"/>
  <c r="Y245" i="1" s="1"/>
  <c r="D233" i="1" s="1"/>
  <c r="T332" i="1"/>
  <c r="W245" i="1" s="1"/>
  <c r="D231" i="1" s="1"/>
  <c r="T366" i="1"/>
  <c r="T362" i="1"/>
  <c r="T369" i="1"/>
  <c r="T376" i="1"/>
  <c r="T358" i="1"/>
  <c r="T361" i="1"/>
  <c r="T367" i="1"/>
  <c r="T375" i="1"/>
  <c r="T379" i="1"/>
  <c r="T388" i="1"/>
  <c r="T371" i="1"/>
  <c r="T373" i="1"/>
  <c r="T372" i="1"/>
  <c r="T374" i="1"/>
  <c r="T399" i="1"/>
  <c r="T377" i="1"/>
  <c r="T383" i="1"/>
  <c r="T390" i="1"/>
  <c r="T391" i="1"/>
  <c r="T389" i="1"/>
  <c r="T387" i="1"/>
  <c r="T368" i="1"/>
  <c r="Z245" i="1" s="1"/>
  <c r="D234" i="1" s="1"/>
  <c r="T386" i="1"/>
  <c r="T384" i="1"/>
  <c r="T398" i="1"/>
  <c r="T401" i="1"/>
  <c r="T400" i="1"/>
  <c r="T402" i="1"/>
  <c r="T395" i="1"/>
  <c r="T403" i="1"/>
  <c r="T393" i="1"/>
  <c r="T394" i="1"/>
  <c r="T382" i="1"/>
  <c r="T385" i="1"/>
  <c r="T396" i="1"/>
  <c r="T397" i="1"/>
  <c r="T381" i="1"/>
  <c r="T412" i="1"/>
  <c r="T409" i="1"/>
  <c r="T411" i="1"/>
  <c r="T408" i="1"/>
  <c r="T406" i="1"/>
  <c r="T415" i="1"/>
  <c r="T426" i="1"/>
  <c r="T380" i="1"/>
  <c r="AA245" i="1" s="1"/>
  <c r="D235" i="1" s="1"/>
  <c r="T410" i="1"/>
  <c r="T405" i="1"/>
  <c r="T392" i="1"/>
  <c r="AB245" i="1" s="1"/>
  <c r="T421" i="1"/>
  <c r="T407" i="1"/>
  <c r="T427" i="1"/>
  <c r="T404" i="1"/>
  <c r="AC245" i="1" s="1"/>
  <c r="T419" i="1"/>
  <c r="T417" i="1"/>
  <c r="T413" i="1"/>
  <c r="T439" i="1"/>
  <c r="T424" i="1"/>
  <c r="T425" i="1"/>
  <c r="T431" i="1"/>
  <c r="T422" i="1"/>
  <c r="T423" i="1"/>
  <c r="T418" i="1"/>
  <c r="T420" i="1"/>
  <c r="T428" i="1"/>
  <c r="AE245" i="1" s="1"/>
  <c r="T433" i="1"/>
  <c r="T434" i="1"/>
  <c r="T437" i="1"/>
  <c r="T435" i="1"/>
  <c r="T430" i="1"/>
  <c r="T438" i="1"/>
  <c r="T414" i="1"/>
  <c r="T443" i="1"/>
  <c r="T416" i="1"/>
  <c r="AD245" i="1" s="1"/>
  <c r="T432" i="1"/>
  <c r="T436" i="1"/>
  <c r="T460" i="1"/>
  <c r="T447" i="1"/>
  <c r="T429" i="1"/>
  <c r="T446" i="1"/>
  <c r="T449" i="1"/>
  <c r="T448" i="1"/>
  <c r="T442" i="1"/>
  <c r="T441" i="1"/>
  <c r="T450" i="1"/>
  <c r="T444" i="1"/>
  <c r="T452" i="1"/>
  <c r="AG245" i="1" s="1"/>
  <c r="T475" i="1"/>
  <c r="T453" i="1"/>
  <c r="T458" i="1"/>
  <c r="T445" i="1"/>
  <c r="T456" i="1"/>
  <c r="T471" i="1"/>
  <c r="T463" i="1"/>
  <c r="T451" i="1"/>
  <c r="T454" i="1"/>
  <c r="T462" i="1"/>
  <c r="T461" i="1"/>
  <c r="T455" i="1"/>
  <c r="T459" i="1"/>
  <c r="T440" i="1"/>
  <c r="AF245" i="1" s="1"/>
  <c r="T473" i="1"/>
  <c r="T480" i="1"/>
  <c r="T468" i="1"/>
  <c r="T457" i="1"/>
  <c r="T469" i="1"/>
  <c r="T466" i="1"/>
  <c r="T467" i="1"/>
  <c r="T472" i="1"/>
  <c r="T474" i="1"/>
  <c r="T465" i="1"/>
  <c r="T479" i="1"/>
  <c r="T482" i="1"/>
  <c r="T477" i="1"/>
  <c r="T484" i="1"/>
  <c r="T481" i="1"/>
  <c r="T490" i="1"/>
  <c r="T486" i="1"/>
  <c r="T478" i="1"/>
  <c r="T483" i="1"/>
  <c r="T487" i="1"/>
  <c r="T470" i="1"/>
  <c r="T496" i="1"/>
  <c r="T494" i="1"/>
  <c r="T493" i="1"/>
  <c r="T485" i="1"/>
  <c r="T499" i="1"/>
  <c r="T464" i="1"/>
  <c r="AH245" i="1" s="1"/>
  <c r="T495" i="1"/>
  <c r="T514" i="1"/>
  <c r="T506" i="1"/>
  <c r="T510" i="1"/>
  <c r="T507" i="1"/>
  <c r="T489" i="1"/>
  <c r="T497" i="1"/>
  <c r="T516" i="1"/>
  <c r="T503" i="1"/>
  <c r="T492" i="1"/>
  <c r="T502" i="1"/>
  <c r="T491" i="1"/>
  <c r="T504" i="1"/>
  <c r="T498" i="1"/>
  <c r="T476" i="1"/>
  <c r="AI245" i="1" s="1"/>
  <c r="T501" i="1"/>
  <c r="T488" i="1"/>
  <c r="AJ245" i="1" s="1"/>
  <c r="T500" i="1"/>
  <c r="AK245" i="1" s="1"/>
  <c r="T520" i="1"/>
  <c r="T518" i="1"/>
  <c r="T505" i="1"/>
  <c r="T508" i="1"/>
  <c r="T521" i="1"/>
  <c r="T519" i="1"/>
  <c r="T511" i="1"/>
  <c r="T523" i="1"/>
  <c r="T546" i="1"/>
  <c r="T517" i="1"/>
  <c r="T513" i="1"/>
  <c r="T531" i="1"/>
  <c r="T533" i="1"/>
  <c r="T515" i="1"/>
  <c r="T512" i="1"/>
  <c r="AL245" i="1" s="1"/>
  <c r="T524" i="1"/>
  <c r="AM245" i="1" s="1"/>
  <c r="T538" i="1"/>
  <c r="T534" i="1"/>
  <c r="T528" i="1"/>
  <c r="T522" i="1"/>
  <c r="T509" i="1"/>
  <c r="T529" i="1"/>
  <c r="T532" i="1"/>
  <c r="T527" i="1"/>
  <c r="T537" i="1"/>
  <c r="T554" i="1"/>
  <c r="T547" i="1"/>
  <c r="T535" i="1"/>
  <c r="T545" i="1"/>
  <c r="T525" i="1"/>
  <c r="T544" i="1"/>
  <c r="T540" i="1"/>
  <c r="T541" i="1"/>
  <c r="T565" i="1"/>
  <c r="T556" i="1"/>
  <c r="T530" i="1"/>
  <c r="T550" i="1"/>
  <c r="T543" i="1"/>
  <c r="T542" i="1"/>
  <c r="T536" i="1"/>
  <c r="AN245" i="1" s="1"/>
  <c r="T551" i="1"/>
  <c r="T559" i="1"/>
  <c r="T553" i="1"/>
  <c r="T526" i="1"/>
  <c r="T552" i="1"/>
  <c r="T555" i="1"/>
  <c r="T549" i="1"/>
  <c r="T539" i="1"/>
  <c r="T561" i="1"/>
  <c r="T557" i="1"/>
  <c r="T562" i="1"/>
  <c r="T563" i="1"/>
  <c r="T567" i="1"/>
  <c r="T548" i="1"/>
  <c r="AO245" i="1" s="1"/>
  <c r="T568" i="1"/>
  <c r="T569" i="1"/>
  <c r="T558" i="1"/>
  <c r="T570" i="1"/>
  <c r="T566" i="1"/>
  <c r="T593" i="1"/>
  <c r="T581" i="1"/>
  <c r="T592" i="1"/>
  <c r="T571" i="1"/>
  <c r="T564" i="1"/>
  <c r="T582" i="1"/>
  <c r="T560" i="1"/>
  <c r="AP245" i="1" s="1"/>
  <c r="T574" i="1"/>
  <c r="T575" i="1"/>
  <c r="T577" i="1"/>
  <c r="T580" i="1"/>
  <c r="T579" i="1"/>
  <c r="T576" i="1"/>
  <c r="T573" i="1"/>
  <c r="T590" i="1"/>
  <c r="T586" i="1"/>
  <c r="T578" i="1"/>
  <c r="T588" i="1"/>
  <c r="T595" i="1"/>
  <c r="T587" i="1"/>
  <c r="T583" i="1"/>
  <c r="T591" i="1"/>
  <c r="T585" i="1"/>
  <c r="T594" i="1"/>
  <c r="T597" i="1"/>
  <c r="T598" i="1"/>
  <c r="T589" i="1"/>
  <c r="T605" i="1"/>
  <c r="T604" i="1"/>
  <c r="T610" i="1"/>
  <c r="T600" i="1"/>
  <c r="T607" i="1"/>
  <c r="T599" i="1"/>
  <c r="T606" i="1"/>
  <c r="T603" i="1"/>
  <c r="T602" i="1"/>
  <c r="T601" i="1"/>
  <c r="T572" i="1"/>
  <c r="AQ245" i="1" s="1"/>
  <c r="T614" i="1"/>
  <c r="T609" i="1"/>
  <c r="T619" i="1"/>
  <c r="T615" i="1"/>
  <c r="T611" i="1"/>
  <c r="T618" i="1"/>
  <c r="T612" i="1"/>
  <c r="T625" i="1"/>
  <c r="T584" i="1"/>
  <c r="AR245" i="1" s="1"/>
  <c r="T613" i="1"/>
  <c r="T627" i="1"/>
  <c r="T623" i="1"/>
  <c r="T629" i="1"/>
  <c r="T631" i="1"/>
  <c r="T617" i="1"/>
  <c r="T608" i="1"/>
  <c r="AT245" i="1" s="1"/>
  <c r="T624" i="1"/>
  <c r="T596" i="1"/>
  <c r="AS245" i="1" s="1"/>
  <c r="T621" i="1"/>
  <c r="T630" i="1"/>
  <c r="T637" i="1"/>
  <c r="T626" i="1"/>
  <c r="T628" i="1"/>
  <c r="T640" i="1"/>
  <c r="T636" i="1"/>
  <c r="T634" i="1"/>
  <c r="T639" i="1"/>
  <c r="T616" i="1"/>
  <c r="T641" i="1"/>
  <c r="T638" i="1"/>
  <c r="T643" i="1"/>
  <c r="T635" i="1"/>
  <c r="T649" i="1"/>
  <c r="T654" i="1"/>
  <c r="T652" i="1"/>
  <c r="T647" i="1"/>
  <c r="T632" i="1"/>
  <c r="AV245" i="1" s="1"/>
  <c r="T633" i="1"/>
  <c r="T620" i="1"/>
  <c r="AU245" i="1" s="1"/>
  <c r="T648" i="1"/>
  <c r="T653" i="1"/>
  <c r="T642" i="1"/>
  <c r="T655" i="1"/>
  <c r="T622" i="1"/>
  <c r="T646" i="1"/>
  <c r="T645" i="1"/>
  <c r="T663" i="1"/>
  <c r="T651" i="1"/>
  <c r="T650" i="1"/>
  <c r="T659" i="1"/>
  <c r="T657" i="1"/>
  <c r="T664" i="1"/>
  <c r="T658" i="1"/>
  <c r="T667" i="1"/>
  <c r="T665" i="1"/>
  <c r="T660" i="1"/>
  <c r="T661" i="1"/>
  <c r="T677" i="1"/>
  <c r="T678" i="1"/>
  <c r="T691" i="1"/>
  <c r="T662" i="1"/>
  <c r="T666" i="1"/>
  <c r="T681" i="1"/>
  <c r="T675" i="1"/>
  <c r="T671" i="1"/>
  <c r="T644" i="1"/>
  <c r="AW245" i="1" s="1"/>
  <c r="T656" i="1"/>
  <c r="AX245" i="1" s="1"/>
  <c r="T679" i="1"/>
  <c r="T674" i="1"/>
  <c r="T670" i="1"/>
  <c r="T684" i="1"/>
  <c r="T689" i="1"/>
  <c r="T672" i="1"/>
  <c r="T686" i="1"/>
  <c r="T673" i="1"/>
  <c r="T682" i="1"/>
  <c r="T668" i="1"/>
  <c r="AY245" i="1" s="1"/>
  <c r="T685" i="1"/>
  <c r="T697" i="1"/>
  <c r="T690" i="1"/>
  <c r="T687" i="1"/>
  <c r="T676" i="1"/>
  <c r="T688" i="1"/>
  <c r="T703" i="1"/>
  <c r="T696" i="1"/>
  <c r="T669" i="1"/>
  <c r="T699" i="1"/>
  <c r="T680" i="1"/>
  <c r="AZ245" i="1" s="1"/>
  <c r="T683" i="1"/>
  <c r="T710" i="1"/>
  <c r="T695" i="1"/>
  <c r="T700" i="1"/>
  <c r="T692" i="1"/>
  <c r="BA245" i="1" s="1"/>
  <c r="T701" i="1"/>
  <c r="T702" i="1"/>
  <c r="T694" i="1"/>
  <c r="T693" i="1"/>
  <c r="T712" i="1"/>
  <c r="T711" i="1"/>
  <c r="T698" i="1"/>
  <c r="T715" i="1"/>
  <c r="T713" i="1"/>
  <c r="T705" i="1"/>
  <c r="T707" i="1"/>
  <c r="T706" i="1"/>
  <c r="T714" i="1"/>
  <c r="T718" i="1"/>
  <c r="T708" i="1"/>
  <c r="T727" i="1"/>
  <c r="T704" i="1"/>
  <c r="BB245" i="1" s="1"/>
  <c r="T725" i="1"/>
  <c r="T720" i="1"/>
  <c r="T717" i="1"/>
  <c r="T722" i="1"/>
  <c r="T721" i="1"/>
  <c r="T724" i="1"/>
  <c r="T719" i="1"/>
  <c r="T709" i="1"/>
  <c r="T726" i="1"/>
  <c r="T744" i="1"/>
  <c r="T716" i="1"/>
  <c r="BC245" i="1" s="1"/>
  <c r="T733" i="1"/>
  <c r="T731" i="1"/>
  <c r="T739" i="1"/>
  <c r="T723" i="1"/>
  <c r="T732" i="1"/>
  <c r="T735" i="1"/>
  <c r="T736" i="1"/>
  <c r="T730" i="1"/>
  <c r="T729" i="1"/>
  <c r="T737" i="1"/>
  <c r="T734" i="1"/>
  <c r="T738" i="1"/>
  <c r="T742" i="1"/>
  <c r="T756" i="1"/>
  <c r="T740" i="1"/>
  <c r="BE245" i="1" s="1"/>
  <c r="T751" i="1"/>
  <c r="T745" i="1"/>
  <c r="T743" i="1"/>
  <c r="T750" i="1"/>
  <c r="T747" i="1"/>
  <c r="T728" i="1"/>
  <c r="BD245" i="1" s="1"/>
  <c r="T748" i="1"/>
  <c r="T773" i="1"/>
  <c r="T749" i="1"/>
  <c r="T746" i="1"/>
  <c r="T758" i="1"/>
  <c r="T771" i="1"/>
  <c r="T762" i="1"/>
  <c r="T754" i="1"/>
  <c r="T752" i="1"/>
  <c r="BF245" i="1" s="1"/>
  <c r="T765" i="1"/>
  <c r="T760" i="1"/>
  <c r="T769" i="1"/>
  <c r="T741" i="1"/>
  <c r="T766" i="1"/>
  <c r="T763" i="1"/>
  <c r="T757" i="1"/>
  <c r="T774" i="1"/>
  <c r="T775" i="1"/>
  <c r="T772" i="1"/>
  <c r="T753" i="1"/>
  <c r="T768" i="1"/>
  <c r="T761" i="1"/>
  <c r="T767" i="1"/>
  <c r="T770" i="1"/>
  <c r="T777" i="1"/>
  <c r="T787" i="1"/>
  <c r="T755" i="1"/>
  <c r="T799" i="1"/>
  <c r="T785" i="1"/>
  <c r="T786" i="1"/>
  <c r="T759" i="1"/>
  <c r="T784" i="1"/>
  <c r="T779" i="1"/>
  <c r="T783" i="1"/>
  <c r="T764" i="1"/>
  <c r="BG245" i="1" s="1"/>
  <c r="T807" i="1"/>
  <c r="T795" i="1"/>
  <c r="T778" i="1"/>
  <c r="T792" i="1"/>
  <c r="T811" i="1"/>
  <c r="T781" i="1"/>
  <c r="T782" i="1"/>
  <c r="T794" i="1"/>
  <c r="T780" i="1"/>
  <c r="T793" i="1"/>
  <c r="T790" i="1"/>
  <c r="T791" i="1"/>
  <c r="T789" i="1"/>
  <c r="T796" i="1"/>
  <c r="T808" i="1"/>
  <c r="T803" i="1"/>
  <c r="T788" i="1"/>
  <c r="BI245" i="1" s="1"/>
  <c r="T802" i="1"/>
  <c r="T810" i="1"/>
  <c r="T822" i="1"/>
  <c r="T776" i="1"/>
  <c r="BH245" i="1" s="1"/>
  <c r="T804" i="1"/>
  <c r="T801" i="1"/>
  <c r="T809" i="1"/>
  <c r="T805" i="1"/>
  <c r="T797" i="1"/>
  <c r="T806" i="1"/>
  <c r="T819" i="1"/>
  <c r="T798" i="1"/>
  <c r="T823" i="1"/>
  <c r="T820" i="1"/>
  <c r="T827" i="1"/>
  <c r="T821" i="1"/>
  <c r="T818" i="1"/>
  <c r="T828" i="1"/>
  <c r="T814" i="1"/>
  <c r="T816" i="1"/>
  <c r="T813" i="1"/>
  <c r="T800" i="1"/>
  <c r="BJ245" i="1" s="1"/>
  <c r="T812" i="1"/>
  <c r="BK245" i="1" s="1"/>
  <c r="T817" i="1"/>
  <c r="T815" i="1"/>
  <c r="T835" i="1"/>
  <c r="T830" i="1"/>
  <c r="T831" i="1"/>
  <c r="T829" i="1"/>
  <c r="T833" i="1"/>
  <c r="T844" i="1"/>
  <c r="T825" i="1"/>
  <c r="T834" i="1"/>
  <c r="T839" i="1"/>
  <c r="T847" i="1"/>
  <c r="T856" i="1"/>
  <c r="T855" i="1"/>
  <c r="T824" i="1"/>
  <c r="BL245" i="1" s="1"/>
  <c r="T832" i="1"/>
  <c r="T838" i="1"/>
  <c r="T843" i="1"/>
  <c r="T846" i="1"/>
  <c r="T842" i="1"/>
  <c r="T845" i="1"/>
  <c r="T853" i="1"/>
  <c r="T826" i="1"/>
  <c r="T840" i="1"/>
  <c r="T854" i="1"/>
  <c r="T849" i="1"/>
  <c r="T871" i="1"/>
  <c r="T857" i="1"/>
  <c r="T841" i="1"/>
  <c r="T837" i="1"/>
  <c r="T850" i="1"/>
  <c r="T859" i="1"/>
  <c r="T858" i="1"/>
  <c r="T874" i="1"/>
  <c r="T865" i="1"/>
  <c r="T870" i="1"/>
  <c r="T863" i="1"/>
  <c r="T877" i="1"/>
  <c r="T864" i="1"/>
  <c r="T861" i="1"/>
  <c r="T867" i="1"/>
  <c r="T875" i="1"/>
  <c r="T869" i="1"/>
  <c r="T866" i="1"/>
  <c r="T862" i="1"/>
  <c r="T851" i="1"/>
  <c r="T836" i="1"/>
  <c r="BM245" i="1" s="1"/>
  <c r="T852" i="1"/>
  <c r="T868" i="1"/>
  <c r="T895" i="1"/>
  <c r="T878" i="1"/>
  <c r="T876" i="1"/>
  <c r="T873" i="1"/>
  <c r="T860" i="1"/>
  <c r="BO245" i="1" s="1"/>
  <c r="T882" i="1"/>
  <c r="T881" i="1"/>
  <c r="T879" i="1"/>
  <c r="T872" i="1"/>
  <c r="BP245" i="1" s="1"/>
  <c r="T892" i="1"/>
  <c r="T893" i="1"/>
  <c r="T888" i="1"/>
  <c r="T891" i="1"/>
  <c r="T894" i="1"/>
  <c r="T885" i="1"/>
  <c r="T880" i="1"/>
  <c r="T887" i="1"/>
  <c r="T890" i="1"/>
  <c r="T883" i="1"/>
  <c r="T889" i="1"/>
  <c r="T908" i="1"/>
  <c r="BS245" i="1" s="1"/>
  <c r="T884" i="1"/>
  <c r="BQ245" i="1" s="1"/>
  <c r="T905" i="1"/>
  <c r="T886" i="1"/>
  <c r="T898" i="1"/>
  <c r="T903" i="1"/>
  <c r="T897" i="1"/>
  <c r="T917" i="1"/>
  <c r="T907" i="1"/>
  <c r="T904" i="1"/>
  <c r="T896" i="1"/>
  <c r="BR245" i="1" s="1"/>
  <c r="T914" i="1"/>
  <c r="T913" i="1"/>
  <c r="T900" i="1"/>
  <c r="T915" i="1"/>
  <c r="T848" i="1"/>
  <c r="BN245" i="1" s="1"/>
  <c r="T928" i="1"/>
  <c r="T899" i="1"/>
  <c r="T909" i="1"/>
  <c r="T902" i="1"/>
  <c r="T901" i="1"/>
  <c r="T906" i="1"/>
  <c r="T912" i="1"/>
  <c r="T931" i="1"/>
  <c r="T911" i="1"/>
  <c r="T918" i="1"/>
  <c r="T935" i="1"/>
  <c r="T929" i="1"/>
  <c r="T922" i="1"/>
  <c r="T926" i="1"/>
  <c r="T921" i="1"/>
  <c r="T924" i="1"/>
  <c r="T925" i="1"/>
  <c r="T916" i="1"/>
  <c r="T930" i="1"/>
  <c r="T910" i="1"/>
  <c r="T947" i="1"/>
  <c r="T939" i="1"/>
  <c r="T936" i="1"/>
  <c r="T923" i="1"/>
  <c r="T940" i="1"/>
  <c r="T933" i="1"/>
  <c r="T927" i="1"/>
  <c r="T952" i="1"/>
  <c r="T938" i="1"/>
  <c r="T919" i="1"/>
  <c r="T941" i="1"/>
  <c r="T943" i="1"/>
  <c r="T944" i="1"/>
  <c r="BV245" i="1" s="1"/>
  <c r="T937" i="1"/>
  <c r="T950" i="1"/>
  <c r="T945" i="1"/>
  <c r="T954" i="1"/>
  <c r="T953" i="1"/>
  <c r="T951" i="1"/>
  <c r="T962" i="1"/>
  <c r="T946" i="1"/>
  <c r="T955" i="1"/>
  <c r="T934" i="1"/>
  <c r="T942" i="1"/>
  <c r="T949" i="1"/>
  <c r="T920" i="1"/>
  <c r="BT245" i="1" s="1"/>
  <c r="T974" i="1"/>
  <c r="T967" i="1"/>
  <c r="T960" i="1"/>
  <c r="T932" i="1"/>
  <c r="BU245" i="1" s="1"/>
  <c r="T948" i="1"/>
  <c r="T958" i="1"/>
  <c r="T966" i="1"/>
  <c r="T957" i="1"/>
  <c r="T963" i="1"/>
  <c r="T981" i="1"/>
  <c r="T964" i="1"/>
  <c r="T977" i="1"/>
  <c r="T975" i="1"/>
  <c r="T970" i="1"/>
  <c r="T971" i="1"/>
  <c r="T976" i="1"/>
  <c r="T979" i="1"/>
  <c r="T961" i="1"/>
  <c r="T965" i="1"/>
  <c r="T978" i="1"/>
  <c r="T973" i="1"/>
  <c r="T972" i="1"/>
  <c r="T956" i="1"/>
  <c r="BW245" i="1" s="1"/>
  <c r="T959" i="1"/>
  <c r="T994" i="1"/>
  <c r="T991" i="1"/>
  <c r="T987" i="1"/>
  <c r="T985" i="1"/>
  <c r="T984" i="1"/>
  <c r="T982" i="1"/>
  <c r="T969" i="1"/>
  <c r="T968" i="1"/>
  <c r="BX245" i="1" s="1"/>
  <c r="T990" i="1"/>
  <c r="T986" i="1"/>
  <c r="T989" i="1"/>
  <c r="T988" i="1"/>
  <c r="T995" i="1"/>
  <c r="T999" i="1"/>
  <c r="T996" i="1"/>
  <c r="T997" i="1"/>
  <c r="T1001" i="1"/>
  <c r="T998" i="1"/>
  <c r="T980" i="1"/>
  <c r="BY245" i="1" s="1"/>
  <c r="T1002" i="1"/>
  <c r="T993" i="1"/>
  <c r="T1003" i="1"/>
  <c r="T983" i="1"/>
  <c r="T1011" i="1"/>
  <c r="T1000" i="1"/>
  <c r="T1005" i="1"/>
  <c r="T1012" i="1"/>
  <c r="T992" i="1"/>
  <c r="BZ245" i="1" s="1"/>
  <c r="T1010" i="1"/>
  <c r="T1014" i="1"/>
  <c r="T1015" i="1"/>
  <c r="T1008" i="1"/>
  <c r="T1013" i="1"/>
  <c r="T1023" i="1"/>
  <c r="T1022" i="1"/>
  <c r="T1030" i="1"/>
  <c r="T1027" i="1"/>
  <c r="T1019" i="1"/>
  <c r="T1009" i="1"/>
  <c r="T1038" i="1"/>
  <c r="T1026" i="1"/>
  <c r="T1006" i="1"/>
  <c r="T1021" i="1"/>
  <c r="T1007" i="1"/>
  <c r="T1020" i="1"/>
  <c r="T1025" i="1"/>
  <c r="T1035" i="1"/>
  <c r="T1004" i="1"/>
  <c r="CA245" i="1" s="1"/>
  <c r="T1029" i="1"/>
  <c r="T1024" i="1"/>
  <c r="T1033" i="1"/>
  <c r="T1037" i="1"/>
  <c r="T1036" i="1"/>
  <c r="T1032" i="1"/>
  <c r="T1031" i="1"/>
  <c r="T1018" i="1"/>
  <c r="T1039" i="1"/>
  <c r="T1017" i="1"/>
  <c r="T1034" i="1"/>
  <c r="T1051" i="1"/>
  <c r="T1046" i="1"/>
  <c r="T1016" i="1"/>
  <c r="CB245" i="1" s="1"/>
  <c r="T1057" i="1"/>
  <c r="T1047" i="1"/>
  <c r="T1041" i="1"/>
  <c r="T1044" i="1"/>
  <c r="T1045" i="1"/>
  <c r="T1028" i="1"/>
  <c r="CC245" i="1" s="1"/>
  <c r="T1040" i="1"/>
  <c r="CD245" i="1" s="1"/>
  <c r="T1049" i="1"/>
  <c r="T1058" i="1"/>
  <c r="T1067" i="1"/>
  <c r="T1042" i="1"/>
  <c r="T1062" i="1"/>
  <c r="T1061" i="1"/>
  <c r="T1043" i="1"/>
  <c r="T1055" i="1"/>
  <c r="T1066" i="1"/>
  <c r="T1060" i="1"/>
  <c r="T1054" i="1"/>
  <c r="T1053" i="1"/>
  <c r="T1059" i="1"/>
  <c r="T1056" i="1"/>
  <c r="T1050" i="1"/>
  <c r="T1063" i="1"/>
  <c r="T1065" i="1"/>
  <c r="T1072" i="1"/>
  <c r="T1075" i="1"/>
  <c r="T1074" i="1"/>
  <c r="T1068" i="1"/>
  <c r="T1071" i="1"/>
  <c r="T1070" i="1"/>
  <c r="T1048" i="1"/>
  <c r="T1069" i="1"/>
  <c r="T1089" i="1"/>
  <c r="T1095" i="1"/>
  <c r="T1081" i="1"/>
  <c r="T1085" i="1"/>
  <c r="T1092" i="1"/>
  <c r="T1080" i="1"/>
  <c r="T1083" i="1"/>
  <c r="T1087" i="1"/>
  <c r="T1052" i="1"/>
  <c r="CE245" i="1" s="1"/>
  <c r="T1064" i="1"/>
  <c r="CF245" i="1" s="1"/>
  <c r="T1091" i="1"/>
  <c r="T1086" i="1"/>
  <c r="T1107" i="1"/>
  <c r="T1073" i="1"/>
  <c r="T1076" i="1"/>
  <c r="CG245" i="1" s="1"/>
  <c r="T1098" i="1"/>
  <c r="T1077" i="1"/>
  <c r="T1079" i="1"/>
  <c r="T1093" i="1"/>
  <c r="T1097" i="1"/>
  <c r="T1078" i="1"/>
  <c r="T1094" i="1"/>
  <c r="T1084" i="1"/>
  <c r="T1082" i="1"/>
  <c r="T1103" i="1"/>
  <c r="T1090" i="1"/>
  <c r="T1096" i="1"/>
  <c r="T1108" i="1"/>
  <c r="T1101" i="1"/>
  <c r="T1111" i="1"/>
  <c r="T1104" i="1"/>
  <c r="T1110" i="1"/>
  <c r="T1106" i="1"/>
  <c r="T1102" i="1"/>
  <c r="T1109" i="1"/>
  <c r="T1114" i="1"/>
  <c r="T1105" i="1"/>
  <c r="T1099" i="1"/>
  <c r="T1134" i="1"/>
  <c r="T1116" i="1"/>
  <c r="T1113" i="1"/>
  <c r="T1121" i="1"/>
  <c r="T1088" i="1"/>
  <c r="CH245" i="1" s="1"/>
  <c r="T1100" i="1"/>
  <c r="CI245" i="1" s="1"/>
  <c r="T1119" i="1"/>
  <c r="T1115" i="1"/>
  <c r="T1123" i="1"/>
  <c r="T1122" i="1"/>
  <c r="T1129" i="1"/>
  <c r="T1117" i="1"/>
  <c r="T1130" i="1"/>
  <c r="T1135" i="1"/>
  <c r="T1120" i="1"/>
  <c r="T1128" i="1"/>
  <c r="T1127" i="1"/>
  <c r="T1133" i="1"/>
  <c r="T1118" i="1"/>
  <c r="T1125" i="1"/>
  <c r="T1131" i="1"/>
  <c r="T1145" i="1"/>
  <c r="T1147" i="1"/>
  <c r="T1141" i="1"/>
  <c r="T1126" i="1"/>
  <c r="T1139" i="1"/>
  <c r="T1140" i="1"/>
  <c r="T1132" i="1"/>
  <c r="T1112" i="1"/>
  <c r="CJ245" i="1" s="1"/>
  <c r="T1137" i="1"/>
  <c r="T1143" i="1"/>
  <c r="T1144" i="1"/>
  <c r="T1138" i="1"/>
  <c r="T1146" i="1"/>
  <c r="T1124" i="1"/>
  <c r="CK245" i="1" s="1"/>
  <c r="T1153" i="1"/>
  <c r="T1155" i="1"/>
  <c r="T1151" i="1"/>
  <c r="T1136" i="1"/>
  <c r="CL245" i="1" s="1"/>
  <c r="T1157" i="1"/>
  <c r="T1170" i="1"/>
  <c r="T1158" i="1"/>
  <c r="T1156" i="1"/>
  <c r="T1152" i="1"/>
  <c r="T1142" i="1"/>
  <c r="T1167" i="1"/>
  <c r="T1149" i="1"/>
  <c r="T1165" i="1"/>
  <c r="T1162" i="1"/>
  <c r="T1175" i="1"/>
  <c r="T1164" i="1"/>
  <c r="T1150" i="1"/>
  <c r="T1163" i="1"/>
  <c r="T1177" i="1"/>
  <c r="T1171" i="1"/>
  <c r="T1168" i="1"/>
  <c r="T1154" i="1"/>
  <c r="T1166" i="1"/>
  <c r="T1169" i="1"/>
  <c r="T1159" i="1"/>
  <c r="T1181" i="1"/>
  <c r="T1180" i="1"/>
  <c r="T1187" i="1"/>
  <c r="T1160" i="1"/>
  <c r="CN245" i="1" s="1"/>
  <c r="T1148" i="1"/>
  <c r="CM245" i="1" s="1"/>
  <c r="T1178" i="1"/>
  <c r="T1176" i="1"/>
  <c r="T1192" i="1"/>
  <c r="T1179" i="1"/>
  <c r="T1161" i="1"/>
  <c r="T1173" i="1"/>
  <c r="T1182" i="1"/>
  <c r="T1183" i="1"/>
  <c r="T1189" i="1"/>
  <c r="T1191" i="1"/>
  <c r="T1174" i="1"/>
  <c r="T1194" i="1"/>
  <c r="T1186" i="1"/>
  <c r="T1172" i="1"/>
  <c r="CO245" i="1" s="1"/>
  <c r="T1193" i="1"/>
  <c r="T1195" i="1"/>
  <c r="T1184" i="1"/>
  <c r="CP245" i="1" s="1"/>
  <c r="T1197" i="1"/>
  <c r="T1202" i="1"/>
  <c r="T1198" i="1"/>
  <c r="T1196" i="1"/>
  <c r="CQ245" i="1" s="1"/>
  <c r="T1188" i="1"/>
  <c r="T1213" i="1"/>
  <c r="T1203" i="1"/>
  <c r="T1185" i="1"/>
  <c r="T1206" i="1"/>
  <c r="T1214" i="1"/>
  <c r="T1190" i="1"/>
  <c r="T1201" i="1"/>
  <c r="T1199" i="1"/>
  <c r="T1224" i="1"/>
  <c r="T1205" i="1"/>
  <c r="T1204" i="1"/>
  <c r="T1200" i="1"/>
  <c r="T1215" i="1"/>
  <c r="T1210" i="1"/>
  <c r="T1211" i="1"/>
  <c r="T1217" i="1"/>
  <c r="T1216" i="1"/>
  <c r="T1208" i="1"/>
  <c r="CR245" i="1" s="1"/>
  <c r="T1230" i="1"/>
  <c r="T1228" i="1"/>
  <c r="T1240" i="1"/>
  <c r="T1235" i="1"/>
  <c r="T1225" i="1"/>
  <c r="T1218" i="1"/>
  <c r="T1223" i="1"/>
  <c r="T1207" i="1"/>
  <c r="T1221" i="1"/>
  <c r="T1226" i="1"/>
  <c r="T1231" i="1"/>
  <c r="T1222" i="1"/>
  <c r="T1229" i="1"/>
  <c r="T1209" i="1"/>
  <c r="T1212" i="1"/>
  <c r="T1227" i="1"/>
  <c r="T1234" i="1"/>
  <c r="T1233" i="1"/>
  <c r="T1242" i="1"/>
  <c r="T1251" i="1"/>
  <c r="T1239" i="1"/>
  <c r="T1237" i="1"/>
  <c r="T1236" i="1"/>
  <c r="T1219" i="1"/>
  <c r="T1238" i="1"/>
  <c r="T1243" i="1"/>
  <c r="T1241" i="1"/>
  <c r="T1249" i="1"/>
  <c r="T1255" i="1"/>
  <c r="T1252" i="1"/>
  <c r="T1250" i="1"/>
  <c r="T1246" i="1"/>
  <c r="T1248" i="1"/>
  <c r="T1253" i="1"/>
  <c r="T1254" i="1"/>
  <c r="T1247" i="1"/>
  <c r="T1220" i="1"/>
  <c r="CS245" i="1" s="1"/>
  <c r="T1277" i="1"/>
  <c r="T1261" i="1"/>
  <c r="T1258" i="1"/>
  <c r="T1266" i="1"/>
  <c r="T1267" i="1"/>
  <c r="T1244" i="1"/>
  <c r="CU245" i="1" s="1"/>
  <c r="T1256" i="1"/>
  <c r="CV245" i="1" s="1"/>
  <c r="T1262" i="1"/>
  <c r="T1257" i="1"/>
  <c r="T1265" i="1"/>
  <c r="T1232" i="1"/>
  <c r="CT245" i="1" s="1"/>
  <c r="T1263" i="1"/>
  <c r="T1274" i="1"/>
  <c r="T1273" i="1"/>
  <c r="T1272" i="1"/>
  <c r="T1279" i="1"/>
  <c r="T1278" i="1"/>
  <c r="T1269" i="1"/>
  <c r="T1270" i="1"/>
  <c r="T1264" i="1"/>
  <c r="T1259" i="1"/>
  <c r="T1276" i="1"/>
  <c r="T1260" i="1"/>
  <c r="T1268" i="1"/>
  <c r="CW245" i="1" s="1"/>
  <c r="T1285" i="1"/>
  <c r="T1245" i="1"/>
  <c r="T1287" i="1"/>
  <c r="T1283" i="1"/>
  <c r="T1271" i="1"/>
  <c r="T1282" i="1"/>
  <c r="T1288" i="1"/>
  <c r="T1286" i="1"/>
  <c r="T1281" i="1"/>
  <c r="T1291" i="1"/>
  <c r="T1275" i="1"/>
  <c r="T1310" i="1"/>
  <c r="T1299" i="1"/>
  <c r="T1289" i="1"/>
  <c r="T1294" i="1"/>
  <c r="T1298" i="1"/>
  <c r="T1301" i="1"/>
  <c r="T1303" i="1"/>
  <c r="T1284" i="1"/>
  <c r="T1290" i="1"/>
  <c r="T1305" i="1"/>
  <c r="T1300" i="1"/>
  <c r="T1295" i="1"/>
  <c r="T1296" i="1"/>
  <c r="T1297" i="1"/>
  <c r="T1293" i="1"/>
  <c r="T1302" i="1"/>
  <c r="T1280" i="1"/>
  <c r="CX245" i="1" s="1"/>
  <c r="T1308" i="1"/>
  <c r="T1314" i="1"/>
  <c r="T1318" i="1"/>
  <c r="T1315" i="1"/>
  <c r="T1326" i="1"/>
  <c r="T1292" i="1"/>
  <c r="CY245" i="1" s="1"/>
  <c r="T1312" i="1"/>
  <c r="T1309" i="1"/>
  <c r="T1311" i="1"/>
  <c r="T1313" i="1"/>
  <c r="T1307" i="1"/>
  <c r="T1333" i="1"/>
  <c r="T1319" i="1"/>
  <c r="T1317" i="1"/>
  <c r="T1335" i="1"/>
  <c r="T1306" i="1"/>
  <c r="T1322" i="1"/>
  <c r="T1327" i="1"/>
  <c r="T1323" i="1"/>
  <c r="T1336" i="1"/>
  <c r="T1325" i="1"/>
  <c r="T1344" i="1"/>
  <c r="T1328" i="1"/>
  <c r="DB245" i="1" s="1"/>
  <c r="T1331" i="1"/>
  <c r="T1338" i="1"/>
  <c r="T1339" i="1"/>
  <c r="T1304" i="1"/>
  <c r="CZ245" i="1" s="1"/>
  <c r="T1320" i="1"/>
  <c r="T1329" i="1"/>
  <c r="T1330" i="1"/>
  <c r="T1337" i="1"/>
  <c r="T1332" i="1"/>
  <c r="T1321" i="1"/>
  <c r="T1324" i="1"/>
  <c r="T1345" i="1"/>
  <c r="T1316" i="1"/>
  <c r="DA245" i="1" s="1"/>
  <c r="T1350" i="1"/>
  <c r="T1347" i="1"/>
  <c r="T1349" i="1"/>
  <c r="T1342" i="1"/>
  <c r="T1343" i="1"/>
  <c r="T1363" i="1"/>
  <c r="T1334" i="1"/>
  <c r="T1368" i="1"/>
  <c r="T1351" i="1"/>
  <c r="T1353" i="1"/>
  <c r="T1341" i="1"/>
  <c r="T1362" i="1"/>
  <c r="T1360" i="1"/>
  <c r="T1346" i="1"/>
  <c r="T1348" i="1"/>
  <c r="T1358" i="1"/>
  <c r="T1357" i="1"/>
  <c r="T1356" i="1"/>
  <c r="T1361" i="1"/>
  <c r="T1365" i="1"/>
  <c r="T1375" i="1"/>
  <c r="T1369" i="1"/>
  <c r="T1371" i="1"/>
  <c r="T1359" i="1"/>
  <c r="T1386" i="1"/>
  <c r="T1370" i="1"/>
  <c r="T1374" i="1"/>
  <c r="T1354" i="1"/>
  <c r="T1366" i="1"/>
  <c r="T1367" i="1"/>
  <c r="T1372" i="1"/>
  <c r="T1352" i="1"/>
  <c r="DD245" i="1" s="1"/>
  <c r="T1373" i="1"/>
  <c r="T1377" i="1"/>
  <c r="T1387" i="1"/>
  <c r="T1340" i="1"/>
  <c r="DC245" i="1" s="1"/>
  <c r="T1384" i="1"/>
  <c r="T1379" i="1"/>
  <c r="T1364" i="1"/>
  <c r="DE245" i="1" s="1"/>
  <c r="T1397" i="1"/>
  <c r="T1381" i="1"/>
  <c r="T1383" i="1"/>
  <c r="T1355" i="1"/>
  <c r="T1426" i="1"/>
  <c r="T1429" i="1"/>
  <c r="T1425" i="1"/>
  <c r="T1428" i="1"/>
  <c r="T1432" i="1"/>
  <c r="T1430" i="1"/>
  <c r="T1434" i="1"/>
  <c r="T1424" i="1"/>
  <c r="DJ245" i="1" s="1"/>
  <c r="T1389" i="1"/>
  <c r="T1395" i="1"/>
  <c r="T1408" i="1"/>
  <c r="T1394" i="1"/>
  <c r="T1382" i="1"/>
  <c r="T1406" i="1"/>
  <c r="T1418" i="1"/>
  <c r="T1396" i="1"/>
  <c r="T1422" i="1"/>
  <c r="T1405" i="1"/>
  <c r="T1417" i="1"/>
  <c r="T1414" i="1"/>
  <c r="T1404" i="1"/>
  <c r="T1412" i="1"/>
  <c r="DI245" i="1" s="1"/>
  <c r="T1416" i="1"/>
  <c r="T1411" i="1"/>
  <c r="T1392" i="1"/>
  <c r="T1407" i="1"/>
  <c r="T1378" i="1"/>
  <c r="T1413" i="1"/>
  <c r="T1376" i="1"/>
  <c r="DF245" i="1" s="1"/>
  <c r="T1398" i="1"/>
  <c r="T1402" i="1"/>
  <c r="T1391" i="1"/>
  <c r="T1400" i="1"/>
  <c r="DH245" i="1" s="1"/>
  <c r="T1388" i="1"/>
  <c r="DG245" i="1" s="1"/>
  <c r="T1421" i="1"/>
  <c r="T1393" i="1"/>
  <c r="T1423" i="1"/>
  <c r="T1385" i="1"/>
  <c r="T1409" i="1"/>
  <c r="T1410" i="1"/>
  <c r="T1419" i="1"/>
  <c r="T1401" i="1"/>
  <c r="T1380" i="1"/>
  <c r="T1399" i="1"/>
  <c r="T1390" i="1"/>
  <c r="T1415" i="1"/>
  <c r="T1420" i="1"/>
  <c r="T1403" i="1"/>
  <c r="CB110" i="1"/>
  <c r="BR65" i="6" s="1"/>
  <c r="CC100" i="1"/>
  <c r="BE185" i="30" l="1"/>
  <c r="BE186" i="30" s="1"/>
  <c r="D354" i="45"/>
  <c r="EA196" i="71"/>
  <c r="EA201" i="71" s="1"/>
  <c r="EA200" i="71"/>
  <c r="EA202" i="71"/>
  <c r="EB192" i="71"/>
  <c r="EB200" i="71" s="1"/>
  <c r="EB33" i="71"/>
  <c r="ED12" i="71"/>
  <c r="ED5" i="71"/>
  <c r="ED660" i="71"/>
  <c r="ED22" i="71"/>
  <c r="EE4" i="71"/>
  <c r="ED6" i="71"/>
  <c r="EC21" i="71"/>
  <c r="ED8" i="71"/>
  <c r="EC7" i="71"/>
  <c r="EC190" i="71"/>
  <c r="EC189" i="71"/>
  <c r="EC193" i="71"/>
  <c r="EC194" i="71" s="1"/>
  <c r="EC195" i="71"/>
  <c r="EC191" i="71"/>
  <c r="BD193" i="71"/>
  <c r="BD194" i="71" s="1"/>
  <c r="CD100" i="1"/>
  <c r="CC110" i="1"/>
  <c r="BS65" i="6" s="1"/>
  <c r="BF185" i="30" l="1"/>
  <c r="BF186" i="30" s="1"/>
  <c r="D355" i="45"/>
  <c r="EB202" i="71"/>
  <c r="EC192" i="71"/>
  <c r="EC200" i="71" s="1"/>
  <c r="EB199" i="71"/>
  <c r="EB196" i="71"/>
  <c r="EB201" i="71" s="1"/>
  <c r="EE8" i="71"/>
  <c r="ED21" i="71"/>
  <c r="ED7" i="71"/>
  <c r="ED195" i="71"/>
  <c r="ED191" i="71"/>
  <c r="ED193" i="71"/>
  <c r="ED194" i="71" s="1"/>
  <c r="ED189" i="71"/>
  <c r="ED190" i="71"/>
  <c r="EC33" i="71"/>
  <c r="EE22" i="71"/>
  <c r="EE6" i="71"/>
  <c r="EF4" i="71"/>
  <c r="EE660" i="71"/>
  <c r="EE5" i="71"/>
  <c r="EE12" i="71"/>
  <c r="BE193" i="71"/>
  <c r="CE100" i="1"/>
  <c r="CD110" i="1"/>
  <c r="BT65" i="6" s="1"/>
  <c r="BG185" i="30" l="1"/>
  <c r="BG186" i="30" s="1"/>
  <c r="D356" i="45"/>
  <c r="EC196" i="71"/>
  <c r="EC201" i="71" s="1"/>
  <c r="EC199" i="71"/>
  <c r="EC202" i="71"/>
  <c r="ED192" i="71"/>
  <c r="ED200" i="71" s="1"/>
  <c r="ED33" i="71"/>
  <c r="EE7" i="71"/>
  <c r="EF8" i="71"/>
  <c r="EE21" i="71"/>
  <c r="EE190" i="71"/>
  <c r="AW187" i="69" s="1"/>
  <c r="EE191" i="71"/>
  <c r="AW188" i="69" s="1"/>
  <c r="EE189" i="71"/>
  <c r="EE193" i="71"/>
  <c r="EE194" i="71" s="1"/>
  <c r="EE195" i="71"/>
  <c r="EF5" i="71"/>
  <c r="EF6" i="71"/>
  <c r="EF12" i="71"/>
  <c r="EF22" i="71"/>
  <c r="EF660" i="71"/>
  <c r="EG4" i="71"/>
  <c r="BF193" i="71"/>
  <c r="BF194" i="71" s="1"/>
  <c r="BE194" i="71"/>
  <c r="W190" i="69"/>
  <c r="W191" i="69" s="1"/>
  <c r="CE110" i="1"/>
  <c r="BU65" i="6" s="1"/>
  <c r="CF100" i="1"/>
  <c r="BH185" i="30" l="1"/>
  <c r="BH186" i="30" s="1"/>
  <c r="D357" i="45"/>
  <c r="ED202" i="71"/>
  <c r="ED196" i="71"/>
  <c r="ED201" i="71" s="1"/>
  <c r="ED199" i="71"/>
  <c r="EE192" i="71"/>
  <c r="EE202" i="71" s="1"/>
  <c r="EG8" i="71"/>
  <c r="EF7" i="71"/>
  <c r="EF21" i="71"/>
  <c r="EF191" i="71"/>
  <c r="EF195" i="71"/>
  <c r="EF193" i="71"/>
  <c r="EF194" i="71" s="1"/>
  <c r="EF189" i="71"/>
  <c r="EF190" i="71"/>
  <c r="EG12" i="71"/>
  <c r="EG5" i="71"/>
  <c r="EG6" i="71"/>
  <c r="EG660" i="71"/>
  <c r="EG22" i="71"/>
  <c r="EE33" i="71"/>
  <c r="BG193" i="71"/>
  <c r="BG194" i="71" s="1"/>
  <c r="CG100" i="1"/>
  <c r="CF110" i="1"/>
  <c r="BV65" i="6" s="1"/>
  <c r="BI185" i="30" l="1"/>
  <c r="BI186" i="30" s="1"/>
  <c r="D358" i="45"/>
  <c r="EE200" i="71"/>
  <c r="EE199" i="71"/>
  <c r="EE196" i="71"/>
  <c r="EE201" i="71" s="1"/>
  <c r="EG33" i="71"/>
  <c r="EF33" i="71"/>
  <c r="E160" i="69"/>
  <c r="E307" i="69"/>
  <c r="E162" i="69"/>
  <c r="E159" i="69"/>
  <c r="E57" i="69"/>
  <c r="E131" i="69"/>
  <c r="F30" i="69"/>
  <c r="E126" i="69"/>
  <c r="E125" i="69"/>
  <c r="E180" i="69"/>
  <c r="E34" i="69"/>
  <c r="E127" i="69"/>
  <c r="E181" i="69"/>
  <c r="E115" i="69"/>
  <c r="E268" i="69"/>
  <c r="E19" i="69"/>
  <c r="E18" i="69"/>
  <c r="E285" i="69"/>
  <c r="E44" i="69"/>
  <c r="E28" i="69"/>
  <c r="E45" i="69"/>
  <c r="E116" i="69"/>
  <c r="E161" i="69"/>
  <c r="E369" i="69" s="1"/>
  <c r="E30" i="69"/>
  <c r="E114" i="69"/>
  <c r="E177" i="69"/>
  <c r="F18" i="69"/>
  <c r="E17" i="69"/>
  <c r="G17" i="69"/>
  <c r="F19" i="69"/>
  <c r="H19" i="69"/>
  <c r="E29" i="69"/>
  <c r="E16" i="69"/>
  <c r="E43" i="69"/>
  <c r="F17" i="69"/>
  <c r="E113" i="69"/>
  <c r="I17" i="69"/>
  <c r="I18" i="69"/>
  <c r="G19" i="69"/>
  <c r="I30" i="69"/>
  <c r="I19" i="69"/>
  <c r="K30" i="69"/>
  <c r="M30" i="69"/>
  <c r="J17" i="69"/>
  <c r="J19" i="69"/>
  <c r="M18" i="69"/>
  <c r="J30" i="69"/>
  <c r="K18" i="69"/>
  <c r="J18" i="69"/>
  <c r="K17" i="69"/>
  <c r="K19" i="69"/>
  <c r="P30" i="69"/>
  <c r="M17" i="69"/>
  <c r="M19" i="69"/>
  <c r="P17" i="69"/>
  <c r="O19" i="69"/>
  <c r="L17" i="69"/>
  <c r="N17" i="69"/>
  <c r="N19" i="69"/>
  <c r="L30" i="69"/>
  <c r="L19" i="69"/>
  <c r="L18" i="69"/>
  <c r="O30" i="69"/>
  <c r="N18" i="69"/>
  <c r="N30" i="69"/>
  <c r="O17" i="69"/>
  <c r="O18" i="69"/>
  <c r="P19" i="69"/>
  <c r="P18" i="69"/>
  <c r="S30" i="69"/>
  <c r="Q19" i="69"/>
  <c r="R19" i="69"/>
  <c r="Q18" i="69"/>
  <c r="R30" i="69"/>
  <c r="R18" i="69"/>
  <c r="Q30" i="69"/>
  <c r="R17" i="69"/>
  <c r="U19" i="69"/>
  <c r="S18" i="69"/>
  <c r="Q17" i="69"/>
  <c r="S17" i="69"/>
  <c r="S19" i="69"/>
  <c r="V18" i="69"/>
  <c r="U30" i="69"/>
  <c r="U17" i="69"/>
  <c r="T18" i="69"/>
  <c r="T17" i="69"/>
  <c r="U18" i="69"/>
  <c r="W19" i="69"/>
  <c r="V19" i="69"/>
  <c r="W18" i="69"/>
  <c r="V30" i="69"/>
  <c r="T19" i="69"/>
  <c r="W17" i="69"/>
  <c r="T30" i="69"/>
  <c r="V17" i="69"/>
  <c r="AA19" i="69"/>
  <c r="X18" i="69"/>
  <c r="X19" i="69"/>
  <c r="X17" i="69"/>
  <c r="X30" i="69"/>
  <c r="Z17" i="69"/>
  <c r="W30" i="69"/>
  <c r="Y18" i="69"/>
  <c r="Z30" i="69"/>
  <c r="Y17" i="69"/>
  <c r="Y19" i="69"/>
  <c r="Z18" i="69"/>
  <c r="Y30" i="69"/>
  <c r="Z19" i="69"/>
  <c r="AC30" i="69"/>
  <c r="AA30" i="69"/>
  <c r="AA17" i="69"/>
  <c r="AA18" i="69"/>
  <c r="AB30" i="69"/>
  <c r="AC17" i="69"/>
  <c r="AB17" i="69"/>
  <c r="AB19" i="69"/>
  <c r="AB18" i="69"/>
  <c r="AC19" i="69"/>
  <c r="AD18" i="69"/>
  <c r="AD17" i="69"/>
  <c r="AC18" i="69"/>
  <c r="AD19" i="69"/>
  <c r="AE30" i="69"/>
  <c r="AD30" i="69"/>
  <c r="AE18" i="69"/>
  <c r="AE19" i="69"/>
  <c r="AE17" i="69"/>
  <c r="AG19" i="69"/>
  <c r="AF30" i="69"/>
  <c r="AG18" i="69"/>
  <c r="AF18" i="69"/>
  <c r="AF17" i="69"/>
  <c r="AG17" i="69"/>
  <c r="AG30" i="69"/>
  <c r="AH19" i="69"/>
  <c r="AF19" i="69"/>
  <c r="AH30" i="69"/>
  <c r="AH18" i="69"/>
  <c r="E171" i="69"/>
  <c r="AH17" i="69"/>
  <c r="AI30" i="69"/>
  <c r="E24" i="69"/>
  <c r="AI17" i="69"/>
  <c r="E144" i="69"/>
  <c r="AJ17" i="69"/>
  <c r="AI18" i="69"/>
  <c r="AJ30" i="69"/>
  <c r="AL30" i="69"/>
  <c r="E51" i="69"/>
  <c r="AJ18" i="69"/>
  <c r="AK17" i="69"/>
  <c r="AJ19" i="69"/>
  <c r="AM19" i="69"/>
  <c r="AI19" i="69"/>
  <c r="AL19" i="69"/>
  <c r="AM18" i="69"/>
  <c r="AN18" i="69"/>
  <c r="E122" i="69"/>
  <c r="AM30" i="69"/>
  <c r="AL17" i="69"/>
  <c r="AM17" i="69"/>
  <c r="AL18" i="69"/>
  <c r="AK18" i="69"/>
  <c r="AO19" i="69"/>
  <c r="AN17" i="69"/>
  <c r="AN30" i="69"/>
  <c r="AN19" i="69"/>
  <c r="AP17" i="69"/>
  <c r="AO30" i="69"/>
  <c r="AP30" i="69"/>
  <c r="AO18" i="69"/>
  <c r="AO17" i="69"/>
  <c r="AQ19" i="69"/>
  <c r="AP18" i="69"/>
  <c r="AP19" i="69"/>
  <c r="AQ18" i="69"/>
  <c r="AT323" i="69"/>
  <c r="AT242" i="69" s="1"/>
  <c r="AT186" i="69"/>
  <c r="AT189" i="69" s="1"/>
  <c r="AR17" i="69"/>
  <c r="AR30" i="69"/>
  <c r="AQ30" i="69"/>
  <c r="AR18" i="69"/>
  <c r="AR19" i="69"/>
  <c r="AQ17" i="69"/>
  <c r="AV313" i="69"/>
  <c r="AV290" i="69"/>
  <c r="AT285" i="69"/>
  <c r="AT17" i="69"/>
  <c r="AT320" i="69"/>
  <c r="AT297" i="69"/>
  <c r="AS17" i="69"/>
  <c r="AT309" i="69"/>
  <c r="AT300" i="69"/>
  <c r="AT241" i="69" s="1"/>
  <c r="AT322" i="69"/>
  <c r="AS18" i="69"/>
  <c r="AT307" i="69"/>
  <c r="AT308" i="69"/>
  <c r="AS30" i="69"/>
  <c r="AV330" i="69"/>
  <c r="AV243" i="69" s="1"/>
  <c r="AT268" i="69"/>
  <c r="AT30" i="69"/>
  <c r="AT18" i="69"/>
  <c r="AT190" i="69"/>
  <c r="AT191" i="69" s="1"/>
  <c r="AV329" i="69"/>
  <c r="AT269" i="69"/>
  <c r="AT19" i="69"/>
  <c r="AT330" i="69"/>
  <c r="AT243" i="69" s="1"/>
  <c r="AS19" i="69"/>
  <c r="AV308" i="69"/>
  <c r="AT329" i="69"/>
  <c r="AT312" i="69"/>
  <c r="AT287" i="69"/>
  <c r="AT313" i="69"/>
  <c r="AV254" i="69"/>
  <c r="AV255" i="69" s="1"/>
  <c r="AT290" i="69"/>
  <c r="AT254" i="69"/>
  <c r="AT255" i="69" s="1"/>
  <c r="AT286" i="69"/>
  <c r="AT299" i="69"/>
  <c r="AT270" i="69"/>
  <c r="AT302" i="69"/>
  <c r="AT273" i="69"/>
  <c r="AV299" i="69"/>
  <c r="AW307" i="69"/>
  <c r="AV287" i="69"/>
  <c r="AU30" i="69"/>
  <c r="AU299" i="69"/>
  <c r="AU269" i="69"/>
  <c r="AV302" i="69"/>
  <c r="AU287" i="69"/>
  <c r="AU254" i="69"/>
  <c r="AU255" i="69" s="1"/>
  <c r="AU268" i="69"/>
  <c r="AV309" i="69"/>
  <c r="AV323" i="69"/>
  <c r="AV242" i="69" s="1"/>
  <c r="AV270" i="69"/>
  <c r="AV190" i="69"/>
  <c r="AV191" i="69" s="1"/>
  <c r="AU312" i="69"/>
  <c r="AV186" i="69"/>
  <c r="AV189" i="69" s="1"/>
  <c r="AU19" i="69"/>
  <c r="AU313" i="69"/>
  <c r="AV320" i="69"/>
  <c r="AU320" i="69"/>
  <c r="AV30" i="69"/>
  <c r="AU186" i="69"/>
  <c r="AU189" i="69" s="1"/>
  <c r="AU302" i="69"/>
  <c r="AV273" i="69"/>
  <c r="AU323" i="69"/>
  <c r="AU242" i="69" s="1"/>
  <c r="AU17" i="69"/>
  <c r="AV285" i="69"/>
  <c r="AV17" i="69"/>
  <c r="AU285" i="69"/>
  <c r="AV268" i="69"/>
  <c r="AV19" i="69"/>
  <c r="AU297" i="69"/>
  <c r="AV300" i="69"/>
  <c r="AV241" i="69" s="1"/>
  <c r="AU286" i="69"/>
  <c r="AU307" i="69"/>
  <c r="AU309" i="69"/>
  <c r="AV297" i="69"/>
  <c r="AV18" i="69"/>
  <c r="AV322" i="69"/>
  <c r="AU330" i="69"/>
  <c r="AU243" i="69" s="1"/>
  <c r="AU308" i="69"/>
  <c r="AU270" i="69"/>
  <c r="AU273" i="69"/>
  <c r="AU290" i="69"/>
  <c r="AU300" i="69"/>
  <c r="AU241" i="69" s="1"/>
  <c r="AU329" i="69"/>
  <c r="AV312" i="69"/>
  <c r="AV286" i="69"/>
  <c r="AU190" i="69"/>
  <c r="AU191" i="69" s="1"/>
  <c r="AU322" i="69"/>
  <c r="AV307" i="69"/>
  <c r="AV269" i="69"/>
  <c r="AU18" i="69"/>
  <c r="AW17" i="69"/>
  <c r="AW302" i="69"/>
  <c r="AW297" i="69"/>
  <c r="AW313" i="69"/>
  <c r="AW299" i="69"/>
  <c r="AW286" i="69"/>
  <c r="AW323" i="69"/>
  <c r="AW242" i="69" s="1"/>
  <c r="AW322" i="69"/>
  <c r="AW300" i="69"/>
  <c r="AW241" i="69" s="1"/>
  <c r="AW329" i="69"/>
  <c r="AW186" i="69"/>
  <c r="AW189" i="69" s="1"/>
  <c r="AW309" i="69"/>
  <c r="AW287" i="69"/>
  <c r="AW269" i="69"/>
  <c r="AW312" i="69"/>
  <c r="AW320" i="69"/>
  <c r="AW273" i="69"/>
  <c r="AW308" i="69"/>
  <c r="AW285" i="69"/>
  <c r="AW268" i="69"/>
  <c r="AW190" i="69"/>
  <c r="AW191" i="69" s="1"/>
  <c r="AW290" i="69"/>
  <c r="AW19" i="69"/>
  <c r="AW270" i="69"/>
  <c r="AW254" i="69"/>
  <c r="AW255" i="69" s="1"/>
  <c r="AW330" i="69"/>
  <c r="AW243" i="69" s="1"/>
  <c r="H17" i="69"/>
  <c r="E456" i="71"/>
  <c r="E54" i="73" s="1"/>
  <c r="G467" i="71"/>
  <c r="G64" i="73" s="1"/>
  <c r="F467" i="71"/>
  <c r="F64" i="73" s="1"/>
  <c r="F454" i="71"/>
  <c r="F52" i="73" s="1"/>
  <c r="F455" i="71"/>
  <c r="F53" i="73" s="1"/>
  <c r="F456" i="71"/>
  <c r="F54" i="73" s="1"/>
  <c r="G455" i="71"/>
  <c r="G53" i="73" s="1"/>
  <c r="H467" i="71"/>
  <c r="H64" i="73" s="1"/>
  <c r="G454" i="71"/>
  <c r="G52" i="73" s="1"/>
  <c r="G456" i="71"/>
  <c r="G54" i="73" s="1"/>
  <c r="I455" i="71"/>
  <c r="I53" i="73" s="1"/>
  <c r="H454" i="71"/>
  <c r="H52" i="73" s="1"/>
  <c r="H455" i="71"/>
  <c r="H53" i="73" s="1"/>
  <c r="H456" i="71"/>
  <c r="H54" i="73" s="1"/>
  <c r="I454" i="71"/>
  <c r="I52" i="73" s="1"/>
  <c r="I467" i="71"/>
  <c r="I64" i="73" s="1"/>
  <c r="J454" i="71"/>
  <c r="K52" i="73" s="1"/>
  <c r="K467" i="71"/>
  <c r="L64" i="73" s="1"/>
  <c r="J456" i="71"/>
  <c r="K54" i="73" s="1"/>
  <c r="J455" i="71"/>
  <c r="K53" i="73" s="1"/>
  <c r="J467" i="71"/>
  <c r="K64" i="73" s="1"/>
  <c r="I456" i="71"/>
  <c r="I54" i="73" s="1"/>
  <c r="L454" i="71"/>
  <c r="N52" i="73" s="1"/>
  <c r="K456" i="71"/>
  <c r="L54" i="73" s="1"/>
  <c r="M454" i="71"/>
  <c r="O52" i="73" s="1"/>
  <c r="K455" i="71"/>
  <c r="L53" i="73" s="1"/>
  <c r="L456" i="71"/>
  <c r="N54" i="73" s="1"/>
  <c r="L467" i="71"/>
  <c r="N64" i="73" s="1"/>
  <c r="K454" i="71"/>
  <c r="L52" i="73" s="1"/>
  <c r="L455" i="71"/>
  <c r="N53" i="73" s="1"/>
  <c r="M455" i="71"/>
  <c r="O53" i="73" s="1"/>
  <c r="E454" i="71"/>
  <c r="EG7" i="71"/>
  <c r="EG21" i="71"/>
  <c r="EG191" i="71"/>
  <c r="P186" i="68" s="1"/>
  <c r="EG193" i="71"/>
  <c r="EG194" i="71" s="1"/>
  <c r="EG189" i="71"/>
  <c r="EG195" i="71"/>
  <c r="EG190" i="71"/>
  <c r="P185" i="68" s="1"/>
  <c r="EF192" i="71"/>
  <c r="BH193" i="71"/>
  <c r="CH100" i="1"/>
  <c r="CG110" i="1"/>
  <c r="BW65" i="6" s="1"/>
  <c r="BJ185" i="30" l="1"/>
  <c r="BJ186" i="30" s="1"/>
  <c r="AV291" i="69"/>
  <c r="D359" i="45"/>
  <c r="AW274" i="69"/>
  <c r="AW279" i="69" s="1"/>
  <c r="AW240" i="69" s="1"/>
  <c r="AW244" i="69" s="1"/>
  <c r="AU324" i="69"/>
  <c r="AU325" i="69" s="1"/>
  <c r="AT291" i="69"/>
  <c r="AV324" i="69"/>
  <c r="AV325" i="69" s="1"/>
  <c r="AV331" i="69"/>
  <c r="AT331" i="69"/>
  <c r="AT324" i="69"/>
  <c r="AT325" i="69" s="1"/>
  <c r="AV274" i="69"/>
  <c r="AV279" i="69" s="1"/>
  <c r="AV317" i="69" s="1"/>
  <c r="EG192" i="71"/>
  <c r="EG199" i="71" s="1"/>
  <c r="P190" i="68"/>
  <c r="C195" i="71"/>
  <c r="AW324" i="69"/>
  <c r="AW325" i="69" s="1"/>
  <c r="AU331" i="69"/>
  <c r="AU196" i="69"/>
  <c r="AU199" i="69"/>
  <c r="AU197" i="69"/>
  <c r="AU274" i="69"/>
  <c r="AU279" i="69" s="1"/>
  <c r="AU247" i="69"/>
  <c r="AU301" i="69"/>
  <c r="AU318" i="69" s="1"/>
  <c r="AT301" i="69"/>
  <c r="AT318" i="69" s="1"/>
  <c r="AT247" i="69"/>
  <c r="AT199" i="69"/>
  <c r="AT196" i="69"/>
  <c r="AT197" i="69"/>
  <c r="C17" i="69"/>
  <c r="E163" i="69"/>
  <c r="E182" i="69" s="1"/>
  <c r="AW291" i="69"/>
  <c r="E345" i="69"/>
  <c r="E370" i="69"/>
  <c r="AW301" i="69"/>
  <c r="AW318" i="69" s="1"/>
  <c r="AW247" i="69"/>
  <c r="AU291" i="69"/>
  <c r="EF202" i="71"/>
  <c r="EF200" i="71"/>
  <c r="EF196" i="71"/>
  <c r="EF201" i="71" s="1"/>
  <c r="EF199" i="71"/>
  <c r="E455" i="71"/>
  <c r="G18" i="69"/>
  <c r="C21" i="71"/>
  <c r="H18" i="69"/>
  <c r="P184" i="68"/>
  <c r="P187" i="68" s="1"/>
  <c r="E179" i="68"/>
  <c r="E43" i="68"/>
  <c r="E113" i="68"/>
  <c r="E14" i="68"/>
  <c r="E26" i="68"/>
  <c r="E158" i="68"/>
  <c r="F28" i="68"/>
  <c r="E17" i="68"/>
  <c r="E160" i="68"/>
  <c r="E178" i="68"/>
  <c r="E124" i="68"/>
  <c r="E157" i="68"/>
  <c r="E42" i="68"/>
  <c r="E16" i="68"/>
  <c r="F17" i="68"/>
  <c r="E28" i="68"/>
  <c r="E125" i="68"/>
  <c r="G15" i="68"/>
  <c r="E27" i="68"/>
  <c r="E123" i="68"/>
  <c r="F15" i="68"/>
  <c r="E32" i="68"/>
  <c r="E283" i="68"/>
  <c r="E15" i="68"/>
  <c r="F16" i="68"/>
  <c r="E175" i="68"/>
  <c r="E114" i="68"/>
  <c r="E305" i="68"/>
  <c r="E266" i="68"/>
  <c r="E159" i="68"/>
  <c r="E367" i="68" s="1"/>
  <c r="E129" i="68"/>
  <c r="H28" i="68"/>
  <c r="E112" i="68"/>
  <c r="E55" i="68"/>
  <c r="E111" i="68"/>
  <c r="G16" i="68"/>
  <c r="H15" i="68"/>
  <c r="E41" i="68"/>
  <c r="G28" i="68"/>
  <c r="H17" i="68"/>
  <c r="G17" i="68"/>
  <c r="I15" i="68"/>
  <c r="I28" i="68"/>
  <c r="I16" i="68"/>
  <c r="J15" i="68"/>
  <c r="I17" i="68"/>
  <c r="J16" i="68"/>
  <c r="J17" i="68"/>
  <c r="H16" i="68"/>
  <c r="J28" i="68"/>
  <c r="L16" i="68"/>
  <c r="L17" i="68"/>
  <c r="K28" i="68"/>
  <c r="K15" i="68"/>
  <c r="M16" i="68"/>
  <c r="N16" i="68"/>
  <c r="L15" i="68"/>
  <c r="O15" i="68"/>
  <c r="N15" i="68"/>
  <c r="L28" i="68"/>
  <c r="K17" i="68"/>
  <c r="K16" i="68"/>
  <c r="P16" i="68"/>
  <c r="M15" i="68"/>
  <c r="N28" i="68"/>
  <c r="O17" i="68"/>
  <c r="P216" i="68"/>
  <c r="O28" i="68"/>
  <c r="N17" i="68"/>
  <c r="P266" i="68"/>
  <c r="P321" i="68"/>
  <c r="P240" i="68" s="1"/>
  <c r="P327" i="68"/>
  <c r="O16" i="68"/>
  <c r="P15" i="68"/>
  <c r="P267" i="68"/>
  <c r="P222" i="68"/>
  <c r="P285" i="68"/>
  <c r="P315" i="68"/>
  <c r="P212" i="68"/>
  <c r="P252" i="68"/>
  <c r="P253" i="68" s="1"/>
  <c r="P284" i="68"/>
  <c r="P305" i="68"/>
  <c r="P306" i="68"/>
  <c r="P17" i="68"/>
  <c r="P300" i="68"/>
  <c r="P307" i="68"/>
  <c r="P211" i="68"/>
  <c r="P283" i="68"/>
  <c r="P268" i="68"/>
  <c r="P298" i="68"/>
  <c r="P239" i="68" s="1"/>
  <c r="P295" i="68"/>
  <c r="P297" i="68"/>
  <c r="P328" i="68"/>
  <c r="P241" i="68" s="1"/>
  <c r="P271" i="68"/>
  <c r="P320" i="68"/>
  <c r="P318" i="68"/>
  <c r="P316" i="68"/>
  <c r="P311" i="68"/>
  <c r="P223" i="68"/>
  <c r="P213" i="68"/>
  <c r="P28" i="68"/>
  <c r="P215" i="68"/>
  <c r="E22" i="68"/>
  <c r="E142" i="68"/>
  <c r="E169" i="68"/>
  <c r="E49" i="68"/>
  <c r="E120" i="68"/>
  <c r="P188" i="68"/>
  <c r="P189" i="68" s="1"/>
  <c r="E52" i="73"/>
  <c r="D52" i="73" s="1"/>
  <c r="C454" i="71"/>
  <c r="O454" i="71" s="1"/>
  <c r="AW196" i="69"/>
  <c r="AW199" i="69"/>
  <c r="AW197" i="69"/>
  <c r="AW18" i="69"/>
  <c r="AV301" i="69"/>
  <c r="AV318" i="69" s="1"/>
  <c r="AV247" i="69"/>
  <c r="AW331" i="69"/>
  <c r="AV196" i="69"/>
  <c r="AV197" i="69"/>
  <c r="AV199" i="69"/>
  <c r="AT274" i="69"/>
  <c r="AT279" i="69" s="1"/>
  <c r="AW30" i="69"/>
  <c r="E467" i="71"/>
  <c r="E64" i="73" s="1"/>
  <c r="H30" i="69"/>
  <c r="G30" i="69"/>
  <c r="BI193" i="71"/>
  <c r="BI194" i="71" s="1"/>
  <c r="BH194" i="71"/>
  <c r="X190" i="69"/>
  <c r="X191" i="69" s="1"/>
  <c r="CH110" i="1"/>
  <c r="BX65" i="6" s="1"/>
  <c r="CI100" i="1"/>
  <c r="BK185" i="30" l="1"/>
  <c r="BK186" i="30" s="1"/>
  <c r="D360" i="45"/>
  <c r="P322" i="68"/>
  <c r="P323" i="68" s="1"/>
  <c r="AW317" i="69"/>
  <c r="AW319" i="69" s="1"/>
  <c r="AW295" i="69"/>
  <c r="AW296" i="69" s="1"/>
  <c r="P317" i="68"/>
  <c r="E161" i="68"/>
  <c r="E180" i="68" s="1"/>
  <c r="AV240" i="69"/>
  <c r="AV244" i="69" s="1"/>
  <c r="EG196" i="71"/>
  <c r="EG201" i="71" s="1"/>
  <c r="AV295" i="69"/>
  <c r="AV296" i="69" s="1"/>
  <c r="EG200" i="71"/>
  <c r="EG202" i="71"/>
  <c r="P272" i="68"/>
  <c r="P277" i="68" s="1"/>
  <c r="P293" i="68" s="1"/>
  <c r="AV360" i="69"/>
  <c r="AV347" i="69"/>
  <c r="AV336" i="69"/>
  <c r="P207" i="68"/>
  <c r="P333" i="68" s="1"/>
  <c r="P357" i="68"/>
  <c r="P344" i="68"/>
  <c r="P245" i="68"/>
  <c r="P299" i="68"/>
  <c r="P224" i="68"/>
  <c r="E53" i="73"/>
  <c r="D53" i="73" s="1"/>
  <c r="C455" i="71"/>
  <c r="O455" i="71" s="1"/>
  <c r="AU336" i="69"/>
  <c r="AU360" i="69"/>
  <c r="AU347" i="69"/>
  <c r="AT295" i="69"/>
  <c r="AT296" i="69" s="1"/>
  <c r="AT317" i="69"/>
  <c r="AT319" i="69" s="1"/>
  <c r="AT240" i="69"/>
  <c r="AT244" i="69" s="1"/>
  <c r="AU317" i="69"/>
  <c r="AU319" i="69" s="1"/>
  <c r="AU295" i="69"/>
  <c r="AU296" i="69" s="1"/>
  <c r="AU240" i="69"/>
  <c r="AU244" i="69" s="1"/>
  <c r="P329" i="68"/>
  <c r="C15" i="68"/>
  <c r="P191" i="68"/>
  <c r="P196" i="68" s="1"/>
  <c r="P194" i="68"/>
  <c r="P197" i="68"/>
  <c r="P195" i="68"/>
  <c r="C18" i="69"/>
  <c r="AV319" i="69"/>
  <c r="E343" i="68"/>
  <c r="E368" i="68"/>
  <c r="C16" i="68"/>
  <c r="AW347" i="69"/>
  <c r="AW336" i="69"/>
  <c r="AW360" i="69"/>
  <c r="AT347" i="69"/>
  <c r="AT336" i="69"/>
  <c r="AT360" i="69"/>
  <c r="BJ193" i="71"/>
  <c r="BJ194" i="71" s="1"/>
  <c r="BK193" i="71"/>
  <c r="CI110" i="1"/>
  <c r="BY65" i="6" s="1"/>
  <c r="CJ100" i="1"/>
  <c r="BL185" i="30" l="1"/>
  <c r="BL186" i="30" s="1"/>
  <c r="D361" i="45"/>
  <c r="P238" i="68"/>
  <c r="P242" i="68" s="1"/>
  <c r="P345" i="68"/>
  <c r="P358" i="68"/>
  <c r="P359" i="68" s="1"/>
  <c r="P334" i="68"/>
  <c r="BL193" i="71"/>
  <c r="BL194" i="71" s="1"/>
  <c r="BK194" i="71"/>
  <c r="Y190" i="69"/>
  <c r="Y191" i="69" s="1"/>
  <c r="CJ110" i="1"/>
  <c r="BZ65" i="6" s="1"/>
  <c r="CK100" i="1"/>
  <c r="BM185" i="30" l="1"/>
  <c r="BM186" i="30" s="1"/>
  <c r="D362" i="45"/>
  <c r="CK110" i="1"/>
  <c r="CA65" i="6" s="1"/>
  <c r="CL100" i="1"/>
  <c r="J49" i="21"/>
  <c r="BN185" i="30" l="1"/>
  <c r="D363" i="45"/>
  <c r="BM193" i="71"/>
  <c r="CL110" i="1"/>
  <c r="CB65" i="6" s="1"/>
  <c r="CM100" i="1"/>
  <c r="I185" i="32"/>
  <c r="I184" i="32"/>
  <c r="BN186" i="30" l="1"/>
  <c r="BN193" i="71"/>
  <c r="BO185" i="30"/>
  <c r="BO186" i="30" s="1"/>
  <c r="D364" i="45"/>
  <c r="BM194" i="71"/>
  <c r="J188" i="68"/>
  <c r="J189" i="68" s="1"/>
  <c r="CN100" i="1"/>
  <c r="CM110" i="1"/>
  <c r="CC65" i="6" s="1"/>
  <c r="BN194" i="71" l="1"/>
  <c r="Z190" i="69"/>
  <c r="Z191" i="69" s="1"/>
  <c r="BP185" i="30"/>
  <c r="BP186" i="30" s="1"/>
  <c r="D365" i="45"/>
  <c r="BO193" i="71"/>
  <c r="BO194" i="71" s="1"/>
  <c r="CO100" i="1"/>
  <c r="CN110" i="1"/>
  <c r="CD65" i="6" s="1"/>
  <c r="BQ185" i="30" l="1"/>
  <c r="BQ186" i="30" s="1"/>
  <c r="D366" i="45"/>
  <c r="BP193" i="71"/>
  <c r="BP194" i="71" s="1"/>
  <c r="BQ193" i="71"/>
  <c r="CO110" i="1"/>
  <c r="CE65" i="6" s="1"/>
  <c r="CP100" i="1"/>
  <c r="BR185" i="30" l="1"/>
  <c r="BR186" i="30" s="1"/>
  <c r="D367" i="45"/>
  <c r="BQ194" i="71"/>
  <c r="AA190" i="69"/>
  <c r="AA191" i="69" s="1"/>
  <c r="CQ100" i="1"/>
  <c r="CP110" i="1"/>
  <c r="CF65" i="6" s="1"/>
  <c r="BS185" i="30" l="1"/>
  <c r="BS186" i="30" s="1"/>
  <c r="D368" i="45"/>
  <c r="BR193" i="71"/>
  <c r="BR194" i="71" s="1"/>
  <c r="CQ110" i="1"/>
  <c r="CG65" i="6" s="1"/>
  <c r="CR100" i="1"/>
  <c r="BT185" i="30" l="1"/>
  <c r="BT186" i="30" s="1"/>
  <c r="D369" i="45"/>
  <c r="BS193" i="71"/>
  <c r="BS194" i="71" s="1"/>
  <c r="BT193" i="71"/>
  <c r="CR110" i="1"/>
  <c r="CH65" i="6" s="1"/>
  <c r="CS100" i="1"/>
  <c r="BU185" i="30" l="1"/>
  <c r="BU186" i="30" s="1"/>
  <c r="D370" i="45"/>
  <c r="BT194" i="71"/>
  <c r="AB190" i="69"/>
  <c r="AB191" i="69" s="1"/>
  <c r="CS110" i="1"/>
  <c r="CI65" i="6" s="1"/>
  <c r="CT100" i="1"/>
  <c r="BV185" i="30" l="1"/>
  <c r="BV186" i="30" s="1"/>
  <c r="D371" i="45"/>
  <c r="BU193" i="71"/>
  <c r="BU194" i="71" s="1"/>
  <c r="CU100" i="1"/>
  <c r="CT110" i="1"/>
  <c r="CJ65" i="6" s="1"/>
  <c r="BW185" i="30" l="1"/>
  <c r="BW186" i="30" s="1"/>
  <c r="D372" i="45"/>
  <c r="BV193" i="71"/>
  <c r="BV194" i="71" s="1"/>
  <c r="CU110" i="1"/>
  <c r="CK65" i="6" s="1"/>
  <c r="CV100" i="1"/>
  <c r="BX185" i="30" l="1"/>
  <c r="BX186" i="30" s="1"/>
  <c r="D373" i="45"/>
  <c r="BW193" i="71"/>
  <c r="BX193" i="71"/>
  <c r="BX194" i="71" s="1"/>
  <c r="CV110" i="1"/>
  <c r="CL65" i="6" s="1"/>
  <c r="CW100" i="1"/>
  <c r="BY185" i="30" l="1"/>
  <c r="BY186" i="30" s="1"/>
  <c r="D374" i="45"/>
  <c r="BW194" i="71"/>
  <c r="AC190" i="69"/>
  <c r="AC191" i="69" s="1"/>
  <c r="CW110" i="1"/>
  <c r="CM65" i="6" s="1"/>
  <c r="CX100" i="1"/>
  <c r="K49" i="21"/>
  <c r="BZ185" i="30" l="1"/>
  <c r="BZ186" i="30" s="1"/>
  <c r="D375" i="45"/>
  <c r="BY193" i="71"/>
  <c r="BZ193" i="71"/>
  <c r="CX110" i="1"/>
  <c r="CN65" i="6" s="1"/>
  <c r="CY100" i="1"/>
  <c r="J185" i="32"/>
  <c r="J184" i="32"/>
  <c r="CA185" i="30" l="1"/>
  <c r="CA186" i="30" s="1"/>
  <c r="D376" i="45"/>
  <c r="BY194" i="71"/>
  <c r="K188" i="68"/>
  <c r="K189" i="68" s="1"/>
  <c r="BZ194" i="71"/>
  <c r="AD190" i="69"/>
  <c r="AD191" i="69" s="1"/>
  <c r="CZ100" i="1"/>
  <c r="CY110" i="1"/>
  <c r="CO65" i="6" s="1"/>
  <c r="CB185" i="30" l="1"/>
  <c r="CB186" i="30" s="1"/>
  <c r="D377" i="45"/>
  <c r="CA193" i="71"/>
  <c r="CA194" i="71" s="1"/>
  <c r="CB193" i="71"/>
  <c r="CB194" i="71" s="1"/>
  <c r="CZ110" i="1"/>
  <c r="CP65" i="6" s="1"/>
  <c r="DA100" i="1"/>
  <c r="CC185" i="30" l="1"/>
  <c r="CC186" i="30" s="1"/>
  <c r="D378" i="45"/>
  <c r="CC193" i="71"/>
  <c r="DB100" i="1"/>
  <c r="DA110" i="1"/>
  <c r="CQ65" i="6" s="1"/>
  <c r="CD185" i="30" l="1"/>
  <c r="CD186" i="30" s="1"/>
  <c r="D379" i="45"/>
  <c r="CC194" i="71"/>
  <c r="AE190" i="69"/>
  <c r="AE191" i="69" s="1"/>
  <c r="DC100" i="1"/>
  <c r="DB110" i="1"/>
  <c r="CR65" i="6" s="1"/>
  <c r="K30" i="55"/>
  <c r="CE185" i="30" l="1"/>
  <c r="CE186" i="30" s="1"/>
  <c r="D380" i="45"/>
  <c r="CE193" i="71"/>
  <c r="CE194" i="71" s="1"/>
  <c r="CD193" i="71"/>
  <c r="CD194" i="71" s="1"/>
  <c r="DC110" i="1"/>
  <c r="CS65" i="6" s="1"/>
  <c r="DD100" i="1"/>
  <c r="P17" i="55"/>
  <c r="P12" i="55"/>
  <c r="P9" i="55"/>
  <c r="P15" i="55"/>
  <c r="P18" i="55"/>
  <c r="P22" i="55"/>
  <c r="P14" i="55"/>
  <c r="P16" i="55"/>
  <c r="P10" i="55"/>
  <c r="CF185" i="30" l="1"/>
  <c r="CF186" i="30" s="1"/>
  <c r="D381" i="45"/>
  <c r="DE100" i="1"/>
  <c r="DD110" i="1"/>
  <c r="CT65" i="6" s="1"/>
  <c r="P23" i="55"/>
  <c r="M60" i="55"/>
  <c r="T60" i="55" s="1"/>
  <c r="P13" i="55"/>
  <c r="CG185" i="30" l="1"/>
  <c r="CG186" i="30" s="1"/>
  <c r="D382" i="45"/>
  <c r="CF193" i="71"/>
  <c r="DF100" i="1"/>
  <c r="DE110" i="1"/>
  <c r="CU65" i="6" s="1"/>
  <c r="F105" i="3"/>
  <c r="G105" i="3"/>
  <c r="D48" i="23"/>
  <c r="CH185" i="30" l="1"/>
  <c r="CH186" i="30" s="1"/>
  <c r="D383" i="45"/>
  <c r="CG193" i="71"/>
  <c r="CG194" i="71" s="1"/>
  <c r="CF194" i="71"/>
  <c r="AF190" i="69"/>
  <c r="AF191" i="69" s="1"/>
  <c r="DT100" i="1"/>
  <c r="DF110" i="1"/>
  <c r="CV65" i="6" s="1"/>
  <c r="DG100" i="1"/>
  <c r="CI185" i="30" l="1"/>
  <c r="CI186" i="30" s="1"/>
  <c r="D384" i="45"/>
  <c r="CH193" i="71"/>
  <c r="CH194" i="71" s="1"/>
  <c r="ER100" i="1"/>
  <c r="ER110" i="1" s="1"/>
  <c r="EH65" i="6" s="1"/>
  <c r="DG110" i="1"/>
  <c r="CW65" i="6" s="1"/>
  <c r="DH100" i="1"/>
  <c r="EF100" i="1"/>
  <c r="DU100" i="1"/>
  <c r="DT110" i="1"/>
  <c r="DJ65" i="6" s="1"/>
  <c r="A20" i="42"/>
  <c r="J42" i="96" s="1"/>
  <c r="CJ185" i="30" l="1"/>
  <c r="CJ186" i="30" s="1"/>
  <c r="B18" i="73"/>
  <c r="D385" i="45"/>
  <c r="CI193" i="71"/>
  <c r="CJ193" i="71"/>
  <c r="CJ194" i="71" s="1"/>
  <c r="EG100" i="1"/>
  <c r="EF110" i="1"/>
  <c r="DV65" i="6" s="1"/>
  <c r="DI100" i="1"/>
  <c r="DH110" i="1"/>
  <c r="DU110" i="1"/>
  <c r="DK65" i="6" s="1"/>
  <c r="DV100" i="1"/>
  <c r="I19" i="55"/>
  <c r="P19" i="55" s="1"/>
  <c r="F23" i="38"/>
  <c r="CX65" i="6" l="1"/>
  <c r="D386" i="45"/>
  <c r="CI194" i="71"/>
  <c r="AG190" i="69"/>
  <c r="AG191" i="69" s="1"/>
  <c r="DI110" i="1"/>
  <c r="CY65" i="6" s="1"/>
  <c r="DJ100" i="1"/>
  <c r="EG110" i="1"/>
  <c r="DW65" i="6" s="1"/>
  <c r="EH100" i="1"/>
  <c r="DV110" i="1"/>
  <c r="DL65" i="6" s="1"/>
  <c r="DW100" i="1"/>
  <c r="N9" i="17"/>
  <c r="A116" i="30" s="1"/>
  <c r="B4" i="55"/>
  <c r="CK185" i="30" l="1"/>
  <c r="CK186" i="30" s="1"/>
  <c r="K185" i="32" s="1"/>
  <c r="CL185" i="30"/>
  <c r="CL186" i="30" s="1"/>
  <c r="L49" i="21"/>
  <c r="D387" i="45"/>
  <c r="CK193" i="71"/>
  <c r="DJ110" i="1"/>
  <c r="CZ65" i="6" s="1"/>
  <c r="DK100" i="1"/>
  <c r="DW110" i="1"/>
  <c r="DM65" i="6" s="1"/>
  <c r="DX100" i="1"/>
  <c r="EI100" i="1"/>
  <c r="EH110" i="1"/>
  <c r="DX65" i="6" s="1"/>
  <c r="A116" i="32"/>
  <c r="K184" i="32" l="1"/>
  <c r="CM185" i="30"/>
  <c r="CM186" i="30" s="1"/>
  <c r="D388" i="45"/>
  <c r="CL193" i="71"/>
  <c r="CL194" i="71" s="1"/>
  <c r="CK194" i="71"/>
  <c r="L188" i="68"/>
  <c r="L189" i="68" s="1"/>
  <c r="DK110" i="1"/>
  <c r="DA65" i="6" s="1"/>
  <c r="DL100" i="1"/>
  <c r="EI110" i="1"/>
  <c r="DY65" i="6" s="1"/>
  <c r="EJ100" i="1"/>
  <c r="DX110" i="1"/>
  <c r="DN65" i="6" s="1"/>
  <c r="DY100" i="1"/>
  <c r="CN185" i="30" l="1"/>
  <c r="CN186" i="30" s="1"/>
  <c r="D389" i="45"/>
  <c r="AH190" i="69"/>
  <c r="AH191" i="69" s="1"/>
  <c r="CN193" i="71"/>
  <c r="CN194" i="71" s="1"/>
  <c r="CM193" i="71"/>
  <c r="CM194" i="71" s="1"/>
  <c r="DL110" i="1"/>
  <c r="DB65" i="6" s="1"/>
  <c r="DM100" i="1"/>
  <c r="DY110" i="1"/>
  <c r="DO65" i="6" s="1"/>
  <c r="DZ100" i="1"/>
  <c r="EJ110" i="1"/>
  <c r="DZ65" i="6" s="1"/>
  <c r="EK100" i="1"/>
  <c r="CO185" i="30" l="1"/>
  <c r="CO186" i="30" s="1"/>
  <c r="D390" i="45"/>
  <c r="DM110" i="1"/>
  <c r="DC65" i="6" s="1"/>
  <c r="DN100" i="1"/>
  <c r="EK110" i="1"/>
  <c r="EA65" i="6" s="1"/>
  <c r="EL100" i="1"/>
  <c r="EA100" i="1"/>
  <c r="DZ110" i="1"/>
  <c r="DP65" i="6" s="1"/>
  <c r="CP185" i="30" l="1"/>
  <c r="CP186" i="30" s="1"/>
  <c r="D391" i="45"/>
  <c r="CO193" i="71"/>
  <c r="DN110" i="1"/>
  <c r="DD65" i="6" s="1"/>
  <c r="DO100" i="1"/>
  <c r="EA110" i="1"/>
  <c r="DQ65" i="6" s="1"/>
  <c r="EB100" i="1"/>
  <c r="EM100" i="1"/>
  <c r="EL110" i="1"/>
  <c r="EB65" i="6" s="1"/>
  <c r="CQ185" i="30" l="1"/>
  <c r="CQ186" i="30" s="1"/>
  <c r="D392" i="45"/>
  <c r="CP193" i="71"/>
  <c r="CP194" i="71" s="1"/>
  <c r="CO194" i="71"/>
  <c r="AI190" i="69"/>
  <c r="AI191" i="69" s="1"/>
  <c r="EB110" i="1"/>
  <c r="DR65" i="6" s="1"/>
  <c r="EC100" i="1"/>
  <c r="DO110" i="1"/>
  <c r="DE65" i="6" s="1"/>
  <c r="DP100" i="1"/>
  <c r="EM110" i="1"/>
  <c r="EC65" i="6" s="1"/>
  <c r="EN100" i="1"/>
  <c r="CR185" i="30" l="1"/>
  <c r="CR186" i="30" s="1"/>
  <c r="D393" i="45"/>
  <c r="CQ193" i="71"/>
  <c r="CQ194" i="71" s="1"/>
  <c r="EO100" i="1"/>
  <c r="EN110" i="1"/>
  <c r="ED65" i="6" s="1"/>
  <c r="DP110" i="1"/>
  <c r="DF65" i="6" s="1"/>
  <c r="DQ100" i="1"/>
  <c r="ED100" i="1"/>
  <c r="EC110" i="1"/>
  <c r="DS65" i="6" s="1"/>
  <c r="CS185" i="30" l="1"/>
  <c r="CS186" i="30" s="1"/>
  <c r="D394" i="45"/>
  <c r="CR193" i="71"/>
  <c r="ED110" i="1"/>
  <c r="DT65" i="6" s="1"/>
  <c r="EE100" i="1"/>
  <c r="EE110" i="1" s="1"/>
  <c r="DU65" i="6" s="1"/>
  <c r="DQ110" i="1"/>
  <c r="DG65" i="6" s="1"/>
  <c r="DR100" i="1"/>
  <c r="EP100" i="1"/>
  <c r="EO110" i="1"/>
  <c r="EE65" i="6" s="1"/>
  <c r="DO185" i="30" l="1"/>
  <c r="DO186" i="30" s="1"/>
  <c r="DH185" i="30"/>
  <c r="DH186" i="30" s="1"/>
  <c r="DI185" i="30"/>
  <c r="DI186" i="30" s="1"/>
  <c r="DJ185" i="30"/>
  <c r="DJ186" i="30" s="1"/>
  <c r="DK185" i="30"/>
  <c r="DK186" i="30" s="1"/>
  <c r="DL185" i="30"/>
  <c r="DL186" i="30" s="1"/>
  <c r="DM185" i="30"/>
  <c r="DM186" i="30" s="1"/>
  <c r="CT185" i="30"/>
  <c r="CT186" i="30" s="1"/>
  <c r="DP185" i="30"/>
  <c r="DP186" i="30" s="1"/>
  <c r="DN185" i="30"/>
  <c r="DN186" i="30" s="1"/>
  <c r="DR185" i="30"/>
  <c r="DR186" i="30" s="1"/>
  <c r="DQ185" i="30"/>
  <c r="DQ186" i="30" s="1"/>
  <c r="D395" i="45"/>
  <c r="DN193" i="71"/>
  <c r="DN194" i="71" s="1"/>
  <c r="N49" i="21"/>
  <c r="CS193" i="71"/>
  <c r="CS194" i="71" s="1"/>
  <c r="CR194" i="71"/>
  <c r="AJ190" i="69"/>
  <c r="AJ191" i="69" s="1"/>
  <c r="DL193" i="71"/>
  <c r="DL194" i="71" s="1"/>
  <c r="EP110" i="1"/>
  <c r="EF65" i="6" s="1"/>
  <c r="DS185" i="30" s="1"/>
  <c r="DS186" i="30" s="1"/>
  <c r="EQ100" i="1"/>
  <c r="EQ110" i="1" s="1"/>
  <c r="EG65" i="6" s="1"/>
  <c r="DR110" i="1"/>
  <c r="DH65" i="6" s="1"/>
  <c r="DS100" i="1"/>
  <c r="DS110" i="1" s="1"/>
  <c r="DI65" i="6" s="1"/>
  <c r="DB185" i="30" l="1"/>
  <c r="DB186" i="30" s="1"/>
  <c r="DR193" i="71"/>
  <c r="DR194" i="71" s="1"/>
  <c r="DC185" i="30"/>
  <c r="DC186" i="30" s="1"/>
  <c r="CZ185" i="30"/>
  <c r="CZ186" i="30" s="1"/>
  <c r="DE185" i="30"/>
  <c r="DE186" i="30" s="1"/>
  <c r="DA185" i="30"/>
  <c r="DA186" i="30" s="1"/>
  <c r="DG185" i="30"/>
  <c r="DG186" i="30" s="1"/>
  <c r="CV185" i="30"/>
  <c r="CV186" i="30" s="1"/>
  <c r="CX185" i="30"/>
  <c r="CX186" i="30" s="1"/>
  <c r="CW185" i="30"/>
  <c r="CW186" i="30" s="1"/>
  <c r="DF185" i="30"/>
  <c r="DF186" i="30" s="1"/>
  <c r="CU185" i="30"/>
  <c r="CU186" i="30" s="1"/>
  <c r="DT185" i="30"/>
  <c r="DT186" i="30" s="1"/>
  <c r="DU185" i="30"/>
  <c r="DU186" i="30" s="1"/>
  <c r="CY185" i="30"/>
  <c r="CY186" i="30" s="1"/>
  <c r="DD185" i="30"/>
  <c r="DD186" i="30" s="1"/>
  <c r="D396" i="45"/>
  <c r="DO193" i="71"/>
  <c r="DO194" i="71" s="1"/>
  <c r="DK193" i="71"/>
  <c r="DK194" i="71" s="1"/>
  <c r="DJ193" i="71"/>
  <c r="DJ194" i="71" s="1"/>
  <c r="DP193" i="71"/>
  <c r="DP194" i="71" s="1"/>
  <c r="DI193" i="71"/>
  <c r="N188" i="68" s="1"/>
  <c r="N189" i="68" s="1"/>
  <c r="DH193" i="71"/>
  <c r="DH194" i="71" s="1"/>
  <c r="M184" i="32"/>
  <c r="M185" i="32"/>
  <c r="O49" i="21"/>
  <c r="DM193" i="71"/>
  <c r="DM194" i="71" s="1"/>
  <c r="DQ193" i="71"/>
  <c r="DQ194" i="71" s="1"/>
  <c r="O37" i="73"/>
  <c r="CT193" i="71"/>
  <c r="CT194" i="71" s="1"/>
  <c r="M49" i="21"/>
  <c r="CU193" i="71" l="1"/>
  <c r="DU193" i="71"/>
  <c r="DG193" i="71"/>
  <c r="DG194" i="71" s="1"/>
  <c r="DE193" i="71"/>
  <c r="DE194" i="71" s="1"/>
  <c r="L184" i="32"/>
  <c r="D397" i="45"/>
  <c r="AP190" i="69"/>
  <c r="AP191" i="69" s="1"/>
  <c r="AR190" i="69"/>
  <c r="AR191" i="69" s="1"/>
  <c r="DC193" i="71"/>
  <c r="DC194" i="71" s="1"/>
  <c r="CV193" i="71"/>
  <c r="CV194" i="71" s="1"/>
  <c r="DI194" i="71"/>
  <c r="N185" i="32"/>
  <c r="N184" i="32"/>
  <c r="DT193" i="71"/>
  <c r="DT194" i="71" s="1"/>
  <c r="DD193" i="71"/>
  <c r="AN190" i="69" s="1"/>
  <c r="AN191" i="69" s="1"/>
  <c r="AQ190" i="69"/>
  <c r="AQ191" i="69" s="1"/>
  <c r="DS193" i="71"/>
  <c r="DS194" i="71" s="1"/>
  <c r="CZ193" i="71"/>
  <c r="CZ194" i="71" s="1"/>
  <c r="DF193" i="71"/>
  <c r="DF194" i="71" s="1"/>
  <c r="DA193" i="71"/>
  <c r="DA194" i="71" s="1"/>
  <c r="CX193" i="71"/>
  <c r="CX194" i="71" s="1"/>
  <c r="L185" i="32"/>
  <c r="DB193" i="71"/>
  <c r="DB194" i="71" s="1"/>
  <c r="CW193" i="71"/>
  <c r="CU194" i="71"/>
  <c r="AK190" i="69"/>
  <c r="AK191" i="69" s="1"/>
  <c r="DU194" i="71"/>
  <c r="O188" i="68"/>
  <c r="CY193" i="71"/>
  <c r="CY194" i="71" s="1"/>
  <c r="AO190" i="69" l="1"/>
  <c r="AO191" i="69" s="1"/>
  <c r="D398" i="45"/>
  <c r="DD194" i="71"/>
  <c r="AS190" i="69"/>
  <c r="AS191" i="69" s="1"/>
  <c r="AL190" i="69"/>
  <c r="AL191" i="69" s="1"/>
  <c r="AM190" i="69"/>
  <c r="AM191" i="69" s="1"/>
  <c r="C193" i="71"/>
  <c r="O189" i="68"/>
  <c r="CW194" i="71"/>
  <c r="C194" i="71" s="1"/>
  <c r="M188" i="68"/>
  <c r="M189" i="68" s="1"/>
  <c r="D399" i="45" l="1"/>
  <c r="C191" i="69"/>
  <c r="C190" i="69"/>
  <c r="C188" i="68"/>
  <c r="C189" i="68"/>
  <c r="D400" i="45" l="1"/>
  <c r="D121" i="1"/>
  <c r="M121" i="1" s="1"/>
  <c r="C123" i="1"/>
  <c r="M123" i="1" l="1"/>
  <c r="N88" i="57"/>
  <c r="N90" i="57" s="1"/>
  <c r="D401" i="45"/>
  <c r="M88" i="57"/>
  <c r="M90" i="57" s="1"/>
  <c r="V172" i="3"/>
  <c r="D123" i="1"/>
  <c r="D402" i="45" l="1"/>
  <c r="D6" i="20"/>
  <c r="E6" i="20" s="1"/>
  <c r="F6" i="20" s="1"/>
  <c r="G6" i="20" s="1"/>
  <c r="H6" i="20" s="1"/>
  <c r="I6" i="20" s="1"/>
  <c r="J6" i="20" s="1"/>
  <c r="K6" i="20" s="1"/>
  <c r="L6" i="20" s="1"/>
  <c r="M6" i="20" s="1"/>
  <c r="N6" i="20" s="1"/>
  <c r="E7" i="2"/>
  <c r="B170" i="3"/>
  <c r="C236" i="3"/>
  <c r="D236" i="3" s="1"/>
  <c r="E236" i="3" s="1"/>
  <c r="H169" i="23"/>
  <c r="I5" i="23"/>
  <c r="J5" i="23"/>
  <c r="K5" i="23"/>
  <c r="L5" i="23"/>
  <c r="M5" i="23"/>
  <c r="N5" i="23"/>
  <c r="O5" i="23"/>
  <c r="P5" i="23"/>
  <c r="Q5" i="23"/>
  <c r="R5" i="23"/>
  <c r="S5" i="23"/>
  <c r="T5" i="23"/>
  <c r="U5" i="23"/>
  <c r="V5" i="23"/>
  <c r="W5" i="23"/>
  <c r="X5" i="23"/>
  <c r="Y5" i="23"/>
  <c r="Z5" i="23"/>
  <c r="AA5" i="23"/>
  <c r="AB5" i="23"/>
  <c r="AC5" i="23"/>
  <c r="AD5" i="23"/>
  <c r="AE5" i="23"/>
  <c r="AF5" i="23"/>
  <c r="AG5" i="23"/>
  <c r="AH5" i="23"/>
  <c r="AI5" i="23"/>
  <c r="AJ5" i="23"/>
  <c r="AK5" i="23"/>
  <c r="AL5" i="23"/>
  <c r="AM5" i="23"/>
  <c r="AN5" i="23"/>
  <c r="AO5" i="23"/>
  <c r="AP5" i="23"/>
  <c r="AQ5" i="23"/>
  <c r="AR5" i="23"/>
  <c r="AS5" i="23"/>
  <c r="AT5" i="23"/>
  <c r="AU5" i="23"/>
  <c r="AV5" i="23"/>
  <c r="AW5" i="23"/>
  <c r="AX5" i="23"/>
  <c r="AY5" i="23"/>
  <c r="AZ5" i="23"/>
  <c r="BA5" i="23"/>
  <c r="BB5" i="23"/>
  <c r="BC5" i="23"/>
  <c r="BD5" i="23"/>
  <c r="BE5" i="23"/>
  <c r="BF5" i="23"/>
  <c r="BG5" i="23"/>
  <c r="BH5" i="23"/>
  <c r="BI5" i="23"/>
  <c r="BJ5" i="23"/>
  <c r="BK5" i="23"/>
  <c r="BL5" i="23"/>
  <c r="BM5" i="23"/>
  <c r="BN5" i="23"/>
  <c r="BO5" i="23"/>
  <c r="BP5" i="23"/>
  <c r="BQ5" i="23"/>
  <c r="BR5" i="23"/>
  <c r="BS5" i="23"/>
  <c r="BT5" i="23"/>
  <c r="H6" i="23"/>
  <c r="I6" i="23" s="1"/>
  <c r="I8" i="23" s="1"/>
  <c r="A8" i="23"/>
  <c r="G18" i="23"/>
  <c r="G19" i="23"/>
  <c r="G20" i="23"/>
  <c r="G21" i="23"/>
  <c r="G22" i="23"/>
  <c r="G23" i="23"/>
  <c r="G24" i="23"/>
  <c r="G25" i="23"/>
  <c r="G26" i="23"/>
  <c r="G27" i="23"/>
  <c r="G28" i="23"/>
  <c r="G29" i="23"/>
  <c r="G32" i="23"/>
  <c r="G33" i="23"/>
  <c r="G35" i="23"/>
  <c r="G36" i="23"/>
  <c r="G37" i="23"/>
  <c r="G39" i="23"/>
  <c r="G40" i="23"/>
  <c r="G41" i="23"/>
  <c r="G43" i="23"/>
  <c r="G44" i="23"/>
  <c r="G45" i="23"/>
  <c r="G46" i="23"/>
  <c r="G47" i="23"/>
  <c r="G48" i="23"/>
  <c r="G49" i="23"/>
  <c r="G50" i="23"/>
  <c r="G51" i="23"/>
  <c r="G52" i="23"/>
  <c r="G53" i="23"/>
  <c r="G55" i="23"/>
  <c r="G56" i="23"/>
  <c r="G57" i="23"/>
  <c r="G58" i="23"/>
  <c r="G59" i="23"/>
  <c r="G60" i="23"/>
  <c r="G61" i="23"/>
  <c r="G62" i="23"/>
  <c r="G63" i="23"/>
  <c r="G64" i="23"/>
  <c r="G65" i="23"/>
  <c r="G66" i="23"/>
  <c r="G67" i="23"/>
  <c r="G68" i="23"/>
  <c r="G69" i="23"/>
  <c r="G70" i="23"/>
  <c r="G71" i="23"/>
  <c r="G72" i="23"/>
  <c r="G73" i="23"/>
  <c r="G74" i="23"/>
  <c r="G75" i="23"/>
  <c r="G76" i="23"/>
  <c r="G77" i="23"/>
  <c r="G79" i="23"/>
  <c r="G80" i="23"/>
  <c r="G81" i="23"/>
  <c r="G82" i="23"/>
  <c r="G83" i="23"/>
  <c r="G84" i="23"/>
  <c r="G85" i="23"/>
  <c r="G86" i="23"/>
  <c r="G87" i="23"/>
  <c r="G88" i="23"/>
  <c r="G90" i="23"/>
  <c r="G91" i="23"/>
  <c r="G92" i="23"/>
  <c r="G93" i="23"/>
  <c r="G94" i="23"/>
  <c r="G95" i="23"/>
  <c r="G96" i="23"/>
  <c r="G98" i="23"/>
  <c r="G99" i="23"/>
  <c r="G100" i="23"/>
  <c r="G101" i="23"/>
  <c r="G102" i="23"/>
  <c r="G103" i="23"/>
  <c r="G104" i="23"/>
  <c r="G105" i="23"/>
  <c r="G106" i="23"/>
  <c r="G107" i="23"/>
  <c r="G108" i="23"/>
  <c r="G109" i="23"/>
  <c r="G110" i="23"/>
  <c r="G111" i="23"/>
  <c r="G112" i="23"/>
  <c r="G114" i="23"/>
  <c r="G115" i="23"/>
  <c r="G117" i="23"/>
  <c r="G118" i="23"/>
  <c r="G119" i="23"/>
  <c r="G120" i="23"/>
  <c r="G121" i="23"/>
  <c r="G122" i="23"/>
  <c r="G123" i="23"/>
  <c r="G124" i="23"/>
  <c r="G125" i="23"/>
  <c r="G126" i="23"/>
  <c r="G127" i="23"/>
  <c r="G128" i="23"/>
  <c r="G129" i="23"/>
  <c r="G130" i="23"/>
  <c r="G131" i="23"/>
  <c r="G132" i="23"/>
  <c r="G134" i="23"/>
  <c r="G135" i="23"/>
  <c r="G136" i="23"/>
  <c r="G138" i="23"/>
  <c r="G139" i="23"/>
  <c r="G140" i="23"/>
  <c r="G141" i="23"/>
  <c r="G142" i="23"/>
  <c r="G143" i="23"/>
  <c r="G144" i="23"/>
  <c r="G145" i="23"/>
  <c r="G146" i="23"/>
  <c r="G147" i="23"/>
  <c r="G148" i="23"/>
  <c r="G149" i="23"/>
  <c r="G150" i="23"/>
  <c r="G151" i="23"/>
  <c r="G152" i="23"/>
  <c r="G153" i="23"/>
  <c r="G154" i="23"/>
  <c r="G155" i="23"/>
  <c r="G156" i="23"/>
  <c r="C31" i="17"/>
  <c r="A110" i="23" s="1"/>
  <c r="C32" i="17"/>
  <c r="C48" i="17" s="1"/>
  <c r="D5" i="19"/>
  <c r="E6" i="30" l="1"/>
  <c r="E159" i="30" s="1"/>
  <c r="E319" i="30" s="1"/>
  <c r="E31" i="2"/>
  <c r="E5" i="19"/>
  <c r="E13" i="19" s="1"/>
  <c r="D13" i="19"/>
  <c r="D403" i="45"/>
  <c r="E30" i="2"/>
  <c r="E5" i="70"/>
  <c r="F5" i="70" s="1"/>
  <c r="G5" i="70" s="1"/>
  <c r="H5" i="70" s="1"/>
  <c r="I5" i="70" s="1"/>
  <c r="J5" i="70" s="1"/>
  <c r="K5" i="70" s="1"/>
  <c r="L5" i="70" s="1"/>
  <c r="M5" i="70" s="1"/>
  <c r="N5" i="70" s="1"/>
  <c r="O5" i="70" s="1"/>
  <c r="P5" i="70" s="1"/>
  <c r="Q5" i="70" s="1"/>
  <c r="R5" i="70" s="1"/>
  <c r="S5" i="70" s="1"/>
  <c r="T5" i="70" s="1"/>
  <c r="U5" i="70" s="1"/>
  <c r="V5" i="70" s="1"/>
  <c r="W5" i="70" s="1"/>
  <c r="X5" i="70" s="1"/>
  <c r="Y5" i="70" s="1"/>
  <c r="Z5" i="70" s="1"/>
  <c r="AA5" i="70" s="1"/>
  <c r="AB5" i="70" s="1"/>
  <c r="AC5" i="70" s="1"/>
  <c r="AD5" i="70" s="1"/>
  <c r="AE5" i="70" s="1"/>
  <c r="AF5" i="70" s="1"/>
  <c r="AG5" i="70" s="1"/>
  <c r="AH5" i="70" s="1"/>
  <c r="AI5" i="70" s="1"/>
  <c r="AJ5" i="70" s="1"/>
  <c r="AK5" i="70" s="1"/>
  <c r="AL5" i="70" s="1"/>
  <c r="AM5" i="70" s="1"/>
  <c r="AN5" i="70" s="1"/>
  <c r="AO5" i="70" s="1"/>
  <c r="AP5" i="70" s="1"/>
  <c r="AQ5" i="70" s="1"/>
  <c r="AR5" i="70" s="1"/>
  <c r="AS5" i="70" s="1"/>
  <c r="AT5" i="70" s="1"/>
  <c r="AU5" i="70" s="1"/>
  <c r="AV5" i="70" s="1"/>
  <c r="AW5" i="70" s="1"/>
  <c r="AX5" i="70" s="1"/>
  <c r="AY5" i="70" s="1"/>
  <c r="AZ5" i="70" s="1"/>
  <c r="BA5" i="70" s="1"/>
  <c r="BB5" i="70" s="1"/>
  <c r="BC5" i="70" s="1"/>
  <c r="BD5" i="70" s="1"/>
  <c r="BE5" i="70" s="1"/>
  <c r="BF5" i="70" s="1"/>
  <c r="BG5" i="70" s="1"/>
  <c r="BH5" i="70" s="1"/>
  <c r="BI5" i="70" s="1"/>
  <c r="BJ5" i="70" s="1"/>
  <c r="BK5" i="70" s="1"/>
  <c r="BL5" i="70" s="1"/>
  <c r="BM5" i="70" s="1"/>
  <c r="BN5" i="70" s="1"/>
  <c r="BO5" i="70" s="1"/>
  <c r="BP5" i="70" s="1"/>
  <c r="BQ5" i="70" s="1"/>
  <c r="BR5" i="70" s="1"/>
  <c r="BS5" i="70" s="1"/>
  <c r="BT5" i="70" s="1"/>
  <c r="BU5" i="70" s="1"/>
  <c r="BV5" i="70" s="1"/>
  <c r="BW5" i="70" s="1"/>
  <c r="BX5" i="70" s="1"/>
  <c r="BY5" i="70" s="1"/>
  <c r="BZ5" i="70" s="1"/>
  <c r="CA5" i="70" s="1"/>
  <c r="CB5" i="70" s="1"/>
  <c r="CC5" i="70" s="1"/>
  <c r="CD5" i="70" s="1"/>
  <c r="CE5" i="70" s="1"/>
  <c r="CF5" i="70" s="1"/>
  <c r="CG5" i="70" s="1"/>
  <c r="CH5" i="70" s="1"/>
  <c r="CI5" i="70" s="1"/>
  <c r="CJ5" i="70" s="1"/>
  <c r="CK5" i="70" s="1"/>
  <c r="CL5" i="70" s="1"/>
  <c r="CM5" i="70" s="1"/>
  <c r="CN5" i="70" s="1"/>
  <c r="CO5" i="70" s="1"/>
  <c r="CP5" i="70" s="1"/>
  <c r="CQ5" i="70" s="1"/>
  <c r="CR5" i="70" s="1"/>
  <c r="CS5" i="70" s="1"/>
  <c r="CT5" i="70" s="1"/>
  <c r="CU5" i="70" s="1"/>
  <c r="CV5" i="70" s="1"/>
  <c r="CW5" i="70" s="1"/>
  <c r="CX5" i="70" s="1"/>
  <c r="CY5" i="70" s="1"/>
  <c r="CZ5" i="70" s="1"/>
  <c r="DA5" i="70" s="1"/>
  <c r="DB5" i="70" s="1"/>
  <c r="DC5" i="70" s="1"/>
  <c r="DD5" i="70" s="1"/>
  <c r="DE5" i="70" s="1"/>
  <c r="DF5" i="70" s="1"/>
  <c r="DG5" i="70" s="1"/>
  <c r="DH5" i="70" s="1"/>
  <c r="DI5" i="70" s="1"/>
  <c r="DJ5" i="70" s="1"/>
  <c r="DK5" i="70" s="1"/>
  <c r="DL5" i="70" s="1"/>
  <c r="DM5" i="70" s="1"/>
  <c r="DN5" i="70" s="1"/>
  <c r="DO5" i="70" s="1"/>
  <c r="DP5" i="70" s="1"/>
  <c r="DQ5" i="70" s="1"/>
  <c r="DR5" i="70" s="1"/>
  <c r="DS5" i="70" s="1"/>
  <c r="DT5" i="70" s="1"/>
  <c r="DU5" i="70" s="1"/>
  <c r="DV5" i="70" s="1"/>
  <c r="DW5" i="70" s="1"/>
  <c r="DX5" i="70" s="1"/>
  <c r="DY5" i="70" s="1"/>
  <c r="DZ5" i="70" s="1"/>
  <c r="EA5" i="70" s="1"/>
  <c r="EB5" i="70" s="1"/>
  <c r="EC5" i="70" s="1"/>
  <c r="ED5" i="70" s="1"/>
  <c r="EE5" i="70" s="1"/>
  <c r="EF5" i="70" s="1"/>
  <c r="EG5" i="70" s="1"/>
  <c r="I170" i="3"/>
  <c r="C170" i="3"/>
  <c r="F85" i="3"/>
  <c r="D103" i="23"/>
  <c r="E40" i="42"/>
  <c r="R32" i="42"/>
  <c r="R32" i="64"/>
  <c r="R33" i="64"/>
  <c r="R33" i="42"/>
  <c r="D15" i="96" s="1"/>
  <c r="A29" i="45"/>
  <c r="A22" i="45"/>
  <c r="A13" i="45"/>
  <c r="A12" i="45"/>
  <c r="A5" i="45"/>
  <c r="A41" i="45"/>
  <c r="A40" i="45"/>
  <c r="A38" i="45"/>
  <c r="A37" i="45"/>
  <c r="A4" i="45"/>
  <c r="A28" i="45"/>
  <c r="A25" i="45"/>
  <c r="A36" i="45"/>
  <c r="A21" i="45"/>
  <c r="A33" i="45"/>
  <c r="A20" i="45"/>
  <c r="E40" i="64"/>
  <c r="A45" i="45"/>
  <c r="A32" i="45"/>
  <c r="A17" i="45"/>
  <c r="A44" i="45"/>
  <c r="A30" i="45"/>
  <c r="A14" i="45"/>
  <c r="A9" i="45"/>
  <c r="A43" i="45"/>
  <c r="A35" i="45"/>
  <c r="A27" i="45"/>
  <c r="A19" i="45"/>
  <c r="A11" i="45"/>
  <c r="A42" i="45"/>
  <c r="A34" i="45"/>
  <c r="A26" i="45"/>
  <c r="A18" i="45"/>
  <c r="A10" i="45"/>
  <c r="A24" i="45"/>
  <c r="A16" i="45"/>
  <c r="A8" i="45"/>
  <c r="A39" i="45"/>
  <c r="A31" i="45"/>
  <c r="A23" i="45"/>
  <c r="A15" i="45"/>
  <c r="A6" i="45"/>
  <c r="H172" i="23"/>
  <c r="H8" i="23"/>
  <c r="A7" i="45"/>
  <c r="F7" i="2"/>
  <c r="G170" i="3"/>
  <c r="F170" i="3"/>
  <c r="G85" i="3"/>
  <c r="M170" i="3"/>
  <c r="H170" i="3"/>
  <c r="E170" i="3"/>
  <c r="J6" i="23"/>
  <c r="J8" i="23" s="1"/>
  <c r="B171" i="3"/>
  <c r="D170" i="3"/>
  <c r="O170" i="3"/>
  <c r="E5" i="2"/>
  <c r="B169" i="3"/>
  <c r="D9" i="19"/>
  <c r="F236" i="3"/>
  <c r="G31" i="23"/>
  <c r="G157" i="23" s="1"/>
  <c r="G158" i="23" s="1"/>
  <c r="H174" i="23"/>
  <c r="H167" i="23"/>
  <c r="H170" i="23" s="1"/>
  <c r="E9" i="19" l="1"/>
  <c r="E10" i="19" s="1"/>
  <c r="F5" i="19"/>
  <c r="F13" i="19" s="1"/>
  <c r="G6" i="6"/>
  <c r="F6" i="30"/>
  <c r="D4" i="70"/>
  <c r="CD34" i="70" s="1"/>
  <c r="L8" i="73"/>
  <c r="W3" i="75"/>
  <c r="L7" i="73"/>
  <c r="V3" i="75"/>
  <c r="D404" i="45"/>
  <c r="U169" i="3"/>
  <c r="C169" i="3"/>
  <c r="G171" i="3"/>
  <c r="C171" i="3"/>
  <c r="D6" i="32"/>
  <c r="F30" i="2"/>
  <c r="D29" i="20"/>
  <c r="H165" i="23"/>
  <c r="I164" i="23" s="1"/>
  <c r="H175" i="23"/>
  <c r="I172" i="23" s="1"/>
  <c r="G7" i="2"/>
  <c r="G31" i="2" s="1"/>
  <c r="F5" i="2"/>
  <c r="E171" i="3"/>
  <c r="D171" i="3"/>
  <c r="O169" i="3"/>
  <c r="O171" i="3"/>
  <c r="K6" i="23"/>
  <c r="K8" i="23" s="1"/>
  <c r="H171" i="3"/>
  <c r="G169" i="3"/>
  <c r="F171" i="3"/>
  <c r="B172" i="3"/>
  <c r="B168" i="3"/>
  <c r="C168" i="3" s="1"/>
  <c r="W169" i="3"/>
  <c r="E169" i="3"/>
  <c r="S169" i="3"/>
  <c r="F169" i="3"/>
  <c r="H169" i="3"/>
  <c r="I169" i="3"/>
  <c r="M169" i="3"/>
  <c r="D169" i="3"/>
  <c r="I167" i="23"/>
  <c r="I169" i="23"/>
  <c r="D11" i="19"/>
  <c r="D10" i="19"/>
  <c r="G236" i="3"/>
  <c r="W6" i="75" a="1"/>
  <c r="V6" i="75" a="1"/>
  <c r="E11" i="19" l="1"/>
  <c r="F9" i="19"/>
  <c r="G5" i="19"/>
  <c r="H6" i="6"/>
  <c r="G6" i="30"/>
  <c r="F159" i="30"/>
  <c r="F319" i="30" s="1"/>
  <c r="G175" i="6"/>
  <c r="G45" i="6"/>
  <c r="G49" i="6"/>
  <c r="G43" i="6"/>
  <c r="N31" i="70"/>
  <c r="AB34" i="70"/>
  <c r="DZ34" i="70"/>
  <c r="DW31" i="70"/>
  <c r="AP33" i="70"/>
  <c r="AM34" i="70"/>
  <c r="BE33" i="70"/>
  <c r="EF32" i="70"/>
  <c r="BO33" i="70"/>
  <c r="H34" i="70"/>
  <c r="CW33" i="70"/>
  <c r="EF31" i="70"/>
  <c r="EC32" i="70"/>
  <c r="F31" i="70"/>
  <c r="CZ33" i="70"/>
  <c r="F30" i="70"/>
  <c r="K34" i="70"/>
  <c r="CI34" i="70"/>
  <c r="CP33" i="70"/>
  <c r="I31" i="70"/>
  <c r="AF34" i="70"/>
  <c r="AQ33" i="70"/>
  <c r="DC33" i="70"/>
  <c r="DF34" i="70"/>
  <c r="CL33" i="70"/>
  <c r="DP34" i="70"/>
  <c r="DI33" i="70"/>
  <c r="AM33" i="70"/>
  <c r="W34" i="70"/>
  <c r="CC33" i="70"/>
  <c r="DT34" i="70"/>
  <c r="DY31" i="70"/>
  <c r="T34" i="70"/>
  <c r="H31" i="70"/>
  <c r="Z33" i="70"/>
  <c r="BO34" i="70"/>
  <c r="AL33" i="70"/>
  <c r="DS33" i="70"/>
  <c r="BT33" i="70"/>
  <c r="H32" i="70"/>
  <c r="DZ33" i="70"/>
  <c r="EG33" i="70"/>
  <c r="EG31" i="70"/>
  <c r="EF34" i="70"/>
  <c r="L31" i="70"/>
  <c r="BP34" i="70"/>
  <c r="DV30" i="70"/>
  <c r="CY33" i="70"/>
  <c r="V34" i="70"/>
  <c r="DF33" i="70"/>
  <c r="CV34" i="70"/>
  <c r="CI33" i="70"/>
  <c r="BN33" i="70"/>
  <c r="DX33" i="70"/>
  <c r="AN33" i="70"/>
  <c r="CT34" i="70"/>
  <c r="DC34" i="70"/>
  <c r="BQ33" i="70"/>
  <c r="DS34" i="70"/>
  <c r="S34" i="70"/>
  <c r="EG32" i="70"/>
  <c r="BA33" i="70"/>
  <c r="DX30" i="70"/>
  <c r="DK33" i="70"/>
  <c r="F34" i="70"/>
  <c r="AY34" i="70"/>
  <c r="BR33" i="70"/>
  <c r="BV33" i="70"/>
  <c r="AS33" i="70"/>
  <c r="DM33" i="70"/>
  <c r="CQ34" i="70"/>
  <c r="CO33" i="70"/>
  <c r="I34" i="70"/>
  <c r="CS33" i="70"/>
  <c r="CV33" i="70"/>
  <c r="CG33" i="70"/>
  <c r="AX33" i="70"/>
  <c r="EA30" i="70"/>
  <c r="CJ33" i="70"/>
  <c r="BD33" i="70"/>
  <c r="BP33" i="70"/>
  <c r="EF30" i="70"/>
  <c r="O30" i="70"/>
  <c r="N30" i="70"/>
  <c r="DY32" i="70"/>
  <c r="G33" i="70"/>
  <c r="BW33" i="70"/>
  <c r="O32" i="70"/>
  <c r="CC34" i="70"/>
  <c r="DJ34" i="70"/>
  <c r="ED31" i="70"/>
  <c r="X33" i="70"/>
  <c r="DR33" i="70"/>
  <c r="M32" i="70"/>
  <c r="EG34" i="70"/>
  <c r="CM33" i="70"/>
  <c r="DV31" i="70"/>
  <c r="DV33" i="70"/>
  <c r="DA34" i="70"/>
  <c r="N34" i="70"/>
  <c r="G34" i="70"/>
  <c r="DU33" i="70"/>
  <c r="AY33" i="70"/>
  <c r="Y34" i="70"/>
  <c r="CK34" i="70"/>
  <c r="AJ34" i="70"/>
  <c r="AP34" i="70"/>
  <c r="DZ31" i="70"/>
  <c r="DV34" i="70"/>
  <c r="DQ34" i="70"/>
  <c r="DH34" i="70"/>
  <c r="DE34" i="70"/>
  <c r="AR33" i="70"/>
  <c r="CS34" i="70"/>
  <c r="Q34" i="70"/>
  <c r="AF33" i="70"/>
  <c r="G31" i="70"/>
  <c r="AQ34" i="70"/>
  <c r="BI34" i="70"/>
  <c r="BE34" i="70"/>
  <c r="AJ33" i="70"/>
  <c r="BY33" i="70"/>
  <c r="CZ34" i="70"/>
  <c r="BH34" i="70"/>
  <c r="BS34" i="70"/>
  <c r="BM33" i="70"/>
  <c r="K33" i="70"/>
  <c r="CP34" i="70"/>
  <c r="DB34" i="70"/>
  <c r="DY30" i="70"/>
  <c r="BW34" i="70"/>
  <c r="BX34" i="70"/>
  <c r="AX34" i="70"/>
  <c r="EB31" i="70"/>
  <c r="Y33" i="70"/>
  <c r="CR34" i="70"/>
  <c r="EC30" i="70"/>
  <c r="CB34" i="70"/>
  <c r="AS34" i="70"/>
  <c r="BK33" i="70"/>
  <c r="L34" i="70"/>
  <c r="CL34" i="70"/>
  <c r="AK33" i="70"/>
  <c r="BU34" i="70"/>
  <c r="CE33" i="70"/>
  <c r="DO34" i="70"/>
  <c r="DL34" i="70"/>
  <c r="L32" i="70"/>
  <c r="AC34" i="70"/>
  <c r="J32" i="70"/>
  <c r="CG34" i="70"/>
  <c r="G32" i="70"/>
  <c r="I33" i="70"/>
  <c r="T33" i="70"/>
  <c r="CX33" i="70"/>
  <c r="BN34" i="70"/>
  <c r="ED34" i="70"/>
  <c r="DN34" i="70"/>
  <c r="CH33" i="70"/>
  <c r="DZ30" i="70"/>
  <c r="DW34" i="70"/>
  <c r="J30" i="70"/>
  <c r="CB33" i="70"/>
  <c r="BD34" i="70"/>
  <c r="DK34" i="70"/>
  <c r="CU34" i="70"/>
  <c r="F33" i="70"/>
  <c r="DU34" i="70"/>
  <c r="DW32" i="70"/>
  <c r="AU33" i="70"/>
  <c r="CE34" i="70"/>
  <c r="AZ34" i="70"/>
  <c r="O31" i="70"/>
  <c r="AT33" i="70"/>
  <c r="CU33" i="70"/>
  <c r="DZ32" i="70"/>
  <c r="AR34" i="70"/>
  <c r="DO33" i="70"/>
  <c r="BH33" i="70"/>
  <c r="DB33" i="70"/>
  <c r="DQ33" i="70"/>
  <c r="DJ33" i="70"/>
  <c r="DL33" i="70"/>
  <c r="EB33" i="70"/>
  <c r="BA34" i="70"/>
  <c r="EC34" i="70"/>
  <c r="DX34" i="70"/>
  <c r="CH34" i="70"/>
  <c r="AD33" i="70"/>
  <c r="BV34" i="70"/>
  <c r="N33" i="70"/>
  <c r="BJ34" i="70"/>
  <c r="AZ33" i="70"/>
  <c r="AA33" i="70"/>
  <c r="O34" i="70"/>
  <c r="BQ34" i="70"/>
  <c r="CW34" i="70"/>
  <c r="Z34" i="70"/>
  <c r="AA34" i="70"/>
  <c r="EB32" i="70"/>
  <c r="AO34" i="70"/>
  <c r="BJ33" i="70"/>
  <c r="DW30" i="70"/>
  <c r="BI33" i="70"/>
  <c r="CA34" i="70"/>
  <c r="DM34" i="70"/>
  <c r="DV32" i="70"/>
  <c r="P33" i="70"/>
  <c r="M33" i="70"/>
  <c r="K30" i="70"/>
  <c r="AW34" i="70"/>
  <c r="DY33" i="70"/>
  <c r="ED30" i="70"/>
  <c r="DI34" i="70"/>
  <c r="BT34" i="70"/>
  <c r="CT33" i="70"/>
  <c r="J31" i="70"/>
  <c r="I30" i="70"/>
  <c r="BY34" i="70"/>
  <c r="BS33" i="70"/>
  <c r="AI33" i="70"/>
  <c r="AE33" i="70"/>
  <c r="BG34" i="70"/>
  <c r="EE33" i="70"/>
  <c r="DH33" i="70"/>
  <c r="EA33" i="70"/>
  <c r="EB34" i="70"/>
  <c r="BC34" i="70"/>
  <c r="CO34" i="70"/>
  <c r="AH34" i="70"/>
  <c r="DA33" i="70"/>
  <c r="AD34" i="70"/>
  <c r="DX32" i="70"/>
  <c r="BZ33" i="70"/>
  <c r="BR34" i="70"/>
  <c r="H33" i="70"/>
  <c r="H30" i="70"/>
  <c r="CN33" i="70"/>
  <c r="EA31" i="70"/>
  <c r="DR34" i="70"/>
  <c r="CX34" i="70"/>
  <c r="K32" i="70"/>
  <c r="EB30" i="70"/>
  <c r="DP33" i="70"/>
  <c r="DG34" i="70"/>
  <c r="BU33" i="70"/>
  <c r="BL33" i="70"/>
  <c r="DY34" i="70"/>
  <c r="AW33" i="70"/>
  <c r="N32" i="70"/>
  <c r="EC33" i="70"/>
  <c r="DE33" i="70"/>
  <c r="CA33" i="70"/>
  <c r="BF33" i="70"/>
  <c r="L33" i="70"/>
  <c r="K31" i="70"/>
  <c r="AN34" i="70"/>
  <c r="W33" i="70"/>
  <c r="ED33" i="70"/>
  <c r="X34" i="70"/>
  <c r="J34" i="70"/>
  <c r="DD33" i="70"/>
  <c r="CM34" i="70"/>
  <c r="CR33" i="70"/>
  <c r="CN34" i="70"/>
  <c r="CF33" i="70"/>
  <c r="AB33" i="70"/>
  <c r="F32" i="70"/>
  <c r="BK34" i="70"/>
  <c r="AL34" i="70"/>
  <c r="EE30" i="70"/>
  <c r="AV33" i="70"/>
  <c r="R34" i="70"/>
  <c r="CF34" i="70"/>
  <c r="EC31" i="70"/>
  <c r="BG33" i="70"/>
  <c r="U34" i="70"/>
  <c r="AV34" i="70"/>
  <c r="S33" i="70"/>
  <c r="I32" i="70"/>
  <c r="P34" i="70"/>
  <c r="BZ34" i="70"/>
  <c r="AH33" i="70"/>
  <c r="EG30" i="70"/>
  <c r="AO33" i="70"/>
  <c r="AU34" i="70"/>
  <c r="CQ33" i="70"/>
  <c r="U33" i="70"/>
  <c r="AG34" i="70"/>
  <c r="DD34" i="70"/>
  <c r="DW33" i="70"/>
  <c r="BC33" i="70"/>
  <c r="BX33" i="70"/>
  <c r="V33" i="70"/>
  <c r="DT33" i="70"/>
  <c r="AK34" i="70"/>
  <c r="DX31" i="70"/>
  <c r="AT34" i="70"/>
  <c r="AE34" i="70"/>
  <c r="AI34" i="70"/>
  <c r="EE32" i="70"/>
  <c r="R33" i="70"/>
  <c r="O33" i="70"/>
  <c r="BF34" i="70"/>
  <c r="DN33" i="70"/>
  <c r="Q33" i="70"/>
  <c r="DG33" i="70"/>
  <c r="CK33" i="70"/>
  <c r="AG33" i="70"/>
  <c r="CY34" i="70"/>
  <c r="EF33" i="70"/>
  <c r="BM34" i="70"/>
  <c r="EA34" i="70"/>
  <c r="BB34" i="70"/>
  <c r="J33" i="70"/>
  <c r="L30" i="70"/>
  <c r="EE34" i="70"/>
  <c r="M31" i="70"/>
  <c r="EA32" i="70"/>
  <c r="M30" i="70"/>
  <c r="ED32" i="70"/>
  <c r="CD33" i="70"/>
  <c r="EE31" i="70"/>
  <c r="M34" i="70"/>
  <c r="BB33" i="70"/>
  <c r="CJ34" i="70"/>
  <c r="BL34" i="70"/>
  <c r="G30" i="70"/>
  <c r="AC33" i="70"/>
  <c r="D405" i="45"/>
  <c r="O172" i="3"/>
  <c r="C172" i="3"/>
  <c r="G30" i="2"/>
  <c r="I162" i="23"/>
  <c r="I165" i="23" s="1"/>
  <c r="G5" i="2"/>
  <c r="I174" i="23"/>
  <c r="I175" i="23" s="1"/>
  <c r="H176" i="23"/>
  <c r="H7" i="2"/>
  <c r="H31" i="2" s="1"/>
  <c r="L6" i="23"/>
  <c r="M6" i="23" s="1"/>
  <c r="G172" i="3"/>
  <c r="B173" i="3"/>
  <c r="F172" i="3"/>
  <c r="D172" i="3"/>
  <c r="I170" i="23"/>
  <c r="E172" i="3"/>
  <c r="H168" i="3"/>
  <c r="F168" i="3"/>
  <c r="I168" i="3"/>
  <c r="S168" i="3"/>
  <c r="E168" i="3"/>
  <c r="D168" i="3"/>
  <c r="U168" i="3"/>
  <c r="G168" i="3"/>
  <c r="O168" i="3"/>
  <c r="W168" i="3"/>
  <c r="B167" i="3"/>
  <c r="C167" i="3" s="1"/>
  <c r="M168" i="3"/>
  <c r="H172" i="3"/>
  <c r="H236" i="3"/>
  <c r="F10" i="19" l="1"/>
  <c r="F11" i="19"/>
  <c r="F15" i="19"/>
  <c r="G13" i="19"/>
  <c r="G9" i="19"/>
  <c r="H5" i="19"/>
  <c r="H13" i="19" s="1"/>
  <c r="I6" i="6"/>
  <c r="H6" i="30"/>
  <c r="G159" i="30"/>
  <c r="G319" i="30" s="1"/>
  <c r="H175" i="6"/>
  <c r="H45" i="6"/>
  <c r="H43" i="6"/>
  <c r="H49" i="6"/>
  <c r="D406" i="45"/>
  <c r="E173" i="3"/>
  <c r="C173" i="3"/>
  <c r="H30" i="2"/>
  <c r="I176" i="23"/>
  <c r="J162" i="23"/>
  <c r="J164" i="23"/>
  <c r="J167" i="23"/>
  <c r="J169" i="23"/>
  <c r="J172" i="23"/>
  <c r="J174" i="23"/>
  <c r="D173" i="3"/>
  <c r="I7" i="2"/>
  <c r="I31" i="2" s="1"/>
  <c r="H5" i="2"/>
  <c r="L8" i="23"/>
  <c r="G173" i="3"/>
  <c r="O173" i="3"/>
  <c r="B174" i="3"/>
  <c r="H173" i="3"/>
  <c r="F173" i="3"/>
  <c r="I167" i="3"/>
  <c r="S167" i="3"/>
  <c r="E167" i="3"/>
  <c r="G167" i="3"/>
  <c r="O167" i="3"/>
  <c r="D167" i="3"/>
  <c r="H167" i="3"/>
  <c r="B166" i="3"/>
  <c r="C166" i="3" s="1"/>
  <c r="M167" i="3"/>
  <c r="W167" i="3"/>
  <c r="F167" i="3"/>
  <c r="U167" i="3"/>
  <c r="I5" i="19"/>
  <c r="I13" i="19" s="1"/>
  <c r="H9" i="19"/>
  <c r="G10" i="19"/>
  <c r="G11" i="19"/>
  <c r="G15" i="19" s="1"/>
  <c r="N6" i="23"/>
  <c r="M8" i="23"/>
  <c r="I236" i="3"/>
  <c r="H159" i="30" l="1"/>
  <c r="H319" i="30" s="1"/>
  <c r="J6" i="6"/>
  <c r="I6" i="30"/>
  <c r="I175" i="6"/>
  <c r="I45" i="6"/>
  <c r="I43" i="6"/>
  <c r="I49" i="6"/>
  <c r="D407" i="45"/>
  <c r="H174" i="3"/>
  <c r="C174" i="3"/>
  <c r="H145" i="71"/>
  <c r="I30" i="2"/>
  <c r="J7" i="2"/>
  <c r="J31" i="2" s="1"/>
  <c r="J170" i="23"/>
  <c r="K169" i="23" s="1"/>
  <c r="J175" i="23"/>
  <c r="J165" i="23"/>
  <c r="I5" i="2"/>
  <c r="G174" i="3"/>
  <c r="B175" i="3"/>
  <c r="F174" i="3"/>
  <c r="E174" i="3"/>
  <c r="D174" i="3"/>
  <c r="O174" i="3"/>
  <c r="I166" i="3"/>
  <c r="G166" i="3"/>
  <c r="S166" i="3"/>
  <c r="U166" i="3"/>
  <c r="W166" i="3"/>
  <c r="F166" i="3"/>
  <c r="E166" i="3"/>
  <c r="B165" i="3"/>
  <c r="C165" i="3" s="1"/>
  <c r="O166" i="3"/>
  <c r="D166" i="3"/>
  <c r="H166" i="3"/>
  <c r="M166" i="3"/>
  <c r="J236" i="3"/>
  <c r="N8" i="23"/>
  <c r="O6" i="23"/>
  <c r="J5" i="19"/>
  <c r="J13" i="19" s="1"/>
  <c r="I9" i="19"/>
  <c r="H11" i="19"/>
  <c r="H15" i="19" s="1"/>
  <c r="H10" i="19"/>
  <c r="I159" i="30" l="1"/>
  <c r="I319" i="30" s="1"/>
  <c r="J175" i="6"/>
  <c r="J45" i="6"/>
  <c r="J43" i="6"/>
  <c r="J49" i="6"/>
  <c r="K6" i="6"/>
  <c r="J6" i="30"/>
  <c r="D408" i="45"/>
  <c r="H175" i="3"/>
  <c r="C175" i="3"/>
  <c r="J30" i="2"/>
  <c r="K167" i="23"/>
  <c r="K170" i="23" s="1"/>
  <c r="L169" i="23" s="1"/>
  <c r="J5" i="2"/>
  <c r="K7" i="2"/>
  <c r="K31" i="2" s="1"/>
  <c r="K162" i="23"/>
  <c r="K164" i="23"/>
  <c r="J176" i="23"/>
  <c r="K174" i="23"/>
  <c r="K172" i="23"/>
  <c r="F175" i="3"/>
  <c r="D175" i="3"/>
  <c r="B176" i="3"/>
  <c r="C176" i="3" s="1"/>
  <c r="E175" i="3"/>
  <c r="G175" i="3"/>
  <c r="O175" i="3"/>
  <c r="I165" i="3"/>
  <c r="D165" i="3"/>
  <c r="O165" i="3"/>
  <c r="E165" i="3"/>
  <c r="F165" i="3"/>
  <c r="W165" i="3"/>
  <c r="M165" i="3"/>
  <c r="H165" i="3"/>
  <c r="S165" i="3"/>
  <c r="U165" i="3"/>
  <c r="G165" i="3"/>
  <c r="B164" i="3"/>
  <c r="C164" i="3" s="1"/>
  <c r="K236" i="3"/>
  <c r="P6" i="23"/>
  <c r="O8" i="23"/>
  <c r="I10" i="19"/>
  <c r="I11" i="19"/>
  <c r="I15" i="19" s="1"/>
  <c r="K5" i="19"/>
  <c r="K13" i="19" s="1"/>
  <c r="J9" i="19"/>
  <c r="K175" i="6" l="1"/>
  <c r="K45" i="6"/>
  <c r="K49" i="6"/>
  <c r="K43" i="6"/>
  <c r="L6" i="6"/>
  <c r="K6" i="30"/>
  <c r="J159" i="30"/>
  <c r="J319" i="30" s="1"/>
  <c r="D409" i="45"/>
  <c r="J145" i="71"/>
  <c r="K30" i="2"/>
  <c r="L167" i="23"/>
  <c r="L170" i="23" s="1"/>
  <c r="K5" i="2"/>
  <c r="L7" i="2"/>
  <c r="L31" i="2" s="1"/>
  <c r="K175" i="23"/>
  <c r="K165" i="23"/>
  <c r="H176" i="3"/>
  <c r="D176" i="3"/>
  <c r="F176" i="3"/>
  <c r="O176" i="3"/>
  <c r="E176" i="3"/>
  <c r="G176" i="3"/>
  <c r="B177" i="3"/>
  <c r="U164" i="3"/>
  <c r="I164" i="3"/>
  <c r="D164" i="3"/>
  <c r="S164" i="3"/>
  <c r="E164" i="3"/>
  <c r="O164" i="3"/>
  <c r="W164" i="3"/>
  <c r="B163" i="3"/>
  <c r="C163" i="3" s="1"/>
  <c r="F164" i="3"/>
  <c r="H164" i="3"/>
  <c r="G164" i="3"/>
  <c r="M164" i="3"/>
  <c r="J11" i="19"/>
  <c r="J15" i="19" s="1"/>
  <c r="J10" i="19"/>
  <c r="L5" i="19"/>
  <c r="L13" i="19" s="1"/>
  <c r="K9" i="19"/>
  <c r="Q6" i="23"/>
  <c r="P8" i="23"/>
  <c r="L236" i="3"/>
  <c r="L175" i="6" l="1"/>
  <c r="L45" i="6"/>
  <c r="L43" i="6"/>
  <c r="L49" i="6"/>
  <c r="K159" i="30"/>
  <c r="K319" i="30" s="1"/>
  <c r="M6" i="6"/>
  <c r="L6" i="30"/>
  <c r="D410" i="45"/>
  <c r="J13" i="70"/>
  <c r="F177" i="3"/>
  <c r="C177" i="3"/>
  <c r="K145" i="71"/>
  <c r="L30" i="2"/>
  <c r="M169" i="23"/>
  <c r="M167" i="23"/>
  <c r="M7" i="2"/>
  <c r="M31" i="2" s="1"/>
  <c r="L5" i="2"/>
  <c r="L162" i="23"/>
  <c r="L164" i="23"/>
  <c r="K176" i="23"/>
  <c r="L174" i="23"/>
  <c r="L172" i="23"/>
  <c r="B178" i="3"/>
  <c r="O177" i="3"/>
  <c r="E177" i="3"/>
  <c r="D177" i="3"/>
  <c r="G177" i="3"/>
  <c r="H177" i="3"/>
  <c r="I163" i="3"/>
  <c r="G163" i="3"/>
  <c r="U163" i="3"/>
  <c r="O163" i="3"/>
  <c r="E163" i="3"/>
  <c r="D163" i="3"/>
  <c r="M163" i="3"/>
  <c r="W163" i="3"/>
  <c r="H163" i="3"/>
  <c r="F163" i="3"/>
  <c r="S163" i="3"/>
  <c r="B162" i="3"/>
  <c r="C162" i="3" s="1"/>
  <c r="R6" i="23"/>
  <c r="Q8" i="23"/>
  <c r="M5" i="19"/>
  <c r="M13" i="19" s="1"/>
  <c r="L9" i="19"/>
  <c r="M236" i="3"/>
  <c r="K10" i="19"/>
  <c r="K11" i="19"/>
  <c r="K15" i="19" s="1"/>
  <c r="L159" i="30" l="1"/>
  <c r="L319" i="30" s="1"/>
  <c r="M175" i="6"/>
  <c r="M49" i="6"/>
  <c r="M43" i="6"/>
  <c r="M45" i="6"/>
  <c r="N6" i="6"/>
  <c r="M6" i="30"/>
  <c r="D411" i="45"/>
  <c r="K13" i="70"/>
  <c r="B179" i="3"/>
  <c r="C179" i="3" s="1"/>
  <c r="C178" i="3"/>
  <c r="L145" i="71"/>
  <c r="M30" i="2"/>
  <c r="M170" i="23"/>
  <c r="M5" i="2"/>
  <c r="N7" i="2"/>
  <c r="N31" i="2" s="1"/>
  <c r="L175" i="23"/>
  <c r="F178" i="3"/>
  <c r="L165" i="23"/>
  <c r="D178" i="3"/>
  <c r="G178" i="3"/>
  <c r="E178" i="3"/>
  <c r="O178" i="3"/>
  <c r="H178" i="3"/>
  <c r="G162" i="3"/>
  <c r="S162" i="3"/>
  <c r="M162" i="3"/>
  <c r="W162" i="3"/>
  <c r="B161" i="3"/>
  <c r="C161" i="3" s="1"/>
  <c r="E162" i="3"/>
  <c r="U162" i="3"/>
  <c r="F162" i="3"/>
  <c r="I162" i="3"/>
  <c r="O162" i="3"/>
  <c r="D162" i="3"/>
  <c r="H162" i="3"/>
  <c r="N5" i="19"/>
  <c r="N13" i="19" s="1"/>
  <c r="M9" i="19"/>
  <c r="L11" i="19"/>
  <c r="L15" i="19"/>
  <c r="L10" i="19"/>
  <c r="N236" i="3"/>
  <c r="R8" i="23"/>
  <c r="S6" i="23"/>
  <c r="D41" i="42" s="1"/>
  <c r="M159" i="30" l="1"/>
  <c r="M319" i="30" s="1"/>
  <c r="N175" i="6"/>
  <c r="N49" i="6"/>
  <c r="N45" i="6"/>
  <c r="N43" i="6"/>
  <c r="O6" i="6"/>
  <c r="N6" i="30"/>
  <c r="D412" i="45"/>
  <c r="L13" i="70"/>
  <c r="B180" i="3"/>
  <c r="C180" i="3" s="1"/>
  <c r="E179" i="3"/>
  <c r="F179" i="3"/>
  <c r="H179" i="3"/>
  <c r="G179" i="3"/>
  <c r="O179" i="3"/>
  <c r="D179" i="3"/>
  <c r="M145" i="71"/>
  <c r="N30" i="2"/>
  <c r="M172" i="23"/>
  <c r="M174" i="23"/>
  <c r="N167" i="23"/>
  <c r="N169" i="23"/>
  <c r="M164" i="23"/>
  <c r="M162" i="23"/>
  <c r="O7" i="2"/>
  <c r="O31" i="2" s="1"/>
  <c r="N5" i="2"/>
  <c r="L176" i="23"/>
  <c r="D161" i="3"/>
  <c r="M161" i="3"/>
  <c r="G161" i="3"/>
  <c r="W161" i="3"/>
  <c r="O161" i="3"/>
  <c r="S161" i="3"/>
  <c r="I161" i="3"/>
  <c r="F161" i="3"/>
  <c r="H161" i="3"/>
  <c r="E161" i="3"/>
  <c r="U161" i="3"/>
  <c r="B160" i="3"/>
  <c r="C160" i="3" s="1"/>
  <c r="T6" i="23"/>
  <c r="S8" i="23"/>
  <c r="M10" i="19"/>
  <c r="M11" i="19"/>
  <c r="M15" i="19" s="1"/>
  <c r="O236" i="3"/>
  <c r="O5" i="19"/>
  <c r="O13" i="19" s="1"/>
  <c r="N9" i="19"/>
  <c r="N159" i="30" l="1"/>
  <c r="N319" i="30" s="1"/>
  <c r="O175" i="6"/>
  <c r="O49" i="6"/>
  <c r="O45" i="6"/>
  <c r="O43" i="6"/>
  <c r="P6" i="6"/>
  <c r="O6" i="30"/>
  <c r="G180" i="3"/>
  <c r="M13" i="70"/>
  <c r="O180" i="3"/>
  <c r="D413" i="45"/>
  <c r="E180" i="3"/>
  <c r="B181" i="3"/>
  <c r="C181" i="3" s="1"/>
  <c r="H180" i="3"/>
  <c r="F180" i="3"/>
  <c r="D180" i="3"/>
  <c r="N145" i="71"/>
  <c r="O30" i="2"/>
  <c r="M165" i="23"/>
  <c r="N164" i="23" s="1"/>
  <c r="N170" i="23"/>
  <c r="M175" i="23"/>
  <c r="O5" i="2"/>
  <c r="P7" i="2"/>
  <c r="P31" i="2" s="1"/>
  <c r="B159" i="3"/>
  <c r="C159" i="3" s="1"/>
  <c r="E160" i="3"/>
  <c r="I160" i="3"/>
  <c r="U160" i="3"/>
  <c r="D160" i="3"/>
  <c r="M160" i="3"/>
  <c r="G160" i="3"/>
  <c r="S160" i="3"/>
  <c r="O160" i="3"/>
  <c r="W160" i="3"/>
  <c r="H160" i="3"/>
  <c r="F160" i="3"/>
  <c r="P5" i="19"/>
  <c r="P13" i="19" s="1"/>
  <c r="O9" i="19"/>
  <c r="T8" i="23"/>
  <c r="U6" i="23"/>
  <c r="P236" i="3"/>
  <c r="N11" i="19"/>
  <c r="N15" i="19" s="1"/>
  <c r="N10" i="19"/>
  <c r="O159" i="30" l="1"/>
  <c r="O319" i="30" s="1"/>
  <c r="P49" i="6"/>
  <c r="P175" i="6"/>
  <c r="P45" i="6"/>
  <c r="P43" i="6"/>
  <c r="Q6" i="6"/>
  <c r="P6" i="30"/>
  <c r="O181" i="3"/>
  <c r="H181" i="3"/>
  <c r="D181" i="3"/>
  <c r="G181" i="3"/>
  <c r="F181" i="3"/>
  <c r="E181" i="3"/>
  <c r="D414" i="45"/>
  <c r="B182" i="3"/>
  <c r="C182" i="3" s="1"/>
  <c r="N13" i="70"/>
  <c r="O145" i="71"/>
  <c r="P30" i="2"/>
  <c r="N162" i="23"/>
  <c r="N165" i="23" s="1"/>
  <c r="O162" i="23" s="1"/>
  <c r="M176" i="23"/>
  <c r="N174" i="23"/>
  <c r="N172" i="23"/>
  <c r="O169" i="23"/>
  <c r="O167" i="23"/>
  <c r="P5" i="2"/>
  <c r="Q7" i="2"/>
  <c r="Q31" i="2" s="1"/>
  <c r="B158" i="3"/>
  <c r="C158" i="3" s="1"/>
  <c r="U159" i="3"/>
  <c r="H159" i="3"/>
  <c r="F159" i="3"/>
  <c r="I159" i="3"/>
  <c r="E159" i="3"/>
  <c r="O159" i="3"/>
  <c r="W159" i="3"/>
  <c r="M159" i="3"/>
  <c r="G159" i="3"/>
  <c r="S159" i="3"/>
  <c r="D159" i="3"/>
  <c r="O10" i="19"/>
  <c r="O11" i="19"/>
  <c r="O15" i="19" s="1"/>
  <c r="Q5" i="19"/>
  <c r="Q13" i="19" s="1"/>
  <c r="P9" i="19"/>
  <c r="Q236" i="3"/>
  <c r="U8" i="23"/>
  <c r="V6" i="23"/>
  <c r="P159" i="30" l="1"/>
  <c r="P319" i="30" s="1"/>
  <c r="Q175" i="6"/>
  <c r="Q45" i="6"/>
  <c r="Q43" i="6"/>
  <c r="Q49" i="6"/>
  <c r="R6" i="6"/>
  <c r="E6" i="21" s="1"/>
  <c r="Q6" i="30"/>
  <c r="B183" i="3"/>
  <c r="C183" i="3" s="1"/>
  <c r="O182" i="3"/>
  <c r="F182" i="3"/>
  <c r="E182" i="3"/>
  <c r="D182" i="3"/>
  <c r="H182" i="3"/>
  <c r="G182" i="3"/>
  <c r="D415" i="45"/>
  <c r="O13" i="70"/>
  <c r="P145" i="71"/>
  <c r="Q30" i="2"/>
  <c r="O164" i="23"/>
  <c r="O165" i="23" s="1"/>
  <c r="P164" i="23" s="1"/>
  <c r="O170" i="23"/>
  <c r="P167" i="23" s="1"/>
  <c r="N175" i="23"/>
  <c r="N176" i="23" s="1"/>
  <c r="R7" i="2"/>
  <c r="R31" i="2" s="1"/>
  <c r="Q5" i="2"/>
  <c r="I158" i="3"/>
  <c r="H158" i="3"/>
  <c r="S158" i="3"/>
  <c r="T158" i="3" s="1"/>
  <c r="O158" i="3"/>
  <c r="W158" i="3"/>
  <c r="X158" i="3" s="1"/>
  <c r="D158" i="3"/>
  <c r="E158" i="3"/>
  <c r="U158" i="3"/>
  <c r="V158" i="3" s="1"/>
  <c r="B157" i="3"/>
  <c r="C157" i="3" s="1"/>
  <c r="F158" i="3"/>
  <c r="M158" i="3"/>
  <c r="G158" i="3"/>
  <c r="P11" i="19"/>
  <c r="P15" i="19" s="1"/>
  <c r="P10" i="19"/>
  <c r="R5" i="19"/>
  <c r="R13" i="19" s="1"/>
  <c r="Q9" i="19"/>
  <c r="V8" i="23"/>
  <c r="W6" i="23"/>
  <c r="R236" i="3"/>
  <c r="S6" i="6" l="1"/>
  <c r="R6" i="30"/>
  <c r="Q159" i="30"/>
  <c r="Q319" i="30" s="1"/>
  <c r="R175" i="6"/>
  <c r="R49" i="6"/>
  <c r="R43" i="6"/>
  <c r="R45" i="6"/>
  <c r="R82" i="6"/>
  <c r="D183" i="3"/>
  <c r="B184" i="3"/>
  <c r="D184" i="3" s="1"/>
  <c r="G183" i="3"/>
  <c r="F183" i="3"/>
  <c r="O183" i="3"/>
  <c r="H183" i="3"/>
  <c r="E183" i="3"/>
  <c r="D416" i="45"/>
  <c r="P13" i="70"/>
  <c r="E6" i="32"/>
  <c r="E29" i="20"/>
  <c r="Q145" i="71"/>
  <c r="R30" i="2"/>
  <c r="P162" i="23"/>
  <c r="P165" i="23" s="1"/>
  <c r="O174" i="23"/>
  <c r="O172" i="23"/>
  <c r="P169" i="23"/>
  <c r="P170" i="23" s="1"/>
  <c r="R5" i="2"/>
  <c r="S7" i="2"/>
  <c r="S31" i="2" s="1"/>
  <c r="U157" i="3"/>
  <c r="V157" i="3" s="1"/>
  <c r="O157" i="3"/>
  <c r="I157" i="3"/>
  <c r="S157" i="3"/>
  <c r="T157" i="3" s="1"/>
  <c r="M157" i="3"/>
  <c r="F157" i="3"/>
  <c r="D157" i="3"/>
  <c r="G157" i="3"/>
  <c r="W157" i="3"/>
  <c r="X157" i="3" s="1"/>
  <c r="B156" i="3"/>
  <c r="C156" i="3" s="1"/>
  <c r="E157" i="3"/>
  <c r="H157" i="3"/>
  <c r="S236" i="3"/>
  <c r="S5" i="19"/>
  <c r="S13" i="19" s="1"/>
  <c r="R9" i="19"/>
  <c r="Q10" i="19"/>
  <c r="Q11" i="19"/>
  <c r="Q15" i="19" s="1"/>
  <c r="X6" i="23"/>
  <c r="W8" i="23"/>
  <c r="T6" i="6" l="1"/>
  <c r="S6" i="30"/>
  <c r="R159" i="30"/>
  <c r="R319" i="30" s="1"/>
  <c r="S175" i="6"/>
  <c r="S45" i="6"/>
  <c r="S43" i="6"/>
  <c r="S49" i="6"/>
  <c r="S82" i="6"/>
  <c r="G184" i="3"/>
  <c r="C184" i="3"/>
  <c r="O184" i="3"/>
  <c r="H184" i="3"/>
  <c r="B185" i="3"/>
  <c r="C185" i="3" s="1"/>
  <c r="F184" i="3"/>
  <c r="E184" i="3"/>
  <c r="D417" i="45"/>
  <c r="Q13" i="70"/>
  <c r="R145" i="71"/>
  <c r="S30" i="2"/>
  <c r="O175" i="23"/>
  <c r="P174" i="23" s="1"/>
  <c r="Q162" i="23"/>
  <c r="Q164" i="23"/>
  <c r="Q167" i="23"/>
  <c r="Q169" i="23"/>
  <c r="S5" i="2"/>
  <c r="T7" i="2"/>
  <c r="T31" i="2" s="1"/>
  <c r="E156" i="3"/>
  <c r="D156" i="3"/>
  <c r="O156" i="3"/>
  <c r="M156" i="3"/>
  <c r="F156" i="3"/>
  <c r="G156" i="3"/>
  <c r="B155" i="3"/>
  <c r="C155" i="3" s="1"/>
  <c r="H156" i="3"/>
  <c r="S156" i="3"/>
  <c r="T156" i="3" s="1"/>
  <c r="I156" i="3"/>
  <c r="W156" i="3"/>
  <c r="X156" i="3" s="1"/>
  <c r="U156" i="3"/>
  <c r="V156" i="3" s="1"/>
  <c r="T5" i="19"/>
  <c r="T13" i="19" s="1"/>
  <c r="S9" i="19"/>
  <c r="R11" i="19"/>
  <c r="R15" i="19" s="1"/>
  <c r="R10" i="19"/>
  <c r="T236" i="3"/>
  <c r="Y6" i="23"/>
  <c r="X8" i="23"/>
  <c r="S159" i="30" l="1"/>
  <c r="S319" i="30" s="1"/>
  <c r="T175" i="6"/>
  <c r="T45" i="6"/>
  <c r="T43" i="6"/>
  <c r="T49" i="6"/>
  <c r="T82" i="6"/>
  <c r="U6" i="6"/>
  <c r="T6" i="30"/>
  <c r="B186" i="3"/>
  <c r="C186" i="3" s="1"/>
  <c r="O185" i="3"/>
  <c r="G185" i="3"/>
  <c r="E185" i="3"/>
  <c r="H185" i="3"/>
  <c r="D185" i="3"/>
  <c r="F185" i="3"/>
  <c r="D418" i="45"/>
  <c r="R13" i="70"/>
  <c r="S145" i="71"/>
  <c r="T30" i="2"/>
  <c r="O176" i="23"/>
  <c r="P172" i="23"/>
  <c r="P175" i="23" s="1"/>
  <c r="Q165" i="23"/>
  <c r="R164" i="23" s="1"/>
  <c r="Q170" i="23"/>
  <c r="U7" i="2"/>
  <c r="U31" i="2" s="1"/>
  <c r="T5" i="2"/>
  <c r="E155" i="3"/>
  <c r="S155" i="3"/>
  <c r="T155" i="3" s="1"/>
  <c r="U155" i="3"/>
  <c r="V155" i="3" s="1"/>
  <c r="W155" i="3"/>
  <c r="X155" i="3" s="1"/>
  <c r="M155" i="3"/>
  <c r="G155" i="3"/>
  <c r="B154" i="3"/>
  <c r="C154" i="3" s="1"/>
  <c r="I155" i="3"/>
  <c r="F155" i="3"/>
  <c r="H155" i="3"/>
  <c r="D155" i="3"/>
  <c r="O155" i="3"/>
  <c r="S10" i="19"/>
  <c r="S11" i="19"/>
  <c r="S15" i="19" s="1"/>
  <c r="U5" i="19"/>
  <c r="U13" i="19" s="1"/>
  <c r="T9" i="19"/>
  <c r="Z6" i="23"/>
  <c r="Y8" i="23"/>
  <c r="U236" i="3"/>
  <c r="V6" i="6" l="1"/>
  <c r="U6" i="30"/>
  <c r="U175" i="6"/>
  <c r="U45" i="6"/>
  <c r="U43" i="6"/>
  <c r="U49" i="6"/>
  <c r="U82" i="6"/>
  <c r="T159" i="30"/>
  <c r="T319" i="30" s="1"/>
  <c r="H186" i="3"/>
  <c r="B187" i="3"/>
  <c r="C187" i="3" s="1"/>
  <c r="G186" i="3"/>
  <c r="D186" i="3"/>
  <c r="F186" i="3"/>
  <c r="E186" i="3"/>
  <c r="O186" i="3"/>
  <c r="D419" i="45"/>
  <c r="S13" i="70"/>
  <c r="T145" i="71"/>
  <c r="J142" i="69" s="1"/>
  <c r="U30" i="2"/>
  <c r="Q172" i="23"/>
  <c r="Q174" i="23"/>
  <c r="P176" i="23"/>
  <c r="R162" i="23"/>
  <c r="R165" i="23" s="1"/>
  <c r="S162" i="23" s="1"/>
  <c r="R167" i="23"/>
  <c r="R169" i="23"/>
  <c r="V7" i="2"/>
  <c r="V31" i="2" s="1"/>
  <c r="U5" i="2"/>
  <c r="O154" i="3"/>
  <c r="B153" i="3"/>
  <c r="C153" i="3" s="1"/>
  <c r="H154" i="3"/>
  <c r="W154" i="3"/>
  <c r="X154" i="3" s="1"/>
  <c r="F154" i="3"/>
  <c r="M154" i="3"/>
  <c r="G154" i="3"/>
  <c r="I154" i="3"/>
  <c r="S154" i="3"/>
  <c r="T154" i="3" s="1"/>
  <c r="U154" i="3"/>
  <c r="V154" i="3" s="1"/>
  <c r="E154" i="3"/>
  <c r="D154" i="3"/>
  <c r="Z8" i="23"/>
  <c r="AA6" i="23"/>
  <c r="T11" i="19"/>
  <c r="T15" i="19" s="1"/>
  <c r="T10" i="19"/>
  <c r="V5" i="19"/>
  <c r="V13" i="19" s="1"/>
  <c r="U9" i="19"/>
  <c r="V236" i="3"/>
  <c r="G187" i="3" l="1"/>
  <c r="E187" i="3"/>
  <c r="F187" i="3"/>
  <c r="B188" i="3"/>
  <c r="C188" i="3" s="1"/>
  <c r="D187" i="3"/>
  <c r="H187" i="3"/>
  <c r="W6" i="6"/>
  <c r="V6" i="30"/>
  <c r="U159" i="30"/>
  <c r="U319" i="30" s="1"/>
  <c r="V175" i="6"/>
  <c r="V45" i="6"/>
  <c r="V43" i="6"/>
  <c r="V49" i="6"/>
  <c r="V82" i="6"/>
  <c r="O187" i="3"/>
  <c r="D420" i="45"/>
  <c r="T13" i="70"/>
  <c r="U145" i="71"/>
  <c r="V30" i="2"/>
  <c r="Q175" i="23"/>
  <c r="Q176" i="23" s="1"/>
  <c r="S164" i="23"/>
  <c r="S165" i="23" s="1"/>
  <c r="R170" i="23"/>
  <c r="W7" i="2"/>
  <c r="W31" i="2" s="1"/>
  <c r="V5" i="2"/>
  <c r="B152" i="3"/>
  <c r="C152" i="3" s="1"/>
  <c r="D153" i="3"/>
  <c r="M153" i="3"/>
  <c r="U153" i="3"/>
  <c r="V153" i="3" s="1"/>
  <c r="E153" i="3"/>
  <c r="F153" i="3"/>
  <c r="H153" i="3"/>
  <c r="I153" i="3"/>
  <c r="W153" i="3"/>
  <c r="X153" i="3" s="1"/>
  <c r="G153" i="3"/>
  <c r="O153" i="3"/>
  <c r="S153" i="3"/>
  <c r="T153" i="3" s="1"/>
  <c r="AB6" i="23"/>
  <c r="AA8" i="23"/>
  <c r="W236" i="3"/>
  <c r="F188" i="3"/>
  <c r="G188" i="3"/>
  <c r="U10" i="19"/>
  <c r="U11" i="19"/>
  <c r="U15" i="19" s="1"/>
  <c r="W5" i="19"/>
  <c r="W13" i="19" s="1"/>
  <c r="V9" i="19"/>
  <c r="O188" i="3" l="1"/>
  <c r="E188" i="3"/>
  <c r="D188" i="3"/>
  <c r="B189" i="3"/>
  <c r="C189" i="3" s="1"/>
  <c r="H188" i="3"/>
  <c r="V159" i="30"/>
  <c r="V319" i="30" s="1"/>
  <c r="X6" i="6"/>
  <c r="W6" i="30"/>
  <c r="W175" i="6"/>
  <c r="W45" i="6"/>
  <c r="W49" i="6"/>
  <c r="W43" i="6"/>
  <c r="W82" i="6"/>
  <c r="D421" i="45"/>
  <c r="U13" i="70"/>
  <c r="V145" i="71"/>
  <c r="W30" i="2"/>
  <c r="R174" i="23"/>
  <c r="R172" i="23"/>
  <c r="W5" i="2"/>
  <c r="T164" i="23"/>
  <c r="T162" i="23"/>
  <c r="X7" i="2"/>
  <c r="X31" i="2" s="1"/>
  <c r="S169" i="23"/>
  <c r="S167" i="23"/>
  <c r="D152" i="3"/>
  <c r="U152" i="3"/>
  <c r="V152" i="3" s="1"/>
  <c r="I152" i="3"/>
  <c r="W152" i="3"/>
  <c r="X152" i="3" s="1"/>
  <c r="M152" i="3"/>
  <c r="E152" i="3"/>
  <c r="H152" i="3"/>
  <c r="B151" i="3"/>
  <c r="C151" i="3" s="1"/>
  <c r="G152" i="3"/>
  <c r="O152" i="3"/>
  <c r="F152" i="3"/>
  <c r="S152" i="3"/>
  <c r="T152" i="3" s="1"/>
  <c r="V10" i="19"/>
  <c r="V11" i="19"/>
  <c r="V15" i="19" s="1"/>
  <c r="X236" i="3"/>
  <c r="X5" i="19"/>
  <c r="X13" i="19" s="1"/>
  <c r="W9" i="19"/>
  <c r="AB8" i="23"/>
  <c r="AC6" i="23"/>
  <c r="H189" i="3" l="1"/>
  <c r="O189" i="3"/>
  <c r="P189" i="3" s="1"/>
  <c r="D189" i="3"/>
  <c r="B190" i="3"/>
  <c r="C190" i="3" s="1"/>
  <c r="G189" i="3"/>
  <c r="F189" i="3"/>
  <c r="E189" i="3"/>
  <c r="X175" i="6"/>
  <c r="X45" i="6"/>
  <c r="X43" i="6"/>
  <c r="X49" i="6"/>
  <c r="X82" i="6"/>
  <c r="Y6" i="6"/>
  <c r="X6" i="30"/>
  <c r="W159" i="30"/>
  <c r="W319" i="30" s="1"/>
  <c r="D422" i="45"/>
  <c r="V13" i="70"/>
  <c r="W145" i="71"/>
  <c r="X30" i="2"/>
  <c r="R175" i="23"/>
  <c r="R176" i="23" s="1"/>
  <c r="Y7" i="2"/>
  <c r="Y31" i="2" s="1"/>
  <c r="X5" i="2"/>
  <c r="T165" i="23"/>
  <c r="S170" i="23"/>
  <c r="E151" i="3"/>
  <c r="W151" i="3"/>
  <c r="X151" i="3" s="1"/>
  <c r="U151" i="3"/>
  <c r="V151" i="3" s="1"/>
  <c r="B150" i="3"/>
  <c r="C150" i="3" s="1"/>
  <c r="F151" i="3"/>
  <c r="G151" i="3"/>
  <c r="O151" i="3"/>
  <c r="H151" i="3"/>
  <c r="D151" i="3"/>
  <c r="S151" i="3"/>
  <c r="T151" i="3" s="1"/>
  <c r="I151" i="3"/>
  <c r="M151" i="3"/>
  <c r="X9" i="19"/>
  <c r="Y5" i="19"/>
  <c r="Y13" i="19" s="1"/>
  <c r="Y236" i="3"/>
  <c r="AD6" i="23"/>
  <c r="AC8" i="23"/>
  <c r="W10" i="19"/>
  <c r="W11" i="19"/>
  <c r="W15" i="19" s="1"/>
  <c r="F190" i="3" l="1"/>
  <c r="G190" i="3"/>
  <c r="O190" i="3"/>
  <c r="P190" i="3" s="1"/>
  <c r="E190" i="3"/>
  <c r="D190" i="3"/>
  <c r="H190" i="3"/>
  <c r="B191" i="3"/>
  <c r="C191" i="3" s="1"/>
  <c r="X159" i="30"/>
  <c r="X319" i="30" s="1"/>
  <c r="Z6" i="6"/>
  <c r="Y6" i="30"/>
  <c r="Y175" i="6"/>
  <c r="Y49" i="6"/>
  <c r="Y43" i="6"/>
  <c r="Y45" i="6"/>
  <c r="Y82" i="6"/>
  <c r="D423" i="45"/>
  <c r="W13" i="70"/>
  <c r="X145" i="71"/>
  <c r="Y30" i="2"/>
  <c r="S174" i="23"/>
  <c r="S172" i="23"/>
  <c r="Y5" i="2"/>
  <c r="Z7" i="2"/>
  <c r="Z31" i="2" s="1"/>
  <c r="U164" i="23"/>
  <c r="U162" i="23"/>
  <c r="T167" i="23"/>
  <c r="T169" i="23"/>
  <c r="S150" i="3"/>
  <c r="T150" i="3" s="1"/>
  <c r="W150" i="3"/>
  <c r="X150" i="3" s="1"/>
  <c r="I150" i="3"/>
  <c r="H150" i="3"/>
  <c r="D150" i="3"/>
  <c r="O150" i="3"/>
  <c r="E150" i="3"/>
  <c r="B149" i="3"/>
  <c r="C149" i="3" s="1"/>
  <c r="F150" i="3"/>
  <c r="U150" i="3"/>
  <c r="V150" i="3" s="1"/>
  <c r="M150" i="3"/>
  <c r="G150" i="3"/>
  <c r="Z5" i="19"/>
  <c r="Z13" i="19" s="1"/>
  <c r="Y9" i="19"/>
  <c r="X11" i="19"/>
  <c r="X15" i="19" s="1"/>
  <c r="X10" i="19"/>
  <c r="Z236" i="3"/>
  <c r="AD8" i="23"/>
  <c r="AE6" i="23"/>
  <c r="G191" i="3" l="1"/>
  <c r="F191" i="3"/>
  <c r="O191" i="3"/>
  <c r="P191" i="3" s="1"/>
  <c r="H191" i="3"/>
  <c r="E191" i="3"/>
  <c r="D191" i="3"/>
  <c r="B192" i="3"/>
  <c r="C192" i="3" s="1"/>
  <c r="Y159" i="30"/>
  <c r="Y319" i="30" s="1"/>
  <c r="AA6" i="6"/>
  <c r="Z6" i="30"/>
  <c r="Z175" i="6"/>
  <c r="Z49" i="6"/>
  <c r="Z45" i="6"/>
  <c r="Z43" i="6"/>
  <c r="Z82" i="6"/>
  <c r="D424" i="45"/>
  <c r="X13" i="70"/>
  <c r="Y145" i="71"/>
  <c r="Z30" i="2"/>
  <c r="S175" i="23"/>
  <c r="T174" i="23" s="1"/>
  <c r="AA7" i="2"/>
  <c r="AA31" i="2" s="1"/>
  <c r="Z5" i="2"/>
  <c r="U165" i="23"/>
  <c r="V164" i="23" s="1"/>
  <c r="T170" i="23"/>
  <c r="W149" i="3"/>
  <c r="X149" i="3" s="1"/>
  <c r="E149" i="3"/>
  <c r="O149" i="3"/>
  <c r="G149" i="3"/>
  <c r="H149" i="3"/>
  <c r="F149" i="3"/>
  <c r="B148" i="3"/>
  <c r="C148" i="3" s="1"/>
  <c r="I149" i="3"/>
  <c r="S149" i="3"/>
  <c r="T149" i="3" s="1"/>
  <c r="U149" i="3"/>
  <c r="V149" i="3" s="1"/>
  <c r="M149" i="3"/>
  <c r="D149" i="3"/>
  <c r="Y10" i="19"/>
  <c r="Y11" i="19"/>
  <c r="Y15" i="19" s="1"/>
  <c r="AA236" i="3"/>
  <c r="AA5" i="19"/>
  <c r="AA13" i="19" s="1"/>
  <c r="Z9" i="19"/>
  <c r="AF6" i="23"/>
  <c r="AE8" i="23"/>
  <c r="B193" i="3" l="1"/>
  <c r="C193" i="3" s="1"/>
  <c r="D192" i="3"/>
  <c r="E192" i="3"/>
  <c r="G192" i="3"/>
  <c r="H192" i="3"/>
  <c r="O192" i="3"/>
  <c r="P192" i="3" s="1"/>
  <c r="F192" i="3"/>
  <c r="Z159" i="30"/>
  <c r="Z319" i="30" s="1"/>
  <c r="AA175" i="6"/>
  <c r="AA49" i="6"/>
  <c r="AA43" i="6"/>
  <c r="AA45" i="6"/>
  <c r="AA82" i="6"/>
  <c r="AB6" i="6"/>
  <c r="AA6" i="30"/>
  <c r="D425" i="45"/>
  <c r="Y13" i="70"/>
  <c r="Z145" i="71"/>
  <c r="AA30" i="2"/>
  <c r="T172" i="23"/>
  <c r="T175" i="23" s="1"/>
  <c r="U174" i="23" s="1"/>
  <c r="S176" i="23"/>
  <c r="AB7" i="2"/>
  <c r="AB31" i="2" s="1"/>
  <c r="AA5" i="2"/>
  <c r="V162" i="23"/>
  <c r="V165" i="23" s="1"/>
  <c r="U169" i="23"/>
  <c r="U167" i="23"/>
  <c r="S148" i="3"/>
  <c r="T148" i="3" s="1"/>
  <c r="E148" i="3"/>
  <c r="W148" i="3"/>
  <c r="X148" i="3" s="1"/>
  <c r="U148" i="3"/>
  <c r="V148" i="3" s="1"/>
  <c r="M148" i="3"/>
  <c r="H148" i="3"/>
  <c r="B147" i="3"/>
  <c r="C147" i="3" s="1"/>
  <c r="F148" i="3"/>
  <c r="D148" i="3"/>
  <c r="G148" i="3"/>
  <c r="O148" i="3"/>
  <c r="I148" i="3"/>
  <c r="AB236" i="3"/>
  <c r="O193" i="3"/>
  <c r="P193" i="3" s="1"/>
  <c r="B194" i="3"/>
  <c r="C194" i="3" s="1"/>
  <c r="F193" i="3"/>
  <c r="G193" i="3"/>
  <c r="D193" i="3"/>
  <c r="AG6" i="23"/>
  <c r="AF8" i="23"/>
  <c r="Z11" i="19"/>
  <c r="Z15" i="19" s="1"/>
  <c r="Z10" i="19"/>
  <c r="AB5" i="19"/>
  <c r="AB13" i="19" s="1"/>
  <c r="AA9" i="19"/>
  <c r="E193" i="3" l="1"/>
  <c r="H193" i="3"/>
  <c r="AA159" i="30"/>
  <c r="AA319" i="30" s="1"/>
  <c r="AB175" i="6"/>
  <c r="AB49" i="6"/>
  <c r="AB43" i="6"/>
  <c r="AB45" i="6"/>
  <c r="AB82" i="6"/>
  <c r="AC6" i="6"/>
  <c r="AB6" i="30"/>
  <c r="D426" i="45"/>
  <c r="Z13" i="70"/>
  <c r="AA145" i="71"/>
  <c r="AB30" i="2"/>
  <c r="T176" i="23"/>
  <c r="U172" i="23"/>
  <c r="U175" i="23" s="1"/>
  <c r="V174" i="23" s="1"/>
  <c r="AB5" i="2"/>
  <c r="AC7" i="2"/>
  <c r="AC31" i="2" s="1"/>
  <c r="U170" i="23"/>
  <c r="V167" i="23" s="1"/>
  <c r="W164" i="23"/>
  <c r="W162" i="23"/>
  <c r="W147" i="3"/>
  <c r="X147" i="3" s="1"/>
  <c r="U147" i="3"/>
  <c r="V147" i="3" s="1"/>
  <c r="D147" i="3"/>
  <c r="F147" i="3"/>
  <c r="E147" i="3"/>
  <c r="G147" i="3"/>
  <c r="O147" i="3"/>
  <c r="M147" i="3"/>
  <c r="I147" i="3"/>
  <c r="B146" i="3"/>
  <c r="C146" i="3" s="1"/>
  <c r="H147" i="3"/>
  <c r="S147" i="3"/>
  <c r="T147" i="3" s="1"/>
  <c r="AA11" i="19"/>
  <c r="AA15" i="19" s="1"/>
  <c r="AA10" i="19"/>
  <c r="AC5" i="19"/>
  <c r="AC13" i="19" s="1"/>
  <c r="AB9" i="19"/>
  <c r="AC236" i="3"/>
  <c r="AG8" i="23"/>
  <c r="AH6" i="23"/>
  <c r="H194" i="3"/>
  <c r="O194" i="3"/>
  <c r="P194" i="3" s="1"/>
  <c r="E194" i="3"/>
  <c r="G194" i="3"/>
  <c r="B195" i="3"/>
  <c r="C195" i="3" s="1"/>
  <c r="F194" i="3"/>
  <c r="D194" i="3"/>
  <c r="AB159" i="30" l="1"/>
  <c r="AB319" i="30" s="1"/>
  <c r="AD6" i="6"/>
  <c r="AC6" i="30"/>
  <c r="AC175" i="6"/>
  <c r="AC49" i="6"/>
  <c r="AC43" i="6"/>
  <c r="AC45" i="6"/>
  <c r="AC82" i="6"/>
  <c r="D427" i="45"/>
  <c r="AA13" i="70"/>
  <c r="AB145" i="71"/>
  <c r="AC30" i="2"/>
  <c r="AC5" i="2"/>
  <c r="AD7" i="2"/>
  <c r="AD31" i="2" s="1"/>
  <c r="V169" i="23"/>
  <c r="V170" i="23" s="1"/>
  <c r="U176" i="23"/>
  <c r="V172" i="23"/>
  <c r="V175" i="23" s="1"/>
  <c r="W165" i="23"/>
  <c r="X162" i="23" s="1"/>
  <c r="E146" i="3"/>
  <c r="M146" i="3"/>
  <c r="D146" i="3"/>
  <c r="S146" i="3"/>
  <c r="T146" i="3" s="1"/>
  <c r="F146" i="3"/>
  <c r="W146" i="3"/>
  <c r="X146" i="3" s="1"/>
  <c r="U146" i="3"/>
  <c r="V146" i="3" s="1"/>
  <c r="G146" i="3"/>
  <c r="H146" i="3"/>
  <c r="O146" i="3"/>
  <c r="B145" i="3"/>
  <c r="C145" i="3" s="1"/>
  <c r="I146" i="3"/>
  <c r="AD236" i="3"/>
  <c r="AB11" i="19"/>
  <c r="AB15" i="19" s="1"/>
  <c r="AB10" i="19"/>
  <c r="AH8" i="23"/>
  <c r="AI6" i="23"/>
  <c r="AC9" i="19"/>
  <c r="AD5" i="19"/>
  <c r="AD13" i="19" s="1"/>
  <c r="G195" i="3"/>
  <c r="H195" i="3"/>
  <c r="O195" i="3"/>
  <c r="P195" i="3" s="1"/>
  <c r="D195" i="3"/>
  <c r="E195" i="3"/>
  <c r="F195" i="3"/>
  <c r="B196" i="3"/>
  <c r="C196" i="3" s="1"/>
  <c r="AE6" i="6" l="1"/>
  <c r="AD6" i="30"/>
  <c r="AC159" i="30"/>
  <c r="AC319" i="30" s="1"/>
  <c r="AD175" i="6"/>
  <c r="AD49" i="6"/>
  <c r="AD45" i="6"/>
  <c r="AD43" i="6"/>
  <c r="AD82" i="6"/>
  <c r="F6" i="21"/>
  <c r="D428" i="45"/>
  <c r="AB13" i="70"/>
  <c r="F6" i="32"/>
  <c r="F29" i="20"/>
  <c r="AC145" i="71"/>
  <c r="AD30" i="2"/>
  <c r="AD5" i="2"/>
  <c r="AE7" i="2"/>
  <c r="AE31" i="2" s="1"/>
  <c r="X164" i="23"/>
  <c r="X165" i="23" s="1"/>
  <c r="W172" i="23"/>
  <c r="W174" i="23"/>
  <c r="W167" i="23"/>
  <c r="W169" i="23"/>
  <c r="V176" i="23"/>
  <c r="O145" i="3"/>
  <c r="D145" i="3"/>
  <c r="M145" i="3"/>
  <c r="U145" i="3"/>
  <c r="V145" i="3" s="1"/>
  <c r="F145" i="3"/>
  <c r="H145" i="3"/>
  <c r="E145" i="3"/>
  <c r="I145" i="3"/>
  <c r="S145" i="3"/>
  <c r="T145" i="3" s="1"/>
  <c r="B144" i="3"/>
  <c r="C144" i="3" s="1"/>
  <c r="G145" i="3"/>
  <c r="W145" i="3"/>
  <c r="X145" i="3" s="1"/>
  <c r="F196" i="3"/>
  <c r="G196" i="3"/>
  <c r="H196" i="3"/>
  <c r="B197" i="3"/>
  <c r="C197" i="3" s="1"/>
  <c r="E196" i="3"/>
  <c r="D196" i="3"/>
  <c r="O196" i="3"/>
  <c r="P196" i="3" s="1"/>
  <c r="AJ6" i="23"/>
  <c r="AI8" i="23"/>
  <c r="AC10" i="19"/>
  <c r="AC11" i="19"/>
  <c r="AC15" i="19" s="1"/>
  <c r="AE236" i="3"/>
  <c r="AE5" i="19"/>
  <c r="AE13" i="19" s="1"/>
  <c r="AD9" i="19"/>
  <c r="AE175" i="6" l="1"/>
  <c r="AE45" i="6"/>
  <c r="AE49" i="6"/>
  <c r="AE43" i="6"/>
  <c r="AF6" i="6"/>
  <c r="AE6" i="30"/>
  <c r="D429" i="45"/>
  <c r="AC13" i="70"/>
  <c r="AD145" i="71"/>
  <c r="AE30" i="2"/>
  <c r="AE5" i="2"/>
  <c r="AF7" i="2"/>
  <c r="AF31" i="2" s="1"/>
  <c r="W170" i="23"/>
  <c r="X167" i="23" s="1"/>
  <c r="Y164" i="23"/>
  <c r="Y162" i="23"/>
  <c r="W175" i="23"/>
  <c r="O144" i="3"/>
  <c r="B143" i="3"/>
  <c r="C143" i="3" s="1"/>
  <c r="G144" i="3"/>
  <c r="M144" i="3"/>
  <c r="D144" i="3"/>
  <c r="F144" i="3"/>
  <c r="S144" i="3"/>
  <c r="T144" i="3" s="1"/>
  <c r="W144" i="3"/>
  <c r="X144" i="3" s="1"/>
  <c r="E144" i="3"/>
  <c r="I144" i="3"/>
  <c r="U144" i="3"/>
  <c r="V144" i="3" s="1"/>
  <c r="H144" i="3"/>
  <c r="AF5" i="19"/>
  <c r="AF13" i="19" s="1"/>
  <c r="AE9" i="19"/>
  <c r="E197" i="3"/>
  <c r="F197" i="3"/>
  <c r="G197" i="3"/>
  <c r="D197" i="3"/>
  <c r="H197" i="3"/>
  <c r="B198" i="3"/>
  <c r="C198" i="3" s="1"/>
  <c r="O197" i="3"/>
  <c r="P197" i="3" s="1"/>
  <c r="AK6" i="23"/>
  <c r="AJ8" i="23"/>
  <c r="AD11" i="19"/>
  <c r="AD15" i="19"/>
  <c r="AD10" i="19"/>
  <c r="AF236" i="3"/>
  <c r="AF175" i="6" l="1"/>
  <c r="AF45" i="6"/>
  <c r="AF43" i="6"/>
  <c r="AF49" i="6"/>
  <c r="AG6" i="6"/>
  <c r="AF6" i="30"/>
  <c r="D430" i="45"/>
  <c r="AD13" i="70"/>
  <c r="AE145" i="71"/>
  <c r="AF30" i="2"/>
  <c r="AG7" i="2"/>
  <c r="AG31" i="2" s="1"/>
  <c r="AF5" i="2"/>
  <c r="X169" i="23"/>
  <c r="X170" i="23" s="1"/>
  <c r="Y165" i="23"/>
  <c r="Z162" i="23" s="1"/>
  <c r="X172" i="23"/>
  <c r="X174" i="23"/>
  <c r="W176" i="23"/>
  <c r="D143" i="3"/>
  <c r="G143" i="3"/>
  <c r="M143" i="3"/>
  <c r="U143" i="3"/>
  <c r="V143" i="3" s="1"/>
  <c r="O143" i="3"/>
  <c r="E143" i="3"/>
  <c r="W143" i="3"/>
  <c r="X143" i="3" s="1"/>
  <c r="B142" i="3"/>
  <c r="C142" i="3" s="1"/>
  <c r="H143" i="3"/>
  <c r="F143" i="3"/>
  <c r="S143" i="3"/>
  <c r="T143" i="3" s="1"/>
  <c r="I143" i="3"/>
  <c r="AG236" i="3"/>
  <c r="AG5" i="19"/>
  <c r="AG13" i="19" s="1"/>
  <c r="AF9" i="19"/>
  <c r="AL6" i="23"/>
  <c r="AK8" i="23"/>
  <c r="AE10" i="19"/>
  <c r="AE11" i="19"/>
  <c r="AE15" i="19" s="1"/>
  <c r="D198" i="3"/>
  <c r="E198" i="3"/>
  <c r="F198" i="3"/>
  <c r="O198" i="3"/>
  <c r="P198" i="3" s="1"/>
  <c r="B199" i="3"/>
  <c r="C199" i="3" s="1"/>
  <c r="G198" i="3"/>
  <c r="H198" i="3"/>
  <c r="AH6" i="6" l="1"/>
  <c r="AG6" i="30"/>
  <c r="AG175" i="6"/>
  <c r="AG45" i="6"/>
  <c r="AG43" i="6"/>
  <c r="AG49" i="6"/>
  <c r="D431" i="45"/>
  <c r="AE13" i="70"/>
  <c r="AF145" i="71"/>
  <c r="N142" i="69" s="1"/>
  <c r="AG30" i="2"/>
  <c r="AH7" i="2"/>
  <c r="AH31" i="2" s="1"/>
  <c r="AG5" i="2"/>
  <c r="Z164" i="23"/>
  <c r="Z165" i="23" s="1"/>
  <c r="X175" i="23"/>
  <c r="X176" i="23" s="1"/>
  <c r="Y169" i="23"/>
  <c r="Y167" i="23"/>
  <c r="W142" i="3"/>
  <c r="X142" i="3" s="1"/>
  <c r="I142" i="3"/>
  <c r="E142" i="3"/>
  <c r="M142" i="3"/>
  <c r="F142" i="3"/>
  <c r="D142" i="3"/>
  <c r="S142" i="3"/>
  <c r="T142" i="3" s="1"/>
  <c r="G142" i="3"/>
  <c r="O142" i="3"/>
  <c r="B141" i="3"/>
  <c r="C141" i="3" s="1"/>
  <c r="U142" i="3"/>
  <c r="V142" i="3" s="1"/>
  <c r="H142" i="3"/>
  <c r="B200" i="3"/>
  <c r="C200" i="3" s="1"/>
  <c r="D199" i="3"/>
  <c r="E199" i="3"/>
  <c r="H199" i="3"/>
  <c r="F199" i="3"/>
  <c r="G199" i="3"/>
  <c r="O199" i="3"/>
  <c r="P199" i="3" s="1"/>
  <c r="AF11" i="19"/>
  <c r="AF15" i="19" s="1"/>
  <c r="AF10" i="19"/>
  <c r="AH5" i="19"/>
  <c r="AH13" i="19" s="1"/>
  <c r="AG9" i="19"/>
  <c r="AL8" i="23"/>
  <c r="AM6" i="23"/>
  <c r="AH236" i="3"/>
  <c r="AH175" i="6" l="1"/>
  <c r="AH45" i="6"/>
  <c r="AH43" i="6"/>
  <c r="AH49" i="6"/>
  <c r="AI6" i="6"/>
  <c r="AH6" i="30"/>
  <c r="D432" i="45"/>
  <c r="AF13" i="70"/>
  <c r="AG145" i="71"/>
  <c r="AH30" i="2"/>
  <c r="AI7" i="2"/>
  <c r="AI31" i="2" s="1"/>
  <c r="AH5" i="2"/>
  <c r="AA162" i="23"/>
  <c r="AA164" i="23"/>
  <c r="Y174" i="23"/>
  <c r="Y172" i="23"/>
  <c r="Y170" i="23"/>
  <c r="Z169" i="23" s="1"/>
  <c r="E141" i="3"/>
  <c r="H141" i="3"/>
  <c r="F141" i="3"/>
  <c r="B140" i="3"/>
  <c r="C140" i="3" s="1"/>
  <c r="S141" i="3"/>
  <c r="T141" i="3" s="1"/>
  <c r="D141" i="3"/>
  <c r="O141" i="3"/>
  <c r="I141" i="3"/>
  <c r="G141" i="3"/>
  <c r="U141" i="3"/>
  <c r="V141" i="3" s="1"/>
  <c r="W141" i="3"/>
  <c r="X141" i="3" s="1"/>
  <c r="M141" i="3"/>
  <c r="AG10" i="19"/>
  <c r="AG11" i="19"/>
  <c r="AG15" i="19" s="1"/>
  <c r="AI5" i="19"/>
  <c r="AI13" i="19" s="1"/>
  <c r="AH9" i="19"/>
  <c r="B201" i="3"/>
  <c r="C201" i="3" s="1"/>
  <c r="D200" i="3"/>
  <c r="G200" i="3"/>
  <c r="H200" i="3"/>
  <c r="O200" i="3"/>
  <c r="P200" i="3" s="1"/>
  <c r="F200" i="3"/>
  <c r="E200" i="3"/>
  <c r="AI236" i="3"/>
  <c r="AN6" i="23"/>
  <c r="AM8" i="23"/>
  <c r="AJ6" i="6" l="1"/>
  <c r="AI6" i="30"/>
  <c r="AI175" i="6"/>
  <c r="AI45" i="6"/>
  <c r="AI49" i="6"/>
  <c r="AI43" i="6"/>
  <c r="D433" i="45"/>
  <c r="AG13" i="70"/>
  <c r="AH145" i="71"/>
  <c r="AI30" i="2"/>
  <c r="AJ7" i="2"/>
  <c r="AJ31" i="2" s="1"/>
  <c r="AI5" i="2"/>
  <c r="AA165" i="23"/>
  <c r="AB164" i="23" s="1"/>
  <c r="Z167" i="23"/>
  <c r="Z170" i="23" s="1"/>
  <c r="AA167" i="23" s="1"/>
  <c r="Y175" i="23"/>
  <c r="Y176" i="23" s="1"/>
  <c r="W140" i="3"/>
  <c r="X140" i="3" s="1"/>
  <c r="F140" i="3"/>
  <c r="D140" i="3"/>
  <c r="G140" i="3"/>
  <c r="E140" i="3"/>
  <c r="M140" i="3"/>
  <c r="S140" i="3"/>
  <c r="T140" i="3" s="1"/>
  <c r="B139" i="3"/>
  <c r="C139" i="3" s="1"/>
  <c r="I140" i="3"/>
  <c r="H140" i="3"/>
  <c r="O140" i="3"/>
  <c r="U140" i="3"/>
  <c r="V140" i="3" s="1"/>
  <c r="AO6" i="23"/>
  <c r="AN8" i="23"/>
  <c r="AJ236" i="3"/>
  <c r="AH11" i="19"/>
  <c r="AH15" i="19" s="1"/>
  <c r="AH10" i="19"/>
  <c r="O201" i="3"/>
  <c r="P201" i="3" s="1"/>
  <c r="B202" i="3"/>
  <c r="C202" i="3" s="1"/>
  <c r="F201" i="3"/>
  <c r="D201" i="3"/>
  <c r="H201" i="3"/>
  <c r="G201" i="3"/>
  <c r="E201" i="3"/>
  <c r="AJ5" i="19"/>
  <c r="AJ13" i="19" s="1"/>
  <c r="AI9" i="19"/>
  <c r="AK6" i="6" l="1"/>
  <c r="AJ6" i="30"/>
  <c r="AJ175" i="6"/>
  <c r="AJ45" i="6"/>
  <c r="AJ43" i="6"/>
  <c r="AJ49" i="6"/>
  <c r="D434" i="45"/>
  <c r="AH13" i="70"/>
  <c r="AI145" i="71"/>
  <c r="AJ30" i="2"/>
  <c r="AK7" i="2"/>
  <c r="AK31" i="2" s="1"/>
  <c r="AJ5" i="2"/>
  <c r="AB162" i="23"/>
  <c r="AB165" i="23" s="1"/>
  <c r="AC164" i="23" s="1"/>
  <c r="Z174" i="23"/>
  <c r="Z172" i="23"/>
  <c r="AA169" i="23"/>
  <c r="AA170" i="23" s="1"/>
  <c r="E139" i="3"/>
  <c r="G139" i="3"/>
  <c r="B138" i="3"/>
  <c r="C138" i="3" s="1"/>
  <c r="H139" i="3"/>
  <c r="M139" i="3"/>
  <c r="W139" i="3"/>
  <c r="X139" i="3" s="1"/>
  <c r="S139" i="3"/>
  <c r="T139" i="3" s="1"/>
  <c r="U139" i="3"/>
  <c r="V139" i="3" s="1"/>
  <c r="D139" i="3"/>
  <c r="I139" i="3"/>
  <c r="F139" i="3"/>
  <c r="O139" i="3"/>
  <c r="H202" i="3"/>
  <c r="O202" i="3"/>
  <c r="P202" i="3" s="1"/>
  <c r="E202" i="3"/>
  <c r="F202" i="3"/>
  <c r="G202" i="3"/>
  <c r="B203" i="3"/>
  <c r="C203" i="3" s="1"/>
  <c r="D202" i="3"/>
  <c r="AK236" i="3"/>
  <c r="AI10" i="19"/>
  <c r="AI11" i="19"/>
  <c r="AI15" i="19" s="1"/>
  <c r="AO8" i="23"/>
  <c r="AP6" i="23"/>
  <c r="AK5" i="19"/>
  <c r="AK13" i="19" s="1"/>
  <c r="AJ9" i="19"/>
  <c r="AK175" i="6" l="1"/>
  <c r="AK49" i="6"/>
  <c r="AK45" i="6"/>
  <c r="AK43" i="6"/>
  <c r="AL6" i="6"/>
  <c r="AK6" i="30"/>
  <c r="D435" i="45"/>
  <c r="AI13" i="70"/>
  <c r="AJ145" i="71"/>
  <c r="AK30" i="2"/>
  <c r="AK5" i="2"/>
  <c r="AL7" i="2"/>
  <c r="AL31" i="2" s="1"/>
  <c r="Z175" i="23"/>
  <c r="Z176" i="23" s="1"/>
  <c r="AC162" i="23"/>
  <c r="AC165" i="23" s="1"/>
  <c r="AD164" i="23" s="1"/>
  <c r="AB167" i="23"/>
  <c r="AB169" i="23"/>
  <c r="E138" i="3"/>
  <c r="B137" i="3"/>
  <c r="C137" i="3" s="1"/>
  <c r="I138" i="3"/>
  <c r="W138" i="3"/>
  <c r="X138" i="3" s="1"/>
  <c r="F138" i="3"/>
  <c r="D138" i="3"/>
  <c r="M138" i="3"/>
  <c r="H138" i="3"/>
  <c r="G138" i="3"/>
  <c r="U138" i="3"/>
  <c r="V138" i="3" s="1"/>
  <c r="O138" i="3"/>
  <c r="S138" i="3"/>
  <c r="T138" i="3" s="1"/>
  <c r="AK9" i="19"/>
  <c r="AL5" i="19"/>
  <c r="AL13" i="19" s="1"/>
  <c r="AJ11" i="19"/>
  <c r="AJ10" i="19"/>
  <c r="AJ15" i="19"/>
  <c r="AL236" i="3"/>
  <c r="AP8" i="23"/>
  <c r="AQ6" i="23"/>
  <c r="G203" i="3"/>
  <c r="H203" i="3"/>
  <c r="O203" i="3"/>
  <c r="P203" i="3" s="1"/>
  <c r="D203" i="3"/>
  <c r="F203" i="3"/>
  <c r="B204" i="3"/>
  <c r="C204" i="3" s="1"/>
  <c r="E203" i="3"/>
  <c r="AL175" i="6" l="1"/>
  <c r="AL49" i="6"/>
  <c r="AL45" i="6"/>
  <c r="AL43" i="6"/>
  <c r="AM6" i="6"/>
  <c r="AL6" i="30"/>
  <c r="D436" i="45"/>
  <c r="AJ13" i="70"/>
  <c r="D41" i="64"/>
  <c r="AK145" i="71"/>
  <c r="AL30" i="2"/>
  <c r="AL5" i="2"/>
  <c r="AM7" i="2"/>
  <c r="AM31" i="2" s="1"/>
  <c r="AD162" i="23"/>
  <c r="AD165" i="23" s="1"/>
  <c r="AA172" i="23"/>
  <c r="AA174" i="23"/>
  <c r="AB170" i="23"/>
  <c r="F137" i="3"/>
  <c r="U137" i="3"/>
  <c r="V137" i="3" s="1"/>
  <c r="G137" i="3"/>
  <c r="B136" i="3"/>
  <c r="C136" i="3" s="1"/>
  <c r="S137" i="3"/>
  <c r="T137" i="3" s="1"/>
  <c r="M137" i="3"/>
  <c r="W137" i="3"/>
  <c r="X137" i="3" s="1"/>
  <c r="O137" i="3"/>
  <c r="D137" i="3"/>
  <c r="H137" i="3"/>
  <c r="E137" i="3"/>
  <c r="I137" i="3"/>
  <c r="AR6" i="23"/>
  <c r="AQ8" i="23"/>
  <c r="AM5" i="19"/>
  <c r="AM13" i="19" s="1"/>
  <c r="AL9" i="19"/>
  <c r="AK10" i="19"/>
  <c r="AK11" i="19"/>
  <c r="AK15" i="19" s="1"/>
  <c r="F204" i="3"/>
  <c r="G204" i="3"/>
  <c r="H204" i="3"/>
  <c r="B205" i="3"/>
  <c r="C205" i="3" s="1"/>
  <c r="D204" i="3"/>
  <c r="E204" i="3"/>
  <c r="O204" i="3"/>
  <c r="P204" i="3" s="1"/>
  <c r="AM236" i="3"/>
  <c r="AN6" i="6" l="1"/>
  <c r="AM6" i="30"/>
  <c r="AM175" i="6"/>
  <c r="AM49" i="6"/>
  <c r="AM45" i="6"/>
  <c r="AM43" i="6"/>
  <c r="D437" i="45"/>
  <c r="AK13" i="70"/>
  <c r="AL145" i="71"/>
  <c r="AM30" i="2"/>
  <c r="AM5" i="2"/>
  <c r="AN7" i="2"/>
  <c r="AN31" i="2" s="1"/>
  <c r="AE164" i="23"/>
  <c r="AE162" i="23"/>
  <c r="AA175" i="23"/>
  <c r="AA176" i="23" s="1"/>
  <c r="AC167" i="23"/>
  <c r="AC169" i="23"/>
  <c r="B135" i="3"/>
  <c r="C135" i="3" s="1"/>
  <c r="F136" i="3"/>
  <c r="S136" i="3"/>
  <c r="T136" i="3" s="1"/>
  <c r="E136" i="3"/>
  <c r="M136" i="3"/>
  <c r="O136" i="3"/>
  <c r="H136" i="3"/>
  <c r="G136" i="3"/>
  <c r="U136" i="3"/>
  <c r="V136" i="3" s="1"/>
  <c r="I136" i="3"/>
  <c r="W136" i="3"/>
  <c r="X136" i="3" s="1"/>
  <c r="D136" i="3"/>
  <c r="AN236" i="3"/>
  <c r="E205" i="3"/>
  <c r="F205" i="3"/>
  <c r="G205" i="3"/>
  <c r="B206" i="3"/>
  <c r="C206" i="3" s="1"/>
  <c r="D205" i="3"/>
  <c r="H205" i="3"/>
  <c r="O205" i="3"/>
  <c r="P205" i="3" s="1"/>
  <c r="AL10" i="19"/>
  <c r="AL11" i="19"/>
  <c r="AL15" i="19" s="1"/>
  <c r="AM9" i="19"/>
  <c r="AN5" i="19"/>
  <c r="AN13" i="19" s="1"/>
  <c r="AS6" i="23"/>
  <c r="AR8" i="23"/>
  <c r="AN175" i="6" l="1"/>
  <c r="AN49" i="6"/>
  <c r="AN45" i="6"/>
  <c r="AN43" i="6"/>
  <c r="AO6" i="6"/>
  <c r="AN6" i="30"/>
  <c r="D438" i="45"/>
  <c r="AL13" i="70"/>
  <c r="AM145" i="71"/>
  <c r="AN30" i="2"/>
  <c r="AO7" i="2"/>
  <c r="AO31" i="2" s="1"/>
  <c r="AN5" i="2"/>
  <c r="AE165" i="23"/>
  <c r="AF162" i="23" s="1"/>
  <c r="AB174" i="23"/>
  <c r="AB172" i="23"/>
  <c r="AC170" i="23"/>
  <c r="M135" i="3"/>
  <c r="H135" i="3"/>
  <c r="D135" i="3"/>
  <c r="S135" i="3"/>
  <c r="T135" i="3" s="1"/>
  <c r="F135" i="3"/>
  <c r="G135" i="3"/>
  <c r="B134" i="3"/>
  <c r="O135" i="3"/>
  <c r="U135" i="3"/>
  <c r="V135" i="3" s="1"/>
  <c r="I135" i="3"/>
  <c r="W135" i="3"/>
  <c r="X135" i="3" s="1"/>
  <c r="E135" i="3"/>
  <c r="AO236" i="3"/>
  <c r="D206" i="3"/>
  <c r="E206" i="3"/>
  <c r="F206" i="3"/>
  <c r="O206" i="3"/>
  <c r="P206" i="3" s="1"/>
  <c r="G206" i="3"/>
  <c r="B207" i="3"/>
  <c r="C207" i="3" s="1"/>
  <c r="H206" i="3"/>
  <c r="AS8" i="23"/>
  <c r="AT6" i="23"/>
  <c r="AN9" i="19"/>
  <c r="AO5" i="19"/>
  <c r="AO13" i="19" s="1"/>
  <c r="AM10" i="19"/>
  <c r="AM11" i="19"/>
  <c r="AM15" i="19" s="1"/>
  <c r="AP6" i="6" l="1"/>
  <c r="AO6" i="30"/>
  <c r="AO175" i="6"/>
  <c r="AO49" i="6"/>
  <c r="AO45" i="6"/>
  <c r="AO43" i="6"/>
  <c r="AP7" i="2"/>
  <c r="AP31" i="2" s="1"/>
  <c r="D439" i="45"/>
  <c r="AM13" i="70"/>
  <c r="C134" i="3"/>
  <c r="T169" i="3"/>
  <c r="X169" i="3"/>
  <c r="V169" i="3"/>
  <c r="V168" i="3"/>
  <c r="T168" i="3"/>
  <c r="X168" i="3"/>
  <c r="T167" i="3"/>
  <c r="V167" i="3"/>
  <c r="X167" i="3"/>
  <c r="X166" i="3"/>
  <c r="T166" i="3"/>
  <c r="V166" i="3"/>
  <c r="V165" i="3"/>
  <c r="X165" i="3"/>
  <c r="T165" i="3"/>
  <c r="T164" i="3"/>
  <c r="X164" i="3"/>
  <c r="V164" i="3"/>
  <c r="T163" i="3"/>
  <c r="V163" i="3"/>
  <c r="X163" i="3"/>
  <c r="V162" i="3"/>
  <c r="X162" i="3"/>
  <c r="T162" i="3"/>
  <c r="V161" i="3"/>
  <c r="X161" i="3"/>
  <c r="T161" i="3"/>
  <c r="V160" i="3"/>
  <c r="X160" i="3"/>
  <c r="T160" i="3"/>
  <c r="V159" i="3"/>
  <c r="T159" i="3"/>
  <c r="X159" i="3"/>
  <c r="P136" i="3"/>
  <c r="D29" i="17"/>
  <c r="AN145" i="71"/>
  <c r="AO30" i="2"/>
  <c r="AO5" i="2"/>
  <c r="AF164" i="23"/>
  <c r="AF165" i="23" s="1"/>
  <c r="AB175" i="23"/>
  <c r="AB176" i="23" s="1"/>
  <c r="K136" i="3"/>
  <c r="N135" i="3"/>
  <c r="P135" i="3"/>
  <c r="N146" i="3"/>
  <c r="P146" i="3"/>
  <c r="J146" i="3"/>
  <c r="K146" i="3"/>
  <c r="L146" i="3"/>
  <c r="P145" i="3"/>
  <c r="J145" i="3"/>
  <c r="N145" i="3"/>
  <c r="L145" i="3"/>
  <c r="K145" i="3"/>
  <c r="N144" i="3"/>
  <c r="P144" i="3"/>
  <c r="J144" i="3"/>
  <c r="L144" i="3"/>
  <c r="K144" i="3"/>
  <c r="N143" i="3"/>
  <c r="L143" i="3"/>
  <c r="P143" i="3"/>
  <c r="K143" i="3"/>
  <c r="J143" i="3"/>
  <c r="N142" i="3"/>
  <c r="P142" i="3"/>
  <c r="K142" i="3"/>
  <c r="J142" i="3"/>
  <c r="L142" i="3"/>
  <c r="P141" i="3"/>
  <c r="K141" i="3"/>
  <c r="N141" i="3"/>
  <c r="L141" i="3"/>
  <c r="J141" i="3"/>
  <c r="N140" i="3"/>
  <c r="P140" i="3"/>
  <c r="J140" i="3"/>
  <c r="K140" i="3"/>
  <c r="L140" i="3"/>
  <c r="N139" i="3"/>
  <c r="J139" i="3"/>
  <c r="P139" i="3"/>
  <c r="L139" i="3"/>
  <c r="K139" i="3"/>
  <c r="P138" i="3"/>
  <c r="K138" i="3"/>
  <c r="J138" i="3"/>
  <c r="L138" i="3"/>
  <c r="N138" i="3"/>
  <c r="N137" i="3"/>
  <c r="L137" i="3"/>
  <c r="P137" i="3"/>
  <c r="K137" i="3"/>
  <c r="J137" i="3"/>
  <c r="J136" i="3"/>
  <c r="L136" i="3"/>
  <c r="N136" i="3"/>
  <c r="P158" i="3"/>
  <c r="L158" i="3"/>
  <c r="J158" i="3"/>
  <c r="K158" i="3"/>
  <c r="N158" i="3"/>
  <c r="P157" i="3"/>
  <c r="N157" i="3"/>
  <c r="K157" i="3"/>
  <c r="J157" i="3"/>
  <c r="L157" i="3"/>
  <c r="P156" i="3"/>
  <c r="J156" i="3"/>
  <c r="N156" i="3"/>
  <c r="K156" i="3"/>
  <c r="L156" i="3"/>
  <c r="P155" i="3"/>
  <c r="N155" i="3"/>
  <c r="J155" i="3"/>
  <c r="L155" i="3"/>
  <c r="K155" i="3"/>
  <c r="P154" i="3"/>
  <c r="K154" i="3"/>
  <c r="N154" i="3"/>
  <c r="J154" i="3"/>
  <c r="L154" i="3"/>
  <c r="P153" i="3"/>
  <c r="K153" i="3"/>
  <c r="N153" i="3"/>
  <c r="J153" i="3"/>
  <c r="L153" i="3"/>
  <c r="K152" i="3"/>
  <c r="P152" i="3"/>
  <c r="N152" i="3"/>
  <c r="L152" i="3"/>
  <c r="J152" i="3"/>
  <c r="N151" i="3"/>
  <c r="K151" i="3"/>
  <c r="L151" i="3"/>
  <c r="P151" i="3"/>
  <c r="J151" i="3"/>
  <c r="K150" i="3"/>
  <c r="J150" i="3"/>
  <c r="P150" i="3"/>
  <c r="N150" i="3"/>
  <c r="L150" i="3"/>
  <c r="P149" i="3"/>
  <c r="N149" i="3"/>
  <c r="K149" i="3"/>
  <c r="J149" i="3"/>
  <c r="L149" i="3"/>
  <c r="K148" i="3"/>
  <c r="L148" i="3"/>
  <c r="J148" i="3"/>
  <c r="N148" i="3"/>
  <c r="P148" i="3"/>
  <c r="N147" i="3"/>
  <c r="L147" i="3"/>
  <c r="P147" i="3"/>
  <c r="K147" i="3"/>
  <c r="J147" i="3"/>
  <c r="AD169" i="23"/>
  <c r="AD167" i="23"/>
  <c r="L165" i="3"/>
  <c r="N165" i="3"/>
  <c r="J165" i="3"/>
  <c r="K165" i="3"/>
  <c r="P165" i="3"/>
  <c r="K164" i="3"/>
  <c r="L164" i="3"/>
  <c r="P164" i="3"/>
  <c r="J164" i="3"/>
  <c r="N164" i="3"/>
  <c r="P163" i="3"/>
  <c r="N163" i="3"/>
  <c r="L163" i="3"/>
  <c r="K163" i="3"/>
  <c r="J163" i="3"/>
  <c r="N162" i="3"/>
  <c r="L162" i="3"/>
  <c r="J162" i="3"/>
  <c r="K162" i="3"/>
  <c r="P162" i="3"/>
  <c r="P161" i="3"/>
  <c r="J161" i="3"/>
  <c r="K161" i="3"/>
  <c r="L161" i="3"/>
  <c r="N161" i="3"/>
  <c r="J160" i="3"/>
  <c r="P160" i="3"/>
  <c r="L160" i="3"/>
  <c r="K160" i="3"/>
  <c r="N160" i="3"/>
  <c r="N159" i="3"/>
  <c r="L159" i="3"/>
  <c r="P159" i="3"/>
  <c r="J159" i="3"/>
  <c r="K159" i="3"/>
  <c r="P182" i="3"/>
  <c r="P183" i="3"/>
  <c r="P184" i="3"/>
  <c r="P185" i="3"/>
  <c r="P186" i="3"/>
  <c r="P187" i="3"/>
  <c r="P188" i="3"/>
  <c r="N168" i="3"/>
  <c r="L168" i="3"/>
  <c r="P168" i="3"/>
  <c r="K168" i="3"/>
  <c r="J168" i="3"/>
  <c r="L167" i="3"/>
  <c r="J167" i="3"/>
  <c r="N167" i="3"/>
  <c r="K167" i="3"/>
  <c r="P167" i="3"/>
  <c r="J166" i="3"/>
  <c r="N166" i="3"/>
  <c r="K166" i="3"/>
  <c r="P166" i="3"/>
  <c r="L166" i="3"/>
  <c r="U134" i="3"/>
  <c r="V134" i="3" s="1"/>
  <c r="I134" i="3"/>
  <c r="P169" i="3"/>
  <c r="P178" i="3"/>
  <c r="P172" i="3"/>
  <c r="F134" i="3"/>
  <c r="N170" i="3"/>
  <c r="O134" i="3"/>
  <c r="S134" i="3"/>
  <c r="T134" i="3" s="1"/>
  <c r="J170" i="3"/>
  <c r="W134" i="3"/>
  <c r="X134" i="3" s="1"/>
  <c r="M134" i="3"/>
  <c r="P171" i="3"/>
  <c r="P179" i="3"/>
  <c r="N169" i="3"/>
  <c r="P180" i="3"/>
  <c r="P175" i="3"/>
  <c r="P176" i="3"/>
  <c r="G134" i="3"/>
  <c r="L170" i="3"/>
  <c r="P177" i="3"/>
  <c r="D134" i="3"/>
  <c r="P170" i="3"/>
  <c r="K169" i="3"/>
  <c r="P173" i="3"/>
  <c r="P181" i="3"/>
  <c r="E134" i="3"/>
  <c r="H134" i="3"/>
  <c r="J169" i="3"/>
  <c r="P174" i="3"/>
  <c r="K170" i="3"/>
  <c r="L169" i="3"/>
  <c r="J135" i="3"/>
  <c r="K135" i="3"/>
  <c r="L135" i="3"/>
  <c r="AP236" i="3"/>
  <c r="AP5" i="19"/>
  <c r="AP13" i="19" s="1"/>
  <c r="AO9" i="19"/>
  <c r="AN11" i="19"/>
  <c r="AN15" i="19" s="1"/>
  <c r="AN10" i="19"/>
  <c r="AT8" i="23"/>
  <c r="AU6" i="23"/>
  <c r="B208" i="3"/>
  <c r="C208" i="3" s="1"/>
  <c r="D207" i="3"/>
  <c r="E207" i="3"/>
  <c r="H207" i="3"/>
  <c r="O207" i="3"/>
  <c r="P207" i="3" s="1"/>
  <c r="G207" i="3"/>
  <c r="F207" i="3"/>
  <c r="AQ6" i="6" l="1"/>
  <c r="AP6" i="30"/>
  <c r="AP175" i="6"/>
  <c r="AP49" i="6"/>
  <c r="AP45" i="6"/>
  <c r="AP43" i="6"/>
  <c r="AP5" i="2"/>
  <c r="AQ7" i="2"/>
  <c r="AP30" i="2"/>
  <c r="AP145" i="71" s="1"/>
  <c r="AO13" i="70"/>
  <c r="D440" i="45"/>
  <c r="AN13" i="70"/>
  <c r="V171" i="3"/>
  <c r="V173" i="3" s="1"/>
  <c r="V174" i="3" s="1"/>
  <c r="T171" i="3"/>
  <c r="T173" i="3" s="1"/>
  <c r="T174" i="3" s="1"/>
  <c r="V123" i="3" s="1"/>
  <c r="X171" i="3"/>
  <c r="G6" i="32"/>
  <c r="G29" i="20"/>
  <c r="AO145" i="71"/>
  <c r="G6" i="21"/>
  <c r="AG164" i="23"/>
  <c r="AG162" i="23"/>
  <c r="AC172" i="23"/>
  <c r="AC174" i="23"/>
  <c r="P134" i="3"/>
  <c r="R171" i="3" s="1"/>
  <c r="T123" i="3" s="1"/>
  <c r="T124" i="3" s="1"/>
  <c r="N134" i="3"/>
  <c r="N171" i="3" s="1"/>
  <c r="AD170" i="23"/>
  <c r="L134" i="3"/>
  <c r="L171" i="3" s="1"/>
  <c r="J134" i="3"/>
  <c r="J171" i="3" s="1"/>
  <c r="D23" i="96" s="1"/>
  <c r="K134" i="3"/>
  <c r="K171" i="3" s="1"/>
  <c r="F44" i="6" s="1"/>
  <c r="AV6" i="23"/>
  <c r="AU8" i="23"/>
  <c r="AQ5" i="19"/>
  <c r="AQ13" i="19" s="1"/>
  <c r="AP9" i="19"/>
  <c r="AQ236" i="3"/>
  <c r="B209" i="3"/>
  <c r="C209" i="3" s="1"/>
  <c r="D208" i="3"/>
  <c r="G208" i="3"/>
  <c r="E208" i="3"/>
  <c r="O208" i="3"/>
  <c r="P208" i="3" s="1"/>
  <c r="H208" i="3"/>
  <c r="F208" i="3"/>
  <c r="AO10" i="19"/>
  <c r="AO11" i="19"/>
  <c r="AO15" i="19" s="1"/>
  <c r="AR7" i="2" l="1"/>
  <c r="AR31" i="2" s="1"/>
  <c r="AQ31" i="2"/>
  <c r="AQ30" i="2"/>
  <c r="AQ5" i="2"/>
  <c r="F172" i="6"/>
  <c r="F177" i="6"/>
  <c r="F167" i="6"/>
  <c r="F143" i="6"/>
  <c r="F153" i="6"/>
  <c r="F162" i="6"/>
  <c r="F138" i="6"/>
  <c r="F148" i="6"/>
  <c r="F157" i="6"/>
  <c r="F54" i="6"/>
  <c r="G44" i="6"/>
  <c r="F47" i="6"/>
  <c r="F46" i="6"/>
  <c r="F50" i="6"/>
  <c r="F51" i="6"/>
  <c r="AQ175" i="6"/>
  <c r="AQ49" i="6"/>
  <c r="AQ45" i="6"/>
  <c r="AQ43" i="6"/>
  <c r="AS6" i="6"/>
  <c r="AR6" i="30"/>
  <c r="AQ145" i="71"/>
  <c r="AR6" i="6"/>
  <c r="AQ6" i="30"/>
  <c r="D441" i="45"/>
  <c r="AP13" i="70"/>
  <c r="AR30" i="2"/>
  <c r="AG165" i="23"/>
  <c r="AH162" i="23" s="1"/>
  <c r="AC175" i="23"/>
  <c r="AC176" i="23" s="1"/>
  <c r="AE167" i="23"/>
  <c r="AE169" i="23"/>
  <c r="F118" i="1"/>
  <c r="F142" i="6" s="1"/>
  <c r="F145" i="6" s="1"/>
  <c r="F122" i="1"/>
  <c r="F161" i="6" s="1"/>
  <c r="F164" i="6" s="1"/>
  <c r="F121" i="1"/>
  <c r="F156" i="6" s="1"/>
  <c r="F159" i="6" s="1"/>
  <c r="F119" i="1"/>
  <c r="F147" i="6" s="1"/>
  <c r="F150" i="6" s="1"/>
  <c r="F120" i="1"/>
  <c r="F152" i="6" s="1"/>
  <c r="F154" i="6" s="1"/>
  <c r="F128" i="1"/>
  <c r="F171" i="6" s="1"/>
  <c r="F129" i="1"/>
  <c r="F176" i="6" s="1"/>
  <c r="F179" i="6" s="1"/>
  <c r="F117" i="1"/>
  <c r="F137" i="6" s="1"/>
  <c r="F140" i="6" s="1"/>
  <c r="F126" i="1"/>
  <c r="F166" i="6" s="1"/>
  <c r="F169" i="6" s="1"/>
  <c r="AW6" i="23"/>
  <c r="AV8" i="23"/>
  <c r="O209" i="3"/>
  <c r="P209" i="3" s="1"/>
  <c r="B210" i="3"/>
  <c r="C210" i="3" s="1"/>
  <c r="F209" i="3"/>
  <c r="G209" i="3"/>
  <c r="H209" i="3"/>
  <c r="D209" i="3"/>
  <c r="E209" i="3"/>
  <c r="AP11" i="19"/>
  <c r="AP15" i="19"/>
  <c r="AP10" i="19"/>
  <c r="AR236" i="3"/>
  <c r="AR5" i="2"/>
  <c r="AS7" i="2"/>
  <c r="AS31" i="2" s="1"/>
  <c r="AR5" i="19"/>
  <c r="AR13" i="19" s="1"/>
  <c r="AQ9" i="19"/>
  <c r="AR175" i="6" l="1"/>
  <c r="AR49" i="6"/>
  <c r="AR45" i="6"/>
  <c r="AR43" i="6"/>
  <c r="F58" i="6"/>
  <c r="G51" i="6"/>
  <c r="F57" i="6"/>
  <c r="G50" i="6"/>
  <c r="AT6" i="6"/>
  <c r="AS6" i="30"/>
  <c r="AS175" i="6"/>
  <c r="AS45" i="6"/>
  <c r="AS43" i="6"/>
  <c r="AS49" i="6"/>
  <c r="F48" i="6"/>
  <c r="F55" i="6"/>
  <c r="G46" i="6"/>
  <c r="F56" i="6"/>
  <c r="G47" i="6"/>
  <c r="F174" i="6"/>
  <c r="G54" i="6"/>
  <c r="H44" i="6"/>
  <c r="D442" i="45"/>
  <c r="AQ13" i="70"/>
  <c r="AR145" i="71"/>
  <c r="R142" i="69" s="1"/>
  <c r="AS30" i="2"/>
  <c r="AH164" i="23"/>
  <c r="AH165" i="23" s="1"/>
  <c r="AD174" i="23"/>
  <c r="AD172" i="23"/>
  <c r="AE170" i="23"/>
  <c r="F123" i="1"/>
  <c r="G123" i="1" s="1"/>
  <c r="G117" i="1"/>
  <c r="G121" i="1"/>
  <c r="G128" i="1"/>
  <c r="G122" i="1"/>
  <c r="G118" i="1"/>
  <c r="G129" i="1"/>
  <c r="G126" i="1"/>
  <c r="G120" i="1"/>
  <c r="G119" i="1"/>
  <c r="AS5" i="19"/>
  <c r="AS13" i="19" s="1"/>
  <c r="AR9" i="19"/>
  <c r="AQ11" i="19"/>
  <c r="AQ15" i="19" s="1"/>
  <c r="AQ10" i="19"/>
  <c r="AX6" i="23"/>
  <c r="AW8" i="23"/>
  <c r="AS5" i="2"/>
  <c r="AT7" i="2"/>
  <c r="AT31" i="2" s="1"/>
  <c r="AS236" i="3"/>
  <c r="H210" i="3"/>
  <c r="O210" i="3"/>
  <c r="P210" i="3" s="1"/>
  <c r="E210" i="3"/>
  <c r="G210" i="3"/>
  <c r="D210" i="3"/>
  <c r="F210" i="3"/>
  <c r="B211" i="3"/>
  <c r="C211" i="3" s="1"/>
  <c r="F59" i="6" l="1"/>
  <c r="F61" i="6" s="1"/>
  <c r="G57" i="6"/>
  <c r="H50" i="6"/>
  <c r="H54" i="6"/>
  <c r="I44" i="6"/>
  <c r="G58" i="6"/>
  <c r="H51" i="6"/>
  <c r="G56" i="6"/>
  <c r="H47" i="6"/>
  <c r="AU6" i="6"/>
  <c r="AT6" i="30"/>
  <c r="G48" i="6"/>
  <c r="G55" i="6"/>
  <c r="H46" i="6"/>
  <c r="AT175" i="6"/>
  <c r="AT45" i="6"/>
  <c r="AT43" i="6"/>
  <c r="AT49" i="6"/>
  <c r="D443" i="45"/>
  <c r="AR13" i="70"/>
  <c r="AS145" i="71"/>
  <c r="AT30" i="2"/>
  <c r="AD175" i="23"/>
  <c r="AE172" i="23" s="1"/>
  <c r="AF167" i="23"/>
  <c r="AF169" i="23"/>
  <c r="AI164" i="23"/>
  <c r="AI162" i="23"/>
  <c r="E43" i="64"/>
  <c r="E43" i="42"/>
  <c r="E66" i="42" s="1"/>
  <c r="E66" i="64" s="1"/>
  <c r="AX8" i="23"/>
  <c r="AY6" i="23"/>
  <c r="AR11" i="19"/>
  <c r="AR15" i="19" s="1"/>
  <c r="AR10" i="19"/>
  <c r="AT236" i="3"/>
  <c r="AS9" i="19"/>
  <c r="AT5" i="19"/>
  <c r="AT13" i="19" s="1"/>
  <c r="AU7" i="2"/>
  <c r="AU31" i="2" s="1"/>
  <c r="AT5" i="2"/>
  <c r="G211" i="3"/>
  <c r="H211" i="3"/>
  <c r="O211" i="3"/>
  <c r="P211" i="3" s="1"/>
  <c r="D211" i="3"/>
  <c r="E211" i="3"/>
  <c r="F211" i="3"/>
  <c r="B212" i="3"/>
  <c r="C212" i="3" s="1"/>
  <c r="F62" i="6" l="1"/>
  <c r="F64" i="6" s="1"/>
  <c r="F66" i="6" s="1"/>
  <c r="G59" i="6"/>
  <c r="G61" i="6" s="1"/>
  <c r="AU175" i="6"/>
  <c r="AU45" i="6"/>
  <c r="AU43" i="6"/>
  <c r="AU49" i="6"/>
  <c r="H57" i="6"/>
  <c r="I50" i="6"/>
  <c r="H56" i="6"/>
  <c r="I47" i="6"/>
  <c r="H48" i="6"/>
  <c r="H55" i="6"/>
  <c r="I46" i="6"/>
  <c r="H58" i="6"/>
  <c r="I51" i="6"/>
  <c r="AV6" i="6"/>
  <c r="AU6" i="30"/>
  <c r="I54" i="6"/>
  <c r="J44" i="6"/>
  <c r="D444" i="45"/>
  <c r="AS13" i="70"/>
  <c r="F26" i="70"/>
  <c r="AT145" i="71"/>
  <c r="AU30" i="2"/>
  <c r="AE174" i="23"/>
  <c r="AE175" i="23" s="1"/>
  <c r="AE176" i="23" s="1"/>
  <c r="AD176" i="23"/>
  <c r="AI165" i="23"/>
  <c r="AJ164" i="23" s="1"/>
  <c r="AF170" i="23"/>
  <c r="AU5" i="19"/>
  <c r="AU13" i="19" s="1"/>
  <c r="AT9" i="19"/>
  <c r="F212" i="3"/>
  <c r="G212" i="3"/>
  <c r="H212" i="3"/>
  <c r="B213" i="3"/>
  <c r="C213" i="3" s="1"/>
  <c r="E212" i="3"/>
  <c r="O212" i="3"/>
  <c r="P212" i="3" s="1"/>
  <c r="D212" i="3"/>
  <c r="AV7" i="2"/>
  <c r="AV31" i="2" s="1"/>
  <c r="AU5" i="2"/>
  <c r="AZ6" i="23"/>
  <c r="AY8" i="23"/>
  <c r="AU236" i="3"/>
  <c r="AS10" i="19"/>
  <c r="AS11" i="19"/>
  <c r="AS15" i="19" s="1"/>
  <c r="H59" i="6" l="1"/>
  <c r="I48" i="6"/>
  <c r="I55" i="6"/>
  <c r="J46" i="6"/>
  <c r="J54" i="6"/>
  <c r="K44" i="6"/>
  <c r="AW6" i="6"/>
  <c r="AV6" i="30"/>
  <c r="AV175" i="6"/>
  <c r="AV45" i="6"/>
  <c r="AV43" i="6"/>
  <c r="AV49" i="6"/>
  <c r="I56" i="6"/>
  <c r="J47" i="6"/>
  <c r="I57" i="6"/>
  <c r="J50" i="6"/>
  <c r="I58" i="6"/>
  <c r="J51" i="6"/>
  <c r="AT13" i="70"/>
  <c r="D445" i="45"/>
  <c r="G26" i="70"/>
  <c r="AU145" i="71"/>
  <c r="AV30" i="2"/>
  <c r="AF172" i="23"/>
  <c r="AF174" i="23"/>
  <c r="AJ162" i="23"/>
  <c r="AJ165" i="23" s="1"/>
  <c r="AG169" i="23"/>
  <c r="AG167" i="23"/>
  <c r="E42" i="64"/>
  <c r="E42" i="42"/>
  <c r="E44" i="42"/>
  <c r="E44" i="64"/>
  <c r="BA6" i="23"/>
  <c r="AZ8" i="23"/>
  <c r="AT10" i="19"/>
  <c r="AT11" i="19"/>
  <c r="AT15" i="19" s="1"/>
  <c r="AV5" i="19"/>
  <c r="AV13" i="19" s="1"/>
  <c r="AU9" i="19"/>
  <c r="E213" i="3"/>
  <c r="F213" i="3"/>
  <c r="G213" i="3"/>
  <c r="D213" i="3"/>
  <c r="H213" i="3"/>
  <c r="O213" i="3"/>
  <c r="P213" i="3" s="1"/>
  <c r="B214" i="3"/>
  <c r="C214" i="3" s="1"/>
  <c r="AV236" i="3"/>
  <c r="AW7" i="2"/>
  <c r="AW31" i="2" s="1"/>
  <c r="AV5" i="2"/>
  <c r="I59" i="6" l="1"/>
  <c r="K54" i="6"/>
  <c r="L44" i="6"/>
  <c r="J48" i="6"/>
  <c r="J55" i="6"/>
  <c r="K46" i="6"/>
  <c r="J56" i="6"/>
  <c r="K47" i="6"/>
  <c r="AW175" i="6"/>
  <c r="AW45" i="6"/>
  <c r="AW43" i="6"/>
  <c r="AW49" i="6"/>
  <c r="J57" i="6"/>
  <c r="K50" i="6"/>
  <c r="AX6" i="6"/>
  <c r="AW6" i="30"/>
  <c r="J58" i="6"/>
  <c r="K51" i="6"/>
  <c r="D446" i="45"/>
  <c r="AU13" i="70"/>
  <c r="H26" i="70"/>
  <c r="AV145" i="71"/>
  <c r="AW30" i="2"/>
  <c r="AF175" i="23"/>
  <c r="AF176" i="23" s="1"/>
  <c r="AG170" i="23"/>
  <c r="AH169" i="23" s="1"/>
  <c r="AK164" i="23"/>
  <c r="AK162" i="23"/>
  <c r="E45" i="42"/>
  <c r="F127" i="1" s="1"/>
  <c r="G127" i="1" s="1"/>
  <c r="E45" i="64"/>
  <c r="D214" i="3"/>
  <c r="E214" i="3"/>
  <c r="F214" i="3"/>
  <c r="O214" i="3"/>
  <c r="P214" i="3" s="1"/>
  <c r="B215" i="3"/>
  <c r="C215" i="3" s="1"/>
  <c r="H214" i="3"/>
  <c r="G214" i="3"/>
  <c r="AU10" i="19"/>
  <c r="AU11" i="19"/>
  <c r="AU15" i="19" s="1"/>
  <c r="BA8" i="23"/>
  <c r="BB6" i="23"/>
  <c r="AW236" i="3"/>
  <c r="AW5" i="2"/>
  <c r="AX7" i="2"/>
  <c r="AX31" i="2" s="1"/>
  <c r="AV9" i="19"/>
  <c r="AW5" i="19"/>
  <c r="AW13" i="19" s="1"/>
  <c r="J59" i="6" l="1"/>
  <c r="L54" i="6"/>
  <c r="M44" i="6"/>
  <c r="K57" i="6"/>
  <c r="L50" i="6"/>
  <c r="K56" i="6"/>
  <c r="L47" i="6"/>
  <c r="K48" i="6"/>
  <c r="K55" i="6"/>
  <c r="L46" i="6"/>
  <c r="AX49" i="6"/>
  <c r="AX175" i="6"/>
  <c r="AX45" i="6"/>
  <c r="AX43" i="6"/>
  <c r="AY6" i="6"/>
  <c r="AX6" i="30"/>
  <c r="K58" i="6"/>
  <c r="L51" i="6"/>
  <c r="D447" i="45"/>
  <c r="AV13" i="70"/>
  <c r="I26" i="70"/>
  <c r="AW145" i="71"/>
  <c r="AX30" i="2"/>
  <c r="AG174" i="23"/>
  <c r="AG172" i="23"/>
  <c r="AH167" i="23"/>
  <c r="AH170" i="23" s="1"/>
  <c r="AK165" i="23"/>
  <c r="BB8" i="23"/>
  <c r="BC6" i="23"/>
  <c r="AX5" i="19"/>
  <c r="AX13" i="19" s="1"/>
  <c r="AW9" i="19"/>
  <c r="AX236" i="3"/>
  <c r="AX5" i="2"/>
  <c r="AY7" i="2"/>
  <c r="AY31" i="2" s="1"/>
  <c r="AV11" i="19"/>
  <c r="AV15" i="19" s="1"/>
  <c r="AV10" i="19"/>
  <c r="B216" i="3"/>
  <c r="C216" i="3" s="1"/>
  <c r="E215" i="3"/>
  <c r="H215" i="3"/>
  <c r="D215" i="3"/>
  <c r="O215" i="3"/>
  <c r="P215" i="3" s="1"/>
  <c r="G215" i="3"/>
  <c r="F215" i="3"/>
  <c r="K59" i="6" l="1"/>
  <c r="AY175" i="6"/>
  <c r="AY49" i="6"/>
  <c r="AY43" i="6"/>
  <c r="AY45" i="6"/>
  <c r="L56" i="6"/>
  <c r="M47" i="6"/>
  <c r="AZ6" i="6"/>
  <c r="AY6" i="30"/>
  <c r="L57" i="6"/>
  <c r="M50" i="6"/>
  <c r="L58" i="6"/>
  <c r="M51" i="6"/>
  <c r="L48" i="6"/>
  <c r="L55" i="6"/>
  <c r="M46" i="6"/>
  <c r="M54" i="6"/>
  <c r="N44" i="6"/>
  <c r="D448" i="45"/>
  <c r="AW13" i="70"/>
  <c r="J26" i="70"/>
  <c r="AX145" i="71"/>
  <c r="AY30" i="2"/>
  <c r="AG175" i="23"/>
  <c r="AG176" i="23" s="1"/>
  <c r="AI167" i="23"/>
  <c r="AI169" i="23"/>
  <c r="AL162" i="23"/>
  <c r="AL164" i="23"/>
  <c r="AZ7" i="2"/>
  <c r="AZ31" i="2" s="1"/>
  <c r="AY5" i="2"/>
  <c r="AY236" i="3"/>
  <c r="AW10" i="19"/>
  <c r="AW11" i="19"/>
  <c r="AW15" i="19" s="1"/>
  <c r="G216" i="3"/>
  <c r="D216" i="3"/>
  <c r="E216" i="3"/>
  <c r="F216" i="3"/>
  <c r="H216" i="3"/>
  <c r="O216" i="3"/>
  <c r="P216" i="3" s="1"/>
  <c r="B217" i="3"/>
  <c r="C217" i="3" s="1"/>
  <c r="AY5" i="19"/>
  <c r="AY13" i="19" s="1"/>
  <c r="AX9" i="19"/>
  <c r="BD6" i="23"/>
  <c r="BC8" i="23"/>
  <c r="L59" i="6" l="1"/>
  <c r="M56" i="6"/>
  <c r="N47" i="6"/>
  <c r="M55" i="6"/>
  <c r="M48" i="6"/>
  <c r="N46" i="6"/>
  <c r="AZ49" i="6"/>
  <c r="AZ175" i="6"/>
  <c r="AZ45" i="6"/>
  <c r="AZ43" i="6"/>
  <c r="BA6" i="6"/>
  <c r="AZ6" i="30"/>
  <c r="M58" i="6"/>
  <c r="N51" i="6"/>
  <c r="N54" i="6"/>
  <c r="O44" i="6"/>
  <c r="M57" i="6"/>
  <c r="N50" i="6"/>
  <c r="AX13" i="70"/>
  <c r="D449" i="45"/>
  <c r="K26" i="70"/>
  <c r="AY145" i="71"/>
  <c r="AZ30" i="2"/>
  <c r="AH174" i="23"/>
  <c r="AH172" i="23"/>
  <c r="AL165" i="23"/>
  <c r="AI170" i="23"/>
  <c r="AZ5" i="2"/>
  <c r="BA7" i="2"/>
  <c r="BA31" i="2" s="1"/>
  <c r="AX11" i="19"/>
  <c r="AX15" i="19" s="1"/>
  <c r="AX10" i="19"/>
  <c r="AZ236" i="3"/>
  <c r="BE6" i="23"/>
  <c r="BD8" i="23"/>
  <c r="AZ5" i="19"/>
  <c r="AZ13" i="19" s="1"/>
  <c r="AY9" i="19"/>
  <c r="F217" i="3"/>
  <c r="D217" i="3"/>
  <c r="E217" i="3"/>
  <c r="G217" i="3"/>
  <c r="B218" i="3"/>
  <c r="C218" i="3" s="1"/>
  <c r="H217" i="3"/>
  <c r="O217" i="3"/>
  <c r="P217" i="3" s="1"/>
  <c r="M59" i="6" l="1"/>
  <c r="BA175" i="6"/>
  <c r="BA49" i="6"/>
  <c r="BA43" i="6"/>
  <c r="BA45" i="6"/>
  <c r="N56" i="6"/>
  <c r="O47" i="6"/>
  <c r="N58" i="6"/>
  <c r="O51" i="6"/>
  <c r="N57" i="6"/>
  <c r="O50" i="6"/>
  <c r="BB6" i="6"/>
  <c r="BA6" i="30"/>
  <c r="O54" i="6"/>
  <c r="P44" i="6"/>
  <c r="N55" i="6"/>
  <c r="N48" i="6"/>
  <c r="O46" i="6"/>
  <c r="D450" i="45"/>
  <c r="AY13" i="70"/>
  <c r="L26" i="70"/>
  <c r="AZ145" i="71"/>
  <c r="BA30" i="2"/>
  <c r="AH175" i="23"/>
  <c r="AH176" i="23" s="1"/>
  <c r="AJ167" i="23"/>
  <c r="AJ169" i="23"/>
  <c r="AM164" i="23"/>
  <c r="AM162" i="23"/>
  <c r="BF6" i="23"/>
  <c r="BE8" i="23"/>
  <c r="BA236" i="3"/>
  <c r="E218" i="3"/>
  <c r="D218" i="3"/>
  <c r="F218" i="3"/>
  <c r="G218" i="3"/>
  <c r="H218" i="3"/>
  <c r="O218" i="3"/>
  <c r="P218" i="3" s="1"/>
  <c r="P231" i="3" s="1"/>
  <c r="A22" i="42" s="1"/>
  <c r="J27" i="96" s="1"/>
  <c r="B219" i="3"/>
  <c r="C219" i="3" s="1"/>
  <c r="BA5" i="2"/>
  <c r="BB7" i="2"/>
  <c r="BB31" i="2" s="1"/>
  <c r="BA5" i="19"/>
  <c r="BA13" i="19" s="1"/>
  <c r="AZ9" i="19"/>
  <c r="AY10" i="19"/>
  <c r="AY11" i="19"/>
  <c r="AY15" i="19" s="1"/>
  <c r="N59" i="6" l="1"/>
  <c r="P54" i="6"/>
  <c r="Q44" i="6"/>
  <c r="O55" i="6"/>
  <c r="O48" i="6"/>
  <c r="P46" i="6"/>
  <c r="O57" i="6"/>
  <c r="P50" i="6"/>
  <c r="BC6" i="6"/>
  <c r="BB6" i="30"/>
  <c r="BB175" i="6"/>
  <c r="BB49" i="6"/>
  <c r="BB43" i="6"/>
  <c r="BB45" i="6"/>
  <c r="O58" i="6"/>
  <c r="P51" i="6"/>
  <c r="O56" i="6"/>
  <c r="P47" i="6"/>
  <c r="B20" i="73"/>
  <c r="D451" i="45"/>
  <c r="AZ13" i="70"/>
  <c r="M26" i="70"/>
  <c r="H29" i="20"/>
  <c r="BA145" i="71"/>
  <c r="BB30" i="2"/>
  <c r="AI172" i="23"/>
  <c r="AI174" i="23"/>
  <c r="AM165" i="23"/>
  <c r="AN162" i="23" s="1"/>
  <c r="AJ170" i="23"/>
  <c r="D45" i="2"/>
  <c r="A22" i="64"/>
  <c r="H6" i="32"/>
  <c r="BB236" i="3"/>
  <c r="H6" i="21"/>
  <c r="BF8" i="23"/>
  <c r="BG6" i="23"/>
  <c r="D219" i="3"/>
  <c r="E219" i="3"/>
  <c r="F219" i="3"/>
  <c r="G219" i="3"/>
  <c r="B220" i="3"/>
  <c r="C220" i="3" s="1"/>
  <c r="O219" i="3"/>
  <c r="P219" i="3" s="1"/>
  <c r="H219" i="3"/>
  <c r="BA9" i="19"/>
  <c r="BB5" i="19"/>
  <c r="BB13" i="19" s="1"/>
  <c r="AZ11" i="19"/>
  <c r="AZ15" i="19" s="1"/>
  <c r="AZ10" i="19"/>
  <c r="BB5" i="2"/>
  <c r="BC7" i="2"/>
  <c r="BC31" i="2" s="1"/>
  <c r="O59" i="6" l="1"/>
  <c r="P56" i="6"/>
  <c r="Q47" i="6"/>
  <c r="P57" i="6"/>
  <c r="Q50" i="6"/>
  <c r="BC175" i="6"/>
  <c r="BC49" i="6"/>
  <c r="BC45" i="6"/>
  <c r="BC43" i="6"/>
  <c r="P58" i="6"/>
  <c r="Q51" i="6"/>
  <c r="BD6" i="6"/>
  <c r="BC6" i="30"/>
  <c r="P55" i="6"/>
  <c r="P48" i="6"/>
  <c r="Q46" i="6"/>
  <c r="Q54" i="6"/>
  <c r="R44" i="6"/>
  <c r="D452" i="45"/>
  <c r="BA13" i="70"/>
  <c r="N26" i="70"/>
  <c r="BB145" i="71"/>
  <c r="BC30" i="2"/>
  <c r="AI175" i="23"/>
  <c r="AJ174" i="23" s="1"/>
  <c r="AN164" i="23"/>
  <c r="AN165" i="23" s="1"/>
  <c r="AO162" i="23" s="1"/>
  <c r="AK169" i="23"/>
  <c r="AK167" i="23"/>
  <c r="I21" i="55"/>
  <c r="P21" i="55" s="1"/>
  <c r="BA10" i="19"/>
  <c r="BA11" i="19"/>
  <c r="BA15" i="19" s="1"/>
  <c r="B221" i="3"/>
  <c r="C221" i="3" s="1"/>
  <c r="E220" i="3"/>
  <c r="F220" i="3"/>
  <c r="G220" i="3"/>
  <c r="D220" i="3"/>
  <c r="H220" i="3"/>
  <c r="O220" i="3"/>
  <c r="P220" i="3" s="1"/>
  <c r="BH6" i="23"/>
  <c r="BG8" i="23"/>
  <c r="BD7" i="2"/>
  <c r="BD31" i="2" s="1"/>
  <c r="BC5" i="2"/>
  <c r="BC236" i="3"/>
  <c r="E45" i="2"/>
  <c r="E46" i="2"/>
  <c r="E35" i="70" s="1"/>
  <c r="BC5" i="19"/>
  <c r="BC13" i="19" s="1"/>
  <c r="BB9" i="19"/>
  <c r="P59" i="6" l="1"/>
  <c r="Q58" i="6"/>
  <c r="R51" i="6"/>
  <c r="Q48" i="6"/>
  <c r="Q55" i="6"/>
  <c r="R46" i="6"/>
  <c r="Q56" i="6"/>
  <c r="R47" i="6"/>
  <c r="R54" i="6"/>
  <c r="S44" i="6"/>
  <c r="BD175" i="6"/>
  <c r="BD49" i="6"/>
  <c r="BD45" i="6"/>
  <c r="BD43" i="6"/>
  <c r="Q57" i="6"/>
  <c r="R50" i="6"/>
  <c r="BE6" i="6"/>
  <c r="BD6" i="30"/>
  <c r="D453" i="45"/>
  <c r="BB13" i="70"/>
  <c r="O26" i="70"/>
  <c r="BC145" i="71"/>
  <c r="BD30" i="2"/>
  <c r="AI176" i="23"/>
  <c r="AJ172" i="23"/>
  <c r="AJ175" i="23" s="1"/>
  <c r="AK174" i="23" s="1"/>
  <c r="AO164" i="23"/>
  <c r="AO165" i="23" s="1"/>
  <c r="AK170" i="23"/>
  <c r="E221" i="3"/>
  <c r="F221" i="3"/>
  <c r="G221" i="3"/>
  <c r="B222" i="3"/>
  <c r="C222" i="3" s="1"/>
  <c r="D221" i="3"/>
  <c r="O221" i="3"/>
  <c r="P221" i="3" s="1"/>
  <c r="H221" i="3"/>
  <c r="BD236" i="3"/>
  <c r="BH8" i="23"/>
  <c r="BI6" i="23"/>
  <c r="BD5" i="19"/>
  <c r="BD13" i="19" s="1"/>
  <c r="BC9" i="19"/>
  <c r="D44" i="20"/>
  <c r="BB11" i="19"/>
  <c r="BB15" i="19"/>
  <c r="BB10" i="19"/>
  <c r="D45" i="20"/>
  <c r="BE7" i="2"/>
  <c r="BE31" i="2" s="1"/>
  <c r="BD5" i="2"/>
  <c r="Q59" i="6" l="1"/>
  <c r="R56" i="6"/>
  <c r="E40" i="21" s="1"/>
  <c r="S47" i="6"/>
  <c r="R48" i="6"/>
  <c r="R55" i="6"/>
  <c r="E39" i="21" s="1"/>
  <c r="S46" i="6"/>
  <c r="BF6" i="6"/>
  <c r="BE6" i="30"/>
  <c r="R58" i="6"/>
  <c r="S51" i="6"/>
  <c r="BE175" i="6"/>
  <c r="BE49" i="6"/>
  <c r="BE45" i="6"/>
  <c r="BE43" i="6"/>
  <c r="S54" i="6"/>
  <c r="T44" i="6"/>
  <c r="E38" i="21"/>
  <c r="R57" i="6"/>
  <c r="E41" i="21" s="1"/>
  <c r="S50" i="6"/>
  <c r="D454" i="45"/>
  <c r="BC13" i="70"/>
  <c r="P26" i="70"/>
  <c r="BD145" i="71"/>
  <c r="V142" i="69" s="1"/>
  <c r="BE30" i="2"/>
  <c r="AK172" i="23"/>
  <c r="AK175" i="23" s="1"/>
  <c r="AL174" i="23" s="1"/>
  <c r="AJ176" i="23"/>
  <c r="AP164" i="23"/>
  <c r="AP162" i="23"/>
  <c r="AL169" i="23"/>
  <c r="AL167" i="23"/>
  <c r="Q26" i="70"/>
  <c r="BC10" i="19"/>
  <c r="BC11" i="19"/>
  <c r="BC15" i="19" s="1"/>
  <c r="BE5" i="19"/>
  <c r="BE13" i="19" s="1"/>
  <c r="BD9" i="19"/>
  <c r="BE236" i="3"/>
  <c r="O222" i="3"/>
  <c r="P222" i="3" s="1"/>
  <c r="E222" i="3"/>
  <c r="F222" i="3"/>
  <c r="G222" i="3"/>
  <c r="B223" i="3"/>
  <c r="C223" i="3" s="1"/>
  <c r="D222" i="3"/>
  <c r="H222" i="3"/>
  <c r="BE5" i="2"/>
  <c r="BF7" i="2"/>
  <c r="BF31" i="2" s="1"/>
  <c r="BJ6" i="23"/>
  <c r="BI8" i="23"/>
  <c r="R59" i="6" l="1"/>
  <c r="S48" i="6"/>
  <c r="S55" i="6"/>
  <c r="T46" i="6"/>
  <c r="BF175" i="6"/>
  <c r="BF49" i="6"/>
  <c r="BF45" i="6"/>
  <c r="BF43" i="6"/>
  <c r="S56" i="6"/>
  <c r="T47" i="6"/>
  <c r="S58" i="6"/>
  <c r="T51" i="6"/>
  <c r="T54" i="6"/>
  <c r="U44" i="6"/>
  <c r="BG6" i="6"/>
  <c r="BF6" i="30"/>
  <c r="S57" i="6"/>
  <c r="T50" i="6"/>
  <c r="D455" i="45"/>
  <c r="BD13" i="70"/>
  <c r="BE145" i="71"/>
  <c r="BF30" i="2"/>
  <c r="AK176" i="23"/>
  <c r="AL172" i="23"/>
  <c r="AL175" i="23" s="1"/>
  <c r="AM174" i="23" s="1"/>
  <c r="AL170" i="23"/>
  <c r="AP165" i="23"/>
  <c r="AQ162" i="23" s="1"/>
  <c r="E42" i="21"/>
  <c r="BG7" i="2"/>
  <c r="BG31" i="2" s="1"/>
  <c r="BF5" i="2"/>
  <c r="BF236" i="3"/>
  <c r="H223" i="3"/>
  <c r="E223" i="3"/>
  <c r="F223" i="3"/>
  <c r="G223" i="3"/>
  <c r="B224" i="3"/>
  <c r="C224" i="3" s="1"/>
  <c r="D223" i="3"/>
  <c r="O223" i="3"/>
  <c r="P223" i="3" s="1"/>
  <c r="BF5" i="19"/>
  <c r="BF13" i="19" s="1"/>
  <c r="BE9" i="19"/>
  <c r="BD11" i="19"/>
  <c r="BD15" i="19" s="1"/>
  <c r="BD10" i="19"/>
  <c r="BJ8" i="23"/>
  <c r="BK6" i="23"/>
  <c r="S59" i="6" l="1"/>
  <c r="U54" i="6"/>
  <c r="V44" i="6"/>
  <c r="T48" i="6"/>
  <c r="T55" i="6"/>
  <c r="U46" i="6"/>
  <c r="T58" i="6"/>
  <c r="U51" i="6"/>
  <c r="BH6" i="6"/>
  <c r="BG6" i="30"/>
  <c r="T56" i="6"/>
  <c r="U47" i="6"/>
  <c r="T57" i="6"/>
  <c r="U50" i="6"/>
  <c r="BG175" i="6"/>
  <c r="BG45" i="6"/>
  <c r="BG43" i="6"/>
  <c r="BG49" i="6"/>
  <c r="D456" i="45"/>
  <c r="BE13" i="70"/>
  <c r="R26" i="70"/>
  <c r="E43" i="21"/>
  <c r="BF145" i="71"/>
  <c r="BG30" i="2"/>
  <c r="AM172" i="23"/>
  <c r="AM175" i="23" s="1"/>
  <c r="AN174" i="23" s="1"/>
  <c r="AL176" i="23"/>
  <c r="AM167" i="23"/>
  <c r="AM169" i="23"/>
  <c r="AQ164" i="23"/>
  <c r="AQ165" i="23" s="1"/>
  <c r="S26" i="70"/>
  <c r="G224" i="3"/>
  <c r="E224" i="3"/>
  <c r="F224" i="3"/>
  <c r="H224" i="3"/>
  <c r="B225" i="3"/>
  <c r="C225" i="3" s="1"/>
  <c r="D224" i="3"/>
  <c r="O224" i="3"/>
  <c r="P224" i="3" s="1"/>
  <c r="BE10" i="19"/>
  <c r="BE11" i="19"/>
  <c r="BE15" i="19" s="1"/>
  <c r="BH7" i="2"/>
  <c r="BH31" i="2" s="1"/>
  <c r="BG5" i="2"/>
  <c r="BG5" i="19"/>
  <c r="BG13" i="19" s="1"/>
  <c r="BF9" i="19"/>
  <c r="BG236" i="3"/>
  <c r="BL6" i="23"/>
  <c r="BK8" i="23"/>
  <c r="T59" i="6" l="1"/>
  <c r="U48" i="6"/>
  <c r="U55" i="6"/>
  <c r="V46" i="6"/>
  <c r="BI6" i="6"/>
  <c r="BH6" i="30"/>
  <c r="V54" i="6"/>
  <c r="W44" i="6"/>
  <c r="U56" i="6"/>
  <c r="V47" i="6"/>
  <c r="U58" i="6"/>
  <c r="V51" i="6"/>
  <c r="U57" i="6"/>
  <c r="V50" i="6"/>
  <c r="BH175" i="6"/>
  <c r="BH45" i="6"/>
  <c r="BH43" i="6"/>
  <c r="BH49" i="6"/>
  <c r="D457" i="45"/>
  <c r="BF13" i="70"/>
  <c r="BG145" i="71"/>
  <c r="BH30" i="2"/>
  <c r="AN172" i="23"/>
  <c r="AN175" i="23" s="1"/>
  <c r="AO174" i="23" s="1"/>
  <c r="AM170" i="23"/>
  <c r="AN169" i="23" s="1"/>
  <c r="AR162" i="23"/>
  <c r="AR164" i="23"/>
  <c r="BF11" i="19"/>
  <c r="BF15" i="19" s="1"/>
  <c r="BF10" i="19"/>
  <c r="BH5" i="2"/>
  <c r="BI7" i="2"/>
  <c r="BI31" i="2" s="1"/>
  <c r="F225" i="3"/>
  <c r="E225" i="3"/>
  <c r="G225" i="3"/>
  <c r="H225" i="3"/>
  <c r="B226" i="3"/>
  <c r="C226" i="3" s="1"/>
  <c r="D225" i="3"/>
  <c r="O225" i="3"/>
  <c r="P225" i="3" s="1"/>
  <c r="BH5" i="19"/>
  <c r="BH13" i="19" s="1"/>
  <c r="BG9" i="19"/>
  <c r="BH236" i="3"/>
  <c r="BM6" i="23"/>
  <c r="BL8" i="23"/>
  <c r="U59" i="6" l="1"/>
  <c r="BI175" i="6"/>
  <c r="BI43" i="6"/>
  <c r="BI45" i="6"/>
  <c r="BI49" i="6"/>
  <c r="BJ6" i="6"/>
  <c r="BI6" i="30"/>
  <c r="V48" i="6"/>
  <c r="V55" i="6"/>
  <c r="W46" i="6"/>
  <c r="V56" i="6"/>
  <c r="W47" i="6"/>
  <c r="V58" i="6"/>
  <c r="W51" i="6"/>
  <c r="V57" i="6"/>
  <c r="W50" i="6"/>
  <c r="W54" i="6"/>
  <c r="X44" i="6"/>
  <c r="D458" i="45"/>
  <c r="BG13" i="70"/>
  <c r="T26" i="70"/>
  <c r="BH145" i="71"/>
  <c r="BI30" i="2"/>
  <c r="AM176" i="23"/>
  <c r="AN167" i="23"/>
  <c r="AN170" i="23" s="1"/>
  <c r="AO169" i="23" s="1"/>
  <c r="AO172" i="23"/>
  <c r="AO175" i="23" s="1"/>
  <c r="AP172" i="23" s="1"/>
  <c r="AR165" i="23"/>
  <c r="BI5" i="2"/>
  <c r="BJ7" i="2"/>
  <c r="BJ31" i="2" s="1"/>
  <c r="BI236" i="3"/>
  <c r="E226" i="3"/>
  <c r="F226" i="3"/>
  <c r="G226" i="3"/>
  <c r="H226" i="3"/>
  <c r="B227" i="3"/>
  <c r="C227" i="3" s="1"/>
  <c r="D226" i="3"/>
  <c r="O226" i="3"/>
  <c r="P226" i="3" s="1"/>
  <c r="BI5" i="19"/>
  <c r="BI13" i="19" s="1"/>
  <c r="BH9" i="19"/>
  <c r="BG10" i="19"/>
  <c r="BG11" i="19"/>
  <c r="BG15" i="19" s="1"/>
  <c r="BN6" i="23"/>
  <c r="BM8" i="23"/>
  <c r="V59" i="6" l="1"/>
  <c r="W48" i="6"/>
  <c r="W55" i="6"/>
  <c r="X46" i="6"/>
  <c r="W57" i="6"/>
  <c r="X50" i="6"/>
  <c r="BJ175" i="6"/>
  <c r="BJ49" i="6"/>
  <c r="BJ45" i="6"/>
  <c r="BJ43" i="6"/>
  <c r="X54" i="6"/>
  <c r="Y44" i="6"/>
  <c r="W58" i="6"/>
  <c r="X51" i="6"/>
  <c r="BK6" i="6"/>
  <c r="BJ6" i="30"/>
  <c r="W56" i="6"/>
  <c r="X47" i="6"/>
  <c r="D459" i="45"/>
  <c r="BH13" i="70"/>
  <c r="U26" i="70"/>
  <c r="BI145" i="71"/>
  <c r="BJ30" i="2"/>
  <c r="AN176" i="23"/>
  <c r="AO167" i="23"/>
  <c r="AO170" i="23" s="1"/>
  <c r="AP167" i="23" s="1"/>
  <c r="AP174" i="23"/>
  <c r="AP175" i="23" s="1"/>
  <c r="AQ172" i="23" s="1"/>
  <c r="AS162" i="23"/>
  <c r="AS164" i="23"/>
  <c r="BJ5" i="2"/>
  <c r="BK7" i="2"/>
  <c r="BK31" i="2" s="1"/>
  <c r="BJ236" i="3"/>
  <c r="BN8" i="23"/>
  <c r="BO6" i="23"/>
  <c r="BH11" i="19"/>
  <c r="BH15" i="19" s="1"/>
  <c r="BH10" i="19"/>
  <c r="BJ5" i="19"/>
  <c r="BJ13" i="19" s="1"/>
  <c r="BI9" i="19"/>
  <c r="D227" i="3"/>
  <c r="F227" i="3"/>
  <c r="G227" i="3"/>
  <c r="H227" i="3"/>
  <c r="B228" i="3"/>
  <c r="C228" i="3" s="1"/>
  <c r="E227" i="3"/>
  <c r="O227" i="3"/>
  <c r="P227" i="3" s="1"/>
  <c r="W59" i="6" l="1"/>
  <c r="Y54" i="6"/>
  <c r="Z44" i="6"/>
  <c r="BL6" i="6"/>
  <c r="BK6" i="30"/>
  <c r="X48" i="6"/>
  <c r="X55" i="6"/>
  <c r="Y46" i="6"/>
  <c r="X57" i="6"/>
  <c r="Y50" i="6"/>
  <c r="X56" i="6"/>
  <c r="Y47" i="6"/>
  <c r="BK175" i="6"/>
  <c r="BK49" i="6"/>
  <c r="BK43" i="6"/>
  <c r="BK45" i="6"/>
  <c r="X58" i="6"/>
  <c r="Y51" i="6"/>
  <c r="BI13" i="70"/>
  <c r="V26" i="70"/>
  <c r="BJ145" i="71"/>
  <c r="BK30" i="2"/>
  <c r="AP169" i="23"/>
  <c r="AP170" i="23" s="1"/>
  <c r="AQ167" i="23" s="1"/>
  <c r="AO176" i="23"/>
  <c r="AQ174" i="23"/>
  <c r="AQ175" i="23" s="1"/>
  <c r="AS165" i="23"/>
  <c r="AT162" i="23" s="1"/>
  <c r="BP6" i="23"/>
  <c r="BO8" i="23"/>
  <c r="BK5" i="19"/>
  <c r="BK13" i="19" s="1"/>
  <c r="BJ9" i="19"/>
  <c r="B229" i="3"/>
  <c r="C229" i="3" s="1"/>
  <c r="F228" i="3"/>
  <c r="G228" i="3"/>
  <c r="H228" i="3"/>
  <c r="D228" i="3"/>
  <c r="E228" i="3"/>
  <c r="O228" i="3"/>
  <c r="P228" i="3" s="1"/>
  <c r="BI10" i="19"/>
  <c r="BI11" i="19"/>
  <c r="BI15" i="19" s="1"/>
  <c r="BK5" i="2"/>
  <c r="BL7" i="2"/>
  <c r="BL31" i="2" s="1"/>
  <c r="X59" i="6" l="1"/>
  <c r="BL175" i="6"/>
  <c r="BL49" i="6"/>
  <c r="BL45" i="6"/>
  <c r="BL43" i="6"/>
  <c r="Y58" i="6"/>
  <c r="Z51" i="6"/>
  <c r="Z54" i="6"/>
  <c r="AA44" i="6"/>
  <c r="Y57" i="6"/>
  <c r="Z50" i="6"/>
  <c r="BM6" i="6"/>
  <c r="BL6" i="30"/>
  <c r="Y56" i="6"/>
  <c r="Z47" i="6"/>
  <c r="Y55" i="6"/>
  <c r="Y48" i="6"/>
  <c r="Z46" i="6"/>
  <c r="BJ13" i="70"/>
  <c r="W26" i="70"/>
  <c r="BK145" i="71"/>
  <c r="BL30" i="2"/>
  <c r="AR172" i="23"/>
  <c r="AR174" i="23"/>
  <c r="AT164" i="23"/>
  <c r="AT165" i="23" s="1"/>
  <c r="AU162" i="23" s="1"/>
  <c r="AQ169" i="23"/>
  <c r="AQ170" i="23" s="1"/>
  <c r="AP176" i="23"/>
  <c r="F229" i="3"/>
  <c r="G229" i="3"/>
  <c r="H229" i="3"/>
  <c r="E229" i="3"/>
  <c r="D229" i="3"/>
  <c r="B230" i="3"/>
  <c r="BL135" i="6" s="1"/>
  <c r="O229" i="3"/>
  <c r="P229" i="3" s="1"/>
  <c r="BK9" i="19"/>
  <c r="BL5" i="19"/>
  <c r="BL13" i="19" s="1"/>
  <c r="BM7" i="2"/>
  <c r="BM31" i="2" s="1"/>
  <c r="BL5" i="2"/>
  <c r="BJ10" i="19"/>
  <c r="BJ11" i="19"/>
  <c r="BJ15" i="19" s="1"/>
  <c r="BQ6" i="23"/>
  <c r="BP8" i="23"/>
  <c r="Y59" i="6" l="1"/>
  <c r="Z57" i="6"/>
  <c r="AA50" i="6"/>
  <c r="Z55" i="6"/>
  <c r="Z48" i="6"/>
  <c r="AA46" i="6"/>
  <c r="Z58" i="6"/>
  <c r="AA51" i="6"/>
  <c r="AA54" i="6"/>
  <c r="AB44" i="6"/>
  <c r="Z56" i="6"/>
  <c r="AA47" i="6"/>
  <c r="BN6" i="6"/>
  <c r="BM6" i="30"/>
  <c r="BM175" i="6"/>
  <c r="BM135" i="6"/>
  <c r="BM43" i="6"/>
  <c r="BM45" i="6"/>
  <c r="BM49" i="6"/>
  <c r="G135" i="6"/>
  <c r="H135" i="6"/>
  <c r="I135" i="6"/>
  <c r="J135" i="6"/>
  <c r="K135" i="6"/>
  <c r="L135" i="6"/>
  <c r="M135" i="6"/>
  <c r="N135" i="6"/>
  <c r="O135" i="6"/>
  <c r="P135" i="6"/>
  <c r="Q135" i="6"/>
  <c r="R135" i="6"/>
  <c r="S135" i="6"/>
  <c r="T135" i="6"/>
  <c r="U135" i="6"/>
  <c r="V135" i="6"/>
  <c r="W135" i="6"/>
  <c r="X135" i="6"/>
  <c r="Y135" i="6"/>
  <c r="Z135" i="6"/>
  <c r="AA135" i="6"/>
  <c r="AB135" i="6"/>
  <c r="AC135" i="6"/>
  <c r="AD135" i="6"/>
  <c r="AE135" i="6"/>
  <c r="AF135" i="6"/>
  <c r="AG135" i="6"/>
  <c r="AH135" i="6"/>
  <c r="AI135" i="6"/>
  <c r="AJ135" i="6"/>
  <c r="AK135" i="6"/>
  <c r="AL135" i="6"/>
  <c r="AM135" i="6"/>
  <c r="AN135" i="6"/>
  <c r="AO135" i="6"/>
  <c r="AP135" i="6"/>
  <c r="AQ135" i="6"/>
  <c r="AS135" i="6"/>
  <c r="AR135" i="6"/>
  <c r="AT135" i="6"/>
  <c r="AU135" i="6"/>
  <c r="AV135" i="6"/>
  <c r="AW135" i="6"/>
  <c r="AX135" i="6"/>
  <c r="AY135" i="6"/>
  <c r="AZ135" i="6"/>
  <c r="BA135" i="6"/>
  <c r="BB135" i="6"/>
  <c r="BC135" i="6"/>
  <c r="BD135" i="6"/>
  <c r="BE135" i="6"/>
  <c r="BF135" i="6"/>
  <c r="BG135" i="6"/>
  <c r="BH135" i="6"/>
  <c r="BI135" i="6"/>
  <c r="BJ135" i="6"/>
  <c r="BK135" i="6"/>
  <c r="BK13" i="70"/>
  <c r="X26" i="70"/>
  <c r="C230" i="3"/>
  <c r="BL145" i="71"/>
  <c r="BM30" i="2"/>
  <c r="AR175" i="23"/>
  <c r="AS172" i="23" s="1"/>
  <c r="AR167" i="23"/>
  <c r="AR169" i="23"/>
  <c r="AQ176" i="23"/>
  <c r="AU164" i="23"/>
  <c r="AU165" i="23" s="1"/>
  <c r="O230" i="3"/>
  <c r="P230" i="3" s="1"/>
  <c r="F230" i="3"/>
  <c r="G230" i="3"/>
  <c r="H230" i="3"/>
  <c r="D230" i="3"/>
  <c r="E230" i="3"/>
  <c r="BL9" i="19"/>
  <c r="BM5" i="19"/>
  <c r="BM13" i="19" s="1"/>
  <c r="BK10" i="19"/>
  <c r="BK11" i="19"/>
  <c r="BK15" i="19" s="1"/>
  <c r="BR6" i="23"/>
  <c r="BQ8" i="23"/>
  <c r="BM5" i="2"/>
  <c r="BN7" i="2"/>
  <c r="BN31" i="2" s="1"/>
  <c r="N35" i="17"/>
  <c r="Z59" i="6" l="1"/>
  <c r="AA56" i="6"/>
  <c r="AB47" i="6"/>
  <c r="AA57" i="6"/>
  <c r="AB50" i="6"/>
  <c r="AB54" i="6"/>
  <c r="AC44" i="6"/>
  <c r="AA58" i="6"/>
  <c r="AB51" i="6"/>
  <c r="BO6" i="6"/>
  <c r="BN6" i="30"/>
  <c r="G177" i="6"/>
  <c r="H177" i="6" s="1"/>
  <c r="I177" i="6" s="1"/>
  <c r="J177" i="6" s="1"/>
  <c r="K177" i="6" s="1"/>
  <c r="L177" i="6" s="1"/>
  <c r="M177" i="6" s="1"/>
  <c r="N177" i="6" s="1"/>
  <c r="O177" i="6" s="1"/>
  <c r="P177" i="6" s="1"/>
  <c r="Q177" i="6" s="1"/>
  <c r="R177" i="6" s="1"/>
  <c r="S177" i="6" s="1"/>
  <c r="T177" i="6" s="1"/>
  <c r="U177" i="6" s="1"/>
  <c r="V177" i="6" s="1"/>
  <c r="W177" i="6" s="1"/>
  <c r="X177" i="6" s="1"/>
  <c r="Y177" i="6" s="1"/>
  <c r="Z177" i="6" s="1"/>
  <c r="AA177" i="6" s="1"/>
  <c r="AB177" i="6" s="1"/>
  <c r="AC177" i="6" s="1"/>
  <c r="AD177" i="6" s="1"/>
  <c r="AE177" i="6" s="1"/>
  <c r="AF177" i="6" s="1"/>
  <c r="AG177" i="6" s="1"/>
  <c r="AH177" i="6" s="1"/>
  <c r="AI177" i="6" s="1"/>
  <c r="AJ177" i="6" s="1"/>
  <c r="AK177" i="6" s="1"/>
  <c r="AL177" i="6" s="1"/>
  <c r="AM177" i="6" s="1"/>
  <c r="AN177" i="6" s="1"/>
  <c r="AO177" i="6" s="1"/>
  <c r="AP177" i="6" s="1"/>
  <c r="AQ177" i="6" s="1"/>
  <c r="AR177" i="6" s="1"/>
  <c r="AS177" i="6" s="1"/>
  <c r="AT177" i="6" s="1"/>
  <c r="AU177" i="6" s="1"/>
  <c r="AV177" i="6" s="1"/>
  <c r="AW177" i="6" s="1"/>
  <c r="AX177" i="6" s="1"/>
  <c r="AY177" i="6" s="1"/>
  <c r="AZ177" i="6" s="1"/>
  <c r="BA177" i="6" s="1"/>
  <c r="BB177" i="6" s="1"/>
  <c r="BC177" i="6" s="1"/>
  <c r="BD177" i="6" s="1"/>
  <c r="BE177" i="6" s="1"/>
  <c r="BF177" i="6" s="1"/>
  <c r="BG177" i="6" s="1"/>
  <c r="BH177" i="6" s="1"/>
  <c r="BI177" i="6" s="1"/>
  <c r="BJ177" i="6" s="1"/>
  <c r="BK177" i="6" s="1"/>
  <c r="BL177" i="6" s="1"/>
  <c r="BM177" i="6" s="1"/>
  <c r="G176" i="6"/>
  <c r="H176" i="6" s="1"/>
  <c r="I176" i="6" s="1"/>
  <c r="J176" i="6" s="1"/>
  <c r="K176" i="6" s="1"/>
  <c r="L176" i="6" s="1"/>
  <c r="M176" i="6" s="1"/>
  <c r="N176" i="6" s="1"/>
  <c r="O176" i="6" s="1"/>
  <c r="P176" i="6" s="1"/>
  <c r="Q176" i="6" s="1"/>
  <c r="R176" i="6" s="1"/>
  <c r="S176" i="6" s="1"/>
  <c r="T176" i="6" s="1"/>
  <c r="U176" i="6" s="1"/>
  <c r="V176" i="6" s="1"/>
  <c r="W176" i="6" s="1"/>
  <c r="X176" i="6" s="1"/>
  <c r="Y176" i="6" s="1"/>
  <c r="Z176" i="6" s="1"/>
  <c r="AA176" i="6" s="1"/>
  <c r="AB176" i="6" s="1"/>
  <c r="AC176" i="6" s="1"/>
  <c r="AD176" i="6" s="1"/>
  <c r="AE176" i="6" s="1"/>
  <c r="AF176" i="6" s="1"/>
  <c r="AG176" i="6" s="1"/>
  <c r="AH176" i="6" s="1"/>
  <c r="AI176" i="6" s="1"/>
  <c r="AJ176" i="6" s="1"/>
  <c r="AK176" i="6" s="1"/>
  <c r="AL176" i="6" s="1"/>
  <c r="AM176" i="6" s="1"/>
  <c r="AN176" i="6" s="1"/>
  <c r="AO176" i="6" s="1"/>
  <c r="AP176" i="6" s="1"/>
  <c r="AQ176" i="6" s="1"/>
  <c r="AR176" i="6" s="1"/>
  <c r="AS176" i="6" s="1"/>
  <c r="AT176" i="6" s="1"/>
  <c r="AU176" i="6" s="1"/>
  <c r="AV176" i="6" s="1"/>
  <c r="AW176" i="6" s="1"/>
  <c r="AX176" i="6" s="1"/>
  <c r="AY176" i="6" s="1"/>
  <c r="AZ176" i="6" s="1"/>
  <c r="BA176" i="6" s="1"/>
  <c r="BB176" i="6" s="1"/>
  <c r="BC176" i="6" s="1"/>
  <c r="BD176" i="6" s="1"/>
  <c r="BE176" i="6" s="1"/>
  <c r="BF176" i="6" s="1"/>
  <c r="BG176" i="6" s="1"/>
  <c r="BH176" i="6" s="1"/>
  <c r="BI176" i="6" s="1"/>
  <c r="BJ176" i="6" s="1"/>
  <c r="BK176" i="6" s="1"/>
  <c r="BL176" i="6" s="1"/>
  <c r="BM176" i="6" s="1"/>
  <c r="G167" i="6"/>
  <c r="H167" i="6" s="1"/>
  <c r="I167" i="6" s="1"/>
  <c r="J167" i="6" s="1"/>
  <c r="K167" i="6" s="1"/>
  <c r="L167" i="6" s="1"/>
  <c r="M167" i="6" s="1"/>
  <c r="N167" i="6" s="1"/>
  <c r="O167" i="6" s="1"/>
  <c r="P167" i="6" s="1"/>
  <c r="Q167" i="6" s="1"/>
  <c r="R167" i="6" s="1"/>
  <c r="S167" i="6" s="1"/>
  <c r="T167" i="6" s="1"/>
  <c r="U167" i="6" s="1"/>
  <c r="V167" i="6" s="1"/>
  <c r="W167" i="6" s="1"/>
  <c r="X167" i="6" s="1"/>
  <c r="Y167" i="6" s="1"/>
  <c r="Z167" i="6" s="1"/>
  <c r="AA167" i="6" s="1"/>
  <c r="AB167" i="6" s="1"/>
  <c r="AC167" i="6" s="1"/>
  <c r="AD167" i="6" s="1"/>
  <c r="AE167" i="6" s="1"/>
  <c r="AF167" i="6" s="1"/>
  <c r="AG167" i="6" s="1"/>
  <c r="AH167" i="6" s="1"/>
  <c r="AI167" i="6" s="1"/>
  <c r="AJ167" i="6" s="1"/>
  <c r="AK167" i="6" s="1"/>
  <c r="AL167" i="6" s="1"/>
  <c r="AM167" i="6" s="1"/>
  <c r="AN167" i="6" s="1"/>
  <c r="AO167" i="6" s="1"/>
  <c r="AP167" i="6" s="1"/>
  <c r="AQ167" i="6" s="1"/>
  <c r="AR167" i="6" s="1"/>
  <c r="AS167" i="6" s="1"/>
  <c r="AT167" i="6" s="1"/>
  <c r="AU167" i="6" s="1"/>
  <c r="AV167" i="6" s="1"/>
  <c r="AW167" i="6" s="1"/>
  <c r="AX167" i="6" s="1"/>
  <c r="AY167" i="6" s="1"/>
  <c r="AZ167" i="6" s="1"/>
  <c r="BA167" i="6" s="1"/>
  <c r="BB167" i="6" s="1"/>
  <c r="BC167" i="6" s="1"/>
  <c r="BD167" i="6" s="1"/>
  <c r="BE167" i="6" s="1"/>
  <c r="BF167" i="6" s="1"/>
  <c r="BG167" i="6" s="1"/>
  <c r="BH167" i="6" s="1"/>
  <c r="BI167" i="6" s="1"/>
  <c r="BJ167" i="6" s="1"/>
  <c r="BK167" i="6" s="1"/>
  <c r="BL167" i="6" s="1"/>
  <c r="BM167" i="6" s="1"/>
  <c r="G166" i="6"/>
  <c r="H166" i="6" s="1"/>
  <c r="I166" i="6" s="1"/>
  <c r="J166" i="6" s="1"/>
  <c r="K166" i="6" s="1"/>
  <c r="L166" i="6" s="1"/>
  <c r="M166" i="6" s="1"/>
  <c r="N166" i="6" s="1"/>
  <c r="O166" i="6" s="1"/>
  <c r="P166" i="6" s="1"/>
  <c r="Q166" i="6" s="1"/>
  <c r="R166" i="6" s="1"/>
  <c r="S166" i="6" s="1"/>
  <c r="T166" i="6" s="1"/>
  <c r="U166" i="6" s="1"/>
  <c r="V166" i="6" s="1"/>
  <c r="W166" i="6" s="1"/>
  <c r="X166" i="6" s="1"/>
  <c r="Y166" i="6" s="1"/>
  <c r="Z166" i="6" s="1"/>
  <c r="AA166" i="6" s="1"/>
  <c r="AB166" i="6" s="1"/>
  <c r="AC166" i="6" s="1"/>
  <c r="AD166" i="6" s="1"/>
  <c r="AE166" i="6" s="1"/>
  <c r="AF166" i="6" s="1"/>
  <c r="AG166" i="6" s="1"/>
  <c r="AH166" i="6" s="1"/>
  <c r="AI166" i="6" s="1"/>
  <c r="AJ166" i="6" s="1"/>
  <c r="AK166" i="6" s="1"/>
  <c r="AL166" i="6" s="1"/>
  <c r="AM166" i="6" s="1"/>
  <c r="AN166" i="6" s="1"/>
  <c r="AO166" i="6" s="1"/>
  <c r="AP166" i="6" s="1"/>
  <c r="AQ166" i="6" s="1"/>
  <c r="AR166" i="6" s="1"/>
  <c r="AS166" i="6" s="1"/>
  <c r="AT166" i="6" s="1"/>
  <c r="AU166" i="6" s="1"/>
  <c r="AV166" i="6" s="1"/>
  <c r="AW166" i="6" s="1"/>
  <c r="AX166" i="6" s="1"/>
  <c r="AY166" i="6" s="1"/>
  <c r="AZ166" i="6" s="1"/>
  <c r="BA166" i="6" s="1"/>
  <c r="BB166" i="6" s="1"/>
  <c r="BC166" i="6" s="1"/>
  <c r="BD166" i="6" s="1"/>
  <c r="BE166" i="6" s="1"/>
  <c r="BF166" i="6" s="1"/>
  <c r="BG166" i="6" s="1"/>
  <c r="BH166" i="6" s="1"/>
  <c r="BI166" i="6" s="1"/>
  <c r="BJ166" i="6" s="1"/>
  <c r="BK166" i="6" s="1"/>
  <c r="BL166" i="6" s="1"/>
  <c r="BM166" i="6" s="1"/>
  <c r="G162" i="6"/>
  <c r="H162" i="6" s="1"/>
  <c r="I162" i="6" s="1"/>
  <c r="J162" i="6" s="1"/>
  <c r="K162" i="6" s="1"/>
  <c r="L162" i="6" s="1"/>
  <c r="M162" i="6" s="1"/>
  <c r="N162" i="6" s="1"/>
  <c r="O162" i="6" s="1"/>
  <c r="P162" i="6" s="1"/>
  <c r="Q162" i="6" s="1"/>
  <c r="R162" i="6" s="1"/>
  <c r="S162" i="6" s="1"/>
  <c r="T162" i="6" s="1"/>
  <c r="U162" i="6" s="1"/>
  <c r="V162" i="6" s="1"/>
  <c r="W162" i="6" s="1"/>
  <c r="X162" i="6" s="1"/>
  <c r="Y162" i="6" s="1"/>
  <c r="Z162" i="6" s="1"/>
  <c r="AA162" i="6" s="1"/>
  <c r="AB162" i="6" s="1"/>
  <c r="AC162" i="6" s="1"/>
  <c r="AD162" i="6" s="1"/>
  <c r="AE162" i="6" s="1"/>
  <c r="AF162" i="6" s="1"/>
  <c r="AG162" i="6" s="1"/>
  <c r="AH162" i="6" s="1"/>
  <c r="AI162" i="6" s="1"/>
  <c r="AJ162" i="6" s="1"/>
  <c r="AK162" i="6" s="1"/>
  <c r="AL162" i="6" s="1"/>
  <c r="AM162" i="6" s="1"/>
  <c r="AN162" i="6" s="1"/>
  <c r="AO162" i="6" s="1"/>
  <c r="AP162" i="6" s="1"/>
  <c r="AQ162" i="6" s="1"/>
  <c r="AR162" i="6" s="1"/>
  <c r="AS162" i="6" s="1"/>
  <c r="AT162" i="6" s="1"/>
  <c r="AU162" i="6" s="1"/>
  <c r="AV162" i="6" s="1"/>
  <c r="AW162" i="6" s="1"/>
  <c r="AX162" i="6" s="1"/>
  <c r="AY162" i="6" s="1"/>
  <c r="AZ162" i="6" s="1"/>
  <c r="BA162" i="6" s="1"/>
  <c r="BB162" i="6" s="1"/>
  <c r="BC162" i="6" s="1"/>
  <c r="BD162" i="6" s="1"/>
  <c r="BE162" i="6" s="1"/>
  <c r="BF162" i="6" s="1"/>
  <c r="BG162" i="6" s="1"/>
  <c r="BH162" i="6" s="1"/>
  <c r="BI162" i="6" s="1"/>
  <c r="BJ162" i="6" s="1"/>
  <c r="BK162" i="6" s="1"/>
  <c r="BL162" i="6" s="1"/>
  <c r="BM162" i="6" s="1"/>
  <c r="G161" i="6"/>
  <c r="H161" i="6" s="1"/>
  <c r="I161" i="6" s="1"/>
  <c r="J161" i="6" s="1"/>
  <c r="K161" i="6" s="1"/>
  <c r="L161" i="6" s="1"/>
  <c r="M161" i="6" s="1"/>
  <c r="N161" i="6" s="1"/>
  <c r="O161" i="6" s="1"/>
  <c r="P161" i="6" s="1"/>
  <c r="Q161" i="6" s="1"/>
  <c r="R161" i="6" s="1"/>
  <c r="S161" i="6" s="1"/>
  <c r="T161" i="6" s="1"/>
  <c r="U161" i="6" s="1"/>
  <c r="V161" i="6" s="1"/>
  <c r="W161" i="6" s="1"/>
  <c r="X161" i="6" s="1"/>
  <c r="Y161" i="6" s="1"/>
  <c r="Z161" i="6" s="1"/>
  <c r="AA161" i="6" s="1"/>
  <c r="AB161" i="6" s="1"/>
  <c r="AC161" i="6" s="1"/>
  <c r="AD161" i="6" s="1"/>
  <c r="AE161" i="6" s="1"/>
  <c r="AF161" i="6" s="1"/>
  <c r="AG161" i="6" s="1"/>
  <c r="AH161" i="6" s="1"/>
  <c r="AI161" i="6" s="1"/>
  <c r="AJ161" i="6" s="1"/>
  <c r="AK161" i="6" s="1"/>
  <c r="AL161" i="6" s="1"/>
  <c r="AM161" i="6" s="1"/>
  <c r="AN161" i="6" s="1"/>
  <c r="AO161" i="6" s="1"/>
  <c r="AP161" i="6" s="1"/>
  <c r="AQ161" i="6" s="1"/>
  <c r="AR161" i="6" s="1"/>
  <c r="AS161" i="6" s="1"/>
  <c r="AT161" i="6" s="1"/>
  <c r="AU161" i="6" s="1"/>
  <c r="AV161" i="6" s="1"/>
  <c r="AW161" i="6" s="1"/>
  <c r="AX161" i="6" s="1"/>
  <c r="AY161" i="6" s="1"/>
  <c r="AZ161" i="6" s="1"/>
  <c r="BA161" i="6" s="1"/>
  <c r="BB161" i="6" s="1"/>
  <c r="BC161" i="6" s="1"/>
  <c r="BD161" i="6" s="1"/>
  <c r="BE161" i="6" s="1"/>
  <c r="BF161" i="6" s="1"/>
  <c r="BG161" i="6" s="1"/>
  <c r="BH161" i="6" s="1"/>
  <c r="BI161" i="6" s="1"/>
  <c r="BJ161" i="6" s="1"/>
  <c r="BK161" i="6" s="1"/>
  <c r="BL161" i="6" s="1"/>
  <c r="BM161" i="6" s="1"/>
  <c r="G172" i="6"/>
  <c r="H172" i="6" s="1"/>
  <c r="I172" i="6" s="1"/>
  <c r="J172" i="6" s="1"/>
  <c r="K172" i="6" s="1"/>
  <c r="L172" i="6" s="1"/>
  <c r="M172" i="6" s="1"/>
  <c r="N172" i="6" s="1"/>
  <c r="O172" i="6" s="1"/>
  <c r="P172" i="6" s="1"/>
  <c r="Q172" i="6" s="1"/>
  <c r="R172" i="6" s="1"/>
  <c r="S172" i="6" s="1"/>
  <c r="T172" i="6" s="1"/>
  <c r="U172" i="6" s="1"/>
  <c r="V172" i="6" s="1"/>
  <c r="W172" i="6" s="1"/>
  <c r="X172" i="6" s="1"/>
  <c r="Y172" i="6" s="1"/>
  <c r="Z172" i="6" s="1"/>
  <c r="AA172" i="6" s="1"/>
  <c r="AB172" i="6" s="1"/>
  <c r="AC172" i="6" s="1"/>
  <c r="AD172" i="6" s="1"/>
  <c r="AE172" i="6" s="1"/>
  <c r="AF172" i="6" s="1"/>
  <c r="AG172" i="6" s="1"/>
  <c r="AH172" i="6" s="1"/>
  <c r="AI172" i="6" s="1"/>
  <c r="AJ172" i="6" s="1"/>
  <c r="AK172" i="6" s="1"/>
  <c r="AL172" i="6" s="1"/>
  <c r="AM172" i="6" s="1"/>
  <c r="AN172" i="6" s="1"/>
  <c r="AO172" i="6" s="1"/>
  <c r="AP172" i="6" s="1"/>
  <c r="AQ172" i="6" s="1"/>
  <c r="AR172" i="6" s="1"/>
  <c r="AS172" i="6" s="1"/>
  <c r="AT172" i="6" s="1"/>
  <c r="AU172" i="6" s="1"/>
  <c r="AV172" i="6" s="1"/>
  <c r="AW172" i="6" s="1"/>
  <c r="AX172" i="6" s="1"/>
  <c r="AY172" i="6" s="1"/>
  <c r="AZ172" i="6" s="1"/>
  <c r="BA172" i="6" s="1"/>
  <c r="BB172" i="6" s="1"/>
  <c r="BC172" i="6" s="1"/>
  <c r="BD172" i="6" s="1"/>
  <c r="BE172" i="6" s="1"/>
  <c r="BF172" i="6" s="1"/>
  <c r="BG172" i="6" s="1"/>
  <c r="BH172" i="6" s="1"/>
  <c r="BI172" i="6" s="1"/>
  <c r="BJ172" i="6" s="1"/>
  <c r="BK172" i="6" s="1"/>
  <c r="BL172" i="6" s="1"/>
  <c r="BM172" i="6" s="1"/>
  <c r="G148" i="6"/>
  <c r="H148" i="6" s="1"/>
  <c r="I148" i="6" s="1"/>
  <c r="J148" i="6" s="1"/>
  <c r="K148" i="6" s="1"/>
  <c r="L148" i="6" s="1"/>
  <c r="M148" i="6" s="1"/>
  <c r="N148" i="6" s="1"/>
  <c r="O148" i="6" s="1"/>
  <c r="P148" i="6" s="1"/>
  <c r="Q148" i="6" s="1"/>
  <c r="R148" i="6" s="1"/>
  <c r="S148" i="6" s="1"/>
  <c r="T148" i="6" s="1"/>
  <c r="U148" i="6" s="1"/>
  <c r="V148" i="6" s="1"/>
  <c r="W148" i="6" s="1"/>
  <c r="X148" i="6" s="1"/>
  <c r="Y148" i="6" s="1"/>
  <c r="Z148" i="6" s="1"/>
  <c r="AA148" i="6" s="1"/>
  <c r="AB148" i="6" s="1"/>
  <c r="AC148" i="6" s="1"/>
  <c r="AD148" i="6" s="1"/>
  <c r="AE148" i="6" s="1"/>
  <c r="AF148" i="6" s="1"/>
  <c r="AG148" i="6" s="1"/>
  <c r="AH148" i="6" s="1"/>
  <c r="AI148" i="6" s="1"/>
  <c r="AJ148" i="6" s="1"/>
  <c r="AK148" i="6" s="1"/>
  <c r="AL148" i="6" s="1"/>
  <c r="AM148" i="6" s="1"/>
  <c r="AN148" i="6" s="1"/>
  <c r="AO148" i="6" s="1"/>
  <c r="AP148" i="6" s="1"/>
  <c r="AQ148" i="6" s="1"/>
  <c r="AR148" i="6" s="1"/>
  <c r="AS148" i="6" s="1"/>
  <c r="AT148" i="6" s="1"/>
  <c r="AU148" i="6" s="1"/>
  <c r="AV148" i="6" s="1"/>
  <c r="AW148" i="6" s="1"/>
  <c r="AX148" i="6" s="1"/>
  <c r="AY148" i="6" s="1"/>
  <c r="AZ148" i="6" s="1"/>
  <c r="BA148" i="6" s="1"/>
  <c r="BB148" i="6" s="1"/>
  <c r="BC148" i="6" s="1"/>
  <c r="BD148" i="6" s="1"/>
  <c r="BE148" i="6" s="1"/>
  <c r="BF148" i="6" s="1"/>
  <c r="BG148" i="6" s="1"/>
  <c r="BH148" i="6" s="1"/>
  <c r="BI148" i="6" s="1"/>
  <c r="BJ148" i="6" s="1"/>
  <c r="BK148" i="6" s="1"/>
  <c r="BL148" i="6" s="1"/>
  <c r="BM148" i="6" s="1"/>
  <c r="G157" i="6"/>
  <c r="H157" i="6" s="1"/>
  <c r="I157" i="6" s="1"/>
  <c r="J157" i="6" s="1"/>
  <c r="K157" i="6" s="1"/>
  <c r="L157" i="6" s="1"/>
  <c r="M157" i="6" s="1"/>
  <c r="N157" i="6" s="1"/>
  <c r="O157" i="6" s="1"/>
  <c r="P157" i="6" s="1"/>
  <c r="Q157" i="6" s="1"/>
  <c r="R157" i="6" s="1"/>
  <c r="S157" i="6" s="1"/>
  <c r="T157" i="6" s="1"/>
  <c r="U157" i="6" s="1"/>
  <c r="V157" i="6" s="1"/>
  <c r="W157" i="6" s="1"/>
  <c r="X157" i="6" s="1"/>
  <c r="Y157" i="6" s="1"/>
  <c r="Z157" i="6" s="1"/>
  <c r="AA157" i="6" s="1"/>
  <c r="AB157" i="6" s="1"/>
  <c r="AC157" i="6" s="1"/>
  <c r="AD157" i="6" s="1"/>
  <c r="AE157" i="6" s="1"/>
  <c r="AF157" i="6" s="1"/>
  <c r="AG157" i="6" s="1"/>
  <c r="AH157" i="6" s="1"/>
  <c r="AI157" i="6" s="1"/>
  <c r="AJ157" i="6" s="1"/>
  <c r="AK157" i="6" s="1"/>
  <c r="AL157" i="6" s="1"/>
  <c r="AM157" i="6" s="1"/>
  <c r="AN157" i="6" s="1"/>
  <c r="AO157" i="6" s="1"/>
  <c r="AP157" i="6" s="1"/>
  <c r="AQ157" i="6" s="1"/>
  <c r="AR157" i="6" s="1"/>
  <c r="AS157" i="6" s="1"/>
  <c r="AT157" i="6" s="1"/>
  <c r="AU157" i="6" s="1"/>
  <c r="AV157" i="6" s="1"/>
  <c r="AW157" i="6" s="1"/>
  <c r="AX157" i="6" s="1"/>
  <c r="AY157" i="6" s="1"/>
  <c r="AZ157" i="6" s="1"/>
  <c r="BA157" i="6" s="1"/>
  <c r="BB157" i="6" s="1"/>
  <c r="BC157" i="6" s="1"/>
  <c r="BD157" i="6" s="1"/>
  <c r="BE157" i="6" s="1"/>
  <c r="BF157" i="6" s="1"/>
  <c r="BG157" i="6" s="1"/>
  <c r="BH157" i="6" s="1"/>
  <c r="BI157" i="6" s="1"/>
  <c r="BJ157" i="6" s="1"/>
  <c r="BK157" i="6" s="1"/>
  <c r="BL157" i="6" s="1"/>
  <c r="BM157" i="6" s="1"/>
  <c r="G152" i="6"/>
  <c r="H152" i="6" s="1"/>
  <c r="I152" i="6" s="1"/>
  <c r="J152" i="6" s="1"/>
  <c r="K152" i="6" s="1"/>
  <c r="L152" i="6" s="1"/>
  <c r="M152" i="6" s="1"/>
  <c r="N152" i="6" s="1"/>
  <c r="O152" i="6" s="1"/>
  <c r="P152" i="6" s="1"/>
  <c r="Q152" i="6" s="1"/>
  <c r="R152" i="6" s="1"/>
  <c r="S152" i="6" s="1"/>
  <c r="T152" i="6" s="1"/>
  <c r="U152" i="6" s="1"/>
  <c r="V152" i="6" s="1"/>
  <c r="W152" i="6" s="1"/>
  <c r="X152" i="6" s="1"/>
  <c r="Y152" i="6" s="1"/>
  <c r="Z152" i="6" s="1"/>
  <c r="AA152" i="6" s="1"/>
  <c r="AB152" i="6" s="1"/>
  <c r="AC152" i="6" s="1"/>
  <c r="AD152" i="6" s="1"/>
  <c r="AE152" i="6" s="1"/>
  <c r="AF152" i="6" s="1"/>
  <c r="AG152" i="6" s="1"/>
  <c r="AH152" i="6" s="1"/>
  <c r="AI152" i="6" s="1"/>
  <c r="AJ152" i="6" s="1"/>
  <c r="AK152" i="6" s="1"/>
  <c r="AL152" i="6" s="1"/>
  <c r="AM152" i="6" s="1"/>
  <c r="AN152" i="6" s="1"/>
  <c r="AO152" i="6" s="1"/>
  <c r="AP152" i="6" s="1"/>
  <c r="AQ152" i="6" s="1"/>
  <c r="AR152" i="6" s="1"/>
  <c r="AS152" i="6" s="1"/>
  <c r="AT152" i="6" s="1"/>
  <c r="AU152" i="6" s="1"/>
  <c r="AV152" i="6" s="1"/>
  <c r="AW152" i="6" s="1"/>
  <c r="AX152" i="6" s="1"/>
  <c r="AY152" i="6" s="1"/>
  <c r="AZ152" i="6" s="1"/>
  <c r="BA152" i="6" s="1"/>
  <c r="BB152" i="6" s="1"/>
  <c r="BC152" i="6" s="1"/>
  <c r="BD152" i="6" s="1"/>
  <c r="BE152" i="6" s="1"/>
  <c r="BF152" i="6" s="1"/>
  <c r="BG152" i="6" s="1"/>
  <c r="BH152" i="6" s="1"/>
  <c r="BI152" i="6" s="1"/>
  <c r="BJ152" i="6" s="1"/>
  <c r="BK152" i="6" s="1"/>
  <c r="BL152" i="6" s="1"/>
  <c r="BM152" i="6" s="1"/>
  <c r="G143" i="6"/>
  <c r="H143" i="6" s="1"/>
  <c r="I143" i="6" s="1"/>
  <c r="J143" i="6" s="1"/>
  <c r="K143" i="6" s="1"/>
  <c r="L143" i="6" s="1"/>
  <c r="M143" i="6" s="1"/>
  <c r="N143" i="6" s="1"/>
  <c r="O143" i="6" s="1"/>
  <c r="P143" i="6" s="1"/>
  <c r="Q143" i="6" s="1"/>
  <c r="R143" i="6" s="1"/>
  <c r="S143" i="6" s="1"/>
  <c r="T143" i="6" s="1"/>
  <c r="U143" i="6" s="1"/>
  <c r="V143" i="6" s="1"/>
  <c r="W143" i="6" s="1"/>
  <c r="X143" i="6" s="1"/>
  <c r="Y143" i="6" s="1"/>
  <c r="Z143" i="6" s="1"/>
  <c r="AA143" i="6" s="1"/>
  <c r="AB143" i="6" s="1"/>
  <c r="AC143" i="6" s="1"/>
  <c r="AD143" i="6" s="1"/>
  <c r="AE143" i="6" s="1"/>
  <c r="AF143" i="6" s="1"/>
  <c r="AG143" i="6" s="1"/>
  <c r="AH143" i="6" s="1"/>
  <c r="AI143" i="6" s="1"/>
  <c r="AJ143" i="6" s="1"/>
  <c r="AK143" i="6" s="1"/>
  <c r="AL143" i="6" s="1"/>
  <c r="AM143" i="6" s="1"/>
  <c r="AN143" i="6" s="1"/>
  <c r="AO143" i="6" s="1"/>
  <c r="AP143" i="6" s="1"/>
  <c r="AQ143" i="6" s="1"/>
  <c r="AR143" i="6" s="1"/>
  <c r="AS143" i="6" s="1"/>
  <c r="AT143" i="6" s="1"/>
  <c r="AU143" i="6" s="1"/>
  <c r="AV143" i="6" s="1"/>
  <c r="AW143" i="6" s="1"/>
  <c r="AX143" i="6" s="1"/>
  <c r="AY143" i="6" s="1"/>
  <c r="AZ143" i="6" s="1"/>
  <c r="BA143" i="6" s="1"/>
  <c r="BB143" i="6" s="1"/>
  <c r="BC143" i="6" s="1"/>
  <c r="BD143" i="6" s="1"/>
  <c r="BE143" i="6" s="1"/>
  <c r="BF143" i="6" s="1"/>
  <c r="BG143" i="6" s="1"/>
  <c r="BH143" i="6" s="1"/>
  <c r="BI143" i="6" s="1"/>
  <c r="BJ143" i="6" s="1"/>
  <c r="BK143" i="6" s="1"/>
  <c r="BL143" i="6" s="1"/>
  <c r="BM143" i="6" s="1"/>
  <c r="G142" i="6"/>
  <c r="H142" i="6" s="1"/>
  <c r="I142" i="6" s="1"/>
  <c r="J142" i="6" s="1"/>
  <c r="K142" i="6" s="1"/>
  <c r="L142" i="6" s="1"/>
  <c r="M142" i="6" s="1"/>
  <c r="N142" i="6" s="1"/>
  <c r="O142" i="6" s="1"/>
  <c r="P142" i="6" s="1"/>
  <c r="Q142" i="6" s="1"/>
  <c r="R142" i="6" s="1"/>
  <c r="S142" i="6" s="1"/>
  <c r="T142" i="6" s="1"/>
  <c r="U142" i="6" s="1"/>
  <c r="V142" i="6" s="1"/>
  <c r="W142" i="6" s="1"/>
  <c r="X142" i="6" s="1"/>
  <c r="Y142" i="6" s="1"/>
  <c r="Z142" i="6" s="1"/>
  <c r="AA142" i="6" s="1"/>
  <c r="AB142" i="6" s="1"/>
  <c r="AC142" i="6" s="1"/>
  <c r="AD142" i="6" s="1"/>
  <c r="AE142" i="6" s="1"/>
  <c r="AF142" i="6" s="1"/>
  <c r="AG142" i="6" s="1"/>
  <c r="AH142" i="6" s="1"/>
  <c r="AI142" i="6" s="1"/>
  <c r="AJ142" i="6" s="1"/>
  <c r="AK142" i="6" s="1"/>
  <c r="AL142" i="6" s="1"/>
  <c r="AM142" i="6" s="1"/>
  <c r="AN142" i="6" s="1"/>
  <c r="AO142" i="6" s="1"/>
  <c r="AP142" i="6" s="1"/>
  <c r="AQ142" i="6" s="1"/>
  <c r="AR142" i="6" s="1"/>
  <c r="AS142" i="6" s="1"/>
  <c r="AT142" i="6" s="1"/>
  <c r="AU142" i="6" s="1"/>
  <c r="AV142" i="6" s="1"/>
  <c r="AW142" i="6" s="1"/>
  <c r="AX142" i="6" s="1"/>
  <c r="AY142" i="6" s="1"/>
  <c r="AZ142" i="6" s="1"/>
  <c r="BA142" i="6" s="1"/>
  <c r="BB142" i="6" s="1"/>
  <c r="BC142" i="6" s="1"/>
  <c r="BD142" i="6" s="1"/>
  <c r="BE142" i="6" s="1"/>
  <c r="BF142" i="6" s="1"/>
  <c r="BG142" i="6" s="1"/>
  <c r="BH142" i="6" s="1"/>
  <c r="BI142" i="6" s="1"/>
  <c r="BJ142" i="6" s="1"/>
  <c r="BK142" i="6" s="1"/>
  <c r="BL142" i="6" s="1"/>
  <c r="BM142" i="6" s="1"/>
  <c r="G147" i="6"/>
  <c r="H147" i="6" s="1"/>
  <c r="I147" i="6" s="1"/>
  <c r="J147" i="6" s="1"/>
  <c r="K147" i="6" s="1"/>
  <c r="L147" i="6" s="1"/>
  <c r="M147" i="6" s="1"/>
  <c r="N147" i="6" s="1"/>
  <c r="O147" i="6" s="1"/>
  <c r="P147" i="6" s="1"/>
  <c r="Q147" i="6" s="1"/>
  <c r="R147" i="6" s="1"/>
  <c r="S147" i="6" s="1"/>
  <c r="T147" i="6" s="1"/>
  <c r="U147" i="6" s="1"/>
  <c r="V147" i="6" s="1"/>
  <c r="W147" i="6" s="1"/>
  <c r="X147" i="6" s="1"/>
  <c r="Y147" i="6" s="1"/>
  <c r="Z147" i="6" s="1"/>
  <c r="AA147" i="6" s="1"/>
  <c r="AB147" i="6" s="1"/>
  <c r="AC147" i="6" s="1"/>
  <c r="AD147" i="6" s="1"/>
  <c r="AE147" i="6" s="1"/>
  <c r="AF147" i="6" s="1"/>
  <c r="AG147" i="6" s="1"/>
  <c r="AH147" i="6" s="1"/>
  <c r="AI147" i="6" s="1"/>
  <c r="AJ147" i="6" s="1"/>
  <c r="AK147" i="6" s="1"/>
  <c r="AL147" i="6" s="1"/>
  <c r="AM147" i="6" s="1"/>
  <c r="AN147" i="6" s="1"/>
  <c r="AO147" i="6" s="1"/>
  <c r="AP147" i="6" s="1"/>
  <c r="AQ147" i="6" s="1"/>
  <c r="AR147" i="6" s="1"/>
  <c r="AS147" i="6" s="1"/>
  <c r="AT147" i="6" s="1"/>
  <c r="AU147" i="6" s="1"/>
  <c r="AV147" i="6" s="1"/>
  <c r="AW147" i="6" s="1"/>
  <c r="AX147" i="6" s="1"/>
  <c r="AY147" i="6" s="1"/>
  <c r="AZ147" i="6" s="1"/>
  <c r="BA147" i="6" s="1"/>
  <c r="BB147" i="6" s="1"/>
  <c r="BC147" i="6" s="1"/>
  <c r="BD147" i="6" s="1"/>
  <c r="BE147" i="6" s="1"/>
  <c r="BF147" i="6" s="1"/>
  <c r="BG147" i="6" s="1"/>
  <c r="BH147" i="6" s="1"/>
  <c r="BI147" i="6" s="1"/>
  <c r="BJ147" i="6" s="1"/>
  <c r="BK147" i="6" s="1"/>
  <c r="BL147" i="6" s="1"/>
  <c r="BM147" i="6" s="1"/>
  <c r="G138" i="6"/>
  <c r="H138" i="6" s="1"/>
  <c r="I138" i="6" s="1"/>
  <c r="J138" i="6" s="1"/>
  <c r="K138" i="6" s="1"/>
  <c r="L138" i="6" s="1"/>
  <c r="M138" i="6" s="1"/>
  <c r="N138" i="6" s="1"/>
  <c r="O138" i="6" s="1"/>
  <c r="P138" i="6" s="1"/>
  <c r="Q138" i="6" s="1"/>
  <c r="R138" i="6" s="1"/>
  <c r="S138" i="6" s="1"/>
  <c r="T138" i="6" s="1"/>
  <c r="U138" i="6" s="1"/>
  <c r="V138" i="6" s="1"/>
  <c r="W138" i="6" s="1"/>
  <c r="X138" i="6" s="1"/>
  <c r="Y138" i="6" s="1"/>
  <c r="Z138" i="6" s="1"/>
  <c r="AA138" i="6" s="1"/>
  <c r="AB138" i="6" s="1"/>
  <c r="AC138" i="6" s="1"/>
  <c r="AD138" i="6" s="1"/>
  <c r="AE138" i="6" s="1"/>
  <c r="AF138" i="6" s="1"/>
  <c r="AG138" i="6" s="1"/>
  <c r="AH138" i="6" s="1"/>
  <c r="AI138" i="6" s="1"/>
  <c r="AJ138" i="6" s="1"/>
  <c r="AK138" i="6" s="1"/>
  <c r="AL138" i="6" s="1"/>
  <c r="AM138" i="6" s="1"/>
  <c r="AN138" i="6" s="1"/>
  <c r="AO138" i="6" s="1"/>
  <c r="AP138" i="6" s="1"/>
  <c r="AQ138" i="6" s="1"/>
  <c r="AR138" i="6" s="1"/>
  <c r="AS138" i="6" s="1"/>
  <c r="AT138" i="6" s="1"/>
  <c r="AU138" i="6" s="1"/>
  <c r="AV138" i="6" s="1"/>
  <c r="AW138" i="6" s="1"/>
  <c r="AX138" i="6" s="1"/>
  <c r="AY138" i="6" s="1"/>
  <c r="AZ138" i="6" s="1"/>
  <c r="BA138" i="6" s="1"/>
  <c r="BB138" i="6" s="1"/>
  <c r="BC138" i="6" s="1"/>
  <c r="BD138" i="6" s="1"/>
  <c r="BE138" i="6" s="1"/>
  <c r="BF138" i="6" s="1"/>
  <c r="BG138" i="6" s="1"/>
  <c r="BH138" i="6" s="1"/>
  <c r="BI138" i="6" s="1"/>
  <c r="BJ138" i="6" s="1"/>
  <c r="BK138" i="6" s="1"/>
  <c r="BL138" i="6" s="1"/>
  <c r="BM138" i="6" s="1"/>
  <c r="G137" i="6"/>
  <c r="H137" i="6" s="1"/>
  <c r="I137" i="6" s="1"/>
  <c r="J137" i="6" s="1"/>
  <c r="K137" i="6" s="1"/>
  <c r="L137" i="6" s="1"/>
  <c r="M137" i="6" s="1"/>
  <c r="N137" i="6" s="1"/>
  <c r="O137" i="6" s="1"/>
  <c r="P137" i="6" s="1"/>
  <c r="Q137" i="6" s="1"/>
  <c r="R137" i="6" s="1"/>
  <c r="S137" i="6" s="1"/>
  <c r="T137" i="6" s="1"/>
  <c r="U137" i="6" s="1"/>
  <c r="V137" i="6" s="1"/>
  <c r="W137" i="6" s="1"/>
  <c r="X137" i="6" s="1"/>
  <c r="Y137" i="6" s="1"/>
  <c r="Z137" i="6" s="1"/>
  <c r="AA137" i="6" s="1"/>
  <c r="AB137" i="6" s="1"/>
  <c r="AC137" i="6" s="1"/>
  <c r="AD137" i="6" s="1"/>
  <c r="AE137" i="6" s="1"/>
  <c r="AF137" i="6" s="1"/>
  <c r="AG137" i="6" s="1"/>
  <c r="AH137" i="6" s="1"/>
  <c r="AI137" i="6" s="1"/>
  <c r="AJ137" i="6" s="1"/>
  <c r="AK137" i="6" s="1"/>
  <c r="AL137" i="6" s="1"/>
  <c r="AM137" i="6" s="1"/>
  <c r="AN137" i="6" s="1"/>
  <c r="AO137" i="6" s="1"/>
  <c r="AP137" i="6" s="1"/>
  <c r="AQ137" i="6" s="1"/>
  <c r="AR137" i="6" s="1"/>
  <c r="AS137" i="6" s="1"/>
  <c r="AT137" i="6" s="1"/>
  <c r="AU137" i="6" s="1"/>
  <c r="AV137" i="6" s="1"/>
  <c r="AW137" i="6" s="1"/>
  <c r="AX137" i="6" s="1"/>
  <c r="AY137" i="6" s="1"/>
  <c r="AZ137" i="6" s="1"/>
  <c r="BA137" i="6" s="1"/>
  <c r="BB137" i="6" s="1"/>
  <c r="BC137" i="6" s="1"/>
  <c r="BD137" i="6" s="1"/>
  <c r="BE137" i="6" s="1"/>
  <c r="BF137" i="6" s="1"/>
  <c r="BG137" i="6" s="1"/>
  <c r="BH137" i="6" s="1"/>
  <c r="BI137" i="6" s="1"/>
  <c r="BJ137" i="6" s="1"/>
  <c r="BK137" i="6" s="1"/>
  <c r="BL137" i="6" s="1"/>
  <c r="BM137" i="6" s="1"/>
  <c r="G153" i="6"/>
  <c r="H153" i="6" s="1"/>
  <c r="I153" i="6" s="1"/>
  <c r="J153" i="6" s="1"/>
  <c r="K153" i="6" s="1"/>
  <c r="L153" i="6" s="1"/>
  <c r="M153" i="6" s="1"/>
  <c r="N153" i="6" s="1"/>
  <c r="O153" i="6" s="1"/>
  <c r="P153" i="6" s="1"/>
  <c r="Q153" i="6" s="1"/>
  <c r="R153" i="6" s="1"/>
  <c r="S153" i="6" s="1"/>
  <c r="T153" i="6" s="1"/>
  <c r="U153" i="6" s="1"/>
  <c r="V153" i="6" s="1"/>
  <c r="W153" i="6" s="1"/>
  <c r="X153" i="6" s="1"/>
  <c r="Y153" i="6" s="1"/>
  <c r="Z153" i="6" s="1"/>
  <c r="AA153" i="6" s="1"/>
  <c r="AB153" i="6" s="1"/>
  <c r="AC153" i="6" s="1"/>
  <c r="AD153" i="6" s="1"/>
  <c r="AE153" i="6" s="1"/>
  <c r="AF153" i="6" s="1"/>
  <c r="AG153" i="6" s="1"/>
  <c r="AH153" i="6" s="1"/>
  <c r="AI153" i="6" s="1"/>
  <c r="AJ153" i="6" s="1"/>
  <c r="AK153" i="6" s="1"/>
  <c r="AL153" i="6" s="1"/>
  <c r="AM153" i="6" s="1"/>
  <c r="AN153" i="6" s="1"/>
  <c r="AO153" i="6" s="1"/>
  <c r="AP153" i="6" s="1"/>
  <c r="AQ153" i="6" s="1"/>
  <c r="AR153" i="6" s="1"/>
  <c r="AS153" i="6" s="1"/>
  <c r="AT153" i="6" s="1"/>
  <c r="AU153" i="6" s="1"/>
  <c r="AV153" i="6" s="1"/>
  <c r="AW153" i="6" s="1"/>
  <c r="AX153" i="6" s="1"/>
  <c r="AY153" i="6" s="1"/>
  <c r="AZ153" i="6" s="1"/>
  <c r="BA153" i="6" s="1"/>
  <c r="BB153" i="6" s="1"/>
  <c r="BC153" i="6" s="1"/>
  <c r="BD153" i="6" s="1"/>
  <c r="BE153" i="6" s="1"/>
  <c r="BF153" i="6" s="1"/>
  <c r="BG153" i="6" s="1"/>
  <c r="BH153" i="6" s="1"/>
  <c r="BI153" i="6" s="1"/>
  <c r="BJ153" i="6" s="1"/>
  <c r="BK153" i="6" s="1"/>
  <c r="BL153" i="6" s="1"/>
  <c r="BM153" i="6" s="1"/>
  <c r="G156" i="6"/>
  <c r="H156" i="6" s="1"/>
  <c r="I156" i="6" s="1"/>
  <c r="J156" i="6" s="1"/>
  <c r="K156" i="6" s="1"/>
  <c r="L156" i="6" s="1"/>
  <c r="M156" i="6" s="1"/>
  <c r="N156" i="6" s="1"/>
  <c r="O156" i="6" s="1"/>
  <c r="P156" i="6" s="1"/>
  <c r="Q156" i="6" s="1"/>
  <c r="R156" i="6" s="1"/>
  <c r="S156" i="6" s="1"/>
  <c r="T156" i="6" s="1"/>
  <c r="U156" i="6" s="1"/>
  <c r="V156" i="6" s="1"/>
  <c r="W156" i="6" s="1"/>
  <c r="X156" i="6" s="1"/>
  <c r="Y156" i="6" s="1"/>
  <c r="Z156" i="6" s="1"/>
  <c r="AA156" i="6" s="1"/>
  <c r="AB156" i="6" s="1"/>
  <c r="AC156" i="6" s="1"/>
  <c r="AD156" i="6" s="1"/>
  <c r="AE156" i="6" s="1"/>
  <c r="AF156" i="6" s="1"/>
  <c r="AG156" i="6" s="1"/>
  <c r="AH156" i="6" s="1"/>
  <c r="AI156" i="6" s="1"/>
  <c r="AJ156" i="6" s="1"/>
  <c r="AK156" i="6" s="1"/>
  <c r="AL156" i="6" s="1"/>
  <c r="AM156" i="6" s="1"/>
  <c r="AN156" i="6" s="1"/>
  <c r="AO156" i="6" s="1"/>
  <c r="AP156" i="6" s="1"/>
  <c r="AQ156" i="6" s="1"/>
  <c r="AR156" i="6" s="1"/>
  <c r="AS156" i="6" s="1"/>
  <c r="AT156" i="6" s="1"/>
  <c r="AU156" i="6" s="1"/>
  <c r="AV156" i="6" s="1"/>
  <c r="AW156" i="6" s="1"/>
  <c r="AX156" i="6" s="1"/>
  <c r="AY156" i="6" s="1"/>
  <c r="AZ156" i="6" s="1"/>
  <c r="BA156" i="6" s="1"/>
  <c r="BB156" i="6" s="1"/>
  <c r="BC156" i="6" s="1"/>
  <c r="BD156" i="6" s="1"/>
  <c r="BE156" i="6" s="1"/>
  <c r="BF156" i="6" s="1"/>
  <c r="BG156" i="6" s="1"/>
  <c r="BH156" i="6" s="1"/>
  <c r="BI156" i="6" s="1"/>
  <c r="BJ156" i="6" s="1"/>
  <c r="BK156" i="6" s="1"/>
  <c r="BL156" i="6" s="1"/>
  <c r="BM156" i="6" s="1"/>
  <c r="G171" i="6"/>
  <c r="H171" i="6" s="1"/>
  <c r="I171" i="6" s="1"/>
  <c r="J171" i="6" s="1"/>
  <c r="K171" i="6" s="1"/>
  <c r="L171" i="6" s="1"/>
  <c r="M171" i="6" s="1"/>
  <c r="N171" i="6" s="1"/>
  <c r="O171" i="6" s="1"/>
  <c r="P171" i="6" s="1"/>
  <c r="Q171" i="6" s="1"/>
  <c r="R171" i="6" s="1"/>
  <c r="S171" i="6" s="1"/>
  <c r="T171" i="6" s="1"/>
  <c r="U171" i="6" s="1"/>
  <c r="V171" i="6" s="1"/>
  <c r="W171" i="6" s="1"/>
  <c r="X171" i="6" s="1"/>
  <c r="Y171" i="6" s="1"/>
  <c r="Z171" i="6" s="1"/>
  <c r="AA171" i="6" s="1"/>
  <c r="AB171" i="6" s="1"/>
  <c r="AC171" i="6" s="1"/>
  <c r="AD171" i="6" s="1"/>
  <c r="AE171" i="6" s="1"/>
  <c r="AF171" i="6" s="1"/>
  <c r="AG171" i="6" s="1"/>
  <c r="AH171" i="6" s="1"/>
  <c r="AI171" i="6" s="1"/>
  <c r="AJ171" i="6" s="1"/>
  <c r="AK171" i="6" s="1"/>
  <c r="AL171" i="6" s="1"/>
  <c r="AM171" i="6" s="1"/>
  <c r="AN171" i="6" s="1"/>
  <c r="AO171" i="6" s="1"/>
  <c r="AP171" i="6" s="1"/>
  <c r="AQ171" i="6" s="1"/>
  <c r="AR171" i="6" s="1"/>
  <c r="AS171" i="6" s="1"/>
  <c r="AT171" i="6" s="1"/>
  <c r="AU171" i="6" s="1"/>
  <c r="AV171" i="6" s="1"/>
  <c r="AW171" i="6" s="1"/>
  <c r="AX171" i="6" s="1"/>
  <c r="AY171" i="6" s="1"/>
  <c r="AZ171" i="6" s="1"/>
  <c r="BA171" i="6" s="1"/>
  <c r="BB171" i="6" s="1"/>
  <c r="BC171" i="6" s="1"/>
  <c r="BD171" i="6" s="1"/>
  <c r="BE171" i="6" s="1"/>
  <c r="BF171" i="6" s="1"/>
  <c r="BG171" i="6" s="1"/>
  <c r="BH171" i="6" s="1"/>
  <c r="BI171" i="6" s="1"/>
  <c r="BJ171" i="6" s="1"/>
  <c r="BK171" i="6" s="1"/>
  <c r="BL171" i="6" s="1"/>
  <c r="BM171" i="6" s="1"/>
  <c r="AA55" i="6"/>
  <c r="AA48" i="6"/>
  <c r="AB46" i="6"/>
  <c r="BN175" i="6"/>
  <c r="BN135" i="6"/>
  <c r="BN45" i="6"/>
  <c r="BN49" i="6"/>
  <c r="BN43" i="6"/>
  <c r="BL13" i="70"/>
  <c r="Y26" i="70"/>
  <c r="I29" i="20"/>
  <c r="BM145" i="71"/>
  <c r="BN30" i="2"/>
  <c r="AS174" i="23"/>
  <c r="AS175" i="23" s="1"/>
  <c r="AR170" i="23"/>
  <c r="AS169" i="23" s="1"/>
  <c r="AV162" i="23"/>
  <c r="AV164" i="23"/>
  <c r="I6" i="32"/>
  <c r="BR8" i="23"/>
  <c r="BS6" i="23"/>
  <c r="BO7" i="2"/>
  <c r="BO31" i="2" s="1"/>
  <c r="BN5" i="2"/>
  <c r="BN5" i="19"/>
  <c r="BN13" i="19" s="1"/>
  <c r="BM9" i="19"/>
  <c r="I6" i="21"/>
  <c r="BL11" i="19"/>
  <c r="BL15" i="19" s="1"/>
  <c r="BL10" i="19"/>
  <c r="BN171" i="6" l="1"/>
  <c r="AA59" i="6"/>
  <c r="AB58" i="6"/>
  <c r="AC51" i="6"/>
  <c r="BP6" i="6"/>
  <c r="BO6" i="30"/>
  <c r="AB57" i="6"/>
  <c r="AC50" i="6"/>
  <c r="AC54" i="6"/>
  <c r="AD44" i="6"/>
  <c r="AB56" i="6"/>
  <c r="AC47" i="6"/>
  <c r="BN177" i="6"/>
  <c r="BN176" i="6"/>
  <c r="BN172" i="6"/>
  <c r="BN167" i="6"/>
  <c r="BN166" i="6"/>
  <c r="BN162" i="6"/>
  <c r="BN161" i="6"/>
  <c r="BN153" i="6"/>
  <c r="BN152" i="6"/>
  <c r="BN156" i="6"/>
  <c r="BN148" i="6"/>
  <c r="BN143" i="6"/>
  <c r="BN142" i="6"/>
  <c r="BN157" i="6"/>
  <c r="BN147" i="6"/>
  <c r="BN137" i="6"/>
  <c r="BN138" i="6"/>
  <c r="AB55" i="6"/>
  <c r="AB48" i="6"/>
  <c r="AC46" i="6"/>
  <c r="BO175" i="6"/>
  <c r="BO135" i="6"/>
  <c r="BO49" i="6"/>
  <c r="BO45" i="6"/>
  <c r="BO43" i="6"/>
  <c r="BM13" i="70"/>
  <c r="Z26" i="70"/>
  <c r="BN145" i="71"/>
  <c r="BO30" i="2"/>
  <c r="AS167" i="23"/>
  <c r="AS170" i="23" s="1"/>
  <c r="AT169" i="23" s="1"/>
  <c r="AR176" i="23"/>
  <c r="AV165" i="23"/>
  <c r="AT174" i="23"/>
  <c r="AT172" i="23"/>
  <c r="BT6" i="23"/>
  <c r="BT8" i="23" s="1"/>
  <c r="BS8" i="23"/>
  <c r="BM10" i="19"/>
  <c r="BM11" i="19"/>
  <c r="BM15" i="19" s="1"/>
  <c r="BP7" i="2"/>
  <c r="BP31" i="2" s="1"/>
  <c r="BO5" i="2"/>
  <c r="BO5" i="19"/>
  <c r="BO13" i="19" s="1"/>
  <c r="BN9" i="19"/>
  <c r="BO171" i="6" l="1"/>
  <c r="AB59" i="6"/>
  <c r="BP175" i="6"/>
  <c r="BP135" i="6"/>
  <c r="BP49" i="6"/>
  <c r="BP45" i="6"/>
  <c r="BP43" i="6"/>
  <c r="AC57" i="6"/>
  <c r="AD50" i="6"/>
  <c r="AC58" i="6"/>
  <c r="AD51" i="6"/>
  <c r="AC56" i="6"/>
  <c r="AD47" i="6"/>
  <c r="BO177" i="6"/>
  <c r="BO176" i="6"/>
  <c r="BO167" i="6"/>
  <c r="BO166" i="6"/>
  <c r="BO162" i="6"/>
  <c r="BO161" i="6"/>
  <c r="BO157" i="6"/>
  <c r="BO153" i="6"/>
  <c r="BO156" i="6"/>
  <c r="BO148" i="6"/>
  <c r="BO152" i="6"/>
  <c r="BO143" i="6"/>
  <c r="BO142" i="6"/>
  <c r="BO138" i="6"/>
  <c r="BO137" i="6"/>
  <c r="BO172" i="6"/>
  <c r="BO147" i="6"/>
  <c r="BQ6" i="6"/>
  <c r="BP6" i="30"/>
  <c r="AD54" i="6"/>
  <c r="AE44" i="6"/>
  <c r="AC55" i="6"/>
  <c r="AC48" i="6"/>
  <c r="AD46" i="6"/>
  <c r="F27" i="70"/>
  <c r="E43" i="70" s="1"/>
  <c r="BN13" i="70"/>
  <c r="AA26" i="70"/>
  <c r="BO145" i="71"/>
  <c r="BP30" i="2"/>
  <c r="AS176" i="23"/>
  <c r="AT167" i="23"/>
  <c r="AT170" i="23" s="1"/>
  <c r="AU167" i="23" s="1"/>
  <c r="AW162" i="23"/>
  <c r="AW164" i="23"/>
  <c r="AT175" i="23"/>
  <c r="BP5" i="19"/>
  <c r="BP13" i="19" s="1"/>
  <c r="BO9" i="19"/>
  <c r="BQ7" i="2"/>
  <c r="BQ31" i="2" s="1"/>
  <c r="BP5" i="2"/>
  <c r="BN11" i="19"/>
  <c r="BN15" i="19"/>
  <c r="BN10" i="19"/>
  <c r="BP171" i="6" l="1"/>
  <c r="AC59" i="6"/>
  <c r="AD57" i="6"/>
  <c r="F41" i="21" s="1"/>
  <c r="AE50" i="6"/>
  <c r="AD48" i="6"/>
  <c r="AD55" i="6"/>
  <c r="AE46" i="6"/>
  <c r="BR6" i="6"/>
  <c r="BQ6" i="30"/>
  <c r="BP177" i="6"/>
  <c r="BP176" i="6"/>
  <c r="BP167" i="6"/>
  <c r="BP166" i="6"/>
  <c r="BP162" i="6"/>
  <c r="BP161" i="6"/>
  <c r="BP157" i="6"/>
  <c r="BP156" i="6"/>
  <c r="BP148" i="6"/>
  <c r="BP147" i="6"/>
  <c r="BP172" i="6"/>
  <c r="BP152" i="6"/>
  <c r="BP143" i="6"/>
  <c r="BP142" i="6"/>
  <c r="BP138" i="6"/>
  <c r="BP137" i="6"/>
  <c r="BP153" i="6"/>
  <c r="BQ175" i="6"/>
  <c r="BQ135" i="6"/>
  <c r="BQ171" i="6" s="1"/>
  <c r="BQ49" i="6"/>
  <c r="BQ45" i="6"/>
  <c r="BQ43" i="6"/>
  <c r="F38" i="21"/>
  <c r="AD56" i="6"/>
  <c r="F40" i="21" s="1"/>
  <c r="AE47" i="6"/>
  <c r="AE54" i="6"/>
  <c r="AF44" i="6"/>
  <c r="AD58" i="6"/>
  <c r="AE51" i="6"/>
  <c r="H27" i="70"/>
  <c r="AB26" i="70"/>
  <c r="G27" i="70"/>
  <c r="BO13" i="70"/>
  <c r="BP145" i="71"/>
  <c r="BQ30" i="2"/>
  <c r="AU169" i="23"/>
  <c r="AU170" i="23" s="1"/>
  <c r="AW165" i="23"/>
  <c r="AT176" i="23"/>
  <c r="AU172" i="23"/>
  <c r="AU174" i="23"/>
  <c r="AC26" i="70"/>
  <c r="BQ5" i="2"/>
  <c r="BR7" i="2"/>
  <c r="BR31" i="2" s="1"/>
  <c r="BO11" i="19"/>
  <c r="BO15" i="19" s="1"/>
  <c r="BO10" i="19"/>
  <c r="BQ5" i="19"/>
  <c r="BQ13" i="19" s="1"/>
  <c r="BP9" i="19"/>
  <c r="AE56" i="6" l="1"/>
  <c r="AF47" i="6"/>
  <c r="AD59" i="6"/>
  <c r="AE57" i="6"/>
  <c r="AF50" i="6"/>
  <c r="BR175" i="6"/>
  <c r="BR135" i="6"/>
  <c r="BR49" i="6"/>
  <c r="BR45" i="6"/>
  <c r="BR43" i="6"/>
  <c r="BS6" i="6"/>
  <c r="BR6" i="30"/>
  <c r="AE48" i="6"/>
  <c r="AE55" i="6"/>
  <c r="AF46" i="6"/>
  <c r="BQ176" i="6"/>
  <c r="BQ177" i="6"/>
  <c r="BQ162" i="6"/>
  <c r="BQ161" i="6"/>
  <c r="BQ157" i="6"/>
  <c r="BQ156" i="6"/>
  <c r="BQ152" i="6"/>
  <c r="BQ148" i="6"/>
  <c r="BQ143" i="6"/>
  <c r="BQ142" i="6"/>
  <c r="BQ138" i="6"/>
  <c r="BQ137" i="6"/>
  <c r="BQ166" i="6"/>
  <c r="BQ147" i="6"/>
  <c r="BQ167" i="6"/>
  <c r="BQ153" i="6"/>
  <c r="BQ172" i="6"/>
  <c r="AE58" i="6"/>
  <c r="AF51" i="6"/>
  <c r="AF54" i="6"/>
  <c r="AG44" i="6"/>
  <c r="BP13" i="70"/>
  <c r="I27" i="70"/>
  <c r="BQ145" i="71"/>
  <c r="Z142" i="69"/>
  <c r="BR30" i="2"/>
  <c r="AX164" i="23"/>
  <c r="AX162" i="23"/>
  <c r="AU175" i="23"/>
  <c r="AV172" i="23" s="1"/>
  <c r="AV169" i="23"/>
  <c r="AV167" i="23"/>
  <c r="F42" i="21"/>
  <c r="F39" i="21"/>
  <c r="BP11" i="19"/>
  <c r="BP15" i="19" s="1"/>
  <c r="BP10" i="19"/>
  <c r="BR5" i="19"/>
  <c r="BR13" i="19" s="1"/>
  <c r="BQ9" i="19"/>
  <c r="BR5" i="2"/>
  <c r="BS7" i="2"/>
  <c r="BS31" i="2" s="1"/>
  <c r="AE59" i="6" l="1"/>
  <c r="AF58" i="6"/>
  <c r="AG51" i="6"/>
  <c r="BS175" i="6"/>
  <c r="BS135" i="6"/>
  <c r="BS49" i="6"/>
  <c r="BS45" i="6"/>
  <c r="BS43" i="6"/>
  <c r="AF57" i="6"/>
  <c r="AG50" i="6"/>
  <c r="BT6" i="6"/>
  <c r="BS6" i="30"/>
  <c r="AF48" i="6"/>
  <c r="AF55" i="6"/>
  <c r="AG46" i="6"/>
  <c r="AF56" i="6"/>
  <c r="AG47" i="6"/>
  <c r="BR177" i="6"/>
  <c r="BR176" i="6"/>
  <c r="BR162" i="6"/>
  <c r="BR161" i="6"/>
  <c r="BR157" i="6"/>
  <c r="BR156" i="6"/>
  <c r="BR153" i="6"/>
  <c r="BR152" i="6"/>
  <c r="BR172" i="6"/>
  <c r="BR167" i="6"/>
  <c r="BR166" i="6"/>
  <c r="BR148" i="6"/>
  <c r="BR143" i="6"/>
  <c r="BR142" i="6"/>
  <c r="BR138" i="6"/>
  <c r="BR137" i="6"/>
  <c r="BR147" i="6"/>
  <c r="AG54" i="6"/>
  <c r="AH44" i="6"/>
  <c r="BR171" i="6"/>
  <c r="BQ13" i="70"/>
  <c r="AD26" i="70"/>
  <c r="J27" i="70"/>
  <c r="F43" i="21"/>
  <c r="BR145" i="71"/>
  <c r="BS30" i="2"/>
  <c r="AX165" i="23"/>
  <c r="AU176" i="23"/>
  <c r="AV170" i="23"/>
  <c r="AW169" i="23" s="1"/>
  <c r="AV174" i="23"/>
  <c r="AV175" i="23" s="1"/>
  <c r="AE26" i="70"/>
  <c r="K27" i="70"/>
  <c r="BS5" i="19"/>
  <c r="BS13" i="19" s="1"/>
  <c r="BR9" i="19"/>
  <c r="BS5" i="2"/>
  <c r="BT7" i="2"/>
  <c r="BT31" i="2" s="1"/>
  <c r="D30" i="17"/>
  <c r="D32" i="17"/>
  <c r="E8" i="55" s="1"/>
  <c r="D31" i="17"/>
  <c r="BQ10" i="19"/>
  <c r="BQ11" i="19"/>
  <c r="BQ15" i="19" s="1"/>
  <c r="AF59" i="6" l="1"/>
  <c r="R35" i="6"/>
  <c r="DZ33" i="6"/>
  <c r="DN33" i="6"/>
  <c r="DB33" i="6"/>
  <c r="CP33" i="6"/>
  <c r="CD33" i="6"/>
  <c r="BR33" i="6"/>
  <c r="BF33" i="6"/>
  <c r="AT33" i="6"/>
  <c r="AH33" i="6"/>
  <c r="V33" i="6"/>
  <c r="J33" i="6"/>
  <c r="DY33" i="6"/>
  <c r="DM33" i="6"/>
  <c r="DA33" i="6"/>
  <c r="CO33" i="6"/>
  <c r="CC33" i="6"/>
  <c r="BQ33" i="6"/>
  <c r="BE33" i="6"/>
  <c r="AS33" i="6"/>
  <c r="AG33" i="6"/>
  <c r="U33" i="6"/>
  <c r="I33" i="6"/>
  <c r="DX33" i="6"/>
  <c r="DL33" i="6"/>
  <c r="CZ33" i="6"/>
  <c r="CN33" i="6"/>
  <c r="CB33" i="6"/>
  <c r="BP33" i="6"/>
  <c r="BD33" i="6"/>
  <c r="AR33" i="6"/>
  <c r="AF33" i="6"/>
  <c r="T33" i="6"/>
  <c r="H33" i="6"/>
  <c r="DW33" i="6"/>
  <c r="DK33" i="6"/>
  <c r="CY33" i="6"/>
  <c r="CM33" i="6"/>
  <c r="CA33" i="6"/>
  <c r="BO33" i="6"/>
  <c r="BC33" i="6"/>
  <c r="AQ33" i="6"/>
  <c r="AE33" i="6"/>
  <c r="S33" i="6"/>
  <c r="G33" i="6"/>
  <c r="EH33" i="6"/>
  <c r="DV33" i="6"/>
  <c r="DJ33" i="6"/>
  <c r="CX33" i="6"/>
  <c r="CL33" i="6"/>
  <c r="BZ33" i="6"/>
  <c r="BN33" i="6"/>
  <c r="BB33" i="6"/>
  <c r="AP33" i="6"/>
  <c r="AD33" i="6"/>
  <c r="R33" i="6"/>
  <c r="EE33" i="6"/>
  <c r="DI33" i="6"/>
  <c r="CR33" i="6"/>
  <c r="BV33" i="6"/>
  <c r="AZ33" i="6"/>
  <c r="AI33" i="6"/>
  <c r="M33" i="6"/>
  <c r="BY33" i="6"/>
  <c r="ED33" i="6"/>
  <c r="DH33" i="6"/>
  <c r="CQ33" i="6"/>
  <c r="BU33" i="6"/>
  <c r="AY33" i="6"/>
  <c r="AC33" i="6"/>
  <c r="L33" i="6"/>
  <c r="BH33" i="6"/>
  <c r="EF33" i="6"/>
  <c r="EC33" i="6"/>
  <c r="DG33" i="6"/>
  <c r="CK33" i="6"/>
  <c r="BT33" i="6"/>
  <c r="AX33" i="6"/>
  <c r="AB33" i="6"/>
  <c r="K33" i="6"/>
  <c r="CU33" i="6"/>
  <c r="BA33" i="6"/>
  <c r="EB33" i="6"/>
  <c r="DF33" i="6"/>
  <c r="CJ33" i="6"/>
  <c r="BS33" i="6"/>
  <c r="AW33" i="6"/>
  <c r="AA33" i="6"/>
  <c r="AL33" i="6"/>
  <c r="DO33" i="6"/>
  <c r="EA33" i="6"/>
  <c r="DE33" i="6"/>
  <c r="CI33" i="6"/>
  <c r="BM33" i="6"/>
  <c r="AV33" i="6"/>
  <c r="Z33" i="6"/>
  <c r="P33" i="6"/>
  <c r="N33" i="6"/>
  <c r="DU33" i="6"/>
  <c r="DD33" i="6"/>
  <c r="CH33" i="6"/>
  <c r="BL33" i="6"/>
  <c r="AU33" i="6"/>
  <c r="Y33" i="6"/>
  <c r="DT33" i="6"/>
  <c r="DC33" i="6"/>
  <c r="CG33" i="6"/>
  <c r="BK33" i="6"/>
  <c r="AO33" i="6"/>
  <c r="X33" i="6"/>
  <c r="BW33" i="6"/>
  <c r="DS33" i="6"/>
  <c r="CW33" i="6"/>
  <c r="CF33" i="6"/>
  <c r="BJ33" i="6"/>
  <c r="AN33" i="6"/>
  <c r="W33" i="6"/>
  <c r="DR33" i="6"/>
  <c r="CV33" i="6"/>
  <c r="CE33" i="6"/>
  <c r="BI33" i="6"/>
  <c r="AM33" i="6"/>
  <c r="Q33" i="6"/>
  <c r="DQ33" i="6"/>
  <c r="AJ33" i="6"/>
  <c r="EG33" i="6"/>
  <c r="DP33" i="6"/>
  <c r="CT33" i="6"/>
  <c r="BX33" i="6"/>
  <c r="BG33" i="6"/>
  <c r="AK33" i="6"/>
  <c r="O33" i="6"/>
  <c r="EF178" i="6"/>
  <c r="CS33" i="6"/>
  <c r="BB178" i="6"/>
  <c r="BN139" i="6"/>
  <c r="BZ139" i="6"/>
  <c r="DJ178" i="6"/>
  <c r="DV163" i="6"/>
  <c r="EH158" i="6"/>
  <c r="T35" i="6"/>
  <c r="AR149" i="6"/>
  <c r="BD139" i="6"/>
  <c r="CB144" i="6"/>
  <c r="DL163" i="6"/>
  <c r="DX158" i="6"/>
  <c r="J149" i="6"/>
  <c r="V149" i="6"/>
  <c r="BF163" i="6"/>
  <c r="BR178" i="6"/>
  <c r="CD178" i="6"/>
  <c r="DZ178" i="6"/>
  <c r="K178" i="6"/>
  <c r="BS144" i="6"/>
  <c r="CE158" i="6"/>
  <c r="EA158" i="6"/>
  <c r="G144" i="6"/>
  <c r="AQ158" i="6"/>
  <c r="CM163" i="6"/>
  <c r="AG149" i="6"/>
  <c r="AS163" i="6"/>
  <c r="BE163" i="6"/>
  <c r="BQ139" i="6"/>
  <c r="DA158" i="6"/>
  <c r="DM149" i="6"/>
  <c r="DY149" i="6"/>
  <c r="L163" i="6"/>
  <c r="X178" i="6"/>
  <c r="BT158" i="6"/>
  <c r="CF139" i="6"/>
  <c r="CR163" i="6"/>
  <c r="DD163" i="6"/>
  <c r="M144" i="6"/>
  <c r="Y178" i="6"/>
  <c r="BI144" i="6"/>
  <c r="DE158" i="6"/>
  <c r="DQ178" i="6"/>
  <c r="AL149" i="6"/>
  <c r="AX178" i="6"/>
  <c r="BJ144" i="6"/>
  <c r="CH149" i="6"/>
  <c r="CT178" i="6"/>
  <c r="ED149" i="6"/>
  <c r="AA178" i="6"/>
  <c r="BW158" i="6"/>
  <c r="CI149" i="6"/>
  <c r="DG144" i="6"/>
  <c r="DS163" i="6"/>
  <c r="P149" i="6"/>
  <c r="AB144" i="6"/>
  <c r="AN149" i="6"/>
  <c r="BL178" i="6"/>
  <c r="BX144" i="6"/>
  <c r="CJ149" i="6"/>
  <c r="DT158" i="6"/>
  <c r="P35" i="6"/>
  <c r="AC178" i="6"/>
  <c r="AO139" i="6"/>
  <c r="BA139" i="6"/>
  <c r="BY163" i="6"/>
  <c r="CK149" i="6"/>
  <c r="DI178" i="6"/>
  <c r="DU158" i="6"/>
  <c r="EG158" i="6"/>
  <c r="R144" i="6"/>
  <c r="BB158" i="6"/>
  <c r="BN149" i="6"/>
  <c r="DJ144" i="6"/>
  <c r="DV158" i="6"/>
  <c r="AF178" i="6"/>
  <c r="AR163" i="6"/>
  <c r="BD163" i="6"/>
  <c r="CZ178" i="6"/>
  <c r="DL158" i="6"/>
  <c r="DX144" i="6"/>
  <c r="J139" i="6"/>
  <c r="BF178" i="6"/>
  <c r="BR144" i="6"/>
  <c r="DN163" i="6"/>
  <c r="DZ158" i="6"/>
  <c r="K158" i="6"/>
  <c r="W158" i="6"/>
  <c r="BG149" i="6"/>
  <c r="BS163" i="6"/>
  <c r="CQ178" i="6"/>
  <c r="DO163" i="6"/>
  <c r="EA139" i="6"/>
  <c r="G163" i="6"/>
  <c r="AQ149" i="6"/>
  <c r="BC139" i="6"/>
  <c r="CM158" i="6"/>
  <c r="CY139" i="6"/>
  <c r="I35" i="6"/>
  <c r="AG144" i="6"/>
  <c r="AS139" i="6"/>
  <c r="CO178" i="6"/>
  <c r="DA178" i="6"/>
  <c r="DM144" i="6"/>
  <c r="DY139" i="6"/>
  <c r="L149" i="6"/>
  <c r="BT149" i="6"/>
  <c r="CF144" i="6"/>
  <c r="M163" i="6"/>
  <c r="AK158" i="6"/>
  <c r="BI139" i="6"/>
  <c r="BU158" i="6"/>
  <c r="DE178" i="6"/>
  <c r="DQ144" i="6"/>
  <c r="AL178" i="6"/>
  <c r="CH139" i="6"/>
  <c r="CT163" i="6"/>
  <c r="ED139" i="6"/>
  <c r="O158" i="6"/>
  <c r="AA149" i="6"/>
  <c r="AM178" i="6"/>
  <c r="BK144" i="6"/>
  <c r="BW149" i="6"/>
  <c r="CI158" i="6"/>
  <c r="DG149" i="6"/>
  <c r="DS158" i="6"/>
  <c r="P144" i="6"/>
  <c r="AZ163" i="6"/>
  <c r="BL139" i="6"/>
  <c r="CV144" i="6"/>
  <c r="DT139" i="6"/>
  <c r="AC158" i="6"/>
  <c r="AO149" i="6"/>
  <c r="BY158" i="6"/>
  <c r="CK144" i="6"/>
  <c r="DI144" i="6"/>
  <c r="DU139" i="6"/>
  <c r="Q149" i="6"/>
  <c r="CW158" i="6"/>
  <c r="DV178" i="6"/>
  <c r="EH163" i="6"/>
  <c r="T158" i="6"/>
  <c r="BP163" i="6"/>
  <c r="J178" i="6"/>
  <c r="BS149" i="6"/>
  <c r="DK144" i="6"/>
  <c r="BE158" i="6"/>
  <c r="DM158" i="6"/>
  <c r="X139" i="6"/>
  <c r="Y139" i="6"/>
  <c r="BU144" i="6"/>
  <c r="N144" i="6"/>
  <c r="AA163" i="6"/>
  <c r="AN178" i="6"/>
  <c r="CW139" i="6"/>
  <c r="EH139" i="6"/>
  <c r="BD149" i="6"/>
  <c r="J158" i="6"/>
  <c r="BR149" i="6"/>
  <c r="DB149" i="6"/>
  <c r="AU163" i="6"/>
  <c r="EA163" i="6"/>
  <c r="BO144" i="6"/>
  <c r="S35" i="6"/>
  <c r="AS144" i="6"/>
  <c r="DM178" i="6"/>
  <c r="BU139" i="6"/>
  <c r="BJ158" i="6"/>
  <c r="EF158" i="6"/>
  <c r="BY178" i="6"/>
  <c r="BB149" i="6"/>
  <c r="BN144" i="6"/>
  <c r="CX178" i="6"/>
  <c r="DJ163" i="6"/>
  <c r="DV149" i="6"/>
  <c r="H35" i="6"/>
  <c r="AF149" i="6"/>
  <c r="AR139" i="6"/>
  <c r="CZ163" i="6"/>
  <c r="DL149" i="6"/>
  <c r="AT163" i="6"/>
  <c r="BF149" i="6"/>
  <c r="BR139" i="6"/>
  <c r="DN158" i="6"/>
  <c r="DZ139" i="6"/>
  <c r="K149" i="6"/>
  <c r="W149" i="6"/>
  <c r="AI139" i="6"/>
  <c r="BG144" i="6"/>
  <c r="CE163" i="6"/>
  <c r="DO158" i="6"/>
  <c r="EA178" i="6"/>
  <c r="G139" i="6"/>
  <c r="AE178" i="6"/>
  <c r="CA178" i="6"/>
  <c r="DW178" i="6"/>
  <c r="U178" i="6"/>
  <c r="AG178" i="6"/>
  <c r="CO158" i="6"/>
  <c r="DA139" i="6"/>
  <c r="DM139" i="6"/>
  <c r="L178" i="6"/>
  <c r="X149" i="6"/>
  <c r="BH158" i="6"/>
  <c r="BT178" i="6"/>
  <c r="CR178" i="6"/>
  <c r="EB158" i="6"/>
  <c r="M158" i="6"/>
  <c r="Y158" i="6"/>
  <c r="AK149" i="6"/>
  <c r="BI163" i="6"/>
  <c r="BU149" i="6"/>
  <c r="CG158" i="6"/>
  <c r="DE139" i="6"/>
  <c r="DQ163" i="6"/>
  <c r="M35" i="6"/>
  <c r="N139" i="6"/>
  <c r="AL139" i="6"/>
  <c r="AX158" i="6"/>
  <c r="CH144" i="6"/>
  <c r="DF158" i="6"/>
  <c r="ED158" i="6"/>
  <c r="O178" i="6"/>
  <c r="AA139" i="6"/>
  <c r="AM144" i="6"/>
  <c r="BK163" i="6"/>
  <c r="DS139" i="6"/>
  <c r="EE139" i="6"/>
  <c r="AB178" i="6"/>
  <c r="AZ178" i="6"/>
  <c r="BX139" i="6"/>
  <c r="CV163" i="6"/>
  <c r="DH178" i="6"/>
  <c r="AC149" i="6"/>
  <c r="BM178" i="6"/>
  <c r="BY149" i="6"/>
  <c r="CK139" i="6"/>
  <c r="DI163" i="6"/>
  <c r="Q178" i="6"/>
  <c r="BY139" i="6"/>
  <c r="EG178" i="6"/>
  <c r="R158" i="6"/>
  <c r="AP178" i="6"/>
  <c r="BB144" i="6"/>
  <c r="CX163" i="6"/>
  <c r="DJ158" i="6"/>
  <c r="DV139" i="6"/>
  <c r="T178" i="6"/>
  <c r="AF144" i="6"/>
  <c r="AR144" i="6"/>
  <c r="BD144" i="6"/>
  <c r="CN178" i="6"/>
  <c r="CZ158" i="6"/>
  <c r="DL144" i="6"/>
  <c r="DX149" i="6"/>
  <c r="AT149" i="6"/>
  <c r="BF144" i="6"/>
  <c r="DB163" i="6"/>
  <c r="DN139" i="6"/>
  <c r="K139" i="6"/>
  <c r="AU144" i="6"/>
  <c r="BG158" i="6"/>
  <c r="BS158" i="6"/>
  <c r="DC158" i="6"/>
  <c r="DO139" i="6"/>
  <c r="AE149" i="6"/>
  <c r="AQ163" i="6"/>
  <c r="CA163" i="6"/>
  <c r="CM149" i="6"/>
  <c r="DW144" i="6"/>
  <c r="U144" i="6"/>
  <c r="AG158" i="6"/>
  <c r="AS178" i="6"/>
  <c r="CC158" i="6"/>
  <c r="CO163" i="6"/>
  <c r="L139" i="6"/>
  <c r="BH144" i="6"/>
  <c r="BT144" i="6"/>
  <c r="CF163" i="6"/>
  <c r="EB163" i="6"/>
  <c r="M178" i="6"/>
  <c r="Y149" i="6"/>
  <c r="AW144" i="6"/>
  <c r="CS149" i="6"/>
  <c r="DE149" i="6"/>
  <c r="Z149" i="6"/>
  <c r="AL163" i="6"/>
  <c r="AX144" i="6"/>
  <c r="BV149" i="6"/>
  <c r="CH178" i="6"/>
  <c r="CT158" i="6"/>
  <c r="DR149" i="6"/>
  <c r="ED178" i="6"/>
  <c r="O139" i="6"/>
  <c r="AM149" i="6"/>
  <c r="BK178" i="6"/>
  <c r="BW139" i="6"/>
  <c r="CU144" i="6"/>
  <c r="DG178" i="6"/>
  <c r="O35" i="6"/>
  <c r="P163" i="6"/>
  <c r="AB163" i="6"/>
  <c r="AZ158" i="6"/>
  <c r="BL158" i="6"/>
  <c r="DH163" i="6"/>
  <c r="AC139" i="6"/>
  <c r="AO144" i="6"/>
  <c r="BM163" i="6"/>
  <c r="BY144" i="6"/>
  <c r="DU163" i="6"/>
  <c r="Q35" i="6"/>
  <c r="BA178" i="6"/>
  <c r="CW163" i="6"/>
  <c r="CJ139" i="6"/>
  <c r="BA158" i="6"/>
  <c r="R163" i="6"/>
  <c r="BZ144" i="6"/>
  <c r="S158" i="6"/>
  <c r="DA163" i="6"/>
  <c r="Y163" i="6"/>
  <c r="EC144" i="6"/>
  <c r="DF163" i="6"/>
  <c r="BW178" i="6"/>
  <c r="DH144" i="6"/>
  <c r="CK158" i="6"/>
  <c r="EG139" i="6"/>
  <c r="AP158" i="6"/>
  <c r="BB163" i="6"/>
  <c r="CX158" i="6"/>
  <c r="DJ149" i="6"/>
  <c r="T149" i="6"/>
  <c r="AF158" i="6"/>
  <c r="BP139" i="6"/>
  <c r="CN163" i="6"/>
  <c r="CZ139" i="6"/>
  <c r="DL139" i="6"/>
  <c r="DX139" i="6"/>
  <c r="AH163" i="6"/>
  <c r="AT144" i="6"/>
  <c r="BF139" i="6"/>
  <c r="BR158" i="6"/>
  <c r="CD144" i="6"/>
  <c r="DB158" i="6"/>
  <c r="DN178" i="6"/>
  <c r="DZ144" i="6"/>
  <c r="AU178" i="6"/>
  <c r="BG139" i="6"/>
  <c r="DC178" i="6"/>
  <c r="DO178" i="6"/>
  <c r="EA149" i="6"/>
  <c r="AE139" i="6"/>
  <c r="AQ139" i="6"/>
  <c r="BC163" i="6"/>
  <c r="CA158" i="6"/>
  <c r="CM144" i="6"/>
  <c r="CY158" i="6"/>
  <c r="DW163" i="6"/>
  <c r="I163" i="6"/>
  <c r="U163" i="6"/>
  <c r="AG163" i="6"/>
  <c r="AS158" i="6"/>
  <c r="CC149" i="6"/>
  <c r="CO149" i="6"/>
  <c r="DA149" i="6"/>
  <c r="AV158" i="6"/>
  <c r="BH139" i="6"/>
  <c r="BT139" i="6"/>
  <c r="CF178" i="6"/>
  <c r="DP158" i="6"/>
  <c r="EB139" i="6"/>
  <c r="M139" i="6"/>
  <c r="AW139" i="6"/>
  <c r="BI178" i="6"/>
  <c r="CS139" i="6"/>
  <c r="DE144" i="6"/>
  <c r="Z139" i="6"/>
  <c r="AL144" i="6"/>
  <c r="BV178" i="6"/>
  <c r="DR158" i="6"/>
  <c r="O144" i="6"/>
  <c r="AA144" i="6"/>
  <c r="AY163" i="6"/>
  <c r="BK139" i="6"/>
  <c r="CU149" i="6"/>
  <c r="DG163" i="6"/>
  <c r="AN163" i="6"/>
  <c r="CJ144" i="6"/>
  <c r="CV158" i="6"/>
  <c r="DH158" i="6"/>
  <c r="EF149" i="6"/>
  <c r="EC163" i="6"/>
  <c r="BM158" i="6"/>
  <c r="CW178" i="6"/>
  <c r="DI158" i="6"/>
  <c r="EF144" i="6"/>
  <c r="BM139" i="6"/>
  <c r="CW144" i="6"/>
  <c r="BA163" i="6"/>
  <c r="DT149" i="6"/>
  <c r="BM149" i="6"/>
  <c r="H139" i="6"/>
  <c r="CB163" i="6"/>
  <c r="DX163" i="6"/>
  <c r="CD149" i="6"/>
  <c r="CP139" i="6"/>
  <c r="W178" i="6"/>
  <c r="BC149" i="6"/>
  <c r="AS149" i="6"/>
  <c r="L158" i="6"/>
  <c r="CR139" i="6"/>
  <c r="CT139" i="6"/>
  <c r="BW163" i="6"/>
  <c r="P158" i="6"/>
  <c r="CJ158" i="6"/>
  <c r="EG163" i="6"/>
  <c r="DV144" i="6"/>
  <c r="AR178" i="6"/>
  <c r="CD139" i="6"/>
  <c r="AQ178" i="6"/>
  <c r="L144" i="6"/>
  <c r="CF149" i="6"/>
  <c r="CG163" i="6"/>
  <c r="AX163" i="6"/>
  <c r="P178" i="6"/>
  <c r="AO163" i="6"/>
  <c r="AD178" i="6"/>
  <c r="AP149" i="6"/>
  <c r="BB139" i="6"/>
  <c r="CL178" i="6"/>
  <c r="CX149" i="6"/>
  <c r="DJ139" i="6"/>
  <c r="H178" i="6"/>
  <c r="T139" i="6"/>
  <c r="AF163" i="6"/>
  <c r="CB178" i="6"/>
  <c r="CN158" i="6"/>
  <c r="J35" i="6"/>
  <c r="AH144" i="6"/>
  <c r="AT139" i="6"/>
  <c r="BF158" i="6"/>
  <c r="DB178" i="6"/>
  <c r="DN149" i="6"/>
  <c r="AI144" i="6"/>
  <c r="AU139" i="6"/>
  <c r="BS139" i="6"/>
  <c r="DC139" i="6"/>
  <c r="DO149" i="6"/>
  <c r="EA144" i="6"/>
  <c r="S178" i="6"/>
  <c r="AQ144" i="6"/>
  <c r="BO178" i="6"/>
  <c r="CA149" i="6"/>
  <c r="CM139" i="6"/>
  <c r="DK178" i="6"/>
  <c r="DW158" i="6"/>
  <c r="I144" i="6"/>
  <c r="U139" i="6"/>
  <c r="BQ158" i="6"/>
  <c r="CC178" i="6"/>
  <c r="CO144" i="6"/>
  <c r="DA144" i="6"/>
  <c r="G35" i="6"/>
  <c r="AV144" i="6"/>
  <c r="BH149" i="6"/>
  <c r="BT163" i="6"/>
  <c r="DP139" i="6"/>
  <c r="EB178" i="6"/>
  <c r="AW163" i="6"/>
  <c r="BU163" i="6"/>
  <c r="CS144" i="6"/>
  <c r="Z163" i="6"/>
  <c r="BV144" i="6"/>
  <c r="CH163" i="6"/>
  <c r="DR139" i="6"/>
  <c r="ED144" i="6"/>
  <c r="O163" i="6"/>
  <c r="AY178" i="6"/>
  <c r="CU178" i="6"/>
  <c r="DG139" i="6"/>
  <c r="AN158" i="6"/>
  <c r="AZ149" i="6"/>
  <c r="BL149" i="6"/>
  <c r="CJ178" i="6"/>
  <c r="CV149" i="6"/>
  <c r="DH139" i="6"/>
  <c r="AC144" i="6"/>
  <c r="DI149" i="6"/>
  <c r="AD163" i="6"/>
  <c r="BD158" i="6"/>
  <c r="CE144" i="6"/>
  <c r="BO149" i="6"/>
  <c r="AX139" i="6"/>
  <c r="CU163" i="6"/>
  <c r="CL139" i="6"/>
  <c r="BS178" i="6"/>
  <c r="AD158" i="6"/>
  <c r="AP163" i="6"/>
  <c r="CL163" i="6"/>
  <c r="CX144" i="6"/>
  <c r="H163" i="6"/>
  <c r="T144" i="6"/>
  <c r="AR158" i="6"/>
  <c r="CB158" i="6"/>
  <c r="CN149" i="6"/>
  <c r="CZ149" i="6"/>
  <c r="V163" i="6"/>
  <c r="AH178" i="6"/>
  <c r="AT178" i="6"/>
  <c r="CP163" i="6"/>
  <c r="DB139" i="6"/>
  <c r="DN144" i="6"/>
  <c r="AI178" i="6"/>
  <c r="BG178" i="6"/>
  <c r="CQ158" i="6"/>
  <c r="DC149" i="6"/>
  <c r="DO144" i="6"/>
  <c r="S149" i="6"/>
  <c r="AE144" i="6"/>
  <c r="BO158" i="6"/>
  <c r="CA144" i="6"/>
  <c r="DK163" i="6"/>
  <c r="DW149" i="6"/>
  <c r="I158" i="6"/>
  <c r="AG139" i="6"/>
  <c r="BQ149" i="6"/>
  <c r="CC139" i="6"/>
  <c r="CO139" i="6"/>
  <c r="DY178" i="6"/>
  <c r="AJ158" i="6"/>
  <c r="AV139" i="6"/>
  <c r="DD158" i="6"/>
  <c r="DP149" i="6"/>
  <c r="AK144" i="6"/>
  <c r="AW178" i="6"/>
  <c r="BI158" i="6"/>
  <c r="CG149" i="6"/>
  <c r="CS163" i="6"/>
  <c r="EC139" i="6"/>
  <c r="N149" i="6"/>
  <c r="Z158" i="6"/>
  <c r="BJ149" i="6"/>
  <c r="BV139" i="6"/>
  <c r="DF149" i="6"/>
  <c r="DR178" i="6"/>
  <c r="AY139" i="6"/>
  <c r="CI144" i="6"/>
  <c r="CU158" i="6"/>
  <c r="EE144" i="6"/>
  <c r="P139" i="6"/>
  <c r="AZ144" i="6"/>
  <c r="BL144" i="6"/>
  <c r="CJ163" i="6"/>
  <c r="Q158" i="6"/>
  <c r="EG149" i="6"/>
  <c r="AB139" i="6"/>
  <c r="BN158" i="6"/>
  <c r="V158" i="6"/>
  <c r="CE178" i="6"/>
  <c r="AD149" i="6"/>
  <c r="AP139" i="6"/>
  <c r="BZ178" i="6"/>
  <c r="CL158" i="6"/>
  <c r="CX139" i="6"/>
  <c r="EH178" i="6"/>
  <c r="H158" i="6"/>
  <c r="AF139" i="6"/>
  <c r="BP178" i="6"/>
  <c r="CB139" i="6"/>
  <c r="CN144" i="6"/>
  <c r="V178" i="6"/>
  <c r="AH139" i="6"/>
  <c r="CP178" i="6"/>
  <c r="DZ149" i="6"/>
  <c r="K35" i="6"/>
  <c r="AI163" i="6"/>
  <c r="AU158" i="6"/>
  <c r="BG163" i="6"/>
  <c r="CQ149" i="6"/>
  <c r="S163" i="6"/>
  <c r="AE158" i="6"/>
  <c r="BO139" i="6"/>
  <c r="DW139" i="6"/>
  <c r="I149" i="6"/>
  <c r="U158" i="6"/>
  <c r="BE178" i="6"/>
  <c r="BQ178" i="6"/>
  <c r="DY163" i="6"/>
  <c r="L35" i="6"/>
  <c r="AJ144" i="6"/>
  <c r="AV163" i="6"/>
  <c r="BH178" i="6"/>
  <c r="DD178" i="6"/>
  <c r="DP144" i="6"/>
  <c r="EB149" i="6"/>
  <c r="M149" i="6"/>
  <c r="AK178" i="6"/>
  <c r="CG139" i="6"/>
  <c r="DE163" i="6"/>
  <c r="EC158" i="6"/>
  <c r="N163" i="6"/>
  <c r="Z178" i="6"/>
  <c r="AL158" i="6"/>
  <c r="BJ139" i="6"/>
  <c r="BV163" i="6"/>
  <c r="DF178" i="6"/>
  <c r="DR144" i="6"/>
  <c r="O149" i="6"/>
  <c r="AM163" i="6"/>
  <c r="AY158" i="6"/>
  <c r="CI178" i="6"/>
  <c r="EE158" i="6"/>
  <c r="AB158" i="6"/>
  <c r="BX163" i="6"/>
  <c r="CV139" i="6"/>
  <c r="AC163" i="6"/>
  <c r="DI139" i="6"/>
  <c r="BK158" i="6"/>
  <c r="R178" i="6"/>
  <c r="AD139" i="6"/>
  <c r="AP144" i="6"/>
  <c r="BZ163" i="6"/>
  <c r="CL149" i="6"/>
  <c r="EH149" i="6"/>
  <c r="H144" i="6"/>
  <c r="T163" i="6"/>
  <c r="BP158" i="6"/>
  <c r="CN139" i="6"/>
  <c r="CZ144" i="6"/>
  <c r="J163" i="6"/>
  <c r="V144" i="6"/>
  <c r="AH158" i="6"/>
  <c r="AT158" i="6"/>
  <c r="CD163" i="6"/>
  <c r="CP158" i="6"/>
  <c r="DB144" i="6"/>
  <c r="W144" i="6"/>
  <c r="AI158" i="6"/>
  <c r="AU149" i="6"/>
  <c r="CE149" i="6"/>
  <c r="CQ139" i="6"/>
  <c r="DC144" i="6"/>
  <c r="G178" i="6"/>
  <c r="AE163" i="6"/>
  <c r="BC178" i="6"/>
  <c r="CA139" i="6"/>
  <c r="CY178" i="6"/>
  <c r="DK158" i="6"/>
  <c r="I178" i="6"/>
  <c r="BE149" i="6"/>
  <c r="BQ163" i="6"/>
  <c r="CC163" i="6"/>
  <c r="DY158" i="6"/>
  <c r="X158" i="6"/>
  <c r="AJ178" i="6"/>
  <c r="BH163" i="6"/>
  <c r="CR158" i="6"/>
  <c r="DD139" i="6"/>
  <c r="DP178" i="6"/>
  <c r="EB144" i="6"/>
  <c r="AK139" i="6"/>
  <c r="AW158" i="6"/>
  <c r="BI149" i="6"/>
  <c r="CG144" i="6"/>
  <c r="CS158" i="6"/>
  <c r="EC149" i="6"/>
  <c r="N158" i="6"/>
  <c r="BJ163" i="6"/>
  <c r="CH158" i="6"/>
  <c r="DF139" i="6"/>
  <c r="DR163" i="6"/>
  <c r="ED163" i="6"/>
  <c r="AM158" i="6"/>
  <c r="AY149" i="6"/>
  <c r="BK149" i="6"/>
  <c r="CI163" i="6"/>
  <c r="CU139" i="6"/>
  <c r="DG158" i="6"/>
  <c r="EE149" i="6"/>
  <c r="AN139" i="6"/>
  <c r="CV178" i="6"/>
  <c r="DT178" i="6"/>
  <c r="EF163" i="6"/>
  <c r="Q163" i="6"/>
  <c r="AO178" i="6"/>
  <c r="BA149" i="6"/>
  <c r="BM144" i="6"/>
  <c r="CK178" i="6"/>
  <c r="CW149" i="6"/>
  <c r="EG144" i="6"/>
  <c r="BN163" i="6"/>
  <c r="BR163" i="6"/>
  <c r="CQ163" i="6"/>
  <c r="CY149" i="6"/>
  <c r="CC144" i="6"/>
  <c r="DY144" i="6"/>
  <c r="AV178" i="6"/>
  <c r="CS178" i="6"/>
  <c r="BL163" i="6"/>
  <c r="DH149" i="6"/>
  <c r="DU149" i="6"/>
  <c r="R139" i="6"/>
  <c r="BP144" i="6"/>
  <c r="CP144" i="6"/>
  <c r="DZ163" i="6"/>
  <c r="G158" i="6"/>
  <c r="CM178" i="6"/>
  <c r="AJ149" i="6"/>
  <c r="CT144" i="6"/>
  <c r="R149" i="6"/>
  <c r="AD144" i="6"/>
  <c r="BN178" i="6"/>
  <c r="BZ158" i="6"/>
  <c r="CL144" i="6"/>
  <c r="EH144" i="6"/>
  <c r="H149" i="6"/>
  <c r="BD178" i="6"/>
  <c r="BP149" i="6"/>
  <c r="CB149" i="6"/>
  <c r="DX178" i="6"/>
  <c r="J144" i="6"/>
  <c r="V139" i="6"/>
  <c r="AH149" i="6"/>
  <c r="CD158" i="6"/>
  <c r="CP149" i="6"/>
  <c r="W163" i="6"/>
  <c r="AI149" i="6"/>
  <c r="CE139" i="6"/>
  <c r="CQ144" i="6"/>
  <c r="G149" i="6"/>
  <c r="S139" i="6"/>
  <c r="BC158" i="6"/>
  <c r="BO163" i="6"/>
  <c r="CY163" i="6"/>
  <c r="DK149" i="6"/>
  <c r="I139" i="6"/>
  <c r="U149" i="6"/>
  <c r="BE144" i="6"/>
  <c r="BQ144" i="6"/>
  <c r="DM163" i="6"/>
  <c r="X144" i="6"/>
  <c r="AJ139" i="6"/>
  <c r="AV149" i="6"/>
  <c r="CR149" i="6"/>
  <c r="DD149" i="6"/>
  <c r="DP163" i="6"/>
  <c r="Y144" i="6"/>
  <c r="AK163" i="6"/>
  <c r="AW149" i="6"/>
  <c r="BU178" i="6"/>
  <c r="CG178" i="6"/>
  <c r="DQ158" i="6"/>
  <c r="EC178" i="6"/>
  <c r="N178" i="6"/>
  <c r="Z144" i="6"/>
  <c r="AX149" i="6"/>
  <c r="BJ178" i="6"/>
  <c r="BV158" i="6"/>
  <c r="CT149" i="6"/>
  <c r="DF144" i="6"/>
  <c r="N35" i="6"/>
  <c r="AY144" i="6"/>
  <c r="BW144" i="6"/>
  <c r="CI139" i="6"/>
  <c r="DS144" i="6"/>
  <c r="EE178" i="6"/>
  <c r="AB149" i="6"/>
  <c r="AZ139" i="6"/>
  <c r="BX178" i="6"/>
  <c r="DT144" i="6"/>
  <c r="EF139" i="6"/>
  <c r="AO158" i="6"/>
  <c r="BA144" i="6"/>
  <c r="CK163" i="6"/>
  <c r="DU178" i="6"/>
  <c r="BZ149" i="6"/>
  <c r="K144" i="6"/>
  <c r="DC163" i="6"/>
  <c r="S144" i="6"/>
  <c r="AJ163" i="6"/>
  <c r="CF158" i="6"/>
  <c r="DQ139" i="6"/>
  <c r="AM139" i="6"/>
  <c r="DS149" i="6"/>
  <c r="BX158" i="6"/>
  <c r="DT163" i="6"/>
  <c r="Q139" i="6"/>
  <c r="W139" i="6"/>
  <c r="CY144" i="6"/>
  <c r="X163" i="6"/>
  <c r="CR144" i="6"/>
  <c r="DQ149" i="6"/>
  <c r="AA158" i="6"/>
  <c r="DS178" i="6"/>
  <c r="Q144" i="6"/>
  <c r="DL178" i="6"/>
  <c r="BC144" i="6"/>
  <c r="DK139" i="6"/>
  <c r="BE139" i="6"/>
  <c r="DD144" i="6"/>
  <c r="EE163" i="6"/>
  <c r="AN144" i="6"/>
  <c r="BX149" i="6"/>
  <c r="DU144" i="6"/>
  <c r="K163" i="6"/>
  <c r="AG57" i="6"/>
  <c r="AH50" i="6"/>
  <c r="AG56" i="6"/>
  <c r="AH47" i="6"/>
  <c r="BS176" i="6"/>
  <c r="BS177" i="6"/>
  <c r="BS157" i="6"/>
  <c r="BS156" i="6"/>
  <c r="BS172" i="6"/>
  <c r="BS148" i="6"/>
  <c r="BS152" i="6"/>
  <c r="BS143" i="6"/>
  <c r="BS142" i="6"/>
  <c r="BS161" i="6"/>
  <c r="BS138" i="6"/>
  <c r="BS137" i="6"/>
  <c r="BS166" i="6"/>
  <c r="BS147" i="6"/>
  <c r="BS162" i="6"/>
  <c r="BS167" i="6"/>
  <c r="BS153" i="6"/>
  <c r="AG58" i="6"/>
  <c r="AH51" i="6"/>
  <c r="AG48" i="6"/>
  <c r="AG55" i="6"/>
  <c r="AH46" i="6"/>
  <c r="AH54" i="6"/>
  <c r="AI44" i="6"/>
  <c r="BS171" i="6"/>
  <c r="BU6" i="6"/>
  <c r="BT6" i="30"/>
  <c r="BT175" i="6"/>
  <c r="BT135" i="6"/>
  <c r="BT49" i="6"/>
  <c r="BT45" i="6"/>
  <c r="BT43" i="6"/>
  <c r="I30" i="3"/>
  <c r="BR13" i="70"/>
  <c r="BS145" i="71"/>
  <c r="BT30" i="2"/>
  <c r="AV176" i="23"/>
  <c r="AW167" i="23"/>
  <c r="AW170" i="23" s="1"/>
  <c r="AY162" i="23"/>
  <c r="AY164" i="23"/>
  <c r="AW172" i="23"/>
  <c r="AW174" i="23"/>
  <c r="S32" i="42"/>
  <c r="S32" i="64"/>
  <c r="S33" i="64"/>
  <c r="S33" i="42"/>
  <c r="I98" i="3"/>
  <c r="S31" i="42"/>
  <c r="S31" i="64"/>
  <c r="S30" i="42"/>
  <c r="S30" i="64"/>
  <c r="BS9" i="19"/>
  <c r="BT5" i="19"/>
  <c r="BT13" i="19" s="1"/>
  <c r="BT5" i="2"/>
  <c r="BU7" i="2"/>
  <c r="BU31" i="2" s="1"/>
  <c r="BG25" i="2"/>
  <c r="BO25" i="2"/>
  <c r="BW25" i="2"/>
  <c r="CE25" i="2"/>
  <c r="CM25" i="2"/>
  <c r="CU25" i="2"/>
  <c r="DC25" i="2"/>
  <c r="DK25" i="2"/>
  <c r="DS25" i="2"/>
  <c r="EA25" i="2"/>
  <c r="K34" i="2"/>
  <c r="S34" i="2"/>
  <c r="AA34" i="2"/>
  <c r="AI34" i="2"/>
  <c r="AQ34" i="2"/>
  <c r="AY34" i="2"/>
  <c r="BG34" i="2"/>
  <c r="BO34" i="2"/>
  <c r="BW34" i="2"/>
  <c r="CE34" i="2"/>
  <c r="CM34" i="2"/>
  <c r="CU34" i="2"/>
  <c r="DC34" i="2"/>
  <c r="DK34" i="2"/>
  <c r="DS34" i="2"/>
  <c r="EA34" i="2"/>
  <c r="H36" i="2"/>
  <c r="P36" i="2"/>
  <c r="X36" i="2"/>
  <c r="AF36" i="2"/>
  <c r="AN36" i="2"/>
  <c r="AV36" i="2"/>
  <c r="BD36" i="2"/>
  <c r="BL36" i="2"/>
  <c r="BT36" i="2"/>
  <c r="CB36" i="2"/>
  <c r="CJ36" i="2"/>
  <c r="CR36" i="2"/>
  <c r="CZ36" i="2"/>
  <c r="DH36" i="2"/>
  <c r="DP36" i="2"/>
  <c r="DX36" i="2"/>
  <c r="EF36" i="2"/>
  <c r="BH25" i="2"/>
  <c r="BP25" i="2"/>
  <c r="BX25" i="2"/>
  <c r="CF25" i="2"/>
  <c r="CN25" i="2"/>
  <c r="CV25" i="2"/>
  <c r="DD25" i="2"/>
  <c r="DL25" i="2"/>
  <c r="DT25" i="2"/>
  <c r="EB25" i="2"/>
  <c r="L34" i="2"/>
  <c r="T34" i="2"/>
  <c r="AB34" i="2"/>
  <c r="AJ34" i="2"/>
  <c r="AR34" i="2"/>
  <c r="AZ34" i="2"/>
  <c r="BH34" i="2"/>
  <c r="BP34" i="2"/>
  <c r="BX34" i="2"/>
  <c r="CF34" i="2"/>
  <c r="CN34" i="2"/>
  <c r="CV34" i="2"/>
  <c r="DD34" i="2"/>
  <c r="DL34" i="2"/>
  <c r="DT34" i="2"/>
  <c r="EB34" i="2"/>
  <c r="I36" i="2"/>
  <c r="Q36" i="2"/>
  <c r="Y36" i="2"/>
  <c r="AG36" i="2"/>
  <c r="AO36" i="2"/>
  <c r="AW36" i="2"/>
  <c r="BE36" i="2"/>
  <c r="BM36" i="2"/>
  <c r="BU36" i="2"/>
  <c r="CC36" i="2"/>
  <c r="CK36" i="2"/>
  <c r="BI25" i="2"/>
  <c r="BQ25" i="2"/>
  <c r="BY25" i="2"/>
  <c r="CG25" i="2"/>
  <c r="CO25" i="2"/>
  <c r="CW25" i="2"/>
  <c r="DE25" i="2"/>
  <c r="DM25" i="2"/>
  <c r="DU25" i="2"/>
  <c r="EC25" i="2"/>
  <c r="E34" i="2"/>
  <c r="M34" i="2"/>
  <c r="U34" i="2"/>
  <c r="AC34" i="2"/>
  <c r="AK34" i="2"/>
  <c r="AS34" i="2"/>
  <c r="BA34" i="2"/>
  <c r="BI34" i="2"/>
  <c r="BQ34" i="2"/>
  <c r="BY34" i="2"/>
  <c r="CG34" i="2"/>
  <c r="CO34" i="2"/>
  <c r="CW34" i="2"/>
  <c r="DE34" i="2"/>
  <c r="DM34" i="2"/>
  <c r="DU34" i="2"/>
  <c r="EC34" i="2"/>
  <c r="J36" i="2"/>
  <c r="R36" i="2"/>
  <c r="Z36" i="2"/>
  <c r="AH36" i="2"/>
  <c r="AX36" i="2"/>
  <c r="BF36" i="2"/>
  <c r="BN36" i="2"/>
  <c r="BV36" i="2"/>
  <c r="CD36" i="2"/>
  <c r="CL36" i="2"/>
  <c r="CT36" i="2"/>
  <c r="DB36" i="2"/>
  <c r="DJ36" i="2"/>
  <c r="DR36" i="2"/>
  <c r="DZ36" i="2"/>
  <c r="BD25" i="2"/>
  <c r="BL25" i="2"/>
  <c r="BT25" i="2"/>
  <c r="CB25" i="2"/>
  <c r="CJ25" i="2"/>
  <c r="CR25" i="2"/>
  <c r="CZ25" i="2"/>
  <c r="DH25" i="2"/>
  <c r="DP25" i="2"/>
  <c r="DX25" i="2"/>
  <c r="EF25" i="2"/>
  <c r="H34" i="2"/>
  <c r="P34" i="2"/>
  <c r="X34" i="2"/>
  <c r="AF34" i="2"/>
  <c r="AN34" i="2"/>
  <c r="AV34" i="2"/>
  <c r="BD34" i="2"/>
  <c r="BL34" i="2"/>
  <c r="BT34" i="2"/>
  <c r="CB34" i="2"/>
  <c r="CJ34" i="2"/>
  <c r="CR34" i="2"/>
  <c r="CZ34" i="2"/>
  <c r="DH34" i="2"/>
  <c r="DP34" i="2"/>
  <c r="DX34" i="2"/>
  <c r="EF34" i="2"/>
  <c r="M36" i="2"/>
  <c r="U36" i="2"/>
  <c r="AC36" i="2"/>
  <c r="AK36" i="2"/>
  <c r="AS36" i="2"/>
  <c r="BA36" i="2"/>
  <c r="BI36" i="2"/>
  <c r="BQ36" i="2"/>
  <c r="BY36" i="2"/>
  <c r="CG36" i="2"/>
  <c r="CO36" i="2"/>
  <c r="CW36" i="2"/>
  <c r="DE36" i="2"/>
  <c r="DM36" i="2"/>
  <c r="DU36" i="2"/>
  <c r="EC36" i="2"/>
  <c r="BK25" i="2"/>
  <c r="CA25" i="2"/>
  <c r="CQ25" i="2"/>
  <c r="DG25" i="2"/>
  <c r="DW25" i="2"/>
  <c r="O34" i="2"/>
  <c r="AE34" i="2"/>
  <c r="AU34" i="2"/>
  <c r="BK34" i="2"/>
  <c r="CA34" i="2"/>
  <c r="CQ34" i="2"/>
  <c r="DG34" i="2"/>
  <c r="DW34" i="2"/>
  <c r="T36" i="2"/>
  <c r="AJ36" i="2"/>
  <c r="AZ36" i="2"/>
  <c r="BP36" i="2"/>
  <c r="CF36" i="2"/>
  <c r="CU36" i="2"/>
  <c r="DG36" i="2"/>
  <c r="DT36" i="2"/>
  <c r="EG36" i="2"/>
  <c r="BM25" i="2"/>
  <c r="CC25" i="2"/>
  <c r="CS25" i="2"/>
  <c r="DI25" i="2"/>
  <c r="DY25" i="2"/>
  <c r="Q34" i="2"/>
  <c r="AG34" i="2"/>
  <c r="AW34" i="2"/>
  <c r="BM34" i="2"/>
  <c r="CC34" i="2"/>
  <c r="CS34" i="2"/>
  <c r="DI34" i="2"/>
  <c r="DY34" i="2"/>
  <c r="F36" i="2"/>
  <c r="V36" i="2"/>
  <c r="AL36" i="2"/>
  <c r="BR36" i="2"/>
  <c r="CH36" i="2"/>
  <c r="CV36" i="2"/>
  <c r="DI36" i="2"/>
  <c r="DV36" i="2"/>
  <c r="BN25" i="2"/>
  <c r="CD25" i="2"/>
  <c r="CT25" i="2"/>
  <c r="DJ25" i="2"/>
  <c r="DZ25" i="2"/>
  <c r="R34" i="2"/>
  <c r="AH34" i="2"/>
  <c r="AX34" i="2"/>
  <c r="BN34" i="2"/>
  <c r="CD34" i="2"/>
  <c r="CT34" i="2"/>
  <c r="DJ34" i="2"/>
  <c r="DZ34" i="2"/>
  <c r="G36" i="2"/>
  <c r="W36" i="2"/>
  <c r="AM36" i="2"/>
  <c r="BC36" i="2"/>
  <c r="BS36" i="2"/>
  <c r="BS14" i="70" s="1"/>
  <c r="CI36" i="2"/>
  <c r="CX36" i="2"/>
  <c r="DK36" i="2"/>
  <c r="DW36" i="2"/>
  <c r="BE25" i="2"/>
  <c r="BU25" i="2"/>
  <c r="CK25" i="2"/>
  <c r="DA25" i="2"/>
  <c r="DQ25" i="2"/>
  <c r="EG25" i="2"/>
  <c r="I34" i="2"/>
  <c r="Y34" i="2"/>
  <c r="AO34" i="2"/>
  <c r="BE34" i="2"/>
  <c r="BU34" i="2"/>
  <c r="CK34" i="2"/>
  <c r="DA34" i="2"/>
  <c r="DQ34" i="2"/>
  <c r="EG34" i="2"/>
  <c r="N36" i="2"/>
  <c r="AD36" i="2"/>
  <c r="AT36" i="2"/>
  <c r="BJ36" i="2"/>
  <c r="BZ36" i="2"/>
  <c r="CP36" i="2"/>
  <c r="DC36" i="2"/>
  <c r="DO36" i="2"/>
  <c r="EB36" i="2"/>
  <c r="BR25" i="2"/>
  <c r="CX25" i="2"/>
  <c r="ED25" i="2"/>
  <c r="V34" i="2"/>
  <c r="BB34" i="2"/>
  <c r="CH34" i="2"/>
  <c r="DN34" i="2"/>
  <c r="K36" i="2"/>
  <c r="AQ36" i="2"/>
  <c r="BW36" i="2"/>
  <c r="CY36" i="2"/>
  <c r="DY36" i="2"/>
  <c r="BS25" i="2"/>
  <c r="CY25" i="2"/>
  <c r="EE25" i="2"/>
  <c r="W34" i="2"/>
  <c r="BC34" i="2"/>
  <c r="CI34" i="2"/>
  <c r="DO34" i="2"/>
  <c r="L36" i="2"/>
  <c r="AR36" i="2"/>
  <c r="BX36" i="2"/>
  <c r="DA36" i="2"/>
  <c r="DA14" i="70" s="1"/>
  <c r="EA36" i="2"/>
  <c r="I73" i="3"/>
  <c r="BV25" i="2"/>
  <c r="DB25" i="2"/>
  <c r="Z34" i="2"/>
  <c r="BF34" i="2"/>
  <c r="CL34" i="2"/>
  <c r="DR34" i="2"/>
  <c r="O36" i="2"/>
  <c r="AU36" i="2"/>
  <c r="CA36" i="2"/>
  <c r="DD36" i="2"/>
  <c r="ED36" i="2"/>
  <c r="CI25" i="2"/>
  <c r="DO25" i="2"/>
  <c r="G34" i="2"/>
  <c r="AM34" i="2"/>
  <c r="BS34" i="2"/>
  <c r="CY34" i="2"/>
  <c r="EE34" i="2"/>
  <c r="AB36" i="2"/>
  <c r="BH36" i="2"/>
  <c r="CN36" i="2"/>
  <c r="DN36" i="2"/>
  <c r="DN14" i="70" s="1"/>
  <c r="BJ25" i="2"/>
  <c r="DV25" i="2"/>
  <c r="AT34" i="2"/>
  <c r="DF34" i="2"/>
  <c r="AI36" i="2"/>
  <c r="CS36" i="2"/>
  <c r="BZ25" i="2"/>
  <c r="BJ34" i="2"/>
  <c r="DV34" i="2"/>
  <c r="AY36" i="2"/>
  <c r="DF36" i="2"/>
  <c r="CH25" i="2"/>
  <c r="F34" i="2"/>
  <c r="BR34" i="2"/>
  <c r="ED34" i="2"/>
  <c r="BG36" i="2"/>
  <c r="DL36" i="2"/>
  <c r="DF25" i="2"/>
  <c r="AD34" i="2"/>
  <c r="CP34" i="2"/>
  <c r="S36" i="2"/>
  <c r="CE36" i="2"/>
  <c r="EE36" i="2"/>
  <c r="B118" i="3"/>
  <c r="I115" i="1"/>
  <c r="N34" i="2"/>
  <c r="DS36" i="2"/>
  <c r="K9" i="3"/>
  <c r="I119" i="1"/>
  <c r="J119" i="1" s="1"/>
  <c r="I122" i="1"/>
  <c r="J122" i="1" s="1"/>
  <c r="AL34" i="2"/>
  <c r="AA36" i="2"/>
  <c r="BF25" i="2"/>
  <c r="AP34" i="2"/>
  <c r="AE36" i="2"/>
  <c r="I120" i="1"/>
  <c r="J120" i="1" s="1"/>
  <c r="I128" i="1"/>
  <c r="J128" i="1" s="1"/>
  <c r="DN25" i="2"/>
  <c r="CX34" i="2"/>
  <c r="CM36" i="2"/>
  <c r="I118" i="1"/>
  <c r="J118" i="1" s="1"/>
  <c r="I121" i="1"/>
  <c r="J121" i="1" s="1"/>
  <c r="I129" i="1"/>
  <c r="J129" i="1" s="1"/>
  <c r="DR25" i="2"/>
  <c r="J34" i="2"/>
  <c r="F41" i="64"/>
  <c r="BV34" i="2"/>
  <c r="BK36" i="2"/>
  <c r="I126" i="1"/>
  <c r="J126" i="1" s="1"/>
  <c r="DQ36" i="2"/>
  <c r="BZ34" i="2"/>
  <c r="DB34" i="2"/>
  <c r="CL25" i="2"/>
  <c r="CP25" i="2"/>
  <c r="CQ36" i="2"/>
  <c r="BO36" i="2"/>
  <c r="F41" i="42"/>
  <c r="J20" i="2"/>
  <c r="K18" i="6" s="1"/>
  <c r="R20" i="2"/>
  <c r="S18" i="6" s="1"/>
  <c r="Z20" i="2"/>
  <c r="AA18" i="6" s="1"/>
  <c r="AP20" i="2"/>
  <c r="AQ18" i="6" s="1"/>
  <c r="AX20" i="2"/>
  <c r="AY18" i="6" s="1"/>
  <c r="BF20" i="2"/>
  <c r="BG18" i="6" s="1"/>
  <c r="BN20" i="2"/>
  <c r="BO18" i="6" s="1"/>
  <c r="BV20" i="2"/>
  <c r="BW18" i="6" s="1"/>
  <c r="CD20" i="2"/>
  <c r="CE18" i="6" s="1"/>
  <c r="CL20" i="2"/>
  <c r="CM18" i="6" s="1"/>
  <c r="CT20" i="2"/>
  <c r="CU18" i="6" s="1"/>
  <c r="DB20" i="2"/>
  <c r="DC18" i="6" s="1"/>
  <c r="DJ20" i="2"/>
  <c r="DK18" i="6" s="1"/>
  <c r="DR20" i="2"/>
  <c r="DS18" i="6" s="1"/>
  <c r="DZ20" i="2"/>
  <c r="EA18" i="6" s="1"/>
  <c r="L20" i="2"/>
  <c r="M18" i="6" s="1"/>
  <c r="U20" i="2"/>
  <c r="V18" i="6" s="1"/>
  <c r="AV20" i="2"/>
  <c r="AW18" i="6" s="1"/>
  <c r="BE20" i="2"/>
  <c r="BF18" i="6" s="1"/>
  <c r="BO20" i="2"/>
  <c r="BP18" i="6" s="1"/>
  <c r="BX20" i="2"/>
  <c r="BY18" i="6" s="1"/>
  <c r="CG20" i="2"/>
  <c r="CH18" i="6" s="1"/>
  <c r="CP20" i="2"/>
  <c r="CQ18" i="6" s="1"/>
  <c r="CY20" i="2"/>
  <c r="CZ18" i="6" s="1"/>
  <c r="DH20" i="2"/>
  <c r="DI18" i="6" s="1"/>
  <c r="DQ20" i="2"/>
  <c r="DR18" i="6" s="1"/>
  <c r="EA20" i="2"/>
  <c r="EB18" i="6" s="1"/>
  <c r="D20" i="2"/>
  <c r="M20" i="2"/>
  <c r="N18" i="6" s="1"/>
  <c r="BG20" i="2"/>
  <c r="BH18" i="6" s="1"/>
  <c r="BP20" i="2"/>
  <c r="BQ18" i="6" s="1"/>
  <c r="BY20" i="2"/>
  <c r="BZ18" i="6" s="1"/>
  <c r="CH20" i="2"/>
  <c r="CI18" i="6" s="1"/>
  <c r="CQ20" i="2"/>
  <c r="CR18" i="6" s="1"/>
  <c r="CZ20" i="2"/>
  <c r="DA18" i="6" s="1"/>
  <c r="DI20" i="2"/>
  <c r="DJ18" i="6" s="1"/>
  <c r="DS20" i="2"/>
  <c r="DT18" i="6" s="1"/>
  <c r="EB20" i="2"/>
  <c r="EC18" i="6" s="1"/>
  <c r="E20" i="2"/>
  <c r="N20" i="2"/>
  <c r="O18" i="6" s="1"/>
  <c r="W20" i="2"/>
  <c r="X18" i="6" s="1"/>
  <c r="AY20" i="2"/>
  <c r="AZ18" i="6" s="1"/>
  <c r="BH20" i="2"/>
  <c r="BI18" i="6" s="1"/>
  <c r="BQ20" i="2"/>
  <c r="BR18" i="6" s="1"/>
  <c r="BZ20" i="2"/>
  <c r="CA18" i="6" s="1"/>
  <c r="CI20" i="2"/>
  <c r="CJ18" i="6" s="1"/>
  <c r="CR20" i="2"/>
  <c r="CS18" i="6" s="1"/>
  <c r="DA20" i="2"/>
  <c r="DB18" i="6" s="1"/>
  <c r="DK20" i="2"/>
  <c r="DL18" i="6" s="1"/>
  <c r="DT20" i="2"/>
  <c r="DU18" i="6" s="1"/>
  <c r="EC20" i="2"/>
  <c r="ED18" i="6" s="1"/>
  <c r="H20" i="2"/>
  <c r="I18" i="6" s="1"/>
  <c r="Q20" i="2"/>
  <c r="R18" i="6" s="1"/>
  <c r="AA20" i="2"/>
  <c r="AB18" i="6" s="1"/>
  <c r="AJ20" i="2"/>
  <c r="AK18" i="6" s="1"/>
  <c r="AS20" i="2"/>
  <c r="AT18" i="6" s="1"/>
  <c r="BK20" i="2"/>
  <c r="BL18" i="6" s="1"/>
  <c r="BT20" i="2"/>
  <c r="BU18" i="6" s="1"/>
  <c r="CC20" i="2"/>
  <c r="CD18" i="6" s="1"/>
  <c r="CM20" i="2"/>
  <c r="CN18" i="6" s="1"/>
  <c r="CV20" i="2"/>
  <c r="CW18" i="6" s="1"/>
  <c r="DE20" i="2"/>
  <c r="DF18" i="6" s="1"/>
  <c r="DN20" i="2"/>
  <c r="DO18" i="6" s="1"/>
  <c r="DW20" i="2"/>
  <c r="DX18" i="6" s="1"/>
  <c r="EF20" i="2"/>
  <c r="EG18" i="6" s="1"/>
  <c r="G20" i="2"/>
  <c r="H18" i="6" s="1"/>
  <c r="AR20" i="2"/>
  <c r="AS18" i="6" s="1"/>
  <c r="BJ20" i="2"/>
  <c r="BK18" i="6" s="1"/>
  <c r="CB20" i="2"/>
  <c r="CC18" i="6" s="1"/>
  <c r="CU20" i="2"/>
  <c r="CV18" i="6" s="1"/>
  <c r="DM20" i="2"/>
  <c r="DN18" i="6" s="1"/>
  <c r="EE20" i="2"/>
  <c r="EF18" i="6" s="1"/>
  <c r="I20" i="2"/>
  <c r="J18" i="6" s="1"/>
  <c r="BL20" i="2"/>
  <c r="BM18" i="6" s="1"/>
  <c r="CE20" i="2"/>
  <c r="CF18" i="6" s="1"/>
  <c r="CW20" i="2"/>
  <c r="CX18" i="6" s="1"/>
  <c r="DO20" i="2"/>
  <c r="DP18" i="6" s="1"/>
  <c r="EG20" i="2"/>
  <c r="EH18" i="6" s="1"/>
  <c r="K20" i="2"/>
  <c r="BM20" i="2"/>
  <c r="BN18" i="6" s="1"/>
  <c r="CF20" i="2"/>
  <c r="CG18" i="6" s="1"/>
  <c r="CX20" i="2"/>
  <c r="CY18" i="6" s="1"/>
  <c r="DP20" i="2"/>
  <c r="DQ18" i="6" s="1"/>
  <c r="S20" i="2"/>
  <c r="T18" i="6" s="1"/>
  <c r="BC20" i="2"/>
  <c r="BD18" i="6" s="1"/>
  <c r="BU20" i="2"/>
  <c r="BV18" i="6" s="1"/>
  <c r="CN20" i="2"/>
  <c r="CO18" i="6" s="1"/>
  <c r="DF20" i="2"/>
  <c r="DG18" i="6" s="1"/>
  <c r="DX20" i="2"/>
  <c r="DY18" i="6" s="1"/>
  <c r="AG20" i="2"/>
  <c r="AH18" i="6" s="1"/>
  <c r="BR20" i="2"/>
  <c r="BS18" i="6" s="1"/>
  <c r="DC20" i="2"/>
  <c r="DD18" i="6" s="1"/>
  <c r="AI20" i="2"/>
  <c r="AJ18" i="6" s="1"/>
  <c r="BS20" i="2"/>
  <c r="BT18" i="6" s="1"/>
  <c r="DD20" i="2"/>
  <c r="DE18" i="6" s="1"/>
  <c r="BW20" i="2"/>
  <c r="BX18" i="6" s="1"/>
  <c r="DG20" i="2"/>
  <c r="DH18" i="6" s="1"/>
  <c r="P20" i="2"/>
  <c r="Q18" i="6" s="1"/>
  <c r="CK20" i="2"/>
  <c r="CL18" i="6" s="1"/>
  <c r="DV20" i="2"/>
  <c r="DW18" i="6" s="1"/>
  <c r="BI20" i="2"/>
  <c r="BJ18" i="6" s="1"/>
  <c r="ED20" i="2"/>
  <c r="EE18" i="6" s="1"/>
  <c r="F20" i="2"/>
  <c r="G18" i="6" s="1"/>
  <c r="CA20" i="2"/>
  <c r="CB18" i="6" s="1"/>
  <c r="O20" i="2"/>
  <c r="P18" i="6" s="1"/>
  <c r="CJ20" i="2"/>
  <c r="CK18" i="6" s="1"/>
  <c r="AQ20" i="2"/>
  <c r="AR18" i="6" s="1"/>
  <c r="DL20" i="2"/>
  <c r="DM18" i="6" s="1"/>
  <c r="C22" i="3"/>
  <c r="X20" i="2"/>
  <c r="Y18" i="6" s="1"/>
  <c r="DU20" i="2"/>
  <c r="DV18" i="6" s="1"/>
  <c r="T20" i="2"/>
  <c r="U18" i="6" s="1"/>
  <c r="CO20" i="2"/>
  <c r="CP18" i="6" s="1"/>
  <c r="DY20" i="2"/>
  <c r="DZ18" i="6" s="1"/>
  <c r="CS20" i="2"/>
  <c r="CT18" i="6" s="1"/>
  <c r="E16" i="19"/>
  <c r="M16" i="19"/>
  <c r="U16" i="19"/>
  <c r="AC16" i="19"/>
  <c r="AK16" i="19"/>
  <c r="AS16" i="19"/>
  <c r="BA16" i="19"/>
  <c r="BI16" i="19"/>
  <c r="BQ16" i="19"/>
  <c r="BY16" i="19"/>
  <c r="CG16" i="19"/>
  <c r="CO16" i="19"/>
  <c r="CW16" i="19"/>
  <c r="DE16" i="19"/>
  <c r="DM16" i="19"/>
  <c r="DU16" i="19"/>
  <c r="EC16" i="19"/>
  <c r="G16" i="19"/>
  <c r="O16" i="19"/>
  <c r="W16" i="19"/>
  <c r="AE16" i="19"/>
  <c r="AM16" i="19"/>
  <c r="AU16" i="19"/>
  <c r="BC16" i="19"/>
  <c r="BK16" i="19"/>
  <c r="BS16" i="19"/>
  <c r="CA16" i="19"/>
  <c r="CI16" i="19"/>
  <c r="CQ16" i="19"/>
  <c r="CY16" i="19"/>
  <c r="DG16" i="19"/>
  <c r="DO16" i="19"/>
  <c r="DW16" i="19"/>
  <c r="EE16" i="19"/>
  <c r="I16" i="19"/>
  <c r="Q16" i="19"/>
  <c r="Y16" i="19"/>
  <c r="AG16" i="19"/>
  <c r="AO16" i="19"/>
  <c r="AW16" i="19"/>
  <c r="BE16" i="19"/>
  <c r="BM16" i="19"/>
  <c r="BU16" i="19"/>
  <c r="CC16" i="19"/>
  <c r="CK16" i="19"/>
  <c r="CS16" i="19"/>
  <c r="DA16" i="19"/>
  <c r="DI16" i="19"/>
  <c r="DQ16" i="19"/>
  <c r="DY16" i="19"/>
  <c r="H16" i="19"/>
  <c r="T16" i="19"/>
  <c r="AH16" i="19"/>
  <c r="AT16" i="19"/>
  <c r="BG16" i="19"/>
  <c r="BT16" i="19"/>
  <c r="CF16" i="19"/>
  <c r="CT16" i="19"/>
  <c r="DF16" i="19"/>
  <c r="DS16" i="19"/>
  <c r="EF16" i="19"/>
  <c r="J16" i="19"/>
  <c r="V16" i="19"/>
  <c r="AI16" i="19"/>
  <c r="AV16" i="19"/>
  <c r="BH16" i="19"/>
  <c r="BV16" i="19"/>
  <c r="CH16" i="19"/>
  <c r="CU16" i="19"/>
  <c r="DH16" i="19"/>
  <c r="DT16" i="19"/>
  <c r="K16" i="19"/>
  <c r="X16" i="19"/>
  <c r="AJ16" i="19"/>
  <c r="AX16" i="19"/>
  <c r="BJ16" i="19"/>
  <c r="BW16" i="19"/>
  <c r="CJ16" i="19"/>
  <c r="CV16" i="19"/>
  <c r="DJ16" i="19"/>
  <c r="DV16" i="19"/>
  <c r="L16" i="19"/>
  <c r="Z16" i="19"/>
  <c r="AL16" i="19"/>
  <c r="AY16" i="19"/>
  <c r="BL16" i="19"/>
  <c r="BX16" i="19"/>
  <c r="CL16" i="19"/>
  <c r="CX16" i="19"/>
  <c r="DK16" i="19"/>
  <c r="DX16" i="19"/>
  <c r="P16" i="19"/>
  <c r="AB16" i="19"/>
  <c r="AP16" i="19"/>
  <c r="BB16" i="19"/>
  <c r="BO16" i="19"/>
  <c r="CB16" i="19"/>
  <c r="CN16" i="19"/>
  <c r="DB16" i="19"/>
  <c r="DN16" i="19"/>
  <c r="EA16" i="19"/>
  <c r="AF16" i="19"/>
  <c r="BP16" i="19"/>
  <c r="CZ16" i="19"/>
  <c r="ED16" i="19"/>
  <c r="AN16" i="19"/>
  <c r="BR16" i="19"/>
  <c r="DC16" i="19"/>
  <c r="F16" i="19"/>
  <c r="AQ16" i="19"/>
  <c r="BZ16" i="19"/>
  <c r="DD16" i="19"/>
  <c r="N16" i="19"/>
  <c r="AR16" i="19"/>
  <c r="CD16" i="19"/>
  <c r="DL16" i="19"/>
  <c r="S16" i="19"/>
  <c r="BD16" i="19"/>
  <c r="CM16" i="19"/>
  <c r="DR16" i="19"/>
  <c r="CE16" i="19"/>
  <c r="CP16" i="19"/>
  <c r="R16" i="19"/>
  <c r="CR16" i="19"/>
  <c r="AZ16" i="19"/>
  <c r="EB16" i="19"/>
  <c r="DZ16" i="19"/>
  <c r="BF16" i="19"/>
  <c r="AA16" i="19"/>
  <c r="AD16" i="19"/>
  <c r="DP16" i="19"/>
  <c r="BN16" i="19"/>
  <c r="J98" i="3"/>
  <c r="E111" i="3"/>
  <c r="H20" i="19"/>
  <c r="P20" i="19"/>
  <c r="X20" i="19"/>
  <c r="AF20" i="19"/>
  <c r="AN20" i="19"/>
  <c r="AV20" i="19"/>
  <c r="BD20" i="19"/>
  <c r="BL20" i="19"/>
  <c r="BT20" i="19"/>
  <c r="CB20" i="19"/>
  <c r="CJ20" i="19"/>
  <c r="CR20" i="19"/>
  <c r="CZ20" i="19"/>
  <c r="DH20" i="19"/>
  <c r="DP20" i="19"/>
  <c r="DX20" i="19"/>
  <c r="EF20" i="19"/>
  <c r="J20" i="19"/>
  <c r="R20" i="19"/>
  <c r="Z20" i="19"/>
  <c r="AH20" i="19"/>
  <c r="AP20" i="19"/>
  <c r="AX20" i="19"/>
  <c r="BF20" i="19"/>
  <c r="BN20" i="19"/>
  <c r="BV20" i="19"/>
  <c r="CD20" i="19"/>
  <c r="CL20" i="19"/>
  <c r="CT20" i="19"/>
  <c r="DB20" i="19"/>
  <c r="DJ20" i="19"/>
  <c r="DR20" i="19"/>
  <c r="DZ20" i="19"/>
  <c r="D20" i="19"/>
  <c r="D21" i="19" s="1"/>
  <c r="L20" i="19"/>
  <c r="T20" i="19"/>
  <c r="AB20" i="19"/>
  <c r="AJ20" i="19"/>
  <c r="AR20" i="19"/>
  <c r="AZ20" i="19"/>
  <c r="BH20" i="19"/>
  <c r="BP20" i="19"/>
  <c r="BX20" i="19"/>
  <c r="CF20" i="19"/>
  <c r="CN20" i="19"/>
  <c r="CV20" i="19"/>
  <c r="DD20" i="19"/>
  <c r="DL20" i="19"/>
  <c r="DT20" i="19"/>
  <c r="EB20" i="19"/>
  <c r="G20" i="19"/>
  <c r="U20" i="19"/>
  <c r="AG20" i="19"/>
  <c r="AT20" i="19"/>
  <c r="BG20" i="19"/>
  <c r="BS20" i="19"/>
  <c r="CG20" i="19"/>
  <c r="CS20" i="19"/>
  <c r="DF20" i="19"/>
  <c r="DS20" i="19"/>
  <c r="EE20" i="19"/>
  <c r="I20" i="19"/>
  <c r="V20" i="19"/>
  <c r="AI20" i="19"/>
  <c r="AU20" i="19"/>
  <c r="BI20" i="19"/>
  <c r="BU20" i="19"/>
  <c r="CH20" i="19"/>
  <c r="CU20" i="19"/>
  <c r="DG20" i="19"/>
  <c r="DU20" i="19"/>
  <c r="K20" i="19"/>
  <c r="W20" i="19"/>
  <c r="AK20" i="19"/>
  <c r="AW20" i="19"/>
  <c r="BJ20" i="19"/>
  <c r="BW20" i="19"/>
  <c r="CI20" i="19"/>
  <c r="CW20" i="19"/>
  <c r="DI20" i="19"/>
  <c r="DV20" i="19"/>
  <c r="M20" i="19"/>
  <c r="Y20" i="19"/>
  <c r="AL20" i="19"/>
  <c r="AY20" i="19"/>
  <c r="BK20" i="19"/>
  <c r="BY20" i="19"/>
  <c r="CK20" i="19"/>
  <c r="CX20" i="19"/>
  <c r="DK20" i="19"/>
  <c r="DW20" i="19"/>
  <c r="O20" i="19"/>
  <c r="AC20" i="19"/>
  <c r="AO20" i="19"/>
  <c r="BB20" i="19"/>
  <c r="BO20" i="19"/>
  <c r="CA20" i="19"/>
  <c r="CO20" i="19"/>
  <c r="DA20" i="19"/>
  <c r="DN20" i="19"/>
  <c r="EA20" i="19"/>
  <c r="N20" i="19"/>
  <c r="AS20" i="19"/>
  <c r="CC20" i="19"/>
  <c r="DM20" i="19"/>
  <c r="Q20" i="19"/>
  <c r="BA20" i="19"/>
  <c r="CE20" i="19"/>
  <c r="DO20" i="19"/>
  <c r="S20" i="19"/>
  <c r="BC20" i="19"/>
  <c r="CM20" i="19"/>
  <c r="DQ20" i="19"/>
  <c r="AA20" i="19"/>
  <c r="BE20" i="19"/>
  <c r="CP20" i="19"/>
  <c r="DY20" i="19"/>
  <c r="AE20" i="19"/>
  <c r="BQ20" i="19"/>
  <c r="CY20" i="19"/>
  <c r="ED20" i="19"/>
  <c r="AQ20" i="19"/>
  <c r="BM20" i="19"/>
  <c r="BR20" i="19"/>
  <c r="F20" i="19"/>
  <c r="DC20" i="19"/>
  <c r="CQ20" i="19"/>
  <c r="DE20" i="19"/>
  <c r="EC20" i="19"/>
  <c r="AD20" i="19"/>
  <c r="E20" i="19"/>
  <c r="BZ20" i="19"/>
  <c r="AM20" i="19"/>
  <c r="L27" i="70"/>
  <c r="BR10" i="19"/>
  <c r="BR11" i="19"/>
  <c r="BR15" i="19" s="1"/>
  <c r="AG59" i="6" l="1"/>
  <c r="N28" i="6"/>
  <c r="N24" i="6" s="1"/>
  <c r="BT171" i="6"/>
  <c r="BT176" i="6"/>
  <c r="BT177" i="6"/>
  <c r="BT157" i="6"/>
  <c r="BT156" i="6"/>
  <c r="BT153" i="6"/>
  <c r="BT152" i="6"/>
  <c r="BT148" i="6"/>
  <c r="BT147" i="6"/>
  <c r="BT167" i="6"/>
  <c r="BT166" i="6"/>
  <c r="BT162" i="6"/>
  <c r="BT161" i="6"/>
  <c r="BT143" i="6"/>
  <c r="BT142" i="6"/>
  <c r="BT138" i="6"/>
  <c r="BT137" i="6"/>
  <c r="BT172" i="6"/>
  <c r="AI54" i="6"/>
  <c r="AJ44" i="6"/>
  <c r="AH56" i="6"/>
  <c r="AI47" i="6"/>
  <c r="U35" i="6"/>
  <c r="V35" i="6" s="1"/>
  <c r="K28" i="6"/>
  <c r="Q28" i="6"/>
  <c r="Q24" i="6" s="1"/>
  <c r="H28" i="6"/>
  <c r="V20" i="2"/>
  <c r="W18" i="6" s="1"/>
  <c r="L18" i="6"/>
  <c r="T28" i="6"/>
  <c r="AH48" i="6"/>
  <c r="AH55" i="6"/>
  <c r="AI46" i="6"/>
  <c r="AH57" i="6"/>
  <c r="AI50" i="6"/>
  <c r="L28" i="6"/>
  <c r="L24" i="6" s="1"/>
  <c r="I28" i="6"/>
  <c r="I24" i="6" s="1"/>
  <c r="BU175" i="6"/>
  <c r="BU135" i="6"/>
  <c r="BU45" i="6"/>
  <c r="BU49" i="6"/>
  <c r="BU43" i="6"/>
  <c r="J28" i="6"/>
  <c r="J24" i="6" s="1"/>
  <c r="O28" i="6"/>
  <c r="O24" i="6" s="1"/>
  <c r="R28" i="6"/>
  <c r="AH58" i="6"/>
  <c r="AI51" i="6"/>
  <c r="M28" i="6"/>
  <c r="M24" i="6" s="1"/>
  <c r="G28" i="6"/>
  <c r="G24" i="6" s="1"/>
  <c r="G36" i="6"/>
  <c r="S28" i="6"/>
  <c r="BV6" i="6"/>
  <c r="BU6" i="30"/>
  <c r="P28" i="6"/>
  <c r="P24" i="6" s="1"/>
  <c r="E41" i="2"/>
  <c r="CK41" i="2"/>
  <c r="AU41" i="2"/>
  <c r="BS41" i="2"/>
  <c r="DH41" i="2"/>
  <c r="DO41" i="2"/>
  <c r="DF41" i="2"/>
  <c r="BI41" i="2"/>
  <c r="BP41" i="2"/>
  <c r="DQ41" i="2"/>
  <c r="CQ41" i="2"/>
  <c r="DR41" i="2"/>
  <c r="DV41" i="2"/>
  <c r="BY41" i="2"/>
  <c r="DB41" i="2"/>
  <c r="DZ41" i="2"/>
  <c r="CV41" i="2"/>
  <c r="BG41" i="2"/>
  <c r="CT41" i="2"/>
  <c r="DD41" i="2"/>
  <c r="DK41" i="2"/>
  <c r="DX41" i="2"/>
  <c r="CB41" i="2"/>
  <c r="DW41" i="2"/>
  <c r="AP41" i="2"/>
  <c r="EC41" i="2"/>
  <c r="DP41" i="2"/>
  <c r="AQ41" i="2"/>
  <c r="BA41" i="2"/>
  <c r="DT41" i="2"/>
  <c r="DJ41" i="2"/>
  <c r="BM41" i="2"/>
  <c r="AT41" i="2"/>
  <c r="EE41" i="2"/>
  <c r="BR41" i="2"/>
  <c r="CJ41" i="2"/>
  <c r="CP41" i="2"/>
  <c r="CH41" i="2"/>
  <c r="CF41" i="2"/>
  <c r="BC41" i="2"/>
  <c r="CZ41" i="2"/>
  <c r="BW41" i="2"/>
  <c r="CX41" i="2"/>
  <c r="AO41" i="2"/>
  <c r="DM41" i="2"/>
  <c r="DG41" i="2"/>
  <c r="BQ41" i="2"/>
  <c r="BX41" i="2"/>
  <c r="BF41" i="2"/>
  <c r="BV41" i="2"/>
  <c r="AZ41" i="2"/>
  <c r="BK41" i="2"/>
  <c r="AM41" i="2"/>
  <c r="CL41" i="2"/>
  <c r="AN41" i="2"/>
  <c r="BE41" i="2"/>
  <c r="CI41" i="2"/>
  <c r="BL41" i="2"/>
  <c r="DA41" i="2"/>
  <c r="BJ41" i="2"/>
  <c r="EA41" i="2"/>
  <c r="CO41" i="2"/>
  <c r="AS41" i="2"/>
  <c r="CE41" i="2"/>
  <c r="CM41" i="2"/>
  <c r="CU41" i="2"/>
  <c r="CN41" i="2"/>
  <c r="BB41" i="2"/>
  <c r="AW41" i="2"/>
  <c r="CY41" i="2"/>
  <c r="BH41" i="2"/>
  <c r="BZ41" i="2"/>
  <c r="DS41" i="2"/>
  <c r="AY41" i="2"/>
  <c r="AX41" i="2"/>
  <c r="CG41" i="2"/>
  <c r="DN41" i="2"/>
  <c r="AK41" i="2"/>
  <c r="CA41" i="2"/>
  <c r="CD41" i="2"/>
  <c r="EB41" i="2"/>
  <c r="DL41" i="2"/>
  <c r="BN41" i="2"/>
  <c r="AR41" i="2"/>
  <c r="AL41" i="2"/>
  <c r="BD41" i="2"/>
  <c r="BO41" i="2"/>
  <c r="BU41" i="2"/>
  <c r="EG41" i="2"/>
  <c r="DY41" i="2"/>
  <c r="DI41" i="2"/>
  <c r="CS41" i="2"/>
  <c r="DU41" i="2"/>
  <c r="AV41" i="2"/>
  <c r="CW41" i="2"/>
  <c r="BT41" i="2"/>
  <c r="EF41" i="2"/>
  <c r="CR41" i="2"/>
  <c r="ED41" i="2"/>
  <c r="DE41" i="2"/>
  <c r="CC41" i="2"/>
  <c r="DC41" i="2"/>
  <c r="Y20" i="2"/>
  <c r="S14" i="70"/>
  <c r="DD14" i="70"/>
  <c r="EE14" i="70"/>
  <c r="L14" i="70"/>
  <c r="AM14" i="70"/>
  <c r="AB14" i="70"/>
  <c r="BC14" i="70"/>
  <c r="CF14" i="70"/>
  <c r="DS14" i="70"/>
  <c r="AL14" i="70"/>
  <c r="AU14" i="70"/>
  <c r="T14" i="70"/>
  <c r="CS14" i="70"/>
  <c r="J30" i="3"/>
  <c r="DL14" i="70"/>
  <c r="DT14" i="70"/>
  <c r="DG14" i="70"/>
  <c r="BU14" i="70"/>
  <c r="DY14" i="70"/>
  <c r="EB14" i="70"/>
  <c r="BP14" i="70"/>
  <c r="BK14" i="70"/>
  <c r="AZ14" i="70"/>
  <c r="CA14" i="70"/>
  <c r="BR14" i="70"/>
  <c r="AJ14" i="70"/>
  <c r="CJ14" i="70"/>
  <c r="CB14" i="70"/>
  <c r="BG14" i="70"/>
  <c r="CH14" i="70"/>
  <c r="BI14" i="70"/>
  <c r="R14" i="70"/>
  <c r="F14" i="70"/>
  <c r="ED14" i="70"/>
  <c r="DW14" i="70"/>
  <c r="CV14" i="70"/>
  <c r="BY14" i="70"/>
  <c r="AH14" i="70"/>
  <c r="AW14" i="70"/>
  <c r="CZ14" i="70"/>
  <c r="H14" i="70"/>
  <c r="DO14" i="70"/>
  <c r="DK14" i="70"/>
  <c r="BQ14" i="70"/>
  <c r="Z14" i="70"/>
  <c r="CR14" i="70"/>
  <c r="AE14" i="70"/>
  <c r="DF14" i="70"/>
  <c r="CN14" i="70"/>
  <c r="BW14" i="70"/>
  <c r="DR14" i="70"/>
  <c r="CE14" i="70"/>
  <c r="CP14" i="70"/>
  <c r="O14" i="70"/>
  <c r="V14" i="70"/>
  <c r="AS14" i="70"/>
  <c r="BT14" i="70"/>
  <c r="AK14" i="70"/>
  <c r="CT14" i="70"/>
  <c r="I14" i="70"/>
  <c r="BL14" i="70"/>
  <c r="W14" i="70"/>
  <c r="AY14" i="70"/>
  <c r="BH14" i="70"/>
  <c r="AR14" i="70"/>
  <c r="AQ14" i="70"/>
  <c r="CI14" i="70"/>
  <c r="DJ14" i="70"/>
  <c r="J14" i="70"/>
  <c r="Y14" i="70"/>
  <c r="AG14" i="70"/>
  <c r="K14" i="70"/>
  <c r="BZ14" i="70"/>
  <c r="DB14" i="70"/>
  <c r="Q14" i="70"/>
  <c r="BX14" i="70"/>
  <c r="BO14" i="70"/>
  <c r="AA14" i="70"/>
  <c r="BJ14" i="70"/>
  <c r="EC14" i="70"/>
  <c r="CQ14" i="70"/>
  <c r="AT14" i="70"/>
  <c r="DU14" i="70"/>
  <c r="AC14" i="70"/>
  <c r="CL14" i="70"/>
  <c r="BD14" i="70"/>
  <c r="EA14" i="70"/>
  <c r="AD14" i="70"/>
  <c r="DM14" i="70"/>
  <c r="U14" i="70"/>
  <c r="CD14" i="70"/>
  <c r="CK14" i="70"/>
  <c r="AV14" i="70"/>
  <c r="AI14" i="70"/>
  <c r="N14" i="70"/>
  <c r="G14" i="70"/>
  <c r="DE14" i="70"/>
  <c r="M14" i="70"/>
  <c r="BV14" i="70"/>
  <c r="CC14" i="70"/>
  <c r="EF14" i="70"/>
  <c r="AN14" i="70"/>
  <c r="CY14" i="70"/>
  <c r="DC14" i="70"/>
  <c r="CM14" i="70"/>
  <c r="CW14" i="70"/>
  <c r="BN14" i="70"/>
  <c r="DX14" i="70"/>
  <c r="AF14" i="70"/>
  <c r="AF26" i="70"/>
  <c r="DZ14" i="70"/>
  <c r="CX14" i="70"/>
  <c r="DV14" i="70"/>
  <c r="CU14" i="70"/>
  <c r="CO14" i="70"/>
  <c r="BF14" i="70"/>
  <c r="BM14" i="70"/>
  <c r="DP14" i="70"/>
  <c r="X14" i="70"/>
  <c r="DQ14" i="70"/>
  <c r="DI14" i="70"/>
  <c r="CG14" i="70"/>
  <c r="AX14" i="70"/>
  <c r="BE14" i="70"/>
  <c r="DH14" i="70"/>
  <c r="P14" i="70"/>
  <c r="BS13" i="70"/>
  <c r="DD146" i="71"/>
  <c r="CY146" i="71"/>
  <c r="BJ146" i="71"/>
  <c r="BC146" i="71"/>
  <c r="F146" i="71"/>
  <c r="DG146" i="71"/>
  <c r="CW146" i="71"/>
  <c r="AK146" i="71"/>
  <c r="DZ146" i="71"/>
  <c r="BN146" i="71"/>
  <c r="AO146" i="71"/>
  <c r="DX146" i="71"/>
  <c r="BL146" i="71"/>
  <c r="AE146" i="71"/>
  <c r="DS146" i="71"/>
  <c r="DF146" i="71"/>
  <c r="CA146" i="71"/>
  <c r="BW146" i="71"/>
  <c r="AT146" i="71"/>
  <c r="AM146" i="71"/>
  <c r="DV146" i="71"/>
  <c r="CU146" i="71"/>
  <c r="CO146" i="71"/>
  <c r="AC146" i="71"/>
  <c r="DR146" i="71"/>
  <c r="BF146" i="71"/>
  <c r="AG146" i="71"/>
  <c r="DP146" i="71"/>
  <c r="BD146" i="71"/>
  <c r="DQ146" i="71"/>
  <c r="AY146" i="71"/>
  <c r="AU146" i="71"/>
  <c r="AQ146" i="71"/>
  <c r="AD146" i="71"/>
  <c r="W146" i="71"/>
  <c r="DI146" i="71"/>
  <c r="CF146" i="71"/>
  <c r="CG146" i="71"/>
  <c r="U146" i="71"/>
  <c r="DJ146" i="71"/>
  <c r="AX146" i="71"/>
  <c r="CK146" i="71"/>
  <c r="Y146" i="71"/>
  <c r="DH146" i="71"/>
  <c r="AV146" i="71"/>
  <c r="DL146" i="71"/>
  <c r="O146" i="71"/>
  <c r="EA146" i="71"/>
  <c r="K146" i="71"/>
  <c r="EB146" i="71"/>
  <c r="N146" i="71"/>
  <c r="DW146" i="71"/>
  <c r="G146" i="71"/>
  <c r="CV146" i="71"/>
  <c r="BP146" i="71"/>
  <c r="BY146" i="71"/>
  <c r="M146" i="71"/>
  <c r="DB146" i="71"/>
  <c r="AH146" i="71"/>
  <c r="CC146" i="71"/>
  <c r="Q146" i="71"/>
  <c r="CZ146" i="71"/>
  <c r="AN146" i="71"/>
  <c r="BO146" i="71"/>
  <c r="BK146" i="71"/>
  <c r="CM146" i="71"/>
  <c r="AA146" i="71"/>
  <c r="BG146" i="71"/>
  <c r="DN146" i="71"/>
  <c r="DA146" i="71"/>
  <c r="DO146" i="71"/>
  <c r="DK146" i="71"/>
  <c r="CH146" i="71"/>
  <c r="AZ146" i="71"/>
  <c r="EC146" i="71"/>
  <c r="BQ146" i="71"/>
  <c r="CT146" i="71"/>
  <c r="Z146" i="71"/>
  <c r="BU146" i="71"/>
  <c r="I146" i="71"/>
  <c r="CR146" i="71"/>
  <c r="AF146" i="71"/>
  <c r="BT145" i="71"/>
  <c r="CQ146" i="71"/>
  <c r="EE146" i="71"/>
  <c r="CN146" i="71"/>
  <c r="BX146" i="71"/>
  <c r="DC146" i="71"/>
  <c r="CX146" i="71"/>
  <c r="BR146" i="71"/>
  <c r="AJ146" i="71"/>
  <c r="DU146" i="71"/>
  <c r="BI146" i="71"/>
  <c r="CL146" i="71"/>
  <c r="R146" i="71"/>
  <c r="BM146" i="71"/>
  <c r="CJ146" i="71"/>
  <c r="X146" i="71"/>
  <c r="CE146" i="71"/>
  <c r="CS146" i="71"/>
  <c r="BH146" i="71"/>
  <c r="AR146" i="71"/>
  <c r="CP146" i="71"/>
  <c r="CI146" i="71"/>
  <c r="AL146" i="71"/>
  <c r="EG146" i="71"/>
  <c r="T146" i="71"/>
  <c r="DM146" i="71"/>
  <c r="BA146" i="71"/>
  <c r="CD146" i="71"/>
  <c r="J146" i="71"/>
  <c r="BE146" i="71"/>
  <c r="CB146" i="71"/>
  <c r="P146" i="71"/>
  <c r="S146" i="71"/>
  <c r="AI146" i="71"/>
  <c r="AB146" i="71"/>
  <c r="ED146" i="71"/>
  <c r="L146" i="71"/>
  <c r="DY146" i="71"/>
  <c r="BZ146" i="71"/>
  <c r="BS146" i="71"/>
  <c r="V146" i="71"/>
  <c r="DT146" i="71"/>
  <c r="DE146" i="71"/>
  <c r="AS146" i="71"/>
  <c r="BV146" i="71"/>
  <c r="AW146" i="71"/>
  <c r="EF146" i="71"/>
  <c r="BT146" i="71"/>
  <c r="H146" i="71"/>
  <c r="AL20" i="2"/>
  <c r="AM18" i="6" s="1"/>
  <c r="AN20" i="2"/>
  <c r="AO20" i="2"/>
  <c r="AP18" i="6" s="1"/>
  <c r="BU30" i="2"/>
  <c r="AT20" i="2"/>
  <c r="AY165" i="23"/>
  <c r="AW175" i="23"/>
  <c r="AX174" i="23" s="1"/>
  <c r="AX169" i="23"/>
  <c r="AX167" i="23"/>
  <c r="AG26" i="70"/>
  <c r="M33" i="20"/>
  <c r="L33" i="20"/>
  <c r="E21" i="19"/>
  <c r="E22" i="19" s="1"/>
  <c r="E23" i="19" s="1"/>
  <c r="BN23" i="19"/>
  <c r="BN17" i="19"/>
  <c r="BO33" i="2" s="1"/>
  <c r="DZ23" i="19"/>
  <c r="DZ17" i="19"/>
  <c r="EA33" i="2" s="1"/>
  <c r="CP17" i="19"/>
  <c r="CQ33" i="2" s="1"/>
  <c r="CP23" i="19"/>
  <c r="BR17" i="19"/>
  <c r="BS33" i="2" s="1"/>
  <c r="BR23" i="19"/>
  <c r="CX23" i="19"/>
  <c r="CX17" i="19"/>
  <c r="CY33" i="2" s="1"/>
  <c r="CJ23" i="19"/>
  <c r="CJ17" i="19"/>
  <c r="CK33" i="2" s="1"/>
  <c r="CH23" i="19"/>
  <c r="CH17" i="19"/>
  <c r="CI33" i="2" s="1"/>
  <c r="CT23" i="19"/>
  <c r="CT17" i="19"/>
  <c r="CU33" i="2" s="1"/>
  <c r="DA17" i="19"/>
  <c r="DB33" i="2" s="1"/>
  <c r="DA23" i="19"/>
  <c r="EE23" i="19"/>
  <c r="EE17" i="19"/>
  <c r="EF33" i="2" s="1"/>
  <c r="BS23" i="19"/>
  <c r="BS17" i="19"/>
  <c r="BT33" i="2" s="1"/>
  <c r="CG23" i="19"/>
  <c r="CG17" i="19"/>
  <c r="CH33" i="2" s="1"/>
  <c r="DL12" i="2"/>
  <c r="DM10" i="6" s="1"/>
  <c r="DL16" i="2"/>
  <c r="DM14" i="6" s="1"/>
  <c r="BI12" i="2"/>
  <c r="BJ10" i="6" s="1"/>
  <c r="BI16" i="2"/>
  <c r="BJ14" i="6" s="1"/>
  <c r="DF16" i="2"/>
  <c r="DG14" i="6" s="1"/>
  <c r="DF12" i="2"/>
  <c r="DG10" i="6" s="1"/>
  <c r="CF12" i="2"/>
  <c r="CG10" i="6" s="1"/>
  <c r="CF16" i="2"/>
  <c r="CG14" i="6" s="1"/>
  <c r="CE12" i="2"/>
  <c r="CF10" i="6" s="1"/>
  <c r="CE16" i="2"/>
  <c r="CF14" i="6" s="1"/>
  <c r="CB12" i="2"/>
  <c r="CC10" i="6" s="1"/>
  <c r="CB16" i="2"/>
  <c r="CC14" i="6" s="1"/>
  <c r="DE16" i="2"/>
  <c r="DF14" i="6" s="1"/>
  <c r="DE12" i="2"/>
  <c r="DF10" i="6" s="1"/>
  <c r="AJ12" i="2"/>
  <c r="AK10" i="6" s="1"/>
  <c r="AJ16" i="2"/>
  <c r="AK14" i="6" s="1"/>
  <c r="CR16" i="2"/>
  <c r="CS14" i="6" s="1"/>
  <c r="CR12" i="2"/>
  <c r="CS10" i="6" s="1"/>
  <c r="W12" i="2"/>
  <c r="X10" i="6" s="1"/>
  <c r="W16" i="2"/>
  <c r="X14" i="6" s="1"/>
  <c r="CH12" i="2"/>
  <c r="CI10" i="6" s="1"/>
  <c r="CH16" i="2"/>
  <c r="CI14" i="6" s="1"/>
  <c r="M16" i="2"/>
  <c r="N14" i="6" s="1"/>
  <c r="M12" i="2"/>
  <c r="N10" i="6" s="1"/>
  <c r="BX12" i="2"/>
  <c r="BY10" i="6" s="1"/>
  <c r="BX16" i="2"/>
  <c r="BY14" i="6" s="1"/>
  <c r="DZ16" i="2"/>
  <c r="EA14" i="6" s="1"/>
  <c r="DZ12" i="2"/>
  <c r="EA10" i="6" s="1"/>
  <c r="J19" i="20"/>
  <c r="BN16" i="2"/>
  <c r="BO14" i="6" s="1"/>
  <c r="BN12" i="2"/>
  <c r="BO10" i="6" s="1"/>
  <c r="BF45" i="2"/>
  <c r="BF46" i="2"/>
  <c r="G33" i="20"/>
  <c r="CH45" i="2"/>
  <c r="CH46" i="2"/>
  <c r="DO45" i="2"/>
  <c r="DO46" i="2"/>
  <c r="EG46" i="2"/>
  <c r="EG45" i="2"/>
  <c r="CZ45" i="2"/>
  <c r="CZ46" i="2"/>
  <c r="DE45" i="2"/>
  <c r="DE46" i="2"/>
  <c r="EB46" i="2"/>
  <c r="EB45" i="2"/>
  <c r="BP45" i="2"/>
  <c r="BP46" i="2"/>
  <c r="BW46" i="2"/>
  <c r="BW45" i="2"/>
  <c r="Q21" i="19"/>
  <c r="Q22" i="19" s="1"/>
  <c r="M21" i="19"/>
  <c r="M22" i="19" s="1"/>
  <c r="M23" i="19" s="1"/>
  <c r="G21" i="19"/>
  <c r="G22" i="19" s="1"/>
  <c r="L21" i="19"/>
  <c r="L22" i="19" s="1"/>
  <c r="R21" i="19"/>
  <c r="R22" i="19" s="1"/>
  <c r="R23" i="19" s="1"/>
  <c r="DP17" i="19"/>
  <c r="DQ33" i="2" s="1"/>
  <c r="DP23" i="19"/>
  <c r="BF23" i="19"/>
  <c r="BF17" i="19"/>
  <c r="BG33" i="2" s="1"/>
  <c r="CR17" i="19"/>
  <c r="CS33" i="2" s="1"/>
  <c r="CR23" i="19"/>
  <c r="EA23" i="19"/>
  <c r="EA17" i="19"/>
  <c r="EB33" i="2" s="1"/>
  <c r="CL23" i="19"/>
  <c r="CL17" i="19"/>
  <c r="CM33" i="2" s="1"/>
  <c r="BW23" i="19"/>
  <c r="BW17" i="19"/>
  <c r="BX33" i="2" s="1"/>
  <c r="BV23" i="19"/>
  <c r="BV17" i="19"/>
  <c r="BW33" i="2" s="1"/>
  <c r="CF23" i="19"/>
  <c r="CF17" i="19"/>
  <c r="CG33" i="2" s="1"/>
  <c r="CS17" i="19"/>
  <c r="CT33" i="2" s="1"/>
  <c r="CS23" i="19"/>
  <c r="DW23" i="19"/>
  <c r="DW17" i="19"/>
  <c r="DX33" i="2" s="1"/>
  <c r="BK23" i="19"/>
  <c r="BK17" i="19"/>
  <c r="BL33" i="2" s="1"/>
  <c r="BY23" i="19"/>
  <c r="BY17" i="19"/>
  <c r="BZ33" i="2" s="1"/>
  <c r="AQ12" i="2"/>
  <c r="AR10" i="6" s="1"/>
  <c r="AQ16" i="2"/>
  <c r="AR14" i="6" s="1"/>
  <c r="DD12" i="2"/>
  <c r="DE10" i="6" s="1"/>
  <c r="DD16" i="2"/>
  <c r="DE14" i="6" s="1"/>
  <c r="CN12" i="2"/>
  <c r="CO10" i="6" s="1"/>
  <c r="CN16" i="2"/>
  <c r="CO14" i="6" s="1"/>
  <c r="BM12" i="2"/>
  <c r="BN10" i="6" s="1"/>
  <c r="BM16" i="2"/>
  <c r="BN14" i="6" s="1"/>
  <c r="BL16" i="2"/>
  <c r="BM14" i="6" s="1"/>
  <c r="BL12" i="2"/>
  <c r="BM10" i="6" s="1"/>
  <c r="BJ12" i="2"/>
  <c r="BK10" i="6" s="1"/>
  <c r="BJ16" i="2"/>
  <c r="BK14" i="6" s="1"/>
  <c r="CV12" i="2"/>
  <c r="CW10" i="6" s="1"/>
  <c r="CV16" i="2"/>
  <c r="CW14" i="6" s="1"/>
  <c r="AA12" i="2"/>
  <c r="AB10" i="6" s="1"/>
  <c r="AA16" i="2"/>
  <c r="AB14" i="6" s="1"/>
  <c r="CI12" i="2"/>
  <c r="CJ10" i="6" s="1"/>
  <c r="CI16" i="2"/>
  <c r="CJ14" i="6" s="1"/>
  <c r="N12" i="2"/>
  <c r="O10" i="6" s="1"/>
  <c r="N16" i="2"/>
  <c r="O14" i="6" s="1"/>
  <c r="BY12" i="2"/>
  <c r="BZ10" i="6" s="1"/>
  <c r="BY16" i="2"/>
  <c r="BZ14" i="6" s="1"/>
  <c r="D21" i="2"/>
  <c r="E19" i="2" s="1"/>
  <c r="D18" i="20" s="1"/>
  <c r="O18" i="20" s="1"/>
  <c r="D16" i="2"/>
  <c r="D17" i="2" s="1"/>
  <c r="E15" i="2" s="1"/>
  <c r="D14" i="20" s="1"/>
  <c r="O14" i="20" s="1"/>
  <c r="D12" i="2"/>
  <c r="D13" i="2" s="1"/>
  <c r="E11" i="2" s="1"/>
  <c r="D10" i="20" s="1"/>
  <c r="O10" i="20" s="1"/>
  <c r="BO12" i="2"/>
  <c r="BP10" i="6" s="1"/>
  <c r="BO16" i="2"/>
  <c r="BP14" i="6" s="1"/>
  <c r="DR16" i="2"/>
  <c r="DS14" i="6" s="1"/>
  <c r="DR12" i="2"/>
  <c r="DS10" i="6" s="1"/>
  <c r="BF16" i="2"/>
  <c r="BG14" i="6" s="1"/>
  <c r="BF12" i="2"/>
  <c r="BG10" i="6" s="1"/>
  <c r="CP46" i="2"/>
  <c r="CP45" i="2"/>
  <c r="DF46" i="2"/>
  <c r="DF45" i="2"/>
  <c r="CI45" i="2"/>
  <c r="CI46" i="2"/>
  <c r="J73" i="3"/>
  <c r="ED45" i="2"/>
  <c r="ED46" i="2"/>
  <c r="DQ45" i="2"/>
  <c r="DQ46" i="2"/>
  <c r="F33" i="20"/>
  <c r="E35" i="20"/>
  <c r="CR46" i="2"/>
  <c r="CR45" i="2"/>
  <c r="CW46" i="2"/>
  <c r="CW45" i="2"/>
  <c r="DT45" i="2"/>
  <c r="DT46" i="2"/>
  <c r="BH45" i="2"/>
  <c r="BH46" i="2"/>
  <c r="EA45" i="2"/>
  <c r="EA46" i="2"/>
  <c r="BO45" i="2"/>
  <c r="BO46" i="2"/>
  <c r="J21" i="19"/>
  <c r="J22" i="19" s="1"/>
  <c r="J23" i="19" s="1"/>
  <c r="DY12" i="2"/>
  <c r="DZ10" i="6" s="1"/>
  <c r="DY16" i="2"/>
  <c r="DZ14" i="6" s="1"/>
  <c r="BU12" i="2"/>
  <c r="BV10" i="6" s="1"/>
  <c r="BU16" i="2"/>
  <c r="BV14" i="6" s="1"/>
  <c r="K19" i="20"/>
  <c r="BZ12" i="2"/>
  <c r="CA10" i="6" s="1"/>
  <c r="BZ16" i="2"/>
  <c r="CA14" i="6" s="1"/>
  <c r="N19" i="20"/>
  <c r="DJ16" i="2"/>
  <c r="DK14" i="6" s="1"/>
  <c r="DJ12" i="2"/>
  <c r="DK10" i="6" s="1"/>
  <c r="M27" i="70"/>
  <c r="AV23" i="19"/>
  <c r="AV17" i="19"/>
  <c r="AW33" i="2" s="1"/>
  <c r="AU23" i="19"/>
  <c r="AU17" i="19"/>
  <c r="AV33" i="2" s="1"/>
  <c r="CK12" i="2"/>
  <c r="CL10" i="6" s="1"/>
  <c r="CK16" i="2"/>
  <c r="CL14" i="6" s="1"/>
  <c r="H12" i="2"/>
  <c r="I10" i="6" s="1"/>
  <c r="H16" i="2"/>
  <c r="I14" i="6" s="1"/>
  <c r="DQ12" i="2"/>
  <c r="DR10" i="6" s="1"/>
  <c r="DQ16" i="2"/>
  <c r="DR14" i="6" s="1"/>
  <c r="AP12" i="2"/>
  <c r="AQ10" i="6" s="1"/>
  <c r="AP16" i="2"/>
  <c r="AQ14" i="6" s="1"/>
  <c r="DN46" i="2"/>
  <c r="DN45" i="2"/>
  <c r="BR45" i="2"/>
  <c r="BR46" i="2"/>
  <c r="M35" i="20"/>
  <c r="N24" i="20"/>
  <c r="DJ46" i="2"/>
  <c r="DJ45" i="2"/>
  <c r="DI45" i="2"/>
  <c r="DI46" i="2"/>
  <c r="DW45" i="2"/>
  <c r="DW46" i="2"/>
  <c r="CB45" i="2"/>
  <c r="CB46" i="2"/>
  <c r="DK46" i="2"/>
  <c r="DK45" i="2"/>
  <c r="AZ17" i="19"/>
  <c r="BA33" i="2" s="1"/>
  <c r="AZ23" i="19"/>
  <c r="CM23" i="19"/>
  <c r="CM17" i="19"/>
  <c r="CN33" i="2" s="1"/>
  <c r="ED17" i="19"/>
  <c r="EE33" i="2" s="1"/>
  <c r="ED23" i="19"/>
  <c r="AT23" i="19"/>
  <c r="AT17" i="19"/>
  <c r="AU33" i="2" s="1"/>
  <c r="BU17" i="19"/>
  <c r="BV33" i="2" s="1"/>
  <c r="BU23" i="19"/>
  <c r="CY23" i="19"/>
  <c r="CY17" i="19"/>
  <c r="CZ33" i="2" s="1"/>
  <c r="DM23" i="19"/>
  <c r="DM17" i="19"/>
  <c r="DN33" i="2" s="1"/>
  <c r="BA23" i="19"/>
  <c r="BA17" i="19"/>
  <c r="BB33" i="2" s="1"/>
  <c r="O12" i="2"/>
  <c r="P10" i="6" s="1"/>
  <c r="O16" i="2"/>
  <c r="P14" i="6" s="1"/>
  <c r="DC12" i="2"/>
  <c r="DD10" i="6" s="1"/>
  <c r="DC16" i="2"/>
  <c r="DD14" i="6" s="1"/>
  <c r="K12" i="2"/>
  <c r="L10" i="6" s="1"/>
  <c r="K16" i="2"/>
  <c r="L14" i="6" s="1"/>
  <c r="I12" i="2"/>
  <c r="J10" i="6" s="1"/>
  <c r="I16" i="2"/>
  <c r="J14" i="6" s="1"/>
  <c r="G16" i="2"/>
  <c r="H14" i="6" s="1"/>
  <c r="G12" i="2"/>
  <c r="H10" i="6" s="1"/>
  <c r="BT12" i="2"/>
  <c r="BU10" i="6" s="1"/>
  <c r="BT16" i="2"/>
  <c r="BU14" i="6" s="1"/>
  <c r="EC12" i="2"/>
  <c r="ED10" i="6" s="1"/>
  <c r="EC16" i="2"/>
  <c r="ED14" i="6" s="1"/>
  <c r="BH12" i="2"/>
  <c r="BI10" i="6" s="1"/>
  <c r="BH16" i="2"/>
  <c r="BI14" i="6" s="1"/>
  <c r="DS12" i="2"/>
  <c r="DT10" i="6" s="1"/>
  <c r="DS16" i="2"/>
  <c r="DT14" i="6" s="1"/>
  <c r="DH12" i="2"/>
  <c r="DI10" i="6" s="1"/>
  <c r="DH16" i="2"/>
  <c r="DI14" i="6" s="1"/>
  <c r="CT16" i="2"/>
  <c r="CU14" i="6" s="1"/>
  <c r="CT12" i="2"/>
  <c r="CU10" i="6" s="1"/>
  <c r="K33" i="20"/>
  <c r="CY46" i="2"/>
  <c r="CY45" i="2"/>
  <c r="BU46" i="2"/>
  <c r="BU45" i="2"/>
  <c r="CT45" i="2"/>
  <c r="CT46" i="2"/>
  <c r="CS46" i="2"/>
  <c r="CS45" i="2"/>
  <c r="DG46" i="2"/>
  <c r="DG45" i="2"/>
  <c r="EF45" i="2"/>
  <c r="EF46" i="2"/>
  <c r="BT46" i="2"/>
  <c r="BT45" i="2"/>
  <c r="D33" i="20"/>
  <c r="EH34" i="2"/>
  <c r="BY45" i="2"/>
  <c r="BY46" i="2"/>
  <c r="CV45" i="2"/>
  <c r="CV46" i="2"/>
  <c r="DC45" i="2"/>
  <c r="DC46" i="2"/>
  <c r="DD17" i="19"/>
  <c r="DE33" i="2" s="1"/>
  <c r="DD23" i="19"/>
  <c r="BJ23" i="19"/>
  <c r="BJ17" i="19"/>
  <c r="BK33" i="2" s="1"/>
  <c r="BH23" i="19"/>
  <c r="BH17" i="19"/>
  <c r="BI33" i="2" s="1"/>
  <c r="CK17" i="19"/>
  <c r="CL33" i="2" s="1"/>
  <c r="CK23" i="19"/>
  <c r="BC23" i="19"/>
  <c r="BC17" i="19"/>
  <c r="BD33" i="2" s="1"/>
  <c r="Q12" i="2"/>
  <c r="R10" i="6" s="1"/>
  <c r="Q16" i="2"/>
  <c r="R14" i="6" s="1"/>
  <c r="BP12" i="2"/>
  <c r="BQ10" i="6" s="1"/>
  <c r="BP16" i="2"/>
  <c r="BQ14" i="6" s="1"/>
  <c r="AX12" i="2"/>
  <c r="AY10" i="6" s="1"/>
  <c r="AX16" i="2"/>
  <c r="AY14" i="6" s="1"/>
  <c r="M24" i="20"/>
  <c r="CX46" i="2"/>
  <c r="CX45" i="2"/>
  <c r="F35" i="20"/>
  <c r="BG46" i="2"/>
  <c r="BG45" i="2"/>
  <c r="H21" i="19"/>
  <c r="H22" i="19" s="1"/>
  <c r="DB17" i="19"/>
  <c r="DC33" i="2" s="1"/>
  <c r="DB23" i="19"/>
  <c r="BL23" i="19"/>
  <c r="BL17" i="19"/>
  <c r="BM33" i="2" s="1"/>
  <c r="AX23" i="19"/>
  <c r="AX17" i="19"/>
  <c r="AY33" i="2" s="1"/>
  <c r="BG23" i="19"/>
  <c r="BG17" i="19"/>
  <c r="BH33" i="2" s="1"/>
  <c r="DG23" i="19"/>
  <c r="DG17" i="19"/>
  <c r="DH33" i="2" s="1"/>
  <c r="BI23" i="19"/>
  <c r="BI17" i="19"/>
  <c r="BJ33" i="2" s="1"/>
  <c r="CS12" i="2"/>
  <c r="CT10" i="6" s="1"/>
  <c r="CS16" i="2"/>
  <c r="CT14" i="6" s="1"/>
  <c r="CJ12" i="2"/>
  <c r="CK10" i="6" s="1"/>
  <c r="CJ16" i="2"/>
  <c r="CK14" i="6" s="1"/>
  <c r="BC16" i="2"/>
  <c r="BD14" i="6" s="1"/>
  <c r="BC12" i="2"/>
  <c r="BD10" i="6" s="1"/>
  <c r="BQ12" i="2"/>
  <c r="BR10" i="6" s="1"/>
  <c r="BQ16" i="2"/>
  <c r="BR14" i="6" s="1"/>
  <c r="BG12" i="2"/>
  <c r="BH10" i="6" s="1"/>
  <c r="BG16" i="2"/>
  <c r="BH14" i="6" s="1"/>
  <c r="DB16" i="2"/>
  <c r="DC14" i="6" s="1"/>
  <c r="DB12" i="2"/>
  <c r="DC10" i="6" s="1"/>
  <c r="F40" i="42"/>
  <c r="F43" i="42"/>
  <c r="F40" i="64"/>
  <c r="F43" i="64"/>
  <c r="CK45" i="2"/>
  <c r="CK46" i="2"/>
  <c r="CG45" i="2"/>
  <c r="CG46" i="2"/>
  <c r="DD45" i="2"/>
  <c r="DD46" i="2"/>
  <c r="K21" i="19"/>
  <c r="K22" i="19" s="1"/>
  <c r="S21" i="19"/>
  <c r="S22" i="19" s="1"/>
  <c r="N21" i="19"/>
  <c r="N22" i="19" s="1"/>
  <c r="F111" i="3"/>
  <c r="G111" i="3"/>
  <c r="D52" i="23"/>
  <c r="BD17" i="19"/>
  <c r="BE33" i="2" s="1"/>
  <c r="BD23" i="19"/>
  <c r="CD17" i="19"/>
  <c r="CE33" i="2" s="1"/>
  <c r="CD23" i="19"/>
  <c r="CZ17" i="19"/>
  <c r="DA33" i="2" s="1"/>
  <c r="CZ23" i="19"/>
  <c r="CB17" i="19"/>
  <c r="CC33" i="2" s="1"/>
  <c r="CB23" i="19"/>
  <c r="DV23" i="19"/>
  <c r="DV17" i="19"/>
  <c r="DW33" i="2" s="1"/>
  <c r="DT23" i="19"/>
  <c r="DT17" i="19"/>
  <c r="DU33" i="2" s="1"/>
  <c r="EF23" i="19"/>
  <c r="EF17" i="19"/>
  <c r="EG33" i="2" s="1"/>
  <c r="DY17" i="19"/>
  <c r="DZ33" i="2" s="1"/>
  <c r="DY23" i="19"/>
  <c r="BM17" i="19"/>
  <c r="BN33" i="2" s="1"/>
  <c r="BM23" i="19"/>
  <c r="CQ23" i="19"/>
  <c r="CQ17" i="19"/>
  <c r="CR33" i="2" s="1"/>
  <c r="DE23" i="19"/>
  <c r="DE17" i="19"/>
  <c r="DF33" i="2" s="1"/>
  <c r="AS23" i="19"/>
  <c r="AS17" i="19"/>
  <c r="AT33" i="2" s="1"/>
  <c r="CA12" i="2"/>
  <c r="CB10" i="6" s="1"/>
  <c r="CA16" i="2"/>
  <c r="CB14" i="6" s="1"/>
  <c r="P16" i="2"/>
  <c r="Q14" i="6" s="1"/>
  <c r="P12" i="2"/>
  <c r="Q10" i="6" s="1"/>
  <c r="BR16" i="2"/>
  <c r="BS14" i="6" s="1"/>
  <c r="BR12" i="2"/>
  <c r="BS10" i="6" s="1"/>
  <c r="S12" i="2"/>
  <c r="T10" i="6" s="1"/>
  <c r="S16" i="2"/>
  <c r="T14" i="6" s="1"/>
  <c r="EG12" i="2"/>
  <c r="EH10" i="6" s="1"/>
  <c r="EG16" i="2"/>
  <c r="EH14" i="6" s="1"/>
  <c r="EE16" i="2"/>
  <c r="EF14" i="6" s="1"/>
  <c r="EE12" i="2"/>
  <c r="EF10" i="6" s="1"/>
  <c r="EF12" i="2"/>
  <c r="EG10" i="6" s="1"/>
  <c r="EF16" i="2"/>
  <c r="EG14" i="6" s="1"/>
  <c r="BK16" i="2"/>
  <c r="BL14" i="6" s="1"/>
  <c r="BK12" i="2"/>
  <c r="BL10" i="6" s="1"/>
  <c r="DT12" i="2"/>
  <c r="DU10" i="6" s="1"/>
  <c r="DT16" i="2"/>
  <c r="DU14" i="6" s="1"/>
  <c r="AY12" i="2"/>
  <c r="AZ10" i="6" s="1"/>
  <c r="AY16" i="2"/>
  <c r="AZ14" i="6" s="1"/>
  <c r="DI12" i="2"/>
  <c r="DJ10" i="6" s="1"/>
  <c r="DI16" i="2"/>
  <c r="DJ14" i="6" s="1"/>
  <c r="CY16" i="2"/>
  <c r="CZ14" i="6" s="1"/>
  <c r="CY12" i="2"/>
  <c r="CZ10" i="6" s="1"/>
  <c r="L19" i="20"/>
  <c r="CL16" i="2"/>
  <c r="CM14" i="6" s="1"/>
  <c r="CL12" i="2"/>
  <c r="CM10" i="6" s="1"/>
  <c r="Z12" i="2"/>
  <c r="AA10" i="6" s="1"/>
  <c r="Z16" i="2"/>
  <c r="AA14" i="6" s="1"/>
  <c r="DR45" i="2"/>
  <c r="DR46" i="2"/>
  <c r="DV45" i="2"/>
  <c r="DV46" i="2"/>
  <c r="DB45" i="2"/>
  <c r="DB46" i="2"/>
  <c r="BS46" i="2"/>
  <c r="BS45" i="2"/>
  <c r="G35" i="20"/>
  <c r="BE46" i="2"/>
  <c r="BE45" i="2"/>
  <c r="CD45" i="2"/>
  <c r="CD46" i="2"/>
  <c r="CC45" i="2"/>
  <c r="CC46" i="2"/>
  <c r="CQ46" i="2"/>
  <c r="CQ45" i="2"/>
  <c r="DX46" i="2"/>
  <c r="DX45" i="2"/>
  <c r="BL46" i="2"/>
  <c r="BL45" i="2"/>
  <c r="J35" i="20"/>
  <c r="EC46" i="2"/>
  <c r="EC45" i="2"/>
  <c r="BQ46" i="2"/>
  <c r="BQ45" i="2"/>
  <c r="CN46" i="2"/>
  <c r="CN45" i="2"/>
  <c r="CU45" i="2"/>
  <c r="CU46" i="2"/>
  <c r="P21" i="19"/>
  <c r="P22" i="19" s="1"/>
  <c r="DN23" i="19"/>
  <c r="DN17" i="19"/>
  <c r="DO33" i="2" s="1"/>
  <c r="DO23" i="19"/>
  <c r="DO17" i="19"/>
  <c r="DP33" i="2" s="1"/>
  <c r="EC23" i="19"/>
  <c r="EC17" i="19"/>
  <c r="ED33" i="2" s="1"/>
  <c r="BS16" i="2"/>
  <c r="BT14" i="6" s="1"/>
  <c r="BS12" i="2"/>
  <c r="BT10" i="6" s="1"/>
  <c r="AR12" i="2"/>
  <c r="AS10" i="6" s="1"/>
  <c r="AR16" i="2"/>
  <c r="AS14" i="6" s="1"/>
  <c r="D19" i="20"/>
  <c r="E16" i="2"/>
  <c r="E12" i="2"/>
  <c r="BE12" i="2"/>
  <c r="BF10" i="6" s="1"/>
  <c r="BE16" i="2"/>
  <c r="BF14" i="6" s="1"/>
  <c r="L24" i="20"/>
  <c r="CL46" i="2"/>
  <c r="CL45" i="2"/>
  <c r="K35" i="20"/>
  <c r="DA46" i="2"/>
  <c r="DA45" i="2"/>
  <c r="DZ45" i="2"/>
  <c r="DZ46" i="2"/>
  <c r="CJ46" i="2"/>
  <c r="CJ45" i="2"/>
  <c r="DL45" i="2"/>
  <c r="DL46" i="2"/>
  <c r="DS45" i="2"/>
  <c r="DS46" i="2"/>
  <c r="EB17" i="19"/>
  <c r="EC33" i="2" s="1"/>
  <c r="EB23" i="19"/>
  <c r="DU23" i="19"/>
  <c r="DU17" i="19"/>
  <c r="DV33" i="2" s="1"/>
  <c r="AI12" i="2"/>
  <c r="AJ10" i="6" s="1"/>
  <c r="AI16" i="2"/>
  <c r="AJ14" i="6" s="1"/>
  <c r="CC12" i="2"/>
  <c r="CD10" i="6" s="1"/>
  <c r="CC16" i="2"/>
  <c r="CD14" i="6" s="1"/>
  <c r="EB12" i="2"/>
  <c r="EC10" i="6" s="1"/>
  <c r="EB16" i="2"/>
  <c r="EC14" i="6" s="1"/>
  <c r="AV12" i="2"/>
  <c r="AW10" i="6" s="1"/>
  <c r="AV16" i="2"/>
  <c r="AW14" i="6" s="1"/>
  <c r="C118" i="3"/>
  <c r="EE46" i="2"/>
  <c r="EE45" i="2"/>
  <c r="N33" i="20"/>
  <c r="BS10" i="19"/>
  <c r="BS11" i="19"/>
  <c r="BS15" i="19" s="1"/>
  <c r="DL17" i="19"/>
  <c r="DM33" i="2" s="1"/>
  <c r="DL23" i="19"/>
  <c r="CN23" i="19"/>
  <c r="CN17" i="19"/>
  <c r="CO33" i="2" s="1"/>
  <c r="AY23" i="19"/>
  <c r="AY17" i="19"/>
  <c r="AZ33" i="2" s="1"/>
  <c r="F21" i="19"/>
  <c r="F22" i="19" s="1"/>
  <c r="F24" i="19" s="1"/>
  <c r="I21" i="19"/>
  <c r="I22" i="19" s="1"/>
  <c r="K98" i="3"/>
  <c r="CE23" i="19"/>
  <c r="CE17" i="19"/>
  <c r="CF33" i="2" s="1"/>
  <c r="BP17" i="19"/>
  <c r="BQ33" i="2" s="1"/>
  <c r="BP23" i="19"/>
  <c r="BO23" i="19"/>
  <c r="BO17" i="19"/>
  <c r="BP33" i="2" s="1"/>
  <c r="DX23" i="19"/>
  <c r="DX17" i="19"/>
  <c r="DY33" i="2" s="1"/>
  <c r="DJ23" i="19"/>
  <c r="DJ17" i="19"/>
  <c r="DK33" i="2" s="1"/>
  <c r="DH23" i="19"/>
  <c r="DH17" i="19"/>
  <c r="DI33" i="2" s="1"/>
  <c r="DS23" i="19"/>
  <c r="DS17" i="19"/>
  <c r="DT33" i="2" s="1"/>
  <c r="DQ17" i="19"/>
  <c r="DR33" i="2" s="1"/>
  <c r="DQ23" i="19"/>
  <c r="BE17" i="19"/>
  <c r="BF33" i="2" s="1"/>
  <c r="BE23" i="19"/>
  <c r="CI23" i="19"/>
  <c r="CI17" i="19"/>
  <c r="CJ33" i="2" s="1"/>
  <c r="CW23" i="19"/>
  <c r="CW17" i="19"/>
  <c r="CX33" i="2" s="1"/>
  <c r="T12" i="2"/>
  <c r="U10" i="6" s="1"/>
  <c r="T16" i="2"/>
  <c r="U14" i="6" s="1"/>
  <c r="DU12" i="2"/>
  <c r="DV10" i="6" s="1"/>
  <c r="DU16" i="2"/>
  <c r="DV14" i="6" s="1"/>
  <c r="X16" i="2"/>
  <c r="Y14" i="6" s="1"/>
  <c r="X12" i="2"/>
  <c r="Y10" i="6" s="1"/>
  <c r="E19" i="20"/>
  <c r="F16" i="2"/>
  <c r="G14" i="6" s="1"/>
  <c r="F12" i="2"/>
  <c r="G10" i="6" s="1"/>
  <c r="DG12" i="2"/>
  <c r="DH10" i="6" s="1"/>
  <c r="DG16" i="2"/>
  <c r="DH14" i="6" s="1"/>
  <c r="AG12" i="2"/>
  <c r="AH10" i="6" s="1"/>
  <c r="AG16" i="2"/>
  <c r="AH14" i="6" s="1"/>
  <c r="DP12" i="2"/>
  <c r="DQ10" i="6" s="1"/>
  <c r="DP16" i="2"/>
  <c r="DQ14" i="6" s="1"/>
  <c r="DO16" i="2"/>
  <c r="DP14" i="6" s="1"/>
  <c r="DO12" i="2"/>
  <c r="DP10" i="6" s="1"/>
  <c r="DM16" i="2"/>
  <c r="DN14" i="6" s="1"/>
  <c r="DM12" i="2"/>
  <c r="DN10" i="6" s="1"/>
  <c r="DW16" i="2"/>
  <c r="DX14" i="6" s="1"/>
  <c r="DW12" i="2"/>
  <c r="DX10" i="6" s="1"/>
  <c r="DK12" i="2"/>
  <c r="DL10" i="6" s="1"/>
  <c r="DK16" i="2"/>
  <c r="DL14" i="6" s="1"/>
  <c r="CZ12" i="2"/>
  <c r="DA10" i="6" s="1"/>
  <c r="CZ16" i="2"/>
  <c r="DA14" i="6" s="1"/>
  <c r="CP12" i="2"/>
  <c r="CQ10" i="6" s="1"/>
  <c r="CP16" i="2"/>
  <c r="CQ14" i="6" s="1"/>
  <c r="U16" i="2"/>
  <c r="V14" i="6" s="1"/>
  <c r="U12" i="2"/>
  <c r="V10" i="6" s="1"/>
  <c r="CD16" i="2"/>
  <c r="CE14" i="6" s="1"/>
  <c r="CD12" i="2"/>
  <c r="CE10" i="6" s="1"/>
  <c r="R12" i="2"/>
  <c r="S10" i="6" s="1"/>
  <c r="R16" i="2"/>
  <c r="S14" i="6" s="1"/>
  <c r="BJ46" i="2"/>
  <c r="BJ45" i="2"/>
  <c r="BV46" i="2"/>
  <c r="BV45" i="2"/>
  <c r="J33" i="20"/>
  <c r="J24" i="20"/>
  <c r="BN46" i="2"/>
  <c r="BN45" i="2"/>
  <c r="BM45" i="2"/>
  <c r="BM46" i="2"/>
  <c r="CA46" i="2"/>
  <c r="CA45" i="2"/>
  <c r="DP46" i="2"/>
  <c r="DP45" i="2"/>
  <c r="BD45" i="2"/>
  <c r="BD46" i="2"/>
  <c r="DU46" i="2"/>
  <c r="DU45" i="2"/>
  <c r="BI46" i="2"/>
  <c r="BI45" i="2"/>
  <c r="CF46" i="2"/>
  <c r="CF45" i="2"/>
  <c r="CM45" i="2"/>
  <c r="CM46" i="2"/>
  <c r="BX23" i="19"/>
  <c r="BX17" i="19"/>
  <c r="BY33" i="2" s="1"/>
  <c r="BT23" i="19"/>
  <c r="BT17" i="19"/>
  <c r="BU33" i="2" s="1"/>
  <c r="BQ23" i="19"/>
  <c r="BQ17" i="19"/>
  <c r="BR33" i="2" s="1"/>
  <c r="CO12" i="2"/>
  <c r="CP10" i="6" s="1"/>
  <c r="CO16" i="2"/>
  <c r="CP14" i="6" s="1"/>
  <c r="DV12" i="2"/>
  <c r="DW10" i="6" s="1"/>
  <c r="DV16" i="2"/>
  <c r="DW14" i="6" s="1"/>
  <c r="CM12" i="2"/>
  <c r="CN10" i="6" s="1"/>
  <c r="CM16" i="2"/>
  <c r="CN14" i="6" s="1"/>
  <c r="EA12" i="2"/>
  <c r="EB10" i="6" s="1"/>
  <c r="EA16" i="2"/>
  <c r="EB14" i="6" s="1"/>
  <c r="DY45" i="2"/>
  <c r="DY46" i="2"/>
  <c r="L35" i="20"/>
  <c r="CO45" i="2"/>
  <c r="CO46" i="2"/>
  <c r="BT9" i="19"/>
  <c r="BU5" i="19"/>
  <c r="BU13" i="19" s="1"/>
  <c r="DR23" i="19"/>
  <c r="DR17" i="19"/>
  <c r="DS33" i="2" s="1"/>
  <c r="BZ17" i="19"/>
  <c r="CA33" i="2" s="1"/>
  <c r="BZ23" i="19"/>
  <c r="CC17" i="19"/>
  <c r="CD33" i="2" s="1"/>
  <c r="CC23" i="19"/>
  <c r="O21" i="19"/>
  <c r="O22" i="19" s="1"/>
  <c r="DC23" i="19"/>
  <c r="DC17" i="19"/>
  <c r="DD33" i="2" s="1"/>
  <c r="BB23" i="19"/>
  <c r="BB17" i="19"/>
  <c r="BC33" i="2" s="1"/>
  <c r="DK23" i="19"/>
  <c r="DK17" i="19"/>
  <c r="DL33" i="2" s="1"/>
  <c r="CV23" i="19"/>
  <c r="CV17" i="19"/>
  <c r="CW33" i="2" s="1"/>
  <c r="CU23" i="19"/>
  <c r="CU17" i="19"/>
  <c r="CV33" i="2" s="1"/>
  <c r="DF23" i="19"/>
  <c r="DF17" i="19"/>
  <c r="DG33" i="2" s="1"/>
  <c r="DI17" i="19"/>
  <c r="DJ33" i="2" s="1"/>
  <c r="DI23" i="19"/>
  <c r="AW17" i="19"/>
  <c r="AX33" i="2" s="1"/>
  <c r="AW23" i="19"/>
  <c r="CA23" i="19"/>
  <c r="CA17" i="19"/>
  <c r="CB33" i="2" s="1"/>
  <c r="CO23" i="19"/>
  <c r="CO17" i="19"/>
  <c r="CP33" i="2" s="1"/>
  <c r="B22" i="3"/>
  <c r="ED16" i="2"/>
  <c r="EE14" i="6" s="1"/>
  <c r="ED12" i="2"/>
  <c r="EE10" i="6" s="1"/>
  <c r="BW12" i="2"/>
  <c r="BX10" i="6" s="1"/>
  <c r="BW16" i="2"/>
  <c r="BX14" i="6" s="1"/>
  <c r="DX16" i="2"/>
  <c r="DY14" i="6" s="1"/>
  <c r="DX12" i="2"/>
  <c r="DY10" i="6" s="1"/>
  <c r="M19" i="20"/>
  <c r="CX12" i="2"/>
  <c r="CY10" i="6" s="1"/>
  <c r="CX16" i="2"/>
  <c r="CY14" i="6" s="1"/>
  <c r="CW12" i="2"/>
  <c r="CX10" i="6" s="1"/>
  <c r="CW16" i="2"/>
  <c r="CX14" i="6" s="1"/>
  <c r="CU12" i="2"/>
  <c r="CV10" i="6" s="1"/>
  <c r="CU16" i="2"/>
  <c r="CV14" i="6" s="1"/>
  <c r="DN16" i="2"/>
  <c r="DO14" i="6" s="1"/>
  <c r="DN12" i="2"/>
  <c r="DO10" i="6" s="1"/>
  <c r="AS16" i="2"/>
  <c r="AT14" i="6" s="1"/>
  <c r="AS12" i="2"/>
  <c r="AT10" i="6" s="1"/>
  <c r="DA12" i="2"/>
  <c r="DB10" i="6" s="1"/>
  <c r="DA16" i="2"/>
  <c r="DB14" i="6" s="1"/>
  <c r="CQ16" i="2"/>
  <c r="CR14" i="6" s="1"/>
  <c r="CQ12" i="2"/>
  <c r="CR10" i="6" s="1"/>
  <c r="CG16" i="2"/>
  <c r="CH14" i="6" s="1"/>
  <c r="CG12" i="2"/>
  <c r="CH10" i="6" s="1"/>
  <c r="L12" i="2"/>
  <c r="M10" i="6" s="1"/>
  <c r="L16" i="2"/>
  <c r="M14" i="6" s="1"/>
  <c r="BV16" i="2"/>
  <c r="BW14" i="6" s="1"/>
  <c r="BV12" i="2"/>
  <c r="BW10" i="6" s="1"/>
  <c r="J12" i="2"/>
  <c r="K10" i="6" s="1"/>
  <c r="J16" i="2"/>
  <c r="K14" i="6" s="1"/>
  <c r="H33" i="20"/>
  <c r="E33" i="20"/>
  <c r="K24" i="20"/>
  <c r="BZ45" i="2"/>
  <c r="BZ46" i="2"/>
  <c r="I33" i="20"/>
  <c r="BK45" i="2"/>
  <c r="BK46" i="2"/>
  <c r="DH46" i="2"/>
  <c r="DH45" i="2"/>
  <c r="N35" i="20"/>
  <c r="DM46" i="2"/>
  <c r="DM45" i="2"/>
  <c r="BX46" i="2"/>
  <c r="BX45" i="2"/>
  <c r="CE46" i="2"/>
  <c r="CE45" i="2"/>
  <c r="BU5" i="2"/>
  <c r="BV7" i="2"/>
  <c r="BV31" i="2" s="1"/>
  <c r="V16" i="2" l="1"/>
  <c r="W14" i="6" s="1"/>
  <c r="V12" i="2"/>
  <c r="W10" i="6" s="1"/>
  <c r="AH59" i="6"/>
  <c r="H89" i="6"/>
  <c r="H86" i="6" s="1"/>
  <c r="P89" i="6"/>
  <c r="P86" i="6" s="1"/>
  <c r="K89" i="6"/>
  <c r="K86" i="6" s="1"/>
  <c r="M89" i="6"/>
  <c r="M86" i="6" s="1"/>
  <c r="BW6" i="6"/>
  <c r="BV6" i="30"/>
  <c r="AB20" i="2"/>
  <c r="AC18" i="6" s="1"/>
  <c r="Z18" i="6"/>
  <c r="O89" i="6"/>
  <c r="O86" i="6" s="1"/>
  <c r="R112" i="6"/>
  <c r="R109" i="6" s="1"/>
  <c r="J112" i="6"/>
  <c r="J109" i="6" s="1"/>
  <c r="AT12" i="2"/>
  <c r="AU10" i="6" s="1"/>
  <c r="AU18" i="6"/>
  <c r="S24" i="6"/>
  <c r="AI57" i="6"/>
  <c r="AJ50" i="6"/>
  <c r="AJ54" i="6"/>
  <c r="AK44" i="6"/>
  <c r="BU171" i="6"/>
  <c r="I89" i="6"/>
  <c r="I86" i="6" s="1"/>
  <c r="P112" i="6"/>
  <c r="P109" i="6" s="1"/>
  <c r="I112" i="6"/>
  <c r="I109" i="6" s="1"/>
  <c r="AI48" i="6"/>
  <c r="AI55" i="6"/>
  <c r="AJ46" i="6"/>
  <c r="AN16" i="2"/>
  <c r="AO14" i="6" s="1"/>
  <c r="AO18" i="6"/>
  <c r="L89" i="6"/>
  <c r="L86" i="6" s="1"/>
  <c r="AI58" i="6"/>
  <c r="AJ51" i="6"/>
  <c r="S112" i="6"/>
  <c r="L112" i="6"/>
  <c r="L109" i="6" s="1"/>
  <c r="K112" i="6"/>
  <c r="K109" i="6" s="1"/>
  <c r="T24" i="6"/>
  <c r="W35" i="6"/>
  <c r="H112" i="6"/>
  <c r="H109" i="6" s="1"/>
  <c r="M112" i="6"/>
  <c r="M109" i="6" s="1"/>
  <c r="V28" i="6"/>
  <c r="Q112" i="6"/>
  <c r="Q109" i="6" s="1"/>
  <c r="G112" i="6"/>
  <c r="H29" i="6"/>
  <c r="I27" i="6" s="1"/>
  <c r="BV175" i="6"/>
  <c r="BV135" i="6"/>
  <c r="BV49" i="6"/>
  <c r="BV45" i="6"/>
  <c r="BV43" i="6"/>
  <c r="R24" i="6"/>
  <c r="H24" i="6"/>
  <c r="N89" i="6"/>
  <c r="N86" i="6" s="1"/>
  <c r="BU176" i="6"/>
  <c r="BU177" i="6"/>
  <c r="BU153" i="6"/>
  <c r="BU152" i="6"/>
  <c r="BU172" i="6"/>
  <c r="BU167" i="6"/>
  <c r="BU166" i="6"/>
  <c r="BU148" i="6"/>
  <c r="BU143" i="6"/>
  <c r="BU142" i="6"/>
  <c r="BU161" i="6"/>
  <c r="BU156" i="6"/>
  <c r="BU138" i="6"/>
  <c r="BU137" i="6"/>
  <c r="BU147" i="6"/>
  <c r="BU162" i="6"/>
  <c r="BU157" i="6"/>
  <c r="U28" i="6"/>
  <c r="U24" i="6" s="1"/>
  <c r="O112" i="6"/>
  <c r="O109" i="6" s="1"/>
  <c r="G39" i="6"/>
  <c r="G40" i="6" s="1"/>
  <c r="G62" i="6" s="1"/>
  <c r="G38" i="6"/>
  <c r="H31" i="6"/>
  <c r="H36" i="6" s="1"/>
  <c r="H39" i="6" s="1"/>
  <c r="H40" i="6" s="1"/>
  <c r="H62" i="6" s="1"/>
  <c r="N112" i="6"/>
  <c r="N109" i="6" s="1"/>
  <c r="K24" i="6"/>
  <c r="AI56" i="6"/>
  <c r="AJ47" i="6"/>
  <c r="AC20" i="2"/>
  <c r="Y12" i="2"/>
  <c r="Z10" i="6" s="1"/>
  <c r="Y16" i="2"/>
  <c r="Z14" i="6" s="1"/>
  <c r="DH35" i="70"/>
  <c r="CO35" i="70"/>
  <c r="BQ35" i="70"/>
  <c r="DD35" i="70"/>
  <c r="BE35" i="70"/>
  <c r="BN35" i="70"/>
  <c r="DA35" i="70"/>
  <c r="BV35" i="70"/>
  <c r="CV35" i="70"/>
  <c r="CM35" i="70"/>
  <c r="BX35" i="70"/>
  <c r="EC35" i="70"/>
  <c r="BG35" i="70"/>
  <c r="DN35" i="70"/>
  <c r="CJ35" i="70"/>
  <c r="CU35" i="70"/>
  <c r="EA35" i="70"/>
  <c r="DV35" i="70"/>
  <c r="DY35" i="70"/>
  <c r="EF35" i="70"/>
  <c r="BK35" i="70"/>
  <c r="F66" i="42"/>
  <c r="F66" i="64" s="1"/>
  <c r="EE35" i="70"/>
  <c r="DS35" i="70"/>
  <c r="CF35" i="70"/>
  <c r="CG35" i="70"/>
  <c r="BO35" i="70"/>
  <c r="AM20" i="2"/>
  <c r="DU35" i="70"/>
  <c r="CY35" i="70"/>
  <c r="CS35" i="70"/>
  <c r="BI35" i="70"/>
  <c r="BD35" i="70"/>
  <c r="DI35" i="70"/>
  <c r="DB35" i="70"/>
  <c r="DP35" i="70"/>
  <c r="DM35" i="70"/>
  <c r="CA35" i="70"/>
  <c r="BZ35" i="70"/>
  <c r="DZ35" i="70"/>
  <c r="DW35" i="70"/>
  <c r="BL35" i="70"/>
  <c r="BT13" i="70"/>
  <c r="DL35" i="70"/>
  <c r="CD35" i="70"/>
  <c r="BT35" i="70"/>
  <c r="BR35" i="70"/>
  <c r="CR35" i="70"/>
  <c r="DK35" i="70"/>
  <c r="CP35" i="70"/>
  <c r="CZ35" i="70"/>
  <c r="CB35" i="70"/>
  <c r="DC35" i="70"/>
  <c r="DQ35" i="70"/>
  <c r="DG35" i="70"/>
  <c r="BH35" i="70"/>
  <c r="ED35" i="70"/>
  <c r="DO35" i="70"/>
  <c r="BS35" i="70"/>
  <c r="CX35" i="70"/>
  <c r="BW35" i="70"/>
  <c r="CE35" i="70"/>
  <c r="DX35" i="70"/>
  <c r="BY35" i="70"/>
  <c r="CT35" i="70"/>
  <c r="DT35" i="70"/>
  <c r="BP35" i="70"/>
  <c r="CH35" i="70"/>
  <c r="BJ35" i="70"/>
  <c r="CI35" i="70"/>
  <c r="CQ35" i="70"/>
  <c r="DJ35" i="70"/>
  <c r="CC35" i="70"/>
  <c r="CK35" i="70"/>
  <c r="BU35" i="70"/>
  <c r="CW35" i="70"/>
  <c r="EB35" i="70"/>
  <c r="BF35" i="70"/>
  <c r="CL35" i="70"/>
  <c r="CN35" i="70"/>
  <c r="BM35" i="70"/>
  <c r="DR35" i="70"/>
  <c r="DF35" i="70"/>
  <c r="DE35" i="70"/>
  <c r="AD20" i="2"/>
  <c r="AE18" i="6" s="1"/>
  <c r="AL12" i="2"/>
  <c r="AM10" i="6" s="1"/>
  <c r="AL16" i="2"/>
  <c r="AM14" i="6" s="1"/>
  <c r="AU143" i="69"/>
  <c r="W143" i="69"/>
  <c r="AQ143" i="69"/>
  <c r="AG143" i="69"/>
  <c r="G143" i="69"/>
  <c r="AA143" i="69"/>
  <c r="AE143" i="69"/>
  <c r="AP143" i="69"/>
  <c r="O141" i="68"/>
  <c r="AR143" i="69"/>
  <c r="Q143" i="69"/>
  <c r="F157" i="71"/>
  <c r="H143" i="69"/>
  <c r="J143" i="69"/>
  <c r="G141" i="68"/>
  <c r="P143" i="69"/>
  <c r="M143" i="69"/>
  <c r="I143" i="69"/>
  <c r="K143" i="69"/>
  <c r="U143" i="69"/>
  <c r="O143" i="69"/>
  <c r="AI143" i="69"/>
  <c r="AS143" i="69"/>
  <c r="BU145" i="71"/>
  <c r="AB143" i="69"/>
  <c r="S143" i="69"/>
  <c r="L143" i="69"/>
  <c r="AH143" i="69"/>
  <c r="M141" i="68"/>
  <c r="AM143" i="69"/>
  <c r="AV143" i="69"/>
  <c r="N143" i="69"/>
  <c r="H141" i="68"/>
  <c r="AK143" i="69"/>
  <c r="AC143" i="69"/>
  <c r="Z143" i="69"/>
  <c r="K141" i="68"/>
  <c r="AO143" i="69"/>
  <c r="AD143" i="69"/>
  <c r="L141" i="68"/>
  <c r="X143" i="69"/>
  <c r="AL143" i="69"/>
  <c r="N141" i="68"/>
  <c r="AW143" i="69"/>
  <c r="AJ143" i="69"/>
  <c r="Y143" i="69"/>
  <c r="T143" i="69"/>
  <c r="AF143" i="69"/>
  <c r="AT143" i="69"/>
  <c r="P141" i="68"/>
  <c r="F143" i="69"/>
  <c r="F141" i="68"/>
  <c r="AN143" i="69"/>
  <c r="AN12" i="2"/>
  <c r="AO12" i="2"/>
  <c r="AP10" i="6" s="1"/>
  <c r="AO16" i="2"/>
  <c r="AP14" i="6" s="1"/>
  <c r="BV30" i="2"/>
  <c r="AT16" i="2"/>
  <c r="AU14" i="6" s="1"/>
  <c r="AU20" i="2"/>
  <c r="AV18" i="6" s="1"/>
  <c r="AZ164" i="23"/>
  <c r="AZ162" i="23"/>
  <c r="AX172" i="23"/>
  <c r="AX175" i="23" s="1"/>
  <c r="AW176" i="23"/>
  <c r="AX170" i="23"/>
  <c r="K73" i="3"/>
  <c r="K30" i="3"/>
  <c r="D22" i="3"/>
  <c r="D118" i="3"/>
  <c r="Q42" i="2"/>
  <c r="AL39" i="2"/>
  <c r="DN39" i="2"/>
  <c r="EA42" i="2"/>
  <c r="CH38" i="2"/>
  <c r="DB38" i="2"/>
  <c r="K38" i="2"/>
  <c r="DP38" i="2"/>
  <c r="P24" i="19"/>
  <c r="P23" i="19"/>
  <c r="AY38" i="2"/>
  <c r="AQ38" i="2"/>
  <c r="BO42" i="2"/>
  <c r="BQ38" i="2"/>
  <c r="AP38" i="2"/>
  <c r="CN39" i="2"/>
  <c r="DW39" i="2"/>
  <c r="BR38" i="2"/>
  <c r="DT38" i="2"/>
  <c r="ED38" i="2"/>
  <c r="AY42" i="2"/>
  <c r="AF38" i="2"/>
  <c r="AU38" i="2"/>
  <c r="AR38" i="2"/>
  <c r="CI38" i="2"/>
  <c r="AH38" i="2"/>
  <c r="R24" i="19"/>
  <c r="BH42" i="2"/>
  <c r="CF38" i="2"/>
  <c r="CA38" i="2"/>
  <c r="CE42" i="2"/>
  <c r="CX38" i="2"/>
  <c r="BH38" i="2"/>
  <c r="CZ38" i="2"/>
  <c r="AK38" i="2"/>
  <c r="CL38" i="2"/>
  <c r="AO38" i="2"/>
  <c r="W38" i="2"/>
  <c r="BY38" i="2"/>
  <c r="CD38" i="2"/>
  <c r="Z38" i="2"/>
  <c r="BX38" i="2"/>
  <c r="AN38" i="2"/>
  <c r="BT38" i="2"/>
  <c r="P38" i="2"/>
  <c r="CY38" i="2"/>
  <c r="AM38" i="2"/>
  <c r="DO38" i="2"/>
  <c r="BB38" i="2"/>
  <c r="EG38" i="2"/>
  <c r="DL38" i="2"/>
  <c r="CG38" i="2"/>
  <c r="DF38" i="2"/>
  <c r="AS38" i="2"/>
  <c r="DY38" i="2"/>
  <c r="BO38" i="2"/>
  <c r="T38" i="2"/>
  <c r="BL38" i="2"/>
  <c r="BM38" i="2"/>
  <c r="AV38" i="2"/>
  <c r="DJ38" i="2"/>
  <c r="AT38" i="2"/>
  <c r="DM38" i="2"/>
  <c r="AW38" i="2"/>
  <c r="L24" i="19"/>
  <c r="L23" i="19"/>
  <c r="DX42" i="2"/>
  <c r="DA42" i="2"/>
  <c r="CT38" i="2"/>
  <c r="DK38" i="2"/>
  <c r="DG38" i="2"/>
  <c r="M38" i="2"/>
  <c r="DD38" i="2"/>
  <c r="CS38" i="2"/>
  <c r="CT42" i="2"/>
  <c r="AW42" i="2"/>
  <c r="DC38" i="2"/>
  <c r="BI38" i="2"/>
  <c r="BZ38" i="2"/>
  <c r="CO38" i="2"/>
  <c r="DX38" i="2"/>
  <c r="DE38" i="2"/>
  <c r="CU38" i="2"/>
  <c r="BU38" i="2"/>
  <c r="CA42" i="2"/>
  <c r="CU42" i="2"/>
  <c r="W23" i="19"/>
  <c r="N23" i="19"/>
  <c r="N24" i="19"/>
  <c r="K23" i="19"/>
  <c r="K24" i="19"/>
  <c r="AQ39" i="2"/>
  <c r="DT39" i="2"/>
  <c r="AI39" i="2"/>
  <c r="CL39" i="2"/>
  <c r="CP39" i="2"/>
  <c r="DK39" i="2"/>
  <c r="BF42" i="2"/>
  <c r="EF39" i="2"/>
  <c r="ED39" i="2"/>
  <c r="BY39" i="2"/>
  <c r="CF39" i="2"/>
  <c r="AC38" i="2"/>
  <c r="DR38" i="2"/>
  <c r="CR38" i="2"/>
  <c r="BF38" i="2"/>
  <c r="EB38" i="2"/>
  <c r="AE38" i="2"/>
  <c r="BC38" i="2"/>
  <c r="CV38" i="2"/>
  <c r="EE38" i="2"/>
  <c r="AI38" i="2"/>
  <c r="CK38" i="2"/>
  <c r="H39" i="2"/>
  <c r="DX39" i="2"/>
  <c r="AK39" i="2"/>
  <c r="X39" i="2"/>
  <c r="BR39" i="2"/>
  <c r="DD39" i="2"/>
  <c r="DR39" i="2"/>
  <c r="M39" i="2"/>
  <c r="U39" i="2"/>
  <c r="AY39" i="2"/>
  <c r="EC42" i="2"/>
  <c r="ED42" i="2"/>
  <c r="BQ42" i="2"/>
  <c r="M42" i="2"/>
  <c r="DI42" i="2"/>
  <c r="CT39" i="2"/>
  <c r="DY39" i="2"/>
  <c r="BC39" i="2"/>
  <c r="CK39" i="2"/>
  <c r="EA39" i="2"/>
  <c r="BL39" i="2"/>
  <c r="BJ39" i="2"/>
  <c r="K39" i="2"/>
  <c r="CL42" i="2"/>
  <c r="AO42" i="2"/>
  <c r="CD39" i="2"/>
  <c r="AJ39" i="2"/>
  <c r="BA39" i="2"/>
  <c r="BX39" i="2"/>
  <c r="DC39" i="2"/>
  <c r="CN42" i="2"/>
  <c r="DE42" i="2"/>
  <c r="DP42" i="2"/>
  <c r="M18" i="21"/>
  <c r="J24" i="19"/>
  <c r="DU38" i="2"/>
  <c r="AD38" i="2"/>
  <c r="EA38" i="2"/>
  <c r="BD38" i="2"/>
  <c r="BP38" i="2"/>
  <c r="CN38" i="2"/>
  <c r="DW38" i="2"/>
  <c r="AJ38" i="2"/>
  <c r="BS38" i="2"/>
  <c r="DI38" i="2"/>
  <c r="AG38" i="2"/>
  <c r="CC39" i="2"/>
  <c r="BK39" i="2"/>
  <c r="AO39" i="2"/>
  <c r="DL39" i="2"/>
  <c r="Q39" i="2"/>
  <c r="AX39" i="2"/>
  <c r="AH39" i="2"/>
  <c r="AW39" i="2"/>
  <c r="BN39" i="2"/>
  <c r="BV39" i="2"/>
  <c r="CU39" i="2"/>
  <c r="E21" i="2"/>
  <c r="F21" i="2" s="1"/>
  <c r="DO42" i="2"/>
  <c r="AP42" i="2"/>
  <c r="CM42" i="2"/>
  <c r="P42" i="2"/>
  <c r="DG42" i="2"/>
  <c r="M24" i="19"/>
  <c r="DI39" i="2"/>
  <c r="J39" i="2"/>
  <c r="CR39" i="2"/>
  <c r="DE39" i="2"/>
  <c r="CY39" i="2"/>
  <c r="R39" i="2"/>
  <c r="CI39" i="2"/>
  <c r="DG39" i="2"/>
  <c r="Z42" i="2"/>
  <c r="CJ38" i="2"/>
  <c r="EC38" i="2"/>
  <c r="DH38" i="2"/>
  <c r="AL38" i="2"/>
  <c r="BG38" i="2"/>
  <c r="CE38" i="2"/>
  <c r="DN38" i="2"/>
  <c r="AA38" i="2"/>
  <c r="BJ38" i="2"/>
  <c r="DA38" i="2"/>
  <c r="Y38" i="2"/>
  <c r="I39" i="2"/>
  <c r="BH39" i="2"/>
  <c r="DF39" i="2"/>
  <c r="CS39" i="2"/>
  <c r="DB39" i="2"/>
  <c r="EE39" i="2"/>
  <c r="Y39" i="2"/>
  <c r="AN39" i="2"/>
  <c r="BE39" i="2"/>
  <c r="BD39" i="2"/>
  <c r="BW39" i="2"/>
  <c r="DN42" i="2"/>
  <c r="DF42" i="2"/>
  <c r="CJ42" i="2"/>
  <c r="CH42" i="2"/>
  <c r="AU42" i="2"/>
  <c r="O39" i="2"/>
  <c r="DZ39" i="2"/>
  <c r="CW39" i="2"/>
  <c r="CQ39" i="2"/>
  <c r="DP39" i="2"/>
  <c r="W39" i="2"/>
  <c r="CH39" i="2"/>
  <c r="F23" i="19"/>
  <c r="BZ39" i="2"/>
  <c r="BQ39" i="2"/>
  <c r="Z39" i="2"/>
  <c r="DO39" i="2"/>
  <c r="BU39" i="2"/>
  <c r="AP39" i="2"/>
  <c r="CJ39" i="2"/>
  <c r="DV39" i="2"/>
  <c r="P39" i="2"/>
  <c r="V39" i="2"/>
  <c r="AD39" i="2"/>
  <c r="AU39" i="2"/>
  <c r="BO39" i="2"/>
  <c r="H42" i="2"/>
  <c r="BV42" i="2"/>
  <c r="BR42" i="2"/>
  <c r="BY42" i="2"/>
  <c r="AL42" i="2"/>
  <c r="AH26" i="70"/>
  <c r="H24" i="19"/>
  <c r="H23" i="19"/>
  <c r="Q24" i="19"/>
  <c r="Q23" i="19"/>
  <c r="U23" i="19"/>
  <c r="Y23" i="19"/>
  <c r="O23" i="19"/>
  <c r="O24" i="19"/>
  <c r="S23" i="19"/>
  <c r="S24" i="19"/>
  <c r="I23" i="19"/>
  <c r="I24" i="19"/>
  <c r="G24" i="19"/>
  <c r="G23" i="19"/>
  <c r="K45" i="20"/>
  <c r="BV5" i="19"/>
  <c r="BV13" i="19" s="1"/>
  <c r="BU9" i="19"/>
  <c r="E18" i="21"/>
  <c r="J32" i="20"/>
  <c r="X23" i="19"/>
  <c r="L32" i="20"/>
  <c r="O33" i="20"/>
  <c r="K2" i="2"/>
  <c r="N44" i="20"/>
  <c r="H2" i="2"/>
  <c r="K18" i="21"/>
  <c r="DU42" i="2"/>
  <c r="DB42" i="2"/>
  <c r="DM42" i="2"/>
  <c r="AR42" i="2"/>
  <c r="CZ42" i="2"/>
  <c r="AE42" i="2"/>
  <c r="CG42" i="2"/>
  <c r="L42" i="2"/>
  <c r="BN42" i="2"/>
  <c r="DY42" i="2"/>
  <c r="BM42" i="2"/>
  <c r="J18" i="21"/>
  <c r="W2" i="2"/>
  <c r="AJ2" i="2"/>
  <c r="K44" i="20"/>
  <c r="M15" i="20"/>
  <c r="BT11" i="19"/>
  <c r="BT15" i="19" s="1"/>
  <c r="BT10" i="19"/>
  <c r="E11" i="20"/>
  <c r="F2" i="2"/>
  <c r="CP38" i="2"/>
  <c r="BW38" i="2"/>
  <c r="CQ38" i="2"/>
  <c r="V38" i="2"/>
  <c r="BV38" i="2"/>
  <c r="EF38" i="2"/>
  <c r="BK38" i="2"/>
  <c r="DV38" i="2"/>
  <c r="BA38" i="2"/>
  <c r="DQ38" i="2"/>
  <c r="BE38" i="2"/>
  <c r="CV39" i="2"/>
  <c r="AT39" i="2"/>
  <c r="E39" i="2"/>
  <c r="AB39" i="2"/>
  <c r="F39" i="2"/>
  <c r="DU39" i="2"/>
  <c r="DA39" i="2"/>
  <c r="DM39" i="2"/>
  <c r="AR39" i="2"/>
  <c r="CZ39" i="2"/>
  <c r="AE39" i="2"/>
  <c r="CG39" i="2"/>
  <c r="L39" i="2"/>
  <c r="BM39" i="2"/>
  <c r="DS39" i="2"/>
  <c r="BG39" i="2"/>
  <c r="N45" i="20"/>
  <c r="K15" i="20"/>
  <c r="EF42" i="2"/>
  <c r="J42" i="2"/>
  <c r="E42" i="2"/>
  <c r="DL42" i="2"/>
  <c r="DW42" i="2"/>
  <c r="DC42" i="2"/>
  <c r="CI42" i="2"/>
  <c r="DD42" i="2"/>
  <c r="AI42" i="2"/>
  <c r="CQ42" i="2"/>
  <c r="V42" i="2"/>
  <c r="BX42" i="2"/>
  <c r="DZ42" i="2"/>
  <c r="BD42" i="2"/>
  <c r="DQ42" i="2"/>
  <c r="BE42" i="2"/>
  <c r="L2" i="2"/>
  <c r="T2" i="2"/>
  <c r="M32" i="20"/>
  <c r="L44" i="20"/>
  <c r="L11" i="20"/>
  <c r="S2" i="2"/>
  <c r="M44" i="20"/>
  <c r="I2" i="2"/>
  <c r="BK42" i="2"/>
  <c r="CV42" i="2"/>
  <c r="BC42" i="2"/>
  <c r="AK42" i="2"/>
  <c r="BI42" i="2"/>
  <c r="BT42" i="2"/>
  <c r="AZ42" i="2"/>
  <c r="AF42" i="2"/>
  <c r="CB42" i="2"/>
  <c r="G42" i="2"/>
  <c r="BP42" i="2"/>
  <c r="DR42" i="2"/>
  <c r="AV42" i="2"/>
  <c r="CX42" i="2"/>
  <c r="AC42" i="2"/>
  <c r="CS42" i="2"/>
  <c r="AG42" i="2"/>
  <c r="E15" i="20"/>
  <c r="K11" i="20"/>
  <c r="J11" i="20"/>
  <c r="M11" i="20"/>
  <c r="N18" i="21"/>
  <c r="BW7" i="2"/>
  <c r="BW31" i="2" s="1"/>
  <c r="BV5" i="2"/>
  <c r="U2" i="2"/>
  <c r="N32" i="20"/>
  <c r="J44" i="20"/>
  <c r="R2" i="2"/>
  <c r="T23" i="19"/>
  <c r="CA39" i="2"/>
  <c r="BT39" i="2"/>
  <c r="AZ39" i="2"/>
  <c r="AF39" i="2"/>
  <c r="CB39" i="2"/>
  <c r="G39" i="2"/>
  <c r="BP39" i="2"/>
  <c r="DQ39" i="2"/>
  <c r="AV39" i="2"/>
  <c r="CX39" i="2"/>
  <c r="AC39" i="2"/>
  <c r="CM39" i="2"/>
  <c r="AA39" i="2"/>
  <c r="L45" i="20"/>
  <c r="D11" i="20"/>
  <c r="E2" i="2"/>
  <c r="E13" i="2"/>
  <c r="F13" i="2" s="1"/>
  <c r="G11" i="6" s="1"/>
  <c r="E24" i="19"/>
  <c r="M45" i="20"/>
  <c r="Q2" i="2"/>
  <c r="I32" i="20"/>
  <c r="N11" i="20"/>
  <c r="AT42" i="2"/>
  <c r="AA42" i="2"/>
  <c r="S42" i="2"/>
  <c r="CW42" i="2"/>
  <c r="AQ42" i="2"/>
  <c r="BB42" i="2"/>
  <c r="AH42" i="2"/>
  <c r="N42" i="2"/>
  <c r="BS42" i="2"/>
  <c r="EB42" i="2"/>
  <c r="BG42" i="2"/>
  <c r="DH42" i="2"/>
  <c r="AM42" i="2"/>
  <c r="CO42" i="2"/>
  <c r="T42" i="2"/>
  <c r="CK42" i="2"/>
  <c r="Y42" i="2"/>
  <c r="N2" i="2"/>
  <c r="AA2" i="2"/>
  <c r="J37" i="2"/>
  <c r="R37" i="2"/>
  <c r="Z37" i="2"/>
  <c r="AH37" i="2"/>
  <c r="AP37" i="2"/>
  <c r="AX37" i="2"/>
  <c r="BF37" i="2"/>
  <c r="BN37" i="2"/>
  <c r="BV37" i="2"/>
  <c r="CD37" i="2"/>
  <c r="CL37" i="2"/>
  <c r="CT37" i="2"/>
  <c r="DB37" i="2"/>
  <c r="DJ37" i="2"/>
  <c r="DR37" i="2"/>
  <c r="L37" i="2"/>
  <c r="T37" i="2"/>
  <c r="AB37" i="2"/>
  <c r="AJ37" i="2"/>
  <c r="AR37" i="2"/>
  <c r="AZ37" i="2"/>
  <c r="BH37" i="2"/>
  <c r="BP37" i="2"/>
  <c r="BX37" i="2"/>
  <c r="G37" i="2"/>
  <c r="O37" i="2"/>
  <c r="W37" i="2"/>
  <c r="AE37" i="2"/>
  <c r="AM37" i="2"/>
  <c r="AU37" i="2"/>
  <c r="BC37" i="2"/>
  <c r="BK37" i="2"/>
  <c r="BS37" i="2"/>
  <c r="CA37" i="2"/>
  <c r="CI37" i="2"/>
  <c r="CQ37" i="2"/>
  <c r="CY37" i="2"/>
  <c r="DG37" i="2"/>
  <c r="DO37" i="2"/>
  <c r="DW37" i="2"/>
  <c r="EE37" i="2"/>
  <c r="P37" i="2"/>
  <c r="AC37" i="2"/>
  <c r="AO37" i="2"/>
  <c r="BB37" i="2"/>
  <c r="BO37" i="2"/>
  <c r="CB37" i="2"/>
  <c r="CM37" i="2"/>
  <c r="CW37" i="2"/>
  <c r="DH37" i="2"/>
  <c r="DS37" i="2"/>
  <c r="EB37" i="2"/>
  <c r="E37" i="2"/>
  <c r="Q37" i="2"/>
  <c r="AD37" i="2"/>
  <c r="AQ37" i="2"/>
  <c r="BD37" i="2"/>
  <c r="BQ37" i="2"/>
  <c r="CC37" i="2"/>
  <c r="CN37" i="2"/>
  <c r="CX37" i="2"/>
  <c r="DI37" i="2"/>
  <c r="DT37" i="2"/>
  <c r="EC37" i="2"/>
  <c r="F37" i="2"/>
  <c r="S37" i="2"/>
  <c r="AF37" i="2"/>
  <c r="AS37" i="2"/>
  <c r="BE37" i="2"/>
  <c r="BR37" i="2"/>
  <c r="CE37" i="2"/>
  <c r="CO37" i="2"/>
  <c r="CZ37" i="2"/>
  <c r="DK37" i="2"/>
  <c r="DU37" i="2"/>
  <c r="ED37" i="2"/>
  <c r="K37" i="2"/>
  <c r="X37" i="2"/>
  <c r="AK37" i="2"/>
  <c r="AW37" i="2"/>
  <c r="BJ37" i="2"/>
  <c r="BW37" i="2"/>
  <c r="CH37" i="2"/>
  <c r="CS37" i="2"/>
  <c r="DD37" i="2"/>
  <c r="DN37" i="2"/>
  <c r="DY37" i="2"/>
  <c r="U37" i="2"/>
  <c r="AT37" i="2"/>
  <c r="BT37" i="2"/>
  <c r="CP37" i="2"/>
  <c r="DL37" i="2"/>
  <c r="EF37" i="2"/>
  <c r="V37" i="2"/>
  <c r="AV37" i="2"/>
  <c r="BU37" i="2"/>
  <c r="CR37" i="2"/>
  <c r="DM37" i="2"/>
  <c r="EG37" i="2"/>
  <c r="Y37" i="2"/>
  <c r="AY37" i="2"/>
  <c r="BY37" i="2"/>
  <c r="CU37" i="2"/>
  <c r="DP37" i="2"/>
  <c r="I37" i="2"/>
  <c r="AI37" i="2"/>
  <c r="BI37" i="2"/>
  <c r="CG37" i="2"/>
  <c r="DC37" i="2"/>
  <c r="DX37" i="2"/>
  <c r="N37" i="2"/>
  <c r="BM37" i="2"/>
  <c r="DF37" i="2"/>
  <c r="AA37" i="2"/>
  <c r="BZ37" i="2"/>
  <c r="DQ37" i="2"/>
  <c r="AG37" i="2"/>
  <c r="CF37" i="2"/>
  <c r="DV37" i="2"/>
  <c r="BA37" i="2"/>
  <c r="CV37" i="2"/>
  <c r="CK37" i="2"/>
  <c r="H37" i="2"/>
  <c r="DA37" i="2"/>
  <c r="M37" i="2"/>
  <c r="DE37" i="2"/>
  <c r="BG37" i="2"/>
  <c r="BL37" i="2"/>
  <c r="CJ37" i="2"/>
  <c r="DZ37" i="2"/>
  <c r="EA37" i="2"/>
  <c r="AN37" i="2"/>
  <c r="AL37" i="2"/>
  <c r="Z2" i="2"/>
  <c r="P2" i="2"/>
  <c r="K32" i="20"/>
  <c r="AG2" i="2"/>
  <c r="L18" i="21"/>
  <c r="J15" i="20"/>
  <c r="J45" i="20"/>
  <c r="X2" i="2"/>
  <c r="BN38" i="2"/>
  <c r="AZ38" i="2"/>
  <c r="L38" i="2"/>
  <c r="E38" i="2"/>
  <c r="DZ38" i="2"/>
  <c r="DS38" i="2"/>
  <c r="AX38" i="2"/>
  <c r="CW38" i="2"/>
  <c r="AB38" i="2"/>
  <c r="CM38" i="2"/>
  <c r="R38" i="2"/>
  <c r="CB38" i="2"/>
  <c r="CC38" i="2"/>
  <c r="AS39" i="2"/>
  <c r="EC39" i="2"/>
  <c r="DJ39" i="2"/>
  <c r="EG39" i="2"/>
  <c r="BI39" i="2"/>
  <c r="BB39" i="2"/>
  <c r="AG39" i="2"/>
  <c r="N39" i="2"/>
  <c r="BS39" i="2"/>
  <c r="EB39" i="2"/>
  <c r="BF39" i="2"/>
  <c r="DH39" i="2"/>
  <c r="AM39" i="2"/>
  <c r="CO39" i="2"/>
  <c r="T39" i="2"/>
  <c r="CE39" i="2"/>
  <c r="S39" i="2"/>
  <c r="D15" i="20"/>
  <c r="E17" i="2"/>
  <c r="F17" i="2" s="1"/>
  <c r="L15" i="20"/>
  <c r="G2" i="2"/>
  <c r="N15" i="20"/>
  <c r="CD42" i="2"/>
  <c r="CR42" i="2"/>
  <c r="DK42" i="2"/>
  <c r="BL42" i="2"/>
  <c r="X42" i="2"/>
  <c r="AJ42" i="2"/>
  <c r="O42" i="2"/>
  <c r="EE42" i="2"/>
  <c r="BJ42" i="2"/>
  <c r="DS42" i="2"/>
  <c r="AX42" i="2"/>
  <c r="CY42" i="2"/>
  <c r="AD42" i="2"/>
  <c r="CF42" i="2"/>
  <c r="K42" i="2"/>
  <c r="CC42" i="2"/>
  <c r="O18" i="21"/>
  <c r="AI2" i="2"/>
  <c r="D11" i="64"/>
  <c r="D11" i="42"/>
  <c r="D33" i="96" s="1"/>
  <c r="F33" i="96" s="1"/>
  <c r="O2" i="2"/>
  <c r="AS42" i="2"/>
  <c r="W42" i="2"/>
  <c r="BZ42" i="2"/>
  <c r="AB42" i="2"/>
  <c r="R42" i="2"/>
  <c r="DT42" i="2"/>
  <c r="DV42" i="2"/>
  <c r="BA42" i="2"/>
  <c r="DJ42" i="2"/>
  <c r="AN42" i="2"/>
  <c r="CP42" i="2"/>
  <c r="U42" i="2"/>
  <c r="BW42" i="2"/>
  <c r="EG42" i="2"/>
  <c r="BU42" i="2"/>
  <c r="I42" i="2"/>
  <c r="M2" i="2"/>
  <c r="F19" i="20" l="1"/>
  <c r="AB16" i="2"/>
  <c r="AC14" i="6" s="1"/>
  <c r="V2" i="2"/>
  <c r="AB12" i="2"/>
  <c r="AC10" i="6" s="1"/>
  <c r="AI59" i="6"/>
  <c r="AK54" i="6"/>
  <c r="AL44" i="6"/>
  <c r="AC16" i="2"/>
  <c r="AD14" i="6" s="1"/>
  <c r="F14" i="21" s="1"/>
  <c r="AD18" i="6"/>
  <c r="F18" i="21" s="1"/>
  <c r="Z110" i="6"/>
  <c r="Z111" i="6" s="1"/>
  <c r="O116" i="6"/>
  <c r="P117" i="6"/>
  <c r="Q118" i="6"/>
  <c r="R119" i="6"/>
  <c r="S120" i="6"/>
  <c r="T121" i="6"/>
  <c r="U122" i="6"/>
  <c r="V123" i="6"/>
  <c r="W124" i="6"/>
  <c r="X125" i="6"/>
  <c r="Y126" i="6"/>
  <c r="Z127" i="6"/>
  <c r="H25" i="6"/>
  <c r="G89" i="6"/>
  <c r="G109" i="6"/>
  <c r="G113" i="6"/>
  <c r="H108" i="6" s="1"/>
  <c r="H113" i="6" s="1"/>
  <c r="I108" i="6" s="1"/>
  <c r="I113" i="6" s="1"/>
  <c r="J108" i="6" s="1"/>
  <c r="J113" i="6" s="1"/>
  <c r="K108" i="6" s="1"/>
  <c r="K113" i="6" s="1"/>
  <c r="L108" i="6" s="1"/>
  <c r="L113" i="6" s="1"/>
  <c r="M108" i="6" s="1"/>
  <c r="M113" i="6" s="1"/>
  <c r="N108" i="6" s="1"/>
  <c r="N113" i="6" s="1"/>
  <c r="O108" i="6" s="1"/>
  <c r="O113" i="6" s="1"/>
  <c r="P108" i="6" s="1"/>
  <c r="P113" i="6" s="1"/>
  <c r="Q108" i="6" s="1"/>
  <c r="Q113" i="6" s="1"/>
  <c r="R108" i="6" s="1"/>
  <c r="R113" i="6" s="1"/>
  <c r="S108" i="6" s="1"/>
  <c r="S113" i="6" s="1"/>
  <c r="T108" i="6" s="1"/>
  <c r="X35" i="6"/>
  <c r="Y87" i="6"/>
  <c r="Y88" i="6" s="1"/>
  <c r="N93" i="6"/>
  <c r="O94" i="6"/>
  <c r="P95" i="6"/>
  <c r="Q96" i="6"/>
  <c r="R97" i="6"/>
  <c r="S98" i="6"/>
  <c r="T99" i="6"/>
  <c r="U100" i="6"/>
  <c r="V101" i="6"/>
  <c r="W102" i="6"/>
  <c r="X103" i="6"/>
  <c r="Y104" i="6"/>
  <c r="U87" i="6"/>
  <c r="U88" i="6" s="1"/>
  <c r="J93" i="6"/>
  <c r="K94" i="6"/>
  <c r="L95" i="6"/>
  <c r="M96" i="6"/>
  <c r="N97" i="6"/>
  <c r="O98" i="6"/>
  <c r="P99" i="6"/>
  <c r="Q100" i="6"/>
  <c r="R101" i="6"/>
  <c r="S102" i="6"/>
  <c r="T103" i="6"/>
  <c r="U104" i="6"/>
  <c r="G17" i="2"/>
  <c r="H15" i="2" s="1"/>
  <c r="I13" i="6" s="1"/>
  <c r="G15" i="6"/>
  <c r="X110" i="6"/>
  <c r="X111" i="6" s="1"/>
  <c r="M116" i="6"/>
  <c r="N117" i="6"/>
  <c r="O118" i="6"/>
  <c r="P119" i="6"/>
  <c r="Q120" i="6"/>
  <c r="R121" i="6"/>
  <c r="S122" i="6"/>
  <c r="T123" i="6"/>
  <c r="U124" i="6"/>
  <c r="V125" i="6"/>
  <c r="W126" i="6"/>
  <c r="X127" i="6"/>
  <c r="AJ58" i="6"/>
  <c r="AK51" i="6"/>
  <c r="W87" i="6"/>
  <c r="W88" i="6" s="1"/>
  <c r="L93" i="6"/>
  <c r="M94" i="6"/>
  <c r="N95" i="6"/>
  <c r="O96" i="6"/>
  <c r="P97" i="6"/>
  <c r="Q98" i="6"/>
  <c r="R99" i="6"/>
  <c r="S100" i="6"/>
  <c r="T101" i="6"/>
  <c r="U102" i="6"/>
  <c r="V103" i="6"/>
  <c r="W104" i="6"/>
  <c r="H38" i="6"/>
  <c r="I31" i="6"/>
  <c r="I36" i="6" s="1"/>
  <c r="Z87" i="6"/>
  <c r="Z88" i="6" s="1"/>
  <c r="O93" i="6"/>
  <c r="P94" i="6"/>
  <c r="Q95" i="6"/>
  <c r="R96" i="6"/>
  <c r="S97" i="6"/>
  <c r="T98" i="6"/>
  <c r="U99" i="6"/>
  <c r="V100" i="6"/>
  <c r="W101" i="6"/>
  <c r="X102" i="6"/>
  <c r="Y103" i="6"/>
  <c r="Z104" i="6"/>
  <c r="BV176" i="6"/>
  <c r="BV177" i="6"/>
  <c r="BV153" i="6"/>
  <c r="BV152" i="6"/>
  <c r="BV148" i="6"/>
  <c r="BV147" i="6"/>
  <c r="BV172" i="6"/>
  <c r="BV162" i="6"/>
  <c r="BV161" i="6"/>
  <c r="BV157" i="6"/>
  <c r="BV156" i="6"/>
  <c r="BV138" i="6"/>
  <c r="BV137" i="6"/>
  <c r="BV166" i="6"/>
  <c r="BV167" i="6"/>
  <c r="BV142" i="6"/>
  <c r="BV143" i="6"/>
  <c r="I29" i="6"/>
  <c r="AJ57" i="6"/>
  <c r="AK50" i="6"/>
  <c r="AD110" i="6"/>
  <c r="AD111" i="6" s="1"/>
  <c r="S116" i="6"/>
  <c r="T117" i="6"/>
  <c r="U118" i="6"/>
  <c r="V119" i="6"/>
  <c r="W120" i="6"/>
  <c r="X121" i="6"/>
  <c r="Y122" i="6"/>
  <c r="Z123" i="6"/>
  <c r="AA124" i="6"/>
  <c r="AB125" i="6"/>
  <c r="AC126" i="6"/>
  <c r="AD127" i="6"/>
  <c r="T89" i="6"/>
  <c r="AC110" i="6"/>
  <c r="AC111" i="6" s="1"/>
  <c r="R116" i="6"/>
  <c r="S117" i="6"/>
  <c r="T118" i="6"/>
  <c r="U119" i="6"/>
  <c r="V120" i="6"/>
  <c r="W121" i="6"/>
  <c r="X122" i="6"/>
  <c r="Y123" i="6"/>
  <c r="Z124" i="6"/>
  <c r="AA125" i="6"/>
  <c r="AB126" i="6"/>
  <c r="AC127" i="6"/>
  <c r="T110" i="6"/>
  <c r="T111" i="6" s="1"/>
  <c r="I116" i="6"/>
  <c r="J117" i="6"/>
  <c r="K118" i="6"/>
  <c r="L119" i="6"/>
  <c r="M120" i="6"/>
  <c r="N121" i="6"/>
  <c r="O122" i="6"/>
  <c r="P123" i="6"/>
  <c r="Q124" i="6"/>
  <c r="R125" i="6"/>
  <c r="S126" i="6"/>
  <c r="T127" i="6"/>
  <c r="AB87" i="6"/>
  <c r="AB88" i="6" s="1"/>
  <c r="Q93" i="6"/>
  <c r="R94" i="6"/>
  <c r="S95" i="6"/>
  <c r="T96" i="6"/>
  <c r="U97" i="6"/>
  <c r="V98" i="6"/>
  <c r="W99" i="6"/>
  <c r="X100" i="6"/>
  <c r="Y101" i="6"/>
  <c r="Z102" i="6"/>
  <c r="AA103" i="6"/>
  <c r="AB104" i="6"/>
  <c r="U110" i="6"/>
  <c r="U111" i="6" s="1"/>
  <c r="J116" i="6"/>
  <c r="K117" i="6"/>
  <c r="L118" i="6"/>
  <c r="M119" i="6"/>
  <c r="N120" i="6"/>
  <c r="O121" i="6"/>
  <c r="P122" i="6"/>
  <c r="Q123" i="6"/>
  <c r="R124" i="6"/>
  <c r="S125" i="6"/>
  <c r="T126" i="6"/>
  <c r="U127" i="6"/>
  <c r="G21" i="2"/>
  <c r="G23" i="2" s="1"/>
  <c r="G19" i="6"/>
  <c r="T112" i="6"/>
  <c r="X87" i="6"/>
  <c r="X88" i="6" s="1"/>
  <c r="M93" i="6"/>
  <c r="N94" i="6"/>
  <c r="O95" i="6"/>
  <c r="P96" i="6"/>
  <c r="Q97" i="6"/>
  <c r="R98" i="6"/>
  <c r="S99" i="6"/>
  <c r="T100" i="6"/>
  <c r="U101" i="6"/>
  <c r="V102" i="6"/>
  <c r="W103" i="6"/>
  <c r="X104" i="6"/>
  <c r="AJ48" i="6"/>
  <c r="AJ55" i="6"/>
  <c r="AK46" i="6"/>
  <c r="AA87" i="6"/>
  <c r="AA88" i="6" s="1"/>
  <c r="P93" i="6"/>
  <c r="Q94" i="6"/>
  <c r="R95" i="6"/>
  <c r="S96" i="6"/>
  <c r="T97" i="6"/>
  <c r="U98" i="6"/>
  <c r="V99" i="6"/>
  <c r="W100" i="6"/>
  <c r="X101" i="6"/>
  <c r="Y102" i="6"/>
  <c r="Z103" i="6"/>
  <c r="AA104" i="6"/>
  <c r="T87" i="6"/>
  <c r="T88" i="6" s="1"/>
  <c r="I93" i="6"/>
  <c r="J94" i="6"/>
  <c r="K95" i="6"/>
  <c r="L96" i="6"/>
  <c r="M97" i="6"/>
  <c r="N98" i="6"/>
  <c r="O99" i="6"/>
  <c r="P100" i="6"/>
  <c r="Q101" i="6"/>
  <c r="R102" i="6"/>
  <c r="S103" i="6"/>
  <c r="T104" i="6"/>
  <c r="BX6" i="6"/>
  <c r="BW6" i="30"/>
  <c r="AM16" i="2"/>
  <c r="AN14" i="6" s="1"/>
  <c r="AN18" i="6"/>
  <c r="AJ56" i="6"/>
  <c r="AK47" i="6"/>
  <c r="Q89" i="6"/>
  <c r="Q86" i="6" s="1"/>
  <c r="U112" i="6"/>
  <c r="W28" i="6"/>
  <c r="W24" i="6" s="1"/>
  <c r="W110" i="6"/>
  <c r="W111" i="6" s="1"/>
  <c r="L116" i="6"/>
  <c r="M117" i="6"/>
  <c r="N118" i="6"/>
  <c r="O119" i="6"/>
  <c r="P120" i="6"/>
  <c r="Q121" i="6"/>
  <c r="R122" i="6"/>
  <c r="S123" i="6"/>
  <c r="T124" i="6"/>
  <c r="U125" i="6"/>
  <c r="V126" i="6"/>
  <c r="W127" i="6"/>
  <c r="V24" i="6"/>
  <c r="R89" i="6"/>
  <c r="R86" i="6" s="1"/>
  <c r="J89" i="6"/>
  <c r="J86" i="6" s="1"/>
  <c r="AA110" i="6"/>
  <c r="AA111" i="6" s="1"/>
  <c r="P116" i="6"/>
  <c r="Q117" i="6"/>
  <c r="R118" i="6"/>
  <c r="S119" i="6"/>
  <c r="T120" i="6"/>
  <c r="U121" i="6"/>
  <c r="V122" i="6"/>
  <c r="W123" i="6"/>
  <c r="X124" i="6"/>
  <c r="Y125" i="6"/>
  <c r="Z126" i="6"/>
  <c r="AA127" i="6"/>
  <c r="Y110" i="6"/>
  <c r="Y111" i="6" s="1"/>
  <c r="N116" i="6"/>
  <c r="O117" i="6"/>
  <c r="P118" i="6"/>
  <c r="Q119" i="6"/>
  <c r="R120" i="6"/>
  <c r="S121" i="6"/>
  <c r="T122" i="6"/>
  <c r="U123" i="6"/>
  <c r="V124" i="6"/>
  <c r="W125" i="6"/>
  <c r="X126" i="6"/>
  <c r="Y127" i="6"/>
  <c r="S89" i="6"/>
  <c r="AB110" i="6"/>
  <c r="AB111" i="6" s="1"/>
  <c r="Q116" i="6"/>
  <c r="R117" i="6"/>
  <c r="S118" i="6"/>
  <c r="T119" i="6"/>
  <c r="U120" i="6"/>
  <c r="V121" i="6"/>
  <c r="W122" i="6"/>
  <c r="X123" i="6"/>
  <c r="Y124" i="6"/>
  <c r="Z125" i="6"/>
  <c r="AA126" i="6"/>
  <c r="AB127" i="6"/>
  <c r="BV171" i="6"/>
  <c r="BW175" i="6"/>
  <c r="BW135" i="6"/>
  <c r="BW49" i="6"/>
  <c r="BW45" i="6"/>
  <c r="BW43" i="6"/>
  <c r="V110" i="6"/>
  <c r="V111" i="6" s="1"/>
  <c r="K116" i="6"/>
  <c r="L117" i="6"/>
  <c r="M118" i="6"/>
  <c r="N119" i="6"/>
  <c r="O120" i="6"/>
  <c r="P121" i="6"/>
  <c r="Q122" i="6"/>
  <c r="R123" i="6"/>
  <c r="S124" i="6"/>
  <c r="T125" i="6"/>
  <c r="U126" i="6"/>
  <c r="V127" i="6"/>
  <c r="AN2" i="2"/>
  <c r="AO10" i="6"/>
  <c r="AC12" i="2"/>
  <c r="Y2" i="2"/>
  <c r="AM12" i="2"/>
  <c r="AN10" i="6" s="1"/>
  <c r="F9" i="73"/>
  <c r="AE20" i="2"/>
  <c r="BU13" i="70"/>
  <c r="N27" i="70"/>
  <c r="F21" i="70"/>
  <c r="E28" i="21"/>
  <c r="E29" i="21" s="1"/>
  <c r="AD12" i="2"/>
  <c r="AE10" i="6" s="1"/>
  <c r="AD16" i="2"/>
  <c r="AE14" i="6" s="1"/>
  <c r="AL2" i="2"/>
  <c r="E32" i="21"/>
  <c r="BV145" i="71"/>
  <c r="G157" i="71"/>
  <c r="F154" i="69"/>
  <c r="AO2" i="2"/>
  <c r="AZ20" i="2"/>
  <c r="AW20" i="2"/>
  <c r="BD20" i="2"/>
  <c r="BE18" i="6" s="1"/>
  <c r="BB20" i="2"/>
  <c r="BW30" i="2"/>
  <c r="AU12" i="2"/>
  <c r="AV10" i="6" s="1"/>
  <c r="AU16" i="2"/>
  <c r="AV14" i="6" s="1"/>
  <c r="AZ165" i="23"/>
  <c r="AY172" i="23"/>
  <c r="AY174" i="23"/>
  <c r="AY167" i="23"/>
  <c r="AY169" i="23"/>
  <c r="AX176" i="23"/>
  <c r="F23" i="2"/>
  <c r="G37" i="20"/>
  <c r="H37" i="20"/>
  <c r="D20" i="20"/>
  <c r="E24" i="21"/>
  <c r="E25" i="21" s="1"/>
  <c r="M37" i="20"/>
  <c r="H41" i="20"/>
  <c r="N38" i="20"/>
  <c r="L37" i="20"/>
  <c r="G19" i="2"/>
  <c r="H17" i="6" s="1"/>
  <c r="F19" i="2"/>
  <c r="J38" i="20"/>
  <c r="J37" i="20"/>
  <c r="K38" i="20"/>
  <c r="E23" i="2"/>
  <c r="I37" i="20"/>
  <c r="L38" i="20"/>
  <c r="K37" i="20"/>
  <c r="G38" i="20"/>
  <c r="J10" i="21"/>
  <c r="F38" i="20"/>
  <c r="L41" i="20"/>
  <c r="I38" i="20"/>
  <c r="N37" i="20"/>
  <c r="H38" i="20"/>
  <c r="F11" i="64"/>
  <c r="E11" i="64"/>
  <c r="O10" i="21"/>
  <c r="G15" i="2"/>
  <c r="H13" i="6" s="1"/>
  <c r="M41" i="20"/>
  <c r="D38" i="20"/>
  <c r="EH39" i="2"/>
  <c r="G11" i="2"/>
  <c r="H9" i="6" s="1"/>
  <c r="O14" i="21"/>
  <c r="N14" i="21"/>
  <c r="G36" i="20"/>
  <c r="D41" i="20"/>
  <c r="E36" i="20"/>
  <c r="E14" i="21"/>
  <c r="M14" i="21"/>
  <c r="J36" i="20"/>
  <c r="BU10" i="19"/>
  <c r="BU11" i="19"/>
  <c r="BU15" i="19" s="1"/>
  <c r="M36" i="20"/>
  <c r="D36" i="20"/>
  <c r="EH37" i="2"/>
  <c r="I36" i="20"/>
  <c r="H36" i="20"/>
  <c r="BW5" i="19"/>
  <c r="BW13" i="19" s="1"/>
  <c r="BV9" i="19"/>
  <c r="N10" i="21"/>
  <c r="F41" i="20"/>
  <c r="L10" i="21"/>
  <c r="D16" i="20"/>
  <c r="F15" i="2"/>
  <c r="G13" i="6" s="1"/>
  <c r="L14" i="21"/>
  <c r="D37" i="20"/>
  <c r="J41" i="20"/>
  <c r="E10" i="21"/>
  <c r="M38" i="20"/>
  <c r="K41" i="20"/>
  <c r="N41" i="20"/>
  <c r="G41" i="20"/>
  <c r="K36" i="20"/>
  <c r="L36" i="20"/>
  <c r="I41" i="20"/>
  <c r="BX7" i="2"/>
  <c r="BX31" i="2" s="1"/>
  <c r="BW5" i="2"/>
  <c r="K10" i="21"/>
  <c r="O27" i="70"/>
  <c r="N36" i="20"/>
  <c r="I14" i="38"/>
  <c r="L10" i="55"/>
  <c r="S10" i="55"/>
  <c r="E11" i="42"/>
  <c r="G9" i="73" s="1"/>
  <c r="F11" i="42"/>
  <c r="H9" i="73" s="1"/>
  <c r="G13" i="2"/>
  <c r="H11" i="6" s="1"/>
  <c r="J14" i="21"/>
  <c r="F36" i="20"/>
  <c r="D12" i="20"/>
  <c r="F11" i="2"/>
  <c r="G9" i="6" s="1"/>
  <c r="M10" i="21"/>
  <c r="K14" i="21"/>
  <c r="E38" i="20"/>
  <c r="AB2" i="2" l="1"/>
  <c r="F15" i="20"/>
  <c r="T109" i="6"/>
  <c r="Y120" i="6" s="1"/>
  <c r="H21" i="2"/>
  <c r="BW171" i="6"/>
  <c r="AJ59" i="6"/>
  <c r="AF20" i="2"/>
  <c r="AG18" i="6" s="1"/>
  <c r="AF18" i="6"/>
  <c r="AC87" i="6"/>
  <c r="AC88" i="6" s="1"/>
  <c r="R93" i="6"/>
  <c r="S94" i="6"/>
  <c r="T95" i="6"/>
  <c r="U96" i="6"/>
  <c r="V97" i="6"/>
  <c r="W98" i="6"/>
  <c r="X99" i="6"/>
  <c r="Y100" i="6"/>
  <c r="Z101" i="6"/>
  <c r="AA102" i="6"/>
  <c r="AB103" i="6"/>
  <c r="AC104" i="6"/>
  <c r="AK55" i="6"/>
  <c r="AK48" i="6"/>
  <c r="AL46" i="6"/>
  <c r="J27" i="6"/>
  <c r="J29" i="6"/>
  <c r="AK56" i="6"/>
  <c r="AL47" i="6"/>
  <c r="G37" i="6"/>
  <c r="G3" i="6" s="1"/>
  <c r="G32" i="6"/>
  <c r="G34" i="6" s="1"/>
  <c r="G20" i="6"/>
  <c r="T86" i="6"/>
  <c r="H19" i="2"/>
  <c r="I17" i="6" s="1"/>
  <c r="H19" i="6"/>
  <c r="I23" i="6"/>
  <c r="I25" i="6"/>
  <c r="AL54" i="6"/>
  <c r="AM44" i="6"/>
  <c r="F11" i="20"/>
  <c r="AD10" i="6"/>
  <c r="F10" i="21" s="1"/>
  <c r="AK58" i="6"/>
  <c r="AL51" i="6"/>
  <c r="V87" i="6"/>
  <c r="V88" i="6" s="1"/>
  <c r="K93" i="6"/>
  <c r="L94" i="6"/>
  <c r="M95" i="6"/>
  <c r="N96" i="6"/>
  <c r="O97" i="6"/>
  <c r="P98" i="6"/>
  <c r="Q99" i="6"/>
  <c r="R100" i="6"/>
  <c r="S101" i="6"/>
  <c r="T102" i="6"/>
  <c r="U103" i="6"/>
  <c r="V104" i="6"/>
  <c r="AF110" i="6"/>
  <c r="AF111" i="6" s="1"/>
  <c r="BB16" i="2"/>
  <c r="BC14" i="6" s="1"/>
  <c r="BC18" i="6"/>
  <c r="I18" i="21" s="1"/>
  <c r="BX135" i="6"/>
  <c r="BX175" i="6"/>
  <c r="BX49" i="6"/>
  <c r="BX45" i="6"/>
  <c r="BX43" i="6"/>
  <c r="AD87" i="6"/>
  <c r="AD88" i="6" s="1"/>
  <c r="S93" i="6"/>
  <c r="T94" i="6"/>
  <c r="U95" i="6"/>
  <c r="V96" i="6"/>
  <c r="W97" i="6"/>
  <c r="X98" i="6"/>
  <c r="Y99" i="6"/>
  <c r="Z100" i="6"/>
  <c r="AA101" i="6"/>
  <c r="AB102" i="6"/>
  <c r="AC103" i="6"/>
  <c r="AD104" i="6"/>
  <c r="V89" i="6"/>
  <c r="AK57" i="6"/>
  <c r="AL50" i="6"/>
  <c r="X28" i="6"/>
  <c r="X24" i="6" s="1"/>
  <c r="Y35" i="6"/>
  <c r="BW176" i="6"/>
  <c r="BW177" i="6"/>
  <c r="BW148" i="6"/>
  <c r="BW147" i="6"/>
  <c r="BW172" i="6"/>
  <c r="BW167" i="6"/>
  <c r="BW166" i="6"/>
  <c r="BW156" i="6"/>
  <c r="BW138" i="6"/>
  <c r="BW137" i="6"/>
  <c r="BW161" i="6"/>
  <c r="BW152" i="6"/>
  <c r="BW162" i="6"/>
  <c r="BW157" i="6"/>
  <c r="BW153" i="6"/>
  <c r="BW143" i="6"/>
  <c r="BW142" i="6"/>
  <c r="V112" i="6"/>
  <c r="V109" i="6" s="1"/>
  <c r="I38" i="6"/>
  <c r="J31" i="6"/>
  <c r="J36" i="6" s="1"/>
  <c r="J39" i="6" s="1"/>
  <c r="J40" i="6" s="1"/>
  <c r="J62" i="6" s="1"/>
  <c r="H17" i="2"/>
  <c r="H15" i="6"/>
  <c r="T113" i="6"/>
  <c r="U108" i="6" s="1"/>
  <c r="U113" i="6" s="1"/>
  <c r="V108" i="6" s="1"/>
  <c r="E18" i="20"/>
  <c r="E20" i="20" s="1"/>
  <c r="E22" i="20" s="1"/>
  <c r="G17" i="6"/>
  <c r="E17" i="21" s="1"/>
  <c r="E19" i="21" s="1"/>
  <c r="BA20" i="2"/>
  <c r="BA16" i="2" s="1"/>
  <c r="BB14" i="6" s="1"/>
  <c r="AX18" i="6"/>
  <c r="BY6" i="6"/>
  <c r="BX6" i="30"/>
  <c r="AZ16" i="2"/>
  <c r="BA14" i="6" s="1"/>
  <c r="BA18" i="6"/>
  <c r="S110" i="6"/>
  <c r="H116" i="6"/>
  <c r="H128" i="6" s="1"/>
  <c r="I117" i="6"/>
  <c r="I128" i="6" s="1"/>
  <c r="J118" i="6"/>
  <c r="J128" i="6" s="1"/>
  <c r="K119" i="6"/>
  <c r="K128" i="6" s="1"/>
  <c r="L120" i="6"/>
  <c r="L128" i="6" s="1"/>
  <c r="M121" i="6"/>
  <c r="M128" i="6" s="1"/>
  <c r="N122" i="6"/>
  <c r="N128" i="6" s="1"/>
  <c r="O123" i="6"/>
  <c r="O128" i="6" s="1"/>
  <c r="P124" i="6"/>
  <c r="P128" i="6" s="1"/>
  <c r="Q125" i="6"/>
  <c r="Q128" i="6" s="1"/>
  <c r="R126" i="6"/>
  <c r="E110" i="21" s="1"/>
  <c r="S127" i="6"/>
  <c r="S128" i="6" s="1"/>
  <c r="U89" i="6"/>
  <c r="U86" i="6" s="1"/>
  <c r="U109" i="6"/>
  <c r="I39" i="6"/>
  <c r="I40" i="6" s="1"/>
  <c r="I62" i="6" s="1"/>
  <c r="G86" i="6"/>
  <c r="G90" i="6"/>
  <c r="H85" i="6" s="1"/>
  <c r="H90" i="6" s="1"/>
  <c r="I85" i="6" s="1"/>
  <c r="I90" i="6" s="1"/>
  <c r="J85" i="6" s="1"/>
  <c r="J90" i="6" s="1"/>
  <c r="K85" i="6" s="1"/>
  <c r="K90" i="6" s="1"/>
  <c r="L85" i="6" s="1"/>
  <c r="L90" i="6" s="1"/>
  <c r="M85" i="6" s="1"/>
  <c r="M90" i="6" s="1"/>
  <c r="N85" i="6" s="1"/>
  <c r="N90" i="6" s="1"/>
  <c r="O85" i="6" s="1"/>
  <c r="O90" i="6" s="1"/>
  <c r="P85" i="6" s="1"/>
  <c r="P90" i="6" s="1"/>
  <c r="Q85" i="6" s="1"/>
  <c r="Q90" i="6" s="1"/>
  <c r="R85" i="6" s="1"/>
  <c r="R90" i="6" s="1"/>
  <c r="S85" i="6" s="1"/>
  <c r="S90" i="6" s="1"/>
  <c r="T85" i="6" s="1"/>
  <c r="T90" i="6" s="1"/>
  <c r="U85" i="6" s="1"/>
  <c r="AC2" i="2"/>
  <c r="AH20" i="2"/>
  <c r="AE16" i="2"/>
  <c r="AF14" i="6" s="1"/>
  <c r="AE12" i="2"/>
  <c r="AF10" i="6" s="1"/>
  <c r="AM2" i="2"/>
  <c r="F19" i="70"/>
  <c r="BV13" i="70"/>
  <c r="E19" i="70"/>
  <c r="G21" i="70"/>
  <c r="F20" i="70"/>
  <c r="AI26" i="70"/>
  <c r="AD2" i="2"/>
  <c r="BW145" i="71"/>
  <c r="D22" i="20"/>
  <c r="F156" i="71"/>
  <c r="H157" i="71"/>
  <c r="G156" i="71"/>
  <c r="AZ12" i="2"/>
  <c r="BA10" i="6" s="1"/>
  <c r="BD12" i="2"/>
  <c r="BE10" i="6" s="1"/>
  <c r="AW16" i="2"/>
  <c r="AX14" i="6" s="1"/>
  <c r="AW12" i="2"/>
  <c r="AX10" i="6" s="1"/>
  <c r="I19" i="20"/>
  <c r="BB12" i="2"/>
  <c r="BC10" i="6" s="1"/>
  <c r="BD16" i="2"/>
  <c r="BX30" i="2"/>
  <c r="BA164" i="23"/>
  <c r="BA162" i="23"/>
  <c r="AY170" i="23"/>
  <c r="AZ167" i="23" s="1"/>
  <c r="AY175" i="23"/>
  <c r="AZ172" i="23" s="1"/>
  <c r="AJ26" i="70"/>
  <c r="T10" i="55"/>
  <c r="M10" i="55"/>
  <c r="H11" i="2"/>
  <c r="I9" i="6" s="1"/>
  <c r="H13" i="2"/>
  <c r="I11" i="6" s="1"/>
  <c r="BX5" i="19"/>
  <c r="BX13" i="19" s="1"/>
  <c r="BW9" i="19"/>
  <c r="D16" i="64"/>
  <c r="D16" i="42"/>
  <c r="D41" i="96" s="1"/>
  <c r="F41" i="96" s="1"/>
  <c r="O38" i="20"/>
  <c r="D14" i="64"/>
  <c r="D14" i="42"/>
  <c r="D38" i="96" s="1"/>
  <c r="F38" i="96" s="1"/>
  <c r="E10" i="20"/>
  <c r="E12" i="20" s="1"/>
  <c r="E9" i="21"/>
  <c r="E11" i="21" s="1"/>
  <c r="H21" i="70"/>
  <c r="O36" i="20"/>
  <c r="BY7" i="2"/>
  <c r="BY31" i="2" s="1"/>
  <c r="BX5" i="2"/>
  <c r="E14" i="20"/>
  <c r="E16" i="20" s="1"/>
  <c r="E13" i="21"/>
  <c r="E15" i="21" s="1"/>
  <c r="BV11" i="19"/>
  <c r="BV15" i="19" s="1"/>
  <c r="BV10" i="19"/>
  <c r="H23" i="2" l="1"/>
  <c r="I21" i="2"/>
  <c r="I23" i="2" s="1"/>
  <c r="U116" i="6"/>
  <c r="I19" i="6"/>
  <c r="I20" i="6" s="1"/>
  <c r="H19" i="20"/>
  <c r="I19" i="2"/>
  <c r="J17" i="6" s="1"/>
  <c r="AE126" i="6"/>
  <c r="AC124" i="6"/>
  <c r="AF127" i="6"/>
  <c r="AD125" i="6"/>
  <c r="X119" i="6"/>
  <c r="W118" i="6"/>
  <c r="V117" i="6"/>
  <c r="AF12" i="2"/>
  <c r="AG10" i="6" s="1"/>
  <c r="AF16" i="2"/>
  <c r="AG14" i="6" s="1"/>
  <c r="AB123" i="6"/>
  <c r="AA122" i="6"/>
  <c r="Z121" i="6"/>
  <c r="AK59" i="6"/>
  <c r="E109" i="21"/>
  <c r="E108" i="21"/>
  <c r="E105" i="21"/>
  <c r="E104" i="21"/>
  <c r="V86" i="6"/>
  <c r="AE101" i="6" s="1"/>
  <c r="J38" i="6"/>
  <c r="K31" i="6"/>
  <c r="K36" i="6" s="1"/>
  <c r="E106" i="21"/>
  <c r="Y28" i="6"/>
  <c r="Y24" i="6" s="1"/>
  <c r="Z35" i="6"/>
  <c r="AA35" i="6" s="1"/>
  <c r="AL55" i="6"/>
  <c r="AL48" i="6"/>
  <c r="AM46" i="6"/>
  <c r="BY175" i="6"/>
  <c r="BY135" i="6"/>
  <c r="BY45" i="6"/>
  <c r="BY49" i="6"/>
  <c r="BY43" i="6"/>
  <c r="W89" i="6"/>
  <c r="W86" i="6" s="1"/>
  <c r="W112" i="6"/>
  <c r="W109" i="6" s="1"/>
  <c r="H37" i="6"/>
  <c r="H3" i="6" s="1"/>
  <c r="H32" i="6"/>
  <c r="H34" i="6" s="1"/>
  <c r="H20" i="6"/>
  <c r="AH110" i="6"/>
  <c r="AH111" i="6" s="1"/>
  <c r="W116" i="6"/>
  <c r="X117" i="6"/>
  <c r="Y118" i="6"/>
  <c r="Z119" i="6"/>
  <c r="AA120" i="6"/>
  <c r="AB121" i="6"/>
  <c r="AC122" i="6"/>
  <c r="AD123" i="6"/>
  <c r="AE124" i="6"/>
  <c r="AF125" i="6"/>
  <c r="AG126" i="6"/>
  <c r="AH127" i="6"/>
  <c r="AL57" i="6"/>
  <c r="AM50" i="6"/>
  <c r="AM54" i="6"/>
  <c r="AN44" i="6"/>
  <c r="AF87" i="6"/>
  <c r="AF88" i="6" s="1"/>
  <c r="U93" i="6"/>
  <c r="V94" i="6"/>
  <c r="W95" i="6"/>
  <c r="X96" i="6"/>
  <c r="Y97" i="6"/>
  <c r="Z98" i="6"/>
  <c r="AA99" i="6"/>
  <c r="AB100" i="6"/>
  <c r="AC101" i="6"/>
  <c r="AD102" i="6"/>
  <c r="AE103" i="6"/>
  <c r="AF104" i="6"/>
  <c r="S87" i="6"/>
  <c r="H93" i="6"/>
  <c r="H105" i="6" s="1"/>
  <c r="H60" i="6" s="1"/>
  <c r="H61" i="6" s="1"/>
  <c r="I94" i="6"/>
  <c r="I105" i="6" s="1"/>
  <c r="I60" i="6" s="1"/>
  <c r="I61" i="6" s="1"/>
  <c r="J95" i="6"/>
  <c r="J105" i="6" s="1"/>
  <c r="J60" i="6" s="1"/>
  <c r="J61" i="6" s="1"/>
  <c r="K96" i="6"/>
  <c r="E80" i="21" s="1"/>
  <c r="L97" i="6"/>
  <c r="L105" i="6" s="1"/>
  <c r="L60" i="6" s="1"/>
  <c r="L61" i="6" s="1"/>
  <c r="M98" i="6"/>
  <c r="M105" i="6" s="1"/>
  <c r="M60" i="6" s="1"/>
  <c r="M61" i="6" s="1"/>
  <c r="N99" i="6"/>
  <c r="N105" i="6" s="1"/>
  <c r="N60" i="6" s="1"/>
  <c r="N61" i="6" s="1"/>
  <c r="O100" i="6"/>
  <c r="O105" i="6" s="1"/>
  <c r="O60" i="6" s="1"/>
  <c r="O61" i="6" s="1"/>
  <c r="P101" i="6"/>
  <c r="Q102" i="6"/>
  <c r="E86" i="21" s="1"/>
  <c r="R103" i="6"/>
  <c r="E87" i="21" s="1"/>
  <c r="S104" i="6"/>
  <c r="S105" i="6" s="1"/>
  <c r="S60" i="6" s="1"/>
  <c r="S61" i="6" s="1"/>
  <c r="E107" i="21"/>
  <c r="BE14" i="6"/>
  <c r="I14" i="21" s="1"/>
  <c r="AK20" i="2"/>
  <c r="AL18" i="6" s="1"/>
  <c r="AI18" i="6"/>
  <c r="AG87" i="6"/>
  <c r="AG88" i="6" s="1"/>
  <c r="V93" i="6"/>
  <c r="W94" i="6"/>
  <c r="X95" i="6"/>
  <c r="Y96" i="6"/>
  <c r="Z97" i="6"/>
  <c r="AA98" i="6"/>
  <c r="AB99" i="6"/>
  <c r="AC100" i="6"/>
  <c r="AD101" i="6"/>
  <c r="AE102" i="6"/>
  <c r="AF103" i="6"/>
  <c r="AG104" i="6"/>
  <c r="BA12" i="2"/>
  <c r="BB10" i="6" s="1"/>
  <c r="H10" i="21" s="1"/>
  <c r="BB18" i="6"/>
  <c r="H18" i="21" s="1"/>
  <c r="G168" i="6"/>
  <c r="H173" i="6"/>
  <c r="E103" i="21"/>
  <c r="R128" i="6"/>
  <c r="AL58" i="6"/>
  <c r="AM51" i="6"/>
  <c r="AG110" i="6"/>
  <c r="AG111" i="6" s="1"/>
  <c r="V116" i="6"/>
  <c r="W117" i="6"/>
  <c r="X118" i="6"/>
  <c r="Y119" i="6"/>
  <c r="Z120" i="6"/>
  <c r="AA121" i="6"/>
  <c r="AB122" i="6"/>
  <c r="AC123" i="6"/>
  <c r="AD124" i="6"/>
  <c r="AE125" i="6"/>
  <c r="AF126" i="6"/>
  <c r="AG127" i="6"/>
  <c r="S111" i="6"/>
  <c r="S109" i="6"/>
  <c r="J23" i="6"/>
  <c r="J25" i="6"/>
  <c r="K27" i="6"/>
  <c r="K29" i="6"/>
  <c r="V113" i="6"/>
  <c r="W108" i="6" s="1"/>
  <c r="BX176" i="6"/>
  <c r="BX177" i="6"/>
  <c r="BX148" i="6"/>
  <c r="BX147" i="6"/>
  <c r="BX172" i="6"/>
  <c r="BX167" i="6"/>
  <c r="BX166" i="6"/>
  <c r="BX157" i="6"/>
  <c r="BX156" i="6"/>
  <c r="BX161" i="6"/>
  <c r="BX152" i="6"/>
  <c r="BX162" i="6"/>
  <c r="BX153" i="6"/>
  <c r="BX137" i="6"/>
  <c r="BX138" i="6"/>
  <c r="BX142" i="6"/>
  <c r="BX143" i="6"/>
  <c r="AL56" i="6"/>
  <c r="AM47" i="6"/>
  <c r="BX171" i="6"/>
  <c r="BZ6" i="6"/>
  <c r="BY6" i="30"/>
  <c r="J21" i="2"/>
  <c r="K19" i="6" s="1"/>
  <c r="J19" i="6"/>
  <c r="U90" i="6"/>
  <c r="V85" i="6" s="1"/>
  <c r="V90" i="6" s="1"/>
  <c r="W85" i="6" s="1"/>
  <c r="I15" i="6"/>
  <c r="I15" i="2"/>
  <c r="J13" i="6" s="1"/>
  <c r="I17" i="2"/>
  <c r="AH12" i="2"/>
  <c r="AI10" i="6" s="1"/>
  <c r="AH16" i="2"/>
  <c r="AI14" i="6" s="1"/>
  <c r="AE2" i="2"/>
  <c r="F14" i="73"/>
  <c r="F12" i="73"/>
  <c r="BW13" i="70"/>
  <c r="P27" i="70"/>
  <c r="G20" i="70"/>
  <c r="G19" i="70"/>
  <c r="E101" i="21"/>
  <c r="E102" i="21"/>
  <c r="E96" i="21"/>
  <c r="I157" i="71"/>
  <c r="BX145" i="71"/>
  <c r="H156" i="71"/>
  <c r="F153" i="69"/>
  <c r="H14" i="21"/>
  <c r="H15" i="20"/>
  <c r="I11" i="20"/>
  <c r="I10" i="21"/>
  <c r="I15" i="20"/>
  <c r="BY30" i="2"/>
  <c r="BA165" i="23"/>
  <c r="AY176" i="23"/>
  <c r="AZ169" i="23"/>
  <c r="AZ170" i="23" s="1"/>
  <c r="BA169" i="23" s="1"/>
  <c r="AZ174" i="23"/>
  <c r="AZ175" i="23" s="1"/>
  <c r="J19" i="2"/>
  <c r="K17" i="6" s="1"/>
  <c r="AK26" i="70"/>
  <c r="BW15" i="19"/>
  <c r="BW10" i="19"/>
  <c r="BW11" i="19"/>
  <c r="BZ7" i="2"/>
  <c r="BZ31" i="2" s="1"/>
  <c r="BY5" i="2"/>
  <c r="BY5" i="19"/>
  <c r="BY13" i="19" s="1"/>
  <c r="BX9" i="19"/>
  <c r="E100" i="21"/>
  <c r="S13" i="55"/>
  <c r="E14" i="42"/>
  <c r="G12" i="73" s="1"/>
  <c r="F14" i="42"/>
  <c r="H12" i="73" s="1"/>
  <c r="I17" i="38"/>
  <c r="L13" i="55"/>
  <c r="E14" i="64"/>
  <c r="F14" i="64"/>
  <c r="S15" i="55"/>
  <c r="E16" i="42"/>
  <c r="G14" i="73" s="1"/>
  <c r="F16" i="42"/>
  <c r="H14" i="73" s="1"/>
  <c r="I19" i="38"/>
  <c r="L15" i="55"/>
  <c r="E16" i="64"/>
  <c r="F16" i="64"/>
  <c r="I11" i="2"/>
  <c r="J9" i="6" s="1"/>
  <c r="I13" i="2"/>
  <c r="J11" i="6" s="1"/>
  <c r="I32" i="6" l="1"/>
  <c r="I34" i="6" s="1"/>
  <c r="I37" i="6"/>
  <c r="I3" i="6" s="1"/>
  <c r="AF2" i="2"/>
  <c r="AF102" i="6"/>
  <c r="AD100" i="6"/>
  <c r="AC99" i="6"/>
  <c r="AB98" i="6"/>
  <c r="AA97" i="6"/>
  <c r="Z96" i="6"/>
  <c r="Y95" i="6"/>
  <c r="X94" i="6"/>
  <c r="E79" i="21"/>
  <c r="W93" i="6"/>
  <c r="AH87" i="6"/>
  <c r="AH88" i="6" s="1"/>
  <c r="AH104" i="6"/>
  <c r="AG103" i="6"/>
  <c r="K21" i="2"/>
  <c r="L19" i="6" s="1"/>
  <c r="L37" i="6" s="1"/>
  <c r="J23" i="2"/>
  <c r="E82" i="21"/>
  <c r="W90" i="6"/>
  <c r="X85" i="6" s="1"/>
  <c r="E81" i="21"/>
  <c r="E83" i="21"/>
  <c r="E84" i="21"/>
  <c r="K19" i="2"/>
  <c r="L17" i="6" s="1"/>
  <c r="AL59" i="6"/>
  <c r="R105" i="6"/>
  <c r="R60" i="6" s="1"/>
  <c r="R61" i="6" s="1"/>
  <c r="W113" i="6"/>
  <c r="X108" i="6" s="1"/>
  <c r="E77" i="21"/>
  <c r="AA28" i="6"/>
  <c r="AA24" i="6" s="1"/>
  <c r="AB35" i="6"/>
  <c r="E78" i="21"/>
  <c r="CA6" i="6"/>
  <c r="BZ6" i="30"/>
  <c r="L27" i="6"/>
  <c r="L29" i="6"/>
  <c r="BY177" i="6"/>
  <c r="BY176" i="6"/>
  <c r="BY172" i="6"/>
  <c r="BY167" i="6"/>
  <c r="BY166" i="6"/>
  <c r="BY162" i="6"/>
  <c r="BY161" i="6"/>
  <c r="BY147" i="6"/>
  <c r="BY157" i="6"/>
  <c r="BY153" i="6"/>
  <c r="BY143" i="6"/>
  <c r="BY142" i="6"/>
  <c r="BY138" i="6"/>
  <c r="BY137" i="6"/>
  <c r="BY156" i="6"/>
  <c r="BY152" i="6"/>
  <c r="BY148" i="6"/>
  <c r="Z28" i="6"/>
  <c r="Z24" i="6" s="1"/>
  <c r="S88" i="6"/>
  <c r="S86" i="6"/>
  <c r="AI110" i="6"/>
  <c r="AI111" i="6" s="1"/>
  <c r="X116" i="6"/>
  <c r="Y117" i="6"/>
  <c r="Z118" i="6"/>
  <c r="AA119" i="6"/>
  <c r="AB120" i="6"/>
  <c r="AC121" i="6"/>
  <c r="AD122" i="6"/>
  <c r="AE123" i="6"/>
  <c r="AF124" i="6"/>
  <c r="AG125" i="6"/>
  <c r="AH126" i="6"/>
  <c r="AI127" i="6"/>
  <c r="K38" i="6"/>
  <c r="L31" i="6"/>
  <c r="L36" i="6" s="1"/>
  <c r="K23" i="6"/>
  <c r="K25" i="6"/>
  <c r="J32" i="6"/>
  <c r="J34" i="6" s="1"/>
  <c r="J20" i="6"/>
  <c r="J37" i="6"/>
  <c r="J3" i="6" s="1"/>
  <c r="K105" i="6"/>
  <c r="K60" i="6" s="1"/>
  <c r="K61" i="6" s="1"/>
  <c r="AN54" i="6"/>
  <c r="AO44" i="6"/>
  <c r="X89" i="6"/>
  <c r="X86" i="6" s="1"/>
  <c r="K39" i="6"/>
  <c r="K40" i="6" s="1"/>
  <c r="K62" i="6" s="1"/>
  <c r="K37" i="6"/>
  <c r="K32" i="6"/>
  <c r="K34" i="6" s="1"/>
  <c r="K20" i="6"/>
  <c r="AE110" i="6"/>
  <c r="AE111" i="6" s="1"/>
  <c r="T116" i="6"/>
  <c r="T128" i="6" s="1"/>
  <c r="U117" i="6"/>
  <c r="U128" i="6" s="1"/>
  <c r="V118" i="6"/>
  <c r="V128" i="6" s="1"/>
  <c r="W119" i="6"/>
  <c r="W128" i="6" s="1"/>
  <c r="X120" i="6"/>
  <c r="Y121" i="6"/>
  <c r="Z122" i="6"/>
  <c r="AA123" i="6"/>
  <c r="AB124" i="6"/>
  <c r="AC125" i="6"/>
  <c r="AD126" i="6"/>
  <c r="AE127" i="6"/>
  <c r="E85" i="21"/>
  <c r="P105" i="6"/>
  <c r="P60" i="6" s="1"/>
  <c r="P61" i="6" s="1"/>
  <c r="J173" i="6"/>
  <c r="I168" i="6"/>
  <c r="X112" i="6"/>
  <c r="X109" i="6" s="1"/>
  <c r="J15" i="6"/>
  <c r="J15" i="2"/>
  <c r="K13" i="6" s="1"/>
  <c r="J17" i="2"/>
  <c r="AM56" i="6"/>
  <c r="AN47" i="6"/>
  <c r="AM57" i="6"/>
  <c r="AN50" i="6"/>
  <c r="G19" i="20"/>
  <c r="O19" i="20" s="1"/>
  <c r="O20" i="20" s="1"/>
  <c r="O22" i="20" s="1"/>
  <c r="AK12" i="2"/>
  <c r="AL10" i="6" s="1"/>
  <c r="BZ175" i="6"/>
  <c r="BZ135" i="6"/>
  <c r="BZ49" i="6"/>
  <c r="BZ45" i="6"/>
  <c r="BZ43" i="6"/>
  <c r="AI87" i="6"/>
  <c r="AI88" i="6" s="1"/>
  <c r="X93" i="6"/>
  <c r="Y94" i="6"/>
  <c r="Z95" i="6"/>
  <c r="AA96" i="6"/>
  <c r="AB97" i="6"/>
  <c r="AC98" i="6"/>
  <c r="AD99" i="6"/>
  <c r="AE100" i="6"/>
  <c r="AF101" i="6"/>
  <c r="AG102" i="6"/>
  <c r="AH103" i="6"/>
  <c r="AI104" i="6"/>
  <c r="AK16" i="2"/>
  <c r="AL14" i="6" s="1"/>
  <c r="G14" i="21" s="1"/>
  <c r="AM58" i="6"/>
  <c r="AN51" i="6"/>
  <c r="AM55" i="6"/>
  <c r="AM48" i="6"/>
  <c r="AN46" i="6"/>
  <c r="Q105" i="6"/>
  <c r="Q60" i="6" s="1"/>
  <c r="Q61" i="6" s="1"/>
  <c r="H11" i="20"/>
  <c r="BY171" i="6"/>
  <c r="H168" i="6"/>
  <c r="I173" i="6"/>
  <c r="G18" i="21"/>
  <c r="AH2" i="2"/>
  <c r="I20" i="70"/>
  <c r="I19" i="70"/>
  <c r="BX13" i="70"/>
  <c r="H19" i="70"/>
  <c r="I21" i="70"/>
  <c r="H20" i="70"/>
  <c r="Q27" i="70"/>
  <c r="E70" i="21"/>
  <c r="E73" i="21"/>
  <c r="F111" i="21"/>
  <c r="E93" i="21"/>
  <c r="E97" i="21"/>
  <c r="I156" i="71"/>
  <c r="J156" i="71"/>
  <c r="J157" i="71"/>
  <c r="J29" i="20"/>
  <c r="BY145" i="71"/>
  <c r="AC142" i="69" s="1"/>
  <c r="G154" i="69"/>
  <c r="BZ30" i="2"/>
  <c r="BB164" i="23"/>
  <c r="BB162" i="23"/>
  <c r="BA167" i="23"/>
  <c r="BA170" i="23" s="1"/>
  <c r="AZ176" i="23"/>
  <c r="BA174" i="23"/>
  <c r="BA172" i="23"/>
  <c r="AL26" i="70"/>
  <c r="BX11" i="19"/>
  <c r="BX15" i="19" s="1"/>
  <c r="BX10" i="19"/>
  <c r="BZ5" i="2"/>
  <c r="CA7" i="2"/>
  <c r="CA31" i="2" s="1"/>
  <c r="M15" i="55"/>
  <c r="T15" i="55"/>
  <c r="E112" i="21"/>
  <c r="BZ5" i="19"/>
  <c r="BZ13" i="19" s="1"/>
  <c r="BY9" i="19"/>
  <c r="J11" i="2"/>
  <c r="K9" i="6" s="1"/>
  <c r="J13" i="2"/>
  <c r="K11" i="6" s="1"/>
  <c r="J6" i="32"/>
  <c r="M13" i="55"/>
  <c r="T13" i="55"/>
  <c r="J6" i="21"/>
  <c r="L21" i="2" l="1"/>
  <c r="M19" i="6" s="1"/>
  <c r="M37" i="6" s="1"/>
  <c r="L32" i="6"/>
  <c r="L34" i="6" s="1"/>
  <c r="L19" i="2"/>
  <c r="M17" i="6" s="1"/>
  <c r="K23" i="2"/>
  <c r="J19" i="70" s="1"/>
  <c r="L20" i="6"/>
  <c r="M173" i="6" s="1"/>
  <c r="BZ171" i="6"/>
  <c r="AM59" i="6"/>
  <c r="K3" i="6"/>
  <c r="E89" i="21"/>
  <c r="Y89" i="6"/>
  <c r="Y86" i="6" s="1"/>
  <c r="BZ177" i="6"/>
  <c r="BZ176" i="6"/>
  <c r="BZ172" i="6"/>
  <c r="BZ167" i="6"/>
  <c r="BZ166" i="6"/>
  <c r="BZ162" i="6"/>
  <c r="BZ161" i="6"/>
  <c r="BZ153" i="6"/>
  <c r="BZ152" i="6"/>
  <c r="BZ147" i="6"/>
  <c r="BZ157" i="6"/>
  <c r="BZ143" i="6"/>
  <c r="BZ142" i="6"/>
  <c r="BZ156" i="6"/>
  <c r="BZ148" i="6"/>
  <c r="BZ138" i="6"/>
  <c r="BZ137" i="6"/>
  <c r="K173" i="6"/>
  <c r="J168" i="6"/>
  <c r="L173" i="6"/>
  <c r="K168" i="6"/>
  <c r="L23" i="6"/>
  <c r="L25" i="6"/>
  <c r="K15" i="6"/>
  <c r="K15" i="2"/>
  <c r="L13" i="6" s="1"/>
  <c r="K17" i="2"/>
  <c r="Y112" i="6"/>
  <c r="Y109" i="6" s="1"/>
  <c r="X113" i="6"/>
  <c r="Y108" i="6" s="1"/>
  <c r="M31" i="6"/>
  <c r="M36" i="6" s="1"/>
  <c r="L38" i="6"/>
  <c r="L3" i="6" s="1"/>
  <c r="CA175" i="6"/>
  <c r="CA135" i="6"/>
  <c r="CA45" i="6"/>
  <c r="CA43" i="6"/>
  <c r="CA49" i="6"/>
  <c r="M27" i="6"/>
  <c r="M29" i="6"/>
  <c r="AN57" i="6"/>
  <c r="AO50" i="6"/>
  <c r="AN56" i="6"/>
  <c r="AO47" i="6"/>
  <c r="G11" i="20"/>
  <c r="O11" i="20" s="1"/>
  <c r="O12" i="20" s="1"/>
  <c r="AN55" i="6"/>
  <c r="AN48" i="6"/>
  <c r="AO46" i="6"/>
  <c r="L39" i="6"/>
  <c r="L40" i="6" s="1"/>
  <c r="L62" i="6" s="1"/>
  <c r="X128" i="6"/>
  <c r="AJ110" i="6"/>
  <c r="AJ111" i="6" s="1"/>
  <c r="Y116" i="6"/>
  <c r="Y128" i="6" s="1"/>
  <c r="Z117" i="6"/>
  <c r="AA118" i="6"/>
  <c r="AB119" i="6"/>
  <c r="AC120" i="6"/>
  <c r="AD121" i="6"/>
  <c r="AE122" i="6"/>
  <c r="AF123" i="6"/>
  <c r="AG124" i="6"/>
  <c r="AH125" i="6"/>
  <c r="AI126" i="6"/>
  <c r="AJ127" i="6"/>
  <c r="AJ87" i="6"/>
  <c r="AJ88" i="6" s="1"/>
  <c r="Y93" i="6"/>
  <c r="Z94" i="6"/>
  <c r="AA95" i="6"/>
  <c r="AB96" i="6"/>
  <c r="AC97" i="6"/>
  <c r="AD98" i="6"/>
  <c r="AE99" i="6"/>
  <c r="AF100" i="6"/>
  <c r="AG101" i="6"/>
  <c r="AH102" i="6"/>
  <c r="AI103" i="6"/>
  <c r="AJ104" i="6"/>
  <c r="AB28" i="6"/>
  <c r="AC35" i="6"/>
  <c r="G15" i="20"/>
  <c r="O15" i="20" s="1"/>
  <c r="O16" i="20" s="1"/>
  <c r="AO54" i="6"/>
  <c r="AP44" i="6"/>
  <c r="AE87" i="6"/>
  <c r="AE88" i="6" s="1"/>
  <c r="T93" i="6"/>
  <c r="T105" i="6" s="1"/>
  <c r="T60" i="6" s="1"/>
  <c r="T61" i="6" s="1"/>
  <c r="U94" i="6"/>
  <c r="U105" i="6" s="1"/>
  <c r="U60" i="6" s="1"/>
  <c r="U61" i="6" s="1"/>
  <c r="V95" i="6"/>
  <c r="V105" i="6" s="1"/>
  <c r="V60" i="6" s="1"/>
  <c r="V61" i="6" s="1"/>
  <c r="W96" i="6"/>
  <c r="W105" i="6" s="1"/>
  <c r="W60" i="6" s="1"/>
  <c r="W61" i="6" s="1"/>
  <c r="X97" i="6"/>
  <c r="X105" i="6" s="1"/>
  <c r="Y98" i="6"/>
  <c r="Z99" i="6"/>
  <c r="AA100" i="6"/>
  <c r="AB101" i="6"/>
  <c r="AC102" i="6"/>
  <c r="AD103" i="6"/>
  <c r="AE104" i="6"/>
  <c r="Z89" i="6"/>
  <c r="Z86" i="6" s="1"/>
  <c r="X90" i="6"/>
  <c r="Y85" i="6" s="1"/>
  <c r="Z112" i="6"/>
  <c r="Z109" i="6" s="1"/>
  <c r="CB6" i="6"/>
  <c r="CA6" i="30"/>
  <c r="AK2" i="2"/>
  <c r="AN58" i="6"/>
  <c r="AO51" i="6"/>
  <c r="G10" i="21"/>
  <c r="J20" i="70"/>
  <c r="J21" i="70"/>
  <c r="R27" i="70"/>
  <c r="BY13" i="70"/>
  <c r="F72" i="21"/>
  <c r="F88" i="21"/>
  <c r="F110" i="21"/>
  <c r="E74" i="21"/>
  <c r="F95" i="21"/>
  <c r="F94" i="21"/>
  <c r="F92" i="21"/>
  <c r="K156" i="71"/>
  <c r="K157" i="71"/>
  <c r="G153" i="69"/>
  <c r="BZ145" i="71"/>
  <c r="CA30" i="2"/>
  <c r="BB165" i="23"/>
  <c r="BC162" i="23" s="1"/>
  <c r="BB169" i="23"/>
  <c r="BB167" i="23"/>
  <c r="BA175" i="23"/>
  <c r="BA176" i="23" s="1"/>
  <c r="S27" i="70"/>
  <c r="K11" i="2"/>
  <c r="L9" i="6" s="1"/>
  <c r="K13" i="2"/>
  <c r="L11" i="6" s="1"/>
  <c r="K21" i="70"/>
  <c r="BY10" i="19"/>
  <c r="BY11" i="19"/>
  <c r="BY15" i="19" s="1"/>
  <c r="E44" i="21"/>
  <c r="CA5" i="19"/>
  <c r="CA13" i="19" s="1"/>
  <c r="BZ9" i="19"/>
  <c r="CA5" i="2"/>
  <c r="CB7" i="2"/>
  <c r="CB31" i="2" s="1"/>
  <c r="L168" i="6" l="1"/>
  <c r="L23" i="2"/>
  <c r="K19" i="70" s="1"/>
  <c r="M19" i="2"/>
  <c r="N17" i="6" s="1"/>
  <c r="M20" i="6"/>
  <c r="N173" i="6" s="1"/>
  <c r="M32" i="6"/>
  <c r="M34" i="6" s="1"/>
  <c r="M21" i="2"/>
  <c r="N19" i="6" s="1"/>
  <c r="N20" i="6" s="1"/>
  <c r="Y90" i="6"/>
  <c r="Z85" i="6" s="1"/>
  <c r="Z90" i="6" s="1"/>
  <c r="AA85" i="6" s="1"/>
  <c r="X60" i="6"/>
  <c r="X61" i="6" s="1"/>
  <c r="AN59" i="6"/>
  <c r="CA177" i="6"/>
  <c r="CA176" i="6"/>
  <c r="CA167" i="6"/>
  <c r="CA166" i="6"/>
  <c r="CA162" i="6"/>
  <c r="CA161" i="6"/>
  <c r="CA157" i="6"/>
  <c r="CA147" i="6"/>
  <c r="CA153" i="6"/>
  <c r="CA143" i="6"/>
  <c r="CA142" i="6"/>
  <c r="CA172" i="6"/>
  <c r="CA138" i="6"/>
  <c r="CA137" i="6"/>
  <c r="CA152" i="6"/>
  <c r="CA156" i="6"/>
  <c r="CA148" i="6"/>
  <c r="L15" i="6"/>
  <c r="L17" i="2"/>
  <c r="L15" i="2"/>
  <c r="M13" i="6" s="1"/>
  <c r="AP54" i="6"/>
  <c r="G38" i="21" s="1"/>
  <c r="AQ44" i="6"/>
  <c r="AO57" i="6"/>
  <c r="AP50" i="6"/>
  <c r="AO55" i="6"/>
  <c r="AO48" i="6"/>
  <c r="AP46" i="6"/>
  <c r="CB175" i="6"/>
  <c r="CB135" i="6"/>
  <c r="CB45" i="6"/>
  <c r="CB43" i="6"/>
  <c r="CB49" i="6"/>
  <c r="M38" i="6"/>
  <c r="M3" i="6" s="1"/>
  <c r="N31" i="6"/>
  <c r="N36" i="6" s="1"/>
  <c r="N39" i="6" s="1"/>
  <c r="N40" i="6" s="1"/>
  <c r="N62" i="6" s="1"/>
  <c r="M23" i="6"/>
  <c r="M25" i="6"/>
  <c r="AK87" i="6"/>
  <c r="AK88" i="6" s="1"/>
  <c r="Z93" i="6"/>
  <c r="Z105" i="6" s="1"/>
  <c r="AA94" i="6"/>
  <c r="AB95" i="6"/>
  <c r="AC96" i="6"/>
  <c r="AD97" i="6"/>
  <c r="AE98" i="6"/>
  <c r="AF99" i="6"/>
  <c r="AG100" i="6"/>
  <c r="AH101" i="6"/>
  <c r="AI102" i="6"/>
  <c r="AJ103" i="6"/>
  <c r="AK104" i="6"/>
  <c r="CA171" i="6"/>
  <c r="AO56" i="6"/>
  <c r="AP47" i="6"/>
  <c r="N27" i="6"/>
  <c r="N29" i="6"/>
  <c r="M39" i="6"/>
  <c r="M40" i="6" s="1"/>
  <c r="M62" i="6" s="1"/>
  <c r="AL110" i="6"/>
  <c r="AL111" i="6" s="1"/>
  <c r="AA116" i="6"/>
  <c r="AB117" i="6"/>
  <c r="AC118" i="6"/>
  <c r="AD119" i="6"/>
  <c r="AE120" i="6"/>
  <c r="AF121" i="6"/>
  <c r="AG122" i="6"/>
  <c r="AH123" i="6"/>
  <c r="AI124" i="6"/>
  <c r="AJ125" i="6"/>
  <c r="AK126" i="6"/>
  <c r="AL127" i="6"/>
  <c r="AC28" i="6"/>
  <c r="AC24" i="6" s="1"/>
  <c r="AD35" i="6"/>
  <c r="Y113" i="6"/>
  <c r="Z108" i="6" s="1"/>
  <c r="Z113" i="6" s="1"/>
  <c r="AA108" i="6" s="1"/>
  <c r="AO58" i="6"/>
  <c r="AP51" i="6"/>
  <c r="AK110" i="6"/>
  <c r="AK111" i="6" s="1"/>
  <c r="Z116" i="6"/>
  <c r="Z128" i="6" s="1"/>
  <c r="AA117" i="6"/>
  <c r="AB118" i="6"/>
  <c r="AC119" i="6"/>
  <c r="AD120" i="6"/>
  <c r="AE121" i="6"/>
  <c r="AF122" i="6"/>
  <c r="AG123" i="6"/>
  <c r="AH124" i="6"/>
  <c r="AI125" i="6"/>
  <c r="AJ126" i="6"/>
  <c r="AK127" i="6"/>
  <c r="AA112" i="6"/>
  <c r="AA109" i="6" s="1"/>
  <c r="AL87" i="6"/>
  <c r="AL88" i="6" s="1"/>
  <c r="AA93" i="6"/>
  <c r="AB94" i="6"/>
  <c r="AC95" i="6"/>
  <c r="AD96" i="6"/>
  <c r="AE97" i="6"/>
  <c r="AF98" i="6"/>
  <c r="AG99" i="6"/>
  <c r="AH100" i="6"/>
  <c r="AI101" i="6"/>
  <c r="AJ102" i="6"/>
  <c r="AK103" i="6"/>
  <c r="AL104" i="6"/>
  <c r="CC6" i="6"/>
  <c r="CB6" i="30"/>
  <c r="AB24" i="6"/>
  <c r="Y105" i="6"/>
  <c r="Y60" i="6" s="1"/>
  <c r="Y61" i="6" s="1"/>
  <c r="BZ13" i="70"/>
  <c r="AM26" i="70"/>
  <c r="K20" i="70"/>
  <c r="F87" i="21"/>
  <c r="F71" i="21"/>
  <c r="F69" i="21"/>
  <c r="F109" i="21"/>
  <c r="F86" i="21"/>
  <c r="L157" i="71"/>
  <c r="L156" i="71"/>
  <c r="CA145" i="71"/>
  <c r="CB30" i="2"/>
  <c r="BC164" i="23"/>
  <c r="BC165" i="23" s="1"/>
  <c r="BB170" i="23"/>
  <c r="BC169" i="23" s="1"/>
  <c r="BB174" i="23"/>
  <c r="BB172" i="23"/>
  <c r="E45" i="21"/>
  <c r="L11" i="2"/>
  <c r="M9" i="6" s="1"/>
  <c r="L13" i="2"/>
  <c r="M11" i="6" s="1"/>
  <c r="CB5" i="2"/>
  <c r="CC7" i="2"/>
  <c r="CC31" i="2" s="1"/>
  <c r="BZ11" i="19"/>
  <c r="BZ15" i="19"/>
  <c r="BZ10" i="19"/>
  <c r="CB5" i="19"/>
  <c r="CB13" i="19" s="1"/>
  <c r="CA9" i="19"/>
  <c r="N21" i="2" l="1"/>
  <c r="O19" i="6" s="1"/>
  <c r="O37" i="6" s="1"/>
  <c r="N19" i="2"/>
  <c r="O17" i="6" s="1"/>
  <c r="M23" i="2"/>
  <c r="L19" i="70"/>
  <c r="N32" i="6"/>
  <c r="N34" i="6" s="1"/>
  <c r="N37" i="6"/>
  <c r="M168" i="6"/>
  <c r="CB171" i="6"/>
  <c r="AO59" i="6"/>
  <c r="AA113" i="6"/>
  <c r="AB108" i="6" s="1"/>
  <c r="AA89" i="6"/>
  <c r="AD28" i="6"/>
  <c r="AE35" i="6"/>
  <c r="AP56" i="6"/>
  <c r="G40" i="21" s="1"/>
  <c r="AQ47" i="6"/>
  <c r="AP57" i="6"/>
  <c r="G41" i="21" s="1"/>
  <c r="AQ50" i="6"/>
  <c r="AA105" i="6"/>
  <c r="AB112" i="6"/>
  <c r="AB109" i="6" s="1"/>
  <c r="Z60" i="6"/>
  <c r="Z61" i="6" s="1"/>
  <c r="AQ54" i="6"/>
  <c r="AR44" i="6"/>
  <c r="CC175" i="6"/>
  <c r="CC135" i="6"/>
  <c r="CC45" i="6"/>
  <c r="CC43" i="6"/>
  <c r="CC49" i="6"/>
  <c r="AA128" i="6"/>
  <c r="AB89" i="6"/>
  <c r="AB86" i="6" s="1"/>
  <c r="N23" i="6"/>
  <c r="N25" i="6"/>
  <c r="O27" i="6"/>
  <c r="O29" i="6"/>
  <c r="AM110" i="6"/>
  <c r="AM111" i="6" s="1"/>
  <c r="AB116" i="6"/>
  <c r="AB128" i="6" s="1"/>
  <c r="AC117" i="6"/>
  <c r="AD118" i="6"/>
  <c r="AE119" i="6"/>
  <c r="AF120" i="6"/>
  <c r="AG121" i="6"/>
  <c r="AH122" i="6"/>
  <c r="AI123" i="6"/>
  <c r="AJ124" i="6"/>
  <c r="AK125" i="6"/>
  <c r="AL126" i="6"/>
  <c r="AM127" i="6"/>
  <c r="CB177" i="6"/>
  <c r="CB176" i="6"/>
  <c r="CB167" i="6"/>
  <c r="CB166" i="6"/>
  <c r="CB162" i="6"/>
  <c r="CB161" i="6"/>
  <c r="CB157" i="6"/>
  <c r="CB156" i="6"/>
  <c r="CB148" i="6"/>
  <c r="CB147" i="6"/>
  <c r="CB172" i="6"/>
  <c r="CB153" i="6"/>
  <c r="CB143" i="6"/>
  <c r="CB142" i="6"/>
  <c r="CB138" i="6"/>
  <c r="CB137" i="6"/>
  <c r="CB152" i="6"/>
  <c r="O173" i="6"/>
  <c r="N168" i="6"/>
  <c r="N38" i="6"/>
  <c r="O31" i="6"/>
  <c r="O36" i="6" s="1"/>
  <c r="O39" i="6" s="1"/>
  <c r="O40" i="6" s="1"/>
  <c r="O62" i="6" s="1"/>
  <c r="CD6" i="6"/>
  <c r="CC6" i="30"/>
  <c r="AP48" i="6"/>
  <c r="AP55" i="6"/>
  <c r="G39" i="21" s="1"/>
  <c r="AQ46" i="6"/>
  <c r="AP58" i="6"/>
  <c r="AQ51" i="6"/>
  <c r="M15" i="6"/>
  <c r="M15" i="2"/>
  <c r="N13" i="6" s="1"/>
  <c r="M17" i="2"/>
  <c r="CA13" i="70"/>
  <c r="L21" i="70"/>
  <c r="T27" i="70"/>
  <c r="AN26" i="70"/>
  <c r="L20" i="70"/>
  <c r="F108" i="21"/>
  <c r="F85" i="21"/>
  <c r="H154" i="69"/>
  <c r="M156" i="71"/>
  <c r="M157" i="71"/>
  <c r="CB145" i="71"/>
  <c r="H153" i="69"/>
  <c r="CC30" i="2"/>
  <c r="BC167" i="23"/>
  <c r="BC170" i="23" s="1"/>
  <c r="BD162" i="23"/>
  <c r="BD164" i="23"/>
  <c r="BB175" i="23"/>
  <c r="BC174" i="23" s="1"/>
  <c r="F42" i="42"/>
  <c r="F42" i="64"/>
  <c r="F44" i="64" s="1"/>
  <c r="F45" i="64" s="1"/>
  <c r="CA10" i="19"/>
  <c r="CA11" i="19"/>
  <c r="CA15" i="19" s="1"/>
  <c r="CC5" i="19"/>
  <c r="CC13" i="19" s="1"/>
  <c r="CB9" i="19"/>
  <c r="M20" i="70"/>
  <c r="CC5" i="2"/>
  <c r="CD7" i="2"/>
  <c r="CD31" i="2" s="1"/>
  <c r="M11" i="2"/>
  <c r="N9" i="6" s="1"/>
  <c r="M13" i="2"/>
  <c r="N11" i="6" s="1"/>
  <c r="O21" i="2" l="1"/>
  <c r="P19" i="6" s="1"/>
  <c r="P37" i="6" s="1"/>
  <c r="N23" i="2"/>
  <c r="O19" i="2"/>
  <c r="P17" i="6" s="1"/>
  <c r="O20" i="6"/>
  <c r="P173" i="6" s="1"/>
  <c r="O32" i="6"/>
  <c r="O34" i="6" s="1"/>
  <c r="N3" i="6"/>
  <c r="CC171" i="6"/>
  <c r="AP59" i="6"/>
  <c r="CD135" i="6"/>
  <c r="CD175" i="6"/>
  <c r="CD45" i="6"/>
  <c r="CD43" i="6"/>
  <c r="CD49" i="6"/>
  <c r="AE28" i="6"/>
  <c r="AF35" i="6"/>
  <c r="CE6" i="6"/>
  <c r="CD6" i="30"/>
  <c r="AC112" i="6"/>
  <c r="AC109" i="6" s="1"/>
  <c r="P27" i="6"/>
  <c r="P29" i="6"/>
  <c r="AN110" i="6"/>
  <c r="AN111" i="6" s="1"/>
  <c r="AC116" i="6"/>
  <c r="AC128" i="6" s="1"/>
  <c r="AD117" i="6"/>
  <c r="AE118" i="6"/>
  <c r="AF119" i="6"/>
  <c r="AG120" i="6"/>
  <c r="AH121" i="6"/>
  <c r="AI122" i="6"/>
  <c r="AJ123" i="6"/>
  <c r="AK124" i="6"/>
  <c r="AL125" i="6"/>
  <c r="AM126" i="6"/>
  <c r="AN127" i="6"/>
  <c r="AD24" i="6"/>
  <c r="AA60" i="6"/>
  <c r="AA61" i="6" s="1"/>
  <c r="AB113" i="6"/>
  <c r="AC108" i="6" s="1"/>
  <c r="AQ48" i="6"/>
  <c r="AQ55" i="6"/>
  <c r="AR46" i="6"/>
  <c r="AA86" i="6"/>
  <c r="AA90" i="6"/>
  <c r="AB85" i="6" s="1"/>
  <c r="AB90" i="6" s="1"/>
  <c r="AC85" i="6" s="1"/>
  <c r="AQ56" i="6"/>
  <c r="AR47" i="6"/>
  <c r="AQ58" i="6"/>
  <c r="AR51" i="6"/>
  <c r="CC176" i="6"/>
  <c r="CC177" i="6"/>
  <c r="CC162" i="6"/>
  <c r="CC161" i="6"/>
  <c r="CC157" i="6"/>
  <c r="CC156" i="6"/>
  <c r="CC147" i="6"/>
  <c r="CC153" i="6"/>
  <c r="CC166" i="6"/>
  <c r="CC143" i="6"/>
  <c r="CC142" i="6"/>
  <c r="CC172" i="6"/>
  <c r="CC138" i="6"/>
  <c r="CC137" i="6"/>
  <c r="CC167" i="6"/>
  <c r="CC152" i="6"/>
  <c r="CC148" i="6"/>
  <c r="O23" i="6"/>
  <c r="O25" i="6"/>
  <c r="N15" i="6"/>
  <c r="N15" i="2"/>
  <c r="O13" i="6" s="1"/>
  <c r="N17" i="2"/>
  <c r="AR54" i="6"/>
  <c r="AS44" i="6"/>
  <c r="AQ57" i="6"/>
  <c r="AR50" i="6"/>
  <c r="AN87" i="6"/>
  <c r="AN88" i="6" s="1"/>
  <c r="AC93" i="6"/>
  <c r="AD94" i="6"/>
  <c r="AE95" i="6"/>
  <c r="AF96" i="6"/>
  <c r="AG97" i="6"/>
  <c r="AH98" i="6"/>
  <c r="AI99" i="6"/>
  <c r="AJ100" i="6"/>
  <c r="AK101" i="6"/>
  <c r="AL102" i="6"/>
  <c r="AM103" i="6"/>
  <c r="AN104" i="6"/>
  <c r="P31" i="6"/>
  <c r="P36" i="6" s="1"/>
  <c r="O38" i="6"/>
  <c r="CB13" i="70"/>
  <c r="M19" i="70"/>
  <c r="AO26" i="70"/>
  <c r="M21" i="70"/>
  <c r="U27" i="70"/>
  <c r="F107" i="21"/>
  <c r="F84" i="21"/>
  <c r="N156" i="71"/>
  <c r="CC145" i="71"/>
  <c r="AD142" i="69"/>
  <c r="N157" i="71"/>
  <c r="CD30" i="2"/>
  <c r="BD165" i="23"/>
  <c r="BC172" i="23"/>
  <c r="BC175" i="23" s="1"/>
  <c r="BB176" i="23"/>
  <c r="BD169" i="23"/>
  <c r="BD167" i="23"/>
  <c r="F44" i="42"/>
  <c r="G42" i="21"/>
  <c r="N11" i="2"/>
  <c r="O9" i="6" s="1"/>
  <c r="N13" i="2"/>
  <c r="O11" i="6" s="1"/>
  <c r="CB11" i="19"/>
  <c r="CB15" i="19" s="1"/>
  <c r="CB10" i="19"/>
  <c r="V27" i="70"/>
  <c r="CE7" i="2"/>
  <c r="CE31" i="2" s="1"/>
  <c r="CD5" i="2"/>
  <c r="CD5" i="19"/>
  <c r="CD13" i="19" s="1"/>
  <c r="CC9" i="19"/>
  <c r="N21" i="70"/>
  <c r="P20" i="6" l="1"/>
  <c r="Q173" i="6" s="1"/>
  <c r="P32" i="6"/>
  <c r="P34" i="6" s="1"/>
  <c r="P19" i="2"/>
  <c r="Q17" i="6" s="1"/>
  <c r="O168" i="6"/>
  <c r="P21" i="2"/>
  <c r="Q19" i="6" s="1"/>
  <c r="Q37" i="6" s="1"/>
  <c r="O23" i="2"/>
  <c r="AQ59" i="6"/>
  <c r="AC113" i="6"/>
  <c r="AD108" i="6" s="1"/>
  <c r="P23" i="6"/>
  <c r="P25" i="6"/>
  <c r="AR56" i="6"/>
  <c r="AS47" i="6"/>
  <c r="AO110" i="6"/>
  <c r="AO111" i="6" s="1"/>
  <c r="AD116" i="6"/>
  <c r="AD128" i="6" s="1"/>
  <c r="AE117" i="6"/>
  <c r="AF118" i="6"/>
  <c r="AG119" i="6"/>
  <c r="AH120" i="6"/>
  <c r="AI121" i="6"/>
  <c r="AJ122" i="6"/>
  <c r="AK123" i="6"/>
  <c r="AL124" i="6"/>
  <c r="AM125" i="6"/>
  <c r="AN126" i="6"/>
  <c r="AO127" i="6"/>
  <c r="CE175" i="6"/>
  <c r="CE135" i="6"/>
  <c r="CE45" i="6"/>
  <c r="CE49" i="6"/>
  <c r="CE43" i="6"/>
  <c r="Q31" i="6"/>
  <c r="Q36" i="6" s="1"/>
  <c r="P38" i="6"/>
  <c r="P3" i="6" s="1"/>
  <c r="P39" i="6"/>
  <c r="P40" i="6" s="1"/>
  <c r="P62" i="6" s="1"/>
  <c r="AM87" i="6"/>
  <c r="AM88" i="6" s="1"/>
  <c r="AB93" i="6"/>
  <c r="AB105" i="6" s="1"/>
  <c r="AB60" i="6" s="1"/>
  <c r="AB61" i="6" s="1"/>
  <c r="AC94" i="6"/>
  <c r="AC105" i="6" s="1"/>
  <c r="AC60" i="6" s="1"/>
  <c r="AC61" i="6" s="1"/>
  <c r="AD95" i="6"/>
  <c r="AE96" i="6"/>
  <c r="AF97" i="6"/>
  <c r="AG98" i="6"/>
  <c r="AH99" i="6"/>
  <c r="AI100" i="6"/>
  <c r="AJ101" i="6"/>
  <c r="AK102" i="6"/>
  <c r="AL103" i="6"/>
  <c r="AM104" i="6"/>
  <c r="AC89" i="6"/>
  <c r="AC86" i="6" s="1"/>
  <c r="AR48" i="6"/>
  <c r="AR55" i="6"/>
  <c r="AS46" i="6"/>
  <c r="AF28" i="6"/>
  <c r="AG35" i="6"/>
  <c r="CD177" i="6"/>
  <c r="CD176" i="6"/>
  <c r="CD162" i="6"/>
  <c r="CD161" i="6"/>
  <c r="CD157" i="6"/>
  <c r="CD156" i="6"/>
  <c r="CD153" i="6"/>
  <c r="CD152" i="6"/>
  <c r="CD172" i="6"/>
  <c r="CD167" i="6"/>
  <c r="CD166" i="6"/>
  <c r="CD147" i="6"/>
  <c r="CD143" i="6"/>
  <c r="CD142" i="6"/>
  <c r="CD138" i="6"/>
  <c r="CD137" i="6"/>
  <c r="CD148" i="6"/>
  <c r="CF6" i="6"/>
  <c r="CE6" i="30"/>
  <c r="AR57" i="6"/>
  <c r="AS50" i="6"/>
  <c r="Q27" i="6"/>
  <c r="Q29" i="6"/>
  <c r="AD112" i="6"/>
  <c r="AD109" i="6" s="1"/>
  <c r="AE24" i="6"/>
  <c r="AS54" i="6"/>
  <c r="AT44" i="6"/>
  <c r="O3" i="6"/>
  <c r="CD171" i="6"/>
  <c r="O15" i="6"/>
  <c r="O17" i="2"/>
  <c r="O15" i="2"/>
  <c r="P13" i="6" s="1"/>
  <c r="AR58" i="6"/>
  <c r="AS51" i="6"/>
  <c r="CC13" i="70"/>
  <c r="N20" i="70"/>
  <c r="AP26" i="70"/>
  <c r="N19" i="70"/>
  <c r="F106" i="21"/>
  <c r="F82" i="21"/>
  <c r="F83" i="21"/>
  <c r="F105" i="21"/>
  <c r="O157" i="71"/>
  <c r="CD145" i="71"/>
  <c r="O156" i="71"/>
  <c r="CE30" i="2"/>
  <c r="BE162" i="23"/>
  <c r="BE164" i="23"/>
  <c r="BD170" i="23"/>
  <c r="BE167" i="23" s="1"/>
  <c r="BC176" i="23"/>
  <c r="BD174" i="23"/>
  <c r="BD172" i="23"/>
  <c r="F45" i="42"/>
  <c r="G43" i="21"/>
  <c r="O11" i="2"/>
  <c r="P9" i="6" s="1"/>
  <c r="O13" i="2"/>
  <c r="P11" i="6" s="1"/>
  <c r="CC10" i="19"/>
  <c r="CC11" i="19"/>
  <c r="CC15" i="19" s="1"/>
  <c r="CF7" i="2"/>
  <c r="CF31" i="2" s="1"/>
  <c r="CE5" i="2"/>
  <c r="CE5" i="19"/>
  <c r="CE13" i="19" s="1"/>
  <c r="CD9" i="19"/>
  <c r="W27" i="70"/>
  <c r="Q21" i="2"/>
  <c r="R19" i="6" s="1"/>
  <c r="Q19" i="2" l="1"/>
  <c r="R17" i="6" s="1"/>
  <c r="P23" i="2"/>
  <c r="O19" i="70" s="1"/>
  <c r="P168" i="6"/>
  <c r="Q20" i="6"/>
  <c r="R173" i="6" s="1"/>
  <c r="Q32" i="6"/>
  <c r="Q34" i="6" s="1"/>
  <c r="CE171" i="6"/>
  <c r="AR59" i="6"/>
  <c r="R37" i="6"/>
  <c r="R32" i="6"/>
  <c r="R34" i="6" s="1"/>
  <c r="R20" i="6"/>
  <c r="CF175" i="6"/>
  <c r="CF135" i="6"/>
  <c r="CF45" i="6"/>
  <c r="CF43" i="6"/>
  <c r="CF49" i="6"/>
  <c r="AO87" i="6"/>
  <c r="AO88" i="6" s="1"/>
  <c r="AD93" i="6"/>
  <c r="AD105" i="6" s="1"/>
  <c r="AD60" i="6" s="1"/>
  <c r="AD61" i="6" s="1"/>
  <c r="AE94" i="6"/>
  <c r="AF95" i="6"/>
  <c r="AG96" i="6"/>
  <c r="AH97" i="6"/>
  <c r="AI98" i="6"/>
  <c r="AJ99" i="6"/>
  <c r="AK100" i="6"/>
  <c r="AL101" i="6"/>
  <c r="AM102" i="6"/>
  <c r="AN103" i="6"/>
  <c r="AO104" i="6"/>
  <c r="AD113" i="6"/>
  <c r="AE108" i="6" s="1"/>
  <c r="AD89" i="6"/>
  <c r="AD86" i="6" s="1"/>
  <c r="AS56" i="6"/>
  <c r="AT47" i="6"/>
  <c r="CE176" i="6"/>
  <c r="CE177" i="6"/>
  <c r="CE157" i="6"/>
  <c r="CE156" i="6"/>
  <c r="CE172" i="6"/>
  <c r="CE153" i="6"/>
  <c r="CE143" i="6"/>
  <c r="CE142" i="6"/>
  <c r="CE166" i="6"/>
  <c r="CE162" i="6"/>
  <c r="CE138" i="6"/>
  <c r="CE137" i="6"/>
  <c r="CE167" i="6"/>
  <c r="CE148" i="6"/>
  <c r="CE152" i="6"/>
  <c r="CE161" i="6"/>
  <c r="CE147" i="6"/>
  <c r="AP110" i="6"/>
  <c r="AP111" i="6" s="1"/>
  <c r="AE116" i="6"/>
  <c r="AE128" i="6" s="1"/>
  <c r="AF117" i="6"/>
  <c r="AG118" i="6"/>
  <c r="AH119" i="6"/>
  <c r="AI120" i="6"/>
  <c r="AJ121" i="6"/>
  <c r="AK122" i="6"/>
  <c r="AL123" i="6"/>
  <c r="AM124" i="6"/>
  <c r="AN125" i="6"/>
  <c r="AO126" i="6"/>
  <c r="AP127" i="6"/>
  <c r="Q23" i="6"/>
  <c r="Q25" i="6"/>
  <c r="AG28" i="6"/>
  <c r="AG24" i="6" s="1"/>
  <c r="AH35" i="6"/>
  <c r="Q38" i="6"/>
  <c r="R31" i="6"/>
  <c r="R36" i="6" s="1"/>
  <c r="AC90" i="6"/>
  <c r="AD85" i="6" s="1"/>
  <c r="P15" i="6"/>
  <c r="P17" i="2"/>
  <c r="P15" i="2"/>
  <c r="Q13" i="6" s="1"/>
  <c r="AE112" i="6"/>
  <c r="AE109" i="6" s="1"/>
  <c r="Q39" i="6"/>
  <c r="Q40" i="6" s="1"/>
  <c r="Q62" i="6" s="1"/>
  <c r="AT54" i="6"/>
  <c r="AU44" i="6"/>
  <c r="CG6" i="6"/>
  <c r="CF6" i="30"/>
  <c r="AS57" i="6"/>
  <c r="AT50" i="6"/>
  <c r="AF24" i="6"/>
  <c r="R27" i="6"/>
  <c r="R29" i="6"/>
  <c r="AS48" i="6"/>
  <c r="AS55" i="6"/>
  <c r="AT46" i="6"/>
  <c r="AS58" i="6"/>
  <c r="AT51" i="6"/>
  <c r="CD13" i="70"/>
  <c r="O21" i="70"/>
  <c r="AQ26" i="70"/>
  <c r="O20" i="70"/>
  <c r="F81" i="21"/>
  <c r="F32" i="21"/>
  <c r="F104" i="21"/>
  <c r="P156" i="71"/>
  <c r="P157" i="71"/>
  <c r="CE145" i="71"/>
  <c r="AE142" i="69" s="1"/>
  <c r="I117" i="1"/>
  <c r="I123" i="1" s="1"/>
  <c r="J123" i="1" s="1"/>
  <c r="CF30" i="2"/>
  <c r="BE165" i="23"/>
  <c r="BF162" i="23" s="1"/>
  <c r="BE169" i="23"/>
  <c r="BE170" i="23" s="1"/>
  <c r="BD175" i="23"/>
  <c r="BD176" i="23" s="1"/>
  <c r="I127" i="1"/>
  <c r="J127" i="1" s="1"/>
  <c r="R19" i="2"/>
  <c r="S17" i="6" s="1"/>
  <c r="Q23" i="2"/>
  <c r="P20" i="70"/>
  <c r="R21" i="2"/>
  <c r="S19" i="6" s="1"/>
  <c r="CG7" i="2"/>
  <c r="CG31" i="2" s="1"/>
  <c r="CF5" i="2"/>
  <c r="CD11" i="19"/>
  <c r="CD15" i="19" s="1"/>
  <c r="CD10" i="19"/>
  <c r="CF5" i="19"/>
  <c r="CF13" i="19" s="1"/>
  <c r="CE9" i="19"/>
  <c r="P11" i="2"/>
  <c r="Q9" i="6" s="1"/>
  <c r="P13" i="2"/>
  <c r="Q11" i="6" s="1"/>
  <c r="P19" i="70" l="1"/>
  <c r="Q168" i="6"/>
  <c r="AS59" i="6"/>
  <c r="S27" i="6"/>
  <c r="F27" i="21" s="1"/>
  <c r="S29" i="6"/>
  <c r="AH28" i="6"/>
  <c r="AH24" i="6" s="1"/>
  <c r="AI35" i="6"/>
  <c r="AF89" i="6"/>
  <c r="AF86" i="6" s="1"/>
  <c r="AE89" i="6"/>
  <c r="AE86" i="6" s="1"/>
  <c r="AF112" i="6"/>
  <c r="AF109" i="6" s="1"/>
  <c r="AT56" i="6"/>
  <c r="AU47" i="6"/>
  <c r="AT57" i="6"/>
  <c r="AU50" i="6"/>
  <c r="R23" i="6"/>
  <c r="R25" i="6"/>
  <c r="AQ110" i="6"/>
  <c r="AQ111" i="6" s="1"/>
  <c r="AF116" i="6"/>
  <c r="AF128" i="6" s="1"/>
  <c r="AG117" i="6"/>
  <c r="AH118" i="6"/>
  <c r="AI119" i="6"/>
  <c r="AJ120" i="6"/>
  <c r="AK121" i="6"/>
  <c r="AL122" i="6"/>
  <c r="AM123" i="6"/>
  <c r="AN124" i="6"/>
  <c r="AO125" i="6"/>
  <c r="AP126" i="6"/>
  <c r="AQ127" i="6"/>
  <c r="AP87" i="6"/>
  <c r="AP88" i="6" s="1"/>
  <c r="AE93" i="6"/>
  <c r="AE105" i="6" s="1"/>
  <c r="AE60" i="6" s="1"/>
  <c r="AE61" i="6" s="1"/>
  <c r="AF94" i="6"/>
  <c r="AG95" i="6"/>
  <c r="AH96" i="6"/>
  <c r="AI97" i="6"/>
  <c r="AJ98" i="6"/>
  <c r="AK99" i="6"/>
  <c r="AL100" i="6"/>
  <c r="AM101" i="6"/>
  <c r="AN102" i="6"/>
  <c r="AO103" i="6"/>
  <c r="AP104" i="6"/>
  <c r="CF176" i="6"/>
  <c r="CF177" i="6"/>
  <c r="CF157" i="6"/>
  <c r="CF156" i="6"/>
  <c r="CF153" i="6"/>
  <c r="CF152" i="6"/>
  <c r="CF148" i="6"/>
  <c r="CF147" i="6"/>
  <c r="CF167" i="6"/>
  <c r="CF166" i="6"/>
  <c r="CF162" i="6"/>
  <c r="CF161" i="6"/>
  <c r="CF143" i="6"/>
  <c r="CF142" i="6"/>
  <c r="CF138" i="6"/>
  <c r="CF137" i="6"/>
  <c r="CF172" i="6"/>
  <c r="S37" i="6"/>
  <c r="S32" i="6"/>
  <c r="S34" i="6" s="1"/>
  <c r="S20" i="6"/>
  <c r="AT58" i="6"/>
  <c r="AU51" i="6"/>
  <c r="Q15" i="6"/>
  <c r="Q15" i="2"/>
  <c r="R13" i="6" s="1"/>
  <c r="Q17" i="2"/>
  <c r="AE113" i="6"/>
  <c r="AF108" i="6" s="1"/>
  <c r="CH6" i="6"/>
  <c r="CG6" i="30"/>
  <c r="R168" i="6"/>
  <c r="S173" i="6"/>
  <c r="AT48" i="6"/>
  <c r="AT55" i="6"/>
  <c r="AU46" i="6"/>
  <c r="CG175" i="6"/>
  <c r="CG135" i="6"/>
  <c r="CG49" i="6"/>
  <c r="CG43" i="6"/>
  <c r="CG45" i="6"/>
  <c r="AD90" i="6"/>
  <c r="AE85" i="6" s="1"/>
  <c r="R38" i="6"/>
  <c r="R3" i="6" s="1"/>
  <c r="S31" i="6"/>
  <c r="S36" i="6" s="1"/>
  <c r="AU54" i="6"/>
  <c r="AV44" i="6"/>
  <c r="Q3" i="6"/>
  <c r="CF171" i="6"/>
  <c r="R39" i="6"/>
  <c r="R40" i="6" s="1"/>
  <c r="R62" i="6" s="1"/>
  <c r="CE13" i="70"/>
  <c r="X27" i="70"/>
  <c r="AR26" i="70"/>
  <c r="P21" i="70"/>
  <c r="J117" i="1"/>
  <c r="F103" i="21"/>
  <c r="F102" i="21"/>
  <c r="CF145" i="71"/>
  <c r="Q157" i="71"/>
  <c r="Q156" i="71"/>
  <c r="CG30" i="2"/>
  <c r="BF164" i="23"/>
  <c r="BF165" i="23" s="1"/>
  <c r="BG162" i="23" s="1"/>
  <c r="BE174" i="23"/>
  <c r="BE172" i="23"/>
  <c r="BF167" i="23"/>
  <c r="BF169" i="23"/>
  <c r="AS26" i="70"/>
  <c r="CG5" i="19"/>
  <c r="CG13" i="19" s="1"/>
  <c r="CF9" i="19"/>
  <c r="E33" i="21"/>
  <c r="CE10" i="19"/>
  <c r="CE11" i="19"/>
  <c r="CE15" i="19" s="1"/>
  <c r="S19" i="2"/>
  <c r="T17" i="6" s="1"/>
  <c r="R23" i="2"/>
  <c r="Q20" i="70"/>
  <c r="S21" i="2"/>
  <c r="T19" i="6" s="1"/>
  <c r="CH7" i="2"/>
  <c r="CH31" i="2" s="1"/>
  <c r="CG5" i="2"/>
  <c r="F18" i="20"/>
  <c r="F20" i="20" s="1"/>
  <c r="F22" i="20" s="1"/>
  <c r="F17" i="21"/>
  <c r="F19" i="21" s="1"/>
  <c r="Q11" i="2"/>
  <c r="R9" i="6" s="1"/>
  <c r="Q13" i="2"/>
  <c r="R11" i="6" s="1"/>
  <c r="AE90" i="6" l="1"/>
  <c r="AF85" i="6" s="1"/>
  <c r="AF90" i="6" s="1"/>
  <c r="AG85" i="6" s="1"/>
  <c r="AT59" i="6"/>
  <c r="AF113" i="6"/>
  <c r="AG108" i="6" s="1"/>
  <c r="CG171" i="6"/>
  <c r="AQ87" i="6"/>
  <c r="AQ88" i="6" s="1"/>
  <c r="AF93" i="6"/>
  <c r="AF105" i="6" s="1"/>
  <c r="AF60" i="6" s="1"/>
  <c r="AF61" i="6" s="1"/>
  <c r="AG94" i="6"/>
  <c r="AH95" i="6"/>
  <c r="AI96" i="6"/>
  <c r="AJ97" i="6"/>
  <c r="AK98" i="6"/>
  <c r="AL99" i="6"/>
  <c r="AM100" i="6"/>
  <c r="AN101" i="6"/>
  <c r="AO102" i="6"/>
  <c r="AP103" i="6"/>
  <c r="AQ104" i="6"/>
  <c r="AU58" i="6"/>
  <c r="AV51" i="6"/>
  <c r="S23" i="6"/>
  <c r="F23" i="21" s="1"/>
  <c r="S25" i="6"/>
  <c r="AR87" i="6"/>
  <c r="AR88" i="6" s="1"/>
  <c r="AG93" i="6"/>
  <c r="AH94" i="6"/>
  <c r="AI95" i="6"/>
  <c r="AJ96" i="6"/>
  <c r="AK97" i="6"/>
  <c r="AL98" i="6"/>
  <c r="AM99" i="6"/>
  <c r="AN100" i="6"/>
  <c r="AO101" i="6"/>
  <c r="AP102" i="6"/>
  <c r="AQ103" i="6"/>
  <c r="AR104" i="6"/>
  <c r="S168" i="6"/>
  <c r="T173" i="6"/>
  <c r="AU57" i="6"/>
  <c r="AV50" i="6"/>
  <c r="AI28" i="6"/>
  <c r="AI24" i="6" s="1"/>
  <c r="AJ35" i="6"/>
  <c r="AG89" i="6"/>
  <c r="AG86" i="6" s="1"/>
  <c r="AV54" i="6"/>
  <c r="AW44" i="6"/>
  <c r="AG112" i="6"/>
  <c r="AG109" i="6" s="1"/>
  <c r="AU56" i="6"/>
  <c r="AV47" i="6"/>
  <c r="T27" i="6"/>
  <c r="T29" i="6"/>
  <c r="CI6" i="6"/>
  <c r="CH6" i="30"/>
  <c r="CG177" i="6"/>
  <c r="CG176" i="6"/>
  <c r="CG153" i="6"/>
  <c r="CG152" i="6"/>
  <c r="CG172" i="6"/>
  <c r="CG167" i="6"/>
  <c r="CG166" i="6"/>
  <c r="CG143" i="6"/>
  <c r="CG142" i="6"/>
  <c r="CG162" i="6"/>
  <c r="CG138" i="6"/>
  <c r="CG137" i="6"/>
  <c r="CG157" i="6"/>
  <c r="CG148" i="6"/>
  <c r="CG156" i="6"/>
  <c r="CG161" i="6"/>
  <c r="CG147" i="6"/>
  <c r="CH175" i="6"/>
  <c r="CH135" i="6"/>
  <c r="CH49" i="6"/>
  <c r="CH45" i="6"/>
  <c r="CH43" i="6"/>
  <c r="S38" i="6"/>
  <c r="T31" i="6"/>
  <c r="T36" i="6" s="1"/>
  <c r="T37" i="6" s="1"/>
  <c r="AU48" i="6"/>
  <c r="AU55" i="6"/>
  <c r="AV46" i="6"/>
  <c r="AR110" i="6"/>
  <c r="AR111" i="6" s="1"/>
  <c r="AG116" i="6"/>
  <c r="AG128" i="6" s="1"/>
  <c r="AH117" i="6"/>
  <c r="AI118" i="6"/>
  <c r="AJ119" i="6"/>
  <c r="AK120" i="6"/>
  <c r="AL121" i="6"/>
  <c r="AM122" i="6"/>
  <c r="AN123" i="6"/>
  <c r="AO124" i="6"/>
  <c r="AP125" i="6"/>
  <c r="AQ126" i="6"/>
  <c r="AR127" i="6"/>
  <c r="T32" i="6"/>
  <c r="T34" i="6" s="1"/>
  <c r="T20" i="6"/>
  <c r="S39" i="6"/>
  <c r="S40" i="6" s="1"/>
  <c r="S62" i="6" s="1"/>
  <c r="R15" i="6"/>
  <c r="R17" i="2"/>
  <c r="R15" i="2"/>
  <c r="CF13" i="70"/>
  <c r="Q19" i="70"/>
  <c r="Y27" i="70"/>
  <c r="F28" i="21"/>
  <c r="F29" i="21" s="1"/>
  <c r="F101" i="21"/>
  <c r="F24" i="21"/>
  <c r="F151" i="68"/>
  <c r="F152" i="68"/>
  <c r="R156" i="71"/>
  <c r="J153" i="69" s="1"/>
  <c r="CG145" i="71"/>
  <c r="CH30" i="2"/>
  <c r="BE175" i="23"/>
  <c r="BE176" i="23" s="1"/>
  <c r="BG164" i="23"/>
  <c r="BG165" i="23" s="1"/>
  <c r="BF170" i="23"/>
  <c r="E20" i="21"/>
  <c r="T19" i="2"/>
  <c r="U17" i="6" s="1"/>
  <c r="S23" i="2"/>
  <c r="R20" i="70"/>
  <c r="T21" i="2"/>
  <c r="U19" i="6" s="1"/>
  <c r="F31" i="21"/>
  <c r="CF11" i="19"/>
  <c r="CF10" i="19"/>
  <c r="CF15" i="19"/>
  <c r="R11" i="2"/>
  <c r="S9" i="6" s="1"/>
  <c r="R13" i="2"/>
  <c r="S11" i="6" s="1"/>
  <c r="E34" i="21"/>
  <c r="E35" i="21"/>
  <c r="CH5" i="19"/>
  <c r="CH13" i="19" s="1"/>
  <c r="CG9" i="19"/>
  <c r="CI7" i="2"/>
  <c r="CI31" i="2" s="1"/>
  <c r="CH5" i="2"/>
  <c r="F25" i="21" l="1"/>
  <c r="AG105" i="6"/>
  <c r="AG60" i="6" s="1"/>
  <c r="AG61" i="6" s="1"/>
  <c r="AG113" i="6"/>
  <c r="AH108" i="6" s="1"/>
  <c r="AU59" i="6"/>
  <c r="S13" i="6"/>
  <c r="F13" i="21" s="1"/>
  <c r="F15" i="21" s="1"/>
  <c r="F14" i="20"/>
  <c r="F16" i="20" s="1"/>
  <c r="CH176" i="6"/>
  <c r="CH177" i="6"/>
  <c r="CH153" i="6"/>
  <c r="CH152" i="6"/>
  <c r="CH148" i="6"/>
  <c r="CH147" i="6"/>
  <c r="CH172" i="6"/>
  <c r="CH162" i="6"/>
  <c r="CH161" i="6"/>
  <c r="CH157" i="6"/>
  <c r="CH138" i="6"/>
  <c r="CH137" i="6"/>
  <c r="CH166" i="6"/>
  <c r="CH167" i="6"/>
  <c r="CH156" i="6"/>
  <c r="CH142" i="6"/>
  <c r="CH143" i="6"/>
  <c r="AV56" i="6"/>
  <c r="AW47" i="6"/>
  <c r="S15" i="6"/>
  <c r="S15" i="2"/>
  <c r="T13" i="6" s="1"/>
  <c r="S17" i="2"/>
  <c r="AS87" i="6"/>
  <c r="AS88" i="6" s="1"/>
  <c r="AH93" i="6"/>
  <c r="AH105" i="6" s="1"/>
  <c r="AI94" i="6"/>
  <c r="AJ95" i="6"/>
  <c r="AK96" i="6"/>
  <c r="AL97" i="6"/>
  <c r="AM98" i="6"/>
  <c r="AN99" i="6"/>
  <c r="AO100" i="6"/>
  <c r="AP101" i="6"/>
  <c r="AQ102" i="6"/>
  <c r="AR103" i="6"/>
  <c r="AS104" i="6"/>
  <c r="T23" i="6"/>
  <c r="T25" i="6"/>
  <c r="AJ28" i="6"/>
  <c r="AK35" i="6"/>
  <c r="U32" i="6"/>
  <c r="U34" i="6" s="1"/>
  <c r="U20" i="6"/>
  <c r="T168" i="6"/>
  <c r="U173" i="6"/>
  <c r="AH89" i="6"/>
  <c r="AH86" i="6" s="1"/>
  <c r="AV58" i="6"/>
  <c r="AW51" i="6"/>
  <c r="T39" i="6"/>
  <c r="T40" i="6" s="1"/>
  <c r="T62" i="6" s="1"/>
  <c r="AH112" i="6"/>
  <c r="AH109" i="6" s="1"/>
  <c r="AV57" i="6"/>
  <c r="AW50" i="6"/>
  <c r="CH171" i="6"/>
  <c r="T38" i="6"/>
  <c r="U31" i="6"/>
  <c r="U36" i="6" s="1"/>
  <c r="U39" i="6" s="1"/>
  <c r="U40" i="6" s="1"/>
  <c r="U62" i="6" s="1"/>
  <c r="CI175" i="6"/>
  <c r="CI135" i="6"/>
  <c r="CI49" i="6"/>
  <c r="CI43" i="6"/>
  <c r="CI45" i="6"/>
  <c r="AS110" i="6"/>
  <c r="AS111" i="6" s="1"/>
  <c r="AH116" i="6"/>
  <c r="AH128" i="6" s="1"/>
  <c r="AI117" i="6"/>
  <c r="AJ118" i="6"/>
  <c r="AK119" i="6"/>
  <c r="AL120" i="6"/>
  <c r="AM121" i="6"/>
  <c r="AN122" i="6"/>
  <c r="AO123" i="6"/>
  <c r="AP124" i="6"/>
  <c r="AQ125" i="6"/>
  <c r="AR126" i="6"/>
  <c r="AS127" i="6"/>
  <c r="AV48" i="6"/>
  <c r="AV55" i="6"/>
  <c r="AW46" i="6"/>
  <c r="S3" i="6"/>
  <c r="U27" i="6"/>
  <c r="U29" i="6"/>
  <c r="AG90" i="6"/>
  <c r="AH85" i="6" s="1"/>
  <c r="CJ6" i="6"/>
  <c r="CI6" i="30"/>
  <c r="AW54" i="6"/>
  <c r="AX44" i="6"/>
  <c r="CG13" i="70"/>
  <c r="Q21" i="70"/>
  <c r="R19" i="70"/>
  <c r="AT26" i="70"/>
  <c r="Z27" i="70"/>
  <c r="F96" i="21"/>
  <c r="F112" i="21"/>
  <c r="F93" i="21"/>
  <c r="F80" i="21"/>
  <c r="F79" i="21"/>
  <c r="R157" i="71"/>
  <c r="CH145" i="71"/>
  <c r="S156" i="71"/>
  <c r="CI30" i="2"/>
  <c r="BF174" i="23"/>
  <c r="BF172" i="23"/>
  <c r="BH162" i="23"/>
  <c r="BH164" i="23"/>
  <c r="BG169" i="23"/>
  <c r="BG167" i="23"/>
  <c r="AU26" i="70"/>
  <c r="T23" i="2"/>
  <c r="U19" i="2"/>
  <c r="V17" i="6" s="1"/>
  <c r="U21" i="2"/>
  <c r="V19" i="6" s="1"/>
  <c r="CI5" i="2"/>
  <c r="CJ7" i="2"/>
  <c r="CJ31" i="2" s="1"/>
  <c r="CI5" i="19"/>
  <c r="CI13" i="19" s="1"/>
  <c r="CH9" i="19"/>
  <c r="S11" i="2"/>
  <c r="T9" i="6" s="1"/>
  <c r="S13" i="2"/>
  <c r="T11" i="6" s="1"/>
  <c r="CG10" i="19"/>
  <c r="CG11" i="19"/>
  <c r="CG15" i="19" s="1"/>
  <c r="AA27" i="70"/>
  <c r="E46" i="21"/>
  <c r="F10" i="20"/>
  <c r="F12" i="20" s="1"/>
  <c r="F9" i="21"/>
  <c r="F11" i="21" s="1"/>
  <c r="AH113" i="6" l="1"/>
  <c r="AI108" i="6" s="1"/>
  <c r="AH90" i="6"/>
  <c r="AI85" i="6" s="1"/>
  <c r="AH60" i="6"/>
  <c r="AH61" i="6" s="1"/>
  <c r="AV59" i="6"/>
  <c r="CJ175" i="6"/>
  <c r="CJ135" i="6"/>
  <c r="CJ49" i="6"/>
  <c r="CJ45" i="6"/>
  <c r="CJ43" i="6"/>
  <c r="AI112" i="6"/>
  <c r="AI109" i="6" s="1"/>
  <c r="AT87" i="6"/>
  <c r="AT88" i="6" s="1"/>
  <c r="AI93" i="6"/>
  <c r="AI105" i="6" s="1"/>
  <c r="AJ94" i="6"/>
  <c r="AK95" i="6"/>
  <c r="AL96" i="6"/>
  <c r="AM97" i="6"/>
  <c r="AN98" i="6"/>
  <c r="AO99" i="6"/>
  <c r="AP100" i="6"/>
  <c r="AQ101" i="6"/>
  <c r="AR102" i="6"/>
  <c r="AS103" i="6"/>
  <c r="AT104" i="6"/>
  <c r="U23" i="6"/>
  <c r="U25" i="6"/>
  <c r="V27" i="6"/>
  <c r="V29" i="6"/>
  <c r="CI176" i="6"/>
  <c r="CI177" i="6"/>
  <c r="CI148" i="6"/>
  <c r="CI147" i="6"/>
  <c r="CI172" i="6"/>
  <c r="CI167" i="6"/>
  <c r="CI166" i="6"/>
  <c r="CI138" i="6"/>
  <c r="CI137" i="6"/>
  <c r="CI162" i="6"/>
  <c r="CI153" i="6"/>
  <c r="CI157" i="6"/>
  <c r="CI156" i="6"/>
  <c r="CI152" i="6"/>
  <c r="CI143" i="6"/>
  <c r="CI142" i="6"/>
  <c r="CI161" i="6"/>
  <c r="CI171" i="6"/>
  <c r="AW57" i="6"/>
  <c r="AX50" i="6"/>
  <c r="T15" i="6"/>
  <c r="T15" i="2"/>
  <c r="U13" i="6" s="1"/>
  <c r="T17" i="2"/>
  <c r="V32" i="6"/>
  <c r="V34" i="6" s="1"/>
  <c r="V20" i="6"/>
  <c r="AW55" i="6"/>
  <c r="AW48" i="6"/>
  <c r="AX46" i="6"/>
  <c r="V173" i="6"/>
  <c r="U168" i="6"/>
  <c r="U38" i="6"/>
  <c r="V31" i="6"/>
  <c r="V36" i="6" s="1"/>
  <c r="V39" i="6" s="1"/>
  <c r="V40" i="6" s="1"/>
  <c r="V62" i="6" s="1"/>
  <c r="CK6" i="6"/>
  <c r="CJ6" i="30"/>
  <c r="AX54" i="6"/>
  <c r="AY44" i="6"/>
  <c r="AT110" i="6"/>
  <c r="AT111" i="6" s="1"/>
  <c r="AI116" i="6"/>
  <c r="AI128" i="6" s="1"/>
  <c r="AJ117" i="6"/>
  <c r="AK118" i="6"/>
  <c r="AL119" i="6"/>
  <c r="AM120" i="6"/>
  <c r="AN121" i="6"/>
  <c r="AO122" i="6"/>
  <c r="AP123" i="6"/>
  <c r="AQ124" i="6"/>
  <c r="AR125" i="6"/>
  <c r="AS126" i="6"/>
  <c r="AT127" i="6"/>
  <c r="U37" i="6"/>
  <c r="AK28" i="6"/>
  <c r="AK24" i="6" s="1"/>
  <c r="AL35" i="6"/>
  <c r="AW56" i="6"/>
  <c r="AX47" i="6"/>
  <c r="T3" i="6"/>
  <c r="AW58" i="6"/>
  <c r="AX51" i="6"/>
  <c r="AJ24" i="6"/>
  <c r="G111" i="21"/>
  <c r="CH13" i="70"/>
  <c r="R21" i="70"/>
  <c r="S19" i="70"/>
  <c r="S20" i="70"/>
  <c r="F73" i="21"/>
  <c r="F70" i="21"/>
  <c r="G88" i="21"/>
  <c r="G95" i="21"/>
  <c r="F100" i="21"/>
  <c r="F97" i="21"/>
  <c r="G94" i="21"/>
  <c r="G110" i="21"/>
  <c r="F78" i="21"/>
  <c r="F77" i="21"/>
  <c r="G92" i="21"/>
  <c r="G109" i="21"/>
  <c r="J154" i="69"/>
  <c r="T156" i="71"/>
  <c r="S157" i="71"/>
  <c r="CI145" i="71"/>
  <c r="CJ30" i="2"/>
  <c r="BF175" i="23"/>
  <c r="BG174" i="23" s="1"/>
  <c r="BH165" i="23"/>
  <c r="BG170" i="23"/>
  <c r="AV26" i="70"/>
  <c r="AB27" i="70"/>
  <c r="T11" i="2"/>
  <c r="U9" i="6" s="1"/>
  <c r="T13" i="2"/>
  <c r="U11" i="6" s="1"/>
  <c r="CJ5" i="2"/>
  <c r="CK7" i="2"/>
  <c r="CK31" i="2" s="1"/>
  <c r="S21" i="70"/>
  <c r="CH10" i="19"/>
  <c r="CH11" i="19"/>
  <c r="CH15" i="19" s="1"/>
  <c r="CJ5" i="19"/>
  <c r="CJ13" i="19" s="1"/>
  <c r="CI9" i="19"/>
  <c r="U23" i="2"/>
  <c r="V19" i="2"/>
  <c r="W17" i="6" s="1"/>
  <c r="T20" i="70"/>
  <c r="V21" i="2"/>
  <c r="W19" i="6" s="1"/>
  <c r="U3" i="6" l="1"/>
  <c r="AI113" i="6"/>
  <c r="AJ108" i="6" s="1"/>
  <c r="CJ171" i="6"/>
  <c r="AW59" i="6"/>
  <c r="AJ89" i="6"/>
  <c r="AJ86" i="6" s="1"/>
  <c r="AI89" i="6"/>
  <c r="CK135" i="6"/>
  <c r="CK175" i="6"/>
  <c r="CK43" i="6"/>
  <c r="CK49" i="6"/>
  <c r="CK45" i="6"/>
  <c r="V37" i="6"/>
  <c r="AX58" i="6"/>
  <c r="AY51" i="6"/>
  <c r="AJ112" i="6"/>
  <c r="AJ109" i="6" s="1"/>
  <c r="U15" i="6"/>
  <c r="U15" i="2"/>
  <c r="V13" i="6" s="1"/>
  <c r="U17" i="2"/>
  <c r="W31" i="6"/>
  <c r="W36" i="6" s="1"/>
  <c r="W37" i="6" s="1"/>
  <c r="V38" i="6"/>
  <c r="W27" i="6"/>
  <c r="W29" i="6"/>
  <c r="AX57" i="6"/>
  <c r="AY50" i="6"/>
  <c r="V23" i="6"/>
  <c r="V25" i="6"/>
  <c r="CJ176" i="6"/>
  <c r="CJ177" i="6"/>
  <c r="CJ148" i="6"/>
  <c r="CJ147" i="6"/>
  <c r="CJ172" i="6"/>
  <c r="CJ167" i="6"/>
  <c r="CJ166" i="6"/>
  <c r="CJ157" i="6"/>
  <c r="CJ156" i="6"/>
  <c r="CJ162" i="6"/>
  <c r="CJ153" i="6"/>
  <c r="CJ152" i="6"/>
  <c r="CJ161" i="6"/>
  <c r="CJ138" i="6"/>
  <c r="CJ142" i="6"/>
  <c r="CJ143" i="6"/>
  <c r="CJ137" i="6"/>
  <c r="AI60" i="6"/>
  <c r="AI61" i="6" s="1"/>
  <c r="W32" i="6"/>
  <c r="W34" i="6" s="1"/>
  <c r="W20" i="6"/>
  <c r="AX55" i="6"/>
  <c r="AX48" i="6"/>
  <c r="AY46" i="6"/>
  <c r="CL6" i="6"/>
  <c r="CK6" i="30"/>
  <c r="AX56" i="6"/>
  <c r="AY47" i="6"/>
  <c r="AY54" i="6"/>
  <c r="AZ44" i="6"/>
  <c r="AU110" i="6"/>
  <c r="AU111" i="6" s="1"/>
  <c r="AJ116" i="6"/>
  <c r="AJ128" i="6" s="1"/>
  <c r="AK117" i="6"/>
  <c r="AL118" i="6"/>
  <c r="AM119" i="6"/>
  <c r="AN120" i="6"/>
  <c r="AO121" i="6"/>
  <c r="AP122" i="6"/>
  <c r="AQ123" i="6"/>
  <c r="AR124" i="6"/>
  <c r="AS125" i="6"/>
  <c r="AT126" i="6"/>
  <c r="AU127" i="6"/>
  <c r="AL28" i="6"/>
  <c r="AL24" i="6" s="1"/>
  <c r="AM35" i="6"/>
  <c r="W173" i="6"/>
  <c r="V168" i="6"/>
  <c r="CI13" i="70"/>
  <c r="T19" i="70"/>
  <c r="G69" i="21"/>
  <c r="G87" i="21"/>
  <c r="G71" i="21"/>
  <c r="F74" i="21"/>
  <c r="G72" i="21"/>
  <c r="G86" i="21"/>
  <c r="F89" i="21"/>
  <c r="CJ145" i="71"/>
  <c r="T157" i="71"/>
  <c r="U156" i="71"/>
  <c r="K153" i="69" s="1"/>
  <c r="CK30" i="2"/>
  <c r="BG172" i="23"/>
  <c r="BG175" i="23" s="1"/>
  <c r="BF176" i="23"/>
  <c r="BI162" i="23"/>
  <c r="BI164" i="23"/>
  <c r="BH167" i="23"/>
  <c r="BH169" i="23"/>
  <c r="T21" i="70"/>
  <c r="W19" i="2"/>
  <c r="X17" i="6" s="1"/>
  <c r="V23" i="2"/>
  <c r="W21" i="2"/>
  <c r="X19" i="6" s="1"/>
  <c r="CK5" i="2"/>
  <c r="CL7" i="2"/>
  <c r="CL31" i="2" s="1"/>
  <c r="CI10" i="19"/>
  <c r="CI11" i="19"/>
  <c r="CI15" i="19"/>
  <c r="CJ9" i="19"/>
  <c r="CK5" i="19"/>
  <c r="CK13" i="19" s="1"/>
  <c r="U11" i="2"/>
  <c r="V9" i="6" s="1"/>
  <c r="U13" i="2"/>
  <c r="V11" i="6" s="1"/>
  <c r="V3" i="6" l="1"/>
  <c r="CK171" i="6"/>
  <c r="AX59" i="6"/>
  <c r="AZ54" i="6"/>
  <c r="BA44" i="6"/>
  <c r="AJ113" i="6"/>
  <c r="AK108" i="6" s="1"/>
  <c r="AY57" i="6"/>
  <c r="AZ50" i="6"/>
  <c r="X20" i="6"/>
  <c r="X32" i="6"/>
  <c r="X34" i="6" s="1"/>
  <c r="W168" i="6"/>
  <c r="X173" i="6"/>
  <c r="CK177" i="6"/>
  <c r="CK176" i="6"/>
  <c r="CK172" i="6"/>
  <c r="CK167" i="6"/>
  <c r="CK166" i="6"/>
  <c r="CK162" i="6"/>
  <c r="CK161" i="6"/>
  <c r="CK157" i="6"/>
  <c r="CK152" i="6"/>
  <c r="CK148" i="6"/>
  <c r="CK156" i="6"/>
  <c r="CK143" i="6"/>
  <c r="CK142" i="6"/>
  <c r="CK138" i="6"/>
  <c r="CK137" i="6"/>
  <c r="CK153" i="6"/>
  <c r="CK147" i="6"/>
  <c r="AY58" i="6"/>
  <c r="AZ51" i="6"/>
  <c r="AY56" i="6"/>
  <c r="AZ47" i="6"/>
  <c r="AI86" i="6"/>
  <c r="AI90" i="6"/>
  <c r="AJ85" i="6" s="1"/>
  <c r="AJ90" i="6" s="1"/>
  <c r="AK85" i="6" s="1"/>
  <c r="AV110" i="6"/>
  <c r="AV111" i="6" s="1"/>
  <c r="AK116" i="6"/>
  <c r="AK128" i="6" s="1"/>
  <c r="AL117" i="6"/>
  <c r="AM118" i="6"/>
  <c r="AN119" i="6"/>
  <c r="AO120" i="6"/>
  <c r="AP121" i="6"/>
  <c r="AQ122" i="6"/>
  <c r="AR123" i="6"/>
  <c r="AS124" i="6"/>
  <c r="AT125" i="6"/>
  <c r="AU126" i="6"/>
  <c r="AV127" i="6"/>
  <c r="CL175" i="6"/>
  <c r="CL135" i="6"/>
  <c r="CL49" i="6"/>
  <c r="CL45" i="6"/>
  <c r="CL43" i="6"/>
  <c r="X27" i="6"/>
  <c r="X29" i="6"/>
  <c r="AY55" i="6"/>
  <c r="AY48" i="6"/>
  <c r="AZ46" i="6"/>
  <c r="CM6" i="6"/>
  <c r="CL6" i="30"/>
  <c r="X31" i="6"/>
  <c r="X36" i="6" s="1"/>
  <c r="X37" i="6" s="1"/>
  <c r="W38" i="6"/>
  <c r="W3" i="6" s="1"/>
  <c r="AV87" i="6"/>
  <c r="AV88" i="6" s="1"/>
  <c r="AK93" i="6"/>
  <c r="AL94" i="6"/>
  <c r="AM95" i="6"/>
  <c r="AN96" i="6"/>
  <c r="AO97" i="6"/>
  <c r="AP98" i="6"/>
  <c r="AQ99" i="6"/>
  <c r="AR100" i="6"/>
  <c r="AS101" i="6"/>
  <c r="AT102" i="6"/>
  <c r="AU103" i="6"/>
  <c r="AV104" i="6"/>
  <c r="AK89" i="6"/>
  <c r="AK86" i="6" s="1"/>
  <c r="W39" i="6"/>
  <c r="W40" i="6" s="1"/>
  <c r="W62" i="6" s="1"/>
  <c r="AM28" i="6"/>
  <c r="AN35" i="6"/>
  <c r="AK112" i="6"/>
  <c r="AK109" i="6" s="1"/>
  <c r="W23" i="6"/>
  <c r="W25" i="6"/>
  <c r="V15" i="6"/>
  <c r="V15" i="2"/>
  <c r="W13" i="6" s="1"/>
  <c r="V17" i="2"/>
  <c r="CJ13" i="70"/>
  <c r="AW26" i="70"/>
  <c r="AC27" i="70"/>
  <c r="U19" i="70"/>
  <c r="U20" i="70"/>
  <c r="F45" i="21"/>
  <c r="F44" i="21"/>
  <c r="G85" i="21"/>
  <c r="U157" i="71"/>
  <c r="V156" i="71"/>
  <c r="K29" i="20"/>
  <c r="CK145" i="71"/>
  <c r="AG142" i="69" s="1"/>
  <c r="CL30" i="2"/>
  <c r="BH172" i="23"/>
  <c r="BH174" i="23"/>
  <c r="BG176" i="23"/>
  <c r="BI165" i="23"/>
  <c r="BH170" i="23"/>
  <c r="CL5" i="2"/>
  <c r="CM7" i="2"/>
  <c r="CM31" i="2" s="1"/>
  <c r="K6" i="32"/>
  <c r="K6" i="21"/>
  <c r="X19" i="2"/>
  <c r="Y17" i="6" s="1"/>
  <c r="W23" i="2"/>
  <c r="V19" i="70" s="1"/>
  <c r="V20" i="70"/>
  <c r="X21" i="2"/>
  <c r="Y19" i="6" s="1"/>
  <c r="V11" i="2"/>
  <c r="W9" i="6" s="1"/>
  <c r="V13" i="2"/>
  <c r="W11" i="6" s="1"/>
  <c r="CL5" i="19"/>
  <c r="CL13" i="19" s="1"/>
  <c r="CK9" i="19"/>
  <c r="CJ11" i="19"/>
  <c r="CJ15" i="19" s="1"/>
  <c r="CJ10" i="19"/>
  <c r="X39" i="6" l="1"/>
  <c r="X40" i="6" s="1"/>
  <c r="X62" i="6" s="1"/>
  <c r="AY59" i="6"/>
  <c r="Y20" i="6"/>
  <c r="Y32" i="6"/>
  <c r="Y34" i="6" s="1"/>
  <c r="AZ56" i="6"/>
  <c r="BA47" i="6"/>
  <c r="W15" i="6"/>
  <c r="W17" i="2"/>
  <c r="W15" i="2"/>
  <c r="X13" i="6" s="1"/>
  <c r="CL177" i="6"/>
  <c r="CL176" i="6"/>
  <c r="CL172" i="6"/>
  <c r="CL167" i="6"/>
  <c r="CL166" i="6"/>
  <c r="CL162" i="6"/>
  <c r="CL161" i="6"/>
  <c r="CL153" i="6"/>
  <c r="CL152" i="6"/>
  <c r="CL157" i="6"/>
  <c r="CL148" i="6"/>
  <c r="CL156" i="6"/>
  <c r="CL143" i="6"/>
  <c r="CL142" i="6"/>
  <c r="CL147" i="6"/>
  <c r="CL137" i="6"/>
  <c r="CL138" i="6"/>
  <c r="AZ58" i="6"/>
  <c r="BA51" i="6"/>
  <c r="AW87" i="6"/>
  <c r="AW88" i="6" s="1"/>
  <c r="AL93" i="6"/>
  <c r="AM94" i="6"/>
  <c r="AN95" i="6"/>
  <c r="AO96" i="6"/>
  <c r="AP97" i="6"/>
  <c r="AQ98" i="6"/>
  <c r="AR99" i="6"/>
  <c r="AS100" i="6"/>
  <c r="AT101" i="6"/>
  <c r="AU102" i="6"/>
  <c r="AV103" i="6"/>
  <c r="AW104" i="6"/>
  <c r="Y173" i="6"/>
  <c r="X168" i="6"/>
  <c r="AL112" i="6"/>
  <c r="AL109" i="6" s="1"/>
  <c r="AZ57" i="6"/>
  <c r="BA50" i="6"/>
  <c r="AZ55" i="6"/>
  <c r="AZ48" i="6"/>
  <c r="BA46" i="6"/>
  <c r="X23" i="6"/>
  <c r="X25" i="6"/>
  <c r="AK90" i="6"/>
  <c r="AL85" i="6" s="1"/>
  <c r="Y27" i="6"/>
  <c r="Y29" i="6"/>
  <c r="AU87" i="6"/>
  <c r="AU88" i="6" s="1"/>
  <c r="AJ93" i="6"/>
  <c r="AJ105" i="6" s="1"/>
  <c r="AJ60" i="6" s="1"/>
  <c r="AJ61" i="6" s="1"/>
  <c r="AK94" i="6"/>
  <c r="AK105" i="6" s="1"/>
  <c r="AK60" i="6" s="1"/>
  <c r="AK61" i="6" s="1"/>
  <c r="AL95" i="6"/>
  <c r="AM96" i="6"/>
  <c r="AN97" i="6"/>
  <c r="AO98" i="6"/>
  <c r="AP99" i="6"/>
  <c r="AQ100" i="6"/>
  <c r="AR101" i="6"/>
  <c r="AS102" i="6"/>
  <c r="AT103" i="6"/>
  <c r="AU104" i="6"/>
  <c r="AK113" i="6"/>
  <c r="AL108" i="6" s="1"/>
  <c r="Y31" i="6"/>
  <c r="Y36" i="6" s="1"/>
  <c r="X38" i="6"/>
  <c r="BA54" i="6"/>
  <c r="BB44" i="6"/>
  <c r="CN6" i="6"/>
  <c r="CM6" i="30"/>
  <c r="AW110" i="6"/>
  <c r="AW111" i="6" s="1"/>
  <c r="AL116" i="6"/>
  <c r="AL128" i="6" s="1"/>
  <c r="AM117" i="6"/>
  <c r="AN118" i="6"/>
  <c r="AO119" i="6"/>
  <c r="AP120" i="6"/>
  <c r="AQ121" i="6"/>
  <c r="AR122" i="6"/>
  <c r="AS123" i="6"/>
  <c r="AT124" i="6"/>
  <c r="AU125" i="6"/>
  <c r="AV126" i="6"/>
  <c r="AW127" i="6"/>
  <c r="AN28" i="6"/>
  <c r="AO35" i="6"/>
  <c r="CM175" i="6"/>
  <c r="CM135" i="6"/>
  <c r="CM45" i="6"/>
  <c r="CM43" i="6"/>
  <c r="CM49" i="6"/>
  <c r="CL171" i="6"/>
  <c r="AM24" i="6"/>
  <c r="CK13" i="70"/>
  <c r="U21" i="70"/>
  <c r="AD27" i="70"/>
  <c r="AX26" i="70"/>
  <c r="G107" i="21"/>
  <c r="G108" i="21"/>
  <c r="G84" i="21"/>
  <c r="V157" i="71"/>
  <c r="W156" i="71"/>
  <c r="K154" i="69"/>
  <c r="CL145" i="71"/>
  <c r="CM30" i="2"/>
  <c r="BH175" i="23"/>
  <c r="BI172" i="23" s="1"/>
  <c r="BJ164" i="23"/>
  <c r="BJ162" i="23"/>
  <c r="BI169" i="23"/>
  <c r="BI167" i="23"/>
  <c r="CK10" i="19"/>
  <c r="CK11" i="19"/>
  <c r="CK15" i="19" s="1"/>
  <c r="X23" i="2"/>
  <c r="W19" i="70" s="1"/>
  <c r="Y19" i="2"/>
  <c r="Z17" i="6" s="1"/>
  <c r="W20" i="70"/>
  <c r="Y21" i="2"/>
  <c r="Z19" i="6" s="1"/>
  <c r="CN7" i="2"/>
  <c r="CN31" i="2" s="1"/>
  <c r="CM5" i="2"/>
  <c r="CM5" i="19"/>
  <c r="CM13" i="19" s="1"/>
  <c r="CL9" i="19"/>
  <c r="W11" i="2"/>
  <c r="X9" i="6" s="1"/>
  <c r="W13" i="2"/>
  <c r="X11" i="6" s="1"/>
  <c r="AL113" i="6" l="1"/>
  <c r="AM108" i="6" s="1"/>
  <c r="CM171" i="6"/>
  <c r="AZ59" i="6"/>
  <c r="AL105" i="6"/>
  <c r="AL60" i="6" s="1"/>
  <c r="AL61" i="6" s="1"/>
  <c r="AM112" i="6"/>
  <c r="AM109" i="6" s="1"/>
  <c r="Y23" i="6"/>
  <c r="Y25" i="6"/>
  <c r="AL89" i="6"/>
  <c r="AL86" i="6" s="1"/>
  <c r="AN24" i="6"/>
  <c r="Y38" i="6"/>
  <c r="Z31" i="6"/>
  <c r="Z36" i="6" s="1"/>
  <c r="Z39" i="6" s="1"/>
  <c r="Z40" i="6" s="1"/>
  <c r="Z62" i="6" s="1"/>
  <c r="BA58" i="6"/>
  <c r="BB51" i="6"/>
  <c r="Y39" i="6"/>
  <c r="Y40" i="6" s="1"/>
  <c r="Y62" i="6" s="1"/>
  <c r="BA48" i="6"/>
  <c r="BA55" i="6"/>
  <c r="BB46" i="6"/>
  <c r="Z173" i="6"/>
  <c r="Y168" i="6"/>
  <c r="Y37" i="6"/>
  <c r="BA56" i="6"/>
  <c r="BB47" i="6"/>
  <c r="Z27" i="6"/>
  <c r="Z29" i="6"/>
  <c r="BA57" i="6"/>
  <c r="BB50" i="6"/>
  <c r="CO6" i="6"/>
  <c r="CN6" i="30"/>
  <c r="AO28" i="6"/>
  <c r="AO24" i="6" s="1"/>
  <c r="AP35" i="6"/>
  <c r="CN175" i="6"/>
  <c r="CN135" i="6"/>
  <c r="CN45" i="6"/>
  <c r="CN43" i="6"/>
  <c r="CN49" i="6"/>
  <c r="AX110" i="6"/>
  <c r="AX111" i="6" s="1"/>
  <c r="AM116" i="6"/>
  <c r="AM128" i="6" s="1"/>
  <c r="AN117" i="6"/>
  <c r="AO118" i="6"/>
  <c r="AP119" i="6"/>
  <c r="AQ120" i="6"/>
  <c r="AR121" i="6"/>
  <c r="AS122" i="6"/>
  <c r="AT123" i="6"/>
  <c r="AU124" i="6"/>
  <c r="AV125" i="6"/>
  <c r="AW126" i="6"/>
  <c r="AX127" i="6"/>
  <c r="CM177" i="6"/>
  <c r="CM176" i="6"/>
  <c r="CM167" i="6"/>
  <c r="CM166" i="6"/>
  <c r="CM162" i="6"/>
  <c r="CM161" i="6"/>
  <c r="CM157" i="6"/>
  <c r="CM148" i="6"/>
  <c r="CM156" i="6"/>
  <c r="CM152" i="6"/>
  <c r="CM172" i="6"/>
  <c r="CM143" i="6"/>
  <c r="CM142" i="6"/>
  <c r="CM147" i="6"/>
  <c r="CM138" i="6"/>
  <c r="CM137" i="6"/>
  <c r="CM153" i="6"/>
  <c r="X15" i="6"/>
  <c r="X17" i="2"/>
  <c r="X15" i="2"/>
  <c r="Y13" i="6" s="1"/>
  <c r="Z20" i="6"/>
  <c r="Z32" i="6"/>
  <c r="Z34" i="6" s="1"/>
  <c r="BB54" i="6"/>
  <c r="BC44" i="6"/>
  <c r="X3" i="6"/>
  <c r="CL13" i="70"/>
  <c r="AY26" i="70"/>
  <c r="V21" i="70"/>
  <c r="AE27" i="70"/>
  <c r="G83" i="21"/>
  <c r="G106" i="21"/>
  <c r="CM145" i="71"/>
  <c r="W157" i="71"/>
  <c r="X156" i="71"/>
  <c r="L153" i="69" s="1"/>
  <c r="CN30" i="2"/>
  <c r="BH176" i="23"/>
  <c r="BI174" i="23"/>
  <c r="BI175" i="23" s="1"/>
  <c r="BJ165" i="23"/>
  <c r="BK164" i="23" s="1"/>
  <c r="BI170" i="23"/>
  <c r="BJ167" i="23" s="1"/>
  <c r="CL11" i="19"/>
  <c r="CL15" i="19" s="1"/>
  <c r="CL10" i="19"/>
  <c r="CN5" i="19"/>
  <c r="CN13" i="19" s="1"/>
  <c r="CM9" i="19"/>
  <c r="W21" i="70"/>
  <c r="X11" i="2"/>
  <c r="Y9" i="6" s="1"/>
  <c r="X13" i="2"/>
  <c r="Y11" i="6" s="1"/>
  <c r="CO7" i="2"/>
  <c r="CO31" i="2" s="1"/>
  <c r="CN5" i="2"/>
  <c r="Y23" i="2"/>
  <c r="Z19" i="2"/>
  <c r="AA17" i="6" s="1"/>
  <c r="X20" i="70"/>
  <c r="Z21" i="2"/>
  <c r="AA19" i="6" s="1"/>
  <c r="AL90" i="6" l="1"/>
  <c r="AM85" i="6" s="1"/>
  <c r="CN171" i="6"/>
  <c r="Y3" i="6"/>
  <c r="Z37" i="6"/>
  <c r="BA59" i="6"/>
  <c r="Z23" i="6"/>
  <c r="Z25" i="6"/>
  <c r="AA27" i="6"/>
  <c r="AA29" i="6"/>
  <c r="BC54" i="6"/>
  <c r="BD44" i="6"/>
  <c r="BB58" i="6"/>
  <c r="BC51" i="6"/>
  <c r="BB56" i="6"/>
  <c r="H40" i="21" s="1"/>
  <c r="BC47" i="6"/>
  <c r="AA173" i="6"/>
  <c r="Z168" i="6"/>
  <c r="AP28" i="6"/>
  <c r="AQ35" i="6"/>
  <c r="AA31" i="6"/>
  <c r="AA36" i="6" s="1"/>
  <c r="AA39" i="6" s="1"/>
  <c r="AA40" i="6" s="1"/>
  <c r="AA62" i="6" s="1"/>
  <c r="Z38" i="6"/>
  <c r="AN89" i="6"/>
  <c r="AN86" i="6" s="1"/>
  <c r="AY110" i="6"/>
  <c r="AY111" i="6" s="1"/>
  <c r="AN116" i="6"/>
  <c r="AN128" i="6" s="1"/>
  <c r="AO117" i="6"/>
  <c r="AP118" i="6"/>
  <c r="AQ119" i="6"/>
  <c r="AR120" i="6"/>
  <c r="AS121" i="6"/>
  <c r="AT122" i="6"/>
  <c r="AU123" i="6"/>
  <c r="AV124" i="6"/>
  <c r="AW125" i="6"/>
  <c r="AX126" i="6"/>
  <c r="AY127" i="6"/>
  <c r="Y15" i="6"/>
  <c r="Y15" i="2"/>
  <c r="Z13" i="6" s="1"/>
  <c r="Y17" i="2"/>
  <c r="AN112" i="6"/>
  <c r="AN109" i="6" s="1"/>
  <c r="AA20" i="6"/>
  <c r="AA32" i="6"/>
  <c r="AA34" i="6" s="1"/>
  <c r="AM113" i="6"/>
  <c r="AN108" i="6" s="1"/>
  <c r="AM89" i="6"/>
  <c r="AM86" i="6" s="1"/>
  <c r="H38" i="21"/>
  <c r="CO175" i="6"/>
  <c r="CO135" i="6"/>
  <c r="CO45" i="6"/>
  <c r="CO43" i="6"/>
  <c r="CO49" i="6"/>
  <c r="CN177" i="6"/>
  <c r="CN176" i="6"/>
  <c r="CN167" i="6"/>
  <c r="CN166" i="6"/>
  <c r="CN162" i="6"/>
  <c r="CN161" i="6"/>
  <c r="CN157" i="6"/>
  <c r="CN156" i="6"/>
  <c r="CN148" i="6"/>
  <c r="CN147" i="6"/>
  <c r="CN172" i="6"/>
  <c r="CN152" i="6"/>
  <c r="CN143" i="6"/>
  <c r="CN142" i="6"/>
  <c r="CN138" i="6"/>
  <c r="CN137" i="6"/>
  <c r="CN153" i="6"/>
  <c r="AX87" i="6"/>
  <c r="AX88" i="6" s="1"/>
  <c r="AM93" i="6"/>
  <c r="AM105" i="6" s="1"/>
  <c r="AM60" i="6" s="1"/>
  <c r="AM61" i="6" s="1"/>
  <c r="AN94" i="6"/>
  <c r="AO95" i="6"/>
  <c r="AP96" i="6"/>
  <c r="AQ97" i="6"/>
  <c r="AR98" i="6"/>
  <c r="AS99" i="6"/>
  <c r="AT100" i="6"/>
  <c r="AU101" i="6"/>
  <c r="AV102" i="6"/>
  <c r="AW103" i="6"/>
  <c r="AX104" i="6"/>
  <c r="CP6" i="6"/>
  <c r="CO6" i="30"/>
  <c r="BB57" i="6"/>
  <c r="H41" i="21" s="1"/>
  <c r="BC50" i="6"/>
  <c r="BB48" i="6"/>
  <c r="BB55" i="6"/>
  <c r="BC46" i="6"/>
  <c r="CM13" i="70"/>
  <c r="X19" i="70"/>
  <c r="AF27" i="70"/>
  <c r="AZ26" i="70"/>
  <c r="G82" i="21"/>
  <c r="G81" i="21"/>
  <c r="G105" i="21"/>
  <c r="G104" i="21"/>
  <c r="Y156" i="71"/>
  <c r="X157" i="71"/>
  <c r="CN145" i="71"/>
  <c r="AH142" i="69" s="1"/>
  <c r="CO30" i="2"/>
  <c r="BJ172" i="23"/>
  <c r="BJ174" i="23"/>
  <c r="BK162" i="23"/>
  <c r="BK165" i="23" s="1"/>
  <c r="BL162" i="23" s="1"/>
  <c r="BI176" i="23"/>
  <c r="BJ169" i="23"/>
  <c r="BJ170" i="23" s="1"/>
  <c r="Y11" i="2"/>
  <c r="Z9" i="6" s="1"/>
  <c r="Y13" i="2"/>
  <c r="Z11" i="6" s="1"/>
  <c r="CO5" i="19"/>
  <c r="CO13" i="19" s="1"/>
  <c r="CN9" i="19"/>
  <c r="X21" i="70"/>
  <c r="CM11" i="19"/>
  <c r="CM15" i="19" s="1"/>
  <c r="CM10" i="19"/>
  <c r="AA19" i="2"/>
  <c r="AB17" i="6" s="1"/>
  <c r="Z23" i="2"/>
  <c r="Y20" i="70"/>
  <c r="AA21" i="2"/>
  <c r="AB19" i="6" s="1"/>
  <c r="CP7" i="2"/>
  <c r="CP31" i="2" s="1"/>
  <c r="CO5" i="2"/>
  <c r="AA37" i="6" l="1"/>
  <c r="Z3" i="6"/>
  <c r="AN113" i="6"/>
  <c r="AO108" i="6" s="1"/>
  <c r="BB59" i="6"/>
  <c r="AY87" i="6"/>
  <c r="AY88" i="6" s="1"/>
  <c r="AN93" i="6"/>
  <c r="AN105" i="6" s="1"/>
  <c r="AN60" i="6" s="1"/>
  <c r="AN61" i="6" s="1"/>
  <c r="AO94" i="6"/>
  <c r="AP95" i="6"/>
  <c r="AQ96" i="6"/>
  <c r="AR97" i="6"/>
  <c r="AS98" i="6"/>
  <c r="AT99" i="6"/>
  <c r="AU100" i="6"/>
  <c r="AV101" i="6"/>
  <c r="AW102" i="6"/>
  <c r="AX103" i="6"/>
  <c r="AY104" i="6"/>
  <c r="AZ110" i="6"/>
  <c r="AZ111" i="6" s="1"/>
  <c r="AO116" i="6"/>
  <c r="AO128" i="6" s="1"/>
  <c r="AP117" i="6"/>
  <c r="AQ118" i="6"/>
  <c r="AR119" i="6"/>
  <c r="AS120" i="6"/>
  <c r="AT121" i="6"/>
  <c r="AU122" i="6"/>
  <c r="AV123" i="6"/>
  <c r="AW124" i="6"/>
  <c r="AX125" i="6"/>
  <c r="AY126" i="6"/>
  <c r="AZ127" i="6"/>
  <c r="AQ28" i="6"/>
  <c r="AR35" i="6"/>
  <c r="BD54" i="6"/>
  <c r="BE44" i="6"/>
  <c r="BC57" i="6"/>
  <c r="BD50" i="6"/>
  <c r="Z15" i="6"/>
  <c r="Z17" i="2"/>
  <c r="Z15" i="2"/>
  <c r="AA13" i="6" s="1"/>
  <c r="AO112" i="6"/>
  <c r="AO109" i="6" s="1"/>
  <c r="AP24" i="6"/>
  <c r="AB27" i="6"/>
  <c r="AB29" i="6"/>
  <c r="CP175" i="6"/>
  <c r="CP135" i="6"/>
  <c r="CP45" i="6"/>
  <c r="CP43" i="6"/>
  <c r="CP49" i="6"/>
  <c r="AA23" i="6"/>
  <c r="AA25" i="6"/>
  <c r="BC56" i="6"/>
  <c r="BD47" i="6"/>
  <c r="AB20" i="6"/>
  <c r="AB32" i="6"/>
  <c r="AB34" i="6" s="1"/>
  <c r="CO176" i="6"/>
  <c r="CO177" i="6"/>
  <c r="CO162" i="6"/>
  <c r="CO161" i="6"/>
  <c r="CO157" i="6"/>
  <c r="CO156" i="6"/>
  <c r="CO166" i="6"/>
  <c r="CO152" i="6"/>
  <c r="CO148" i="6"/>
  <c r="CO172" i="6"/>
  <c r="CO167" i="6"/>
  <c r="CO143" i="6"/>
  <c r="CO142" i="6"/>
  <c r="CO147" i="6"/>
  <c r="CO138" i="6"/>
  <c r="CO137" i="6"/>
  <c r="CO153" i="6"/>
  <c r="AB173" i="6"/>
  <c r="AA168" i="6"/>
  <c r="AZ87" i="6"/>
  <c r="AZ88" i="6" s="1"/>
  <c r="AO93" i="6"/>
  <c r="AP94" i="6"/>
  <c r="AQ95" i="6"/>
  <c r="AR96" i="6"/>
  <c r="AS97" i="6"/>
  <c r="AT98" i="6"/>
  <c r="AU99" i="6"/>
  <c r="AV100" i="6"/>
  <c r="AW101" i="6"/>
  <c r="AX102" i="6"/>
  <c r="AY103" i="6"/>
  <c r="AZ104" i="6"/>
  <c r="AM90" i="6"/>
  <c r="AN85" i="6" s="1"/>
  <c r="AN90" i="6" s="1"/>
  <c r="AO85" i="6" s="1"/>
  <c r="BC58" i="6"/>
  <c r="BD51" i="6"/>
  <c r="CQ6" i="6"/>
  <c r="CP6" i="30"/>
  <c r="BC48" i="6"/>
  <c r="BC55" i="6"/>
  <c r="BD46" i="6"/>
  <c r="AA38" i="6"/>
  <c r="AB31" i="6"/>
  <c r="AB36" i="6" s="1"/>
  <c r="CO171" i="6"/>
  <c r="CN13" i="70"/>
  <c r="BA26" i="70"/>
  <c r="AG27" i="70"/>
  <c r="Y19" i="70"/>
  <c r="G80" i="21"/>
  <c r="G103" i="21"/>
  <c r="Z156" i="71"/>
  <c r="CO145" i="71"/>
  <c r="L154" i="69"/>
  <c r="Y157" i="71"/>
  <c r="CP30" i="2"/>
  <c r="BJ175" i="23"/>
  <c r="BK174" i="23" s="1"/>
  <c r="BL164" i="23"/>
  <c r="BL165" i="23" s="1"/>
  <c r="BM164" i="23" s="1"/>
  <c r="BK167" i="23"/>
  <c r="BK169" i="23"/>
  <c r="H39" i="21"/>
  <c r="H42" i="21"/>
  <c r="CQ7" i="2"/>
  <c r="CQ31" i="2" s="1"/>
  <c r="CP5" i="2"/>
  <c r="Z11" i="2"/>
  <c r="AA9" i="6" s="1"/>
  <c r="Z13" i="2"/>
  <c r="AA11" i="6" s="1"/>
  <c r="CO9" i="19"/>
  <c r="CP5" i="19"/>
  <c r="CP13" i="19" s="1"/>
  <c r="CN11" i="19"/>
  <c r="CN15" i="19" s="1"/>
  <c r="CN10" i="19"/>
  <c r="AB19" i="2"/>
  <c r="AC17" i="6" s="1"/>
  <c r="AA23" i="2"/>
  <c r="Z20" i="70"/>
  <c r="AB21" i="2"/>
  <c r="AC19" i="6" s="1"/>
  <c r="AH27" i="70"/>
  <c r="Y21" i="70"/>
  <c r="CP171" i="6" l="1"/>
  <c r="BC59" i="6"/>
  <c r="AO105" i="6"/>
  <c r="AO60" i="6" s="1"/>
  <c r="AO61" i="6" s="1"/>
  <c r="BE54" i="6"/>
  <c r="BF44" i="6"/>
  <c r="AC27" i="6"/>
  <c r="AC29" i="6"/>
  <c r="AR28" i="6"/>
  <c r="AS35" i="6"/>
  <c r="AO89" i="6"/>
  <c r="AO86" i="6" s="1"/>
  <c r="AP112" i="6"/>
  <c r="AP109" i="6" s="1"/>
  <c r="BD58" i="6"/>
  <c r="BE51" i="6"/>
  <c r="AQ24" i="6"/>
  <c r="CQ175" i="6"/>
  <c r="CQ135" i="6"/>
  <c r="CQ45" i="6"/>
  <c r="CQ49" i="6"/>
  <c r="CQ43" i="6"/>
  <c r="AB38" i="6"/>
  <c r="AC31" i="6"/>
  <c r="AC36" i="6" s="1"/>
  <c r="AC39" i="6" s="1"/>
  <c r="AC40" i="6" s="1"/>
  <c r="AC62" i="6" s="1"/>
  <c r="AB37" i="6"/>
  <c r="AO113" i="6"/>
  <c r="AP108" i="6" s="1"/>
  <c r="AC173" i="6"/>
  <c r="AB168" i="6"/>
  <c r="CP176" i="6"/>
  <c r="CP177" i="6"/>
  <c r="CP162" i="6"/>
  <c r="CP161" i="6"/>
  <c r="CP157" i="6"/>
  <c r="CP156" i="6"/>
  <c r="CP153" i="6"/>
  <c r="CP152" i="6"/>
  <c r="CP172" i="6"/>
  <c r="CP167" i="6"/>
  <c r="CP166" i="6"/>
  <c r="CP148" i="6"/>
  <c r="CP143" i="6"/>
  <c r="CP142" i="6"/>
  <c r="CP147" i="6"/>
  <c r="CP138" i="6"/>
  <c r="CP137" i="6"/>
  <c r="BA110" i="6"/>
  <c r="BA111" i="6" s="1"/>
  <c r="AP116" i="6"/>
  <c r="AP128" i="6" s="1"/>
  <c r="AQ117" i="6"/>
  <c r="AR118" i="6"/>
  <c r="AS119" i="6"/>
  <c r="AT120" i="6"/>
  <c r="AU121" i="6"/>
  <c r="AV122" i="6"/>
  <c r="AW123" i="6"/>
  <c r="AX124" i="6"/>
  <c r="AY125" i="6"/>
  <c r="AZ126" i="6"/>
  <c r="BA127" i="6"/>
  <c r="BD48" i="6"/>
  <c r="BD55" i="6"/>
  <c r="BE46" i="6"/>
  <c r="AA15" i="6"/>
  <c r="AA15" i="2"/>
  <c r="AB13" i="6" s="1"/>
  <c r="AA17" i="2"/>
  <c r="AB39" i="6"/>
  <c r="AB40" i="6" s="1"/>
  <c r="AB62" i="6" s="1"/>
  <c r="BD56" i="6"/>
  <c r="BE47" i="6"/>
  <c r="CR6" i="6"/>
  <c r="CQ6" i="30"/>
  <c r="AA3" i="6"/>
  <c r="AB23" i="6"/>
  <c r="AB25" i="6"/>
  <c r="BD57" i="6"/>
  <c r="BE50" i="6"/>
  <c r="AC20" i="6"/>
  <c r="AC32" i="6"/>
  <c r="AC34" i="6" s="1"/>
  <c r="CO13" i="70"/>
  <c r="Z19" i="70"/>
  <c r="BB26" i="70"/>
  <c r="H43" i="21"/>
  <c r="G32" i="21"/>
  <c r="G102" i="21"/>
  <c r="Z157" i="71"/>
  <c r="AA156" i="71"/>
  <c r="CP145" i="71"/>
  <c r="CQ30" i="2"/>
  <c r="BJ176" i="23"/>
  <c r="BK172" i="23"/>
  <c r="BK175" i="23" s="1"/>
  <c r="BL174" i="23" s="1"/>
  <c r="BM162" i="23"/>
  <c r="BM165" i="23" s="1"/>
  <c r="BN164" i="23" s="1"/>
  <c r="BK170" i="23"/>
  <c r="AI27" i="70"/>
  <c r="CR7" i="2"/>
  <c r="CR31" i="2" s="1"/>
  <c r="CQ5" i="2"/>
  <c r="CQ5" i="19"/>
  <c r="CQ13" i="19" s="1"/>
  <c r="CP9" i="19"/>
  <c r="CO10" i="19"/>
  <c r="CO11" i="19"/>
  <c r="CO15" i="19" s="1"/>
  <c r="AC19" i="2"/>
  <c r="AD17" i="6" s="1"/>
  <c r="AB23" i="2"/>
  <c r="AC21" i="2"/>
  <c r="AD19" i="6" s="1"/>
  <c r="AA11" i="2"/>
  <c r="AB9" i="6" s="1"/>
  <c r="AA13" i="2"/>
  <c r="AB11" i="6" s="1"/>
  <c r="CQ171" i="6" l="1"/>
  <c r="AO90" i="6"/>
  <c r="AP85" i="6" s="1"/>
  <c r="AC37" i="6"/>
  <c r="BD59" i="6"/>
  <c r="BE56" i="6"/>
  <c r="BF47" i="6"/>
  <c r="AC38" i="6"/>
  <c r="AD31" i="6"/>
  <c r="AD36" i="6" s="1"/>
  <c r="AD37" i="6" s="1"/>
  <c r="BE58" i="6"/>
  <c r="BF51" i="6"/>
  <c r="AD27" i="6"/>
  <c r="AD29" i="6"/>
  <c r="AB15" i="6"/>
  <c r="AB15" i="2"/>
  <c r="AC13" i="6" s="1"/>
  <c r="AB17" i="2"/>
  <c r="BB110" i="6"/>
  <c r="BB111" i="6" s="1"/>
  <c r="AQ116" i="6"/>
  <c r="AQ128" i="6" s="1"/>
  <c r="AR117" i="6"/>
  <c r="AS118" i="6"/>
  <c r="AT119" i="6"/>
  <c r="AU120" i="6"/>
  <c r="AV121" i="6"/>
  <c r="AW122" i="6"/>
  <c r="AX123" i="6"/>
  <c r="AY124" i="6"/>
  <c r="AZ125" i="6"/>
  <c r="BA126" i="6"/>
  <c r="BB127" i="6"/>
  <c r="BE57" i="6"/>
  <c r="BF50" i="6"/>
  <c r="AC23" i="6"/>
  <c r="AC25" i="6"/>
  <c r="BA87" i="6"/>
  <c r="BA88" i="6" s="1"/>
  <c r="AP93" i="6"/>
  <c r="AP105" i="6" s="1"/>
  <c r="AP60" i="6" s="1"/>
  <c r="AP61" i="6" s="1"/>
  <c r="AQ94" i="6"/>
  <c r="AR95" i="6"/>
  <c r="AS96" i="6"/>
  <c r="AT97" i="6"/>
  <c r="AU98" i="6"/>
  <c r="AV99" i="6"/>
  <c r="AW100" i="6"/>
  <c r="AX101" i="6"/>
  <c r="AY102" i="6"/>
  <c r="AZ103" i="6"/>
  <c r="BA104" i="6"/>
  <c r="BF54" i="6"/>
  <c r="BG44" i="6"/>
  <c r="BE48" i="6"/>
  <c r="BE55" i="6"/>
  <c r="BF46" i="6"/>
  <c r="AS28" i="6"/>
  <c r="AS24" i="6" s="1"/>
  <c r="AT35" i="6"/>
  <c r="CS6" i="6"/>
  <c r="CR6" i="30"/>
  <c r="CQ177" i="6"/>
  <c r="CQ176" i="6"/>
  <c r="CQ157" i="6"/>
  <c r="CQ156" i="6"/>
  <c r="CQ172" i="6"/>
  <c r="CQ166" i="6"/>
  <c r="CQ152" i="6"/>
  <c r="CQ143" i="6"/>
  <c r="CQ142" i="6"/>
  <c r="CQ167" i="6"/>
  <c r="CQ147" i="6"/>
  <c r="CQ138" i="6"/>
  <c r="CQ137" i="6"/>
  <c r="CQ161" i="6"/>
  <c r="CQ153" i="6"/>
  <c r="CQ148" i="6"/>
  <c r="CQ162" i="6"/>
  <c r="AQ112" i="6"/>
  <c r="AQ109" i="6" s="1"/>
  <c r="CR135" i="6"/>
  <c r="CR171" i="6" s="1"/>
  <c r="CR175" i="6"/>
  <c r="CR45" i="6"/>
  <c r="CR43" i="6"/>
  <c r="CR49" i="6"/>
  <c r="AP113" i="6"/>
  <c r="AQ108" i="6" s="1"/>
  <c r="AR24" i="6"/>
  <c r="AD173" i="6"/>
  <c r="AC168" i="6"/>
  <c r="AD32" i="6"/>
  <c r="AD34" i="6" s="1"/>
  <c r="AD20" i="6"/>
  <c r="AB3" i="6"/>
  <c r="AP89" i="6"/>
  <c r="AP86" i="6" s="1"/>
  <c r="CP13" i="70"/>
  <c r="AA19" i="70"/>
  <c r="AA20" i="70"/>
  <c r="Z21" i="70"/>
  <c r="BC26" i="70"/>
  <c r="G28" i="21"/>
  <c r="G101" i="21"/>
  <c r="G79" i="21"/>
  <c r="G78" i="21"/>
  <c r="AB156" i="71"/>
  <c r="M153" i="69"/>
  <c r="AA157" i="71"/>
  <c r="CQ145" i="71"/>
  <c r="CR30" i="2"/>
  <c r="BL172" i="23"/>
  <c r="BL175" i="23" s="1"/>
  <c r="BN162" i="23"/>
  <c r="BN165" i="23" s="1"/>
  <c r="BL167" i="23"/>
  <c r="BL169" i="23"/>
  <c r="BK176" i="23"/>
  <c r="CP11" i="19"/>
  <c r="CP15" i="19" s="1"/>
  <c r="CP10" i="19"/>
  <c r="AC23" i="2"/>
  <c r="AD19" i="2"/>
  <c r="AE17" i="6" s="1"/>
  <c r="AD21" i="2"/>
  <c r="AE19" i="6" s="1"/>
  <c r="AJ27" i="70"/>
  <c r="CQ9" i="19"/>
  <c r="CR5" i="19"/>
  <c r="CR13" i="19" s="1"/>
  <c r="AA21" i="70"/>
  <c r="AB11" i="2"/>
  <c r="AC9" i="6" s="1"/>
  <c r="AB13" i="2"/>
  <c r="AC11" i="6" s="1"/>
  <c r="CR5" i="2"/>
  <c r="CS7" i="2"/>
  <c r="CS31" i="2" s="1"/>
  <c r="AQ113" i="6" l="1"/>
  <c r="AR108" i="6" s="1"/>
  <c r="BE59" i="6"/>
  <c r="BB87" i="6"/>
  <c r="BB88" i="6" s="1"/>
  <c r="AQ93" i="6"/>
  <c r="AQ105" i="6" s="1"/>
  <c r="AQ60" i="6" s="1"/>
  <c r="AQ61" i="6" s="1"/>
  <c r="AR94" i="6"/>
  <c r="AS95" i="6"/>
  <c r="AT96" i="6"/>
  <c r="AU97" i="6"/>
  <c r="AV98" i="6"/>
  <c r="AW99" i="6"/>
  <c r="AX100" i="6"/>
  <c r="AY101" i="6"/>
  <c r="AZ102" i="6"/>
  <c r="BA103" i="6"/>
  <c r="BB104" i="6"/>
  <c r="BF48" i="6"/>
  <c r="BF55" i="6"/>
  <c r="BG46" i="6"/>
  <c r="AP90" i="6"/>
  <c r="AQ85" i="6" s="1"/>
  <c r="BF58" i="6"/>
  <c r="BG51" i="6"/>
  <c r="AC15" i="6"/>
  <c r="AC17" i="2"/>
  <c r="AC15" i="2"/>
  <c r="AD13" i="6" s="1"/>
  <c r="AD38" i="6"/>
  <c r="AE31" i="6"/>
  <c r="AE36" i="6" s="1"/>
  <c r="AE37" i="6" s="1"/>
  <c r="BG54" i="6"/>
  <c r="BH44" i="6"/>
  <c r="CT6" i="6"/>
  <c r="CS6" i="30"/>
  <c r="AD39" i="6"/>
  <c r="AD40" i="6" s="1"/>
  <c r="AD62" i="6" s="1"/>
  <c r="AC3" i="6"/>
  <c r="BF56" i="6"/>
  <c r="BG47" i="6"/>
  <c r="CS175" i="6"/>
  <c r="CS135" i="6"/>
  <c r="CS49" i="6"/>
  <c r="CS45" i="6"/>
  <c r="CS43" i="6"/>
  <c r="AD23" i="6"/>
  <c r="AD25" i="6"/>
  <c r="CR177" i="6"/>
  <c r="CR176" i="6"/>
  <c r="CR157" i="6"/>
  <c r="CR156" i="6"/>
  <c r="CR153" i="6"/>
  <c r="CR152" i="6"/>
  <c r="CR148" i="6"/>
  <c r="CR147" i="6"/>
  <c r="CR167" i="6"/>
  <c r="CR166" i="6"/>
  <c r="CR162" i="6"/>
  <c r="CR161" i="6"/>
  <c r="CR143" i="6"/>
  <c r="CR142" i="6"/>
  <c r="CR172" i="6"/>
  <c r="CR138" i="6"/>
  <c r="CR137" i="6"/>
  <c r="AT28" i="6"/>
  <c r="AT24" i="6" s="1"/>
  <c r="AU35" i="6"/>
  <c r="AD168" i="6"/>
  <c r="AE173" i="6"/>
  <c r="BC110" i="6"/>
  <c r="BC111" i="6" s="1"/>
  <c r="AR116" i="6"/>
  <c r="AR128" i="6" s="1"/>
  <c r="AS117" i="6"/>
  <c r="AT118" i="6"/>
  <c r="AU119" i="6"/>
  <c r="AV120" i="6"/>
  <c r="AW121" i="6"/>
  <c r="AX122" i="6"/>
  <c r="AY123" i="6"/>
  <c r="AZ124" i="6"/>
  <c r="BA125" i="6"/>
  <c r="BB126" i="6"/>
  <c r="BC127" i="6"/>
  <c r="AR89" i="6"/>
  <c r="AR86" i="6" s="1"/>
  <c r="BF57" i="6"/>
  <c r="BG50" i="6"/>
  <c r="AE27" i="6"/>
  <c r="G27" i="21" s="1"/>
  <c r="G29" i="21" s="1"/>
  <c r="AE29" i="6"/>
  <c r="AE32" i="6"/>
  <c r="AE34" i="6" s="1"/>
  <c r="AE20" i="6"/>
  <c r="AQ89" i="6"/>
  <c r="AQ86" i="6" s="1"/>
  <c r="AR112" i="6"/>
  <c r="AR109" i="6" s="1"/>
  <c r="CQ13" i="70"/>
  <c r="BD26" i="70"/>
  <c r="AB20" i="70"/>
  <c r="AB19" i="70"/>
  <c r="G96" i="21"/>
  <c r="G24" i="21"/>
  <c r="AC156" i="71"/>
  <c r="CR145" i="71"/>
  <c r="AB157" i="71"/>
  <c r="M154" i="69"/>
  <c r="CS30" i="2"/>
  <c r="BO164" i="23"/>
  <c r="BO162" i="23"/>
  <c r="BL170" i="23"/>
  <c r="BM172" i="23"/>
  <c r="BM174" i="23"/>
  <c r="CS5" i="19"/>
  <c r="CS13" i="19" s="1"/>
  <c r="CR9" i="19"/>
  <c r="CS5" i="2"/>
  <c r="CT7" i="2"/>
  <c r="CT31" i="2" s="1"/>
  <c r="AE19" i="2"/>
  <c r="AF17" i="6" s="1"/>
  <c r="AD23" i="2"/>
  <c r="AE21" i="2"/>
  <c r="AF19" i="6" s="1"/>
  <c r="AC11" i="2"/>
  <c r="AD9" i="6" s="1"/>
  <c r="AC13" i="2"/>
  <c r="AD11" i="6" s="1"/>
  <c r="CQ10" i="19"/>
  <c r="CQ11" i="19"/>
  <c r="CQ15" i="19" s="1"/>
  <c r="G18" i="20"/>
  <c r="G20" i="20" s="1"/>
  <c r="G22" i="20" s="1"/>
  <c r="G17" i="21"/>
  <c r="G19" i="21" s="1"/>
  <c r="BF59" i="6" l="1"/>
  <c r="AQ90" i="6"/>
  <c r="AR85" i="6" s="1"/>
  <c r="AR90" i="6" s="1"/>
  <c r="AS85" i="6" s="1"/>
  <c r="AR113" i="6"/>
  <c r="AS108" i="6" s="1"/>
  <c r="BG48" i="6"/>
  <c r="BG55" i="6"/>
  <c r="BH46" i="6"/>
  <c r="AU28" i="6"/>
  <c r="AU24" i="6" s="1"/>
  <c r="AV35" i="6"/>
  <c r="BH54" i="6"/>
  <c r="BI44" i="6"/>
  <c r="AS89" i="6"/>
  <c r="AS86" i="6" s="1"/>
  <c r="AE38" i="6"/>
  <c r="AE3" i="6" s="1"/>
  <c r="AF31" i="6"/>
  <c r="AF36" i="6" s="1"/>
  <c r="AF37" i="6" s="1"/>
  <c r="AF27" i="6"/>
  <c r="AF29" i="6"/>
  <c r="AS112" i="6"/>
  <c r="AS109" i="6" s="1"/>
  <c r="BG57" i="6"/>
  <c r="BH50" i="6"/>
  <c r="CS177" i="6"/>
  <c r="CS176" i="6"/>
  <c r="CS153" i="6"/>
  <c r="CS152" i="6"/>
  <c r="CS172" i="6"/>
  <c r="CS167" i="6"/>
  <c r="CS166" i="6"/>
  <c r="CS143" i="6"/>
  <c r="CS142" i="6"/>
  <c r="CS156" i="6"/>
  <c r="CS138" i="6"/>
  <c r="CS137" i="6"/>
  <c r="CS147" i="6"/>
  <c r="CS161" i="6"/>
  <c r="CS162" i="6"/>
  <c r="CS148" i="6"/>
  <c r="CS157" i="6"/>
  <c r="AE39" i="6"/>
  <c r="AE40" i="6" s="1"/>
  <c r="AE62" i="6" s="1"/>
  <c r="AE168" i="6"/>
  <c r="AF173" i="6"/>
  <c r="BD87" i="6"/>
  <c r="BD88" i="6" s="1"/>
  <c r="AS93" i="6"/>
  <c r="AT94" i="6"/>
  <c r="AU95" i="6"/>
  <c r="AV96" i="6"/>
  <c r="AW97" i="6"/>
  <c r="AX98" i="6"/>
  <c r="AY99" i="6"/>
  <c r="AZ100" i="6"/>
  <c r="BA101" i="6"/>
  <c r="BB102" i="6"/>
  <c r="BC103" i="6"/>
  <c r="BD104" i="6"/>
  <c r="AD3" i="6"/>
  <c r="AD15" i="6"/>
  <c r="AD17" i="2"/>
  <c r="AD15" i="2"/>
  <c r="BG56" i="6"/>
  <c r="BH47" i="6"/>
  <c r="CU6" i="6"/>
  <c r="CT6" i="30"/>
  <c r="BD110" i="6"/>
  <c r="BD111" i="6" s="1"/>
  <c r="AS116" i="6"/>
  <c r="AS128" i="6" s="1"/>
  <c r="AT117" i="6"/>
  <c r="AU118" i="6"/>
  <c r="AV119" i="6"/>
  <c r="AW120" i="6"/>
  <c r="AX121" i="6"/>
  <c r="AY122" i="6"/>
  <c r="AZ123" i="6"/>
  <c r="BA124" i="6"/>
  <c r="BB125" i="6"/>
  <c r="H109" i="21" s="1"/>
  <c r="BC126" i="6"/>
  <c r="BD127" i="6"/>
  <c r="AE23" i="6"/>
  <c r="G23" i="21" s="1"/>
  <c r="G25" i="21" s="1"/>
  <c r="AE25" i="6"/>
  <c r="CT175" i="6"/>
  <c r="CT135" i="6"/>
  <c r="CT49" i="6"/>
  <c r="CT45" i="6"/>
  <c r="CT43" i="6"/>
  <c r="BG58" i="6"/>
  <c r="BH51" i="6"/>
  <c r="AF32" i="6"/>
  <c r="AF34" i="6" s="1"/>
  <c r="AF20" i="6"/>
  <c r="BC87" i="6"/>
  <c r="BC88" i="6" s="1"/>
  <c r="AR93" i="6"/>
  <c r="AR105" i="6" s="1"/>
  <c r="AR60" i="6" s="1"/>
  <c r="AR61" i="6" s="1"/>
  <c r="AS94" i="6"/>
  <c r="AT95" i="6"/>
  <c r="AU96" i="6"/>
  <c r="AV97" i="6"/>
  <c r="AW98" i="6"/>
  <c r="AX99" i="6"/>
  <c r="AY100" i="6"/>
  <c r="AZ101" i="6"/>
  <c r="BA102" i="6"/>
  <c r="BB103" i="6"/>
  <c r="BC104" i="6"/>
  <c r="CS171" i="6"/>
  <c r="CR13" i="70"/>
  <c r="AK27" i="70"/>
  <c r="AB21" i="70"/>
  <c r="AC19" i="70"/>
  <c r="BE26" i="70"/>
  <c r="AC20" i="70"/>
  <c r="G73" i="21"/>
  <c r="G97" i="21"/>
  <c r="G93" i="21"/>
  <c r="H110" i="21"/>
  <c r="H111" i="21"/>
  <c r="AD156" i="71"/>
  <c r="CS145" i="71"/>
  <c r="G151" i="68"/>
  <c r="F34" i="21"/>
  <c r="AC157" i="71"/>
  <c r="CT30" i="2"/>
  <c r="BO165" i="23"/>
  <c r="BM175" i="23"/>
  <c r="BN172" i="23" s="1"/>
  <c r="BM167" i="23"/>
  <c r="BM169" i="23"/>
  <c r="BL176" i="23"/>
  <c r="AD11" i="2"/>
  <c r="AE9" i="6" s="1"/>
  <c r="AD13" i="2"/>
  <c r="AE11" i="6" s="1"/>
  <c r="CT5" i="19"/>
  <c r="CT13" i="19" s="1"/>
  <c r="CS9" i="19"/>
  <c r="F20" i="21"/>
  <c r="CT5" i="2"/>
  <c r="CU7" i="2"/>
  <c r="CU31" i="2" s="1"/>
  <c r="F33" i="21"/>
  <c r="AF19" i="2"/>
  <c r="AG17" i="6" s="1"/>
  <c r="AE23" i="2"/>
  <c r="AD19" i="70" s="1"/>
  <c r="AF21" i="2"/>
  <c r="AG19" i="6" s="1"/>
  <c r="CR11" i="19"/>
  <c r="CR15" i="19" s="1"/>
  <c r="CR10" i="19"/>
  <c r="CT171" i="6" l="1"/>
  <c r="AS113" i="6"/>
  <c r="AT108" i="6" s="1"/>
  <c r="AS90" i="6"/>
  <c r="AT85" i="6" s="1"/>
  <c r="BG59" i="6"/>
  <c r="AF168" i="6"/>
  <c r="AG173" i="6"/>
  <c r="BH56" i="6"/>
  <c r="BI47" i="6"/>
  <c r="AV28" i="6"/>
  <c r="AV24" i="6" s="1"/>
  <c r="AW35" i="6"/>
  <c r="AT89" i="6"/>
  <c r="AT86" i="6" s="1"/>
  <c r="AF23" i="6"/>
  <c r="AF25" i="6"/>
  <c r="AT112" i="6"/>
  <c r="AT109" i="6" s="1"/>
  <c r="AE13" i="6"/>
  <c r="G13" i="21" s="1"/>
  <c r="G15" i="21" s="1"/>
  <c r="G14" i="20"/>
  <c r="G16" i="20" s="1"/>
  <c r="AF38" i="6"/>
  <c r="AG31" i="6"/>
  <c r="AG36" i="6" s="1"/>
  <c r="AG39" i="6" s="1"/>
  <c r="AG40" i="6" s="1"/>
  <c r="AG62" i="6" s="1"/>
  <c r="BH48" i="6"/>
  <c r="BH55" i="6"/>
  <c r="BI46" i="6"/>
  <c r="AE15" i="6"/>
  <c r="AE17" i="2"/>
  <c r="AE15" i="2"/>
  <c r="AF13" i="6" s="1"/>
  <c r="BH57" i="6"/>
  <c r="BI50" i="6"/>
  <c r="AF39" i="6"/>
  <c r="AF40" i="6" s="1"/>
  <c r="AF62" i="6" s="1"/>
  <c r="CU175" i="6"/>
  <c r="CU135" i="6"/>
  <c r="CU49" i="6"/>
  <c r="CU45" i="6"/>
  <c r="CU43" i="6"/>
  <c r="AS105" i="6"/>
  <c r="AS60" i="6" s="1"/>
  <c r="AS61" i="6" s="1"/>
  <c r="BE110" i="6"/>
  <c r="BE111" i="6" s="1"/>
  <c r="AT116" i="6"/>
  <c r="AT128" i="6" s="1"/>
  <c r="AU117" i="6"/>
  <c r="AV118" i="6"/>
  <c r="AW119" i="6"/>
  <c r="AX120" i="6"/>
  <c r="AY121" i="6"/>
  <c r="AZ122" i="6"/>
  <c r="BA123" i="6"/>
  <c r="BB124" i="6"/>
  <c r="BC125" i="6"/>
  <c r="BD126" i="6"/>
  <c r="BE127" i="6"/>
  <c r="BE87" i="6"/>
  <c r="BE88" i="6" s="1"/>
  <c r="AT93" i="6"/>
  <c r="AT105" i="6" s="1"/>
  <c r="AU94" i="6"/>
  <c r="AV95" i="6"/>
  <c r="AW96" i="6"/>
  <c r="AX97" i="6"/>
  <c r="AY98" i="6"/>
  <c r="AZ99" i="6"/>
  <c r="BA100" i="6"/>
  <c r="BB101" i="6"/>
  <c r="BC102" i="6"/>
  <c r="BD103" i="6"/>
  <c r="BE104" i="6"/>
  <c r="CV6" i="6"/>
  <c r="CU6" i="30"/>
  <c r="BH58" i="6"/>
  <c r="BI51" i="6"/>
  <c r="BI54" i="6"/>
  <c r="BJ44" i="6"/>
  <c r="AG32" i="6"/>
  <c r="AG34" i="6" s="1"/>
  <c r="AG20" i="6"/>
  <c r="CT177" i="6"/>
  <c r="CT176" i="6"/>
  <c r="CT153" i="6"/>
  <c r="CT152" i="6"/>
  <c r="CT148" i="6"/>
  <c r="CT147" i="6"/>
  <c r="CT172" i="6"/>
  <c r="CT162" i="6"/>
  <c r="CT161" i="6"/>
  <c r="CT157" i="6"/>
  <c r="CT156" i="6"/>
  <c r="CT138" i="6"/>
  <c r="CT137" i="6"/>
  <c r="CT167" i="6"/>
  <c r="CT142" i="6"/>
  <c r="CT143" i="6"/>
  <c r="CT166" i="6"/>
  <c r="AG27" i="6"/>
  <c r="AG29" i="6"/>
  <c r="CS13" i="70"/>
  <c r="BF26" i="70"/>
  <c r="AD20" i="70"/>
  <c r="AL27" i="70"/>
  <c r="G112" i="21"/>
  <c r="G100" i="21"/>
  <c r="H92" i="21"/>
  <c r="H86" i="21"/>
  <c r="H87" i="21"/>
  <c r="H88" i="21"/>
  <c r="G70" i="21"/>
  <c r="H95" i="21"/>
  <c r="H94" i="21"/>
  <c r="G74" i="21"/>
  <c r="CT145" i="71"/>
  <c r="AJ142" i="69" s="1"/>
  <c r="AE156" i="71"/>
  <c r="G152" i="68"/>
  <c r="N153" i="69"/>
  <c r="CU30" i="2"/>
  <c r="BN174" i="23"/>
  <c r="BN175" i="23" s="1"/>
  <c r="BO174" i="23" s="1"/>
  <c r="BP164" i="23"/>
  <c r="BP162" i="23"/>
  <c r="BM170" i="23"/>
  <c r="F35" i="21"/>
  <c r="AM27" i="70"/>
  <c r="AE11" i="2"/>
  <c r="AF9" i="6" s="1"/>
  <c r="AE13" i="2"/>
  <c r="AF11" i="6" s="1"/>
  <c r="G31" i="21"/>
  <c r="CU5" i="19"/>
  <c r="CU13" i="19" s="1"/>
  <c r="CT9" i="19"/>
  <c r="AF23" i="2"/>
  <c r="AG19" i="2"/>
  <c r="AH17" i="6" s="1"/>
  <c r="AG21" i="2"/>
  <c r="AH19" i="6" s="1"/>
  <c r="CS10" i="19"/>
  <c r="CS11" i="19"/>
  <c r="CS15" i="19" s="1"/>
  <c r="G10" i="20"/>
  <c r="G12" i="20" s="1"/>
  <c r="G9" i="21"/>
  <c r="G11" i="21" s="1"/>
  <c r="CV7" i="2"/>
  <c r="CV31" i="2" s="1"/>
  <c r="CU5" i="2"/>
  <c r="AG37" i="6" l="1"/>
  <c r="AT90" i="6"/>
  <c r="AU85" i="6" s="1"/>
  <c r="AT60" i="6"/>
  <c r="AT61" i="6" s="1"/>
  <c r="BH59" i="6"/>
  <c r="AU89" i="6"/>
  <c r="AU86" i="6" s="1"/>
  <c r="AW28" i="6"/>
  <c r="AW24" i="6" s="1"/>
  <c r="AX35" i="6"/>
  <c r="BI58" i="6"/>
  <c r="BJ51" i="6"/>
  <c r="AU112" i="6"/>
  <c r="AU109" i="6" s="1"/>
  <c r="BI57" i="6"/>
  <c r="BJ50" i="6"/>
  <c r="BI56" i="6"/>
  <c r="BJ47" i="6"/>
  <c r="CU176" i="6"/>
  <c r="CU177" i="6"/>
  <c r="CU148" i="6"/>
  <c r="CU147" i="6"/>
  <c r="CU172" i="6"/>
  <c r="CU167" i="6"/>
  <c r="CU166" i="6"/>
  <c r="CU156" i="6"/>
  <c r="CU138" i="6"/>
  <c r="CU137" i="6"/>
  <c r="CU161" i="6"/>
  <c r="CU153" i="6"/>
  <c r="CU157" i="6"/>
  <c r="CU143" i="6"/>
  <c r="CU142" i="6"/>
  <c r="CU152" i="6"/>
  <c r="CU162" i="6"/>
  <c r="CV175" i="6"/>
  <c r="CV135" i="6"/>
  <c r="CV49" i="6"/>
  <c r="CV45" i="6"/>
  <c r="CV43" i="6"/>
  <c r="BF110" i="6"/>
  <c r="BF111" i="6" s="1"/>
  <c r="AU116" i="6"/>
  <c r="AU128" i="6" s="1"/>
  <c r="AV117" i="6"/>
  <c r="AW118" i="6"/>
  <c r="AX119" i="6"/>
  <c r="AY120" i="6"/>
  <c r="AZ121" i="6"/>
  <c r="BA122" i="6"/>
  <c r="BB123" i="6"/>
  <c r="H107" i="21" s="1"/>
  <c r="BC124" i="6"/>
  <c r="BD125" i="6"/>
  <c r="BE126" i="6"/>
  <c r="BF127" i="6"/>
  <c r="AF15" i="6"/>
  <c r="AF15" i="2"/>
  <c r="AG13" i="6" s="1"/>
  <c r="AF17" i="2"/>
  <c r="AT113" i="6"/>
  <c r="AU108" i="6" s="1"/>
  <c r="CW6" i="6"/>
  <c r="CV6" i="30"/>
  <c r="AG23" i="6"/>
  <c r="AG25" i="6"/>
  <c r="BI55" i="6"/>
  <c r="BI48" i="6"/>
  <c r="BJ46" i="6"/>
  <c r="AH173" i="6"/>
  <c r="AG168" i="6"/>
  <c r="AH27" i="6"/>
  <c r="AH29" i="6"/>
  <c r="AF3" i="6"/>
  <c r="BJ54" i="6"/>
  <c r="BK44" i="6"/>
  <c r="AH32" i="6"/>
  <c r="AH34" i="6" s="1"/>
  <c r="AH20" i="6"/>
  <c r="CU171" i="6"/>
  <c r="AG38" i="6"/>
  <c r="AH31" i="6"/>
  <c r="AH36" i="6" s="1"/>
  <c r="BF87" i="6"/>
  <c r="BF88" i="6" s="1"/>
  <c r="AU93" i="6"/>
  <c r="AU105" i="6" s="1"/>
  <c r="AV94" i="6"/>
  <c r="AW95" i="6"/>
  <c r="AX96" i="6"/>
  <c r="AY97" i="6"/>
  <c r="AZ98" i="6"/>
  <c r="BA99" i="6"/>
  <c r="BB100" i="6"/>
  <c r="BC101" i="6"/>
  <c r="BD102" i="6"/>
  <c r="BE103" i="6"/>
  <c r="BF104" i="6"/>
  <c r="CT13" i="70"/>
  <c r="AC21" i="70"/>
  <c r="AE19" i="70"/>
  <c r="AE20" i="70"/>
  <c r="BG26" i="70"/>
  <c r="H72" i="21"/>
  <c r="H71" i="21"/>
  <c r="H69" i="21"/>
  <c r="G77" i="21"/>
  <c r="AD157" i="71"/>
  <c r="CU145" i="71"/>
  <c r="AF156" i="71"/>
  <c r="H85" i="21"/>
  <c r="H108" i="21"/>
  <c r="CV30" i="2"/>
  <c r="BO172" i="23"/>
  <c r="BO175" i="23" s="1"/>
  <c r="BP165" i="23"/>
  <c r="BN167" i="23"/>
  <c r="BN169" i="23"/>
  <c r="BM176" i="23"/>
  <c r="BH26" i="70"/>
  <c r="CV5" i="19"/>
  <c r="CV13" i="19" s="1"/>
  <c r="CU9" i="19"/>
  <c r="AG23" i="2"/>
  <c r="AH19" i="2"/>
  <c r="AI17" i="6" s="1"/>
  <c r="AH21" i="2"/>
  <c r="AI19" i="6" s="1"/>
  <c r="F46" i="21"/>
  <c r="AF11" i="2"/>
  <c r="AG9" i="6" s="1"/>
  <c r="AF13" i="2"/>
  <c r="AG11" i="6" s="1"/>
  <c r="CV5" i="2"/>
  <c r="CW7" i="2"/>
  <c r="CW31" i="2" s="1"/>
  <c r="CT11" i="19"/>
  <c r="CT15" i="19" s="1"/>
  <c r="CT10" i="19"/>
  <c r="AN27" i="70"/>
  <c r="AU90" i="6" l="1"/>
  <c r="AV85" i="6" s="1"/>
  <c r="CV171" i="6"/>
  <c r="AU113" i="6"/>
  <c r="AV108" i="6" s="1"/>
  <c r="AU60" i="6"/>
  <c r="AU61" i="6" s="1"/>
  <c r="BI59" i="6"/>
  <c r="CX6" i="6"/>
  <c r="CW6" i="30"/>
  <c r="AH38" i="6"/>
  <c r="AI31" i="6"/>
  <c r="AI36" i="6" s="1"/>
  <c r="AI37" i="6" s="1"/>
  <c r="BJ56" i="6"/>
  <c r="BK47" i="6"/>
  <c r="AG3" i="6"/>
  <c r="CV177" i="6"/>
  <c r="CV176" i="6"/>
  <c r="CV148" i="6"/>
  <c r="CV147" i="6"/>
  <c r="CV172" i="6"/>
  <c r="CV167" i="6"/>
  <c r="CV166" i="6"/>
  <c r="CV157" i="6"/>
  <c r="CV156" i="6"/>
  <c r="CV161" i="6"/>
  <c r="CV153" i="6"/>
  <c r="CV162" i="6"/>
  <c r="CV152" i="6"/>
  <c r="CV142" i="6"/>
  <c r="CV143" i="6"/>
  <c r="CV137" i="6"/>
  <c r="CV138" i="6"/>
  <c r="AX28" i="6"/>
  <c r="AY35" i="6"/>
  <c r="AG15" i="6"/>
  <c r="AG15" i="2"/>
  <c r="AH13" i="6" s="1"/>
  <c r="AG17" i="2"/>
  <c r="BJ57" i="6"/>
  <c r="BK50" i="6"/>
  <c r="AV89" i="6"/>
  <c r="AV86" i="6" s="1"/>
  <c r="AV112" i="6"/>
  <c r="AV109" i="6" s="1"/>
  <c r="AH37" i="6"/>
  <c r="BJ55" i="6"/>
  <c r="BJ48" i="6"/>
  <c r="BK46" i="6"/>
  <c r="AI173" i="6"/>
  <c r="AH168" i="6"/>
  <c r="BG110" i="6"/>
  <c r="BG111" i="6" s="1"/>
  <c r="AV116" i="6"/>
  <c r="AV128" i="6" s="1"/>
  <c r="AW117" i="6"/>
  <c r="AX118" i="6"/>
  <c r="AY119" i="6"/>
  <c r="AZ120" i="6"/>
  <c r="BA121" i="6"/>
  <c r="BB122" i="6"/>
  <c r="BC123" i="6"/>
  <c r="BD124" i="6"/>
  <c r="BE125" i="6"/>
  <c r="BF126" i="6"/>
  <c r="BG127" i="6"/>
  <c r="BK54" i="6"/>
  <c r="BL44" i="6"/>
  <c r="AI32" i="6"/>
  <c r="AI34" i="6" s="1"/>
  <c r="AI20" i="6"/>
  <c r="AH23" i="6"/>
  <c r="AH25" i="6"/>
  <c r="BJ58" i="6"/>
  <c r="BK51" i="6"/>
  <c r="BG87" i="6"/>
  <c r="BG88" i="6" s="1"/>
  <c r="AV93" i="6"/>
  <c r="AV105" i="6" s="1"/>
  <c r="AW94" i="6"/>
  <c r="AX95" i="6"/>
  <c r="AY96" i="6"/>
  <c r="AZ97" i="6"/>
  <c r="BA98" i="6"/>
  <c r="BB99" i="6"/>
  <c r="BC100" i="6"/>
  <c r="BD101" i="6"/>
  <c r="BE102" i="6"/>
  <c r="BF103" i="6"/>
  <c r="BG104" i="6"/>
  <c r="AH39" i="6"/>
  <c r="AH40" i="6" s="1"/>
  <c r="AH62" i="6" s="1"/>
  <c r="AI27" i="6"/>
  <c r="AI29" i="6"/>
  <c r="CW175" i="6"/>
  <c r="CW135" i="6"/>
  <c r="CW49" i="6"/>
  <c r="CW45" i="6"/>
  <c r="CW43" i="6"/>
  <c r="CU13" i="70"/>
  <c r="AF19" i="70"/>
  <c r="AF20" i="70"/>
  <c r="AD21" i="70"/>
  <c r="G89" i="21"/>
  <c r="AE157" i="71"/>
  <c r="AG156" i="71"/>
  <c r="O153" i="69" s="1"/>
  <c r="N154" i="69"/>
  <c r="CV145" i="71"/>
  <c r="CW30" i="2"/>
  <c r="BP172" i="23"/>
  <c r="BP174" i="23"/>
  <c r="BQ164" i="23"/>
  <c r="BQ162" i="23"/>
  <c r="BN170" i="23"/>
  <c r="AI19" i="2"/>
  <c r="AJ17" i="6" s="1"/>
  <c r="AH23" i="2"/>
  <c r="AG20" i="70"/>
  <c r="AI21" i="2"/>
  <c r="AJ19" i="6" s="1"/>
  <c r="CU10" i="19"/>
  <c r="CU11" i="19"/>
  <c r="CU15" i="19" s="1"/>
  <c r="AG11" i="2"/>
  <c r="AH9" i="6" s="1"/>
  <c r="AG13" i="2"/>
  <c r="AH11" i="6" s="1"/>
  <c r="CW5" i="19"/>
  <c r="CW13" i="19" s="1"/>
  <c r="CV9" i="19"/>
  <c r="CX7" i="2"/>
  <c r="CX31" i="2" s="1"/>
  <c r="CW5" i="2"/>
  <c r="AO27" i="70"/>
  <c r="AV90" i="6" l="1"/>
  <c r="AW85" i="6" s="1"/>
  <c r="BJ59" i="6"/>
  <c r="AW112" i="6"/>
  <c r="AW109" i="6" s="1"/>
  <c r="BH110" i="6"/>
  <c r="BH111" i="6" s="1"/>
  <c r="AW116" i="6"/>
  <c r="AW128" i="6" s="1"/>
  <c r="AX117" i="6"/>
  <c r="AY118" i="6"/>
  <c r="AZ119" i="6"/>
  <c r="BA120" i="6"/>
  <c r="BB121" i="6"/>
  <c r="H105" i="21" s="1"/>
  <c r="BC122" i="6"/>
  <c r="BD123" i="6"/>
  <c r="BE124" i="6"/>
  <c r="BF125" i="6"/>
  <c r="BG126" i="6"/>
  <c r="BH127" i="6"/>
  <c r="AI38" i="6"/>
  <c r="AJ31" i="6"/>
  <c r="AJ36" i="6" s="1"/>
  <c r="AJ39" i="6" s="1"/>
  <c r="AJ40" i="6" s="1"/>
  <c r="AJ62" i="6" s="1"/>
  <c r="BL54" i="6"/>
  <c r="BM44" i="6"/>
  <c r="BH87" i="6"/>
  <c r="BH88" i="6" s="1"/>
  <c r="AW93" i="6"/>
  <c r="AW105" i="6" s="1"/>
  <c r="AX94" i="6"/>
  <c r="AY95" i="6"/>
  <c r="AZ96" i="6"/>
  <c r="BA97" i="6"/>
  <c r="BB98" i="6"/>
  <c r="BC99" i="6"/>
  <c r="BD100" i="6"/>
  <c r="BE101" i="6"/>
  <c r="BF102" i="6"/>
  <c r="BG103" i="6"/>
  <c r="BH104" i="6"/>
  <c r="AI39" i="6"/>
  <c r="AI40" i="6" s="1"/>
  <c r="AI62" i="6" s="1"/>
  <c r="BK57" i="6"/>
  <c r="BL50" i="6"/>
  <c r="BK58" i="6"/>
  <c r="BL51" i="6"/>
  <c r="CX175" i="6"/>
  <c r="CX135" i="6"/>
  <c r="CX49" i="6"/>
  <c r="CX45" i="6"/>
  <c r="CX43" i="6"/>
  <c r="CW177" i="6"/>
  <c r="CW176" i="6"/>
  <c r="CW172" i="6"/>
  <c r="CW167" i="6"/>
  <c r="CW166" i="6"/>
  <c r="CW162" i="6"/>
  <c r="CW161" i="6"/>
  <c r="CW147" i="6"/>
  <c r="CW153" i="6"/>
  <c r="CW143" i="6"/>
  <c r="CW142" i="6"/>
  <c r="CW138" i="6"/>
  <c r="CW137" i="6"/>
  <c r="CW152" i="6"/>
  <c r="CW156" i="6"/>
  <c r="CW148" i="6"/>
  <c r="CW157" i="6"/>
  <c r="AH15" i="6"/>
  <c r="AH15" i="2"/>
  <c r="AI13" i="6" s="1"/>
  <c r="AH17" i="2"/>
  <c r="AV113" i="6"/>
  <c r="AW108" i="6" s="1"/>
  <c r="CY6" i="6"/>
  <c r="CX6" i="30"/>
  <c r="AJ27" i="6"/>
  <c r="AJ29" i="6"/>
  <c r="BK55" i="6"/>
  <c r="BK48" i="6"/>
  <c r="BL46" i="6"/>
  <c r="AJ32" i="6"/>
  <c r="AJ34" i="6" s="1"/>
  <c r="AJ20" i="6"/>
  <c r="AI23" i="6"/>
  <c r="AI25" i="6"/>
  <c r="CW171" i="6"/>
  <c r="AV60" i="6"/>
  <c r="AV61" i="6" s="1"/>
  <c r="AY28" i="6"/>
  <c r="AY24" i="6" s="1"/>
  <c r="AZ35" i="6"/>
  <c r="BK56" i="6"/>
  <c r="BL47" i="6"/>
  <c r="AJ173" i="6"/>
  <c r="AI168" i="6"/>
  <c r="AH3" i="6"/>
  <c r="AX24" i="6"/>
  <c r="CV13" i="70"/>
  <c r="BI26" i="70"/>
  <c r="AG19" i="70"/>
  <c r="AE21" i="70"/>
  <c r="G44" i="21"/>
  <c r="G45" i="21"/>
  <c r="AH156" i="71"/>
  <c r="L29" i="20"/>
  <c r="CW145" i="71"/>
  <c r="AF157" i="71"/>
  <c r="H106" i="21"/>
  <c r="H83" i="21"/>
  <c r="H84" i="21"/>
  <c r="CX30" i="2"/>
  <c r="BP175" i="23"/>
  <c r="BQ174" i="23" s="1"/>
  <c r="BQ165" i="23"/>
  <c r="BO169" i="23"/>
  <c r="BO167" i="23"/>
  <c r="BN176" i="23"/>
  <c r="AH11" i="2"/>
  <c r="AI9" i="6" s="1"/>
  <c r="AH13" i="2"/>
  <c r="AI11" i="6" s="1"/>
  <c r="AF21" i="70"/>
  <c r="CY7" i="2"/>
  <c r="CY31" i="2" s="1"/>
  <c r="CX5" i="2"/>
  <c r="L6" i="32"/>
  <c r="AJ19" i="2"/>
  <c r="AK17" i="6" s="1"/>
  <c r="AI23" i="2"/>
  <c r="AH19" i="70" s="1"/>
  <c r="AH20" i="70"/>
  <c r="AJ21" i="2"/>
  <c r="AK19" i="6" s="1"/>
  <c r="L6" i="21"/>
  <c r="CV11" i="19"/>
  <c r="CV15" i="19" s="1"/>
  <c r="CV10" i="19"/>
  <c r="CW9" i="19"/>
  <c r="CX5" i="19"/>
  <c r="CX13" i="19" s="1"/>
  <c r="AW113" i="6" l="1"/>
  <c r="AX108" i="6" s="1"/>
  <c r="CX171" i="6"/>
  <c r="AJ37" i="6"/>
  <c r="BK59" i="6"/>
  <c r="AK31" i="6"/>
  <c r="AK36" i="6" s="1"/>
  <c r="AK37" i="6" s="1"/>
  <c r="AJ38" i="6"/>
  <c r="BL57" i="6"/>
  <c r="BM50" i="6"/>
  <c r="CY175" i="6"/>
  <c r="CY135" i="6"/>
  <c r="CY171" i="6" s="1"/>
  <c r="CY45" i="6"/>
  <c r="CY43" i="6"/>
  <c r="CY49" i="6"/>
  <c r="CZ6" i="6"/>
  <c r="CY6" i="30"/>
  <c r="AK173" i="6"/>
  <c r="AJ168" i="6"/>
  <c r="AI15" i="6"/>
  <c r="AI17" i="2"/>
  <c r="AI15" i="2"/>
  <c r="AJ13" i="6" s="1"/>
  <c r="AI3" i="6"/>
  <c r="AJ23" i="6"/>
  <c r="AJ25" i="6"/>
  <c r="BL56" i="6"/>
  <c r="BM47" i="6"/>
  <c r="AK32" i="6"/>
  <c r="AK34" i="6" s="1"/>
  <c r="AK20" i="6"/>
  <c r="CX177" i="6"/>
  <c r="CX176" i="6"/>
  <c r="CX172" i="6"/>
  <c r="CX167" i="6"/>
  <c r="CX166" i="6"/>
  <c r="CX162" i="6"/>
  <c r="CX161" i="6"/>
  <c r="CX153" i="6"/>
  <c r="CX152" i="6"/>
  <c r="CX147" i="6"/>
  <c r="CX143" i="6"/>
  <c r="CX142" i="6"/>
  <c r="CX157" i="6"/>
  <c r="CX148" i="6"/>
  <c r="CX156" i="6"/>
  <c r="CX137" i="6"/>
  <c r="CX138" i="6"/>
  <c r="AW60" i="6"/>
  <c r="AW61" i="6" s="1"/>
  <c r="BI110" i="6"/>
  <c r="BI111" i="6" s="1"/>
  <c r="AX116" i="6"/>
  <c r="AX128" i="6" s="1"/>
  <c r="AY117" i="6"/>
  <c r="AZ118" i="6"/>
  <c r="BA119" i="6"/>
  <c r="BB120" i="6"/>
  <c r="H104" i="21" s="1"/>
  <c r="BC121" i="6"/>
  <c r="BD122" i="6"/>
  <c r="BE123" i="6"/>
  <c r="BF124" i="6"/>
  <c r="BG125" i="6"/>
  <c r="BH126" i="6"/>
  <c r="BI127" i="6"/>
  <c r="AZ28" i="6"/>
  <c r="BA35" i="6"/>
  <c r="BL55" i="6"/>
  <c r="BL48" i="6"/>
  <c r="BM46" i="6"/>
  <c r="BL58" i="6"/>
  <c r="BM51" i="6"/>
  <c r="AW89" i="6"/>
  <c r="AX89" i="6"/>
  <c r="AX86" i="6" s="1"/>
  <c r="AX112" i="6"/>
  <c r="AX109" i="6" s="1"/>
  <c r="AK27" i="6"/>
  <c r="AK29" i="6"/>
  <c r="BM54" i="6"/>
  <c r="BN44" i="6"/>
  <c r="CW13" i="70"/>
  <c r="AP27" i="70"/>
  <c r="BJ26" i="70"/>
  <c r="AG157" i="71"/>
  <c r="CX145" i="71"/>
  <c r="AI156" i="71"/>
  <c r="H82" i="21"/>
  <c r="CY30" i="2"/>
  <c r="BQ172" i="23"/>
  <c r="BQ175" i="23" s="1"/>
  <c r="BR174" i="23" s="1"/>
  <c r="BO170" i="23"/>
  <c r="BP167" i="23" s="1"/>
  <c r="BR162" i="23"/>
  <c r="BR164" i="23"/>
  <c r="BK26" i="70"/>
  <c r="AI11" i="2"/>
  <c r="AJ9" i="6" s="1"/>
  <c r="AI13" i="2"/>
  <c r="AJ11" i="6" s="1"/>
  <c r="CY5" i="19"/>
  <c r="CY13" i="19" s="1"/>
  <c r="CX9" i="19"/>
  <c r="AK19" i="2"/>
  <c r="AL17" i="6" s="1"/>
  <c r="AJ23" i="2"/>
  <c r="AI19" i="70" s="1"/>
  <c r="AI20" i="70"/>
  <c r="AK21" i="2"/>
  <c r="AL19" i="6" s="1"/>
  <c r="AG21" i="70"/>
  <c r="CZ7" i="2"/>
  <c r="CZ31" i="2" s="1"/>
  <c r="CY5" i="2"/>
  <c r="CW10" i="19"/>
  <c r="CW11" i="19"/>
  <c r="CW15" i="19" s="1"/>
  <c r="AJ3" i="6" l="1"/>
  <c r="BL59" i="6"/>
  <c r="AL27" i="6"/>
  <c r="AL29" i="6"/>
  <c r="AJ15" i="6"/>
  <c r="AJ15" i="2"/>
  <c r="AK13" i="6" s="1"/>
  <c r="AJ17" i="2"/>
  <c r="CY177" i="6"/>
  <c r="CY176" i="6"/>
  <c r="CY167" i="6"/>
  <c r="CY166" i="6"/>
  <c r="CY162" i="6"/>
  <c r="CY161" i="6"/>
  <c r="CY157" i="6"/>
  <c r="CY147" i="6"/>
  <c r="CY172" i="6"/>
  <c r="CY153" i="6"/>
  <c r="CY143" i="6"/>
  <c r="CY142" i="6"/>
  <c r="CY148" i="6"/>
  <c r="CY152" i="6"/>
  <c r="CY138" i="6"/>
  <c r="CY137" i="6"/>
  <c r="CY156" i="6"/>
  <c r="AL173" i="6"/>
  <c r="AK168" i="6"/>
  <c r="BM48" i="6"/>
  <c r="BM55" i="6"/>
  <c r="BN46" i="6"/>
  <c r="AY112" i="6"/>
  <c r="AY109" i="6" s="1"/>
  <c r="BJ110" i="6"/>
  <c r="BJ111" i="6" s="1"/>
  <c r="AY116" i="6"/>
  <c r="AY128" i="6" s="1"/>
  <c r="AZ117" i="6"/>
  <c r="BA118" i="6"/>
  <c r="BB119" i="6"/>
  <c r="BC120" i="6"/>
  <c r="BD121" i="6"/>
  <c r="BE122" i="6"/>
  <c r="BF123" i="6"/>
  <c r="BG124" i="6"/>
  <c r="BH125" i="6"/>
  <c r="BI126" i="6"/>
  <c r="BJ127" i="6"/>
  <c r="AZ24" i="6"/>
  <c r="CZ175" i="6"/>
  <c r="CZ135" i="6"/>
  <c r="CZ45" i="6"/>
  <c r="CZ43" i="6"/>
  <c r="CZ49" i="6"/>
  <c r="BM56" i="6"/>
  <c r="BN47" i="6"/>
  <c r="BM57" i="6"/>
  <c r="BN50" i="6"/>
  <c r="BA28" i="6"/>
  <c r="BA24" i="6" s="1"/>
  <c r="BB35" i="6"/>
  <c r="BJ87" i="6"/>
  <c r="BJ88" i="6" s="1"/>
  <c r="AY93" i="6"/>
  <c r="AZ94" i="6"/>
  <c r="BA95" i="6"/>
  <c r="BB96" i="6"/>
  <c r="BC97" i="6"/>
  <c r="BD98" i="6"/>
  <c r="BE99" i="6"/>
  <c r="BF100" i="6"/>
  <c r="BG101" i="6"/>
  <c r="BH102" i="6"/>
  <c r="BI103" i="6"/>
  <c r="BJ104" i="6"/>
  <c r="AX113" i="6"/>
  <c r="AY108" i="6" s="1"/>
  <c r="AK23" i="6"/>
  <c r="AK25" i="6"/>
  <c r="AW86" i="6"/>
  <c r="AW90" i="6"/>
  <c r="AX85" i="6" s="1"/>
  <c r="AX90" i="6" s="1"/>
  <c r="AY85" i="6" s="1"/>
  <c r="AL32" i="6"/>
  <c r="AL34" i="6" s="1"/>
  <c r="AL20" i="6"/>
  <c r="DA6" i="6"/>
  <c r="CZ6" i="30"/>
  <c r="BN54" i="6"/>
  <c r="BO44" i="6"/>
  <c r="AK38" i="6"/>
  <c r="AK3" i="6" s="1"/>
  <c r="AL31" i="6"/>
  <c r="AL36" i="6" s="1"/>
  <c r="AL37" i="6" s="1"/>
  <c r="BM58" i="6"/>
  <c r="BN51" i="6"/>
  <c r="AK39" i="6"/>
  <c r="AK40" i="6" s="1"/>
  <c r="AK62" i="6" s="1"/>
  <c r="CX13" i="70"/>
  <c r="AQ27" i="70"/>
  <c r="CY145" i="71"/>
  <c r="AJ156" i="71"/>
  <c r="AH157" i="71"/>
  <c r="O154" i="69"/>
  <c r="CZ30" i="2"/>
  <c r="BO176" i="23"/>
  <c r="BR165" i="23"/>
  <c r="BS164" i="23" s="1"/>
  <c r="BP169" i="23"/>
  <c r="BP170" i="23" s="1"/>
  <c r="BR172" i="23"/>
  <c r="BR175" i="23" s="1"/>
  <c r="BL26" i="70"/>
  <c r="CX11" i="19"/>
  <c r="CX15" i="19" s="1"/>
  <c r="CX10" i="19"/>
  <c r="CY9" i="19"/>
  <c r="CZ5" i="19"/>
  <c r="CZ13" i="19" s="1"/>
  <c r="DA7" i="2"/>
  <c r="DA31" i="2" s="1"/>
  <c r="CZ5" i="2"/>
  <c r="AL19" i="2"/>
  <c r="AM17" i="6" s="1"/>
  <c r="AK23" i="2"/>
  <c r="AL21" i="2"/>
  <c r="AM19" i="6" s="1"/>
  <c r="AJ11" i="2"/>
  <c r="AK9" i="6" s="1"/>
  <c r="AJ13" i="2"/>
  <c r="AK11" i="6" s="1"/>
  <c r="AL39" i="6" l="1"/>
  <c r="AL40" i="6" s="1"/>
  <c r="AL62" i="6" s="1"/>
  <c r="BM59" i="6"/>
  <c r="BK110" i="6"/>
  <c r="BK111" i="6" s="1"/>
  <c r="AZ116" i="6"/>
  <c r="AZ128" i="6" s="1"/>
  <c r="BA117" i="6"/>
  <c r="BB118" i="6"/>
  <c r="H102" i="21" s="1"/>
  <c r="BC119" i="6"/>
  <c r="BD120" i="6"/>
  <c r="BE121" i="6"/>
  <c r="BF122" i="6"/>
  <c r="BG123" i="6"/>
  <c r="BH124" i="6"/>
  <c r="BI125" i="6"/>
  <c r="BJ126" i="6"/>
  <c r="BK127" i="6"/>
  <c r="AK15" i="6"/>
  <c r="AK17" i="2"/>
  <c r="AK15" i="2"/>
  <c r="AL13" i="6" s="1"/>
  <c r="BB28" i="6"/>
  <c r="BC35" i="6"/>
  <c r="CZ177" i="6"/>
  <c r="CZ176" i="6"/>
  <c r="CZ167" i="6"/>
  <c r="CZ166" i="6"/>
  <c r="CZ162" i="6"/>
  <c r="CZ161" i="6"/>
  <c r="CZ157" i="6"/>
  <c r="CZ156" i="6"/>
  <c r="CZ148" i="6"/>
  <c r="CZ147" i="6"/>
  <c r="CZ172" i="6"/>
  <c r="CZ153" i="6"/>
  <c r="CZ143" i="6"/>
  <c r="CZ142" i="6"/>
  <c r="CZ152" i="6"/>
  <c r="CZ138" i="6"/>
  <c r="CZ137" i="6"/>
  <c r="AM32" i="6"/>
  <c r="AM34" i="6" s="1"/>
  <c r="AM20" i="6"/>
  <c r="AZ112" i="6"/>
  <c r="AZ109" i="6" s="1"/>
  <c r="AM27" i="6"/>
  <c r="AM29" i="6"/>
  <c r="BN48" i="6"/>
  <c r="BN55" i="6"/>
  <c r="BO46" i="6"/>
  <c r="BN57" i="6"/>
  <c r="I41" i="21" s="1"/>
  <c r="BO50" i="6"/>
  <c r="I38" i="21"/>
  <c r="AY89" i="6"/>
  <c r="AY86" i="6" s="1"/>
  <c r="CZ171" i="6"/>
  <c r="DA175" i="6"/>
  <c r="DA135" i="6"/>
  <c r="DA45" i="6"/>
  <c r="DA43" i="6"/>
  <c r="DA49" i="6"/>
  <c r="AZ89" i="6"/>
  <c r="AZ86" i="6" s="1"/>
  <c r="BI87" i="6"/>
  <c r="BI88" i="6" s="1"/>
  <c r="AX93" i="6"/>
  <c r="AX105" i="6" s="1"/>
  <c r="AX60" i="6" s="1"/>
  <c r="AX61" i="6" s="1"/>
  <c r="AY94" i="6"/>
  <c r="AY105" i="6" s="1"/>
  <c r="AY60" i="6" s="1"/>
  <c r="AY61" i="6" s="1"/>
  <c r="AZ95" i="6"/>
  <c r="BA96" i="6"/>
  <c r="H80" i="21" s="1"/>
  <c r="BB97" i="6"/>
  <c r="H81" i="21" s="1"/>
  <c r="BC98" i="6"/>
  <c r="BD99" i="6"/>
  <c r="BE100" i="6"/>
  <c r="BF101" i="6"/>
  <c r="BG102" i="6"/>
  <c r="BH103" i="6"/>
  <c r="BI104" i="6"/>
  <c r="AL23" i="6"/>
  <c r="AL25" i="6"/>
  <c r="BO54" i="6"/>
  <c r="BP44" i="6"/>
  <c r="AM173" i="6"/>
  <c r="AL168" i="6"/>
  <c r="BN58" i="6"/>
  <c r="BO51" i="6"/>
  <c r="DB6" i="6"/>
  <c r="DA6" i="30"/>
  <c r="AL38" i="6"/>
  <c r="AL3" i="6" s="1"/>
  <c r="AM31" i="6"/>
  <c r="AM36" i="6" s="1"/>
  <c r="AM37" i="6" s="1"/>
  <c r="BN56" i="6"/>
  <c r="I40" i="21" s="1"/>
  <c r="BO47" i="6"/>
  <c r="AY113" i="6"/>
  <c r="AZ108" i="6" s="1"/>
  <c r="AH21" i="70"/>
  <c r="AJ20" i="70"/>
  <c r="AR27" i="70"/>
  <c r="CY13" i="70"/>
  <c r="AJ19" i="70"/>
  <c r="AI157" i="71"/>
  <c r="AK156" i="71"/>
  <c r="P153" i="69"/>
  <c r="CZ145" i="71"/>
  <c r="H103" i="21"/>
  <c r="H32" i="21"/>
  <c r="DA30" i="2"/>
  <c r="BS162" i="23"/>
  <c r="BS165" i="23" s="1"/>
  <c r="BT164" i="23" s="1"/>
  <c r="BS172" i="23"/>
  <c r="BS174" i="23"/>
  <c r="BQ169" i="23"/>
  <c r="BQ167" i="23"/>
  <c r="BP176" i="23"/>
  <c r="BM26" i="70"/>
  <c r="AL23" i="2"/>
  <c r="AM19" i="2"/>
  <c r="AN17" i="6" s="1"/>
  <c r="AM21" i="2"/>
  <c r="AN19" i="6" s="1"/>
  <c r="AK11" i="2"/>
  <c r="AL9" i="6" s="1"/>
  <c r="AK13" i="2"/>
  <c r="AL11" i="6" s="1"/>
  <c r="CZ9" i="19"/>
  <c r="DA5" i="19"/>
  <c r="DA13" i="19" s="1"/>
  <c r="DA5" i="2"/>
  <c r="DB7" i="2"/>
  <c r="DB31" i="2" s="1"/>
  <c r="CY10" i="19"/>
  <c r="CY11" i="19"/>
  <c r="CY15" i="19" s="1"/>
  <c r="AI21" i="70"/>
  <c r="AY90" i="6" l="1"/>
  <c r="AZ85" i="6" s="1"/>
  <c r="AZ90" i="6" s="1"/>
  <c r="BA85" i="6" s="1"/>
  <c r="BN59" i="6"/>
  <c r="AZ113" i="6"/>
  <c r="BA108" i="6" s="1"/>
  <c r="DA176" i="6"/>
  <c r="DA177" i="6"/>
  <c r="DA162" i="6"/>
  <c r="DA161" i="6"/>
  <c r="DA157" i="6"/>
  <c r="DA156" i="6"/>
  <c r="DA172" i="6"/>
  <c r="DA167" i="6"/>
  <c r="DA153" i="6"/>
  <c r="DA143" i="6"/>
  <c r="DA142" i="6"/>
  <c r="DA152" i="6"/>
  <c r="DA148" i="6"/>
  <c r="DA138" i="6"/>
  <c r="DA137" i="6"/>
  <c r="DA166" i="6"/>
  <c r="DA147" i="6"/>
  <c r="AN27" i="6"/>
  <c r="AN29" i="6"/>
  <c r="BO58" i="6"/>
  <c r="BP51" i="6"/>
  <c r="DA171" i="6"/>
  <c r="BL110" i="6"/>
  <c r="BL111" i="6" s="1"/>
  <c r="BA116" i="6"/>
  <c r="BA128" i="6" s="1"/>
  <c r="BB117" i="6"/>
  <c r="H101" i="21" s="1"/>
  <c r="BC118" i="6"/>
  <c r="BD119" i="6"/>
  <c r="BE120" i="6"/>
  <c r="BF121" i="6"/>
  <c r="BG122" i="6"/>
  <c r="BH123" i="6"/>
  <c r="BI124" i="6"/>
  <c r="BJ125" i="6"/>
  <c r="BK126" i="6"/>
  <c r="BL127" i="6"/>
  <c r="BC28" i="6"/>
  <c r="BD35" i="6"/>
  <c r="DC6" i="6"/>
  <c r="DB6" i="30"/>
  <c r="BK87" i="6"/>
  <c r="BK88" i="6" s="1"/>
  <c r="AZ93" i="6"/>
  <c r="AZ105" i="6" s="1"/>
  <c r="AZ60" i="6" s="1"/>
  <c r="AZ61" i="6" s="1"/>
  <c r="BA94" i="6"/>
  <c r="BB95" i="6"/>
  <c r="H79" i="21" s="1"/>
  <c r="BC96" i="6"/>
  <c r="BD97" i="6"/>
  <c r="BE98" i="6"/>
  <c r="BF99" i="6"/>
  <c r="BG100" i="6"/>
  <c r="BH101" i="6"/>
  <c r="BI102" i="6"/>
  <c r="BJ103" i="6"/>
  <c r="BK104" i="6"/>
  <c r="AN173" i="6"/>
  <c r="AM168" i="6"/>
  <c r="BA112" i="6"/>
  <c r="BA109" i="6" s="1"/>
  <c r="BO56" i="6"/>
  <c r="BP47" i="6"/>
  <c r="BL87" i="6"/>
  <c r="BL88" i="6" s="1"/>
  <c r="BA93" i="6"/>
  <c r="BB94" i="6"/>
  <c r="BC95" i="6"/>
  <c r="BD96" i="6"/>
  <c r="BE97" i="6"/>
  <c r="BF98" i="6"/>
  <c r="BG99" i="6"/>
  <c r="BH100" i="6"/>
  <c r="BI101" i="6"/>
  <c r="BJ102" i="6"/>
  <c r="BK103" i="6"/>
  <c r="BL104" i="6"/>
  <c r="BB24" i="6"/>
  <c r="DB175" i="6"/>
  <c r="DB135" i="6"/>
  <c r="DB45" i="6"/>
  <c r="DB43" i="6"/>
  <c r="DB49" i="6"/>
  <c r="BP54" i="6"/>
  <c r="BQ44" i="6"/>
  <c r="BO57" i="6"/>
  <c r="BP50" i="6"/>
  <c r="AN31" i="6"/>
  <c r="AN36" i="6" s="1"/>
  <c r="AN37" i="6" s="1"/>
  <c r="AM38" i="6"/>
  <c r="AL15" i="6"/>
  <c r="AL15" i="2"/>
  <c r="AM13" i="6" s="1"/>
  <c r="AL17" i="2"/>
  <c r="BO48" i="6"/>
  <c r="BO55" i="6"/>
  <c r="BP46" i="6"/>
  <c r="AM39" i="6"/>
  <c r="AM40" i="6" s="1"/>
  <c r="AM62" i="6" s="1"/>
  <c r="AN32" i="6"/>
  <c r="AN34" i="6" s="1"/>
  <c r="AN20" i="6"/>
  <c r="AM23" i="6"/>
  <c r="AM25" i="6"/>
  <c r="AS27" i="70"/>
  <c r="AK19" i="70"/>
  <c r="AK20" i="70"/>
  <c r="CZ13" i="70"/>
  <c r="AL142" i="69"/>
  <c r="AJ157" i="71"/>
  <c r="AL156" i="71"/>
  <c r="DA145" i="71"/>
  <c r="H28" i="21"/>
  <c r="DB30" i="2"/>
  <c r="BQ170" i="23"/>
  <c r="BR169" i="23" s="1"/>
  <c r="BT162" i="23"/>
  <c r="BT165" i="23" s="1"/>
  <c r="BS175" i="23"/>
  <c r="I42" i="21"/>
  <c r="I39" i="21"/>
  <c r="DB5" i="2"/>
  <c r="DC7" i="2"/>
  <c r="DC31" i="2" s="1"/>
  <c r="AL11" i="2"/>
  <c r="AM9" i="6" s="1"/>
  <c r="AL13" i="2"/>
  <c r="AM11" i="6" s="1"/>
  <c r="CZ11" i="19"/>
  <c r="CZ15" i="19" s="1"/>
  <c r="CZ10" i="19"/>
  <c r="AN19" i="2"/>
  <c r="AO17" i="6" s="1"/>
  <c r="AM23" i="2"/>
  <c r="AL19" i="70" s="1"/>
  <c r="AL20" i="70"/>
  <c r="AN21" i="2"/>
  <c r="AO19" i="6" s="1"/>
  <c r="DB5" i="19"/>
  <c r="DB13" i="19" s="1"/>
  <c r="DA9" i="19"/>
  <c r="DB171" i="6" l="1"/>
  <c r="H78" i="21"/>
  <c r="BA105" i="6"/>
  <c r="BA60" i="6" s="1"/>
  <c r="BA61" i="6" s="1"/>
  <c r="BO59" i="6"/>
  <c r="BP57" i="6"/>
  <c r="BQ50" i="6"/>
  <c r="BA89" i="6"/>
  <c r="BD28" i="6"/>
  <c r="BD24" i="6" s="1"/>
  <c r="BE35" i="6"/>
  <c r="BB112" i="6"/>
  <c r="BB109" i="6" s="1"/>
  <c r="BQ54" i="6"/>
  <c r="BR44" i="6"/>
  <c r="BP56" i="6"/>
  <c r="BQ47" i="6"/>
  <c r="BC24" i="6"/>
  <c r="DD6" i="6"/>
  <c r="DC6" i="30"/>
  <c r="AO173" i="6"/>
  <c r="AN168" i="6"/>
  <c r="AM15" i="6"/>
  <c r="AM15" i="2"/>
  <c r="AN13" i="6" s="1"/>
  <c r="AM17" i="2"/>
  <c r="BM110" i="6"/>
  <c r="BM111" i="6" s="1"/>
  <c r="BB116" i="6"/>
  <c r="BB128" i="6" s="1"/>
  <c r="BC117" i="6"/>
  <c r="BD118" i="6"/>
  <c r="BE119" i="6"/>
  <c r="BF120" i="6"/>
  <c r="BG121" i="6"/>
  <c r="BH122" i="6"/>
  <c r="BI123" i="6"/>
  <c r="BJ124" i="6"/>
  <c r="BK125" i="6"/>
  <c r="BL126" i="6"/>
  <c r="BM127" i="6"/>
  <c r="BP58" i="6"/>
  <c r="BQ51" i="6"/>
  <c r="BA113" i="6"/>
  <c r="BB108" i="6" s="1"/>
  <c r="AM3" i="6"/>
  <c r="AO31" i="6"/>
  <c r="AO36" i="6" s="1"/>
  <c r="AO37" i="6" s="1"/>
  <c r="AN38" i="6"/>
  <c r="AN3" i="6" s="1"/>
  <c r="DB176" i="6"/>
  <c r="DB177" i="6"/>
  <c r="DB162" i="6"/>
  <c r="DB161" i="6"/>
  <c r="DB157" i="6"/>
  <c r="DB156" i="6"/>
  <c r="DB153" i="6"/>
  <c r="DB152" i="6"/>
  <c r="DB172" i="6"/>
  <c r="DB167" i="6"/>
  <c r="DB166" i="6"/>
  <c r="DB143" i="6"/>
  <c r="DB142" i="6"/>
  <c r="DB148" i="6"/>
  <c r="DB138" i="6"/>
  <c r="DB137" i="6"/>
  <c r="DB147" i="6"/>
  <c r="DC175" i="6"/>
  <c r="DC135" i="6"/>
  <c r="DC45" i="6"/>
  <c r="DC43" i="6"/>
  <c r="DC49" i="6"/>
  <c r="AO27" i="6"/>
  <c r="AO29" i="6"/>
  <c r="AO20" i="6"/>
  <c r="AO32" i="6"/>
  <c r="AO34" i="6" s="1"/>
  <c r="H24" i="21"/>
  <c r="AN23" i="6"/>
  <c r="AN25" i="6"/>
  <c r="BP48" i="6"/>
  <c r="BP55" i="6"/>
  <c r="BQ46" i="6"/>
  <c r="AN39" i="6"/>
  <c r="AN40" i="6" s="1"/>
  <c r="AN62" i="6" s="1"/>
  <c r="AJ21" i="70"/>
  <c r="DA13" i="70"/>
  <c r="BN26" i="70"/>
  <c r="AT27" i="70"/>
  <c r="I43" i="21"/>
  <c r="P154" i="69"/>
  <c r="AM156" i="71"/>
  <c r="DB145" i="71"/>
  <c r="AK157" i="71"/>
  <c r="DC30" i="2"/>
  <c r="BQ176" i="23"/>
  <c r="BR167" i="23"/>
  <c r="BR170" i="23" s="1"/>
  <c r="BS169" i="23" s="1"/>
  <c r="BT172" i="23"/>
  <c r="BT174" i="23"/>
  <c r="DA10" i="19"/>
  <c r="DA11" i="19"/>
  <c r="DA15" i="19" s="1"/>
  <c r="DD7" i="2"/>
  <c r="DD31" i="2" s="1"/>
  <c r="DC5" i="2"/>
  <c r="DC5" i="19"/>
  <c r="DC13" i="19" s="1"/>
  <c r="DB9" i="19"/>
  <c r="AN23" i="2"/>
  <c r="AM19" i="70" s="1"/>
  <c r="AO19" i="2"/>
  <c r="AP17" i="6" s="1"/>
  <c r="AM20" i="70"/>
  <c r="AO21" i="2"/>
  <c r="AP19" i="6" s="1"/>
  <c r="AM11" i="2"/>
  <c r="AN9" i="6" s="1"/>
  <c r="AM13" i="2"/>
  <c r="AN11" i="6" s="1"/>
  <c r="BB113" i="6" l="1"/>
  <c r="BC108" i="6" s="1"/>
  <c r="BP59" i="6"/>
  <c r="AO39" i="6"/>
  <c r="AO40" i="6" s="1"/>
  <c r="AO62" i="6" s="1"/>
  <c r="H96" i="21"/>
  <c r="DD175" i="6"/>
  <c r="DD135" i="6"/>
  <c r="DD45" i="6"/>
  <c r="DD43" i="6"/>
  <c r="DD49" i="6"/>
  <c r="BC112" i="6"/>
  <c r="BC109" i="6" s="1"/>
  <c r="DC176" i="6"/>
  <c r="DC177" i="6"/>
  <c r="DC157" i="6"/>
  <c r="DC156" i="6"/>
  <c r="DC172" i="6"/>
  <c r="DC167" i="6"/>
  <c r="DC153" i="6"/>
  <c r="DC143" i="6"/>
  <c r="DC142" i="6"/>
  <c r="DC161" i="6"/>
  <c r="DC148" i="6"/>
  <c r="DC138" i="6"/>
  <c r="DC137" i="6"/>
  <c r="DC152" i="6"/>
  <c r="DC162" i="6"/>
  <c r="DC147" i="6"/>
  <c r="DC166" i="6"/>
  <c r="AO23" i="6"/>
  <c r="AO25" i="6"/>
  <c r="BC89" i="6"/>
  <c r="BC86" i="6" s="1"/>
  <c r="BQ58" i="6"/>
  <c r="BR51" i="6"/>
  <c r="BB89" i="6"/>
  <c r="BB86" i="6" s="1"/>
  <c r="BA86" i="6"/>
  <c r="BA90" i="6"/>
  <c r="BB85" i="6" s="1"/>
  <c r="AP173" i="6"/>
  <c r="AO168" i="6"/>
  <c r="AN15" i="6"/>
  <c r="AN15" i="2"/>
  <c r="AO13" i="6" s="1"/>
  <c r="AN17" i="2"/>
  <c r="BQ56" i="6"/>
  <c r="BR47" i="6"/>
  <c r="BQ57" i="6"/>
  <c r="BR50" i="6"/>
  <c r="BR54" i="6"/>
  <c r="BS44" i="6"/>
  <c r="AP32" i="6"/>
  <c r="AP34" i="6" s="1"/>
  <c r="AP20" i="6"/>
  <c r="DE6" i="6"/>
  <c r="DD6" i="30"/>
  <c r="AP27" i="6"/>
  <c r="AP29" i="6"/>
  <c r="BQ48" i="6"/>
  <c r="BQ55" i="6"/>
  <c r="BR46" i="6"/>
  <c r="DC171" i="6"/>
  <c r="BN110" i="6"/>
  <c r="BN111" i="6" s="1"/>
  <c r="BC116" i="6"/>
  <c r="BC128" i="6" s="1"/>
  <c r="BD117" i="6"/>
  <c r="BE118" i="6"/>
  <c r="BF119" i="6"/>
  <c r="BG120" i="6"/>
  <c r="BH121" i="6"/>
  <c r="BI122" i="6"/>
  <c r="BJ123" i="6"/>
  <c r="BK124" i="6"/>
  <c r="BL125" i="6"/>
  <c r="BM126" i="6"/>
  <c r="BN127" i="6"/>
  <c r="I111" i="21" s="1"/>
  <c r="AO38" i="6"/>
  <c r="AP31" i="6"/>
  <c r="AP36" i="6" s="1"/>
  <c r="AP37" i="6" s="1"/>
  <c r="BE28" i="6"/>
  <c r="BF35" i="6"/>
  <c r="AU27" i="70"/>
  <c r="BO26" i="70"/>
  <c r="DB13" i="70"/>
  <c r="AK21" i="70"/>
  <c r="AN156" i="71"/>
  <c r="Q153" i="69"/>
  <c r="AL157" i="71"/>
  <c r="DC145" i="71"/>
  <c r="H93" i="21"/>
  <c r="H97" i="21"/>
  <c r="DD30" i="2"/>
  <c r="BS167" i="23"/>
  <c r="BS170" i="23" s="1"/>
  <c r="BR176" i="23"/>
  <c r="BT175" i="23"/>
  <c r="AO23" i="2"/>
  <c r="AN19" i="70" s="1"/>
  <c r="AP19" i="2"/>
  <c r="AQ17" i="6" s="1"/>
  <c r="AN20" i="70"/>
  <c r="AP21" i="2"/>
  <c r="AQ19" i="6" s="1"/>
  <c r="DD5" i="2"/>
  <c r="DE7" i="2"/>
  <c r="DE31" i="2" s="1"/>
  <c r="DB11" i="19"/>
  <c r="DB15" i="19" s="1"/>
  <c r="DB10" i="19"/>
  <c r="AN11" i="2"/>
  <c r="AO9" i="6" s="1"/>
  <c r="AN13" i="2"/>
  <c r="AO11" i="6" s="1"/>
  <c r="DD5" i="19"/>
  <c r="DD13" i="19" s="1"/>
  <c r="DC9" i="19"/>
  <c r="H73" i="21" l="1"/>
  <c r="BB90" i="6"/>
  <c r="DD171" i="6"/>
  <c r="BC113" i="6"/>
  <c r="BD108" i="6" s="1"/>
  <c r="BQ59" i="6"/>
  <c r="BD112" i="6"/>
  <c r="BD109" i="6" s="1"/>
  <c r="AP23" i="6"/>
  <c r="AP25" i="6"/>
  <c r="AQ32" i="6"/>
  <c r="AQ34" i="6" s="1"/>
  <c r="AQ20" i="6"/>
  <c r="BR48" i="6"/>
  <c r="BR55" i="6"/>
  <c r="BS46" i="6"/>
  <c r="BS54" i="6"/>
  <c r="BT44" i="6"/>
  <c r="DD176" i="6"/>
  <c r="DD177" i="6"/>
  <c r="DD157" i="6"/>
  <c r="DD156" i="6"/>
  <c r="DD153" i="6"/>
  <c r="DD152" i="6"/>
  <c r="DD148" i="6"/>
  <c r="DD147" i="6"/>
  <c r="DD167" i="6"/>
  <c r="DD166" i="6"/>
  <c r="DD162" i="6"/>
  <c r="DD161" i="6"/>
  <c r="DD143" i="6"/>
  <c r="DD142" i="6"/>
  <c r="DD138" i="6"/>
  <c r="DD137" i="6"/>
  <c r="DD172" i="6"/>
  <c r="AP38" i="6"/>
  <c r="AP3" i="6" s="1"/>
  <c r="AQ31" i="6"/>
  <c r="AQ36" i="6" s="1"/>
  <c r="AQ27" i="6"/>
  <c r="H27" i="21" s="1"/>
  <c r="H29" i="21" s="1"/>
  <c r="AQ29" i="6"/>
  <c r="BM87" i="6"/>
  <c r="BM88" i="6" s="1"/>
  <c r="BB93" i="6"/>
  <c r="BB105" i="6" s="1"/>
  <c r="BB60" i="6" s="1"/>
  <c r="BB61" i="6" s="1"/>
  <c r="BC94" i="6"/>
  <c r="BD95" i="6"/>
  <c r="BE96" i="6"/>
  <c r="BF97" i="6"/>
  <c r="BG98" i="6"/>
  <c r="BH99" i="6"/>
  <c r="BI100" i="6"/>
  <c r="BJ101" i="6"/>
  <c r="BK102" i="6"/>
  <c r="BL103" i="6"/>
  <c r="BM104" i="6"/>
  <c r="AO3" i="6"/>
  <c r="AP39" i="6"/>
  <c r="AP40" i="6" s="1"/>
  <c r="AP62" i="6" s="1"/>
  <c r="BR57" i="6"/>
  <c r="BS50" i="6"/>
  <c r="BN87" i="6"/>
  <c r="BN88" i="6" s="1"/>
  <c r="BC93" i="6"/>
  <c r="BD94" i="6"/>
  <c r="BE95" i="6"/>
  <c r="BF96" i="6"/>
  <c r="BG97" i="6"/>
  <c r="BH98" i="6"/>
  <c r="BI99" i="6"/>
  <c r="BJ100" i="6"/>
  <c r="BK101" i="6"/>
  <c r="BL102" i="6"/>
  <c r="BM103" i="6"/>
  <c r="BN104" i="6"/>
  <c r="DE175" i="6"/>
  <c r="DE135" i="6"/>
  <c r="DE171" i="6" s="1"/>
  <c r="DE49" i="6"/>
  <c r="DE45" i="6"/>
  <c r="DE43" i="6"/>
  <c r="BR58" i="6"/>
  <c r="BS51" i="6"/>
  <c r="BR56" i="6"/>
  <c r="BS47" i="6"/>
  <c r="BO110" i="6"/>
  <c r="BO111" i="6" s="1"/>
  <c r="BD116" i="6"/>
  <c r="BD128" i="6" s="1"/>
  <c r="BE117" i="6"/>
  <c r="BF118" i="6"/>
  <c r="BG119" i="6"/>
  <c r="BH120" i="6"/>
  <c r="BI121" i="6"/>
  <c r="BJ122" i="6"/>
  <c r="BK123" i="6"/>
  <c r="BL124" i="6"/>
  <c r="BM125" i="6"/>
  <c r="BN126" i="6"/>
  <c r="I110" i="21" s="1"/>
  <c r="BO127" i="6"/>
  <c r="DF6" i="6"/>
  <c r="DE6" i="30"/>
  <c r="BO87" i="6"/>
  <c r="BO88" i="6" s="1"/>
  <c r="BD93" i="6"/>
  <c r="BE94" i="6"/>
  <c r="BF95" i="6"/>
  <c r="BG96" i="6"/>
  <c r="BH97" i="6"/>
  <c r="BI98" i="6"/>
  <c r="BJ99" i="6"/>
  <c r="BK100" i="6"/>
  <c r="BL101" i="6"/>
  <c r="BM102" i="6"/>
  <c r="BN103" i="6"/>
  <c r="BO104" i="6"/>
  <c r="BF28" i="6"/>
  <c r="BG35" i="6"/>
  <c r="H70" i="21"/>
  <c r="BE24" i="6"/>
  <c r="AP168" i="6"/>
  <c r="AQ173" i="6"/>
  <c r="AO15" i="6"/>
  <c r="AO17" i="2"/>
  <c r="AO15" i="2"/>
  <c r="AP13" i="6" s="1"/>
  <c r="DC13" i="70"/>
  <c r="AL21" i="70"/>
  <c r="BP26" i="70"/>
  <c r="AV27" i="70"/>
  <c r="DD145" i="71"/>
  <c r="AO156" i="71"/>
  <c r="AM157" i="71"/>
  <c r="I92" i="21"/>
  <c r="H112" i="21"/>
  <c r="H100" i="21"/>
  <c r="I95" i="21"/>
  <c r="I94" i="21"/>
  <c r="DE30" i="2"/>
  <c r="BT167" i="23"/>
  <c r="BT169" i="23"/>
  <c r="E84" i="3" s="1"/>
  <c r="BS176" i="23"/>
  <c r="AQ19" i="2"/>
  <c r="AR17" i="6" s="1"/>
  <c r="AP23" i="2"/>
  <c r="AO19" i="70" s="1"/>
  <c r="AO20" i="70"/>
  <c r="AQ21" i="2"/>
  <c r="AR19" i="6" s="1"/>
  <c r="H18" i="20"/>
  <c r="H20" i="20" s="1"/>
  <c r="H22" i="20" s="1"/>
  <c r="H17" i="21"/>
  <c r="H19" i="21" s="1"/>
  <c r="DC11" i="19"/>
  <c r="DC15" i="19" s="1"/>
  <c r="DC10" i="19"/>
  <c r="DE5" i="19"/>
  <c r="DE13" i="19" s="1"/>
  <c r="DD9" i="19"/>
  <c r="AW27" i="70"/>
  <c r="AO11" i="2"/>
  <c r="AP9" i="6" s="1"/>
  <c r="AO13" i="2"/>
  <c r="AP11" i="6" s="1"/>
  <c r="DE5" i="2"/>
  <c r="DF7" i="2"/>
  <c r="DF31" i="2" s="1"/>
  <c r="I72" i="21" l="1"/>
  <c r="I88" i="21"/>
  <c r="BC105" i="6"/>
  <c r="BC60" i="6" s="1"/>
  <c r="BC61" i="6" s="1"/>
  <c r="BC85" i="6"/>
  <c r="H74" i="21"/>
  <c r="I87" i="21"/>
  <c r="BR59" i="6"/>
  <c r="AP15" i="6"/>
  <c r="AP15" i="2"/>
  <c r="AP17" i="2"/>
  <c r="DE176" i="6"/>
  <c r="DE177" i="6"/>
  <c r="DE153" i="6"/>
  <c r="DE152" i="6"/>
  <c r="DE172" i="6"/>
  <c r="DE167" i="6"/>
  <c r="DE166" i="6"/>
  <c r="DE143" i="6"/>
  <c r="DE142" i="6"/>
  <c r="DE161" i="6"/>
  <c r="DE138" i="6"/>
  <c r="DE137" i="6"/>
  <c r="DE148" i="6"/>
  <c r="DE162" i="6"/>
  <c r="DE157" i="6"/>
  <c r="DE156" i="6"/>
  <c r="DE147" i="6"/>
  <c r="AQ23" i="6"/>
  <c r="H23" i="21" s="1"/>
  <c r="H25" i="21" s="1"/>
  <c r="AQ25" i="6"/>
  <c r="BS56" i="6"/>
  <c r="BT47" i="6"/>
  <c r="BD89" i="6"/>
  <c r="BS57" i="6"/>
  <c r="BT50" i="6"/>
  <c r="BT54" i="6"/>
  <c r="BU44" i="6"/>
  <c r="AR32" i="6"/>
  <c r="AR34" i="6" s="1"/>
  <c r="AR20" i="6"/>
  <c r="I71" i="21"/>
  <c r="BS58" i="6"/>
  <c r="BT51" i="6"/>
  <c r="AR27" i="6"/>
  <c r="AR29" i="6"/>
  <c r="BP110" i="6"/>
  <c r="BP111" i="6" s="1"/>
  <c r="BE116" i="6"/>
  <c r="BE128" i="6" s="1"/>
  <c r="BF117" i="6"/>
  <c r="BG118" i="6"/>
  <c r="BH119" i="6"/>
  <c r="BI120" i="6"/>
  <c r="BJ121" i="6"/>
  <c r="BK122" i="6"/>
  <c r="BL123" i="6"/>
  <c r="BM124" i="6"/>
  <c r="BN125" i="6"/>
  <c r="I109" i="21" s="1"/>
  <c r="BO126" i="6"/>
  <c r="BP127" i="6"/>
  <c r="DG6" i="6"/>
  <c r="DF6" i="30"/>
  <c r="BG28" i="6"/>
  <c r="BG24" i="6" s="1"/>
  <c r="BH35" i="6"/>
  <c r="BS48" i="6"/>
  <c r="BS55" i="6"/>
  <c r="BT46" i="6"/>
  <c r="BD113" i="6"/>
  <c r="BE108" i="6" s="1"/>
  <c r="BE112" i="6"/>
  <c r="BE109" i="6" s="1"/>
  <c r="AQ38" i="6"/>
  <c r="AR31" i="6"/>
  <c r="AR36" i="6" s="1"/>
  <c r="AR39" i="6" s="1"/>
  <c r="AR40" i="6" s="1"/>
  <c r="AR62" i="6" s="1"/>
  <c r="BF24" i="6"/>
  <c r="BD105" i="6"/>
  <c r="BD60" i="6" s="1"/>
  <c r="BD61" i="6" s="1"/>
  <c r="AQ39" i="6"/>
  <c r="AQ40" i="6" s="1"/>
  <c r="AQ62" i="6" s="1"/>
  <c r="AQ168" i="6"/>
  <c r="AR173" i="6"/>
  <c r="H77" i="21"/>
  <c r="DF135" i="6"/>
  <c r="DF171" i="6" s="1"/>
  <c r="DF175" i="6"/>
  <c r="DF49" i="6"/>
  <c r="DF45" i="6"/>
  <c r="DF43" i="6"/>
  <c r="AQ37" i="6"/>
  <c r="DD13" i="70"/>
  <c r="AM21" i="70"/>
  <c r="BQ26" i="70"/>
  <c r="H151" i="68"/>
  <c r="AN157" i="71"/>
  <c r="DE145" i="71"/>
  <c r="AP156" i="71"/>
  <c r="Q154" i="69"/>
  <c r="H89" i="21"/>
  <c r="DF30" i="2"/>
  <c r="D102" i="23"/>
  <c r="F84" i="3"/>
  <c r="G84" i="3"/>
  <c r="BT170" i="23"/>
  <c r="BT176" i="23" s="1"/>
  <c r="G20" i="21"/>
  <c r="DG7" i="2"/>
  <c r="DG31" i="2" s="1"/>
  <c r="DF5" i="2"/>
  <c r="AP11" i="2"/>
  <c r="AQ9" i="6" s="1"/>
  <c r="AP13" i="2"/>
  <c r="AQ11" i="6" s="1"/>
  <c r="AN21" i="70"/>
  <c r="AQ23" i="2"/>
  <c r="AP20" i="70"/>
  <c r="AR19" i="2"/>
  <c r="AS17" i="6" s="1"/>
  <c r="AR21" i="2"/>
  <c r="AS19" i="6" s="1"/>
  <c r="DD11" i="19"/>
  <c r="DD10" i="19"/>
  <c r="DD15" i="19"/>
  <c r="DE9" i="19"/>
  <c r="DF5" i="19"/>
  <c r="DF13" i="19" s="1"/>
  <c r="AX27" i="70"/>
  <c r="BS59" i="6" l="1"/>
  <c r="BC90" i="6"/>
  <c r="BD85" i="6" s="1"/>
  <c r="BD90" i="6" s="1"/>
  <c r="BE85" i="6" s="1"/>
  <c r="I69" i="21"/>
  <c r="AQ3" i="6"/>
  <c r="BE113" i="6"/>
  <c r="BF108" i="6" s="1"/>
  <c r="DG175" i="6"/>
  <c r="DG135" i="6"/>
  <c r="DG49" i="6"/>
  <c r="DG45" i="6"/>
  <c r="DG43" i="6"/>
  <c r="BU54" i="6"/>
  <c r="BV44" i="6"/>
  <c r="BT57" i="6"/>
  <c r="BU50" i="6"/>
  <c r="BQ110" i="6"/>
  <c r="BQ111" i="6" s="1"/>
  <c r="BF116" i="6"/>
  <c r="BF128" i="6" s="1"/>
  <c r="BG117" i="6"/>
  <c r="BH118" i="6"/>
  <c r="BI119" i="6"/>
  <c r="BJ120" i="6"/>
  <c r="BK121" i="6"/>
  <c r="BL122" i="6"/>
  <c r="BM123" i="6"/>
  <c r="BN124" i="6"/>
  <c r="BO125" i="6"/>
  <c r="BP126" i="6"/>
  <c r="BQ127" i="6"/>
  <c r="AS27" i="6"/>
  <c r="AS29" i="6"/>
  <c r="BD86" i="6"/>
  <c r="BT48" i="6"/>
  <c r="BT55" i="6"/>
  <c r="BU46" i="6"/>
  <c r="BT58" i="6"/>
  <c r="BU51" i="6"/>
  <c r="AQ15" i="6"/>
  <c r="AQ15" i="2"/>
  <c r="AR13" i="6" s="1"/>
  <c r="AQ17" i="2"/>
  <c r="BT56" i="6"/>
  <c r="BU47" i="6"/>
  <c r="AQ13" i="6"/>
  <c r="H13" i="21" s="1"/>
  <c r="H15" i="21" s="1"/>
  <c r="H14" i="20"/>
  <c r="H16" i="20" s="1"/>
  <c r="DF177" i="6"/>
  <c r="DF176" i="6"/>
  <c r="DF153" i="6"/>
  <c r="DF152" i="6"/>
  <c r="DF148" i="6"/>
  <c r="DF147" i="6"/>
  <c r="DF172" i="6"/>
  <c r="DF162" i="6"/>
  <c r="DF161" i="6"/>
  <c r="DF157" i="6"/>
  <c r="DF138" i="6"/>
  <c r="DF137" i="6"/>
  <c r="DF156" i="6"/>
  <c r="DF166" i="6"/>
  <c r="DF142" i="6"/>
  <c r="DF143" i="6"/>
  <c r="DF167" i="6"/>
  <c r="BH28" i="6"/>
  <c r="BH24" i="6" s="1"/>
  <c r="BI35" i="6"/>
  <c r="DH6" i="6"/>
  <c r="DG6" i="30"/>
  <c r="BF89" i="6"/>
  <c r="BF86" i="6" s="1"/>
  <c r="AR168" i="6"/>
  <c r="AS173" i="6"/>
  <c r="BE89" i="6"/>
  <c r="BE86" i="6" s="1"/>
  <c r="BF112" i="6"/>
  <c r="BF109" i="6" s="1"/>
  <c r="AR23" i="6"/>
  <c r="AR25" i="6"/>
  <c r="AS32" i="6"/>
  <c r="AS34" i="6" s="1"/>
  <c r="AS20" i="6"/>
  <c r="AR38" i="6"/>
  <c r="AS31" i="6"/>
  <c r="AS36" i="6" s="1"/>
  <c r="AS39" i="6" s="1"/>
  <c r="AS40" i="6" s="1"/>
  <c r="AS62" i="6" s="1"/>
  <c r="AR37" i="6"/>
  <c r="DE13" i="70"/>
  <c r="AP19" i="70"/>
  <c r="BR26" i="70"/>
  <c r="AO157" i="71"/>
  <c r="R153" i="69"/>
  <c r="DF145" i="71"/>
  <c r="AN142" i="69" s="1"/>
  <c r="AQ156" i="71"/>
  <c r="H45" i="21"/>
  <c r="H44" i="21"/>
  <c r="E13" i="70"/>
  <c r="DG30" i="2"/>
  <c r="AS19" i="2"/>
  <c r="AT17" i="6" s="1"/>
  <c r="AR23" i="2"/>
  <c r="AQ20" i="70"/>
  <c r="AS21" i="2"/>
  <c r="AT19" i="6" s="1"/>
  <c r="G33" i="21"/>
  <c r="DE10" i="19"/>
  <c r="DE11" i="19"/>
  <c r="DE15" i="19" s="1"/>
  <c r="AQ11" i="2"/>
  <c r="AR9" i="6" s="1"/>
  <c r="AQ13" i="2"/>
  <c r="AR11" i="6" s="1"/>
  <c r="DG5" i="19"/>
  <c r="DG13" i="19" s="1"/>
  <c r="DF9" i="19"/>
  <c r="H10" i="20"/>
  <c r="H12" i="20" s="1"/>
  <c r="H9" i="21"/>
  <c r="H11" i="21" s="1"/>
  <c r="DH7" i="2"/>
  <c r="DH31" i="2" s="1"/>
  <c r="DG5" i="2"/>
  <c r="AS37" i="6" l="1"/>
  <c r="BE90" i="6"/>
  <c r="BF85" i="6" s="1"/>
  <c r="BF90" i="6" s="1"/>
  <c r="BG85" i="6" s="1"/>
  <c r="BF113" i="6"/>
  <c r="BG108" i="6" s="1"/>
  <c r="BT59" i="6"/>
  <c r="BU58" i="6"/>
  <c r="BV51" i="6"/>
  <c r="AT173" i="6"/>
  <c r="AS168" i="6"/>
  <c r="BR87" i="6"/>
  <c r="BR88" i="6" s="1"/>
  <c r="BG93" i="6"/>
  <c r="BH94" i="6"/>
  <c r="BI95" i="6"/>
  <c r="BJ96" i="6"/>
  <c r="BK97" i="6"/>
  <c r="BL98" i="6"/>
  <c r="BM99" i="6"/>
  <c r="BN100" i="6"/>
  <c r="BO101" i="6"/>
  <c r="BP102" i="6"/>
  <c r="BQ103" i="6"/>
  <c r="BR104" i="6"/>
  <c r="BU55" i="6"/>
  <c r="BU48" i="6"/>
  <c r="BV46" i="6"/>
  <c r="DG177" i="6"/>
  <c r="DG176" i="6"/>
  <c r="DG148" i="6"/>
  <c r="DG147" i="6"/>
  <c r="DG172" i="6"/>
  <c r="DG167" i="6"/>
  <c r="DG166" i="6"/>
  <c r="DG138" i="6"/>
  <c r="DG137" i="6"/>
  <c r="DG161" i="6"/>
  <c r="DG152" i="6"/>
  <c r="DG162" i="6"/>
  <c r="DG157" i="6"/>
  <c r="DG156" i="6"/>
  <c r="DG143" i="6"/>
  <c r="DG142" i="6"/>
  <c r="DG153" i="6"/>
  <c r="DH175" i="6"/>
  <c r="DH135" i="6"/>
  <c r="DH49" i="6"/>
  <c r="DH45" i="6"/>
  <c r="DH43" i="6"/>
  <c r="BU57" i="6"/>
  <c r="BV50" i="6"/>
  <c r="BU56" i="6"/>
  <c r="BV47" i="6"/>
  <c r="BI28" i="6"/>
  <c r="BJ35" i="6"/>
  <c r="AT32" i="6"/>
  <c r="AT34" i="6" s="1"/>
  <c r="AT20" i="6"/>
  <c r="BV54" i="6"/>
  <c r="BW44" i="6"/>
  <c r="DI6" i="6"/>
  <c r="DH6" i="30"/>
  <c r="AR3" i="6"/>
  <c r="AR15" i="6"/>
  <c r="AR15" i="2"/>
  <c r="AS13" i="6" s="1"/>
  <c r="AR17" i="2"/>
  <c r="BP87" i="6"/>
  <c r="BP88" i="6" s="1"/>
  <c r="BE93" i="6"/>
  <c r="BE105" i="6" s="1"/>
  <c r="BE60" i="6" s="1"/>
  <c r="BE61" i="6" s="1"/>
  <c r="BF94" i="6"/>
  <c r="BG95" i="6"/>
  <c r="BH96" i="6"/>
  <c r="BI97" i="6"/>
  <c r="BJ98" i="6"/>
  <c r="BK99" i="6"/>
  <c r="BL100" i="6"/>
  <c r="BM101" i="6"/>
  <c r="BN102" i="6"/>
  <c r="I86" i="21" s="1"/>
  <c r="BO103" i="6"/>
  <c r="BP104" i="6"/>
  <c r="AS23" i="6"/>
  <c r="AS25" i="6"/>
  <c r="BR110" i="6"/>
  <c r="BR111" i="6" s="1"/>
  <c r="BG116" i="6"/>
  <c r="BG128" i="6" s="1"/>
  <c r="BH117" i="6"/>
  <c r="BI118" i="6"/>
  <c r="BJ119" i="6"/>
  <c r="BK120" i="6"/>
  <c r="BL121" i="6"/>
  <c r="BM122" i="6"/>
  <c r="BN123" i="6"/>
  <c r="BO124" i="6"/>
  <c r="BP125" i="6"/>
  <c r="BQ126" i="6"/>
  <c r="BR127" i="6"/>
  <c r="BQ87" i="6"/>
  <c r="BQ88" i="6" s="1"/>
  <c r="BF93" i="6"/>
  <c r="BG94" i="6"/>
  <c r="BH95" i="6"/>
  <c r="BI96" i="6"/>
  <c r="BJ97" i="6"/>
  <c r="BK98" i="6"/>
  <c r="BL99" i="6"/>
  <c r="BM100" i="6"/>
  <c r="BN101" i="6"/>
  <c r="BO102" i="6"/>
  <c r="BP103" i="6"/>
  <c r="BQ104" i="6"/>
  <c r="AT27" i="6"/>
  <c r="AT29" i="6"/>
  <c r="DG171" i="6"/>
  <c r="BG89" i="6"/>
  <c r="BG86" i="6" s="1"/>
  <c r="BG112" i="6"/>
  <c r="BG109" i="6" s="1"/>
  <c r="AS38" i="6"/>
  <c r="AS3" i="6" s="1"/>
  <c r="AT31" i="6"/>
  <c r="AT36" i="6" s="1"/>
  <c r="AT39" i="6" s="1"/>
  <c r="AT40" i="6" s="1"/>
  <c r="AT62" i="6" s="1"/>
  <c r="DF13" i="70"/>
  <c r="I13" i="70"/>
  <c r="H13" i="70"/>
  <c r="AY27" i="70"/>
  <c r="AQ19" i="70"/>
  <c r="G13" i="70"/>
  <c r="BS26" i="70"/>
  <c r="AR156" i="71"/>
  <c r="DG145" i="71"/>
  <c r="G145" i="71"/>
  <c r="E145" i="71"/>
  <c r="I145" i="71"/>
  <c r="G142" i="69" s="1"/>
  <c r="H152" i="68"/>
  <c r="I108" i="21"/>
  <c r="DH30" i="2"/>
  <c r="DG13" i="70" s="1"/>
  <c r="H30" i="20"/>
  <c r="F30" i="20"/>
  <c r="L30" i="20"/>
  <c r="K30" i="20"/>
  <c r="I30" i="20"/>
  <c r="G30" i="20"/>
  <c r="J30" i="20"/>
  <c r="D30" i="20"/>
  <c r="BT26" i="70"/>
  <c r="DF10" i="19"/>
  <c r="DF11" i="19"/>
  <c r="DF15" i="19" s="1"/>
  <c r="G34" i="21"/>
  <c r="DH5" i="19"/>
  <c r="DH13" i="19" s="1"/>
  <c r="DG9" i="19"/>
  <c r="AR11" i="2"/>
  <c r="AS9" i="6" s="1"/>
  <c r="AR13" i="2"/>
  <c r="AS11" i="6" s="1"/>
  <c r="G35" i="21"/>
  <c r="DI7" i="2"/>
  <c r="DI31" i="2" s="1"/>
  <c r="DH5" i="2"/>
  <c r="H31" i="21"/>
  <c r="AT19" i="2"/>
  <c r="AU17" i="6" s="1"/>
  <c r="AS23" i="2"/>
  <c r="AR19" i="70" s="1"/>
  <c r="AR20" i="70"/>
  <c r="AT21" i="2"/>
  <c r="AU19" i="6" s="1"/>
  <c r="I85" i="21" l="1"/>
  <c r="DH171" i="6"/>
  <c r="BU59" i="6"/>
  <c r="AT37" i="6"/>
  <c r="BF105" i="6"/>
  <c r="BF60" i="6" s="1"/>
  <c r="BF61" i="6" s="1"/>
  <c r="BS110" i="6"/>
  <c r="BS111" i="6" s="1"/>
  <c r="BH116" i="6"/>
  <c r="BH128" i="6" s="1"/>
  <c r="BI117" i="6"/>
  <c r="BJ118" i="6"/>
  <c r="BK119" i="6"/>
  <c r="BL120" i="6"/>
  <c r="BM121" i="6"/>
  <c r="BN122" i="6"/>
  <c r="I106" i="21" s="1"/>
  <c r="BO123" i="6"/>
  <c r="BP124" i="6"/>
  <c r="BQ125" i="6"/>
  <c r="BR126" i="6"/>
  <c r="BS127" i="6"/>
  <c r="BG90" i="6"/>
  <c r="BH85" i="6" s="1"/>
  <c r="AS15" i="6"/>
  <c r="AS15" i="2"/>
  <c r="AT13" i="6" s="1"/>
  <c r="AS17" i="2"/>
  <c r="AU173" i="6"/>
  <c r="AT168" i="6"/>
  <c r="BG113" i="6"/>
  <c r="BH108" i="6" s="1"/>
  <c r="BS87" i="6"/>
  <c r="BS88" i="6" s="1"/>
  <c r="BH93" i="6"/>
  <c r="BH105" i="6" s="1"/>
  <c r="BI94" i="6"/>
  <c r="BJ95" i="6"/>
  <c r="BK96" i="6"/>
  <c r="BL97" i="6"/>
  <c r="BM98" i="6"/>
  <c r="BN99" i="6"/>
  <c r="I83" i="21" s="1"/>
  <c r="BO100" i="6"/>
  <c r="BP101" i="6"/>
  <c r="BQ102" i="6"/>
  <c r="BR103" i="6"/>
  <c r="BS104" i="6"/>
  <c r="BV58" i="6"/>
  <c r="BW51" i="6"/>
  <c r="AU20" i="6"/>
  <c r="AU32" i="6"/>
  <c r="AU34" i="6" s="1"/>
  <c r="BJ28" i="6"/>
  <c r="BK35" i="6"/>
  <c r="AU27" i="6"/>
  <c r="AU29" i="6"/>
  <c r="DI175" i="6"/>
  <c r="DI135" i="6"/>
  <c r="DI49" i="6"/>
  <c r="DI43" i="6"/>
  <c r="DI45" i="6"/>
  <c r="BH112" i="6"/>
  <c r="BH109" i="6" s="1"/>
  <c r="DH177" i="6"/>
  <c r="DH176" i="6"/>
  <c r="DH148" i="6"/>
  <c r="DH147" i="6"/>
  <c r="DH172" i="6"/>
  <c r="DH167" i="6"/>
  <c r="DH166" i="6"/>
  <c r="DH157" i="6"/>
  <c r="DH156" i="6"/>
  <c r="DH161" i="6"/>
  <c r="DH152" i="6"/>
  <c r="DH162" i="6"/>
  <c r="DH153" i="6"/>
  <c r="DH143" i="6"/>
  <c r="DH137" i="6"/>
  <c r="DH138" i="6"/>
  <c r="DH142" i="6"/>
  <c r="BV55" i="6"/>
  <c r="BV48" i="6"/>
  <c r="BW46" i="6"/>
  <c r="BI24" i="6"/>
  <c r="DJ6" i="6"/>
  <c r="DI6" i="30"/>
  <c r="BV56" i="6"/>
  <c r="BW47" i="6"/>
  <c r="BG105" i="6"/>
  <c r="BG60" i="6" s="1"/>
  <c r="BG61" i="6" s="1"/>
  <c r="AT23" i="6"/>
  <c r="AT25" i="6"/>
  <c r="BW54" i="6"/>
  <c r="BX44" i="6"/>
  <c r="BV57" i="6"/>
  <c r="BW50" i="6"/>
  <c r="AU31" i="6"/>
  <c r="AU36" i="6" s="1"/>
  <c r="AT38" i="6"/>
  <c r="AO21" i="70"/>
  <c r="AZ27" i="70"/>
  <c r="DH145" i="71"/>
  <c r="AS156" i="71"/>
  <c r="AP157" i="71"/>
  <c r="E142" i="69"/>
  <c r="E140" i="68"/>
  <c r="I84" i="21"/>
  <c r="I107" i="21"/>
  <c r="DI30" i="2"/>
  <c r="BU26" i="70"/>
  <c r="G46" i="21"/>
  <c r="DH9" i="19"/>
  <c r="DI5" i="19"/>
  <c r="DI13" i="19" s="1"/>
  <c r="AU19" i="2"/>
  <c r="AV17" i="6" s="1"/>
  <c r="AT23" i="2"/>
  <c r="AU21" i="2"/>
  <c r="AV19" i="6" s="1"/>
  <c r="DI5" i="2"/>
  <c r="DJ7" i="2"/>
  <c r="DJ31" i="2" s="1"/>
  <c r="AS11" i="2"/>
  <c r="AT9" i="6" s="1"/>
  <c r="AS13" i="2"/>
  <c r="AT11" i="6" s="1"/>
  <c r="DG10" i="19"/>
  <c r="DG11" i="19"/>
  <c r="DG15" i="19" s="1"/>
  <c r="AT3" i="6" l="1"/>
  <c r="BV59" i="6"/>
  <c r="AU38" i="6"/>
  <c r="AV31" i="6"/>
  <c r="AV36" i="6" s="1"/>
  <c r="BW56" i="6"/>
  <c r="BX47" i="6"/>
  <c r="AU39" i="6"/>
  <c r="AU40" i="6" s="1"/>
  <c r="AU62" i="6" s="1"/>
  <c r="AV27" i="6"/>
  <c r="AV29" i="6"/>
  <c r="AT15" i="6"/>
  <c r="AT17" i="2"/>
  <c r="AT15" i="2"/>
  <c r="AU13" i="6" s="1"/>
  <c r="BW57" i="6"/>
  <c r="BX50" i="6"/>
  <c r="AV173" i="6"/>
  <c r="AU168" i="6"/>
  <c r="DJ175" i="6"/>
  <c r="DJ135" i="6"/>
  <c r="DJ49" i="6"/>
  <c r="DJ45" i="6"/>
  <c r="DJ43" i="6"/>
  <c r="AU37" i="6"/>
  <c r="BT110" i="6"/>
  <c r="BT111" i="6" s="1"/>
  <c r="BI116" i="6"/>
  <c r="BI128" i="6" s="1"/>
  <c r="BJ117" i="6"/>
  <c r="BK118" i="6"/>
  <c r="BL119" i="6"/>
  <c r="BM120" i="6"/>
  <c r="BN121" i="6"/>
  <c r="BO122" i="6"/>
  <c r="BP123" i="6"/>
  <c r="BQ124" i="6"/>
  <c r="BR125" i="6"/>
  <c r="BS126" i="6"/>
  <c r="BT127" i="6"/>
  <c r="BK28" i="6"/>
  <c r="BK24" i="6" s="1"/>
  <c r="BL35" i="6"/>
  <c r="BW58" i="6"/>
  <c r="BX51" i="6"/>
  <c r="AV32" i="6"/>
  <c r="AV34" i="6" s="1"/>
  <c r="AV20" i="6"/>
  <c r="BH89" i="6"/>
  <c r="BH86" i="6" s="1"/>
  <c r="BI112" i="6"/>
  <c r="BI109" i="6" s="1"/>
  <c r="BX54" i="6"/>
  <c r="BY44" i="6"/>
  <c r="AU23" i="6"/>
  <c r="AU25" i="6"/>
  <c r="BJ24" i="6"/>
  <c r="BW55" i="6"/>
  <c r="BW48" i="6"/>
  <c r="BX46" i="6"/>
  <c r="BH60" i="6"/>
  <c r="BH61" i="6" s="1"/>
  <c r="BH113" i="6"/>
  <c r="BI108" i="6" s="1"/>
  <c r="DK6" i="6"/>
  <c r="DJ6" i="30"/>
  <c r="DI177" i="6"/>
  <c r="DI176" i="6"/>
  <c r="DI172" i="6"/>
  <c r="DI167" i="6"/>
  <c r="DI166" i="6"/>
  <c r="DI162" i="6"/>
  <c r="DI161" i="6"/>
  <c r="DI152" i="6"/>
  <c r="DI148" i="6"/>
  <c r="DI157" i="6"/>
  <c r="DI156" i="6"/>
  <c r="DI147" i="6"/>
  <c r="DI143" i="6"/>
  <c r="DI142" i="6"/>
  <c r="DI138" i="6"/>
  <c r="DI137" i="6"/>
  <c r="DI153" i="6"/>
  <c r="DI171" i="6"/>
  <c r="AP21" i="70"/>
  <c r="AS19" i="70"/>
  <c r="DH13" i="70"/>
  <c r="AS20" i="70"/>
  <c r="BA27" i="70"/>
  <c r="AQ157" i="71"/>
  <c r="M29" i="20"/>
  <c r="DI145" i="71"/>
  <c r="AO142" i="69" s="1"/>
  <c r="S153" i="69"/>
  <c r="R154" i="69"/>
  <c r="AT156" i="71"/>
  <c r="DJ30" i="2"/>
  <c r="M30" i="20"/>
  <c r="BV26" i="70"/>
  <c r="M6" i="21"/>
  <c r="M6" i="32"/>
  <c r="DJ5" i="2"/>
  <c r="DK7" i="2"/>
  <c r="DK31" i="2" s="1"/>
  <c r="BB27" i="70"/>
  <c r="DJ5" i="19"/>
  <c r="DJ13" i="19" s="1"/>
  <c r="DI9" i="19"/>
  <c r="AV19" i="2"/>
  <c r="AW17" i="6" s="1"/>
  <c r="AU23" i="2"/>
  <c r="AV21" i="2"/>
  <c r="AW19" i="6" s="1"/>
  <c r="DH11" i="19"/>
  <c r="DH15" i="19" s="1"/>
  <c r="DH10" i="19"/>
  <c r="AT11" i="2"/>
  <c r="AU9" i="6" s="1"/>
  <c r="AT13" i="2"/>
  <c r="AU11" i="6" s="1"/>
  <c r="DJ171" i="6" l="1"/>
  <c r="BI113" i="6"/>
  <c r="BJ108" i="6" s="1"/>
  <c r="BH90" i="6"/>
  <c r="BI85" i="6" s="1"/>
  <c r="BW59" i="6"/>
  <c r="AW173" i="6"/>
  <c r="AV168" i="6"/>
  <c r="BI89" i="6"/>
  <c r="BI86" i="6" s="1"/>
  <c r="AW27" i="6"/>
  <c r="AW29" i="6"/>
  <c r="DK175" i="6"/>
  <c r="DK135" i="6"/>
  <c r="DK49" i="6"/>
  <c r="DK45" i="6"/>
  <c r="DK43" i="6"/>
  <c r="AV23" i="6"/>
  <c r="AV25" i="6"/>
  <c r="BX58" i="6"/>
  <c r="BY51" i="6"/>
  <c r="BY54" i="6"/>
  <c r="BZ44" i="6"/>
  <c r="DJ177" i="6"/>
  <c r="DJ176" i="6"/>
  <c r="DJ172" i="6"/>
  <c r="DJ167" i="6"/>
  <c r="DJ166" i="6"/>
  <c r="DJ162" i="6"/>
  <c r="DJ161" i="6"/>
  <c r="DJ153" i="6"/>
  <c r="DJ152" i="6"/>
  <c r="DJ148" i="6"/>
  <c r="DJ157" i="6"/>
  <c r="DJ156" i="6"/>
  <c r="DJ147" i="6"/>
  <c r="DJ143" i="6"/>
  <c r="DJ142" i="6"/>
  <c r="DJ137" i="6"/>
  <c r="DJ138" i="6"/>
  <c r="BX56" i="6"/>
  <c r="BY47" i="6"/>
  <c r="AW20" i="6"/>
  <c r="AW32" i="6"/>
  <c r="AW34" i="6" s="1"/>
  <c r="BL28" i="6"/>
  <c r="BM35" i="6"/>
  <c r="BJ89" i="6"/>
  <c r="BJ86" i="6" s="1"/>
  <c r="AV38" i="6"/>
  <c r="AW31" i="6"/>
  <c r="AW36" i="6" s="1"/>
  <c r="AW39" i="6" s="1"/>
  <c r="AW40" i="6" s="1"/>
  <c r="AW62" i="6" s="1"/>
  <c r="BU110" i="6"/>
  <c r="BU111" i="6" s="1"/>
  <c r="BJ116" i="6"/>
  <c r="BJ128" i="6" s="1"/>
  <c r="BK117" i="6"/>
  <c r="BL118" i="6"/>
  <c r="BM119" i="6"/>
  <c r="BN120" i="6"/>
  <c r="BO121" i="6"/>
  <c r="BP122" i="6"/>
  <c r="BQ123" i="6"/>
  <c r="BR124" i="6"/>
  <c r="BS125" i="6"/>
  <c r="BT126" i="6"/>
  <c r="BU127" i="6"/>
  <c r="BJ112" i="6"/>
  <c r="BJ109" i="6" s="1"/>
  <c r="BX57" i="6"/>
  <c r="BY50" i="6"/>
  <c r="AV39" i="6"/>
  <c r="AV40" i="6" s="1"/>
  <c r="AV62" i="6" s="1"/>
  <c r="BT87" i="6"/>
  <c r="BT88" i="6" s="1"/>
  <c r="BI93" i="6"/>
  <c r="BI105" i="6" s="1"/>
  <c r="BI60" i="6" s="1"/>
  <c r="BI61" i="6" s="1"/>
  <c r="BJ94" i="6"/>
  <c r="BK95" i="6"/>
  <c r="BL96" i="6"/>
  <c r="BM97" i="6"/>
  <c r="BN98" i="6"/>
  <c r="BO99" i="6"/>
  <c r="BP100" i="6"/>
  <c r="BQ101" i="6"/>
  <c r="BR102" i="6"/>
  <c r="BS103" i="6"/>
  <c r="BT104" i="6"/>
  <c r="AU3" i="6"/>
  <c r="DL6" i="6"/>
  <c r="DK6" i="30"/>
  <c r="BX55" i="6"/>
  <c r="BX48" i="6"/>
  <c r="BY46" i="6"/>
  <c r="AV37" i="6"/>
  <c r="AU15" i="6"/>
  <c r="AU15" i="2"/>
  <c r="AV13" i="6" s="1"/>
  <c r="AU17" i="2"/>
  <c r="AT19" i="70"/>
  <c r="AQ21" i="70"/>
  <c r="AT20" i="70"/>
  <c r="DI13" i="70"/>
  <c r="AU156" i="71"/>
  <c r="DJ145" i="71"/>
  <c r="AR157" i="71"/>
  <c r="I105" i="21"/>
  <c r="DK30" i="2"/>
  <c r="BW26" i="70"/>
  <c r="DI10" i="19"/>
  <c r="DI11" i="19"/>
  <c r="DI15" i="19" s="1"/>
  <c r="DK5" i="19"/>
  <c r="DK13" i="19" s="1"/>
  <c r="DJ9" i="19"/>
  <c r="AU11" i="2"/>
  <c r="AV9" i="6" s="1"/>
  <c r="AU13" i="2"/>
  <c r="AV11" i="6" s="1"/>
  <c r="AV23" i="2"/>
  <c r="AU19" i="70" s="1"/>
  <c r="AW19" i="2"/>
  <c r="AX17" i="6" s="1"/>
  <c r="AW21" i="2"/>
  <c r="AX19" i="6" s="1"/>
  <c r="DL7" i="2"/>
  <c r="DL31" i="2" s="1"/>
  <c r="DK5" i="2"/>
  <c r="AW37" i="6" l="1"/>
  <c r="BX59" i="6"/>
  <c r="AV3" i="6"/>
  <c r="BI90" i="6"/>
  <c r="BJ85" i="6" s="1"/>
  <c r="BJ90" i="6" s="1"/>
  <c r="BK85" i="6" s="1"/>
  <c r="BY57" i="6"/>
  <c r="BZ50" i="6"/>
  <c r="BY55" i="6"/>
  <c r="BY48" i="6"/>
  <c r="BZ46" i="6"/>
  <c r="BV87" i="6"/>
  <c r="BV88" i="6" s="1"/>
  <c r="BK93" i="6"/>
  <c r="BL94" i="6"/>
  <c r="BM95" i="6"/>
  <c r="BN96" i="6"/>
  <c r="BO97" i="6"/>
  <c r="BP98" i="6"/>
  <c r="BQ99" i="6"/>
  <c r="BR100" i="6"/>
  <c r="BS101" i="6"/>
  <c r="BT102" i="6"/>
  <c r="BU103" i="6"/>
  <c r="BV104" i="6"/>
  <c r="AX20" i="6"/>
  <c r="AX32" i="6"/>
  <c r="AX34" i="6" s="1"/>
  <c r="DM6" i="6"/>
  <c r="DL6" i="30"/>
  <c r="BK112" i="6"/>
  <c r="BK109" i="6" s="1"/>
  <c r="BZ54" i="6"/>
  <c r="CA44" i="6"/>
  <c r="BL24" i="6"/>
  <c r="DL175" i="6"/>
  <c r="DL135" i="6"/>
  <c r="DL49" i="6"/>
  <c r="DL45" i="6"/>
  <c r="DL43" i="6"/>
  <c r="BV110" i="6"/>
  <c r="BV111" i="6" s="1"/>
  <c r="BK116" i="6"/>
  <c r="BK128" i="6" s="1"/>
  <c r="BL117" i="6"/>
  <c r="BM118" i="6"/>
  <c r="BN119" i="6"/>
  <c r="I103" i="21" s="1"/>
  <c r="BO120" i="6"/>
  <c r="BP121" i="6"/>
  <c r="BQ122" i="6"/>
  <c r="BR123" i="6"/>
  <c r="BS124" i="6"/>
  <c r="BT125" i="6"/>
  <c r="BU126" i="6"/>
  <c r="BV127" i="6"/>
  <c r="BJ113" i="6"/>
  <c r="BK108" i="6" s="1"/>
  <c r="DK177" i="6"/>
  <c r="DK176" i="6"/>
  <c r="DK167" i="6"/>
  <c r="DK166" i="6"/>
  <c r="DK162" i="6"/>
  <c r="DK161" i="6"/>
  <c r="DK157" i="6"/>
  <c r="DK148" i="6"/>
  <c r="DK152" i="6"/>
  <c r="DK156" i="6"/>
  <c r="DK147" i="6"/>
  <c r="DK143" i="6"/>
  <c r="DK142" i="6"/>
  <c r="DK153" i="6"/>
  <c r="DK138" i="6"/>
  <c r="DK137" i="6"/>
  <c r="DK172" i="6"/>
  <c r="BM28" i="6"/>
  <c r="BM24" i="6" s="1"/>
  <c r="BN35" i="6"/>
  <c r="BY58" i="6"/>
  <c r="BZ51" i="6"/>
  <c r="DK171" i="6"/>
  <c r="BY56" i="6"/>
  <c r="BZ47" i="6"/>
  <c r="AX27" i="6"/>
  <c r="AX29" i="6"/>
  <c r="AX173" i="6"/>
  <c r="AW168" i="6"/>
  <c r="AV15" i="6"/>
  <c r="AV15" i="2"/>
  <c r="AW13" i="6" s="1"/>
  <c r="AV17" i="2"/>
  <c r="AW38" i="6"/>
  <c r="AX31" i="6"/>
  <c r="AX36" i="6" s="1"/>
  <c r="AW23" i="6"/>
  <c r="AW25" i="6"/>
  <c r="BU87" i="6"/>
  <c r="BU88" i="6" s="1"/>
  <c r="BJ93" i="6"/>
  <c r="BJ105" i="6" s="1"/>
  <c r="BJ60" i="6" s="1"/>
  <c r="BJ61" i="6" s="1"/>
  <c r="BK94" i="6"/>
  <c r="BL95" i="6"/>
  <c r="BM96" i="6"/>
  <c r="BN97" i="6"/>
  <c r="I81" i="21" s="1"/>
  <c r="BO98" i="6"/>
  <c r="BP99" i="6"/>
  <c r="BQ100" i="6"/>
  <c r="BR101" i="6"/>
  <c r="BS102" i="6"/>
  <c r="BT103" i="6"/>
  <c r="BU104" i="6"/>
  <c r="DJ13" i="70"/>
  <c r="I104" i="21"/>
  <c r="AR21" i="70"/>
  <c r="BC27" i="70"/>
  <c r="AU20" i="70"/>
  <c r="AV156" i="71"/>
  <c r="T153" i="69" s="1"/>
  <c r="AS157" i="71"/>
  <c r="DK145" i="71"/>
  <c r="I82" i="21"/>
  <c r="DL30" i="2"/>
  <c r="BX26" i="70"/>
  <c r="AW23" i="2"/>
  <c r="AV19" i="70" s="1"/>
  <c r="AX19" i="2"/>
  <c r="AY17" i="6" s="1"/>
  <c r="AX21" i="2"/>
  <c r="AY19" i="6" s="1"/>
  <c r="BD27" i="70"/>
  <c r="DJ11" i="19"/>
  <c r="DJ15" i="19" s="1"/>
  <c r="DJ10" i="19"/>
  <c r="DL5" i="19"/>
  <c r="DL13" i="19" s="1"/>
  <c r="DK9" i="19"/>
  <c r="AV11" i="2"/>
  <c r="AW9" i="6" s="1"/>
  <c r="AV13" i="2"/>
  <c r="AW11" i="6" s="1"/>
  <c r="DL5" i="2"/>
  <c r="DM7" i="2"/>
  <c r="DM31" i="2" s="1"/>
  <c r="AW3" i="6" l="1"/>
  <c r="BK113" i="6"/>
  <c r="BL108" i="6" s="1"/>
  <c r="BY59" i="6"/>
  <c r="BZ42" i="6"/>
  <c r="BZ48" i="6"/>
  <c r="BZ55" i="6"/>
  <c r="J39" i="21" s="1"/>
  <c r="CA46" i="6"/>
  <c r="CA54" i="6"/>
  <c r="CB44" i="6"/>
  <c r="BN28" i="6"/>
  <c r="BN24" i="6" s="1"/>
  <c r="BO35" i="6"/>
  <c r="AX23" i="6"/>
  <c r="AX25" i="6"/>
  <c r="BL89" i="6"/>
  <c r="BL86" i="6" s="1"/>
  <c r="AY27" i="6"/>
  <c r="AY29" i="6"/>
  <c r="BL112" i="6"/>
  <c r="BL109" i="6" s="1"/>
  <c r="BZ57" i="6"/>
  <c r="J41" i="21" s="1"/>
  <c r="CA50" i="6"/>
  <c r="BW110" i="6"/>
  <c r="BW111" i="6" s="1"/>
  <c r="BL116" i="6"/>
  <c r="BL128" i="6" s="1"/>
  <c r="BM117" i="6"/>
  <c r="BN118" i="6"/>
  <c r="I102" i="21" s="1"/>
  <c r="BO119" i="6"/>
  <c r="BP120" i="6"/>
  <c r="BQ121" i="6"/>
  <c r="BR122" i="6"/>
  <c r="BS123" i="6"/>
  <c r="BT124" i="6"/>
  <c r="BU125" i="6"/>
  <c r="BV126" i="6"/>
  <c r="BW127" i="6"/>
  <c r="DL177" i="6"/>
  <c r="DL176" i="6"/>
  <c r="DL167" i="6"/>
  <c r="DL166" i="6"/>
  <c r="DL162" i="6"/>
  <c r="DL161" i="6"/>
  <c r="DL157" i="6"/>
  <c r="DL156" i="6"/>
  <c r="DL148" i="6"/>
  <c r="DL147" i="6"/>
  <c r="DL172" i="6"/>
  <c r="DL152" i="6"/>
  <c r="DL143" i="6"/>
  <c r="DL142" i="6"/>
  <c r="DL153" i="6"/>
  <c r="DL138" i="6"/>
  <c r="DL137" i="6"/>
  <c r="DM175" i="6"/>
  <c r="DM135" i="6"/>
  <c r="DM45" i="6"/>
  <c r="DM43" i="6"/>
  <c r="DM49" i="6"/>
  <c r="AX38" i="6"/>
  <c r="AY31" i="6"/>
  <c r="AY36" i="6" s="1"/>
  <c r="DL171" i="6"/>
  <c r="BK89" i="6"/>
  <c r="BK86" i="6" s="1"/>
  <c r="BZ56" i="6"/>
  <c r="J40" i="21" s="1"/>
  <c r="CA47" i="6"/>
  <c r="AX39" i="6"/>
  <c r="AX40" i="6" s="1"/>
  <c r="AX62" i="6" s="1"/>
  <c r="BZ58" i="6"/>
  <c r="CA51" i="6"/>
  <c r="AX37" i="6"/>
  <c r="AY20" i="6"/>
  <c r="AY32" i="6"/>
  <c r="AY34" i="6" s="1"/>
  <c r="DN6" i="6"/>
  <c r="DM6" i="30"/>
  <c r="AW15" i="6"/>
  <c r="AW15" i="2"/>
  <c r="AX13" i="6" s="1"/>
  <c r="AW17" i="2"/>
  <c r="AY173" i="6"/>
  <c r="AX168" i="6"/>
  <c r="BK105" i="6"/>
  <c r="BK60" i="6" s="1"/>
  <c r="BK61" i="6" s="1"/>
  <c r="J38" i="21"/>
  <c r="AS21" i="70"/>
  <c r="AV20" i="70"/>
  <c r="DK13" i="70"/>
  <c r="S154" i="69"/>
  <c r="AT157" i="71"/>
  <c r="AW156" i="71"/>
  <c r="DL145" i="71"/>
  <c r="AP142" i="69" s="1"/>
  <c r="I32" i="21"/>
  <c r="DM30" i="2"/>
  <c r="DL13" i="70" s="1"/>
  <c r="DK10" i="19"/>
  <c r="DK11" i="19"/>
  <c r="DK15" i="19" s="1"/>
  <c r="AY19" i="2"/>
  <c r="AZ17" i="6" s="1"/>
  <c r="AX23" i="2"/>
  <c r="AY21" i="2"/>
  <c r="AZ19" i="6" s="1"/>
  <c r="AW11" i="2"/>
  <c r="AX9" i="6" s="1"/>
  <c r="AW13" i="2"/>
  <c r="AX11" i="6" s="1"/>
  <c r="DM5" i="19"/>
  <c r="DM13" i="19" s="1"/>
  <c r="DL9" i="19"/>
  <c r="AT21" i="70"/>
  <c r="DM5" i="2"/>
  <c r="DN7" i="2"/>
  <c r="DN31" i="2" s="1"/>
  <c r="BL113" i="6" l="1"/>
  <c r="BM108" i="6" s="1"/>
  <c r="BZ59" i="6"/>
  <c r="BM89" i="6"/>
  <c r="BM86" i="6" s="1"/>
  <c r="CB54" i="6"/>
  <c r="CC44" i="6"/>
  <c r="BX110" i="6"/>
  <c r="BX111" i="6" s="1"/>
  <c r="BM116" i="6"/>
  <c r="BM128" i="6" s="1"/>
  <c r="BN117" i="6"/>
  <c r="I101" i="21" s="1"/>
  <c r="BO118" i="6"/>
  <c r="BP119" i="6"/>
  <c r="BQ120" i="6"/>
  <c r="BR121" i="6"/>
  <c r="BS122" i="6"/>
  <c r="BT123" i="6"/>
  <c r="BU124" i="6"/>
  <c r="BV125" i="6"/>
  <c r="BW126" i="6"/>
  <c r="BX127" i="6"/>
  <c r="AZ27" i="6"/>
  <c r="AZ29" i="6"/>
  <c r="CA48" i="6"/>
  <c r="CA55" i="6"/>
  <c r="CB46" i="6"/>
  <c r="CA56" i="6"/>
  <c r="CB47" i="6"/>
  <c r="BX87" i="6"/>
  <c r="BX88" i="6" s="1"/>
  <c r="BM93" i="6"/>
  <c r="BN94" i="6"/>
  <c r="BO95" i="6"/>
  <c r="BP96" i="6"/>
  <c r="BQ97" i="6"/>
  <c r="BR98" i="6"/>
  <c r="BS99" i="6"/>
  <c r="BT100" i="6"/>
  <c r="BU101" i="6"/>
  <c r="BV102" i="6"/>
  <c r="BW103" i="6"/>
  <c r="BX104" i="6"/>
  <c r="AY38" i="6"/>
  <c r="AZ31" i="6"/>
  <c r="AZ36" i="6" s="1"/>
  <c r="AZ37" i="6" s="1"/>
  <c r="AY37" i="6"/>
  <c r="AY23" i="6"/>
  <c r="AY25" i="6"/>
  <c r="CA58" i="6"/>
  <c r="CB51" i="6"/>
  <c r="DM176" i="6"/>
  <c r="DM177" i="6"/>
  <c r="DM162" i="6"/>
  <c r="DM161" i="6"/>
  <c r="DM157" i="6"/>
  <c r="DM156" i="6"/>
  <c r="DM147" i="6"/>
  <c r="DM143" i="6"/>
  <c r="DM142" i="6"/>
  <c r="DM153" i="6"/>
  <c r="DM138" i="6"/>
  <c r="DM137" i="6"/>
  <c r="DM166" i="6"/>
  <c r="DM167" i="6"/>
  <c r="DM152" i="6"/>
  <c r="DM148" i="6"/>
  <c r="DM172" i="6"/>
  <c r="AZ20" i="6"/>
  <c r="AZ32" i="6"/>
  <c r="AZ34" i="6" s="1"/>
  <c r="AX15" i="6"/>
  <c r="AX17" i="2"/>
  <c r="AX15" i="2"/>
  <c r="AY13" i="6" s="1"/>
  <c r="DO6" i="6"/>
  <c r="DN6" i="30"/>
  <c r="AZ173" i="6"/>
  <c r="AY168" i="6"/>
  <c r="BW87" i="6"/>
  <c r="BW88" i="6" s="1"/>
  <c r="BL93" i="6"/>
  <c r="BL105" i="6" s="1"/>
  <c r="BL60" i="6" s="1"/>
  <c r="BL61" i="6" s="1"/>
  <c r="BM94" i="6"/>
  <c r="BN95" i="6"/>
  <c r="I79" i="21" s="1"/>
  <c r="BO96" i="6"/>
  <c r="BP97" i="6"/>
  <c r="BQ98" i="6"/>
  <c r="BR99" i="6"/>
  <c r="BS100" i="6"/>
  <c r="BT101" i="6"/>
  <c r="BU102" i="6"/>
  <c r="BV103" i="6"/>
  <c r="BW104" i="6"/>
  <c r="CA57" i="6"/>
  <c r="CB50" i="6"/>
  <c r="BO28" i="6"/>
  <c r="BP35" i="6"/>
  <c r="AY39" i="6"/>
  <c r="AY40" i="6" s="1"/>
  <c r="AY62" i="6" s="1"/>
  <c r="DN175" i="6"/>
  <c r="DN135" i="6"/>
  <c r="DN45" i="6"/>
  <c r="DN43" i="6"/>
  <c r="DN49" i="6"/>
  <c r="AX3" i="6"/>
  <c r="DM171" i="6"/>
  <c r="BK90" i="6"/>
  <c r="BL85" i="6" s="1"/>
  <c r="BL90" i="6" s="1"/>
  <c r="BM85" i="6" s="1"/>
  <c r="BM90" i="6" s="1"/>
  <c r="BN85" i="6" s="1"/>
  <c r="BM112" i="6"/>
  <c r="BM109" i="6" s="1"/>
  <c r="BE27" i="70"/>
  <c r="AW20" i="70"/>
  <c r="BY26" i="70"/>
  <c r="AW19" i="70"/>
  <c r="AX156" i="71"/>
  <c r="AU157" i="71"/>
  <c r="DM145" i="71"/>
  <c r="I24" i="21"/>
  <c r="I28" i="21"/>
  <c r="I80" i="21"/>
  <c r="DN30" i="2"/>
  <c r="DM13" i="70" s="1"/>
  <c r="J42" i="21"/>
  <c r="AX11" i="2"/>
  <c r="AY9" i="6" s="1"/>
  <c r="AX13" i="2"/>
  <c r="AY11" i="6" s="1"/>
  <c r="DN5" i="2"/>
  <c r="DO7" i="2"/>
  <c r="DO31" i="2" s="1"/>
  <c r="DL11" i="19"/>
  <c r="DL15" i="19" s="1"/>
  <c r="DL10" i="19"/>
  <c r="AU21" i="70"/>
  <c r="DM9" i="19"/>
  <c r="DN5" i="19"/>
  <c r="DN13" i="19" s="1"/>
  <c r="AY23" i="2"/>
  <c r="AX19" i="70" s="1"/>
  <c r="AZ19" i="2"/>
  <c r="BA17" i="6" s="1"/>
  <c r="AX20" i="70"/>
  <c r="AZ21" i="2"/>
  <c r="BA19" i="6" s="1"/>
  <c r="AY3" i="6" l="1"/>
  <c r="DN171" i="6"/>
  <c r="CA59" i="6"/>
  <c r="CC54" i="6"/>
  <c r="CD44" i="6"/>
  <c r="BN112" i="6"/>
  <c r="BN109" i="6" s="1"/>
  <c r="AY15" i="6"/>
  <c r="AY17" i="2"/>
  <c r="AY15" i="2"/>
  <c r="AZ13" i="6" s="1"/>
  <c r="AZ23" i="6"/>
  <c r="AZ25" i="6"/>
  <c r="CB57" i="6"/>
  <c r="CC50" i="6"/>
  <c r="AZ38" i="6"/>
  <c r="BA31" i="6"/>
  <c r="BA36" i="6" s="1"/>
  <c r="BA39" i="6" s="1"/>
  <c r="BA40" i="6" s="1"/>
  <c r="BA62" i="6" s="1"/>
  <c r="BM113" i="6"/>
  <c r="BN108" i="6" s="1"/>
  <c r="BA173" i="6"/>
  <c r="AZ168" i="6"/>
  <c r="CB48" i="6"/>
  <c r="CB55" i="6"/>
  <c r="CC46" i="6"/>
  <c r="AZ39" i="6"/>
  <c r="AZ40" i="6" s="1"/>
  <c r="AZ62" i="6" s="1"/>
  <c r="BM105" i="6"/>
  <c r="BM60" i="6" s="1"/>
  <c r="BM61" i="6" s="1"/>
  <c r="BY87" i="6"/>
  <c r="BY88" i="6" s="1"/>
  <c r="BN93" i="6"/>
  <c r="BN105" i="6" s="1"/>
  <c r="BO94" i="6"/>
  <c r="BP95" i="6"/>
  <c r="BQ96" i="6"/>
  <c r="BR97" i="6"/>
  <c r="BS98" i="6"/>
  <c r="BT99" i="6"/>
  <c r="BU100" i="6"/>
  <c r="BV101" i="6"/>
  <c r="BW102" i="6"/>
  <c r="BX103" i="6"/>
  <c r="BY104" i="6"/>
  <c r="BA27" i="6"/>
  <c r="BA29" i="6"/>
  <c r="BO24" i="6"/>
  <c r="BA20" i="6"/>
  <c r="BA32" i="6"/>
  <c r="BA34" i="6" s="1"/>
  <c r="CB56" i="6"/>
  <c r="CC47" i="6"/>
  <c r="DP6" i="6"/>
  <c r="DO6" i="30"/>
  <c r="DN177" i="6"/>
  <c r="DN176" i="6"/>
  <c r="DN162" i="6"/>
  <c r="DN161" i="6"/>
  <c r="DN157" i="6"/>
  <c r="DN156" i="6"/>
  <c r="DN153" i="6"/>
  <c r="DN152" i="6"/>
  <c r="DN172" i="6"/>
  <c r="DN167" i="6"/>
  <c r="DN166" i="6"/>
  <c r="DN147" i="6"/>
  <c r="DN143" i="6"/>
  <c r="DN142" i="6"/>
  <c r="DN138" i="6"/>
  <c r="DN137" i="6"/>
  <c r="DN148" i="6"/>
  <c r="DO175" i="6"/>
  <c r="DO135" i="6"/>
  <c r="DO45" i="6"/>
  <c r="DO49" i="6"/>
  <c r="DO43" i="6"/>
  <c r="BP28" i="6"/>
  <c r="BQ35" i="6"/>
  <c r="BY110" i="6"/>
  <c r="BY111" i="6" s="1"/>
  <c r="BN116" i="6"/>
  <c r="BN128" i="6" s="1"/>
  <c r="BO117" i="6"/>
  <c r="BP118" i="6"/>
  <c r="BQ119" i="6"/>
  <c r="BR120" i="6"/>
  <c r="BS121" i="6"/>
  <c r="BT122" i="6"/>
  <c r="BU123" i="6"/>
  <c r="BV124" i="6"/>
  <c r="BW125" i="6"/>
  <c r="BX126" i="6"/>
  <c r="BY127" i="6"/>
  <c r="CB58" i="6"/>
  <c r="CC51" i="6"/>
  <c r="BZ26" i="70"/>
  <c r="BF27" i="70"/>
  <c r="J43" i="21"/>
  <c r="AY156" i="71"/>
  <c r="DN145" i="71"/>
  <c r="AV157" i="71"/>
  <c r="I78" i="21"/>
  <c r="DO30" i="2"/>
  <c r="DN13" i="70" s="1"/>
  <c r="DM10" i="19"/>
  <c r="DM11" i="19"/>
  <c r="DM15" i="19" s="1"/>
  <c r="AY11" i="2"/>
  <c r="AZ9" i="6" s="1"/>
  <c r="AY13" i="2"/>
  <c r="AZ11" i="6" s="1"/>
  <c r="DP7" i="2"/>
  <c r="DP31" i="2" s="1"/>
  <c r="DO5" i="2"/>
  <c r="DO5" i="19"/>
  <c r="DO13" i="19" s="1"/>
  <c r="DN9" i="19"/>
  <c r="AZ23" i="2"/>
  <c r="BA19" i="2"/>
  <c r="BB17" i="6" s="1"/>
  <c r="AY20" i="70"/>
  <c r="BA21" i="2"/>
  <c r="BB19" i="6" s="1"/>
  <c r="AV21" i="70"/>
  <c r="DO171" i="6" l="1"/>
  <c r="CB59" i="6"/>
  <c r="BA38" i="6"/>
  <c r="BB31" i="6"/>
  <c r="BB36" i="6" s="1"/>
  <c r="CC48" i="6"/>
  <c r="CC55" i="6"/>
  <c r="CD46" i="6"/>
  <c r="BZ110" i="6"/>
  <c r="BZ111" i="6" s="1"/>
  <c r="BO116" i="6"/>
  <c r="BO128" i="6" s="1"/>
  <c r="BP117" i="6"/>
  <c r="BQ118" i="6"/>
  <c r="BR119" i="6"/>
  <c r="BS120" i="6"/>
  <c r="BT121" i="6"/>
  <c r="BU122" i="6"/>
  <c r="BV123" i="6"/>
  <c r="BW124" i="6"/>
  <c r="BX125" i="6"/>
  <c r="BY126" i="6"/>
  <c r="BZ127" i="6"/>
  <c r="CC57" i="6"/>
  <c r="CD50" i="6"/>
  <c r="CD54" i="6"/>
  <c r="CE44" i="6"/>
  <c r="BQ28" i="6"/>
  <c r="BQ24" i="6" s="1"/>
  <c r="BR35" i="6"/>
  <c r="BO112" i="6"/>
  <c r="BO109" i="6" s="1"/>
  <c r="BB173" i="6"/>
  <c r="BA168" i="6"/>
  <c r="BB32" i="6"/>
  <c r="BB34" i="6" s="1"/>
  <c r="BB20" i="6"/>
  <c r="BA37" i="6"/>
  <c r="AZ3" i="6"/>
  <c r="BN89" i="6"/>
  <c r="I73" i="21" s="1"/>
  <c r="DP175" i="6"/>
  <c r="DP135" i="6"/>
  <c r="DP45" i="6"/>
  <c r="DP43" i="6"/>
  <c r="DP49" i="6"/>
  <c r="BB27" i="6"/>
  <c r="BB29" i="6"/>
  <c r="BA23" i="6"/>
  <c r="BA25" i="6"/>
  <c r="CC56" i="6"/>
  <c r="CD47" i="6"/>
  <c r="BN60" i="6"/>
  <c r="BN61" i="6" s="1"/>
  <c r="AZ15" i="6"/>
  <c r="AZ15" i="2"/>
  <c r="BA13" i="6" s="1"/>
  <c r="AZ17" i="2"/>
  <c r="BP24" i="6"/>
  <c r="DQ6" i="6"/>
  <c r="DP6" i="30"/>
  <c r="CC58" i="6"/>
  <c r="CD51" i="6"/>
  <c r="DO176" i="6"/>
  <c r="DO177" i="6"/>
  <c r="DO157" i="6"/>
  <c r="DO156" i="6"/>
  <c r="DO172" i="6"/>
  <c r="DO147" i="6"/>
  <c r="DO143" i="6"/>
  <c r="DO142" i="6"/>
  <c r="DO162" i="6"/>
  <c r="DO138" i="6"/>
  <c r="DO137" i="6"/>
  <c r="DO153" i="6"/>
  <c r="DO166" i="6"/>
  <c r="DO152" i="6"/>
  <c r="DO167" i="6"/>
  <c r="DO148" i="6"/>
  <c r="DO161" i="6"/>
  <c r="BN113" i="6"/>
  <c r="BO108" i="6" s="1"/>
  <c r="AY19" i="70"/>
  <c r="CA26" i="70"/>
  <c r="BG27" i="70"/>
  <c r="T154" i="69"/>
  <c r="DO145" i="71"/>
  <c r="AW157" i="71"/>
  <c r="AZ156" i="71"/>
  <c r="U153" i="69"/>
  <c r="I96" i="21"/>
  <c r="I93" i="21"/>
  <c r="DP30" i="2"/>
  <c r="DP5" i="19"/>
  <c r="DP13" i="19" s="1"/>
  <c r="DO9" i="19"/>
  <c r="DQ7" i="2"/>
  <c r="DQ31" i="2" s="1"/>
  <c r="DP5" i="2"/>
  <c r="AZ11" i="2"/>
  <c r="BA9" i="6" s="1"/>
  <c r="AZ13" i="2"/>
  <c r="BA11" i="6" s="1"/>
  <c r="BB19" i="2"/>
  <c r="BC17" i="6" s="1"/>
  <c r="BA23" i="2"/>
  <c r="AZ19" i="70" s="1"/>
  <c r="AZ20" i="70"/>
  <c r="BB21" i="2"/>
  <c r="BC19" i="6" s="1"/>
  <c r="BH27" i="70"/>
  <c r="DN11" i="19"/>
  <c r="DN15" i="19" s="1"/>
  <c r="DN10" i="19"/>
  <c r="BA3" i="6" l="1"/>
  <c r="BO113" i="6"/>
  <c r="BP108" i="6" s="1"/>
  <c r="CC59" i="6"/>
  <c r="BR28" i="6"/>
  <c r="BR24" i="6" s="1"/>
  <c r="BS35" i="6"/>
  <c r="BA15" i="6"/>
  <c r="BA15" i="2"/>
  <c r="BB13" i="6" s="1"/>
  <c r="BA17" i="2"/>
  <c r="BP89" i="6"/>
  <c r="BP86" i="6" s="1"/>
  <c r="BP112" i="6"/>
  <c r="BP109" i="6" s="1"/>
  <c r="BB38" i="6"/>
  <c r="BC31" i="6"/>
  <c r="BC36" i="6" s="1"/>
  <c r="BC37" i="6" s="1"/>
  <c r="CE54" i="6"/>
  <c r="CF44" i="6"/>
  <c r="CD56" i="6"/>
  <c r="CE47" i="6"/>
  <c r="BB168" i="6"/>
  <c r="BC173" i="6"/>
  <c r="BB39" i="6"/>
  <c r="BB40" i="6" s="1"/>
  <c r="BB62" i="6" s="1"/>
  <c r="DP176" i="6"/>
  <c r="DP177" i="6"/>
  <c r="DP157" i="6"/>
  <c r="DP156" i="6"/>
  <c r="DP153" i="6"/>
  <c r="DP152" i="6"/>
  <c r="DP148" i="6"/>
  <c r="DP147" i="6"/>
  <c r="DP167" i="6"/>
  <c r="DP166" i="6"/>
  <c r="DP162" i="6"/>
  <c r="DP161" i="6"/>
  <c r="DP143" i="6"/>
  <c r="DP142" i="6"/>
  <c r="DP138" i="6"/>
  <c r="DP137" i="6"/>
  <c r="DP172" i="6"/>
  <c r="CD57" i="6"/>
  <c r="CE50" i="6"/>
  <c r="DR6" i="6"/>
  <c r="DQ6" i="30"/>
  <c r="CD58" i="6"/>
  <c r="CE51" i="6"/>
  <c r="BB37" i="6"/>
  <c r="DP171" i="6"/>
  <c r="BB23" i="6"/>
  <c r="BB25" i="6"/>
  <c r="BN86" i="6"/>
  <c r="BN90" i="6"/>
  <c r="BO85" i="6" s="1"/>
  <c r="DQ175" i="6"/>
  <c r="DQ135" i="6"/>
  <c r="DQ49" i="6"/>
  <c r="DQ45" i="6"/>
  <c r="DQ43" i="6"/>
  <c r="BC27" i="6"/>
  <c r="I27" i="21" s="1"/>
  <c r="I29" i="21" s="1"/>
  <c r="BC29" i="6"/>
  <c r="BC32" i="6"/>
  <c r="BC34" i="6" s="1"/>
  <c r="BC20" i="6"/>
  <c r="BO89" i="6"/>
  <c r="BO86" i="6" s="1"/>
  <c r="CA110" i="6"/>
  <c r="CA111" i="6" s="1"/>
  <c r="BP116" i="6"/>
  <c r="BP128" i="6" s="1"/>
  <c r="BQ117" i="6"/>
  <c r="BR118" i="6"/>
  <c r="BS119" i="6"/>
  <c r="BT120" i="6"/>
  <c r="BU121" i="6"/>
  <c r="BV122" i="6"/>
  <c r="BW123" i="6"/>
  <c r="BX124" i="6"/>
  <c r="BY125" i="6"/>
  <c r="BZ126" i="6"/>
  <c r="J110" i="21" s="1"/>
  <c r="CA127" i="6"/>
  <c r="CD48" i="6"/>
  <c r="CD55" i="6"/>
  <c r="CE46" i="6"/>
  <c r="DO13" i="70"/>
  <c r="AW21" i="70"/>
  <c r="CB26" i="70"/>
  <c r="AX157" i="71"/>
  <c r="AQ142" i="69"/>
  <c r="BA156" i="71"/>
  <c r="DP145" i="71"/>
  <c r="J111" i="21"/>
  <c r="I77" i="21"/>
  <c r="I112" i="21"/>
  <c r="I100" i="21"/>
  <c r="J95" i="21"/>
  <c r="J94" i="21"/>
  <c r="I97" i="21"/>
  <c r="DQ30" i="2"/>
  <c r="DO10" i="19"/>
  <c r="DO11" i="19"/>
  <c r="DO15" i="19" s="1"/>
  <c r="BA11" i="2"/>
  <c r="BB9" i="6" s="1"/>
  <c r="BA13" i="2"/>
  <c r="BB11" i="6" s="1"/>
  <c r="DQ5" i="19"/>
  <c r="DQ13" i="19" s="1"/>
  <c r="DP9" i="19"/>
  <c r="BC19" i="2"/>
  <c r="BD17" i="6" s="1"/>
  <c r="BB23" i="2"/>
  <c r="BA19" i="70" s="1"/>
  <c r="BA20" i="70"/>
  <c r="BC21" i="2"/>
  <c r="BD19" i="6" s="1"/>
  <c r="DQ5" i="2"/>
  <c r="DR7" i="2"/>
  <c r="DR31" i="2" s="1"/>
  <c r="I18" i="20"/>
  <c r="I20" i="20" s="1"/>
  <c r="I22" i="20" s="1"/>
  <c r="I17" i="21"/>
  <c r="I19" i="21" s="1"/>
  <c r="I74" i="21" l="1"/>
  <c r="BP113" i="6"/>
  <c r="BQ108" i="6" s="1"/>
  <c r="BB3" i="6"/>
  <c r="CD59" i="6"/>
  <c r="BQ89" i="6"/>
  <c r="BQ86" i="6" s="1"/>
  <c r="CE48" i="6"/>
  <c r="CE55" i="6"/>
  <c r="CF46" i="6"/>
  <c r="CE56" i="6"/>
  <c r="CF47" i="6"/>
  <c r="CB87" i="6"/>
  <c r="CB88" i="6" s="1"/>
  <c r="BQ93" i="6"/>
  <c r="BR94" i="6"/>
  <c r="BS95" i="6"/>
  <c r="BT96" i="6"/>
  <c r="BU97" i="6"/>
  <c r="BV98" i="6"/>
  <c r="BW99" i="6"/>
  <c r="BX100" i="6"/>
  <c r="BY101" i="6"/>
  <c r="BZ102" i="6"/>
  <c r="CA103" i="6"/>
  <c r="CB104" i="6"/>
  <c r="CE57" i="6"/>
  <c r="CF50" i="6"/>
  <c r="BB15" i="6"/>
  <c r="BB15" i="2"/>
  <c r="BB17" i="2"/>
  <c r="CA87" i="6"/>
  <c r="CA88" i="6" s="1"/>
  <c r="BP93" i="6"/>
  <c r="BQ94" i="6"/>
  <c r="BR95" i="6"/>
  <c r="BS96" i="6"/>
  <c r="BT97" i="6"/>
  <c r="BU98" i="6"/>
  <c r="BV99" i="6"/>
  <c r="BW100" i="6"/>
  <c r="BX101" i="6"/>
  <c r="BY102" i="6"/>
  <c r="BZ103" i="6"/>
  <c r="CA104" i="6"/>
  <c r="BC23" i="6"/>
  <c r="I23" i="21" s="1"/>
  <c r="I25" i="21" s="1"/>
  <c r="BC25" i="6"/>
  <c r="CF54" i="6"/>
  <c r="CG44" i="6"/>
  <c r="BS28" i="6"/>
  <c r="BS24" i="6" s="1"/>
  <c r="BT35" i="6"/>
  <c r="DQ171" i="6"/>
  <c r="BC38" i="6"/>
  <c r="BD31" i="6"/>
  <c r="BD36" i="6" s="1"/>
  <c r="BD37" i="6" s="1"/>
  <c r="BD32" i="6"/>
  <c r="BD34" i="6" s="1"/>
  <c r="BD20" i="6"/>
  <c r="BC168" i="6"/>
  <c r="BD173" i="6"/>
  <c r="BQ112" i="6"/>
  <c r="BQ109" i="6" s="1"/>
  <c r="DQ176" i="6"/>
  <c r="DQ177" i="6"/>
  <c r="DQ153" i="6"/>
  <c r="DQ152" i="6"/>
  <c r="DQ172" i="6"/>
  <c r="DQ167" i="6"/>
  <c r="DQ166" i="6"/>
  <c r="DQ143" i="6"/>
  <c r="DQ142" i="6"/>
  <c r="DQ147" i="6"/>
  <c r="DQ162" i="6"/>
  <c r="DQ156" i="6"/>
  <c r="DQ138" i="6"/>
  <c r="DQ137" i="6"/>
  <c r="DQ157" i="6"/>
  <c r="DQ148" i="6"/>
  <c r="DQ161" i="6"/>
  <c r="CE58" i="6"/>
  <c r="CF51" i="6"/>
  <c r="BC39" i="6"/>
  <c r="BC40" i="6" s="1"/>
  <c r="BC62" i="6" s="1"/>
  <c r="DS6" i="6"/>
  <c r="DR6" i="30"/>
  <c r="BD27" i="6"/>
  <c r="BD29" i="6"/>
  <c r="BO90" i="6"/>
  <c r="BP85" i="6" s="1"/>
  <c r="BP90" i="6" s="1"/>
  <c r="BQ85" i="6" s="1"/>
  <c r="CB110" i="6"/>
  <c r="CB111" i="6" s="1"/>
  <c r="BQ116" i="6"/>
  <c r="BQ128" i="6" s="1"/>
  <c r="BR117" i="6"/>
  <c r="BS118" i="6"/>
  <c r="BT119" i="6"/>
  <c r="BU120" i="6"/>
  <c r="BV121" i="6"/>
  <c r="BW122" i="6"/>
  <c r="BX123" i="6"/>
  <c r="BY124" i="6"/>
  <c r="BZ125" i="6"/>
  <c r="J109" i="21" s="1"/>
  <c r="CA126" i="6"/>
  <c r="CB127" i="6"/>
  <c r="BZ87" i="6"/>
  <c r="BO93" i="6"/>
  <c r="BO105" i="6" s="1"/>
  <c r="BO60" i="6" s="1"/>
  <c r="BO61" i="6" s="1"/>
  <c r="BP94" i="6"/>
  <c r="BQ95" i="6"/>
  <c r="BR96" i="6"/>
  <c r="BS97" i="6"/>
  <c r="BT98" i="6"/>
  <c r="BU99" i="6"/>
  <c r="BV100" i="6"/>
  <c r="BW101" i="6"/>
  <c r="BX102" i="6"/>
  <c r="BY103" i="6"/>
  <c r="BZ104" i="6"/>
  <c r="J88" i="21" s="1"/>
  <c r="I70" i="21"/>
  <c r="DR175" i="6"/>
  <c r="DR135" i="6"/>
  <c r="DR49" i="6"/>
  <c r="DR45" i="6"/>
  <c r="DR43" i="6"/>
  <c r="BI27" i="70"/>
  <c r="CC26" i="70"/>
  <c r="AX21" i="70"/>
  <c r="DP13" i="70"/>
  <c r="I151" i="68"/>
  <c r="AY157" i="71"/>
  <c r="BB156" i="71"/>
  <c r="V153" i="69" s="1"/>
  <c r="DQ145" i="71"/>
  <c r="J69" i="21"/>
  <c r="J92" i="21"/>
  <c r="I89" i="21"/>
  <c r="DR30" i="2"/>
  <c r="H20" i="21"/>
  <c r="AY21" i="70"/>
  <c r="DR5" i="19"/>
  <c r="DR13" i="19" s="1"/>
  <c r="DQ9" i="19"/>
  <c r="DP11" i="19"/>
  <c r="DP10" i="19"/>
  <c r="DP15" i="19"/>
  <c r="BB11" i="2"/>
  <c r="BC9" i="6" s="1"/>
  <c r="BB13" i="2"/>
  <c r="BC11" i="6" s="1"/>
  <c r="DS7" i="2"/>
  <c r="DS31" i="2" s="1"/>
  <c r="DR5" i="2"/>
  <c r="BD19" i="2"/>
  <c r="BE17" i="6" s="1"/>
  <c r="BC23" i="2"/>
  <c r="BB19" i="70" s="1"/>
  <c r="BB20" i="70"/>
  <c r="BD21" i="2"/>
  <c r="BE19" i="6" s="1"/>
  <c r="BQ90" i="6" l="1"/>
  <c r="BR85" i="6" s="1"/>
  <c r="J86" i="21"/>
  <c r="J87" i="21"/>
  <c r="CE59" i="6"/>
  <c r="CF56" i="6"/>
  <c r="CG47" i="6"/>
  <c r="CG54" i="6"/>
  <c r="CH44" i="6"/>
  <c r="BE27" i="6"/>
  <c r="BE29" i="6"/>
  <c r="BD38" i="6"/>
  <c r="BE31" i="6"/>
  <c r="BE36" i="6" s="1"/>
  <c r="BE37" i="6" s="1"/>
  <c r="CF48" i="6"/>
  <c r="CF55" i="6"/>
  <c r="CG46" i="6"/>
  <c r="BD23" i="6"/>
  <c r="BD25" i="6"/>
  <c r="DR176" i="6"/>
  <c r="DR177" i="6"/>
  <c r="DR153" i="6"/>
  <c r="DR152" i="6"/>
  <c r="DR148" i="6"/>
  <c r="DR147" i="6"/>
  <c r="DR172" i="6"/>
  <c r="DR162" i="6"/>
  <c r="DR161" i="6"/>
  <c r="DR157" i="6"/>
  <c r="DR156" i="6"/>
  <c r="DR138" i="6"/>
  <c r="DR137" i="6"/>
  <c r="DR166" i="6"/>
  <c r="DR167" i="6"/>
  <c r="DR143" i="6"/>
  <c r="DR142" i="6"/>
  <c r="BC3" i="6"/>
  <c r="BD39" i="6"/>
  <c r="BD40" i="6" s="1"/>
  <c r="BD62" i="6" s="1"/>
  <c r="BP105" i="6"/>
  <c r="BP60" i="6" s="1"/>
  <c r="BP61" i="6" s="1"/>
  <c r="DR171" i="6"/>
  <c r="BE32" i="6"/>
  <c r="BE34" i="6" s="1"/>
  <c r="BE20" i="6"/>
  <c r="CC110" i="6"/>
  <c r="CC111" i="6" s="1"/>
  <c r="BR116" i="6"/>
  <c r="BR128" i="6" s="1"/>
  <c r="BS117" i="6"/>
  <c r="BT118" i="6"/>
  <c r="BU119" i="6"/>
  <c r="BV120" i="6"/>
  <c r="BW121" i="6"/>
  <c r="BX122" i="6"/>
  <c r="BY123" i="6"/>
  <c r="BZ124" i="6"/>
  <c r="CA125" i="6"/>
  <c r="CB126" i="6"/>
  <c r="CC127" i="6"/>
  <c r="BC15" i="6"/>
  <c r="BC15" i="2"/>
  <c r="BD13" i="6" s="1"/>
  <c r="BC17" i="2"/>
  <c r="CC87" i="6"/>
  <c r="CC88" i="6" s="1"/>
  <c r="BR93" i="6"/>
  <c r="BR105" i="6" s="1"/>
  <c r="BS94" i="6"/>
  <c r="BT95" i="6"/>
  <c r="BU96" i="6"/>
  <c r="BV97" i="6"/>
  <c r="BW98" i="6"/>
  <c r="BX99" i="6"/>
  <c r="BY100" i="6"/>
  <c r="BZ101" i="6"/>
  <c r="CA102" i="6"/>
  <c r="CB103" i="6"/>
  <c r="CC104" i="6"/>
  <c r="BZ88" i="6"/>
  <c r="J72" i="21" s="1"/>
  <c r="J71" i="21"/>
  <c r="DS175" i="6"/>
  <c r="DS135" i="6"/>
  <c r="DS49" i="6"/>
  <c r="DS43" i="6"/>
  <c r="DS45" i="6"/>
  <c r="BQ113" i="6"/>
  <c r="BR108" i="6" s="1"/>
  <c r="BC13" i="6"/>
  <c r="I13" i="21" s="1"/>
  <c r="I15" i="21" s="1"/>
  <c r="I14" i="20"/>
  <c r="I16" i="20" s="1"/>
  <c r="DT6" i="6"/>
  <c r="DS6" i="30"/>
  <c r="BT28" i="6"/>
  <c r="BT24" i="6" s="1"/>
  <c r="BU35" i="6"/>
  <c r="BR89" i="6"/>
  <c r="BR86" i="6" s="1"/>
  <c r="CF57" i="6"/>
  <c r="CG50" i="6"/>
  <c r="CF58" i="6"/>
  <c r="CG51" i="6"/>
  <c r="BR112" i="6"/>
  <c r="BR109" i="6" s="1"/>
  <c r="BQ105" i="6"/>
  <c r="BQ60" i="6" s="1"/>
  <c r="BQ61" i="6" s="1"/>
  <c r="BD168" i="6"/>
  <c r="BE173" i="6"/>
  <c r="DQ13" i="70"/>
  <c r="CD26" i="70"/>
  <c r="BJ27" i="70"/>
  <c r="AZ157" i="71"/>
  <c r="U154" i="69"/>
  <c r="DR145" i="71"/>
  <c r="BC156" i="71"/>
  <c r="I45" i="21"/>
  <c r="I44" i="21"/>
  <c r="DS30" i="2"/>
  <c r="BD23" i="2"/>
  <c r="BC19" i="70" s="1"/>
  <c r="BE19" i="2"/>
  <c r="BF17" i="6" s="1"/>
  <c r="BE21" i="2"/>
  <c r="BF19" i="6" s="1"/>
  <c r="BC11" i="2"/>
  <c r="BD9" i="6" s="1"/>
  <c r="BC13" i="2"/>
  <c r="BD11" i="6" s="1"/>
  <c r="DT7" i="2"/>
  <c r="DT31" i="2" s="1"/>
  <c r="DS5" i="2"/>
  <c r="DQ10" i="19"/>
  <c r="DQ11" i="19"/>
  <c r="DQ15" i="19" s="1"/>
  <c r="DS5" i="19"/>
  <c r="DS13" i="19" s="1"/>
  <c r="DR9" i="19"/>
  <c r="I10" i="20"/>
  <c r="I12" i="20" s="1"/>
  <c r="I9" i="21"/>
  <c r="I11" i="21" s="1"/>
  <c r="BK27" i="70"/>
  <c r="CF59" i="6" l="1"/>
  <c r="DS171" i="6"/>
  <c r="BR113" i="6"/>
  <c r="BS108" i="6" s="1"/>
  <c r="BR60" i="6"/>
  <c r="BR61" i="6" s="1"/>
  <c r="CG57" i="6"/>
  <c r="CH50" i="6"/>
  <c r="CH54" i="6"/>
  <c r="CI44" i="6"/>
  <c r="BD15" i="6"/>
  <c r="BD17" i="2"/>
  <c r="BD15" i="2"/>
  <c r="BE13" i="6" s="1"/>
  <c r="CG55" i="6"/>
  <c r="CG48" i="6"/>
  <c r="CH46" i="6"/>
  <c r="BR90" i="6"/>
  <c r="BS85" i="6" s="1"/>
  <c r="BF32" i="6"/>
  <c r="BF34" i="6" s="1"/>
  <c r="BF20" i="6"/>
  <c r="CG56" i="6"/>
  <c r="CH47" i="6"/>
  <c r="BU28" i="6"/>
  <c r="BU24" i="6" s="1"/>
  <c r="BV35" i="6"/>
  <c r="BS89" i="6"/>
  <c r="BS86" i="6" s="1"/>
  <c r="CD87" i="6"/>
  <c r="CD88" i="6" s="1"/>
  <c r="BS93" i="6"/>
  <c r="BS105" i="6" s="1"/>
  <c r="BT94" i="6"/>
  <c r="BU95" i="6"/>
  <c r="BV96" i="6"/>
  <c r="BW97" i="6"/>
  <c r="BX98" i="6"/>
  <c r="BY99" i="6"/>
  <c r="BZ100" i="6"/>
  <c r="CA101" i="6"/>
  <c r="CB102" i="6"/>
  <c r="CC103" i="6"/>
  <c r="CD104" i="6"/>
  <c r="BS112" i="6"/>
  <c r="BS109" i="6" s="1"/>
  <c r="BE38" i="6"/>
  <c r="BE3" i="6" s="1"/>
  <c r="BF31" i="6"/>
  <c r="BF36" i="6" s="1"/>
  <c r="BF37" i="6" s="1"/>
  <c r="BD3" i="6"/>
  <c r="CD110" i="6"/>
  <c r="CD111" i="6" s="1"/>
  <c r="BS116" i="6"/>
  <c r="BS128" i="6" s="1"/>
  <c r="BT117" i="6"/>
  <c r="BU118" i="6"/>
  <c r="BV119" i="6"/>
  <c r="BW120" i="6"/>
  <c r="BX121" i="6"/>
  <c r="BY122" i="6"/>
  <c r="BZ123" i="6"/>
  <c r="J107" i="21" s="1"/>
  <c r="CA124" i="6"/>
  <c r="CB125" i="6"/>
  <c r="CC126" i="6"/>
  <c r="CD127" i="6"/>
  <c r="BE39" i="6"/>
  <c r="BE40" i="6" s="1"/>
  <c r="BE62" i="6" s="1"/>
  <c r="CG58" i="6"/>
  <c r="CH51" i="6"/>
  <c r="DT135" i="6"/>
  <c r="DT49" i="6"/>
  <c r="DT175" i="6"/>
  <c r="DT45" i="6"/>
  <c r="DT43" i="6"/>
  <c r="BF27" i="6"/>
  <c r="BF29" i="6"/>
  <c r="DS176" i="6"/>
  <c r="DS177" i="6"/>
  <c r="DS148" i="6"/>
  <c r="DS147" i="6"/>
  <c r="DS172" i="6"/>
  <c r="DS167" i="6"/>
  <c r="DS166" i="6"/>
  <c r="DS156" i="6"/>
  <c r="DS138" i="6"/>
  <c r="DS137" i="6"/>
  <c r="DS162" i="6"/>
  <c r="DS157" i="6"/>
  <c r="DS153" i="6"/>
  <c r="DS143" i="6"/>
  <c r="DS142" i="6"/>
  <c r="DS152" i="6"/>
  <c r="DS161" i="6"/>
  <c r="DU6" i="6"/>
  <c r="DT6" i="30"/>
  <c r="BF173" i="6"/>
  <c r="BE168" i="6"/>
  <c r="BE23" i="6"/>
  <c r="BE25" i="6"/>
  <c r="BC20" i="70"/>
  <c r="AZ21" i="70"/>
  <c r="CE26" i="70"/>
  <c r="DR13" i="70"/>
  <c r="BD156" i="71"/>
  <c r="BA157" i="71"/>
  <c r="DS145" i="71"/>
  <c r="J108" i="21"/>
  <c r="J85" i="21"/>
  <c r="DT30" i="2"/>
  <c r="DS13" i="70" s="1"/>
  <c r="DT5" i="2"/>
  <c r="DU7" i="2"/>
  <c r="DU31" i="2" s="1"/>
  <c r="H33" i="21"/>
  <c r="DT5" i="19"/>
  <c r="DT13" i="19" s="1"/>
  <c r="DS9" i="19"/>
  <c r="BE23" i="2"/>
  <c r="BD19" i="70" s="1"/>
  <c r="BF19" i="2"/>
  <c r="BG17" i="6" s="1"/>
  <c r="BF21" i="2"/>
  <c r="BG19" i="6" s="1"/>
  <c r="BL27" i="70"/>
  <c r="DR11" i="19"/>
  <c r="DR15" i="19" s="1"/>
  <c r="DR10" i="19"/>
  <c r="BD11" i="2"/>
  <c r="BE9" i="6" s="1"/>
  <c r="BD13" i="2"/>
  <c r="BE11" i="6" s="1"/>
  <c r="BF39" i="6" l="1"/>
  <c r="BF40" i="6" s="1"/>
  <c r="BF62" i="6" s="1"/>
  <c r="CG59" i="6"/>
  <c r="BE15" i="6"/>
  <c r="BE17" i="2"/>
  <c r="BE15" i="2"/>
  <c r="BF13" i="6" s="1"/>
  <c r="BG173" i="6"/>
  <c r="BF168" i="6"/>
  <c r="CE110" i="6"/>
  <c r="CE111" i="6" s="1"/>
  <c r="BT116" i="6"/>
  <c r="BT128" i="6" s="1"/>
  <c r="BU117" i="6"/>
  <c r="BV118" i="6"/>
  <c r="BW119" i="6"/>
  <c r="BX120" i="6"/>
  <c r="BY121" i="6"/>
  <c r="BZ122" i="6"/>
  <c r="J106" i="21" s="1"/>
  <c r="CA123" i="6"/>
  <c r="CB124" i="6"/>
  <c r="CC125" i="6"/>
  <c r="CD126" i="6"/>
  <c r="CE127" i="6"/>
  <c r="BS60" i="6"/>
  <c r="BS61" i="6" s="1"/>
  <c r="CI54" i="6"/>
  <c r="CJ44" i="6"/>
  <c r="BS90" i="6"/>
  <c r="BT85" i="6" s="1"/>
  <c r="CE87" i="6"/>
  <c r="CE88" i="6" s="1"/>
  <c r="BT93" i="6"/>
  <c r="BT105" i="6" s="1"/>
  <c r="BU94" i="6"/>
  <c r="BV95" i="6"/>
  <c r="BW96" i="6"/>
  <c r="BX97" i="6"/>
  <c r="BY98" i="6"/>
  <c r="BZ99" i="6"/>
  <c r="CA100" i="6"/>
  <c r="CB101" i="6"/>
  <c r="CC102" i="6"/>
  <c r="CD103" i="6"/>
  <c r="CE104" i="6"/>
  <c r="CH55" i="6"/>
  <c r="CH48" i="6"/>
  <c r="CI46" i="6"/>
  <c r="CH57" i="6"/>
  <c r="CI50" i="6"/>
  <c r="BV28" i="6"/>
  <c r="BW35" i="6"/>
  <c r="CH58" i="6"/>
  <c r="CI51" i="6"/>
  <c r="BT89" i="6"/>
  <c r="BT86" i="6" s="1"/>
  <c r="DV6" i="6"/>
  <c r="DU6" i="30"/>
  <c r="BT112" i="6"/>
  <c r="BT109" i="6" s="1"/>
  <c r="BG32" i="6"/>
  <c r="BG34" i="6" s="1"/>
  <c r="BG20" i="6"/>
  <c r="DU175" i="6"/>
  <c r="DU135" i="6"/>
  <c r="DU49" i="6"/>
  <c r="DU43" i="6"/>
  <c r="DU45" i="6"/>
  <c r="DT176" i="6"/>
  <c r="DT177" i="6"/>
  <c r="DT148" i="6"/>
  <c r="DT147" i="6"/>
  <c r="DT172" i="6"/>
  <c r="DT167" i="6"/>
  <c r="DT166" i="6"/>
  <c r="DT157" i="6"/>
  <c r="DT156" i="6"/>
  <c r="DT162" i="6"/>
  <c r="DT153" i="6"/>
  <c r="DT161" i="6"/>
  <c r="DT152" i="6"/>
  <c r="DT137" i="6"/>
  <c r="DT138" i="6"/>
  <c r="DT142" i="6"/>
  <c r="DT143" i="6"/>
  <c r="CH56" i="6"/>
  <c r="CI47" i="6"/>
  <c r="BS113" i="6"/>
  <c r="BT108" i="6" s="1"/>
  <c r="BG27" i="6"/>
  <c r="BG29" i="6"/>
  <c r="BF38" i="6"/>
  <c r="BF3" i="6" s="1"/>
  <c r="BG31" i="6"/>
  <c r="BG36" i="6" s="1"/>
  <c r="BG37" i="6" s="1"/>
  <c r="DT171" i="6"/>
  <c r="BF23" i="6"/>
  <c r="BF25" i="6"/>
  <c r="CF26" i="70"/>
  <c r="BD20" i="70"/>
  <c r="J84" i="21"/>
  <c r="DT145" i="71"/>
  <c r="BE156" i="71"/>
  <c r="I152" i="68"/>
  <c r="DU30" i="2"/>
  <c r="I31" i="21"/>
  <c r="DU5" i="2"/>
  <c r="DV7" i="2"/>
  <c r="DV31" i="2" s="1"/>
  <c r="DU5" i="19"/>
  <c r="DU13" i="19" s="1"/>
  <c r="DT9" i="19"/>
  <c r="DS10" i="19"/>
  <c r="DS11" i="19"/>
  <c r="DS15" i="19" s="1"/>
  <c r="H34" i="21"/>
  <c r="H35" i="21"/>
  <c r="BG19" i="2"/>
  <c r="BH17" i="6" s="1"/>
  <c r="BF23" i="2"/>
  <c r="BE19" i="70" s="1"/>
  <c r="BE20" i="70"/>
  <c r="BG21" i="2"/>
  <c r="BH19" i="6" s="1"/>
  <c r="BE11" i="2"/>
  <c r="BF9" i="6" s="1"/>
  <c r="BE13" i="2"/>
  <c r="BF11" i="6" s="1"/>
  <c r="BT113" i="6" l="1"/>
  <c r="BU108" i="6" s="1"/>
  <c r="CH59" i="6"/>
  <c r="DV175" i="6"/>
  <c r="DV49" i="6"/>
  <c r="DV43" i="6"/>
  <c r="DV135" i="6"/>
  <c r="DV45" i="6"/>
  <c r="BU112" i="6"/>
  <c r="BU109" i="6" s="1"/>
  <c r="CI57" i="6"/>
  <c r="CJ50" i="6"/>
  <c r="CI56" i="6"/>
  <c r="CJ47" i="6"/>
  <c r="DU177" i="6"/>
  <c r="DU176" i="6"/>
  <c r="DU172" i="6"/>
  <c r="DU167" i="6"/>
  <c r="DU166" i="6"/>
  <c r="DU162" i="6"/>
  <c r="DU161" i="6"/>
  <c r="DU147" i="6"/>
  <c r="DU157" i="6"/>
  <c r="DU153" i="6"/>
  <c r="DU152" i="6"/>
  <c r="DU148" i="6"/>
  <c r="DU143" i="6"/>
  <c r="DU142" i="6"/>
  <c r="DU138" i="6"/>
  <c r="DU137" i="6"/>
  <c r="DU156" i="6"/>
  <c r="CI55" i="6"/>
  <c r="CI48" i="6"/>
  <c r="CJ46" i="6"/>
  <c r="BH173" i="6"/>
  <c r="BG168" i="6"/>
  <c r="BT60" i="6"/>
  <c r="BT61" i="6" s="1"/>
  <c r="BH32" i="6"/>
  <c r="BH34" i="6" s="1"/>
  <c r="BH20" i="6"/>
  <c r="DU171" i="6"/>
  <c r="CF87" i="6"/>
  <c r="CF88" i="6" s="1"/>
  <c r="BU93" i="6"/>
  <c r="BU105" i="6" s="1"/>
  <c r="BV94" i="6"/>
  <c r="BW95" i="6"/>
  <c r="BX96" i="6"/>
  <c r="BY97" i="6"/>
  <c r="BZ98" i="6"/>
  <c r="CA99" i="6"/>
  <c r="CB100" i="6"/>
  <c r="CC101" i="6"/>
  <c r="CD102" i="6"/>
  <c r="CE103" i="6"/>
  <c r="CF104" i="6"/>
  <c r="BF15" i="6"/>
  <c r="BF17" i="2"/>
  <c r="BF15" i="2"/>
  <c r="BG13" i="6" s="1"/>
  <c r="BH31" i="6"/>
  <c r="BH36" i="6" s="1"/>
  <c r="BH37" i="6" s="1"/>
  <c r="BG38" i="6"/>
  <c r="CI58" i="6"/>
  <c r="CJ51" i="6"/>
  <c r="BT90" i="6"/>
  <c r="BU85" i="6" s="1"/>
  <c r="DW6" i="6"/>
  <c r="DV6" i="30"/>
  <c r="BG39" i="6"/>
  <c r="BG40" i="6" s="1"/>
  <c r="BG62" i="6" s="1"/>
  <c r="CF110" i="6"/>
  <c r="CF111" i="6" s="1"/>
  <c r="BU116" i="6"/>
  <c r="BU128" i="6" s="1"/>
  <c r="BV117" i="6"/>
  <c r="BW118" i="6"/>
  <c r="BX119" i="6"/>
  <c r="BY120" i="6"/>
  <c r="BZ121" i="6"/>
  <c r="CA122" i="6"/>
  <c r="CB123" i="6"/>
  <c r="CC124" i="6"/>
  <c r="CD125" i="6"/>
  <c r="CE126" i="6"/>
  <c r="CF127" i="6"/>
  <c r="BW28" i="6"/>
  <c r="BW24" i="6" s="1"/>
  <c r="BX35" i="6"/>
  <c r="CJ54" i="6"/>
  <c r="CK44" i="6"/>
  <c r="BG23" i="6"/>
  <c r="BG25" i="6"/>
  <c r="BH27" i="6"/>
  <c r="BH29" i="6"/>
  <c r="BV24" i="6"/>
  <c r="DT13" i="70"/>
  <c r="BA21" i="70"/>
  <c r="BM27" i="70"/>
  <c r="CG26" i="70"/>
  <c r="W153" i="69"/>
  <c r="N29" i="20"/>
  <c r="O29" i="20" s="1"/>
  <c r="DU145" i="71"/>
  <c r="BF156" i="71"/>
  <c r="BB157" i="71"/>
  <c r="DV30" i="2"/>
  <c r="N30" i="20"/>
  <c r="BB21" i="70"/>
  <c r="BF11" i="2"/>
  <c r="BG9" i="6" s="1"/>
  <c r="BF13" i="2"/>
  <c r="BG11" i="6" s="1"/>
  <c r="DT11" i="19"/>
  <c r="DT15" i="19" s="1"/>
  <c r="DT10" i="19"/>
  <c r="N6" i="32"/>
  <c r="DV5" i="19"/>
  <c r="DV13" i="19" s="1"/>
  <c r="DU9" i="19"/>
  <c r="N6" i="21"/>
  <c r="BH19" i="2"/>
  <c r="BI17" i="6" s="1"/>
  <c r="BG23" i="2"/>
  <c r="BF19" i="70" s="1"/>
  <c r="BF20" i="70"/>
  <c r="BH21" i="2"/>
  <c r="BI19" i="6" s="1"/>
  <c r="DV5" i="2"/>
  <c r="DW7" i="2"/>
  <c r="DW31" i="2" s="1"/>
  <c r="H46" i="21"/>
  <c r="BU113" i="6" l="1"/>
  <c r="BV108" i="6" s="1"/>
  <c r="CI59" i="6"/>
  <c r="DV171" i="6"/>
  <c r="BH23" i="6"/>
  <c r="BH25" i="6"/>
  <c r="DW175" i="6"/>
  <c r="DW135" i="6"/>
  <c r="DW49" i="6"/>
  <c r="DW45" i="6"/>
  <c r="DW43" i="6"/>
  <c r="DV177" i="6"/>
  <c r="DV176" i="6"/>
  <c r="DV172" i="6"/>
  <c r="DV167" i="6"/>
  <c r="DV166" i="6"/>
  <c r="DV162" i="6"/>
  <c r="DV161" i="6"/>
  <c r="DV153" i="6"/>
  <c r="DV152" i="6"/>
  <c r="DV157" i="6"/>
  <c r="DV148" i="6"/>
  <c r="DV143" i="6"/>
  <c r="DV142" i="6"/>
  <c r="DV156" i="6"/>
  <c r="DV137" i="6"/>
  <c r="DV147" i="6"/>
  <c r="DV138" i="6"/>
  <c r="CK54" i="6"/>
  <c r="CL44" i="6"/>
  <c r="BI173" i="6"/>
  <c r="BH168" i="6"/>
  <c r="CJ56" i="6"/>
  <c r="CK47" i="6"/>
  <c r="BV89" i="6"/>
  <c r="BV86" i="6" s="1"/>
  <c r="BV112" i="6"/>
  <c r="BV109" i="6" s="1"/>
  <c r="BI31" i="6"/>
  <c r="BI36" i="6" s="1"/>
  <c r="BI37" i="6" s="1"/>
  <c r="BH38" i="6"/>
  <c r="BH3" i="6" s="1"/>
  <c r="CJ58" i="6"/>
  <c r="CK51" i="6"/>
  <c r="BH39" i="6"/>
  <c r="BH40" i="6" s="1"/>
  <c r="BH62" i="6" s="1"/>
  <c r="CJ55" i="6"/>
  <c r="CJ48" i="6"/>
  <c r="CK46" i="6"/>
  <c r="CJ57" i="6"/>
  <c r="CK50" i="6"/>
  <c r="BI20" i="6"/>
  <c r="BI32" i="6"/>
  <c r="BI34" i="6" s="1"/>
  <c r="BX28" i="6"/>
  <c r="BY35" i="6"/>
  <c r="DX6" i="6"/>
  <c r="DW6" i="30"/>
  <c r="BI27" i="6"/>
  <c r="BI29" i="6"/>
  <c r="BG15" i="6"/>
  <c r="BG15" i="2"/>
  <c r="BH13" i="6" s="1"/>
  <c r="BG17" i="2"/>
  <c r="BG3" i="6"/>
  <c r="BU89" i="6"/>
  <c r="BU86" i="6" s="1"/>
  <c r="BU60" i="6"/>
  <c r="BU61" i="6" s="1"/>
  <c r="CG110" i="6"/>
  <c r="CG111" i="6" s="1"/>
  <c r="BV116" i="6"/>
  <c r="BV128" i="6" s="1"/>
  <c r="BW117" i="6"/>
  <c r="BX118" i="6"/>
  <c r="BY119" i="6"/>
  <c r="BZ120" i="6"/>
  <c r="J104" i="21" s="1"/>
  <c r="CA121" i="6"/>
  <c r="CB122" i="6"/>
  <c r="CC123" i="6"/>
  <c r="CD124" i="6"/>
  <c r="CE125" i="6"/>
  <c r="CF126" i="6"/>
  <c r="CG127" i="6"/>
  <c r="DU13" i="70"/>
  <c r="CH26" i="70"/>
  <c r="BN27" i="70"/>
  <c r="BG156" i="71"/>
  <c r="BC157" i="71"/>
  <c r="DV145" i="71"/>
  <c r="V154" i="69"/>
  <c r="J82" i="21"/>
  <c r="J83" i="21"/>
  <c r="J105" i="21"/>
  <c r="DW30" i="2"/>
  <c r="BO27" i="70"/>
  <c r="BH23" i="2"/>
  <c r="BG19" i="70" s="1"/>
  <c r="BI19" i="2"/>
  <c r="BJ17" i="6" s="1"/>
  <c r="BG20" i="70"/>
  <c r="BI21" i="2"/>
  <c r="BJ19" i="6" s="1"/>
  <c r="DW5" i="19"/>
  <c r="DW13" i="19" s="1"/>
  <c r="DV9" i="19"/>
  <c r="BC21" i="70"/>
  <c r="DW5" i="2"/>
  <c r="DX7" i="2"/>
  <c r="DX31" i="2" s="1"/>
  <c r="BG11" i="2"/>
  <c r="BH9" i="6" s="1"/>
  <c r="BG13" i="2"/>
  <c r="BH11" i="6" s="1"/>
  <c r="DU10" i="19"/>
  <c r="DU11" i="19"/>
  <c r="DU15" i="19" s="1"/>
  <c r="DW171" i="6" l="1"/>
  <c r="CJ59" i="6"/>
  <c r="BI39" i="6"/>
  <c r="BI40" i="6" s="1"/>
  <c r="BI62" i="6" s="1"/>
  <c r="BJ27" i="6"/>
  <c r="BJ29" i="6"/>
  <c r="CK57" i="6"/>
  <c r="CL50" i="6"/>
  <c r="BU90" i="6"/>
  <c r="BV85" i="6" s="1"/>
  <c r="BV90" i="6" s="1"/>
  <c r="BW85" i="6" s="1"/>
  <c r="CK55" i="6"/>
  <c r="CK48" i="6"/>
  <c r="CL46" i="6"/>
  <c r="CH110" i="6"/>
  <c r="CH111" i="6" s="1"/>
  <c r="BW116" i="6"/>
  <c r="BW128" i="6" s="1"/>
  <c r="BX117" i="6"/>
  <c r="BY118" i="6"/>
  <c r="BZ119" i="6"/>
  <c r="J103" i="21" s="1"/>
  <c r="CA120" i="6"/>
  <c r="CB121" i="6"/>
  <c r="CC122" i="6"/>
  <c r="CD123" i="6"/>
  <c r="CE124" i="6"/>
  <c r="CF125" i="6"/>
  <c r="CG126" i="6"/>
  <c r="CH127" i="6"/>
  <c r="CL54" i="6"/>
  <c r="K38" i="21" s="1"/>
  <c r="CM44" i="6"/>
  <c r="DX175" i="6"/>
  <c r="DX135" i="6"/>
  <c r="DX171" i="6" s="1"/>
  <c r="DX49" i="6"/>
  <c r="DX45" i="6"/>
  <c r="DX43" i="6"/>
  <c r="DW177" i="6"/>
  <c r="DW176" i="6"/>
  <c r="DW167" i="6"/>
  <c r="DW166" i="6"/>
  <c r="DW162" i="6"/>
  <c r="DW161" i="6"/>
  <c r="DW157" i="6"/>
  <c r="DW153" i="6"/>
  <c r="DW148" i="6"/>
  <c r="DW152" i="6"/>
  <c r="DW143" i="6"/>
  <c r="DW142" i="6"/>
  <c r="DW172" i="6"/>
  <c r="DW138" i="6"/>
  <c r="DW137" i="6"/>
  <c r="DW147" i="6"/>
  <c r="DW156" i="6"/>
  <c r="BV113" i="6"/>
  <c r="BW108" i="6" s="1"/>
  <c r="BY28" i="6"/>
  <c r="BY24" i="6" s="1"/>
  <c r="BZ35" i="6"/>
  <c r="BI23" i="6"/>
  <c r="BI25" i="6"/>
  <c r="DY6" i="6"/>
  <c r="DX6" i="30"/>
  <c r="CG87" i="6"/>
  <c r="CG88" i="6" s="1"/>
  <c r="BV93" i="6"/>
  <c r="BV105" i="6" s="1"/>
  <c r="BV60" i="6" s="1"/>
  <c r="BV61" i="6" s="1"/>
  <c r="BW94" i="6"/>
  <c r="BX95" i="6"/>
  <c r="BY96" i="6"/>
  <c r="BZ97" i="6"/>
  <c r="J81" i="21" s="1"/>
  <c r="CA98" i="6"/>
  <c r="CB99" i="6"/>
  <c r="CC100" i="6"/>
  <c r="CD101" i="6"/>
  <c r="CE102" i="6"/>
  <c r="CF103" i="6"/>
  <c r="CG104" i="6"/>
  <c r="BW112" i="6"/>
  <c r="BW109" i="6" s="1"/>
  <c r="BH15" i="6"/>
  <c r="BH17" i="2"/>
  <c r="BH15" i="2"/>
  <c r="BI13" i="6" s="1"/>
  <c r="BX24" i="6"/>
  <c r="CK58" i="6"/>
  <c r="CL51" i="6"/>
  <c r="CH87" i="6"/>
  <c r="CH88" i="6" s="1"/>
  <c r="BW93" i="6"/>
  <c r="BX94" i="6"/>
  <c r="BY95" i="6"/>
  <c r="BZ96" i="6"/>
  <c r="CA97" i="6"/>
  <c r="CB98" i="6"/>
  <c r="CC99" i="6"/>
  <c r="CD100" i="6"/>
  <c r="CE101" i="6"/>
  <c r="CF102" i="6"/>
  <c r="CG103" i="6"/>
  <c r="CH104" i="6"/>
  <c r="CK56" i="6"/>
  <c r="CL47" i="6"/>
  <c r="BJ32" i="6"/>
  <c r="BJ34" i="6" s="1"/>
  <c r="BJ20" i="6"/>
  <c r="BJ173" i="6"/>
  <c r="BI168" i="6"/>
  <c r="BI38" i="6"/>
  <c r="BJ31" i="6"/>
  <c r="BJ36" i="6" s="1"/>
  <c r="BJ37" i="6" s="1"/>
  <c r="CI26" i="70"/>
  <c r="DV13" i="70"/>
  <c r="BD157" i="71"/>
  <c r="BH156" i="71"/>
  <c r="X153" i="69" s="1"/>
  <c r="DW145" i="71"/>
  <c r="A46" i="45"/>
  <c r="A51" i="45"/>
  <c r="A49" i="45"/>
  <c r="A48" i="45"/>
  <c r="A47" i="45"/>
  <c r="A50" i="45"/>
  <c r="DX30" i="2"/>
  <c r="A54" i="45"/>
  <c r="A56" i="45"/>
  <c r="A53" i="45"/>
  <c r="A52" i="45"/>
  <c r="A55" i="45"/>
  <c r="A57" i="45"/>
  <c r="DW9" i="19"/>
  <c r="DX5" i="19"/>
  <c r="DX13" i="19" s="1"/>
  <c r="DV10" i="19"/>
  <c r="DV11" i="19"/>
  <c r="DV15" i="19" s="1"/>
  <c r="BI23" i="2"/>
  <c r="BH19" i="70" s="1"/>
  <c r="BJ19" i="2"/>
  <c r="BK17" i="6" s="1"/>
  <c r="BJ21" i="2"/>
  <c r="BK19" i="6" s="1"/>
  <c r="BH11" i="2"/>
  <c r="BI9" i="6" s="1"/>
  <c r="BH13" i="2"/>
  <c r="BI11" i="6" s="1"/>
  <c r="BD21" i="70"/>
  <c r="DY7" i="2"/>
  <c r="DY31" i="2" s="1"/>
  <c r="DX5" i="2"/>
  <c r="A58" i="45"/>
  <c r="A60" i="45"/>
  <c r="A62" i="45"/>
  <c r="A64" i="45"/>
  <c r="A66" i="45"/>
  <c r="A68" i="45"/>
  <c r="A70" i="45"/>
  <c r="A72" i="45"/>
  <c r="A74" i="45"/>
  <c r="A76" i="45"/>
  <c r="A78" i="45"/>
  <c r="A80" i="45"/>
  <c r="A82" i="45"/>
  <c r="A84" i="45"/>
  <c r="A86" i="45"/>
  <c r="A88" i="45"/>
  <c r="A90" i="45"/>
  <c r="A92" i="45"/>
  <c r="A94" i="45"/>
  <c r="A96" i="45"/>
  <c r="A98" i="45"/>
  <c r="A100" i="45"/>
  <c r="A102" i="45"/>
  <c r="A104" i="45"/>
  <c r="A106" i="45"/>
  <c r="A108" i="45"/>
  <c r="A110" i="45"/>
  <c r="A112" i="45"/>
  <c r="A114" i="45"/>
  <c r="A116" i="45"/>
  <c r="A118" i="45"/>
  <c r="A120" i="45"/>
  <c r="A122" i="45"/>
  <c r="A124" i="45"/>
  <c r="A126" i="45"/>
  <c r="A128" i="45"/>
  <c r="A130" i="45"/>
  <c r="A132" i="45"/>
  <c r="A134" i="45"/>
  <c r="A136" i="45"/>
  <c r="A138" i="45"/>
  <c r="A140" i="45"/>
  <c r="A142" i="45"/>
  <c r="A144" i="45"/>
  <c r="A146" i="45"/>
  <c r="A148" i="45"/>
  <c r="A150" i="45"/>
  <c r="A152" i="45"/>
  <c r="A154" i="45"/>
  <c r="A156" i="45"/>
  <c r="A158" i="45"/>
  <c r="A160" i="45"/>
  <c r="A162" i="45"/>
  <c r="A164" i="45"/>
  <c r="A166" i="45"/>
  <c r="A168" i="45"/>
  <c r="A63" i="45"/>
  <c r="A67" i="45"/>
  <c r="A71" i="45"/>
  <c r="A75" i="45"/>
  <c r="A79" i="45"/>
  <c r="A83" i="45"/>
  <c r="A87" i="45"/>
  <c r="A91" i="45"/>
  <c r="A95" i="45"/>
  <c r="A99" i="45"/>
  <c r="A103" i="45"/>
  <c r="A107" i="45"/>
  <c r="A111" i="45"/>
  <c r="A115" i="45"/>
  <c r="A119" i="45"/>
  <c r="A123" i="45"/>
  <c r="A127" i="45"/>
  <c r="A131" i="45"/>
  <c r="A135" i="45"/>
  <c r="A139" i="45"/>
  <c r="A143" i="45"/>
  <c r="A147" i="45"/>
  <c r="A151" i="45"/>
  <c r="A155" i="45"/>
  <c r="A159" i="45"/>
  <c r="A163" i="45"/>
  <c r="A167" i="45"/>
  <c r="A65" i="45"/>
  <c r="A73" i="45"/>
  <c r="A81" i="45"/>
  <c r="A89" i="45"/>
  <c r="A97" i="45"/>
  <c r="A105" i="45"/>
  <c r="A113" i="45"/>
  <c r="A121" i="45"/>
  <c r="A129" i="45"/>
  <c r="A137" i="45"/>
  <c r="A145" i="45"/>
  <c r="A153" i="45"/>
  <c r="A161" i="45"/>
  <c r="A69" i="45"/>
  <c r="A77" i="45"/>
  <c r="A85" i="45"/>
  <c r="A93" i="45"/>
  <c r="A101" i="45"/>
  <c r="A109" i="45"/>
  <c r="A117" i="45"/>
  <c r="A125" i="45"/>
  <c r="A133" i="45"/>
  <c r="A141" i="45"/>
  <c r="A149" i="45"/>
  <c r="A157" i="45"/>
  <c r="A165" i="45"/>
  <c r="A59" i="45"/>
  <c r="A61" i="45"/>
  <c r="D235" i="3"/>
  <c r="E235" i="3"/>
  <c r="C235" i="3"/>
  <c r="F235" i="3"/>
  <c r="G235" i="3"/>
  <c r="H235" i="3"/>
  <c r="I235" i="3"/>
  <c r="J235" i="3"/>
  <c r="K235" i="3"/>
  <c r="L235" i="3"/>
  <c r="M235" i="3"/>
  <c r="N235" i="3"/>
  <c r="O235" i="3"/>
  <c r="P235" i="3"/>
  <c r="Q235" i="3"/>
  <c r="R235" i="3"/>
  <c r="S235" i="3"/>
  <c r="T235" i="3"/>
  <c r="U235" i="3"/>
  <c r="V235" i="3"/>
  <c r="W235" i="3"/>
  <c r="X235" i="3"/>
  <c r="Y235" i="3"/>
  <c r="Z235" i="3"/>
  <c r="AA235" i="3"/>
  <c r="AB235" i="3"/>
  <c r="AC235" i="3"/>
  <c r="AD235" i="3"/>
  <c r="AE235" i="3"/>
  <c r="AF235" i="3"/>
  <c r="AG235" i="3"/>
  <c r="AH235" i="3"/>
  <c r="AI235" i="3"/>
  <c r="AJ235" i="3"/>
  <c r="AK235" i="3"/>
  <c r="AL235" i="3"/>
  <c r="AM235" i="3"/>
  <c r="AN235" i="3"/>
  <c r="AO235" i="3"/>
  <c r="AP235" i="3"/>
  <c r="AQ235" i="3"/>
  <c r="AR235" i="3"/>
  <c r="AS235" i="3"/>
  <c r="AT235" i="3"/>
  <c r="AU235" i="3"/>
  <c r="AV235" i="3"/>
  <c r="AW235" i="3"/>
  <c r="AX235" i="3"/>
  <c r="AY235" i="3"/>
  <c r="AZ235" i="3"/>
  <c r="BA235" i="3"/>
  <c r="BB235" i="3"/>
  <c r="BC235" i="3"/>
  <c r="BD235" i="3"/>
  <c r="BE235" i="3"/>
  <c r="BF235" i="3"/>
  <c r="BG235" i="3"/>
  <c r="BH235" i="3"/>
  <c r="BI235" i="3"/>
  <c r="BJ235" i="3"/>
  <c r="CK59" i="6" l="1"/>
  <c r="BW113" i="6"/>
  <c r="BX108" i="6" s="1"/>
  <c r="CL48" i="6"/>
  <c r="CL55" i="6"/>
  <c r="CM46" i="6"/>
  <c r="BI15" i="6"/>
  <c r="BI17" i="2"/>
  <c r="BI15" i="2"/>
  <c r="BJ13" i="6" s="1"/>
  <c r="BZ28" i="6"/>
  <c r="CA35" i="6"/>
  <c r="BX89" i="6"/>
  <c r="BX86" i="6" s="1"/>
  <c r="BK173" i="6"/>
  <c r="BJ168" i="6"/>
  <c r="BX112" i="6"/>
  <c r="BX109" i="6" s="1"/>
  <c r="CI110" i="6"/>
  <c r="CI111" i="6" s="1"/>
  <c r="BX116" i="6"/>
  <c r="BX128" i="6" s="1"/>
  <c r="BY117" i="6"/>
  <c r="BZ118" i="6"/>
  <c r="J102" i="21" s="1"/>
  <c r="CA119" i="6"/>
  <c r="CB120" i="6"/>
  <c r="CC121" i="6"/>
  <c r="CD122" i="6"/>
  <c r="CE123" i="6"/>
  <c r="CF124" i="6"/>
  <c r="CG125" i="6"/>
  <c r="CH126" i="6"/>
  <c r="CI127" i="6"/>
  <c r="BK31" i="6"/>
  <c r="BK36" i="6" s="1"/>
  <c r="BK37" i="6" s="1"/>
  <c r="BJ38" i="6"/>
  <c r="CL56" i="6"/>
  <c r="CM47" i="6"/>
  <c r="CL57" i="6"/>
  <c r="K41" i="21" s="1"/>
  <c r="CM50" i="6"/>
  <c r="DZ6" i="6"/>
  <c r="DY6" i="30"/>
  <c r="BJ39" i="6"/>
  <c r="BJ40" i="6" s="1"/>
  <c r="BJ62" i="6" s="1"/>
  <c r="BW105" i="6"/>
  <c r="BW60" i="6" s="1"/>
  <c r="BW61" i="6" s="1"/>
  <c r="DX177" i="6"/>
  <c r="DX176" i="6"/>
  <c r="DX167" i="6"/>
  <c r="DX166" i="6"/>
  <c r="DX162" i="6"/>
  <c r="DX161" i="6"/>
  <c r="DX157" i="6"/>
  <c r="DX156" i="6"/>
  <c r="DX148" i="6"/>
  <c r="DX147" i="6"/>
  <c r="DX172" i="6"/>
  <c r="DX153" i="6"/>
  <c r="DX152" i="6"/>
  <c r="DX143" i="6"/>
  <c r="DX142" i="6"/>
  <c r="DX138" i="6"/>
  <c r="DX137" i="6"/>
  <c r="DY175" i="6"/>
  <c r="DY135" i="6"/>
  <c r="DY171" i="6" s="1"/>
  <c r="DY49" i="6"/>
  <c r="DY45" i="6"/>
  <c r="DY43" i="6"/>
  <c r="BK27" i="6"/>
  <c r="BK29" i="6"/>
  <c r="BI3" i="6"/>
  <c r="CL58" i="6"/>
  <c r="CM51" i="6"/>
  <c r="CM54" i="6"/>
  <c r="CN44" i="6"/>
  <c r="BJ23" i="6"/>
  <c r="BJ25" i="6"/>
  <c r="BK32" i="6"/>
  <c r="BK34" i="6" s="1"/>
  <c r="BK20" i="6"/>
  <c r="BW89" i="6"/>
  <c r="BW86" i="6" s="1"/>
  <c r="X53" i="45"/>
  <c r="X52" i="45"/>
  <c r="X5" i="45"/>
  <c r="X7" i="45"/>
  <c r="X38" i="45"/>
  <c r="X40" i="45"/>
  <c r="X27" i="45"/>
  <c r="X18" i="45"/>
  <c r="X17" i="45"/>
  <c r="X26" i="45"/>
  <c r="X51" i="45"/>
  <c r="X60" i="45"/>
  <c r="X16" i="45"/>
  <c r="X57" i="45"/>
  <c r="X55" i="45"/>
  <c r="X11" i="45"/>
  <c r="X50" i="45"/>
  <c r="X48" i="45"/>
  <c r="X44" i="45"/>
  <c r="X45" i="45"/>
  <c r="X43" i="45"/>
  <c r="X9" i="45"/>
  <c r="X19" i="45"/>
  <c r="X61" i="45"/>
  <c r="X36" i="45"/>
  <c r="X47" i="45"/>
  <c r="X33" i="45"/>
  <c r="X31" i="45"/>
  <c r="X42" i="45"/>
  <c r="X13" i="45"/>
  <c r="X49" i="45"/>
  <c r="X24" i="45"/>
  <c r="X35" i="45"/>
  <c r="X22" i="45"/>
  <c r="X41" i="45"/>
  <c r="X63" i="45"/>
  <c r="X37" i="45"/>
  <c r="X58" i="45"/>
  <c r="X20" i="45"/>
  <c r="X25" i="45"/>
  <c r="X46" i="45"/>
  <c r="X15" i="45"/>
  <c r="X34" i="45"/>
  <c r="X8" i="45"/>
  <c r="X12" i="45"/>
  <c r="X59" i="45"/>
  <c r="X23" i="45"/>
  <c r="X6" i="45"/>
  <c r="X56" i="45"/>
  <c r="X10" i="45"/>
  <c r="X29" i="45"/>
  <c r="X14" i="45"/>
  <c r="X21" i="45"/>
  <c r="X4" i="45"/>
  <c r="X32" i="45"/>
  <c r="X39" i="45"/>
  <c r="X54" i="45"/>
  <c r="T4" i="45"/>
  <c r="X30" i="45"/>
  <c r="X28" i="45"/>
  <c r="X62" i="45"/>
  <c r="BH20" i="70"/>
  <c r="CJ26" i="70"/>
  <c r="BP27" i="70"/>
  <c r="DW13" i="70"/>
  <c r="BI156" i="71"/>
  <c r="BE157" i="71"/>
  <c r="T39" i="45"/>
  <c r="T31" i="45"/>
  <c r="T23" i="45"/>
  <c r="T15" i="45"/>
  <c r="T7" i="45"/>
  <c r="T6" i="45"/>
  <c r="T37" i="45"/>
  <c r="T11" i="45"/>
  <c r="T26" i="45"/>
  <c r="T40" i="45"/>
  <c r="T12" i="45"/>
  <c r="T35" i="45"/>
  <c r="T27" i="45"/>
  <c r="T8" i="45"/>
  <c r="T46" i="45"/>
  <c r="T29" i="45"/>
  <c r="T43" i="45"/>
  <c r="T17" i="45"/>
  <c r="T32" i="45"/>
  <c r="T38" i="45"/>
  <c r="T9" i="45"/>
  <c r="T21" i="45"/>
  <c r="T44" i="45"/>
  <c r="T18" i="45"/>
  <c r="T33" i="45"/>
  <c r="T13" i="45"/>
  <c r="T36" i="45"/>
  <c r="T10" i="45"/>
  <c r="T25" i="45"/>
  <c r="T22" i="45"/>
  <c r="T5" i="45"/>
  <c r="T28" i="45"/>
  <c r="T42" i="45"/>
  <c r="T20" i="45"/>
  <c r="T14" i="45"/>
  <c r="T45" i="45"/>
  <c r="T19" i="45"/>
  <c r="T34" i="45"/>
  <c r="T16" i="45"/>
  <c r="T24" i="45"/>
  <c r="T30" i="45"/>
  <c r="T41" i="45"/>
  <c r="DX145" i="71"/>
  <c r="AT142" i="69" s="1"/>
  <c r="J80" i="21"/>
  <c r="J32" i="21"/>
  <c r="A169" i="45"/>
  <c r="DY30" i="2"/>
  <c r="BA25" i="2"/>
  <c r="AZ25" i="2"/>
  <c r="BC25" i="2"/>
  <c r="AY25" i="2"/>
  <c r="AX25" i="2"/>
  <c r="AW25" i="2"/>
  <c r="BB25" i="2"/>
  <c r="K40" i="21"/>
  <c r="DX9" i="19"/>
  <c r="DY5" i="19"/>
  <c r="DY13" i="19" s="1"/>
  <c r="BI11" i="2"/>
  <c r="BJ9" i="6" s="1"/>
  <c r="BI13" i="2"/>
  <c r="BJ11" i="6" s="1"/>
  <c r="DW10" i="19"/>
  <c r="DW11" i="19"/>
  <c r="DW15" i="19" s="1"/>
  <c r="AV25" i="2"/>
  <c r="AP25" i="2"/>
  <c r="AT25" i="2"/>
  <c r="AO25" i="2"/>
  <c r="AM25" i="2"/>
  <c r="AI25" i="2"/>
  <c r="AQ25" i="2"/>
  <c r="AJ25" i="2"/>
  <c r="AL25" i="2"/>
  <c r="AR25" i="2"/>
  <c r="AK25" i="2"/>
  <c r="AF25" i="2"/>
  <c r="AE25" i="2"/>
  <c r="AS25" i="2"/>
  <c r="AN25" i="2"/>
  <c r="AU25" i="2"/>
  <c r="AG25" i="2"/>
  <c r="AH25" i="2"/>
  <c r="DY5" i="2"/>
  <c r="DZ7" i="2"/>
  <c r="DZ31" i="2" s="1"/>
  <c r="BE21" i="70"/>
  <c r="BK19" i="2"/>
  <c r="BL17" i="6" s="1"/>
  <c r="BJ23" i="2"/>
  <c r="BI19" i="70" s="1"/>
  <c r="BK21" i="2"/>
  <c r="BL19" i="6" s="1"/>
  <c r="CL59" i="6" l="1"/>
  <c r="CM57" i="6"/>
  <c r="CN50" i="6"/>
  <c r="BJ15" i="6"/>
  <c r="BJ15" i="2"/>
  <c r="BK13" i="6" s="1"/>
  <c r="BJ17" i="2"/>
  <c r="CI87" i="6"/>
  <c r="CI88" i="6" s="1"/>
  <c r="BX93" i="6"/>
  <c r="BX105" i="6" s="1"/>
  <c r="BX60" i="6" s="1"/>
  <c r="BX61" i="6" s="1"/>
  <c r="BY94" i="6"/>
  <c r="BZ95" i="6"/>
  <c r="J79" i="21" s="1"/>
  <c r="CA96" i="6"/>
  <c r="CB97" i="6"/>
  <c r="CC98" i="6"/>
  <c r="CD99" i="6"/>
  <c r="CE100" i="6"/>
  <c r="CF101" i="6"/>
  <c r="CG102" i="6"/>
  <c r="CH103" i="6"/>
  <c r="CI104" i="6"/>
  <c r="BL27" i="6"/>
  <c r="BL29" i="6"/>
  <c r="CM56" i="6"/>
  <c r="CN47" i="6"/>
  <c r="CJ110" i="6"/>
  <c r="CJ111" i="6" s="1"/>
  <c r="BY116" i="6"/>
  <c r="BY128" i="6" s="1"/>
  <c r="BZ117" i="6"/>
  <c r="CA118" i="6"/>
  <c r="CB119" i="6"/>
  <c r="CC120" i="6"/>
  <c r="CD121" i="6"/>
  <c r="CE122" i="6"/>
  <c r="CF123" i="6"/>
  <c r="CG124" i="6"/>
  <c r="CH125" i="6"/>
  <c r="CI126" i="6"/>
  <c r="CJ127" i="6"/>
  <c r="CM48" i="6"/>
  <c r="CM55" i="6"/>
  <c r="CN46" i="6"/>
  <c r="BL173" i="6"/>
  <c r="BK168" i="6"/>
  <c r="EA6" i="6"/>
  <c r="DZ6" i="30"/>
  <c r="BK38" i="6"/>
  <c r="BL31" i="6"/>
  <c r="BL36" i="6" s="1"/>
  <c r="BL37" i="6" s="1"/>
  <c r="BL20" i="6"/>
  <c r="BL32" i="6"/>
  <c r="BL34" i="6" s="1"/>
  <c r="BK23" i="6"/>
  <c r="BK25" i="6"/>
  <c r="BK39" i="6"/>
  <c r="BK40" i="6" s="1"/>
  <c r="BK62" i="6" s="1"/>
  <c r="CJ87" i="6"/>
  <c r="CJ88" i="6" s="1"/>
  <c r="BY93" i="6"/>
  <c r="BZ94" i="6"/>
  <c r="CA95" i="6"/>
  <c r="CB96" i="6"/>
  <c r="CC97" i="6"/>
  <c r="CD98" i="6"/>
  <c r="CE99" i="6"/>
  <c r="CF100" i="6"/>
  <c r="CG101" i="6"/>
  <c r="CH102" i="6"/>
  <c r="CI103" i="6"/>
  <c r="CJ104" i="6"/>
  <c r="BJ3" i="6"/>
  <c r="CN54" i="6"/>
  <c r="CO44" i="6"/>
  <c r="CA28" i="6"/>
  <c r="CB35" i="6"/>
  <c r="DY176" i="6"/>
  <c r="DY177" i="6"/>
  <c r="DY162" i="6"/>
  <c r="DY161" i="6"/>
  <c r="DY157" i="6"/>
  <c r="DY156" i="6"/>
  <c r="DY166" i="6"/>
  <c r="DY152" i="6"/>
  <c r="DY148" i="6"/>
  <c r="DY143" i="6"/>
  <c r="DY142" i="6"/>
  <c r="DY172" i="6"/>
  <c r="DY138" i="6"/>
  <c r="DY137" i="6"/>
  <c r="DY167" i="6"/>
  <c r="DY153" i="6"/>
  <c r="DY147" i="6"/>
  <c r="BY112" i="6"/>
  <c r="BY109" i="6" s="1"/>
  <c r="CM58" i="6"/>
  <c r="CN51" i="6"/>
  <c r="DZ175" i="6"/>
  <c r="DZ135" i="6"/>
  <c r="DZ49" i="6"/>
  <c r="DZ45" i="6"/>
  <c r="DZ43" i="6"/>
  <c r="BW90" i="6"/>
  <c r="BX85" i="6" s="1"/>
  <c r="BX90" i="6" s="1"/>
  <c r="BY85" i="6" s="1"/>
  <c r="BZ24" i="6"/>
  <c r="BX113" i="6"/>
  <c r="BY108" i="6" s="1"/>
  <c r="Y28" i="45"/>
  <c r="Z28" i="45"/>
  <c r="Z6" i="45"/>
  <c r="Y6" i="45"/>
  <c r="Y63" i="45"/>
  <c r="Z63" i="45"/>
  <c r="Y61" i="45"/>
  <c r="Z61" i="45"/>
  <c r="Y60" i="45"/>
  <c r="Z60" i="45"/>
  <c r="Z30" i="45"/>
  <c r="Y30" i="45"/>
  <c r="Z23" i="45"/>
  <c r="Y23" i="45"/>
  <c r="Y41" i="45"/>
  <c r="Z41" i="45"/>
  <c r="Z19" i="45"/>
  <c r="Y19" i="45"/>
  <c r="Z51" i="45"/>
  <c r="Y51" i="45"/>
  <c r="V4" i="45"/>
  <c r="U4" i="45"/>
  <c r="Z59" i="45"/>
  <c r="Y59" i="45"/>
  <c r="Y22" i="45"/>
  <c r="Z22" i="45"/>
  <c r="Z9" i="45"/>
  <c r="Y9" i="45"/>
  <c r="Z26" i="45"/>
  <c r="Y26" i="45"/>
  <c r="Z54" i="45"/>
  <c r="Y54" i="45"/>
  <c r="Y12" i="45"/>
  <c r="Z12" i="45"/>
  <c r="Y35" i="45"/>
  <c r="Z35" i="45"/>
  <c r="Z43" i="45"/>
  <c r="Y43" i="45"/>
  <c r="Y17" i="45"/>
  <c r="Z17" i="45"/>
  <c r="Z39" i="45"/>
  <c r="Y39" i="45"/>
  <c r="Z8" i="45"/>
  <c r="Y8" i="45"/>
  <c r="Z24" i="45"/>
  <c r="Y24" i="45"/>
  <c r="Z45" i="45"/>
  <c r="Y45" i="45"/>
  <c r="Z18" i="45"/>
  <c r="Y18" i="45"/>
  <c r="Y32" i="45"/>
  <c r="Z32" i="45"/>
  <c r="Y34" i="45"/>
  <c r="Z34" i="45"/>
  <c r="Y49" i="45"/>
  <c r="Z49" i="45"/>
  <c r="Z44" i="45"/>
  <c r="Y44" i="45"/>
  <c r="Z27" i="45"/>
  <c r="Y27" i="45"/>
  <c r="Z4" i="45"/>
  <c r="Y4" i="45"/>
  <c r="Z15" i="45"/>
  <c r="Y15" i="45"/>
  <c r="Z13" i="45"/>
  <c r="Y13" i="45"/>
  <c r="Y48" i="45"/>
  <c r="Z48" i="45"/>
  <c r="Y40" i="45"/>
  <c r="Z40" i="45"/>
  <c r="Z21" i="45"/>
  <c r="Y21" i="45"/>
  <c r="Z46" i="45"/>
  <c r="Y46" i="45"/>
  <c r="Z42" i="45"/>
  <c r="Y42" i="45"/>
  <c r="Z50" i="45"/>
  <c r="Y50" i="45"/>
  <c r="Z38" i="45"/>
  <c r="Y38" i="45"/>
  <c r="Z14" i="45"/>
  <c r="Y14" i="45"/>
  <c r="Y25" i="45"/>
  <c r="Z25" i="45"/>
  <c r="Z31" i="45"/>
  <c r="Y31" i="45"/>
  <c r="Z11" i="45"/>
  <c r="Y11" i="45"/>
  <c r="Z7" i="45"/>
  <c r="Y7" i="45"/>
  <c r="Y29" i="45"/>
  <c r="Z29" i="45"/>
  <c r="Z20" i="45"/>
  <c r="Y20" i="45"/>
  <c r="Z33" i="45"/>
  <c r="Y33" i="45"/>
  <c r="Z55" i="45"/>
  <c r="Y55" i="45"/>
  <c r="Y5" i="45"/>
  <c r="Z5" i="45"/>
  <c r="Y10" i="45"/>
  <c r="Z10" i="45"/>
  <c r="Y58" i="45"/>
  <c r="Z58" i="45"/>
  <c r="Y47" i="45"/>
  <c r="Z47" i="45"/>
  <c r="Z57" i="45"/>
  <c r="Y57" i="45"/>
  <c r="Y52" i="45"/>
  <c r="Z52" i="45"/>
  <c r="Z62" i="45"/>
  <c r="Y62" i="45"/>
  <c r="Z56" i="45"/>
  <c r="Y56" i="45"/>
  <c r="Z37" i="45"/>
  <c r="Y37" i="45"/>
  <c r="Y36" i="45"/>
  <c r="Z36" i="45"/>
  <c r="Y16" i="45"/>
  <c r="Z16" i="45"/>
  <c r="Y53" i="45"/>
  <c r="Z53" i="45"/>
  <c r="BQ27" i="70"/>
  <c r="DX13" i="70"/>
  <c r="BI20" i="70"/>
  <c r="CK26" i="70"/>
  <c r="BJ156" i="71"/>
  <c r="W154" i="69"/>
  <c r="DY145" i="71"/>
  <c r="BF157" i="71"/>
  <c r="J28" i="21"/>
  <c r="DZ30" i="2"/>
  <c r="AW45" i="2"/>
  <c r="AW46" i="2"/>
  <c r="AX45" i="2"/>
  <c r="AX46" i="2"/>
  <c r="AY46" i="2"/>
  <c r="AY45" i="2"/>
  <c r="BC46" i="2"/>
  <c r="BC35" i="70" s="1"/>
  <c r="BC45" i="2"/>
  <c r="AZ45" i="2"/>
  <c r="AZ46" i="2"/>
  <c r="BA46" i="2"/>
  <c r="BA45" i="2"/>
  <c r="BB46" i="2"/>
  <c r="I24" i="20"/>
  <c r="BB45" i="2"/>
  <c r="K42" i="21"/>
  <c r="K39" i="21"/>
  <c r="AV46" i="2"/>
  <c r="AV45" i="2"/>
  <c r="U32" i="45"/>
  <c r="V32" i="45"/>
  <c r="U29" i="45"/>
  <c r="V29" i="45"/>
  <c r="AO45" i="2"/>
  <c r="AO46" i="2"/>
  <c r="V6" i="45"/>
  <c r="U6" i="45"/>
  <c r="U46" i="45"/>
  <c r="V46" i="45"/>
  <c r="U30" i="45"/>
  <c r="V30" i="45"/>
  <c r="U18" i="45"/>
  <c r="V18" i="45"/>
  <c r="U43" i="45"/>
  <c r="V43" i="45"/>
  <c r="U27" i="45"/>
  <c r="V27" i="45"/>
  <c r="V19" i="45"/>
  <c r="U19" i="45"/>
  <c r="AH45" i="2"/>
  <c r="AH46" i="2"/>
  <c r="AQ45" i="2"/>
  <c r="AQ46" i="2"/>
  <c r="U44" i="45"/>
  <c r="V44" i="45"/>
  <c r="U28" i="45"/>
  <c r="V28" i="45"/>
  <c r="V9" i="45"/>
  <c r="U9" i="45"/>
  <c r="U41" i="45"/>
  <c r="V41" i="45"/>
  <c r="U25" i="45"/>
  <c r="V25" i="45"/>
  <c r="U11" i="45"/>
  <c r="V11" i="45"/>
  <c r="BL19" i="2"/>
  <c r="BM17" i="6" s="1"/>
  <c r="BK23" i="2"/>
  <c r="BJ19" i="70" s="1"/>
  <c r="BL21" i="2"/>
  <c r="BM19" i="6" s="1"/>
  <c r="AL46" i="2"/>
  <c r="AL45" i="2"/>
  <c r="AJ45" i="2"/>
  <c r="AJ46" i="2"/>
  <c r="U23" i="45"/>
  <c r="V23" i="45"/>
  <c r="AU46" i="2"/>
  <c r="AU45" i="2"/>
  <c r="AT46" i="2"/>
  <c r="AT45" i="2"/>
  <c r="U13" i="45"/>
  <c r="V13" i="45"/>
  <c r="V40" i="45"/>
  <c r="U40" i="45"/>
  <c r="U24" i="45"/>
  <c r="V24" i="45"/>
  <c r="U37" i="45"/>
  <c r="V37" i="45"/>
  <c r="U16" i="45"/>
  <c r="V16" i="45"/>
  <c r="U21" i="45"/>
  <c r="V21" i="45"/>
  <c r="EA7" i="2"/>
  <c r="EA31" i="2" s="1"/>
  <c r="DZ5" i="2"/>
  <c r="V10" i="45"/>
  <c r="U10" i="45"/>
  <c r="U42" i="45"/>
  <c r="V42" i="45"/>
  <c r="U39" i="45"/>
  <c r="V39" i="45"/>
  <c r="AN45" i="2"/>
  <c r="AN46" i="2"/>
  <c r="AK46" i="2"/>
  <c r="AK45" i="2"/>
  <c r="AI45" i="2"/>
  <c r="AI46" i="2"/>
  <c r="V17" i="45"/>
  <c r="U17" i="45"/>
  <c r="U38" i="45"/>
  <c r="V38" i="45"/>
  <c r="U22" i="45"/>
  <c r="V22" i="45"/>
  <c r="U35" i="45"/>
  <c r="V35" i="45"/>
  <c r="U14" i="45"/>
  <c r="V14" i="45"/>
  <c r="U45" i="45"/>
  <c r="V45" i="45"/>
  <c r="AE46" i="2"/>
  <c r="AE45" i="2"/>
  <c r="U5" i="45"/>
  <c r="V5" i="45"/>
  <c r="V26" i="45"/>
  <c r="U26" i="45"/>
  <c r="AF46" i="2"/>
  <c r="AF45" i="2"/>
  <c r="AS46" i="2"/>
  <c r="AS45" i="2"/>
  <c r="H24" i="20"/>
  <c r="AP45" i="2"/>
  <c r="AP46" i="2"/>
  <c r="DZ5" i="19"/>
  <c r="DZ13" i="19" s="1"/>
  <c r="DY9" i="19"/>
  <c r="U12" i="45"/>
  <c r="V12" i="45"/>
  <c r="V36" i="45"/>
  <c r="U36" i="45"/>
  <c r="U15" i="45"/>
  <c r="V15" i="45"/>
  <c r="U33" i="45"/>
  <c r="V33" i="45"/>
  <c r="U7" i="45"/>
  <c r="V7" i="45"/>
  <c r="AM45" i="2"/>
  <c r="AM46" i="2"/>
  <c r="BJ11" i="2"/>
  <c r="BK9" i="6" s="1"/>
  <c r="BJ13" i="2"/>
  <c r="BK11" i="6" s="1"/>
  <c r="AG46" i="2"/>
  <c r="AG45" i="2"/>
  <c r="BF21" i="70"/>
  <c r="AR45" i="2"/>
  <c r="AR46" i="2"/>
  <c r="BR27" i="70"/>
  <c r="DX11" i="19"/>
  <c r="DX15" i="19" s="1"/>
  <c r="DX10" i="19"/>
  <c r="V20" i="45"/>
  <c r="U20" i="45"/>
  <c r="V34" i="45"/>
  <c r="U34" i="45"/>
  <c r="U8" i="45"/>
  <c r="V8" i="45"/>
  <c r="U31" i="45"/>
  <c r="V31" i="45"/>
  <c r="BY113" i="6" l="1"/>
  <c r="BZ108" i="6" s="1"/>
  <c r="BY105" i="6"/>
  <c r="BY60" i="6" s="1"/>
  <c r="BY61" i="6" s="1"/>
  <c r="CM59" i="6"/>
  <c r="J78" i="21"/>
  <c r="BL23" i="6"/>
  <c r="BL25" i="6"/>
  <c r="DZ177" i="6"/>
  <c r="DZ176" i="6"/>
  <c r="DZ162" i="6"/>
  <c r="DZ161" i="6"/>
  <c r="DZ157" i="6"/>
  <c r="DZ156" i="6"/>
  <c r="DZ153" i="6"/>
  <c r="DZ152" i="6"/>
  <c r="DZ172" i="6"/>
  <c r="DZ167" i="6"/>
  <c r="DZ166" i="6"/>
  <c r="DZ148" i="6"/>
  <c r="DZ143" i="6"/>
  <c r="DZ142" i="6"/>
  <c r="DZ138" i="6"/>
  <c r="DZ137" i="6"/>
  <c r="DZ147" i="6"/>
  <c r="CB28" i="6"/>
  <c r="CC35" i="6"/>
  <c r="BK15" i="6"/>
  <c r="BK15" i="2"/>
  <c r="BL13" i="6" s="1"/>
  <c r="BK17" i="2"/>
  <c r="CN58" i="6"/>
  <c r="CO51" i="6"/>
  <c r="BZ112" i="6"/>
  <c r="BZ109" i="6" s="1"/>
  <c r="BM173" i="6"/>
  <c r="BL168" i="6"/>
  <c r="BM20" i="6"/>
  <c r="BM32" i="6"/>
  <c r="BM34" i="6" s="1"/>
  <c r="CA24" i="6"/>
  <c r="EB6" i="6"/>
  <c r="EA6" i="30"/>
  <c r="BY89" i="6"/>
  <c r="BY86" i="6" s="1"/>
  <c r="BL38" i="6"/>
  <c r="BL3" i="6" s="1"/>
  <c r="BM31" i="6"/>
  <c r="BM36" i="6" s="1"/>
  <c r="CN48" i="6"/>
  <c r="CN55" i="6"/>
  <c r="CO46" i="6"/>
  <c r="CN57" i="6"/>
  <c r="CO50" i="6"/>
  <c r="CK110" i="6"/>
  <c r="CK111" i="6" s="1"/>
  <c r="BZ116" i="6"/>
  <c r="BZ128" i="6" s="1"/>
  <c r="CA117" i="6"/>
  <c r="CB118" i="6"/>
  <c r="CC119" i="6"/>
  <c r="CD120" i="6"/>
  <c r="CE121" i="6"/>
  <c r="CF122" i="6"/>
  <c r="CG123" i="6"/>
  <c r="CH124" i="6"/>
  <c r="CI125" i="6"/>
  <c r="CJ126" i="6"/>
  <c r="CK127" i="6"/>
  <c r="CO54" i="6"/>
  <c r="CP44" i="6"/>
  <c r="BL39" i="6"/>
  <c r="BL40" i="6" s="1"/>
  <c r="BL62" i="6" s="1"/>
  <c r="DZ171" i="6"/>
  <c r="BK3" i="6"/>
  <c r="CN56" i="6"/>
  <c r="CO47" i="6"/>
  <c r="EA175" i="6"/>
  <c r="EA135" i="6"/>
  <c r="EA49" i="6"/>
  <c r="EA45" i="6"/>
  <c r="EA43" i="6"/>
  <c r="BM27" i="6"/>
  <c r="BM29" i="6"/>
  <c r="AR35" i="70"/>
  <c r="AK35" i="70"/>
  <c r="AZ35" i="70"/>
  <c r="AN35" i="70"/>
  <c r="AS35" i="70"/>
  <c r="AE35" i="70"/>
  <c r="AW35" i="70"/>
  <c r="BB35" i="70"/>
  <c r="AQ35" i="70"/>
  <c r="AG35" i="70"/>
  <c r="AI35" i="70"/>
  <c r="AM35" i="70"/>
  <c r="AO35" i="70"/>
  <c r="AT35" i="70"/>
  <c r="AL35" i="70"/>
  <c r="BA35" i="70"/>
  <c r="BJ20" i="70"/>
  <c r="AV35" i="70"/>
  <c r="AU35" i="70"/>
  <c r="AH35" i="70"/>
  <c r="AP35" i="70"/>
  <c r="DY13" i="70"/>
  <c r="AY35" i="70"/>
  <c r="AF35" i="70"/>
  <c r="AJ35" i="70"/>
  <c r="AX35" i="70"/>
  <c r="CL26" i="70"/>
  <c r="K43" i="21"/>
  <c r="DZ145" i="71"/>
  <c r="BG157" i="71"/>
  <c r="BK156" i="71"/>
  <c r="Y153" i="69" s="1"/>
  <c r="J101" i="21"/>
  <c r="J24" i="21"/>
  <c r="EA30" i="2"/>
  <c r="I45" i="20"/>
  <c r="I44" i="20"/>
  <c r="H44" i="20"/>
  <c r="EB7" i="2"/>
  <c r="EB31" i="2" s="1"/>
  <c r="EA5" i="2"/>
  <c r="BM19" i="2"/>
  <c r="BN17" i="6" s="1"/>
  <c r="BL23" i="2"/>
  <c r="BK19" i="70" s="1"/>
  <c r="BM21" i="2"/>
  <c r="BN19" i="6" s="1"/>
  <c r="BK11" i="2"/>
  <c r="BL9" i="6" s="1"/>
  <c r="BK13" i="2"/>
  <c r="BL11" i="6" s="1"/>
  <c r="EA5" i="19"/>
  <c r="EA13" i="19" s="1"/>
  <c r="DZ9" i="19"/>
  <c r="DY10" i="19"/>
  <c r="DY11" i="19"/>
  <c r="DY15" i="19" s="1"/>
  <c r="BS27" i="70"/>
  <c r="H45" i="20"/>
  <c r="EA171" i="6" l="1"/>
  <c r="BY90" i="6"/>
  <c r="BZ85" i="6" s="1"/>
  <c r="CN59" i="6"/>
  <c r="CO56" i="6"/>
  <c r="CP47" i="6"/>
  <c r="CK87" i="6"/>
  <c r="CK88" i="6" s="1"/>
  <c r="BZ93" i="6"/>
  <c r="BZ105" i="6" s="1"/>
  <c r="BZ60" i="6" s="1"/>
  <c r="BZ61" i="6" s="1"/>
  <c r="CA94" i="6"/>
  <c r="CB95" i="6"/>
  <c r="CC96" i="6"/>
  <c r="CD97" i="6"/>
  <c r="CE98" i="6"/>
  <c r="CF99" i="6"/>
  <c r="CG100" i="6"/>
  <c r="CH101" i="6"/>
  <c r="CI102" i="6"/>
  <c r="CJ103" i="6"/>
  <c r="CK104" i="6"/>
  <c r="BN27" i="6"/>
  <c r="BN29" i="6"/>
  <c r="CL110" i="6"/>
  <c r="CL111" i="6" s="1"/>
  <c r="CA116" i="6"/>
  <c r="CA128" i="6" s="1"/>
  <c r="CB117" i="6"/>
  <c r="CC118" i="6"/>
  <c r="CD119" i="6"/>
  <c r="CE120" i="6"/>
  <c r="CF121" i="6"/>
  <c r="CG122" i="6"/>
  <c r="CH123" i="6"/>
  <c r="CI124" i="6"/>
  <c r="CJ125" i="6"/>
  <c r="CK126" i="6"/>
  <c r="CL127" i="6"/>
  <c r="CO57" i="6"/>
  <c r="CP50" i="6"/>
  <c r="EB175" i="6"/>
  <c r="EB135" i="6"/>
  <c r="EB45" i="6"/>
  <c r="EB43" i="6"/>
  <c r="EB49" i="6"/>
  <c r="CO58" i="6"/>
  <c r="CP51" i="6"/>
  <c r="BL15" i="6"/>
  <c r="BL15" i="2"/>
  <c r="BM13" i="6" s="1"/>
  <c r="BL17" i="2"/>
  <c r="BZ89" i="6"/>
  <c r="BZ86" i="6" s="1"/>
  <c r="J70" i="21" s="1"/>
  <c r="BZ113" i="6"/>
  <c r="CA108" i="6" s="1"/>
  <c r="BM23" i="6"/>
  <c r="BM25" i="6"/>
  <c r="EC6" i="6"/>
  <c r="EB6" i="30"/>
  <c r="CO48" i="6"/>
  <c r="CO55" i="6"/>
  <c r="CP46" i="6"/>
  <c r="BM38" i="6"/>
  <c r="BN31" i="6"/>
  <c r="BN36" i="6" s="1"/>
  <c r="BN39" i="6" s="1"/>
  <c r="BN40" i="6" s="1"/>
  <c r="BN62" i="6" s="1"/>
  <c r="CC28" i="6"/>
  <c r="CC24" i="6" s="1"/>
  <c r="CD35" i="6"/>
  <c r="BN173" i="6"/>
  <c r="BM168" i="6"/>
  <c r="CA112" i="6"/>
  <c r="CA109" i="6" s="1"/>
  <c r="BM39" i="6"/>
  <c r="BM40" i="6" s="1"/>
  <c r="BM62" i="6" s="1"/>
  <c r="BM37" i="6"/>
  <c r="CB24" i="6"/>
  <c r="BN32" i="6"/>
  <c r="BN34" i="6" s="1"/>
  <c r="BN20" i="6"/>
  <c r="EA177" i="6"/>
  <c r="EA176" i="6"/>
  <c r="EA157" i="6"/>
  <c r="EA156" i="6"/>
  <c r="EA172" i="6"/>
  <c r="EA148" i="6"/>
  <c r="EA143" i="6"/>
  <c r="EA142" i="6"/>
  <c r="EA166" i="6"/>
  <c r="EA152" i="6"/>
  <c r="EA138" i="6"/>
  <c r="EA137" i="6"/>
  <c r="EA167" i="6"/>
  <c r="EA161" i="6"/>
  <c r="EA147" i="6"/>
  <c r="EA153" i="6"/>
  <c r="EA162" i="6"/>
  <c r="CP54" i="6"/>
  <c r="CQ44" i="6"/>
  <c r="BG21" i="70"/>
  <c r="CM26" i="70"/>
  <c r="BK20" i="70"/>
  <c r="DZ13" i="70"/>
  <c r="BH157" i="71"/>
  <c r="EA145" i="71"/>
  <c r="BL156" i="71"/>
  <c r="J112" i="21"/>
  <c r="J100" i="21"/>
  <c r="J96" i="21"/>
  <c r="EB30" i="2"/>
  <c r="CN26" i="70"/>
  <c r="EB5" i="19"/>
  <c r="EB13" i="19" s="1"/>
  <c r="EA9" i="19"/>
  <c r="BT27" i="70"/>
  <c r="BH21" i="70"/>
  <c r="EC7" i="2"/>
  <c r="EC31" i="2" s="1"/>
  <c r="EB5" i="2"/>
  <c r="BL11" i="2"/>
  <c r="BM9" i="6" s="1"/>
  <c r="BL13" i="2"/>
  <c r="BM11" i="6" s="1"/>
  <c r="DZ11" i="19"/>
  <c r="DZ15" i="19" s="1"/>
  <c r="DZ10" i="19"/>
  <c r="BN19" i="2"/>
  <c r="BO17" i="6" s="1"/>
  <c r="BM23" i="2"/>
  <c r="BN21" i="2"/>
  <c r="BO19" i="6" s="1"/>
  <c r="J73" i="21" l="1"/>
  <c r="BN37" i="6"/>
  <c r="EB171" i="6"/>
  <c r="CO59" i="6"/>
  <c r="BM3" i="6"/>
  <c r="CA113" i="6"/>
  <c r="CB108" i="6" s="1"/>
  <c r="BZ90" i="6"/>
  <c r="CA85" i="6" s="1"/>
  <c r="CB89" i="6"/>
  <c r="CB86" i="6" s="1"/>
  <c r="CD28" i="6"/>
  <c r="CE35" i="6"/>
  <c r="BN23" i="6"/>
  <c r="BN25" i="6"/>
  <c r="BO27" i="6"/>
  <c r="J27" i="21" s="1"/>
  <c r="J29" i="21" s="1"/>
  <c r="BO29" i="6"/>
  <c r="CB112" i="6"/>
  <c r="CB109" i="6" s="1"/>
  <c r="CL87" i="6"/>
  <c r="CL88" i="6" s="1"/>
  <c r="CA93" i="6"/>
  <c r="CA105" i="6" s="1"/>
  <c r="CA60" i="6" s="1"/>
  <c r="CA61" i="6" s="1"/>
  <c r="CB94" i="6"/>
  <c r="CC95" i="6"/>
  <c r="CD96" i="6"/>
  <c r="CE97" i="6"/>
  <c r="CF98" i="6"/>
  <c r="CG99" i="6"/>
  <c r="CH100" i="6"/>
  <c r="CI101" i="6"/>
  <c r="CJ102" i="6"/>
  <c r="CK103" i="6"/>
  <c r="CL104" i="6"/>
  <c r="K88" i="21" s="1"/>
  <c r="BN38" i="6"/>
  <c r="BO31" i="6"/>
  <c r="BO36" i="6" s="1"/>
  <c r="BO37" i="6" s="1"/>
  <c r="CQ54" i="6"/>
  <c r="CR44" i="6"/>
  <c r="CP48" i="6"/>
  <c r="CP55" i="6"/>
  <c r="CQ46" i="6"/>
  <c r="CP56" i="6"/>
  <c r="CQ47" i="6"/>
  <c r="ED6" i="6"/>
  <c r="EC6" i="30"/>
  <c r="CM110" i="6"/>
  <c r="CM111" i="6" s="1"/>
  <c r="CB116" i="6"/>
  <c r="CB128" i="6" s="1"/>
  <c r="CC117" i="6"/>
  <c r="CD118" i="6"/>
  <c r="CE119" i="6"/>
  <c r="CF120" i="6"/>
  <c r="CG121" i="6"/>
  <c r="CH122" i="6"/>
  <c r="CI123" i="6"/>
  <c r="CJ124" i="6"/>
  <c r="CK125" i="6"/>
  <c r="CL126" i="6"/>
  <c r="CM127" i="6"/>
  <c r="EB177" i="6"/>
  <c r="EB176" i="6"/>
  <c r="EB157" i="6"/>
  <c r="EB156" i="6"/>
  <c r="EB153" i="6"/>
  <c r="EB152" i="6"/>
  <c r="EB148" i="6"/>
  <c r="EB147" i="6"/>
  <c r="EB167" i="6"/>
  <c r="EB166" i="6"/>
  <c r="EB162" i="6"/>
  <c r="EB161" i="6"/>
  <c r="EB143" i="6"/>
  <c r="EB142" i="6"/>
  <c r="EB138" i="6"/>
  <c r="EB137" i="6"/>
  <c r="EB172" i="6"/>
  <c r="BM15" i="6"/>
  <c r="BM17" i="2"/>
  <c r="BM15" i="2"/>
  <c r="BN13" i="6" s="1"/>
  <c r="CP57" i="6"/>
  <c r="CQ50" i="6"/>
  <c r="BO32" i="6"/>
  <c r="BO34" i="6" s="1"/>
  <c r="BO20" i="6"/>
  <c r="EC135" i="6"/>
  <c r="EC49" i="6"/>
  <c r="EC175" i="6"/>
  <c r="EC43" i="6"/>
  <c r="EC45" i="6"/>
  <c r="CA89" i="6"/>
  <c r="CA86" i="6" s="1"/>
  <c r="J97" i="21"/>
  <c r="BN168" i="6"/>
  <c r="BO173" i="6"/>
  <c r="CP58" i="6"/>
  <c r="CQ51" i="6"/>
  <c r="BL19" i="70"/>
  <c r="BL20" i="70"/>
  <c r="EA13" i="70"/>
  <c r="K92" i="21"/>
  <c r="BI157" i="71"/>
  <c r="AU142" i="69"/>
  <c r="EB145" i="71"/>
  <c r="BM156" i="71"/>
  <c r="X154" i="69"/>
  <c r="K111" i="21"/>
  <c r="J93" i="21"/>
  <c r="J77" i="21"/>
  <c r="EC30" i="2"/>
  <c r="CO26" i="70"/>
  <c r="EC5" i="19"/>
  <c r="EC13" i="19" s="1"/>
  <c r="EB9" i="19"/>
  <c r="BN23" i="2"/>
  <c r="BO19" i="2"/>
  <c r="BP17" i="6" s="1"/>
  <c r="BO21" i="2"/>
  <c r="BP19" i="6" s="1"/>
  <c r="EC5" i="2"/>
  <c r="ED7" i="2"/>
  <c r="ED31" i="2" s="1"/>
  <c r="J18" i="20"/>
  <c r="J20" i="20" s="1"/>
  <c r="J22" i="20" s="1"/>
  <c r="J17" i="21"/>
  <c r="J19" i="21" s="1"/>
  <c r="EA11" i="19"/>
  <c r="EA15" i="19" s="1"/>
  <c r="EA10" i="19"/>
  <c r="BI21" i="70"/>
  <c r="BU27" i="70"/>
  <c r="BM11" i="2"/>
  <c r="BN9" i="6" s="1"/>
  <c r="BM13" i="2"/>
  <c r="BN11" i="6" s="1"/>
  <c r="J74" i="21" l="1"/>
  <c r="EC171" i="6"/>
  <c r="CP59" i="6"/>
  <c r="BO23" i="6"/>
  <c r="J23" i="21" s="1"/>
  <c r="J25" i="21" s="1"/>
  <c r="BO25" i="6"/>
  <c r="BN15" i="6"/>
  <c r="BN15" i="2"/>
  <c r="BN17" i="2"/>
  <c r="CQ56" i="6"/>
  <c r="CR47" i="6"/>
  <c r="CE28" i="6"/>
  <c r="CF35" i="6"/>
  <c r="CC112" i="6"/>
  <c r="CC109" i="6" s="1"/>
  <c r="BP32" i="6"/>
  <c r="BP34" i="6" s="1"/>
  <c r="BP20" i="6"/>
  <c r="CQ48" i="6"/>
  <c r="CQ55" i="6"/>
  <c r="CR46" i="6"/>
  <c r="CD24" i="6"/>
  <c r="EC177" i="6"/>
  <c r="EC176" i="6"/>
  <c r="EC153" i="6"/>
  <c r="EC152" i="6"/>
  <c r="EC172" i="6"/>
  <c r="EC167" i="6"/>
  <c r="EC166" i="6"/>
  <c r="EC143" i="6"/>
  <c r="EC142" i="6"/>
  <c r="EC148" i="6"/>
  <c r="EC138" i="6"/>
  <c r="EC137" i="6"/>
  <c r="EC161" i="6"/>
  <c r="EC147" i="6"/>
  <c r="EC156" i="6"/>
  <c r="EC162" i="6"/>
  <c r="EC157" i="6"/>
  <c r="CN110" i="6"/>
  <c r="CN111" i="6" s="1"/>
  <c r="CC116" i="6"/>
  <c r="CC128" i="6" s="1"/>
  <c r="CD117" i="6"/>
  <c r="CE118" i="6"/>
  <c r="CF119" i="6"/>
  <c r="CG120" i="6"/>
  <c r="CH121" i="6"/>
  <c r="CI122" i="6"/>
  <c r="CJ123" i="6"/>
  <c r="CK124" i="6"/>
  <c r="CL125" i="6"/>
  <c r="K109" i="21" s="1"/>
  <c r="CM126" i="6"/>
  <c r="CN127" i="6"/>
  <c r="BO168" i="6"/>
  <c r="BP173" i="6"/>
  <c r="CQ58" i="6"/>
  <c r="CR51" i="6"/>
  <c r="CR54" i="6"/>
  <c r="CS44" i="6"/>
  <c r="BP27" i="6"/>
  <c r="BP29" i="6"/>
  <c r="EE6" i="6"/>
  <c r="ED6" i="30"/>
  <c r="CM87" i="6"/>
  <c r="CM88" i="6" s="1"/>
  <c r="CB93" i="6"/>
  <c r="CB105" i="6" s="1"/>
  <c r="CB60" i="6" s="1"/>
  <c r="CB61" i="6" s="1"/>
  <c r="CC94" i="6"/>
  <c r="CD95" i="6"/>
  <c r="CE96" i="6"/>
  <c r="CF97" i="6"/>
  <c r="CG98" i="6"/>
  <c r="CH99" i="6"/>
  <c r="CI100" i="6"/>
  <c r="CJ101" i="6"/>
  <c r="CK102" i="6"/>
  <c r="CL103" i="6"/>
  <c r="CM104" i="6"/>
  <c r="CQ57" i="6"/>
  <c r="CR50" i="6"/>
  <c r="BO38" i="6"/>
  <c r="BP31" i="6"/>
  <c r="BP36" i="6" s="1"/>
  <c r="BP39" i="6" s="1"/>
  <c r="BP40" i="6" s="1"/>
  <c r="BP62" i="6" s="1"/>
  <c r="CB113" i="6"/>
  <c r="CC108" i="6" s="1"/>
  <c r="CN87" i="6"/>
  <c r="CN88" i="6" s="1"/>
  <c r="CC93" i="6"/>
  <c r="CD94" i="6"/>
  <c r="CE95" i="6"/>
  <c r="CF96" i="6"/>
  <c r="CG97" i="6"/>
  <c r="CH98" i="6"/>
  <c r="CI99" i="6"/>
  <c r="CJ100" i="6"/>
  <c r="CK101" i="6"/>
  <c r="CL102" i="6"/>
  <c r="CM103" i="6"/>
  <c r="CN104" i="6"/>
  <c r="CA90" i="6"/>
  <c r="CB85" i="6" s="1"/>
  <c r="CB90" i="6" s="1"/>
  <c r="CC85" i="6" s="1"/>
  <c r="ED135" i="6"/>
  <c r="ED49" i="6"/>
  <c r="ED175" i="6"/>
  <c r="ED45" i="6"/>
  <c r="ED43" i="6"/>
  <c r="BO39" i="6"/>
  <c r="BO40" i="6" s="1"/>
  <c r="BO62" i="6" s="1"/>
  <c r="BN3" i="6"/>
  <c r="EB13" i="70"/>
  <c r="BM20" i="70"/>
  <c r="BM19" i="70"/>
  <c r="J151" i="68"/>
  <c r="BN156" i="71"/>
  <c r="Z153" i="69" s="1"/>
  <c r="EC145" i="71"/>
  <c r="BJ157" i="71"/>
  <c r="J89" i="21"/>
  <c r="K95" i="21"/>
  <c r="K94" i="21"/>
  <c r="K110" i="21"/>
  <c r="K69" i="21"/>
  <c r="K72" i="21"/>
  <c r="K71" i="21"/>
  <c r="ED30" i="2"/>
  <c r="CP26" i="70"/>
  <c r="ED5" i="19"/>
  <c r="ED13" i="19" s="1"/>
  <c r="EC9" i="19"/>
  <c r="EB11" i="19"/>
  <c r="EB15" i="19" s="1"/>
  <c r="EB10" i="19"/>
  <c r="BP19" i="2"/>
  <c r="BQ17" i="6" s="1"/>
  <c r="BO23" i="2"/>
  <c r="BN20" i="70"/>
  <c r="BP21" i="2"/>
  <c r="BQ19" i="6" s="1"/>
  <c r="BJ21" i="70"/>
  <c r="ED5" i="2"/>
  <c r="EE7" i="2"/>
  <c r="EE31" i="2" s="1"/>
  <c r="BV27" i="70"/>
  <c r="I20" i="21"/>
  <c r="BN11" i="2"/>
  <c r="BO9" i="6" s="1"/>
  <c r="BN13" i="2"/>
  <c r="BO11" i="6" s="1"/>
  <c r="BP37" i="6" l="1"/>
  <c r="CC113" i="6"/>
  <c r="CD108" i="6" s="1"/>
  <c r="CQ59" i="6"/>
  <c r="CS54" i="6"/>
  <c r="CT44" i="6"/>
  <c r="CC89" i="6"/>
  <c r="CC86" i="6" s="1"/>
  <c r="CD112" i="6"/>
  <c r="CD109" i="6" s="1"/>
  <c r="CR48" i="6"/>
  <c r="CR55" i="6"/>
  <c r="CS46" i="6"/>
  <c r="CR56" i="6"/>
  <c r="CS47" i="6"/>
  <c r="BQ32" i="6"/>
  <c r="BQ34" i="6" s="1"/>
  <c r="BQ20" i="6"/>
  <c r="CR57" i="6"/>
  <c r="CS50" i="6"/>
  <c r="CR58" i="6"/>
  <c r="CS51" i="6"/>
  <c r="BO15" i="6"/>
  <c r="BO15" i="2"/>
  <c r="BP13" i="6" s="1"/>
  <c r="BO17" i="2"/>
  <c r="ED177" i="6"/>
  <c r="ED176" i="6"/>
  <c r="ED153" i="6"/>
  <c r="ED152" i="6"/>
  <c r="ED148" i="6"/>
  <c r="ED147" i="6"/>
  <c r="ED172" i="6"/>
  <c r="ED162" i="6"/>
  <c r="ED161" i="6"/>
  <c r="ED157" i="6"/>
  <c r="ED156" i="6"/>
  <c r="ED138" i="6"/>
  <c r="ED137" i="6"/>
  <c r="ED166" i="6"/>
  <c r="ED167" i="6"/>
  <c r="ED142" i="6"/>
  <c r="ED143" i="6"/>
  <c r="BO13" i="6"/>
  <c r="J13" i="21" s="1"/>
  <c r="J15" i="21" s="1"/>
  <c r="J14" i="20"/>
  <c r="J16" i="20" s="1"/>
  <c r="BO3" i="6"/>
  <c r="BP168" i="6"/>
  <c r="BQ173" i="6"/>
  <c r="BP23" i="6"/>
  <c r="BP25" i="6"/>
  <c r="CC105" i="6"/>
  <c r="CC60" i="6" s="1"/>
  <c r="CC61" i="6" s="1"/>
  <c r="EE175" i="6"/>
  <c r="EE135" i="6"/>
  <c r="EE49" i="6"/>
  <c r="EE43" i="6"/>
  <c r="EE45" i="6"/>
  <c r="CO110" i="6"/>
  <c r="CO111" i="6" s="1"/>
  <c r="CD116" i="6"/>
  <c r="CD128" i="6" s="1"/>
  <c r="CE117" i="6"/>
  <c r="CF118" i="6"/>
  <c r="CG119" i="6"/>
  <c r="CH120" i="6"/>
  <c r="CI121" i="6"/>
  <c r="CJ122" i="6"/>
  <c r="CK123" i="6"/>
  <c r="CL124" i="6"/>
  <c r="K108" i="21" s="1"/>
  <c r="CM125" i="6"/>
  <c r="CN126" i="6"/>
  <c r="CO127" i="6"/>
  <c r="BQ27" i="6"/>
  <c r="BQ29" i="6"/>
  <c r="CF28" i="6"/>
  <c r="CF24" i="6" s="1"/>
  <c r="CG35" i="6"/>
  <c r="EF6" i="6"/>
  <c r="EE6" i="30"/>
  <c r="BP38" i="6"/>
  <c r="BQ31" i="6"/>
  <c r="BQ36" i="6" s="1"/>
  <c r="BQ37" i="6" s="1"/>
  <c r="CE24" i="6"/>
  <c r="ED171" i="6"/>
  <c r="BN19" i="70"/>
  <c r="EC13" i="70"/>
  <c r="BO156" i="71"/>
  <c r="BK157" i="71"/>
  <c r="ED145" i="71"/>
  <c r="K86" i="21"/>
  <c r="K87" i="21"/>
  <c r="J45" i="21"/>
  <c r="J44" i="21"/>
  <c r="EE30" i="2"/>
  <c r="CQ26" i="70"/>
  <c r="EE5" i="2"/>
  <c r="EF7" i="2"/>
  <c r="EF31" i="2" s="1"/>
  <c r="BK21" i="70"/>
  <c r="BO11" i="2"/>
  <c r="BP9" i="6" s="1"/>
  <c r="BO13" i="2"/>
  <c r="BP11" i="6" s="1"/>
  <c r="BQ19" i="2"/>
  <c r="BR17" i="6" s="1"/>
  <c r="BP23" i="2"/>
  <c r="BO20" i="70"/>
  <c r="BQ21" i="2"/>
  <c r="BR19" i="6" s="1"/>
  <c r="EC10" i="19"/>
  <c r="EC11" i="19"/>
  <c r="EC15" i="19" s="1"/>
  <c r="J10" i="20"/>
  <c r="J12" i="20" s="1"/>
  <c r="J9" i="21"/>
  <c r="J11" i="21" s="1"/>
  <c r="EE5" i="19"/>
  <c r="EE13" i="19" s="1"/>
  <c r="ED9" i="19"/>
  <c r="CD113" i="6" l="1"/>
  <c r="CE108" i="6" s="1"/>
  <c r="EE171" i="6"/>
  <c r="CR59" i="6"/>
  <c r="CP110" i="6"/>
  <c r="CP111" i="6" s="1"/>
  <c r="CE116" i="6"/>
  <c r="CE128" i="6" s="1"/>
  <c r="CF117" i="6"/>
  <c r="CG118" i="6"/>
  <c r="CH119" i="6"/>
  <c r="CI120" i="6"/>
  <c r="CJ121" i="6"/>
  <c r="CK122" i="6"/>
  <c r="CL123" i="6"/>
  <c r="CM124" i="6"/>
  <c r="CN125" i="6"/>
  <c r="CO126" i="6"/>
  <c r="CP127" i="6"/>
  <c r="CD89" i="6"/>
  <c r="CD86" i="6" s="1"/>
  <c r="BP3" i="6"/>
  <c r="BR173" i="6"/>
  <c r="BQ168" i="6"/>
  <c r="CO87" i="6"/>
  <c r="CO88" i="6" s="1"/>
  <c r="CD93" i="6"/>
  <c r="CD105" i="6" s="1"/>
  <c r="CD60" i="6" s="1"/>
  <c r="CD61" i="6" s="1"/>
  <c r="CE94" i="6"/>
  <c r="CF95" i="6"/>
  <c r="CG96" i="6"/>
  <c r="CH97" i="6"/>
  <c r="CI98" i="6"/>
  <c r="CJ99" i="6"/>
  <c r="CK100" i="6"/>
  <c r="CL101" i="6"/>
  <c r="K85" i="21" s="1"/>
  <c r="CM102" i="6"/>
  <c r="CN103" i="6"/>
  <c r="CO104" i="6"/>
  <c r="BQ23" i="6"/>
  <c r="BQ25" i="6"/>
  <c r="CT54" i="6"/>
  <c r="CU44" i="6"/>
  <c r="BQ39" i="6"/>
  <c r="BQ40" i="6" s="1"/>
  <c r="BQ62" i="6" s="1"/>
  <c r="BP15" i="6"/>
  <c r="BP17" i="2"/>
  <c r="BP15" i="2"/>
  <c r="BQ13" i="6" s="1"/>
  <c r="CS56" i="6"/>
  <c r="CT47" i="6"/>
  <c r="CS55" i="6"/>
  <c r="CS48" i="6"/>
  <c r="CT46" i="6"/>
  <c r="EE176" i="6"/>
  <c r="EE177" i="6"/>
  <c r="EE148" i="6"/>
  <c r="EE147" i="6"/>
  <c r="EE172" i="6"/>
  <c r="EE167" i="6"/>
  <c r="EE166" i="6"/>
  <c r="EE138" i="6"/>
  <c r="EE137" i="6"/>
  <c r="EE152" i="6"/>
  <c r="EE161" i="6"/>
  <c r="EE156" i="6"/>
  <c r="EE157" i="6"/>
  <c r="EE143" i="6"/>
  <c r="EE142" i="6"/>
  <c r="EE162" i="6"/>
  <c r="EE153" i="6"/>
  <c r="CS58" i="6"/>
  <c r="CT51" i="6"/>
  <c r="BR32" i="6"/>
  <c r="BR34" i="6" s="1"/>
  <c r="BR20" i="6"/>
  <c r="CG28" i="6"/>
  <c r="CG24" i="6" s="1"/>
  <c r="CH35" i="6"/>
  <c r="CC90" i="6"/>
  <c r="CD85" i="6" s="1"/>
  <c r="BQ38" i="6"/>
  <c r="BR31" i="6"/>
  <c r="BR36" i="6" s="1"/>
  <c r="BR39" i="6" s="1"/>
  <c r="BR40" i="6" s="1"/>
  <c r="BR62" i="6" s="1"/>
  <c r="EF175" i="6"/>
  <c r="EF135" i="6"/>
  <c r="EF49" i="6"/>
  <c r="EF45" i="6"/>
  <c r="EF43" i="6"/>
  <c r="CE89" i="6"/>
  <c r="CE86" i="6" s="1"/>
  <c r="CE112" i="6"/>
  <c r="CE109" i="6" s="1"/>
  <c r="EG6" i="6"/>
  <c r="EF6" i="30"/>
  <c r="BR27" i="6"/>
  <c r="BR29" i="6"/>
  <c r="CS57" i="6"/>
  <c r="CT50" i="6"/>
  <c r="ED13" i="70"/>
  <c r="BW27" i="70"/>
  <c r="BO19" i="70"/>
  <c r="EE145" i="71"/>
  <c r="BL157" i="71"/>
  <c r="BP156" i="71"/>
  <c r="Y154" i="69"/>
  <c r="A174" i="45"/>
  <c r="A173" i="45"/>
  <c r="A171" i="45"/>
  <c r="A170" i="45"/>
  <c r="A172" i="45"/>
  <c r="A175" i="45"/>
  <c r="EF30" i="2"/>
  <c r="A176" i="45"/>
  <c r="CR26" i="70"/>
  <c r="ED10" i="19"/>
  <c r="ED11" i="19"/>
  <c r="ED15" i="19" s="1"/>
  <c r="BL21" i="70"/>
  <c r="BR19" i="2"/>
  <c r="BS17" i="6" s="1"/>
  <c r="BQ23" i="2"/>
  <c r="BP20" i="70"/>
  <c r="BR21" i="2"/>
  <c r="BS19" i="6" s="1"/>
  <c r="EF5" i="2"/>
  <c r="EG7" i="2"/>
  <c r="EG31" i="2" s="1"/>
  <c r="EE9" i="19"/>
  <c r="EF5" i="19"/>
  <c r="BP11" i="2"/>
  <c r="BQ9" i="6" s="1"/>
  <c r="BP13" i="2"/>
  <c r="BQ11" i="6" s="1"/>
  <c r="CD90" i="6" l="1"/>
  <c r="CE85" i="6" s="1"/>
  <c r="CE90" i="6" s="1"/>
  <c r="CF85" i="6" s="1"/>
  <c r="EF171" i="6"/>
  <c r="CE113" i="6"/>
  <c r="CF108" i="6" s="1"/>
  <c r="CS59" i="6"/>
  <c r="BQ15" i="6"/>
  <c r="BQ15" i="2"/>
  <c r="BR13" i="6" s="1"/>
  <c r="BQ17" i="2"/>
  <c r="CQ87" i="6"/>
  <c r="CQ88" i="6" s="1"/>
  <c r="CF93" i="6"/>
  <c r="CG94" i="6"/>
  <c r="CH95" i="6"/>
  <c r="CI96" i="6"/>
  <c r="CJ97" i="6"/>
  <c r="CK98" i="6"/>
  <c r="CL99" i="6"/>
  <c r="CM100" i="6"/>
  <c r="CN101" i="6"/>
  <c r="CO102" i="6"/>
  <c r="CP103" i="6"/>
  <c r="CQ104" i="6"/>
  <c r="BS31" i="6"/>
  <c r="BS36" i="6" s="1"/>
  <c r="BS39" i="6" s="1"/>
  <c r="BS40" i="6" s="1"/>
  <c r="BS62" i="6" s="1"/>
  <c r="BR38" i="6"/>
  <c r="CT57" i="6"/>
  <c r="CU50" i="6"/>
  <c r="BS32" i="6"/>
  <c r="BS34" i="6" s="1"/>
  <c r="BS20" i="6"/>
  <c r="CP87" i="6"/>
  <c r="CP88" i="6" s="1"/>
  <c r="CE93" i="6"/>
  <c r="CE105" i="6" s="1"/>
  <c r="CE60" i="6" s="1"/>
  <c r="CE61" i="6" s="1"/>
  <c r="CF94" i="6"/>
  <c r="CG95" i="6"/>
  <c r="CH96" i="6"/>
  <c r="CI97" i="6"/>
  <c r="CJ98" i="6"/>
  <c r="CK99" i="6"/>
  <c r="CL100" i="6"/>
  <c r="K84" i="21" s="1"/>
  <c r="CM101" i="6"/>
  <c r="CN102" i="6"/>
  <c r="CO103" i="6"/>
  <c r="CP104" i="6"/>
  <c r="EH6" i="6"/>
  <c r="EG6" i="30"/>
  <c r="CH28" i="6"/>
  <c r="CH24" i="6" s="1"/>
  <c r="CI35" i="6"/>
  <c r="CU54" i="6"/>
  <c r="CV44" i="6"/>
  <c r="BS27" i="6"/>
  <c r="BS29" i="6"/>
  <c r="CF89" i="6"/>
  <c r="CF86" i="6" s="1"/>
  <c r="CT55" i="6"/>
  <c r="CT48" i="6"/>
  <c r="CU46" i="6"/>
  <c r="CF112" i="6"/>
  <c r="CF109" i="6" s="1"/>
  <c r="BR23" i="6"/>
  <c r="BR25" i="6"/>
  <c r="BS173" i="6"/>
  <c r="BR168" i="6"/>
  <c r="BR37" i="6"/>
  <c r="EG175" i="6"/>
  <c r="EG135" i="6"/>
  <c r="EG43" i="6"/>
  <c r="EG49" i="6"/>
  <c r="EG45" i="6"/>
  <c r="CT58" i="6"/>
  <c r="CU51" i="6"/>
  <c r="CT56" i="6"/>
  <c r="CU47" i="6"/>
  <c r="BQ3" i="6"/>
  <c r="EF176" i="6"/>
  <c r="EF177" i="6"/>
  <c r="EF148" i="6"/>
  <c r="EF147" i="6"/>
  <c r="EF172" i="6"/>
  <c r="EF167" i="6"/>
  <c r="EF166" i="6"/>
  <c r="EF157" i="6"/>
  <c r="EF156" i="6"/>
  <c r="EF152" i="6"/>
  <c r="EF161" i="6"/>
  <c r="EF162" i="6"/>
  <c r="EF153" i="6"/>
  <c r="EF137" i="6"/>
  <c r="EF138" i="6"/>
  <c r="EF142" i="6"/>
  <c r="EF143" i="6"/>
  <c r="CQ110" i="6"/>
  <c r="CQ111" i="6" s="1"/>
  <c r="CF116" i="6"/>
  <c r="CF128" i="6" s="1"/>
  <c r="CG117" i="6"/>
  <c r="CH118" i="6"/>
  <c r="CI119" i="6"/>
  <c r="CJ120" i="6"/>
  <c r="CK121" i="6"/>
  <c r="CL122" i="6"/>
  <c r="K106" i="21" s="1"/>
  <c r="CM123" i="6"/>
  <c r="CN124" i="6"/>
  <c r="CO125" i="6"/>
  <c r="CP126" i="6"/>
  <c r="CQ127" i="6"/>
  <c r="EF9" i="19"/>
  <c r="EF10" i="19" s="1"/>
  <c r="EF13" i="19"/>
  <c r="A179" i="45"/>
  <c r="BX27" i="70"/>
  <c r="EE13" i="70"/>
  <c r="BP19" i="70"/>
  <c r="BQ156" i="71"/>
  <c r="EF145" i="71"/>
  <c r="BM157" i="71"/>
  <c r="K107" i="21"/>
  <c r="A182" i="45"/>
  <c r="A181" i="45"/>
  <c r="A180" i="45"/>
  <c r="A178" i="45"/>
  <c r="A177" i="45"/>
  <c r="EG30" i="2"/>
  <c r="A439" i="45"/>
  <c r="A185" i="45"/>
  <c r="A187" i="45"/>
  <c r="A186" i="45"/>
  <c r="A184" i="45"/>
  <c r="A183" i="45"/>
  <c r="A188" i="45"/>
  <c r="A276" i="45"/>
  <c r="A268" i="45"/>
  <c r="A245" i="45"/>
  <c r="A220" i="45"/>
  <c r="A368" i="45"/>
  <c r="A226" i="45"/>
  <c r="A382" i="45"/>
  <c r="A415" i="45"/>
  <c r="A337" i="45"/>
  <c r="A449" i="45"/>
  <c r="A292" i="45"/>
  <c r="A405" i="45"/>
  <c r="A196" i="45"/>
  <c r="A446" i="45"/>
  <c r="A342" i="45"/>
  <c r="A393" i="45"/>
  <c r="A274" i="45"/>
  <c r="A435" i="45"/>
  <c r="A387" i="45"/>
  <c r="A424" i="45"/>
  <c r="A361" i="45"/>
  <c r="A442" i="45"/>
  <c r="A195" i="45"/>
  <c r="A211" i="45"/>
  <c r="A364" i="45"/>
  <c r="A256" i="45"/>
  <c r="A417" i="45"/>
  <c r="A234" i="45"/>
  <c r="A350" i="45"/>
  <c r="A275" i="45"/>
  <c r="A452" i="45"/>
  <c r="A429" i="45"/>
  <c r="A290" i="45"/>
  <c r="A246" i="45"/>
  <c r="A426" i="45"/>
  <c r="A329" i="45"/>
  <c r="A254" i="45"/>
  <c r="A300" i="45"/>
  <c r="A441" i="45"/>
  <c r="A297" i="45"/>
  <c r="A218" i="45"/>
  <c r="A371" i="45"/>
  <c r="A401" i="45"/>
  <c r="A389" i="45"/>
  <c r="A286" i="45"/>
  <c r="A378" i="45"/>
  <c r="A402" i="45"/>
  <c r="A192" i="45"/>
  <c r="A307" i="45"/>
  <c r="A409" i="45"/>
  <c r="A433" i="45"/>
  <c r="A230" i="45"/>
  <c r="A325" i="45"/>
  <c r="A310" i="45"/>
  <c r="A334" i="45"/>
  <c r="A362" i="45"/>
  <c r="A344" i="45"/>
  <c r="A349" i="45"/>
  <c r="A459" i="45"/>
  <c r="A289" i="45"/>
  <c r="A194" i="45"/>
  <c r="A392" i="45"/>
  <c r="A421" i="45"/>
  <c r="A304" i="45"/>
  <c r="A430" i="45"/>
  <c r="A324" i="45"/>
  <c r="A346" i="45"/>
  <c r="A379" i="45"/>
  <c r="A355" i="45"/>
  <c r="A427" i="45"/>
  <c r="A321" i="45"/>
  <c r="A202" i="45"/>
  <c r="A404" i="45"/>
  <c r="A189" i="45"/>
  <c r="A273" i="45"/>
  <c r="A360" i="45"/>
  <c r="A309" i="45"/>
  <c r="A431" i="45"/>
  <c r="A247" i="45"/>
  <c r="A314" i="45"/>
  <c r="A437" i="45"/>
  <c r="A287" i="45"/>
  <c r="A221" i="45"/>
  <c r="A345" i="45"/>
  <c r="A369" i="45"/>
  <c r="A214" i="45"/>
  <c r="A438" i="45"/>
  <c r="A353" i="45"/>
  <c r="A231" i="45"/>
  <c r="A225" i="45"/>
  <c r="A419" i="45"/>
  <c r="A333" i="45"/>
  <c r="A277" i="45"/>
  <c r="A363" i="45"/>
  <c r="A343" i="45"/>
  <c r="A264" i="45"/>
  <c r="A239" i="45"/>
  <c r="A291" i="45"/>
  <c r="A331" i="45"/>
  <c r="A384" i="45"/>
  <c r="A265" i="45"/>
  <c r="A373" i="45"/>
  <c r="A257" i="45"/>
  <c r="A302" i="45"/>
  <c r="A394" i="45"/>
  <c r="A370" i="45"/>
  <c r="A288" i="45"/>
  <c r="A407" i="45"/>
  <c r="A299" i="45"/>
  <c r="A391" i="45"/>
  <c r="A301" i="45"/>
  <c r="A282" i="45"/>
  <c r="A201" i="45"/>
  <c r="A238" i="45"/>
  <c r="A339" i="45"/>
  <c r="A326" i="45"/>
  <c r="A412" i="45"/>
  <c r="A248" i="45"/>
  <c r="A278" i="45"/>
  <c r="A416" i="45"/>
  <c r="A451" i="45"/>
  <c r="A411" i="45"/>
  <c r="I33" i="21"/>
  <c r="EG5" i="2"/>
  <c r="A205" i="45"/>
  <c r="EE10" i="19"/>
  <c r="EE11" i="19"/>
  <c r="EE15" i="19" s="1"/>
  <c r="A270" i="45"/>
  <c r="A352" i="45"/>
  <c r="A423" i="45"/>
  <c r="A453" i="45"/>
  <c r="A366" i="45"/>
  <c r="A259" i="45"/>
  <c r="A317" i="45"/>
  <c r="A454" i="45"/>
  <c r="A215" i="45"/>
  <c r="A280" i="45"/>
  <c r="A281" i="45"/>
  <c r="A198" i="45"/>
  <c r="A434" i="45"/>
  <c r="A399" i="45"/>
  <c r="A260" i="45"/>
  <c r="A312" i="45"/>
  <c r="A359" i="45"/>
  <c r="A422" i="45"/>
  <c r="A271" i="45"/>
  <c r="A207" i="45"/>
  <c r="A244" i="45"/>
  <c r="A397" i="45"/>
  <c r="A217" i="45"/>
  <c r="A267" i="45"/>
  <c r="A295" i="45"/>
  <c r="A209" i="45"/>
  <c r="A354" i="45"/>
  <c r="A320" i="45"/>
  <c r="A193" i="45"/>
  <c r="A255" i="45"/>
  <c r="A330" i="45"/>
  <c r="A261" i="45"/>
  <c r="A319" i="45"/>
  <c r="A279" i="45"/>
  <c r="A450" i="45"/>
  <c r="A251" i="45"/>
  <c r="A327" i="45"/>
  <c r="A390" i="45"/>
  <c r="A224" i="45"/>
  <c r="A377" i="45"/>
  <c r="A206" i="45"/>
  <c r="A237" i="45"/>
  <c r="A229" i="45"/>
  <c r="A348" i="45"/>
  <c r="A436" i="45"/>
  <c r="A232" i="45"/>
  <c r="A367" i="45"/>
  <c r="A376" i="45"/>
  <c r="A323" i="45"/>
  <c r="A347" i="45"/>
  <c r="A375" i="45"/>
  <c r="A365" i="45"/>
  <c r="A328" i="45"/>
  <c r="A210" i="45"/>
  <c r="A432" i="45"/>
  <c r="A388" i="45"/>
  <c r="A285" i="45"/>
  <c r="A385" i="45"/>
  <c r="A199" i="45"/>
  <c r="A241" i="45"/>
  <c r="A448" i="45"/>
  <c r="A298" i="45"/>
  <c r="A395" i="45"/>
  <c r="A293" i="45"/>
  <c r="A374" i="45"/>
  <c r="A458" i="45"/>
  <c r="A338" i="45"/>
  <c r="A249" i="45"/>
  <c r="A455" i="45"/>
  <c r="A410" i="45"/>
  <c r="A269" i="45"/>
  <c r="A303" i="45"/>
  <c r="A197" i="45"/>
  <c r="A381" i="45"/>
  <c r="A305" i="45"/>
  <c r="A294" i="45"/>
  <c r="A396" i="45"/>
  <c r="A420" i="45"/>
  <c r="A228" i="45"/>
  <c r="A383" i="45"/>
  <c r="A386" i="45"/>
  <c r="A235" i="45"/>
  <c r="A258" i="45"/>
  <c r="A380" i="45"/>
  <c r="A313" i="45"/>
  <c r="A306" i="45"/>
  <c r="A335" i="45"/>
  <c r="A223" i="45"/>
  <c r="A252" i="45"/>
  <c r="A336" i="45"/>
  <c r="A253" i="45"/>
  <c r="A222" i="45"/>
  <c r="A322" i="45"/>
  <c r="A219" i="45"/>
  <c r="A266" i="45"/>
  <c r="A406" i="45"/>
  <c r="A208" i="45"/>
  <c r="A443" i="45"/>
  <c r="A190" i="45"/>
  <c r="A413" i="45"/>
  <c r="A400" i="45"/>
  <c r="A284" i="45"/>
  <c r="A372" i="45"/>
  <c r="A216" i="45"/>
  <c r="A318" i="45"/>
  <c r="A296" i="45"/>
  <c r="A233" i="45"/>
  <c r="A283" i="45"/>
  <c r="A311" i="45"/>
  <c r="BS19" i="2"/>
  <c r="BT17" i="6" s="1"/>
  <c r="BR23" i="2"/>
  <c r="BQ20" i="70"/>
  <c r="BS21" i="2"/>
  <c r="BT19" i="6" s="1"/>
  <c r="A398" i="45"/>
  <c r="A240" i="45"/>
  <c r="A204" i="45"/>
  <c r="A440" i="45"/>
  <c r="BQ11" i="2"/>
  <c r="BR9" i="6" s="1"/>
  <c r="BQ13" i="2"/>
  <c r="BR11" i="6" s="1"/>
  <c r="A456" i="45"/>
  <c r="A213" i="45"/>
  <c r="A332" i="45"/>
  <c r="A356" i="45"/>
  <c r="A212" i="45"/>
  <c r="A403" i="45"/>
  <c r="A457" i="45"/>
  <c r="A203" i="45"/>
  <c r="A242" i="45"/>
  <c r="A263" i="45"/>
  <c r="A227" i="45"/>
  <c r="A358" i="45"/>
  <c r="A428" i="45"/>
  <c r="A191" i="45"/>
  <c r="A236" i="45"/>
  <c r="A444" i="45"/>
  <c r="A445" i="45"/>
  <c r="A357" i="45"/>
  <c r="A425" i="45"/>
  <c r="A250" i="45"/>
  <c r="A316" i="45"/>
  <c r="A408" i="45"/>
  <c r="A315" i="45"/>
  <c r="A341" i="45"/>
  <c r="A351" i="45"/>
  <c r="A272" i="45"/>
  <c r="A414" i="45"/>
  <c r="A308" i="45"/>
  <c r="A200" i="45"/>
  <c r="A340" i="45"/>
  <c r="A447" i="45"/>
  <c r="A418" i="45"/>
  <c r="A243" i="45"/>
  <c r="A262" i="45"/>
  <c r="CT59" i="6" l="1"/>
  <c r="CF105" i="6"/>
  <c r="CF60" i="6" s="1"/>
  <c r="CF61" i="6" s="1"/>
  <c r="CF90" i="6"/>
  <c r="CG85" i="6" s="1"/>
  <c r="BS37" i="6"/>
  <c r="BR3" i="6"/>
  <c r="BT32" i="6"/>
  <c r="BT34" i="6" s="1"/>
  <c r="BT20" i="6"/>
  <c r="CR87" i="6"/>
  <c r="CR88" i="6" s="1"/>
  <c r="CG93" i="6"/>
  <c r="CG105" i="6" s="1"/>
  <c r="CH94" i="6"/>
  <c r="CI95" i="6"/>
  <c r="CJ96" i="6"/>
  <c r="CK97" i="6"/>
  <c r="CL98" i="6"/>
  <c r="K82" i="21" s="1"/>
  <c r="CM99" i="6"/>
  <c r="CN100" i="6"/>
  <c r="CO101" i="6"/>
  <c r="CP102" i="6"/>
  <c r="CQ103" i="6"/>
  <c r="CR104" i="6"/>
  <c r="BT27" i="6"/>
  <c r="BT29" i="6"/>
  <c r="CF113" i="6"/>
  <c r="CG108" i="6" s="1"/>
  <c r="BS23" i="6"/>
  <c r="BS25" i="6"/>
  <c r="CV54" i="6"/>
  <c r="CW44" i="6"/>
  <c r="BS168" i="6"/>
  <c r="BT173" i="6"/>
  <c r="BR15" i="6"/>
  <c r="BR15" i="2"/>
  <c r="BS13" i="6" s="1"/>
  <c r="BR17" i="2"/>
  <c r="CI28" i="6"/>
  <c r="CI24" i="6" s="1"/>
  <c r="CJ35" i="6"/>
  <c r="CR110" i="6"/>
  <c r="CR111" i="6" s="1"/>
  <c r="CG116" i="6"/>
  <c r="CG128" i="6" s="1"/>
  <c r="CH117" i="6"/>
  <c r="CI118" i="6"/>
  <c r="CJ119" i="6"/>
  <c r="CK120" i="6"/>
  <c r="CL121" i="6"/>
  <c r="CM122" i="6"/>
  <c r="CN123" i="6"/>
  <c r="CO124" i="6"/>
  <c r="CP125" i="6"/>
  <c r="CQ126" i="6"/>
  <c r="CR127" i="6"/>
  <c r="CG89" i="6"/>
  <c r="CG86" i="6" s="1"/>
  <c r="EG177" i="6"/>
  <c r="EG176" i="6"/>
  <c r="EG172" i="6"/>
  <c r="EG167" i="6"/>
  <c r="EG166" i="6"/>
  <c r="EG162" i="6"/>
  <c r="EG161" i="6"/>
  <c r="EG152" i="6"/>
  <c r="EG148" i="6"/>
  <c r="EG147" i="6"/>
  <c r="EG156" i="6"/>
  <c r="EG153" i="6"/>
  <c r="EG143" i="6"/>
  <c r="EG142" i="6"/>
  <c r="EG138" i="6"/>
  <c r="EG137" i="6"/>
  <c r="EG157" i="6"/>
  <c r="CG112" i="6"/>
  <c r="CG109" i="6" s="1"/>
  <c r="CU55" i="6"/>
  <c r="CU48" i="6"/>
  <c r="CV46" i="6"/>
  <c r="CU57" i="6"/>
  <c r="CV50" i="6"/>
  <c r="CU56" i="6"/>
  <c r="CV47" i="6"/>
  <c r="EH175" i="6"/>
  <c r="EH49" i="6"/>
  <c r="EH135" i="6"/>
  <c r="EH45" i="6"/>
  <c r="EH43" i="6"/>
  <c r="CU58" i="6"/>
  <c r="CV51" i="6"/>
  <c r="BT31" i="6"/>
  <c r="BT36" i="6" s="1"/>
  <c r="BT37" i="6" s="1"/>
  <c r="BS38" i="6"/>
  <c r="EG171" i="6"/>
  <c r="EF11" i="19"/>
  <c r="EF13" i="70"/>
  <c r="CS26" i="70"/>
  <c r="BY27" i="70"/>
  <c r="BQ19" i="70"/>
  <c r="K83" i="21"/>
  <c r="BR156" i="71"/>
  <c r="AA153" i="69"/>
  <c r="J152" i="68"/>
  <c r="EG145" i="71"/>
  <c r="EH30" i="2"/>
  <c r="EF15" i="19"/>
  <c r="J31" i="21"/>
  <c r="I35" i="21"/>
  <c r="BR11" i="2"/>
  <c r="BS9" i="6" s="1"/>
  <c r="BR13" i="2"/>
  <c r="BS11" i="6" s="1"/>
  <c r="BT19" i="2"/>
  <c r="BU17" i="6" s="1"/>
  <c r="BS23" i="2"/>
  <c r="BR19" i="70" s="1"/>
  <c r="BR20" i="70"/>
  <c r="BT21" i="2"/>
  <c r="BU19" i="6" s="1"/>
  <c r="O6" i="21"/>
  <c r="I34" i="21"/>
  <c r="BS3" i="6" l="1"/>
  <c r="BT39" i="6"/>
  <c r="BT40" i="6" s="1"/>
  <c r="BT62" i="6" s="1"/>
  <c r="CG60" i="6"/>
  <c r="CG61" i="6" s="1"/>
  <c r="CU59" i="6"/>
  <c r="BS15" i="6"/>
  <c r="BS15" i="2"/>
  <c r="BT13" i="6" s="1"/>
  <c r="BS17" i="2"/>
  <c r="CV57" i="6"/>
  <c r="CW50" i="6"/>
  <c r="CS87" i="6"/>
  <c r="CS88" i="6" s="1"/>
  <c r="CH93" i="6"/>
  <c r="CH105" i="6" s="1"/>
  <c r="CI94" i="6"/>
  <c r="CJ95" i="6"/>
  <c r="CK96" i="6"/>
  <c r="CL97" i="6"/>
  <c r="CM98" i="6"/>
  <c r="CN99" i="6"/>
  <c r="CO100" i="6"/>
  <c r="CP101" i="6"/>
  <c r="CQ102" i="6"/>
  <c r="CR103" i="6"/>
  <c r="CS104" i="6"/>
  <c r="CW54" i="6"/>
  <c r="CX44" i="6"/>
  <c r="BU173" i="6"/>
  <c r="BT168" i="6"/>
  <c r="CV55" i="6"/>
  <c r="CV48" i="6"/>
  <c r="CW46" i="6"/>
  <c r="BT23" i="6"/>
  <c r="BT25" i="6"/>
  <c r="EH171" i="6"/>
  <c r="CJ28" i="6"/>
  <c r="CK35" i="6"/>
  <c r="CV58" i="6"/>
  <c r="CW51" i="6"/>
  <c r="CH89" i="6"/>
  <c r="CH86" i="6" s="1"/>
  <c r="CG113" i="6"/>
  <c r="CH108" i="6" s="1"/>
  <c r="CS110" i="6"/>
  <c r="CS111" i="6" s="1"/>
  <c r="CH116" i="6"/>
  <c r="CH128" i="6" s="1"/>
  <c r="CI117" i="6"/>
  <c r="CJ118" i="6"/>
  <c r="CK119" i="6"/>
  <c r="CL120" i="6"/>
  <c r="K104" i="21" s="1"/>
  <c r="CM121" i="6"/>
  <c r="CN122" i="6"/>
  <c r="CO123" i="6"/>
  <c r="CP124" i="6"/>
  <c r="CQ125" i="6"/>
  <c r="CR126" i="6"/>
  <c r="CS127" i="6"/>
  <c r="CH112" i="6"/>
  <c r="CH109" i="6" s="1"/>
  <c r="CG90" i="6"/>
  <c r="CH85" i="6" s="1"/>
  <c r="CV56" i="6"/>
  <c r="CW47" i="6"/>
  <c r="EH177" i="6"/>
  <c r="EH176" i="6"/>
  <c r="EH172" i="6"/>
  <c r="EH167" i="6"/>
  <c r="EH166" i="6"/>
  <c r="EH162" i="6"/>
  <c r="EH161" i="6"/>
  <c r="EH153" i="6"/>
  <c r="EH152" i="6"/>
  <c r="EH147" i="6"/>
  <c r="EH156" i="6"/>
  <c r="EH143" i="6"/>
  <c r="EH142" i="6"/>
  <c r="EH157" i="6"/>
  <c r="EH137" i="6"/>
  <c r="EH148" i="6"/>
  <c r="EH138" i="6"/>
  <c r="BU20" i="6"/>
  <c r="BU32" i="6"/>
  <c r="BU34" i="6" s="1"/>
  <c r="BU31" i="6"/>
  <c r="BU36" i="6" s="1"/>
  <c r="BU39" i="6" s="1"/>
  <c r="BU40" i="6" s="1"/>
  <c r="BU62" i="6" s="1"/>
  <c r="BT38" i="6"/>
  <c r="BU27" i="6"/>
  <c r="BU29" i="6"/>
  <c r="BM21" i="70"/>
  <c r="BZ27" i="70"/>
  <c r="CT26" i="70"/>
  <c r="BS156" i="71"/>
  <c r="H142" i="69"/>
  <c r="I142" i="69"/>
  <c r="G140" i="68"/>
  <c r="K142" i="69"/>
  <c r="L142" i="69"/>
  <c r="M142" i="69"/>
  <c r="H140" i="68"/>
  <c r="O142" i="69"/>
  <c r="P142" i="69"/>
  <c r="Q142" i="69"/>
  <c r="I140" i="68"/>
  <c r="S142" i="69"/>
  <c r="T142" i="69"/>
  <c r="U142" i="69"/>
  <c r="J140" i="68"/>
  <c r="W142" i="69"/>
  <c r="X142" i="69"/>
  <c r="Y142" i="69"/>
  <c r="K140" i="68"/>
  <c r="AA142" i="69"/>
  <c r="AB142" i="69"/>
  <c r="L140" i="68"/>
  <c r="AF142" i="69"/>
  <c r="M140" i="68"/>
  <c r="AI142" i="69"/>
  <c r="AK142" i="69"/>
  <c r="N140" i="68"/>
  <c r="AM142" i="69"/>
  <c r="O140" i="68"/>
  <c r="AR142" i="69"/>
  <c r="AS142" i="69"/>
  <c r="P140" i="68"/>
  <c r="AV142" i="69"/>
  <c r="BN157" i="71"/>
  <c r="AW142" i="69"/>
  <c r="K105" i="21"/>
  <c r="CU26" i="70"/>
  <c r="CA27" i="70"/>
  <c r="BU19" i="2"/>
  <c r="BV17" i="6" s="1"/>
  <c r="BT23" i="2"/>
  <c r="BS19" i="70" s="1"/>
  <c r="BU21" i="2"/>
  <c r="BV19" i="6" s="1"/>
  <c r="I46" i="21"/>
  <c r="BS11" i="2"/>
  <c r="BT9" i="6" s="1"/>
  <c r="BS13" i="2"/>
  <c r="BT11" i="6" s="1"/>
  <c r="CV59" i="6" l="1"/>
  <c r="CT110" i="6"/>
  <c r="CT111" i="6" s="1"/>
  <c r="CI116" i="6"/>
  <c r="CI128" i="6" s="1"/>
  <c r="CJ117" i="6"/>
  <c r="CK118" i="6"/>
  <c r="CL119" i="6"/>
  <c r="K103" i="21" s="1"/>
  <c r="CM120" i="6"/>
  <c r="CN121" i="6"/>
  <c r="CO122" i="6"/>
  <c r="CP123" i="6"/>
  <c r="CQ124" i="6"/>
  <c r="CR125" i="6"/>
  <c r="CS126" i="6"/>
  <c r="CT127" i="6"/>
  <c r="BU23" i="6"/>
  <c r="BU25" i="6"/>
  <c r="CW57" i="6"/>
  <c r="CX50" i="6"/>
  <c r="CH113" i="6"/>
  <c r="CI108" i="6" s="1"/>
  <c r="CW48" i="6"/>
  <c r="CW55" i="6"/>
  <c r="CX46" i="6"/>
  <c r="BV27" i="6"/>
  <c r="BV29" i="6"/>
  <c r="CT87" i="6"/>
  <c r="CT88" i="6" s="1"/>
  <c r="CI93" i="6"/>
  <c r="CI105" i="6" s="1"/>
  <c r="CI60" i="6" s="1"/>
  <c r="CI61" i="6" s="1"/>
  <c r="CJ94" i="6"/>
  <c r="CK95" i="6"/>
  <c r="CL96" i="6"/>
  <c r="CM97" i="6"/>
  <c r="CN98" i="6"/>
  <c r="CO99" i="6"/>
  <c r="CP100" i="6"/>
  <c r="CQ101" i="6"/>
  <c r="CR102" i="6"/>
  <c r="CS103" i="6"/>
  <c r="CT104" i="6"/>
  <c r="BT15" i="6"/>
  <c r="BT15" i="2"/>
  <c r="BU13" i="6" s="1"/>
  <c r="BT17" i="2"/>
  <c r="BV32" i="6"/>
  <c r="BV34" i="6" s="1"/>
  <c r="BV20" i="6"/>
  <c r="CW58" i="6"/>
  <c r="CX51" i="6"/>
  <c r="BU38" i="6"/>
  <c r="BV31" i="6"/>
  <c r="BV36" i="6" s="1"/>
  <c r="BV39" i="6" s="1"/>
  <c r="BV40" i="6" s="1"/>
  <c r="BV62" i="6" s="1"/>
  <c r="CW56" i="6"/>
  <c r="CX47" i="6"/>
  <c r="CX54" i="6"/>
  <c r="L38" i="21" s="1"/>
  <c r="CY44" i="6"/>
  <c r="CK28" i="6"/>
  <c r="CK24" i="6" s="1"/>
  <c r="CL35" i="6"/>
  <c r="CH60" i="6"/>
  <c r="CH61" i="6" s="1"/>
  <c r="CH90" i="6"/>
  <c r="CI85" i="6" s="1"/>
  <c r="CI112" i="6"/>
  <c r="CI109" i="6" s="1"/>
  <c r="BV173" i="6"/>
  <c r="BU168" i="6"/>
  <c r="CJ24" i="6"/>
  <c r="BT3" i="6"/>
  <c r="BU37" i="6"/>
  <c r="EG13" i="70"/>
  <c r="BS20" i="70"/>
  <c r="BN21" i="70"/>
  <c r="BT156" i="71"/>
  <c r="AB153" i="69" s="1"/>
  <c r="BO157" i="71"/>
  <c r="Z154" i="69"/>
  <c r="K81" i="21"/>
  <c r="CV26" i="70"/>
  <c r="BT11" i="2"/>
  <c r="BU9" i="6" s="1"/>
  <c r="BT13" i="2"/>
  <c r="BU11" i="6" s="1"/>
  <c r="CB27" i="70"/>
  <c r="BV19" i="2"/>
  <c r="BW17" i="6" s="1"/>
  <c r="BU23" i="2"/>
  <c r="BV21" i="2"/>
  <c r="BW19" i="6" s="1"/>
  <c r="BV37" i="6" l="1"/>
  <c r="BU3" i="6"/>
  <c r="CW59" i="6"/>
  <c r="CI113" i="6"/>
  <c r="CJ108" i="6" s="1"/>
  <c r="CX58" i="6"/>
  <c r="CY51" i="6"/>
  <c r="CX48" i="6"/>
  <c r="CX55" i="6"/>
  <c r="CY46" i="6"/>
  <c r="CJ112" i="6"/>
  <c r="CJ109" i="6" s="1"/>
  <c r="BW173" i="6"/>
  <c r="BV168" i="6"/>
  <c r="CY54" i="6"/>
  <c r="CZ44" i="6"/>
  <c r="CX57" i="6"/>
  <c r="L41" i="21" s="1"/>
  <c r="CY50" i="6"/>
  <c r="CI89" i="6"/>
  <c r="CI86" i="6" s="1"/>
  <c r="CX56" i="6"/>
  <c r="L40" i="21" s="1"/>
  <c r="CY47" i="6"/>
  <c r="BU15" i="6"/>
  <c r="BU17" i="2"/>
  <c r="BU15" i="2"/>
  <c r="BV13" i="6" s="1"/>
  <c r="BV23" i="6"/>
  <c r="BV25" i="6"/>
  <c r="CL28" i="6"/>
  <c r="CM35" i="6"/>
  <c r="BW31" i="6"/>
  <c r="BW36" i="6" s="1"/>
  <c r="BV38" i="6"/>
  <c r="CJ89" i="6"/>
  <c r="CJ86" i="6" s="1"/>
  <c r="BW32" i="6"/>
  <c r="BW34" i="6" s="1"/>
  <c r="BW20" i="6"/>
  <c r="CU110" i="6"/>
  <c r="CU111" i="6" s="1"/>
  <c r="CJ116" i="6"/>
  <c r="CJ128" i="6" s="1"/>
  <c r="CK117" i="6"/>
  <c r="CL118" i="6"/>
  <c r="K102" i="21" s="1"/>
  <c r="CM119" i="6"/>
  <c r="CN120" i="6"/>
  <c r="CO121" i="6"/>
  <c r="CP122" i="6"/>
  <c r="CQ123" i="6"/>
  <c r="CR124" i="6"/>
  <c r="CS125" i="6"/>
  <c r="CT126" i="6"/>
  <c r="CU127" i="6"/>
  <c r="BW27" i="6"/>
  <c r="BW29" i="6"/>
  <c r="BT19" i="70"/>
  <c r="BT20" i="70"/>
  <c r="BO21" i="70"/>
  <c r="BU156" i="71"/>
  <c r="BP157" i="71"/>
  <c r="K80" i="21"/>
  <c r="K32" i="21"/>
  <c r="CW26" i="70"/>
  <c r="BW19" i="2"/>
  <c r="BX17" i="6" s="1"/>
  <c r="BV23" i="2"/>
  <c r="BU19" i="70" s="1"/>
  <c r="BW21" i="2"/>
  <c r="BX19" i="6" s="1"/>
  <c r="BU11" i="2"/>
  <c r="BV9" i="6" s="1"/>
  <c r="BU13" i="2"/>
  <c r="BV11" i="6" s="1"/>
  <c r="BP21" i="70"/>
  <c r="CI90" i="6" l="1"/>
  <c r="CJ85" i="6" s="1"/>
  <c r="CX59" i="6"/>
  <c r="BV15" i="6"/>
  <c r="BV15" i="2"/>
  <c r="BW13" i="6" s="1"/>
  <c r="BV17" i="2"/>
  <c r="CV87" i="6"/>
  <c r="CV88" i="6" s="1"/>
  <c r="CK93" i="6"/>
  <c r="CL94" i="6"/>
  <c r="CM95" i="6"/>
  <c r="CN96" i="6"/>
  <c r="CO97" i="6"/>
  <c r="CP98" i="6"/>
  <c r="CQ99" i="6"/>
  <c r="CR100" i="6"/>
  <c r="CS101" i="6"/>
  <c r="CT102" i="6"/>
  <c r="CU103" i="6"/>
  <c r="CV104" i="6"/>
  <c r="BX31" i="6"/>
  <c r="BX36" i="6" s="1"/>
  <c r="BX37" i="6" s="1"/>
  <c r="BW38" i="6"/>
  <c r="BV3" i="6"/>
  <c r="CY48" i="6"/>
  <c r="CY55" i="6"/>
  <c r="CZ46" i="6"/>
  <c r="BX27" i="6"/>
  <c r="BX29" i="6"/>
  <c r="CY56" i="6"/>
  <c r="CZ47" i="6"/>
  <c r="CV110" i="6"/>
  <c r="CV111" i="6" s="1"/>
  <c r="CK116" i="6"/>
  <c r="CK128" i="6" s="1"/>
  <c r="CL117" i="6"/>
  <c r="K101" i="21" s="1"/>
  <c r="CM118" i="6"/>
  <c r="CN119" i="6"/>
  <c r="CO120" i="6"/>
  <c r="CP121" i="6"/>
  <c r="CQ122" i="6"/>
  <c r="CR123" i="6"/>
  <c r="CS124" i="6"/>
  <c r="CT125" i="6"/>
  <c r="CU126" i="6"/>
  <c r="CV127" i="6"/>
  <c r="BW37" i="6"/>
  <c r="CK112" i="6"/>
  <c r="CK109" i="6" s="1"/>
  <c r="CY57" i="6"/>
  <c r="CZ50" i="6"/>
  <c r="CY58" i="6"/>
  <c r="CZ51" i="6"/>
  <c r="BW39" i="6"/>
  <c r="BW40" i="6" s="1"/>
  <c r="BW62" i="6" s="1"/>
  <c r="CU87" i="6"/>
  <c r="CU88" i="6" s="1"/>
  <c r="CJ93" i="6"/>
  <c r="CJ105" i="6" s="1"/>
  <c r="CJ60" i="6" s="1"/>
  <c r="CJ61" i="6" s="1"/>
  <c r="CK94" i="6"/>
  <c r="CL95" i="6"/>
  <c r="K79" i="21" s="1"/>
  <c r="CM96" i="6"/>
  <c r="CN97" i="6"/>
  <c r="CO98" i="6"/>
  <c r="CP99" i="6"/>
  <c r="CQ100" i="6"/>
  <c r="CR101" i="6"/>
  <c r="CS102" i="6"/>
  <c r="CT103" i="6"/>
  <c r="CU104" i="6"/>
  <c r="BX173" i="6"/>
  <c r="BW168" i="6"/>
  <c r="CL24" i="6"/>
  <c r="CM28" i="6"/>
  <c r="CN35" i="6"/>
  <c r="BW23" i="6"/>
  <c r="BW25" i="6"/>
  <c r="CZ54" i="6"/>
  <c r="DA44" i="6"/>
  <c r="CJ90" i="6"/>
  <c r="CK85" i="6" s="1"/>
  <c r="BX32" i="6"/>
  <c r="BX34" i="6" s="1"/>
  <c r="BX20" i="6"/>
  <c r="CJ113" i="6"/>
  <c r="CK108" i="6" s="1"/>
  <c r="CC27" i="70"/>
  <c r="BU20" i="70"/>
  <c r="BQ157" i="71"/>
  <c r="BV156" i="71"/>
  <c r="K28" i="21"/>
  <c r="CX26" i="70"/>
  <c r="L42" i="21"/>
  <c r="L39" i="21"/>
  <c r="BQ21" i="70"/>
  <c r="BV11" i="2"/>
  <c r="BW9" i="6" s="1"/>
  <c r="BV13" i="2"/>
  <c r="BW11" i="6" s="1"/>
  <c r="BW23" i="2"/>
  <c r="BV19" i="70" s="1"/>
  <c r="BX19" i="2"/>
  <c r="BY17" i="6" s="1"/>
  <c r="BX21" i="2"/>
  <c r="BY19" i="6" s="1"/>
  <c r="BW3" i="6" l="1"/>
  <c r="CY59" i="6"/>
  <c r="CK113" i="6"/>
  <c r="CL108" i="6" s="1"/>
  <c r="CW110" i="6"/>
  <c r="CW111" i="6" s="1"/>
  <c r="CL116" i="6"/>
  <c r="CL128" i="6" s="1"/>
  <c r="CM117" i="6"/>
  <c r="CN118" i="6"/>
  <c r="CO119" i="6"/>
  <c r="CP120" i="6"/>
  <c r="CQ121" i="6"/>
  <c r="CR122" i="6"/>
  <c r="CS123" i="6"/>
  <c r="CT124" i="6"/>
  <c r="CU125" i="6"/>
  <c r="CV126" i="6"/>
  <c r="CW127" i="6"/>
  <c r="CL112" i="6"/>
  <c r="CL109" i="6" s="1"/>
  <c r="BX38" i="6"/>
  <c r="BX3" i="6" s="1"/>
  <c r="BY31" i="6"/>
  <c r="BY36" i="6" s="1"/>
  <c r="BY37" i="6" s="1"/>
  <c r="BX39" i="6"/>
  <c r="BX40" i="6" s="1"/>
  <c r="BX62" i="6" s="1"/>
  <c r="CK105" i="6"/>
  <c r="CK60" i="6" s="1"/>
  <c r="CK61" i="6" s="1"/>
  <c r="CZ56" i="6"/>
  <c r="DA47" i="6"/>
  <c r="CM24" i="6"/>
  <c r="CK89" i="6"/>
  <c r="CK86" i="6" s="1"/>
  <c r="BY27" i="6"/>
  <c r="BY29" i="6"/>
  <c r="BW15" i="6"/>
  <c r="BW15" i="2"/>
  <c r="BX13" i="6" s="1"/>
  <c r="BW17" i="2"/>
  <c r="BY173" i="6"/>
  <c r="BX168" i="6"/>
  <c r="CZ58" i="6"/>
  <c r="DA51" i="6"/>
  <c r="CZ48" i="6"/>
  <c r="CZ55" i="6"/>
  <c r="DA46" i="6"/>
  <c r="CN28" i="6"/>
  <c r="CN24" i="6" s="1"/>
  <c r="CO35" i="6"/>
  <c r="K24" i="21"/>
  <c r="DA54" i="6"/>
  <c r="DB44" i="6"/>
  <c r="BX23" i="6"/>
  <c r="BX25" i="6"/>
  <c r="CZ57" i="6"/>
  <c r="DA50" i="6"/>
  <c r="BY32" i="6"/>
  <c r="BY34" i="6" s="1"/>
  <c r="BY20" i="6"/>
  <c r="BV20" i="70"/>
  <c r="CD27" i="70"/>
  <c r="L43" i="21"/>
  <c r="AA154" i="69"/>
  <c r="BW156" i="71"/>
  <c r="AC153" i="69" s="1"/>
  <c r="BR157" i="71"/>
  <c r="K96" i="21"/>
  <c r="K78" i="21"/>
  <c r="CY26" i="70"/>
  <c r="BW11" i="2"/>
  <c r="BX9" i="6" s="1"/>
  <c r="BW13" i="2"/>
  <c r="BX11" i="6" s="1"/>
  <c r="BR21" i="70"/>
  <c r="BX23" i="2"/>
  <c r="BY19" i="2"/>
  <c r="BZ17" i="6" s="1"/>
  <c r="BY21" i="2"/>
  <c r="BZ19" i="6" s="1"/>
  <c r="CL113" i="6" l="1"/>
  <c r="CM108" i="6" s="1"/>
  <c r="L92" i="21" s="1"/>
  <c r="CZ59" i="6"/>
  <c r="CK90" i="6"/>
  <c r="CL85" i="6" s="1"/>
  <c r="CM112" i="6"/>
  <c r="CM109" i="6" s="1"/>
  <c r="BZ27" i="6"/>
  <c r="BZ29" i="6"/>
  <c r="BY38" i="6"/>
  <c r="BY3" i="6" s="1"/>
  <c r="BZ31" i="6"/>
  <c r="BZ36" i="6" s="1"/>
  <c r="DA57" i="6"/>
  <c r="DB50" i="6"/>
  <c r="BY23" i="6"/>
  <c r="BY25" i="6"/>
  <c r="DA58" i="6"/>
  <c r="DB51" i="6"/>
  <c r="BY39" i="6"/>
  <c r="BY40" i="6" s="1"/>
  <c r="BY62" i="6" s="1"/>
  <c r="CW87" i="6"/>
  <c r="CW88" i="6" s="1"/>
  <c r="CL93" i="6"/>
  <c r="CL105" i="6" s="1"/>
  <c r="CL60" i="6" s="1"/>
  <c r="CL61" i="6" s="1"/>
  <c r="CM94" i="6"/>
  <c r="CN95" i="6"/>
  <c r="CO96" i="6"/>
  <c r="CP97" i="6"/>
  <c r="CQ98" i="6"/>
  <c r="CR99" i="6"/>
  <c r="CS100" i="6"/>
  <c r="CT101" i="6"/>
  <c r="CU102" i="6"/>
  <c r="CV103" i="6"/>
  <c r="CW104" i="6"/>
  <c r="DB54" i="6"/>
  <c r="DC44" i="6"/>
  <c r="CX110" i="6"/>
  <c r="CX111" i="6" s="1"/>
  <c r="CM116" i="6"/>
  <c r="CM128" i="6" s="1"/>
  <c r="CN117" i="6"/>
  <c r="CO118" i="6"/>
  <c r="CP119" i="6"/>
  <c r="CQ120" i="6"/>
  <c r="CR121" i="6"/>
  <c r="CS122" i="6"/>
  <c r="CT123" i="6"/>
  <c r="CU124" i="6"/>
  <c r="CV125" i="6"/>
  <c r="CW126" i="6"/>
  <c r="CX127" i="6"/>
  <c r="L111" i="21" s="1"/>
  <c r="BX15" i="6"/>
  <c r="BX17" i="2"/>
  <c r="BX15" i="2"/>
  <c r="BY13" i="6" s="1"/>
  <c r="BZ32" i="6"/>
  <c r="BZ34" i="6" s="1"/>
  <c r="BZ20" i="6"/>
  <c r="CL89" i="6"/>
  <c r="CL86" i="6" s="1"/>
  <c r="DA56" i="6"/>
  <c r="DB47" i="6"/>
  <c r="CM89" i="6"/>
  <c r="CM86" i="6" s="1"/>
  <c r="DA48" i="6"/>
  <c r="DA55" i="6"/>
  <c r="DB46" i="6"/>
  <c r="BZ173" i="6"/>
  <c r="BY168" i="6"/>
  <c r="CO28" i="6"/>
  <c r="CP35" i="6"/>
  <c r="BW20" i="70"/>
  <c r="BW19" i="70"/>
  <c r="CE27" i="70"/>
  <c r="BX156" i="71"/>
  <c r="BS157" i="71"/>
  <c r="K97" i="21"/>
  <c r="K112" i="21"/>
  <c r="K100" i="21"/>
  <c r="K93" i="21"/>
  <c r="BS21" i="70"/>
  <c r="BX11" i="2"/>
  <c r="BY9" i="6" s="1"/>
  <c r="BX13" i="2"/>
  <c r="BY11" i="6" s="1"/>
  <c r="BZ19" i="2"/>
  <c r="CA17" i="6" s="1"/>
  <c r="BY23" i="2"/>
  <c r="BZ21" i="2"/>
  <c r="CA19" i="6" s="1"/>
  <c r="DA59" i="6" l="1"/>
  <c r="CM113" i="6"/>
  <c r="CN108" i="6" s="1"/>
  <c r="CL90" i="6"/>
  <c r="CM85" i="6" s="1"/>
  <c r="CM90" i="6" s="1"/>
  <c r="CN85" i="6" s="1"/>
  <c r="BZ38" i="6"/>
  <c r="CA31" i="6"/>
  <c r="CA36" i="6" s="1"/>
  <c r="CA37" i="6" s="1"/>
  <c r="CX87" i="6"/>
  <c r="CX88" i="6" s="1"/>
  <c r="CM93" i="6"/>
  <c r="CM105" i="6" s="1"/>
  <c r="CM60" i="6" s="1"/>
  <c r="CM61" i="6" s="1"/>
  <c r="CN94" i="6"/>
  <c r="CO95" i="6"/>
  <c r="CP96" i="6"/>
  <c r="CQ97" i="6"/>
  <c r="CR98" i="6"/>
  <c r="CS99" i="6"/>
  <c r="CT100" i="6"/>
  <c r="CU101" i="6"/>
  <c r="CV102" i="6"/>
  <c r="CW103" i="6"/>
  <c r="CX104" i="6"/>
  <c r="BZ39" i="6"/>
  <c r="BZ40" i="6" s="1"/>
  <c r="BZ62" i="6" s="1"/>
  <c r="CA27" i="6"/>
  <c r="K27" i="21" s="1"/>
  <c r="K29" i="21" s="1"/>
  <c r="CA29" i="6"/>
  <c r="CN112" i="6"/>
  <c r="CN109" i="6" s="1"/>
  <c r="CA32" i="6"/>
  <c r="CA34" i="6" s="1"/>
  <c r="CA20" i="6"/>
  <c r="BZ37" i="6"/>
  <c r="DB58" i="6"/>
  <c r="DC51" i="6"/>
  <c r="DB48" i="6"/>
  <c r="DB55" i="6"/>
  <c r="DC46" i="6"/>
  <c r="BY15" i="6"/>
  <c r="BY15" i="2"/>
  <c r="BZ13" i="6" s="1"/>
  <c r="BY17" i="2"/>
  <c r="BZ23" i="6"/>
  <c r="BZ25" i="6"/>
  <c r="CY87" i="6"/>
  <c r="CY88" i="6" s="1"/>
  <c r="CN93" i="6"/>
  <c r="CO94" i="6"/>
  <c r="CP95" i="6"/>
  <c r="CQ96" i="6"/>
  <c r="CR97" i="6"/>
  <c r="CS98" i="6"/>
  <c r="CT99" i="6"/>
  <c r="CU100" i="6"/>
  <c r="CV101" i="6"/>
  <c r="CW102" i="6"/>
  <c r="CX103" i="6"/>
  <c r="CY104" i="6"/>
  <c r="CY110" i="6"/>
  <c r="CY111" i="6" s="1"/>
  <c r="CN116" i="6"/>
  <c r="CN128" i="6" s="1"/>
  <c r="CO117" i="6"/>
  <c r="CP118" i="6"/>
  <c r="CQ119" i="6"/>
  <c r="CR120" i="6"/>
  <c r="CS121" i="6"/>
  <c r="CT122" i="6"/>
  <c r="CU123" i="6"/>
  <c r="CV124" i="6"/>
  <c r="CW125" i="6"/>
  <c r="CX126" i="6"/>
  <c r="L110" i="21" s="1"/>
  <c r="CY127" i="6"/>
  <c r="CO24" i="6"/>
  <c r="DB56" i="6"/>
  <c r="DC47" i="6"/>
  <c r="DB57" i="6"/>
  <c r="DC50" i="6"/>
  <c r="BZ168" i="6"/>
  <c r="CA173" i="6"/>
  <c r="K77" i="21"/>
  <c r="CP28" i="6"/>
  <c r="CP24" i="6" s="1"/>
  <c r="CQ35" i="6"/>
  <c r="DC54" i="6"/>
  <c r="DD44" i="6"/>
  <c r="CF27" i="70"/>
  <c r="CZ26" i="70"/>
  <c r="BX19" i="70"/>
  <c r="BX20" i="70"/>
  <c r="BY156" i="71"/>
  <c r="BT157" i="71"/>
  <c r="K89" i="21"/>
  <c r="K73" i="21"/>
  <c r="L94" i="21"/>
  <c r="L95" i="21"/>
  <c r="DA26" i="70"/>
  <c r="BY11" i="2"/>
  <c r="BZ9" i="6" s="1"/>
  <c r="BY13" i="2"/>
  <c r="BZ11" i="6" s="1"/>
  <c r="K18" i="20"/>
  <c r="K20" i="20" s="1"/>
  <c r="K22" i="20" s="1"/>
  <c r="K17" i="21"/>
  <c r="K19" i="21" s="1"/>
  <c r="BT21" i="70"/>
  <c r="CA19" i="2"/>
  <c r="CB17" i="6" s="1"/>
  <c r="BZ23" i="2"/>
  <c r="BY19" i="70" s="1"/>
  <c r="CA21" i="2"/>
  <c r="CB19" i="6" s="1"/>
  <c r="BZ3" i="6" l="1"/>
  <c r="CN113" i="6"/>
  <c r="CO108" i="6" s="1"/>
  <c r="DB59" i="6"/>
  <c r="CN105" i="6"/>
  <c r="CN60" i="6" s="1"/>
  <c r="CN61" i="6" s="1"/>
  <c r="DD54" i="6"/>
  <c r="DE44" i="6"/>
  <c r="CB27" i="6"/>
  <c r="CB29" i="6"/>
  <c r="CQ28" i="6"/>
  <c r="CQ24" i="6" s="1"/>
  <c r="CR35" i="6"/>
  <c r="DC58" i="6"/>
  <c r="DD51" i="6"/>
  <c r="CN89" i="6"/>
  <c r="CA168" i="6"/>
  <c r="CB173" i="6"/>
  <c r="BZ15" i="6"/>
  <c r="BZ15" i="2"/>
  <c r="BZ17" i="2"/>
  <c r="CA38" i="6"/>
  <c r="CB31" i="6"/>
  <c r="CB36" i="6" s="1"/>
  <c r="CB37" i="6" s="1"/>
  <c r="CB32" i="6"/>
  <c r="CB34" i="6" s="1"/>
  <c r="CB20" i="6"/>
  <c r="CO89" i="6"/>
  <c r="CO86" i="6" s="1"/>
  <c r="CO112" i="6"/>
  <c r="CO109" i="6" s="1"/>
  <c r="DC57" i="6"/>
  <c r="DD50" i="6"/>
  <c r="DC48" i="6"/>
  <c r="DC55" i="6"/>
  <c r="DD46" i="6"/>
  <c r="CA39" i="6"/>
  <c r="CA40" i="6" s="1"/>
  <c r="CA62" i="6" s="1"/>
  <c r="CZ110" i="6"/>
  <c r="CZ111" i="6" s="1"/>
  <c r="CO116" i="6"/>
  <c r="CO128" i="6" s="1"/>
  <c r="CP117" i="6"/>
  <c r="CQ118" i="6"/>
  <c r="CR119" i="6"/>
  <c r="CS120" i="6"/>
  <c r="CT121" i="6"/>
  <c r="CU122" i="6"/>
  <c r="CV123" i="6"/>
  <c r="CW124" i="6"/>
  <c r="CX125" i="6"/>
  <c r="CY126" i="6"/>
  <c r="CZ127" i="6"/>
  <c r="CA23" i="6"/>
  <c r="K23" i="21" s="1"/>
  <c r="K25" i="21" s="1"/>
  <c r="CA25" i="6"/>
  <c r="DC56" i="6"/>
  <c r="DD47" i="6"/>
  <c r="BY20" i="70"/>
  <c r="CG27" i="70"/>
  <c r="K45" i="21"/>
  <c r="K44" i="21"/>
  <c r="AB154" i="69"/>
  <c r="BZ156" i="71"/>
  <c r="AD153" i="69" s="1"/>
  <c r="BU157" i="71"/>
  <c r="K151" i="68"/>
  <c r="L87" i="21"/>
  <c r="L88" i="21"/>
  <c r="K70" i="21"/>
  <c r="K74" i="21"/>
  <c r="BZ11" i="2"/>
  <c r="CA9" i="6" s="1"/>
  <c r="BZ13" i="2"/>
  <c r="CA11" i="6" s="1"/>
  <c r="J20" i="21"/>
  <c r="CB19" i="2"/>
  <c r="CC17" i="6" s="1"/>
  <c r="CA23" i="2"/>
  <c r="CB21" i="2"/>
  <c r="CC19" i="6" s="1"/>
  <c r="CB39" i="6" l="1"/>
  <c r="CB40" i="6" s="1"/>
  <c r="CB62" i="6" s="1"/>
  <c r="CO113" i="6"/>
  <c r="CP108" i="6" s="1"/>
  <c r="DC59" i="6"/>
  <c r="DD56" i="6"/>
  <c r="DE47" i="6"/>
  <c r="CA3" i="6"/>
  <c r="CR28" i="6"/>
  <c r="CR24" i="6" s="1"/>
  <c r="CS35" i="6"/>
  <c r="DA110" i="6"/>
  <c r="DA111" i="6" s="1"/>
  <c r="CP116" i="6"/>
  <c r="CP128" i="6" s="1"/>
  <c r="CQ117" i="6"/>
  <c r="CR118" i="6"/>
  <c r="CS119" i="6"/>
  <c r="CT120" i="6"/>
  <c r="CU121" i="6"/>
  <c r="CV122" i="6"/>
  <c r="CW123" i="6"/>
  <c r="CX124" i="6"/>
  <c r="CY125" i="6"/>
  <c r="CZ126" i="6"/>
  <c r="DA127" i="6"/>
  <c r="CP89" i="6"/>
  <c r="CP86" i="6" s="1"/>
  <c r="CP112" i="6"/>
  <c r="CP109" i="6" s="1"/>
  <c r="CA15" i="6"/>
  <c r="CA17" i="2"/>
  <c r="CA15" i="2"/>
  <c r="CB13" i="6" s="1"/>
  <c r="CB23" i="6"/>
  <c r="CB25" i="6"/>
  <c r="CC32" i="6"/>
  <c r="CC34" i="6" s="1"/>
  <c r="CC20" i="6"/>
  <c r="CC27" i="6"/>
  <c r="CC29" i="6"/>
  <c r="CA13" i="6"/>
  <c r="K13" i="21" s="1"/>
  <c r="K15" i="21" s="1"/>
  <c r="K14" i="20"/>
  <c r="K16" i="20" s="1"/>
  <c r="DD48" i="6"/>
  <c r="DD55" i="6"/>
  <c r="DE46" i="6"/>
  <c r="CB168" i="6"/>
  <c r="CC173" i="6"/>
  <c r="DE54" i="6"/>
  <c r="DF44" i="6"/>
  <c r="CN86" i="6"/>
  <c r="CN90" i="6"/>
  <c r="CO85" i="6" s="1"/>
  <c r="CO90" i="6" s="1"/>
  <c r="CP85" i="6" s="1"/>
  <c r="DD57" i="6"/>
  <c r="DE50" i="6"/>
  <c r="DA87" i="6"/>
  <c r="DA88" i="6" s="1"/>
  <c r="CP93" i="6"/>
  <c r="CQ94" i="6"/>
  <c r="CR95" i="6"/>
  <c r="CS96" i="6"/>
  <c r="CT97" i="6"/>
  <c r="CU98" i="6"/>
  <c r="CV99" i="6"/>
  <c r="CW100" i="6"/>
  <c r="CX101" i="6"/>
  <c r="CY102" i="6"/>
  <c r="CZ103" i="6"/>
  <c r="DA104" i="6"/>
  <c r="CB38" i="6"/>
  <c r="CC31" i="6"/>
  <c r="CC36" i="6" s="1"/>
  <c r="CC39" i="6" s="1"/>
  <c r="CC40" i="6" s="1"/>
  <c r="CC62" i="6" s="1"/>
  <c r="DD58" i="6"/>
  <c r="DE51" i="6"/>
  <c r="BZ19" i="70"/>
  <c r="DB26" i="70"/>
  <c r="CH27" i="70"/>
  <c r="BU21" i="70"/>
  <c r="BZ20" i="70"/>
  <c r="BV157" i="71"/>
  <c r="CA156" i="71"/>
  <c r="L69" i="21"/>
  <c r="L72" i="21"/>
  <c r="L71" i="21"/>
  <c r="L109" i="21"/>
  <c r="DC26" i="70"/>
  <c r="CB23" i="2"/>
  <c r="CA20" i="70"/>
  <c r="CC19" i="2"/>
  <c r="CD17" i="6" s="1"/>
  <c r="CC21" i="2"/>
  <c r="CD19" i="6" s="1"/>
  <c r="CA11" i="2"/>
  <c r="CB9" i="6" s="1"/>
  <c r="CA13" i="2"/>
  <c r="CB11" i="6" s="1"/>
  <c r="K10" i="20"/>
  <c r="K12" i="20" s="1"/>
  <c r="K9" i="21"/>
  <c r="K11" i="21" s="1"/>
  <c r="DD59" i="6" l="1"/>
  <c r="CP113" i="6"/>
  <c r="CQ108" i="6" s="1"/>
  <c r="CP90" i="6"/>
  <c r="CQ85" i="6" s="1"/>
  <c r="CS28" i="6"/>
  <c r="CS24" i="6" s="1"/>
  <c r="CT35" i="6"/>
  <c r="CQ89" i="6"/>
  <c r="CQ86" i="6" s="1"/>
  <c r="DE55" i="6"/>
  <c r="DE48" i="6"/>
  <c r="DF46" i="6"/>
  <c r="CQ112" i="6"/>
  <c r="CQ109" i="6" s="1"/>
  <c r="CC38" i="6"/>
  <c r="CD31" i="6"/>
  <c r="CD36" i="6" s="1"/>
  <c r="CD39" i="6" s="1"/>
  <c r="CD40" i="6" s="1"/>
  <c r="CD62" i="6" s="1"/>
  <c r="DE56" i="6"/>
  <c r="DF47" i="6"/>
  <c r="CB15" i="6"/>
  <c r="CB17" i="2"/>
  <c r="CB15" i="2"/>
  <c r="CC13" i="6" s="1"/>
  <c r="CD32" i="6"/>
  <c r="CD34" i="6" s="1"/>
  <c r="CD20" i="6"/>
  <c r="CD27" i="6"/>
  <c r="CD29" i="6"/>
  <c r="DB110" i="6"/>
  <c r="DB111" i="6" s="1"/>
  <c r="CQ116" i="6"/>
  <c r="CQ128" i="6" s="1"/>
  <c r="CR117" i="6"/>
  <c r="CS118" i="6"/>
  <c r="CT119" i="6"/>
  <c r="CU120" i="6"/>
  <c r="CV121" i="6"/>
  <c r="CW122" i="6"/>
  <c r="CX123" i="6"/>
  <c r="L107" i="21" s="1"/>
  <c r="CY124" i="6"/>
  <c r="CZ125" i="6"/>
  <c r="DA126" i="6"/>
  <c r="DB127" i="6"/>
  <c r="CC23" i="6"/>
  <c r="CC25" i="6"/>
  <c r="DE57" i="6"/>
  <c r="DF50" i="6"/>
  <c r="CB3" i="6"/>
  <c r="CC37" i="6"/>
  <c r="CZ87" i="6"/>
  <c r="CZ88" i="6" s="1"/>
  <c r="CO93" i="6"/>
  <c r="CO105" i="6" s="1"/>
  <c r="CO60" i="6" s="1"/>
  <c r="CO61" i="6" s="1"/>
  <c r="CP94" i="6"/>
  <c r="CP105" i="6" s="1"/>
  <c r="CP60" i="6" s="1"/>
  <c r="CP61" i="6" s="1"/>
  <c r="CQ95" i="6"/>
  <c r="CR96" i="6"/>
  <c r="CS97" i="6"/>
  <c r="CT98" i="6"/>
  <c r="CU99" i="6"/>
  <c r="CV100" i="6"/>
  <c r="CW101" i="6"/>
  <c r="L85" i="21" s="1"/>
  <c r="CX102" i="6"/>
  <c r="L86" i="21" s="1"/>
  <c r="CY103" i="6"/>
  <c r="CZ104" i="6"/>
  <c r="DE58" i="6"/>
  <c r="DF51" i="6"/>
  <c r="DF54" i="6"/>
  <c r="DG44" i="6"/>
  <c r="CD173" i="6"/>
  <c r="CC168" i="6"/>
  <c r="DB87" i="6"/>
  <c r="DB88" i="6" s="1"/>
  <c r="CQ93" i="6"/>
  <c r="CR94" i="6"/>
  <c r="CS95" i="6"/>
  <c r="CT96" i="6"/>
  <c r="CU97" i="6"/>
  <c r="CV98" i="6"/>
  <c r="CW99" i="6"/>
  <c r="CX100" i="6"/>
  <c r="CY101" i="6"/>
  <c r="CZ102" i="6"/>
  <c r="DA103" i="6"/>
  <c r="DB104" i="6"/>
  <c r="CI27" i="70"/>
  <c r="BV21" i="70"/>
  <c r="CA19" i="70"/>
  <c r="CB156" i="71"/>
  <c r="BW157" i="71"/>
  <c r="L108" i="21"/>
  <c r="DD26" i="70"/>
  <c r="CB11" i="2"/>
  <c r="CC9" i="6" s="1"/>
  <c r="CB13" i="2"/>
  <c r="CC11" i="6" s="1"/>
  <c r="CD19" i="2"/>
  <c r="CE17" i="6" s="1"/>
  <c r="CC23" i="2"/>
  <c r="CD21" i="2"/>
  <c r="CE19" i="6" s="1"/>
  <c r="CQ113" i="6" l="1"/>
  <c r="CR108" i="6" s="1"/>
  <c r="CQ90" i="6"/>
  <c r="CR85" i="6" s="1"/>
  <c r="DE59" i="6"/>
  <c r="CD23" i="6"/>
  <c r="CD25" i="6"/>
  <c r="CC15" i="6"/>
  <c r="CC15" i="2"/>
  <c r="CD13" i="6" s="1"/>
  <c r="CC17" i="2"/>
  <c r="DF56" i="6"/>
  <c r="DG47" i="6"/>
  <c r="DC87" i="6"/>
  <c r="DC88" i="6" s="1"/>
  <c r="CR93" i="6"/>
  <c r="CR105" i="6" s="1"/>
  <c r="CS94" i="6"/>
  <c r="CT95" i="6"/>
  <c r="CU96" i="6"/>
  <c r="CV97" i="6"/>
  <c r="CW98" i="6"/>
  <c r="CX99" i="6"/>
  <c r="CY100" i="6"/>
  <c r="CZ101" i="6"/>
  <c r="DA102" i="6"/>
  <c r="DB103" i="6"/>
  <c r="DC104" i="6"/>
  <c r="CD38" i="6"/>
  <c r="CE31" i="6"/>
  <c r="CE36" i="6" s="1"/>
  <c r="CE37" i="6" s="1"/>
  <c r="CT28" i="6"/>
  <c r="CU35" i="6"/>
  <c r="DF58" i="6"/>
  <c r="DG51" i="6"/>
  <c r="CE27" i="6"/>
  <c r="CE29" i="6"/>
  <c r="CR89" i="6"/>
  <c r="CR86" i="6" s="1"/>
  <c r="CR112" i="6"/>
  <c r="CR109" i="6" s="1"/>
  <c r="CE32" i="6"/>
  <c r="CE34" i="6" s="1"/>
  <c r="CE20" i="6"/>
  <c r="CC3" i="6"/>
  <c r="CD37" i="6"/>
  <c r="DG54" i="6"/>
  <c r="DH44" i="6"/>
  <c r="CE173" i="6"/>
  <c r="CD168" i="6"/>
  <c r="DF57" i="6"/>
  <c r="DG50" i="6"/>
  <c r="DC110" i="6"/>
  <c r="DC111" i="6" s="1"/>
  <c r="CR116" i="6"/>
  <c r="CR128" i="6" s="1"/>
  <c r="CS117" i="6"/>
  <c r="CT118" i="6"/>
  <c r="CU119" i="6"/>
  <c r="CV120" i="6"/>
  <c r="CW121" i="6"/>
  <c r="CX122" i="6"/>
  <c r="L106" i="21" s="1"/>
  <c r="CY123" i="6"/>
  <c r="CZ124" i="6"/>
  <c r="DA125" i="6"/>
  <c r="DB126" i="6"/>
  <c r="DC127" i="6"/>
  <c r="CQ105" i="6"/>
  <c r="CQ60" i="6" s="1"/>
  <c r="CQ61" i="6" s="1"/>
  <c r="DF55" i="6"/>
  <c r="DF48" i="6"/>
  <c r="DG46" i="6"/>
  <c r="CB19" i="70"/>
  <c r="CB20" i="70"/>
  <c r="BW21" i="70"/>
  <c r="CJ27" i="70"/>
  <c r="L84" i="21"/>
  <c r="BX157" i="71"/>
  <c r="AC154" i="69"/>
  <c r="CC156" i="71"/>
  <c r="DE26" i="70"/>
  <c r="CK27" i="70"/>
  <c r="BX21" i="70"/>
  <c r="CE19" i="2"/>
  <c r="CF17" i="6" s="1"/>
  <c r="CD23" i="2"/>
  <c r="CC20" i="70"/>
  <c r="CE21" i="2"/>
  <c r="CF19" i="6" s="1"/>
  <c r="CC11" i="2"/>
  <c r="CD9" i="6" s="1"/>
  <c r="CC13" i="2"/>
  <c r="CD11" i="6" s="1"/>
  <c r="CR90" i="6" l="1"/>
  <c r="CS85" i="6" s="1"/>
  <c r="CD3" i="6"/>
  <c r="DF59" i="6"/>
  <c r="DG56" i="6"/>
  <c r="DH47" i="6"/>
  <c r="CF27" i="6"/>
  <c r="CF29" i="6"/>
  <c r="CD15" i="6"/>
  <c r="CD15" i="2"/>
  <c r="CE13" i="6" s="1"/>
  <c r="CD17" i="2"/>
  <c r="DG58" i="6"/>
  <c r="DH51" i="6"/>
  <c r="CF173" i="6"/>
  <c r="CE168" i="6"/>
  <c r="DG55" i="6"/>
  <c r="DG48" i="6"/>
  <c r="DH46" i="6"/>
  <c r="CU28" i="6"/>
  <c r="CU24" i="6" s="1"/>
  <c r="CV35" i="6"/>
  <c r="CE23" i="6"/>
  <c r="CE25" i="6"/>
  <c r="DG57" i="6"/>
  <c r="DH50" i="6"/>
  <c r="CR113" i="6"/>
  <c r="CS108" i="6" s="1"/>
  <c r="CS112" i="6"/>
  <c r="CS109" i="6" s="1"/>
  <c r="CT24" i="6"/>
  <c r="DD110" i="6"/>
  <c r="DD111" i="6" s="1"/>
  <c r="CS116" i="6"/>
  <c r="CS128" i="6" s="1"/>
  <c r="CT117" i="6"/>
  <c r="CU118" i="6"/>
  <c r="CV119" i="6"/>
  <c r="CW120" i="6"/>
  <c r="CX121" i="6"/>
  <c r="L105" i="21" s="1"/>
  <c r="CY122" i="6"/>
  <c r="CZ123" i="6"/>
  <c r="DA124" i="6"/>
  <c r="DB125" i="6"/>
  <c r="DC126" i="6"/>
  <c r="DD127" i="6"/>
  <c r="DH54" i="6"/>
  <c r="DI44" i="6"/>
  <c r="CE38" i="6"/>
  <c r="CE3" i="6" s="1"/>
  <c r="CF31" i="6"/>
  <c r="CF36" i="6" s="1"/>
  <c r="CF37" i="6" s="1"/>
  <c r="DD87" i="6"/>
  <c r="DD88" i="6" s="1"/>
  <c r="CS93" i="6"/>
  <c r="CS105" i="6" s="1"/>
  <c r="CT94" i="6"/>
  <c r="CU95" i="6"/>
  <c r="CV96" i="6"/>
  <c r="CW97" i="6"/>
  <c r="CX98" i="6"/>
  <c r="CY99" i="6"/>
  <c r="CZ100" i="6"/>
  <c r="DA101" i="6"/>
  <c r="DB102" i="6"/>
  <c r="DC103" i="6"/>
  <c r="DD104" i="6"/>
  <c r="CF32" i="6"/>
  <c r="CF34" i="6" s="1"/>
  <c r="CF20" i="6"/>
  <c r="CE39" i="6"/>
  <c r="CE40" i="6" s="1"/>
  <c r="CE62" i="6" s="1"/>
  <c r="CR60" i="6"/>
  <c r="CR61" i="6" s="1"/>
  <c r="CC19" i="70"/>
  <c r="CD156" i="71"/>
  <c r="BY157" i="71"/>
  <c r="AE153" i="69"/>
  <c r="CL27" i="70"/>
  <c r="J33" i="21"/>
  <c r="CD11" i="2"/>
  <c r="CE9" i="6" s="1"/>
  <c r="CD13" i="2"/>
  <c r="CE11" i="6" s="1"/>
  <c r="CF19" i="2"/>
  <c r="CG17" i="6" s="1"/>
  <c r="CE23" i="2"/>
  <c r="CD19" i="70" s="1"/>
  <c r="CD20" i="70"/>
  <c r="CF21" i="2"/>
  <c r="CG19" i="6" s="1"/>
  <c r="DG59" i="6" l="1"/>
  <c r="CT89" i="6"/>
  <c r="CT86" i="6" s="1"/>
  <c r="DH58" i="6"/>
  <c r="DI51" i="6"/>
  <c r="CV28" i="6"/>
  <c r="CW35" i="6"/>
  <c r="CE15" i="6"/>
  <c r="CE15" i="2"/>
  <c r="CF13" i="6" s="1"/>
  <c r="CE17" i="2"/>
  <c r="CS89" i="6"/>
  <c r="DI54" i="6"/>
  <c r="DJ44" i="6"/>
  <c r="CG20" i="6"/>
  <c r="CG32" i="6"/>
  <c r="CG34" i="6" s="1"/>
  <c r="CF39" i="6"/>
  <c r="CF40" i="6" s="1"/>
  <c r="CF62" i="6" s="1"/>
  <c r="DH55" i="6"/>
  <c r="DH48" i="6"/>
  <c r="DI46" i="6"/>
  <c r="CG27" i="6"/>
  <c r="CG29" i="6"/>
  <c r="CF23" i="6"/>
  <c r="CF25" i="6"/>
  <c r="DE110" i="6"/>
  <c r="DE111" i="6" s="1"/>
  <c r="CT116" i="6"/>
  <c r="CT128" i="6" s="1"/>
  <c r="CU117" i="6"/>
  <c r="CV118" i="6"/>
  <c r="CW119" i="6"/>
  <c r="CX120" i="6"/>
  <c r="CY121" i="6"/>
  <c r="CZ122" i="6"/>
  <c r="DA123" i="6"/>
  <c r="DB124" i="6"/>
  <c r="DC125" i="6"/>
  <c r="DD126" i="6"/>
  <c r="DE127" i="6"/>
  <c r="CG173" i="6"/>
  <c r="CF168" i="6"/>
  <c r="CS60" i="6"/>
  <c r="CS61" i="6" s="1"/>
  <c r="CS113" i="6"/>
  <c r="CT108" i="6" s="1"/>
  <c r="DH56" i="6"/>
  <c r="DI47" i="6"/>
  <c r="CG31" i="6"/>
  <c r="CG36" i="6" s="1"/>
  <c r="CG37" i="6" s="1"/>
  <c r="CF38" i="6"/>
  <c r="CT112" i="6"/>
  <c r="CT109" i="6" s="1"/>
  <c r="DH57" i="6"/>
  <c r="DI50" i="6"/>
  <c r="DF26" i="70"/>
  <c r="CE156" i="71"/>
  <c r="K152" i="68"/>
  <c r="L82" i="21"/>
  <c r="L83" i="21"/>
  <c r="CE11" i="2"/>
  <c r="CF9" i="6" s="1"/>
  <c r="CE13" i="2"/>
  <c r="CF11" i="6" s="1"/>
  <c r="J34" i="21"/>
  <c r="J35" i="21"/>
  <c r="CF23" i="2"/>
  <c r="CE20" i="70"/>
  <c r="CG19" i="2"/>
  <c r="CH17" i="6" s="1"/>
  <c r="CG21" i="2"/>
  <c r="CH19" i="6" s="1"/>
  <c r="K31" i="21"/>
  <c r="CM27" i="70"/>
  <c r="DH59" i="6" l="1"/>
  <c r="DI57" i="6"/>
  <c r="DJ50" i="6"/>
  <c r="CW28" i="6"/>
  <c r="CW24" i="6" s="1"/>
  <c r="CX35" i="6"/>
  <c r="CU112" i="6"/>
  <c r="CU109" i="6" s="1"/>
  <c r="CV24" i="6"/>
  <c r="DI58" i="6"/>
  <c r="DJ51" i="6"/>
  <c r="CH173" i="6"/>
  <c r="CG168" i="6"/>
  <c r="DJ54" i="6"/>
  <c r="M38" i="21" s="1"/>
  <c r="DK44" i="6"/>
  <c r="CH27" i="6"/>
  <c r="CH29" i="6"/>
  <c r="DF87" i="6"/>
  <c r="DF88" i="6" s="1"/>
  <c r="CU93" i="6"/>
  <c r="CV94" i="6"/>
  <c r="CW95" i="6"/>
  <c r="CX96" i="6"/>
  <c r="CY97" i="6"/>
  <c r="CZ98" i="6"/>
  <c r="DA99" i="6"/>
  <c r="DB100" i="6"/>
  <c r="DC101" i="6"/>
  <c r="DD102" i="6"/>
  <c r="DE103" i="6"/>
  <c r="DF104" i="6"/>
  <c r="CT113" i="6"/>
  <c r="CU108" i="6" s="1"/>
  <c r="CS86" i="6"/>
  <c r="CS90" i="6"/>
  <c r="CT85" i="6" s="1"/>
  <c r="CT90" i="6" s="1"/>
  <c r="CU85" i="6" s="1"/>
  <c r="DF110" i="6"/>
  <c r="DF111" i="6" s="1"/>
  <c r="CU116" i="6"/>
  <c r="CU128" i="6" s="1"/>
  <c r="CV117" i="6"/>
  <c r="CW118" i="6"/>
  <c r="CX119" i="6"/>
  <c r="L103" i="21" s="1"/>
  <c r="CY120" i="6"/>
  <c r="CZ121" i="6"/>
  <c r="DA122" i="6"/>
  <c r="DB123" i="6"/>
  <c r="DC124" i="6"/>
  <c r="DD125" i="6"/>
  <c r="DE126" i="6"/>
  <c r="DF127" i="6"/>
  <c r="CG38" i="6"/>
  <c r="CG3" i="6" s="1"/>
  <c r="CH31" i="6"/>
  <c r="CH36" i="6" s="1"/>
  <c r="DI48" i="6"/>
  <c r="DI55" i="6"/>
  <c r="DJ46" i="6"/>
  <c r="CG39" i="6"/>
  <c r="CG40" i="6" s="1"/>
  <c r="CG62" i="6" s="1"/>
  <c r="CG23" i="6"/>
  <c r="CG25" i="6"/>
  <c r="DI56" i="6"/>
  <c r="DJ47" i="6"/>
  <c r="CH20" i="6"/>
  <c r="CH32" i="6"/>
  <c r="CH34" i="6" s="1"/>
  <c r="CF15" i="6"/>
  <c r="CF17" i="2"/>
  <c r="CF15" i="2"/>
  <c r="CG13" i="6" s="1"/>
  <c r="CF3" i="6"/>
  <c r="BY21" i="70"/>
  <c r="CE19" i="70"/>
  <c r="DG26" i="70"/>
  <c r="CF156" i="71"/>
  <c r="AF153" i="69" s="1"/>
  <c r="BZ157" i="71"/>
  <c r="L104" i="21"/>
  <c r="BZ21" i="70"/>
  <c r="CH19" i="2"/>
  <c r="CI17" i="6" s="1"/>
  <c r="CG23" i="2"/>
  <c r="CH21" i="2"/>
  <c r="CI19" i="6" s="1"/>
  <c r="CN27" i="70"/>
  <c r="J46" i="21"/>
  <c r="CF11" i="2"/>
  <c r="CG9" i="6" s="1"/>
  <c r="CF13" i="2"/>
  <c r="CG11" i="6" s="1"/>
  <c r="CU113" i="6" l="1"/>
  <c r="CV108" i="6" s="1"/>
  <c r="DI59" i="6"/>
  <c r="DE87" i="6"/>
  <c r="DE88" i="6" s="1"/>
  <c r="CT93" i="6"/>
  <c r="CT105" i="6" s="1"/>
  <c r="CT60" i="6" s="1"/>
  <c r="CT61" i="6" s="1"/>
  <c r="CU94" i="6"/>
  <c r="CU105" i="6" s="1"/>
  <c r="CU60" i="6" s="1"/>
  <c r="CU61" i="6" s="1"/>
  <c r="CV95" i="6"/>
  <c r="CW96" i="6"/>
  <c r="L80" i="21" s="1"/>
  <c r="CX97" i="6"/>
  <c r="L81" i="21" s="1"/>
  <c r="CY98" i="6"/>
  <c r="CZ99" i="6"/>
  <c r="DA100" i="6"/>
  <c r="DB101" i="6"/>
  <c r="DC102" i="6"/>
  <c r="DD103" i="6"/>
  <c r="DE104" i="6"/>
  <c r="DJ48" i="6"/>
  <c r="DJ55" i="6"/>
  <c r="M39" i="21" s="1"/>
  <c r="DK46" i="6"/>
  <c r="CU89" i="6"/>
  <c r="CU86" i="6" s="1"/>
  <c r="CI27" i="6"/>
  <c r="CI29" i="6"/>
  <c r="DG110" i="6"/>
  <c r="DG111" i="6" s="1"/>
  <c r="CV116" i="6"/>
  <c r="CV128" i="6" s="1"/>
  <c r="CW117" i="6"/>
  <c r="CX118" i="6"/>
  <c r="L102" i="21" s="1"/>
  <c r="CY119" i="6"/>
  <c r="CZ120" i="6"/>
  <c r="DA121" i="6"/>
  <c r="DB122" i="6"/>
  <c r="DC123" i="6"/>
  <c r="DD124" i="6"/>
  <c r="DE125" i="6"/>
  <c r="DF126" i="6"/>
  <c r="DG127" i="6"/>
  <c r="CG15" i="6"/>
  <c r="CG17" i="2"/>
  <c r="CG15" i="2"/>
  <c r="CH13" i="6" s="1"/>
  <c r="CX28" i="6"/>
  <c r="CY35" i="6"/>
  <c r="CI31" i="6"/>
  <c r="CI36" i="6" s="1"/>
  <c r="CI39" i="6" s="1"/>
  <c r="CI40" i="6" s="1"/>
  <c r="CI62" i="6" s="1"/>
  <c r="CH38" i="6"/>
  <c r="CH37" i="6"/>
  <c r="CH39" i="6"/>
  <c r="CH40" i="6" s="1"/>
  <c r="CH62" i="6" s="1"/>
  <c r="CV89" i="6"/>
  <c r="CV86" i="6" s="1"/>
  <c r="CI173" i="6"/>
  <c r="CH168" i="6"/>
  <c r="DK54" i="6"/>
  <c r="DL44" i="6"/>
  <c r="CV112" i="6"/>
  <c r="CV109" i="6" s="1"/>
  <c r="DJ56" i="6"/>
  <c r="M40" i="21" s="1"/>
  <c r="DK47" i="6"/>
  <c r="DJ57" i="6"/>
  <c r="M41" i="21" s="1"/>
  <c r="DK50" i="6"/>
  <c r="CH23" i="6"/>
  <c r="CH25" i="6"/>
  <c r="CI20" i="6"/>
  <c r="CI32" i="6"/>
  <c r="CI34" i="6" s="1"/>
  <c r="DJ58" i="6"/>
  <c r="M42" i="21" s="1"/>
  <c r="DK51" i="6"/>
  <c r="CF20" i="70"/>
  <c r="DH26" i="70"/>
  <c r="CF19" i="70"/>
  <c r="AD154" i="69"/>
  <c r="CA157" i="71"/>
  <c r="CG156" i="71"/>
  <c r="L32" i="21"/>
  <c r="CG11" i="2"/>
  <c r="CH9" i="6" s="1"/>
  <c r="CG13" i="2"/>
  <c r="CH11" i="6" s="1"/>
  <c r="CA21" i="70"/>
  <c r="CI19" i="2"/>
  <c r="CJ17" i="6" s="1"/>
  <c r="CH23" i="2"/>
  <c r="CG19" i="70" s="1"/>
  <c r="CI21" i="2"/>
  <c r="CJ19" i="6" s="1"/>
  <c r="CO27" i="70"/>
  <c r="CH3" i="6" l="1"/>
  <c r="CU90" i="6"/>
  <c r="CV85" i="6" s="1"/>
  <c r="CV90" i="6" s="1"/>
  <c r="CW85" i="6" s="1"/>
  <c r="CI37" i="6"/>
  <c r="DJ59" i="6"/>
  <c r="DK56" i="6"/>
  <c r="DL47" i="6"/>
  <c r="CJ27" i="6"/>
  <c r="CJ29" i="6"/>
  <c r="CV113" i="6"/>
  <c r="CW108" i="6" s="1"/>
  <c r="DL54" i="6"/>
  <c r="DM44" i="6"/>
  <c r="DG87" i="6"/>
  <c r="DG88" i="6" s="1"/>
  <c r="CV93" i="6"/>
  <c r="CV105" i="6" s="1"/>
  <c r="CV60" i="6" s="1"/>
  <c r="CV61" i="6" s="1"/>
  <c r="CW94" i="6"/>
  <c r="CX95" i="6"/>
  <c r="L79" i="21" s="1"/>
  <c r="CY96" i="6"/>
  <c r="CZ97" i="6"/>
  <c r="DA98" i="6"/>
  <c r="DB99" i="6"/>
  <c r="DC100" i="6"/>
  <c r="DD101" i="6"/>
  <c r="DE102" i="6"/>
  <c r="DF103" i="6"/>
  <c r="DG104" i="6"/>
  <c r="CJ20" i="6"/>
  <c r="CJ32" i="6"/>
  <c r="CJ34" i="6" s="1"/>
  <c r="CY28" i="6"/>
  <c r="CZ35" i="6"/>
  <c r="DK48" i="6"/>
  <c r="DK55" i="6"/>
  <c r="DL46" i="6"/>
  <c r="CJ31" i="6"/>
  <c r="CJ36" i="6" s="1"/>
  <c r="CJ37" i="6" s="1"/>
  <c r="CI38" i="6"/>
  <c r="CW112" i="6"/>
  <c r="CW109" i="6" s="1"/>
  <c r="DH110" i="6"/>
  <c r="DH111" i="6" s="1"/>
  <c r="CW116" i="6"/>
  <c r="CW128" i="6" s="1"/>
  <c r="CX117" i="6"/>
  <c r="CY118" i="6"/>
  <c r="CZ119" i="6"/>
  <c r="DA120" i="6"/>
  <c r="DB121" i="6"/>
  <c r="DC122" i="6"/>
  <c r="DD123" i="6"/>
  <c r="DE124" i="6"/>
  <c r="DF125" i="6"/>
  <c r="DG126" i="6"/>
  <c r="DH127" i="6"/>
  <c r="CX24" i="6"/>
  <c r="CJ173" i="6"/>
  <c r="CI168" i="6"/>
  <c r="CH15" i="6"/>
  <c r="CH15" i="2"/>
  <c r="CI13" i="6" s="1"/>
  <c r="CH17" i="2"/>
  <c r="CI23" i="6"/>
  <c r="CI25" i="6"/>
  <c r="DK57" i="6"/>
  <c r="DL50" i="6"/>
  <c r="DK58" i="6"/>
  <c r="DL51" i="6"/>
  <c r="DH87" i="6"/>
  <c r="DH88" i="6" s="1"/>
  <c r="CW93" i="6"/>
  <c r="CX94" i="6"/>
  <c r="CY95" i="6"/>
  <c r="CZ96" i="6"/>
  <c r="DA97" i="6"/>
  <c r="DB98" i="6"/>
  <c r="DC99" i="6"/>
  <c r="DD100" i="6"/>
  <c r="DE101" i="6"/>
  <c r="DF102" i="6"/>
  <c r="DG103" i="6"/>
  <c r="DH104" i="6"/>
  <c r="CG20" i="70"/>
  <c r="DI26" i="70"/>
  <c r="CB157" i="71"/>
  <c r="CH156" i="71"/>
  <c r="L28" i="21"/>
  <c r="CJ19" i="2"/>
  <c r="CK17" i="6" s="1"/>
  <c r="CI23" i="2"/>
  <c r="CH19" i="70" s="1"/>
  <c r="CJ21" i="2"/>
  <c r="CK19" i="6" s="1"/>
  <c r="CH11" i="2"/>
  <c r="CI9" i="6" s="1"/>
  <c r="CH13" i="2"/>
  <c r="CI11" i="6" s="1"/>
  <c r="CB21" i="70"/>
  <c r="L78" i="21" l="1"/>
  <c r="CW113" i="6"/>
  <c r="CX108" i="6" s="1"/>
  <c r="CI3" i="6"/>
  <c r="DK59" i="6"/>
  <c r="DL48" i="6"/>
  <c r="DL55" i="6"/>
  <c r="DM46" i="6"/>
  <c r="DL58" i="6"/>
  <c r="DM51" i="6"/>
  <c r="DL57" i="6"/>
  <c r="DM50" i="6"/>
  <c r="CX112" i="6"/>
  <c r="CX109" i="6" s="1"/>
  <c r="CK27" i="6"/>
  <c r="CK29" i="6"/>
  <c r="CY24" i="6"/>
  <c r="CK20" i="6"/>
  <c r="CK32" i="6"/>
  <c r="CK34" i="6" s="1"/>
  <c r="CZ28" i="6"/>
  <c r="DA35" i="6"/>
  <c r="DI110" i="6"/>
  <c r="DI111" i="6" s="1"/>
  <c r="CX116" i="6"/>
  <c r="CX128" i="6" s="1"/>
  <c r="CY117" i="6"/>
  <c r="CZ118" i="6"/>
  <c r="DA119" i="6"/>
  <c r="DB120" i="6"/>
  <c r="DC121" i="6"/>
  <c r="DD122" i="6"/>
  <c r="DE123" i="6"/>
  <c r="DF124" i="6"/>
  <c r="DG125" i="6"/>
  <c r="DH126" i="6"/>
  <c r="DI127" i="6"/>
  <c r="CK173" i="6"/>
  <c r="CJ168" i="6"/>
  <c r="DL56" i="6"/>
  <c r="DM47" i="6"/>
  <c r="CI15" i="6"/>
  <c r="CI17" i="2"/>
  <c r="CI15" i="2"/>
  <c r="CJ13" i="6" s="1"/>
  <c r="CK31" i="6"/>
  <c r="CK36" i="6" s="1"/>
  <c r="CK37" i="6" s="1"/>
  <c r="CJ38" i="6"/>
  <c r="CJ3" i="6" s="1"/>
  <c r="DM54" i="6"/>
  <c r="DN44" i="6"/>
  <c r="CW89" i="6"/>
  <c r="CJ23" i="6"/>
  <c r="CJ25" i="6"/>
  <c r="CW105" i="6"/>
  <c r="CW60" i="6" s="1"/>
  <c r="CW61" i="6" s="1"/>
  <c r="CJ39" i="6"/>
  <c r="CJ40" i="6" s="1"/>
  <c r="CJ62" i="6" s="1"/>
  <c r="CP27" i="70"/>
  <c r="DJ26" i="70"/>
  <c r="CH20" i="70"/>
  <c r="M43" i="21"/>
  <c r="CC157" i="71"/>
  <c r="CI156" i="71"/>
  <c r="AG153" i="69" s="1"/>
  <c r="L24" i="21"/>
  <c r="L101" i="21"/>
  <c r="CQ27" i="70"/>
  <c r="CJ23" i="2"/>
  <c r="CI19" i="70" s="1"/>
  <c r="CK19" i="2"/>
  <c r="CL17" i="6" s="1"/>
  <c r="CK21" i="2"/>
  <c r="CL19" i="6" s="1"/>
  <c r="CI11" i="2"/>
  <c r="CJ9" i="6" s="1"/>
  <c r="CI13" i="2"/>
  <c r="CJ11" i="6" s="1"/>
  <c r="CC21" i="70"/>
  <c r="DL59" i="6" l="1"/>
  <c r="DJ110" i="6"/>
  <c r="DJ111" i="6" s="1"/>
  <c r="CY116" i="6"/>
  <c r="CY128" i="6" s="1"/>
  <c r="CZ117" i="6"/>
  <c r="DA118" i="6"/>
  <c r="DB119" i="6"/>
  <c r="DC120" i="6"/>
  <c r="DD121" i="6"/>
  <c r="DE122" i="6"/>
  <c r="DF123" i="6"/>
  <c r="DG124" i="6"/>
  <c r="DH125" i="6"/>
  <c r="DI126" i="6"/>
  <c r="DJ127" i="6"/>
  <c r="DM57" i="6"/>
  <c r="DN50" i="6"/>
  <c r="CY112" i="6"/>
  <c r="CY109" i="6" s="1"/>
  <c r="DM58" i="6"/>
  <c r="DN51" i="6"/>
  <c r="DA28" i="6"/>
  <c r="DA24" i="6" s="1"/>
  <c r="DB35" i="6"/>
  <c r="CK23" i="6"/>
  <c r="CK25" i="6"/>
  <c r="CX113" i="6"/>
  <c r="CY108" i="6" s="1"/>
  <c r="CL173" i="6"/>
  <c r="CK168" i="6"/>
  <c r="DM48" i="6"/>
  <c r="DM55" i="6"/>
  <c r="DN46" i="6"/>
  <c r="CK38" i="6"/>
  <c r="CL31" i="6"/>
  <c r="CL36" i="6" s="1"/>
  <c r="CK39" i="6"/>
  <c r="CK40" i="6" s="1"/>
  <c r="CK62" i="6" s="1"/>
  <c r="CJ15" i="6"/>
  <c r="CJ15" i="2"/>
  <c r="CK13" i="6" s="1"/>
  <c r="CJ17" i="2"/>
  <c r="CX89" i="6"/>
  <c r="CX86" i="6" s="1"/>
  <c r="DN54" i="6"/>
  <c r="DO44" i="6"/>
  <c r="DM56" i="6"/>
  <c r="DN47" i="6"/>
  <c r="CL27" i="6"/>
  <c r="CL29" i="6"/>
  <c r="CL32" i="6"/>
  <c r="CL34" i="6" s="1"/>
  <c r="CL20" i="6"/>
  <c r="CW86" i="6"/>
  <c r="CW90" i="6"/>
  <c r="CX85" i="6" s="1"/>
  <c r="CZ24" i="6"/>
  <c r="CI20" i="70"/>
  <c r="DK26" i="70"/>
  <c r="CJ156" i="71"/>
  <c r="AE154" i="69"/>
  <c r="CD157" i="71"/>
  <c r="L96" i="21"/>
  <c r="L100" i="21"/>
  <c r="CJ11" i="2"/>
  <c r="CK9" i="6" s="1"/>
  <c r="CJ13" i="2"/>
  <c r="CK11" i="6" s="1"/>
  <c r="CR27" i="70"/>
  <c r="CK23" i="2"/>
  <c r="CJ19" i="70" s="1"/>
  <c r="CL19" i="2"/>
  <c r="CM17" i="6" s="1"/>
  <c r="CL21" i="2"/>
  <c r="CM19" i="6" s="1"/>
  <c r="L73" i="21" l="1"/>
  <c r="CX90" i="6"/>
  <c r="CY85" i="6" s="1"/>
  <c r="DM59" i="6"/>
  <c r="CZ89" i="6"/>
  <c r="CZ86" i="6" s="1"/>
  <c r="CL38" i="6"/>
  <c r="CM31" i="6"/>
  <c r="CM36" i="6" s="1"/>
  <c r="CM37" i="6" s="1"/>
  <c r="DN58" i="6"/>
  <c r="DO51" i="6"/>
  <c r="CM27" i="6"/>
  <c r="L27" i="21" s="1"/>
  <c r="L29" i="21" s="1"/>
  <c r="CM29" i="6"/>
  <c r="CL39" i="6"/>
  <c r="CL40" i="6" s="1"/>
  <c r="CL62" i="6" s="1"/>
  <c r="DK110" i="6"/>
  <c r="DK111" i="6" s="1"/>
  <c r="CZ116" i="6"/>
  <c r="CZ128" i="6" s="1"/>
  <c r="DA117" i="6"/>
  <c r="DB118" i="6"/>
  <c r="DC119" i="6"/>
  <c r="DD120" i="6"/>
  <c r="DE121" i="6"/>
  <c r="DF122" i="6"/>
  <c r="DG123" i="6"/>
  <c r="DH124" i="6"/>
  <c r="DI125" i="6"/>
  <c r="DJ126" i="6"/>
  <c r="DK127" i="6"/>
  <c r="DN48" i="6"/>
  <c r="DN55" i="6"/>
  <c r="DO46" i="6"/>
  <c r="DN57" i="6"/>
  <c r="DO50" i="6"/>
  <c r="DI87" i="6"/>
  <c r="DI88" i="6" s="1"/>
  <c r="CX93" i="6"/>
  <c r="CX105" i="6" s="1"/>
  <c r="CX60" i="6" s="1"/>
  <c r="CX61" i="6" s="1"/>
  <c r="CY94" i="6"/>
  <c r="CZ95" i="6"/>
  <c r="DA96" i="6"/>
  <c r="DB97" i="6"/>
  <c r="DC98" i="6"/>
  <c r="DD99" i="6"/>
  <c r="DE100" i="6"/>
  <c r="DF101" i="6"/>
  <c r="DG102" i="6"/>
  <c r="DH103" i="6"/>
  <c r="DI104" i="6"/>
  <c r="DJ87" i="6"/>
  <c r="DJ88" i="6" s="1"/>
  <c r="CY93" i="6"/>
  <c r="CZ94" i="6"/>
  <c r="DA95" i="6"/>
  <c r="DB96" i="6"/>
  <c r="DC97" i="6"/>
  <c r="DD98" i="6"/>
  <c r="DE99" i="6"/>
  <c r="DF100" i="6"/>
  <c r="DG101" i="6"/>
  <c r="DH102" i="6"/>
  <c r="DI103" i="6"/>
  <c r="DJ104" i="6"/>
  <c r="CK15" i="6"/>
  <c r="CK17" i="2"/>
  <c r="CK15" i="2"/>
  <c r="CL13" i="6" s="1"/>
  <c r="CY113" i="6"/>
  <c r="CZ108" i="6" s="1"/>
  <c r="CM32" i="6"/>
  <c r="CM34" i="6" s="1"/>
  <c r="CM20" i="6"/>
  <c r="CL23" i="6"/>
  <c r="CL25" i="6"/>
  <c r="CK3" i="6"/>
  <c r="CZ112" i="6"/>
  <c r="CZ109" i="6" s="1"/>
  <c r="CY89" i="6"/>
  <c r="CY86" i="6" s="1"/>
  <c r="CL168" i="6"/>
  <c r="CM173" i="6"/>
  <c r="DN56" i="6"/>
  <c r="DO47" i="6"/>
  <c r="DO54" i="6"/>
  <c r="DP44" i="6"/>
  <c r="CL37" i="6"/>
  <c r="DB28" i="6"/>
  <c r="DC35" i="6"/>
  <c r="CJ20" i="70"/>
  <c r="DL26" i="70"/>
  <c r="CD21" i="70"/>
  <c r="CE157" i="71"/>
  <c r="CK156" i="71"/>
  <c r="L151" i="68" s="1"/>
  <c r="L112" i="21"/>
  <c r="L70" i="21"/>
  <c r="M111" i="21"/>
  <c r="L93" i="21"/>
  <c r="L97" i="21"/>
  <c r="DM26" i="70"/>
  <c r="CK11" i="2"/>
  <c r="CL9" i="6" s="1"/>
  <c r="CK13" i="2"/>
  <c r="CL11" i="6" s="1"/>
  <c r="L18" i="20"/>
  <c r="L20" i="20" s="1"/>
  <c r="L22" i="20" s="1"/>
  <c r="L17" i="21"/>
  <c r="L19" i="21" s="1"/>
  <c r="CM19" i="2"/>
  <c r="CN17" i="6" s="1"/>
  <c r="CL23" i="2"/>
  <c r="CK19" i="70" s="1"/>
  <c r="CM21" i="2"/>
  <c r="CN19" i="6" s="1"/>
  <c r="CE21" i="70"/>
  <c r="L74" i="21" l="1"/>
  <c r="CL3" i="6"/>
  <c r="CY90" i="6"/>
  <c r="CZ85" i="6" s="1"/>
  <c r="CZ90" i="6" s="1"/>
  <c r="DA85" i="6" s="1"/>
  <c r="DN59" i="6"/>
  <c r="CY105" i="6"/>
  <c r="CY60" i="6" s="1"/>
  <c r="CY61" i="6" s="1"/>
  <c r="DA112" i="6"/>
  <c r="DA109" i="6" s="1"/>
  <c r="CN27" i="6"/>
  <c r="CN29" i="6"/>
  <c r="CM23" i="6"/>
  <c r="L23" i="21" s="1"/>
  <c r="L25" i="21" s="1"/>
  <c r="CM25" i="6"/>
  <c r="DO57" i="6"/>
  <c r="DP50" i="6"/>
  <c r="DO58" i="6"/>
  <c r="DP51" i="6"/>
  <c r="DO56" i="6"/>
  <c r="DP47" i="6"/>
  <c r="CM168" i="6"/>
  <c r="CN173" i="6"/>
  <c r="CM38" i="6"/>
  <c r="CN31" i="6"/>
  <c r="CN36" i="6" s="1"/>
  <c r="DO48" i="6"/>
  <c r="DO55" i="6"/>
  <c r="DP46" i="6"/>
  <c r="CM39" i="6"/>
  <c r="CM40" i="6" s="1"/>
  <c r="CM62" i="6" s="1"/>
  <c r="DL110" i="6"/>
  <c r="DL111" i="6" s="1"/>
  <c r="DA116" i="6"/>
  <c r="DA128" i="6" s="1"/>
  <c r="DB117" i="6"/>
  <c r="DC118" i="6"/>
  <c r="DD119" i="6"/>
  <c r="DE120" i="6"/>
  <c r="DF121" i="6"/>
  <c r="DG122" i="6"/>
  <c r="DH123" i="6"/>
  <c r="DI124" i="6"/>
  <c r="DJ125" i="6"/>
  <c r="DK126" i="6"/>
  <c r="DL127" i="6"/>
  <c r="CZ113" i="6"/>
  <c r="DA108" i="6" s="1"/>
  <c r="DP54" i="6"/>
  <c r="DQ44" i="6"/>
  <c r="DC28" i="6"/>
  <c r="DC24" i="6" s="1"/>
  <c r="DD35" i="6"/>
  <c r="DL87" i="6"/>
  <c r="DL88" i="6" s="1"/>
  <c r="DA93" i="6"/>
  <c r="DB94" i="6"/>
  <c r="DC95" i="6"/>
  <c r="DD96" i="6"/>
  <c r="DE97" i="6"/>
  <c r="DF98" i="6"/>
  <c r="DG99" i="6"/>
  <c r="DH100" i="6"/>
  <c r="DI101" i="6"/>
  <c r="DJ102" i="6"/>
  <c r="DK103" i="6"/>
  <c r="DL104" i="6"/>
  <c r="DK87" i="6"/>
  <c r="DK88" i="6" s="1"/>
  <c r="CZ93" i="6"/>
  <c r="CZ105" i="6" s="1"/>
  <c r="CZ60" i="6" s="1"/>
  <c r="CZ61" i="6" s="1"/>
  <c r="DA94" i="6"/>
  <c r="DB95" i="6"/>
  <c r="DC96" i="6"/>
  <c r="DD97" i="6"/>
  <c r="DE98" i="6"/>
  <c r="DF99" i="6"/>
  <c r="DG100" i="6"/>
  <c r="DH101" i="6"/>
  <c r="DI102" i="6"/>
  <c r="DJ103" i="6"/>
  <c r="M87" i="21" s="1"/>
  <c r="DK104" i="6"/>
  <c r="CN32" i="6"/>
  <c r="CN34" i="6" s="1"/>
  <c r="CN20" i="6"/>
  <c r="DB24" i="6"/>
  <c r="CL15" i="6"/>
  <c r="CL17" i="2"/>
  <c r="CL15" i="2"/>
  <c r="CS27" i="70"/>
  <c r="CK20" i="70"/>
  <c r="M88" i="21"/>
  <c r="CL156" i="71"/>
  <c r="AH153" i="69" s="1"/>
  <c r="CF157" i="71"/>
  <c r="M72" i="21"/>
  <c r="M71" i="21"/>
  <c r="M95" i="21"/>
  <c r="M94" i="21"/>
  <c r="M110" i="21"/>
  <c r="L77" i="21"/>
  <c r="M92" i="21"/>
  <c r="M69" i="21"/>
  <c r="DN26" i="70"/>
  <c r="K20" i="21"/>
  <c r="CL11" i="2"/>
  <c r="CM9" i="6" s="1"/>
  <c r="CL13" i="2"/>
  <c r="CM11" i="6" s="1"/>
  <c r="CN19" i="2"/>
  <c r="CO17" i="6" s="1"/>
  <c r="CM23" i="2"/>
  <c r="CL19" i="70" s="1"/>
  <c r="CN21" i="2"/>
  <c r="CO19" i="6" s="1"/>
  <c r="CF21" i="70"/>
  <c r="CT27" i="70"/>
  <c r="DA113" i="6" l="1"/>
  <c r="DB108" i="6" s="1"/>
  <c r="DO59" i="6"/>
  <c r="DB89" i="6"/>
  <c r="DB86" i="6" s="1"/>
  <c r="DD28" i="6"/>
  <c r="DE35" i="6"/>
  <c r="DP57" i="6"/>
  <c r="DQ50" i="6"/>
  <c r="CM15" i="6"/>
  <c r="CM15" i="2"/>
  <c r="CN13" i="6" s="1"/>
  <c r="CM17" i="2"/>
  <c r="CN38" i="6"/>
  <c r="CO31" i="6"/>
  <c r="CO36" i="6" s="1"/>
  <c r="CO37" i="6" s="1"/>
  <c r="CN23" i="6"/>
  <c r="CN25" i="6"/>
  <c r="DA89" i="6"/>
  <c r="CN39" i="6"/>
  <c r="CN40" i="6" s="1"/>
  <c r="CN62" i="6" s="1"/>
  <c r="CO27" i="6"/>
  <c r="CO29" i="6"/>
  <c r="CN37" i="6"/>
  <c r="DP56" i="6"/>
  <c r="DQ47" i="6"/>
  <c r="CO32" i="6"/>
  <c r="CO34" i="6" s="1"/>
  <c r="CO20" i="6"/>
  <c r="CN168" i="6"/>
  <c r="CO173" i="6"/>
  <c r="CM3" i="6"/>
  <c r="CM13" i="6"/>
  <c r="L13" i="21" s="1"/>
  <c r="L15" i="21" s="1"/>
  <c r="L14" i="20"/>
  <c r="L16" i="20" s="1"/>
  <c r="DQ54" i="6"/>
  <c r="DR44" i="6"/>
  <c r="DM110" i="6"/>
  <c r="DM111" i="6" s="1"/>
  <c r="DB116" i="6"/>
  <c r="DB128" i="6" s="1"/>
  <c r="DC117" i="6"/>
  <c r="DD118" i="6"/>
  <c r="DE119" i="6"/>
  <c r="DF120" i="6"/>
  <c r="DG121" i="6"/>
  <c r="DH122" i="6"/>
  <c r="DI123" i="6"/>
  <c r="DJ124" i="6"/>
  <c r="DK125" i="6"/>
  <c r="DL126" i="6"/>
  <c r="DM127" i="6"/>
  <c r="DB112" i="6"/>
  <c r="DB109" i="6" s="1"/>
  <c r="DA105" i="6"/>
  <c r="DA60" i="6" s="1"/>
  <c r="DA61" i="6" s="1"/>
  <c r="DP58" i="6"/>
  <c r="DQ51" i="6"/>
  <c r="DP48" i="6"/>
  <c r="DP55" i="6"/>
  <c r="DQ46" i="6"/>
  <c r="CL20" i="70"/>
  <c r="CG157" i="71"/>
  <c r="AF154" i="69"/>
  <c r="CM156" i="71"/>
  <c r="L89" i="21"/>
  <c r="M109" i="21"/>
  <c r="CG21" i="70"/>
  <c r="CU27" i="70"/>
  <c r="L10" i="20"/>
  <c r="L12" i="20" s="1"/>
  <c r="L9" i="21"/>
  <c r="L11" i="21" s="1"/>
  <c r="CO19" i="2"/>
  <c r="CP17" i="6" s="1"/>
  <c r="CN23" i="2"/>
  <c r="CM19" i="70" s="1"/>
  <c r="CO21" i="2"/>
  <c r="CP19" i="6" s="1"/>
  <c r="CM11" i="2"/>
  <c r="CN9" i="6" s="1"/>
  <c r="CM13" i="2"/>
  <c r="CN11" i="6" s="1"/>
  <c r="DP59" i="6" l="1"/>
  <c r="CN3" i="6"/>
  <c r="DQ58" i="6"/>
  <c r="DR51" i="6"/>
  <c r="CP27" i="6"/>
  <c r="CP29" i="6"/>
  <c r="CN15" i="6"/>
  <c r="CN17" i="2"/>
  <c r="CN15" i="2"/>
  <c r="CO13" i="6" s="1"/>
  <c r="DQ57" i="6"/>
  <c r="DR50" i="6"/>
  <c r="DA86" i="6"/>
  <c r="DA90" i="6"/>
  <c r="DB85" i="6" s="1"/>
  <c r="DB90" i="6" s="1"/>
  <c r="DC85" i="6" s="1"/>
  <c r="DE28" i="6"/>
  <c r="DE24" i="6" s="1"/>
  <c r="DF35" i="6"/>
  <c r="DN110" i="6"/>
  <c r="DN111" i="6" s="1"/>
  <c r="DC116" i="6"/>
  <c r="DC128" i="6" s="1"/>
  <c r="DD117" i="6"/>
  <c r="DE118" i="6"/>
  <c r="DF119" i="6"/>
  <c r="DG120" i="6"/>
  <c r="DH121" i="6"/>
  <c r="DI122" i="6"/>
  <c r="DJ123" i="6"/>
  <c r="DK124" i="6"/>
  <c r="DL125" i="6"/>
  <c r="DM126" i="6"/>
  <c r="DN127" i="6"/>
  <c r="DQ56" i="6"/>
  <c r="DR47" i="6"/>
  <c r="DC112" i="6"/>
  <c r="DC109" i="6" s="1"/>
  <c r="DR54" i="6"/>
  <c r="DS44" i="6"/>
  <c r="CO23" i="6"/>
  <c r="CO25" i="6"/>
  <c r="DD24" i="6"/>
  <c r="CP173" i="6"/>
  <c r="CO168" i="6"/>
  <c r="CO38" i="6"/>
  <c r="CP31" i="6"/>
  <c r="CP36" i="6" s="1"/>
  <c r="CP39" i="6" s="1"/>
  <c r="CP40" i="6" s="1"/>
  <c r="CP62" i="6" s="1"/>
  <c r="DB113" i="6"/>
  <c r="DC108" i="6" s="1"/>
  <c r="CP32" i="6"/>
  <c r="CP34" i="6" s="1"/>
  <c r="CP20" i="6"/>
  <c r="DQ55" i="6"/>
  <c r="DQ48" i="6"/>
  <c r="DR46" i="6"/>
  <c r="CO39" i="6"/>
  <c r="CO40" i="6" s="1"/>
  <c r="CO62" i="6" s="1"/>
  <c r="DN87" i="6"/>
  <c r="DN88" i="6" s="1"/>
  <c r="DC93" i="6"/>
  <c r="DD94" i="6"/>
  <c r="DE95" i="6"/>
  <c r="DF96" i="6"/>
  <c r="DG97" i="6"/>
  <c r="DH98" i="6"/>
  <c r="DI99" i="6"/>
  <c r="DJ100" i="6"/>
  <c r="DK101" i="6"/>
  <c r="DL102" i="6"/>
  <c r="DM103" i="6"/>
  <c r="DN104" i="6"/>
  <c r="DO26" i="70"/>
  <c r="CM20" i="70"/>
  <c r="M108" i="21"/>
  <c r="CH157" i="71"/>
  <c r="CN156" i="71"/>
  <c r="M86" i="21"/>
  <c r="L45" i="21"/>
  <c r="L44" i="21"/>
  <c r="CH21" i="70"/>
  <c r="CV27" i="70"/>
  <c r="CN11" i="2"/>
  <c r="CO9" i="6" s="1"/>
  <c r="CN13" i="2"/>
  <c r="CO11" i="6" s="1"/>
  <c r="CO23" i="2"/>
  <c r="CP19" i="2"/>
  <c r="CQ17" i="6" s="1"/>
  <c r="CP21" i="2"/>
  <c r="CQ19" i="6" s="1"/>
  <c r="DC113" i="6" l="1"/>
  <c r="DD108" i="6" s="1"/>
  <c r="DQ59" i="6"/>
  <c r="DR57" i="6"/>
  <c r="DS50" i="6"/>
  <c r="CO15" i="6"/>
  <c r="CO15" i="2"/>
  <c r="CP13" i="6" s="1"/>
  <c r="CO17" i="2"/>
  <c r="DO110" i="6"/>
  <c r="DO111" i="6" s="1"/>
  <c r="DD116" i="6"/>
  <c r="DD128" i="6" s="1"/>
  <c r="DE117" i="6"/>
  <c r="DF118" i="6"/>
  <c r="DG119" i="6"/>
  <c r="DH120" i="6"/>
  <c r="DI121" i="6"/>
  <c r="DJ122" i="6"/>
  <c r="DK123" i="6"/>
  <c r="DL124" i="6"/>
  <c r="DM125" i="6"/>
  <c r="DN126" i="6"/>
  <c r="DO127" i="6"/>
  <c r="DF28" i="6"/>
  <c r="DG35" i="6"/>
  <c r="CQ27" i="6"/>
  <c r="CQ29" i="6"/>
  <c r="CQ173" i="6"/>
  <c r="CP168" i="6"/>
  <c r="DD89" i="6"/>
  <c r="DD86" i="6" s="1"/>
  <c r="CQ31" i="6"/>
  <c r="CQ36" i="6" s="1"/>
  <c r="CQ37" i="6" s="1"/>
  <c r="CP38" i="6"/>
  <c r="CP37" i="6"/>
  <c r="DC89" i="6"/>
  <c r="DC86" i="6" s="1"/>
  <c r="DD112" i="6"/>
  <c r="DD109" i="6" s="1"/>
  <c r="DR58" i="6"/>
  <c r="DS51" i="6"/>
  <c r="CP23" i="6"/>
  <c r="CP25" i="6"/>
  <c r="CQ32" i="6"/>
  <c r="CQ34" i="6" s="1"/>
  <c r="CQ20" i="6"/>
  <c r="DM87" i="6"/>
  <c r="DM88" i="6" s="1"/>
  <c r="DB93" i="6"/>
  <c r="DB105" i="6" s="1"/>
  <c r="DB60" i="6" s="1"/>
  <c r="DB61" i="6" s="1"/>
  <c r="DC94" i="6"/>
  <c r="DC105" i="6" s="1"/>
  <c r="DC60" i="6" s="1"/>
  <c r="DC61" i="6" s="1"/>
  <c r="DD95" i="6"/>
  <c r="DE96" i="6"/>
  <c r="DF97" i="6"/>
  <c r="DG98" i="6"/>
  <c r="DH99" i="6"/>
  <c r="DI100" i="6"/>
  <c r="DJ101" i="6"/>
  <c r="M85" i="21" s="1"/>
  <c r="DK102" i="6"/>
  <c r="DL103" i="6"/>
  <c r="DM104" i="6"/>
  <c r="DR56" i="6"/>
  <c r="DS47" i="6"/>
  <c r="DR55" i="6"/>
  <c r="DR48" i="6"/>
  <c r="DS46" i="6"/>
  <c r="DS54" i="6"/>
  <c r="DT44" i="6"/>
  <c r="CO3" i="6"/>
  <c r="CN19" i="70"/>
  <c r="CN20" i="70"/>
  <c r="DP26" i="70"/>
  <c r="CI157" i="71"/>
  <c r="CO156" i="71"/>
  <c r="M107" i="21"/>
  <c r="CQ19" i="2"/>
  <c r="CR17" i="6" s="1"/>
  <c r="CP23" i="2"/>
  <c r="CO20" i="70"/>
  <c r="CQ21" i="2"/>
  <c r="CR19" i="6" s="1"/>
  <c r="CW27" i="70"/>
  <c r="CO11" i="2"/>
  <c r="CP9" i="6" s="1"/>
  <c r="CO13" i="2"/>
  <c r="CP11" i="6" s="1"/>
  <c r="DR59" i="6" l="1"/>
  <c r="DC90" i="6"/>
  <c r="DD85" i="6" s="1"/>
  <c r="DD90" i="6" s="1"/>
  <c r="DE85" i="6" s="1"/>
  <c r="CP3" i="6"/>
  <c r="CQ39" i="6"/>
  <c r="CQ40" i="6" s="1"/>
  <c r="CQ62" i="6" s="1"/>
  <c r="DD113" i="6"/>
  <c r="DE108" i="6" s="1"/>
  <c r="CQ23" i="6"/>
  <c r="CQ25" i="6"/>
  <c r="CP15" i="6"/>
  <c r="CP17" i="2"/>
  <c r="CP15" i="2"/>
  <c r="CQ13" i="6" s="1"/>
  <c r="DS55" i="6"/>
  <c r="DS48" i="6"/>
  <c r="DT46" i="6"/>
  <c r="DS56" i="6"/>
  <c r="DT47" i="6"/>
  <c r="DP110" i="6"/>
  <c r="DP111" i="6" s="1"/>
  <c r="DE116" i="6"/>
  <c r="DE128" i="6" s="1"/>
  <c r="DF117" i="6"/>
  <c r="DG118" i="6"/>
  <c r="DH119" i="6"/>
  <c r="DI120" i="6"/>
  <c r="DJ121" i="6"/>
  <c r="M105" i="21" s="1"/>
  <c r="DK122" i="6"/>
  <c r="DL123" i="6"/>
  <c r="DM124" i="6"/>
  <c r="DN125" i="6"/>
  <c r="DO126" i="6"/>
  <c r="DP127" i="6"/>
  <c r="DP87" i="6"/>
  <c r="DP88" i="6" s="1"/>
  <c r="DE93" i="6"/>
  <c r="DF94" i="6"/>
  <c r="DG95" i="6"/>
  <c r="DH96" i="6"/>
  <c r="DI97" i="6"/>
  <c r="DJ98" i="6"/>
  <c r="DK99" i="6"/>
  <c r="DL100" i="6"/>
  <c r="DM101" i="6"/>
  <c r="DN102" i="6"/>
  <c r="DO103" i="6"/>
  <c r="DP104" i="6"/>
  <c r="CR27" i="6"/>
  <c r="CR29" i="6"/>
  <c r="CR173" i="6"/>
  <c r="CQ168" i="6"/>
  <c r="DO87" i="6"/>
  <c r="DO88" i="6" s="1"/>
  <c r="DD93" i="6"/>
  <c r="DD105" i="6" s="1"/>
  <c r="DD60" i="6" s="1"/>
  <c r="DD61" i="6" s="1"/>
  <c r="DE94" i="6"/>
  <c r="DF95" i="6"/>
  <c r="DG96" i="6"/>
  <c r="DH97" i="6"/>
  <c r="DI98" i="6"/>
  <c r="DJ99" i="6"/>
  <c r="M83" i="21" s="1"/>
  <c r="DK100" i="6"/>
  <c r="DL101" i="6"/>
  <c r="DM102" i="6"/>
  <c r="DN103" i="6"/>
  <c r="DO104" i="6"/>
  <c r="DS57" i="6"/>
  <c r="DT50" i="6"/>
  <c r="DG28" i="6"/>
  <c r="DG24" i="6" s="1"/>
  <c r="DH35" i="6"/>
  <c r="CR32" i="6"/>
  <c r="CR34" i="6" s="1"/>
  <c r="CR20" i="6"/>
  <c r="DS58" i="6"/>
  <c r="DT51" i="6"/>
  <c r="DE112" i="6"/>
  <c r="DE109" i="6" s="1"/>
  <c r="DT54" i="6"/>
  <c r="DU44" i="6"/>
  <c r="CR31" i="6"/>
  <c r="CR36" i="6" s="1"/>
  <c r="CR39" i="6" s="1"/>
  <c r="CR40" i="6" s="1"/>
  <c r="CR62" i="6" s="1"/>
  <c r="CQ38" i="6"/>
  <c r="CQ3" i="6" s="1"/>
  <c r="DF24" i="6"/>
  <c r="DQ26" i="70"/>
  <c r="CI21" i="70"/>
  <c r="CO19" i="70"/>
  <c r="M106" i="21"/>
  <c r="CJ157" i="71"/>
  <c r="AI153" i="69"/>
  <c r="CP156" i="71"/>
  <c r="AG154" i="69"/>
  <c r="M84" i="21"/>
  <c r="CJ21" i="70"/>
  <c r="CP11" i="2"/>
  <c r="CQ9" i="6" s="1"/>
  <c r="CP13" i="2"/>
  <c r="CQ11" i="6" s="1"/>
  <c r="CR19" i="2"/>
  <c r="CS17" i="6" s="1"/>
  <c r="CQ23" i="2"/>
  <c r="CP20" i="70"/>
  <c r="CR21" i="2"/>
  <c r="CS19" i="6" s="1"/>
  <c r="CX27" i="70"/>
  <c r="CR37" i="6" l="1"/>
  <c r="DE113" i="6"/>
  <c r="DF108" i="6" s="1"/>
  <c r="DE105" i="6"/>
  <c r="DE60" i="6" s="1"/>
  <c r="DE61" i="6" s="1"/>
  <c r="DS59" i="6"/>
  <c r="CS27" i="6"/>
  <c r="CS29" i="6"/>
  <c r="CQ15" i="6"/>
  <c r="CQ15" i="2"/>
  <c r="CR13" i="6" s="1"/>
  <c r="CQ17" i="2"/>
  <c r="CR23" i="6"/>
  <c r="CR25" i="6"/>
  <c r="DH28" i="6"/>
  <c r="DI35" i="6"/>
  <c r="DF89" i="6"/>
  <c r="DF86" i="6" s="1"/>
  <c r="DT56" i="6"/>
  <c r="DU47" i="6"/>
  <c r="DF112" i="6"/>
  <c r="DF109" i="6" s="1"/>
  <c r="CS20" i="6"/>
  <c r="CS32" i="6"/>
  <c r="CS34" i="6" s="1"/>
  <c r="DT57" i="6"/>
  <c r="DU50" i="6"/>
  <c r="DT58" i="6"/>
  <c r="DU51" i="6"/>
  <c r="DE89" i="6"/>
  <c r="CS173" i="6"/>
  <c r="CR168" i="6"/>
  <c r="CS31" i="6"/>
  <c r="CS36" i="6" s="1"/>
  <c r="CS39" i="6" s="1"/>
  <c r="CS40" i="6" s="1"/>
  <c r="CS62" i="6" s="1"/>
  <c r="CR38" i="6"/>
  <c r="DU54" i="6"/>
  <c r="DV44" i="6"/>
  <c r="DT55" i="6"/>
  <c r="DT48" i="6"/>
  <c r="DU46" i="6"/>
  <c r="DQ110" i="6"/>
  <c r="DQ111" i="6" s="1"/>
  <c r="DF116" i="6"/>
  <c r="DF128" i="6" s="1"/>
  <c r="DG117" i="6"/>
  <c r="DH118" i="6"/>
  <c r="DI119" i="6"/>
  <c r="DJ120" i="6"/>
  <c r="DK121" i="6"/>
  <c r="DL122" i="6"/>
  <c r="DM123" i="6"/>
  <c r="DN124" i="6"/>
  <c r="DO125" i="6"/>
  <c r="DP126" i="6"/>
  <c r="DQ127" i="6"/>
  <c r="DR26" i="70"/>
  <c r="CP19" i="70"/>
  <c r="CK157" i="71"/>
  <c r="CQ156" i="71"/>
  <c r="CQ11" i="2"/>
  <c r="CR9" i="6" s="1"/>
  <c r="CQ13" i="2"/>
  <c r="CR11" i="6" s="1"/>
  <c r="CY27" i="70"/>
  <c r="CR23" i="2"/>
  <c r="CQ19" i="70" s="1"/>
  <c r="CS19" i="2"/>
  <c r="CT17" i="6" s="1"/>
  <c r="CS21" i="2"/>
  <c r="CT19" i="6" s="1"/>
  <c r="K33" i="21"/>
  <c r="CR3" i="6" l="1"/>
  <c r="CS37" i="6"/>
  <c r="DT59" i="6"/>
  <c r="CS23" i="6"/>
  <c r="CS25" i="6"/>
  <c r="DR110" i="6"/>
  <c r="DR111" i="6" s="1"/>
  <c r="DG116" i="6"/>
  <c r="DG128" i="6" s="1"/>
  <c r="DH117" i="6"/>
  <c r="DI118" i="6"/>
  <c r="DJ119" i="6"/>
  <c r="DK120" i="6"/>
  <c r="DL121" i="6"/>
  <c r="DM122" i="6"/>
  <c r="DN123" i="6"/>
  <c r="DO124" i="6"/>
  <c r="DP125" i="6"/>
  <c r="DQ126" i="6"/>
  <c r="DR127" i="6"/>
  <c r="DF113" i="6"/>
  <c r="DG108" i="6" s="1"/>
  <c r="DU56" i="6"/>
  <c r="DV47" i="6"/>
  <c r="CT20" i="6"/>
  <c r="CT32" i="6"/>
  <c r="CT34" i="6" s="1"/>
  <c r="DE86" i="6"/>
  <c r="DE90" i="6"/>
  <c r="DF85" i="6" s="1"/>
  <c r="DF90" i="6" s="1"/>
  <c r="DG85" i="6" s="1"/>
  <c r="DU58" i="6"/>
  <c r="DV51" i="6"/>
  <c r="CR15" i="6"/>
  <c r="CR15" i="2"/>
  <c r="CS13" i="6" s="1"/>
  <c r="CR17" i="2"/>
  <c r="DR87" i="6"/>
  <c r="DR88" i="6" s="1"/>
  <c r="DG93" i="6"/>
  <c r="DH94" i="6"/>
  <c r="DI95" i="6"/>
  <c r="DJ96" i="6"/>
  <c r="DK97" i="6"/>
  <c r="DL98" i="6"/>
  <c r="DM99" i="6"/>
  <c r="DN100" i="6"/>
  <c r="DO101" i="6"/>
  <c r="DP102" i="6"/>
  <c r="DQ103" i="6"/>
  <c r="DR104" i="6"/>
  <c r="DI28" i="6"/>
  <c r="DI24" i="6" s="1"/>
  <c r="DJ35" i="6"/>
  <c r="DV54" i="6"/>
  <c r="DW44" i="6"/>
  <c r="DG112" i="6"/>
  <c r="DG109" i="6" s="1"/>
  <c r="CT27" i="6"/>
  <c r="CT29" i="6"/>
  <c r="DU55" i="6"/>
  <c r="DU48" i="6"/>
  <c r="DV46" i="6"/>
  <c r="DH24" i="6"/>
  <c r="DU57" i="6"/>
  <c r="DV50" i="6"/>
  <c r="CS38" i="6"/>
  <c r="CT31" i="6"/>
  <c r="CT36" i="6" s="1"/>
  <c r="CT37" i="6" s="1"/>
  <c r="CT173" i="6"/>
  <c r="CS168" i="6"/>
  <c r="CQ20" i="70"/>
  <c r="DS26" i="70"/>
  <c r="L152" i="68"/>
  <c r="CR156" i="71"/>
  <c r="AJ153" i="69" s="1"/>
  <c r="M82" i="21"/>
  <c r="M104" i="21"/>
  <c r="CR11" i="2"/>
  <c r="CS9" i="6" s="1"/>
  <c r="CR13" i="2"/>
  <c r="CS11" i="6" s="1"/>
  <c r="K35" i="21"/>
  <c r="CS23" i="2"/>
  <c r="CT19" i="2"/>
  <c r="CU17" i="6" s="1"/>
  <c r="CT21" i="2"/>
  <c r="CU19" i="6" s="1"/>
  <c r="L31" i="21"/>
  <c r="K34" i="21"/>
  <c r="DU59" i="6" l="1"/>
  <c r="DG113" i="6"/>
  <c r="DH108" i="6" s="1"/>
  <c r="DV57" i="6"/>
  <c r="DW50" i="6"/>
  <c r="CU32" i="6"/>
  <c r="CU34" i="6" s="1"/>
  <c r="CU20" i="6"/>
  <c r="DV48" i="6"/>
  <c r="DV55" i="6"/>
  <c r="DW46" i="6"/>
  <c r="CS15" i="6"/>
  <c r="CS15" i="2"/>
  <c r="CT13" i="6" s="1"/>
  <c r="CS17" i="2"/>
  <c r="DH89" i="6"/>
  <c r="DH86" i="6" s="1"/>
  <c r="CU27" i="6"/>
  <c r="CU29" i="6"/>
  <c r="N38" i="21"/>
  <c r="CT23" i="6"/>
  <c r="CT25" i="6"/>
  <c r="DV56" i="6"/>
  <c r="N40" i="21" s="1"/>
  <c r="DW47" i="6"/>
  <c r="DV58" i="6"/>
  <c r="N42" i="21" s="1"/>
  <c r="DW51" i="6"/>
  <c r="DJ28" i="6"/>
  <c r="DK35" i="6"/>
  <c r="DG89" i="6"/>
  <c r="DG86" i="6" s="1"/>
  <c r="DS110" i="6"/>
  <c r="DS111" i="6" s="1"/>
  <c r="DH116" i="6"/>
  <c r="DH128" i="6" s="1"/>
  <c r="DI117" i="6"/>
  <c r="DJ118" i="6"/>
  <c r="DK119" i="6"/>
  <c r="DL120" i="6"/>
  <c r="DM121" i="6"/>
  <c r="DN122" i="6"/>
  <c r="DO123" i="6"/>
  <c r="DP124" i="6"/>
  <c r="DQ125" i="6"/>
  <c r="DR126" i="6"/>
  <c r="DS127" i="6"/>
  <c r="CS3" i="6"/>
  <c r="CT38" i="6"/>
  <c r="CU31" i="6"/>
  <c r="CU36" i="6" s="1"/>
  <c r="CU37" i="6" s="1"/>
  <c r="CT39" i="6"/>
  <c r="CT40" i="6" s="1"/>
  <c r="CT62" i="6" s="1"/>
  <c r="DW54" i="6"/>
  <c r="DX44" i="6"/>
  <c r="CU173" i="6"/>
  <c r="CT168" i="6"/>
  <c r="DH112" i="6"/>
  <c r="DH109" i="6" s="1"/>
  <c r="DQ87" i="6"/>
  <c r="DQ88" i="6" s="1"/>
  <c r="DF93" i="6"/>
  <c r="DF105" i="6" s="1"/>
  <c r="DF60" i="6" s="1"/>
  <c r="DF61" i="6" s="1"/>
  <c r="DG94" i="6"/>
  <c r="DG105" i="6" s="1"/>
  <c r="DG60" i="6" s="1"/>
  <c r="DG61" i="6" s="1"/>
  <c r="DH95" i="6"/>
  <c r="DI96" i="6"/>
  <c r="DJ97" i="6"/>
  <c r="M81" i="21" s="1"/>
  <c r="DK98" i="6"/>
  <c r="DL99" i="6"/>
  <c r="DM100" i="6"/>
  <c r="DN101" i="6"/>
  <c r="DO102" i="6"/>
  <c r="DP103" i="6"/>
  <c r="DQ104" i="6"/>
  <c r="DT26" i="70"/>
  <c r="CK21" i="70"/>
  <c r="CZ27" i="70"/>
  <c r="CR19" i="70"/>
  <c r="CR20" i="70"/>
  <c r="CS156" i="71"/>
  <c r="CL157" i="71"/>
  <c r="M103" i="21"/>
  <c r="M32" i="21"/>
  <c r="N41" i="21"/>
  <c r="CS11" i="2"/>
  <c r="CT9" i="6" s="1"/>
  <c r="CS13" i="2"/>
  <c r="CT11" i="6" s="1"/>
  <c r="CU19" i="2"/>
  <c r="CV17" i="6" s="1"/>
  <c r="CS20" i="70"/>
  <c r="CT23" i="2"/>
  <c r="CU21" i="2"/>
  <c r="CV19" i="6" s="1"/>
  <c r="CL21" i="70"/>
  <c r="K46" i="21"/>
  <c r="DV59" i="6" l="1"/>
  <c r="CU23" i="6"/>
  <c r="CU25" i="6"/>
  <c r="DW48" i="6"/>
  <c r="DW55" i="6"/>
  <c r="DX46" i="6"/>
  <c r="DS87" i="6"/>
  <c r="DS88" i="6" s="1"/>
  <c r="DH93" i="6"/>
  <c r="DH105" i="6" s="1"/>
  <c r="DH60" i="6" s="1"/>
  <c r="DH61" i="6" s="1"/>
  <c r="DI94" i="6"/>
  <c r="DJ95" i="6"/>
  <c r="M79" i="21" s="1"/>
  <c r="DK96" i="6"/>
  <c r="DL97" i="6"/>
  <c r="DM98" i="6"/>
  <c r="DN99" i="6"/>
  <c r="DO100" i="6"/>
  <c r="DP101" i="6"/>
  <c r="DQ102" i="6"/>
  <c r="DR103" i="6"/>
  <c r="DS104" i="6"/>
  <c r="DG90" i="6"/>
  <c r="DH85" i="6" s="1"/>
  <c r="DH90" i="6" s="1"/>
  <c r="DI85" i="6" s="1"/>
  <c r="DI112" i="6"/>
  <c r="DI109" i="6" s="1"/>
  <c r="CV173" i="6"/>
  <c r="CU168" i="6"/>
  <c r="DT110" i="6"/>
  <c r="DT111" i="6" s="1"/>
  <c r="DI116" i="6"/>
  <c r="DI128" i="6" s="1"/>
  <c r="DJ117" i="6"/>
  <c r="DK118" i="6"/>
  <c r="DL119" i="6"/>
  <c r="DM120" i="6"/>
  <c r="DN121" i="6"/>
  <c r="DO122" i="6"/>
  <c r="DP123" i="6"/>
  <c r="DQ124" i="6"/>
  <c r="DR125" i="6"/>
  <c r="DS126" i="6"/>
  <c r="DT127" i="6"/>
  <c r="DX54" i="6"/>
  <c r="DY44" i="6"/>
  <c r="DJ24" i="6"/>
  <c r="M24" i="21" s="1"/>
  <c r="DW58" i="6"/>
  <c r="DX51" i="6"/>
  <c r="DW57" i="6"/>
  <c r="DX50" i="6"/>
  <c r="DT87" i="6"/>
  <c r="DT88" i="6" s="1"/>
  <c r="DI93" i="6"/>
  <c r="DJ94" i="6"/>
  <c r="DK95" i="6"/>
  <c r="DL96" i="6"/>
  <c r="DM97" i="6"/>
  <c r="DN98" i="6"/>
  <c r="DO99" i="6"/>
  <c r="DP100" i="6"/>
  <c r="DQ101" i="6"/>
  <c r="DR102" i="6"/>
  <c r="DS103" i="6"/>
  <c r="DT104" i="6"/>
  <c r="CU38" i="6"/>
  <c r="CU3" i="6" s="1"/>
  <c r="CV31" i="6"/>
  <c r="CV36" i="6" s="1"/>
  <c r="CV37" i="6" s="1"/>
  <c r="DH113" i="6"/>
  <c r="DI108" i="6" s="1"/>
  <c r="CV32" i="6"/>
  <c r="CV34" i="6" s="1"/>
  <c r="CV20" i="6"/>
  <c r="CT15" i="6"/>
  <c r="CT17" i="2"/>
  <c r="CT15" i="2"/>
  <c r="CU13" i="6" s="1"/>
  <c r="CT3" i="6"/>
  <c r="CU39" i="6"/>
  <c r="CU40" i="6" s="1"/>
  <c r="CU62" i="6" s="1"/>
  <c r="DW56" i="6"/>
  <c r="DX47" i="6"/>
  <c r="DK28" i="6"/>
  <c r="DK24" i="6" s="1"/>
  <c r="DL35" i="6"/>
  <c r="CV27" i="6"/>
  <c r="CV29" i="6"/>
  <c r="DA27" i="70"/>
  <c r="DU26" i="70"/>
  <c r="CS19" i="70"/>
  <c r="CM157" i="71"/>
  <c r="CT156" i="71"/>
  <c r="AH154" i="69"/>
  <c r="M28" i="21"/>
  <c r="M102" i="21"/>
  <c r="M80" i="21"/>
  <c r="N39" i="21"/>
  <c r="DV26" i="70"/>
  <c r="CT11" i="2"/>
  <c r="CU9" i="6" s="1"/>
  <c r="CT13" i="2"/>
  <c r="CU11" i="6" s="1"/>
  <c r="CV19" i="2"/>
  <c r="CW17" i="6" s="1"/>
  <c r="CU23" i="2"/>
  <c r="CT20" i="70"/>
  <c r="CV21" i="2"/>
  <c r="CW19" i="6" s="1"/>
  <c r="CM21" i="70"/>
  <c r="DI113" i="6" l="1"/>
  <c r="DJ108" i="6" s="1"/>
  <c r="DW59" i="6"/>
  <c r="DJ89" i="6"/>
  <c r="DJ86" i="6" s="1"/>
  <c r="DX57" i="6"/>
  <c r="DY50" i="6"/>
  <c r="CW173" i="6"/>
  <c r="CV168" i="6"/>
  <c r="DX48" i="6"/>
  <c r="DX55" i="6"/>
  <c r="DY46" i="6"/>
  <c r="DI89" i="6"/>
  <c r="DI86" i="6" s="1"/>
  <c r="CW32" i="6"/>
  <c r="CW34" i="6" s="1"/>
  <c r="CW20" i="6"/>
  <c r="DX56" i="6"/>
  <c r="DY47" i="6"/>
  <c r="DY54" i="6"/>
  <c r="DZ44" i="6"/>
  <c r="CV38" i="6"/>
  <c r="CV3" i="6" s="1"/>
  <c r="CW31" i="6"/>
  <c r="CW36" i="6" s="1"/>
  <c r="CW39" i="6" s="1"/>
  <c r="CW40" i="6" s="1"/>
  <c r="CW62" i="6" s="1"/>
  <c r="CV23" i="6"/>
  <c r="CV25" i="6"/>
  <c r="DX58" i="6"/>
  <c r="DY51" i="6"/>
  <c r="DL28" i="6"/>
  <c r="DL24" i="6" s="1"/>
  <c r="DM35" i="6"/>
  <c r="DJ112" i="6"/>
  <c r="DJ109" i="6" s="1"/>
  <c r="CU15" i="6"/>
  <c r="CU17" i="2"/>
  <c r="CU15" i="2"/>
  <c r="CV13" i="6" s="1"/>
  <c r="CV39" i="6"/>
  <c r="CV40" i="6" s="1"/>
  <c r="CV62" i="6" s="1"/>
  <c r="DI105" i="6"/>
  <c r="DI60" i="6" s="1"/>
  <c r="DI61" i="6" s="1"/>
  <c r="CW27" i="6"/>
  <c r="CW29" i="6"/>
  <c r="DU110" i="6"/>
  <c r="DU111" i="6" s="1"/>
  <c r="DJ116" i="6"/>
  <c r="DJ128" i="6" s="1"/>
  <c r="DK117" i="6"/>
  <c r="DL118" i="6"/>
  <c r="DM119" i="6"/>
  <c r="DN120" i="6"/>
  <c r="DO121" i="6"/>
  <c r="DP122" i="6"/>
  <c r="DQ123" i="6"/>
  <c r="DR124" i="6"/>
  <c r="DS125" i="6"/>
  <c r="DT126" i="6"/>
  <c r="DU127" i="6"/>
  <c r="DB27" i="70"/>
  <c r="CT19" i="70"/>
  <c r="N43" i="21"/>
  <c r="CU156" i="71"/>
  <c r="AK153" i="69" s="1"/>
  <c r="CN157" i="71"/>
  <c r="M101" i="21"/>
  <c r="M78" i="21"/>
  <c r="CW19" i="2"/>
  <c r="CX17" i="6" s="1"/>
  <c r="CV23" i="2"/>
  <c r="CW21" i="2"/>
  <c r="CX19" i="6" s="1"/>
  <c r="CU11" i="2"/>
  <c r="CV9" i="6" s="1"/>
  <c r="CU13" i="2"/>
  <c r="CV11" i="6" s="1"/>
  <c r="DC27" i="70"/>
  <c r="CW37" i="6" l="1"/>
  <c r="DI90" i="6"/>
  <c r="DJ85" i="6" s="1"/>
  <c r="DJ90" i="6" s="1"/>
  <c r="DK85" i="6" s="1"/>
  <c r="DX59" i="6"/>
  <c r="DK89" i="6"/>
  <c r="DK86" i="6" s="1"/>
  <c r="CX27" i="6"/>
  <c r="CX29" i="6"/>
  <c r="DJ113" i="6"/>
  <c r="DK108" i="6" s="1"/>
  <c r="DY56" i="6"/>
  <c r="DZ47" i="6"/>
  <c r="DV110" i="6"/>
  <c r="DV111" i="6" s="1"/>
  <c r="DK116" i="6"/>
  <c r="DK128" i="6" s="1"/>
  <c r="DL117" i="6"/>
  <c r="DM118" i="6"/>
  <c r="DN119" i="6"/>
  <c r="DO120" i="6"/>
  <c r="DP121" i="6"/>
  <c r="DQ122" i="6"/>
  <c r="DR123" i="6"/>
  <c r="DS124" i="6"/>
  <c r="DT125" i="6"/>
  <c r="DU126" i="6"/>
  <c r="DV127" i="6"/>
  <c r="DZ54" i="6"/>
  <c r="EA44" i="6"/>
  <c r="DY58" i="6"/>
  <c r="DZ51" i="6"/>
  <c r="CX173" i="6"/>
  <c r="CW168" i="6"/>
  <c r="DY57" i="6"/>
  <c r="DZ50" i="6"/>
  <c r="DM28" i="6"/>
  <c r="DM24" i="6" s="1"/>
  <c r="DN35" i="6"/>
  <c r="CW23" i="6"/>
  <c r="CW25" i="6"/>
  <c r="CV15" i="6"/>
  <c r="CV15" i="2"/>
  <c r="CW13" i="6" s="1"/>
  <c r="CV17" i="2"/>
  <c r="CW38" i="6"/>
  <c r="CX31" i="6"/>
  <c r="CX36" i="6" s="1"/>
  <c r="DU87" i="6"/>
  <c r="DU88" i="6" s="1"/>
  <c r="DJ93" i="6"/>
  <c r="DJ105" i="6" s="1"/>
  <c r="DJ60" i="6" s="1"/>
  <c r="DJ61" i="6" s="1"/>
  <c r="DK94" i="6"/>
  <c r="DL95" i="6"/>
  <c r="DM96" i="6"/>
  <c r="DN97" i="6"/>
  <c r="DO98" i="6"/>
  <c r="DP99" i="6"/>
  <c r="DQ100" i="6"/>
  <c r="DR101" i="6"/>
  <c r="DS102" i="6"/>
  <c r="DT103" i="6"/>
  <c r="DU104" i="6"/>
  <c r="CX32" i="6"/>
  <c r="CX34" i="6" s="1"/>
  <c r="CX20" i="6"/>
  <c r="DK112" i="6"/>
  <c r="DK109" i="6" s="1"/>
  <c r="DY48" i="6"/>
  <c r="DY55" i="6"/>
  <c r="DZ46" i="6"/>
  <c r="DV87" i="6"/>
  <c r="DV88" i="6" s="1"/>
  <c r="DK93" i="6"/>
  <c r="DL94" i="6"/>
  <c r="DM95" i="6"/>
  <c r="DN96" i="6"/>
  <c r="DO97" i="6"/>
  <c r="DP98" i="6"/>
  <c r="DQ99" i="6"/>
  <c r="DR100" i="6"/>
  <c r="DS101" i="6"/>
  <c r="DT102" i="6"/>
  <c r="DU103" i="6"/>
  <c r="DV104" i="6"/>
  <c r="CU20" i="70"/>
  <c r="CN21" i="70"/>
  <c r="DW26" i="70"/>
  <c r="CU19" i="70"/>
  <c r="M100" i="21"/>
  <c r="CO157" i="71"/>
  <c r="CV156" i="71"/>
  <c r="M96" i="21"/>
  <c r="M112" i="21"/>
  <c r="M73" i="21"/>
  <c r="DX26" i="70"/>
  <c r="DD27" i="70"/>
  <c r="CX19" i="2"/>
  <c r="CY17" i="6" s="1"/>
  <c r="CW23" i="2"/>
  <c r="CX21" i="2"/>
  <c r="CY19" i="6" s="1"/>
  <c r="CV11" i="2"/>
  <c r="CW9" i="6" s="1"/>
  <c r="CV13" i="2"/>
  <c r="CW11" i="6" s="1"/>
  <c r="M74" i="21" l="1"/>
  <c r="DY59" i="6"/>
  <c r="DK113" i="6"/>
  <c r="DL108" i="6" s="1"/>
  <c r="M89" i="21"/>
  <c r="M77" i="21"/>
  <c r="DK105" i="6"/>
  <c r="DK60" i="6" s="1"/>
  <c r="DK61" i="6" s="1"/>
  <c r="DL89" i="6"/>
  <c r="DL86" i="6" s="1"/>
  <c r="DZ56" i="6"/>
  <c r="EA47" i="6"/>
  <c r="DL112" i="6"/>
  <c r="DL109" i="6" s="1"/>
  <c r="DZ57" i="6"/>
  <c r="EA50" i="6"/>
  <c r="CW15" i="6"/>
  <c r="CW15" i="2"/>
  <c r="CX13" i="6" s="1"/>
  <c r="CW17" i="2"/>
  <c r="DN28" i="6"/>
  <c r="DN24" i="6" s="1"/>
  <c r="DO35" i="6"/>
  <c r="CY27" i="6"/>
  <c r="M27" i="21" s="1"/>
  <c r="M29" i="21" s="1"/>
  <c r="CY29" i="6"/>
  <c r="CX38" i="6"/>
  <c r="CY31" i="6"/>
  <c r="CY36" i="6" s="1"/>
  <c r="CY39" i="6" s="1"/>
  <c r="CY40" i="6" s="1"/>
  <c r="CY62" i="6" s="1"/>
  <c r="CW3" i="6"/>
  <c r="DZ58" i="6"/>
  <c r="EA51" i="6"/>
  <c r="CY32" i="6"/>
  <c r="CY34" i="6" s="1"/>
  <c r="CY20" i="6"/>
  <c r="DW110" i="6"/>
  <c r="DW111" i="6" s="1"/>
  <c r="DL116" i="6"/>
  <c r="DL128" i="6" s="1"/>
  <c r="DM117" i="6"/>
  <c r="DN118" i="6"/>
  <c r="DO119" i="6"/>
  <c r="DP120" i="6"/>
  <c r="DQ121" i="6"/>
  <c r="DR122" i="6"/>
  <c r="DS123" i="6"/>
  <c r="DT124" i="6"/>
  <c r="DU125" i="6"/>
  <c r="DV126" i="6"/>
  <c r="DW127" i="6"/>
  <c r="CX23" i="6"/>
  <c r="CX25" i="6"/>
  <c r="DW87" i="6"/>
  <c r="DW88" i="6" s="1"/>
  <c r="DL93" i="6"/>
  <c r="DL105" i="6" s="1"/>
  <c r="DM94" i="6"/>
  <c r="DN95" i="6"/>
  <c r="DO96" i="6"/>
  <c r="DP97" i="6"/>
  <c r="DQ98" i="6"/>
  <c r="DR99" i="6"/>
  <c r="DS100" i="6"/>
  <c r="DT101" i="6"/>
  <c r="DU102" i="6"/>
  <c r="DV103" i="6"/>
  <c r="DW104" i="6"/>
  <c r="CX168" i="6"/>
  <c r="CY173" i="6"/>
  <c r="EA54" i="6"/>
  <c r="EB44" i="6"/>
  <c r="DZ48" i="6"/>
  <c r="DZ55" i="6"/>
  <c r="EA46" i="6"/>
  <c r="CX39" i="6"/>
  <c r="CX40" i="6" s="1"/>
  <c r="CX62" i="6" s="1"/>
  <c r="CX37" i="6"/>
  <c r="DK90" i="6"/>
  <c r="DL85" i="6" s="1"/>
  <c r="N69" i="21"/>
  <c r="CV19" i="70"/>
  <c r="CO21" i="70"/>
  <c r="CV20" i="70"/>
  <c r="AI154" i="69"/>
  <c r="CW156" i="71"/>
  <c r="M151" i="68" s="1"/>
  <c r="CP157" i="71"/>
  <c r="M44" i="21"/>
  <c r="N88" i="21"/>
  <c r="M70" i="21"/>
  <c r="M97" i="21"/>
  <c r="M45" i="21"/>
  <c r="M93" i="21"/>
  <c r="N111" i="21"/>
  <c r="DY26" i="70"/>
  <c r="CX23" i="2"/>
  <c r="CW19" i="70" s="1"/>
  <c r="CY19" i="2"/>
  <c r="CZ17" i="6" s="1"/>
  <c r="CY21" i="2"/>
  <c r="CZ19" i="6" s="1"/>
  <c r="CP21" i="70"/>
  <c r="M18" i="20"/>
  <c r="M20" i="20" s="1"/>
  <c r="M22" i="20" s="1"/>
  <c r="M17" i="21"/>
  <c r="M19" i="21" s="1"/>
  <c r="CW11" i="2"/>
  <c r="CX9" i="6" s="1"/>
  <c r="CW13" i="2"/>
  <c r="CX11" i="6" s="1"/>
  <c r="CX3" i="6" l="1"/>
  <c r="CY37" i="6"/>
  <c r="DL90" i="6"/>
  <c r="DM85" i="6" s="1"/>
  <c r="DZ59" i="6"/>
  <c r="DM89" i="6"/>
  <c r="DM86" i="6" s="1"/>
  <c r="DL60" i="6"/>
  <c r="DL61" i="6" s="1"/>
  <c r="CY23" i="6"/>
  <c r="M23" i="21" s="1"/>
  <c r="M25" i="21" s="1"/>
  <c r="CY25" i="6"/>
  <c r="CZ27" i="6"/>
  <c r="CZ29" i="6"/>
  <c r="DX110" i="6"/>
  <c r="DX111" i="6" s="1"/>
  <c r="DM116" i="6"/>
  <c r="DM128" i="6" s="1"/>
  <c r="DN117" i="6"/>
  <c r="DO118" i="6"/>
  <c r="DP119" i="6"/>
  <c r="DQ120" i="6"/>
  <c r="DR121" i="6"/>
  <c r="DS122" i="6"/>
  <c r="DT123" i="6"/>
  <c r="DU124" i="6"/>
  <c r="DV125" i="6"/>
  <c r="DW126" i="6"/>
  <c r="DX127" i="6"/>
  <c r="DO28" i="6"/>
  <c r="DO24" i="6" s="1"/>
  <c r="DP35" i="6"/>
  <c r="CY168" i="6"/>
  <c r="CZ173" i="6"/>
  <c r="EA56" i="6"/>
  <c r="EB47" i="6"/>
  <c r="EA48" i="6"/>
  <c r="EA55" i="6"/>
  <c r="EB46" i="6"/>
  <c r="DM112" i="6"/>
  <c r="DM109" i="6" s="1"/>
  <c r="CX15" i="6"/>
  <c r="CX15" i="2"/>
  <c r="CX17" i="2"/>
  <c r="DX87" i="6"/>
  <c r="DX88" i="6" s="1"/>
  <c r="DM93" i="6"/>
  <c r="DM105" i="6" s="1"/>
  <c r="DN94" i="6"/>
  <c r="DO95" i="6"/>
  <c r="DP96" i="6"/>
  <c r="DQ97" i="6"/>
  <c r="DR98" i="6"/>
  <c r="DS99" i="6"/>
  <c r="DT100" i="6"/>
  <c r="DU101" i="6"/>
  <c r="DV102" i="6"/>
  <c r="DW103" i="6"/>
  <c r="DX104" i="6"/>
  <c r="EA58" i="6"/>
  <c r="EB51" i="6"/>
  <c r="EB54" i="6"/>
  <c r="EC44" i="6"/>
  <c r="CZ32" i="6"/>
  <c r="CZ34" i="6" s="1"/>
  <c r="CZ20" i="6"/>
  <c r="DL113" i="6"/>
  <c r="DM108" i="6" s="1"/>
  <c r="CY38" i="6"/>
  <c r="CZ31" i="6"/>
  <c r="CZ36" i="6" s="1"/>
  <c r="EA57" i="6"/>
  <c r="EB50" i="6"/>
  <c r="DE27" i="70"/>
  <c r="CW20" i="70"/>
  <c r="CQ157" i="71"/>
  <c r="CX156" i="71"/>
  <c r="N95" i="21"/>
  <c r="N94" i="21"/>
  <c r="N110" i="21"/>
  <c r="N92" i="21"/>
  <c r="N72" i="21"/>
  <c r="N71" i="21"/>
  <c r="DZ26" i="70"/>
  <c r="L20" i="21"/>
  <c r="CX11" i="2"/>
  <c r="CY9" i="6" s="1"/>
  <c r="CX13" i="2"/>
  <c r="CY11" i="6" s="1"/>
  <c r="CZ19" i="2"/>
  <c r="DA17" i="6" s="1"/>
  <c r="CY23" i="2"/>
  <c r="CX19" i="70" s="1"/>
  <c r="CZ21" i="2"/>
  <c r="DA19" i="6" s="1"/>
  <c r="DM113" i="6" l="1"/>
  <c r="DN108" i="6" s="1"/>
  <c r="DM90" i="6"/>
  <c r="DN85" i="6" s="1"/>
  <c r="DM60" i="6"/>
  <c r="DM61" i="6" s="1"/>
  <c r="EA59" i="6"/>
  <c r="DA27" i="6"/>
  <c r="DA29" i="6"/>
  <c r="EB56" i="6"/>
  <c r="EC47" i="6"/>
  <c r="CZ23" i="6"/>
  <c r="CZ25" i="6"/>
  <c r="CY15" i="6"/>
  <c r="CY15" i="2"/>
  <c r="CZ13" i="6" s="1"/>
  <c r="CY17" i="2"/>
  <c r="CY13" i="6"/>
  <c r="M13" i="21" s="1"/>
  <c r="M15" i="21" s="1"/>
  <c r="M14" i="20"/>
  <c r="M16" i="20" s="1"/>
  <c r="EB57" i="6"/>
  <c r="EC50" i="6"/>
  <c r="EB48" i="6"/>
  <c r="EB55" i="6"/>
  <c r="EC46" i="6"/>
  <c r="CZ38" i="6"/>
  <c r="DA31" i="6"/>
  <c r="DA36" i="6" s="1"/>
  <c r="DP28" i="6"/>
  <c r="DP24" i="6" s="1"/>
  <c r="DQ35" i="6"/>
  <c r="CZ39" i="6"/>
  <c r="CZ40" i="6" s="1"/>
  <c r="CZ62" i="6" s="1"/>
  <c r="CZ37" i="6"/>
  <c r="DN89" i="6"/>
  <c r="DN86" i="6" s="1"/>
  <c r="EB58" i="6"/>
  <c r="EC51" i="6"/>
  <c r="DA32" i="6"/>
  <c r="DA34" i="6" s="1"/>
  <c r="DA20" i="6"/>
  <c r="CZ168" i="6"/>
  <c r="DA173" i="6"/>
  <c r="CY3" i="6"/>
  <c r="EC54" i="6"/>
  <c r="ED44" i="6"/>
  <c r="DY110" i="6"/>
  <c r="DY111" i="6" s="1"/>
  <c r="DN116" i="6"/>
  <c r="DN128" i="6" s="1"/>
  <c r="DO117" i="6"/>
  <c r="DP118" i="6"/>
  <c r="DQ119" i="6"/>
  <c r="DR120" i="6"/>
  <c r="DS121" i="6"/>
  <c r="DT122" i="6"/>
  <c r="DU123" i="6"/>
  <c r="DV124" i="6"/>
  <c r="DW125" i="6"/>
  <c r="DX126" i="6"/>
  <c r="DY127" i="6"/>
  <c r="DN112" i="6"/>
  <c r="DN109" i="6" s="1"/>
  <c r="DY87" i="6"/>
  <c r="DY88" i="6" s="1"/>
  <c r="DN93" i="6"/>
  <c r="DN105" i="6" s="1"/>
  <c r="DO94" i="6"/>
  <c r="DP95" i="6"/>
  <c r="DQ96" i="6"/>
  <c r="DR97" i="6"/>
  <c r="DS98" i="6"/>
  <c r="DT99" i="6"/>
  <c r="DU100" i="6"/>
  <c r="DV101" i="6"/>
  <c r="DW102" i="6"/>
  <c r="DX103" i="6"/>
  <c r="DY104" i="6"/>
  <c r="CQ21" i="70"/>
  <c r="DF27" i="70"/>
  <c r="CX20" i="70"/>
  <c r="AL153" i="69"/>
  <c r="CY156" i="71"/>
  <c r="CR157" i="71"/>
  <c r="N108" i="21"/>
  <c r="N109" i="21"/>
  <c r="N86" i="21"/>
  <c r="N87" i="21"/>
  <c r="CY11" i="2"/>
  <c r="CZ9" i="6" s="1"/>
  <c r="CY13" i="2"/>
  <c r="CZ11" i="6" s="1"/>
  <c r="DG27" i="70"/>
  <c r="M10" i="20"/>
  <c r="M12" i="20" s="1"/>
  <c r="M9" i="21"/>
  <c r="M11" i="21" s="1"/>
  <c r="CZ23" i="2"/>
  <c r="CY19" i="70" s="1"/>
  <c r="DA19" i="2"/>
  <c r="DB17" i="6" s="1"/>
  <c r="DA21" i="2"/>
  <c r="DB19" i="6" s="1"/>
  <c r="CZ3" i="6" l="1"/>
  <c r="EB59" i="6"/>
  <c r="DO89" i="6"/>
  <c r="DO86" i="6" s="1"/>
  <c r="EC55" i="6"/>
  <c r="EC48" i="6"/>
  <c r="ED46" i="6"/>
  <c r="DZ110" i="6"/>
  <c r="DZ111" i="6" s="1"/>
  <c r="DO116" i="6"/>
  <c r="DO128" i="6" s="1"/>
  <c r="DP117" i="6"/>
  <c r="DQ118" i="6"/>
  <c r="DR119" i="6"/>
  <c r="DS120" i="6"/>
  <c r="DT121" i="6"/>
  <c r="DU122" i="6"/>
  <c r="DV123" i="6"/>
  <c r="DW124" i="6"/>
  <c r="DX125" i="6"/>
  <c r="DY126" i="6"/>
  <c r="DZ127" i="6"/>
  <c r="DB32" i="6"/>
  <c r="DB34" i="6" s="1"/>
  <c r="DB20" i="6"/>
  <c r="ED54" i="6"/>
  <c r="EE44" i="6"/>
  <c r="DZ87" i="6"/>
  <c r="DZ88" i="6" s="1"/>
  <c r="DO93" i="6"/>
  <c r="DO105" i="6" s="1"/>
  <c r="DP94" i="6"/>
  <c r="DQ95" i="6"/>
  <c r="DR96" i="6"/>
  <c r="DS97" i="6"/>
  <c r="DT98" i="6"/>
  <c r="DU99" i="6"/>
  <c r="DV100" i="6"/>
  <c r="DW101" i="6"/>
  <c r="DX102" i="6"/>
  <c r="DY103" i="6"/>
  <c r="DZ104" i="6"/>
  <c r="EC57" i="6"/>
  <c r="ED50" i="6"/>
  <c r="DA23" i="6"/>
  <c r="DA25" i="6"/>
  <c r="DN90" i="6"/>
  <c r="DO85" i="6" s="1"/>
  <c r="DQ28" i="6"/>
  <c r="DQ24" i="6" s="1"/>
  <c r="DR35" i="6"/>
  <c r="EC56" i="6"/>
  <c r="ED47" i="6"/>
  <c r="DN113" i="6"/>
  <c r="DO108" i="6" s="1"/>
  <c r="DO112" i="6"/>
  <c r="DO109" i="6" s="1"/>
  <c r="DB27" i="6"/>
  <c r="DB29" i="6"/>
  <c r="DA38" i="6"/>
  <c r="DB31" i="6"/>
  <c r="DB36" i="6" s="1"/>
  <c r="DB37" i="6" s="1"/>
  <c r="DB173" i="6"/>
  <c r="DA168" i="6"/>
  <c r="DN60" i="6"/>
  <c r="DN61" i="6" s="1"/>
  <c r="DA37" i="6"/>
  <c r="EC58" i="6"/>
  <c r="ED51" i="6"/>
  <c r="DA39" i="6"/>
  <c r="DA40" i="6" s="1"/>
  <c r="DA62" i="6" s="1"/>
  <c r="CZ15" i="6"/>
  <c r="CZ17" i="2"/>
  <c r="CZ15" i="2"/>
  <c r="DA13" i="6" s="1"/>
  <c r="CY20" i="70"/>
  <c r="EA26" i="70"/>
  <c r="CR21" i="70"/>
  <c r="AJ154" i="69"/>
  <c r="CS157" i="71"/>
  <c r="CZ156" i="71"/>
  <c r="N85" i="21"/>
  <c r="EB26" i="70"/>
  <c r="CS21" i="70"/>
  <c r="DA23" i="2"/>
  <c r="DB19" i="2"/>
  <c r="DC17" i="6" s="1"/>
  <c r="DB21" i="2"/>
  <c r="DC19" i="6" s="1"/>
  <c r="CZ11" i="2"/>
  <c r="DA9" i="6" s="1"/>
  <c r="CZ13" i="2"/>
  <c r="DA11" i="6" s="1"/>
  <c r="DB39" i="6" l="1"/>
  <c r="DB40" i="6" s="1"/>
  <c r="DB62" i="6" s="1"/>
  <c r="EC59" i="6"/>
  <c r="DO90" i="6"/>
  <c r="DP85" i="6" s="1"/>
  <c r="DO113" i="6"/>
  <c r="DP108" i="6" s="1"/>
  <c r="DC173" i="6"/>
  <c r="DB168" i="6"/>
  <c r="DR28" i="6"/>
  <c r="DR24" i="6" s="1"/>
  <c r="DS35" i="6"/>
  <c r="ED58" i="6"/>
  <c r="EE51" i="6"/>
  <c r="ED55" i="6"/>
  <c r="ED48" i="6"/>
  <c r="EE46" i="6"/>
  <c r="DP112" i="6"/>
  <c r="DP109" i="6" s="1"/>
  <c r="DA3" i="6"/>
  <c r="DC32" i="6"/>
  <c r="DC34" i="6" s="1"/>
  <c r="DC20" i="6"/>
  <c r="DP89" i="6"/>
  <c r="DP86" i="6" s="1"/>
  <c r="DB23" i="6"/>
  <c r="DB25" i="6"/>
  <c r="EA110" i="6"/>
  <c r="EA111" i="6" s="1"/>
  <c r="DP116" i="6"/>
  <c r="DP128" i="6" s="1"/>
  <c r="DQ117" i="6"/>
  <c r="DR118" i="6"/>
  <c r="DS119" i="6"/>
  <c r="DT120" i="6"/>
  <c r="DU121" i="6"/>
  <c r="DV122" i="6"/>
  <c r="DW123" i="6"/>
  <c r="DX124" i="6"/>
  <c r="DY125" i="6"/>
  <c r="DZ126" i="6"/>
  <c r="EA127" i="6"/>
  <c r="DO60" i="6"/>
  <c r="DO61" i="6" s="1"/>
  <c r="DC27" i="6"/>
  <c r="DC29" i="6"/>
  <c r="DA15" i="6"/>
  <c r="DA15" i="2"/>
  <c r="DB13" i="6" s="1"/>
  <c r="DA17" i="2"/>
  <c r="DB38" i="6"/>
  <c r="DC31" i="6"/>
  <c r="DC36" i="6" s="1"/>
  <c r="DC37" i="6" s="1"/>
  <c r="ED57" i="6"/>
  <c r="EE50" i="6"/>
  <c r="ED56" i="6"/>
  <c r="EE47" i="6"/>
  <c r="EE54" i="6"/>
  <c r="EF44" i="6"/>
  <c r="EA87" i="6"/>
  <c r="EA88" i="6" s="1"/>
  <c r="DP93" i="6"/>
  <c r="DP105" i="6" s="1"/>
  <c r="DQ94" i="6"/>
  <c r="DR95" i="6"/>
  <c r="DS96" i="6"/>
  <c r="DT97" i="6"/>
  <c r="DU98" i="6"/>
  <c r="DV99" i="6"/>
  <c r="DW100" i="6"/>
  <c r="DX101" i="6"/>
  <c r="DY102" i="6"/>
  <c r="DZ103" i="6"/>
  <c r="EA104" i="6"/>
  <c r="DH27" i="70"/>
  <c r="CZ19" i="70"/>
  <c r="CZ20" i="70"/>
  <c r="CT157" i="71"/>
  <c r="DA156" i="71"/>
  <c r="AM153" i="69" s="1"/>
  <c r="N107" i="21"/>
  <c r="DC19" i="2"/>
  <c r="DD17" i="6" s="1"/>
  <c r="DB23" i="2"/>
  <c r="DC21" i="2"/>
  <c r="DD19" i="6" s="1"/>
  <c r="CT21" i="70"/>
  <c r="DA11" i="2"/>
  <c r="DB9" i="6" s="1"/>
  <c r="DA13" i="2"/>
  <c r="DB11" i="6" s="1"/>
  <c r="DC39" i="6" l="1"/>
  <c r="DC40" i="6" s="1"/>
  <c r="DC62" i="6" s="1"/>
  <c r="DP113" i="6"/>
  <c r="DQ108" i="6" s="1"/>
  <c r="ED59" i="6"/>
  <c r="EE58" i="6"/>
  <c r="EF51" i="6"/>
  <c r="DD173" i="6"/>
  <c r="DC168" i="6"/>
  <c r="DP90" i="6"/>
  <c r="DQ85" i="6" s="1"/>
  <c r="EF54" i="6"/>
  <c r="EG44" i="6"/>
  <c r="DD27" i="6"/>
  <c r="DD29" i="6"/>
  <c r="DS28" i="6"/>
  <c r="DS24" i="6" s="1"/>
  <c r="DT35" i="6"/>
  <c r="EE57" i="6"/>
  <c r="EF50" i="6"/>
  <c r="DQ89" i="6"/>
  <c r="DQ86" i="6" s="1"/>
  <c r="DQ112" i="6"/>
  <c r="DQ109" i="6" s="1"/>
  <c r="DD20" i="6"/>
  <c r="DD32" i="6"/>
  <c r="DD34" i="6" s="1"/>
  <c r="EB87" i="6"/>
  <c r="EB88" i="6" s="1"/>
  <c r="DQ93" i="6"/>
  <c r="DQ105" i="6" s="1"/>
  <c r="DR94" i="6"/>
  <c r="DS95" i="6"/>
  <c r="DT96" i="6"/>
  <c r="DU97" i="6"/>
  <c r="DV98" i="6"/>
  <c r="DW99" i="6"/>
  <c r="DX100" i="6"/>
  <c r="DY101" i="6"/>
  <c r="DZ102" i="6"/>
  <c r="EA103" i="6"/>
  <c r="EB104" i="6"/>
  <c r="EE56" i="6"/>
  <c r="EF47" i="6"/>
  <c r="EB110" i="6"/>
  <c r="EB111" i="6" s="1"/>
  <c r="DQ116" i="6"/>
  <c r="DQ128" i="6" s="1"/>
  <c r="DR117" i="6"/>
  <c r="DS118" i="6"/>
  <c r="DT119" i="6"/>
  <c r="DU120" i="6"/>
  <c r="DV121" i="6"/>
  <c r="N105" i="21" s="1"/>
  <c r="DW122" i="6"/>
  <c r="DX123" i="6"/>
  <c r="DY124" i="6"/>
  <c r="DZ125" i="6"/>
  <c r="EA126" i="6"/>
  <c r="EB127" i="6"/>
  <c r="DD31" i="6"/>
  <c r="DD36" i="6" s="1"/>
  <c r="DD39" i="6" s="1"/>
  <c r="DD40" i="6" s="1"/>
  <c r="DD62" i="6" s="1"/>
  <c r="DC38" i="6"/>
  <c r="DC23" i="6"/>
  <c r="DC25" i="6"/>
  <c r="EE55" i="6"/>
  <c r="EE48" i="6"/>
  <c r="EF46" i="6"/>
  <c r="DB15" i="6"/>
  <c r="DB17" i="2"/>
  <c r="DB15" i="2"/>
  <c r="DC13" i="6" s="1"/>
  <c r="DP60" i="6"/>
  <c r="DP61" i="6" s="1"/>
  <c r="DB3" i="6"/>
  <c r="EC26" i="70"/>
  <c r="DA19" i="70"/>
  <c r="DA20" i="70"/>
  <c r="DI27" i="70"/>
  <c r="CU157" i="71"/>
  <c r="DB156" i="71"/>
  <c r="N106" i="21"/>
  <c r="N83" i="21"/>
  <c r="N84" i="21"/>
  <c r="DB11" i="2"/>
  <c r="DC9" i="6" s="1"/>
  <c r="DB13" i="2"/>
  <c r="DC11" i="6" s="1"/>
  <c r="CU21" i="70"/>
  <c r="DD19" i="2"/>
  <c r="DE17" i="6" s="1"/>
  <c r="DC23" i="2"/>
  <c r="DB20" i="70"/>
  <c r="DD21" i="2"/>
  <c r="DE19" i="6" s="1"/>
  <c r="DQ90" i="6" l="1"/>
  <c r="DR85" i="6" s="1"/>
  <c r="EE59" i="6"/>
  <c r="EG54" i="6"/>
  <c r="EH44" i="6"/>
  <c r="EC110" i="6"/>
  <c r="EC111" i="6" s="1"/>
  <c r="DR116" i="6"/>
  <c r="DR128" i="6" s="1"/>
  <c r="DS117" i="6"/>
  <c r="DT118" i="6"/>
  <c r="DU119" i="6"/>
  <c r="DV120" i="6"/>
  <c r="N104" i="21" s="1"/>
  <c r="DW121" i="6"/>
  <c r="DX122" i="6"/>
  <c r="DY123" i="6"/>
  <c r="DZ124" i="6"/>
  <c r="EA125" i="6"/>
  <c r="EB126" i="6"/>
  <c r="EC127" i="6"/>
  <c r="EC87" i="6"/>
  <c r="EC88" i="6" s="1"/>
  <c r="DR93" i="6"/>
  <c r="DR105" i="6" s="1"/>
  <c r="DS94" i="6"/>
  <c r="DT95" i="6"/>
  <c r="DU96" i="6"/>
  <c r="DV97" i="6"/>
  <c r="N81" i="21" s="1"/>
  <c r="DW98" i="6"/>
  <c r="DX99" i="6"/>
  <c r="DY100" i="6"/>
  <c r="DZ101" i="6"/>
  <c r="EA102" i="6"/>
  <c r="EB103" i="6"/>
  <c r="EC104" i="6"/>
  <c r="DC3" i="6"/>
  <c r="EF57" i="6"/>
  <c r="EG50" i="6"/>
  <c r="EF56" i="6"/>
  <c r="EG47" i="6"/>
  <c r="DC15" i="6"/>
  <c r="DC15" i="2"/>
  <c r="DD13" i="6" s="1"/>
  <c r="DC17" i="2"/>
  <c r="DQ60" i="6"/>
  <c r="DQ61" i="6" s="1"/>
  <c r="EF58" i="6"/>
  <c r="EG51" i="6"/>
  <c r="DT28" i="6"/>
  <c r="DT24" i="6" s="1"/>
  <c r="DU35" i="6"/>
  <c r="DE31" i="6"/>
  <c r="DE36" i="6" s="1"/>
  <c r="DE37" i="6" s="1"/>
  <c r="DD38" i="6"/>
  <c r="DR89" i="6"/>
  <c r="DR86" i="6" s="1"/>
  <c r="DQ113" i="6"/>
  <c r="DR108" i="6" s="1"/>
  <c r="DE20" i="6"/>
  <c r="DE32" i="6"/>
  <c r="DE34" i="6" s="1"/>
  <c r="DE173" i="6"/>
  <c r="DD168" i="6"/>
  <c r="DR112" i="6"/>
  <c r="DR109" i="6" s="1"/>
  <c r="EF55" i="6"/>
  <c r="EF48" i="6"/>
  <c r="EG46" i="6"/>
  <c r="DD23" i="6"/>
  <c r="DD25" i="6"/>
  <c r="DD37" i="6"/>
  <c r="DE27" i="6"/>
  <c r="DE29" i="6"/>
  <c r="DJ27" i="70"/>
  <c r="DB19" i="70"/>
  <c r="ED26" i="70"/>
  <c r="CV157" i="71"/>
  <c r="AK154" i="69"/>
  <c r="DC156" i="71"/>
  <c r="N82" i="21"/>
  <c r="EE26" i="70"/>
  <c r="DC11" i="2"/>
  <c r="DD9" i="6" s="1"/>
  <c r="DC13" i="2"/>
  <c r="DD11" i="6" s="1"/>
  <c r="DE19" i="2"/>
  <c r="DF17" i="6" s="1"/>
  <c r="DD23" i="2"/>
  <c r="DC19" i="70" s="1"/>
  <c r="DC20" i="70"/>
  <c r="DE21" i="2"/>
  <c r="DF19" i="6" s="1"/>
  <c r="DD3" i="6" l="1"/>
  <c r="DR113" i="6"/>
  <c r="DS108" i="6" s="1"/>
  <c r="DR90" i="6"/>
  <c r="DS85" i="6" s="1"/>
  <c r="EF59" i="6"/>
  <c r="DR60" i="6"/>
  <c r="DR61" i="6" s="1"/>
  <c r="DF27" i="6"/>
  <c r="DF29" i="6"/>
  <c r="DS89" i="6"/>
  <c r="DS86" i="6" s="1"/>
  <c r="EG58" i="6"/>
  <c r="EH51" i="6"/>
  <c r="EH58" i="6" s="1"/>
  <c r="DD15" i="6"/>
  <c r="DD15" i="2"/>
  <c r="DE13" i="6" s="1"/>
  <c r="DD17" i="2"/>
  <c r="EG55" i="6"/>
  <c r="EG48" i="6"/>
  <c r="EH46" i="6"/>
  <c r="EH54" i="6"/>
  <c r="O38" i="21" s="1"/>
  <c r="DF173" i="6"/>
  <c r="DE168" i="6"/>
  <c r="ED87" i="6"/>
  <c r="ED88" i="6" s="1"/>
  <c r="DS93" i="6"/>
  <c r="DS105" i="6" s="1"/>
  <c r="DT94" i="6"/>
  <c r="DU95" i="6"/>
  <c r="DV96" i="6"/>
  <c r="N80" i="21" s="1"/>
  <c r="DW97" i="6"/>
  <c r="DX98" i="6"/>
  <c r="DY99" i="6"/>
  <c r="DZ100" i="6"/>
  <c r="EA101" i="6"/>
  <c r="EB102" i="6"/>
  <c r="EC103" i="6"/>
  <c r="ED104" i="6"/>
  <c r="EG56" i="6"/>
  <c r="EH47" i="6"/>
  <c r="EH56" i="6" s="1"/>
  <c r="DE38" i="6"/>
  <c r="DF31" i="6"/>
  <c r="DF36" i="6" s="1"/>
  <c r="DF39" i="6" s="1"/>
  <c r="DF40" i="6" s="1"/>
  <c r="DF62" i="6" s="1"/>
  <c r="ED110" i="6"/>
  <c r="ED111" i="6" s="1"/>
  <c r="DS116" i="6"/>
  <c r="DS128" i="6" s="1"/>
  <c r="DT117" i="6"/>
  <c r="DU118" i="6"/>
  <c r="DV119" i="6"/>
  <c r="N103" i="21" s="1"/>
  <c r="DW120" i="6"/>
  <c r="DX121" i="6"/>
  <c r="DY122" i="6"/>
  <c r="DZ123" i="6"/>
  <c r="EA124" i="6"/>
  <c r="EB125" i="6"/>
  <c r="EC126" i="6"/>
  <c r="ED127" i="6"/>
  <c r="DE39" i="6"/>
  <c r="DE40" i="6" s="1"/>
  <c r="DE62" i="6" s="1"/>
  <c r="EG57" i="6"/>
  <c r="EH50" i="6"/>
  <c r="EH57" i="6" s="1"/>
  <c r="DE23" i="6"/>
  <c r="DE25" i="6"/>
  <c r="DF20" i="6"/>
  <c r="DF32" i="6"/>
  <c r="DF34" i="6" s="1"/>
  <c r="DU28" i="6"/>
  <c r="DU24" i="6" s="1"/>
  <c r="DV35" i="6"/>
  <c r="DS112" i="6"/>
  <c r="DS109" i="6" s="1"/>
  <c r="CV21" i="70"/>
  <c r="DK27" i="70"/>
  <c r="CW157" i="71"/>
  <c r="DD156" i="71"/>
  <c r="DD11" i="2"/>
  <c r="DE9" i="6" s="1"/>
  <c r="DD13" i="2"/>
  <c r="DE11" i="6" s="1"/>
  <c r="DF19" i="2"/>
  <c r="DG17" i="6" s="1"/>
  <c r="DE23" i="2"/>
  <c r="DD20" i="70"/>
  <c r="DF21" i="2"/>
  <c r="DG19" i="6" s="1"/>
  <c r="L33" i="21"/>
  <c r="DL27" i="70"/>
  <c r="DS90" i="6" l="1"/>
  <c r="DT85" i="6" s="1"/>
  <c r="DS60" i="6"/>
  <c r="DS61" i="6" s="1"/>
  <c r="EG59" i="6"/>
  <c r="DS113" i="6"/>
  <c r="DT108" i="6" s="1"/>
  <c r="EE110" i="6"/>
  <c r="EE111" i="6" s="1"/>
  <c r="DT116" i="6"/>
  <c r="DT128" i="6" s="1"/>
  <c r="DU117" i="6"/>
  <c r="DV118" i="6"/>
  <c r="DW119" i="6"/>
  <c r="DX120" i="6"/>
  <c r="DY121" i="6"/>
  <c r="DZ122" i="6"/>
  <c r="EA123" i="6"/>
  <c r="EB124" i="6"/>
  <c r="EC125" i="6"/>
  <c r="ED126" i="6"/>
  <c r="EE127" i="6"/>
  <c r="EH48" i="6"/>
  <c r="EH55" i="6"/>
  <c r="EH59" i="6" s="1"/>
  <c r="EE87" i="6"/>
  <c r="EE88" i="6" s="1"/>
  <c r="DT93" i="6"/>
  <c r="DT105" i="6" s="1"/>
  <c r="DU94" i="6"/>
  <c r="DV95" i="6"/>
  <c r="DW96" i="6"/>
  <c r="DX97" i="6"/>
  <c r="DY98" i="6"/>
  <c r="DZ99" i="6"/>
  <c r="EA100" i="6"/>
  <c r="EB101" i="6"/>
  <c r="EC102" i="6"/>
  <c r="ED103" i="6"/>
  <c r="EE104" i="6"/>
  <c r="DG20" i="6"/>
  <c r="DG32" i="6"/>
  <c r="DG34" i="6" s="1"/>
  <c r="DE15" i="6"/>
  <c r="DE17" i="2"/>
  <c r="DE15" i="2"/>
  <c r="DF13" i="6" s="1"/>
  <c r="DG27" i="6"/>
  <c r="DG29" i="6"/>
  <c r="DT89" i="6"/>
  <c r="DT86" i="6" s="1"/>
  <c r="DT112" i="6"/>
  <c r="DT109" i="6" s="1"/>
  <c r="DG31" i="6"/>
  <c r="DG36" i="6" s="1"/>
  <c r="DG37" i="6" s="1"/>
  <c r="DF38" i="6"/>
  <c r="DV28" i="6"/>
  <c r="DW35" i="6"/>
  <c r="EG26" i="70"/>
  <c r="DF37" i="6"/>
  <c r="DG173" i="6"/>
  <c r="DF168" i="6"/>
  <c r="DF23" i="6"/>
  <c r="DF25" i="6"/>
  <c r="DE3" i="6"/>
  <c r="EF26" i="70"/>
  <c r="DD19" i="70"/>
  <c r="AN153" i="69"/>
  <c r="DE156" i="71"/>
  <c r="M152" i="68"/>
  <c r="N32" i="21"/>
  <c r="O42" i="21"/>
  <c r="O41" i="21"/>
  <c r="O40" i="21"/>
  <c r="DE11" i="2"/>
  <c r="DF9" i="6" s="1"/>
  <c r="DE13" i="2"/>
  <c r="DF11" i="6" s="1"/>
  <c r="M31" i="21"/>
  <c r="DM27" i="70"/>
  <c r="L35" i="21"/>
  <c r="L34" i="21"/>
  <c r="DG19" i="2"/>
  <c r="DH17" i="6" s="1"/>
  <c r="DF23" i="2"/>
  <c r="DE19" i="70" s="1"/>
  <c r="DG21" i="2"/>
  <c r="DH19" i="6" s="1"/>
  <c r="DF3" i="6" l="1"/>
  <c r="DT60" i="6"/>
  <c r="DT61" i="6" s="1"/>
  <c r="EF87" i="6"/>
  <c r="EF88" i="6" s="1"/>
  <c r="DU93" i="6"/>
  <c r="DU105" i="6" s="1"/>
  <c r="DV94" i="6"/>
  <c r="DW95" i="6"/>
  <c r="DX96" i="6"/>
  <c r="DY97" i="6"/>
  <c r="DZ98" i="6"/>
  <c r="EA99" i="6"/>
  <c r="EB100" i="6"/>
  <c r="EC101" i="6"/>
  <c r="ED102" i="6"/>
  <c r="EE103" i="6"/>
  <c r="EF104" i="6"/>
  <c r="DF15" i="6"/>
  <c r="DF17" i="2"/>
  <c r="DF15" i="2"/>
  <c r="DG13" i="6" s="1"/>
  <c r="DH20" i="6"/>
  <c r="DH32" i="6"/>
  <c r="DH34" i="6" s="1"/>
  <c r="DU112" i="6"/>
  <c r="DU109" i="6" s="1"/>
  <c r="DV24" i="6"/>
  <c r="N24" i="21" s="1"/>
  <c r="DT113" i="6"/>
  <c r="DU108" i="6" s="1"/>
  <c r="DT90" i="6"/>
  <c r="DU85" i="6" s="1"/>
  <c r="DH27" i="6"/>
  <c r="DH29" i="6"/>
  <c r="EF110" i="6"/>
  <c r="EF111" i="6" s="1"/>
  <c r="DU116" i="6"/>
  <c r="DU128" i="6" s="1"/>
  <c r="DV117" i="6"/>
  <c r="DW118" i="6"/>
  <c r="DX119" i="6"/>
  <c r="DY120" i="6"/>
  <c r="DZ121" i="6"/>
  <c r="EA122" i="6"/>
  <c r="EB123" i="6"/>
  <c r="EC124" i="6"/>
  <c r="ED125" i="6"/>
  <c r="EE126" i="6"/>
  <c r="EF127" i="6"/>
  <c r="DW28" i="6"/>
  <c r="DW24" i="6" s="1"/>
  <c r="DX35" i="6"/>
  <c r="DH31" i="6"/>
  <c r="DH36" i="6" s="1"/>
  <c r="DH37" i="6" s="1"/>
  <c r="DG38" i="6"/>
  <c r="DG39" i="6"/>
  <c r="DG40" i="6" s="1"/>
  <c r="DG62" i="6" s="1"/>
  <c r="DG23" i="6"/>
  <c r="DG25" i="6"/>
  <c r="DH173" i="6"/>
  <c r="DG168" i="6"/>
  <c r="CW21" i="70"/>
  <c r="DE20" i="70"/>
  <c r="DF156" i="71"/>
  <c r="CX157" i="71"/>
  <c r="N102" i="21"/>
  <c r="N79" i="21"/>
  <c r="N28" i="21"/>
  <c r="O39" i="21"/>
  <c r="DF11" i="2"/>
  <c r="DG9" i="6" s="1"/>
  <c r="DF13" i="2"/>
  <c r="DG11" i="6" s="1"/>
  <c r="DH19" i="2"/>
  <c r="DI17" i="6" s="1"/>
  <c r="DG23" i="2"/>
  <c r="DH21" i="2"/>
  <c r="DI19" i="6" s="1"/>
  <c r="CX21" i="70"/>
  <c r="L46" i="21"/>
  <c r="DU113" i="6" l="1"/>
  <c r="DV108" i="6" s="1"/>
  <c r="DV89" i="6"/>
  <c r="DV86" i="6" s="1"/>
  <c r="DG15" i="6"/>
  <c r="DG15" i="2"/>
  <c r="DH13" i="6" s="1"/>
  <c r="DG17" i="2"/>
  <c r="DI27" i="6"/>
  <c r="DI29" i="6"/>
  <c r="DX28" i="6"/>
  <c r="DX24" i="6" s="1"/>
  <c r="DY35" i="6"/>
  <c r="DI173" i="6"/>
  <c r="DH168" i="6"/>
  <c r="DH23" i="6"/>
  <c r="DH25" i="6"/>
  <c r="DU89" i="6"/>
  <c r="DU86" i="6" s="1"/>
  <c r="DU60" i="6"/>
  <c r="DU61" i="6" s="1"/>
  <c r="DH38" i="6"/>
  <c r="DH3" i="6" s="1"/>
  <c r="DI31" i="6"/>
  <c r="DI36" i="6" s="1"/>
  <c r="DH39" i="6"/>
  <c r="DH40" i="6" s="1"/>
  <c r="DH62" i="6" s="1"/>
  <c r="DG3" i="6"/>
  <c r="DV112" i="6"/>
  <c r="DV109" i="6" s="1"/>
  <c r="DI20" i="6"/>
  <c r="DI32" i="6"/>
  <c r="DI34" i="6" s="1"/>
  <c r="EG110" i="6"/>
  <c r="EG111" i="6" s="1"/>
  <c r="DV116" i="6"/>
  <c r="DV128" i="6" s="1"/>
  <c r="DW117" i="6"/>
  <c r="DX118" i="6"/>
  <c r="DY119" i="6"/>
  <c r="DZ120" i="6"/>
  <c r="EA121" i="6"/>
  <c r="EB122" i="6"/>
  <c r="EC123" i="6"/>
  <c r="ED124" i="6"/>
  <c r="EE125" i="6"/>
  <c r="EF126" i="6"/>
  <c r="EG127" i="6"/>
  <c r="DN27" i="70"/>
  <c r="DF20" i="70"/>
  <c r="DF19" i="70"/>
  <c r="O43" i="21"/>
  <c r="N101" i="21"/>
  <c r="AL154" i="69"/>
  <c r="CY157" i="71"/>
  <c r="DG156" i="71"/>
  <c r="AO153" i="69" s="1"/>
  <c r="N78" i="21"/>
  <c r="DH23" i="2"/>
  <c r="DG19" i="70" s="1"/>
  <c r="DI19" i="2"/>
  <c r="DJ17" i="6" s="1"/>
  <c r="DI21" i="2"/>
  <c r="DJ19" i="6" s="1"/>
  <c r="DG11" i="2"/>
  <c r="DH9" i="6" s="1"/>
  <c r="DG13" i="2"/>
  <c r="DH11" i="6" s="1"/>
  <c r="DI39" i="6" l="1"/>
  <c r="DI40" i="6" s="1"/>
  <c r="DI62" i="6" s="1"/>
  <c r="DI37" i="6"/>
  <c r="DV113" i="6"/>
  <c r="DW108" i="6" s="1"/>
  <c r="DW89" i="6"/>
  <c r="DW86" i="6" s="1"/>
  <c r="DJ32" i="6"/>
  <c r="DJ34" i="6" s="1"/>
  <c r="DJ20" i="6"/>
  <c r="DY28" i="6"/>
  <c r="DY24" i="6" s="1"/>
  <c r="DZ35" i="6"/>
  <c r="DJ173" i="6"/>
  <c r="DI168" i="6"/>
  <c r="DJ27" i="6"/>
  <c r="DJ29" i="6"/>
  <c r="DH15" i="6"/>
  <c r="DH17" i="2"/>
  <c r="DH15" i="2"/>
  <c r="DI13" i="6" s="1"/>
  <c r="DW112" i="6"/>
  <c r="DW109" i="6" s="1"/>
  <c r="EH110" i="6"/>
  <c r="DW116" i="6"/>
  <c r="DW128" i="6" s="1"/>
  <c r="DX117" i="6"/>
  <c r="DY118" i="6"/>
  <c r="DZ119" i="6"/>
  <c r="EA120" i="6"/>
  <c r="EB121" i="6"/>
  <c r="EC122" i="6"/>
  <c r="ED123" i="6"/>
  <c r="EE124" i="6"/>
  <c r="EF125" i="6"/>
  <c r="EG126" i="6"/>
  <c r="EH127" i="6"/>
  <c r="DU90" i="6"/>
  <c r="DV85" i="6" s="1"/>
  <c r="DV90" i="6" s="1"/>
  <c r="DW85" i="6" s="1"/>
  <c r="DI38" i="6"/>
  <c r="DI3" i="6" s="1"/>
  <c r="DJ31" i="6"/>
  <c r="DJ36" i="6" s="1"/>
  <c r="DJ37" i="6" s="1"/>
  <c r="DI23" i="6"/>
  <c r="DI25" i="6"/>
  <c r="EG87" i="6"/>
  <c r="EG88" i="6" s="1"/>
  <c r="DV93" i="6"/>
  <c r="DV105" i="6" s="1"/>
  <c r="DV60" i="6" s="1"/>
  <c r="DV61" i="6" s="1"/>
  <c r="DW94" i="6"/>
  <c r="DX95" i="6"/>
  <c r="DY96" i="6"/>
  <c r="DZ97" i="6"/>
  <c r="EA98" i="6"/>
  <c r="EB99" i="6"/>
  <c r="EC100" i="6"/>
  <c r="ED101" i="6"/>
  <c r="EE102" i="6"/>
  <c r="EF103" i="6"/>
  <c r="EG104" i="6"/>
  <c r="EH87" i="6"/>
  <c r="DW93" i="6"/>
  <c r="DX94" i="6"/>
  <c r="DY95" i="6"/>
  <c r="DZ96" i="6"/>
  <c r="EA97" i="6"/>
  <c r="EB98" i="6"/>
  <c r="EC99" i="6"/>
  <c r="ED100" i="6"/>
  <c r="EE101" i="6"/>
  <c r="EF102" i="6"/>
  <c r="EG103" i="6"/>
  <c r="EH104" i="6"/>
  <c r="CY21" i="70"/>
  <c r="DO27" i="70"/>
  <c r="DG20" i="70"/>
  <c r="CZ157" i="71"/>
  <c r="DH156" i="71"/>
  <c r="N96" i="21"/>
  <c r="N73" i="21"/>
  <c r="N112" i="21"/>
  <c r="N100" i="21"/>
  <c r="DI23" i="2"/>
  <c r="DH19" i="70" s="1"/>
  <c r="DJ19" i="2"/>
  <c r="DK17" i="6" s="1"/>
  <c r="DH20" i="70"/>
  <c r="DJ21" i="2"/>
  <c r="DK19" i="6" s="1"/>
  <c r="DH11" i="2"/>
  <c r="DI9" i="6" s="1"/>
  <c r="DH13" i="2"/>
  <c r="DI11" i="6" s="1"/>
  <c r="DP27" i="70"/>
  <c r="DW90" i="6" l="1"/>
  <c r="DX85" i="6" s="1"/>
  <c r="DW105" i="6"/>
  <c r="DW60" i="6" s="1"/>
  <c r="DW61" i="6" s="1"/>
  <c r="DX89" i="6"/>
  <c r="DX86" i="6" s="1"/>
  <c r="DK32" i="6"/>
  <c r="DK34" i="6" s="1"/>
  <c r="DK20" i="6"/>
  <c r="DZ28" i="6"/>
  <c r="EA35" i="6"/>
  <c r="DX116" i="6"/>
  <c r="DX128" i="6" s="1"/>
  <c r="DY117" i="6"/>
  <c r="DZ118" i="6"/>
  <c r="EA119" i="6"/>
  <c r="EB120" i="6"/>
  <c r="EC121" i="6"/>
  <c r="ED122" i="6"/>
  <c r="EE123" i="6"/>
  <c r="EF124" i="6"/>
  <c r="EG125" i="6"/>
  <c r="EH126" i="6"/>
  <c r="DX112" i="6"/>
  <c r="DX109" i="6" s="1"/>
  <c r="DJ168" i="6"/>
  <c r="DK173" i="6"/>
  <c r="DI15" i="6"/>
  <c r="DI15" i="2"/>
  <c r="DJ13" i="6" s="1"/>
  <c r="DI17" i="2"/>
  <c r="N89" i="21"/>
  <c r="DJ38" i="6"/>
  <c r="DK31" i="6"/>
  <c r="DK36" i="6" s="1"/>
  <c r="DK37" i="6" s="1"/>
  <c r="DW113" i="6"/>
  <c r="DX108" i="6" s="1"/>
  <c r="EH111" i="6"/>
  <c r="EH109" i="6"/>
  <c r="DJ23" i="6"/>
  <c r="DJ25" i="6"/>
  <c r="N77" i="21"/>
  <c r="DK27" i="6"/>
  <c r="N27" i="21" s="1"/>
  <c r="N29" i="21" s="1"/>
  <c r="DK29" i="6"/>
  <c r="DX93" i="6"/>
  <c r="DX105" i="6" s="1"/>
  <c r="DY94" i="6"/>
  <c r="DZ95" i="6"/>
  <c r="EA96" i="6"/>
  <c r="EB97" i="6"/>
  <c r="EC98" i="6"/>
  <c r="ED99" i="6"/>
  <c r="EE100" i="6"/>
  <c r="EF101" i="6"/>
  <c r="EG102" i="6"/>
  <c r="EH103" i="6"/>
  <c r="EH88" i="6"/>
  <c r="EH86" i="6"/>
  <c r="DJ39" i="6"/>
  <c r="DJ40" i="6" s="1"/>
  <c r="DJ62" i="6" s="1"/>
  <c r="CZ21" i="70"/>
  <c r="N45" i="21"/>
  <c r="DA157" i="71"/>
  <c r="DI156" i="71"/>
  <c r="N151" i="68" s="1"/>
  <c r="N97" i="21"/>
  <c r="O88" i="21"/>
  <c r="N70" i="21"/>
  <c r="N74" i="21"/>
  <c r="N93" i="21"/>
  <c r="O111" i="21"/>
  <c r="DQ27" i="70"/>
  <c r="DI11" i="2"/>
  <c r="DJ9" i="6" s="1"/>
  <c r="DI13" i="2"/>
  <c r="DJ11" i="6" s="1"/>
  <c r="DK19" i="2"/>
  <c r="DL17" i="6" s="1"/>
  <c r="DJ23" i="2"/>
  <c r="DI20" i="70"/>
  <c r="DK21" i="2"/>
  <c r="DL19" i="6" s="1"/>
  <c r="N18" i="20"/>
  <c r="N20" i="20" s="1"/>
  <c r="N22" i="20" s="1"/>
  <c r="N17" i="21"/>
  <c r="N19" i="21" s="1"/>
  <c r="DX90" i="6" l="1"/>
  <c r="DY85" i="6" s="1"/>
  <c r="EA28" i="6"/>
  <c r="EA24" i="6" s="1"/>
  <c r="EB35" i="6"/>
  <c r="DY112" i="6"/>
  <c r="DY109" i="6" s="1"/>
  <c r="DX60" i="6"/>
  <c r="DX61" i="6" s="1"/>
  <c r="DZ24" i="6"/>
  <c r="DK39" i="6"/>
  <c r="DK40" i="6" s="1"/>
  <c r="DK62" i="6" s="1"/>
  <c r="DK168" i="6"/>
  <c r="DL173" i="6"/>
  <c r="DL27" i="6"/>
  <c r="DL29" i="6"/>
  <c r="DL32" i="6"/>
  <c r="DL34" i="6" s="1"/>
  <c r="DL20" i="6"/>
  <c r="DJ15" i="6"/>
  <c r="DJ15" i="2"/>
  <c r="DJ17" i="2"/>
  <c r="DY116" i="6"/>
  <c r="DY128" i="6" s="1"/>
  <c r="DZ117" i="6"/>
  <c r="EA118" i="6"/>
  <c r="EB119" i="6"/>
  <c r="EC120" i="6"/>
  <c r="ED121" i="6"/>
  <c r="EE122" i="6"/>
  <c r="EF123" i="6"/>
  <c r="EG124" i="6"/>
  <c r="EH125" i="6"/>
  <c r="DY93" i="6"/>
  <c r="DY105" i="6" s="1"/>
  <c r="DZ94" i="6"/>
  <c r="EA95" i="6"/>
  <c r="EB96" i="6"/>
  <c r="EC97" i="6"/>
  <c r="ED98" i="6"/>
  <c r="EE99" i="6"/>
  <c r="EF100" i="6"/>
  <c r="EG101" i="6"/>
  <c r="EH102" i="6"/>
  <c r="DX113" i="6"/>
  <c r="DY108" i="6" s="1"/>
  <c r="DK23" i="6"/>
  <c r="N23" i="21" s="1"/>
  <c r="N25" i="21" s="1"/>
  <c r="DK25" i="6"/>
  <c r="DK38" i="6"/>
  <c r="DL31" i="6"/>
  <c r="DL36" i="6" s="1"/>
  <c r="DL39" i="6" s="1"/>
  <c r="DL40" i="6" s="1"/>
  <c r="DL62" i="6" s="1"/>
  <c r="DJ3" i="6"/>
  <c r="N44" i="21"/>
  <c r="DA21" i="70"/>
  <c r="DI19" i="70"/>
  <c r="DJ156" i="71"/>
  <c r="AP153" i="69" s="1"/>
  <c r="AM154" i="69"/>
  <c r="DB157" i="71"/>
  <c r="O72" i="21"/>
  <c r="O71" i="21"/>
  <c r="O92" i="21"/>
  <c r="O95" i="21"/>
  <c r="O94" i="21"/>
  <c r="O110" i="21"/>
  <c r="O69" i="21"/>
  <c r="M20" i="21"/>
  <c r="DK23" i="2"/>
  <c r="DJ19" i="70" s="1"/>
  <c r="DL19" i="2"/>
  <c r="DM17" i="6" s="1"/>
  <c r="DJ20" i="70"/>
  <c r="DL21" i="2"/>
  <c r="DM19" i="6" s="1"/>
  <c r="DJ11" i="2"/>
  <c r="DK9" i="6" s="1"/>
  <c r="DJ13" i="2"/>
  <c r="DK11" i="6" s="1"/>
  <c r="DY60" i="6" l="1"/>
  <c r="DY61" i="6" s="1"/>
  <c r="DY113" i="6"/>
  <c r="DZ108" i="6" s="1"/>
  <c r="DL37" i="6"/>
  <c r="DY89" i="6"/>
  <c r="DK15" i="6"/>
  <c r="DK15" i="2"/>
  <c r="DL13" i="6" s="1"/>
  <c r="DK17" i="2"/>
  <c r="DK13" i="6"/>
  <c r="N13" i="21" s="1"/>
  <c r="N15" i="21" s="1"/>
  <c r="N14" i="20"/>
  <c r="N16" i="20" s="1"/>
  <c r="DL168" i="6"/>
  <c r="DM173" i="6"/>
  <c r="DZ116" i="6"/>
  <c r="DZ128" i="6" s="1"/>
  <c r="EA117" i="6"/>
  <c r="EB118" i="6"/>
  <c r="EC119" i="6"/>
  <c r="ED120" i="6"/>
  <c r="EE121" i="6"/>
  <c r="EF122" i="6"/>
  <c r="EG123" i="6"/>
  <c r="EH124" i="6"/>
  <c r="DL23" i="6"/>
  <c r="DL25" i="6"/>
  <c r="EB28" i="6"/>
  <c r="EB24" i="6" s="1"/>
  <c r="EC35" i="6"/>
  <c r="DM32" i="6"/>
  <c r="DM34" i="6" s="1"/>
  <c r="DM20" i="6"/>
  <c r="DZ89" i="6"/>
  <c r="DZ86" i="6" s="1"/>
  <c r="DM27" i="6"/>
  <c r="DM29" i="6"/>
  <c r="DZ112" i="6"/>
  <c r="DZ109" i="6" s="1"/>
  <c r="DL38" i="6"/>
  <c r="DM31" i="6"/>
  <c r="DM36" i="6" s="1"/>
  <c r="DK3" i="6"/>
  <c r="DR27" i="70"/>
  <c r="DB21" i="70"/>
  <c r="DK156" i="71"/>
  <c r="DC157" i="71"/>
  <c r="O86" i="21"/>
  <c r="O87" i="21"/>
  <c r="O109" i="21"/>
  <c r="N10" i="20"/>
  <c r="N12" i="20" s="1"/>
  <c r="N9" i="21"/>
  <c r="N11" i="21" s="1"/>
  <c r="DK11" i="2"/>
  <c r="DL9" i="6" s="1"/>
  <c r="DK13" i="2"/>
  <c r="DL11" i="6" s="1"/>
  <c r="DL23" i="2"/>
  <c r="DK19" i="70" s="1"/>
  <c r="DM19" i="2"/>
  <c r="DN17" i="6" s="1"/>
  <c r="DM21" i="2"/>
  <c r="DN19" i="6" s="1"/>
  <c r="DL3" i="6" l="1"/>
  <c r="DZ113" i="6"/>
  <c r="EA108" i="6" s="1"/>
  <c r="DL15" i="6"/>
  <c r="DL17" i="2"/>
  <c r="DL15" i="2"/>
  <c r="DM13" i="6" s="1"/>
  <c r="DN27" i="6"/>
  <c r="DN29" i="6"/>
  <c r="EC28" i="6"/>
  <c r="EC24" i="6" s="1"/>
  <c r="ED35" i="6"/>
  <c r="DN173" i="6"/>
  <c r="DM168" i="6"/>
  <c r="EA89" i="6"/>
  <c r="EA86" i="6" s="1"/>
  <c r="DY86" i="6"/>
  <c r="DY90" i="6"/>
  <c r="DZ85" i="6" s="1"/>
  <c r="DZ90" i="6" s="1"/>
  <c r="EA85" i="6" s="1"/>
  <c r="DN32" i="6"/>
  <c r="DN34" i="6" s="1"/>
  <c r="DN20" i="6"/>
  <c r="DM38" i="6"/>
  <c r="DN31" i="6"/>
  <c r="DN36" i="6" s="1"/>
  <c r="DN37" i="6" s="1"/>
  <c r="DM37" i="6"/>
  <c r="EA112" i="6"/>
  <c r="EA109" i="6" s="1"/>
  <c r="EA93" i="6"/>
  <c r="EB94" i="6"/>
  <c r="EC95" i="6"/>
  <c r="ED96" i="6"/>
  <c r="EE97" i="6"/>
  <c r="EF98" i="6"/>
  <c r="EG99" i="6"/>
  <c r="EH100" i="6"/>
  <c r="DM39" i="6"/>
  <c r="DM40" i="6" s="1"/>
  <c r="DM62" i="6" s="1"/>
  <c r="EA116" i="6"/>
  <c r="EA128" i="6" s="1"/>
  <c r="EB117" i="6"/>
  <c r="EC118" i="6"/>
  <c r="ED119" i="6"/>
  <c r="EE120" i="6"/>
  <c r="EF121" i="6"/>
  <c r="EG122" i="6"/>
  <c r="EH123" i="6"/>
  <c r="DM23" i="6"/>
  <c r="DM25" i="6"/>
  <c r="DC21" i="70"/>
  <c r="DK20" i="70"/>
  <c r="DS27" i="70"/>
  <c r="DL156" i="71"/>
  <c r="DD157" i="71"/>
  <c r="O108" i="21"/>
  <c r="DL11" i="2"/>
  <c r="DM9" i="6" s="1"/>
  <c r="DL13" i="2"/>
  <c r="DM11" i="6" s="1"/>
  <c r="DN19" i="2"/>
  <c r="DO17" i="6" s="1"/>
  <c r="DM23" i="2"/>
  <c r="DL19" i="70" s="1"/>
  <c r="DN21" i="2"/>
  <c r="DO19" i="6" s="1"/>
  <c r="DD21" i="70"/>
  <c r="DM3" i="6" l="1"/>
  <c r="DN39" i="6"/>
  <c r="DN40" i="6" s="1"/>
  <c r="DN62" i="6" s="1"/>
  <c r="EB89" i="6"/>
  <c r="EB86" i="6" s="1"/>
  <c r="EB112" i="6"/>
  <c r="EB109" i="6" s="1"/>
  <c r="EB116" i="6"/>
  <c r="EB128" i="6" s="1"/>
  <c r="EC117" i="6"/>
  <c r="ED118" i="6"/>
  <c r="EE119" i="6"/>
  <c r="EF120" i="6"/>
  <c r="EG121" i="6"/>
  <c r="EH122" i="6"/>
  <c r="O106" i="21" s="1"/>
  <c r="DN23" i="6"/>
  <c r="DN25" i="6"/>
  <c r="DO173" i="6"/>
  <c r="DN168" i="6"/>
  <c r="DO27" i="6"/>
  <c r="DO29" i="6"/>
  <c r="ED28" i="6"/>
  <c r="EE35" i="6"/>
  <c r="DO32" i="6"/>
  <c r="DO34" i="6" s="1"/>
  <c r="DO20" i="6"/>
  <c r="EB93" i="6"/>
  <c r="EC94" i="6"/>
  <c r="ED95" i="6"/>
  <c r="EE96" i="6"/>
  <c r="EF97" i="6"/>
  <c r="EG98" i="6"/>
  <c r="EH99" i="6"/>
  <c r="DO31" i="6"/>
  <c r="DO36" i="6" s="1"/>
  <c r="DO39" i="6" s="1"/>
  <c r="DO40" i="6" s="1"/>
  <c r="DO62" i="6" s="1"/>
  <c r="DN38" i="6"/>
  <c r="DN3" i="6" s="1"/>
  <c r="EA113" i="6"/>
  <c r="EB108" i="6" s="1"/>
  <c r="EA90" i="6"/>
  <c r="EB85" i="6" s="1"/>
  <c r="DM15" i="6"/>
  <c r="DM15" i="2"/>
  <c r="DN13" i="6" s="1"/>
  <c r="DM17" i="2"/>
  <c r="DZ93" i="6"/>
  <c r="DZ105" i="6" s="1"/>
  <c r="DZ60" i="6" s="1"/>
  <c r="DZ61" i="6" s="1"/>
  <c r="EA94" i="6"/>
  <c r="EA105" i="6" s="1"/>
  <c r="EA60" i="6" s="1"/>
  <c r="EA61" i="6" s="1"/>
  <c r="EB95" i="6"/>
  <c r="EC96" i="6"/>
  <c r="ED97" i="6"/>
  <c r="EE98" i="6"/>
  <c r="EF99" i="6"/>
  <c r="EG100" i="6"/>
  <c r="O84" i="21" s="1"/>
  <c r="EH101" i="6"/>
  <c r="O85" i="21" s="1"/>
  <c r="DT27" i="70"/>
  <c r="DL20" i="70"/>
  <c r="O107" i="21"/>
  <c r="AN154" i="69"/>
  <c r="DE157" i="71"/>
  <c r="DM156" i="71"/>
  <c r="AQ153" i="69" s="1"/>
  <c r="DO19" i="2"/>
  <c r="DP17" i="6" s="1"/>
  <c r="DN23" i="2"/>
  <c r="DM19" i="70" s="1"/>
  <c r="DO21" i="2"/>
  <c r="DP19" i="6" s="1"/>
  <c r="DM11" i="2"/>
  <c r="DN9" i="6" s="1"/>
  <c r="DM13" i="2"/>
  <c r="DN11" i="6" s="1"/>
  <c r="EB90" i="6" l="1"/>
  <c r="EC85" i="6" s="1"/>
  <c r="EB113" i="6"/>
  <c r="EC108" i="6" s="1"/>
  <c r="DO37" i="6"/>
  <c r="DN15" i="6"/>
  <c r="DN15" i="2"/>
  <c r="DO13" i="6" s="1"/>
  <c r="DN17" i="2"/>
  <c r="EC116" i="6"/>
  <c r="EC128" i="6" s="1"/>
  <c r="ED117" i="6"/>
  <c r="EE118" i="6"/>
  <c r="EF119" i="6"/>
  <c r="EG120" i="6"/>
  <c r="EH121" i="6"/>
  <c r="DP32" i="6"/>
  <c r="DP34" i="6" s="1"/>
  <c r="DP20" i="6"/>
  <c r="EB105" i="6"/>
  <c r="EB60" i="6" s="1"/>
  <c r="EB61" i="6" s="1"/>
  <c r="DP173" i="6"/>
  <c r="DO168" i="6"/>
  <c r="EE28" i="6"/>
  <c r="EF35" i="6"/>
  <c r="EC112" i="6"/>
  <c r="EC109" i="6" s="1"/>
  <c r="ED24" i="6"/>
  <c r="DP27" i="6"/>
  <c r="DP29" i="6"/>
  <c r="DO23" i="6"/>
  <c r="DO25" i="6"/>
  <c r="DO38" i="6"/>
  <c r="DP31" i="6"/>
  <c r="DP36" i="6" s="1"/>
  <c r="EC93" i="6"/>
  <c r="EC105" i="6" s="1"/>
  <c r="ED94" i="6"/>
  <c r="EE95" i="6"/>
  <c r="EF96" i="6"/>
  <c r="EG97" i="6"/>
  <c r="EH98" i="6"/>
  <c r="DE21" i="70"/>
  <c r="DU27" i="70"/>
  <c r="DM20" i="70"/>
  <c r="DN156" i="71"/>
  <c r="DF157" i="71"/>
  <c r="DN11" i="2"/>
  <c r="DO9" i="6" s="1"/>
  <c r="DN13" i="2"/>
  <c r="DO11" i="6" s="1"/>
  <c r="DP19" i="2"/>
  <c r="DQ17" i="6" s="1"/>
  <c r="DO23" i="2"/>
  <c r="DN19" i="70" s="1"/>
  <c r="DN20" i="70"/>
  <c r="DP21" i="2"/>
  <c r="DQ19" i="6" s="1"/>
  <c r="DV27" i="70"/>
  <c r="EC113" i="6" l="1"/>
  <c r="ED108" i="6" s="1"/>
  <c r="DP38" i="6"/>
  <c r="DQ31" i="6"/>
  <c r="DQ36" i="6" s="1"/>
  <c r="DQ37" i="6" s="1"/>
  <c r="DP39" i="6"/>
  <c r="DP40" i="6" s="1"/>
  <c r="DP62" i="6" s="1"/>
  <c r="ED112" i="6"/>
  <c r="ED109" i="6" s="1"/>
  <c r="DQ27" i="6"/>
  <c r="DQ29" i="6"/>
  <c r="DO15" i="6"/>
  <c r="DO15" i="2"/>
  <c r="DP13" i="6" s="1"/>
  <c r="DO17" i="2"/>
  <c r="EE24" i="6"/>
  <c r="DP23" i="6"/>
  <c r="DP25" i="6"/>
  <c r="EC89" i="6"/>
  <c r="DP37" i="6"/>
  <c r="EF28" i="6"/>
  <c r="EG35" i="6"/>
  <c r="DQ20" i="6"/>
  <c r="DQ32" i="6"/>
  <c r="DQ34" i="6" s="1"/>
  <c r="DO3" i="6"/>
  <c r="DQ173" i="6"/>
  <c r="DP168" i="6"/>
  <c r="EC60" i="6"/>
  <c r="EC61" i="6" s="1"/>
  <c r="ED116" i="6"/>
  <c r="ED128" i="6" s="1"/>
  <c r="EE117" i="6"/>
  <c r="EF118" i="6"/>
  <c r="EG119" i="6"/>
  <c r="EH120" i="6"/>
  <c r="DF21" i="70"/>
  <c r="DO156" i="71"/>
  <c r="DG157" i="71"/>
  <c r="O105" i="21"/>
  <c r="O82" i="21"/>
  <c r="O83" i="21"/>
  <c r="DP23" i="2"/>
  <c r="DQ19" i="2"/>
  <c r="DR17" i="6" s="1"/>
  <c r="DQ21" i="2"/>
  <c r="DR19" i="6" s="1"/>
  <c r="DG21" i="70"/>
  <c r="DO11" i="2"/>
  <c r="DP9" i="6" s="1"/>
  <c r="DO13" i="2"/>
  <c r="DP11" i="6" s="1"/>
  <c r="ED113" i="6" l="1"/>
  <c r="EE108" i="6" s="1"/>
  <c r="DP3" i="6"/>
  <c r="DR32" i="6"/>
  <c r="DR34" i="6" s="1"/>
  <c r="DR20" i="6"/>
  <c r="DP15" i="6"/>
  <c r="DP17" i="2"/>
  <c r="DP15" i="2"/>
  <c r="DQ13" i="6" s="1"/>
  <c r="EG28" i="6"/>
  <c r="EG24" i="6" s="1"/>
  <c r="EH35" i="6"/>
  <c r="EC86" i="6"/>
  <c r="EC90" i="6"/>
  <c r="ED85" i="6" s="1"/>
  <c r="EE116" i="6"/>
  <c r="EE128" i="6" s="1"/>
  <c r="EF117" i="6"/>
  <c r="EG118" i="6"/>
  <c r="EH119" i="6"/>
  <c r="O103" i="21" s="1"/>
  <c r="EE112" i="6"/>
  <c r="EE109" i="6" s="1"/>
  <c r="EF24" i="6"/>
  <c r="DQ38" i="6"/>
  <c r="DQ3" i="6" s="1"/>
  <c r="DR31" i="6"/>
  <c r="DR36" i="6" s="1"/>
  <c r="DR27" i="6"/>
  <c r="DR29" i="6"/>
  <c r="DQ23" i="6"/>
  <c r="DQ25" i="6"/>
  <c r="ED89" i="6"/>
  <c r="ED86" i="6" s="1"/>
  <c r="DR173" i="6"/>
  <c r="DQ168" i="6"/>
  <c r="DQ39" i="6"/>
  <c r="DQ40" i="6" s="1"/>
  <c r="DQ62" i="6" s="1"/>
  <c r="DW27" i="70"/>
  <c r="DO20" i="70"/>
  <c r="DO19" i="70"/>
  <c r="DP156" i="71"/>
  <c r="AR153" i="69" s="1"/>
  <c r="AO154" i="69"/>
  <c r="DH157" i="71"/>
  <c r="O104" i="21"/>
  <c r="DH21" i="70"/>
  <c r="DQ23" i="2"/>
  <c r="DP19" i="70" s="1"/>
  <c r="DR19" i="2"/>
  <c r="DS17" i="6" s="1"/>
  <c r="DR21" i="2"/>
  <c r="DS19" i="6" s="1"/>
  <c r="DP11" i="2"/>
  <c r="DQ9" i="6" s="1"/>
  <c r="DP13" i="2"/>
  <c r="DQ11" i="6" s="1"/>
  <c r="EE113" i="6" l="1"/>
  <c r="EF108" i="6" s="1"/>
  <c r="ED90" i="6"/>
  <c r="EE85" i="6" s="1"/>
  <c r="EF89" i="6"/>
  <c r="EF86" i="6" s="1"/>
  <c r="EH28" i="6"/>
  <c r="EF116" i="6"/>
  <c r="EF128" i="6" s="1"/>
  <c r="EG117" i="6"/>
  <c r="EH118" i="6"/>
  <c r="O102" i="21" s="1"/>
  <c r="EE89" i="6"/>
  <c r="EE86" i="6" s="1"/>
  <c r="EF112" i="6"/>
  <c r="EF109" i="6" s="1"/>
  <c r="DS31" i="6"/>
  <c r="DS36" i="6" s="1"/>
  <c r="DS37" i="6" s="1"/>
  <c r="DR38" i="6"/>
  <c r="DR23" i="6"/>
  <c r="DR25" i="6"/>
  <c r="DQ15" i="6"/>
  <c r="DQ17" i="2"/>
  <c r="DQ15" i="2"/>
  <c r="DR13" i="6" s="1"/>
  <c r="ED93" i="6"/>
  <c r="ED105" i="6" s="1"/>
  <c r="ED60" i="6" s="1"/>
  <c r="ED61" i="6" s="1"/>
  <c r="EE94" i="6"/>
  <c r="EF95" i="6"/>
  <c r="EG96" i="6"/>
  <c r="EH97" i="6"/>
  <c r="O81" i="21" s="1"/>
  <c r="DS27" i="6"/>
  <c r="DS29" i="6"/>
  <c r="DS173" i="6"/>
  <c r="DR168" i="6"/>
  <c r="DS32" i="6"/>
  <c r="DS34" i="6" s="1"/>
  <c r="DS20" i="6"/>
  <c r="DR37" i="6"/>
  <c r="EE93" i="6"/>
  <c r="EF94" i="6"/>
  <c r="EG95" i="6"/>
  <c r="EH96" i="6"/>
  <c r="DR39" i="6"/>
  <c r="DR40" i="6" s="1"/>
  <c r="DR62" i="6" s="1"/>
  <c r="DP20" i="70"/>
  <c r="DX27" i="70"/>
  <c r="DI157" i="71"/>
  <c r="DQ156" i="71"/>
  <c r="O32" i="21"/>
  <c r="M33" i="21"/>
  <c r="DS19" i="2"/>
  <c r="DT17" i="6" s="1"/>
  <c r="DR23" i="2"/>
  <c r="DQ19" i="70" s="1"/>
  <c r="DQ20" i="70"/>
  <c r="DS21" i="2"/>
  <c r="DT19" i="6" s="1"/>
  <c r="DQ11" i="2"/>
  <c r="DR9" i="6" s="1"/>
  <c r="DQ13" i="2"/>
  <c r="DR11" i="6" s="1"/>
  <c r="O80" i="21" l="1"/>
  <c r="EE105" i="6"/>
  <c r="EE60" i="6" s="1"/>
  <c r="EE61" i="6" s="1"/>
  <c r="EF93" i="6"/>
  <c r="EF105" i="6" s="1"/>
  <c r="EF60" i="6" s="1"/>
  <c r="EF61" i="6" s="1"/>
  <c r="EG94" i="6"/>
  <c r="EH95" i="6"/>
  <c r="O79" i="21" s="1"/>
  <c r="DT173" i="6"/>
  <c r="DS168" i="6"/>
  <c r="EG112" i="6"/>
  <c r="EG109" i="6" s="1"/>
  <c r="EH116" i="6" s="1"/>
  <c r="DT32" i="6"/>
  <c r="DT34" i="6" s="1"/>
  <c r="DT20" i="6"/>
  <c r="EH24" i="6"/>
  <c r="EG116" i="6"/>
  <c r="EG128" i="6" s="1"/>
  <c r="EH117" i="6"/>
  <c r="O101" i="21" s="1"/>
  <c r="EE90" i="6"/>
  <c r="EF85" i="6" s="1"/>
  <c r="EF90" i="6" s="1"/>
  <c r="EG85" i="6" s="1"/>
  <c r="EF113" i="6"/>
  <c r="EG108" i="6" s="1"/>
  <c r="DS38" i="6"/>
  <c r="DT31" i="6"/>
  <c r="DT36" i="6" s="1"/>
  <c r="DT37" i="6" s="1"/>
  <c r="DR15" i="6"/>
  <c r="DR15" i="2"/>
  <c r="DS13" i="6" s="1"/>
  <c r="DR17" i="2"/>
  <c r="DT27" i="6"/>
  <c r="DT29" i="6"/>
  <c r="DS23" i="6"/>
  <c r="DS25" i="6"/>
  <c r="DR3" i="6"/>
  <c r="DS39" i="6"/>
  <c r="DS40" i="6" s="1"/>
  <c r="DS62" i="6" s="1"/>
  <c r="EG93" i="6"/>
  <c r="EH94" i="6"/>
  <c r="DY27" i="70"/>
  <c r="DR156" i="71"/>
  <c r="N152" i="68"/>
  <c r="O28" i="21"/>
  <c r="DR11" i="2"/>
  <c r="DS9" i="6" s="1"/>
  <c r="DR13" i="2"/>
  <c r="DS11" i="6" s="1"/>
  <c r="DT19" i="2"/>
  <c r="DU17" i="6" s="1"/>
  <c r="DS23" i="2"/>
  <c r="DT21" i="2"/>
  <c r="DU19" i="6" s="1"/>
  <c r="M34" i="21"/>
  <c r="N31" i="21"/>
  <c r="M35" i="21"/>
  <c r="EG105" i="6" l="1"/>
  <c r="EG60" i="6" s="1"/>
  <c r="EG61" i="6" s="1"/>
  <c r="O78" i="21"/>
  <c r="EH128" i="6"/>
  <c r="DS15" i="6"/>
  <c r="DS15" i="2"/>
  <c r="DT13" i="6" s="1"/>
  <c r="DS17" i="2"/>
  <c r="DU173" i="6"/>
  <c r="DT168" i="6"/>
  <c r="DT38" i="6"/>
  <c r="DU31" i="6"/>
  <c r="DU36" i="6" s="1"/>
  <c r="DU37" i="6" s="1"/>
  <c r="EG113" i="6"/>
  <c r="EH108" i="6" s="1"/>
  <c r="EH113" i="6" s="1"/>
  <c r="O97" i="21" s="1"/>
  <c r="DT23" i="6"/>
  <c r="DT25" i="6"/>
  <c r="EG89" i="6"/>
  <c r="EG86" i="6" s="1"/>
  <c r="EH93" i="6" s="1"/>
  <c r="EH105" i="6" s="1"/>
  <c r="DT39" i="6"/>
  <c r="DT40" i="6" s="1"/>
  <c r="DT62" i="6" s="1"/>
  <c r="DU20" i="6"/>
  <c r="DU32" i="6"/>
  <c r="DU34" i="6" s="1"/>
  <c r="DU27" i="6"/>
  <c r="DU29" i="6"/>
  <c r="DS3" i="6"/>
  <c r="DI21" i="70"/>
  <c r="DR20" i="70"/>
  <c r="DR19" i="70"/>
  <c r="DZ27" i="70"/>
  <c r="DJ157" i="71"/>
  <c r="DS156" i="71"/>
  <c r="O24" i="21"/>
  <c r="O96" i="21"/>
  <c r="DJ21" i="70"/>
  <c r="M46" i="21"/>
  <c r="DS11" i="2"/>
  <c r="DT9" i="6" s="1"/>
  <c r="DS13" i="2"/>
  <c r="DT11" i="6" s="1"/>
  <c r="DT23" i="2"/>
  <c r="DS19" i="70" s="1"/>
  <c r="DU19" i="2"/>
  <c r="DV17" i="6" s="1"/>
  <c r="DU21" i="2"/>
  <c r="DV19" i="6" s="1"/>
  <c r="EH60" i="6" l="1"/>
  <c r="EH61" i="6" s="1"/>
  <c r="DU39" i="6"/>
  <c r="DU40" i="6" s="1"/>
  <c r="DU62" i="6" s="1"/>
  <c r="DT15" i="6"/>
  <c r="DT17" i="2"/>
  <c r="DT15" i="2"/>
  <c r="DU13" i="6" s="1"/>
  <c r="DV32" i="6"/>
  <c r="DV34" i="6" s="1"/>
  <c r="DV20" i="6"/>
  <c r="DV173" i="6"/>
  <c r="DU168" i="6"/>
  <c r="DU38" i="6"/>
  <c r="DV31" i="6"/>
  <c r="DV36" i="6" s="1"/>
  <c r="DV37" i="6" s="1"/>
  <c r="DT3" i="6"/>
  <c r="DU23" i="6"/>
  <c r="DU25" i="6"/>
  <c r="DV27" i="6"/>
  <c r="DV29" i="6"/>
  <c r="EG90" i="6"/>
  <c r="EH85" i="6" s="1"/>
  <c r="EH90" i="6" s="1"/>
  <c r="O74" i="21" s="1"/>
  <c r="DS20" i="70"/>
  <c r="EA27" i="70"/>
  <c r="DK157" i="71"/>
  <c r="DT156" i="71"/>
  <c r="AS153" i="69"/>
  <c r="AP154" i="69"/>
  <c r="O93" i="21"/>
  <c r="O73" i="21"/>
  <c r="DV19" i="2"/>
  <c r="DU23" i="2"/>
  <c r="DT19" i="70" s="1"/>
  <c r="DV21" i="2"/>
  <c r="DW19" i="6" s="1"/>
  <c r="DT11" i="2"/>
  <c r="DU9" i="6" s="1"/>
  <c r="DT13" i="2"/>
  <c r="DU11" i="6" s="1"/>
  <c r="DK21" i="70"/>
  <c r="DU15" i="6" l="1"/>
  <c r="DU15" i="2"/>
  <c r="DV13" i="6" s="1"/>
  <c r="DU17" i="2"/>
  <c r="DW27" i="6"/>
  <c r="O27" i="21" s="1"/>
  <c r="O29" i="21" s="1"/>
  <c r="DW29" i="6"/>
  <c r="DV168" i="6"/>
  <c r="DW173" i="6"/>
  <c r="DV38" i="6"/>
  <c r="DW31" i="6"/>
  <c r="DW36" i="6" s="1"/>
  <c r="DW39" i="6" s="1"/>
  <c r="DW40" i="6" s="1"/>
  <c r="DW62" i="6" s="1"/>
  <c r="DV39" i="6"/>
  <c r="DV40" i="6" s="1"/>
  <c r="DV62" i="6" s="1"/>
  <c r="DW17" i="6"/>
  <c r="O17" i="21" s="1"/>
  <c r="O19" i="21" s="1"/>
  <c r="DV23" i="6"/>
  <c r="DV25" i="6"/>
  <c r="DW32" i="6"/>
  <c r="DW34" i="6" s="1"/>
  <c r="DW20" i="6"/>
  <c r="DU3" i="6"/>
  <c r="EB27" i="70"/>
  <c r="DT20" i="70"/>
  <c r="DL157" i="71"/>
  <c r="DU156" i="71"/>
  <c r="O151" i="68" s="1"/>
  <c r="O70" i="21"/>
  <c r="O100" i="21"/>
  <c r="O112" i="21"/>
  <c r="DW19" i="2"/>
  <c r="DX17" i="6" s="1"/>
  <c r="DV23" i="2"/>
  <c r="DU19" i="70" s="1"/>
  <c r="DW21" i="2"/>
  <c r="DX19" i="6" s="1"/>
  <c r="DL21" i="70"/>
  <c r="DU11" i="2"/>
  <c r="DV9" i="6" s="1"/>
  <c r="DU13" i="2"/>
  <c r="DV11" i="6" s="1"/>
  <c r="DX32" i="6" l="1"/>
  <c r="DX34" i="6" s="1"/>
  <c r="DX20" i="6"/>
  <c r="DX27" i="6"/>
  <c r="DX29" i="6"/>
  <c r="DW38" i="6"/>
  <c r="DX31" i="6"/>
  <c r="DX36" i="6" s="1"/>
  <c r="DX37" i="6" s="1"/>
  <c r="DW23" i="6"/>
  <c r="O23" i="21" s="1"/>
  <c r="O25" i="21" s="1"/>
  <c r="DW25" i="6"/>
  <c r="DV15" i="6"/>
  <c r="DV17" i="2"/>
  <c r="DV15" i="2"/>
  <c r="DW168" i="6"/>
  <c r="DX173" i="6"/>
  <c r="DW37" i="6"/>
  <c r="DV3" i="6"/>
  <c r="DU20" i="70"/>
  <c r="EC27" i="70"/>
  <c r="DM157" i="71"/>
  <c r="DV156" i="71"/>
  <c r="AT153" i="69" s="1"/>
  <c r="O77" i="21"/>
  <c r="N20" i="21"/>
  <c r="DV11" i="2"/>
  <c r="DV13" i="2"/>
  <c r="DW11" i="6" s="1"/>
  <c r="DX19" i="2"/>
  <c r="DY17" i="6" s="1"/>
  <c r="DW23" i="2"/>
  <c r="DV19" i="70" s="1"/>
  <c r="DV20" i="70"/>
  <c r="DX21" i="2"/>
  <c r="DY19" i="6" s="1"/>
  <c r="DW9" i="6" l="1"/>
  <c r="O9" i="21" s="1"/>
  <c r="O11" i="21" s="1"/>
  <c r="DX168" i="6"/>
  <c r="DY173" i="6"/>
  <c r="DW3" i="6"/>
  <c r="DY27" i="6"/>
  <c r="DY29" i="6"/>
  <c r="DY32" i="6"/>
  <c r="DY34" i="6" s="1"/>
  <c r="DY20" i="6"/>
  <c r="DX38" i="6"/>
  <c r="DY31" i="6"/>
  <c r="DY36" i="6" s="1"/>
  <c r="DY37" i="6" s="1"/>
  <c r="DX39" i="6"/>
  <c r="DX40" i="6" s="1"/>
  <c r="DX62" i="6" s="1"/>
  <c r="DW13" i="6"/>
  <c r="O13" i="21" s="1"/>
  <c r="O15" i="21" s="1"/>
  <c r="DW15" i="6"/>
  <c r="DW15" i="2"/>
  <c r="DX13" i="6" s="1"/>
  <c r="DW17" i="2"/>
  <c r="DX23" i="6"/>
  <c r="DX25" i="6"/>
  <c r="DM21" i="70"/>
  <c r="ED27" i="70"/>
  <c r="DW156" i="71"/>
  <c r="DN157" i="71"/>
  <c r="AQ154" i="69"/>
  <c r="O89" i="21"/>
  <c r="DW11" i="2"/>
  <c r="DX9" i="6" s="1"/>
  <c r="DW13" i="2"/>
  <c r="DX11" i="6" s="1"/>
  <c r="DN21" i="70"/>
  <c r="DY19" i="2"/>
  <c r="DZ17" i="6" s="1"/>
  <c r="DX23" i="2"/>
  <c r="DW19" i="70" s="1"/>
  <c r="DY21" i="2"/>
  <c r="DZ19" i="6" s="1"/>
  <c r="DX15" i="6" l="1"/>
  <c r="DX15" i="2"/>
  <c r="DY13" i="6" s="1"/>
  <c r="DX17" i="2"/>
  <c r="DZ27" i="6"/>
  <c r="DZ29" i="6"/>
  <c r="DZ32" i="6"/>
  <c r="DZ34" i="6" s="1"/>
  <c r="DZ20" i="6"/>
  <c r="DY38" i="6"/>
  <c r="DZ31" i="6"/>
  <c r="DZ36" i="6" s="1"/>
  <c r="DZ39" i="6" s="1"/>
  <c r="DZ40" i="6" s="1"/>
  <c r="DZ62" i="6" s="1"/>
  <c r="DY39" i="6"/>
  <c r="DY40" i="6" s="1"/>
  <c r="DY62" i="6" s="1"/>
  <c r="DZ173" i="6"/>
  <c r="DY168" i="6"/>
  <c r="DY23" i="6"/>
  <c r="DY25" i="6"/>
  <c r="DX3" i="6"/>
  <c r="DW20" i="70"/>
  <c r="EE27" i="70"/>
  <c r="DO157" i="71"/>
  <c r="DX156" i="71"/>
  <c r="O44" i="21"/>
  <c r="DZ19" i="2"/>
  <c r="EA17" i="6" s="1"/>
  <c r="DY23" i="2"/>
  <c r="DZ21" i="2"/>
  <c r="EA19" i="6" s="1"/>
  <c r="EG27" i="70"/>
  <c r="DO21" i="70"/>
  <c r="DX11" i="2"/>
  <c r="DY9" i="6" s="1"/>
  <c r="DX13" i="2"/>
  <c r="DY11" i="6" s="1"/>
  <c r="DZ37" i="6" l="1"/>
  <c r="EA173" i="6"/>
  <c r="DZ168" i="6"/>
  <c r="EA32" i="6"/>
  <c r="EA34" i="6" s="1"/>
  <c r="EA20" i="6"/>
  <c r="DZ23" i="6"/>
  <c r="DZ25" i="6"/>
  <c r="EA27" i="6"/>
  <c r="EA29" i="6"/>
  <c r="EA31" i="6"/>
  <c r="EA36" i="6" s="1"/>
  <c r="DZ38" i="6"/>
  <c r="DY15" i="6"/>
  <c r="DY17" i="2"/>
  <c r="DY15" i="2"/>
  <c r="DZ13" i="6" s="1"/>
  <c r="DY3" i="6"/>
  <c r="DX19" i="70"/>
  <c r="EF27" i="70"/>
  <c r="DX20" i="70"/>
  <c r="O45" i="21"/>
  <c r="O31" i="73"/>
  <c r="DP157" i="71"/>
  <c r="DY156" i="71"/>
  <c r="AU153" i="69" s="1"/>
  <c r="EA19" i="2"/>
  <c r="EB17" i="6" s="1"/>
  <c r="DZ23" i="2"/>
  <c r="EA21" i="2"/>
  <c r="EB19" i="6" s="1"/>
  <c r="DP21" i="70"/>
  <c r="DY11" i="2"/>
  <c r="DZ9" i="6" s="1"/>
  <c r="DY13" i="2"/>
  <c r="DZ11" i="6" s="1"/>
  <c r="EA38" i="6" l="1"/>
  <c r="EB31" i="6"/>
  <c r="EB36" i="6" s="1"/>
  <c r="EB39" i="6" s="1"/>
  <c r="EB40" i="6" s="1"/>
  <c r="EB62" i="6" s="1"/>
  <c r="EB27" i="6"/>
  <c r="EB29" i="6"/>
  <c r="EB20" i="6"/>
  <c r="EB32" i="6"/>
  <c r="EB34" i="6" s="1"/>
  <c r="DZ15" i="6"/>
  <c r="DZ17" i="2"/>
  <c r="DZ15" i="2"/>
  <c r="EA13" i="6" s="1"/>
  <c r="EA39" i="6"/>
  <c r="EA40" i="6" s="1"/>
  <c r="EA62" i="6" s="1"/>
  <c r="EA23" i="6"/>
  <c r="EA25" i="6"/>
  <c r="EB173" i="6"/>
  <c r="EA168" i="6"/>
  <c r="EA37" i="6"/>
  <c r="DZ3" i="6"/>
  <c r="DY19" i="70"/>
  <c r="DY20" i="70"/>
  <c r="DQ157" i="71"/>
  <c r="DZ156" i="71"/>
  <c r="AR154" i="69"/>
  <c r="EA23" i="2"/>
  <c r="EB19" i="2"/>
  <c r="EC17" i="6" s="1"/>
  <c r="DZ20" i="70"/>
  <c r="EB21" i="2"/>
  <c r="EC19" i="6" s="1"/>
  <c r="DQ21" i="70"/>
  <c r="DZ11" i="2"/>
  <c r="EA9" i="6" s="1"/>
  <c r="DZ13" i="2"/>
  <c r="EA11" i="6" s="1"/>
  <c r="EA3" i="6" l="1"/>
  <c r="EB37" i="6"/>
  <c r="EA15" i="6"/>
  <c r="EA15" i="2"/>
  <c r="EB13" i="6" s="1"/>
  <c r="EA17" i="2"/>
  <c r="EC27" i="6"/>
  <c r="EC29" i="6"/>
  <c r="EC20" i="6"/>
  <c r="EC32" i="6"/>
  <c r="EC34" i="6" s="1"/>
  <c r="EB23" i="6"/>
  <c r="EB25" i="6"/>
  <c r="EC173" i="6"/>
  <c r="EB168" i="6"/>
  <c r="EC31" i="6"/>
  <c r="EC36" i="6" s="1"/>
  <c r="EC39" i="6" s="1"/>
  <c r="EC40" i="6" s="1"/>
  <c r="EC62" i="6" s="1"/>
  <c r="EB38" i="6"/>
  <c r="DZ19" i="70"/>
  <c r="EA156" i="71"/>
  <c r="DR157" i="71"/>
  <c r="EC19" i="2"/>
  <c r="ED17" i="6" s="1"/>
  <c r="EB23" i="2"/>
  <c r="EA20" i="70"/>
  <c r="EC21" i="2"/>
  <c r="ED19" i="6" s="1"/>
  <c r="EA11" i="2"/>
  <c r="EB9" i="6" s="1"/>
  <c r="EA13" i="2"/>
  <c r="EB11" i="6" s="1"/>
  <c r="DR21" i="70"/>
  <c r="EB3" i="6" l="1"/>
  <c r="EC37" i="6"/>
  <c r="EC23" i="6"/>
  <c r="EC25" i="6"/>
  <c r="ED173" i="6"/>
  <c r="EC168" i="6"/>
  <c r="ED20" i="6"/>
  <c r="ED32" i="6"/>
  <c r="ED34" i="6" s="1"/>
  <c r="ED27" i="6"/>
  <c r="ED29" i="6"/>
  <c r="EC38" i="6"/>
  <c r="ED31" i="6"/>
  <c r="ED36" i="6" s="1"/>
  <c r="ED37" i="6" s="1"/>
  <c r="EB15" i="6"/>
  <c r="EB15" i="2"/>
  <c r="EC13" i="6" s="1"/>
  <c r="EB17" i="2"/>
  <c r="EA19" i="70"/>
  <c r="EB156" i="71"/>
  <c r="AV153" i="69" s="1"/>
  <c r="DS157" i="71"/>
  <c r="EC23" i="2"/>
  <c r="ED19" i="2"/>
  <c r="EE17" i="6" s="1"/>
  <c r="ED21" i="2"/>
  <c r="EE19" i="6" s="1"/>
  <c r="DS21" i="70"/>
  <c r="EB11" i="2"/>
  <c r="EC9" i="6" s="1"/>
  <c r="EB13" i="2"/>
  <c r="EC11" i="6" s="1"/>
  <c r="EC3" i="6" l="1"/>
  <c r="EE27" i="6"/>
  <c r="EE29" i="6"/>
  <c r="EE173" i="6"/>
  <c r="ED168" i="6"/>
  <c r="ED38" i="6"/>
  <c r="EE31" i="6"/>
  <c r="EE36" i="6" s="1"/>
  <c r="EE39" i="6" s="1"/>
  <c r="EE40" i="6" s="1"/>
  <c r="EE62" i="6" s="1"/>
  <c r="EE20" i="6"/>
  <c r="EE32" i="6"/>
  <c r="EE34" i="6" s="1"/>
  <c r="EC15" i="6"/>
  <c r="EC15" i="2"/>
  <c r="ED13" i="6" s="1"/>
  <c r="EC17" i="2"/>
  <c r="ED39" i="6"/>
  <c r="ED40" i="6" s="1"/>
  <c r="ED62" i="6" s="1"/>
  <c r="ED23" i="6"/>
  <c r="ED25" i="6"/>
  <c r="EB20" i="70"/>
  <c r="EB19" i="70"/>
  <c r="AS154" i="69"/>
  <c r="DT157" i="71"/>
  <c r="EC156" i="71"/>
  <c r="EC11" i="2"/>
  <c r="ED9" i="6" s="1"/>
  <c r="EC13" i="2"/>
  <c r="ED11" i="6" s="1"/>
  <c r="DT21" i="70"/>
  <c r="ED23" i="2"/>
  <c r="EE19" i="2"/>
  <c r="EF17" i="6" s="1"/>
  <c r="EE21" i="2"/>
  <c r="EF19" i="6" s="1"/>
  <c r="EE37" i="6" l="1"/>
  <c r="EF173" i="6"/>
  <c r="EE168" i="6"/>
  <c r="ED15" i="6"/>
  <c r="ED17" i="2"/>
  <c r="ED15" i="2"/>
  <c r="EE13" i="6" s="1"/>
  <c r="EE23" i="6"/>
  <c r="EE25" i="6"/>
  <c r="EF27" i="6"/>
  <c r="EF29" i="6"/>
  <c r="EF20" i="6"/>
  <c r="EF32" i="6"/>
  <c r="EF34" i="6" s="1"/>
  <c r="EE38" i="6"/>
  <c r="EF31" i="6"/>
  <c r="EF36" i="6" s="1"/>
  <c r="EF37" i="6" s="1"/>
  <c r="ED3" i="6"/>
  <c r="EC20" i="70"/>
  <c r="EC19" i="70"/>
  <c r="DU157" i="71"/>
  <c r="ED156" i="71"/>
  <c r="ED11" i="2"/>
  <c r="EE9" i="6" s="1"/>
  <c r="ED13" i="2"/>
  <c r="EE11" i="6" s="1"/>
  <c r="N33" i="21"/>
  <c r="EF19" i="2"/>
  <c r="EG17" i="6" s="1"/>
  <c r="EE23" i="2"/>
  <c r="EF21" i="2"/>
  <c r="EG19" i="6" s="1"/>
  <c r="EG27" i="6" l="1"/>
  <c r="EG29" i="6"/>
  <c r="EF23" i="6"/>
  <c r="EF25" i="6"/>
  <c r="EF39" i="6"/>
  <c r="EF40" i="6" s="1"/>
  <c r="EF62" i="6" s="1"/>
  <c r="EE15" i="6"/>
  <c r="EE15" i="2"/>
  <c r="EF13" i="6" s="1"/>
  <c r="EE17" i="2"/>
  <c r="EG20" i="6"/>
  <c r="EG32" i="6"/>
  <c r="EG34" i="6" s="1"/>
  <c r="EG173" i="6"/>
  <c r="EF168" i="6"/>
  <c r="EF38" i="6"/>
  <c r="EG31" i="6"/>
  <c r="EG36" i="6" s="1"/>
  <c r="EG37" i="6" s="1"/>
  <c r="EE3" i="6"/>
  <c r="ED20" i="70"/>
  <c r="ED19" i="70"/>
  <c r="O152" i="68"/>
  <c r="EE156" i="71"/>
  <c r="EG19" i="2"/>
  <c r="EH17" i="6" s="1"/>
  <c r="EF23" i="2"/>
  <c r="EE19" i="70" s="1"/>
  <c r="EG21" i="2"/>
  <c r="EH19" i="6" s="1"/>
  <c r="O31" i="21"/>
  <c r="N34" i="21"/>
  <c r="EE11" i="2"/>
  <c r="EF9" i="6" s="1"/>
  <c r="EE13" i="2"/>
  <c r="EF11" i="6" s="1"/>
  <c r="N35" i="21"/>
  <c r="EG38" i="6" l="1"/>
  <c r="EG3" i="6" s="1"/>
  <c r="EH31" i="6"/>
  <c r="EH36" i="6" s="1"/>
  <c r="EH38" i="6" s="1"/>
  <c r="EG39" i="6"/>
  <c r="EG40" i="6" s="1"/>
  <c r="EG62" i="6" s="1"/>
  <c r="EF15" i="6"/>
  <c r="EF15" i="2"/>
  <c r="EG13" i="6" s="1"/>
  <c r="EF17" i="2"/>
  <c r="EH32" i="6"/>
  <c r="EH34" i="6" s="1"/>
  <c r="EH20" i="6"/>
  <c r="EH168" i="6" s="1"/>
  <c r="EG23" i="6"/>
  <c r="EG25" i="6"/>
  <c r="EH27" i="6"/>
  <c r="EH29" i="6"/>
  <c r="EH173" i="6"/>
  <c r="EG168" i="6"/>
  <c r="EF3" i="6"/>
  <c r="DU21" i="70"/>
  <c r="EE20" i="70"/>
  <c r="AW153" i="69"/>
  <c r="EF156" i="71"/>
  <c r="DV157" i="71"/>
  <c r="EG23" i="2"/>
  <c r="EG19" i="70" s="1"/>
  <c r="EG20" i="70"/>
  <c r="DV21" i="70"/>
  <c r="N46" i="21"/>
  <c r="EF11" i="2"/>
  <c r="EG9" i="6" s="1"/>
  <c r="EF13" i="2"/>
  <c r="EG11" i="6" s="1"/>
  <c r="EG15" i="6" l="1"/>
  <c r="EG15" i="2"/>
  <c r="EH13" i="6" s="1"/>
  <c r="EI13" i="6" s="1"/>
  <c r="EG17" i="2"/>
  <c r="EH15" i="6" s="1"/>
  <c r="EH39" i="6"/>
  <c r="EH40" i="6" s="1"/>
  <c r="EH62" i="6" s="1"/>
  <c r="EH23" i="6"/>
  <c r="EH25" i="6"/>
  <c r="EH37" i="6"/>
  <c r="EH3" i="6" s="1"/>
  <c r="EF19" i="70"/>
  <c r="EF20" i="70"/>
  <c r="AT154" i="69"/>
  <c r="DW157" i="71"/>
  <c r="EG156" i="71"/>
  <c r="EG11" i="2"/>
  <c r="EH9" i="6" s="1"/>
  <c r="EG13" i="2"/>
  <c r="EH11" i="6" s="1"/>
  <c r="DW21" i="70" l="1"/>
  <c r="I153" i="69"/>
  <c r="C153" i="69" s="1"/>
  <c r="P151" i="68"/>
  <c r="G158" i="71"/>
  <c r="G159" i="71" s="1"/>
  <c r="F158" i="71"/>
  <c r="I158" i="71"/>
  <c r="C156" i="71"/>
  <c r="C151" i="68" s="1"/>
  <c r="J158" i="71"/>
  <c r="J159" i="71" s="1"/>
  <c r="K158" i="71"/>
  <c r="K159" i="71" s="1"/>
  <c r="H158" i="71"/>
  <c r="H159" i="71" s="1"/>
  <c r="E158" i="71"/>
  <c r="M158" i="71"/>
  <c r="M159" i="71" s="1"/>
  <c r="L158" i="71"/>
  <c r="O158" i="71"/>
  <c r="N158" i="71"/>
  <c r="N159" i="71" s="1"/>
  <c r="P158" i="71"/>
  <c r="P159" i="71" s="1"/>
  <c r="Q158" i="71"/>
  <c r="R158" i="71"/>
  <c r="R159" i="71" s="1"/>
  <c r="S158" i="71"/>
  <c r="S159" i="71" s="1"/>
  <c r="T158" i="71"/>
  <c r="T159" i="71" s="1"/>
  <c r="U158" i="71"/>
  <c r="W158" i="71"/>
  <c r="W159" i="71" s="1"/>
  <c r="V158" i="71"/>
  <c r="V159" i="71" s="1"/>
  <c r="Y158" i="71"/>
  <c r="Y159" i="71" s="1"/>
  <c r="X158" i="71"/>
  <c r="Z158" i="71"/>
  <c r="Z159" i="71" s="1"/>
  <c r="AB158" i="71"/>
  <c r="AB159" i="71" s="1"/>
  <c r="AA158" i="71"/>
  <c r="AC158" i="71"/>
  <c r="AD158" i="71"/>
  <c r="AE158" i="71"/>
  <c r="AE159" i="71" s="1"/>
  <c r="AH158" i="71"/>
  <c r="AH159" i="71" s="1"/>
  <c r="AF158" i="71"/>
  <c r="AF159" i="71" s="1"/>
  <c r="AG158" i="71"/>
  <c r="AI158" i="71"/>
  <c r="AI159" i="71" s="1"/>
  <c r="AK158" i="71"/>
  <c r="AK159" i="71" s="1"/>
  <c r="AJ158" i="71"/>
  <c r="AL158" i="71"/>
  <c r="AL159" i="71" s="1"/>
  <c r="AM158" i="71"/>
  <c r="AN158" i="71"/>
  <c r="AN159" i="71" s="1"/>
  <c r="AP158" i="71"/>
  <c r="AO158" i="71"/>
  <c r="AQ158" i="71"/>
  <c r="AQ159" i="71" s="1"/>
  <c r="AR158" i="71"/>
  <c r="AR159" i="71" s="1"/>
  <c r="AT158" i="71"/>
  <c r="AT159" i="71" s="1"/>
  <c r="AS158" i="71"/>
  <c r="AW158" i="71"/>
  <c r="AW159" i="71" s="1"/>
  <c r="AU158" i="71"/>
  <c r="AU159" i="71" s="1"/>
  <c r="AY158" i="71"/>
  <c r="AV158" i="71"/>
  <c r="AX158" i="71"/>
  <c r="AX159" i="71" s="1"/>
  <c r="BA158" i="71"/>
  <c r="AZ158" i="71"/>
  <c r="AZ159" i="71" s="1"/>
  <c r="BC158" i="71"/>
  <c r="BC159" i="71" s="1"/>
  <c r="BB158" i="71"/>
  <c r="BD158" i="71"/>
  <c r="BD159" i="71" s="1"/>
  <c r="BE158" i="71"/>
  <c r="BF158" i="71"/>
  <c r="BF159" i="71" s="1"/>
  <c r="BI158" i="71"/>
  <c r="BI159" i="71" s="1"/>
  <c r="BG158" i="71"/>
  <c r="BG159" i="71" s="1"/>
  <c r="BH158" i="71"/>
  <c r="BL158" i="71"/>
  <c r="BL159" i="71" s="1"/>
  <c r="BJ158" i="71"/>
  <c r="BJ159" i="71" s="1"/>
  <c r="BK158" i="71"/>
  <c r="BM158" i="71"/>
  <c r="BO158" i="71"/>
  <c r="BO159" i="71" s="1"/>
  <c r="BP158" i="71"/>
  <c r="BP159" i="71" s="1"/>
  <c r="BN158" i="71"/>
  <c r="BQ158" i="71"/>
  <c r="BS158" i="71"/>
  <c r="BS159" i="71" s="1"/>
  <c r="BT158" i="71"/>
  <c r="BR158" i="71"/>
  <c r="BR159" i="71" s="1"/>
  <c r="BW158" i="71"/>
  <c r="BU158" i="71"/>
  <c r="BU159" i="71" s="1"/>
  <c r="BV158" i="71"/>
  <c r="BV159" i="71" s="1"/>
  <c r="BX158" i="71"/>
  <c r="BX159" i="71" s="1"/>
  <c r="BY158" i="71"/>
  <c r="BZ158" i="71"/>
  <c r="CA158" i="71"/>
  <c r="CA159" i="71" s="1"/>
  <c r="CB158" i="71"/>
  <c r="CB159" i="71" s="1"/>
  <c r="CD158" i="71"/>
  <c r="CD159" i="71" s="1"/>
  <c r="CC158" i="71"/>
  <c r="CE158" i="71"/>
  <c r="CE159" i="71" s="1"/>
  <c r="CG158" i="71"/>
  <c r="CG159" i="71" s="1"/>
  <c r="CH158" i="71"/>
  <c r="CH159" i="71" s="1"/>
  <c r="CF158" i="71"/>
  <c r="CI158" i="71"/>
  <c r="CJ158" i="71"/>
  <c r="CJ159" i="71" s="1"/>
  <c r="CK158" i="71"/>
  <c r="CL158" i="71"/>
  <c r="CM158" i="71"/>
  <c r="CM159" i="71" s="1"/>
  <c r="CP158" i="71"/>
  <c r="CP159" i="71" s="1"/>
  <c r="CN158" i="71"/>
  <c r="CN159" i="71" s="1"/>
  <c r="CO158" i="71"/>
  <c r="CQ158" i="71"/>
  <c r="CQ159" i="71" s="1"/>
  <c r="CR158" i="71"/>
  <c r="CS158" i="71"/>
  <c r="CS159" i="71" s="1"/>
  <c r="CT158" i="71"/>
  <c r="CT159" i="71" s="1"/>
  <c r="CU158" i="71"/>
  <c r="CW158" i="71"/>
  <c r="CV158" i="71"/>
  <c r="CV159" i="71" s="1"/>
  <c r="CY158" i="71"/>
  <c r="CY159" i="71" s="1"/>
  <c r="CX158" i="71"/>
  <c r="CZ158" i="71"/>
  <c r="CZ159" i="71" s="1"/>
  <c r="DC158" i="71"/>
  <c r="DC159" i="71" s="1"/>
  <c r="DA158" i="71"/>
  <c r="DB158" i="71"/>
  <c r="DB159" i="71" s="1"/>
  <c r="DD158" i="71"/>
  <c r="DE158" i="71"/>
  <c r="DE159" i="71" s="1"/>
  <c r="DF158" i="71"/>
  <c r="DF159" i="71" s="1"/>
  <c r="DG158" i="71"/>
  <c r="DH158" i="71"/>
  <c r="DH159" i="71" s="1"/>
  <c r="DI158" i="71"/>
  <c r="DK158" i="71"/>
  <c r="DK159" i="71" s="1"/>
  <c r="DJ158" i="71"/>
  <c r="DL158" i="71"/>
  <c r="DL159" i="71" s="1"/>
  <c r="DN158" i="71"/>
  <c r="DN159" i="71" s="1"/>
  <c r="DM158" i="71"/>
  <c r="DO158" i="71"/>
  <c r="DO159" i="71" s="1"/>
  <c r="DP158" i="71"/>
  <c r="DQ158" i="71"/>
  <c r="DQ159" i="71" s="1"/>
  <c r="DS158" i="71"/>
  <c r="DR158" i="71"/>
  <c r="DR159" i="71" s="1"/>
  <c r="DW158" i="71"/>
  <c r="DW159" i="71" s="1"/>
  <c r="DX157" i="71"/>
  <c r="DX158" i="71" s="1"/>
  <c r="DX159" i="71" s="1"/>
  <c r="DV158" i="71"/>
  <c r="DU158" i="71"/>
  <c r="DT158" i="71"/>
  <c r="DT159" i="71" s="1"/>
  <c r="O20" i="21"/>
  <c r="DX21" i="70" l="1"/>
  <c r="DY157" i="71"/>
  <c r="DV159" i="71"/>
  <c r="AT156" i="69" s="1"/>
  <c r="AT155" i="69"/>
  <c r="DI159" i="71"/>
  <c r="N154" i="68" s="1"/>
  <c r="N153" i="68"/>
  <c r="CK159" i="71"/>
  <c r="L154" i="68" s="1"/>
  <c r="L153" i="68"/>
  <c r="BW159" i="71"/>
  <c r="AC156" i="69" s="1"/>
  <c r="AC155" i="69"/>
  <c r="BM159" i="71"/>
  <c r="J154" i="68" s="1"/>
  <c r="J153" i="68"/>
  <c r="BE159" i="71"/>
  <c r="W156" i="69" s="1"/>
  <c r="W155" i="69"/>
  <c r="AY159" i="71"/>
  <c r="U156" i="69" s="1"/>
  <c r="U155" i="69"/>
  <c r="AP159" i="71"/>
  <c r="R156" i="69" s="1"/>
  <c r="R155" i="69"/>
  <c r="X159" i="71"/>
  <c r="L156" i="69" s="1"/>
  <c r="L155" i="69"/>
  <c r="Q159" i="71"/>
  <c r="F154" i="68" s="1"/>
  <c r="F153" i="68"/>
  <c r="DP159" i="71"/>
  <c r="AR156" i="69" s="1"/>
  <c r="AR155" i="69"/>
  <c r="CR159" i="71"/>
  <c r="AJ156" i="69" s="1"/>
  <c r="AJ155" i="69"/>
  <c r="BK159" i="71"/>
  <c r="Y156" i="69" s="1"/>
  <c r="Y155" i="69"/>
  <c r="DG159" i="71"/>
  <c r="AO156" i="69" s="1"/>
  <c r="AO155" i="69"/>
  <c r="CX159" i="71"/>
  <c r="AL156" i="69" s="1"/>
  <c r="AL155" i="69"/>
  <c r="CI159" i="71"/>
  <c r="AG156" i="69" s="1"/>
  <c r="AG155" i="69"/>
  <c r="BT159" i="71"/>
  <c r="AB156" i="69" s="1"/>
  <c r="AB155" i="69"/>
  <c r="BB159" i="71"/>
  <c r="V156" i="69" s="1"/>
  <c r="V155" i="69"/>
  <c r="AM159" i="71"/>
  <c r="Q156" i="69" s="1"/>
  <c r="Q155" i="69"/>
  <c r="DM159" i="71"/>
  <c r="AQ156" i="69" s="1"/>
  <c r="AQ155" i="69"/>
  <c r="CO159" i="71"/>
  <c r="AI156" i="69" s="1"/>
  <c r="AI155" i="69"/>
  <c r="CF159" i="71"/>
  <c r="AF156" i="69" s="1"/>
  <c r="AF155" i="69"/>
  <c r="BZ159" i="71"/>
  <c r="AD156" i="69" s="1"/>
  <c r="AD155" i="69"/>
  <c r="AS159" i="71"/>
  <c r="S156" i="69" s="1"/>
  <c r="S155" i="69"/>
  <c r="AD159" i="71"/>
  <c r="N156" i="69" s="1"/>
  <c r="N155" i="69"/>
  <c r="O159" i="71"/>
  <c r="I156" i="69" s="1"/>
  <c r="I155" i="69"/>
  <c r="I159" i="71"/>
  <c r="G156" i="69" s="1"/>
  <c r="G155" i="69"/>
  <c r="BY159" i="71"/>
  <c r="K154" i="68" s="1"/>
  <c r="K153" i="68"/>
  <c r="BQ159" i="71"/>
  <c r="AA156" i="69" s="1"/>
  <c r="AA155" i="69"/>
  <c r="BH159" i="71"/>
  <c r="X156" i="69" s="1"/>
  <c r="X155" i="69"/>
  <c r="AJ159" i="71"/>
  <c r="P156" i="69" s="1"/>
  <c r="P155" i="69"/>
  <c r="AC159" i="71"/>
  <c r="G154" i="68" s="1"/>
  <c r="G153" i="68"/>
  <c r="U159" i="71"/>
  <c r="K156" i="69" s="1"/>
  <c r="K155" i="69"/>
  <c r="L159" i="71"/>
  <c r="H156" i="69" s="1"/>
  <c r="H155" i="69"/>
  <c r="F159" i="71"/>
  <c r="F156" i="69" s="1"/>
  <c r="F155" i="69"/>
  <c r="DD159" i="71"/>
  <c r="AN156" i="69" s="1"/>
  <c r="AN155" i="69"/>
  <c r="CW159" i="71"/>
  <c r="M154" i="68" s="1"/>
  <c r="M153" i="68"/>
  <c r="BN159" i="71"/>
  <c r="Z156" i="69" s="1"/>
  <c r="Z155" i="69"/>
  <c r="BA159" i="71"/>
  <c r="I154" i="68" s="1"/>
  <c r="I153" i="68"/>
  <c r="AA159" i="71"/>
  <c r="M156" i="69" s="1"/>
  <c r="M155" i="69"/>
  <c r="DJ159" i="71"/>
  <c r="AP156" i="69" s="1"/>
  <c r="AP155" i="69"/>
  <c r="CU159" i="71"/>
  <c r="AK156" i="69" s="1"/>
  <c r="AK155" i="69"/>
  <c r="E159" i="71"/>
  <c r="E155" i="69"/>
  <c r="E153" i="68"/>
  <c r="DU159" i="71"/>
  <c r="O154" i="68" s="1"/>
  <c r="O153" i="68"/>
  <c r="DS159" i="71"/>
  <c r="AS156" i="69" s="1"/>
  <c r="AS155" i="69"/>
  <c r="DA159" i="71"/>
  <c r="AM156" i="69" s="1"/>
  <c r="AM155" i="69"/>
  <c r="CL159" i="71"/>
  <c r="AH156" i="69" s="1"/>
  <c r="AH155" i="69"/>
  <c r="CC159" i="71"/>
  <c r="AE156" i="69" s="1"/>
  <c r="AE155" i="69"/>
  <c r="AV159" i="71"/>
  <c r="T156" i="69" s="1"/>
  <c r="T155" i="69"/>
  <c r="AO159" i="71"/>
  <c r="H154" i="68" s="1"/>
  <c r="H153" i="68"/>
  <c r="AG159" i="71"/>
  <c r="O156" i="69" s="1"/>
  <c r="O155" i="69"/>
  <c r="DY21" i="70" l="1"/>
  <c r="DZ157" i="71"/>
  <c r="DZ158" i="71" s="1"/>
  <c r="DZ159" i="71" s="1"/>
  <c r="DS160" i="71"/>
  <c r="DK160" i="71"/>
  <c r="DK9" i="71" s="1"/>
  <c r="DC160" i="71"/>
  <c r="DC9" i="71" s="1"/>
  <c r="CU160" i="71"/>
  <c r="CM160" i="71"/>
  <c r="CM9" i="71" s="1"/>
  <c r="CE160" i="71"/>
  <c r="CE9" i="71" s="1"/>
  <c r="BW160" i="71"/>
  <c r="BO160" i="71"/>
  <c r="BO9" i="71" s="1"/>
  <c r="BG160" i="71"/>
  <c r="BG9" i="71" s="1"/>
  <c r="AY160" i="71"/>
  <c r="AQ160" i="71"/>
  <c r="AQ9" i="71" s="1"/>
  <c r="AI160" i="71"/>
  <c r="AI9" i="71" s="1"/>
  <c r="AA160" i="71"/>
  <c r="S160" i="71"/>
  <c r="S9" i="71" s="1"/>
  <c r="K160" i="71"/>
  <c r="K9" i="71" s="1"/>
  <c r="DR160" i="71"/>
  <c r="DR9" i="71" s="1"/>
  <c r="DJ160" i="71"/>
  <c r="DB160" i="71"/>
  <c r="DB9" i="71" s="1"/>
  <c r="CT160" i="71"/>
  <c r="CT9" i="71" s="1"/>
  <c r="CL160" i="71"/>
  <c r="CD160" i="71"/>
  <c r="CD9" i="71" s="1"/>
  <c r="BV160" i="71"/>
  <c r="BV9" i="71" s="1"/>
  <c r="BN160" i="71"/>
  <c r="BF160" i="71"/>
  <c r="BF9" i="71" s="1"/>
  <c r="AX160" i="71"/>
  <c r="AX9" i="71" s="1"/>
  <c r="AP160" i="71"/>
  <c r="AH160" i="71"/>
  <c r="AH9" i="71" s="1"/>
  <c r="Z160" i="71"/>
  <c r="Z9" i="71" s="1"/>
  <c r="R160" i="71"/>
  <c r="J160" i="71"/>
  <c r="J9" i="71" s="1"/>
  <c r="DQ160" i="71"/>
  <c r="DQ9" i="71" s="1"/>
  <c r="DI160" i="71"/>
  <c r="DA160" i="71"/>
  <c r="CS160" i="71"/>
  <c r="CS9" i="71" s="1"/>
  <c r="CK160" i="71"/>
  <c r="CC160" i="71"/>
  <c r="BU160" i="71"/>
  <c r="BU9" i="71" s="1"/>
  <c r="BM160" i="71"/>
  <c r="BE160" i="71"/>
  <c r="AW160" i="71"/>
  <c r="AW9" i="71" s="1"/>
  <c r="AO160" i="71"/>
  <c r="AG160" i="71"/>
  <c r="Y160" i="71"/>
  <c r="Y9" i="71" s="1"/>
  <c r="Q160" i="71"/>
  <c r="I160" i="71"/>
  <c r="DX160" i="71"/>
  <c r="DX9" i="71" s="1"/>
  <c r="DP160" i="71"/>
  <c r="DH160" i="71"/>
  <c r="DH9" i="71" s="1"/>
  <c r="CZ160" i="71"/>
  <c r="CZ9" i="71" s="1"/>
  <c r="CR160" i="71"/>
  <c r="CJ160" i="71"/>
  <c r="CJ9" i="71" s="1"/>
  <c r="CB160" i="71"/>
  <c r="CB9" i="71" s="1"/>
  <c r="BT160" i="71"/>
  <c r="BL160" i="71"/>
  <c r="BL9" i="71" s="1"/>
  <c r="BD160" i="71"/>
  <c r="BD9" i="71" s="1"/>
  <c r="AV160" i="71"/>
  <c r="AN160" i="71"/>
  <c r="AN9" i="71" s="1"/>
  <c r="AF160" i="71"/>
  <c r="AF9" i="71" s="1"/>
  <c r="X160" i="71"/>
  <c r="P160" i="71"/>
  <c r="P9" i="71" s="1"/>
  <c r="H160" i="71"/>
  <c r="H9" i="71" s="1"/>
  <c r="DW160" i="71"/>
  <c r="DW9" i="71" s="1"/>
  <c r="DO160" i="71"/>
  <c r="DO9" i="71" s="1"/>
  <c r="DG160" i="71"/>
  <c r="CY160" i="71"/>
  <c r="CY9" i="71" s="1"/>
  <c r="CQ160" i="71"/>
  <c r="CQ9" i="71" s="1"/>
  <c r="CI160" i="71"/>
  <c r="CA160" i="71"/>
  <c r="CA9" i="71" s="1"/>
  <c r="BS160" i="71"/>
  <c r="BK160" i="71"/>
  <c r="BC160" i="71"/>
  <c r="BC9" i="71" s="1"/>
  <c r="AU160" i="71"/>
  <c r="AU9" i="71" s="1"/>
  <c r="AM160" i="71"/>
  <c r="AE160" i="71"/>
  <c r="AE9" i="71" s="1"/>
  <c r="W160" i="71"/>
  <c r="W9" i="71" s="1"/>
  <c r="O160" i="71"/>
  <c r="O9" i="71" s="1"/>
  <c r="G160" i="71"/>
  <c r="G9" i="71" s="1"/>
  <c r="DV160" i="71"/>
  <c r="DN160" i="71"/>
  <c r="DN9" i="71" s="1"/>
  <c r="DF160" i="71"/>
  <c r="DF9" i="71" s="1"/>
  <c r="CX160" i="71"/>
  <c r="CP160" i="71"/>
  <c r="CP9" i="71" s="1"/>
  <c r="CH160" i="71"/>
  <c r="CH9" i="71" s="1"/>
  <c r="BZ160" i="71"/>
  <c r="BR160" i="71"/>
  <c r="BR9" i="71" s="1"/>
  <c r="BJ160" i="71"/>
  <c r="BJ9" i="71" s="1"/>
  <c r="BB160" i="71"/>
  <c r="AT160" i="71"/>
  <c r="AT9" i="71" s="1"/>
  <c r="AL160" i="71"/>
  <c r="AL9" i="71" s="1"/>
  <c r="AD160" i="71"/>
  <c r="V160" i="71"/>
  <c r="V9" i="71" s="1"/>
  <c r="N160" i="71"/>
  <c r="N9" i="71" s="1"/>
  <c r="F160" i="71"/>
  <c r="DU160" i="71"/>
  <c r="DM160" i="71"/>
  <c r="DE160" i="71"/>
  <c r="DE9" i="71" s="1"/>
  <c r="CW160" i="71"/>
  <c r="CO160" i="71"/>
  <c r="CG160" i="71"/>
  <c r="CG9" i="71" s="1"/>
  <c r="BY160" i="71"/>
  <c r="BQ160" i="71"/>
  <c r="BI160" i="71"/>
  <c r="BI9" i="71" s="1"/>
  <c r="BA160" i="71"/>
  <c r="AS160" i="71"/>
  <c r="AK160" i="71"/>
  <c r="AK9" i="71" s="1"/>
  <c r="AC160" i="71"/>
  <c r="U160" i="71"/>
  <c r="M160" i="71"/>
  <c r="M9" i="71" s="1"/>
  <c r="E160" i="71"/>
  <c r="CN160" i="71"/>
  <c r="CN9" i="71" s="1"/>
  <c r="AB160" i="71"/>
  <c r="AB9" i="71" s="1"/>
  <c r="CF160" i="71"/>
  <c r="T160" i="71"/>
  <c r="T9" i="71" s="1"/>
  <c r="BX160" i="71"/>
  <c r="BX9" i="71" s="1"/>
  <c r="L160" i="71"/>
  <c r="BP160" i="71"/>
  <c r="BP9" i="71" s="1"/>
  <c r="DT160" i="71"/>
  <c r="DT9" i="71" s="1"/>
  <c r="BH160" i="71"/>
  <c r="DL160" i="71"/>
  <c r="DL9" i="71" s="1"/>
  <c r="AZ160" i="71"/>
  <c r="AZ9" i="71" s="1"/>
  <c r="DD160" i="71"/>
  <c r="AR160" i="71"/>
  <c r="AR9" i="71" s="1"/>
  <c r="CV160" i="71"/>
  <c r="CV9" i="71" s="1"/>
  <c r="AJ160" i="71"/>
  <c r="E156" i="69"/>
  <c r="E154" i="68"/>
  <c r="DY158" i="71"/>
  <c r="AU154" i="69"/>
  <c r="DZ21" i="70" l="1"/>
  <c r="AZ56" i="71"/>
  <c r="AZ49" i="71"/>
  <c r="T49" i="71"/>
  <c r="T56" i="71"/>
  <c r="CW9" i="71"/>
  <c r="M155" i="68"/>
  <c r="AD9" i="71"/>
  <c r="N157" i="69"/>
  <c r="CP56" i="71"/>
  <c r="CP49" i="71"/>
  <c r="W56" i="71"/>
  <c r="W49" i="71"/>
  <c r="CI9" i="71"/>
  <c r="AG157" i="69"/>
  <c r="P56" i="71"/>
  <c r="P49" i="71"/>
  <c r="P114" i="71"/>
  <c r="CB56" i="71"/>
  <c r="CB49" i="71"/>
  <c r="I9" i="71"/>
  <c r="G157" i="69"/>
  <c r="BU56" i="71"/>
  <c r="BU49" i="71"/>
  <c r="BN9" i="71"/>
  <c r="Z157" i="69"/>
  <c r="BO56" i="71"/>
  <c r="BO49" i="71"/>
  <c r="CF9" i="71"/>
  <c r="AF157" i="69"/>
  <c r="DE56" i="71"/>
  <c r="DE49" i="71"/>
  <c r="CX9" i="71"/>
  <c r="AL157" i="69"/>
  <c r="AE56" i="71"/>
  <c r="AE49" i="71"/>
  <c r="CQ56" i="71"/>
  <c r="CQ49" i="71"/>
  <c r="X9" i="71"/>
  <c r="L157" i="69"/>
  <c r="CJ56" i="71"/>
  <c r="CJ49" i="71"/>
  <c r="Q9" i="71"/>
  <c r="F155" i="68"/>
  <c r="CC9" i="71"/>
  <c r="AE157" i="69"/>
  <c r="J56" i="71"/>
  <c r="J49" i="71"/>
  <c r="J114" i="71"/>
  <c r="BV49" i="71"/>
  <c r="BV56" i="71"/>
  <c r="K56" i="71"/>
  <c r="K49" i="71"/>
  <c r="K114" i="71"/>
  <c r="BW9" i="71"/>
  <c r="AC157" i="69"/>
  <c r="DY159" i="71"/>
  <c r="AU155" i="69"/>
  <c r="AS9" i="71"/>
  <c r="S157" i="69"/>
  <c r="BH9" i="71"/>
  <c r="X157" i="69"/>
  <c r="BA9" i="71"/>
  <c r="I155" i="68"/>
  <c r="DM9" i="71"/>
  <c r="AQ157" i="69"/>
  <c r="AT56" i="71"/>
  <c r="AT49" i="71"/>
  <c r="DF56" i="71"/>
  <c r="DF49" i="71"/>
  <c r="AM9" i="71"/>
  <c r="Q157" i="69"/>
  <c r="CY56" i="71"/>
  <c r="CY49" i="71"/>
  <c r="AF56" i="71"/>
  <c r="AF49" i="71"/>
  <c r="CR9" i="71"/>
  <c r="AJ157" i="69"/>
  <c r="Y56" i="71"/>
  <c r="Y49" i="71"/>
  <c r="CK9" i="71"/>
  <c r="L155" i="68"/>
  <c r="R9" i="71"/>
  <c r="J157" i="69"/>
  <c r="CD56" i="71"/>
  <c r="CD49" i="71"/>
  <c r="S56" i="71"/>
  <c r="S49" i="71"/>
  <c r="CE56" i="71"/>
  <c r="CE49" i="71"/>
  <c r="DL56" i="71"/>
  <c r="DL49" i="71"/>
  <c r="DT56" i="71"/>
  <c r="DT49" i="71"/>
  <c r="CN56" i="71"/>
  <c r="CN49" i="71"/>
  <c r="BI56" i="71"/>
  <c r="BI49" i="71"/>
  <c r="DU9" i="71"/>
  <c r="O155" i="68"/>
  <c r="BB9" i="71"/>
  <c r="V157" i="69"/>
  <c r="DN56" i="71"/>
  <c r="DN49" i="71"/>
  <c r="AU56" i="71"/>
  <c r="AU49" i="71"/>
  <c r="DG9" i="71"/>
  <c r="AO157" i="69"/>
  <c r="AN49" i="71"/>
  <c r="AN56" i="71"/>
  <c r="CZ56" i="71"/>
  <c r="CZ49" i="71"/>
  <c r="AG9" i="71"/>
  <c r="O157" i="69"/>
  <c r="CS56" i="71"/>
  <c r="CS49" i="71"/>
  <c r="Z56" i="71"/>
  <c r="Z49" i="71"/>
  <c r="CL9" i="71"/>
  <c r="AH157" i="69"/>
  <c r="AA9" i="71"/>
  <c r="M157" i="69"/>
  <c r="CM56" i="71"/>
  <c r="CM49" i="71"/>
  <c r="BP56" i="71"/>
  <c r="BP49" i="71"/>
  <c r="BQ9" i="71"/>
  <c r="AA157" i="69"/>
  <c r="BJ56" i="71"/>
  <c r="BJ49" i="71"/>
  <c r="DV9" i="71"/>
  <c r="AT157" i="69"/>
  <c r="BC56" i="71"/>
  <c r="BC49" i="71"/>
  <c r="DO56" i="71"/>
  <c r="DO49" i="71"/>
  <c r="AV9" i="71"/>
  <c r="T157" i="69"/>
  <c r="DH56" i="71"/>
  <c r="DH49" i="71"/>
  <c r="AO9" i="71"/>
  <c r="H155" i="68"/>
  <c r="DA9" i="71"/>
  <c r="AM157" i="69"/>
  <c r="CT56" i="71"/>
  <c r="CT49" i="71"/>
  <c r="CU9" i="71"/>
  <c r="AK157" i="69"/>
  <c r="EA157" i="71"/>
  <c r="EA158" i="71" s="1"/>
  <c r="EA159" i="71" s="1"/>
  <c r="AJ9" i="71"/>
  <c r="P157" i="69"/>
  <c r="E9" i="71"/>
  <c r="E155" i="68"/>
  <c r="E157" i="69"/>
  <c r="CV56" i="71"/>
  <c r="CV49" i="71"/>
  <c r="M49" i="71"/>
  <c r="M56" i="71"/>
  <c r="M114" i="71"/>
  <c r="BY9" i="71"/>
  <c r="K155" i="68"/>
  <c r="F9" i="71"/>
  <c r="F157" i="69"/>
  <c r="BR56" i="71"/>
  <c r="BR49" i="71"/>
  <c r="BK9" i="71"/>
  <c r="Y157" i="69"/>
  <c r="DW56" i="71"/>
  <c r="DW49" i="71"/>
  <c r="DW114" i="71"/>
  <c r="BD56" i="71"/>
  <c r="BD49" i="71"/>
  <c r="DP9" i="71"/>
  <c r="AR157" i="69"/>
  <c r="AW56" i="71"/>
  <c r="AW49" i="71"/>
  <c r="DI9" i="71"/>
  <c r="N155" i="68"/>
  <c r="AP9" i="71"/>
  <c r="R157" i="69"/>
  <c r="DB49" i="71"/>
  <c r="DB56" i="71"/>
  <c r="AQ56" i="71"/>
  <c r="AQ49" i="71"/>
  <c r="DC56" i="71"/>
  <c r="DC49" i="71"/>
  <c r="L9" i="71"/>
  <c r="H157" i="69"/>
  <c r="CG56" i="71"/>
  <c r="CG49" i="71"/>
  <c r="N56" i="71"/>
  <c r="N49" i="71"/>
  <c r="N114" i="71"/>
  <c r="BZ9" i="71"/>
  <c r="AD157" i="69"/>
  <c r="G49" i="71"/>
  <c r="G56" i="71"/>
  <c r="G114" i="71"/>
  <c r="BS9" i="71"/>
  <c r="BL56" i="71"/>
  <c r="BL49" i="71"/>
  <c r="DX56" i="71"/>
  <c r="DX49" i="71"/>
  <c r="DX114" i="71"/>
  <c r="BE9" i="71"/>
  <c r="W157" i="69"/>
  <c r="DQ56" i="71"/>
  <c r="DQ49" i="71"/>
  <c r="AX56" i="71"/>
  <c r="AX49" i="71"/>
  <c r="DJ9" i="71"/>
  <c r="AP157" i="69"/>
  <c r="AY9" i="71"/>
  <c r="U157" i="69"/>
  <c r="DK56" i="71"/>
  <c r="DK49" i="71"/>
  <c r="U9" i="71"/>
  <c r="K157" i="69"/>
  <c r="DD9" i="71"/>
  <c r="AN157" i="69"/>
  <c r="BX56" i="71"/>
  <c r="BX49" i="71"/>
  <c r="AC9" i="71"/>
  <c r="G155" i="68"/>
  <c r="CO9" i="71"/>
  <c r="AI157" i="69"/>
  <c r="V56" i="71"/>
  <c r="V49" i="71"/>
  <c r="CH56" i="71"/>
  <c r="CH49" i="71"/>
  <c r="O56" i="71"/>
  <c r="O49" i="71"/>
  <c r="O114" i="71"/>
  <c r="CA56" i="71"/>
  <c r="CA49" i="71"/>
  <c r="H56" i="71"/>
  <c r="H49" i="71"/>
  <c r="H114" i="71"/>
  <c r="BT9" i="71"/>
  <c r="AB157" i="69"/>
  <c r="BM9" i="71"/>
  <c r="J155" i="68"/>
  <c r="BF56" i="71"/>
  <c r="BF49" i="71"/>
  <c r="DR56" i="71"/>
  <c r="DR49" i="71"/>
  <c r="BG56" i="71"/>
  <c r="BG49" i="71"/>
  <c r="DS9" i="71"/>
  <c r="AS157" i="69"/>
  <c r="EA21" i="70" l="1"/>
  <c r="DX78" i="71"/>
  <c r="BL254" i="71"/>
  <c r="BL255" i="71" s="1"/>
  <c r="BL78" i="71"/>
  <c r="AQ254" i="71"/>
  <c r="AQ255" i="71" s="1"/>
  <c r="AQ78" i="71"/>
  <c r="DP56" i="71"/>
  <c r="AR53" i="69" s="1"/>
  <c r="DP49" i="71"/>
  <c r="DR254" i="71"/>
  <c r="DR255" i="71" s="1"/>
  <c r="DR78" i="71"/>
  <c r="BM56" i="71"/>
  <c r="BM49" i="71"/>
  <c r="DK254" i="71"/>
  <c r="DK255" i="71" s="1"/>
  <c r="DK78" i="71"/>
  <c r="AX254" i="71"/>
  <c r="AX255" i="71" s="1"/>
  <c r="AX78" i="71"/>
  <c r="BE56" i="71"/>
  <c r="W53" i="69" s="1"/>
  <c r="BE49" i="71"/>
  <c r="F56" i="71"/>
  <c r="F49" i="71"/>
  <c r="F114" i="71"/>
  <c r="CU56" i="71"/>
  <c r="CU49" i="71"/>
  <c r="DO254" i="71"/>
  <c r="DO255" i="71" s="1"/>
  <c r="DO78" i="71"/>
  <c r="DV56" i="71"/>
  <c r="DV49" i="71"/>
  <c r="DV114" i="71"/>
  <c r="BP254" i="71"/>
  <c r="BP255" i="71" s="1"/>
  <c r="BP78" i="71"/>
  <c r="AA56" i="71"/>
  <c r="AA49" i="71"/>
  <c r="CS254" i="71"/>
  <c r="CS255" i="71" s="1"/>
  <c r="CS78" i="71"/>
  <c r="AU254" i="71"/>
  <c r="AU255" i="71" s="1"/>
  <c r="AU78" i="71"/>
  <c r="BB56" i="71"/>
  <c r="BB49" i="71"/>
  <c r="CN254" i="71"/>
  <c r="CN255" i="71" s="1"/>
  <c r="CN78" i="71"/>
  <c r="DL254" i="71"/>
  <c r="DL255" i="71" s="1"/>
  <c r="DL78" i="71"/>
  <c r="S254" i="71"/>
  <c r="S255" i="71" s="1"/>
  <c r="S78" i="71"/>
  <c r="R49" i="71"/>
  <c r="R56" i="71"/>
  <c r="CR56" i="71"/>
  <c r="AJ53" i="69" s="1"/>
  <c r="CR49" i="71"/>
  <c r="AT254" i="71"/>
  <c r="AT255" i="71" s="1"/>
  <c r="AT78" i="71"/>
  <c r="J254" i="71"/>
  <c r="J255" i="71" s="1"/>
  <c r="J78" i="71"/>
  <c r="CJ254" i="71"/>
  <c r="CJ255" i="71" s="1"/>
  <c r="CJ78" i="71"/>
  <c r="CF56" i="71"/>
  <c r="AF53" i="69" s="1"/>
  <c r="CF49" i="71"/>
  <c r="BU254" i="71"/>
  <c r="BU255" i="71" s="1"/>
  <c r="BU78" i="71"/>
  <c r="CG254" i="71"/>
  <c r="CG255" i="71" s="1"/>
  <c r="CG78" i="71"/>
  <c r="DI56" i="71"/>
  <c r="DI49" i="71"/>
  <c r="BD254" i="71"/>
  <c r="BD255" i="71" s="1"/>
  <c r="BD78" i="71"/>
  <c r="CV254" i="71"/>
  <c r="CV255" i="71" s="1"/>
  <c r="CV78" i="71"/>
  <c r="AU156" i="69"/>
  <c r="DY160" i="71"/>
  <c r="EA160" i="71"/>
  <c r="EA9" i="71" s="1"/>
  <c r="DZ160" i="71"/>
  <c r="DZ9" i="71" s="1"/>
  <c r="W254" i="71"/>
  <c r="W255" i="71" s="1"/>
  <c r="W78" i="71"/>
  <c r="AD56" i="71"/>
  <c r="AD49" i="71"/>
  <c r="G254" i="71"/>
  <c r="G255" i="71" s="1"/>
  <c r="G78" i="71"/>
  <c r="CA254" i="71"/>
  <c r="CA255" i="71" s="1"/>
  <c r="CA78" i="71"/>
  <c r="DS56" i="71"/>
  <c r="DS49" i="71"/>
  <c r="BT56" i="71"/>
  <c r="AB53" i="69" s="1"/>
  <c r="BT49" i="71"/>
  <c r="CH254" i="71"/>
  <c r="CH255" i="71" s="1"/>
  <c r="CH78" i="71"/>
  <c r="CO56" i="71"/>
  <c r="AI53" i="69" s="1"/>
  <c r="CO49" i="71"/>
  <c r="DD56" i="71"/>
  <c r="AN53" i="69" s="1"/>
  <c r="DD49" i="71"/>
  <c r="BS56" i="71"/>
  <c r="BS49" i="71"/>
  <c r="BZ56" i="71"/>
  <c r="BZ49" i="71"/>
  <c r="BK56" i="71"/>
  <c r="BK49" i="71"/>
  <c r="BY56" i="71"/>
  <c r="BY49" i="71"/>
  <c r="DH254" i="71"/>
  <c r="DH255" i="71" s="1"/>
  <c r="DH78" i="71"/>
  <c r="BJ254" i="71"/>
  <c r="BJ255" i="71" s="1"/>
  <c r="BJ78" i="71"/>
  <c r="CL56" i="71"/>
  <c r="CL49" i="71"/>
  <c r="DU56" i="71"/>
  <c r="DU49" i="71"/>
  <c r="CK56" i="71"/>
  <c r="CK49" i="71"/>
  <c r="AF254" i="71"/>
  <c r="AF255" i="71" s="1"/>
  <c r="AF78" i="71"/>
  <c r="AE254" i="71"/>
  <c r="AE255" i="71" s="1"/>
  <c r="AE78" i="71"/>
  <c r="BO254" i="71"/>
  <c r="BO255" i="71" s="1"/>
  <c r="BO78" i="71"/>
  <c r="T254" i="71"/>
  <c r="T255" i="71" s="1"/>
  <c r="T78" i="71"/>
  <c r="DC254" i="71"/>
  <c r="DC255" i="71" s="1"/>
  <c r="DC78" i="71"/>
  <c r="AW254" i="71"/>
  <c r="AW255" i="71" s="1"/>
  <c r="AW78" i="71"/>
  <c r="AN254" i="71"/>
  <c r="AN255" i="71" s="1"/>
  <c r="AN78" i="71"/>
  <c r="P254" i="71"/>
  <c r="P255" i="71" s="1"/>
  <c r="P78" i="71"/>
  <c r="CW56" i="71"/>
  <c r="CW49" i="71"/>
  <c r="BG254" i="71"/>
  <c r="BG255" i="71" s="1"/>
  <c r="BG78" i="71"/>
  <c r="BF254" i="71"/>
  <c r="BF255" i="71" s="1"/>
  <c r="BF78" i="71"/>
  <c r="AC49" i="71"/>
  <c r="AC56" i="71"/>
  <c r="U49" i="71"/>
  <c r="U56" i="71"/>
  <c r="K53" i="69" s="1"/>
  <c r="AY56" i="71"/>
  <c r="AY49" i="71"/>
  <c r="DQ254" i="71"/>
  <c r="DQ255" i="71" s="1"/>
  <c r="DQ78" i="71"/>
  <c r="DB254" i="71"/>
  <c r="DB255" i="71" s="1"/>
  <c r="DB78" i="71"/>
  <c r="BR254" i="71"/>
  <c r="BR255" i="71" s="1"/>
  <c r="BR78" i="71"/>
  <c r="BC254" i="71"/>
  <c r="BC255" i="71" s="1"/>
  <c r="BC78" i="71"/>
  <c r="CM254" i="71"/>
  <c r="CM255" i="71" s="1"/>
  <c r="CM78" i="71"/>
  <c r="Z254" i="71"/>
  <c r="Z255" i="71" s="1"/>
  <c r="Z78" i="71"/>
  <c r="DN254" i="71"/>
  <c r="DN255" i="71" s="1"/>
  <c r="DN78" i="71"/>
  <c r="BI254" i="71"/>
  <c r="BI255" i="71" s="1"/>
  <c r="BI78" i="71"/>
  <c r="DT254" i="71"/>
  <c r="DT255" i="71" s="1"/>
  <c r="DT78" i="71"/>
  <c r="CE254" i="71"/>
  <c r="CE255" i="71" s="1"/>
  <c r="CE78" i="71"/>
  <c r="CD254" i="71"/>
  <c r="CD255" i="71" s="1"/>
  <c r="CD78" i="71"/>
  <c r="Y254" i="71"/>
  <c r="Y255" i="71" s="1"/>
  <c r="Y78" i="71"/>
  <c r="DF254" i="71"/>
  <c r="DF255" i="71" s="1"/>
  <c r="DF78" i="71"/>
  <c r="DM56" i="71"/>
  <c r="AQ53" i="69" s="1"/>
  <c r="DM49" i="71"/>
  <c r="BH56" i="71"/>
  <c r="X53" i="69" s="1"/>
  <c r="BH49" i="71"/>
  <c r="BW56" i="71"/>
  <c r="BW49" i="71"/>
  <c r="BV254" i="71"/>
  <c r="BV255" i="71" s="1"/>
  <c r="BV78" i="71"/>
  <c r="CC56" i="71"/>
  <c r="AE53" i="69" s="1"/>
  <c r="CC49" i="71"/>
  <c r="X56" i="71"/>
  <c r="L53" i="69" s="1"/>
  <c r="X49" i="71"/>
  <c r="DE254" i="71"/>
  <c r="DE255" i="71" s="1"/>
  <c r="DE78" i="71"/>
  <c r="I56" i="71"/>
  <c r="G53" i="69" s="1"/>
  <c r="I49" i="71"/>
  <c r="I114" i="71"/>
  <c r="H254" i="71"/>
  <c r="H255" i="71" s="1"/>
  <c r="H78" i="71"/>
  <c r="N254" i="71"/>
  <c r="N255" i="71" s="1"/>
  <c r="N78" i="71"/>
  <c r="L49" i="71"/>
  <c r="L56" i="71"/>
  <c r="H53" i="69" s="1"/>
  <c r="L114" i="71"/>
  <c r="CP254" i="71"/>
  <c r="CP255" i="71" s="1"/>
  <c r="CP78" i="71"/>
  <c r="AZ254" i="71"/>
  <c r="AZ255" i="71" s="1"/>
  <c r="AZ78" i="71"/>
  <c r="O254" i="71"/>
  <c r="O255" i="71" s="1"/>
  <c r="O78" i="71"/>
  <c r="V254" i="71"/>
  <c r="V255" i="71" s="1"/>
  <c r="V78" i="71"/>
  <c r="BX254" i="71"/>
  <c r="BX255" i="71" s="1"/>
  <c r="BX78" i="71"/>
  <c r="DJ56" i="71"/>
  <c r="DJ49" i="71"/>
  <c r="DW78" i="71"/>
  <c r="M254" i="71"/>
  <c r="M255" i="71" s="1"/>
  <c r="M78" i="71"/>
  <c r="E56" i="71"/>
  <c r="E49" i="71"/>
  <c r="DU10" i="71"/>
  <c r="DM10" i="71"/>
  <c r="DE10" i="71"/>
  <c r="CW10" i="71"/>
  <c r="CO10" i="71"/>
  <c r="CG10" i="71"/>
  <c r="BY10" i="71"/>
  <c r="BQ10" i="71"/>
  <c r="BI10" i="71"/>
  <c r="BA10" i="71"/>
  <c r="AS10" i="71"/>
  <c r="AK10" i="71"/>
  <c r="AC10" i="71"/>
  <c r="U10" i="71"/>
  <c r="M10" i="71"/>
  <c r="DT10" i="71"/>
  <c r="DL10" i="71"/>
  <c r="DD10" i="71"/>
  <c r="CV10" i="71"/>
  <c r="CN10" i="71"/>
  <c r="CF10" i="71"/>
  <c r="BX10" i="71"/>
  <c r="BP10" i="71"/>
  <c r="BH10" i="71"/>
  <c r="AZ10" i="71"/>
  <c r="AR10" i="71"/>
  <c r="AJ10" i="71"/>
  <c r="AB10" i="71"/>
  <c r="T10" i="71"/>
  <c r="L10" i="71"/>
  <c r="DS10" i="71"/>
  <c r="DK10" i="71"/>
  <c r="DC10" i="71"/>
  <c r="CU10" i="71"/>
  <c r="CM10" i="71"/>
  <c r="CE10" i="71"/>
  <c r="BW10" i="71"/>
  <c r="BO10" i="71"/>
  <c r="BG10" i="71"/>
  <c r="AY10" i="71"/>
  <c r="AQ10" i="71"/>
  <c r="AI10" i="71"/>
  <c r="AA10" i="71"/>
  <c r="S10" i="71"/>
  <c r="K10" i="71"/>
  <c r="DR10" i="71"/>
  <c r="DJ10" i="71"/>
  <c r="DB10" i="71"/>
  <c r="CT10" i="71"/>
  <c r="CL10" i="71"/>
  <c r="CD10" i="71"/>
  <c r="BV10" i="71"/>
  <c r="BN10" i="71"/>
  <c r="BF10" i="71"/>
  <c r="AX10" i="71"/>
  <c r="AP10" i="71"/>
  <c r="AH10" i="71"/>
  <c r="Z10" i="71"/>
  <c r="R10" i="71"/>
  <c r="J10" i="71"/>
  <c r="DY10" i="71"/>
  <c r="DQ10" i="71"/>
  <c r="DI10" i="71"/>
  <c r="DA10" i="71"/>
  <c r="CS10" i="71"/>
  <c r="CK10" i="71"/>
  <c r="CC10" i="71"/>
  <c r="BU10" i="71"/>
  <c r="BM10" i="71"/>
  <c r="BE10" i="71"/>
  <c r="AW10" i="71"/>
  <c r="AO10" i="71"/>
  <c r="AG10" i="71"/>
  <c r="Y10" i="71"/>
  <c r="Q10" i="71"/>
  <c r="I10" i="71"/>
  <c r="DX10" i="71"/>
  <c r="DP10" i="71"/>
  <c r="DH10" i="71"/>
  <c r="CZ10" i="71"/>
  <c r="CR10" i="71"/>
  <c r="CJ10" i="71"/>
  <c r="CB10" i="71"/>
  <c r="BT10" i="71"/>
  <c r="BL10" i="71"/>
  <c r="BD10" i="71"/>
  <c r="AV10" i="71"/>
  <c r="AN10" i="71"/>
  <c r="AF10" i="71"/>
  <c r="X10" i="71"/>
  <c r="P10" i="71"/>
  <c r="H10" i="71"/>
  <c r="DV10" i="71"/>
  <c r="DN10" i="71"/>
  <c r="DF10" i="71"/>
  <c r="CX10" i="71"/>
  <c r="CP10" i="71"/>
  <c r="CH10" i="71"/>
  <c r="BZ10" i="71"/>
  <c r="BR10" i="71"/>
  <c r="BJ10" i="71"/>
  <c r="BB10" i="71"/>
  <c r="AT10" i="71"/>
  <c r="AL10" i="71"/>
  <c r="AD10" i="71"/>
  <c r="V10" i="71"/>
  <c r="N10" i="71"/>
  <c r="F10" i="71"/>
  <c r="BS10" i="71"/>
  <c r="G10" i="71"/>
  <c r="DW10" i="71"/>
  <c r="BK10" i="71"/>
  <c r="DO10" i="71"/>
  <c r="BC10" i="71"/>
  <c r="DG10" i="71"/>
  <c r="AU10" i="71"/>
  <c r="CY10" i="71"/>
  <c r="AM10" i="71"/>
  <c r="CQ10" i="71"/>
  <c r="AE10" i="71"/>
  <c r="CI10" i="71"/>
  <c r="W10" i="71"/>
  <c r="CA10" i="71"/>
  <c r="O10" i="71"/>
  <c r="E114" i="71"/>
  <c r="CT254" i="71"/>
  <c r="CT255" i="71" s="1"/>
  <c r="CT78" i="71"/>
  <c r="DA56" i="71"/>
  <c r="AM53" i="69" s="1"/>
  <c r="DA49" i="71"/>
  <c r="AV56" i="71"/>
  <c r="T53" i="69" s="1"/>
  <c r="AV49" i="71"/>
  <c r="BQ56" i="71"/>
  <c r="BQ49" i="71"/>
  <c r="CZ254" i="71"/>
  <c r="CZ255" i="71" s="1"/>
  <c r="CZ78" i="71"/>
  <c r="DG56" i="71"/>
  <c r="DG49" i="71"/>
  <c r="CY254" i="71"/>
  <c r="CY255" i="71" s="1"/>
  <c r="CY78" i="71"/>
  <c r="BA56" i="71"/>
  <c r="BA49" i="71"/>
  <c r="Q49" i="71"/>
  <c r="Q56" i="71"/>
  <c r="CQ254" i="71"/>
  <c r="CQ255" i="71" s="1"/>
  <c r="CQ78" i="71"/>
  <c r="CX56" i="71"/>
  <c r="CX49" i="71"/>
  <c r="BN56" i="71"/>
  <c r="BN49" i="71"/>
  <c r="CB254" i="71"/>
  <c r="CB255" i="71" s="1"/>
  <c r="CB78" i="71"/>
  <c r="EB157" i="71"/>
  <c r="K254" i="71"/>
  <c r="K255" i="71" s="1"/>
  <c r="K78" i="71"/>
  <c r="CI56" i="71"/>
  <c r="CI49" i="71"/>
  <c r="AO53" i="69" l="1"/>
  <c r="AG53" i="69"/>
  <c r="Y53" i="69"/>
  <c r="EB21" i="70"/>
  <c r="AC53" i="69"/>
  <c r="AA53" i="69"/>
  <c r="CX254" i="71"/>
  <c r="CX255" i="71" s="1"/>
  <c r="CX78" i="71"/>
  <c r="AL46" i="69"/>
  <c r="AL251" i="69" s="1"/>
  <c r="AL252" i="69" s="1"/>
  <c r="N44" i="68"/>
  <c r="N249" i="68" s="1"/>
  <c r="N250" i="68" s="1"/>
  <c r="CZ220" i="71"/>
  <c r="CB220" i="71"/>
  <c r="AL53" i="69"/>
  <c r="N51" i="68"/>
  <c r="E111" i="69"/>
  <c r="E109" i="68"/>
  <c r="W11" i="71"/>
  <c r="W47" i="71"/>
  <c r="W48" i="71"/>
  <c r="BC11" i="71"/>
  <c r="BC47" i="71"/>
  <c r="BC48" i="71"/>
  <c r="N11" i="71"/>
  <c r="N47" i="71"/>
  <c r="N48" i="71"/>
  <c r="BZ11" i="71"/>
  <c r="BZ47" i="71"/>
  <c r="BZ48" i="71"/>
  <c r="H11" i="71"/>
  <c r="H48" i="71"/>
  <c r="H47" i="71"/>
  <c r="BT11" i="71"/>
  <c r="BT47" i="71"/>
  <c r="BT48" i="71"/>
  <c r="BM11" i="71"/>
  <c r="BM47" i="71"/>
  <c r="BM48" i="71"/>
  <c r="DY47" i="71"/>
  <c r="DY11" i="71"/>
  <c r="DY48" i="71"/>
  <c r="BF11" i="71"/>
  <c r="BF48" i="71"/>
  <c r="BF47" i="71"/>
  <c r="DR11" i="71"/>
  <c r="DR47" i="71"/>
  <c r="DR48" i="71"/>
  <c r="BG11" i="71"/>
  <c r="BG47" i="71"/>
  <c r="BG48" i="71"/>
  <c r="DS11" i="71"/>
  <c r="DS47" i="71"/>
  <c r="DS48" i="71"/>
  <c r="BH11" i="71"/>
  <c r="BH47" i="71"/>
  <c r="BH48" i="71"/>
  <c r="DT11" i="71"/>
  <c r="DT47" i="71"/>
  <c r="DT48" i="71"/>
  <c r="BI11" i="71"/>
  <c r="BI47" i="71"/>
  <c r="BI48" i="71"/>
  <c r="DU11" i="71"/>
  <c r="DU47" i="71"/>
  <c r="DU48" i="71"/>
  <c r="AZ220" i="71"/>
  <c r="BV220" i="71"/>
  <c r="Y220" i="71"/>
  <c r="BI220" i="71"/>
  <c r="Z220" i="71"/>
  <c r="BR220" i="71"/>
  <c r="BG220" i="71"/>
  <c r="AN220" i="71"/>
  <c r="BK254" i="71"/>
  <c r="BK255" i="71" s="1"/>
  <c r="BK78" i="71"/>
  <c r="Y46" i="69"/>
  <c r="Y251" i="69" s="1"/>
  <c r="Y252" i="69" s="1"/>
  <c r="BS254" i="71"/>
  <c r="BS255" i="71" s="1"/>
  <c r="BS78" i="71"/>
  <c r="CO254" i="71"/>
  <c r="CO255" i="71" s="1"/>
  <c r="CO78" i="71"/>
  <c r="AI46" i="69"/>
  <c r="AI251" i="69" s="1"/>
  <c r="AI252" i="69" s="1"/>
  <c r="BU220" i="71"/>
  <c r="CJ220" i="71"/>
  <c r="DL220" i="71"/>
  <c r="AU220" i="71"/>
  <c r="BP220" i="71"/>
  <c r="F53" i="69"/>
  <c r="F51" i="68"/>
  <c r="DK220" i="71"/>
  <c r="CI11" i="71"/>
  <c r="CI47" i="71"/>
  <c r="CI48" i="71"/>
  <c r="DO11" i="71"/>
  <c r="DO48" i="71"/>
  <c r="DO47" i="71"/>
  <c r="V11" i="71"/>
  <c r="V47" i="71"/>
  <c r="V48" i="71"/>
  <c r="CH11" i="71"/>
  <c r="CH47" i="71"/>
  <c r="CH48" i="71"/>
  <c r="P11" i="71"/>
  <c r="P47" i="71"/>
  <c r="P48" i="71"/>
  <c r="CB11" i="71"/>
  <c r="CB48" i="71"/>
  <c r="CB47" i="71"/>
  <c r="I11" i="71"/>
  <c r="I48" i="71"/>
  <c r="I47" i="71"/>
  <c r="BU11" i="71"/>
  <c r="BU48" i="71"/>
  <c r="BU47" i="71"/>
  <c r="BN11" i="71"/>
  <c r="BN47" i="71"/>
  <c r="BN48" i="71"/>
  <c r="BO11" i="71"/>
  <c r="BO47" i="71"/>
  <c r="BO48" i="71"/>
  <c r="BP11" i="71"/>
  <c r="BP47" i="71"/>
  <c r="BP48" i="71"/>
  <c r="BQ11" i="71"/>
  <c r="BQ48" i="71"/>
  <c r="BQ47" i="71"/>
  <c r="BX220" i="71"/>
  <c r="H220" i="71"/>
  <c r="G111" i="69"/>
  <c r="X254" i="71"/>
  <c r="X255" i="71" s="1"/>
  <c r="X78" i="71"/>
  <c r="L46" i="69"/>
  <c r="L251" i="69" s="1"/>
  <c r="L252" i="69" s="1"/>
  <c r="AY254" i="71"/>
  <c r="AY255" i="71" s="1"/>
  <c r="AY78" i="71"/>
  <c r="U46" i="69"/>
  <c r="U251" i="69" s="1"/>
  <c r="U252" i="69" s="1"/>
  <c r="AE220" i="71"/>
  <c r="DY9" i="71"/>
  <c r="AU157" i="69"/>
  <c r="DP254" i="71"/>
  <c r="DP255" i="71" s="1"/>
  <c r="DP78" i="71"/>
  <c r="AR46" i="69"/>
  <c r="AR251" i="69" s="1"/>
  <c r="AR252" i="69" s="1"/>
  <c r="CY220" i="71"/>
  <c r="CI254" i="71"/>
  <c r="CI255" i="71" s="1"/>
  <c r="CI78" i="71"/>
  <c r="AG46" i="69"/>
  <c r="AG251" i="69" s="1"/>
  <c r="AG252" i="69" s="1"/>
  <c r="CQ220" i="71"/>
  <c r="BQ254" i="71"/>
  <c r="BQ255" i="71" s="1"/>
  <c r="BQ78" i="71"/>
  <c r="AA46" i="69"/>
  <c r="AA251" i="69" s="1"/>
  <c r="AA252" i="69" s="1"/>
  <c r="DA254" i="71"/>
  <c r="DA255" i="71" s="1"/>
  <c r="DA78" i="71"/>
  <c r="AM46" i="69"/>
  <c r="AM251" i="69" s="1"/>
  <c r="AM252" i="69" s="1"/>
  <c r="AE11" i="71"/>
  <c r="AE48" i="71"/>
  <c r="AE47" i="71"/>
  <c r="BK11" i="71"/>
  <c r="BK48" i="71"/>
  <c r="BK47" i="71"/>
  <c r="AD11" i="71"/>
  <c r="AD47" i="71"/>
  <c r="AD48" i="71"/>
  <c r="CP11" i="71"/>
  <c r="CP48" i="71"/>
  <c r="CP47" i="71"/>
  <c r="X11" i="71"/>
  <c r="X48" i="71"/>
  <c r="X47" i="71"/>
  <c r="CJ11" i="71"/>
  <c r="CJ48" i="71"/>
  <c r="CJ47" i="71"/>
  <c r="Q11" i="71"/>
  <c r="Q48" i="71"/>
  <c r="Q47" i="71"/>
  <c r="CC11" i="71"/>
  <c r="CC48" i="71"/>
  <c r="CC47" i="71"/>
  <c r="J11" i="71"/>
  <c r="J47" i="71"/>
  <c r="J48" i="71"/>
  <c r="BV11" i="71"/>
  <c r="BV47" i="71"/>
  <c r="BV48" i="71"/>
  <c r="K11" i="71"/>
  <c r="K47" i="71"/>
  <c r="K48" i="71"/>
  <c r="BW11" i="71"/>
  <c r="BW48" i="71"/>
  <c r="BW47" i="71"/>
  <c r="L11" i="71"/>
  <c r="L47" i="71"/>
  <c r="L48" i="71"/>
  <c r="BX11" i="71"/>
  <c r="BX47" i="71"/>
  <c r="BX48" i="71"/>
  <c r="M11" i="71"/>
  <c r="M47" i="71"/>
  <c r="M48" i="71"/>
  <c r="BY11" i="71"/>
  <c r="BY48" i="71"/>
  <c r="BY47" i="71"/>
  <c r="E254" i="71"/>
  <c r="E78" i="71"/>
  <c r="E46" i="69"/>
  <c r="E44" i="68"/>
  <c r="M220" i="71"/>
  <c r="L254" i="71"/>
  <c r="L255" i="71" s="1"/>
  <c r="L78" i="71"/>
  <c r="H46" i="69"/>
  <c r="H251" i="69" s="1"/>
  <c r="H252" i="69" s="1"/>
  <c r="CD220" i="71"/>
  <c r="DN220" i="71"/>
  <c r="CM220" i="71"/>
  <c r="U53" i="69"/>
  <c r="AC254" i="71"/>
  <c r="AC255" i="71" s="1"/>
  <c r="AC78" i="71"/>
  <c r="CK254" i="71"/>
  <c r="CK255" i="71" s="1"/>
  <c r="CK78" i="71"/>
  <c r="CL254" i="71"/>
  <c r="CL255" i="71" s="1"/>
  <c r="CL78" i="71"/>
  <c r="AH46" i="69"/>
  <c r="AH251" i="69" s="1"/>
  <c r="AH252" i="69" s="1"/>
  <c r="M44" i="68"/>
  <c r="M249" i="68" s="1"/>
  <c r="M250" i="68" s="1"/>
  <c r="DS254" i="71"/>
  <c r="DS255" i="71" s="1"/>
  <c r="DS78" i="71"/>
  <c r="AS46" i="69"/>
  <c r="AS251" i="69" s="1"/>
  <c r="AS252" i="69" s="1"/>
  <c r="DZ56" i="71"/>
  <c r="DZ49" i="71"/>
  <c r="DZ114" i="71"/>
  <c r="DI254" i="71"/>
  <c r="DI255" i="71" s="1"/>
  <c r="DI78" i="71"/>
  <c r="J220" i="71"/>
  <c r="CN220" i="71"/>
  <c r="CS220" i="71"/>
  <c r="AT111" i="69"/>
  <c r="CQ11" i="71"/>
  <c r="CQ48" i="71"/>
  <c r="CQ47" i="71"/>
  <c r="DW11" i="71"/>
  <c r="DW47" i="71"/>
  <c r="DW48" i="71"/>
  <c r="AL11" i="71"/>
  <c r="AL48" i="71"/>
  <c r="AL47" i="71"/>
  <c r="CX11" i="71"/>
  <c r="CX47" i="71"/>
  <c r="CX48" i="71"/>
  <c r="AF11" i="71"/>
  <c r="AF47" i="71"/>
  <c r="AF48" i="71"/>
  <c r="CR11" i="71"/>
  <c r="CR48" i="71"/>
  <c r="CR47" i="71"/>
  <c r="Y11" i="71"/>
  <c r="Y47" i="71"/>
  <c r="Y48" i="71"/>
  <c r="CK11" i="71"/>
  <c r="CK47" i="71"/>
  <c r="CK48" i="71"/>
  <c r="R11" i="71"/>
  <c r="R47" i="71"/>
  <c r="R48" i="71"/>
  <c r="CD11" i="71"/>
  <c r="CD48" i="71"/>
  <c r="CD47" i="71"/>
  <c r="S11" i="71"/>
  <c r="S48" i="71"/>
  <c r="S47" i="71"/>
  <c r="CE11" i="71"/>
  <c r="CE47" i="71"/>
  <c r="CE48" i="71"/>
  <c r="T11" i="71"/>
  <c r="T47" i="71"/>
  <c r="T48" i="71"/>
  <c r="CF11" i="71"/>
  <c r="CF47" i="71"/>
  <c r="CF48" i="71"/>
  <c r="U11" i="71"/>
  <c r="U47" i="71"/>
  <c r="U48" i="71"/>
  <c r="CG11" i="71"/>
  <c r="CG48" i="71"/>
  <c r="CG47" i="71"/>
  <c r="E53" i="69"/>
  <c r="E51" i="68"/>
  <c r="V220" i="71"/>
  <c r="I254" i="71"/>
  <c r="I255" i="71" s="1"/>
  <c r="I78" i="71"/>
  <c r="G46" i="69"/>
  <c r="G251" i="69" s="1"/>
  <c r="G252" i="69" s="1"/>
  <c r="BW254" i="71"/>
  <c r="BW255" i="71" s="1"/>
  <c r="BW78" i="71"/>
  <c r="AC46" i="69"/>
  <c r="AC251" i="69" s="1"/>
  <c r="AC252" i="69" s="1"/>
  <c r="DM254" i="71"/>
  <c r="DM255" i="71" s="1"/>
  <c r="DM78" i="71"/>
  <c r="AQ46" i="69"/>
  <c r="AQ251" i="69" s="1"/>
  <c r="AQ252" i="69" s="1"/>
  <c r="DB220" i="71"/>
  <c r="CW254" i="71"/>
  <c r="CW255" i="71" s="1"/>
  <c r="CW78" i="71"/>
  <c r="AW220" i="71"/>
  <c r="AH53" i="69"/>
  <c r="M51" i="68"/>
  <c r="CH220" i="71"/>
  <c r="AS53" i="69"/>
  <c r="AD254" i="71"/>
  <c r="AD255" i="71" s="1"/>
  <c r="AD78" i="71"/>
  <c r="N46" i="69"/>
  <c r="N251" i="69" s="1"/>
  <c r="N252" i="69" s="1"/>
  <c r="EA56" i="71"/>
  <c r="EA49" i="71"/>
  <c r="EA114" i="71"/>
  <c r="CF254" i="71"/>
  <c r="CF255" i="71" s="1"/>
  <c r="CF78" i="71"/>
  <c r="AF46" i="69"/>
  <c r="AF251" i="69" s="1"/>
  <c r="AF252" i="69" s="1"/>
  <c r="J53" i="69"/>
  <c r="BE254" i="71"/>
  <c r="BE255" i="71" s="1"/>
  <c r="BE78" i="71"/>
  <c r="W46" i="69"/>
  <c r="W251" i="69" s="1"/>
  <c r="W252" i="69" s="1"/>
  <c r="BM254" i="71"/>
  <c r="BM255" i="71" s="1"/>
  <c r="BM78" i="71"/>
  <c r="AM11" i="71"/>
  <c r="AM47" i="71"/>
  <c r="AM48" i="71"/>
  <c r="G11" i="71"/>
  <c r="G48" i="71"/>
  <c r="G47" i="71"/>
  <c r="AT11" i="71"/>
  <c r="AT47" i="71"/>
  <c r="AT48" i="71"/>
  <c r="DF11" i="71"/>
  <c r="DF47" i="71"/>
  <c r="DF48" i="71"/>
  <c r="AN11" i="71"/>
  <c r="AN47" i="71"/>
  <c r="AN48" i="71"/>
  <c r="CZ11" i="71"/>
  <c r="CZ48" i="71"/>
  <c r="CZ47" i="71"/>
  <c r="AG11" i="71"/>
  <c r="AG48" i="71"/>
  <c r="AG47" i="71"/>
  <c r="CS11" i="71"/>
  <c r="CS48" i="71"/>
  <c r="CS47" i="71"/>
  <c r="Z11" i="71"/>
  <c r="Z48" i="71"/>
  <c r="Z47" i="71"/>
  <c r="CL11" i="71"/>
  <c r="CL48" i="71"/>
  <c r="CL47" i="71"/>
  <c r="AA11" i="71"/>
  <c r="AA48" i="71"/>
  <c r="AA47" i="71"/>
  <c r="CM11" i="71"/>
  <c r="CM47" i="71"/>
  <c r="CM48" i="71"/>
  <c r="AB11" i="71"/>
  <c r="AB48" i="71"/>
  <c r="AB47" i="71"/>
  <c r="CN11" i="71"/>
  <c r="CN48" i="71"/>
  <c r="CN47" i="71"/>
  <c r="AC11" i="71"/>
  <c r="AC47" i="71"/>
  <c r="AC48" i="71"/>
  <c r="CO11" i="71"/>
  <c r="CO47" i="71"/>
  <c r="CO48" i="71"/>
  <c r="CP220" i="71"/>
  <c r="N220" i="71"/>
  <c r="CE220" i="71"/>
  <c r="BC220" i="71"/>
  <c r="BY254" i="71"/>
  <c r="BY255" i="71" s="1"/>
  <c r="BY78" i="71"/>
  <c r="BZ254" i="71"/>
  <c r="BZ255" i="71" s="1"/>
  <c r="BZ78" i="71"/>
  <c r="AD46" i="69"/>
  <c r="AD251" i="69" s="1"/>
  <c r="AD252" i="69" s="1"/>
  <c r="L44" i="68"/>
  <c r="L249" i="68" s="1"/>
  <c r="L250" i="68" s="1"/>
  <c r="DD254" i="71"/>
  <c r="DD255" i="71" s="1"/>
  <c r="DD78" i="71"/>
  <c r="AN46" i="69"/>
  <c r="AN251" i="69" s="1"/>
  <c r="AN252" i="69" s="1"/>
  <c r="N53" i="69"/>
  <c r="AT220" i="71"/>
  <c r="R254" i="71"/>
  <c r="R255" i="71" s="1"/>
  <c r="R78" i="71"/>
  <c r="J46" i="69"/>
  <c r="J251" i="69" s="1"/>
  <c r="J252" i="69" s="1"/>
  <c r="DV78" i="71"/>
  <c r="AT46" i="69"/>
  <c r="AT251" i="69" s="1"/>
  <c r="AT252" i="69" s="1"/>
  <c r="AT262" i="69" s="1"/>
  <c r="AT278" i="69" s="1"/>
  <c r="AT280" i="69" s="1"/>
  <c r="AQ220" i="71"/>
  <c r="K220" i="71"/>
  <c r="CT220" i="71"/>
  <c r="CY11" i="71"/>
  <c r="CY48" i="71"/>
  <c r="CY47" i="71"/>
  <c r="BS11" i="71"/>
  <c r="BS48" i="71"/>
  <c r="BS47" i="71"/>
  <c r="BB11" i="71"/>
  <c r="BB48" i="71"/>
  <c r="BB47" i="71"/>
  <c r="DN11" i="71"/>
  <c r="DN47" i="71"/>
  <c r="DN48" i="71"/>
  <c r="AV11" i="71"/>
  <c r="AV48" i="71"/>
  <c r="AV47" i="71"/>
  <c r="DH11" i="71"/>
  <c r="DH47" i="71"/>
  <c r="DH48" i="71"/>
  <c r="AO11" i="71"/>
  <c r="AO47" i="71"/>
  <c r="AO48" i="71"/>
  <c r="DA11" i="71"/>
  <c r="DA48" i="71"/>
  <c r="DA47" i="71"/>
  <c r="AH11" i="71"/>
  <c r="AH48" i="71"/>
  <c r="AH47" i="71"/>
  <c r="CT11" i="71"/>
  <c r="CT47" i="71"/>
  <c r="CT48" i="71"/>
  <c r="AI11" i="71"/>
  <c r="AI47" i="71"/>
  <c r="AI48" i="71"/>
  <c r="CU11" i="71"/>
  <c r="CU47" i="71"/>
  <c r="CU48" i="71"/>
  <c r="AJ11" i="71"/>
  <c r="AJ47" i="71"/>
  <c r="AJ48" i="71"/>
  <c r="CV11" i="71"/>
  <c r="CV48" i="71"/>
  <c r="CV47" i="71"/>
  <c r="AK11" i="71"/>
  <c r="AK48" i="71"/>
  <c r="AK47" i="71"/>
  <c r="CW11" i="71"/>
  <c r="CW47" i="71"/>
  <c r="CW48" i="71"/>
  <c r="CC254" i="71"/>
  <c r="CC255" i="71" s="1"/>
  <c r="CC78" i="71"/>
  <c r="AE46" i="69"/>
  <c r="AE251" i="69" s="1"/>
  <c r="AE252" i="69" s="1"/>
  <c r="DC220" i="71"/>
  <c r="T220" i="71"/>
  <c r="BJ220" i="71"/>
  <c r="AD53" i="69"/>
  <c r="L51" i="68"/>
  <c r="CA220" i="71"/>
  <c r="CV220" i="71"/>
  <c r="CG220" i="71"/>
  <c r="BB254" i="71"/>
  <c r="BB255" i="71" s="1"/>
  <c r="BB78" i="71"/>
  <c r="V46" i="69"/>
  <c r="V251" i="69" s="1"/>
  <c r="V252" i="69" s="1"/>
  <c r="J44" i="68"/>
  <c r="J249" i="68" s="1"/>
  <c r="J250" i="68" s="1"/>
  <c r="AA254" i="71"/>
  <c r="AA255" i="71" s="1"/>
  <c r="AA78" i="71"/>
  <c r="AT53" i="69"/>
  <c r="F111" i="69"/>
  <c r="EB158" i="71"/>
  <c r="AV154" i="69"/>
  <c r="Q254" i="71"/>
  <c r="Q255" i="71" s="1"/>
  <c r="Q78" i="71"/>
  <c r="I75" i="69" s="1"/>
  <c r="BA254" i="71"/>
  <c r="BA255" i="71" s="1"/>
  <c r="BA78" i="71"/>
  <c r="AV254" i="71"/>
  <c r="AV255" i="71" s="1"/>
  <c r="AV78" i="71"/>
  <c r="T46" i="69"/>
  <c r="T251" i="69" s="1"/>
  <c r="T252" i="69" s="1"/>
  <c r="O11" i="71"/>
  <c r="O48" i="71"/>
  <c r="O47" i="71"/>
  <c r="AU11" i="71"/>
  <c r="AU47" i="71"/>
  <c r="AU48" i="71"/>
  <c r="BJ11" i="71"/>
  <c r="BJ48" i="71"/>
  <c r="BJ47" i="71"/>
  <c r="DV11" i="71"/>
  <c r="DV48" i="71"/>
  <c r="DV47" i="71"/>
  <c r="BD11" i="71"/>
  <c r="BD48" i="71"/>
  <c r="BD47" i="71"/>
  <c r="DP11" i="71"/>
  <c r="DP48" i="71"/>
  <c r="DP47" i="71"/>
  <c r="AW11" i="71"/>
  <c r="AW48" i="71"/>
  <c r="AW47" i="71"/>
  <c r="DI11" i="71"/>
  <c r="DI48" i="71"/>
  <c r="DI47" i="71"/>
  <c r="AP11" i="71"/>
  <c r="AP47" i="71"/>
  <c r="AP48" i="71"/>
  <c r="DB11" i="71"/>
  <c r="DB47" i="71"/>
  <c r="DB48" i="71"/>
  <c r="AQ11" i="71"/>
  <c r="AQ47" i="71"/>
  <c r="AQ48" i="71"/>
  <c r="DC11" i="71"/>
  <c r="DC47" i="71"/>
  <c r="DC48" i="71"/>
  <c r="AR11" i="71"/>
  <c r="AR47" i="71"/>
  <c r="AR48" i="71"/>
  <c r="DD11" i="71"/>
  <c r="DD48" i="71"/>
  <c r="DD47" i="71"/>
  <c r="AS11" i="71"/>
  <c r="AS47" i="71"/>
  <c r="AS48" i="71"/>
  <c r="DE11" i="71"/>
  <c r="DE47" i="71"/>
  <c r="DE48" i="71"/>
  <c r="DJ254" i="71"/>
  <c r="DJ255" i="71" s="1"/>
  <c r="DJ78" i="71"/>
  <c r="AP46" i="69"/>
  <c r="AP251" i="69" s="1"/>
  <c r="AP252" i="69" s="1"/>
  <c r="O44" i="68"/>
  <c r="O249" i="68" s="1"/>
  <c r="O250" i="68" s="1"/>
  <c r="O220" i="71"/>
  <c r="DE220" i="71"/>
  <c r="DF220" i="71"/>
  <c r="DT220" i="71"/>
  <c r="DQ220" i="71"/>
  <c r="U254" i="71"/>
  <c r="U255" i="71" s="1"/>
  <c r="U78" i="71"/>
  <c r="K46" i="69"/>
  <c r="K251" i="69" s="1"/>
  <c r="K252" i="69" s="1"/>
  <c r="BF220" i="71"/>
  <c r="P220" i="71"/>
  <c r="DU254" i="71"/>
  <c r="DU255" i="71" s="1"/>
  <c r="DU78" i="71"/>
  <c r="BT254" i="71"/>
  <c r="BT255" i="71" s="1"/>
  <c r="BT78" i="71"/>
  <c r="AB46" i="69"/>
  <c r="AB251" i="69" s="1"/>
  <c r="AB252" i="69" s="1"/>
  <c r="W220" i="71"/>
  <c r="S220" i="71"/>
  <c r="V53" i="69"/>
  <c r="J51" i="68"/>
  <c r="CU254" i="71"/>
  <c r="CU255" i="71" s="1"/>
  <c r="CU78" i="71"/>
  <c r="AK46" i="69"/>
  <c r="AK251" i="69" s="1"/>
  <c r="AK252" i="69" s="1"/>
  <c r="AX220" i="71"/>
  <c r="DR220" i="71"/>
  <c r="BL220" i="71"/>
  <c r="BN254" i="71"/>
  <c r="BN255" i="71" s="1"/>
  <c r="BN78" i="71"/>
  <c r="Z46" i="69"/>
  <c r="Z251" i="69" s="1"/>
  <c r="Z252" i="69" s="1"/>
  <c r="K44" i="68"/>
  <c r="K249" i="68" s="1"/>
  <c r="K250" i="68" s="1"/>
  <c r="Z53" i="69"/>
  <c r="K51" i="68"/>
  <c r="DG254" i="71"/>
  <c r="DG255" i="71" s="1"/>
  <c r="DG78" i="71"/>
  <c r="AO46" i="69"/>
  <c r="AO251" i="69" s="1"/>
  <c r="AO252" i="69" s="1"/>
  <c r="EC157" i="71"/>
  <c r="EC158" i="71" s="1"/>
  <c r="EC159" i="71" s="1"/>
  <c r="CA11" i="71"/>
  <c r="CA47" i="71"/>
  <c r="CA48" i="71"/>
  <c r="DG11" i="71"/>
  <c r="DG48" i="71"/>
  <c r="DG47" i="71"/>
  <c r="F11" i="71"/>
  <c r="F48" i="71"/>
  <c r="F47" i="71"/>
  <c r="BR11" i="71"/>
  <c r="BR47" i="71"/>
  <c r="BR48" i="71"/>
  <c r="BL11" i="71"/>
  <c r="BL48" i="71"/>
  <c r="BL47" i="71"/>
  <c r="DX47" i="71"/>
  <c r="DX11" i="71"/>
  <c r="DX48" i="71"/>
  <c r="BE11" i="71"/>
  <c r="BE48" i="71"/>
  <c r="BE47" i="71"/>
  <c r="DQ11" i="71"/>
  <c r="DQ47" i="71"/>
  <c r="DQ48" i="71"/>
  <c r="AX11" i="71"/>
  <c r="AX48" i="71"/>
  <c r="AX47" i="71"/>
  <c r="DJ11" i="71"/>
  <c r="DJ47" i="71"/>
  <c r="DJ48" i="71"/>
  <c r="AY11" i="71"/>
  <c r="AY47" i="71"/>
  <c r="AY48" i="71"/>
  <c r="DK11" i="71"/>
  <c r="DK47" i="71"/>
  <c r="DK48" i="71"/>
  <c r="AZ11" i="71"/>
  <c r="AZ48" i="71"/>
  <c r="AZ47" i="71"/>
  <c r="DL11" i="71"/>
  <c r="DL47" i="71"/>
  <c r="DL48" i="71"/>
  <c r="BA11" i="71"/>
  <c r="BA47" i="71"/>
  <c r="BA48" i="71"/>
  <c r="DM11" i="71"/>
  <c r="DM47" i="71"/>
  <c r="DM48" i="71"/>
  <c r="AP53" i="69"/>
  <c r="O51" i="68"/>
  <c r="H111" i="69"/>
  <c r="BH254" i="71"/>
  <c r="BH255" i="71" s="1"/>
  <c r="BH78" i="71"/>
  <c r="X46" i="69"/>
  <c r="X251" i="69" s="1"/>
  <c r="X252" i="69" s="1"/>
  <c r="BO220" i="71"/>
  <c r="AF220" i="71"/>
  <c r="DH220" i="71"/>
  <c r="G220" i="71"/>
  <c r="BD220" i="71"/>
  <c r="CR254" i="71"/>
  <c r="CR255" i="71" s="1"/>
  <c r="CR78" i="71"/>
  <c r="AJ46" i="69"/>
  <c r="AJ251" i="69" s="1"/>
  <c r="AJ252" i="69" s="1"/>
  <c r="DO220" i="71"/>
  <c r="AK53" i="69"/>
  <c r="F254" i="71"/>
  <c r="F255" i="71" s="1"/>
  <c r="F78" i="71"/>
  <c r="F46" i="69"/>
  <c r="F251" i="69" s="1"/>
  <c r="F252" i="69" s="1"/>
  <c r="F44" i="68"/>
  <c r="F249" i="68" s="1"/>
  <c r="F250" i="68" s="1"/>
  <c r="I45" i="69" l="1"/>
  <c r="EC21" i="70"/>
  <c r="AQ45" i="69"/>
  <c r="W45" i="69"/>
  <c r="I44" i="69"/>
  <c r="AI44" i="69"/>
  <c r="EA78" i="71"/>
  <c r="K44" i="69"/>
  <c r="W44" i="69"/>
  <c r="K45" i="69"/>
  <c r="H44" i="69"/>
  <c r="AQ44" i="69"/>
  <c r="P44" i="69"/>
  <c r="S44" i="69"/>
  <c r="AS44" i="69"/>
  <c r="S45" i="69"/>
  <c r="AN45" i="69"/>
  <c r="AF45" i="69"/>
  <c r="AO44" i="69"/>
  <c r="AM44" i="69"/>
  <c r="AO45" i="69"/>
  <c r="P45" i="69"/>
  <c r="AM45" i="69"/>
  <c r="AI45" i="69"/>
  <c r="DG119" i="71"/>
  <c r="DG117" i="71"/>
  <c r="DG118" i="71"/>
  <c r="DG130" i="71"/>
  <c r="AQ119" i="71"/>
  <c r="AQ118" i="71"/>
  <c r="AQ117" i="71"/>
  <c r="AQ130" i="71"/>
  <c r="BJ119" i="71"/>
  <c r="BJ118" i="71"/>
  <c r="BJ117" i="71"/>
  <c r="BJ130" i="71"/>
  <c r="AI119" i="71"/>
  <c r="AI118" i="71"/>
  <c r="AI117" i="71"/>
  <c r="AI130" i="71"/>
  <c r="T44" i="69"/>
  <c r="BB119" i="71"/>
  <c r="BB117" i="71"/>
  <c r="BB118" i="71"/>
  <c r="BB130" i="71"/>
  <c r="BZ220" i="71"/>
  <c r="AD75" i="69"/>
  <c r="L73" i="68"/>
  <c r="AB119" i="71"/>
  <c r="AB118" i="71"/>
  <c r="AB117" i="71"/>
  <c r="AB130" i="71"/>
  <c r="AH45" i="69"/>
  <c r="M43" i="68"/>
  <c r="O44" i="69"/>
  <c r="AN119" i="71"/>
  <c r="AN118" i="71"/>
  <c r="AN117" i="71"/>
  <c r="AN130" i="71"/>
  <c r="BW220" i="71"/>
  <c r="AC75" i="69"/>
  <c r="AF44" i="69"/>
  <c r="R119" i="71"/>
  <c r="R117" i="71"/>
  <c r="R118" i="71"/>
  <c r="R130" i="71"/>
  <c r="AJ45" i="69"/>
  <c r="CQ119" i="71"/>
  <c r="CQ118" i="71"/>
  <c r="CQ117" i="71"/>
  <c r="CQ130" i="71"/>
  <c r="L220" i="71"/>
  <c r="H75" i="69"/>
  <c r="BX119" i="71"/>
  <c r="BX117" i="71"/>
  <c r="BX118" i="71"/>
  <c r="BX130" i="71"/>
  <c r="AE44" i="69"/>
  <c r="CJ119" i="71"/>
  <c r="CJ118" i="71"/>
  <c r="CJ117" i="71"/>
  <c r="CJ130" i="71"/>
  <c r="N44" i="69"/>
  <c r="H42" i="68"/>
  <c r="CI220" i="71"/>
  <c r="AG75" i="69"/>
  <c r="DY56" i="71"/>
  <c r="DY49" i="71"/>
  <c r="DY114" i="71"/>
  <c r="EB10" i="71"/>
  <c r="EA10" i="71"/>
  <c r="DZ10" i="71"/>
  <c r="G44" i="69"/>
  <c r="P119" i="71"/>
  <c r="P117" i="71"/>
  <c r="P118" i="71"/>
  <c r="P130" i="71"/>
  <c r="BK220" i="71"/>
  <c r="Y75" i="69"/>
  <c r="BH119" i="71"/>
  <c r="BH118" i="71"/>
  <c r="BH117" i="71"/>
  <c r="BH130" i="71"/>
  <c r="H119" i="71"/>
  <c r="H117" i="71"/>
  <c r="H118" i="71"/>
  <c r="H130" i="71"/>
  <c r="CR220" i="71"/>
  <c r="AJ75" i="69"/>
  <c r="DG220" i="71"/>
  <c r="AO75" i="69"/>
  <c r="DJ119" i="71"/>
  <c r="DJ117" i="71"/>
  <c r="DJ118" i="71"/>
  <c r="DJ130" i="71"/>
  <c r="EB159" i="71"/>
  <c r="AV155" i="69"/>
  <c r="BA119" i="71"/>
  <c r="BA118" i="71"/>
  <c r="BA117" i="71"/>
  <c r="BA130" i="71"/>
  <c r="BE119" i="71"/>
  <c r="BE117" i="71"/>
  <c r="BE118" i="71"/>
  <c r="BE130" i="71"/>
  <c r="BT220" i="71"/>
  <c r="AB75" i="69"/>
  <c r="U220" i="71"/>
  <c r="K75" i="69"/>
  <c r="DE119" i="71"/>
  <c r="DE117" i="71"/>
  <c r="DE118" i="71"/>
  <c r="DE130" i="71"/>
  <c r="DI119" i="71"/>
  <c r="DI117" i="71"/>
  <c r="DI118" i="71"/>
  <c r="DI130" i="71"/>
  <c r="AV220" i="71"/>
  <c r="T75" i="69"/>
  <c r="CW117" i="71"/>
  <c r="CW118" i="71"/>
  <c r="DA119" i="71"/>
  <c r="DA118" i="71"/>
  <c r="DA117" i="71"/>
  <c r="DA130" i="71"/>
  <c r="T45" i="69"/>
  <c r="R220" i="71"/>
  <c r="J75" i="69"/>
  <c r="CL119" i="71"/>
  <c r="CL118" i="71"/>
  <c r="CL117" i="71"/>
  <c r="CL130" i="71"/>
  <c r="O45" i="69"/>
  <c r="G119" i="71"/>
  <c r="G118" i="71"/>
  <c r="G117" i="71"/>
  <c r="G130" i="71"/>
  <c r="BE220" i="71"/>
  <c r="W75" i="69"/>
  <c r="CF220" i="71"/>
  <c r="AF75" i="69"/>
  <c r="CF119" i="71"/>
  <c r="CF118" i="71"/>
  <c r="CF117" i="71"/>
  <c r="CF130" i="71"/>
  <c r="CR119" i="71"/>
  <c r="CR118" i="71"/>
  <c r="CR117" i="71"/>
  <c r="CR130" i="71"/>
  <c r="DZ78" i="71"/>
  <c r="H45" i="69"/>
  <c r="K119" i="71"/>
  <c r="K117" i="71"/>
  <c r="K118" i="71"/>
  <c r="K130" i="71"/>
  <c r="AE45" i="69"/>
  <c r="L44" i="69"/>
  <c r="AD119" i="71"/>
  <c r="AD117" i="71"/>
  <c r="AD118" i="71"/>
  <c r="AD130" i="71"/>
  <c r="DA220" i="71"/>
  <c r="AM75" i="69"/>
  <c r="AA44" i="69"/>
  <c r="BO119" i="71"/>
  <c r="BO118" i="71"/>
  <c r="BO117" i="71"/>
  <c r="BO130" i="71"/>
  <c r="G45" i="69"/>
  <c r="DO119" i="71"/>
  <c r="DO118" i="71"/>
  <c r="DO117" i="71"/>
  <c r="DO130" i="71"/>
  <c r="AS45" i="69"/>
  <c r="DR119" i="71"/>
  <c r="DR117" i="71"/>
  <c r="DR118" i="71"/>
  <c r="DR130" i="71"/>
  <c r="AD45" i="69"/>
  <c r="L43" i="68"/>
  <c r="BC119" i="71"/>
  <c r="BC118" i="71"/>
  <c r="BC117" i="71"/>
  <c r="BC130" i="71"/>
  <c r="AZ119" i="71"/>
  <c r="AZ118" i="71"/>
  <c r="AZ117" i="71"/>
  <c r="AZ130" i="71"/>
  <c r="AP44" i="69"/>
  <c r="O42" i="68"/>
  <c r="BL119" i="71"/>
  <c r="BL118" i="71"/>
  <c r="BL117" i="71"/>
  <c r="BL130" i="71"/>
  <c r="ED157" i="71"/>
  <c r="ED158" i="71" s="1"/>
  <c r="ED159" i="71" s="1"/>
  <c r="DK119" i="71"/>
  <c r="DK117" i="71"/>
  <c r="DK118" i="71"/>
  <c r="DK130" i="71"/>
  <c r="BR119" i="71"/>
  <c r="BR118" i="71"/>
  <c r="BR117" i="71"/>
  <c r="BR130" i="71"/>
  <c r="AR119" i="71"/>
  <c r="AR117" i="71"/>
  <c r="AR118" i="71"/>
  <c r="AR130" i="71"/>
  <c r="BD119" i="71"/>
  <c r="BD118" i="71"/>
  <c r="BD117" i="71"/>
  <c r="BD130" i="71"/>
  <c r="AJ119" i="71"/>
  <c r="AJ117" i="71"/>
  <c r="AJ118" i="71"/>
  <c r="AJ130" i="71"/>
  <c r="AV119" i="71"/>
  <c r="AV117" i="71"/>
  <c r="AV118" i="71"/>
  <c r="AV130" i="71"/>
  <c r="BY220" i="71"/>
  <c r="AC119" i="71"/>
  <c r="AC117" i="71"/>
  <c r="AC118" i="71"/>
  <c r="AC130" i="71"/>
  <c r="AG119" i="71"/>
  <c r="AG118" i="71"/>
  <c r="AG117" i="71"/>
  <c r="AG130" i="71"/>
  <c r="Q45" i="69"/>
  <c r="S119" i="71"/>
  <c r="S118" i="71"/>
  <c r="S117" i="71"/>
  <c r="S130" i="71"/>
  <c r="AL119" i="71"/>
  <c r="AL118" i="71"/>
  <c r="AL117" i="71"/>
  <c r="AL130" i="71"/>
  <c r="CL220" i="71"/>
  <c r="AH75" i="69"/>
  <c r="M73" i="68"/>
  <c r="BY119" i="71"/>
  <c r="BY118" i="71"/>
  <c r="BY117" i="71"/>
  <c r="BY130" i="71"/>
  <c r="CC119" i="71"/>
  <c r="CC118" i="71"/>
  <c r="CC117" i="71"/>
  <c r="CC130" i="71"/>
  <c r="L45" i="69"/>
  <c r="Y44" i="69"/>
  <c r="AA45" i="69"/>
  <c r="Z45" i="69"/>
  <c r="K43" i="68"/>
  <c r="I119" i="71"/>
  <c r="I117" i="71"/>
  <c r="I118" i="71"/>
  <c r="I130" i="71"/>
  <c r="AG45" i="69"/>
  <c r="BI119" i="71"/>
  <c r="BI117" i="71"/>
  <c r="BI118" i="71"/>
  <c r="BI130" i="71"/>
  <c r="BM119" i="71"/>
  <c r="BM117" i="71"/>
  <c r="BM118" i="71"/>
  <c r="BM130" i="71"/>
  <c r="AD44" i="69"/>
  <c r="L42" i="68"/>
  <c r="DM119" i="71"/>
  <c r="DM117" i="71"/>
  <c r="DM118" i="71"/>
  <c r="DM130" i="71"/>
  <c r="DQ119" i="71"/>
  <c r="DQ118" i="71"/>
  <c r="DQ117" i="71"/>
  <c r="DQ130" i="71"/>
  <c r="U45" i="69"/>
  <c r="AX119" i="71"/>
  <c r="AX118" i="71"/>
  <c r="AX117" i="71"/>
  <c r="AX130" i="71"/>
  <c r="DX117" i="71"/>
  <c r="DX119" i="71"/>
  <c r="DX118" i="71"/>
  <c r="DX130" i="71"/>
  <c r="F44" i="69"/>
  <c r="F42" i="68"/>
  <c r="CA119" i="71"/>
  <c r="CA117" i="71"/>
  <c r="CA118" i="71"/>
  <c r="CA130" i="71"/>
  <c r="DB119" i="71"/>
  <c r="DB117" i="71"/>
  <c r="DB118" i="71"/>
  <c r="DB130" i="71"/>
  <c r="AT44" i="69"/>
  <c r="AU119" i="71"/>
  <c r="AU118" i="71"/>
  <c r="AU117" i="71"/>
  <c r="AU130" i="71"/>
  <c r="BA220" i="71"/>
  <c r="AA220" i="71"/>
  <c r="CC220" i="71"/>
  <c r="AE75" i="69"/>
  <c r="AK45" i="69"/>
  <c r="CT119" i="71"/>
  <c r="CT117" i="71"/>
  <c r="CT118" i="71"/>
  <c r="CT130" i="71"/>
  <c r="BS119" i="71"/>
  <c r="BS118" i="71"/>
  <c r="BS117" i="71"/>
  <c r="BS130" i="71"/>
  <c r="CM119" i="71"/>
  <c r="CM118" i="71"/>
  <c r="CM117" i="71"/>
  <c r="CM130" i="71"/>
  <c r="DF119" i="71"/>
  <c r="DF118" i="71"/>
  <c r="DF117" i="71"/>
  <c r="DF130" i="71"/>
  <c r="Q44" i="69"/>
  <c r="CW220" i="71"/>
  <c r="I220" i="71"/>
  <c r="G75" i="69"/>
  <c r="CG119" i="71"/>
  <c r="CG117" i="71"/>
  <c r="CG118" i="71"/>
  <c r="CG130" i="71"/>
  <c r="CK119" i="71"/>
  <c r="CK118" i="71"/>
  <c r="CK117" i="71"/>
  <c r="CK130" i="71"/>
  <c r="E249" i="68"/>
  <c r="L119" i="71"/>
  <c r="L117" i="71"/>
  <c r="L118" i="71"/>
  <c r="L130" i="71"/>
  <c r="X119" i="71"/>
  <c r="X117" i="71"/>
  <c r="X118" i="71"/>
  <c r="X130" i="71"/>
  <c r="Y45" i="69"/>
  <c r="BQ119" i="71"/>
  <c r="BQ117" i="71"/>
  <c r="BQ118" i="71"/>
  <c r="BQ130" i="71"/>
  <c r="Z44" i="69"/>
  <c r="K42" i="68"/>
  <c r="CH119" i="71"/>
  <c r="CH117" i="71"/>
  <c r="CH118" i="71"/>
  <c r="CH130" i="71"/>
  <c r="AG44" i="69"/>
  <c r="CO220" i="71"/>
  <c r="AI75" i="69"/>
  <c r="DS119" i="71"/>
  <c r="DS117" i="71"/>
  <c r="DS118" i="71"/>
  <c r="DS130" i="71"/>
  <c r="AB45" i="69"/>
  <c r="BZ119" i="71"/>
  <c r="BZ117" i="71"/>
  <c r="BZ118" i="71"/>
  <c r="BZ130" i="71"/>
  <c r="BH220" i="71"/>
  <c r="X75" i="69"/>
  <c r="DL119" i="71"/>
  <c r="DL117" i="71"/>
  <c r="DL118" i="71"/>
  <c r="DL130" i="71"/>
  <c r="U44" i="69"/>
  <c r="F45" i="69"/>
  <c r="F43" i="68"/>
  <c r="CU220" i="71"/>
  <c r="AK75" i="69"/>
  <c r="DU220" i="71"/>
  <c r="AS119" i="71"/>
  <c r="AS117" i="71"/>
  <c r="AS118" i="71"/>
  <c r="AS130" i="71"/>
  <c r="R45" i="69"/>
  <c r="I43" i="68"/>
  <c r="AW119" i="71"/>
  <c r="AW117" i="71"/>
  <c r="AW118" i="71"/>
  <c r="AW130" i="71"/>
  <c r="AT45" i="69"/>
  <c r="AK119" i="71"/>
  <c r="AK118" i="71"/>
  <c r="AK117" i="71"/>
  <c r="AK130" i="71"/>
  <c r="AK44" i="69"/>
  <c r="AO119" i="71"/>
  <c r="AO117" i="71"/>
  <c r="AO118" i="71"/>
  <c r="AO130" i="71"/>
  <c r="DD220" i="71"/>
  <c r="AN75" i="69"/>
  <c r="M44" i="69"/>
  <c r="Z119" i="71"/>
  <c r="Z118" i="71"/>
  <c r="Z117" i="71"/>
  <c r="Z130" i="71"/>
  <c r="AM119" i="71"/>
  <c r="AM118" i="71"/>
  <c r="AM117" i="71"/>
  <c r="AM130" i="71"/>
  <c r="T119" i="71"/>
  <c r="T118" i="71"/>
  <c r="T117" i="71"/>
  <c r="T130" i="71"/>
  <c r="AF119" i="71"/>
  <c r="AF117" i="71"/>
  <c r="AF118" i="71"/>
  <c r="AF130" i="71"/>
  <c r="CK220" i="71"/>
  <c r="E251" i="69"/>
  <c r="AC44" i="69"/>
  <c r="BV119" i="71"/>
  <c r="BV118" i="71"/>
  <c r="BV117" i="71"/>
  <c r="BV130" i="71"/>
  <c r="BK119" i="71"/>
  <c r="BK118" i="71"/>
  <c r="BK117" i="71"/>
  <c r="BK130" i="71"/>
  <c r="BQ220" i="71"/>
  <c r="AA75" i="69"/>
  <c r="AY220" i="71"/>
  <c r="U75" i="69"/>
  <c r="X220" i="71"/>
  <c r="L75" i="69"/>
  <c r="BN119" i="71"/>
  <c r="BN117" i="71"/>
  <c r="BN118" i="71"/>
  <c r="BN130" i="71"/>
  <c r="CI119" i="71"/>
  <c r="CI118" i="71"/>
  <c r="CI117" i="71"/>
  <c r="CI130" i="71"/>
  <c r="BF119" i="71"/>
  <c r="BF118" i="71"/>
  <c r="BF117" i="71"/>
  <c r="BF130" i="71"/>
  <c r="AB44" i="69"/>
  <c r="W119" i="71"/>
  <c r="W118" i="71"/>
  <c r="W117" i="71"/>
  <c r="W130" i="71"/>
  <c r="AP45" i="69"/>
  <c r="O43" i="68"/>
  <c r="F220" i="71"/>
  <c r="F75" i="69"/>
  <c r="F73" i="68"/>
  <c r="AY119" i="71"/>
  <c r="AY118" i="71"/>
  <c r="AY117" i="71"/>
  <c r="AY130" i="71"/>
  <c r="F119" i="71"/>
  <c r="F118" i="71"/>
  <c r="F117" i="71"/>
  <c r="F130" i="71"/>
  <c r="BN220" i="71"/>
  <c r="Z75" i="69"/>
  <c r="K73" i="68"/>
  <c r="DJ220" i="71"/>
  <c r="AP75" i="69"/>
  <c r="O73" i="68"/>
  <c r="AN44" i="69"/>
  <c r="DC119" i="71"/>
  <c r="DC117" i="71"/>
  <c r="DC118" i="71"/>
  <c r="DC130" i="71"/>
  <c r="R44" i="69"/>
  <c r="I42" i="68"/>
  <c r="AR44" i="69"/>
  <c r="DV119" i="71"/>
  <c r="DV118" i="71"/>
  <c r="DV117" i="71"/>
  <c r="DV130" i="71"/>
  <c r="Q220" i="71"/>
  <c r="CU119" i="71"/>
  <c r="CU118" i="71"/>
  <c r="CU117" i="71"/>
  <c r="CU130" i="71"/>
  <c r="DN119" i="71"/>
  <c r="DN118" i="71"/>
  <c r="DN117" i="71"/>
  <c r="DN130" i="71"/>
  <c r="CN119" i="71"/>
  <c r="CN118" i="71"/>
  <c r="CN117" i="71"/>
  <c r="CN130" i="71"/>
  <c r="M45" i="69"/>
  <c r="CZ119" i="71"/>
  <c r="CZ118" i="71"/>
  <c r="CZ117" i="71"/>
  <c r="CZ130" i="71"/>
  <c r="DM220" i="71"/>
  <c r="AQ75" i="69"/>
  <c r="CD119" i="71"/>
  <c r="CD118" i="71"/>
  <c r="CD117" i="71"/>
  <c r="CD130" i="71"/>
  <c r="AL45" i="69"/>
  <c r="N43" i="68"/>
  <c r="DW119" i="71"/>
  <c r="DW117" i="71"/>
  <c r="DW118" i="71"/>
  <c r="DW130" i="71"/>
  <c r="DI220" i="71"/>
  <c r="DS220" i="71"/>
  <c r="AS75" i="69"/>
  <c r="M119" i="71"/>
  <c r="M118" i="71"/>
  <c r="M117" i="71"/>
  <c r="M130" i="71"/>
  <c r="AC45" i="69"/>
  <c r="Q119" i="71"/>
  <c r="Q118" i="71"/>
  <c r="Q117" i="71"/>
  <c r="Q130" i="71"/>
  <c r="CB119" i="71"/>
  <c r="CB118" i="71"/>
  <c r="CB117" i="71"/>
  <c r="CB130" i="71"/>
  <c r="BS220" i="71"/>
  <c r="DT119" i="71"/>
  <c r="DT117" i="71"/>
  <c r="DT118" i="71"/>
  <c r="DT130" i="71"/>
  <c r="BT119" i="71"/>
  <c r="BT117" i="71"/>
  <c r="BT118" i="71"/>
  <c r="BT130" i="71"/>
  <c r="I217" i="69"/>
  <c r="AP119" i="71"/>
  <c r="AP117" i="71"/>
  <c r="AP118" i="71"/>
  <c r="AP130" i="71"/>
  <c r="AR45" i="69"/>
  <c r="O119" i="71"/>
  <c r="O117" i="71"/>
  <c r="O118" i="71"/>
  <c r="O130" i="71"/>
  <c r="AH119" i="71"/>
  <c r="AH117" i="71"/>
  <c r="AH118" i="71"/>
  <c r="AH130" i="71"/>
  <c r="V44" i="69"/>
  <c r="J42" i="68"/>
  <c r="CY119" i="71"/>
  <c r="CY118" i="71"/>
  <c r="CY117" i="71"/>
  <c r="CY130" i="71"/>
  <c r="AT75" i="69"/>
  <c r="AA119" i="71"/>
  <c r="AA118" i="71"/>
  <c r="AA117" i="71"/>
  <c r="AA130" i="71"/>
  <c r="AT119" i="71"/>
  <c r="AT118" i="71"/>
  <c r="AT117" i="71"/>
  <c r="AT130" i="71"/>
  <c r="BM220" i="71"/>
  <c r="AD220" i="71"/>
  <c r="N75" i="69"/>
  <c r="U119" i="71"/>
  <c r="U117" i="71"/>
  <c r="U118" i="71"/>
  <c r="U130" i="71"/>
  <c r="J45" i="69"/>
  <c r="G43" i="68"/>
  <c r="Y119" i="71"/>
  <c r="Y117" i="71"/>
  <c r="Y118" i="71"/>
  <c r="Y130" i="71"/>
  <c r="AL44" i="69"/>
  <c r="N42" i="68"/>
  <c r="E220" i="71"/>
  <c r="E75" i="69"/>
  <c r="E73" i="68"/>
  <c r="BW119" i="71"/>
  <c r="BW118" i="71"/>
  <c r="BW117" i="71"/>
  <c r="BW130" i="71"/>
  <c r="CP119" i="71"/>
  <c r="CP118" i="71"/>
  <c r="CP117" i="71"/>
  <c r="CP130" i="71"/>
  <c r="BP119" i="71"/>
  <c r="BP117" i="71"/>
  <c r="BP118" i="71"/>
  <c r="BP130" i="71"/>
  <c r="V119" i="71"/>
  <c r="V117" i="71"/>
  <c r="V118" i="71"/>
  <c r="V130" i="71"/>
  <c r="X45" i="69"/>
  <c r="BG119" i="71"/>
  <c r="BG118" i="71"/>
  <c r="BG117" i="71"/>
  <c r="BG130" i="71"/>
  <c r="DY117" i="71"/>
  <c r="DY119" i="71"/>
  <c r="DY118" i="71"/>
  <c r="DY130" i="71"/>
  <c r="N119" i="71"/>
  <c r="N117" i="71"/>
  <c r="N118" i="71"/>
  <c r="N130" i="71"/>
  <c r="CX220" i="71"/>
  <c r="AL75" i="69"/>
  <c r="N73" i="68"/>
  <c r="DD119" i="71"/>
  <c r="DD117" i="71"/>
  <c r="DD118" i="71"/>
  <c r="DD130" i="71"/>
  <c r="DP119" i="71"/>
  <c r="DP118" i="71"/>
  <c r="DP117" i="71"/>
  <c r="DP130" i="71"/>
  <c r="BB220" i="71"/>
  <c r="V75" i="69"/>
  <c r="J73" i="68"/>
  <c r="CV119" i="71"/>
  <c r="CV118" i="71"/>
  <c r="CV117" i="71"/>
  <c r="CV130" i="71"/>
  <c r="DH119" i="71"/>
  <c r="DH118" i="71"/>
  <c r="DH117" i="71"/>
  <c r="DH130" i="71"/>
  <c r="V45" i="69"/>
  <c r="J43" i="68"/>
  <c r="CO119" i="71"/>
  <c r="CO117" i="71"/>
  <c r="CO118" i="71"/>
  <c r="CO130" i="71"/>
  <c r="AH44" i="69"/>
  <c r="M42" i="68"/>
  <c r="CS119" i="71"/>
  <c r="CS118" i="71"/>
  <c r="CS117" i="71"/>
  <c r="CS130" i="71"/>
  <c r="CE119" i="71"/>
  <c r="CE118" i="71"/>
  <c r="CE117" i="71"/>
  <c r="CE130" i="71"/>
  <c r="J44" i="69"/>
  <c r="G42" i="68"/>
  <c r="AJ44" i="69"/>
  <c r="CX119" i="71"/>
  <c r="CX117" i="71"/>
  <c r="CX118" i="71"/>
  <c r="CX130" i="71"/>
  <c r="AC220" i="71"/>
  <c r="E255" i="71"/>
  <c r="J119" i="71"/>
  <c r="J118" i="71"/>
  <c r="J117" i="71"/>
  <c r="J130" i="71"/>
  <c r="N45" i="69"/>
  <c r="H43" i="68"/>
  <c r="AE119" i="71"/>
  <c r="AE118" i="71"/>
  <c r="AE117" i="71"/>
  <c r="AE130" i="71"/>
  <c r="DP220" i="71"/>
  <c r="AR75" i="69"/>
  <c r="BU119" i="71"/>
  <c r="BU117" i="71"/>
  <c r="BU118" i="71"/>
  <c r="BU130" i="71"/>
  <c r="DU119" i="71"/>
  <c r="DU117" i="71"/>
  <c r="DU118" i="71"/>
  <c r="DU130" i="71"/>
  <c r="X44" i="69"/>
  <c r="ED21" i="70" l="1"/>
  <c r="Q114" i="69"/>
  <c r="AR114" i="69"/>
  <c r="M114" i="69"/>
  <c r="AC114" i="69"/>
  <c r="AN116" i="69"/>
  <c r="AR127" i="69"/>
  <c r="U127" i="69"/>
  <c r="AR116" i="69"/>
  <c r="Y115" i="69"/>
  <c r="AG115" i="69"/>
  <c r="AI115" i="69"/>
  <c r="U114" i="69"/>
  <c r="U115" i="69"/>
  <c r="AN115" i="69"/>
  <c r="AN114" i="69"/>
  <c r="AA115" i="69"/>
  <c r="AA114" i="69"/>
  <c r="Y114" i="69"/>
  <c r="AC115" i="69"/>
  <c r="AC116" i="69"/>
  <c r="AR115" i="69"/>
  <c r="M115" i="69"/>
  <c r="Y127" i="69"/>
  <c r="AI114" i="69"/>
  <c r="M127" i="69"/>
  <c r="U116" i="69"/>
  <c r="K114" i="69"/>
  <c r="AG127" i="69"/>
  <c r="M116" i="69"/>
  <c r="AG114" i="69"/>
  <c r="I114" i="69"/>
  <c r="AN127" i="69"/>
  <c r="AI127" i="69"/>
  <c r="AC127" i="69"/>
  <c r="AI116" i="69"/>
  <c r="Y116" i="69"/>
  <c r="AA116" i="69"/>
  <c r="K115" i="69"/>
  <c r="AA127" i="69"/>
  <c r="Q116" i="69"/>
  <c r="V217" i="69"/>
  <c r="E217" i="69"/>
  <c r="AT217" i="69"/>
  <c r="AS217" i="69"/>
  <c r="AK115" i="69"/>
  <c r="AT116" i="69"/>
  <c r="Q127" i="69"/>
  <c r="AK217" i="69"/>
  <c r="X217" i="69"/>
  <c r="AD116" i="69"/>
  <c r="L114" i="68"/>
  <c r="H115" i="69"/>
  <c r="G115" i="69"/>
  <c r="AE116" i="69"/>
  <c r="M215" i="68"/>
  <c r="O127" i="69"/>
  <c r="AJ114" i="69"/>
  <c r="AF116" i="69"/>
  <c r="AH127" i="69"/>
  <c r="J217" i="69"/>
  <c r="AM115" i="69"/>
  <c r="AB217" i="69"/>
  <c r="W114" i="69"/>
  <c r="AV156" i="69"/>
  <c r="ED160" i="71"/>
  <c r="ED9" i="71" s="1"/>
  <c r="EB160" i="71"/>
  <c r="EC160" i="71"/>
  <c r="EC9" i="71" s="1"/>
  <c r="G112" i="68"/>
  <c r="V127" i="69"/>
  <c r="J125" i="68"/>
  <c r="O215" i="68"/>
  <c r="K215" i="68"/>
  <c r="F215" i="68"/>
  <c r="Z127" i="69"/>
  <c r="K125" i="68"/>
  <c r="L127" i="69"/>
  <c r="H114" i="69"/>
  <c r="AQ127" i="69"/>
  <c r="G114" i="69"/>
  <c r="O114" i="69"/>
  <c r="P127" i="69"/>
  <c r="AJ115" i="69"/>
  <c r="AH114" i="69"/>
  <c r="M112" i="68"/>
  <c r="AM116" i="69"/>
  <c r="W116" i="69"/>
  <c r="AO217" i="69"/>
  <c r="X127" i="69"/>
  <c r="AG217" i="69"/>
  <c r="J116" i="69"/>
  <c r="G114" i="68"/>
  <c r="V115" i="69"/>
  <c r="J113" i="68"/>
  <c r="AL217" i="69"/>
  <c r="K127" i="69"/>
  <c r="AB127" i="69"/>
  <c r="F127" i="69"/>
  <c r="F125" i="68"/>
  <c r="Z115" i="69"/>
  <c r="K113" i="68"/>
  <c r="Q115" i="69"/>
  <c r="AN217" i="69"/>
  <c r="AI217" i="69"/>
  <c r="L115" i="69"/>
  <c r="H116" i="69"/>
  <c r="C42" i="68"/>
  <c r="AQ115" i="69"/>
  <c r="G116" i="69"/>
  <c r="O115" i="69"/>
  <c r="P115" i="69"/>
  <c r="N127" i="69"/>
  <c r="H125" i="68"/>
  <c r="AJ116" i="69"/>
  <c r="AH115" i="69"/>
  <c r="M113" i="68"/>
  <c r="T217" i="69"/>
  <c r="X114" i="69"/>
  <c r="AD217" i="69"/>
  <c r="V114" i="69"/>
  <c r="J112" i="68"/>
  <c r="AO127" i="69"/>
  <c r="AB115" i="69"/>
  <c r="F114" i="69"/>
  <c r="F112" i="68"/>
  <c r="Z114" i="69"/>
  <c r="K112" i="68"/>
  <c r="S127" i="69"/>
  <c r="L114" i="69"/>
  <c r="AQ114" i="69"/>
  <c r="O116" i="69"/>
  <c r="T127" i="69"/>
  <c r="P114" i="69"/>
  <c r="N115" i="69"/>
  <c r="H113" i="68"/>
  <c r="AH116" i="69"/>
  <c r="K217" i="69"/>
  <c r="AP127" i="69"/>
  <c r="O125" i="68"/>
  <c r="X115" i="69"/>
  <c r="AU111" i="69"/>
  <c r="V116" i="69"/>
  <c r="J114" i="68"/>
  <c r="AO115" i="69"/>
  <c r="AB114" i="69"/>
  <c r="F115" i="69"/>
  <c r="F113" i="68"/>
  <c r="Z116" i="69"/>
  <c r="K114" i="68"/>
  <c r="U217" i="69"/>
  <c r="AA217" i="69"/>
  <c r="S115" i="69"/>
  <c r="AS127" i="69"/>
  <c r="L116" i="69"/>
  <c r="AE217" i="69"/>
  <c r="AQ116" i="69"/>
  <c r="AH217" i="69"/>
  <c r="T115" i="69"/>
  <c r="P116" i="69"/>
  <c r="N114" i="69"/>
  <c r="H112" i="68"/>
  <c r="W217" i="69"/>
  <c r="AP115" i="69"/>
  <c r="O113" i="68"/>
  <c r="X116" i="69"/>
  <c r="AO114" i="69"/>
  <c r="EE157" i="71"/>
  <c r="J215" i="68"/>
  <c r="N217" i="69"/>
  <c r="R127" i="69"/>
  <c r="I125" i="68"/>
  <c r="AL115" i="69"/>
  <c r="N113" i="68"/>
  <c r="I127" i="69"/>
  <c r="R115" i="69"/>
  <c r="I113" i="68"/>
  <c r="AB116" i="69"/>
  <c r="AT127" i="69"/>
  <c r="AP217" i="69"/>
  <c r="Z217" i="69"/>
  <c r="F116" i="69"/>
  <c r="F114" i="68"/>
  <c r="F217" i="69"/>
  <c r="S114" i="69"/>
  <c r="AD127" i="69"/>
  <c r="L125" i="68"/>
  <c r="AS115" i="69"/>
  <c r="G217" i="69"/>
  <c r="AE127" i="69"/>
  <c r="T114" i="69"/>
  <c r="AM217" i="69"/>
  <c r="N116" i="69"/>
  <c r="H114" i="68"/>
  <c r="AF127" i="69"/>
  <c r="AP114" i="69"/>
  <c r="O112" i="68"/>
  <c r="DZ47" i="71"/>
  <c r="DZ11" i="71"/>
  <c r="DZ48" i="71"/>
  <c r="DY78" i="71"/>
  <c r="AU46" i="69"/>
  <c r="AU251" i="69" s="1"/>
  <c r="AU252" i="69" s="1"/>
  <c r="AU262" i="69" s="1"/>
  <c r="AU278" i="69" s="1"/>
  <c r="AU280" i="69" s="1"/>
  <c r="AC217" i="69"/>
  <c r="AO116" i="69"/>
  <c r="AL127" i="69"/>
  <c r="N125" i="68"/>
  <c r="E215" i="68"/>
  <c r="K116" i="69"/>
  <c r="AL114" i="69"/>
  <c r="N112" i="68"/>
  <c r="N215" i="68"/>
  <c r="R114" i="69"/>
  <c r="I112" i="68"/>
  <c r="AT114" i="69"/>
  <c r="AG116" i="69"/>
  <c r="S116" i="69"/>
  <c r="C43" i="68"/>
  <c r="AD115" i="69"/>
  <c r="L113" i="68"/>
  <c r="AS114" i="69"/>
  <c r="E250" i="68"/>
  <c r="AE114" i="69"/>
  <c r="T116" i="69"/>
  <c r="AF114" i="69"/>
  <c r="AM127" i="69"/>
  <c r="W127" i="69"/>
  <c r="AP116" i="69"/>
  <c r="O114" i="68"/>
  <c r="AJ217" i="69"/>
  <c r="EA47" i="71"/>
  <c r="EA11" i="71"/>
  <c r="EA48" i="71"/>
  <c r="AU53" i="69"/>
  <c r="H217" i="69"/>
  <c r="J127" i="69"/>
  <c r="G125" i="68"/>
  <c r="L215" i="68"/>
  <c r="AR217" i="69"/>
  <c r="AL116" i="69"/>
  <c r="N114" i="68"/>
  <c r="R116" i="69"/>
  <c r="I114" i="68"/>
  <c r="AQ217" i="69"/>
  <c r="AK114" i="69"/>
  <c r="AT115" i="69"/>
  <c r="L217" i="69"/>
  <c r="E252" i="69"/>
  <c r="AD114" i="69"/>
  <c r="L112" i="68"/>
  <c r="AS116" i="69"/>
  <c r="H127" i="69"/>
  <c r="G127" i="69"/>
  <c r="AE115" i="69"/>
  <c r="AJ127" i="69"/>
  <c r="AF115" i="69"/>
  <c r="AF217" i="69"/>
  <c r="AM114" i="69"/>
  <c r="W115" i="69"/>
  <c r="Y217" i="69"/>
  <c r="EB47" i="71"/>
  <c r="EB11" i="71"/>
  <c r="EB48" i="71"/>
  <c r="J115" i="69"/>
  <c r="G113" i="68"/>
  <c r="EE21" i="70" l="1"/>
  <c r="EB117" i="71"/>
  <c r="EB119" i="71"/>
  <c r="EB118" i="71"/>
  <c r="EB130" i="71"/>
  <c r="EB9" i="71"/>
  <c r="AV157" i="69"/>
  <c r="EF157" i="71"/>
  <c r="EF158" i="71" s="1"/>
  <c r="EF159" i="71" s="1"/>
  <c r="EA117" i="71"/>
  <c r="EA119" i="71"/>
  <c r="EA118" i="71"/>
  <c r="EA130" i="71"/>
  <c r="ED56" i="71"/>
  <c r="ED49" i="71"/>
  <c r="ED114" i="71"/>
  <c r="AU75" i="69"/>
  <c r="C112" i="68"/>
  <c r="AU45" i="69"/>
  <c r="DZ117" i="71"/>
  <c r="DZ119" i="71"/>
  <c r="DZ118" i="71"/>
  <c r="DZ130" i="71"/>
  <c r="AU44" i="69"/>
  <c r="C113" i="68"/>
  <c r="EE158" i="71"/>
  <c r="AW154" i="69"/>
  <c r="EC56" i="71"/>
  <c r="EC49" i="71"/>
  <c r="EC114" i="71"/>
  <c r="EF21" i="70"/>
  <c r="EG21" i="70" l="1"/>
  <c r="ED78" i="71"/>
  <c r="EC78" i="71"/>
  <c r="EE159" i="71"/>
  <c r="AW155" i="69"/>
  <c r="AU127" i="69"/>
  <c r="EG157" i="71"/>
  <c r="AU115" i="69"/>
  <c r="AU116" i="69"/>
  <c r="AU114" i="69"/>
  <c r="EB56" i="71"/>
  <c r="EB49" i="71"/>
  <c r="EB114" i="71"/>
  <c r="EE10" i="71"/>
  <c r="ED10" i="71"/>
  <c r="EC10" i="71"/>
  <c r="AU217" i="69"/>
  <c r="O33" i="21"/>
  <c r="AV53" i="69" l="1"/>
  <c r="EC47" i="71"/>
  <c r="EC11" i="71"/>
  <c r="EC48" i="71"/>
  <c r="ED47" i="71"/>
  <c r="ED11" i="71"/>
  <c r="ED48" i="71"/>
  <c r="EE47" i="71"/>
  <c r="EE11" i="71"/>
  <c r="EE48" i="71"/>
  <c r="EG158" i="71"/>
  <c r="I154" i="69"/>
  <c r="P152" i="68"/>
  <c r="AW156" i="69"/>
  <c r="EF160" i="71"/>
  <c r="EF9" i="71" s="1"/>
  <c r="EE160" i="71"/>
  <c r="AV111" i="69"/>
  <c r="EB78" i="71"/>
  <c r="AV46" i="69"/>
  <c r="AV251" i="69" s="1"/>
  <c r="AV252" i="69" s="1"/>
  <c r="AV262" i="69" s="1"/>
  <c r="AV278" i="69" s="1"/>
  <c r="AV280" i="69" s="1"/>
  <c r="O35" i="21"/>
  <c r="C33" i="17"/>
  <c r="O32" i="73"/>
  <c r="O34" i="21"/>
  <c r="K52" i="2" l="1"/>
  <c r="L52" i="2"/>
  <c r="M52" i="2"/>
  <c r="N52" i="2"/>
  <c r="O52" i="2"/>
  <c r="P52" i="2"/>
  <c r="Q52" i="2"/>
  <c r="R52" i="2"/>
  <c r="S52" i="2"/>
  <c r="T52" i="2"/>
  <c r="U52" i="2"/>
  <c r="V52" i="2"/>
  <c r="W52" i="2"/>
  <c r="EG159" i="71"/>
  <c r="J155" i="69"/>
  <c r="P153" i="68"/>
  <c r="R20" i="72"/>
  <c r="EC117" i="71"/>
  <c r="EC119" i="71"/>
  <c r="EC118" i="71"/>
  <c r="EC130" i="71"/>
  <c r="AV44" i="69"/>
  <c r="AV75" i="69"/>
  <c r="EE9" i="71"/>
  <c r="AW157" i="69"/>
  <c r="EE117" i="71"/>
  <c r="EE119" i="71"/>
  <c r="EE118" i="71"/>
  <c r="EE130" i="71"/>
  <c r="EF56" i="71"/>
  <c r="EF49" i="71"/>
  <c r="EF114" i="71"/>
  <c r="ED117" i="71"/>
  <c r="ED119" i="71"/>
  <c r="ED118" i="71"/>
  <c r="ED130" i="71"/>
  <c r="AV45" i="69"/>
  <c r="R34" i="42"/>
  <c r="D16" i="96" s="1"/>
  <c r="R34" i="64"/>
  <c r="O46" i="21"/>
  <c r="D33" i="17"/>
  <c r="AH3" i="75" l="1"/>
  <c r="J52" i="2"/>
  <c r="I52" i="2"/>
  <c r="H52" i="2"/>
  <c r="G52" i="2"/>
  <c r="F52" i="2"/>
  <c r="EF78" i="71"/>
  <c r="D8" i="55"/>
  <c r="AV116" i="69"/>
  <c r="AV114" i="69"/>
  <c r="EE56" i="71"/>
  <c r="EE49" i="71"/>
  <c r="EE114" i="71"/>
  <c r="EF10" i="71"/>
  <c r="EG10" i="71"/>
  <c r="AV217" i="69"/>
  <c r="AV127" i="69"/>
  <c r="J156" i="69"/>
  <c r="P154" i="68"/>
  <c r="EG160" i="71"/>
  <c r="AV115" i="69"/>
  <c r="S34" i="42"/>
  <c r="S34" i="64"/>
  <c r="AL2" i="19"/>
  <c r="AU2" i="19"/>
  <c r="P2" i="19"/>
  <c r="BC2" i="19"/>
  <c r="DO2" i="19"/>
  <c r="AV2" i="19"/>
  <c r="DH2" i="19"/>
  <c r="AO2" i="19"/>
  <c r="DA2" i="19"/>
  <c r="AP2" i="19"/>
  <c r="DB2" i="19"/>
  <c r="AB2" i="19"/>
  <c r="CN2" i="19"/>
  <c r="BJ2" i="19"/>
  <c r="DE2" i="19"/>
  <c r="EC2" i="19"/>
  <c r="M2" i="19"/>
  <c r="DU2" i="19"/>
  <c r="X2" i="19"/>
  <c r="R2" i="19"/>
  <c r="AS2" i="19"/>
  <c r="DS2" i="19"/>
  <c r="BK2" i="19"/>
  <c r="DW2" i="19"/>
  <c r="BD2" i="19"/>
  <c r="DP2" i="19"/>
  <c r="AW2" i="19"/>
  <c r="DI2" i="19"/>
  <c r="AX2" i="19"/>
  <c r="DJ2" i="19"/>
  <c r="AJ2" i="19"/>
  <c r="CV2" i="19"/>
  <c r="CG2" i="19"/>
  <c r="EA2" i="19"/>
  <c r="F2" i="19"/>
  <c r="AI2" i="19"/>
  <c r="CW2" i="19"/>
  <c r="K2" i="19"/>
  <c r="I2" i="19"/>
  <c r="BV2" i="19"/>
  <c r="V2" i="19"/>
  <c r="CU2" i="19"/>
  <c r="CE2" i="19"/>
  <c r="AE2" i="19"/>
  <c r="CJ2" i="19"/>
  <c r="Q2" i="19"/>
  <c r="CD2" i="19"/>
  <c r="EB2" i="19"/>
  <c r="BQ2" i="19"/>
  <c r="DM2" i="19"/>
  <c r="G2" i="19"/>
  <c r="BS2" i="19"/>
  <c r="EE2" i="19"/>
  <c r="BL2" i="19"/>
  <c r="DX2" i="19"/>
  <c r="BE2" i="19"/>
  <c r="DQ2" i="19"/>
  <c r="BF2" i="19"/>
  <c r="DR2" i="19"/>
  <c r="AR2" i="19"/>
  <c r="DD2" i="19"/>
  <c r="DC2" i="19"/>
  <c r="E2" i="19"/>
  <c r="AC2" i="19"/>
  <c r="BB2" i="19"/>
  <c r="BA2" i="19"/>
  <c r="S2" i="19"/>
  <c r="W2" i="19"/>
  <c r="CB2" i="19"/>
  <c r="J2" i="19"/>
  <c r="BH2" i="19"/>
  <c r="AT2" i="19"/>
  <c r="BG2" i="19"/>
  <c r="D2" i="19"/>
  <c r="CO2" i="19"/>
  <c r="O2" i="19"/>
  <c r="CA2" i="19"/>
  <c r="H2" i="19"/>
  <c r="BT2" i="19"/>
  <c r="EF2" i="19"/>
  <c r="BM2" i="19"/>
  <c r="DY2" i="19"/>
  <c r="BN2" i="19"/>
  <c r="DZ2" i="19"/>
  <c r="AZ2" i="19"/>
  <c r="DL2" i="19"/>
  <c r="DV2" i="19"/>
  <c r="AA2" i="19"/>
  <c r="AY2" i="19"/>
  <c r="BY2" i="19"/>
  <c r="CX2" i="19"/>
  <c r="BZ2" i="19"/>
  <c r="CI2" i="19"/>
  <c r="BU2" i="19"/>
  <c r="DT2" i="19"/>
  <c r="BR2" i="19"/>
  <c r="CQ2" i="19"/>
  <c r="CC2" i="19"/>
  <c r="BP2" i="19"/>
  <c r="DN2" i="19"/>
  <c r="AM2" i="19"/>
  <c r="CY2" i="19"/>
  <c r="AF2" i="19"/>
  <c r="CR2" i="19"/>
  <c r="Y2" i="19"/>
  <c r="CK2" i="19"/>
  <c r="Z2" i="19"/>
  <c r="CL2" i="19"/>
  <c r="L2" i="19"/>
  <c r="BX2" i="19"/>
  <c r="U2" i="19"/>
  <c r="BO2" i="19"/>
  <c r="CM2" i="19"/>
  <c r="DK2" i="19"/>
  <c r="AK2" i="19"/>
  <c r="N2" i="19"/>
  <c r="BI2" i="19"/>
  <c r="DG2" i="19"/>
  <c r="AN2" i="19"/>
  <c r="CZ2" i="19"/>
  <c r="AG2" i="19"/>
  <c r="CS2" i="19"/>
  <c r="AH2" i="19"/>
  <c r="CT2" i="19"/>
  <c r="T2" i="19"/>
  <c r="CF2" i="19"/>
  <c r="AQ2" i="19"/>
  <c r="CH2" i="19"/>
  <c r="DF2" i="19"/>
  <c r="ED2" i="19"/>
  <c r="CP2" i="19"/>
  <c r="BW2" i="19"/>
  <c r="AD2" i="19"/>
  <c r="AH6" i="75" a="1"/>
  <c r="H45" i="17" l="1"/>
  <c r="C8" i="55"/>
  <c r="DS308" i="30"/>
  <c r="DG308" i="30"/>
  <c r="CU308" i="30"/>
  <c r="CI308" i="30"/>
  <c r="BW308" i="30"/>
  <c r="BK308" i="30"/>
  <c r="DT307" i="30"/>
  <c r="DH307" i="30"/>
  <c r="CV307" i="30"/>
  <c r="CJ307" i="30"/>
  <c r="BX307" i="30"/>
  <c r="BL307" i="30"/>
  <c r="DU306" i="30"/>
  <c r="DI306" i="30"/>
  <c r="CW306" i="30"/>
  <c r="CK306" i="30"/>
  <c r="BY306" i="30"/>
  <c r="BM306" i="30"/>
  <c r="DJ305" i="30"/>
  <c r="CX305" i="30"/>
  <c r="CL305" i="30"/>
  <c r="BZ305" i="30"/>
  <c r="BN305" i="30"/>
  <c r="DL301" i="30"/>
  <c r="CZ301" i="30"/>
  <c r="CN301" i="30"/>
  <c r="CB301" i="30"/>
  <c r="BP301" i="30"/>
  <c r="BD301" i="30"/>
  <c r="DM300" i="30"/>
  <c r="DA300" i="30"/>
  <c r="CO300" i="30"/>
  <c r="CC300" i="30"/>
  <c r="BQ300" i="30"/>
  <c r="BE300" i="30"/>
  <c r="DN299" i="30"/>
  <c r="DB299" i="30"/>
  <c r="CP299" i="30"/>
  <c r="CD299" i="30"/>
  <c r="BR299" i="30"/>
  <c r="BF299" i="30"/>
  <c r="DQ308" i="30"/>
  <c r="DE308" i="30"/>
  <c r="CS308" i="30"/>
  <c r="CG308" i="30"/>
  <c r="BU308" i="30"/>
  <c r="BI308" i="30"/>
  <c r="DR307" i="30"/>
  <c r="DF307" i="30"/>
  <c r="CT307" i="30"/>
  <c r="CH307" i="30"/>
  <c r="BV307" i="30"/>
  <c r="BJ307" i="30"/>
  <c r="DS306" i="30"/>
  <c r="DG306" i="30"/>
  <c r="CU306" i="30"/>
  <c r="CI306" i="30"/>
  <c r="BW306" i="30"/>
  <c r="BK306" i="30"/>
  <c r="DT305" i="30"/>
  <c r="DH305" i="30"/>
  <c r="CV305" i="30"/>
  <c r="CJ305" i="30"/>
  <c r="BX305" i="30"/>
  <c r="BL305" i="30"/>
  <c r="DJ301" i="30"/>
  <c r="CX301" i="30"/>
  <c r="CL301" i="30"/>
  <c r="BZ301" i="30"/>
  <c r="BN301" i="30"/>
  <c r="DK300" i="30"/>
  <c r="CY300" i="30"/>
  <c r="CM300" i="30"/>
  <c r="CA300" i="30"/>
  <c r="BO300" i="30"/>
  <c r="BC300" i="30"/>
  <c r="DP308" i="30"/>
  <c r="DD308" i="30"/>
  <c r="CR308" i="30"/>
  <c r="CF308" i="30"/>
  <c r="BT308" i="30"/>
  <c r="BH308" i="30"/>
  <c r="DQ307" i="30"/>
  <c r="DE307" i="30"/>
  <c r="CS307" i="30"/>
  <c r="CG307" i="30"/>
  <c r="BU307" i="30"/>
  <c r="BI307" i="30"/>
  <c r="DR306" i="30"/>
  <c r="DF306" i="30"/>
  <c r="CT306" i="30"/>
  <c r="CH306" i="30"/>
  <c r="BV306" i="30"/>
  <c r="BJ306" i="30"/>
  <c r="DS305" i="30"/>
  <c r="DG305" i="30"/>
  <c r="CU305" i="30"/>
  <c r="CI305" i="30"/>
  <c r="BW305" i="30"/>
  <c r="BK305" i="30"/>
  <c r="DU301" i="30"/>
  <c r="DI301" i="30"/>
  <c r="CW301" i="30"/>
  <c r="CK301" i="30"/>
  <c r="BY301" i="30"/>
  <c r="BM301" i="30"/>
  <c r="DJ300" i="30"/>
  <c r="CX300" i="30"/>
  <c r="CL300" i="30"/>
  <c r="BZ300" i="30"/>
  <c r="BN300" i="30"/>
  <c r="DO308" i="30"/>
  <c r="DC308" i="30"/>
  <c r="CQ308" i="30"/>
  <c r="CE308" i="30"/>
  <c r="BS308" i="30"/>
  <c r="BG308" i="30"/>
  <c r="DP307" i="30"/>
  <c r="DD307" i="30"/>
  <c r="CR307" i="30"/>
  <c r="CF307" i="30"/>
  <c r="BT307" i="30"/>
  <c r="BH307" i="30"/>
  <c r="DQ306" i="30"/>
  <c r="DE306" i="30"/>
  <c r="CS306" i="30"/>
  <c r="CG306" i="30"/>
  <c r="BU306" i="30"/>
  <c r="BI306" i="30"/>
  <c r="DR305" i="30"/>
  <c r="DF305" i="30"/>
  <c r="CT305" i="30"/>
  <c r="CH305" i="30"/>
  <c r="BV305" i="30"/>
  <c r="BJ305" i="30"/>
  <c r="DT301" i="30"/>
  <c r="DH301" i="30"/>
  <c r="CV301" i="30"/>
  <c r="CJ301" i="30"/>
  <c r="BX301" i="30"/>
  <c r="BL301" i="30"/>
  <c r="DU300" i="30"/>
  <c r="DI300" i="30"/>
  <c r="CW300" i="30"/>
  <c r="CK300" i="30"/>
  <c r="BY300" i="30"/>
  <c r="BM300" i="30"/>
  <c r="DJ299" i="30"/>
  <c r="CX299" i="30"/>
  <c r="CL299" i="30"/>
  <c r="BZ299" i="30"/>
  <c r="DM308" i="30"/>
  <c r="DA308" i="30"/>
  <c r="CO308" i="30"/>
  <c r="CC308" i="30"/>
  <c r="BQ308" i="30"/>
  <c r="BE308" i="30"/>
  <c r="DN307" i="30"/>
  <c r="DB307" i="30"/>
  <c r="CP307" i="30"/>
  <c r="DL308" i="30"/>
  <c r="CZ308" i="30"/>
  <c r="CN308" i="30"/>
  <c r="CB308" i="30"/>
  <c r="BP308" i="30"/>
  <c r="BD308" i="30"/>
  <c r="DU308" i="30"/>
  <c r="DI308" i="30"/>
  <c r="CW308" i="30"/>
  <c r="CK308" i="30"/>
  <c r="BY308" i="30"/>
  <c r="BM308" i="30"/>
  <c r="DJ307" i="30"/>
  <c r="CX307" i="30"/>
  <c r="CL307" i="30"/>
  <c r="BZ307" i="30"/>
  <c r="BN307" i="30"/>
  <c r="DK306" i="30"/>
  <c r="CY306" i="30"/>
  <c r="CM306" i="30"/>
  <c r="CA306" i="30"/>
  <c r="DN308" i="30"/>
  <c r="CL308" i="30"/>
  <c r="BJ308" i="30"/>
  <c r="CZ307" i="30"/>
  <c r="CC307" i="30"/>
  <c r="BG307" i="30"/>
  <c r="DO306" i="30"/>
  <c r="CV306" i="30"/>
  <c r="CB306" i="30"/>
  <c r="BG306" i="30"/>
  <c r="DD305" i="30"/>
  <c r="CN305" i="30"/>
  <c r="BT305" i="30"/>
  <c r="BD305" i="30"/>
  <c r="DS301" i="30"/>
  <c r="DC301" i="30"/>
  <c r="CI301" i="30"/>
  <c r="BS301" i="30"/>
  <c r="DP300" i="30"/>
  <c r="CV300" i="30"/>
  <c r="CF300" i="30"/>
  <c r="BL300" i="30"/>
  <c r="DM299" i="30"/>
  <c r="CY299" i="30"/>
  <c r="CJ299" i="30"/>
  <c r="BV299" i="30"/>
  <c r="BI299" i="30"/>
  <c r="DQ298" i="30"/>
  <c r="DE298" i="30"/>
  <c r="CS298" i="30"/>
  <c r="CG298" i="30"/>
  <c r="BU298" i="30"/>
  <c r="BI298" i="30"/>
  <c r="DS294" i="30"/>
  <c r="DG294" i="30"/>
  <c r="CU294" i="30"/>
  <c r="CI294" i="30"/>
  <c r="BW294" i="30"/>
  <c r="BK294" i="30"/>
  <c r="DT293" i="30"/>
  <c r="DH293" i="30"/>
  <c r="CV293" i="30"/>
  <c r="CJ293" i="30"/>
  <c r="BX293" i="30"/>
  <c r="BL293" i="30"/>
  <c r="DU292" i="30"/>
  <c r="DI292" i="30"/>
  <c r="CW292" i="30"/>
  <c r="CK292" i="30"/>
  <c r="BY292" i="30"/>
  <c r="BM292" i="30"/>
  <c r="DJ291" i="30"/>
  <c r="CX291" i="30"/>
  <c r="DK308" i="30"/>
  <c r="CJ308" i="30"/>
  <c r="BF308" i="30"/>
  <c r="CY307" i="30"/>
  <c r="CB307" i="30"/>
  <c r="BF307" i="30"/>
  <c r="DN306" i="30"/>
  <c r="CR306" i="30"/>
  <c r="BZ306" i="30"/>
  <c r="BF306" i="30"/>
  <c r="DC305" i="30"/>
  <c r="CM305" i="30"/>
  <c r="BS305" i="30"/>
  <c r="BC305" i="30"/>
  <c r="DR301" i="30"/>
  <c r="DB301" i="30"/>
  <c r="CH301" i="30"/>
  <c r="BR301" i="30"/>
  <c r="DO300" i="30"/>
  <c r="CU300" i="30"/>
  <c r="CE300" i="30"/>
  <c r="BK300" i="30"/>
  <c r="DL299" i="30"/>
  <c r="CW299" i="30"/>
  <c r="CI299" i="30"/>
  <c r="BU299" i="30"/>
  <c r="BH299" i="30"/>
  <c r="DP298" i="30"/>
  <c r="DD298" i="30"/>
  <c r="CR298" i="30"/>
  <c r="CF298" i="30"/>
  <c r="BT298" i="30"/>
  <c r="BH298" i="30"/>
  <c r="DR294" i="30"/>
  <c r="DF294" i="30"/>
  <c r="CT294" i="30"/>
  <c r="CH294" i="30"/>
  <c r="BV294" i="30"/>
  <c r="BJ294" i="30"/>
  <c r="DS293" i="30"/>
  <c r="DG293" i="30"/>
  <c r="CU293" i="30"/>
  <c r="CI293" i="30"/>
  <c r="BW293" i="30"/>
  <c r="BK293" i="30"/>
  <c r="DT292" i="30"/>
  <c r="DH292" i="30"/>
  <c r="CV292" i="30"/>
  <c r="CJ292" i="30"/>
  <c r="BX292" i="30"/>
  <c r="BL292" i="30"/>
  <c r="DU291" i="30"/>
  <c r="DI291" i="30"/>
  <c r="CW291" i="30"/>
  <c r="CK291" i="30"/>
  <c r="BY291" i="30"/>
  <c r="BM291" i="30"/>
  <c r="DJ308" i="30"/>
  <c r="CH308" i="30"/>
  <c r="BC308" i="30"/>
  <c r="DU307" i="30"/>
  <c r="CW307" i="30"/>
  <c r="CA307" i="30"/>
  <c r="BE307" i="30"/>
  <c r="DM306" i="30"/>
  <c r="CQ306" i="30"/>
  <c r="BX306" i="30"/>
  <c r="BE306" i="30"/>
  <c r="DU305" i="30"/>
  <c r="DB305" i="30"/>
  <c r="CK305" i="30"/>
  <c r="BR305" i="30"/>
  <c r="DQ301" i="30"/>
  <c r="DA301" i="30"/>
  <c r="CG301" i="30"/>
  <c r="BQ301" i="30"/>
  <c r="DN300" i="30"/>
  <c r="CT300" i="30"/>
  <c r="CD300" i="30"/>
  <c r="BJ300" i="30"/>
  <c r="DK299" i="30"/>
  <c r="CV299" i="30"/>
  <c r="CH299" i="30"/>
  <c r="BT299" i="30"/>
  <c r="BG299" i="30"/>
  <c r="DO298" i="30"/>
  <c r="DC298" i="30"/>
  <c r="CQ298" i="30"/>
  <c r="CE298" i="30"/>
  <c r="BS298" i="30"/>
  <c r="BG298" i="30"/>
  <c r="DQ294" i="30"/>
  <c r="DE294" i="30"/>
  <c r="CS294" i="30"/>
  <c r="CG294" i="30"/>
  <c r="BU294" i="30"/>
  <c r="BI294" i="30"/>
  <c r="DR293" i="30"/>
  <c r="DF293" i="30"/>
  <c r="CT293" i="30"/>
  <c r="CH293" i="30"/>
  <c r="BV293" i="30"/>
  <c r="BJ293" i="30"/>
  <c r="DS292" i="30"/>
  <c r="DG292" i="30"/>
  <c r="CU292" i="30"/>
  <c r="CI292" i="30"/>
  <c r="BW292" i="30"/>
  <c r="BK292" i="30"/>
  <c r="DT291" i="30"/>
  <c r="DH291" i="30"/>
  <c r="CV291" i="30"/>
  <c r="CJ291" i="30"/>
  <c r="BX291" i="30"/>
  <c r="BL291" i="30"/>
  <c r="DH308" i="30"/>
  <c r="CD308" i="30"/>
  <c r="DS307" i="30"/>
  <c r="CU307" i="30"/>
  <c r="BY307" i="30"/>
  <c r="BD307" i="30"/>
  <c r="DL306" i="30"/>
  <c r="CP306" i="30"/>
  <c r="BT306" i="30"/>
  <c r="BD306" i="30"/>
  <c r="DQ305" i="30"/>
  <c r="DA305" i="30"/>
  <c r="CG305" i="30"/>
  <c r="BQ305" i="30"/>
  <c r="DP301" i="30"/>
  <c r="CY301" i="30"/>
  <c r="CF301" i="30"/>
  <c r="BO301" i="30"/>
  <c r="DL300" i="30"/>
  <c r="CS300" i="30"/>
  <c r="CB300" i="30"/>
  <c r="BI300" i="30"/>
  <c r="DI299" i="30"/>
  <c r="CU299" i="30"/>
  <c r="CG299" i="30"/>
  <c r="BS299" i="30"/>
  <c r="BE299" i="30"/>
  <c r="DN298" i="30"/>
  <c r="DB298" i="30"/>
  <c r="CP298" i="30"/>
  <c r="CD298" i="30"/>
  <c r="BR298" i="30"/>
  <c r="BF298" i="30"/>
  <c r="DP294" i="30"/>
  <c r="DD294" i="30"/>
  <c r="CR294" i="30"/>
  <c r="CF294" i="30"/>
  <c r="BT294" i="30"/>
  <c r="BH294" i="30"/>
  <c r="DQ293" i="30"/>
  <c r="DE293" i="30"/>
  <c r="CS293" i="30"/>
  <c r="CG293" i="30"/>
  <c r="BU293" i="30"/>
  <c r="BI293" i="30"/>
  <c r="DR292" i="30"/>
  <c r="DF292" i="30"/>
  <c r="CT292" i="30"/>
  <c r="CH292" i="30"/>
  <c r="BV292" i="30"/>
  <c r="BJ292" i="30"/>
  <c r="DS291" i="30"/>
  <c r="DG291" i="30"/>
  <c r="CU291" i="30"/>
  <c r="CI291" i="30"/>
  <c r="BW291" i="30"/>
  <c r="BK291" i="30"/>
  <c r="DF308" i="30"/>
  <c r="CA308" i="30"/>
  <c r="DO307" i="30"/>
  <c r="CQ307" i="30"/>
  <c r="BW307" i="30"/>
  <c r="BC307" i="30"/>
  <c r="DJ306" i="30"/>
  <c r="CO306" i="30"/>
  <c r="BS306" i="30"/>
  <c r="BC306" i="30"/>
  <c r="DP305" i="30"/>
  <c r="CZ305" i="30"/>
  <c r="CF305" i="30"/>
  <c r="BP305" i="30"/>
  <c r="DO301" i="30"/>
  <c r="CU301" i="30"/>
  <c r="CE301" i="30"/>
  <c r="BK301" i="30"/>
  <c r="DH300" i="30"/>
  <c r="CR300" i="30"/>
  <c r="BX300" i="30"/>
  <c r="BH300" i="30"/>
  <c r="DH299" i="30"/>
  <c r="CT299" i="30"/>
  <c r="CF299" i="30"/>
  <c r="BQ299" i="30"/>
  <c r="BD299" i="30"/>
  <c r="DM298" i="30"/>
  <c r="DA298" i="30"/>
  <c r="CO298" i="30"/>
  <c r="CC298" i="30"/>
  <c r="BQ298" i="30"/>
  <c r="BE298" i="30"/>
  <c r="DO294" i="30"/>
  <c r="DC294" i="30"/>
  <c r="CQ294" i="30"/>
  <c r="CE294" i="30"/>
  <c r="BS294" i="30"/>
  <c r="BG294" i="30"/>
  <c r="DP293" i="30"/>
  <c r="DD293" i="30"/>
  <c r="CR293" i="30"/>
  <c r="CF293" i="30"/>
  <c r="BT293" i="30"/>
  <c r="BH293" i="30"/>
  <c r="DQ292" i="30"/>
  <c r="DE292" i="30"/>
  <c r="CS292" i="30"/>
  <c r="CG292" i="30"/>
  <c r="BU292" i="30"/>
  <c r="BI292" i="30"/>
  <c r="DR291" i="30"/>
  <c r="DF291" i="30"/>
  <c r="CT291" i="30"/>
  <c r="CH291" i="30"/>
  <c r="BV291" i="30"/>
  <c r="BJ291" i="30"/>
  <c r="DB308" i="30"/>
  <c r="BZ308" i="30"/>
  <c r="DM307" i="30"/>
  <c r="CO307" i="30"/>
  <c r="BS307" i="30"/>
  <c r="DH306" i="30"/>
  <c r="CN306" i="30"/>
  <c r="BR306" i="30"/>
  <c r="DO305" i="30"/>
  <c r="CY305" i="30"/>
  <c r="CE305" i="30"/>
  <c r="BO305" i="30"/>
  <c r="DN301" i="30"/>
  <c r="CT301" i="30"/>
  <c r="CD301" i="30"/>
  <c r="BJ301" i="30"/>
  <c r="DG300" i="30"/>
  <c r="CQ300" i="30"/>
  <c r="BW300" i="30"/>
  <c r="BG300" i="30"/>
  <c r="DU299" i="30"/>
  <c r="DG299" i="30"/>
  <c r="CS299" i="30"/>
  <c r="CE299" i="30"/>
  <c r="BP299" i="30"/>
  <c r="BC299" i="30"/>
  <c r="DL298" i="30"/>
  <c r="CZ298" i="30"/>
  <c r="CN298" i="30"/>
  <c r="CB298" i="30"/>
  <c r="BP298" i="30"/>
  <c r="BD298" i="30"/>
  <c r="DN294" i="30"/>
  <c r="DB294" i="30"/>
  <c r="CP294" i="30"/>
  <c r="CD294" i="30"/>
  <c r="BR294" i="30"/>
  <c r="BF294" i="30"/>
  <c r="DO293" i="30"/>
  <c r="DC293" i="30"/>
  <c r="CQ293" i="30"/>
  <c r="CE293" i="30"/>
  <c r="CY308" i="30"/>
  <c r="BX308" i="30"/>
  <c r="DL307" i="30"/>
  <c r="CN307" i="30"/>
  <c r="BR307" i="30"/>
  <c r="DD306" i="30"/>
  <c r="CL306" i="30"/>
  <c r="BQ306" i="30"/>
  <c r="DN305" i="30"/>
  <c r="CW305" i="30"/>
  <c r="CD305" i="30"/>
  <c r="BM305" i="30"/>
  <c r="DM301" i="30"/>
  <c r="CS301" i="30"/>
  <c r="CC301" i="30"/>
  <c r="BI301" i="30"/>
  <c r="DF300" i="30"/>
  <c r="CP300" i="30"/>
  <c r="BV300" i="30"/>
  <c r="BF300" i="30"/>
  <c r="DT299" i="30"/>
  <c r="DF299" i="30"/>
  <c r="CR299" i="30"/>
  <c r="CC299" i="30"/>
  <c r="BO299" i="30"/>
  <c r="DK298" i="30"/>
  <c r="CY298" i="30"/>
  <c r="CM298" i="30"/>
  <c r="CA298" i="30"/>
  <c r="BO298" i="30"/>
  <c r="BC298" i="30"/>
  <c r="DM294" i="30"/>
  <c r="DA294" i="30"/>
  <c r="CO294" i="30"/>
  <c r="CC294" i="30"/>
  <c r="BQ294" i="30"/>
  <c r="BE294" i="30"/>
  <c r="DN293" i="30"/>
  <c r="CX308" i="30"/>
  <c r="BV308" i="30"/>
  <c r="DK307" i="30"/>
  <c r="CM307" i="30"/>
  <c r="BQ307" i="30"/>
  <c r="DC306" i="30"/>
  <c r="CJ306" i="30"/>
  <c r="BP306" i="30"/>
  <c r="DM305" i="30"/>
  <c r="CS305" i="30"/>
  <c r="CC305" i="30"/>
  <c r="BI305" i="30"/>
  <c r="DK301" i="30"/>
  <c r="CR301" i="30"/>
  <c r="CA301" i="30"/>
  <c r="BH301" i="30"/>
  <c r="DE300" i="30"/>
  <c r="CN300" i="30"/>
  <c r="BU300" i="30"/>
  <c r="BD300" i="30"/>
  <c r="DS299" i="30"/>
  <c r="DE299" i="30"/>
  <c r="CQ299" i="30"/>
  <c r="CB299" i="30"/>
  <c r="BN299" i="30"/>
  <c r="DJ298" i="30"/>
  <c r="CX298" i="30"/>
  <c r="CL298" i="30"/>
  <c r="BZ298" i="30"/>
  <c r="BN298" i="30"/>
  <c r="CV308" i="30"/>
  <c r="BR308" i="30"/>
  <c r="CT308" i="30"/>
  <c r="BO308" i="30"/>
  <c r="DG307" i="30"/>
  <c r="CI307" i="30"/>
  <c r="BO307" i="30"/>
  <c r="DA306" i="30"/>
  <c r="CE306" i="30"/>
  <c r="BN306" i="30"/>
  <c r="DK305" i="30"/>
  <c r="CQ305" i="30"/>
  <c r="CA305" i="30"/>
  <c r="BG305" i="30"/>
  <c r="DF301" i="30"/>
  <c r="CP301" i="30"/>
  <c r="BV301" i="30"/>
  <c r="BF301" i="30"/>
  <c r="DS300" i="30"/>
  <c r="DC300" i="30"/>
  <c r="CI300" i="30"/>
  <c r="BS300" i="30"/>
  <c r="DQ299" i="30"/>
  <c r="DC299" i="30"/>
  <c r="CN299" i="30"/>
  <c r="BY299" i="30"/>
  <c r="BL299" i="30"/>
  <c r="DT298" i="30"/>
  <c r="DH298" i="30"/>
  <c r="BL308" i="30"/>
  <c r="CD307" i="30"/>
  <c r="DP306" i="30"/>
  <c r="CO305" i="30"/>
  <c r="BT301" i="30"/>
  <c r="DQ300" i="30"/>
  <c r="CZ299" i="30"/>
  <c r="DR298" i="30"/>
  <c r="BY298" i="30"/>
  <c r="DH294" i="30"/>
  <c r="CA294" i="30"/>
  <c r="DK293" i="30"/>
  <c r="CM293" i="30"/>
  <c r="BP293" i="30"/>
  <c r="DB292" i="30"/>
  <c r="CF292" i="30"/>
  <c r="BO292" i="30"/>
  <c r="DA291" i="30"/>
  <c r="CF291" i="30"/>
  <c r="BP291" i="30"/>
  <c r="BP307" i="30"/>
  <c r="DB306" i="30"/>
  <c r="CB305" i="30"/>
  <c r="BG301" i="30"/>
  <c r="DD300" i="30"/>
  <c r="CO299" i="30"/>
  <c r="DI298" i="30"/>
  <c r="BX298" i="30"/>
  <c r="CZ294" i="30"/>
  <c r="BZ294" i="30"/>
  <c r="DJ293" i="30"/>
  <c r="CL293" i="30"/>
  <c r="BO293" i="30"/>
  <c r="DA292" i="30"/>
  <c r="CE292" i="30"/>
  <c r="BN292" i="30"/>
  <c r="DQ291" i="30"/>
  <c r="CZ291" i="30"/>
  <c r="CE291" i="30"/>
  <c r="BO291" i="30"/>
  <c r="BM307" i="30"/>
  <c r="CZ306" i="30"/>
  <c r="BY305" i="30"/>
  <c r="BE301" i="30"/>
  <c r="DB300" i="30"/>
  <c r="CM299" i="30"/>
  <c r="DG298" i="30"/>
  <c r="BW298" i="30"/>
  <c r="CY294" i="30"/>
  <c r="BY294" i="30"/>
  <c r="DI293" i="30"/>
  <c r="CK293" i="30"/>
  <c r="BN293" i="30"/>
  <c r="CZ292" i="30"/>
  <c r="CD292" i="30"/>
  <c r="BH292" i="30"/>
  <c r="DP291" i="30"/>
  <c r="CY291" i="30"/>
  <c r="CD291" i="30"/>
  <c r="BN291" i="30"/>
  <c r="BK307" i="30"/>
  <c r="CX306" i="30"/>
  <c r="BU305" i="30"/>
  <c r="BC301" i="30"/>
  <c r="CZ300" i="30"/>
  <c r="CK299" i="30"/>
  <c r="DF298" i="30"/>
  <c r="BV298" i="30"/>
  <c r="CX294" i="30"/>
  <c r="BX294" i="30"/>
  <c r="DB293" i="30"/>
  <c r="CD293" i="30"/>
  <c r="BM293" i="30"/>
  <c r="DP292" i="30"/>
  <c r="CY292" i="30"/>
  <c r="CC292" i="30"/>
  <c r="BG292" i="30"/>
  <c r="DO291" i="30"/>
  <c r="CS291" i="30"/>
  <c r="CC291" i="30"/>
  <c r="BI291" i="30"/>
  <c r="CF306" i="30"/>
  <c r="BH305" i="30"/>
  <c r="DG301" i="30"/>
  <c r="CJ300" i="30"/>
  <c r="CA299" i="30"/>
  <c r="CW298" i="30"/>
  <c r="BM298" i="30"/>
  <c r="CW294" i="30"/>
  <c r="BP294" i="30"/>
  <c r="DA293" i="30"/>
  <c r="CC293" i="30"/>
  <c r="BG293" i="30"/>
  <c r="DO292" i="30"/>
  <c r="CX292" i="30"/>
  <c r="CB292" i="30"/>
  <c r="BF292" i="30"/>
  <c r="DN291" i="30"/>
  <c r="CR291" i="30"/>
  <c r="CB291" i="30"/>
  <c r="BH291" i="30"/>
  <c r="CD306" i="30"/>
  <c r="BF305" i="30"/>
  <c r="DE301" i="30"/>
  <c r="CH300" i="30"/>
  <c r="BX299" i="30"/>
  <c r="CV298" i="30"/>
  <c r="BL298" i="30"/>
  <c r="CV294" i="30"/>
  <c r="BO294" i="30"/>
  <c r="CZ293" i="30"/>
  <c r="CB293" i="30"/>
  <c r="BF293" i="30"/>
  <c r="DN292" i="30"/>
  <c r="CR292" i="30"/>
  <c r="CA292" i="30"/>
  <c r="BE292" i="30"/>
  <c r="DM291" i="30"/>
  <c r="CQ291" i="30"/>
  <c r="CA291" i="30"/>
  <c r="BG291" i="30"/>
  <c r="CC306" i="30"/>
  <c r="BE305" i="30"/>
  <c r="DD301" i="30"/>
  <c r="CG300" i="30"/>
  <c r="BW299" i="30"/>
  <c r="CU298" i="30"/>
  <c r="BK298" i="30"/>
  <c r="DU294" i="30"/>
  <c r="CN294" i="30"/>
  <c r="BN294" i="30"/>
  <c r="CY293" i="30"/>
  <c r="CA293" i="30"/>
  <c r="BE293" i="30"/>
  <c r="DM292" i="30"/>
  <c r="CQ292" i="30"/>
  <c r="BZ292" i="30"/>
  <c r="BD292" i="30"/>
  <c r="DL291" i="30"/>
  <c r="CP291" i="30"/>
  <c r="BZ291" i="30"/>
  <c r="BF291" i="30"/>
  <c r="DT308" i="30"/>
  <c r="DI307" i="30"/>
  <c r="BO306" i="30"/>
  <c r="DL305" i="30"/>
  <c r="CQ301" i="30"/>
  <c r="BT300" i="30"/>
  <c r="DR299" i="30"/>
  <c r="BM299" i="30"/>
  <c r="CT298" i="30"/>
  <c r="BJ298" i="30"/>
  <c r="DT294" i="30"/>
  <c r="CM294" i="30"/>
  <c r="BM294" i="30"/>
  <c r="CX293" i="30"/>
  <c r="BZ293" i="30"/>
  <c r="BD293" i="30"/>
  <c r="DL292" i="30"/>
  <c r="CP292" i="30"/>
  <c r="BT292" i="30"/>
  <c r="BC292" i="30"/>
  <c r="DK291" i="30"/>
  <c r="CO291" i="30"/>
  <c r="BU291" i="30"/>
  <c r="BE291" i="30"/>
  <c r="DR308" i="30"/>
  <c r="DC307" i="30"/>
  <c r="BL306" i="30"/>
  <c r="DI305" i="30"/>
  <c r="CO301" i="30"/>
  <c r="BR300" i="30"/>
  <c r="DP299" i="30"/>
  <c r="BK299" i="30"/>
  <c r="CK298" i="30"/>
  <c r="DL294" i="30"/>
  <c r="CL294" i="30"/>
  <c r="BL294" i="30"/>
  <c r="CW293" i="30"/>
  <c r="BY293" i="30"/>
  <c r="BC293" i="30"/>
  <c r="DK292" i="30"/>
  <c r="CO292" i="30"/>
  <c r="BS292" i="30"/>
  <c r="DE291" i="30"/>
  <c r="CN291" i="30"/>
  <c r="BT291" i="30"/>
  <c r="BD291" i="30"/>
  <c r="CM308" i="30"/>
  <c r="CK307" i="30"/>
  <c r="CR305" i="30"/>
  <c r="BW301" i="30"/>
  <c r="DT300" i="30"/>
  <c r="DD299" i="30"/>
  <c r="DU298" i="30"/>
  <c r="CI298" i="30"/>
  <c r="DJ294" i="30"/>
  <c r="CJ294" i="30"/>
  <c r="BC294" i="30"/>
  <c r="DM293" i="30"/>
  <c r="CO293" i="30"/>
  <c r="BR293" i="30"/>
  <c r="DD292" i="30"/>
  <c r="CM292" i="30"/>
  <c r="BQ292" i="30"/>
  <c r="DC291" i="30"/>
  <c r="CL291" i="30"/>
  <c r="BR291" i="30"/>
  <c r="DO299" i="30"/>
  <c r="CN293" i="30"/>
  <c r="CL292" i="30"/>
  <c r="CG291" i="30"/>
  <c r="DE305" i="30"/>
  <c r="DA299" i="30"/>
  <c r="DK294" i="30"/>
  <c r="BS293" i="30"/>
  <c r="BR292" i="30"/>
  <c r="BS291" i="30"/>
  <c r="CP305" i="30"/>
  <c r="BJ299" i="30"/>
  <c r="DI294" i="30"/>
  <c r="BQ293" i="30"/>
  <c r="BP292" i="30"/>
  <c r="BQ291" i="30"/>
  <c r="CK294" i="30"/>
  <c r="BC291" i="30"/>
  <c r="CB294" i="30"/>
  <c r="CP308" i="30"/>
  <c r="DS298" i="30"/>
  <c r="BD294" i="30"/>
  <c r="BN308" i="30"/>
  <c r="CM301" i="30"/>
  <c r="CJ298" i="30"/>
  <c r="DA307" i="30"/>
  <c r="BU301" i="30"/>
  <c r="CH298" i="30"/>
  <c r="CE307" i="30"/>
  <c r="DT306" i="30"/>
  <c r="BP300" i="30"/>
  <c r="DL293" i="30"/>
  <c r="DC292" i="30"/>
  <c r="DB291" i="30"/>
  <c r="CN292" i="30"/>
  <c r="DD291" i="30"/>
  <c r="BH306" i="30"/>
  <c r="CM291" i="30"/>
  <c r="DR300" i="30"/>
  <c r="DU293" i="30"/>
  <c r="CP293" i="30"/>
  <c r="DJ292" i="30"/>
  <c r="DM356" i="30"/>
  <c r="DA356" i="30"/>
  <c r="CO356" i="30"/>
  <c r="CC356" i="30"/>
  <c r="BQ356" i="30"/>
  <c r="BE356" i="30"/>
  <c r="AS356" i="30"/>
  <c r="U356" i="30"/>
  <c r="I356" i="30"/>
  <c r="DL356" i="30"/>
  <c r="CZ356" i="30"/>
  <c r="CN356" i="30"/>
  <c r="CB356" i="30"/>
  <c r="BP356" i="30"/>
  <c r="BD356" i="30"/>
  <c r="AR356" i="30"/>
  <c r="T356" i="30"/>
  <c r="H356" i="30"/>
  <c r="DK356" i="30"/>
  <c r="CY356" i="30"/>
  <c r="CM356" i="30"/>
  <c r="CA356" i="30"/>
  <c r="BO356" i="30"/>
  <c r="BC356" i="30"/>
  <c r="AQ356" i="30"/>
  <c r="AE356" i="30"/>
  <c r="S356" i="30"/>
  <c r="G356" i="30"/>
  <c r="DJ356" i="30"/>
  <c r="CX356" i="30"/>
  <c r="CL356" i="30"/>
  <c r="DU356" i="30"/>
  <c r="DI356" i="30"/>
  <c r="CW356" i="30"/>
  <c r="CK356" i="30"/>
  <c r="BY356" i="30"/>
  <c r="BM356" i="30"/>
  <c r="BA356" i="30"/>
  <c r="AO356" i="30"/>
  <c r="AC356" i="30"/>
  <c r="Q356" i="30"/>
  <c r="E356" i="30"/>
  <c r="DT356" i="30"/>
  <c r="DH356" i="30"/>
  <c r="CV356" i="30"/>
  <c r="CJ356" i="30"/>
  <c r="BX356" i="30"/>
  <c r="BL356" i="30"/>
  <c r="AZ356" i="30"/>
  <c r="DO356" i="30"/>
  <c r="DC356" i="30"/>
  <c r="CQ356" i="30"/>
  <c r="CE356" i="30"/>
  <c r="BS356" i="30"/>
  <c r="BG356" i="30"/>
  <c r="AU356" i="30"/>
  <c r="DP356" i="30"/>
  <c r="CI356" i="30"/>
  <c r="BI356" i="30"/>
  <c r="AJ356" i="30"/>
  <c r="N356" i="30"/>
  <c r="DN356" i="30"/>
  <c r="CH356" i="30"/>
  <c r="BH356" i="30"/>
  <c r="AI356" i="30"/>
  <c r="M356" i="30"/>
  <c r="DG356" i="30"/>
  <c r="CG356" i="30"/>
  <c r="BF356" i="30"/>
  <c r="AH356" i="30"/>
  <c r="L356" i="30"/>
  <c r="DF356" i="30"/>
  <c r="CF356" i="30"/>
  <c r="AY356" i="30"/>
  <c r="AB356" i="30"/>
  <c r="K356" i="30"/>
  <c r="DE356" i="30"/>
  <c r="CD356" i="30"/>
  <c r="AX356" i="30"/>
  <c r="AA356" i="30"/>
  <c r="J356" i="30"/>
  <c r="DD356" i="30"/>
  <c r="BW356" i="30"/>
  <c r="AW356" i="30"/>
  <c r="Z356" i="30"/>
  <c r="DB356" i="30"/>
  <c r="BV356" i="30"/>
  <c r="AV356" i="30"/>
  <c r="Y356" i="30"/>
  <c r="CU356" i="30"/>
  <c r="BU356" i="30"/>
  <c r="AT356" i="30"/>
  <c r="X356" i="30"/>
  <c r="DR356" i="30"/>
  <c r="CR356" i="30"/>
  <c r="BK356" i="30"/>
  <c r="AL356" i="30"/>
  <c r="P356" i="30"/>
  <c r="BJ356" i="30"/>
  <c r="AN356" i="30"/>
  <c r="AM356" i="30"/>
  <c r="AK356" i="30"/>
  <c r="W356" i="30"/>
  <c r="DS356" i="30"/>
  <c r="V356" i="30"/>
  <c r="DQ356" i="30"/>
  <c r="O356" i="30"/>
  <c r="CT356" i="30"/>
  <c r="CS356" i="30"/>
  <c r="CP356" i="30"/>
  <c r="BT356" i="30"/>
  <c r="BR356" i="30"/>
  <c r="DQ235" i="30"/>
  <c r="DE235" i="30"/>
  <c r="CS235" i="30"/>
  <c r="CG235" i="30"/>
  <c r="BU235" i="30"/>
  <c r="BI235" i="30"/>
  <c r="DS233" i="30"/>
  <c r="DG233" i="30"/>
  <c r="CU233" i="30"/>
  <c r="CI233" i="30"/>
  <c r="BW233" i="30"/>
  <c r="BK233" i="30"/>
  <c r="DT232" i="30"/>
  <c r="DH232" i="30"/>
  <c r="CV232" i="30"/>
  <c r="CJ232" i="30"/>
  <c r="BX232" i="30"/>
  <c r="BL232" i="30"/>
  <c r="DP235" i="30"/>
  <c r="DD235" i="30"/>
  <c r="CR235" i="30"/>
  <c r="CF235" i="30"/>
  <c r="BT235" i="30"/>
  <c r="BH235" i="30"/>
  <c r="DR233" i="30"/>
  <c r="DF233" i="30"/>
  <c r="CT233" i="30"/>
  <c r="CH233" i="30"/>
  <c r="BV233" i="30"/>
  <c r="BJ233" i="30"/>
  <c r="DS232" i="30"/>
  <c r="DG232" i="30"/>
  <c r="CU232" i="30"/>
  <c r="CI232" i="30"/>
  <c r="BW232" i="30"/>
  <c r="BK232" i="30"/>
  <c r="DO235" i="30"/>
  <c r="DC235" i="30"/>
  <c r="CQ235" i="30"/>
  <c r="CE235" i="30"/>
  <c r="BS235" i="30"/>
  <c r="BG235" i="30"/>
  <c r="DQ233" i="30"/>
  <c r="DE233" i="30"/>
  <c r="CS233" i="30"/>
  <c r="CG233" i="30"/>
  <c r="BU233" i="30"/>
  <c r="BI233" i="30"/>
  <c r="DR232" i="30"/>
  <c r="DF232" i="30"/>
  <c r="CT232" i="30"/>
  <c r="CH232" i="30"/>
  <c r="BV232" i="30"/>
  <c r="BJ232" i="30"/>
  <c r="DN235" i="30"/>
  <c r="DB235" i="30"/>
  <c r="CP235" i="30"/>
  <c r="CD235" i="30"/>
  <c r="BR235" i="30"/>
  <c r="BF235" i="30"/>
  <c r="DM235" i="30"/>
  <c r="DA235" i="30"/>
  <c r="CO235" i="30"/>
  <c r="CC235" i="30"/>
  <c r="BQ235" i="30"/>
  <c r="BE235" i="30"/>
  <c r="DO233" i="30"/>
  <c r="DC233" i="30"/>
  <c r="CQ233" i="30"/>
  <c r="CE233" i="30"/>
  <c r="BS233" i="30"/>
  <c r="BG233" i="30"/>
  <c r="DP232" i="30"/>
  <c r="DD232" i="30"/>
  <c r="CR232" i="30"/>
  <c r="CF232" i="30"/>
  <c r="BT232" i="30"/>
  <c r="BH232" i="30"/>
  <c r="DL235" i="30"/>
  <c r="CZ235" i="30"/>
  <c r="CN235" i="30"/>
  <c r="CB235" i="30"/>
  <c r="BP235" i="30"/>
  <c r="BD235" i="30"/>
  <c r="DK235" i="30"/>
  <c r="CY235" i="30"/>
  <c r="CM235" i="30"/>
  <c r="CA235" i="30"/>
  <c r="DU235" i="30"/>
  <c r="DI235" i="30"/>
  <c r="CW235" i="30"/>
  <c r="CK235" i="30"/>
  <c r="BY235" i="30"/>
  <c r="BM235" i="30"/>
  <c r="DS235" i="30"/>
  <c r="DG235" i="30"/>
  <c r="CU235" i="30"/>
  <c r="CI235" i="30"/>
  <c r="BW235" i="30"/>
  <c r="BK235" i="30"/>
  <c r="CL235" i="30"/>
  <c r="DK233" i="30"/>
  <c r="CR233" i="30"/>
  <c r="CA233" i="30"/>
  <c r="BH233" i="30"/>
  <c r="DE232" i="30"/>
  <c r="CN232" i="30"/>
  <c r="BU232" i="30"/>
  <c r="BD232" i="30"/>
  <c r="DS228" i="30"/>
  <c r="DG228" i="30"/>
  <c r="CU228" i="30"/>
  <c r="CI228" i="30"/>
  <c r="BW228" i="30"/>
  <c r="BK228" i="30"/>
  <c r="AY228" i="30"/>
  <c r="AY307" i="30" s="1"/>
  <c r="AM228" i="30"/>
  <c r="AM307" i="30" s="1"/>
  <c r="AA228" i="30"/>
  <c r="AA307" i="30" s="1"/>
  <c r="O228" i="30"/>
  <c r="O307" i="30" s="1"/>
  <c r="DT227" i="30"/>
  <c r="DH227" i="30"/>
  <c r="CV227" i="30"/>
  <c r="CJ227" i="30"/>
  <c r="BX227" i="30"/>
  <c r="BL227" i="30"/>
  <c r="DU226" i="30"/>
  <c r="DI226" i="30"/>
  <c r="CW226" i="30"/>
  <c r="CK226" i="30"/>
  <c r="BY226" i="30"/>
  <c r="BM226" i="30"/>
  <c r="DJ225" i="30"/>
  <c r="CX225" i="30"/>
  <c r="CL225" i="30"/>
  <c r="BZ225" i="30"/>
  <c r="BN225" i="30"/>
  <c r="DK224" i="30"/>
  <c r="CY224" i="30"/>
  <c r="CM224" i="30"/>
  <c r="CA224" i="30"/>
  <c r="BO224" i="30"/>
  <c r="BC224" i="30"/>
  <c r="DL223" i="30"/>
  <c r="CZ223" i="30"/>
  <c r="CN223" i="30"/>
  <c r="CB223" i="30"/>
  <c r="BP223" i="30"/>
  <c r="BD223" i="30"/>
  <c r="AR223" i="30"/>
  <c r="AR305" i="30" s="1"/>
  <c r="AF223" i="30"/>
  <c r="T223" i="30"/>
  <c r="H223" i="30"/>
  <c r="H305" i="30" s="1"/>
  <c r="DO220" i="30"/>
  <c r="DC220" i="30"/>
  <c r="CQ220" i="30"/>
  <c r="CE220" i="30"/>
  <c r="BS220" i="30"/>
  <c r="BG220" i="30"/>
  <c r="AU220" i="30"/>
  <c r="AU300" i="30" s="1"/>
  <c r="AI220" i="30"/>
  <c r="AI300" i="30" s="1"/>
  <c r="W220" i="30"/>
  <c r="W300" i="30" s="1"/>
  <c r="K220" i="30"/>
  <c r="K300" i="30" s="1"/>
  <c r="DP219" i="30"/>
  <c r="DD219" i="30"/>
  <c r="CR219" i="30"/>
  <c r="CF219" i="30"/>
  <c r="BT219" i="30"/>
  <c r="BH219" i="30"/>
  <c r="DQ218" i="30"/>
  <c r="DE218" i="30"/>
  <c r="CS218" i="30"/>
  <c r="CG218" i="30"/>
  <c r="BU218" i="30"/>
  <c r="BI218" i="30"/>
  <c r="DR217" i="30"/>
  <c r="DF217" i="30"/>
  <c r="CT217" i="30"/>
  <c r="CH217" i="30"/>
  <c r="BV217" i="30"/>
  <c r="BJ217" i="30"/>
  <c r="DS216" i="30"/>
  <c r="DG216" i="30"/>
  <c r="CU216" i="30"/>
  <c r="CI216" i="30"/>
  <c r="BW216" i="30"/>
  <c r="BK216" i="30"/>
  <c r="DT215" i="30"/>
  <c r="DH215" i="30"/>
  <c r="CV215" i="30"/>
  <c r="CJ215" i="30"/>
  <c r="BX215" i="30"/>
  <c r="BL215" i="30"/>
  <c r="DK212" i="30"/>
  <c r="CY212" i="30"/>
  <c r="CM212" i="30"/>
  <c r="CA212" i="30"/>
  <c r="BO212" i="30"/>
  <c r="BC212" i="30"/>
  <c r="AQ212" i="30"/>
  <c r="AQ293" i="30" s="1"/>
  <c r="AE212" i="30"/>
  <c r="AE293" i="30" s="1"/>
  <c r="S212" i="30"/>
  <c r="S293" i="30" s="1"/>
  <c r="G212" i="30"/>
  <c r="G293" i="30" s="1"/>
  <c r="DL211" i="30"/>
  <c r="CZ211" i="30"/>
  <c r="CN211" i="30"/>
  <c r="CB211" i="30"/>
  <c r="BP211" i="30"/>
  <c r="BD211" i="30"/>
  <c r="DM210" i="30"/>
  <c r="DA210" i="30"/>
  <c r="CO210" i="30"/>
  <c r="CC210" i="30"/>
  <c r="BQ210" i="30"/>
  <c r="BE210" i="30"/>
  <c r="DN209" i="30"/>
  <c r="DB209" i="30"/>
  <c r="CP209" i="30"/>
  <c r="CD209" i="30"/>
  <c r="BR209" i="30"/>
  <c r="BF209" i="30"/>
  <c r="DO208" i="30"/>
  <c r="DC208" i="30"/>
  <c r="CJ235" i="30"/>
  <c r="DJ233" i="30"/>
  <c r="CP233" i="30"/>
  <c r="BZ233" i="30"/>
  <c r="BF233" i="30"/>
  <c r="DC232" i="30"/>
  <c r="CM232" i="30"/>
  <c r="BS232" i="30"/>
  <c r="BC232" i="30"/>
  <c r="DR228" i="30"/>
  <c r="DF228" i="30"/>
  <c r="CT228" i="30"/>
  <c r="CH228" i="30"/>
  <c r="BV228" i="30"/>
  <c r="BJ228" i="30"/>
  <c r="AX228" i="30"/>
  <c r="AX307" i="30" s="1"/>
  <c r="AL228" i="30"/>
  <c r="AL307" i="30" s="1"/>
  <c r="Z228" i="30"/>
  <c r="Z307" i="30" s="1"/>
  <c r="N228" i="30"/>
  <c r="N307" i="30" s="1"/>
  <c r="DS227" i="30"/>
  <c r="DG227" i="30"/>
  <c r="CU227" i="30"/>
  <c r="CI227" i="30"/>
  <c r="BW227" i="30"/>
  <c r="BK227" i="30"/>
  <c r="DT226" i="30"/>
  <c r="DH226" i="30"/>
  <c r="CV226" i="30"/>
  <c r="CJ226" i="30"/>
  <c r="BX226" i="30"/>
  <c r="BL226" i="30"/>
  <c r="DU225" i="30"/>
  <c r="DI225" i="30"/>
  <c r="CW225" i="30"/>
  <c r="CK225" i="30"/>
  <c r="BY225" i="30"/>
  <c r="BM225" i="30"/>
  <c r="DJ224" i="30"/>
  <c r="CX224" i="30"/>
  <c r="CL224" i="30"/>
  <c r="BZ224" i="30"/>
  <c r="BN224" i="30"/>
  <c r="DK223" i="30"/>
  <c r="CY223" i="30"/>
  <c r="CM223" i="30"/>
  <c r="CA223" i="30"/>
  <c r="BO223" i="30"/>
  <c r="BC223" i="30"/>
  <c r="AQ223" i="30"/>
  <c r="AQ305" i="30" s="1"/>
  <c r="AE223" i="30"/>
  <c r="S223" i="30"/>
  <c r="G223" i="30"/>
  <c r="DN220" i="30"/>
  <c r="DB220" i="30"/>
  <c r="CP220" i="30"/>
  <c r="CD220" i="30"/>
  <c r="BR220" i="30"/>
  <c r="BF220" i="30"/>
  <c r="AT220" i="30"/>
  <c r="AT300" i="30" s="1"/>
  <c r="AH220" i="30"/>
  <c r="AH300" i="30" s="1"/>
  <c r="V220" i="30"/>
  <c r="V300" i="30" s="1"/>
  <c r="J220" i="30"/>
  <c r="J300" i="30" s="1"/>
  <c r="DO219" i="30"/>
  <c r="DC219" i="30"/>
  <c r="CQ219" i="30"/>
  <c r="CE219" i="30"/>
  <c r="BS219" i="30"/>
  <c r="BG219" i="30"/>
  <c r="DP218" i="30"/>
  <c r="DD218" i="30"/>
  <c r="CR218" i="30"/>
  <c r="CF218" i="30"/>
  <c r="BT218" i="30"/>
  <c r="BH218" i="30"/>
  <c r="DQ217" i="30"/>
  <c r="DE217" i="30"/>
  <c r="CS217" i="30"/>
  <c r="CG217" i="30"/>
  <c r="BU217" i="30"/>
  <c r="BI217" i="30"/>
  <c r="DR216" i="30"/>
  <c r="DF216" i="30"/>
  <c r="CT216" i="30"/>
  <c r="CH216" i="30"/>
  <c r="BV216" i="30"/>
  <c r="BJ216" i="30"/>
  <c r="DS215" i="30"/>
  <c r="DG215" i="30"/>
  <c r="CU215" i="30"/>
  <c r="CI215" i="30"/>
  <c r="BW215" i="30"/>
  <c r="BK215" i="30"/>
  <c r="DJ212" i="30"/>
  <c r="CX212" i="30"/>
  <c r="CL212" i="30"/>
  <c r="BZ212" i="30"/>
  <c r="BN212" i="30"/>
  <c r="AP212" i="30"/>
  <c r="AP293" i="30" s="1"/>
  <c r="AD212" i="30"/>
  <c r="AD293" i="30" s="1"/>
  <c r="R212" i="30"/>
  <c r="R293" i="30" s="1"/>
  <c r="F212" i="30"/>
  <c r="F293" i="30" s="1"/>
  <c r="DK211" i="30"/>
  <c r="CY211" i="30"/>
  <c r="CM211" i="30"/>
  <c r="CA211" i="30"/>
  <c r="BO211" i="30"/>
  <c r="BC211" i="30"/>
  <c r="DL210" i="30"/>
  <c r="CZ210" i="30"/>
  <c r="CN210" i="30"/>
  <c r="CB210" i="30"/>
  <c r="BP210" i="30"/>
  <c r="BD210" i="30"/>
  <c r="DM209" i="30"/>
  <c r="DA209" i="30"/>
  <c r="CO209" i="30"/>
  <c r="CC209" i="30"/>
  <c r="BQ209" i="30"/>
  <c r="BE209" i="30"/>
  <c r="CH235" i="30"/>
  <c r="DI233" i="30"/>
  <c r="CO233" i="30"/>
  <c r="BY233" i="30"/>
  <c r="BE233" i="30"/>
  <c r="DB232" i="30"/>
  <c r="CL232" i="30"/>
  <c r="BR232" i="30"/>
  <c r="DQ228" i="30"/>
  <c r="DE228" i="30"/>
  <c r="CS228" i="30"/>
  <c r="CG228" i="30"/>
  <c r="BU228" i="30"/>
  <c r="BI228" i="30"/>
  <c r="AW228" i="30"/>
  <c r="AW307" i="30" s="1"/>
  <c r="AK228" i="30"/>
  <c r="AK307" i="30" s="1"/>
  <c r="Y228" i="30"/>
  <c r="Y307" i="30" s="1"/>
  <c r="M228" i="30"/>
  <c r="M307" i="30" s="1"/>
  <c r="DR227" i="30"/>
  <c r="DF227" i="30"/>
  <c r="CT227" i="30"/>
  <c r="CH227" i="30"/>
  <c r="BV227" i="30"/>
  <c r="BJ227" i="30"/>
  <c r="DS226" i="30"/>
  <c r="DG226" i="30"/>
  <c r="CU226" i="30"/>
  <c r="CI226" i="30"/>
  <c r="BW226" i="30"/>
  <c r="BK226" i="30"/>
  <c r="DT225" i="30"/>
  <c r="DH225" i="30"/>
  <c r="CV225" i="30"/>
  <c r="CJ225" i="30"/>
  <c r="BX225" i="30"/>
  <c r="BL225" i="30"/>
  <c r="DU224" i="30"/>
  <c r="DI224" i="30"/>
  <c r="CW224" i="30"/>
  <c r="CK224" i="30"/>
  <c r="BY224" i="30"/>
  <c r="BM224" i="30"/>
  <c r="DJ223" i="30"/>
  <c r="CX223" i="30"/>
  <c r="CL223" i="30"/>
  <c r="BZ223" i="30"/>
  <c r="BN223" i="30"/>
  <c r="BB223" i="30"/>
  <c r="BB305" i="30" s="1"/>
  <c r="AP223" i="30"/>
  <c r="AP305" i="30" s="1"/>
  <c r="AD223" i="30"/>
  <c r="R223" i="30"/>
  <c r="R305" i="30" s="1"/>
  <c r="F223" i="30"/>
  <c r="F305" i="30" s="1"/>
  <c r="DM220" i="30"/>
  <c r="DA220" i="30"/>
  <c r="CO220" i="30"/>
  <c r="CC220" i="30"/>
  <c r="BQ220" i="30"/>
  <c r="BE220" i="30"/>
  <c r="AS220" i="30"/>
  <c r="AS300" i="30" s="1"/>
  <c r="U220" i="30"/>
  <c r="U300" i="30" s="1"/>
  <c r="I220" i="30"/>
  <c r="I300" i="30" s="1"/>
  <c r="DN219" i="30"/>
  <c r="DB219" i="30"/>
  <c r="CP219" i="30"/>
  <c r="CD219" i="30"/>
  <c r="BR219" i="30"/>
  <c r="BF219" i="30"/>
  <c r="DO218" i="30"/>
  <c r="DC218" i="30"/>
  <c r="CQ218" i="30"/>
  <c r="CE218" i="30"/>
  <c r="BS218" i="30"/>
  <c r="BG218" i="30"/>
  <c r="DP217" i="30"/>
  <c r="DD217" i="30"/>
  <c r="CR217" i="30"/>
  <c r="CF217" i="30"/>
  <c r="BT217" i="30"/>
  <c r="BH217" i="30"/>
  <c r="DQ216" i="30"/>
  <c r="DE216" i="30"/>
  <c r="CS216" i="30"/>
  <c r="CG216" i="30"/>
  <c r="BU216" i="30"/>
  <c r="BI216" i="30"/>
  <c r="DR215" i="30"/>
  <c r="DF215" i="30"/>
  <c r="CT215" i="30"/>
  <c r="CH215" i="30"/>
  <c r="BV215" i="30"/>
  <c r="BJ215" i="30"/>
  <c r="DU212" i="30"/>
  <c r="DI212" i="30"/>
  <c r="CW212" i="30"/>
  <c r="CK212" i="30"/>
  <c r="BY212" i="30"/>
  <c r="BM212" i="30"/>
  <c r="BA212" i="30"/>
  <c r="BA293" i="30" s="1"/>
  <c r="AO212" i="30"/>
  <c r="AO293" i="30" s="1"/>
  <c r="AC212" i="30"/>
  <c r="AC293" i="30" s="1"/>
  <c r="Q212" i="30"/>
  <c r="Q293" i="30" s="1"/>
  <c r="E212" i="30"/>
  <c r="E293" i="30" s="1"/>
  <c r="DJ211" i="30"/>
  <c r="CX211" i="30"/>
  <c r="CL211" i="30"/>
  <c r="BZ211" i="30"/>
  <c r="BN211" i="30"/>
  <c r="DK210" i="30"/>
  <c r="CY210" i="30"/>
  <c r="CM210" i="30"/>
  <c r="CA210" i="30"/>
  <c r="BO210" i="30"/>
  <c r="BC210" i="30"/>
  <c r="DL209" i="30"/>
  <c r="CZ209" i="30"/>
  <c r="CN209" i="30"/>
  <c r="CB209" i="30"/>
  <c r="BP209" i="30"/>
  <c r="BD209" i="30"/>
  <c r="DM208" i="30"/>
  <c r="DA208" i="30"/>
  <c r="BZ235" i="30"/>
  <c r="DH233" i="30"/>
  <c r="CN233" i="30"/>
  <c r="BX233" i="30"/>
  <c r="BD233" i="30"/>
  <c r="DU232" i="30"/>
  <c r="DA232" i="30"/>
  <c r="CK232" i="30"/>
  <c r="BQ232" i="30"/>
  <c r="DP228" i="30"/>
  <c r="DD228" i="30"/>
  <c r="CR228" i="30"/>
  <c r="CF228" i="30"/>
  <c r="BT228" i="30"/>
  <c r="BH228" i="30"/>
  <c r="AV228" i="30"/>
  <c r="AV307" i="30" s="1"/>
  <c r="AJ228" i="30"/>
  <c r="AJ307" i="30" s="1"/>
  <c r="X228" i="30"/>
  <c r="X307" i="30" s="1"/>
  <c r="L228" i="30"/>
  <c r="L307" i="30" s="1"/>
  <c r="DQ227" i="30"/>
  <c r="DE227" i="30"/>
  <c r="CS227" i="30"/>
  <c r="CG227" i="30"/>
  <c r="BU227" i="30"/>
  <c r="BI227" i="30"/>
  <c r="DR226" i="30"/>
  <c r="DF226" i="30"/>
  <c r="CT226" i="30"/>
  <c r="CH226" i="30"/>
  <c r="BV226" i="30"/>
  <c r="BJ226" i="30"/>
  <c r="DS225" i="30"/>
  <c r="DG225" i="30"/>
  <c r="CU225" i="30"/>
  <c r="CI225" i="30"/>
  <c r="BW225" i="30"/>
  <c r="BK225" i="30"/>
  <c r="DT224" i="30"/>
  <c r="DH224" i="30"/>
  <c r="CV224" i="30"/>
  <c r="CJ224" i="30"/>
  <c r="BX224" i="30"/>
  <c r="BL224" i="30"/>
  <c r="DU223" i="30"/>
  <c r="DI223" i="30"/>
  <c r="CW223" i="30"/>
  <c r="CK223" i="30"/>
  <c r="BY223" i="30"/>
  <c r="BM223" i="30"/>
  <c r="BA223" i="30"/>
  <c r="BA305" i="30" s="1"/>
  <c r="AO223" i="30"/>
  <c r="AO305" i="30" s="1"/>
  <c r="AC223" i="30"/>
  <c r="AC305" i="30" s="1"/>
  <c r="Q223" i="30"/>
  <c r="Q305" i="30" s="1"/>
  <c r="E223" i="30"/>
  <c r="E305" i="30" s="1"/>
  <c r="DL220" i="30"/>
  <c r="CZ220" i="30"/>
  <c r="CN220" i="30"/>
  <c r="CB220" i="30"/>
  <c r="BP220" i="30"/>
  <c r="BD220" i="30"/>
  <c r="AR220" i="30"/>
  <c r="AR300" i="30" s="1"/>
  <c r="T220" i="30"/>
  <c r="T300" i="30" s="1"/>
  <c r="H220" i="30"/>
  <c r="H300" i="30" s="1"/>
  <c r="DM219" i="30"/>
  <c r="DA219" i="30"/>
  <c r="CO219" i="30"/>
  <c r="CC219" i="30"/>
  <c r="BQ219" i="30"/>
  <c r="BE219" i="30"/>
  <c r="DN218" i="30"/>
  <c r="DB218" i="30"/>
  <c r="CP218" i="30"/>
  <c r="CD218" i="30"/>
  <c r="BR218" i="30"/>
  <c r="BF218" i="30"/>
  <c r="DO217" i="30"/>
  <c r="DC217" i="30"/>
  <c r="CQ217" i="30"/>
  <c r="CE217" i="30"/>
  <c r="BS217" i="30"/>
  <c r="BG217" i="30"/>
  <c r="DP216" i="30"/>
  <c r="DD216" i="30"/>
  <c r="CR216" i="30"/>
  <c r="CF216" i="30"/>
  <c r="BT216" i="30"/>
  <c r="BH216" i="30"/>
  <c r="DQ215" i="30"/>
  <c r="DE215" i="30"/>
  <c r="DT235" i="30"/>
  <c r="BX235" i="30"/>
  <c r="DD233" i="30"/>
  <c r="CM233" i="30"/>
  <c r="BT233" i="30"/>
  <c r="BC233" i="30"/>
  <c r="DQ232" i="30"/>
  <c r="CZ232" i="30"/>
  <c r="CG232" i="30"/>
  <c r="BP232" i="30"/>
  <c r="DO228" i="30"/>
  <c r="DC228" i="30"/>
  <c r="CQ228" i="30"/>
  <c r="CE228" i="30"/>
  <c r="BS228" i="30"/>
  <c r="BG228" i="30"/>
  <c r="AU228" i="30"/>
  <c r="AU307" i="30" s="1"/>
  <c r="AI228" i="30"/>
  <c r="AI307" i="30" s="1"/>
  <c r="W228" i="30"/>
  <c r="W307" i="30" s="1"/>
  <c r="K228" i="30"/>
  <c r="K307" i="30" s="1"/>
  <c r="DP227" i="30"/>
  <c r="DD227" i="30"/>
  <c r="CR227" i="30"/>
  <c r="CF227" i="30"/>
  <c r="BT227" i="30"/>
  <c r="BH227" i="30"/>
  <c r="DQ226" i="30"/>
  <c r="DE226" i="30"/>
  <c r="CS226" i="30"/>
  <c r="CG226" i="30"/>
  <c r="BU226" i="30"/>
  <c r="BI226" i="30"/>
  <c r="DR225" i="30"/>
  <c r="DF225" i="30"/>
  <c r="CT225" i="30"/>
  <c r="CH225" i="30"/>
  <c r="BV225" i="30"/>
  <c r="BJ225" i="30"/>
  <c r="DS224" i="30"/>
  <c r="DG224" i="30"/>
  <c r="CU224" i="30"/>
  <c r="CI224" i="30"/>
  <c r="BW224" i="30"/>
  <c r="BK224" i="30"/>
  <c r="DT223" i="30"/>
  <c r="DH223" i="30"/>
  <c r="CV223" i="30"/>
  <c r="CJ223" i="30"/>
  <c r="BX223" i="30"/>
  <c r="BL223" i="30"/>
  <c r="AZ223" i="30"/>
  <c r="AZ305" i="30" s="1"/>
  <c r="AN223" i="30"/>
  <c r="AN305" i="30" s="1"/>
  <c r="AB223" i="30"/>
  <c r="AB305" i="30" s="1"/>
  <c r="P223" i="30"/>
  <c r="P305" i="30" s="1"/>
  <c r="DK220" i="30"/>
  <c r="CY220" i="30"/>
  <c r="CM220" i="30"/>
  <c r="CA220" i="30"/>
  <c r="BO220" i="30"/>
  <c r="BC220" i="30"/>
  <c r="AQ220" i="30"/>
  <c r="AQ300" i="30" s="1"/>
  <c r="AE220" i="30"/>
  <c r="AE300" i="30" s="1"/>
  <c r="S220" i="30"/>
  <c r="S300" i="30" s="1"/>
  <c r="G220" i="30"/>
  <c r="G300" i="30" s="1"/>
  <c r="DL219" i="30"/>
  <c r="CZ219" i="30"/>
  <c r="CN219" i="30"/>
  <c r="CB219" i="30"/>
  <c r="BP219" i="30"/>
  <c r="BD219" i="30"/>
  <c r="DM218" i="30"/>
  <c r="DA218" i="30"/>
  <c r="CO218" i="30"/>
  <c r="CC218" i="30"/>
  <c r="BQ218" i="30"/>
  <c r="BE218" i="30"/>
  <c r="DN217" i="30"/>
  <c r="DB217" i="30"/>
  <c r="CP217" i="30"/>
  <c r="CD217" i="30"/>
  <c r="BR217" i="30"/>
  <c r="BF217" i="30"/>
  <c r="DO216" i="30"/>
  <c r="DC216" i="30"/>
  <c r="CQ216" i="30"/>
  <c r="CE216" i="30"/>
  <c r="BS216" i="30"/>
  <c r="BG216" i="30"/>
  <c r="DP215" i="30"/>
  <c r="DD215" i="30"/>
  <c r="CR215" i="30"/>
  <c r="CF215" i="30"/>
  <c r="BT215" i="30"/>
  <c r="BH215" i="30"/>
  <c r="DS212" i="30"/>
  <c r="DG212" i="30"/>
  <c r="CU212" i="30"/>
  <c r="CI212" i="30"/>
  <c r="BW212" i="30"/>
  <c r="BK212" i="30"/>
  <c r="AY212" i="30"/>
  <c r="AY293" i="30" s="1"/>
  <c r="AM212" i="30"/>
  <c r="AM293" i="30" s="1"/>
  <c r="AA212" i="30"/>
  <c r="AA235" i="30" s="1"/>
  <c r="O212" i="30"/>
  <c r="DT211" i="30"/>
  <c r="DH211" i="30"/>
  <c r="CV211" i="30"/>
  <c r="CJ211" i="30"/>
  <c r="BX211" i="30"/>
  <c r="BL211" i="30"/>
  <c r="DU210" i="30"/>
  <c r="DI210" i="30"/>
  <c r="CW210" i="30"/>
  <c r="CK210" i="30"/>
  <c r="BY210" i="30"/>
  <c r="BM210" i="30"/>
  <c r="DJ209" i="30"/>
  <c r="CX209" i="30"/>
  <c r="CL209" i="30"/>
  <c r="BZ209" i="30"/>
  <c r="BN209" i="30"/>
  <c r="DK208" i="30"/>
  <c r="CY208" i="30"/>
  <c r="DR235" i="30"/>
  <c r="BV235" i="30"/>
  <c r="DB233" i="30"/>
  <c r="CL233" i="30"/>
  <c r="BR233" i="30"/>
  <c r="DO232" i="30"/>
  <c r="CY232" i="30"/>
  <c r="CE232" i="30"/>
  <c r="BO232" i="30"/>
  <c r="DN228" i="30"/>
  <c r="DB228" i="30"/>
  <c r="CP228" i="30"/>
  <c r="CD228" i="30"/>
  <c r="BR228" i="30"/>
  <c r="BF228" i="30"/>
  <c r="AT228" i="30"/>
  <c r="AT307" i="30" s="1"/>
  <c r="AH228" i="30"/>
  <c r="AH307" i="30" s="1"/>
  <c r="V228" i="30"/>
  <c r="V307" i="30" s="1"/>
  <c r="J228" i="30"/>
  <c r="J307" i="30" s="1"/>
  <c r="DO227" i="30"/>
  <c r="DC227" i="30"/>
  <c r="CQ227" i="30"/>
  <c r="CE227" i="30"/>
  <c r="BS227" i="30"/>
  <c r="BG227" i="30"/>
  <c r="DP226" i="30"/>
  <c r="DD226" i="30"/>
  <c r="CR226" i="30"/>
  <c r="CF226" i="30"/>
  <c r="BT226" i="30"/>
  <c r="BH226" i="30"/>
  <c r="DQ225" i="30"/>
  <c r="DE225" i="30"/>
  <c r="CS225" i="30"/>
  <c r="CG225" i="30"/>
  <c r="BU225" i="30"/>
  <c r="BI225" i="30"/>
  <c r="DR224" i="30"/>
  <c r="DF224" i="30"/>
  <c r="CT224" i="30"/>
  <c r="CH224" i="30"/>
  <c r="BV224" i="30"/>
  <c r="BJ224" i="30"/>
  <c r="DS223" i="30"/>
  <c r="DG223" i="30"/>
  <c r="CU223" i="30"/>
  <c r="CI223" i="30"/>
  <c r="BW223" i="30"/>
  <c r="BK223" i="30"/>
  <c r="AY223" i="30"/>
  <c r="AY305" i="30" s="1"/>
  <c r="AM223" i="30"/>
  <c r="AM305" i="30" s="1"/>
  <c r="AA223" i="30"/>
  <c r="O223" i="30"/>
  <c r="O305" i="30" s="1"/>
  <c r="DJ220" i="30"/>
  <c r="CX220" i="30"/>
  <c r="CL220" i="30"/>
  <c r="BZ220" i="30"/>
  <c r="BN220" i="30"/>
  <c r="AP220" i="30"/>
  <c r="AP300" i="30" s="1"/>
  <c r="AD220" i="30"/>
  <c r="AD300" i="30" s="1"/>
  <c r="R220" i="30"/>
  <c r="R300" i="30" s="1"/>
  <c r="F220" i="30"/>
  <c r="F300" i="30" s="1"/>
  <c r="DK219" i="30"/>
  <c r="CY219" i="30"/>
  <c r="CM219" i="30"/>
  <c r="CA219" i="30"/>
  <c r="BO219" i="30"/>
  <c r="BC219" i="30"/>
  <c r="DL218" i="30"/>
  <c r="CZ218" i="30"/>
  <c r="CN218" i="30"/>
  <c r="CB218" i="30"/>
  <c r="BP218" i="30"/>
  <c r="BD218" i="30"/>
  <c r="DM217" i="30"/>
  <c r="DA217" i="30"/>
  <c r="CO217" i="30"/>
  <c r="CC217" i="30"/>
  <c r="BQ217" i="30"/>
  <c r="BE217" i="30"/>
  <c r="DN216" i="30"/>
  <c r="DB216" i="30"/>
  <c r="CP216" i="30"/>
  <c r="CD216" i="30"/>
  <c r="BR216" i="30"/>
  <c r="BF216" i="30"/>
  <c r="DO215" i="30"/>
  <c r="DC215" i="30"/>
  <c r="DJ235" i="30"/>
  <c r="BO235" i="30"/>
  <c r="DU233" i="30"/>
  <c r="DA233" i="30"/>
  <c r="CK233" i="30"/>
  <c r="BQ233" i="30"/>
  <c r="DN232" i="30"/>
  <c r="CX232" i="30"/>
  <c r="CD232" i="30"/>
  <c r="BN232" i="30"/>
  <c r="DM228" i="30"/>
  <c r="DA228" i="30"/>
  <c r="CO228" i="30"/>
  <c r="CC228" i="30"/>
  <c r="BQ228" i="30"/>
  <c r="BE228" i="30"/>
  <c r="AS228" i="30"/>
  <c r="AS307" i="30" s="1"/>
  <c r="U228" i="30"/>
  <c r="U307" i="30" s="1"/>
  <c r="I228" i="30"/>
  <c r="I307" i="30" s="1"/>
  <c r="DN227" i="30"/>
  <c r="DB227" i="30"/>
  <c r="CP227" i="30"/>
  <c r="CD227" i="30"/>
  <c r="BR227" i="30"/>
  <c r="BF227" i="30"/>
  <c r="DO226" i="30"/>
  <c r="DC226" i="30"/>
  <c r="CQ226" i="30"/>
  <c r="CE226" i="30"/>
  <c r="BS226" i="30"/>
  <c r="BG226" i="30"/>
  <c r="DP225" i="30"/>
  <c r="DD225" i="30"/>
  <c r="CR225" i="30"/>
  <c r="CF225" i="30"/>
  <c r="BT225" i="30"/>
  <c r="BH225" i="30"/>
  <c r="DQ224" i="30"/>
  <c r="DE224" i="30"/>
  <c r="CS224" i="30"/>
  <c r="CG224" i="30"/>
  <c r="BU224" i="30"/>
  <c r="BI224" i="30"/>
  <c r="DR223" i="30"/>
  <c r="DF223" i="30"/>
  <c r="CT223" i="30"/>
  <c r="CH223" i="30"/>
  <c r="BV223" i="30"/>
  <c r="BJ223" i="30"/>
  <c r="AX223" i="30"/>
  <c r="AX305" i="30" s="1"/>
  <c r="AL223" i="30"/>
  <c r="AL305" i="30" s="1"/>
  <c r="Z223" i="30"/>
  <c r="Z305" i="30" s="1"/>
  <c r="N223" i="30"/>
  <c r="DU220" i="30"/>
  <c r="DI220" i="30"/>
  <c r="CW220" i="30"/>
  <c r="CK220" i="30"/>
  <c r="BY220" i="30"/>
  <c r="BM220" i="30"/>
  <c r="BA220" i="30"/>
  <c r="BA300" i="30" s="1"/>
  <c r="AO220" i="30"/>
  <c r="AO300" i="30" s="1"/>
  <c r="AC220" i="30"/>
  <c r="AC300" i="30" s="1"/>
  <c r="Q220" i="30"/>
  <c r="Q300" i="30" s="1"/>
  <c r="E220" i="30"/>
  <c r="E300" i="30" s="1"/>
  <c r="DJ219" i="30"/>
  <c r="CX219" i="30"/>
  <c r="CL219" i="30"/>
  <c r="BZ219" i="30"/>
  <c r="BN219" i="30"/>
  <c r="DK218" i="30"/>
  <c r="CY218" i="30"/>
  <c r="CM218" i="30"/>
  <c r="CA218" i="30"/>
  <c r="BO218" i="30"/>
  <c r="BC218" i="30"/>
  <c r="DL217" i="30"/>
  <c r="CZ217" i="30"/>
  <c r="CN217" i="30"/>
  <c r="CB217" i="30"/>
  <c r="BP217" i="30"/>
  <c r="BD217" i="30"/>
  <c r="DM216" i="30"/>
  <c r="DA216" i="30"/>
  <c r="DH235" i="30"/>
  <c r="BN235" i="30"/>
  <c r="DT233" i="30"/>
  <c r="CZ233" i="30"/>
  <c r="CJ233" i="30"/>
  <c r="BP233" i="30"/>
  <c r="DM232" i="30"/>
  <c r="CW232" i="30"/>
  <c r="CC232" i="30"/>
  <c r="BM232" i="30"/>
  <c r="DL228" i="30"/>
  <c r="CZ228" i="30"/>
  <c r="CN228" i="30"/>
  <c r="CB228" i="30"/>
  <c r="BP228" i="30"/>
  <c r="BD228" i="30"/>
  <c r="AR228" i="30"/>
  <c r="AR307" i="30" s="1"/>
  <c r="T228" i="30"/>
  <c r="T307" i="30" s="1"/>
  <c r="H228" i="30"/>
  <c r="H307" i="30" s="1"/>
  <c r="DM227" i="30"/>
  <c r="DA227" i="30"/>
  <c r="CO227" i="30"/>
  <c r="CC227" i="30"/>
  <c r="BQ227" i="30"/>
  <c r="BE227" i="30"/>
  <c r="DN226" i="30"/>
  <c r="DB226" i="30"/>
  <c r="CP226" i="30"/>
  <c r="CD226" i="30"/>
  <c r="BR226" i="30"/>
  <c r="BF226" i="30"/>
  <c r="DO225" i="30"/>
  <c r="DC225" i="30"/>
  <c r="CQ225" i="30"/>
  <c r="CE225" i="30"/>
  <c r="BS225" i="30"/>
  <c r="BG225" i="30"/>
  <c r="DP224" i="30"/>
  <c r="DD224" i="30"/>
  <c r="CR224" i="30"/>
  <c r="CF224" i="30"/>
  <c r="BT224" i="30"/>
  <c r="BH224" i="30"/>
  <c r="DQ223" i="30"/>
  <c r="DE223" i="30"/>
  <c r="CS223" i="30"/>
  <c r="CG223" i="30"/>
  <c r="BU223" i="30"/>
  <c r="BI223" i="30"/>
  <c r="AW223" i="30"/>
  <c r="AW305" i="30" s="1"/>
  <c r="AK223" i="30"/>
  <c r="AK305" i="30" s="1"/>
  <c r="Y223" i="30"/>
  <c r="Y305" i="30" s="1"/>
  <c r="M223" i="30"/>
  <c r="DT220" i="30"/>
  <c r="DH220" i="30"/>
  <c r="CV220" i="30"/>
  <c r="CJ220" i="30"/>
  <c r="BX220" i="30"/>
  <c r="BL220" i="30"/>
  <c r="AZ220" i="30"/>
  <c r="AZ300" i="30" s="1"/>
  <c r="AN220" i="30"/>
  <c r="AN300" i="30" s="1"/>
  <c r="AB220" i="30"/>
  <c r="AB300" i="30" s="1"/>
  <c r="P220" i="30"/>
  <c r="P300" i="30" s="1"/>
  <c r="DU219" i="30"/>
  <c r="DI219" i="30"/>
  <c r="CW219" i="30"/>
  <c r="CK219" i="30"/>
  <c r="BY219" i="30"/>
  <c r="BM219" i="30"/>
  <c r="DJ218" i="30"/>
  <c r="DF235" i="30"/>
  <c r="BL235" i="30"/>
  <c r="DP233" i="30"/>
  <c r="CY233" i="30"/>
  <c r="CF233" i="30"/>
  <c r="BO233" i="30"/>
  <c r="DL232" i="30"/>
  <c r="CS232" i="30"/>
  <c r="CB232" i="30"/>
  <c r="BI232" i="30"/>
  <c r="DK228" i="30"/>
  <c r="CY228" i="30"/>
  <c r="CM228" i="30"/>
  <c r="CA228" i="30"/>
  <c r="BO228" i="30"/>
  <c r="BC228" i="30"/>
  <c r="AQ228" i="30"/>
  <c r="AQ307" i="30" s="1"/>
  <c r="AE228" i="30"/>
  <c r="AE307" i="30" s="1"/>
  <c r="S228" i="30"/>
  <c r="S307" i="30" s="1"/>
  <c r="G228" i="30"/>
  <c r="G307" i="30" s="1"/>
  <c r="DL227" i="30"/>
  <c r="CZ227" i="30"/>
  <c r="CN227" i="30"/>
  <c r="CB227" i="30"/>
  <c r="BP227" i="30"/>
  <c r="BD227" i="30"/>
  <c r="DM226" i="30"/>
  <c r="DA226" i="30"/>
  <c r="CO226" i="30"/>
  <c r="CC226" i="30"/>
  <c r="BQ226" i="30"/>
  <c r="BE226" i="30"/>
  <c r="DN225" i="30"/>
  <c r="DB225" i="30"/>
  <c r="CP225" i="30"/>
  <c r="CD225" i="30"/>
  <c r="BR225" i="30"/>
  <c r="BF225" i="30"/>
  <c r="DO224" i="30"/>
  <c r="DC224" i="30"/>
  <c r="CQ224" i="30"/>
  <c r="CE224" i="30"/>
  <c r="BS224" i="30"/>
  <c r="BG224" i="30"/>
  <c r="DP223" i="30"/>
  <c r="DD223" i="30"/>
  <c r="CR223" i="30"/>
  <c r="CF223" i="30"/>
  <c r="BT223" i="30"/>
  <c r="BH223" i="30"/>
  <c r="AV223" i="30"/>
  <c r="AV305" i="30" s="1"/>
  <c r="AJ223" i="30"/>
  <c r="AJ305" i="30" s="1"/>
  <c r="X223" i="30"/>
  <c r="L223" i="30"/>
  <c r="DS220" i="30"/>
  <c r="DG220" i="30"/>
  <c r="CU220" i="30"/>
  <c r="CI220" i="30"/>
  <c r="BW220" i="30"/>
  <c r="BK220" i="30"/>
  <c r="AY220" i="30"/>
  <c r="AY300" i="30" s="1"/>
  <c r="AM220" i="30"/>
  <c r="AM300" i="30" s="1"/>
  <c r="AA220" i="30"/>
  <c r="AA300" i="30" s="1"/>
  <c r="O220" i="30"/>
  <c r="O300" i="30" s="1"/>
  <c r="DT219" i="30"/>
  <c r="DH219" i="30"/>
  <c r="CV219" i="30"/>
  <c r="CJ219" i="30"/>
  <c r="BX219" i="30"/>
  <c r="BL219" i="30"/>
  <c r="DU218" i="30"/>
  <c r="DI218" i="30"/>
  <c r="CW218" i="30"/>
  <c r="CK218" i="30"/>
  <c r="BY218" i="30"/>
  <c r="BM218" i="30"/>
  <c r="DJ217" i="30"/>
  <c r="CX217" i="30"/>
  <c r="CL217" i="30"/>
  <c r="BZ217" i="30"/>
  <c r="BN217" i="30"/>
  <c r="DK216" i="30"/>
  <c r="CY216" i="30"/>
  <c r="CM216" i="30"/>
  <c r="CA216" i="30"/>
  <c r="BO216" i="30"/>
  <c r="BC216" i="30"/>
  <c r="DL215" i="30"/>
  <c r="CZ215" i="30"/>
  <c r="CN215" i="30"/>
  <c r="CB215" i="30"/>
  <c r="BP215" i="30"/>
  <c r="BD215" i="30"/>
  <c r="DO212" i="30"/>
  <c r="DC212" i="30"/>
  <c r="CQ212" i="30"/>
  <c r="CE212" i="30"/>
  <c r="BS212" i="30"/>
  <c r="BG212" i="30"/>
  <c r="AU212" i="30"/>
  <c r="AU293" i="30" s="1"/>
  <c r="AI212" i="30"/>
  <c r="AI235" i="30" s="1"/>
  <c r="W212" i="30"/>
  <c r="W293" i="30" s="1"/>
  <c r="K212" i="30"/>
  <c r="K293" i="30" s="1"/>
  <c r="DP211" i="30"/>
  <c r="DD211" i="30"/>
  <c r="CR211" i="30"/>
  <c r="CF211" i="30"/>
  <c r="BT211" i="30"/>
  <c r="BH211" i="30"/>
  <c r="DQ210" i="30"/>
  <c r="DE210" i="30"/>
  <c r="CS210" i="30"/>
  <c r="CG210" i="30"/>
  <c r="BU210" i="30"/>
  <c r="BI210" i="30"/>
  <c r="DR209" i="30"/>
  <c r="DF209" i="30"/>
  <c r="CT209" i="30"/>
  <c r="CH209" i="30"/>
  <c r="BV209" i="30"/>
  <c r="BJ209" i="30"/>
  <c r="DS208" i="30"/>
  <c r="DG208" i="30"/>
  <c r="CV235" i="30"/>
  <c r="BC235" i="30"/>
  <c r="DM233" i="30"/>
  <c r="CW233" i="30"/>
  <c r="CC233" i="30"/>
  <c r="BM233" i="30"/>
  <c r="DJ232" i="30"/>
  <c r="CP232" i="30"/>
  <c r="BZ232" i="30"/>
  <c r="BF232" i="30"/>
  <c r="DU228" i="30"/>
  <c r="DI228" i="30"/>
  <c r="CW228" i="30"/>
  <c r="CK228" i="30"/>
  <c r="BY228" i="30"/>
  <c r="BM228" i="30"/>
  <c r="BA228" i="30"/>
  <c r="BA307" i="30" s="1"/>
  <c r="AO228" i="30"/>
  <c r="AO307" i="30" s="1"/>
  <c r="AC228" i="30"/>
  <c r="AC307" i="30" s="1"/>
  <c r="Q228" i="30"/>
  <c r="Q307" i="30" s="1"/>
  <c r="E228" i="30"/>
  <c r="E307" i="30" s="1"/>
  <c r="DJ227" i="30"/>
  <c r="CX227" i="30"/>
  <c r="CL227" i="30"/>
  <c r="BZ227" i="30"/>
  <c r="BN227" i="30"/>
  <c r="DK226" i="30"/>
  <c r="CY226" i="30"/>
  <c r="CM226" i="30"/>
  <c r="CA226" i="30"/>
  <c r="BO226" i="30"/>
  <c r="BC226" i="30"/>
  <c r="DL225" i="30"/>
  <c r="CZ225" i="30"/>
  <c r="CN225" i="30"/>
  <c r="CB225" i="30"/>
  <c r="BP225" i="30"/>
  <c r="BD225" i="30"/>
  <c r="DM224" i="30"/>
  <c r="DA224" i="30"/>
  <c r="CO224" i="30"/>
  <c r="CC224" i="30"/>
  <c r="BQ224" i="30"/>
  <c r="BE224" i="30"/>
  <c r="DN223" i="30"/>
  <c r="DB223" i="30"/>
  <c r="CP223" i="30"/>
  <c r="CD223" i="30"/>
  <c r="BR223" i="30"/>
  <c r="BF223" i="30"/>
  <c r="AT223" i="30"/>
  <c r="AT305" i="30" s="1"/>
  <c r="AH223" i="30"/>
  <c r="AH305" i="30" s="1"/>
  <c r="V223" i="30"/>
  <c r="V305" i="30" s="1"/>
  <c r="J223" i="30"/>
  <c r="J305" i="30" s="1"/>
  <c r="DQ220" i="30"/>
  <c r="DE220" i="30"/>
  <c r="CS220" i="30"/>
  <c r="CG220" i="30"/>
  <c r="BU220" i="30"/>
  <c r="BI220" i="30"/>
  <c r="AW220" i="30"/>
  <c r="AW300" i="30" s="1"/>
  <c r="AK220" i="30"/>
  <c r="AK300" i="30" s="1"/>
  <c r="Y220" i="30"/>
  <c r="Y300" i="30" s="1"/>
  <c r="M220" i="30"/>
  <c r="M300" i="30" s="1"/>
  <c r="DR219" i="30"/>
  <c r="DF219" i="30"/>
  <c r="CT219" i="30"/>
  <c r="CH219" i="30"/>
  <c r="BV219" i="30"/>
  <c r="BJ219" i="30"/>
  <c r="DS218" i="30"/>
  <c r="DG218" i="30"/>
  <c r="CU218" i="30"/>
  <c r="CI218" i="30"/>
  <c r="BW218" i="30"/>
  <c r="BK218" i="30"/>
  <c r="DT217" i="30"/>
  <c r="DH217" i="30"/>
  <c r="CV217" i="30"/>
  <c r="CJ217" i="30"/>
  <c r="BX217" i="30"/>
  <c r="BL217" i="30"/>
  <c r="DU216" i="30"/>
  <c r="DI216" i="30"/>
  <c r="CW216" i="30"/>
  <c r="CK216" i="30"/>
  <c r="BY216" i="30"/>
  <c r="BM216" i="30"/>
  <c r="DJ215" i="30"/>
  <c r="CX215" i="30"/>
  <c r="CD233" i="30"/>
  <c r="CQ232" i="30"/>
  <c r="BZ228" i="30"/>
  <c r="F228" i="30"/>
  <c r="F307" i="30" s="1"/>
  <c r="BC227" i="30"/>
  <c r="CZ226" i="30"/>
  <c r="CC225" i="30"/>
  <c r="BF224" i="30"/>
  <c r="DC223" i="30"/>
  <c r="AI223" i="30"/>
  <c r="AI305" i="30" s="1"/>
  <c r="BJ220" i="30"/>
  <c r="DG219" i="30"/>
  <c r="CT218" i="30"/>
  <c r="DS217" i="30"/>
  <c r="BW217" i="30"/>
  <c r="CV216" i="30"/>
  <c r="BL216" i="30"/>
  <c r="DI215" i="30"/>
  <c r="CG215" i="30"/>
  <c r="BN215" i="30"/>
  <c r="DR212" i="30"/>
  <c r="CZ212" i="30"/>
  <c r="CD212" i="30"/>
  <c r="BI212" i="30"/>
  <c r="AN212" i="30"/>
  <c r="AN235" i="30" s="1"/>
  <c r="U212" i="30"/>
  <c r="DQ211" i="30"/>
  <c r="CU211" i="30"/>
  <c r="CC211" i="30"/>
  <c r="BG211" i="30"/>
  <c r="DO210" i="30"/>
  <c r="CT210" i="30"/>
  <c r="BX210" i="30"/>
  <c r="BF210" i="30"/>
  <c r="DK209" i="30"/>
  <c r="CR209" i="30"/>
  <c r="BW209" i="30"/>
  <c r="DQ208" i="30"/>
  <c r="CX208" i="30"/>
  <c r="CL208" i="30"/>
  <c r="BZ208" i="30"/>
  <c r="BN208" i="30"/>
  <c r="DK207" i="30"/>
  <c r="CY207" i="30"/>
  <c r="CM207" i="30"/>
  <c r="CA207" i="30"/>
  <c r="BO207" i="30"/>
  <c r="BC207" i="30"/>
  <c r="DL204" i="30"/>
  <c r="DL275" i="30" s="1"/>
  <c r="CZ204" i="30"/>
  <c r="CZ275" i="30" s="1"/>
  <c r="CN204" i="30"/>
  <c r="CN275" i="30" s="1"/>
  <c r="CB204" i="30"/>
  <c r="CB275" i="30" s="1"/>
  <c r="BP204" i="30"/>
  <c r="BP275" i="30" s="1"/>
  <c r="BD204" i="30"/>
  <c r="BD275" i="30" s="1"/>
  <c r="CB233" i="30"/>
  <c r="CO232" i="30"/>
  <c r="BX228" i="30"/>
  <c r="DU227" i="30"/>
  <c r="CX226" i="30"/>
  <c r="CA225" i="30"/>
  <c r="BD224" i="30"/>
  <c r="DA223" i="30"/>
  <c r="AG223" i="30"/>
  <c r="AG305" i="30" s="1"/>
  <c r="BH220" i="30"/>
  <c r="DE219" i="30"/>
  <c r="CL218" i="30"/>
  <c r="DK217" i="30"/>
  <c r="BO217" i="30"/>
  <c r="CO216" i="30"/>
  <c r="BE216" i="30"/>
  <c r="DB215" i="30"/>
  <c r="CE215" i="30"/>
  <c r="BM215" i="30"/>
  <c r="DQ212" i="30"/>
  <c r="CV212" i="30"/>
  <c r="CC212" i="30"/>
  <c r="BH212" i="30"/>
  <c r="AL212" i="30"/>
  <c r="AL293" i="30" s="1"/>
  <c r="T212" i="30"/>
  <c r="T235" i="30" s="1"/>
  <c r="DO211" i="30"/>
  <c r="CT211" i="30"/>
  <c r="BY211" i="30"/>
  <c r="BF211" i="30"/>
  <c r="DN210" i="30"/>
  <c r="CR210" i="30"/>
  <c r="BW210" i="30"/>
  <c r="DI209" i="30"/>
  <c r="CQ209" i="30"/>
  <c r="BU209" i="30"/>
  <c r="DP208" i="30"/>
  <c r="CW208" i="30"/>
  <c r="CK208" i="30"/>
  <c r="BY208" i="30"/>
  <c r="BM208" i="30"/>
  <c r="DJ207" i="30"/>
  <c r="CX207" i="30"/>
  <c r="CL207" i="30"/>
  <c r="BZ207" i="30"/>
  <c r="BN207" i="30"/>
  <c r="DK204" i="30"/>
  <c r="DK275" i="30" s="1"/>
  <c r="CY204" i="30"/>
  <c r="CY275" i="30" s="1"/>
  <c r="CM204" i="30"/>
  <c r="CM275" i="30" s="1"/>
  <c r="CA204" i="30"/>
  <c r="CA275" i="30" s="1"/>
  <c r="BO204" i="30"/>
  <c r="BO275" i="30" s="1"/>
  <c r="BC204" i="30"/>
  <c r="BC275" i="30" s="1"/>
  <c r="BN233" i="30"/>
  <c r="CA232" i="30"/>
  <c r="BN228" i="30"/>
  <c r="DK227" i="30"/>
  <c r="CN226" i="30"/>
  <c r="BQ225" i="30"/>
  <c r="DN224" i="30"/>
  <c r="CQ223" i="30"/>
  <c r="W223" i="30"/>
  <c r="W305" i="30" s="1"/>
  <c r="DR220" i="30"/>
  <c r="AX220" i="30"/>
  <c r="AX300" i="30" s="1"/>
  <c r="CU219" i="30"/>
  <c r="CJ218" i="30"/>
  <c r="DI217" i="30"/>
  <c r="BM217" i="30"/>
  <c r="CN216" i="30"/>
  <c r="BD216" i="30"/>
  <c r="DA215" i="30"/>
  <c r="CD215" i="30"/>
  <c r="BI215" i="30"/>
  <c r="DP212" i="30"/>
  <c r="CT212" i="30"/>
  <c r="CB212" i="30"/>
  <c r="BF212" i="30"/>
  <c r="AK212" i="30"/>
  <c r="AK235" i="30" s="1"/>
  <c r="P212" i="30"/>
  <c r="P293" i="30" s="1"/>
  <c r="DN211" i="30"/>
  <c r="CS211" i="30"/>
  <c r="BW211" i="30"/>
  <c r="BE211" i="30"/>
  <c r="DJ210" i="30"/>
  <c r="CQ210" i="30"/>
  <c r="BV210" i="30"/>
  <c r="DH209" i="30"/>
  <c r="CM209" i="30"/>
  <c r="BT209" i="30"/>
  <c r="DN208" i="30"/>
  <c r="CV208" i="30"/>
  <c r="CJ208" i="30"/>
  <c r="BX208" i="30"/>
  <c r="BL208" i="30"/>
  <c r="DU207" i="30"/>
  <c r="DI207" i="30"/>
  <c r="CW207" i="30"/>
  <c r="CK207" i="30"/>
  <c r="BY207" i="30"/>
  <c r="BM207" i="30"/>
  <c r="DJ204" i="30"/>
  <c r="DJ275" i="30" s="1"/>
  <c r="CX204" i="30"/>
  <c r="CX275" i="30" s="1"/>
  <c r="CL204" i="30"/>
  <c r="CL275" i="30" s="1"/>
  <c r="BZ204" i="30"/>
  <c r="BZ275" i="30" s="1"/>
  <c r="BN204" i="30"/>
  <c r="BN275" i="30" s="1"/>
  <c r="BL233" i="30"/>
  <c r="BY232" i="30"/>
  <c r="BL228" i="30"/>
  <c r="DI227" i="30"/>
  <c r="CL226" i="30"/>
  <c r="BO225" i="30"/>
  <c r="DL224" i="30"/>
  <c r="CO223" i="30"/>
  <c r="U223" i="30"/>
  <c r="DP220" i="30"/>
  <c r="AV220" i="30"/>
  <c r="AV300" i="30" s="1"/>
  <c r="CS219" i="30"/>
  <c r="CH218" i="30"/>
  <c r="DG217" i="30"/>
  <c r="BK217" i="30"/>
  <c r="CL216" i="30"/>
  <c r="CY215" i="30"/>
  <c r="CC215" i="30"/>
  <c r="BG215" i="30"/>
  <c r="DN212" i="30"/>
  <c r="CS212" i="30"/>
  <c r="BX212" i="30"/>
  <c r="BE212" i="30"/>
  <c r="AJ212" i="30"/>
  <c r="AJ293" i="30" s="1"/>
  <c r="N212" i="30"/>
  <c r="N293" i="30" s="1"/>
  <c r="DM211" i="30"/>
  <c r="CQ211" i="30"/>
  <c r="BV211" i="30"/>
  <c r="DH210" i="30"/>
  <c r="CP210" i="30"/>
  <c r="BT210" i="30"/>
  <c r="DG209" i="30"/>
  <c r="CK209" i="30"/>
  <c r="BS209" i="30"/>
  <c r="DL208" i="30"/>
  <c r="CU208" i="30"/>
  <c r="CI208" i="30"/>
  <c r="BW208" i="30"/>
  <c r="BK208" i="30"/>
  <c r="DT207" i="30"/>
  <c r="DH207" i="30"/>
  <c r="CV207" i="30"/>
  <c r="CJ207" i="30"/>
  <c r="BX207" i="30"/>
  <c r="BL207" i="30"/>
  <c r="DU204" i="30"/>
  <c r="DU275" i="30" s="1"/>
  <c r="DI204" i="30"/>
  <c r="DI275" i="30" s="1"/>
  <c r="CW204" i="30"/>
  <c r="CW275" i="30" s="1"/>
  <c r="CK204" i="30"/>
  <c r="CK275" i="30" s="1"/>
  <c r="BY204" i="30"/>
  <c r="BY275" i="30" s="1"/>
  <c r="BM204" i="30"/>
  <c r="BM275" i="30" s="1"/>
  <c r="CX235" i="30"/>
  <c r="BG232" i="30"/>
  <c r="CY227" i="30"/>
  <c r="CB226" i="30"/>
  <c r="BE225" i="30"/>
  <c r="DB224" i="30"/>
  <c r="CE223" i="30"/>
  <c r="K223" i="30"/>
  <c r="K305" i="30" s="1"/>
  <c r="DF220" i="30"/>
  <c r="AL220" i="30"/>
  <c r="AL300" i="30" s="1"/>
  <c r="CI219" i="30"/>
  <c r="BZ218" i="30"/>
  <c r="CY217" i="30"/>
  <c r="BC217" i="30"/>
  <c r="CJ216" i="30"/>
  <c r="CW215" i="30"/>
  <c r="CA215" i="30"/>
  <c r="BF215" i="30"/>
  <c r="DM212" i="30"/>
  <c r="CR212" i="30"/>
  <c r="BV212" i="30"/>
  <c r="BD212" i="30"/>
  <c r="AH212" i="30"/>
  <c r="AH235" i="30" s="1"/>
  <c r="M212" i="30"/>
  <c r="M293" i="30" s="1"/>
  <c r="DI211" i="30"/>
  <c r="CP211" i="30"/>
  <c r="BU211" i="30"/>
  <c r="DG210" i="30"/>
  <c r="CL210" i="30"/>
  <c r="BS210" i="30"/>
  <c r="DE209" i="30"/>
  <c r="CJ209" i="30"/>
  <c r="BO209" i="30"/>
  <c r="DJ208" i="30"/>
  <c r="CT208" i="30"/>
  <c r="CH208" i="30"/>
  <c r="BV208" i="30"/>
  <c r="BJ208" i="30"/>
  <c r="DS207" i="30"/>
  <c r="DG207" i="30"/>
  <c r="CU207" i="30"/>
  <c r="CI207" i="30"/>
  <c r="BW207" i="30"/>
  <c r="BK207" i="30"/>
  <c r="DT204" i="30"/>
  <c r="DT275" i="30" s="1"/>
  <c r="DH204" i="30"/>
  <c r="DH275" i="30" s="1"/>
  <c r="CV204" i="30"/>
  <c r="CV275" i="30" s="1"/>
  <c r="CJ204" i="30"/>
  <c r="CJ275" i="30" s="1"/>
  <c r="BX204" i="30"/>
  <c r="BX275" i="30" s="1"/>
  <c r="BL204" i="30"/>
  <c r="BL275" i="30" s="1"/>
  <c r="CT235" i="30"/>
  <c r="BE232" i="30"/>
  <c r="DT228" i="30"/>
  <c r="AZ228" i="30"/>
  <c r="AZ307" i="30" s="1"/>
  <c r="CW227" i="30"/>
  <c r="BZ226" i="30"/>
  <c r="BC225" i="30"/>
  <c r="CZ224" i="30"/>
  <c r="CC223" i="30"/>
  <c r="I223" i="30"/>
  <c r="DD220" i="30"/>
  <c r="AJ220" i="30"/>
  <c r="AJ300" i="30" s="1"/>
  <c r="CG219" i="30"/>
  <c r="BX218" i="30"/>
  <c r="CW217" i="30"/>
  <c r="CC216" i="30"/>
  <c r="CS215" i="30"/>
  <c r="BZ215" i="30"/>
  <c r="BE215" i="30"/>
  <c r="DL212" i="30"/>
  <c r="CP212" i="30"/>
  <c r="BU212" i="30"/>
  <c r="AZ212" i="30"/>
  <c r="AZ293" i="30" s="1"/>
  <c r="L212" i="30"/>
  <c r="DG211" i="30"/>
  <c r="CO211" i="30"/>
  <c r="BS211" i="30"/>
  <c r="DF210" i="30"/>
  <c r="CJ210" i="30"/>
  <c r="BR210" i="30"/>
  <c r="DD209" i="30"/>
  <c r="CI209" i="30"/>
  <c r="BM209" i="30"/>
  <c r="DI208" i="30"/>
  <c r="CS208" i="30"/>
  <c r="CG208" i="30"/>
  <c r="BU208" i="30"/>
  <c r="BI208" i="30"/>
  <c r="DR207" i="30"/>
  <c r="DF207" i="30"/>
  <c r="CT207" i="30"/>
  <c r="CH207" i="30"/>
  <c r="BV207" i="30"/>
  <c r="BJ207" i="30"/>
  <c r="DS204" i="30"/>
  <c r="DS275" i="30" s="1"/>
  <c r="DG204" i="30"/>
  <c r="DG275" i="30" s="1"/>
  <c r="CU204" i="30"/>
  <c r="CU275" i="30" s="1"/>
  <c r="CI204" i="30"/>
  <c r="CI275" i="30" s="1"/>
  <c r="BW204" i="30"/>
  <c r="BW275" i="30" s="1"/>
  <c r="BK204" i="30"/>
  <c r="BK275" i="30" s="1"/>
  <c r="BJ235" i="30"/>
  <c r="DJ228" i="30"/>
  <c r="AP228" i="30"/>
  <c r="AP307" i="30" s="1"/>
  <c r="CM227" i="30"/>
  <c r="BP226" i="30"/>
  <c r="DM225" i="30"/>
  <c r="CP224" i="30"/>
  <c r="BS223" i="30"/>
  <c r="CT220" i="30"/>
  <c r="Z220" i="30"/>
  <c r="Z300" i="30" s="1"/>
  <c r="BW219" i="30"/>
  <c r="DT218" i="30"/>
  <c r="BV218" i="30"/>
  <c r="CU217" i="30"/>
  <c r="DT216" i="30"/>
  <c r="CB216" i="30"/>
  <c r="CQ215" i="30"/>
  <c r="BY215" i="30"/>
  <c r="BC215" i="30"/>
  <c r="DH212" i="30"/>
  <c r="CO212" i="30"/>
  <c r="BT212" i="30"/>
  <c r="AX212" i="30"/>
  <c r="AX293" i="30" s="1"/>
  <c r="J212" i="30"/>
  <c r="DF211" i="30"/>
  <c r="CK211" i="30"/>
  <c r="BR211" i="30"/>
  <c r="DD210" i="30"/>
  <c r="CI210" i="30"/>
  <c r="BN210" i="30"/>
  <c r="DU209" i="30"/>
  <c r="DC209" i="30"/>
  <c r="CG209" i="30"/>
  <c r="BL209" i="30"/>
  <c r="DH208" i="30"/>
  <c r="CR208" i="30"/>
  <c r="CF208" i="30"/>
  <c r="BT208" i="30"/>
  <c r="BH208" i="30"/>
  <c r="DQ207" i="30"/>
  <c r="DE207" i="30"/>
  <c r="CS207" i="30"/>
  <c r="CG207" i="30"/>
  <c r="BU207" i="30"/>
  <c r="BI207" i="30"/>
  <c r="DR204" i="30"/>
  <c r="DR275" i="30" s="1"/>
  <c r="DF204" i="30"/>
  <c r="DF275" i="30" s="1"/>
  <c r="CT204" i="30"/>
  <c r="CT275" i="30" s="1"/>
  <c r="CH204" i="30"/>
  <c r="CH275" i="30" s="1"/>
  <c r="BV204" i="30"/>
  <c r="BV275" i="30" s="1"/>
  <c r="BJ204" i="30"/>
  <c r="BJ275" i="30" s="1"/>
  <c r="DH228" i="30"/>
  <c r="AN228" i="30"/>
  <c r="AN307" i="30" s="1"/>
  <c r="CK227" i="30"/>
  <c r="BN226" i="30"/>
  <c r="DK225" i="30"/>
  <c r="CN224" i="30"/>
  <c r="BQ223" i="30"/>
  <c r="CR220" i="30"/>
  <c r="X220" i="30"/>
  <c r="X300" i="30" s="1"/>
  <c r="BU219" i="30"/>
  <c r="DR218" i="30"/>
  <c r="BN218" i="30"/>
  <c r="CM217" i="30"/>
  <c r="DL216" i="30"/>
  <c r="BZ216" i="30"/>
  <c r="CP215" i="30"/>
  <c r="BU215" i="30"/>
  <c r="DF212" i="30"/>
  <c r="CN212" i="30"/>
  <c r="BR212" i="30"/>
  <c r="AW212" i="30"/>
  <c r="AW293" i="30" s="1"/>
  <c r="AB212" i="30"/>
  <c r="AB293" i="30" s="1"/>
  <c r="I212" i="30"/>
  <c r="DE211" i="30"/>
  <c r="CI211" i="30"/>
  <c r="BQ211" i="30"/>
  <c r="DC210" i="30"/>
  <c r="CH210" i="30"/>
  <c r="BL210" i="30"/>
  <c r="DT209" i="30"/>
  <c r="CY209" i="30"/>
  <c r="CF209" i="30"/>
  <c r="BK209" i="30"/>
  <c r="DF208" i="30"/>
  <c r="CQ208" i="30"/>
  <c r="CE208" i="30"/>
  <c r="BS208" i="30"/>
  <c r="BG208" i="30"/>
  <c r="DP207" i="30"/>
  <c r="DD207" i="30"/>
  <c r="CR207" i="30"/>
  <c r="CF207" i="30"/>
  <c r="BT207" i="30"/>
  <c r="BH207" i="30"/>
  <c r="DQ204" i="30"/>
  <c r="DQ275" i="30" s="1"/>
  <c r="DE204" i="30"/>
  <c r="DE275" i="30" s="1"/>
  <c r="CS204" i="30"/>
  <c r="CS275" i="30" s="1"/>
  <c r="CG204" i="30"/>
  <c r="CG275" i="30" s="1"/>
  <c r="BU204" i="30"/>
  <c r="BU275" i="30" s="1"/>
  <c r="BI204" i="30"/>
  <c r="BI275" i="30" s="1"/>
  <c r="DN233" i="30"/>
  <c r="CX228" i="30"/>
  <c r="AD228" i="30"/>
  <c r="AD307" i="30" s="1"/>
  <c r="CA227" i="30"/>
  <c r="BD226" i="30"/>
  <c r="DA225" i="30"/>
  <c r="CD224" i="30"/>
  <c r="BG223" i="30"/>
  <c r="CH220" i="30"/>
  <c r="N220" i="30"/>
  <c r="N300" i="30" s="1"/>
  <c r="BK219" i="30"/>
  <c r="DH218" i="30"/>
  <c r="BL218" i="30"/>
  <c r="CK217" i="30"/>
  <c r="DJ216" i="30"/>
  <c r="BX216" i="30"/>
  <c r="DU215" i="30"/>
  <c r="CO215" i="30"/>
  <c r="BS215" i="30"/>
  <c r="DE212" i="30"/>
  <c r="CJ212" i="30"/>
  <c r="BQ212" i="30"/>
  <c r="AV212" i="30"/>
  <c r="AV293" i="30" s="1"/>
  <c r="Z212" i="30"/>
  <c r="H212" i="30"/>
  <c r="H235" i="30" s="1"/>
  <c r="DC211" i="30"/>
  <c r="CH211" i="30"/>
  <c r="BM211" i="30"/>
  <c r="DT210" i="30"/>
  <c r="DB210" i="30"/>
  <c r="CF210" i="30"/>
  <c r="BK210" i="30"/>
  <c r="DS209" i="30"/>
  <c r="CW209" i="30"/>
  <c r="CE209" i="30"/>
  <c r="CD208" i="30"/>
  <c r="BR208" i="30"/>
  <c r="BF208" i="30"/>
  <c r="DO207" i="30"/>
  <c r="DC207" i="30"/>
  <c r="CQ207" i="30"/>
  <c r="CE207" i="30"/>
  <c r="BS207" i="30"/>
  <c r="BG207" i="30"/>
  <c r="DP204" i="30"/>
  <c r="DP275" i="30" s="1"/>
  <c r="DD204" i="30"/>
  <c r="DD275" i="30" s="1"/>
  <c r="CR204" i="30"/>
  <c r="CR275" i="30" s="1"/>
  <c r="CF204" i="30"/>
  <c r="CF275" i="30" s="1"/>
  <c r="BT204" i="30"/>
  <c r="BT275" i="30" s="1"/>
  <c r="BH204" i="30"/>
  <c r="BH275" i="30" s="1"/>
  <c r="CX233" i="30"/>
  <c r="DK232" i="30"/>
  <c r="CL228" i="30"/>
  <c r="R228" i="30"/>
  <c r="R307" i="30" s="1"/>
  <c r="BO227" i="30"/>
  <c r="DL226" i="30"/>
  <c r="CO225" i="30"/>
  <c r="BR224" i="30"/>
  <c r="DO223" i="30"/>
  <c r="AU223" i="30"/>
  <c r="AU305" i="30" s="1"/>
  <c r="BV220" i="30"/>
  <c r="DS219" i="30"/>
  <c r="CX218" i="30"/>
  <c r="CA217" i="30"/>
  <c r="CZ216" i="30"/>
  <c r="BP216" i="30"/>
  <c r="DM215" i="30"/>
  <c r="CL215" i="30"/>
  <c r="BQ215" i="30"/>
  <c r="DB212" i="30"/>
  <c r="CG212" i="30"/>
  <c r="BL212" i="30"/>
  <c r="AS212" i="30"/>
  <c r="AS293" i="30" s="1"/>
  <c r="X212" i="30"/>
  <c r="X235" i="30" s="1"/>
  <c r="DS211" i="30"/>
  <c r="DA211" i="30"/>
  <c r="CE211" i="30"/>
  <c r="BJ211" i="30"/>
  <c r="DR210" i="30"/>
  <c r="CV210" i="30"/>
  <c r="CD210" i="30"/>
  <c r="BH210" i="30"/>
  <c r="DP209" i="30"/>
  <c r="CU209" i="30"/>
  <c r="BY209" i="30"/>
  <c r="BG209" i="30"/>
  <c r="DT208" i="30"/>
  <c r="DB208" i="30"/>
  <c r="CN208" i="30"/>
  <c r="CB208" i="30"/>
  <c r="BP208" i="30"/>
  <c r="BD208" i="30"/>
  <c r="DM207" i="30"/>
  <c r="DA207" i="30"/>
  <c r="CO207" i="30"/>
  <c r="CC207" i="30"/>
  <c r="BQ207" i="30"/>
  <c r="BE207" i="30"/>
  <c r="DN204" i="30"/>
  <c r="DN275" i="30" s="1"/>
  <c r="DB204" i="30"/>
  <c r="DB275" i="30" s="1"/>
  <c r="CP204" i="30"/>
  <c r="CP275" i="30" s="1"/>
  <c r="CD204" i="30"/>
  <c r="CD275" i="30" s="1"/>
  <c r="BR204" i="30"/>
  <c r="BR275" i="30" s="1"/>
  <c r="BF204" i="30"/>
  <c r="BF275" i="30" s="1"/>
  <c r="BE223" i="30"/>
  <c r="DF218" i="30"/>
  <c r="BQ216" i="30"/>
  <c r="Y212" i="30"/>
  <c r="Y235" i="30" s="1"/>
  <c r="BE208" i="30"/>
  <c r="DB207" i="30"/>
  <c r="CE204" i="30"/>
  <c r="CE275" i="30" s="1"/>
  <c r="DI232" i="30"/>
  <c r="DJ226" i="30"/>
  <c r="AS223" i="30"/>
  <c r="AS305" i="30" s="1"/>
  <c r="CV218" i="30"/>
  <c r="BN216" i="30"/>
  <c r="V212" i="30"/>
  <c r="V235" i="30" s="1"/>
  <c r="BC208" i="30"/>
  <c r="CZ207" i="30"/>
  <c r="CC204" i="30"/>
  <c r="CC275" i="30" s="1"/>
  <c r="BJ218" i="30"/>
  <c r="DU211" i="30"/>
  <c r="DS210" i="30"/>
  <c r="DQ209" i="30"/>
  <c r="DU208" i="30"/>
  <c r="CP207" i="30"/>
  <c r="BS204" i="30"/>
  <c r="BS275" i="30" s="1"/>
  <c r="DT212" i="30"/>
  <c r="DR211" i="30"/>
  <c r="DP210" i="30"/>
  <c r="DO209" i="30"/>
  <c r="DR208" i="30"/>
  <c r="CN207" i="30"/>
  <c r="BQ204" i="30"/>
  <c r="BQ275" i="30" s="1"/>
  <c r="CY225" i="30"/>
  <c r="DN215" i="30"/>
  <c r="DD212" i="30"/>
  <c r="DB211" i="30"/>
  <c r="CX210" i="30"/>
  <c r="CV209" i="30"/>
  <c r="DD208" i="30"/>
  <c r="CD207" i="30"/>
  <c r="BG204" i="30"/>
  <c r="BG275" i="30" s="1"/>
  <c r="CM225" i="30"/>
  <c r="DU217" i="30"/>
  <c r="DK215" i="30"/>
  <c r="DA212" i="30"/>
  <c r="CW211" i="30"/>
  <c r="CU210" i="30"/>
  <c r="CS209" i="30"/>
  <c r="CZ208" i="30"/>
  <c r="CB207" i="30"/>
  <c r="BE204" i="30"/>
  <c r="BE275" i="30" s="1"/>
  <c r="CV228" i="30"/>
  <c r="CF220" i="30"/>
  <c r="CI217" i="30"/>
  <c r="CM215" i="30"/>
  <c r="CH212" i="30"/>
  <c r="CG211" i="30"/>
  <c r="CE210" i="30"/>
  <c r="CA209" i="30"/>
  <c r="CO208" i="30"/>
  <c r="BR207" i="30"/>
  <c r="DO204" i="30"/>
  <c r="DO275" i="30" s="1"/>
  <c r="CJ228" i="30"/>
  <c r="BT220" i="30"/>
  <c r="BY217" i="30"/>
  <c r="CK215" i="30"/>
  <c r="CF212" i="30"/>
  <c r="CD211" i="30"/>
  <c r="BZ210" i="30"/>
  <c r="BX209" i="30"/>
  <c r="CM208" i="30"/>
  <c r="BP207" i="30"/>
  <c r="DM204" i="30"/>
  <c r="DM275" i="30" s="1"/>
  <c r="AB228" i="30"/>
  <c r="AB307" i="30" s="1"/>
  <c r="CB224" i="30"/>
  <c r="L220" i="30"/>
  <c r="L300" i="30" s="1"/>
  <c r="BR215" i="30"/>
  <c r="BP212" i="30"/>
  <c r="BK211" i="30"/>
  <c r="BJ210" i="30"/>
  <c r="BH209" i="30"/>
  <c r="CC208" i="30"/>
  <c r="BF207" i="30"/>
  <c r="DC204" i="30"/>
  <c r="DC275" i="30" s="1"/>
  <c r="DL233" i="30"/>
  <c r="BY227" i="30"/>
  <c r="BI219" i="30"/>
  <c r="DH216" i="30"/>
  <c r="AT212" i="30"/>
  <c r="AT293" i="30" s="1"/>
  <c r="BQ208" i="30"/>
  <c r="DN207" i="30"/>
  <c r="CQ204" i="30"/>
  <c r="CQ275" i="30" s="1"/>
  <c r="CV233" i="30"/>
  <c r="DL207" i="30"/>
  <c r="P228" i="30"/>
  <c r="P307" i="30" s="1"/>
  <c r="BJ212" i="30"/>
  <c r="BD207" i="30"/>
  <c r="BM227" i="30"/>
  <c r="AR212" i="30"/>
  <c r="AR293" i="30" s="1"/>
  <c r="BP224" i="30"/>
  <c r="BI211" i="30"/>
  <c r="DA204" i="30"/>
  <c r="DA275" i="30" s="1"/>
  <c r="DM223" i="30"/>
  <c r="CO204" i="30"/>
  <c r="CO275" i="30" s="1"/>
  <c r="DQ219" i="30"/>
  <c r="BG210" i="30"/>
  <c r="BC209" i="30"/>
  <c r="BO215" i="30"/>
  <c r="CA208" i="30"/>
  <c r="CX216" i="30"/>
  <c r="BO208" i="30"/>
  <c r="BP130" i="6"/>
  <c r="CP130" i="6"/>
  <c r="W130" i="6"/>
  <c r="S130" i="6"/>
  <c r="BU130" i="6"/>
  <c r="AY130" i="6"/>
  <c r="DH130" i="6"/>
  <c r="AD356" i="30"/>
  <c r="CL130" i="6"/>
  <c r="CD130" i="6"/>
  <c r="CE130" i="6"/>
  <c r="DK130" i="6"/>
  <c r="X130" i="6"/>
  <c r="CR130" i="6"/>
  <c r="Y130" i="6"/>
  <c r="AX130" i="6"/>
  <c r="EE130" i="6"/>
  <c r="EG130" i="6"/>
  <c r="DI130" i="6"/>
  <c r="DD130" i="6"/>
  <c r="AD130" i="6"/>
  <c r="R356" i="30"/>
  <c r="EH130" i="6"/>
  <c r="J130" i="6"/>
  <c r="BS130" i="6"/>
  <c r="BC130" i="6"/>
  <c r="CY130" i="6"/>
  <c r="CF130" i="6"/>
  <c r="CT130" i="6"/>
  <c r="CI130" i="6"/>
  <c r="P130" i="6"/>
  <c r="F356" i="30"/>
  <c r="BR130" i="6"/>
  <c r="DZ130" i="6"/>
  <c r="EA130" i="6"/>
  <c r="DA130" i="6"/>
  <c r="DM130" i="6"/>
  <c r="DQ130" i="6"/>
  <c r="CV130" i="6"/>
  <c r="CK130" i="6"/>
  <c r="EC130" i="6"/>
  <c r="R130" i="6"/>
  <c r="BZ130" i="6"/>
  <c r="K130" i="6"/>
  <c r="G130" i="6"/>
  <c r="L130" i="6"/>
  <c r="CH130" i="6"/>
  <c r="ED130" i="6"/>
  <c r="BW130" i="6"/>
  <c r="AZ130" i="6"/>
  <c r="DU130" i="6"/>
  <c r="CG130" i="6"/>
  <c r="CU130" i="6"/>
  <c r="CW130" i="6"/>
  <c r="CZ130" i="6"/>
  <c r="DL130" i="6"/>
  <c r="AG130" i="6"/>
  <c r="M130" i="6"/>
  <c r="DE130" i="6"/>
  <c r="DS130" i="6"/>
  <c r="V130" i="6"/>
  <c r="BQ130" i="6"/>
  <c r="DP130" i="6"/>
  <c r="DV130" i="6"/>
  <c r="AF130" i="6"/>
  <c r="AU130" i="6"/>
  <c r="CM130" i="6"/>
  <c r="U130" i="6"/>
  <c r="BT130" i="6"/>
  <c r="EB130" i="6"/>
  <c r="AA130" i="6"/>
  <c r="DG130" i="6"/>
  <c r="EF130" i="6"/>
  <c r="AC130" i="6"/>
  <c r="BY130" i="6"/>
  <c r="T130" i="6"/>
  <c r="DB130" i="6"/>
  <c r="DN130" i="6"/>
  <c r="DC130" i="6"/>
  <c r="DO130" i="6"/>
  <c r="CC130" i="6"/>
  <c r="CO130" i="6"/>
  <c r="AW130" i="6"/>
  <c r="CS130" i="6"/>
  <c r="BB130" i="6"/>
  <c r="CX130" i="6"/>
  <c r="DJ130" i="6"/>
  <c r="CB130" i="6"/>
  <c r="AV130" i="6"/>
  <c r="Z130" i="6"/>
  <c r="BV130" i="6"/>
  <c r="AB130" i="6"/>
  <c r="BX130" i="6"/>
  <c r="CJ130" i="6"/>
  <c r="DF130" i="6"/>
  <c r="DX130" i="6"/>
  <c r="BN356" i="30"/>
  <c r="BZ356" i="30"/>
  <c r="CN130" i="6"/>
  <c r="AE130" i="6"/>
  <c r="DW130" i="6"/>
  <c r="DY130" i="6"/>
  <c r="DR130" i="6"/>
  <c r="O130" i="6"/>
  <c r="CA130" i="6"/>
  <c r="I130" i="6"/>
  <c r="Q130" i="6"/>
  <c r="H130" i="6"/>
  <c r="CQ130" i="6"/>
  <c r="DT130" i="6"/>
  <c r="BA130" i="6"/>
  <c r="AP356" i="30"/>
  <c r="N130" i="6"/>
  <c r="P77" i="6"/>
  <c r="J77" i="6"/>
  <c r="K77" i="6"/>
  <c r="L77" i="6"/>
  <c r="G77" i="6"/>
  <c r="N77" i="6"/>
  <c r="M77" i="6"/>
  <c r="I77" i="6"/>
  <c r="H77" i="6"/>
  <c r="O77" i="6"/>
  <c r="D16" i="67"/>
  <c r="L9" i="73"/>
  <c r="J83" i="72"/>
  <c r="EF47" i="71"/>
  <c r="EF11" i="71"/>
  <c r="EF48" i="71"/>
  <c r="EE78" i="71"/>
  <c r="EG9" i="71"/>
  <c r="I157" i="69"/>
  <c r="P155" i="68"/>
  <c r="EG47" i="71"/>
  <c r="EG11" i="71"/>
  <c r="EG48" i="71"/>
  <c r="D159" i="32"/>
  <c r="E159" i="32"/>
  <c r="BI209" i="30" l="1"/>
  <c r="DE208" i="30"/>
  <c r="CP208" i="30"/>
  <c r="DK234" i="30"/>
  <c r="AE235" i="30"/>
  <c r="CG234" i="30"/>
  <c r="CI302" i="30"/>
  <c r="CI330" i="30" s="1"/>
  <c r="CI350" i="30" s="1"/>
  <c r="BG234" i="30"/>
  <c r="BG236" i="30" s="1"/>
  <c r="S235" i="30"/>
  <c r="BW295" i="30"/>
  <c r="CI295" i="30"/>
  <c r="CA234" i="30"/>
  <c r="CA236" i="30" s="1"/>
  <c r="DK221" i="30"/>
  <c r="DA221" i="30"/>
  <c r="DI234" i="30"/>
  <c r="DI236" i="30" s="1"/>
  <c r="BF234" i="30"/>
  <c r="BF236" i="30" s="1"/>
  <c r="BY309" i="30"/>
  <c r="CE234" i="30"/>
  <c r="CE236" i="30" s="1"/>
  <c r="DO229" i="30"/>
  <c r="AD235" i="30"/>
  <c r="AP235" i="30"/>
  <c r="CH302" i="30"/>
  <c r="CH330" i="30" s="1"/>
  <c r="CH350" i="30" s="1"/>
  <c r="BZ302" i="30"/>
  <c r="BZ330" i="30" s="1"/>
  <c r="BZ350" i="30" s="1"/>
  <c r="CL302" i="30"/>
  <c r="CL330" i="30" s="1"/>
  <c r="CL350" i="30" s="1"/>
  <c r="BV234" i="30"/>
  <c r="BV236" i="30" s="1"/>
  <c r="DN309" i="30"/>
  <c r="DQ309" i="30"/>
  <c r="BE234" i="30"/>
  <c r="BE236" i="30" s="1"/>
  <c r="CT234" i="30"/>
  <c r="CT236" i="30" s="1"/>
  <c r="DE234" i="30"/>
  <c r="DE236" i="30" s="1"/>
  <c r="DQ295" i="30"/>
  <c r="G235" i="30"/>
  <c r="DR234" i="30"/>
  <c r="DR236" i="30" s="1"/>
  <c r="DK236" i="30"/>
  <c r="F235" i="30"/>
  <c r="BF221" i="30"/>
  <c r="R235" i="30"/>
  <c r="DJ234" i="30"/>
  <c r="DJ236" i="30" s="1"/>
  <c r="CG295" i="30"/>
  <c r="CO234" i="30"/>
  <c r="CO236" i="30" s="1"/>
  <c r="DL213" i="30"/>
  <c r="BG229" i="30"/>
  <c r="BS234" i="30"/>
  <c r="BS236" i="30" s="1"/>
  <c r="CJ302" i="30"/>
  <c r="CJ330" i="30" s="1"/>
  <c r="CJ350" i="30" s="1"/>
  <c r="BJ295" i="30"/>
  <c r="DS234" i="30"/>
  <c r="DS236" i="30" s="1"/>
  <c r="DH302" i="30"/>
  <c r="DH330" i="30" s="1"/>
  <c r="DH350" i="30" s="1"/>
  <c r="CS221" i="30"/>
  <c r="DM309" i="30"/>
  <c r="DM229" i="30"/>
  <c r="BH229" i="30"/>
  <c r="BU234" i="30"/>
  <c r="BU236" i="30" s="1"/>
  <c r="CI229" i="30"/>
  <c r="BU295" i="30"/>
  <c r="BI295" i="30"/>
  <c r="BT213" i="30"/>
  <c r="BF309" i="30"/>
  <c r="CS295" i="30"/>
  <c r="DF302" i="30"/>
  <c r="DF330" i="30" s="1"/>
  <c r="DF350" i="30" s="1"/>
  <c r="DS229" i="30"/>
  <c r="BU213" i="30"/>
  <c r="CQ229" i="30"/>
  <c r="BJ229" i="30"/>
  <c r="BH295" i="30"/>
  <c r="CU295" i="30"/>
  <c r="CD221" i="30"/>
  <c r="DO234" i="30"/>
  <c r="DO236" i="30" s="1"/>
  <c r="DD295" i="30"/>
  <c r="BT229" i="30"/>
  <c r="CH229" i="30"/>
  <c r="BE309" i="30"/>
  <c r="CW302" i="30"/>
  <c r="CW330" i="30" s="1"/>
  <c r="CW350" i="30" s="1"/>
  <c r="BU309" i="30"/>
  <c r="DM213" i="30"/>
  <c r="CQ221" i="30"/>
  <c r="DQ234" i="30"/>
  <c r="DQ236" i="30" s="1"/>
  <c r="CT295" i="30"/>
  <c r="CR229" i="30"/>
  <c r="DF229" i="30"/>
  <c r="BS213" i="30"/>
  <c r="CT213" i="30"/>
  <c r="BL302" i="30"/>
  <c r="BL330" i="30" s="1"/>
  <c r="BL350" i="30" s="1"/>
  <c r="AQ235" i="30"/>
  <c r="CE229" i="30"/>
  <c r="BE295" i="30"/>
  <c r="BQ295" i="30"/>
  <c r="DO221" i="30"/>
  <c r="DP229" i="30"/>
  <c r="AT235" i="30"/>
  <c r="AU235" i="30"/>
  <c r="AV235" i="30"/>
  <c r="AW235" i="30"/>
  <c r="AH293" i="30"/>
  <c r="AK293" i="30"/>
  <c r="AL235" i="30"/>
  <c r="AX235" i="30"/>
  <c r="AO235" i="30"/>
  <c r="AR235" i="30"/>
  <c r="AS235" i="30"/>
  <c r="BA235" i="30"/>
  <c r="AI293" i="30"/>
  <c r="AZ235" i="30"/>
  <c r="AN293" i="30"/>
  <c r="AM235" i="30"/>
  <c r="AY235" i="30"/>
  <c r="AJ235" i="30"/>
  <c r="CQ234" i="30"/>
  <c r="CQ236" i="30" s="1"/>
  <c r="DF234" i="30"/>
  <c r="DF236" i="30" s="1"/>
  <c r="DG234" i="30"/>
  <c r="DG236" i="30" s="1"/>
  <c r="DE309" i="30"/>
  <c r="BT295" i="30"/>
  <c r="CY302" i="30"/>
  <c r="CY330" i="30" s="1"/>
  <c r="CY350" i="30" s="1"/>
  <c r="DR295" i="30"/>
  <c r="BD213" i="30"/>
  <c r="BZ234" i="30"/>
  <c r="BZ236" i="30" s="1"/>
  <c r="BQ229" i="30"/>
  <c r="BU229" i="30"/>
  <c r="BG309" i="30"/>
  <c r="DN221" i="30"/>
  <c r="CG229" i="30"/>
  <c r="CK302" i="30"/>
  <c r="CK330" i="30" s="1"/>
  <c r="CK350" i="30" s="1"/>
  <c r="DI302" i="30"/>
  <c r="DI330" i="30" s="1"/>
  <c r="DI350" i="30" s="1"/>
  <c r="CF295" i="30"/>
  <c r="CA309" i="30"/>
  <c r="CM295" i="30"/>
  <c r="DO309" i="30"/>
  <c r="BQ302" i="30"/>
  <c r="BQ330" i="30" s="1"/>
  <c r="BQ350" i="30" s="1"/>
  <c r="CM221" i="30"/>
  <c r="BY234" i="30"/>
  <c r="BY236" i="30" s="1"/>
  <c r="CR309" i="30"/>
  <c r="DL302" i="30"/>
  <c r="DL330" i="30" s="1"/>
  <c r="DL350" i="30" s="1"/>
  <c r="BV302" i="30"/>
  <c r="BV330" i="30" s="1"/>
  <c r="BV350" i="30" s="1"/>
  <c r="DB295" i="30"/>
  <c r="BV295" i="30"/>
  <c r="BG221" i="30"/>
  <c r="CH234" i="30"/>
  <c r="CH236" i="30" s="1"/>
  <c r="CI234" i="30"/>
  <c r="CI236" i="30" s="1"/>
  <c r="BG295" i="30"/>
  <c r="CH295" i="30"/>
  <c r="BK295" i="30"/>
  <c r="BP213" i="30"/>
  <c r="CZ213" i="30"/>
  <c r="DA213" i="30"/>
  <c r="BG213" i="30"/>
  <c r="DO213" i="30"/>
  <c r="Z293" i="30"/>
  <c r="Z235" i="30"/>
  <c r="DU221" i="30"/>
  <c r="DP213" i="30"/>
  <c r="I235" i="30"/>
  <c r="I293" i="30"/>
  <c r="CG213" i="30"/>
  <c r="J293" i="30"/>
  <c r="J235" i="30"/>
  <c r="BY221" i="30"/>
  <c r="L293" i="30"/>
  <c r="L235" i="30"/>
  <c r="CW221" i="30"/>
  <c r="CY221" i="30"/>
  <c r="BN213" i="30"/>
  <c r="CM213" i="30"/>
  <c r="U293" i="30"/>
  <c r="U235" i="30"/>
  <c r="CB234" i="30"/>
  <c r="CB236" i="30" s="1"/>
  <c r="DM234" i="30"/>
  <c r="DM236" i="30" s="1"/>
  <c r="DN234" i="30"/>
  <c r="DN236" i="30" s="1"/>
  <c r="O235" i="30"/>
  <c r="O293" i="30"/>
  <c r="CK234" i="30"/>
  <c r="CK236" i="30" s="1"/>
  <c r="BN229" i="30"/>
  <c r="CL234" i="30"/>
  <c r="CL236" i="30" s="1"/>
  <c r="DS221" i="30"/>
  <c r="DK229" i="30"/>
  <c r="CF234" i="30"/>
  <c r="CF236" i="30" s="1"/>
  <c r="CR234" i="30"/>
  <c r="CR236" i="30" s="1"/>
  <c r="DP234" i="30"/>
  <c r="DP236" i="30" s="1"/>
  <c r="BX234" i="30"/>
  <c r="BX236" i="30" s="1"/>
  <c r="CP309" i="30"/>
  <c r="BR295" i="30"/>
  <c r="BZ295" i="30"/>
  <c r="BH309" i="30"/>
  <c r="DA295" i="30"/>
  <c r="BM309" i="30"/>
  <c r="CY309" i="30"/>
  <c r="CZ309" i="30"/>
  <c r="BR302" i="30"/>
  <c r="BR330" i="30" s="1"/>
  <c r="BR350" i="30" s="1"/>
  <c r="DA309" i="30"/>
  <c r="CJ295" i="30"/>
  <c r="DT295" i="30"/>
  <c r="BS302" i="30"/>
  <c r="BS330" i="30" s="1"/>
  <c r="BS350" i="30" s="1"/>
  <c r="DB309" i="30"/>
  <c r="BY295" i="30"/>
  <c r="DI295" i="30"/>
  <c r="BH302" i="30"/>
  <c r="BH330" i="30" s="1"/>
  <c r="BH350" i="30" s="1"/>
  <c r="DE302" i="30"/>
  <c r="DE330" i="30" s="1"/>
  <c r="DE350" i="30" s="1"/>
  <c r="BD309" i="30"/>
  <c r="BJ309" i="30"/>
  <c r="BL309" i="30"/>
  <c r="CL309" i="30"/>
  <c r="AT358" i="30"/>
  <c r="AT359" i="30"/>
  <c r="CY358" i="30"/>
  <c r="CY359" i="30"/>
  <c r="BE229" i="30"/>
  <c r="CL221" i="30"/>
  <c r="DQ229" i="30"/>
  <c r="DR229" i="30"/>
  <c r="BM229" i="30"/>
  <c r="BV221" i="30"/>
  <c r="AM359" i="30"/>
  <c r="AM358" i="30"/>
  <c r="Y359" i="30"/>
  <c r="Y358" i="30"/>
  <c r="DE359" i="30"/>
  <c r="DE358" i="30"/>
  <c r="AI359" i="30"/>
  <c r="AI358" i="30"/>
  <c r="CE358" i="30"/>
  <c r="CE359" i="30"/>
  <c r="Q359" i="30"/>
  <c r="Q358" i="30"/>
  <c r="DJ358" i="30"/>
  <c r="DJ359" i="30"/>
  <c r="T358" i="30"/>
  <c r="T359" i="30"/>
  <c r="AS359" i="30"/>
  <c r="AS358" i="30"/>
  <c r="BD295" i="30"/>
  <c r="BK302" i="30"/>
  <c r="BK330" i="30" s="1"/>
  <c r="CO309" i="30"/>
  <c r="BP302" i="30"/>
  <c r="BP330" i="30" s="1"/>
  <c r="X293" i="30"/>
  <c r="DS295" i="30"/>
  <c r="Y293" i="30"/>
  <c r="DS359" i="30"/>
  <c r="DS358" i="30"/>
  <c r="DU359" i="30"/>
  <c r="DU358" i="30"/>
  <c r="R358" i="30"/>
  <c r="R359" i="30"/>
  <c r="BF213" i="30"/>
  <c r="DM221" i="30"/>
  <c r="BM213" i="30"/>
  <c r="BZ213" i="30"/>
  <c r="CY213" i="30"/>
  <c r="BY229" i="30"/>
  <c r="DA234" i="30"/>
  <c r="DA236" i="30" s="1"/>
  <c r="CH221" i="30"/>
  <c r="BZ229" i="30"/>
  <c r="DB234" i="30"/>
  <c r="DB236" i="30" s="1"/>
  <c r="P235" i="30"/>
  <c r="CJ234" i="30"/>
  <c r="CJ236" i="30" s="1"/>
  <c r="BR359" i="30"/>
  <c r="BR358" i="30"/>
  <c r="AN359" i="30"/>
  <c r="AN358" i="30"/>
  <c r="AV359" i="30"/>
  <c r="AV358" i="30"/>
  <c r="K358" i="30"/>
  <c r="K359" i="30"/>
  <c r="BH359" i="30"/>
  <c r="BH358" i="30"/>
  <c r="CQ358" i="30"/>
  <c r="CQ359" i="30"/>
  <c r="AC359" i="30"/>
  <c r="AC358" i="30"/>
  <c r="G358" i="30"/>
  <c r="G359" i="30"/>
  <c r="BE359" i="30"/>
  <c r="BE358" i="30"/>
  <c r="CL295" i="30"/>
  <c r="CU302" i="30"/>
  <c r="CU330" i="30" s="1"/>
  <c r="CV302" i="30"/>
  <c r="CV330" i="30" s="1"/>
  <c r="BM302" i="30"/>
  <c r="BM330" i="30" s="1"/>
  <c r="BC302" i="30"/>
  <c r="BC330" i="30" s="1"/>
  <c r="CB302" i="30"/>
  <c r="CB330" i="30" s="1"/>
  <c r="CC302" i="30"/>
  <c r="CC330" i="30" s="1"/>
  <c r="CD302" i="30"/>
  <c r="CD330" i="30" s="1"/>
  <c r="CE302" i="30"/>
  <c r="CE330" i="30" s="1"/>
  <c r="DU295" i="30"/>
  <c r="AA293" i="30"/>
  <c r="BT302" i="30"/>
  <c r="BT330" i="30" s="1"/>
  <c r="BT309" i="30"/>
  <c r="BV309" i="30"/>
  <c r="BK309" i="30"/>
  <c r="BX309" i="30"/>
  <c r="BJ213" i="30"/>
  <c r="BK213" i="30"/>
  <c r="BL213" i="30"/>
  <c r="BY213" i="30"/>
  <c r="CL213" i="30"/>
  <c r="DK213" i="30"/>
  <c r="AB235" i="30"/>
  <c r="BP234" i="30"/>
  <c r="BP236" i="30" s="1"/>
  <c r="CK229" i="30"/>
  <c r="DU234" i="30"/>
  <c r="DU236" i="30" s="1"/>
  <c r="CT221" i="30"/>
  <c r="CL229" i="30"/>
  <c r="N235" i="30"/>
  <c r="BD234" i="30"/>
  <c r="BD236" i="30" s="1"/>
  <c r="E235" i="30"/>
  <c r="CV234" i="30"/>
  <c r="CV236" i="30" s="1"/>
  <c r="BT359" i="30"/>
  <c r="BT358" i="30"/>
  <c r="BJ359" i="30"/>
  <c r="BJ358" i="30"/>
  <c r="BV359" i="30"/>
  <c r="BV358" i="30"/>
  <c r="AB359" i="30"/>
  <c r="AB358" i="30"/>
  <c r="CH359" i="30"/>
  <c r="CH358" i="30"/>
  <c r="DC358" i="30"/>
  <c r="DC359" i="30"/>
  <c r="AO359" i="30"/>
  <c r="AO358" i="30"/>
  <c r="S358" i="30"/>
  <c r="S359" i="30"/>
  <c r="AR358" i="30"/>
  <c r="AR359" i="30"/>
  <c r="BQ359" i="30"/>
  <c r="BQ358" i="30"/>
  <c r="DS302" i="30"/>
  <c r="DS330" i="30" s="1"/>
  <c r="DC295" i="30"/>
  <c r="CN295" i="30"/>
  <c r="T293" i="30"/>
  <c r="BW302" i="30"/>
  <c r="BW330" i="30" s="1"/>
  <c r="BI309" i="30"/>
  <c r="BO302" i="30"/>
  <c r="BO330" i="30" s="1"/>
  <c r="CN302" i="30"/>
  <c r="CN330" i="30" s="1"/>
  <c r="CO302" i="30"/>
  <c r="CO330" i="30" s="1"/>
  <c r="CP302" i="30"/>
  <c r="CP330" i="30" s="1"/>
  <c r="CQ302" i="30"/>
  <c r="CQ330" i="30" s="1"/>
  <c r="CF302" i="30"/>
  <c r="CF330" i="30" s="1"/>
  <c r="CN309" i="30"/>
  <c r="CH309" i="30"/>
  <c r="BW309" i="30"/>
  <c r="CJ309" i="30"/>
  <c r="BZ358" i="30"/>
  <c r="BZ359" i="30"/>
  <c r="DB213" i="30"/>
  <c r="BI213" i="30"/>
  <c r="BV213" i="30"/>
  <c r="BW213" i="30"/>
  <c r="BX213" i="30"/>
  <c r="CK213" i="30"/>
  <c r="CX213" i="30"/>
  <c r="BF229" i="30"/>
  <c r="BD221" i="30"/>
  <c r="BI234" i="30"/>
  <c r="BI236" i="30" s="1"/>
  <c r="BO234" i="30"/>
  <c r="BO236" i="30" s="1"/>
  <c r="BH221" i="30"/>
  <c r="BL229" i="30"/>
  <c r="CG236" i="30"/>
  <c r="DE221" i="30"/>
  <c r="CW229" i="30"/>
  <c r="DF221" i="30"/>
  <c r="CX229" i="30"/>
  <c r="BC234" i="30"/>
  <c r="BC236" i="30" s="1"/>
  <c r="BL221" i="30"/>
  <c r="BD229" i="30"/>
  <c r="Q235" i="30"/>
  <c r="K235" i="30"/>
  <c r="DH234" i="30"/>
  <c r="DH236" i="30" s="1"/>
  <c r="M235" i="30"/>
  <c r="CP359" i="30"/>
  <c r="CP358" i="30"/>
  <c r="P359" i="30"/>
  <c r="P358" i="30"/>
  <c r="DB359" i="30"/>
  <c r="DB358" i="30"/>
  <c r="AY359" i="30"/>
  <c r="AY358" i="30"/>
  <c r="DN358" i="30"/>
  <c r="DN359" i="30"/>
  <c r="DO358" i="30"/>
  <c r="DO359" i="30"/>
  <c r="BA359" i="30"/>
  <c r="BA358" i="30"/>
  <c r="AE358" i="30"/>
  <c r="AE359" i="30"/>
  <c r="BD358" i="30"/>
  <c r="BD359" i="30"/>
  <c r="CC359" i="30"/>
  <c r="CC358" i="30"/>
  <c r="H293" i="30"/>
  <c r="DE295" i="30"/>
  <c r="CO295" i="30"/>
  <c r="BF295" i="30"/>
  <c r="V293" i="30"/>
  <c r="DG302" i="30"/>
  <c r="DG330" i="30" s="1"/>
  <c r="BX302" i="30"/>
  <c r="BX330" i="30" s="1"/>
  <c r="CC309" i="30"/>
  <c r="CA302" i="30"/>
  <c r="CA330" i="30" s="1"/>
  <c r="CZ302" i="30"/>
  <c r="CZ330" i="30" s="1"/>
  <c r="DA302" i="30"/>
  <c r="DA330" i="30" s="1"/>
  <c r="DB302" i="30"/>
  <c r="DB330" i="30" s="1"/>
  <c r="DC302" i="30"/>
  <c r="DC330" i="30" s="1"/>
  <c r="CR302" i="30"/>
  <c r="CR330" i="30" s="1"/>
  <c r="DD309" i="30"/>
  <c r="CT309" i="30"/>
  <c r="CI309" i="30"/>
  <c r="CV309" i="30"/>
  <c r="DH359" i="30"/>
  <c r="DH358" i="30"/>
  <c r="BN358" i="30"/>
  <c r="BN359" i="30"/>
  <c r="BH213" i="30"/>
  <c r="CH213" i="30"/>
  <c r="CI213" i="30"/>
  <c r="CJ213" i="30"/>
  <c r="CW213" i="30"/>
  <c r="DJ213" i="30"/>
  <c r="BN221" i="30"/>
  <c r="BR229" i="30"/>
  <c r="BP221" i="30"/>
  <c r="BK229" i="30"/>
  <c r="BT221" i="30"/>
  <c r="BX229" i="30"/>
  <c r="CZ234" i="30"/>
  <c r="CZ236" i="30" s="1"/>
  <c r="DQ221" i="30"/>
  <c r="DI229" i="30"/>
  <c r="DR221" i="30"/>
  <c r="DJ229" i="30"/>
  <c r="BK221" i="30"/>
  <c r="BC229" i="30"/>
  <c r="BX221" i="30"/>
  <c r="BP229" i="30"/>
  <c r="CN234" i="30"/>
  <c r="CN236" i="30" s="1"/>
  <c r="AC235" i="30"/>
  <c r="W235" i="30"/>
  <c r="DT234" i="30"/>
  <c r="DT236" i="30" s="1"/>
  <c r="CS359" i="30"/>
  <c r="CS358" i="30"/>
  <c r="AL359" i="30"/>
  <c r="AL358" i="30"/>
  <c r="Z359" i="30"/>
  <c r="Z358" i="30"/>
  <c r="CF359" i="30"/>
  <c r="CF358" i="30"/>
  <c r="N359" i="30"/>
  <c r="N358" i="30"/>
  <c r="AZ359" i="30"/>
  <c r="AZ358" i="30"/>
  <c r="BM359" i="30"/>
  <c r="BM358" i="30"/>
  <c r="AQ358" i="30"/>
  <c r="AQ359" i="30"/>
  <c r="BP359" i="30"/>
  <c r="BP358" i="30"/>
  <c r="CO359" i="30"/>
  <c r="CO358" i="30"/>
  <c r="X305" i="30"/>
  <c r="DK295" i="30"/>
  <c r="BY302" i="30"/>
  <c r="BY330" i="30" s="1"/>
  <c r="CS309" i="30"/>
  <c r="CM302" i="30"/>
  <c r="CM330" i="30" s="1"/>
  <c r="DM302" i="30"/>
  <c r="DM330" i="30" s="1"/>
  <c r="L305" i="30"/>
  <c r="DN302" i="30"/>
  <c r="DN330" i="30" s="1"/>
  <c r="M305" i="30"/>
  <c r="DO302" i="30"/>
  <c r="DO330" i="30" s="1"/>
  <c r="DD302" i="30"/>
  <c r="DD330" i="30" s="1"/>
  <c r="CX295" i="30"/>
  <c r="DF309" i="30"/>
  <c r="CU309" i="30"/>
  <c r="DH309" i="30"/>
  <c r="AD305" i="30"/>
  <c r="AU358" i="30"/>
  <c r="AU359" i="30"/>
  <c r="F358" i="30"/>
  <c r="F359" i="30"/>
  <c r="AD358" i="30"/>
  <c r="AD359" i="30"/>
  <c r="BE213" i="30"/>
  <c r="CU213" i="30"/>
  <c r="CV213" i="30"/>
  <c r="DI213" i="30"/>
  <c r="BM221" i="30"/>
  <c r="CG221" i="30"/>
  <c r="CD229" i="30"/>
  <c r="CP234" i="30"/>
  <c r="CP236" i="30" s="1"/>
  <c r="CB221" i="30"/>
  <c r="CS234" i="30"/>
  <c r="CS236" i="30" s="1"/>
  <c r="BW229" i="30"/>
  <c r="CY234" i="30"/>
  <c r="CY236" i="30" s="1"/>
  <c r="CF221" i="30"/>
  <c r="CJ229" i="30"/>
  <c r="DU229" i="30"/>
  <c r="BW221" i="30"/>
  <c r="BO229" i="30"/>
  <c r="CM234" i="30"/>
  <c r="CM236" i="30" s="1"/>
  <c r="CJ221" i="30"/>
  <c r="CB229" i="30"/>
  <c r="BK234" i="30"/>
  <c r="BK236" i="30" s="1"/>
  <c r="CT359" i="30"/>
  <c r="CT358" i="30"/>
  <c r="BK359" i="30"/>
  <c r="BK358" i="30"/>
  <c r="AW359" i="30"/>
  <c r="AW358" i="30"/>
  <c r="DF359" i="30"/>
  <c r="DF358" i="30"/>
  <c r="AJ359" i="30"/>
  <c r="AJ358" i="30"/>
  <c r="BL359" i="30"/>
  <c r="BL358" i="30"/>
  <c r="BY359" i="30"/>
  <c r="BY358" i="30"/>
  <c r="BC358" i="30"/>
  <c r="BC359" i="30"/>
  <c r="CB358" i="30"/>
  <c r="CB359" i="30"/>
  <c r="DA359" i="30"/>
  <c r="DA358" i="30"/>
  <c r="CP295" i="30"/>
  <c r="CA295" i="30"/>
  <c r="CB295" i="30"/>
  <c r="BN295" i="30"/>
  <c r="DR302" i="30"/>
  <c r="DR330" i="30" s="1"/>
  <c r="G305" i="30"/>
  <c r="AE305" i="30"/>
  <c r="AF305" i="30"/>
  <c r="DP302" i="30"/>
  <c r="DP330" i="30" s="1"/>
  <c r="S305" i="30"/>
  <c r="DJ295" i="30"/>
  <c r="BI302" i="30"/>
  <c r="BI330" i="30" s="1"/>
  <c r="DR309" i="30"/>
  <c r="DG309" i="30"/>
  <c r="DT309" i="30"/>
  <c r="AA359" i="30"/>
  <c r="AA358" i="30"/>
  <c r="I359" i="30"/>
  <c r="I358" i="30"/>
  <c r="BR213" i="30"/>
  <c r="BQ213" i="30"/>
  <c r="CE213" i="30"/>
  <c r="CF213" i="30"/>
  <c r="CS213" i="30"/>
  <c r="DF213" i="30"/>
  <c r="DG213" i="30"/>
  <c r="DH213" i="30"/>
  <c r="DU213" i="30"/>
  <c r="BI221" i="30"/>
  <c r="CE221" i="30"/>
  <c r="DI221" i="30"/>
  <c r="CX221" i="30"/>
  <c r="CP229" i="30"/>
  <c r="CN221" i="30"/>
  <c r="CF229" i="30"/>
  <c r="DL234" i="30"/>
  <c r="DL236" i="30" s="1"/>
  <c r="BM234" i="30"/>
  <c r="BM236" i="30" s="1"/>
  <c r="BN234" i="30"/>
  <c r="BN236" i="30" s="1"/>
  <c r="CR221" i="30"/>
  <c r="CV229" i="30"/>
  <c r="CI221" i="30"/>
  <c r="CA229" i="30"/>
  <c r="DC234" i="30"/>
  <c r="DC236" i="30" s="1"/>
  <c r="CV221" i="30"/>
  <c r="CN229" i="30"/>
  <c r="BW234" i="30"/>
  <c r="BW236" i="30" s="1"/>
  <c r="O359" i="30"/>
  <c r="O358" i="30"/>
  <c r="CR359" i="30"/>
  <c r="CR358" i="30"/>
  <c r="BW359" i="30"/>
  <c r="BW358" i="30"/>
  <c r="L359" i="30"/>
  <c r="L358" i="30"/>
  <c r="BI359" i="30"/>
  <c r="BI358" i="30"/>
  <c r="BX359" i="30"/>
  <c r="BX358" i="30"/>
  <c r="CK359" i="30"/>
  <c r="CK358" i="30"/>
  <c r="BO358" i="30"/>
  <c r="BO359" i="30"/>
  <c r="CN359" i="30"/>
  <c r="CN358" i="30"/>
  <c r="DM359" i="30"/>
  <c r="DM358" i="30"/>
  <c r="DI309" i="30"/>
  <c r="DL295" i="30"/>
  <c r="CQ295" i="30"/>
  <c r="CR295" i="30"/>
  <c r="CC295" i="30"/>
  <c r="CD295" i="30"/>
  <c r="BO295" i="30"/>
  <c r="DT302" i="30"/>
  <c r="DT330" i="30" s="1"/>
  <c r="DK302" i="30"/>
  <c r="DK330" i="30" s="1"/>
  <c r="BU302" i="30"/>
  <c r="BU330" i="30" s="1"/>
  <c r="DS309" i="30"/>
  <c r="CC213" i="30"/>
  <c r="CQ213" i="30"/>
  <c r="CR213" i="30"/>
  <c r="DE213" i="30"/>
  <c r="DR213" i="30"/>
  <c r="BE221" i="30"/>
  <c r="DS213" i="30"/>
  <c r="DT213" i="30"/>
  <c r="DB221" i="30"/>
  <c r="DC229" i="30"/>
  <c r="DJ221" i="30"/>
  <c r="DB229" i="30"/>
  <c r="CZ221" i="30"/>
  <c r="BI229" i="30"/>
  <c r="CC234" i="30"/>
  <c r="CC236" i="30" s="1"/>
  <c r="CD234" i="30"/>
  <c r="CD236" i="30" s="1"/>
  <c r="CU229" i="30"/>
  <c r="DD221" i="30"/>
  <c r="DH229" i="30"/>
  <c r="CU221" i="30"/>
  <c r="CM229" i="30"/>
  <c r="DH221" i="30"/>
  <c r="CZ229" i="30"/>
  <c r="BH234" i="30"/>
  <c r="BH236" i="30" s="1"/>
  <c r="DQ359" i="30"/>
  <c r="DQ358" i="30"/>
  <c r="DR359" i="30"/>
  <c r="DR358" i="30"/>
  <c r="DD359" i="30"/>
  <c r="DD358" i="30"/>
  <c r="AH359" i="30"/>
  <c r="AH358" i="30"/>
  <c r="CI359" i="30"/>
  <c r="CI358" i="30"/>
  <c r="CJ359" i="30"/>
  <c r="CJ358" i="30"/>
  <c r="CW359" i="30"/>
  <c r="CW358" i="30"/>
  <c r="CA358" i="30"/>
  <c r="CA359" i="30"/>
  <c r="CZ359" i="30"/>
  <c r="CZ358" i="30"/>
  <c r="DL309" i="30"/>
  <c r="DM295" i="30"/>
  <c r="DN295" i="30"/>
  <c r="CY295" i="30"/>
  <c r="CE295" i="30"/>
  <c r="BP295" i="30"/>
  <c r="BN302" i="30"/>
  <c r="BN330" i="30" s="1"/>
  <c r="BO309" i="30"/>
  <c r="BP309" i="30"/>
  <c r="BQ309" i="30"/>
  <c r="BL295" i="30"/>
  <c r="BR309" i="30"/>
  <c r="BC309" i="30"/>
  <c r="CG302" i="30"/>
  <c r="CG330" i="30" s="1"/>
  <c r="BN309" i="30"/>
  <c r="BO221" i="30"/>
  <c r="BR221" i="30"/>
  <c r="CB213" i="30"/>
  <c r="CD213" i="30"/>
  <c r="CN213" i="30"/>
  <c r="CO213" i="30"/>
  <c r="DC213" i="30"/>
  <c r="DD213" i="30"/>
  <c r="DQ213" i="30"/>
  <c r="BC221" i="30"/>
  <c r="BZ221" i="30"/>
  <c r="CA221" i="30"/>
  <c r="CC221" i="30"/>
  <c r="DA229" i="30"/>
  <c r="DN229" i="30"/>
  <c r="DL221" i="30"/>
  <c r="DD229" i="30"/>
  <c r="CW234" i="30"/>
  <c r="CW236" i="30" s="1"/>
  <c r="BV229" i="30"/>
  <c r="CX234" i="30"/>
  <c r="CX236" i="30" s="1"/>
  <c r="DC221" i="30"/>
  <c r="DG229" i="30"/>
  <c r="DP221" i="30"/>
  <c r="DT229" i="30"/>
  <c r="DG221" i="30"/>
  <c r="CY229" i="30"/>
  <c r="DT221" i="30"/>
  <c r="DL229" i="30"/>
  <c r="BT234" i="30"/>
  <c r="BT236" i="30" s="1"/>
  <c r="CU234" i="30"/>
  <c r="CU236" i="30" s="1"/>
  <c r="V358" i="30"/>
  <c r="V359" i="30"/>
  <c r="X359" i="30"/>
  <c r="X358" i="30"/>
  <c r="J358" i="30"/>
  <c r="J359" i="30"/>
  <c r="BF359" i="30"/>
  <c r="BF358" i="30"/>
  <c r="DP359" i="30"/>
  <c r="DP358" i="30"/>
  <c r="CV359" i="30"/>
  <c r="CV358" i="30"/>
  <c r="DI359" i="30"/>
  <c r="DI358" i="30"/>
  <c r="CM358" i="30"/>
  <c r="CM359" i="30"/>
  <c r="DL358" i="30"/>
  <c r="DL359" i="30"/>
  <c r="DO295" i="30"/>
  <c r="DP295" i="30"/>
  <c r="CZ295" i="30"/>
  <c r="CE309" i="30"/>
  <c r="CF309" i="30"/>
  <c r="CG309" i="30"/>
  <c r="BX295" i="30"/>
  <c r="CK309" i="30"/>
  <c r="BM295" i="30"/>
  <c r="BS309" i="30"/>
  <c r="CS302" i="30"/>
  <c r="CS330" i="30" s="1"/>
  <c r="N305" i="30"/>
  <c r="BZ309" i="30"/>
  <c r="AP358" i="30"/>
  <c r="AP359" i="30"/>
  <c r="CP213" i="30"/>
  <c r="BS221" i="30"/>
  <c r="BU221" i="30"/>
  <c r="BO213" i="30"/>
  <c r="CS229" i="30"/>
  <c r="CT229" i="30"/>
  <c r="W358" i="30"/>
  <c r="W359" i="30"/>
  <c r="BU359" i="30"/>
  <c r="BU358" i="30"/>
  <c r="AX359" i="30"/>
  <c r="AX358" i="30"/>
  <c r="DG359" i="30"/>
  <c r="DG358" i="30"/>
  <c r="BG359" i="30"/>
  <c r="BG358" i="30"/>
  <c r="DT359" i="30"/>
  <c r="DT358" i="30"/>
  <c r="CL358" i="30"/>
  <c r="CL359" i="30"/>
  <c r="DK358" i="30"/>
  <c r="DK359" i="30"/>
  <c r="U359" i="30"/>
  <c r="U358" i="30"/>
  <c r="BC295" i="30"/>
  <c r="BS295" i="30"/>
  <c r="DU302" i="30"/>
  <c r="DU330" i="30" s="1"/>
  <c r="BJ302" i="30"/>
  <c r="BJ330" i="30" s="1"/>
  <c r="CQ309" i="30"/>
  <c r="CX302" i="30"/>
  <c r="CX330" i="30" s="1"/>
  <c r="CD309" i="30"/>
  <c r="DP309" i="30"/>
  <c r="CV295" i="30"/>
  <c r="DU309" i="30"/>
  <c r="CK295" i="30"/>
  <c r="DC309" i="30"/>
  <c r="DQ302" i="30"/>
  <c r="DQ330" i="30" s="1"/>
  <c r="T305" i="30"/>
  <c r="AA305" i="30"/>
  <c r="CX309" i="30"/>
  <c r="BC213" i="30"/>
  <c r="CG359" i="30"/>
  <c r="CG358" i="30"/>
  <c r="CM309" i="30"/>
  <c r="DN213" i="30"/>
  <c r="CK221" i="30"/>
  <c r="BQ221" i="30"/>
  <c r="CO221" i="30"/>
  <c r="CP221" i="30"/>
  <c r="BS229" i="30"/>
  <c r="CC229" i="30"/>
  <c r="CO229" i="30"/>
  <c r="CA213" i="30"/>
  <c r="DE229" i="30"/>
  <c r="BQ234" i="30"/>
  <c r="BQ236" i="30" s="1"/>
  <c r="BJ221" i="30"/>
  <c r="BR234" i="30"/>
  <c r="BR236" i="30" s="1"/>
  <c r="DD234" i="30"/>
  <c r="DD236" i="30" s="1"/>
  <c r="BJ234" i="30"/>
  <c r="BJ236" i="30" s="1"/>
  <c r="BL234" i="30"/>
  <c r="BL236" i="30" s="1"/>
  <c r="AK359" i="30"/>
  <c r="AK358" i="30"/>
  <c r="CU359" i="30"/>
  <c r="CU358" i="30"/>
  <c r="CD358" i="30"/>
  <c r="CD359" i="30"/>
  <c r="M359" i="30"/>
  <c r="M358" i="30"/>
  <c r="BS358" i="30"/>
  <c r="BS359" i="30"/>
  <c r="E359" i="30"/>
  <c r="E358" i="30"/>
  <c r="CX358" i="30"/>
  <c r="CX359" i="30"/>
  <c r="H359" i="30"/>
  <c r="H358" i="30"/>
  <c r="CT302" i="30"/>
  <c r="CT330" i="30" s="1"/>
  <c r="CB309" i="30"/>
  <c r="U305" i="30"/>
  <c r="DK309" i="30"/>
  <c r="DJ302" i="30"/>
  <c r="DJ330" i="30" s="1"/>
  <c r="I305" i="30"/>
  <c r="CW309" i="30"/>
  <c r="BD302" i="30"/>
  <c r="BD330" i="30" s="1"/>
  <c r="DF295" i="30"/>
  <c r="BE302" i="30"/>
  <c r="BE330" i="30" s="1"/>
  <c r="DG295" i="30"/>
  <c r="BF302" i="30"/>
  <c r="BF330" i="30" s="1"/>
  <c r="DH295" i="30"/>
  <c r="BG302" i="30"/>
  <c r="BG330" i="30" s="1"/>
  <c r="CW295" i="30"/>
  <c r="DJ309" i="30"/>
  <c r="Q100" i="72"/>
  <c r="Q91" i="72"/>
  <c r="Q96" i="72"/>
  <c r="Q87" i="72"/>
  <c r="Q92" i="72"/>
  <c r="Q83" i="72"/>
  <c r="Q101" i="72"/>
  <c r="Q88" i="72"/>
  <c r="Q98" i="72"/>
  <c r="Q97" i="72"/>
  <c r="Q84" i="72"/>
  <c r="Q90" i="72"/>
  <c r="Q93" i="72"/>
  <c r="Q103" i="72"/>
  <c r="Q86" i="72"/>
  <c r="Q89" i="72"/>
  <c r="Q99" i="72"/>
  <c r="Q94" i="72"/>
  <c r="Q85" i="72"/>
  <c r="Q95" i="72"/>
  <c r="Q102" i="72"/>
  <c r="EG117" i="71"/>
  <c r="J114" i="69" s="1"/>
  <c r="EG119" i="71"/>
  <c r="I116" i="69" s="1"/>
  <c r="EG118" i="71"/>
  <c r="I115" i="69" s="1"/>
  <c r="EG130" i="71"/>
  <c r="AW45" i="69"/>
  <c r="C45" i="69" s="1"/>
  <c r="P43" i="68"/>
  <c r="C48" i="71"/>
  <c r="EF117" i="71"/>
  <c r="EF119" i="71"/>
  <c r="EF118" i="71"/>
  <c r="EF130" i="71"/>
  <c r="EG56" i="71"/>
  <c r="EG49" i="71"/>
  <c r="EG114" i="71"/>
  <c r="Z172" i="71"/>
  <c r="V172" i="71"/>
  <c r="AU172" i="71"/>
  <c r="T172" i="71"/>
  <c r="BC172" i="71"/>
  <c r="AZ172" i="71"/>
  <c r="BE172" i="71"/>
  <c r="Y172" i="71"/>
  <c r="ED172" i="71"/>
  <c r="BU172" i="71"/>
  <c r="EE172" i="71"/>
  <c r="CB172" i="71"/>
  <c r="BI172" i="71"/>
  <c r="BM172" i="71"/>
  <c r="EC172" i="71"/>
  <c r="I172" i="71"/>
  <c r="K172" i="71"/>
  <c r="CA172" i="71"/>
  <c r="S172" i="71"/>
  <c r="U172" i="71"/>
  <c r="DL172" i="71"/>
  <c r="DQ172" i="71"/>
  <c r="DE172" i="71"/>
  <c r="CM172" i="71"/>
  <c r="AE172" i="71"/>
  <c r="AO172" i="71"/>
  <c r="R172" i="71"/>
  <c r="DW172" i="71"/>
  <c r="BG172" i="71"/>
  <c r="AW172" i="71"/>
  <c r="CV172" i="71"/>
  <c r="DN172" i="71"/>
  <c r="DV172" i="71"/>
  <c r="BT172" i="71"/>
  <c r="CZ172" i="71"/>
  <c r="CG172" i="71"/>
  <c r="CK172" i="71"/>
  <c r="H172" i="71"/>
  <c r="CQ172" i="71"/>
  <c r="F172" i="71"/>
  <c r="DK172" i="71"/>
  <c r="DU172" i="71"/>
  <c r="DY172" i="71"/>
  <c r="M172" i="71"/>
  <c r="X172" i="71"/>
  <c r="CL172" i="71"/>
  <c r="AR172" i="71"/>
  <c r="CW172" i="71"/>
  <c r="DO172" i="71"/>
  <c r="DC172" i="71"/>
  <c r="BH172" i="71"/>
  <c r="EF172" i="71"/>
  <c r="BA172" i="71"/>
  <c r="BN172" i="71"/>
  <c r="BD172" i="71"/>
  <c r="EG172" i="71"/>
  <c r="DA172" i="71"/>
  <c r="CO172" i="71"/>
  <c r="EB172" i="71"/>
  <c r="BL172" i="71"/>
  <c r="CJ172" i="71"/>
  <c r="BJ172" i="71"/>
  <c r="AF172" i="71"/>
  <c r="G172" i="71"/>
  <c r="BF172" i="71"/>
  <c r="CE172" i="71"/>
  <c r="W172" i="71"/>
  <c r="AV172" i="71"/>
  <c r="AB172" i="71"/>
  <c r="AG172" i="71"/>
  <c r="N172" i="71"/>
  <c r="L172" i="71"/>
  <c r="DJ172" i="71"/>
  <c r="BQ172" i="71"/>
  <c r="DP172" i="71"/>
  <c r="DF172" i="71"/>
  <c r="CU172" i="71"/>
  <c r="DS172" i="71"/>
  <c r="DI172" i="71"/>
  <c r="EA172" i="71"/>
  <c r="Q172" i="71"/>
  <c r="AD172" i="71"/>
  <c r="E172" i="71"/>
  <c r="CI172" i="71"/>
  <c r="DT172" i="71"/>
  <c r="CN172" i="71"/>
  <c r="J172" i="71"/>
  <c r="BS172" i="71"/>
  <c r="DZ172" i="71"/>
  <c r="CD172" i="71"/>
  <c r="O172" i="71"/>
  <c r="CY172" i="71"/>
  <c r="BY172" i="71"/>
  <c r="DG172" i="71"/>
  <c r="CF172" i="71"/>
  <c r="DD172" i="71"/>
  <c r="CT172" i="71"/>
  <c r="CC172" i="71"/>
  <c r="BK172" i="71"/>
  <c r="DR172" i="71"/>
  <c r="DH172" i="71"/>
  <c r="P172" i="71"/>
  <c r="DM172" i="71"/>
  <c r="DB172" i="71"/>
  <c r="CX172" i="71"/>
  <c r="BX172" i="71"/>
  <c r="BB172" i="71"/>
  <c r="AX172" i="71"/>
  <c r="BO172" i="71"/>
  <c r="DX172" i="71"/>
  <c r="BW172" i="71"/>
  <c r="CR172" i="71"/>
  <c r="BR172" i="71"/>
  <c r="AA172" i="71"/>
  <c r="CP172" i="71"/>
  <c r="BP172" i="71"/>
  <c r="AY172" i="71"/>
  <c r="CS172" i="71"/>
  <c r="BZ172" i="71"/>
  <c r="BV172" i="71"/>
  <c r="C210" i="71"/>
  <c r="O21" i="73" s="1"/>
  <c r="CH172" i="71"/>
  <c r="P42" i="68"/>
  <c r="C47" i="71"/>
  <c r="AW44" i="69"/>
  <c r="C44" i="69" s="1"/>
  <c r="G43" i="64"/>
  <c r="C34" i="17"/>
  <c r="G43" i="42"/>
  <c r="D34" i="17"/>
  <c r="K40" i="42"/>
  <c r="K39" i="42" s="1"/>
  <c r="K45" i="42" s="1"/>
  <c r="G44" i="64"/>
  <c r="D227" i="32"/>
  <c r="G44" i="42"/>
  <c r="G41" i="42"/>
  <c r="I45" i="17"/>
  <c r="D219" i="32"/>
  <c r="M53" i="55"/>
  <c r="T53" i="55" s="1"/>
  <c r="N12" i="17"/>
  <c r="K24" i="70"/>
  <c r="I48" i="17"/>
  <c r="B8" i="55"/>
  <c r="D282" i="32"/>
  <c r="G41" i="64"/>
  <c r="G40" i="64" s="1"/>
  <c r="K40" i="64"/>
  <c r="K39" i="64" s="1"/>
  <c r="K45" i="64" s="1"/>
  <c r="CT350" i="30" l="1"/>
  <c r="BG360" i="30"/>
  <c r="CV360" i="30"/>
  <c r="CW360" i="30"/>
  <c r="DQ360" i="30"/>
  <c r="BU350" i="30"/>
  <c r="DT350" i="30"/>
  <c r="AA360" i="30"/>
  <c r="BK360" i="30"/>
  <c r="AD360" i="30"/>
  <c r="CM350" i="30"/>
  <c r="BP360" i="30"/>
  <c r="Z360" i="30"/>
  <c r="CC360" i="30"/>
  <c r="AY360" i="30"/>
  <c r="BZ360" i="30"/>
  <c r="CU350" i="30"/>
  <c r="DU360" i="30"/>
  <c r="Q360" i="30"/>
  <c r="BF350" i="30"/>
  <c r="BS360" i="30"/>
  <c r="CR360" i="30"/>
  <c r="BC360" i="30"/>
  <c r="BX350" i="30"/>
  <c r="BV360" i="30"/>
  <c r="K360" i="30"/>
  <c r="AT360" i="30"/>
  <c r="M360" i="30"/>
  <c r="DG360" i="30"/>
  <c r="CS350" i="30"/>
  <c r="DP360" i="30"/>
  <c r="CG350" i="30"/>
  <c r="CJ360" i="30"/>
  <c r="BO360" i="30"/>
  <c r="BY360" i="30"/>
  <c r="CT360" i="30"/>
  <c r="F360" i="30"/>
  <c r="BY350" i="30"/>
  <c r="AL360" i="30"/>
  <c r="DG350" i="30"/>
  <c r="DB360" i="30"/>
  <c r="BW350" i="30"/>
  <c r="AR360" i="30"/>
  <c r="CE350" i="30"/>
  <c r="BE360" i="30"/>
  <c r="AV360" i="30"/>
  <c r="DS360" i="30"/>
  <c r="BK350" i="30"/>
  <c r="BE350" i="30"/>
  <c r="CK360" i="30"/>
  <c r="O360" i="30"/>
  <c r="AQ360" i="30"/>
  <c r="BD360" i="30"/>
  <c r="BJ360" i="30"/>
  <c r="CD350" i="30"/>
  <c r="CE360" i="30"/>
  <c r="F314" i="30"/>
  <c r="G314" i="30"/>
  <c r="E314" i="30"/>
  <c r="D303" i="32" s="1"/>
  <c r="G179" i="6"/>
  <c r="G79" i="6" s="1"/>
  <c r="G140" i="6"/>
  <c r="G69" i="6" s="1"/>
  <c r="G169" i="6"/>
  <c r="G76" i="6" s="1"/>
  <c r="G164" i="6"/>
  <c r="G74" i="6" s="1"/>
  <c r="G159" i="6"/>
  <c r="G73" i="6" s="1"/>
  <c r="G150" i="6"/>
  <c r="G71" i="6" s="1"/>
  <c r="G174" i="6"/>
  <c r="G78" i="6" s="1"/>
  <c r="G154" i="6"/>
  <c r="G72" i="6" s="1"/>
  <c r="G145" i="6"/>
  <c r="G70" i="6" s="1"/>
  <c r="H314" i="30"/>
  <c r="I314" i="30"/>
  <c r="J314" i="30"/>
  <c r="K314" i="30"/>
  <c r="L314" i="30"/>
  <c r="M314" i="30"/>
  <c r="N314" i="30"/>
  <c r="O314" i="30"/>
  <c r="P314" i="30"/>
  <c r="Q314" i="30"/>
  <c r="R314" i="30"/>
  <c r="S314" i="30"/>
  <c r="T314" i="30"/>
  <c r="U314" i="30"/>
  <c r="V314" i="30"/>
  <c r="W314" i="30"/>
  <c r="X314" i="30"/>
  <c r="Y314" i="30"/>
  <c r="Z314" i="30"/>
  <c r="AA314" i="30"/>
  <c r="AB314" i="30"/>
  <c r="AC314" i="30"/>
  <c r="AD314" i="30"/>
  <c r="AE314" i="30"/>
  <c r="AH314" i="30"/>
  <c r="AI314" i="30"/>
  <c r="AJ314" i="30"/>
  <c r="AK314" i="30"/>
  <c r="AL314" i="30"/>
  <c r="AM314" i="30"/>
  <c r="AN314" i="30"/>
  <c r="AO314" i="30"/>
  <c r="AP314" i="30"/>
  <c r="AQ314" i="30"/>
  <c r="AR314" i="30"/>
  <c r="AS314" i="30"/>
  <c r="AT314" i="30"/>
  <c r="AU314" i="30"/>
  <c r="AV314" i="30"/>
  <c r="AW314" i="30"/>
  <c r="AX314" i="30"/>
  <c r="AY314" i="30"/>
  <c r="AZ314" i="30"/>
  <c r="BA314" i="30"/>
  <c r="BC314" i="30"/>
  <c r="BC312" i="30"/>
  <c r="BD314" i="30"/>
  <c r="BD312" i="30"/>
  <c r="BE314" i="30"/>
  <c r="BE312" i="30"/>
  <c r="BF312" i="30"/>
  <c r="BF314" i="30"/>
  <c r="BG314" i="30"/>
  <c r="BG312" i="30"/>
  <c r="BH312" i="30"/>
  <c r="BH314" i="30"/>
  <c r="BI312" i="30"/>
  <c r="BI314" i="30"/>
  <c r="BJ312" i="30"/>
  <c r="BJ314" i="30"/>
  <c r="BK312" i="30"/>
  <c r="BK314" i="30"/>
  <c r="BL312" i="30"/>
  <c r="BL314" i="30"/>
  <c r="BM312" i="30"/>
  <c r="BM314" i="30"/>
  <c r="BN312" i="30"/>
  <c r="BN314" i="30"/>
  <c r="BO312" i="30"/>
  <c r="BO314" i="30"/>
  <c r="BP312" i="30"/>
  <c r="BP314" i="30"/>
  <c r="BQ312" i="30"/>
  <c r="BQ314" i="30"/>
  <c r="BR312" i="30"/>
  <c r="BR314" i="30"/>
  <c r="BS314" i="30"/>
  <c r="BS312" i="30"/>
  <c r="BT312" i="30"/>
  <c r="BT314" i="30"/>
  <c r="BU312" i="30"/>
  <c r="BU314" i="30"/>
  <c r="BV314" i="30"/>
  <c r="BV312" i="30"/>
  <c r="BW312" i="30"/>
  <c r="BW314" i="30"/>
  <c r="BX312" i="30"/>
  <c r="BX314" i="30"/>
  <c r="BY314" i="30"/>
  <c r="BY312" i="30"/>
  <c r="BZ312" i="30"/>
  <c r="BZ314" i="30"/>
  <c r="CA312" i="30"/>
  <c r="CA314" i="30"/>
  <c r="CB312" i="30"/>
  <c r="CB314" i="30"/>
  <c r="CC314" i="30"/>
  <c r="CC312" i="30"/>
  <c r="CD312" i="30"/>
  <c r="CD314" i="30"/>
  <c r="CE312" i="30"/>
  <c r="CE314" i="30"/>
  <c r="CF312" i="30"/>
  <c r="CF314" i="30"/>
  <c r="CG312" i="30"/>
  <c r="CG314" i="30"/>
  <c r="CH312" i="30"/>
  <c r="CH314" i="30"/>
  <c r="CI312" i="30"/>
  <c r="CI314" i="30"/>
  <c r="CJ312" i="30"/>
  <c r="CJ314" i="30"/>
  <c r="CK314" i="30"/>
  <c r="CK312" i="30"/>
  <c r="CL312" i="30"/>
  <c r="CL314" i="30"/>
  <c r="CM312" i="30"/>
  <c r="CM314" i="30"/>
  <c r="CN312" i="30"/>
  <c r="CN314" i="30"/>
  <c r="CO314" i="30"/>
  <c r="CO312" i="30"/>
  <c r="CP312" i="30"/>
  <c r="CP314" i="30"/>
  <c r="CQ312" i="30"/>
  <c r="CQ314" i="30"/>
  <c r="CR312" i="30"/>
  <c r="CR314" i="30"/>
  <c r="CS312" i="30"/>
  <c r="CS314" i="30"/>
  <c r="CT314" i="30"/>
  <c r="CT312" i="30"/>
  <c r="CU312" i="30"/>
  <c r="CU314" i="30"/>
  <c r="CV312" i="30"/>
  <c r="CV314" i="30"/>
  <c r="CW312" i="30"/>
  <c r="CW314" i="30"/>
  <c r="CX312" i="30"/>
  <c r="CX314" i="30"/>
  <c r="CY312" i="30"/>
  <c r="CY314" i="30"/>
  <c r="CZ312" i="30"/>
  <c r="CZ314" i="30"/>
  <c r="DA312" i="30"/>
  <c r="DA314" i="30"/>
  <c r="DB312" i="30"/>
  <c r="DB314" i="30"/>
  <c r="DC312" i="30"/>
  <c r="DC314" i="30"/>
  <c r="DD312" i="30"/>
  <c r="DD314" i="30"/>
  <c r="DE312" i="30"/>
  <c r="DE314" i="30"/>
  <c r="DF312" i="30"/>
  <c r="DF314" i="30"/>
  <c r="DG312" i="30"/>
  <c r="DG314" i="30"/>
  <c r="DH312" i="30"/>
  <c r="DH314" i="30"/>
  <c r="DI312" i="30"/>
  <c r="DI314" i="30"/>
  <c r="DJ312" i="30"/>
  <c r="DJ314" i="30"/>
  <c r="DK312" i="30"/>
  <c r="DK314" i="30"/>
  <c r="DL312" i="30"/>
  <c r="DL314" i="30"/>
  <c r="DM312" i="30"/>
  <c r="DM314" i="30"/>
  <c r="DN312" i="30"/>
  <c r="DN314" i="30"/>
  <c r="DO314" i="30"/>
  <c r="DO312" i="30"/>
  <c r="DP314" i="30"/>
  <c r="DP312" i="30"/>
  <c r="DQ314" i="30"/>
  <c r="DQ312" i="30"/>
  <c r="DR312" i="30"/>
  <c r="DR314" i="30"/>
  <c r="DS314" i="30"/>
  <c r="DS312" i="30"/>
  <c r="DT312" i="30"/>
  <c r="DT314" i="30"/>
  <c r="DU312" i="30"/>
  <c r="DU314" i="30"/>
  <c r="U360" i="30"/>
  <c r="AX360" i="30"/>
  <c r="BF360" i="30"/>
  <c r="CI360" i="30"/>
  <c r="BL360" i="30"/>
  <c r="DD350" i="30"/>
  <c r="BM360" i="30"/>
  <c r="CS360" i="30"/>
  <c r="CR350" i="30"/>
  <c r="P360" i="30"/>
  <c r="S360" i="30"/>
  <c r="CC350" i="30"/>
  <c r="AN360" i="30"/>
  <c r="AI360" i="30"/>
  <c r="E121" i="30"/>
  <c r="D121" i="32" s="1"/>
  <c r="H23" i="30"/>
  <c r="CW120" i="30"/>
  <c r="CL120" i="30"/>
  <c r="DX124" i="30"/>
  <c r="BA120" i="30"/>
  <c r="U23" i="30"/>
  <c r="E120" i="30"/>
  <c r="T23" i="30"/>
  <c r="DX117" i="30"/>
  <c r="CN117" i="30"/>
  <c r="CW121" i="30"/>
  <c r="BA121" i="30"/>
  <c r="AF23" i="30"/>
  <c r="BL121" i="30"/>
  <c r="AG23" i="30"/>
  <c r="P121" i="30"/>
  <c r="AE23" i="30"/>
  <c r="BD117" i="30"/>
  <c r="K23" i="30"/>
  <c r="W117" i="30"/>
  <c r="I23" i="30"/>
  <c r="EC142" i="30"/>
  <c r="EC103" i="30" s="1"/>
  <c r="DQ142" i="30"/>
  <c r="DQ103" i="30" s="1"/>
  <c r="DE142" i="30"/>
  <c r="DE103" i="30" s="1"/>
  <c r="CS142" i="30"/>
  <c r="CS103" i="30" s="1"/>
  <c r="CG142" i="30"/>
  <c r="CG103" i="30" s="1"/>
  <c r="BU142" i="30"/>
  <c r="BU103" i="30" s="1"/>
  <c r="BI142" i="30"/>
  <c r="BI103" i="30" s="1"/>
  <c r="AW142" i="30"/>
  <c r="AW103" i="30" s="1"/>
  <c r="AW227" i="30" s="1"/>
  <c r="AK142" i="30"/>
  <c r="AK103" i="30" s="1"/>
  <c r="AK227" i="30" s="1"/>
  <c r="Y142" i="30"/>
  <c r="Y103" i="30" s="1"/>
  <c r="Y227" i="30" s="1"/>
  <c r="M142" i="30"/>
  <c r="M103" i="30" s="1"/>
  <c r="M227" i="30" s="1"/>
  <c r="EE140" i="30"/>
  <c r="EE78" i="30" s="1"/>
  <c r="DS140" i="30"/>
  <c r="DS78" i="30" s="1"/>
  <c r="DG140" i="30"/>
  <c r="DG78" i="30" s="1"/>
  <c r="CU140" i="30"/>
  <c r="CU78" i="30" s="1"/>
  <c r="CI140" i="30"/>
  <c r="CI78" i="30" s="1"/>
  <c r="BW140" i="30"/>
  <c r="BW78" i="30" s="1"/>
  <c r="BK140" i="30"/>
  <c r="BK78" i="30" s="1"/>
  <c r="AY140" i="30"/>
  <c r="AY78" i="30" s="1"/>
  <c r="AY219" i="30" s="1"/>
  <c r="AM140" i="30"/>
  <c r="AM78" i="30" s="1"/>
  <c r="AM219" i="30" s="1"/>
  <c r="AA140" i="30"/>
  <c r="AA78" i="30" s="1"/>
  <c r="AA219" i="30" s="1"/>
  <c r="O140" i="30"/>
  <c r="O78" i="30" s="1"/>
  <c r="O219" i="30" s="1"/>
  <c r="EG138" i="30"/>
  <c r="EG53" i="30" s="1"/>
  <c r="DU138" i="30"/>
  <c r="DU53" i="30" s="1"/>
  <c r="DI138" i="30"/>
  <c r="DI53" i="30" s="1"/>
  <c r="CW138" i="30"/>
  <c r="CW53" i="30" s="1"/>
  <c r="CK138" i="30"/>
  <c r="CK53" i="30" s="1"/>
  <c r="BY138" i="30"/>
  <c r="BY53" i="30" s="1"/>
  <c r="BM138" i="30"/>
  <c r="BM53" i="30" s="1"/>
  <c r="BA138" i="30"/>
  <c r="BA53" i="30" s="1"/>
  <c r="BA211" i="30" s="1"/>
  <c r="AO138" i="30"/>
  <c r="AO53" i="30" s="1"/>
  <c r="AO211" i="30" s="1"/>
  <c r="AC138" i="30"/>
  <c r="AC53" i="30" s="1"/>
  <c r="AC211" i="30" s="1"/>
  <c r="Q138" i="30"/>
  <c r="Q53" i="30" s="1"/>
  <c r="Q211" i="30" s="1"/>
  <c r="E138" i="30"/>
  <c r="E53" i="30" s="1"/>
  <c r="E211" i="30" s="1"/>
  <c r="DW136" i="30"/>
  <c r="DW112" i="30" s="1"/>
  <c r="DW101" i="30" s="1"/>
  <c r="DK136" i="30"/>
  <c r="DK112" i="30" s="1"/>
  <c r="DK101" i="30" s="1"/>
  <c r="CY136" i="30"/>
  <c r="CY112" i="30" s="1"/>
  <c r="CY101" i="30" s="1"/>
  <c r="CM136" i="30"/>
  <c r="CM112" i="30" s="1"/>
  <c r="CM101" i="30" s="1"/>
  <c r="CA136" i="30"/>
  <c r="CA112" i="30" s="1"/>
  <c r="CA101" i="30" s="1"/>
  <c r="BO136" i="30"/>
  <c r="BO112" i="30" s="1"/>
  <c r="BO101" i="30" s="1"/>
  <c r="AQ136" i="30"/>
  <c r="AQ112" i="30" s="1"/>
  <c r="AQ101" i="30" s="1"/>
  <c r="AQ226" i="30" s="1"/>
  <c r="AE136" i="30"/>
  <c r="AE112" i="30" s="1"/>
  <c r="AE101" i="30" s="1"/>
  <c r="AE226" i="30" s="1"/>
  <c r="S136" i="30"/>
  <c r="S112" i="30" s="1"/>
  <c r="S101" i="30" s="1"/>
  <c r="S226" i="30" s="1"/>
  <c r="G136" i="30"/>
  <c r="G112" i="30" s="1"/>
  <c r="G101" i="30" s="1"/>
  <c r="G226" i="30" s="1"/>
  <c r="DY134" i="30"/>
  <c r="DY87" i="30" s="1"/>
  <c r="DY76" i="30" s="1"/>
  <c r="DM134" i="30"/>
  <c r="DM87" i="30" s="1"/>
  <c r="DM76" i="30" s="1"/>
  <c r="DA134" i="30"/>
  <c r="DA87" i="30" s="1"/>
  <c r="DA76" i="30" s="1"/>
  <c r="CO134" i="30"/>
  <c r="CO87" i="30" s="1"/>
  <c r="CO76" i="30" s="1"/>
  <c r="CC134" i="30"/>
  <c r="CC87" i="30" s="1"/>
  <c r="CC76" i="30" s="1"/>
  <c r="BQ134" i="30"/>
  <c r="BQ87" i="30" s="1"/>
  <c r="BQ76" i="30" s="1"/>
  <c r="BE134" i="30"/>
  <c r="BE87" i="30" s="1"/>
  <c r="BE76" i="30" s="1"/>
  <c r="AS134" i="30"/>
  <c r="AS87" i="30" s="1"/>
  <c r="AS76" i="30" s="1"/>
  <c r="AS218" i="30" s="1"/>
  <c r="U134" i="30"/>
  <c r="U87" i="30" s="1"/>
  <c r="U76" i="30" s="1"/>
  <c r="U218" i="30" s="1"/>
  <c r="I134" i="30"/>
  <c r="I87" i="30" s="1"/>
  <c r="I76" i="30" s="1"/>
  <c r="I218" i="30" s="1"/>
  <c r="EA132" i="30"/>
  <c r="EA62" i="30" s="1"/>
  <c r="EA51" i="30" s="1"/>
  <c r="DO132" i="30"/>
  <c r="DO62" i="30" s="1"/>
  <c r="DO51" i="30" s="1"/>
  <c r="DC132" i="30"/>
  <c r="DC62" i="30" s="1"/>
  <c r="DC51" i="30" s="1"/>
  <c r="CQ132" i="30"/>
  <c r="CQ62" i="30" s="1"/>
  <c r="CQ51" i="30" s="1"/>
  <c r="CE132" i="30"/>
  <c r="CE62" i="30" s="1"/>
  <c r="CE51" i="30" s="1"/>
  <c r="BS132" i="30"/>
  <c r="BS62" i="30" s="1"/>
  <c r="BS51" i="30" s="1"/>
  <c r="BG132" i="30"/>
  <c r="BG62" i="30" s="1"/>
  <c r="BG51" i="30" s="1"/>
  <c r="AU132" i="30"/>
  <c r="AU62" i="30" s="1"/>
  <c r="AU51" i="30" s="1"/>
  <c r="AU210" i="30" s="1"/>
  <c r="AI132" i="30"/>
  <c r="AI62" i="30" s="1"/>
  <c r="AI51" i="30" s="1"/>
  <c r="AI210" i="30" s="1"/>
  <c r="W132" i="30"/>
  <c r="W62" i="30" s="1"/>
  <c r="W51" i="30" s="1"/>
  <c r="W210" i="30" s="1"/>
  <c r="K132" i="30"/>
  <c r="K62" i="30" s="1"/>
  <c r="K51" i="30" s="1"/>
  <c r="K210" i="30" s="1"/>
  <c r="EC129" i="30"/>
  <c r="EC36" i="30" s="1"/>
  <c r="DQ129" i="30"/>
  <c r="DQ36" i="30" s="1"/>
  <c r="DE129" i="30"/>
  <c r="DE36" i="30" s="1"/>
  <c r="CS129" i="30"/>
  <c r="CS36" i="30" s="1"/>
  <c r="CG129" i="30"/>
  <c r="CG36" i="30" s="1"/>
  <c r="BU129" i="30"/>
  <c r="BU36" i="30" s="1"/>
  <c r="BI129" i="30"/>
  <c r="BI36" i="30" s="1"/>
  <c r="AW129" i="30"/>
  <c r="AW36" i="30" s="1"/>
  <c r="AK129" i="30"/>
  <c r="AK36" i="30" s="1"/>
  <c r="Y129" i="30"/>
  <c r="Y36" i="30" s="1"/>
  <c r="M129" i="30"/>
  <c r="M36" i="30" s="1"/>
  <c r="EE127" i="30"/>
  <c r="EE17" i="30" s="1"/>
  <c r="DS127" i="30"/>
  <c r="DS17" i="30" s="1"/>
  <c r="DG127" i="30"/>
  <c r="DG17" i="30" s="1"/>
  <c r="CU127" i="30"/>
  <c r="CU17" i="30" s="1"/>
  <c r="CI127" i="30"/>
  <c r="CI17" i="30" s="1"/>
  <c r="BW127" i="30"/>
  <c r="BW17" i="30" s="1"/>
  <c r="BK127" i="30"/>
  <c r="BK17" i="30" s="1"/>
  <c r="AY127" i="30"/>
  <c r="AY17" i="30" s="1"/>
  <c r="AM127" i="30"/>
  <c r="AM17" i="30" s="1"/>
  <c r="AA127" i="30"/>
  <c r="AA17" i="30" s="1"/>
  <c r="O127" i="30"/>
  <c r="O17" i="30" s="1"/>
  <c r="EB142" i="30"/>
  <c r="EB103" i="30" s="1"/>
  <c r="DP142" i="30"/>
  <c r="DP103" i="30" s="1"/>
  <c r="DD142" i="30"/>
  <c r="DD103" i="30" s="1"/>
  <c r="CR142" i="30"/>
  <c r="CR103" i="30" s="1"/>
  <c r="CF142" i="30"/>
  <c r="CF103" i="30" s="1"/>
  <c r="BT142" i="30"/>
  <c r="BT103" i="30" s="1"/>
  <c r="BH142" i="30"/>
  <c r="BH103" i="30" s="1"/>
  <c r="AV142" i="30"/>
  <c r="AV103" i="30" s="1"/>
  <c r="AV227" i="30" s="1"/>
  <c r="AJ142" i="30"/>
  <c r="AJ103" i="30" s="1"/>
  <c r="AJ227" i="30" s="1"/>
  <c r="X142" i="30"/>
  <c r="X103" i="30" s="1"/>
  <c r="X227" i="30" s="1"/>
  <c r="L142" i="30"/>
  <c r="L103" i="30" s="1"/>
  <c r="L227" i="30" s="1"/>
  <c r="ED140" i="30"/>
  <c r="ED78" i="30" s="1"/>
  <c r="DR140" i="30"/>
  <c r="DR78" i="30" s="1"/>
  <c r="DF140" i="30"/>
  <c r="DF78" i="30" s="1"/>
  <c r="CT140" i="30"/>
  <c r="CT78" i="30" s="1"/>
  <c r="CH140" i="30"/>
  <c r="CH78" i="30" s="1"/>
  <c r="BV140" i="30"/>
  <c r="BV78" i="30" s="1"/>
  <c r="BJ140" i="30"/>
  <c r="BJ78" i="30" s="1"/>
  <c r="AX140" i="30"/>
  <c r="AX78" i="30" s="1"/>
  <c r="AX219" i="30" s="1"/>
  <c r="AL140" i="30"/>
  <c r="AL78" i="30" s="1"/>
  <c r="AL219" i="30" s="1"/>
  <c r="Z140" i="30"/>
  <c r="Z78" i="30" s="1"/>
  <c r="Z219" i="30" s="1"/>
  <c r="N140" i="30"/>
  <c r="N78" i="30" s="1"/>
  <c r="N219" i="30" s="1"/>
  <c r="EF138" i="30"/>
  <c r="EF53" i="30" s="1"/>
  <c r="DT138" i="30"/>
  <c r="DT53" i="30" s="1"/>
  <c r="DH138" i="30"/>
  <c r="DH53" i="30" s="1"/>
  <c r="CV138" i="30"/>
  <c r="CV53" i="30" s="1"/>
  <c r="CJ138" i="30"/>
  <c r="CJ53" i="30" s="1"/>
  <c r="BX138" i="30"/>
  <c r="BX53" i="30" s="1"/>
  <c r="BL138" i="30"/>
  <c r="BL53" i="30" s="1"/>
  <c r="AZ138" i="30"/>
  <c r="AZ53" i="30" s="1"/>
  <c r="AZ211" i="30" s="1"/>
  <c r="AN138" i="30"/>
  <c r="AN53" i="30" s="1"/>
  <c r="AN211" i="30" s="1"/>
  <c r="AB138" i="30"/>
  <c r="AB53" i="30" s="1"/>
  <c r="AB211" i="30" s="1"/>
  <c r="P138" i="30"/>
  <c r="P53" i="30" s="1"/>
  <c r="P211" i="30" s="1"/>
  <c r="DV136" i="30"/>
  <c r="DV112" i="30" s="1"/>
  <c r="DV101" i="30" s="1"/>
  <c r="DJ136" i="30"/>
  <c r="DJ112" i="30" s="1"/>
  <c r="DJ101" i="30" s="1"/>
  <c r="CX136" i="30"/>
  <c r="CX112" i="30" s="1"/>
  <c r="CX101" i="30" s="1"/>
  <c r="CL136" i="30"/>
  <c r="CL112" i="30" s="1"/>
  <c r="CL101" i="30" s="1"/>
  <c r="BZ136" i="30"/>
  <c r="BZ112" i="30" s="1"/>
  <c r="BZ101" i="30" s="1"/>
  <c r="BN136" i="30"/>
  <c r="BN112" i="30" s="1"/>
  <c r="BN101" i="30" s="1"/>
  <c r="BB136" i="30"/>
  <c r="BB112" i="30" s="1"/>
  <c r="BB101" i="30" s="1"/>
  <c r="BB226" i="30" s="1"/>
  <c r="AP136" i="30"/>
  <c r="AP112" i="30" s="1"/>
  <c r="AP101" i="30" s="1"/>
  <c r="AP226" i="30" s="1"/>
  <c r="AD136" i="30"/>
  <c r="AD112" i="30" s="1"/>
  <c r="AD101" i="30" s="1"/>
  <c r="AD226" i="30" s="1"/>
  <c r="R136" i="30"/>
  <c r="R112" i="30" s="1"/>
  <c r="R101" i="30" s="1"/>
  <c r="R226" i="30" s="1"/>
  <c r="F136" i="30"/>
  <c r="F112" i="30" s="1"/>
  <c r="F101" i="30" s="1"/>
  <c r="F226" i="30" s="1"/>
  <c r="DX134" i="30"/>
  <c r="DX87" i="30" s="1"/>
  <c r="DX76" i="30" s="1"/>
  <c r="DL134" i="30"/>
  <c r="DL87" i="30" s="1"/>
  <c r="DL76" i="30" s="1"/>
  <c r="CZ134" i="30"/>
  <c r="CZ87" i="30" s="1"/>
  <c r="CZ76" i="30" s="1"/>
  <c r="CN134" i="30"/>
  <c r="CN87" i="30" s="1"/>
  <c r="CN76" i="30" s="1"/>
  <c r="CB134" i="30"/>
  <c r="CB87" i="30" s="1"/>
  <c r="CB76" i="30" s="1"/>
  <c r="BP134" i="30"/>
  <c r="BP87" i="30" s="1"/>
  <c r="BP76" i="30" s="1"/>
  <c r="BD134" i="30"/>
  <c r="BD87" i="30" s="1"/>
  <c r="BD76" i="30" s="1"/>
  <c r="AR134" i="30"/>
  <c r="AR87" i="30" s="1"/>
  <c r="AR76" i="30" s="1"/>
  <c r="AR218" i="30" s="1"/>
  <c r="AF134" i="30"/>
  <c r="AF87" i="30" s="1"/>
  <c r="AF76" i="30" s="1"/>
  <c r="AF218" i="30" s="1"/>
  <c r="T134" i="30"/>
  <c r="T87" i="30" s="1"/>
  <c r="T76" i="30" s="1"/>
  <c r="T218" i="30" s="1"/>
  <c r="H134" i="30"/>
  <c r="H87" i="30" s="1"/>
  <c r="H76" i="30" s="1"/>
  <c r="H218" i="30" s="1"/>
  <c r="DZ132" i="30"/>
  <c r="DZ62" i="30" s="1"/>
  <c r="DZ51" i="30" s="1"/>
  <c r="DN132" i="30"/>
  <c r="DN62" i="30" s="1"/>
  <c r="DN51" i="30" s="1"/>
  <c r="DB132" i="30"/>
  <c r="DB62" i="30" s="1"/>
  <c r="DB51" i="30" s="1"/>
  <c r="CP132" i="30"/>
  <c r="CP62" i="30" s="1"/>
  <c r="CP51" i="30" s="1"/>
  <c r="CD132" i="30"/>
  <c r="CD62" i="30" s="1"/>
  <c r="CD51" i="30" s="1"/>
  <c r="BR132" i="30"/>
  <c r="BR62" i="30" s="1"/>
  <c r="BR51" i="30" s="1"/>
  <c r="BF132" i="30"/>
  <c r="BF62" i="30" s="1"/>
  <c r="BF51" i="30" s="1"/>
  <c r="AT132" i="30"/>
  <c r="AT62" i="30" s="1"/>
  <c r="AT51" i="30" s="1"/>
  <c r="AT210" i="30" s="1"/>
  <c r="V132" i="30"/>
  <c r="V62" i="30" s="1"/>
  <c r="V51" i="30" s="1"/>
  <c r="V210" i="30" s="1"/>
  <c r="J132" i="30"/>
  <c r="J62" i="30" s="1"/>
  <c r="J51" i="30" s="1"/>
  <c r="J210" i="30" s="1"/>
  <c r="EB129" i="30"/>
  <c r="EB36" i="30" s="1"/>
  <c r="DP129" i="30"/>
  <c r="DP36" i="30" s="1"/>
  <c r="DD129" i="30"/>
  <c r="DD36" i="30" s="1"/>
  <c r="CR129" i="30"/>
  <c r="CR36" i="30" s="1"/>
  <c r="CF129" i="30"/>
  <c r="CF36" i="30" s="1"/>
  <c r="BT129" i="30"/>
  <c r="BT36" i="30" s="1"/>
  <c r="BH129" i="30"/>
  <c r="BH36" i="30" s="1"/>
  <c r="AV129" i="30"/>
  <c r="AV36" i="30" s="1"/>
  <c r="AJ129" i="30"/>
  <c r="AJ36" i="30" s="1"/>
  <c r="X129" i="30"/>
  <c r="X36" i="30" s="1"/>
  <c r="L129" i="30"/>
  <c r="L36" i="30" s="1"/>
  <c r="ED127" i="30"/>
  <c r="ED17" i="30" s="1"/>
  <c r="DR127" i="30"/>
  <c r="DR17" i="30" s="1"/>
  <c r="DF127" i="30"/>
  <c r="DF17" i="30" s="1"/>
  <c r="CT127" i="30"/>
  <c r="CT17" i="30" s="1"/>
  <c r="CH127" i="30"/>
  <c r="CH17" i="30" s="1"/>
  <c r="BV127" i="30"/>
  <c r="BV17" i="30" s="1"/>
  <c r="BJ127" i="30"/>
  <c r="BJ17" i="30" s="1"/>
  <c r="AX127" i="30"/>
  <c r="AX17" i="30" s="1"/>
  <c r="AL127" i="30"/>
  <c r="AL17" i="30" s="1"/>
  <c r="Z127" i="30"/>
  <c r="Z17" i="30" s="1"/>
  <c r="N127" i="30"/>
  <c r="N17" i="30" s="1"/>
  <c r="EA142" i="30"/>
  <c r="EA103" i="30" s="1"/>
  <c r="DO142" i="30"/>
  <c r="DO103" i="30" s="1"/>
  <c r="DC142" i="30"/>
  <c r="DC103" i="30" s="1"/>
  <c r="CQ142" i="30"/>
  <c r="CQ103" i="30" s="1"/>
  <c r="CE142" i="30"/>
  <c r="CE103" i="30" s="1"/>
  <c r="BS142" i="30"/>
  <c r="BS103" i="30" s="1"/>
  <c r="BG142" i="30"/>
  <c r="BG103" i="30" s="1"/>
  <c r="AU142" i="30"/>
  <c r="AU103" i="30" s="1"/>
  <c r="AU227" i="30" s="1"/>
  <c r="AI142" i="30"/>
  <c r="AI103" i="30" s="1"/>
  <c r="AI227" i="30" s="1"/>
  <c r="W142" i="30"/>
  <c r="W103" i="30" s="1"/>
  <c r="W227" i="30" s="1"/>
  <c r="K142" i="30"/>
  <c r="K103" i="30" s="1"/>
  <c r="K227" i="30" s="1"/>
  <c r="EC140" i="30"/>
  <c r="EC78" i="30" s="1"/>
  <c r="DQ140" i="30"/>
  <c r="DQ78" i="30" s="1"/>
  <c r="DE140" i="30"/>
  <c r="DE78" i="30" s="1"/>
  <c r="CS140" i="30"/>
  <c r="CS78" i="30" s="1"/>
  <c r="CG140" i="30"/>
  <c r="CG78" i="30" s="1"/>
  <c r="BU140" i="30"/>
  <c r="BU78" i="30" s="1"/>
  <c r="BI140" i="30"/>
  <c r="BI78" i="30" s="1"/>
  <c r="AW140" i="30"/>
  <c r="AW78" i="30" s="1"/>
  <c r="AW219" i="30" s="1"/>
  <c r="AK140" i="30"/>
  <c r="AK78" i="30" s="1"/>
  <c r="AK219" i="30" s="1"/>
  <c r="Y140" i="30"/>
  <c r="Y78" i="30" s="1"/>
  <c r="Y219" i="30" s="1"/>
  <c r="M140" i="30"/>
  <c r="M78" i="30" s="1"/>
  <c r="M219" i="30" s="1"/>
  <c r="EE138" i="30"/>
  <c r="EE53" i="30" s="1"/>
  <c r="DS138" i="30"/>
  <c r="DS53" i="30" s="1"/>
  <c r="DG138" i="30"/>
  <c r="DG53" i="30" s="1"/>
  <c r="CU138" i="30"/>
  <c r="CU53" i="30" s="1"/>
  <c r="CI138" i="30"/>
  <c r="CI53" i="30" s="1"/>
  <c r="BW138" i="30"/>
  <c r="BW53" i="30" s="1"/>
  <c r="BK138" i="30"/>
  <c r="BK53" i="30" s="1"/>
  <c r="AY138" i="30"/>
  <c r="AY53" i="30" s="1"/>
  <c r="AY211" i="30" s="1"/>
  <c r="AM138" i="30"/>
  <c r="AM53" i="30" s="1"/>
  <c r="AM211" i="30" s="1"/>
  <c r="AA138" i="30"/>
  <c r="AA53" i="30" s="1"/>
  <c r="AA211" i="30" s="1"/>
  <c r="O138" i="30"/>
  <c r="O53" i="30" s="1"/>
  <c r="O211" i="30" s="1"/>
  <c r="EG136" i="30"/>
  <c r="EG112" i="30" s="1"/>
  <c r="EG101" i="30" s="1"/>
  <c r="DU136" i="30"/>
  <c r="DU112" i="30" s="1"/>
  <c r="DU101" i="30" s="1"/>
  <c r="DI136" i="30"/>
  <c r="DI112" i="30" s="1"/>
  <c r="DI101" i="30" s="1"/>
  <c r="CW136" i="30"/>
  <c r="CW112" i="30" s="1"/>
  <c r="CW101" i="30" s="1"/>
  <c r="CK136" i="30"/>
  <c r="CK112" i="30" s="1"/>
  <c r="CK101" i="30" s="1"/>
  <c r="BY136" i="30"/>
  <c r="BY112" i="30" s="1"/>
  <c r="BY101" i="30" s="1"/>
  <c r="BM136" i="30"/>
  <c r="BM112" i="30" s="1"/>
  <c r="BM101" i="30" s="1"/>
  <c r="BA136" i="30"/>
  <c r="BA112" i="30" s="1"/>
  <c r="BA101" i="30" s="1"/>
  <c r="BA226" i="30" s="1"/>
  <c r="AO136" i="30"/>
  <c r="AO112" i="30" s="1"/>
  <c r="AO101" i="30" s="1"/>
  <c r="AO226" i="30" s="1"/>
  <c r="AC136" i="30"/>
  <c r="AC112" i="30" s="1"/>
  <c r="AC101" i="30" s="1"/>
  <c r="AC226" i="30" s="1"/>
  <c r="Q136" i="30"/>
  <c r="Q112" i="30" s="1"/>
  <c r="Q101" i="30" s="1"/>
  <c r="Q226" i="30" s="1"/>
  <c r="E136" i="30"/>
  <c r="E112" i="30" s="1"/>
  <c r="E101" i="30" s="1"/>
  <c r="E226" i="30" s="1"/>
  <c r="DW134" i="30"/>
  <c r="DW87" i="30" s="1"/>
  <c r="DW76" i="30" s="1"/>
  <c r="DK134" i="30"/>
  <c r="DK87" i="30" s="1"/>
  <c r="DK76" i="30" s="1"/>
  <c r="CY134" i="30"/>
  <c r="CY87" i="30" s="1"/>
  <c r="CY76" i="30" s="1"/>
  <c r="CM134" i="30"/>
  <c r="CM87" i="30" s="1"/>
  <c r="CM76" i="30" s="1"/>
  <c r="CA134" i="30"/>
  <c r="CA87" i="30" s="1"/>
  <c r="CA76" i="30" s="1"/>
  <c r="BO134" i="30"/>
  <c r="BO87" i="30" s="1"/>
  <c r="BO76" i="30" s="1"/>
  <c r="AQ134" i="30"/>
  <c r="AQ87" i="30" s="1"/>
  <c r="AQ76" i="30" s="1"/>
  <c r="AQ218" i="30" s="1"/>
  <c r="AE134" i="30"/>
  <c r="AE87" i="30" s="1"/>
  <c r="AE76" i="30" s="1"/>
  <c r="AE218" i="30" s="1"/>
  <c r="S134" i="30"/>
  <c r="S87" i="30" s="1"/>
  <c r="S76" i="30" s="1"/>
  <c r="S218" i="30" s="1"/>
  <c r="G134" i="30"/>
  <c r="G87" i="30" s="1"/>
  <c r="G76" i="30" s="1"/>
  <c r="G218" i="30" s="1"/>
  <c r="DY132" i="30"/>
  <c r="DY62" i="30" s="1"/>
  <c r="DY51" i="30" s="1"/>
  <c r="DM132" i="30"/>
  <c r="DM62" i="30" s="1"/>
  <c r="DM51" i="30" s="1"/>
  <c r="DA132" i="30"/>
  <c r="DA62" i="30" s="1"/>
  <c r="DA51" i="30" s="1"/>
  <c r="CO132" i="30"/>
  <c r="CO62" i="30" s="1"/>
  <c r="CO51" i="30" s="1"/>
  <c r="CC132" i="30"/>
  <c r="CC62" i="30" s="1"/>
  <c r="CC51" i="30" s="1"/>
  <c r="BQ132" i="30"/>
  <c r="BQ62" i="30" s="1"/>
  <c r="BQ51" i="30" s="1"/>
  <c r="BE132" i="30"/>
  <c r="BE62" i="30" s="1"/>
  <c r="BE51" i="30" s="1"/>
  <c r="AS132" i="30"/>
  <c r="AS62" i="30" s="1"/>
  <c r="AS51" i="30" s="1"/>
  <c r="AS210" i="30" s="1"/>
  <c r="U132" i="30"/>
  <c r="U62" i="30" s="1"/>
  <c r="U51" i="30" s="1"/>
  <c r="U210" i="30" s="1"/>
  <c r="I132" i="30"/>
  <c r="I62" i="30" s="1"/>
  <c r="I51" i="30" s="1"/>
  <c r="I210" i="30" s="1"/>
  <c r="EA129" i="30"/>
  <c r="EA36" i="30" s="1"/>
  <c r="DO129" i="30"/>
  <c r="DO36" i="30" s="1"/>
  <c r="DC129" i="30"/>
  <c r="DC36" i="30" s="1"/>
  <c r="CQ129" i="30"/>
  <c r="CQ36" i="30" s="1"/>
  <c r="CE129" i="30"/>
  <c r="CE36" i="30" s="1"/>
  <c r="BS129" i="30"/>
  <c r="BS36" i="30" s="1"/>
  <c r="BG129" i="30"/>
  <c r="BG36" i="30" s="1"/>
  <c r="AU129" i="30"/>
  <c r="AU36" i="30" s="1"/>
  <c r="AI129" i="30"/>
  <c r="AI36" i="30" s="1"/>
  <c r="W129" i="30"/>
  <c r="W36" i="30" s="1"/>
  <c r="K129" i="30"/>
  <c r="K36" i="30" s="1"/>
  <c r="EC127" i="30"/>
  <c r="EC17" i="30" s="1"/>
  <c r="DQ127" i="30"/>
  <c r="DQ17" i="30" s="1"/>
  <c r="DE127" i="30"/>
  <c r="DE17" i="30" s="1"/>
  <c r="CS127" i="30"/>
  <c r="CS17" i="30" s="1"/>
  <c r="CG127" i="30"/>
  <c r="CG17" i="30" s="1"/>
  <c r="BU127" i="30"/>
  <c r="BU17" i="30" s="1"/>
  <c r="BI127" i="30"/>
  <c r="BI17" i="30" s="1"/>
  <c r="AW127" i="30"/>
  <c r="AW17" i="30" s="1"/>
  <c r="AK127" i="30"/>
  <c r="AK17" i="30" s="1"/>
  <c r="Y127" i="30"/>
  <c r="Y17" i="30" s="1"/>
  <c r="M127" i="30"/>
  <c r="M17" i="30" s="1"/>
  <c r="DZ142" i="30"/>
  <c r="DZ103" i="30" s="1"/>
  <c r="DN142" i="30"/>
  <c r="DN103" i="30" s="1"/>
  <c r="DB142" i="30"/>
  <c r="DB103" i="30" s="1"/>
  <c r="CP142" i="30"/>
  <c r="CP103" i="30" s="1"/>
  <c r="CD142" i="30"/>
  <c r="CD103" i="30" s="1"/>
  <c r="BR142" i="30"/>
  <c r="BR103" i="30" s="1"/>
  <c r="BF142" i="30"/>
  <c r="BF103" i="30" s="1"/>
  <c r="AT142" i="30"/>
  <c r="AT103" i="30" s="1"/>
  <c r="AT227" i="30" s="1"/>
  <c r="V142" i="30"/>
  <c r="V103" i="30" s="1"/>
  <c r="V227" i="30" s="1"/>
  <c r="J142" i="30"/>
  <c r="J103" i="30" s="1"/>
  <c r="J227" i="30" s="1"/>
  <c r="EB140" i="30"/>
  <c r="EB78" i="30" s="1"/>
  <c r="DP140" i="30"/>
  <c r="DP78" i="30" s="1"/>
  <c r="DD140" i="30"/>
  <c r="DD78" i="30" s="1"/>
  <c r="CR140" i="30"/>
  <c r="CR78" i="30" s="1"/>
  <c r="CF140" i="30"/>
  <c r="CF78" i="30" s="1"/>
  <c r="BT140" i="30"/>
  <c r="BT78" i="30" s="1"/>
  <c r="BH140" i="30"/>
  <c r="BH78" i="30" s="1"/>
  <c r="AV140" i="30"/>
  <c r="AV78" i="30" s="1"/>
  <c r="AV219" i="30" s="1"/>
  <c r="AJ140" i="30"/>
  <c r="AJ78" i="30" s="1"/>
  <c r="AJ219" i="30" s="1"/>
  <c r="X140" i="30"/>
  <c r="X78" i="30" s="1"/>
  <c r="X219" i="30" s="1"/>
  <c r="L140" i="30"/>
  <c r="L78" i="30" s="1"/>
  <c r="L219" i="30" s="1"/>
  <c r="ED138" i="30"/>
  <c r="ED53" i="30" s="1"/>
  <c r="DR138" i="30"/>
  <c r="DR53" i="30" s="1"/>
  <c r="DF138" i="30"/>
  <c r="DF53" i="30" s="1"/>
  <c r="CT138" i="30"/>
  <c r="CT53" i="30" s="1"/>
  <c r="CH138" i="30"/>
  <c r="CH53" i="30" s="1"/>
  <c r="BV138" i="30"/>
  <c r="BV53" i="30" s="1"/>
  <c r="BJ138" i="30"/>
  <c r="BJ53" i="30" s="1"/>
  <c r="AX138" i="30"/>
  <c r="AX53" i="30" s="1"/>
  <c r="AX211" i="30" s="1"/>
  <c r="AL138" i="30"/>
  <c r="AL53" i="30" s="1"/>
  <c r="AL211" i="30" s="1"/>
  <c r="Z138" i="30"/>
  <c r="Z53" i="30" s="1"/>
  <c r="Z211" i="30" s="1"/>
  <c r="N138" i="30"/>
  <c r="N53" i="30" s="1"/>
  <c r="N211" i="30" s="1"/>
  <c r="EF136" i="30"/>
  <c r="EF112" i="30" s="1"/>
  <c r="EF101" i="30" s="1"/>
  <c r="DT136" i="30"/>
  <c r="DT112" i="30" s="1"/>
  <c r="DT101" i="30" s="1"/>
  <c r="DH136" i="30"/>
  <c r="DH112" i="30" s="1"/>
  <c r="DH101" i="30" s="1"/>
  <c r="CV136" i="30"/>
  <c r="CV112" i="30" s="1"/>
  <c r="CV101" i="30" s="1"/>
  <c r="CJ136" i="30"/>
  <c r="CJ112" i="30" s="1"/>
  <c r="CJ101" i="30" s="1"/>
  <c r="BX136" i="30"/>
  <c r="BX112" i="30" s="1"/>
  <c r="BX101" i="30" s="1"/>
  <c r="BL136" i="30"/>
  <c r="BL112" i="30" s="1"/>
  <c r="BL101" i="30" s="1"/>
  <c r="AZ136" i="30"/>
  <c r="AZ112" i="30" s="1"/>
  <c r="AZ101" i="30" s="1"/>
  <c r="AZ226" i="30" s="1"/>
  <c r="AN136" i="30"/>
  <c r="AN112" i="30" s="1"/>
  <c r="AN101" i="30" s="1"/>
  <c r="AN226" i="30" s="1"/>
  <c r="AB136" i="30"/>
  <c r="AB112" i="30" s="1"/>
  <c r="AB101" i="30" s="1"/>
  <c r="AB226" i="30" s="1"/>
  <c r="P136" i="30"/>
  <c r="P112" i="30" s="1"/>
  <c r="P101" i="30" s="1"/>
  <c r="P226" i="30" s="1"/>
  <c r="DV134" i="30"/>
  <c r="DV87" i="30" s="1"/>
  <c r="DV76" i="30" s="1"/>
  <c r="DJ134" i="30"/>
  <c r="DJ87" i="30" s="1"/>
  <c r="DJ76" i="30" s="1"/>
  <c r="CX134" i="30"/>
  <c r="CX87" i="30" s="1"/>
  <c r="CX76" i="30" s="1"/>
  <c r="CL134" i="30"/>
  <c r="CL87" i="30" s="1"/>
  <c r="CL76" i="30" s="1"/>
  <c r="BZ134" i="30"/>
  <c r="BZ87" i="30" s="1"/>
  <c r="BZ76" i="30" s="1"/>
  <c r="BN134" i="30"/>
  <c r="BN87" i="30" s="1"/>
  <c r="BN76" i="30" s="1"/>
  <c r="BB134" i="30"/>
  <c r="BB87" i="30" s="1"/>
  <c r="BB76" i="30" s="1"/>
  <c r="BB218" i="30" s="1"/>
  <c r="AP134" i="30"/>
  <c r="AP87" i="30" s="1"/>
  <c r="AP76" i="30" s="1"/>
  <c r="AP218" i="30" s="1"/>
  <c r="AD134" i="30"/>
  <c r="AD87" i="30" s="1"/>
  <c r="AD76" i="30" s="1"/>
  <c r="AD218" i="30" s="1"/>
  <c r="R134" i="30"/>
  <c r="R87" i="30" s="1"/>
  <c r="R76" i="30" s="1"/>
  <c r="R218" i="30" s="1"/>
  <c r="F134" i="30"/>
  <c r="F87" i="30" s="1"/>
  <c r="F76" i="30" s="1"/>
  <c r="F218" i="30" s="1"/>
  <c r="DX132" i="30"/>
  <c r="DX62" i="30" s="1"/>
  <c r="DX51" i="30" s="1"/>
  <c r="DL132" i="30"/>
  <c r="DL62" i="30" s="1"/>
  <c r="DL51" i="30" s="1"/>
  <c r="CZ132" i="30"/>
  <c r="CZ62" i="30" s="1"/>
  <c r="CZ51" i="30" s="1"/>
  <c r="CN132" i="30"/>
  <c r="CN62" i="30" s="1"/>
  <c r="CN51" i="30" s="1"/>
  <c r="CB132" i="30"/>
  <c r="CB62" i="30" s="1"/>
  <c r="CB51" i="30" s="1"/>
  <c r="BP132" i="30"/>
  <c r="BP62" i="30" s="1"/>
  <c r="BP51" i="30" s="1"/>
  <c r="BD132" i="30"/>
  <c r="BD62" i="30" s="1"/>
  <c r="BD51" i="30" s="1"/>
  <c r="AR132" i="30"/>
  <c r="AR62" i="30" s="1"/>
  <c r="AR51" i="30" s="1"/>
  <c r="AR210" i="30" s="1"/>
  <c r="AF132" i="30"/>
  <c r="AF62" i="30" s="1"/>
  <c r="AF51" i="30" s="1"/>
  <c r="AF210" i="30" s="1"/>
  <c r="T132" i="30"/>
  <c r="T62" i="30" s="1"/>
  <c r="T51" i="30" s="1"/>
  <c r="T210" i="30" s="1"/>
  <c r="H132" i="30"/>
  <c r="H62" i="30" s="1"/>
  <c r="H51" i="30" s="1"/>
  <c r="H210" i="30" s="1"/>
  <c r="DZ129" i="30"/>
  <c r="DZ36" i="30" s="1"/>
  <c r="DN129" i="30"/>
  <c r="DN36" i="30" s="1"/>
  <c r="DB129" i="30"/>
  <c r="DB36" i="30" s="1"/>
  <c r="CP129" i="30"/>
  <c r="CP36" i="30" s="1"/>
  <c r="CD129" i="30"/>
  <c r="CD36" i="30" s="1"/>
  <c r="BR129" i="30"/>
  <c r="BR36" i="30" s="1"/>
  <c r="BF129" i="30"/>
  <c r="BF36" i="30" s="1"/>
  <c r="AT129" i="30"/>
  <c r="AT36" i="30" s="1"/>
  <c r="V129" i="30"/>
  <c r="V36" i="30" s="1"/>
  <c r="J129" i="30"/>
  <c r="J36" i="30" s="1"/>
  <c r="DY142" i="30"/>
  <c r="DY103" i="30" s="1"/>
  <c r="DM142" i="30"/>
  <c r="DM103" i="30" s="1"/>
  <c r="DA142" i="30"/>
  <c r="DA103" i="30" s="1"/>
  <c r="CO142" i="30"/>
  <c r="CO103" i="30" s="1"/>
  <c r="CC142" i="30"/>
  <c r="CC103" i="30" s="1"/>
  <c r="BQ142" i="30"/>
  <c r="BQ103" i="30" s="1"/>
  <c r="BE142" i="30"/>
  <c r="BE103" i="30" s="1"/>
  <c r="AS142" i="30"/>
  <c r="AS103" i="30" s="1"/>
  <c r="AS227" i="30" s="1"/>
  <c r="U142" i="30"/>
  <c r="U103" i="30" s="1"/>
  <c r="U227" i="30" s="1"/>
  <c r="I142" i="30"/>
  <c r="I103" i="30" s="1"/>
  <c r="I227" i="30" s="1"/>
  <c r="EA140" i="30"/>
  <c r="EA78" i="30" s="1"/>
  <c r="DO140" i="30"/>
  <c r="DO78" i="30" s="1"/>
  <c r="DC140" i="30"/>
  <c r="DC78" i="30" s="1"/>
  <c r="CQ140" i="30"/>
  <c r="CQ78" i="30" s="1"/>
  <c r="CE140" i="30"/>
  <c r="CE78" i="30" s="1"/>
  <c r="BS140" i="30"/>
  <c r="BS78" i="30" s="1"/>
  <c r="BG140" i="30"/>
  <c r="BG78" i="30" s="1"/>
  <c r="AU140" i="30"/>
  <c r="AU78" i="30" s="1"/>
  <c r="AU219" i="30" s="1"/>
  <c r="AI140" i="30"/>
  <c r="AI78" i="30" s="1"/>
  <c r="AI219" i="30" s="1"/>
  <c r="W140" i="30"/>
  <c r="W78" i="30" s="1"/>
  <c r="W219" i="30" s="1"/>
  <c r="K140" i="30"/>
  <c r="K78" i="30" s="1"/>
  <c r="K219" i="30" s="1"/>
  <c r="EC138" i="30"/>
  <c r="EC53" i="30" s="1"/>
  <c r="DQ138" i="30"/>
  <c r="DQ53" i="30" s="1"/>
  <c r="DE138" i="30"/>
  <c r="DE53" i="30" s="1"/>
  <c r="CS138" i="30"/>
  <c r="CS53" i="30" s="1"/>
  <c r="CG138" i="30"/>
  <c r="CG53" i="30" s="1"/>
  <c r="BU138" i="30"/>
  <c r="BU53" i="30" s="1"/>
  <c r="BI138" i="30"/>
  <c r="BI53" i="30" s="1"/>
  <c r="AW138" i="30"/>
  <c r="AW53" i="30" s="1"/>
  <c r="AW211" i="30" s="1"/>
  <c r="AK138" i="30"/>
  <c r="AK53" i="30" s="1"/>
  <c r="AK211" i="30" s="1"/>
  <c r="Y138" i="30"/>
  <c r="Y53" i="30" s="1"/>
  <c r="Y211" i="30" s="1"/>
  <c r="M138" i="30"/>
  <c r="M53" i="30" s="1"/>
  <c r="M211" i="30" s="1"/>
  <c r="EE136" i="30"/>
  <c r="EE112" i="30" s="1"/>
  <c r="EE101" i="30" s="1"/>
  <c r="DS136" i="30"/>
  <c r="DS112" i="30" s="1"/>
  <c r="DS101" i="30" s="1"/>
  <c r="DG136" i="30"/>
  <c r="DG112" i="30" s="1"/>
  <c r="DG101" i="30" s="1"/>
  <c r="CU136" i="30"/>
  <c r="CU112" i="30" s="1"/>
  <c r="CU101" i="30" s="1"/>
  <c r="CI136" i="30"/>
  <c r="CI112" i="30" s="1"/>
  <c r="CI101" i="30" s="1"/>
  <c r="BW136" i="30"/>
  <c r="BW112" i="30" s="1"/>
  <c r="BW101" i="30" s="1"/>
  <c r="BK136" i="30"/>
  <c r="BK112" i="30" s="1"/>
  <c r="BK101" i="30" s="1"/>
  <c r="AY136" i="30"/>
  <c r="AY112" i="30" s="1"/>
  <c r="AY101" i="30" s="1"/>
  <c r="AY226" i="30" s="1"/>
  <c r="AM136" i="30"/>
  <c r="AM112" i="30" s="1"/>
  <c r="AM101" i="30" s="1"/>
  <c r="AM226" i="30" s="1"/>
  <c r="AA136" i="30"/>
  <c r="AA112" i="30" s="1"/>
  <c r="AA101" i="30" s="1"/>
  <c r="AA226" i="30" s="1"/>
  <c r="O136" i="30"/>
  <c r="O112" i="30" s="1"/>
  <c r="O101" i="30" s="1"/>
  <c r="O226" i="30" s="1"/>
  <c r="EG134" i="30"/>
  <c r="EG87" i="30" s="1"/>
  <c r="EG76" i="30" s="1"/>
  <c r="DU134" i="30"/>
  <c r="DU87" i="30" s="1"/>
  <c r="DU76" i="30" s="1"/>
  <c r="DI134" i="30"/>
  <c r="DI87" i="30" s="1"/>
  <c r="DI76" i="30" s="1"/>
  <c r="CW134" i="30"/>
  <c r="CW87" i="30" s="1"/>
  <c r="CW76" i="30" s="1"/>
  <c r="CK134" i="30"/>
  <c r="CK87" i="30" s="1"/>
  <c r="CK76" i="30" s="1"/>
  <c r="BY134" i="30"/>
  <c r="BY87" i="30" s="1"/>
  <c r="BY76" i="30" s="1"/>
  <c r="BM134" i="30"/>
  <c r="BM87" i="30" s="1"/>
  <c r="BM76" i="30" s="1"/>
  <c r="BA134" i="30"/>
  <c r="BA87" i="30" s="1"/>
  <c r="BA76" i="30" s="1"/>
  <c r="BA218" i="30" s="1"/>
  <c r="AO134" i="30"/>
  <c r="AO87" i="30" s="1"/>
  <c r="AO76" i="30" s="1"/>
  <c r="AO218" i="30" s="1"/>
  <c r="AC134" i="30"/>
  <c r="AC87" i="30" s="1"/>
  <c r="AC76" i="30" s="1"/>
  <c r="AC218" i="30" s="1"/>
  <c r="Q134" i="30"/>
  <c r="Q87" i="30" s="1"/>
  <c r="Q76" i="30" s="1"/>
  <c r="Q218" i="30" s="1"/>
  <c r="E134" i="30"/>
  <c r="E87" i="30" s="1"/>
  <c r="E76" i="30" s="1"/>
  <c r="E218" i="30" s="1"/>
  <c r="DW132" i="30"/>
  <c r="DW62" i="30" s="1"/>
  <c r="DW51" i="30" s="1"/>
  <c r="DK132" i="30"/>
  <c r="DK62" i="30" s="1"/>
  <c r="DK51" i="30" s="1"/>
  <c r="CY132" i="30"/>
  <c r="CY62" i="30" s="1"/>
  <c r="CY51" i="30" s="1"/>
  <c r="CM132" i="30"/>
  <c r="CM62" i="30" s="1"/>
  <c r="CM51" i="30" s="1"/>
  <c r="CA132" i="30"/>
  <c r="CA62" i="30" s="1"/>
  <c r="CA51" i="30" s="1"/>
  <c r="BO132" i="30"/>
  <c r="BO62" i="30" s="1"/>
  <c r="BO51" i="30" s="1"/>
  <c r="AQ132" i="30"/>
  <c r="AQ62" i="30" s="1"/>
  <c r="AQ51" i="30" s="1"/>
  <c r="AQ210" i="30" s="1"/>
  <c r="AE132" i="30"/>
  <c r="AE62" i="30" s="1"/>
  <c r="AE51" i="30" s="1"/>
  <c r="AE210" i="30" s="1"/>
  <c r="S132" i="30"/>
  <c r="S62" i="30" s="1"/>
  <c r="S51" i="30" s="1"/>
  <c r="S210" i="30" s="1"/>
  <c r="G132" i="30"/>
  <c r="G62" i="30" s="1"/>
  <c r="G51" i="30" s="1"/>
  <c r="G210" i="30" s="1"/>
  <c r="DY129" i="30"/>
  <c r="DY36" i="30" s="1"/>
  <c r="DM129" i="30"/>
  <c r="DM36" i="30" s="1"/>
  <c r="DA129" i="30"/>
  <c r="DA36" i="30" s="1"/>
  <c r="CO129" i="30"/>
  <c r="CO36" i="30" s="1"/>
  <c r="CC129" i="30"/>
  <c r="CC36" i="30" s="1"/>
  <c r="BQ129" i="30"/>
  <c r="BQ36" i="30" s="1"/>
  <c r="BE129" i="30"/>
  <c r="BE36" i="30" s="1"/>
  <c r="AS129" i="30"/>
  <c r="AS36" i="30" s="1"/>
  <c r="U129" i="30"/>
  <c r="U36" i="30" s="1"/>
  <c r="I129" i="30"/>
  <c r="I36" i="30" s="1"/>
  <c r="EA127" i="30"/>
  <c r="EA17" i="30" s="1"/>
  <c r="DO127" i="30"/>
  <c r="DO17" i="30" s="1"/>
  <c r="DC127" i="30"/>
  <c r="DC17" i="30" s="1"/>
  <c r="CQ127" i="30"/>
  <c r="CQ17" i="30" s="1"/>
  <c r="CE127" i="30"/>
  <c r="CE17" i="30" s="1"/>
  <c r="BS127" i="30"/>
  <c r="BS17" i="30" s="1"/>
  <c r="BG127" i="30"/>
  <c r="BG17" i="30" s="1"/>
  <c r="AU127" i="30"/>
  <c r="AU17" i="30" s="1"/>
  <c r="AI127" i="30"/>
  <c r="AI17" i="30" s="1"/>
  <c r="W127" i="30"/>
  <c r="W17" i="30" s="1"/>
  <c r="K127" i="30"/>
  <c r="K17" i="30" s="1"/>
  <c r="DX142" i="30"/>
  <c r="DX103" i="30" s="1"/>
  <c r="DL142" i="30"/>
  <c r="DL103" i="30" s="1"/>
  <c r="CZ142" i="30"/>
  <c r="CZ103" i="30" s="1"/>
  <c r="CN142" i="30"/>
  <c r="CN103" i="30" s="1"/>
  <c r="CB142" i="30"/>
  <c r="CB103" i="30" s="1"/>
  <c r="BP142" i="30"/>
  <c r="BP103" i="30" s="1"/>
  <c r="BD142" i="30"/>
  <c r="BD103" i="30" s="1"/>
  <c r="AR142" i="30"/>
  <c r="AR103" i="30" s="1"/>
  <c r="AR227" i="30" s="1"/>
  <c r="AF142" i="30"/>
  <c r="AF103" i="30" s="1"/>
  <c r="AF227" i="30" s="1"/>
  <c r="T142" i="30"/>
  <c r="T103" i="30" s="1"/>
  <c r="T227" i="30" s="1"/>
  <c r="H142" i="30"/>
  <c r="H103" i="30" s="1"/>
  <c r="H227" i="30" s="1"/>
  <c r="DZ140" i="30"/>
  <c r="DZ78" i="30" s="1"/>
  <c r="DN140" i="30"/>
  <c r="DN78" i="30" s="1"/>
  <c r="DB140" i="30"/>
  <c r="DB78" i="30" s="1"/>
  <c r="CP140" i="30"/>
  <c r="CP78" i="30" s="1"/>
  <c r="CD140" i="30"/>
  <c r="CD78" i="30" s="1"/>
  <c r="BR140" i="30"/>
  <c r="BR78" i="30" s="1"/>
  <c r="BF140" i="30"/>
  <c r="BF78" i="30" s="1"/>
  <c r="AT140" i="30"/>
  <c r="AT78" i="30" s="1"/>
  <c r="AT219" i="30" s="1"/>
  <c r="V140" i="30"/>
  <c r="V78" i="30" s="1"/>
  <c r="V219" i="30" s="1"/>
  <c r="J140" i="30"/>
  <c r="J78" i="30" s="1"/>
  <c r="J219" i="30" s="1"/>
  <c r="EB138" i="30"/>
  <c r="EB53" i="30" s="1"/>
  <c r="DP138" i="30"/>
  <c r="DP53" i="30" s="1"/>
  <c r="DD138" i="30"/>
  <c r="DD53" i="30" s="1"/>
  <c r="CR138" i="30"/>
  <c r="CR53" i="30" s="1"/>
  <c r="CF138" i="30"/>
  <c r="CF53" i="30" s="1"/>
  <c r="BT138" i="30"/>
  <c r="BT53" i="30" s="1"/>
  <c r="BH138" i="30"/>
  <c r="BH53" i="30" s="1"/>
  <c r="AV138" i="30"/>
  <c r="AV53" i="30" s="1"/>
  <c r="AV211" i="30" s="1"/>
  <c r="AJ138" i="30"/>
  <c r="AJ53" i="30" s="1"/>
  <c r="AJ211" i="30" s="1"/>
  <c r="X138" i="30"/>
  <c r="X53" i="30" s="1"/>
  <c r="X211" i="30" s="1"/>
  <c r="L138" i="30"/>
  <c r="L53" i="30" s="1"/>
  <c r="L211" i="30" s="1"/>
  <c r="ED136" i="30"/>
  <c r="ED112" i="30" s="1"/>
  <c r="ED101" i="30" s="1"/>
  <c r="DR136" i="30"/>
  <c r="DR112" i="30" s="1"/>
  <c r="DR101" i="30" s="1"/>
  <c r="DF136" i="30"/>
  <c r="DF112" i="30" s="1"/>
  <c r="DF101" i="30" s="1"/>
  <c r="CT136" i="30"/>
  <c r="CT112" i="30" s="1"/>
  <c r="CT101" i="30" s="1"/>
  <c r="CH136" i="30"/>
  <c r="CH112" i="30" s="1"/>
  <c r="CH101" i="30" s="1"/>
  <c r="BV136" i="30"/>
  <c r="BV112" i="30" s="1"/>
  <c r="BV101" i="30" s="1"/>
  <c r="BJ136" i="30"/>
  <c r="BJ112" i="30" s="1"/>
  <c r="BJ101" i="30" s="1"/>
  <c r="AX136" i="30"/>
  <c r="AX112" i="30" s="1"/>
  <c r="AX101" i="30" s="1"/>
  <c r="AX226" i="30" s="1"/>
  <c r="AL136" i="30"/>
  <c r="AL112" i="30" s="1"/>
  <c r="AL101" i="30" s="1"/>
  <c r="AL226" i="30" s="1"/>
  <c r="Z136" i="30"/>
  <c r="Z112" i="30" s="1"/>
  <c r="Z101" i="30" s="1"/>
  <c r="Z226" i="30" s="1"/>
  <c r="N136" i="30"/>
  <c r="N112" i="30" s="1"/>
  <c r="N101" i="30" s="1"/>
  <c r="N226" i="30" s="1"/>
  <c r="EF134" i="30"/>
  <c r="EF87" i="30" s="1"/>
  <c r="EF76" i="30" s="1"/>
  <c r="DT134" i="30"/>
  <c r="DT87" i="30" s="1"/>
  <c r="DT76" i="30" s="1"/>
  <c r="DH134" i="30"/>
  <c r="DH87" i="30" s="1"/>
  <c r="DH76" i="30" s="1"/>
  <c r="CV134" i="30"/>
  <c r="CV87" i="30" s="1"/>
  <c r="CV76" i="30" s="1"/>
  <c r="CJ134" i="30"/>
  <c r="CJ87" i="30" s="1"/>
  <c r="CJ76" i="30" s="1"/>
  <c r="BX134" i="30"/>
  <c r="BX87" i="30" s="1"/>
  <c r="BX76" i="30" s="1"/>
  <c r="BL134" i="30"/>
  <c r="BL87" i="30" s="1"/>
  <c r="BL76" i="30" s="1"/>
  <c r="AZ134" i="30"/>
  <c r="AZ87" i="30" s="1"/>
  <c r="AZ76" i="30" s="1"/>
  <c r="AZ218" i="30" s="1"/>
  <c r="AN134" i="30"/>
  <c r="AN87" i="30" s="1"/>
  <c r="AN76" i="30" s="1"/>
  <c r="AN218" i="30" s="1"/>
  <c r="AB134" i="30"/>
  <c r="AB87" i="30" s="1"/>
  <c r="AB76" i="30" s="1"/>
  <c r="AB218" i="30" s="1"/>
  <c r="P134" i="30"/>
  <c r="P87" i="30" s="1"/>
  <c r="P76" i="30" s="1"/>
  <c r="P218" i="30" s="1"/>
  <c r="DV132" i="30"/>
  <c r="DV62" i="30" s="1"/>
  <c r="DV51" i="30" s="1"/>
  <c r="DJ132" i="30"/>
  <c r="DJ62" i="30" s="1"/>
  <c r="DJ51" i="30" s="1"/>
  <c r="CX132" i="30"/>
  <c r="CX62" i="30" s="1"/>
  <c r="CX51" i="30" s="1"/>
  <c r="CL132" i="30"/>
  <c r="CL62" i="30" s="1"/>
  <c r="CL51" i="30" s="1"/>
  <c r="BZ132" i="30"/>
  <c r="BZ62" i="30" s="1"/>
  <c r="BZ51" i="30" s="1"/>
  <c r="BN132" i="30"/>
  <c r="BN62" i="30" s="1"/>
  <c r="BN51" i="30" s="1"/>
  <c r="BB132" i="30"/>
  <c r="BB62" i="30" s="1"/>
  <c r="BB51" i="30" s="1"/>
  <c r="BB210" i="30" s="1"/>
  <c r="AP132" i="30"/>
  <c r="AP62" i="30" s="1"/>
  <c r="AP51" i="30" s="1"/>
  <c r="AP210" i="30" s="1"/>
  <c r="AD132" i="30"/>
  <c r="AD62" i="30" s="1"/>
  <c r="AD51" i="30" s="1"/>
  <c r="AD210" i="30" s="1"/>
  <c r="R132" i="30"/>
  <c r="R62" i="30" s="1"/>
  <c r="R51" i="30" s="1"/>
  <c r="R210" i="30" s="1"/>
  <c r="F132" i="30"/>
  <c r="F62" i="30" s="1"/>
  <c r="F51" i="30" s="1"/>
  <c r="F210" i="30" s="1"/>
  <c r="DW142" i="30"/>
  <c r="DW103" i="30" s="1"/>
  <c r="DK142" i="30"/>
  <c r="DK103" i="30" s="1"/>
  <c r="CY142" i="30"/>
  <c r="CY103" i="30" s="1"/>
  <c r="CM142" i="30"/>
  <c r="CM103" i="30" s="1"/>
  <c r="CA142" i="30"/>
  <c r="CA103" i="30" s="1"/>
  <c r="BO142" i="30"/>
  <c r="BO103" i="30" s="1"/>
  <c r="AQ142" i="30"/>
  <c r="AQ103" i="30" s="1"/>
  <c r="AQ227" i="30" s="1"/>
  <c r="AE142" i="30"/>
  <c r="AE103" i="30" s="1"/>
  <c r="AE227" i="30" s="1"/>
  <c r="S142" i="30"/>
  <c r="S103" i="30" s="1"/>
  <c r="S227" i="30" s="1"/>
  <c r="G142" i="30"/>
  <c r="G103" i="30" s="1"/>
  <c r="G227" i="30" s="1"/>
  <c r="DY140" i="30"/>
  <c r="DY78" i="30" s="1"/>
  <c r="DM140" i="30"/>
  <c r="DM78" i="30" s="1"/>
  <c r="DA140" i="30"/>
  <c r="DA78" i="30" s="1"/>
  <c r="CO140" i="30"/>
  <c r="CO78" i="30" s="1"/>
  <c r="CC140" i="30"/>
  <c r="CC78" i="30" s="1"/>
  <c r="BQ140" i="30"/>
  <c r="BQ78" i="30" s="1"/>
  <c r="BE140" i="30"/>
  <c r="BE78" i="30" s="1"/>
  <c r="AS140" i="30"/>
  <c r="AS78" i="30" s="1"/>
  <c r="AS219" i="30" s="1"/>
  <c r="U140" i="30"/>
  <c r="U78" i="30" s="1"/>
  <c r="U219" i="30" s="1"/>
  <c r="I140" i="30"/>
  <c r="I78" i="30" s="1"/>
  <c r="I219" i="30" s="1"/>
  <c r="EA138" i="30"/>
  <c r="EA53" i="30" s="1"/>
  <c r="DO138" i="30"/>
  <c r="DO53" i="30" s="1"/>
  <c r="DC138" i="30"/>
  <c r="DC53" i="30" s="1"/>
  <c r="CQ138" i="30"/>
  <c r="CQ53" i="30" s="1"/>
  <c r="CE138" i="30"/>
  <c r="CE53" i="30" s="1"/>
  <c r="BS138" i="30"/>
  <c r="BS53" i="30" s="1"/>
  <c r="BG138" i="30"/>
  <c r="BG53" i="30" s="1"/>
  <c r="AU138" i="30"/>
  <c r="AU53" i="30" s="1"/>
  <c r="AU211" i="30" s="1"/>
  <c r="AI138" i="30"/>
  <c r="AI53" i="30" s="1"/>
  <c r="AI211" i="30" s="1"/>
  <c r="W138" i="30"/>
  <c r="W53" i="30" s="1"/>
  <c r="W211" i="30" s="1"/>
  <c r="K138" i="30"/>
  <c r="K53" i="30" s="1"/>
  <c r="K211" i="30" s="1"/>
  <c r="EC136" i="30"/>
  <c r="EC112" i="30" s="1"/>
  <c r="EC101" i="30" s="1"/>
  <c r="DQ136" i="30"/>
  <c r="DQ112" i="30" s="1"/>
  <c r="DQ101" i="30" s="1"/>
  <c r="DE136" i="30"/>
  <c r="DE112" i="30" s="1"/>
  <c r="DE101" i="30" s="1"/>
  <c r="CS136" i="30"/>
  <c r="CS112" i="30" s="1"/>
  <c r="CS101" i="30" s="1"/>
  <c r="CG136" i="30"/>
  <c r="CG112" i="30" s="1"/>
  <c r="CG101" i="30" s="1"/>
  <c r="BU136" i="30"/>
  <c r="BU112" i="30" s="1"/>
  <c r="BU101" i="30" s="1"/>
  <c r="BI136" i="30"/>
  <c r="BI112" i="30" s="1"/>
  <c r="BI101" i="30" s="1"/>
  <c r="AW136" i="30"/>
  <c r="AW112" i="30" s="1"/>
  <c r="AW101" i="30" s="1"/>
  <c r="AW226" i="30" s="1"/>
  <c r="AK136" i="30"/>
  <c r="AK112" i="30" s="1"/>
  <c r="AK101" i="30" s="1"/>
  <c r="AK226" i="30" s="1"/>
  <c r="Y136" i="30"/>
  <c r="Y112" i="30" s="1"/>
  <c r="Y101" i="30" s="1"/>
  <c r="Y226" i="30" s="1"/>
  <c r="M136" i="30"/>
  <c r="M112" i="30" s="1"/>
  <c r="M101" i="30" s="1"/>
  <c r="M226" i="30" s="1"/>
  <c r="EE134" i="30"/>
  <c r="EE87" i="30" s="1"/>
  <c r="EE76" i="30" s="1"/>
  <c r="DS134" i="30"/>
  <c r="DS87" i="30" s="1"/>
  <c r="DS76" i="30" s="1"/>
  <c r="DG134" i="30"/>
  <c r="DG87" i="30" s="1"/>
  <c r="DG76" i="30" s="1"/>
  <c r="CU134" i="30"/>
  <c r="CU87" i="30" s="1"/>
  <c r="CU76" i="30" s="1"/>
  <c r="CI134" i="30"/>
  <c r="CI87" i="30" s="1"/>
  <c r="CI76" i="30" s="1"/>
  <c r="BW134" i="30"/>
  <c r="BW87" i="30" s="1"/>
  <c r="BW76" i="30" s="1"/>
  <c r="BK134" i="30"/>
  <c r="BK87" i="30" s="1"/>
  <c r="BK76" i="30" s="1"/>
  <c r="AY134" i="30"/>
  <c r="AY87" i="30" s="1"/>
  <c r="AY76" i="30" s="1"/>
  <c r="AY218" i="30" s="1"/>
  <c r="AM134" i="30"/>
  <c r="AM87" i="30" s="1"/>
  <c r="AM76" i="30" s="1"/>
  <c r="AM218" i="30" s="1"/>
  <c r="AA134" i="30"/>
  <c r="AA87" i="30" s="1"/>
  <c r="AA76" i="30" s="1"/>
  <c r="AA218" i="30" s="1"/>
  <c r="O134" i="30"/>
  <c r="O87" i="30" s="1"/>
  <c r="O76" i="30" s="1"/>
  <c r="O218" i="30" s="1"/>
  <c r="EG132" i="30"/>
  <c r="EG62" i="30" s="1"/>
  <c r="EG51" i="30" s="1"/>
  <c r="DU132" i="30"/>
  <c r="DU62" i="30" s="1"/>
  <c r="DU51" i="30" s="1"/>
  <c r="DI132" i="30"/>
  <c r="DI62" i="30" s="1"/>
  <c r="DI51" i="30" s="1"/>
  <c r="CW132" i="30"/>
  <c r="CW62" i="30" s="1"/>
  <c r="CW51" i="30" s="1"/>
  <c r="CK132" i="30"/>
  <c r="CK62" i="30" s="1"/>
  <c r="CK51" i="30" s="1"/>
  <c r="BY132" i="30"/>
  <c r="BY62" i="30" s="1"/>
  <c r="BY51" i="30" s="1"/>
  <c r="DV142" i="30"/>
  <c r="DV103" i="30" s="1"/>
  <c r="DJ142" i="30"/>
  <c r="DJ103" i="30" s="1"/>
  <c r="CX142" i="30"/>
  <c r="CX103" i="30" s="1"/>
  <c r="CL142" i="30"/>
  <c r="CL103" i="30" s="1"/>
  <c r="BZ142" i="30"/>
  <c r="BZ103" i="30" s="1"/>
  <c r="BN142" i="30"/>
  <c r="BN103" i="30" s="1"/>
  <c r="BB142" i="30"/>
  <c r="BB103" i="30" s="1"/>
  <c r="BB227" i="30" s="1"/>
  <c r="AP142" i="30"/>
  <c r="AP103" i="30" s="1"/>
  <c r="AP227" i="30" s="1"/>
  <c r="AD142" i="30"/>
  <c r="AD103" i="30" s="1"/>
  <c r="AD227" i="30" s="1"/>
  <c r="R142" i="30"/>
  <c r="R103" i="30" s="1"/>
  <c r="R227" i="30" s="1"/>
  <c r="F142" i="30"/>
  <c r="F103" i="30" s="1"/>
  <c r="F227" i="30" s="1"/>
  <c r="DX140" i="30"/>
  <c r="DX78" i="30" s="1"/>
  <c r="DL140" i="30"/>
  <c r="DL78" i="30" s="1"/>
  <c r="CZ140" i="30"/>
  <c r="CZ78" i="30" s="1"/>
  <c r="CN140" i="30"/>
  <c r="CN78" i="30" s="1"/>
  <c r="CB140" i="30"/>
  <c r="CB78" i="30" s="1"/>
  <c r="BP140" i="30"/>
  <c r="BP78" i="30" s="1"/>
  <c r="BD140" i="30"/>
  <c r="BD78" i="30" s="1"/>
  <c r="AR140" i="30"/>
  <c r="AR78" i="30" s="1"/>
  <c r="AR219" i="30" s="1"/>
  <c r="AF140" i="30"/>
  <c r="AF78" i="30" s="1"/>
  <c r="AF219" i="30" s="1"/>
  <c r="T140" i="30"/>
  <c r="T78" i="30" s="1"/>
  <c r="T219" i="30" s="1"/>
  <c r="H140" i="30"/>
  <c r="H78" i="30" s="1"/>
  <c r="H219" i="30" s="1"/>
  <c r="DZ138" i="30"/>
  <c r="DZ53" i="30" s="1"/>
  <c r="DN138" i="30"/>
  <c r="DN53" i="30" s="1"/>
  <c r="DB138" i="30"/>
  <c r="DB53" i="30" s="1"/>
  <c r="CP138" i="30"/>
  <c r="CP53" i="30" s="1"/>
  <c r="CD138" i="30"/>
  <c r="CD53" i="30" s="1"/>
  <c r="BR138" i="30"/>
  <c r="BR53" i="30" s="1"/>
  <c r="BF138" i="30"/>
  <c r="BF53" i="30" s="1"/>
  <c r="AT138" i="30"/>
  <c r="AT53" i="30" s="1"/>
  <c r="AT211" i="30" s="1"/>
  <c r="V138" i="30"/>
  <c r="V53" i="30" s="1"/>
  <c r="V211" i="30" s="1"/>
  <c r="J138" i="30"/>
  <c r="J53" i="30" s="1"/>
  <c r="J211" i="30" s="1"/>
  <c r="EB136" i="30"/>
  <c r="EB112" i="30" s="1"/>
  <c r="EB101" i="30" s="1"/>
  <c r="DP136" i="30"/>
  <c r="DP112" i="30" s="1"/>
  <c r="DP101" i="30" s="1"/>
  <c r="DD136" i="30"/>
  <c r="DD112" i="30" s="1"/>
  <c r="DD101" i="30" s="1"/>
  <c r="CR136" i="30"/>
  <c r="CR112" i="30" s="1"/>
  <c r="CR101" i="30" s="1"/>
  <c r="CF136" i="30"/>
  <c r="CF112" i="30" s="1"/>
  <c r="CF101" i="30" s="1"/>
  <c r="BT136" i="30"/>
  <c r="BT112" i="30" s="1"/>
  <c r="BT101" i="30" s="1"/>
  <c r="BH136" i="30"/>
  <c r="BH112" i="30" s="1"/>
  <c r="BH101" i="30" s="1"/>
  <c r="AV136" i="30"/>
  <c r="AV112" i="30" s="1"/>
  <c r="AV101" i="30" s="1"/>
  <c r="AV226" i="30" s="1"/>
  <c r="AJ136" i="30"/>
  <c r="AJ112" i="30" s="1"/>
  <c r="AJ101" i="30" s="1"/>
  <c r="AJ226" i="30" s="1"/>
  <c r="X136" i="30"/>
  <c r="X112" i="30" s="1"/>
  <c r="X101" i="30" s="1"/>
  <c r="X226" i="30" s="1"/>
  <c r="L136" i="30"/>
  <c r="L112" i="30" s="1"/>
  <c r="L101" i="30" s="1"/>
  <c r="L226" i="30" s="1"/>
  <c r="ED134" i="30"/>
  <c r="ED87" i="30" s="1"/>
  <c r="ED76" i="30" s="1"/>
  <c r="DR134" i="30"/>
  <c r="DR87" i="30" s="1"/>
  <c r="DR76" i="30" s="1"/>
  <c r="EG142" i="30"/>
  <c r="EG103" i="30" s="1"/>
  <c r="DU142" i="30"/>
  <c r="DU103" i="30" s="1"/>
  <c r="DI142" i="30"/>
  <c r="DI103" i="30" s="1"/>
  <c r="CW142" i="30"/>
  <c r="CW103" i="30" s="1"/>
  <c r="CK142" i="30"/>
  <c r="CK103" i="30" s="1"/>
  <c r="BY142" i="30"/>
  <c r="BY103" i="30" s="1"/>
  <c r="BM142" i="30"/>
  <c r="BM103" i="30" s="1"/>
  <c r="BA142" i="30"/>
  <c r="BA103" i="30" s="1"/>
  <c r="BA227" i="30" s="1"/>
  <c r="AO142" i="30"/>
  <c r="AO103" i="30" s="1"/>
  <c r="AO227" i="30" s="1"/>
  <c r="AC142" i="30"/>
  <c r="AC103" i="30" s="1"/>
  <c r="AC227" i="30" s="1"/>
  <c r="Q142" i="30"/>
  <c r="Q103" i="30" s="1"/>
  <c r="Q227" i="30" s="1"/>
  <c r="E142" i="30"/>
  <c r="E103" i="30" s="1"/>
  <c r="E227" i="30" s="1"/>
  <c r="DW140" i="30"/>
  <c r="DW78" i="30" s="1"/>
  <c r="DK140" i="30"/>
  <c r="DK78" i="30" s="1"/>
  <c r="CY140" i="30"/>
  <c r="CY78" i="30" s="1"/>
  <c r="CM140" i="30"/>
  <c r="CM78" i="30" s="1"/>
  <c r="CA140" i="30"/>
  <c r="CA78" i="30" s="1"/>
  <c r="BO140" i="30"/>
  <c r="BO78" i="30" s="1"/>
  <c r="AQ140" i="30"/>
  <c r="AQ78" i="30" s="1"/>
  <c r="AQ219" i="30" s="1"/>
  <c r="AE140" i="30"/>
  <c r="AE78" i="30" s="1"/>
  <c r="AE219" i="30" s="1"/>
  <c r="S140" i="30"/>
  <c r="S78" i="30" s="1"/>
  <c r="S219" i="30" s="1"/>
  <c r="G140" i="30"/>
  <c r="G78" i="30" s="1"/>
  <c r="G219" i="30" s="1"/>
  <c r="DY138" i="30"/>
  <c r="DY53" i="30" s="1"/>
  <c r="DM138" i="30"/>
  <c r="DM53" i="30" s="1"/>
  <c r="DA138" i="30"/>
  <c r="DA53" i="30" s="1"/>
  <c r="CO138" i="30"/>
  <c r="CO53" i="30" s="1"/>
  <c r="CC138" i="30"/>
  <c r="CC53" i="30" s="1"/>
  <c r="BQ138" i="30"/>
  <c r="BQ53" i="30" s="1"/>
  <c r="BE138" i="30"/>
  <c r="BE53" i="30" s="1"/>
  <c r="AS138" i="30"/>
  <c r="AS53" i="30" s="1"/>
  <c r="AS211" i="30" s="1"/>
  <c r="U138" i="30"/>
  <c r="U53" i="30" s="1"/>
  <c r="U211" i="30" s="1"/>
  <c r="I138" i="30"/>
  <c r="I53" i="30" s="1"/>
  <c r="I211" i="30" s="1"/>
  <c r="EA136" i="30"/>
  <c r="EA112" i="30" s="1"/>
  <c r="EA101" i="30" s="1"/>
  <c r="DO136" i="30"/>
  <c r="DO112" i="30" s="1"/>
  <c r="DO101" i="30" s="1"/>
  <c r="DC136" i="30"/>
  <c r="DC112" i="30" s="1"/>
  <c r="DC101" i="30" s="1"/>
  <c r="CQ136" i="30"/>
  <c r="CQ112" i="30" s="1"/>
  <c r="CQ101" i="30" s="1"/>
  <c r="CE136" i="30"/>
  <c r="CE112" i="30" s="1"/>
  <c r="CE101" i="30" s="1"/>
  <c r="BS136" i="30"/>
  <c r="BS112" i="30" s="1"/>
  <c r="BS101" i="30" s="1"/>
  <c r="BG136" i="30"/>
  <c r="BG112" i="30" s="1"/>
  <c r="BG101" i="30" s="1"/>
  <c r="AU136" i="30"/>
  <c r="AU112" i="30" s="1"/>
  <c r="AU101" i="30" s="1"/>
  <c r="AU226" i="30" s="1"/>
  <c r="AI136" i="30"/>
  <c r="AI112" i="30" s="1"/>
  <c r="AI101" i="30" s="1"/>
  <c r="AI226" i="30" s="1"/>
  <c r="W136" i="30"/>
  <c r="W112" i="30" s="1"/>
  <c r="W101" i="30" s="1"/>
  <c r="W226" i="30" s="1"/>
  <c r="K136" i="30"/>
  <c r="K112" i="30" s="1"/>
  <c r="K101" i="30" s="1"/>
  <c r="K226" i="30" s="1"/>
  <c r="EC134" i="30"/>
  <c r="EC87" i="30" s="1"/>
  <c r="EC76" i="30" s="1"/>
  <c r="DQ134" i="30"/>
  <c r="DQ87" i="30" s="1"/>
  <c r="DQ76" i="30" s="1"/>
  <c r="DE134" i="30"/>
  <c r="DE87" i="30" s="1"/>
  <c r="DE76" i="30" s="1"/>
  <c r="CS134" i="30"/>
  <c r="CS87" i="30" s="1"/>
  <c r="CS76" i="30" s="1"/>
  <c r="CG134" i="30"/>
  <c r="CG87" i="30" s="1"/>
  <c r="CG76" i="30" s="1"/>
  <c r="BU134" i="30"/>
  <c r="BU87" i="30" s="1"/>
  <c r="BU76" i="30" s="1"/>
  <c r="BI134" i="30"/>
  <c r="BI87" i="30" s="1"/>
  <c r="BI76" i="30" s="1"/>
  <c r="AW134" i="30"/>
  <c r="AW87" i="30" s="1"/>
  <c r="AW76" i="30" s="1"/>
  <c r="AW218" i="30" s="1"/>
  <c r="AK134" i="30"/>
  <c r="AK87" i="30" s="1"/>
  <c r="AK76" i="30" s="1"/>
  <c r="AK218" i="30" s="1"/>
  <c r="Y134" i="30"/>
  <c r="Y87" i="30" s="1"/>
  <c r="Y76" i="30" s="1"/>
  <c r="Y218" i="30" s="1"/>
  <c r="M134" i="30"/>
  <c r="M87" i="30" s="1"/>
  <c r="M76" i="30" s="1"/>
  <c r="M218" i="30" s="1"/>
  <c r="EE132" i="30"/>
  <c r="EE62" i="30" s="1"/>
  <c r="EE51" i="30" s="1"/>
  <c r="DS132" i="30"/>
  <c r="DS62" i="30" s="1"/>
  <c r="DS51" i="30" s="1"/>
  <c r="DG132" i="30"/>
  <c r="DG62" i="30" s="1"/>
  <c r="DG51" i="30" s="1"/>
  <c r="CU132" i="30"/>
  <c r="CU62" i="30" s="1"/>
  <c r="CU51" i="30" s="1"/>
  <c r="CI132" i="30"/>
  <c r="CI62" i="30" s="1"/>
  <c r="CI51" i="30" s="1"/>
  <c r="BW132" i="30"/>
  <c r="BW62" i="30" s="1"/>
  <c r="BW51" i="30" s="1"/>
  <c r="BK132" i="30"/>
  <c r="BK62" i="30" s="1"/>
  <c r="BK51" i="30" s="1"/>
  <c r="AY132" i="30"/>
  <c r="AY62" i="30" s="1"/>
  <c r="AY51" i="30" s="1"/>
  <c r="AY210" i="30" s="1"/>
  <c r="AM132" i="30"/>
  <c r="AM62" i="30" s="1"/>
  <c r="AM51" i="30" s="1"/>
  <c r="AM210" i="30" s="1"/>
  <c r="AA132" i="30"/>
  <c r="AA62" i="30" s="1"/>
  <c r="AA51" i="30" s="1"/>
  <c r="AA210" i="30" s="1"/>
  <c r="O132" i="30"/>
  <c r="O62" i="30" s="1"/>
  <c r="O51" i="30" s="1"/>
  <c r="O210" i="30" s="1"/>
  <c r="EG129" i="30"/>
  <c r="EG36" i="30" s="1"/>
  <c r="DU129" i="30"/>
  <c r="DU36" i="30" s="1"/>
  <c r="DI129" i="30"/>
  <c r="DI36" i="30" s="1"/>
  <c r="CW129" i="30"/>
  <c r="CW36" i="30" s="1"/>
  <c r="CK129" i="30"/>
  <c r="CK36" i="30" s="1"/>
  <c r="BY129" i="30"/>
  <c r="BY36" i="30" s="1"/>
  <c r="BM129" i="30"/>
  <c r="BM36" i="30" s="1"/>
  <c r="BA129" i="30"/>
  <c r="BA36" i="30" s="1"/>
  <c r="AO129" i="30"/>
  <c r="AO36" i="30" s="1"/>
  <c r="AC129" i="30"/>
  <c r="AC36" i="30" s="1"/>
  <c r="Q129" i="30"/>
  <c r="Q36" i="30" s="1"/>
  <c r="E129" i="30"/>
  <c r="E36" i="30" s="1"/>
  <c r="DW127" i="30"/>
  <c r="DW17" i="30" s="1"/>
  <c r="DK127" i="30"/>
  <c r="DK17" i="30" s="1"/>
  <c r="CY127" i="30"/>
  <c r="CY17" i="30" s="1"/>
  <c r="CM127" i="30"/>
  <c r="CM17" i="30" s="1"/>
  <c r="CA127" i="30"/>
  <c r="CA17" i="30" s="1"/>
  <c r="BO127" i="30"/>
  <c r="BO17" i="30" s="1"/>
  <c r="AQ127" i="30"/>
  <c r="AQ17" i="30" s="1"/>
  <c r="AE127" i="30"/>
  <c r="AE17" i="30" s="1"/>
  <c r="S127" i="30"/>
  <c r="S17" i="30" s="1"/>
  <c r="G127" i="30"/>
  <c r="G17" i="30" s="1"/>
  <c r="EE142" i="30"/>
  <c r="EE103" i="30" s="1"/>
  <c r="DS142" i="30"/>
  <c r="DS103" i="30" s="1"/>
  <c r="DG142" i="30"/>
  <c r="DG103" i="30" s="1"/>
  <c r="CU142" i="30"/>
  <c r="CU103" i="30" s="1"/>
  <c r="CI142" i="30"/>
  <c r="CI103" i="30" s="1"/>
  <c r="BW142" i="30"/>
  <c r="BW103" i="30" s="1"/>
  <c r="BK142" i="30"/>
  <c r="BK103" i="30" s="1"/>
  <c r="AY142" i="30"/>
  <c r="AY103" i="30" s="1"/>
  <c r="AY227" i="30" s="1"/>
  <c r="AM142" i="30"/>
  <c r="AM103" i="30" s="1"/>
  <c r="AM227" i="30" s="1"/>
  <c r="AA142" i="30"/>
  <c r="AA103" i="30" s="1"/>
  <c r="AA227" i="30" s="1"/>
  <c r="O142" i="30"/>
  <c r="O103" i="30" s="1"/>
  <c r="O227" i="30" s="1"/>
  <c r="EG140" i="30"/>
  <c r="EG78" i="30" s="1"/>
  <c r="DU140" i="30"/>
  <c r="DU78" i="30" s="1"/>
  <c r="DI140" i="30"/>
  <c r="DI78" i="30" s="1"/>
  <c r="CW140" i="30"/>
  <c r="CW78" i="30" s="1"/>
  <c r="CK140" i="30"/>
  <c r="CK78" i="30" s="1"/>
  <c r="BY140" i="30"/>
  <c r="BY78" i="30" s="1"/>
  <c r="BM140" i="30"/>
  <c r="BM78" i="30" s="1"/>
  <c r="BA140" i="30"/>
  <c r="BA78" i="30" s="1"/>
  <c r="BA219" i="30" s="1"/>
  <c r="AO140" i="30"/>
  <c r="AO78" i="30" s="1"/>
  <c r="AO219" i="30" s="1"/>
  <c r="AC140" i="30"/>
  <c r="AC78" i="30" s="1"/>
  <c r="AC219" i="30" s="1"/>
  <c r="Q140" i="30"/>
  <c r="Q78" i="30" s="1"/>
  <c r="Q219" i="30" s="1"/>
  <c r="E140" i="30"/>
  <c r="E78" i="30" s="1"/>
  <c r="E219" i="30" s="1"/>
  <c r="DW138" i="30"/>
  <c r="DW53" i="30" s="1"/>
  <c r="DK138" i="30"/>
  <c r="DK53" i="30" s="1"/>
  <c r="CY138" i="30"/>
  <c r="CY53" i="30" s="1"/>
  <c r="CM138" i="30"/>
  <c r="CM53" i="30" s="1"/>
  <c r="CA138" i="30"/>
  <c r="CA53" i="30" s="1"/>
  <c r="BO138" i="30"/>
  <c r="BO53" i="30" s="1"/>
  <c r="AQ138" i="30"/>
  <c r="AQ53" i="30" s="1"/>
  <c r="AQ211" i="30" s="1"/>
  <c r="AE138" i="30"/>
  <c r="AE53" i="30" s="1"/>
  <c r="AE211" i="30" s="1"/>
  <c r="S138" i="30"/>
  <c r="S53" i="30" s="1"/>
  <c r="S211" i="30" s="1"/>
  <c r="G138" i="30"/>
  <c r="G53" i="30" s="1"/>
  <c r="G211" i="30" s="1"/>
  <c r="DY136" i="30"/>
  <c r="DY112" i="30" s="1"/>
  <c r="DY101" i="30" s="1"/>
  <c r="DM136" i="30"/>
  <c r="DM112" i="30" s="1"/>
  <c r="DM101" i="30" s="1"/>
  <c r="DA136" i="30"/>
  <c r="DA112" i="30" s="1"/>
  <c r="DA101" i="30" s="1"/>
  <c r="CO136" i="30"/>
  <c r="CO112" i="30" s="1"/>
  <c r="CO101" i="30" s="1"/>
  <c r="CC136" i="30"/>
  <c r="CC112" i="30" s="1"/>
  <c r="CC101" i="30" s="1"/>
  <c r="BQ136" i="30"/>
  <c r="BQ112" i="30" s="1"/>
  <c r="BQ101" i="30" s="1"/>
  <c r="BE136" i="30"/>
  <c r="BE112" i="30" s="1"/>
  <c r="BE101" i="30" s="1"/>
  <c r="AS136" i="30"/>
  <c r="AS112" i="30" s="1"/>
  <c r="AS101" i="30" s="1"/>
  <c r="AS226" i="30" s="1"/>
  <c r="U136" i="30"/>
  <c r="U112" i="30" s="1"/>
  <c r="U101" i="30" s="1"/>
  <c r="U226" i="30" s="1"/>
  <c r="I136" i="30"/>
  <c r="I112" i="30" s="1"/>
  <c r="I101" i="30" s="1"/>
  <c r="I226" i="30" s="1"/>
  <c r="EA134" i="30"/>
  <c r="EA87" i="30" s="1"/>
  <c r="EA76" i="30" s="1"/>
  <c r="DO134" i="30"/>
  <c r="DO87" i="30" s="1"/>
  <c r="DO76" i="30" s="1"/>
  <c r="DC134" i="30"/>
  <c r="DC87" i="30" s="1"/>
  <c r="DC76" i="30" s="1"/>
  <c r="CQ134" i="30"/>
  <c r="CQ87" i="30" s="1"/>
  <c r="CQ76" i="30" s="1"/>
  <c r="CE134" i="30"/>
  <c r="CE87" i="30" s="1"/>
  <c r="CE76" i="30" s="1"/>
  <c r="BS134" i="30"/>
  <c r="BS87" i="30" s="1"/>
  <c r="BS76" i="30" s="1"/>
  <c r="BG134" i="30"/>
  <c r="BG87" i="30" s="1"/>
  <c r="BG76" i="30" s="1"/>
  <c r="AU134" i="30"/>
  <c r="AU87" i="30" s="1"/>
  <c r="AU76" i="30" s="1"/>
  <c r="AU218" i="30" s="1"/>
  <c r="AI134" i="30"/>
  <c r="AI87" i="30" s="1"/>
  <c r="AI76" i="30" s="1"/>
  <c r="AI218" i="30" s="1"/>
  <c r="W134" i="30"/>
  <c r="W87" i="30" s="1"/>
  <c r="W76" i="30" s="1"/>
  <c r="W218" i="30" s="1"/>
  <c r="K134" i="30"/>
  <c r="K87" i="30" s="1"/>
  <c r="K76" i="30" s="1"/>
  <c r="K218" i="30" s="1"/>
  <c r="EC132" i="30"/>
  <c r="EC62" i="30" s="1"/>
  <c r="EC51" i="30" s="1"/>
  <c r="DQ132" i="30"/>
  <c r="DQ62" i="30" s="1"/>
  <c r="DQ51" i="30" s="1"/>
  <c r="DE132" i="30"/>
  <c r="DE62" i="30" s="1"/>
  <c r="DE51" i="30" s="1"/>
  <c r="CS132" i="30"/>
  <c r="CS62" i="30" s="1"/>
  <c r="CS51" i="30" s="1"/>
  <c r="CG132" i="30"/>
  <c r="CG62" i="30" s="1"/>
  <c r="CG51" i="30" s="1"/>
  <c r="BU132" i="30"/>
  <c r="BU62" i="30" s="1"/>
  <c r="BU51" i="30" s="1"/>
  <c r="BI132" i="30"/>
  <c r="BI62" i="30" s="1"/>
  <c r="BI51" i="30" s="1"/>
  <c r="AW132" i="30"/>
  <c r="AW62" i="30" s="1"/>
  <c r="AW51" i="30" s="1"/>
  <c r="AW210" i="30" s="1"/>
  <c r="AK132" i="30"/>
  <c r="AK62" i="30" s="1"/>
  <c r="AK51" i="30" s="1"/>
  <c r="AK210" i="30" s="1"/>
  <c r="Y132" i="30"/>
  <c r="Y62" i="30" s="1"/>
  <c r="Y51" i="30" s="1"/>
  <c r="Y210" i="30" s="1"/>
  <c r="M132" i="30"/>
  <c r="M62" i="30" s="1"/>
  <c r="M51" i="30" s="1"/>
  <c r="M210" i="30" s="1"/>
  <c r="BV142" i="30"/>
  <c r="BV103" i="30" s="1"/>
  <c r="DT140" i="30"/>
  <c r="DT78" i="30" s="1"/>
  <c r="AZ140" i="30"/>
  <c r="AZ78" i="30" s="1"/>
  <c r="AZ219" i="30" s="1"/>
  <c r="CX138" i="30"/>
  <c r="CX53" i="30" s="1"/>
  <c r="AD138" i="30"/>
  <c r="AD53" i="30" s="1"/>
  <c r="AD211" i="30" s="1"/>
  <c r="CB136" i="30"/>
  <c r="CB112" i="30" s="1"/>
  <c r="CB101" i="30" s="1"/>
  <c r="H136" i="30"/>
  <c r="H112" i="30" s="1"/>
  <c r="H101" i="30" s="1"/>
  <c r="H226" i="30" s="1"/>
  <c r="DZ134" i="30"/>
  <c r="DZ87" i="30" s="1"/>
  <c r="DZ76" i="30" s="1"/>
  <c r="BV134" i="30"/>
  <c r="BV87" i="30" s="1"/>
  <c r="BV76" i="30" s="1"/>
  <c r="Z134" i="30"/>
  <c r="Z87" i="30" s="1"/>
  <c r="Z76" i="30" s="1"/>
  <c r="Z218" i="30" s="1"/>
  <c r="CV132" i="30"/>
  <c r="CV62" i="30" s="1"/>
  <c r="CV51" i="30" s="1"/>
  <c r="BH132" i="30"/>
  <c r="BH62" i="30" s="1"/>
  <c r="BH51" i="30" s="1"/>
  <c r="X132" i="30"/>
  <c r="X62" i="30" s="1"/>
  <c r="X51" i="30" s="1"/>
  <c r="X210" i="30" s="1"/>
  <c r="DT129" i="30"/>
  <c r="DT36" i="30" s="1"/>
  <c r="CV129" i="30"/>
  <c r="CV36" i="30" s="1"/>
  <c r="BX129" i="30"/>
  <c r="BX36" i="30" s="1"/>
  <c r="AZ129" i="30"/>
  <c r="AZ36" i="30" s="1"/>
  <c r="AB129" i="30"/>
  <c r="AB36" i="30" s="1"/>
  <c r="EG127" i="30"/>
  <c r="EG17" i="30" s="1"/>
  <c r="DL127" i="30"/>
  <c r="DL17" i="30" s="1"/>
  <c r="CP127" i="30"/>
  <c r="CP17" i="30" s="1"/>
  <c r="BX127" i="30"/>
  <c r="BX17" i="30" s="1"/>
  <c r="BB127" i="30"/>
  <c r="BB17" i="30" s="1"/>
  <c r="L127" i="30"/>
  <c r="L17" i="30" s="1"/>
  <c r="DX116" i="30"/>
  <c r="DL116" i="30"/>
  <c r="CZ116" i="30"/>
  <c r="CN116" i="30"/>
  <c r="CB116" i="30"/>
  <c r="BP116" i="30"/>
  <c r="BD116" i="30"/>
  <c r="AR116" i="30"/>
  <c r="AF116" i="30"/>
  <c r="T116" i="30"/>
  <c r="H116" i="30"/>
  <c r="EF142" i="30"/>
  <c r="EF103" i="30" s="1"/>
  <c r="BL142" i="30"/>
  <c r="BL103" i="30" s="1"/>
  <c r="DJ140" i="30"/>
  <c r="DJ78" i="30" s="1"/>
  <c r="AP140" i="30"/>
  <c r="AP78" i="30" s="1"/>
  <c r="AP219" i="30" s="1"/>
  <c r="CN138" i="30"/>
  <c r="CN53" i="30" s="1"/>
  <c r="T138" i="30"/>
  <c r="T53" i="30" s="1"/>
  <c r="T211" i="30" s="1"/>
  <c r="BR136" i="30"/>
  <c r="BR112" i="30" s="1"/>
  <c r="BR101" i="30" s="1"/>
  <c r="DP134" i="30"/>
  <c r="DP87" i="30" s="1"/>
  <c r="DP76" i="30" s="1"/>
  <c r="BT134" i="30"/>
  <c r="BT87" i="30" s="1"/>
  <c r="BT76" i="30" s="1"/>
  <c r="X134" i="30"/>
  <c r="X87" i="30" s="1"/>
  <c r="X76" i="30" s="1"/>
  <c r="X218" i="30" s="1"/>
  <c r="CT132" i="30"/>
  <c r="CT62" i="30" s="1"/>
  <c r="CT51" i="30" s="1"/>
  <c r="BA132" i="30"/>
  <c r="BA62" i="30" s="1"/>
  <c r="BA51" i="30" s="1"/>
  <c r="BA210" i="30" s="1"/>
  <c r="Q132" i="30"/>
  <c r="Q62" i="30" s="1"/>
  <c r="Q51" i="30" s="1"/>
  <c r="Q210" i="30" s="1"/>
  <c r="DS129" i="30"/>
  <c r="DS36" i="30" s="1"/>
  <c r="CU129" i="30"/>
  <c r="CU36" i="30" s="1"/>
  <c r="BW129" i="30"/>
  <c r="BW36" i="30" s="1"/>
  <c r="AY129" i="30"/>
  <c r="AY36" i="30" s="1"/>
  <c r="AA129" i="30"/>
  <c r="AA36" i="30" s="1"/>
  <c r="EF127" i="30"/>
  <c r="EF17" i="30" s="1"/>
  <c r="DJ127" i="30"/>
  <c r="DJ17" i="30" s="1"/>
  <c r="CO127" i="30"/>
  <c r="CO17" i="30" s="1"/>
  <c r="BT127" i="30"/>
  <c r="BT17" i="30" s="1"/>
  <c r="BA127" i="30"/>
  <c r="BA17" i="30" s="1"/>
  <c r="AF127" i="30"/>
  <c r="AF17" i="30" s="1"/>
  <c r="J127" i="30"/>
  <c r="J17" i="30" s="1"/>
  <c r="DW116" i="30"/>
  <c r="DK116" i="30"/>
  <c r="CY116" i="30"/>
  <c r="CM116" i="30"/>
  <c r="CA116" i="30"/>
  <c r="BO116" i="30"/>
  <c r="AQ116" i="30"/>
  <c r="AE116" i="30"/>
  <c r="S116" i="30"/>
  <c r="G116" i="30"/>
  <c r="ED142" i="30"/>
  <c r="ED103" i="30" s="1"/>
  <c r="BJ142" i="30"/>
  <c r="BJ103" i="30" s="1"/>
  <c r="DH140" i="30"/>
  <c r="DH78" i="30" s="1"/>
  <c r="AN140" i="30"/>
  <c r="AN78" i="30" s="1"/>
  <c r="AN219" i="30" s="1"/>
  <c r="CL138" i="30"/>
  <c r="CL53" i="30" s="1"/>
  <c r="R138" i="30"/>
  <c r="R53" i="30" s="1"/>
  <c r="R211" i="30" s="1"/>
  <c r="BP136" i="30"/>
  <c r="BP112" i="30" s="1"/>
  <c r="BP101" i="30" s="1"/>
  <c r="DN134" i="30"/>
  <c r="DN87" i="30" s="1"/>
  <c r="DN76" i="30" s="1"/>
  <c r="BR134" i="30"/>
  <c r="BR87" i="30" s="1"/>
  <c r="BR76" i="30" s="1"/>
  <c r="V134" i="30"/>
  <c r="V87" i="30" s="1"/>
  <c r="V76" i="30" s="1"/>
  <c r="V218" i="30" s="1"/>
  <c r="CR132" i="30"/>
  <c r="CR62" i="30" s="1"/>
  <c r="CR51" i="30" s="1"/>
  <c r="AZ132" i="30"/>
  <c r="AZ62" i="30" s="1"/>
  <c r="AZ51" i="30" s="1"/>
  <c r="AZ210" i="30" s="1"/>
  <c r="P132" i="30"/>
  <c r="P62" i="30" s="1"/>
  <c r="P51" i="30" s="1"/>
  <c r="P210" i="30" s="1"/>
  <c r="DR129" i="30"/>
  <c r="DR36" i="30" s="1"/>
  <c r="CT129" i="30"/>
  <c r="CT36" i="30" s="1"/>
  <c r="BV129" i="30"/>
  <c r="BV36" i="30" s="1"/>
  <c r="AX129" i="30"/>
  <c r="AX36" i="30" s="1"/>
  <c r="Z129" i="30"/>
  <c r="Z36" i="30" s="1"/>
  <c r="EB127" i="30"/>
  <c r="EB17" i="30" s="1"/>
  <c r="DI127" i="30"/>
  <c r="DI17" i="30" s="1"/>
  <c r="CN127" i="30"/>
  <c r="CN17" i="30" s="1"/>
  <c r="BR127" i="30"/>
  <c r="BR17" i="30" s="1"/>
  <c r="AZ127" i="30"/>
  <c r="AZ17" i="30" s="1"/>
  <c r="AD127" i="30"/>
  <c r="AD17" i="30" s="1"/>
  <c r="I127" i="30"/>
  <c r="I17" i="30" s="1"/>
  <c r="DV116" i="30"/>
  <c r="DJ116" i="30"/>
  <c r="CX116" i="30"/>
  <c r="CL116" i="30"/>
  <c r="BZ116" i="30"/>
  <c r="BN116" i="30"/>
  <c r="BB116" i="30"/>
  <c r="AP116" i="30"/>
  <c r="AD116" i="30"/>
  <c r="R116" i="30"/>
  <c r="F116" i="30"/>
  <c r="DT142" i="30"/>
  <c r="DT103" i="30" s="1"/>
  <c r="AZ142" i="30"/>
  <c r="AZ103" i="30" s="1"/>
  <c r="AZ227" i="30" s="1"/>
  <c r="CX140" i="30"/>
  <c r="CX78" i="30" s="1"/>
  <c r="AD140" i="30"/>
  <c r="AD78" i="30" s="1"/>
  <c r="AD219" i="30" s="1"/>
  <c r="CB138" i="30"/>
  <c r="CB53" i="30" s="1"/>
  <c r="H138" i="30"/>
  <c r="H53" i="30" s="1"/>
  <c r="H211" i="30" s="1"/>
  <c r="DZ136" i="30"/>
  <c r="DZ112" i="30" s="1"/>
  <c r="DZ101" i="30" s="1"/>
  <c r="BF136" i="30"/>
  <c r="BF112" i="30" s="1"/>
  <c r="BF101" i="30" s="1"/>
  <c r="DF134" i="30"/>
  <c r="DF87" i="30" s="1"/>
  <c r="DF76" i="30" s="1"/>
  <c r="BJ134" i="30"/>
  <c r="BJ87" i="30" s="1"/>
  <c r="BJ76" i="30" s="1"/>
  <c r="N134" i="30"/>
  <c r="N87" i="30" s="1"/>
  <c r="N76" i="30" s="1"/>
  <c r="N218" i="30" s="1"/>
  <c r="EF132" i="30"/>
  <c r="EF62" i="30" s="1"/>
  <c r="EF51" i="30" s="1"/>
  <c r="CJ132" i="30"/>
  <c r="CJ62" i="30" s="1"/>
  <c r="CJ51" i="30" s="1"/>
  <c r="AX132" i="30"/>
  <c r="AX62" i="30" s="1"/>
  <c r="AX51" i="30" s="1"/>
  <c r="AX210" i="30" s="1"/>
  <c r="N132" i="30"/>
  <c r="N62" i="30" s="1"/>
  <c r="N51" i="30" s="1"/>
  <c r="N210" i="30" s="1"/>
  <c r="DL129" i="30"/>
  <c r="DL36" i="30" s="1"/>
  <c r="CN129" i="30"/>
  <c r="CN36" i="30" s="1"/>
  <c r="BP129" i="30"/>
  <c r="BP36" i="30" s="1"/>
  <c r="AR129" i="30"/>
  <c r="AR36" i="30" s="1"/>
  <c r="T129" i="30"/>
  <c r="T36" i="30" s="1"/>
  <c r="DZ127" i="30"/>
  <c r="DZ17" i="30" s="1"/>
  <c r="DH127" i="30"/>
  <c r="DH17" i="30" s="1"/>
  <c r="CL127" i="30"/>
  <c r="CL17" i="30" s="1"/>
  <c r="BQ127" i="30"/>
  <c r="BQ17" i="30" s="1"/>
  <c r="AV127" i="30"/>
  <c r="AV17" i="30" s="1"/>
  <c r="AC127" i="30"/>
  <c r="AC17" i="30" s="1"/>
  <c r="H127" i="30"/>
  <c r="H17" i="30" s="1"/>
  <c r="EG116" i="30"/>
  <c r="DU116" i="30"/>
  <c r="DI116" i="30"/>
  <c r="CW116" i="30"/>
  <c r="CK116" i="30"/>
  <c r="BY116" i="30"/>
  <c r="BM116" i="30"/>
  <c r="BA116" i="30"/>
  <c r="AO116" i="30"/>
  <c r="AC116" i="30"/>
  <c r="Q116" i="30"/>
  <c r="E116" i="30"/>
  <c r="D116" i="32" s="1"/>
  <c r="DR142" i="30"/>
  <c r="DR103" i="30" s="1"/>
  <c r="AX142" i="30"/>
  <c r="AX103" i="30" s="1"/>
  <c r="AX227" i="30" s="1"/>
  <c r="CV140" i="30"/>
  <c r="CV78" i="30" s="1"/>
  <c r="AB140" i="30"/>
  <c r="AB78" i="30" s="1"/>
  <c r="AB219" i="30" s="1"/>
  <c r="BZ138" i="30"/>
  <c r="BZ53" i="30" s="1"/>
  <c r="F138" i="30"/>
  <c r="F53" i="30" s="1"/>
  <c r="F211" i="30" s="1"/>
  <c r="DX136" i="30"/>
  <c r="DX112" i="30" s="1"/>
  <c r="DX101" i="30" s="1"/>
  <c r="BD136" i="30"/>
  <c r="BD112" i="30" s="1"/>
  <c r="BD101" i="30" s="1"/>
  <c r="DD134" i="30"/>
  <c r="DD87" i="30" s="1"/>
  <c r="DD76" i="30" s="1"/>
  <c r="BH134" i="30"/>
  <c r="BH87" i="30" s="1"/>
  <c r="BH76" i="30" s="1"/>
  <c r="L134" i="30"/>
  <c r="L87" i="30" s="1"/>
  <c r="L76" i="30" s="1"/>
  <c r="L218" i="30" s="1"/>
  <c r="ED132" i="30"/>
  <c r="ED62" i="30" s="1"/>
  <c r="ED51" i="30" s="1"/>
  <c r="CH132" i="30"/>
  <c r="CH62" i="30" s="1"/>
  <c r="CH51" i="30" s="1"/>
  <c r="AV132" i="30"/>
  <c r="AV62" i="30" s="1"/>
  <c r="AV51" i="30" s="1"/>
  <c r="AV210" i="30" s="1"/>
  <c r="L132" i="30"/>
  <c r="L62" i="30" s="1"/>
  <c r="L51" i="30" s="1"/>
  <c r="L210" i="30" s="1"/>
  <c r="DK129" i="30"/>
  <c r="DK36" i="30" s="1"/>
  <c r="CM129" i="30"/>
  <c r="CM36" i="30" s="1"/>
  <c r="BO129" i="30"/>
  <c r="BO36" i="30" s="1"/>
  <c r="AQ129" i="30"/>
  <c r="AQ36" i="30" s="1"/>
  <c r="S129" i="30"/>
  <c r="S36" i="30" s="1"/>
  <c r="DY127" i="30"/>
  <c r="DY17" i="30" s="1"/>
  <c r="DD127" i="30"/>
  <c r="DD17" i="30" s="1"/>
  <c r="CK127" i="30"/>
  <c r="CK17" i="30" s="1"/>
  <c r="BP127" i="30"/>
  <c r="BP17" i="30" s="1"/>
  <c r="AT127" i="30"/>
  <c r="AT17" i="30" s="1"/>
  <c r="AB127" i="30"/>
  <c r="AB17" i="30" s="1"/>
  <c r="F127" i="30"/>
  <c r="F17" i="30" s="1"/>
  <c r="EF116" i="30"/>
  <c r="DT116" i="30"/>
  <c r="DH116" i="30"/>
  <c r="CV116" i="30"/>
  <c r="CJ116" i="30"/>
  <c r="BX116" i="30"/>
  <c r="BL116" i="30"/>
  <c r="AZ116" i="30"/>
  <c r="AN116" i="30"/>
  <c r="AB116" i="30"/>
  <c r="P116" i="30"/>
  <c r="DH142" i="30"/>
  <c r="DH103" i="30" s="1"/>
  <c r="AN142" i="30"/>
  <c r="AN103" i="30" s="1"/>
  <c r="AN227" i="30" s="1"/>
  <c r="CL140" i="30"/>
  <c r="CL78" i="30" s="1"/>
  <c r="R140" i="30"/>
  <c r="R78" i="30" s="1"/>
  <c r="R219" i="30" s="1"/>
  <c r="BP138" i="30"/>
  <c r="BP53" i="30" s="1"/>
  <c r="DN136" i="30"/>
  <c r="DN112" i="30" s="1"/>
  <c r="DN101" i="30" s="1"/>
  <c r="AT136" i="30"/>
  <c r="AT112" i="30" s="1"/>
  <c r="AT101" i="30" s="1"/>
  <c r="AT226" i="30" s="1"/>
  <c r="DB134" i="30"/>
  <c r="DB87" i="30" s="1"/>
  <c r="DB76" i="30" s="1"/>
  <c r="BF134" i="30"/>
  <c r="BF87" i="30" s="1"/>
  <c r="BF76" i="30" s="1"/>
  <c r="J134" i="30"/>
  <c r="J87" i="30" s="1"/>
  <c r="J76" i="30" s="1"/>
  <c r="J218" i="30" s="1"/>
  <c r="EB132" i="30"/>
  <c r="EB62" i="30" s="1"/>
  <c r="EB51" i="30" s="1"/>
  <c r="CF132" i="30"/>
  <c r="CF62" i="30" s="1"/>
  <c r="CF51" i="30" s="1"/>
  <c r="AO132" i="30"/>
  <c r="AO62" i="30" s="1"/>
  <c r="AO51" i="30" s="1"/>
  <c r="AO210" i="30" s="1"/>
  <c r="E132" i="30"/>
  <c r="E62" i="30" s="1"/>
  <c r="E51" i="30" s="1"/>
  <c r="E210" i="30" s="1"/>
  <c r="DJ129" i="30"/>
  <c r="DJ36" i="30" s="1"/>
  <c r="CL129" i="30"/>
  <c r="CL36" i="30" s="1"/>
  <c r="BN129" i="30"/>
  <c r="BN36" i="30" s="1"/>
  <c r="AP129" i="30"/>
  <c r="AP36" i="30" s="1"/>
  <c r="R129" i="30"/>
  <c r="R36" i="30" s="1"/>
  <c r="DX127" i="30"/>
  <c r="DX17" i="30" s="1"/>
  <c r="DB127" i="30"/>
  <c r="DB17" i="30" s="1"/>
  <c r="CJ127" i="30"/>
  <c r="CJ17" i="30" s="1"/>
  <c r="BN127" i="30"/>
  <c r="BN17" i="30" s="1"/>
  <c r="AS127" i="30"/>
  <c r="AS17" i="30" s="1"/>
  <c r="X127" i="30"/>
  <c r="X17" i="30" s="1"/>
  <c r="E127" i="30"/>
  <c r="E17" i="30" s="1"/>
  <c r="D17" i="32" s="1"/>
  <c r="EE116" i="30"/>
  <c r="DS116" i="30"/>
  <c r="DG116" i="30"/>
  <c r="CU116" i="30"/>
  <c r="CI116" i="30"/>
  <c r="BW116" i="30"/>
  <c r="BK116" i="30"/>
  <c r="AY116" i="30"/>
  <c r="AM116" i="30"/>
  <c r="AA116" i="30"/>
  <c r="O116" i="30"/>
  <c r="DF142" i="30"/>
  <c r="DF103" i="30" s="1"/>
  <c r="AL142" i="30"/>
  <c r="AL103" i="30" s="1"/>
  <c r="AL227" i="30" s="1"/>
  <c r="CJ140" i="30"/>
  <c r="CJ78" i="30" s="1"/>
  <c r="P140" i="30"/>
  <c r="P78" i="30" s="1"/>
  <c r="P219" i="30" s="1"/>
  <c r="BN138" i="30"/>
  <c r="BN53" i="30" s="1"/>
  <c r="DL136" i="30"/>
  <c r="DL112" i="30" s="1"/>
  <c r="DL101" i="30" s="1"/>
  <c r="AR136" i="30"/>
  <c r="AR112" i="30" s="1"/>
  <c r="AR101" i="30" s="1"/>
  <c r="AR226" i="30" s="1"/>
  <c r="CT134" i="30"/>
  <c r="CT87" i="30" s="1"/>
  <c r="CT76" i="30" s="1"/>
  <c r="AX134" i="30"/>
  <c r="AX87" i="30" s="1"/>
  <c r="AX76" i="30" s="1"/>
  <c r="AX218" i="30" s="1"/>
  <c r="DT132" i="30"/>
  <c r="DT62" i="30" s="1"/>
  <c r="DT51" i="30" s="1"/>
  <c r="BX132" i="30"/>
  <c r="BX62" i="30" s="1"/>
  <c r="BX51" i="30" s="1"/>
  <c r="AN132" i="30"/>
  <c r="AN62" i="30" s="1"/>
  <c r="AN51" i="30" s="1"/>
  <c r="AN210" i="30" s="1"/>
  <c r="EF129" i="30"/>
  <c r="EF36" i="30" s="1"/>
  <c r="DH129" i="30"/>
  <c r="DH36" i="30" s="1"/>
  <c r="CJ129" i="30"/>
  <c r="CJ36" i="30" s="1"/>
  <c r="BL129" i="30"/>
  <c r="BL36" i="30" s="1"/>
  <c r="AN129" i="30"/>
  <c r="AN36" i="30" s="1"/>
  <c r="P129" i="30"/>
  <c r="P36" i="30" s="1"/>
  <c r="DV127" i="30"/>
  <c r="DV17" i="30" s="1"/>
  <c r="DA127" i="30"/>
  <c r="DA17" i="30" s="1"/>
  <c r="CF127" i="30"/>
  <c r="CF17" i="30" s="1"/>
  <c r="BM127" i="30"/>
  <c r="BM17" i="30" s="1"/>
  <c r="AR127" i="30"/>
  <c r="AR17" i="30" s="1"/>
  <c r="V127" i="30"/>
  <c r="V17" i="30" s="1"/>
  <c r="ED116" i="30"/>
  <c r="DR116" i="30"/>
  <c r="DF116" i="30"/>
  <c r="CT116" i="30"/>
  <c r="CH116" i="30"/>
  <c r="BV116" i="30"/>
  <c r="BJ116" i="30"/>
  <c r="AX116" i="30"/>
  <c r="AL116" i="30"/>
  <c r="Z116" i="30"/>
  <c r="N116" i="30"/>
  <c r="CV142" i="30"/>
  <c r="CV103" i="30" s="1"/>
  <c r="AB142" i="30"/>
  <c r="AB103" i="30" s="1"/>
  <c r="AB227" i="30" s="1"/>
  <c r="BZ140" i="30"/>
  <c r="BZ78" i="30" s="1"/>
  <c r="F140" i="30"/>
  <c r="F78" i="30" s="1"/>
  <c r="F219" i="30" s="1"/>
  <c r="DX138" i="30"/>
  <c r="DX53" i="30" s="1"/>
  <c r="BD138" i="30"/>
  <c r="BD53" i="30" s="1"/>
  <c r="DB136" i="30"/>
  <c r="DB112" i="30" s="1"/>
  <c r="DB101" i="30" s="1"/>
  <c r="CR134" i="30"/>
  <c r="CR87" i="30" s="1"/>
  <c r="CR76" i="30" s="1"/>
  <c r="AV134" i="30"/>
  <c r="AV87" i="30" s="1"/>
  <c r="AV76" i="30" s="1"/>
  <c r="AV218" i="30" s="1"/>
  <c r="DR132" i="30"/>
  <c r="DR62" i="30" s="1"/>
  <c r="DR51" i="30" s="1"/>
  <c r="BV132" i="30"/>
  <c r="BV62" i="30" s="1"/>
  <c r="BV51" i="30" s="1"/>
  <c r="AL132" i="30"/>
  <c r="AL62" i="30" s="1"/>
  <c r="AL51" i="30" s="1"/>
  <c r="AL210" i="30" s="1"/>
  <c r="EE129" i="30"/>
  <c r="EE36" i="30" s="1"/>
  <c r="DG129" i="30"/>
  <c r="DG36" i="30" s="1"/>
  <c r="CI129" i="30"/>
  <c r="CI36" i="30" s="1"/>
  <c r="BK129" i="30"/>
  <c r="BK36" i="30" s="1"/>
  <c r="AM129" i="30"/>
  <c r="AM36" i="30" s="1"/>
  <c r="O129" i="30"/>
  <c r="O36" i="30" s="1"/>
  <c r="DU127" i="30"/>
  <c r="DU17" i="30" s="1"/>
  <c r="CZ127" i="30"/>
  <c r="CZ17" i="30" s="1"/>
  <c r="CD127" i="30"/>
  <c r="CD17" i="30" s="1"/>
  <c r="BL127" i="30"/>
  <c r="BL17" i="30" s="1"/>
  <c r="AP127" i="30"/>
  <c r="AP17" i="30" s="1"/>
  <c r="U127" i="30"/>
  <c r="U17" i="30" s="1"/>
  <c r="EC116" i="30"/>
  <c r="DQ116" i="30"/>
  <c r="DE116" i="30"/>
  <c r="CS116" i="30"/>
  <c r="CG116" i="30"/>
  <c r="BU116" i="30"/>
  <c r="BI116" i="30"/>
  <c r="AW116" i="30"/>
  <c r="AK116" i="30"/>
  <c r="Y116" i="30"/>
  <c r="M116" i="30"/>
  <c r="CH142" i="30"/>
  <c r="CH103" i="30" s="1"/>
  <c r="N142" i="30"/>
  <c r="N103" i="30" s="1"/>
  <c r="N227" i="30" s="1"/>
  <c r="EF140" i="30"/>
  <c r="EF78" i="30" s="1"/>
  <c r="BL140" i="30"/>
  <c r="BL78" i="30" s="1"/>
  <c r="DJ138" i="30"/>
  <c r="DJ53" i="30" s="1"/>
  <c r="AP138" i="30"/>
  <c r="AP53" i="30" s="1"/>
  <c r="AP211" i="30" s="1"/>
  <c r="CN136" i="30"/>
  <c r="CN112" i="30" s="1"/>
  <c r="CN101" i="30" s="1"/>
  <c r="T136" i="30"/>
  <c r="T112" i="30" s="1"/>
  <c r="T101" i="30" s="1"/>
  <c r="T226" i="30" s="1"/>
  <c r="CF134" i="30"/>
  <c r="CF87" i="30" s="1"/>
  <c r="CF76" i="30" s="1"/>
  <c r="AJ134" i="30"/>
  <c r="AJ87" i="30" s="1"/>
  <c r="AJ76" i="30" s="1"/>
  <c r="AJ218" i="30" s="1"/>
  <c r="DF132" i="30"/>
  <c r="DF62" i="30" s="1"/>
  <c r="DF51" i="30" s="1"/>
  <c r="BL132" i="30"/>
  <c r="BL62" i="30" s="1"/>
  <c r="BL51" i="30" s="1"/>
  <c r="AB132" i="30"/>
  <c r="AB62" i="30" s="1"/>
  <c r="AB51" i="30" s="1"/>
  <c r="AB210" i="30" s="1"/>
  <c r="DW129" i="30"/>
  <c r="DW36" i="30" s="1"/>
  <c r="CY129" i="30"/>
  <c r="CY36" i="30" s="1"/>
  <c r="CA129" i="30"/>
  <c r="CA36" i="30" s="1"/>
  <c r="AE129" i="30"/>
  <c r="AE36" i="30" s="1"/>
  <c r="G129" i="30"/>
  <c r="G36" i="30" s="1"/>
  <c r="DN127" i="30"/>
  <c r="DN17" i="30" s="1"/>
  <c r="CV127" i="30"/>
  <c r="CV17" i="30" s="1"/>
  <c r="BZ127" i="30"/>
  <c r="BZ17" i="30" s="1"/>
  <c r="BE127" i="30"/>
  <c r="BE17" i="30" s="1"/>
  <c r="AJ127" i="30"/>
  <c r="AJ17" i="30" s="1"/>
  <c r="Q127" i="30"/>
  <c r="Q17" i="30" s="1"/>
  <c r="DZ116" i="30"/>
  <c r="DN116" i="30"/>
  <c r="DB116" i="30"/>
  <c r="CP116" i="30"/>
  <c r="CD116" i="30"/>
  <c r="BR116" i="30"/>
  <c r="BF116" i="30"/>
  <c r="AT116" i="30"/>
  <c r="V116" i="30"/>
  <c r="J116" i="30"/>
  <c r="AJ132" i="30"/>
  <c r="AJ62" i="30" s="1"/>
  <c r="AJ51" i="30" s="1"/>
  <c r="AJ210" i="30" s="1"/>
  <c r="BJ129" i="30"/>
  <c r="BJ36" i="30" s="1"/>
  <c r="BH127" i="30"/>
  <c r="BH17" i="30" s="1"/>
  <c r="CR116" i="30"/>
  <c r="AV116" i="30"/>
  <c r="AC132" i="30"/>
  <c r="AC62" i="30" s="1"/>
  <c r="AC51" i="30" s="1"/>
  <c r="AC210" i="30" s="1"/>
  <c r="BD129" i="30"/>
  <c r="BD36" i="30" s="1"/>
  <c r="BF127" i="30"/>
  <c r="BF17" i="30" s="1"/>
  <c r="CQ116" i="30"/>
  <c r="AU116" i="30"/>
  <c r="EB134" i="30"/>
  <c r="EB87" i="30" s="1"/>
  <c r="EB76" i="30" s="1"/>
  <c r="Z132" i="30"/>
  <c r="Z62" i="30" s="1"/>
  <c r="Z51" i="30" s="1"/>
  <c r="Z210" i="30" s="1"/>
  <c r="BB129" i="30"/>
  <c r="BB36" i="30" s="1"/>
  <c r="BD127" i="30"/>
  <c r="BD17" i="30" s="1"/>
  <c r="CO116" i="30"/>
  <c r="AS116" i="30"/>
  <c r="DV138" i="30"/>
  <c r="DV53" i="30" s="1"/>
  <c r="CZ136" i="30"/>
  <c r="CZ112" i="30" s="1"/>
  <c r="CZ101" i="30" s="1"/>
  <c r="CP134" i="30"/>
  <c r="CP87" i="30" s="1"/>
  <c r="CP76" i="30" s="1"/>
  <c r="ED129" i="30"/>
  <c r="ED36" i="30" s="1"/>
  <c r="AL129" i="30"/>
  <c r="AL36" i="30" s="1"/>
  <c r="DT127" i="30"/>
  <c r="DT17" i="30" s="1"/>
  <c r="AO127" i="30"/>
  <c r="AO17" i="30" s="1"/>
  <c r="EB116" i="30"/>
  <c r="CF116" i="30"/>
  <c r="AJ116" i="30"/>
  <c r="DL138" i="30"/>
  <c r="DL53" i="30" s="1"/>
  <c r="CP136" i="30"/>
  <c r="CP112" i="30" s="1"/>
  <c r="CP101" i="30" s="1"/>
  <c r="CH134" i="30"/>
  <c r="CH87" i="30" s="1"/>
  <c r="CH76" i="30" s="1"/>
  <c r="DX129" i="30"/>
  <c r="DX36" i="30" s="1"/>
  <c r="AF129" i="30"/>
  <c r="AF36" i="30" s="1"/>
  <c r="DP127" i="30"/>
  <c r="DP17" i="30" s="1"/>
  <c r="AN127" i="30"/>
  <c r="AN17" i="30" s="1"/>
  <c r="EA116" i="30"/>
  <c r="CE116" i="30"/>
  <c r="AI116" i="30"/>
  <c r="DV140" i="30"/>
  <c r="DV78" i="30" s="1"/>
  <c r="CZ138" i="30"/>
  <c r="CZ53" i="30" s="1"/>
  <c r="CD136" i="30"/>
  <c r="CD112" i="30" s="1"/>
  <c r="CD101" i="30" s="1"/>
  <c r="CD134" i="30"/>
  <c r="CD87" i="30" s="1"/>
  <c r="CD76" i="30" s="1"/>
  <c r="DV129" i="30"/>
  <c r="DV36" i="30" s="1"/>
  <c r="AD129" i="30"/>
  <c r="AD36" i="30" s="1"/>
  <c r="DM127" i="30"/>
  <c r="DM17" i="30" s="1"/>
  <c r="DY116" i="30"/>
  <c r="CC116" i="30"/>
  <c r="CT142" i="30"/>
  <c r="CT103" i="30" s="1"/>
  <c r="BX140" i="30"/>
  <c r="BX78" i="30" s="1"/>
  <c r="BB138" i="30"/>
  <c r="BB53" i="30" s="1"/>
  <c r="BB211" i="30" s="1"/>
  <c r="AF136" i="30"/>
  <c r="AF112" i="30" s="1"/>
  <c r="AF101" i="30" s="1"/>
  <c r="AF226" i="30" s="1"/>
  <c r="AT134" i="30"/>
  <c r="AT87" i="30" s="1"/>
  <c r="AT76" i="30" s="1"/>
  <c r="AT218" i="30" s="1"/>
  <c r="DP132" i="30"/>
  <c r="DP62" i="30" s="1"/>
  <c r="DP51" i="30" s="1"/>
  <c r="DF129" i="30"/>
  <c r="DF36" i="30" s="1"/>
  <c r="N129" i="30"/>
  <c r="N36" i="30" s="1"/>
  <c r="CX127" i="30"/>
  <c r="CX17" i="30" s="1"/>
  <c r="T127" i="30"/>
  <c r="T17" i="30" s="1"/>
  <c r="DP116" i="30"/>
  <c r="BT116" i="30"/>
  <c r="X116" i="30"/>
  <c r="CJ142" i="30"/>
  <c r="CJ103" i="30" s="1"/>
  <c r="BN140" i="30"/>
  <c r="BN78" i="30" s="1"/>
  <c r="AR138" i="30"/>
  <c r="AR53" i="30" s="1"/>
  <c r="AR211" i="30" s="1"/>
  <c r="V136" i="30"/>
  <c r="V112" i="30" s="1"/>
  <c r="V101" i="30" s="1"/>
  <c r="V226" i="30" s="1"/>
  <c r="AL134" i="30"/>
  <c r="AL87" i="30" s="1"/>
  <c r="AL76" i="30" s="1"/>
  <c r="AL218" i="30" s="1"/>
  <c r="DH132" i="30"/>
  <c r="DH62" i="30" s="1"/>
  <c r="DH51" i="30" s="1"/>
  <c r="CZ129" i="30"/>
  <c r="CZ36" i="30" s="1"/>
  <c r="H129" i="30"/>
  <c r="H36" i="30" s="1"/>
  <c r="CW127" i="30"/>
  <c r="CW17" i="30" s="1"/>
  <c r="R127" i="30"/>
  <c r="R17" i="30" s="1"/>
  <c r="DO116" i="30"/>
  <c r="BS116" i="30"/>
  <c r="W116" i="30"/>
  <c r="BX142" i="30"/>
  <c r="BX103" i="30" s="1"/>
  <c r="BB140" i="30"/>
  <c r="BB78" i="30" s="1"/>
  <c r="BB219" i="30" s="1"/>
  <c r="AF138" i="30"/>
  <c r="AF53" i="30" s="1"/>
  <c r="AF211" i="30" s="1"/>
  <c r="J136" i="30"/>
  <c r="J112" i="30" s="1"/>
  <c r="J101" i="30" s="1"/>
  <c r="J226" i="30" s="1"/>
  <c r="DD132" i="30"/>
  <c r="DD62" i="30" s="1"/>
  <c r="DD51" i="30" s="1"/>
  <c r="CX129" i="30"/>
  <c r="CX36" i="30" s="1"/>
  <c r="F129" i="30"/>
  <c r="F36" i="30" s="1"/>
  <c r="CR127" i="30"/>
  <c r="CR17" i="30" s="1"/>
  <c r="P127" i="30"/>
  <c r="P17" i="30" s="1"/>
  <c r="DM116" i="30"/>
  <c r="BQ116" i="30"/>
  <c r="U116" i="30"/>
  <c r="P142" i="30"/>
  <c r="P103" i="30" s="1"/>
  <c r="P227" i="30" s="1"/>
  <c r="BM132" i="30"/>
  <c r="BM62" i="30" s="1"/>
  <c r="BM51" i="30" s="1"/>
  <c r="CB129" i="30"/>
  <c r="CB36" i="30" s="1"/>
  <c r="CB127" i="30"/>
  <c r="CB17" i="30" s="1"/>
  <c r="DC116" i="30"/>
  <c r="BG116" i="30"/>
  <c r="K116" i="30"/>
  <c r="BT132" i="30"/>
  <c r="BT62" i="30" s="1"/>
  <c r="BT51" i="30" s="1"/>
  <c r="BJ132" i="30"/>
  <c r="BJ62" i="30" s="1"/>
  <c r="BJ51" i="30" s="1"/>
  <c r="Z142" i="30"/>
  <c r="Z103" i="30" s="1"/>
  <c r="Z227" i="30" s="1"/>
  <c r="DD116" i="30"/>
  <c r="DA116" i="30"/>
  <c r="CH129" i="30"/>
  <c r="CH36" i="30" s="1"/>
  <c r="BH116" i="30"/>
  <c r="BZ129" i="30"/>
  <c r="BZ36" i="30" s="1"/>
  <c r="BE116" i="30"/>
  <c r="L116" i="30"/>
  <c r="I116" i="30"/>
  <c r="CC127" i="30"/>
  <c r="CC17" i="30" s="1"/>
  <c r="BY127" i="30"/>
  <c r="BY17" i="30" s="1"/>
  <c r="CB121" i="30"/>
  <c r="F23" i="30"/>
  <c r="R120" i="30"/>
  <c r="AP120" i="30"/>
  <c r="DJ120" i="30"/>
  <c r="S154" i="30"/>
  <c r="AE117" i="30"/>
  <c r="BO117" i="30"/>
  <c r="CY117" i="30"/>
  <c r="DW121" i="30"/>
  <c r="BQ120" i="30"/>
  <c r="J120" i="30"/>
  <c r="BF120" i="30"/>
  <c r="DB120" i="30"/>
  <c r="DZ124" i="30"/>
  <c r="W124" i="30"/>
  <c r="AI117" i="30"/>
  <c r="BS121" i="30"/>
  <c r="CE117" i="30"/>
  <c r="DO120" i="30"/>
  <c r="EA117" i="30"/>
  <c r="AV121" i="30"/>
  <c r="CR121" i="30"/>
  <c r="M124" i="30"/>
  <c r="Y153" i="30"/>
  <c r="BU120" i="30"/>
  <c r="DE124" i="30"/>
  <c r="DQ120" i="30"/>
  <c r="N117" i="30"/>
  <c r="Z23" i="30"/>
  <c r="BV121" i="30"/>
  <c r="CH117" i="30"/>
  <c r="DR124" i="30"/>
  <c r="AA154" i="30"/>
  <c r="AM121" i="30"/>
  <c r="CU124" i="30"/>
  <c r="AB153" i="30"/>
  <c r="AN117" i="30"/>
  <c r="AZ121" i="30"/>
  <c r="BL124" i="30"/>
  <c r="CV120" i="30"/>
  <c r="DT121" i="30"/>
  <c r="DU121" i="30"/>
  <c r="CZ121" i="30"/>
  <c r="AC154" i="30"/>
  <c r="EG117" i="30"/>
  <c r="DJ121" i="30"/>
  <c r="CK121" i="30"/>
  <c r="T124" i="30"/>
  <c r="AR124" i="30"/>
  <c r="BP124" i="30"/>
  <c r="CN124" i="30"/>
  <c r="DL121" i="30"/>
  <c r="BQ124" i="30"/>
  <c r="BD121" i="30"/>
  <c r="R121" i="30"/>
  <c r="AD23" i="30"/>
  <c r="BO120" i="30"/>
  <c r="AS120" i="30"/>
  <c r="DB124" i="30"/>
  <c r="AK117" i="30"/>
  <c r="BU124" i="30"/>
  <c r="BY121" i="30"/>
  <c r="AC117" i="30"/>
  <c r="T154" i="30"/>
  <c r="AR121" i="30"/>
  <c r="DY117" i="30"/>
  <c r="CZ117" i="30"/>
  <c r="AM124" i="30"/>
  <c r="F120" i="30"/>
  <c r="S153" i="30"/>
  <c r="CM124" i="30"/>
  <c r="DW120" i="30"/>
  <c r="CC120" i="30"/>
  <c r="J117" i="30"/>
  <c r="AT124" i="30"/>
  <c r="BF117" i="30"/>
  <c r="CP124" i="30"/>
  <c r="DB117" i="30"/>
  <c r="DH121" i="30"/>
  <c r="W121" i="30"/>
  <c r="BS120" i="30"/>
  <c r="DC124" i="30"/>
  <c r="S23" i="30"/>
  <c r="AV120" i="30"/>
  <c r="CR120" i="30"/>
  <c r="EB121" i="30"/>
  <c r="M154" i="30"/>
  <c r="Y117" i="30"/>
  <c r="BI124" i="30"/>
  <c r="BU117" i="30"/>
  <c r="DE121" i="30"/>
  <c r="DQ124" i="30"/>
  <c r="BJ124" i="30"/>
  <c r="BV120" i="30"/>
  <c r="ED121" i="30"/>
  <c r="AA153" i="30"/>
  <c r="AM120" i="30"/>
  <c r="CI121" i="30"/>
  <c r="AB120" i="30"/>
  <c r="CV117" i="30"/>
  <c r="Y23" i="30"/>
  <c r="DI124" i="30"/>
  <c r="E153" i="30"/>
  <c r="E155" i="30" s="1"/>
  <c r="E160" i="30" s="1"/>
  <c r="AC124" i="30"/>
  <c r="EG124" i="30"/>
  <c r="DV124" i="30"/>
  <c r="T120" i="30"/>
  <c r="AR120" i="30"/>
  <c r="BP120" i="30"/>
  <c r="CN120" i="30"/>
  <c r="DL124" i="30"/>
  <c r="AS117" i="30"/>
  <c r="BQ121" i="30"/>
  <c r="CO124" i="30"/>
  <c r="L120" i="30"/>
  <c r="CL121" i="30"/>
  <c r="R23" i="30"/>
  <c r="AI120" i="30"/>
  <c r="CR124" i="30"/>
  <c r="N120" i="30"/>
  <c r="H121" i="30"/>
  <c r="DL117" i="30"/>
  <c r="AY124" i="30"/>
  <c r="BZ117" i="30"/>
  <c r="S124" i="30"/>
  <c r="CM121" i="30"/>
  <c r="DW117" i="30"/>
  <c r="CO120" i="30"/>
  <c r="AT121" i="30"/>
  <c r="CP121" i="30"/>
  <c r="W153" i="30"/>
  <c r="BG124" i="30"/>
  <c r="DC121" i="30"/>
  <c r="DO124" i="30"/>
  <c r="AJ124" i="30"/>
  <c r="AV117" i="30"/>
  <c r="CF124" i="30"/>
  <c r="CR117" i="30"/>
  <c r="EB120" i="30"/>
  <c r="M121" i="30"/>
  <c r="Y154" i="30"/>
  <c r="BI121" i="30"/>
  <c r="DE120" i="30"/>
  <c r="DQ117" i="30"/>
  <c r="N23" i="30"/>
  <c r="BJ121" i="30"/>
  <c r="BV117" i="30"/>
  <c r="DF124" i="30"/>
  <c r="ED120" i="30"/>
  <c r="O154" i="30"/>
  <c r="AA121" i="30"/>
  <c r="CI120" i="30"/>
  <c r="P154" i="30"/>
  <c r="CJ120" i="30"/>
  <c r="I153" i="30"/>
  <c r="E124" i="30"/>
  <c r="D124" i="32" s="1"/>
  <c r="CK117" i="30"/>
  <c r="DI117" i="30"/>
  <c r="CX117" i="30"/>
  <c r="DL120" i="30"/>
  <c r="I154" i="30"/>
  <c r="AG153" i="30"/>
  <c r="BQ117" i="30"/>
  <c r="CO121" i="30"/>
  <c r="DM121" i="30"/>
  <c r="CY121" i="30"/>
  <c r="EC124" i="30"/>
  <c r="U121" i="30"/>
  <c r="CI117" i="30"/>
  <c r="BN117" i="30"/>
  <c r="S121" i="30"/>
  <c r="CM120" i="30"/>
  <c r="DA120" i="30"/>
  <c r="AT120" i="30"/>
  <c r="CP120" i="30"/>
  <c r="W120" i="30"/>
  <c r="BG121" i="30"/>
  <c r="BS117" i="30"/>
  <c r="DC120" i="30"/>
  <c r="DO117" i="30"/>
  <c r="X154" i="30"/>
  <c r="AJ121" i="30"/>
  <c r="CF121" i="30"/>
  <c r="EB117" i="30"/>
  <c r="M120" i="30"/>
  <c r="AW124" i="30"/>
  <c r="BI120" i="30"/>
  <c r="CS124" i="30"/>
  <c r="AX124" i="30"/>
  <c r="BJ120" i="30"/>
  <c r="ED117" i="30"/>
  <c r="O153" i="30"/>
  <c r="AA120" i="30"/>
  <c r="AM117" i="30"/>
  <c r="BW121" i="30"/>
  <c r="CU117" i="30"/>
  <c r="EE121" i="30"/>
  <c r="P153" i="30"/>
  <c r="AB124" i="30"/>
  <c r="AZ124" i="30"/>
  <c r="CJ117" i="30"/>
  <c r="CV124" i="30"/>
  <c r="EF120" i="30"/>
  <c r="Q121" i="30"/>
  <c r="BM117" i="30"/>
  <c r="EG121" i="30"/>
  <c r="I124" i="30"/>
  <c r="CO117" i="30"/>
  <c r="Q117" i="30"/>
  <c r="DG120" i="30"/>
  <c r="BH117" i="30"/>
  <c r="AB154" i="30"/>
  <c r="DH124" i="30"/>
  <c r="AD154" i="30"/>
  <c r="BN124" i="30"/>
  <c r="BZ124" i="30"/>
  <c r="G153" i="30"/>
  <c r="S120" i="30"/>
  <c r="AQ124" i="30"/>
  <c r="CA124" i="30"/>
  <c r="CM117" i="30"/>
  <c r="DM120" i="30"/>
  <c r="AT117" i="30"/>
  <c r="CD124" i="30"/>
  <c r="CP117" i="30"/>
  <c r="DN124" i="30"/>
  <c r="DZ121" i="30"/>
  <c r="K154" i="30"/>
  <c r="BG120" i="30"/>
  <c r="CQ124" i="30"/>
  <c r="X153" i="30"/>
  <c r="AJ120" i="30"/>
  <c r="CF120" i="30"/>
  <c r="EB124" i="30"/>
  <c r="M117" i="30"/>
  <c r="AW121" i="30"/>
  <c r="BI117" i="30"/>
  <c r="CS121" i="30"/>
  <c r="DE117" i="30"/>
  <c r="AX121" i="30"/>
  <c r="BJ117" i="30"/>
  <c r="DR121" i="30"/>
  <c r="O121" i="30"/>
  <c r="AA124" i="30"/>
  <c r="BW120" i="30"/>
  <c r="CI124" i="30"/>
  <c r="EE120" i="30"/>
  <c r="P120" i="30"/>
  <c r="AN121" i="30"/>
  <c r="BX120" i="30"/>
  <c r="CV121" i="30"/>
  <c r="EF117" i="30"/>
  <c r="K153" i="30"/>
  <c r="BM121" i="30"/>
  <c r="AO117" i="30"/>
  <c r="CX124" i="30"/>
  <c r="H154" i="30"/>
  <c r="AF154" i="30"/>
  <c r="I121" i="30"/>
  <c r="AG154" i="30"/>
  <c r="DM124" i="30"/>
  <c r="AO120" i="30"/>
  <c r="N121" i="30"/>
  <c r="AY120" i="30"/>
  <c r="BX121" i="30"/>
  <c r="F121" i="30"/>
  <c r="BE120" i="30"/>
  <c r="BU121" i="30"/>
  <c r="CU120" i="30"/>
  <c r="DH117" i="30"/>
  <c r="BA124" i="30"/>
  <c r="T153" i="30"/>
  <c r="CN121" i="30"/>
  <c r="J23" i="30"/>
  <c r="R154" i="30"/>
  <c r="AD153" i="30"/>
  <c r="AP117" i="30"/>
  <c r="BB117" i="30"/>
  <c r="BN121" i="30"/>
  <c r="BZ121" i="30"/>
  <c r="G154" i="30"/>
  <c r="AQ121" i="30"/>
  <c r="CA121" i="30"/>
  <c r="DK121" i="30"/>
  <c r="DY120" i="30"/>
  <c r="V154" i="30"/>
  <c r="CD121" i="30"/>
  <c r="DZ120" i="30"/>
  <c r="K124" i="30"/>
  <c r="AU124" i="30"/>
  <c r="DC117" i="30"/>
  <c r="X124" i="30"/>
  <c r="AJ117" i="30"/>
  <c r="BT124" i="30"/>
  <c r="CF117" i="30"/>
  <c r="DP121" i="30"/>
  <c r="M153" i="30"/>
  <c r="AW120" i="30"/>
  <c r="Z154" i="30"/>
  <c r="AL124" i="30"/>
  <c r="AX120" i="30"/>
  <c r="DR120" i="30"/>
  <c r="O120" i="30"/>
  <c r="BK121" i="30"/>
  <c r="EE117" i="30"/>
  <c r="AB23" i="30"/>
  <c r="AN124" i="30"/>
  <c r="BX117" i="30"/>
  <c r="EF124" i="30"/>
  <c r="E117" i="30"/>
  <c r="D117" i="32" s="1"/>
  <c r="DI121" i="30"/>
  <c r="Q154" i="30"/>
  <c r="BM124" i="30"/>
  <c r="CK124" i="30"/>
  <c r="CX121" i="30"/>
  <c r="DV117" i="30"/>
  <c r="H153" i="30"/>
  <c r="AF153" i="30"/>
  <c r="I117" i="30"/>
  <c r="BE124" i="30"/>
  <c r="DM117" i="30"/>
  <c r="CK120" i="30"/>
  <c r="F124" i="30"/>
  <c r="J124" i="30"/>
  <c r="BF124" i="30"/>
  <c r="DN117" i="30"/>
  <c r="EA124" i="30"/>
  <c r="BH120" i="30"/>
  <c r="CH121" i="30"/>
  <c r="CU121" i="30"/>
  <c r="G23" i="30"/>
  <c r="DV120" i="30"/>
  <c r="AC23" i="30"/>
  <c r="DA117" i="30"/>
  <c r="AV124" i="30"/>
  <c r="L23" i="30"/>
  <c r="F154" i="30"/>
  <c r="R153" i="30"/>
  <c r="AD117" i="30"/>
  <c r="BB124" i="30"/>
  <c r="G124" i="30"/>
  <c r="CA120" i="30"/>
  <c r="DK124" i="30"/>
  <c r="AY117" i="30"/>
  <c r="V153" i="30"/>
  <c r="CD120" i="30"/>
  <c r="DZ117" i="30"/>
  <c r="K121" i="30"/>
  <c r="AU121" i="30"/>
  <c r="CQ121" i="30"/>
  <c r="L154" i="30"/>
  <c r="X121" i="30"/>
  <c r="BT121" i="30"/>
  <c r="DP120" i="30"/>
  <c r="AK124" i="30"/>
  <c r="AW117" i="30"/>
  <c r="CG124" i="30"/>
  <c r="CS120" i="30"/>
  <c r="EC121" i="30"/>
  <c r="Z153" i="30"/>
  <c r="AL121" i="30"/>
  <c r="AX117" i="30"/>
  <c r="DF121" i="30"/>
  <c r="DR117" i="30"/>
  <c r="V23" i="30"/>
  <c r="AA23" i="30"/>
  <c r="BK120" i="30"/>
  <c r="BW117" i="30"/>
  <c r="DS121" i="30"/>
  <c r="EE124" i="30"/>
  <c r="AB121" i="30"/>
  <c r="CJ124" i="30"/>
  <c r="DT120" i="30"/>
  <c r="Q120" i="30"/>
  <c r="S117" i="30"/>
  <c r="DY124" i="30"/>
  <c r="Q153" i="30"/>
  <c r="AO124" i="30"/>
  <c r="DV121" i="30"/>
  <c r="H124" i="30"/>
  <c r="AF124" i="30"/>
  <c r="BD124" i="30"/>
  <c r="CB124" i="30"/>
  <c r="CZ124" i="30"/>
  <c r="DX121" i="30"/>
  <c r="BE121" i="30"/>
  <c r="CC124" i="30"/>
  <c r="EG120" i="30"/>
  <c r="V117" i="30"/>
  <c r="CQ117" i="30"/>
  <c r="Y121" i="30"/>
  <c r="Z117" i="30"/>
  <c r="H117" i="30"/>
  <c r="F153" i="30"/>
  <c r="R117" i="30"/>
  <c r="AP124" i="30"/>
  <c r="BB121" i="30"/>
  <c r="BN120" i="30"/>
  <c r="BZ120" i="30"/>
  <c r="G121" i="30"/>
  <c r="AE153" i="30"/>
  <c r="AQ120" i="30"/>
  <c r="CA117" i="30"/>
  <c r="DK120" i="30"/>
  <c r="I120" i="30"/>
  <c r="V124" i="30"/>
  <c r="BR124" i="30"/>
  <c r="CD117" i="30"/>
  <c r="K120" i="30"/>
  <c r="AU120" i="30"/>
  <c r="BG117" i="30"/>
  <c r="CE124" i="30"/>
  <c r="CQ120" i="30"/>
  <c r="EA121" i="30"/>
  <c r="L153" i="30"/>
  <c r="X120" i="30"/>
  <c r="BT120" i="30"/>
  <c r="DP124" i="30"/>
  <c r="AK121" i="30"/>
  <c r="CG121" i="30"/>
  <c r="CS117" i="30"/>
  <c r="EC120" i="30"/>
  <c r="N154" i="30"/>
  <c r="Z124" i="30"/>
  <c r="AL120" i="30"/>
  <c r="CT124" i="30"/>
  <c r="DF120" i="30"/>
  <c r="O117" i="30"/>
  <c r="AA117" i="30"/>
  <c r="DS120" i="30"/>
  <c r="P117" i="30"/>
  <c r="AB117" i="30"/>
  <c r="BL120" i="30"/>
  <c r="AC121" i="30"/>
  <c r="W154" i="30"/>
  <c r="BP121" i="30"/>
  <c r="Q124" i="30"/>
  <c r="DU124" i="30"/>
  <c r="CL117" i="30"/>
  <c r="DJ124" i="30"/>
  <c r="AC120" i="30"/>
  <c r="H120" i="30"/>
  <c r="AF120" i="30"/>
  <c r="BD120" i="30"/>
  <c r="CB120" i="30"/>
  <c r="CZ120" i="30"/>
  <c r="DX120" i="30"/>
  <c r="CC121" i="30"/>
  <c r="DA124" i="30"/>
  <c r="U154" i="30"/>
  <c r="M23" i="30"/>
  <c r="AE121" i="30"/>
  <c r="DW124" i="30"/>
  <c r="BR117" i="30"/>
  <c r="CG117" i="30"/>
  <c r="T117" i="30"/>
  <c r="T121" i="30"/>
  <c r="F117" i="30"/>
  <c r="AD124" i="30"/>
  <c r="AP121" i="30"/>
  <c r="G120" i="30"/>
  <c r="AE154" i="30"/>
  <c r="AQ117" i="30"/>
  <c r="BO124" i="30"/>
  <c r="CY124" i="30"/>
  <c r="DK117" i="30"/>
  <c r="U120" i="30"/>
  <c r="J154" i="30"/>
  <c r="V121" i="30"/>
  <c r="BR121" i="30"/>
  <c r="DN121" i="30"/>
  <c r="K117" i="30"/>
  <c r="AI124" i="30"/>
  <c r="EA120" i="30"/>
  <c r="L124" i="30"/>
  <c r="X117" i="30"/>
  <c r="BH124" i="30"/>
  <c r="BT117" i="30"/>
  <c r="DD124" i="30"/>
  <c r="DP117" i="30"/>
  <c r="AK120" i="30"/>
  <c r="EC117" i="30"/>
  <c r="N153" i="30"/>
  <c r="Z121" i="30"/>
  <c r="AL117" i="30"/>
  <c r="CT121" i="30"/>
  <c r="DF117" i="30"/>
  <c r="O124" i="30"/>
  <c r="BW124" i="30"/>
  <c r="DG124" i="30"/>
  <c r="DS124" i="30"/>
  <c r="P124" i="30"/>
  <c r="BL117" i="30"/>
  <c r="CJ121" i="30"/>
  <c r="DT124" i="30"/>
  <c r="EF121" i="30"/>
  <c r="CW117" i="30"/>
  <c r="DU117" i="30"/>
  <c r="BY120" i="30"/>
  <c r="E23" i="30"/>
  <c r="D23" i="32" s="1"/>
  <c r="AR117" i="30"/>
  <c r="U124" i="30"/>
  <c r="BE117" i="30"/>
  <c r="CC117" i="30"/>
  <c r="DA121" i="30"/>
  <c r="DY121" i="30"/>
  <c r="CE120" i="30"/>
  <c r="CT117" i="30"/>
  <c r="AS124" i="30"/>
  <c r="BP117" i="30"/>
  <c r="AD120" i="30"/>
  <c r="AE120" i="30"/>
  <c r="CY120" i="30"/>
  <c r="J121" i="30"/>
  <c r="BF121" i="30"/>
  <c r="BS124" i="30"/>
  <c r="L117" i="30"/>
  <c r="CH120" i="30"/>
  <c r="AZ117" i="30"/>
  <c r="AC153" i="30"/>
  <c r="AS121" i="30"/>
  <c r="AF121" i="30"/>
  <c r="R124" i="30"/>
  <c r="AD121" i="30"/>
  <c r="BB120" i="30"/>
  <c r="G117" i="30"/>
  <c r="AE124" i="30"/>
  <c r="BO121" i="30"/>
  <c r="J153" i="30"/>
  <c r="V120" i="30"/>
  <c r="BR120" i="30"/>
  <c r="DN120" i="30"/>
  <c r="AI121" i="30"/>
  <c r="AU117" i="30"/>
  <c r="CE121" i="30"/>
  <c r="L121" i="30"/>
  <c r="BH121" i="30"/>
  <c r="DD121" i="30"/>
  <c r="Y124" i="30"/>
  <c r="CG120" i="30"/>
  <c r="N124" i="30"/>
  <c r="Z120" i="30"/>
  <c r="CH124" i="30"/>
  <c r="CT120" i="30"/>
  <c r="ED124" i="30"/>
  <c r="O23" i="30"/>
  <c r="AY121" i="30"/>
  <c r="BK124" i="30"/>
  <c r="DG121" i="30"/>
  <c r="DS117" i="30"/>
  <c r="W23" i="30"/>
  <c r="P23" i="30"/>
  <c r="AZ120" i="30"/>
  <c r="BX124" i="30"/>
  <c r="DT117" i="30"/>
  <c r="BM120" i="30"/>
  <c r="AF117" i="30"/>
  <c r="BA117" i="30"/>
  <c r="BY117" i="30"/>
  <c r="CL124" i="30"/>
  <c r="DU120" i="30"/>
  <c r="Q23" i="30"/>
  <c r="CB117" i="30"/>
  <c r="U153" i="30"/>
  <c r="DD120" i="30"/>
  <c r="BK117" i="30"/>
  <c r="DH120" i="30"/>
  <c r="DJ117" i="30"/>
  <c r="DB121" i="30"/>
  <c r="BV124" i="30"/>
  <c r="DG117" i="30"/>
  <c r="DI120" i="30"/>
  <c r="CW124" i="30"/>
  <c r="CX120" i="30"/>
  <c r="DO121" i="30"/>
  <c r="DD117" i="30"/>
  <c r="DQ121" i="30"/>
  <c r="AN120" i="30"/>
  <c r="X23" i="30"/>
  <c r="BY124" i="30"/>
  <c r="U117" i="30"/>
  <c r="Y120" i="30"/>
  <c r="AO121" i="30"/>
  <c r="BD350" i="30"/>
  <c r="CD360" i="30"/>
  <c r="DQ350" i="30"/>
  <c r="BX360" i="30"/>
  <c r="DO350" i="30"/>
  <c r="DC350" i="30"/>
  <c r="AE360" i="30"/>
  <c r="CF350" i="30"/>
  <c r="AO360" i="30"/>
  <c r="BT360" i="30"/>
  <c r="CB350" i="30"/>
  <c r="G360" i="30"/>
  <c r="BP350" i="30"/>
  <c r="H360" i="30"/>
  <c r="CU360" i="30"/>
  <c r="CX350" i="30"/>
  <c r="BU360" i="30"/>
  <c r="AH360" i="30"/>
  <c r="AJ360" i="30"/>
  <c r="AZ360" i="30"/>
  <c r="BN360" i="30"/>
  <c r="DB350" i="30"/>
  <c r="BA360" i="30"/>
  <c r="CP360" i="30"/>
  <c r="CQ350" i="30"/>
  <c r="BC350" i="30"/>
  <c r="AC360" i="30"/>
  <c r="BR360" i="30"/>
  <c r="AS360" i="30"/>
  <c r="DE360" i="30"/>
  <c r="DP332" i="30"/>
  <c r="DD332" i="30"/>
  <c r="CR332" i="30"/>
  <c r="CF332" i="30"/>
  <c r="BT332" i="30"/>
  <c r="BH332" i="30"/>
  <c r="AV332" i="30"/>
  <c r="AJ332" i="30"/>
  <c r="X332" i="30"/>
  <c r="L332" i="30"/>
  <c r="DO332" i="30"/>
  <c r="DC332" i="30"/>
  <c r="CQ332" i="30"/>
  <c r="CE332" i="30"/>
  <c r="BS332" i="30"/>
  <c r="BG332" i="30"/>
  <c r="AU332" i="30"/>
  <c r="AI332" i="30"/>
  <c r="W332" i="30"/>
  <c r="K332" i="30"/>
  <c r="DN332" i="30"/>
  <c r="DB332" i="30"/>
  <c r="CP332" i="30"/>
  <c r="CD332" i="30"/>
  <c r="BR332" i="30"/>
  <c r="BF332" i="30"/>
  <c r="AT332" i="30"/>
  <c r="AH332" i="30"/>
  <c r="V332" i="30"/>
  <c r="J332" i="30"/>
  <c r="DL332" i="30"/>
  <c r="CZ332" i="30"/>
  <c r="CN332" i="30"/>
  <c r="CB332" i="30"/>
  <c r="BP332" i="30"/>
  <c r="BD332" i="30"/>
  <c r="AR332" i="30"/>
  <c r="T332" i="30"/>
  <c r="H332" i="30"/>
  <c r="DI332" i="30"/>
  <c r="CS332" i="30"/>
  <c r="BY332" i="30"/>
  <c r="BI332" i="30"/>
  <c r="AO332" i="30"/>
  <c r="Y332" i="30"/>
  <c r="E332" i="30"/>
  <c r="DT280" i="30"/>
  <c r="DH280" i="30"/>
  <c r="CV280" i="30"/>
  <c r="CJ280" i="30"/>
  <c r="BX280" i="30"/>
  <c r="BL280" i="30"/>
  <c r="AZ280" i="30"/>
  <c r="AN280" i="30"/>
  <c r="AB280" i="30"/>
  <c r="P280" i="30"/>
  <c r="DH332" i="30"/>
  <c r="CO332" i="30"/>
  <c r="BX332" i="30"/>
  <c r="BE332" i="30"/>
  <c r="AN332" i="30"/>
  <c r="U332" i="30"/>
  <c r="DG332" i="30"/>
  <c r="CM332" i="30"/>
  <c r="BW332" i="30"/>
  <c r="BC332" i="30"/>
  <c r="AM332" i="30"/>
  <c r="S332" i="30"/>
  <c r="DF332" i="30"/>
  <c r="CL332" i="30"/>
  <c r="BV332" i="30"/>
  <c r="AL332" i="30"/>
  <c r="R332" i="30"/>
  <c r="DU332" i="30"/>
  <c r="DE332" i="30"/>
  <c r="CK332" i="30"/>
  <c r="BU332" i="30"/>
  <c r="BA332" i="30"/>
  <c r="AK332" i="30"/>
  <c r="Q332" i="30"/>
  <c r="DT332" i="30"/>
  <c r="DA332" i="30"/>
  <c r="CJ332" i="30"/>
  <c r="BQ332" i="30"/>
  <c r="AZ332" i="30"/>
  <c r="P332" i="30"/>
  <c r="DS332" i="30"/>
  <c r="CY332" i="30"/>
  <c r="CI332" i="30"/>
  <c r="BO332" i="30"/>
  <c r="AY332" i="30"/>
  <c r="AE332" i="30"/>
  <c r="O332" i="30"/>
  <c r="DR332" i="30"/>
  <c r="CX332" i="30"/>
  <c r="CH332" i="30"/>
  <c r="BN332" i="30"/>
  <c r="AX332" i="30"/>
  <c r="AD332" i="30"/>
  <c r="N332" i="30"/>
  <c r="DQ332" i="30"/>
  <c r="CW332" i="30"/>
  <c r="CG332" i="30"/>
  <c r="BM332" i="30"/>
  <c r="AW332" i="30"/>
  <c r="AC332" i="30"/>
  <c r="M332" i="30"/>
  <c r="DM332" i="30"/>
  <c r="CV332" i="30"/>
  <c r="CC332" i="30"/>
  <c r="BL332" i="30"/>
  <c r="AS332" i="30"/>
  <c r="AB332" i="30"/>
  <c r="I332" i="30"/>
  <c r="DK332" i="30"/>
  <c r="CU332" i="30"/>
  <c r="CA332" i="30"/>
  <c r="BK332" i="30"/>
  <c r="AQ332" i="30"/>
  <c r="AA332" i="30"/>
  <c r="G332" i="30"/>
  <c r="F332" i="30"/>
  <c r="DQ280" i="30"/>
  <c r="DD280" i="30"/>
  <c r="CQ280" i="30"/>
  <c r="CD280" i="30"/>
  <c r="BQ280" i="30"/>
  <c r="BD280" i="30"/>
  <c r="AQ280" i="30"/>
  <c r="AD280" i="30"/>
  <c r="Q280" i="30"/>
  <c r="DM272" i="30"/>
  <c r="DA272" i="30"/>
  <c r="CO272" i="30"/>
  <c r="CC272" i="30"/>
  <c r="BQ272" i="30"/>
  <c r="BE272" i="30"/>
  <c r="AS272" i="30"/>
  <c r="U272" i="30"/>
  <c r="I272" i="30"/>
  <c r="DU259" i="30"/>
  <c r="DI259" i="30"/>
  <c r="CW259" i="30"/>
  <c r="CK259" i="30"/>
  <c r="BY259" i="30"/>
  <c r="BM259" i="30"/>
  <c r="BA259" i="30"/>
  <c r="AO259" i="30"/>
  <c r="AC259" i="30"/>
  <c r="Q259" i="30"/>
  <c r="E259" i="30"/>
  <c r="DP280" i="30"/>
  <c r="DC280" i="30"/>
  <c r="CP280" i="30"/>
  <c r="CC280" i="30"/>
  <c r="BP280" i="30"/>
  <c r="BC280" i="30"/>
  <c r="AP280" i="30"/>
  <c r="AC280" i="30"/>
  <c r="O280" i="30"/>
  <c r="DL272" i="30"/>
  <c r="CZ272" i="30"/>
  <c r="CN272" i="30"/>
  <c r="CB272" i="30"/>
  <c r="BP272" i="30"/>
  <c r="BD272" i="30"/>
  <c r="AR272" i="30"/>
  <c r="T272" i="30"/>
  <c r="H272" i="30"/>
  <c r="DT259" i="30"/>
  <c r="DH259" i="30"/>
  <c r="CV259" i="30"/>
  <c r="CJ259" i="30"/>
  <c r="BX259" i="30"/>
  <c r="BL259" i="30"/>
  <c r="AZ259" i="30"/>
  <c r="AN259" i="30"/>
  <c r="AB259" i="30"/>
  <c r="P259" i="30"/>
  <c r="DO280" i="30"/>
  <c r="DB280" i="30"/>
  <c r="CO280" i="30"/>
  <c r="CB280" i="30"/>
  <c r="BO280" i="30"/>
  <c r="AO280" i="30"/>
  <c r="AA280" i="30"/>
  <c r="N280" i="30"/>
  <c r="DK272" i="30"/>
  <c r="CY272" i="30"/>
  <c r="CM272" i="30"/>
  <c r="CA272" i="30"/>
  <c r="BO272" i="30"/>
  <c r="BC272" i="30"/>
  <c r="AQ272" i="30"/>
  <c r="AE272" i="30"/>
  <c r="S272" i="30"/>
  <c r="G272" i="30"/>
  <c r="DS259" i="30"/>
  <c r="DG259" i="30"/>
  <c r="CU259" i="30"/>
  <c r="CI259" i="30"/>
  <c r="BW259" i="30"/>
  <c r="BK259" i="30"/>
  <c r="AY259" i="30"/>
  <c r="AM259" i="30"/>
  <c r="AA259" i="30"/>
  <c r="O259" i="30"/>
  <c r="DN280" i="30"/>
  <c r="DA280" i="30"/>
  <c r="CN280" i="30"/>
  <c r="CA280" i="30"/>
  <c r="BN280" i="30"/>
  <c r="BA280" i="30"/>
  <c r="AM280" i="30"/>
  <c r="Z280" i="30"/>
  <c r="M280" i="30"/>
  <c r="DJ272" i="30"/>
  <c r="CX272" i="30"/>
  <c r="CL272" i="30"/>
  <c r="BZ272" i="30"/>
  <c r="BN272" i="30"/>
  <c r="AP272" i="30"/>
  <c r="AD272" i="30"/>
  <c r="R272" i="30"/>
  <c r="F272" i="30"/>
  <c r="DM280" i="30"/>
  <c r="CZ280" i="30"/>
  <c r="CM280" i="30"/>
  <c r="BZ280" i="30"/>
  <c r="BM280" i="30"/>
  <c r="AY280" i="30"/>
  <c r="AL280" i="30"/>
  <c r="Y280" i="30"/>
  <c r="L280" i="30"/>
  <c r="DU272" i="30"/>
  <c r="DI272" i="30"/>
  <c r="CW272" i="30"/>
  <c r="CK272" i="30"/>
  <c r="BY272" i="30"/>
  <c r="BM272" i="30"/>
  <c r="BA272" i="30"/>
  <c r="AO272" i="30"/>
  <c r="AC272" i="30"/>
  <c r="Q272" i="30"/>
  <c r="E272" i="30"/>
  <c r="DQ259" i="30"/>
  <c r="DE259" i="30"/>
  <c r="CS259" i="30"/>
  <c r="CG259" i="30"/>
  <c r="BU259" i="30"/>
  <c r="BI259" i="30"/>
  <c r="AW259" i="30"/>
  <c r="AK259" i="30"/>
  <c r="Y259" i="30"/>
  <c r="M259" i="30"/>
  <c r="DL280" i="30"/>
  <c r="CY280" i="30"/>
  <c r="CL280" i="30"/>
  <c r="BY280" i="30"/>
  <c r="BK280" i="30"/>
  <c r="AX280" i="30"/>
  <c r="AK280" i="30"/>
  <c r="X280" i="30"/>
  <c r="K280" i="30"/>
  <c r="DT272" i="30"/>
  <c r="DH272" i="30"/>
  <c r="CV272" i="30"/>
  <c r="CJ272" i="30"/>
  <c r="BX272" i="30"/>
  <c r="BL272" i="30"/>
  <c r="AZ272" i="30"/>
  <c r="AN272" i="30"/>
  <c r="AB272" i="30"/>
  <c r="P272" i="30"/>
  <c r="DP259" i="30"/>
  <c r="DD259" i="30"/>
  <c r="CR259" i="30"/>
  <c r="CF259" i="30"/>
  <c r="BT259" i="30"/>
  <c r="BH259" i="30"/>
  <c r="AV259" i="30"/>
  <c r="AJ259" i="30"/>
  <c r="X259" i="30"/>
  <c r="L259" i="30"/>
  <c r="DJ332" i="30"/>
  <c r="DK280" i="30"/>
  <c r="CX280" i="30"/>
  <c r="CK280" i="30"/>
  <c r="BW280" i="30"/>
  <c r="BJ280" i="30"/>
  <c r="AW280" i="30"/>
  <c r="AJ280" i="30"/>
  <c r="W280" i="30"/>
  <c r="J280" i="30"/>
  <c r="DS272" i="30"/>
  <c r="DG272" i="30"/>
  <c r="CU272" i="30"/>
  <c r="CI272" i="30"/>
  <c r="BW272" i="30"/>
  <c r="BK272" i="30"/>
  <c r="AY272" i="30"/>
  <c r="AM272" i="30"/>
  <c r="AA272" i="30"/>
  <c r="O272" i="30"/>
  <c r="CT332" i="30"/>
  <c r="DJ280" i="30"/>
  <c r="CW280" i="30"/>
  <c r="CI280" i="30"/>
  <c r="BV280" i="30"/>
  <c r="BI280" i="30"/>
  <c r="AV280" i="30"/>
  <c r="AI280" i="30"/>
  <c r="V280" i="30"/>
  <c r="I280" i="30"/>
  <c r="DR272" i="30"/>
  <c r="DF272" i="30"/>
  <c r="CT272" i="30"/>
  <c r="CH272" i="30"/>
  <c r="BV272" i="30"/>
  <c r="BJ272" i="30"/>
  <c r="AX272" i="30"/>
  <c r="AL272" i="30"/>
  <c r="Z272" i="30"/>
  <c r="N272" i="30"/>
  <c r="BZ332" i="30"/>
  <c r="DI280" i="30"/>
  <c r="CU280" i="30"/>
  <c r="CH280" i="30"/>
  <c r="BU280" i="30"/>
  <c r="BH280" i="30"/>
  <c r="AU280" i="30"/>
  <c r="AH280" i="30"/>
  <c r="U280" i="30"/>
  <c r="H280" i="30"/>
  <c r="DQ272" i="30"/>
  <c r="DE272" i="30"/>
  <c r="CS272" i="30"/>
  <c r="CG272" i="30"/>
  <c r="BU272" i="30"/>
  <c r="BI272" i="30"/>
  <c r="AW272" i="30"/>
  <c r="AK272" i="30"/>
  <c r="Y272" i="30"/>
  <c r="M272" i="30"/>
  <c r="DM259" i="30"/>
  <c r="DA259" i="30"/>
  <c r="CO259" i="30"/>
  <c r="CC259" i="30"/>
  <c r="BQ259" i="30"/>
  <c r="BE259" i="30"/>
  <c r="AS259" i="30"/>
  <c r="U259" i="30"/>
  <c r="I259" i="30"/>
  <c r="BJ332" i="30"/>
  <c r="DU280" i="30"/>
  <c r="DG280" i="30"/>
  <c r="CT280" i="30"/>
  <c r="CG280" i="30"/>
  <c r="BT280" i="30"/>
  <c r="BG280" i="30"/>
  <c r="AT280" i="30"/>
  <c r="T280" i="30"/>
  <c r="G280" i="30"/>
  <c r="DP272" i="30"/>
  <c r="DD272" i="30"/>
  <c r="CR272" i="30"/>
  <c r="CF272" i="30"/>
  <c r="BT272" i="30"/>
  <c r="BH272" i="30"/>
  <c r="AV272" i="30"/>
  <c r="AJ272" i="30"/>
  <c r="X272" i="30"/>
  <c r="L272" i="30"/>
  <c r="DL259" i="30"/>
  <c r="CZ259" i="30"/>
  <c r="CN259" i="30"/>
  <c r="CB259" i="30"/>
  <c r="BP259" i="30"/>
  <c r="BD259" i="30"/>
  <c r="AR259" i="30"/>
  <c r="T259" i="30"/>
  <c r="H259" i="30"/>
  <c r="BF280" i="30"/>
  <c r="BS272" i="30"/>
  <c r="CX259" i="30"/>
  <c r="BS259" i="30"/>
  <c r="AQ259" i="30"/>
  <c r="N259" i="30"/>
  <c r="DU246" i="30"/>
  <c r="DI246" i="30"/>
  <c r="CW246" i="30"/>
  <c r="CK246" i="30"/>
  <c r="BY246" i="30"/>
  <c r="BM246" i="30"/>
  <c r="BA246" i="30"/>
  <c r="AO246" i="30"/>
  <c r="AC246" i="30"/>
  <c r="Q246" i="30"/>
  <c r="E246" i="30"/>
  <c r="BE280" i="30"/>
  <c r="BR272" i="30"/>
  <c r="CT259" i="30"/>
  <c r="BR259" i="30"/>
  <c r="AP259" i="30"/>
  <c r="K259" i="30"/>
  <c r="DT246" i="30"/>
  <c r="DH246" i="30"/>
  <c r="CV246" i="30"/>
  <c r="CJ246" i="30"/>
  <c r="BX246" i="30"/>
  <c r="BL246" i="30"/>
  <c r="AZ246" i="30"/>
  <c r="AN246" i="30"/>
  <c r="AB246" i="30"/>
  <c r="P246" i="30"/>
  <c r="DS280" i="30"/>
  <c r="AS280" i="30"/>
  <c r="BG272" i="30"/>
  <c r="CQ259" i="30"/>
  <c r="BO259" i="30"/>
  <c r="AL259" i="30"/>
  <c r="J259" i="30"/>
  <c r="DS246" i="30"/>
  <c r="DG246" i="30"/>
  <c r="CU246" i="30"/>
  <c r="CI246" i="30"/>
  <c r="BW246" i="30"/>
  <c r="BK246" i="30"/>
  <c r="AY246" i="30"/>
  <c r="AM246" i="30"/>
  <c r="AA246" i="30"/>
  <c r="O246" i="30"/>
  <c r="DR280" i="30"/>
  <c r="AR280" i="30"/>
  <c r="BF272" i="30"/>
  <c r="DR259" i="30"/>
  <c r="CP259" i="30"/>
  <c r="BN259" i="30"/>
  <c r="AI259" i="30"/>
  <c r="G259" i="30"/>
  <c r="DR246" i="30"/>
  <c r="DF246" i="30"/>
  <c r="CT246" i="30"/>
  <c r="CH246" i="30"/>
  <c r="BV246" i="30"/>
  <c r="BJ246" i="30"/>
  <c r="AX246" i="30"/>
  <c r="AL246" i="30"/>
  <c r="Z246" i="30"/>
  <c r="N246" i="30"/>
  <c r="DF280" i="30"/>
  <c r="DO272" i="30"/>
  <c r="AU272" i="30"/>
  <c r="DO259" i="30"/>
  <c r="CM259" i="30"/>
  <c r="BJ259" i="30"/>
  <c r="AH259" i="30"/>
  <c r="F259" i="30"/>
  <c r="DQ246" i="30"/>
  <c r="DE246" i="30"/>
  <c r="CS246" i="30"/>
  <c r="CG246" i="30"/>
  <c r="BU246" i="30"/>
  <c r="BI246" i="30"/>
  <c r="AW246" i="30"/>
  <c r="AK246" i="30"/>
  <c r="Y246" i="30"/>
  <c r="M246" i="30"/>
  <c r="DE280" i="30"/>
  <c r="AE280" i="30"/>
  <c r="DN272" i="30"/>
  <c r="AT272" i="30"/>
  <c r="DN259" i="30"/>
  <c r="CL259" i="30"/>
  <c r="BG259" i="30"/>
  <c r="AE259" i="30"/>
  <c r="DP246" i="30"/>
  <c r="DD246" i="30"/>
  <c r="CR246" i="30"/>
  <c r="CF246" i="30"/>
  <c r="BT246" i="30"/>
  <c r="BH246" i="30"/>
  <c r="AV246" i="30"/>
  <c r="AJ246" i="30"/>
  <c r="X246" i="30"/>
  <c r="L246" i="30"/>
  <c r="CS280" i="30"/>
  <c r="S280" i="30"/>
  <c r="DC272" i="30"/>
  <c r="AI272" i="30"/>
  <c r="DK259" i="30"/>
  <c r="CH259" i="30"/>
  <c r="BF259" i="30"/>
  <c r="AD259" i="30"/>
  <c r="DO246" i="30"/>
  <c r="DC246" i="30"/>
  <c r="CQ246" i="30"/>
  <c r="CE246" i="30"/>
  <c r="BS246" i="30"/>
  <c r="BG246" i="30"/>
  <c r="AU246" i="30"/>
  <c r="AI246" i="30"/>
  <c r="W246" i="30"/>
  <c r="K246" i="30"/>
  <c r="CR280" i="30"/>
  <c r="R280" i="30"/>
  <c r="DB272" i="30"/>
  <c r="AH272" i="30"/>
  <c r="DJ259" i="30"/>
  <c r="CE259" i="30"/>
  <c r="BC259" i="30"/>
  <c r="Z259" i="30"/>
  <c r="DN246" i="30"/>
  <c r="DB246" i="30"/>
  <c r="CP246" i="30"/>
  <c r="CD246" i="30"/>
  <c r="BR246" i="30"/>
  <c r="BF246" i="30"/>
  <c r="AT246" i="30"/>
  <c r="AH246" i="30"/>
  <c r="V246" i="30"/>
  <c r="J246" i="30"/>
  <c r="AP332" i="30"/>
  <c r="CF280" i="30"/>
  <c r="F280" i="30"/>
  <c r="CQ272" i="30"/>
  <c r="W272" i="30"/>
  <c r="DF259" i="30"/>
  <c r="CD259" i="30"/>
  <c r="W259" i="30"/>
  <c r="DM246" i="30"/>
  <c r="DA246" i="30"/>
  <c r="CO246" i="30"/>
  <c r="CC246" i="30"/>
  <c r="BQ246" i="30"/>
  <c r="BE246" i="30"/>
  <c r="AS246" i="30"/>
  <c r="U246" i="30"/>
  <c r="I246" i="30"/>
  <c r="BS280" i="30"/>
  <c r="CE272" i="30"/>
  <c r="K272" i="30"/>
  <c r="DB259" i="30"/>
  <c r="BZ259" i="30"/>
  <c r="AU259" i="30"/>
  <c r="S259" i="30"/>
  <c r="DK246" i="30"/>
  <c r="CY246" i="30"/>
  <c r="CM246" i="30"/>
  <c r="CA246" i="30"/>
  <c r="BO246" i="30"/>
  <c r="BC246" i="30"/>
  <c r="AQ246" i="30"/>
  <c r="AE246" i="30"/>
  <c r="S246" i="30"/>
  <c r="G246" i="30"/>
  <c r="CY259" i="30"/>
  <c r="BN246" i="30"/>
  <c r="Z332" i="30"/>
  <c r="CE280" i="30"/>
  <c r="CA259" i="30"/>
  <c r="BD246" i="30"/>
  <c r="BR280" i="30"/>
  <c r="BV259" i="30"/>
  <c r="E280" i="30"/>
  <c r="D269" i="32" s="1"/>
  <c r="AX259" i="30"/>
  <c r="DL246" i="30"/>
  <c r="AR246" i="30"/>
  <c r="AT259" i="30"/>
  <c r="DJ246" i="30"/>
  <c r="AP246" i="30"/>
  <c r="CP272" i="30"/>
  <c r="V259" i="30"/>
  <c r="CZ246" i="30"/>
  <c r="CD272" i="30"/>
  <c r="R259" i="30"/>
  <c r="CX246" i="30"/>
  <c r="AD246" i="30"/>
  <c r="V272" i="30"/>
  <c r="CN246" i="30"/>
  <c r="T246" i="30"/>
  <c r="J272" i="30"/>
  <c r="CL246" i="30"/>
  <c r="R246" i="30"/>
  <c r="BZ246" i="30"/>
  <c r="F246" i="30"/>
  <c r="CB246" i="30"/>
  <c r="BP246" i="30"/>
  <c r="H246" i="30"/>
  <c r="DC259" i="30"/>
  <c r="CG360" i="30"/>
  <c r="DK360" i="30"/>
  <c r="DL360" i="30"/>
  <c r="J360" i="30"/>
  <c r="BI360" i="30"/>
  <c r="AU360" i="30"/>
  <c r="DN350" i="30"/>
  <c r="DA350" i="30"/>
  <c r="CP350" i="30"/>
  <c r="DJ350" i="30"/>
  <c r="AK360" i="30"/>
  <c r="BJ350" i="30"/>
  <c r="X360" i="30"/>
  <c r="CZ360" i="30"/>
  <c r="DD360" i="30"/>
  <c r="BI350" i="30"/>
  <c r="DA360" i="30"/>
  <c r="DF360" i="30"/>
  <c r="N360" i="30"/>
  <c r="DH360" i="30"/>
  <c r="CZ350" i="30"/>
  <c r="CO350" i="30"/>
  <c r="DC360" i="30"/>
  <c r="Y360" i="30"/>
  <c r="CX360" i="30"/>
  <c r="CL360" i="30"/>
  <c r="W360" i="30"/>
  <c r="AP360" i="30"/>
  <c r="CM360" i="30"/>
  <c r="DK350" i="30"/>
  <c r="DM360" i="30"/>
  <c r="L360" i="30"/>
  <c r="DM350" i="30"/>
  <c r="CA350" i="30"/>
  <c r="DO360" i="30"/>
  <c r="CN350" i="30"/>
  <c r="CH360" i="30"/>
  <c r="CQ360" i="30"/>
  <c r="T360" i="30"/>
  <c r="E360" i="30"/>
  <c r="DT360" i="30"/>
  <c r="DI360" i="30"/>
  <c r="BN350" i="30"/>
  <c r="DR360" i="30"/>
  <c r="I360" i="30"/>
  <c r="AW360" i="30"/>
  <c r="CO360" i="30"/>
  <c r="CF360" i="30"/>
  <c r="BO350" i="30"/>
  <c r="DS350" i="30"/>
  <c r="BM350" i="30"/>
  <c r="BH360" i="30"/>
  <c r="AM360" i="30"/>
  <c r="BG350" i="30"/>
  <c r="DU350" i="30"/>
  <c r="V360" i="30"/>
  <c r="CA360" i="30"/>
  <c r="CN360" i="30"/>
  <c r="BW360" i="30"/>
  <c r="DP350" i="30"/>
  <c r="DR350" i="30"/>
  <c r="CB360" i="30"/>
  <c r="DN360" i="30"/>
  <c r="BQ360" i="30"/>
  <c r="AB360" i="30"/>
  <c r="BT350" i="30"/>
  <c r="CV350" i="30"/>
  <c r="R360" i="30"/>
  <c r="DJ360" i="30"/>
  <c r="CY360" i="30"/>
  <c r="V40" i="17"/>
  <c r="F24" i="70"/>
  <c r="N24" i="70"/>
  <c r="G24" i="70"/>
  <c r="I24" i="70"/>
  <c r="M24" i="70"/>
  <c r="L24" i="70"/>
  <c r="O24" i="70"/>
  <c r="J24" i="70"/>
  <c r="H24" i="70"/>
  <c r="R35" i="64"/>
  <c r="R35" i="42"/>
  <c r="K83" i="72"/>
  <c r="L83" i="72" s="1"/>
  <c r="I164" i="71"/>
  <c r="CP176" i="71"/>
  <c r="CP179" i="71" s="1"/>
  <c r="CP29" i="71"/>
  <c r="AX176" i="71"/>
  <c r="AX179" i="71" s="1"/>
  <c r="AX29" i="71"/>
  <c r="AX126" i="71" s="1"/>
  <c r="DR176" i="71"/>
  <c r="DR179" i="71" s="1"/>
  <c r="DR29" i="71"/>
  <c r="DR126" i="71" s="1"/>
  <c r="CY176" i="71"/>
  <c r="CY179" i="71" s="1"/>
  <c r="CY29" i="71"/>
  <c r="CY126" i="71" s="1"/>
  <c r="CI176" i="71"/>
  <c r="CI179" i="71" s="1"/>
  <c r="CI29" i="71"/>
  <c r="AG169" i="69"/>
  <c r="AG173" i="69" s="1"/>
  <c r="CU176" i="71"/>
  <c r="CU179" i="71" s="1"/>
  <c r="CU29" i="71"/>
  <c r="AK169" i="69"/>
  <c r="AK173" i="69" s="1"/>
  <c r="N176" i="71"/>
  <c r="N179" i="71" s="1"/>
  <c r="N29" i="71"/>
  <c r="N126" i="71" s="1"/>
  <c r="AF176" i="71"/>
  <c r="AF179" i="71" s="1"/>
  <c r="AF29" i="71"/>
  <c r="AF126" i="71" s="1"/>
  <c r="BD176" i="71"/>
  <c r="BD179" i="71" s="1"/>
  <c r="BD29" i="71"/>
  <c r="BD126" i="71" s="1"/>
  <c r="CW176" i="71"/>
  <c r="CW179" i="71" s="1"/>
  <c r="CW29" i="71"/>
  <c r="CW126" i="71" s="1"/>
  <c r="DU176" i="71"/>
  <c r="DU179" i="71" s="1"/>
  <c r="DU29" i="71"/>
  <c r="DU126" i="71" s="1"/>
  <c r="BT176" i="71"/>
  <c r="BT179" i="71" s="1"/>
  <c r="BT29" i="71"/>
  <c r="AB169" i="69"/>
  <c r="AB173" i="69" s="1"/>
  <c r="BG176" i="71"/>
  <c r="BG179" i="71" s="1"/>
  <c r="BG29" i="71"/>
  <c r="BG126" i="71" s="1"/>
  <c r="DQ176" i="71"/>
  <c r="DQ179" i="71" s="1"/>
  <c r="DQ29" i="71"/>
  <c r="DQ126" i="71" s="1"/>
  <c r="I176" i="71"/>
  <c r="I179" i="71" s="1"/>
  <c r="I29" i="71"/>
  <c r="G169" i="69"/>
  <c r="G173" i="69" s="1"/>
  <c r="BU176" i="71"/>
  <c r="BU179" i="71" s="1"/>
  <c r="BU29" i="71"/>
  <c r="BU126" i="71" s="1"/>
  <c r="AU176" i="71"/>
  <c r="AU179" i="71" s="1"/>
  <c r="AU29" i="71"/>
  <c r="AU126" i="71" s="1"/>
  <c r="P125" i="68"/>
  <c r="AW127" i="69"/>
  <c r="CH176" i="71"/>
  <c r="CH179" i="71" s="1"/>
  <c r="CH29" i="71"/>
  <c r="CH126" i="71" s="1"/>
  <c r="AA176" i="71"/>
  <c r="AA179" i="71" s="1"/>
  <c r="AA29" i="71"/>
  <c r="BB176" i="71"/>
  <c r="BB179" i="71" s="1"/>
  <c r="BB29" i="71"/>
  <c r="V169" i="69"/>
  <c r="V173" i="69" s="1"/>
  <c r="J167" i="68"/>
  <c r="J171" i="68" s="1"/>
  <c r="BK176" i="71"/>
  <c r="BK179" i="71" s="1"/>
  <c r="BK29" i="71"/>
  <c r="Y169" i="69"/>
  <c r="Y173" i="69" s="1"/>
  <c r="O176" i="71"/>
  <c r="O179" i="71" s="1"/>
  <c r="O29" i="71"/>
  <c r="O126" i="71" s="1"/>
  <c r="I169" i="69"/>
  <c r="I173" i="69" s="1"/>
  <c r="E176" i="71"/>
  <c r="E179" i="71" s="1"/>
  <c r="E29" i="71"/>
  <c r="E169" i="69"/>
  <c r="E173" i="69" s="1"/>
  <c r="E167" i="68"/>
  <c r="DF176" i="71"/>
  <c r="DF179" i="71" s="1"/>
  <c r="DF29" i="71"/>
  <c r="DF126" i="71" s="1"/>
  <c r="AG176" i="71"/>
  <c r="AG179" i="71" s="1"/>
  <c r="AG29" i="71"/>
  <c r="BJ176" i="71"/>
  <c r="BJ179" i="71" s="1"/>
  <c r="BJ29" i="71"/>
  <c r="BJ126" i="71" s="1"/>
  <c r="BN176" i="71"/>
  <c r="BN179" i="71" s="1"/>
  <c r="BN29" i="71"/>
  <c r="Z169" i="69"/>
  <c r="Z173" i="69" s="1"/>
  <c r="K167" i="68"/>
  <c r="K171" i="68" s="1"/>
  <c r="DK176" i="71"/>
  <c r="DK179" i="71" s="1"/>
  <c r="DK29" i="71"/>
  <c r="DK126" i="71" s="1"/>
  <c r="DW176" i="71"/>
  <c r="DW179" i="71" s="1"/>
  <c r="DW29" i="71"/>
  <c r="DW126" i="71" s="1"/>
  <c r="DL176" i="71"/>
  <c r="DL179" i="71" s="1"/>
  <c r="DL29" i="71"/>
  <c r="DL126" i="71" s="1"/>
  <c r="EC176" i="71"/>
  <c r="EC179" i="71" s="1"/>
  <c r="EC29" i="71"/>
  <c r="EC126" i="71" s="1"/>
  <c r="ED176" i="71"/>
  <c r="ED179" i="71" s="1"/>
  <c r="ED29" i="71"/>
  <c r="ED126" i="71" s="1"/>
  <c r="V176" i="71"/>
  <c r="V179" i="71" s="1"/>
  <c r="V29" i="71"/>
  <c r="C118" i="71"/>
  <c r="AW115" i="69"/>
  <c r="C115" i="69" s="1"/>
  <c r="P113" i="68"/>
  <c r="K164" i="71"/>
  <c r="K372" i="71" s="1"/>
  <c r="D210" i="71"/>
  <c r="C205" i="68"/>
  <c r="C207" i="69"/>
  <c r="E225" i="71"/>
  <c r="E224" i="71"/>
  <c r="F225" i="71"/>
  <c r="F224" i="71"/>
  <c r="G225" i="71"/>
  <c r="G224" i="71"/>
  <c r="H224" i="71"/>
  <c r="H225" i="71"/>
  <c r="I225" i="71"/>
  <c r="I224" i="71"/>
  <c r="J224" i="71"/>
  <c r="J225" i="71"/>
  <c r="K224" i="71"/>
  <c r="K225" i="71"/>
  <c r="L225" i="71"/>
  <c r="L224" i="71"/>
  <c r="M225" i="71"/>
  <c r="M224" i="71"/>
  <c r="N224" i="71"/>
  <c r="N225" i="71"/>
  <c r="O225" i="71"/>
  <c r="O224" i="71"/>
  <c r="P225" i="71"/>
  <c r="P224" i="71"/>
  <c r="Q224" i="71"/>
  <c r="Q225" i="71"/>
  <c r="R225" i="71"/>
  <c r="R224" i="71"/>
  <c r="S225" i="71"/>
  <c r="S224" i="71"/>
  <c r="T225" i="71"/>
  <c r="T224" i="71"/>
  <c r="U225" i="71"/>
  <c r="U224" i="71"/>
  <c r="V225" i="71"/>
  <c r="V224" i="71"/>
  <c r="W225" i="71"/>
  <c r="W224" i="71"/>
  <c r="X224" i="71"/>
  <c r="X225" i="71"/>
  <c r="Y225" i="71"/>
  <c r="Y224" i="71"/>
  <c r="Z225" i="71"/>
  <c r="Z224" i="71"/>
  <c r="AA225" i="71"/>
  <c r="AA224" i="71"/>
  <c r="AB225" i="71"/>
  <c r="AB224" i="71"/>
  <c r="AC225" i="71"/>
  <c r="AC224" i="71"/>
  <c r="AD224" i="71"/>
  <c r="AD225" i="71"/>
  <c r="AE224" i="71"/>
  <c r="AE225" i="71"/>
  <c r="AF224" i="71"/>
  <c r="AF225" i="71"/>
  <c r="AG225" i="71"/>
  <c r="AG224" i="71"/>
  <c r="AH225" i="71"/>
  <c r="AH224" i="71"/>
  <c r="AI225" i="71"/>
  <c r="AI224" i="71"/>
  <c r="AJ224" i="71"/>
  <c r="AJ225" i="71"/>
  <c r="AK224" i="71"/>
  <c r="AK225" i="71"/>
  <c r="AL224" i="71"/>
  <c r="AL225" i="71"/>
  <c r="AM225" i="71"/>
  <c r="AM224" i="71"/>
  <c r="AN225" i="71"/>
  <c r="AN224" i="71"/>
  <c r="AO224" i="71"/>
  <c r="AO225" i="71"/>
  <c r="AP224" i="71"/>
  <c r="AP225" i="71"/>
  <c r="AQ225" i="71"/>
  <c r="AQ224" i="71"/>
  <c r="AR224" i="71"/>
  <c r="AR225" i="71"/>
  <c r="AS224" i="71"/>
  <c r="AS225" i="71"/>
  <c r="AT225" i="71"/>
  <c r="AT224" i="71"/>
  <c r="AU225" i="71"/>
  <c r="AU224" i="71"/>
  <c r="AV224" i="71"/>
  <c r="AV225" i="71"/>
  <c r="AW225" i="71"/>
  <c r="AW224" i="71"/>
  <c r="AX224" i="71"/>
  <c r="AX225" i="71"/>
  <c r="AY225" i="71"/>
  <c r="AY224" i="71"/>
  <c r="AZ225" i="71"/>
  <c r="AZ224" i="71"/>
  <c r="BA225" i="71"/>
  <c r="BA224" i="71"/>
  <c r="BB225" i="71"/>
  <c r="BB224" i="71"/>
  <c r="BC225" i="71"/>
  <c r="BC224" i="71"/>
  <c r="BD224" i="71"/>
  <c r="BD225" i="71"/>
  <c r="BE225" i="71"/>
  <c r="BE224" i="71"/>
  <c r="BF225" i="71"/>
  <c r="BF224" i="71"/>
  <c r="BG225" i="71"/>
  <c r="BG224" i="71"/>
  <c r="BH224" i="71"/>
  <c r="BH225" i="71"/>
  <c r="BI225" i="71"/>
  <c r="BI224" i="71"/>
  <c r="BJ225" i="71"/>
  <c r="BJ224" i="71"/>
  <c r="BK224" i="71"/>
  <c r="BK225" i="71"/>
  <c r="BL224" i="71"/>
  <c r="BL225" i="71"/>
  <c r="BM224" i="71"/>
  <c r="BM225" i="71"/>
  <c r="BN225" i="71"/>
  <c r="BN224" i="71"/>
  <c r="BO225" i="71"/>
  <c r="BO224" i="71"/>
  <c r="BP225" i="71"/>
  <c r="BP224" i="71"/>
  <c r="BQ225" i="71"/>
  <c r="BQ224" i="71"/>
  <c r="BR225" i="71"/>
  <c r="BR224" i="71"/>
  <c r="BS225" i="71"/>
  <c r="BS224" i="71"/>
  <c r="BT224" i="71"/>
  <c r="BT225" i="71"/>
  <c r="BU225" i="71"/>
  <c r="BU224" i="71"/>
  <c r="BV225" i="71"/>
  <c r="BV224" i="71"/>
  <c r="BW225" i="71"/>
  <c r="BW224" i="71"/>
  <c r="BX225" i="71"/>
  <c r="BX224" i="71"/>
  <c r="BY224" i="71"/>
  <c r="BY225" i="71"/>
  <c r="BZ225" i="71"/>
  <c r="BZ224" i="71"/>
  <c r="CA225" i="71"/>
  <c r="CA224" i="71"/>
  <c r="CB224" i="71"/>
  <c r="CB225" i="71"/>
  <c r="CC225" i="71"/>
  <c r="CC224" i="71"/>
  <c r="CD225" i="71"/>
  <c r="CD224" i="71"/>
  <c r="CE225" i="71"/>
  <c r="CE224" i="71"/>
  <c r="CF225" i="71"/>
  <c r="CF224" i="71"/>
  <c r="CG224" i="71"/>
  <c r="CG225" i="71"/>
  <c r="CH224" i="71"/>
  <c r="CH225" i="71"/>
  <c r="CI225" i="71"/>
  <c r="CI224" i="71"/>
  <c r="CJ224" i="71"/>
  <c r="CJ225" i="71"/>
  <c r="CK225" i="71"/>
  <c r="CK224" i="71"/>
  <c r="CL225" i="71"/>
  <c r="CL224" i="71"/>
  <c r="CM225" i="71"/>
  <c r="CM224" i="71"/>
  <c r="CN224" i="71"/>
  <c r="CN225" i="71"/>
  <c r="CO225" i="71"/>
  <c r="CO224" i="71"/>
  <c r="CP225" i="71"/>
  <c r="CP224" i="71"/>
  <c r="CQ224" i="71"/>
  <c r="CQ225" i="71"/>
  <c r="CR224" i="71"/>
  <c r="CR225" i="71"/>
  <c r="CS225" i="71"/>
  <c r="CS224" i="71"/>
  <c r="CT225" i="71"/>
  <c r="CT224" i="71"/>
  <c r="CU225" i="71"/>
  <c r="CU224" i="71"/>
  <c r="CV225" i="71"/>
  <c r="CV224" i="71"/>
  <c r="CW225" i="71"/>
  <c r="CW224" i="71"/>
  <c r="CX225" i="71"/>
  <c r="CX224" i="71"/>
  <c r="CY225" i="71"/>
  <c r="CY224" i="71"/>
  <c r="CZ224" i="71"/>
  <c r="CZ225" i="71"/>
  <c r="DA225" i="71"/>
  <c r="DA224" i="71"/>
  <c r="DB225" i="71"/>
  <c r="DB224" i="71"/>
  <c r="DC224" i="71"/>
  <c r="DC225" i="71"/>
  <c r="DD225" i="71"/>
  <c r="DD224" i="71"/>
  <c r="DE224" i="71"/>
  <c r="DE225" i="71"/>
  <c r="DF225" i="71"/>
  <c r="DF224" i="71"/>
  <c r="DG224" i="71"/>
  <c r="DG225" i="71"/>
  <c r="DH225" i="71"/>
  <c r="DH224" i="71"/>
  <c r="DI225" i="71"/>
  <c r="DI224" i="71"/>
  <c r="DJ225" i="71"/>
  <c r="DJ224" i="71"/>
  <c r="DK224" i="71"/>
  <c r="DK225" i="71"/>
  <c r="DL225" i="71"/>
  <c r="DL224" i="71"/>
  <c r="DM224" i="71"/>
  <c r="DM225" i="71"/>
  <c r="DN225" i="71"/>
  <c r="DN224" i="71"/>
  <c r="DO224" i="71"/>
  <c r="DO225" i="71"/>
  <c r="DP224" i="71"/>
  <c r="DP225" i="71"/>
  <c r="DQ225" i="71"/>
  <c r="DQ224" i="71"/>
  <c r="DR224" i="71"/>
  <c r="DR225" i="71"/>
  <c r="DS225" i="71"/>
  <c r="DS224" i="71"/>
  <c r="DT225" i="71"/>
  <c r="DT224" i="71"/>
  <c r="DU225" i="71"/>
  <c r="DU224" i="71"/>
  <c r="BX176" i="71"/>
  <c r="BX179" i="71" s="1"/>
  <c r="BX29" i="71"/>
  <c r="BX126" i="71" s="1"/>
  <c r="CC176" i="71"/>
  <c r="CC179" i="71" s="1"/>
  <c r="CC29" i="71"/>
  <c r="AE169" i="69"/>
  <c r="AE173" i="69" s="1"/>
  <c r="CD176" i="71"/>
  <c r="CD179" i="71" s="1"/>
  <c r="CD29" i="71"/>
  <c r="AD176" i="71"/>
  <c r="AD179" i="71" s="1"/>
  <c r="AD29" i="71"/>
  <c r="N169" i="69"/>
  <c r="N173" i="69" s="1"/>
  <c r="DP176" i="71"/>
  <c r="DP179" i="71" s="1"/>
  <c r="DP29" i="71"/>
  <c r="AR169" i="69"/>
  <c r="AR173" i="69" s="1"/>
  <c r="AB176" i="71"/>
  <c r="AB179" i="71" s="1"/>
  <c r="AB29" i="71"/>
  <c r="AB126" i="71" s="1"/>
  <c r="CJ176" i="71"/>
  <c r="CJ179" i="71" s="1"/>
  <c r="CJ29" i="71"/>
  <c r="CJ126" i="71" s="1"/>
  <c r="AR176" i="71"/>
  <c r="AR179" i="71" s="1"/>
  <c r="AR29" i="71"/>
  <c r="AR126" i="71" s="1"/>
  <c r="F176" i="71"/>
  <c r="F179" i="71" s="1"/>
  <c r="F29" i="71"/>
  <c r="F169" i="69"/>
  <c r="F173" i="69" s="1"/>
  <c r="F167" i="68"/>
  <c r="F171" i="68" s="1"/>
  <c r="R176" i="71"/>
  <c r="R179" i="71" s="1"/>
  <c r="R29" i="71"/>
  <c r="J169" i="69"/>
  <c r="J173" i="69" s="1"/>
  <c r="U176" i="71"/>
  <c r="U179" i="71" s="1"/>
  <c r="U29" i="71"/>
  <c r="K169" i="69"/>
  <c r="K173" i="69" s="1"/>
  <c r="Y176" i="71"/>
  <c r="Y179" i="71" s="1"/>
  <c r="Y29" i="71"/>
  <c r="Y126" i="71" s="1"/>
  <c r="Z176" i="71"/>
  <c r="Z179" i="71" s="1"/>
  <c r="Z29" i="71"/>
  <c r="Z126" i="71" s="1"/>
  <c r="AW116" i="69"/>
  <c r="P114" i="68"/>
  <c r="BV176" i="71"/>
  <c r="BV179" i="71" s="1"/>
  <c r="BV29" i="71"/>
  <c r="BV126" i="71" s="1"/>
  <c r="BR176" i="71"/>
  <c r="BR179" i="71" s="1"/>
  <c r="BR29" i="71"/>
  <c r="CX176" i="71"/>
  <c r="CX179" i="71" s="1"/>
  <c r="CX29" i="71"/>
  <c r="AL169" i="69"/>
  <c r="AL173" i="69" s="1"/>
  <c r="N167" i="68"/>
  <c r="N171" i="68" s="1"/>
  <c r="CT176" i="71"/>
  <c r="CT179" i="71" s="1"/>
  <c r="CT29" i="71"/>
  <c r="CT126" i="71" s="1"/>
  <c r="DZ176" i="71"/>
  <c r="DZ179" i="71" s="1"/>
  <c r="DZ29" i="71"/>
  <c r="DZ126" i="71" s="1"/>
  <c r="Q176" i="71"/>
  <c r="Q179" i="71" s="1"/>
  <c r="Q29" i="71"/>
  <c r="Q126" i="71" s="1"/>
  <c r="AV176" i="71"/>
  <c r="AV179" i="71" s="1"/>
  <c r="AV29" i="71"/>
  <c r="T169" i="69"/>
  <c r="T173" i="69" s="1"/>
  <c r="BL176" i="71"/>
  <c r="BL179" i="71" s="1"/>
  <c r="BL29" i="71"/>
  <c r="BL126" i="71" s="1"/>
  <c r="BA176" i="71"/>
  <c r="BA179" i="71" s="1"/>
  <c r="BA29" i="71"/>
  <c r="BA126" i="71" s="1"/>
  <c r="CL176" i="71"/>
  <c r="CL179" i="71" s="1"/>
  <c r="CL29" i="71"/>
  <c r="AH169" i="69"/>
  <c r="AH173" i="69" s="1"/>
  <c r="M167" i="68"/>
  <c r="M171" i="68" s="1"/>
  <c r="CQ176" i="71"/>
  <c r="CQ179" i="71" s="1"/>
  <c r="CQ29" i="71"/>
  <c r="CQ126" i="71" s="1"/>
  <c r="DV176" i="71"/>
  <c r="DV179" i="71" s="1"/>
  <c r="DV29" i="71"/>
  <c r="AT169" i="69"/>
  <c r="AT173" i="69" s="1"/>
  <c r="P167" i="68"/>
  <c r="P171" i="68" s="1"/>
  <c r="BE176" i="71"/>
  <c r="BE179" i="71" s="1"/>
  <c r="BE29" i="71"/>
  <c r="W169" i="69"/>
  <c r="W173" i="69" s="1"/>
  <c r="AW111" i="69"/>
  <c r="P109" i="68"/>
  <c r="AW114" i="69"/>
  <c r="C114" i="69" s="1"/>
  <c r="C117" i="71"/>
  <c r="P112" i="68"/>
  <c r="BZ176" i="71"/>
  <c r="BZ179" i="71" s="1"/>
  <c r="BZ29" i="71"/>
  <c r="AD169" i="69"/>
  <c r="AD173" i="69" s="1"/>
  <c r="L167" i="68"/>
  <c r="L171" i="68" s="1"/>
  <c r="CR176" i="71"/>
  <c r="CR179" i="71" s="1"/>
  <c r="CR29" i="71"/>
  <c r="AJ169" i="69"/>
  <c r="AJ173" i="69" s="1"/>
  <c r="DB176" i="71"/>
  <c r="DB179" i="71" s="1"/>
  <c r="DB29" i="71"/>
  <c r="DB126" i="71" s="1"/>
  <c r="DD176" i="71"/>
  <c r="DD179" i="71" s="1"/>
  <c r="DD29" i="71"/>
  <c r="AN169" i="69"/>
  <c r="AN173" i="69" s="1"/>
  <c r="BS176" i="71"/>
  <c r="BS179" i="71" s="1"/>
  <c r="BS29" i="71"/>
  <c r="BS126" i="71" s="1"/>
  <c r="BQ176" i="71"/>
  <c r="BQ179" i="71" s="1"/>
  <c r="BQ29" i="71"/>
  <c r="AA169" i="69"/>
  <c r="AA173" i="69" s="1"/>
  <c r="W176" i="71"/>
  <c r="W179" i="71" s="1"/>
  <c r="W29" i="71"/>
  <c r="W126" i="71" s="1"/>
  <c r="EB176" i="71"/>
  <c r="EB179" i="71" s="1"/>
  <c r="EB29" i="71"/>
  <c r="AV169" i="69"/>
  <c r="AV173" i="69" s="1"/>
  <c r="EF176" i="71"/>
  <c r="EF179" i="71" s="1"/>
  <c r="EF29" i="71"/>
  <c r="EF126" i="71" s="1"/>
  <c r="X176" i="71"/>
  <c r="X179" i="71" s="1"/>
  <c r="X29" i="71"/>
  <c r="L169" i="69"/>
  <c r="L173" i="69" s="1"/>
  <c r="H176" i="71"/>
  <c r="H179" i="71" s="1"/>
  <c r="H29" i="71"/>
  <c r="H126" i="71" s="1"/>
  <c r="AO176" i="71"/>
  <c r="AO179" i="71" s="1"/>
  <c r="AO29" i="71"/>
  <c r="AO126" i="71" s="1"/>
  <c r="BM176" i="71"/>
  <c r="BM179" i="71" s="1"/>
  <c r="BM29" i="71"/>
  <c r="BM126" i="71" s="1"/>
  <c r="AZ176" i="71"/>
  <c r="AZ179" i="71" s="1"/>
  <c r="AZ29" i="71"/>
  <c r="AZ126" i="71" s="1"/>
  <c r="G164" i="71"/>
  <c r="G372" i="71" s="1"/>
  <c r="J164" i="71"/>
  <c r="J372" i="71" s="1"/>
  <c r="L164" i="71"/>
  <c r="CS176" i="71"/>
  <c r="CS179" i="71" s="1"/>
  <c r="CS29" i="71"/>
  <c r="CS126" i="71" s="1"/>
  <c r="BW176" i="71"/>
  <c r="BW179" i="71" s="1"/>
  <c r="BW29" i="71"/>
  <c r="AC169" i="69"/>
  <c r="AC173" i="69" s="1"/>
  <c r="DM176" i="71"/>
  <c r="DM179" i="71" s="1"/>
  <c r="DM29" i="71"/>
  <c r="AQ169" i="69"/>
  <c r="AQ173" i="69" s="1"/>
  <c r="CF176" i="71"/>
  <c r="CF179" i="71" s="1"/>
  <c r="CF29" i="71"/>
  <c r="AF169" i="69"/>
  <c r="AF173" i="69" s="1"/>
  <c r="J176" i="71"/>
  <c r="J179" i="71" s="1"/>
  <c r="J29" i="71"/>
  <c r="EA176" i="71"/>
  <c r="EA179" i="71" s="1"/>
  <c r="EA29" i="71"/>
  <c r="EA126" i="71" s="1"/>
  <c r="DJ176" i="71"/>
  <c r="DJ179" i="71" s="1"/>
  <c r="DJ29" i="71"/>
  <c r="AP169" i="69"/>
  <c r="AP173" i="69" s="1"/>
  <c r="O167" i="68"/>
  <c r="O171" i="68" s="1"/>
  <c r="CE176" i="71"/>
  <c r="CE179" i="71" s="1"/>
  <c r="CE29" i="71"/>
  <c r="CE126" i="71" s="1"/>
  <c r="CO176" i="71"/>
  <c r="CO179" i="71" s="1"/>
  <c r="CO29" i="71"/>
  <c r="AI169" i="69"/>
  <c r="AI173" i="69" s="1"/>
  <c r="BH176" i="71"/>
  <c r="BH179" i="71" s="1"/>
  <c r="BH29" i="71"/>
  <c r="X169" i="69"/>
  <c r="X173" i="69" s="1"/>
  <c r="M176" i="71"/>
  <c r="M179" i="71" s="1"/>
  <c r="M29" i="71"/>
  <c r="M126" i="71" s="1"/>
  <c r="CK176" i="71"/>
  <c r="CK179" i="71" s="1"/>
  <c r="CK29" i="71"/>
  <c r="CK126" i="71" s="1"/>
  <c r="DN176" i="71"/>
  <c r="DN179" i="71" s="1"/>
  <c r="DN29" i="71"/>
  <c r="DN126" i="71" s="1"/>
  <c r="AE176" i="71"/>
  <c r="AE179" i="71" s="1"/>
  <c r="AE29" i="71"/>
  <c r="AE126" i="71" s="1"/>
  <c r="S176" i="71"/>
  <c r="S179" i="71" s="1"/>
  <c r="S29" i="71"/>
  <c r="S126" i="71" s="1"/>
  <c r="BI176" i="71"/>
  <c r="BI179" i="71" s="1"/>
  <c r="BI29" i="71"/>
  <c r="BI126" i="71" s="1"/>
  <c r="EG78" i="71"/>
  <c r="I46" i="69"/>
  <c r="AW46" i="69"/>
  <c r="AW251" i="69" s="1"/>
  <c r="AW252" i="69" s="1"/>
  <c r="AW262" i="69" s="1"/>
  <c r="AW278" i="69" s="1"/>
  <c r="AW280" i="69" s="1"/>
  <c r="P44" i="68"/>
  <c r="P249" i="68" s="1"/>
  <c r="P250" i="68" s="1"/>
  <c r="P260" i="68" s="1"/>
  <c r="P276" i="68" s="1"/>
  <c r="P278" i="68" s="1"/>
  <c r="N164" i="71"/>
  <c r="N372" i="71" s="1"/>
  <c r="M164" i="71"/>
  <c r="M372" i="71" s="1"/>
  <c r="AY176" i="71"/>
  <c r="AY179" i="71" s="1"/>
  <c r="AY29" i="71"/>
  <c r="U169" i="69"/>
  <c r="U173" i="69" s="1"/>
  <c r="DX176" i="71"/>
  <c r="DX179" i="71" s="1"/>
  <c r="DX29" i="71"/>
  <c r="DX126" i="71" s="1"/>
  <c r="P176" i="71"/>
  <c r="P179" i="71" s="1"/>
  <c r="P29" i="71"/>
  <c r="P126" i="71" s="1"/>
  <c r="DG176" i="71"/>
  <c r="DG179" i="71" s="1"/>
  <c r="DG29" i="71"/>
  <c r="AO169" i="69"/>
  <c r="AO173" i="69" s="1"/>
  <c r="CN176" i="71"/>
  <c r="CN179" i="71" s="1"/>
  <c r="CN29" i="71"/>
  <c r="CN126" i="71" s="1"/>
  <c r="DI176" i="71"/>
  <c r="DI179" i="71" s="1"/>
  <c r="DI29" i="71"/>
  <c r="DI126" i="71" s="1"/>
  <c r="L176" i="71"/>
  <c r="L179" i="71" s="1"/>
  <c r="L29" i="71"/>
  <c r="H169" i="69"/>
  <c r="H173" i="69" s="1"/>
  <c r="BF176" i="71"/>
  <c r="BF179" i="71" s="1"/>
  <c r="BF29" i="71"/>
  <c r="DA176" i="71"/>
  <c r="DA179" i="71" s="1"/>
  <c r="DA29" i="71"/>
  <c r="AM169" i="69"/>
  <c r="AM173" i="69" s="1"/>
  <c r="DC176" i="71"/>
  <c r="DC179" i="71" s="1"/>
  <c r="DC29" i="71"/>
  <c r="DC126" i="71" s="1"/>
  <c r="CG176" i="71"/>
  <c r="CG179" i="71" s="1"/>
  <c r="CG29" i="71"/>
  <c r="CG126" i="71" s="1"/>
  <c r="CV176" i="71"/>
  <c r="CV179" i="71" s="1"/>
  <c r="CV29" i="71"/>
  <c r="CV126" i="71" s="1"/>
  <c r="CM176" i="71"/>
  <c r="CM179" i="71" s="1"/>
  <c r="CM29" i="71"/>
  <c r="CM126" i="71" s="1"/>
  <c r="CA176" i="71"/>
  <c r="CA179" i="71" s="1"/>
  <c r="CA29" i="71"/>
  <c r="CA126" i="71" s="1"/>
  <c r="CB176" i="71"/>
  <c r="CB179" i="71" s="1"/>
  <c r="CB29" i="71"/>
  <c r="CB126" i="71" s="1"/>
  <c r="BC176" i="71"/>
  <c r="BC179" i="71" s="1"/>
  <c r="BC29" i="71"/>
  <c r="BC126" i="71" s="1"/>
  <c r="I53" i="69"/>
  <c r="AW53" i="69"/>
  <c r="P51" i="68"/>
  <c r="F164" i="71"/>
  <c r="O164" i="71"/>
  <c r="O372" i="71" s="1"/>
  <c r="H164" i="71"/>
  <c r="H372" i="71" s="1"/>
  <c r="BP176" i="71"/>
  <c r="BP179" i="71" s="1"/>
  <c r="BP29" i="71"/>
  <c r="BP126" i="71" s="1"/>
  <c r="BO176" i="71"/>
  <c r="BO179" i="71" s="1"/>
  <c r="BO29" i="71"/>
  <c r="BO126" i="71" s="1"/>
  <c r="DH176" i="71"/>
  <c r="DH179" i="71" s="1"/>
  <c r="DH29" i="71"/>
  <c r="DH126" i="71" s="1"/>
  <c r="BY176" i="71"/>
  <c r="BY179" i="71" s="1"/>
  <c r="BY29" i="71"/>
  <c r="BY126" i="71" s="1"/>
  <c r="DT176" i="71"/>
  <c r="DT179" i="71" s="1"/>
  <c r="DT29" i="71"/>
  <c r="DT126" i="71" s="1"/>
  <c r="DS176" i="71"/>
  <c r="DS179" i="71" s="1"/>
  <c r="DS29" i="71"/>
  <c r="AS169" i="69"/>
  <c r="AS173" i="69" s="1"/>
  <c r="G176" i="71"/>
  <c r="G179" i="71" s="1"/>
  <c r="G29" i="71"/>
  <c r="G126" i="71" s="1"/>
  <c r="EG176" i="71"/>
  <c r="EG179" i="71" s="1"/>
  <c r="EG29" i="71"/>
  <c r="DO176" i="71"/>
  <c r="DO179" i="71" s="1"/>
  <c r="DO29" i="71"/>
  <c r="DO126" i="71" s="1"/>
  <c r="DY176" i="71"/>
  <c r="DY179" i="71" s="1"/>
  <c r="DY29" i="71"/>
  <c r="AU169" i="69"/>
  <c r="AU173" i="69" s="1"/>
  <c r="CZ176" i="71"/>
  <c r="CZ179" i="71" s="1"/>
  <c r="CZ29" i="71"/>
  <c r="CZ126" i="71" s="1"/>
  <c r="AW176" i="71"/>
  <c r="AW179" i="71" s="1"/>
  <c r="AW29" i="71"/>
  <c r="AW126" i="71" s="1"/>
  <c r="DE176" i="71"/>
  <c r="DE179" i="71" s="1"/>
  <c r="DE29" i="71"/>
  <c r="DE126" i="71" s="1"/>
  <c r="K176" i="71"/>
  <c r="K179" i="71" s="1"/>
  <c r="K29" i="71"/>
  <c r="K126" i="71" s="1"/>
  <c r="EE176" i="71"/>
  <c r="EE179" i="71" s="1"/>
  <c r="EE29" i="71"/>
  <c r="AW169" i="69"/>
  <c r="AW173" i="69" s="1"/>
  <c r="T176" i="71"/>
  <c r="T179" i="71" s="1"/>
  <c r="T29" i="71"/>
  <c r="T126" i="71" s="1"/>
  <c r="D296" i="32"/>
  <c r="I21" i="17"/>
  <c r="N217" i="32"/>
  <c r="N218" i="32"/>
  <c r="O4" i="45"/>
  <c r="N209" i="32"/>
  <c r="O12" i="17"/>
  <c r="BA154" i="30" s="1"/>
  <c r="G50" i="42"/>
  <c r="G40" i="42"/>
  <c r="F38" i="70" s="1"/>
  <c r="F39" i="70" s="1"/>
  <c r="G39" i="70" s="1"/>
  <c r="N210" i="32"/>
  <c r="S35" i="64"/>
  <c r="S35" i="42"/>
  <c r="K11" i="1" s="1"/>
  <c r="I294" i="32"/>
  <c r="L222" i="32"/>
  <c r="N225" i="32"/>
  <c r="J294" i="32"/>
  <c r="K294" i="32"/>
  <c r="I20" i="17"/>
  <c r="K222" i="32"/>
  <c r="J222" i="32"/>
  <c r="I222" i="32"/>
  <c r="N206" i="32"/>
  <c r="D233" i="32"/>
  <c r="J289" i="32"/>
  <c r="J219" i="32"/>
  <c r="N232" i="32"/>
  <c r="N280" i="32"/>
  <c r="N214" i="32"/>
  <c r="D211" i="32"/>
  <c r="N207" i="32"/>
  <c r="G50" i="64"/>
  <c r="N215" i="32"/>
  <c r="N288" i="32"/>
  <c r="N216" i="32"/>
  <c r="N208" i="32"/>
  <c r="J227" i="32"/>
  <c r="N227" i="32"/>
  <c r="N223" i="32"/>
  <c r="N282" i="32"/>
  <c r="N224" i="32"/>
  <c r="N203" i="32"/>
  <c r="N233" i="32"/>
  <c r="N295" i="32"/>
  <c r="N281" i="32"/>
  <c r="N287" i="32"/>
  <c r="J211" i="32"/>
  <c r="M294" i="32"/>
  <c r="N294" i="32"/>
  <c r="N231" i="32"/>
  <c r="E296" i="32"/>
  <c r="E227" i="32"/>
  <c r="N219" i="32"/>
  <c r="E211" i="32"/>
  <c r="N222" i="32"/>
  <c r="E219" i="32"/>
  <c r="N211" i="32"/>
  <c r="M222" i="32"/>
  <c r="N289" i="32"/>
  <c r="J296" i="32"/>
  <c r="L294" i="32"/>
  <c r="N296" i="32"/>
  <c r="E289" i="32"/>
  <c r="H159" i="6" l="1"/>
  <c r="H73" i="6" s="1"/>
  <c r="D142" i="32"/>
  <c r="D136" i="32"/>
  <c r="D132" i="32"/>
  <c r="H179" i="6"/>
  <c r="H79" i="6" s="1"/>
  <c r="H63" i="6"/>
  <c r="H64" i="6" s="1"/>
  <c r="H66" i="6" s="1"/>
  <c r="S63" i="6"/>
  <c r="AE63" i="6"/>
  <c r="AO192" i="6"/>
  <c r="AO194" i="6" s="1"/>
  <c r="AV63" i="6"/>
  <c r="AV64" i="6" s="1"/>
  <c r="AV66" i="6" s="1"/>
  <c r="AU162" i="71" s="1"/>
  <c r="BH63" i="6"/>
  <c r="BH64" i="6" s="1"/>
  <c r="BH66" i="6" s="1"/>
  <c r="BG162" i="71" s="1"/>
  <c r="BT63" i="6"/>
  <c r="BT64" i="6" s="1"/>
  <c r="BT66" i="6" s="1"/>
  <c r="BS162" i="71" s="1"/>
  <c r="CF63" i="6"/>
  <c r="CF64" i="6" s="1"/>
  <c r="CF66" i="6" s="1"/>
  <c r="CE162" i="71" s="1"/>
  <c r="CR63" i="6"/>
  <c r="CR64" i="6" s="1"/>
  <c r="CR66" i="6" s="1"/>
  <c r="CQ162" i="71" s="1"/>
  <c r="DD63" i="6"/>
  <c r="DD64" i="6" s="1"/>
  <c r="DD66" i="6" s="1"/>
  <c r="DC162" i="71" s="1"/>
  <c r="DO63" i="6"/>
  <c r="DO64" i="6" s="1"/>
  <c r="DO66" i="6" s="1"/>
  <c r="DN162" i="71" s="1"/>
  <c r="EB63" i="6"/>
  <c r="EB64" i="6" s="1"/>
  <c r="EB66" i="6" s="1"/>
  <c r="EA162" i="71" s="1"/>
  <c r="BD63" i="6"/>
  <c r="BD64" i="6" s="1"/>
  <c r="BD66" i="6" s="1"/>
  <c r="BC162" i="71" s="1"/>
  <c r="G63" i="6"/>
  <c r="T63" i="6"/>
  <c r="T64" i="6" s="1"/>
  <c r="T66" i="6" s="1"/>
  <c r="S162" i="71" s="1"/>
  <c r="AF63" i="6"/>
  <c r="AF64" i="6" s="1"/>
  <c r="AF66" i="6" s="1"/>
  <c r="AE162" i="71" s="1"/>
  <c r="AO63" i="6"/>
  <c r="AO64" i="6" s="1"/>
  <c r="AO66" i="6" s="1"/>
  <c r="AN162" i="71" s="1"/>
  <c r="AW63" i="6"/>
  <c r="AW64" i="6" s="1"/>
  <c r="AW66" i="6" s="1"/>
  <c r="AV162" i="71" s="1"/>
  <c r="BI63" i="6"/>
  <c r="BI64" i="6" s="1"/>
  <c r="BI66" i="6" s="1"/>
  <c r="BH162" i="71" s="1"/>
  <c r="BU63" i="6"/>
  <c r="BU64" i="6" s="1"/>
  <c r="BU66" i="6" s="1"/>
  <c r="BT162" i="71" s="1"/>
  <c r="CG63" i="6"/>
  <c r="CG64" i="6" s="1"/>
  <c r="CG66" i="6" s="1"/>
  <c r="CF162" i="71" s="1"/>
  <c r="CS63" i="6"/>
  <c r="CS64" i="6" s="1"/>
  <c r="CS66" i="6" s="1"/>
  <c r="CR162" i="71" s="1"/>
  <c r="DE63" i="6"/>
  <c r="DE64" i="6" s="1"/>
  <c r="DE66" i="6" s="1"/>
  <c r="DD162" i="71" s="1"/>
  <c r="DR63" i="6"/>
  <c r="DR64" i="6" s="1"/>
  <c r="DR66" i="6" s="1"/>
  <c r="DQ162" i="71" s="1"/>
  <c r="EC63" i="6"/>
  <c r="EC64" i="6" s="1"/>
  <c r="EC66" i="6" s="1"/>
  <c r="EB162" i="71" s="1"/>
  <c r="CM63" i="6"/>
  <c r="EA63" i="6"/>
  <c r="EA64" i="6" s="1"/>
  <c r="EA66" i="6" s="1"/>
  <c r="DZ162" i="71" s="1"/>
  <c r="I63" i="6"/>
  <c r="I64" i="6" s="1"/>
  <c r="I66" i="6" s="1"/>
  <c r="U63" i="6"/>
  <c r="U64" i="6" s="1"/>
  <c r="U66" i="6" s="1"/>
  <c r="T162" i="71" s="1"/>
  <c r="AG63" i="6"/>
  <c r="AG64" i="6" s="1"/>
  <c r="AG66" i="6" s="1"/>
  <c r="AF162" i="71" s="1"/>
  <c r="AP192" i="6"/>
  <c r="AP194" i="6" s="1"/>
  <c r="AX63" i="6"/>
  <c r="AX64" i="6" s="1"/>
  <c r="AX66" i="6" s="1"/>
  <c r="AW162" i="71" s="1"/>
  <c r="BJ63" i="6"/>
  <c r="BJ64" i="6" s="1"/>
  <c r="BJ66" i="6" s="1"/>
  <c r="BI162" i="71" s="1"/>
  <c r="BV63" i="6"/>
  <c r="BV64" i="6" s="1"/>
  <c r="BV66" i="6" s="1"/>
  <c r="BU162" i="71" s="1"/>
  <c r="CH63" i="6"/>
  <c r="CH64" i="6" s="1"/>
  <c r="CH66" i="6" s="1"/>
  <c r="CG162" i="71" s="1"/>
  <c r="CT63" i="6"/>
  <c r="CT64" i="6" s="1"/>
  <c r="CT66" i="6" s="1"/>
  <c r="CS162" i="71" s="1"/>
  <c r="DF63" i="6"/>
  <c r="DF64" i="6" s="1"/>
  <c r="DF66" i="6" s="1"/>
  <c r="DE162" i="71" s="1"/>
  <c r="DQ63" i="6"/>
  <c r="DQ64" i="6" s="1"/>
  <c r="DQ66" i="6" s="1"/>
  <c r="DP162" i="71" s="1"/>
  <c r="ED63" i="6"/>
  <c r="ED64" i="6" s="1"/>
  <c r="ED66" i="6" s="1"/>
  <c r="EC162" i="71" s="1"/>
  <c r="CZ63" i="6"/>
  <c r="CZ64" i="6" s="1"/>
  <c r="CZ66" i="6" s="1"/>
  <c r="CY162" i="71" s="1"/>
  <c r="J63" i="6"/>
  <c r="J64" i="6" s="1"/>
  <c r="J66" i="6" s="1"/>
  <c r="V63" i="6"/>
  <c r="V64" i="6" s="1"/>
  <c r="V66" i="6" s="1"/>
  <c r="U162" i="71" s="1"/>
  <c r="K192" i="69" s="1"/>
  <c r="AH63" i="6"/>
  <c r="AH64" i="6" s="1"/>
  <c r="AH66" i="6" s="1"/>
  <c r="AG162" i="71" s="1"/>
  <c r="AP63" i="6"/>
  <c r="AP64" i="6" s="1"/>
  <c r="AP66" i="6" s="1"/>
  <c r="AO162" i="71" s="1"/>
  <c r="AY63" i="6"/>
  <c r="AY64" i="6" s="1"/>
  <c r="AY66" i="6" s="1"/>
  <c r="AX162" i="71" s="1"/>
  <c r="BK63" i="6"/>
  <c r="BK64" i="6" s="1"/>
  <c r="BK66" i="6" s="1"/>
  <c r="BJ162" i="71" s="1"/>
  <c r="BW63" i="6"/>
  <c r="BW64" i="6" s="1"/>
  <c r="BW66" i="6" s="1"/>
  <c r="BV162" i="71" s="1"/>
  <c r="CI63" i="6"/>
  <c r="CI64" i="6" s="1"/>
  <c r="CI66" i="6" s="1"/>
  <c r="CH162" i="71" s="1"/>
  <c r="CU63" i="6"/>
  <c r="CU64" i="6" s="1"/>
  <c r="CU66" i="6" s="1"/>
  <c r="CT162" i="71" s="1"/>
  <c r="DG63" i="6"/>
  <c r="DG64" i="6" s="1"/>
  <c r="DG66" i="6" s="1"/>
  <c r="DF162" i="71" s="1"/>
  <c r="DS63" i="6"/>
  <c r="DS64" i="6" s="1"/>
  <c r="DS66" i="6" s="1"/>
  <c r="DR162" i="71" s="1"/>
  <c r="EE63" i="6"/>
  <c r="EE64" i="6" s="1"/>
  <c r="EE66" i="6" s="1"/>
  <c r="ED162" i="71" s="1"/>
  <c r="DL63" i="6"/>
  <c r="DL64" i="6" s="1"/>
  <c r="DL66" i="6" s="1"/>
  <c r="DK162" i="71" s="1"/>
  <c r="K63" i="6"/>
  <c r="K64" i="6" s="1"/>
  <c r="K66" i="6" s="1"/>
  <c r="W63" i="6"/>
  <c r="W64" i="6" s="1"/>
  <c r="W66" i="6" s="1"/>
  <c r="V162" i="71" s="1"/>
  <c r="AJ63" i="6"/>
  <c r="AJ64" i="6" s="1"/>
  <c r="AJ66" i="6" s="1"/>
  <c r="AI162" i="71" s="1"/>
  <c r="AQ192" i="6"/>
  <c r="AQ194" i="6" s="1"/>
  <c r="AZ63" i="6"/>
  <c r="AZ64" i="6" s="1"/>
  <c r="AZ66" i="6" s="1"/>
  <c r="AY162" i="71" s="1"/>
  <c r="BL63" i="6"/>
  <c r="BL64" i="6" s="1"/>
  <c r="BL66" i="6" s="1"/>
  <c r="BK162" i="71" s="1"/>
  <c r="BX63" i="6"/>
  <c r="BX64" i="6" s="1"/>
  <c r="BX66" i="6" s="1"/>
  <c r="BW162" i="71" s="1"/>
  <c r="CJ63" i="6"/>
  <c r="CJ64" i="6" s="1"/>
  <c r="CJ66" i="6" s="1"/>
  <c r="CI162" i="71" s="1"/>
  <c r="CV63" i="6"/>
  <c r="CV64" i="6" s="1"/>
  <c r="CV66" i="6" s="1"/>
  <c r="CU162" i="71" s="1"/>
  <c r="DH63" i="6"/>
  <c r="DH64" i="6" s="1"/>
  <c r="DH66" i="6" s="1"/>
  <c r="DG162" i="71" s="1"/>
  <c r="DT63" i="6"/>
  <c r="DT64" i="6" s="1"/>
  <c r="DT66" i="6" s="1"/>
  <c r="DS162" i="71" s="1"/>
  <c r="EF63" i="6"/>
  <c r="EF64" i="6" s="1"/>
  <c r="EF66" i="6" s="1"/>
  <c r="EE162" i="71" s="1"/>
  <c r="DX63" i="6"/>
  <c r="DX64" i="6" s="1"/>
  <c r="DX66" i="6" s="1"/>
  <c r="DW162" i="71" s="1"/>
  <c r="L63" i="6"/>
  <c r="L64" i="6" s="1"/>
  <c r="L66" i="6" s="1"/>
  <c r="X63" i="6"/>
  <c r="X64" i="6" s="1"/>
  <c r="X66" i="6" s="1"/>
  <c r="W162" i="71" s="1"/>
  <c r="AI63" i="6"/>
  <c r="AI64" i="6" s="1"/>
  <c r="AI66" i="6" s="1"/>
  <c r="AH162" i="71" s="1"/>
  <c r="AQ63" i="6"/>
  <c r="BA63" i="6"/>
  <c r="BA64" i="6" s="1"/>
  <c r="BA66" i="6" s="1"/>
  <c r="AZ162" i="71" s="1"/>
  <c r="BM63" i="6"/>
  <c r="BM64" i="6" s="1"/>
  <c r="BM66" i="6" s="1"/>
  <c r="BL162" i="71" s="1"/>
  <c r="BY63" i="6"/>
  <c r="BY64" i="6" s="1"/>
  <c r="BY66" i="6" s="1"/>
  <c r="BX162" i="71" s="1"/>
  <c r="CK63" i="6"/>
  <c r="CK64" i="6" s="1"/>
  <c r="CK66" i="6" s="1"/>
  <c r="CJ162" i="71" s="1"/>
  <c r="CW63" i="6"/>
  <c r="CW64" i="6" s="1"/>
  <c r="CW66" i="6" s="1"/>
  <c r="CV162" i="71" s="1"/>
  <c r="DI63" i="6"/>
  <c r="DI64" i="6" s="1"/>
  <c r="DI66" i="6" s="1"/>
  <c r="DH162" i="71" s="1"/>
  <c r="DV63" i="6"/>
  <c r="DV64" i="6" s="1"/>
  <c r="DV66" i="6" s="1"/>
  <c r="DU162" i="71" s="1"/>
  <c r="EG63" i="6"/>
  <c r="EG64" i="6" s="1"/>
  <c r="EG66" i="6" s="1"/>
  <c r="EF162" i="71" s="1"/>
  <c r="CB63" i="6"/>
  <c r="CB64" i="6" s="1"/>
  <c r="CB66" i="6" s="1"/>
  <c r="CA162" i="71" s="1"/>
  <c r="M63" i="6"/>
  <c r="M64" i="6" s="1"/>
  <c r="M66" i="6" s="1"/>
  <c r="Y63" i="6"/>
  <c r="Y64" i="6" s="1"/>
  <c r="Y66" i="6" s="1"/>
  <c r="X162" i="71" s="1"/>
  <c r="AK63" i="6"/>
  <c r="AK64" i="6" s="1"/>
  <c r="AK66" i="6" s="1"/>
  <c r="AJ162" i="71" s="1"/>
  <c r="AR192" i="6"/>
  <c r="AR194" i="6" s="1"/>
  <c r="BB63" i="6"/>
  <c r="BB64" i="6" s="1"/>
  <c r="BB66" i="6" s="1"/>
  <c r="BA162" i="71" s="1"/>
  <c r="BN63" i="6"/>
  <c r="BN64" i="6" s="1"/>
  <c r="BN66" i="6" s="1"/>
  <c r="BM162" i="71" s="1"/>
  <c r="BZ63" i="6"/>
  <c r="BZ64" i="6" s="1"/>
  <c r="BZ66" i="6" s="1"/>
  <c r="BY162" i="71" s="1"/>
  <c r="CL63" i="6"/>
  <c r="CL64" i="6" s="1"/>
  <c r="CL66" i="6" s="1"/>
  <c r="CK162" i="71" s="1"/>
  <c r="CX63" i="6"/>
  <c r="CX64" i="6" s="1"/>
  <c r="CX66" i="6" s="1"/>
  <c r="CW162" i="71" s="1"/>
  <c r="DJ63" i="6"/>
  <c r="DJ64" i="6" s="1"/>
  <c r="DJ66" i="6" s="1"/>
  <c r="DI162" i="71" s="1"/>
  <c r="DU63" i="6"/>
  <c r="DU64" i="6" s="1"/>
  <c r="DU66" i="6" s="1"/>
  <c r="DT162" i="71" s="1"/>
  <c r="EH63" i="6"/>
  <c r="EH64" i="6" s="1"/>
  <c r="EH66" i="6" s="1"/>
  <c r="EG162" i="71" s="1"/>
  <c r="AT63" i="6"/>
  <c r="AT64" i="6" s="1"/>
  <c r="AT66" i="6" s="1"/>
  <c r="AS162" i="71" s="1"/>
  <c r="N63" i="6"/>
  <c r="N64" i="6" s="1"/>
  <c r="N66" i="6" s="1"/>
  <c r="Z63" i="6"/>
  <c r="Z64" i="6" s="1"/>
  <c r="Z66" i="6" s="1"/>
  <c r="Y162" i="71" s="1"/>
  <c r="AL63" i="6"/>
  <c r="AL64" i="6" s="1"/>
  <c r="AL66" i="6" s="1"/>
  <c r="AK162" i="71" s="1"/>
  <c r="AR63" i="6"/>
  <c r="AR64" i="6" s="1"/>
  <c r="AR66" i="6" s="1"/>
  <c r="AQ162" i="71" s="1"/>
  <c r="BC63" i="6"/>
  <c r="BO63" i="6"/>
  <c r="CA63" i="6"/>
  <c r="CN63" i="6"/>
  <c r="CN64" i="6" s="1"/>
  <c r="CN66" i="6" s="1"/>
  <c r="CM162" i="71" s="1"/>
  <c r="CY63" i="6"/>
  <c r="DK63" i="6"/>
  <c r="DW63" i="6"/>
  <c r="AM192" i="6"/>
  <c r="AM194" i="6" s="1"/>
  <c r="DP63" i="6"/>
  <c r="DP64" i="6" s="1"/>
  <c r="DP66" i="6" s="1"/>
  <c r="DO162" i="71" s="1"/>
  <c r="O63" i="6"/>
  <c r="O64" i="6" s="1"/>
  <c r="O66" i="6" s="1"/>
  <c r="AA63" i="6"/>
  <c r="AA64" i="6" s="1"/>
  <c r="AA66" i="6" s="1"/>
  <c r="Z162" i="71" s="1"/>
  <c r="BP63" i="6"/>
  <c r="BP64" i="6" s="1"/>
  <c r="BP66" i="6" s="1"/>
  <c r="BO162" i="71" s="1"/>
  <c r="P63" i="6"/>
  <c r="P64" i="6" s="1"/>
  <c r="P66" i="6" s="1"/>
  <c r="AB63" i="6"/>
  <c r="AB64" i="6" s="1"/>
  <c r="AB66" i="6" s="1"/>
  <c r="AA162" i="71" s="1"/>
  <c r="AM63" i="6"/>
  <c r="AM64" i="6" s="1"/>
  <c r="AM66" i="6" s="1"/>
  <c r="AL162" i="71" s="1"/>
  <c r="AS192" i="6"/>
  <c r="AS194" i="6" s="1"/>
  <c r="BE63" i="6"/>
  <c r="BE64" i="6" s="1"/>
  <c r="BE66" i="6" s="1"/>
  <c r="BD162" i="71" s="1"/>
  <c r="BR63" i="6"/>
  <c r="BR64" i="6" s="1"/>
  <c r="BR66" i="6" s="1"/>
  <c r="BQ162" i="71" s="1"/>
  <c r="CC63" i="6"/>
  <c r="CC64" i="6" s="1"/>
  <c r="CC66" i="6" s="1"/>
  <c r="CB162" i="71" s="1"/>
  <c r="CP63" i="6"/>
  <c r="CP64" i="6" s="1"/>
  <c r="CP66" i="6" s="1"/>
  <c r="CO162" i="71" s="1"/>
  <c r="DA63" i="6"/>
  <c r="DA64" i="6" s="1"/>
  <c r="DA66" i="6" s="1"/>
  <c r="CZ162" i="71" s="1"/>
  <c r="DM63" i="6"/>
  <c r="DM64" i="6" s="1"/>
  <c r="DM66" i="6" s="1"/>
  <c r="DL162" i="71" s="1"/>
  <c r="DY63" i="6"/>
  <c r="DY64" i="6" s="1"/>
  <c r="DY66" i="6" s="1"/>
  <c r="DX162" i="71" s="1"/>
  <c r="CE63" i="6"/>
  <c r="CE64" i="6" s="1"/>
  <c r="CE66" i="6" s="1"/>
  <c r="CD162" i="71" s="1"/>
  <c r="DC63" i="6"/>
  <c r="DC64" i="6" s="1"/>
  <c r="DC66" i="6" s="1"/>
  <c r="DB162" i="71" s="1"/>
  <c r="Q63" i="6"/>
  <c r="Q64" i="6" s="1"/>
  <c r="Q66" i="6" s="1"/>
  <c r="P162" i="71" s="1"/>
  <c r="AC63" i="6"/>
  <c r="AC64" i="6" s="1"/>
  <c r="AC66" i="6" s="1"/>
  <c r="AB162" i="71" s="1"/>
  <c r="AN63" i="6"/>
  <c r="AN64" i="6" s="1"/>
  <c r="AN66" i="6" s="1"/>
  <c r="AM162" i="71" s="1"/>
  <c r="AS63" i="6"/>
  <c r="AS64" i="6" s="1"/>
  <c r="AS66" i="6" s="1"/>
  <c r="AR162" i="71" s="1"/>
  <c r="BF63" i="6"/>
  <c r="BF64" i="6" s="1"/>
  <c r="BF66" i="6" s="1"/>
  <c r="BE162" i="71" s="1"/>
  <c r="BQ63" i="6"/>
  <c r="BQ64" i="6" s="1"/>
  <c r="BQ66" i="6" s="1"/>
  <c r="BP162" i="71" s="1"/>
  <c r="CD63" i="6"/>
  <c r="CD64" i="6" s="1"/>
  <c r="CD66" i="6" s="1"/>
  <c r="CC162" i="71" s="1"/>
  <c r="CO63" i="6"/>
  <c r="CO64" i="6" s="1"/>
  <c r="CO66" i="6" s="1"/>
  <c r="CN162" i="71" s="1"/>
  <c r="DB63" i="6"/>
  <c r="DB64" i="6" s="1"/>
  <c r="DB66" i="6" s="1"/>
  <c r="DA162" i="71" s="1"/>
  <c r="DN63" i="6"/>
  <c r="DN64" i="6" s="1"/>
  <c r="DN66" i="6" s="1"/>
  <c r="DM162" i="71" s="1"/>
  <c r="DZ63" i="6"/>
  <c r="DZ64" i="6" s="1"/>
  <c r="DZ66" i="6" s="1"/>
  <c r="DY162" i="71" s="1"/>
  <c r="CQ63" i="6"/>
  <c r="CQ64" i="6" s="1"/>
  <c r="CQ66" i="6" s="1"/>
  <c r="CP162" i="71" s="1"/>
  <c r="R63" i="6"/>
  <c r="R64" i="6" s="1"/>
  <c r="R66" i="6" s="1"/>
  <c r="Q162" i="71" s="1"/>
  <c r="AD63" i="6"/>
  <c r="AD64" i="6" s="1"/>
  <c r="AD66" i="6" s="1"/>
  <c r="AC162" i="71" s="1"/>
  <c r="AN192" i="6"/>
  <c r="AN194" i="6" s="1"/>
  <c r="AU63" i="6"/>
  <c r="AU64" i="6" s="1"/>
  <c r="AU66" i="6" s="1"/>
  <c r="AT162" i="71" s="1"/>
  <c r="BG63" i="6"/>
  <c r="BG64" i="6" s="1"/>
  <c r="BG66" i="6" s="1"/>
  <c r="BF162" i="71" s="1"/>
  <c r="BS63" i="6"/>
  <c r="BS64" i="6" s="1"/>
  <c r="BS66" i="6" s="1"/>
  <c r="BR162" i="71" s="1"/>
  <c r="H154" i="6"/>
  <c r="H72" i="6" s="1"/>
  <c r="H150" i="6"/>
  <c r="H174" i="6"/>
  <c r="H78" i="6" s="1"/>
  <c r="H140" i="6"/>
  <c r="H243" i="30"/>
  <c r="H245" i="30"/>
  <c r="H244" i="30"/>
  <c r="CX245" i="30"/>
  <c r="CX244" i="30"/>
  <c r="CX243" i="30"/>
  <c r="AX257" i="30"/>
  <c r="AX258" i="30"/>
  <c r="AX256" i="30"/>
  <c r="S244" i="30"/>
  <c r="S243" i="30"/>
  <c r="S245" i="30"/>
  <c r="DB258" i="30"/>
  <c r="DB256" i="30"/>
  <c r="DB257" i="30"/>
  <c r="DA244" i="30"/>
  <c r="DA245" i="30"/>
  <c r="DA243" i="30"/>
  <c r="V245" i="30"/>
  <c r="V243" i="30"/>
  <c r="V244" i="30"/>
  <c r="DJ258" i="30"/>
  <c r="DJ257" i="30"/>
  <c r="DJ256" i="30"/>
  <c r="CQ245" i="30"/>
  <c r="CQ244" i="30"/>
  <c r="CQ243" i="30"/>
  <c r="X245" i="30"/>
  <c r="X244" i="30"/>
  <c r="X243" i="30"/>
  <c r="DN258" i="30"/>
  <c r="DN256" i="30"/>
  <c r="DN257" i="30"/>
  <c r="CS245" i="30"/>
  <c r="CS244" i="30"/>
  <c r="CS243" i="30"/>
  <c r="N245" i="30"/>
  <c r="N244" i="30"/>
  <c r="N243" i="30"/>
  <c r="BN258" i="30"/>
  <c r="BN257" i="30"/>
  <c r="BN256" i="30"/>
  <c r="CI245" i="30"/>
  <c r="CI244" i="30"/>
  <c r="CI243" i="30"/>
  <c r="AB245" i="30"/>
  <c r="AB244" i="30"/>
  <c r="AB243" i="30"/>
  <c r="CT258" i="30"/>
  <c r="CT257" i="30"/>
  <c r="CT256" i="30"/>
  <c r="DI245" i="30"/>
  <c r="DI244" i="30"/>
  <c r="DI243" i="30"/>
  <c r="BD256" i="30"/>
  <c r="BD257" i="30"/>
  <c r="BD258" i="30"/>
  <c r="CF269" i="30"/>
  <c r="CF270" i="30"/>
  <c r="CF271" i="30"/>
  <c r="DG279" i="30"/>
  <c r="DG278" i="30"/>
  <c r="DG277" i="30"/>
  <c r="DM258" i="30"/>
  <c r="DM256" i="30"/>
  <c r="DM257" i="30"/>
  <c r="U278" i="30"/>
  <c r="U279" i="30"/>
  <c r="U277" i="30"/>
  <c r="AX271" i="30"/>
  <c r="AX270" i="30"/>
  <c r="AX269" i="30"/>
  <c r="BV278" i="30"/>
  <c r="BV277" i="30"/>
  <c r="BV279" i="30"/>
  <c r="CU271" i="30"/>
  <c r="CU270" i="30"/>
  <c r="CU269" i="30"/>
  <c r="AB271" i="30"/>
  <c r="AB270" i="30"/>
  <c r="AB269" i="30"/>
  <c r="AX278" i="30"/>
  <c r="AX277" i="30"/>
  <c r="AX279" i="30"/>
  <c r="CG258" i="30"/>
  <c r="CG257" i="30"/>
  <c r="CG256" i="30"/>
  <c r="CW271" i="30"/>
  <c r="CW270" i="30"/>
  <c r="CW269" i="30"/>
  <c r="F271" i="30"/>
  <c r="F270" i="30"/>
  <c r="F269" i="30"/>
  <c r="AM278" i="30"/>
  <c r="AM277" i="30"/>
  <c r="AM279" i="30"/>
  <c r="BW256" i="30"/>
  <c r="BW258" i="30"/>
  <c r="BW257" i="30"/>
  <c r="CM271" i="30"/>
  <c r="CM270" i="30"/>
  <c r="CM269" i="30"/>
  <c r="P256" i="30"/>
  <c r="P258" i="30"/>
  <c r="P257" i="30"/>
  <c r="BP279" i="30"/>
  <c r="BP278" i="30"/>
  <c r="BP277" i="30"/>
  <c r="CK258" i="30"/>
  <c r="CK256" i="30"/>
  <c r="CK257" i="30"/>
  <c r="DA271" i="30"/>
  <c r="DA270" i="30"/>
  <c r="DA269" i="30"/>
  <c r="BX278" i="30"/>
  <c r="BX277" i="30"/>
  <c r="BX279" i="30"/>
  <c r="Y122" i="30"/>
  <c r="Y37" i="30"/>
  <c r="CP154" i="30"/>
  <c r="CG122" i="30"/>
  <c r="CG37" i="30"/>
  <c r="BO154" i="30"/>
  <c r="DD154" i="30"/>
  <c r="BH122" i="30"/>
  <c r="BH37" i="30"/>
  <c r="CL154" i="30"/>
  <c r="DR122" i="30"/>
  <c r="DR37" i="30"/>
  <c r="DZ122" i="30"/>
  <c r="DZ37" i="30"/>
  <c r="BD154" i="30"/>
  <c r="DT154" i="30"/>
  <c r="CI122" i="30"/>
  <c r="CI37" i="30"/>
  <c r="DW154" i="30"/>
  <c r="CN122" i="30"/>
  <c r="CN37" i="30"/>
  <c r="AM122" i="30"/>
  <c r="AM37" i="30"/>
  <c r="BS122" i="30"/>
  <c r="BS37" i="30"/>
  <c r="DO122" i="30"/>
  <c r="DO37" i="30"/>
  <c r="BQ122" i="30"/>
  <c r="BQ37" i="30"/>
  <c r="R122" i="30"/>
  <c r="R37" i="30"/>
  <c r="DA118" i="30"/>
  <c r="DA22" i="30"/>
  <c r="U118" i="30"/>
  <c r="U22" i="30"/>
  <c r="AJ118" i="30"/>
  <c r="AJ22" i="30"/>
  <c r="DZ118" i="30"/>
  <c r="DZ22" i="30"/>
  <c r="EC118" i="30"/>
  <c r="EC22" i="30"/>
  <c r="ED118" i="30"/>
  <c r="ED22" i="30"/>
  <c r="EF118" i="30"/>
  <c r="EF22" i="30"/>
  <c r="CW118" i="30"/>
  <c r="CW22" i="30"/>
  <c r="BN118" i="30"/>
  <c r="BN22" i="30"/>
  <c r="BO118" i="30"/>
  <c r="BO22" i="30"/>
  <c r="BP22" i="30"/>
  <c r="BP118" i="30"/>
  <c r="BP243" i="30"/>
  <c r="BP245" i="30"/>
  <c r="BP244" i="30"/>
  <c r="R258" i="30"/>
  <c r="R256" i="30"/>
  <c r="R257" i="30"/>
  <c r="E279" i="30"/>
  <c r="D268" i="32" s="1"/>
  <c r="E278" i="30"/>
  <c r="D267" i="32" s="1"/>
  <c r="E277" i="30"/>
  <c r="D266" i="32" s="1"/>
  <c r="AE244" i="30"/>
  <c r="AE243" i="30"/>
  <c r="AE245" i="30"/>
  <c r="K270" i="30"/>
  <c r="K269" i="30"/>
  <c r="K271" i="30"/>
  <c r="DM244" i="30"/>
  <c r="DM243" i="30"/>
  <c r="DM245" i="30"/>
  <c r="AH245" i="30"/>
  <c r="AH243" i="30"/>
  <c r="AH244" i="30"/>
  <c r="AH271" i="30"/>
  <c r="AH270" i="30"/>
  <c r="AH269" i="30"/>
  <c r="DC245" i="30"/>
  <c r="DC244" i="30"/>
  <c r="DC243" i="30"/>
  <c r="AJ245" i="30"/>
  <c r="AJ244" i="30"/>
  <c r="AJ243" i="30"/>
  <c r="AT271" i="30"/>
  <c r="AT270" i="30"/>
  <c r="AT269" i="30"/>
  <c r="DE245" i="30"/>
  <c r="DE244" i="30"/>
  <c r="DE243" i="30"/>
  <c r="Z245" i="30"/>
  <c r="Z244" i="30"/>
  <c r="Z243" i="30"/>
  <c r="CP258" i="30"/>
  <c r="CP257" i="30"/>
  <c r="CP256" i="30"/>
  <c r="CU245" i="30"/>
  <c r="CU244" i="30"/>
  <c r="CU243" i="30"/>
  <c r="AN245" i="30"/>
  <c r="AN244" i="30"/>
  <c r="AN243" i="30"/>
  <c r="BR271" i="30"/>
  <c r="BR270" i="30"/>
  <c r="BR269" i="30"/>
  <c r="DU245" i="30"/>
  <c r="DU244" i="30"/>
  <c r="DU243" i="30"/>
  <c r="BP256" i="30"/>
  <c r="BP257" i="30"/>
  <c r="BP258" i="30"/>
  <c r="CR269" i="30"/>
  <c r="CR270" i="30"/>
  <c r="CR271" i="30"/>
  <c r="DU279" i="30"/>
  <c r="DU278" i="30"/>
  <c r="DU277" i="30"/>
  <c r="M271" i="30"/>
  <c r="M270" i="30"/>
  <c r="M269" i="30"/>
  <c r="AH278" i="30"/>
  <c r="AH277" i="30"/>
  <c r="AH279" i="30"/>
  <c r="BJ271" i="30"/>
  <c r="BJ270" i="30"/>
  <c r="BJ269" i="30"/>
  <c r="CI278" i="30"/>
  <c r="CI277" i="30"/>
  <c r="CI279" i="30"/>
  <c r="DG271" i="30"/>
  <c r="DG270" i="30"/>
  <c r="DG269" i="30"/>
  <c r="L257" i="30"/>
  <c r="L256" i="30"/>
  <c r="L258" i="30"/>
  <c r="AN271" i="30"/>
  <c r="AN270" i="30"/>
  <c r="AN269" i="30"/>
  <c r="BK278" i="30"/>
  <c r="BK277" i="30"/>
  <c r="BK279" i="30"/>
  <c r="CS258" i="30"/>
  <c r="CS257" i="30"/>
  <c r="CS256" i="30"/>
  <c r="DI271" i="30"/>
  <c r="DI270" i="30"/>
  <c r="DI269" i="30"/>
  <c r="R271" i="30"/>
  <c r="R270" i="30"/>
  <c r="R269" i="30"/>
  <c r="BA279" i="30"/>
  <c r="BA278" i="30"/>
  <c r="BA277" i="30"/>
  <c r="CI256" i="30"/>
  <c r="CI258" i="30"/>
  <c r="CI257" i="30"/>
  <c r="CY271" i="30"/>
  <c r="CY270" i="30"/>
  <c r="CY269" i="30"/>
  <c r="AB257" i="30"/>
  <c r="AB256" i="30"/>
  <c r="AB258" i="30"/>
  <c r="AR271" i="30"/>
  <c r="AR270" i="30"/>
  <c r="AR269" i="30"/>
  <c r="CC279" i="30"/>
  <c r="CC278" i="30"/>
  <c r="CC277" i="30"/>
  <c r="CW258" i="30"/>
  <c r="CW256" i="30"/>
  <c r="CW257" i="30"/>
  <c r="DM271" i="30"/>
  <c r="DM270" i="30"/>
  <c r="DM269" i="30"/>
  <c r="CJ278" i="30"/>
  <c r="CJ277" i="30"/>
  <c r="CJ279" i="30"/>
  <c r="CX37" i="30"/>
  <c r="CX122" i="30"/>
  <c r="DU122" i="30"/>
  <c r="DU37" i="30"/>
  <c r="BU154" i="30"/>
  <c r="V122" i="30"/>
  <c r="V37" i="30"/>
  <c r="CU154" i="30"/>
  <c r="G122" i="30"/>
  <c r="G37" i="30"/>
  <c r="CH154" i="30"/>
  <c r="K122" i="30"/>
  <c r="K37" i="30"/>
  <c r="AQ122" i="30"/>
  <c r="AQ37" i="30"/>
  <c r="CE154" i="30"/>
  <c r="DG154" i="30"/>
  <c r="BL154" i="30"/>
  <c r="AY122" i="30"/>
  <c r="AY37" i="30"/>
  <c r="BG122" i="30"/>
  <c r="BG37" i="30"/>
  <c r="DK154" i="30"/>
  <c r="AA122" i="30"/>
  <c r="AA37" i="30"/>
  <c r="DA122" i="30"/>
  <c r="DA37" i="30"/>
  <c r="AH154" i="30"/>
  <c r="BP122" i="30"/>
  <c r="BP37" i="30"/>
  <c r="EF154" i="30"/>
  <c r="DD118" i="30"/>
  <c r="DD22" i="30"/>
  <c r="BQ118" i="30"/>
  <c r="BQ22" i="30"/>
  <c r="W118" i="30"/>
  <c r="W22" i="30"/>
  <c r="CF118" i="30"/>
  <c r="CF22" i="30"/>
  <c r="O118" i="30"/>
  <c r="O22" i="30"/>
  <c r="DI118" i="30"/>
  <c r="DI22" i="30"/>
  <c r="BZ118" i="30"/>
  <c r="BZ22" i="30"/>
  <c r="CA118" i="30"/>
  <c r="CA22" i="30"/>
  <c r="CB118" i="30"/>
  <c r="CB22" i="30"/>
  <c r="CB243" i="30"/>
  <c r="CB245" i="30"/>
  <c r="CB244" i="30"/>
  <c r="CD271" i="30"/>
  <c r="CD270" i="30"/>
  <c r="CD269" i="30"/>
  <c r="AQ244" i="30"/>
  <c r="AQ243" i="30"/>
  <c r="AQ245" i="30"/>
  <c r="CE270" i="30"/>
  <c r="CE269" i="30"/>
  <c r="CE271" i="30"/>
  <c r="W257" i="30"/>
  <c r="W256" i="30"/>
  <c r="W258" i="30"/>
  <c r="AT245" i="30"/>
  <c r="AT243" i="30"/>
  <c r="AT244" i="30"/>
  <c r="DB271" i="30"/>
  <c r="DB270" i="30"/>
  <c r="DB269" i="30"/>
  <c r="DO245" i="30"/>
  <c r="DO244" i="30"/>
  <c r="DO243" i="30"/>
  <c r="AV245" i="30"/>
  <c r="AV244" i="30"/>
  <c r="AV243" i="30"/>
  <c r="DN271" i="30"/>
  <c r="DN270" i="30"/>
  <c r="DN269" i="30"/>
  <c r="DQ245" i="30"/>
  <c r="DQ244" i="30"/>
  <c r="DQ243" i="30"/>
  <c r="AL245" i="30"/>
  <c r="AL244" i="30"/>
  <c r="AL243" i="30"/>
  <c r="DR258" i="30"/>
  <c r="DR257" i="30"/>
  <c r="DR256" i="30"/>
  <c r="DG245" i="30"/>
  <c r="DG244" i="30"/>
  <c r="DG243" i="30"/>
  <c r="AZ245" i="30"/>
  <c r="AZ244" i="30"/>
  <c r="AZ243" i="30"/>
  <c r="BE279" i="30"/>
  <c r="BE278" i="30"/>
  <c r="BE277" i="30"/>
  <c r="N257" i="30"/>
  <c r="N256" i="30"/>
  <c r="N258" i="30"/>
  <c r="CB256" i="30"/>
  <c r="CB258" i="30"/>
  <c r="CB257" i="30"/>
  <c r="DD269" i="30"/>
  <c r="DD271" i="30"/>
  <c r="DD270" i="30"/>
  <c r="Y271" i="30"/>
  <c r="Y270" i="30"/>
  <c r="Y269" i="30"/>
  <c r="AU278" i="30"/>
  <c r="AU277" i="30"/>
  <c r="AU279" i="30"/>
  <c r="BV271" i="30"/>
  <c r="BV270" i="30"/>
  <c r="BV269" i="30"/>
  <c r="CW279" i="30"/>
  <c r="CW278" i="30"/>
  <c r="CW277" i="30"/>
  <c r="DS271" i="30"/>
  <c r="DS270" i="30"/>
  <c r="DS269" i="30"/>
  <c r="X257" i="30"/>
  <c r="X256" i="30"/>
  <c r="X258" i="30"/>
  <c r="AZ271" i="30"/>
  <c r="AZ270" i="30"/>
  <c r="AZ269" i="30"/>
  <c r="BY279" i="30"/>
  <c r="BY278" i="30"/>
  <c r="BY277" i="30"/>
  <c r="DE258" i="30"/>
  <c r="DE257" i="30"/>
  <c r="DE256" i="30"/>
  <c r="DU271" i="30"/>
  <c r="DU270" i="30"/>
  <c r="DU269" i="30"/>
  <c r="AD271" i="30"/>
  <c r="AD270" i="30"/>
  <c r="AD269" i="30"/>
  <c r="BN278" i="30"/>
  <c r="BN277" i="30"/>
  <c r="BN279" i="30"/>
  <c r="CU256" i="30"/>
  <c r="CU257" i="30"/>
  <c r="CU258" i="30"/>
  <c r="DK271" i="30"/>
  <c r="DK270" i="30"/>
  <c r="DK269" i="30"/>
  <c r="AN257" i="30"/>
  <c r="AN256" i="30"/>
  <c r="AN258" i="30"/>
  <c r="BD271" i="30"/>
  <c r="BD270" i="30"/>
  <c r="BD269" i="30"/>
  <c r="CP279" i="30"/>
  <c r="CP278" i="30"/>
  <c r="CP277" i="30"/>
  <c r="DI258" i="30"/>
  <c r="DI257" i="30"/>
  <c r="DI256" i="30"/>
  <c r="Q279" i="30"/>
  <c r="Q278" i="30"/>
  <c r="Q277" i="30"/>
  <c r="CV278" i="30"/>
  <c r="CV277" i="30"/>
  <c r="CV279" i="30"/>
  <c r="AZ122" i="30"/>
  <c r="AZ37" i="30"/>
  <c r="AW154" i="30"/>
  <c r="CY122" i="30"/>
  <c r="CY37" i="30"/>
  <c r="BF154" i="30"/>
  <c r="BE154" i="30"/>
  <c r="DS122" i="30"/>
  <c r="DS37" i="30"/>
  <c r="BT122" i="30"/>
  <c r="BT37" i="30"/>
  <c r="DL154" i="30"/>
  <c r="DN154" i="30"/>
  <c r="CT154" i="30"/>
  <c r="CU122" i="30"/>
  <c r="CU37" i="30"/>
  <c r="BX122" i="30"/>
  <c r="BX37" i="30"/>
  <c r="AU154" i="30"/>
  <c r="BI122" i="30"/>
  <c r="BI37" i="30"/>
  <c r="BQ154" i="30"/>
  <c r="AR122" i="30"/>
  <c r="AR37" i="30"/>
  <c r="CX154" i="30"/>
  <c r="DM118" i="30"/>
  <c r="DM22" i="30"/>
  <c r="BS22" i="30"/>
  <c r="BS118" i="30"/>
  <c r="X118" i="30"/>
  <c r="X22" i="30"/>
  <c r="AI118" i="30"/>
  <c r="AI22" i="30"/>
  <c r="EB118" i="30"/>
  <c r="EB22" i="30"/>
  <c r="J118" i="30"/>
  <c r="J22" i="30"/>
  <c r="M118" i="30"/>
  <c r="M22" i="30"/>
  <c r="N118" i="30"/>
  <c r="N22" i="30"/>
  <c r="AA118" i="30"/>
  <c r="AA22" i="30"/>
  <c r="P118" i="30"/>
  <c r="P22" i="30"/>
  <c r="DU118" i="30"/>
  <c r="DU22" i="30"/>
  <c r="CL118" i="30"/>
  <c r="CL22" i="30"/>
  <c r="CM118" i="30"/>
  <c r="CM22" i="30"/>
  <c r="CN118" i="30"/>
  <c r="CN22" i="30"/>
  <c r="E122" i="30"/>
  <c r="D122" i="32" s="1"/>
  <c r="E37" i="30"/>
  <c r="D37" i="32" s="1"/>
  <c r="F245" i="30"/>
  <c r="F244" i="30"/>
  <c r="F243" i="30"/>
  <c r="BV257" i="30"/>
  <c r="BV256" i="30"/>
  <c r="BV258" i="30"/>
  <c r="BC244" i="30"/>
  <c r="BC243" i="30"/>
  <c r="BC245" i="30"/>
  <c r="BS279" i="30"/>
  <c r="BS278" i="30"/>
  <c r="BS277" i="30"/>
  <c r="BF245" i="30"/>
  <c r="BF243" i="30"/>
  <c r="BF244" i="30"/>
  <c r="R278" i="30"/>
  <c r="R277" i="30"/>
  <c r="R279" i="30"/>
  <c r="AD258" i="30"/>
  <c r="AD256" i="30"/>
  <c r="AD257" i="30"/>
  <c r="BH245" i="30"/>
  <c r="BH244" i="30"/>
  <c r="BH243" i="30"/>
  <c r="AE277" i="30"/>
  <c r="AE279" i="30"/>
  <c r="AE278" i="30"/>
  <c r="F258" i="30"/>
  <c r="F257" i="30"/>
  <c r="F256" i="30"/>
  <c r="AX245" i="30"/>
  <c r="AX244" i="30"/>
  <c r="AX243" i="30"/>
  <c r="BF271" i="30"/>
  <c r="BF270" i="30"/>
  <c r="BF269" i="30"/>
  <c r="DS245" i="30"/>
  <c r="DS244" i="30"/>
  <c r="DS243" i="30"/>
  <c r="BL245" i="30"/>
  <c r="BL244" i="30"/>
  <c r="BL243" i="30"/>
  <c r="E245" i="30"/>
  <c r="D240" i="32" s="1"/>
  <c r="E244" i="30"/>
  <c r="E243" i="30"/>
  <c r="D238" i="32" s="1"/>
  <c r="AQ257" i="30"/>
  <c r="AQ256" i="30"/>
  <c r="AQ258" i="30"/>
  <c r="CN256" i="30"/>
  <c r="CN258" i="30"/>
  <c r="CN257" i="30"/>
  <c r="DP269" i="30"/>
  <c r="DP271" i="30"/>
  <c r="DP270" i="30"/>
  <c r="I257" i="30"/>
  <c r="I256" i="30"/>
  <c r="I258" i="30"/>
  <c r="AK271" i="30"/>
  <c r="AK269" i="30"/>
  <c r="AK270" i="30"/>
  <c r="BH278" i="30"/>
  <c r="BH277" i="30"/>
  <c r="BH279" i="30"/>
  <c r="CH271" i="30"/>
  <c r="CH270" i="30"/>
  <c r="CH269" i="30"/>
  <c r="DJ278" i="30"/>
  <c r="DJ277" i="30"/>
  <c r="DJ279" i="30"/>
  <c r="J278" i="30"/>
  <c r="J279" i="30"/>
  <c r="J277" i="30"/>
  <c r="AJ258" i="30"/>
  <c r="AJ257" i="30"/>
  <c r="AJ256" i="30"/>
  <c r="BL271" i="30"/>
  <c r="BL270" i="30"/>
  <c r="BL269" i="30"/>
  <c r="CL278" i="30"/>
  <c r="CL277" i="30"/>
  <c r="CL279" i="30"/>
  <c r="DQ258" i="30"/>
  <c r="DQ257" i="30"/>
  <c r="DQ256" i="30"/>
  <c r="L278" i="30"/>
  <c r="L279" i="30"/>
  <c r="L277" i="30"/>
  <c r="AP271" i="30"/>
  <c r="AP270" i="30"/>
  <c r="AP269" i="30"/>
  <c r="CA277" i="30"/>
  <c r="CA279" i="30"/>
  <c r="CA278" i="30"/>
  <c r="DG256" i="30"/>
  <c r="DG257" i="30"/>
  <c r="DG258" i="30"/>
  <c r="N278" i="30"/>
  <c r="N279" i="30"/>
  <c r="N277" i="30"/>
  <c r="AZ257" i="30"/>
  <c r="AZ258" i="30"/>
  <c r="AZ256" i="30"/>
  <c r="BP271" i="30"/>
  <c r="BP270" i="30"/>
  <c r="BP269" i="30"/>
  <c r="DC279" i="30"/>
  <c r="DC278" i="30"/>
  <c r="DC277" i="30"/>
  <c r="DU258" i="30"/>
  <c r="DU257" i="30"/>
  <c r="DU256" i="30"/>
  <c r="AD278" i="30"/>
  <c r="AD277" i="30"/>
  <c r="AD279" i="30"/>
  <c r="DH278" i="30"/>
  <c r="DH277" i="30"/>
  <c r="DH279" i="30"/>
  <c r="DH122" i="30"/>
  <c r="DH37" i="30"/>
  <c r="AN154" i="30"/>
  <c r="CT122" i="30"/>
  <c r="CT37" i="30"/>
  <c r="AK154" i="30"/>
  <c r="AE122" i="30"/>
  <c r="AE37" i="30"/>
  <c r="EA122" i="30"/>
  <c r="EA37" i="30"/>
  <c r="BS154" i="30"/>
  <c r="AL122" i="30"/>
  <c r="AL37" i="30"/>
  <c r="Q122" i="30"/>
  <c r="Q37" i="30"/>
  <c r="BK122" i="30"/>
  <c r="BK37" i="30"/>
  <c r="DE154" i="30"/>
  <c r="BH154" i="30"/>
  <c r="CD122" i="30"/>
  <c r="CD37" i="30"/>
  <c r="AO154" i="30"/>
  <c r="BR154" i="30"/>
  <c r="AO122" i="30"/>
  <c r="AO37" i="30"/>
  <c r="DE122" i="30"/>
  <c r="DE37" i="30"/>
  <c r="CO122" i="30"/>
  <c r="CO37" i="30"/>
  <c r="T122" i="30"/>
  <c r="T37" i="30"/>
  <c r="CO154" i="30"/>
  <c r="CM154" i="30"/>
  <c r="DO22" i="30"/>
  <c r="DO118" i="30"/>
  <c r="BT118" i="30"/>
  <c r="BT22" i="30"/>
  <c r="CE118" i="30"/>
  <c r="CE22" i="30"/>
  <c r="V118" i="30"/>
  <c r="V22" i="30"/>
  <c r="Y118" i="30"/>
  <c r="Y22" i="30"/>
  <c r="Z118" i="30"/>
  <c r="Z22" i="30"/>
  <c r="AM118" i="30"/>
  <c r="AM22" i="30"/>
  <c r="AB118" i="30"/>
  <c r="AB22" i="30"/>
  <c r="EG118" i="30"/>
  <c r="EG22" i="30"/>
  <c r="CX118" i="30"/>
  <c r="CX22" i="30"/>
  <c r="CY118" i="30"/>
  <c r="CY22" i="30"/>
  <c r="CZ118" i="30"/>
  <c r="CZ22" i="30"/>
  <c r="H169" i="6"/>
  <c r="BR279" i="30"/>
  <c r="BR278" i="30"/>
  <c r="BR277" i="30"/>
  <c r="CD258" i="30"/>
  <c r="CD257" i="30"/>
  <c r="CD256" i="30"/>
  <c r="BT245" i="30"/>
  <c r="BT244" i="30"/>
  <c r="BT243" i="30"/>
  <c r="AR279" i="30"/>
  <c r="AR277" i="30"/>
  <c r="AR278" i="30"/>
  <c r="BS257" i="30"/>
  <c r="BS256" i="30"/>
  <c r="BS258" i="30"/>
  <c r="U258" i="30"/>
  <c r="U257" i="30"/>
  <c r="U256" i="30"/>
  <c r="CT271" i="30"/>
  <c r="CT270" i="30"/>
  <c r="CT269" i="30"/>
  <c r="AV256" i="30"/>
  <c r="AV258" i="30"/>
  <c r="AV257" i="30"/>
  <c r="AA278" i="30"/>
  <c r="AA277" i="30"/>
  <c r="AA279" i="30"/>
  <c r="DP279" i="30"/>
  <c r="DP278" i="30"/>
  <c r="DP277" i="30"/>
  <c r="DU154" i="30"/>
  <c r="EG154" i="30"/>
  <c r="AD122" i="30"/>
  <c r="AD37" i="30"/>
  <c r="DH154" i="30"/>
  <c r="DX122" i="30"/>
  <c r="DX37" i="30"/>
  <c r="X122" i="30"/>
  <c r="X37" i="30"/>
  <c r="BZ122" i="30"/>
  <c r="BZ37" i="30"/>
  <c r="CS122" i="30"/>
  <c r="CS37" i="30"/>
  <c r="DV122" i="30"/>
  <c r="DV37" i="30"/>
  <c r="AX122" i="30"/>
  <c r="AX37" i="30"/>
  <c r="BJ154" i="30"/>
  <c r="DI154" i="30"/>
  <c r="DF154" i="30"/>
  <c r="DC122" i="30"/>
  <c r="DC37" i="30"/>
  <c r="CM122" i="30"/>
  <c r="CM37" i="30"/>
  <c r="CV154" i="30"/>
  <c r="DL122" i="30"/>
  <c r="DL37" i="30"/>
  <c r="L122" i="30"/>
  <c r="L37" i="30"/>
  <c r="BV122" i="30"/>
  <c r="BV37" i="30"/>
  <c r="CR122" i="30"/>
  <c r="CR37" i="30"/>
  <c r="DP118" i="30"/>
  <c r="DP22" i="30"/>
  <c r="CC118" i="30"/>
  <c r="CC22" i="30"/>
  <c r="EA118" i="30"/>
  <c r="EA22" i="30"/>
  <c r="AU118" i="30"/>
  <c r="AU22" i="30"/>
  <c r="AK118" i="30"/>
  <c r="AK22" i="30"/>
  <c r="AL118" i="30"/>
  <c r="AL22" i="30"/>
  <c r="AY118" i="30"/>
  <c r="AY22" i="30"/>
  <c r="AN118" i="30"/>
  <c r="AN22" i="30"/>
  <c r="E118" i="30"/>
  <c r="D118" i="32" s="1"/>
  <c r="E22" i="30"/>
  <c r="E24" i="30" s="1"/>
  <c r="F21" i="30" s="1"/>
  <c r="DJ118" i="30"/>
  <c r="DJ22" i="30"/>
  <c r="DK118" i="30"/>
  <c r="DK22" i="30"/>
  <c r="DL22" i="30"/>
  <c r="DL118" i="30"/>
  <c r="CZ243" i="30"/>
  <c r="CZ245" i="30"/>
  <c r="CZ244" i="30"/>
  <c r="I244" i="30"/>
  <c r="I245" i="30"/>
  <c r="I243" i="30"/>
  <c r="CR279" i="30"/>
  <c r="CR278" i="30"/>
  <c r="CR277" i="30"/>
  <c r="DE279" i="30"/>
  <c r="DE278" i="30"/>
  <c r="DE277" i="30"/>
  <c r="BJ245" i="30"/>
  <c r="BJ244" i="30"/>
  <c r="BJ243" i="30"/>
  <c r="BX245" i="30"/>
  <c r="BX244" i="30"/>
  <c r="BX243" i="30"/>
  <c r="G279" i="30"/>
  <c r="G277" i="30"/>
  <c r="G278" i="30"/>
  <c r="BU278" i="30"/>
  <c r="BU277" i="30"/>
  <c r="BU279" i="30"/>
  <c r="W278" i="30"/>
  <c r="W277" i="30"/>
  <c r="W279" i="30"/>
  <c r="CY277" i="30"/>
  <c r="CY279" i="30"/>
  <c r="CY278" i="30"/>
  <c r="Y278" i="30"/>
  <c r="Y277" i="30"/>
  <c r="Y279" i="30"/>
  <c r="DS256" i="30"/>
  <c r="DS258" i="30"/>
  <c r="DS257" i="30"/>
  <c r="CB271" i="30"/>
  <c r="CB270" i="30"/>
  <c r="CB269" i="30"/>
  <c r="I271" i="30"/>
  <c r="I270" i="30"/>
  <c r="I269" i="30"/>
  <c r="R245" i="30"/>
  <c r="R244" i="30"/>
  <c r="R243" i="30"/>
  <c r="V258" i="30"/>
  <c r="V257" i="30"/>
  <c r="V256" i="30"/>
  <c r="BD243" i="30"/>
  <c r="BD245" i="30"/>
  <c r="BD244" i="30"/>
  <c r="CA244" i="30"/>
  <c r="CA243" i="30"/>
  <c r="CA245" i="30"/>
  <c r="U244" i="30"/>
  <c r="U245" i="30"/>
  <c r="U243" i="30"/>
  <c r="DF258" i="30"/>
  <c r="DF257" i="30"/>
  <c r="DF256" i="30"/>
  <c r="CD245" i="30"/>
  <c r="CD243" i="30"/>
  <c r="CD244" i="30"/>
  <c r="K245" i="30"/>
  <c r="K244" i="30"/>
  <c r="K243" i="30"/>
  <c r="CH258" i="30"/>
  <c r="CH257" i="30"/>
  <c r="CH256" i="30"/>
  <c r="CF245" i="30"/>
  <c r="CF244" i="30"/>
  <c r="CF243" i="30"/>
  <c r="M245" i="30"/>
  <c r="M244" i="30"/>
  <c r="M243" i="30"/>
  <c r="BJ257" i="30"/>
  <c r="BJ256" i="30"/>
  <c r="BJ258" i="30"/>
  <c r="BV245" i="30"/>
  <c r="BV244" i="30"/>
  <c r="BV243" i="30"/>
  <c r="DR279" i="30"/>
  <c r="DR278" i="30"/>
  <c r="DR277" i="30"/>
  <c r="AL257" i="30"/>
  <c r="AL256" i="30"/>
  <c r="AL258" i="30"/>
  <c r="CJ245" i="30"/>
  <c r="CJ244" i="30"/>
  <c r="CJ243" i="30"/>
  <c r="AC245" i="30"/>
  <c r="AC244" i="30"/>
  <c r="AC243" i="30"/>
  <c r="CX258" i="30"/>
  <c r="CX256" i="30"/>
  <c r="CX257" i="30"/>
  <c r="DL256" i="30"/>
  <c r="DL258" i="30"/>
  <c r="DL257" i="30"/>
  <c r="T279" i="30"/>
  <c r="T277" i="30"/>
  <c r="T278" i="30"/>
  <c r="BI271" i="30"/>
  <c r="BI269" i="30"/>
  <c r="BI270" i="30"/>
  <c r="CH278" i="30"/>
  <c r="CH277" i="30"/>
  <c r="CH279" i="30"/>
  <c r="DF271" i="30"/>
  <c r="DF270" i="30"/>
  <c r="DF269" i="30"/>
  <c r="O271" i="30"/>
  <c r="O270" i="30"/>
  <c r="O269" i="30"/>
  <c r="AJ278" i="30"/>
  <c r="AJ277" i="30"/>
  <c r="AJ279" i="30"/>
  <c r="BH256" i="30"/>
  <c r="BH258" i="30"/>
  <c r="BH257" i="30"/>
  <c r="CJ271" i="30"/>
  <c r="CJ270" i="30"/>
  <c r="CJ269" i="30"/>
  <c r="DL279" i="30"/>
  <c r="DL277" i="30"/>
  <c r="DL278" i="30"/>
  <c r="Q271" i="30"/>
  <c r="Q270" i="30"/>
  <c r="Q269" i="30"/>
  <c r="AL278" i="30"/>
  <c r="AL277" i="30"/>
  <c r="AL279" i="30"/>
  <c r="BN271" i="30"/>
  <c r="BN270" i="30"/>
  <c r="BN269" i="30"/>
  <c r="DA279" i="30"/>
  <c r="DA278" i="30"/>
  <c r="DA277" i="30"/>
  <c r="G271" i="30"/>
  <c r="G270" i="30"/>
  <c r="G269" i="30"/>
  <c r="AO279" i="30"/>
  <c r="AO278" i="30"/>
  <c r="AO277" i="30"/>
  <c r="BX256" i="30"/>
  <c r="BX258" i="30"/>
  <c r="BX257" i="30"/>
  <c r="CN271" i="30"/>
  <c r="CN270" i="30"/>
  <c r="CN269" i="30"/>
  <c r="E256" i="30"/>
  <c r="D248" i="32" s="1"/>
  <c r="E258" i="30"/>
  <c r="D250" i="32" s="1"/>
  <c r="E257" i="30"/>
  <c r="D249" i="32" s="1"/>
  <c r="U271" i="30"/>
  <c r="U270" i="30"/>
  <c r="U269" i="30"/>
  <c r="BD279" i="30"/>
  <c r="BD278" i="30"/>
  <c r="BD277" i="30"/>
  <c r="DI122" i="30"/>
  <c r="DI37" i="30"/>
  <c r="CW154" i="30"/>
  <c r="BV154" i="30"/>
  <c r="CZ122" i="30"/>
  <c r="CZ37" i="30"/>
  <c r="BN122" i="30"/>
  <c r="BN37" i="30"/>
  <c r="DT122" i="30"/>
  <c r="DT37" i="30"/>
  <c r="CK154" i="30"/>
  <c r="P122" i="30"/>
  <c r="P37" i="30"/>
  <c r="CF122" i="30"/>
  <c r="CF37" i="30"/>
  <c r="M122" i="30"/>
  <c r="M37" i="30"/>
  <c r="AM154" i="30"/>
  <c r="DV154" i="30"/>
  <c r="CJ122" i="30"/>
  <c r="CJ37" i="30"/>
  <c r="ED122" i="30"/>
  <c r="ED37" i="30"/>
  <c r="BN154" i="30"/>
  <c r="K118" i="30"/>
  <c r="K22" i="30"/>
  <c r="DY118" i="30"/>
  <c r="DY22" i="30"/>
  <c r="CQ118" i="30"/>
  <c r="CQ22" i="30"/>
  <c r="AT118" i="30"/>
  <c r="AT22" i="30"/>
  <c r="AW118" i="30"/>
  <c r="AW22" i="30"/>
  <c r="AX118" i="30"/>
  <c r="AX22" i="30"/>
  <c r="BK118" i="30"/>
  <c r="BK22" i="30"/>
  <c r="AZ118" i="30"/>
  <c r="AZ22" i="30"/>
  <c r="Q118" i="30"/>
  <c r="Q22" i="30"/>
  <c r="DV118" i="30"/>
  <c r="DV22" i="30"/>
  <c r="DW118" i="30"/>
  <c r="DW22" i="30"/>
  <c r="DX118" i="30"/>
  <c r="DX22" i="30"/>
  <c r="CL122" i="30"/>
  <c r="CL37" i="30"/>
  <c r="BZ245" i="30"/>
  <c r="BZ244" i="30"/>
  <c r="BZ243" i="30"/>
  <c r="BO244" i="30"/>
  <c r="BO243" i="30"/>
  <c r="BO245" i="30"/>
  <c r="BR245" i="30"/>
  <c r="BR243" i="30"/>
  <c r="BR244" i="30"/>
  <c r="BF256" i="30"/>
  <c r="BF258" i="30"/>
  <c r="BF257" i="30"/>
  <c r="AH256" i="30"/>
  <c r="AH258" i="30"/>
  <c r="AH257" i="30"/>
  <c r="J257" i="30"/>
  <c r="J256" i="30"/>
  <c r="J258" i="30"/>
  <c r="Q245" i="30"/>
  <c r="Q244" i="30"/>
  <c r="Q243" i="30"/>
  <c r="CZ256" i="30"/>
  <c r="CZ258" i="30"/>
  <c r="CZ257" i="30"/>
  <c r="AW271" i="30"/>
  <c r="AW269" i="30"/>
  <c r="AW270" i="30"/>
  <c r="BX271" i="30"/>
  <c r="BX270" i="30"/>
  <c r="BX269" i="30"/>
  <c r="E271" i="30"/>
  <c r="D260" i="32" s="1"/>
  <c r="E270" i="30"/>
  <c r="D259" i="32" s="1"/>
  <c r="E269" i="30"/>
  <c r="D258" i="32" s="1"/>
  <c r="CN279" i="30"/>
  <c r="CN277" i="30"/>
  <c r="CN278" i="30"/>
  <c r="BL258" i="30"/>
  <c r="BL257" i="30"/>
  <c r="BL256" i="30"/>
  <c r="AQ277" i="30"/>
  <c r="AQ279" i="30"/>
  <c r="AQ278" i="30"/>
  <c r="DT279" i="30"/>
  <c r="DT278" i="30"/>
  <c r="DT277" i="30"/>
  <c r="CL245" i="30"/>
  <c r="CL244" i="30"/>
  <c r="CL243" i="30"/>
  <c r="CP271" i="30"/>
  <c r="CP270" i="30"/>
  <c r="CP269" i="30"/>
  <c r="CA257" i="30"/>
  <c r="CA258" i="30"/>
  <c r="CA256" i="30"/>
  <c r="CM244" i="30"/>
  <c r="CM243" i="30"/>
  <c r="CM245" i="30"/>
  <c r="W270" i="30"/>
  <c r="W269" i="30"/>
  <c r="W271" i="30"/>
  <c r="CP245" i="30"/>
  <c r="CP243" i="30"/>
  <c r="CP244" i="30"/>
  <c r="W245" i="30"/>
  <c r="W244" i="30"/>
  <c r="W243" i="30"/>
  <c r="DK257" i="30"/>
  <c r="DK256" i="30"/>
  <c r="DK258" i="30"/>
  <c r="CR245" i="30"/>
  <c r="CR244" i="30"/>
  <c r="CR243" i="30"/>
  <c r="Y245" i="30"/>
  <c r="Y244" i="30"/>
  <c r="Y243" i="30"/>
  <c r="CM257" i="30"/>
  <c r="CM256" i="30"/>
  <c r="CM258" i="30"/>
  <c r="CH245" i="30"/>
  <c r="CH244" i="30"/>
  <c r="CH243" i="30"/>
  <c r="O245" i="30"/>
  <c r="O244" i="30"/>
  <c r="O243" i="30"/>
  <c r="BO257" i="30"/>
  <c r="BO256" i="30"/>
  <c r="BO258" i="30"/>
  <c r="CV245" i="30"/>
  <c r="CV244" i="30"/>
  <c r="CV243" i="30"/>
  <c r="AO245" i="30"/>
  <c r="AO244" i="30"/>
  <c r="AO243" i="30"/>
  <c r="BS270" i="30"/>
  <c r="BS269" i="30"/>
  <c r="BS271" i="30"/>
  <c r="L269" i="30"/>
  <c r="L270" i="30"/>
  <c r="L271" i="30"/>
  <c r="AS256" i="30"/>
  <c r="AS258" i="30"/>
  <c r="AS257" i="30"/>
  <c r="BU271" i="30"/>
  <c r="BU269" i="30"/>
  <c r="BU270" i="30"/>
  <c r="CU278" i="30"/>
  <c r="CU277" i="30"/>
  <c r="CU279" i="30"/>
  <c r="DR271" i="30"/>
  <c r="DR270" i="30"/>
  <c r="DR269" i="30"/>
  <c r="AA271" i="30"/>
  <c r="AA270" i="30"/>
  <c r="AA269" i="30"/>
  <c r="AW278" i="30"/>
  <c r="AW277" i="30"/>
  <c r="AW279" i="30"/>
  <c r="BT256" i="30"/>
  <c r="BT258" i="30"/>
  <c r="BT257" i="30"/>
  <c r="CV271" i="30"/>
  <c r="CV270" i="30"/>
  <c r="CV269" i="30"/>
  <c r="M258" i="30"/>
  <c r="M257" i="30"/>
  <c r="M256" i="30"/>
  <c r="AC271" i="30"/>
  <c r="AC270" i="30"/>
  <c r="AC269" i="30"/>
  <c r="AY278" i="30"/>
  <c r="AY277" i="30"/>
  <c r="AY279" i="30"/>
  <c r="BZ271" i="30"/>
  <c r="BZ270" i="30"/>
  <c r="BZ269" i="30"/>
  <c r="DN279" i="30"/>
  <c r="DN278" i="30"/>
  <c r="DN277" i="30"/>
  <c r="S271" i="30"/>
  <c r="S270" i="30"/>
  <c r="S269" i="30"/>
  <c r="CJ258" i="30"/>
  <c r="CJ256" i="30"/>
  <c r="CJ257" i="30"/>
  <c r="CZ271" i="30"/>
  <c r="CZ270" i="30"/>
  <c r="CZ269" i="30"/>
  <c r="Q256" i="30"/>
  <c r="Q258" i="30"/>
  <c r="Q257" i="30"/>
  <c r="BQ279" i="30"/>
  <c r="BQ278" i="30"/>
  <c r="BQ277" i="30"/>
  <c r="AN122" i="30"/>
  <c r="AN37" i="30"/>
  <c r="DD122" i="30"/>
  <c r="DD37" i="30"/>
  <c r="BY122" i="30"/>
  <c r="BY37" i="30"/>
  <c r="U122" i="30"/>
  <c r="U37" i="30"/>
  <c r="CB122" i="30"/>
  <c r="CB37" i="30"/>
  <c r="AY154" i="30"/>
  <c r="EC122" i="30"/>
  <c r="EC37" i="30"/>
  <c r="AT154" i="30"/>
  <c r="BM154" i="30"/>
  <c r="EE122" i="30"/>
  <c r="EE37" i="30"/>
  <c r="S122" i="30"/>
  <c r="S37" i="30"/>
  <c r="BJ122" i="30"/>
  <c r="BJ37" i="30"/>
  <c r="BX154" i="30"/>
  <c r="DR154" i="30"/>
  <c r="BC154" i="30"/>
  <c r="N122" i="30"/>
  <c r="N37" i="30"/>
  <c r="AB122" i="30"/>
  <c r="AB37" i="30"/>
  <c r="AX154" i="30"/>
  <c r="AV122" i="30"/>
  <c r="AV37" i="30"/>
  <c r="CF154" i="30"/>
  <c r="I118" i="30"/>
  <c r="I22" i="30"/>
  <c r="BG118" i="30"/>
  <c r="BG22" i="30"/>
  <c r="BF118" i="30"/>
  <c r="BF22" i="30"/>
  <c r="BI118" i="30"/>
  <c r="BI22" i="30"/>
  <c r="BJ118" i="30"/>
  <c r="BJ22" i="30"/>
  <c r="BW118" i="30"/>
  <c r="BW22" i="30"/>
  <c r="BL118" i="30"/>
  <c r="BL22" i="30"/>
  <c r="AC118" i="30"/>
  <c r="AC22" i="30"/>
  <c r="H145" i="6"/>
  <c r="J271" i="30"/>
  <c r="J270" i="30"/>
  <c r="J269" i="30"/>
  <c r="AP245" i="30"/>
  <c r="AP244" i="30"/>
  <c r="AP243" i="30"/>
  <c r="CE279" i="30"/>
  <c r="CE278" i="30"/>
  <c r="CE277" i="30"/>
  <c r="CY244" i="30"/>
  <c r="CY243" i="30"/>
  <c r="CY245" i="30"/>
  <c r="AS244" i="30"/>
  <c r="AS243" i="30"/>
  <c r="AS245" i="30"/>
  <c r="CQ270" i="30"/>
  <c r="CQ269" i="30"/>
  <c r="CQ271" i="30"/>
  <c r="DB245" i="30"/>
  <c r="DB243" i="30"/>
  <c r="DB244" i="30"/>
  <c r="AI245" i="30"/>
  <c r="AI244" i="30"/>
  <c r="AI243" i="30"/>
  <c r="AI270" i="30"/>
  <c r="AI269" i="30"/>
  <c r="AI271" i="30"/>
  <c r="DD245" i="30"/>
  <c r="DD244" i="30"/>
  <c r="DD243" i="30"/>
  <c r="AK245" i="30"/>
  <c r="AK244" i="30"/>
  <c r="AK243" i="30"/>
  <c r="DO256" i="30"/>
  <c r="DO258" i="30"/>
  <c r="DO257" i="30"/>
  <c r="CT245" i="30"/>
  <c r="CT244" i="30"/>
  <c r="CT243" i="30"/>
  <c r="AA245" i="30"/>
  <c r="AA244" i="30"/>
  <c r="AA243" i="30"/>
  <c r="CQ257" i="30"/>
  <c r="CQ258" i="30"/>
  <c r="CQ256" i="30"/>
  <c r="DH245" i="30"/>
  <c r="DH244" i="30"/>
  <c r="DH243" i="30"/>
  <c r="BA245" i="30"/>
  <c r="BA244" i="30"/>
  <c r="BA243" i="30"/>
  <c r="BF279" i="30"/>
  <c r="BF278" i="30"/>
  <c r="BF277" i="30"/>
  <c r="X269" i="30"/>
  <c r="X270" i="30"/>
  <c r="X271" i="30"/>
  <c r="AT279" i="30"/>
  <c r="AT278" i="30"/>
  <c r="AT277" i="30"/>
  <c r="BE257" i="30"/>
  <c r="BE256" i="30"/>
  <c r="BE258" i="30"/>
  <c r="CG271" i="30"/>
  <c r="CG270" i="30"/>
  <c r="CG269" i="30"/>
  <c r="DI279" i="30"/>
  <c r="DI278" i="30"/>
  <c r="DI277" i="30"/>
  <c r="I278" i="30"/>
  <c r="I279" i="30"/>
  <c r="I277" i="30"/>
  <c r="AM271" i="30"/>
  <c r="AM270" i="30"/>
  <c r="AM269" i="30"/>
  <c r="BJ278" i="30"/>
  <c r="BJ277" i="30"/>
  <c r="BJ279" i="30"/>
  <c r="CF257" i="30"/>
  <c r="CF256" i="30"/>
  <c r="CF258" i="30"/>
  <c r="DH271" i="30"/>
  <c r="DH270" i="30"/>
  <c r="DH269" i="30"/>
  <c r="Y258" i="30"/>
  <c r="Y257" i="30"/>
  <c r="Y256" i="30"/>
  <c r="AO271" i="30"/>
  <c r="AO270" i="30"/>
  <c r="AO269" i="30"/>
  <c r="BM279" i="30"/>
  <c r="BM278" i="30"/>
  <c r="BM277" i="30"/>
  <c r="CL271" i="30"/>
  <c r="CL270" i="30"/>
  <c r="CL269" i="30"/>
  <c r="O256" i="30"/>
  <c r="O258" i="30"/>
  <c r="O257" i="30"/>
  <c r="AE271" i="30"/>
  <c r="AE270" i="30"/>
  <c r="AE269" i="30"/>
  <c r="BO277" i="30"/>
  <c r="BO279" i="30"/>
  <c r="BO278" i="30"/>
  <c r="CV258" i="30"/>
  <c r="CV257" i="30"/>
  <c r="CV256" i="30"/>
  <c r="DL271" i="30"/>
  <c r="DL270" i="30"/>
  <c r="DL269" i="30"/>
  <c r="AC256" i="30"/>
  <c r="AC258" i="30"/>
  <c r="AC257" i="30"/>
  <c r="AS271" i="30"/>
  <c r="AS270" i="30"/>
  <c r="AS269" i="30"/>
  <c r="CD279" i="30"/>
  <c r="CD278" i="30"/>
  <c r="CD277" i="30"/>
  <c r="P278" i="30"/>
  <c r="P279" i="30"/>
  <c r="P277" i="30"/>
  <c r="CI154" i="30"/>
  <c r="ED154" i="30"/>
  <c r="Z122" i="30"/>
  <c r="Z37" i="30"/>
  <c r="CH122" i="30"/>
  <c r="CH37" i="30"/>
  <c r="DJ154" i="30"/>
  <c r="AK122" i="30"/>
  <c r="AK37" i="30"/>
  <c r="BD122" i="30"/>
  <c r="BD37" i="30"/>
  <c r="DC154" i="30"/>
  <c r="EA154" i="30"/>
  <c r="EC154" i="30"/>
  <c r="DY122" i="30"/>
  <c r="DY37" i="30"/>
  <c r="BE122" i="30"/>
  <c r="BE37" i="30"/>
  <c r="DS154" i="30"/>
  <c r="AJ122" i="30"/>
  <c r="AJ37" i="30"/>
  <c r="BP154" i="30"/>
  <c r="DP154" i="30"/>
  <c r="W122" i="30"/>
  <c r="W37" i="30"/>
  <c r="AQ154" i="30"/>
  <c r="DZ154" i="30"/>
  <c r="EE154" i="30"/>
  <c r="F122" i="30"/>
  <c r="F37" i="30"/>
  <c r="AI154" i="30"/>
  <c r="DQ122" i="30"/>
  <c r="DQ37" i="30"/>
  <c r="DB122" i="30"/>
  <c r="DB37" i="30"/>
  <c r="L118" i="30"/>
  <c r="L22" i="30"/>
  <c r="DC118" i="30"/>
  <c r="DC22" i="30"/>
  <c r="BR118" i="30"/>
  <c r="BR22" i="30"/>
  <c r="BU118" i="30"/>
  <c r="BU22" i="30"/>
  <c r="BV118" i="30"/>
  <c r="BV22" i="30"/>
  <c r="CI118" i="30"/>
  <c r="CI22" i="30"/>
  <c r="BX118" i="30"/>
  <c r="BX22" i="30"/>
  <c r="AO118" i="30"/>
  <c r="AO22" i="30"/>
  <c r="F118" i="30"/>
  <c r="F22" i="30"/>
  <c r="G118" i="30"/>
  <c r="G22" i="30"/>
  <c r="H118" i="30"/>
  <c r="H22" i="30"/>
  <c r="T243" i="30"/>
  <c r="T245" i="30"/>
  <c r="T244" i="30"/>
  <c r="DJ245" i="30"/>
  <c r="DJ244" i="30"/>
  <c r="DJ243" i="30"/>
  <c r="DK244" i="30"/>
  <c r="DK243" i="30"/>
  <c r="DK245" i="30"/>
  <c r="BE244" i="30"/>
  <c r="BE243" i="30"/>
  <c r="BE245" i="30"/>
  <c r="F278" i="30"/>
  <c r="F279" i="30"/>
  <c r="F277" i="30"/>
  <c r="DN245" i="30"/>
  <c r="DN243" i="30"/>
  <c r="DN244" i="30"/>
  <c r="AU245" i="30"/>
  <c r="AU244" i="30"/>
  <c r="AU243" i="30"/>
  <c r="DC270" i="30"/>
  <c r="DC269" i="30"/>
  <c r="DC271" i="30"/>
  <c r="DP245" i="30"/>
  <c r="DP244" i="30"/>
  <c r="DP243" i="30"/>
  <c r="AW245" i="30"/>
  <c r="AW244" i="30"/>
  <c r="AW243" i="30"/>
  <c r="AU270" i="30"/>
  <c r="AU269" i="30"/>
  <c r="AU271" i="30"/>
  <c r="DF245" i="30"/>
  <c r="DF244" i="30"/>
  <c r="DF243" i="30"/>
  <c r="AM245" i="30"/>
  <c r="AM244" i="30"/>
  <c r="AM243" i="30"/>
  <c r="BG270" i="30"/>
  <c r="BG269" i="30"/>
  <c r="BG271" i="30"/>
  <c r="DT245" i="30"/>
  <c r="DT244" i="30"/>
  <c r="DT243" i="30"/>
  <c r="BM245" i="30"/>
  <c r="BM244" i="30"/>
  <c r="BM243" i="30"/>
  <c r="H256" i="30"/>
  <c r="H258" i="30"/>
  <c r="H257" i="30"/>
  <c r="AJ269" i="30"/>
  <c r="AJ271" i="30"/>
  <c r="AJ270" i="30"/>
  <c r="BG279" i="30"/>
  <c r="BG278" i="30"/>
  <c r="BG277" i="30"/>
  <c r="BQ257" i="30"/>
  <c r="BQ256" i="30"/>
  <c r="BQ258" i="30"/>
  <c r="CS271" i="30"/>
  <c r="CS270" i="30"/>
  <c r="CS269" i="30"/>
  <c r="V278" i="30"/>
  <c r="V277" i="30"/>
  <c r="V279" i="30"/>
  <c r="AY271" i="30"/>
  <c r="AY270" i="30"/>
  <c r="AY269" i="30"/>
  <c r="BW278" i="30"/>
  <c r="BW277" i="30"/>
  <c r="BW279" i="30"/>
  <c r="CR257" i="30"/>
  <c r="CR258" i="30"/>
  <c r="CR256" i="30"/>
  <c r="DT271" i="30"/>
  <c r="DT270" i="30"/>
  <c r="DT269" i="30"/>
  <c r="AK258" i="30"/>
  <c r="AK257" i="30"/>
  <c r="AK256" i="30"/>
  <c r="BA271" i="30"/>
  <c r="BA270" i="30"/>
  <c r="BA269" i="30"/>
  <c r="BZ278" i="30"/>
  <c r="BZ277" i="30"/>
  <c r="BZ279" i="30"/>
  <c r="CX271" i="30"/>
  <c r="CX270" i="30"/>
  <c r="CX269" i="30"/>
  <c r="AA256" i="30"/>
  <c r="AA257" i="30"/>
  <c r="AA258" i="30"/>
  <c r="AQ271" i="30"/>
  <c r="AQ270" i="30"/>
  <c r="AQ269" i="30"/>
  <c r="CB279" i="30"/>
  <c r="CB277" i="30"/>
  <c r="CB278" i="30"/>
  <c r="DH258" i="30"/>
  <c r="DH257" i="30"/>
  <c r="DH256" i="30"/>
  <c r="O278" i="30"/>
  <c r="O279" i="30"/>
  <c r="O277" i="30"/>
  <c r="AO257" i="30"/>
  <c r="AO256" i="30"/>
  <c r="AO258" i="30"/>
  <c r="BE271" i="30"/>
  <c r="BE270" i="30"/>
  <c r="BE269" i="30"/>
  <c r="CQ279" i="30"/>
  <c r="CQ278" i="30"/>
  <c r="CQ277" i="30"/>
  <c r="AB278" i="30"/>
  <c r="AB277" i="30"/>
  <c r="AB279" i="30"/>
  <c r="CR154" i="30"/>
  <c r="BB122" i="30"/>
  <c r="BB37" i="30"/>
  <c r="EB154" i="30"/>
  <c r="AF122" i="30"/>
  <c r="AF37" i="30"/>
  <c r="CQ122" i="30"/>
  <c r="CQ37" i="30"/>
  <c r="I122" i="30"/>
  <c r="I37" i="30"/>
  <c r="CQ154" i="30"/>
  <c r="DG122" i="30"/>
  <c r="DG37" i="30"/>
  <c r="AL154" i="30"/>
  <c r="EB122" i="30"/>
  <c r="EB37" i="30"/>
  <c r="DJ122" i="30"/>
  <c r="DJ37" i="30"/>
  <c r="BE118" i="30"/>
  <c r="BE22" i="30"/>
  <c r="CD118" i="30"/>
  <c r="CD22" i="30"/>
  <c r="CG118" i="30"/>
  <c r="CG22" i="30"/>
  <c r="CH118" i="30"/>
  <c r="CH22" i="30"/>
  <c r="CU118" i="30"/>
  <c r="CU22" i="30"/>
  <c r="CJ118" i="30"/>
  <c r="CJ22" i="30"/>
  <c r="BA118" i="30"/>
  <c r="BA22" i="30"/>
  <c r="R118" i="30"/>
  <c r="R22" i="30"/>
  <c r="S118" i="30"/>
  <c r="S22" i="30"/>
  <c r="T118" i="30"/>
  <c r="T22" i="30"/>
  <c r="Z257" i="30"/>
  <c r="Z256" i="30"/>
  <c r="Z258" i="30"/>
  <c r="AY245" i="30"/>
  <c r="AY244" i="30"/>
  <c r="AY243" i="30"/>
  <c r="T256" i="30"/>
  <c r="T258" i="30"/>
  <c r="T257" i="30"/>
  <c r="DE271" i="30"/>
  <c r="DE269" i="30"/>
  <c r="DE270" i="30"/>
  <c r="AI278" i="30"/>
  <c r="AI277" i="30"/>
  <c r="AI279" i="30"/>
  <c r="BK271" i="30"/>
  <c r="BK270" i="30"/>
  <c r="BK269" i="30"/>
  <c r="DD257" i="30"/>
  <c r="DD256" i="30"/>
  <c r="DD258" i="30"/>
  <c r="K278" i="30"/>
  <c r="K279" i="30"/>
  <c r="K277" i="30"/>
  <c r="AW258" i="30"/>
  <c r="AW257" i="30"/>
  <c r="AW256" i="30"/>
  <c r="BM271" i="30"/>
  <c r="BM270" i="30"/>
  <c r="BM269" i="30"/>
  <c r="CM277" i="30"/>
  <c r="CM279" i="30"/>
  <c r="CM278" i="30"/>
  <c r="DJ271" i="30"/>
  <c r="DJ270" i="30"/>
  <c r="DJ269" i="30"/>
  <c r="AM256" i="30"/>
  <c r="AM257" i="30"/>
  <c r="AM258" i="30"/>
  <c r="DT258" i="30"/>
  <c r="DT257" i="30"/>
  <c r="DT256" i="30"/>
  <c r="AC279" i="30"/>
  <c r="AC278" i="30"/>
  <c r="AC277" i="30"/>
  <c r="BA257" i="30"/>
  <c r="BA256" i="30"/>
  <c r="BA258" i="30"/>
  <c r="BQ271" i="30"/>
  <c r="BQ270" i="30"/>
  <c r="BQ269" i="30"/>
  <c r="DD279" i="30"/>
  <c r="DD278" i="30"/>
  <c r="DD277" i="30"/>
  <c r="AN278" i="30"/>
  <c r="AN277" i="30"/>
  <c r="AN279" i="30"/>
  <c r="CG154" i="30"/>
  <c r="AS154" i="30"/>
  <c r="DN122" i="30"/>
  <c r="DN37" i="30"/>
  <c r="CA154" i="30"/>
  <c r="H122" i="30"/>
  <c r="H37" i="30"/>
  <c r="BL122" i="30"/>
  <c r="BL37" i="30"/>
  <c r="DK122" i="30"/>
  <c r="DK37" i="30"/>
  <c r="EG122" i="30"/>
  <c r="EG37" i="30"/>
  <c r="CA122" i="30"/>
  <c r="CA37" i="30"/>
  <c r="CK122" i="30"/>
  <c r="CK37" i="30"/>
  <c r="CS154" i="30"/>
  <c r="BG154" i="30"/>
  <c r="DX154" i="30"/>
  <c r="BW122" i="30"/>
  <c r="BW37" i="30"/>
  <c r="CP122" i="30"/>
  <c r="CP37" i="30"/>
  <c r="E162" i="30"/>
  <c r="DO154" i="30"/>
  <c r="AS122" i="30"/>
  <c r="AS37" i="30"/>
  <c r="CV122" i="30"/>
  <c r="CV37" i="30"/>
  <c r="AJ154" i="30"/>
  <c r="BF122" i="30"/>
  <c r="BF37" i="30"/>
  <c r="BZ154" i="30"/>
  <c r="AV118" i="30"/>
  <c r="AV22" i="30"/>
  <c r="CP118" i="30"/>
  <c r="CP22" i="30"/>
  <c r="CS118" i="30"/>
  <c r="CS22" i="30"/>
  <c r="CT118" i="30"/>
  <c r="CT22" i="30"/>
  <c r="DG118" i="30"/>
  <c r="DG22" i="30"/>
  <c r="CV118" i="30"/>
  <c r="CV22" i="30"/>
  <c r="BM118" i="30"/>
  <c r="BM22" i="30"/>
  <c r="AD118" i="30"/>
  <c r="AD22" i="30"/>
  <c r="AE118" i="30"/>
  <c r="AE22" i="30"/>
  <c r="AF118" i="30"/>
  <c r="AF22" i="30"/>
  <c r="CN243" i="30"/>
  <c r="CN245" i="30"/>
  <c r="CN244" i="30"/>
  <c r="BN245" i="30"/>
  <c r="BN244" i="30"/>
  <c r="BN243" i="30"/>
  <c r="S257" i="30"/>
  <c r="S256" i="30"/>
  <c r="S258" i="30"/>
  <c r="BQ244" i="30"/>
  <c r="BQ243" i="30"/>
  <c r="BQ245" i="30"/>
  <c r="CF279" i="30"/>
  <c r="CF278" i="30"/>
  <c r="CF277" i="30"/>
  <c r="S277" i="30"/>
  <c r="S279" i="30"/>
  <c r="S278" i="30"/>
  <c r="AE257" i="30"/>
  <c r="AE256" i="30"/>
  <c r="AE258" i="30"/>
  <c r="BI245" i="30"/>
  <c r="BI244" i="30"/>
  <c r="BI243" i="30"/>
  <c r="DO270" i="30"/>
  <c r="DO269" i="30"/>
  <c r="DO271" i="30"/>
  <c r="DR245" i="30"/>
  <c r="DR244" i="30"/>
  <c r="DR243" i="30"/>
  <c r="AS279" i="30"/>
  <c r="AS278" i="30"/>
  <c r="AS277" i="30"/>
  <c r="K257" i="30"/>
  <c r="K256" i="30"/>
  <c r="K258" i="30"/>
  <c r="BY245" i="30"/>
  <c r="BY244" i="30"/>
  <c r="BY243" i="30"/>
  <c r="AV269" i="30"/>
  <c r="AV271" i="30"/>
  <c r="AV270" i="30"/>
  <c r="BT279" i="30"/>
  <c r="BT278" i="30"/>
  <c r="BT277" i="30"/>
  <c r="CC257" i="30"/>
  <c r="CC256" i="30"/>
  <c r="CC258" i="30"/>
  <c r="N271" i="30"/>
  <c r="N270" i="30"/>
  <c r="N269" i="30"/>
  <c r="CK279" i="30"/>
  <c r="CK278" i="30"/>
  <c r="CK277" i="30"/>
  <c r="CO279" i="30"/>
  <c r="CO278" i="30"/>
  <c r="CO277" i="30"/>
  <c r="V271" i="30"/>
  <c r="V270" i="30"/>
  <c r="V269" i="30"/>
  <c r="AR243" i="30"/>
  <c r="AR245" i="30"/>
  <c r="AR244" i="30"/>
  <c r="CY257" i="30"/>
  <c r="CY258" i="30"/>
  <c r="CY256" i="30"/>
  <c r="AU256" i="30"/>
  <c r="AU258" i="30"/>
  <c r="AU257" i="30"/>
  <c r="CC244" i="30"/>
  <c r="CC245" i="30"/>
  <c r="CC243" i="30"/>
  <c r="BC257" i="30"/>
  <c r="BC256" i="30"/>
  <c r="BC258" i="30"/>
  <c r="BS245" i="30"/>
  <c r="BS244" i="30"/>
  <c r="BS243" i="30"/>
  <c r="CS279" i="30"/>
  <c r="CS278" i="30"/>
  <c r="CS277" i="30"/>
  <c r="BG256" i="30"/>
  <c r="BG258" i="30"/>
  <c r="BG257" i="30"/>
  <c r="BU245" i="30"/>
  <c r="BU244" i="30"/>
  <c r="BU243" i="30"/>
  <c r="G257" i="30"/>
  <c r="G258" i="30"/>
  <c r="G256" i="30"/>
  <c r="BK245" i="30"/>
  <c r="BK244" i="30"/>
  <c r="BK243" i="30"/>
  <c r="DS279" i="30"/>
  <c r="DS278" i="30"/>
  <c r="DS277" i="30"/>
  <c r="AP258" i="30"/>
  <c r="AP257" i="30"/>
  <c r="AP256" i="30"/>
  <c r="CK245" i="30"/>
  <c r="CK244" i="30"/>
  <c r="CK243" i="30"/>
  <c r="BH269" i="30"/>
  <c r="BH270" i="30"/>
  <c r="BH271" i="30"/>
  <c r="CG279" i="30"/>
  <c r="CG278" i="30"/>
  <c r="CG277" i="30"/>
  <c r="CO258" i="30"/>
  <c r="CO257" i="30"/>
  <c r="CO256" i="30"/>
  <c r="DQ271" i="30"/>
  <c r="DQ269" i="30"/>
  <c r="DQ270" i="30"/>
  <c r="Z271" i="30"/>
  <c r="Z270" i="30"/>
  <c r="Z269" i="30"/>
  <c r="AV278" i="30"/>
  <c r="AV277" i="30"/>
  <c r="AV279" i="30"/>
  <c r="BW271" i="30"/>
  <c r="BW270" i="30"/>
  <c r="BW269" i="30"/>
  <c r="CX278" i="30"/>
  <c r="CX277" i="30"/>
  <c r="CX279" i="30"/>
  <c r="DP256" i="30"/>
  <c r="DP258" i="30"/>
  <c r="DP257" i="30"/>
  <c r="X278" i="30"/>
  <c r="X277" i="30"/>
  <c r="X279" i="30"/>
  <c r="BI258" i="30"/>
  <c r="BI256" i="30"/>
  <c r="BI257" i="30"/>
  <c r="BY271" i="30"/>
  <c r="BY270" i="30"/>
  <c r="BY269" i="30"/>
  <c r="CZ279" i="30"/>
  <c r="CZ277" i="30"/>
  <c r="CZ278" i="30"/>
  <c r="M278" i="30"/>
  <c r="M279" i="30"/>
  <c r="M277" i="30"/>
  <c r="AY256" i="30"/>
  <c r="AY258" i="30"/>
  <c r="AY257" i="30"/>
  <c r="BO271" i="30"/>
  <c r="BO270" i="30"/>
  <c r="BO269" i="30"/>
  <c r="DB279" i="30"/>
  <c r="DB278" i="30"/>
  <c r="DB277" i="30"/>
  <c r="H271" i="30"/>
  <c r="H270" i="30"/>
  <c r="H269" i="30"/>
  <c r="AP278" i="30"/>
  <c r="AP277" i="30"/>
  <c r="AP279" i="30"/>
  <c r="BM258" i="30"/>
  <c r="BM257" i="30"/>
  <c r="BM256" i="30"/>
  <c r="CC271" i="30"/>
  <c r="CC270" i="30"/>
  <c r="CC269" i="30"/>
  <c r="DQ279" i="30"/>
  <c r="DQ278" i="30"/>
  <c r="DQ277" i="30"/>
  <c r="AZ278" i="30"/>
  <c r="AZ277" i="30"/>
  <c r="AZ279" i="30"/>
  <c r="BM122" i="30"/>
  <c r="BM37" i="30"/>
  <c r="DQ154" i="30"/>
  <c r="CE122" i="30"/>
  <c r="CE37" i="30"/>
  <c r="BY154" i="30"/>
  <c r="AR154" i="30"/>
  <c r="AC122" i="30"/>
  <c r="AC37" i="30"/>
  <c r="AZ154" i="30"/>
  <c r="CY154" i="30"/>
  <c r="DA154" i="30"/>
  <c r="O122" i="30"/>
  <c r="O37" i="30"/>
  <c r="BI154" i="30"/>
  <c r="CN154" i="30"/>
  <c r="CZ154" i="30"/>
  <c r="DM154" i="30"/>
  <c r="BT154" i="30"/>
  <c r="CD154" i="30"/>
  <c r="BB154" i="30"/>
  <c r="AI122" i="30"/>
  <c r="AI37" i="30"/>
  <c r="CC122" i="30"/>
  <c r="CC37" i="30"/>
  <c r="BO122" i="30"/>
  <c r="BO37" i="30"/>
  <c r="CJ154" i="30"/>
  <c r="BU122" i="30"/>
  <c r="BU37" i="30"/>
  <c r="AP122" i="30"/>
  <c r="AP37" i="30"/>
  <c r="BH118" i="30"/>
  <c r="BH22" i="30"/>
  <c r="AS118" i="30"/>
  <c r="AS22" i="30"/>
  <c r="CR118" i="30"/>
  <c r="CR22" i="30"/>
  <c r="DB118" i="30"/>
  <c r="DB22" i="30"/>
  <c r="DE118" i="30"/>
  <c r="DE22" i="30"/>
  <c r="DF118" i="30"/>
  <c r="DF22" i="30"/>
  <c r="DS118" i="30"/>
  <c r="DS22" i="30"/>
  <c r="DH118" i="30"/>
  <c r="DH22" i="30"/>
  <c r="BY118" i="30"/>
  <c r="BY22" i="30"/>
  <c r="AP118" i="30"/>
  <c r="AP22" i="30"/>
  <c r="AQ118" i="30"/>
  <c r="AQ22" i="30"/>
  <c r="AR118" i="30"/>
  <c r="AR22" i="30"/>
  <c r="BA122" i="30"/>
  <c r="BA37" i="30"/>
  <c r="CW122" i="30"/>
  <c r="CW37" i="30"/>
  <c r="H164" i="6"/>
  <c r="AT256" i="30"/>
  <c r="AT258" i="30"/>
  <c r="AT257" i="30"/>
  <c r="BG245" i="30"/>
  <c r="BG244" i="30"/>
  <c r="BG243" i="30"/>
  <c r="BC271" i="30"/>
  <c r="BC270" i="30"/>
  <c r="BC269" i="30"/>
  <c r="DC258" i="30"/>
  <c r="DC257" i="30"/>
  <c r="DC256" i="30"/>
  <c r="AD245" i="30"/>
  <c r="AD244" i="30"/>
  <c r="AD243" i="30"/>
  <c r="DL243" i="30"/>
  <c r="DL245" i="30"/>
  <c r="DL244" i="30"/>
  <c r="G244" i="30"/>
  <c r="G243" i="30"/>
  <c r="G245" i="30"/>
  <c r="BZ258" i="30"/>
  <c r="BZ257" i="30"/>
  <c r="BZ256" i="30"/>
  <c r="CO244" i="30"/>
  <c r="CO245" i="30"/>
  <c r="CO243" i="30"/>
  <c r="J245" i="30"/>
  <c r="J243" i="30"/>
  <c r="J244" i="30"/>
  <c r="CE257" i="30"/>
  <c r="CE256" i="30"/>
  <c r="CE258" i="30"/>
  <c r="CE245" i="30"/>
  <c r="CE244" i="30"/>
  <c r="CE243" i="30"/>
  <c r="L245" i="30"/>
  <c r="L244" i="30"/>
  <c r="L243" i="30"/>
  <c r="CL258" i="30"/>
  <c r="CL256" i="30"/>
  <c r="CL257" i="30"/>
  <c r="CG245" i="30"/>
  <c r="CG244" i="30"/>
  <c r="CG243" i="30"/>
  <c r="DF279" i="30"/>
  <c r="DF278" i="30"/>
  <c r="DF277" i="30"/>
  <c r="AI258" i="30"/>
  <c r="AI257" i="30"/>
  <c r="AI256" i="30"/>
  <c r="BW245" i="30"/>
  <c r="BW244" i="30"/>
  <c r="BW243" i="30"/>
  <c r="P245" i="30"/>
  <c r="P244" i="30"/>
  <c r="P243" i="30"/>
  <c r="BR257" i="30"/>
  <c r="BR256" i="30"/>
  <c r="BR258" i="30"/>
  <c r="CW245" i="30"/>
  <c r="CW244" i="30"/>
  <c r="CW243" i="30"/>
  <c r="AR256" i="30"/>
  <c r="AR258" i="30"/>
  <c r="AR257" i="30"/>
  <c r="BT269" i="30"/>
  <c r="BT270" i="30"/>
  <c r="BT271" i="30"/>
  <c r="CT279" i="30"/>
  <c r="CT278" i="30"/>
  <c r="CT277" i="30"/>
  <c r="DA258" i="30"/>
  <c r="DA256" i="30"/>
  <c r="DA257" i="30"/>
  <c r="H279" i="30"/>
  <c r="H277" i="30"/>
  <c r="H278" i="30"/>
  <c r="AL271" i="30"/>
  <c r="AL270" i="30"/>
  <c r="AL269" i="30"/>
  <c r="BI278" i="30"/>
  <c r="BI277" i="30"/>
  <c r="BI279" i="30"/>
  <c r="CI271" i="30"/>
  <c r="CI270" i="30"/>
  <c r="CI269" i="30"/>
  <c r="DK278" i="30"/>
  <c r="DK277" i="30"/>
  <c r="DK279" i="30"/>
  <c r="P271" i="30"/>
  <c r="P270" i="30"/>
  <c r="P269" i="30"/>
  <c r="AK278" i="30"/>
  <c r="AK277" i="30"/>
  <c r="AK279" i="30"/>
  <c r="BU258" i="30"/>
  <c r="BU256" i="30"/>
  <c r="BU257" i="30"/>
  <c r="CK271" i="30"/>
  <c r="CK270" i="30"/>
  <c r="CK269" i="30"/>
  <c r="DM279" i="30"/>
  <c r="DM277" i="30"/>
  <c r="DM278" i="30"/>
  <c r="Z278" i="30"/>
  <c r="Z277" i="30"/>
  <c r="Z279" i="30"/>
  <c r="BK256" i="30"/>
  <c r="BK258" i="30"/>
  <c r="BK257" i="30"/>
  <c r="CA271" i="30"/>
  <c r="CA270" i="30"/>
  <c r="CA269" i="30"/>
  <c r="DO279" i="30"/>
  <c r="DO278" i="30"/>
  <c r="DO277" i="30"/>
  <c r="T271" i="30"/>
  <c r="T270" i="30"/>
  <c r="T269" i="30"/>
  <c r="BC277" i="30"/>
  <c r="BC279" i="30"/>
  <c r="BC278" i="30"/>
  <c r="BY256" i="30"/>
  <c r="BY258" i="30"/>
  <c r="BY257" i="30"/>
  <c r="CO271" i="30"/>
  <c r="CO270" i="30"/>
  <c r="CO269" i="30"/>
  <c r="BL278" i="30"/>
  <c r="BL277" i="30"/>
  <c r="BL279" i="30"/>
  <c r="AV154" i="30"/>
  <c r="BR122" i="30"/>
  <c r="BR37" i="30"/>
  <c r="CC154" i="30"/>
  <c r="DB154" i="30"/>
  <c r="DY154" i="30"/>
  <c r="DF122" i="30"/>
  <c r="DF37" i="30"/>
  <c r="AU122" i="30"/>
  <c r="AU37" i="30"/>
  <c r="DP122" i="30"/>
  <c r="DP37" i="30"/>
  <c r="AW122" i="30"/>
  <c r="AW37" i="30"/>
  <c r="CB154" i="30"/>
  <c r="DM122" i="30"/>
  <c r="DM37" i="30"/>
  <c r="EF122" i="30"/>
  <c r="EF37" i="30"/>
  <c r="BK154" i="30"/>
  <c r="AT122" i="30"/>
  <c r="AT37" i="30"/>
  <c r="AP154" i="30"/>
  <c r="BW154" i="30"/>
  <c r="DW122" i="30"/>
  <c r="DW37" i="30"/>
  <c r="J122" i="30"/>
  <c r="J37" i="30"/>
  <c r="CO118" i="30"/>
  <c r="CO22" i="30"/>
  <c r="DN118" i="30"/>
  <c r="DN22" i="30"/>
  <c r="DQ118" i="30"/>
  <c r="DQ22" i="30"/>
  <c r="DR118" i="30"/>
  <c r="DR22" i="30"/>
  <c r="EE118" i="30"/>
  <c r="EE22" i="30"/>
  <c r="DT118" i="30"/>
  <c r="DT22" i="30"/>
  <c r="CK118" i="30"/>
  <c r="CK22" i="30"/>
  <c r="BB118" i="30"/>
  <c r="BB22" i="30"/>
  <c r="BD118" i="30"/>
  <c r="BD22" i="30"/>
  <c r="F303" i="32"/>
  <c r="E303" i="32"/>
  <c r="N301" i="32"/>
  <c r="M301" i="32"/>
  <c r="L301" i="32"/>
  <c r="K301" i="32"/>
  <c r="J301" i="32"/>
  <c r="N303" i="32"/>
  <c r="M303" i="32"/>
  <c r="L303" i="32"/>
  <c r="K303" i="32"/>
  <c r="J303" i="32"/>
  <c r="H303" i="32"/>
  <c r="M54" i="55"/>
  <c r="T54" i="55" s="1"/>
  <c r="N11" i="42"/>
  <c r="N11" i="64" s="1"/>
  <c r="N264" i="32"/>
  <c r="T182" i="71"/>
  <c r="T26" i="71" s="1"/>
  <c r="T30" i="71"/>
  <c r="T127" i="71" s="1"/>
  <c r="DO182" i="71"/>
  <c r="DO26" i="71" s="1"/>
  <c r="DO30" i="71"/>
  <c r="DO127" i="71" s="1"/>
  <c r="DS126" i="71"/>
  <c r="AS123" i="69" s="1"/>
  <c r="AS26" i="69"/>
  <c r="CA182" i="71"/>
  <c r="CA26" i="71" s="1"/>
  <c r="CA30" i="71"/>
  <c r="CA127" i="71" s="1"/>
  <c r="BF182" i="71"/>
  <c r="BF26" i="71" s="1"/>
  <c r="BF30" i="71"/>
  <c r="AY126" i="71"/>
  <c r="U123" i="69" s="1"/>
  <c r="U26" i="69"/>
  <c r="BH182" i="71"/>
  <c r="BH26" i="71" s="1"/>
  <c r="BH30" i="71"/>
  <c r="X176" i="69"/>
  <c r="X179" i="69" s="1"/>
  <c r="DJ126" i="71"/>
  <c r="AP26" i="69"/>
  <c r="O24" i="68"/>
  <c r="CF182" i="71"/>
  <c r="CF26" i="71" s="1"/>
  <c r="CF30" i="71"/>
  <c r="AF176" i="69"/>
  <c r="AF179" i="69" s="1"/>
  <c r="CS182" i="71"/>
  <c r="CS26" i="71" s="1"/>
  <c r="CS30" i="71"/>
  <c r="CS127" i="71" s="1"/>
  <c r="AO182" i="71"/>
  <c r="AO26" i="71" s="1"/>
  <c r="AO30" i="71"/>
  <c r="AO127" i="71" s="1"/>
  <c r="BQ126" i="71"/>
  <c r="AA26" i="69"/>
  <c r="DB182" i="71"/>
  <c r="DB26" i="71" s="1"/>
  <c r="DB30" i="71"/>
  <c r="DB127" i="71" s="1"/>
  <c r="DV182" i="71"/>
  <c r="DV30" i="71"/>
  <c r="AT176" i="69"/>
  <c r="AT179" i="69" s="1"/>
  <c r="P174" i="68"/>
  <c r="BA182" i="71"/>
  <c r="BA26" i="71" s="1"/>
  <c r="BA30" i="71"/>
  <c r="BA127" i="71" s="1"/>
  <c r="U126" i="71"/>
  <c r="K26" i="69"/>
  <c r="F126" i="71"/>
  <c r="F26" i="69"/>
  <c r="F24" i="68"/>
  <c r="E220" i="68"/>
  <c r="E219" i="68"/>
  <c r="F219" i="68"/>
  <c r="F220" i="68"/>
  <c r="G219" i="68"/>
  <c r="G220" i="68"/>
  <c r="H220" i="68"/>
  <c r="H219" i="68"/>
  <c r="I219" i="68"/>
  <c r="I220" i="68"/>
  <c r="J220" i="68"/>
  <c r="J219" i="68"/>
  <c r="K220" i="68"/>
  <c r="K219" i="68"/>
  <c r="L220" i="68"/>
  <c r="L219" i="68"/>
  <c r="M219" i="68"/>
  <c r="M220" i="68"/>
  <c r="N219" i="68"/>
  <c r="N220" i="68"/>
  <c r="O219" i="68"/>
  <c r="O220" i="68"/>
  <c r="P219" i="68"/>
  <c r="P220" i="68"/>
  <c r="E182" i="71"/>
  <c r="E177" i="68" s="1"/>
  <c r="E181" i="71"/>
  <c r="F178" i="71" s="1"/>
  <c r="E30" i="71"/>
  <c r="E176" i="69"/>
  <c r="E174" i="68"/>
  <c r="E176" i="68" s="1"/>
  <c r="F173" i="68" s="1"/>
  <c r="AU182" i="71"/>
  <c r="AU26" i="71" s="1"/>
  <c r="AU30" i="71"/>
  <c r="AU127" i="71" s="1"/>
  <c r="CW182" i="71"/>
  <c r="CW26" i="71" s="1"/>
  <c r="CW30" i="71"/>
  <c r="CW127" i="71" s="1"/>
  <c r="CU126" i="71"/>
  <c r="AK123" i="69" s="1"/>
  <c r="AK26" i="69"/>
  <c r="DR182" i="71"/>
  <c r="DR26" i="71" s="1"/>
  <c r="DR30" i="71"/>
  <c r="DR127" i="71" s="1"/>
  <c r="I372" i="71"/>
  <c r="G161" i="69"/>
  <c r="G369" i="69" s="1"/>
  <c r="AW182" i="71"/>
  <c r="AW26" i="71" s="1"/>
  <c r="AW30" i="71"/>
  <c r="AW127" i="71" s="1"/>
  <c r="EG126" i="71"/>
  <c r="I123" i="69" s="1"/>
  <c r="I26" i="69"/>
  <c r="DS182" i="71"/>
  <c r="DS26" i="71" s="1"/>
  <c r="DS30" i="71"/>
  <c r="AS176" i="69"/>
  <c r="AS179" i="69" s="1"/>
  <c r="BO182" i="71"/>
  <c r="BO26" i="71" s="1"/>
  <c r="BO30" i="71"/>
  <c r="BO127" i="71" s="1"/>
  <c r="DG126" i="71"/>
  <c r="AO123" i="69" s="1"/>
  <c r="AO26" i="69"/>
  <c r="AY182" i="71"/>
  <c r="AY26" i="71" s="1"/>
  <c r="AY30" i="71"/>
  <c r="U176" i="69"/>
  <c r="U179" i="69" s="1"/>
  <c r="DN182" i="71"/>
  <c r="DN26" i="71" s="1"/>
  <c r="DN30" i="71"/>
  <c r="DN127" i="71" s="1"/>
  <c r="DJ182" i="71"/>
  <c r="DJ30" i="71"/>
  <c r="AP176" i="69"/>
  <c r="AP179" i="69" s="1"/>
  <c r="O174" i="68"/>
  <c r="EF182" i="71"/>
  <c r="EF26" i="71" s="1"/>
  <c r="EF30" i="71"/>
  <c r="EF127" i="71" s="1"/>
  <c r="BQ182" i="71"/>
  <c r="BQ26" i="71" s="1"/>
  <c r="BQ30" i="71"/>
  <c r="AA176" i="69"/>
  <c r="AA179" i="69" s="1"/>
  <c r="CX126" i="71"/>
  <c r="AL26" i="69"/>
  <c r="N24" i="68"/>
  <c r="U182" i="71"/>
  <c r="U26" i="71" s="1"/>
  <c r="U30" i="71"/>
  <c r="K176" i="69"/>
  <c r="K179" i="69" s="1"/>
  <c r="F182" i="71"/>
  <c r="F30" i="71"/>
  <c r="F176" i="69"/>
  <c r="F179" i="69" s="1"/>
  <c r="F174" i="68"/>
  <c r="CJ182" i="71"/>
  <c r="CJ26" i="71" s="1"/>
  <c r="CJ30" i="71"/>
  <c r="CJ127" i="71" s="1"/>
  <c r="AD126" i="71"/>
  <c r="N26" i="69"/>
  <c r="BX182" i="71"/>
  <c r="BX26" i="71" s="1"/>
  <c r="BX30" i="71"/>
  <c r="BX127" i="71" s="1"/>
  <c r="D207" i="69"/>
  <c r="D205" i="68"/>
  <c r="EC182" i="71"/>
  <c r="EC26" i="71" s="1"/>
  <c r="EC30" i="71"/>
  <c r="EC127" i="71" s="1"/>
  <c r="AG126" i="71"/>
  <c r="BB126" i="71"/>
  <c r="V26" i="69"/>
  <c r="J24" i="68"/>
  <c r="BG182" i="71"/>
  <c r="BG26" i="71" s="1"/>
  <c r="BG30" i="71"/>
  <c r="BG127" i="71" s="1"/>
  <c r="CU182" i="71"/>
  <c r="CU26" i="71" s="1"/>
  <c r="CU30" i="71"/>
  <c r="AK176" i="69"/>
  <c r="AK179" i="69" s="1"/>
  <c r="EE126" i="71"/>
  <c r="AW26" i="69"/>
  <c r="EG182" i="71"/>
  <c r="EG26" i="71" s="1"/>
  <c r="EG30" i="71"/>
  <c r="CM182" i="71"/>
  <c r="CM26" i="71" s="1"/>
  <c r="CM30" i="71"/>
  <c r="CM127" i="71" s="1"/>
  <c r="L126" i="71"/>
  <c r="H123" i="69" s="1"/>
  <c r="H26" i="69"/>
  <c r="DG182" i="71"/>
  <c r="DG26" i="71" s="1"/>
  <c r="DG30" i="71"/>
  <c r="AO176" i="69"/>
  <c r="AO179" i="69" s="1"/>
  <c r="CO126" i="71"/>
  <c r="AI26" i="69"/>
  <c r="DM126" i="71"/>
  <c r="AQ123" i="69" s="1"/>
  <c r="AQ26" i="69"/>
  <c r="CR126" i="71"/>
  <c r="AJ123" i="69" s="1"/>
  <c r="AJ26" i="69"/>
  <c r="CQ182" i="71"/>
  <c r="CQ26" i="71" s="1"/>
  <c r="CQ30" i="71"/>
  <c r="CQ127" i="71" s="1"/>
  <c r="BL182" i="71"/>
  <c r="BL26" i="71" s="1"/>
  <c r="BL30" i="71"/>
  <c r="BL127" i="71" s="1"/>
  <c r="Q182" i="71"/>
  <c r="Q26" i="71" s="1"/>
  <c r="Q30" i="71"/>
  <c r="Q127" i="71" s="1"/>
  <c r="CX182" i="71"/>
  <c r="CX30" i="71"/>
  <c r="AL176" i="69"/>
  <c r="AL179" i="69" s="1"/>
  <c r="N174" i="68"/>
  <c r="AD182" i="71"/>
  <c r="AD30" i="71"/>
  <c r="N176" i="69"/>
  <c r="N179" i="69" s="1"/>
  <c r="AG182" i="71"/>
  <c r="AG26" i="71" s="1"/>
  <c r="AG30" i="71"/>
  <c r="BB182" i="71"/>
  <c r="BB30" i="71"/>
  <c r="V176" i="69"/>
  <c r="V179" i="69" s="1"/>
  <c r="J174" i="68"/>
  <c r="BU182" i="71"/>
  <c r="BU26" i="71" s="1"/>
  <c r="BU30" i="71"/>
  <c r="BU127" i="71" s="1"/>
  <c r="BD182" i="71"/>
  <c r="BD26" i="71" s="1"/>
  <c r="BD30" i="71"/>
  <c r="BD127" i="71" s="1"/>
  <c r="AX182" i="71"/>
  <c r="AX26" i="71" s="1"/>
  <c r="AX30" i="71"/>
  <c r="AX127" i="71" s="1"/>
  <c r="EE182" i="71"/>
  <c r="EE26" i="71" s="1"/>
  <c r="EE30" i="71"/>
  <c r="AW176" i="69"/>
  <c r="AW179" i="69" s="1"/>
  <c r="CZ182" i="71"/>
  <c r="CZ26" i="71" s="1"/>
  <c r="CZ30" i="71"/>
  <c r="CZ127" i="71" s="1"/>
  <c r="DT182" i="71"/>
  <c r="DT26" i="71" s="1"/>
  <c r="DT30" i="71"/>
  <c r="DT127" i="71" s="1"/>
  <c r="BP182" i="71"/>
  <c r="BP26" i="71" s="1"/>
  <c r="BP30" i="71"/>
  <c r="BP127" i="71" s="1"/>
  <c r="DC182" i="71"/>
  <c r="DC26" i="71" s="1"/>
  <c r="DC30" i="71"/>
  <c r="DC127" i="71" s="1"/>
  <c r="L182" i="71"/>
  <c r="L26" i="71" s="1"/>
  <c r="L30" i="71"/>
  <c r="H176" i="69"/>
  <c r="H179" i="69" s="1"/>
  <c r="BI182" i="71"/>
  <c r="BI26" i="71" s="1"/>
  <c r="BI30" i="71"/>
  <c r="BI127" i="71" s="1"/>
  <c r="CK182" i="71"/>
  <c r="CK26" i="71" s="1"/>
  <c r="CK30" i="71"/>
  <c r="CK127" i="71" s="1"/>
  <c r="CO182" i="71"/>
  <c r="CO26" i="71" s="1"/>
  <c r="CO30" i="71"/>
  <c r="AI176" i="69"/>
  <c r="AI179" i="69" s="1"/>
  <c r="EA182" i="71"/>
  <c r="EA26" i="71" s="1"/>
  <c r="EA30" i="71"/>
  <c r="EA127" i="71" s="1"/>
  <c r="DM182" i="71"/>
  <c r="DM26" i="71" s="1"/>
  <c r="DM30" i="71"/>
  <c r="AQ176" i="69"/>
  <c r="AQ179" i="69" s="1"/>
  <c r="EB126" i="71"/>
  <c r="AV123" i="69" s="1"/>
  <c r="AV26" i="69"/>
  <c r="BS182" i="71"/>
  <c r="BS26" i="71" s="1"/>
  <c r="BS30" i="71"/>
  <c r="BS127" i="71" s="1"/>
  <c r="CR182" i="71"/>
  <c r="CR26" i="71" s="1"/>
  <c r="CR30" i="71"/>
  <c r="AJ176" i="69"/>
  <c r="AJ179" i="69" s="1"/>
  <c r="BR126" i="71"/>
  <c r="K463" i="71"/>
  <c r="L60" i="73" s="1"/>
  <c r="AR182" i="71"/>
  <c r="AR26" i="71" s="1"/>
  <c r="AR30" i="71"/>
  <c r="AR127" i="71" s="1"/>
  <c r="AB182" i="71"/>
  <c r="AB26" i="71" s="1"/>
  <c r="AB30" i="71"/>
  <c r="AB127" i="71" s="1"/>
  <c r="CD126" i="71"/>
  <c r="L463" i="71"/>
  <c r="N60" i="73" s="1"/>
  <c r="DL182" i="71"/>
  <c r="DL26" i="71" s="1"/>
  <c r="DL30" i="71"/>
  <c r="DL127" i="71" s="1"/>
  <c r="O182" i="71"/>
  <c r="O26" i="71" s="1"/>
  <c r="O30" i="71"/>
  <c r="O127" i="71" s="1"/>
  <c r="I176" i="69"/>
  <c r="I179" i="69" s="1"/>
  <c r="BT126" i="71"/>
  <c r="AB123" i="69" s="1"/>
  <c r="AB26" i="69"/>
  <c r="CI126" i="71"/>
  <c r="AG123" i="69" s="1"/>
  <c r="AG26" i="69"/>
  <c r="CP126" i="71"/>
  <c r="M463" i="71"/>
  <c r="O60" i="73" s="1"/>
  <c r="G182" i="71"/>
  <c r="G26" i="71" s="1"/>
  <c r="G30" i="71"/>
  <c r="G127" i="71" s="1"/>
  <c r="F372" i="71"/>
  <c r="F161" i="69"/>
  <c r="F369" i="69" s="1"/>
  <c r="BC182" i="71"/>
  <c r="BC26" i="71" s="1"/>
  <c r="BC30" i="71"/>
  <c r="BC127" i="71" s="1"/>
  <c r="CV182" i="71"/>
  <c r="CV26" i="71" s="1"/>
  <c r="CV30" i="71"/>
  <c r="CV127" i="71" s="1"/>
  <c r="P182" i="71"/>
  <c r="P26" i="71" s="1"/>
  <c r="P30" i="71"/>
  <c r="P127" i="71" s="1"/>
  <c r="J126" i="71"/>
  <c r="F463" i="71"/>
  <c r="F60" i="73" s="1"/>
  <c r="AZ182" i="71"/>
  <c r="AZ26" i="71" s="1"/>
  <c r="AZ30" i="71"/>
  <c r="AZ127" i="71" s="1"/>
  <c r="H182" i="71"/>
  <c r="H26" i="71" s="1"/>
  <c r="H30" i="71"/>
  <c r="H127" i="71" s="1"/>
  <c r="EB182" i="71"/>
  <c r="EB26" i="71" s="1"/>
  <c r="EB30" i="71"/>
  <c r="AV176" i="69"/>
  <c r="AV179" i="69" s="1"/>
  <c r="AV126" i="71"/>
  <c r="T123" i="69" s="1"/>
  <c r="T26" i="69"/>
  <c r="DZ182" i="71"/>
  <c r="DZ26" i="71" s="1"/>
  <c r="DZ30" i="71"/>
  <c r="DZ127" i="71" s="1"/>
  <c r="BR182" i="71"/>
  <c r="BR26" i="71" s="1"/>
  <c r="BR30" i="71"/>
  <c r="Z182" i="71"/>
  <c r="Z26" i="71" s="1"/>
  <c r="Z30" i="71"/>
  <c r="Z127" i="71" s="1"/>
  <c r="R126" i="71"/>
  <c r="J26" i="69"/>
  <c r="CD182" i="71"/>
  <c r="CD26" i="71" s="1"/>
  <c r="CD30" i="71"/>
  <c r="V126" i="71"/>
  <c r="BN126" i="71"/>
  <c r="Z26" i="69"/>
  <c r="K24" i="68"/>
  <c r="DF182" i="71"/>
  <c r="DF26" i="71" s="1"/>
  <c r="DF30" i="71"/>
  <c r="DF127" i="71" s="1"/>
  <c r="AA126" i="71"/>
  <c r="I126" i="71"/>
  <c r="G26" i="69"/>
  <c r="BT182" i="71"/>
  <c r="BT26" i="71" s="1"/>
  <c r="BT30" i="71"/>
  <c r="AB176" i="69"/>
  <c r="AB179" i="69" s="1"/>
  <c r="AF182" i="71"/>
  <c r="AF26" i="71" s="1"/>
  <c r="AF30" i="71"/>
  <c r="AF127" i="71" s="1"/>
  <c r="CI182" i="71"/>
  <c r="CI26" i="71" s="1"/>
  <c r="CI30" i="71"/>
  <c r="AG176" i="69"/>
  <c r="AG179" i="69" s="1"/>
  <c r="CP182" i="71"/>
  <c r="CP26" i="71" s="1"/>
  <c r="CP30" i="71"/>
  <c r="K182" i="71"/>
  <c r="K26" i="71" s="1"/>
  <c r="K30" i="71"/>
  <c r="K127" i="71" s="1"/>
  <c r="DY126" i="71"/>
  <c r="AU123" i="69" s="1"/>
  <c r="AU26" i="69"/>
  <c r="BY182" i="71"/>
  <c r="BY26" i="71" s="1"/>
  <c r="BY30" i="71"/>
  <c r="BY127" i="71" s="1"/>
  <c r="DA126" i="71"/>
  <c r="AM123" i="69" s="1"/>
  <c r="AM26" i="69"/>
  <c r="DI182" i="71"/>
  <c r="DI26" i="71" s="1"/>
  <c r="DI30" i="71"/>
  <c r="DI127" i="71" s="1"/>
  <c r="S182" i="71"/>
  <c r="S26" i="71" s="1"/>
  <c r="S30" i="71"/>
  <c r="S127" i="71" s="1"/>
  <c r="M182" i="71"/>
  <c r="M26" i="71" s="1"/>
  <c r="M30" i="71"/>
  <c r="M127" i="71" s="1"/>
  <c r="CE182" i="71"/>
  <c r="CE26" i="71" s="1"/>
  <c r="CE30" i="71"/>
  <c r="CE127" i="71" s="1"/>
  <c r="J182" i="71"/>
  <c r="J26" i="71" s="1"/>
  <c r="J30" i="71"/>
  <c r="BW126" i="71"/>
  <c r="AC123" i="69" s="1"/>
  <c r="AC26" i="69"/>
  <c r="DD126" i="71"/>
  <c r="AN123" i="69" s="1"/>
  <c r="AN26" i="69"/>
  <c r="BE126" i="71"/>
  <c r="W26" i="69"/>
  <c r="CL126" i="71"/>
  <c r="AH26" i="69"/>
  <c r="M24" i="68"/>
  <c r="AV182" i="71"/>
  <c r="AV26" i="71" s="1"/>
  <c r="AV30" i="71"/>
  <c r="T176" i="69"/>
  <c r="T179" i="69" s="1"/>
  <c r="R182" i="71"/>
  <c r="R30" i="71"/>
  <c r="J176" i="69"/>
  <c r="J179" i="69" s="1"/>
  <c r="DP126" i="71"/>
  <c r="AR123" i="69" s="1"/>
  <c r="AR26" i="69"/>
  <c r="V182" i="71"/>
  <c r="V26" i="71" s="1"/>
  <c r="V30" i="71"/>
  <c r="DW182" i="71"/>
  <c r="DW26" i="71" s="1"/>
  <c r="DW30" i="71"/>
  <c r="DW127" i="71" s="1"/>
  <c r="BN182" i="71"/>
  <c r="BN30" i="71"/>
  <c r="Z176" i="69"/>
  <c r="Z179" i="69" s="1"/>
  <c r="K174" i="68"/>
  <c r="E171" i="68"/>
  <c r="BK126" i="71"/>
  <c r="Y123" i="69" s="1"/>
  <c r="Y26" i="69"/>
  <c r="AA182" i="71"/>
  <c r="AA26" i="71" s="1"/>
  <c r="AA30" i="71"/>
  <c r="I182" i="71"/>
  <c r="I26" i="71" s="1"/>
  <c r="I30" i="71"/>
  <c r="G176" i="69"/>
  <c r="G179" i="69" s="1"/>
  <c r="DY182" i="71"/>
  <c r="DY26" i="71" s="1"/>
  <c r="DY30" i="71"/>
  <c r="AU176" i="69"/>
  <c r="AU179" i="69" s="1"/>
  <c r="CB182" i="71"/>
  <c r="CB26" i="71" s="1"/>
  <c r="CB30" i="71"/>
  <c r="CB127" i="71" s="1"/>
  <c r="CG182" i="71"/>
  <c r="CG26" i="71" s="1"/>
  <c r="CG30" i="71"/>
  <c r="CG127" i="71" s="1"/>
  <c r="DA182" i="71"/>
  <c r="DA26" i="71" s="1"/>
  <c r="DA30" i="71"/>
  <c r="AM176" i="69"/>
  <c r="AM179" i="69" s="1"/>
  <c r="DX182" i="71"/>
  <c r="DX26" i="71" s="1"/>
  <c r="DX30" i="71"/>
  <c r="DX127" i="71" s="1"/>
  <c r="I251" i="69"/>
  <c r="BW182" i="71"/>
  <c r="BW26" i="71" s="1"/>
  <c r="BW30" i="71"/>
  <c r="AC176" i="69"/>
  <c r="AC179" i="69" s="1"/>
  <c r="BM182" i="71"/>
  <c r="BM26" i="71" s="1"/>
  <c r="BM30" i="71"/>
  <c r="BM127" i="71" s="1"/>
  <c r="X126" i="71"/>
  <c r="L123" i="69" s="1"/>
  <c r="L26" i="69"/>
  <c r="W182" i="71"/>
  <c r="W26" i="71" s="1"/>
  <c r="W30" i="71"/>
  <c r="W127" i="71" s="1"/>
  <c r="DD182" i="71"/>
  <c r="DD26" i="71" s="1"/>
  <c r="DD30" i="71"/>
  <c r="AN176" i="69"/>
  <c r="AN179" i="69" s="1"/>
  <c r="BZ126" i="71"/>
  <c r="AD26" i="69"/>
  <c r="L24" i="68"/>
  <c r="BE182" i="71"/>
  <c r="BE26" i="71" s="1"/>
  <c r="BE30" i="71"/>
  <c r="W176" i="69"/>
  <c r="W179" i="69" s="1"/>
  <c r="CL182" i="71"/>
  <c r="CL30" i="71"/>
  <c r="AH176" i="69"/>
  <c r="AH179" i="69" s="1"/>
  <c r="M174" i="68"/>
  <c r="CT182" i="71"/>
  <c r="CT26" i="71" s="1"/>
  <c r="CT30" i="71"/>
  <c r="CT127" i="71" s="1"/>
  <c r="BV182" i="71"/>
  <c r="BV26" i="71" s="1"/>
  <c r="BV30" i="71"/>
  <c r="BV127" i="71" s="1"/>
  <c r="Y182" i="71"/>
  <c r="Y26" i="71" s="1"/>
  <c r="Y30" i="71"/>
  <c r="Y127" i="71" s="1"/>
  <c r="DP182" i="71"/>
  <c r="DP26" i="71" s="1"/>
  <c r="DP30" i="71"/>
  <c r="AR176" i="69"/>
  <c r="AR179" i="69" s="1"/>
  <c r="CC126" i="71"/>
  <c r="AE26" i="69"/>
  <c r="BK182" i="71"/>
  <c r="BK26" i="71" s="1"/>
  <c r="BK30" i="71"/>
  <c r="Y176" i="69"/>
  <c r="Y179" i="69" s="1"/>
  <c r="DU182" i="71"/>
  <c r="DU26" i="71" s="1"/>
  <c r="DU30" i="71"/>
  <c r="DU127" i="71" s="1"/>
  <c r="N182" i="71"/>
  <c r="N26" i="71" s="1"/>
  <c r="N30" i="71"/>
  <c r="N127" i="71" s="1"/>
  <c r="CY182" i="71"/>
  <c r="CY26" i="71" s="1"/>
  <c r="CY30" i="71"/>
  <c r="CY127" i="71" s="1"/>
  <c r="DE182" i="71"/>
  <c r="DE26" i="71" s="1"/>
  <c r="DE30" i="71"/>
  <c r="DE127" i="71" s="1"/>
  <c r="DH182" i="71"/>
  <c r="DH26" i="71" s="1"/>
  <c r="DH30" i="71"/>
  <c r="DH127" i="71" s="1"/>
  <c r="BF126" i="71"/>
  <c r="J463" i="71"/>
  <c r="K60" i="73" s="1"/>
  <c r="CN182" i="71"/>
  <c r="CN26" i="71" s="1"/>
  <c r="CN30" i="71"/>
  <c r="CN127" i="71" s="1"/>
  <c r="AW75" i="69"/>
  <c r="P73" i="68"/>
  <c r="AE182" i="71"/>
  <c r="AE26" i="71" s="1"/>
  <c r="AE30" i="71"/>
  <c r="AE127" i="71" s="1"/>
  <c r="BH126" i="71"/>
  <c r="X123" i="69" s="1"/>
  <c r="X26" i="69"/>
  <c r="CF126" i="71"/>
  <c r="AF123" i="69" s="1"/>
  <c r="AF26" i="69"/>
  <c r="L372" i="71"/>
  <c r="H161" i="69"/>
  <c r="H369" i="69" s="1"/>
  <c r="X182" i="71"/>
  <c r="X26" i="71" s="1"/>
  <c r="X30" i="71"/>
  <c r="L176" i="69"/>
  <c r="L179" i="69" s="1"/>
  <c r="BZ182" i="71"/>
  <c r="BZ30" i="71"/>
  <c r="AD176" i="69"/>
  <c r="AD179" i="69" s="1"/>
  <c r="L174" i="68"/>
  <c r="DV126" i="71"/>
  <c r="AT26" i="69"/>
  <c r="P24" i="68"/>
  <c r="CC182" i="71"/>
  <c r="CC26" i="71" s="1"/>
  <c r="CC30" i="71"/>
  <c r="AE176" i="69"/>
  <c r="AE179" i="69" s="1"/>
  <c r="E222" i="69"/>
  <c r="E221" i="69"/>
  <c r="F221" i="69"/>
  <c r="F222" i="69"/>
  <c r="G222" i="69"/>
  <c r="G221" i="69"/>
  <c r="H222" i="69"/>
  <c r="H221" i="69"/>
  <c r="I222" i="69"/>
  <c r="I221" i="69"/>
  <c r="J222" i="69"/>
  <c r="J221" i="69"/>
  <c r="K221" i="69"/>
  <c r="K222" i="69"/>
  <c r="L222" i="69"/>
  <c r="L221" i="69"/>
  <c r="M222" i="69"/>
  <c r="M221" i="69"/>
  <c r="N221" i="69"/>
  <c r="N222" i="69"/>
  <c r="O222" i="69"/>
  <c r="O221" i="69"/>
  <c r="P222" i="69"/>
  <c r="P221" i="69"/>
  <c r="Q222" i="69"/>
  <c r="Q221" i="69"/>
  <c r="R221" i="69"/>
  <c r="R222" i="69"/>
  <c r="S221" i="69"/>
  <c r="S222" i="69"/>
  <c r="T221" i="69"/>
  <c r="T222" i="69"/>
  <c r="U221" i="69"/>
  <c r="U222" i="69"/>
  <c r="V222" i="69"/>
  <c r="V221" i="69"/>
  <c r="W221" i="69"/>
  <c r="W222" i="69"/>
  <c r="X221" i="69"/>
  <c r="X222" i="69"/>
  <c r="Y222" i="69"/>
  <c r="Y221" i="69"/>
  <c r="Z221" i="69"/>
  <c r="Z222" i="69"/>
  <c r="AA221" i="69"/>
  <c r="AA222" i="69"/>
  <c r="AB221" i="69"/>
  <c r="AB222" i="69"/>
  <c r="AC222" i="69"/>
  <c r="AC221" i="69"/>
  <c r="AD222" i="69"/>
  <c r="AD221" i="69"/>
  <c r="AE222" i="69"/>
  <c r="AE221" i="69"/>
  <c r="AF222" i="69"/>
  <c r="AF221" i="69"/>
  <c r="AG222" i="69"/>
  <c r="AG221" i="69"/>
  <c r="AH221" i="69"/>
  <c r="AH222" i="69"/>
  <c r="AI221" i="69"/>
  <c r="AI222" i="69"/>
  <c r="AJ222" i="69"/>
  <c r="AJ221" i="69"/>
  <c r="AK221" i="69"/>
  <c r="AK222" i="69"/>
  <c r="AL221" i="69"/>
  <c r="AL222" i="69"/>
  <c r="AM222" i="69"/>
  <c r="AM221" i="69"/>
  <c r="AN222" i="69"/>
  <c r="AN221" i="69"/>
  <c r="AO222" i="69"/>
  <c r="AO221" i="69"/>
  <c r="AP221" i="69"/>
  <c r="AP222" i="69"/>
  <c r="AQ221" i="69"/>
  <c r="AQ222" i="69"/>
  <c r="AR221" i="69"/>
  <c r="AR222" i="69"/>
  <c r="AS221" i="69"/>
  <c r="AS222" i="69"/>
  <c r="AT221" i="69"/>
  <c r="AT222" i="69"/>
  <c r="AU222" i="69"/>
  <c r="AU221" i="69"/>
  <c r="AV222" i="69"/>
  <c r="AV221" i="69"/>
  <c r="AW221" i="69"/>
  <c r="AW222" i="69"/>
  <c r="ED182" i="71"/>
  <c r="ED26" i="71" s="1"/>
  <c r="ED30" i="71"/>
  <c r="ED127" i="71" s="1"/>
  <c r="DK182" i="71"/>
  <c r="DK26" i="71" s="1"/>
  <c r="DK30" i="71"/>
  <c r="DK127" i="71" s="1"/>
  <c r="BJ182" i="71"/>
  <c r="BJ26" i="71" s="1"/>
  <c r="BJ30" i="71"/>
  <c r="BJ127" i="71" s="1"/>
  <c r="E126" i="71"/>
  <c r="E26" i="69"/>
  <c r="E24" i="68"/>
  <c r="E463" i="71"/>
  <c r="E60" i="73" s="1"/>
  <c r="CH182" i="71"/>
  <c r="CH26" i="71" s="1"/>
  <c r="CH30" i="71"/>
  <c r="CH127" i="71" s="1"/>
  <c r="DQ182" i="71"/>
  <c r="DQ26" i="71" s="1"/>
  <c r="DQ30" i="71"/>
  <c r="DQ127" i="71" s="1"/>
  <c r="L5" i="45"/>
  <c r="L13" i="45"/>
  <c r="L21" i="45"/>
  <c r="L29" i="45"/>
  <c r="L37" i="45"/>
  <c r="L45" i="45"/>
  <c r="L53" i="45"/>
  <c r="L61" i="45"/>
  <c r="L69" i="45"/>
  <c r="L77" i="45"/>
  <c r="L85" i="45"/>
  <c r="L93" i="45"/>
  <c r="L101" i="45"/>
  <c r="L109" i="45"/>
  <c r="L117" i="45"/>
  <c r="L4" i="45"/>
  <c r="L52" i="45"/>
  <c r="L108" i="45"/>
  <c r="L6" i="45"/>
  <c r="L14" i="45"/>
  <c r="L22" i="45"/>
  <c r="L30" i="45"/>
  <c r="L38" i="45"/>
  <c r="L46" i="45"/>
  <c r="L54" i="45"/>
  <c r="L62" i="45"/>
  <c r="L70" i="45"/>
  <c r="L78" i="45"/>
  <c r="L86" i="45"/>
  <c r="L94" i="45"/>
  <c r="L102" i="45"/>
  <c r="L110" i="45"/>
  <c r="L118" i="45"/>
  <c r="L7" i="45"/>
  <c r="L15" i="45"/>
  <c r="L23" i="45"/>
  <c r="L31" i="45"/>
  <c r="L39" i="45"/>
  <c r="L47" i="45"/>
  <c r="L55" i="45"/>
  <c r="L63" i="45"/>
  <c r="L71" i="45"/>
  <c r="L79" i="45"/>
  <c r="L87" i="45"/>
  <c r="L95" i="45"/>
  <c r="L103" i="45"/>
  <c r="L111" i="45"/>
  <c r="L119" i="45"/>
  <c r="L44" i="45"/>
  <c r="L100" i="45"/>
  <c r="L8" i="45"/>
  <c r="L16" i="45"/>
  <c r="L24" i="45"/>
  <c r="L32" i="45"/>
  <c r="L40" i="45"/>
  <c r="L48" i="45"/>
  <c r="L56" i="45"/>
  <c r="L64" i="45"/>
  <c r="L72" i="45"/>
  <c r="L80" i="45"/>
  <c r="L88" i="45"/>
  <c r="L96" i="45"/>
  <c r="L104" i="45"/>
  <c r="L112" i="45"/>
  <c r="L120" i="45"/>
  <c r="L36" i="45"/>
  <c r="L9" i="45"/>
  <c r="L17" i="45"/>
  <c r="L25" i="45"/>
  <c r="L33" i="45"/>
  <c r="L41" i="45"/>
  <c r="L49" i="45"/>
  <c r="L57" i="45"/>
  <c r="L65" i="45"/>
  <c r="L73" i="45"/>
  <c r="L81" i="45"/>
  <c r="L89" i="45"/>
  <c r="L97" i="45"/>
  <c r="L105" i="45"/>
  <c r="L113" i="45"/>
  <c r="L121" i="45"/>
  <c r="L28" i="45"/>
  <c r="L124" i="45"/>
  <c r="L10" i="45"/>
  <c r="L18" i="45"/>
  <c r="L26" i="45"/>
  <c r="L34" i="45"/>
  <c r="L42" i="45"/>
  <c r="L50" i="45"/>
  <c r="L58" i="45"/>
  <c r="L66" i="45"/>
  <c r="L74" i="45"/>
  <c r="L82" i="45"/>
  <c r="L90" i="45"/>
  <c r="L98" i="45"/>
  <c r="L106" i="45"/>
  <c r="L114" i="45"/>
  <c r="L122" i="45"/>
  <c r="L20" i="45"/>
  <c r="L60" i="45"/>
  <c r="L76" i="45"/>
  <c r="L92" i="45"/>
  <c r="L11" i="45"/>
  <c r="L19" i="45"/>
  <c r="L27" i="45"/>
  <c r="L35" i="45"/>
  <c r="L43" i="45"/>
  <c r="L51" i="45"/>
  <c r="L59" i="45"/>
  <c r="L67" i="45"/>
  <c r="L75" i="45"/>
  <c r="L83" i="45"/>
  <c r="L91" i="45"/>
  <c r="L99" i="45"/>
  <c r="L107" i="45"/>
  <c r="L115" i="45"/>
  <c r="L123" i="45"/>
  <c r="L12" i="45"/>
  <c r="L68" i="45"/>
  <c r="L84" i="45"/>
  <c r="L116" i="45"/>
  <c r="D261" i="32"/>
  <c r="D289" i="32"/>
  <c r="D62" i="32"/>
  <c r="D155" i="32"/>
  <c r="D153" i="32"/>
  <c r="N226" i="32"/>
  <c r="N228" i="32"/>
  <c r="D226" i="32"/>
  <c r="D134" i="32"/>
  <c r="N220" i="32"/>
  <c r="E117" i="32"/>
  <c r="D129" i="32"/>
  <c r="D127" i="32"/>
  <c r="J124" i="32"/>
  <c r="E142" i="32"/>
  <c r="N117" i="32"/>
  <c r="N127" i="32"/>
  <c r="J121" i="32"/>
  <c r="E127" i="32"/>
  <c r="N140" i="32"/>
  <c r="D78" i="32"/>
  <c r="D140" i="32"/>
  <c r="E36" i="32"/>
  <c r="N212" i="32"/>
  <c r="N269" i="32"/>
  <c r="D120" i="32"/>
  <c r="J134" i="32"/>
  <c r="D112" i="32"/>
  <c r="J140" i="32"/>
  <c r="D251" i="32"/>
  <c r="E129" i="32"/>
  <c r="E23" i="32"/>
  <c r="J261" i="32"/>
  <c r="N78" i="32"/>
  <c r="E121" i="32"/>
  <c r="E124" i="32"/>
  <c r="J136" i="32"/>
  <c r="E251" i="32"/>
  <c r="E261" i="32"/>
  <c r="N241" i="32"/>
  <c r="N132" i="32"/>
  <c r="J120" i="32"/>
  <c r="E269" i="32"/>
  <c r="J251" i="32"/>
  <c r="J269" i="32"/>
  <c r="J241" i="32"/>
  <c r="N138" i="32"/>
  <c r="D241" i="32"/>
  <c r="N53" i="32"/>
  <c r="J132" i="32"/>
  <c r="J233" i="32"/>
  <c r="J117" i="32"/>
  <c r="N124" i="32"/>
  <c r="E241" i="32"/>
  <c r="N261" i="32"/>
  <c r="E132" i="32"/>
  <c r="J116" i="32"/>
  <c r="N121" i="32"/>
  <c r="J138" i="32"/>
  <c r="N120" i="32"/>
  <c r="N36" i="32"/>
  <c r="J36" i="32"/>
  <c r="D138" i="32"/>
  <c r="E136" i="32"/>
  <c r="N251" i="32"/>
  <c r="E120" i="32"/>
  <c r="E153" i="32"/>
  <c r="E116" i="32"/>
  <c r="N116" i="32"/>
  <c r="J129" i="32"/>
  <c r="D53" i="32"/>
  <c r="N17" i="32"/>
  <c r="J127" i="32"/>
  <c r="N129" i="32"/>
  <c r="N142" i="32"/>
  <c r="E140" i="32"/>
  <c r="E134" i="32"/>
  <c r="J142" i="32"/>
  <c r="N103" i="32"/>
  <c r="N136" i="32"/>
  <c r="E138" i="32"/>
  <c r="N134" i="32"/>
  <c r="E233" i="32"/>
  <c r="J282" i="32"/>
  <c r="N234" i="32"/>
  <c r="E282" i="32"/>
  <c r="J103" i="32"/>
  <c r="J226" i="32"/>
  <c r="J78" i="32"/>
  <c r="J218" i="32"/>
  <c r="J53" i="32"/>
  <c r="J210" i="32"/>
  <c r="D36" i="32"/>
  <c r="J62" i="32"/>
  <c r="E78" i="32"/>
  <c r="E218" i="32"/>
  <c r="E103" i="32"/>
  <c r="E226" i="32"/>
  <c r="E53" i="32"/>
  <c r="E210" i="32"/>
  <c r="E112" i="32"/>
  <c r="N101" i="32"/>
  <c r="N112" i="32"/>
  <c r="J87" i="32"/>
  <c r="N76" i="32"/>
  <c r="N87" i="32"/>
  <c r="E62" i="32"/>
  <c r="E87" i="32"/>
  <c r="D87" i="32"/>
  <c r="K159" i="69" l="1"/>
  <c r="DX125" i="30"/>
  <c r="DX128" i="30" s="1"/>
  <c r="DX130" i="30" s="1"/>
  <c r="DX133" i="30" s="1"/>
  <c r="DX135" i="30" s="1"/>
  <c r="DX137" i="30" s="1"/>
  <c r="DX139" i="30" s="1"/>
  <c r="DX141" i="30" s="1"/>
  <c r="DX143" i="30" s="1"/>
  <c r="DX146" i="30" s="1"/>
  <c r="I154" i="6"/>
  <c r="I72" i="6" s="1"/>
  <c r="Y125" i="30"/>
  <c r="Y128" i="30" s="1"/>
  <c r="Y130" i="30" s="1"/>
  <c r="Y133" i="30" s="1"/>
  <c r="Y135" i="30" s="1"/>
  <c r="Y137" i="30" s="1"/>
  <c r="Y139" i="30" s="1"/>
  <c r="Y141" i="30" s="1"/>
  <c r="Y143" i="30" s="1"/>
  <c r="Y146" i="30" s="1"/>
  <c r="W192" i="69"/>
  <c r="W159" i="69"/>
  <c r="I22" i="70"/>
  <c r="I162" i="71"/>
  <c r="P192" i="69"/>
  <c r="P159" i="69"/>
  <c r="O22" i="70"/>
  <c r="O162" i="71"/>
  <c r="N22" i="70"/>
  <c r="N162" i="71"/>
  <c r="AQ192" i="69"/>
  <c r="AQ159" i="69"/>
  <c r="AG159" i="69"/>
  <c r="AG192" i="69"/>
  <c r="X192" i="69"/>
  <c r="X159" i="69"/>
  <c r="K22" i="70"/>
  <c r="K162" i="71"/>
  <c r="AR192" i="69"/>
  <c r="AR159" i="69"/>
  <c r="M22" i="70"/>
  <c r="M162" i="71"/>
  <c r="AW192" i="69"/>
  <c r="AW193" i="69" s="1"/>
  <c r="AW198" i="69" s="1"/>
  <c r="AW159" i="69"/>
  <c r="AJ192" i="69"/>
  <c r="AJ159" i="69"/>
  <c r="AO192" i="69"/>
  <c r="AO159" i="69"/>
  <c r="AU192" i="69"/>
  <c r="AU193" i="69" s="1"/>
  <c r="AU198" i="69" s="1"/>
  <c r="AU159" i="69"/>
  <c r="AM159" i="69"/>
  <c r="AM192" i="69"/>
  <c r="AC159" i="69"/>
  <c r="AC192" i="69"/>
  <c r="Y192" i="69"/>
  <c r="Y159" i="69"/>
  <c r="H22" i="70"/>
  <c r="H162" i="71"/>
  <c r="Q192" i="69"/>
  <c r="Q159" i="69"/>
  <c r="L159" i="69"/>
  <c r="L192" i="69"/>
  <c r="AV159" i="69"/>
  <c r="AV192" i="69"/>
  <c r="AV193" i="69" s="1"/>
  <c r="AV198" i="69" s="1"/>
  <c r="AN192" i="69"/>
  <c r="AN159" i="69"/>
  <c r="S192" i="69"/>
  <c r="S159" i="69"/>
  <c r="AF192" i="69"/>
  <c r="AF159" i="69"/>
  <c r="AB192" i="69"/>
  <c r="AB159" i="69"/>
  <c r="AI192" i="69"/>
  <c r="AI159" i="69"/>
  <c r="T159" i="69"/>
  <c r="T192" i="69"/>
  <c r="AE192" i="69"/>
  <c r="AE159" i="69"/>
  <c r="AA192" i="69"/>
  <c r="AA159" i="69"/>
  <c r="U192" i="69"/>
  <c r="U159" i="69"/>
  <c r="M159" i="69"/>
  <c r="M192" i="69"/>
  <c r="J22" i="70"/>
  <c r="J162" i="71"/>
  <c r="L22" i="70"/>
  <c r="L162" i="71"/>
  <c r="AS192" i="69"/>
  <c r="AS159" i="69"/>
  <c r="AK192" i="69"/>
  <c r="AK159" i="69"/>
  <c r="O192" i="69"/>
  <c r="O159" i="69"/>
  <c r="G22" i="70"/>
  <c r="G162" i="71"/>
  <c r="I159" i="6"/>
  <c r="I73" i="6" s="1"/>
  <c r="S125" i="30"/>
  <c r="S128" i="30" s="1"/>
  <c r="S130" i="30" s="1"/>
  <c r="S133" i="30" s="1"/>
  <c r="S135" i="30" s="1"/>
  <c r="S137" i="30" s="1"/>
  <c r="S139" i="30" s="1"/>
  <c r="S141" i="30" s="1"/>
  <c r="S143" i="30" s="1"/>
  <c r="S148" i="30" s="1"/>
  <c r="AV125" i="30"/>
  <c r="AV128" i="30" s="1"/>
  <c r="AV130" i="30" s="1"/>
  <c r="AV133" i="30" s="1"/>
  <c r="AV135" i="30" s="1"/>
  <c r="AV137" i="30" s="1"/>
  <c r="AV139" i="30" s="1"/>
  <c r="AV141" i="30" s="1"/>
  <c r="AV143" i="30" s="1"/>
  <c r="AV147" i="30" s="1"/>
  <c r="CO125" i="30"/>
  <c r="CO128" i="30" s="1"/>
  <c r="CO130" i="30" s="1"/>
  <c r="CO133" i="30" s="1"/>
  <c r="CO135" i="30" s="1"/>
  <c r="CO137" i="30" s="1"/>
  <c r="CO139" i="30" s="1"/>
  <c r="CO141" i="30" s="1"/>
  <c r="CO143" i="30" s="1"/>
  <c r="CO146" i="30" s="1"/>
  <c r="D22" i="32"/>
  <c r="BG125" i="30"/>
  <c r="BG128" i="30" s="1"/>
  <c r="BG130" i="30" s="1"/>
  <c r="BG133" i="30" s="1"/>
  <c r="BG135" i="30" s="1"/>
  <c r="BG137" i="30" s="1"/>
  <c r="BG139" i="30" s="1"/>
  <c r="BG141" i="30" s="1"/>
  <c r="BG143" i="30" s="1"/>
  <c r="BG146" i="30" s="1"/>
  <c r="CT125" i="30"/>
  <c r="CT128" i="30" s="1"/>
  <c r="CT130" i="30" s="1"/>
  <c r="CT133" i="30" s="1"/>
  <c r="CT135" i="30" s="1"/>
  <c r="CT137" i="30" s="1"/>
  <c r="CT139" i="30" s="1"/>
  <c r="CT141" i="30" s="1"/>
  <c r="CT143" i="30" s="1"/>
  <c r="CT146" i="30" s="1"/>
  <c r="I174" i="6"/>
  <c r="J174" i="6" s="1"/>
  <c r="DO125" i="30"/>
  <c r="DO128" i="30" s="1"/>
  <c r="DO130" i="30" s="1"/>
  <c r="DO133" i="30" s="1"/>
  <c r="DO135" i="30" s="1"/>
  <c r="DO137" i="30" s="1"/>
  <c r="DO139" i="30" s="1"/>
  <c r="DO141" i="30" s="1"/>
  <c r="DO143" i="30" s="1"/>
  <c r="DO148" i="30" s="1"/>
  <c r="L125" i="30"/>
  <c r="L128" i="30" s="1"/>
  <c r="L130" i="30" s="1"/>
  <c r="L133" i="30" s="1"/>
  <c r="L135" i="30" s="1"/>
  <c r="L137" i="30" s="1"/>
  <c r="L139" i="30" s="1"/>
  <c r="L141" i="30" s="1"/>
  <c r="L143" i="30" s="1"/>
  <c r="L147" i="30" s="1"/>
  <c r="L288" i="30"/>
  <c r="L308" i="30" s="1"/>
  <c r="R287" i="30"/>
  <c r="R301" i="30" s="1"/>
  <c r="BH125" i="30"/>
  <c r="BH128" i="30" s="1"/>
  <c r="BH130" i="30" s="1"/>
  <c r="BH133" i="30" s="1"/>
  <c r="BH135" i="30" s="1"/>
  <c r="BH137" i="30" s="1"/>
  <c r="BH139" i="30" s="1"/>
  <c r="BH141" i="30" s="1"/>
  <c r="BH143" i="30" s="1"/>
  <c r="BH147" i="30" s="1"/>
  <c r="AF125" i="30"/>
  <c r="AF128" i="30" s="1"/>
  <c r="AF130" i="30" s="1"/>
  <c r="AF133" i="30" s="1"/>
  <c r="AF135" i="30" s="1"/>
  <c r="AF137" i="30" s="1"/>
  <c r="AF139" i="30" s="1"/>
  <c r="AF141" i="30" s="1"/>
  <c r="AF143" i="30" s="1"/>
  <c r="AF148" i="30" s="1"/>
  <c r="CS125" i="30"/>
  <c r="CS128" i="30" s="1"/>
  <c r="CS130" i="30" s="1"/>
  <c r="CS133" i="30" s="1"/>
  <c r="CS135" i="30" s="1"/>
  <c r="CS137" i="30" s="1"/>
  <c r="CS139" i="30" s="1"/>
  <c r="CS141" i="30" s="1"/>
  <c r="CS143" i="30" s="1"/>
  <c r="CS148" i="30" s="1"/>
  <c r="DE125" i="30"/>
  <c r="DE128" i="30" s="1"/>
  <c r="DE130" i="30" s="1"/>
  <c r="DE133" i="30" s="1"/>
  <c r="DE135" i="30" s="1"/>
  <c r="DE137" i="30" s="1"/>
  <c r="DE139" i="30" s="1"/>
  <c r="DE141" i="30" s="1"/>
  <c r="DE143" i="30" s="1"/>
  <c r="DE148" i="30" s="1"/>
  <c r="DR125" i="30"/>
  <c r="DR128" i="30" s="1"/>
  <c r="DR130" i="30" s="1"/>
  <c r="DR133" i="30" s="1"/>
  <c r="DR135" i="30" s="1"/>
  <c r="DR137" i="30" s="1"/>
  <c r="DR139" i="30" s="1"/>
  <c r="DR141" i="30" s="1"/>
  <c r="DR143" i="30" s="1"/>
  <c r="DR148" i="30" s="1"/>
  <c r="BD125" i="30"/>
  <c r="BD128" i="30" s="1"/>
  <c r="BD130" i="30" s="1"/>
  <c r="BD133" i="30" s="1"/>
  <c r="BD135" i="30" s="1"/>
  <c r="BD137" i="30" s="1"/>
  <c r="BD139" i="30" s="1"/>
  <c r="BD141" i="30" s="1"/>
  <c r="BD143" i="30" s="1"/>
  <c r="BD148" i="30" s="1"/>
  <c r="BX125" i="30"/>
  <c r="BX128" i="30" s="1"/>
  <c r="BX130" i="30" s="1"/>
  <c r="BX133" i="30" s="1"/>
  <c r="BX135" i="30" s="1"/>
  <c r="BX137" i="30" s="1"/>
  <c r="BX139" i="30" s="1"/>
  <c r="BX141" i="30" s="1"/>
  <c r="BX143" i="30" s="1"/>
  <c r="BX148" i="30" s="1"/>
  <c r="EA125" i="30"/>
  <c r="EA128" i="30" s="1"/>
  <c r="EA130" i="30" s="1"/>
  <c r="EA133" i="30" s="1"/>
  <c r="EA135" i="30" s="1"/>
  <c r="EA137" i="30" s="1"/>
  <c r="EA139" i="30" s="1"/>
  <c r="EA141" i="30" s="1"/>
  <c r="EA143" i="30" s="1"/>
  <c r="EA147" i="30" s="1"/>
  <c r="CK125" i="30"/>
  <c r="CK128" i="30" s="1"/>
  <c r="CK130" i="30" s="1"/>
  <c r="CK133" i="30" s="1"/>
  <c r="CK135" i="30" s="1"/>
  <c r="CK137" i="30" s="1"/>
  <c r="CK139" i="30" s="1"/>
  <c r="CK141" i="30" s="1"/>
  <c r="CK143" i="30" s="1"/>
  <c r="CK148" i="30" s="1"/>
  <c r="AE125" i="30"/>
  <c r="AE128" i="30" s="1"/>
  <c r="AE130" i="30" s="1"/>
  <c r="AE133" i="30" s="1"/>
  <c r="AE135" i="30" s="1"/>
  <c r="AE137" i="30" s="1"/>
  <c r="AE139" i="30" s="1"/>
  <c r="AE141" i="30" s="1"/>
  <c r="AE143" i="30" s="1"/>
  <c r="AE148" i="30" s="1"/>
  <c r="BV125" i="30"/>
  <c r="BV128" i="30" s="1"/>
  <c r="BV130" i="30" s="1"/>
  <c r="BV133" i="30" s="1"/>
  <c r="BV135" i="30" s="1"/>
  <c r="BV137" i="30" s="1"/>
  <c r="BV139" i="30" s="1"/>
  <c r="BV141" i="30" s="1"/>
  <c r="BV143" i="30" s="1"/>
  <c r="BV148" i="30" s="1"/>
  <c r="CG125" i="30"/>
  <c r="CG128" i="30" s="1"/>
  <c r="CG130" i="30" s="1"/>
  <c r="CG133" i="30" s="1"/>
  <c r="CG135" i="30" s="1"/>
  <c r="CG137" i="30" s="1"/>
  <c r="CG139" i="30" s="1"/>
  <c r="CG141" i="30" s="1"/>
  <c r="CG143" i="30" s="1"/>
  <c r="CG148" i="30" s="1"/>
  <c r="G288" i="30"/>
  <c r="G308" i="30" s="1"/>
  <c r="CW287" i="30"/>
  <c r="CH125" i="30"/>
  <c r="CH128" i="30" s="1"/>
  <c r="CH130" i="30" s="1"/>
  <c r="CH133" i="30" s="1"/>
  <c r="CH135" i="30" s="1"/>
  <c r="CH137" i="30" s="1"/>
  <c r="CH139" i="30" s="1"/>
  <c r="CH141" i="30" s="1"/>
  <c r="CH143" i="30" s="1"/>
  <c r="CH148" i="30" s="1"/>
  <c r="CW288" i="30"/>
  <c r="J288" i="30"/>
  <c r="J308" i="30" s="1"/>
  <c r="AR125" i="30"/>
  <c r="AR128" i="30" s="1"/>
  <c r="AR130" i="30" s="1"/>
  <c r="AR133" i="30" s="1"/>
  <c r="AR135" i="30" s="1"/>
  <c r="AR137" i="30" s="1"/>
  <c r="AR139" i="30" s="1"/>
  <c r="AR141" i="30" s="1"/>
  <c r="AR143" i="30" s="1"/>
  <c r="AR148" i="30" s="1"/>
  <c r="CN288" i="30"/>
  <c r="G125" i="30"/>
  <c r="G128" i="30" s="1"/>
  <c r="G130" i="30" s="1"/>
  <c r="G133" i="30" s="1"/>
  <c r="G135" i="30" s="1"/>
  <c r="G137" i="30" s="1"/>
  <c r="G139" i="30" s="1"/>
  <c r="G141" i="30" s="1"/>
  <c r="G143" i="30" s="1"/>
  <c r="G148" i="30" s="1"/>
  <c r="Q125" i="30"/>
  <c r="Q128" i="30" s="1"/>
  <c r="Q130" i="30" s="1"/>
  <c r="Q133" i="30" s="1"/>
  <c r="Q135" i="30" s="1"/>
  <c r="Q137" i="30" s="1"/>
  <c r="Q139" i="30" s="1"/>
  <c r="Q141" i="30" s="1"/>
  <c r="Q143" i="30" s="1"/>
  <c r="Q148" i="30" s="1"/>
  <c r="BV288" i="30"/>
  <c r="DT125" i="30"/>
  <c r="DT128" i="30" s="1"/>
  <c r="DT130" i="30" s="1"/>
  <c r="DT133" i="30" s="1"/>
  <c r="DT135" i="30" s="1"/>
  <c r="DT137" i="30" s="1"/>
  <c r="DT139" i="30" s="1"/>
  <c r="DT141" i="30" s="1"/>
  <c r="DT143" i="30" s="1"/>
  <c r="DT148" i="30" s="1"/>
  <c r="AD288" i="30"/>
  <c r="AD308" i="30" s="1"/>
  <c r="DB125" i="30"/>
  <c r="DB128" i="30" s="1"/>
  <c r="DB130" i="30" s="1"/>
  <c r="DB133" i="30" s="1"/>
  <c r="DB135" i="30" s="1"/>
  <c r="DB137" i="30" s="1"/>
  <c r="DB139" i="30" s="1"/>
  <c r="DB141" i="30" s="1"/>
  <c r="DB143" i="30" s="1"/>
  <c r="DB148" i="30" s="1"/>
  <c r="DC125" i="30"/>
  <c r="DC128" i="30" s="1"/>
  <c r="DC130" i="30" s="1"/>
  <c r="DC133" i="30" s="1"/>
  <c r="DC135" i="30" s="1"/>
  <c r="DC137" i="30" s="1"/>
  <c r="DC139" i="30" s="1"/>
  <c r="DC141" i="30" s="1"/>
  <c r="DC143" i="30" s="1"/>
  <c r="DC148" i="30" s="1"/>
  <c r="DQ125" i="30"/>
  <c r="DQ128" i="30" s="1"/>
  <c r="DQ130" i="30" s="1"/>
  <c r="DQ133" i="30" s="1"/>
  <c r="DQ135" i="30" s="1"/>
  <c r="DQ137" i="30" s="1"/>
  <c r="DQ139" i="30" s="1"/>
  <c r="DQ141" i="30" s="1"/>
  <c r="DQ143" i="30" s="1"/>
  <c r="DQ148" i="30" s="1"/>
  <c r="BT125" i="30"/>
  <c r="BT128" i="30" s="1"/>
  <c r="BT130" i="30" s="1"/>
  <c r="BT133" i="30" s="1"/>
  <c r="BT135" i="30" s="1"/>
  <c r="BT137" i="30" s="1"/>
  <c r="BT139" i="30" s="1"/>
  <c r="BT141" i="30" s="1"/>
  <c r="BT143" i="30" s="1"/>
  <c r="BT147" i="30" s="1"/>
  <c r="L287" i="30"/>
  <c r="L301" i="30" s="1"/>
  <c r="AP125" i="30"/>
  <c r="AP128" i="30" s="1"/>
  <c r="AP130" i="30" s="1"/>
  <c r="AP133" i="30" s="1"/>
  <c r="AP135" i="30" s="1"/>
  <c r="AP137" i="30" s="1"/>
  <c r="AP139" i="30" s="1"/>
  <c r="AP141" i="30" s="1"/>
  <c r="AP143" i="30" s="1"/>
  <c r="AP148" i="30" s="1"/>
  <c r="BK125" i="30"/>
  <c r="BK128" i="30" s="1"/>
  <c r="BK130" i="30" s="1"/>
  <c r="BK133" i="30" s="1"/>
  <c r="BK135" i="30" s="1"/>
  <c r="BK137" i="30" s="1"/>
  <c r="BK139" i="30" s="1"/>
  <c r="BK141" i="30" s="1"/>
  <c r="BK143" i="30" s="1"/>
  <c r="BK148" i="30" s="1"/>
  <c r="CN125" i="30"/>
  <c r="CN128" i="30" s="1"/>
  <c r="CN130" i="30" s="1"/>
  <c r="CN133" i="30" s="1"/>
  <c r="CN135" i="30" s="1"/>
  <c r="CN137" i="30" s="1"/>
  <c r="CN139" i="30" s="1"/>
  <c r="CN141" i="30" s="1"/>
  <c r="CN143" i="30" s="1"/>
  <c r="CN148" i="30" s="1"/>
  <c r="CH288" i="30"/>
  <c r="DL288" i="30"/>
  <c r="BN287" i="30"/>
  <c r="R125" i="30"/>
  <c r="R128" i="30" s="1"/>
  <c r="R130" i="30" s="1"/>
  <c r="R133" i="30" s="1"/>
  <c r="R135" i="30" s="1"/>
  <c r="R137" i="30" s="1"/>
  <c r="R139" i="30" s="1"/>
  <c r="R141" i="30" s="1"/>
  <c r="R143" i="30" s="1"/>
  <c r="R148" i="30" s="1"/>
  <c r="BE125" i="30"/>
  <c r="BE128" i="30" s="1"/>
  <c r="BE130" i="30" s="1"/>
  <c r="BE133" i="30" s="1"/>
  <c r="BE135" i="30" s="1"/>
  <c r="BE137" i="30" s="1"/>
  <c r="BE139" i="30" s="1"/>
  <c r="BE141" i="30" s="1"/>
  <c r="BE143" i="30" s="1"/>
  <c r="BE148" i="30" s="1"/>
  <c r="EE125" i="30"/>
  <c r="EE128" i="30" s="1"/>
  <c r="EE130" i="30" s="1"/>
  <c r="EE133" i="30" s="1"/>
  <c r="EE135" i="30" s="1"/>
  <c r="EE137" i="30" s="1"/>
  <c r="EE139" i="30" s="1"/>
  <c r="EE141" i="30" s="1"/>
  <c r="EE143" i="30" s="1"/>
  <c r="EE148" i="30" s="1"/>
  <c r="CG288" i="30"/>
  <c r="CY125" i="30"/>
  <c r="CY128" i="30" s="1"/>
  <c r="CY130" i="30" s="1"/>
  <c r="CY133" i="30" s="1"/>
  <c r="CY135" i="30" s="1"/>
  <c r="CY137" i="30" s="1"/>
  <c r="CY139" i="30" s="1"/>
  <c r="CY141" i="30" s="1"/>
  <c r="CY143" i="30" s="1"/>
  <c r="CY146" i="30" s="1"/>
  <c r="V125" i="30"/>
  <c r="V128" i="30" s="1"/>
  <c r="V130" i="30" s="1"/>
  <c r="V133" i="30" s="1"/>
  <c r="V135" i="30" s="1"/>
  <c r="V137" i="30" s="1"/>
  <c r="V139" i="30" s="1"/>
  <c r="V141" i="30" s="1"/>
  <c r="V143" i="30" s="1"/>
  <c r="V147" i="30" s="1"/>
  <c r="CN287" i="30"/>
  <c r="T125" i="30"/>
  <c r="T128" i="30" s="1"/>
  <c r="T130" i="30" s="1"/>
  <c r="T133" i="30" s="1"/>
  <c r="T135" i="30" s="1"/>
  <c r="T137" i="30" s="1"/>
  <c r="T139" i="30" s="1"/>
  <c r="T141" i="30" s="1"/>
  <c r="T143" i="30" s="1"/>
  <c r="T147" i="30" s="1"/>
  <c r="DN288" i="30"/>
  <c r="AZ125" i="30"/>
  <c r="AZ128" i="30" s="1"/>
  <c r="AZ130" i="30" s="1"/>
  <c r="AZ133" i="30" s="1"/>
  <c r="AZ135" i="30" s="1"/>
  <c r="AZ137" i="30" s="1"/>
  <c r="AZ139" i="30" s="1"/>
  <c r="AZ141" i="30" s="1"/>
  <c r="AZ143" i="30" s="1"/>
  <c r="AZ148" i="30" s="1"/>
  <c r="BB125" i="30"/>
  <c r="BB128" i="30" s="1"/>
  <c r="BB130" i="30" s="1"/>
  <c r="BB133" i="30" s="1"/>
  <c r="BB135" i="30" s="1"/>
  <c r="BB137" i="30" s="1"/>
  <c r="BB139" i="30" s="1"/>
  <c r="BB141" i="30" s="1"/>
  <c r="BB143" i="30" s="1"/>
  <c r="BB148" i="30" s="1"/>
  <c r="K125" i="30"/>
  <c r="K128" i="30" s="1"/>
  <c r="K130" i="30" s="1"/>
  <c r="K133" i="30" s="1"/>
  <c r="K135" i="30" s="1"/>
  <c r="K137" i="30" s="1"/>
  <c r="K139" i="30" s="1"/>
  <c r="K141" i="30" s="1"/>
  <c r="K143" i="30" s="1"/>
  <c r="K146" i="30" s="1"/>
  <c r="AX287" i="30"/>
  <c r="AX301" i="30" s="1"/>
  <c r="AA125" i="30"/>
  <c r="AA128" i="30" s="1"/>
  <c r="AA130" i="30" s="1"/>
  <c r="AA133" i="30" s="1"/>
  <c r="AA135" i="30" s="1"/>
  <c r="AA137" i="30" s="1"/>
  <c r="AA139" i="30" s="1"/>
  <c r="AA141" i="30" s="1"/>
  <c r="AA143" i="30" s="1"/>
  <c r="AA146" i="30" s="1"/>
  <c r="AM125" i="30"/>
  <c r="AM128" i="30" s="1"/>
  <c r="AM130" i="30" s="1"/>
  <c r="AM133" i="30" s="1"/>
  <c r="AM135" i="30" s="1"/>
  <c r="AM137" i="30" s="1"/>
  <c r="AM139" i="30" s="1"/>
  <c r="AM141" i="30" s="1"/>
  <c r="AM143" i="30" s="1"/>
  <c r="AM147" i="30" s="1"/>
  <c r="DR288" i="30"/>
  <c r="BS125" i="30"/>
  <c r="BS128" i="30" s="1"/>
  <c r="BS130" i="30" s="1"/>
  <c r="BS133" i="30" s="1"/>
  <c r="BS135" i="30" s="1"/>
  <c r="BS137" i="30" s="1"/>
  <c r="BS139" i="30" s="1"/>
  <c r="BS141" i="30" s="1"/>
  <c r="BS143" i="30" s="1"/>
  <c r="BS146" i="30" s="1"/>
  <c r="CD125" i="30"/>
  <c r="CD128" i="30" s="1"/>
  <c r="CD130" i="30" s="1"/>
  <c r="CD133" i="30" s="1"/>
  <c r="CD135" i="30" s="1"/>
  <c r="CD137" i="30" s="1"/>
  <c r="CD139" i="30" s="1"/>
  <c r="CD141" i="30" s="1"/>
  <c r="CD143" i="30" s="1"/>
  <c r="CD147" i="30" s="1"/>
  <c r="CX125" i="30"/>
  <c r="CX128" i="30" s="1"/>
  <c r="CX130" i="30" s="1"/>
  <c r="CX133" i="30" s="1"/>
  <c r="CX135" i="30" s="1"/>
  <c r="CX137" i="30" s="1"/>
  <c r="CX139" i="30" s="1"/>
  <c r="CX141" i="30" s="1"/>
  <c r="CX143" i="30" s="1"/>
  <c r="CX148" i="30" s="1"/>
  <c r="AQ125" i="30"/>
  <c r="AQ128" i="30" s="1"/>
  <c r="AQ130" i="30" s="1"/>
  <c r="AQ133" i="30" s="1"/>
  <c r="AQ135" i="30" s="1"/>
  <c r="AQ137" i="30" s="1"/>
  <c r="AQ139" i="30" s="1"/>
  <c r="AQ141" i="30" s="1"/>
  <c r="AQ143" i="30" s="1"/>
  <c r="AQ148" i="30" s="1"/>
  <c r="CU125" i="30"/>
  <c r="CU128" i="30" s="1"/>
  <c r="CU130" i="30" s="1"/>
  <c r="CU133" i="30" s="1"/>
  <c r="CU135" i="30" s="1"/>
  <c r="CU137" i="30" s="1"/>
  <c r="CU139" i="30" s="1"/>
  <c r="CU141" i="30" s="1"/>
  <c r="CU143" i="30" s="1"/>
  <c r="CU148" i="30" s="1"/>
  <c r="I179" i="6"/>
  <c r="J179" i="6" s="1"/>
  <c r="BJ125" i="30"/>
  <c r="BJ128" i="30" s="1"/>
  <c r="BJ130" i="30" s="1"/>
  <c r="BJ133" i="30" s="1"/>
  <c r="BJ135" i="30" s="1"/>
  <c r="BJ137" i="30" s="1"/>
  <c r="BJ139" i="30" s="1"/>
  <c r="BJ141" i="30" s="1"/>
  <c r="BJ143" i="30" s="1"/>
  <c r="BJ148" i="30" s="1"/>
  <c r="DH125" i="30"/>
  <c r="DH128" i="30" s="1"/>
  <c r="DH130" i="30" s="1"/>
  <c r="DH133" i="30" s="1"/>
  <c r="DH135" i="30" s="1"/>
  <c r="DH137" i="30" s="1"/>
  <c r="DH139" i="30" s="1"/>
  <c r="DH141" i="30" s="1"/>
  <c r="DH143" i="30" s="1"/>
  <c r="DH147" i="30" s="1"/>
  <c r="AS125" i="30"/>
  <c r="AS128" i="30" s="1"/>
  <c r="AS130" i="30" s="1"/>
  <c r="AS133" i="30" s="1"/>
  <c r="AS135" i="30" s="1"/>
  <c r="AS137" i="30" s="1"/>
  <c r="AS139" i="30" s="1"/>
  <c r="AS141" i="30" s="1"/>
  <c r="AS143" i="30" s="1"/>
  <c r="AS148" i="30" s="1"/>
  <c r="DS125" i="30"/>
  <c r="DS128" i="30" s="1"/>
  <c r="DS130" i="30" s="1"/>
  <c r="DS133" i="30" s="1"/>
  <c r="DS135" i="30" s="1"/>
  <c r="DS137" i="30" s="1"/>
  <c r="DS139" i="30" s="1"/>
  <c r="DS141" i="30" s="1"/>
  <c r="DS143" i="30" s="1"/>
  <c r="DS146" i="30" s="1"/>
  <c r="BQ288" i="30"/>
  <c r="BV287" i="30"/>
  <c r="AY125" i="30"/>
  <c r="AY128" i="30" s="1"/>
  <c r="AY130" i="30" s="1"/>
  <c r="AY133" i="30" s="1"/>
  <c r="AY135" i="30" s="1"/>
  <c r="AY137" i="30" s="1"/>
  <c r="AY139" i="30" s="1"/>
  <c r="AY141" i="30" s="1"/>
  <c r="AY143" i="30" s="1"/>
  <c r="AY146" i="30" s="1"/>
  <c r="CI125" i="30"/>
  <c r="CI128" i="30" s="1"/>
  <c r="CI130" i="30" s="1"/>
  <c r="CI133" i="30" s="1"/>
  <c r="CI135" i="30" s="1"/>
  <c r="CI137" i="30" s="1"/>
  <c r="CI139" i="30" s="1"/>
  <c r="CI141" i="30" s="1"/>
  <c r="CI143" i="30" s="1"/>
  <c r="CI148" i="30" s="1"/>
  <c r="BI125" i="30"/>
  <c r="BI128" i="30" s="1"/>
  <c r="BI130" i="30" s="1"/>
  <c r="BI133" i="30" s="1"/>
  <c r="BI135" i="30" s="1"/>
  <c r="BI137" i="30" s="1"/>
  <c r="BI139" i="30" s="1"/>
  <c r="BI141" i="30" s="1"/>
  <c r="BI143" i="30" s="1"/>
  <c r="BI148" i="30" s="1"/>
  <c r="R288" i="30"/>
  <c r="R308" i="30" s="1"/>
  <c r="DN125" i="30"/>
  <c r="DN128" i="30" s="1"/>
  <c r="DN130" i="30" s="1"/>
  <c r="DN133" i="30" s="1"/>
  <c r="DN135" i="30" s="1"/>
  <c r="DN137" i="30" s="1"/>
  <c r="DN139" i="30" s="1"/>
  <c r="DN141" i="30" s="1"/>
  <c r="DN143" i="30" s="1"/>
  <c r="DN146" i="30" s="1"/>
  <c r="G287" i="30"/>
  <c r="G301" i="30" s="1"/>
  <c r="DN287" i="30"/>
  <c r="J287" i="30"/>
  <c r="J301" i="30" s="1"/>
  <c r="DL287" i="30"/>
  <c r="BG288" i="30"/>
  <c r="AD125" i="30"/>
  <c r="AD128" i="30" s="1"/>
  <c r="AD130" i="30" s="1"/>
  <c r="AD133" i="30" s="1"/>
  <c r="AD135" i="30" s="1"/>
  <c r="AD137" i="30" s="1"/>
  <c r="AD139" i="30" s="1"/>
  <c r="AD141" i="30" s="1"/>
  <c r="AD143" i="30" s="1"/>
  <c r="AD148" i="30" s="1"/>
  <c r="BS287" i="30"/>
  <c r="DR287" i="30"/>
  <c r="AD287" i="30"/>
  <c r="AD301" i="30" s="1"/>
  <c r="BY125" i="30"/>
  <c r="BY128" i="30" s="1"/>
  <c r="BY130" i="30" s="1"/>
  <c r="BY133" i="30" s="1"/>
  <c r="BY135" i="30" s="1"/>
  <c r="BY137" i="30" s="1"/>
  <c r="BY139" i="30" s="1"/>
  <c r="BY141" i="30" s="1"/>
  <c r="BY143" i="30" s="1"/>
  <c r="BY147" i="30" s="1"/>
  <c r="E125" i="30"/>
  <c r="E128" i="30" s="1"/>
  <c r="E130" i="30" s="1"/>
  <c r="E133" i="30" s="1"/>
  <c r="E135" i="30" s="1"/>
  <c r="E137" i="30" s="1"/>
  <c r="E139" i="30" s="1"/>
  <c r="E141" i="30" s="1"/>
  <c r="E143" i="30" s="1"/>
  <c r="E148" i="30" s="1"/>
  <c r="BQ287" i="30"/>
  <c r="BS77" i="6"/>
  <c r="BR22" i="70"/>
  <c r="BQ77" i="6"/>
  <c r="BP22" i="70"/>
  <c r="CC77" i="6"/>
  <c r="CB22" i="70"/>
  <c r="DW64" i="6"/>
  <c r="O47" i="21"/>
  <c r="EG22" i="70"/>
  <c r="EH77" i="6"/>
  <c r="CB77" i="6"/>
  <c r="CA22" i="70"/>
  <c r="W77" i="6"/>
  <c r="V22" i="70"/>
  <c r="AH77" i="6"/>
  <c r="AG22" i="70"/>
  <c r="BI77" i="6"/>
  <c r="BH22" i="70"/>
  <c r="BS22" i="70"/>
  <c r="BT77" i="6"/>
  <c r="BG77" i="6"/>
  <c r="BF22" i="70"/>
  <c r="BF77" i="6"/>
  <c r="BE22" i="70"/>
  <c r="BR77" i="6"/>
  <c r="BQ22" i="70"/>
  <c r="DK64" i="6"/>
  <c r="N47" i="21"/>
  <c r="DU77" i="6"/>
  <c r="DT22" i="70"/>
  <c r="EG77" i="6"/>
  <c r="EF22" i="70"/>
  <c r="DX77" i="6"/>
  <c r="DW22" i="70"/>
  <c r="V77" i="6"/>
  <c r="U22" i="70"/>
  <c r="AG77" i="6"/>
  <c r="AF22" i="70"/>
  <c r="AW77" i="6"/>
  <c r="AV22" i="70"/>
  <c r="BG22" i="70"/>
  <c r="BH77" i="6"/>
  <c r="AT22" i="70"/>
  <c r="AU77" i="6"/>
  <c r="AS77" i="6"/>
  <c r="AR22" i="70"/>
  <c r="BD22" i="70"/>
  <c r="BE77" i="6"/>
  <c r="CY64" i="6"/>
  <c r="M47" i="21"/>
  <c r="DJ77" i="6"/>
  <c r="DI22" i="70"/>
  <c r="DV77" i="6"/>
  <c r="DU22" i="70"/>
  <c r="EF77" i="6"/>
  <c r="EE22" i="70"/>
  <c r="DL77" i="6"/>
  <c r="DK22" i="70"/>
  <c r="U77" i="6"/>
  <c r="T22" i="70"/>
  <c r="AO77" i="6"/>
  <c r="AN22" i="70"/>
  <c r="AU22" i="70"/>
  <c r="AV77" i="6"/>
  <c r="AN77" i="6"/>
  <c r="AM22" i="70"/>
  <c r="CN77" i="6"/>
  <c r="CM22" i="70"/>
  <c r="CX77" i="6"/>
  <c r="CW22" i="70"/>
  <c r="DI77" i="6"/>
  <c r="DH22" i="70"/>
  <c r="DT77" i="6"/>
  <c r="DS22" i="70"/>
  <c r="EE77" i="6"/>
  <c r="ED22" i="70"/>
  <c r="CY22" i="70"/>
  <c r="CZ77" i="6"/>
  <c r="AE22" i="70"/>
  <c r="AF77" i="6"/>
  <c r="AD77" i="6"/>
  <c r="AC22" i="70"/>
  <c r="AB22" i="70"/>
  <c r="AC77" i="6"/>
  <c r="AM77" i="6"/>
  <c r="AL22" i="70"/>
  <c r="CA64" i="6"/>
  <c r="K47" i="21"/>
  <c r="CL77" i="6"/>
  <c r="CK22" i="70"/>
  <c r="CW77" i="6"/>
  <c r="CV22" i="70"/>
  <c r="DH77" i="6"/>
  <c r="DG22" i="70"/>
  <c r="DS77" i="6"/>
  <c r="DR22" i="70"/>
  <c r="ED77" i="6"/>
  <c r="EC22" i="70"/>
  <c r="EA77" i="6"/>
  <c r="DZ22" i="70"/>
  <c r="S22" i="70"/>
  <c r="T77" i="6"/>
  <c r="AE64" i="6"/>
  <c r="G47" i="21"/>
  <c r="Q22" i="70"/>
  <c r="R77" i="6"/>
  <c r="Q77" i="6"/>
  <c r="P164" i="71" s="1"/>
  <c r="P22" i="70"/>
  <c r="AB77" i="6"/>
  <c r="AA22" i="70"/>
  <c r="BO64" i="6"/>
  <c r="J47" i="21"/>
  <c r="BZ77" i="6"/>
  <c r="BY22" i="70"/>
  <c r="CK77" i="6"/>
  <c r="CJ22" i="70"/>
  <c r="CV77" i="6"/>
  <c r="CU22" i="70"/>
  <c r="DG77" i="6"/>
  <c r="DF22" i="70"/>
  <c r="DP22" i="70"/>
  <c r="DQ77" i="6"/>
  <c r="CM64" i="6"/>
  <c r="L47" i="21"/>
  <c r="G64" i="6"/>
  <c r="E47" i="21"/>
  <c r="S64" i="6"/>
  <c r="F47" i="21"/>
  <c r="CQ77" i="6"/>
  <c r="CP22" i="70"/>
  <c r="DC77" i="6"/>
  <c r="DB22" i="70"/>
  <c r="BC64" i="6"/>
  <c r="I47" i="21"/>
  <c r="BN77" i="6"/>
  <c r="BM22" i="70"/>
  <c r="BY77" i="6"/>
  <c r="BX22" i="70"/>
  <c r="CJ77" i="6"/>
  <c r="CI22" i="70"/>
  <c r="CU77" i="6"/>
  <c r="CT22" i="70"/>
  <c r="DF77" i="6"/>
  <c r="DE22" i="70"/>
  <c r="EC77" i="6"/>
  <c r="EB22" i="70"/>
  <c r="BD77" i="6"/>
  <c r="BC22" i="70"/>
  <c r="H71" i="6"/>
  <c r="I150" i="6"/>
  <c r="DZ77" i="6"/>
  <c r="DY22" i="70"/>
  <c r="CE77" i="6"/>
  <c r="CD22" i="70"/>
  <c r="BP77" i="6"/>
  <c r="BO22" i="70"/>
  <c r="AR77" i="6"/>
  <c r="AQ22" i="70"/>
  <c r="BB77" i="6"/>
  <c r="BA22" i="70"/>
  <c r="BM77" i="6"/>
  <c r="BL22" i="70"/>
  <c r="BX77" i="6"/>
  <c r="BW22" i="70"/>
  <c r="CH22" i="70"/>
  <c r="CI77" i="6"/>
  <c r="CT77" i="6"/>
  <c r="CS22" i="70"/>
  <c r="DQ22" i="70"/>
  <c r="DR77" i="6"/>
  <c r="EB77" i="6"/>
  <c r="EA22" i="70"/>
  <c r="H69" i="6"/>
  <c r="I140" i="6"/>
  <c r="DN77" i="6"/>
  <c r="DM22" i="70"/>
  <c r="DY77" i="6"/>
  <c r="DX22" i="70"/>
  <c r="AA77" i="6"/>
  <c r="Z22" i="70"/>
  <c r="AK22" i="70"/>
  <c r="AL77" i="6"/>
  <c r="BA77" i="6"/>
  <c r="AZ22" i="70"/>
  <c r="BL77" i="6"/>
  <c r="BK22" i="70"/>
  <c r="BV22" i="70"/>
  <c r="BW77" i="6"/>
  <c r="CH77" i="6"/>
  <c r="CG22" i="70"/>
  <c r="DE77" i="6"/>
  <c r="DD22" i="70"/>
  <c r="DN22" i="70"/>
  <c r="DO77" i="6"/>
  <c r="DA22" i="70"/>
  <c r="DB77" i="6"/>
  <c r="DM77" i="6"/>
  <c r="DL22" i="70"/>
  <c r="Z77" i="6"/>
  <c r="Y22" i="70"/>
  <c r="AK77" i="6"/>
  <c r="AJ22" i="70"/>
  <c r="AQ64" i="6"/>
  <c r="H47" i="21"/>
  <c r="AZ77" i="6"/>
  <c r="AY22" i="70"/>
  <c r="BK77" i="6"/>
  <c r="BJ22" i="70"/>
  <c r="BV77" i="6"/>
  <c r="BU22" i="70"/>
  <c r="CS77" i="6"/>
  <c r="CR22" i="70"/>
  <c r="DD77" i="6"/>
  <c r="DC22" i="70"/>
  <c r="BQ125" i="30"/>
  <c r="BQ128" i="30" s="1"/>
  <c r="BQ130" i="30" s="1"/>
  <c r="BQ133" i="30" s="1"/>
  <c r="BQ135" i="30" s="1"/>
  <c r="BQ137" i="30" s="1"/>
  <c r="BQ139" i="30" s="1"/>
  <c r="BQ141" i="30" s="1"/>
  <c r="BQ143" i="30" s="1"/>
  <c r="BQ148" i="30" s="1"/>
  <c r="CO77" i="6"/>
  <c r="CN22" i="70"/>
  <c r="DA77" i="6"/>
  <c r="CZ22" i="70"/>
  <c r="DP77" i="6"/>
  <c r="DO22" i="70"/>
  <c r="Y77" i="6"/>
  <c r="X22" i="70"/>
  <c r="AI77" i="6"/>
  <c r="AH22" i="70"/>
  <c r="AX22" i="70"/>
  <c r="AY77" i="6"/>
  <c r="BI22" i="70"/>
  <c r="BJ77" i="6"/>
  <c r="CG77" i="6"/>
  <c r="CF22" i="70"/>
  <c r="CQ22" i="70"/>
  <c r="CR77" i="6"/>
  <c r="CD77" i="6"/>
  <c r="CC22" i="70"/>
  <c r="CP77" i="6"/>
  <c r="CO22" i="70"/>
  <c r="AT77" i="6"/>
  <c r="AS22" i="70"/>
  <c r="X77" i="6"/>
  <c r="W22" i="70"/>
  <c r="AJ77" i="6"/>
  <c r="AI22" i="70"/>
  <c r="AP77" i="6"/>
  <c r="AO22" i="70"/>
  <c r="AW22" i="70"/>
  <c r="AX77" i="6"/>
  <c r="BU77" i="6"/>
  <c r="BT22" i="70"/>
  <c r="CF77" i="6"/>
  <c r="CE22" i="70"/>
  <c r="DV125" i="30"/>
  <c r="DV128" i="30" s="1"/>
  <c r="DV130" i="30" s="1"/>
  <c r="DV133" i="30" s="1"/>
  <c r="DV135" i="30" s="1"/>
  <c r="DV137" i="30" s="1"/>
  <c r="DV139" i="30" s="1"/>
  <c r="DV141" i="30" s="1"/>
  <c r="DV143" i="30" s="1"/>
  <c r="DV148" i="30" s="1"/>
  <c r="DZ125" i="30"/>
  <c r="DZ128" i="30" s="1"/>
  <c r="DZ130" i="30" s="1"/>
  <c r="DZ133" i="30" s="1"/>
  <c r="DZ135" i="30" s="1"/>
  <c r="DZ137" i="30" s="1"/>
  <c r="DZ139" i="30" s="1"/>
  <c r="DZ141" i="30" s="1"/>
  <c r="DZ143" i="30" s="1"/>
  <c r="DZ147" i="30" s="1"/>
  <c r="CR125" i="30"/>
  <c r="CR128" i="30" s="1"/>
  <c r="CR130" i="30" s="1"/>
  <c r="CR133" i="30" s="1"/>
  <c r="CR135" i="30" s="1"/>
  <c r="CR137" i="30" s="1"/>
  <c r="CR139" i="30" s="1"/>
  <c r="CR141" i="30" s="1"/>
  <c r="CR143" i="30" s="1"/>
  <c r="CR148" i="30" s="1"/>
  <c r="BN288" i="30"/>
  <c r="CJ125" i="30"/>
  <c r="CJ128" i="30" s="1"/>
  <c r="CJ130" i="30" s="1"/>
  <c r="CJ133" i="30" s="1"/>
  <c r="CJ135" i="30" s="1"/>
  <c r="CJ137" i="30" s="1"/>
  <c r="CJ139" i="30" s="1"/>
  <c r="CJ141" i="30" s="1"/>
  <c r="CJ143" i="30" s="1"/>
  <c r="CJ148" i="30" s="1"/>
  <c r="AX288" i="30"/>
  <c r="AX308" i="30" s="1"/>
  <c r="DU125" i="30"/>
  <c r="DU128" i="30" s="1"/>
  <c r="DU130" i="30" s="1"/>
  <c r="DU133" i="30" s="1"/>
  <c r="DU135" i="30" s="1"/>
  <c r="DU137" i="30" s="1"/>
  <c r="DU139" i="30" s="1"/>
  <c r="DU141" i="30" s="1"/>
  <c r="DU143" i="30" s="1"/>
  <c r="DU147" i="30" s="1"/>
  <c r="CG287" i="30"/>
  <c r="AO125" i="30"/>
  <c r="AO128" i="30" s="1"/>
  <c r="AO130" i="30" s="1"/>
  <c r="AO133" i="30" s="1"/>
  <c r="AO135" i="30" s="1"/>
  <c r="AO137" i="30" s="1"/>
  <c r="AO139" i="30" s="1"/>
  <c r="AO141" i="30" s="1"/>
  <c r="AO143" i="30" s="1"/>
  <c r="AO148" i="30" s="1"/>
  <c r="BG287" i="30"/>
  <c r="AL125" i="30"/>
  <c r="AL128" i="30" s="1"/>
  <c r="AL130" i="30" s="1"/>
  <c r="AL133" i="30" s="1"/>
  <c r="AL135" i="30" s="1"/>
  <c r="AL137" i="30" s="1"/>
  <c r="AL139" i="30" s="1"/>
  <c r="AL141" i="30" s="1"/>
  <c r="AL143" i="30" s="1"/>
  <c r="AL148" i="30" s="1"/>
  <c r="CO288" i="30"/>
  <c r="BK287" i="30"/>
  <c r="BU287" i="30"/>
  <c r="AR288" i="30"/>
  <c r="AR308" i="30" s="1"/>
  <c r="BI287" i="30"/>
  <c r="BM125" i="30"/>
  <c r="BM128" i="30" s="1"/>
  <c r="BM130" i="30" s="1"/>
  <c r="BM133" i="30" s="1"/>
  <c r="BM135" i="30" s="1"/>
  <c r="BM137" i="30" s="1"/>
  <c r="BM139" i="30" s="1"/>
  <c r="BM141" i="30" s="1"/>
  <c r="BM143" i="30" s="1"/>
  <c r="BM148" i="30" s="1"/>
  <c r="E318" i="30"/>
  <c r="E163" i="30"/>
  <c r="AY287" i="30"/>
  <c r="AY301" i="30" s="1"/>
  <c r="BM288" i="30"/>
  <c r="AM288" i="30"/>
  <c r="AM308" i="30" s="1"/>
  <c r="DF287" i="30"/>
  <c r="DF288" i="30"/>
  <c r="AW287" i="30"/>
  <c r="AW301" i="30" s="1"/>
  <c r="BE288" i="30"/>
  <c r="BE287" i="30"/>
  <c r="DJ288" i="30"/>
  <c r="AA287" i="30"/>
  <c r="AA301" i="30" s="1"/>
  <c r="DD288" i="30"/>
  <c r="CY288" i="30"/>
  <c r="BW125" i="30"/>
  <c r="BW128" i="30" s="1"/>
  <c r="BW130" i="30" s="1"/>
  <c r="BW133" i="30" s="1"/>
  <c r="BW135" i="30" s="1"/>
  <c r="BW137" i="30" s="1"/>
  <c r="BW139" i="30" s="1"/>
  <c r="BW141" i="30" s="1"/>
  <c r="BW143" i="30" s="1"/>
  <c r="BW147" i="30" s="1"/>
  <c r="BF125" i="30"/>
  <c r="BF128" i="30" s="1"/>
  <c r="BF130" i="30" s="1"/>
  <c r="BF133" i="30" s="1"/>
  <c r="BF135" i="30" s="1"/>
  <c r="BF137" i="30" s="1"/>
  <c r="BF139" i="30" s="1"/>
  <c r="BF141" i="30" s="1"/>
  <c r="BF143" i="30" s="1"/>
  <c r="BF147" i="30" s="1"/>
  <c r="CR287" i="30"/>
  <c r="CR288" i="30"/>
  <c r="DY125" i="30"/>
  <c r="DY128" i="30" s="1"/>
  <c r="DY130" i="30" s="1"/>
  <c r="DY133" i="30" s="1"/>
  <c r="DY135" i="30" s="1"/>
  <c r="DY137" i="30" s="1"/>
  <c r="DY139" i="30" s="1"/>
  <c r="DY141" i="30" s="1"/>
  <c r="DY143" i="30" s="1"/>
  <c r="DY146" i="30" s="1"/>
  <c r="U287" i="30"/>
  <c r="U301" i="30" s="1"/>
  <c r="BD288" i="30"/>
  <c r="P286" i="30"/>
  <c r="P294" i="30" s="1"/>
  <c r="P240" i="30"/>
  <c r="CG286" i="30"/>
  <c r="CG240" i="30"/>
  <c r="CG241" i="30" s="1"/>
  <c r="CG249" i="30" s="1"/>
  <c r="BU286" i="30"/>
  <c r="BU240" i="30"/>
  <c r="BU241" i="30" s="1"/>
  <c r="BU249" i="30" s="1"/>
  <c r="DP288" i="30"/>
  <c r="T286" i="30"/>
  <c r="T294" i="30" s="1"/>
  <c r="T240" i="30"/>
  <c r="AK288" i="30"/>
  <c r="AK308" i="30" s="1"/>
  <c r="DB288" i="30"/>
  <c r="Y288" i="30"/>
  <c r="Y308" i="30" s="1"/>
  <c r="CP288" i="30"/>
  <c r="Q288" i="30"/>
  <c r="Q308" i="30" s="1"/>
  <c r="BR288" i="30"/>
  <c r="M287" i="30"/>
  <c r="M301" i="30" s="1"/>
  <c r="CD240" i="30"/>
  <c r="CD241" i="30" s="1"/>
  <c r="CD249" i="30" s="1"/>
  <c r="CD286" i="30"/>
  <c r="BX287" i="30"/>
  <c r="I288" i="30"/>
  <c r="I308" i="30" s="1"/>
  <c r="DL125" i="30"/>
  <c r="DL128" i="30" s="1"/>
  <c r="DL130" i="30" s="1"/>
  <c r="DL133" i="30" s="1"/>
  <c r="DL135" i="30" s="1"/>
  <c r="DL137" i="30" s="1"/>
  <c r="DL139" i="30" s="1"/>
  <c r="DL141" i="30" s="1"/>
  <c r="DL143" i="30" s="1"/>
  <c r="BT286" i="30"/>
  <c r="BT240" i="30"/>
  <c r="BT241" i="30" s="1"/>
  <c r="BT249" i="30" s="1"/>
  <c r="AB125" i="30"/>
  <c r="AB128" i="30" s="1"/>
  <c r="AB130" i="30" s="1"/>
  <c r="AB133" i="30" s="1"/>
  <c r="AB135" i="30" s="1"/>
  <c r="AB137" i="30" s="1"/>
  <c r="AB139" i="30" s="1"/>
  <c r="AB141" i="30" s="1"/>
  <c r="AB143" i="30" s="1"/>
  <c r="DS287" i="30"/>
  <c r="BF286" i="30"/>
  <c r="BF240" i="30"/>
  <c r="BF241" i="30" s="1"/>
  <c r="BF249" i="30" s="1"/>
  <c r="AV287" i="30"/>
  <c r="AV301" i="30" s="1"/>
  <c r="E38" i="30"/>
  <c r="F32" i="30" s="1"/>
  <c r="CF125" i="30"/>
  <c r="CF128" i="30" s="1"/>
  <c r="CF130" i="30" s="1"/>
  <c r="CF133" i="30" s="1"/>
  <c r="CF135" i="30" s="1"/>
  <c r="CF137" i="30" s="1"/>
  <c r="CF139" i="30" s="1"/>
  <c r="CF141" i="30" s="1"/>
  <c r="CF143" i="30" s="1"/>
  <c r="CU287" i="30"/>
  <c r="AH286" i="30"/>
  <c r="AH294" i="30" s="1"/>
  <c r="AH240" i="30"/>
  <c r="EF125" i="30"/>
  <c r="EF128" i="30" s="1"/>
  <c r="EF130" i="30" s="1"/>
  <c r="EF133" i="30" s="1"/>
  <c r="EF135" i="30" s="1"/>
  <c r="EF137" i="30" s="1"/>
  <c r="EF139" i="30" s="1"/>
  <c r="EF141" i="30" s="1"/>
  <c r="EF143" i="30" s="1"/>
  <c r="DA125" i="30"/>
  <c r="DA128" i="30" s="1"/>
  <c r="DA130" i="30" s="1"/>
  <c r="DA133" i="30" s="1"/>
  <c r="DA135" i="30" s="1"/>
  <c r="DA137" i="30" s="1"/>
  <c r="DA139" i="30" s="1"/>
  <c r="DA141" i="30" s="1"/>
  <c r="DA143" i="30" s="1"/>
  <c r="CI287" i="30"/>
  <c r="V286" i="30"/>
  <c r="V294" i="30" s="1"/>
  <c r="V240" i="30"/>
  <c r="P287" i="30"/>
  <c r="P301" i="30" s="1"/>
  <c r="G286" i="30"/>
  <c r="G294" i="30" s="1"/>
  <c r="G240" i="30"/>
  <c r="AR287" i="30"/>
  <c r="AR301" i="30" s="1"/>
  <c r="DR286" i="30"/>
  <c r="DR240" i="30"/>
  <c r="DR241" i="30" s="1"/>
  <c r="DR249" i="30" s="1"/>
  <c r="BN286" i="30"/>
  <c r="BN240" i="30"/>
  <c r="BN241" i="30" s="1"/>
  <c r="BN249" i="30" s="1"/>
  <c r="BM286" i="30"/>
  <c r="BM240" i="30"/>
  <c r="BM241" i="30" s="1"/>
  <c r="BM249" i="30" s="1"/>
  <c r="DF240" i="30"/>
  <c r="DF241" i="30" s="1"/>
  <c r="DF249" i="30" s="1"/>
  <c r="DF286" i="30"/>
  <c r="AA286" i="30"/>
  <c r="AA294" i="30" s="1"/>
  <c r="AA240" i="30"/>
  <c r="DD286" i="30"/>
  <c r="DD240" i="30"/>
  <c r="DD241" i="30" s="1"/>
  <c r="DD249" i="30" s="1"/>
  <c r="AP240" i="30"/>
  <c r="AP286" i="30"/>
  <c r="AP294" i="30" s="1"/>
  <c r="H70" i="6"/>
  <c r="I145" i="6"/>
  <c r="O286" i="30"/>
  <c r="O294" i="30" s="1"/>
  <c r="O240" i="30"/>
  <c r="CR286" i="30"/>
  <c r="CR240" i="30"/>
  <c r="CR241" i="30" s="1"/>
  <c r="CR249" i="30" s="1"/>
  <c r="BO288" i="30"/>
  <c r="M288" i="30"/>
  <c r="M308" i="30" s="1"/>
  <c r="CD288" i="30"/>
  <c r="BD286" i="30"/>
  <c r="BD240" i="30"/>
  <c r="BD241" i="30" s="1"/>
  <c r="BD249" i="30" s="1"/>
  <c r="BX288" i="30"/>
  <c r="I287" i="30"/>
  <c r="I301" i="30" s="1"/>
  <c r="DP125" i="30"/>
  <c r="DP128" i="30" s="1"/>
  <c r="DP130" i="30" s="1"/>
  <c r="DP133" i="30" s="1"/>
  <c r="DP135" i="30" s="1"/>
  <c r="DP137" i="30" s="1"/>
  <c r="DP139" i="30" s="1"/>
  <c r="DP141" i="30" s="1"/>
  <c r="DP143" i="30" s="1"/>
  <c r="BT287" i="30"/>
  <c r="DS288" i="30"/>
  <c r="BF288" i="30"/>
  <c r="EB125" i="30"/>
  <c r="EB128" i="30" s="1"/>
  <c r="EB130" i="30" s="1"/>
  <c r="EB133" i="30" s="1"/>
  <c r="EB135" i="30" s="1"/>
  <c r="EB137" i="30" s="1"/>
  <c r="EB139" i="30" s="1"/>
  <c r="EB141" i="30" s="1"/>
  <c r="EB143" i="30" s="1"/>
  <c r="AV288" i="30"/>
  <c r="AV308" i="30" s="1"/>
  <c r="CU288" i="30"/>
  <c r="AH288" i="30"/>
  <c r="AH308" i="30" s="1"/>
  <c r="CI288" i="30"/>
  <c r="V288" i="30"/>
  <c r="V308" i="30" s="1"/>
  <c r="P288" i="30"/>
  <c r="P308" i="30" s="1"/>
  <c r="BU288" i="30"/>
  <c r="AY286" i="30"/>
  <c r="AY294" i="30" s="1"/>
  <c r="AY240" i="30"/>
  <c r="BM287" i="30"/>
  <c r="BE286" i="30"/>
  <c r="BE240" i="30"/>
  <c r="BE241" i="30" s="1"/>
  <c r="BE249" i="30" s="1"/>
  <c r="DD287" i="30"/>
  <c r="AP287" i="30"/>
  <c r="AP301" i="30" s="1"/>
  <c r="O287" i="30"/>
  <c r="O301" i="30" s="1"/>
  <c r="BO240" i="30"/>
  <c r="BO241" i="30" s="1"/>
  <c r="BO249" i="30" s="1"/>
  <c r="BO286" i="30"/>
  <c r="CF286" i="30"/>
  <c r="CF240" i="30"/>
  <c r="CF241" i="30" s="1"/>
  <c r="CF249" i="30" s="1"/>
  <c r="BJ286" i="30"/>
  <c r="BJ240" i="30"/>
  <c r="BJ241" i="30" s="1"/>
  <c r="BJ249" i="30" s="1"/>
  <c r="CZ287" i="30"/>
  <c r="BT288" i="30"/>
  <c r="BH286" i="30"/>
  <c r="BH240" i="30"/>
  <c r="BH241" i="30" s="1"/>
  <c r="BH249" i="30" s="1"/>
  <c r="F286" i="30"/>
  <c r="F294" i="30" s="1"/>
  <c r="F240" i="30"/>
  <c r="AL286" i="30"/>
  <c r="AL294" i="30" s="1"/>
  <c r="AL240" i="30"/>
  <c r="DO286" i="30"/>
  <c r="DO240" i="30"/>
  <c r="DO241" i="30" s="1"/>
  <c r="DO249" i="30" s="1"/>
  <c r="CB287" i="30"/>
  <c r="CB125" i="30"/>
  <c r="CB128" i="30" s="1"/>
  <c r="CB130" i="30" s="1"/>
  <c r="CB133" i="30" s="1"/>
  <c r="CB135" i="30" s="1"/>
  <c r="CB137" i="30" s="1"/>
  <c r="CB139" i="30" s="1"/>
  <c r="CB141" i="30" s="1"/>
  <c r="CB143" i="30" s="1"/>
  <c r="W125" i="30"/>
  <c r="W128" i="30" s="1"/>
  <c r="W130" i="30" s="1"/>
  <c r="W133" i="30" s="1"/>
  <c r="W135" i="30" s="1"/>
  <c r="W137" i="30" s="1"/>
  <c r="W139" i="30" s="1"/>
  <c r="W141" i="30" s="1"/>
  <c r="W143" i="30" s="1"/>
  <c r="DU286" i="30"/>
  <c r="DU240" i="30"/>
  <c r="DU241" i="30" s="1"/>
  <c r="DU249" i="30" s="1"/>
  <c r="AJ286" i="30"/>
  <c r="AJ294" i="30" s="1"/>
  <c r="AJ240" i="30"/>
  <c r="DM288" i="30"/>
  <c r="ED125" i="30"/>
  <c r="ED128" i="30" s="1"/>
  <c r="ED130" i="30" s="1"/>
  <c r="ED133" i="30" s="1"/>
  <c r="ED135" i="30" s="1"/>
  <c r="ED137" i="30" s="1"/>
  <c r="ED139" i="30" s="1"/>
  <c r="ED141" i="30" s="1"/>
  <c r="ED143" i="30" s="1"/>
  <c r="DI286" i="30"/>
  <c r="DI240" i="30"/>
  <c r="DI241" i="30" s="1"/>
  <c r="DI249" i="30" s="1"/>
  <c r="X286" i="30"/>
  <c r="X294" i="30" s="1"/>
  <c r="X240" i="30"/>
  <c r="DA286" i="30"/>
  <c r="DA240" i="30"/>
  <c r="DA241" i="30" s="1"/>
  <c r="DA249" i="30" s="1"/>
  <c r="CX286" i="30"/>
  <c r="CX240" i="30"/>
  <c r="CX241" i="30" s="1"/>
  <c r="CX249" i="30" s="1"/>
  <c r="BW286" i="30"/>
  <c r="BW240" i="30"/>
  <c r="BW241" i="30" s="1"/>
  <c r="BW249" i="30" s="1"/>
  <c r="AR286" i="30"/>
  <c r="AR294" i="30" s="1"/>
  <c r="AR240" i="30"/>
  <c r="BA125" i="30"/>
  <c r="BA128" i="30" s="1"/>
  <c r="BA130" i="30" s="1"/>
  <c r="BA133" i="30" s="1"/>
  <c r="BA135" i="30" s="1"/>
  <c r="BA137" i="30" s="1"/>
  <c r="BA139" i="30" s="1"/>
  <c r="BA141" i="30" s="1"/>
  <c r="BA143" i="30" s="1"/>
  <c r="AA288" i="30"/>
  <c r="AA308" i="30" s="1"/>
  <c r="AP288" i="30"/>
  <c r="AP308" i="30" s="1"/>
  <c r="AC125" i="30"/>
  <c r="AC128" i="30" s="1"/>
  <c r="AC130" i="30" s="1"/>
  <c r="AC133" i="30" s="1"/>
  <c r="AC135" i="30" s="1"/>
  <c r="AC137" i="30" s="1"/>
  <c r="AC139" i="30" s="1"/>
  <c r="AC141" i="30" s="1"/>
  <c r="AC143" i="30" s="1"/>
  <c r="O288" i="30"/>
  <c r="O308" i="30" s="1"/>
  <c r="BO287" i="30"/>
  <c r="CF287" i="30"/>
  <c r="BJ287" i="30"/>
  <c r="CZ288" i="30"/>
  <c r="DK125" i="30"/>
  <c r="DK128" i="30" s="1"/>
  <c r="DK130" i="30" s="1"/>
  <c r="DK133" i="30" s="1"/>
  <c r="DK135" i="30" s="1"/>
  <c r="DK137" i="30" s="1"/>
  <c r="DK139" i="30" s="1"/>
  <c r="DK141" i="30" s="1"/>
  <c r="DK143" i="30" s="1"/>
  <c r="AK125" i="30"/>
  <c r="AK128" i="30" s="1"/>
  <c r="AK130" i="30" s="1"/>
  <c r="AK133" i="30" s="1"/>
  <c r="AK135" i="30" s="1"/>
  <c r="AK137" i="30" s="1"/>
  <c r="AK139" i="30" s="1"/>
  <c r="AK141" i="30" s="1"/>
  <c r="AK143" i="30" s="1"/>
  <c r="BH287" i="30"/>
  <c r="F287" i="30"/>
  <c r="F301" i="30" s="1"/>
  <c r="P125" i="30"/>
  <c r="P128" i="30" s="1"/>
  <c r="P130" i="30" s="1"/>
  <c r="P133" i="30" s="1"/>
  <c r="P135" i="30" s="1"/>
  <c r="P137" i="30" s="1"/>
  <c r="P139" i="30" s="1"/>
  <c r="P141" i="30" s="1"/>
  <c r="P143" i="30" s="1"/>
  <c r="AI125" i="30"/>
  <c r="AI128" i="30" s="1"/>
  <c r="AI130" i="30" s="1"/>
  <c r="AI133" i="30" s="1"/>
  <c r="AI135" i="30" s="1"/>
  <c r="AI137" i="30" s="1"/>
  <c r="AI139" i="30" s="1"/>
  <c r="AI141" i="30" s="1"/>
  <c r="AI143" i="30" s="1"/>
  <c r="AL287" i="30"/>
  <c r="AL301" i="30" s="1"/>
  <c r="DO287" i="30"/>
  <c r="CB288" i="30"/>
  <c r="DU287" i="30"/>
  <c r="AJ287" i="30"/>
  <c r="AJ301" i="30" s="1"/>
  <c r="DM286" i="30"/>
  <c r="DM240" i="30"/>
  <c r="DM241" i="30" s="1"/>
  <c r="DM249" i="30" s="1"/>
  <c r="BP125" i="30"/>
  <c r="BP128" i="30" s="1"/>
  <c r="BP130" i="30" s="1"/>
  <c r="BP133" i="30" s="1"/>
  <c r="BP135" i="30" s="1"/>
  <c r="BP137" i="30" s="1"/>
  <c r="BP139" i="30" s="1"/>
  <c r="BP141" i="30" s="1"/>
  <c r="BP143" i="30" s="1"/>
  <c r="DI287" i="30"/>
  <c r="X287" i="30"/>
  <c r="X301" i="30" s="1"/>
  <c r="DA288" i="30"/>
  <c r="CX287" i="30"/>
  <c r="BW287" i="30"/>
  <c r="J286" i="30"/>
  <c r="J294" i="30" s="1"/>
  <c r="J240" i="30"/>
  <c r="CC240" i="30"/>
  <c r="CC241" i="30" s="1"/>
  <c r="CC249" i="30" s="1"/>
  <c r="CC286" i="30"/>
  <c r="BY286" i="30"/>
  <c r="BY240" i="30"/>
  <c r="BY241" i="30" s="1"/>
  <c r="BY249" i="30" s="1"/>
  <c r="AY288" i="30"/>
  <c r="AY308" i="30" s="1"/>
  <c r="DT286" i="30"/>
  <c r="DT240" i="30"/>
  <c r="DT241" i="30" s="1"/>
  <c r="DT249" i="30" s="1"/>
  <c r="AU286" i="30"/>
  <c r="AU294" i="30" s="1"/>
  <c r="AU240" i="30"/>
  <c r="DK288" i="30"/>
  <c r="BA286" i="30"/>
  <c r="BA294" i="30" s="1"/>
  <c r="BA240" i="30"/>
  <c r="CT286" i="30"/>
  <c r="CT240" i="30"/>
  <c r="CT241" i="30" s="1"/>
  <c r="CT249" i="30" s="1"/>
  <c r="AS288" i="30"/>
  <c r="AS308" i="30" s="1"/>
  <c r="AO240" i="30"/>
  <c r="AO286" i="30"/>
  <c r="AO294" i="30" s="1"/>
  <c r="CH286" i="30"/>
  <c r="CH240" i="30"/>
  <c r="CH241" i="30" s="1"/>
  <c r="CH249" i="30" s="1"/>
  <c r="CL286" i="30"/>
  <c r="CL240" i="30"/>
  <c r="CL241" i="30" s="1"/>
  <c r="CL249" i="30" s="1"/>
  <c r="BZ286" i="30"/>
  <c r="BZ240" i="30"/>
  <c r="BZ241" i="30" s="1"/>
  <c r="BZ249" i="30" s="1"/>
  <c r="CF288" i="30"/>
  <c r="BJ288" i="30"/>
  <c r="CZ286" i="30"/>
  <c r="CZ240" i="30"/>
  <c r="CZ241" i="30" s="1"/>
  <c r="CZ249" i="30" s="1"/>
  <c r="CZ125" i="30"/>
  <c r="CZ128" i="30" s="1"/>
  <c r="CZ130" i="30" s="1"/>
  <c r="CZ133" i="30" s="1"/>
  <c r="CZ135" i="30" s="1"/>
  <c r="CZ137" i="30" s="1"/>
  <c r="CZ139" i="30" s="1"/>
  <c r="CZ141" i="30" s="1"/>
  <c r="CZ143" i="30" s="1"/>
  <c r="Z125" i="30"/>
  <c r="Z128" i="30" s="1"/>
  <c r="Z130" i="30" s="1"/>
  <c r="Z133" i="30" s="1"/>
  <c r="Z135" i="30" s="1"/>
  <c r="Z137" i="30" s="1"/>
  <c r="Z139" i="30" s="1"/>
  <c r="Z141" i="30" s="1"/>
  <c r="Z143" i="30" s="1"/>
  <c r="BH288" i="30"/>
  <c r="F288" i="30"/>
  <c r="F308" i="30" s="1"/>
  <c r="AL288" i="30"/>
  <c r="AL308" i="30" s="1"/>
  <c r="DO288" i="30"/>
  <c r="CB286" i="30"/>
  <c r="CB240" i="30"/>
  <c r="CB241" i="30" s="1"/>
  <c r="CB249" i="30" s="1"/>
  <c r="CA125" i="30"/>
  <c r="CA128" i="30" s="1"/>
  <c r="CA130" i="30" s="1"/>
  <c r="CA133" i="30" s="1"/>
  <c r="CA135" i="30" s="1"/>
  <c r="CA137" i="30" s="1"/>
  <c r="CA139" i="30" s="1"/>
  <c r="CA141" i="30" s="1"/>
  <c r="CA143" i="30" s="1"/>
  <c r="DU288" i="30"/>
  <c r="AJ288" i="30"/>
  <c r="AJ308" i="30" s="1"/>
  <c r="DM287" i="30"/>
  <c r="EC125" i="30"/>
  <c r="EC128" i="30" s="1"/>
  <c r="EC130" i="30" s="1"/>
  <c r="EC133" i="30" s="1"/>
  <c r="EC135" i="30" s="1"/>
  <c r="EC137" i="30" s="1"/>
  <c r="EC139" i="30" s="1"/>
  <c r="EC141" i="30" s="1"/>
  <c r="EC143" i="30" s="1"/>
  <c r="DI288" i="30"/>
  <c r="X288" i="30"/>
  <c r="X308" i="30" s="1"/>
  <c r="DA287" i="30"/>
  <c r="CX288" i="30"/>
  <c r="BW288" i="30"/>
  <c r="DL286" i="30"/>
  <c r="DL240" i="30"/>
  <c r="DL241" i="30" s="1"/>
  <c r="DL249" i="30" s="1"/>
  <c r="CC288" i="30"/>
  <c r="BY287" i="30"/>
  <c r="CP125" i="30"/>
  <c r="CP128" i="30" s="1"/>
  <c r="CP130" i="30" s="1"/>
  <c r="CP133" i="30" s="1"/>
  <c r="CP135" i="30" s="1"/>
  <c r="CP137" i="30" s="1"/>
  <c r="CP139" i="30" s="1"/>
  <c r="CP141" i="30" s="1"/>
  <c r="CP143" i="30" s="1"/>
  <c r="DT287" i="30"/>
  <c r="AU287" i="30"/>
  <c r="AU301" i="30" s="1"/>
  <c r="DK286" i="30"/>
  <c r="DK240" i="30"/>
  <c r="DK241" i="30" s="1"/>
  <c r="DK249" i="30" s="1"/>
  <c r="BA287" i="30"/>
  <c r="BA301" i="30" s="1"/>
  <c r="CT287" i="30"/>
  <c r="AS286" i="30"/>
  <c r="AS294" i="30" s="1"/>
  <c r="AS240" i="30"/>
  <c r="BL125" i="30"/>
  <c r="BL128" i="30" s="1"/>
  <c r="BL130" i="30" s="1"/>
  <c r="BL133" i="30" s="1"/>
  <c r="BL135" i="30" s="1"/>
  <c r="BL137" i="30" s="1"/>
  <c r="BL139" i="30" s="1"/>
  <c r="BL141" i="30" s="1"/>
  <c r="BL143" i="30" s="1"/>
  <c r="I125" i="30"/>
  <c r="I128" i="30" s="1"/>
  <c r="I130" i="30" s="1"/>
  <c r="I133" i="30" s="1"/>
  <c r="I135" i="30" s="1"/>
  <c r="I137" i="30" s="1"/>
  <c r="I139" i="30" s="1"/>
  <c r="I141" i="30" s="1"/>
  <c r="I143" i="30" s="1"/>
  <c r="AO287" i="30"/>
  <c r="AO301" i="30" s="1"/>
  <c r="CH287" i="30"/>
  <c r="CL287" i="30"/>
  <c r="BZ287" i="30"/>
  <c r="AX125" i="30"/>
  <c r="AX128" i="30" s="1"/>
  <c r="AX130" i="30" s="1"/>
  <c r="AX133" i="30" s="1"/>
  <c r="AX135" i="30" s="1"/>
  <c r="AX137" i="30" s="1"/>
  <c r="AX139" i="30" s="1"/>
  <c r="AX141" i="30" s="1"/>
  <c r="AX143" i="30" s="1"/>
  <c r="AC240" i="30"/>
  <c r="AC286" i="30"/>
  <c r="AC294" i="30" s="1"/>
  <c r="BV286" i="30"/>
  <c r="BV240" i="30"/>
  <c r="BV241" i="30" s="1"/>
  <c r="BV249" i="30" s="1"/>
  <c r="U286" i="30"/>
  <c r="U294" i="30" s="1"/>
  <c r="U240" i="30"/>
  <c r="R286" i="30"/>
  <c r="R294" i="30" s="1"/>
  <c r="R240" i="30"/>
  <c r="DJ125" i="30"/>
  <c r="DJ128" i="30" s="1"/>
  <c r="DJ130" i="30" s="1"/>
  <c r="DJ133" i="30" s="1"/>
  <c r="DJ135" i="30" s="1"/>
  <c r="DJ137" i="30" s="1"/>
  <c r="DJ139" i="30" s="1"/>
  <c r="DJ141" i="30" s="1"/>
  <c r="DJ143" i="30" s="1"/>
  <c r="E286" i="30"/>
  <c r="E294" i="30" s="1"/>
  <c r="E240" i="30"/>
  <c r="D235" i="32" s="1"/>
  <c r="AX286" i="30"/>
  <c r="AX294" i="30" s="1"/>
  <c r="AX240" i="30"/>
  <c r="X125" i="30"/>
  <c r="X128" i="30" s="1"/>
  <c r="X130" i="30" s="1"/>
  <c r="X133" i="30" s="1"/>
  <c r="X135" i="30" s="1"/>
  <c r="X137" i="30" s="1"/>
  <c r="X139" i="30" s="1"/>
  <c r="X141" i="30" s="1"/>
  <c r="X143" i="30" s="1"/>
  <c r="AZ286" i="30"/>
  <c r="AZ294" i="30" s="1"/>
  <c r="AZ240" i="30"/>
  <c r="DQ286" i="30"/>
  <c r="DQ240" i="30"/>
  <c r="DQ241" i="30" s="1"/>
  <c r="DQ249" i="30" s="1"/>
  <c r="AQ288" i="30"/>
  <c r="AQ308" i="30" s="1"/>
  <c r="Z286" i="30"/>
  <c r="Z294" i="30" s="1"/>
  <c r="Z240" i="30"/>
  <c r="DC286" i="30"/>
  <c r="DC240" i="30"/>
  <c r="DC241" i="30" s="1"/>
  <c r="DC249" i="30" s="1"/>
  <c r="BP287" i="30"/>
  <c r="N286" i="30"/>
  <c r="N294" i="30" s="1"/>
  <c r="N240" i="30"/>
  <c r="CQ286" i="30"/>
  <c r="CQ240" i="30"/>
  <c r="CQ241" i="30" s="1"/>
  <c r="CQ249" i="30" s="1"/>
  <c r="H287" i="30"/>
  <c r="H301" i="30" s="1"/>
  <c r="CW286" i="30"/>
  <c r="CW240" i="30"/>
  <c r="CW241" i="30" s="1"/>
  <c r="CW249" i="30" s="1"/>
  <c r="L286" i="30"/>
  <c r="L294" i="30" s="1"/>
  <c r="L240" i="30"/>
  <c r="CO286" i="30"/>
  <c r="CO240" i="30"/>
  <c r="CO241" i="30" s="1"/>
  <c r="CO249" i="30" s="1"/>
  <c r="AD286" i="30"/>
  <c r="AD294" i="30" s="1"/>
  <c r="AD240" i="30"/>
  <c r="BG286" i="30"/>
  <c r="BG240" i="30"/>
  <c r="BG241" i="30" s="1"/>
  <c r="BG249" i="30" s="1"/>
  <c r="H74" i="6"/>
  <c r="I164" i="6"/>
  <c r="BK286" i="30"/>
  <c r="BK240" i="30"/>
  <c r="BK241" i="30" s="1"/>
  <c r="BK249" i="30" s="1"/>
  <c r="CC287" i="30"/>
  <c r="BY288" i="30"/>
  <c r="CN286" i="30"/>
  <c r="CN240" i="30"/>
  <c r="CN241" i="30" s="1"/>
  <c r="CN249" i="30" s="1"/>
  <c r="DT288" i="30"/>
  <c r="AU288" i="30"/>
  <c r="AU308" i="30" s="1"/>
  <c r="DK287" i="30"/>
  <c r="H125" i="30"/>
  <c r="H128" i="30" s="1"/>
  <c r="H130" i="30" s="1"/>
  <c r="H133" i="30" s="1"/>
  <c r="H135" i="30" s="1"/>
  <c r="H137" i="30" s="1"/>
  <c r="H139" i="30" s="1"/>
  <c r="H141" i="30" s="1"/>
  <c r="H143" i="30" s="1"/>
  <c r="BA288" i="30"/>
  <c r="BA308" i="30" s="1"/>
  <c r="CT288" i="30"/>
  <c r="AS287" i="30"/>
  <c r="AS301" i="30" s="1"/>
  <c r="AO288" i="30"/>
  <c r="AO308" i="30" s="1"/>
  <c r="CL288" i="30"/>
  <c r="BZ288" i="30"/>
  <c r="AC287" i="30"/>
  <c r="AC301" i="30" s="1"/>
  <c r="U288" i="30"/>
  <c r="U308" i="30" s="1"/>
  <c r="F24" i="30"/>
  <c r="G21" i="30" s="1"/>
  <c r="G24" i="30" s="1"/>
  <c r="H21" i="30" s="1"/>
  <c r="H24" i="30" s="1"/>
  <c r="I21" i="30" s="1"/>
  <c r="I24" i="30" s="1"/>
  <c r="J21" i="30" s="1"/>
  <c r="J24" i="30" s="1"/>
  <c r="K21" i="30" s="1"/>
  <c r="K24" i="30" s="1"/>
  <c r="L21" i="30" s="1"/>
  <c r="L24" i="30" s="1"/>
  <c r="M21" i="30" s="1"/>
  <c r="M24" i="30" s="1"/>
  <c r="N21" i="30" s="1"/>
  <c r="N24" i="30" s="1"/>
  <c r="O21" i="30" s="1"/>
  <c r="O24" i="30" s="1"/>
  <c r="P21" i="30" s="1"/>
  <c r="P24" i="30" s="1"/>
  <c r="Q21" i="30" s="1"/>
  <c r="Q24" i="30" s="1"/>
  <c r="R21" i="30" s="1"/>
  <c r="R24" i="30" s="1"/>
  <c r="S21" i="30" s="1"/>
  <c r="S24" i="30" s="1"/>
  <c r="T21" i="30" s="1"/>
  <c r="T24" i="30" s="1"/>
  <c r="U21" i="30" s="1"/>
  <c r="U24" i="30" s="1"/>
  <c r="V21" i="30" s="1"/>
  <c r="V24" i="30" s="1"/>
  <c r="W21" i="30" s="1"/>
  <c r="W24" i="30" s="1"/>
  <c r="X21" i="30" s="1"/>
  <c r="X24" i="30" s="1"/>
  <c r="Y21" i="30" s="1"/>
  <c r="Y24" i="30" s="1"/>
  <c r="Z21" i="30" s="1"/>
  <c r="Z24" i="30" s="1"/>
  <c r="AA21" i="30" s="1"/>
  <c r="AA24" i="30" s="1"/>
  <c r="AB21" i="30" s="1"/>
  <c r="AB24" i="30" s="1"/>
  <c r="AC21" i="30" s="1"/>
  <c r="AC24" i="30" s="1"/>
  <c r="AD21" i="30" s="1"/>
  <c r="AD24" i="30" s="1"/>
  <c r="AE21" i="30" s="1"/>
  <c r="AE24" i="30" s="1"/>
  <c r="AF21" i="30" s="1"/>
  <c r="AF24" i="30" s="1"/>
  <c r="AG21" i="30" s="1"/>
  <c r="E287" i="30"/>
  <c r="E301" i="30" s="1"/>
  <c r="AZ287" i="30"/>
  <c r="AZ301" i="30" s="1"/>
  <c r="DQ287" i="30"/>
  <c r="AQ286" i="30"/>
  <c r="AQ294" i="30" s="1"/>
  <c r="AQ240" i="30"/>
  <c r="BZ125" i="30"/>
  <c r="BZ128" i="30" s="1"/>
  <c r="BZ130" i="30" s="1"/>
  <c r="BZ133" i="30" s="1"/>
  <c r="BZ135" i="30" s="1"/>
  <c r="BZ137" i="30" s="1"/>
  <c r="BZ139" i="30" s="1"/>
  <c r="BZ141" i="30" s="1"/>
  <c r="BZ143" i="30" s="1"/>
  <c r="DD125" i="30"/>
  <c r="DD128" i="30" s="1"/>
  <c r="DD130" i="30" s="1"/>
  <c r="DD133" i="30" s="1"/>
  <c r="DD135" i="30" s="1"/>
  <c r="DD137" i="30" s="1"/>
  <c r="DD139" i="30" s="1"/>
  <c r="DD141" i="30" s="1"/>
  <c r="DD143" i="30" s="1"/>
  <c r="Z287" i="30"/>
  <c r="Z301" i="30" s="1"/>
  <c r="DC287" i="30"/>
  <c r="BP288" i="30"/>
  <c r="BO125" i="30"/>
  <c r="BO128" i="30" s="1"/>
  <c r="BO130" i="30" s="1"/>
  <c r="BO133" i="30" s="1"/>
  <c r="BO135" i="30" s="1"/>
  <c r="BO137" i="30" s="1"/>
  <c r="BO139" i="30" s="1"/>
  <c r="BO141" i="30" s="1"/>
  <c r="BO143" i="30" s="1"/>
  <c r="N287" i="30"/>
  <c r="N301" i="30" s="1"/>
  <c r="CQ287" i="30"/>
  <c r="H288" i="30"/>
  <c r="H308" i="30" s="1"/>
  <c r="J154" i="6"/>
  <c r="BI286" i="30"/>
  <c r="BI240" i="30"/>
  <c r="BI241" i="30" s="1"/>
  <c r="BI249" i="30" s="1"/>
  <c r="AW286" i="30"/>
  <c r="AW294" i="30" s="1"/>
  <c r="AW240" i="30"/>
  <c r="DJ286" i="30"/>
  <c r="DJ240" i="30"/>
  <c r="DJ241" i="30" s="1"/>
  <c r="DJ249" i="30" s="1"/>
  <c r="DH240" i="30"/>
  <c r="DH241" i="30" s="1"/>
  <c r="DH249" i="30" s="1"/>
  <c r="DH286" i="30"/>
  <c r="AI286" i="30"/>
  <c r="AI294" i="30" s="1"/>
  <c r="AI240" i="30"/>
  <c r="CV286" i="30"/>
  <c r="CV240" i="30"/>
  <c r="CV241" i="30" s="1"/>
  <c r="CV249" i="30" s="1"/>
  <c r="W286" i="30"/>
  <c r="W294" i="30" s="1"/>
  <c r="W240" i="30"/>
  <c r="CM288" i="30"/>
  <c r="DW125" i="30"/>
  <c r="DW128" i="30" s="1"/>
  <c r="DW130" i="30" s="1"/>
  <c r="DW133" i="30" s="1"/>
  <c r="DW135" i="30" s="1"/>
  <c r="DW137" i="30" s="1"/>
  <c r="DW139" i="30" s="1"/>
  <c r="DW141" i="30" s="1"/>
  <c r="DW143" i="30" s="1"/>
  <c r="AW125" i="30"/>
  <c r="AW128" i="30" s="1"/>
  <c r="AW130" i="30" s="1"/>
  <c r="AW133" i="30" s="1"/>
  <c r="AW135" i="30" s="1"/>
  <c r="AW137" i="30" s="1"/>
  <c r="AW139" i="30" s="1"/>
  <c r="AW141" i="30" s="1"/>
  <c r="AW143" i="30" s="1"/>
  <c r="AC288" i="30"/>
  <c r="AC308" i="30" s="1"/>
  <c r="AU125" i="30"/>
  <c r="AU128" i="30" s="1"/>
  <c r="AU130" i="30" s="1"/>
  <c r="AU133" i="30" s="1"/>
  <c r="AU135" i="30" s="1"/>
  <c r="AU137" i="30" s="1"/>
  <c r="AU139" i="30" s="1"/>
  <c r="AU141" i="30" s="1"/>
  <c r="AU143" i="30" s="1"/>
  <c r="E288" i="30"/>
  <c r="N125" i="30"/>
  <c r="N128" i="30" s="1"/>
  <c r="N130" i="30" s="1"/>
  <c r="N133" i="30" s="1"/>
  <c r="N135" i="30" s="1"/>
  <c r="N137" i="30" s="1"/>
  <c r="N139" i="30" s="1"/>
  <c r="N141" i="30" s="1"/>
  <c r="N143" i="30" s="1"/>
  <c r="AZ288" i="30"/>
  <c r="AZ308" i="30" s="1"/>
  <c r="DQ288" i="30"/>
  <c r="AQ287" i="30"/>
  <c r="AQ301" i="30" s="1"/>
  <c r="Z288" i="30"/>
  <c r="Z308" i="30" s="1"/>
  <c r="DC288" i="30"/>
  <c r="BP240" i="30"/>
  <c r="BP241" i="30" s="1"/>
  <c r="BP249" i="30" s="1"/>
  <c r="BP286" i="30"/>
  <c r="N288" i="30"/>
  <c r="N308" i="30" s="1"/>
  <c r="CQ288" i="30"/>
  <c r="H286" i="30"/>
  <c r="H294" i="30" s="1"/>
  <c r="H240" i="30"/>
  <c r="CO287" i="30"/>
  <c r="BK288" i="30"/>
  <c r="BQ286" i="30"/>
  <c r="BQ240" i="30"/>
  <c r="BQ241" i="30" s="1"/>
  <c r="BQ249" i="30" s="1"/>
  <c r="DN286" i="30"/>
  <c r="DN240" i="30"/>
  <c r="DN241" i="30" s="1"/>
  <c r="DN249" i="30" s="1"/>
  <c r="DJ287" i="30"/>
  <c r="BU125" i="30"/>
  <c r="BU128" i="30" s="1"/>
  <c r="BU130" i="30" s="1"/>
  <c r="BU133" i="30" s="1"/>
  <c r="BU135" i="30" s="1"/>
  <c r="BU137" i="30" s="1"/>
  <c r="BU139" i="30" s="1"/>
  <c r="BU141" i="30" s="1"/>
  <c r="BU143" i="30" s="1"/>
  <c r="DH287" i="30"/>
  <c r="AI287" i="30"/>
  <c r="AI301" i="30" s="1"/>
  <c r="CY286" i="30"/>
  <c r="CY240" i="30"/>
  <c r="CY241" i="30" s="1"/>
  <c r="CY249" i="30" s="1"/>
  <c r="CV287" i="30"/>
  <c r="W287" i="30"/>
  <c r="W301" i="30" s="1"/>
  <c r="CM286" i="30"/>
  <c r="CM240" i="30"/>
  <c r="CM241" i="30" s="1"/>
  <c r="CM249" i="30" s="1"/>
  <c r="CJ286" i="30"/>
  <c r="CJ240" i="30"/>
  <c r="CJ241" i="30" s="1"/>
  <c r="CJ249" i="30" s="1"/>
  <c r="K286" i="30"/>
  <c r="K294" i="30" s="1"/>
  <c r="K240" i="30"/>
  <c r="CA288" i="30"/>
  <c r="BL286" i="30"/>
  <c r="BL240" i="30"/>
  <c r="BL241" i="30" s="1"/>
  <c r="BL249" i="30" s="1"/>
  <c r="BC288" i="30"/>
  <c r="DG286" i="30"/>
  <c r="DG240" i="30"/>
  <c r="DG241" i="30" s="1"/>
  <c r="DG249" i="30" s="1"/>
  <c r="AT287" i="30"/>
  <c r="AT301" i="30" s="1"/>
  <c r="DI125" i="30"/>
  <c r="DI128" i="30" s="1"/>
  <c r="DI130" i="30" s="1"/>
  <c r="DI133" i="30" s="1"/>
  <c r="DI135" i="30" s="1"/>
  <c r="DI137" i="30" s="1"/>
  <c r="DI139" i="30" s="1"/>
  <c r="DI141" i="30" s="1"/>
  <c r="DI143" i="30" s="1"/>
  <c r="AN286" i="30"/>
  <c r="AN294" i="30" s="1"/>
  <c r="AN240" i="30"/>
  <c r="DE286" i="30"/>
  <c r="DE240" i="30"/>
  <c r="DE241" i="30" s="1"/>
  <c r="DE249" i="30" s="1"/>
  <c r="AE288" i="30"/>
  <c r="AE308" i="30" s="1"/>
  <c r="BN125" i="30"/>
  <c r="BN128" i="30" s="1"/>
  <c r="BN130" i="30" s="1"/>
  <c r="BN133" i="30" s="1"/>
  <c r="BN135" i="30" s="1"/>
  <c r="BN137" i="30" s="1"/>
  <c r="BN139" i="30" s="1"/>
  <c r="BN141" i="30" s="1"/>
  <c r="BN143" i="30" s="1"/>
  <c r="AJ125" i="30"/>
  <c r="AJ128" i="30" s="1"/>
  <c r="AJ130" i="30" s="1"/>
  <c r="AJ133" i="30" s="1"/>
  <c r="AJ135" i="30" s="1"/>
  <c r="AJ137" i="30" s="1"/>
  <c r="AJ139" i="30" s="1"/>
  <c r="AJ141" i="30" s="1"/>
  <c r="AJ143" i="30" s="1"/>
  <c r="AB240" i="30"/>
  <c r="AB286" i="30"/>
  <c r="AB294" i="30" s="1"/>
  <c r="CS286" i="30"/>
  <c r="CS240" i="30"/>
  <c r="CS241" i="30" s="1"/>
  <c r="CS249" i="30" s="1"/>
  <c r="S288" i="30"/>
  <c r="S308" i="30" s="1"/>
  <c r="CE286" i="30"/>
  <c r="CE240" i="30"/>
  <c r="CE241" i="30" s="1"/>
  <c r="CE249" i="30" s="1"/>
  <c r="CK286" i="30"/>
  <c r="CK240" i="30"/>
  <c r="CK241" i="30" s="1"/>
  <c r="CK249" i="30" s="1"/>
  <c r="BS286" i="30"/>
  <c r="BS240" i="30"/>
  <c r="BS241" i="30" s="1"/>
  <c r="BS249" i="30" s="1"/>
  <c r="BI288" i="30"/>
  <c r="CV125" i="30"/>
  <c r="CV128" i="30" s="1"/>
  <c r="CV130" i="30" s="1"/>
  <c r="CV133" i="30" s="1"/>
  <c r="CV135" i="30" s="1"/>
  <c r="CV137" i="30" s="1"/>
  <c r="CV139" i="30" s="1"/>
  <c r="CV141" i="30" s="1"/>
  <c r="CV143" i="30" s="1"/>
  <c r="AW288" i="30"/>
  <c r="AW308" i="30" s="1"/>
  <c r="DH288" i="30"/>
  <c r="AI288" i="30"/>
  <c r="AI308" i="30" s="1"/>
  <c r="CY287" i="30"/>
  <c r="CV288" i="30"/>
  <c r="W288" i="30"/>
  <c r="W308" i="30" s="1"/>
  <c r="CM287" i="30"/>
  <c r="AT125" i="30"/>
  <c r="AT128" i="30" s="1"/>
  <c r="AT130" i="30" s="1"/>
  <c r="AT133" i="30" s="1"/>
  <c r="AT135" i="30" s="1"/>
  <c r="AT137" i="30" s="1"/>
  <c r="AT139" i="30" s="1"/>
  <c r="AT141" i="30" s="1"/>
  <c r="AT143" i="30" s="1"/>
  <c r="CJ287" i="30"/>
  <c r="K287" i="30"/>
  <c r="K301" i="30" s="1"/>
  <c r="CA286" i="30"/>
  <c r="CA240" i="30"/>
  <c r="CA241" i="30" s="1"/>
  <c r="CA249" i="30" s="1"/>
  <c r="AN125" i="30"/>
  <c r="AN128" i="30" s="1"/>
  <c r="AN130" i="30" s="1"/>
  <c r="AN133" i="30" s="1"/>
  <c r="AN135" i="30" s="1"/>
  <c r="AN137" i="30" s="1"/>
  <c r="AN139" i="30" s="1"/>
  <c r="AN141" i="30" s="1"/>
  <c r="AN143" i="30" s="1"/>
  <c r="BL287" i="30"/>
  <c r="BC240" i="30"/>
  <c r="BC241" i="30" s="1"/>
  <c r="BC249" i="30" s="1"/>
  <c r="BC286" i="30"/>
  <c r="CM125" i="30"/>
  <c r="CM128" i="30" s="1"/>
  <c r="CM130" i="30" s="1"/>
  <c r="CM133" i="30" s="1"/>
  <c r="CM135" i="30" s="1"/>
  <c r="CM137" i="30" s="1"/>
  <c r="CM139" i="30" s="1"/>
  <c r="CM141" i="30" s="1"/>
  <c r="CM143" i="30" s="1"/>
  <c r="M125" i="30"/>
  <c r="M128" i="30" s="1"/>
  <c r="M130" i="30" s="1"/>
  <c r="M133" i="30" s="1"/>
  <c r="M135" i="30" s="1"/>
  <c r="M137" i="30" s="1"/>
  <c r="M139" i="30" s="1"/>
  <c r="M141" i="30" s="1"/>
  <c r="M143" i="30" s="1"/>
  <c r="DM125" i="30"/>
  <c r="DM128" i="30" s="1"/>
  <c r="DM130" i="30" s="1"/>
  <c r="DM133" i="30" s="1"/>
  <c r="DM135" i="30" s="1"/>
  <c r="DM137" i="30" s="1"/>
  <c r="DM139" i="30" s="1"/>
  <c r="DM141" i="30" s="1"/>
  <c r="DM143" i="30" s="1"/>
  <c r="DG287" i="30"/>
  <c r="AT286" i="30"/>
  <c r="AT294" i="30" s="1"/>
  <c r="AT240" i="30"/>
  <c r="AN287" i="30"/>
  <c r="AN301" i="30" s="1"/>
  <c r="DE287" i="30"/>
  <c r="AE286" i="30"/>
  <c r="AE294" i="30" s="1"/>
  <c r="AE240" i="30"/>
  <c r="AB287" i="30"/>
  <c r="AB301" i="30" s="1"/>
  <c r="CS287" i="30"/>
  <c r="S286" i="30"/>
  <c r="S294" i="30" s="1"/>
  <c r="S240" i="30"/>
  <c r="CE287" i="30"/>
  <c r="CK287" i="30"/>
  <c r="AM286" i="30"/>
  <c r="AM294" i="30" s="1"/>
  <c r="AM240" i="30"/>
  <c r="DP286" i="30"/>
  <c r="DP240" i="30"/>
  <c r="DP241" i="30" s="1"/>
  <c r="DP249" i="30" s="1"/>
  <c r="T287" i="30"/>
  <c r="T301" i="30" s="1"/>
  <c r="F125" i="30"/>
  <c r="F128" i="30" s="1"/>
  <c r="F130" i="30" s="1"/>
  <c r="F133" i="30" s="1"/>
  <c r="F135" i="30" s="1"/>
  <c r="F137" i="30" s="1"/>
  <c r="F139" i="30" s="1"/>
  <c r="F141" i="30" s="1"/>
  <c r="F143" i="30" s="1"/>
  <c r="BR125" i="30"/>
  <c r="BR128" i="30" s="1"/>
  <c r="BR130" i="30" s="1"/>
  <c r="BR133" i="30" s="1"/>
  <c r="BR135" i="30" s="1"/>
  <c r="BR137" i="30" s="1"/>
  <c r="BR139" i="30" s="1"/>
  <c r="BR141" i="30" s="1"/>
  <c r="BR143" i="30" s="1"/>
  <c r="AK286" i="30"/>
  <c r="AK294" i="30" s="1"/>
  <c r="AK240" i="30"/>
  <c r="DB287" i="30"/>
  <c r="Y286" i="30"/>
  <c r="Y294" i="30" s="1"/>
  <c r="Y240" i="30"/>
  <c r="CP287" i="30"/>
  <c r="Q286" i="30"/>
  <c r="Q294" i="30" s="1"/>
  <c r="Q240" i="30"/>
  <c r="BR287" i="30"/>
  <c r="CJ288" i="30"/>
  <c r="K288" i="30"/>
  <c r="K308" i="30" s="1"/>
  <c r="CA287" i="30"/>
  <c r="EG125" i="30"/>
  <c r="EG128" i="30" s="1"/>
  <c r="EG130" i="30" s="1"/>
  <c r="EG133" i="30" s="1"/>
  <c r="EG135" i="30" s="1"/>
  <c r="EG137" i="30" s="1"/>
  <c r="EG139" i="30" s="1"/>
  <c r="EG141" i="30" s="1"/>
  <c r="EG143" i="30" s="1"/>
  <c r="CE125" i="30"/>
  <c r="CE128" i="30" s="1"/>
  <c r="CE130" i="30" s="1"/>
  <c r="CE133" i="30" s="1"/>
  <c r="CE135" i="30" s="1"/>
  <c r="CE137" i="30" s="1"/>
  <c r="CE139" i="30" s="1"/>
  <c r="CE141" i="30" s="1"/>
  <c r="CE143" i="30" s="1"/>
  <c r="BL288" i="30"/>
  <c r="BC287" i="30"/>
  <c r="DG288" i="30"/>
  <c r="AT288" i="30"/>
  <c r="AT308" i="30" s="1"/>
  <c r="O125" i="30"/>
  <c r="O128" i="30" s="1"/>
  <c r="O130" i="30" s="1"/>
  <c r="O133" i="30" s="1"/>
  <c r="O135" i="30" s="1"/>
  <c r="O137" i="30" s="1"/>
  <c r="O139" i="30" s="1"/>
  <c r="O141" i="30" s="1"/>
  <c r="O143" i="30" s="1"/>
  <c r="AN288" i="30"/>
  <c r="AN308" i="30" s="1"/>
  <c r="DE288" i="30"/>
  <c r="AE287" i="30"/>
  <c r="AE301" i="30" s="1"/>
  <c r="CW125" i="30"/>
  <c r="CW128" i="30" s="1"/>
  <c r="CW130" i="30" s="1"/>
  <c r="CW133" i="30" s="1"/>
  <c r="CW135" i="30" s="1"/>
  <c r="CW137" i="30" s="1"/>
  <c r="CW139" i="30" s="1"/>
  <c r="CW141" i="30" s="1"/>
  <c r="CW143" i="30" s="1"/>
  <c r="U125" i="30"/>
  <c r="U128" i="30" s="1"/>
  <c r="U130" i="30" s="1"/>
  <c r="U133" i="30" s="1"/>
  <c r="U135" i="30" s="1"/>
  <c r="U137" i="30" s="1"/>
  <c r="U139" i="30" s="1"/>
  <c r="U141" i="30" s="1"/>
  <c r="U143" i="30" s="1"/>
  <c r="AB288" i="30"/>
  <c r="AB308" i="30" s="1"/>
  <c r="CS288" i="30"/>
  <c r="S287" i="30"/>
  <c r="S301" i="30" s="1"/>
  <c r="CE288" i="30"/>
  <c r="DF125" i="30"/>
  <c r="DF128" i="30" s="1"/>
  <c r="DF130" i="30" s="1"/>
  <c r="DF133" i="30" s="1"/>
  <c r="DF135" i="30" s="1"/>
  <c r="DF137" i="30" s="1"/>
  <c r="DF139" i="30" s="1"/>
  <c r="DF141" i="30" s="1"/>
  <c r="DF143" i="30" s="1"/>
  <c r="CK288" i="30"/>
  <c r="BS288" i="30"/>
  <c r="DG125" i="30"/>
  <c r="DG128" i="30" s="1"/>
  <c r="DG130" i="30" s="1"/>
  <c r="DG133" i="30" s="1"/>
  <c r="DG135" i="30" s="1"/>
  <c r="DG137" i="30" s="1"/>
  <c r="DG139" i="30" s="1"/>
  <c r="DG141" i="30" s="1"/>
  <c r="DG143" i="30" s="1"/>
  <c r="AM287" i="30"/>
  <c r="AM301" i="30" s="1"/>
  <c r="DP287" i="30"/>
  <c r="T288" i="30"/>
  <c r="T308" i="30" s="1"/>
  <c r="AK287" i="30"/>
  <c r="AK301" i="30" s="1"/>
  <c r="DB286" i="30"/>
  <c r="DB240" i="30"/>
  <c r="DB241" i="30" s="1"/>
  <c r="DB249" i="30" s="1"/>
  <c r="Y287" i="30"/>
  <c r="Y301" i="30" s="1"/>
  <c r="CP286" i="30"/>
  <c r="CP240" i="30"/>
  <c r="CP241" i="30" s="1"/>
  <c r="CP249" i="30" s="1"/>
  <c r="Q287" i="30"/>
  <c r="Q301" i="30" s="1"/>
  <c r="BR286" i="30"/>
  <c r="BR240" i="30"/>
  <c r="BR241" i="30" s="1"/>
  <c r="BR249" i="30" s="1"/>
  <c r="CQ125" i="30"/>
  <c r="CQ128" i="30" s="1"/>
  <c r="CQ130" i="30" s="1"/>
  <c r="CQ133" i="30" s="1"/>
  <c r="CQ135" i="30" s="1"/>
  <c r="CQ137" i="30" s="1"/>
  <c r="CQ139" i="30" s="1"/>
  <c r="CQ141" i="30" s="1"/>
  <c r="CQ143" i="30" s="1"/>
  <c r="M286" i="30"/>
  <c r="M294" i="30" s="1"/>
  <c r="M240" i="30"/>
  <c r="CD287" i="30"/>
  <c r="BD287" i="30"/>
  <c r="BX286" i="30"/>
  <c r="BX240" i="30"/>
  <c r="BX241" i="30" s="1"/>
  <c r="BX249" i="30" s="1"/>
  <c r="I286" i="30"/>
  <c r="I294" i="30" s="1"/>
  <c r="I240" i="30"/>
  <c r="CC125" i="30"/>
  <c r="CC128" i="30" s="1"/>
  <c r="CC130" i="30" s="1"/>
  <c r="CC133" i="30" s="1"/>
  <c r="CC135" i="30" s="1"/>
  <c r="CC137" i="30" s="1"/>
  <c r="CC139" i="30" s="1"/>
  <c r="CC141" i="30" s="1"/>
  <c r="CC143" i="30" s="1"/>
  <c r="H76" i="6"/>
  <c r="I169" i="6"/>
  <c r="DS286" i="30"/>
  <c r="DS240" i="30"/>
  <c r="DS241" i="30" s="1"/>
  <c r="DS249" i="30" s="1"/>
  <c r="BF287" i="30"/>
  <c r="CL125" i="30"/>
  <c r="CL128" i="30" s="1"/>
  <c r="CL130" i="30" s="1"/>
  <c r="CL133" i="30" s="1"/>
  <c r="CL135" i="30" s="1"/>
  <c r="CL137" i="30" s="1"/>
  <c r="CL139" i="30" s="1"/>
  <c r="CL141" i="30" s="1"/>
  <c r="CL143" i="30" s="1"/>
  <c r="J125" i="30"/>
  <c r="J128" i="30" s="1"/>
  <c r="J130" i="30" s="1"/>
  <c r="J133" i="30" s="1"/>
  <c r="J135" i="30" s="1"/>
  <c r="J137" i="30" s="1"/>
  <c r="J139" i="30" s="1"/>
  <c r="J141" i="30" s="1"/>
  <c r="J143" i="30" s="1"/>
  <c r="AV286" i="30"/>
  <c r="AV294" i="30" s="1"/>
  <c r="AV240" i="30"/>
  <c r="CU286" i="30"/>
  <c r="CU240" i="30"/>
  <c r="CU241" i="30" s="1"/>
  <c r="CU249" i="30" s="1"/>
  <c r="AH287" i="30"/>
  <c r="AH301" i="30" s="1"/>
  <c r="CI286" i="30"/>
  <c r="CI240" i="30"/>
  <c r="CI241" i="30" s="1"/>
  <c r="CI249" i="30" s="1"/>
  <c r="V287" i="30"/>
  <c r="V301" i="30" s="1"/>
  <c r="O5" i="45"/>
  <c r="O7" i="45" s="1"/>
  <c r="G123" i="69"/>
  <c r="AW123" i="69"/>
  <c r="AE123" i="69"/>
  <c r="CH123" i="71"/>
  <c r="CH53" i="71"/>
  <c r="L177" i="68"/>
  <c r="BZ26" i="71"/>
  <c r="K460" i="71" s="1"/>
  <c r="L57" i="73" s="1"/>
  <c r="AW217" i="69"/>
  <c r="CY123" i="71"/>
  <c r="CY53" i="71"/>
  <c r="BK123" i="71"/>
  <c r="BK53" i="71"/>
  <c r="Y23" i="69"/>
  <c r="DY127" i="71"/>
  <c r="AU124" i="69" s="1"/>
  <c r="AU27" i="69"/>
  <c r="I123" i="71"/>
  <c r="I53" i="71"/>
  <c r="G23" i="69"/>
  <c r="CI127" i="71"/>
  <c r="AG124" i="69" s="1"/>
  <c r="AG27" i="69"/>
  <c r="Z123" i="69"/>
  <c r="K121" i="68"/>
  <c r="EB123" i="71"/>
  <c r="EB53" i="71"/>
  <c r="AV23" i="69"/>
  <c r="DL123" i="71"/>
  <c r="DL53" i="71"/>
  <c r="DM127" i="71"/>
  <c r="AQ124" i="69" s="1"/>
  <c r="AQ27" i="69"/>
  <c r="CK123" i="71"/>
  <c r="CK53" i="71"/>
  <c r="L127" i="71"/>
  <c r="H124" i="69" s="1"/>
  <c r="H27" i="69"/>
  <c r="AX123" i="71"/>
  <c r="AX53" i="71"/>
  <c r="BB127" i="71"/>
  <c r="V27" i="69"/>
  <c r="J25" i="68"/>
  <c r="CX127" i="71"/>
  <c r="AL27" i="69"/>
  <c r="N25" i="68"/>
  <c r="DG123" i="71"/>
  <c r="DG53" i="71"/>
  <c r="AO23" i="69"/>
  <c r="EG123" i="71"/>
  <c r="EG53" i="71"/>
  <c r="I23" i="69"/>
  <c r="AL123" i="69"/>
  <c r="N121" i="68"/>
  <c r="DJ127" i="71"/>
  <c r="AP27" i="69"/>
  <c r="O25" i="68"/>
  <c r="DR123" i="71"/>
  <c r="DR53" i="71"/>
  <c r="P177" i="68"/>
  <c r="DV26" i="71"/>
  <c r="AA123" i="69"/>
  <c r="BH123" i="71"/>
  <c r="BH53" i="71"/>
  <c r="X23" i="69"/>
  <c r="DK123" i="71"/>
  <c r="DK53" i="71"/>
  <c r="CC127" i="71"/>
  <c r="AE27" i="69"/>
  <c r="DH123" i="71"/>
  <c r="DH53" i="71"/>
  <c r="Y123" i="71"/>
  <c r="Y53" i="71"/>
  <c r="CL127" i="71"/>
  <c r="AH27" i="69"/>
  <c r="M25" i="68"/>
  <c r="AD123" i="69"/>
  <c r="L121" i="68"/>
  <c r="CG123" i="71"/>
  <c r="CG53" i="71"/>
  <c r="DY123" i="71"/>
  <c r="DY53" i="71"/>
  <c r="AU23" i="69"/>
  <c r="AV127" i="71"/>
  <c r="T124" i="69" s="1"/>
  <c r="T27" i="69"/>
  <c r="M123" i="71"/>
  <c r="M53" i="71"/>
  <c r="CI123" i="71"/>
  <c r="CI53" i="71"/>
  <c r="AG23" i="69"/>
  <c r="CD127" i="71"/>
  <c r="L464" i="71"/>
  <c r="N61" i="73" s="1"/>
  <c r="E496" i="71"/>
  <c r="AR123" i="71"/>
  <c r="AR53" i="71"/>
  <c r="DM123" i="71"/>
  <c r="DM53" i="71"/>
  <c r="AQ23" i="69"/>
  <c r="L123" i="71"/>
  <c r="L53" i="71"/>
  <c r="H23" i="69"/>
  <c r="CZ123" i="71"/>
  <c r="CZ53" i="71"/>
  <c r="J177" i="68"/>
  <c r="N177" i="68"/>
  <c r="CX26" i="71"/>
  <c r="M460" i="71" s="1"/>
  <c r="O57" i="73" s="1"/>
  <c r="BX123" i="71"/>
  <c r="BX53" i="71"/>
  <c r="F127" i="71"/>
  <c r="F27" i="69"/>
  <c r="F25" i="68"/>
  <c r="EF123" i="71"/>
  <c r="EF53" i="71"/>
  <c r="O177" i="68"/>
  <c r="DJ26" i="71"/>
  <c r="AY127" i="71"/>
  <c r="U124" i="69" s="1"/>
  <c r="U27" i="69"/>
  <c r="CF127" i="71"/>
  <c r="AF124" i="69" s="1"/>
  <c r="AF27" i="69"/>
  <c r="BF127" i="71"/>
  <c r="J464" i="71"/>
  <c r="K61" i="73" s="1"/>
  <c r="CC123" i="71"/>
  <c r="CC53" i="71"/>
  <c r="AE23" i="69"/>
  <c r="X127" i="71"/>
  <c r="L124" i="69" s="1"/>
  <c r="L27" i="69"/>
  <c r="CN123" i="71"/>
  <c r="CN53" i="71"/>
  <c r="N123" i="71"/>
  <c r="N53" i="71"/>
  <c r="M177" i="68"/>
  <c r="CL26" i="71"/>
  <c r="L460" i="71" s="1"/>
  <c r="N57" i="73" s="1"/>
  <c r="BM123" i="71"/>
  <c r="BM53" i="71"/>
  <c r="AA127" i="71"/>
  <c r="BN127" i="71"/>
  <c r="Z27" i="69"/>
  <c r="K25" i="68"/>
  <c r="AV123" i="71"/>
  <c r="AV53" i="71"/>
  <c r="T23" i="69"/>
  <c r="CD123" i="71"/>
  <c r="CD53" i="71"/>
  <c r="H123" i="71"/>
  <c r="H53" i="71"/>
  <c r="P123" i="71"/>
  <c r="P53" i="71"/>
  <c r="BI123" i="71"/>
  <c r="BI53" i="71"/>
  <c r="BD123" i="71"/>
  <c r="BD53" i="71"/>
  <c r="AD127" i="71"/>
  <c r="N27" i="69"/>
  <c r="EC123" i="71"/>
  <c r="EC53" i="71"/>
  <c r="F177" i="68"/>
  <c r="F26" i="71"/>
  <c r="AY53" i="71"/>
  <c r="AY123" i="71"/>
  <c r="U23" i="69"/>
  <c r="AW123" i="71"/>
  <c r="AW53" i="71"/>
  <c r="E179" i="69"/>
  <c r="E178" i="69"/>
  <c r="F175" i="69" s="1"/>
  <c r="F123" i="69"/>
  <c r="F121" i="68"/>
  <c r="AO123" i="71"/>
  <c r="AO53" i="71"/>
  <c r="CF123" i="71"/>
  <c r="CF53" i="71"/>
  <c r="AF23" i="69"/>
  <c r="BF123" i="71"/>
  <c r="BF53" i="71"/>
  <c r="ED123" i="71"/>
  <c r="ED53" i="71"/>
  <c r="X123" i="71"/>
  <c r="X53" i="71"/>
  <c r="L23" i="69"/>
  <c r="DE123" i="71"/>
  <c r="DE53" i="71"/>
  <c r="DP127" i="71"/>
  <c r="AR124" i="69" s="1"/>
  <c r="AR27" i="69"/>
  <c r="DD127" i="71"/>
  <c r="AN124" i="69" s="1"/>
  <c r="AN27" i="69"/>
  <c r="CB123" i="71"/>
  <c r="CB53" i="71"/>
  <c r="AA123" i="71"/>
  <c r="AA53" i="71"/>
  <c r="K177" i="68"/>
  <c r="BN26" i="71"/>
  <c r="J460" i="71" s="1"/>
  <c r="K57" i="73" s="1"/>
  <c r="S123" i="71"/>
  <c r="S53" i="71"/>
  <c r="K123" i="71"/>
  <c r="K53" i="71"/>
  <c r="AF123" i="71"/>
  <c r="AF53" i="71"/>
  <c r="BR127" i="71"/>
  <c r="K464" i="71"/>
  <c r="L61" i="73" s="1"/>
  <c r="CR127" i="71"/>
  <c r="AJ124" i="69" s="1"/>
  <c r="AJ27" i="69"/>
  <c r="EA123" i="71"/>
  <c r="EA53" i="71"/>
  <c r="DC123" i="71"/>
  <c r="DC53" i="71"/>
  <c r="EE127" i="71"/>
  <c r="AW27" i="69"/>
  <c r="AG127" i="71"/>
  <c r="AD26" i="71"/>
  <c r="Q123" i="71"/>
  <c r="Q53" i="71"/>
  <c r="DN123" i="71"/>
  <c r="DN53" i="71"/>
  <c r="BO123" i="71"/>
  <c r="BO53" i="71"/>
  <c r="E127" i="71"/>
  <c r="E27" i="69"/>
  <c r="E464" i="71"/>
  <c r="E61" i="73" s="1"/>
  <c r="E25" i="68"/>
  <c r="F165" i="71"/>
  <c r="DU123" i="71"/>
  <c r="DU53" i="71"/>
  <c r="DP123" i="71"/>
  <c r="DP53" i="71"/>
  <c r="AR23" i="69"/>
  <c r="BV123" i="71"/>
  <c r="BV53" i="71"/>
  <c r="BE127" i="71"/>
  <c r="W27" i="69"/>
  <c r="DD123" i="71"/>
  <c r="DD53" i="71"/>
  <c r="AN23" i="69"/>
  <c r="BW127" i="71"/>
  <c r="AC124" i="69" s="1"/>
  <c r="AC27" i="69"/>
  <c r="DX123" i="71"/>
  <c r="DX53" i="71"/>
  <c r="J127" i="71"/>
  <c r="F464" i="71"/>
  <c r="F61" i="73" s="1"/>
  <c r="BR123" i="71"/>
  <c r="BR53" i="71"/>
  <c r="AZ123" i="71"/>
  <c r="AZ53" i="71"/>
  <c r="CV123" i="71"/>
  <c r="CV53" i="71"/>
  <c r="G123" i="71"/>
  <c r="G53" i="71"/>
  <c r="CR123" i="71"/>
  <c r="CR53" i="71"/>
  <c r="AJ23" i="69"/>
  <c r="EE123" i="71"/>
  <c r="EE53" i="71"/>
  <c r="AW23" i="69"/>
  <c r="BU123" i="71"/>
  <c r="BU53" i="71"/>
  <c r="AG123" i="71"/>
  <c r="AG53" i="71"/>
  <c r="AI123" i="69"/>
  <c r="CM123" i="71"/>
  <c r="CM53" i="71"/>
  <c r="CU127" i="71"/>
  <c r="AK124" i="69" s="1"/>
  <c r="AK27" i="69"/>
  <c r="V123" i="69"/>
  <c r="J121" i="68"/>
  <c r="N123" i="69"/>
  <c r="U127" i="71"/>
  <c r="K27" i="69"/>
  <c r="CW123" i="71"/>
  <c r="CW53" i="71"/>
  <c r="F183" i="71"/>
  <c r="F184" i="71"/>
  <c r="K123" i="69"/>
  <c r="BA123" i="71"/>
  <c r="BA53" i="71"/>
  <c r="E123" i="69"/>
  <c r="E121" i="68"/>
  <c r="AT123" i="69"/>
  <c r="P121" i="68"/>
  <c r="BE123" i="71"/>
  <c r="BE53" i="71"/>
  <c r="W23" i="69"/>
  <c r="BW123" i="71"/>
  <c r="BW53" i="71"/>
  <c r="AC23" i="69"/>
  <c r="DW123" i="71"/>
  <c r="DW53" i="71"/>
  <c r="AH123" i="69"/>
  <c r="M121" i="68"/>
  <c r="J123" i="71"/>
  <c r="J53" i="71"/>
  <c r="CP127" i="71"/>
  <c r="M464" i="71"/>
  <c r="O61" i="73" s="1"/>
  <c r="BT127" i="71"/>
  <c r="AB124" i="69" s="1"/>
  <c r="AB27" i="69"/>
  <c r="DF123" i="71"/>
  <c r="DF53" i="71"/>
  <c r="J123" i="69"/>
  <c r="CO127" i="71"/>
  <c r="AI27" i="69"/>
  <c r="BP123" i="71"/>
  <c r="BP53" i="71"/>
  <c r="BL123" i="71"/>
  <c r="BL53" i="71"/>
  <c r="CU123" i="71"/>
  <c r="CU53" i="71"/>
  <c r="AK23" i="69"/>
  <c r="U123" i="71"/>
  <c r="U53" i="71"/>
  <c r="K23" i="69"/>
  <c r="DS127" i="71"/>
  <c r="AS124" i="69" s="1"/>
  <c r="AS27" i="69"/>
  <c r="AP123" i="69"/>
  <c r="O121" i="68"/>
  <c r="DO123" i="71"/>
  <c r="DO53" i="71"/>
  <c r="DQ123" i="71"/>
  <c r="DQ53" i="71"/>
  <c r="AE123" i="71"/>
  <c r="AE53" i="71"/>
  <c r="CT123" i="71"/>
  <c r="CT53" i="71"/>
  <c r="W123" i="71"/>
  <c r="W53" i="71"/>
  <c r="DA127" i="71"/>
  <c r="AM124" i="69" s="1"/>
  <c r="AM27" i="69"/>
  <c r="V127" i="71"/>
  <c r="R127" i="71"/>
  <c r="J27" i="69"/>
  <c r="DI123" i="71"/>
  <c r="DI53" i="71"/>
  <c r="CP123" i="71"/>
  <c r="CP53" i="71"/>
  <c r="BT123" i="71"/>
  <c r="BT53" i="71"/>
  <c r="AB23" i="69"/>
  <c r="DZ123" i="71"/>
  <c r="DZ53" i="71"/>
  <c r="BC123" i="71"/>
  <c r="BC53" i="71"/>
  <c r="O123" i="71"/>
  <c r="O53" i="71"/>
  <c r="BS123" i="71"/>
  <c r="BS53" i="71"/>
  <c r="CO123" i="71"/>
  <c r="CO53" i="71"/>
  <c r="AI23" i="69"/>
  <c r="CJ123" i="71"/>
  <c r="CJ53" i="71"/>
  <c r="BQ127" i="71"/>
  <c r="AA27" i="69"/>
  <c r="DS123" i="71"/>
  <c r="DS53" i="71"/>
  <c r="AS23" i="69"/>
  <c r="AU123" i="71"/>
  <c r="AU53" i="71"/>
  <c r="DB123" i="71"/>
  <c r="DB53" i="71"/>
  <c r="CA123" i="71"/>
  <c r="CA53" i="71"/>
  <c r="BJ123" i="71"/>
  <c r="BJ53" i="71"/>
  <c r="BZ127" i="71"/>
  <c r="AD27" i="69"/>
  <c r="L25" i="68"/>
  <c r="BK127" i="71"/>
  <c r="Y124" i="69" s="1"/>
  <c r="Y27" i="69"/>
  <c r="I252" i="69"/>
  <c r="DA123" i="71"/>
  <c r="DA53" i="71"/>
  <c r="AM23" i="69"/>
  <c r="I127" i="71"/>
  <c r="G27" i="69"/>
  <c r="V123" i="71"/>
  <c r="V53" i="71"/>
  <c r="R26" i="71"/>
  <c r="W123" i="69"/>
  <c r="CE123" i="71"/>
  <c r="CE53" i="71"/>
  <c r="BY123" i="71"/>
  <c r="BY53" i="71"/>
  <c r="Z123" i="71"/>
  <c r="Z53" i="71"/>
  <c r="EB127" i="71"/>
  <c r="AV124" i="69" s="1"/>
  <c r="AV27" i="69"/>
  <c r="AB123" i="71"/>
  <c r="AB53" i="71"/>
  <c r="DT123" i="71"/>
  <c r="DT53" i="71"/>
  <c r="CQ123" i="71"/>
  <c r="CQ53" i="71"/>
  <c r="DG127" i="71"/>
  <c r="AO124" i="69" s="1"/>
  <c r="AO27" i="69"/>
  <c r="EG127" i="71"/>
  <c r="I124" i="69" s="1"/>
  <c r="I27" i="69"/>
  <c r="BG123" i="71"/>
  <c r="BG53" i="71"/>
  <c r="BQ123" i="71"/>
  <c r="BQ53" i="71"/>
  <c r="AA23" i="69"/>
  <c r="DV127" i="71"/>
  <c r="AT27" i="69"/>
  <c r="P25" i="68"/>
  <c r="CS123" i="71"/>
  <c r="CS53" i="71"/>
  <c r="BH127" i="71"/>
  <c r="X124" i="69" s="1"/>
  <c r="X27" i="69"/>
  <c r="T123" i="71"/>
  <c r="T53" i="71"/>
  <c r="D51" i="32"/>
  <c r="D103" i="32"/>
  <c r="N62" i="32"/>
  <c r="D101" i="32"/>
  <c r="D218" i="32"/>
  <c r="N22" i="32"/>
  <c r="E17" i="32"/>
  <c r="E118" i="32"/>
  <c r="J118" i="32"/>
  <c r="E37" i="32"/>
  <c r="D210" i="32"/>
  <c r="N122" i="32"/>
  <c r="N260" i="32"/>
  <c r="N239" i="32"/>
  <c r="J17" i="32"/>
  <c r="E260" i="32"/>
  <c r="J37" i="32"/>
  <c r="N268" i="32"/>
  <c r="E122" i="32"/>
  <c r="D239" i="32"/>
  <c r="J266" i="32"/>
  <c r="E266" i="32"/>
  <c r="E268" i="32"/>
  <c r="N258" i="32"/>
  <c r="J259" i="32"/>
  <c r="J260" i="32"/>
  <c r="N37" i="32"/>
  <c r="E258" i="32"/>
  <c r="J267" i="32"/>
  <c r="E239" i="32"/>
  <c r="N51" i="32"/>
  <c r="E248" i="32"/>
  <c r="J249" i="32"/>
  <c r="E238" i="32"/>
  <c r="E267" i="32"/>
  <c r="J22" i="32"/>
  <c r="N259" i="32"/>
  <c r="J240" i="32"/>
  <c r="N267" i="32"/>
  <c r="E250" i="32"/>
  <c r="J250" i="32"/>
  <c r="N250" i="32"/>
  <c r="N248" i="32"/>
  <c r="J248" i="32"/>
  <c r="N240" i="32"/>
  <c r="E240" i="32"/>
  <c r="N266" i="32"/>
  <c r="J122" i="32"/>
  <c r="J239" i="32"/>
  <c r="N118" i="32"/>
  <c r="J258" i="32"/>
  <c r="J268" i="32"/>
  <c r="N238" i="32"/>
  <c r="E22" i="32"/>
  <c r="E24" i="32" s="1"/>
  <c r="E249" i="32"/>
  <c r="N249" i="32"/>
  <c r="J238" i="32"/>
  <c r="E259" i="32"/>
  <c r="J112" i="32"/>
  <c r="J51" i="32"/>
  <c r="J209" i="32"/>
  <c r="J76" i="32"/>
  <c r="J217" i="32"/>
  <c r="J101" i="32"/>
  <c r="J225" i="32"/>
  <c r="D76" i="32"/>
  <c r="D217" i="32"/>
  <c r="E51" i="32"/>
  <c r="E209" i="32"/>
  <c r="E76" i="32"/>
  <c r="E217" i="32"/>
  <c r="E101" i="32"/>
  <c r="E225" i="32"/>
  <c r="DX147" i="30" l="1"/>
  <c r="DX148" i="30"/>
  <c r="J72" i="6"/>
  <c r="K154" i="6"/>
  <c r="J78" i="6"/>
  <c r="K174" i="6"/>
  <c r="J79" i="6"/>
  <c r="K179" i="6"/>
  <c r="Y147" i="30"/>
  <c r="Y148" i="30"/>
  <c r="AA147" i="30"/>
  <c r="AV148" i="30"/>
  <c r="S147" i="30"/>
  <c r="S146" i="30"/>
  <c r="DN147" i="30"/>
  <c r="AT24" i="70"/>
  <c r="AT164" i="71"/>
  <c r="AT372" i="71" s="1"/>
  <c r="CO24" i="70"/>
  <c r="CO164" i="71"/>
  <c r="DM24" i="70"/>
  <c r="DM164" i="71"/>
  <c r="EC24" i="70"/>
  <c r="EC164" i="71"/>
  <c r="EC372" i="71" s="1"/>
  <c r="BH24" i="70"/>
  <c r="BH164" i="71"/>
  <c r="BV24" i="70"/>
  <c r="BV164" i="71"/>
  <c r="BV372" i="71" s="1"/>
  <c r="BT24" i="70"/>
  <c r="BT164" i="71"/>
  <c r="DF24" i="70"/>
  <c r="DF164" i="71"/>
  <c r="DF372" i="71" s="1"/>
  <c r="EE24" i="70"/>
  <c r="EE164" i="71"/>
  <c r="CU24" i="70"/>
  <c r="CU164" i="71"/>
  <c r="CY24" i="70"/>
  <c r="CY164" i="71"/>
  <c r="CY372" i="71" s="1"/>
  <c r="AZ24" i="70"/>
  <c r="AZ164" i="71"/>
  <c r="AZ372" i="71" s="1"/>
  <c r="CJ24" i="70"/>
  <c r="CJ164" i="71"/>
  <c r="CJ372" i="71" s="1"/>
  <c r="AF24" i="70"/>
  <c r="AF164" i="71"/>
  <c r="AF372" i="71" s="1"/>
  <c r="AK24" i="70"/>
  <c r="AK164" i="71"/>
  <c r="AK372" i="71" s="1"/>
  <c r="AI24" i="70"/>
  <c r="AI164" i="71"/>
  <c r="AI372" i="71" s="1"/>
  <c r="CQ24" i="70"/>
  <c r="CQ164" i="71"/>
  <c r="CQ372" i="71" s="1"/>
  <c r="BJ24" i="70"/>
  <c r="BJ164" i="71"/>
  <c r="BJ372" i="71" s="1"/>
  <c r="BO24" i="70"/>
  <c r="BO164" i="71"/>
  <c r="BO372" i="71" s="1"/>
  <c r="CT24" i="70"/>
  <c r="CT164" i="71"/>
  <c r="CT372" i="71" s="1"/>
  <c r="BY24" i="70"/>
  <c r="BY164" i="71"/>
  <c r="BY372" i="71" s="1"/>
  <c r="CK24" i="70"/>
  <c r="CK164" i="71"/>
  <c r="CK372" i="71" s="1"/>
  <c r="ED24" i="70"/>
  <c r="ED164" i="71"/>
  <c r="ED372" i="71" s="1"/>
  <c r="U24" i="70"/>
  <c r="U164" i="71"/>
  <c r="BF24" i="70"/>
  <c r="BF164" i="71"/>
  <c r="BF372" i="71" s="1"/>
  <c r="AB24" i="70"/>
  <c r="AB164" i="71"/>
  <c r="AB372" i="71" s="1"/>
  <c r="AX24" i="70"/>
  <c r="AX164" i="71"/>
  <c r="AX372" i="71" s="1"/>
  <c r="CG24" i="70"/>
  <c r="CG164" i="71"/>
  <c r="CG372" i="71" s="1"/>
  <c r="BW24" i="70"/>
  <c r="BW164" i="71"/>
  <c r="BM24" i="70"/>
  <c r="BM164" i="71"/>
  <c r="BM372" i="71" s="1"/>
  <c r="DK24" i="70"/>
  <c r="DK164" i="71"/>
  <c r="DK372" i="71" s="1"/>
  <c r="BP24" i="70"/>
  <c r="BP164" i="71"/>
  <c r="BP372" i="71" s="1"/>
  <c r="Q24" i="70"/>
  <c r="Q164" i="71"/>
  <c r="Q372" i="71" s="1"/>
  <c r="Y24" i="70"/>
  <c r="Y164" i="71"/>
  <c r="Y372" i="71" s="1"/>
  <c r="BC24" i="70"/>
  <c r="BC164" i="71"/>
  <c r="BC372" i="71" s="1"/>
  <c r="CM24" i="70"/>
  <c r="CM164" i="71"/>
  <c r="CM372" i="71" s="1"/>
  <c r="BR24" i="70"/>
  <c r="BR164" i="71"/>
  <c r="BR372" i="71" s="1"/>
  <c r="AE24" i="70"/>
  <c r="AE164" i="71"/>
  <c r="AE372" i="71" s="1"/>
  <c r="DL24" i="70"/>
  <c r="DL164" i="71"/>
  <c r="DL372" i="71" s="1"/>
  <c r="BA24" i="70"/>
  <c r="BA164" i="71"/>
  <c r="BA372" i="71" s="1"/>
  <c r="DB24" i="70"/>
  <c r="DB164" i="71"/>
  <c r="DB372" i="71" s="1"/>
  <c r="DG24" i="70"/>
  <c r="DG164" i="71"/>
  <c r="AM24" i="70"/>
  <c r="AM164" i="71"/>
  <c r="AV24" i="70"/>
  <c r="AV164" i="71"/>
  <c r="V24" i="70"/>
  <c r="V164" i="71"/>
  <c r="V372" i="71" s="1"/>
  <c r="AQ24" i="70"/>
  <c r="AQ164" i="71"/>
  <c r="AQ372" i="71" s="1"/>
  <c r="BE24" i="70"/>
  <c r="BE164" i="71"/>
  <c r="DO24" i="70"/>
  <c r="DO164" i="71"/>
  <c r="DO372" i="71" s="1"/>
  <c r="S24" i="70"/>
  <c r="S164" i="71"/>
  <c r="S372" i="71" s="1"/>
  <c r="AV146" i="30"/>
  <c r="W24" i="70"/>
  <c r="W164" i="71"/>
  <c r="W372" i="71" s="1"/>
  <c r="AY24" i="70"/>
  <c r="AY164" i="71"/>
  <c r="Z24" i="70"/>
  <c r="Z164" i="71"/>
  <c r="Z372" i="71" s="1"/>
  <c r="CS24" i="70"/>
  <c r="CS164" i="71"/>
  <c r="CS372" i="71" s="1"/>
  <c r="CD24" i="70"/>
  <c r="CD164" i="71"/>
  <c r="CD372" i="71" s="1"/>
  <c r="CI24" i="70"/>
  <c r="CI164" i="71"/>
  <c r="DS24" i="70"/>
  <c r="DS164" i="71"/>
  <c r="AN24" i="70"/>
  <c r="AN164" i="71"/>
  <c r="AN372" i="71" s="1"/>
  <c r="DW24" i="70"/>
  <c r="DW164" i="71"/>
  <c r="DW372" i="71" s="1"/>
  <c r="H192" i="69"/>
  <c r="H193" i="69" s="1"/>
  <c r="H198" i="69" s="1"/>
  <c r="H159" i="69"/>
  <c r="CE24" i="70"/>
  <c r="CE164" i="71"/>
  <c r="CE372" i="71" s="1"/>
  <c r="AJ24" i="70"/>
  <c r="AJ164" i="71"/>
  <c r="CW24" i="70"/>
  <c r="CW164" i="71"/>
  <c r="CW372" i="71" s="1"/>
  <c r="CC24" i="70"/>
  <c r="CC164" i="71"/>
  <c r="DC24" i="70"/>
  <c r="DC164" i="71"/>
  <c r="DC372" i="71" s="1"/>
  <c r="BL24" i="70"/>
  <c r="BL164" i="71"/>
  <c r="BL372" i="71" s="1"/>
  <c r="AC24" i="70"/>
  <c r="AC164" i="71"/>
  <c r="AC372" i="71" s="1"/>
  <c r="AH24" i="70"/>
  <c r="AH164" i="71"/>
  <c r="AH372" i="71" s="1"/>
  <c r="CR24" i="70"/>
  <c r="CR164" i="71"/>
  <c r="BK24" i="70"/>
  <c r="BK164" i="71"/>
  <c r="EB24" i="70"/>
  <c r="EB164" i="71"/>
  <c r="DU24" i="70"/>
  <c r="DU164" i="71"/>
  <c r="DU372" i="71" s="1"/>
  <c r="BQ24" i="70"/>
  <c r="BQ164" i="71"/>
  <c r="X24" i="70"/>
  <c r="X164" i="71"/>
  <c r="AO24" i="70"/>
  <c r="AO164" i="71"/>
  <c r="AO372" i="71" s="1"/>
  <c r="EA24" i="70"/>
  <c r="EA164" i="71"/>
  <c r="EA372" i="71" s="1"/>
  <c r="DE24" i="70"/>
  <c r="DE164" i="71"/>
  <c r="DE372" i="71" s="1"/>
  <c r="CV24" i="70"/>
  <c r="CV164" i="71"/>
  <c r="CV372" i="71" s="1"/>
  <c r="CA24" i="70"/>
  <c r="CA164" i="71"/>
  <c r="CA372" i="71" s="1"/>
  <c r="DQ24" i="70"/>
  <c r="DQ164" i="71"/>
  <c r="DQ372" i="71" s="1"/>
  <c r="AU24" i="70"/>
  <c r="AU164" i="71"/>
  <c r="AU372" i="71" s="1"/>
  <c r="EG24" i="70"/>
  <c r="EG164" i="71"/>
  <c r="EG372" i="71" s="1"/>
  <c r="CZ24" i="70"/>
  <c r="CZ164" i="71"/>
  <c r="CZ372" i="71" s="1"/>
  <c r="DN24" i="70"/>
  <c r="DN164" i="71"/>
  <c r="DN372" i="71" s="1"/>
  <c r="BD24" i="70"/>
  <c r="BD164" i="71"/>
  <c r="BD372" i="71" s="1"/>
  <c r="J159" i="6"/>
  <c r="G192" i="69"/>
  <c r="G193" i="69" s="1"/>
  <c r="G198" i="69" s="1"/>
  <c r="G159" i="69"/>
  <c r="CF24" i="70"/>
  <c r="CF164" i="71"/>
  <c r="CN24" i="70"/>
  <c r="CN164" i="71"/>
  <c r="CN372" i="71" s="1"/>
  <c r="CH24" i="70"/>
  <c r="CH164" i="71"/>
  <c r="CH372" i="71" s="1"/>
  <c r="BS24" i="70"/>
  <c r="BS164" i="71"/>
  <c r="BS372" i="71" s="1"/>
  <c r="DP24" i="70"/>
  <c r="DP164" i="71"/>
  <c r="P372" i="71"/>
  <c r="DT24" i="70"/>
  <c r="DT164" i="71"/>
  <c r="DT372" i="71" s="1"/>
  <c r="BG24" i="70"/>
  <c r="BG164" i="71"/>
  <c r="BG372" i="71" s="1"/>
  <c r="DR24" i="70"/>
  <c r="DR164" i="71"/>
  <c r="DR372" i="71" s="1"/>
  <c r="AG24" i="70"/>
  <c r="AG164" i="71"/>
  <c r="AW24" i="70"/>
  <c r="AW164" i="71"/>
  <c r="AW372" i="71" s="1"/>
  <c r="DA24" i="70"/>
  <c r="DA164" i="71"/>
  <c r="I192" i="69"/>
  <c r="I193" i="69" s="1"/>
  <c r="I198" i="69" s="1"/>
  <c r="I159" i="69"/>
  <c r="BU24" i="70"/>
  <c r="BU164" i="71"/>
  <c r="BU372" i="71" s="1"/>
  <c r="CP24" i="70"/>
  <c r="CP164" i="71"/>
  <c r="CP372" i="71" s="1"/>
  <c r="DI24" i="70"/>
  <c r="DI164" i="71"/>
  <c r="DI372" i="71" s="1"/>
  <c r="AS24" i="70"/>
  <c r="AS164" i="71"/>
  <c r="BI24" i="70"/>
  <c r="BI164" i="71"/>
  <c r="BI372" i="71" s="1"/>
  <c r="DD24" i="70"/>
  <c r="DD164" i="71"/>
  <c r="DX24" i="70"/>
  <c r="DX164" i="71"/>
  <c r="DX372" i="71" s="1"/>
  <c r="DY24" i="70"/>
  <c r="DY164" i="71"/>
  <c r="BX24" i="70"/>
  <c r="BX164" i="71"/>
  <c r="BX372" i="71" s="1"/>
  <c r="AA24" i="70"/>
  <c r="AA164" i="71"/>
  <c r="DZ24" i="70"/>
  <c r="DZ164" i="71"/>
  <c r="DZ372" i="71" s="1"/>
  <c r="AL24" i="70"/>
  <c r="AL164" i="71"/>
  <c r="AL372" i="71" s="1"/>
  <c r="DH24" i="70"/>
  <c r="DH164" i="71"/>
  <c r="DH372" i="71" s="1"/>
  <c r="T24" i="70"/>
  <c r="T164" i="71"/>
  <c r="T372" i="71" s="1"/>
  <c r="AR24" i="70"/>
  <c r="AR164" i="71"/>
  <c r="AR372" i="71" s="1"/>
  <c r="EF24" i="70"/>
  <c r="EF164" i="71"/>
  <c r="EF372" i="71" s="1"/>
  <c r="CB24" i="70"/>
  <c r="CB164" i="71"/>
  <c r="CB372" i="71" s="1"/>
  <c r="I79" i="6"/>
  <c r="CO147" i="30"/>
  <c r="CO148" i="30"/>
  <c r="EA146" i="30"/>
  <c r="DN148" i="30"/>
  <c r="CT147" i="30"/>
  <c r="CT148" i="30"/>
  <c r="DR146" i="30"/>
  <c r="DV147" i="30"/>
  <c r="I78" i="6"/>
  <c r="H165" i="71" s="1"/>
  <c r="AF146" i="30"/>
  <c r="T146" i="30"/>
  <c r="CU147" i="30"/>
  <c r="CX146" i="30"/>
  <c r="AR147" i="30"/>
  <c r="BG147" i="30"/>
  <c r="BG148" i="30"/>
  <c r="AR146" i="30"/>
  <c r="AM146" i="30"/>
  <c r="EA148" i="30"/>
  <c r="T148" i="30"/>
  <c r="CJ146" i="30"/>
  <c r="CI146" i="30"/>
  <c r="CJ147" i="30"/>
  <c r="CI147" i="30"/>
  <c r="CX147" i="30"/>
  <c r="DO147" i="30"/>
  <c r="AA148" i="30"/>
  <c r="BB146" i="30"/>
  <c r="AY147" i="30"/>
  <c r="CG147" i="30"/>
  <c r="BB147" i="30"/>
  <c r="AE146" i="30"/>
  <c r="DC146" i="30"/>
  <c r="DO146" i="30"/>
  <c r="AQ147" i="30"/>
  <c r="DC147" i="30"/>
  <c r="DH146" i="30"/>
  <c r="CG146" i="30"/>
  <c r="AE147" i="30"/>
  <c r="L148" i="30"/>
  <c r="AS147" i="30"/>
  <c r="K147" i="30"/>
  <c r="L146" i="30"/>
  <c r="CD148" i="30"/>
  <c r="AQ146" i="30"/>
  <c r="DQ146" i="30"/>
  <c r="CU146" i="30"/>
  <c r="AM148" i="30"/>
  <c r="CH147" i="30"/>
  <c r="BV146" i="30"/>
  <c r="BV147" i="30"/>
  <c r="DT146" i="30"/>
  <c r="CH146" i="30"/>
  <c r="DT147" i="30"/>
  <c r="AS146" i="30"/>
  <c r="AF147" i="30"/>
  <c r="DR147" i="30"/>
  <c r="BK146" i="30"/>
  <c r="BK147" i="30"/>
  <c r="DU148" i="30"/>
  <c r="DE147" i="30"/>
  <c r="CK147" i="30"/>
  <c r="V148" i="30"/>
  <c r="CS147" i="30"/>
  <c r="DE146" i="30"/>
  <c r="Q146" i="30"/>
  <c r="V146" i="30"/>
  <c r="E146" i="30"/>
  <c r="BS148" i="30"/>
  <c r="EE146" i="30"/>
  <c r="CS146" i="30"/>
  <c r="BX146" i="30"/>
  <c r="AY148" i="30"/>
  <c r="BH148" i="30"/>
  <c r="BH146" i="30"/>
  <c r="CY147" i="30"/>
  <c r="AP146" i="30"/>
  <c r="G147" i="30"/>
  <c r="CY148" i="30"/>
  <c r="AD146" i="30"/>
  <c r="AP147" i="30"/>
  <c r="AD147" i="30"/>
  <c r="DS147" i="30"/>
  <c r="DS148" i="30"/>
  <c r="BD146" i="30"/>
  <c r="BF148" i="30"/>
  <c r="CK146" i="30"/>
  <c r="BD147" i="30"/>
  <c r="BS147" i="30"/>
  <c r="Q147" i="30"/>
  <c r="E147" i="30"/>
  <c r="EE147" i="30"/>
  <c r="BX147" i="30"/>
  <c r="G146" i="30"/>
  <c r="D275" i="32"/>
  <c r="DU146" i="30"/>
  <c r="CR147" i="30"/>
  <c r="AL146" i="30"/>
  <c r="BY146" i="30"/>
  <c r="BY148" i="30"/>
  <c r="DV146" i="30"/>
  <c r="DQ147" i="30"/>
  <c r="DH148" i="30"/>
  <c r="K148" i="30"/>
  <c r="BQ146" i="30"/>
  <c r="DB146" i="30"/>
  <c r="AZ146" i="30"/>
  <c r="CD146" i="30"/>
  <c r="BW146" i="30"/>
  <c r="BW148" i="30"/>
  <c r="BJ146" i="30"/>
  <c r="BQ147" i="30"/>
  <c r="BE146" i="30"/>
  <c r="DB147" i="30"/>
  <c r="AZ147" i="30"/>
  <c r="BT148" i="30"/>
  <c r="BJ147" i="30"/>
  <c r="CN146" i="30"/>
  <c r="BM146" i="30"/>
  <c r="BE147" i="30"/>
  <c r="R146" i="30"/>
  <c r="BT146" i="30"/>
  <c r="CN147" i="30"/>
  <c r="BM147" i="30"/>
  <c r="R147" i="30"/>
  <c r="CR146" i="30"/>
  <c r="BI147" i="30"/>
  <c r="BI146" i="30"/>
  <c r="J235" i="32"/>
  <c r="D276" i="32"/>
  <c r="DZ148" i="30"/>
  <c r="DZ146" i="30"/>
  <c r="AL147" i="30"/>
  <c r="I69" i="6"/>
  <c r="J140" i="6"/>
  <c r="BF146" i="30"/>
  <c r="S66" i="6"/>
  <c r="R162" i="71" s="1"/>
  <c r="F48" i="21"/>
  <c r="DW66" i="6"/>
  <c r="DV162" i="71" s="1"/>
  <c r="O48" i="21"/>
  <c r="I71" i="6"/>
  <c r="J150" i="6"/>
  <c r="AQ66" i="6"/>
  <c r="AP162" i="71" s="1"/>
  <c r="H48" i="21"/>
  <c r="G66" i="6"/>
  <c r="F162" i="71" s="1"/>
  <c r="E48" i="21"/>
  <c r="O33" i="73"/>
  <c r="CY66" i="6"/>
  <c r="CX162" i="71" s="1"/>
  <c r="M48" i="21"/>
  <c r="DK66" i="6"/>
  <c r="DJ162" i="71" s="1"/>
  <c r="N48" i="21"/>
  <c r="CM66" i="6"/>
  <c r="CL162" i="71" s="1"/>
  <c r="L48" i="21"/>
  <c r="BO66" i="6"/>
  <c r="BN162" i="71" s="1"/>
  <c r="J48" i="21"/>
  <c r="AE66" i="6"/>
  <c r="AD162" i="71" s="1"/>
  <c r="G48" i="21"/>
  <c r="BC66" i="6"/>
  <c r="BB162" i="71" s="1"/>
  <c r="I48" i="21"/>
  <c r="E61" i="21"/>
  <c r="P24" i="70"/>
  <c r="CA66" i="6"/>
  <c r="BZ162" i="71" s="1"/>
  <c r="K48" i="21"/>
  <c r="DY148" i="30"/>
  <c r="AO146" i="30"/>
  <c r="AO147" i="30"/>
  <c r="DY147" i="30"/>
  <c r="AU146" i="30"/>
  <c r="AU148" i="30"/>
  <c r="AU147" i="30"/>
  <c r="EC148" i="30"/>
  <c r="EC146" i="30"/>
  <c r="EC147" i="30"/>
  <c r="CC148" i="30"/>
  <c r="CC147" i="30"/>
  <c r="CC146" i="30"/>
  <c r="CQ146" i="30"/>
  <c r="CQ148" i="30"/>
  <c r="CQ147" i="30"/>
  <c r="DF148" i="30"/>
  <c r="DF147" i="30"/>
  <c r="DF146" i="30"/>
  <c r="BU148" i="30"/>
  <c r="BU146" i="30"/>
  <c r="BU147" i="30"/>
  <c r="AX148" i="30"/>
  <c r="AX147" i="30"/>
  <c r="AX146" i="30"/>
  <c r="DP147" i="30"/>
  <c r="DP146" i="30"/>
  <c r="DP148" i="30"/>
  <c r="BR147" i="30"/>
  <c r="BR146" i="30"/>
  <c r="BR148" i="30"/>
  <c r="DD147" i="30"/>
  <c r="DD148" i="30"/>
  <c r="DD146" i="30"/>
  <c r="DJ148" i="30"/>
  <c r="DJ147" i="30"/>
  <c r="DJ146" i="30"/>
  <c r="I148" i="30"/>
  <c r="I147" i="30"/>
  <c r="I146" i="30"/>
  <c r="Z148" i="30"/>
  <c r="Z147" i="30"/>
  <c r="Z146" i="30"/>
  <c r="BA148" i="30"/>
  <c r="BA147" i="30"/>
  <c r="BA146" i="30"/>
  <c r="AB148" i="30"/>
  <c r="AB147" i="30"/>
  <c r="AB146" i="30"/>
  <c r="U148" i="30"/>
  <c r="U147" i="30"/>
  <c r="U146" i="30"/>
  <c r="F148" i="30"/>
  <c r="F147" i="30"/>
  <c r="F146" i="30"/>
  <c r="BZ148" i="30"/>
  <c r="BZ147" i="30"/>
  <c r="BZ146" i="30"/>
  <c r="BL148" i="30"/>
  <c r="BL147" i="30"/>
  <c r="BL146" i="30"/>
  <c r="CZ148" i="30"/>
  <c r="CZ147" i="30"/>
  <c r="CZ146" i="30"/>
  <c r="W146" i="30"/>
  <c r="W148" i="30"/>
  <c r="W147" i="30"/>
  <c r="CW148" i="30"/>
  <c r="CW147" i="30"/>
  <c r="CW146" i="30"/>
  <c r="CE146" i="30"/>
  <c r="CE148" i="30"/>
  <c r="CE147" i="30"/>
  <c r="AN148" i="30"/>
  <c r="AN147" i="30"/>
  <c r="AN146" i="30"/>
  <c r="AI146" i="30"/>
  <c r="AI148" i="30"/>
  <c r="AI147" i="30"/>
  <c r="CB148" i="30"/>
  <c r="CB147" i="30"/>
  <c r="CB146" i="30"/>
  <c r="EG148" i="30"/>
  <c r="EG147" i="30"/>
  <c r="EG146" i="30"/>
  <c r="DM148" i="30"/>
  <c r="DM147" i="30"/>
  <c r="DM146" i="30"/>
  <c r="DI148" i="30"/>
  <c r="DI147" i="30"/>
  <c r="DI146" i="30"/>
  <c r="N148" i="30"/>
  <c r="N147" i="30"/>
  <c r="N146" i="30"/>
  <c r="AW148" i="30"/>
  <c r="AW146" i="30"/>
  <c r="AW147" i="30"/>
  <c r="H148" i="30"/>
  <c r="H147" i="30"/>
  <c r="H146" i="30"/>
  <c r="X147" i="30"/>
  <c r="X146" i="30"/>
  <c r="X148" i="30"/>
  <c r="P148" i="30"/>
  <c r="P147" i="30"/>
  <c r="P146" i="30"/>
  <c r="CF147" i="30"/>
  <c r="CF146" i="30"/>
  <c r="CF148" i="30"/>
  <c r="J147" i="30"/>
  <c r="J146" i="30"/>
  <c r="J148" i="30"/>
  <c r="M148" i="30"/>
  <c r="M146" i="30"/>
  <c r="M147" i="30"/>
  <c r="DW148" i="30"/>
  <c r="DW147" i="30"/>
  <c r="DW146" i="30"/>
  <c r="AC148" i="30"/>
  <c r="AC147" i="30"/>
  <c r="AC146" i="30"/>
  <c r="CL148" i="30"/>
  <c r="CL147" i="30"/>
  <c r="CL146" i="30"/>
  <c r="CM148" i="30"/>
  <c r="CM147" i="30"/>
  <c r="CM146" i="30"/>
  <c r="CP147" i="30"/>
  <c r="CP146" i="30"/>
  <c r="CP148" i="30"/>
  <c r="CA148" i="30"/>
  <c r="CA147" i="30"/>
  <c r="CA146" i="30"/>
  <c r="DL148" i="30"/>
  <c r="DL147" i="30"/>
  <c r="DL146" i="30"/>
  <c r="DG148" i="30"/>
  <c r="DG147" i="30"/>
  <c r="DG146" i="30"/>
  <c r="O148" i="30"/>
  <c r="O147" i="30"/>
  <c r="O146" i="30"/>
  <c r="I74" i="6"/>
  <c r="J164" i="6"/>
  <c r="BP148" i="30"/>
  <c r="BP147" i="30"/>
  <c r="BP146" i="30"/>
  <c r="DA148" i="30"/>
  <c r="DA147" i="30"/>
  <c r="DA146" i="30"/>
  <c r="AT147" i="30"/>
  <c r="AT146" i="30"/>
  <c r="AT148" i="30"/>
  <c r="CV148" i="30"/>
  <c r="CV147" i="30"/>
  <c r="CV146" i="30"/>
  <c r="E308" i="30"/>
  <c r="D297" i="32" s="1"/>
  <c r="ED148" i="30"/>
  <c r="ED147" i="30"/>
  <c r="ED146" i="30"/>
  <c r="EB147" i="30"/>
  <c r="EB146" i="30"/>
  <c r="EB148" i="30"/>
  <c r="I70" i="6"/>
  <c r="J145" i="6"/>
  <c r="EF148" i="30"/>
  <c r="EF147" i="30"/>
  <c r="EF146" i="30"/>
  <c r="AJ147" i="30"/>
  <c r="AJ148" i="30"/>
  <c r="AJ146" i="30"/>
  <c r="BO148" i="30"/>
  <c r="BO147" i="30"/>
  <c r="BO146" i="30"/>
  <c r="AK148" i="30"/>
  <c r="AK146" i="30"/>
  <c r="AK147" i="30"/>
  <c r="I76" i="6"/>
  <c r="J169" i="6"/>
  <c r="BN148" i="30"/>
  <c r="BN147" i="30"/>
  <c r="BN146" i="30"/>
  <c r="DK148" i="30"/>
  <c r="DK147" i="30"/>
  <c r="DK146" i="30"/>
  <c r="D160" i="32"/>
  <c r="X64" i="45"/>
  <c r="G25" i="70"/>
  <c r="F25" i="70"/>
  <c r="AA124" i="69"/>
  <c r="AI124" i="69"/>
  <c r="W124" i="69"/>
  <c r="G124" i="69"/>
  <c r="K124" i="69"/>
  <c r="AD124" i="69"/>
  <c r="L122" i="68"/>
  <c r="AI120" i="69"/>
  <c r="AB50" i="69"/>
  <c r="W120" i="69"/>
  <c r="AN50" i="69"/>
  <c r="AF50" i="69"/>
  <c r="U50" i="69"/>
  <c r="T50" i="69"/>
  <c r="AE120" i="69"/>
  <c r="DJ123" i="71"/>
  <c r="DJ53" i="71"/>
  <c r="AP23" i="69"/>
  <c r="O21" i="68"/>
  <c r="H120" i="69"/>
  <c r="AG120" i="69"/>
  <c r="AP124" i="69"/>
  <c r="O122" i="68"/>
  <c r="AV120" i="69"/>
  <c r="AT124" i="69"/>
  <c r="P122" i="68"/>
  <c r="AB120" i="69"/>
  <c r="K50" i="69"/>
  <c r="AN120" i="69"/>
  <c r="AR50" i="69"/>
  <c r="AF120" i="69"/>
  <c r="F123" i="71"/>
  <c r="F53" i="71"/>
  <c r="F23" i="69"/>
  <c r="F21" i="68"/>
  <c r="N124" i="69"/>
  <c r="T120" i="69"/>
  <c r="AU50" i="69"/>
  <c r="I50" i="69"/>
  <c r="AA50" i="69"/>
  <c r="AS50" i="69"/>
  <c r="K120" i="69"/>
  <c r="AR120" i="69"/>
  <c r="AD123" i="71"/>
  <c r="AD53" i="71"/>
  <c r="N23" i="69"/>
  <c r="L50" i="69"/>
  <c r="AL124" i="69"/>
  <c r="N122" i="68"/>
  <c r="Y50" i="69"/>
  <c r="BZ123" i="71"/>
  <c r="BZ53" i="71"/>
  <c r="AD23" i="69"/>
  <c r="L21" i="68"/>
  <c r="AA120" i="69"/>
  <c r="R123" i="71"/>
  <c r="J120" i="69" s="1"/>
  <c r="R53" i="71"/>
  <c r="J23" i="69"/>
  <c r="AS120" i="69"/>
  <c r="AC50" i="69"/>
  <c r="F180" i="71"/>
  <c r="AJ50" i="69"/>
  <c r="L120" i="69"/>
  <c r="CL123" i="71"/>
  <c r="CL53" i="71"/>
  <c r="AH23" i="69"/>
  <c r="M21" i="68"/>
  <c r="AQ50" i="69"/>
  <c r="AU120" i="69"/>
  <c r="X50" i="69"/>
  <c r="I120" i="69"/>
  <c r="Y120" i="69"/>
  <c r="G165" i="71"/>
  <c r="AM50" i="69"/>
  <c r="J124" i="69"/>
  <c r="AK50" i="69"/>
  <c r="AC120" i="69"/>
  <c r="F32" i="71"/>
  <c r="AJ120" i="69"/>
  <c r="Z124" i="69"/>
  <c r="K122" i="68"/>
  <c r="AQ120" i="69"/>
  <c r="AH124" i="69"/>
  <c r="M122" i="68"/>
  <c r="AE124" i="69"/>
  <c r="X120" i="69"/>
  <c r="G50" i="69"/>
  <c r="AW50" i="69"/>
  <c r="AO50" i="69"/>
  <c r="V124" i="69"/>
  <c r="J122" i="68"/>
  <c r="G120" i="69"/>
  <c r="AM120" i="69"/>
  <c r="AK120" i="69"/>
  <c r="F460" i="71"/>
  <c r="F57" i="73" s="1"/>
  <c r="W50" i="69"/>
  <c r="E124" i="69"/>
  <c r="E122" i="68"/>
  <c r="AE50" i="69"/>
  <c r="DV123" i="71"/>
  <c r="DV53" i="71"/>
  <c r="AT23" i="69"/>
  <c r="P21" i="68"/>
  <c r="AV50" i="69"/>
  <c r="AI50" i="69"/>
  <c r="AW120" i="69"/>
  <c r="AW124" i="69"/>
  <c r="BN123" i="71"/>
  <c r="BN53" i="71"/>
  <c r="Z23" i="69"/>
  <c r="K21" i="68"/>
  <c r="U120" i="69"/>
  <c r="F124" i="69"/>
  <c r="F122" i="68"/>
  <c r="CX123" i="71"/>
  <c r="CX53" i="71"/>
  <c r="AL23" i="69"/>
  <c r="N21" i="68"/>
  <c r="H50" i="69"/>
  <c r="AG50" i="69"/>
  <c r="AO120" i="69"/>
  <c r="D209" i="32"/>
  <c r="D24" i="32"/>
  <c r="J125" i="32"/>
  <c r="J128" i="32" s="1"/>
  <c r="J130" i="32" s="1"/>
  <c r="J133" i="32" s="1"/>
  <c r="J135" i="32" s="1"/>
  <c r="J137" i="32" s="1"/>
  <c r="J139" i="32" s="1"/>
  <c r="J141" i="32" s="1"/>
  <c r="J143" i="32" s="1"/>
  <c r="E40" i="2"/>
  <c r="E16" i="70" s="1"/>
  <c r="D128" i="32"/>
  <c r="E125" i="32"/>
  <c r="E128" i="32" s="1"/>
  <c r="E130" i="32" s="1"/>
  <c r="E133" i="32" s="1"/>
  <c r="E135" i="32" s="1"/>
  <c r="E137" i="32" s="1"/>
  <c r="E139" i="32" s="1"/>
  <c r="E141" i="32" s="1"/>
  <c r="E143" i="32" s="1"/>
  <c r="D125" i="32"/>
  <c r="N276" i="32"/>
  <c r="E235" i="32"/>
  <c r="J290" i="32"/>
  <c r="L27" i="17"/>
  <c r="N125" i="32"/>
  <c r="N128" i="32" s="1"/>
  <c r="N130" i="32" s="1"/>
  <c r="N133" i="32" s="1"/>
  <c r="N135" i="32" s="1"/>
  <c r="N137" i="32" s="1"/>
  <c r="N139" i="32" s="1"/>
  <c r="N141" i="32" s="1"/>
  <c r="N143" i="32" s="1"/>
  <c r="D277" i="32"/>
  <c r="N235" i="32"/>
  <c r="E276" i="32"/>
  <c r="J277" i="32"/>
  <c r="J297" i="32"/>
  <c r="E275" i="32"/>
  <c r="N275" i="32"/>
  <c r="J276" i="32"/>
  <c r="E277" i="32"/>
  <c r="N277" i="32"/>
  <c r="J283" i="32"/>
  <c r="J275" i="32"/>
  <c r="E297" i="32"/>
  <c r="N297" i="32"/>
  <c r="N283" i="32"/>
  <c r="N290" i="32"/>
  <c r="E290" i="32"/>
  <c r="E283" i="32"/>
  <c r="N244" i="32"/>
  <c r="N236" i="32"/>
  <c r="K79" i="6" l="1"/>
  <c r="L179" i="6"/>
  <c r="J71" i="6"/>
  <c r="K150" i="6"/>
  <c r="J74" i="6"/>
  <c r="K164" i="6"/>
  <c r="J69" i="6"/>
  <c r="K140" i="6"/>
  <c r="J70" i="6"/>
  <c r="K145" i="6"/>
  <c r="J76" i="6"/>
  <c r="K169" i="6"/>
  <c r="K78" i="6"/>
  <c r="L174" i="6"/>
  <c r="J73" i="6"/>
  <c r="K159" i="6"/>
  <c r="K72" i="6"/>
  <c r="L154" i="6"/>
  <c r="AD159" i="69"/>
  <c r="AD192" i="69"/>
  <c r="L157" i="68"/>
  <c r="BH372" i="71"/>
  <c r="X161" i="69"/>
  <c r="X369" i="69" s="1"/>
  <c r="K161" i="69"/>
  <c r="K369" i="69" s="1"/>
  <c r="U372" i="71"/>
  <c r="EB372" i="71"/>
  <c r="AV161" i="69"/>
  <c r="AV369" i="69" s="1"/>
  <c r="AV372" i="71"/>
  <c r="T161" i="69"/>
  <c r="T369" i="69" s="1"/>
  <c r="S161" i="69"/>
  <c r="S369" i="69" s="1"/>
  <c r="AS372" i="71"/>
  <c r="AG372" i="71"/>
  <c r="O161" i="69"/>
  <c r="O369" i="69" s="1"/>
  <c r="CI372" i="71"/>
  <c r="AG161" i="69"/>
  <c r="AG369" i="69" s="1"/>
  <c r="BW372" i="71"/>
  <c r="AC161" i="69"/>
  <c r="AC369" i="69" s="1"/>
  <c r="BE372" i="71"/>
  <c r="W161" i="69"/>
  <c r="W369" i="69" s="1"/>
  <c r="AB161" i="69"/>
  <c r="AB369" i="69" s="1"/>
  <c r="BT372" i="71"/>
  <c r="Z192" i="69"/>
  <c r="Z159" i="69"/>
  <c r="K157" i="68"/>
  <c r="BQ372" i="71"/>
  <c r="AA161" i="69"/>
  <c r="AA369" i="69" s="1"/>
  <c r="AY372" i="71"/>
  <c r="U161" i="69"/>
  <c r="U369" i="69" s="1"/>
  <c r="F159" i="68"/>
  <c r="F367" i="68" s="1"/>
  <c r="O157" i="68"/>
  <c r="AP192" i="69"/>
  <c r="AP159" i="69"/>
  <c r="DP372" i="71"/>
  <c r="AR161" i="69"/>
  <c r="AR369" i="69" s="1"/>
  <c r="CU372" i="71"/>
  <c r="AK161" i="69"/>
  <c r="AK369" i="69" s="1"/>
  <c r="BK372" i="71"/>
  <c r="Y161" i="69"/>
  <c r="Y369" i="69" s="1"/>
  <c r="AM372" i="71"/>
  <c r="Q161" i="69"/>
  <c r="Q369" i="69" s="1"/>
  <c r="F192" i="69"/>
  <c r="F159" i="69"/>
  <c r="F157" i="68"/>
  <c r="AJ161" i="69"/>
  <c r="AJ369" i="69" s="1"/>
  <c r="CR372" i="71"/>
  <c r="CO372" i="71"/>
  <c r="AI161" i="69"/>
  <c r="AI369" i="69" s="1"/>
  <c r="M161" i="69"/>
  <c r="M369" i="69" s="1"/>
  <c r="AA372" i="71"/>
  <c r="AJ372" i="71"/>
  <c r="P161" i="69"/>
  <c r="P369" i="69" s="1"/>
  <c r="CF372" i="71"/>
  <c r="AF161" i="69"/>
  <c r="AF369" i="69" s="1"/>
  <c r="X372" i="71"/>
  <c r="L161" i="69"/>
  <c r="L369" i="69" s="1"/>
  <c r="DY372" i="71"/>
  <c r="AU161" i="69"/>
  <c r="AU369" i="69" s="1"/>
  <c r="AH159" i="69"/>
  <c r="M157" i="68"/>
  <c r="AH192" i="69"/>
  <c r="I161" i="69"/>
  <c r="I369" i="69" s="1"/>
  <c r="AN161" i="69"/>
  <c r="AN369" i="69" s="1"/>
  <c r="DD372" i="71"/>
  <c r="AL159" i="69"/>
  <c r="AL192" i="69"/>
  <c r="N157" i="68"/>
  <c r="AS161" i="69"/>
  <c r="AS369" i="69" s="1"/>
  <c r="DS372" i="71"/>
  <c r="AT192" i="69"/>
  <c r="AT193" i="69" s="1"/>
  <c r="AT198" i="69" s="1"/>
  <c r="AT159" i="69"/>
  <c r="P157" i="68"/>
  <c r="DM372" i="71"/>
  <c r="AQ161" i="69"/>
  <c r="AQ369" i="69" s="1"/>
  <c r="V192" i="69"/>
  <c r="V159" i="69"/>
  <c r="J157" i="68"/>
  <c r="J192" i="69"/>
  <c r="J159" i="69"/>
  <c r="G157" i="68"/>
  <c r="DG372" i="71"/>
  <c r="AO161" i="69"/>
  <c r="AO369" i="69" s="1"/>
  <c r="AW161" i="69"/>
  <c r="AW369" i="69" s="1"/>
  <c r="EE372" i="71"/>
  <c r="R159" i="69"/>
  <c r="R192" i="69"/>
  <c r="I157" i="68"/>
  <c r="AM161" i="69"/>
  <c r="AM369" i="69" s="1"/>
  <c r="DA372" i="71"/>
  <c r="AE161" i="69"/>
  <c r="AE369" i="69" s="1"/>
  <c r="CC372" i="71"/>
  <c r="N159" i="69"/>
  <c r="N192" i="69"/>
  <c r="H157" i="68"/>
  <c r="AE77" i="6"/>
  <c r="AD164" i="71" s="1"/>
  <c r="AD22" i="70"/>
  <c r="G50" i="21"/>
  <c r="DK77" i="6"/>
  <c r="DJ164" i="71" s="1"/>
  <c r="N50" i="21"/>
  <c r="DJ22" i="70"/>
  <c r="BO77" i="6"/>
  <c r="BN164" i="71" s="1"/>
  <c r="J50" i="21"/>
  <c r="BN22" i="70"/>
  <c r="CY77" i="6"/>
  <c r="CX164" i="71" s="1"/>
  <c r="M50" i="21"/>
  <c r="CX22" i="70"/>
  <c r="CA77" i="6"/>
  <c r="BZ164" i="71" s="1"/>
  <c r="K50" i="21"/>
  <c r="BZ22" i="70"/>
  <c r="CM77" i="6"/>
  <c r="CL164" i="71" s="1"/>
  <c r="CL22" i="70"/>
  <c r="L50" i="21"/>
  <c r="F22" i="70"/>
  <c r="E50" i="21"/>
  <c r="BC77" i="6"/>
  <c r="BB164" i="71" s="1"/>
  <c r="I50" i="21"/>
  <c r="BB22" i="70"/>
  <c r="AQ77" i="6"/>
  <c r="AP164" i="71" s="1"/>
  <c r="AP22" i="70"/>
  <c r="H50" i="21"/>
  <c r="DW77" i="6"/>
  <c r="DV164" i="71" s="1"/>
  <c r="O50" i="21"/>
  <c r="DV22" i="70"/>
  <c r="S77" i="6"/>
  <c r="R164" i="71" s="1"/>
  <c r="R22" i="70"/>
  <c r="F50" i="21"/>
  <c r="D225" i="32"/>
  <c r="Z64" i="45"/>
  <c r="Y64" i="45"/>
  <c r="X65" i="45"/>
  <c r="H25" i="70"/>
  <c r="F162" i="69"/>
  <c r="AT50" i="69"/>
  <c r="P48" i="68"/>
  <c r="J50" i="69"/>
  <c r="AD50" i="69"/>
  <c r="L48" i="68"/>
  <c r="N50" i="69"/>
  <c r="AP50" i="69"/>
  <c r="O48" i="68"/>
  <c r="AT120" i="69"/>
  <c r="P118" i="68"/>
  <c r="N120" i="69"/>
  <c r="AP120" i="69"/>
  <c r="O118" i="68"/>
  <c r="I165" i="71"/>
  <c r="AL50" i="69"/>
  <c r="N48" i="68"/>
  <c r="Z50" i="69"/>
  <c r="K48" i="68"/>
  <c r="F31" i="71"/>
  <c r="F181" i="71"/>
  <c r="G178" i="71" s="1"/>
  <c r="AD120" i="69"/>
  <c r="L118" i="68"/>
  <c r="Z120" i="69"/>
  <c r="K118" i="68"/>
  <c r="AL120" i="69"/>
  <c r="N118" i="68"/>
  <c r="F129" i="71"/>
  <c r="F50" i="69"/>
  <c r="F48" i="68"/>
  <c r="E148" i="71"/>
  <c r="AH50" i="69"/>
  <c r="M48" i="68"/>
  <c r="F120" i="69"/>
  <c r="F118" i="68"/>
  <c r="AH120" i="69"/>
  <c r="M118" i="68"/>
  <c r="D162" i="32"/>
  <c r="D290" i="32"/>
  <c r="N146" i="32"/>
  <c r="D283" i="32"/>
  <c r="D130" i="32"/>
  <c r="N147" i="32"/>
  <c r="N148" i="32"/>
  <c r="E148" i="32"/>
  <c r="E146" i="32"/>
  <c r="E147" i="32"/>
  <c r="N284" i="32"/>
  <c r="N291" i="32"/>
  <c r="D39" i="20"/>
  <c r="N298" i="32"/>
  <c r="K76" i="6" l="1"/>
  <c r="L169" i="6"/>
  <c r="K70" i="6"/>
  <c r="L145" i="6"/>
  <c r="L78" i="6"/>
  <c r="M174" i="6"/>
  <c r="K74" i="6"/>
  <c r="L164" i="6"/>
  <c r="K69" i="6"/>
  <c r="L140" i="6"/>
  <c r="L72" i="6"/>
  <c r="M154" i="6"/>
  <c r="K71" i="6"/>
  <c r="L150" i="6"/>
  <c r="K73" i="6"/>
  <c r="L159" i="6"/>
  <c r="L79" i="6"/>
  <c r="M179" i="6"/>
  <c r="F193" i="69"/>
  <c r="F198" i="69" s="1"/>
  <c r="C192" i="69"/>
  <c r="J159" i="68"/>
  <c r="J367" i="68" s="1"/>
  <c r="BB372" i="71"/>
  <c r="I496" i="71" s="1"/>
  <c r="V161" i="69"/>
  <c r="V369" i="69" s="1"/>
  <c r="BZ372" i="71"/>
  <c r="K496" i="71" s="1"/>
  <c r="L159" i="68"/>
  <c r="L367" i="68" s="1"/>
  <c r="AD161" i="69"/>
  <c r="AD369" i="69" s="1"/>
  <c r="J161" i="69"/>
  <c r="J369" i="69" s="1"/>
  <c r="R372" i="71"/>
  <c r="G159" i="68"/>
  <c r="G367" i="68" s="1"/>
  <c r="I159" i="68"/>
  <c r="I367" i="68" s="1"/>
  <c r="AP372" i="71"/>
  <c r="H496" i="71" s="1"/>
  <c r="R161" i="69"/>
  <c r="R369" i="69" s="1"/>
  <c r="CX372" i="71"/>
  <c r="M496" i="71" s="1"/>
  <c r="N159" i="68"/>
  <c r="N367" i="68" s="1"/>
  <c r="AL161" i="69"/>
  <c r="AL369" i="69" s="1"/>
  <c r="AD372" i="71"/>
  <c r="G496" i="71" s="1"/>
  <c r="N161" i="69"/>
  <c r="N369" i="69" s="1"/>
  <c r="H159" i="68"/>
  <c r="H367" i="68" s="1"/>
  <c r="AT161" i="69"/>
  <c r="AT369" i="69" s="1"/>
  <c r="DV372" i="71"/>
  <c r="P159" i="68"/>
  <c r="P367" i="68" s="1"/>
  <c r="DJ372" i="71"/>
  <c r="O159" i="68"/>
  <c r="O367" i="68" s="1"/>
  <c r="AP161" i="69"/>
  <c r="AP369" i="69" s="1"/>
  <c r="AH161" i="69"/>
  <c r="AH369" i="69" s="1"/>
  <c r="CL372" i="71"/>
  <c r="L496" i="71" s="1"/>
  <c r="M159" i="68"/>
  <c r="M367" i="68" s="1"/>
  <c r="BN372" i="71"/>
  <c r="J496" i="71" s="1"/>
  <c r="Z161" i="69"/>
  <c r="Z369" i="69" s="1"/>
  <c r="K159" i="68"/>
  <c r="K367" i="68" s="1"/>
  <c r="L61" i="21"/>
  <c r="CL24" i="70"/>
  <c r="I61" i="21"/>
  <c r="BB24" i="70"/>
  <c r="CX24" i="70"/>
  <c r="M61" i="21"/>
  <c r="DJ24" i="70"/>
  <c r="N61" i="21"/>
  <c r="R24" i="70"/>
  <c r="F61" i="21"/>
  <c r="DV24" i="70"/>
  <c r="O61" i="21"/>
  <c r="J61" i="21"/>
  <c r="BN24" i="70"/>
  <c r="AD24" i="70"/>
  <c r="G61" i="21"/>
  <c r="AP24" i="70"/>
  <c r="H61" i="21"/>
  <c r="BZ24" i="70"/>
  <c r="K61" i="21"/>
  <c r="Y65" i="45"/>
  <c r="Z65" i="45"/>
  <c r="X66" i="45"/>
  <c r="I25" i="70"/>
  <c r="F128" i="71"/>
  <c r="E145" i="69"/>
  <c r="E143" i="68"/>
  <c r="G183" i="71"/>
  <c r="G184" i="71"/>
  <c r="J165" i="71"/>
  <c r="J147" i="32"/>
  <c r="J148" i="32"/>
  <c r="J146" i="32"/>
  <c r="D133" i="32"/>
  <c r="D163" i="32"/>
  <c r="M72" i="6" l="1"/>
  <c r="N154" i="6"/>
  <c r="M140" i="6"/>
  <c r="L69" i="6"/>
  <c r="N174" i="6"/>
  <c r="M78" i="6"/>
  <c r="L70" i="6"/>
  <c r="M145" i="6"/>
  <c r="L73" i="6"/>
  <c r="M159" i="6"/>
  <c r="L76" i="6"/>
  <c r="M169" i="6"/>
  <c r="L71" i="6"/>
  <c r="M150" i="6"/>
  <c r="M164" i="6"/>
  <c r="L74" i="6"/>
  <c r="M79" i="6"/>
  <c r="N179" i="6"/>
  <c r="C369" i="69"/>
  <c r="C367" i="68"/>
  <c r="C372" i="71"/>
  <c r="C621" i="71" s="1"/>
  <c r="F496" i="71"/>
  <c r="C496" i="71" s="1"/>
  <c r="O496" i="71" s="1"/>
  <c r="X67" i="45"/>
  <c r="Z66" i="45"/>
  <c r="Y66" i="45"/>
  <c r="J25" i="70"/>
  <c r="G180" i="71"/>
  <c r="K165" i="71"/>
  <c r="G32" i="71"/>
  <c r="M73" i="6" l="1"/>
  <c r="N159" i="6"/>
  <c r="M70" i="6"/>
  <c r="N145" i="6"/>
  <c r="N78" i="6"/>
  <c r="O174" i="6"/>
  <c r="N150" i="6"/>
  <c r="M71" i="6"/>
  <c r="N79" i="6"/>
  <c r="O179" i="6"/>
  <c r="M69" i="6"/>
  <c r="N140" i="6"/>
  <c r="N72" i="6"/>
  <c r="O154" i="6"/>
  <c r="M76" i="6"/>
  <c r="N169" i="6"/>
  <c r="M74" i="6"/>
  <c r="N164" i="6"/>
  <c r="Z67" i="45"/>
  <c r="Y67" i="45"/>
  <c r="X68" i="45"/>
  <c r="K25" i="70"/>
  <c r="G31" i="71"/>
  <c r="G181" i="71"/>
  <c r="H178" i="71" s="1"/>
  <c r="G129" i="71"/>
  <c r="L165" i="71"/>
  <c r="D135" i="32"/>
  <c r="D137" i="32"/>
  <c r="O78" i="6" l="1"/>
  <c r="P174" i="6"/>
  <c r="P179" i="6"/>
  <c r="O79" i="6"/>
  <c r="N71" i="6"/>
  <c r="O150" i="6"/>
  <c r="N74" i="6"/>
  <c r="O164" i="6"/>
  <c r="O72" i="6"/>
  <c r="P154" i="6"/>
  <c r="N76" i="6"/>
  <c r="O169" i="6"/>
  <c r="N73" i="6"/>
  <c r="O159" i="6"/>
  <c r="N69" i="6"/>
  <c r="O140" i="6"/>
  <c r="N70" i="6"/>
  <c r="O145" i="6"/>
  <c r="Y68" i="45"/>
  <c r="Z68" i="45"/>
  <c r="X69" i="45"/>
  <c r="L25" i="70"/>
  <c r="M165" i="71"/>
  <c r="H183" i="71"/>
  <c r="H184" i="71"/>
  <c r="G128" i="71"/>
  <c r="D139" i="32"/>
  <c r="P150" i="6" l="1"/>
  <c r="O71" i="6"/>
  <c r="P79" i="6"/>
  <c r="Q179" i="6"/>
  <c r="O69" i="6"/>
  <c r="P140" i="6"/>
  <c r="P78" i="6"/>
  <c r="Q174" i="6"/>
  <c r="O73" i="6"/>
  <c r="P159" i="6"/>
  <c r="P169" i="6"/>
  <c r="O76" i="6"/>
  <c r="P72" i="6"/>
  <c r="Q154" i="6"/>
  <c r="O74" i="6"/>
  <c r="P164" i="6"/>
  <c r="O70" i="6"/>
  <c r="P145" i="6"/>
  <c r="Z69" i="45"/>
  <c r="Y69" i="45"/>
  <c r="X70" i="45"/>
  <c r="M25" i="70"/>
  <c r="H180" i="71"/>
  <c r="F181" i="69"/>
  <c r="H32" i="71"/>
  <c r="F180" i="69"/>
  <c r="N165" i="71"/>
  <c r="D141" i="32"/>
  <c r="Q72" i="6" l="1"/>
  <c r="R154" i="6"/>
  <c r="P76" i="6"/>
  <c r="Q169" i="6"/>
  <c r="Q140" i="6"/>
  <c r="P69" i="6"/>
  <c r="P73" i="6"/>
  <c r="Q159" i="6"/>
  <c r="Q145" i="6"/>
  <c r="P70" i="6"/>
  <c r="P74" i="6"/>
  <c r="Q164" i="6"/>
  <c r="R174" i="6"/>
  <c r="Q78" i="6"/>
  <c r="Q79" i="6"/>
  <c r="R179" i="6"/>
  <c r="P71" i="6"/>
  <c r="Q150" i="6"/>
  <c r="X71" i="45"/>
  <c r="Z70" i="45"/>
  <c r="Y70" i="45"/>
  <c r="N25" i="70"/>
  <c r="H129" i="71"/>
  <c r="F29" i="69"/>
  <c r="O165" i="71"/>
  <c r="H31" i="71"/>
  <c r="F177" i="69"/>
  <c r="F178" i="69" s="1"/>
  <c r="G175" i="69" s="1"/>
  <c r="H181" i="71"/>
  <c r="I178" i="71" s="1"/>
  <c r="D143" i="32"/>
  <c r="D146" i="32"/>
  <c r="D148" i="32"/>
  <c r="D147" i="32"/>
  <c r="Q74" i="6" l="1"/>
  <c r="R164" i="6"/>
  <c r="S179" i="6"/>
  <c r="R79" i="6"/>
  <c r="E63" i="21" s="1"/>
  <c r="Q76" i="6"/>
  <c r="R169" i="6"/>
  <c r="Q71" i="6"/>
  <c r="R150" i="6"/>
  <c r="R78" i="6"/>
  <c r="S174" i="6"/>
  <c r="Q70" i="6"/>
  <c r="R145" i="6"/>
  <c r="R159" i="6"/>
  <c r="Q73" i="6"/>
  <c r="Q69" i="6"/>
  <c r="R140" i="6"/>
  <c r="R72" i="6"/>
  <c r="S154" i="6"/>
  <c r="Z71" i="45"/>
  <c r="Y71" i="45"/>
  <c r="X72" i="45"/>
  <c r="O25" i="70"/>
  <c r="H128" i="71"/>
  <c r="F28" i="69"/>
  <c r="I183" i="71"/>
  <c r="I184" i="71"/>
  <c r="P165" i="71"/>
  <c r="F126" i="69"/>
  <c r="S79" i="6" l="1"/>
  <c r="T179" i="6"/>
  <c r="S150" i="6"/>
  <c r="R71" i="6"/>
  <c r="E55" i="21" s="1"/>
  <c r="S164" i="6"/>
  <c r="R74" i="6"/>
  <c r="E58" i="21" s="1"/>
  <c r="R70" i="6"/>
  <c r="E54" i="21" s="1"/>
  <c r="S145" i="6"/>
  <c r="S78" i="6"/>
  <c r="T174" i="6"/>
  <c r="R69" i="6"/>
  <c r="E53" i="21" s="1"/>
  <c r="S140" i="6"/>
  <c r="S169" i="6"/>
  <c r="R76" i="6"/>
  <c r="E60" i="21" s="1"/>
  <c r="S72" i="6"/>
  <c r="T154" i="6"/>
  <c r="R73" i="6"/>
  <c r="E57" i="21" s="1"/>
  <c r="S159" i="6"/>
  <c r="Z72" i="45"/>
  <c r="Y72" i="45"/>
  <c r="X73" i="45"/>
  <c r="E56" i="21"/>
  <c r="P25" i="70"/>
  <c r="I180" i="71"/>
  <c r="I32" i="71"/>
  <c r="Q165" i="71"/>
  <c r="F125" i="69"/>
  <c r="E62" i="21"/>
  <c r="T140" i="6" l="1"/>
  <c r="S69" i="6"/>
  <c r="S71" i="6"/>
  <c r="T150" i="6"/>
  <c r="S76" i="6"/>
  <c r="T169" i="6"/>
  <c r="S73" i="6"/>
  <c r="T159" i="6"/>
  <c r="S70" i="6"/>
  <c r="T145" i="6"/>
  <c r="T72" i="6"/>
  <c r="U154" i="6"/>
  <c r="U174" i="6"/>
  <c r="T78" i="6"/>
  <c r="T79" i="6"/>
  <c r="U179" i="6"/>
  <c r="T164" i="6"/>
  <c r="S74" i="6"/>
  <c r="Z73" i="45"/>
  <c r="Y73" i="45"/>
  <c r="X74" i="45"/>
  <c r="Q25" i="70"/>
  <c r="I129" i="71"/>
  <c r="R165" i="71"/>
  <c r="I31" i="71"/>
  <c r="I181" i="71"/>
  <c r="J178" i="71" s="1"/>
  <c r="U78" i="6" l="1"/>
  <c r="V174" i="6"/>
  <c r="U72" i="6"/>
  <c r="V154" i="6"/>
  <c r="U79" i="6"/>
  <c r="V179" i="6"/>
  <c r="T71" i="6"/>
  <c r="U150" i="6"/>
  <c r="T70" i="6"/>
  <c r="U145" i="6"/>
  <c r="T73" i="6"/>
  <c r="U159" i="6"/>
  <c r="T76" i="6"/>
  <c r="U169" i="6"/>
  <c r="T74" i="6"/>
  <c r="U164" i="6"/>
  <c r="T69" i="6"/>
  <c r="U140" i="6"/>
  <c r="X75" i="45"/>
  <c r="Y74" i="45"/>
  <c r="Z74" i="45"/>
  <c r="R25" i="70"/>
  <c r="I128" i="71"/>
  <c r="J183" i="71"/>
  <c r="J184" i="71"/>
  <c r="S165" i="71"/>
  <c r="V79" i="6" l="1"/>
  <c r="W179" i="6"/>
  <c r="V72" i="6"/>
  <c r="W154" i="6"/>
  <c r="V78" i="6"/>
  <c r="W174" i="6"/>
  <c r="U74" i="6"/>
  <c r="V164" i="6"/>
  <c r="U71" i="6"/>
  <c r="V150" i="6"/>
  <c r="U76" i="6"/>
  <c r="V169" i="6"/>
  <c r="U70" i="6"/>
  <c r="V145" i="6"/>
  <c r="U73" i="6"/>
  <c r="V159" i="6"/>
  <c r="U69" i="6"/>
  <c r="V140" i="6"/>
  <c r="Z75" i="45"/>
  <c r="Y75" i="45"/>
  <c r="F21" i="32"/>
  <c r="S25" i="70"/>
  <c r="J32" i="71"/>
  <c r="T165" i="71"/>
  <c r="J162" i="69" s="1"/>
  <c r="J180" i="71"/>
  <c r="V70" i="6" l="1"/>
  <c r="W145" i="6"/>
  <c r="V76" i="6"/>
  <c r="W169" i="6"/>
  <c r="V71" i="6"/>
  <c r="W150" i="6"/>
  <c r="V74" i="6"/>
  <c r="W164" i="6"/>
  <c r="W78" i="6"/>
  <c r="X174" i="6"/>
  <c r="V69" i="6"/>
  <c r="W140" i="6"/>
  <c r="X154" i="6"/>
  <c r="W72" i="6"/>
  <c r="V73" i="6"/>
  <c r="W159" i="6"/>
  <c r="X179" i="6"/>
  <c r="W79" i="6"/>
  <c r="X76" i="45"/>
  <c r="T25" i="70"/>
  <c r="J31" i="71"/>
  <c r="J181" i="71"/>
  <c r="K178" i="71" s="1"/>
  <c r="U165" i="71"/>
  <c r="J129" i="71"/>
  <c r="X140" i="6" l="1"/>
  <c r="W69" i="6"/>
  <c r="X72" i="6"/>
  <c r="Y154" i="6"/>
  <c r="X78" i="6"/>
  <c r="Y174" i="6"/>
  <c r="W74" i="6"/>
  <c r="X164" i="6"/>
  <c r="W71" i="6"/>
  <c r="X150" i="6"/>
  <c r="W76" i="6"/>
  <c r="X169" i="6"/>
  <c r="Y179" i="6"/>
  <c r="X79" i="6"/>
  <c r="X145" i="6"/>
  <c r="W70" i="6"/>
  <c r="W73" i="6"/>
  <c r="X159" i="6"/>
  <c r="Y76" i="45"/>
  <c r="Z76" i="45"/>
  <c r="X77" i="45"/>
  <c r="U25" i="70"/>
  <c r="V165" i="71"/>
  <c r="K184" i="71"/>
  <c r="K183" i="71"/>
  <c r="J128" i="71"/>
  <c r="X76" i="6" l="1"/>
  <c r="Y169" i="6"/>
  <c r="Y150" i="6"/>
  <c r="X71" i="6"/>
  <c r="Y79" i="6"/>
  <c r="Z179" i="6"/>
  <c r="X74" i="6"/>
  <c r="Y164" i="6"/>
  <c r="Z174" i="6"/>
  <c r="Y78" i="6"/>
  <c r="X73" i="6"/>
  <c r="Y159" i="6"/>
  <c r="Y72" i="6"/>
  <c r="Z154" i="6"/>
  <c r="X70" i="6"/>
  <c r="Y145" i="6"/>
  <c r="X69" i="6"/>
  <c r="Y140" i="6"/>
  <c r="Y77" i="45"/>
  <c r="Z77" i="45"/>
  <c r="X78" i="45"/>
  <c r="V25" i="70"/>
  <c r="K32" i="71"/>
  <c r="G180" i="69"/>
  <c r="K180" i="71"/>
  <c r="G181" i="69"/>
  <c r="W165" i="71"/>
  <c r="Z72" i="6" l="1"/>
  <c r="AA154" i="6"/>
  <c r="AA174" i="6"/>
  <c r="Z78" i="6"/>
  <c r="Y73" i="6"/>
  <c r="Z159" i="6"/>
  <c r="Y74" i="6"/>
  <c r="Z164" i="6"/>
  <c r="Z79" i="6"/>
  <c r="AA179" i="6"/>
  <c r="Z140" i="6"/>
  <c r="Y69" i="6"/>
  <c r="Y71" i="6"/>
  <c r="Z150" i="6"/>
  <c r="Y70" i="6"/>
  <c r="Z145" i="6"/>
  <c r="Z169" i="6"/>
  <c r="Y76" i="6"/>
  <c r="X79" i="45"/>
  <c r="Z78" i="45"/>
  <c r="Y78" i="45"/>
  <c r="W25" i="70"/>
  <c r="K31" i="71"/>
  <c r="G177" i="69"/>
  <c r="G178" i="69" s="1"/>
  <c r="H175" i="69" s="1"/>
  <c r="K181" i="71"/>
  <c r="L178" i="71" s="1"/>
  <c r="K129" i="71"/>
  <c r="G29" i="69"/>
  <c r="X165" i="71"/>
  <c r="AA150" i="6" l="1"/>
  <c r="Z71" i="6"/>
  <c r="AA140" i="6"/>
  <c r="Z69" i="6"/>
  <c r="Z74" i="6"/>
  <c r="AA164" i="6"/>
  <c r="Z73" i="6"/>
  <c r="AA159" i="6"/>
  <c r="AA79" i="6"/>
  <c r="AB179" i="6"/>
  <c r="AA169" i="6"/>
  <c r="Z76" i="6"/>
  <c r="AA78" i="6"/>
  <c r="AB174" i="6"/>
  <c r="Z70" i="6"/>
  <c r="AA145" i="6"/>
  <c r="AA72" i="6"/>
  <c r="AB154" i="6"/>
  <c r="Y79" i="45"/>
  <c r="Z79" i="45"/>
  <c r="X80" i="45"/>
  <c r="X25" i="70"/>
  <c r="L184" i="71"/>
  <c r="L183" i="71"/>
  <c r="Y165" i="71"/>
  <c r="K128" i="71"/>
  <c r="G28" i="69"/>
  <c r="AB78" i="6" l="1"/>
  <c r="AC174" i="6"/>
  <c r="AA76" i="6"/>
  <c r="AB169" i="6"/>
  <c r="AC179" i="6"/>
  <c r="AB79" i="6"/>
  <c r="AB159" i="6"/>
  <c r="AA73" i="6"/>
  <c r="AA74" i="6"/>
  <c r="AB164" i="6"/>
  <c r="AB72" i="6"/>
  <c r="AC154" i="6"/>
  <c r="AA69" i="6"/>
  <c r="AB140" i="6"/>
  <c r="AB145" i="6"/>
  <c r="AA70" i="6"/>
  <c r="AA71" i="6"/>
  <c r="AB150" i="6"/>
  <c r="BR169" i="6"/>
  <c r="DN145" i="6"/>
  <c r="X81" i="45"/>
  <c r="Z80" i="45"/>
  <c r="Y80" i="45"/>
  <c r="Y25" i="70"/>
  <c r="L32" i="71"/>
  <c r="L180" i="71"/>
  <c r="Z165" i="71"/>
  <c r="AC72" i="6" l="1"/>
  <c r="AD154" i="6"/>
  <c r="AB69" i="6"/>
  <c r="AC140" i="6"/>
  <c r="AB74" i="6"/>
  <c r="AC164" i="6"/>
  <c r="DN70" i="6"/>
  <c r="DO145" i="6"/>
  <c r="AB73" i="6"/>
  <c r="AC159" i="6"/>
  <c r="BR76" i="6"/>
  <c r="BS169" i="6"/>
  <c r="AD179" i="6"/>
  <c r="AC79" i="6"/>
  <c r="AB71" i="6"/>
  <c r="AC150" i="6"/>
  <c r="AB76" i="6"/>
  <c r="AC169" i="6"/>
  <c r="AD174" i="6"/>
  <c r="AC78" i="6"/>
  <c r="AB70" i="6"/>
  <c r="AC145" i="6"/>
  <c r="CD140" i="6"/>
  <c r="AT164" i="6"/>
  <c r="DN164" i="6"/>
  <c r="BR140" i="6"/>
  <c r="DZ169" i="6"/>
  <c r="CD154" i="6"/>
  <c r="BF174" i="6"/>
  <c r="DN169" i="6"/>
  <c r="DZ174" i="6"/>
  <c r="BF179" i="6"/>
  <c r="DB159" i="6"/>
  <c r="AT159" i="6"/>
  <c r="DZ179" i="6"/>
  <c r="DN154" i="6"/>
  <c r="DN150" i="6"/>
  <c r="BR150" i="6"/>
  <c r="CP164" i="6"/>
  <c r="CP140" i="6"/>
  <c r="DZ159" i="6"/>
  <c r="BR159" i="6"/>
  <c r="BF169" i="6"/>
  <c r="AH174" i="6"/>
  <c r="CP174" i="6"/>
  <c r="DB150" i="6"/>
  <c r="CD174" i="6"/>
  <c r="DB164" i="6"/>
  <c r="BF140" i="6"/>
  <c r="CD150" i="6"/>
  <c r="AT169" i="6"/>
  <c r="AH145" i="6"/>
  <c r="AT179" i="6"/>
  <c r="DZ150" i="6"/>
  <c r="Y81" i="45"/>
  <c r="Z81" i="45"/>
  <c r="X82" i="45"/>
  <c r="Z25" i="70"/>
  <c r="L31" i="71"/>
  <c r="L181" i="71"/>
  <c r="M178" i="71" s="1"/>
  <c r="AA165" i="71"/>
  <c r="L129" i="71"/>
  <c r="AH70" i="6" l="1"/>
  <c r="AI145" i="6"/>
  <c r="CP78" i="6"/>
  <c r="CQ174" i="6"/>
  <c r="BR71" i="6"/>
  <c r="BS150" i="6"/>
  <c r="DZ78" i="6"/>
  <c r="EA174" i="6"/>
  <c r="AT74" i="6"/>
  <c r="AU164" i="6"/>
  <c r="BS76" i="6"/>
  <c r="BT169" i="6"/>
  <c r="AT79" i="6"/>
  <c r="AU179" i="6"/>
  <c r="AT76" i="6"/>
  <c r="AU169" i="6"/>
  <c r="AH78" i="6"/>
  <c r="AI174" i="6"/>
  <c r="DN71" i="6"/>
  <c r="DO150" i="6"/>
  <c r="DN76" i="6"/>
  <c r="DO169" i="6"/>
  <c r="CD69" i="6"/>
  <c r="CE140" i="6"/>
  <c r="AC73" i="6"/>
  <c r="AD159" i="6"/>
  <c r="CD71" i="6"/>
  <c r="CE150" i="6"/>
  <c r="BF76" i="6"/>
  <c r="BG169" i="6"/>
  <c r="DN72" i="6"/>
  <c r="DO154" i="6"/>
  <c r="BF78" i="6"/>
  <c r="BG174" i="6"/>
  <c r="AD145" i="6"/>
  <c r="AC70" i="6"/>
  <c r="DO70" i="6"/>
  <c r="DP145" i="6"/>
  <c r="DN74" i="6"/>
  <c r="DO164" i="6"/>
  <c r="BF69" i="6"/>
  <c r="BG140" i="6"/>
  <c r="BR73" i="6"/>
  <c r="BS159" i="6"/>
  <c r="DZ79" i="6"/>
  <c r="EA179" i="6"/>
  <c r="CD72" i="6"/>
  <c r="CE154" i="6"/>
  <c r="AC74" i="6"/>
  <c r="AD164" i="6"/>
  <c r="AD79" i="6"/>
  <c r="F63" i="21" s="1"/>
  <c r="AE179" i="6"/>
  <c r="AD78" i="6"/>
  <c r="AE174" i="6"/>
  <c r="DB74" i="6"/>
  <c r="DC164" i="6"/>
  <c r="DZ73" i="6"/>
  <c r="EA159" i="6"/>
  <c r="AT73" i="6"/>
  <c r="AU159" i="6"/>
  <c r="DZ76" i="6"/>
  <c r="EA169" i="6"/>
  <c r="AC76" i="6"/>
  <c r="AD169" i="6"/>
  <c r="AD140" i="6"/>
  <c r="AC69" i="6"/>
  <c r="CP74" i="6"/>
  <c r="CQ164" i="6"/>
  <c r="DB71" i="6"/>
  <c r="DC150" i="6"/>
  <c r="DZ71" i="6"/>
  <c r="EA150" i="6"/>
  <c r="DB73" i="6"/>
  <c r="DC159" i="6"/>
  <c r="AD150" i="6"/>
  <c r="AC71" i="6"/>
  <c r="AD72" i="6"/>
  <c r="AE154" i="6"/>
  <c r="BF79" i="6"/>
  <c r="BG179" i="6"/>
  <c r="CD78" i="6"/>
  <c r="CE174" i="6"/>
  <c r="CP69" i="6"/>
  <c r="CQ140" i="6"/>
  <c r="BR69" i="6"/>
  <c r="BS140" i="6"/>
  <c r="AH154" i="6"/>
  <c r="AH169" i="6"/>
  <c r="CP159" i="6"/>
  <c r="BR174" i="6"/>
  <c r="DB174" i="6"/>
  <c r="AH164" i="6"/>
  <c r="BF164" i="6"/>
  <c r="CD164" i="6"/>
  <c r="DB154" i="6"/>
  <c r="DN140" i="6"/>
  <c r="BR145" i="6"/>
  <c r="CP169" i="6"/>
  <c r="BR179" i="6"/>
  <c r="AH159" i="6"/>
  <c r="DZ145" i="6"/>
  <c r="BR164" i="6"/>
  <c r="AT154" i="6"/>
  <c r="CD169" i="6"/>
  <c r="CD159" i="6"/>
  <c r="BF159" i="6"/>
  <c r="CP154" i="6"/>
  <c r="AH150" i="6"/>
  <c r="DZ140" i="6"/>
  <c r="DB140" i="6"/>
  <c r="AT140" i="6"/>
  <c r="DZ164" i="6"/>
  <c r="BF154" i="6"/>
  <c r="DB169" i="6"/>
  <c r="AT145" i="6"/>
  <c r="AH140" i="6"/>
  <c r="DN174" i="6"/>
  <c r="BF145" i="6"/>
  <c r="CP179" i="6"/>
  <c r="DB179" i="6"/>
  <c r="CD145" i="6"/>
  <c r="BR154" i="6"/>
  <c r="DN159" i="6"/>
  <c r="CD179" i="6"/>
  <c r="CP150" i="6"/>
  <c r="DN179" i="6"/>
  <c r="BF150" i="6"/>
  <c r="AH179" i="6"/>
  <c r="AT150" i="6"/>
  <c r="AT174" i="6"/>
  <c r="DB145" i="6"/>
  <c r="DZ154" i="6"/>
  <c r="CP145" i="6"/>
  <c r="X84" i="45"/>
  <c r="X83" i="45"/>
  <c r="Z82" i="45"/>
  <c r="Y82" i="45"/>
  <c r="AA25" i="70"/>
  <c r="AB165" i="71"/>
  <c r="M184" i="71"/>
  <c r="M183" i="71"/>
  <c r="M32" i="71" s="1"/>
  <c r="L128" i="71"/>
  <c r="BF71" i="6" l="1"/>
  <c r="BG150" i="6"/>
  <c r="DB79" i="6"/>
  <c r="DC179" i="6"/>
  <c r="BF72" i="6"/>
  <c r="BG154" i="6"/>
  <c r="BF73" i="6"/>
  <c r="BG159" i="6"/>
  <c r="BR79" i="6"/>
  <c r="BS179" i="6"/>
  <c r="AH74" i="6"/>
  <c r="AI164" i="6"/>
  <c r="CQ69" i="6"/>
  <c r="CR140" i="6"/>
  <c r="DC71" i="6"/>
  <c r="DD150" i="6"/>
  <c r="DD164" i="6"/>
  <c r="DC74" i="6"/>
  <c r="BH140" i="6"/>
  <c r="BG69" i="6"/>
  <c r="CE71" i="6"/>
  <c r="CF150" i="6"/>
  <c r="AU79" i="6"/>
  <c r="AV179" i="6"/>
  <c r="CP79" i="6"/>
  <c r="CQ179" i="6"/>
  <c r="DZ74" i="6"/>
  <c r="EA164" i="6"/>
  <c r="CD73" i="6"/>
  <c r="CE159" i="6"/>
  <c r="CP76" i="6"/>
  <c r="CQ169" i="6"/>
  <c r="DB78" i="6"/>
  <c r="DC174" i="6"/>
  <c r="CF174" i="6"/>
  <c r="CE78" i="6"/>
  <c r="CQ74" i="6"/>
  <c r="CR164" i="6"/>
  <c r="AF174" i="6"/>
  <c r="AE78" i="6"/>
  <c r="DO74" i="6"/>
  <c r="DP164" i="6"/>
  <c r="AE159" i="6"/>
  <c r="AD73" i="6"/>
  <c r="BU169" i="6"/>
  <c r="BT76" i="6"/>
  <c r="CP71" i="6"/>
  <c r="CQ150" i="6"/>
  <c r="AT69" i="6"/>
  <c r="AU140" i="6"/>
  <c r="CE69" i="6"/>
  <c r="CF140" i="6"/>
  <c r="AU74" i="6"/>
  <c r="AV164" i="6"/>
  <c r="AE140" i="6"/>
  <c r="AD69" i="6"/>
  <c r="F53" i="21" s="1"/>
  <c r="CD76" i="6"/>
  <c r="CE169" i="6"/>
  <c r="DB69" i="6"/>
  <c r="DC140" i="6"/>
  <c r="DN69" i="6"/>
  <c r="DO140" i="6"/>
  <c r="AE72" i="6"/>
  <c r="AF154" i="6"/>
  <c r="AD76" i="6"/>
  <c r="F60" i="21" s="1"/>
  <c r="AE169" i="6"/>
  <c r="AD74" i="6"/>
  <c r="F58" i="21" s="1"/>
  <c r="AE164" i="6"/>
  <c r="DP169" i="6"/>
  <c r="DO76" i="6"/>
  <c r="EA78" i="6"/>
  <c r="EB174" i="6"/>
  <c r="AF179" i="6"/>
  <c r="AE79" i="6"/>
  <c r="DN78" i="6"/>
  <c r="DO174" i="6"/>
  <c r="AT72" i="6"/>
  <c r="AU154" i="6"/>
  <c r="CP73" i="6"/>
  <c r="CQ159" i="6"/>
  <c r="AE145" i="6"/>
  <c r="AD70" i="6"/>
  <c r="F54" i="21" s="1"/>
  <c r="DQ145" i="6"/>
  <c r="DP70" i="6"/>
  <c r="AH69" i="6"/>
  <c r="AI140" i="6"/>
  <c r="DB72" i="6"/>
  <c r="DC154" i="6"/>
  <c r="AH76" i="6"/>
  <c r="AI169" i="6"/>
  <c r="EA76" i="6"/>
  <c r="EB169" i="6"/>
  <c r="CF154" i="6"/>
  <c r="CE72" i="6"/>
  <c r="BG78" i="6"/>
  <c r="BH174" i="6"/>
  <c r="DP150" i="6"/>
  <c r="DO71" i="6"/>
  <c r="BS71" i="6"/>
  <c r="BT150" i="6"/>
  <c r="BR78" i="6"/>
  <c r="BS174" i="6"/>
  <c r="BR74" i="6"/>
  <c r="BS164" i="6"/>
  <c r="AE150" i="6"/>
  <c r="AD71" i="6"/>
  <c r="F55" i="21" s="1"/>
  <c r="BH179" i="6"/>
  <c r="BG79" i="6"/>
  <c r="DZ70" i="6"/>
  <c r="EA145" i="6"/>
  <c r="AU73" i="6"/>
  <c r="AV159" i="6"/>
  <c r="EA79" i="6"/>
  <c r="EB179" i="6"/>
  <c r="DP154" i="6"/>
  <c r="DO72" i="6"/>
  <c r="AI78" i="6"/>
  <c r="AJ174" i="6"/>
  <c r="CQ78" i="6"/>
  <c r="CR174" i="6"/>
  <c r="CP70" i="6"/>
  <c r="CQ145" i="6"/>
  <c r="BR70" i="6"/>
  <c r="BS145" i="6"/>
  <c r="DN73" i="6"/>
  <c r="DO159" i="6"/>
  <c r="CD74" i="6"/>
  <c r="CE164" i="6"/>
  <c r="DZ72" i="6"/>
  <c r="EA154" i="6"/>
  <c r="DB70" i="6"/>
  <c r="DC145" i="6"/>
  <c r="AT78" i="6"/>
  <c r="AU174" i="6"/>
  <c r="BR72" i="6"/>
  <c r="BS154" i="6"/>
  <c r="AH71" i="6"/>
  <c r="AI150" i="6"/>
  <c r="AH72" i="6"/>
  <c r="AI154" i="6"/>
  <c r="DB76" i="6"/>
  <c r="DC169" i="6"/>
  <c r="BS69" i="6"/>
  <c r="BT140" i="6"/>
  <c r="BS73" i="6"/>
  <c r="BT159" i="6"/>
  <c r="AU76" i="6"/>
  <c r="AV169" i="6"/>
  <c r="AI70" i="6"/>
  <c r="AJ145" i="6"/>
  <c r="DN79" i="6"/>
  <c r="DO179" i="6"/>
  <c r="BF70" i="6"/>
  <c r="BG145" i="6"/>
  <c r="CD79" i="6"/>
  <c r="CE179" i="6"/>
  <c r="DZ69" i="6"/>
  <c r="EA140" i="6"/>
  <c r="AT71" i="6"/>
  <c r="AU150" i="6"/>
  <c r="AT70" i="6"/>
  <c r="AU145" i="6"/>
  <c r="DC73" i="6"/>
  <c r="DD159" i="6"/>
  <c r="AH79" i="6"/>
  <c r="AI179" i="6"/>
  <c r="CD70" i="6"/>
  <c r="CE145" i="6"/>
  <c r="CP72" i="6"/>
  <c r="CQ154" i="6"/>
  <c r="AH73" i="6"/>
  <c r="AI159" i="6"/>
  <c r="BF74" i="6"/>
  <c r="BG164" i="6"/>
  <c r="EA71" i="6"/>
  <c r="EB150" i="6"/>
  <c r="EA73" i="6"/>
  <c r="EB159" i="6"/>
  <c r="BG76" i="6"/>
  <c r="BH169" i="6"/>
  <c r="Z83" i="45"/>
  <c r="Y83" i="45"/>
  <c r="Z84" i="45"/>
  <c r="Y84" i="45"/>
  <c r="F57" i="21"/>
  <c r="F56" i="21"/>
  <c r="AB25" i="70"/>
  <c r="M129" i="71"/>
  <c r="AC165" i="71"/>
  <c r="M180" i="71"/>
  <c r="F62" i="21"/>
  <c r="AW159" i="6" l="1"/>
  <c r="AV73" i="6"/>
  <c r="DP74" i="6"/>
  <c r="DQ164" i="6"/>
  <c r="EA74" i="6"/>
  <c r="EB164" i="6"/>
  <c r="CR69" i="6"/>
  <c r="CS140" i="6"/>
  <c r="DQ70" i="6"/>
  <c r="DR145" i="6"/>
  <c r="AI71" i="6"/>
  <c r="AJ150" i="6"/>
  <c r="BH78" i="6"/>
  <c r="BI174" i="6"/>
  <c r="AF164" i="6"/>
  <c r="AE74" i="6"/>
  <c r="AW164" i="6"/>
  <c r="AV74" i="6"/>
  <c r="CR179" i="6"/>
  <c r="CQ79" i="6"/>
  <c r="AI74" i="6"/>
  <c r="AJ164" i="6"/>
  <c r="AE70" i="6"/>
  <c r="AF145" i="6"/>
  <c r="AG174" i="6"/>
  <c r="AG78" i="6" s="1"/>
  <c r="AF78" i="6"/>
  <c r="DP76" i="6"/>
  <c r="DQ169" i="6"/>
  <c r="BI169" i="6"/>
  <c r="BH76" i="6"/>
  <c r="DD73" i="6"/>
  <c r="DE159" i="6"/>
  <c r="CQ70" i="6"/>
  <c r="CR145" i="6"/>
  <c r="CR159" i="6"/>
  <c r="CQ73" i="6"/>
  <c r="AF169" i="6"/>
  <c r="AE76" i="6"/>
  <c r="CG140" i="6"/>
  <c r="CF69" i="6"/>
  <c r="CR74" i="6"/>
  <c r="CS164" i="6"/>
  <c r="AW179" i="6"/>
  <c r="AV79" i="6"/>
  <c r="BT179" i="6"/>
  <c r="BS79" i="6"/>
  <c r="BH79" i="6"/>
  <c r="BI179" i="6"/>
  <c r="CF72" i="6"/>
  <c r="CG154" i="6"/>
  <c r="DO73" i="6"/>
  <c r="DP159" i="6"/>
  <c r="DP179" i="6"/>
  <c r="DO79" i="6"/>
  <c r="EC169" i="6"/>
  <c r="EB76" i="6"/>
  <c r="AU72" i="6"/>
  <c r="AV154" i="6"/>
  <c r="AF72" i="6"/>
  <c r="AG154" i="6"/>
  <c r="AG72" i="6" s="1"/>
  <c r="AU69" i="6"/>
  <c r="AV140" i="6"/>
  <c r="CF71" i="6"/>
  <c r="CG150" i="6"/>
  <c r="BG73" i="6"/>
  <c r="BH159" i="6"/>
  <c r="CE70" i="6"/>
  <c r="CF145" i="6"/>
  <c r="AV174" i="6"/>
  <c r="AU78" i="6"/>
  <c r="AE71" i="6"/>
  <c r="AF150" i="6"/>
  <c r="CG174" i="6"/>
  <c r="CF78" i="6"/>
  <c r="AE69" i="6"/>
  <c r="AF140" i="6"/>
  <c r="EB73" i="6"/>
  <c r="EC159" i="6"/>
  <c r="AU71" i="6"/>
  <c r="AV150" i="6"/>
  <c r="AJ78" i="6"/>
  <c r="AK174" i="6"/>
  <c r="AI76" i="6"/>
  <c r="AJ169" i="6"/>
  <c r="DO78" i="6"/>
  <c r="DP174" i="6"/>
  <c r="DO69" i="6"/>
  <c r="DP140" i="6"/>
  <c r="CR150" i="6"/>
  <c r="CQ71" i="6"/>
  <c r="DC78" i="6"/>
  <c r="DD174" i="6"/>
  <c r="BG72" i="6"/>
  <c r="BH154" i="6"/>
  <c r="AI72" i="6"/>
  <c r="AJ154" i="6"/>
  <c r="AI79" i="6"/>
  <c r="AJ179" i="6"/>
  <c r="EB71" i="6"/>
  <c r="EC150" i="6"/>
  <c r="BT164" i="6"/>
  <c r="BS74" i="6"/>
  <c r="BI140" i="6"/>
  <c r="BH69" i="6"/>
  <c r="BT145" i="6"/>
  <c r="BS70" i="6"/>
  <c r="AU70" i="6"/>
  <c r="AV145" i="6"/>
  <c r="BU159" i="6"/>
  <c r="BT73" i="6"/>
  <c r="EA72" i="6"/>
  <c r="EB154" i="6"/>
  <c r="BS78" i="6"/>
  <c r="BT174" i="6"/>
  <c r="DC72" i="6"/>
  <c r="DD154" i="6"/>
  <c r="DC69" i="6"/>
  <c r="DD140" i="6"/>
  <c r="CQ76" i="6"/>
  <c r="CR169" i="6"/>
  <c r="DD179" i="6"/>
  <c r="DC79" i="6"/>
  <c r="BG70" i="6"/>
  <c r="BH145" i="6"/>
  <c r="EA70" i="6"/>
  <c r="EB145" i="6"/>
  <c r="AV76" i="6"/>
  <c r="AW169" i="6"/>
  <c r="DC70" i="6"/>
  <c r="DD145" i="6"/>
  <c r="EA69" i="6"/>
  <c r="EB140" i="6"/>
  <c r="DP72" i="6"/>
  <c r="DQ154" i="6"/>
  <c r="AG179" i="6"/>
  <c r="AG79" i="6" s="1"/>
  <c r="AF79" i="6"/>
  <c r="BU76" i="6"/>
  <c r="BV169" i="6"/>
  <c r="DD74" i="6"/>
  <c r="DE164" i="6"/>
  <c r="BT154" i="6"/>
  <c r="BS72" i="6"/>
  <c r="BH164" i="6"/>
  <c r="BG74" i="6"/>
  <c r="AI73" i="6"/>
  <c r="AJ159" i="6"/>
  <c r="CR154" i="6"/>
  <c r="CQ72" i="6"/>
  <c r="EC179" i="6"/>
  <c r="EB79" i="6"/>
  <c r="EC174" i="6"/>
  <c r="EB78" i="6"/>
  <c r="DE150" i="6"/>
  <c r="DD71" i="6"/>
  <c r="BG71" i="6"/>
  <c r="BH150" i="6"/>
  <c r="DP71" i="6"/>
  <c r="DQ150" i="6"/>
  <c r="AJ70" i="6"/>
  <c r="AK145" i="6"/>
  <c r="CS174" i="6"/>
  <c r="CR78" i="6"/>
  <c r="BT69" i="6"/>
  <c r="BU140" i="6"/>
  <c r="CE79" i="6"/>
  <c r="CF179" i="6"/>
  <c r="DC76" i="6"/>
  <c r="DD169" i="6"/>
  <c r="CE74" i="6"/>
  <c r="CF164" i="6"/>
  <c r="BT71" i="6"/>
  <c r="BU150" i="6"/>
  <c r="AI69" i="6"/>
  <c r="AJ140" i="6"/>
  <c r="CE76" i="6"/>
  <c r="CF169" i="6"/>
  <c r="CE73" i="6"/>
  <c r="CF159" i="6"/>
  <c r="AE73" i="6"/>
  <c r="AF159" i="6"/>
  <c r="AC25" i="70"/>
  <c r="M31" i="71"/>
  <c r="M128" i="71" s="1"/>
  <c r="M181" i="71"/>
  <c r="N178" i="71" s="1"/>
  <c r="AD165" i="71"/>
  <c r="EB70" i="6" l="1"/>
  <c r="EC145" i="6"/>
  <c r="AJ79" i="6"/>
  <c r="AK179" i="6"/>
  <c r="AJ76" i="6"/>
  <c r="AK169" i="6"/>
  <c r="CS74" i="6"/>
  <c r="CT164" i="6"/>
  <c r="DR169" i="6"/>
  <c r="DQ76" i="6"/>
  <c r="BJ174" i="6"/>
  <c r="BI78" i="6"/>
  <c r="ED174" i="6"/>
  <c r="EC78" i="6"/>
  <c r="BU73" i="6"/>
  <c r="BV159" i="6"/>
  <c r="DP79" i="6"/>
  <c r="DQ179" i="6"/>
  <c r="CH140" i="6"/>
  <c r="CG69" i="6"/>
  <c r="EC76" i="6"/>
  <c r="ED169" i="6"/>
  <c r="BV76" i="6"/>
  <c r="BW169" i="6"/>
  <c r="BH73" i="6"/>
  <c r="BI159" i="6"/>
  <c r="DD79" i="6"/>
  <c r="DE179" i="6"/>
  <c r="CF76" i="6"/>
  <c r="CG169" i="6"/>
  <c r="DQ72" i="6"/>
  <c r="DR154" i="6"/>
  <c r="CR76" i="6"/>
  <c r="CS169" i="6"/>
  <c r="DD78" i="6"/>
  <c r="DE174" i="6"/>
  <c r="EC73" i="6"/>
  <c r="ED159" i="6"/>
  <c r="CG71" i="6"/>
  <c r="CH150" i="6"/>
  <c r="CG72" i="6"/>
  <c r="CH154" i="6"/>
  <c r="AK164" i="6"/>
  <c r="AJ74" i="6"/>
  <c r="CS69" i="6"/>
  <c r="CT140" i="6"/>
  <c r="DD76" i="6"/>
  <c r="DE169" i="6"/>
  <c r="AK154" i="6"/>
  <c r="AJ72" i="6"/>
  <c r="AG145" i="6"/>
  <c r="AG70" i="6" s="1"/>
  <c r="AF70" i="6"/>
  <c r="CS154" i="6"/>
  <c r="CR72" i="6"/>
  <c r="BT70" i="6"/>
  <c r="BU145" i="6"/>
  <c r="CR73" i="6"/>
  <c r="CS159" i="6"/>
  <c r="CF73" i="6"/>
  <c r="CG159" i="6"/>
  <c r="DD69" i="6"/>
  <c r="DE140" i="6"/>
  <c r="BI79" i="6"/>
  <c r="BJ179" i="6"/>
  <c r="CR70" i="6"/>
  <c r="CS145" i="6"/>
  <c r="EB74" i="6"/>
  <c r="EC164" i="6"/>
  <c r="DF164" i="6"/>
  <c r="DE74" i="6"/>
  <c r="AL174" i="6"/>
  <c r="AK78" i="6"/>
  <c r="AV71" i="6"/>
  <c r="AW150" i="6"/>
  <c r="AL145" i="6"/>
  <c r="AK70" i="6"/>
  <c r="BI69" i="6"/>
  <c r="BJ140" i="6"/>
  <c r="CR71" i="6"/>
  <c r="CS150" i="6"/>
  <c r="CR79" i="6"/>
  <c r="CS179" i="6"/>
  <c r="EB72" i="6"/>
  <c r="EC154" i="6"/>
  <c r="CF79" i="6"/>
  <c r="CG179" i="6"/>
  <c r="BV140" i="6"/>
  <c r="BU69" i="6"/>
  <c r="ED179" i="6"/>
  <c r="EC79" i="6"/>
  <c r="AJ73" i="6"/>
  <c r="AK159" i="6"/>
  <c r="DP69" i="6"/>
  <c r="DQ140" i="6"/>
  <c r="DF159" i="6"/>
  <c r="DE73" i="6"/>
  <c r="DQ74" i="6"/>
  <c r="DR164" i="6"/>
  <c r="CF70" i="6"/>
  <c r="CG145" i="6"/>
  <c r="DR70" i="6"/>
  <c r="DS145" i="6"/>
  <c r="AW140" i="6"/>
  <c r="AV69" i="6"/>
  <c r="DD70" i="6"/>
  <c r="DE145" i="6"/>
  <c r="BT74" i="6"/>
  <c r="BU164" i="6"/>
  <c r="BU179" i="6"/>
  <c r="BT79" i="6"/>
  <c r="AW74" i="6"/>
  <c r="AX164" i="6"/>
  <c r="DF150" i="6"/>
  <c r="DE71" i="6"/>
  <c r="BH70" i="6"/>
  <c r="BI145" i="6"/>
  <c r="DQ159" i="6"/>
  <c r="DP73" i="6"/>
  <c r="AJ69" i="6"/>
  <c r="AK140" i="6"/>
  <c r="BV150" i="6"/>
  <c r="BU71" i="6"/>
  <c r="AW76" i="6"/>
  <c r="AX169" i="6"/>
  <c r="AF71" i="6"/>
  <c r="AG150" i="6"/>
  <c r="AG71" i="6" s="1"/>
  <c r="AW174" i="6"/>
  <c r="AV78" i="6"/>
  <c r="AF73" i="6"/>
  <c r="AG159" i="6"/>
  <c r="AG73" i="6" s="1"/>
  <c r="AJ71" i="6"/>
  <c r="AK150" i="6"/>
  <c r="AW145" i="6"/>
  <c r="AV70" i="6"/>
  <c r="BH72" i="6"/>
  <c r="BI154" i="6"/>
  <c r="AG169" i="6"/>
  <c r="AG76" i="6" s="1"/>
  <c r="AF76" i="6"/>
  <c r="CS78" i="6"/>
  <c r="CT174" i="6"/>
  <c r="EC140" i="6"/>
  <c r="EB69" i="6"/>
  <c r="AG140" i="6"/>
  <c r="AG69" i="6" s="1"/>
  <c r="AF69" i="6"/>
  <c r="DQ71" i="6"/>
  <c r="DR150" i="6"/>
  <c r="DD72" i="6"/>
  <c r="DE154" i="6"/>
  <c r="BI164" i="6"/>
  <c r="BH74" i="6"/>
  <c r="CG78" i="6"/>
  <c r="CH174" i="6"/>
  <c r="CG164" i="6"/>
  <c r="CF74" i="6"/>
  <c r="BH71" i="6"/>
  <c r="BI150" i="6"/>
  <c r="BT78" i="6"/>
  <c r="BU174" i="6"/>
  <c r="EC71" i="6"/>
  <c r="ED150" i="6"/>
  <c r="DP78" i="6"/>
  <c r="DQ174" i="6"/>
  <c r="AV72" i="6"/>
  <c r="AW154" i="6"/>
  <c r="BT72" i="6"/>
  <c r="BU154" i="6"/>
  <c r="AX179" i="6"/>
  <c r="AW79" i="6"/>
  <c r="BJ169" i="6"/>
  <c r="BI76" i="6"/>
  <c r="AG164" i="6"/>
  <c r="AG74" i="6" s="1"/>
  <c r="AF74" i="6"/>
  <c r="AX159" i="6"/>
  <c r="AW73" i="6"/>
  <c r="AD25" i="70"/>
  <c r="AE165" i="71"/>
  <c r="N183" i="71"/>
  <c r="N32" i="71" s="1"/>
  <c r="N129" i="71" s="1"/>
  <c r="N184" i="71"/>
  <c r="AX74" i="6" l="1"/>
  <c r="AY164" i="6"/>
  <c r="DS164" i="6"/>
  <c r="DR74" i="6"/>
  <c r="EC72" i="6"/>
  <c r="ED154" i="6"/>
  <c r="BU70" i="6"/>
  <c r="BV145" i="6"/>
  <c r="CH72" i="6"/>
  <c r="CI154" i="6"/>
  <c r="DF179" i="6"/>
  <c r="DE79" i="6"/>
  <c r="CH78" i="6"/>
  <c r="CI174" i="6"/>
  <c r="AX76" i="6"/>
  <c r="AY169" i="6"/>
  <c r="CS79" i="6"/>
  <c r="CT179" i="6"/>
  <c r="EC74" i="6"/>
  <c r="ED164" i="6"/>
  <c r="CH71" i="6"/>
  <c r="CI150" i="6"/>
  <c r="BI73" i="6"/>
  <c r="BJ159" i="6"/>
  <c r="DG164" i="6"/>
  <c r="DF74" i="6"/>
  <c r="CS71" i="6"/>
  <c r="CT150" i="6"/>
  <c r="DQ78" i="6"/>
  <c r="DR174" i="6"/>
  <c r="DF154" i="6"/>
  <c r="DE72" i="6"/>
  <c r="AK69" i="6"/>
  <c r="AL140" i="6"/>
  <c r="DF145" i="6"/>
  <c r="DE70" i="6"/>
  <c r="AL159" i="6"/>
  <c r="AK73" i="6"/>
  <c r="BJ69" i="6"/>
  <c r="BK140" i="6"/>
  <c r="BJ79" i="6"/>
  <c r="BK179" i="6"/>
  <c r="DE78" i="6"/>
  <c r="DF174" i="6"/>
  <c r="ED76" i="6"/>
  <c r="EE169" i="6"/>
  <c r="CT74" i="6"/>
  <c r="CU164" i="6"/>
  <c r="CT145" i="6"/>
  <c r="CS70" i="6"/>
  <c r="AX145" i="6"/>
  <c r="AW70" i="6"/>
  <c r="AL154" i="6"/>
  <c r="AK72" i="6"/>
  <c r="EE174" i="6"/>
  <c r="ED78" i="6"/>
  <c r="AX154" i="6"/>
  <c r="AW72" i="6"/>
  <c r="DF140" i="6"/>
  <c r="DE69" i="6"/>
  <c r="DE76" i="6"/>
  <c r="DF169" i="6"/>
  <c r="CS76" i="6"/>
  <c r="CT169" i="6"/>
  <c r="AK76" i="6"/>
  <c r="AL169" i="6"/>
  <c r="CG74" i="6"/>
  <c r="CH164" i="6"/>
  <c r="CS72" i="6"/>
  <c r="CT154" i="6"/>
  <c r="BW76" i="6"/>
  <c r="BX169" i="6"/>
  <c r="DR159" i="6"/>
  <c r="DQ73" i="6"/>
  <c r="AW69" i="6"/>
  <c r="AX140" i="6"/>
  <c r="EE179" i="6"/>
  <c r="ED79" i="6"/>
  <c r="AL70" i="6"/>
  <c r="AM145" i="6"/>
  <c r="CH69" i="6"/>
  <c r="CI140" i="6"/>
  <c r="AX79" i="6"/>
  <c r="AY179" i="6"/>
  <c r="BU79" i="6"/>
  <c r="BV179" i="6"/>
  <c r="BV164" i="6"/>
  <c r="BU74" i="6"/>
  <c r="BW150" i="6"/>
  <c r="BV71" i="6"/>
  <c r="CG73" i="6"/>
  <c r="CH159" i="6"/>
  <c r="CT69" i="6"/>
  <c r="CU140" i="6"/>
  <c r="DR72" i="6"/>
  <c r="DS154" i="6"/>
  <c r="DR179" i="6"/>
  <c r="DQ79" i="6"/>
  <c r="AL179" i="6"/>
  <c r="AK79" i="6"/>
  <c r="BV154" i="6"/>
  <c r="BU72" i="6"/>
  <c r="BI72" i="6"/>
  <c r="BJ154" i="6"/>
  <c r="BI74" i="6"/>
  <c r="BJ164" i="6"/>
  <c r="DS150" i="6"/>
  <c r="DR71" i="6"/>
  <c r="BI70" i="6"/>
  <c r="BJ145" i="6"/>
  <c r="BW140" i="6"/>
  <c r="BV69" i="6"/>
  <c r="EE159" i="6"/>
  <c r="ED73" i="6"/>
  <c r="AK71" i="6"/>
  <c r="AL150" i="6"/>
  <c r="DS70" i="6"/>
  <c r="DT145" i="6"/>
  <c r="CH145" i="6"/>
  <c r="CG70" i="6"/>
  <c r="CG76" i="6"/>
  <c r="CH169" i="6"/>
  <c r="BV73" i="6"/>
  <c r="BW159" i="6"/>
  <c r="ED145" i="6"/>
  <c r="EC70" i="6"/>
  <c r="CT78" i="6"/>
  <c r="CU174" i="6"/>
  <c r="DG159" i="6"/>
  <c r="DF73" i="6"/>
  <c r="BJ78" i="6"/>
  <c r="BK174" i="6"/>
  <c r="DQ69" i="6"/>
  <c r="DR140" i="6"/>
  <c r="DR76" i="6"/>
  <c r="DS169" i="6"/>
  <c r="EE150" i="6"/>
  <c r="ED71" i="6"/>
  <c r="AY159" i="6"/>
  <c r="AX73" i="6"/>
  <c r="BU78" i="6"/>
  <c r="BV174" i="6"/>
  <c r="AW71" i="6"/>
  <c r="AX150" i="6"/>
  <c r="BI71" i="6"/>
  <c r="BJ150" i="6"/>
  <c r="CG79" i="6"/>
  <c r="CH179" i="6"/>
  <c r="CT159" i="6"/>
  <c r="CS73" i="6"/>
  <c r="BK169" i="6"/>
  <c r="BJ76" i="6"/>
  <c r="ED140" i="6"/>
  <c r="EC69" i="6"/>
  <c r="AX174" i="6"/>
  <c r="AW78" i="6"/>
  <c r="DF71" i="6"/>
  <c r="DG150" i="6"/>
  <c r="AM174" i="6"/>
  <c r="AL78" i="6"/>
  <c r="AK74" i="6"/>
  <c r="AL164" i="6"/>
  <c r="AE25" i="70"/>
  <c r="N180" i="71"/>
  <c r="N31" i="71" s="1"/>
  <c r="N128" i="71" s="1"/>
  <c r="AF165" i="71"/>
  <c r="CT72" i="6" l="1"/>
  <c r="CU154" i="6"/>
  <c r="BL179" i="6"/>
  <c r="BK79" i="6"/>
  <c r="CT71" i="6"/>
  <c r="CU150" i="6"/>
  <c r="CJ174" i="6"/>
  <c r="CI78" i="6"/>
  <c r="AZ179" i="6"/>
  <c r="AY79" i="6"/>
  <c r="DR79" i="6"/>
  <c r="DS179" i="6"/>
  <c r="EE78" i="6"/>
  <c r="EF174" i="6"/>
  <c r="BW73" i="6"/>
  <c r="BX159" i="6"/>
  <c r="BK145" i="6"/>
  <c r="BJ70" i="6"/>
  <c r="DS72" i="6"/>
  <c r="DT154" i="6"/>
  <c r="CJ140" i="6"/>
  <c r="CI69" i="6"/>
  <c r="CI164" i="6"/>
  <c r="CH74" i="6"/>
  <c r="BL140" i="6"/>
  <c r="BK69" i="6"/>
  <c r="BK76" i="6"/>
  <c r="BL169" i="6"/>
  <c r="AL72" i="6"/>
  <c r="AM154" i="6"/>
  <c r="AN145" i="6"/>
  <c r="AM70" i="6"/>
  <c r="BJ73" i="6"/>
  <c r="BK159" i="6"/>
  <c r="CI72" i="6"/>
  <c r="CJ154" i="6"/>
  <c r="CT73" i="6"/>
  <c r="CU159" i="6"/>
  <c r="DT150" i="6"/>
  <c r="DS71" i="6"/>
  <c r="AX70" i="6"/>
  <c r="AY145" i="6"/>
  <c r="AL73" i="6"/>
  <c r="AM159" i="6"/>
  <c r="DH164" i="6"/>
  <c r="DG74" i="6"/>
  <c r="DS140" i="6"/>
  <c r="DR69" i="6"/>
  <c r="BJ74" i="6"/>
  <c r="BK164" i="6"/>
  <c r="CH73" i="6"/>
  <c r="CI159" i="6"/>
  <c r="CT76" i="6"/>
  <c r="CU169" i="6"/>
  <c r="CI71" i="6"/>
  <c r="CJ150" i="6"/>
  <c r="BV70" i="6"/>
  <c r="BW145" i="6"/>
  <c r="AY73" i="6"/>
  <c r="AZ159" i="6"/>
  <c r="CH76" i="6"/>
  <c r="CI169" i="6"/>
  <c r="CI145" i="6"/>
  <c r="CH70" i="6"/>
  <c r="EF179" i="6"/>
  <c r="EE79" i="6"/>
  <c r="CT70" i="6"/>
  <c r="CU145" i="6"/>
  <c r="DG145" i="6"/>
  <c r="DF70" i="6"/>
  <c r="EE71" i="6"/>
  <c r="EF150" i="6"/>
  <c r="BJ71" i="6"/>
  <c r="BK150" i="6"/>
  <c r="CU74" i="6"/>
  <c r="CV164" i="6"/>
  <c r="AM140" i="6"/>
  <c r="AL69" i="6"/>
  <c r="EE164" i="6"/>
  <c r="ED74" i="6"/>
  <c r="EE154" i="6"/>
  <c r="ED72" i="6"/>
  <c r="ED70" i="6"/>
  <c r="EE145" i="6"/>
  <c r="AL74" i="6"/>
  <c r="AM164" i="6"/>
  <c r="AY140" i="6"/>
  <c r="AX69" i="6"/>
  <c r="AN174" i="6"/>
  <c r="AM78" i="6"/>
  <c r="BW71" i="6"/>
  <c r="BX150" i="6"/>
  <c r="DF79" i="6"/>
  <c r="DG179" i="6"/>
  <c r="BK78" i="6"/>
  <c r="BL174" i="6"/>
  <c r="AY150" i="6"/>
  <c r="AX71" i="6"/>
  <c r="AM150" i="6"/>
  <c r="AL71" i="6"/>
  <c r="EF169" i="6"/>
  <c r="EE76" i="6"/>
  <c r="CU179" i="6"/>
  <c r="CT79" i="6"/>
  <c r="BX140" i="6"/>
  <c r="BW69" i="6"/>
  <c r="CV140" i="6"/>
  <c r="CU69" i="6"/>
  <c r="BJ72" i="6"/>
  <c r="BK154" i="6"/>
  <c r="DR73" i="6"/>
  <c r="DS159" i="6"/>
  <c r="DG140" i="6"/>
  <c r="DF69" i="6"/>
  <c r="DF72" i="6"/>
  <c r="DG154" i="6"/>
  <c r="DT164" i="6"/>
  <c r="DS74" i="6"/>
  <c r="AL76" i="6"/>
  <c r="AM169" i="6"/>
  <c r="DG169" i="6"/>
  <c r="DF76" i="6"/>
  <c r="BV78" i="6"/>
  <c r="BW174" i="6"/>
  <c r="BX76" i="6"/>
  <c r="BY169" i="6"/>
  <c r="DR78" i="6"/>
  <c r="DS174" i="6"/>
  <c r="AZ169" i="6"/>
  <c r="AY76" i="6"/>
  <c r="AY74" i="6"/>
  <c r="AZ164" i="6"/>
  <c r="ED69" i="6"/>
  <c r="EE140" i="6"/>
  <c r="DT169" i="6"/>
  <c r="DS76" i="6"/>
  <c r="CI179" i="6"/>
  <c r="CH79" i="6"/>
  <c r="DT70" i="6"/>
  <c r="DU145" i="6"/>
  <c r="DG71" i="6"/>
  <c r="DH150" i="6"/>
  <c r="DG73" i="6"/>
  <c r="DH159" i="6"/>
  <c r="BV72" i="6"/>
  <c r="BW154" i="6"/>
  <c r="BV74" i="6"/>
  <c r="BW164" i="6"/>
  <c r="CV174" i="6"/>
  <c r="CU78" i="6"/>
  <c r="BV79" i="6"/>
  <c r="BW179" i="6"/>
  <c r="DF78" i="6"/>
  <c r="DG174" i="6"/>
  <c r="AX78" i="6"/>
  <c r="AY174" i="6"/>
  <c r="EE73" i="6"/>
  <c r="EF159" i="6"/>
  <c r="AL79" i="6"/>
  <c r="AM179" i="6"/>
  <c r="AY154" i="6"/>
  <c r="AX72" i="6"/>
  <c r="AF25" i="70"/>
  <c r="N181" i="71"/>
  <c r="O178" i="71" s="1"/>
  <c r="O183" i="71" s="1"/>
  <c r="O32" i="71" s="1"/>
  <c r="AG165" i="71"/>
  <c r="N162" i="69"/>
  <c r="BZ169" i="6" l="1"/>
  <c r="BY76" i="6"/>
  <c r="CK150" i="6"/>
  <c r="CJ71" i="6"/>
  <c r="AZ145" i="6"/>
  <c r="AY70" i="6"/>
  <c r="BM169" i="6"/>
  <c r="BL76" i="6"/>
  <c r="EG174" i="6"/>
  <c r="EF78" i="6"/>
  <c r="EE72" i="6"/>
  <c r="EF154" i="6"/>
  <c r="DT71" i="6"/>
  <c r="DU150" i="6"/>
  <c r="BL69" i="6"/>
  <c r="BM140" i="6"/>
  <c r="DT179" i="6"/>
  <c r="DS79" i="6"/>
  <c r="CV159" i="6"/>
  <c r="CU73" i="6"/>
  <c r="CW174" i="6"/>
  <c r="CV78" i="6"/>
  <c r="DU169" i="6"/>
  <c r="DT76" i="6"/>
  <c r="DH169" i="6"/>
  <c r="DG76" i="6"/>
  <c r="CV69" i="6"/>
  <c r="CW140" i="6"/>
  <c r="EE74" i="6"/>
  <c r="EF164" i="6"/>
  <c r="EF79" i="6"/>
  <c r="EG179" i="6"/>
  <c r="CI74" i="6"/>
  <c r="CJ164" i="6"/>
  <c r="AZ79" i="6"/>
  <c r="BA179" i="6"/>
  <c r="AY71" i="6"/>
  <c r="AZ150" i="6"/>
  <c r="BW74" i="6"/>
  <c r="BX164" i="6"/>
  <c r="EE69" i="6"/>
  <c r="EF140" i="6"/>
  <c r="AM76" i="6"/>
  <c r="AN169" i="6"/>
  <c r="BY150" i="6"/>
  <c r="BX71" i="6"/>
  <c r="BL164" i="6"/>
  <c r="BK74" i="6"/>
  <c r="CJ72" i="6"/>
  <c r="CK154" i="6"/>
  <c r="CU70" i="6"/>
  <c r="CV145" i="6"/>
  <c r="AM69" i="6"/>
  <c r="AN140" i="6"/>
  <c r="CI70" i="6"/>
  <c r="CJ145" i="6"/>
  <c r="CJ69" i="6"/>
  <c r="CK140" i="6"/>
  <c r="CJ78" i="6"/>
  <c r="CK174" i="6"/>
  <c r="DS73" i="6"/>
  <c r="DT159" i="6"/>
  <c r="BL154" i="6"/>
  <c r="BK72" i="6"/>
  <c r="DG79" i="6"/>
  <c r="DH179" i="6"/>
  <c r="AM79" i="6"/>
  <c r="AN179" i="6"/>
  <c r="CW164" i="6"/>
  <c r="CV74" i="6"/>
  <c r="CI76" i="6"/>
  <c r="CJ169" i="6"/>
  <c r="BK73" i="6"/>
  <c r="BL159" i="6"/>
  <c r="DU154" i="6"/>
  <c r="DT72" i="6"/>
  <c r="CV150" i="6"/>
  <c r="CU71" i="6"/>
  <c r="DH145" i="6"/>
  <c r="DG70" i="6"/>
  <c r="AY72" i="6"/>
  <c r="AZ154" i="6"/>
  <c r="DT74" i="6"/>
  <c r="DU164" i="6"/>
  <c r="CU79" i="6"/>
  <c r="CV179" i="6"/>
  <c r="AO174" i="6"/>
  <c r="AN78" i="6"/>
  <c r="DS69" i="6"/>
  <c r="DT140" i="6"/>
  <c r="EF145" i="6"/>
  <c r="EE70" i="6"/>
  <c r="BM174" i="6"/>
  <c r="BL78" i="6"/>
  <c r="DI159" i="6"/>
  <c r="DH73" i="6"/>
  <c r="DG72" i="6"/>
  <c r="DH154" i="6"/>
  <c r="BK71" i="6"/>
  <c r="BL150" i="6"/>
  <c r="AZ73" i="6"/>
  <c r="BA159" i="6"/>
  <c r="CU76" i="6"/>
  <c r="CV169" i="6"/>
  <c r="AZ74" i="6"/>
  <c r="BA164" i="6"/>
  <c r="AZ140" i="6"/>
  <c r="AY69" i="6"/>
  <c r="DH74" i="6"/>
  <c r="DI164" i="6"/>
  <c r="AN70" i="6"/>
  <c r="AO145" i="6"/>
  <c r="BK70" i="6"/>
  <c r="BL145" i="6"/>
  <c r="BM179" i="6"/>
  <c r="BL79" i="6"/>
  <c r="DG78" i="6"/>
  <c r="DH174" i="6"/>
  <c r="BX174" i="6"/>
  <c r="BW78" i="6"/>
  <c r="CJ159" i="6"/>
  <c r="CI73" i="6"/>
  <c r="BX154" i="6"/>
  <c r="BW72" i="6"/>
  <c r="AM74" i="6"/>
  <c r="AN164" i="6"/>
  <c r="AM73" i="6"/>
  <c r="AN159" i="6"/>
  <c r="BX73" i="6"/>
  <c r="BY159" i="6"/>
  <c r="CU72" i="6"/>
  <c r="CV154" i="6"/>
  <c r="DU70" i="6"/>
  <c r="DV145" i="6"/>
  <c r="BX179" i="6"/>
  <c r="BW79" i="6"/>
  <c r="CI79" i="6"/>
  <c r="CJ179" i="6"/>
  <c r="BY140" i="6"/>
  <c r="BX69" i="6"/>
  <c r="EG159" i="6"/>
  <c r="EF73" i="6"/>
  <c r="AZ76" i="6"/>
  <c r="BA169" i="6"/>
  <c r="EF76" i="6"/>
  <c r="EG169" i="6"/>
  <c r="AZ174" i="6"/>
  <c r="AY78" i="6"/>
  <c r="DI150" i="6"/>
  <c r="DH71" i="6"/>
  <c r="DT174" i="6"/>
  <c r="DS78" i="6"/>
  <c r="EG150" i="6"/>
  <c r="EF71" i="6"/>
  <c r="BW70" i="6"/>
  <c r="BX145" i="6"/>
  <c r="AM72" i="6"/>
  <c r="AN154" i="6"/>
  <c r="DH140" i="6"/>
  <c r="DG69" i="6"/>
  <c r="AM71" i="6"/>
  <c r="AN150" i="6"/>
  <c r="AG25" i="70"/>
  <c r="O184" i="71"/>
  <c r="O180" i="71" s="1"/>
  <c r="O31" i="71" s="1"/>
  <c r="O128" i="71" s="1"/>
  <c r="AH165" i="71"/>
  <c r="O129" i="71"/>
  <c r="AN74" i="6" l="1"/>
  <c r="AO164" i="6"/>
  <c r="AP145" i="6"/>
  <c r="AO70" i="6"/>
  <c r="DH72" i="6"/>
  <c r="DI154" i="6"/>
  <c r="DU74" i="6"/>
  <c r="DV164" i="6"/>
  <c r="CJ70" i="6"/>
  <c r="CK145" i="6"/>
  <c r="EG140" i="6"/>
  <c r="EF69" i="6"/>
  <c r="CW69" i="6"/>
  <c r="CX140" i="6"/>
  <c r="DU71" i="6"/>
  <c r="DV150" i="6"/>
  <c r="BA154" i="6"/>
  <c r="AZ72" i="6"/>
  <c r="AO179" i="6"/>
  <c r="AN79" i="6"/>
  <c r="AN69" i="6"/>
  <c r="AO140" i="6"/>
  <c r="BX74" i="6"/>
  <c r="BY164" i="6"/>
  <c r="EF72" i="6"/>
  <c r="EG154" i="6"/>
  <c r="DU174" i="6"/>
  <c r="DT78" i="6"/>
  <c r="BY154" i="6"/>
  <c r="BX72" i="6"/>
  <c r="DJ159" i="6"/>
  <c r="DI73" i="6"/>
  <c r="DH76" i="6"/>
  <c r="DI169" i="6"/>
  <c r="BY69" i="6"/>
  <c r="BZ140" i="6"/>
  <c r="BX79" i="6"/>
  <c r="BY179" i="6"/>
  <c r="BA140" i="6"/>
  <c r="AZ69" i="6"/>
  <c r="BM78" i="6"/>
  <c r="BN174" i="6"/>
  <c r="DH70" i="6"/>
  <c r="DI145" i="6"/>
  <c r="DV169" i="6"/>
  <c r="DU76" i="6"/>
  <c r="EG78" i="6"/>
  <c r="EH174" i="6"/>
  <c r="EH78" i="6" s="1"/>
  <c r="EG25" i="70" s="1"/>
  <c r="DW145" i="6"/>
  <c r="DV70" i="6"/>
  <c r="BB164" i="6"/>
  <c r="BA74" i="6"/>
  <c r="CL154" i="6"/>
  <c r="CK72" i="6"/>
  <c r="BB179" i="6"/>
  <c r="BA79" i="6"/>
  <c r="CJ79" i="6"/>
  <c r="CK179" i="6"/>
  <c r="DI71" i="6"/>
  <c r="DJ150" i="6"/>
  <c r="EF70" i="6"/>
  <c r="EG145" i="6"/>
  <c r="CW150" i="6"/>
  <c r="CV71" i="6"/>
  <c r="BM154" i="6"/>
  <c r="BL72" i="6"/>
  <c r="CX174" i="6"/>
  <c r="CW78" i="6"/>
  <c r="BN169" i="6"/>
  <c r="BM76" i="6"/>
  <c r="BA150" i="6"/>
  <c r="AZ71" i="6"/>
  <c r="BX78" i="6"/>
  <c r="BY174" i="6"/>
  <c r="CV76" i="6"/>
  <c r="CW169" i="6"/>
  <c r="DU140" i="6"/>
  <c r="DT69" i="6"/>
  <c r="DT73" i="6"/>
  <c r="DU159" i="6"/>
  <c r="CK164" i="6"/>
  <c r="CJ74" i="6"/>
  <c r="DJ164" i="6"/>
  <c r="DI74" i="6"/>
  <c r="AN71" i="6"/>
  <c r="AO150" i="6"/>
  <c r="DI140" i="6"/>
  <c r="DH69" i="6"/>
  <c r="DV154" i="6"/>
  <c r="DU72" i="6"/>
  <c r="BM164" i="6"/>
  <c r="BL74" i="6"/>
  <c r="CW159" i="6"/>
  <c r="CV73" i="6"/>
  <c r="BA145" i="6"/>
  <c r="AZ70" i="6"/>
  <c r="CX164" i="6"/>
  <c r="CW74" i="6"/>
  <c r="EG76" i="6"/>
  <c r="EH169" i="6"/>
  <c r="EH76" i="6" s="1"/>
  <c r="BZ159" i="6"/>
  <c r="BY73" i="6"/>
  <c r="BA73" i="6"/>
  <c r="BB159" i="6"/>
  <c r="BM159" i="6"/>
  <c r="BL73" i="6"/>
  <c r="CL174" i="6"/>
  <c r="CK78" i="6"/>
  <c r="EH179" i="6"/>
  <c r="EH79" i="6" s="1"/>
  <c r="EG79" i="6"/>
  <c r="DH78" i="6"/>
  <c r="DI174" i="6"/>
  <c r="BY71" i="6"/>
  <c r="BZ150" i="6"/>
  <c r="DU179" i="6"/>
  <c r="DT79" i="6"/>
  <c r="CK71" i="6"/>
  <c r="CL150" i="6"/>
  <c r="EH150" i="6"/>
  <c r="EH71" i="6" s="1"/>
  <c r="EG71" i="6"/>
  <c r="CV70" i="6"/>
  <c r="CW145" i="6"/>
  <c r="BA174" i="6"/>
  <c r="AZ78" i="6"/>
  <c r="BB169" i="6"/>
  <c r="BA76" i="6"/>
  <c r="AO159" i="6"/>
  <c r="AN73" i="6"/>
  <c r="CJ76" i="6"/>
  <c r="CK169" i="6"/>
  <c r="EF74" i="6"/>
  <c r="EG164" i="6"/>
  <c r="BM69" i="6"/>
  <c r="BN140" i="6"/>
  <c r="DH79" i="6"/>
  <c r="DI179" i="6"/>
  <c r="CJ73" i="6"/>
  <c r="CK159" i="6"/>
  <c r="CV72" i="6"/>
  <c r="CW154" i="6"/>
  <c r="AO154" i="6"/>
  <c r="AN72" i="6"/>
  <c r="BM79" i="6"/>
  <c r="BN179" i="6"/>
  <c r="AO78" i="6"/>
  <c r="AP174" i="6"/>
  <c r="BX70" i="6"/>
  <c r="BY145" i="6"/>
  <c r="BL70" i="6"/>
  <c r="BM145" i="6"/>
  <c r="BL71" i="6"/>
  <c r="BM150" i="6"/>
  <c r="CV79" i="6"/>
  <c r="CW179" i="6"/>
  <c r="CK69" i="6"/>
  <c r="CL140" i="6"/>
  <c r="AO169" i="6"/>
  <c r="AN76" i="6"/>
  <c r="EH159" i="6"/>
  <c r="EH73" i="6" s="1"/>
  <c r="EG73" i="6"/>
  <c r="BZ76" i="6"/>
  <c r="CA169" i="6"/>
  <c r="AH25" i="70"/>
  <c r="O181" i="71"/>
  <c r="P178" i="71" s="1"/>
  <c r="P183" i="71" s="1"/>
  <c r="P32" i="71" s="1"/>
  <c r="P129" i="71" s="1"/>
  <c r="AI165" i="71"/>
  <c r="O162" i="69" s="1"/>
  <c r="EG165" i="71" l="1"/>
  <c r="CY140" i="6"/>
  <c r="CX69" i="6"/>
  <c r="BC169" i="6"/>
  <c r="BB76" i="6"/>
  <c r="BM72" i="6"/>
  <c r="BN154" i="6"/>
  <c r="BO174" i="6"/>
  <c r="BN78" i="6"/>
  <c r="CK73" i="6"/>
  <c r="CL159" i="6"/>
  <c r="CY174" i="6"/>
  <c r="CX78" i="6"/>
  <c r="CW25" i="70" s="1"/>
  <c r="DI79" i="6"/>
  <c r="DJ179" i="6"/>
  <c r="BC164" i="6"/>
  <c r="BB74" i="6"/>
  <c r="BZ69" i="6"/>
  <c r="CA140" i="6"/>
  <c r="AP140" i="6"/>
  <c r="AO69" i="6"/>
  <c r="DW164" i="6"/>
  <c r="DV74" i="6"/>
  <c r="CW72" i="6"/>
  <c r="CX154" i="6"/>
  <c r="BN76" i="6"/>
  <c r="BO169" i="6"/>
  <c r="BB174" i="6"/>
  <c r="BA78" i="6"/>
  <c r="BA69" i="6"/>
  <c r="BB140" i="6"/>
  <c r="DV159" i="6"/>
  <c r="DU73" i="6"/>
  <c r="CM174" i="6"/>
  <c r="CL78" i="6"/>
  <c r="BN159" i="6"/>
  <c r="BM73" i="6"/>
  <c r="DW70" i="6"/>
  <c r="DX145" i="6"/>
  <c r="DJ174" i="6"/>
  <c r="DI78" i="6"/>
  <c r="BM71" i="6"/>
  <c r="BN150" i="6"/>
  <c r="BB145" i="6"/>
  <c r="BA70" i="6"/>
  <c r="BY74" i="6"/>
  <c r="BZ164" i="6"/>
  <c r="DI76" i="6"/>
  <c r="DJ169" i="6"/>
  <c r="DJ154" i="6"/>
  <c r="DI72" i="6"/>
  <c r="CY164" i="6"/>
  <c r="CX74" i="6"/>
  <c r="BZ179" i="6"/>
  <c r="BY79" i="6"/>
  <c r="BY70" i="6"/>
  <c r="BZ145" i="6"/>
  <c r="CW71" i="6"/>
  <c r="CX150" i="6"/>
  <c r="AO79" i="6"/>
  <c r="AP179" i="6"/>
  <c r="DV174" i="6"/>
  <c r="DU78" i="6"/>
  <c r="BM70" i="6"/>
  <c r="BN145" i="6"/>
  <c r="CB169" i="6"/>
  <c r="CA76" i="6"/>
  <c r="EG74" i="6"/>
  <c r="EH164" i="6"/>
  <c r="EH74" i="6" s="1"/>
  <c r="BB79" i="6"/>
  <c r="BC179" i="6"/>
  <c r="EG69" i="6"/>
  <c r="EH140" i="6"/>
  <c r="EH69" i="6" s="1"/>
  <c r="CX159" i="6"/>
  <c r="CW73" i="6"/>
  <c r="CX179" i="6"/>
  <c r="CW79" i="6"/>
  <c r="DJ74" i="6"/>
  <c r="DK164" i="6"/>
  <c r="EG72" i="6"/>
  <c r="EH154" i="6"/>
  <c r="EH72" i="6" s="1"/>
  <c r="CM154" i="6"/>
  <c r="CL72" i="6"/>
  <c r="BO140" i="6"/>
  <c r="BN69" i="6"/>
  <c r="BN164" i="6"/>
  <c r="BM74" i="6"/>
  <c r="AP78" i="6"/>
  <c r="AO25" i="70" s="1"/>
  <c r="AQ174" i="6"/>
  <c r="BB73" i="6"/>
  <c r="BC159" i="6"/>
  <c r="CW76" i="6"/>
  <c r="CX169" i="6"/>
  <c r="DW154" i="6"/>
  <c r="DV72" i="6"/>
  <c r="CL169" i="6"/>
  <c r="CK76" i="6"/>
  <c r="BY78" i="6"/>
  <c r="BZ174" i="6"/>
  <c r="AO76" i="6"/>
  <c r="AP169" i="6"/>
  <c r="BZ73" i="6"/>
  <c r="CA159" i="6"/>
  <c r="DW169" i="6"/>
  <c r="DV76" i="6"/>
  <c r="BA72" i="6"/>
  <c r="BB154" i="6"/>
  <c r="CL69" i="6"/>
  <c r="CM140" i="6"/>
  <c r="AO71" i="6"/>
  <c r="AP150" i="6"/>
  <c r="CK79" i="6"/>
  <c r="CL179" i="6"/>
  <c r="DJ145" i="6"/>
  <c r="DI70" i="6"/>
  <c r="DW150" i="6"/>
  <c r="DV71" i="6"/>
  <c r="AP164" i="6"/>
  <c r="AO74" i="6"/>
  <c r="CK74" i="6"/>
  <c r="CL164" i="6"/>
  <c r="CX145" i="6"/>
  <c r="CW70" i="6"/>
  <c r="CL145" i="6"/>
  <c r="CK70" i="6"/>
  <c r="DV140" i="6"/>
  <c r="DU69" i="6"/>
  <c r="CL71" i="6"/>
  <c r="CM150" i="6"/>
  <c r="EH145" i="6"/>
  <c r="EH70" i="6" s="1"/>
  <c r="EG70" i="6"/>
  <c r="BN79" i="6"/>
  <c r="BO179" i="6"/>
  <c r="DJ71" i="6"/>
  <c r="DK150" i="6"/>
  <c r="DU79" i="6"/>
  <c r="DV179" i="6"/>
  <c r="DJ140" i="6"/>
  <c r="DI69" i="6"/>
  <c r="DJ73" i="6"/>
  <c r="DK159" i="6"/>
  <c r="AP70" i="6"/>
  <c r="AQ145" i="6"/>
  <c r="CA150" i="6"/>
  <c r="BZ71" i="6"/>
  <c r="AO72" i="6"/>
  <c r="AP154" i="6"/>
  <c r="AP159" i="6"/>
  <c r="AO73" i="6"/>
  <c r="BB150" i="6"/>
  <c r="BA71" i="6"/>
  <c r="BY72" i="6"/>
  <c r="BZ154" i="6"/>
  <c r="AI25" i="70"/>
  <c r="P184" i="71"/>
  <c r="P180" i="71" s="1"/>
  <c r="BM165" i="71"/>
  <c r="CK165" i="71"/>
  <c r="AJ165" i="71"/>
  <c r="I162" i="69"/>
  <c r="G162" i="69"/>
  <c r="F160" i="68"/>
  <c r="H162" i="69"/>
  <c r="K162" i="69"/>
  <c r="G160" i="68"/>
  <c r="L162" i="69"/>
  <c r="M162" i="69"/>
  <c r="BC79" i="6" l="1"/>
  <c r="BD179" i="6"/>
  <c r="BC74" i="6"/>
  <c r="BD164" i="6"/>
  <c r="BC76" i="6"/>
  <c r="BD169" i="6"/>
  <c r="BC73" i="6"/>
  <c r="BD159" i="6"/>
  <c r="AO165" i="71"/>
  <c r="CW165" i="71"/>
  <c r="DL159" i="6"/>
  <c r="DK73" i="6"/>
  <c r="CA145" i="6"/>
  <c r="BZ70" i="6"/>
  <c r="BN71" i="6"/>
  <c r="BO150" i="6"/>
  <c r="DK179" i="6"/>
  <c r="DJ79" i="6"/>
  <c r="BP140" i="6"/>
  <c r="BO69" i="6"/>
  <c r="BB78" i="6"/>
  <c r="BC174" i="6"/>
  <c r="BZ72" i="6"/>
  <c r="CA154" i="6"/>
  <c r="AQ150" i="6"/>
  <c r="AP71" i="6"/>
  <c r="BP169" i="6"/>
  <c r="BO76" i="6"/>
  <c r="DK174" i="6"/>
  <c r="DJ78" i="6"/>
  <c r="DV79" i="6"/>
  <c r="DW179" i="6"/>
  <c r="CN140" i="6"/>
  <c r="CM69" i="6"/>
  <c r="DX70" i="6"/>
  <c r="DY145" i="6"/>
  <c r="DY70" i="6" s="1"/>
  <c r="CY154" i="6"/>
  <c r="CX72" i="6"/>
  <c r="CL73" i="6"/>
  <c r="CM159" i="6"/>
  <c r="DW140" i="6"/>
  <c r="DV69" i="6"/>
  <c r="CM72" i="6"/>
  <c r="CN154" i="6"/>
  <c r="DW72" i="6"/>
  <c r="DX154" i="6"/>
  <c r="CB76" i="6"/>
  <c r="CC169" i="6"/>
  <c r="CC76" i="6" s="1"/>
  <c r="CZ164" i="6"/>
  <c r="CY74" i="6"/>
  <c r="CA174" i="6"/>
  <c r="BZ78" i="6"/>
  <c r="BZ79" i="6"/>
  <c r="CA179" i="6"/>
  <c r="CL74" i="6"/>
  <c r="CM164" i="6"/>
  <c r="CX76" i="6"/>
  <c r="CY169" i="6"/>
  <c r="DK74" i="6"/>
  <c r="DL164" i="6"/>
  <c r="BO145" i="6"/>
  <c r="BN70" i="6"/>
  <c r="DK154" i="6"/>
  <c r="DJ72" i="6"/>
  <c r="DX164" i="6"/>
  <c r="DW74" i="6"/>
  <c r="BP174" i="6"/>
  <c r="BO78" i="6"/>
  <c r="CL76" i="6"/>
  <c r="CM169" i="6"/>
  <c r="DL150" i="6"/>
  <c r="DK71" i="6"/>
  <c r="BC154" i="6"/>
  <c r="BB72" i="6"/>
  <c r="AQ159" i="6"/>
  <c r="AP73" i="6"/>
  <c r="BO159" i="6"/>
  <c r="BN73" i="6"/>
  <c r="AP72" i="6"/>
  <c r="AQ154" i="6"/>
  <c r="BO79" i="6"/>
  <c r="BP179" i="6"/>
  <c r="DJ76" i="6"/>
  <c r="DK169" i="6"/>
  <c r="BN72" i="6"/>
  <c r="BO154" i="6"/>
  <c r="CM179" i="6"/>
  <c r="CL79" i="6"/>
  <c r="DJ69" i="6"/>
  <c r="DK140" i="6"/>
  <c r="BC150" i="6"/>
  <c r="BB71" i="6"/>
  <c r="CY179" i="6"/>
  <c r="CX79" i="6"/>
  <c r="DW174" i="6"/>
  <c r="DV78" i="6"/>
  <c r="DU165" i="71" s="1"/>
  <c r="CN174" i="6"/>
  <c r="CM78" i="6"/>
  <c r="AP69" i="6"/>
  <c r="AQ140" i="6"/>
  <c r="CA73" i="6"/>
  <c r="CB159" i="6"/>
  <c r="AQ78" i="6"/>
  <c r="AP25" i="70" s="1"/>
  <c r="AR174" i="6"/>
  <c r="AP79" i="6"/>
  <c r="AQ179" i="6"/>
  <c r="CA164" i="6"/>
  <c r="BZ74" i="6"/>
  <c r="CA69" i="6"/>
  <c r="CB140" i="6"/>
  <c r="DW76" i="6"/>
  <c r="DX169" i="6"/>
  <c r="DX150" i="6"/>
  <c r="DW71" i="6"/>
  <c r="CX73" i="6"/>
  <c r="CY159" i="6"/>
  <c r="DW159" i="6"/>
  <c r="DV73" i="6"/>
  <c r="CM145" i="6"/>
  <c r="CL70" i="6"/>
  <c r="CX70" i="6"/>
  <c r="CY145" i="6"/>
  <c r="AQ164" i="6"/>
  <c r="AP74" i="6"/>
  <c r="AR145" i="6"/>
  <c r="AQ70" i="6"/>
  <c r="AP76" i="6"/>
  <c r="AQ169" i="6"/>
  <c r="CX71" i="6"/>
  <c r="CY150" i="6"/>
  <c r="BC140" i="6"/>
  <c r="BB69" i="6"/>
  <c r="CZ174" i="6"/>
  <c r="CY78" i="6"/>
  <c r="CX25" i="70" s="1"/>
  <c r="CA71" i="6"/>
  <c r="CB150" i="6"/>
  <c r="CM71" i="6"/>
  <c r="CN150" i="6"/>
  <c r="DK145" i="6"/>
  <c r="DJ70" i="6"/>
  <c r="BN74" i="6"/>
  <c r="BO164" i="6"/>
  <c r="BC145" i="6"/>
  <c r="BB70" i="6"/>
  <c r="CZ140" i="6"/>
  <c r="CY69" i="6"/>
  <c r="BM25" i="70"/>
  <c r="AJ25" i="70"/>
  <c r="CK25" i="70"/>
  <c r="AK165" i="71"/>
  <c r="P31" i="71"/>
  <c r="P128" i="71" s="1"/>
  <c r="P181" i="71"/>
  <c r="Q178" i="71" s="1"/>
  <c r="AK25" i="70"/>
  <c r="BN165" i="71" l="1"/>
  <c r="BN25" i="70"/>
  <c r="CL25" i="70"/>
  <c r="CL165" i="71"/>
  <c r="BD73" i="6"/>
  <c r="BE159" i="6"/>
  <c r="BE73" i="6" s="1"/>
  <c r="BC78" i="6"/>
  <c r="BB25" i="70" s="1"/>
  <c r="BD174" i="6"/>
  <c r="BD76" i="6"/>
  <c r="BE169" i="6"/>
  <c r="BE76" i="6" s="1"/>
  <c r="BD74" i="6"/>
  <c r="BE164" i="6"/>
  <c r="BE74" i="6" s="1"/>
  <c r="BC70" i="6"/>
  <c r="BD145" i="6"/>
  <c r="BC69" i="6"/>
  <c r="BD140" i="6"/>
  <c r="BC71" i="6"/>
  <c r="BD150" i="6"/>
  <c r="BD79" i="6"/>
  <c r="BE179" i="6"/>
  <c r="BE79" i="6" s="1"/>
  <c r="AP165" i="71"/>
  <c r="BC72" i="6"/>
  <c r="BD154" i="6"/>
  <c r="DU25" i="70"/>
  <c r="BA25" i="70"/>
  <c r="BA165" i="71"/>
  <c r="DI25" i="70"/>
  <c r="DI165" i="71"/>
  <c r="BB165" i="71"/>
  <c r="CX165" i="71"/>
  <c r="BY25" i="70"/>
  <c r="BY165" i="71"/>
  <c r="CA72" i="6"/>
  <c r="CB154" i="6"/>
  <c r="DX74" i="6"/>
  <c r="DY164" i="6"/>
  <c r="DY74" i="6" s="1"/>
  <c r="CN145" i="6"/>
  <c r="CM70" i="6"/>
  <c r="BO73" i="6"/>
  <c r="BP159" i="6"/>
  <c r="DL154" i="6"/>
  <c r="DK72" i="6"/>
  <c r="CZ74" i="6"/>
  <c r="DA164" i="6"/>
  <c r="DA74" i="6" s="1"/>
  <c r="CC150" i="6"/>
  <c r="CC71" i="6" s="1"/>
  <c r="CB71" i="6"/>
  <c r="DK69" i="6"/>
  <c r="DL140" i="6"/>
  <c r="CZ145" i="6"/>
  <c r="CY70" i="6"/>
  <c r="AQ73" i="6"/>
  <c r="AR159" i="6"/>
  <c r="BO70" i="6"/>
  <c r="BP145" i="6"/>
  <c r="CN69" i="6"/>
  <c r="CO140" i="6"/>
  <c r="CO69" i="6" s="1"/>
  <c r="BP69" i="6"/>
  <c r="BQ140" i="6"/>
  <c r="BQ69" i="6" s="1"/>
  <c r="CY73" i="6"/>
  <c r="CZ159" i="6"/>
  <c r="DM164" i="6"/>
  <c r="DM74" i="6" s="1"/>
  <c r="DL74" i="6"/>
  <c r="DY154" i="6"/>
  <c r="DY72" i="6" s="1"/>
  <c r="DX72" i="6"/>
  <c r="DW79" i="6"/>
  <c r="DX179" i="6"/>
  <c r="CY71" i="6"/>
  <c r="CZ150" i="6"/>
  <c r="CC159" i="6"/>
  <c r="CC73" i="6" s="1"/>
  <c r="CB73" i="6"/>
  <c r="CN179" i="6"/>
  <c r="CM79" i="6"/>
  <c r="DK79" i="6"/>
  <c r="DL179" i="6"/>
  <c r="AQ72" i="6"/>
  <c r="AR154" i="6"/>
  <c r="CZ169" i="6"/>
  <c r="CY76" i="6"/>
  <c r="CO154" i="6"/>
  <c r="CO72" i="6" s="1"/>
  <c r="CN72" i="6"/>
  <c r="BP150" i="6"/>
  <c r="BO71" i="6"/>
  <c r="CZ179" i="6"/>
  <c r="CY79" i="6"/>
  <c r="CZ78" i="6"/>
  <c r="CY25" i="70" s="1"/>
  <c r="DA174" i="6"/>
  <c r="DA78" i="6" s="1"/>
  <c r="AR169" i="6"/>
  <c r="AQ76" i="6"/>
  <c r="DL71" i="6"/>
  <c r="DM150" i="6"/>
  <c r="DM71" i="6" s="1"/>
  <c r="DL174" i="6"/>
  <c r="DK78" i="6"/>
  <c r="CZ154" i="6"/>
  <c r="CY72" i="6"/>
  <c r="AS174" i="6"/>
  <c r="AS78" i="6" s="1"/>
  <c r="AR78" i="6"/>
  <c r="AQ25" i="70" s="1"/>
  <c r="DX76" i="6"/>
  <c r="DY169" i="6"/>
  <c r="DY76" i="6" s="1"/>
  <c r="DL169" i="6"/>
  <c r="DK76" i="6"/>
  <c r="CM76" i="6"/>
  <c r="CN169" i="6"/>
  <c r="CN164" i="6"/>
  <c r="CM74" i="6"/>
  <c r="CB174" i="6"/>
  <c r="CA78" i="6"/>
  <c r="DX159" i="6"/>
  <c r="DW73" i="6"/>
  <c r="DK70" i="6"/>
  <c r="DL145" i="6"/>
  <c r="DW69" i="6"/>
  <c r="DX140" i="6"/>
  <c r="BP76" i="6"/>
  <c r="BQ169" i="6"/>
  <c r="BQ76" i="6" s="1"/>
  <c r="CB145" i="6"/>
  <c r="CA70" i="6"/>
  <c r="AR179" i="6"/>
  <c r="AQ79" i="6"/>
  <c r="BP154" i="6"/>
  <c r="BO72" i="6"/>
  <c r="AS145" i="6"/>
  <c r="AS70" i="6" s="1"/>
  <c r="AR70" i="6"/>
  <c r="CM73" i="6"/>
  <c r="CN159" i="6"/>
  <c r="CA74" i="6"/>
  <c r="CB164" i="6"/>
  <c r="CZ69" i="6"/>
  <c r="DA140" i="6"/>
  <c r="DA69" i="6" s="1"/>
  <c r="BO74" i="6"/>
  <c r="BP164" i="6"/>
  <c r="AR140" i="6"/>
  <c r="AQ69" i="6"/>
  <c r="DX71" i="6"/>
  <c r="DY150" i="6"/>
  <c r="DY71" i="6" s="1"/>
  <c r="CO174" i="6"/>
  <c r="CO78" i="6" s="1"/>
  <c r="CN78" i="6"/>
  <c r="CM165" i="71" s="1"/>
  <c r="CN71" i="6"/>
  <c r="CO150" i="6"/>
  <c r="CO71" i="6" s="1"/>
  <c r="CB69" i="6"/>
  <c r="CC140" i="6"/>
  <c r="CC69" i="6" s="1"/>
  <c r="BP79" i="6"/>
  <c r="BQ179" i="6"/>
  <c r="BQ79" i="6" s="1"/>
  <c r="CB179" i="6"/>
  <c r="CA79" i="6"/>
  <c r="AQ74" i="6"/>
  <c r="AR164" i="6"/>
  <c r="DW78" i="6"/>
  <c r="DX174" i="6"/>
  <c r="BP78" i="6"/>
  <c r="BO25" i="70" s="1"/>
  <c r="BQ174" i="6"/>
  <c r="BQ78" i="6" s="1"/>
  <c r="AR150" i="6"/>
  <c r="AQ71" i="6"/>
  <c r="DM159" i="6"/>
  <c r="DM73" i="6" s="1"/>
  <c r="DL73" i="6"/>
  <c r="AL165" i="71"/>
  <c r="Q183" i="71"/>
  <c r="Q32" i="71" s="1"/>
  <c r="Q129" i="71" s="1"/>
  <c r="Q184" i="71"/>
  <c r="AL25" i="70"/>
  <c r="AN25" i="70"/>
  <c r="AQ165" i="71" l="1"/>
  <c r="BD71" i="6"/>
  <c r="BE150" i="6"/>
  <c r="BE71" i="6" s="1"/>
  <c r="BD69" i="6"/>
  <c r="BE140" i="6"/>
  <c r="BE69" i="6" s="1"/>
  <c r="BE174" i="6"/>
  <c r="BE78" i="6" s="1"/>
  <c r="BD78" i="6"/>
  <c r="BD72" i="6"/>
  <c r="BE154" i="6"/>
  <c r="BE72" i="6" s="1"/>
  <c r="BE145" i="6"/>
  <c r="BE70" i="6" s="1"/>
  <c r="BD70" i="6"/>
  <c r="DJ25" i="70"/>
  <c r="DJ165" i="71"/>
  <c r="DV25" i="70"/>
  <c r="DV165" i="71"/>
  <c r="BO165" i="71"/>
  <c r="BZ25" i="70"/>
  <c r="BZ165" i="71"/>
  <c r="CY165" i="71"/>
  <c r="DA159" i="6"/>
  <c r="DA73" i="6" s="1"/>
  <c r="CZ73" i="6"/>
  <c r="CC179" i="6"/>
  <c r="CC79" i="6" s="1"/>
  <c r="CB79" i="6"/>
  <c r="DL76" i="6"/>
  <c r="DM169" i="6"/>
  <c r="DM76" i="6" s="1"/>
  <c r="CN79" i="6"/>
  <c r="CO179" i="6"/>
  <c r="CO79" i="6" s="1"/>
  <c r="CC145" i="6"/>
  <c r="CC70" i="6" s="1"/>
  <c r="CB70" i="6"/>
  <c r="DL72" i="6"/>
  <c r="DM154" i="6"/>
  <c r="DM72" i="6" s="1"/>
  <c r="AS169" i="6"/>
  <c r="AS76" i="6" s="1"/>
  <c r="AR76" i="6"/>
  <c r="DL70" i="6"/>
  <c r="DM145" i="6"/>
  <c r="DM70" i="6" s="1"/>
  <c r="BP70" i="6"/>
  <c r="BQ145" i="6"/>
  <c r="BQ70" i="6" s="1"/>
  <c r="BP73" i="6"/>
  <c r="BQ159" i="6"/>
  <c r="BQ73" i="6" s="1"/>
  <c r="CN76" i="6"/>
  <c r="CO169" i="6"/>
  <c r="CO76" i="6" s="1"/>
  <c r="CN73" i="6"/>
  <c r="CO159" i="6"/>
  <c r="CO73" i="6" s="1"/>
  <c r="CZ71" i="6"/>
  <c r="DA150" i="6"/>
  <c r="DA71" i="6" s="1"/>
  <c r="AR71" i="6"/>
  <c r="AS150" i="6"/>
  <c r="AS71" i="6" s="1"/>
  <c r="BP71" i="6"/>
  <c r="BQ150" i="6"/>
  <c r="BQ71" i="6" s="1"/>
  <c r="DX79" i="6"/>
  <c r="DY179" i="6"/>
  <c r="DY79" i="6" s="1"/>
  <c r="AS159" i="6"/>
  <c r="AS73" i="6" s="1"/>
  <c r="AR73" i="6"/>
  <c r="DX69" i="6"/>
  <c r="DY140" i="6"/>
  <c r="DY69" i="6" s="1"/>
  <c r="DX73" i="6"/>
  <c r="DY159" i="6"/>
  <c r="DY73" i="6" s="1"/>
  <c r="DA154" i="6"/>
  <c r="DA72" i="6" s="1"/>
  <c r="CZ72" i="6"/>
  <c r="CO145" i="6"/>
  <c r="CO70" i="6" s="1"/>
  <c r="CN70" i="6"/>
  <c r="BP74" i="6"/>
  <c r="BQ164" i="6"/>
  <c r="BQ74" i="6" s="1"/>
  <c r="DY174" i="6"/>
  <c r="DY78" i="6" s="1"/>
  <c r="DX25" i="70" s="1"/>
  <c r="DX78" i="6"/>
  <c r="DA145" i="6"/>
  <c r="DA70" i="6" s="1"/>
  <c r="CZ70" i="6"/>
  <c r="CC164" i="6"/>
  <c r="CC74" i="6" s="1"/>
  <c r="CB74" i="6"/>
  <c r="CB78" i="6"/>
  <c r="CC174" i="6"/>
  <c r="CC78" i="6" s="1"/>
  <c r="AR74" i="6"/>
  <c r="AS164" i="6"/>
  <c r="AS74" i="6" s="1"/>
  <c r="CB72" i="6"/>
  <c r="CC154" i="6"/>
  <c r="CC72" i="6" s="1"/>
  <c r="DL79" i="6"/>
  <c r="DM179" i="6"/>
  <c r="DM79" i="6" s="1"/>
  <c r="CZ79" i="6"/>
  <c r="DA179" i="6"/>
  <c r="DA79" i="6" s="1"/>
  <c r="BQ154" i="6"/>
  <c r="BQ72" i="6" s="1"/>
  <c r="BP72" i="6"/>
  <c r="DM174" i="6"/>
  <c r="DM78" i="6" s="1"/>
  <c r="DL78" i="6"/>
  <c r="CZ76" i="6"/>
  <c r="DA169" i="6"/>
  <c r="DA76" i="6" s="1"/>
  <c r="AR72" i="6"/>
  <c r="AS154" i="6"/>
  <c r="AS72" i="6" s="1"/>
  <c r="DL69" i="6"/>
  <c r="DM140" i="6"/>
  <c r="DM69" i="6" s="1"/>
  <c r="AR69" i="6"/>
  <c r="AS140" i="6"/>
  <c r="AS69" i="6" s="1"/>
  <c r="AR79" i="6"/>
  <c r="AS179" i="6"/>
  <c r="AS79" i="6" s="1"/>
  <c r="CN74" i="6"/>
  <c r="CO164" i="6"/>
  <c r="CO74" i="6" s="1"/>
  <c r="AM25" i="70"/>
  <c r="CM25" i="70"/>
  <c r="Q180" i="71"/>
  <c r="Q31" i="71" s="1"/>
  <c r="Q128" i="71" s="1"/>
  <c r="CC165" i="71"/>
  <c r="AR165" i="71"/>
  <c r="CN165" i="71"/>
  <c r="AH162" i="69" s="1"/>
  <c r="AM165" i="71"/>
  <c r="DL165" i="71"/>
  <c r="CZ165" i="71"/>
  <c r="AN165" i="71"/>
  <c r="BP165" i="71"/>
  <c r="BE165" i="71"/>
  <c r="G63" i="21"/>
  <c r="G54" i="21"/>
  <c r="G62" i="21"/>
  <c r="G53" i="21"/>
  <c r="CN25" i="70"/>
  <c r="BE25" i="70"/>
  <c r="AR25" i="70"/>
  <c r="AL162" i="69" l="1"/>
  <c r="Z162" i="69"/>
  <c r="BC165" i="71"/>
  <c r="BC25" i="70"/>
  <c r="BD25" i="70"/>
  <c r="BD165" i="71"/>
  <c r="DX165" i="71"/>
  <c r="AT162" i="69" s="1"/>
  <c r="DW25" i="70"/>
  <c r="DW165" i="71"/>
  <c r="CB25" i="70"/>
  <c r="CB165" i="71"/>
  <c r="CA25" i="70"/>
  <c r="CA165" i="71"/>
  <c r="AD162" i="69" s="1"/>
  <c r="DK25" i="70"/>
  <c r="DK165" i="71"/>
  <c r="AP162" i="69" s="1"/>
  <c r="G55" i="21"/>
  <c r="CZ25" i="70"/>
  <c r="DL25" i="70"/>
  <c r="CC25" i="70"/>
  <c r="BP25" i="70"/>
  <c r="Q181" i="71"/>
  <c r="R178" i="71" s="1"/>
  <c r="R184" i="71" s="1"/>
  <c r="Q162" i="69"/>
  <c r="DA165" i="71"/>
  <c r="BF165" i="71"/>
  <c r="DY165" i="71"/>
  <c r="BQ165" i="71"/>
  <c r="CO165" i="71"/>
  <c r="R162" i="69"/>
  <c r="AS165" i="71"/>
  <c r="CD165" i="71"/>
  <c r="DM165" i="71"/>
  <c r="BF25" i="70"/>
  <c r="DY25" i="70"/>
  <c r="AS25" i="70"/>
  <c r="CD25" i="70"/>
  <c r="DM25" i="70"/>
  <c r="CO25" i="70"/>
  <c r="V162" i="69" l="1"/>
  <c r="G60" i="21"/>
  <c r="G58" i="21"/>
  <c r="G56" i="21"/>
  <c r="G57" i="21"/>
  <c r="BQ25" i="70"/>
  <c r="DA25" i="70"/>
  <c r="R183" i="71"/>
  <c r="R32" i="71" s="1"/>
  <c r="AT165" i="71"/>
  <c r="DZ165" i="71"/>
  <c r="BG165" i="71"/>
  <c r="DN165" i="71"/>
  <c r="DB165" i="71"/>
  <c r="CP165" i="71"/>
  <c r="CE165" i="71"/>
  <c r="AE162" i="69" s="1"/>
  <c r="BR165" i="71"/>
  <c r="BG25" i="70"/>
  <c r="DB25" i="70"/>
  <c r="AT25" i="70"/>
  <c r="DZ25" i="70"/>
  <c r="DN25" i="70"/>
  <c r="CE25" i="70" l="1"/>
  <c r="BR25" i="70"/>
  <c r="CP25" i="70"/>
  <c r="R180" i="71"/>
  <c r="R181" i="71" s="1"/>
  <c r="S178" i="71" s="1"/>
  <c r="DC165" i="71"/>
  <c r="R129" i="71"/>
  <c r="DO165" i="71"/>
  <c r="AQ162" i="69" s="1"/>
  <c r="BH165" i="71"/>
  <c r="EA165" i="71"/>
  <c r="AU162" i="69" s="1"/>
  <c r="CQ165" i="71"/>
  <c r="AI162" i="69" s="1"/>
  <c r="CF165" i="71"/>
  <c r="AU165" i="71"/>
  <c r="BS165" i="71"/>
  <c r="BH25" i="70"/>
  <c r="EA25" i="70"/>
  <c r="CF25" i="70"/>
  <c r="DO25" i="70"/>
  <c r="BS25" i="70"/>
  <c r="DC25" i="70" l="1"/>
  <c r="AU25" i="70"/>
  <c r="CQ25" i="70"/>
  <c r="R31" i="71"/>
  <c r="R128" i="71" s="1"/>
  <c r="AV165" i="71"/>
  <c r="DD165" i="71"/>
  <c r="BI165" i="71"/>
  <c r="CR165" i="71"/>
  <c r="DP165" i="71"/>
  <c r="S162" i="69"/>
  <c r="CG165" i="71"/>
  <c r="S184" i="71"/>
  <c r="S183" i="71"/>
  <c r="BT165" i="71"/>
  <c r="EB165" i="71"/>
  <c r="AM162" i="69"/>
  <c r="DP25" i="70"/>
  <c r="BT25" i="70"/>
  <c r="CG25" i="70"/>
  <c r="BI25" i="70"/>
  <c r="CR25" i="70" l="1"/>
  <c r="AV25" i="70"/>
  <c r="EB25" i="70"/>
  <c r="DD25" i="70"/>
  <c r="DQ165" i="71"/>
  <c r="S32" i="71"/>
  <c r="CH165" i="71"/>
  <c r="CS165" i="71"/>
  <c r="AW165" i="71"/>
  <c r="BJ165" i="71"/>
  <c r="S180" i="71"/>
  <c r="BU165" i="71"/>
  <c r="DE165" i="71"/>
  <c r="EC165" i="71"/>
  <c r="CJ25" i="70"/>
  <c r="AW25" i="70"/>
  <c r="BL25" i="70"/>
  <c r="DE25" i="70"/>
  <c r="BK25" i="70" l="1"/>
  <c r="CI25" i="70"/>
  <c r="CH25" i="70"/>
  <c r="DQ25" i="70"/>
  <c r="EC25" i="70"/>
  <c r="BJ25" i="70"/>
  <c r="BU25" i="70"/>
  <c r="CS25" i="70"/>
  <c r="ED165" i="71"/>
  <c r="AV162" i="69" s="1"/>
  <c r="AX165" i="71"/>
  <c r="T162" i="69" s="1"/>
  <c r="DF165" i="71"/>
  <c r="S129" i="71"/>
  <c r="BK165" i="71"/>
  <c r="BV165" i="71"/>
  <c r="AB162" i="69" s="1"/>
  <c r="BL165" i="71"/>
  <c r="DR165" i="71"/>
  <c r="AR162" i="69" s="1"/>
  <c r="CT165" i="71"/>
  <c r="AJ162" i="69" s="1"/>
  <c r="CI165" i="71"/>
  <c r="S31" i="71"/>
  <c r="S181" i="71"/>
  <c r="T178" i="71" s="1"/>
  <c r="CJ165" i="71"/>
  <c r="I62" i="21"/>
  <c r="I53" i="21"/>
  <c r="L54" i="21"/>
  <c r="O54" i="21"/>
  <c r="N53" i="21"/>
  <c r="I54" i="21"/>
  <c r="J54" i="21"/>
  <c r="N54" i="21"/>
  <c r="EF25" i="70"/>
  <c r="DT25" i="70"/>
  <c r="DH25" i="70"/>
  <c r="DF25" i="70"/>
  <c r="CT25" i="70"/>
  <c r="CV25" i="70"/>
  <c r="BX25" i="70"/>
  <c r="BV25" i="70"/>
  <c r="AX25" i="70"/>
  <c r="AZ25" i="70"/>
  <c r="K62" i="21"/>
  <c r="DS25" i="70" l="1"/>
  <c r="EE25" i="70"/>
  <c r="BW25" i="70"/>
  <c r="DG25" i="70"/>
  <c r="ED25" i="70"/>
  <c r="CU25" i="70"/>
  <c r="AY25" i="70"/>
  <c r="DR25" i="70"/>
  <c r="AG162" i="69"/>
  <c r="DS165" i="71"/>
  <c r="EF165" i="71"/>
  <c r="EE165" i="71"/>
  <c r="S128" i="71"/>
  <c r="AY165" i="71"/>
  <c r="CU165" i="71"/>
  <c r="Y162" i="69"/>
  <c r="T184" i="71"/>
  <c r="T183" i="71"/>
  <c r="AZ165" i="71"/>
  <c r="BW165" i="71"/>
  <c r="DG165" i="71"/>
  <c r="DH165" i="71"/>
  <c r="DT165" i="71"/>
  <c r="CV165" i="71"/>
  <c r="BX165" i="71"/>
  <c r="J53" i="21"/>
  <c r="M63" i="21"/>
  <c r="K63" i="21"/>
  <c r="K54" i="21"/>
  <c r="M54" i="21"/>
  <c r="H63" i="21"/>
  <c r="N63" i="21"/>
  <c r="H54" i="21"/>
  <c r="O62" i="21"/>
  <c r="O53" i="21"/>
  <c r="M62" i="21"/>
  <c r="J63" i="21"/>
  <c r="I63" i="21"/>
  <c r="J62" i="21"/>
  <c r="O63" i="21"/>
  <c r="H53" i="21"/>
  <c r="N62" i="21"/>
  <c r="L63" i="21"/>
  <c r="M53" i="21"/>
  <c r="L62" i="21"/>
  <c r="H62" i="21"/>
  <c r="AW162" i="69" l="1"/>
  <c r="AO162" i="69"/>
  <c r="T32" i="71"/>
  <c r="J180" i="69"/>
  <c r="T180" i="71"/>
  <c r="J181" i="69"/>
  <c r="AC162" i="69"/>
  <c r="H160" i="68"/>
  <c r="P162" i="69"/>
  <c r="O160" i="68"/>
  <c r="K160" i="68"/>
  <c r="W162" i="69"/>
  <c r="L160" i="68"/>
  <c r="J160" i="68"/>
  <c r="AA162" i="69"/>
  <c r="M160" i="68"/>
  <c r="P160" i="68"/>
  <c r="N160" i="68"/>
  <c r="I160" i="68"/>
  <c r="AF162" i="69"/>
  <c r="X162" i="69"/>
  <c r="AN162" i="69"/>
  <c r="AK162" i="69"/>
  <c r="AS162" i="69"/>
  <c r="U162" i="69"/>
  <c r="T31" i="71" l="1"/>
  <c r="J177" i="69"/>
  <c r="T181" i="71"/>
  <c r="U178" i="71" s="1"/>
  <c r="T129" i="71"/>
  <c r="J29" i="69"/>
  <c r="K53" i="21"/>
  <c r="J126" i="69" l="1"/>
  <c r="U184" i="71"/>
  <c r="U183" i="71"/>
  <c r="T128" i="71"/>
  <c r="U32" i="71" l="1"/>
  <c r="U180" i="71"/>
  <c r="U31" i="71" l="1"/>
  <c r="U181" i="71"/>
  <c r="V178" i="71" s="1"/>
  <c r="U129" i="71"/>
  <c r="H55" i="21" l="1"/>
  <c r="V183" i="71"/>
  <c r="V184" i="71"/>
  <c r="U128" i="71"/>
  <c r="H60" i="21" l="1"/>
  <c r="H58" i="21"/>
  <c r="H56" i="21"/>
  <c r="H57" i="21"/>
  <c r="V180" i="71"/>
  <c r="V32" i="71"/>
  <c r="V129" i="71" l="1"/>
  <c r="V31" i="71"/>
  <c r="V181" i="71"/>
  <c r="W178" i="71" s="1"/>
  <c r="W183" i="71" l="1"/>
  <c r="W184" i="71"/>
  <c r="V128" i="71"/>
  <c r="W180" i="71" l="1"/>
  <c r="K181" i="69"/>
  <c r="W32" i="71"/>
  <c r="K180" i="69"/>
  <c r="W129" i="71" l="1"/>
  <c r="K126" i="69" s="1"/>
  <c r="K29" i="69"/>
  <c r="W31" i="71"/>
  <c r="K177" i="69"/>
  <c r="W181" i="71"/>
  <c r="X178" i="71" s="1"/>
  <c r="X183" i="71" l="1"/>
  <c r="X184" i="71"/>
  <c r="W128" i="71"/>
  <c r="K28" i="69"/>
  <c r="L53" i="21"/>
  <c r="X180" i="71" l="1"/>
  <c r="X32" i="71"/>
  <c r="X129" i="71" l="1"/>
  <c r="X31" i="71"/>
  <c r="X181" i="71"/>
  <c r="Y178" i="71" s="1"/>
  <c r="Y183" i="71" l="1"/>
  <c r="Y184" i="71"/>
  <c r="X128" i="71"/>
  <c r="Y180" i="71" l="1"/>
  <c r="Y32" i="71"/>
  <c r="Y129" i="71" l="1"/>
  <c r="Y31" i="71"/>
  <c r="Y181" i="71"/>
  <c r="Z178" i="71" s="1"/>
  <c r="I55" i="21" l="1"/>
  <c r="Z183" i="71"/>
  <c r="Z184" i="71"/>
  <c r="Y128" i="71"/>
  <c r="I60" i="21" l="1"/>
  <c r="I58" i="21"/>
  <c r="I56" i="21"/>
  <c r="I57" i="21"/>
  <c r="Z180" i="71"/>
  <c r="L181" i="69"/>
  <c r="Z32" i="71"/>
  <c r="L180" i="69"/>
  <c r="Z129" i="71" l="1"/>
  <c r="L29" i="69"/>
  <c r="Z31" i="71"/>
  <c r="L177" i="69"/>
  <c r="Z181" i="71"/>
  <c r="AA178" i="71" s="1"/>
  <c r="AA184" i="71" l="1"/>
  <c r="AA183" i="71"/>
  <c r="Z128" i="71"/>
  <c r="L28" i="69"/>
  <c r="AA180" i="71" l="1"/>
  <c r="AA32" i="71"/>
  <c r="AA129" i="71" l="1"/>
  <c r="AA31" i="71"/>
  <c r="AA181" i="71"/>
  <c r="AB178" i="71" s="1"/>
  <c r="AB184" i="71" l="1"/>
  <c r="AB183" i="71"/>
  <c r="AA128" i="71"/>
  <c r="X38" i="2"/>
  <c r="AP17" i="19"/>
  <c r="AQ33" i="2" s="1"/>
  <c r="AQ17" i="19"/>
  <c r="AR33" i="2" s="1"/>
  <c r="AR17" i="19"/>
  <c r="AS33" i="2" s="1"/>
  <c r="AP23" i="19"/>
  <c r="AQ23" i="19"/>
  <c r="AR23" i="19"/>
  <c r="AB32" i="71" l="1"/>
  <c r="AB180" i="71"/>
  <c r="AB31" i="71" l="1"/>
  <c r="AB181" i="71"/>
  <c r="AC178" i="71" s="1"/>
  <c r="AB129" i="71"/>
  <c r="AC184" i="71" l="1"/>
  <c r="AC183" i="71"/>
  <c r="AB128" i="71"/>
  <c r="AC32" i="71" l="1"/>
  <c r="M180" i="69"/>
  <c r="AC180" i="71"/>
  <c r="M181" i="69"/>
  <c r="AC31" i="71" l="1"/>
  <c r="M177" i="69"/>
  <c r="AC129" i="71"/>
  <c r="M29" i="69"/>
  <c r="J55" i="21" l="1"/>
  <c r="AC128" i="71"/>
  <c r="M28" i="69"/>
  <c r="J60" i="21" l="1"/>
  <c r="J58" i="21"/>
  <c r="J57" i="21"/>
  <c r="J56" i="21"/>
  <c r="K55" i="21" l="1"/>
  <c r="K60" i="21" l="1"/>
  <c r="K58" i="21"/>
  <c r="K57" i="21"/>
  <c r="K56" i="21"/>
  <c r="K117" i="32" l="1"/>
  <c r="K124" i="32"/>
  <c r="K17" i="32"/>
  <c r="K134" i="32"/>
  <c r="K136" i="32"/>
  <c r="K142" i="32"/>
  <c r="K138" i="32" l="1"/>
  <c r="K62" i="32"/>
  <c r="K121" i="32"/>
  <c r="K132" i="32"/>
  <c r="K129" i="32"/>
  <c r="K36" i="32"/>
  <c r="K140" i="32"/>
  <c r="K120" i="32"/>
  <c r="K37" i="32"/>
  <c r="K127" i="32"/>
  <c r="K116" i="32"/>
  <c r="K118" i="32" s="1"/>
  <c r="K122" i="32" l="1"/>
  <c r="K125" i="32" s="1"/>
  <c r="K128" i="32" s="1"/>
  <c r="K130" i="32" s="1"/>
  <c r="K133" i="32" s="1"/>
  <c r="K135" i="32" s="1"/>
  <c r="K137" i="32" s="1"/>
  <c r="K139" i="32" s="1"/>
  <c r="K141" i="32" s="1"/>
  <c r="K143" i="32" s="1"/>
  <c r="K112" i="32"/>
  <c r="K22" i="32"/>
  <c r="K51" i="32"/>
  <c r="K101" i="32"/>
  <c r="K210" i="32"/>
  <c r="K53" i="32"/>
  <c r="K103" i="32"/>
  <c r="K218" i="32"/>
  <c r="K78" i="32"/>
  <c r="K87" i="32"/>
  <c r="K146" i="32" l="1"/>
  <c r="K76" i="32"/>
  <c r="K226" i="32"/>
  <c r="K225" i="32"/>
  <c r="K209" i="32"/>
  <c r="K148" i="32" l="1"/>
  <c r="K147" i="32"/>
  <c r="K217" i="32"/>
  <c r="L55" i="21" l="1"/>
  <c r="L60" i="21" l="1"/>
  <c r="L58" i="21"/>
  <c r="L57" i="21"/>
  <c r="L56" i="21"/>
  <c r="M55" i="21" l="1"/>
  <c r="N38" i="2"/>
  <c r="M60" i="21" l="1"/>
  <c r="M58" i="21"/>
  <c r="M57" i="21"/>
  <c r="M56" i="21"/>
  <c r="I210" i="32" l="1"/>
  <c r="I218" i="32"/>
  <c r="I226" i="32" l="1"/>
  <c r="I209" i="32" l="1"/>
  <c r="I217" i="32"/>
  <c r="I225" i="32"/>
  <c r="J38" i="2" l="1"/>
  <c r="N55" i="21" l="1"/>
  <c r="N60" i="21" l="1"/>
  <c r="N58" i="21"/>
  <c r="N56" i="21"/>
  <c r="N57" i="21"/>
  <c r="O38" i="2" l="1"/>
  <c r="S38" i="2" l="1"/>
  <c r="I38" i="2" l="1"/>
  <c r="U38" i="2" l="1"/>
  <c r="F37" i="20" s="1"/>
  <c r="AL17" i="19"/>
  <c r="AM33" i="2" s="1"/>
  <c r="AM17" i="19"/>
  <c r="AN33" i="2" s="1"/>
  <c r="AN17" i="19"/>
  <c r="AO33" i="2" s="1"/>
  <c r="AO17" i="19"/>
  <c r="AP33" i="2" s="1"/>
  <c r="AL23" i="19"/>
  <c r="AM23" i="19"/>
  <c r="AN23" i="19"/>
  <c r="AO23" i="19"/>
  <c r="H32" i="20" l="1"/>
  <c r="M210" i="32" l="1"/>
  <c r="M218" i="32"/>
  <c r="M226" i="32"/>
  <c r="M225" i="32" l="1"/>
  <c r="M209" i="32"/>
  <c r="M217" i="32"/>
  <c r="O55" i="21" l="1"/>
  <c r="O60" i="21" l="1"/>
  <c r="O58" i="21"/>
  <c r="O57" i="21"/>
  <c r="O56" i="21"/>
  <c r="K211" i="32"/>
  <c r="K219" i="32"/>
  <c r="K227" i="32"/>
  <c r="K241" i="32"/>
  <c r="K251" i="32"/>
  <c r="K261" i="32"/>
  <c r="K269" i="32"/>
  <c r="K248" i="32" l="1"/>
  <c r="K238" i="32"/>
  <c r="K249" i="32"/>
  <c r="K282" i="32"/>
  <c r="K233" i="32"/>
  <c r="K259" i="32"/>
  <c r="K296" i="32"/>
  <c r="K260" i="32"/>
  <c r="K289" i="32"/>
  <c r="K258" i="32"/>
  <c r="K268" i="32"/>
  <c r="K267" i="32"/>
  <c r="K250" i="32"/>
  <c r="K235" i="32" l="1"/>
  <c r="K240" i="32"/>
  <c r="K239" i="32"/>
  <c r="K266" i="32"/>
  <c r="K275" i="32" l="1"/>
  <c r="K276" i="32"/>
  <c r="K277" i="32"/>
  <c r="K297" i="32" l="1"/>
  <c r="K290" i="32"/>
  <c r="K283" i="32"/>
  <c r="H38" i="2" l="1"/>
  <c r="M211" i="32"/>
  <c r="M219" i="32"/>
  <c r="M227" i="32"/>
  <c r="M233" i="32"/>
  <c r="M241" i="32"/>
  <c r="M248" i="32"/>
  <c r="M261" i="32"/>
  <c r="M269" i="32"/>
  <c r="M258" i="32" l="1"/>
  <c r="M223" i="32"/>
  <c r="M203" i="32"/>
  <c r="M207" i="32"/>
  <c r="M259" i="32"/>
  <c r="M216" i="32"/>
  <c r="M215" i="32"/>
  <c r="M239" i="32"/>
  <c r="M235" i="32"/>
  <c r="M267" i="32"/>
  <c r="M266" i="32"/>
  <c r="M231" i="32"/>
  <c r="M287" i="32"/>
  <c r="M295" i="32"/>
  <c r="M206" i="32"/>
  <c r="M283" i="32"/>
  <c r="M282" i="32"/>
  <c r="M251" i="32"/>
  <c r="M250" i="32"/>
  <c r="M289" i="32"/>
  <c r="M280" i="32"/>
  <c r="M224" i="32"/>
  <c r="M297" i="32"/>
  <c r="M281" i="32"/>
  <c r="M214" i="32"/>
  <c r="M208" i="32"/>
  <c r="M296" i="32"/>
  <c r="M290" i="32"/>
  <c r="M268" i="32"/>
  <c r="M260" i="32"/>
  <c r="M288" i="32"/>
  <c r="M232" i="32"/>
  <c r="M264" i="32" l="1"/>
  <c r="M238" i="32"/>
  <c r="M220" i="32"/>
  <c r="M228" i="32"/>
  <c r="M284" i="32"/>
  <c r="M291" i="32"/>
  <c r="M275" i="32"/>
  <c r="M212" i="32"/>
  <c r="M249" i="32"/>
  <c r="M276" i="32"/>
  <c r="M298" i="32"/>
  <c r="M240" i="32"/>
  <c r="M277" i="32"/>
  <c r="M234" i="32"/>
  <c r="M236" i="32" l="1"/>
  <c r="M244" i="32" l="1"/>
  <c r="L117" i="32" l="1"/>
  <c r="L121" i="32"/>
  <c r="L124" i="32"/>
  <c r="L134" i="32"/>
  <c r="L142" i="32"/>
  <c r="L127" i="32" l="1"/>
  <c r="L17" i="32"/>
  <c r="L136" i="32"/>
  <c r="L116" i="32"/>
  <c r="L118" i="32" s="1"/>
  <c r="L22" i="32"/>
  <c r="L140" i="32"/>
  <c r="L132" i="32"/>
  <c r="L120" i="32"/>
  <c r="L122" i="32" s="1"/>
  <c r="L37" i="32"/>
  <c r="L138" i="32"/>
  <c r="L129" i="32"/>
  <c r="L36" i="32"/>
  <c r="L78" i="32" l="1"/>
  <c r="L218" i="32"/>
  <c r="L103" i="32"/>
  <c r="L226" i="32"/>
  <c r="L53" i="32"/>
  <c r="L210" i="32"/>
  <c r="L146" i="32"/>
  <c r="L125" i="32"/>
  <c r="L128" i="32" s="1"/>
  <c r="L130" i="32" s="1"/>
  <c r="L133" i="32" s="1"/>
  <c r="L135" i="32" s="1"/>
  <c r="L137" i="32" s="1"/>
  <c r="L139" i="32" s="1"/>
  <c r="L141" i="32" s="1"/>
  <c r="L143" i="32" s="1"/>
  <c r="L112" i="32"/>
  <c r="L87" i="32"/>
  <c r="L62" i="32"/>
  <c r="L148" i="32" l="1"/>
  <c r="L147" i="32"/>
  <c r="L76" i="32"/>
  <c r="L217" i="32"/>
  <c r="L101" i="32"/>
  <c r="L225" i="32"/>
  <c r="L51" i="32"/>
  <c r="L209" i="32"/>
  <c r="AE17" i="19" l="1"/>
  <c r="AF33" i="2" s="1"/>
  <c r="AF17" i="19"/>
  <c r="AG33" i="2" s="1"/>
  <c r="AG17" i="19"/>
  <c r="AH33" i="2" s="1"/>
  <c r="AH17" i="19"/>
  <c r="AI33" i="2" s="1"/>
  <c r="AI17" i="19"/>
  <c r="AJ33" i="2" s="1"/>
  <c r="AJ17" i="19"/>
  <c r="AK33" i="2" s="1"/>
  <c r="AK17" i="19"/>
  <c r="AL33" i="2" s="1"/>
  <c r="AE23" i="19"/>
  <c r="AF23" i="19"/>
  <c r="AG23" i="19"/>
  <c r="AH23" i="19"/>
  <c r="AI23" i="19"/>
  <c r="AJ23" i="19"/>
  <c r="AK23" i="19"/>
  <c r="F124" i="3" l="1"/>
  <c r="G124" i="3"/>
  <c r="D95" i="23"/>
  <c r="H28" i="69" l="1"/>
  <c r="I28" i="69"/>
  <c r="J28" i="69"/>
  <c r="H177" i="69"/>
  <c r="H178" i="69" s="1"/>
  <c r="I175" i="69" s="1"/>
  <c r="H29" i="69"/>
  <c r="I29" i="69"/>
  <c r="G125" i="69"/>
  <c r="H125" i="69"/>
  <c r="I125" i="69"/>
  <c r="J125" i="69"/>
  <c r="K125" i="69"/>
  <c r="L125" i="69"/>
  <c r="M125" i="69"/>
  <c r="G126" i="69"/>
  <c r="H126" i="69"/>
  <c r="I126" i="69"/>
  <c r="L126" i="69"/>
  <c r="M126" i="69"/>
  <c r="F175" i="68"/>
  <c r="F176" i="68" s="1"/>
  <c r="G173" i="68" s="1"/>
  <c r="F27" i="68"/>
  <c r="G27" i="68"/>
  <c r="F124" i="68"/>
  <c r="G124" i="68"/>
  <c r="F123" i="68"/>
  <c r="G123" i="68"/>
  <c r="F26" i="68"/>
  <c r="G26" i="68"/>
  <c r="G175" i="68"/>
  <c r="I177" i="69"/>
  <c r="G178" i="68"/>
  <c r="H180" i="69"/>
  <c r="F178" i="68"/>
  <c r="I180" i="69"/>
  <c r="F465" i="71"/>
  <c r="F62" i="73" s="1"/>
  <c r="E465" i="71"/>
  <c r="E62" i="73" s="1"/>
  <c r="F466" i="71"/>
  <c r="F63" i="73" s="1"/>
  <c r="E466" i="71"/>
  <c r="E63" i="73" s="1"/>
  <c r="G179" i="68"/>
  <c r="H181" i="69"/>
  <c r="F179" i="68"/>
  <c r="I181" i="69"/>
  <c r="I178" i="69" l="1"/>
  <c r="J175" i="69" s="1"/>
  <c r="J178" i="69" s="1"/>
  <c r="K175" i="69" s="1"/>
  <c r="K178" i="69" s="1"/>
  <c r="L175" i="69" s="1"/>
  <c r="L178" i="69" s="1"/>
  <c r="M175" i="69" s="1"/>
  <c r="AA23" i="19" l="1"/>
  <c r="Z23" i="19"/>
  <c r="Q38" i="2" l="1"/>
  <c r="T17" i="19"/>
  <c r="U33" i="2" s="1"/>
  <c r="U17" i="19"/>
  <c r="V33" i="2" s="1"/>
  <c r="V17" i="19"/>
  <c r="W33" i="2" s="1"/>
  <c r="W17" i="19"/>
  <c r="X33" i="2" s="1"/>
  <c r="X17" i="19"/>
  <c r="Y33" i="2" s="1"/>
  <c r="Y17" i="19"/>
  <c r="Z33" i="2" s="1"/>
  <c r="Z17" i="19"/>
  <c r="AA33" i="2" s="1"/>
  <c r="AA17" i="19"/>
  <c r="AB33" i="2" s="1"/>
  <c r="AB17" i="19"/>
  <c r="AC33" i="2" s="1"/>
  <c r="AC17" i="19"/>
  <c r="AD33" i="2" s="1"/>
  <c r="AD17" i="19"/>
  <c r="AE33" i="2" s="1"/>
  <c r="AB23" i="19"/>
  <c r="AC23" i="19"/>
  <c r="AD23" i="19"/>
  <c r="AS49" i="71"/>
  <c r="AS56" i="71"/>
  <c r="AT172" i="71"/>
  <c r="AT176" i="71" s="1"/>
  <c r="AT179" i="71" s="1"/>
  <c r="H211" i="32"/>
  <c r="H219" i="32"/>
  <c r="H222" i="32"/>
  <c r="H227" i="32"/>
  <c r="H233" i="32"/>
  <c r="H241" i="32"/>
  <c r="H251" i="32"/>
  <c r="H261" i="32"/>
  <c r="H269" i="32"/>
  <c r="H282" i="32"/>
  <c r="H289" i="32"/>
  <c r="H294" i="32"/>
  <c r="H296" i="32"/>
  <c r="S46" i="69" l="1"/>
  <c r="S251" i="69" s="1"/>
  <c r="S252" i="69" s="1"/>
  <c r="S53" i="69"/>
  <c r="AS254" i="71"/>
  <c r="AS255" i="71" s="1"/>
  <c r="H266" i="32"/>
  <c r="H248" i="32"/>
  <c r="H238" i="32"/>
  <c r="AS78" i="71"/>
  <c r="H268" i="32"/>
  <c r="H260" i="32"/>
  <c r="H259" i="32"/>
  <c r="H258" i="32"/>
  <c r="H250" i="32"/>
  <c r="H249" i="32"/>
  <c r="H267" i="32"/>
  <c r="AT30" i="71"/>
  <c r="I464" i="71" s="1"/>
  <c r="I61" i="73" s="1"/>
  <c r="AT182" i="71"/>
  <c r="AT29" i="71"/>
  <c r="I463" i="71" s="1"/>
  <c r="I60" i="73" s="1"/>
  <c r="G32" i="20"/>
  <c r="H210" i="32" l="1"/>
  <c r="H218" i="32"/>
  <c r="H235" i="32"/>
  <c r="H226" i="32"/>
  <c r="S75" i="69"/>
  <c r="S217" i="69" s="1"/>
  <c r="AS220" i="71"/>
  <c r="H240" i="32"/>
  <c r="AT126" i="71"/>
  <c r="AT26" i="71"/>
  <c r="H239" i="32"/>
  <c r="AT127" i="71"/>
  <c r="H209" i="32" l="1"/>
  <c r="H275" i="32"/>
  <c r="H283" i="32"/>
  <c r="H217" i="32"/>
  <c r="H276" i="32"/>
  <c r="H290" i="32"/>
  <c r="H277" i="32"/>
  <c r="H297" i="32"/>
  <c r="H225" i="32"/>
  <c r="AT53" i="71"/>
  <c r="AT123" i="71"/>
  <c r="V23" i="19" l="1"/>
  <c r="T21" i="19"/>
  <c r="T22" i="19" s="1"/>
  <c r="T24" i="19" s="1"/>
  <c r="U21" i="19"/>
  <c r="U22" i="19" s="1"/>
  <c r="U24" i="19" s="1"/>
  <c r="V21" i="19"/>
  <c r="V22" i="19" s="1"/>
  <c r="V24" i="19" s="1"/>
  <c r="AB49" i="71"/>
  <c r="G44" i="68" s="1"/>
  <c r="AB56" i="71"/>
  <c r="G51" i="68" s="1"/>
  <c r="AC172" i="71"/>
  <c r="AC176" i="71" s="1"/>
  <c r="AC179" i="71" s="1"/>
  <c r="M176" i="69" s="1"/>
  <c r="M179" i="69" s="1"/>
  <c r="F117" i="32"/>
  <c r="F121" i="32"/>
  <c r="F124" i="32"/>
  <c r="F211" i="32"/>
  <c r="F219" i="32"/>
  <c r="F227" i="32"/>
  <c r="F250" i="32"/>
  <c r="F266" i="32"/>
  <c r="M53" i="69" l="1"/>
  <c r="F23" i="32"/>
  <c r="F153" i="32"/>
  <c r="M169" i="69"/>
  <c r="M173" i="69" s="1"/>
  <c r="F296" i="32"/>
  <c r="M46" i="69"/>
  <c r="M251" i="69" s="1"/>
  <c r="M252" i="69" s="1"/>
  <c r="AB254" i="71"/>
  <c r="AB255" i="71" s="1"/>
  <c r="F289" i="32"/>
  <c r="F233" i="32"/>
  <c r="F282" i="32"/>
  <c r="AB78" i="71"/>
  <c r="M178" i="69"/>
  <c r="N175" i="69" s="1"/>
  <c r="F249" i="32"/>
  <c r="F251" i="32"/>
  <c r="F238" i="32"/>
  <c r="F235" i="32"/>
  <c r="F248" i="32"/>
  <c r="F267" i="32"/>
  <c r="F269" i="32"/>
  <c r="F261" i="32"/>
  <c r="F268" i="32"/>
  <c r="F260" i="32"/>
  <c r="F239" i="32"/>
  <c r="F241" i="32"/>
  <c r="F134" i="32"/>
  <c r="F132" i="32"/>
  <c r="F116" i="32"/>
  <c r="F118" i="32" s="1"/>
  <c r="F129" i="32"/>
  <c r="F17" i="32"/>
  <c r="F127" i="32"/>
  <c r="F142" i="32"/>
  <c r="F140" i="32"/>
  <c r="F138" i="32"/>
  <c r="F136" i="32"/>
  <c r="F37" i="32"/>
  <c r="F120" i="32"/>
  <c r="F122" i="32" s="1"/>
  <c r="AC30" i="71"/>
  <c r="G174" i="68"/>
  <c r="G176" i="68" s="1"/>
  <c r="H173" i="68" s="1"/>
  <c r="AC181" i="71"/>
  <c r="AD178" i="71" s="1"/>
  <c r="AD184" i="71" s="1"/>
  <c r="AC29" i="71"/>
  <c r="G167" i="68"/>
  <c r="G249" i="68"/>
  <c r="AC182" i="71"/>
  <c r="G73" i="68" l="1"/>
  <c r="AB220" i="71"/>
  <c r="G215" i="68" s="1"/>
  <c r="M75" i="69"/>
  <c r="M217" i="69" s="1"/>
  <c r="AD183" i="71"/>
  <c r="AD180" i="71" s="1"/>
  <c r="AD181" i="71" s="1"/>
  <c r="AE178" i="71" s="1"/>
  <c r="AE184" i="71" s="1"/>
  <c r="G250" i="68"/>
  <c r="F218" i="32"/>
  <c r="F78" i="32"/>
  <c r="F36" i="32"/>
  <c r="F87" i="32"/>
  <c r="F258" i="32"/>
  <c r="G171" i="68"/>
  <c r="AC126" i="71"/>
  <c r="G24" i="68"/>
  <c r="M26" i="69"/>
  <c r="G463" i="71"/>
  <c r="F103" i="32"/>
  <c r="F226" i="32"/>
  <c r="F125" i="32"/>
  <c r="F128" i="32" s="1"/>
  <c r="F130" i="32" s="1"/>
  <c r="F133" i="32" s="1"/>
  <c r="F135" i="32" s="1"/>
  <c r="F137" i="32" s="1"/>
  <c r="F139" i="32" s="1"/>
  <c r="F141" i="32" s="1"/>
  <c r="F143" i="32" s="1"/>
  <c r="F240" i="32"/>
  <c r="F22" i="32"/>
  <c r="F24" i="32" s="1"/>
  <c r="F53" i="32"/>
  <c r="F210" i="32"/>
  <c r="F112" i="32"/>
  <c r="F62" i="32"/>
  <c r="AC26" i="71"/>
  <c r="AC53" i="71" s="1"/>
  <c r="G177" i="68"/>
  <c r="F259" i="32"/>
  <c r="AC127" i="71"/>
  <c r="G25" i="68"/>
  <c r="G464" i="71"/>
  <c r="M27" i="69"/>
  <c r="F146" i="32" l="1"/>
  <c r="F147" i="32"/>
  <c r="F148" i="32"/>
  <c r="X85" i="45"/>
  <c r="AD32" i="71"/>
  <c r="AD129" i="71" s="1"/>
  <c r="G460" i="71"/>
  <c r="G57" i="73" s="1"/>
  <c r="AC123" i="71"/>
  <c r="G118" i="68" s="1"/>
  <c r="AE183" i="71"/>
  <c r="AE32" i="71" s="1"/>
  <c r="AE129" i="71" s="1"/>
  <c r="G21" i="68"/>
  <c r="M23" i="69"/>
  <c r="G61" i="73"/>
  <c r="F76" i="32"/>
  <c r="F51" i="32"/>
  <c r="F277" i="32"/>
  <c r="F297" i="32"/>
  <c r="G121" i="68"/>
  <c r="M123" i="69"/>
  <c r="G122" i="68"/>
  <c r="M124" i="69"/>
  <c r="F101" i="32"/>
  <c r="G48" i="68"/>
  <c r="M50" i="69"/>
  <c r="F276" i="32"/>
  <c r="F290" i="32"/>
  <c r="G60" i="73"/>
  <c r="F275" i="32"/>
  <c r="F283" i="32"/>
  <c r="AD31" i="71"/>
  <c r="M120" i="69" l="1"/>
  <c r="Z85" i="45"/>
  <c r="Y85" i="45"/>
  <c r="X86" i="45"/>
  <c r="AE180" i="71"/>
  <c r="F225" i="32"/>
  <c r="F209" i="32"/>
  <c r="F217" i="32"/>
  <c r="AD128" i="71"/>
  <c r="Y86" i="45" l="1"/>
  <c r="Z86" i="45"/>
  <c r="X87" i="45"/>
  <c r="AE31" i="71"/>
  <c r="AE128" i="71" s="1"/>
  <c r="AE181" i="71"/>
  <c r="AF178" i="71" s="1"/>
  <c r="Z87" i="45" l="1"/>
  <c r="Y87" i="45"/>
  <c r="G21" i="32"/>
  <c r="AF184" i="71"/>
  <c r="AF183" i="71"/>
  <c r="X89" i="45" l="1"/>
  <c r="X88" i="45"/>
  <c r="AF32" i="71"/>
  <c r="N180" i="69"/>
  <c r="N181" i="69"/>
  <c r="AF180" i="71"/>
  <c r="Y88" i="45" l="1"/>
  <c r="Z88" i="45"/>
  <c r="Y89" i="45"/>
  <c r="Z89" i="45"/>
  <c r="AF181" i="71"/>
  <c r="AG178" i="71" s="1"/>
  <c r="N177" i="69"/>
  <c r="N178" i="69" s="1"/>
  <c r="O175" i="69" s="1"/>
  <c r="AF31" i="71"/>
  <c r="N29" i="69"/>
  <c r="AF129" i="71"/>
  <c r="N126" i="69" s="1"/>
  <c r="AF128" i="71" l="1"/>
  <c r="N125" i="69" s="1"/>
  <c r="N28" i="69"/>
  <c r="AG184" i="71"/>
  <c r="AG183" i="71"/>
  <c r="AG32" i="71" s="1"/>
  <c r="AG129" i="71" s="1"/>
  <c r="AG180" i="71" l="1"/>
  <c r="AG31" i="71" l="1"/>
  <c r="AG128" i="71" s="1"/>
  <c r="AG181" i="71"/>
  <c r="AH178" i="71" s="1"/>
  <c r="AH184" i="71" l="1"/>
  <c r="AH183" i="71"/>
  <c r="AH32" i="71" s="1"/>
  <c r="AH180" i="71" l="1"/>
  <c r="G466" i="71"/>
  <c r="G63" i="73" s="1"/>
  <c r="AH129" i="71"/>
  <c r="AH31" i="71" l="1"/>
  <c r="AH128" i="71" s="1"/>
  <c r="G465" i="71"/>
  <c r="G62" i="73" s="1"/>
  <c r="D92" i="32" l="1"/>
  <c r="D222" i="32" l="1"/>
  <c r="D98" i="32"/>
  <c r="D93" i="32"/>
  <c r="M98" i="32"/>
  <c r="K98" i="32"/>
  <c r="I98" i="32"/>
  <c r="M92" i="32"/>
  <c r="K92" i="32"/>
  <c r="I92" i="32"/>
  <c r="G92" i="32"/>
  <c r="E92" i="32"/>
  <c r="E93" i="32" s="1"/>
  <c r="N98" i="32"/>
  <c r="L98" i="32"/>
  <c r="J98" i="32"/>
  <c r="H98" i="32"/>
  <c r="N92" i="32"/>
  <c r="L92" i="32"/>
  <c r="J92" i="32"/>
  <c r="H92" i="32"/>
  <c r="F92" i="32"/>
  <c r="D294" i="32" l="1"/>
  <c r="F91" i="32"/>
  <c r="F93" i="32" s="1"/>
  <c r="G98" i="32"/>
  <c r="G294" i="32"/>
  <c r="G222" i="32"/>
  <c r="E294" i="32"/>
  <c r="F294" i="32"/>
  <c r="E98" i="32"/>
  <c r="E222" i="32"/>
  <c r="F98" i="32"/>
  <c r="F222" i="32"/>
  <c r="G91" i="32" l="1"/>
  <c r="G93" i="32" s="1"/>
  <c r="H91" i="32" l="1"/>
  <c r="H93" i="32" s="1"/>
  <c r="I91" i="32" l="1"/>
  <c r="I93" i="32" s="1"/>
  <c r="J91" i="32" l="1"/>
  <c r="J93" i="32" s="1"/>
  <c r="K91" i="32" l="1"/>
  <c r="K93" i="32" s="1"/>
  <c r="L91" i="32" l="1"/>
  <c r="L93" i="32" s="1"/>
  <c r="M91" i="32" l="1"/>
  <c r="M93" i="32" s="1"/>
  <c r="N91" i="32" l="1"/>
  <c r="N93" i="32" s="1"/>
  <c r="D33" i="32" l="1"/>
  <c r="D35" i="32" l="1"/>
  <c r="N154" i="32"/>
  <c r="E32" i="32" l="1"/>
  <c r="D38" i="32" l="1"/>
  <c r="T47" i="45" l="1"/>
  <c r="U47" i="45" s="1"/>
  <c r="T48" i="45"/>
  <c r="T49" i="45"/>
  <c r="U49" i="45" s="1"/>
  <c r="T50" i="45"/>
  <c r="U50" i="45" s="1"/>
  <c r="T51" i="45"/>
  <c r="U51" i="45" s="1"/>
  <c r="V50" i="45" l="1"/>
  <c r="V47" i="45"/>
  <c r="U48" i="45"/>
  <c r="V48" i="45"/>
  <c r="V49" i="45"/>
  <c r="V51" i="45"/>
  <c r="M117" i="32" l="1"/>
  <c r="M121" i="32"/>
  <c r="M124" i="32"/>
  <c r="M134" i="32"/>
  <c r="M136" i="32"/>
  <c r="M140" i="32"/>
  <c r="M142" i="32"/>
  <c r="M154" i="32"/>
  <c r="L211" i="32"/>
  <c r="L219" i="32"/>
  <c r="L227" i="32"/>
  <c r="L233" i="32"/>
  <c r="L241" i="32"/>
  <c r="L251" i="32"/>
  <c r="L261" i="32"/>
  <c r="L269" i="32"/>
  <c r="L282" i="32"/>
  <c r="L283" i="32"/>
  <c r="L289" i="32"/>
  <c r="L290" i="32"/>
  <c r="L296" i="32"/>
  <c r="L297" i="32"/>
  <c r="L239" i="32" l="1"/>
  <c r="L298" i="32"/>
  <c r="L267" i="32"/>
  <c r="L250" i="32"/>
  <c r="L248" i="32"/>
  <c r="K281" i="32"/>
  <c r="L223" i="32"/>
  <c r="J223" i="32"/>
  <c r="K216" i="32"/>
  <c r="K206" i="32"/>
  <c r="K298" i="32"/>
  <c r="L295" i="32"/>
  <c r="J295" i="32"/>
  <c r="K280" i="32"/>
  <c r="L266" i="32"/>
  <c r="K215" i="32"/>
  <c r="K203" i="32"/>
  <c r="K288" i="32"/>
  <c r="L232" i="32"/>
  <c r="J232" i="32"/>
  <c r="K214" i="32"/>
  <c r="L208" i="32"/>
  <c r="J208" i="32"/>
  <c r="M132" i="32"/>
  <c r="K287" i="32"/>
  <c r="L231" i="32"/>
  <c r="J231" i="32"/>
  <c r="K224" i="32"/>
  <c r="L207" i="32"/>
  <c r="J207" i="32"/>
  <c r="L281" i="32"/>
  <c r="J281" i="32"/>
  <c r="K223" i="32"/>
  <c r="L216" i="32"/>
  <c r="J216" i="32"/>
  <c r="L206" i="32"/>
  <c r="J206" i="32"/>
  <c r="J298" i="32"/>
  <c r="K295" i="32"/>
  <c r="L280" i="32"/>
  <c r="J280" i="32"/>
  <c r="L260" i="32"/>
  <c r="L215" i="32"/>
  <c r="J215" i="32"/>
  <c r="L203" i="32"/>
  <c r="J203" i="32"/>
  <c r="M78" i="32"/>
  <c r="L288" i="32"/>
  <c r="L259" i="32"/>
  <c r="K232" i="32"/>
  <c r="L214" i="32"/>
  <c r="J214" i="32"/>
  <c r="K208" i="32"/>
  <c r="J288" i="32"/>
  <c r="L287" i="32"/>
  <c r="J287" i="32"/>
  <c r="L268" i="32"/>
  <c r="L258" i="32"/>
  <c r="K231" i="32"/>
  <c r="L224" i="32"/>
  <c r="J224" i="32"/>
  <c r="K207" i="32"/>
  <c r="M120" i="32"/>
  <c r="M122" i="32" s="1"/>
  <c r="M37" i="32"/>
  <c r="L154" i="32"/>
  <c r="J154" i="32"/>
  <c r="H154" i="32"/>
  <c r="M138" i="32"/>
  <c r="M53" i="32"/>
  <c r="M129" i="32"/>
  <c r="M36" i="32"/>
  <c r="M127" i="32"/>
  <c r="M17" i="32"/>
  <c r="M116" i="32"/>
  <c r="M118" i="32" s="1"/>
  <c r="M22" i="32"/>
  <c r="K154" i="32"/>
  <c r="I154" i="32"/>
  <c r="M103" i="32"/>
  <c r="J264" i="32" l="1"/>
  <c r="L264" i="32"/>
  <c r="K264" i="32"/>
  <c r="L228" i="32"/>
  <c r="J220" i="32"/>
  <c r="K228" i="32"/>
  <c r="J228" i="32"/>
  <c r="M125" i="32"/>
  <c r="M128" i="32" s="1"/>
  <c r="M130" i="32" s="1"/>
  <c r="M133" i="32" s="1"/>
  <c r="M135" i="32" s="1"/>
  <c r="M137" i="32" s="1"/>
  <c r="M139" i="32" s="1"/>
  <c r="M141" i="32" s="1"/>
  <c r="M143" i="32" s="1"/>
  <c r="J212" i="32"/>
  <c r="J284" i="32"/>
  <c r="K220" i="32"/>
  <c r="L212" i="32"/>
  <c r="K212" i="32"/>
  <c r="L220" i="32"/>
  <c r="L234" i="32"/>
  <c r="J234" i="32"/>
  <c r="K234" i="32"/>
  <c r="M146" i="32"/>
  <c r="K291" i="32"/>
  <c r="L291" i="32"/>
  <c r="K284" i="32"/>
  <c r="J291" i="32"/>
  <c r="L284" i="32"/>
  <c r="L249" i="32"/>
  <c r="L276" i="32"/>
  <c r="M112" i="32"/>
  <c r="M101" i="32"/>
  <c r="L238" i="32"/>
  <c r="L275" i="32"/>
  <c r="K236" i="32"/>
  <c r="L240" i="32"/>
  <c r="L277" i="32"/>
  <c r="M87" i="32"/>
  <c r="M76" i="32"/>
  <c r="J236" i="32"/>
  <c r="M62" i="32"/>
  <c r="M51" i="32"/>
  <c r="M148" i="32" l="1"/>
  <c r="M147" i="32"/>
  <c r="K244" i="32"/>
  <c r="J244" i="32"/>
  <c r="L235" i="32"/>
  <c r="L236" i="32" l="1"/>
  <c r="L244" i="32" l="1"/>
  <c r="D28" i="67"/>
  <c r="D29" i="67"/>
  <c r="E17" i="70"/>
  <c r="AN149" i="71"/>
  <c r="AN371" i="71" s="1"/>
  <c r="AO149" i="71"/>
  <c r="AV149" i="71"/>
  <c r="AV371" i="71" s="1"/>
  <c r="AW149" i="71"/>
  <c r="AW371" i="71" s="1"/>
  <c r="AZ149" i="71"/>
  <c r="AZ371" i="71" s="1"/>
  <c r="BH149" i="71"/>
  <c r="BH371" i="71" s="1"/>
  <c r="BL149" i="71"/>
  <c r="BL371" i="71" s="1"/>
  <c r="BM149" i="71"/>
  <c r="BM371" i="71" s="1"/>
  <c r="BT149" i="71"/>
  <c r="BT371" i="71" s="1"/>
  <c r="BU149" i="71"/>
  <c r="BU371" i="71" s="1"/>
  <c r="BV149" i="71"/>
  <c r="BV371" i="71" s="1"/>
  <c r="BX149" i="71"/>
  <c r="BX371" i="71" s="1"/>
  <c r="CF149" i="71"/>
  <c r="CF371" i="71" s="1"/>
  <c r="CV149" i="71"/>
  <c r="CV371" i="71" s="1"/>
  <c r="DD149" i="71"/>
  <c r="I56" i="64"/>
  <c r="B9" i="55"/>
  <c r="B10" i="55"/>
  <c r="I47" i="55"/>
  <c r="P47" i="55"/>
  <c r="I56" i="42"/>
  <c r="E149" i="71"/>
  <c r="E144" i="68" s="1"/>
  <c r="AP149" i="71"/>
  <c r="AP371" i="71" s="1"/>
  <c r="AQ149" i="71"/>
  <c r="AQ371" i="71" s="1"/>
  <c r="EE17" i="70" l="1"/>
  <c r="DS17" i="70"/>
  <c r="CF17" i="70"/>
  <c r="BH17" i="70"/>
  <c r="AV17" i="70"/>
  <c r="AN17" i="70"/>
  <c r="DD17" i="70"/>
  <c r="BT17" i="70"/>
  <c r="DC17" i="70"/>
  <c r="BO17" i="70"/>
  <c r="EB17" i="70"/>
  <c r="BG17" i="70"/>
  <c r="AQ17" i="70"/>
  <c r="DG17" i="70"/>
  <c r="CU17" i="70"/>
  <c r="CI17" i="70"/>
  <c r="DV17" i="70"/>
  <c r="CL17" i="70"/>
  <c r="BK17" i="70"/>
  <c r="AY17" i="70"/>
  <c r="DL17" i="70"/>
  <c r="CZ17" i="70"/>
  <c r="CN17" i="70"/>
  <c r="CB17" i="70"/>
  <c r="BZ17" i="70"/>
  <c r="BN17" i="70"/>
  <c r="AM17" i="70"/>
  <c r="DW17" i="70"/>
  <c r="DK17" i="70"/>
  <c r="CY17" i="70"/>
  <c r="CM17" i="70"/>
  <c r="BB17" i="70"/>
  <c r="AP17" i="70"/>
  <c r="DF17" i="70"/>
  <c r="AK17" i="70"/>
  <c r="CX17" i="70"/>
  <c r="DI17" i="70"/>
  <c r="CW17" i="70"/>
  <c r="BM17" i="70"/>
  <c r="BA17" i="70"/>
  <c r="AO17" i="70"/>
  <c r="DJ17" i="70"/>
  <c r="EF17" i="70"/>
  <c r="DT17" i="70"/>
  <c r="DH17" i="70"/>
  <c r="CV17" i="70"/>
  <c r="BX17" i="70"/>
  <c r="BL17" i="70"/>
  <c r="AZ17" i="70"/>
  <c r="DU17" i="70"/>
  <c r="DR17" i="70"/>
  <c r="CH17" i="70"/>
  <c r="BV17" i="70"/>
  <c r="BJ17" i="70"/>
  <c r="AL17" i="70"/>
  <c r="ED17" i="70"/>
  <c r="EC17" i="70"/>
  <c r="DE17" i="70"/>
  <c r="CG17" i="70"/>
  <c r="BU17" i="70"/>
  <c r="AW17" i="70"/>
  <c r="DP149" i="71"/>
  <c r="DP371" i="71" s="1"/>
  <c r="DP17" i="70"/>
  <c r="DO149" i="71"/>
  <c r="DO371" i="71" s="1"/>
  <c r="DO17" i="70"/>
  <c r="CE149" i="71"/>
  <c r="CE371" i="71" s="1"/>
  <c r="CE17" i="70"/>
  <c r="BS149" i="71"/>
  <c r="BS371" i="71" s="1"/>
  <c r="BS17" i="70"/>
  <c r="AU149" i="71"/>
  <c r="AU371" i="71" s="1"/>
  <c r="AU17" i="70"/>
  <c r="DZ149" i="71"/>
  <c r="DZ371" i="71" s="1"/>
  <c r="DZ17" i="70"/>
  <c r="DN149" i="71"/>
  <c r="DN371" i="71" s="1"/>
  <c r="DN17" i="70"/>
  <c r="DB149" i="71"/>
  <c r="DB371" i="71" s="1"/>
  <c r="DB17" i="70"/>
  <c r="CP149" i="71"/>
  <c r="CP371" i="71" s="1"/>
  <c r="CP17" i="70"/>
  <c r="CD149" i="71"/>
  <c r="CD371" i="71" s="1"/>
  <c r="CD17" i="70"/>
  <c r="BR149" i="71"/>
  <c r="BR371" i="71" s="1"/>
  <c r="BR17" i="70"/>
  <c r="BF149" i="71"/>
  <c r="BF371" i="71" s="1"/>
  <c r="BF17" i="70"/>
  <c r="AT149" i="71"/>
  <c r="AT371" i="71" s="1"/>
  <c r="AT17" i="70"/>
  <c r="EA149" i="71"/>
  <c r="EA371" i="71" s="1"/>
  <c r="EA17" i="70"/>
  <c r="CQ149" i="71"/>
  <c r="CQ371" i="71" s="1"/>
  <c r="CQ17" i="70"/>
  <c r="DY149" i="71"/>
  <c r="DY371" i="71" s="1"/>
  <c r="DY17" i="70"/>
  <c r="DM149" i="71"/>
  <c r="DM371" i="71" s="1"/>
  <c r="DM17" i="70"/>
  <c r="DA149" i="71"/>
  <c r="DA371" i="71" s="1"/>
  <c r="DA17" i="70"/>
  <c r="CO149" i="71"/>
  <c r="CO371" i="71" s="1"/>
  <c r="CO17" i="70"/>
  <c r="CC149" i="71"/>
  <c r="CC371" i="71" s="1"/>
  <c r="CC17" i="70"/>
  <c r="BQ149" i="71"/>
  <c r="BQ371" i="71" s="1"/>
  <c r="BQ17" i="70"/>
  <c r="BE149" i="71"/>
  <c r="BE371" i="71" s="1"/>
  <c r="BE17" i="70"/>
  <c r="AS149" i="71"/>
  <c r="AS371" i="71" s="1"/>
  <c r="AS17" i="70"/>
  <c r="DX149" i="71"/>
  <c r="DX371" i="71" s="1"/>
  <c r="DX17" i="70"/>
  <c r="BP149" i="71"/>
  <c r="BP371" i="71" s="1"/>
  <c r="BP17" i="70"/>
  <c r="BD149" i="71"/>
  <c r="BD371" i="71" s="1"/>
  <c r="BD17" i="70"/>
  <c r="AR149" i="71"/>
  <c r="AR371" i="71" s="1"/>
  <c r="AR17" i="70"/>
  <c r="CA149" i="71"/>
  <c r="CA371" i="71" s="1"/>
  <c r="CA17" i="70"/>
  <c r="BC149" i="71"/>
  <c r="BC371" i="71" s="1"/>
  <c r="BC17" i="70"/>
  <c r="CK149" i="71"/>
  <c r="CK371" i="71" s="1"/>
  <c r="CK17" i="70"/>
  <c r="BY149" i="71"/>
  <c r="BY371" i="71" s="1"/>
  <c r="BY17" i="70"/>
  <c r="CJ149" i="71"/>
  <c r="CJ371" i="71" s="1"/>
  <c r="CJ17" i="70"/>
  <c r="BW149" i="71"/>
  <c r="BW371" i="71" s="1"/>
  <c r="BW17" i="70"/>
  <c r="CT149" i="71"/>
  <c r="CT371" i="71" s="1"/>
  <c r="CT17" i="70"/>
  <c r="AX149" i="71"/>
  <c r="AX371" i="71" s="1"/>
  <c r="AX17" i="70"/>
  <c r="DQ149" i="71"/>
  <c r="DQ371" i="71" s="1"/>
  <c r="DQ17" i="70"/>
  <c r="CS149" i="71"/>
  <c r="CS371" i="71" s="1"/>
  <c r="CS17" i="70"/>
  <c r="BI149" i="71"/>
  <c r="BI371" i="71" s="1"/>
  <c r="BI17" i="70"/>
  <c r="CR149" i="71"/>
  <c r="CR17" i="70"/>
  <c r="CM149" i="71"/>
  <c r="CM371" i="71" s="1"/>
  <c r="BO149" i="71"/>
  <c r="BO371" i="71" s="1"/>
  <c r="DK149" i="71"/>
  <c r="DK371" i="71" s="1"/>
  <c r="AK149" i="71"/>
  <c r="AK371" i="71" s="1"/>
  <c r="DE149" i="71"/>
  <c r="DE371" i="71" s="1"/>
  <c r="BA149" i="71"/>
  <c r="BA371" i="71" s="1"/>
  <c r="CG149" i="71"/>
  <c r="CG371" i="71" s="1"/>
  <c r="CW149" i="71"/>
  <c r="CW371" i="71" s="1"/>
  <c r="EC149" i="71"/>
  <c r="EC371" i="71" s="1"/>
  <c r="DI149" i="71"/>
  <c r="DI371" i="71" s="1"/>
  <c r="EB149" i="71"/>
  <c r="EB371" i="71" s="1"/>
  <c r="BJ149" i="71"/>
  <c r="BJ371" i="71" s="1"/>
  <c r="DR149" i="71"/>
  <c r="DR371" i="71" s="1"/>
  <c r="EF149" i="71"/>
  <c r="EF371" i="71" s="1"/>
  <c r="DH149" i="71"/>
  <c r="DH371" i="71" s="1"/>
  <c r="BB149" i="71"/>
  <c r="BB371" i="71" s="1"/>
  <c r="AL149" i="71"/>
  <c r="AL371" i="71" s="1"/>
  <c r="CX149" i="71"/>
  <c r="CX371" i="71" s="1"/>
  <c r="CY149" i="71"/>
  <c r="CY371" i="71" s="1"/>
  <c r="CH149" i="71"/>
  <c r="CH371" i="71" s="1"/>
  <c r="ED149" i="71"/>
  <c r="ED371" i="71" s="1"/>
  <c r="DF149" i="71"/>
  <c r="DF371" i="71" s="1"/>
  <c r="BK149" i="71"/>
  <c r="BK371" i="71" s="1"/>
  <c r="DW149" i="71"/>
  <c r="DW371" i="71" s="1"/>
  <c r="BZ149" i="71"/>
  <c r="BZ371" i="71" s="1"/>
  <c r="CL149" i="71"/>
  <c r="CL371" i="71" s="1"/>
  <c r="DJ149" i="71"/>
  <c r="DJ371" i="71" s="1"/>
  <c r="BN149" i="71"/>
  <c r="BN371" i="71" s="1"/>
  <c r="EG149" i="71"/>
  <c r="EG371" i="71" s="1"/>
  <c r="EE149" i="71"/>
  <c r="CI149" i="71"/>
  <c r="CI371" i="71" s="1"/>
  <c r="DT149" i="71"/>
  <c r="DT371" i="71" s="1"/>
  <c r="CU149" i="71"/>
  <c r="CU371" i="71" s="1"/>
  <c r="DG149" i="71"/>
  <c r="DG371" i="71" s="1"/>
  <c r="AY149" i="71"/>
  <c r="AY371" i="71" s="1"/>
  <c r="DS149" i="71"/>
  <c r="DS371" i="71" s="1"/>
  <c r="CZ149" i="71"/>
  <c r="CZ371" i="71" s="1"/>
  <c r="DV149" i="71"/>
  <c r="DV371" i="71" s="1"/>
  <c r="AM149" i="71"/>
  <c r="AM371" i="71" s="1"/>
  <c r="DU149" i="71"/>
  <c r="DU371" i="71" s="1"/>
  <c r="DC149" i="71"/>
  <c r="DC371" i="71" s="1"/>
  <c r="DD371" i="71"/>
  <c r="AB146" i="69"/>
  <c r="AB368" i="69" s="1"/>
  <c r="BG149" i="71"/>
  <c r="BG371" i="71" s="1"/>
  <c r="AO371" i="71"/>
  <c r="E146" i="69"/>
  <c r="E368" i="69" s="1"/>
  <c r="E371" i="69" s="1"/>
  <c r="E371" i="71"/>
  <c r="E374" i="71" s="1"/>
  <c r="CN149" i="71"/>
  <c r="CN371" i="71" s="1"/>
  <c r="DL149" i="71"/>
  <c r="DL371" i="71" s="1"/>
  <c r="CB149" i="71"/>
  <c r="CB371" i="71" s="1"/>
  <c r="E366" i="68"/>
  <c r="D40" i="20"/>
  <c r="M40" i="20"/>
  <c r="K40" i="20"/>
  <c r="I40" i="20"/>
  <c r="N40" i="20"/>
  <c r="L40" i="20"/>
  <c r="J40" i="20"/>
  <c r="H40" i="20"/>
  <c r="R146" i="69" l="1"/>
  <c r="R368" i="69" s="1"/>
  <c r="T146" i="69"/>
  <c r="T368" i="69" s="1"/>
  <c r="AJ146" i="69"/>
  <c r="AJ368" i="69" s="1"/>
  <c r="AQ146" i="69"/>
  <c r="AQ368" i="69" s="1"/>
  <c r="S146" i="69"/>
  <c r="S368" i="69" s="1"/>
  <c r="AE146" i="69"/>
  <c r="AE368" i="69" s="1"/>
  <c r="AI146" i="69"/>
  <c r="AI368" i="69" s="1"/>
  <c r="CR371" i="71"/>
  <c r="M495" i="71" s="1"/>
  <c r="AA146" i="69"/>
  <c r="AA368" i="69" s="1"/>
  <c r="AU146" i="69"/>
  <c r="AU368" i="69" s="1"/>
  <c r="AC146" i="69"/>
  <c r="AC368" i="69" s="1"/>
  <c r="K144" i="68"/>
  <c r="K366" i="68" s="1"/>
  <c r="AR146" i="69"/>
  <c r="AR368" i="69" s="1"/>
  <c r="X146" i="69"/>
  <c r="X368" i="69" s="1"/>
  <c r="AF146" i="69"/>
  <c r="AF368" i="69" s="1"/>
  <c r="V146" i="69"/>
  <c r="V368" i="69" s="1"/>
  <c r="AW146" i="69"/>
  <c r="AW368" i="69" s="1"/>
  <c r="Y146" i="69"/>
  <c r="Y368" i="69" s="1"/>
  <c r="AN146" i="69"/>
  <c r="AN368" i="69" s="1"/>
  <c r="Z146" i="69"/>
  <c r="Z368" i="69" s="1"/>
  <c r="AV146" i="69"/>
  <c r="AV368" i="69" s="1"/>
  <c r="EE371" i="71"/>
  <c r="AM146" i="69"/>
  <c r="AM368" i="69" s="1"/>
  <c r="AT146" i="69"/>
  <c r="AT368" i="69" s="1"/>
  <c r="P144" i="68"/>
  <c r="P366" i="68" s="1"/>
  <c r="Q146" i="69"/>
  <c r="Q368" i="69" s="1"/>
  <c r="AO146" i="69"/>
  <c r="AO368" i="69" s="1"/>
  <c r="K495" i="71"/>
  <c r="I144" i="68"/>
  <c r="I366" i="68" s="1"/>
  <c r="O144" i="68"/>
  <c r="O366" i="68" s="1"/>
  <c r="AG146" i="69"/>
  <c r="AG368" i="69" s="1"/>
  <c r="AK146" i="69"/>
  <c r="AK368" i="69" s="1"/>
  <c r="L495" i="71"/>
  <c r="U146" i="69"/>
  <c r="U368" i="69" s="1"/>
  <c r="J495" i="71"/>
  <c r="AL146" i="69"/>
  <c r="AL368" i="69" s="1"/>
  <c r="AS146" i="69"/>
  <c r="AS368" i="69" s="1"/>
  <c r="L144" i="68"/>
  <c r="L366" i="68" s="1"/>
  <c r="AP146" i="69"/>
  <c r="AP368" i="69" s="1"/>
  <c r="N144" i="68"/>
  <c r="N366" i="68" s="1"/>
  <c r="AD146" i="69"/>
  <c r="AD368" i="69" s="1"/>
  <c r="AH146" i="69"/>
  <c r="AH368" i="69" s="1"/>
  <c r="M144" i="68"/>
  <c r="M366" i="68" s="1"/>
  <c r="J144" i="68"/>
  <c r="J366" i="68" s="1"/>
  <c r="W146" i="69"/>
  <c r="W368" i="69" s="1"/>
  <c r="I495" i="71"/>
  <c r="E369" i="68"/>
  <c r="T52" i="45" l="1"/>
  <c r="U52" i="45" s="1"/>
  <c r="T53" i="45"/>
  <c r="U53" i="45" s="1"/>
  <c r="T54" i="45"/>
  <c r="U54" i="45" s="1"/>
  <c r="T55" i="45"/>
  <c r="U55" i="45" s="1"/>
  <c r="T56" i="45"/>
  <c r="U56" i="45" s="1"/>
  <c r="T57" i="45"/>
  <c r="U57" i="45" s="1"/>
  <c r="T58" i="45"/>
  <c r="U58" i="45" s="1"/>
  <c r="T59" i="45"/>
  <c r="U59" i="45" s="1"/>
  <c r="T60" i="45"/>
  <c r="U60" i="45" s="1"/>
  <c r="T61" i="45"/>
  <c r="U61" i="45" s="1"/>
  <c r="T62" i="45"/>
  <c r="U62" i="45" s="1"/>
  <c r="T63" i="45"/>
  <c r="U63" i="45" s="1"/>
  <c r="V62" i="45" l="1"/>
  <c r="V58" i="45"/>
  <c r="V54" i="45"/>
  <c r="V61" i="45"/>
  <c r="V57" i="45"/>
  <c r="V53" i="45"/>
  <c r="V60" i="45"/>
  <c r="V56" i="45"/>
  <c r="V52" i="45"/>
  <c r="V63" i="45"/>
  <c r="V59" i="45"/>
  <c r="V55" i="45"/>
  <c r="AG49" i="71" l="1"/>
  <c r="AG56" i="71"/>
  <c r="AH172" i="71"/>
  <c r="AH176" i="71" s="1"/>
  <c r="AH179" i="71" s="1"/>
  <c r="AG254" i="71" l="1"/>
  <c r="AG255" i="71" s="1"/>
  <c r="AG78" i="71"/>
  <c r="AG220" i="71" s="1"/>
  <c r="AH30" i="71"/>
  <c r="AH182" i="71"/>
  <c r="AH181" i="71"/>
  <c r="AI178" i="71" s="1"/>
  <c r="AH29" i="71"/>
  <c r="AH126" i="71" l="1"/>
  <c r="AI183" i="71"/>
  <c r="AI184" i="71"/>
  <c r="AH26" i="71"/>
  <c r="AH127" i="71"/>
  <c r="AH53" i="71" l="1"/>
  <c r="AH123" i="71"/>
  <c r="AI180" i="71"/>
  <c r="O181" i="69"/>
  <c r="AI32" i="71"/>
  <c r="O180" i="69"/>
  <c r="AI129" i="71" l="1"/>
  <c r="O29" i="69"/>
  <c r="AI31" i="71"/>
  <c r="O177" i="69"/>
  <c r="O126" i="69" l="1"/>
  <c r="AI128" i="71"/>
  <c r="O28" i="69"/>
  <c r="O125" i="69" l="1"/>
  <c r="E42" i="70" l="1"/>
  <c r="F7" i="70" l="1"/>
  <c r="E7" i="70"/>
  <c r="G7" i="70" l="1"/>
  <c r="H7" i="70" l="1"/>
  <c r="I7" i="70" l="1"/>
  <c r="J7" i="70" l="1"/>
  <c r="K7" i="70" l="1"/>
  <c r="L7" i="70" l="1"/>
  <c r="M7" i="70" l="1"/>
  <c r="N7" i="70" l="1"/>
  <c r="O7" i="70" l="1"/>
  <c r="P7" i="70" l="1"/>
  <c r="Q7" i="70" l="1"/>
  <c r="R7" i="70" l="1"/>
  <c r="S7" i="70" l="1"/>
  <c r="T7" i="70" l="1"/>
  <c r="U7" i="70" l="1"/>
  <c r="V7" i="70" l="1"/>
  <c r="W7" i="70" l="1"/>
  <c r="X7" i="70" l="1"/>
  <c r="Y7" i="70" l="1"/>
  <c r="Z7" i="70" l="1"/>
  <c r="AA7" i="70" l="1"/>
  <c r="AB7" i="70" l="1"/>
  <c r="AC7" i="70" l="1"/>
  <c r="AD7" i="70" l="1"/>
  <c r="AE7" i="70" l="1"/>
  <c r="AF7" i="70" l="1"/>
  <c r="AG7" i="70" l="1"/>
  <c r="AH7" i="70" l="1"/>
  <c r="AI7" i="70" l="1"/>
  <c r="AJ7" i="70" l="1"/>
  <c r="AK7" i="70" l="1"/>
  <c r="AL7" i="70" l="1"/>
  <c r="AM7" i="70" l="1"/>
  <c r="AN7" i="70" l="1"/>
  <c r="AO7" i="70" l="1"/>
  <c r="AP7" i="70" l="1"/>
  <c r="AQ7" i="70" l="1"/>
  <c r="AR7" i="70" l="1"/>
  <c r="AS7" i="70" l="1"/>
  <c r="AT7" i="70" l="1"/>
  <c r="AU7" i="70" l="1"/>
  <c r="AV7" i="70" l="1"/>
  <c r="AW7" i="70" l="1"/>
  <c r="AX7" i="70" l="1"/>
  <c r="AY7" i="70" l="1"/>
  <c r="AZ7" i="70" l="1"/>
  <c r="BA7" i="70" l="1"/>
  <c r="BB7" i="70" l="1"/>
  <c r="BC7" i="70" l="1"/>
  <c r="BD7" i="70" l="1"/>
  <c r="BE7" i="70" l="1"/>
  <c r="BF7" i="70" l="1"/>
  <c r="BG7" i="70" l="1"/>
  <c r="BH7" i="70" l="1"/>
  <c r="BI7" i="70" l="1"/>
  <c r="BJ7" i="70" l="1"/>
  <c r="BK7" i="70" l="1"/>
  <c r="BL7" i="70" l="1"/>
  <c r="BM7" i="70" l="1"/>
  <c r="BN7" i="70" l="1"/>
  <c r="BO7" i="70" l="1"/>
  <c r="BP7" i="70" l="1"/>
  <c r="BQ7" i="70" l="1"/>
  <c r="BR7" i="70" l="1"/>
  <c r="BS7" i="70" l="1"/>
  <c r="BT7" i="70" l="1"/>
  <c r="BU7" i="70" l="1"/>
  <c r="BV7" i="70" l="1"/>
  <c r="BW7" i="70" l="1"/>
  <c r="BX7" i="70" l="1"/>
  <c r="BY7" i="70" l="1"/>
  <c r="BZ7" i="70" l="1"/>
  <c r="CA7" i="70" l="1"/>
  <c r="CB7" i="70" l="1"/>
  <c r="CC7" i="70" l="1"/>
  <c r="CD7" i="70" l="1"/>
  <c r="CE7" i="70" l="1"/>
  <c r="CF7" i="70" l="1"/>
  <c r="CG7" i="70" l="1"/>
  <c r="CH7" i="70" l="1"/>
  <c r="CI7" i="70" l="1"/>
  <c r="CJ7" i="70" l="1"/>
  <c r="CK7" i="70" l="1"/>
  <c r="CL7" i="70" l="1"/>
  <c r="CM7" i="70" l="1"/>
  <c r="CN7" i="70" l="1"/>
  <c r="CO7" i="70" l="1"/>
  <c r="CP7" i="70" l="1"/>
  <c r="CQ7" i="70" l="1"/>
  <c r="CR7" i="70" l="1"/>
  <c r="CS7" i="70" l="1"/>
  <c r="CT7" i="70" l="1"/>
  <c r="CU7" i="70" l="1"/>
  <c r="CV7" i="70" l="1"/>
  <c r="CW7" i="70" l="1"/>
  <c r="CX7" i="70" l="1"/>
  <c r="CY7" i="70" l="1"/>
  <c r="CZ7" i="70" l="1"/>
  <c r="F43" i="70"/>
  <c r="G43" i="70" s="1"/>
  <c r="DA7" i="70" l="1"/>
  <c r="DB7" i="70" l="1"/>
  <c r="DC7" i="70" l="1"/>
  <c r="DD7" i="70" l="1"/>
  <c r="DE7" i="70" l="1"/>
  <c r="DF7" i="70" l="1"/>
  <c r="DG7" i="70" l="1"/>
  <c r="DH7" i="70" l="1"/>
  <c r="DI7" i="70" l="1"/>
  <c r="DJ7" i="70" l="1"/>
  <c r="DK7" i="70" l="1"/>
  <c r="DL7" i="70" l="1"/>
  <c r="DM7" i="70" l="1"/>
  <c r="DN7" i="70" l="1"/>
  <c r="DO7" i="70" l="1"/>
  <c r="DP7" i="70" l="1"/>
  <c r="DQ7" i="70" l="1"/>
  <c r="DR7" i="70" l="1"/>
  <c r="DS7" i="70" l="1"/>
  <c r="DT7" i="70" l="1"/>
  <c r="DU7" i="70" l="1"/>
  <c r="DV7" i="70" l="1"/>
  <c r="DW7" i="70" l="1"/>
  <c r="DX7" i="70" l="1"/>
  <c r="DY7" i="70" l="1"/>
  <c r="DZ7" i="70" l="1"/>
  <c r="EA7" i="70" l="1"/>
  <c r="EB7" i="70" l="1"/>
  <c r="EC7" i="70" l="1"/>
  <c r="ED7" i="70" l="1"/>
  <c r="EE7" i="70" l="1"/>
  <c r="EF7" i="70" l="1"/>
  <c r="EG7" i="70" l="1"/>
  <c r="AH49" i="71" l="1"/>
  <c r="AH56" i="71"/>
  <c r="AI172" i="71"/>
  <c r="AI176" i="71" s="1"/>
  <c r="AI179" i="71" s="1"/>
  <c r="O176" i="69" s="1"/>
  <c r="O179" i="69" s="1"/>
  <c r="AH254" i="71" l="1"/>
  <c r="AH78" i="71"/>
  <c r="O169" i="69"/>
  <c r="O173" i="69" s="1"/>
  <c r="AH255" i="71"/>
  <c r="AI30" i="71"/>
  <c r="AI182" i="71"/>
  <c r="AI181" i="71"/>
  <c r="AJ178" i="71" s="1"/>
  <c r="AI29" i="71"/>
  <c r="O178" i="69"/>
  <c r="P175" i="69" s="1"/>
  <c r="AH220" i="71" l="1"/>
  <c r="AI126" i="71"/>
  <c r="O26" i="69"/>
  <c r="AJ183" i="71"/>
  <c r="AJ184" i="71"/>
  <c r="AI26" i="71"/>
  <c r="AI127" i="71"/>
  <c r="O27" i="69"/>
  <c r="AI123" i="71" l="1"/>
  <c r="AI53" i="71"/>
  <c r="O23" i="69"/>
  <c r="AJ180" i="71"/>
  <c r="AJ32" i="71"/>
  <c r="O123" i="69"/>
  <c r="O124" i="69"/>
  <c r="AJ129" i="71" l="1"/>
  <c r="AJ31" i="71"/>
  <c r="O50" i="69"/>
  <c r="O120" i="69"/>
  <c r="AJ128" i="71" l="1"/>
  <c r="N14" i="17" l="1"/>
  <c r="X91" i="45" l="1"/>
  <c r="Y91" i="45" l="1"/>
  <c r="Z91" i="45"/>
  <c r="X92" i="45"/>
  <c r="Y92" i="45" l="1"/>
  <c r="Z92" i="45"/>
  <c r="X93" i="45" l="1"/>
  <c r="X94" i="45" l="1"/>
  <c r="Y93" i="45"/>
  <c r="Z93" i="45"/>
  <c r="Y94" i="45" l="1"/>
  <c r="Z94" i="45"/>
  <c r="AM49" i="71" l="1"/>
  <c r="AM56" i="71"/>
  <c r="AM78" i="71" s="1"/>
  <c r="AN172" i="71"/>
  <c r="AN29" i="71" s="1"/>
  <c r="AN126" i="71" s="1"/>
  <c r="AM254" i="71" l="1"/>
  <c r="AM255" i="71" s="1"/>
  <c r="AM220" i="71"/>
  <c r="AN176" i="71"/>
  <c r="AN179" i="71" s="1"/>
  <c r="AN30" i="71" l="1"/>
  <c r="AN127" i="71" s="1"/>
  <c r="AN182" i="71"/>
  <c r="AN26" i="71" s="1"/>
  <c r="AN53" i="71" l="1"/>
  <c r="AN123" i="71"/>
  <c r="T64" i="45" l="1"/>
  <c r="U64" i="45" s="1"/>
  <c r="T65" i="45"/>
  <c r="V65" i="45" s="1"/>
  <c r="T66" i="45"/>
  <c r="U66" i="45" s="1"/>
  <c r="T67" i="45"/>
  <c r="U67" i="45" s="1"/>
  <c r="T68" i="45"/>
  <c r="U68" i="45" s="1"/>
  <c r="T69" i="45"/>
  <c r="V69" i="45" s="1"/>
  <c r="T70" i="45"/>
  <c r="U70" i="45" s="1"/>
  <c r="T71" i="45"/>
  <c r="U71" i="45" s="1"/>
  <c r="T72" i="45"/>
  <c r="U72" i="45" s="1"/>
  <c r="T73" i="45"/>
  <c r="V73" i="45" s="1"/>
  <c r="T74" i="45"/>
  <c r="U74" i="45" s="1"/>
  <c r="T75" i="45"/>
  <c r="U75" i="45" s="1"/>
  <c r="T76" i="45"/>
  <c r="U76" i="45" s="1"/>
  <c r="T77" i="45"/>
  <c r="V77" i="45" s="1"/>
  <c r="T78" i="45"/>
  <c r="U78" i="45" s="1"/>
  <c r="X95" i="45"/>
  <c r="Y95" i="45" s="1"/>
  <c r="X96" i="45"/>
  <c r="Y96" i="45" s="1"/>
  <c r="X97" i="45"/>
  <c r="Y97" i="45" s="1"/>
  <c r="X98" i="45"/>
  <c r="Y98" i="45" s="1"/>
  <c r="X99" i="45"/>
  <c r="Y99" i="45" s="1"/>
  <c r="X100" i="45"/>
  <c r="Y100" i="45" s="1"/>
  <c r="X101" i="45"/>
  <c r="Y101" i="45" s="1"/>
  <c r="X102" i="45"/>
  <c r="Y102" i="45" s="1"/>
  <c r="X103" i="45"/>
  <c r="Y103" i="45" s="1"/>
  <c r="X104" i="45"/>
  <c r="Y104" i="45" s="1"/>
  <c r="X105" i="45"/>
  <c r="Y105" i="45" s="1"/>
  <c r="X106" i="45"/>
  <c r="Y106" i="45" s="1"/>
  <c r="X107" i="45"/>
  <c r="Z107" i="45" s="1"/>
  <c r="AO14" i="70"/>
  <c r="BA14" i="70"/>
  <c r="EG14" i="70"/>
  <c r="E15" i="70"/>
  <c r="EG17" i="70"/>
  <c r="P30" i="70"/>
  <c r="P31" i="70"/>
  <c r="P32" i="70"/>
  <c r="Z97" i="45" l="1"/>
  <c r="Z96" i="45"/>
  <c r="V74" i="45"/>
  <c r="V68" i="45"/>
  <c r="U73" i="45"/>
  <c r="V67" i="45"/>
  <c r="V78" i="45"/>
  <c r="V72" i="45"/>
  <c r="V66" i="45"/>
  <c r="Z99" i="45"/>
  <c r="U77" i="45"/>
  <c r="V71" i="45"/>
  <c r="U65" i="45"/>
  <c r="V76" i="45"/>
  <c r="V70" i="45"/>
  <c r="V64" i="45"/>
  <c r="Z106" i="45"/>
  <c r="V75" i="45"/>
  <c r="U69" i="45"/>
  <c r="Y107" i="45"/>
  <c r="Z104" i="45"/>
  <c r="Z101" i="45"/>
  <c r="Z98" i="45"/>
  <c r="Z95" i="45"/>
  <c r="Z103" i="45"/>
  <c r="Z100" i="45"/>
  <c r="Z105" i="45"/>
  <c r="Z102" i="45"/>
  <c r="T79" i="45" l="1"/>
  <c r="T80" i="45"/>
  <c r="U80" i="45" s="1"/>
  <c r="T81" i="45"/>
  <c r="T82" i="45"/>
  <c r="U82" i="45" s="1"/>
  <c r="T83" i="45"/>
  <c r="V83" i="45" s="1"/>
  <c r="T84" i="45"/>
  <c r="V84" i="45" s="1"/>
  <c r="T85" i="45"/>
  <c r="U85" i="45" s="1"/>
  <c r="T86" i="45"/>
  <c r="T87" i="45"/>
  <c r="V87" i="45" s="1"/>
  <c r="X109" i="45"/>
  <c r="X110" i="45"/>
  <c r="X111" i="45"/>
  <c r="Y111" i="45" s="1"/>
  <c r="X112" i="45"/>
  <c r="Z112" i="45" s="1"/>
  <c r="X113" i="45"/>
  <c r="Y113" i="45" s="1"/>
  <c r="X114" i="45"/>
  <c r="Y114" i="45" s="1"/>
  <c r="X115" i="45"/>
  <c r="Y115" i="45" s="1"/>
  <c r="X116" i="45"/>
  <c r="Y116" i="45" s="1"/>
  <c r="W21" i="19"/>
  <c r="W22" i="19" s="1"/>
  <c r="W24" i="19" s="1"/>
  <c r="X21" i="19"/>
  <c r="X22" i="19" s="1"/>
  <c r="X24" i="19" s="1"/>
  <c r="Y21" i="19"/>
  <c r="Y22" i="19" s="1"/>
  <c r="Y24" i="19" s="1"/>
  <c r="AL49" i="71"/>
  <c r="AL56" i="71"/>
  <c r="AM172" i="71"/>
  <c r="AM176" i="71" s="1"/>
  <c r="AM179" i="71" s="1"/>
  <c r="Y52" i="2"/>
  <c r="Q169" i="69" l="1"/>
  <c r="Q173" i="69" s="1"/>
  <c r="AL254" i="71"/>
  <c r="AL255" i="71" s="1"/>
  <c r="AL78" i="71"/>
  <c r="U87" i="45"/>
  <c r="Y112" i="45"/>
  <c r="Z116" i="45"/>
  <c r="Z115" i="45"/>
  <c r="Z111" i="45"/>
  <c r="Z114" i="45"/>
  <c r="V85" i="45"/>
  <c r="Z113" i="45"/>
  <c r="U83" i="45"/>
  <c r="V82" i="45"/>
  <c r="V80" i="45"/>
  <c r="Z52" i="2"/>
  <c r="Z110" i="45"/>
  <c r="Y110" i="45"/>
  <c r="X52" i="2"/>
  <c r="AM182" i="71"/>
  <c r="Q176" i="69"/>
  <c r="AM30" i="71"/>
  <c r="U79" i="45"/>
  <c r="V79" i="45"/>
  <c r="U86" i="45"/>
  <c r="V86" i="45"/>
  <c r="AM29" i="71"/>
  <c r="U81" i="45"/>
  <c r="V81" i="45"/>
  <c r="Y109" i="45"/>
  <c r="Z109" i="45"/>
  <c r="U84" i="45"/>
  <c r="AL220" i="71" l="1"/>
  <c r="Q26" i="69"/>
  <c r="AM126" i="71"/>
  <c r="Q27" i="69"/>
  <c r="AM127" i="71"/>
  <c r="AM26" i="71"/>
  <c r="Q179" i="69"/>
  <c r="Q123" i="69" l="1"/>
  <c r="AM53" i="71"/>
  <c r="AM123" i="71"/>
  <c r="Q23" i="69"/>
  <c r="Q124" i="69"/>
  <c r="Q50" i="69" l="1"/>
  <c r="Q120" i="69"/>
  <c r="F154" i="32" l="1"/>
  <c r="G154" i="32"/>
  <c r="E154" i="32"/>
  <c r="AO49" i="71"/>
  <c r="Q46" i="69" s="1"/>
  <c r="Q251" i="69" s="1"/>
  <c r="Q252" i="69" s="1"/>
  <c r="AO56" i="71"/>
  <c r="AP172" i="71"/>
  <c r="AC190" i="71"/>
  <c r="G185" i="68" s="1"/>
  <c r="DN190" i="71"/>
  <c r="T31" i="70"/>
  <c r="U190" i="71"/>
  <c r="K187" i="69" s="1"/>
  <c r="AA31" i="70"/>
  <c r="AG31" i="70"/>
  <c r="AH31" i="70"/>
  <c r="AI31" i="70"/>
  <c r="AV31" i="70"/>
  <c r="AW31" i="70"/>
  <c r="AY31" i="70"/>
  <c r="H181" i="32"/>
  <c r="BI31" i="70"/>
  <c r="BJ31" i="70"/>
  <c r="BK31" i="70"/>
  <c r="BP190" i="71"/>
  <c r="BX190" i="71"/>
  <c r="J181" i="32"/>
  <c r="CC31" i="70"/>
  <c r="CD31" i="70"/>
  <c r="CK190" i="71"/>
  <c r="L185" i="68" s="1"/>
  <c r="CL31" i="70"/>
  <c r="CM31" i="70"/>
  <c r="CZ31" i="70"/>
  <c r="DA31" i="70"/>
  <c r="DN31" i="70"/>
  <c r="DO31" i="70"/>
  <c r="DQ31" i="70"/>
  <c r="DR31" i="70"/>
  <c r="DS31" i="70"/>
  <c r="DT31" i="70"/>
  <c r="W32" i="70"/>
  <c r="X32" i="70"/>
  <c r="AK191" i="71"/>
  <c r="AL191" i="71"/>
  <c r="AM191" i="71"/>
  <c r="Q188" i="69" s="1"/>
  <c r="AN32" i="70"/>
  <c r="AX32" i="70"/>
  <c r="AY32" i="70"/>
  <c r="AZ32" i="70"/>
  <c r="BG191" i="71"/>
  <c r="BL32" i="70"/>
  <c r="I182" i="32"/>
  <c r="BN32" i="70"/>
  <c r="BZ32" i="70"/>
  <c r="CA32" i="70"/>
  <c r="CB191" i="71"/>
  <c r="CO32" i="70"/>
  <c r="CP32" i="70"/>
  <c r="CR191" i="71"/>
  <c r="AJ188" i="69" s="1"/>
  <c r="CT32" i="70"/>
  <c r="DB32" i="70"/>
  <c r="DC191" i="71"/>
  <c r="DD191" i="71"/>
  <c r="AN188" i="69" s="1"/>
  <c r="DJ191" i="71"/>
  <c r="AP188" i="69" s="1"/>
  <c r="DQ191" i="71"/>
  <c r="DR32" i="70"/>
  <c r="DQ190" i="71" l="1"/>
  <c r="AV190" i="71"/>
  <c r="T187" i="69" s="1"/>
  <c r="AH190" i="71"/>
  <c r="T190" i="71"/>
  <c r="CA191" i="71"/>
  <c r="DO190" i="71"/>
  <c r="AI190" i="71"/>
  <c r="DA190" i="71"/>
  <c r="AM187" i="69" s="1"/>
  <c r="BZ191" i="71"/>
  <c r="AD188" i="69" s="1"/>
  <c r="CZ190" i="71"/>
  <c r="BN191" i="71"/>
  <c r="Z188" i="69" s="1"/>
  <c r="CM190" i="71"/>
  <c r="BM191" i="71"/>
  <c r="J186" i="68" s="1"/>
  <c r="CL190" i="71"/>
  <c r="AH187" i="69" s="1"/>
  <c r="AO78" i="71"/>
  <c r="BL191" i="71"/>
  <c r="AZ191" i="71"/>
  <c r="CC190" i="71"/>
  <c r="AE187" i="69" s="1"/>
  <c r="AY191" i="71"/>
  <c r="U188" i="69" s="1"/>
  <c r="BK190" i="71"/>
  <c r="Y187" i="69" s="1"/>
  <c r="AX191" i="71"/>
  <c r="BJ190" i="71"/>
  <c r="DT190" i="71"/>
  <c r="BA190" i="71"/>
  <c r="I185" i="68" s="1"/>
  <c r="DS190" i="71"/>
  <c r="AS187" i="69" s="1"/>
  <c r="AY190" i="71"/>
  <c r="U187" i="69" s="1"/>
  <c r="DR190" i="71"/>
  <c r="AW190" i="71"/>
  <c r="BY31" i="70"/>
  <c r="BX31" i="70"/>
  <c r="CB32" i="70"/>
  <c r="BG32" i="70"/>
  <c r="U31" i="70"/>
  <c r="X191" i="71"/>
  <c r="L188" i="69" s="1"/>
  <c r="W191" i="71"/>
  <c r="DQ32" i="70"/>
  <c r="DR191" i="71"/>
  <c r="DD32" i="70"/>
  <c r="AK32" i="70"/>
  <c r="CP191" i="71"/>
  <c r="DC32" i="70"/>
  <c r="AM32" i="70"/>
  <c r="Q53" i="69"/>
  <c r="CO191" i="71"/>
  <c r="AI188" i="69" s="1"/>
  <c r="AL32" i="70"/>
  <c r="AP176" i="71"/>
  <c r="AP179" i="71" s="1"/>
  <c r="AP182" i="71" s="1"/>
  <c r="AR32" i="70"/>
  <c r="AR191" i="71"/>
  <c r="BB31" i="70"/>
  <c r="BB190" i="71"/>
  <c r="V187" i="69" s="1"/>
  <c r="DG32" i="70"/>
  <c r="DG191" i="71"/>
  <c r="AO188" i="69" s="1"/>
  <c r="BQ32" i="70"/>
  <c r="BQ191" i="71"/>
  <c r="AA188" i="69" s="1"/>
  <c r="DD31" i="70"/>
  <c r="DD190" i="71"/>
  <c r="AN187" i="69" s="1"/>
  <c r="DE191" i="71"/>
  <c r="DE32" i="70"/>
  <c r="Y32" i="70"/>
  <c r="Y191" i="71"/>
  <c r="BL31" i="70"/>
  <c r="BL190" i="71"/>
  <c r="BT191" i="71"/>
  <c r="AB188" i="69" s="1"/>
  <c r="BT32" i="70"/>
  <c r="N181" i="32"/>
  <c r="DU31" i="70"/>
  <c r="BC190" i="71"/>
  <c r="BC31" i="70"/>
  <c r="AL190" i="71"/>
  <c r="AL31" i="70"/>
  <c r="CQ32" i="70"/>
  <c r="CQ191" i="71"/>
  <c r="H182" i="32"/>
  <c r="BA191" i="71"/>
  <c r="I186" i="68" s="1"/>
  <c r="AX31" i="70"/>
  <c r="AX190" i="71"/>
  <c r="DO32" i="70"/>
  <c r="DO191" i="71"/>
  <c r="DA32" i="70"/>
  <c r="DA191" i="71"/>
  <c r="AM188" i="69" s="1"/>
  <c r="CM32" i="70"/>
  <c r="CM191" i="71"/>
  <c r="J182" i="32"/>
  <c r="BY32" i="70"/>
  <c r="BY191" i="71"/>
  <c r="K186" i="68" s="1"/>
  <c r="BK32" i="70"/>
  <c r="BK191" i="71"/>
  <c r="Y188" i="69" s="1"/>
  <c r="AW32" i="70"/>
  <c r="AW191" i="71"/>
  <c r="AI32" i="70"/>
  <c r="AI191" i="71"/>
  <c r="U32" i="70"/>
  <c r="U191" i="71"/>
  <c r="K188" i="69" s="1"/>
  <c r="DL31" i="70"/>
  <c r="DL190" i="71"/>
  <c r="CX31" i="70"/>
  <c r="CX190" i="71"/>
  <c r="AL187" i="69" s="1"/>
  <c r="CJ31" i="70"/>
  <c r="CJ190" i="71"/>
  <c r="BV31" i="70"/>
  <c r="BV190" i="71"/>
  <c r="BH31" i="70"/>
  <c r="BH190" i="71"/>
  <c r="X187" i="69" s="1"/>
  <c r="AT31" i="70"/>
  <c r="AT190" i="71"/>
  <c r="AF31" i="70"/>
  <c r="AF190" i="71"/>
  <c r="R31" i="70"/>
  <c r="R190" i="71"/>
  <c r="J187" i="69" s="1"/>
  <c r="AA190" i="71"/>
  <c r="M187" i="69" s="1"/>
  <c r="CV32" i="70"/>
  <c r="CV191" i="71"/>
  <c r="BF32" i="70"/>
  <c r="BF191" i="71"/>
  <c r="DG190" i="71"/>
  <c r="AO187" i="69" s="1"/>
  <c r="DG31" i="70"/>
  <c r="CE31" i="70"/>
  <c r="CE190" i="71"/>
  <c r="G181" i="32"/>
  <c r="AO31" i="70"/>
  <c r="AO190" i="71"/>
  <c r="H185" i="68" s="1"/>
  <c r="CU32" i="70"/>
  <c r="CU191" i="71"/>
  <c r="AK188" i="69" s="1"/>
  <c r="Z31" i="70"/>
  <c r="Z190" i="71"/>
  <c r="CS32" i="70"/>
  <c r="CS191" i="71"/>
  <c r="BC191" i="71"/>
  <c r="BC32" i="70"/>
  <c r="CP190" i="71"/>
  <c r="CP31" i="70"/>
  <c r="AZ31" i="70"/>
  <c r="AZ190" i="71"/>
  <c r="DJ32" i="70"/>
  <c r="DS32" i="70"/>
  <c r="DS191" i="71"/>
  <c r="AS188" i="69" s="1"/>
  <c r="BO191" i="71"/>
  <c r="BO32" i="70"/>
  <c r="DB31" i="70"/>
  <c r="DB190" i="71"/>
  <c r="BZ31" i="70"/>
  <c r="BZ190" i="71"/>
  <c r="AD187" i="69" s="1"/>
  <c r="AO220" i="71"/>
  <c r="Q75" i="69"/>
  <c r="DM191" i="71"/>
  <c r="AQ188" i="69" s="1"/>
  <c r="DM32" i="70"/>
  <c r="CY191" i="71"/>
  <c r="CY32" i="70"/>
  <c r="K182" i="32"/>
  <c r="CK191" i="71"/>
  <c r="L186" i="68" s="1"/>
  <c r="CK32" i="70"/>
  <c r="BW191" i="71"/>
  <c r="AC188" i="69" s="1"/>
  <c r="BW32" i="70"/>
  <c r="BI191" i="71"/>
  <c r="BI32" i="70"/>
  <c r="AU191" i="71"/>
  <c r="AU32" i="70"/>
  <c r="AG191" i="71"/>
  <c r="O188" i="69" s="1"/>
  <c r="AG32" i="70"/>
  <c r="S191" i="71"/>
  <c r="S32" i="70"/>
  <c r="DJ190" i="71"/>
  <c r="AP187" i="69" s="1"/>
  <c r="DJ31" i="70"/>
  <c r="CV190" i="71"/>
  <c r="CV31" i="70"/>
  <c r="CH190" i="71"/>
  <c r="CH31" i="70"/>
  <c r="BT190" i="71"/>
  <c r="AB187" i="69" s="1"/>
  <c r="BT31" i="70"/>
  <c r="BF190" i="71"/>
  <c r="BF31" i="70"/>
  <c r="AR190" i="71"/>
  <c r="AR31" i="70"/>
  <c r="AD190" i="71"/>
  <c r="N187" i="69" s="1"/>
  <c r="AD31" i="70"/>
  <c r="CD190" i="71"/>
  <c r="BA32" i="70"/>
  <c r="CG191" i="71"/>
  <c r="CG32" i="70"/>
  <c r="AQ32" i="70"/>
  <c r="AQ191" i="71"/>
  <c r="CR31" i="70"/>
  <c r="CR190" i="71"/>
  <c r="AJ187" i="69" s="1"/>
  <c r="G182" i="32"/>
  <c r="AO32" i="70"/>
  <c r="AO191" i="71"/>
  <c r="H186" i="68" s="1"/>
  <c r="BN31" i="70"/>
  <c r="BN190" i="71"/>
  <c r="Z187" i="69" s="1"/>
  <c r="X190" i="71"/>
  <c r="L187" i="69" s="1"/>
  <c r="X31" i="70"/>
  <c r="CC32" i="70"/>
  <c r="CC191" i="71"/>
  <c r="AE188" i="69" s="1"/>
  <c r="DP31" i="70"/>
  <c r="DP190" i="71"/>
  <c r="AR187" i="69" s="1"/>
  <c r="V190" i="71"/>
  <c r="V31" i="70"/>
  <c r="CJ191" i="71"/>
  <c r="CJ32" i="70"/>
  <c r="BH191" i="71"/>
  <c r="X188" i="69" s="1"/>
  <c r="BH32" i="70"/>
  <c r="R191" i="71"/>
  <c r="J188" i="69" s="1"/>
  <c r="R32" i="70"/>
  <c r="CU31" i="70"/>
  <c r="CU190" i="71"/>
  <c r="AK187" i="69" s="1"/>
  <c r="BS31" i="70"/>
  <c r="BS190" i="71"/>
  <c r="AQ31" i="70"/>
  <c r="AQ190" i="71"/>
  <c r="BP31" i="70"/>
  <c r="CH191" i="71"/>
  <c r="CH32" i="70"/>
  <c r="AD32" i="70"/>
  <c r="AD191" i="71"/>
  <c r="N188" i="69" s="1"/>
  <c r="CS31" i="70"/>
  <c r="CS190" i="71"/>
  <c r="BQ31" i="70"/>
  <c r="BQ190" i="71"/>
  <c r="AA187" i="69" s="1"/>
  <c r="M182" i="32"/>
  <c r="DI32" i="70"/>
  <c r="DI191" i="71"/>
  <c r="N186" i="68" s="1"/>
  <c r="BS191" i="71"/>
  <c r="BS32" i="70"/>
  <c r="BE32" i="70"/>
  <c r="BE191" i="71"/>
  <c r="W188" i="69" s="1"/>
  <c r="F182" i="32"/>
  <c r="AC32" i="70"/>
  <c r="AC191" i="71"/>
  <c r="G186" i="68" s="1"/>
  <c r="DF190" i="71"/>
  <c r="DF31" i="70"/>
  <c r="AN190" i="71"/>
  <c r="AN31" i="70"/>
  <c r="N182" i="32"/>
  <c r="DU191" i="71"/>
  <c r="O186" i="68" s="1"/>
  <c r="DU32" i="70"/>
  <c r="CE32" i="70"/>
  <c r="CE191" i="71"/>
  <c r="AA32" i="70"/>
  <c r="AA191" i="71"/>
  <c r="M188" i="69" s="1"/>
  <c r="CB31" i="70"/>
  <c r="CB190" i="71"/>
  <c r="CN190" i="71"/>
  <c r="CN31" i="70"/>
  <c r="AJ190" i="71"/>
  <c r="P187" i="69" s="1"/>
  <c r="AJ31" i="70"/>
  <c r="DL191" i="71"/>
  <c r="DL32" i="70"/>
  <c r="CX191" i="71"/>
  <c r="AL188" i="69" s="1"/>
  <c r="CX32" i="70"/>
  <c r="BV191" i="71"/>
  <c r="BV32" i="70"/>
  <c r="AT191" i="71"/>
  <c r="AT32" i="70"/>
  <c r="AF191" i="71"/>
  <c r="AF32" i="70"/>
  <c r="M181" i="32"/>
  <c r="DI31" i="70"/>
  <c r="DI190" i="71"/>
  <c r="N185" i="68" s="1"/>
  <c r="CG31" i="70"/>
  <c r="CG190" i="71"/>
  <c r="BE190" i="71"/>
  <c r="W187" i="69" s="1"/>
  <c r="BE31" i="70"/>
  <c r="F181" i="32"/>
  <c r="AC31" i="70"/>
  <c r="DK32" i="70"/>
  <c r="DK191" i="71"/>
  <c r="L182" i="32"/>
  <c r="CW32" i="70"/>
  <c r="CW191" i="71"/>
  <c r="M186" i="68" s="1"/>
  <c r="CI191" i="71"/>
  <c r="AG188" i="69" s="1"/>
  <c r="CI32" i="70"/>
  <c r="BU32" i="70"/>
  <c r="BU191" i="71"/>
  <c r="AS32" i="70"/>
  <c r="AS191" i="71"/>
  <c r="S188" i="69" s="1"/>
  <c r="AE32" i="70"/>
  <c r="AE191" i="71"/>
  <c r="E182" i="32"/>
  <c r="Q191" i="71"/>
  <c r="Q32" i="70"/>
  <c r="DH31" i="70"/>
  <c r="DH190" i="71"/>
  <c r="CT31" i="70"/>
  <c r="CT190" i="71"/>
  <c r="CF31" i="70"/>
  <c r="CF190" i="71"/>
  <c r="AF187" i="69" s="1"/>
  <c r="BR31" i="70"/>
  <c r="BR190" i="71"/>
  <c r="BD190" i="71"/>
  <c r="BD31" i="70"/>
  <c r="AP31" i="70"/>
  <c r="AP190" i="71"/>
  <c r="R187" i="69" s="1"/>
  <c r="AB31" i="70"/>
  <c r="AB190" i="71"/>
  <c r="DU190" i="71"/>
  <c r="O185" i="68" s="1"/>
  <c r="DH32" i="70"/>
  <c r="DH191" i="71"/>
  <c r="CF32" i="70"/>
  <c r="CF191" i="71"/>
  <c r="AF188" i="69" s="1"/>
  <c r="BR191" i="71"/>
  <c r="BR32" i="70"/>
  <c r="BD32" i="70"/>
  <c r="BD191" i="71"/>
  <c r="AP32" i="70"/>
  <c r="AP191" i="71"/>
  <c r="R188" i="69" s="1"/>
  <c r="AB32" i="70"/>
  <c r="AB191" i="71"/>
  <c r="DE190" i="71"/>
  <c r="DE31" i="70"/>
  <c r="CQ190" i="71"/>
  <c r="CQ31" i="70"/>
  <c r="BO31" i="70"/>
  <c r="BO190" i="71"/>
  <c r="AM190" i="71"/>
  <c r="Q187" i="69" s="1"/>
  <c r="AM31" i="70"/>
  <c r="Y31" i="70"/>
  <c r="Y190" i="71"/>
  <c r="BA31" i="70"/>
  <c r="DT191" i="71"/>
  <c r="DT32" i="70"/>
  <c r="DF32" i="70"/>
  <c r="DF191" i="71"/>
  <c r="CD32" i="70"/>
  <c r="CD191" i="71"/>
  <c r="BP32" i="70"/>
  <c r="BP191" i="71"/>
  <c r="BB191" i="71"/>
  <c r="V188" i="69" s="1"/>
  <c r="BB32" i="70"/>
  <c r="Z32" i="70"/>
  <c r="Z191" i="71"/>
  <c r="DC190" i="71"/>
  <c r="DC31" i="70"/>
  <c r="CO190" i="71"/>
  <c r="AI187" i="69" s="1"/>
  <c r="CO31" i="70"/>
  <c r="CA31" i="70"/>
  <c r="CA190" i="71"/>
  <c r="I181" i="32"/>
  <c r="BM31" i="70"/>
  <c r="BM190" i="71"/>
  <c r="J185" i="68" s="1"/>
  <c r="AK31" i="70"/>
  <c r="AK190" i="71"/>
  <c r="W190" i="71"/>
  <c r="W31" i="70"/>
  <c r="CR32" i="70"/>
  <c r="CT191" i="71"/>
  <c r="AN191" i="71"/>
  <c r="AG190" i="71"/>
  <c r="O187" i="69" s="1"/>
  <c r="DP32" i="70"/>
  <c r="DP191" i="71"/>
  <c r="AR188" i="69" s="1"/>
  <c r="CN32" i="70"/>
  <c r="CN191" i="71"/>
  <c r="AJ32" i="70"/>
  <c r="AJ191" i="71"/>
  <c r="P188" i="69" s="1"/>
  <c r="V32" i="70"/>
  <c r="V191" i="71"/>
  <c r="DM31" i="70"/>
  <c r="DM190" i="71"/>
  <c r="AQ187" i="69" s="1"/>
  <c r="CY31" i="70"/>
  <c r="CY190" i="71"/>
  <c r="K181" i="32"/>
  <c r="CK31" i="70"/>
  <c r="BW31" i="70"/>
  <c r="BW190" i="71"/>
  <c r="AC187" i="69" s="1"/>
  <c r="AU31" i="70"/>
  <c r="AU190" i="71"/>
  <c r="S31" i="70"/>
  <c r="S190" i="71"/>
  <c r="AP29" i="71"/>
  <c r="DB191" i="71"/>
  <c r="BI190" i="71"/>
  <c r="DN32" i="70"/>
  <c r="DN191" i="71"/>
  <c r="CZ32" i="70"/>
  <c r="CZ191" i="71"/>
  <c r="CL32" i="70"/>
  <c r="CL191" i="71"/>
  <c r="AH188" i="69" s="1"/>
  <c r="BX32" i="70"/>
  <c r="BX191" i="71"/>
  <c r="BJ32" i="70"/>
  <c r="BJ191" i="71"/>
  <c r="AV32" i="70"/>
  <c r="AV191" i="71"/>
  <c r="T188" i="69" s="1"/>
  <c r="AH32" i="70"/>
  <c r="AH191" i="71"/>
  <c r="T32" i="70"/>
  <c r="T191" i="71"/>
  <c r="DK31" i="70"/>
  <c r="DK190" i="71"/>
  <c r="L181" i="32"/>
  <c r="CW31" i="70"/>
  <c r="CW190" i="71"/>
  <c r="M185" i="68" s="1"/>
  <c r="CI31" i="70"/>
  <c r="CI190" i="71"/>
  <c r="AG187" i="69" s="1"/>
  <c r="BU31" i="70"/>
  <c r="BU190" i="71"/>
  <c r="BG31" i="70"/>
  <c r="BG190" i="71"/>
  <c r="AS31" i="70"/>
  <c r="AS190" i="71"/>
  <c r="S187" i="69" s="1"/>
  <c r="AE31" i="70"/>
  <c r="AE190" i="71"/>
  <c r="E181" i="32"/>
  <c r="Q31" i="70"/>
  <c r="Q190" i="71"/>
  <c r="AO254" i="71"/>
  <c r="BY190" i="71"/>
  <c r="K185" i="68" s="1"/>
  <c r="BM32" i="70"/>
  <c r="AP30" i="71" l="1"/>
  <c r="AO255" i="71"/>
  <c r="C188" i="69"/>
  <c r="C190" i="71"/>
  <c r="F185" i="68"/>
  <c r="C185" i="68" s="1"/>
  <c r="C187" i="69"/>
  <c r="AP126" i="71"/>
  <c r="AP127" i="71"/>
  <c r="Q217" i="69"/>
  <c r="C191" i="71"/>
  <c r="F186" i="68"/>
  <c r="C186" i="68" s="1"/>
  <c r="AR49" i="71" l="1"/>
  <c r="AR56" i="71"/>
  <c r="AS172" i="71"/>
  <c r="AS29" i="71" s="1"/>
  <c r="AS126" i="71" s="1"/>
  <c r="S123" i="69" s="1"/>
  <c r="H117" i="32"/>
  <c r="H120" i="32"/>
  <c r="H121" i="32"/>
  <c r="H124" i="32"/>
  <c r="H127" i="32"/>
  <c r="H134" i="32"/>
  <c r="H138" i="32"/>
  <c r="H142" i="32"/>
  <c r="H87" i="32" l="1"/>
  <c r="S169" i="69"/>
  <c r="S173" i="69" s="1"/>
  <c r="S26" i="69"/>
  <c r="H122" i="32"/>
  <c r="AS176" i="71"/>
  <c r="AS179" i="71" s="1"/>
  <c r="H103" i="32"/>
  <c r="H53" i="32"/>
  <c r="H37" i="32"/>
  <c r="H17" i="32"/>
  <c r="H129" i="32"/>
  <c r="H36" i="32"/>
  <c r="AR78" i="71"/>
  <c r="AR254" i="71"/>
  <c r="AR255" i="71" s="1"/>
  <c r="H132" i="32"/>
  <c r="H136" i="32"/>
  <c r="H116" i="32"/>
  <c r="H118" i="32" s="1"/>
  <c r="H22" i="32"/>
  <c r="H140" i="32"/>
  <c r="H78" i="32"/>
  <c r="H76" i="32" l="1"/>
  <c r="H125" i="32"/>
  <c r="H128" i="32" s="1"/>
  <c r="H130" i="32" s="1"/>
  <c r="H133" i="32" s="1"/>
  <c r="H135" i="32" s="1"/>
  <c r="H137" i="32" s="1"/>
  <c r="H139" i="32" s="1"/>
  <c r="H141" i="32" s="1"/>
  <c r="H143" i="32" s="1"/>
  <c r="H147" i="32"/>
  <c r="AS30" i="71"/>
  <c r="AS182" i="71"/>
  <c r="AS26" i="71" s="1"/>
  <c r="S176" i="69"/>
  <c r="S179" i="69" s="1"/>
  <c r="H112" i="32"/>
  <c r="H101" i="32"/>
  <c r="H62" i="32"/>
  <c r="H51" i="32"/>
  <c r="AR220" i="71"/>
  <c r="H146" i="32" l="1"/>
  <c r="H148" i="32"/>
  <c r="AS53" i="71"/>
  <c r="S50" i="69" s="1"/>
  <c r="S23" i="69"/>
  <c r="AS123" i="71"/>
  <c r="S120" i="69" s="1"/>
  <c r="S27" i="69"/>
  <c r="AS127" i="71"/>
  <c r="S124" i="69" s="1"/>
  <c r="AP49" i="71"/>
  <c r="I44" i="68" s="1"/>
  <c r="AP56" i="71"/>
  <c r="I51" i="68" s="1"/>
  <c r="AQ172" i="71"/>
  <c r="AQ176" i="71" s="1"/>
  <c r="AQ179" i="71" s="1"/>
  <c r="R176" i="69" s="1"/>
  <c r="R179" i="69" s="1"/>
  <c r="AP254" i="71" l="1"/>
  <c r="AP255" i="71" s="1"/>
  <c r="AP78" i="71"/>
  <c r="R169" i="69"/>
  <c r="R173" i="69" s="1"/>
  <c r="R75" i="69"/>
  <c r="R217" i="69" s="1"/>
  <c r="R53" i="69"/>
  <c r="R46" i="69"/>
  <c r="R251" i="69" s="1"/>
  <c r="I174" i="68"/>
  <c r="AQ30" i="71"/>
  <c r="AQ182" i="71"/>
  <c r="I167" i="68"/>
  <c r="I171" i="68" s="1"/>
  <c r="AQ29" i="71"/>
  <c r="I249" i="68"/>
  <c r="I73" i="68" l="1"/>
  <c r="AP220" i="71"/>
  <c r="I215" i="68" s="1"/>
  <c r="I24" i="68"/>
  <c r="AQ126" i="71"/>
  <c r="R26" i="69"/>
  <c r="I177" i="68"/>
  <c r="AQ26" i="71"/>
  <c r="I25" i="68"/>
  <c r="AQ127" i="71"/>
  <c r="R27" i="69"/>
  <c r="R252" i="69"/>
  <c r="I250" i="68"/>
  <c r="I122" i="68" l="1"/>
  <c r="R124" i="69"/>
  <c r="AQ53" i="71"/>
  <c r="AQ123" i="71"/>
  <c r="I121" i="68"/>
  <c r="R123" i="69"/>
  <c r="R50" i="83" l="1"/>
  <c r="R52" i="83" s="1"/>
  <c r="R54" i="83" s="1" a="1"/>
  <c r="W51" i="83"/>
  <c r="W53" i="83" s="1"/>
  <c r="W55" i="83" s="1" a="1"/>
  <c r="N50" i="83"/>
  <c r="N52" i="83" s="1"/>
  <c r="N54" i="83" s="1" a="1"/>
  <c r="BJ50" i="83"/>
  <c r="BJ52" i="83" s="1"/>
  <c r="AP51" i="83"/>
  <c r="AP55" i="83" s="1" a="1"/>
  <c r="AG50" i="83"/>
  <c r="AG52" i="83" s="1"/>
  <c r="K51" i="83"/>
  <c r="K53" i="83" s="1"/>
  <c r="K55" i="83" s="1" a="1"/>
  <c r="AY50" i="83"/>
  <c r="AY54" i="83" s="1" a="1"/>
  <c r="AD51" i="83"/>
  <c r="AD53" i="83" s="1"/>
  <c r="BG51" i="83"/>
  <c r="BG53" i="83" s="1"/>
  <c r="AV51" i="83"/>
  <c r="AV53" i="83" s="1"/>
  <c r="AC51" i="83"/>
  <c r="AW50" i="83"/>
  <c r="M50" i="83"/>
  <c r="BK51" i="83"/>
  <c r="AB51" i="83"/>
  <c r="AV50" i="83"/>
  <c r="L50" i="83"/>
  <c r="BJ51" i="83"/>
  <c r="AR51" i="83"/>
  <c r="Y51" i="83"/>
  <c r="H51" i="83"/>
  <c r="AU50" i="83"/>
  <c r="AB50" i="83"/>
  <c r="K50" i="83"/>
  <c r="AU51" i="83"/>
  <c r="J51" i="83"/>
  <c r="AF50" i="83"/>
  <c r="AS51" i="83"/>
  <c r="I51" i="83"/>
  <c r="AC50" i="83"/>
  <c r="BI51" i="83"/>
  <c r="AQ51" i="83"/>
  <c r="X51" i="83"/>
  <c r="BK50" i="83"/>
  <c r="AT50" i="83"/>
  <c r="AA50" i="83"/>
  <c r="J50" i="83"/>
  <c r="Z50" i="83"/>
  <c r="BF51" i="83"/>
  <c r="AM51" i="83"/>
  <c r="V51" i="83"/>
  <c r="BI50" i="83"/>
  <c r="AP50" i="83"/>
  <c r="Y50" i="83"/>
  <c r="G50" i="83"/>
  <c r="BE51" i="83"/>
  <c r="AL51" i="83"/>
  <c r="U51" i="83"/>
  <c r="BH50" i="83"/>
  <c r="AO50" i="83"/>
  <c r="X50" i="83"/>
  <c r="F50" i="83"/>
  <c r="I50" i="83"/>
  <c r="BD51" i="83"/>
  <c r="AK51" i="83"/>
  <c r="T51" i="83"/>
  <c r="BE50" i="83"/>
  <c r="AN50" i="83"/>
  <c r="W50" i="83"/>
  <c r="E50" i="83"/>
  <c r="BA51" i="83"/>
  <c r="AJ51" i="83"/>
  <c r="S51" i="83"/>
  <c r="BD50" i="83"/>
  <c r="AM50" i="83"/>
  <c r="U50" i="83"/>
  <c r="D50" i="83"/>
  <c r="AQ50" i="83"/>
  <c r="AI51" i="83"/>
  <c r="Q51" i="83"/>
  <c r="AL50" i="83"/>
  <c r="P51" i="83"/>
  <c r="S50" i="83"/>
  <c r="AZ51" i="83"/>
  <c r="BC50" i="83"/>
  <c r="T50" i="83"/>
  <c r="AY51" i="83"/>
  <c r="BB50" i="83"/>
  <c r="AX51" i="83"/>
  <c r="AG51" i="83"/>
  <c r="O51" i="83"/>
  <c r="BA50" i="83"/>
  <c r="AI50" i="83"/>
  <c r="H50" i="83"/>
  <c r="G51" i="83"/>
  <c r="F51" i="83"/>
  <c r="E51" i="83"/>
  <c r="D51" i="83"/>
  <c r="AH51" i="83"/>
  <c r="AK50" i="83"/>
  <c r="AW51" i="83"/>
  <c r="AE51" i="83"/>
  <c r="N51" i="83"/>
  <c r="AZ50" i="83"/>
  <c r="AH50" i="83"/>
  <c r="O50" i="83"/>
  <c r="BC51" i="83"/>
  <c r="AO51" i="83"/>
  <c r="AA51" i="83"/>
  <c r="M51" i="83"/>
  <c r="BG50" i="83"/>
  <c r="AS50" i="83"/>
  <c r="AE50" i="83"/>
  <c r="Q50" i="83"/>
  <c r="BB51" i="83"/>
  <c r="AN51" i="83"/>
  <c r="Z51" i="83"/>
  <c r="L51" i="83"/>
  <c r="BF50" i="83"/>
  <c r="AR50" i="83"/>
  <c r="AD50" i="83"/>
  <c r="P50" i="83"/>
  <c r="BH51" i="83"/>
  <c r="AT51" i="83"/>
  <c r="AF51" i="83"/>
  <c r="R51" i="83"/>
  <c r="AX50" i="83"/>
  <c r="AJ50" i="83"/>
  <c r="V50" i="83"/>
  <c r="BJ54" i="83" l="1" a="1"/>
  <c r="AP53" i="83"/>
  <c r="AY52" i="83"/>
  <c r="AD55" i="83" a="1"/>
  <c r="AV55" i="83" a="1"/>
  <c r="BG55" i="83" a="1"/>
  <c r="AG54" i="83" a="1"/>
  <c r="X52" i="83"/>
  <c r="X54" i="83" s="1" a="1"/>
  <c r="I53" i="83"/>
  <c r="I55" i="83" s="1" a="1"/>
  <c r="M52" i="83"/>
  <c r="M54" i="83" s="1" a="1"/>
  <c r="V53" i="83"/>
  <c r="V55" i="83" s="1" a="1"/>
  <c r="L52" i="83"/>
  <c r="L54" i="83" s="1" a="1"/>
  <c r="AU53" i="83"/>
  <c r="AU55" i="83" a="1"/>
  <c r="AT53" i="83"/>
  <c r="AT55" i="83" a="1"/>
  <c r="M53" i="83"/>
  <c r="M55" i="83" s="1" a="1"/>
  <c r="F53" i="83"/>
  <c r="F55" i="83" s="1" a="1"/>
  <c r="AM54" i="83" a="1"/>
  <c r="AM52" i="83"/>
  <c r="AI52" i="83"/>
  <c r="AI54" i="83" a="1"/>
  <c r="AL54" i="83" a="1"/>
  <c r="AL52" i="83"/>
  <c r="BA53" i="83"/>
  <c r="BA55" i="83" a="1"/>
  <c r="AO54" i="83" a="1"/>
  <c r="AO52" i="83"/>
  <c r="AW52" i="83"/>
  <c r="AW54" i="83" a="1"/>
  <c r="BF52" i="83"/>
  <c r="BF54" i="83" a="1"/>
  <c r="AH52" i="83"/>
  <c r="AH54" i="83" a="1"/>
  <c r="BA54" i="83" a="1"/>
  <c r="BA52" i="83"/>
  <c r="Q53" i="83"/>
  <c r="Q55" i="83" s="1" a="1"/>
  <c r="E52" i="83"/>
  <c r="E54" i="83" s="1" a="1"/>
  <c r="AZ53" i="83"/>
  <c r="AZ55" i="83" a="1"/>
  <c r="U52" i="83"/>
  <c r="U54" i="83" s="1" a="1"/>
  <c r="BI52" i="83"/>
  <c r="BI54" i="83" a="1"/>
  <c r="AC52" i="83"/>
  <c r="AC54" i="83" s="1" a="1"/>
  <c r="BJ53" i="83"/>
  <c r="BJ55" i="83" a="1"/>
  <c r="AG53" i="83"/>
  <c r="AG55" i="83" a="1"/>
  <c r="AQ54" i="83" a="1"/>
  <c r="AQ52" i="83"/>
  <c r="AN54" i="83" a="1"/>
  <c r="AN52" i="83"/>
  <c r="U53" i="83"/>
  <c r="U55" i="83" s="1" a="1"/>
  <c r="AA52" i="83"/>
  <c r="AA54" i="83" s="1" a="1"/>
  <c r="K52" i="83"/>
  <c r="K54" i="83" s="1" a="1"/>
  <c r="K56" i="83" s="1"/>
  <c r="K26" i="83" s="1"/>
  <c r="K33" i="83" s="1"/>
  <c r="K34" i="83" s="1"/>
  <c r="K22" i="83" s="1"/>
  <c r="J237" i="3" s="1"/>
  <c r="BH53" i="83"/>
  <c r="BH55" i="83" a="1"/>
  <c r="AA53" i="83"/>
  <c r="AA55" i="83" s="1" a="1"/>
  <c r="G53" i="83"/>
  <c r="G55" i="83" s="1" a="1"/>
  <c r="BD52" i="83"/>
  <c r="BD54" i="83" a="1"/>
  <c r="AM53" i="83"/>
  <c r="AM55" i="83" a="1"/>
  <c r="AS53" i="83"/>
  <c r="AS55" i="83" a="1"/>
  <c r="AV52" i="83"/>
  <c r="AV54" i="83" a="1"/>
  <c r="L53" i="83"/>
  <c r="L55" i="83" s="1" a="1"/>
  <c r="AZ54" i="83" a="1"/>
  <c r="AZ52" i="83"/>
  <c r="P52" i="83"/>
  <c r="P54" i="83" s="1" a="1"/>
  <c r="AO53" i="83"/>
  <c r="AO55" i="83" a="1"/>
  <c r="H52" i="83"/>
  <c r="H54" i="83" s="1" a="1"/>
  <c r="AN53" i="83"/>
  <c r="AN55" i="83" a="1"/>
  <c r="AE53" i="83"/>
  <c r="AE55" i="83" s="1" a="1"/>
  <c r="BB54" i="83" a="1"/>
  <c r="BB52" i="83"/>
  <c r="T53" i="83"/>
  <c r="T55" i="83" s="1" a="1"/>
  <c r="BE53" i="83"/>
  <c r="BE55" i="83" a="1"/>
  <c r="BK52" i="83"/>
  <c r="BK54" i="83" a="1"/>
  <c r="AU52" i="83"/>
  <c r="AU54" i="83" a="1"/>
  <c r="AJ52" i="83"/>
  <c r="AJ54" i="83" a="1"/>
  <c r="Q52" i="83"/>
  <c r="Q54" i="83" s="1" a="1"/>
  <c r="AK52" i="83"/>
  <c r="AK54" i="83" a="1"/>
  <c r="AD52" i="83"/>
  <c r="AD54" i="83" s="1" a="1"/>
  <c r="BC53" i="83"/>
  <c r="BC55" i="83" a="1"/>
  <c r="S52" i="83"/>
  <c r="S54" i="83" s="1" a="1"/>
  <c r="S53" i="83"/>
  <c r="S55" i="83" s="1" a="1"/>
  <c r="BF53" i="83"/>
  <c r="BF55" i="83" a="1"/>
  <c r="AF52" i="83"/>
  <c r="AF54" i="83" s="1" a="1"/>
  <c r="AB53" i="83"/>
  <c r="AB55" i="83" s="1" a="1"/>
  <c r="AR52" i="83"/>
  <c r="AR54" i="83" a="1"/>
  <c r="O52" i="83"/>
  <c r="O54" i="83" s="1" a="1"/>
  <c r="P53" i="83"/>
  <c r="P55" i="83" s="1" a="1"/>
  <c r="AJ53" i="83"/>
  <c r="AJ55" i="83" a="1"/>
  <c r="F52" i="83"/>
  <c r="F54" i="83" s="1" a="1"/>
  <c r="Z52" i="83"/>
  <c r="Z54" i="83" s="1" a="1"/>
  <c r="J53" i="83"/>
  <c r="J55" i="83" s="1" a="1"/>
  <c r="BK53" i="83"/>
  <c r="BK55" i="83" a="1"/>
  <c r="Z53" i="83"/>
  <c r="Z55" i="83" s="1" a="1"/>
  <c r="N53" i="83"/>
  <c r="N55" i="83" s="1" a="1"/>
  <c r="N56" i="83" s="1"/>
  <c r="N26" i="83" s="1"/>
  <c r="N33" i="83" s="1"/>
  <c r="N34" i="83" s="1"/>
  <c r="N22" i="83" s="1"/>
  <c r="M237" i="3" s="1"/>
  <c r="O53" i="83"/>
  <c r="O55" i="83" s="1" a="1"/>
  <c r="AI53" i="83"/>
  <c r="AI55" i="83" a="1"/>
  <c r="W52" i="83"/>
  <c r="W54" i="83" s="1" a="1"/>
  <c r="W56" i="83" s="1"/>
  <c r="W26" i="83" s="1"/>
  <c r="W33" i="83" s="1"/>
  <c r="W34" i="83" s="1"/>
  <c r="W22" i="83" s="1"/>
  <c r="V237" i="3" s="1"/>
  <c r="BH52" i="83"/>
  <c r="BH54" i="83" a="1"/>
  <c r="J52" i="83"/>
  <c r="J54" i="83" s="1" a="1"/>
  <c r="AC53" i="83"/>
  <c r="AC55" i="83" s="1" a="1"/>
  <c r="V52" i="83"/>
  <c r="V54" i="83" s="1" a="1"/>
  <c r="BB53" i="83"/>
  <c r="BB55" i="83" a="1"/>
  <c r="AW53" i="83"/>
  <c r="AW55" i="83" a="1"/>
  <c r="AX53" i="83"/>
  <c r="AX55" i="83" a="1"/>
  <c r="BE54" i="83" a="1"/>
  <c r="BE52" i="83"/>
  <c r="AL53" i="83"/>
  <c r="AL55" i="83" a="1"/>
  <c r="AT52" i="83"/>
  <c r="AT54" i="83" a="1"/>
  <c r="AB52" i="83"/>
  <c r="AB54" i="83" s="1" a="1"/>
  <c r="AX52" i="83"/>
  <c r="AX54" i="83" a="1"/>
  <c r="AE52" i="83"/>
  <c r="AE54" i="83" s="1" a="1"/>
  <c r="AH53" i="83"/>
  <c r="AH55" i="83" a="1"/>
  <c r="AY53" i="83"/>
  <c r="AY55" i="83" a="1"/>
  <c r="AY56" i="83" s="1"/>
  <c r="AY26" i="83" s="1"/>
  <c r="AY33" i="83" s="1"/>
  <c r="AK53" i="83"/>
  <c r="AK55" i="83" a="1"/>
  <c r="G52" i="83"/>
  <c r="G54" i="83" s="1" a="1"/>
  <c r="X53" i="83"/>
  <c r="X55" i="83" s="1" a="1"/>
  <c r="H53" i="83"/>
  <c r="H55" i="83" s="1" a="1"/>
  <c r="R53" i="83"/>
  <c r="R55" i="83" s="1" a="1"/>
  <c r="R56" i="83" s="1"/>
  <c r="R26" i="83" s="1"/>
  <c r="R33" i="83" s="1"/>
  <c r="R34" i="83" s="1"/>
  <c r="R22" i="83" s="1"/>
  <c r="Q237" i="3" s="1"/>
  <c r="AS52" i="83"/>
  <c r="AS54" i="83" a="1"/>
  <c r="D53" i="83"/>
  <c r="D55" i="83" s="1" a="1"/>
  <c r="T52" i="83"/>
  <c r="T54" i="83" s="1" a="1"/>
  <c r="BD53" i="83"/>
  <c r="BD55" i="83" a="1"/>
  <c r="Y52" i="83"/>
  <c r="Y54" i="83" s="1" a="1"/>
  <c r="AQ53" i="83"/>
  <c r="AQ55" i="83" a="1"/>
  <c r="Y53" i="83"/>
  <c r="Y55" i="83" s="1" a="1"/>
  <c r="AF53" i="83"/>
  <c r="AF55" i="83" s="1" a="1"/>
  <c r="BG52" i="83"/>
  <c r="BG54" i="83" a="1"/>
  <c r="E53" i="83"/>
  <c r="E55" i="83" s="1" a="1"/>
  <c r="BC54" i="83" a="1"/>
  <c r="BC52" i="83"/>
  <c r="D52" i="83"/>
  <c r="D54" i="83" a="1"/>
  <c r="I52" i="83"/>
  <c r="I54" i="83" s="1" a="1"/>
  <c r="AP52" i="83"/>
  <c r="AP54" i="83" a="1"/>
  <c r="AP56" i="83" s="1"/>
  <c r="AP26" i="83" s="1"/>
  <c r="AP33" i="83" s="1"/>
  <c r="BI53" i="83"/>
  <c r="BI55" i="83" a="1"/>
  <c r="AR53" i="83"/>
  <c r="AR55" i="83" a="1"/>
  <c r="BJ56" i="83" l="1"/>
  <c r="BJ26" i="83" s="1"/>
  <c r="BJ33" i="83" s="1"/>
  <c r="W28" i="83"/>
  <c r="K28" i="83"/>
  <c r="N28" i="83"/>
  <c r="R28" i="83"/>
  <c r="AV56" i="83"/>
  <c r="AV26" i="83" s="1"/>
  <c r="AV33" i="83" s="1"/>
  <c r="AD56" i="83"/>
  <c r="AD26" i="83" s="1"/>
  <c r="AD33" i="83" s="1"/>
  <c r="AH56" i="83"/>
  <c r="AH26" i="83" s="1"/>
  <c r="AH33" i="83" s="1"/>
  <c r="AG56" i="83"/>
  <c r="AG26" i="83" s="1"/>
  <c r="AG33" i="83" s="1"/>
  <c r="BG56" i="83"/>
  <c r="BG26" i="83" s="1"/>
  <c r="BG33" i="83" s="1"/>
  <c r="BD56" i="83"/>
  <c r="BD26" i="83" s="1"/>
  <c r="BD33" i="83" s="1"/>
  <c r="AR56" i="83"/>
  <c r="AR26" i="83" s="1"/>
  <c r="AR33" i="83" s="1"/>
  <c r="BF56" i="83"/>
  <c r="BF26" i="83" s="1"/>
  <c r="BF33" i="83" s="1"/>
  <c r="AW56" i="83"/>
  <c r="AW26" i="83" s="1"/>
  <c r="AW33" i="83" s="1"/>
  <c r="BI56" i="83"/>
  <c r="BI26" i="83" s="1"/>
  <c r="BI33" i="83" s="1"/>
  <c r="BA56" i="83"/>
  <c r="BA26" i="83" s="1"/>
  <c r="BA33" i="83" s="1"/>
  <c r="D56" i="83"/>
  <c r="D26" i="83" s="1"/>
  <c r="D33" i="83" s="1"/>
  <c r="D34" i="83" s="1"/>
  <c r="T56" i="83"/>
  <c r="T26" i="83" s="1"/>
  <c r="T33" i="83" s="1"/>
  <c r="T34" i="83" s="1"/>
  <c r="T22" i="83" s="1"/>
  <c r="S237" i="3" s="1"/>
  <c r="AO56" i="83"/>
  <c r="AO26" i="83" s="1"/>
  <c r="AO33" i="83" s="1"/>
  <c r="S56" i="83"/>
  <c r="S26" i="83" s="1"/>
  <c r="S33" i="83" s="1"/>
  <c r="S34" i="83" s="1"/>
  <c r="S22" i="83" s="1"/>
  <c r="R237" i="3" s="1"/>
  <c r="AN56" i="83"/>
  <c r="AN26" i="83" s="1"/>
  <c r="AN33" i="83" s="1"/>
  <c r="V56" i="83"/>
  <c r="V26" i="83" s="1"/>
  <c r="V33" i="83" s="1"/>
  <c r="V34" i="83" s="1"/>
  <c r="V22" i="83" s="1"/>
  <c r="U237" i="3" s="1"/>
  <c r="AI56" i="83"/>
  <c r="AI26" i="83" s="1"/>
  <c r="AI33" i="83" s="1"/>
  <c r="U56" i="83"/>
  <c r="U26" i="83" s="1"/>
  <c r="U33" i="83" s="1"/>
  <c r="U34" i="83" s="1"/>
  <c r="U22" i="83" s="1"/>
  <c r="T237" i="3" s="1"/>
  <c r="AU56" i="83"/>
  <c r="AU26" i="83" s="1"/>
  <c r="AU33" i="83" s="1"/>
  <c r="AX56" i="83"/>
  <c r="AX26" i="83" s="1"/>
  <c r="AX33" i="83" s="1"/>
  <c r="L56" i="83"/>
  <c r="L26" i="83" s="1"/>
  <c r="L33" i="83" s="1"/>
  <c r="L34" i="83" s="1"/>
  <c r="L22" i="83" s="1"/>
  <c r="K237" i="3" s="1"/>
  <c r="I56" i="83"/>
  <c r="I26" i="83" s="1"/>
  <c r="I33" i="83" s="1"/>
  <c r="I34" i="83" s="1"/>
  <c r="I22" i="83" s="1"/>
  <c r="H237" i="3" s="1"/>
  <c r="AB56" i="83"/>
  <c r="AB26" i="83" s="1"/>
  <c r="AB33" i="83" s="1"/>
  <c r="Q56" i="83"/>
  <c r="Q26" i="83" s="1"/>
  <c r="Q33" i="83" s="1"/>
  <c r="Q34" i="83" s="1"/>
  <c r="Q22" i="83" s="1"/>
  <c r="P237" i="3" s="1"/>
  <c r="AF56" i="83"/>
  <c r="AF26" i="83" s="1"/>
  <c r="AF33" i="83" s="1"/>
  <c r="H56" i="83"/>
  <c r="H26" i="83" s="1"/>
  <c r="H33" i="83" s="1"/>
  <c r="AE56" i="83"/>
  <c r="AE26" i="83" s="1"/>
  <c r="AE33" i="83" s="1"/>
  <c r="J56" i="83"/>
  <c r="J26" i="83" s="1"/>
  <c r="J33" i="83" s="1"/>
  <c r="J34" i="83" s="1"/>
  <c r="J22" i="83" s="1"/>
  <c r="I237" i="3" s="1"/>
  <c r="Y56" i="83"/>
  <c r="Y26" i="83" s="1"/>
  <c r="Y33" i="83" s="1"/>
  <c r="BH56" i="83"/>
  <c r="BH26" i="83" s="1"/>
  <c r="BH33" i="83" s="1"/>
  <c r="BB56" i="83"/>
  <c r="BB26" i="83" s="1"/>
  <c r="BB33" i="83" s="1"/>
  <c r="G56" i="83"/>
  <c r="G26" i="83" s="1"/>
  <c r="G33" i="83" s="1"/>
  <c r="F56" i="83"/>
  <c r="F26" i="83" s="1"/>
  <c r="F33" i="83" s="1"/>
  <c r="F34" i="83" s="1"/>
  <c r="F22" i="83" s="1"/>
  <c r="E237" i="3" s="1"/>
  <c r="AA56" i="83"/>
  <c r="AA26" i="83" s="1"/>
  <c r="AA33" i="83" s="1"/>
  <c r="AM56" i="83"/>
  <c r="AM26" i="83" s="1"/>
  <c r="AM33" i="83" s="1"/>
  <c r="AJ56" i="83"/>
  <c r="AJ26" i="83" s="1"/>
  <c r="AJ33" i="83" s="1"/>
  <c r="Z56" i="83"/>
  <c r="Z26" i="83" s="1"/>
  <c r="Z33" i="83" s="1"/>
  <c r="AQ56" i="83"/>
  <c r="AQ26" i="83" s="1"/>
  <c r="AQ33" i="83" s="1"/>
  <c r="O56" i="83"/>
  <c r="O26" i="83" s="1"/>
  <c r="O33" i="83" s="1"/>
  <c r="O34" i="83" s="1"/>
  <c r="O22" i="83" s="1"/>
  <c r="N237" i="3" s="1"/>
  <c r="X56" i="83"/>
  <c r="X26" i="83" s="1"/>
  <c r="X33" i="83" s="1"/>
  <c r="X34" i="83" s="1"/>
  <c r="X22" i="83" s="1"/>
  <c r="W237" i="3" s="1"/>
  <c r="P56" i="83"/>
  <c r="P26" i="83" s="1"/>
  <c r="P33" i="83" s="1"/>
  <c r="P34" i="83" s="1"/>
  <c r="P22" i="83" s="1"/>
  <c r="O237" i="3" s="1"/>
  <c r="BC56" i="83"/>
  <c r="BC26" i="83" s="1"/>
  <c r="BC33" i="83" s="1"/>
  <c r="E56" i="83"/>
  <c r="E26" i="83" s="1"/>
  <c r="E33" i="83" s="1"/>
  <c r="E34" i="83" s="1"/>
  <c r="E22" i="83" s="1"/>
  <c r="D237" i="3" s="1"/>
  <c r="AK56" i="83"/>
  <c r="AK26" i="83" s="1"/>
  <c r="AK33" i="83" s="1"/>
  <c r="AL56" i="83"/>
  <c r="AL26" i="83" s="1"/>
  <c r="AL33" i="83" s="1"/>
  <c r="BE56" i="83"/>
  <c r="BE26" i="83" s="1"/>
  <c r="BE33" i="83" s="1"/>
  <c r="AZ56" i="83"/>
  <c r="AZ26" i="83" s="1"/>
  <c r="AZ33" i="83" s="1"/>
  <c r="AT56" i="83"/>
  <c r="AT26" i="83" s="1"/>
  <c r="AT33" i="83" s="1"/>
  <c r="AS56" i="83"/>
  <c r="AS26" i="83" s="1"/>
  <c r="AS33" i="83" s="1"/>
  <c r="M56" i="83"/>
  <c r="M26" i="83" s="1"/>
  <c r="M33" i="83" s="1"/>
  <c r="M34" i="83" s="1"/>
  <c r="M22" i="83" s="1"/>
  <c r="L237" i="3" s="1"/>
  <c r="AC56" i="83"/>
  <c r="AC26" i="83" s="1"/>
  <c r="AC33" i="83" s="1"/>
  <c r="BK56" i="83"/>
  <c r="BK26" i="83" s="1"/>
  <c r="BK33" i="83" s="1"/>
  <c r="M28" i="83" l="1"/>
  <c r="S28" i="83"/>
  <c r="Q28" i="83"/>
  <c r="T28" i="83"/>
  <c r="D22" i="83"/>
  <c r="C237" i="3" s="1"/>
  <c r="Q258" i="3"/>
  <c r="T25" i="2"/>
  <c r="I28" i="83"/>
  <c r="F28" i="83"/>
  <c r="L28" i="83"/>
  <c r="M258" i="3"/>
  <c r="P25" i="2"/>
  <c r="H34" i="83"/>
  <c r="H22" i="83" s="1"/>
  <c r="G237" i="3" s="1"/>
  <c r="G34" i="83"/>
  <c r="G22" i="83" s="1"/>
  <c r="F237" i="3" s="1"/>
  <c r="E28" i="83"/>
  <c r="U28" i="83"/>
  <c r="J258" i="3"/>
  <c r="M25" i="2"/>
  <c r="P28" i="83"/>
  <c r="V258" i="3"/>
  <c r="Y25" i="2"/>
  <c r="O28" i="83"/>
  <c r="X28" i="83"/>
  <c r="J28" i="83"/>
  <c r="V28" i="83"/>
  <c r="Y34" i="83" l="1"/>
  <c r="Y22" i="83" s="1"/>
  <c r="X237" i="3" s="1"/>
  <c r="G28" i="83"/>
  <c r="H28" i="83"/>
  <c r="D28" i="83"/>
  <c r="S258" i="3"/>
  <c r="V25" i="2"/>
  <c r="U258" i="3"/>
  <c r="X25" i="2"/>
  <c r="P258" i="3"/>
  <c r="S25" i="2"/>
  <c r="P45" i="2"/>
  <c r="P46" i="2"/>
  <c r="P35" i="70" s="1"/>
  <c r="O258" i="3"/>
  <c r="R25" i="2"/>
  <c r="K258" i="3"/>
  <c r="N25" i="2"/>
  <c r="M46" i="2"/>
  <c r="M35" i="70" s="1"/>
  <c r="M45" i="2"/>
  <c r="Y45" i="2"/>
  <c r="Y46" i="2"/>
  <c r="Y35" i="70" s="1"/>
  <c r="I258" i="3"/>
  <c r="L25" i="2"/>
  <c r="E258" i="3"/>
  <c r="H25" i="2"/>
  <c r="R258" i="3"/>
  <c r="U25" i="2"/>
  <c r="H258" i="3"/>
  <c r="K25" i="2"/>
  <c r="W258" i="3"/>
  <c r="Z25" i="2"/>
  <c r="N258" i="3"/>
  <c r="Q25" i="2"/>
  <c r="T258" i="3"/>
  <c r="W25" i="2"/>
  <c r="T45" i="2"/>
  <c r="T46" i="2"/>
  <c r="T35" i="70" s="1"/>
  <c r="D258" i="3"/>
  <c r="G25" i="2"/>
  <c r="L258" i="3"/>
  <c r="O25" i="2"/>
  <c r="Z34" i="83" l="1"/>
  <c r="Y28" i="83"/>
  <c r="C258" i="3"/>
  <c r="F25" i="2"/>
  <c r="K46" i="2"/>
  <c r="K35" i="70" s="1"/>
  <c r="K45" i="2"/>
  <c r="N45" i="2"/>
  <c r="N46" i="2"/>
  <c r="N35" i="70" s="1"/>
  <c r="X45" i="2"/>
  <c r="X46" i="2"/>
  <c r="X35" i="70" s="1"/>
  <c r="W45" i="2"/>
  <c r="W46" i="2"/>
  <c r="W35" i="70" s="1"/>
  <c r="U46" i="2"/>
  <c r="U35" i="70" s="1"/>
  <c r="U45" i="2"/>
  <c r="R45" i="2"/>
  <c r="R46" i="2"/>
  <c r="O45" i="2"/>
  <c r="O46" i="2"/>
  <c r="O35" i="70" s="1"/>
  <c r="G258" i="3"/>
  <c r="J25" i="2"/>
  <c r="G46" i="2"/>
  <c r="G35" i="70" s="1"/>
  <c r="G45" i="2"/>
  <c r="Z46" i="2"/>
  <c r="Z35" i="70" s="1"/>
  <c r="Z45" i="2"/>
  <c r="H46" i="2"/>
  <c r="H35" i="70" s="1"/>
  <c r="H45" i="2"/>
  <c r="S45" i="2"/>
  <c r="S46" i="2"/>
  <c r="S35" i="70" s="1"/>
  <c r="Q45" i="2"/>
  <c r="Q46" i="2"/>
  <c r="Q35" i="70" s="1"/>
  <c r="L46" i="2"/>
  <c r="L35" i="70" s="1"/>
  <c r="L45" i="2"/>
  <c r="V46" i="2"/>
  <c r="V35" i="70" s="1"/>
  <c r="V45" i="2"/>
  <c r="F258" i="3"/>
  <c r="I25" i="2"/>
  <c r="Z22" i="83" l="1"/>
  <c r="Y237" i="3" s="1"/>
  <c r="AA34" i="83"/>
  <c r="AA25" i="2"/>
  <c r="X258" i="3"/>
  <c r="F46" i="2"/>
  <c r="F26" i="2"/>
  <c r="G26" i="2" s="1"/>
  <c r="H26" i="2" s="1"/>
  <c r="I26" i="2" s="1"/>
  <c r="J26" i="2" s="1"/>
  <c r="K26" i="2" s="1"/>
  <c r="L26" i="2" s="1"/>
  <c r="M26" i="2" s="1"/>
  <c r="N26" i="2" s="1"/>
  <c r="O26" i="2" s="1"/>
  <c r="P26" i="2" s="1"/>
  <c r="Q26" i="2" s="1"/>
  <c r="E24" i="20"/>
  <c r="F45" i="2"/>
  <c r="I45" i="2"/>
  <c r="I46" i="2"/>
  <c r="I35" i="70" s="1"/>
  <c r="R35" i="70"/>
  <c r="J46" i="2"/>
  <c r="J35" i="70" s="1"/>
  <c r="J45" i="2"/>
  <c r="R17" i="19"/>
  <c r="S33" i="2" s="1"/>
  <c r="S17" i="19"/>
  <c r="T33" i="2" s="1"/>
  <c r="AH130" i="6" l="1"/>
  <c r="AA22" i="83"/>
  <c r="Z237" i="3" s="1"/>
  <c r="AB34" i="83"/>
  <c r="Z28" i="83"/>
  <c r="AA46" i="2"/>
  <c r="AA35" i="70" s="1"/>
  <c r="AA45" i="2"/>
  <c r="E44" i="20"/>
  <c r="E25" i="20"/>
  <c r="R26" i="2"/>
  <c r="S26" i="2" s="1"/>
  <c r="T26" i="2" s="1"/>
  <c r="U26" i="2" s="1"/>
  <c r="V26" i="2" s="1"/>
  <c r="W26" i="2" s="1"/>
  <c r="X26" i="2" s="1"/>
  <c r="Y26" i="2" s="1"/>
  <c r="Z26" i="2" s="1"/>
  <c r="AA26" i="2" s="1"/>
  <c r="F35" i="70"/>
  <c r="E45" i="20"/>
  <c r="Y258" i="3" l="1"/>
  <c r="AB25" i="2"/>
  <c r="AB22" i="83"/>
  <c r="AA237" i="3" s="1"/>
  <c r="AA28" i="83"/>
  <c r="AC34" i="83"/>
  <c r="Z258" i="3" l="1"/>
  <c r="AC25" i="2"/>
  <c r="AC22" i="83"/>
  <c r="AB237" i="3" s="1"/>
  <c r="AD34" i="83"/>
  <c r="AB28" i="83"/>
  <c r="AB46" i="2"/>
  <c r="AB35" i="70" s="1"/>
  <c r="AB45" i="2"/>
  <c r="AB26" i="2"/>
  <c r="AC26" i="2" l="1"/>
  <c r="F25" i="20" s="1"/>
  <c r="AA258" i="3"/>
  <c r="AD25" i="2"/>
  <c r="AC46" i="2"/>
  <c r="F24" i="20"/>
  <c r="AC45" i="2"/>
  <c r="AE34" i="83"/>
  <c r="AD22" i="83"/>
  <c r="AC237" i="3" s="1"/>
  <c r="AB258" i="3"/>
  <c r="AC28" i="83"/>
  <c r="EG35" i="70"/>
  <c r="F44" i="20" l="1"/>
  <c r="AC35" i="70"/>
  <c r="F45" i="20"/>
  <c r="AD45" i="2"/>
  <c r="G44" i="20" s="1"/>
  <c r="AD46" i="2"/>
  <c r="G24" i="20"/>
  <c r="O24" i="20" s="1"/>
  <c r="AD26" i="2"/>
  <c r="AE26" i="2" s="1"/>
  <c r="AF26" i="2" s="1"/>
  <c r="AG26" i="2" s="1"/>
  <c r="AH26" i="2" s="1"/>
  <c r="AI26" i="2" s="1"/>
  <c r="AJ26" i="2" s="1"/>
  <c r="AK26" i="2" s="1"/>
  <c r="AL26" i="2" s="1"/>
  <c r="AM26" i="2" s="1"/>
  <c r="AN26" i="2" s="1"/>
  <c r="AO26" i="2" s="1"/>
  <c r="AD28" i="83"/>
  <c r="AC258" i="3"/>
  <c r="AE22" i="83"/>
  <c r="AD237" i="3" s="1"/>
  <c r="AF34" i="83"/>
  <c r="AF314" i="30" l="1"/>
  <c r="AP26" i="2"/>
  <c r="AQ26" i="2" s="1"/>
  <c r="AR26" i="2" s="1"/>
  <c r="AS26" i="2" s="1"/>
  <c r="AT26" i="2" s="1"/>
  <c r="AU26" i="2" s="1"/>
  <c r="AV26" i="2" s="1"/>
  <c r="AW26" i="2" s="1"/>
  <c r="AX26" i="2" s="1"/>
  <c r="AY26" i="2" s="1"/>
  <c r="AZ26" i="2" s="1"/>
  <c r="BA26" i="2" s="1"/>
  <c r="G25" i="20"/>
  <c r="AD35" i="70"/>
  <c r="G45" i="20"/>
  <c r="O45" i="20" s="1"/>
  <c r="EH46" i="2"/>
  <c r="EH45" i="2"/>
  <c r="O44" i="20"/>
  <c r="AF22" i="83"/>
  <c r="AE237" i="3" s="1"/>
  <c r="AG34" i="83"/>
  <c r="AE28" i="83"/>
  <c r="AD258" i="3"/>
  <c r="B150" i="86"/>
  <c r="L75" i="3" s="1"/>
  <c r="D22" i="64" l="1"/>
  <c r="K55" i="64"/>
  <c r="D22" i="42"/>
  <c r="D27" i="96" s="1"/>
  <c r="K55" i="42"/>
  <c r="D23" i="64"/>
  <c r="D23" i="42"/>
  <c r="D29" i="96" s="1"/>
  <c r="F29" i="96" s="1"/>
  <c r="BB26" i="2"/>
  <c r="BC26" i="2" s="1"/>
  <c r="BD26" i="2" s="1"/>
  <c r="BE26" i="2" s="1"/>
  <c r="BF26" i="2" s="1"/>
  <c r="BG26" i="2" s="1"/>
  <c r="BH26" i="2" s="1"/>
  <c r="BI26" i="2" s="1"/>
  <c r="BJ26" i="2" s="1"/>
  <c r="BK26" i="2" s="1"/>
  <c r="BL26" i="2" s="1"/>
  <c r="BM26" i="2" s="1"/>
  <c r="H25" i="20"/>
  <c r="AG22" i="83"/>
  <c r="AF237" i="3" s="1"/>
  <c r="AH34" i="83"/>
  <c r="AF28" i="83"/>
  <c r="AE258" i="3"/>
  <c r="D118" i="23"/>
  <c r="B177" i="86"/>
  <c r="L76" i="3" s="1"/>
  <c r="M75" i="3"/>
  <c r="N75" i="3"/>
  <c r="F27" i="96" l="1"/>
  <c r="D30" i="96"/>
  <c r="F30" i="96" s="1"/>
  <c r="I25" i="20"/>
  <c r="BN26" i="2"/>
  <c r="BO26" i="2" s="1"/>
  <c r="BP26" i="2" s="1"/>
  <c r="BQ26" i="2" s="1"/>
  <c r="BR26" i="2" s="1"/>
  <c r="BS26" i="2" s="1"/>
  <c r="BT26" i="2" s="1"/>
  <c r="BU26" i="2" s="1"/>
  <c r="BV26" i="2" s="1"/>
  <c r="BW26" i="2" s="1"/>
  <c r="BX26" i="2" s="1"/>
  <c r="BY26" i="2" s="1"/>
  <c r="L22" i="55"/>
  <c r="S22" i="55"/>
  <c r="F21" i="73"/>
  <c r="I26" i="38"/>
  <c r="E23" i="42"/>
  <c r="F23" i="42"/>
  <c r="H21" i="73" s="1"/>
  <c r="E23" i="64"/>
  <c r="F23" i="64"/>
  <c r="Q33" i="72"/>
  <c r="R33" i="72" s="1"/>
  <c r="F20" i="73"/>
  <c r="S21" i="55"/>
  <c r="E22" i="42"/>
  <c r="I25" i="38"/>
  <c r="F22" i="42"/>
  <c r="H20" i="73" s="1"/>
  <c r="E120" i="3"/>
  <c r="L21" i="55"/>
  <c r="F22" i="64"/>
  <c r="E22" i="64"/>
  <c r="AH22" i="83"/>
  <c r="AG237" i="3" s="1"/>
  <c r="AG28" i="83"/>
  <c r="AF258" i="3"/>
  <c r="AI34" i="83"/>
  <c r="D119" i="23"/>
  <c r="D135" i="23"/>
  <c r="M76" i="3"/>
  <c r="N76" i="3"/>
  <c r="G21" i="73" l="1"/>
  <c r="M22" i="55"/>
  <c r="T22" i="55"/>
  <c r="D91" i="23"/>
  <c r="G120" i="3"/>
  <c r="F120" i="3"/>
  <c r="G20" i="73"/>
  <c r="T21" i="55"/>
  <c r="M21" i="55"/>
  <c r="BZ26" i="2"/>
  <c r="CA26" i="2" s="1"/>
  <c r="CB26" i="2" s="1"/>
  <c r="CC26" i="2" s="1"/>
  <c r="CD26" i="2" s="1"/>
  <c r="CE26" i="2" s="1"/>
  <c r="CF26" i="2" s="1"/>
  <c r="CG26" i="2" s="1"/>
  <c r="CH26" i="2" s="1"/>
  <c r="CI26" i="2" s="1"/>
  <c r="CJ26" i="2" s="1"/>
  <c r="CK26" i="2" s="1"/>
  <c r="J25" i="20"/>
  <c r="AI22" i="83"/>
  <c r="AH237" i="3" s="1"/>
  <c r="AJ34" i="83"/>
  <c r="AK34" i="83" s="1"/>
  <c r="AK22" i="83" s="1"/>
  <c r="AJ237" i="3" s="1"/>
  <c r="AG258" i="3"/>
  <c r="AH28" i="83"/>
  <c r="L94" i="3"/>
  <c r="M92" i="3"/>
  <c r="N92" i="3"/>
  <c r="K25" i="20" l="1"/>
  <c r="CL26" i="2"/>
  <c r="CM26" i="2" s="1"/>
  <c r="CN26" i="2" s="1"/>
  <c r="CO26" i="2" s="1"/>
  <c r="CP26" i="2" s="1"/>
  <c r="CQ26" i="2" s="1"/>
  <c r="CR26" i="2" s="1"/>
  <c r="CS26" i="2" s="1"/>
  <c r="CT26" i="2" s="1"/>
  <c r="CU26" i="2" s="1"/>
  <c r="CV26" i="2" s="1"/>
  <c r="CW26" i="2" s="1"/>
  <c r="AK28" i="83"/>
  <c r="AJ258" i="3"/>
  <c r="AJ22" i="83"/>
  <c r="AI237" i="3" s="1"/>
  <c r="AL34" i="83"/>
  <c r="AH258" i="3"/>
  <c r="AI28" i="83"/>
  <c r="N94" i="3"/>
  <c r="D117" i="23"/>
  <c r="K120" i="3"/>
  <c r="M94" i="3"/>
  <c r="F42" i="2"/>
  <c r="CX26" i="2" l="1"/>
  <c r="CY26" i="2" s="1"/>
  <c r="CZ26" i="2" s="1"/>
  <c r="DA26" i="2" s="1"/>
  <c r="DB26" i="2" s="1"/>
  <c r="DC26" i="2" s="1"/>
  <c r="DD26" i="2" s="1"/>
  <c r="DE26" i="2" s="1"/>
  <c r="DF26" i="2" s="1"/>
  <c r="DG26" i="2" s="1"/>
  <c r="DH26" i="2" s="1"/>
  <c r="DI26" i="2" s="1"/>
  <c r="L25" i="20"/>
  <c r="AL22" i="83"/>
  <c r="AK237" i="3" s="1"/>
  <c r="AM34" i="83"/>
  <c r="AI258" i="3"/>
  <c r="AJ28" i="83"/>
  <c r="EH42" i="2"/>
  <c r="E41" i="20"/>
  <c r="O41" i="20" s="1"/>
  <c r="T120" i="3"/>
  <c r="V120" i="3"/>
  <c r="M120" i="3"/>
  <c r="L120" i="3"/>
  <c r="DJ26" i="2" l="1"/>
  <c r="DK26" i="2" s="1"/>
  <c r="DL26" i="2" s="1"/>
  <c r="DM26" i="2" s="1"/>
  <c r="DN26" i="2" s="1"/>
  <c r="DO26" i="2" s="1"/>
  <c r="DP26" i="2" s="1"/>
  <c r="DQ26" i="2" s="1"/>
  <c r="DR26" i="2" s="1"/>
  <c r="DS26" i="2" s="1"/>
  <c r="DT26" i="2" s="1"/>
  <c r="DU26" i="2" s="1"/>
  <c r="M25" i="20"/>
  <c r="AM22" i="83"/>
  <c r="AL237" i="3" s="1"/>
  <c r="AN34" i="83"/>
  <c r="AN22" i="83" s="1"/>
  <c r="AM237" i="3" s="1"/>
  <c r="AK258" i="3"/>
  <c r="AL28" i="83"/>
  <c r="D19" i="42"/>
  <c r="D32" i="96" s="1"/>
  <c r="F32" i="96" s="1"/>
  <c r="D19" i="64"/>
  <c r="N25" i="20" l="1"/>
  <c r="O25" i="20" s="1"/>
  <c r="DV26" i="2"/>
  <c r="DW26" i="2" s="1"/>
  <c r="DX26" i="2" s="1"/>
  <c r="DY26" i="2" s="1"/>
  <c r="DZ26" i="2" s="1"/>
  <c r="EA26" i="2" s="1"/>
  <c r="EB26" i="2" s="1"/>
  <c r="EC26" i="2" s="1"/>
  <c r="ED26" i="2" s="1"/>
  <c r="EE26" i="2" s="1"/>
  <c r="EF26" i="2" s="1"/>
  <c r="EG26" i="2" s="1"/>
  <c r="C9" i="83" s="1"/>
  <c r="AM258" i="3"/>
  <c r="AN28" i="83"/>
  <c r="AO34" i="83"/>
  <c r="AM28" i="83"/>
  <c r="AL258" i="3"/>
  <c r="E19" i="64"/>
  <c r="F19" i="64"/>
  <c r="E19" i="42"/>
  <c r="F17" i="73"/>
  <c r="L18" i="55"/>
  <c r="I22" i="38"/>
  <c r="S18" i="55"/>
  <c r="F19" i="42"/>
  <c r="H17" i="73" s="1"/>
  <c r="AO22" i="83" l="1"/>
  <c r="AN237" i="3" s="1"/>
  <c r="AP34" i="83"/>
  <c r="AQ34" i="83" s="1"/>
  <c r="G17" i="73"/>
  <c r="M18" i="55"/>
  <c r="T18" i="55"/>
  <c r="AQ22" i="83" l="1"/>
  <c r="AP237" i="3" s="1"/>
  <c r="AP22" i="83"/>
  <c r="AO237" i="3" s="1"/>
  <c r="AR34" i="83"/>
  <c r="AR22" i="83" s="1"/>
  <c r="AQ237" i="3" s="1"/>
  <c r="AO28" i="83"/>
  <c r="AN258" i="3"/>
  <c r="G38" i="2"/>
  <c r="AF41" i="2"/>
  <c r="AG41" i="2"/>
  <c r="AH41" i="2"/>
  <c r="AI41" i="2"/>
  <c r="AJ41" i="2"/>
  <c r="T88" i="45"/>
  <c r="U88" i="45" s="1"/>
  <c r="T89" i="45"/>
  <c r="T90" i="45"/>
  <c r="U90" i="45" s="1"/>
  <c r="AR28" i="83" l="1"/>
  <c r="AQ258" i="3"/>
  <c r="AP28" i="83"/>
  <c r="AO258" i="3"/>
  <c r="AS34" i="83"/>
  <c r="AQ28" i="83"/>
  <c r="AP258" i="3"/>
  <c r="AJ17" i="70"/>
  <c r="AJ149" i="71"/>
  <c r="AI17" i="70"/>
  <c r="AI149" i="71"/>
  <c r="AI371" i="71" s="1"/>
  <c r="AG17" i="70"/>
  <c r="AG149" i="71"/>
  <c r="AH17" i="70"/>
  <c r="AH149" i="71"/>
  <c r="AH371" i="71" s="1"/>
  <c r="AF17" i="70"/>
  <c r="AF149" i="71"/>
  <c r="AF371" i="71" s="1"/>
  <c r="U89" i="45"/>
  <c r="V89" i="45"/>
  <c r="V90" i="45"/>
  <c r="V88" i="45"/>
  <c r="AS22" i="83" l="1"/>
  <c r="AR237" i="3" s="1"/>
  <c r="AT34" i="83"/>
  <c r="AG371" i="71"/>
  <c r="O146" i="69"/>
  <c r="O368" i="69" s="1"/>
  <c r="AJ371" i="71"/>
  <c r="H495" i="71" s="1"/>
  <c r="P146" i="69"/>
  <c r="P368" i="69" s="1"/>
  <c r="X108" i="45"/>
  <c r="Z108" i="45" s="1"/>
  <c r="AT22" i="83" l="1"/>
  <c r="AS237" i="3" s="1"/>
  <c r="AU34" i="83"/>
  <c r="AR258" i="3"/>
  <c r="AS28" i="83"/>
  <c r="Y108" i="45"/>
  <c r="AU22" i="83" l="1"/>
  <c r="AT237" i="3" s="1"/>
  <c r="AV34" i="83"/>
  <c r="AT28" i="83"/>
  <c r="AS258" i="3"/>
  <c r="AV22" i="83" l="1"/>
  <c r="AU237" i="3" s="1"/>
  <c r="AW34" i="83"/>
  <c r="AT258" i="3"/>
  <c r="AU28" i="83"/>
  <c r="AW22" i="83" l="1"/>
  <c r="AV237" i="3" s="1"/>
  <c r="AX34" i="83"/>
  <c r="AV28" i="83"/>
  <c r="AU258" i="3"/>
  <c r="AX22" i="83" l="1"/>
  <c r="AW237" i="3" s="1"/>
  <c r="AY34" i="83"/>
  <c r="AW28" i="83"/>
  <c r="AV258" i="3"/>
  <c r="AZ34" i="83" l="1"/>
  <c r="AY22" i="83"/>
  <c r="AX237" i="3" s="1"/>
  <c r="AX28" i="83"/>
  <c r="AW258" i="3"/>
  <c r="AY28" i="83" l="1"/>
  <c r="AX258" i="3"/>
  <c r="AZ22" i="83"/>
  <c r="AY237" i="3" s="1"/>
  <c r="BA34" i="83"/>
  <c r="BA22" i="83" l="1"/>
  <c r="AZ237" i="3" s="1"/>
  <c r="BB34" i="83"/>
  <c r="AY258" i="3"/>
  <c r="AZ28" i="83"/>
  <c r="BC34" i="83" l="1"/>
  <c r="BB22" i="83"/>
  <c r="BA237" i="3" s="1"/>
  <c r="BA28" i="83"/>
  <c r="AZ258" i="3"/>
  <c r="BB28" i="83" l="1"/>
  <c r="BA258" i="3"/>
  <c r="BD34" i="83"/>
  <c r="BC22" i="83"/>
  <c r="BB237" i="3" s="1"/>
  <c r="BC28" i="83" l="1"/>
  <c r="BB258" i="3"/>
  <c r="BD22" i="83"/>
  <c r="BC237" i="3" s="1"/>
  <c r="BE34" i="83"/>
  <c r="BF34" i="83" l="1"/>
  <c r="BF22" i="83" s="1"/>
  <c r="BE237" i="3" s="1"/>
  <c r="BE22" i="83"/>
  <c r="BD237" i="3" s="1"/>
  <c r="BC258" i="3"/>
  <c r="BD28" i="83"/>
  <c r="BF28" i="83" l="1"/>
  <c r="BE258" i="3"/>
  <c r="BG34" i="83"/>
  <c r="BD258" i="3"/>
  <c r="BE28" i="83"/>
  <c r="BG22" i="83" l="1"/>
  <c r="BF237" i="3" s="1"/>
  <c r="BH34" i="83"/>
  <c r="BH22" i="83" l="1"/>
  <c r="BG237" i="3" s="1"/>
  <c r="BI34" i="83"/>
  <c r="BG28" i="83"/>
  <c r="BF258" i="3"/>
  <c r="BI22" i="83" l="1"/>
  <c r="BH237" i="3" s="1"/>
  <c r="BJ34" i="83"/>
  <c r="BJ22" i="83" s="1"/>
  <c r="BI237" i="3" s="1"/>
  <c r="BH28" i="83"/>
  <c r="BG258" i="3"/>
  <c r="BI258" i="3" l="1"/>
  <c r="BJ28" i="83"/>
  <c r="BH258" i="3"/>
  <c r="BI28" i="83"/>
  <c r="BK34" i="83"/>
  <c r="BK22" i="83" s="1"/>
  <c r="BJ237" i="3" s="1"/>
  <c r="BK28" i="83" l="1"/>
  <c r="C8" i="83"/>
  <c r="AE41" i="2"/>
  <c r="BJ258" i="3" l="1"/>
  <c r="B258" i="3" s="1"/>
  <c r="A238" i="3"/>
  <c r="A66" i="3" s="1"/>
  <c r="AE17" i="70"/>
  <c r="AE149" i="71"/>
  <c r="AE371" i="71" s="1"/>
  <c r="X90" i="45" l="1"/>
  <c r="Z90" i="45" s="1"/>
  <c r="Y90" i="45" l="1"/>
  <c r="X117" i="45" l="1"/>
  <c r="Y117" i="45" l="1"/>
  <c r="Z117" i="45"/>
  <c r="X118" i="45"/>
  <c r="Y118" i="45" l="1"/>
  <c r="Z118" i="45"/>
  <c r="T91" i="45"/>
  <c r="V91" i="45" s="1"/>
  <c r="T92" i="45"/>
  <c r="V92" i="45" s="1"/>
  <c r="T93" i="45"/>
  <c r="T94" i="45"/>
  <c r="U94" i="45" s="1"/>
  <c r="X119" i="45"/>
  <c r="X120" i="45"/>
  <c r="Y120" i="45" s="1"/>
  <c r="Z120" i="45" l="1"/>
  <c r="U92" i="45"/>
  <c r="U91" i="45"/>
  <c r="Z119" i="45"/>
  <c r="Y119" i="45"/>
  <c r="V94" i="45"/>
  <c r="U93" i="45"/>
  <c r="V93" i="45"/>
  <c r="AJ172" i="71" l="1"/>
  <c r="AJ29" i="71" l="1"/>
  <c r="AJ176" i="71"/>
  <c r="AJ179" i="71" s="1"/>
  <c r="AJ30" i="71" l="1"/>
  <c r="AJ181" i="71"/>
  <c r="AK178" i="71" s="1"/>
  <c r="AJ182" i="71"/>
  <c r="AJ126" i="71"/>
  <c r="AK184" i="71" l="1"/>
  <c r="AK183" i="71"/>
  <c r="AJ26" i="71"/>
  <c r="AJ127" i="71"/>
  <c r="AJ53" i="71" l="1"/>
  <c r="AJ123" i="71"/>
  <c r="AK32" i="71"/>
  <c r="AK180" i="71"/>
  <c r="AK31" i="71" l="1"/>
  <c r="AK129" i="71"/>
  <c r="AK128" i="71" l="1"/>
  <c r="AI56" i="71" l="1"/>
  <c r="O53" i="69" l="1"/>
  <c r="Z21" i="19" l="1"/>
  <c r="Z22" i="19" s="1"/>
  <c r="Z24" i="19" s="1"/>
  <c r="AA52" i="2" l="1"/>
  <c r="X121" i="45" l="1"/>
  <c r="Y121" i="45" l="1"/>
  <c r="Z121" i="45"/>
  <c r="X122" i="45"/>
  <c r="Z122" i="45" l="1"/>
  <c r="Y122" i="45"/>
  <c r="AA21" i="19" l="1"/>
  <c r="AA22" i="19" s="1"/>
  <c r="AA24" i="19" s="1"/>
  <c r="AC52" i="2"/>
  <c r="F159" i="32" l="1"/>
  <c r="AB52" i="2"/>
  <c r="T95" i="45" l="1"/>
  <c r="U95" i="45" s="1"/>
  <c r="X123" i="45"/>
  <c r="V95" i="45" l="1"/>
  <c r="Y123" i="45"/>
  <c r="Z123" i="45"/>
  <c r="AH23" i="30" l="1"/>
  <c r="AG116" i="30"/>
  <c r="AG117" i="30"/>
  <c r="AG120" i="30"/>
  <c r="AG121" i="30"/>
  <c r="AG124" i="30"/>
  <c r="AG127" i="30"/>
  <c r="AG129" i="30"/>
  <c r="AG132" i="30"/>
  <c r="AG134" i="30"/>
  <c r="AG136" i="30"/>
  <c r="AG138" i="30"/>
  <c r="AG140" i="30"/>
  <c r="AG142" i="30"/>
  <c r="AH153" i="30"/>
  <c r="AF212" i="30"/>
  <c r="AF220" i="30"/>
  <c r="AF228" i="30"/>
  <c r="AF246" i="30"/>
  <c r="AF259" i="30"/>
  <c r="AF272" i="30"/>
  <c r="AF280" i="30"/>
  <c r="AF332" i="30"/>
  <c r="AF356" i="30"/>
  <c r="AF358" i="30" s="1"/>
  <c r="AF293" i="30" l="1"/>
  <c r="AF235" i="30"/>
  <c r="AF270" i="30"/>
  <c r="AF307" i="30"/>
  <c r="AF269" i="30"/>
  <c r="AF300" i="30"/>
  <c r="AG118" i="30"/>
  <c r="AG122" i="30"/>
  <c r="AF359" i="30"/>
  <c r="AF257" i="30"/>
  <c r="AF244" i="30"/>
  <c r="AF245" i="30"/>
  <c r="AF258" i="30"/>
  <c r="AF243" i="30"/>
  <c r="AF256" i="30"/>
  <c r="AF278" i="30"/>
  <c r="AF279" i="30"/>
  <c r="AF277" i="30"/>
  <c r="AF271" i="30"/>
  <c r="AG62" i="30"/>
  <c r="AG36" i="30"/>
  <c r="AG17" i="30"/>
  <c r="AG78" i="30"/>
  <c r="AG103" i="30"/>
  <c r="AG53" i="30"/>
  <c r="AG37" i="30"/>
  <c r="AG87" i="30"/>
  <c r="AG22" i="30"/>
  <c r="AG112" i="30"/>
  <c r="AG125" i="30" l="1"/>
  <c r="AG128" i="30" s="1"/>
  <c r="AG130" i="30" s="1"/>
  <c r="AG133" i="30" s="1"/>
  <c r="AG135" i="30" s="1"/>
  <c r="AG137" i="30" s="1"/>
  <c r="AG139" i="30" s="1"/>
  <c r="AG141" i="30" s="1"/>
  <c r="AG143" i="30" s="1"/>
  <c r="AF288" i="30"/>
  <c r="AG227" i="30"/>
  <c r="AF287" i="30"/>
  <c r="AF240" i="30"/>
  <c r="AF286" i="30"/>
  <c r="AG219" i="30"/>
  <c r="AG101" i="30"/>
  <c r="AG211" i="30"/>
  <c r="AG24" i="30"/>
  <c r="AH21" i="30" s="1"/>
  <c r="AF360" i="30"/>
  <c r="AG76" i="30"/>
  <c r="AG51" i="30"/>
  <c r="AG146" i="30" l="1"/>
  <c r="AG147" i="30"/>
  <c r="AG148" i="30"/>
  <c r="AG210" i="30"/>
  <c r="AG218" i="30"/>
  <c r="AF294" i="30"/>
  <c r="AG226" i="30"/>
  <c r="AF308" i="30"/>
  <c r="AF301" i="30"/>
  <c r="X124" i="45"/>
  <c r="Y124" i="45" l="1"/>
  <c r="Z124" i="45"/>
  <c r="AI49" i="71" l="1"/>
  <c r="AI78" i="71"/>
  <c r="AI220" i="71" s="1"/>
  <c r="AI254" i="71"/>
  <c r="AI255" i="71"/>
  <c r="O75" i="69"/>
  <c r="O217" i="69" s="1"/>
  <c r="O46" i="69"/>
  <c r="O251" i="69" s="1"/>
  <c r="O252" i="69" s="1"/>
  <c r="G68" i="42" l="1"/>
  <c r="T96" i="45" l="1"/>
  <c r="U96" i="45" s="1"/>
  <c r="V96" i="45" l="1"/>
  <c r="D67" i="64" l="1"/>
  <c r="E67" i="64"/>
  <c r="F67" i="64"/>
  <c r="D68" i="64"/>
  <c r="E68" i="64"/>
  <c r="F68" i="64"/>
  <c r="D67" i="42"/>
  <c r="E67" i="42"/>
  <c r="F67" i="42"/>
  <c r="D68" i="42"/>
  <c r="E68" i="42"/>
  <c r="F68" i="42"/>
  <c r="AJ49" i="71" l="1"/>
  <c r="AJ254" i="71" s="1"/>
  <c r="AJ255" i="71" s="1"/>
  <c r="AJ56" i="71"/>
  <c r="AJ78" i="71"/>
  <c r="AJ220" i="71" s="1"/>
  <c r="AK172" i="71"/>
  <c r="AK176" i="71" s="1"/>
  <c r="AK179" i="71" s="1"/>
  <c r="AK30" i="71" l="1"/>
  <c r="AK182" i="71"/>
  <c r="AK181" i="71"/>
  <c r="AL178" i="71" s="1"/>
  <c r="AK29" i="71"/>
  <c r="AL184" i="71" l="1"/>
  <c r="AL183" i="71"/>
  <c r="AK26" i="71"/>
  <c r="AK127" i="71"/>
  <c r="AK126" i="71"/>
  <c r="AK53" i="71" l="1"/>
  <c r="AK123" i="71"/>
  <c r="AL32" i="71"/>
  <c r="P180" i="69"/>
  <c r="AL180" i="71"/>
  <c r="P181" i="69"/>
  <c r="AL129" i="71" l="1"/>
  <c r="P29" i="69"/>
  <c r="AL31" i="71"/>
  <c r="P177" i="69"/>
  <c r="AL128" i="71" l="1"/>
  <c r="P28" i="69"/>
  <c r="P126" i="69"/>
  <c r="P125" i="69" l="1"/>
  <c r="X125" i="45" l="1"/>
  <c r="Z125" i="45" s="1"/>
  <c r="Y125" i="45" l="1"/>
  <c r="AH227" i="30" l="1"/>
  <c r="G226" i="32" s="1"/>
  <c r="AH211" i="30"/>
  <c r="G210" i="32" s="1"/>
  <c r="AH219" i="30"/>
  <c r="G218" i="32" s="1"/>
  <c r="AH210" i="30" l="1"/>
  <c r="AH226" i="30"/>
  <c r="AH218" i="30"/>
  <c r="P46" i="42" l="1"/>
  <c r="G217" i="32"/>
  <c r="R46" i="42"/>
  <c r="G225" i="32"/>
  <c r="O46" i="42"/>
  <c r="G209" i="32"/>
  <c r="S46" i="42" l="1"/>
  <c r="BG130" i="6" l="1"/>
  <c r="BN130" i="6"/>
  <c r="BF130" i="6"/>
  <c r="BM130" i="6"/>
  <c r="BE130" i="6"/>
  <c r="BL130" i="6"/>
  <c r="BK130" i="6"/>
  <c r="BC121" i="30"/>
  <c r="I121" i="32" s="1"/>
  <c r="BC117" i="30"/>
  <c r="I117" i="32" s="1"/>
  <c r="BD130" i="6"/>
  <c r="BB314" i="30"/>
  <c r="BB204" i="30"/>
  <c r="BB275" i="30" s="1"/>
  <c r="I264" i="32" s="1"/>
  <c r="BC124" i="30"/>
  <c r="AP312" i="30"/>
  <c r="BB312" i="30"/>
  <c r="I301" i="32" s="1"/>
  <c r="BB307" i="30"/>
  <c r="I296" i="32"/>
  <c r="BB301" i="30"/>
  <c r="I290" i="32" s="1"/>
  <c r="BB306" i="30"/>
  <c r="BB216" i="30"/>
  <c r="I215" i="32" s="1"/>
  <c r="I303" i="32"/>
  <c r="I295" i="32"/>
  <c r="BB294" i="30"/>
  <c r="I283" i="32" s="1"/>
  <c r="AP306" i="30"/>
  <c r="AP309" i="30" s="1"/>
  <c r="BB291" i="30"/>
  <c r="AP216" i="30"/>
  <c r="BB299" i="30"/>
  <c r="I288" i="32" s="1"/>
  <c r="AP291" i="30"/>
  <c r="BB259" i="30"/>
  <c r="BB258" i="30" s="1"/>
  <c r="I250" i="32" s="1"/>
  <c r="BB300" i="30"/>
  <c r="I289" i="32" s="1"/>
  <c r="AP299" i="30"/>
  <c r="BB233" i="30"/>
  <c r="I232" i="32" s="1"/>
  <c r="BB292" i="30"/>
  <c r="I281" i="32" s="1"/>
  <c r="BB208" i="30"/>
  <c r="I207" i="32" s="1"/>
  <c r="I124" i="32"/>
  <c r="BB235" i="30"/>
  <c r="I233" i="32" s="1"/>
  <c r="BB293" i="30"/>
  <c r="I282" i="32" s="1"/>
  <c r="AP233" i="30"/>
  <c r="AP234" i="30" s="1"/>
  <c r="AP236" i="30" s="1"/>
  <c r="AP292" i="30"/>
  <c r="AP208" i="30"/>
  <c r="BB272" i="30"/>
  <c r="BB224" i="30"/>
  <c r="BB225" i="30"/>
  <c r="I224" i="32" s="1"/>
  <c r="BB217" i="30"/>
  <c r="I216" i="32" s="1"/>
  <c r="BB308" i="30"/>
  <c r="AP224" i="30"/>
  <c r="AP225" i="30"/>
  <c r="AP217" i="30"/>
  <c r="BB209" i="30"/>
  <c r="I208" i="32" s="1"/>
  <c r="AP209" i="30"/>
  <c r="BO130" i="6"/>
  <c r="AP204" i="30"/>
  <c r="BH130" i="6"/>
  <c r="BI130" i="6"/>
  <c r="BJ130" i="6"/>
  <c r="BC120" i="30"/>
  <c r="BC134" i="30"/>
  <c r="BC136" i="30"/>
  <c r="BC132" i="30"/>
  <c r="BC142" i="30"/>
  <c r="BC138" i="30"/>
  <c r="BC140" i="30"/>
  <c r="BC127" i="30"/>
  <c r="BC129" i="30"/>
  <c r="AK209" i="30"/>
  <c r="AS209" i="30"/>
  <c r="BA209" i="30"/>
  <c r="AI217" i="30"/>
  <c r="AQ217" i="30"/>
  <c r="AY217" i="30"/>
  <c r="AI225" i="30"/>
  <c r="AQ225" i="30"/>
  <c r="AY225" i="30"/>
  <c r="AI233" i="30"/>
  <c r="AI234" i="30" s="1"/>
  <c r="AI236" i="30" s="1"/>
  <c r="AI241" i="30" s="1"/>
  <c r="AI249" i="30" s="1"/>
  <c r="AI208" i="30"/>
  <c r="AI292" i="30"/>
  <c r="AQ233" i="30"/>
  <c r="AQ208" i="30"/>
  <c r="AQ292" i="30"/>
  <c r="AY233" i="30"/>
  <c r="AY208" i="30"/>
  <c r="AY292" i="30"/>
  <c r="BB207" i="30"/>
  <c r="BB232" i="30"/>
  <c r="AO204" i="30"/>
  <c r="AO275" i="30" s="1"/>
  <c r="AW204" i="30"/>
  <c r="AW275" i="30" s="1"/>
  <c r="AL292" i="30"/>
  <c r="AL208" i="30"/>
  <c r="AL233" i="30"/>
  <c r="AT292" i="30"/>
  <c r="AT208" i="30"/>
  <c r="AT233" i="30"/>
  <c r="AO291" i="30"/>
  <c r="AW291" i="30"/>
  <c r="AK216" i="30"/>
  <c r="AK299" i="30"/>
  <c r="AS216" i="30"/>
  <c r="AS299" i="30"/>
  <c r="AS302" i="30" s="1"/>
  <c r="AS330" i="30" s="1"/>
  <c r="BA216" i="30"/>
  <c r="BA299" i="30"/>
  <c r="AL312" i="30"/>
  <c r="AT312" i="30"/>
  <c r="AL209" i="30"/>
  <c r="AT209" i="30"/>
  <c r="AJ217" i="30"/>
  <c r="AR217" i="30"/>
  <c r="AZ217" i="30"/>
  <c r="AJ225" i="30"/>
  <c r="AR225" i="30"/>
  <c r="AZ225" i="30"/>
  <c r="AJ233" i="30"/>
  <c r="AJ208" i="30"/>
  <c r="AJ292" i="30"/>
  <c r="AR233" i="30"/>
  <c r="AR208" i="30"/>
  <c r="AR292" i="30"/>
  <c r="AZ233" i="30"/>
  <c r="AZ208" i="30"/>
  <c r="AZ292" i="30"/>
  <c r="AH204" i="30"/>
  <c r="AH275" i="30"/>
  <c r="AX204" i="30"/>
  <c r="AX275" i="30" s="1"/>
  <c r="BB280" i="30"/>
  <c r="AM292" i="30"/>
  <c r="AM208" i="30"/>
  <c r="AM233" i="30"/>
  <c r="AM234" i="30" s="1"/>
  <c r="AM236" i="30" s="1"/>
  <c r="AM241" i="30" s="1"/>
  <c r="AM249" i="30" s="1"/>
  <c r="AU292" i="30"/>
  <c r="AU208" i="30"/>
  <c r="AU233" i="30"/>
  <c r="AH291" i="30"/>
  <c r="AX291" i="30"/>
  <c r="AL216" i="30"/>
  <c r="AL299" i="30"/>
  <c r="AT216" i="30"/>
  <c r="AT299" i="30"/>
  <c r="AM312" i="30"/>
  <c r="AU312" i="30"/>
  <c r="AM209" i="30"/>
  <c r="AU209" i="30"/>
  <c r="BB212" i="30"/>
  <c r="I211" i="32" s="1"/>
  <c r="AK217" i="30"/>
  <c r="AS217" i="30"/>
  <c r="BA217" i="30"/>
  <c r="AK225" i="30"/>
  <c r="AS225" i="30"/>
  <c r="BA225" i="30"/>
  <c r="AO306" i="30"/>
  <c r="AO309" i="30" s="1"/>
  <c r="AW306" i="30"/>
  <c r="AW309" i="30" s="1"/>
  <c r="AK233" i="30"/>
  <c r="AK208" i="30"/>
  <c r="AK292" i="30"/>
  <c r="AS233" i="30"/>
  <c r="AS208" i="30"/>
  <c r="AS292" i="30"/>
  <c r="BA233" i="30"/>
  <c r="BA208" i="30"/>
  <c r="BA292" i="30"/>
  <c r="AI204" i="30"/>
  <c r="AI275" i="30" s="1"/>
  <c r="AQ204" i="30"/>
  <c r="AQ275" i="30" s="1"/>
  <c r="AY204" i="30"/>
  <c r="AY275" i="30" s="1"/>
  <c r="AN292" i="30"/>
  <c r="AN295" i="30" s="1"/>
  <c r="AN208" i="30"/>
  <c r="AN233" i="30"/>
  <c r="AV292" i="30"/>
  <c r="AV208" i="30"/>
  <c r="AV233" i="30"/>
  <c r="AI291" i="30"/>
  <c r="AQ291" i="30"/>
  <c r="AQ295" i="30"/>
  <c r="AY291" i="30"/>
  <c r="AY295" i="30" s="1"/>
  <c r="AM216" i="30"/>
  <c r="AM299" i="30"/>
  <c r="AU216" i="30"/>
  <c r="AU299" i="30"/>
  <c r="AN312" i="30"/>
  <c r="AV312" i="30"/>
  <c r="BB332" i="30"/>
  <c r="AN209" i="30"/>
  <c r="AV209" i="30"/>
  <c r="AL217" i="30"/>
  <c r="AT217" i="30"/>
  <c r="AL225" i="30"/>
  <c r="AT225" i="30"/>
  <c r="AH306" i="30"/>
  <c r="AH309" i="30" s="1"/>
  <c r="AX306" i="30"/>
  <c r="AX309" i="30" s="1"/>
  <c r="BB246" i="30"/>
  <c r="AJ204" i="30"/>
  <c r="AJ275" i="30" s="1"/>
  <c r="AR204" i="30"/>
  <c r="AR275" i="30"/>
  <c r="AZ204" i="30"/>
  <c r="AZ275" i="30"/>
  <c r="AO292" i="30"/>
  <c r="AO208" i="30"/>
  <c r="AO233" i="30"/>
  <c r="AW292" i="30"/>
  <c r="AW208" i="30"/>
  <c r="AW233" i="30"/>
  <c r="AJ291" i="30"/>
  <c r="AR291" i="30"/>
  <c r="AZ291" i="30"/>
  <c r="AN216" i="30"/>
  <c r="AN299" i="30"/>
  <c r="AV216" i="30"/>
  <c r="AV299" i="30"/>
  <c r="AO312" i="30"/>
  <c r="AW312" i="30"/>
  <c r="AO209" i="30"/>
  <c r="AW209" i="30"/>
  <c r="AM217" i="30"/>
  <c r="AU217" i="30"/>
  <c r="BB220" i="30"/>
  <c r="I219" i="32" s="1"/>
  <c r="AO224" i="30"/>
  <c r="AW224" i="30"/>
  <c r="AM225" i="30"/>
  <c r="AU225" i="30"/>
  <c r="BB228" i="30"/>
  <c r="I227" i="32" s="1"/>
  <c r="AI306" i="30"/>
  <c r="AI309" i="30" s="1"/>
  <c r="AQ306" i="30"/>
  <c r="AY306" i="30"/>
  <c r="AY309" i="30" s="1"/>
  <c r="AP207" i="30"/>
  <c r="AP232" i="30"/>
  <c r="AK204" i="30"/>
  <c r="AK275" i="30" s="1"/>
  <c r="AS204" i="30"/>
  <c r="AS275" i="30"/>
  <c r="BA204" i="30"/>
  <c r="BA275" i="30"/>
  <c r="AH292" i="30"/>
  <c r="AH208" i="30"/>
  <c r="AH233" i="30"/>
  <c r="AX292" i="30"/>
  <c r="AX208" i="30"/>
  <c r="AX233" i="30"/>
  <c r="AK291" i="30"/>
  <c r="AS291" i="30"/>
  <c r="AS295" i="30"/>
  <c r="BA291" i="30"/>
  <c r="BA295" i="30" s="1"/>
  <c r="AO216" i="30"/>
  <c r="AO299" i="30"/>
  <c r="AW216" i="30"/>
  <c r="AW299" i="30"/>
  <c r="AH312" i="30"/>
  <c r="AX312" i="30"/>
  <c r="AI209" i="30"/>
  <c r="AQ209" i="30"/>
  <c r="AY209" i="30"/>
  <c r="AO217" i="30"/>
  <c r="AW217" i="30"/>
  <c r="AI224" i="30"/>
  <c r="AI229" i="30" s="1"/>
  <c r="AQ224" i="30"/>
  <c r="AQ229" i="30" s="1"/>
  <c r="AY224" i="30"/>
  <c r="AY229" i="30" s="1"/>
  <c r="AO225" i="30"/>
  <c r="AW225" i="30"/>
  <c r="AK224" i="30"/>
  <c r="AK229" i="30" s="1"/>
  <c r="AK306" i="30"/>
  <c r="AK309" i="30" s="1"/>
  <c r="AS224" i="30"/>
  <c r="AS306" i="30"/>
  <c r="AS309" i="30" s="1"/>
  <c r="BA224" i="30"/>
  <c r="BA229" i="30" s="1"/>
  <c r="BA306" i="30"/>
  <c r="BA309" i="30" s="1"/>
  <c r="AM204" i="30"/>
  <c r="AM275" i="30"/>
  <c r="AU204" i="30"/>
  <c r="AU275" i="30" s="1"/>
  <c r="AM291" i="30"/>
  <c r="AU291" i="30"/>
  <c r="AI216" i="30"/>
  <c r="AI299" i="30"/>
  <c r="AQ216" i="30"/>
  <c r="AQ299" i="30"/>
  <c r="AY216" i="30"/>
  <c r="AY299" i="30"/>
  <c r="AJ306" i="30"/>
  <c r="AJ309" i="30" s="1"/>
  <c r="AR306" i="30"/>
  <c r="AR309" i="30" s="1"/>
  <c r="AZ306" i="30"/>
  <c r="AZ309" i="30" s="1"/>
  <c r="AM224" i="30"/>
  <c r="AM229" i="30" s="1"/>
  <c r="AM306" i="30"/>
  <c r="AM309" i="30" s="1"/>
  <c r="AU224" i="30"/>
  <c r="AU306" i="30"/>
  <c r="AU309" i="30" s="1"/>
  <c r="AJ312" i="30"/>
  <c r="AR312" i="30"/>
  <c r="AZ312" i="30"/>
  <c r="AJ209" i="30"/>
  <c r="AR209" i="30"/>
  <c r="AZ209" i="30"/>
  <c r="AH217" i="30"/>
  <c r="AX217" i="30"/>
  <c r="AJ224" i="30"/>
  <c r="AR224" i="30"/>
  <c r="AZ224" i="30"/>
  <c r="AH225" i="30"/>
  <c r="AX225" i="30"/>
  <c r="AK207" i="30"/>
  <c r="AK213" i="30" s="1"/>
  <c r="AK232" i="30"/>
  <c r="AK234" i="30"/>
  <c r="AK236" i="30" s="1"/>
  <c r="AK241" i="30" s="1"/>
  <c r="AK249" i="30" s="1"/>
  <c r="AS207" i="30"/>
  <c r="AS213" i="30" s="1"/>
  <c r="AS232" i="30"/>
  <c r="BA207" i="30"/>
  <c r="BA213" i="30" s="1"/>
  <c r="BA232" i="30"/>
  <c r="BA234" i="30"/>
  <c r="BA236" i="30" s="1"/>
  <c r="BA241" i="30" s="1"/>
  <c r="BA249" i="30" s="1"/>
  <c r="AN232" i="30"/>
  <c r="AV232" i="30"/>
  <c r="AO207" i="30"/>
  <c r="AO232" i="30"/>
  <c r="AW207" i="30"/>
  <c r="AW232" i="30"/>
  <c r="AN204" i="30"/>
  <c r="AN275" i="30" s="1"/>
  <c r="AV204" i="30"/>
  <c r="AV275" i="30" s="1"/>
  <c r="AN207" i="30"/>
  <c r="AN291" i="30"/>
  <c r="AV207" i="30"/>
  <c r="AV291" i="30"/>
  <c r="AJ216" i="30"/>
  <c r="AJ299" i="30"/>
  <c r="AR216" i="30"/>
  <c r="AR299" i="30"/>
  <c r="AZ216" i="30"/>
  <c r="AZ299" i="30"/>
  <c r="AN224" i="30"/>
  <c r="AN306" i="30"/>
  <c r="AN309" i="30" s="1"/>
  <c r="AV224" i="30"/>
  <c r="AV306" i="30"/>
  <c r="AV309" i="30" s="1"/>
  <c r="AK312" i="30"/>
  <c r="AS312" i="30"/>
  <c r="BA312" i="30"/>
  <c r="AH224" i="30"/>
  <c r="AV225" i="30"/>
  <c r="AY207" i="30"/>
  <c r="AY232" i="30"/>
  <c r="AL215" i="30"/>
  <c r="AL298" i="30"/>
  <c r="AL302" i="30" s="1"/>
  <c r="AL330" i="30" s="1"/>
  <c r="AT215" i="30"/>
  <c r="AT298" i="30"/>
  <c r="AT302" i="30" s="1"/>
  <c r="AT330" i="30" s="1"/>
  <c r="AO215" i="30"/>
  <c r="AO298" i="30"/>
  <c r="AO302" i="30" s="1"/>
  <c r="AO330" i="30" s="1"/>
  <c r="AO350" i="30" s="1"/>
  <c r="AW215" i="30"/>
  <c r="AW221" i="30" s="1"/>
  <c r="AW298" i="30"/>
  <c r="AW302" i="30" s="1"/>
  <c r="AW330" i="30" s="1"/>
  <c r="AM215" i="30"/>
  <c r="AM298" i="30"/>
  <c r="AU215" i="30"/>
  <c r="AU298" i="30"/>
  <c r="AU302" i="30" s="1"/>
  <c r="AU330" i="30" s="1"/>
  <c r="AH215" i="30"/>
  <c r="AH298" i="30"/>
  <c r="AP215" i="30"/>
  <c r="AP298" i="30"/>
  <c r="AX215" i="30"/>
  <c r="AX298" i="30"/>
  <c r="AQ215" i="30"/>
  <c r="AQ298" i="30"/>
  <c r="AY215" i="30"/>
  <c r="AY221" i="30" s="1"/>
  <c r="AY298" i="30"/>
  <c r="BC116" i="30"/>
  <c r="AH209" i="30"/>
  <c r="AX224" i="30"/>
  <c r="AL232" i="30"/>
  <c r="AL234" i="30" s="1"/>
  <c r="AL236" i="30" s="1"/>
  <c r="AL241" i="30" s="1"/>
  <c r="AL249" i="30" s="1"/>
  <c r="AL204" i="30"/>
  <c r="AL275" i="30" s="1"/>
  <c r="AH299" i="30"/>
  <c r="AI312" i="30"/>
  <c r="AN215" i="30"/>
  <c r="AN298" i="30"/>
  <c r="AN302" i="30" s="1"/>
  <c r="AN330" i="30" s="1"/>
  <c r="AV215" i="30"/>
  <c r="AV298" i="30"/>
  <c r="AV302" i="30" s="1"/>
  <c r="AV330" i="30" s="1"/>
  <c r="AI215" i="30"/>
  <c r="AI298" i="30"/>
  <c r="AI302" i="30" s="1"/>
  <c r="AI330" i="30" s="1"/>
  <c r="AU207" i="30"/>
  <c r="AU232" i="30"/>
  <c r="AS215" i="30"/>
  <c r="AS298" i="30"/>
  <c r="AJ207" i="30"/>
  <c r="AJ232" i="30"/>
  <c r="AT232" i="30"/>
  <c r="AT204" i="30"/>
  <c r="AT275" i="30" s="1"/>
  <c r="BA215" i="30"/>
  <c r="BA221" i="30" s="1"/>
  <c r="BA298" i="30"/>
  <c r="BA302" i="30" s="1"/>
  <c r="BA330" i="30" s="1"/>
  <c r="AQ312" i="30"/>
  <c r="AJ215" i="30"/>
  <c r="AJ298" i="30"/>
  <c r="AR215" i="30"/>
  <c r="AR298" i="30"/>
  <c r="AX209" i="30"/>
  <c r="AN217" i="30"/>
  <c r="AZ215" i="30"/>
  <c r="AZ221" i="30" s="1"/>
  <c r="AZ298" i="30"/>
  <c r="AZ302" i="30" s="1"/>
  <c r="AZ330" i="30" s="1"/>
  <c r="AZ350" i="30" s="1"/>
  <c r="AR207" i="30"/>
  <c r="AR232" i="30"/>
  <c r="AR234" i="30" s="1"/>
  <c r="AR236" i="30"/>
  <c r="AR241" i="30" s="1"/>
  <c r="AR249" i="30" s="1"/>
  <c r="AX299" i="30"/>
  <c r="AY312" i="30"/>
  <c r="AT224" i="30"/>
  <c r="AT229" i="30" s="1"/>
  <c r="AT306" i="30"/>
  <c r="AT309" i="30" s="1"/>
  <c r="AH216" i="30"/>
  <c r="AV217" i="30"/>
  <c r="AZ207" i="30"/>
  <c r="AZ213" i="30" s="1"/>
  <c r="AZ232" i="30"/>
  <c r="AH207" i="30"/>
  <c r="AH232" i="30"/>
  <c r="AH234" i="30" s="1"/>
  <c r="AH236" i="30" s="1"/>
  <c r="AH241" i="30" s="1"/>
  <c r="AH249" i="30" s="1"/>
  <c r="AI207" i="30"/>
  <c r="AI213" i="30" s="1"/>
  <c r="AI232" i="30"/>
  <c r="AM207" i="30"/>
  <c r="AM232" i="30"/>
  <c r="AL207" i="30"/>
  <c r="AL291" i="30"/>
  <c r="AL224" i="30"/>
  <c r="AL306" i="30"/>
  <c r="AL309" i="30" s="1"/>
  <c r="AK215" i="30"/>
  <c r="AK298" i="30"/>
  <c r="BB215" i="30"/>
  <c r="BB298" i="30"/>
  <c r="I287" i="32" s="1"/>
  <c r="BB356" i="30"/>
  <c r="BB359" i="30" s="1"/>
  <c r="AX216" i="30"/>
  <c r="AN225" i="30"/>
  <c r="AQ207" i="30"/>
  <c r="AQ232" i="30"/>
  <c r="AQ234" i="30" s="1"/>
  <c r="AQ236" i="30" s="1"/>
  <c r="AQ241" i="30" s="1"/>
  <c r="AQ249" i="30" s="1"/>
  <c r="AX207" i="30"/>
  <c r="AX232" i="30"/>
  <c r="AX234" i="30" s="1"/>
  <c r="AX236" i="30" s="1"/>
  <c r="AX241" i="30" s="1"/>
  <c r="AX249" i="30" s="1"/>
  <c r="AT207" i="30"/>
  <c r="AT291" i="30"/>
  <c r="AT295" i="30"/>
  <c r="AI295" i="30" l="1"/>
  <c r="AJ295" i="30"/>
  <c r="AK295" i="30"/>
  <c r="AZ295" i="30"/>
  <c r="AH295" i="30"/>
  <c r="AX295" i="30"/>
  <c r="AM295" i="30"/>
  <c r="AY302" i="30"/>
  <c r="AY330" i="30" s="1"/>
  <c r="AY350" i="30" s="1"/>
  <c r="AJ229" i="30"/>
  <c r="AR229" i="30"/>
  <c r="AZ229" i="30"/>
  <c r="AV234" i="30"/>
  <c r="AV236" i="30" s="1"/>
  <c r="AV241" i="30" s="1"/>
  <c r="AV249" i="30" s="1"/>
  <c r="AO234" i="30"/>
  <c r="AO236" i="30" s="1"/>
  <c r="AO241" i="30" s="1"/>
  <c r="AO249" i="30" s="1"/>
  <c r="AW213" i="30"/>
  <c r="AW234" i="30"/>
  <c r="AW236" i="30" s="1"/>
  <c r="AW241" i="30" s="1"/>
  <c r="AW249" i="30" s="1"/>
  <c r="AL221" i="30"/>
  <c r="AT221" i="30"/>
  <c r="AP302" i="30"/>
  <c r="AP330" i="30" s="1"/>
  <c r="AV213" i="30"/>
  <c r="AV295" i="30"/>
  <c r="AR302" i="30"/>
  <c r="AR330" i="30" s="1"/>
  <c r="AR350" i="30" s="1"/>
  <c r="BC118" i="30"/>
  <c r="AS221" i="30"/>
  <c r="AJ213" i="30"/>
  <c r="AJ234" i="30"/>
  <c r="AJ236" i="30" s="1"/>
  <c r="AJ241" i="30" s="1"/>
  <c r="AJ249" i="30" s="1"/>
  <c r="AM213" i="30"/>
  <c r="AL295" i="30"/>
  <c r="AK221" i="30"/>
  <c r="AK302" i="30"/>
  <c r="AK330" i="30" s="1"/>
  <c r="AK350" i="30" s="1"/>
  <c r="AT234" i="30"/>
  <c r="AT236" i="30" s="1"/>
  <c r="AT241" i="30" s="1"/>
  <c r="AT249" i="30" s="1"/>
  <c r="AU295" i="30"/>
  <c r="BB257" i="30"/>
  <c r="I249" i="32" s="1"/>
  <c r="AN234" i="30"/>
  <c r="AN236" i="30" s="1"/>
  <c r="AN241" i="30" s="1"/>
  <c r="AN249" i="30" s="1"/>
  <c r="AJ302" i="30"/>
  <c r="AJ330" i="30" s="1"/>
  <c r="AJ350" i="30" s="1"/>
  <c r="AX229" i="30"/>
  <c r="AS234" i="30"/>
  <c r="AS236" i="30" s="1"/>
  <c r="AS241" i="30" s="1"/>
  <c r="AS249" i="30" s="1"/>
  <c r="AO229" i="30"/>
  <c r="AU213" i="30"/>
  <c r="AR295" i="30"/>
  <c r="H284" i="32" s="1"/>
  <c r="AU221" i="30"/>
  <c r="AX213" i="30"/>
  <c r="AI221" i="30"/>
  <c r="AY234" i="30"/>
  <c r="AY236" i="30" s="1"/>
  <c r="AY241" i="30" s="1"/>
  <c r="AY249" i="30" s="1"/>
  <c r="AS229" i="30"/>
  <c r="AU234" i="30"/>
  <c r="AU236" i="30" s="1"/>
  <c r="AU241" i="30" s="1"/>
  <c r="AU249" i="30" s="1"/>
  <c r="AP295" i="30"/>
  <c r="AO213" i="30"/>
  <c r="AQ213" i="30"/>
  <c r="AL213" i="30"/>
  <c r="AY213" i="30"/>
  <c r="AW295" i="30"/>
  <c r="AO221" i="30"/>
  <c r="AH229" i="30"/>
  <c r="AO295" i="30"/>
  <c r="BB295" i="30"/>
  <c r="I284" i="32" s="1"/>
  <c r="AR221" i="30"/>
  <c r="AR213" i="30"/>
  <c r="AM302" i="30"/>
  <c r="AM330" i="30" s="1"/>
  <c r="AM350" i="30" s="1"/>
  <c r="AU229" i="30"/>
  <c r="AH213" i="30"/>
  <c r="AJ221" i="30"/>
  <c r="AQ302" i="30"/>
  <c r="AQ330" i="30" s="1"/>
  <c r="AQ350" i="30" s="1"/>
  <c r="AN213" i="30"/>
  <c r="AT213" i="30"/>
  <c r="AZ234" i="30"/>
  <c r="AZ236" i="30" s="1"/>
  <c r="AZ241" i="30" s="1"/>
  <c r="AZ249" i="30" s="1"/>
  <c r="AQ221" i="30"/>
  <c r="I203" i="32"/>
  <c r="AL229" i="30"/>
  <c r="AH302" i="30"/>
  <c r="AH330" i="30" s="1"/>
  <c r="AH350" i="30" s="1"/>
  <c r="AN221" i="30"/>
  <c r="BB302" i="30"/>
  <c r="AS350" i="30"/>
  <c r="AI350" i="30"/>
  <c r="AV350" i="30"/>
  <c r="AX302" i="30"/>
  <c r="AX330" i="30" s="1"/>
  <c r="AT350" i="30"/>
  <c r="BB221" i="30"/>
  <c r="I220" i="32" s="1"/>
  <c r="I214" i="32"/>
  <c r="BA350" i="30"/>
  <c r="AN229" i="30"/>
  <c r="AW350" i="30"/>
  <c r="BB358" i="30"/>
  <c r="AN350" i="30"/>
  <c r="AL350" i="30"/>
  <c r="AU350" i="30"/>
  <c r="BB245" i="30"/>
  <c r="I241" i="32"/>
  <c r="BB243" i="30"/>
  <c r="BB244" i="30"/>
  <c r="H301" i="32"/>
  <c r="AW229" i="30"/>
  <c r="H287" i="32"/>
  <c r="AM221" i="30"/>
  <c r="AV229" i="30"/>
  <c r="AV221" i="30"/>
  <c r="AX221" i="30"/>
  <c r="H214" i="32"/>
  <c r="AP221" i="30"/>
  <c r="H208" i="32"/>
  <c r="I116" i="32"/>
  <c r="I118" i="32" s="1"/>
  <c r="BC22" i="30"/>
  <c r="I22" i="32" s="1"/>
  <c r="AH221" i="30"/>
  <c r="AP241" i="30"/>
  <c r="I231" i="32"/>
  <c r="BB234" i="30"/>
  <c r="BB236" i="30" s="1"/>
  <c r="BB213" i="30"/>
  <c r="I212" i="32" s="1"/>
  <c r="I206" i="32"/>
  <c r="H231" i="32"/>
  <c r="AP213" i="30"/>
  <c r="H206" i="32"/>
  <c r="H295" i="32"/>
  <c r="BB279" i="30"/>
  <c r="I268" i="32" s="1"/>
  <c r="I269" i="32"/>
  <c r="BB278" i="30"/>
  <c r="I267" i="32" s="1"/>
  <c r="BB277" i="30"/>
  <c r="I266" i="32" s="1"/>
  <c r="AQ309" i="30"/>
  <c r="H298" i="32" s="1"/>
  <c r="BC17" i="30"/>
  <c r="I17" i="32" s="1"/>
  <c r="I127" i="32"/>
  <c r="BC78" i="30"/>
  <c r="I78" i="32" s="1"/>
  <c r="I140" i="32"/>
  <c r="BC53" i="30"/>
  <c r="I53" i="32" s="1"/>
  <c r="I138" i="32"/>
  <c r="BC103" i="30"/>
  <c r="I103" i="32" s="1"/>
  <c r="I142" i="32"/>
  <c r="BC36" i="30"/>
  <c r="I36" i="32" s="1"/>
  <c r="I129" i="32"/>
  <c r="I132" i="32"/>
  <c r="BC62" i="30"/>
  <c r="BC112" i="30"/>
  <c r="I136" i="32"/>
  <c r="BC87" i="30"/>
  <c r="I134" i="32"/>
  <c r="BC122" i="30"/>
  <c r="BC37" i="30"/>
  <c r="I37" i="32" s="1"/>
  <c r="I120" i="32"/>
  <c r="I122" i="32" s="1"/>
  <c r="H207" i="32"/>
  <c r="H224" i="32"/>
  <c r="AP275" i="30"/>
  <c r="H264" i="32" s="1"/>
  <c r="H203" i="32"/>
  <c r="H215" i="32"/>
  <c r="BB271" i="30"/>
  <c r="I260" i="32" s="1"/>
  <c r="BB270" i="30"/>
  <c r="I259" i="32" s="1"/>
  <c r="I261" i="32"/>
  <c r="BB269" i="30"/>
  <c r="I258" i="32" s="1"/>
  <c r="H281" i="32"/>
  <c r="AP229" i="30"/>
  <c r="H223" i="32"/>
  <c r="H232" i="32"/>
  <c r="H288" i="32"/>
  <c r="H216" i="32"/>
  <c r="BB309" i="30"/>
  <c r="I298" i="32" s="1"/>
  <c r="I297" i="32"/>
  <c r="BB229" i="30"/>
  <c r="I228" i="32" s="1"/>
  <c r="I223" i="32"/>
  <c r="I280" i="32"/>
  <c r="I251" i="32"/>
  <c r="H280" i="32"/>
  <c r="BB256" i="30"/>
  <c r="I248" i="32" s="1"/>
  <c r="BC125" i="30" l="1"/>
  <c r="BC128" i="30" s="1"/>
  <c r="BC130" i="30" s="1"/>
  <c r="BC133" i="30" s="1"/>
  <c r="BC135" i="30" s="1"/>
  <c r="BC137" i="30" s="1"/>
  <c r="BC139" i="30" s="1"/>
  <c r="BC141" i="30" s="1"/>
  <c r="BC143" i="30" s="1"/>
  <c r="H228" i="32"/>
  <c r="H212" i="32"/>
  <c r="H291" i="32"/>
  <c r="H234" i="32"/>
  <c r="I239" i="32"/>
  <c r="BB287" i="30"/>
  <c r="I276" i="32" s="1"/>
  <c r="BB240" i="30"/>
  <c r="I235" i="32" s="1"/>
  <c r="I238" i="32"/>
  <c r="BB286" i="30"/>
  <c r="I275" i="32" s="1"/>
  <c r="BB360" i="30"/>
  <c r="I87" i="32"/>
  <c r="BC76" i="30"/>
  <c r="I76" i="32" s="1"/>
  <c r="AP249" i="30"/>
  <c r="H236" i="32"/>
  <c r="BB288" i="30"/>
  <c r="I277" i="32" s="1"/>
  <c r="I240" i="32"/>
  <c r="AP350" i="30"/>
  <c r="AX350" i="30"/>
  <c r="BC101" i="30"/>
  <c r="I101" i="32" s="1"/>
  <c r="I112" i="32"/>
  <c r="I234" i="32"/>
  <c r="I125" i="32"/>
  <c r="I128" i="32" s="1"/>
  <c r="I130" i="32" s="1"/>
  <c r="I133" i="32" s="1"/>
  <c r="I135" i="32" s="1"/>
  <c r="I137" i="32" s="1"/>
  <c r="I139" i="32" s="1"/>
  <c r="I141" i="32" s="1"/>
  <c r="I143" i="32" s="1"/>
  <c r="I291" i="32"/>
  <c r="BB330" i="30"/>
  <c r="BC51" i="30"/>
  <c r="I51" i="32" s="1"/>
  <c r="I62" i="32"/>
  <c r="H220" i="32"/>
  <c r="BC147" i="30" l="1"/>
  <c r="I147" i="32" s="1"/>
  <c r="BC148" i="30"/>
  <c r="I148" i="32" s="1"/>
  <c r="BC146" i="30"/>
  <c r="I146" i="32" s="1"/>
  <c r="H244" i="32"/>
  <c r="BB350" i="30"/>
  <c r="BB241" i="30"/>
  <c r="BB249" i="30" l="1"/>
  <c r="I236" i="32"/>
  <c r="I244" i="32" l="1"/>
  <c r="P6" i="75" l="1" a="1"/>
  <c r="S6" i="75" a="1"/>
  <c r="X6" i="75" a="1"/>
  <c r="Y6" i="75" a="1"/>
  <c r="Z6" i="75" a="1"/>
  <c r="AA6" i="75" a="1"/>
  <c r="AK189" i="71" l="1"/>
  <c r="AK192" i="71"/>
  <c r="O22" i="73"/>
  <c r="O23" i="73"/>
  <c r="CP144" i="71"/>
  <c r="CP18" i="71"/>
  <c r="M452" i="71"/>
  <c r="O50" i="73"/>
  <c r="AT144" i="71"/>
  <c r="AT18" i="71"/>
  <c r="I452" i="71"/>
  <c r="I50" i="73"/>
  <c r="CW189" i="71"/>
  <c r="CW192" i="71"/>
  <c r="CW196" i="71"/>
  <c r="CW22" i="71"/>
  <c r="M456" i="71"/>
  <c r="O54" i="73"/>
  <c r="D54" i="73"/>
  <c r="BF144" i="71"/>
  <c r="BF18" i="71"/>
  <c r="J452" i="71"/>
  <c r="K50" i="73"/>
  <c r="BR144" i="71"/>
  <c r="BR18" i="71"/>
  <c r="K452" i="71"/>
  <c r="L50" i="73"/>
  <c r="E171" i="71"/>
  <c r="E173" i="71"/>
  <c r="F170" i="71"/>
  <c r="F173" i="71"/>
  <c r="G170" i="71"/>
  <c r="G173" i="71"/>
  <c r="H170" i="71"/>
  <c r="H173" i="71"/>
  <c r="I170" i="71"/>
  <c r="I173" i="71"/>
  <c r="J170" i="71"/>
  <c r="J173" i="71"/>
  <c r="K170" i="71"/>
  <c r="K173" i="71"/>
  <c r="L170" i="71"/>
  <c r="L173" i="71"/>
  <c r="M170" i="71"/>
  <c r="M173" i="71"/>
  <c r="N170" i="71"/>
  <c r="N173" i="71"/>
  <c r="O170" i="71"/>
  <c r="O173" i="71"/>
  <c r="P170" i="71"/>
  <c r="P173" i="71"/>
  <c r="Q170" i="71"/>
  <c r="Q173" i="71"/>
  <c r="R170" i="71"/>
  <c r="R173" i="71"/>
  <c r="S170" i="71"/>
  <c r="S173" i="71"/>
  <c r="T170" i="71"/>
  <c r="T173" i="71"/>
  <c r="U170" i="71"/>
  <c r="U173" i="71"/>
  <c r="V170" i="71"/>
  <c r="V173" i="71"/>
  <c r="W170" i="71"/>
  <c r="W173" i="71"/>
  <c r="X170" i="71"/>
  <c r="X173" i="71"/>
  <c r="Y170" i="71"/>
  <c r="Y173" i="71"/>
  <c r="Z170" i="71"/>
  <c r="Z173" i="71"/>
  <c r="AA170" i="71"/>
  <c r="AA173" i="71"/>
  <c r="AB170" i="71"/>
  <c r="AB173" i="71"/>
  <c r="AC170" i="71"/>
  <c r="AC173" i="71"/>
  <c r="AD170" i="71"/>
  <c r="AD173" i="71"/>
  <c r="AE170" i="71"/>
  <c r="AE173" i="71"/>
  <c r="AF170" i="71"/>
  <c r="AF173" i="71"/>
  <c r="AG170" i="71"/>
  <c r="AG173" i="71"/>
  <c r="AH170" i="71"/>
  <c r="AH173" i="71"/>
  <c r="AI170" i="71"/>
  <c r="AI173" i="71"/>
  <c r="AJ170" i="71"/>
  <c r="AJ173" i="71"/>
  <c r="AK170" i="71"/>
  <c r="AK173" i="71"/>
  <c r="AL170" i="71"/>
  <c r="AL172" i="71"/>
  <c r="AL29" i="71"/>
  <c r="H463" i="71"/>
  <c r="H60" i="73"/>
  <c r="D60" i="73"/>
  <c r="AL176" i="71"/>
  <c r="AL179" i="71"/>
  <c r="AL30" i="71"/>
  <c r="H464" i="71"/>
  <c r="H61" i="73"/>
  <c r="D61" i="73"/>
  <c r="AL181" i="71"/>
  <c r="AM178" i="71"/>
  <c r="AM181" i="71"/>
  <c r="AN178" i="71"/>
  <c r="AN181" i="71"/>
  <c r="AO178" i="71"/>
  <c r="AO181" i="71"/>
  <c r="AP178" i="71"/>
  <c r="AP181" i="71"/>
  <c r="AQ178" i="71"/>
  <c r="AQ181" i="71"/>
  <c r="AR178" i="71"/>
  <c r="AR181" i="71"/>
  <c r="AS178" i="71"/>
  <c r="AS181" i="71"/>
  <c r="AT178" i="71"/>
  <c r="AT181" i="71"/>
  <c r="AU178" i="71"/>
  <c r="AU181" i="71"/>
  <c r="AV178" i="71"/>
  <c r="AV181" i="71"/>
  <c r="AW178" i="71"/>
  <c r="AW181" i="71"/>
  <c r="AX178" i="71"/>
  <c r="AX181" i="71"/>
  <c r="AY178" i="71"/>
  <c r="AY181" i="71"/>
  <c r="AZ178" i="71"/>
  <c r="AZ181" i="71"/>
  <c r="BA178" i="71"/>
  <c r="BA181" i="71"/>
  <c r="BB178" i="71"/>
  <c r="BB181" i="71"/>
  <c r="BC178" i="71"/>
  <c r="BC181" i="71"/>
  <c r="BD178" i="71"/>
  <c r="BD181" i="71"/>
  <c r="BE178" i="71"/>
  <c r="BE181" i="71"/>
  <c r="BF178" i="71"/>
  <c r="BF181" i="71"/>
  <c r="BG178" i="71"/>
  <c r="BG181" i="71"/>
  <c r="BH178" i="71"/>
  <c r="BH181" i="71"/>
  <c r="BI178" i="71"/>
  <c r="BI181" i="71"/>
  <c r="BJ178" i="71"/>
  <c r="BJ181" i="71"/>
  <c r="BK178" i="71"/>
  <c r="BK181" i="71"/>
  <c r="BL178" i="71"/>
  <c r="BL181" i="71"/>
  <c r="BM178" i="71"/>
  <c r="BM181" i="71"/>
  <c r="BN178" i="71"/>
  <c r="BN181" i="71"/>
  <c r="BO178" i="71"/>
  <c r="BO181" i="71"/>
  <c r="BP178" i="71"/>
  <c r="BP181" i="71"/>
  <c r="BQ178" i="71"/>
  <c r="BQ181" i="71"/>
  <c r="BR178" i="71"/>
  <c r="BR181" i="71"/>
  <c r="BS178" i="71"/>
  <c r="BS181" i="71"/>
  <c r="BT178" i="71"/>
  <c r="BT181" i="71"/>
  <c r="BU178" i="71"/>
  <c r="BU181" i="71"/>
  <c r="BV178" i="71"/>
  <c r="BV181" i="71"/>
  <c r="BW178" i="71"/>
  <c r="BW181" i="71"/>
  <c r="BX178" i="71"/>
  <c r="BX181" i="71"/>
  <c r="BY178" i="71"/>
  <c r="BY181" i="71"/>
  <c r="BZ178" i="71"/>
  <c r="BZ181" i="71"/>
  <c r="CA178" i="71"/>
  <c r="CA181" i="71"/>
  <c r="CB178" i="71"/>
  <c r="CB181" i="71"/>
  <c r="CC178" i="71"/>
  <c r="CC181" i="71"/>
  <c r="CD178" i="71"/>
  <c r="CD181" i="71"/>
  <c r="CE178" i="71"/>
  <c r="CE181" i="71"/>
  <c r="CF178" i="71"/>
  <c r="CF181" i="71"/>
  <c r="CG178" i="71"/>
  <c r="CG181" i="71"/>
  <c r="CH178" i="71"/>
  <c r="CH181" i="71"/>
  <c r="CI178" i="71"/>
  <c r="CI181" i="71"/>
  <c r="CJ178" i="71"/>
  <c r="CJ181" i="71"/>
  <c r="CK178" i="71"/>
  <c r="CK181" i="71"/>
  <c r="CL178" i="71"/>
  <c r="CL181" i="71"/>
  <c r="CM178" i="71"/>
  <c r="CM181" i="71"/>
  <c r="CN178" i="71"/>
  <c r="CN181" i="71"/>
  <c r="CO178" i="71"/>
  <c r="CO181" i="71"/>
  <c r="CP178" i="71"/>
  <c r="CP181" i="71"/>
  <c r="CQ178" i="71"/>
  <c r="CQ181" i="71"/>
  <c r="CR178" i="71"/>
  <c r="CR181" i="71"/>
  <c r="CS178" i="71"/>
  <c r="CS181" i="71"/>
  <c r="CT178" i="71"/>
  <c r="CT181" i="71"/>
  <c r="CU178" i="71"/>
  <c r="CU181" i="71"/>
  <c r="CV178" i="71"/>
  <c r="CV181" i="71"/>
  <c r="CW178" i="71"/>
  <c r="CW181" i="71"/>
  <c r="CW33" i="71"/>
  <c r="M467" i="71"/>
  <c r="O64" i="73"/>
  <c r="D64" i="73"/>
  <c r="E144" i="71"/>
  <c r="E152" i="71"/>
  <c r="F37" i="71"/>
  <c r="E471" i="71"/>
  <c r="E67" i="73"/>
  <c r="C144" i="71"/>
  <c r="R6" i="72"/>
  <c r="S6" i="72"/>
  <c r="Q189" i="71"/>
  <c r="R8" i="72"/>
  <c r="R10" i="72"/>
  <c r="R22" i="72"/>
  <c r="AP144" i="71"/>
  <c r="AP18" i="71"/>
  <c r="I13" i="68"/>
  <c r="BB144" i="71"/>
  <c r="BB18" i="71"/>
  <c r="J13" i="68"/>
  <c r="DV144" i="71"/>
  <c r="DV18" i="71"/>
  <c r="P13" i="68"/>
  <c r="BN144" i="71"/>
  <c r="BN18" i="71"/>
  <c r="K13" i="68"/>
  <c r="M17" i="68"/>
  <c r="C17" i="68"/>
  <c r="BZ144" i="71"/>
  <c r="BZ18" i="71"/>
  <c r="L13" i="68"/>
  <c r="H24" i="68"/>
  <c r="C24" i="68"/>
  <c r="H25" i="68"/>
  <c r="C25" i="68"/>
  <c r="M28" i="68"/>
  <c r="C28" i="68"/>
  <c r="DU152" i="71"/>
  <c r="DV37" i="71"/>
  <c r="P32" i="68"/>
  <c r="P368" i="68"/>
  <c r="P369" i="68"/>
  <c r="P371" i="68"/>
  <c r="P376" i="68"/>
  <c r="R144" i="71"/>
  <c r="R18" i="71"/>
  <c r="R45" i="71"/>
  <c r="G40" i="68"/>
  <c r="F144" i="71"/>
  <c r="F18" i="71"/>
  <c r="F45" i="71"/>
  <c r="F40" i="68"/>
  <c r="F174" i="71"/>
  <c r="F27" i="71"/>
  <c r="F54" i="71"/>
  <c r="F49" i="68"/>
  <c r="BB45" i="71"/>
  <c r="J40" i="68"/>
  <c r="AK196" i="71"/>
  <c r="AK49" i="71"/>
  <c r="H44" i="68"/>
  <c r="C44" i="68"/>
  <c r="E18" i="71"/>
  <c r="E45" i="71"/>
  <c r="E40" i="68"/>
  <c r="E45" i="68"/>
  <c r="AK56" i="71"/>
  <c r="H51" i="68"/>
  <c r="C51" i="68"/>
  <c r="E77" i="71"/>
  <c r="E72" i="68"/>
  <c r="E74" i="68"/>
  <c r="F77" i="71"/>
  <c r="F72" i="68"/>
  <c r="F74" i="68"/>
  <c r="AP45" i="71"/>
  <c r="AP77" i="71"/>
  <c r="I72" i="68"/>
  <c r="I74" i="68"/>
  <c r="BB77" i="71"/>
  <c r="J72" i="68"/>
  <c r="J74" i="68"/>
  <c r="BN45" i="71"/>
  <c r="BN77" i="71"/>
  <c r="K72" i="68"/>
  <c r="K74" i="68"/>
  <c r="BZ45" i="71"/>
  <c r="BZ77" i="71"/>
  <c r="L72" i="68"/>
  <c r="L74" i="68"/>
  <c r="CL144" i="71"/>
  <c r="CL18" i="71"/>
  <c r="CL45" i="71"/>
  <c r="CL77" i="71"/>
  <c r="M72" i="68"/>
  <c r="M74" i="68"/>
  <c r="CX144" i="71"/>
  <c r="CX18" i="71"/>
  <c r="CX45" i="71"/>
  <c r="CX77" i="71"/>
  <c r="N72" i="68"/>
  <c r="N74" i="68"/>
  <c r="DJ144" i="71"/>
  <c r="DJ18" i="71"/>
  <c r="DJ45" i="71"/>
  <c r="DJ77" i="71"/>
  <c r="O72" i="68"/>
  <c r="O74" i="68"/>
  <c r="DV45" i="71"/>
  <c r="DV77" i="71"/>
  <c r="P72" i="68"/>
  <c r="P74" i="68"/>
  <c r="AK78" i="71"/>
  <c r="H73" i="68"/>
  <c r="C73" i="68"/>
  <c r="R77" i="71"/>
  <c r="G72" i="68"/>
  <c r="G74" i="68"/>
  <c r="R189" i="71"/>
  <c r="R192" i="71"/>
  <c r="R196" i="71"/>
  <c r="R114" i="71"/>
  <c r="G109" i="68"/>
  <c r="R124" i="71"/>
  <c r="G119" i="68"/>
  <c r="Q152" i="71"/>
  <c r="R37" i="71"/>
  <c r="R134" i="71"/>
  <c r="G129" i="68"/>
  <c r="BN189" i="71"/>
  <c r="BN192" i="71"/>
  <c r="BN196" i="71"/>
  <c r="BN114" i="71"/>
  <c r="K109" i="68"/>
  <c r="Q192" i="71"/>
  <c r="Q196" i="71"/>
  <c r="Q114" i="71"/>
  <c r="F109" i="68"/>
  <c r="F124" i="71"/>
  <c r="F119" i="68"/>
  <c r="F134" i="71"/>
  <c r="F129" i="68"/>
  <c r="DJ189" i="71"/>
  <c r="DJ192" i="71"/>
  <c r="DJ196" i="71"/>
  <c r="DJ114" i="71"/>
  <c r="O109" i="68"/>
  <c r="CW119" i="71"/>
  <c r="M114" i="68"/>
  <c r="C114" i="68"/>
  <c r="E115" i="71"/>
  <c r="E110" i="68"/>
  <c r="E115" i="68"/>
  <c r="AL126" i="71"/>
  <c r="H121" i="68"/>
  <c r="C121" i="68"/>
  <c r="AL127" i="71"/>
  <c r="H122" i="68"/>
  <c r="C122" i="68"/>
  <c r="CW130" i="71"/>
  <c r="M125" i="68"/>
  <c r="C125" i="68"/>
  <c r="E139" i="68"/>
  <c r="E147" i="68"/>
  <c r="F145" i="71"/>
  <c r="F140" i="68"/>
  <c r="C140" i="68"/>
  <c r="O139" i="68"/>
  <c r="F163" i="71"/>
  <c r="F158" i="68"/>
  <c r="F161" i="68"/>
  <c r="F180" i="68"/>
  <c r="R163" i="71"/>
  <c r="G158" i="68"/>
  <c r="G161" i="68"/>
  <c r="G180" i="68"/>
  <c r="AD163" i="71"/>
  <c r="H158" i="68"/>
  <c r="H161" i="68"/>
  <c r="AP163" i="71"/>
  <c r="I158" i="68"/>
  <c r="I161" i="68"/>
  <c r="BN163" i="71"/>
  <c r="K158" i="68"/>
  <c r="K161" i="68"/>
  <c r="BZ163" i="71"/>
  <c r="L158" i="68"/>
  <c r="L161" i="68"/>
  <c r="CL163" i="71"/>
  <c r="M158" i="68"/>
  <c r="M161" i="68"/>
  <c r="CX163" i="71"/>
  <c r="N158" i="68"/>
  <c r="N161" i="68"/>
  <c r="DJ163" i="71"/>
  <c r="O158" i="68"/>
  <c r="O161" i="68"/>
  <c r="DV163" i="71"/>
  <c r="P158" i="68"/>
  <c r="P161" i="68"/>
  <c r="BB163" i="71"/>
  <c r="J158" i="68"/>
  <c r="J161" i="68"/>
  <c r="H167" i="68"/>
  <c r="C167" i="68"/>
  <c r="E166" i="68"/>
  <c r="E168" i="68"/>
  <c r="E192" i="68"/>
  <c r="E193" i="68"/>
  <c r="E198" i="68"/>
  <c r="AC189" i="71"/>
  <c r="G184" i="68"/>
  <c r="G187" i="68"/>
  <c r="G197" i="68"/>
  <c r="BA189" i="71"/>
  <c r="I184" i="68"/>
  <c r="I187" i="68"/>
  <c r="BM189" i="71"/>
  <c r="J184" i="68"/>
  <c r="J187" i="68"/>
  <c r="BY189" i="71"/>
  <c r="K184" i="68"/>
  <c r="K187" i="68"/>
  <c r="CK189" i="71"/>
  <c r="L184" i="68"/>
  <c r="L187" i="68"/>
  <c r="M184" i="68"/>
  <c r="M187" i="68"/>
  <c r="M194" i="68"/>
  <c r="DI189" i="71"/>
  <c r="N184" i="68"/>
  <c r="N187" i="68"/>
  <c r="N194" i="68"/>
  <c r="DU189" i="71"/>
  <c r="O184" i="68"/>
  <c r="O187" i="68"/>
  <c r="AO189" i="71"/>
  <c r="H184" i="68"/>
  <c r="H187" i="68"/>
  <c r="H195" i="68"/>
  <c r="E82" i="71"/>
  <c r="E88" i="71"/>
  <c r="E106" i="71"/>
  <c r="E108" i="71"/>
  <c r="E110" i="71"/>
  <c r="E217" i="71"/>
  <c r="E218" i="71"/>
  <c r="E213" i="68"/>
  <c r="E207" i="68"/>
  <c r="R82" i="71"/>
  <c r="R88" i="71"/>
  <c r="R106" i="71"/>
  <c r="R108" i="71"/>
  <c r="R110" i="71"/>
  <c r="R217" i="71"/>
  <c r="R218" i="71"/>
  <c r="G213" i="68"/>
  <c r="G207" i="68"/>
  <c r="AD82" i="71"/>
  <c r="AD88" i="71"/>
  <c r="AD106" i="71"/>
  <c r="AD108" i="71"/>
  <c r="AD110" i="71"/>
  <c r="AD217" i="71"/>
  <c r="AD218" i="71"/>
  <c r="H213" i="68"/>
  <c r="H357" i="68"/>
  <c r="AP82" i="71"/>
  <c r="AP88" i="71"/>
  <c r="AP106" i="71"/>
  <c r="AP108" i="71"/>
  <c r="AP110" i="71"/>
  <c r="AP217" i="71"/>
  <c r="AP218" i="71"/>
  <c r="I213" i="68"/>
  <c r="I207" i="68"/>
  <c r="I333" i="68"/>
  <c r="BB82" i="71"/>
  <c r="BB88" i="71"/>
  <c r="BB106" i="71"/>
  <c r="BB108" i="71"/>
  <c r="BB110" i="71"/>
  <c r="BB217" i="71"/>
  <c r="BB218" i="71"/>
  <c r="J213" i="68"/>
  <c r="J207" i="68"/>
  <c r="J333" i="68"/>
  <c r="BN82" i="71"/>
  <c r="BN88" i="71"/>
  <c r="BN106" i="71"/>
  <c r="BN108" i="71"/>
  <c r="BN110" i="71"/>
  <c r="BN217" i="71"/>
  <c r="BN218" i="71"/>
  <c r="K213" i="68"/>
  <c r="K207" i="68"/>
  <c r="K333" i="68"/>
  <c r="BZ82" i="71"/>
  <c r="BZ88" i="71"/>
  <c r="BZ106" i="71"/>
  <c r="BZ108" i="71"/>
  <c r="BZ110" i="71"/>
  <c r="BZ217" i="71"/>
  <c r="BZ218" i="71"/>
  <c r="L213" i="68"/>
  <c r="L207" i="68"/>
  <c r="CL82" i="71"/>
  <c r="CL88" i="71"/>
  <c r="CL106" i="71"/>
  <c r="CL108" i="71"/>
  <c r="CL110" i="71"/>
  <c r="CL217" i="71"/>
  <c r="CL218" i="71"/>
  <c r="M213" i="68"/>
  <c r="M207" i="68"/>
  <c r="CX82" i="71"/>
  <c r="CX88" i="71"/>
  <c r="CX106" i="71"/>
  <c r="CX108" i="71"/>
  <c r="CX110" i="71"/>
  <c r="CX217" i="71"/>
  <c r="CX218" i="71"/>
  <c r="N213" i="68"/>
  <c r="N207" i="68"/>
  <c r="N333" i="68"/>
  <c r="DJ82" i="71"/>
  <c r="DJ88" i="71"/>
  <c r="DJ106" i="71"/>
  <c r="DJ108" i="71"/>
  <c r="DJ110" i="71"/>
  <c r="DJ217" i="71"/>
  <c r="DJ218" i="71"/>
  <c r="O213" i="68"/>
  <c r="O207" i="68"/>
  <c r="O333" i="68"/>
  <c r="AK220" i="71"/>
  <c r="H215" i="68"/>
  <c r="C215" i="68"/>
  <c r="BB227" i="71"/>
  <c r="J222" i="68"/>
  <c r="BZ227" i="71"/>
  <c r="L222" i="68"/>
  <c r="CL227" i="71"/>
  <c r="M222" i="68"/>
  <c r="F227" i="71"/>
  <c r="F222" i="68"/>
  <c r="AD144" i="71"/>
  <c r="AD18" i="71"/>
  <c r="AD45" i="71"/>
  <c r="AD77" i="71"/>
  <c r="AD227" i="71"/>
  <c r="H222" i="68"/>
  <c r="BN227" i="71"/>
  <c r="K222" i="68"/>
  <c r="E227" i="71"/>
  <c r="E222" i="68"/>
  <c r="H249" i="68"/>
  <c r="H250" i="68"/>
  <c r="F34" i="71"/>
  <c r="F38" i="71"/>
  <c r="F257" i="71"/>
  <c r="F252" i="68"/>
  <c r="F253" i="68"/>
  <c r="F260" i="68"/>
  <c r="R174" i="71"/>
  <c r="R27" i="71"/>
  <c r="R34" i="71"/>
  <c r="R38" i="71"/>
  <c r="R257" i="71"/>
  <c r="G252" i="68"/>
  <c r="G253" i="68"/>
  <c r="G260" i="68"/>
  <c r="G276" i="68"/>
  <c r="BB146" i="71"/>
  <c r="BB26" i="71"/>
  <c r="BB34" i="71"/>
  <c r="BB38" i="71"/>
  <c r="BB257" i="71"/>
  <c r="J252" i="68"/>
  <c r="J253" i="68"/>
  <c r="J260" i="68"/>
  <c r="J276" i="68"/>
  <c r="AL173" i="71"/>
  <c r="AM170" i="71"/>
  <c r="AM173" i="71"/>
  <c r="AN170" i="71"/>
  <c r="AN173" i="71"/>
  <c r="AO170" i="71"/>
  <c r="AO173" i="71"/>
  <c r="AP170" i="71"/>
  <c r="AP173" i="71"/>
  <c r="AQ170" i="71"/>
  <c r="AQ173" i="71"/>
  <c r="AR170" i="71"/>
  <c r="AR173" i="71"/>
  <c r="AS170" i="71"/>
  <c r="AS173" i="71"/>
  <c r="AT170" i="71"/>
  <c r="AT173" i="71"/>
  <c r="AU170" i="71"/>
  <c r="AU173" i="71"/>
  <c r="AV170" i="71"/>
  <c r="AV173" i="71"/>
  <c r="AW170" i="71"/>
  <c r="AW173" i="71"/>
  <c r="AX170" i="71"/>
  <c r="AX173" i="71"/>
  <c r="AY170" i="71"/>
  <c r="AY173" i="71"/>
  <c r="AZ170" i="71"/>
  <c r="AZ173" i="71"/>
  <c r="BA170" i="71"/>
  <c r="BA173" i="71"/>
  <c r="BB170" i="71"/>
  <c r="BB173" i="71"/>
  <c r="BC170" i="71"/>
  <c r="BC173" i="71"/>
  <c r="BD170" i="71"/>
  <c r="BD173" i="71"/>
  <c r="BE170" i="71"/>
  <c r="BE173" i="71"/>
  <c r="BF170" i="71"/>
  <c r="BF173" i="71"/>
  <c r="BG170" i="71"/>
  <c r="BG173" i="71"/>
  <c r="BH170" i="71"/>
  <c r="BH173" i="71"/>
  <c r="BI170" i="71"/>
  <c r="BI173" i="71"/>
  <c r="BJ170" i="71"/>
  <c r="BJ173" i="71"/>
  <c r="BK170" i="71"/>
  <c r="BK173" i="71"/>
  <c r="BL170" i="71"/>
  <c r="BL173" i="71"/>
  <c r="BM170" i="71"/>
  <c r="BM173" i="71"/>
  <c r="BN170" i="71"/>
  <c r="BN174" i="71"/>
  <c r="BN27" i="71"/>
  <c r="BN34" i="71"/>
  <c r="BN38" i="71"/>
  <c r="BN257" i="71"/>
  <c r="K252" i="68"/>
  <c r="K253" i="68"/>
  <c r="K260" i="68"/>
  <c r="K276" i="68"/>
  <c r="BN173" i="71"/>
  <c r="BO170" i="71"/>
  <c r="BO173" i="71"/>
  <c r="BP170" i="71"/>
  <c r="BP173" i="71"/>
  <c r="BQ170" i="71"/>
  <c r="BQ173" i="71"/>
  <c r="BR170" i="71"/>
  <c r="BR173" i="71"/>
  <c r="BS170" i="71"/>
  <c r="BS173" i="71"/>
  <c r="BT170" i="71"/>
  <c r="BT173" i="71"/>
  <c r="BU170" i="71"/>
  <c r="BU173" i="71"/>
  <c r="BV170" i="71"/>
  <c r="BV173" i="71"/>
  <c r="BW170" i="71"/>
  <c r="BW173" i="71"/>
  <c r="BX170" i="71"/>
  <c r="BX173" i="71"/>
  <c r="BY170" i="71"/>
  <c r="BY173" i="71"/>
  <c r="BZ170" i="71"/>
  <c r="BZ174" i="71"/>
  <c r="BZ27" i="71"/>
  <c r="BZ34" i="71"/>
  <c r="BZ38" i="71"/>
  <c r="BZ257" i="71"/>
  <c r="L252" i="68"/>
  <c r="L253" i="68"/>
  <c r="L260" i="68"/>
  <c r="L276" i="68"/>
  <c r="E146" i="71"/>
  <c r="E26" i="71"/>
  <c r="E34" i="71"/>
  <c r="E38" i="71"/>
  <c r="E257" i="71"/>
  <c r="E252" i="68"/>
  <c r="E253" i="68"/>
  <c r="E260" i="68"/>
  <c r="E276" i="68"/>
  <c r="AD174" i="71"/>
  <c r="AD27" i="71"/>
  <c r="AD34" i="71"/>
  <c r="AD38" i="71"/>
  <c r="AD257" i="71"/>
  <c r="H252" i="68"/>
  <c r="H253" i="68"/>
  <c r="AP146" i="71"/>
  <c r="AP26" i="71"/>
  <c r="AP34" i="71"/>
  <c r="AP38" i="71"/>
  <c r="AP257" i="71"/>
  <c r="I252" i="68"/>
  <c r="I253" i="68"/>
  <c r="I260" i="68"/>
  <c r="I276" i="68"/>
  <c r="BZ173" i="71"/>
  <c r="CA170" i="71"/>
  <c r="CA173" i="71"/>
  <c r="CB170" i="71"/>
  <c r="CB173" i="71"/>
  <c r="CC170" i="71"/>
  <c r="CC173" i="71"/>
  <c r="CD170" i="71"/>
  <c r="CD173" i="71"/>
  <c r="CE170" i="71"/>
  <c r="CE173" i="71"/>
  <c r="CF170" i="71"/>
  <c r="CF173" i="71"/>
  <c r="CG170" i="71"/>
  <c r="CG173" i="71"/>
  <c r="CH170" i="71"/>
  <c r="CH173" i="71"/>
  <c r="CI170" i="71"/>
  <c r="CI173" i="71"/>
  <c r="CJ170" i="71"/>
  <c r="CJ173" i="71"/>
  <c r="CK170" i="71"/>
  <c r="CK173" i="71"/>
  <c r="CL170" i="71"/>
  <c r="CL174" i="71"/>
  <c r="CL27" i="71"/>
  <c r="CL34" i="71"/>
  <c r="CL38" i="71"/>
  <c r="CL257" i="71"/>
  <c r="M252" i="68"/>
  <c r="M253" i="68"/>
  <c r="M260" i="68"/>
  <c r="M276" i="68"/>
  <c r="CL173" i="71"/>
  <c r="CM170" i="71"/>
  <c r="CM173" i="71"/>
  <c r="CN170" i="71"/>
  <c r="CN173" i="71"/>
  <c r="CO170" i="71"/>
  <c r="CO173" i="71"/>
  <c r="CP170" i="71"/>
  <c r="CP173" i="71"/>
  <c r="CQ170" i="71"/>
  <c r="CQ173" i="71"/>
  <c r="CR170" i="71"/>
  <c r="CR173" i="71"/>
  <c r="CS170" i="71"/>
  <c r="CS173" i="71"/>
  <c r="CT170" i="71"/>
  <c r="CT173" i="71"/>
  <c r="CU170" i="71"/>
  <c r="CU173" i="71"/>
  <c r="CV170" i="71"/>
  <c r="CV173" i="71"/>
  <c r="CW170" i="71"/>
  <c r="CW173" i="71"/>
  <c r="CX170" i="71"/>
  <c r="CX174" i="71"/>
  <c r="CX27" i="71"/>
  <c r="CX34" i="71"/>
  <c r="CX38" i="71"/>
  <c r="CX257" i="71"/>
  <c r="N252" i="68"/>
  <c r="N253" i="68"/>
  <c r="N260" i="68"/>
  <c r="N276" i="68"/>
  <c r="CX173" i="71"/>
  <c r="CY170" i="71"/>
  <c r="CY173" i="71"/>
  <c r="CZ170" i="71"/>
  <c r="CZ173" i="71"/>
  <c r="DA170" i="71"/>
  <c r="DA173" i="71"/>
  <c r="DB170" i="71"/>
  <c r="DB173" i="71"/>
  <c r="DC170" i="71"/>
  <c r="DC173" i="71"/>
  <c r="DD170" i="71"/>
  <c r="DD173" i="71"/>
  <c r="DE170" i="71"/>
  <c r="DE173" i="71"/>
  <c r="DF170" i="71"/>
  <c r="DF173" i="71"/>
  <c r="DG170" i="71"/>
  <c r="DG173" i="71"/>
  <c r="DH170" i="71"/>
  <c r="DH173" i="71"/>
  <c r="DI170" i="71"/>
  <c r="DI173" i="71"/>
  <c r="DJ170" i="71"/>
  <c r="DJ174" i="71"/>
  <c r="DJ27" i="71"/>
  <c r="DJ34" i="71"/>
  <c r="DJ38" i="71"/>
  <c r="DJ257" i="71"/>
  <c r="O252" i="68"/>
  <c r="O253" i="68"/>
  <c r="O260" i="68"/>
  <c r="O276" i="68"/>
  <c r="E258" i="71"/>
  <c r="E265" i="71"/>
  <c r="E272" i="71"/>
  <c r="E267" i="68"/>
  <c r="CL258" i="71"/>
  <c r="CL265" i="71"/>
  <c r="CL272" i="71"/>
  <c r="M267" i="68"/>
  <c r="F276" i="68"/>
  <c r="E290" i="71"/>
  <c r="E285" i="68"/>
  <c r="E288" i="68"/>
  <c r="CL289" i="71"/>
  <c r="CL294" i="71"/>
  <c r="CL299" i="71"/>
  <c r="CL300" i="71"/>
  <c r="CL302" i="71"/>
  <c r="M297" i="68"/>
  <c r="DJ258" i="71"/>
  <c r="DJ265" i="71"/>
  <c r="DJ289" i="71"/>
  <c r="DJ294" i="71"/>
  <c r="DJ299" i="71"/>
  <c r="DJ300" i="71"/>
  <c r="DJ302" i="71"/>
  <c r="O297" i="68"/>
  <c r="E289" i="71"/>
  <c r="E294" i="71"/>
  <c r="E299" i="71"/>
  <c r="E300" i="71"/>
  <c r="E303" i="71"/>
  <c r="E298" i="68"/>
  <c r="E239" i="68"/>
  <c r="F258" i="71"/>
  <c r="F265" i="71"/>
  <c r="F289" i="71"/>
  <c r="F294" i="71"/>
  <c r="F299" i="71"/>
  <c r="F300" i="71"/>
  <c r="F302" i="71"/>
  <c r="F297" i="68"/>
  <c r="R258" i="71"/>
  <c r="R265" i="71"/>
  <c r="R289" i="71"/>
  <c r="R294" i="71"/>
  <c r="R299" i="71"/>
  <c r="R300" i="71"/>
  <c r="R303" i="71"/>
  <c r="G298" i="68"/>
  <c r="G239" i="68"/>
  <c r="AD258" i="71"/>
  <c r="AD265" i="71"/>
  <c r="AD289" i="71"/>
  <c r="AD294" i="71"/>
  <c r="AD299" i="71"/>
  <c r="AD300" i="71"/>
  <c r="AD303" i="71"/>
  <c r="H298" i="68"/>
  <c r="H239" i="68"/>
  <c r="AP258" i="71"/>
  <c r="AP265" i="71"/>
  <c r="AP289" i="71"/>
  <c r="AP294" i="71"/>
  <c r="AP299" i="71"/>
  <c r="AP300" i="71"/>
  <c r="AP303" i="71"/>
  <c r="I298" i="68"/>
  <c r="I239" i="68"/>
  <c r="BB258" i="71"/>
  <c r="BB265" i="71"/>
  <c r="BB289" i="71"/>
  <c r="BB294" i="71"/>
  <c r="BB299" i="71"/>
  <c r="BB300" i="71"/>
  <c r="BB303" i="71"/>
  <c r="J298" i="68"/>
  <c r="J239" i="68"/>
  <c r="BN258" i="71"/>
  <c r="BN265" i="71"/>
  <c r="BN289" i="71"/>
  <c r="BN294" i="71"/>
  <c r="BN299" i="71"/>
  <c r="BN300" i="71"/>
  <c r="BN303" i="71"/>
  <c r="K298" i="68"/>
  <c r="K239" i="68"/>
  <c r="CL303" i="71"/>
  <c r="M298" i="68"/>
  <c r="M239" i="68"/>
  <c r="CX258" i="71"/>
  <c r="CX265" i="71"/>
  <c r="CX289" i="71"/>
  <c r="CX294" i="71"/>
  <c r="CX299" i="71"/>
  <c r="CX300" i="71"/>
  <c r="CX303" i="71"/>
  <c r="N298" i="68"/>
  <c r="N239" i="68"/>
  <c r="DJ303" i="71"/>
  <c r="O298" i="68"/>
  <c r="O299" i="68" s="1"/>
  <c r="O239" i="68"/>
  <c r="AD311" i="71"/>
  <c r="AD316" i="71"/>
  <c r="H311" i="68"/>
  <c r="R311" i="71"/>
  <c r="R316" i="71"/>
  <c r="G311" i="68"/>
  <c r="CL311" i="71"/>
  <c r="CL316" i="71"/>
  <c r="M311" i="68"/>
  <c r="E311" i="71"/>
  <c r="E316" i="71"/>
  <c r="E311" i="68"/>
  <c r="E322" i="71"/>
  <c r="E323" i="71"/>
  <c r="E326" i="71"/>
  <c r="E321" i="68"/>
  <c r="E240" i="68"/>
  <c r="F311" i="71"/>
  <c r="F316" i="71"/>
  <c r="F322" i="71"/>
  <c r="F323" i="71"/>
  <c r="F326" i="71"/>
  <c r="F321" i="68"/>
  <c r="F240" i="68"/>
  <c r="R322" i="71"/>
  <c r="R323" i="71"/>
  <c r="R326" i="71"/>
  <c r="G321" i="68"/>
  <c r="G240" i="68"/>
  <c r="AD322" i="71"/>
  <c r="AD323" i="71"/>
  <c r="AD326" i="71"/>
  <c r="H321" i="68"/>
  <c r="H240" i="68"/>
  <c r="AP311" i="71"/>
  <c r="AP316" i="71"/>
  <c r="AP322" i="71"/>
  <c r="AP323" i="71"/>
  <c r="AP326" i="71"/>
  <c r="I321" i="68"/>
  <c r="I240" i="68"/>
  <c r="BB311" i="71"/>
  <c r="BB316" i="71"/>
  <c r="BB322" i="71"/>
  <c r="BB323" i="71"/>
  <c r="BB326" i="71"/>
  <c r="J321" i="68"/>
  <c r="J240" i="68"/>
  <c r="BZ258" i="71"/>
  <c r="BZ265" i="71"/>
  <c r="BZ311" i="71"/>
  <c r="BZ316" i="71"/>
  <c r="BZ322" i="71"/>
  <c r="BZ323" i="71"/>
  <c r="BZ326" i="71"/>
  <c r="L321" i="68"/>
  <c r="L240" i="68"/>
  <c r="CL322" i="71"/>
  <c r="CL323" i="71"/>
  <c r="CL326" i="71"/>
  <c r="M321" i="68"/>
  <c r="M240" i="68"/>
  <c r="CX311" i="71"/>
  <c r="CX316" i="71"/>
  <c r="CX322" i="71"/>
  <c r="CX323" i="71"/>
  <c r="CX326" i="71"/>
  <c r="N321" i="68"/>
  <c r="N240" i="68"/>
  <c r="AP325" i="71"/>
  <c r="I320" i="68"/>
  <c r="I322" i="68"/>
  <c r="BN281" i="71"/>
  <c r="BN283" i="71"/>
  <c r="BN305" i="71"/>
  <c r="BN328" i="71"/>
  <c r="BN332" i="71"/>
  <c r="K327" i="68"/>
  <c r="CL281" i="71"/>
  <c r="CL283" i="71"/>
  <c r="CL305" i="71"/>
  <c r="CL328" i="71"/>
  <c r="CL332" i="71"/>
  <c r="M327" i="68"/>
  <c r="E281" i="71"/>
  <c r="E283" i="71"/>
  <c r="E305" i="71"/>
  <c r="E328" i="71"/>
  <c r="E333" i="71"/>
  <c r="E328" i="68"/>
  <c r="E241" i="68"/>
  <c r="F281" i="71"/>
  <c r="F283" i="71"/>
  <c r="F305" i="71"/>
  <c r="F328" i="71"/>
  <c r="F333" i="71"/>
  <c r="F328" i="68"/>
  <c r="F241" i="68"/>
  <c r="R281" i="71"/>
  <c r="R283" i="71"/>
  <c r="R305" i="71"/>
  <c r="R328" i="71"/>
  <c r="R333" i="71"/>
  <c r="G328" i="68"/>
  <c r="G241" i="68"/>
  <c r="AD281" i="71"/>
  <c r="AD283" i="71"/>
  <c r="AD305" i="71"/>
  <c r="AD328" i="71"/>
  <c r="AD333" i="71"/>
  <c r="H328" i="68"/>
  <c r="H241" i="68"/>
  <c r="AP281" i="71"/>
  <c r="AP283" i="71"/>
  <c r="AP305" i="71"/>
  <c r="AP328" i="71"/>
  <c r="AP333" i="71"/>
  <c r="I328" i="68"/>
  <c r="I241" i="68"/>
  <c r="BB281" i="71"/>
  <c r="BB283" i="71"/>
  <c r="BB305" i="71"/>
  <c r="BB328" i="71"/>
  <c r="BB333" i="71"/>
  <c r="J328" i="68"/>
  <c r="J241" i="68"/>
  <c r="BN333" i="71"/>
  <c r="K328" i="68"/>
  <c r="K329" i="68" s="1"/>
  <c r="K241" i="68"/>
  <c r="BZ281" i="71"/>
  <c r="BZ283" i="71"/>
  <c r="BZ305" i="71"/>
  <c r="BZ328" i="71"/>
  <c r="BZ333" i="71"/>
  <c r="L328" i="68"/>
  <c r="L241" i="68"/>
  <c r="CL333" i="71"/>
  <c r="M328" i="68"/>
  <c r="M329" i="68" s="1"/>
  <c r="M241" i="68"/>
  <c r="CX281" i="71"/>
  <c r="CX283" i="71"/>
  <c r="CX305" i="71"/>
  <c r="CX328" i="71"/>
  <c r="CX333" i="71"/>
  <c r="N328" i="68"/>
  <c r="N241" i="68"/>
  <c r="R332" i="71"/>
  <c r="G327" i="68"/>
  <c r="G329" i="68"/>
  <c r="G333" i="68"/>
  <c r="L333" i="68"/>
  <c r="M333" i="68"/>
  <c r="E345" i="71"/>
  <c r="E340" i="68"/>
  <c r="G32" i="68"/>
  <c r="G343" i="68"/>
  <c r="AC152" i="71"/>
  <c r="AD37" i="71"/>
  <c r="H32" i="68"/>
  <c r="H343" i="68"/>
  <c r="AO152" i="71"/>
  <c r="AP37" i="71"/>
  <c r="I32" i="68"/>
  <c r="I343" i="68"/>
  <c r="BA152" i="71"/>
  <c r="BB37" i="71"/>
  <c r="J32" i="68"/>
  <c r="J343" i="68"/>
  <c r="BM152" i="71"/>
  <c r="BN37" i="71"/>
  <c r="K32" i="68"/>
  <c r="K343" i="68"/>
  <c r="BY152" i="71"/>
  <c r="BZ37" i="71"/>
  <c r="L32" i="68"/>
  <c r="L343" i="68"/>
  <c r="CK152" i="71"/>
  <c r="CL37" i="71"/>
  <c r="M32" i="68"/>
  <c r="M343" i="68"/>
  <c r="CW152" i="71"/>
  <c r="CX37" i="71"/>
  <c r="N32" i="68"/>
  <c r="N343" i="68"/>
  <c r="DI152" i="71"/>
  <c r="DJ37" i="71"/>
  <c r="O32" i="68"/>
  <c r="O343" i="68"/>
  <c r="E344" i="68"/>
  <c r="G344" i="68"/>
  <c r="J344" i="68"/>
  <c r="K344" i="68"/>
  <c r="L344" i="68"/>
  <c r="M344" i="68"/>
  <c r="N344" i="68"/>
  <c r="O344" i="68"/>
  <c r="E357" i="68"/>
  <c r="G357" i="68"/>
  <c r="I357" i="68"/>
  <c r="J357" i="68"/>
  <c r="K357" i="68"/>
  <c r="L357" i="68"/>
  <c r="M357" i="68"/>
  <c r="N357" i="68"/>
  <c r="F149" i="71"/>
  <c r="F144" i="68"/>
  <c r="F366" i="68"/>
  <c r="R149" i="71"/>
  <c r="G144" i="68"/>
  <c r="G366" i="68"/>
  <c r="AD149" i="71"/>
  <c r="H144" i="68"/>
  <c r="H366" i="68"/>
  <c r="G368" i="68"/>
  <c r="H368" i="68"/>
  <c r="I368" i="68"/>
  <c r="I369" i="68"/>
  <c r="J368" i="68"/>
  <c r="J369" i="68"/>
  <c r="K368" i="68"/>
  <c r="K369" i="68"/>
  <c r="L368" i="68"/>
  <c r="L369" i="68"/>
  <c r="M368" i="68"/>
  <c r="M369" i="68"/>
  <c r="N368" i="68"/>
  <c r="N369" i="68"/>
  <c r="O368" i="68"/>
  <c r="O369" i="68"/>
  <c r="S144" i="71"/>
  <c r="S18" i="71"/>
  <c r="S23" i="71"/>
  <c r="AT23" i="71"/>
  <c r="AK144" i="71"/>
  <c r="AK18" i="71"/>
  <c r="AK45" i="71"/>
  <c r="AT45" i="71"/>
  <c r="BD144" i="71"/>
  <c r="BD18" i="71"/>
  <c r="BD45" i="71"/>
  <c r="BL144" i="71"/>
  <c r="BL18" i="71"/>
  <c r="BL45" i="71"/>
  <c r="F50" i="71"/>
  <c r="DC171" i="71"/>
  <c r="DC28" i="71"/>
  <c r="DC55" i="71"/>
  <c r="J174" i="71"/>
  <c r="J27" i="71"/>
  <c r="J54" i="71"/>
  <c r="J57" i="71"/>
  <c r="AC174" i="71"/>
  <c r="AC27" i="71"/>
  <c r="AC54" i="71"/>
  <c r="AC57" i="71"/>
  <c r="AZ174" i="71"/>
  <c r="AZ27" i="71"/>
  <c r="AZ54" i="71"/>
  <c r="AZ57" i="71"/>
  <c r="BN54" i="71"/>
  <c r="BN57" i="71"/>
  <c r="CA174" i="71"/>
  <c r="CA27" i="71"/>
  <c r="CA54" i="71"/>
  <c r="CA57" i="71"/>
  <c r="CL54" i="71"/>
  <c r="CL57" i="71"/>
  <c r="CS174" i="71"/>
  <c r="CS27" i="71"/>
  <c r="CS54" i="71"/>
  <c r="CS57" i="71"/>
  <c r="DJ173" i="71"/>
  <c r="DK170" i="71"/>
  <c r="DK173" i="71"/>
  <c r="DL170" i="71"/>
  <c r="DL173" i="71"/>
  <c r="DM170" i="71"/>
  <c r="DM173" i="71"/>
  <c r="DN170" i="71"/>
  <c r="DN173" i="71"/>
  <c r="DO170" i="71"/>
  <c r="DO173" i="71"/>
  <c r="DP170" i="71"/>
  <c r="DP173" i="71"/>
  <c r="DQ170" i="71"/>
  <c r="DQ173" i="71"/>
  <c r="DR170" i="71"/>
  <c r="DR173" i="71"/>
  <c r="DS170" i="71"/>
  <c r="DS173" i="71"/>
  <c r="DT170" i="71"/>
  <c r="DT173" i="71"/>
  <c r="DU170" i="71"/>
  <c r="DU173" i="71"/>
  <c r="DV170" i="71"/>
  <c r="DV173" i="71"/>
  <c r="DW170" i="71"/>
  <c r="DW173" i="71"/>
  <c r="DX170" i="71"/>
  <c r="DX173" i="71"/>
  <c r="DY170" i="71"/>
  <c r="DY173" i="71"/>
  <c r="DZ170" i="71"/>
  <c r="DZ173" i="71"/>
  <c r="EA170" i="71"/>
  <c r="EA173" i="71"/>
  <c r="EB170" i="71"/>
  <c r="EB173" i="71"/>
  <c r="EC170" i="71"/>
  <c r="EC174" i="71"/>
  <c r="EC27" i="71"/>
  <c r="EC54" i="71"/>
  <c r="EC57" i="71"/>
  <c r="AD60" i="71"/>
  <c r="BV152" i="71"/>
  <c r="BW37" i="71"/>
  <c r="BW60" i="71"/>
  <c r="E53" i="71"/>
  <c r="E57" i="71"/>
  <c r="E61" i="71"/>
  <c r="F57" i="71"/>
  <c r="F61" i="71"/>
  <c r="G174" i="71"/>
  <c r="G27" i="71"/>
  <c r="G54" i="71"/>
  <c r="G57" i="71"/>
  <c r="G61" i="71"/>
  <c r="H174" i="71"/>
  <c r="H27" i="71"/>
  <c r="H54" i="71"/>
  <c r="H57" i="71"/>
  <c r="H61" i="71"/>
  <c r="I174" i="71"/>
  <c r="I27" i="71"/>
  <c r="I54" i="71"/>
  <c r="I57" i="71"/>
  <c r="I61" i="71"/>
  <c r="J61" i="71"/>
  <c r="K174" i="71"/>
  <c r="K27" i="71"/>
  <c r="K54" i="71"/>
  <c r="K57" i="71"/>
  <c r="K61" i="71"/>
  <c r="L174" i="71"/>
  <c r="L27" i="71"/>
  <c r="L54" i="71"/>
  <c r="L57" i="71"/>
  <c r="L61" i="71"/>
  <c r="M174" i="71"/>
  <c r="M27" i="71"/>
  <c r="M54" i="71"/>
  <c r="M57" i="71"/>
  <c r="M61" i="71"/>
  <c r="N174" i="71"/>
  <c r="N27" i="71"/>
  <c r="N54" i="71"/>
  <c r="N57" i="71"/>
  <c r="N61" i="71"/>
  <c r="O174" i="71"/>
  <c r="O27" i="71"/>
  <c r="O54" i="71"/>
  <c r="O57" i="71"/>
  <c r="O61" i="71"/>
  <c r="P174" i="71"/>
  <c r="P27" i="71"/>
  <c r="P54" i="71"/>
  <c r="P57" i="71"/>
  <c r="P61" i="71"/>
  <c r="Q174" i="71"/>
  <c r="Q27" i="71"/>
  <c r="Q54" i="71"/>
  <c r="Q57" i="71"/>
  <c r="Q61" i="71"/>
  <c r="R54" i="71"/>
  <c r="R57" i="71"/>
  <c r="R61" i="71"/>
  <c r="S174" i="71"/>
  <c r="S27" i="71"/>
  <c r="S54" i="71"/>
  <c r="S57" i="71"/>
  <c r="S61" i="71"/>
  <c r="T174" i="71"/>
  <c r="T27" i="71"/>
  <c r="T54" i="71"/>
  <c r="T57" i="71"/>
  <c r="T61" i="71"/>
  <c r="U174" i="71"/>
  <c r="U27" i="71"/>
  <c r="U54" i="71"/>
  <c r="U57" i="71"/>
  <c r="U61" i="71"/>
  <c r="V174" i="71"/>
  <c r="V27" i="71"/>
  <c r="V54" i="71"/>
  <c r="V57" i="71"/>
  <c r="V61" i="71"/>
  <c r="W174" i="71"/>
  <c r="W27" i="71"/>
  <c r="W54" i="71"/>
  <c r="W57" i="71"/>
  <c r="W61" i="71"/>
  <c r="X174" i="71"/>
  <c r="X27" i="71"/>
  <c r="X54" i="71"/>
  <c r="X57" i="71"/>
  <c r="X61" i="71"/>
  <c r="Y174" i="71"/>
  <c r="Y27" i="71"/>
  <c r="Y54" i="71"/>
  <c r="Y57" i="71"/>
  <c r="Y61" i="71"/>
  <c r="Z174" i="71"/>
  <c r="Z27" i="71"/>
  <c r="Z54" i="71"/>
  <c r="Z57" i="71"/>
  <c r="Z61" i="71"/>
  <c r="AA174" i="71"/>
  <c r="AA27" i="71"/>
  <c r="AA54" i="71"/>
  <c r="AA57" i="71"/>
  <c r="AA61" i="71"/>
  <c r="AB174" i="71"/>
  <c r="AB27" i="71"/>
  <c r="AB54" i="71"/>
  <c r="AB57" i="71"/>
  <c r="AB61" i="71"/>
  <c r="AC61" i="71"/>
  <c r="AD54" i="71"/>
  <c r="AD57" i="71"/>
  <c r="AD61" i="71"/>
  <c r="AE174" i="71"/>
  <c r="AE27" i="71"/>
  <c r="AE54" i="71"/>
  <c r="AE57" i="71"/>
  <c r="AE61" i="71"/>
  <c r="AF174" i="71"/>
  <c r="AF27" i="71"/>
  <c r="AF54" i="71"/>
  <c r="AF57" i="71"/>
  <c r="AF61" i="71"/>
  <c r="AG174" i="71"/>
  <c r="AG27" i="71"/>
  <c r="AG54" i="71"/>
  <c r="AG57" i="71"/>
  <c r="AG61" i="71"/>
  <c r="AH174" i="71"/>
  <c r="AH27" i="71"/>
  <c r="AH54" i="71"/>
  <c r="AH57" i="71"/>
  <c r="AH61" i="71"/>
  <c r="AI174" i="71"/>
  <c r="AI27" i="71"/>
  <c r="AI54" i="71"/>
  <c r="AI57" i="71"/>
  <c r="AI61" i="71"/>
  <c r="AJ174" i="71"/>
  <c r="AJ27" i="71"/>
  <c r="AJ54" i="71"/>
  <c r="AJ57" i="71"/>
  <c r="AJ61" i="71"/>
  <c r="AK174" i="71"/>
  <c r="AK27" i="71"/>
  <c r="AK54" i="71"/>
  <c r="AK57" i="71"/>
  <c r="AK61" i="71"/>
  <c r="AL182" i="71"/>
  <c r="AL26" i="71"/>
  <c r="AL53" i="71"/>
  <c r="AL57" i="71"/>
  <c r="AL61" i="71"/>
  <c r="AM174" i="71"/>
  <c r="AM27" i="71"/>
  <c r="AM54" i="71"/>
  <c r="AM57" i="71"/>
  <c r="AM61" i="71"/>
  <c r="AN174" i="71"/>
  <c r="AN27" i="71"/>
  <c r="AN54" i="71"/>
  <c r="AN57" i="71"/>
  <c r="AN61" i="71"/>
  <c r="AO174" i="71"/>
  <c r="AO27" i="71"/>
  <c r="AO54" i="71"/>
  <c r="AO57" i="71"/>
  <c r="AO61" i="71"/>
  <c r="AP53" i="71"/>
  <c r="AP57" i="71"/>
  <c r="AP61" i="71"/>
  <c r="AQ174" i="71"/>
  <c r="AQ27" i="71"/>
  <c r="AQ54" i="71"/>
  <c r="AQ57" i="71"/>
  <c r="AQ61" i="71"/>
  <c r="AR174" i="71"/>
  <c r="AR27" i="71"/>
  <c r="AR54" i="71"/>
  <c r="AR57" i="71"/>
  <c r="AR61" i="71"/>
  <c r="AS174" i="71"/>
  <c r="AS27" i="71"/>
  <c r="AS54" i="71"/>
  <c r="AS57" i="71"/>
  <c r="AS61" i="71"/>
  <c r="AT174" i="71"/>
  <c r="AT27" i="71"/>
  <c r="AT54" i="71"/>
  <c r="AT57" i="71"/>
  <c r="AT61" i="71"/>
  <c r="AU174" i="71"/>
  <c r="AU27" i="71"/>
  <c r="AU54" i="71"/>
  <c r="AU57" i="71"/>
  <c r="AU61" i="71"/>
  <c r="AV174" i="71"/>
  <c r="AV27" i="71"/>
  <c r="AV54" i="71"/>
  <c r="AV57" i="71"/>
  <c r="AV61" i="71"/>
  <c r="AW174" i="71"/>
  <c r="AW27" i="71"/>
  <c r="AW54" i="71"/>
  <c r="AW57" i="71"/>
  <c r="AW61" i="71"/>
  <c r="AX174" i="71"/>
  <c r="AX27" i="71"/>
  <c r="AX54" i="71"/>
  <c r="AX57" i="71"/>
  <c r="AX61" i="71"/>
  <c r="AY174" i="71"/>
  <c r="AY27" i="71"/>
  <c r="AY54" i="71"/>
  <c r="AY57" i="71"/>
  <c r="AY61" i="71"/>
  <c r="AZ61" i="71"/>
  <c r="BA174" i="71"/>
  <c r="BA27" i="71"/>
  <c r="BA54" i="71"/>
  <c r="BA57" i="71"/>
  <c r="BA61" i="71"/>
  <c r="BB53" i="71"/>
  <c r="BB57" i="71"/>
  <c r="BB61" i="71"/>
  <c r="BC174" i="71"/>
  <c r="BC27" i="71"/>
  <c r="BC54" i="71"/>
  <c r="BC57" i="71"/>
  <c r="BC61" i="71"/>
  <c r="BD174" i="71"/>
  <c r="BD27" i="71"/>
  <c r="BD54" i="71"/>
  <c r="BD57" i="71"/>
  <c r="BD61" i="71"/>
  <c r="BE174" i="71"/>
  <c r="BE27" i="71"/>
  <c r="BE54" i="71"/>
  <c r="BE57" i="71"/>
  <c r="BE61" i="71"/>
  <c r="BF174" i="71"/>
  <c r="BF27" i="71"/>
  <c r="BF54" i="71"/>
  <c r="BF57" i="71"/>
  <c r="BF61" i="71"/>
  <c r="BG174" i="71"/>
  <c r="BG27" i="71"/>
  <c r="BG54" i="71"/>
  <c r="BG57" i="71"/>
  <c r="BG61" i="71"/>
  <c r="BH174" i="71"/>
  <c r="BH27" i="71"/>
  <c r="BH54" i="71"/>
  <c r="BH57" i="71"/>
  <c r="BH61" i="71"/>
  <c r="BI174" i="71"/>
  <c r="BI27" i="71"/>
  <c r="BI54" i="71"/>
  <c r="BI57" i="71"/>
  <c r="BI61" i="71"/>
  <c r="BJ174" i="71"/>
  <c r="BJ27" i="71"/>
  <c r="BJ54" i="71"/>
  <c r="BJ57" i="71"/>
  <c r="BJ61" i="71"/>
  <c r="BK174" i="71"/>
  <c r="BK27" i="71"/>
  <c r="BK54" i="71"/>
  <c r="BK57" i="71"/>
  <c r="BK61" i="71"/>
  <c r="BL174" i="71"/>
  <c r="BL27" i="71"/>
  <c r="BL54" i="71"/>
  <c r="BL57" i="71"/>
  <c r="BL61" i="71"/>
  <c r="BM174" i="71"/>
  <c r="BM27" i="71"/>
  <c r="BM54" i="71"/>
  <c r="BM57" i="71"/>
  <c r="BM61" i="71"/>
  <c r="BN61" i="71"/>
  <c r="BO174" i="71"/>
  <c r="BO27" i="71"/>
  <c r="BO54" i="71"/>
  <c r="BO57" i="71"/>
  <c r="BO61" i="71"/>
  <c r="BP174" i="71"/>
  <c r="BP27" i="71"/>
  <c r="BP54" i="71"/>
  <c r="BP57" i="71"/>
  <c r="BP61" i="71"/>
  <c r="BQ174" i="71"/>
  <c r="BQ27" i="71"/>
  <c r="BQ54" i="71"/>
  <c r="BQ57" i="71"/>
  <c r="BQ61" i="71"/>
  <c r="BR174" i="71"/>
  <c r="BR27" i="71"/>
  <c r="BR54" i="71"/>
  <c r="BR57" i="71"/>
  <c r="BR61" i="71"/>
  <c r="BS174" i="71"/>
  <c r="BS27" i="71"/>
  <c r="BS54" i="71"/>
  <c r="BS57" i="71"/>
  <c r="BS61" i="71"/>
  <c r="BT174" i="71"/>
  <c r="BT27" i="71"/>
  <c r="BT54" i="71"/>
  <c r="BT57" i="71"/>
  <c r="BT61" i="71"/>
  <c r="BU174" i="71"/>
  <c r="BU27" i="71"/>
  <c r="BU54" i="71"/>
  <c r="BU57" i="71"/>
  <c r="BU61" i="71"/>
  <c r="BV174" i="71"/>
  <c r="BV27" i="71"/>
  <c r="BV54" i="71"/>
  <c r="BV57" i="71"/>
  <c r="BV61" i="71"/>
  <c r="BW174" i="71"/>
  <c r="BW27" i="71"/>
  <c r="BW54" i="71"/>
  <c r="BW57" i="71"/>
  <c r="BW61" i="71"/>
  <c r="BX174" i="71"/>
  <c r="BX27" i="71"/>
  <c r="BX54" i="71"/>
  <c r="BX57" i="71"/>
  <c r="BX61" i="71"/>
  <c r="BY174" i="71"/>
  <c r="BY27" i="71"/>
  <c r="BY54" i="71"/>
  <c r="BY57" i="71"/>
  <c r="BY61" i="71"/>
  <c r="BZ54" i="71"/>
  <c r="BZ57" i="71"/>
  <c r="BZ61" i="71"/>
  <c r="CA61" i="71"/>
  <c r="CB174" i="71"/>
  <c r="CB27" i="71"/>
  <c r="CB54" i="71"/>
  <c r="CB57" i="71"/>
  <c r="CB61" i="71"/>
  <c r="CC174" i="71"/>
  <c r="CC27" i="71"/>
  <c r="CC54" i="71"/>
  <c r="CC57" i="71"/>
  <c r="CC61" i="71"/>
  <c r="CD174" i="71"/>
  <c r="CD27" i="71"/>
  <c r="CD54" i="71"/>
  <c r="CD57" i="71"/>
  <c r="CD61" i="71"/>
  <c r="CE174" i="71"/>
  <c r="CE27" i="71"/>
  <c r="CE54" i="71"/>
  <c r="CE57" i="71"/>
  <c r="CE61" i="71"/>
  <c r="CF174" i="71"/>
  <c r="CF27" i="71"/>
  <c r="CF54" i="71"/>
  <c r="CF57" i="71"/>
  <c r="CF61" i="71"/>
  <c r="CG174" i="71"/>
  <c r="CG27" i="71"/>
  <c r="CG54" i="71"/>
  <c r="CG57" i="71"/>
  <c r="CG61" i="71"/>
  <c r="CH174" i="71"/>
  <c r="CH27" i="71"/>
  <c r="CH54" i="71"/>
  <c r="CH57" i="71"/>
  <c r="CH61" i="71"/>
  <c r="CI174" i="71"/>
  <c r="CI27" i="71"/>
  <c r="CI54" i="71"/>
  <c r="CI57" i="71"/>
  <c r="CI61" i="71"/>
  <c r="CJ174" i="71"/>
  <c r="CJ27" i="71"/>
  <c r="CJ54" i="71"/>
  <c r="CJ57" i="71"/>
  <c r="CJ61" i="71"/>
  <c r="CK174" i="71"/>
  <c r="CK27" i="71"/>
  <c r="CK54" i="71"/>
  <c r="CK57" i="71"/>
  <c r="CK61" i="71"/>
  <c r="CL61" i="71"/>
  <c r="CM174" i="71"/>
  <c r="CM27" i="71"/>
  <c r="CM54" i="71"/>
  <c r="CM57" i="71"/>
  <c r="CM61" i="71"/>
  <c r="CN174" i="71"/>
  <c r="CN27" i="71"/>
  <c r="CN54" i="71"/>
  <c r="CN57" i="71"/>
  <c r="CN61" i="71"/>
  <c r="CO174" i="71"/>
  <c r="CO27" i="71"/>
  <c r="CO54" i="71"/>
  <c r="CO57" i="71"/>
  <c r="CO61" i="71"/>
  <c r="CP174" i="71"/>
  <c r="CP27" i="71"/>
  <c r="CP54" i="71"/>
  <c r="CP57" i="71"/>
  <c r="CP61" i="71"/>
  <c r="CQ174" i="71"/>
  <c r="CQ27" i="71"/>
  <c r="CQ54" i="71"/>
  <c r="CQ57" i="71"/>
  <c r="CQ61" i="71"/>
  <c r="CR174" i="71"/>
  <c r="CR27" i="71"/>
  <c r="CR54" i="71"/>
  <c r="CR57" i="71"/>
  <c r="CR61" i="71"/>
  <c r="CS61" i="71"/>
  <c r="CT174" i="71"/>
  <c r="CT27" i="71"/>
  <c r="CT54" i="71"/>
  <c r="CT57" i="71"/>
  <c r="CT61" i="71"/>
  <c r="CU174" i="71"/>
  <c r="CU27" i="71"/>
  <c r="CU54" i="71"/>
  <c r="CU57" i="71"/>
  <c r="CU61" i="71"/>
  <c r="CV174" i="71"/>
  <c r="CV27" i="71"/>
  <c r="CV54" i="71"/>
  <c r="CV57" i="71"/>
  <c r="CV61" i="71"/>
  <c r="CW174" i="71"/>
  <c r="CW27" i="71"/>
  <c r="CW54" i="71"/>
  <c r="CW57" i="71"/>
  <c r="CW61" i="71"/>
  <c r="CX54" i="71"/>
  <c r="CX57" i="71"/>
  <c r="CX61" i="71"/>
  <c r="CY174" i="71"/>
  <c r="CY27" i="71"/>
  <c r="CY54" i="71"/>
  <c r="CY57" i="71"/>
  <c r="CY61" i="71"/>
  <c r="CZ174" i="71"/>
  <c r="CZ27" i="71"/>
  <c r="CZ54" i="71"/>
  <c r="CZ57" i="71"/>
  <c r="CZ61" i="71"/>
  <c r="DA174" i="71"/>
  <c r="DA27" i="71"/>
  <c r="DA54" i="71"/>
  <c r="DA57" i="71"/>
  <c r="DA61" i="71"/>
  <c r="DB174" i="71"/>
  <c r="DB27" i="71"/>
  <c r="DB54" i="71"/>
  <c r="DB57" i="71"/>
  <c r="DB61" i="71"/>
  <c r="DC174" i="71"/>
  <c r="DC27" i="71"/>
  <c r="DC54" i="71"/>
  <c r="DC57" i="71"/>
  <c r="DC61" i="71"/>
  <c r="DD174" i="71"/>
  <c r="DD27" i="71"/>
  <c r="DD54" i="71"/>
  <c r="DD57" i="71"/>
  <c r="DD61" i="71"/>
  <c r="DE174" i="71"/>
  <c r="DE27" i="71"/>
  <c r="DE54" i="71"/>
  <c r="DE57" i="71"/>
  <c r="DE61" i="71"/>
  <c r="DF174" i="71"/>
  <c r="DF27" i="71"/>
  <c r="DF54" i="71"/>
  <c r="DF57" i="71"/>
  <c r="DF61" i="71"/>
  <c r="DG174" i="71"/>
  <c r="DG27" i="71"/>
  <c r="DG54" i="71"/>
  <c r="DG57" i="71"/>
  <c r="DG61" i="71"/>
  <c r="DH174" i="71"/>
  <c r="DH27" i="71"/>
  <c r="DH54" i="71"/>
  <c r="DH57" i="71"/>
  <c r="DH61" i="71"/>
  <c r="DI174" i="71"/>
  <c r="DI27" i="71"/>
  <c r="DI54" i="71"/>
  <c r="DI57" i="71"/>
  <c r="DI61" i="71"/>
  <c r="DJ54" i="71"/>
  <c r="DJ57" i="71"/>
  <c r="DJ61" i="71"/>
  <c r="DK174" i="71"/>
  <c r="DK27" i="71"/>
  <c r="DK54" i="71"/>
  <c r="DK57" i="71"/>
  <c r="DK61" i="71"/>
  <c r="DL174" i="71"/>
  <c r="DL27" i="71"/>
  <c r="DL54" i="71"/>
  <c r="DL57" i="71"/>
  <c r="DL61" i="71"/>
  <c r="DM174" i="71"/>
  <c r="DM27" i="71"/>
  <c r="DM54" i="71"/>
  <c r="DM57" i="71"/>
  <c r="DM61" i="71"/>
  <c r="DN174" i="71"/>
  <c r="DN27" i="71"/>
  <c r="DN54" i="71"/>
  <c r="DN57" i="71"/>
  <c r="DN61" i="71"/>
  <c r="DO174" i="71"/>
  <c r="DO27" i="71"/>
  <c r="DO54" i="71"/>
  <c r="DO57" i="71"/>
  <c r="DO61" i="71"/>
  <c r="DP174" i="71"/>
  <c r="DP27" i="71"/>
  <c r="DP54" i="71"/>
  <c r="DP57" i="71"/>
  <c r="DP61" i="71"/>
  <c r="DQ174" i="71"/>
  <c r="DQ27" i="71"/>
  <c r="DQ54" i="71"/>
  <c r="DQ57" i="71"/>
  <c r="DQ61" i="71"/>
  <c r="DR174" i="71"/>
  <c r="DR27" i="71"/>
  <c r="DR54" i="71"/>
  <c r="DR57" i="71"/>
  <c r="DR61" i="71"/>
  <c r="DS174" i="71"/>
  <c r="DS27" i="71"/>
  <c r="DS54" i="71"/>
  <c r="DS57" i="71"/>
  <c r="DS61" i="71"/>
  <c r="DT174" i="71"/>
  <c r="DT27" i="71"/>
  <c r="DT54" i="71"/>
  <c r="DT57" i="71"/>
  <c r="DT61" i="71"/>
  <c r="DU174" i="71"/>
  <c r="DU27" i="71"/>
  <c r="DU54" i="71"/>
  <c r="DU57" i="71"/>
  <c r="DU61" i="71"/>
  <c r="DV174" i="71"/>
  <c r="DV27" i="71"/>
  <c r="DV54" i="71"/>
  <c r="DV57" i="71"/>
  <c r="DV61" i="71"/>
  <c r="DW174" i="71"/>
  <c r="DW27" i="71"/>
  <c r="DW54" i="71"/>
  <c r="DW57" i="71"/>
  <c r="DW61" i="71"/>
  <c r="DX174" i="71"/>
  <c r="DX27" i="71"/>
  <c r="DX54" i="71"/>
  <c r="DX57" i="71"/>
  <c r="DX61" i="71"/>
  <c r="DY174" i="71"/>
  <c r="DY27" i="71"/>
  <c r="DY54" i="71"/>
  <c r="DY57" i="71"/>
  <c r="DY61" i="71"/>
  <c r="DZ174" i="71"/>
  <c r="DZ27" i="71"/>
  <c r="DZ54" i="71"/>
  <c r="DZ57" i="71"/>
  <c r="DZ61" i="71"/>
  <c r="EA174" i="71"/>
  <c r="EA27" i="71"/>
  <c r="EA54" i="71"/>
  <c r="EA57" i="71"/>
  <c r="EA61" i="71"/>
  <c r="EB174" i="71"/>
  <c r="EB27" i="71"/>
  <c r="EB54" i="71"/>
  <c r="EB57" i="71"/>
  <c r="EB61" i="71"/>
  <c r="EC61" i="71"/>
  <c r="EC173" i="71"/>
  <c r="ED170" i="71"/>
  <c r="ED174" i="71"/>
  <c r="ED27" i="71"/>
  <c r="ED54" i="71"/>
  <c r="ED57" i="71"/>
  <c r="ED61" i="71"/>
  <c r="ED173" i="71"/>
  <c r="EE170" i="71"/>
  <c r="EE174" i="71"/>
  <c r="EE27" i="71"/>
  <c r="EE54" i="71"/>
  <c r="EE57" i="71"/>
  <c r="EE61" i="71"/>
  <c r="EE173" i="71"/>
  <c r="EF170" i="71"/>
  <c r="EF174" i="71"/>
  <c r="EF27" i="71"/>
  <c r="EF54" i="71"/>
  <c r="EF57" i="71"/>
  <c r="EF61" i="71"/>
  <c r="EF173" i="71"/>
  <c r="EG170" i="71"/>
  <c r="EG174" i="71"/>
  <c r="EG27" i="71"/>
  <c r="EG54" i="71"/>
  <c r="EG57" i="71"/>
  <c r="EG61" i="71"/>
  <c r="E64" i="71"/>
  <c r="E65" i="71"/>
  <c r="F82" i="71"/>
  <c r="F88" i="71"/>
  <c r="F106" i="71"/>
  <c r="F108" i="71"/>
  <c r="F110" i="71"/>
  <c r="F64" i="71"/>
  <c r="F65" i="71"/>
  <c r="G82" i="71"/>
  <c r="G88" i="71"/>
  <c r="G106" i="71"/>
  <c r="G108" i="71"/>
  <c r="G110" i="71"/>
  <c r="G64" i="71"/>
  <c r="G65" i="71"/>
  <c r="H82" i="71"/>
  <c r="H88" i="71"/>
  <c r="H106" i="71"/>
  <c r="H108" i="71"/>
  <c r="H110" i="71"/>
  <c r="H64" i="71"/>
  <c r="H65" i="71"/>
  <c r="I82" i="71"/>
  <c r="I88" i="71"/>
  <c r="I106" i="71"/>
  <c r="I108" i="71"/>
  <c r="I110" i="71"/>
  <c r="I64" i="71"/>
  <c r="I65" i="71"/>
  <c r="J82" i="71"/>
  <c r="J88" i="71"/>
  <c r="J106" i="71"/>
  <c r="J108" i="71"/>
  <c r="J110" i="71"/>
  <c r="J64" i="71"/>
  <c r="J65" i="71"/>
  <c r="K82" i="71"/>
  <c r="K88" i="71"/>
  <c r="K106" i="71"/>
  <c r="K108" i="71"/>
  <c r="K110" i="71"/>
  <c r="K64" i="71"/>
  <c r="K65" i="71"/>
  <c r="L82" i="71"/>
  <c r="L88" i="71"/>
  <c r="L106" i="71"/>
  <c r="L108" i="71"/>
  <c r="L110" i="71"/>
  <c r="L64" i="71"/>
  <c r="L65" i="71"/>
  <c r="M82" i="71"/>
  <c r="M88" i="71"/>
  <c r="M106" i="71"/>
  <c r="M108" i="71"/>
  <c r="M110" i="71"/>
  <c r="M64" i="71"/>
  <c r="M65" i="71"/>
  <c r="N82" i="71"/>
  <c r="N88" i="71"/>
  <c r="N106" i="71"/>
  <c r="N108" i="71"/>
  <c r="N110" i="71"/>
  <c r="N64" i="71"/>
  <c r="N65" i="71"/>
  <c r="O82" i="71"/>
  <c r="O88" i="71"/>
  <c r="O106" i="71"/>
  <c r="O108" i="71"/>
  <c r="O110" i="71"/>
  <c r="O64" i="71"/>
  <c r="O65" i="71"/>
  <c r="P82" i="71"/>
  <c r="P88" i="71"/>
  <c r="P106" i="71"/>
  <c r="P108" i="71"/>
  <c r="P110" i="71"/>
  <c r="P64" i="71"/>
  <c r="P65" i="71"/>
  <c r="Q82" i="71"/>
  <c r="Q88" i="71"/>
  <c r="Q106" i="71"/>
  <c r="Q108" i="71"/>
  <c r="Q110" i="71"/>
  <c r="Q64" i="71"/>
  <c r="Q65" i="71"/>
  <c r="R64" i="71"/>
  <c r="R65" i="71"/>
  <c r="S82" i="71"/>
  <c r="S88" i="71"/>
  <c r="S106" i="71"/>
  <c r="S108" i="71"/>
  <c r="S110" i="71"/>
  <c r="S64" i="71"/>
  <c r="S65" i="71"/>
  <c r="T82" i="71"/>
  <c r="T88" i="71"/>
  <c r="T106" i="71"/>
  <c r="T108" i="71"/>
  <c r="T110" i="71"/>
  <c r="T64" i="71"/>
  <c r="T65" i="71"/>
  <c r="U82" i="71"/>
  <c r="U88" i="71"/>
  <c r="U106" i="71"/>
  <c r="U108" i="71"/>
  <c r="U110" i="71"/>
  <c r="U64" i="71"/>
  <c r="U65" i="71"/>
  <c r="V82" i="71"/>
  <c r="V88" i="71"/>
  <c r="V106" i="71"/>
  <c r="V108" i="71"/>
  <c r="V110" i="71"/>
  <c r="V64" i="71"/>
  <c r="V65" i="71"/>
  <c r="W82" i="71"/>
  <c r="W88" i="71"/>
  <c r="W106" i="71"/>
  <c r="W108" i="71"/>
  <c r="W110" i="71"/>
  <c r="W64" i="71"/>
  <c r="W65" i="71"/>
  <c r="X82" i="71"/>
  <c r="X88" i="71"/>
  <c r="X106" i="71"/>
  <c r="X108" i="71"/>
  <c r="X110" i="71"/>
  <c r="X64" i="71"/>
  <c r="X65" i="71"/>
  <c r="Y82" i="71"/>
  <c r="Y88" i="71"/>
  <c r="Y106" i="71"/>
  <c r="Y108" i="71"/>
  <c r="Y110" i="71"/>
  <c r="Y64" i="71"/>
  <c r="Y65" i="71"/>
  <c r="Z82" i="71"/>
  <c r="Z88" i="71"/>
  <c r="Z106" i="71"/>
  <c r="Z108" i="71"/>
  <c r="Z110" i="71"/>
  <c r="Z64" i="71"/>
  <c r="Z65" i="71"/>
  <c r="AA82" i="71"/>
  <c r="AA88" i="71"/>
  <c r="AA106" i="71"/>
  <c r="AA108" i="71"/>
  <c r="AA110" i="71"/>
  <c r="AA64" i="71"/>
  <c r="AA65" i="71"/>
  <c r="AB82" i="71"/>
  <c r="AB88" i="71"/>
  <c r="AB106" i="71"/>
  <c r="AB108" i="71"/>
  <c r="AB110" i="71"/>
  <c r="AB64" i="71"/>
  <c r="AB65" i="71"/>
  <c r="AC82" i="71"/>
  <c r="AC88" i="71"/>
  <c r="AC106" i="71"/>
  <c r="AC108" i="71"/>
  <c r="AC110" i="71"/>
  <c r="AC64" i="71"/>
  <c r="AC65" i="71"/>
  <c r="AD64" i="71"/>
  <c r="AD65" i="71"/>
  <c r="AE82" i="71"/>
  <c r="AE88" i="71"/>
  <c r="AE106" i="71"/>
  <c r="AE108" i="71"/>
  <c r="AE110" i="71"/>
  <c r="AE64" i="71"/>
  <c r="AE65" i="71"/>
  <c r="AF82" i="71"/>
  <c r="AF88" i="71"/>
  <c r="AF106" i="71"/>
  <c r="AF108" i="71"/>
  <c r="AF110" i="71"/>
  <c r="AF64" i="71"/>
  <c r="AF65" i="71"/>
  <c r="AG82" i="71"/>
  <c r="AG88" i="71"/>
  <c r="AG106" i="71"/>
  <c r="AG108" i="71"/>
  <c r="AG110" i="71"/>
  <c r="AG64" i="71"/>
  <c r="AG65" i="71"/>
  <c r="AH82" i="71"/>
  <c r="AH88" i="71"/>
  <c r="AH106" i="71"/>
  <c r="AH108" i="71"/>
  <c r="AH110" i="71"/>
  <c r="AH64" i="71"/>
  <c r="AH65" i="71"/>
  <c r="AI82" i="71"/>
  <c r="AI88" i="71"/>
  <c r="AI106" i="71"/>
  <c r="AI108" i="71"/>
  <c r="AI110" i="71"/>
  <c r="AI64" i="71"/>
  <c r="AI65" i="71"/>
  <c r="AJ82" i="71"/>
  <c r="AJ88" i="71"/>
  <c r="AJ106" i="71"/>
  <c r="AJ108" i="71"/>
  <c r="AJ110" i="71"/>
  <c r="AJ64" i="71"/>
  <c r="AJ65" i="71"/>
  <c r="AK106" i="71"/>
  <c r="AK108" i="71"/>
  <c r="AK110" i="71"/>
  <c r="AK64" i="71"/>
  <c r="AK65" i="71"/>
  <c r="AL82" i="71"/>
  <c r="AL88" i="71"/>
  <c r="AL106" i="71"/>
  <c r="AL108" i="71"/>
  <c r="AL110" i="71"/>
  <c r="AL64" i="71"/>
  <c r="AL65" i="71"/>
  <c r="AM82" i="71"/>
  <c r="AM88" i="71"/>
  <c r="AM106" i="71"/>
  <c r="AM108" i="71"/>
  <c r="AM110" i="71"/>
  <c r="AM64" i="71"/>
  <c r="AM65" i="71"/>
  <c r="AN82" i="71"/>
  <c r="AN88" i="71"/>
  <c r="AN106" i="71"/>
  <c r="AN108" i="71"/>
  <c r="AN110" i="71"/>
  <c r="AN64" i="71"/>
  <c r="AN65" i="71"/>
  <c r="AO82" i="71"/>
  <c r="AO88" i="71"/>
  <c r="AO106" i="71"/>
  <c r="AO108" i="71"/>
  <c r="AO110" i="71"/>
  <c r="AO64" i="71"/>
  <c r="AO65" i="71"/>
  <c r="AP64" i="71"/>
  <c r="AP65" i="71"/>
  <c r="AQ82" i="71"/>
  <c r="AQ88" i="71"/>
  <c r="AQ106" i="71"/>
  <c r="AQ108" i="71"/>
  <c r="AQ110" i="71"/>
  <c r="AQ64" i="71"/>
  <c r="AQ65" i="71"/>
  <c r="AR82" i="71"/>
  <c r="AR88" i="71"/>
  <c r="AR106" i="71"/>
  <c r="AR108" i="71"/>
  <c r="AR110" i="71"/>
  <c r="AR64" i="71"/>
  <c r="AR65" i="71"/>
  <c r="AS82" i="71"/>
  <c r="AS88" i="71"/>
  <c r="AS106" i="71"/>
  <c r="AS108" i="71"/>
  <c r="AS110" i="71"/>
  <c r="AS64" i="71"/>
  <c r="AS65" i="71"/>
  <c r="AT82" i="71"/>
  <c r="AT88" i="71"/>
  <c r="AT106" i="71"/>
  <c r="AT108" i="71"/>
  <c r="AT110" i="71"/>
  <c r="AT64" i="71"/>
  <c r="AT65" i="71"/>
  <c r="AU82" i="71"/>
  <c r="AU88" i="71"/>
  <c r="AU106" i="71"/>
  <c r="AU108" i="71"/>
  <c r="AU110" i="71"/>
  <c r="AU64" i="71"/>
  <c r="AU65" i="71"/>
  <c r="AV82" i="71"/>
  <c r="AV88" i="71"/>
  <c r="AV106" i="71"/>
  <c r="AV108" i="71"/>
  <c r="AV110" i="71"/>
  <c r="AV64" i="71"/>
  <c r="AV65" i="71"/>
  <c r="AW82" i="71"/>
  <c r="AW88" i="71"/>
  <c r="AW106" i="71"/>
  <c r="AW108" i="71"/>
  <c r="AW110" i="71"/>
  <c r="AW64" i="71"/>
  <c r="AW65" i="71"/>
  <c r="AX82" i="71"/>
  <c r="AX88" i="71"/>
  <c r="AX106" i="71"/>
  <c r="AX108" i="71"/>
  <c r="AX110" i="71"/>
  <c r="AX64" i="71"/>
  <c r="AX65" i="71"/>
  <c r="AY82" i="71"/>
  <c r="AY88" i="71"/>
  <c r="AY106" i="71"/>
  <c r="AY108" i="71"/>
  <c r="AY110" i="71"/>
  <c r="AY64" i="71"/>
  <c r="AY65" i="71"/>
  <c r="AZ82" i="71"/>
  <c r="AZ88" i="71"/>
  <c r="AZ106" i="71"/>
  <c r="AZ108" i="71"/>
  <c r="AZ110" i="71"/>
  <c r="AZ64" i="71"/>
  <c r="AZ65" i="71"/>
  <c r="BA82" i="71"/>
  <c r="BA88" i="71"/>
  <c r="BA106" i="71"/>
  <c r="BA108" i="71"/>
  <c r="BA110" i="71"/>
  <c r="BA64" i="71"/>
  <c r="BA65" i="71"/>
  <c r="BB64" i="71"/>
  <c r="BB65" i="71"/>
  <c r="BC82" i="71"/>
  <c r="BC88" i="71"/>
  <c r="BC106" i="71"/>
  <c r="BC108" i="71"/>
  <c r="BC110" i="71"/>
  <c r="BC64" i="71"/>
  <c r="BC65" i="71"/>
  <c r="BD82" i="71"/>
  <c r="BD88" i="71"/>
  <c r="BD106" i="71"/>
  <c r="BD108" i="71"/>
  <c r="BD110" i="71"/>
  <c r="BD64" i="71"/>
  <c r="BD65" i="71"/>
  <c r="BE82" i="71"/>
  <c r="BE88" i="71"/>
  <c r="BE106" i="71"/>
  <c r="BE108" i="71"/>
  <c r="BE110" i="71"/>
  <c r="BE64" i="71"/>
  <c r="BE65" i="71"/>
  <c r="BF82" i="71"/>
  <c r="BF88" i="71"/>
  <c r="BF106" i="71"/>
  <c r="BF108" i="71"/>
  <c r="BF110" i="71"/>
  <c r="BF64" i="71"/>
  <c r="BF65" i="71"/>
  <c r="BG82" i="71"/>
  <c r="BG88" i="71"/>
  <c r="BG106" i="71"/>
  <c r="BG108" i="71"/>
  <c r="BG110" i="71"/>
  <c r="BG64" i="71"/>
  <c r="BG65" i="71"/>
  <c r="BH82" i="71"/>
  <c r="BH88" i="71"/>
  <c r="BH106" i="71"/>
  <c r="BH108" i="71"/>
  <c r="BH110" i="71"/>
  <c r="BH64" i="71"/>
  <c r="BH65" i="71"/>
  <c r="BI82" i="71"/>
  <c r="BI88" i="71"/>
  <c r="BI106" i="71"/>
  <c r="BI108" i="71"/>
  <c r="BI110" i="71"/>
  <c r="BI64" i="71"/>
  <c r="BI65" i="71"/>
  <c r="BJ82" i="71"/>
  <c r="BJ88" i="71"/>
  <c r="BJ106" i="71"/>
  <c r="BJ108" i="71"/>
  <c r="BJ110" i="71"/>
  <c r="BJ64" i="71"/>
  <c r="BJ65" i="71"/>
  <c r="BK82" i="71"/>
  <c r="BK88" i="71"/>
  <c r="BK106" i="71"/>
  <c r="BK108" i="71"/>
  <c r="BK110" i="71"/>
  <c r="BK64" i="71"/>
  <c r="BK65" i="71"/>
  <c r="BL82" i="71"/>
  <c r="BL88" i="71"/>
  <c r="BL106" i="71"/>
  <c r="BL108" i="71"/>
  <c r="BL110" i="71"/>
  <c r="BL64" i="71"/>
  <c r="BL65" i="71"/>
  <c r="BM82" i="71"/>
  <c r="BM88" i="71"/>
  <c r="BM106" i="71"/>
  <c r="BM108" i="71"/>
  <c r="BM110" i="71"/>
  <c r="BM64" i="71"/>
  <c r="BM65" i="71"/>
  <c r="BN64" i="71"/>
  <c r="BN65" i="71"/>
  <c r="BO82" i="71"/>
  <c r="BO88" i="71"/>
  <c r="BO106" i="71"/>
  <c r="BO108" i="71"/>
  <c r="BO110" i="71"/>
  <c r="BO64" i="71"/>
  <c r="BO65" i="71"/>
  <c r="BP82" i="71"/>
  <c r="BP88" i="71"/>
  <c r="BP106" i="71"/>
  <c r="BP108" i="71"/>
  <c r="BP110" i="71"/>
  <c r="BP64" i="71"/>
  <c r="BP65" i="71"/>
  <c r="BQ82" i="71"/>
  <c r="BQ88" i="71"/>
  <c r="BQ106" i="71"/>
  <c r="BQ108" i="71"/>
  <c r="BQ110" i="71"/>
  <c r="BQ64" i="71"/>
  <c r="BQ65" i="71"/>
  <c r="BR82" i="71"/>
  <c r="BR88" i="71"/>
  <c r="BR106" i="71"/>
  <c r="BR108" i="71"/>
  <c r="BR110" i="71"/>
  <c r="BR64" i="71"/>
  <c r="BR65" i="71"/>
  <c r="BS82" i="71"/>
  <c r="BS88" i="71"/>
  <c r="BS106" i="71"/>
  <c r="BS108" i="71"/>
  <c r="BS110" i="71"/>
  <c r="BS64" i="71"/>
  <c r="BS65" i="71"/>
  <c r="BT82" i="71"/>
  <c r="BT88" i="71"/>
  <c r="BT106" i="71"/>
  <c r="BT108" i="71"/>
  <c r="BT110" i="71"/>
  <c r="BT64" i="71"/>
  <c r="BT65" i="71"/>
  <c r="BU82" i="71"/>
  <c r="BU88" i="71"/>
  <c r="BU106" i="71"/>
  <c r="BU108" i="71"/>
  <c r="BU110" i="71"/>
  <c r="BU64" i="71"/>
  <c r="BU65" i="71"/>
  <c r="BV82" i="71"/>
  <c r="BV88" i="71"/>
  <c r="BV106" i="71"/>
  <c r="BV108" i="71"/>
  <c r="BV110" i="71"/>
  <c r="BV64" i="71"/>
  <c r="BV65" i="71"/>
  <c r="BW82" i="71"/>
  <c r="BW88" i="71"/>
  <c r="BW106" i="71"/>
  <c r="BW108" i="71"/>
  <c r="BW110" i="71"/>
  <c r="BW64" i="71"/>
  <c r="BW65" i="71"/>
  <c r="BX82" i="71"/>
  <c r="BX88" i="71"/>
  <c r="BX106" i="71"/>
  <c r="BX108" i="71"/>
  <c r="BX110" i="71"/>
  <c r="BX64" i="71"/>
  <c r="BX65" i="71"/>
  <c r="BY82" i="71"/>
  <c r="BY88" i="71"/>
  <c r="BY106" i="71"/>
  <c r="BY108" i="71"/>
  <c r="BY110" i="71"/>
  <c r="BY64" i="71"/>
  <c r="BY65" i="71"/>
  <c r="BZ64" i="71"/>
  <c r="BZ65" i="71"/>
  <c r="CA82" i="71"/>
  <c r="CA88" i="71"/>
  <c r="CA106" i="71"/>
  <c r="CA108" i="71"/>
  <c r="CA110" i="71"/>
  <c r="CA64" i="71"/>
  <c r="CA65" i="71"/>
  <c r="CB82" i="71"/>
  <c r="CB88" i="71"/>
  <c r="CB106" i="71"/>
  <c r="CB108" i="71"/>
  <c r="CB110" i="71"/>
  <c r="CB64" i="71"/>
  <c r="CB65" i="71"/>
  <c r="CC82" i="71"/>
  <c r="CC88" i="71"/>
  <c r="CC106" i="71"/>
  <c r="CC108" i="71"/>
  <c r="CC110" i="71"/>
  <c r="CC64" i="71"/>
  <c r="CC65" i="71"/>
  <c r="CD82" i="71"/>
  <c r="CD88" i="71"/>
  <c r="CD106" i="71"/>
  <c r="CD108" i="71"/>
  <c r="CD110" i="71"/>
  <c r="CD64" i="71"/>
  <c r="CD65" i="71"/>
  <c r="CE82" i="71"/>
  <c r="CE88" i="71"/>
  <c r="CE106" i="71"/>
  <c r="CE108" i="71"/>
  <c r="CE110" i="71"/>
  <c r="CE64" i="71"/>
  <c r="CE65" i="71"/>
  <c r="CF82" i="71"/>
  <c r="CF88" i="71"/>
  <c r="CF106" i="71"/>
  <c r="CF108" i="71"/>
  <c r="CF110" i="71"/>
  <c r="CF64" i="71"/>
  <c r="CF65" i="71"/>
  <c r="CG82" i="71"/>
  <c r="CG88" i="71"/>
  <c r="CG106" i="71"/>
  <c r="CG108" i="71"/>
  <c r="CG110" i="71"/>
  <c r="CG64" i="71"/>
  <c r="CG65" i="71"/>
  <c r="CH82" i="71"/>
  <c r="CH88" i="71"/>
  <c r="CH106" i="71"/>
  <c r="CH108" i="71"/>
  <c r="CH110" i="71"/>
  <c r="CH64" i="71"/>
  <c r="CH65" i="71"/>
  <c r="CI82" i="71"/>
  <c r="CI88" i="71"/>
  <c r="CI106" i="71"/>
  <c r="CI108" i="71"/>
  <c r="CI110" i="71"/>
  <c r="CI64" i="71"/>
  <c r="CI65" i="71"/>
  <c r="CJ82" i="71"/>
  <c r="CJ88" i="71"/>
  <c r="CJ106" i="71"/>
  <c r="CJ108" i="71"/>
  <c r="CJ110" i="71"/>
  <c r="CJ64" i="71"/>
  <c r="CJ65" i="71"/>
  <c r="CK82" i="71"/>
  <c r="CK88" i="71"/>
  <c r="CK106" i="71"/>
  <c r="CK108" i="71"/>
  <c r="CK110" i="71"/>
  <c r="CK64" i="71"/>
  <c r="CK65" i="71"/>
  <c r="CL64" i="71"/>
  <c r="CL65" i="71"/>
  <c r="CM82" i="71"/>
  <c r="CM88" i="71"/>
  <c r="CM106" i="71"/>
  <c r="CM108" i="71"/>
  <c r="CM110" i="71"/>
  <c r="CM64" i="71"/>
  <c r="CM65" i="71"/>
  <c r="CN82" i="71"/>
  <c r="CN88" i="71"/>
  <c r="CN106" i="71"/>
  <c r="CN108" i="71"/>
  <c r="CN110" i="71"/>
  <c r="CN64" i="71"/>
  <c r="CN65" i="71"/>
  <c r="CO82" i="71"/>
  <c r="CO88" i="71"/>
  <c r="CO106" i="71"/>
  <c r="CO108" i="71"/>
  <c r="CO110" i="71"/>
  <c r="CO64" i="71"/>
  <c r="CO65" i="71"/>
  <c r="CP82" i="71"/>
  <c r="CP88" i="71"/>
  <c r="CP106" i="71"/>
  <c r="CP108" i="71"/>
  <c r="CP110" i="71"/>
  <c r="CP64" i="71"/>
  <c r="CP65" i="71"/>
  <c r="CQ82" i="71"/>
  <c r="CQ88" i="71"/>
  <c r="CQ106" i="71"/>
  <c r="CQ108" i="71"/>
  <c r="CQ110" i="71"/>
  <c r="CQ64" i="71"/>
  <c r="CQ65" i="71"/>
  <c r="CR82" i="71"/>
  <c r="CR88" i="71"/>
  <c r="CR106" i="71"/>
  <c r="CR108" i="71"/>
  <c r="CR110" i="71"/>
  <c r="CR64" i="71"/>
  <c r="CR65" i="71"/>
  <c r="CS82" i="71"/>
  <c r="CS88" i="71"/>
  <c r="CS106" i="71"/>
  <c r="CS108" i="71"/>
  <c r="CS110" i="71"/>
  <c r="CS64" i="71"/>
  <c r="CS65" i="71"/>
  <c r="CT82" i="71"/>
  <c r="CT88" i="71"/>
  <c r="CT106" i="71"/>
  <c r="CT108" i="71"/>
  <c r="CT110" i="71"/>
  <c r="CT64" i="71"/>
  <c r="CT65" i="71"/>
  <c r="CU82" i="71"/>
  <c r="CU88" i="71"/>
  <c r="CU106" i="71"/>
  <c r="CU108" i="71"/>
  <c r="CU110" i="71"/>
  <c r="CU64" i="71"/>
  <c r="CU65" i="71"/>
  <c r="CV82" i="71"/>
  <c r="CV88" i="71"/>
  <c r="CV106" i="71"/>
  <c r="CV108" i="71"/>
  <c r="CV110" i="71"/>
  <c r="CV64" i="71"/>
  <c r="CV65" i="71"/>
  <c r="CW82" i="71"/>
  <c r="CW88" i="71"/>
  <c r="CW106" i="71"/>
  <c r="CW108" i="71"/>
  <c r="CW110" i="71"/>
  <c r="CW64" i="71"/>
  <c r="CW65" i="71"/>
  <c r="CX64" i="71"/>
  <c r="CX65" i="71"/>
  <c r="CY82" i="71"/>
  <c r="CY88" i="71"/>
  <c r="CY106" i="71"/>
  <c r="CY108" i="71"/>
  <c r="CY110" i="71"/>
  <c r="CY64" i="71"/>
  <c r="CY65" i="71"/>
  <c r="CZ82" i="71"/>
  <c r="CZ88" i="71"/>
  <c r="CZ106" i="71"/>
  <c r="CZ108" i="71"/>
  <c r="CZ110" i="71"/>
  <c r="CZ64" i="71"/>
  <c r="CZ65" i="71"/>
  <c r="DA82" i="71"/>
  <c r="DA88" i="71"/>
  <c r="DA106" i="71"/>
  <c r="DA108" i="71"/>
  <c r="DA110" i="71"/>
  <c r="DA64" i="71"/>
  <c r="DA65" i="71"/>
  <c r="DB82" i="71"/>
  <c r="DB88" i="71"/>
  <c r="DB106" i="71"/>
  <c r="DB108" i="71"/>
  <c r="DB110" i="71"/>
  <c r="DB64" i="71"/>
  <c r="DB65" i="71"/>
  <c r="DC82" i="71"/>
  <c r="DC88" i="71"/>
  <c r="DC106" i="71"/>
  <c r="DC108" i="71"/>
  <c r="DC110" i="71"/>
  <c r="DC64" i="71"/>
  <c r="DC65" i="71"/>
  <c r="DD82" i="71"/>
  <c r="DD88" i="71"/>
  <c r="DD106" i="71"/>
  <c r="DD108" i="71"/>
  <c r="DD110" i="71"/>
  <c r="DD64" i="71"/>
  <c r="DD65" i="71"/>
  <c r="DE82" i="71"/>
  <c r="DE88" i="71"/>
  <c r="DE106" i="71"/>
  <c r="DE108" i="71"/>
  <c r="DE110" i="71"/>
  <c r="DE64" i="71"/>
  <c r="DE65" i="71"/>
  <c r="DF82" i="71"/>
  <c r="DF88" i="71"/>
  <c r="DF106" i="71"/>
  <c r="DF108" i="71"/>
  <c r="DF110" i="71"/>
  <c r="DF64" i="71"/>
  <c r="DF65" i="71"/>
  <c r="DG82" i="71"/>
  <c r="DG88" i="71"/>
  <c r="DG106" i="71"/>
  <c r="DG108" i="71"/>
  <c r="DG110" i="71"/>
  <c r="DG64" i="71"/>
  <c r="DG65" i="71"/>
  <c r="DH82" i="71"/>
  <c r="DH88" i="71"/>
  <c r="DH106" i="71"/>
  <c r="DH108" i="71"/>
  <c r="DH110" i="71"/>
  <c r="DH64" i="71"/>
  <c r="DH65" i="71"/>
  <c r="DI82" i="71"/>
  <c r="DI88" i="71"/>
  <c r="DI106" i="71"/>
  <c r="DI108" i="71"/>
  <c r="DI110" i="71"/>
  <c r="DI64" i="71"/>
  <c r="DI65" i="71"/>
  <c r="DJ64" i="71"/>
  <c r="DJ65" i="71"/>
  <c r="DK82" i="71"/>
  <c r="DK88" i="71"/>
  <c r="DK106" i="71"/>
  <c r="DK108" i="71"/>
  <c r="DK110" i="71"/>
  <c r="DK64" i="71"/>
  <c r="DK65" i="71"/>
  <c r="DL82" i="71"/>
  <c r="DL88" i="71"/>
  <c r="DL106" i="71"/>
  <c r="DL108" i="71"/>
  <c r="DL110" i="71"/>
  <c r="DL64" i="71"/>
  <c r="DL65" i="71"/>
  <c r="DM82" i="71"/>
  <c r="DM88" i="71"/>
  <c r="DM106" i="71"/>
  <c r="DM108" i="71"/>
  <c r="DM110" i="71"/>
  <c r="DM64" i="71"/>
  <c r="DM65" i="71"/>
  <c r="DN82" i="71"/>
  <c r="DN88" i="71"/>
  <c r="DN106" i="71"/>
  <c r="DN108" i="71"/>
  <c r="DN110" i="71"/>
  <c r="DN64" i="71"/>
  <c r="DN65" i="71"/>
  <c r="DO82" i="71"/>
  <c r="DO88" i="71"/>
  <c r="DO106" i="71"/>
  <c r="DO108" i="71"/>
  <c r="DO110" i="71"/>
  <c r="DO64" i="71"/>
  <c r="DO65" i="71"/>
  <c r="DP82" i="71"/>
  <c r="DP88" i="71"/>
  <c r="DP106" i="71"/>
  <c r="DP108" i="71"/>
  <c r="DP110" i="71"/>
  <c r="DP64" i="71"/>
  <c r="DP65" i="71"/>
  <c r="DQ82" i="71"/>
  <c r="DQ88" i="71"/>
  <c r="DQ106" i="71"/>
  <c r="DQ108" i="71"/>
  <c r="DQ110" i="71"/>
  <c r="DQ64" i="71"/>
  <c r="DQ65" i="71"/>
  <c r="DR82" i="71"/>
  <c r="DR88" i="71"/>
  <c r="DR106" i="71"/>
  <c r="DR108" i="71"/>
  <c r="DR110" i="71"/>
  <c r="DR64" i="71"/>
  <c r="DR65" i="71"/>
  <c r="DS82" i="71"/>
  <c r="DS88" i="71"/>
  <c r="DS106" i="71"/>
  <c r="DS108" i="71"/>
  <c r="DS110" i="71"/>
  <c r="DS64" i="71"/>
  <c r="DS65" i="71"/>
  <c r="DT82" i="71"/>
  <c r="DT88" i="71"/>
  <c r="DT106" i="71"/>
  <c r="DT108" i="71"/>
  <c r="DT110" i="71"/>
  <c r="DT64" i="71"/>
  <c r="DT65" i="71"/>
  <c r="DU82" i="71"/>
  <c r="DU88" i="71"/>
  <c r="DU106" i="71"/>
  <c r="DU108" i="71"/>
  <c r="DU110" i="71"/>
  <c r="DU64" i="71"/>
  <c r="DU65" i="71"/>
  <c r="DV82" i="71"/>
  <c r="DV88" i="71"/>
  <c r="DV106" i="71"/>
  <c r="DV108" i="71"/>
  <c r="DV110" i="71"/>
  <c r="DV64" i="71"/>
  <c r="DV65" i="71"/>
  <c r="DW82" i="71"/>
  <c r="DW88" i="71"/>
  <c r="DW106" i="71"/>
  <c r="DW108" i="71"/>
  <c r="DW110" i="71"/>
  <c r="DW64" i="71"/>
  <c r="DW65" i="71"/>
  <c r="DX82" i="71"/>
  <c r="DX88" i="71"/>
  <c r="DX106" i="71"/>
  <c r="DX108" i="71"/>
  <c r="DX110" i="71"/>
  <c r="DX64" i="71"/>
  <c r="DX65" i="71"/>
  <c r="DY82" i="71"/>
  <c r="DY88" i="71"/>
  <c r="DY106" i="71"/>
  <c r="DY108" i="71"/>
  <c r="DY110" i="71"/>
  <c r="DY64" i="71"/>
  <c r="DY65" i="71"/>
  <c r="DZ82" i="71"/>
  <c r="DZ88" i="71"/>
  <c r="DZ106" i="71"/>
  <c r="DZ108" i="71"/>
  <c r="DZ110" i="71"/>
  <c r="DZ64" i="71"/>
  <c r="DZ65" i="71"/>
  <c r="EA82" i="71"/>
  <c r="EA88" i="71"/>
  <c r="EA106" i="71"/>
  <c r="EA108" i="71"/>
  <c r="EA110" i="71"/>
  <c r="EA64" i="71"/>
  <c r="EA65" i="71"/>
  <c r="EB82" i="71"/>
  <c r="EB88" i="71"/>
  <c r="EB106" i="71"/>
  <c r="EB108" i="71"/>
  <c r="EB110" i="71"/>
  <c r="EB64" i="71"/>
  <c r="EB65" i="71"/>
  <c r="EC82" i="71"/>
  <c r="EC88" i="71"/>
  <c r="EC106" i="71"/>
  <c r="EC108" i="71"/>
  <c r="EC110" i="71"/>
  <c r="EC64" i="71"/>
  <c r="EC65" i="71"/>
  <c r="ED82" i="71"/>
  <c r="ED88" i="71"/>
  <c r="ED106" i="71"/>
  <c r="ED108" i="71"/>
  <c r="ED110" i="71"/>
  <c r="ED64" i="71"/>
  <c r="ED65" i="71"/>
  <c r="EE82" i="71"/>
  <c r="EE88" i="71"/>
  <c r="EE106" i="71"/>
  <c r="EE108" i="71"/>
  <c r="EE110" i="71"/>
  <c r="EE64" i="71"/>
  <c r="EE65" i="71"/>
  <c r="EF82" i="71"/>
  <c r="EF88" i="71"/>
  <c r="EF106" i="71"/>
  <c r="EF108" i="71"/>
  <c r="EF110" i="71"/>
  <c r="EF64" i="71"/>
  <c r="EF65" i="71"/>
  <c r="EG82" i="71"/>
  <c r="EG88" i="71"/>
  <c r="EG106" i="71"/>
  <c r="EG108" i="71"/>
  <c r="EG110" i="71"/>
  <c r="EG64" i="71"/>
  <c r="EG65" i="71"/>
  <c r="G144" i="71"/>
  <c r="G18" i="71"/>
  <c r="G45" i="71"/>
  <c r="G77" i="71"/>
  <c r="H144" i="71"/>
  <c r="H18" i="71"/>
  <c r="H45" i="71"/>
  <c r="H77" i="71"/>
  <c r="I144" i="71"/>
  <c r="I18" i="71"/>
  <c r="I45" i="71"/>
  <c r="I77" i="71"/>
  <c r="J144" i="71"/>
  <c r="J18" i="71"/>
  <c r="J45" i="71"/>
  <c r="J77" i="71"/>
  <c r="K144" i="71"/>
  <c r="K18" i="71"/>
  <c r="K45" i="71"/>
  <c r="K77" i="71"/>
  <c r="L144" i="71"/>
  <c r="L18" i="71"/>
  <c r="L45" i="71"/>
  <c r="L77" i="71"/>
  <c r="M144" i="71"/>
  <c r="M18" i="71"/>
  <c r="M45" i="71"/>
  <c r="M77" i="71"/>
  <c r="N144" i="71"/>
  <c r="N18" i="71"/>
  <c r="N45" i="71"/>
  <c r="N77" i="71"/>
  <c r="O144" i="71"/>
  <c r="O18" i="71"/>
  <c r="O45" i="71"/>
  <c r="O77" i="71"/>
  <c r="P144" i="71"/>
  <c r="P18" i="71"/>
  <c r="P45" i="71"/>
  <c r="P77" i="71"/>
  <c r="Q144" i="71"/>
  <c r="Q18" i="71"/>
  <c r="Q45" i="71"/>
  <c r="Q77" i="71"/>
  <c r="S45" i="71"/>
  <c r="S77" i="71"/>
  <c r="T144" i="71"/>
  <c r="T18" i="71"/>
  <c r="T45" i="71"/>
  <c r="T77" i="71"/>
  <c r="U144" i="71"/>
  <c r="U18" i="71"/>
  <c r="U45" i="71"/>
  <c r="U77" i="71"/>
  <c r="V144" i="71"/>
  <c r="V18" i="71"/>
  <c r="V45" i="71"/>
  <c r="V77" i="71"/>
  <c r="W144" i="71"/>
  <c r="W18" i="71"/>
  <c r="W45" i="71"/>
  <c r="W77" i="71"/>
  <c r="X144" i="71"/>
  <c r="X18" i="71"/>
  <c r="X45" i="71"/>
  <c r="X77" i="71"/>
  <c r="Y144" i="71"/>
  <c r="Y18" i="71"/>
  <c r="Y45" i="71"/>
  <c r="Y77" i="71"/>
  <c r="Z144" i="71"/>
  <c r="Z18" i="71"/>
  <c r="Z45" i="71"/>
  <c r="Z77" i="71"/>
  <c r="AA144" i="71"/>
  <c r="AA18" i="71"/>
  <c r="AA45" i="71"/>
  <c r="AA77" i="71"/>
  <c r="AB144" i="71"/>
  <c r="AB18" i="71"/>
  <c r="AB45" i="71"/>
  <c r="AB77" i="71"/>
  <c r="AC144" i="71"/>
  <c r="AC18" i="71"/>
  <c r="AC45" i="71"/>
  <c r="AC77" i="71"/>
  <c r="AE144" i="71"/>
  <c r="AE18" i="71"/>
  <c r="AE45" i="71"/>
  <c r="AE77" i="71"/>
  <c r="AF144" i="71"/>
  <c r="AF18" i="71"/>
  <c r="AF45" i="71"/>
  <c r="AF77" i="71"/>
  <c r="AG144" i="71"/>
  <c r="AG18" i="71"/>
  <c r="AG45" i="71"/>
  <c r="AG77" i="71"/>
  <c r="AH144" i="71"/>
  <c r="AH18" i="71"/>
  <c r="AH45" i="71"/>
  <c r="AH77" i="71"/>
  <c r="AI144" i="71"/>
  <c r="AI18" i="71"/>
  <c r="AI45" i="71"/>
  <c r="AI77" i="71"/>
  <c r="AJ144" i="71"/>
  <c r="AJ18" i="71"/>
  <c r="AJ45" i="71"/>
  <c r="AJ77" i="71"/>
  <c r="AK77" i="71"/>
  <c r="AL144" i="71"/>
  <c r="AL18" i="71"/>
  <c r="AL45" i="71"/>
  <c r="AL77" i="71"/>
  <c r="AM144" i="71"/>
  <c r="AM18" i="71"/>
  <c r="AM45" i="71"/>
  <c r="AM77" i="71"/>
  <c r="AN144" i="71"/>
  <c r="AN18" i="71"/>
  <c r="AN45" i="71"/>
  <c r="AN77" i="71"/>
  <c r="AO144" i="71"/>
  <c r="AO18" i="71"/>
  <c r="AO45" i="71"/>
  <c r="AO77" i="71"/>
  <c r="AQ144" i="71"/>
  <c r="AQ18" i="71"/>
  <c r="AQ45" i="71"/>
  <c r="AQ77" i="71"/>
  <c r="AR144" i="71"/>
  <c r="AR18" i="71"/>
  <c r="AR45" i="71"/>
  <c r="AR77" i="71"/>
  <c r="AS144" i="71"/>
  <c r="AS18" i="71"/>
  <c r="AS45" i="71"/>
  <c r="AS77" i="71"/>
  <c r="AT77" i="71"/>
  <c r="AU144" i="71"/>
  <c r="AU18" i="71"/>
  <c r="AU45" i="71"/>
  <c r="AU77" i="71"/>
  <c r="AV144" i="71"/>
  <c r="AV18" i="71"/>
  <c r="AV45" i="71"/>
  <c r="AV77" i="71"/>
  <c r="AW144" i="71"/>
  <c r="AW18" i="71"/>
  <c r="AW45" i="71"/>
  <c r="AW77" i="71"/>
  <c r="AX144" i="71"/>
  <c r="AX18" i="71"/>
  <c r="AX45" i="71"/>
  <c r="AX77" i="71"/>
  <c r="AY144" i="71"/>
  <c r="AY18" i="71"/>
  <c r="AY45" i="71"/>
  <c r="AY77" i="71"/>
  <c r="AZ144" i="71"/>
  <c r="AZ18" i="71"/>
  <c r="AZ45" i="71"/>
  <c r="AZ77" i="71"/>
  <c r="BA144" i="71"/>
  <c r="BA18" i="71"/>
  <c r="BA45" i="71"/>
  <c r="BA77" i="71"/>
  <c r="BC144" i="71"/>
  <c r="BC18" i="71"/>
  <c r="BC45" i="71"/>
  <c r="BC77" i="71"/>
  <c r="BD77" i="71"/>
  <c r="BE144" i="71"/>
  <c r="BE18" i="71"/>
  <c r="BE45" i="71"/>
  <c r="BE77" i="71"/>
  <c r="BF45" i="71"/>
  <c r="BF77" i="71"/>
  <c r="BG144" i="71"/>
  <c r="BG18" i="71"/>
  <c r="BG45" i="71"/>
  <c r="BG77" i="71"/>
  <c r="BH144" i="71"/>
  <c r="BH18" i="71"/>
  <c r="BH45" i="71"/>
  <c r="BH77" i="71"/>
  <c r="BI144" i="71"/>
  <c r="BI18" i="71"/>
  <c r="BI45" i="71"/>
  <c r="BI77" i="71"/>
  <c r="BJ144" i="71"/>
  <c r="BJ18" i="71"/>
  <c r="BJ45" i="71"/>
  <c r="BJ77" i="71"/>
  <c r="BK144" i="71"/>
  <c r="BK18" i="71"/>
  <c r="BK45" i="71"/>
  <c r="BK77" i="71"/>
  <c r="BL77" i="71"/>
  <c r="BM144" i="71"/>
  <c r="BM18" i="71"/>
  <c r="BM45" i="71"/>
  <c r="BM77" i="71"/>
  <c r="BO144" i="71"/>
  <c r="BO18" i="71"/>
  <c r="BO45" i="71"/>
  <c r="BO77" i="71"/>
  <c r="BP144" i="71"/>
  <c r="BP18" i="71"/>
  <c r="BP45" i="71"/>
  <c r="BP77" i="71"/>
  <c r="BQ144" i="71"/>
  <c r="BQ18" i="71"/>
  <c r="BQ45" i="71"/>
  <c r="BQ77" i="71"/>
  <c r="BR45" i="71"/>
  <c r="BR77" i="71"/>
  <c r="BS144" i="71"/>
  <c r="BS18" i="71"/>
  <c r="BS45" i="71"/>
  <c r="BS77" i="71"/>
  <c r="BT144" i="71"/>
  <c r="BT18" i="71"/>
  <c r="BT45" i="71"/>
  <c r="BT77" i="71"/>
  <c r="BU144" i="71"/>
  <c r="BU18" i="71"/>
  <c r="BU45" i="71"/>
  <c r="BU77" i="71"/>
  <c r="BV144" i="71"/>
  <c r="BV18" i="71"/>
  <c r="BV45" i="71"/>
  <c r="BV77" i="71"/>
  <c r="BW144" i="71"/>
  <c r="BW18" i="71"/>
  <c r="BW45" i="71"/>
  <c r="BW77" i="71"/>
  <c r="BX144" i="71"/>
  <c r="BX18" i="71"/>
  <c r="BX45" i="71"/>
  <c r="BX77" i="71"/>
  <c r="BY144" i="71"/>
  <c r="BY18" i="71"/>
  <c r="BY45" i="71"/>
  <c r="BY77" i="71"/>
  <c r="CA144" i="71"/>
  <c r="CA18" i="71"/>
  <c r="CA45" i="71"/>
  <c r="CA77" i="71"/>
  <c r="CB144" i="71"/>
  <c r="CB18" i="71"/>
  <c r="CB45" i="71"/>
  <c r="CB77" i="71"/>
  <c r="CC144" i="71"/>
  <c r="CC18" i="71"/>
  <c r="CC45" i="71"/>
  <c r="CC77" i="71"/>
  <c r="CD144" i="71"/>
  <c r="CD18" i="71"/>
  <c r="CD45" i="71"/>
  <c r="CD77" i="71"/>
  <c r="CE144" i="71"/>
  <c r="CE18" i="71"/>
  <c r="CE45" i="71"/>
  <c r="CE77" i="71"/>
  <c r="CF144" i="71"/>
  <c r="CF18" i="71"/>
  <c r="CF45" i="71"/>
  <c r="CF77" i="71"/>
  <c r="CG144" i="71"/>
  <c r="CG18" i="71"/>
  <c r="CG45" i="71"/>
  <c r="CG77" i="71"/>
  <c r="CH144" i="71"/>
  <c r="CH18" i="71"/>
  <c r="CH45" i="71"/>
  <c r="CH77" i="71"/>
  <c r="CI144" i="71"/>
  <c r="CI18" i="71"/>
  <c r="CI45" i="71"/>
  <c r="CI77" i="71"/>
  <c r="CJ144" i="71"/>
  <c r="CJ18" i="71"/>
  <c r="CJ45" i="71"/>
  <c r="CJ77" i="71"/>
  <c r="CK144" i="71"/>
  <c r="CK18" i="71"/>
  <c r="CK45" i="71"/>
  <c r="CK77" i="71"/>
  <c r="CM144" i="71"/>
  <c r="CM18" i="71"/>
  <c r="CM45" i="71"/>
  <c r="CM77" i="71"/>
  <c r="CN144" i="71"/>
  <c r="CN18" i="71"/>
  <c r="CN45" i="71"/>
  <c r="CN77" i="71"/>
  <c r="CO144" i="71"/>
  <c r="CO18" i="71"/>
  <c r="CO45" i="71"/>
  <c r="CO77" i="71"/>
  <c r="CP45" i="71"/>
  <c r="CP77" i="71"/>
  <c r="CQ144" i="71"/>
  <c r="CQ18" i="71"/>
  <c r="CQ45" i="71"/>
  <c r="CQ77" i="71"/>
  <c r="CR144" i="71"/>
  <c r="CR18" i="71"/>
  <c r="CR45" i="71"/>
  <c r="CR77" i="71"/>
  <c r="CS144" i="71"/>
  <c r="CS18" i="71"/>
  <c r="CS45" i="71"/>
  <c r="CS77" i="71"/>
  <c r="CT144" i="71"/>
  <c r="CT18" i="71"/>
  <c r="CT45" i="71"/>
  <c r="CT77" i="71"/>
  <c r="CU144" i="71"/>
  <c r="CU18" i="71"/>
  <c r="CU45" i="71"/>
  <c r="CU77" i="71"/>
  <c r="CV144" i="71"/>
  <c r="CV18" i="71"/>
  <c r="CV45" i="71"/>
  <c r="CV77" i="71"/>
  <c r="CW144" i="71"/>
  <c r="CW18" i="71"/>
  <c r="CW45" i="71"/>
  <c r="CW77" i="71"/>
  <c r="CY144" i="71"/>
  <c r="CY18" i="71"/>
  <c r="CY45" i="71"/>
  <c r="CY77" i="71"/>
  <c r="CZ144" i="71"/>
  <c r="CZ18" i="71"/>
  <c r="CZ45" i="71"/>
  <c r="CZ77" i="71"/>
  <c r="DA144" i="71"/>
  <c r="DA18" i="71"/>
  <c r="DA45" i="71"/>
  <c r="DA77" i="71"/>
  <c r="DB144" i="71"/>
  <c r="DB18" i="71"/>
  <c r="DB45" i="71"/>
  <c r="DB77" i="71"/>
  <c r="DC144" i="71"/>
  <c r="DC18" i="71"/>
  <c r="DC45" i="71"/>
  <c r="DC77" i="71"/>
  <c r="DD144" i="71"/>
  <c r="DD18" i="71"/>
  <c r="DD45" i="71"/>
  <c r="DD77" i="71"/>
  <c r="DE144" i="71"/>
  <c r="DE18" i="71"/>
  <c r="DE45" i="71"/>
  <c r="DE77" i="71"/>
  <c r="DF144" i="71"/>
  <c r="DF18" i="71"/>
  <c r="DF45" i="71"/>
  <c r="DF77" i="71"/>
  <c r="DG144" i="71"/>
  <c r="DG18" i="71"/>
  <c r="DG45" i="71"/>
  <c r="DG77" i="71"/>
  <c r="DH144" i="71"/>
  <c r="DH18" i="71"/>
  <c r="DH45" i="71"/>
  <c r="DH77" i="71"/>
  <c r="DI144" i="71"/>
  <c r="DI18" i="71"/>
  <c r="DI45" i="71"/>
  <c r="DI77" i="71"/>
  <c r="DK144" i="71"/>
  <c r="DK18" i="71"/>
  <c r="DK45" i="71"/>
  <c r="DK77" i="71"/>
  <c r="DL144" i="71"/>
  <c r="DL18" i="71"/>
  <c r="DL45" i="71"/>
  <c r="DL77" i="71"/>
  <c r="DM144" i="71"/>
  <c r="DM18" i="71"/>
  <c r="DM45" i="71"/>
  <c r="DM77" i="71"/>
  <c r="DN144" i="71"/>
  <c r="DN18" i="71"/>
  <c r="DN45" i="71"/>
  <c r="DN77" i="71"/>
  <c r="DO144" i="71"/>
  <c r="DO18" i="71"/>
  <c r="DO45" i="71"/>
  <c r="DO77" i="71"/>
  <c r="DP144" i="71"/>
  <c r="DP18" i="71"/>
  <c r="DP45" i="71"/>
  <c r="DP77" i="71"/>
  <c r="DQ144" i="71"/>
  <c r="DQ18" i="71"/>
  <c r="DQ45" i="71"/>
  <c r="DQ77" i="71"/>
  <c r="DR144" i="71"/>
  <c r="DR18" i="71"/>
  <c r="DR45" i="71"/>
  <c r="DR77" i="71"/>
  <c r="DS144" i="71"/>
  <c r="DS18" i="71"/>
  <c r="DS45" i="71"/>
  <c r="DS77" i="71"/>
  <c r="DT144" i="71"/>
  <c r="DT18" i="71"/>
  <c r="DT45" i="71"/>
  <c r="DT77" i="71"/>
  <c r="DU144" i="71"/>
  <c r="DU18" i="71"/>
  <c r="DU45" i="71"/>
  <c r="DU77" i="71"/>
  <c r="DW144" i="71"/>
  <c r="DW18" i="71"/>
  <c r="DW45" i="71"/>
  <c r="DW77" i="71"/>
  <c r="DX144" i="71"/>
  <c r="DX18" i="71"/>
  <c r="DX45" i="71"/>
  <c r="DX77" i="71"/>
  <c r="DY144" i="71"/>
  <c r="DY18" i="71"/>
  <c r="DY45" i="71"/>
  <c r="DY77" i="71"/>
  <c r="DZ144" i="71"/>
  <c r="DZ18" i="71"/>
  <c r="DZ45" i="71"/>
  <c r="DZ77" i="71"/>
  <c r="EA144" i="71"/>
  <c r="EA18" i="71"/>
  <c r="EA45" i="71"/>
  <c r="EA77" i="71"/>
  <c r="EB144" i="71"/>
  <c r="EB18" i="71"/>
  <c r="EB45" i="71"/>
  <c r="EB77" i="71"/>
  <c r="EC144" i="71"/>
  <c r="EC18" i="71"/>
  <c r="EC45" i="71"/>
  <c r="EC77" i="71"/>
  <c r="ED144" i="71"/>
  <c r="ED18" i="71"/>
  <c r="ED45" i="71"/>
  <c r="ED77" i="71"/>
  <c r="EE144" i="71"/>
  <c r="EE18" i="71"/>
  <c r="EE45" i="71"/>
  <c r="EE77" i="71"/>
  <c r="EF144" i="71"/>
  <c r="EF18" i="71"/>
  <c r="EF45" i="71"/>
  <c r="EF77" i="71"/>
  <c r="EG144" i="71"/>
  <c r="EG18" i="71"/>
  <c r="EG45" i="71"/>
  <c r="EG77" i="71"/>
  <c r="E79" i="71"/>
  <c r="F79" i="71"/>
  <c r="G79" i="71"/>
  <c r="H79" i="71"/>
  <c r="I79" i="71"/>
  <c r="J79" i="71"/>
  <c r="K79" i="71"/>
  <c r="L79" i="71"/>
  <c r="M79" i="71"/>
  <c r="N79" i="71"/>
  <c r="O79" i="71"/>
  <c r="P79" i="71"/>
  <c r="Q79" i="71"/>
  <c r="R79" i="71"/>
  <c r="S79" i="71"/>
  <c r="T79" i="71"/>
  <c r="U79" i="71"/>
  <c r="V79" i="71"/>
  <c r="W79" i="71"/>
  <c r="X79" i="71"/>
  <c r="Y79" i="71"/>
  <c r="Z79" i="71"/>
  <c r="AA79" i="71"/>
  <c r="AB79" i="71"/>
  <c r="AC79" i="71"/>
  <c r="AD79" i="71"/>
  <c r="AE79" i="71"/>
  <c r="AF79" i="71"/>
  <c r="AG79" i="71"/>
  <c r="AH79" i="71"/>
  <c r="AI79" i="71"/>
  <c r="AJ79" i="71"/>
  <c r="AK79" i="71"/>
  <c r="AL79" i="71"/>
  <c r="AM79" i="71"/>
  <c r="AN79" i="71"/>
  <c r="AO79" i="71"/>
  <c r="AP79" i="71"/>
  <c r="AQ79" i="71"/>
  <c r="AR79" i="71"/>
  <c r="AS79" i="71"/>
  <c r="AT79" i="71"/>
  <c r="AU79" i="71"/>
  <c r="AV79" i="71"/>
  <c r="AW79" i="71"/>
  <c r="AX79" i="71"/>
  <c r="AY79" i="71"/>
  <c r="AZ79" i="71"/>
  <c r="BA79" i="71"/>
  <c r="BB79" i="71"/>
  <c r="BC79" i="71"/>
  <c r="BD79" i="71"/>
  <c r="BE79" i="71"/>
  <c r="BF79" i="71"/>
  <c r="BG79" i="71"/>
  <c r="BH79" i="71"/>
  <c r="BI79" i="71"/>
  <c r="BJ79" i="71"/>
  <c r="BK79" i="71"/>
  <c r="BL79" i="71"/>
  <c r="BM79" i="71"/>
  <c r="BN79" i="71"/>
  <c r="BO79" i="71"/>
  <c r="BP79" i="71"/>
  <c r="BQ79" i="71"/>
  <c r="BR79" i="71"/>
  <c r="BS79" i="71"/>
  <c r="BT79" i="71"/>
  <c r="BU79" i="71"/>
  <c r="BV79" i="71"/>
  <c r="BW79" i="71"/>
  <c r="BX79" i="71"/>
  <c r="BY79" i="71"/>
  <c r="BZ79" i="71"/>
  <c r="CA79" i="71"/>
  <c r="CB79" i="71"/>
  <c r="CC79" i="71"/>
  <c r="CD79" i="71"/>
  <c r="CE79" i="71"/>
  <c r="CF79" i="71"/>
  <c r="CG79" i="71"/>
  <c r="CH79" i="71"/>
  <c r="CI79" i="71"/>
  <c r="CJ79" i="71"/>
  <c r="CK79" i="71"/>
  <c r="CL79" i="71"/>
  <c r="CM79" i="71"/>
  <c r="CN79" i="71"/>
  <c r="CO79" i="71"/>
  <c r="CP79" i="71"/>
  <c r="CQ79" i="71"/>
  <c r="CR79" i="71"/>
  <c r="CS79" i="71"/>
  <c r="CT79" i="71"/>
  <c r="CU79" i="71"/>
  <c r="CV79" i="71"/>
  <c r="CW79" i="71"/>
  <c r="CX79" i="71"/>
  <c r="CY79" i="71"/>
  <c r="CZ79" i="71"/>
  <c r="DA79" i="71"/>
  <c r="DB79" i="71"/>
  <c r="DC79" i="71"/>
  <c r="DD79" i="71"/>
  <c r="DE79" i="71"/>
  <c r="DF79" i="71"/>
  <c r="DG79" i="71"/>
  <c r="DH79" i="71"/>
  <c r="DI79" i="71"/>
  <c r="DJ79" i="71"/>
  <c r="DK79" i="71"/>
  <c r="DL79" i="71"/>
  <c r="DM79" i="71"/>
  <c r="DN79" i="71"/>
  <c r="DO79" i="71"/>
  <c r="DP79" i="71"/>
  <c r="DQ79" i="71"/>
  <c r="DR79" i="71"/>
  <c r="DS79" i="71"/>
  <c r="DT79" i="71"/>
  <c r="DU79" i="71"/>
  <c r="DV79" i="71"/>
  <c r="DW79" i="71"/>
  <c r="DX79" i="71"/>
  <c r="DY79" i="71"/>
  <c r="DZ79" i="71"/>
  <c r="EA79" i="71"/>
  <c r="EB79" i="71"/>
  <c r="EC79" i="71"/>
  <c r="ED79" i="71"/>
  <c r="EE79" i="71"/>
  <c r="EF79" i="71"/>
  <c r="EG79" i="71"/>
  <c r="AK82" i="71"/>
  <c r="E83" i="71"/>
  <c r="F83" i="71"/>
  <c r="G83" i="71"/>
  <c r="H83" i="71"/>
  <c r="I83" i="71"/>
  <c r="J83" i="71"/>
  <c r="K83" i="71"/>
  <c r="L83" i="71"/>
  <c r="M83" i="71"/>
  <c r="N83" i="71"/>
  <c r="O83" i="71"/>
  <c r="P83" i="71"/>
  <c r="Q83" i="71"/>
  <c r="R83" i="71"/>
  <c r="S83" i="71"/>
  <c r="T83" i="71"/>
  <c r="U83" i="71"/>
  <c r="V83" i="71"/>
  <c r="W83" i="71"/>
  <c r="X83" i="71"/>
  <c r="Y83" i="71"/>
  <c r="Z83" i="71"/>
  <c r="AA83" i="71"/>
  <c r="AB83" i="71"/>
  <c r="AC83" i="71"/>
  <c r="AD83" i="71"/>
  <c r="AE83" i="71"/>
  <c r="AF83" i="71"/>
  <c r="AG83" i="71"/>
  <c r="AH83" i="71"/>
  <c r="AI83" i="71"/>
  <c r="AJ83" i="71"/>
  <c r="AK83" i="71"/>
  <c r="AL83" i="71"/>
  <c r="AM83" i="71"/>
  <c r="AN83" i="71"/>
  <c r="AO83" i="71"/>
  <c r="AP83" i="71"/>
  <c r="AQ83" i="71"/>
  <c r="AR83" i="71"/>
  <c r="AS83" i="71"/>
  <c r="AT83" i="71"/>
  <c r="AU83" i="71"/>
  <c r="AV83" i="71"/>
  <c r="AW83" i="71"/>
  <c r="AX83" i="71"/>
  <c r="AY83" i="71"/>
  <c r="AZ83" i="71"/>
  <c r="BA83" i="71"/>
  <c r="BB83" i="71"/>
  <c r="BC83" i="71"/>
  <c r="BD83" i="71"/>
  <c r="BE83" i="71"/>
  <c r="BF83" i="71"/>
  <c r="BG83" i="71"/>
  <c r="BH83" i="71"/>
  <c r="BI83" i="71"/>
  <c r="BJ83" i="71"/>
  <c r="BK83" i="71"/>
  <c r="BL83" i="71"/>
  <c r="BM83" i="71"/>
  <c r="BN83" i="71"/>
  <c r="BO83" i="71"/>
  <c r="BP83" i="71"/>
  <c r="BQ83" i="71"/>
  <c r="BR83" i="71"/>
  <c r="BS83" i="71"/>
  <c r="BT83" i="71"/>
  <c r="BU83" i="71"/>
  <c r="BV83" i="71"/>
  <c r="BW83" i="71"/>
  <c r="BX83" i="71"/>
  <c r="BY83" i="71"/>
  <c r="BZ83" i="71"/>
  <c r="CA83" i="71"/>
  <c r="CB83" i="71"/>
  <c r="CC83" i="71"/>
  <c r="CD83" i="71"/>
  <c r="CE83" i="71"/>
  <c r="CF83" i="71"/>
  <c r="CG83" i="71"/>
  <c r="CH83" i="71"/>
  <c r="CI83" i="71"/>
  <c r="CJ83" i="71"/>
  <c r="CK83" i="71"/>
  <c r="CL83" i="71"/>
  <c r="CM83" i="71"/>
  <c r="CN83" i="71"/>
  <c r="CO83" i="71"/>
  <c r="CP83" i="71"/>
  <c r="CQ83" i="71"/>
  <c r="CR83" i="71"/>
  <c r="CS83" i="71"/>
  <c r="CT83" i="71"/>
  <c r="CU83" i="71"/>
  <c r="CV83" i="71"/>
  <c r="CW83" i="71"/>
  <c r="CX83" i="71"/>
  <c r="CY83" i="71"/>
  <c r="CZ83" i="71"/>
  <c r="DA83" i="71"/>
  <c r="DB83" i="71"/>
  <c r="DC83" i="71"/>
  <c r="DD83" i="71"/>
  <c r="DE83" i="71"/>
  <c r="DF83" i="71"/>
  <c r="DG83" i="71"/>
  <c r="DH83" i="71"/>
  <c r="DI83" i="71"/>
  <c r="DJ83" i="71"/>
  <c r="DK83" i="71"/>
  <c r="DL83" i="71"/>
  <c r="DM83" i="71"/>
  <c r="DN83" i="71"/>
  <c r="DO83" i="71"/>
  <c r="DP83" i="71"/>
  <c r="DQ83" i="71"/>
  <c r="DR83" i="71"/>
  <c r="DS83" i="71"/>
  <c r="DT83" i="71"/>
  <c r="DU83" i="71"/>
  <c r="DV83" i="71"/>
  <c r="DW83" i="71"/>
  <c r="DX83" i="71"/>
  <c r="DY83" i="71"/>
  <c r="DZ83" i="71"/>
  <c r="EA83" i="71"/>
  <c r="EB83" i="71"/>
  <c r="EC83" i="71"/>
  <c r="ED83" i="71"/>
  <c r="EE83" i="71"/>
  <c r="EF83" i="71"/>
  <c r="EG83" i="71"/>
  <c r="E85" i="71"/>
  <c r="F85" i="71"/>
  <c r="G85" i="71"/>
  <c r="H85" i="71"/>
  <c r="I85" i="71"/>
  <c r="J85" i="71"/>
  <c r="K85" i="71"/>
  <c r="L85" i="71"/>
  <c r="M85" i="71"/>
  <c r="N85" i="71"/>
  <c r="O85" i="71"/>
  <c r="P85" i="71"/>
  <c r="Q85" i="71"/>
  <c r="R85" i="71"/>
  <c r="S85" i="71"/>
  <c r="T85" i="71"/>
  <c r="U85" i="71"/>
  <c r="V85" i="71"/>
  <c r="W85" i="71"/>
  <c r="X85" i="71"/>
  <c r="Y85" i="71"/>
  <c r="Z85" i="71"/>
  <c r="AA85" i="71"/>
  <c r="AB85" i="71"/>
  <c r="AC85" i="71"/>
  <c r="AD85" i="71"/>
  <c r="AE85" i="71"/>
  <c r="AF85" i="71"/>
  <c r="AG85" i="71"/>
  <c r="AH85" i="71"/>
  <c r="AI85" i="71"/>
  <c r="AJ85" i="71"/>
  <c r="AK85" i="71"/>
  <c r="AL85" i="71"/>
  <c r="AM85" i="71"/>
  <c r="AN85" i="71"/>
  <c r="AO85" i="71"/>
  <c r="AP85" i="71"/>
  <c r="AQ85" i="71"/>
  <c r="AR85" i="71"/>
  <c r="AS85" i="71"/>
  <c r="AT85" i="71"/>
  <c r="AU85" i="71"/>
  <c r="AV85" i="71"/>
  <c r="AW85" i="71"/>
  <c r="AX85" i="71"/>
  <c r="AY85" i="71"/>
  <c r="AZ85" i="71"/>
  <c r="BA85" i="71"/>
  <c r="BB85" i="71"/>
  <c r="BC85" i="71"/>
  <c r="BD85" i="71"/>
  <c r="BE85" i="71"/>
  <c r="BF85" i="71"/>
  <c r="BG85" i="71"/>
  <c r="BH85" i="71"/>
  <c r="BI85" i="71"/>
  <c r="BJ85" i="71"/>
  <c r="BK85" i="71"/>
  <c r="BL85" i="71"/>
  <c r="BM85" i="71"/>
  <c r="BN85" i="71"/>
  <c r="BO85" i="71"/>
  <c r="BP85" i="71"/>
  <c r="BQ85" i="71"/>
  <c r="BR85" i="71"/>
  <c r="BS85" i="71"/>
  <c r="BT85" i="71"/>
  <c r="BU85" i="71"/>
  <c r="BV85" i="71"/>
  <c r="BW85" i="71"/>
  <c r="BX85" i="71"/>
  <c r="BY85" i="71"/>
  <c r="BZ85" i="71"/>
  <c r="CA85" i="71"/>
  <c r="CB85" i="71"/>
  <c r="CC85" i="71"/>
  <c r="CD85" i="71"/>
  <c r="CE85" i="71"/>
  <c r="CF85" i="71"/>
  <c r="CG85" i="71"/>
  <c r="CH85" i="71"/>
  <c r="CI85" i="71"/>
  <c r="CJ85" i="71"/>
  <c r="CK85" i="71"/>
  <c r="CL85" i="71"/>
  <c r="CM85" i="71"/>
  <c r="CN85" i="71"/>
  <c r="CO85" i="71"/>
  <c r="CP85" i="71"/>
  <c r="CQ85" i="71"/>
  <c r="CR85" i="71"/>
  <c r="CS85" i="71"/>
  <c r="CT85" i="71"/>
  <c r="CU85" i="71"/>
  <c r="CV85" i="71"/>
  <c r="CW85" i="71"/>
  <c r="CX85" i="71"/>
  <c r="CY85" i="71"/>
  <c r="CZ85" i="71"/>
  <c r="DA85" i="71"/>
  <c r="DB85" i="71"/>
  <c r="DC85" i="71"/>
  <c r="DD85" i="71"/>
  <c r="DE85" i="71"/>
  <c r="DF85" i="71"/>
  <c r="DG85" i="71"/>
  <c r="DH85" i="71"/>
  <c r="DI85" i="71"/>
  <c r="DJ85" i="71"/>
  <c r="DK85" i="71"/>
  <c r="DL85" i="71"/>
  <c r="DM85" i="71"/>
  <c r="DN85" i="71"/>
  <c r="DO85" i="71"/>
  <c r="DP85" i="71"/>
  <c r="DQ85" i="71"/>
  <c r="DR85" i="71"/>
  <c r="DS85" i="71"/>
  <c r="DT85" i="71"/>
  <c r="DU85" i="71"/>
  <c r="DV85" i="71"/>
  <c r="DW85" i="71"/>
  <c r="DX85" i="71"/>
  <c r="DY85" i="71"/>
  <c r="DZ85" i="71"/>
  <c r="EA85" i="71"/>
  <c r="EB85" i="71"/>
  <c r="EC85" i="71"/>
  <c r="ED85" i="71"/>
  <c r="EE85" i="71"/>
  <c r="EF85" i="71"/>
  <c r="EG85" i="71"/>
  <c r="AK88" i="71"/>
  <c r="E90" i="71"/>
  <c r="F90" i="71"/>
  <c r="G90" i="71"/>
  <c r="H90" i="71"/>
  <c r="I90" i="71"/>
  <c r="J90" i="71"/>
  <c r="K90" i="71"/>
  <c r="L90" i="71"/>
  <c r="M90" i="71"/>
  <c r="N90" i="71"/>
  <c r="O90" i="71"/>
  <c r="P90" i="71"/>
  <c r="Q90" i="71"/>
  <c r="R90" i="71"/>
  <c r="S90" i="71"/>
  <c r="T90" i="71"/>
  <c r="U90" i="71"/>
  <c r="V90" i="71"/>
  <c r="W90" i="71"/>
  <c r="X90" i="71"/>
  <c r="Y90" i="71"/>
  <c r="Z90" i="71"/>
  <c r="AA90" i="71"/>
  <c r="AB90" i="71"/>
  <c r="AC90" i="71"/>
  <c r="AD90" i="71"/>
  <c r="AE90" i="71"/>
  <c r="AF90" i="71"/>
  <c r="AG90" i="71"/>
  <c r="AH90" i="71"/>
  <c r="AI90" i="71"/>
  <c r="AJ90" i="71"/>
  <c r="AK90" i="71"/>
  <c r="AL90" i="71"/>
  <c r="AM90" i="71"/>
  <c r="AN90" i="71"/>
  <c r="AO90" i="71"/>
  <c r="AP90" i="71"/>
  <c r="AQ90" i="71"/>
  <c r="AR90" i="71"/>
  <c r="AS90" i="71"/>
  <c r="AT90" i="71"/>
  <c r="AU90" i="71"/>
  <c r="AV90" i="71"/>
  <c r="AW90" i="71"/>
  <c r="AX90" i="71"/>
  <c r="AY90" i="71"/>
  <c r="AZ90" i="71"/>
  <c r="BA90" i="71"/>
  <c r="BB90" i="71"/>
  <c r="BC90" i="71"/>
  <c r="BD90" i="71"/>
  <c r="BE90" i="71"/>
  <c r="BF90" i="71"/>
  <c r="BG90" i="71"/>
  <c r="BH90" i="71"/>
  <c r="BI90" i="71"/>
  <c r="BJ90" i="71"/>
  <c r="BK90" i="71"/>
  <c r="BL90" i="71"/>
  <c r="BM90" i="71"/>
  <c r="BN90" i="71"/>
  <c r="BO90" i="71"/>
  <c r="BP90" i="71"/>
  <c r="BQ90" i="71"/>
  <c r="BR90" i="71"/>
  <c r="BS90" i="71"/>
  <c r="BT90" i="71"/>
  <c r="BU90" i="71"/>
  <c r="BV90" i="71"/>
  <c r="BW90" i="71"/>
  <c r="BX90" i="71"/>
  <c r="BY90" i="71"/>
  <c r="BZ90" i="71"/>
  <c r="CA90" i="71"/>
  <c r="CB90" i="71"/>
  <c r="CC90" i="71"/>
  <c r="CD90" i="71"/>
  <c r="CE90" i="71"/>
  <c r="CF90" i="71"/>
  <c r="CG90" i="71"/>
  <c r="CH90" i="71"/>
  <c r="CI90" i="71"/>
  <c r="CJ90" i="71"/>
  <c r="CK90" i="71"/>
  <c r="CL90" i="71"/>
  <c r="CM90" i="71"/>
  <c r="CN90" i="71"/>
  <c r="CO90" i="71"/>
  <c r="CP90" i="71"/>
  <c r="CQ90" i="71"/>
  <c r="CR90" i="71"/>
  <c r="CS90" i="71"/>
  <c r="CT90" i="71"/>
  <c r="CU90" i="71"/>
  <c r="CV90" i="71"/>
  <c r="CW90" i="71"/>
  <c r="CX90" i="71"/>
  <c r="CY90" i="71"/>
  <c r="CZ90" i="71"/>
  <c r="DA90" i="71"/>
  <c r="DB90" i="71"/>
  <c r="DC90" i="71"/>
  <c r="DD90" i="71"/>
  <c r="DE90" i="71"/>
  <c r="DF90" i="71"/>
  <c r="DG90" i="71"/>
  <c r="DH90" i="71"/>
  <c r="DI90" i="71"/>
  <c r="DJ90" i="71"/>
  <c r="DK90" i="71"/>
  <c r="DL90" i="71"/>
  <c r="DM90" i="71"/>
  <c r="DN90" i="71"/>
  <c r="DO90" i="71"/>
  <c r="DP90" i="71"/>
  <c r="DQ90" i="71"/>
  <c r="DR90" i="71"/>
  <c r="DS90" i="71"/>
  <c r="DT90" i="71"/>
  <c r="DU90" i="71"/>
  <c r="DV90" i="71"/>
  <c r="DW90" i="71"/>
  <c r="DX90" i="71"/>
  <c r="DY90" i="71"/>
  <c r="DZ90" i="71"/>
  <c r="EA90" i="71"/>
  <c r="EB90" i="71"/>
  <c r="EC90" i="71"/>
  <c r="ED90" i="71"/>
  <c r="EE90" i="71"/>
  <c r="EF90" i="71"/>
  <c r="EG90" i="71"/>
  <c r="E91" i="71"/>
  <c r="F91" i="71"/>
  <c r="G91" i="71"/>
  <c r="H91" i="71"/>
  <c r="I91" i="71"/>
  <c r="J91" i="71"/>
  <c r="K91" i="71"/>
  <c r="L91" i="71"/>
  <c r="M91" i="71"/>
  <c r="N91" i="71"/>
  <c r="O91" i="71"/>
  <c r="P91" i="71"/>
  <c r="Q91" i="71"/>
  <c r="R91" i="71"/>
  <c r="S91" i="71"/>
  <c r="T91" i="71"/>
  <c r="U91" i="71"/>
  <c r="V91" i="71"/>
  <c r="W91" i="71"/>
  <c r="X91" i="71"/>
  <c r="Y91" i="71"/>
  <c r="Z91" i="71"/>
  <c r="AA91" i="71"/>
  <c r="AB91" i="71"/>
  <c r="AC91" i="71"/>
  <c r="AD91" i="71"/>
  <c r="AE91" i="71"/>
  <c r="AF91" i="71"/>
  <c r="AG91" i="71"/>
  <c r="AH91" i="71"/>
  <c r="AI91" i="71"/>
  <c r="AJ91" i="71"/>
  <c r="AK91" i="71"/>
  <c r="AL91" i="71"/>
  <c r="AM91" i="71"/>
  <c r="AN91" i="71"/>
  <c r="AO91" i="71"/>
  <c r="AP91" i="71"/>
  <c r="AQ91" i="71"/>
  <c r="AR91" i="71"/>
  <c r="AS91" i="71"/>
  <c r="AT91" i="71"/>
  <c r="AU91" i="71"/>
  <c r="AV91" i="71"/>
  <c r="AW91" i="71"/>
  <c r="AX91" i="71"/>
  <c r="AY91" i="71"/>
  <c r="AZ91" i="71"/>
  <c r="BA91" i="71"/>
  <c r="BB91" i="71"/>
  <c r="BC91" i="71"/>
  <c r="BD91" i="71"/>
  <c r="BE91" i="71"/>
  <c r="BF91" i="71"/>
  <c r="BG91" i="71"/>
  <c r="BH91" i="71"/>
  <c r="BI91" i="71"/>
  <c r="BJ91" i="71"/>
  <c r="BK91" i="71"/>
  <c r="BL91" i="71"/>
  <c r="BM91" i="71"/>
  <c r="BN91" i="71"/>
  <c r="BO91" i="71"/>
  <c r="BP91" i="71"/>
  <c r="BQ91" i="71"/>
  <c r="BR91" i="71"/>
  <c r="BS91" i="71"/>
  <c r="BT91" i="71"/>
  <c r="BU91" i="71"/>
  <c r="BV91" i="71"/>
  <c r="BW91" i="71"/>
  <c r="BX91" i="71"/>
  <c r="BY91" i="71"/>
  <c r="BZ91" i="71"/>
  <c r="CA91" i="71"/>
  <c r="CB91" i="71"/>
  <c r="CC91" i="71"/>
  <c r="CD91" i="71"/>
  <c r="CE91" i="71"/>
  <c r="CF91" i="71"/>
  <c r="CG91" i="71"/>
  <c r="CH91" i="71"/>
  <c r="CI91" i="71"/>
  <c r="CJ91" i="71"/>
  <c r="CK91" i="71"/>
  <c r="CL91" i="71"/>
  <c r="CM91" i="71"/>
  <c r="CN91" i="71"/>
  <c r="CO91" i="71"/>
  <c r="CP91" i="71"/>
  <c r="CQ91" i="71"/>
  <c r="CR91" i="71"/>
  <c r="CS91" i="71"/>
  <c r="CT91" i="71"/>
  <c r="CU91" i="71"/>
  <c r="CV91" i="71"/>
  <c r="CW91" i="71"/>
  <c r="CX91" i="71"/>
  <c r="CY91" i="71"/>
  <c r="CZ91" i="71"/>
  <c r="DA91" i="71"/>
  <c r="DB91" i="71"/>
  <c r="DC91" i="71"/>
  <c r="DD91" i="71"/>
  <c r="DE91" i="71"/>
  <c r="DF91" i="71"/>
  <c r="DG91" i="71"/>
  <c r="DH91" i="71"/>
  <c r="DI91" i="71"/>
  <c r="DJ91" i="71"/>
  <c r="DK91" i="71"/>
  <c r="DL91" i="71"/>
  <c r="DM91" i="71"/>
  <c r="DN91" i="71"/>
  <c r="DO91" i="71"/>
  <c r="DP91" i="71"/>
  <c r="DQ91" i="71"/>
  <c r="DR91" i="71"/>
  <c r="DS91" i="71"/>
  <c r="DT91" i="71"/>
  <c r="DU91" i="71"/>
  <c r="DV91" i="71"/>
  <c r="DW91" i="71"/>
  <c r="DX91" i="71"/>
  <c r="DY91" i="71"/>
  <c r="DZ91" i="71"/>
  <c r="EA91" i="71"/>
  <c r="EB91" i="71"/>
  <c r="EC91" i="71"/>
  <c r="ED91" i="71"/>
  <c r="EE91" i="71"/>
  <c r="EF91" i="71"/>
  <c r="EG91" i="71"/>
  <c r="E93" i="71"/>
  <c r="F93" i="71"/>
  <c r="G93" i="71"/>
  <c r="H93" i="71"/>
  <c r="I93" i="71"/>
  <c r="J93" i="71"/>
  <c r="K93" i="71"/>
  <c r="L93" i="71"/>
  <c r="M93" i="71"/>
  <c r="N93" i="71"/>
  <c r="O93" i="71"/>
  <c r="P93" i="71"/>
  <c r="Q93" i="71"/>
  <c r="R93" i="71"/>
  <c r="S93" i="71"/>
  <c r="T93" i="71"/>
  <c r="U93" i="71"/>
  <c r="V93" i="71"/>
  <c r="W93" i="71"/>
  <c r="X93" i="71"/>
  <c r="Y93" i="71"/>
  <c r="Z93" i="71"/>
  <c r="AA93" i="71"/>
  <c r="AB93" i="71"/>
  <c r="AC93" i="71"/>
  <c r="AD93" i="71"/>
  <c r="AE93" i="71"/>
  <c r="AF93" i="71"/>
  <c r="AG93" i="71"/>
  <c r="AH93" i="71"/>
  <c r="AI93" i="71"/>
  <c r="AJ93" i="71"/>
  <c r="AK93" i="71"/>
  <c r="AL93" i="71"/>
  <c r="AM93" i="71"/>
  <c r="AN93" i="71"/>
  <c r="AO93" i="71"/>
  <c r="AP93" i="71"/>
  <c r="AQ93" i="71"/>
  <c r="AR93" i="71"/>
  <c r="AS93" i="71"/>
  <c r="AT93" i="71"/>
  <c r="AU93" i="71"/>
  <c r="AV93" i="71"/>
  <c r="AW93" i="71"/>
  <c r="AX93" i="71"/>
  <c r="AY93" i="71"/>
  <c r="AZ93" i="71"/>
  <c r="BA93" i="71"/>
  <c r="BB93" i="71"/>
  <c r="BC93" i="71"/>
  <c r="BD93" i="71"/>
  <c r="BE93" i="71"/>
  <c r="BF93" i="71"/>
  <c r="BG93" i="71"/>
  <c r="BH93" i="71"/>
  <c r="BI93" i="71"/>
  <c r="BJ93" i="71"/>
  <c r="BK93" i="71"/>
  <c r="BL93" i="71"/>
  <c r="BM93" i="71"/>
  <c r="BN93" i="71"/>
  <c r="BO93" i="71"/>
  <c r="BP93" i="71"/>
  <c r="BQ93" i="71"/>
  <c r="BR93" i="71"/>
  <c r="BS93" i="71"/>
  <c r="BT93" i="71"/>
  <c r="BU93" i="71"/>
  <c r="BV93" i="71"/>
  <c r="BW93" i="71"/>
  <c r="BX93" i="71"/>
  <c r="BY93" i="71"/>
  <c r="BZ93" i="71"/>
  <c r="CA93" i="71"/>
  <c r="CB93" i="71"/>
  <c r="CC93" i="71"/>
  <c r="CD93" i="71"/>
  <c r="CE93" i="71"/>
  <c r="CF93" i="71"/>
  <c r="CG93" i="71"/>
  <c r="CH93" i="71"/>
  <c r="CI93" i="71"/>
  <c r="CJ93" i="71"/>
  <c r="CK93" i="71"/>
  <c r="CL93" i="71"/>
  <c r="CM93" i="71"/>
  <c r="CN93" i="71"/>
  <c r="CO93" i="71"/>
  <c r="CP93" i="71"/>
  <c r="CQ93" i="71"/>
  <c r="CR93" i="71"/>
  <c r="CS93" i="71"/>
  <c r="CT93" i="71"/>
  <c r="CU93" i="71"/>
  <c r="CV93" i="71"/>
  <c r="CW93" i="71"/>
  <c r="CX93" i="71"/>
  <c r="CY93" i="71"/>
  <c r="CZ93" i="71"/>
  <c r="DA93" i="71"/>
  <c r="DB93" i="71"/>
  <c r="DC93" i="71"/>
  <c r="DD93" i="71"/>
  <c r="DE93" i="71"/>
  <c r="DF93" i="71"/>
  <c r="DG93" i="71"/>
  <c r="DH93" i="71"/>
  <c r="DI93" i="71"/>
  <c r="DJ93" i="71"/>
  <c r="DK93" i="71"/>
  <c r="DL93" i="71"/>
  <c r="DM93" i="71"/>
  <c r="DN93" i="71"/>
  <c r="DO93" i="71"/>
  <c r="DP93" i="71"/>
  <c r="DQ93" i="71"/>
  <c r="DR93" i="71"/>
  <c r="DS93" i="71"/>
  <c r="DT93" i="71"/>
  <c r="DU93" i="71"/>
  <c r="DV93" i="71"/>
  <c r="DW93" i="71"/>
  <c r="DX93" i="71"/>
  <c r="DY93" i="71"/>
  <c r="DZ93" i="71"/>
  <c r="EA93" i="71"/>
  <c r="EB93" i="71"/>
  <c r="EC93" i="71"/>
  <c r="ED93" i="71"/>
  <c r="EE93" i="71"/>
  <c r="EF93" i="71"/>
  <c r="EG93" i="71"/>
  <c r="E96" i="71"/>
  <c r="F96" i="71"/>
  <c r="G96" i="71"/>
  <c r="H96" i="71"/>
  <c r="I96" i="71"/>
  <c r="J96" i="71"/>
  <c r="K96" i="71"/>
  <c r="L96" i="71"/>
  <c r="M96" i="71"/>
  <c r="N96" i="71"/>
  <c r="O96" i="71"/>
  <c r="P96" i="71"/>
  <c r="Q96" i="71"/>
  <c r="R96" i="71"/>
  <c r="S96" i="71"/>
  <c r="T96" i="71"/>
  <c r="U96" i="71"/>
  <c r="V96" i="71"/>
  <c r="W96" i="71"/>
  <c r="X96" i="71"/>
  <c r="Y96" i="71"/>
  <c r="Z96" i="71"/>
  <c r="AA96" i="71"/>
  <c r="AB96" i="71"/>
  <c r="AC96" i="71"/>
  <c r="AD96" i="71"/>
  <c r="AE96" i="71"/>
  <c r="AF96" i="71"/>
  <c r="AG96" i="71"/>
  <c r="AH96" i="71"/>
  <c r="AI96" i="71"/>
  <c r="AJ96" i="71"/>
  <c r="AK96" i="71"/>
  <c r="AL96" i="71"/>
  <c r="AM96" i="71"/>
  <c r="AN96" i="71"/>
  <c r="AO96" i="71"/>
  <c r="AP96" i="71"/>
  <c r="AQ96" i="71"/>
  <c r="AR96" i="71"/>
  <c r="AS96" i="71"/>
  <c r="AT96" i="71"/>
  <c r="AU96" i="71"/>
  <c r="AV96" i="71"/>
  <c r="AW96" i="71"/>
  <c r="AX96" i="71"/>
  <c r="AY96" i="71"/>
  <c r="AZ96" i="71"/>
  <c r="BA96" i="71"/>
  <c r="BB96" i="71"/>
  <c r="BC96" i="71"/>
  <c r="BD96" i="71"/>
  <c r="BE96" i="71"/>
  <c r="BF96" i="71"/>
  <c r="BG96" i="71"/>
  <c r="BH96" i="71"/>
  <c r="BI96" i="71"/>
  <c r="BJ96" i="71"/>
  <c r="BK96" i="71"/>
  <c r="BL96" i="71"/>
  <c r="BM96" i="71"/>
  <c r="BN96" i="71"/>
  <c r="BO96" i="71"/>
  <c r="BP96" i="71"/>
  <c r="BQ96" i="71"/>
  <c r="BR96" i="71"/>
  <c r="BS96" i="71"/>
  <c r="BT96" i="71"/>
  <c r="BU96" i="71"/>
  <c r="BV96" i="71"/>
  <c r="BW96" i="71"/>
  <c r="BX96" i="71"/>
  <c r="BY96" i="71"/>
  <c r="BZ96" i="71"/>
  <c r="CA96" i="71"/>
  <c r="CB96" i="71"/>
  <c r="CC96" i="71"/>
  <c r="CD96" i="71"/>
  <c r="CE96" i="71"/>
  <c r="CF96" i="71"/>
  <c r="CG96" i="71"/>
  <c r="CH96" i="71"/>
  <c r="CI96" i="71"/>
  <c r="CJ96" i="71"/>
  <c r="CK96" i="71"/>
  <c r="CL96" i="71"/>
  <c r="CM96" i="71"/>
  <c r="CN96" i="71"/>
  <c r="CO96" i="71"/>
  <c r="CP96" i="71"/>
  <c r="CQ96" i="71"/>
  <c r="CR96" i="71"/>
  <c r="CS96" i="71"/>
  <c r="CT96" i="71"/>
  <c r="CU96" i="71"/>
  <c r="CV96" i="71"/>
  <c r="CW96" i="71"/>
  <c r="CX96" i="71"/>
  <c r="CY96" i="71"/>
  <c r="CZ96" i="71"/>
  <c r="DA96" i="71"/>
  <c r="DB96" i="71"/>
  <c r="DC96" i="71"/>
  <c r="DD96" i="71"/>
  <c r="DE96" i="71"/>
  <c r="DF96" i="71"/>
  <c r="DG96" i="71"/>
  <c r="DH96" i="71"/>
  <c r="DI96" i="71"/>
  <c r="DJ96" i="71"/>
  <c r="DK96" i="71"/>
  <c r="DL96" i="71"/>
  <c r="DM96" i="71"/>
  <c r="DN96" i="71"/>
  <c r="DO96" i="71"/>
  <c r="DP96" i="71"/>
  <c r="DQ96" i="71"/>
  <c r="DR96" i="71"/>
  <c r="DS96" i="71"/>
  <c r="DT96" i="71"/>
  <c r="DU96" i="71"/>
  <c r="DV96" i="71"/>
  <c r="DW96" i="71"/>
  <c r="DX96" i="71"/>
  <c r="DY96" i="71"/>
  <c r="DZ96" i="71"/>
  <c r="EA96" i="71"/>
  <c r="EB96" i="71"/>
  <c r="EC96" i="71"/>
  <c r="ED96" i="71"/>
  <c r="EE96" i="71"/>
  <c r="EF96" i="71"/>
  <c r="EG96" i="71"/>
  <c r="E98" i="71"/>
  <c r="F98" i="71"/>
  <c r="G98" i="71"/>
  <c r="H98" i="71"/>
  <c r="I98" i="71"/>
  <c r="J98" i="71"/>
  <c r="K98" i="71"/>
  <c r="L98" i="71"/>
  <c r="M98" i="71"/>
  <c r="N98" i="71"/>
  <c r="O98" i="71"/>
  <c r="P98" i="71"/>
  <c r="Q98" i="71"/>
  <c r="R98" i="71"/>
  <c r="S98" i="71"/>
  <c r="T98" i="71"/>
  <c r="U98" i="71"/>
  <c r="V98" i="71"/>
  <c r="W98" i="71"/>
  <c r="X98" i="71"/>
  <c r="Y98" i="71"/>
  <c r="Z98" i="71"/>
  <c r="AA98" i="71"/>
  <c r="AB98" i="71"/>
  <c r="AC98" i="71"/>
  <c r="AD98" i="71"/>
  <c r="AE98" i="71"/>
  <c r="AF98" i="71"/>
  <c r="AG98" i="71"/>
  <c r="AH98" i="71"/>
  <c r="AI98" i="71"/>
  <c r="AJ98" i="71"/>
  <c r="AK98" i="71"/>
  <c r="AL98" i="71"/>
  <c r="AM98" i="71"/>
  <c r="AN98" i="71"/>
  <c r="AO98" i="71"/>
  <c r="AP98" i="71"/>
  <c r="AQ98" i="71"/>
  <c r="AR98" i="71"/>
  <c r="AS98" i="71"/>
  <c r="AT98" i="71"/>
  <c r="AU98" i="71"/>
  <c r="AV98" i="71"/>
  <c r="AW98" i="71"/>
  <c r="AX98" i="71"/>
  <c r="AY98" i="71"/>
  <c r="AZ98" i="71"/>
  <c r="BA98" i="71"/>
  <c r="BB98" i="71"/>
  <c r="BC98" i="71"/>
  <c r="BD98" i="71"/>
  <c r="BE98" i="71"/>
  <c r="BF98" i="71"/>
  <c r="BG98" i="71"/>
  <c r="BH98" i="71"/>
  <c r="BI98" i="71"/>
  <c r="BJ98" i="71"/>
  <c r="BK98" i="71"/>
  <c r="BL98" i="71"/>
  <c r="BM98" i="71"/>
  <c r="BN98" i="71"/>
  <c r="BO98" i="71"/>
  <c r="BP98" i="71"/>
  <c r="BQ98" i="71"/>
  <c r="BR98" i="71"/>
  <c r="BS98" i="71"/>
  <c r="BT98" i="71"/>
  <c r="BU98" i="71"/>
  <c r="BV98" i="71"/>
  <c r="BW98" i="71"/>
  <c r="BX98" i="71"/>
  <c r="BY98" i="71"/>
  <c r="BZ98" i="71"/>
  <c r="CA98" i="71"/>
  <c r="CB98" i="71"/>
  <c r="CC98" i="71"/>
  <c r="CD98" i="71"/>
  <c r="AN99" i="71"/>
  <c r="AR99" i="71"/>
  <c r="AV99" i="71"/>
  <c r="BC99" i="71"/>
  <c r="BG99" i="71"/>
  <c r="BK99" i="71"/>
  <c r="BW99" i="71"/>
  <c r="BZ99" i="71"/>
  <c r="CC99" i="71"/>
  <c r="E101" i="71"/>
  <c r="H101" i="71"/>
  <c r="R101" i="71"/>
  <c r="W101" i="71"/>
  <c r="AC101" i="71"/>
  <c r="AF101" i="71"/>
  <c r="AP101" i="71"/>
  <c r="AT101" i="71"/>
  <c r="BD101" i="71"/>
  <c r="BI101" i="71"/>
  <c r="BR101" i="71"/>
  <c r="CD101" i="71"/>
  <c r="CM101" i="71"/>
  <c r="CV101" i="71"/>
  <c r="CZ101" i="71"/>
  <c r="DN101" i="71"/>
  <c r="DV101" i="71"/>
  <c r="EC101" i="71"/>
  <c r="EG101" i="71"/>
  <c r="G104" i="71"/>
  <c r="J104" i="71"/>
  <c r="L104" i="71"/>
  <c r="P104" i="71"/>
  <c r="W104" i="71"/>
  <c r="AB104" i="71"/>
  <c r="AG104" i="71"/>
  <c r="AI104" i="71"/>
  <c r="AO104" i="71"/>
  <c r="AV104" i="71"/>
  <c r="AY104" i="71"/>
  <c r="BF104" i="71"/>
  <c r="BJ104" i="71"/>
  <c r="BP104" i="71"/>
  <c r="BU104" i="71"/>
  <c r="CD104" i="71"/>
  <c r="F107" i="71"/>
  <c r="P107" i="71"/>
  <c r="U107" i="71"/>
  <c r="AC107" i="71"/>
  <c r="AG107" i="71"/>
  <c r="AI107" i="71"/>
  <c r="AN107" i="71"/>
  <c r="AR107" i="71"/>
  <c r="AV107" i="71"/>
  <c r="BD107" i="71"/>
  <c r="BL107" i="71"/>
  <c r="BP107" i="71"/>
  <c r="CC107" i="71"/>
  <c r="CH107" i="71"/>
  <c r="CJ107" i="71"/>
  <c r="CQ107" i="71"/>
  <c r="CW107" i="71"/>
  <c r="DS107" i="71"/>
  <c r="DV107" i="71"/>
  <c r="DY107" i="71"/>
  <c r="EB107" i="71"/>
  <c r="I115" i="71"/>
  <c r="J115" i="71"/>
  <c r="L115" i="71"/>
  <c r="O115" i="71"/>
  <c r="X115" i="71"/>
  <c r="AC115" i="71"/>
  <c r="AN115" i="71"/>
  <c r="AQ115" i="71"/>
  <c r="AT115" i="71"/>
  <c r="AW115" i="71"/>
  <c r="BH115" i="71"/>
  <c r="BK115" i="71"/>
  <c r="BO115" i="71"/>
  <c r="BQ115" i="71"/>
  <c r="F150" i="71"/>
  <c r="G150" i="71"/>
  <c r="H150" i="71"/>
  <c r="K150" i="71"/>
  <c r="O150" i="71"/>
  <c r="S150" i="71"/>
  <c r="W150" i="71"/>
  <c r="Z150" i="71"/>
  <c r="AD150" i="71"/>
  <c r="AH150" i="71"/>
  <c r="AL150" i="71"/>
  <c r="AP150" i="71"/>
  <c r="AV150" i="71"/>
  <c r="BA150" i="71"/>
  <c r="BE150" i="71"/>
  <c r="BI150" i="71"/>
  <c r="BM150" i="71"/>
  <c r="BQ150" i="71"/>
  <c r="BW150" i="71"/>
  <c r="CC150" i="71"/>
  <c r="CG150" i="71"/>
  <c r="CM150" i="71"/>
  <c r="CT150" i="71"/>
  <c r="DD150" i="71"/>
  <c r="DJ150" i="71"/>
  <c r="ED150" i="71"/>
  <c r="L152" i="71"/>
  <c r="S152" i="71"/>
  <c r="Y152" i="71"/>
  <c r="AJ152" i="71"/>
  <c r="AR152" i="71"/>
  <c r="AW152" i="71"/>
  <c r="BI152" i="71"/>
  <c r="BS152" i="71"/>
  <c r="CA152" i="71"/>
  <c r="CL152" i="71"/>
  <c r="CS152" i="71"/>
  <c r="EB152" i="71"/>
  <c r="F166" i="71"/>
  <c r="AC163" i="71"/>
  <c r="BD163" i="71"/>
  <c r="BN166" i="71"/>
  <c r="BP163" i="71"/>
  <c r="BZ166" i="71"/>
  <c r="CB163" i="71"/>
  <c r="CX166" i="71"/>
  <c r="CZ163" i="71"/>
  <c r="DD163" i="71"/>
  <c r="DN163" i="71"/>
  <c r="DT163" i="71"/>
  <c r="ED163" i="71"/>
  <c r="CX178" i="71"/>
  <c r="BA183" i="71"/>
  <c r="CR183" i="71"/>
  <c r="AP184" i="71"/>
  <c r="F185" i="71"/>
  <c r="AF163" i="71"/>
  <c r="AT163" i="71"/>
  <c r="CK163" i="71"/>
  <c r="CQ163" i="71"/>
  <c r="DH163" i="71"/>
  <c r="DY163" i="71"/>
  <c r="BA192" i="71"/>
  <c r="J323" i="69"/>
  <c r="J242" i="69" s="1"/>
  <c r="BT34" i="71"/>
  <c r="BT326" i="71"/>
  <c r="AH323" i="69"/>
  <c r="AH242" i="69" s="1"/>
  <c r="AH244" i="69" s="1"/>
  <c r="AS34" i="71"/>
  <c r="DS34" i="71"/>
  <c r="DS38" i="71"/>
  <c r="DS257" i="71"/>
  <c r="BZ332" i="71"/>
  <c r="CR257" i="71"/>
  <c r="AS328" i="71"/>
  <c r="CR333" i="71"/>
  <c r="AD34" i="69"/>
  <c r="AD370" i="69" s="1"/>
  <c r="AD371" i="69" s="1"/>
  <c r="DI19" i="71"/>
  <c r="AB23" i="71"/>
  <c r="BN23" i="71"/>
  <c r="EC23" i="71"/>
  <c r="AQ183" i="71"/>
  <c r="BU34" i="71"/>
  <c r="AB105" i="69"/>
  <c r="AB107" i="69" s="1"/>
  <c r="AB214" i="69" s="1"/>
  <c r="AH308" i="69"/>
  <c r="AL313" i="69"/>
  <c r="AC50" i="71"/>
  <c r="J87" i="69"/>
  <c r="Q87" i="69"/>
  <c r="W87" i="69"/>
  <c r="AB87" i="69"/>
  <c r="AH87" i="69"/>
  <c r="AN87" i="69"/>
  <c r="AT87" i="69"/>
  <c r="N88" i="69"/>
  <c r="U88" i="69"/>
  <c r="AA88" i="69"/>
  <c r="AG88" i="69"/>
  <c r="AM88" i="69"/>
  <c r="AS88" i="69"/>
  <c r="I90" i="69"/>
  <c r="M90" i="69"/>
  <c r="R90" i="69"/>
  <c r="X90" i="69"/>
  <c r="AE90" i="69"/>
  <c r="AK90" i="69"/>
  <c r="AQ90" i="69"/>
  <c r="AW90" i="69"/>
  <c r="M95" i="69"/>
  <c r="S95" i="69"/>
  <c r="Y95" i="69"/>
  <c r="Y96" i="69"/>
  <c r="R105" i="69"/>
  <c r="AG105" i="69"/>
  <c r="AR105" i="69"/>
  <c r="AP111" i="69"/>
  <c r="H112" i="69"/>
  <c r="L112" i="69"/>
  <c r="CR115" i="71"/>
  <c r="CU115" i="71"/>
  <c r="AK112" i="69"/>
  <c r="AK116" i="69"/>
  <c r="C116" i="69" s="1"/>
  <c r="I125" i="71"/>
  <c r="BH125" i="71"/>
  <c r="CL125" i="71"/>
  <c r="CO125" i="71"/>
  <c r="P124" i="69"/>
  <c r="AU126" i="69"/>
  <c r="E141" i="69"/>
  <c r="H141" i="69"/>
  <c r="Q141" i="69"/>
  <c r="Y141" i="69"/>
  <c r="AL141" i="69"/>
  <c r="AM147" i="71"/>
  <c r="BT147" i="71"/>
  <c r="CU147" i="71"/>
  <c r="AU160" i="69"/>
  <c r="AU163" i="69" s="1"/>
  <c r="AH171" i="69"/>
  <c r="R181" i="69"/>
  <c r="J286" i="69"/>
  <c r="N300" i="69"/>
  <c r="Z302" i="69"/>
  <c r="Z330" i="69"/>
  <c r="F23" i="71"/>
  <c r="CO50" i="71"/>
  <c r="M13" i="68"/>
  <c r="H21" i="68"/>
  <c r="P22" i="68"/>
  <c r="F32" i="68"/>
  <c r="I40" i="68"/>
  <c r="O40" i="68"/>
  <c r="H49" i="68"/>
  <c r="N49" i="68"/>
  <c r="H55" i="68"/>
  <c r="J59" i="68"/>
  <c r="H72" i="68"/>
  <c r="J77" i="68"/>
  <c r="E78" i="68"/>
  <c r="I78" i="68"/>
  <c r="N78" i="68"/>
  <c r="N80" i="68"/>
  <c r="N83" i="68"/>
  <c r="M85" i="68"/>
  <c r="J86" i="68"/>
  <c r="E88" i="68"/>
  <c r="H88" i="68"/>
  <c r="P88" i="68"/>
  <c r="E93" i="68"/>
  <c r="G93" i="68"/>
  <c r="I93" i="68"/>
  <c r="O94" i="68"/>
  <c r="C97" i="68"/>
  <c r="O99" i="68"/>
  <c r="O101" i="68"/>
  <c r="F105" i="68"/>
  <c r="G105" i="68"/>
  <c r="L105" i="68"/>
  <c r="F139" i="68"/>
  <c r="K139" i="68"/>
  <c r="N169" i="68"/>
  <c r="E212" i="68"/>
  <c r="I212" i="68"/>
  <c r="M212" i="68"/>
  <c r="M284" i="68"/>
  <c r="H295" i="68"/>
  <c r="O295" i="68"/>
  <c r="E300" i="68"/>
  <c r="G300" i="68"/>
  <c r="L300" i="68"/>
  <c r="N306" i="68"/>
  <c r="N311" i="68"/>
  <c r="N318" i="68"/>
  <c r="DC50" i="71"/>
  <c r="CA115" i="71"/>
  <c r="CT115" i="71"/>
  <c r="DI50" i="71"/>
  <c r="CK125" i="71"/>
  <c r="AH329" i="69"/>
  <c r="C33" i="71"/>
  <c r="AF51" i="69"/>
  <c r="E300" i="69"/>
  <c r="F308" i="69"/>
  <c r="BE34" i="71"/>
  <c r="BE38" i="71"/>
  <c r="R41" i="71"/>
  <c r="AD41" i="71"/>
  <c r="BN152" i="71"/>
  <c r="BO37" i="71"/>
  <c r="BO41" i="71"/>
  <c r="CX152" i="71"/>
  <c r="CY37" i="71"/>
  <c r="CY41" i="71"/>
  <c r="DH152" i="71"/>
  <c r="DI37" i="71"/>
  <c r="DI41" i="71"/>
  <c r="DN152" i="71"/>
  <c r="DO37" i="71"/>
  <c r="DO41" i="71"/>
  <c r="DV41" i="71"/>
  <c r="BM163" i="71"/>
  <c r="BM166" i="71"/>
  <c r="BM19" i="71"/>
  <c r="BM46" i="71"/>
  <c r="CW46" i="71"/>
  <c r="DI46" i="71"/>
  <c r="L50" i="71"/>
  <c r="Q50" i="71"/>
  <c r="T50" i="71"/>
  <c r="X50" i="71"/>
  <c r="Z50" i="71"/>
  <c r="AE50" i="71"/>
  <c r="AH50" i="71"/>
  <c r="AM50" i="71"/>
  <c r="AQ50" i="71"/>
  <c r="AT50" i="71"/>
  <c r="AY50" i="71"/>
  <c r="BL50" i="71"/>
  <c r="BW50" i="71"/>
  <c r="DE50" i="71"/>
  <c r="DS50" i="71"/>
  <c r="DW50" i="71"/>
  <c r="AZ171" i="71"/>
  <c r="AZ28" i="71"/>
  <c r="AZ55" i="71"/>
  <c r="CR171" i="71"/>
  <c r="CR28" i="71"/>
  <c r="CR55" i="71"/>
  <c r="BF116" i="71"/>
  <c r="BK163" i="71"/>
  <c r="BK166" i="71"/>
  <c r="BK19" i="71"/>
  <c r="BK116" i="71"/>
  <c r="BM116" i="71"/>
  <c r="BR116" i="71"/>
  <c r="BT116" i="71"/>
  <c r="BY163" i="71"/>
  <c r="BY166" i="71"/>
  <c r="BY19" i="71"/>
  <c r="BY116" i="71"/>
  <c r="CA163" i="71"/>
  <c r="CA166" i="71"/>
  <c r="CA19" i="71"/>
  <c r="CA116" i="71"/>
  <c r="CD163" i="71"/>
  <c r="CD166" i="71"/>
  <c r="CD19" i="71"/>
  <c r="CD116" i="71"/>
  <c r="CF163" i="71"/>
  <c r="CF166" i="71"/>
  <c r="CF19" i="71"/>
  <c r="CF116" i="71"/>
  <c r="CP163" i="71"/>
  <c r="CP166" i="71"/>
  <c r="CP19" i="71"/>
  <c r="CP116" i="71"/>
  <c r="CV116" i="71"/>
  <c r="CW116" i="71"/>
  <c r="DI116" i="71"/>
  <c r="ED116" i="71"/>
  <c r="E120" i="71"/>
  <c r="I120" i="71"/>
  <c r="J120" i="71"/>
  <c r="L120" i="71"/>
  <c r="O120" i="71"/>
  <c r="Q120" i="71"/>
  <c r="R120" i="71"/>
  <c r="S189" i="71"/>
  <c r="S192" i="71"/>
  <c r="S196" i="71"/>
  <c r="S114" i="71"/>
  <c r="S120" i="71"/>
  <c r="T189" i="71"/>
  <c r="T192" i="71"/>
  <c r="T196" i="71"/>
  <c r="T114" i="71"/>
  <c r="T120" i="71"/>
  <c r="U114" i="71"/>
  <c r="U120" i="71"/>
  <c r="V189" i="71"/>
  <c r="V192" i="71"/>
  <c r="V196" i="71"/>
  <c r="V114" i="71"/>
  <c r="V120" i="71"/>
  <c r="W189" i="71"/>
  <c r="W192" i="71"/>
  <c r="W196" i="71"/>
  <c r="W114" i="71"/>
  <c r="W120" i="71"/>
  <c r="X189" i="71"/>
  <c r="X192" i="71"/>
  <c r="X196" i="71"/>
  <c r="X114" i="71"/>
  <c r="X120" i="71"/>
  <c r="Y189" i="71"/>
  <c r="Y192" i="71"/>
  <c r="Y196" i="71"/>
  <c r="Y114" i="71"/>
  <c r="Y120" i="71"/>
  <c r="Z189" i="71"/>
  <c r="Z192" i="71"/>
  <c r="Z196" i="71"/>
  <c r="Z114" i="71"/>
  <c r="Z120" i="71"/>
  <c r="AA189" i="71"/>
  <c r="AA192" i="71"/>
  <c r="AA196" i="71"/>
  <c r="AA114" i="71"/>
  <c r="AA120" i="71"/>
  <c r="AB114" i="71"/>
  <c r="AB120" i="71"/>
  <c r="AC192" i="71"/>
  <c r="AC196" i="71"/>
  <c r="AC114" i="71"/>
  <c r="AC120" i="71"/>
  <c r="AD114" i="71"/>
  <c r="AD120" i="71"/>
  <c r="AE189" i="71"/>
  <c r="AE192" i="71"/>
  <c r="AE196" i="71"/>
  <c r="AE114" i="71"/>
  <c r="AE120" i="71"/>
  <c r="AF196" i="71"/>
  <c r="AF114" i="71"/>
  <c r="AF120" i="71"/>
  <c r="AG189" i="71"/>
  <c r="AG192" i="71"/>
  <c r="AG196" i="71"/>
  <c r="AG114" i="71"/>
  <c r="AG120" i="71"/>
  <c r="AH196" i="71"/>
  <c r="AH114" i="71"/>
  <c r="AH120" i="71"/>
  <c r="AI189" i="71"/>
  <c r="AI192" i="71"/>
  <c r="AI196" i="71"/>
  <c r="AI114" i="71"/>
  <c r="AI120" i="71"/>
  <c r="AJ189" i="71"/>
  <c r="AJ192" i="71"/>
  <c r="AJ196" i="71"/>
  <c r="AJ114" i="71"/>
  <c r="AJ120" i="71"/>
  <c r="AK114" i="71"/>
  <c r="AK120" i="71"/>
  <c r="AL189" i="71"/>
  <c r="AL192" i="71"/>
  <c r="AL196" i="71"/>
  <c r="AL114" i="71"/>
  <c r="AL120" i="71"/>
  <c r="AM114" i="71"/>
  <c r="AM120" i="71"/>
  <c r="AN189" i="71"/>
  <c r="AN192" i="71"/>
  <c r="AN196" i="71"/>
  <c r="AN114" i="71"/>
  <c r="AN120" i="71"/>
  <c r="AO114" i="71"/>
  <c r="AO120" i="71"/>
  <c r="AP189" i="71"/>
  <c r="AP192" i="71"/>
  <c r="AP196" i="71"/>
  <c r="AP114" i="71"/>
  <c r="AP120" i="71"/>
  <c r="AQ114" i="71"/>
  <c r="AQ120" i="71"/>
  <c r="AR189" i="71"/>
  <c r="AR192" i="71"/>
  <c r="AR196" i="71"/>
  <c r="AR114" i="71"/>
  <c r="AR120" i="71"/>
  <c r="AS114" i="71"/>
  <c r="AS120" i="71"/>
  <c r="AT189" i="71"/>
  <c r="AT192" i="71"/>
  <c r="AT196" i="71"/>
  <c r="AT114" i="71"/>
  <c r="AT120" i="71"/>
  <c r="AU114" i="71"/>
  <c r="AU120" i="71"/>
  <c r="AV189" i="71"/>
  <c r="AV192" i="71"/>
  <c r="AV196" i="71"/>
  <c r="AV114" i="71"/>
  <c r="AV120" i="71"/>
  <c r="AW114" i="71"/>
  <c r="AW120" i="71"/>
  <c r="AX189" i="71"/>
  <c r="AX192" i="71"/>
  <c r="AX196" i="71"/>
  <c r="AX114" i="71"/>
  <c r="AX120" i="71"/>
  <c r="AY114" i="71"/>
  <c r="AY120" i="71"/>
  <c r="AZ189" i="71"/>
  <c r="AZ192" i="71"/>
  <c r="AZ196" i="71"/>
  <c r="AZ114" i="71"/>
  <c r="AZ120" i="71"/>
  <c r="BA196" i="71"/>
  <c r="BA114" i="71"/>
  <c r="BA120" i="71"/>
  <c r="BB189" i="71"/>
  <c r="BB192" i="71"/>
  <c r="BB196" i="71"/>
  <c r="BB114" i="71"/>
  <c r="BB120" i="71"/>
  <c r="BC114" i="71"/>
  <c r="BC120" i="71"/>
  <c r="BD189" i="71"/>
  <c r="BD192" i="71"/>
  <c r="BD196" i="71"/>
  <c r="BD114" i="71"/>
  <c r="BD120" i="71"/>
  <c r="BE189" i="71"/>
  <c r="BE192" i="71"/>
  <c r="BE196" i="71"/>
  <c r="BE114" i="71"/>
  <c r="BE120" i="71"/>
  <c r="BF189" i="71"/>
  <c r="BF192" i="71"/>
  <c r="BF196" i="71"/>
  <c r="BF114" i="71"/>
  <c r="BF120" i="71"/>
  <c r="BG189" i="71"/>
  <c r="BG192" i="71"/>
  <c r="BG196" i="71"/>
  <c r="BG114" i="71"/>
  <c r="BG120" i="71"/>
  <c r="BH189" i="71"/>
  <c r="BH192" i="71"/>
  <c r="BH196" i="71"/>
  <c r="BH114" i="71"/>
  <c r="BH120" i="71"/>
  <c r="BI189" i="71"/>
  <c r="BI192" i="71"/>
  <c r="BI196" i="71"/>
  <c r="BI114" i="71"/>
  <c r="BI120" i="71"/>
  <c r="BJ189" i="71"/>
  <c r="BJ192" i="71"/>
  <c r="BJ196" i="71"/>
  <c r="BJ114" i="71"/>
  <c r="BJ120" i="71"/>
  <c r="BK189" i="71"/>
  <c r="BK192" i="71"/>
  <c r="BK196" i="71"/>
  <c r="BK114" i="71"/>
  <c r="BK120" i="71"/>
  <c r="BL189" i="71"/>
  <c r="BL192" i="71"/>
  <c r="BL196" i="71"/>
  <c r="BL114" i="71"/>
  <c r="BL120" i="71"/>
  <c r="BM192" i="71"/>
  <c r="BM196" i="71"/>
  <c r="BM114" i="71"/>
  <c r="BM120" i="71"/>
  <c r="BN120" i="71"/>
  <c r="BO189" i="71"/>
  <c r="BO192" i="71"/>
  <c r="BO196" i="71"/>
  <c r="BO114" i="71"/>
  <c r="BO120" i="71"/>
  <c r="BP189" i="71"/>
  <c r="BP192" i="71"/>
  <c r="BP196" i="71"/>
  <c r="BP114" i="71"/>
  <c r="BP120" i="71"/>
  <c r="BQ189" i="71"/>
  <c r="BQ192" i="71"/>
  <c r="BQ196" i="71"/>
  <c r="BQ114" i="71"/>
  <c r="BQ120" i="71"/>
  <c r="BR189" i="71"/>
  <c r="BR192" i="71"/>
  <c r="BR196" i="71"/>
  <c r="BR114" i="71"/>
  <c r="BR120" i="71"/>
  <c r="BS189" i="71"/>
  <c r="BS192" i="71"/>
  <c r="BS196" i="71"/>
  <c r="BS114" i="71"/>
  <c r="BS120" i="71"/>
  <c r="BT189" i="71"/>
  <c r="BT192" i="71"/>
  <c r="BT196" i="71"/>
  <c r="BT114" i="71"/>
  <c r="BT120" i="71"/>
  <c r="BU189" i="71"/>
  <c r="BU192" i="71"/>
  <c r="BU196" i="71"/>
  <c r="BU114" i="71"/>
  <c r="BU120" i="71"/>
  <c r="BV189" i="71"/>
  <c r="BV192" i="71"/>
  <c r="BV196" i="71"/>
  <c r="BV114" i="71"/>
  <c r="BV120" i="71"/>
  <c r="BW189" i="71"/>
  <c r="BW192" i="71"/>
  <c r="BW196" i="71"/>
  <c r="BW114" i="71"/>
  <c r="BW120" i="71"/>
  <c r="BX189" i="71"/>
  <c r="BX192" i="71"/>
  <c r="BX196" i="71"/>
  <c r="BX114" i="71"/>
  <c r="BX120" i="71"/>
  <c r="BY192" i="71"/>
  <c r="BY196" i="71"/>
  <c r="BY114" i="71"/>
  <c r="BY120" i="71"/>
  <c r="BZ189" i="71"/>
  <c r="BZ192" i="71"/>
  <c r="BZ196" i="71"/>
  <c r="BZ114" i="71"/>
  <c r="BZ120" i="71"/>
  <c r="CA189" i="71"/>
  <c r="CA192" i="71"/>
  <c r="CA196" i="71"/>
  <c r="CA114" i="71"/>
  <c r="CA120" i="71"/>
  <c r="CB189" i="71"/>
  <c r="CB192" i="71"/>
  <c r="CB196" i="71"/>
  <c r="CB114" i="71"/>
  <c r="CB120" i="71"/>
  <c r="CC189" i="71"/>
  <c r="CC192" i="71"/>
  <c r="CC196" i="71"/>
  <c r="CC114" i="71"/>
  <c r="CC120" i="71"/>
  <c r="CD189" i="71"/>
  <c r="CD192" i="71"/>
  <c r="CD196" i="71"/>
  <c r="CD114" i="71"/>
  <c r="CD120" i="71"/>
  <c r="CE189" i="71"/>
  <c r="CE192" i="71"/>
  <c r="CE196" i="71"/>
  <c r="CE114" i="71"/>
  <c r="CE120" i="71"/>
  <c r="CF189" i="71"/>
  <c r="CF192" i="71"/>
  <c r="CF196" i="71"/>
  <c r="CF114" i="71"/>
  <c r="CF120" i="71"/>
  <c r="CG189" i="71"/>
  <c r="CG192" i="71"/>
  <c r="CG196" i="71"/>
  <c r="CG114" i="71"/>
  <c r="CG120" i="71"/>
  <c r="CH189" i="71"/>
  <c r="CH192" i="71"/>
  <c r="CH196" i="71"/>
  <c r="CH114" i="71"/>
  <c r="CH120" i="71"/>
  <c r="CI189" i="71"/>
  <c r="CI192" i="71"/>
  <c r="CI196" i="71"/>
  <c r="CI114" i="71"/>
  <c r="CI120" i="71"/>
  <c r="CJ189" i="71"/>
  <c r="CJ192" i="71"/>
  <c r="CJ196" i="71"/>
  <c r="CJ114" i="71"/>
  <c r="CJ120" i="71"/>
  <c r="CK192" i="71"/>
  <c r="CK196" i="71"/>
  <c r="CK114" i="71"/>
  <c r="CK120" i="71"/>
  <c r="CL189" i="71"/>
  <c r="CL192" i="71"/>
  <c r="CL196" i="71"/>
  <c r="CL114" i="71"/>
  <c r="CL120" i="71"/>
  <c r="CM189" i="71"/>
  <c r="CM192" i="71"/>
  <c r="CM196" i="71"/>
  <c r="CM114" i="71"/>
  <c r="CM120" i="71"/>
  <c r="CN189" i="71"/>
  <c r="CN192" i="71"/>
  <c r="CN196" i="71"/>
  <c r="CN114" i="71"/>
  <c r="CN120" i="71"/>
  <c r="CO189" i="71"/>
  <c r="CO192" i="71"/>
  <c r="CO196" i="71"/>
  <c r="CO114" i="71"/>
  <c r="CO120" i="71"/>
  <c r="CP189" i="71"/>
  <c r="CP192" i="71"/>
  <c r="CP196" i="71"/>
  <c r="CP114" i="71"/>
  <c r="CP120" i="71"/>
  <c r="CQ189" i="71"/>
  <c r="CQ192" i="71"/>
  <c r="CQ196" i="71"/>
  <c r="CQ114" i="71"/>
  <c r="CQ120" i="71"/>
  <c r="CR189" i="71"/>
  <c r="CR192" i="71"/>
  <c r="CR196" i="71"/>
  <c r="CR114" i="71"/>
  <c r="CR120" i="71"/>
  <c r="CS189" i="71"/>
  <c r="CS192" i="71"/>
  <c r="CS196" i="71"/>
  <c r="CS114" i="71"/>
  <c r="CS120" i="71"/>
  <c r="CT189" i="71"/>
  <c r="CT192" i="71"/>
  <c r="CT196" i="71"/>
  <c r="CT114" i="71"/>
  <c r="CT120" i="71"/>
  <c r="CU189" i="71"/>
  <c r="CU192" i="71"/>
  <c r="CU196" i="71"/>
  <c r="CU114" i="71"/>
  <c r="CU120" i="71"/>
  <c r="CV189" i="71"/>
  <c r="CV192" i="71"/>
  <c r="CV196" i="71"/>
  <c r="CV114" i="71"/>
  <c r="CV120" i="71"/>
  <c r="CW114" i="71"/>
  <c r="CW120" i="71"/>
  <c r="CX189" i="71"/>
  <c r="CX192" i="71"/>
  <c r="CX196" i="71"/>
  <c r="CX114" i="71"/>
  <c r="CX120" i="71"/>
  <c r="CY189" i="71"/>
  <c r="CY192" i="71"/>
  <c r="CY196" i="71"/>
  <c r="CY114" i="71"/>
  <c r="CY120" i="71"/>
  <c r="CZ189" i="71"/>
  <c r="CZ192" i="71"/>
  <c r="CZ196" i="71"/>
  <c r="CZ114" i="71"/>
  <c r="CZ120" i="71"/>
  <c r="DA189" i="71"/>
  <c r="DA192" i="71"/>
  <c r="DA196" i="71"/>
  <c r="DA114" i="71"/>
  <c r="DA120" i="71"/>
  <c r="DB189" i="71"/>
  <c r="DB192" i="71"/>
  <c r="DB196" i="71"/>
  <c r="DB114" i="71"/>
  <c r="DB120" i="71"/>
  <c r="DC189" i="71"/>
  <c r="DC192" i="71"/>
  <c r="DC196" i="71"/>
  <c r="DC114" i="71"/>
  <c r="DC120" i="71"/>
  <c r="DD189" i="71"/>
  <c r="DD192" i="71"/>
  <c r="DD196" i="71"/>
  <c r="DD114" i="71"/>
  <c r="DD120" i="71"/>
  <c r="DE189" i="71"/>
  <c r="DE192" i="71"/>
  <c r="DE196" i="71"/>
  <c r="DE114" i="71"/>
  <c r="DE120" i="71"/>
  <c r="DF189" i="71"/>
  <c r="DF192" i="71"/>
  <c r="DF196" i="71"/>
  <c r="DF114" i="71"/>
  <c r="DF120" i="71"/>
  <c r="DG189" i="71"/>
  <c r="DG192" i="71"/>
  <c r="DG196" i="71"/>
  <c r="DG114" i="71"/>
  <c r="DG120" i="71"/>
  <c r="DH189" i="71"/>
  <c r="DH192" i="71"/>
  <c r="DH196" i="71"/>
  <c r="DH114" i="71"/>
  <c r="DH120" i="71"/>
  <c r="DI192" i="71"/>
  <c r="DI196" i="71"/>
  <c r="DI114" i="71"/>
  <c r="DI120" i="71"/>
  <c r="DJ120" i="71"/>
  <c r="DK189" i="71"/>
  <c r="DK192" i="71"/>
  <c r="DK196" i="71"/>
  <c r="DK114" i="71"/>
  <c r="DK120" i="71"/>
  <c r="DL189" i="71"/>
  <c r="DL192" i="71"/>
  <c r="DL196" i="71"/>
  <c r="DL114" i="71"/>
  <c r="DL120" i="71"/>
  <c r="DM189" i="71"/>
  <c r="DM192" i="71"/>
  <c r="DM196" i="71"/>
  <c r="DM114" i="71"/>
  <c r="DM120" i="71"/>
  <c r="DN189" i="71"/>
  <c r="DN192" i="71"/>
  <c r="DN196" i="71"/>
  <c r="DN114" i="71"/>
  <c r="DN120" i="71"/>
  <c r="DO189" i="71"/>
  <c r="DO192" i="71"/>
  <c r="DO196" i="71"/>
  <c r="DO114" i="71"/>
  <c r="DO120" i="71"/>
  <c r="DP189" i="71"/>
  <c r="DP192" i="71"/>
  <c r="DP196" i="71"/>
  <c r="DP114" i="71"/>
  <c r="DP120" i="71"/>
  <c r="DQ189" i="71"/>
  <c r="DQ192" i="71"/>
  <c r="DQ196" i="71"/>
  <c r="DQ114" i="71"/>
  <c r="DQ120" i="71"/>
  <c r="DR189" i="71"/>
  <c r="DR192" i="71"/>
  <c r="DR196" i="71"/>
  <c r="DR114" i="71"/>
  <c r="DR120" i="71"/>
  <c r="DS189" i="71"/>
  <c r="DS192" i="71"/>
  <c r="DS196" i="71"/>
  <c r="DS114" i="71"/>
  <c r="DS120" i="71"/>
  <c r="DT189" i="71"/>
  <c r="DT192" i="71"/>
  <c r="DT196" i="71"/>
  <c r="DT114" i="71"/>
  <c r="DT120" i="71"/>
  <c r="DU192" i="71"/>
  <c r="DU196" i="71"/>
  <c r="DU114" i="71"/>
  <c r="DU120" i="71"/>
  <c r="DV115" i="71"/>
  <c r="DV120" i="71"/>
  <c r="DW115" i="71"/>
  <c r="DW120" i="71"/>
  <c r="DX115" i="71"/>
  <c r="DX120" i="71"/>
  <c r="DY115" i="71"/>
  <c r="DY120" i="71"/>
  <c r="DZ115" i="71"/>
  <c r="DZ120" i="71"/>
  <c r="EA115" i="71"/>
  <c r="EA120" i="71"/>
  <c r="EB115" i="71"/>
  <c r="EB120" i="71"/>
  <c r="EC115" i="71"/>
  <c r="EC120" i="71"/>
  <c r="ED115" i="71"/>
  <c r="ED120" i="71"/>
  <c r="EE115" i="71"/>
  <c r="EE120" i="71"/>
  <c r="EF115" i="71"/>
  <c r="EF120" i="71"/>
  <c r="EG115" i="71"/>
  <c r="EG120" i="71"/>
  <c r="C121" i="71"/>
  <c r="AL123" i="71"/>
  <c r="BH124" i="71"/>
  <c r="BK124" i="71"/>
  <c r="BM124" i="71"/>
  <c r="BO124" i="71"/>
  <c r="BQ124" i="71"/>
  <c r="BS124" i="71"/>
  <c r="BU124" i="71"/>
  <c r="BW124" i="71"/>
  <c r="BY124" i="71"/>
  <c r="CA124" i="71"/>
  <c r="CB124" i="71"/>
  <c r="CD124" i="71"/>
  <c r="CF124" i="71"/>
  <c r="CH124" i="71"/>
  <c r="CJ124" i="71"/>
  <c r="CL124" i="71"/>
  <c r="CN124" i="71"/>
  <c r="CP124" i="71"/>
  <c r="CR124" i="71"/>
  <c r="CT124" i="71"/>
  <c r="CV124" i="71"/>
  <c r="CX124" i="71"/>
  <c r="CZ124" i="71"/>
  <c r="DB124" i="71"/>
  <c r="DD124" i="71"/>
  <c r="DW124" i="71"/>
  <c r="DY124" i="71"/>
  <c r="EA124" i="71"/>
  <c r="EC124" i="71"/>
  <c r="EF124" i="71"/>
  <c r="F125" i="71"/>
  <c r="N125" i="71"/>
  <c r="P125" i="71"/>
  <c r="R125" i="71"/>
  <c r="W125" i="71"/>
  <c r="AB125" i="71"/>
  <c r="AM125" i="71"/>
  <c r="AO125" i="71"/>
  <c r="AP125" i="71"/>
  <c r="AV125" i="71"/>
  <c r="AY125" i="71"/>
  <c r="BP125" i="71"/>
  <c r="BU125" i="71"/>
  <c r="CB125" i="71"/>
  <c r="CD125" i="71"/>
  <c r="CF125" i="71"/>
  <c r="CM125" i="71"/>
  <c r="CN125" i="71"/>
  <c r="CP125" i="71"/>
  <c r="CR125" i="71"/>
  <c r="CT125" i="71"/>
  <c r="DD125" i="71"/>
  <c r="DJ125" i="71"/>
  <c r="DK125" i="71"/>
  <c r="DM125" i="71"/>
  <c r="DQ125" i="71"/>
  <c r="DR125" i="71"/>
  <c r="DT125" i="71"/>
  <c r="DY125" i="71"/>
  <c r="EB125" i="71"/>
  <c r="AQ184" i="71"/>
  <c r="AQ180" i="71"/>
  <c r="AQ31" i="71"/>
  <c r="AQ128" i="71"/>
  <c r="AW31" i="71"/>
  <c r="AW128" i="71"/>
  <c r="BC184" i="71"/>
  <c r="BC180" i="71"/>
  <c r="BC31" i="71"/>
  <c r="BC128" i="71"/>
  <c r="BX128" i="71"/>
  <c r="CI184" i="71"/>
  <c r="CI180" i="71"/>
  <c r="CI31" i="71"/>
  <c r="CI128" i="71"/>
  <c r="CS184" i="71"/>
  <c r="CS180" i="71"/>
  <c r="CS31" i="71"/>
  <c r="CS128" i="71"/>
  <c r="CV31" i="71"/>
  <c r="CV128" i="71"/>
  <c r="CZ180" i="71"/>
  <c r="CZ31" i="71"/>
  <c r="CZ128" i="71"/>
  <c r="DE180" i="71"/>
  <c r="DE31" i="71"/>
  <c r="DE128" i="71"/>
  <c r="DI180" i="71"/>
  <c r="DI31" i="71"/>
  <c r="DI128" i="71"/>
  <c r="DJ128" i="71"/>
  <c r="DV184" i="71"/>
  <c r="DV180" i="71"/>
  <c r="DV31" i="71"/>
  <c r="DV128" i="71"/>
  <c r="EB184" i="71"/>
  <c r="EB180" i="71"/>
  <c r="EB31" i="71"/>
  <c r="EB128" i="71"/>
  <c r="AT183" i="71"/>
  <c r="AT32" i="71"/>
  <c r="AT129" i="71"/>
  <c r="AV183" i="71"/>
  <c r="AV32" i="71"/>
  <c r="AV129" i="71"/>
  <c r="AX129" i="71"/>
  <c r="AY183" i="71"/>
  <c r="AY32" i="71"/>
  <c r="AY129" i="71"/>
  <c r="BG183" i="71"/>
  <c r="BG32" i="71"/>
  <c r="BG129" i="71"/>
  <c r="BJ183" i="71"/>
  <c r="BJ32" i="71"/>
  <c r="BJ129" i="71"/>
  <c r="BP183" i="71"/>
  <c r="BP32" i="71"/>
  <c r="BP129" i="71"/>
  <c r="BR183" i="71"/>
  <c r="BR32" i="71"/>
  <c r="BR129" i="71"/>
  <c r="BW183" i="71"/>
  <c r="BW32" i="71"/>
  <c r="BW129" i="71"/>
  <c r="CE183" i="71"/>
  <c r="CE32" i="71"/>
  <c r="CE129" i="71"/>
  <c r="CG183" i="71"/>
  <c r="CG32" i="71"/>
  <c r="CG129" i="71"/>
  <c r="CJ183" i="71"/>
  <c r="CJ32" i="71"/>
  <c r="CJ129" i="71"/>
  <c r="CQ183" i="71"/>
  <c r="CQ32" i="71"/>
  <c r="CQ129" i="71"/>
  <c r="CT183" i="71"/>
  <c r="CT32" i="71"/>
  <c r="CT129" i="71"/>
  <c r="DD129" i="71"/>
  <c r="DG129" i="71"/>
  <c r="DN32" i="71"/>
  <c r="DN129" i="71"/>
  <c r="DV183" i="71"/>
  <c r="DV32" i="71"/>
  <c r="DV129" i="71"/>
  <c r="DX183" i="71"/>
  <c r="DX32" i="71"/>
  <c r="DX129" i="71"/>
  <c r="DZ32" i="71"/>
  <c r="DZ129" i="71"/>
  <c r="EC32" i="71"/>
  <c r="EC129" i="71"/>
  <c r="E123" i="71"/>
  <c r="E131" i="71"/>
  <c r="F131" i="71"/>
  <c r="G124" i="71"/>
  <c r="G131" i="71"/>
  <c r="H124" i="71"/>
  <c r="H131" i="71"/>
  <c r="I124" i="71"/>
  <c r="I131" i="71"/>
  <c r="J124" i="71"/>
  <c r="J131" i="71"/>
  <c r="K124" i="71"/>
  <c r="K131" i="71"/>
  <c r="L124" i="71"/>
  <c r="L131" i="71"/>
  <c r="M124" i="71"/>
  <c r="M131" i="71"/>
  <c r="N124" i="71"/>
  <c r="N131" i="71"/>
  <c r="O124" i="71"/>
  <c r="O131" i="71"/>
  <c r="P124" i="71"/>
  <c r="P131" i="71"/>
  <c r="Q124" i="71"/>
  <c r="Q131" i="71"/>
  <c r="R131" i="71"/>
  <c r="S124" i="71"/>
  <c r="S131" i="71"/>
  <c r="T124" i="71"/>
  <c r="T131" i="71"/>
  <c r="U124" i="71"/>
  <c r="U131" i="71"/>
  <c r="V124" i="71"/>
  <c r="V131" i="71"/>
  <c r="W124" i="71"/>
  <c r="W131" i="71"/>
  <c r="X124" i="71"/>
  <c r="X131" i="71"/>
  <c r="Y124" i="71"/>
  <c r="Y131" i="71"/>
  <c r="Z124" i="71"/>
  <c r="Z131" i="71"/>
  <c r="AA124" i="71"/>
  <c r="AA131" i="71"/>
  <c r="AB124" i="71"/>
  <c r="AB131" i="71"/>
  <c r="AC124" i="71"/>
  <c r="AC131" i="71"/>
  <c r="AD124" i="71"/>
  <c r="AD131" i="71"/>
  <c r="AE124" i="71"/>
  <c r="AE131" i="71"/>
  <c r="AF124" i="71"/>
  <c r="AF131" i="71"/>
  <c r="AG124" i="71"/>
  <c r="AG131" i="71"/>
  <c r="AH124" i="71"/>
  <c r="AH131" i="71"/>
  <c r="AI124" i="71"/>
  <c r="AI131" i="71"/>
  <c r="AJ124" i="71"/>
  <c r="AJ131" i="71"/>
  <c r="AK124" i="71"/>
  <c r="AK131" i="71"/>
  <c r="AL131" i="71"/>
  <c r="AM124" i="71"/>
  <c r="AM131" i="71"/>
  <c r="AN124" i="71"/>
  <c r="AN131" i="71"/>
  <c r="AO124" i="71"/>
  <c r="AO131" i="71"/>
  <c r="AP123" i="71"/>
  <c r="AP131" i="71"/>
  <c r="AQ124" i="71"/>
  <c r="AQ131" i="71"/>
  <c r="AR124" i="71"/>
  <c r="AR131" i="71"/>
  <c r="AS124" i="71"/>
  <c r="AS131" i="71"/>
  <c r="AT124" i="71"/>
  <c r="AT131" i="71"/>
  <c r="AU124" i="71"/>
  <c r="AU131" i="71"/>
  <c r="AV124" i="71"/>
  <c r="AV131" i="71"/>
  <c r="AW124" i="71"/>
  <c r="AW131" i="71"/>
  <c r="AX124" i="71"/>
  <c r="AX131" i="71"/>
  <c r="AY124" i="71"/>
  <c r="AY131" i="71"/>
  <c r="AZ124" i="71"/>
  <c r="AZ131" i="71"/>
  <c r="BA124" i="71"/>
  <c r="BA131" i="71"/>
  <c r="BB123" i="71"/>
  <c r="BB131" i="71"/>
  <c r="BC124" i="71"/>
  <c r="BC131" i="71"/>
  <c r="BD124" i="71"/>
  <c r="BD131" i="71"/>
  <c r="BE124" i="71"/>
  <c r="BE131" i="71"/>
  <c r="BF124" i="71"/>
  <c r="BF131" i="71"/>
  <c r="BG124" i="71"/>
  <c r="BG131" i="71"/>
  <c r="BH131" i="71"/>
  <c r="BI124" i="71"/>
  <c r="BI131" i="71"/>
  <c r="BJ124" i="71"/>
  <c r="BJ131" i="71"/>
  <c r="BK131" i="71"/>
  <c r="BL124" i="71"/>
  <c r="BL131" i="71"/>
  <c r="BM131" i="71"/>
  <c r="BN124" i="71"/>
  <c r="BN131" i="71"/>
  <c r="BO131" i="71"/>
  <c r="BP124" i="71"/>
  <c r="BP131" i="71"/>
  <c r="BQ131" i="71"/>
  <c r="BR124" i="71"/>
  <c r="BR131" i="71"/>
  <c r="BS131" i="71"/>
  <c r="BT124" i="71"/>
  <c r="BT131" i="71"/>
  <c r="BU131" i="71"/>
  <c r="BV124" i="71"/>
  <c r="BV131" i="71"/>
  <c r="BW131" i="71"/>
  <c r="BX124" i="71"/>
  <c r="BX131" i="71"/>
  <c r="BY131" i="71"/>
  <c r="BZ124" i="71"/>
  <c r="BZ131" i="71"/>
  <c r="CA131" i="71"/>
  <c r="CB131" i="71"/>
  <c r="CC124" i="71"/>
  <c r="CC131" i="71"/>
  <c r="CD131" i="71"/>
  <c r="CE124" i="71"/>
  <c r="CE131" i="71"/>
  <c r="CF131" i="71"/>
  <c r="CG124" i="71"/>
  <c r="CG131" i="71"/>
  <c r="CH131" i="71"/>
  <c r="CI124" i="71"/>
  <c r="CI131" i="71"/>
  <c r="CJ131" i="71"/>
  <c r="CK124" i="71"/>
  <c r="CK131" i="71"/>
  <c r="CL131" i="71"/>
  <c r="CM124" i="71"/>
  <c r="CM131" i="71"/>
  <c r="CN131" i="71"/>
  <c r="CO124" i="71"/>
  <c r="CO131" i="71"/>
  <c r="CP131" i="71"/>
  <c r="CQ124" i="71"/>
  <c r="CQ131" i="71"/>
  <c r="CR131" i="71"/>
  <c r="CS124" i="71"/>
  <c r="CS131" i="71"/>
  <c r="CT131" i="71"/>
  <c r="CU124" i="71"/>
  <c r="CU131" i="71"/>
  <c r="CV131" i="71"/>
  <c r="CW124" i="71"/>
  <c r="CW131" i="71"/>
  <c r="CX131" i="71"/>
  <c r="CY124" i="71"/>
  <c r="CY131" i="71"/>
  <c r="CZ131" i="71"/>
  <c r="DA124" i="71"/>
  <c r="DA131" i="71"/>
  <c r="DB131" i="71"/>
  <c r="DC124" i="71"/>
  <c r="DC131" i="71"/>
  <c r="DD131" i="71"/>
  <c r="DE124" i="71"/>
  <c r="DE131" i="71"/>
  <c r="DF124" i="71"/>
  <c r="DF131" i="71"/>
  <c r="DG124" i="71"/>
  <c r="DG131" i="71"/>
  <c r="DH124" i="71"/>
  <c r="DH131" i="71"/>
  <c r="DI124" i="71"/>
  <c r="DI131" i="71"/>
  <c r="DJ124" i="71"/>
  <c r="DJ131" i="71"/>
  <c r="DK124" i="71"/>
  <c r="DK131" i="71"/>
  <c r="DL124" i="71"/>
  <c r="DL131" i="71"/>
  <c r="DM124" i="71"/>
  <c r="DM131" i="71"/>
  <c r="DN124" i="71"/>
  <c r="DN131" i="71"/>
  <c r="DO124" i="71"/>
  <c r="DO131" i="71"/>
  <c r="DP124" i="71"/>
  <c r="DP131" i="71"/>
  <c r="DQ124" i="71"/>
  <c r="DQ131" i="71"/>
  <c r="DR124" i="71"/>
  <c r="DR131" i="71"/>
  <c r="DS124" i="71"/>
  <c r="DS131" i="71"/>
  <c r="DT124" i="71"/>
  <c r="DT131" i="71"/>
  <c r="DU124" i="71"/>
  <c r="DU131" i="71"/>
  <c r="DV124" i="71"/>
  <c r="DV131" i="71"/>
  <c r="DW131" i="71"/>
  <c r="DX124" i="71"/>
  <c r="DX131" i="71"/>
  <c r="DY131" i="71"/>
  <c r="DZ124" i="71"/>
  <c r="DZ131" i="71"/>
  <c r="EA131" i="71"/>
  <c r="EB124" i="71"/>
  <c r="EB131" i="71"/>
  <c r="EC131" i="71"/>
  <c r="ED124" i="71"/>
  <c r="ED131" i="71"/>
  <c r="EE124" i="71"/>
  <c r="EE131" i="71"/>
  <c r="EF131" i="71"/>
  <c r="EG173" i="71"/>
  <c r="EG124" i="71"/>
  <c r="EG131" i="71"/>
  <c r="C132" i="71"/>
  <c r="K152" i="71"/>
  <c r="L37" i="71"/>
  <c r="L134" i="71"/>
  <c r="AD134" i="71"/>
  <c r="AQ152" i="71"/>
  <c r="AR37" i="71"/>
  <c r="AR134" i="71"/>
  <c r="BG152" i="71"/>
  <c r="BH37" i="71"/>
  <c r="BH134" i="71"/>
  <c r="BO134" i="71"/>
  <c r="BW134" i="71"/>
  <c r="CF152" i="71"/>
  <c r="CG37" i="71"/>
  <c r="CG134" i="71"/>
  <c r="CI134" i="71"/>
  <c r="CR152" i="71"/>
  <c r="CS37" i="71"/>
  <c r="CS134" i="71"/>
  <c r="CV152" i="71"/>
  <c r="CW37" i="71"/>
  <c r="CW134" i="71"/>
  <c r="CY134" i="71"/>
  <c r="DG152" i="71"/>
  <c r="DH37" i="71"/>
  <c r="DH134" i="71"/>
  <c r="DI134" i="71"/>
  <c r="DO134" i="71"/>
  <c r="DV134" i="71"/>
  <c r="DW152" i="71"/>
  <c r="DX37" i="71"/>
  <c r="DX134" i="71"/>
  <c r="DY152" i="71"/>
  <c r="DZ37" i="71"/>
  <c r="DZ134" i="71"/>
  <c r="E135" i="71"/>
  <c r="F135" i="71"/>
  <c r="F152" i="71"/>
  <c r="G37" i="71"/>
  <c r="G134" i="71"/>
  <c r="G135" i="71"/>
  <c r="H134" i="71"/>
  <c r="H135" i="71"/>
  <c r="I134" i="71"/>
  <c r="I135" i="71"/>
  <c r="I152" i="71"/>
  <c r="J37" i="71"/>
  <c r="J134" i="71"/>
  <c r="J135" i="71"/>
  <c r="K134" i="71"/>
  <c r="K135" i="71"/>
  <c r="L135" i="71"/>
  <c r="M37" i="71"/>
  <c r="M134" i="71"/>
  <c r="M135" i="71"/>
  <c r="N134" i="71"/>
  <c r="N135" i="71"/>
  <c r="N152" i="71"/>
  <c r="O37" i="71"/>
  <c r="O134" i="71"/>
  <c r="O135" i="71"/>
  <c r="P134" i="71"/>
  <c r="P135" i="71"/>
  <c r="P152" i="71"/>
  <c r="Q37" i="71"/>
  <c r="Q134" i="71"/>
  <c r="Q135" i="71"/>
  <c r="R135" i="71"/>
  <c r="R152" i="71"/>
  <c r="S37" i="71"/>
  <c r="S134" i="71"/>
  <c r="S135" i="71"/>
  <c r="T135" i="71"/>
  <c r="T152" i="71"/>
  <c r="U37" i="71"/>
  <c r="U134" i="71"/>
  <c r="U135" i="71"/>
  <c r="V134" i="71"/>
  <c r="V135" i="71"/>
  <c r="V152" i="71"/>
  <c r="W37" i="71"/>
  <c r="W134" i="71"/>
  <c r="W135" i="71"/>
  <c r="X135" i="71"/>
  <c r="X152" i="71"/>
  <c r="Y37" i="71"/>
  <c r="Y134" i="71"/>
  <c r="Y135" i="71"/>
  <c r="Z37" i="71"/>
  <c r="Z134" i="71"/>
  <c r="Z135" i="71"/>
  <c r="Z152" i="71"/>
  <c r="AA37" i="71"/>
  <c r="AA134" i="71"/>
  <c r="AA135" i="71"/>
  <c r="AB134" i="71"/>
  <c r="AB135" i="71"/>
  <c r="AC135" i="71"/>
  <c r="AD135" i="71"/>
  <c r="AE135" i="71"/>
  <c r="AE152" i="71"/>
  <c r="AF37" i="71"/>
  <c r="AF134" i="71"/>
  <c r="AF135" i="71"/>
  <c r="AG134" i="71"/>
  <c r="AG135" i="71"/>
  <c r="AG152" i="71"/>
  <c r="AH37" i="71"/>
  <c r="AH134" i="71"/>
  <c r="AH135" i="71"/>
  <c r="AI134" i="71"/>
  <c r="AI135" i="71"/>
  <c r="AI152" i="71"/>
  <c r="AJ37" i="71"/>
  <c r="AJ134" i="71"/>
  <c r="AJ135" i="71"/>
  <c r="AK37" i="71"/>
  <c r="AK134" i="71"/>
  <c r="AK135" i="71"/>
  <c r="AK152" i="71"/>
  <c r="AL37" i="71"/>
  <c r="AL134" i="71"/>
  <c r="AL135" i="71"/>
  <c r="AM135" i="71"/>
  <c r="AM152" i="71"/>
  <c r="AN37" i="71"/>
  <c r="AN134" i="71"/>
  <c r="AN135" i="71"/>
  <c r="AO134" i="71"/>
  <c r="AO135" i="71"/>
  <c r="AP134" i="71"/>
  <c r="AP135" i="71"/>
  <c r="AQ134" i="71"/>
  <c r="AQ135" i="71"/>
  <c r="AR135" i="71"/>
  <c r="AS135" i="71"/>
  <c r="AT134" i="71"/>
  <c r="AT135" i="71"/>
  <c r="AT152" i="71"/>
  <c r="AU37" i="71"/>
  <c r="AU134" i="71"/>
  <c r="AU135" i="71"/>
  <c r="AV134" i="71"/>
  <c r="AV135" i="71"/>
  <c r="AV152" i="71"/>
  <c r="AW37" i="71"/>
  <c r="AW134" i="71"/>
  <c r="AW135" i="71"/>
  <c r="AX37" i="71"/>
  <c r="AX134" i="71"/>
  <c r="AX135" i="71"/>
  <c r="AX152" i="71"/>
  <c r="AY37" i="71"/>
  <c r="AY134" i="71"/>
  <c r="AY135" i="71"/>
  <c r="AZ134" i="71"/>
  <c r="AZ135" i="71"/>
  <c r="AZ152" i="71"/>
  <c r="BA37" i="71"/>
  <c r="BA134" i="71"/>
  <c r="BA135" i="71"/>
  <c r="BB134" i="71"/>
  <c r="BB135" i="71"/>
  <c r="BB152" i="71"/>
  <c r="BC37" i="71"/>
  <c r="BC134" i="71"/>
  <c r="BC135" i="71"/>
  <c r="BD134" i="71"/>
  <c r="BD135" i="71"/>
  <c r="BD152" i="71"/>
  <c r="BE37" i="71"/>
  <c r="BE134" i="71"/>
  <c r="BE135" i="71"/>
  <c r="BF134" i="71"/>
  <c r="BF135" i="71"/>
  <c r="BF152" i="71"/>
  <c r="BG37" i="71"/>
  <c r="BG134" i="71"/>
  <c r="BG135" i="71"/>
  <c r="BH135" i="71"/>
  <c r="BI134" i="71"/>
  <c r="BI135" i="71"/>
  <c r="BJ37" i="71"/>
  <c r="BJ134" i="71"/>
  <c r="BJ135" i="71"/>
  <c r="BJ152" i="71"/>
  <c r="BK37" i="71"/>
  <c r="BK134" i="71"/>
  <c r="BK135" i="71"/>
  <c r="BL134" i="71"/>
  <c r="BL135" i="71"/>
  <c r="BL152" i="71"/>
  <c r="BM37" i="71"/>
  <c r="BM134" i="71"/>
  <c r="BM135" i="71"/>
  <c r="BN134" i="71"/>
  <c r="BN135" i="71"/>
  <c r="BO135" i="71"/>
  <c r="BP134" i="71"/>
  <c r="BP135" i="71"/>
  <c r="BP152" i="71"/>
  <c r="BQ37" i="71"/>
  <c r="BQ134" i="71"/>
  <c r="BQ135" i="71"/>
  <c r="BR134" i="71"/>
  <c r="BR135" i="71"/>
  <c r="BR152" i="71"/>
  <c r="BS37" i="71"/>
  <c r="BS134" i="71"/>
  <c r="BS135" i="71"/>
  <c r="BT135" i="71"/>
  <c r="BT152" i="71"/>
  <c r="BU37" i="71"/>
  <c r="BU134" i="71"/>
  <c r="BU135" i="71"/>
  <c r="BV134" i="71"/>
  <c r="BV135" i="71"/>
  <c r="BW135" i="71"/>
  <c r="BX134" i="71"/>
  <c r="BX135" i="71"/>
  <c r="BX152" i="71"/>
  <c r="BY37" i="71"/>
  <c r="BY134" i="71"/>
  <c r="BY135" i="71"/>
  <c r="BZ134" i="71"/>
  <c r="BZ135" i="71"/>
  <c r="BZ152" i="71"/>
  <c r="CA37" i="71"/>
  <c r="CA134" i="71"/>
  <c r="CA135" i="71"/>
  <c r="CB37" i="71"/>
  <c r="CB134" i="71"/>
  <c r="CB135" i="71"/>
  <c r="CB152" i="71"/>
  <c r="CC37" i="71"/>
  <c r="CC134" i="71"/>
  <c r="CC135" i="71"/>
  <c r="CD134" i="71"/>
  <c r="CD135" i="71"/>
  <c r="CD152" i="71"/>
  <c r="CE37" i="71"/>
  <c r="CE134" i="71"/>
  <c r="CE135" i="71"/>
  <c r="CF134" i="71"/>
  <c r="CF135" i="71"/>
  <c r="CG135" i="71"/>
  <c r="CG152" i="71"/>
  <c r="CH37" i="71"/>
  <c r="CH134" i="71"/>
  <c r="CH135" i="71"/>
  <c r="CI135" i="71"/>
  <c r="CI152" i="71"/>
  <c r="CJ37" i="71"/>
  <c r="CJ134" i="71"/>
  <c r="CJ135" i="71"/>
  <c r="CK134" i="71"/>
  <c r="CK135" i="71"/>
  <c r="CL134" i="71"/>
  <c r="CL135" i="71"/>
  <c r="CM37" i="71"/>
  <c r="CM134" i="71"/>
  <c r="CM135" i="71"/>
  <c r="CM152" i="71"/>
  <c r="CN37" i="71"/>
  <c r="CN134" i="71"/>
  <c r="CN135" i="71"/>
  <c r="CO134" i="71"/>
  <c r="CO135" i="71"/>
  <c r="CP135" i="71"/>
  <c r="CP152" i="71"/>
  <c r="CQ37" i="71"/>
  <c r="CQ134" i="71"/>
  <c r="CQ135" i="71"/>
  <c r="CR135" i="71"/>
  <c r="CS135" i="71"/>
  <c r="CT37" i="71"/>
  <c r="CT134" i="71"/>
  <c r="CT135" i="71"/>
  <c r="CT152" i="71"/>
  <c r="CU37" i="71"/>
  <c r="CU134" i="71"/>
  <c r="CU135" i="71"/>
  <c r="CV134" i="71"/>
  <c r="CV135" i="71"/>
  <c r="CW135" i="71"/>
  <c r="CX134" i="71"/>
  <c r="CX135" i="71"/>
  <c r="CY135" i="71"/>
  <c r="CZ134" i="71"/>
  <c r="CZ135" i="71"/>
  <c r="CZ152" i="71"/>
  <c r="DA37" i="71"/>
  <c r="DA134" i="71"/>
  <c r="DA135" i="71"/>
  <c r="DB134" i="71"/>
  <c r="DB135" i="71"/>
  <c r="DC135" i="71"/>
  <c r="DC152" i="71"/>
  <c r="DD37" i="71"/>
  <c r="DD134" i="71"/>
  <c r="DD135" i="71"/>
  <c r="DD152" i="71"/>
  <c r="DE37" i="71"/>
  <c r="DE134" i="71"/>
  <c r="DE135" i="71"/>
  <c r="DE152" i="71"/>
  <c r="DF37" i="71"/>
  <c r="DF134" i="71"/>
  <c r="DF135" i="71"/>
  <c r="DF152" i="71"/>
  <c r="DG37" i="71"/>
  <c r="DG134" i="71"/>
  <c r="DG135" i="71"/>
  <c r="DH135" i="71"/>
  <c r="DI135" i="71"/>
  <c r="DJ134" i="71"/>
  <c r="DJ135" i="71"/>
  <c r="DJ152" i="71"/>
  <c r="DK37" i="71"/>
  <c r="DK134" i="71"/>
  <c r="DK135" i="71"/>
  <c r="DK152" i="71"/>
  <c r="DL37" i="71"/>
  <c r="DL134" i="71"/>
  <c r="DL135" i="71"/>
  <c r="DL152" i="71"/>
  <c r="DM37" i="71"/>
  <c r="DM134" i="71"/>
  <c r="DM135" i="71"/>
  <c r="DM152" i="71"/>
  <c r="DN37" i="71"/>
  <c r="DN134" i="71"/>
  <c r="DN135" i="71"/>
  <c r="DO135" i="71"/>
  <c r="DO152" i="71"/>
  <c r="DP37" i="71"/>
  <c r="DP134" i="71"/>
  <c r="DP135" i="71"/>
  <c r="DP152" i="71"/>
  <c r="DQ37" i="71"/>
  <c r="DQ134" i="71"/>
  <c r="DQ135" i="71"/>
  <c r="DQ152" i="71"/>
  <c r="DR37" i="71"/>
  <c r="DR134" i="71"/>
  <c r="DR135" i="71"/>
  <c r="DR152" i="71"/>
  <c r="DS37" i="71"/>
  <c r="DS134" i="71"/>
  <c r="DS135" i="71"/>
  <c r="DS152" i="71"/>
  <c r="DT37" i="71"/>
  <c r="DT134" i="71"/>
  <c r="DT135" i="71"/>
  <c r="DT152" i="71"/>
  <c r="DU37" i="71"/>
  <c r="DU134" i="71"/>
  <c r="DU135" i="71"/>
  <c r="DV135" i="71"/>
  <c r="DV152" i="71"/>
  <c r="DW37" i="71"/>
  <c r="DW134" i="71"/>
  <c r="DW135" i="71"/>
  <c r="DX135" i="71"/>
  <c r="DY134" i="71"/>
  <c r="DY135" i="71"/>
  <c r="DZ135" i="71"/>
  <c r="EA134" i="71"/>
  <c r="EA135" i="71"/>
  <c r="EA152" i="71"/>
  <c r="EB37" i="71"/>
  <c r="EB134" i="71"/>
  <c r="EB135" i="71"/>
  <c r="EC135" i="71"/>
  <c r="EC152" i="71"/>
  <c r="ED37" i="71"/>
  <c r="ED134" i="71"/>
  <c r="ED135" i="71"/>
  <c r="EE135" i="71"/>
  <c r="EE152" i="71"/>
  <c r="EF37" i="71"/>
  <c r="EF134" i="71"/>
  <c r="EF135" i="71"/>
  <c r="EG134" i="71"/>
  <c r="EG135" i="71"/>
  <c r="C136" i="71"/>
  <c r="C140" i="71"/>
  <c r="C141" i="71"/>
  <c r="C142" i="71" a="1"/>
  <c r="C142" i="71"/>
  <c r="C150" i="71"/>
  <c r="I150" i="71"/>
  <c r="L150" i="71"/>
  <c r="N150" i="71"/>
  <c r="P150" i="71"/>
  <c r="R150" i="71"/>
  <c r="T150" i="71"/>
  <c r="V150" i="71"/>
  <c r="X150" i="71"/>
  <c r="AA150" i="71"/>
  <c r="AC150" i="71"/>
  <c r="AE150" i="71"/>
  <c r="AG150" i="71"/>
  <c r="AI150" i="71"/>
  <c r="AK150" i="71"/>
  <c r="AM150" i="71"/>
  <c r="AO150" i="71"/>
  <c r="AQ150" i="71"/>
  <c r="AS150" i="71"/>
  <c r="AU150" i="71"/>
  <c r="AW150" i="71"/>
  <c r="AY150" i="71"/>
  <c r="AZ150" i="71"/>
  <c r="BB150" i="71"/>
  <c r="BD150" i="71"/>
  <c r="BF150" i="71"/>
  <c r="BH150" i="71"/>
  <c r="BJ150" i="71"/>
  <c r="BL150" i="71"/>
  <c r="BN150" i="71"/>
  <c r="BP150" i="71"/>
  <c r="BR150" i="71"/>
  <c r="BT150" i="71"/>
  <c r="BV150" i="71"/>
  <c r="BX150" i="71"/>
  <c r="BZ150" i="71"/>
  <c r="CB150" i="71"/>
  <c r="CD150" i="71"/>
  <c r="CF150" i="71"/>
  <c r="CH150" i="71"/>
  <c r="CJ150" i="71"/>
  <c r="CL150" i="71"/>
  <c r="CN150" i="71"/>
  <c r="CP150" i="71"/>
  <c r="CQ150" i="71"/>
  <c r="CS150" i="71"/>
  <c r="CU150" i="71"/>
  <c r="CW150" i="71"/>
  <c r="CY150" i="71"/>
  <c r="DA150" i="71"/>
  <c r="DC150" i="71"/>
  <c r="DE150" i="71"/>
  <c r="DG150" i="71"/>
  <c r="DI150" i="71"/>
  <c r="DK150" i="71"/>
  <c r="DM150" i="71"/>
  <c r="DO150" i="71"/>
  <c r="DQ150" i="71"/>
  <c r="DS150" i="71"/>
  <c r="DU150" i="71"/>
  <c r="DW150" i="71"/>
  <c r="DY150" i="71"/>
  <c r="EA150" i="71"/>
  <c r="EC150" i="71"/>
  <c r="EE150" i="71"/>
  <c r="EG150" i="71"/>
  <c r="EG152" i="71"/>
  <c r="L163" i="71"/>
  <c r="L166" i="71"/>
  <c r="P163" i="71"/>
  <c r="P166" i="71"/>
  <c r="R166" i="71"/>
  <c r="T163" i="71"/>
  <c r="T166" i="71"/>
  <c r="V163" i="71"/>
  <c r="V166" i="71"/>
  <c r="X163" i="71"/>
  <c r="X166" i="71"/>
  <c r="Z163" i="71"/>
  <c r="Z166" i="71"/>
  <c r="AB163" i="71"/>
  <c r="AB166" i="71"/>
  <c r="AD166" i="71"/>
  <c r="AE163" i="71"/>
  <c r="AE166" i="71"/>
  <c r="AG163" i="71"/>
  <c r="AG166" i="71"/>
  <c r="AI163" i="71"/>
  <c r="AI166" i="71"/>
  <c r="AK163" i="71"/>
  <c r="AK166" i="71"/>
  <c r="AM163" i="71"/>
  <c r="AM166" i="71"/>
  <c r="AO163" i="71"/>
  <c r="AO166" i="71"/>
  <c r="AQ163" i="71"/>
  <c r="AQ166" i="71"/>
  <c r="AS163" i="71"/>
  <c r="AS166" i="71"/>
  <c r="AU163" i="71"/>
  <c r="AU166" i="71"/>
  <c r="AW163" i="71"/>
  <c r="AW166" i="71"/>
  <c r="AY163" i="71"/>
  <c r="AY166" i="71"/>
  <c r="BA163" i="71"/>
  <c r="BA166" i="71"/>
  <c r="BC163" i="71"/>
  <c r="BC166" i="71"/>
  <c r="BE163" i="71"/>
  <c r="BE166" i="71"/>
  <c r="BG163" i="71"/>
  <c r="BG166" i="71"/>
  <c r="BI163" i="71"/>
  <c r="BI166" i="71"/>
  <c r="BO163" i="71"/>
  <c r="BO166" i="71"/>
  <c r="BQ163" i="71"/>
  <c r="BQ166" i="71"/>
  <c r="BS163" i="71"/>
  <c r="BS166" i="71"/>
  <c r="BU163" i="71"/>
  <c r="BU166" i="71"/>
  <c r="BW163" i="71"/>
  <c r="BW166" i="71"/>
  <c r="CH163" i="71"/>
  <c r="CH166" i="71"/>
  <c r="CJ163" i="71"/>
  <c r="CJ166" i="71"/>
  <c r="CL166" i="71"/>
  <c r="CN163" i="71"/>
  <c r="CN166" i="71"/>
  <c r="CR163" i="71"/>
  <c r="CR166" i="71"/>
  <c r="BB174" i="71"/>
  <c r="AY184" i="71"/>
  <c r="AY180" i="71"/>
  <c r="BH184" i="71"/>
  <c r="BH180" i="71"/>
  <c r="BK184" i="71"/>
  <c r="BK180" i="71"/>
  <c r="BN184" i="71"/>
  <c r="BN180" i="71"/>
  <c r="BP184" i="71"/>
  <c r="BP180" i="71"/>
  <c r="BY184" i="71"/>
  <c r="BY180" i="71"/>
  <c r="CX184" i="71"/>
  <c r="CX180" i="71"/>
  <c r="DB184" i="71"/>
  <c r="DB180" i="71"/>
  <c r="DM180" i="71"/>
  <c r="DX184" i="71"/>
  <c r="DX180" i="71"/>
  <c r="ED180" i="71"/>
  <c r="EF184" i="71"/>
  <c r="EF180" i="71"/>
  <c r="EF181" i="71"/>
  <c r="AN183" i="71"/>
  <c r="AP183" i="71"/>
  <c r="AR183" i="71"/>
  <c r="AW183" i="71"/>
  <c r="AZ183" i="71"/>
  <c r="BB183" i="71"/>
  <c r="BC183" i="71"/>
  <c r="BE183" i="71"/>
  <c r="BL183" i="71"/>
  <c r="BO183" i="71"/>
  <c r="BT183" i="71"/>
  <c r="BY183" i="71"/>
  <c r="BZ183" i="71"/>
  <c r="CA183" i="71"/>
  <c r="CC183" i="71"/>
  <c r="CI183" i="71"/>
  <c r="CM183" i="71"/>
  <c r="CO183" i="71"/>
  <c r="CV183" i="71"/>
  <c r="CW183" i="71"/>
  <c r="EA183" i="71"/>
  <c r="EF183" i="71"/>
  <c r="AM184" i="71"/>
  <c r="AO184" i="71"/>
  <c r="AR184" i="71"/>
  <c r="AT184" i="71"/>
  <c r="AV184" i="71"/>
  <c r="AX184" i="71"/>
  <c r="AZ184" i="71"/>
  <c r="BE184" i="71"/>
  <c r="BG184" i="71"/>
  <c r="BJ184" i="71"/>
  <c r="BL184" i="71"/>
  <c r="BO184" i="71"/>
  <c r="BR184" i="71"/>
  <c r="BW184" i="71"/>
  <c r="BZ184" i="71"/>
  <c r="CB184" i="71"/>
  <c r="CC184" i="71"/>
  <c r="CE184" i="71"/>
  <c r="CG184" i="71"/>
  <c r="CK184" i="71"/>
  <c r="CM184" i="71"/>
  <c r="CO184" i="71"/>
  <c r="CQ184" i="71"/>
  <c r="CU184" i="71"/>
  <c r="CW184" i="71"/>
  <c r="DG184" i="71"/>
  <c r="DY184" i="71"/>
  <c r="EA184" i="71"/>
  <c r="EG178" i="71"/>
  <c r="EG184" i="71"/>
  <c r="G163" i="71"/>
  <c r="G166" i="71"/>
  <c r="G185" i="71"/>
  <c r="K163" i="71"/>
  <c r="K166" i="71"/>
  <c r="K185" i="71"/>
  <c r="R185" i="71"/>
  <c r="T185" i="71"/>
  <c r="X185" i="71"/>
  <c r="Z185" i="71"/>
  <c r="AE185" i="71"/>
  <c r="AG185" i="71"/>
  <c r="AH185" i="71"/>
  <c r="AL185" i="71"/>
  <c r="AN163" i="71"/>
  <c r="AN166" i="71"/>
  <c r="AN185" i="71"/>
  <c r="AO185" i="71"/>
  <c r="AQ185" i="71"/>
  <c r="AS185" i="71"/>
  <c r="AU185" i="71"/>
  <c r="AW185" i="71"/>
  <c r="BA185" i="71"/>
  <c r="BC185" i="71"/>
  <c r="BE185" i="71"/>
  <c r="BG185" i="71"/>
  <c r="BI185" i="71"/>
  <c r="BJ185" i="71"/>
  <c r="BK185" i="71"/>
  <c r="BL185" i="71"/>
  <c r="BM185" i="71"/>
  <c r="BN185" i="71"/>
  <c r="BO185" i="71"/>
  <c r="BQ185" i="71"/>
  <c r="BS185" i="71"/>
  <c r="BU185" i="71"/>
  <c r="BV185" i="71"/>
  <c r="BW185" i="71"/>
  <c r="BX185" i="71"/>
  <c r="BY185" i="71"/>
  <c r="BZ185" i="71"/>
  <c r="CA185" i="71"/>
  <c r="CC163" i="71"/>
  <c r="CC166" i="71"/>
  <c r="CC185" i="71"/>
  <c r="CD185" i="71"/>
  <c r="CE163" i="71"/>
  <c r="CE166" i="71"/>
  <c r="CE185" i="71"/>
  <c r="CF185" i="71"/>
  <c r="CH185" i="71"/>
  <c r="CJ185" i="71"/>
  <c r="CL185" i="71"/>
  <c r="CN185" i="71"/>
  <c r="CP185" i="71"/>
  <c r="CR185" i="71"/>
  <c r="CU163" i="71"/>
  <c r="CU166" i="71"/>
  <c r="CU185" i="71"/>
  <c r="CY185" i="71"/>
  <c r="DC185" i="71"/>
  <c r="DI185" i="71"/>
  <c r="DO163" i="71"/>
  <c r="DO166" i="71"/>
  <c r="DO185" i="71"/>
  <c r="DQ163" i="71"/>
  <c r="DQ166" i="71"/>
  <c r="DQ185" i="71"/>
  <c r="DU163" i="71"/>
  <c r="DU166" i="71"/>
  <c r="DU185" i="71"/>
  <c r="DW163" i="71"/>
  <c r="DW166" i="71"/>
  <c r="DW185" i="71"/>
  <c r="EA163" i="71"/>
  <c r="EA166" i="71"/>
  <c r="EA185" i="71"/>
  <c r="EC163" i="71"/>
  <c r="EC166" i="71"/>
  <c r="EC185" i="71"/>
  <c r="EE163" i="71"/>
  <c r="EE166" i="71"/>
  <c r="EE185" i="71"/>
  <c r="EG163" i="71"/>
  <c r="EG166" i="71"/>
  <c r="EG185" i="71"/>
  <c r="C189" i="71"/>
  <c r="C192" i="71"/>
  <c r="L316" i="71"/>
  <c r="L322" i="71"/>
  <c r="L323" i="71"/>
  <c r="L325" i="71"/>
  <c r="H322" i="69"/>
  <c r="AV257" i="71"/>
  <c r="AV258" i="71"/>
  <c r="AV265" i="71"/>
  <c r="AV311" i="71"/>
  <c r="AV316" i="71"/>
  <c r="AV322" i="71"/>
  <c r="AV323" i="71"/>
  <c r="AV325" i="71"/>
  <c r="T322" i="69"/>
  <c r="AV281" i="71"/>
  <c r="AV283" i="71"/>
  <c r="AV305" i="71"/>
  <c r="T302" i="69"/>
  <c r="CF34" i="71"/>
  <c r="CF38" i="71"/>
  <c r="CF257" i="71"/>
  <c r="CF258" i="71"/>
  <c r="CF265" i="71"/>
  <c r="CF311" i="71"/>
  <c r="CF316" i="71"/>
  <c r="CF322" i="71"/>
  <c r="CF323" i="71"/>
  <c r="CF325" i="71"/>
  <c r="AF322" i="69"/>
  <c r="CF281" i="71"/>
  <c r="CF283" i="71"/>
  <c r="CF305" i="71"/>
  <c r="AF302" i="69"/>
  <c r="E323" i="69"/>
  <c r="E242" i="69"/>
  <c r="L326" i="71"/>
  <c r="H323" i="69"/>
  <c r="H324" i="69" s="1"/>
  <c r="H242" i="69"/>
  <c r="AG34" i="71"/>
  <c r="AG38" i="71"/>
  <c r="AG257" i="71"/>
  <c r="AG258" i="71"/>
  <c r="AG265" i="71"/>
  <c r="AG311" i="71"/>
  <c r="AG316" i="71"/>
  <c r="AG322" i="71"/>
  <c r="AG323" i="71"/>
  <c r="AG326" i="71"/>
  <c r="O323" i="69"/>
  <c r="O242" i="69"/>
  <c r="AV326" i="71"/>
  <c r="T323" i="69"/>
  <c r="T324" i="69" s="1"/>
  <c r="T325" i="69" s="1"/>
  <c r="T242" i="69"/>
  <c r="BN311" i="71"/>
  <c r="BN316" i="71"/>
  <c r="BN322" i="71"/>
  <c r="BN323" i="71"/>
  <c r="BN326" i="71"/>
  <c r="Z323" i="69"/>
  <c r="Z242" i="69"/>
  <c r="CF326" i="71"/>
  <c r="AF323" i="69"/>
  <c r="AF324" i="69" s="1"/>
  <c r="AF325" i="69" s="1"/>
  <c r="AF242" i="69"/>
  <c r="DA34" i="71"/>
  <c r="DA38" i="71"/>
  <c r="DA257" i="71"/>
  <c r="DA258" i="71"/>
  <c r="DA265" i="71"/>
  <c r="DA311" i="71"/>
  <c r="DA316" i="71"/>
  <c r="DA322" i="71"/>
  <c r="DA323" i="71"/>
  <c r="DA326" i="71"/>
  <c r="AM323" i="69"/>
  <c r="AM242" i="69"/>
  <c r="DS316" i="71"/>
  <c r="DS322" i="71"/>
  <c r="DS323" i="71"/>
  <c r="DS326" i="71"/>
  <c r="AS323" i="69"/>
  <c r="AS242" i="69"/>
  <c r="E330" i="69"/>
  <c r="E243" i="69"/>
  <c r="X34" i="71"/>
  <c r="X38" i="71"/>
  <c r="X257" i="71"/>
  <c r="X258" i="71"/>
  <c r="X265" i="71"/>
  <c r="X281" i="71"/>
  <c r="X283" i="71"/>
  <c r="X305" i="71"/>
  <c r="X328" i="71"/>
  <c r="X333" i="71"/>
  <c r="L330" i="69"/>
  <c r="L243" i="69"/>
  <c r="AV328" i="71"/>
  <c r="AV333" i="71"/>
  <c r="T330" i="69"/>
  <c r="T243" i="69"/>
  <c r="BK34" i="71"/>
  <c r="BK38" i="71"/>
  <c r="BK257" i="71"/>
  <c r="BK258" i="71"/>
  <c r="BK265" i="71"/>
  <c r="BK281" i="71"/>
  <c r="BK283" i="71"/>
  <c r="BK305" i="71"/>
  <c r="BK328" i="71"/>
  <c r="BK333" i="71"/>
  <c r="Y330" i="69"/>
  <c r="Y243" i="69"/>
  <c r="CC34" i="71"/>
  <c r="CC38" i="71"/>
  <c r="CC257" i="71"/>
  <c r="CC258" i="71"/>
  <c r="CC265" i="71"/>
  <c r="CC281" i="71"/>
  <c r="CC283" i="71"/>
  <c r="CC305" i="71"/>
  <c r="CC328" i="71"/>
  <c r="CC333" i="71"/>
  <c r="AE330" i="69"/>
  <c r="AE243" i="69"/>
  <c r="CU34" i="71"/>
  <c r="CU38" i="71"/>
  <c r="CU257" i="71"/>
  <c r="CU258" i="71"/>
  <c r="CU265" i="71"/>
  <c r="CU281" i="71"/>
  <c r="CU283" i="71"/>
  <c r="CU305" i="71"/>
  <c r="CU328" i="71"/>
  <c r="CU333" i="71"/>
  <c r="AK330" i="69"/>
  <c r="AK243" i="69"/>
  <c r="DP34" i="71"/>
  <c r="DP38" i="71"/>
  <c r="DP257" i="71"/>
  <c r="DP258" i="71"/>
  <c r="DP265" i="71"/>
  <c r="DP281" i="71"/>
  <c r="DP283" i="71"/>
  <c r="DP305" i="71"/>
  <c r="DP328" i="71"/>
  <c r="DP333" i="71"/>
  <c r="AR330" i="69"/>
  <c r="AR243" i="69"/>
  <c r="AF34" i="69"/>
  <c r="AF370" i="69"/>
  <c r="AF371" i="69"/>
  <c r="AK34" i="69"/>
  <c r="AK370" i="69"/>
  <c r="AK371" i="69"/>
  <c r="AM34" i="69"/>
  <c r="AM370" i="69"/>
  <c r="AM371" i="69"/>
  <c r="AS34" i="69"/>
  <c r="AS370" i="69"/>
  <c r="AS371" i="69"/>
  <c r="AN34" i="69"/>
  <c r="AN370" i="69"/>
  <c r="AN371" i="69"/>
  <c r="G19" i="71"/>
  <c r="K19" i="71"/>
  <c r="P19" i="71"/>
  <c r="T19" i="71"/>
  <c r="AD19" i="71"/>
  <c r="AO19" i="71"/>
  <c r="AS19" i="71"/>
  <c r="AU19" i="71"/>
  <c r="BL19" i="71"/>
  <c r="CE19" i="71"/>
  <c r="CL19" i="71"/>
  <c r="CN19" i="71"/>
  <c r="CY19" i="71"/>
  <c r="DK19" i="71"/>
  <c r="DQ19" i="71"/>
  <c r="DS19" i="71"/>
  <c r="EB19" i="71"/>
  <c r="H23" i="71"/>
  <c r="M23" i="71"/>
  <c r="P23" i="71"/>
  <c r="U23" i="71"/>
  <c r="W23" i="71"/>
  <c r="AA23" i="71"/>
  <c r="AD23" i="71"/>
  <c r="AG23" i="71"/>
  <c r="AI23" i="71"/>
  <c r="AL23" i="71"/>
  <c r="AM23" i="71"/>
  <c r="AQ23" i="71"/>
  <c r="AV23" i="71"/>
  <c r="BE23" i="71"/>
  <c r="BG23" i="71"/>
  <c r="BJ23" i="71"/>
  <c r="BO23" i="71"/>
  <c r="BW23" i="71"/>
  <c r="BZ23" i="71"/>
  <c r="CG23" i="71"/>
  <c r="CU23" i="71"/>
  <c r="DB23" i="71"/>
  <c r="DL23" i="71"/>
  <c r="DV23" i="71"/>
  <c r="C24" i="71"/>
  <c r="L171" i="71"/>
  <c r="L28" i="71"/>
  <c r="O171" i="71"/>
  <c r="O28" i="71"/>
  <c r="U171" i="71"/>
  <c r="U28" i="71"/>
  <c r="Y171" i="71"/>
  <c r="Y28" i="71"/>
  <c r="AK171" i="71"/>
  <c r="AK28" i="71"/>
  <c r="AR171" i="71"/>
  <c r="AR28" i="71"/>
  <c r="AV171" i="71"/>
  <c r="AV28" i="71"/>
  <c r="AY171" i="71"/>
  <c r="AY28" i="71"/>
  <c r="BE171" i="71"/>
  <c r="BE28" i="71"/>
  <c r="BH171" i="71"/>
  <c r="BH28" i="71"/>
  <c r="BK171" i="71"/>
  <c r="BK28" i="71"/>
  <c r="BR171" i="71"/>
  <c r="BR28" i="71"/>
  <c r="BX171" i="71"/>
  <c r="BX28" i="71"/>
  <c r="BZ171" i="71"/>
  <c r="BZ28" i="71"/>
  <c r="CF171" i="71"/>
  <c r="CF28" i="71"/>
  <c r="CP171" i="71"/>
  <c r="CP28" i="71"/>
  <c r="CU171" i="71"/>
  <c r="CU28" i="71"/>
  <c r="CZ171" i="71"/>
  <c r="CZ28" i="71"/>
  <c r="DD171" i="71"/>
  <c r="DD28" i="71"/>
  <c r="DF171" i="71"/>
  <c r="DF28" i="71"/>
  <c r="DJ171" i="71"/>
  <c r="DJ28" i="71"/>
  <c r="DP171" i="71"/>
  <c r="DP28" i="71"/>
  <c r="DT171" i="71"/>
  <c r="DT28" i="71"/>
  <c r="DV171" i="71"/>
  <c r="DV28" i="71"/>
  <c r="DY171" i="71"/>
  <c r="DY28" i="71"/>
  <c r="ED171" i="71"/>
  <c r="ED28" i="71"/>
  <c r="EF171" i="71"/>
  <c r="EF28" i="71"/>
  <c r="AM180" i="71"/>
  <c r="AM31" i="71"/>
  <c r="AR180" i="71"/>
  <c r="AR31" i="71"/>
  <c r="AT180" i="71"/>
  <c r="AT31" i="71"/>
  <c r="AX180" i="71"/>
  <c r="AX31" i="71"/>
  <c r="BA31" i="71"/>
  <c r="BF184" i="71"/>
  <c r="BF180" i="71"/>
  <c r="BF31" i="71"/>
  <c r="BI184" i="71"/>
  <c r="BI180" i="71"/>
  <c r="BI31" i="71"/>
  <c r="BK31" i="71"/>
  <c r="BO180" i="71"/>
  <c r="BO31" i="71"/>
  <c r="BV31" i="71"/>
  <c r="BZ180" i="71"/>
  <c r="BZ31" i="71"/>
  <c r="CD184" i="71"/>
  <c r="CD180" i="71"/>
  <c r="CD31" i="71"/>
  <c r="CH31" i="71"/>
  <c r="CK180" i="71"/>
  <c r="CK31" i="71"/>
  <c r="CM180" i="71"/>
  <c r="CM31" i="71"/>
  <c r="CP184" i="71"/>
  <c r="CP180" i="71"/>
  <c r="CP31" i="71"/>
  <c r="CQ180" i="71"/>
  <c r="CQ31" i="71"/>
  <c r="CW180" i="71"/>
  <c r="CW31" i="71"/>
  <c r="CY180" i="71"/>
  <c r="CY31" i="71"/>
  <c r="DB31" i="71"/>
  <c r="DD180" i="71"/>
  <c r="DD31" i="71"/>
  <c r="DF180" i="71"/>
  <c r="DF31" i="71"/>
  <c r="DH180" i="71"/>
  <c r="DH31" i="71"/>
  <c r="DT31" i="71"/>
  <c r="DY180" i="71"/>
  <c r="DY31" i="71"/>
  <c r="EA180" i="71"/>
  <c r="EA31" i="71"/>
  <c r="AO183" i="71"/>
  <c r="AO32" i="71"/>
  <c r="BA32" i="71"/>
  <c r="BC32" i="71"/>
  <c r="BF183" i="71"/>
  <c r="BF32" i="71"/>
  <c r="BL32" i="71"/>
  <c r="BN183" i="71"/>
  <c r="BN32" i="71"/>
  <c r="BU183" i="71"/>
  <c r="BU32" i="71"/>
  <c r="BZ32" i="71"/>
  <c r="CC32" i="71"/>
  <c r="CM32" i="71"/>
  <c r="CP183" i="71"/>
  <c r="CP32" i="71"/>
  <c r="CU183" i="71"/>
  <c r="CU32" i="71"/>
  <c r="DA32" i="71"/>
  <c r="DE32" i="71"/>
  <c r="DH32" i="71"/>
  <c r="DK32" i="71"/>
  <c r="DM32" i="71"/>
  <c r="DP32" i="71"/>
  <c r="DT32" i="71"/>
  <c r="ED32" i="71"/>
  <c r="AO34" i="71"/>
  <c r="AQ34" i="71"/>
  <c r="AT34" i="71"/>
  <c r="AY34" i="71"/>
  <c r="BI34" i="71"/>
  <c r="BM34" i="71"/>
  <c r="BP34" i="71"/>
  <c r="CD34" i="71"/>
  <c r="CN34" i="71"/>
  <c r="CT34" i="71"/>
  <c r="DT34" i="71"/>
  <c r="DY34" i="71"/>
  <c r="EG34" i="71"/>
  <c r="H34" i="71"/>
  <c r="H38" i="71"/>
  <c r="Q34" i="71"/>
  <c r="Q38" i="71"/>
  <c r="Z34" i="71"/>
  <c r="Z38" i="71"/>
  <c r="AF34" i="71"/>
  <c r="AF38" i="71"/>
  <c r="AQ38" i="71"/>
  <c r="BA34" i="71"/>
  <c r="BA38" i="71"/>
  <c r="BH34" i="71"/>
  <c r="BH38" i="71"/>
  <c r="BU38" i="71"/>
  <c r="CK34" i="71"/>
  <c r="CK38" i="71"/>
  <c r="DI34" i="71"/>
  <c r="DI38" i="71"/>
  <c r="EC34" i="71"/>
  <c r="EC38" i="71"/>
  <c r="C39" i="71"/>
  <c r="J41" i="71"/>
  <c r="Q41" i="71"/>
  <c r="AR41" i="71"/>
  <c r="BN41" i="71"/>
  <c r="CC41" i="71"/>
  <c r="CE41" i="71"/>
  <c r="CN41" i="71"/>
  <c r="CS41" i="71"/>
  <c r="CW41" i="71"/>
  <c r="CZ41" i="71"/>
  <c r="DB41" i="71"/>
  <c r="DE41" i="71"/>
  <c r="DH41" i="71"/>
  <c r="DX41" i="71"/>
  <c r="DZ41" i="71"/>
  <c r="C45" i="71"/>
  <c r="T46" i="71"/>
  <c r="AE19" i="71"/>
  <c r="AE46" i="71"/>
  <c r="AO46" i="71"/>
  <c r="AT46" i="71"/>
  <c r="BD46" i="71"/>
  <c r="BF46" i="71"/>
  <c r="BL46" i="71"/>
  <c r="BR46" i="71"/>
  <c r="BY46" i="71"/>
  <c r="CD46" i="71"/>
  <c r="CF46" i="71"/>
  <c r="CL46" i="71"/>
  <c r="EB46" i="71"/>
  <c r="EF46" i="71"/>
  <c r="C49" i="71"/>
  <c r="G50" i="71"/>
  <c r="P50" i="71"/>
  <c r="U50" i="71"/>
  <c r="AA50" i="71"/>
  <c r="AD50" i="71"/>
  <c r="AJ50" i="71"/>
  <c r="CH50" i="71"/>
  <c r="CM50" i="71"/>
  <c r="DJ50" i="71"/>
  <c r="DZ50" i="71"/>
  <c r="EB50" i="71"/>
  <c r="C51" i="71"/>
  <c r="H171" i="71"/>
  <c r="H28" i="71"/>
  <c r="H55" i="71"/>
  <c r="L55" i="71"/>
  <c r="R171" i="71"/>
  <c r="R28" i="71"/>
  <c r="R55" i="71"/>
  <c r="T171" i="71"/>
  <c r="T28" i="71"/>
  <c r="T55" i="71"/>
  <c r="AV55" i="71"/>
  <c r="AY55" i="71"/>
  <c r="BB171" i="71"/>
  <c r="BB28" i="71"/>
  <c r="BB55" i="71"/>
  <c r="BH55" i="71"/>
  <c r="BK55" i="71"/>
  <c r="CG171" i="71"/>
  <c r="CG28" i="71"/>
  <c r="CG55" i="71"/>
  <c r="DD55" i="71"/>
  <c r="DK171" i="71"/>
  <c r="DK28" i="71"/>
  <c r="DK55" i="71"/>
  <c r="DP55" i="71"/>
  <c r="EA171" i="71"/>
  <c r="EA28" i="71"/>
  <c r="EA55" i="71"/>
  <c r="E197" i="71"/>
  <c r="F197" i="71"/>
  <c r="G197" i="71"/>
  <c r="H197" i="71"/>
  <c r="I197" i="71"/>
  <c r="J197" i="71"/>
  <c r="K197" i="71"/>
  <c r="L197" i="71"/>
  <c r="M197" i="71"/>
  <c r="N197" i="71"/>
  <c r="O197" i="71"/>
  <c r="P197" i="71"/>
  <c r="Q197" i="71"/>
  <c r="R197" i="71"/>
  <c r="S197" i="71"/>
  <c r="T197" i="71"/>
  <c r="U197" i="71"/>
  <c r="V197" i="71"/>
  <c r="W197" i="71"/>
  <c r="X197" i="71"/>
  <c r="Y197" i="71"/>
  <c r="Z197" i="71"/>
  <c r="AA197" i="71"/>
  <c r="AB197" i="71"/>
  <c r="AC197" i="71"/>
  <c r="AD197" i="71"/>
  <c r="AE197" i="71"/>
  <c r="AF197" i="71"/>
  <c r="AG197" i="71"/>
  <c r="AH197" i="71"/>
  <c r="AI197" i="71"/>
  <c r="AJ197" i="71"/>
  <c r="AK197" i="71"/>
  <c r="AL197" i="71"/>
  <c r="AM197" i="71"/>
  <c r="AN197" i="71"/>
  <c r="AO197" i="71"/>
  <c r="AP197" i="71"/>
  <c r="AQ197" i="71"/>
  <c r="AR197" i="71"/>
  <c r="AS197" i="71"/>
  <c r="AT197" i="71"/>
  <c r="AU197" i="71"/>
  <c r="AV197" i="71"/>
  <c r="AW197" i="71"/>
  <c r="AX197" i="71"/>
  <c r="AY197" i="71"/>
  <c r="AZ197" i="71"/>
  <c r="BA197" i="71"/>
  <c r="BB197" i="71"/>
  <c r="BC197" i="71"/>
  <c r="BD197" i="71"/>
  <c r="BE197" i="71"/>
  <c r="BF197" i="71"/>
  <c r="BG197" i="71"/>
  <c r="BH197" i="71"/>
  <c r="BI197" i="71"/>
  <c r="BJ197" i="71"/>
  <c r="BK197" i="71"/>
  <c r="BL197" i="71"/>
  <c r="BM197" i="71"/>
  <c r="BN197" i="71"/>
  <c r="BO197" i="71"/>
  <c r="BP197" i="71"/>
  <c r="BQ197" i="71"/>
  <c r="BR197" i="71"/>
  <c r="BS197" i="71"/>
  <c r="BT197" i="71"/>
  <c r="BU197" i="71"/>
  <c r="BV197" i="71"/>
  <c r="BW197" i="71"/>
  <c r="BX197" i="71"/>
  <c r="BY197" i="71"/>
  <c r="BZ197" i="71"/>
  <c r="CA197" i="71"/>
  <c r="CB197" i="71"/>
  <c r="CC197" i="71"/>
  <c r="CD197" i="71"/>
  <c r="CE197" i="71"/>
  <c r="CF197" i="71"/>
  <c r="CG197" i="71"/>
  <c r="CH197" i="71"/>
  <c r="CI197" i="71"/>
  <c r="CJ197" i="71"/>
  <c r="CK197" i="71"/>
  <c r="CL197" i="71"/>
  <c r="CM197" i="71"/>
  <c r="CN197" i="71"/>
  <c r="CO197" i="71"/>
  <c r="CP197" i="71"/>
  <c r="CQ197" i="71"/>
  <c r="CR197" i="71"/>
  <c r="CS197" i="71"/>
  <c r="CT197" i="71"/>
  <c r="CU197" i="71"/>
  <c r="CV197" i="71"/>
  <c r="CW197" i="71"/>
  <c r="CX197" i="71"/>
  <c r="CY197" i="71"/>
  <c r="CZ197" i="71"/>
  <c r="DA197" i="71"/>
  <c r="DB197" i="71"/>
  <c r="DC197" i="71"/>
  <c r="DD197" i="71"/>
  <c r="DE197" i="71"/>
  <c r="DF197" i="71"/>
  <c r="DG197" i="71"/>
  <c r="DH197" i="71"/>
  <c r="DI197" i="71"/>
  <c r="DJ197" i="71"/>
  <c r="DK197" i="71"/>
  <c r="DL197" i="71"/>
  <c r="DM197" i="71"/>
  <c r="DN197" i="71"/>
  <c r="DO197" i="71"/>
  <c r="DP197" i="71"/>
  <c r="DQ197" i="71"/>
  <c r="DR197" i="71"/>
  <c r="DS197" i="71"/>
  <c r="DT197" i="71"/>
  <c r="DU197" i="71"/>
  <c r="DV197" i="71"/>
  <c r="DW197" i="71"/>
  <c r="DX197" i="71"/>
  <c r="DY197" i="71"/>
  <c r="DZ197" i="71"/>
  <c r="EA197" i="71"/>
  <c r="EB197" i="71"/>
  <c r="EC197" i="71"/>
  <c r="ED197" i="71"/>
  <c r="EE197" i="71"/>
  <c r="EF197" i="71"/>
  <c r="EG197" i="71"/>
  <c r="E198" i="71"/>
  <c r="F198" i="71"/>
  <c r="G198" i="71"/>
  <c r="H198" i="71"/>
  <c r="I198" i="71"/>
  <c r="J198" i="71"/>
  <c r="K198" i="71"/>
  <c r="L198" i="71"/>
  <c r="M198" i="71"/>
  <c r="N198" i="71"/>
  <c r="O198" i="71"/>
  <c r="P198" i="71"/>
  <c r="Q198" i="71"/>
  <c r="R198" i="71"/>
  <c r="S198" i="71"/>
  <c r="T198" i="71"/>
  <c r="U198" i="71"/>
  <c r="V198" i="71"/>
  <c r="W198" i="71"/>
  <c r="X198" i="71"/>
  <c r="Y198" i="71"/>
  <c r="Z198" i="71"/>
  <c r="AA198" i="71"/>
  <c r="AB198" i="71"/>
  <c r="AC198" i="71"/>
  <c r="AD198" i="71"/>
  <c r="AE198" i="71"/>
  <c r="AF198" i="71"/>
  <c r="AG198" i="71"/>
  <c r="AH198" i="71"/>
  <c r="AI198" i="71"/>
  <c r="AJ198" i="71"/>
  <c r="AK198" i="71"/>
  <c r="AL198" i="71"/>
  <c r="AM198" i="71"/>
  <c r="AN198" i="71"/>
  <c r="AO198" i="71"/>
  <c r="AP198" i="71"/>
  <c r="AQ198" i="71"/>
  <c r="AR198" i="71"/>
  <c r="AS198" i="71"/>
  <c r="AT198" i="71"/>
  <c r="AU198" i="71"/>
  <c r="AV198" i="71"/>
  <c r="AW198" i="71"/>
  <c r="AX198" i="71"/>
  <c r="AY198" i="71"/>
  <c r="AZ198" i="71"/>
  <c r="BA198" i="71"/>
  <c r="BB198" i="71"/>
  <c r="BC198" i="71"/>
  <c r="BD198" i="71"/>
  <c r="BE198" i="71"/>
  <c r="BF198" i="71"/>
  <c r="BG198" i="71"/>
  <c r="BH198" i="71"/>
  <c r="BI198" i="71"/>
  <c r="BJ198" i="71"/>
  <c r="BK198" i="71"/>
  <c r="BL198" i="71"/>
  <c r="BM198" i="71"/>
  <c r="BN198" i="71"/>
  <c r="BO198" i="71"/>
  <c r="BP198" i="71"/>
  <c r="BQ198" i="71"/>
  <c r="BR198" i="71"/>
  <c r="BS198" i="71"/>
  <c r="BT198" i="71"/>
  <c r="BU198" i="71"/>
  <c r="BV198" i="71"/>
  <c r="BW198" i="71"/>
  <c r="BX198" i="71"/>
  <c r="BY198" i="71"/>
  <c r="BZ198" i="71"/>
  <c r="CA198" i="71"/>
  <c r="CB198" i="71"/>
  <c r="CC198" i="71"/>
  <c r="CD198" i="71"/>
  <c r="CE198" i="71"/>
  <c r="CF198" i="71"/>
  <c r="CG198" i="71"/>
  <c r="CH198" i="71"/>
  <c r="CI198" i="71"/>
  <c r="CJ198" i="71"/>
  <c r="CK198" i="71"/>
  <c r="CL198" i="71"/>
  <c r="CM198" i="71"/>
  <c r="CN198" i="71"/>
  <c r="CO198" i="71"/>
  <c r="CP198" i="71"/>
  <c r="CQ198" i="71"/>
  <c r="CR198" i="71"/>
  <c r="CS198" i="71"/>
  <c r="CT198" i="71"/>
  <c r="CU198" i="71"/>
  <c r="CV198" i="71"/>
  <c r="CW198" i="71"/>
  <c r="CX198" i="71"/>
  <c r="CY198" i="71"/>
  <c r="CZ198" i="71"/>
  <c r="DA198" i="71"/>
  <c r="DB198" i="71"/>
  <c r="DC198" i="71"/>
  <c r="DD198" i="71"/>
  <c r="DE198" i="71"/>
  <c r="DF198" i="71"/>
  <c r="DG198" i="71"/>
  <c r="DH198" i="71"/>
  <c r="DI198" i="71"/>
  <c r="DJ198" i="71"/>
  <c r="DK198" i="71"/>
  <c r="DL198" i="71"/>
  <c r="DM198" i="71"/>
  <c r="DN198" i="71"/>
  <c r="DO198" i="71"/>
  <c r="DP198" i="71"/>
  <c r="DQ198" i="71"/>
  <c r="DR198" i="71"/>
  <c r="DS198" i="71"/>
  <c r="DT198" i="71"/>
  <c r="DU198" i="71"/>
  <c r="DV198" i="71"/>
  <c r="DW198" i="71"/>
  <c r="DX198" i="71"/>
  <c r="DY198" i="71"/>
  <c r="DZ198" i="71"/>
  <c r="EA198" i="71"/>
  <c r="EB198" i="71"/>
  <c r="EC198" i="71"/>
  <c r="ED198" i="71"/>
  <c r="EE198" i="71"/>
  <c r="EF198" i="71"/>
  <c r="EG198" i="71"/>
  <c r="Q199" i="71"/>
  <c r="R199" i="71"/>
  <c r="S199" i="71"/>
  <c r="T199" i="71"/>
  <c r="V199" i="71"/>
  <c r="W199" i="71"/>
  <c r="X199" i="71"/>
  <c r="Y199" i="71"/>
  <c r="Z199" i="71"/>
  <c r="AA199" i="71"/>
  <c r="AC199" i="71"/>
  <c r="AE199" i="71"/>
  <c r="AF199" i="71"/>
  <c r="AG199" i="71"/>
  <c r="AH199" i="71"/>
  <c r="AI199" i="71"/>
  <c r="AJ199" i="71"/>
  <c r="AK199" i="71"/>
  <c r="AL199" i="71"/>
  <c r="AN199" i="71"/>
  <c r="AP199" i="71"/>
  <c r="AR199" i="71"/>
  <c r="AT199" i="71"/>
  <c r="AV199" i="71"/>
  <c r="AX199" i="71"/>
  <c r="AZ199" i="71"/>
  <c r="BA199" i="71"/>
  <c r="BB199" i="71"/>
  <c r="BD199" i="71"/>
  <c r="BE199" i="71"/>
  <c r="BF199" i="71"/>
  <c r="BG199" i="71"/>
  <c r="BH199" i="71"/>
  <c r="BI199" i="71"/>
  <c r="BJ199" i="71"/>
  <c r="BK199" i="71"/>
  <c r="BL199" i="71"/>
  <c r="BM199" i="71"/>
  <c r="BN199" i="71"/>
  <c r="BO199" i="71"/>
  <c r="BP199" i="71"/>
  <c r="BQ199" i="71"/>
  <c r="BR199" i="71"/>
  <c r="BS199" i="71"/>
  <c r="BT199" i="71"/>
  <c r="BU199" i="71"/>
  <c r="BV199" i="71"/>
  <c r="BW199" i="71"/>
  <c r="BX199" i="71"/>
  <c r="BY199" i="71"/>
  <c r="BZ199" i="71"/>
  <c r="CA199" i="71"/>
  <c r="CB199" i="71"/>
  <c r="CC199" i="71"/>
  <c r="CD199" i="71"/>
  <c r="CE199" i="71"/>
  <c r="CF199" i="71"/>
  <c r="CG199" i="71"/>
  <c r="CH199" i="71"/>
  <c r="CI199" i="71"/>
  <c r="CJ199" i="71"/>
  <c r="CK199" i="71"/>
  <c r="CL199" i="71"/>
  <c r="CM199" i="71"/>
  <c r="CN199" i="71"/>
  <c r="CO199" i="71"/>
  <c r="CP199" i="71"/>
  <c r="CQ199" i="71"/>
  <c r="CR199" i="71"/>
  <c r="CS199" i="71"/>
  <c r="CT199" i="71"/>
  <c r="CU199" i="71"/>
  <c r="CV199" i="71"/>
  <c r="CW199" i="71"/>
  <c r="CX199" i="71"/>
  <c r="CY199" i="71"/>
  <c r="CZ199" i="71"/>
  <c r="DA199" i="71"/>
  <c r="DB199" i="71"/>
  <c r="DC199" i="71"/>
  <c r="DD199" i="71"/>
  <c r="DE199" i="71"/>
  <c r="DF199" i="71"/>
  <c r="DG199" i="71"/>
  <c r="DH199" i="71"/>
  <c r="DI199" i="71"/>
  <c r="DJ199" i="71"/>
  <c r="DK199" i="71"/>
  <c r="DL199" i="71"/>
  <c r="DM199" i="71"/>
  <c r="DN199" i="71"/>
  <c r="DO199" i="71"/>
  <c r="DP199" i="71"/>
  <c r="DQ199" i="71"/>
  <c r="DR199" i="71"/>
  <c r="DS199" i="71"/>
  <c r="DT199" i="71"/>
  <c r="DU199" i="71"/>
  <c r="Q200" i="71"/>
  <c r="R200" i="71"/>
  <c r="S200" i="71"/>
  <c r="T200" i="71"/>
  <c r="V200" i="71"/>
  <c r="W200" i="71"/>
  <c r="X200" i="71"/>
  <c r="Y200" i="71"/>
  <c r="Z200" i="71"/>
  <c r="AA200" i="71"/>
  <c r="AC200" i="71"/>
  <c r="AE200" i="71"/>
  <c r="AF200" i="71"/>
  <c r="AG200" i="71"/>
  <c r="AH200" i="71"/>
  <c r="AI200" i="71"/>
  <c r="AJ200" i="71"/>
  <c r="AK200" i="71"/>
  <c r="AL200" i="71"/>
  <c r="AN200" i="71"/>
  <c r="AP200" i="71"/>
  <c r="AR200" i="71"/>
  <c r="AT200" i="71"/>
  <c r="AV200" i="71"/>
  <c r="AX200" i="71"/>
  <c r="AZ200" i="71"/>
  <c r="BA200" i="71"/>
  <c r="BB200" i="71"/>
  <c r="BD200" i="71"/>
  <c r="BE200" i="71"/>
  <c r="BF200" i="71"/>
  <c r="BG200" i="71"/>
  <c r="BH200" i="71"/>
  <c r="BI200" i="71"/>
  <c r="BJ200" i="71"/>
  <c r="BK200" i="71"/>
  <c r="BL200" i="71"/>
  <c r="BM200" i="71"/>
  <c r="BN200" i="71"/>
  <c r="BO200" i="71"/>
  <c r="BP200" i="71"/>
  <c r="BQ200" i="71"/>
  <c r="BR200" i="71"/>
  <c r="BS200" i="71"/>
  <c r="BT200" i="71"/>
  <c r="BU200" i="71"/>
  <c r="BV200" i="71"/>
  <c r="BW200" i="71"/>
  <c r="BX200" i="71"/>
  <c r="BY200" i="71"/>
  <c r="BZ200" i="71"/>
  <c r="CA200" i="71"/>
  <c r="CB200" i="71"/>
  <c r="CC200" i="71"/>
  <c r="CD200" i="71"/>
  <c r="CE200" i="71"/>
  <c r="CF200" i="71"/>
  <c r="CG200" i="71"/>
  <c r="CH200" i="71"/>
  <c r="CI200" i="71"/>
  <c r="CJ200" i="71"/>
  <c r="CK200" i="71"/>
  <c r="CL200" i="71"/>
  <c r="CM200" i="71"/>
  <c r="CN200" i="71"/>
  <c r="CO200" i="71"/>
  <c r="CP200" i="71"/>
  <c r="CQ200" i="71"/>
  <c r="CR200" i="71"/>
  <c r="CS200" i="71"/>
  <c r="CT200" i="71"/>
  <c r="CU200" i="71"/>
  <c r="CV200" i="71"/>
  <c r="CW200" i="71"/>
  <c r="CX200" i="71"/>
  <c r="CY200" i="71"/>
  <c r="CZ200" i="71"/>
  <c r="DA200" i="71"/>
  <c r="DB200" i="71"/>
  <c r="DC200" i="71"/>
  <c r="DD200" i="71"/>
  <c r="DE200" i="71"/>
  <c r="DF200" i="71"/>
  <c r="DG200" i="71"/>
  <c r="DH200" i="71"/>
  <c r="DI200" i="71"/>
  <c r="DJ200" i="71"/>
  <c r="DK200" i="71"/>
  <c r="DL200" i="71"/>
  <c r="DM200" i="71"/>
  <c r="DN200" i="71"/>
  <c r="DO200" i="71"/>
  <c r="DP200" i="71"/>
  <c r="DQ200" i="71"/>
  <c r="DR200" i="71"/>
  <c r="DS200" i="71"/>
  <c r="DT200" i="71"/>
  <c r="DU200" i="71"/>
  <c r="Q201" i="71"/>
  <c r="R201" i="71"/>
  <c r="S201" i="71"/>
  <c r="T201" i="71"/>
  <c r="U201" i="71"/>
  <c r="V201" i="71"/>
  <c r="W201" i="71"/>
  <c r="X201" i="71"/>
  <c r="Y201" i="71"/>
  <c r="Z201" i="71"/>
  <c r="AA201" i="71"/>
  <c r="AB201" i="71"/>
  <c r="AC201" i="71"/>
  <c r="AD201" i="71"/>
  <c r="AE201" i="71"/>
  <c r="AF201" i="71"/>
  <c r="AG201" i="71"/>
  <c r="AH201" i="71"/>
  <c r="AI201" i="71"/>
  <c r="AJ201" i="71"/>
  <c r="AK201" i="71"/>
  <c r="AL201" i="71"/>
  <c r="AM201" i="71"/>
  <c r="AN201" i="71"/>
  <c r="AO201" i="71"/>
  <c r="AP201" i="71"/>
  <c r="AQ201" i="71"/>
  <c r="AR201" i="71"/>
  <c r="AS201" i="71"/>
  <c r="AT201" i="71"/>
  <c r="AU201" i="71"/>
  <c r="AV201" i="71"/>
  <c r="AW201" i="71"/>
  <c r="AX201" i="71"/>
  <c r="AY201" i="71"/>
  <c r="AZ201" i="71"/>
  <c r="BA201" i="71"/>
  <c r="BB201" i="71"/>
  <c r="BC201" i="71"/>
  <c r="BD201" i="71"/>
  <c r="BE201" i="71"/>
  <c r="BF201" i="71"/>
  <c r="BG201" i="71"/>
  <c r="BH201" i="71"/>
  <c r="BI201" i="71"/>
  <c r="BJ201" i="71"/>
  <c r="BK201" i="71"/>
  <c r="BL201" i="71"/>
  <c r="BM201" i="71"/>
  <c r="BN201" i="71"/>
  <c r="BO201" i="71"/>
  <c r="BP201" i="71"/>
  <c r="BQ201" i="71"/>
  <c r="BR201" i="71"/>
  <c r="BS201" i="71"/>
  <c r="BT201" i="71"/>
  <c r="BU201" i="71"/>
  <c r="BV201" i="71"/>
  <c r="BW201" i="71"/>
  <c r="BX201" i="71"/>
  <c r="BY201" i="71"/>
  <c r="BZ201" i="71"/>
  <c r="CA201" i="71"/>
  <c r="CB201" i="71"/>
  <c r="CC201" i="71"/>
  <c r="CD201" i="71"/>
  <c r="CE201" i="71"/>
  <c r="CF201" i="71"/>
  <c r="CG201" i="71"/>
  <c r="CH201" i="71"/>
  <c r="CI201" i="71"/>
  <c r="CJ201" i="71"/>
  <c r="CK201" i="71"/>
  <c r="CL201" i="71"/>
  <c r="CM201" i="71"/>
  <c r="CN201" i="71"/>
  <c r="CO201" i="71"/>
  <c r="CP201" i="71"/>
  <c r="CQ201" i="71"/>
  <c r="CR201" i="71"/>
  <c r="CS201" i="71"/>
  <c r="CT201" i="71"/>
  <c r="CU201" i="71"/>
  <c r="CV201" i="71"/>
  <c r="CW201" i="71"/>
  <c r="CX201" i="71"/>
  <c r="CY201" i="71"/>
  <c r="CZ201" i="71"/>
  <c r="DA201" i="71"/>
  <c r="DB201" i="71"/>
  <c r="DC201" i="71"/>
  <c r="DD201" i="71"/>
  <c r="DE201" i="71"/>
  <c r="DF201" i="71"/>
  <c r="DG201" i="71"/>
  <c r="DH201" i="71"/>
  <c r="DI201" i="71"/>
  <c r="DJ201" i="71"/>
  <c r="DK201" i="71"/>
  <c r="DL201" i="71"/>
  <c r="DM201" i="71"/>
  <c r="DN201" i="71"/>
  <c r="DO201" i="71"/>
  <c r="DP201" i="71"/>
  <c r="DQ201" i="71"/>
  <c r="DR201" i="71"/>
  <c r="DS201" i="71"/>
  <c r="DT201" i="71"/>
  <c r="DU201" i="71"/>
  <c r="Q202" i="71"/>
  <c r="R202" i="71"/>
  <c r="S202" i="71"/>
  <c r="T202" i="71"/>
  <c r="V202" i="71"/>
  <c r="W202" i="71"/>
  <c r="X202" i="71"/>
  <c r="Y202" i="71"/>
  <c r="Z202" i="71"/>
  <c r="AA202" i="71"/>
  <c r="AC202" i="71"/>
  <c r="AE202" i="71"/>
  <c r="AF202" i="71"/>
  <c r="AG202" i="71"/>
  <c r="AH202" i="71"/>
  <c r="AI202" i="71"/>
  <c r="AJ202" i="71"/>
  <c r="AK202" i="71"/>
  <c r="AL202" i="71"/>
  <c r="AN202" i="71"/>
  <c r="AP202" i="71"/>
  <c r="AR202" i="71"/>
  <c r="AT202" i="71"/>
  <c r="AV202" i="71"/>
  <c r="AX202" i="71"/>
  <c r="AZ202" i="71"/>
  <c r="BA202" i="71"/>
  <c r="BB202" i="71"/>
  <c r="BD202" i="71"/>
  <c r="BE202" i="71"/>
  <c r="BF202" i="71"/>
  <c r="BG202" i="71"/>
  <c r="BH202" i="71"/>
  <c r="BI202" i="71"/>
  <c r="BJ202" i="71"/>
  <c r="BK202" i="71"/>
  <c r="BL202" i="71"/>
  <c r="BM202" i="71"/>
  <c r="BN202" i="71"/>
  <c r="BO202" i="71"/>
  <c r="BP202" i="71"/>
  <c r="BQ202" i="71"/>
  <c r="BR202" i="71"/>
  <c r="BS202" i="71"/>
  <c r="BT202" i="71"/>
  <c r="BU202" i="71"/>
  <c r="BV202" i="71"/>
  <c r="BW202" i="71"/>
  <c r="BX202" i="71"/>
  <c r="BY202" i="71"/>
  <c r="BZ202" i="71"/>
  <c r="CA202" i="71"/>
  <c r="CB202" i="71"/>
  <c r="CC202" i="71"/>
  <c r="CD202" i="71"/>
  <c r="CE202" i="71"/>
  <c r="CF202" i="71"/>
  <c r="CG202" i="71"/>
  <c r="CH202" i="71"/>
  <c r="CI202" i="71"/>
  <c r="CJ202" i="71"/>
  <c r="CK202" i="71"/>
  <c r="CL202" i="71"/>
  <c r="CM202" i="71"/>
  <c r="CN202" i="71"/>
  <c r="CO202" i="71"/>
  <c r="CP202" i="71"/>
  <c r="CQ202" i="71"/>
  <c r="CR202" i="71"/>
  <c r="CS202" i="71"/>
  <c r="CT202" i="71"/>
  <c r="CU202" i="71"/>
  <c r="CV202" i="71"/>
  <c r="CW202" i="71"/>
  <c r="CX202" i="71"/>
  <c r="CY202" i="71"/>
  <c r="CZ202" i="71"/>
  <c r="DA202" i="71"/>
  <c r="DB202" i="71"/>
  <c r="DC202" i="71"/>
  <c r="DD202" i="71"/>
  <c r="DE202" i="71"/>
  <c r="DF202" i="71"/>
  <c r="DG202" i="71"/>
  <c r="DH202" i="71"/>
  <c r="DI202" i="71"/>
  <c r="DJ202" i="71"/>
  <c r="DK202" i="71"/>
  <c r="DL202" i="71"/>
  <c r="DM202" i="71"/>
  <c r="DN202" i="71"/>
  <c r="DO202" i="71"/>
  <c r="DP202" i="71"/>
  <c r="DQ202" i="71"/>
  <c r="DR202" i="71"/>
  <c r="DS202" i="71"/>
  <c r="DT202" i="71"/>
  <c r="DU202" i="71"/>
  <c r="E203" i="71"/>
  <c r="F203" i="71"/>
  <c r="G203" i="71"/>
  <c r="H203" i="71"/>
  <c r="I203" i="71"/>
  <c r="J203" i="71"/>
  <c r="K203" i="71"/>
  <c r="L203" i="71"/>
  <c r="M203" i="71"/>
  <c r="N203" i="71"/>
  <c r="O203" i="71"/>
  <c r="P203" i="71"/>
  <c r="Q203" i="71"/>
  <c r="R203" i="71"/>
  <c r="S203" i="71"/>
  <c r="T203" i="71"/>
  <c r="U203" i="71"/>
  <c r="V203" i="71"/>
  <c r="W203" i="71"/>
  <c r="X203" i="71"/>
  <c r="Y203" i="71"/>
  <c r="Z203" i="71"/>
  <c r="AA203" i="71"/>
  <c r="AB203" i="71"/>
  <c r="AC203" i="71"/>
  <c r="AD203" i="71"/>
  <c r="AE203" i="71"/>
  <c r="AF203" i="71"/>
  <c r="AG203" i="71"/>
  <c r="AH203" i="71"/>
  <c r="AI203" i="71"/>
  <c r="AJ203" i="71"/>
  <c r="AK203" i="71"/>
  <c r="AL203" i="71"/>
  <c r="AM203" i="71"/>
  <c r="AN203" i="71"/>
  <c r="AO203" i="71"/>
  <c r="AP203" i="71"/>
  <c r="AQ203" i="71"/>
  <c r="AR203" i="71"/>
  <c r="AS203" i="71"/>
  <c r="AT203" i="71"/>
  <c r="AU203" i="71"/>
  <c r="AV203" i="71"/>
  <c r="AW203" i="71"/>
  <c r="AX203" i="71"/>
  <c r="AY203" i="71"/>
  <c r="AZ203" i="71"/>
  <c r="BA203" i="71"/>
  <c r="BB203" i="71"/>
  <c r="BC203" i="71"/>
  <c r="BD203" i="71"/>
  <c r="BE203" i="71"/>
  <c r="BF203" i="71"/>
  <c r="BG203" i="71"/>
  <c r="BH203" i="71"/>
  <c r="BI203" i="71"/>
  <c r="BJ203" i="71"/>
  <c r="BK203" i="71"/>
  <c r="BL203" i="71"/>
  <c r="BM203" i="71"/>
  <c r="BN203" i="71"/>
  <c r="BO203" i="71"/>
  <c r="BP203" i="71"/>
  <c r="BQ203" i="71"/>
  <c r="BR203" i="71"/>
  <c r="BS203" i="71"/>
  <c r="BT203" i="71"/>
  <c r="BU203" i="71"/>
  <c r="BV203" i="71"/>
  <c r="BW203" i="71"/>
  <c r="BX203" i="71"/>
  <c r="BY203" i="71"/>
  <c r="BZ203" i="71"/>
  <c r="CA203" i="71"/>
  <c r="CB203" i="71"/>
  <c r="CC203" i="71"/>
  <c r="CD203" i="71"/>
  <c r="CE203" i="71"/>
  <c r="CF203" i="71"/>
  <c r="CG203" i="71"/>
  <c r="CH203" i="71"/>
  <c r="CI203" i="71"/>
  <c r="CJ203" i="71"/>
  <c r="CK203" i="71"/>
  <c r="CL203" i="71"/>
  <c r="CM203" i="71"/>
  <c r="CN203" i="71"/>
  <c r="CO203" i="71"/>
  <c r="CP203" i="71"/>
  <c r="CQ203" i="71"/>
  <c r="CR203" i="71"/>
  <c r="CS203" i="71"/>
  <c r="CT203" i="71"/>
  <c r="CU203" i="71"/>
  <c r="CV203" i="71"/>
  <c r="CW203" i="71"/>
  <c r="CX203" i="71"/>
  <c r="CY203" i="71"/>
  <c r="CZ203" i="71"/>
  <c r="DA203" i="71"/>
  <c r="DB203" i="71"/>
  <c r="DC203" i="71"/>
  <c r="DD203" i="71"/>
  <c r="DE203" i="71"/>
  <c r="DF203" i="71"/>
  <c r="DG203" i="71"/>
  <c r="DH203" i="71"/>
  <c r="DI203" i="71"/>
  <c r="DJ203" i="71"/>
  <c r="DK203" i="71"/>
  <c r="DL203" i="71"/>
  <c r="DM203" i="71"/>
  <c r="DN203" i="71"/>
  <c r="DO203" i="71"/>
  <c r="DP203" i="71"/>
  <c r="DQ203" i="71"/>
  <c r="DR203" i="71"/>
  <c r="DS203" i="71"/>
  <c r="DT203" i="71"/>
  <c r="DU203" i="71"/>
  <c r="DV203" i="71"/>
  <c r="DW203" i="71"/>
  <c r="DX203" i="71"/>
  <c r="DY203" i="71"/>
  <c r="DZ203" i="71"/>
  <c r="EA203" i="71"/>
  <c r="EB203" i="71"/>
  <c r="EC203" i="71"/>
  <c r="ED203" i="71"/>
  <c r="EE203" i="71"/>
  <c r="EF203" i="71"/>
  <c r="EG203" i="71"/>
  <c r="E216" i="71"/>
  <c r="F216" i="71"/>
  <c r="G216" i="71"/>
  <c r="H216" i="71"/>
  <c r="I216" i="71"/>
  <c r="J216" i="71"/>
  <c r="K216" i="71"/>
  <c r="L216" i="71"/>
  <c r="M216" i="71"/>
  <c r="N216" i="71"/>
  <c r="O216" i="71"/>
  <c r="P216" i="71"/>
  <c r="Q216" i="71"/>
  <c r="R216" i="71"/>
  <c r="S216" i="71"/>
  <c r="T216" i="71"/>
  <c r="U216" i="71"/>
  <c r="V216" i="71"/>
  <c r="W216" i="71"/>
  <c r="X216" i="71"/>
  <c r="Y216" i="71"/>
  <c r="Z216" i="71"/>
  <c r="AA216" i="71"/>
  <c r="AB216" i="71"/>
  <c r="AC216" i="71"/>
  <c r="AD216" i="71"/>
  <c r="AE216" i="71"/>
  <c r="AF216" i="71"/>
  <c r="AG216" i="71"/>
  <c r="AH216" i="71"/>
  <c r="AI216" i="71"/>
  <c r="AJ216" i="71"/>
  <c r="AK216" i="71"/>
  <c r="AL216" i="71"/>
  <c r="AM216" i="71"/>
  <c r="AN216" i="71"/>
  <c r="AO216" i="71"/>
  <c r="AP216" i="71"/>
  <c r="AQ216" i="71"/>
  <c r="AR216" i="71"/>
  <c r="AS216" i="71"/>
  <c r="AT216" i="71"/>
  <c r="AU216" i="71"/>
  <c r="AV216" i="71"/>
  <c r="AW216" i="71"/>
  <c r="AX216" i="71"/>
  <c r="AY216" i="71"/>
  <c r="AZ216" i="71"/>
  <c r="BA216" i="71"/>
  <c r="BB216" i="71"/>
  <c r="BC216" i="71"/>
  <c r="BD216" i="71"/>
  <c r="BE216" i="71"/>
  <c r="BF216" i="71"/>
  <c r="BG216" i="71"/>
  <c r="BH216" i="71"/>
  <c r="BI216" i="71"/>
  <c r="BJ216" i="71"/>
  <c r="BK216" i="71"/>
  <c r="BL216" i="71"/>
  <c r="BM216" i="71"/>
  <c r="BN216" i="71"/>
  <c r="BO216" i="71"/>
  <c r="BP216" i="71"/>
  <c r="BQ216" i="71"/>
  <c r="BR216" i="71"/>
  <c r="BS216" i="71"/>
  <c r="BT216" i="71"/>
  <c r="BU216" i="71"/>
  <c r="BV216" i="71"/>
  <c r="BW216" i="71"/>
  <c r="BX216" i="71"/>
  <c r="BY216" i="71"/>
  <c r="BZ216" i="71"/>
  <c r="CA216" i="71"/>
  <c r="CB216" i="71"/>
  <c r="CC216" i="71"/>
  <c r="CD216" i="71"/>
  <c r="CE216" i="71"/>
  <c r="CF216" i="71"/>
  <c r="CG216" i="71"/>
  <c r="CH216" i="71"/>
  <c r="CI216" i="71"/>
  <c r="CJ216" i="71"/>
  <c r="CK216" i="71"/>
  <c r="CL216" i="71"/>
  <c r="CM216" i="71"/>
  <c r="CN216" i="71"/>
  <c r="CO216" i="71"/>
  <c r="CP216" i="71"/>
  <c r="CQ216" i="71"/>
  <c r="CR216" i="71"/>
  <c r="CS216" i="71"/>
  <c r="CT216" i="71"/>
  <c r="CU216" i="71"/>
  <c r="CV216" i="71"/>
  <c r="CW216" i="71"/>
  <c r="CX216" i="71"/>
  <c r="CY216" i="71"/>
  <c r="CZ216" i="71"/>
  <c r="DA216" i="71"/>
  <c r="DB216" i="71"/>
  <c r="DC216" i="71"/>
  <c r="DD216" i="71"/>
  <c r="DE216" i="71"/>
  <c r="DF216" i="71"/>
  <c r="DG216" i="71"/>
  <c r="DH216" i="71"/>
  <c r="DI216" i="71"/>
  <c r="DJ216" i="71"/>
  <c r="DK216" i="71"/>
  <c r="DL216" i="71"/>
  <c r="DM216" i="71"/>
  <c r="DN216" i="71"/>
  <c r="DO216" i="71"/>
  <c r="DP216" i="71"/>
  <c r="DQ216" i="71"/>
  <c r="DR216" i="71"/>
  <c r="DS216" i="71"/>
  <c r="DT216" i="71"/>
  <c r="DU216" i="71"/>
  <c r="F217" i="71"/>
  <c r="G217" i="71"/>
  <c r="H217" i="71"/>
  <c r="I217" i="71"/>
  <c r="J217" i="71"/>
  <c r="K217" i="71"/>
  <c r="L217" i="71"/>
  <c r="M217" i="71"/>
  <c r="N217" i="71"/>
  <c r="O217" i="71"/>
  <c r="P217" i="71"/>
  <c r="Q217" i="71"/>
  <c r="S217" i="71"/>
  <c r="T217" i="71"/>
  <c r="U217" i="71"/>
  <c r="V217" i="71"/>
  <c r="W217" i="71"/>
  <c r="X217" i="71"/>
  <c r="Y217" i="71"/>
  <c r="Z217" i="71"/>
  <c r="AA217" i="71"/>
  <c r="AB217" i="71"/>
  <c r="AC217" i="71"/>
  <c r="AE217" i="71"/>
  <c r="AF217" i="71"/>
  <c r="AG217" i="71"/>
  <c r="AH217" i="71"/>
  <c r="AI217" i="71"/>
  <c r="AJ217" i="71"/>
  <c r="AK217" i="71"/>
  <c r="AL217" i="71"/>
  <c r="AM217" i="71"/>
  <c r="AN217" i="71"/>
  <c r="AO217" i="71"/>
  <c r="AQ217" i="71"/>
  <c r="AR217" i="71"/>
  <c r="AS217" i="71"/>
  <c r="AT217" i="71"/>
  <c r="AU217" i="71"/>
  <c r="AV217" i="71"/>
  <c r="AW217" i="71"/>
  <c r="AX217" i="71"/>
  <c r="AY217" i="71"/>
  <c r="AZ217" i="71"/>
  <c r="BA217" i="71"/>
  <c r="BC217" i="71"/>
  <c r="BD217" i="71"/>
  <c r="BE217" i="71"/>
  <c r="BF217" i="71"/>
  <c r="BG217" i="71"/>
  <c r="BH217" i="71"/>
  <c r="BI217" i="71"/>
  <c r="BJ217" i="71"/>
  <c r="BK217" i="71"/>
  <c r="BL217" i="71"/>
  <c r="BM217" i="71"/>
  <c r="BO217" i="71"/>
  <c r="BP217" i="71"/>
  <c r="BQ217" i="71"/>
  <c r="BR217" i="71"/>
  <c r="BS217" i="71"/>
  <c r="BT217" i="71"/>
  <c r="BU217" i="71"/>
  <c r="BV217" i="71"/>
  <c r="BW217" i="71"/>
  <c r="BX217" i="71"/>
  <c r="BY217" i="71"/>
  <c r="CA217" i="71"/>
  <c r="CB217" i="71"/>
  <c r="CC217" i="71"/>
  <c r="CD217" i="71"/>
  <c r="CE217" i="71"/>
  <c r="CF217" i="71"/>
  <c r="CG217" i="71"/>
  <c r="CH217" i="71"/>
  <c r="CI217" i="71"/>
  <c r="CJ217" i="71"/>
  <c r="CK217" i="71"/>
  <c r="CM217" i="71"/>
  <c r="CN217" i="71"/>
  <c r="CO217" i="71"/>
  <c r="CP217" i="71"/>
  <c r="CQ217" i="71"/>
  <c r="CR217" i="71"/>
  <c r="CS217" i="71"/>
  <c r="CT217" i="71"/>
  <c r="CU217" i="71"/>
  <c r="CV217" i="71"/>
  <c r="CW217" i="71"/>
  <c r="CY217" i="71"/>
  <c r="CZ217" i="71"/>
  <c r="DA217" i="71"/>
  <c r="DB217" i="71"/>
  <c r="DC217" i="71"/>
  <c r="DD217" i="71"/>
  <c r="DE217" i="71"/>
  <c r="DF217" i="71"/>
  <c r="DG217" i="71"/>
  <c r="DH217" i="71"/>
  <c r="DI217" i="71"/>
  <c r="DK217" i="71"/>
  <c r="DL217" i="71"/>
  <c r="DM217" i="71"/>
  <c r="DN217" i="71"/>
  <c r="DO217" i="71"/>
  <c r="DP217" i="71"/>
  <c r="DQ217" i="71"/>
  <c r="DR217" i="71"/>
  <c r="DS217" i="71"/>
  <c r="DT217" i="71"/>
  <c r="DU217" i="71"/>
  <c r="F218" i="71"/>
  <c r="G218" i="71"/>
  <c r="H218" i="71"/>
  <c r="I218" i="71"/>
  <c r="J218" i="71"/>
  <c r="K218" i="71"/>
  <c r="L218" i="71"/>
  <c r="M218" i="71"/>
  <c r="N218" i="71"/>
  <c r="O218" i="71"/>
  <c r="P218" i="71"/>
  <c r="Q218" i="71"/>
  <c r="S218" i="71"/>
  <c r="T218" i="71"/>
  <c r="U218" i="71"/>
  <c r="V218" i="71"/>
  <c r="W218" i="71"/>
  <c r="X218" i="71"/>
  <c r="Y218" i="71"/>
  <c r="Z218" i="71"/>
  <c r="AA218" i="71"/>
  <c r="AB218" i="71"/>
  <c r="AC218" i="71"/>
  <c r="AE218" i="71"/>
  <c r="AF218" i="71"/>
  <c r="AG218" i="71"/>
  <c r="AH218" i="71"/>
  <c r="AI218" i="71"/>
  <c r="AJ218" i="71"/>
  <c r="AK218" i="71"/>
  <c r="AL218" i="71"/>
  <c r="AM218" i="71"/>
  <c r="AN218" i="71"/>
  <c r="AO218" i="71"/>
  <c r="AQ218" i="71"/>
  <c r="AR218" i="71"/>
  <c r="AS218" i="71"/>
  <c r="AT218" i="71"/>
  <c r="AU218" i="71"/>
  <c r="AV218" i="71"/>
  <c r="AW218" i="71"/>
  <c r="AX218" i="71"/>
  <c r="AY218" i="71"/>
  <c r="AZ218" i="71"/>
  <c r="BA218" i="71"/>
  <c r="BC218" i="71"/>
  <c r="BD218" i="71"/>
  <c r="BE218" i="71"/>
  <c r="BF218" i="71"/>
  <c r="BG218" i="71"/>
  <c r="BH218" i="71"/>
  <c r="BI218" i="71"/>
  <c r="BJ218" i="71"/>
  <c r="BK218" i="71"/>
  <c r="BL218" i="71"/>
  <c r="BM218" i="71"/>
  <c r="BO218" i="71"/>
  <c r="BP218" i="71"/>
  <c r="BQ218" i="71"/>
  <c r="BR218" i="71"/>
  <c r="BS218" i="71"/>
  <c r="BT218" i="71"/>
  <c r="BU218" i="71"/>
  <c r="BV218" i="71"/>
  <c r="BW218" i="71"/>
  <c r="BX218" i="71"/>
  <c r="BY218" i="71"/>
  <c r="CA218" i="71"/>
  <c r="CB218" i="71"/>
  <c r="CC218" i="71"/>
  <c r="CD218" i="71"/>
  <c r="CE218" i="71"/>
  <c r="CF218" i="71"/>
  <c r="CG218" i="71"/>
  <c r="CH218" i="71"/>
  <c r="CI218" i="71"/>
  <c r="CJ218" i="71"/>
  <c r="CK218" i="71"/>
  <c r="CM218" i="71"/>
  <c r="CN218" i="71"/>
  <c r="CO218" i="71"/>
  <c r="CP218" i="71"/>
  <c r="CQ218" i="71"/>
  <c r="CR218" i="71"/>
  <c r="CS218" i="71"/>
  <c r="CT218" i="71"/>
  <c r="CU218" i="71"/>
  <c r="CV218" i="71"/>
  <c r="CW218" i="71"/>
  <c r="CY218" i="71"/>
  <c r="CZ218" i="71"/>
  <c r="DA218" i="71"/>
  <c r="DB218" i="71"/>
  <c r="DC218" i="71"/>
  <c r="DD218" i="71"/>
  <c r="DE218" i="71"/>
  <c r="DF218" i="71"/>
  <c r="DG218" i="71"/>
  <c r="DH218" i="71"/>
  <c r="DI218" i="71"/>
  <c r="DK218" i="71"/>
  <c r="DL218" i="71"/>
  <c r="DM218" i="71"/>
  <c r="DN218" i="71"/>
  <c r="DO218" i="71"/>
  <c r="DP218" i="71"/>
  <c r="DQ218" i="71"/>
  <c r="DR218" i="71"/>
  <c r="DS218" i="71"/>
  <c r="DT218" i="71"/>
  <c r="DU218" i="71"/>
  <c r="E221" i="71"/>
  <c r="F221" i="71"/>
  <c r="G221" i="71"/>
  <c r="H221" i="71"/>
  <c r="I221" i="71"/>
  <c r="J221" i="71"/>
  <c r="K221" i="71"/>
  <c r="L221" i="71"/>
  <c r="M221" i="71"/>
  <c r="N221" i="71"/>
  <c r="O221" i="71"/>
  <c r="P221" i="71"/>
  <c r="Q221" i="71"/>
  <c r="R221" i="71"/>
  <c r="S221" i="71"/>
  <c r="T221" i="71"/>
  <c r="U221" i="71"/>
  <c r="V221" i="71"/>
  <c r="W221" i="71"/>
  <c r="X221" i="71"/>
  <c r="Y221" i="71"/>
  <c r="Z221" i="71"/>
  <c r="AA221" i="71"/>
  <c r="AB221" i="71"/>
  <c r="AC221" i="71"/>
  <c r="AD221" i="71"/>
  <c r="AE221" i="71"/>
  <c r="AF221" i="71"/>
  <c r="AG221" i="71"/>
  <c r="AH221" i="71"/>
  <c r="AI221" i="71"/>
  <c r="AJ221" i="71"/>
  <c r="AK221" i="71"/>
  <c r="AL221" i="71"/>
  <c r="AM221" i="71"/>
  <c r="AN221" i="71"/>
  <c r="AO221" i="71"/>
  <c r="AP221" i="71"/>
  <c r="AQ221" i="71"/>
  <c r="AR221" i="71"/>
  <c r="AS221" i="71"/>
  <c r="AT221" i="71"/>
  <c r="AU221" i="71"/>
  <c r="AV221" i="71"/>
  <c r="AW221" i="71"/>
  <c r="AX221" i="71"/>
  <c r="AY221" i="71"/>
  <c r="AZ221" i="71"/>
  <c r="BA221" i="71"/>
  <c r="BB221" i="71"/>
  <c r="BC221" i="71"/>
  <c r="BD221" i="71"/>
  <c r="BE221" i="71"/>
  <c r="BF221" i="71"/>
  <c r="BG221" i="71"/>
  <c r="BH221" i="71"/>
  <c r="BI221" i="71"/>
  <c r="BJ221" i="71"/>
  <c r="BK221" i="71"/>
  <c r="BL221" i="71"/>
  <c r="BM221" i="71"/>
  <c r="BN221" i="71"/>
  <c r="BO221" i="71"/>
  <c r="BP221" i="71"/>
  <c r="BQ221" i="71"/>
  <c r="BR221" i="71"/>
  <c r="BS221" i="71"/>
  <c r="BT221" i="71"/>
  <c r="BU221" i="71"/>
  <c r="BV221" i="71"/>
  <c r="BW221" i="71"/>
  <c r="BX221" i="71"/>
  <c r="BY221" i="71"/>
  <c r="BZ221" i="71"/>
  <c r="CA221" i="71"/>
  <c r="CB221" i="71"/>
  <c r="CC221" i="71"/>
  <c r="CD221" i="71"/>
  <c r="CE221" i="71"/>
  <c r="CF221" i="71"/>
  <c r="CG221" i="71"/>
  <c r="CH221" i="71"/>
  <c r="CI221" i="71"/>
  <c r="CJ221" i="71"/>
  <c r="CK221" i="71"/>
  <c r="CL221" i="71"/>
  <c r="CM221" i="71"/>
  <c r="CN221" i="71"/>
  <c r="CO221" i="71"/>
  <c r="CP221" i="71"/>
  <c r="CQ221" i="71"/>
  <c r="CR221" i="71"/>
  <c r="CS221" i="71"/>
  <c r="CT221" i="71"/>
  <c r="CU221" i="71"/>
  <c r="CV221" i="71"/>
  <c r="CW221" i="71"/>
  <c r="CX221" i="71"/>
  <c r="CY221" i="71"/>
  <c r="CZ221" i="71"/>
  <c r="DA221" i="71"/>
  <c r="DB221" i="71"/>
  <c r="DC221" i="71"/>
  <c r="DD221" i="71"/>
  <c r="DE221" i="71"/>
  <c r="DF221" i="71"/>
  <c r="DG221" i="71"/>
  <c r="DH221" i="71"/>
  <c r="DI221" i="71"/>
  <c r="DJ221" i="71"/>
  <c r="DK221" i="71"/>
  <c r="DL221" i="71"/>
  <c r="DM221" i="71"/>
  <c r="DN221" i="71"/>
  <c r="DO221" i="71"/>
  <c r="DP221" i="71"/>
  <c r="DQ221" i="71"/>
  <c r="DR221" i="71"/>
  <c r="DS221" i="71"/>
  <c r="DT221" i="71"/>
  <c r="DU221" i="71"/>
  <c r="G227" i="71"/>
  <c r="H227" i="71"/>
  <c r="I227" i="71"/>
  <c r="J227" i="71"/>
  <c r="K227" i="71"/>
  <c r="L227" i="71"/>
  <c r="M227" i="71"/>
  <c r="N227" i="71"/>
  <c r="O227" i="71"/>
  <c r="P227" i="71"/>
  <c r="Q227" i="71"/>
  <c r="R227" i="71"/>
  <c r="S227" i="71"/>
  <c r="T227" i="71"/>
  <c r="U227" i="71"/>
  <c r="V227" i="71"/>
  <c r="W227" i="71"/>
  <c r="X227" i="71"/>
  <c r="Y227" i="71"/>
  <c r="Z227" i="71"/>
  <c r="AA227" i="71"/>
  <c r="AB227" i="71"/>
  <c r="AC227" i="71"/>
  <c r="AE227" i="71"/>
  <c r="AF227" i="71"/>
  <c r="AG227" i="71"/>
  <c r="AH227" i="71"/>
  <c r="AI227" i="71"/>
  <c r="AJ227" i="71"/>
  <c r="AK227" i="71"/>
  <c r="AL227" i="71"/>
  <c r="AM227" i="71"/>
  <c r="AN227" i="71"/>
  <c r="AO227" i="71"/>
  <c r="AP227" i="71"/>
  <c r="AQ227" i="71"/>
  <c r="AR227" i="71"/>
  <c r="AS227" i="71"/>
  <c r="AT227" i="71"/>
  <c r="AU227" i="71"/>
  <c r="AV227" i="71"/>
  <c r="AW227" i="71"/>
  <c r="AX227" i="71"/>
  <c r="AY227" i="71"/>
  <c r="AZ227" i="71"/>
  <c r="BA227" i="71"/>
  <c r="BC227" i="71"/>
  <c r="BD227" i="71"/>
  <c r="BE227" i="71"/>
  <c r="BF227" i="71"/>
  <c r="BG227" i="71"/>
  <c r="BH227" i="71"/>
  <c r="BI227" i="71"/>
  <c r="BJ227" i="71"/>
  <c r="BK227" i="71"/>
  <c r="BL227" i="71"/>
  <c r="BM227" i="71"/>
  <c r="BO227" i="71"/>
  <c r="BP227" i="71"/>
  <c r="BQ227" i="71"/>
  <c r="BR227" i="71"/>
  <c r="BS227" i="71"/>
  <c r="BT227" i="71"/>
  <c r="BU227" i="71"/>
  <c r="BV227" i="71"/>
  <c r="BW227" i="71"/>
  <c r="BX227" i="71"/>
  <c r="BY227" i="71"/>
  <c r="CA227" i="71"/>
  <c r="CB227" i="71"/>
  <c r="CC227" i="71"/>
  <c r="CD227" i="71"/>
  <c r="CE227" i="71"/>
  <c r="CF227" i="71"/>
  <c r="CG227" i="71"/>
  <c r="CH227" i="71"/>
  <c r="CI227" i="71"/>
  <c r="CJ227" i="71"/>
  <c r="CK227" i="71"/>
  <c r="CM227" i="71"/>
  <c r="CN227" i="71"/>
  <c r="CO227" i="71"/>
  <c r="CP227" i="71"/>
  <c r="CQ227" i="71"/>
  <c r="CR227" i="71"/>
  <c r="CS227" i="71"/>
  <c r="CT227" i="71"/>
  <c r="CU227" i="71"/>
  <c r="CV227" i="71"/>
  <c r="CW227" i="71"/>
  <c r="CX227" i="71"/>
  <c r="CY227" i="71"/>
  <c r="CZ227" i="71"/>
  <c r="DA227" i="71"/>
  <c r="DB227" i="71"/>
  <c r="DC227" i="71"/>
  <c r="DD227" i="71"/>
  <c r="DE227" i="71"/>
  <c r="DF227" i="71"/>
  <c r="DG227" i="71"/>
  <c r="DH227" i="71"/>
  <c r="DI227" i="71"/>
  <c r="DJ227" i="71"/>
  <c r="DK227" i="71"/>
  <c r="DL227" i="71"/>
  <c r="DM227" i="71"/>
  <c r="DN227" i="71"/>
  <c r="DO227" i="71"/>
  <c r="DP227" i="71"/>
  <c r="DQ227" i="71"/>
  <c r="DR227" i="71"/>
  <c r="DS227" i="71"/>
  <c r="DT227" i="71"/>
  <c r="DU227" i="71"/>
  <c r="E228" i="71"/>
  <c r="F228" i="71"/>
  <c r="G228" i="71"/>
  <c r="H228" i="71"/>
  <c r="I228" i="71"/>
  <c r="J228" i="71"/>
  <c r="K228" i="71"/>
  <c r="L228" i="71"/>
  <c r="M228" i="71"/>
  <c r="N228" i="71"/>
  <c r="O228" i="71"/>
  <c r="P228" i="71"/>
  <c r="Q228" i="71"/>
  <c r="R228" i="71"/>
  <c r="S228" i="71"/>
  <c r="T228" i="71"/>
  <c r="U228" i="71"/>
  <c r="V228" i="71"/>
  <c r="W228" i="71"/>
  <c r="X228" i="71"/>
  <c r="Y228" i="71"/>
  <c r="Z228" i="71"/>
  <c r="AA228" i="71"/>
  <c r="AB228" i="71"/>
  <c r="AC228" i="71"/>
  <c r="AD228" i="71"/>
  <c r="AE228" i="71"/>
  <c r="AF228" i="71"/>
  <c r="AG228" i="71"/>
  <c r="AH228" i="71"/>
  <c r="AI228" i="71"/>
  <c r="AJ228" i="71"/>
  <c r="AK228" i="71"/>
  <c r="AL228" i="71"/>
  <c r="AM228" i="71"/>
  <c r="AN228" i="71"/>
  <c r="AO228" i="71"/>
  <c r="AP228" i="71"/>
  <c r="AQ228" i="71"/>
  <c r="AR228" i="71"/>
  <c r="AS228" i="71"/>
  <c r="AT228" i="71"/>
  <c r="AU228" i="71"/>
  <c r="AV228" i="71"/>
  <c r="AW228" i="71"/>
  <c r="AX228" i="71"/>
  <c r="AY228" i="71"/>
  <c r="AZ228" i="71"/>
  <c r="BA228" i="71"/>
  <c r="BB228" i="71"/>
  <c r="BC228" i="71"/>
  <c r="BD228" i="71"/>
  <c r="BE228" i="71"/>
  <c r="BF228" i="71"/>
  <c r="BG228" i="71"/>
  <c r="BH228" i="71"/>
  <c r="BI228" i="71"/>
  <c r="BJ228" i="71"/>
  <c r="BK228" i="71"/>
  <c r="BL228" i="71"/>
  <c r="BM228" i="71"/>
  <c r="BN228" i="71"/>
  <c r="BO228" i="71"/>
  <c r="BP228" i="71"/>
  <c r="BQ228" i="71"/>
  <c r="BR228" i="71"/>
  <c r="BS228" i="71"/>
  <c r="BT228" i="71"/>
  <c r="BU228" i="71"/>
  <c r="BV228" i="71"/>
  <c r="BW228" i="71"/>
  <c r="BX228" i="71"/>
  <c r="BY228" i="71"/>
  <c r="BZ228" i="71"/>
  <c r="CA228" i="71"/>
  <c r="CB228" i="71"/>
  <c r="CC228" i="71"/>
  <c r="CD228" i="71"/>
  <c r="CE228" i="71"/>
  <c r="CF228" i="71"/>
  <c r="CG228" i="71"/>
  <c r="CH228" i="71"/>
  <c r="CI228" i="71"/>
  <c r="CJ228" i="71"/>
  <c r="CK228" i="71"/>
  <c r="CL228" i="71"/>
  <c r="CM228" i="71"/>
  <c r="CN228" i="71"/>
  <c r="CO228" i="71"/>
  <c r="CP228" i="71"/>
  <c r="CQ228" i="71"/>
  <c r="CR228" i="71"/>
  <c r="CS228" i="71"/>
  <c r="CT228" i="71"/>
  <c r="CU228" i="71"/>
  <c r="CV228" i="71"/>
  <c r="CW228" i="71"/>
  <c r="CX228" i="71"/>
  <c r="CY228" i="71"/>
  <c r="CZ228" i="71"/>
  <c r="DA228" i="71"/>
  <c r="DB228" i="71"/>
  <c r="DC228" i="71"/>
  <c r="DD228" i="71"/>
  <c r="DE228" i="71"/>
  <c r="DF228" i="71"/>
  <c r="DG228" i="71"/>
  <c r="DH228" i="71"/>
  <c r="DI228" i="71"/>
  <c r="DJ228" i="71"/>
  <c r="DK228" i="71"/>
  <c r="DL228" i="71"/>
  <c r="DM228" i="71"/>
  <c r="DN228" i="71"/>
  <c r="DO228" i="71"/>
  <c r="DP228" i="71"/>
  <c r="DQ228" i="71"/>
  <c r="DR228" i="71"/>
  <c r="DS228" i="71"/>
  <c r="DT228" i="71"/>
  <c r="DU228" i="71"/>
  <c r="E229" i="71"/>
  <c r="F229" i="71"/>
  <c r="G229" i="71"/>
  <c r="H229" i="71"/>
  <c r="I229" i="71"/>
  <c r="J229" i="71"/>
  <c r="K229" i="71"/>
  <c r="L229" i="71"/>
  <c r="M229" i="71"/>
  <c r="N229" i="71"/>
  <c r="O229" i="71"/>
  <c r="P229" i="71"/>
  <c r="Q229" i="71"/>
  <c r="R229" i="71"/>
  <c r="S229" i="71"/>
  <c r="T229" i="71"/>
  <c r="U229" i="71"/>
  <c r="V229" i="71"/>
  <c r="W229" i="71"/>
  <c r="X229" i="71"/>
  <c r="Y229" i="71"/>
  <c r="Z229" i="71"/>
  <c r="AA229" i="71"/>
  <c r="AB229" i="71"/>
  <c r="AC229" i="71"/>
  <c r="AD229" i="71"/>
  <c r="AE229" i="71"/>
  <c r="AF229" i="71"/>
  <c r="AG229" i="71"/>
  <c r="AH229" i="71"/>
  <c r="AI229" i="71"/>
  <c r="AJ229" i="71"/>
  <c r="AK229" i="71"/>
  <c r="AL229" i="71"/>
  <c r="AM229" i="71"/>
  <c r="AN229" i="71"/>
  <c r="AO229" i="71"/>
  <c r="AP229" i="71"/>
  <c r="AQ229" i="71"/>
  <c r="AR229" i="71"/>
  <c r="AS229" i="71"/>
  <c r="AT229" i="71"/>
  <c r="AU229" i="71"/>
  <c r="AV229" i="71"/>
  <c r="AW229" i="71"/>
  <c r="AX229" i="71"/>
  <c r="AY229" i="71"/>
  <c r="AZ229" i="71"/>
  <c r="BA229" i="71"/>
  <c r="BB229" i="71"/>
  <c r="BC229" i="71"/>
  <c r="BD229" i="71"/>
  <c r="BE229" i="71"/>
  <c r="BF229" i="71"/>
  <c r="BG229" i="71"/>
  <c r="BH229" i="71"/>
  <c r="BI229" i="71"/>
  <c r="BJ229" i="71"/>
  <c r="BK229" i="71"/>
  <c r="BL229" i="71"/>
  <c r="BM229" i="71"/>
  <c r="BN229" i="71"/>
  <c r="BO229" i="71"/>
  <c r="BP229" i="71"/>
  <c r="BQ229" i="71"/>
  <c r="BR229" i="71"/>
  <c r="BS229" i="71"/>
  <c r="BT229" i="71"/>
  <c r="BU229" i="71"/>
  <c r="BV229" i="71"/>
  <c r="BW229" i="71"/>
  <c r="BX229" i="71"/>
  <c r="BY229" i="71"/>
  <c r="BZ229" i="71"/>
  <c r="CA229" i="71"/>
  <c r="CB229" i="71"/>
  <c r="CC229" i="71"/>
  <c r="CD229" i="71"/>
  <c r="CE229" i="71"/>
  <c r="CF229" i="71"/>
  <c r="CG229" i="71"/>
  <c r="CH229" i="71"/>
  <c r="CI229" i="71"/>
  <c r="CJ229" i="71"/>
  <c r="CK229" i="71"/>
  <c r="CL229" i="71"/>
  <c r="CM229" i="71"/>
  <c r="CN229" i="71"/>
  <c r="CO229" i="71"/>
  <c r="CP229" i="71"/>
  <c r="CQ229" i="71"/>
  <c r="CR229" i="71"/>
  <c r="CS229" i="71"/>
  <c r="CT229" i="71"/>
  <c r="CU229" i="71"/>
  <c r="CV229" i="71"/>
  <c r="CW229" i="71"/>
  <c r="CX229" i="71"/>
  <c r="CY229" i="71"/>
  <c r="CZ229" i="71"/>
  <c r="DA229" i="71"/>
  <c r="DB229" i="71"/>
  <c r="DC229" i="71"/>
  <c r="DD229" i="71"/>
  <c r="DE229" i="71"/>
  <c r="DF229" i="71"/>
  <c r="DG229" i="71"/>
  <c r="DH229" i="71"/>
  <c r="DI229" i="71"/>
  <c r="DJ229" i="71"/>
  <c r="DK229" i="71"/>
  <c r="DL229" i="71"/>
  <c r="DM229" i="71"/>
  <c r="DN229" i="71"/>
  <c r="DO229" i="71"/>
  <c r="DP229" i="71"/>
  <c r="DQ229" i="71"/>
  <c r="DR229" i="71"/>
  <c r="DS229" i="71"/>
  <c r="DT229" i="71"/>
  <c r="DU229" i="71"/>
  <c r="C230" i="71"/>
  <c r="E277" i="71"/>
  <c r="E282" i="71"/>
  <c r="E243" i="71"/>
  <c r="E247" i="71"/>
  <c r="F272" i="71"/>
  <c r="F277" i="71"/>
  <c r="F282" i="71"/>
  <c r="F243" i="71"/>
  <c r="F247" i="71"/>
  <c r="G34" i="71"/>
  <c r="G38" i="71"/>
  <c r="G257" i="71"/>
  <c r="G258" i="71"/>
  <c r="G265" i="71"/>
  <c r="G272" i="71"/>
  <c r="G277" i="71"/>
  <c r="G282" i="71"/>
  <c r="G243" i="71"/>
  <c r="G247" i="71"/>
  <c r="H257" i="71"/>
  <c r="H258" i="71"/>
  <c r="H265" i="71"/>
  <c r="H272" i="71"/>
  <c r="H277" i="71"/>
  <c r="H282" i="71"/>
  <c r="H243" i="71"/>
  <c r="H247" i="71"/>
  <c r="I34" i="71"/>
  <c r="I38" i="71"/>
  <c r="I257" i="71"/>
  <c r="I258" i="71"/>
  <c r="I265" i="71"/>
  <c r="I272" i="71"/>
  <c r="I277" i="71"/>
  <c r="I282" i="71"/>
  <c r="I243" i="71"/>
  <c r="I247" i="71"/>
  <c r="J34" i="71"/>
  <c r="J38" i="71"/>
  <c r="J257" i="71"/>
  <c r="J258" i="71"/>
  <c r="J265" i="71"/>
  <c r="J272" i="71"/>
  <c r="J277" i="71"/>
  <c r="J282" i="71"/>
  <c r="J243" i="71"/>
  <c r="J247" i="71"/>
  <c r="K34" i="71"/>
  <c r="K38" i="71"/>
  <c r="K257" i="71"/>
  <c r="K258" i="71"/>
  <c r="K265" i="71"/>
  <c r="K272" i="71"/>
  <c r="K277" i="71"/>
  <c r="K282" i="71"/>
  <c r="K243" i="71"/>
  <c r="K247" i="71"/>
  <c r="L277" i="71"/>
  <c r="L282" i="71"/>
  <c r="L243" i="71"/>
  <c r="L247" i="71"/>
  <c r="M258" i="71"/>
  <c r="M265" i="71"/>
  <c r="M272" i="71"/>
  <c r="M277" i="71"/>
  <c r="M282" i="71"/>
  <c r="M243" i="71"/>
  <c r="M247" i="71"/>
  <c r="N34" i="71"/>
  <c r="N38" i="71"/>
  <c r="N257" i="71"/>
  <c r="N258" i="71"/>
  <c r="N265" i="71"/>
  <c r="N272" i="71"/>
  <c r="N277" i="71"/>
  <c r="N282" i="71"/>
  <c r="N243" i="71"/>
  <c r="N247" i="71"/>
  <c r="O34" i="71"/>
  <c r="O38" i="71"/>
  <c r="O257" i="71"/>
  <c r="O258" i="71"/>
  <c r="O265" i="71"/>
  <c r="O272" i="71"/>
  <c r="O277" i="71"/>
  <c r="O282" i="71"/>
  <c r="O243" i="71"/>
  <c r="O247" i="71"/>
  <c r="P34" i="71"/>
  <c r="P38" i="71"/>
  <c r="P257" i="71"/>
  <c r="P258" i="71"/>
  <c r="P265" i="71"/>
  <c r="P272" i="71"/>
  <c r="P277" i="71"/>
  <c r="P282" i="71"/>
  <c r="P243" i="71"/>
  <c r="P247" i="71"/>
  <c r="Q257" i="71"/>
  <c r="Q258" i="71"/>
  <c r="Q265" i="71"/>
  <c r="Q272" i="71"/>
  <c r="Q277" i="71"/>
  <c r="Q282" i="71"/>
  <c r="Q243" i="71"/>
  <c r="Q247" i="71"/>
  <c r="R272" i="71"/>
  <c r="R277" i="71"/>
  <c r="R282" i="71"/>
  <c r="R243" i="71"/>
  <c r="R247" i="71"/>
  <c r="S34" i="71"/>
  <c r="S38" i="71"/>
  <c r="S257" i="71"/>
  <c r="S258" i="71"/>
  <c r="S265" i="71"/>
  <c r="S272" i="71"/>
  <c r="S277" i="71"/>
  <c r="S282" i="71"/>
  <c r="S243" i="71"/>
  <c r="S247" i="71"/>
  <c r="T34" i="71"/>
  <c r="T38" i="71"/>
  <c r="T257" i="71"/>
  <c r="T258" i="71"/>
  <c r="T265" i="71"/>
  <c r="T272" i="71"/>
  <c r="T277" i="71"/>
  <c r="T282" i="71"/>
  <c r="T243" i="71"/>
  <c r="T247" i="71"/>
  <c r="U34" i="71"/>
  <c r="U38" i="71"/>
  <c r="U257" i="71"/>
  <c r="U258" i="71"/>
  <c r="U265" i="71"/>
  <c r="U272" i="71"/>
  <c r="U277" i="71"/>
  <c r="U282" i="71"/>
  <c r="U243" i="71"/>
  <c r="U247" i="71"/>
  <c r="V34" i="71"/>
  <c r="V38" i="71"/>
  <c r="V257" i="71"/>
  <c r="V258" i="71"/>
  <c r="V265" i="71"/>
  <c r="V272" i="71"/>
  <c r="V277" i="71"/>
  <c r="V282" i="71"/>
  <c r="V243" i="71"/>
  <c r="V247" i="71"/>
  <c r="W34" i="71"/>
  <c r="W38" i="71"/>
  <c r="W257" i="71"/>
  <c r="W258" i="71"/>
  <c r="W265" i="71"/>
  <c r="W272" i="71"/>
  <c r="W277" i="71"/>
  <c r="W282" i="71"/>
  <c r="W243" i="71"/>
  <c r="W247" i="71"/>
  <c r="X272" i="71"/>
  <c r="X277" i="71"/>
  <c r="X282" i="71"/>
  <c r="X243" i="71"/>
  <c r="X247" i="71"/>
  <c r="Y34" i="71"/>
  <c r="Y38" i="71"/>
  <c r="Y257" i="71"/>
  <c r="Y258" i="71"/>
  <c r="Y265" i="71"/>
  <c r="Y272" i="71"/>
  <c r="Y277" i="71"/>
  <c r="Y282" i="71"/>
  <c r="Y243" i="71"/>
  <c r="Y247" i="71"/>
  <c r="Z257" i="71"/>
  <c r="Z258" i="71"/>
  <c r="Z265" i="71"/>
  <c r="Z272" i="71"/>
  <c r="Z277" i="71"/>
  <c r="Z282" i="71"/>
  <c r="Z243" i="71"/>
  <c r="Z247" i="71"/>
  <c r="AA34" i="71"/>
  <c r="AA38" i="71"/>
  <c r="AA257" i="71"/>
  <c r="AA258" i="71"/>
  <c r="AA265" i="71"/>
  <c r="AA272" i="71"/>
  <c r="AA277" i="71"/>
  <c r="AA282" i="71"/>
  <c r="AA243" i="71"/>
  <c r="AA247" i="71"/>
  <c r="AB34" i="71"/>
  <c r="AB38" i="71"/>
  <c r="AB257" i="71"/>
  <c r="AB258" i="71"/>
  <c r="AB265" i="71"/>
  <c r="AB272" i="71"/>
  <c r="AB277" i="71"/>
  <c r="AB282" i="71"/>
  <c r="AB243" i="71"/>
  <c r="AB247" i="71"/>
  <c r="AC34" i="71"/>
  <c r="AC38" i="71"/>
  <c r="AC257" i="71"/>
  <c r="AC258" i="71"/>
  <c r="AC265" i="71"/>
  <c r="AC272" i="71"/>
  <c r="AC277" i="71"/>
  <c r="AC282" i="71"/>
  <c r="AC243" i="71"/>
  <c r="AC247" i="71"/>
  <c r="AD272" i="71"/>
  <c r="AD277" i="71"/>
  <c r="AD282" i="71"/>
  <c r="AD243" i="71"/>
  <c r="AD247" i="71"/>
  <c r="AE34" i="71"/>
  <c r="AE38" i="71"/>
  <c r="AE257" i="71"/>
  <c r="AE258" i="71"/>
  <c r="AE265" i="71"/>
  <c r="AE272" i="71"/>
  <c r="AE277" i="71"/>
  <c r="AE282" i="71"/>
  <c r="AE243" i="71"/>
  <c r="AE247" i="71"/>
  <c r="AF257" i="71"/>
  <c r="AF258" i="71"/>
  <c r="AF265" i="71"/>
  <c r="AF272" i="71"/>
  <c r="AF277" i="71"/>
  <c r="AF282" i="71"/>
  <c r="AF243" i="71"/>
  <c r="AF247" i="71"/>
  <c r="AG272" i="71"/>
  <c r="AG277" i="71"/>
  <c r="AG282" i="71"/>
  <c r="AG243" i="71"/>
  <c r="AG247" i="71"/>
  <c r="AH34" i="71"/>
  <c r="AH38" i="71"/>
  <c r="AH257" i="71"/>
  <c r="AH258" i="71"/>
  <c r="AH265" i="71"/>
  <c r="AH272" i="71"/>
  <c r="AH277" i="71"/>
  <c r="AH282" i="71"/>
  <c r="AH243" i="71"/>
  <c r="AH247" i="71"/>
  <c r="AI34" i="71"/>
  <c r="AI38" i="71"/>
  <c r="AI257" i="71"/>
  <c r="AI258" i="71"/>
  <c r="AI265" i="71"/>
  <c r="AI272" i="71"/>
  <c r="AI277" i="71"/>
  <c r="AI282" i="71"/>
  <c r="AI243" i="71"/>
  <c r="AI247" i="71"/>
  <c r="AJ34" i="71"/>
  <c r="AJ38" i="71"/>
  <c r="AJ257" i="71"/>
  <c r="AJ258" i="71"/>
  <c r="AJ265" i="71"/>
  <c r="AJ272" i="71"/>
  <c r="AJ277" i="71"/>
  <c r="AJ282" i="71"/>
  <c r="AJ243" i="71"/>
  <c r="AJ247" i="71"/>
  <c r="AK254" i="71"/>
  <c r="AK255" i="71"/>
  <c r="AK265" i="71"/>
  <c r="AK272" i="71"/>
  <c r="AK277" i="71"/>
  <c r="AK282" i="71"/>
  <c r="AK243" i="71"/>
  <c r="AK247" i="71"/>
  <c r="AL257" i="71"/>
  <c r="AL258" i="71"/>
  <c r="AL265" i="71"/>
  <c r="AL272" i="71"/>
  <c r="AL277" i="71"/>
  <c r="AL282" i="71"/>
  <c r="AL243" i="71"/>
  <c r="AL247" i="71"/>
  <c r="AM34" i="71"/>
  <c r="AM38" i="71"/>
  <c r="AM257" i="71"/>
  <c r="AM258" i="71"/>
  <c r="AM265" i="71"/>
  <c r="AM272" i="71"/>
  <c r="AM277" i="71"/>
  <c r="AM282" i="71"/>
  <c r="AM243" i="71"/>
  <c r="AM247" i="71"/>
  <c r="AN34" i="71"/>
  <c r="AN38" i="71"/>
  <c r="AN257" i="71"/>
  <c r="AN258" i="71"/>
  <c r="AN265" i="71"/>
  <c r="AN272" i="71"/>
  <c r="AN277" i="71"/>
  <c r="AN282" i="71"/>
  <c r="AN243" i="71"/>
  <c r="AN247" i="71"/>
  <c r="AO38" i="71"/>
  <c r="AO257" i="71"/>
  <c r="AO258" i="71"/>
  <c r="AO265" i="71"/>
  <c r="AO272" i="71"/>
  <c r="AO277" i="71"/>
  <c r="AO282" i="71"/>
  <c r="AO243" i="71"/>
  <c r="AO247" i="71"/>
  <c r="AP272" i="71"/>
  <c r="AP277" i="71"/>
  <c r="AP282" i="71"/>
  <c r="AP243" i="71"/>
  <c r="AP247" i="71"/>
  <c r="AQ257" i="71"/>
  <c r="AQ258" i="71"/>
  <c r="AQ265" i="71"/>
  <c r="AQ272" i="71"/>
  <c r="AQ277" i="71"/>
  <c r="AQ282" i="71"/>
  <c r="AQ243" i="71"/>
  <c r="AQ247" i="71"/>
  <c r="AR34" i="71"/>
  <c r="AR38" i="71"/>
  <c r="AR257" i="71"/>
  <c r="AR258" i="71"/>
  <c r="AR265" i="71"/>
  <c r="AR272" i="71"/>
  <c r="AR277" i="71"/>
  <c r="AR282" i="71"/>
  <c r="AR243" i="71"/>
  <c r="AR247" i="71"/>
  <c r="AS272" i="71"/>
  <c r="AS277" i="71"/>
  <c r="AS282" i="71"/>
  <c r="AS243" i="71"/>
  <c r="AS247" i="71"/>
  <c r="AT38" i="71"/>
  <c r="AT257" i="71"/>
  <c r="AT258" i="71"/>
  <c r="AT265" i="71"/>
  <c r="AT272" i="71"/>
  <c r="AT277" i="71"/>
  <c r="AT282" i="71"/>
  <c r="AT243" i="71"/>
  <c r="AT247" i="71"/>
  <c r="AU34" i="71"/>
  <c r="AU38" i="71"/>
  <c r="AU257" i="71"/>
  <c r="AU258" i="71"/>
  <c r="AU265" i="71"/>
  <c r="AU272" i="71"/>
  <c r="AU277" i="71"/>
  <c r="AU282" i="71"/>
  <c r="AU243" i="71"/>
  <c r="AU247" i="71"/>
  <c r="AV272" i="71"/>
  <c r="AV277" i="71"/>
  <c r="AV282" i="71"/>
  <c r="AV243" i="71"/>
  <c r="AV247" i="71"/>
  <c r="AW34" i="71"/>
  <c r="AW38" i="71"/>
  <c r="AW257" i="71"/>
  <c r="AW258" i="71"/>
  <c r="AW265" i="71"/>
  <c r="AW272" i="71"/>
  <c r="AW277" i="71"/>
  <c r="AW282" i="71"/>
  <c r="AW243" i="71"/>
  <c r="AW247" i="71"/>
  <c r="AX34" i="71"/>
  <c r="AX38" i="71"/>
  <c r="AX257" i="71"/>
  <c r="AX258" i="71"/>
  <c r="AX265" i="71"/>
  <c r="AX272" i="71"/>
  <c r="AX277" i="71"/>
  <c r="AX282" i="71"/>
  <c r="AX243" i="71"/>
  <c r="AX247" i="71"/>
  <c r="AY38" i="71"/>
  <c r="AY257" i="71"/>
  <c r="AY258" i="71"/>
  <c r="AY265" i="71"/>
  <c r="AY272" i="71"/>
  <c r="AY277" i="71"/>
  <c r="AY282" i="71"/>
  <c r="AY243" i="71"/>
  <c r="AY247" i="71"/>
  <c r="AZ34" i="71"/>
  <c r="AZ38" i="71"/>
  <c r="AZ257" i="71"/>
  <c r="AZ258" i="71"/>
  <c r="AZ265" i="71"/>
  <c r="AZ272" i="71"/>
  <c r="AZ277" i="71"/>
  <c r="AZ282" i="71"/>
  <c r="AZ243" i="71"/>
  <c r="AZ247" i="71"/>
  <c r="BA257" i="71"/>
  <c r="BA258" i="71"/>
  <c r="BA265" i="71"/>
  <c r="BA272" i="71"/>
  <c r="BA277" i="71"/>
  <c r="BA282" i="71"/>
  <c r="BA243" i="71"/>
  <c r="BA247" i="71"/>
  <c r="BB272" i="71"/>
  <c r="BB277" i="71"/>
  <c r="BB282" i="71"/>
  <c r="BB243" i="71"/>
  <c r="BB247" i="71"/>
  <c r="BC34" i="71"/>
  <c r="BC38" i="71"/>
  <c r="BC257" i="71"/>
  <c r="BC258" i="71"/>
  <c r="BC265" i="71"/>
  <c r="BC272" i="71"/>
  <c r="BC277" i="71"/>
  <c r="BC282" i="71"/>
  <c r="BC243" i="71"/>
  <c r="BC247" i="71"/>
  <c r="BD34" i="71"/>
  <c r="BD38" i="71"/>
  <c r="BD257" i="71"/>
  <c r="BD258" i="71"/>
  <c r="BD265" i="71"/>
  <c r="BD272" i="71"/>
  <c r="BD277" i="71"/>
  <c r="BD282" i="71"/>
  <c r="BD243" i="71"/>
  <c r="BD247" i="71"/>
  <c r="BE257" i="71"/>
  <c r="BE258" i="71"/>
  <c r="BE265" i="71"/>
  <c r="BE272" i="71"/>
  <c r="BE277" i="71"/>
  <c r="BE282" i="71"/>
  <c r="BE243" i="71"/>
  <c r="BE247" i="71"/>
  <c r="BF34" i="71"/>
  <c r="BF38" i="71"/>
  <c r="BF257" i="71"/>
  <c r="BF258" i="71"/>
  <c r="BF265" i="71"/>
  <c r="BF272" i="71"/>
  <c r="BF277" i="71"/>
  <c r="BF282" i="71"/>
  <c r="BF243" i="71"/>
  <c r="BF247" i="71"/>
  <c r="BG34" i="71"/>
  <c r="BG38" i="71"/>
  <c r="BG257" i="71"/>
  <c r="BG258" i="71"/>
  <c r="BG265" i="71"/>
  <c r="BG272" i="71"/>
  <c r="BG277" i="71"/>
  <c r="BG282" i="71"/>
  <c r="BG243" i="71"/>
  <c r="BG247" i="71"/>
  <c r="BH257" i="71"/>
  <c r="BH258" i="71"/>
  <c r="BH265" i="71"/>
  <c r="BH272" i="71"/>
  <c r="BH277" i="71"/>
  <c r="BH282" i="71"/>
  <c r="BH243" i="71"/>
  <c r="BH247" i="71"/>
  <c r="BI38" i="71"/>
  <c r="BI257" i="71"/>
  <c r="BI258" i="71"/>
  <c r="BI265" i="71"/>
  <c r="BI272" i="71"/>
  <c r="BI277" i="71"/>
  <c r="BI282" i="71"/>
  <c r="BI243" i="71"/>
  <c r="BI247" i="71"/>
  <c r="BJ34" i="71"/>
  <c r="BJ38" i="71"/>
  <c r="BJ257" i="71"/>
  <c r="BJ258" i="71"/>
  <c r="BJ265" i="71"/>
  <c r="BJ272" i="71"/>
  <c r="BJ277" i="71"/>
  <c r="BJ282" i="71"/>
  <c r="BJ243" i="71"/>
  <c r="BJ247" i="71"/>
  <c r="BK272" i="71"/>
  <c r="BK277" i="71"/>
  <c r="BK282" i="71"/>
  <c r="BK243" i="71"/>
  <c r="BK247" i="71"/>
  <c r="BL34" i="71"/>
  <c r="BL38" i="71"/>
  <c r="BL257" i="71"/>
  <c r="BL258" i="71"/>
  <c r="BL265" i="71"/>
  <c r="BL272" i="71"/>
  <c r="BL277" i="71"/>
  <c r="BL282" i="71"/>
  <c r="BL243" i="71"/>
  <c r="BL247" i="71"/>
  <c r="BM38" i="71"/>
  <c r="BM257" i="71"/>
  <c r="BM258" i="71"/>
  <c r="BM265" i="71"/>
  <c r="BM272" i="71"/>
  <c r="BM277" i="71"/>
  <c r="BM282" i="71"/>
  <c r="BM243" i="71"/>
  <c r="BM247" i="71"/>
  <c r="BN272" i="71"/>
  <c r="BN277" i="71"/>
  <c r="BN282" i="71"/>
  <c r="BN243" i="71"/>
  <c r="BN247" i="71"/>
  <c r="BO34" i="71"/>
  <c r="BO38" i="71"/>
  <c r="BO257" i="71"/>
  <c r="BO258" i="71"/>
  <c r="BO265" i="71"/>
  <c r="BO272" i="71"/>
  <c r="BO277" i="71"/>
  <c r="BO282" i="71"/>
  <c r="BO243" i="71"/>
  <c r="BO247" i="71"/>
  <c r="BP38" i="71"/>
  <c r="BP257" i="71"/>
  <c r="BP258" i="71"/>
  <c r="BP265" i="71"/>
  <c r="BP272" i="71"/>
  <c r="BP277" i="71"/>
  <c r="BP282" i="71"/>
  <c r="BP243" i="71"/>
  <c r="BP247" i="71"/>
  <c r="BQ34" i="71"/>
  <c r="BQ38" i="71"/>
  <c r="BQ257" i="71"/>
  <c r="BQ258" i="71"/>
  <c r="BQ265" i="71"/>
  <c r="BQ272" i="71"/>
  <c r="BQ277" i="71"/>
  <c r="BQ282" i="71"/>
  <c r="BQ243" i="71"/>
  <c r="BQ247" i="71"/>
  <c r="BR34" i="71"/>
  <c r="BR38" i="71"/>
  <c r="BR257" i="71"/>
  <c r="BR258" i="71"/>
  <c r="BR265" i="71"/>
  <c r="BR272" i="71"/>
  <c r="BR277" i="71"/>
  <c r="BR282" i="71"/>
  <c r="BR243" i="71"/>
  <c r="BR247" i="71"/>
  <c r="BS34" i="71"/>
  <c r="BS38" i="71"/>
  <c r="BS257" i="71"/>
  <c r="BS258" i="71"/>
  <c r="BS265" i="71"/>
  <c r="BS272" i="71"/>
  <c r="BS277" i="71"/>
  <c r="BS282" i="71"/>
  <c r="BS243" i="71"/>
  <c r="BS247" i="71"/>
  <c r="BT277" i="71"/>
  <c r="BT282" i="71"/>
  <c r="BT243" i="71"/>
  <c r="BT247" i="71"/>
  <c r="BU257" i="71"/>
  <c r="BU258" i="71"/>
  <c r="BU265" i="71"/>
  <c r="BU272" i="71"/>
  <c r="BU277" i="71"/>
  <c r="BU282" i="71"/>
  <c r="BU243" i="71"/>
  <c r="BU247" i="71"/>
  <c r="BV34" i="71"/>
  <c r="BV38" i="71"/>
  <c r="BV257" i="71"/>
  <c r="BV258" i="71"/>
  <c r="BV265" i="71"/>
  <c r="BV272" i="71"/>
  <c r="BV277" i="71"/>
  <c r="BV282" i="71"/>
  <c r="BV243" i="71"/>
  <c r="BV247" i="71"/>
  <c r="BW34" i="71"/>
  <c r="BW38" i="71"/>
  <c r="BW257" i="71"/>
  <c r="BW258" i="71"/>
  <c r="BW265" i="71"/>
  <c r="BW272" i="71"/>
  <c r="BW277" i="71"/>
  <c r="BW282" i="71"/>
  <c r="BW243" i="71"/>
  <c r="BW247" i="71"/>
  <c r="BX34" i="71"/>
  <c r="BX38" i="71"/>
  <c r="BX257" i="71"/>
  <c r="BX258" i="71"/>
  <c r="BX265" i="71"/>
  <c r="BX272" i="71"/>
  <c r="BX277" i="71"/>
  <c r="BX282" i="71"/>
  <c r="BX243" i="71"/>
  <c r="BX247" i="71"/>
  <c r="BY34" i="71"/>
  <c r="BY38" i="71"/>
  <c r="BY257" i="71"/>
  <c r="BY258" i="71"/>
  <c r="BY265" i="71"/>
  <c r="BY272" i="71"/>
  <c r="BY277" i="71"/>
  <c r="BY282" i="71"/>
  <c r="BY243" i="71"/>
  <c r="BY247" i="71"/>
  <c r="BZ272" i="71"/>
  <c r="BZ277" i="71"/>
  <c r="BZ282" i="71"/>
  <c r="BZ243" i="71"/>
  <c r="BZ247" i="71"/>
  <c r="CA34" i="71"/>
  <c r="CA38" i="71"/>
  <c r="CA257" i="71"/>
  <c r="CA258" i="71"/>
  <c r="CA265" i="71"/>
  <c r="CA272" i="71"/>
  <c r="CA277" i="71"/>
  <c r="CA282" i="71"/>
  <c r="CA243" i="71"/>
  <c r="CA247" i="71"/>
  <c r="CB34" i="71"/>
  <c r="CB38" i="71"/>
  <c r="CB257" i="71"/>
  <c r="CB258" i="71"/>
  <c r="CB265" i="71"/>
  <c r="CB272" i="71"/>
  <c r="CB277" i="71"/>
  <c r="CB282" i="71"/>
  <c r="CB243" i="71"/>
  <c r="CB247" i="71"/>
  <c r="CC272" i="71"/>
  <c r="CC277" i="71"/>
  <c r="CC282" i="71"/>
  <c r="CC243" i="71"/>
  <c r="CC247" i="71"/>
  <c r="CD38" i="71"/>
  <c r="CD257" i="71"/>
  <c r="CD258" i="71"/>
  <c r="CD265" i="71"/>
  <c r="CD272" i="71"/>
  <c r="CD277" i="71"/>
  <c r="CD282" i="71"/>
  <c r="CD243" i="71"/>
  <c r="CD247" i="71"/>
  <c r="CE34" i="71"/>
  <c r="CE38" i="71"/>
  <c r="CE257" i="71"/>
  <c r="CE258" i="71"/>
  <c r="CE265" i="71"/>
  <c r="CE272" i="71"/>
  <c r="CE277" i="71"/>
  <c r="CE282" i="71"/>
  <c r="CE243" i="71"/>
  <c r="CE247" i="71"/>
  <c r="CF272" i="71"/>
  <c r="CF277" i="71"/>
  <c r="CF282" i="71"/>
  <c r="CF243" i="71"/>
  <c r="CF247" i="71"/>
  <c r="CG34" i="71"/>
  <c r="CG38" i="71"/>
  <c r="CG257" i="71"/>
  <c r="CG258" i="71"/>
  <c r="CG265" i="71"/>
  <c r="CG272" i="71"/>
  <c r="CG277" i="71"/>
  <c r="CG282" i="71"/>
  <c r="CG243" i="71"/>
  <c r="CG247" i="71"/>
  <c r="CH34" i="71"/>
  <c r="CH38" i="71"/>
  <c r="CH257" i="71"/>
  <c r="CH258" i="71"/>
  <c r="CH265" i="71"/>
  <c r="CH272" i="71"/>
  <c r="CH277" i="71"/>
  <c r="CH282" i="71"/>
  <c r="CH243" i="71"/>
  <c r="CH247" i="71"/>
  <c r="CI34" i="71"/>
  <c r="CI38" i="71"/>
  <c r="CI257" i="71"/>
  <c r="CI258" i="71"/>
  <c r="CI265" i="71"/>
  <c r="CI272" i="71"/>
  <c r="CI277" i="71"/>
  <c r="CI282" i="71"/>
  <c r="CI243" i="71"/>
  <c r="CI247" i="71"/>
  <c r="CJ34" i="71"/>
  <c r="CJ38" i="71"/>
  <c r="CJ257" i="71"/>
  <c r="CJ258" i="71"/>
  <c r="CJ265" i="71"/>
  <c r="CJ272" i="71"/>
  <c r="CJ277" i="71"/>
  <c r="CJ282" i="71"/>
  <c r="CJ243" i="71"/>
  <c r="CJ247" i="71"/>
  <c r="CK257" i="71"/>
  <c r="CK258" i="71"/>
  <c r="CK265" i="71"/>
  <c r="CK272" i="71"/>
  <c r="CK277" i="71"/>
  <c r="CK282" i="71"/>
  <c r="CK243" i="71"/>
  <c r="CK247" i="71"/>
  <c r="CL277" i="71"/>
  <c r="CL282" i="71"/>
  <c r="CL243" i="71"/>
  <c r="CL247" i="71"/>
  <c r="CM34" i="71"/>
  <c r="CM38" i="71"/>
  <c r="CM257" i="71"/>
  <c r="CM258" i="71"/>
  <c r="CM265" i="71"/>
  <c r="CM272" i="71"/>
  <c r="CM277" i="71"/>
  <c r="CM282" i="71"/>
  <c r="CM243" i="71"/>
  <c r="CM247" i="71"/>
  <c r="CN38" i="71"/>
  <c r="CN257" i="71"/>
  <c r="CN258" i="71"/>
  <c r="CN265" i="71"/>
  <c r="CN272" i="71"/>
  <c r="CN277" i="71"/>
  <c r="CN282" i="71"/>
  <c r="CN243" i="71"/>
  <c r="CN247" i="71"/>
  <c r="CO34" i="71"/>
  <c r="CO38" i="71"/>
  <c r="CO257" i="71"/>
  <c r="CO258" i="71"/>
  <c r="CO265" i="71"/>
  <c r="CO272" i="71"/>
  <c r="CO277" i="71"/>
  <c r="CO282" i="71"/>
  <c r="CO243" i="71"/>
  <c r="CO247" i="71"/>
  <c r="CP257" i="71"/>
  <c r="CP258" i="71"/>
  <c r="CP265" i="71"/>
  <c r="CP272" i="71"/>
  <c r="CP277" i="71"/>
  <c r="CP282" i="71"/>
  <c r="CP243" i="71"/>
  <c r="CP247" i="71"/>
  <c r="CQ34" i="71"/>
  <c r="CQ38" i="71"/>
  <c r="CQ257" i="71"/>
  <c r="CQ258" i="71"/>
  <c r="CQ265" i="71"/>
  <c r="CQ272" i="71"/>
  <c r="CQ277" i="71"/>
  <c r="CQ282" i="71"/>
  <c r="CQ243" i="71"/>
  <c r="CQ247" i="71"/>
  <c r="CR272" i="71"/>
  <c r="CR277" i="71"/>
  <c r="CR282" i="71"/>
  <c r="CR243" i="71"/>
  <c r="CR247" i="71"/>
  <c r="CS34" i="71"/>
  <c r="CS38" i="71"/>
  <c r="CS257" i="71"/>
  <c r="CS258" i="71"/>
  <c r="CS265" i="71"/>
  <c r="CS272" i="71"/>
  <c r="CS277" i="71"/>
  <c r="CS282" i="71"/>
  <c r="CS243" i="71"/>
  <c r="CS247" i="71"/>
  <c r="CT38" i="71"/>
  <c r="CT257" i="71"/>
  <c r="CT258" i="71"/>
  <c r="CT265" i="71"/>
  <c r="CT272" i="71"/>
  <c r="CT277" i="71"/>
  <c r="CT282" i="71"/>
  <c r="CT243" i="71"/>
  <c r="CT247" i="71"/>
  <c r="CU272" i="71"/>
  <c r="CU277" i="71"/>
  <c r="CU282" i="71"/>
  <c r="CU243" i="71"/>
  <c r="CU247" i="71"/>
  <c r="CV34" i="71"/>
  <c r="CV38" i="71"/>
  <c r="CV257" i="71"/>
  <c r="CV258" i="71"/>
  <c r="CV265" i="71"/>
  <c r="CV272" i="71"/>
  <c r="CV277" i="71"/>
  <c r="CV282" i="71"/>
  <c r="CV243" i="71"/>
  <c r="CV247" i="71"/>
  <c r="CW34" i="71"/>
  <c r="CW38" i="71"/>
  <c r="CW257" i="71"/>
  <c r="CW258" i="71"/>
  <c r="CW265" i="71"/>
  <c r="CW272" i="71"/>
  <c r="CW277" i="71"/>
  <c r="CW282" i="71"/>
  <c r="CW243" i="71"/>
  <c r="CW247" i="71"/>
  <c r="CX272" i="71"/>
  <c r="CX277" i="71"/>
  <c r="CX282" i="71"/>
  <c r="CX243" i="71"/>
  <c r="CX247" i="71"/>
  <c r="CY34" i="71"/>
  <c r="CY38" i="71"/>
  <c r="CY257" i="71"/>
  <c r="CY258" i="71"/>
  <c r="CY265" i="71"/>
  <c r="CY272" i="71"/>
  <c r="CY277" i="71"/>
  <c r="CY282" i="71"/>
  <c r="CY243" i="71"/>
  <c r="CY247" i="71"/>
  <c r="CZ34" i="71"/>
  <c r="CZ38" i="71"/>
  <c r="CZ257" i="71"/>
  <c r="CZ258" i="71"/>
  <c r="CZ265" i="71"/>
  <c r="CZ272" i="71"/>
  <c r="CZ277" i="71"/>
  <c r="CZ282" i="71"/>
  <c r="CZ243" i="71"/>
  <c r="CZ247" i="71"/>
  <c r="DA272" i="71"/>
  <c r="DA277" i="71"/>
  <c r="DA282" i="71"/>
  <c r="DA243" i="71"/>
  <c r="DA247" i="71"/>
  <c r="DB34" i="71"/>
  <c r="DB38" i="71"/>
  <c r="DB257" i="71"/>
  <c r="DB258" i="71"/>
  <c r="DB265" i="71"/>
  <c r="DB272" i="71"/>
  <c r="DB277" i="71"/>
  <c r="DB282" i="71"/>
  <c r="DB243" i="71"/>
  <c r="DB247" i="71"/>
  <c r="DC34" i="71"/>
  <c r="DC38" i="71"/>
  <c r="DC257" i="71"/>
  <c r="DC258" i="71"/>
  <c r="DC265" i="71"/>
  <c r="DC272" i="71"/>
  <c r="DC277" i="71"/>
  <c r="DC282" i="71"/>
  <c r="DC243" i="71"/>
  <c r="DC247" i="71"/>
  <c r="DD277" i="71"/>
  <c r="DD282" i="71"/>
  <c r="DD243" i="71"/>
  <c r="DD247" i="71"/>
  <c r="DE34" i="71"/>
  <c r="DE38" i="71"/>
  <c r="DE257" i="71"/>
  <c r="DE258" i="71"/>
  <c r="DE265" i="71"/>
  <c r="DE272" i="71"/>
  <c r="DE277" i="71"/>
  <c r="DE282" i="71"/>
  <c r="DE243" i="71"/>
  <c r="DE247" i="71"/>
  <c r="DF34" i="71"/>
  <c r="DF38" i="71"/>
  <c r="DF257" i="71"/>
  <c r="DF258" i="71"/>
  <c r="DF265" i="71"/>
  <c r="DF272" i="71"/>
  <c r="DF277" i="71"/>
  <c r="DF282" i="71"/>
  <c r="DF243" i="71"/>
  <c r="DF247" i="71"/>
  <c r="DG34" i="71"/>
  <c r="DG38" i="71"/>
  <c r="DG257" i="71"/>
  <c r="DG258" i="71"/>
  <c r="DG265" i="71"/>
  <c r="DG272" i="71"/>
  <c r="DG277" i="71"/>
  <c r="DG282" i="71"/>
  <c r="DG243" i="71"/>
  <c r="DG247" i="71"/>
  <c r="DH34" i="71"/>
  <c r="DH38" i="71"/>
  <c r="DH257" i="71"/>
  <c r="DH258" i="71"/>
  <c r="DH265" i="71"/>
  <c r="DH272" i="71"/>
  <c r="DH277" i="71"/>
  <c r="DH282" i="71"/>
  <c r="DH243" i="71"/>
  <c r="DH247" i="71"/>
  <c r="DI257" i="71"/>
  <c r="DI258" i="71"/>
  <c r="DI265" i="71"/>
  <c r="DI272" i="71"/>
  <c r="DI277" i="71"/>
  <c r="DI282" i="71"/>
  <c r="DI243" i="71"/>
  <c r="DI247" i="71"/>
  <c r="DJ272" i="71"/>
  <c r="DJ277" i="71"/>
  <c r="DJ282" i="71"/>
  <c r="DJ243" i="71"/>
  <c r="DJ247" i="71"/>
  <c r="DK34" i="71"/>
  <c r="DK38" i="71"/>
  <c r="DK257" i="71"/>
  <c r="DK258" i="71"/>
  <c r="DK265" i="71"/>
  <c r="DK272" i="71"/>
  <c r="DK277" i="71"/>
  <c r="DK282" i="71"/>
  <c r="DK243" i="71"/>
  <c r="DK247" i="71"/>
  <c r="DL34" i="71"/>
  <c r="DL38" i="71"/>
  <c r="DL257" i="71"/>
  <c r="DL258" i="71"/>
  <c r="DL265" i="71"/>
  <c r="DL272" i="71"/>
  <c r="DL277" i="71"/>
  <c r="DL282" i="71"/>
  <c r="DL243" i="71"/>
  <c r="DL247" i="71"/>
  <c r="DM34" i="71"/>
  <c r="DM38" i="71"/>
  <c r="DM257" i="71"/>
  <c r="DM258" i="71"/>
  <c r="DM265" i="71"/>
  <c r="DM272" i="71"/>
  <c r="DM277" i="71"/>
  <c r="DM282" i="71"/>
  <c r="DM243" i="71"/>
  <c r="DM247" i="71"/>
  <c r="DN34" i="71"/>
  <c r="DN38" i="71"/>
  <c r="DN257" i="71"/>
  <c r="DN258" i="71"/>
  <c r="DN265" i="71"/>
  <c r="DN272" i="71"/>
  <c r="DN277" i="71"/>
  <c r="DN282" i="71"/>
  <c r="DN243" i="71"/>
  <c r="DN247" i="71"/>
  <c r="DO34" i="71"/>
  <c r="DO38" i="71"/>
  <c r="DO257" i="71"/>
  <c r="DO258" i="71"/>
  <c r="DO265" i="71"/>
  <c r="DO272" i="71"/>
  <c r="DO277" i="71"/>
  <c r="DO282" i="71"/>
  <c r="DO243" i="71"/>
  <c r="DO247" i="71"/>
  <c r="DP272" i="71"/>
  <c r="DP277" i="71"/>
  <c r="DP282" i="71"/>
  <c r="DP243" i="71"/>
  <c r="DP247" i="71"/>
  <c r="DQ34" i="71"/>
  <c r="DQ38" i="71"/>
  <c r="DQ257" i="71"/>
  <c r="DQ258" i="71"/>
  <c r="DQ265" i="71"/>
  <c r="DQ272" i="71"/>
  <c r="DQ277" i="71"/>
  <c r="DQ282" i="71"/>
  <c r="DQ243" i="71"/>
  <c r="DQ247" i="71"/>
  <c r="DR34" i="71"/>
  <c r="DR38" i="71"/>
  <c r="DR257" i="71"/>
  <c r="DR258" i="71"/>
  <c r="DR265" i="71"/>
  <c r="DR272" i="71"/>
  <c r="DR277" i="71"/>
  <c r="DR282" i="71"/>
  <c r="DR243" i="71"/>
  <c r="DR247" i="71"/>
  <c r="DS277" i="71"/>
  <c r="DS282" i="71"/>
  <c r="DS243" i="71"/>
  <c r="DS247" i="71"/>
  <c r="DT38" i="71"/>
  <c r="DT257" i="71"/>
  <c r="DT258" i="71"/>
  <c r="DT265" i="71"/>
  <c r="DT272" i="71"/>
  <c r="DT277" i="71"/>
  <c r="DT282" i="71"/>
  <c r="DT243" i="71"/>
  <c r="DT247" i="71"/>
  <c r="DU34" i="71"/>
  <c r="DU38" i="71"/>
  <c r="DU257" i="71"/>
  <c r="DU258" i="71"/>
  <c r="DU265" i="71"/>
  <c r="DU272" i="71"/>
  <c r="DU277" i="71"/>
  <c r="DU282" i="71"/>
  <c r="DU243" i="71"/>
  <c r="DU247" i="71"/>
  <c r="C248" i="71"/>
  <c r="AK34" i="71"/>
  <c r="AK38" i="71"/>
  <c r="AK257" i="71"/>
  <c r="AK258" i="71"/>
  <c r="C266" i="71"/>
  <c r="E274" i="71"/>
  <c r="F270" i="71"/>
  <c r="F271" i="71"/>
  <c r="F274" i="71"/>
  <c r="G270" i="71"/>
  <c r="G271" i="71"/>
  <c r="G274" i="71"/>
  <c r="H270" i="71"/>
  <c r="H271" i="71"/>
  <c r="H274" i="71"/>
  <c r="I270" i="71"/>
  <c r="I271" i="71"/>
  <c r="I274" i="71"/>
  <c r="J270" i="71"/>
  <c r="J271" i="71"/>
  <c r="J274" i="71"/>
  <c r="K270" i="71"/>
  <c r="K271" i="71"/>
  <c r="K274" i="71"/>
  <c r="L270" i="71"/>
  <c r="L271" i="71"/>
  <c r="L274" i="71"/>
  <c r="M270" i="71"/>
  <c r="M271" i="71"/>
  <c r="M274" i="71"/>
  <c r="N270" i="71"/>
  <c r="N271" i="71"/>
  <c r="N274" i="71"/>
  <c r="O270" i="71"/>
  <c r="O271" i="71"/>
  <c r="O274" i="71"/>
  <c r="P270" i="71"/>
  <c r="P271" i="71"/>
  <c r="P274" i="71"/>
  <c r="Q270" i="71"/>
  <c r="Q271" i="71"/>
  <c r="Q274" i="71"/>
  <c r="R270" i="71"/>
  <c r="R271" i="71"/>
  <c r="R274" i="71"/>
  <c r="S270" i="71"/>
  <c r="S271" i="71"/>
  <c r="S274" i="71"/>
  <c r="T270" i="71"/>
  <c r="T271" i="71"/>
  <c r="T274" i="71"/>
  <c r="U270" i="71"/>
  <c r="U271" i="71"/>
  <c r="U274" i="71"/>
  <c r="V270" i="71"/>
  <c r="V271" i="71"/>
  <c r="V274" i="71"/>
  <c r="W270" i="71"/>
  <c r="W271" i="71"/>
  <c r="W274" i="71"/>
  <c r="X270" i="71"/>
  <c r="X271" i="71"/>
  <c r="X274" i="71"/>
  <c r="Y270" i="71"/>
  <c r="Y271" i="71"/>
  <c r="Y274" i="71"/>
  <c r="Z270" i="71"/>
  <c r="Z271" i="71"/>
  <c r="Z274" i="71"/>
  <c r="AA270" i="71"/>
  <c r="AA271" i="71"/>
  <c r="AA274" i="71"/>
  <c r="AB270" i="71"/>
  <c r="AB271" i="71"/>
  <c r="AB274" i="71"/>
  <c r="AC270" i="71"/>
  <c r="AC271" i="71"/>
  <c r="AC274" i="71"/>
  <c r="AD270" i="71"/>
  <c r="AD271" i="71"/>
  <c r="AD274" i="71"/>
  <c r="AE270" i="71"/>
  <c r="AE271" i="71"/>
  <c r="AE274" i="71"/>
  <c r="AF270" i="71"/>
  <c r="AF271" i="71"/>
  <c r="AF274" i="71"/>
  <c r="AG270" i="71"/>
  <c r="AG271" i="71"/>
  <c r="AG274" i="71"/>
  <c r="AH270" i="71"/>
  <c r="AH271" i="71"/>
  <c r="AH274" i="71"/>
  <c r="AI270" i="71"/>
  <c r="AI271" i="71"/>
  <c r="AI274" i="71"/>
  <c r="AJ270" i="71"/>
  <c r="AJ271" i="71"/>
  <c r="AJ274" i="71"/>
  <c r="AK270" i="71"/>
  <c r="AK271" i="71"/>
  <c r="AK274" i="71"/>
  <c r="AL270" i="71"/>
  <c r="AL271" i="71"/>
  <c r="AL274" i="71"/>
  <c r="AM270" i="71"/>
  <c r="AM271" i="71"/>
  <c r="AM274" i="71"/>
  <c r="AN270" i="71"/>
  <c r="AN271" i="71"/>
  <c r="AN274" i="71"/>
  <c r="AO270" i="71"/>
  <c r="AO271" i="71"/>
  <c r="AO274" i="71"/>
  <c r="AP270" i="71"/>
  <c r="AP271" i="71"/>
  <c r="AP274" i="71"/>
  <c r="AQ270" i="71"/>
  <c r="AQ271" i="71"/>
  <c r="AQ274" i="71"/>
  <c r="AR270" i="71"/>
  <c r="AR271" i="71"/>
  <c r="AR274" i="71"/>
  <c r="AS270" i="71"/>
  <c r="AS271" i="71"/>
  <c r="AS274" i="71"/>
  <c r="AT270" i="71"/>
  <c r="AT271" i="71"/>
  <c r="AT274" i="71"/>
  <c r="AU270" i="71"/>
  <c r="AU271" i="71"/>
  <c r="AU274" i="71"/>
  <c r="AV270" i="71"/>
  <c r="AV271" i="71"/>
  <c r="AV274" i="71"/>
  <c r="AW270" i="71"/>
  <c r="AW271" i="71"/>
  <c r="AW274" i="71"/>
  <c r="AX270" i="71"/>
  <c r="AX271" i="71"/>
  <c r="AX274" i="71"/>
  <c r="AY270" i="71"/>
  <c r="AY271" i="71"/>
  <c r="AY274" i="71"/>
  <c r="AZ270" i="71"/>
  <c r="AZ271" i="71"/>
  <c r="AZ274" i="71"/>
  <c r="BA270" i="71"/>
  <c r="BA271" i="71"/>
  <c r="BA274" i="71"/>
  <c r="BB270" i="71"/>
  <c r="BB271" i="71"/>
  <c r="BB274" i="71"/>
  <c r="BC270" i="71"/>
  <c r="BC271" i="71"/>
  <c r="BC274" i="71"/>
  <c r="BD270" i="71"/>
  <c r="BD271" i="71"/>
  <c r="BD274" i="71"/>
  <c r="BE270" i="71"/>
  <c r="BE271" i="71"/>
  <c r="BE274" i="71"/>
  <c r="BF270" i="71"/>
  <c r="BF271" i="71"/>
  <c r="BF274" i="71"/>
  <c r="BG270" i="71"/>
  <c r="BG271" i="71"/>
  <c r="BG274" i="71"/>
  <c r="BH270" i="71"/>
  <c r="BH271" i="71"/>
  <c r="BH274" i="71"/>
  <c r="BI270" i="71"/>
  <c r="BI271" i="71"/>
  <c r="BI274" i="71"/>
  <c r="BJ270" i="71"/>
  <c r="BJ271" i="71"/>
  <c r="BJ274" i="71"/>
  <c r="BK270" i="71"/>
  <c r="BK271" i="71"/>
  <c r="BK274" i="71"/>
  <c r="BL270" i="71"/>
  <c r="BL271" i="71"/>
  <c r="BL274" i="71"/>
  <c r="BM270" i="71"/>
  <c r="BM271" i="71"/>
  <c r="BM274" i="71"/>
  <c r="BN270" i="71"/>
  <c r="BN271" i="71"/>
  <c r="BN274" i="71"/>
  <c r="BO270" i="71"/>
  <c r="BO271" i="71"/>
  <c r="BO274" i="71"/>
  <c r="BP270" i="71"/>
  <c r="BP271" i="71"/>
  <c r="BP274" i="71"/>
  <c r="BQ270" i="71"/>
  <c r="BQ271" i="71"/>
  <c r="BQ274" i="71"/>
  <c r="BR270" i="71"/>
  <c r="BR271" i="71"/>
  <c r="BR274" i="71"/>
  <c r="BS270" i="71"/>
  <c r="BS271" i="71"/>
  <c r="BS274" i="71"/>
  <c r="BT270" i="71"/>
  <c r="BT271" i="71"/>
  <c r="BT274" i="71"/>
  <c r="BU270" i="71"/>
  <c r="BU271" i="71"/>
  <c r="BU274" i="71"/>
  <c r="BV270" i="71"/>
  <c r="BV271" i="71"/>
  <c r="BV274" i="71"/>
  <c r="BW270" i="71"/>
  <c r="BW271" i="71"/>
  <c r="BW274" i="71"/>
  <c r="BX270" i="71"/>
  <c r="BX271" i="71"/>
  <c r="BX274" i="71"/>
  <c r="BY270" i="71"/>
  <c r="BY271" i="71"/>
  <c r="BY274" i="71"/>
  <c r="BZ270" i="71"/>
  <c r="BZ271" i="71"/>
  <c r="BZ274" i="71"/>
  <c r="CA270" i="71"/>
  <c r="CA271" i="71"/>
  <c r="CA274" i="71"/>
  <c r="CB270" i="71"/>
  <c r="CB271" i="71"/>
  <c r="CB274" i="71"/>
  <c r="CC270" i="71"/>
  <c r="CC271" i="71"/>
  <c r="CC274" i="71"/>
  <c r="CD270" i="71"/>
  <c r="CD271" i="71"/>
  <c r="CD274" i="71"/>
  <c r="CE270" i="71"/>
  <c r="CE271" i="71"/>
  <c r="CE274" i="71"/>
  <c r="CF270" i="71"/>
  <c r="CF271" i="71"/>
  <c r="CF274" i="71"/>
  <c r="CG270" i="71"/>
  <c r="CG271" i="71"/>
  <c r="CG274" i="71"/>
  <c r="CH270" i="71"/>
  <c r="CH271" i="71"/>
  <c r="CH274" i="71"/>
  <c r="CI270" i="71"/>
  <c r="CI271" i="71"/>
  <c r="CI274" i="71"/>
  <c r="CJ270" i="71"/>
  <c r="CJ271" i="71"/>
  <c r="CJ274" i="71"/>
  <c r="CK270" i="71"/>
  <c r="CK271" i="71"/>
  <c r="CK274" i="71"/>
  <c r="CL270" i="71"/>
  <c r="CL271" i="71"/>
  <c r="CL274" i="71"/>
  <c r="CM270" i="71"/>
  <c r="CM271" i="71"/>
  <c r="CM274" i="71"/>
  <c r="CN270" i="71"/>
  <c r="CN271" i="71"/>
  <c r="CN274" i="71"/>
  <c r="CO270" i="71"/>
  <c r="CO271" i="71"/>
  <c r="CO274" i="71"/>
  <c r="CP270" i="71"/>
  <c r="CP271" i="71"/>
  <c r="CP274" i="71"/>
  <c r="CQ270" i="71"/>
  <c r="CQ271" i="71"/>
  <c r="CQ274" i="71"/>
  <c r="CR270" i="71"/>
  <c r="CR271" i="71"/>
  <c r="CR274" i="71"/>
  <c r="CS270" i="71"/>
  <c r="CS271" i="71"/>
  <c r="CS274" i="71"/>
  <c r="CT270" i="71"/>
  <c r="CT271" i="71"/>
  <c r="CT274" i="71"/>
  <c r="CU270" i="71"/>
  <c r="CU271" i="71"/>
  <c r="CU274" i="71"/>
  <c r="CV270" i="71"/>
  <c r="CV271" i="71"/>
  <c r="CV274" i="71"/>
  <c r="CW270" i="71"/>
  <c r="CW271" i="71"/>
  <c r="CW274" i="71"/>
  <c r="CX270" i="71"/>
  <c r="CX271" i="71"/>
  <c r="CX274" i="71"/>
  <c r="CY270" i="71"/>
  <c r="CY271" i="71"/>
  <c r="CY274" i="71"/>
  <c r="CZ270" i="71"/>
  <c r="CZ271" i="71"/>
  <c r="CZ274" i="71"/>
  <c r="DA270" i="71"/>
  <c r="DA271" i="71"/>
  <c r="DA274" i="71"/>
  <c r="DB270" i="71"/>
  <c r="DB271" i="71"/>
  <c r="DB274" i="71"/>
  <c r="DC270" i="71"/>
  <c r="DC271" i="71"/>
  <c r="DC274" i="71"/>
  <c r="DD270" i="71"/>
  <c r="DD271" i="71"/>
  <c r="DD274" i="71"/>
  <c r="DE270" i="71"/>
  <c r="DE271" i="71"/>
  <c r="DE274" i="71"/>
  <c r="DF270" i="71"/>
  <c r="DF271" i="71"/>
  <c r="DF274" i="71"/>
  <c r="DG270" i="71"/>
  <c r="DG271" i="71"/>
  <c r="DG274" i="71"/>
  <c r="DH270" i="71"/>
  <c r="DH271" i="71"/>
  <c r="DH274" i="71"/>
  <c r="DI270" i="71"/>
  <c r="DI271" i="71"/>
  <c r="DI274" i="71"/>
  <c r="DJ270" i="71"/>
  <c r="DJ271" i="71"/>
  <c r="DJ274" i="71"/>
  <c r="DK270" i="71"/>
  <c r="DK271" i="71"/>
  <c r="DK274" i="71"/>
  <c r="DL270" i="71"/>
  <c r="DL271" i="71"/>
  <c r="DL274" i="71"/>
  <c r="DM270" i="71"/>
  <c r="DM271" i="71"/>
  <c r="DM274" i="71"/>
  <c r="DN270" i="71"/>
  <c r="DN271" i="71"/>
  <c r="DN274" i="71"/>
  <c r="DO270" i="71"/>
  <c r="DO271" i="71"/>
  <c r="DO274" i="71"/>
  <c r="DP270" i="71"/>
  <c r="DP271" i="71"/>
  <c r="DP274" i="71"/>
  <c r="DQ270" i="71"/>
  <c r="DQ271" i="71"/>
  <c r="DQ274" i="71"/>
  <c r="DR270" i="71"/>
  <c r="DR271" i="71"/>
  <c r="DR274" i="71"/>
  <c r="DS270" i="71"/>
  <c r="DS271" i="71"/>
  <c r="DS274" i="71"/>
  <c r="DT270" i="71"/>
  <c r="DT271" i="71"/>
  <c r="DT274" i="71"/>
  <c r="DU270" i="71"/>
  <c r="DU271" i="71"/>
  <c r="J465" i="71"/>
  <c r="K466" i="71"/>
  <c r="K471" i="71"/>
  <c r="H475" i="71"/>
  <c r="L475" i="71"/>
  <c r="V289" i="71"/>
  <c r="V294" i="71"/>
  <c r="V299" i="71"/>
  <c r="V300" i="71"/>
  <c r="V302" i="71"/>
  <c r="V250" i="71"/>
  <c r="G476" i="71"/>
  <c r="CD289" i="71"/>
  <c r="CD294" i="71"/>
  <c r="CD299" i="71"/>
  <c r="CD300" i="71"/>
  <c r="CD302" i="71"/>
  <c r="CD250" i="71"/>
  <c r="L476" i="71"/>
  <c r="F475" i="71"/>
  <c r="F488" i="71"/>
  <c r="F490" i="71"/>
  <c r="AT373" i="71"/>
  <c r="I497" i="71"/>
  <c r="I498" i="71"/>
  <c r="J345" i="71"/>
  <c r="J351" i="71"/>
  <c r="J357" i="71"/>
  <c r="F483" i="71"/>
  <c r="F504" i="71"/>
  <c r="C575" i="71"/>
  <c r="H15" i="69"/>
  <c r="N15" i="69"/>
  <c r="S15" i="69"/>
  <c r="W15" i="69"/>
  <c r="AA15" i="69"/>
  <c r="AJ15" i="69"/>
  <c r="AT15" i="69"/>
  <c r="N16" i="69"/>
  <c r="S16" i="69"/>
  <c r="S20" i="69"/>
  <c r="AB16" i="69"/>
  <c r="AH16" i="69"/>
  <c r="AH15" i="69"/>
  <c r="AH20" i="69"/>
  <c r="AT16" i="69"/>
  <c r="AT20" i="69"/>
  <c r="F24" i="69"/>
  <c r="I24" i="69"/>
  <c r="AH24" i="69"/>
  <c r="AN24" i="69"/>
  <c r="AV24" i="69"/>
  <c r="W25" i="69"/>
  <c r="BQ171" i="71"/>
  <c r="BQ28" i="71"/>
  <c r="AA25" i="69"/>
  <c r="CC171" i="71"/>
  <c r="CC28" i="71"/>
  <c r="AE25" i="69"/>
  <c r="AK25" i="69"/>
  <c r="AT28" i="69"/>
  <c r="U29" i="69"/>
  <c r="Z29" i="69"/>
  <c r="AE29" i="69"/>
  <c r="AO29" i="69"/>
  <c r="AT29" i="69"/>
  <c r="C35" i="71"/>
  <c r="C32" i="69"/>
  <c r="K34" i="69"/>
  <c r="K345" i="69"/>
  <c r="N34" i="69"/>
  <c r="X34" i="69"/>
  <c r="AG34" i="69"/>
  <c r="AU34" i="69"/>
  <c r="AU345" i="69"/>
  <c r="AA41" i="71"/>
  <c r="M38" i="69"/>
  <c r="BE41" i="71"/>
  <c r="W38" i="69"/>
  <c r="BQ41" i="71"/>
  <c r="AA38" i="69"/>
  <c r="AE38" i="69"/>
  <c r="DD41" i="71"/>
  <c r="AN38" i="69"/>
  <c r="DS41" i="71"/>
  <c r="AS38" i="69"/>
  <c r="N42" i="69"/>
  <c r="AF42" i="69"/>
  <c r="AP42" i="69"/>
  <c r="L42" i="69"/>
  <c r="T43" i="69"/>
  <c r="BZ19" i="71"/>
  <c r="BZ46" i="71"/>
  <c r="AD43" i="69"/>
  <c r="AD42" i="69"/>
  <c r="AD47" i="69"/>
  <c r="AH43" i="69"/>
  <c r="AR43" i="69"/>
  <c r="AV43" i="69"/>
  <c r="E50" i="69"/>
  <c r="G51" i="69"/>
  <c r="K51" i="69"/>
  <c r="P51" i="69"/>
  <c r="U51" i="69"/>
  <c r="Y51" i="69"/>
  <c r="H52" i="69"/>
  <c r="AD171" i="71"/>
  <c r="AD28" i="71"/>
  <c r="AD55" i="71"/>
  <c r="N52" i="69"/>
  <c r="X52" i="69"/>
  <c r="CI171" i="71"/>
  <c r="CI28" i="71"/>
  <c r="CI55" i="71"/>
  <c r="AG52" i="69"/>
  <c r="CX171" i="71"/>
  <c r="CX28" i="71"/>
  <c r="CX55" i="71"/>
  <c r="AL52" i="69"/>
  <c r="P53" i="69"/>
  <c r="C53" i="69"/>
  <c r="L60" i="71"/>
  <c r="H57" i="69"/>
  <c r="L57" i="69"/>
  <c r="Q57" i="69"/>
  <c r="AY60" i="71"/>
  <c r="U57" i="69"/>
  <c r="BQ60" i="71"/>
  <c r="AA57" i="69"/>
  <c r="CC60" i="71"/>
  <c r="AE57" i="69"/>
  <c r="CO60" i="71"/>
  <c r="AI57" i="69"/>
  <c r="DG60" i="71"/>
  <c r="AO57" i="69"/>
  <c r="DP60" i="71"/>
  <c r="AR57" i="69"/>
  <c r="EB60" i="71"/>
  <c r="AV57" i="69"/>
  <c r="N61" i="69"/>
  <c r="S61" i="69"/>
  <c r="V61" i="69"/>
  <c r="Z61" i="69"/>
  <c r="AF61" i="69"/>
  <c r="AJ61" i="69"/>
  <c r="AP61" i="69"/>
  <c r="AU61" i="69"/>
  <c r="C66" i="71"/>
  <c r="C63" i="69"/>
  <c r="H74" i="69"/>
  <c r="H213" i="69"/>
  <c r="L74" i="69"/>
  <c r="L76" i="69"/>
  <c r="P74" i="69"/>
  <c r="P76" i="69" s="1"/>
  <c r="S74" i="69"/>
  <c r="W74" i="69"/>
  <c r="W76" i="69"/>
  <c r="AC74" i="69"/>
  <c r="AG74" i="69"/>
  <c r="AG76" i="69"/>
  <c r="AK74" i="69"/>
  <c r="AK76" i="69"/>
  <c r="AP74" i="69"/>
  <c r="AP76" i="69"/>
  <c r="AU74" i="69"/>
  <c r="AU76" i="69"/>
  <c r="H79" i="69"/>
  <c r="M79" i="69"/>
  <c r="R79" i="69"/>
  <c r="AC79" i="69"/>
  <c r="AG79" i="69"/>
  <c r="AJ79" i="69"/>
  <c r="AN79" i="69"/>
  <c r="AQ79" i="69"/>
  <c r="AU79" i="69"/>
  <c r="E80" i="69"/>
  <c r="G80" i="69"/>
  <c r="J80" i="69"/>
  <c r="M80" i="69"/>
  <c r="Q80" i="69"/>
  <c r="T80" i="69"/>
  <c r="X80" i="69"/>
  <c r="AA80" i="69"/>
  <c r="AD80" i="69"/>
  <c r="AG80" i="69"/>
  <c r="AJ80" i="69"/>
  <c r="AN80" i="69"/>
  <c r="AQ80" i="69"/>
  <c r="AU80" i="69"/>
  <c r="E82" i="69"/>
  <c r="C137" i="69"/>
  <c r="G82" i="69"/>
  <c r="J82" i="69"/>
  <c r="M82" i="69"/>
  <c r="P82" i="69"/>
  <c r="T82" i="69"/>
  <c r="W82" i="69"/>
  <c r="AA82" i="69"/>
  <c r="AD82" i="69"/>
  <c r="AG82" i="69"/>
  <c r="AK82" i="69"/>
  <c r="AN82" i="69"/>
  <c r="AQ82" i="69"/>
  <c r="AT82" i="69"/>
  <c r="C86" i="71"/>
  <c r="C83" i="69"/>
  <c r="F85" i="69"/>
  <c r="I85" i="69"/>
  <c r="L85" i="69"/>
  <c r="Q85" i="69"/>
  <c r="U85" i="69"/>
  <c r="X85" i="69"/>
  <c r="AD85" i="69"/>
  <c r="AH85" i="69"/>
  <c r="AM85" i="69"/>
  <c r="AR85" i="69"/>
  <c r="AV85" i="69"/>
  <c r="AJ141" i="69"/>
  <c r="AN141" i="69"/>
  <c r="AR141" i="69"/>
  <c r="AV141" i="69"/>
  <c r="F147" i="71"/>
  <c r="F144" i="69"/>
  <c r="O147" i="71"/>
  <c r="I144" i="69"/>
  <c r="AA147" i="71"/>
  <c r="M144" i="69"/>
  <c r="AJ147" i="71"/>
  <c r="P144" i="69"/>
  <c r="AV147" i="71"/>
  <c r="T144" i="69"/>
  <c r="BK147" i="71"/>
  <c r="Y144" i="69"/>
  <c r="BZ147" i="71"/>
  <c r="AD144" i="69"/>
  <c r="AD141" i="69"/>
  <c r="AD147" i="69"/>
  <c r="CL147" i="71"/>
  <c r="AH144" i="69"/>
  <c r="CX147" i="71"/>
  <c r="AL144" i="69"/>
  <c r="DD147" i="71"/>
  <c r="AN144" i="69"/>
  <c r="DS147" i="71"/>
  <c r="AS144" i="69"/>
  <c r="EE147" i="71"/>
  <c r="AW144" i="69"/>
  <c r="AG148" i="71"/>
  <c r="O145" i="69"/>
  <c r="AS148" i="71"/>
  <c r="S145" i="69"/>
  <c r="BE148" i="71"/>
  <c r="W145" i="69"/>
  <c r="BQ148" i="71"/>
  <c r="AA145" i="69"/>
  <c r="CC148" i="71"/>
  <c r="AE145" i="69"/>
  <c r="CO148" i="71"/>
  <c r="AI145" i="69"/>
  <c r="DA148" i="71"/>
  <c r="AM145" i="69"/>
  <c r="DM148" i="71"/>
  <c r="AQ145" i="69"/>
  <c r="DY148" i="71"/>
  <c r="AU145" i="69"/>
  <c r="O149" i="71"/>
  <c r="I146" i="69"/>
  <c r="X149" i="71"/>
  <c r="L146" i="69"/>
  <c r="I160" i="69"/>
  <c r="I163" i="69"/>
  <c r="I182" i="69" s="1"/>
  <c r="L160" i="69"/>
  <c r="Q160" i="69"/>
  <c r="Q163" i="69"/>
  <c r="V160" i="69"/>
  <c r="V163" i="69"/>
  <c r="Z160" i="69"/>
  <c r="Z163" i="69"/>
  <c r="AC160" i="69"/>
  <c r="AC163" i="69"/>
  <c r="AH160" i="69"/>
  <c r="AH163" i="69"/>
  <c r="AL160" i="69"/>
  <c r="AL163" i="69"/>
  <c r="AP160" i="69"/>
  <c r="AP163" i="69"/>
  <c r="AT160" i="69"/>
  <c r="AT163" i="69"/>
  <c r="L163" i="69"/>
  <c r="L182" i="69"/>
  <c r="E168" i="69"/>
  <c r="H168" i="69"/>
  <c r="X171" i="71"/>
  <c r="L168" i="69"/>
  <c r="AJ171" i="71"/>
  <c r="P168" i="69"/>
  <c r="V168" i="69"/>
  <c r="BN171" i="71"/>
  <c r="Z168" i="69"/>
  <c r="AF168" i="69"/>
  <c r="CO171" i="71"/>
  <c r="AI168" i="69"/>
  <c r="DA171" i="71"/>
  <c r="AM168" i="69"/>
  <c r="AR168" i="69"/>
  <c r="EB171" i="71"/>
  <c r="AV168" i="69"/>
  <c r="H171" i="69"/>
  <c r="N171" i="69"/>
  <c r="Q171" i="69"/>
  <c r="V171" i="69"/>
  <c r="X171" i="69"/>
  <c r="AB171" i="69"/>
  <c r="AG171" i="69"/>
  <c r="AK171" i="69"/>
  <c r="AQ171" i="69"/>
  <c r="AU171" i="69"/>
  <c r="Q177" i="69"/>
  <c r="AV180" i="71"/>
  <c r="T177" i="69"/>
  <c r="X177" i="69"/>
  <c r="AB177" i="69"/>
  <c r="CC180" i="71"/>
  <c r="AE177" i="69"/>
  <c r="AJ177" i="69"/>
  <c r="DA180" i="71"/>
  <c r="AM177" i="69"/>
  <c r="AQ177" i="69"/>
  <c r="AT177" i="69"/>
  <c r="EE180" i="71"/>
  <c r="AW177" i="69"/>
  <c r="W180" i="69"/>
  <c r="AE180" i="69"/>
  <c r="AK180" i="69"/>
  <c r="AQ180" i="69"/>
  <c r="EB183" i="71"/>
  <c r="AV180" i="69"/>
  <c r="W181" i="69"/>
  <c r="AC181" i="69"/>
  <c r="AN181" i="69"/>
  <c r="AR181" i="69"/>
  <c r="AW181" i="69"/>
  <c r="N186" i="69"/>
  <c r="V186" i="69"/>
  <c r="Z186" i="69"/>
  <c r="Z189" i="69"/>
  <c r="Z197" i="69"/>
  <c r="AG186" i="69"/>
  <c r="AG189" i="69"/>
  <c r="AG193" i="69"/>
  <c r="AM186" i="69"/>
  <c r="AM189" i="69"/>
  <c r="AR186" i="69"/>
  <c r="AR189" i="69"/>
  <c r="AR199" i="69"/>
  <c r="AJ186" i="69"/>
  <c r="AJ189" i="69"/>
  <c r="AJ199" i="69"/>
  <c r="AJ197" i="69"/>
  <c r="AK213" i="69"/>
  <c r="AA105" i="69"/>
  <c r="C227" i="69"/>
  <c r="I254" i="69"/>
  <c r="I255" i="69"/>
  <c r="I262" i="69"/>
  <c r="I278" i="69"/>
  <c r="M254" i="69"/>
  <c r="M255" i="69"/>
  <c r="M262" i="69"/>
  <c r="M278" i="69"/>
  <c r="R254" i="69"/>
  <c r="R255" i="69"/>
  <c r="W254" i="69"/>
  <c r="W255" i="69"/>
  <c r="W262" i="69"/>
  <c r="W278" i="69"/>
  <c r="AH254" i="69"/>
  <c r="AH255" i="69"/>
  <c r="AH262" i="69"/>
  <c r="AH278" i="69"/>
  <c r="AS254" i="69"/>
  <c r="AS255" i="69"/>
  <c r="AS262" i="69"/>
  <c r="AS278" i="69"/>
  <c r="AP254" i="69"/>
  <c r="AP255" i="69"/>
  <c r="AP262" i="69"/>
  <c r="AP278" i="69"/>
  <c r="J268" i="69"/>
  <c r="O268" i="69"/>
  <c r="V268" i="69"/>
  <c r="AA268" i="69"/>
  <c r="AF268" i="69"/>
  <c r="AK268" i="69"/>
  <c r="AQ268" i="69"/>
  <c r="I269" i="69"/>
  <c r="N269" i="69"/>
  <c r="S269" i="69"/>
  <c r="W269" i="69"/>
  <c r="Q269" i="69"/>
  <c r="AR269" i="69"/>
  <c r="I289" i="71"/>
  <c r="G286" i="69"/>
  <c r="G291" i="69"/>
  <c r="U289" i="71"/>
  <c r="K286" i="69"/>
  <c r="N286" i="69"/>
  <c r="R286" i="69"/>
  <c r="Z286" i="69"/>
  <c r="CO289" i="71"/>
  <c r="AI286" i="69"/>
  <c r="DM289" i="71"/>
  <c r="AQ286" i="69"/>
  <c r="AH299" i="69"/>
  <c r="F303" i="71"/>
  <c r="F300" i="69"/>
  <c r="F241" i="69"/>
  <c r="L294" i="71"/>
  <c r="L299" i="71"/>
  <c r="L300" i="71"/>
  <c r="L303" i="71"/>
  <c r="H300" i="69"/>
  <c r="H241" i="69"/>
  <c r="U294" i="71"/>
  <c r="U299" i="71"/>
  <c r="U300" i="71"/>
  <c r="U303" i="71"/>
  <c r="K300" i="69"/>
  <c r="K241" i="69"/>
  <c r="AS289" i="71"/>
  <c r="AS294" i="71"/>
  <c r="AS299" i="71"/>
  <c r="AS300" i="71"/>
  <c r="AS303" i="71"/>
  <c r="S300" i="69"/>
  <c r="S241" i="69"/>
  <c r="BT294" i="71"/>
  <c r="BT299" i="71"/>
  <c r="BT300" i="71"/>
  <c r="BT303" i="71"/>
  <c r="AB300" i="69"/>
  <c r="AB241" i="69"/>
  <c r="CF289" i="71"/>
  <c r="CF294" i="71"/>
  <c r="CF299" i="71"/>
  <c r="CF300" i="71"/>
  <c r="CF303" i="71"/>
  <c r="AF300" i="69"/>
  <c r="AF241" i="69"/>
  <c r="CR289" i="71"/>
  <c r="CR294" i="71"/>
  <c r="CR299" i="71"/>
  <c r="CR300" i="71"/>
  <c r="CR303" i="71"/>
  <c r="AJ300" i="69"/>
  <c r="AJ241" i="69"/>
  <c r="DG289" i="71"/>
  <c r="DG294" i="71"/>
  <c r="DG299" i="71"/>
  <c r="DG300" i="71"/>
  <c r="DG303" i="71"/>
  <c r="AO300" i="69"/>
  <c r="AO241" i="69"/>
  <c r="DS294" i="71"/>
  <c r="DS299" i="71"/>
  <c r="DS300" i="71"/>
  <c r="DS303" i="71"/>
  <c r="AS300" i="69"/>
  <c r="AS241" i="69"/>
  <c r="CI289" i="71"/>
  <c r="CI294" i="71"/>
  <c r="CI299" i="71"/>
  <c r="CI300" i="71"/>
  <c r="CI302" i="71"/>
  <c r="AG299" i="69"/>
  <c r="E325" i="71"/>
  <c r="E322" i="69"/>
  <c r="E324" i="69"/>
  <c r="E302" i="69"/>
  <c r="E325" i="69"/>
  <c r="AM289" i="71"/>
  <c r="AM294" i="71"/>
  <c r="AM299" i="71"/>
  <c r="AM300" i="71"/>
  <c r="AM302" i="71"/>
  <c r="Q299" i="69"/>
  <c r="DJ311" i="71"/>
  <c r="DJ316" i="71"/>
  <c r="DJ322" i="71"/>
  <c r="DJ323" i="71"/>
  <c r="DJ325" i="71"/>
  <c r="AP322" i="69"/>
  <c r="X311" i="71"/>
  <c r="X316" i="71"/>
  <c r="X322" i="71"/>
  <c r="X323" i="71"/>
  <c r="X326" i="71"/>
  <c r="L323" i="69"/>
  <c r="L242" i="69"/>
  <c r="AY311" i="71"/>
  <c r="AY316" i="71"/>
  <c r="AY322" i="71"/>
  <c r="AY323" i="71"/>
  <c r="AY326" i="71"/>
  <c r="U323" i="69"/>
  <c r="U242" i="69"/>
  <c r="BW311" i="71"/>
  <c r="BW316" i="71"/>
  <c r="BW322" i="71"/>
  <c r="BW323" i="71"/>
  <c r="BW326" i="71"/>
  <c r="AC323" i="69"/>
  <c r="AC242" i="69"/>
  <c r="AL323" i="69"/>
  <c r="AL242" i="69"/>
  <c r="J302" i="69"/>
  <c r="BH281" i="71"/>
  <c r="BH283" i="71"/>
  <c r="BH305" i="71"/>
  <c r="BH328" i="71"/>
  <c r="BH332" i="71"/>
  <c r="X329" i="69"/>
  <c r="O281" i="71"/>
  <c r="O283" i="71"/>
  <c r="O305" i="71"/>
  <c r="O328" i="71"/>
  <c r="O333" i="71"/>
  <c r="I330" i="69"/>
  <c r="I243" i="69"/>
  <c r="AJ281" i="71"/>
  <c r="AJ283" i="71"/>
  <c r="AJ305" i="71"/>
  <c r="AJ328" i="71"/>
  <c r="AJ333" i="71"/>
  <c r="P330" i="69"/>
  <c r="P243" i="69"/>
  <c r="BH333" i="71"/>
  <c r="X330" i="69"/>
  <c r="X331" i="69" s="1"/>
  <c r="X243" i="69"/>
  <c r="CF328" i="71"/>
  <c r="CF333" i="71"/>
  <c r="AF330" i="69"/>
  <c r="AF243" i="69"/>
  <c r="DD283" i="71"/>
  <c r="DD305" i="71"/>
  <c r="DD328" i="71"/>
  <c r="DD333" i="71"/>
  <c r="AN330" i="69"/>
  <c r="AN243" i="69"/>
  <c r="AA34" i="69"/>
  <c r="AA345" i="69"/>
  <c r="AG345" i="69"/>
  <c r="Z34" i="69"/>
  <c r="Z370" i="69"/>
  <c r="Z371" i="69"/>
  <c r="U34" i="69"/>
  <c r="U370" i="69"/>
  <c r="U371" i="69"/>
  <c r="AB19" i="71"/>
  <c r="N23" i="71"/>
  <c r="BK23" i="71"/>
  <c r="P171" i="71"/>
  <c r="P28" i="71"/>
  <c r="AI171" i="71"/>
  <c r="AI28" i="71"/>
  <c r="BA171" i="71"/>
  <c r="BA28" i="71"/>
  <c r="BL171" i="71"/>
  <c r="BL28" i="71"/>
  <c r="CD171" i="71"/>
  <c r="CD28" i="71"/>
  <c r="DL171" i="71"/>
  <c r="DL28" i="71"/>
  <c r="DQ31" i="71"/>
  <c r="BI183" i="71"/>
  <c r="BI32" i="71"/>
  <c r="CF183" i="71"/>
  <c r="CF32" i="71"/>
  <c r="CY32" i="71"/>
  <c r="DJ32" i="71"/>
  <c r="DR32" i="71"/>
  <c r="K41" i="71"/>
  <c r="BA41" i="71"/>
  <c r="BV41" i="71"/>
  <c r="E50" i="71"/>
  <c r="O50" i="71"/>
  <c r="V50" i="71"/>
  <c r="AF50" i="71"/>
  <c r="AK50" i="71"/>
  <c r="AS50" i="71"/>
  <c r="BD50" i="71"/>
  <c r="BX50" i="71"/>
  <c r="CK50" i="71"/>
  <c r="CV50" i="71"/>
  <c r="EE50" i="71"/>
  <c r="E273" i="71"/>
  <c r="F273" i="71"/>
  <c r="G273" i="71"/>
  <c r="H273" i="71"/>
  <c r="I273" i="71"/>
  <c r="J273" i="71"/>
  <c r="K273" i="71"/>
  <c r="M273" i="71"/>
  <c r="N273" i="71"/>
  <c r="O273" i="71"/>
  <c r="P273" i="71"/>
  <c r="Q273" i="71"/>
  <c r="R273" i="71"/>
  <c r="S273" i="71"/>
  <c r="T273" i="71"/>
  <c r="U273" i="71"/>
  <c r="V273" i="71"/>
  <c r="W273" i="71"/>
  <c r="X273" i="71"/>
  <c r="Y273" i="71"/>
  <c r="Z273" i="71"/>
  <c r="AA273" i="71"/>
  <c r="AB273" i="71"/>
  <c r="AC273" i="71"/>
  <c r="AD273" i="71"/>
  <c r="AE273" i="71"/>
  <c r="AF273" i="71"/>
  <c r="AG273" i="71"/>
  <c r="AH273" i="71"/>
  <c r="AI273" i="71"/>
  <c r="AJ273" i="71"/>
  <c r="AK273" i="71"/>
  <c r="AL273" i="71"/>
  <c r="AM273" i="71"/>
  <c r="AN273" i="71"/>
  <c r="AO273" i="71"/>
  <c r="AP273" i="71"/>
  <c r="AQ273" i="71"/>
  <c r="AR273" i="71"/>
  <c r="AS273" i="71"/>
  <c r="AT273" i="71"/>
  <c r="AU273" i="71"/>
  <c r="AV273" i="71"/>
  <c r="AW273" i="71"/>
  <c r="AX273" i="71"/>
  <c r="AY273" i="71"/>
  <c r="AZ273" i="71"/>
  <c r="BA273" i="71"/>
  <c r="BB273" i="71"/>
  <c r="BC273" i="71"/>
  <c r="BD273" i="71"/>
  <c r="BE273" i="71"/>
  <c r="BF273" i="71"/>
  <c r="BG273" i="71"/>
  <c r="BH273" i="71"/>
  <c r="BI273" i="71"/>
  <c r="BJ273" i="71"/>
  <c r="BK273" i="71"/>
  <c r="BL273" i="71"/>
  <c r="BM273" i="71"/>
  <c r="BN273" i="71"/>
  <c r="BO273" i="71"/>
  <c r="BP273" i="71"/>
  <c r="BQ273" i="71"/>
  <c r="BR273" i="71"/>
  <c r="BS273" i="71"/>
  <c r="BU273" i="71"/>
  <c r="BV273" i="71"/>
  <c r="BW273" i="71"/>
  <c r="BX273" i="71"/>
  <c r="BY273" i="71"/>
  <c r="BZ273" i="71"/>
  <c r="CA273" i="71"/>
  <c r="CB273" i="71"/>
  <c r="CC273" i="71"/>
  <c r="CD273" i="71"/>
  <c r="CE273" i="71"/>
  <c r="CF273" i="71"/>
  <c r="CG273" i="71"/>
  <c r="CH273" i="71"/>
  <c r="CI273" i="71"/>
  <c r="CJ273" i="71"/>
  <c r="CK273" i="71"/>
  <c r="CL273" i="71"/>
  <c r="CM273" i="71"/>
  <c r="CN273" i="71"/>
  <c r="CO273" i="71"/>
  <c r="CP273" i="71"/>
  <c r="CQ273" i="71"/>
  <c r="CR273" i="71"/>
  <c r="CS273" i="71"/>
  <c r="CT273" i="71"/>
  <c r="CU273" i="71"/>
  <c r="CV273" i="71"/>
  <c r="CW273" i="71"/>
  <c r="CX273" i="71"/>
  <c r="CY273" i="71"/>
  <c r="CZ273" i="71"/>
  <c r="DA273" i="71"/>
  <c r="DB273" i="71"/>
  <c r="DC273" i="71"/>
  <c r="DE273" i="71"/>
  <c r="DF273" i="71"/>
  <c r="DG273" i="71"/>
  <c r="DH273" i="71"/>
  <c r="DI273" i="71"/>
  <c r="DJ273" i="71"/>
  <c r="DK273" i="71"/>
  <c r="DL273" i="71"/>
  <c r="DM273" i="71"/>
  <c r="DN273" i="71"/>
  <c r="DO273" i="71"/>
  <c r="DP273" i="71"/>
  <c r="DQ273" i="71"/>
  <c r="DR273" i="71"/>
  <c r="DT273" i="71"/>
  <c r="DU273" i="71"/>
  <c r="DU274" i="71"/>
  <c r="E276" i="71"/>
  <c r="F276" i="71"/>
  <c r="G276" i="71"/>
  <c r="H276" i="71"/>
  <c r="I276" i="71"/>
  <c r="J276" i="71"/>
  <c r="K276" i="71"/>
  <c r="L276" i="71"/>
  <c r="M276" i="71"/>
  <c r="N276" i="71"/>
  <c r="O276" i="71"/>
  <c r="P276" i="71"/>
  <c r="Q276" i="71"/>
  <c r="R276" i="71"/>
  <c r="S276" i="71"/>
  <c r="T276" i="71"/>
  <c r="U276" i="71"/>
  <c r="V276" i="71"/>
  <c r="W276" i="71"/>
  <c r="X276" i="71"/>
  <c r="Y276" i="71"/>
  <c r="Z276" i="71"/>
  <c r="AA276" i="71"/>
  <c r="AB276" i="71"/>
  <c r="AC276" i="71"/>
  <c r="AD276" i="71"/>
  <c r="AE276" i="71"/>
  <c r="AF276" i="71"/>
  <c r="AG276" i="71"/>
  <c r="AH276" i="71"/>
  <c r="AI276" i="71"/>
  <c r="AJ276" i="71"/>
  <c r="AK276" i="71"/>
  <c r="AL276" i="71"/>
  <c r="AM276" i="71"/>
  <c r="AN276" i="71"/>
  <c r="AO276" i="71"/>
  <c r="AP276" i="71"/>
  <c r="AQ276" i="71"/>
  <c r="AR276" i="71"/>
  <c r="AS276" i="71"/>
  <c r="AT276" i="71"/>
  <c r="AU276" i="71"/>
  <c r="AV276" i="71"/>
  <c r="AW276" i="71"/>
  <c r="AX276" i="71"/>
  <c r="AY276" i="71"/>
  <c r="AZ276" i="71"/>
  <c r="BA276" i="71"/>
  <c r="BB276" i="71"/>
  <c r="BC276" i="71"/>
  <c r="BD276" i="71"/>
  <c r="BE276" i="71"/>
  <c r="BF276" i="71"/>
  <c r="BG276" i="71"/>
  <c r="BH276" i="71"/>
  <c r="BI276" i="71"/>
  <c r="BJ276" i="71"/>
  <c r="BK276" i="71"/>
  <c r="BL276" i="71"/>
  <c r="BM276" i="71"/>
  <c r="BN276" i="71"/>
  <c r="BO276" i="71"/>
  <c r="BP276" i="71"/>
  <c r="BQ276" i="71"/>
  <c r="BR276" i="71"/>
  <c r="BS276" i="71"/>
  <c r="BT276" i="71"/>
  <c r="BU276" i="71"/>
  <c r="BV276" i="71"/>
  <c r="BW276" i="71"/>
  <c r="BX276" i="71"/>
  <c r="BY276" i="71"/>
  <c r="BZ276" i="71"/>
  <c r="CA276" i="71"/>
  <c r="CB276" i="71"/>
  <c r="CC276" i="71"/>
  <c r="CD276" i="71"/>
  <c r="CE276" i="71"/>
  <c r="CF276" i="71"/>
  <c r="CG276" i="71"/>
  <c r="CH276" i="71"/>
  <c r="CI276" i="71"/>
  <c r="CJ276" i="71"/>
  <c r="CK276" i="71"/>
  <c r="CL276" i="71"/>
  <c r="CM276" i="71"/>
  <c r="CN276" i="71"/>
  <c r="CO276" i="71"/>
  <c r="CP276" i="71"/>
  <c r="CQ276" i="71"/>
  <c r="CR276" i="71"/>
  <c r="CS276" i="71"/>
  <c r="CT276" i="71"/>
  <c r="CU276" i="71"/>
  <c r="CV276" i="71"/>
  <c r="CW276" i="71"/>
  <c r="CX276" i="71"/>
  <c r="CY276" i="71"/>
  <c r="CZ276" i="71"/>
  <c r="DA276" i="71"/>
  <c r="DB276" i="71"/>
  <c r="DC276" i="71"/>
  <c r="DD276" i="71"/>
  <c r="DE276" i="71"/>
  <c r="DF276" i="71"/>
  <c r="DG276" i="71"/>
  <c r="DH276" i="71"/>
  <c r="DI276" i="71"/>
  <c r="DJ276" i="71"/>
  <c r="DK276" i="71"/>
  <c r="DL276" i="71"/>
  <c r="DM276" i="71"/>
  <c r="DN276" i="71"/>
  <c r="DO276" i="71"/>
  <c r="DP276" i="71"/>
  <c r="DQ276" i="71"/>
  <c r="DR276" i="71"/>
  <c r="DS276" i="71"/>
  <c r="DT276" i="71"/>
  <c r="DU276" i="71"/>
  <c r="C279" i="71"/>
  <c r="G281" i="71"/>
  <c r="H281" i="71"/>
  <c r="I281" i="71"/>
  <c r="J281" i="71"/>
  <c r="K281" i="71"/>
  <c r="M281" i="71"/>
  <c r="N281" i="71"/>
  <c r="P281" i="71"/>
  <c r="Q281" i="71"/>
  <c r="S281" i="71"/>
  <c r="T281" i="71"/>
  <c r="U281" i="71"/>
  <c r="V281" i="71"/>
  <c r="W281" i="71"/>
  <c r="Y281" i="71"/>
  <c r="Z281" i="71"/>
  <c r="AA281" i="71"/>
  <c r="AB281" i="71"/>
  <c r="AC281" i="71"/>
  <c r="AE281" i="71"/>
  <c r="AF281" i="71"/>
  <c r="AG281" i="71"/>
  <c r="AH281" i="71"/>
  <c r="AI281" i="71"/>
  <c r="AK281" i="71"/>
  <c r="AL281" i="71"/>
  <c r="AM281" i="71"/>
  <c r="AN281" i="71"/>
  <c r="AO281" i="71"/>
  <c r="AQ281" i="71"/>
  <c r="AR281" i="71"/>
  <c r="AT281" i="71"/>
  <c r="AU281" i="71"/>
  <c r="AW281" i="71"/>
  <c r="AX281" i="71"/>
  <c r="AY281" i="71"/>
  <c r="AZ281" i="71"/>
  <c r="BA281" i="71"/>
  <c r="BC281" i="71"/>
  <c r="BD281" i="71"/>
  <c r="BE281" i="71"/>
  <c r="BF281" i="71"/>
  <c r="BG281" i="71"/>
  <c r="BI281" i="71"/>
  <c r="BJ281" i="71"/>
  <c r="BL281" i="71"/>
  <c r="BM281" i="71"/>
  <c r="BO281" i="71"/>
  <c r="BP281" i="71"/>
  <c r="BQ281" i="71"/>
  <c r="BR281" i="71"/>
  <c r="BS281" i="71"/>
  <c r="BU281" i="71"/>
  <c r="BV281" i="71"/>
  <c r="BW281" i="71"/>
  <c r="BX281" i="71"/>
  <c r="BY281" i="71"/>
  <c r="CA281" i="71"/>
  <c r="CB281" i="71"/>
  <c r="CD281" i="71"/>
  <c r="CE281" i="71"/>
  <c r="CG281" i="71"/>
  <c r="CH281" i="71"/>
  <c r="CI281" i="71"/>
  <c r="CJ281" i="71"/>
  <c r="CK281" i="71"/>
  <c r="CM281" i="71"/>
  <c r="CN281" i="71"/>
  <c r="CO281" i="71"/>
  <c r="CP281" i="71"/>
  <c r="CQ281" i="71"/>
  <c r="CS281" i="71"/>
  <c r="CT281" i="71"/>
  <c r="CV281" i="71"/>
  <c r="CW281" i="71"/>
  <c r="CY281" i="71"/>
  <c r="CZ281" i="71"/>
  <c r="DA281" i="71"/>
  <c r="DB281" i="71"/>
  <c r="DC281" i="71"/>
  <c r="DE281" i="71"/>
  <c r="DF281" i="71"/>
  <c r="DG281" i="71"/>
  <c r="DH281" i="71"/>
  <c r="DI281" i="71"/>
  <c r="DK281" i="71"/>
  <c r="DL281" i="71"/>
  <c r="DM281" i="71"/>
  <c r="DN281" i="71"/>
  <c r="DO281" i="71"/>
  <c r="DQ281" i="71"/>
  <c r="DR281" i="71"/>
  <c r="DT281" i="71"/>
  <c r="DU281" i="71"/>
  <c r="G283" i="71"/>
  <c r="H283" i="71"/>
  <c r="I283" i="71"/>
  <c r="J283" i="71"/>
  <c r="K283" i="71"/>
  <c r="M283" i="71"/>
  <c r="N283" i="71"/>
  <c r="P283" i="71"/>
  <c r="Q283" i="71"/>
  <c r="S283" i="71"/>
  <c r="T283" i="71"/>
  <c r="U283" i="71"/>
  <c r="V283" i="71"/>
  <c r="W283" i="71"/>
  <c r="Y283" i="71"/>
  <c r="Z283" i="71"/>
  <c r="AA283" i="71"/>
  <c r="AB283" i="71"/>
  <c r="AC283" i="71"/>
  <c r="AE283" i="71"/>
  <c r="AF283" i="71"/>
  <c r="AG283" i="71"/>
  <c r="AH283" i="71"/>
  <c r="AI283" i="71"/>
  <c r="AK283" i="71"/>
  <c r="AL283" i="71"/>
  <c r="AM283" i="71"/>
  <c r="AN283" i="71"/>
  <c r="AO283" i="71"/>
  <c r="AQ283" i="71"/>
  <c r="AR283" i="71"/>
  <c r="AT283" i="71"/>
  <c r="AU283" i="71"/>
  <c r="AW283" i="71"/>
  <c r="AX283" i="71"/>
  <c r="AY283" i="71"/>
  <c r="AZ283" i="71"/>
  <c r="BA283" i="71"/>
  <c r="BC283" i="71"/>
  <c r="BD283" i="71"/>
  <c r="BE283" i="71"/>
  <c r="BF283" i="71"/>
  <c r="BG283" i="71"/>
  <c r="BI283" i="71"/>
  <c r="BJ283" i="71"/>
  <c r="BL283" i="71"/>
  <c r="BM283" i="71"/>
  <c r="BO283" i="71"/>
  <c r="BP283" i="71"/>
  <c r="BQ283" i="71"/>
  <c r="BR283" i="71"/>
  <c r="BS283" i="71"/>
  <c r="BT283" i="71"/>
  <c r="BU283" i="71"/>
  <c r="BV283" i="71"/>
  <c r="BW283" i="71"/>
  <c r="BX283" i="71"/>
  <c r="BY283" i="71"/>
  <c r="CA283" i="71"/>
  <c r="CB283" i="71"/>
  <c r="CD283" i="71"/>
  <c r="CE283" i="71"/>
  <c r="CG283" i="71"/>
  <c r="CH283" i="71"/>
  <c r="CI283" i="71"/>
  <c r="CJ283" i="71"/>
  <c r="CK283" i="71"/>
  <c r="CM283" i="71"/>
  <c r="CN283" i="71"/>
  <c r="CO283" i="71"/>
  <c r="CP283" i="71"/>
  <c r="CQ283" i="71"/>
  <c r="CS283" i="71"/>
  <c r="CT283" i="71"/>
  <c r="CV283" i="71"/>
  <c r="CW283" i="71"/>
  <c r="CY283" i="71"/>
  <c r="CZ283" i="71"/>
  <c r="DA283" i="71"/>
  <c r="DB283" i="71"/>
  <c r="DC283" i="71"/>
  <c r="DE283" i="71"/>
  <c r="DF283" i="71"/>
  <c r="DG283" i="71"/>
  <c r="DH283" i="71"/>
  <c r="DI283" i="71"/>
  <c r="DK283" i="71"/>
  <c r="DL283" i="71"/>
  <c r="DM283" i="71"/>
  <c r="DN283" i="71"/>
  <c r="DO283" i="71"/>
  <c r="DQ283" i="71"/>
  <c r="DR283" i="71"/>
  <c r="DT283" i="71"/>
  <c r="DU283" i="71"/>
  <c r="E291" i="71"/>
  <c r="F287" i="71"/>
  <c r="F288" i="71"/>
  <c r="F291" i="71"/>
  <c r="G287" i="71"/>
  <c r="G288" i="71"/>
  <c r="G291" i="71"/>
  <c r="H287" i="71"/>
  <c r="H288" i="71"/>
  <c r="H291" i="71"/>
  <c r="I287" i="71"/>
  <c r="I288" i="71"/>
  <c r="I291" i="71"/>
  <c r="J287" i="71"/>
  <c r="J288" i="71"/>
  <c r="J291" i="71"/>
  <c r="K287" i="71"/>
  <c r="K288" i="71"/>
  <c r="K291" i="71"/>
  <c r="L287" i="71"/>
  <c r="L288" i="71"/>
  <c r="L291" i="71"/>
  <c r="M287" i="71"/>
  <c r="M288" i="71"/>
  <c r="M291" i="71"/>
  <c r="N287" i="71"/>
  <c r="N288" i="71"/>
  <c r="N291" i="71"/>
  <c r="O287" i="71"/>
  <c r="O288" i="71"/>
  <c r="O291" i="71"/>
  <c r="P287" i="71"/>
  <c r="P288" i="71"/>
  <c r="P291" i="71"/>
  <c r="Q287" i="71"/>
  <c r="Q288" i="71"/>
  <c r="Q291" i="71"/>
  <c r="R287" i="71"/>
  <c r="R288" i="71"/>
  <c r="R291" i="71"/>
  <c r="S287" i="71"/>
  <c r="S288" i="71"/>
  <c r="S291" i="71"/>
  <c r="T287" i="71"/>
  <c r="T288" i="71"/>
  <c r="T291" i="71"/>
  <c r="U287" i="71"/>
  <c r="U288" i="71"/>
  <c r="U291" i="71"/>
  <c r="V287" i="71"/>
  <c r="V288" i="71"/>
  <c r="V291" i="71"/>
  <c r="W287" i="71"/>
  <c r="W288" i="71"/>
  <c r="W291" i="71"/>
  <c r="X287" i="71"/>
  <c r="X288" i="71"/>
  <c r="X291" i="71"/>
  <c r="Y287" i="71"/>
  <c r="Y288" i="71"/>
  <c r="Y291" i="71"/>
  <c r="Z287" i="71"/>
  <c r="Z288" i="71"/>
  <c r="Z291" i="71"/>
  <c r="AA287" i="71"/>
  <c r="AA288" i="71"/>
  <c r="AA291" i="71"/>
  <c r="AB287" i="71"/>
  <c r="AB288" i="71"/>
  <c r="AB291" i="71"/>
  <c r="AC287" i="71"/>
  <c r="AC288" i="71"/>
  <c r="AC291" i="71"/>
  <c r="AD287" i="71"/>
  <c r="AD288" i="71"/>
  <c r="AD291" i="71"/>
  <c r="AE287" i="71"/>
  <c r="AE288" i="71"/>
  <c r="AE291" i="71"/>
  <c r="AF287" i="71"/>
  <c r="AF288" i="71"/>
  <c r="AF291" i="71"/>
  <c r="AG287" i="71"/>
  <c r="AG288" i="71"/>
  <c r="AG291" i="71"/>
  <c r="AH287" i="71"/>
  <c r="AH288" i="71"/>
  <c r="AH291" i="71"/>
  <c r="AI287" i="71"/>
  <c r="AI288" i="71"/>
  <c r="AI291" i="71"/>
  <c r="AJ287" i="71"/>
  <c r="AJ288" i="71"/>
  <c r="AJ291" i="71"/>
  <c r="AK287" i="71"/>
  <c r="AK288" i="71"/>
  <c r="AK291" i="71"/>
  <c r="AL287" i="71"/>
  <c r="AL288" i="71"/>
  <c r="AL291" i="71"/>
  <c r="AM287" i="71"/>
  <c r="AM288" i="71"/>
  <c r="AM291" i="71"/>
  <c r="AN287" i="71"/>
  <c r="AN288" i="71"/>
  <c r="AN291" i="71"/>
  <c r="AO287" i="71"/>
  <c r="AO288" i="71"/>
  <c r="AO291" i="71"/>
  <c r="AP287" i="71"/>
  <c r="AP288" i="71"/>
  <c r="AP291" i="71"/>
  <c r="AQ287" i="71"/>
  <c r="AQ288" i="71"/>
  <c r="AQ291" i="71"/>
  <c r="AR287" i="71"/>
  <c r="AR288" i="71"/>
  <c r="AR291" i="71"/>
  <c r="AS287" i="71"/>
  <c r="AS288" i="71"/>
  <c r="AS291" i="71"/>
  <c r="AT287" i="71"/>
  <c r="AT288" i="71"/>
  <c r="AT291" i="71"/>
  <c r="AU287" i="71"/>
  <c r="AU288" i="71"/>
  <c r="AU291" i="71"/>
  <c r="AV287" i="71"/>
  <c r="AV288" i="71"/>
  <c r="AV291" i="71"/>
  <c r="AW287" i="71"/>
  <c r="AW288" i="71"/>
  <c r="AW291" i="71"/>
  <c r="AX287" i="71"/>
  <c r="AX288" i="71"/>
  <c r="AX291" i="71"/>
  <c r="AY287" i="71"/>
  <c r="AY288" i="71"/>
  <c r="AY291" i="71"/>
  <c r="AZ287" i="71"/>
  <c r="AZ288" i="71"/>
  <c r="AZ291" i="71"/>
  <c r="BA287" i="71"/>
  <c r="BA288" i="71"/>
  <c r="BA291" i="71"/>
  <c r="BB287" i="71"/>
  <c r="BB288" i="71"/>
  <c r="BB291" i="71"/>
  <c r="BC287" i="71"/>
  <c r="BC288" i="71"/>
  <c r="BC291" i="71"/>
  <c r="BD287" i="71"/>
  <c r="BD288" i="71"/>
  <c r="BD291" i="71"/>
  <c r="BE287" i="71"/>
  <c r="BE288" i="71"/>
  <c r="BE291" i="71"/>
  <c r="BF287" i="71"/>
  <c r="BF288" i="71"/>
  <c r="BF291" i="71"/>
  <c r="BG287" i="71"/>
  <c r="BG288" i="71"/>
  <c r="BG291" i="71"/>
  <c r="BH287" i="71"/>
  <c r="BH288" i="71"/>
  <c r="BH291" i="71"/>
  <c r="BI287" i="71"/>
  <c r="BI288" i="71"/>
  <c r="BI291" i="71"/>
  <c r="BJ287" i="71"/>
  <c r="BJ288" i="71"/>
  <c r="BJ291" i="71"/>
  <c r="BK287" i="71"/>
  <c r="BK288" i="71"/>
  <c r="BK291" i="71"/>
  <c r="BL287" i="71"/>
  <c r="BL288" i="71"/>
  <c r="BL291" i="71"/>
  <c r="BM287" i="71"/>
  <c r="BM288" i="71"/>
  <c r="BM291" i="71"/>
  <c r="BN287" i="71"/>
  <c r="BN288" i="71"/>
  <c r="BN291" i="71"/>
  <c r="BO287" i="71"/>
  <c r="BO288" i="71"/>
  <c r="BO291" i="71"/>
  <c r="BP287" i="71"/>
  <c r="BP288" i="71"/>
  <c r="BP291" i="71"/>
  <c r="BQ287" i="71"/>
  <c r="BQ288" i="71"/>
  <c r="BQ291" i="71"/>
  <c r="BR287" i="71"/>
  <c r="BR288" i="71"/>
  <c r="BR291" i="71"/>
  <c r="BS287" i="71"/>
  <c r="BS288" i="71"/>
  <c r="BS291" i="71"/>
  <c r="BT287" i="71"/>
  <c r="BT288" i="71"/>
  <c r="BT291" i="71"/>
  <c r="BU287" i="71"/>
  <c r="BU288" i="71"/>
  <c r="BU291" i="71"/>
  <c r="BV287" i="71"/>
  <c r="BV288" i="71"/>
  <c r="BV291" i="71"/>
  <c r="BW287" i="71"/>
  <c r="BW288" i="71"/>
  <c r="BW291" i="71"/>
  <c r="BX287" i="71"/>
  <c r="BX288" i="71"/>
  <c r="DM345" i="71"/>
  <c r="DR345" i="71"/>
  <c r="DR351" i="71"/>
  <c r="DU345" i="71"/>
  <c r="DV351" i="71"/>
  <c r="DZ34" i="71"/>
  <c r="J353" i="71"/>
  <c r="DP353" i="71"/>
  <c r="DR353" i="71"/>
  <c r="DT353" i="71"/>
  <c r="DV353" i="71"/>
  <c r="DX353" i="71"/>
  <c r="EA353" i="71"/>
  <c r="EC353" i="71"/>
  <c r="EE353" i="71"/>
  <c r="EF353" i="71"/>
  <c r="C354" i="71"/>
  <c r="DP357" i="71"/>
  <c r="DR357" i="71"/>
  <c r="DT357" i="71"/>
  <c r="DV357" i="71"/>
  <c r="DX357" i="71"/>
  <c r="EA357" i="71"/>
  <c r="EC357" i="71"/>
  <c r="EF357" i="71"/>
  <c r="V363" i="71"/>
  <c r="CD363" i="71"/>
  <c r="F366" i="71"/>
  <c r="G366" i="71"/>
  <c r="I366" i="71"/>
  <c r="N366" i="71"/>
  <c r="R366" i="71"/>
  <c r="Y366" i="71"/>
  <c r="AK366" i="71"/>
  <c r="AO366" i="71"/>
  <c r="AQ366" i="71"/>
  <c r="AS366" i="71"/>
  <c r="AU366" i="71"/>
  <c r="BA366" i="71"/>
  <c r="BE366" i="71"/>
  <c r="BG366" i="71"/>
  <c r="BK366" i="71"/>
  <c r="BM366" i="71"/>
  <c r="BQ366" i="71"/>
  <c r="BS366" i="71"/>
  <c r="BW366" i="71"/>
  <c r="CG366" i="71"/>
  <c r="CR366" i="71"/>
  <c r="CZ366" i="71"/>
  <c r="H371" i="71"/>
  <c r="L149" i="71"/>
  <c r="M371" i="71"/>
  <c r="O371" i="71"/>
  <c r="Q149" i="71"/>
  <c r="S371" i="71"/>
  <c r="U149" i="71"/>
  <c r="W371" i="71"/>
  <c r="X371" i="71"/>
  <c r="AA149" i="71"/>
  <c r="AB371" i="71"/>
  <c r="AD371" i="71"/>
  <c r="F373" i="71"/>
  <c r="G373" i="71"/>
  <c r="J373" i="71"/>
  <c r="K373" i="71"/>
  <c r="L373" i="71"/>
  <c r="N373" i="71"/>
  <c r="P373" i="71"/>
  <c r="R373" i="71"/>
  <c r="V373" i="71"/>
  <c r="AD373" i="71"/>
  <c r="AH373" i="71"/>
  <c r="AI373" i="71"/>
  <c r="AN373" i="71"/>
  <c r="AO373" i="71"/>
  <c r="AP373" i="71"/>
  <c r="AR373" i="71"/>
  <c r="AZ373" i="71"/>
  <c r="BA373" i="71"/>
  <c r="C428" i="71"/>
  <c r="G444" i="71"/>
  <c r="K444" i="71"/>
  <c r="M444" i="71"/>
  <c r="O444" i="71"/>
  <c r="R444" i="71"/>
  <c r="W444" i="71"/>
  <c r="AB444" i="71"/>
  <c r="AD444" i="71"/>
  <c r="AG444" i="71"/>
  <c r="AI444" i="71"/>
  <c r="AM444" i="71"/>
  <c r="AO444" i="71"/>
  <c r="AR444" i="71"/>
  <c r="AT444" i="71"/>
  <c r="AV444" i="71"/>
  <c r="AX444" i="71"/>
  <c r="BG444" i="71"/>
  <c r="BJ444" i="71"/>
  <c r="BM444" i="71"/>
  <c r="BP444" i="71"/>
  <c r="BS444" i="71"/>
  <c r="BU444" i="71"/>
  <c r="BX444" i="71"/>
  <c r="CB444" i="71"/>
  <c r="CE444" i="71"/>
  <c r="CG444" i="71"/>
  <c r="CJ444" i="71"/>
  <c r="CL444" i="71"/>
  <c r="CO444" i="71"/>
  <c r="CR444" i="71"/>
  <c r="CW444" i="71"/>
  <c r="CZ444" i="71"/>
  <c r="DD444" i="71"/>
  <c r="DF444" i="71"/>
  <c r="DG444" i="71"/>
  <c r="DL444" i="71"/>
  <c r="DN444" i="71"/>
  <c r="DP444" i="71"/>
  <c r="DV444" i="71"/>
  <c r="DY444" i="71"/>
  <c r="ED444" i="71"/>
  <c r="EF444" i="71"/>
  <c r="C453" i="71"/>
  <c r="O453" i="71"/>
  <c r="M457" i="71"/>
  <c r="E460" i="71"/>
  <c r="C460" i="71"/>
  <c r="G461" i="71"/>
  <c r="J461" i="71"/>
  <c r="K462" i="71"/>
  <c r="E28" i="71"/>
  <c r="E462" i="71"/>
  <c r="C462" i="71"/>
  <c r="O462" i="71"/>
  <c r="M465" i="71"/>
  <c r="C471" i="71"/>
  <c r="F471" i="71"/>
  <c r="O471" i="71"/>
  <c r="C472" i="71"/>
  <c r="E472" i="71"/>
  <c r="F472" i="71"/>
  <c r="G471" i="71"/>
  <c r="G472" i="71"/>
  <c r="C473" i="71"/>
  <c r="E475" i="71"/>
  <c r="C475" i="71"/>
  <c r="O475" i="71"/>
  <c r="F477" i="71"/>
  <c r="M479" i="71"/>
  <c r="L483" i="71"/>
  <c r="E489" i="71"/>
  <c r="O490" i="71"/>
  <c r="C492" i="71"/>
  <c r="C384" i="71"/>
  <c r="G389" i="71"/>
  <c r="I389" i="71"/>
  <c r="K389" i="71"/>
  <c r="M389" i="71"/>
  <c r="Q389" i="71"/>
  <c r="T389" i="71"/>
  <c r="W389" i="71"/>
  <c r="Z389" i="71"/>
  <c r="AB389" i="71"/>
  <c r="AD389" i="71"/>
  <c r="AG389" i="71"/>
  <c r="AK389" i="71"/>
  <c r="AL389" i="71"/>
  <c r="AN389" i="71"/>
  <c r="AP389" i="71"/>
  <c r="AR389" i="71"/>
  <c r="AT389" i="71"/>
  <c r="AV389" i="71"/>
  <c r="AX389" i="71"/>
  <c r="AZ389" i="71"/>
  <c r="BB389" i="71"/>
  <c r="BD389" i="71"/>
  <c r="BE389" i="71"/>
  <c r="BF389" i="71"/>
  <c r="BH389" i="71"/>
  <c r="BI389" i="71"/>
  <c r="BK389" i="71"/>
  <c r="BM389" i="71"/>
  <c r="BO389" i="71"/>
  <c r="BQ389" i="71"/>
  <c r="BT389" i="71"/>
  <c r="BV389" i="71"/>
  <c r="BX389" i="71"/>
  <c r="CA389" i="71"/>
  <c r="CB389" i="71"/>
  <c r="CD389" i="71"/>
  <c r="CE389" i="71"/>
  <c r="CF389" i="71"/>
  <c r="CG389" i="71"/>
  <c r="CI389" i="71"/>
  <c r="CK389" i="71"/>
  <c r="CM389" i="71"/>
  <c r="CO389" i="71"/>
  <c r="CQ389" i="71"/>
  <c r="CU389" i="71"/>
  <c r="CX389" i="71"/>
  <c r="CZ389" i="71"/>
  <c r="DB389" i="71"/>
  <c r="DE389" i="71"/>
  <c r="DF389" i="71"/>
  <c r="DH389" i="71"/>
  <c r="DK389" i="71"/>
  <c r="DL389" i="71"/>
  <c r="DM389" i="71"/>
  <c r="DP389" i="71"/>
  <c r="DQ389" i="71"/>
  <c r="DR389" i="71"/>
  <c r="DT389" i="71"/>
  <c r="DW389" i="71"/>
  <c r="DZ389" i="71"/>
  <c r="EB389" i="71"/>
  <c r="ED389" i="71"/>
  <c r="EE389" i="71"/>
  <c r="EG389" i="71"/>
  <c r="E395" i="71"/>
  <c r="G395" i="71"/>
  <c r="H395" i="71"/>
  <c r="I395" i="71"/>
  <c r="K395" i="71"/>
  <c r="L395" i="71"/>
  <c r="N395" i="71"/>
  <c r="Q395" i="71"/>
  <c r="R395" i="71"/>
  <c r="U395" i="71"/>
  <c r="W395" i="71"/>
  <c r="X395" i="71"/>
  <c r="Z395" i="71"/>
  <c r="AB395" i="71"/>
  <c r="AD395" i="71"/>
  <c r="AF395" i="71"/>
  <c r="AG395" i="71"/>
  <c r="AH395" i="71"/>
  <c r="AJ395" i="71"/>
  <c r="AK395" i="71"/>
  <c r="AM395" i="71"/>
  <c r="AO395" i="71"/>
  <c r="AQ395" i="71"/>
  <c r="AR395" i="71"/>
  <c r="AT395" i="71"/>
  <c r="AV395" i="71"/>
  <c r="AX395" i="71"/>
  <c r="AY395" i="71"/>
  <c r="BA395" i="71"/>
  <c r="BD395" i="71"/>
  <c r="BG395" i="71"/>
  <c r="BI395" i="71"/>
  <c r="BJ395" i="71"/>
  <c r="BK395" i="71"/>
  <c r="BM395" i="71"/>
  <c r="BO395" i="71"/>
  <c r="BQ395" i="71"/>
  <c r="BS395" i="71"/>
  <c r="BT395" i="71"/>
  <c r="BV395" i="71"/>
  <c r="BX395" i="71"/>
  <c r="BY395" i="71"/>
  <c r="CA395" i="71"/>
  <c r="CB395" i="71"/>
  <c r="CD395" i="71"/>
  <c r="CF395" i="71"/>
  <c r="CI395" i="71"/>
  <c r="CK395" i="71"/>
  <c r="CL395" i="71"/>
  <c r="CN395" i="71"/>
  <c r="CR395" i="71"/>
  <c r="CT395" i="71"/>
  <c r="CV395" i="71"/>
  <c r="CW395" i="71"/>
  <c r="CZ395" i="71"/>
  <c r="DB395" i="71"/>
  <c r="DC395" i="71"/>
  <c r="DE395" i="71"/>
  <c r="DG395" i="71"/>
  <c r="DI395" i="71"/>
  <c r="DK395" i="71"/>
  <c r="DM395" i="71"/>
  <c r="DO395" i="71"/>
  <c r="DQ395" i="71"/>
  <c r="DS395" i="71"/>
  <c r="DU395" i="71"/>
  <c r="DW395" i="71"/>
  <c r="DY395" i="71"/>
  <c r="EA395" i="71"/>
  <c r="ED395" i="71"/>
  <c r="EF395" i="71"/>
  <c r="C396" i="71"/>
  <c r="E401" i="71"/>
  <c r="F401" i="71"/>
  <c r="G401" i="71"/>
  <c r="H401" i="71"/>
  <c r="I401" i="71"/>
  <c r="J401" i="71"/>
  <c r="K401" i="71"/>
  <c r="L401" i="71"/>
  <c r="M401" i="71"/>
  <c r="N401" i="71"/>
  <c r="O401" i="71"/>
  <c r="Q401" i="71"/>
  <c r="R401" i="71"/>
  <c r="S401" i="71"/>
  <c r="U401" i="71"/>
  <c r="W401" i="71"/>
  <c r="Z401" i="71"/>
  <c r="AA401" i="71"/>
  <c r="AC401" i="71"/>
  <c r="AD401" i="71"/>
  <c r="AF401" i="71"/>
  <c r="AG401" i="71"/>
  <c r="AI401" i="71"/>
  <c r="AL401" i="71"/>
  <c r="AO401" i="71"/>
  <c r="AQ401" i="71"/>
  <c r="AT401" i="71"/>
  <c r="AV401" i="71"/>
  <c r="AX401" i="71"/>
  <c r="BB401" i="71"/>
  <c r="BD401" i="71"/>
  <c r="BF401" i="71"/>
  <c r="BH401" i="71"/>
  <c r="BI401" i="71"/>
  <c r="BK401" i="71"/>
  <c r="BM401" i="71"/>
  <c r="BO401" i="71"/>
  <c r="BQ401" i="71"/>
  <c r="BS401" i="71"/>
  <c r="BU401" i="71"/>
  <c r="BX401" i="71"/>
  <c r="BZ401" i="71"/>
  <c r="CD401" i="71"/>
  <c r="CE401" i="71"/>
  <c r="CF401" i="71"/>
  <c r="CJ401" i="71"/>
  <c r="CP401" i="71"/>
  <c r="CR401" i="71"/>
  <c r="CT401" i="71"/>
  <c r="CU401" i="71"/>
  <c r="CW401" i="71"/>
  <c r="CY401" i="71"/>
  <c r="CZ401" i="71"/>
  <c r="DB401" i="71"/>
  <c r="DD401" i="71"/>
  <c r="DE401" i="71"/>
  <c r="DG401" i="71"/>
  <c r="DI401" i="71"/>
  <c r="DJ401" i="71"/>
  <c r="DL401" i="71"/>
  <c r="DO401" i="71"/>
  <c r="DQ401" i="71"/>
  <c r="DS401" i="71"/>
  <c r="DU401" i="71"/>
  <c r="DW401" i="71"/>
  <c r="DY401" i="71"/>
  <c r="DZ401" i="71"/>
  <c r="EB401" i="71"/>
  <c r="ED401" i="71"/>
  <c r="EF401" i="71"/>
  <c r="EG401" i="71"/>
  <c r="C403" i="71"/>
  <c r="E408" i="71"/>
  <c r="G408" i="71"/>
  <c r="I408" i="71"/>
  <c r="J408" i="71"/>
  <c r="L408" i="71"/>
  <c r="M408" i="71"/>
  <c r="Q408" i="71"/>
  <c r="R408" i="71"/>
  <c r="U408" i="71"/>
  <c r="W408" i="71"/>
  <c r="Y408" i="71"/>
  <c r="AA408" i="71"/>
  <c r="AD408" i="71"/>
  <c r="AE408" i="71"/>
  <c r="AG408" i="71"/>
  <c r="AI408" i="71"/>
  <c r="AK408" i="71"/>
  <c r="AO408" i="71"/>
  <c r="AQ408" i="71"/>
  <c r="AS408" i="71"/>
  <c r="AW408" i="71"/>
  <c r="AZ408" i="71"/>
  <c r="BB408" i="71"/>
  <c r="BD408" i="71"/>
  <c r="BF408" i="71"/>
  <c r="BH408" i="71"/>
  <c r="BK408" i="71"/>
  <c r="BM408" i="71"/>
  <c r="BN408" i="71"/>
  <c r="BP408" i="71"/>
  <c r="BR408" i="71"/>
  <c r="BT408" i="71"/>
  <c r="BU408" i="71"/>
  <c r="BV408" i="71"/>
  <c r="BX408" i="71"/>
  <c r="CA408" i="71"/>
  <c r="CC408" i="71"/>
  <c r="CE408" i="71"/>
  <c r="CF408" i="71"/>
  <c r="CH408" i="71"/>
  <c r="CI408" i="71"/>
  <c r="CK408" i="71"/>
  <c r="CM408" i="71"/>
  <c r="CO408" i="71"/>
  <c r="CQ408" i="71"/>
  <c r="CS408" i="71"/>
  <c r="CU408" i="71"/>
  <c r="CW408" i="71"/>
  <c r="CY408" i="71"/>
  <c r="DA408" i="71"/>
  <c r="DC408" i="71"/>
  <c r="DE408" i="71"/>
  <c r="DG408" i="71"/>
  <c r="DI408" i="71"/>
  <c r="DN408" i="71"/>
  <c r="DP408" i="71"/>
  <c r="DR408" i="71"/>
  <c r="DT408" i="71"/>
  <c r="DV408" i="71"/>
  <c r="DY408" i="71"/>
  <c r="EA408" i="71"/>
  <c r="EC408" i="71"/>
  <c r="EE408" i="71"/>
  <c r="EG408" i="71"/>
  <c r="C410" i="71"/>
  <c r="E414" i="71"/>
  <c r="F414" i="71"/>
  <c r="G414" i="71"/>
  <c r="H414" i="71"/>
  <c r="I414" i="71"/>
  <c r="J414" i="71"/>
  <c r="K414" i="71"/>
  <c r="L414" i="71"/>
  <c r="M414" i="71"/>
  <c r="N414" i="71"/>
  <c r="O414" i="71"/>
  <c r="P414" i="71"/>
  <c r="Q414" i="71"/>
  <c r="R414" i="71"/>
  <c r="S414" i="71"/>
  <c r="T414" i="71"/>
  <c r="U414" i="71"/>
  <c r="V414" i="71"/>
  <c r="W414" i="71"/>
  <c r="X414" i="71"/>
  <c r="Y414" i="71"/>
  <c r="Z414" i="71"/>
  <c r="AA414" i="71"/>
  <c r="AB414" i="71"/>
  <c r="AC414" i="71"/>
  <c r="AD414" i="71"/>
  <c r="AE414" i="71"/>
  <c r="AF414" i="71"/>
  <c r="AG414" i="71"/>
  <c r="AH414" i="71"/>
  <c r="AI414" i="71"/>
  <c r="AJ414" i="71"/>
  <c r="AK414" i="71"/>
  <c r="AL414" i="71"/>
  <c r="AM414" i="71"/>
  <c r="AN414" i="71"/>
  <c r="AO414" i="71"/>
  <c r="AP414" i="71"/>
  <c r="AQ414" i="71"/>
  <c r="AR414" i="71"/>
  <c r="AS414" i="71"/>
  <c r="AT414" i="71"/>
  <c r="AU414" i="71"/>
  <c r="AV414" i="71"/>
  <c r="AW414" i="71"/>
  <c r="AX414" i="71"/>
  <c r="AY414" i="71"/>
  <c r="AZ414" i="71"/>
  <c r="BA414" i="71"/>
  <c r="BB414" i="71"/>
  <c r="BC414" i="71"/>
  <c r="BD414" i="71"/>
  <c r="BF414" i="71"/>
  <c r="BG414" i="71"/>
  <c r="BJ414" i="71"/>
  <c r="BL414" i="71"/>
  <c r="BN414" i="71"/>
  <c r="BQ414" i="71"/>
  <c r="BR414" i="71"/>
  <c r="BU414" i="71"/>
  <c r="BW414" i="71"/>
  <c r="BZ414" i="71"/>
  <c r="CB414" i="71"/>
  <c r="CD414" i="71"/>
  <c r="CF414" i="71"/>
  <c r="CG414" i="71"/>
  <c r="CI414" i="71"/>
  <c r="CK414" i="71"/>
  <c r="CM414" i="71"/>
  <c r="CP414" i="71"/>
  <c r="CS414" i="71"/>
  <c r="CU414" i="71"/>
  <c r="CW414" i="71"/>
  <c r="CY414" i="71"/>
  <c r="DA414" i="71"/>
  <c r="DB414" i="71"/>
  <c r="DD414" i="71"/>
  <c r="DF414" i="71"/>
  <c r="DH414" i="71"/>
  <c r="DJ414" i="71"/>
  <c r="DL414" i="71"/>
  <c r="DN414" i="71"/>
  <c r="DP414" i="71"/>
  <c r="DS414" i="71"/>
  <c r="DU414" i="71"/>
  <c r="DZ414" i="71"/>
  <c r="EC414" i="71"/>
  <c r="EF414" i="71"/>
  <c r="C416" i="71"/>
  <c r="F420" i="71"/>
  <c r="G420" i="71"/>
  <c r="H420" i="71"/>
  <c r="I420" i="71"/>
  <c r="J420" i="71"/>
  <c r="K420" i="71"/>
  <c r="L420" i="71"/>
  <c r="M420" i="71"/>
  <c r="N420" i="71"/>
  <c r="O420" i="71"/>
  <c r="P420" i="71"/>
  <c r="Q420" i="71"/>
  <c r="R420" i="71"/>
  <c r="S420" i="71"/>
  <c r="T420" i="71"/>
  <c r="U420" i="71"/>
  <c r="V420" i="71"/>
  <c r="W420" i="71"/>
  <c r="X420" i="71"/>
  <c r="Y420" i="71"/>
  <c r="Z420" i="71"/>
  <c r="AA420" i="71"/>
  <c r="AB420" i="71"/>
  <c r="AC420" i="71"/>
  <c r="AD420" i="71"/>
  <c r="AE420" i="71"/>
  <c r="AF420" i="71"/>
  <c r="AG420" i="71"/>
  <c r="AH420" i="71"/>
  <c r="AI420" i="71"/>
  <c r="AJ420" i="71"/>
  <c r="AK420" i="71"/>
  <c r="AL420" i="71"/>
  <c r="AN420" i="71"/>
  <c r="AP420" i="71"/>
  <c r="AR420" i="71"/>
  <c r="AT420" i="71"/>
  <c r="AV420" i="71"/>
  <c r="AW420" i="71"/>
  <c r="BA420" i="71"/>
  <c r="BD420" i="71"/>
  <c r="BE420" i="71"/>
  <c r="BF420" i="71"/>
  <c r="BH420" i="71"/>
  <c r="BI420" i="71"/>
  <c r="BL420" i="71"/>
  <c r="BN420" i="71"/>
  <c r="BO420" i="71"/>
  <c r="BP420" i="71"/>
  <c r="BQ420" i="71"/>
  <c r="BR420" i="71"/>
  <c r="BT420" i="71"/>
  <c r="BW420" i="71"/>
  <c r="BY420" i="71"/>
  <c r="CA420" i="71"/>
  <c r="CC420" i="71"/>
  <c r="CD420" i="71"/>
  <c r="CF420" i="71"/>
  <c r="CI420" i="71"/>
  <c r="CK420" i="71"/>
  <c r="CL420" i="71"/>
  <c r="CN420" i="71"/>
  <c r="CP420" i="71"/>
  <c r="CS420" i="71"/>
  <c r="CV420" i="71"/>
  <c r="CZ420" i="71"/>
  <c r="DB420" i="71"/>
  <c r="DE420" i="71"/>
  <c r="DF420" i="71"/>
  <c r="DH420" i="71"/>
  <c r="DJ420" i="71"/>
  <c r="DQ420" i="71"/>
  <c r="DR420" i="71"/>
  <c r="DS420" i="71"/>
  <c r="DU420" i="71"/>
  <c r="DW420" i="71"/>
  <c r="DY420" i="71"/>
  <c r="EB420" i="71"/>
  <c r="ED420" i="71"/>
  <c r="EF420" i="71"/>
  <c r="C421" i="71"/>
  <c r="AA427" i="71"/>
  <c r="AI427" i="71"/>
  <c r="AO427" i="71"/>
  <c r="AQ427" i="71"/>
  <c r="AS427" i="71"/>
  <c r="AW427" i="71"/>
  <c r="BF427" i="71"/>
  <c r="BK427" i="71"/>
  <c r="CF427" i="71"/>
  <c r="CK427" i="71"/>
  <c r="CM427" i="71"/>
  <c r="CQ427" i="71"/>
  <c r="DY427" i="71"/>
  <c r="EE427" i="71"/>
  <c r="E433" i="71"/>
  <c r="G433" i="71"/>
  <c r="J433" i="71"/>
  <c r="L433" i="71"/>
  <c r="O433" i="71"/>
  <c r="S433" i="71"/>
  <c r="X433" i="71"/>
  <c r="AA433" i="71"/>
  <c r="AC433" i="71"/>
  <c r="AE433" i="71"/>
  <c r="AG433" i="71"/>
  <c r="AI433" i="71"/>
  <c r="AL433" i="71"/>
  <c r="AQ433" i="71"/>
  <c r="AT433" i="71"/>
  <c r="AV433" i="71"/>
  <c r="BA433" i="71"/>
  <c r="BG433" i="71"/>
  <c r="BQ433" i="71"/>
  <c r="CB433" i="71"/>
  <c r="CG433" i="71"/>
  <c r="CM433" i="71"/>
  <c r="DB433" i="71"/>
  <c r="DH433" i="71"/>
  <c r="DJ433" i="71"/>
  <c r="DS433" i="71"/>
  <c r="DU433" i="71"/>
  <c r="C434" i="71"/>
  <c r="C439" i="71"/>
  <c r="M439" i="71"/>
  <c r="AA439" i="71"/>
  <c r="AE439" i="71"/>
  <c r="AH439" i="71"/>
  <c r="AN439" i="71"/>
  <c r="AP439" i="71"/>
  <c r="BA439" i="71"/>
  <c r="BD439" i="71"/>
  <c r="BI439" i="71"/>
  <c r="BN439" i="71"/>
  <c r="BY439" i="71"/>
  <c r="CA439" i="71"/>
  <c r="CF439" i="71"/>
  <c r="CI439" i="71"/>
  <c r="CK439" i="71"/>
  <c r="CP439" i="71"/>
  <c r="DE439" i="71"/>
  <c r="DH439" i="71"/>
  <c r="DR439" i="71"/>
  <c r="I444" i="71"/>
  <c r="L444" i="71"/>
  <c r="Q444" i="71"/>
  <c r="U444" i="71"/>
  <c r="AA444" i="71"/>
  <c r="AH444" i="71"/>
  <c r="AK444" i="71"/>
  <c r="AN444" i="71"/>
  <c r="AS444" i="71"/>
  <c r="AZ444" i="71"/>
  <c r="BC444" i="71"/>
  <c r="BE444" i="71"/>
  <c r="BL444" i="71"/>
  <c r="BO444" i="71"/>
  <c r="BW444" i="71"/>
  <c r="CC444" i="71"/>
  <c r="CN444" i="71"/>
  <c r="CQ444" i="71"/>
  <c r="CV444" i="71"/>
  <c r="CY444" i="71"/>
  <c r="DE444" i="71"/>
  <c r="DU444" i="71"/>
  <c r="EE444" i="71"/>
  <c r="F452" i="71"/>
  <c r="G452" i="71"/>
  <c r="I453" i="71"/>
  <c r="M453" i="71"/>
  <c r="I461" i="71"/>
  <c r="L462" i="71"/>
  <c r="O465" i="71"/>
  <c r="M466" i="71"/>
  <c r="C469" i="71"/>
  <c r="H471" i="71"/>
  <c r="L471" i="71"/>
  <c r="K475" i="71"/>
  <c r="E477" i="71"/>
  <c r="K477" i="71"/>
  <c r="C479" i="71"/>
  <c r="L479" i="71"/>
  <c r="L489" i="71"/>
  <c r="C489" i="71"/>
  <c r="O489" i="71"/>
  <c r="G490" i="71"/>
  <c r="F495" i="71"/>
  <c r="I500" i="71"/>
  <c r="F498" i="71"/>
  <c r="F500" i="71"/>
  <c r="F505" i="71"/>
  <c r="C583" i="71"/>
  <c r="C624" i="71"/>
  <c r="M15" i="69"/>
  <c r="T15" i="69"/>
  <c r="AC15" i="69"/>
  <c r="AK15" i="69"/>
  <c r="P16" i="69"/>
  <c r="Y16" i="69"/>
  <c r="AE15" i="69"/>
  <c r="P24" i="69"/>
  <c r="AA24" i="69"/>
  <c r="AE24" i="69"/>
  <c r="AO24" i="69"/>
  <c r="H25" i="69"/>
  <c r="J25" i="69"/>
  <c r="N25" i="69"/>
  <c r="T25" i="69"/>
  <c r="AD25" i="69"/>
  <c r="AP25" i="69"/>
  <c r="AC29" i="69"/>
  <c r="AM29" i="69"/>
  <c r="M34" i="69"/>
  <c r="W34" i="69"/>
  <c r="W345" i="69"/>
  <c r="AV34" i="69"/>
  <c r="AV41" i="71"/>
  <c r="T38" i="69"/>
  <c r="BZ41" i="71"/>
  <c r="AD38" i="69"/>
  <c r="S42" i="69"/>
  <c r="AH42" i="69"/>
  <c r="AM42" i="69"/>
  <c r="AW42" i="69"/>
  <c r="R43" i="69"/>
  <c r="W43" i="69"/>
  <c r="AF43" i="69"/>
  <c r="CU19" i="71"/>
  <c r="C48" i="69"/>
  <c r="P50" i="69"/>
  <c r="N51" i="69"/>
  <c r="BB27" i="71"/>
  <c r="BB54" i="71"/>
  <c r="V51" i="69"/>
  <c r="AE51" i="69"/>
  <c r="AI51" i="69"/>
  <c r="AW51" i="69"/>
  <c r="U52" i="69"/>
  <c r="AO52" i="69"/>
  <c r="AS52" i="69"/>
  <c r="N57" i="69"/>
  <c r="BZ60" i="71"/>
  <c r="AD57" i="69"/>
  <c r="DD60" i="71"/>
  <c r="AN57" i="69"/>
  <c r="DS60" i="71"/>
  <c r="AS57" i="69"/>
  <c r="I61" i="69"/>
  <c r="R61" i="69"/>
  <c r="W61" i="69"/>
  <c r="AG61" i="69"/>
  <c r="AN61" i="69"/>
  <c r="AT61" i="69"/>
  <c r="Q74" i="69"/>
  <c r="Z74" i="69"/>
  <c r="AH74" i="69"/>
  <c r="AM74" i="69"/>
  <c r="AM76" i="69" s="1"/>
  <c r="AV74" i="69"/>
  <c r="AV76" i="69" s="1"/>
  <c r="AC76" i="69"/>
  <c r="F79" i="69"/>
  <c r="P79" i="69"/>
  <c r="Y79" i="69"/>
  <c r="AF79" i="69"/>
  <c r="AL79" i="69"/>
  <c r="AR79" i="69"/>
  <c r="F80" i="69"/>
  <c r="I80" i="69"/>
  <c r="L80" i="69"/>
  <c r="P80" i="69"/>
  <c r="S80" i="69"/>
  <c r="Z80" i="69"/>
  <c r="AH80" i="69"/>
  <c r="AL80" i="69"/>
  <c r="AR80" i="69"/>
  <c r="F82" i="69"/>
  <c r="H82" i="69"/>
  <c r="K82" i="69"/>
  <c r="N82" i="69"/>
  <c r="R82" i="69"/>
  <c r="X82" i="69"/>
  <c r="AB82" i="69"/>
  <c r="AI82" i="69"/>
  <c r="AO82" i="69"/>
  <c r="AV82" i="69"/>
  <c r="O85" i="69"/>
  <c r="Z85" i="69"/>
  <c r="AE85" i="69"/>
  <c r="AO85" i="69"/>
  <c r="F87" i="69"/>
  <c r="F93" i="69" s="1"/>
  <c r="H87" i="69"/>
  <c r="AK141" i="69"/>
  <c r="AT141" i="69"/>
  <c r="V143" i="69"/>
  <c r="AG147" i="71"/>
  <c r="O141" i="69"/>
  <c r="O147" i="69"/>
  <c r="BE147" i="71"/>
  <c r="BQ147" i="71"/>
  <c r="AA144" i="69"/>
  <c r="CF147" i="71"/>
  <c r="AF144" i="69"/>
  <c r="R148" i="71"/>
  <c r="J145" i="69"/>
  <c r="AA148" i="71"/>
  <c r="AP148" i="71"/>
  <c r="BB148" i="71"/>
  <c r="CL148" i="71"/>
  <c r="DD148" i="71"/>
  <c r="AN145" i="69"/>
  <c r="DP148" i="71"/>
  <c r="EB148" i="71"/>
  <c r="AV145" i="69"/>
  <c r="S160" i="69"/>
  <c r="S163" i="69" s="1"/>
  <c r="W160" i="69"/>
  <c r="W163" i="69" s="1"/>
  <c r="AE160" i="69"/>
  <c r="AE163" i="69" s="1"/>
  <c r="AW160" i="69"/>
  <c r="AW163" i="69" s="1"/>
  <c r="N168" i="69"/>
  <c r="W168" i="69"/>
  <c r="AA168" i="69"/>
  <c r="AJ168" i="69"/>
  <c r="T171" i="69"/>
  <c r="AD171" i="69"/>
  <c r="AI171" i="69"/>
  <c r="AR171" i="69"/>
  <c r="AG177" i="69"/>
  <c r="AF180" i="69"/>
  <c r="AE181" i="69"/>
  <c r="AL186" i="69"/>
  <c r="AL189" i="69" s="1"/>
  <c r="AG213" i="69"/>
  <c r="E254" i="69"/>
  <c r="E255" i="69" s="1"/>
  <c r="AJ254" i="69"/>
  <c r="AJ255" i="69" s="1"/>
  <c r="AJ262" i="69" s="1"/>
  <c r="AJ278" i="69" s="1"/>
  <c r="AJ280" i="69" s="1"/>
  <c r="N268" i="69"/>
  <c r="AJ268" i="69"/>
  <c r="AA269" i="69"/>
  <c r="S270" i="69"/>
  <c r="AM270" i="69"/>
  <c r="AK273" i="69"/>
  <c r="J285" i="69"/>
  <c r="H297" i="69"/>
  <c r="Q301" i="69"/>
  <c r="Q318" i="69" s="1"/>
  <c r="AL300" i="69"/>
  <c r="V302" i="69"/>
  <c r="AN302" i="69"/>
  <c r="AN345" i="69"/>
  <c r="V34" i="69"/>
  <c r="V370" i="69" s="1"/>
  <c r="V371" i="69" s="1"/>
  <c r="J23" i="71"/>
  <c r="CS171" i="71"/>
  <c r="DN41" i="71"/>
  <c r="AD46" i="71"/>
  <c r="M50" i="71"/>
  <c r="AW50" i="71"/>
  <c r="BU50" i="71"/>
  <c r="CJ50" i="71"/>
  <c r="C53" i="71"/>
  <c r="K87" i="69"/>
  <c r="P87" i="69"/>
  <c r="P93" i="69" s="1"/>
  <c r="P103" i="69" s="1"/>
  <c r="V87" i="69"/>
  <c r="AA87" i="69"/>
  <c r="AA93" i="69" s="1"/>
  <c r="AA103" i="69" s="1"/>
  <c r="AG87" i="69"/>
  <c r="AM87" i="69"/>
  <c r="AM93" i="69" s="1"/>
  <c r="AR87" i="69"/>
  <c r="AW87" i="69"/>
  <c r="M88" i="69"/>
  <c r="Q88" i="69"/>
  <c r="W88" i="69"/>
  <c r="Z88" i="69"/>
  <c r="AE88" i="69"/>
  <c r="AK88" i="69"/>
  <c r="AO88" i="69"/>
  <c r="AU88" i="69"/>
  <c r="F90" i="69"/>
  <c r="J90" i="69"/>
  <c r="O90" i="69"/>
  <c r="O98" i="69" s="1"/>
  <c r="S90" i="69"/>
  <c r="Y90" i="69"/>
  <c r="AC90" i="69"/>
  <c r="AJ90" i="69"/>
  <c r="AO90" i="69"/>
  <c r="AU90" i="69"/>
  <c r="AN93" i="69"/>
  <c r="I95" i="69"/>
  <c r="O95" i="69"/>
  <c r="O101" i="69" s="1"/>
  <c r="T95" i="69"/>
  <c r="T101" i="69" s="1"/>
  <c r="AB95" i="69"/>
  <c r="T96" i="69"/>
  <c r="AD96" i="69"/>
  <c r="AN96" i="69"/>
  <c r="AN107" i="69" s="1"/>
  <c r="AN214" i="69" s="1"/>
  <c r="K104" i="69"/>
  <c r="O104" i="69"/>
  <c r="T104" i="69"/>
  <c r="AS104" i="69"/>
  <c r="G105" i="69"/>
  <c r="L105" i="69"/>
  <c r="O105" i="69"/>
  <c r="O107" i="69" s="1"/>
  <c r="O214" i="69" s="1"/>
  <c r="V105" i="69"/>
  <c r="Y105" i="69"/>
  <c r="AH105" i="69"/>
  <c r="AO105" i="69"/>
  <c r="AV105" i="69"/>
  <c r="M111" i="69"/>
  <c r="R111" i="69"/>
  <c r="X111" i="69"/>
  <c r="AD111" i="69"/>
  <c r="AJ111" i="69"/>
  <c r="AN111" i="69"/>
  <c r="E112" i="69"/>
  <c r="E117" i="69" s="1"/>
  <c r="G112" i="69"/>
  <c r="X112" i="69"/>
  <c r="DJ115" i="71"/>
  <c r="DM115" i="71"/>
  <c r="DP115" i="71"/>
  <c r="DS115" i="71"/>
  <c r="AS112" i="69"/>
  <c r="I116" i="71"/>
  <c r="G113" i="69"/>
  <c r="AA116" i="71"/>
  <c r="AD116" i="71"/>
  <c r="Z113" i="69"/>
  <c r="AF113" i="69"/>
  <c r="CU116" i="71"/>
  <c r="AU113" i="69"/>
  <c r="E120" i="69"/>
  <c r="E124" i="71"/>
  <c r="H121" i="69"/>
  <c r="N121" i="69"/>
  <c r="S121" i="69"/>
  <c r="X121" i="69"/>
  <c r="AE121" i="69"/>
  <c r="AK121" i="69"/>
  <c r="AO121" i="69"/>
  <c r="AV121" i="69"/>
  <c r="O125" i="71"/>
  <c r="U125" i="71"/>
  <c r="T122" i="69"/>
  <c r="X122" i="69"/>
  <c r="CC125" i="71"/>
  <c r="CI125" i="71"/>
  <c r="AI122" i="69"/>
  <c r="AM128" i="71"/>
  <c r="BK128" i="71"/>
  <c r="Z125" i="69"/>
  <c r="AF125" i="69"/>
  <c r="CU128" i="71"/>
  <c r="AL125" i="69"/>
  <c r="AV125" i="69"/>
  <c r="U126" i="69"/>
  <c r="AN126" i="69"/>
  <c r="AT126" i="69"/>
  <c r="C129" i="69"/>
  <c r="G131" i="69"/>
  <c r="J131" i="69"/>
  <c r="P131" i="69"/>
  <c r="W131" i="69"/>
  <c r="AB131" i="69"/>
  <c r="AH131" i="69"/>
  <c r="AL131" i="69"/>
  <c r="AS131" i="69"/>
  <c r="AW131" i="69"/>
  <c r="M141" i="69"/>
  <c r="T141" i="69"/>
  <c r="Z141" i="69"/>
  <c r="AG141" i="69"/>
  <c r="R143" i="69"/>
  <c r="R147" i="69" s="1"/>
  <c r="Q144" i="69"/>
  <c r="BH147" i="71"/>
  <c r="DV147" i="71"/>
  <c r="H145" i="69"/>
  <c r="Y160" i="69"/>
  <c r="Y163" i="69" s="1"/>
  <c r="I168" i="69"/>
  <c r="L171" i="69"/>
  <c r="Y171" i="69"/>
  <c r="P176" i="69"/>
  <c r="Z177" i="69"/>
  <c r="AI180" i="69"/>
  <c r="AU213" i="69"/>
  <c r="AM224" i="69"/>
  <c r="J254" i="69"/>
  <c r="J255" i="69" s="1"/>
  <c r="J262" i="69" s="1"/>
  <c r="J278" i="69" s="1"/>
  <c r="Z254" i="69"/>
  <c r="Z255" i="69" s="1"/>
  <c r="Z262" i="69" s="1"/>
  <c r="Z278" i="69" s="1"/>
  <c r="Z280" i="69" s="1"/>
  <c r="C263" i="69"/>
  <c r="R268" i="69"/>
  <c r="H269" i="69"/>
  <c r="R269" i="69"/>
  <c r="J270" i="69"/>
  <c r="AD270" i="69"/>
  <c r="H274" i="69"/>
  <c r="R274" i="69"/>
  <c r="R279" i="69"/>
  <c r="R317" i="69" s="1"/>
  <c r="W273" i="69"/>
  <c r="H279" i="69"/>
  <c r="N285" i="69"/>
  <c r="F297" i="69"/>
  <c r="J297" i="69"/>
  <c r="N297" i="69"/>
  <c r="Z300" i="69"/>
  <c r="F302" i="69"/>
  <c r="N302" i="69"/>
  <c r="H308" i="69"/>
  <c r="AL308" i="69"/>
  <c r="R320" i="69"/>
  <c r="Z243" i="69"/>
  <c r="AH330" i="69"/>
  <c r="BH23" i="71"/>
  <c r="DX23" i="71"/>
  <c r="BV171" i="71"/>
  <c r="BD41" i="71"/>
  <c r="BY41" i="71"/>
  <c r="CL41" i="71"/>
  <c r="AB50" i="71"/>
  <c r="AL50" i="71"/>
  <c r="CA50" i="71"/>
  <c r="DA50" i="71"/>
  <c r="DQ50" i="71"/>
  <c r="BX55" i="71"/>
  <c r="I35" i="73"/>
  <c r="I44" i="73"/>
  <c r="G50" i="73"/>
  <c r="E51" i="73"/>
  <c r="F453" i="71"/>
  <c r="E57" i="73"/>
  <c r="G58" i="73"/>
  <c r="O62" i="73"/>
  <c r="N63" i="73"/>
  <c r="H67" i="73"/>
  <c r="N67" i="73"/>
  <c r="F68" i="73"/>
  <c r="G69" i="73"/>
  <c r="R13" i="72"/>
  <c r="E6" i="70"/>
  <c r="N13" i="68"/>
  <c r="M14" i="68"/>
  <c r="E21" i="68"/>
  <c r="F22" i="68"/>
  <c r="G22" i="68"/>
  <c r="M22" i="68"/>
  <c r="E23" i="68"/>
  <c r="I23" i="68"/>
  <c r="P26" i="68"/>
  <c r="O27" i="68"/>
  <c r="L40" i="68"/>
  <c r="I41" i="68"/>
  <c r="M41" i="68"/>
  <c r="E48" i="68"/>
  <c r="J48" i="68"/>
  <c r="J49" i="68"/>
  <c r="O49" i="68"/>
  <c r="J50" i="68"/>
  <c r="K59" i="68"/>
  <c r="C61" i="68"/>
  <c r="E77" i="68"/>
  <c r="H77" i="68"/>
  <c r="M77" i="68"/>
  <c r="H78" i="68"/>
  <c r="L78" i="68"/>
  <c r="G80" i="68"/>
  <c r="J80" i="68"/>
  <c r="O80" i="68"/>
  <c r="L83" i="68"/>
  <c r="G85" i="68"/>
  <c r="K85" i="68"/>
  <c r="E86" i="68"/>
  <c r="G86" i="68"/>
  <c r="K86" i="68"/>
  <c r="P86" i="68"/>
  <c r="L88" i="68"/>
  <c r="I91" i="68"/>
  <c r="N91" i="68"/>
  <c r="K93" i="68"/>
  <c r="L94" i="68"/>
  <c r="P96" i="68"/>
  <c r="G101" i="68"/>
  <c r="L101" i="68"/>
  <c r="J103" i="68"/>
  <c r="P103" i="68"/>
  <c r="O105" i="68"/>
  <c r="N109" i="68"/>
  <c r="K111" i="68"/>
  <c r="C116" i="68"/>
  <c r="I118" i="68"/>
  <c r="N119" i="68"/>
  <c r="O120" i="68"/>
  <c r="M129" i="68"/>
  <c r="C137" i="68"/>
  <c r="G139" i="68"/>
  <c r="L139" i="68"/>
  <c r="F142" i="68"/>
  <c r="N142" i="68"/>
  <c r="G143" i="68"/>
  <c r="L143" i="68"/>
  <c r="H166" i="68"/>
  <c r="K166" i="68"/>
  <c r="F169" i="68"/>
  <c r="H169" i="68"/>
  <c r="K169" i="68"/>
  <c r="O169" i="68"/>
  <c r="L175" i="68"/>
  <c r="J178" i="68"/>
  <c r="O178" i="68"/>
  <c r="K179" i="68"/>
  <c r="F184" i="68"/>
  <c r="I211" i="68"/>
  <c r="N211" i="68"/>
  <c r="J212" i="68"/>
  <c r="F213" i="68"/>
  <c r="F216" i="68"/>
  <c r="H216" i="68"/>
  <c r="L216" i="68"/>
  <c r="G222" i="68"/>
  <c r="O222" i="68"/>
  <c r="O223" i="68"/>
  <c r="I266" i="68"/>
  <c r="N266" i="68"/>
  <c r="L267" i="68"/>
  <c r="H268" i="68"/>
  <c r="L268" i="68"/>
  <c r="G271" i="68"/>
  <c r="K271" i="68"/>
  <c r="C274" i="68"/>
  <c r="G283" i="68"/>
  <c r="J283" i="68"/>
  <c r="E295" i="68"/>
  <c r="G295" i="68"/>
  <c r="J295" i="68"/>
  <c r="I300" i="68"/>
  <c r="H306" i="68"/>
  <c r="M306" i="68"/>
  <c r="K311" i="68"/>
  <c r="H318" i="68"/>
  <c r="K318" i="68"/>
  <c r="P340" i="68"/>
  <c r="DJ23" i="71"/>
  <c r="BF41" i="71"/>
  <c r="CP46" i="71"/>
  <c r="Y50" i="71"/>
  <c r="AR50" i="71"/>
  <c r="BN50" i="71"/>
  <c r="CD50" i="71"/>
  <c r="EF55" i="71"/>
  <c r="C56" i="71"/>
  <c r="G60" i="71"/>
  <c r="J60" i="71"/>
  <c r="N60" i="71"/>
  <c r="Q60" i="71"/>
  <c r="S60" i="71"/>
  <c r="V60" i="71"/>
  <c r="Z60" i="71"/>
  <c r="AI60" i="71"/>
  <c r="AL60" i="71"/>
  <c r="AT60" i="71"/>
  <c r="AW60" i="71"/>
  <c r="BF60" i="71"/>
  <c r="BJ60" i="71"/>
  <c r="BO60" i="71"/>
  <c r="BS60" i="71"/>
  <c r="BX60" i="71"/>
  <c r="CH60" i="71"/>
  <c r="CM60" i="71"/>
  <c r="CT60" i="71"/>
  <c r="CZ60" i="71"/>
  <c r="DB60" i="71"/>
  <c r="DH60" i="71"/>
  <c r="DI60" i="71"/>
  <c r="DO60" i="71"/>
  <c r="DQ60" i="71"/>
  <c r="DU60" i="71"/>
  <c r="EA60" i="71"/>
  <c r="EG60" i="71"/>
  <c r="C65" i="71"/>
  <c r="C79" i="71"/>
  <c r="C88" i="71"/>
  <c r="C101" i="71"/>
  <c r="C114" i="71"/>
  <c r="BX115" i="71"/>
  <c r="CB115" i="71"/>
  <c r="CG115" i="71"/>
  <c r="CK115" i="71"/>
  <c r="CP115" i="71"/>
  <c r="CQ115" i="71"/>
  <c r="CV115" i="71"/>
  <c r="DH115" i="71"/>
  <c r="DI115" i="71"/>
  <c r="DN115" i="71"/>
  <c r="DQ115" i="71"/>
  <c r="DT115" i="71"/>
  <c r="G116" i="71"/>
  <c r="W116" i="71"/>
  <c r="AF116" i="71"/>
  <c r="AT116" i="71"/>
  <c r="C147" i="71"/>
  <c r="C149" i="71"/>
  <c r="V185" i="71"/>
  <c r="AD185" i="71"/>
  <c r="AY185" i="71"/>
  <c r="AS320" i="69"/>
  <c r="CF23" i="71"/>
  <c r="CR23" i="71"/>
  <c r="DQ23" i="71"/>
  <c r="DW23" i="71"/>
  <c r="C38" i="71"/>
  <c r="AQ41" i="71"/>
  <c r="BX41" i="71"/>
  <c r="CD41" i="71"/>
  <c r="ED41" i="71"/>
  <c r="AU46" i="71"/>
  <c r="H50" i="71"/>
  <c r="BH50" i="71"/>
  <c r="BP50" i="71"/>
  <c r="BT50" i="71"/>
  <c r="CC50" i="71"/>
  <c r="CI50" i="71"/>
  <c r="CU50" i="71"/>
  <c r="DB50" i="71"/>
  <c r="DU50" i="71"/>
  <c r="C54" i="71"/>
  <c r="BA55" i="71"/>
  <c r="DK116" i="71"/>
  <c r="C119" i="71"/>
  <c r="J125" i="71"/>
  <c r="Q125" i="71"/>
  <c r="T125" i="71"/>
  <c r="Z125" i="71"/>
  <c r="AF125" i="71"/>
  <c r="AN125" i="71"/>
  <c r="AR125" i="71"/>
  <c r="AW125" i="71"/>
  <c r="BA125" i="71"/>
  <c r="BJ125" i="71"/>
  <c r="BS125" i="71"/>
  <c r="CA125" i="71"/>
  <c r="CQ125" i="71"/>
  <c r="CY125" i="71"/>
  <c r="DB125" i="71"/>
  <c r="DH125" i="71"/>
  <c r="DN125" i="71"/>
  <c r="DU125" i="71"/>
  <c r="DX125" i="71"/>
  <c r="EC125" i="71"/>
  <c r="C127" i="71"/>
  <c r="AT128" i="71"/>
  <c r="BO128" i="71"/>
  <c r="CD128" i="71"/>
  <c r="CH128" i="71"/>
  <c r="DH128" i="71"/>
  <c r="C129" i="71"/>
  <c r="AU129" i="71"/>
  <c r="BC129" i="71"/>
  <c r="DH129" i="71"/>
  <c r="C134" i="71"/>
  <c r="T313" i="69"/>
  <c r="AF345" i="69"/>
  <c r="BU23" i="71"/>
  <c r="DD23" i="71"/>
  <c r="AW41" i="71"/>
  <c r="BG41" i="71"/>
  <c r="CA41" i="71"/>
  <c r="DL41" i="71"/>
  <c r="J46" i="71"/>
  <c r="W50" i="71"/>
  <c r="AP50" i="71"/>
  <c r="BG50" i="71"/>
  <c r="BM50" i="71"/>
  <c r="BQ50" i="71"/>
  <c r="CQ50" i="71"/>
  <c r="CY50" i="71"/>
  <c r="DF50" i="71"/>
  <c r="DL50" i="71"/>
  <c r="CD55" i="71"/>
  <c r="C218" i="71"/>
  <c r="C228" i="71"/>
  <c r="F244" i="71"/>
  <c r="U244" i="71"/>
  <c r="AS244" i="71"/>
  <c r="CF244" i="71"/>
  <c r="DJ244" i="71"/>
  <c r="DS244" i="71"/>
  <c r="X245" i="71"/>
  <c r="AG245" i="71"/>
  <c r="BB245" i="71"/>
  <c r="BZ245" i="71"/>
  <c r="CF245" i="71"/>
  <c r="CL245" i="71"/>
  <c r="F246" i="71"/>
  <c r="AP246" i="71"/>
  <c r="BB246" i="71"/>
  <c r="BK246" i="71"/>
  <c r="BN246" i="71"/>
  <c r="CC246" i="71"/>
  <c r="CF246" i="71"/>
  <c r="CR246" i="71"/>
  <c r="DD246" i="71"/>
  <c r="C257" i="71"/>
  <c r="C265" i="71"/>
  <c r="J490" i="71"/>
  <c r="H506" i="71"/>
  <c r="M24" i="69"/>
  <c r="AR24" i="69"/>
  <c r="AJ42" i="69"/>
  <c r="Y43" i="69"/>
  <c r="Z270" i="69"/>
  <c r="AA273" i="69"/>
  <c r="C276" i="69"/>
  <c r="L285" i="69"/>
  <c r="I302" i="69"/>
  <c r="BX291" i="71"/>
  <c r="BY287" i="71"/>
  <c r="BY288" i="71"/>
  <c r="BY291" i="71"/>
  <c r="BZ287" i="71"/>
  <c r="BZ288" i="71"/>
  <c r="BZ291" i="71"/>
  <c r="CA287" i="71"/>
  <c r="CA288" i="71"/>
  <c r="CA291" i="71"/>
  <c r="CB287" i="71"/>
  <c r="CB288" i="71"/>
  <c r="CB291" i="71"/>
  <c r="CC287" i="71"/>
  <c r="CC288" i="71"/>
  <c r="CC291" i="71"/>
  <c r="CD287" i="71"/>
  <c r="CD288" i="71"/>
  <c r="CD291" i="71"/>
  <c r="CE287" i="71"/>
  <c r="CE288" i="71"/>
  <c r="CE291" i="71"/>
  <c r="CF287" i="71"/>
  <c r="CF288" i="71"/>
  <c r="CF291" i="71"/>
  <c r="CG287" i="71"/>
  <c r="CG288" i="71"/>
  <c r="CG291" i="71"/>
  <c r="CH287" i="71"/>
  <c r="CH288" i="71"/>
  <c r="CH291" i="71"/>
  <c r="CI287" i="71"/>
  <c r="CI288" i="71"/>
  <c r="CI291" i="71"/>
  <c r="CJ287" i="71"/>
  <c r="CJ288" i="71"/>
  <c r="CJ291" i="71"/>
  <c r="CK287" i="71"/>
  <c r="CK288" i="71"/>
  <c r="CK291" i="71"/>
  <c r="CL287" i="71"/>
  <c r="CL288" i="71"/>
  <c r="CL291" i="71"/>
  <c r="CM287" i="71"/>
  <c r="CM288" i="71"/>
  <c r="CM291" i="71"/>
  <c r="CN287" i="71"/>
  <c r="CN288" i="71"/>
  <c r="CN291" i="71"/>
  <c r="CO287" i="71"/>
  <c r="CO288" i="71"/>
  <c r="CO291" i="71"/>
  <c r="CP287" i="71"/>
  <c r="CP288" i="71"/>
  <c r="CP291" i="71"/>
  <c r="CQ287" i="71"/>
  <c r="CQ288" i="71"/>
  <c r="CQ291" i="71"/>
  <c r="CR287" i="71"/>
  <c r="CR288" i="71"/>
  <c r="CR291" i="71"/>
  <c r="CS287" i="71"/>
  <c r="CS288" i="71"/>
  <c r="CS291" i="71"/>
  <c r="CT287" i="71"/>
  <c r="CT288" i="71"/>
  <c r="CT291" i="71"/>
  <c r="CU287" i="71"/>
  <c r="CU288" i="71"/>
  <c r="CU291" i="71"/>
  <c r="CV287" i="71"/>
  <c r="CV288" i="71"/>
  <c r="CV291" i="71"/>
  <c r="CW287" i="71"/>
  <c r="CW288" i="71"/>
  <c r="CW291" i="71"/>
  <c r="CX287" i="71"/>
  <c r="CX288" i="71"/>
  <c r="CX291" i="71"/>
  <c r="CY287" i="71"/>
  <c r="CY288" i="71"/>
  <c r="CY291" i="71"/>
  <c r="CZ287" i="71"/>
  <c r="CZ288" i="71"/>
  <c r="CZ291" i="71"/>
  <c r="DA287" i="71"/>
  <c r="DA288" i="71"/>
  <c r="DA291" i="71"/>
  <c r="DB287" i="71"/>
  <c r="DB288" i="71"/>
  <c r="DB291" i="71"/>
  <c r="DC287" i="71"/>
  <c r="DC288" i="71"/>
  <c r="DC291" i="71"/>
  <c r="DD287" i="71"/>
  <c r="DD288" i="71"/>
  <c r="DD291" i="71"/>
  <c r="DE287" i="71"/>
  <c r="DE288" i="71"/>
  <c r="DE291" i="71"/>
  <c r="DF287" i="71"/>
  <c r="DF288" i="71"/>
  <c r="DF291" i="71"/>
  <c r="DG287" i="71"/>
  <c r="DG288" i="71"/>
  <c r="DG291" i="71"/>
  <c r="DH287" i="71"/>
  <c r="DH288" i="71"/>
  <c r="DH291" i="71"/>
  <c r="DI287" i="71"/>
  <c r="DI288" i="71"/>
  <c r="DI291" i="71"/>
  <c r="DJ287" i="71"/>
  <c r="DJ288" i="71"/>
  <c r="DJ291" i="71"/>
  <c r="DK287" i="71"/>
  <c r="DK288" i="71"/>
  <c r="DK291" i="71"/>
  <c r="DL287" i="71"/>
  <c r="DL288" i="71"/>
  <c r="DL291" i="71"/>
  <c r="DM287" i="71"/>
  <c r="DM288" i="71"/>
  <c r="DM291" i="71"/>
  <c r="DN287" i="71"/>
  <c r="DN288" i="71"/>
  <c r="DN291" i="71"/>
  <c r="DO287" i="71"/>
  <c r="DO288" i="71"/>
  <c r="DO291" i="71"/>
  <c r="DP287" i="71"/>
  <c r="DP288" i="71"/>
  <c r="DP291" i="71"/>
  <c r="DQ287" i="71"/>
  <c r="DQ288" i="71"/>
  <c r="DQ291" i="71"/>
  <c r="DR287" i="71"/>
  <c r="DR288" i="71"/>
  <c r="DR291" i="71"/>
  <c r="DS287" i="71"/>
  <c r="DS288" i="71"/>
  <c r="DS291" i="71"/>
  <c r="DT287" i="71"/>
  <c r="DT288" i="71"/>
  <c r="DT291" i="71"/>
  <c r="DU287" i="71"/>
  <c r="DU288" i="71"/>
  <c r="G289" i="71"/>
  <c r="H289" i="71"/>
  <c r="J289" i="71"/>
  <c r="K289" i="71"/>
  <c r="M289" i="71"/>
  <c r="N289" i="71"/>
  <c r="O289" i="71"/>
  <c r="P289" i="71"/>
  <c r="Q289" i="71"/>
  <c r="S289" i="71"/>
  <c r="T289" i="71"/>
  <c r="W289" i="71"/>
  <c r="X289" i="71"/>
  <c r="Y289" i="71"/>
  <c r="Z289" i="71"/>
  <c r="AA289" i="71"/>
  <c r="AB289" i="71"/>
  <c r="AC289" i="71"/>
  <c r="AE289" i="71"/>
  <c r="AF289" i="71"/>
  <c r="AG289" i="71"/>
  <c r="AH289" i="71"/>
  <c r="AI289" i="71"/>
  <c r="AJ289" i="71"/>
  <c r="AK289" i="71"/>
  <c r="AL289" i="71"/>
  <c r="AN289" i="71"/>
  <c r="AO289" i="71"/>
  <c r="AQ289" i="71"/>
  <c r="AR289" i="71"/>
  <c r="AT289" i="71"/>
  <c r="AU289" i="71"/>
  <c r="AV289" i="71"/>
  <c r="AW289" i="71"/>
  <c r="AX289" i="71"/>
  <c r="AY289" i="71"/>
  <c r="AZ289" i="71"/>
  <c r="BA289" i="71"/>
  <c r="BC289" i="71"/>
  <c r="BD289" i="71"/>
  <c r="BE289" i="71"/>
  <c r="BF289" i="71"/>
  <c r="BG289" i="71"/>
  <c r="BH289" i="71"/>
  <c r="BI289" i="71"/>
  <c r="BJ289" i="71"/>
  <c r="BK289" i="71"/>
  <c r="BL289" i="71"/>
  <c r="BM289" i="71"/>
  <c r="BO289" i="71"/>
  <c r="BP289" i="71"/>
  <c r="BQ289" i="71"/>
  <c r="BR289" i="71"/>
  <c r="BS289" i="71"/>
  <c r="BU289" i="71"/>
  <c r="BV289" i="71"/>
  <c r="BW289" i="71"/>
  <c r="BX289" i="71"/>
  <c r="BY289" i="71"/>
  <c r="BZ289" i="71"/>
  <c r="CA289" i="71"/>
  <c r="CB289" i="71"/>
  <c r="CC289" i="71"/>
  <c r="CE289" i="71"/>
  <c r="CG289" i="71"/>
  <c r="CH289" i="71"/>
  <c r="CJ289" i="71"/>
  <c r="CK289" i="71"/>
  <c r="CM289" i="71"/>
  <c r="CN289" i="71"/>
  <c r="CP289" i="71"/>
  <c r="CQ289" i="71"/>
  <c r="CS289" i="71"/>
  <c r="CT289" i="71"/>
  <c r="CU289" i="71"/>
  <c r="CV289" i="71"/>
  <c r="CW289" i="71"/>
  <c r="CY289" i="71"/>
  <c r="CZ289" i="71"/>
  <c r="DA289" i="71"/>
  <c r="DB289" i="71"/>
  <c r="DC289" i="71"/>
  <c r="DE289" i="71"/>
  <c r="DF289" i="71"/>
  <c r="DH289" i="71"/>
  <c r="DI289" i="71"/>
  <c r="DK289" i="71"/>
  <c r="DL289" i="71"/>
  <c r="DN289" i="71"/>
  <c r="DO289" i="71"/>
  <c r="DP289" i="71"/>
  <c r="DQ289" i="71"/>
  <c r="DR289" i="71"/>
  <c r="DT289" i="71"/>
  <c r="DU289" i="71"/>
  <c r="F290" i="71"/>
  <c r="G290" i="71"/>
  <c r="H290" i="71"/>
  <c r="I290" i="71"/>
  <c r="J290" i="71"/>
  <c r="K290" i="71"/>
  <c r="M290" i="71"/>
  <c r="N290" i="71"/>
  <c r="O290" i="71"/>
  <c r="P290" i="71"/>
  <c r="Q290" i="71"/>
  <c r="R290" i="71"/>
  <c r="S290" i="71"/>
  <c r="T290" i="71"/>
  <c r="U290" i="71"/>
  <c r="V290" i="71"/>
  <c r="W290" i="71"/>
  <c r="X290" i="71"/>
  <c r="Y290" i="71"/>
  <c r="Z290" i="71"/>
  <c r="AA290" i="71"/>
  <c r="AB290" i="71"/>
  <c r="AC290" i="71"/>
  <c r="AD290" i="71"/>
  <c r="AE290" i="71"/>
  <c r="AF290" i="71"/>
  <c r="AG290" i="71"/>
  <c r="AH290" i="71"/>
  <c r="AI290" i="71"/>
  <c r="AJ290" i="71"/>
  <c r="AK290" i="71"/>
  <c r="AL290" i="71"/>
  <c r="AM290" i="71"/>
  <c r="AN290" i="71"/>
  <c r="AO290" i="71"/>
  <c r="AP290" i="71"/>
  <c r="AQ290" i="71"/>
  <c r="AR290" i="71"/>
  <c r="AS290" i="71"/>
  <c r="AT290" i="71"/>
  <c r="AU290" i="71"/>
  <c r="AV290" i="71"/>
  <c r="AW290" i="71"/>
  <c r="AX290" i="71"/>
  <c r="AY290" i="71"/>
  <c r="AZ290" i="71"/>
  <c r="BA290" i="71"/>
  <c r="BB290" i="71"/>
  <c r="BC290" i="71"/>
  <c r="BD290" i="71"/>
  <c r="BE290" i="71"/>
  <c r="BF290" i="71"/>
  <c r="BG290" i="71"/>
  <c r="BH290" i="71"/>
  <c r="BI290" i="71"/>
  <c r="BJ290" i="71"/>
  <c r="BK290" i="71"/>
  <c r="BL290" i="71"/>
  <c r="BM290" i="71"/>
  <c r="BN290" i="71"/>
  <c r="BO290" i="71"/>
  <c r="BP290" i="71"/>
  <c r="BQ290" i="71"/>
  <c r="BR290" i="71"/>
  <c r="BS290" i="71"/>
  <c r="BU290" i="71"/>
  <c r="BV290" i="71"/>
  <c r="BW290" i="71"/>
  <c r="BX290" i="71"/>
  <c r="BY290" i="71"/>
  <c r="BZ290" i="71"/>
  <c r="CA290" i="71"/>
  <c r="CB290" i="71"/>
  <c r="CC290" i="71"/>
  <c r="CD290" i="71"/>
  <c r="CE290" i="71"/>
  <c r="CF290" i="71"/>
  <c r="CG290" i="71"/>
  <c r="CH290" i="71"/>
  <c r="CI290" i="71"/>
  <c r="CJ290" i="71"/>
  <c r="CK290" i="71"/>
  <c r="CL290" i="71"/>
  <c r="CM290" i="71"/>
  <c r="CN290" i="71"/>
  <c r="CO290" i="71"/>
  <c r="CP290" i="71"/>
  <c r="CQ290" i="71"/>
  <c r="CR290" i="71"/>
  <c r="CS290" i="71"/>
  <c r="CT290" i="71"/>
  <c r="CU290" i="71"/>
  <c r="CV290" i="71"/>
  <c r="CW290" i="71"/>
  <c r="CX290" i="71"/>
  <c r="CY290" i="71"/>
  <c r="CZ290" i="71"/>
  <c r="DA290" i="71"/>
  <c r="DB290" i="71"/>
  <c r="DC290" i="71"/>
  <c r="DE290" i="71"/>
  <c r="DF290" i="71"/>
  <c r="DG290" i="71"/>
  <c r="DH290" i="71"/>
  <c r="DI290" i="71"/>
  <c r="DJ290" i="71"/>
  <c r="DK290" i="71"/>
  <c r="DL290" i="71"/>
  <c r="DM290" i="71"/>
  <c r="DN290" i="71"/>
  <c r="DO290" i="71"/>
  <c r="DP290" i="71"/>
  <c r="DQ290" i="71"/>
  <c r="DR290" i="71"/>
  <c r="DT290" i="71"/>
  <c r="DU290" i="71"/>
  <c r="DU291" i="71"/>
  <c r="E293" i="71"/>
  <c r="F293" i="71"/>
  <c r="G293" i="71"/>
  <c r="H293" i="71"/>
  <c r="I293" i="71"/>
  <c r="J293" i="71"/>
  <c r="K293" i="71"/>
  <c r="L293" i="71"/>
  <c r="M293" i="71"/>
  <c r="N293" i="71"/>
  <c r="O293" i="71"/>
  <c r="P293" i="71"/>
  <c r="Q293" i="71"/>
  <c r="R293" i="71"/>
  <c r="S293" i="71"/>
  <c r="T293" i="71"/>
  <c r="U293" i="71"/>
  <c r="V293" i="71"/>
  <c r="W293" i="71"/>
  <c r="X293" i="71"/>
  <c r="Y293" i="71"/>
  <c r="Z293" i="71"/>
  <c r="AA293" i="71"/>
  <c r="AB293" i="71"/>
  <c r="AC293" i="71"/>
  <c r="AD293" i="71"/>
  <c r="AE293" i="71"/>
  <c r="AF293" i="71"/>
  <c r="AG293" i="71"/>
  <c r="AH293" i="71"/>
  <c r="AI293" i="71"/>
  <c r="AJ293" i="71"/>
  <c r="AK293" i="71"/>
  <c r="AL293" i="71"/>
  <c r="AM293" i="71"/>
  <c r="AN293" i="71"/>
  <c r="AO293" i="71"/>
  <c r="AP293" i="71"/>
  <c r="AQ293" i="71"/>
  <c r="AR293" i="71"/>
  <c r="AS293" i="71"/>
  <c r="AT293" i="71"/>
  <c r="AU293" i="71"/>
  <c r="AV293" i="71"/>
  <c r="AW293" i="71"/>
  <c r="AX293" i="71"/>
  <c r="AY293" i="71"/>
  <c r="AZ293" i="71"/>
  <c r="BA293" i="71"/>
  <c r="BB293" i="71"/>
  <c r="BC293" i="71"/>
  <c r="BD293" i="71"/>
  <c r="BE293" i="71"/>
  <c r="BF293" i="71"/>
  <c r="BG293" i="71"/>
  <c r="BH293" i="71"/>
  <c r="BI293" i="71"/>
  <c r="BJ293" i="71"/>
  <c r="BK293" i="71"/>
  <c r="BL293" i="71"/>
  <c r="BM293" i="71"/>
  <c r="BN293" i="71"/>
  <c r="BO293" i="71"/>
  <c r="BP293" i="71"/>
  <c r="BQ293" i="71"/>
  <c r="BR293" i="71"/>
  <c r="BS293" i="71"/>
  <c r="BT293" i="71"/>
  <c r="BU293" i="71"/>
  <c r="BV293" i="71"/>
  <c r="BW293" i="71"/>
  <c r="BX293" i="71"/>
  <c r="BY293" i="71"/>
  <c r="BZ293" i="71"/>
  <c r="CA293" i="71"/>
  <c r="CB293" i="71"/>
  <c r="CC293" i="71"/>
  <c r="CD293" i="71"/>
  <c r="CE293" i="71"/>
  <c r="CF293" i="71"/>
  <c r="CG293" i="71"/>
  <c r="CH293" i="71"/>
  <c r="CI293" i="71"/>
  <c r="CJ293" i="71"/>
  <c r="CK293" i="71"/>
  <c r="CL293" i="71"/>
  <c r="CM293" i="71"/>
  <c r="CN293" i="71"/>
  <c r="CO293" i="71"/>
  <c r="CP293" i="71"/>
  <c r="CQ293" i="71"/>
  <c r="CR293" i="71"/>
  <c r="CS293" i="71"/>
  <c r="CT293" i="71"/>
  <c r="CU293" i="71"/>
  <c r="CV293" i="71"/>
  <c r="CW293" i="71"/>
  <c r="CX293" i="71"/>
  <c r="CY293" i="71"/>
  <c r="CZ293" i="71"/>
  <c r="DA293" i="71"/>
  <c r="DB293" i="71"/>
  <c r="DC293" i="71"/>
  <c r="DD293" i="71"/>
  <c r="DE293" i="71"/>
  <c r="DF293" i="71"/>
  <c r="DG293" i="71"/>
  <c r="DH293" i="71"/>
  <c r="DI293" i="71"/>
  <c r="DJ293" i="71"/>
  <c r="DK293" i="71"/>
  <c r="DL293" i="71"/>
  <c r="DM293" i="71"/>
  <c r="DN293" i="71"/>
  <c r="DO293" i="71"/>
  <c r="DP293" i="71"/>
  <c r="DQ293" i="71"/>
  <c r="DR293" i="71"/>
  <c r="DS293" i="71"/>
  <c r="DT293" i="71"/>
  <c r="DU293" i="71"/>
  <c r="G294" i="71"/>
  <c r="H294" i="71"/>
  <c r="I294" i="71"/>
  <c r="J294" i="71"/>
  <c r="K294" i="71"/>
  <c r="M294" i="71"/>
  <c r="N294" i="71"/>
  <c r="O294" i="71"/>
  <c r="P294" i="71"/>
  <c r="Q294" i="71"/>
  <c r="S294" i="71"/>
  <c r="T294" i="71"/>
  <c r="W294" i="71"/>
  <c r="X294" i="71"/>
  <c r="Y294" i="71"/>
  <c r="Z294" i="71"/>
  <c r="AA294" i="71"/>
  <c r="AB294" i="71"/>
  <c r="AC294" i="71"/>
  <c r="AE294" i="71"/>
  <c r="AF294" i="71"/>
  <c r="AG294" i="71"/>
  <c r="AH294" i="71"/>
  <c r="AI294" i="71"/>
  <c r="AJ294" i="71"/>
  <c r="AK294" i="71"/>
  <c r="AL294" i="71"/>
  <c r="AN294" i="71"/>
  <c r="AO294" i="71"/>
  <c r="AQ294" i="71"/>
  <c r="AR294" i="71"/>
  <c r="AT294" i="71"/>
  <c r="AU294" i="71"/>
  <c r="AV294" i="71"/>
  <c r="AW294" i="71"/>
  <c r="AX294" i="71"/>
  <c r="AY294" i="71"/>
  <c r="AZ294" i="71"/>
  <c r="BA294" i="71"/>
  <c r="BC294" i="71"/>
  <c r="BD294" i="71"/>
  <c r="BE294" i="71"/>
  <c r="BF294" i="71"/>
  <c r="BG294" i="71"/>
  <c r="BH294" i="71"/>
  <c r="BI294" i="71"/>
  <c r="BJ294" i="71"/>
  <c r="BK294" i="71"/>
  <c r="BL294" i="71"/>
  <c r="BM294" i="71"/>
  <c r="BO294" i="71"/>
  <c r="BP294" i="71"/>
  <c r="BQ294" i="71"/>
  <c r="BR294" i="71"/>
  <c r="BS294" i="71"/>
  <c r="BU294" i="71"/>
  <c r="BV294" i="71"/>
  <c r="BW294" i="71"/>
  <c r="BX294" i="71"/>
  <c r="BY294" i="71"/>
  <c r="BZ294" i="71"/>
  <c r="CA294" i="71"/>
  <c r="CB294" i="71"/>
  <c r="CC294" i="71"/>
  <c r="CE294" i="71"/>
  <c r="CG294" i="71"/>
  <c r="CH294" i="71"/>
  <c r="CJ294" i="71"/>
  <c r="CK294" i="71"/>
  <c r="CM294" i="71"/>
  <c r="CN294" i="71"/>
  <c r="CO294" i="71"/>
  <c r="CP294" i="71"/>
  <c r="CQ294" i="71"/>
  <c r="CS294" i="71"/>
  <c r="CT294" i="71"/>
  <c r="CU294" i="71"/>
  <c r="CV294" i="71"/>
  <c r="CW294" i="71"/>
  <c r="CY294" i="71"/>
  <c r="CZ294" i="71"/>
  <c r="DA294" i="71"/>
  <c r="DB294" i="71"/>
  <c r="DC294" i="71"/>
  <c r="DD294" i="71"/>
  <c r="DE294" i="71"/>
  <c r="DF294" i="71"/>
  <c r="DH294" i="71"/>
  <c r="DI294" i="71"/>
  <c r="DK294" i="71"/>
  <c r="DL294" i="71"/>
  <c r="DM294" i="71"/>
  <c r="DN294" i="71"/>
  <c r="DO294" i="71"/>
  <c r="DP294" i="71"/>
  <c r="DQ294" i="71"/>
  <c r="DR294" i="71"/>
  <c r="DT294" i="71"/>
  <c r="DU294" i="71"/>
  <c r="C296" i="71"/>
  <c r="E298" i="71"/>
  <c r="F298" i="71"/>
  <c r="G298" i="71"/>
  <c r="H298" i="71"/>
  <c r="I298" i="71"/>
  <c r="J298" i="71"/>
  <c r="K298" i="71"/>
  <c r="L298" i="71"/>
  <c r="M298" i="71"/>
  <c r="N298" i="71"/>
  <c r="O298" i="71"/>
  <c r="P298" i="71"/>
  <c r="Q298" i="71"/>
  <c r="R298" i="71"/>
  <c r="S298" i="71"/>
  <c r="T298" i="71"/>
  <c r="U298" i="71"/>
  <c r="V298" i="71"/>
  <c r="W298" i="71"/>
  <c r="X298" i="71"/>
  <c r="Y298" i="71"/>
  <c r="Z298" i="71"/>
  <c r="AA298" i="71"/>
  <c r="AB298" i="71"/>
  <c r="AC298" i="71"/>
  <c r="AD298" i="71"/>
  <c r="AE298" i="71"/>
  <c r="AF298" i="71"/>
  <c r="AG298" i="71"/>
  <c r="AH298" i="71"/>
  <c r="AI298" i="71"/>
  <c r="AJ298" i="71"/>
  <c r="AK298" i="71"/>
  <c r="AL298" i="71"/>
  <c r="AM298" i="71"/>
  <c r="AN298" i="71"/>
  <c r="AO298" i="71"/>
  <c r="AP298" i="71"/>
  <c r="AQ298" i="71"/>
  <c r="AR298" i="71"/>
  <c r="AS298" i="71"/>
  <c r="AT298" i="71"/>
  <c r="AU298" i="71"/>
  <c r="AV298" i="71"/>
  <c r="AW298" i="71"/>
  <c r="AX298" i="71"/>
  <c r="AY298" i="71"/>
  <c r="AZ298" i="71"/>
  <c r="BA298" i="71"/>
  <c r="BB298" i="71"/>
  <c r="BC298" i="71"/>
  <c r="BD298" i="71"/>
  <c r="BE298" i="71"/>
  <c r="BF298" i="71"/>
  <c r="BG298" i="71"/>
  <c r="BH298" i="71"/>
  <c r="BI298" i="71"/>
  <c r="BJ298" i="71"/>
  <c r="BK298" i="71"/>
  <c r="BL298" i="71"/>
  <c r="BM298" i="71"/>
  <c r="BN298" i="71"/>
  <c r="BO298" i="71"/>
  <c r="BP298" i="71"/>
  <c r="BQ298" i="71"/>
  <c r="BR298" i="71"/>
  <c r="BS298" i="71"/>
  <c r="BT298" i="71"/>
  <c r="BU298" i="71"/>
  <c r="BV298" i="71"/>
  <c r="BW298" i="71"/>
  <c r="BX298" i="71"/>
  <c r="BY298" i="71"/>
  <c r="BZ298" i="71"/>
  <c r="CA298" i="71"/>
  <c r="CB298" i="71"/>
  <c r="CC298" i="71"/>
  <c r="CD298" i="71"/>
  <c r="CE298" i="71"/>
  <c r="CF298" i="71"/>
  <c r="CG298" i="71"/>
  <c r="CH298" i="71"/>
  <c r="CI298" i="71"/>
  <c r="CJ298" i="71"/>
  <c r="CK298" i="71"/>
  <c r="CL298" i="71"/>
  <c r="CM298" i="71"/>
  <c r="CN298" i="71"/>
  <c r="CO298" i="71"/>
  <c r="CP298" i="71"/>
  <c r="CQ298" i="71"/>
  <c r="CR298" i="71"/>
  <c r="CS298" i="71"/>
  <c r="CT298" i="71"/>
  <c r="CU298" i="71"/>
  <c r="CV298" i="71"/>
  <c r="CW298" i="71"/>
  <c r="CX298" i="71"/>
  <c r="CY298" i="71"/>
  <c r="CZ298" i="71"/>
  <c r="DA298" i="71"/>
  <c r="DB298" i="71"/>
  <c r="DC298" i="71"/>
  <c r="DD298" i="71"/>
  <c r="DE298" i="71"/>
  <c r="DF298" i="71"/>
  <c r="DG298" i="71"/>
  <c r="DH298" i="71"/>
  <c r="DI298" i="71"/>
  <c r="DJ298" i="71"/>
  <c r="DK298" i="71"/>
  <c r="DL298" i="71"/>
  <c r="DM298" i="71"/>
  <c r="DN298" i="71"/>
  <c r="DO298" i="71"/>
  <c r="DP298" i="71"/>
  <c r="DQ298" i="71"/>
  <c r="DR298" i="71"/>
  <c r="DS298" i="71"/>
  <c r="DT298" i="71"/>
  <c r="DU298" i="71"/>
  <c r="G299" i="71"/>
  <c r="H299" i="71"/>
  <c r="I299" i="71"/>
  <c r="J299" i="71"/>
  <c r="K299" i="71"/>
  <c r="M299" i="71"/>
  <c r="N299" i="71"/>
  <c r="O299" i="71"/>
  <c r="P299" i="71"/>
  <c r="Q299" i="71"/>
  <c r="S299" i="71"/>
  <c r="T299" i="71"/>
  <c r="W299" i="71"/>
  <c r="X299" i="71"/>
  <c r="Y299" i="71"/>
  <c r="Z299" i="71"/>
  <c r="AA299" i="71"/>
  <c r="AB299" i="71"/>
  <c r="AC299" i="71"/>
  <c r="AE299" i="71"/>
  <c r="AF299" i="71"/>
  <c r="AG299" i="71"/>
  <c r="AH299" i="71"/>
  <c r="AI299" i="71"/>
  <c r="AJ299" i="71"/>
  <c r="AK299" i="71"/>
  <c r="AL299" i="71"/>
  <c r="AN299" i="71"/>
  <c r="AO299" i="71"/>
  <c r="AQ299" i="71"/>
  <c r="AR299" i="71"/>
  <c r="AT299" i="71"/>
  <c r="AU299" i="71"/>
  <c r="AV299" i="71"/>
  <c r="AW299" i="71"/>
  <c r="AX299" i="71"/>
  <c r="AY299" i="71"/>
  <c r="AZ299" i="71"/>
  <c r="BA299" i="71"/>
  <c r="BC299" i="71"/>
  <c r="BD299" i="71"/>
  <c r="BE299" i="71"/>
  <c r="BF299" i="71"/>
  <c r="BG299" i="71"/>
  <c r="BH299" i="71"/>
  <c r="BI299" i="71"/>
  <c r="BJ299" i="71"/>
  <c r="BK299" i="71"/>
  <c r="BL299" i="71"/>
  <c r="BM299" i="71"/>
  <c r="BO299" i="71"/>
  <c r="BP299" i="71"/>
  <c r="BQ299" i="71"/>
  <c r="BR299" i="71"/>
  <c r="BS299" i="71"/>
  <c r="BU299" i="71"/>
  <c r="BV299" i="71"/>
  <c r="BW299" i="71"/>
  <c r="BX299" i="71"/>
  <c r="BY299" i="71"/>
  <c r="BZ299" i="71"/>
  <c r="CA299" i="71"/>
  <c r="CB299" i="71"/>
  <c r="CC299" i="71"/>
  <c r="CE299" i="71"/>
  <c r="CG299" i="71"/>
  <c r="CH299" i="71"/>
  <c r="CJ299" i="71"/>
  <c r="CK299" i="71"/>
  <c r="CM299" i="71"/>
  <c r="CN299" i="71"/>
  <c r="CO299" i="71"/>
  <c r="CP299" i="71"/>
  <c r="CQ299" i="71"/>
  <c r="CS299" i="71"/>
  <c r="CT299" i="71"/>
  <c r="CU299" i="71"/>
  <c r="CV299" i="71"/>
  <c r="CW299" i="71"/>
  <c r="CY299" i="71"/>
  <c r="CZ299" i="71"/>
  <c r="DA299" i="71"/>
  <c r="DB299" i="71"/>
  <c r="DC299" i="71"/>
  <c r="DD299" i="71"/>
  <c r="DE299" i="71"/>
  <c r="DF299" i="71"/>
  <c r="DH299" i="71"/>
  <c r="DI299" i="71"/>
  <c r="DK299" i="71"/>
  <c r="DL299" i="71"/>
  <c r="DM299" i="71"/>
  <c r="DN299" i="71"/>
  <c r="DO299" i="71"/>
  <c r="DP299" i="71"/>
  <c r="DQ299" i="71"/>
  <c r="DR299" i="71"/>
  <c r="DT299" i="71"/>
  <c r="DU299" i="71"/>
  <c r="G300" i="71"/>
  <c r="H300" i="71"/>
  <c r="I300" i="71"/>
  <c r="J300" i="71"/>
  <c r="K300" i="71"/>
  <c r="M300" i="71"/>
  <c r="N300" i="71"/>
  <c r="O300" i="71"/>
  <c r="P300" i="71"/>
  <c r="Q300" i="71"/>
  <c r="S300" i="71"/>
  <c r="T300" i="71"/>
  <c r="W300" i="71"/>
  <c r="X300" i="71"/>
  <c r="Y300" i="71"/>
  <c r="Z300" i="71"/>
  <c r="AA300" i="71"/>
  <c r="AB300" i="71"/>
  <c r="AC300" i="71"/>
  <c r="AE300" i="71"/>
  <c r="AF300" i="71"/>
  <c r="AG300" i="71"/>
  <c r="AH300" i="71"/>
  <c r="AI300" i="71"/>
  <c r="AJ300" i="71"/>
  <c r="AK300" i="71"/>
  <c r="AL300" i="71"/>
  <c r="AN300" i="71"/>
  <c r="AO300" i="71"/>
  <c r="AQ300" i="71"/>
  <c r="AR300" i="71"/>
  <c r="AT300" i="71"/>
  <c r="AU300" i="71"/>
  <c r="AV300" i="71"/>
  <c r="AW300" i="71"/>
  <c r="AX300" i="71"/>
  <c r="AY300" i="71"/>
  <c r="AZ300" i="71"/>
  <c r="BA300" i="71"/>
  <c r="BC300" i="71"/>
  <c r="BD300" i="71"/>
  <c r="BE300" i="71"/>
  <c r="BF300" i="71"/>
  <c r="BG300" i="71"/>
  <c r="BH300" i="71"/>
  <c r="BI300" i="71"/>
  <c r="BJ300" i="71"/>
  <c r="BK300" i="71"/>
  <c r="BL300" i="71"/>
  <c r="BM300" i="71"/>
  <c r="BO300" i="71"/>
  <c r="BP300" i="71"/>
  <c r="BQ300" i="71"/>
  <c r="BR300" i="71"/>
  <c r="BS300" i="71"/>
  <c r="BU300" i="71"/>
  <c r="BV300" i="71"/>
  <c r="BW300" i="71"/>
  <c r="BX300" i="71"/>
  <c r="BY300" i="71"/>
  <c r="BZ300" i="71"/>
  <c r="CA300" i="71"/>
  <c r="CB300" i="71"/>
  <c r="CC300" i="71"/>
  <c r="CE300" i="71"/>
  <c r="CG300" i="71"/>
  <c r="CH300" i="71"/>
  <c r="CJ300" i="71"/>
  <c r="CK300" i="71"/>
  <c r="CM300" i="71"/>
  <c r="CN300" i="71"/>
  <c r="CO300" i="71"/>
  <c r="CP300" i="71"/>
  <c r="CQ300" i="71"/>
  <c r="CS300" i="71"/>
  <c r="CT300" i="71"/>
  <c r="CU300" i="71"/>
  <c r="CV300" i="71"/>
  <c r="CW300" i="71"/>
  <c r="CY300" i="71"/>
  <c r="CZ300" i="71"/>
  <c r="DA300" i="71"/>
  <c r="DB300" i="71"/>
  <c r="DC300" i="71"/>
  <c r="DD300" i="71"/>
  <c r="DE300" i="71"/>
  <c r="DF300" i="71"/>
  <c r="DH300" i="71"/>
  <c r="DI300" i="71"/>
  <c r="DK300" i="71"/>
  <c r="DL300" i="71"/>
  <c r="DM300" i="71"/>
  <c r="DN300" i="71"/>
  <c r="DO300" i="71"/>
  <c r="DP300" i="71"/>
  <c r="DQ300" i="71"/>
  <c r="DR300" i="71"/>
  <c r="DT300" i="71"/>
  <c r="DU300" i="71"/>
  <c r="E302" i="71"/>
  <c r="G302" i="71"/>
  <c r="H302" i="71"/>
  <c r="I302" i="71"/>
  <c r="J302" i="71"/>
  <c r="K302" i="71"/>
  <c r="L302" i="71"/>
  <c r="M302" i="71"/>
  <c r="N302" i="71"/>
  <c r="O302" i="71"/>
  <c r="P302" i="71"/>
  <c r="Q302" i="71"/>
  <c r="R302" i="71"/>
  <c r="S302" i="71"/>
  <c r="T302" i="71"/>
  <c r="U302" i="71"/>
  <c r="W302" i="71"/>
  <c r="X302" i="71"/>
  <c r="Y302" i="71"/>
  <c r="Z302" i="71"/>
  <c r="AA302" i="71"/>
  <c r="AB302" i="71"/>
  <c r="AC302" i="71"/>
  <c r="AD302" i="71"/>
  <c r="AE302" i="71"/>
  <c r="AF302" i="71"/>
  <c r="AG302" i="71"/>
  <c r="AH302" i="71"/>
  <c r="AI302" i="71"/>
  <c r="AJ302" i="71"/>
  <c r="AK302" i="71"/>
  <c r="AL302" i="71"/>
  <c r="AN302" i="71"/>
  <c r="AO302" i="71"/>
  <c r="AP302" i="71"/>
  <c r="AQ302" i="71"/>
  <c r="AR302" i="71"/>
  <c r="AS302" i="71"/>
  <c r="AT302" i="71"/>
  <c r="AU302" i="71"/>
  <c r="AV302" i="71"/>
  <c r="AW302" i="71"/>
  <c r="AX302" i="71"/>
  <c r="AY302" i="71"/>
  <c r="AZ302" i="71"/>
  <c r="BA302" i="71"/>
  <c r="BB302" i="71"/>
  <c r="BC302" i="71"/>
  <c r="BD302" i="71"/>
  <c r="BE302" i="71"/>
  <c r="BF302" i="71"/>
  <c r="BG302" i="71"/>
  <c r="BH302" i="71"/>
  <c r="BI302" i="71"/>
  <c r="BJ302" i="71"/>
  <c r="BK302" i="71"/>
  <c r="BL302" i="71"/>
  <c r="BM302" i="71"/>
  <c r="BN302" i="71"/>
  <c r="BO302" i="71"/>
  <c r="BP302" i="71"/>
  <c r="BQ302" i="71"/>
  <c r="BR302" i="71"/>
  <c r="BS302" i="71"/>
  <c r="BT302" i="71"/>
  <c r="BU302" i="71"/>
  <c r="BV302" i="71"/>
  <c r="BW302" i="71"/>
  <c r="BX302" i="71"/>
  <c r="BY302" i="71"/>
  <c r="BZ302" i="71"/>
  <c r="CA302" i="71"/>
  <c r="CB302" i="71"/>
  <c r="CC302" i="71"/>
  <c r="CE302" i="71"/>
  <c r="CF302" i="71"/>
  <c r="CG302" i="71"/>
  <c r="CH302" i="71"/>
  <c r="CJ302" i="71"/>
  <c r="CK302" i="71"/>
  <c r="CM302" i="71"/>
  <c r="CN302" i="71"/>
  <c r="CO302" i="71"/>
  <c r="CP302" i="71"/>
  <c r="CQ302" i="71"/>
  <c r="CR302" i="71"/>
  <c r="CS302" i="71"/>
  <c r="CT302" i="71"/>
  <c r="CU302" i="71"/>
  <c r="CV302" i="71"/>
  <c r="CW302" i="71"/>
  <c r="CX302" i="71"/>
  <c r="CY302" i="71"/>
  <c r="CZ302" i="71"/>
  <c r="DA302" i="71"/>
  <c r="DB302" i="71"/>
  <c r="DC302" i="71"/>
  <c r="DD302" i="71"/>
  <c r="DE302" i="71"/>
  <c r="DF302" i="71"/>
  <c r="DG302" i="71"/>
  <c r="DH302" i="71"/>
  <c r="DI302" i="71"/>
  <c r="DK302" i="71"/>
  <c r="DL302" i="71"/>
  <c r="DM302" i="71"/>
  <c r="DN302" i="71"/>
  <c r="DO302" i="71"/>
  <c r="DP302" i="71"/>
  <c r="DQ302" i="71"/>
  <c r="DR302" i="71"/>
  <c r="DS302" i="71"/>
  <c r="DT302" i="71"/>
  <c r="DU302" i="71"/>
  <c r="G303" i="71"/>
  <c r="H303" i="71"/>
  <c r="I303" i="71"/>
  <c r="J303" i="71"/>
  <c r="K303" i="71"/>
  <c r="M303" i="71"/>
  <c r="N303" i="71"/>
  <c r="O303" i="71"/>
  <c r="P303" i="71"/>
  <c r="Q303" i="71"/>
  <c r="S303" i="71"/>
  <c r="T303" i="71"/>
  <c r="V303" i="71"/>
  <c r="W303" i="71"/>
  <c r="X303" i="71"/>
  <c r="Y303" i="71"/>
  <c r="Z303" i="71"/>
  <c r="AA303" i="71"/>
  <c r="AB303" i="71"/>
  <c r="AC303" i="71"/>
  <c r="AE303" i="71"/>
  <c r="AF303" i="71"/>
  <c r="AG303" i="71"/>
  <c r="AH303" i="71"/>
  <c r="AI303" i="71"/>
  <c r="AJ303" i="71"/>
  <c r="AK303" i="71"/>
  <c r="AL303" i="71"/>
  <c r="AM303" i="71"/>
  <c r="AN303" i="71"/>
  <c r="AO303" i="71"/>
  <c r="AQ303" i="71"/>
  <c r="AR303" i="71"/>
  <c r="AT303" i="71"/>
  <c r="AU303" i="71"/>
  <c r="AV303" i="71"/>
  <c r="AW303" i="71"/>
  <c r="AX303" i="71"/>
  <c r="AY303" i="71"/>
  <c r="AZ303" i="71"/>
  <c r="BA303" i="71"/>
  <c r="BC303" i="71"/>
  <c r="BD303" i="71"/>
  <c r="BE303" i="71"/>
  <c r="BF303" i="71"/>
  <c r="BG303" i="71"/>
  <c r="BH303" i="71"/>
  <c r="BI303" i="71"/>
  <c r="BJ303" i="71"/>
  <c r="BK303" i="71"/>
  <c r="BL303" i="71"/>
  <c r="BM303" i="71"/>
  <c r="BO303" i="71"/>
  <c r="BP303" i="71"/>
  <c r="BQ303" i="71"/>
  <c r="BR303" i="71"/>
  <c r="BS303" i="71"/>
  <c r="BU303" i="71"/>
  <c r="BV303" i="71"/>
  <c r="BW303" i="71"/>
  <c r="BX303" i="71"/>
  <c r="BY303" i="71"/>
  <c r="BZ303" i="71"/>
  <c r="CA303" i="71"/>
  <c r="CB303" i="71"/>
  <c r="CC303" i="71"/>
  <c r="CD303" i="71"/>
  <c r="CE303" i="71"/>
  <c r="CG303" i="71"/>
  <c r="CH303" i="71"/>
  <c r="CI303" i="71"/>
  <c r="CJ303" i="71"/>
  <c r="CK303" i="71"/>
  <c r="CM303" i="71"/>
  <c r="CN303" i="71"/>
  <c r="CO303" i="71"/>
  <c r="CP303" i="71"/>
  <c r="CQ303" i="71"/>
  <c r="CS303" i="71"/>
  <c r="CT303" i="71"/>
  <c r="CU303" i="71"/>
  <c r="CV303" i="71"/>
  <c r="CW303" i="71"/>
  <c r="CY303" i="71"/>
  <c r="CZ303" i="71"/>
  <c r="DA303" i="71"/>
  <c r="DB303" i="71"/>
  <c r="DC303" i="71"/>
  <c r="DD303" i="71"/>
  <c r="DE303" i="71"/>
  <c r="DF303" i="71"/>
  <c r="DH303" i="71"/>
  <c r="DI303" i="71"/>
  <c r="DK303" i="71"/>
  <c r="DL303" i="71"/>
  <c r="DM303" i="71"/>
  <c r="DN303" i="71"/>
  <c r="DO303" i="71"/>
  <c r="DP303" i="71"/>
  <c r="DQ303" i="71"/>
  <c r="DR303" i="71"/>
  <c r="DT303" i="71"/>
  <c r="DU303" i="71"/>
  <c r="E304" i="71"/>
  <c r="F304" i="71"/>
  <c r="G304" i="71"/>
  <c r="H304" i="71"/>
  <c r="I304" i="71"/>
  <c r="J304" i="71"/>
  <c r="K304" i="71"/>
  <c r="L304" i="71"/>
  <c r="M304" i="71"/>
  <c r="N304" i="71"/>
  <c r="O304" i="71"/>
  <c r="P304" i="71"/>
  <c r="Q304" i="71"/>
  <c r="R304" i="71"/>
  <c r="S304" i="71"/>
  <c r="T304" i="71"/>
  <c r="U304" i="71"/>
  <c r="V304" i="71"/>
  <c r="W304" i="71"/>
  <c r="X304" i="71"/>
  <c r="Y304" i="71"/>
  <c r="Z304" i="71"/>
  <c r="AA304" i="71"/>
  <c r="AB304" i="71"/>
  <c r="AC304" i="71"/>
  <c r="AD304" i="71"/>
  <c r="AE304" i="71"/>
  <c r="AF304" i="71"/>
  <c r="AG304" i="71"/>
  <c r="AH304" i="71"/>
  <c r="AI304" i="71"/>
  <c r="AJ304" i="71"/>
  <c r="AK304" i="71"/>
  <c r="AL304" i="71"/>
  <c r="AM304" i="71"/>
  <c r="AN304" i="71"/>
  <c r="AO304" i="71"/>
  <c r="AP304" i="71"/>
  <c r="AQ304" i="71"/>
  <c r="AR304" i="71"/>
  <c r="AS304" i="71"/>
  <c r="AT304" i="71"/>
  <c r="AU304" i="71"/>
  <c r="AV304" i="71"/>
  <c r="AW304" i="71"/>
  <c r="AX304" i="71"/>
  <c r="AY304" i="71"/>
  <c r="AZ304" i="71"/>
  <c r="BA304" i="71"/>
  <c r="BB304" i="71"/>
  <c r="BC304" i="71"/>
  <c r="BD304" i="71"/>
  <c r="BE304" i="71"/>
  <c r="BF304" i="71"/>
  <c r="BG304" i="71"/>
  <c r="BH304" i="71"/>
  <c r="BI304" i="71"/>
  <c r="BJ304" i="71"/>
  <c r="BK304" i="71"/>
  <c r="BL304" i="71"/>
  <c r="BM304" i="71"/>
  <c r="BN304" i="71"/>
  <c r="BO304" i="71"/>
  <c r="BP304" i="71"/>
  <c r="BQ304" i="71"/>
  <c r="BR304" i="71"/>
  <c r="BS304" i="71"/>
  <c r="BT304" i="71"/>
  <c r="BU304" i="71"/>
  <c r="BV304" i="71"/>
  <c r="BW304" i="71"/>
  <c r="BX304" i="71"/>
  <c r="BY304" i="71"/>
  <c r="BZ304" i="71"/>
  <c r="CA304" i="71"/>
  <c r="CB304" i="71"/>
  <c r="CC304" i="71"/>
  <c r="CD304" i="71"/>
  <c r="CE304" i="71"/>
  <c r="CF304" i="71"/>
  <c r="CG304" i="71"/>
  <c r="CH304" i="71"/>
  <c r="CI304" i="71"/>
  <c r="CJ304" i="71"/>
  <c r="CK304" i="71"/>
  <c r="CL304" i="71"/>
  <c r="CM304" i="71"/>
  <c r="CN304" i="71"/>
  <c r="CO304" i="71"/>
  <c r="CP304" i="71"/>
  <c r="CQ304" i="71"/>
  <c r="CR304" i="71"/>
  <c r="CS304" i="71"/>
  <c r="CT304" i="71"/>
  <c r="CU304" i="71"/>
  <c r="CV304" i="71"/>
  <c r="CW304" i="71"/>
  <c r="CX304" i="71"/>
  <c r="CY304" i="71"/>
  <c r="CZ304" i="71"/>
  <c r="DA304" i="71"/>
  <c r="DB304" i="71"/>
  <c r="DC304" i="71"/>
  <c r="DD304" i="71"/>
  <c r="DE304" i="71"/>
  <c r="DF304" i="71"/>
  <c r="DG304" i="71"/>
  <c r="DH304" i="71"/>
  <c r="DI304" i="71"/>
  <c r="DJ304" i="71"/>
  <c r="DK304" i="71"/>
  <c r="DL304" i="71"/>
  <c r="DM304" i="71"/>
  <c r="DN304" i="71"/>
  <c r="DO304" i="71"/>
  <c r="DP304" i="71"/>
  <c r="DQ304" i="71"/>
  <c r="DR304" i="71"/>
  <c r="DS304" i="71"/>
  <c r="DT304" i="71"/>
  <c r="DU304" i="71"/>
  <c r="G305" i="71"/>
  <c r="H305" i="71"/>
  <c r="I305" i="71"/>
  <c r="J305" i="71"/>
  <c r="K305" i="71"/>
  <c r="M305" i="71"/>
  <c r="N305" i="71"/>
  <c r="P305" i="71"/>
  <c r="Q305" i="71"/>
  <c r="S305" i="71"/>
  <c r="T305" i="71"/>
  <c r="U305" i="71"/>
  <c r="V305" i="71"/>
  <c r="W305" i="71"/>
  <c r="Y305" i="71"/>
  <c r="Z305" i="71"/>
  <c r="AA305" i="71"/>
  <c r="AB305" i="71"/>
  <c r="AC305" i="71"/>
  <c r="AE305" i="71"/>
  <c r="AF305" i="71"/>
  <c r="AG305" i="71"/>
  <c r="AH305" i="71"/>
  <c r="AI305" i="71"/>
  <c r="AK305" i="71"/>
  <c r="AL305" i="71"/>
  <c r="AM305" i="71"/>
  <c r="AN305" i="71"/>
  <c r="AO305" i="71"/>
  <c r="AQ305" i="71"/>
  <c r="AR305" i="71"/>
  <c r="AT305" i="71"/>
  <c r="AU305" i="71"/>
  <c r="AW305" i="71"/>
  <c r="AX305" i="71"/>
  <c r="AY305" i="71"/>
  <c r="AZ305" i="71"/>
  <c r="BA305" i="71"/>
  <c r="BC305" i="71"/>
  <c r="BD305" i="71"/>
  <c r="BE305" i="71"/>
  <c r="BF305" i="71"/>
  <c r="BG305" i="71"/>
  <c r="BI305" i="71"/>
  <c r="BJ305" i="71"/>
  <c r="BL305" i="71"/>
  <c r="BM305" i="71"/>
  <c r="BO305" i="71"/>
  <c r="BP305" i="71"/>
  <c r="BQ305" i="71"/>
  <c r="BR305" i="71"/>
  <c r="BS305" i="71"/>
  <c r="BT305" i="71"/>
  <c r="BU305" i="71"/>
  <c r="BV305" i="71"/>
  <c r="BW305" i="71"/>
  <c r="BX305" i="71"/>
  <c r="BY305" i="71"/>
  <c r="CA305" i="71"/>
  <c r="CB305" i="71"/>
  <c r="CD305" i="71"/>
  <c r="CE305" i="71"/>
  <c r="CG305" i="71"/>
  <c r="CH305" i="71"/>
  <c r="CI305" i="71"/>
  <c r="CJ305" i="71"/>
  <c r="CK305" i="71"/>
  <c r="CM305" i="71"/>
  <c r="CN305" i="71"/>
  <c r="CO305" i="71"/>
  <c r="CP305" i="71"/>
  <c r="CQ305" i="71"/>
  <c r="CS305" i="71"/>
  <c r="CT305" i="71"/>
  <c r="CV305" i="71"/>
  <c r="CW305" i="71"/>
  <c r="CY305" i="71"/>
  <c r="CZ305" i="71"/>
  <c r="DA305" i="71"/>
  <c r="DB305" i="71"/>
  <c r="DC305" i="71"/>
  <c r="DE305" i="71"/>
  <c r="DF305" i="71"/>
  <c r="DG305" i="71"/>
  <c r="DH305" i="71"/>
  <c r="DI305" i="71"/>
  <c r="DK305" i="71"/>
  <c r="DL305" i="71"/>
  <c r="DM305" i="71"/>
  <c r="DN305" i="71"/>
  <c r="DO305" i="71"/>
  <c r="DQ305" i="71"/>
  <c r="DR305" i="71"/>
  <c r="DT305" i="71"/>
  <c r="DU305" i="71"/>
  <c r="E313" i="71"/>
  <c r="F309" i="71"/>
  <c r="F310" i="71"/>
  <c r="F313" i="71"/>
  <c r="G309" i="71"/>
  <c r="G310" i="71"/>
  <c r="G313" i="71"/>
  <c r="H309" i="71"/>
  <c r="H310" i="71"/>
  <c r="H313" i="71"/>
  <c r="I309" i="71"/>
  <c r="I310" i="71"/>
  <c r="I313" i="71"/>
  <c r="J309" i="71"/>
  <c r="J310" i="71"/>
  <c r="J313" i="71"/>
  <c r="K309" i="71"/>
  <c r="K310" i="71"/>
  <c r="K313" i="71"/>
  <c r="L309" i="71"/>
  <c r="L310" i="71"/>
  <c r="L313" i="71"/>
  <c r="M309" i="71"/>
  <c r="M310" i="71"/>
  <c r="M313" i="71"/>
  <c r="N309" i="71"/>
  <c r="N310" i="71"/>
  <c r="N313" i="71"/>
  <c r="O309" i="71"/>
  <c r="O310" i="71"/>
  <c r="O313" i="71"/>
  <c r="P309" i="71"/>
  <c r="P310" i="71"/>
  <c r="P313" i="71"/>
  <c r="Q309" i="71"/>
  <c r="Q310" i="71"/>
  <c r="Q313" i="71"/>
  <c r="R309" i="71"/>
  <c r="R310" i="71"/>
  <c r="R313" i="71"/>
  <c r="S309" i="71"/>
  <c r="S310" i="71"/>
  <c r="S313" i="71"/>
  <c r="T309" i="71"/>
  <c r="T310" i="71"/>
  <c r="T313" i="71"/>
  <c r="U309" i="71"/>
  <c r="U310" i="71"/>
  <c r="U313" i="71"/>
  <c r="V309" i="71"/>
  <c r="V310" i="71"/>
  <c r="V313" i="71"/>
  <c r="W309" i="71"/>
  <c r="W310" i="71"/>
  <c r="W313" i="71"/>
  <c r="X309" i="71"/>
  <c r="X310" i="71"/>
  <c r="X313" i="71"/>
  <c r="Y309" i="71"/>
  <c r="Y310" i="71"/>
  <c r="Y313" i="71"/>
  <c r="Z309" i="71"/>
  <c r="Z310" i="71"/>
  <c r="Z313" i="71"/>
  <c r="AA309" i="71"/>
  <c r="AA310" i="71"/>
  <c r="AA313" i="71"/>
  <c r="AB309" i="71"/>
  <c r="AB310" i="71"/>
  <c r="AB313" i="71"/>
  <c r="AC309" i="71"/>
  <c r="AC310" i="71"/>
  <c r="AC313" i="71"/>
  <c r="AD309" i="71"/>
  <c r="AD310" i="71"/>
  <c r="AD313" i="71"/>
  <c r="AE309" i="71"/>
  <c r="AE310" i="71"/>
  <c r="AE313" i="71"/>
  <c r="AF309" i="71"/>
  <c r="AF310" i="71"/>
  <c r="AF313" i="71"/>
  <c r="AG309" i="71"/>
  <c r="AG310" i="71"/>
  <c r="AG313" i="71"/>
  <c r="AH309" i="71"/>
  <c r="AH310" i="71"/>
  <c r="AH313" i="71"/>
  <c r="AI309" i="71"/>
  <c r="AI310" i="71"/>
  <c r="AI313" i="71"/>
  <c r="AJ309" i="71"/>
  <c r="AJ310" i="71"/>
  <c r="AJ313" i="71"/>
  <c r="AK309" i="71"/>
  <c r="AK310" i="71"/>
  <c r="AK313" i="71"/>
  <c r="AL309" i="71"/>
  <c r="AL310" i="71"/>
  <c r="AL313" i="71"/>
  <c r="AM309" i="71"/>
  <c r="AM310" i="71"/>
  <c r="AM313" i="71"/>
  <c r="AN309" i="71"/>
  <c r="AN310" i="71"/>
  <c r="AN313" i="71"/>
  <c r="AO309" i="71"/>
  <c r="AO310" i="71"/>
  <c r="AO313" i="71"/>
  <c r="AP309" i="71"/>
  <c r="AP310" i="71"/>
  <c r="AP313" i="71"/>
  <c r="AQ309" i="71"/>
  <c r="AQ310" i="71"/>
  <c r="AQ313" i="71"/>
  <c r="AR309" i="71"/>
  <c r="AR310" i="71"/>
  <c r="AR313" i="71"/>
  <c r="AS309" i="71"/>
  <c r="AS310" i="71"/>
  <c r="AS313" i="71"/>
  <c r="AT309" i="71"/>
  <c r="AT310" i="71"/>
  <c r="AT313" i="71"/>
  <c r="AU309" i="71"/>
  <c r="AU310" i="71"/>
  <c r="AU313" i="71"/>
  <c r="AV309" i="71"/>
  <c r="AV310" i="71"/>
  <c r="AV313" i="71"/>
  <c r="AW309" i="71"/>
  <c r="AW310" i="71"/>
  <c r="AW313" i="71"/>
  <c r="AX309" i="71"/>
  <c r="AX310" i="71"/>
  <c r="AX313" i="71"/>
  <c r="AY309" i="71"/>
  <c r="AY310" i="71"/>
  <c r="AY313" i="71"/>
  <c r="AZ309" i="71"/>
  <c r="AZ310" i="71"/>
  <c r="AZ313" i="71"/>
  <c r="BA309" i="71"/>
  <c r="BA310" i="71"/>
  <c r="BA313" i="71"/>
  <c r="BB309" i="71"/>
  <c r="BB310" i="71"/>
  <c r="BB313" i="71"/>
  <c r="BC309" i="71"/>
  <c r="BC310" i="71"/>
  <c r="BC313" i="71"/>
  <c r="BD309" i="71"/>
  <c r="BD310" i="71"/>
  <c r="BD313" i="71"/>
  <c r="BE309" i="71"/>
  <c r="BE310" i="71"/>
  <c r="BE313" i="71"/>
  <c r="BF309" i="71"/>
  <c r="BF310" i="71"/>
  <c r="BF313" i="71"/>
  <c r="BG309" i="71"/>
  <c r="BG310" i="71"/>
  <c r="BG313" i="71"/>
  <c r="BH309" i="71"/>
  <c r="BH310" i="71"/>
  <c r="BH313" i="71"/>
  <c r="BI309" i="71"/>
  <c r="BI310" i="71"/>
  <c r="BI313" i="71"/>
  <c r="BJ309" i="71"/>
  <c r="BJ310" i="71"/>
  <c r="BJ313" i="71"/>
  <c r="BK309" i="71"/>
  <c r="BK310" i="71"/>
  <c r="BK313" i="71"/>
  <c r="BL309" i="71"/>
  <c r="BL310" i="71"/>
  <c r="BL313" i="71"/>
  <c r="BM309" i="71"/>
  <c r="BM310" i="71"/>
  <c r="BM313" i="71"/>
  <c r="BN309" i="71"/>
  <c r="BN310" i="71"/>
  <c r="BN313" i="71"/>
  <c r="BO309" i="71"/>
  <c r="BO310" i="71"/>
  <c r="BO313" i="71"/>
  <c r="BP309" i="71"/>
  <c r="BP310" i="71"/>
  <c r="BP313" i="71"/>
  <c r="BQ309" i="71"/>
  <c r="BQ310" i="71"/>
  <c r="BQ313" i="71"/>
  <c r="BR309" i="71"/>
  <c r="BR310" i="71"/>
  <c r="BR313" i="71"/>
  <c r="BS309" i="71"/>
  <c r="BS310" i="71"/>
  <c r="BS313" i="71"/>
  <c r="BT309" i="71"/>
  <c r="BT310" i="71"/>
  <c r="BT313" i="71"/>
  <c r="BU309" i="71"/>
  <c r="BU310" i="71"/>
  <c r="BU313" i="71"/>
  <c r="BV309" i="71"/>
  <c r="BV310" i="71"/>
  <c r="BV313" i="71"/>
  <c r="BW309" i="71"/>
  <c r="BW310" i="71"/>
  <c r="BW313" i="71"/>
  <c r="BX309" i="71"/>
  <c r="BX310" i="71"/>
  <c r="BX313" i="71"/>
  <c r="BY309" i="71"/>
  <c r="BY310" i="71"/>
  <c r="BY313" i="71"/>
  <c r="BZ309" i="71"/>
  <c r="BZ310" i="71"/>
  <c r="BZ313" i="71"/>
  <c r="CA309" i="71"/>
  <c r="CA310" i="71"/>
  <c r="CA313" i="71"/>
  <c r="CB309" i="71"/>
  <c r="CB310" i="71"/>
  <c r="CB313" i="71"/>
  <c r="CC309" i="71"/>
  <c r="CC310" i="71"/>
  <c r="CC313" i="71"/>
  <c r="CD309" i="71"/>
  <c r="CD310" i="71"/>
  <c r="CD313" i="71"/>
  <c r="CE309" i="71"/>
  <c r="CE310" i="71"/>
  <c r="CE313" i="71"/>
  <c r="CF309" i="71"/>
  <c r="CF310" i="71"/>
  <c r="CF313" i="71"/>
  <c r="CG309" i="71"/>
  <c r="CG310" i="71"/>
  <c r="CG313" i="71"/>
  <c r="CH309" i="71"/>
  <c r="CH310" i="71"/>
  <c r="CH313" i="71"/>
  <c r="CI309" i="71"/>
  <c r="CI310" i="71"/>
  <c r="CI313" i="71"/>
  <c r="CJ309" i="71"/>
  <c r="CJ310" i="71"/>
  <c r="CJ313" i="71"/>
  <c r="CK309" i="71"/>
  <c r="CK310" i="71"/>
  <c r="CK313" i="71"/>
  <c r="CL309" i="71"/>
  <c r="CL310" i="71"/>
  <c r="CL313" i="71"/>
  <c r="CM309" i="71"/>
  <c r="CM310" i="71"/>
  <c r="CM313" i="71"/>
  <c r="CN309" i="71"/>
  <c r="CN310" i="71"/>
  <c r="CN313" i="71"/>
  <c r="CO309" i="71"/>
  <c r="CO310" i="71"/>
  <c r="CO313" i="71"/>
  <c r="CP309" i="71"/>
  <c r="CP310" i="71"/>
  <c r="CP313" i="71"/>
  <c r="CQ309" i="71"/>
  <c r="CQ310" i="71"/>
  <c r="CQ313" i="71"/>
  <c r="CR309" i="71"/>
  <c r="CR310" i="71"/>
  <c r="CR313" i="71"/>
  <c r="CS309" i="71"/>
  <c r="CS310" i="71"/>
  <c r="CS313" i="71"/>
  <c r="CT309" i="71"/>
  <c r="CT310" i="71"/>
  <c r="CT313" i="71"/>
  <c r="CU309" i="71"/>
  <c r="CU310" i="71"/>
  <c r="CU313" i="71"/>
  <c r="CV309" i="71"/>
  <c r="CV310" i="71"/>
  <c r="CV313" i="71"/>
  <c r="CW309" i="71"/>
  <c r="CW310" i="71"/>
  <c r="CW313" i="71"/>
  <c r="CX309" i="71"/>
  <c r="CX310" i="71"/>
  <c r="CX313" i="71"/>
  <c r="CY309" i="71"/>
  <c r="CY310" i="71"/>
  <c r="CY313" i="71"/>
  <c r="CZ309" i="71"/>
  <c r="CZ310" i="71"/>
  <c r="CZ313" i="71"/>
  <c r="DA309" i="71"/>
  <c r="DA310" i="71"/>
  <c r="DA313" i="71"/>
  <c r="DB309" i="71"/>
  <c r="DB310" i="71"/>
  <c r="DB313" i="71"/>
  <c r="DC309" i="71"/>
  <c r="DC310" i="71"/>
  <c r="DC313" i="71"/>
  <c r="DD309" i="71"/>
  <c r="DD310" i="71"/>
  <c r="DD313" i="71"/>
  <c r="DE309" i="71"/>
  <c r="DE310" i="71"/>
  <c r="DE313" i="71"/>
  <c r="DF309" i="71"/>
  <c r="DF310" i="71"/>
  <c r="DF313" i="71"/>
  <c r="DG309" i="71"/>
  <c r="DG310" i="71"/>
  <c r="DG313" i="71"/>
  <c r="DH309" i="71"/>
  <c r="DH310" i="71"/>
  <c r="DH313" i="71"/>
  <c r="DI309" i="71"/>
  <c r="DI310" i="71"/>
  <c r="DI313" i="71"/>
  <c r="DJ309" i="71"/>
  <c r="DJ310" i="71"/>
  <c r="DJ313" i="71"/>
  <c r="DK309" i="71"/>
  <c r="DK310" i="71"/>
  <c r="DK313" i="71"/>
  <c r="DL309" i="71"/>
  <c r="DL310" i="71"/>
  <c r="DL313" i="71"/>
  <c r="DM309" i="71"/>
  <c r="DM310" i="71"/>
  <c r="DM313" i="71"/>
  <c r="DN309" i="71"/>
  <c r="DN310" i="71"/>
  <c r="DN313" i="71"/>
  <c r="DO309" i="71"/>
  <c r="DO310" i="71"/>
  <c r="DO313" i="71"/>
  <c r="DP309" i="71"/>
  <c r="DP310" i="71"/>
  <c r="DP313" i="71"/>
  <c r="DQ309" i="71"/>
  <c r="DQ310" i="71"/>
  <c r="DQ313" i="71"/>
  <c r="DR309" i="71"/>
  <c r="DR310" i="71"/>
  <c r="DR313" i="71"/>
  <c r="DS309" i="71"/>
  <c r="DS310" i="71"/>
  <c r="DS313" i="71"/>
  <c r="DT309" i="71"/>
  <c r="DT310" i="71"/>
  <c r="DT313" i="71"/>
  <c r="DU309" i="71"/>
  <c r="DU310" i="71"/>
  <c r="G311" i="71"/>
  <c r="H311" i="71"/>
  <c r="I311" i="71"/>
  <c r="J311" i="71"/>
  <c r="K311" i="71"/>
  <c r="M311" i="71"/>
  <c r="N311" i="71"/>
  <c r="O311" i="71"/>
  <c r="P311" i="71"/>
  <c r="Q311" i="71"/>
  <c r="S311" i="71"/>
  <c r="T311" i="71"/>
  <c r="U311" i="71"/>
  <c r="V311" i="71"/>
  <c r="W311" i="71"/>
  <c r="Y311" i="71"/>
  <c r="Z311" i="71"/>
  <c r="AA311" i="71"/>
  <c r="AB311" i="71"/>
  <c r="AC311" i="71"/>
  <c r="AE311" i="71"/>
  <c r="AF311" i="71"/>
  <c r="AH311" i="71"/>
  <c r="AI311" i="71"/>
  <c r="AJ311" i="71"/>
  <c r="AK311" i="71"/>
  <c r="AL311" i="71"/>
  <c r="AM311" i="71"/>
  <c r="AN311" i="71"/>
  <c r="AO311" i="71"/>
  <c r="AQ311" i="71"/>
  <c r="AR311" i="71"/>
  <c r="AT311" i="71"/>
  <c r="AU311" i="71"/>
  <c r="AW311" i="71"/>
  <c r="AX311" i="71"/>
  <c r="AZ311" i="71"/>
  <c r="BA311" i="71"/>
  <c r="BC311" i="71"/>
  <c r="BD311" i="71"/>
  <c r="BE311" i="71"/>
  <c r="BF311" i="71"/>
  <c r="BG311" i="71"/>
  <c r="BH311" i="71"/>
  <c r="BI311" i="71"/>
  <c r="BJ311" i="71"/>
  <c r="BK311" i="71"/>
  <c r="BL311" i="71"/>
  <c r="BM311" i="71"/>
  <c r="BO311" i="71"/>
  <c r="BP311" i="71"/>
  <c r="BQ311" i="71"/>
  <c r="BR311" i="71"/>
  <c r="BS311" i="71"/>
  <c r="BU311" i="71"/>
  <c r="BV311" i="71"/>
  <c r="BX311" i="71"/>
  <c r="BY311" i="71"/>
  <c r="CA311" i="71"/>
  <c r="CB311" i="71"/>
  <c r="CC311" i="71"/>
  <c r="CD311" i="71"/>
  <c r="CE311" i="71"/>
  <c r="CG311" i="71"/>
  <c r="CH311" i="71"/>
  <c r="CI311" i="71"/>
  <c r="CJ311" i="71"/>
  <c r="CK311" i="71"/>
  <c r="CM311" i="71"/>
  <c r="CN311" i="71"/>
  <c r="CO311" i="71"/>
  <c r="CP311" i="71"/>
  <c r="CQ311" i="71"/>
  <c r="CR311" i="71"/>
  <c r="CS311" i="71"/>
  <c r="CT311" i="71"/>
  <c r="CU311" i="71"/>
  <c r="CV311" i="71"/>
  <c r="CW311" i="71"/>
  <c r="CY311" i="71"/>
  <c r="CZ311" i="71"/>
  <c r="DB311" i="71"/>
  <c r="DC311" i="71"/>
  <c r="DE311" i="71"/>
  <c r="DF311" i="71"/>
  <c r="DG311" i="71"/>
  <c r="DH311" i="71"/>
  <c r="DI311" i="71"/>
  <c r="DK311" i="71"/>
  <c r="DL311" i="71"/>
  <c r="DM311" i="71"/>
  <c r="DN311" i="71"/>
  <c r="DO311" i="71"/>
  <c r="DP311" i="71"/>
  <c r="DQ311" i="71"/>
  <c r="DR311" i="71"/>
  <c r="DT311" i="71"/>
  <c r="DU311" i="71"/>
  <c r="E312" i="71"/>
  <c r="F312" i="71"/>
  <c r="G312" i="71"/>
  <c r="H312" i="71"/>
  <c r="I312" i="71"/>
  <c r="J312" i="71"/>
  <c r="K312" i="71"/>
  <c r="M312" i="71"/>
  <c r="N312" i="71"/>
  <c r="O312" i="71"/>
  <c r="P312" i="71"/>
  <c r="Q312" i="71"/>
  <c r="R312" i="71"/>
  <c r="S312" i="71"/>
  <c r="T312" i="71"/>
  <c r="U312" i="71"/>
  <c r="V312" i="71"/>
  <c r="W312" i="71"/>
  <c r="X312" i="71"/>
  <c r="Y312" i="71"/>
  <c r="Z312" i="71"/>
  <c r="AA312" i="71"/>
  <c r="AB312" i="71"/>
  <c r="AC312" i="71"/>
  <c r="AD312" i="71"/>
  <c r="AE312" i="71"/>
  <c r="AF312" i="71"/>
  <c r="AG312" i="71"/>
  <c r="AH312" i="71"/>
  <c r="AI312" i="71"/>
  <c r="AJ312" i="71"/>
  <c r="AK312" i="71"/>
  <c r="AL312" i="71"/>
  <c r="AM312" i="71"/>
  <c r="AN312" i="71"/>
  <c r="AO312" i="71"/>
  <c r="AP312" i="71"/>
  <c r="AQ312" i="71"/>
  <c r="AR312" i="71"/>
  <c r="AS312" i="71"/>
  <c r="AT312" i="71"/>
  <c r="AU312" i="71"/>
  <c r="AV312" i="71"/>
  <c r="AW312" i="71"/>
  <c r="AX312" i="71"/>
  <c r="AY312" i="71"/>
  <c r="AZ312" i="71"/>
  <c r="BA312" i="71"/>
  <c r="BB312" i="71"/>
  <c r="BC312" i="71"/>
  <c r="BD312" i="71"/>
  <c r="BE312" i="71"/>
  <c r="BF312" i="71"/>
  <c r="BG312" i="71"/>
  <c r="BH312" i="71"/>
  <c r="BI312" i="71"/>
  <c r="BJ312" i="71"/>
  <c r="BK312" i="71"/>
  <c r="BL312" i="71"/>
  <c r="BM312" i="71"/>
  <c r="BN312" i="71"/>
  <c r="BO312" i="71"/>
  <c r="BP312" i="71"/>
  <c r="BQ312" i="71"/>
  <c r="BR312" i="71"/>
  <c r="BS312" i="71"/>
  <c r="BU312" i="71"/>
  <c r="BV312" i="71"/>
  <c r="BW312" i="71"/>
  <c r="BX312" i="71"/>
  <c r="BY312" i="71"/>
  <c r="BZ312" i="71"/>
  <c r="CA312" i="71"/>
  <c r="CB312" i="71"/>
  <c r="CC312" i="71"/>
  <c r="CD312" i="71"/>
  <c r="CE312" i="71"/>
  <c r="CF312" i="71"/>
  <c r="CG312" i="71"/>
  <c r="CH312" i="71"/>
  <c r="CI312" i="71"/>
  <c r="CJ312" i="71"/>
  <c r="CK312" i="71"/>
  <c r="CL312" i="71"/>
  <c r="CM312" i="71"/>
  <c r="CN312" i="71"/>
  <c r="CO312" i="71"/>
  <c r="CP312" i="71"/>
  <c r="CQ312" i="71"/>
  <c r="CR312" i="71"/>
  <c r="CS312" i="71"/>
  <c r="CT312" i="71"/>
  <c r="CU312" i="71"/>
  <c r="CV312" i="71"/>
  <c r="CW312" i="71"/>
  <c r="CX312" i="71"/>
  <c r="CY312" i="71"/>
  <c r="CZ312" i="71"/>
  <c r="DA312" i="71"/>
  <c r="DB312" i="71"/>
  <c r="DC312" i="71"/>
  <c r="DE312" i="71"/>
  <c r="DF312" i="71"/>
  <c r="DG312" i="71"/>
  <c r="DH312" i="71"/>
  <c r="DI312" i="71"/>
  <c r="DJ312" i="71"/>
  <c r="DK312" i="71"/>
  <c r="DL312" i="71"/>
  <c r="DM312" i="71"/>
  <c r="DN312" i="71"/>
  <c r="DO312" i="71"/>
  <c r="DP312" i="71"/>
  <c r="DQ312" i="71"/>
  <c r="DR312" i="71"/>
  <c r="DT312" i="71"/>
  <c r="DU312" i="71"/>
  <c r="DU313" i="71"/>
  <c r="E315" i="71"/>
  <c r="F315" i="71"/>
  <c r="G315" i="71"/>
  <c r="H315" i="71"/>
  <c r="I315" i="71"/>
  <c r="J315" i="71"/>
  <c r="K315" i="71"/>
  <c r="L315" i="71"/>
  <c r="M315" i="71"/>
  <c r="N315" i="71"/>
  <c r="O315" i="71"/>
  <c r="P315" i="71"/>
  <c r="Q315" i="71"/>
  <c r="R315" i="71"/>
  <c r="S315" i="71"/>
  <c r="T315" i="71"/>
  <c r="U315" i="71"/>
  <c r="V315" i="71"/>
  <c r="W315" i="71"/>
  <c r="X315" i="71"/>
  <c r="Y315" i="71"/>
  <c r="Z315" i="71"/>
  <c r="AA315" i="71"/>
  <c r="AB315" i="71"/>
  <c r="AC315" i="71"/>
  <c r="AD315" i="71"/>
  <c r="AE315" i="71"/>
  <c r="AF315" i="71"/>
  <c r="AG315" i="71"/>
  <c r="AH315" i="71"/>
  <c r="AI315" i="71"/>
  <c r="AJ315" i="71"/>
  <c r="AK315" i="71"/>
  <c r="AL315" i="71"/>
  <c r="AM315" i="71"/>
  <c r="AN315" i="71"/>
  <c r="AO315" i="71"/>
  <c r="AP315" i="71"/>
  <c r="AQ315" i="71"/>
  <c r="AR315" i="71"/>
  <c r="AS315" i="71"/>
  <c r="AT315" i="71"/>
  <c r="AU315" i="71"/>
  <c r="AV315" i="71"/>
  <c r="AW315" i="71"/>
  <c r="AX315" i="71"/>
  <c r="AY315" i="71"/>
  <c r="AZ315" i="71"/>
  <c r="BA315" i="71"/>
  <c r="BB315" i="71"/>
  <c r="BC315" i="71"/>
  <c r="BD315" i="71"/>
  <c r="BE315" i="71"/>
  <c r="BF315" i="71"/>
  <c r="BG315" i="71"/>
  <c r="BH315" i="71"/>
  <c r="BI315" i="71"/>
  <c r="BJ315" i="71"/>
  <c r="BK315" i="71"/>
  <c r="BL315" i="71"/>
  <c r="BM315" i="71"/>
  <c r="BN315" i="71"/>
  <c r="BO315" i="71"/>
  <c r="BP315" i="71"/>
  <c r="BQ315" i="71"/>
  <c r="BR315" i="71"/>
  <c r="BS315" i="71"/>
  <c r="BT315" i="71"/>
  <c r="BU315" i="71"/>
  <c r="BV315" i="71"/>
  <c r="BW315" i="71"/>
  <c r="BX315" i="71"/>
  <c r="BY315" i="71"/>
  <c r="BZ315" i="71"/>
  <c r="CA315" i="71"/>
  <c r="CB315" i="71"/>
  <c r="CC315" i="71"/>
  <c r="CD315" i="71"/>
  <c r="CE315" i="71"/>
  <c r="CF315" i="71"/>
  <c r="CG315" i="71"/>
  <c r="CH315" i="71"/>
  <c r="CI315" i="71"/>
  <c r="CJ315" i="71"/>
  <c r="CK315" i="71"/>
  <c r="CL315" i="71"/>
  <c r="CM315" i="71"/>
  <c r="CN315" i="71"/>
  <c r="CO315" i="71"/>
  <c r="CP315" i="71"/>
  <c r="CQ315" i="71"/>
  <c r="CR315" i="71"/>
  <c r="CS315" i="71"/>
  <c r="CT315" i="71"/>
  <c r="CU315" i="71"/>
  <c r="CV315" i="71"/>
  <c r="CW315" i="71"/>
  <c r="CX315" i="71"/>
  <c r="CY315" i="71"/>
  <c r="CZ315" i="71"/>
  <c r="DA315" i="71"/>
  <c r="DB315" i="71"/>
  <c r="DC315" i="71"/>
  <c r="DD315" i="71"/>
  <c r="DE315" i="71"/>
  <c r="DF315" i="71"/>
  <c r="DG315" i="71"/>
  <c r="DH315" i="71"/>
  <c r="DI315" i="71"/>
  <c r="DJ315" i="71"/>
  <c r="DK315" i="71"/>
  <c r="DL315" i="71"/>
  <c r="DM315" i="71"/>
  <c r="DN315" i="71"/>
  <c r="DO315" i="71"/>
  <c r="DP315" i="71"/>
  <c r="DQ315" i="71"/>
  <c r="DR315" i="71"/>
  <c r="DS315" i="71"/>
  <c r="DT315" i="71"/>
  <c r="DU315" i="71"/>
  <c r="G316" i="71"/>
  <c r="H316" i="71"/>
  <c r="I316" i="71"/>
  <c r="J316" i="71"/>
  <c r="K316" i="71"/>
  <c r="M316" i="71"/>
  <c r="N316" i="71"/>
  <c r="O316" i="71"/>
  <c r="P316" i="71"/>
  <c r="Q316" i="71"/>
  <c r="S316" i="71"/>
  <c r="T316" i="71"/>
  <c r="U316" i="71"/>
  <c r="V316" i="71"/>
  <c r="W316" i="71"/>
  <c r="Y316" i="71"/>
  <c r="Z316" i="71"/>
  <c r="AA316" i="71"/>
  <c r="AB316" i="71"/>
  <c r="AC316" i="71"/>
  <c r="AE316" i="71"/>
  <c r="AF316" i="71"/>
  <c r="AH316" i="71"/>
  <c r="AI316" i="71"/>
  <c r="AJ316" i="71"/>
  <c r="AK316" i="71"/>
  <c r="AL316" i="71"/>
  <c r="AM316" i="71"/>
  <c r="AN316" i="71"/>
  <c r="AO316" i="71"/>
  <c r="AQ316" i="71"/>
  <c r="AR316" i="71"/>
  <c r="AT316" i="71"/>
  <c r="AU316" i="71"/>
  <c r="AW316" i="71"/>
  <c r="AX316" i="71"/>
  <c r="AZ316" i="71"/>
  <c r="BA316" i="71"/>
  <c r="BC316" i="71"/>
  <c r="BD316" i="71"/>
  <c r="BE316" i="71"/>
  <c r="BF316" i="71"/>
  <c r="E444" i="71"/>
  <c r="H444" i="71"/>
  <c r="J444" i="71"/>
  <c r="N444" i="71"/>
  <c r="P444" i="71"/>
  <c r="S444" i="71"/>
  <c r="T444" i="71"/>
  <c r="V444" i="71"/>
  <c r="X444" i="71"/>
  <c r="Z444" i="71"/>
  <c r="AC444" i="71"/>
  <c r="AF444" i="71"/>
  <c r="AJ444" i="71"/>
  <c r="AL444" i="71"/>
  <c r="AP444" i="71"/>
  <c r="AU444" i="71"/>
  <c r="AY444" i="71"/>
  <c r="BA444" i="71"/>
  <c r="BD444" i="71"/>
  <c r="BF444" i="71"/>
  <c r="BI444" i="71"/>
  <c r="BK444" i="71"/>
  <c r="BN444" i="71"/>
  <c r="BQ444" i="71"/>
  <c r="BT444" i="71"/>
  <c r="BV444" i="71"/>
  <c r="BZ444" i="71"/>
  <c r="CD444" i="71"/>
  <c r="CH444" i="71"/>
  <c r="CK444" i="71"/>
  <c r="CM444" i="71"/>
  <c r="CP444" i="71"/>
  <c r="CU444" i="71"/>
  <c r="CX444" i="71"/>
  <c r="DA444" i="71"/>
  <c r="DC444" i="71"/>
  <c r="DH444" i="71"/>
  <c r="DJ444" i="71"/>
  <c r="DO444" i="71"/>
  <c r="DQ444" i="71"/>
  <c r="DT444" i="71"/>
  <c r="DW444" i="71"/>
  <c r="DX444" i="71"/>
  <c r="EB444" i="71"/>
  <c r="EG444" i="71"/>
  <c r="E452" i="71"/>
  <c r="H452" i="71"/>
  <c r="C452" i="71"/>
  <c r="O452" i="71"/>
  <c r="J453" i="71"/>
  <c r="L453" i="71"/>
  <c r="C457" i="71"/>
  <c r="E457" i="71"/>
  <c r="H457" i="71"/>
  <c r="L452" i="71"/>
  <c r="L457" i="71"/>
  <c r="O457" i="71"/>
  <c r="E461" i="71"/>
  <c r="H461" i="71"/>
  <c r="C461" i="71"/>
  <c r="O461" i="71"/>
  <c r="BF171" i="71"/>
  <c r="BF28" i="71"/>
  <c r="J462" i="71"/>
  <c r="M462" i="71"/>
  <c r="H465" i="71"/>
  <c r="L465" i="71"/>
  <c r="I466" i="71"/>
  <c r="F461" i="71"/>
  <c r="F468" i="71"/>
  <c r="I471" i="71"/>
  <c r="I472" i="71"/>
  <c r="I475" i="71"/>
  <c r="M475" i="71"/>
  <c r="AT250" i="71"/>
  <c r="I476" i="71"/>
  <c r="CP250" i="71"/>
  <c r="M476" i="71"/>
  <c r="L477" i="71"/>
  <c r="E351" i="71"/>
  <c r="E357" i="71"/>
  <c r="E483" i="71"/>
  <c r="C483" i="71"/>
  <c r="O483" i="71"/>
  <c r="H488" i="71"/>
  <c r="M488" i="71"/>
  <c r="H490" i="71"/>
  <c r="M490" i="71"/>
  <c r="M497" i="71"/>
  <c r="M498" i="71"/>
  <c r="M500" i="71"/>
  <c r="E504" i="71"/>
  <c r="BF345" i="71"/>
  <c r="BF351" i="71"/>
  <c r="BF357" i="71"/>
  <c r="J483" i="71"/>
  <c r="J504" i="71"/>
  <c r="V149" i="71"/>
  <c r="V371" i="71"/>
  <c r="G495" i="71"/>
  <c r="G498" i="71"/>
  <c r="G500" i="71"/>
  <c r="G505" i="71"/>
  <c r="M505" i="71"/>
  <c r="F506" i="71"/>
  <c r="C591" i="71"/>
  <c r="C588" i="71"/>
  <c r="C603" i="71"/>
  <c r="C606" i="71"/>
  <c r="C611" i="71"/>
  <c r="C614" i="71"/>
  <c r="C619" i="71"/>
  <c r="C623" i="71"/>
  <c r="E15" i="69"/>
  <c r="I15" i="69"/>
  <c r="K15" i="69"/>
  <c r="P15" i="69"/>
  <c r="Q15" i="69"/>
  <c r="U15" i="69"/>
  <c r="Y15" i="69"/>
  <c r="G16" i="69"/>
  <c r="V16" i="69"/>
  <c r="V15" i="69"/>
  <c r="V20" i="69"/>
  <c r="AF16" i="69"/>
  <c r="AN16" i="69"/>
  <c r="AQ16" i="69"/>
  <c r="AQ15" i="69"/>
  <c r="AQ20" i="69"/>
  <c r="AU16" i="69"/>
  <c r="AK19" i="69"/>
  <c r="C19" i="69"/>
  <c r="J24" i="69"/>
  <c r="Q24" i="69"/>
  <c r="T24" i="69"/>
  <c r="AJ24" i="69"/>
  <c r="AQ24" i="69"/>
  <c r="AU24" i="69"/>
  <c r="I25" i="69"/>
  <c r="K25" i="69"/>
  <c r="R25" i="69"/>
  <c r="U25" i="69"/>
  <c r="Y25" i="69"/>
  <c r="AF25" i="69"/>
  <c r="AT25" i="69"/>
  <c r="P26" i="69"/>
  <c r="C26" i="69"/>
  <c r="Q28" i="69"/>
  <c r="AD28" i="69"/>
  <c r="AG28" i="69"/>
  <c r="AN28" i="69"/>
  <c r="AU28" i="69"/>
  <c r="T29" i="69"/>
  <c r="AD29" i="69"/>
  <c r="AK29" i="69"/>
  <c r="AN29" i="69"/>
  <c r="AQ29" i="69"/>
  <c r="AK30" i="69"/>
  <c r="C30" i="69"/>
  <c r="J34" i="69"/>
  <c r="AC34" i="69"/>
  <c r="AT34" i="69"/>
  <c r="C36" i="69"/>
  <c r="F41" i="71"/>
  <c r="F38" i="69"/>
  <c r="O41" i="71"/>
  <c r="I38" i="69"/>
  <c r="L38" i="69"/>
  <c r="AG41" i="71"/>
  <c r="O38" i="69"/>
  <c r="AY41" i="71"/>
  <c r="U38" i="69"/>
  <c r="AB38" i="69"/>
  <c r="AJ38" i="69"/>
  <c r="DM41" i="71"/>
  <c r="AQ38" i="69"/>
  <c r="F42" i="69"/>
  <c r="H42" i="69"/>
  <c r="J42" i="69"/>
  <c r="P42" i="69"/>
  <c r="T42" i="69"/>
  <c r="AE42" i="69"/>
  <c r="AL42" i="69"/>
  <c r="AS42" i="69"/>
  <c r="AV42" i="69"/>
  <c r="I43" i="69"/>
  <c r="I42" i="69"/>
  <c r="I47" i="69"/>
  <c r="AS46" i="71"/>
  <c r="S43" i="69"/>
  <c r="BW19" i="71"/>
  <c r="BW46" i="71"/>
  <c r="AC43" i="69"/>
  <c r="CI19" i="71"/>
  <c r="CI46" i="71"/>
  <c r="AG43" i="69"/>
  <c r="AG42" i="69"/>
  <c r="AG47" i="69"/>
  <c r="P46" i="69"/>
  <c r="C46" i="69"/>
  <c r="V42" i="69"/>
  <c r="V50" i="69"/>
  <c r="H51" i="69"/>
  <c r="L51" i="69"/>
  <c r="O51" i="69"/>
  <c r="S51" i="69"/>
  <c r="W51" i="69"/>
  <c r="AA51" i="69"/>
  <c r="AC51" i="69"/>
  <c r="AG51" i="69"/>
  <c r="AK51" i="69"/>
  <c r="AM51" i="69"/>
  <c r="AQ51" i="69"/>
  <c r="AU51" i="69"/>
  <c r="AJ28" i="71"/>
  <c r="AJ55" i="71"/>
  <c r="P52" i="69"/>
  <c r="T52" i="69"/>
  <c r="BZ55" i="71"/>
  <c r="AD52" i="69"/>
  <c r="AD51" i="69"/>
  <c r="AD54" i="69"/>
  <c r="AN52" i="69"/>
  <c r="AR52" i="69"/>
  <c r="EB28" i="71"/>
  <c r="EB55" i="71"/>
  <c r="AV52" i="69"/>
  <c r="F51" i="69"/>
  <c r="I60" i="71"/>
  <c r="G57" i="69"/>
  <c r="U60" i="71"/>
  <c r="K57" i="69"/>
  <c r="AG60" i="71"/>
  <c r="O57" i="69"/>
  <c r="AP60" i="71"/>
  <c r="R57" i="69"/>
  <c r="BB60" i="71"/>
  <c r="V57" i="69"/>
  <c r="BK60" i="71"/>
  <c r="Y57" i="69"/>
  <c r="AC57" i="69"/>
  <c r="CI60" i="71"/>
  <c r="AG57" i="69"/>
  <c r="CU60" i="71"/>
  <c r="AK57" i="69"/>
  <c r="CX60" i="71"/>
  <c r="AL57" i="69"/>
  <c r="DJ60" i="71"/>
  <c r="AP57" i="69"/>
  <c r="DV60" i="71"/>
  <c r="AT57" i="69"/>
  <c r="C62" i="71"/>
  <c r="C59" i="69"/>
  <c r="F61" i="69"/>
  <c r="H61" i="69"/>
  <c r="J61" i="69"/>
  <c r="M61" i="69"/>
  <c r="P61" i="69"/>
  <c r="T61" i="69"/>
  <c r="X61" i="69"/>
  <c r="AB61" i="69"/>
  <c r="AD61" i="69"/>
  <c r="AH61" i="69"/>
  <c r="AL61" i="69"/>
  <c r="AO61" i="69"/>
  <c r="AR61" i="69"/>
  <c r="AV61" i="69"/>
  <c r="E74" i="69"/>
  <c r="I74" i="69"/>
  <c r="M74" i="69"/>
  <c r="O74" i="69"/>
  <c r="R74" i="69"/>
  <c r="R76" i="69"/>
  <c r="V74" i="69"/>
  <c r="V76" i="69"/>
  <c r="X74" i="69"/>
  <c r="X76" i="69"/>
  <c r="AA74" i="69"/>
  <c r="AA76" i="69"/>
  <c r="AE74" i="69"/>
  <c r="AI74" i="69"/>
  <c r="AI213" i="69"/>
  <c r="AL74" i="69"/>
  <c r="AO74" i="69"/>
  <c r="AO76" i="69"/>
  <c r="AS74" i="69"/>
  <c r="AW74" i="69"/>
  <c r="AW76" i="69"/>
  <c r="M76" i="69"/>
  <c r="E79" i="69"/>
  <c r="I79" i="69"/>
  <c r="L79" i="69"/>
  <c r="O79" i="69"/>
  <c r="S79" i="69"/>
  <c r="V79" i="69"/>
  <c r="X79" i="69"/>
  <c r="AA79" i="69"/>
  <c r="AE79" i="69"/>
  <c r="AI79" i="69"/>
  <c r="AK79" i="69"/>
  <c r="AM79" i="69"/>
  <c r="AP79" i="69"/>
  <c r="AS79" i="69"/>
  <c r="AT79" i="69"/>
  <c r="AW79" i="69"/>
  <c r="H80" i="69"/>
  <c r="K80" i="69"/>
  <c r="N80" i="69"/>
  <c r="O80" i="69"/>
  <c r="R80" i="69"/>
  <c r="U80" i="69"/>
  <c r="V80" i="69"/>
  <c r="Y80" i="69"/>
  <c r="AB80" i="69"/>
  <c r="AC80" i="69"/>
  <c r="AF80" i="69"/>
  <c r="AI80" i="69"/>
  <c r="AK80" i="69"/>
  <c r="AM80" i="69"/>
  <c r="AP80" i="69"/>
  <c r="AP105" i="69"/>
  <c r="AP107" i="69"/>
  <c r="AP214" i="69"/>
  <c r="AP225" i="69"/>
  <c r="AS80" i="69"/>
  <c r="AT80" i="69"/>
  <c r="AW80" i="69"/>
  <c r="I82" i="69"/>
  <c r="L82" i="69"/>
  <c r="O82" i="69"/>
  <c r="Q82" i="69"/>
  <c r="S82" i="69"/>
  <c r="V82" i="69"/>
  <c r="Y82" i="69"/>
  <c r="Z82" i="69"/>
  <c r="AC82" i="69"/>
  <c r="AF82" i="69"/>
  <c r="AH82" i="69"/>
  <c r="AJ82" i="69"/>
  <c r="AM82" i="69"/>
  <c r="AP82" i="69"/>
  <c r="AS82" i="69"/>
  <c r="AU82" i="69"/>
  <c r="E85" i="69"/>
  <c r="G85" i="69"/>
  <c r="H85" i="69"/>
  <c r="J85" i="69"/>
  <c r="M85" i="69"/>
  <c r="P85" i="69"/>
  <c r="S85" i="69"/>
  <c r="V85" i="69"/>
  <c r="Y85" i="69"/>
  <c r="AB85" i="69"/>
  <c r="AF85" i="69"/>
  <c r="AI85" i="69"/>
  <c r="AL85" i="69"/>
  <c r="AP85" i="69"/>
  <c r="AS85" i="69"/>
  <c r="AW85" i="69"/>
  <c r="AH141" i="69"/>
  <c r="AM141" i="69"/>
  <c r="AQ141" i="69"/>
  <c r="AU141" i="69"/>
  <c r="AW141" i="69"/>
  <c r="I147" i="71"/>
  <c r="G144" i="69"/>
  <c r="U147" i="71"/>
  <c r="K144" i="69"/>
  <c r="AD147" i="71"/>
  <c r="N144" i="69"/>
  <c r="AP147" i="71"/>
  <c r="R144" i="69"/>
  <c r="R141" i="69"/>
  <c r="BB147" i="71"/>
  <c r="V144" i="69"/>
  <c r="BN147" i="71"/>
  <c r="Z144" i="69"/>
  <c r="BW147" i="71"/>
  <c r="AC144" i="69"/>
  <c r="CC147" i="71"/>
  <c r="AE144" i="69"/>
  <c r="CO147" i="71"/>
  <c r="AI144" i="69"/>
  <c r="DA147" i="71"/>
  <c r="AM144" i="69"/>
  <c r="AM147" i="69"/>
  <c r="DG147" i="71"/>
  <c r="AO144" i="69"/>
  <c r="AO141" i="69"/>
  <c r="DP147" i="71"/>
  <c r="AR144" i="69"/>
  <c r="AR147" i="69" s="1"/>
  <c r="EB147" i="71"/>
  <c r="AV144" i="69"/>
  <c r="O148" i="71"/>
  <c r="I145" i="69"/>
  <c r="U148" i="71"/>
  <c r="K145" i="69"/>
  <c r="AD148" i="71"/>
  <c r="N145" i="69"/>
  <c r="AM148" i="71"/>
  <c r="Q145" i="69"/>
  <c r="AY148" i="71"/>
  <c r="U145" i="69"/>
  <c r="BK148" i="71"/>
  <c r="Y145" i="69"/>
  <c r="BT148" i="71"/>
  <c r="AB145" i="69"/>
  <c r="CF148" i="71"/>
  <c r="AF145" i="69"/>
  <c r="CR148" i="71"/>
  <c r="AJ145" i="69"/>
  <c r="CX148" i="71"/>
  <c r="AL145" i="69"/>
  <c r="DJ148" i="71"/>
  <c r="AP145" i="69"/>
  <c r="DV148" i="71"/>
  <c r="AT145" i="69"/>
  <c r="EE148" i="71"/>
  <c r="AW145" i="69"/>
  <c r="J146" i="69"/>
  <c r="N146" i="69"/>
  <c r="O160" i="69"/>
  <c r="O163" i="69"/>
  <c r="O182" i="69"/>
  <c r="R160" i="69"/>
  <c r="AF160" i="69"/>
  <c r="AF163" i="69"/>
  <c r="AK160" i="69"/>
  <c r="AK163" i="69"/>
  <c r="R163" i="69"/>
  <c r="G168" i="69"/>
  <c r="K168" i="69"/>
  <c r="AG171" i="71"/>
  <c r="O168" i="69"/>
  <c r="AS171" i="71"/>
  <c r="S168" i="69"/>
  <c r="U168" i="69"/>
  <c r="X168" i="69"/>
  <c r="AB168" i="69"/>
  <c r="AD168" i="69"/>
  <c r="AG168" i="69"/>
  <c r="AK168" i="69"/>
  <c r="AN168" i="69"/>
  <c r="DM171" i="71"/>
  <c r="AQ168" i="69"/>
  <c r="AT168" i="69"/>
  <c r="P169" i="69"/>
  <c r="P173" i="69"/>
  <c r="G171" i="69"/>
  <c r="J171" i="69"/>
  <c r="M171" i="69"/>
  <c r="P171" i="69"/>
  <c r="S171" i="69"/>
  <c r="W171" i="69"/>
  <c r="AA171" i="69"/>
  <c r="AC171" i="69"/>
  <c r="AF171" i="69"/>
  <c r="AJ171" i="69"/>
  <c r="AM171" i="69"/>
  <c r="AP171" i="69"/>
  <c r="AS171" i="69"/>
  <c r="AV171" i="69"/>
  <c r="AP180" i="71"/>
  <c r="R177" i="69"/>
  <c r="U177" i="69"/>
  <c r="Y177" i="69"/>
  <c r="BW180" i="71"/>
  <c r="AC177" i="69"/>
  <c r="AH177" i="69"/>
  <c r="AL177" i="69"/>
  <c r="DG180" i="71"/>
  <c r="AO177" i="69"/>
  <c r="U180" i="69"/>
  <c r="AB180" i="69"/>
  <c r="AG180" i="69"/>
  <c r="AJ180" i="69"/>
  <c r="AP180" i="69"/>
  <c r="Q181" i="69"/>
  <c r="T181" i="69"/>
  <c r="X181" i="69"/>
  <c r="AG181" i="69"/>
  <c r="AO181" i="69"/>
  <c r="AT181" i="69"/>
  <c r="J186" i="69"/>
  <c r="J189" i="69" s="1"/>
  <c r="O186" i="69"/>
  <c r="O189" i="69"/>
  <c r="Q186" i="69"/>
  <c r="Q189" i="69"/>
  <c r="R186" i="69"/>
  <c r="R189" i="69"/>
  <c r="R199" i="69"/>
  <c r="X186" i="69"/>
  <c r="AB186" i="69"/>
  <c r="AB189" i="69"/>
  <c r="AE186" i="69"/>
  <c r="AE189" i="69"/>
  <c r="AE197" i="69"/>
  <c r="AK186" i="69"/>
  <c r="AK189" i="69"/>
  <c r="AK197" i="69"/>
  <c r="AN186" i="69"/>
  <c r="AN189" i="69"/>
  <c r="AQ186" i="69"/>
  <c r="AQ189" i="69"/>
  <c r="V189" i="69"/>
  <c r="L213" i="69"/>
  <c r="O213" i="69"/>
  <c r="S213" i="69"/>
  <c r="X213" i="69"/>
  <c r="AA213" i="69"/>
  <c r="AC213" i="69"/>
  <c r="AS213" i="69"/>
  <c r="AN105" i="69"/>
  <c r="M224" i="69"/>
  <c r="S224" i="69"/>
  <c r="AA224" i="69"/>
  <c r="AE224" i="69"/>
  <c r="C245" i="69"/>
  <c r="G254" i="69"/>
  <c r="G255" i="69"/>
  <c r="G262" i="69"/>
  <c r="G278" i="69"/>
  <c r="L254" i="69"/>
  <c r="L255" i="69"/>
  <c r="L262" i="69"/>
  <c r="L278" i="69"/>
  <c r="P254" i="69"/>
  <c r="U254" i="69"/>
  <c r="U255" i="69"/>
  <c r="U262" i="69"/>
  <c r="U278" i="69"/>
  <c r="Y254" i="69"/>
  <c r="Y255" i="69"/>
  <c r="Y262" i="69"/>
  <c r="Y278" i="69"/>
  <c r="AC254" i="69"/>
  <c r="AC255" i="69"/>
  <c r="AC262" i="69"/>
  <c r="AC278" i="69"/>
  <c r="AG254" i="69"/>
  <c r="AG255" i="69"/>
  <c r="AG262" i="69"/>
  <c r="AG278" i="69"/>
  <c r="AL254" i="69"/>
  <c r="AL255" i="69"/>
  <c r="AL262" i="69"/>
  <c r="AL278" i="69"/>
  <c r="AO254" i="69"/>
  <c r="AO255" i="69"/>
  <c r="AO262" i="69"/>
  <c r="AO278" i="69"/>
  <c r="K254" i="69"/>
  <c r="K255" i="69"/>
  <c r="K262" i="69"/>
  <c r="K278" i="69"/>
  <c r="N254" i="69"/>
  <c r="N255" i="69"/>
  <c r="N262" i="69"/>
  <c r="N278" i="69"/>
  <c r="P255" i="69"/>
  <c r="AD254" i="69"/>
  <c r="AD255" i="69"/>
  <c r="AD262" i="69"/>
  <c r="AD278" i="69"/>
  <c r="G268" i="69"/>
  <c r="L268" i="69"/>
  <c r="P268" i="69"/>
  <c r="T268" i="69"/>
  <c r="Y268" i="69"/>
  <c r="AC268" i="69"/>
  <c r="AG268" i="69"/>
  <c r="AL268" i="69"/>
  <c r="AO268" i="69"/>
  <c r="AS268" i="69"/>
  <c r="L269" i="69"/>
  <c r="P269" i="69"/>
  <c r="T269" i="69"/>
  <c r="X269" i="69"/>
  <c r="AB269" i="69"/>
  <c r="AG269" i="69"/>
  <c r="AJ269" i="69"/>
  <c r="AO269" i="69"/>
  <c r="AS269" i="69"/>
  <c r="I270" i="69"/>
  <c r="N270" i="69"/>
  <c r="R270" i="69"/>
  <c r="V270" i="69"/>
  <c r="Y270" i="69"/>
  <c r="AC270" i="69"/>
  <c r="AH270" i="69"/>
  <c r="AL270" i="69"/>
  <c r="AO270" i="69"/>
  <c r="AS270" i="69"/>
  <c r="L273" i="69"/>
  <c r="P273" i="69"/>
  <c r="T273" i="69"/>
  <c r="T274" i="69"/>
  <c r="X273" i="69"/>
  <c r="AB273" i="69"/>
  <c r="AB274" i="69"/>
  <c r="AB279" i="69"/>
  <c r="AF273" i="69"/>
  <c r="AF269" i="69"/>
  <c r="AF274" i="69"/>
  <c r="AF279" i="69"/>
  <c r="AJ273" i="69"/>
  <c r="AO273" i="69"/>
  <c r="AO274" i="69"/>
  <c r="AO279" i="69"/>
  <c r="AS273" i="69"/>
  <c r="T279" i="69"/>
  <c r="H285" i="69"/>
  <c r="M285" i="69"/>
  <c r="Q285" i="69"/>
  <c r="U285" i="69"/>
  <c r="Z285" i="69"/>
  <c r="AC285" i="69"/>
  <c r="AG285" i="69"/>
  <c r="AM285" i="69"/>
  <c r="AQ285" i="69"/>
  <c r="F286" i="69"/>
  <c r="I286" i="69"/>
  <c r="P286" i="69"/>
  <c r="S286" i="69"/>
  <c r="V286" i="69"/>
  <c r="AC286" i="69"/>
  <c r="AF286" i="69"/>
  <c r="AL286" i="69"/>
  <c r="AL291" i="69" s="1"/>
  <c r="AP286" i="69"/>
  <c r="E287" i="69"/>
  <c r="E286" i="69"/>
  <c r="E288" i="69"/>
  <c r="F284" i="69"/>
  <c r="F287" i="69"/>
  <c r="F288" i="69" s="1"/>
  <c r="G284" i="69" s="1"/>
  <c r="G288" i="69" s="1"/>
  <c r="H284" i="69" s="1"/>
  <c r="H288" i="69" s="1"/>
  <c r="I284" i="69" s="1"/>
  <c r="I288" i="69" s="1"/>
  <c r="J284" i="69" s="1"/>
  <c r="J288" i="69" s="1"/>
  <c r="K284" i="69" s="1"/>
  <c r="K288" i="69" s="1"/>
  <c r="L284" i="69" s="1"/>
  <c r="L288" i="69" s="1"/>
  <c r="M284" i="69" s="1"/>
  <c r="M288" i="69" s="1"/>
  <c r="N284" i="69" s="1"/>
  <c r="N288" i="69" s="1"/>
  <c r="O284" i="69" s="1"/>
  <c r="O288" i="69" s="1"/>
  <c r="P284" i="69" s="1"/>
  <c r="P288" i="69" s="1"/>
  <c r="Q284" i="69" s="1"/>
  <c r="Q288" i="69" s="1"/>
  <c r="R284" i="69" s="1"/>
  <c r="R288" i="69" s="1"/>
  <c r="S284" i="69" s="1"/>
  <c r="S288" i="69" s="1"/>
  <c r="T284" i="69" s="1"/>
  <c r="T288" i="69" s="1"/>
  <c r="U284" i="69" s="1"/>
  <c r="U288" i="69" s="1"/>
  <c r="V284" i="69" s="1"/>
  <c r="V288" i="69" s="1"/>
  <c r="W284" i="69" s="1"/>
  <c r="W288" i="69" s="1"/>
  <c r="X284" i="69" s="1"/>
  <c r="X288" i="69" s="1"/>
  <c r="Y284" i="69" s="1"/>
  <c r="Y288" i="69" s="1"/>
  <c r="Z284" i="69" s="1"/>
  <c r="Z288" i="69" s="1"/>
  <c r="AA284" i="69" s="1"/>
  <c r="AA288" i="69" s="1"/>
  <c r="AB284" i="69" s="1"/>
  <c r="AB288" i="69" s="1"/>
  <c r="AC284" i="69" s="1"/>
  <c r="AC288" i="69" s="1"/>
  <c r="AD284" i="69" s="1"/>
  <c r="AD288" i="69" s="1"/>
  <c r="AE284" i="69" s="1"/>
  <c r="AE288" i="69" s="1"/>
  <c r="AF284" i="69" s="1"/>
  <c r="AF288" i="69" s="1"/>
  <c r="AG284" i="69" s="1"/>
  <c r="AG288" i="69" s="1"/>
  <c r="AH284" i="69" s="1"/>
  <c r="AH288" i="69" s="1"/>
  <c r="AI284" i="69" s="1"/>
  <c r="AI288" i="69" s="1"/>
  <c r="AJ284" i="69" s="1"/>
  <c r="AJ288" i="69" s="1"/>
  <c r="AK284" i="69" s="1"/>
  <c r="AK288" i="69" s="1"/>
  <c r="AL284" i="69" s="1"/>
  <c r="AL288" i="69" s="1"/>
  <c r="AM284" i="69" s="1"/>
  <c r="AM288" i="69" s="1"/>
  <c r="AN284" i="69" s="1"/>
  <c r="AN288" i="69" s="1"/>
  <c r="AO284" i="69" s="1"/>
  <c r="AO288" i="69" s="1"/>
  <c r="AP284" i="69" s="1"/>
  <c r="AP288" i="69" s="1"/>
  <c r="AQ284" i="69" s="1"/>
  <c r="AQ288" i="69" s="1"/>
  <c r="AR284" i="69" s="1"/>
  <c r="AR288" i="69" s="1"/>
  <c r="AS284" i="69" s="1"/>
  <c r="AS288" i="69" s="1"/>
  <c r="AT284" i="69" s="1"/>
  <c r="AT288" i="69" s="1"/>
  <c r="AU284" i="69" s="1"/>
  <c r="AU288" i="69" s="1"/>
  <c r="AV284" i="69" s="1"/>
  <c r="AV288" i="69" s="1"/>
  <c r="AW284" i="69" s="1"/>
  <c r="AW288" i="69" s="1"/>
  <c r="G287" i="69"/>
  <c r="H287" i="69"/>
  <c r="J287" i="69"/>
  <c r="N287" i="69"/>
  <c r="R287" i="69"/>
  <c r="T287" i="69"/>
  <c r="X287" i="69"/>
  <c r="AA287" i="69"/>
  <c r="AE287" i="69"/>
  <c r="AH287" i="69"/>
  <c r="AL287" i="69"/>
  <c r="AN287" i="69"/>
  <c r="AQ287" i="69"/>
  <c r="F290" i="69"/>
  <c r="F291" i="69"/>
  <c r="I290" i="69"/>
  <c r="I291" i="69"/>
  <c r="M290" i="69"/>
  <c r="P290" i="69"/>
  <c r="P291" i="69"/>
  <c r="T290" i="69"/>
  <c r="T286" i="69"/>
  <c r="T291" i="69"/>
  <c r="W290" i="69"/>
  <c r="W286" i="69"/>
  <c r="W291" i="69"/>
  <c r="AA290" i="69"/>
  <c r="AD290" i="69"/>
  <c r="AD286" i="69"/>
  <c r="AD291" i="69"/>
  <c r="AG290" i="69"/>
  <c r="AG286" i="69"/>
  <c r="AG291" i="69"/>
  <c r="AK290" i="69"/>
  <c r="AN290" i="69"/>
  <c r="AN286" i="69"/>
  <c r="AN291" i="69"/>
  <c r="AP290" i="69"/>
  <c r="AP291" i="69"/>
  <c r="M286" i="69"/>
  <c r="M291" i="69"/>
  <c r="S291" i="69"/>
  <c r="AK286" i="69"/>
  <c r="AK291" i="69"/>
  <c r="G297" i="69"/>
  <c r="K297" i="69"/>
  <c r="O297" i="69"/>
  <c r="S297" i="69"/>
  <c r="V297" i="69"/>
  <c r="X297" i="69"/>
  <c r="AB297" i="69"/>
  <c r="AF297" i="69"/>
  <c r="AI297" i="69"/>
  <c r="AL297" i="69"/>
  <c r="AO297" i="69"/>
  <c r="AS297" i="69"/>
  <c r="I299" i="69"/>
  <c r="R299" i="69"/>
  <c r="V299" i="69"/>
  <c r="Z299" i="69"/>
  <c r="AD299" i="69"/>
  <c r="AJ299" i="69"/>
  <c r="AM299" i="69"/>
  <c r="AQ299" i="69"/>
  <c r="G300" i="69"/>
  <c r="G241" i="69"/>
  <c r="I300" i="69"/>
  <c r="I241" i="69"/>
  <c r="L300" i="69"/>
  <c r="L241" i="69"/>
  <c r="P300" i="69"/>
  <c r="P241" i="69"/>
  <c r="T300" i="69"/>
  <c r="T241" i="69"/>
  <c r="X300" i="69"/>
  <c r="X241" i="69"/>
  <c r="AA300" i="69"/>
  <c r="AA241" i="69"/>
  <c r="AD300" i="69"/>
  <c r="AD241" i="69"/>
  <c r="AG300" i="69"/>
  <c r="AG301" i="69" s="1"/>
  <c r="AG318" i="69" s="1"/>
  <c r="AG241" i="69"/>
  <c r="AK300" i="69"/>
  <c r="AK241" i="69"/>
  <c r="AN300" i="69"/>
  <c r="AN241" i="69"/>
  <c r="AR300" i="69"/>
  <c r="AR241" i="69"/>
  <c r="AK302" i="69"/>
  <c r="AQ302" i="69"/>
  <c r="G307" i="69"/>
  <c r="I307" i="69"/>
  <c r="M307" i="69"/>
  <c r="Q307" i="69"/>
  <c r="T307" i="69"/>
  <c r="X307" i="69"/>
  <c r="AB307" i="69"/>
  <c r="AE307" i="69"/>
  <c r="AG307" i="69"/>
  <c r="AK307" i="69"/>
  <c r="AO307" i="69"/>
  <c r="AQ307" i="69"/>
  <c r="E308" i="69"/>
  <c r="G308" i="69"/>
  <c r="I308" i="69"/>
  <c r="L308" i="69"/>
  <c r="P308" i="69"/>
  <c r="W308" i="69"/>
  <c r="Z308" i="69"/>
  <c r="AF308" i="69"/>
  <c r="AJ308" i="69"/>
  <c r="AP308" i="69"/>
  <c r="AS308" i="69"/>
  <c r="K309" i="69"/>
  <c r="O309" i="69"/>
  <c r="S309" i="69"/>
  <c r="Y309" i="69"/>
  <c r="Z309" i="69"/>
  <c r="AE309" i="69"/>
  <c r="AK309" i="69"/>
  <c r="AL309" i="69"/>
  <c r="AR309" i="69"/>
  <c r="I312" i="69"/>
  <c r="M312" i="69"/>
  <c r="U312" i="69"/>
  <c r="Z312" i="69"/>
  <c r="AD312" i="69"/>
  <c r="AJ312" i="69"/>
  <c r="AQ312" i="69"/>
  <c r="H313" i="69"/>
  <c r="N313" i="69"/>
  <c r="R313" i="69"/>
  <c r="AO317" i="69"/>
  <c r="R322" i="69"/>
  <c r="AO299" i="69"/>
  <c r="I322" i="71"/>
  <c r="I323" i="71"/>
  <c r="I326" i="71"/>
  <c r="G323" i="69"/>
  <c r="G242" i="69"/>
  <c r="AJ322" i="71"/>
  <c r="AJ323" i="71"/>
  <c r="AJ326" i="71"/>
  <c r="P323" i="69"/>
  <c r="P242" i="69"/>
  <c r="BH316" i="71"/>
  <c r="BH322" i="71"/>
  <c r="BH323" i="71"/>
  <c r="BH326" i="71"/>
  <c r="X323" i="69"/>
  <c r="X242" i="69"/>
  <c r="AD323" i="69"/>
  <c r="AD242" i="69"/>
  <c r="CR316" i="71"/>
  <c r="CR322" i="71"/>
  <c r="CR323" i="71"/>
  <c r="CR326" i="71"/>
  <c r="AJ323" i="69"/>
  <c r="AJ242" i="69"/>
  <c r="DJ326" i="71"/>
  <c r="AP323" i="69"/>
  <c r="AP324" i="69" s="1"/>
  <c r="AP325" i="69" s="1"/>
  <c r="AP242" i="69"/>
  <c r="DM316" i="71"/>
  <c r="DM322" i="71"/>
  <c r="DM323" i="71"/>
  <c r="DM325" i="71"/>
  <c r="AQ322" i="69"/>
  <c r="AQ324" i="69"/>
  <c r="AQ325" i="69"/>
  <c r="X332" i="71"/>
  <c r="L329" i="69"/>
  <c r="L331" i="69"/>
  <c r="F330" i="69"/>
  <c r="F243" i="69"/>
  <c r="R330" i="69"/>
  <c r="R243" i="69"/>
  <c r="BT328" i="71"/>
  <c r="BT333" i="71"/>
  <c r="AB330" i="69"/>
  <c r="AB243" i="69"/>
  <c r="DG328" i="71"/>
  <c r="DG333" i="71"/>
  <c r="AO330" i="69"/>
  <c r="AO243" i="69"/>
  <c r="N345" i="69"/>
  <c r="U345" i="69"/>
  <c r="X345" i="69"/>
  <c r="L368" i="69"/>
  <c r="N370" i="69"/>
  <c r="R34" i="69"/>
  <c r="R345" i="69" s="1"/>
  <c r="R370" i="69"/>
  <c r="R371" i="69"/>
  <c r="X370" i="69"/>
  <c r="X371" i="69"/>
  <c r="AA370" i="69"/>
  <c r="AA371" i="69"/>
  <c r="AE34" i="69"/>
  <c r="AE370" i="69"/>
  <c r="AE371" i="69"/>
  <c r="AO34" i="69"/>
  <c r="AO370" i="69"/>
  <c r="AO371" i="69"/>
  <c r="AR34" i="69"/>
  <c r="AR370" i="69"/>
  <c r="AR371" i="69"/>
  <c r="AT370" i="69"/>
  <c r="AT371" i="69"/>
  <c r="F19" i="71"/>
  <c r="L19" i="71"/>
  <c r="R19" i="71"/>
  <c r="V19" i="71"/>
  <c r="X19" i="71"/>
  <c r="Z19" i="71"/>
  <c r="AG19" i="71"/>
  <c r="AN19" i="71"/>
  <c r="AQ19" i="71"/>
  <c r="BA19" i="71"/>
  <c r="BG19" i="71"/>
  <c r="BJ19" i="71"/>
  <c r="BN19" i="71"/>
  <c r="BO19" i="71"/>
  <c r="DC19" i="71"/>
  <c r="DU19" i="71"/>
  <c r="DW19" i="71"/>
  <c r="EA19" i="71"/>
  <c r="EC19" i="71"/>
  <c r="EE19" i="71"/>
  <c r="EG19" i="71"/>
  <c r="L23" i="71"/>
  <c r="Q23" i="71"/>
  <c r="V23" i="71"/>
  <c r="X23" i="71"/>
  <c r="AC23" i="71"/>
  <c r="AE23" i="71"/>
  <c r="AP23" i="71"/>
  <c r="AS23" i="71"/>
  <c r="AW23" i="71"/>
  <c r="AZ23" i="71"/>
  <c r="BB23" i="71"/>
  <c r="BF23" i="71"/>
  <c r="BI23" i="71"/>
  <c r="BL23" i="71"/>
  <c r="BR23" i="71"/>
  <c r="CH23" i="71"/>
  <c r="CK23" i="71"/>
  <c r="CV23" i="71"/>
  <c r="DG23" i="71"/>
  <c r="DI23" i="71"/>
  <c r="DM23" i="71"/>
  <c r="DO23" i="71"/>
  <c r="DR23" i="71"/>
  <c r="DU23" i="71"/>
  <c r="DZ23" i="71"/>
  <c r="ED23" i="71"/>
  <c r="EG23" i="71"/>
  <c r="C27" i="71"/>
  <c r="G171" i="71"/>
  <c r="G28" i="71"/>
  <c r="J171" i="71"/>
  <c r="J28" i="71"/>
  <c r="K171" i="71"/>
  <c r="K28" i="71"/>
  <c r="N171" i="71"/>
  <c r="N28" i="71"/>
  <c r="S171" i="71"/>
  <c r="S28" i="71"/>
  <c r="V171" i="71"/>
  <c r="V28" i="71"/>
  <c r="X28" i="71"/>
  <c r="AA171" i="71"/>
  <c r="AA28" i="71"/>
  <c r="AB171" i="71"/>
  <c r="AB28" i="71"/>
  <c r="AE171" i="71"/>
  <c r="AE28" i="71"/>
  <c r="AG28" i="71"/>
  <c r="AM171" i="71"/>
  <c r="AM28" i="71"/>
  <c r="AO171" i="71"/>
  <c r="AO28" i="71"/>
  <c r="AQ171" i="71"/>
  <c r="AQ28" i="71"/>
  <c r="AU171" i="71"/>
  <c r="AU28" i="71"/>
  <c r="AW171" i="71"/>
  <c r="AW28" i="71"/>
  <c r="BC171" i="71"/>
  <c r="BC28" i="71"/>
  <c r="BI171" i="71"/>
  <c r="BI28" i="71"/>
  <c r="BJ171" i="71"/>
  <c r="BJ28" i="71"/>
  <c r="BN28" i="71"/>
  <c r="BS171" i="71"/>
  <c r="BS28" i="71"/>
  <c r="BW171" i="71"/>
  <c r="BW28" i="71"/>
  <c r="CB171" i="71"/>
  <c r="CB28" i="71"/>
  <c r="CE171" i="71"/>
  <c r="CE28" i="71"/>
  <c r="CN171" i="71"/>
  <c r="CN28" i="71"/>
  <c r="CW171" i="71"/>
  <c r="CW28" i="71"/>
  <c r="CY171" i="71"/>
  <c r="CY28" i="71"/>
  <c r="DA28" i="71"/>
  <c r="DM28" i="71"/>
  <c r="DO171" i="71"/>
  <c r="DO28" i="71"/>
  <c r="DR171" i="71"/>
  <c r="DR28" i="71"/>
  <c r="DW171" i="71"/>
  <c r="DW28" i="71"/>
  <c r="EC171" i="71"/>
  <c r="EC28" i="71"/>
  <c r="EE171" i="71"/>
  <c r="EE28" i="71"/>
  <c r="AP31" i="71"/>
  <c r="AS31" i="71"/>
  <c r="AU31" i="71"/>
  <c r="AZ180" i="71"/>
  <c r="AZ31" i="71"/>
  <c r="BG180" i="71"/>
  <c r="BG31" i="71"/>
  <c r="BL180" i="71"/>
  <c r="BL31" i="71"/>
  <c r="BN31" i="71"/>
  <c r="BP31" i="71"/>
  <c r="BT31" i="71"/>
  <c r="BW31" i="71"/>
  <c r="BY31" i="71"/>
  <c r="CA31" i="71"/>
  <c r="CC31" i="71"/>
  <c r="CE180" i="71"/>
  <c r="CE31" i="71"/>
  <c r="CO180" i="71"/>
  <c r="CO31" i="71"/>
  <c r="CR31" i="71"/>
  <c r="CT31" i="71"/>
  <c r="CX31" i="71"/>
  <c r="DG31" i="71"/>
  <c r="DK180" i="71"/>
  <c r="DK31" i="71"/>
  <c r="DO31" i="71"/>
  <c r="DS180" i="71"/>
  <c r="DS31" i="71"/>
  <c r="DX31" i="71"/>
  <c r="EE31" i="71"/>
  <c r="EG180" i="71"/>
  <c r="EG31" i="71"/>
  <c r="AN32" i="71"/>
  <c r="BB32" i="71"/>
  <c r="BE32" i="71"/>
  <c r="BH183" i="71"/>
  <c r="BH32" i="71"/>
  <c r="BK183" i="71"/>
  <c r="BK32" i="71"/>
  <c r="BT32" i="71"/>
  <c r="BY32" i="71"/>
  <c r="CA32" i="71"/>
  <c r="CB183" i="71"/>
  <c r="CB32" i="71"/>
  <c r="CI32" i="71"/>
  <c r="CK183" i="71"/>
  <c r="CK32" i="71"/>
  <c r="CR32" i="71"/>
  <c r="CW32" i="71"/>
  <c r="EB32" i="71"/>
  <c r="EF32" i="71"/>
  <c r="DW34" i="71"/>
  <c r="EF34" i="71"/>
  <c r="F46" i="71"/>
  <c r="I46" i="71"/>
  <c r="N46" i="71"/>
  <c r="Y46" i="71"/>
  <c r="AA46" i="71"/>
  <c r="AG46" i="71"/>
  <c r="AJ46" i="71"/>
  <c r="BA46" i="71"/>
  <c r="BG46" i="71"/>
  <c r="BN46" i="71"/>
  <c r="CA46" i="71"/>
  <c r="CE46" i="71"/>
  <c r="CN46" i="71"/>
  <c r="CQ46" i="71"/>
  <c r="CT46" i="71"/>
  <c r="CV46" i="71"/>
  <c r="DD46" i="71"/>
  <c r="DG46" i="71"/>
  <c r="DM46" i="71"/>
  <c r="DQ46" i="71"/>
  <c r="DS46" i="71"/>
  <c r="DV46" i="71"/>
  <c r="DY46" i="71"/>
  <c r="EA46" i="71"/>
  <c r="AL54" i="71"/>
  <c r="AP54" i="71"/>
  <c r="G55" i="71"/>
  <c r="O55" i="71"/>
  <c r="U55" i="71"/>
  <c r="Z171" i="71"/>
  <c r="Z28" i="71"/>
  <c r="Z55" i="71"/>
  <c r="AE55" i="71"/>
  <c r="AK55" i="71"/>
  <c r="AO55" i="71"/>
  <c r="AS28" i="71"/>
  <c r="AS55" i="71"/>
  <c r="BD171" i="71"/>
  <c r="BD28" i="71"/>
  <c r="BD55" i="71"/>
  <c r="BE55" i="71"/>
  <c r="BF55" i="71"/>
  <c r="BJ55" i="71"/>
  <c r="BL55" i="71"/>
  <c r="BN55" i="71"/>
  <c r="BR55" i="71"/>
  <c r="CA171" i="71"/>
  <c r="CA28" i="71"/>
  <c r="CA55" i="71"/>
  <c r="CE55" i="71"/>
  <c r="CK171" i="71"/>
  <c r="CK28" i="71"/>
  <c r="CK55" i="71"/>
  <c r="CU55" i="71"/>
  <c r="CW55" i="71"/>
  <c r="DI171" i="71"/>
  <c r="DI28" i="71"/>
  <c r="DI55" i="71"/>
  <c r="DL55" i="71"/>
  <c r="DO55" i="71"/>
  <c r="DV55" i="71"/>
  <c r="BG316" i="71"/>
  <c r="BI316" i="71"/>
  <c r="BJ316" i="71"/>
  <c r="BK316" i="71"/>
  <c r="BL316" i="71"/>
  <c r="BM316" i="71"/>
  <c r="BO316" i="71"/>
  <c r="BP316" i="71"/>
  <c r="BQ316" i="71"/>
  <c r="BR316" i="71"/>
  <c r="BS316" i="71"/>
  <c r="BU316" i="71"/>
  <c r="BV316" i="71"/>
  <c r="BX316" i="71"/>
  <c r="BY316" i="71"/>
  <c r="CA316" i="71"/>
  <c r="CB316" i="71"/>
  <c r="CC316" i="71"/>
  <c r="CD316" i="71"/>
  <c r="CE316" i="71"/>
  <c r="CG316" i="71"/>
  <c r="CH316" i="71"/>
  <c r="CI316" i="71"/>
  <c r="CJ316" i="71"/>
  <c r="CK316" i="71"/>
  <c r="CM316" i="71"/>
  <c r="CN316" i="71"/>
  <c r="CO316" i="71"/>
  <c r="CP316" i="71"/>
  <c r="CQ316" i="71"/>
  <c r="CS316" i="71"/>
  <c r="CT316" i="71"/>
  <c r="CU316" i="71"/>
  <c r="CV316" i="71"/>
  <c r="CW316" i="71"/>
  <c r="CY316" i="71"/>
  <c r="CZ316" i="71"/>
  <c r="DB316" i="71"/>
  <c r="DC316" i="71"/>
  <c r="DE316" i="71"/>
  <c r="DF316" i="71"/>
  <c r="DG316" i="71"/>
  <c r="DH316" i="71"/>
  <c r="DI316" i="71"/>
  <c r="DK316" i="71"/>
  <c r="DL316" i="71"/>
  <c r="DN316" i="71"/>
  <c r="DO316" i="71"/>
  <c r="DP316" i="71"/>
  <c r="DQ316" i="71"/>
  <c r="DR316" i="71"/>
  <c r="DT316" i="71"/>
  <c r="DU316" i="71"/>
  <c r="C318" i="71"/>
  <c r="E320" i="71"/>
  <c r="F320" i="71"/>
  <c r="G320" i="71"/>
  <c r="H320" i="71"/>
  <c r="I320" i="71"/>
  <c r="J320" i="71"/>
  <c r="K320" i="71"/>
  <c r="L320" i="71"/>
  <c r="M320" i="71"/>
  <c r="N320" i="71"/>
  <c r="O320" i="71"/>
  <c r="P320" i="71"/>
  <c r="Q320" i="71"/>
  <c r="R320" i="71"/>
  <c r="S320" i="71"/>
  <c r="T320" i="71"/>
  <c r="U320" i="71"/>
  <c r="V320" i="71"/>
  <c r="W320" i="71"/>
  <c r="X320" i="71"/>
  <c r="Y320" i="71"/>
  <c r="Z320" i="71"/>
  <c r="AA320" i="71"/>
  <c r="AB320" i="71"/>
  <c r="AC320" i="71"/>
  <c r="AD320" i="71"/>
  <c r="AE320" i="71"/>
  <c r="AF320" i="71"/>
  <c r="AG320" i="71"/>
  <c r="AH320" i="71"/>
  <c r="AI320" i="71"/>
  <c r="AJ320" i="71"/>
  <c r="AK320" i="71"/>
  <c r="AL320" i="71"/>
  <c r="AM320" i="71"/>
  <c r="AN320" i="71"/>
  <c r="AO320" i="71"/>
  <c r="AP320" i="71"/>
  <c r="AQ320" i="71"/>
  <c r="AR320" i="71"/>
  <c r="AS320" i="71"/>
  <c r="AT320" i="71"/>
  <c r="AU320" i="71"/>
  <c r="AV320" i="71"/>
  <c r="AW320" i="71"/>
  <c r="AX320" i="71"/>
  <c r="AY320" i="71"/>
  <c r="AZ320" i="71"/>
  <c r="BA320" i="71"/>
  <c r="BB320" i="71"/>
  <c r="BC320" i="71"/>
  <c r="BD320" i="71"/>
  <c r="BE320" i="71"/>
  <c r="BF320" i="71"/>
  <c r="BG320" i="71"/>
  <c r="BH320" i="71"/>
  <c r="BI320" i="71"/>
  <c r="BJ320" i="71"/>
  <c r="BK320" i="71"/>
  <c r="BL320" i="71"/>
  <c r="BM320" i="71"/>
  <c r="BN320" i="71"/>
  <c r="BO320" i="71"/>
  <c r="BP320" i="71"/>
  <c r="BQ320" i="71"/>
  <c r="BR320" i="71"/>
  <c r="BS320" i="71"/>
  <c r="BT320" i="71"/>
  <c r="BU320" i="71"/>
  <c r="BV320" i="71"/>
  <c r="BW320" i="71"/>
  <c r="BX320" i="71"/>
  <c r="BY320" i="71"/>
  <c r="BZ320" i="71"/>
  <c r="CA320" i="71"/>
  <c r="CB320" i="71"/>
  <c r="CC320" i="71"/>
  <c r="CD320" i="71"/>
  <c r="CE320" i="71"/>
  <c r="CF320" i="71"/>
  <c r="CG320" i="71"/>
  <c r="CH320" i="71"/>
  <c r="CI320" i="71"/>
  <c r="CJ320" i="71"/>
  <c r="CK320" i="71"/>
  <c r="CL320" i="71"/>
  <c r="CM320" i="71"/>
  <c r="CN320" i="71"/>
  <c r="CO320" i="71"/>
  <c r="CP320" i="71"/>
  <c r="CQ320" i="71"/>
  <c r="CR320" i="71"/>
  <c r="CS320" i="71"/>
  <c r="CT320" i="71"/>
  <c r="CU320" i="71"/>
  <c r="CV320" i="71"/>
  <c r="CW320" i="71"/>
  <c r="CX320" i="71"/>
  <c r="CY320" i="71"/>
  <c r="CZ320" i="71"/>
  <c r="DA320" i="71"/>
  <c r="DB320" i="71"/>
  <c r="DC320" i="71"/>
  <c r="DD320" i="71"/>
  <c r="DE320" i="71"/>
  <c r="DF320" i="71"/>
  <c r="DG320" i="71"/>
  <c r="DH320" i="71"/>
  <c r="DI320" i="71"/>
  <c r="DJ320" i="71"/>
  <c r="DK320" i="71"/>
  <c r="DL320" i="71"/>
  <c r="DM320" i="71"/>
  <c r="DN320" i="71"/>
  <c r="DO320" i="71"/>
  <c r="DP320" i="71"/>
  <c r="DQ320" i="71"/>
  <c r="DR320" i="71"/>
  <c r="DS320" i="71"/>
  <c r="DT320" i="71"/>
  <c r="DU320" i="71"/>
  <c r="E321" i="71"/>
  <c r="F321" i="71"/>
  <c r="G321" i="71"/>
  <c r="H321" i="71"/>
  <c r="I321" i="71"/>
  <c r="J321" i="71"/>
  <c r="K321" i="71"/>
  <c r="L321" i="71"/>
  <c r="M321" i="71"/>
  <c r="N321" i="71"/>
  <c r="O321" i="71"/>
  <c r="P321" i="71"/>
  <c r="Q321" i="71"/>
  <c r="R321" i="71"/>
  <c r="S321" i="71"/>
  <c r="T321" i="71"/>
  <c r="U321" i="71"/>
  <c r="V321" i="71"/>
  <c r="W321" i="71"/>
  <c r="X321" i="71"/>
  <c r="Y321" i="71"/>
  <c r="Z321" i="71"/>
  <c r="AA321" i="71"/>
  <c r="AB321" i="71"/>
  <c r="AC321" i="71"/>
  <c r="AD321" i="71"/>
  <c r="AE321" i="71"/>
  <c r="AF321" i="71"/>
  <c r="AG321" i="71"/>
  <c r="AH321" i="71"/>
  <c r="AI321" i="71"/>
  <c r="AJ321" i="71"/>
  <c r="AK321" i="71"/>
  <c r="AL321" i="71"/>
  <c r="AM321" i="71"/>
  <c r="AN321" i="71"/>
  <c r="AO321" i="71"/>
  <c r="AP321" i="71"/>
  <c r="AQ321" i="71"/>
  <c r="AR321" i="71"/>
  <c r="AS321" i="71"/>
  <c r="AT321" i="71"/>
  <c r="AU321" i="71"/>
  <c r="AV321" i="71"/>
  <c r="AW321" i="71"/>
  <c r="AX321" i="71"/>
  <c r="AY321" i="71"/>
  <c r="AZ321" i="71"/>
  <c r="BA321" i="71"/>
  <c r="BB321" i="71"/>
  <c r="BC321" i="71"/>
  <c r="BD321" i="71"/>
  <c r="BE321" i="71"/>
  <c r="BF321" i="71"/>
  <c r="BG321" i="71"/>
  <c r="BH321" i="71"/>
  <c r="BI321" i="71"/>
  <c r="BJ321" i="71"/>
  <c r="BK321" i="71"/>
  <c r="BL321" i="71"/>
  <c r="BM321" i="71"/>
  <c r="BN321" i="71"/>
  <c r="BO321" i="71"/>
  <c r="BP321" i="71"/>
  <c r="BQ321" i="71"/>
  <c r="BR321" i="71"/>
  <c r="BS321" i="71"/>
  <c r="BT321" i="71"/>
  <c r="BU321" i="71"/>
  <c r="BV321" i="71"/>
  <c r="BW321" i="71"/>
  <c r="BX321" i="71"/>
  <c r="BY321" i="71"/>
  <c r="BZ321" i="71"/>
  <c r="CA321" i="71"/>
  <c r="CB321" i="71"/>
  <c r="CC321" i="71"/>
  <c r="CD321" i="71"/>
  <c r="CE321" i="71"/>
  <c r="CF321" i="71"/>
  <c r="CG321" i="71"/>
  <c r="CH321" i="71"/>
  <c r="CI321" i="71"/>
  <c r="CJ321" i="71"/>
  <c r="CK321" i="71"/>
  <c r="CL321" i="71"/>
  <c r="CM321" i="71"/>
  <c r="CN321" i="71"/>
  <c r="CO321" i="71"/>
  <c r="CP321" i="71"/>
  <c r="CQ321" i="71"/>
  <c r="CR321" i="71"/>
  <c r="CS321" i="71"/>
  <c r="CT321" i="71"/>
  <c r="CU321" i="71"/>
  <c r="CV321" i="71"/>
  <c r="CW321" i="71"/>
  <c r="CX321" i="71"/>
  <c r="CY321" i="71"/>
  <c r="CZ321" i="71"/>
  <c r="DA321" i="71"/>
  <c r="DB321" i="71"/>
  <c r="DC321" i="71"/>
  <c r="DD321" i="71"/>
  <c r="DE321" i="71"/>
  <c r="DF321" i="71"/>
  <c r="DG321" i="71"/>
  <c r="DH321" i="71"/>
  <c r="DI321" i="71"/>
  <c r="DJ321" i="71"/>
  <c r="DK321" i="71"/>
  <c r="DL321" i="71"/>
  <c r="DM321" i="71"/>
  <c r="DN321" i="71"/>
  <c r="DO321" i="71"/>
  <c r="DP321" i="71"/>
  <c r="DQ321" i="71"/>
  <c r="DR321" i="71"/>
  <c r="DS321" i="71"/>
  <c r="DT321" i="71"/>
  <c r="DU321" i="71"/>
  <c r="G322" i="71"/>
  <c r="H322" i="71"/>
  <c r="J322" i="71"/>
  <c r="K322" i="71"/>
  <c r="M322" i="71"/>
  <c r="N322" i="71"/>
  <c r="O322" i="71"/>
  <c r="P322" i="71"/>
  <c r="Q322" i="71"/>
  <c r="S322" i="71"/>
  <c r="T322" i="71"/>
  <c r="U322" i="71"/>
  <c r="V322" i="71"/>
  <c r="W322" i="71"/>
  <c r="Y322" i="71"/>
  <c r="Z322" i="71"/>
  <c r="AA322" i="71"/>
  <c r="AB322" i="71"/>
  <c r="AC322" i="71"/>
  <c r="AE322" i="71"/>
  <c r="AF322" i="71"/>
  <c r="AH322" i="71"/>
  <c r="AI322" i="71"/>
  <c r="AK322" i="71"/>
  <c r="AL322" i="71"/>
  <c r="AM322" i="71"/>
  <c r="AN322" i="71"/>
  <c r="AO322" i="71"/>
  <c r="AQ322" i="71"/>
  <c r="AR322" i="71"/>
  <c r="AT322" i="71"/>
  <c r="AU322" i="71"/>
  <c r="AW322" i="71"/>
  <c r="AX322" i="71"/>
  <c r="AZ322" i="71"/>
  <c r="BA322" i="71"/>
  <c r="BC322" i="71"/>
  <c r="BD322" i="71"/>
  <c r="BE322" i="71"/>
  <c r="BF322" i="71"/>
  <c r="BG322" i="71"/>
  <c r="BI322" i="71"/>
  <c r="BJ322" i="71"/>
  <c r="BK322" i="71"/>
  <c r="BL322" i="71"/>
  <c r="BM322" i="71"/>
  <c r="BO322" i="71"/>
  <c r="BP322" i="71"/>
  <c r="BQ322" i="71"/>
  <c r="BR322" i="71"/>
  <c r="BS322" i="71"/>
  <c r="BU322" i="71"/>
  <c r="BV322" i="71"/>
  <c r="BX322" i="71"/>
  <c r="BY322" i="71"/>
  <c r="CA322" i="71"/>
  <c r="CB322" i="71"/>
  <c r="CC322" i="71"/>
  <c r="CD322" i="71"/>
  <c r="CE322" i="71"/>
  <c r="CG322" i="71"/>
  <c r="CH322" i="71"/>
  <c r="CI322" i="71"/>
  <c r="CJ322" i="71"/>
  <c r="CK322" i="71"/>
  <c r="CM322" i="71"/>
  <c r="CN322" i="71"/>
  <c r="CO322" i="71"/>
  <c r="CP322" i="71"/>
  <c r="CQ322" i="71"/>
  <c r="CS322" i="71"/>
  <c r="CT322" i="71"/>
  <c r="CU322" i="71"/>
  <c r="CV322" i="71"/>
  <c r="CW322" i="71"/>
  <c r="CY322" i="71"/>
  <c r="CZ322" i="71"/>
  <c r="DB322" i="71"/>
  <c r="DC322" i="71"/>
  <c r="DE322" i="71"/>
  <c r="DF322" i="71"/>
  <c r="DG322" i="71"/>
  <c r="DH322" i="71"/>
  <c r="DI322" i="71"/>
  <c r="DK322" i="71"/>
  <c r="DL322" i="71"/>
  <c r="DN322" i="71"/>
  <c r="DO322" i="71"/>
  <c r="DP322" i="71"/>
  <c r="DQ322" i="71"/>
  <c r="DR322" i="71"/>
  <c r="DT322" i="71"/>
  <c r="DU322" i="71"/>
  <c r="G323" i="71"/>
  <c r="H323" i="71"/>
  <c r="J323" i="71"/>
  <c r="K323" i="71"/>
  <c r="M323" i="71"/>
  <c r="N323" i="71"/>
  <c r="O323" i="71"/>
  <c r="P323" i="71"/>
  <c r="Q323" i="71"/>
  <c r="S323" i="71"/>
  <c r="T323" i="71"/>
  <c r="U323" i="71"/>
  <c r="V323" i="71"/>
  <c r="W323" i="71"/>
  <c r="Y323" i="71"/>
  <c r="Z323" i="71"/>
  <c r="AA323" i="71"/>
  <c r="AB323" i="71"/>
  <c r="AC323" i="71"/>
  <c r="AE323" i="71"/>
  <c r="AF323" i="71"/>
  <c r="AH323" i="71"/>
  <c r="AI323" i="71"/>
  <c r="AK323" i="71"/>
  <c r="AL323" i="71"/>
  <c r="AM323" i="71"/>
  <c r="AN323" i="71"/>
  <c r="AO323" i="71"/>
  <c r="AQ323" i="71"/>
  <c r="AR323" i="71"/>
  <c r="AT323" i="71"/>
  <c r="AU323" i="71"/>
  <c r="AW323" i="71"/>
  <c r="AX323" i="71"/>
  <c r="AZ323" i="71"/>
  <c r="BA323" i="71"/>
  <c r="BC323" i="71"/>
  <c r="BD323" i="71"/>
  <c r="BE323" i="71"/>
  <c r="BF323" i="71"/>
  <c r="BG323" i="71"/>
  <c r="BI323" i="71"/>
  <c r="BJ323" i="71"/>
  <c r="BK323" i="71"/>
  <c r="BL323" i="71"/>
  <c r="BM323" i="71"/>
  <c r="BO323" i="71"/>
  <c r="BP323" i="71"/>
  <c r="BQ323" i="71"/>
  <c r="BR323" i="71"/>
  <c r="BS323" i="71"/>
  <c r="BU323" i="71"/>
  <c r="BV323" i="71"/>
  <c r="BX323" i="71"/>
  <c r="BY323" i="71"/>
  <c r="CA323" i="71"/>
  <c r="CB323" i="71"/>
  <c r="CC323" i="71"/>
  <c r="CD323" i="71"/>
  <c r="CE323" i="71"/>
  <c r="CG323" i="71"/>
  <c r="CH323" i="71"/>
  <c r="CI323" i="71"/>
  <c r="CJ323" i="71"/>
  <c r="CK323" i="71"/>
  <c r="CM323" i="71"/>
  <c r="CN323" i="71"/>
  <c r="CO323" i="71"/>
  <c r="CP323" i="71"/>
  <c r="CQ323" i="71"/>
  <c r="CS323" i="71"/>
  <c r="CT323" i="71"/>
  <c r="CU323" i="71"/>
  <c r="CV323" i="71"/>
  <c r="CW323" i="71"/>
  <c r="CY323" i="71"/>
  <c r="CZ323" i="71"/>
  <c r="DB323" i="71"/>
  <c r="DC323" i="71"/>
  <c r="DE323" i="71"/>
  <c r="DF323" i="71"/>
  <c r="DG323" i="71"/>
  <c r="DH323" i="71"/>
  <c r="DI323" i="71"/>
  <c r="DK323" i="71"/>
  <c r="DL323" i="71"/>
  <c r="DN323" i="71"/>
  <c r="DO323" i="71"/>
  <c r="DP323" i="71"/>
  <c r="DQ323" i="71"/>
  <c r="DR323" i="71"/>
  <c r="DT323" i="71"/>
  <c r="DU323" i="71"/>
  <c r="F325" i="71"/>
  <c r="G325" i="71"/>
  <c r="H325" i="71"/>
  <c r="I325" i="71"/>
  <c r="J325" i="71"/>
  <c r="K325" i="71"/>
  <c r="M325" i="71"/>
  <c r="N325" i="71"/>
  <c r="O325" i="71"/>
  <c r="P325" i="71"/>
  <c r="Q325" i="71"/>
  <c r="R325" i="71"/>
  <c r="S325" i="71"/>
  <c r="T325" i="71"/>
  <c r="U325" i="71"/>
  <c r="V325" i="71"/>
  <c r="W325" i="71"/>
  <c r="X325" i="71"/>
  <c r="Y325" i="71"/>
  <c r="Z325" i="71"/>
  <c r="AA325" i="71"/>
  <c r="AB325" i="71"/>
  <c r="AC325" i="71"/>
  <c r="AD325" i="71"/>
  <c r="AE325" i="71"/>
  <c r="AF325" i="71"/>
  <c r="AG325" i="71"/>
  <c r="AH325" i="71"/>
  <c r="AI325" i="71"/>
  <c r="AJ325" i="71"/>
  <c r="AK325" i="71"/>
  <c r="AL325" i="71"/>
  <c r="AM325" i="71"/>
  <c r="AN325" i="71"/>
  <c r="AO325" i="71"/>
  <c r="AQ325" i="71"/>
  <c r="AR325" i="71"/>
  <c r="AT325" i="71"/>
  <c r="AU325" i="71"/>
  <c r="AW325" i="71"/>
  <c r="AX325" i="71"/>
  <c r="AY325" i="71"/>
  <c r="AZ325" i="71"/>
  <c r="BA325" i="71"/>
  <c r="BB325" i="71"/>
  <c r="BC325" i="71"/>
  <c r="BD325" i="71"/>
  <c r="BE325" i="71"/>
  <c r="BF325" i="71"/>
  <c r="BG325" i="71"/>
  <c r="BH325" i="71"/>
  <c r="BI325" i="71"/>
  <c r="BJ325" i="71"/>
  <c r="BK325" i="71"/>
  <c r="BL325" i="71"/>
  <c r="BM325" i="71"/>
  <c r="BN325" i="71"/>
  <c r="BO325" i="71"/>
  <c r="BP325" i="71"/>
  <c r="BQ325" i="71"/>
  <c r="BR325" i="71"/>
  <c r="BS325" i="71"/>
  <c r="BT325" i="71"/>
  <c r="BU325" i="71"/>
  <c r="BV325" i="71"/>
  <c r="BW325" i="71"/>
  <c r="BX325" i="71"/>
  <c r="BY325" i="71"/>
  <c r="CA325" i="71"/>
  <c r="CB325" i="71"/>
  <c r="CC325" i="71"/>
  <c r="CD325" i="71"/>
  <c r="CE325" i="71"/>
  <c r="CG325" i="71"/>
  <c r="CH325" i="71"/>
  <c r="CI325" i="71"/>
  <c r="CJ325" i="71"/>
  <c r="CK325" i="71"/>
  <c r="CL325" i="71"/>
  <c r="CM325" i="71"/>
  <c r="CN325" i="71"/>
  <c r="CO325" i="71"/>
  <c r="CP325" i="71"/>
  <c r="CQ325" i="71"/>
  <c r="CR325" i="71"/>
  <c r="CS325" i="71"/>
  <c r="CT325" i="71"/>
  <c r="CU325" i="71"/>
  <c r="CV325" i="71"/>
  <c r="CW325" i="71"/>
  <c r="CX325" i="71"/>
  <c r="CY325" i="71"/>
  <c r="CZ325" i="71"/>
  <c r="DA325" i="71"/>
  <c r="DB325" i="71"/>
  <c r="DC325" i="71"/>
  <c r="DE325" i="71"/>
  <c r="DF325" i="71"/>
  <c r="DG325" i="71"/>
  <c r="DH325" i="71"/>
  <c r="DI325" i="71"/>
  <c r="DK325" i="71"/>
  <c r="DL325" i="71"/>
  <c r="DN325" i="71"/>
  <c r="DO325" i="71"/>
  <c r="DP325" i="71"/>
  <c r="DQ325" i="71"/>
  <c r="DR325" i="71"/>
  <c r="DS325" i="71"/>
  <c r="DT325" i="71"/>
  <c r="DU325" i="71"/>
  <c r="G326" i="71"/>
  <c r="H326" i="71"/>
  <c r="J326" i="71"/>
  <c r="K326" i="71"/>
  <c r="M326" i="71"/>
  <c r="N326" i="71"/>
  <c r="O326" i="71"/>
  <c r="P326" i="71"/>
  <c r="Q326" i="71"/>
  <c r="S326" i="71"/>
  <c r="T326" i="71"/>
  <c r="U326" i="71"/>
  <c r="V326" i="71"/>
  <c r="W326" i="71"/>
  <c r="Y326" i="71"/>
  <c r="Z326" i="71"/>
  <c r="AA326" i="71"/>
  <c r="AB326" i="71"/>
  <c r="AC326" i="71"/>
  <c r="AE326" i="71"/>
  <c r="AF326" i="71"/>
  <c r="AH326" i="71"/>
  <c r="AI326" i="71"/>
  <c r="AK326" i="71"/>
  <c r="AL326" i="71"/>
  <c r="AM326" i="71"/>
  <c r="AN326" i="71"/>
  <c r="AO326" i="71"/>
  <c r="AQ326" i="71"/>
  <c r="AR326" i="71"/>
  <c r="AT326" i="71"/>
  <c r="AU326" i="71"/>
  <c r="AW326" i="71"/>
  <c r="AX326" i="71"/>
  <c r="AZ326" i="71"/>
  <c r="BA326" i="71"/>
  <c r="BC326" i="71"/>
  <c r="BD326" i="71"/>
  <c r="BE326" i="71"/>
  <c r="BF326" i="71"/>
  <c r="BG326" i="71"/>
  <c r="BI326" i="71"/>
  <c r="BJ326" i="71"/>
  <c r="BK326" i="71"/>
  <c r="BL326" i="71"/>
  <c r="BM326" i="71"/>
  <c r="BO326" i="71"/>
  <c r="BP326" i="71"/>
  <c r="BQ326" i="71"/>
  <c r="BR326" i="71"/>
  <c r="BS326" i="71"/>
  <c r="BU326" i="71"/>
  <c r="BV326" i="71"/>
  <c r="BX326" i="71"/>
  <c r="BY326" i="71"/>
  <c r="CA326" i="71"/>
  <c r="CB326" i="71"/>
  <c r="CC326" i="71"/>
  <c r="CD326" i="71"/>
  <c r="CE326" i="71"/>
  <c r="CG326" i="71"/>
  <c r="CH326" i="71"/>
  <c r="CI326" i="71"/>
  <c r="CJ326" i="71"/>
  <c r="CK326" i="71"/>
  <c r="CM326" i="71"/>
  <c r="CN326" i="71"/>
  <c r="CO326" i="71"/>
  <c r="CP326" i="71"/>
  <c r="CQ326" i="71"/>
  <c r="CS326" i="71"/>
  <c r="CT326" i="71"/>
  <c r="CU326" i="71"/>
  <c r="CV326" i="71"/>
  <c r="CW326" i="71"/>
  <c r="CY326" i="71"/>
  <c r="CZ326" i="71"/>
  <c r="DB326" i="71"/>
  <c r="DC326" i="71"/>
  <c r="DE326" i="71"/>
  <c r="DF326" i="71"/>
  <c r="DG326" i="71"/>
  <c r="DH326" i="71"/>
  <c r="DI326" i="71"/>
  <c r="DK326" i="71"/>
  <c r="DL326" i="71"/>
  <c r="DM326" i="71"/>
  <c r="DN326" i="71"/>
  <c r="DO326" i="71"/>
  <c r="DP326" i="71"/>
  <c r="DQ326" i="71"/>
  <c r="DR326" i="71"/>
  <c r="DT326" i="71"/>
  <c r="DU326" i="71"/>
  <c r="E327" i="71"/>
  <c r="F327" i="71"/>
  <c r="G327" i="71"/>
  <c r="H327" i="71"/>
  <c r="I327" i="71"/>
  <c r="J327" i="71"/>
  <c r="K327" i="71"/>
  <c r="L327" i="71"/>
  <c r="M327" i="71"/>
  <c r="N327" i="71"/>
  <c r="O327" i="71"/>
  <c r="P327" i="71"/>
  <c r="Q327" i="71"/>
  <c r="R327" i="71"/>
  <c r="S327" i="71"/>
  <c r="T327" i="71"/>
  <c r="U327" i="71"/>
  <c r="V327" i="71"/>
  <c r="W327" i="71"/>
  <c r="X327" i="71"/>
  <c r="Y327" i="71"/>
  <c r="Z327" i="71"/>
  <c r="AA327" i="71"/>
  <c r="AB327" i="71"/>
  <c r="AC327" i="71"/>
  <c r="AD327" i="71"/>
  <c r="AE327" i="71"/>
  <c r="AF327" i="71"/>
  <c r="AG327" i="71"/>
  <c r="AH327" i="71"/>
  <c r="AI327" i="71"/>
  <c r="AJ327" i="71"/>
  <c r="AK327" i="71"/>
  <c r="AL327" i="71"/>
  <c r="AM327" i="71"/>
  <c r="AN327" i="71"/>
  <c r="AO327" i="71"/>
  <c r="AP327" i="71"/>
  <c r="AQ327" i="71"/>
  <c r="AR327" i="71"/>
  <c r="AT327" i="71"/>
  <c r="AU327" i="71"/>
  <c r="AV327" i="71"/>
  <c r="AW327" i="71"/>
  <c r="AX327" i="71"/>
  <c r="AY327" i="71"/>
  <c r="AZ327" i="71"/>
  <c r="BA327" i="71"/>
  <c r="BB327" i="71"/>
  <c r="BC327" i="71"/>
  <c r="BD327" i="71"/>
  <c r="BE327" i="71"/>
  <c r="BF327" i="71"/>
  <c r="BG327" i="71"/>
  <c r="BH327" i="71"/>
  <c r="BI327" i="71"/>
  <c r="BJ327" i="71"/>
  <c r="BK327" i="71"/>
  <c r="BL327" i="71"/>
  <c r="BM327" i="71"/>
  <c r="BN327" i="71"/>
  <c r="BO327" i="71"/>
  <c r="BP327" i="71"/>
  <c r="BQ327" i="71"/>
  <c r="BR327" i="71"/>
  <c r="BS327" i="71"/>
  <c r="BT327" i="71"/>
  <c r="BU327" i="71"/>
  <c r="BV327" i="71"/>
  <c r="BW327" i="71"/>
  <c r="BX327" i="71"/>
  <c r="BY327" i="71"/>
  <c r="CA327" i="71"/>
  <c r="CB327" i="71"/>
  <c r="CC327" i="71"/>
  <c r="CD327" i="71"/>
  <c r="CE327" i="71"/>
  <c r="CF327" i="71"/>
  <c r="CG327" i="71"/>
  <c r="CH327" i="71"/>
  <c r="CI327" i="71"/>
  <c r="CJ327" i="71"/>
  <c r="CK327" i="71"/>
  <c r="CL327" i="71"/>
  <c r="CM327" i="71"/>
  <c r="CN327" i="71"/>
  <c r="CO327" i="71"/>
  <c r="CP327" i="71"/>
  <c r="CQ327" i="71"/>
  <c r="CR327" i="71"/>
  <c r="CS327" i="71"/>
  <c r="CT327" i="71"/>
  <c r="CU327" i="71"/>
  <c r="CV327" i="71"/>
  <c r="CW327" i="71"/>
  <c r="CX327" i="71"/>
  <c r="CY327" i="71"/>
  <c r="CZ327" i="71"/>
  <c r="DA327" i="71"/>
  <c r="DB327" i="71"/>
  <c r="DC327" i="71"/>
  <c r="DD327" i="71"/>
  <c r="DE327" i="71"/>
  <c r="DF327" i="71"/>
  <c r="DG327" i="71"/>
  <c r="DH327" i="71"/>
  <c r="DI327" i="71"/>
  <c r="DJ327" i="71"/>
  <c r="DK327" i="71"/>
  <c r="DL327" i="71"/>
  <c r="DM327" i="71"/>
  <c r="DN327" i="71"/>
  <c r="DO327" i="71"/>
  <c r="DP327" i="71"/>
  <c r="DQ327" i="71"/>
  <c r="DR327" i="71"/>
  <c r="DS327" i="71"/>
  <c r="DT327" i="71"/>
  <c r="DU327" i="71"/>
  <c r="G328" i="71"/>
  <c r="H328" i="71"/>
  <c r="I328" i="71"/>
  <c r="J328" i="71"/>
  <c r="K328" i="71"/>
  <c r="M328" i="71"/>
  <c r="N328" i="71"/>
  <c r="P328" i="71"/>
  <c r="Q328" i="71"/>
  <c r="S328" i="71"/>
  <c r="T328" i="71"/>
  <c r="U328" i="71"/>
  <c r="V328" i="71"/>
  <c r="W328" i="71"/>
  <c r="Y328" i="71"/>
  <c r="Z328" i="71"/>
  <c r="AA328" i="71"/>
  <c r="AB328" i="71"/>
  <c r="AC328" i="71"/>
  <c r="AE328" i="71"/>
  <c r="AF328" i="71"/>
  <c r="AG328" i="71"/>
  <c r="AH328" i="71"/>
  <c r="AI328" i="71"/>
  <c r="AK328" i="71"/>
  <c r="AL328" i="71"/>
  <c r="AM328" i="71"/>
  <c r="AN328" i="71"/>
  <c r="AO328" i="71"/>
  <c r="AQ328" i="71"/>
  <c r="AR328" i="71"/>
  <c r="AT328" i="71"/>
  <c r="AU328" i="71"/>
  <c r="AW328" i="71"/>
  <c r="AX328" i="71"/>
  <c r="AY328" i="71"/>
  <c r="AZ328" i="71"/>
  <c r="BA328" i="71"/>
  <c r="BC328" i="71"/>
  <c r="BD328" i="71"/>
  <c r="BE328" i="71"/>
  <c r="BF328" i="71"/>
  <c r="BG328" i="71"/>
  <c r="BI328" i="71"/>
  <c r="BJ328" i="71"/>
  <c r="BL328" i="71"/>
  <c r="BM328" i="71"/>
  <c r="BO328" i="71"/>
  <c r="BP328" i="71"/>
  <c r="BQ328" i="71"/>
  <c r="BR328" i="71"/>
  <c r="BS328" i="71"/>
  <c r="BU328" i="71"/>
  <c r="BV328" i="71"/>
  <c r="BW328" i="71"/>
  <c r="BX328" i="71"/>
  <c r="BY328" i="71"/>
  <c r="CA328" i="71"/>
  <c r="CB328" i="71"/>
  <c r="CD328" i="71"/>
  <c r="CE328" i="71"/>
  <c r="CG328" i="71"/>
  <c r="CH328" i="71"/>
  <c r="CI328" i="71"/>
  <c r="CJ328" i="71"/>
  <c r="CK328" i="71"/>
  <c r="CM328" i="71"/>
  <c r="CN328" i="71"/>
  <c r="CO328" i="71"/>
  <c r="CP328" i="71"/>
  <c r="CQ328" i="71"/>
  <c r="CS328" i="71"/>
  <c r="CT328" i="71"/>
  <c r="CV328" i="71"/>
  <c r="CW328" i="71"/>
  <c r="CY328" i="71"/>
  <c r="CZ328" i="71"/>
  <c r="DA328" i="71"/>
  <c r="DB328" i="71"/>
  <c r="DC328" i="71"/>
  <c r="DE328" i="71"/>
  <c r="DF328" i="71"/>
  <c r="DH328" i="71"/>
  <c r="DI328" i="71"/>
  <c r="DK328" i="71"/>
  <c r="DL328" i="71"/>
  <c r="DM328" i="71"/>
  <c r="DN328" i="71"/>
  <c r="DO328" i="71"/>
  <c r="DQ328" i="71"/>
  <c r="DR328" i="71"/>
  <c r="DS328" i="71"/>
  <c r="DT328" i="71"/>
  <c r="DU328" i="71"/>
  <c r="E332" i="71"/>
  <c r="F332" i="71"/>
  <c r="G332" i="71"/>
  <c r="H332" i="71"/>
  <c r="I332" i="71"/>
  <c r="J332" i="71"/>
  <c r="K332" i="71"/>
  <c r="M332" i="71"/>
  <c r="N332" i="71"/>
  <c r="O332" i="71"/>
  <c r="P332" i="71"/>
  <c r="Q332" i="71"/>
  <c r="S332" i="71"/>
  <c r="T332" i="71"/>
  <c r="U332" i="71"/>
  <c r="V332" i="71"/>
  <c r="W332" i="71"/>
  <c r="Y332" i="71"/>
  <c r="Z332" i="71"/>
  <c r="AA332" i="71"/>
  <c r="AB332" i="71"/>
  <c r="AC332" i="71"/>
  <c r="AD332" i="71"/>
  <c r="AE332" i="71"/>
  <c r="AF332" i="71"/>
  <c r="AG332" i="71"/>
  <c r="AH332" i="71"/>
  <c r="AI332" i="71"/>
  <c r="AJ332" i="71"/>
  <c r="AK332" i="71"/>
  <c r="AL332" i="71"/>
  <c r="AM332" i="71"/>
  <c r="AN332" i="71"/>
  <c r="AO332" i="71"/>
  <c r="AP332" i="71"/>
  <c r="AQ332" i="71"/>
  <c r="AR332" i="71"/>
  <c r="AS332" i="71"/>
  <c r="AT332" i="71"/>
  <c r="AU332" i="71"/>
  <c r="AV332" i="71"/>
  <c r="AW332" i="71"/>
  <c r="AX332" i="71"/>
  <c r="AY332" i="71"/>
  <c r="AZ332" i="71"/>
  <c r="BA332" i="71"/>
  <c r="BB332" i="71"/>
  <c r="BC332" i="71"/>
  <c r="BD332" i="71"/>
  <c r="BE332" i="71"/>
  <c r="BF332" i="71"/>
  <c r="BG332" i="71"/>
  <c r="BI332" i="71"/>
  <c r="BJ332" i="71"/>
  <c r="BK332" i="71"/>
  <c r="BL332" i="71"/>
  <c r="BM332" i="71"/>
  <c r="BO332" i="71"/>
  <c r="BP332" i="71"/>
  <c r="BQ332" i="71"/>
  <c r="BR332" i="71"/>
  <c r="BS332" i="71"/>
  <c r="BT332" i="71"/>
  <c r="BU332" i="71"/>
  <c r="BV332" i="71"/>
  <c r="BW332" i="71"/>
  <c r="BX332" i="71"/>
  <c r="BY332" i="71"/>
  <c r="CA332" i="71"/>
  <c r="CB332" i="71"/>
  <c r="CC332" i="71"/>
  <c r="CD332" i="71"/>
  <c r="CE332" i="71"/>
  <c r="CF332" i="71"/>
  <c r="CG332" i="71"/>
  <c r="CH332" i="71"/>
  <c r="CI332" i="71"/>
  <c r="CJ332" i="71"/>
  <c r="CK332" i="71"/>
  <c r="CM332" i="71"/>
  <c r="CN332" i="71"/>
  <c r="CO332" i="71"/>
  <c r="CP332" i="71"/>
  <c r="CQ332" i="71"/>
  <c r="CS332" i="71"/>
  <c r="CT332" i="71"/>
  <c r="CU332" i="71"/>
  <c r="CV332" i="71"/>
  <c r="CW332" i="71"/>
  <c r="CX332" i="71"/>
  <c r="CY332" i="71"/>
  <c r="CZ332" i="71"/>
  <c r="DA332" i="71"/>
  <c r="DB332" i="71"/>
  <c r="DC332" i="71"/>
  <c r="DD332" i="71"/>
  <c r="DE332" i="71"/>
  <c r="DF332" i="71"/>
  <c r="DG332" i="71"/>
  <c r="DH332" i="71"/>
  <c r="DI332" i="71"/>
  <c r="DJ332" i="71"/>
  <c r="DK332" i="71"/>
  <c r="DL332" i="71"/>
  <c r="DM332" i="71"/>
  <c r="DN332" i="71"/>
  <c r="DO332" i="71"/>
  <c r="DP332" i="71"/>
  <c r="DQ332" i="71"/>
  <c r="DR332" i="71"/>
  <c r="DS332" i="71"/>
  <c r="DT332" i="71"/>
  <c r="DU332" i="71"/>
  <c r="G333" i="71"/>
  <c r="H333" i="71"/>
  <c r="I333" i="71"/>
  <c r="J333" i="71"/>
  <c r="K333" i="71"/>
  <c r="M333" i="71"/>
  <c r="N333" i="71"/>
  <c r="P333" i="71"/>
  <c r="Q333" i="71"/>
  <c r="S333" i="71"/>
  <c r="T333" i="71"/>
  <c r="U333" i="71"/>
  <c r="V333" i="71"/>
  <c r="W333" i="71"/>
  <c r="Y333" i="71"/>
  <c r="Z333" i="71"/>
  <c r="AA333" i="71"/>
  <c r="AB333" i="71"/>
  <c r="AC333" i="71"/>
  <c r="AE333" i="71"/>
  <c r="AF333" i="71"/>
  <c r="AG333" i="71"/>
  <c r="AH333" i="71"/>
  <c r="AI333" i="71"/>
  <c r="AK333" i="71"/>
  <c r="AL333" i="71"/>
  <c r="AM333" i="71"/>
  <c r="AN333" i="71"/>
  <c r="AO333" i="71"/>
  <c r="AQ333" i="71"/>
  <c r="AR333" i="71"/>
  <c r="AT333" i="71"/>
  <c r="AU333" i="71"/>
  <c r="AW333" i="71"/>
  <c r="AX333" i="71"/>
  <c r="AY333" i="71"/>
  <c r="AZ333" i="71"/>
  <c r="BA333" i="71"/>
  <c r="BC333" i="71"/>
  <c r="BD333" i="71"/>
  <c r="BE333" i="71"/>
  <c r="BF333" i="71"/>
  <c r="BG333" i="71"/>
  <c r="BI333" i="71"/>
  <c r="BJ333" i="71"/>
  <c r="BL333" i="71"/>
  <c r="BM333" i="71"/>
  <c r="BO333" i="71"/>
  <c r="BP333" i="71"/>
  <c r="BQ333" i="71"/>
  <c r="BR333" i="71"/>
  <c r="BS333" i="71"/>
  <c r="BU333" i="71"/>
  <c r="BV333" i="71"/>
  <c r="BW333" i="71"/>
  <c r="BX333" i="71"/>
  <c r="BY333" i="71"/>
  <c r="CA333" i="71"/>
  <c r="CB333" i="71"/>
  <c r="CD333" i="71"/>
  <c r="CE333" i="71"/>
  <c r="CG333" i="71"/>
  <c r="CH333" i="71"/>
  <c r="CI333" i="71"/>
  <c r="CJ333" i="71"/>
  <c r="CK333" i="71"/>
  <c r="CM333" i="71"/>
  <c r="CN333" i="71"/>
  <c r="CO333" i="71"/>
  <c r="CP333" i="71"/>
  <c r="CQ333" i="71"/>
  <c r="CS333" i="71"/>
  <c r="CT333" i="71"/>
  <c r="CV333" i="71"/>
  <c r="CW333" i="71"/>
  <c r="CY333" i="71"/>
  <c r="CZ333" i="71"/>
  <c r="DA333" i="71"/>
  <c r="DB333" i="71"/>
  <c r="DC333" i="71"/>
  <c r="DE333" i="71"/>
  <c r="DF333" i="71"/>
  <c r="DH333" i="71"/>
  <c r="DI333" i="71"/>
  <c r="DK333" i="71"/>
  <c r="DL333" i="71"/>
  <c r="DM333" i="71"/>
  <c r="DN333" i="71"/>
  <c r="DO333" i="71"/>
  <c r="DQ333" i="71"/>
  <c r="DR333" i="71"/>
  <c r="DS333" i="71"/>
  <c r="DT333" i="71"/>
  <c r="DU333" i="71"/>
  <c r="E334" i="71"/>
  <c r="F334" i="71"/>
  <c r="G334" i="71"/>
  <c r="H334" i="71"/>
  <c r="I334" i="71"/>
  <c r="J334" i="71"/>
  <c r="K334" i="71"/>
  <c r="L334" i="71"/>
  <c r="M334" i="71"/>
  <c r="N334" i="71"/>
  <c r="O334" i="71"/>
  <c r="P334" i="71"/>
  <c r="Q334" i="71"/>
  <c r="R334" i="71"/>
  <c r="S334" i="71"/>
  <c r="T334" i="71"/>
  <c r="U334" i="71"/>
  <c r="V334" i="71"/>
  <c r="W334" i="71"/>
  <c r="X334" i="71"/>
  <c r="Y334" i="71"/>
  <c r="Z334" i="71"/>
  <c r="AA334" i="71"/>
  <c r="AB334" i="71"/>
  <c r="AC334" i="71"/>
  <c r="AD334" i="71"/>
  <c r="AE334" i="71"/>
  <c r="AF334" i="71"/>
  <c r="AG334" i="71"/>
  <c r="AH334" i="71"/>
  <c r="AI334" i="71"/>
  <c r="AJ334" i="71"/>
  <c r="AK334" i="71"/>
  <c r="AL334" i="71"/>
  <c r="AM334" i="71"/>
  <c r="AN334" i="71"/>
  <c r="AO334" i="71"/>
  <c r="AP334" i="71"/>
  <c r="AQ334" i="71"/>
  <c r="AR334" i="71"/>
  <c r="AS334" i="71"/>
  <c r="AT334" i="71"/>
  <c r="AU334" i="71"/>
  <c r="AV334" i="71"/>
  <c r="AW334" i="71"/>
  <c r="AX334" i="71"/>
  <c r="AY334" i="71"/>
  <c r="AZ334" i="71"/>
  <c r="BA334" i="71"/>
  <c r="BB334" i="71"/>
  <c r="BC334" i="71"/>
  <c r="BD334" i="71"/>
  <c r="BE334" i="71"/>
  <c r="BF334" i="71"/>
  <c r="BG334" i="71"/>
  <c r="BH334" i="71"/>
  <c r="BI334" i="71"/>
  <c r="BJ334" i="71"/>
  <c r="BK334" i="71"/>
  <c r="BL334" i="71"/>
  <c r="BM334" i="71"/>
  <c r="BN334" i="71"/>
  <c r="BO334" i="71"/>
  <c r="BP334" i="71"/>
  <c r="BQ334" i="71"/>
  <c r="BR334" i="71"/>
  <c r="BS334" i="71"/>
  <c r="BT334" i="71"/>
  <c r="BU334" i="71"/>
  <c r="BV334" i="71"/>
  <c r="BW334" i="71"/>
  <c r="BX334" i="71"/>
  <c r="BY334" i="71"/>
  <c r="BZ334" i="71"/>
  <c r="CA334" i="71"/>
  <c r="CB334" i="71"/>
  <c r="CC334" i="71"/>
  <c r="CD334" i="71"/>
  <c r="CE334" i="71"/>
  <c r="CF334" i="71"/>
  <c r="CG334" i="71"/>
  <c r="CH334" i="71"/>
  <c r="CI334" i="71"/>
  <c r="CJ334" i="71"/>
  <c r="CK334" i="71"/>
  <c r="CL334" i="71"/>
  <c r="CM334" i="71"/>
  <c r="CN334" i="71"/>
  <c r="CO334" i="71"/>
  <c r="CP334" i="71"/>
  <c r="CQ334" i="71"/>
  <c r="CS334" i="71"/>
  <c r="CT334" i="71"/>
  <c r="CU334" i="71"/>
  <c r="CV334" i="71"/>
  <c r="CW334" i="71"/>
  <c r="CX334" i="71"/>
  <c r="CY334" i="71"/>
  <c r="CZ334" i="71"/>
  <c r="DA334" i="71"/>
  <c r="DB334" i="71"/>
  <c r="DC334" i="71"/>
  <c r="DD334" i="71"/>
  <c r="DE334" i="71"/>
  <c r="DF334" i="71"/>
  <c r="DG334" i="71"/>
  <c r="DH334" i="71"/>
  <c r="DI334" i="71"/>
  <c r="DJ334" i="71"/>
  <c r="DK334" i="71"/>
  <c r="DL334" i="71"/>
  <c r="DM334" i="71"/>
  <c r="DN334" i="71"/>
  <c r="DO334" i="71"/>
  <c r="DP334" i="71"/>
  <c r="DQ334" i="71"/>
  <c r="DR334" i="71"/>
  <c r="DS334" i="71"/>
  <c r="DT334" i="71"/>
  <c r="DU334" i="71"/>
  <c r="F337" i="71"/>
  <c r="G337" i="71"/>
  <c r="H337" i="71"/>
  <c r="J337" i="71"/>
  <c r="K337" i="71"/>
  <c r="N337" i="71"/>
  <c r="P337" i="71"/>
  <c r="Q337" i="71"/>
  <c r="T337" i="71"/>
  <c r="U337" i="71"/>
  <c r="V337" i="71"/>
  <c r="W337" i="71"/>
  <c r="Y337" i="71"/>
  <c r="Z337" i="71"/>
  <c r="AB337" i="71"/>
  <c r="AE337" i="71"/>
  <c r="AF337" i="71"/>
  <c r="AH337" i="71"/>
  <c r="AJ337" i="71"/>
  <c r="AK337" i="71"/>
  <c r="AL337" i="71"/>
  <c r="AO337" i="71"/>
  <c r="AQ337" i="71"/>
  <c r="AR337" i="71"/>
  <c r="AT337" i="71"/>
  <c r="AU337" i="71"/>
  <c r="AW337" i="71"/>
  <c r="AZ337" i="71"/>
  <c r="BA337" i="71"/>
  <c r="BB337" i="71"/>
  <c r="BD337" i="71"/>
  <c r="BE337" i="71"/>
  <c r="BG337" i="71"/>
  <c r="BH337" i="71"/>
  <c r="BJ337" i="71"/>
  <c r="BK337" i="71"/>
  <c r="BM337" i="71"/>
  <c r="BN337" i="71"/>
  <c r="BP337" i="71"/>
  <c r="BQ337" i="71"/>
  <c r="BS337" i="71"/>
  <c r="BU337" i="71"/>
  <c r="BV337" i="71"/>
  <c r="BX337" i="71"/>
  <c r="BY337" i="71"/>
  <c r="BZ337" i="71"/>
  <c r="CB337" i="71"/>
  <c r="CC337" i="71"/>
  <c r="CD337" i="71"/>
  <c r="CE337" i="71"/>
  <c r="CG337" i="71"/>
  <c r="CI337" i="71"/>
  <c r="CK337" i="71"/>
  <c r="CL337" i="71"/>
  <c r="CN337" i="71"/>
  <c r="CO337" i="71"/>
  <c r="CQ337" i="71"/>
  <c r="CR337" i="71"/>
  <c r="CT337" i="71"/>
  <c r="CV337" i="71"/>
  <c r="CY337" i="71"/>
  <c r="DA337" i="71"/>
  <c r="DB337" i="71"/>
  <c r="DE337" i="71"/>
  <c r="DH337" i="71"/>
  <c r="DI337" i="71"/>
  <c r="DK337" i="71"/>
  <c r="DL337" i="71"/>
  <c r="DO337" i="71"/>
  <c r="DP337" i="71"/>
  <c r="DQ337" i="71"/>
  <c r="DR337" i="71"/>
  <c r="DT337" i="71"/>
  <c r="F212" i="71"/>
  <c r="F338" i="71"/>
  <c r="G212" i="71"/>
  <c r="G338" i="71"/>
  <c r="H212" i="71"/>
  <c r="H338" i="71"/>
  <c r="I212" i="71"/>
  <c r="I338" i="71"/>
  <c r="J212" i="71"/>
  <c r="J338" i="71"/>
  <c r="K212" i="71"/>
  <c r="K338" i="71"/>
  <c r="L212" i="71"/>
  <c r="L338" i="71"/>
  <c r="M212" i="71"/>
  <c r="M338" i="71"/>
  <c r="N212" i="71"/>
  <c r="N338" i="71"/>
  <c r="O212" i="71"/>
  <c r="O338" i="71"/>
  <c r="P212" i="71"/>
  <c r="P338" i="71"/>
  <c r="Q212" i="71"/>
  <c r="Q338" i="71"/>
  <c r="R212" i="71"/>
  <c r="R338" i="71"/>
  <c r="S212" i="71"/>
  <c r="S338" i="71"/>
  <c r="T212" i="71"/>
  <c r="T338" i="71"/>
  <c r="U212" i="71"/>
  <c r="U338" i="71"/>
  <c r="V212" i="71"/>
  <c r="V338" i="71"/>
  <c r="W212" i="71"/>
  <c r="W338" i="71"/>
  <c r="X212" i="71"/>
  <c r="X338" i="71"/>
  <c r="Y212" i="71"/>
  <c r="Y338" i="71"/>
  <c r="Z212" i="71"/>
  <c r="Z338" i="71"/>
  <c r="AA212" i="71"/>
  <c r="AA338" i="71"/>
  <c r="AB212" i="71"/>
  <c r="AB338" i="71"/>
  <c r="AC212" i="71"/>
  <c r="AC338" i="71"/>
  <c r="AD212" i="71"/>
  <c r="AD338" i="71"/>
  <c r="AE212" i="71"/>
  <c r="AE338" i="71"/>
  <c r="AF212" i="71"/>
  <c r="AF338" i="71"/>
  <c r="AG212" i="71"/>
  <c r="AG338" i="71"/>
  <c r="AH212" i="71"/>
  <c r="AH338" i="71"/>
  <c r="AI212" i="71"/>
  <c r="AI338" i="71"/>
  <c r="AJ212" i="71"/>
  <c r="AJ338" i="71"/>
  <c r="AK212" i="71"/>
  <c r="AK338" i="71"/>
  <c r="AL212" i="71"/>
  <c r="AL338" i="71"/>
  <c r="AM212" i="71"/>
  <c r="AM338" i="71"/>
  <c r="AN212" i="71"/>
  <c r="AN338" i="71"/>
  <c r="AO212" i="71"/>
  <c r="AO338" i="71"/>
  <c r="AP212" i="71"/>
  <c r="AP338" i="71"/>
  <c r="AQ212" i="71"/>
  <c r="AQ338" i="71"/>
  <c r="AR212" i="71"/>
  <c r="AR338" i="71"/>
  <c r="AS212" i="71"/>
  <c r="AS338" i="71"/>
  <c r="AT212" i="71"/>
  <c r="AT338" i="71"/>
  <c r="AU212" i="71"/>
  <c r="AU338" i="71"/>
  <c r="AV212" i="71"/>
  <c r="AV338" i="71"/>
  <c r="AW212" i="71"/>
  <c r="AW338" i="71"/>
  <c r="AX212" i="71"/>
  <c r="AX338" i="71"/>
  <c r="AY212" i="71"/>
  <c r="AY338" i="71"/>
  <c r="AZ212" i="71"/>
  <c r="AZ338" i="71"/>
  <c r="BA212" i="71"/>
  <c r="BA338" i="71"/>
  <c r="BB212" i="71"/>
  <c r="BB338" i="71"/>
  <c r="BC212" i="71"/>
  <c r="BC338" i="71"/>
  <c r="BD212" i="71"/>
  <c r="BD338" i="71"/>
  <c r="BE212" i="71"/>
  <c r="BE338" i="71"/>
  <c r="BF212" i="71"/>
  <c r="BF338" i="71"/>
  <c r="BG212" i="71"/>
  <c r="BG338" i="71"/>
  <c r="BH212" i="71"/>
  <c r="BH338" i="71"/>
  <c r="BI212" i="71"/>
  <c r="BI338" i="71"/>
  <c r="BJ212" i="71"/>
  <c r="BJ338" i="71"/>
  <c r="BK212" i="71"/>
  <c r="BK338" i="71"/>
  <c r="BL212" i="71"/>
  <c r="BL338" i="71"/>
  <c r="BM212" i="71"/>
  <c r="BM338" i="71"/>
  <c r="BN212" i="71"/>
  <c r="BN338" i="71"/>
  <c r="BO212" i="71"/>
  <c r="BO338" i="71"/>
  <c r="BP212" i="71"/>
  <c r="BP338" i="71"/>
  <c r="BQ212" i="71"/>
  <c r="BQ338" i="71"/>
  <c r="BR212" i="71"/>
  <c r="BR338" i="71"/>
  <c r="BS212" i="71"/>
  <c r="BS338" i="71"/>
  <c r="BT212" i="71"/>
  <c r="BT338" i="71"/>
  <c r="BU212" i="71"/>
  <c r="BU338" i="71"/>
  <c r="BV212" i="71"/>
  <c r="BV338" i="71"/>
  <c r="BW212" i="71"/>
  <c r="BW338" i="71"/>
  <c r="BX212" i="71"/>
  <c r="BX338" i="71"/>
  <c r="BY212" i="71"/>
  <c r="BY338" i="71"/>
  <c r="BZ212" i="71"/>
  <c r="BZ338" i="71"/>
  <c r="CA212" i="71"/>
  <c r="CA338" i="71"/>
  <c r="CB212" i="71"/>
  <c r="CB338" i="71"/>
  <c r="CC212" i="71"/>
  <c r="CC338" i="71"/>
  <c r="CD212" i="71"/>
  <c r="CD338" i="71"/>
  <c r="CE212" i="71"/>
  <c r="CE338" i="71"/>
  <c r="CF212" i="71"/>
  <c r="CF338" i="71"/>
  <c r="CG212" i="71"/>
  <c r="CG338" i="71"/>
  <c r="CH212" i="71"/>
  <c r="CH338" i="71"/>
  <c r="CI212" i="71"/>
  <c r="CI338" i="71"/>
  <c r="CJ212" i="71"/>
  <c r="CJ338" i="71"/>
  <c r="CK212" i="71"/>
  <c r="CK338" i="71"/>
  <c r="CL212" i="71"/>
  <c r="CL338" i="71"/>
  <c r="CM212" i="71"/>
  <c r="CM338" i="71"/>
  <c r="CN212" i="71"/>
  <c r="CN338" i="71"/>
  <c r="CO212" i="71"/>
  <c r="CO338" i="71"/>
  <c r="CP212" i="71"/>
  <c r="CP338" i="71"/>
  <c r="CQ212" i="71"/>
  <c r="CQ338" i="71"/>
  <c r="CR212" i="71"/>
  <c r="CR338" i="71"/>
  <c r="CS212" i="71"/>
  <c r="CS338" i="71"/>
  <c r="CT212" i="71"/>
  <c r="CT338" i="71"/>
  <c r="CU212" i="71"/>
  <c r="CU338" i="71"/>
  <c r="CV212" i="71"/>
  <c r="CV338" i="71"/>
  <c r="CW212" i="71"/>
  <c r="CW338" i="71"/>
  <c r="CX212" i="71"/>
  <c r="CX338" i="71"/>
  <c r="CY212" i="71"/>
  <c r="CY338" i="71"/>
  <c r="CZ212" i="71"/>
  <c r="CZ338" i="71"/>
  <c r="DA212" i="71"/>
  <c r="DA338" i="71"/>
  <c r="DB212" i="71"/>
  <c r="DB338" i="71"/>
  <c r="DC212" i="71"/>
  <c r="DC338" i="71"/>
  <c r="DD212" i="71"/>
  <c r="DD338" i="71"/>
  <c r="DE212" i="71"/>
  <c r="DE338" i="71"/>
  <c r="DF212" i="71"/>
  <c r="DF338" i="71"/>
  <c r="DG212" i="71"/>
  <c r="DG338" i="71"/>
  <c r="DH212" i="71"/>
  <c r="DH338" i="71"/>
  <c r="DI212" i="71"/>
  <c r="DI338" i="71"/>
  <c r="DJ212" i="71"/>
  <c r="DJ338" i="71"/>
  <c r="DK212" i="71"/>
  <c r="DK338" i="71"/>
  <c r="DL212" i="71"/>
  <c r="DL338" i="71"/>
  <c r="DM212" i="71"/>
  <c r="DM338" i="71"/>
  <c r="DN212" i="71"/>
  <c r="DN338" i="71"/>
  <c r="DO212" i="71"/>
  <c r="DO338" i="71"/>
  <c r="DP212" i="71"/>
  <c r="DP338" i="71"/>
  <c r="DQ212" i="71"/>
  <c r="DQ338" i="71"/>
  <c r="DR212" i="71"/>
  <c r="DR338" i="71"/>
  <c r="DS212" i="71"/>
  <c r="DS338" i="71"/>
  <c r="DT212" i="71"/>
  <c r="DT338" i="71"/>
  <c r="DU212" i="71"/>
  <c r="DU338" i="71"/>
  <c r="E250" i="71"/>
  <c r="E339" i="71"/>
  <c r="F250" i="71"/>
  <c r="F339" i="71"/>
  <c r="G250" i="71"/>
  <c r="G339" i="71"/>
  <c r="H250" i="71"/>
  <c r="H339" i="71"/>
  <c r="I250" i="71"/>
  <c r="I339" i="71"/>
  <c r="J250" i="71"/>
  <c r="J339" i="71"/>
  <c r="K250" i="71"/>
  <c r="K339" i="71"/>
  <c r="L250" i="71"/>
  <c r="L339" i="71"/>
  <c r="M250" i="71"/>
  <c r="M339" i="71"/>
  <c r="N250" i="71"/>
  <c r="N339" i="71"/>
  <c r="O250" i="71"/>
  <c r="O339" i="71"/>
  <c r="P250" i="71"/>
  <c r="P339" i="71"/>
  <c r="Q250" i="71"/>
  <c r="Q339" i="71"/>
  <c r="R250" i="71"/>
  <c r="R339" i="71"/>
  <c r="S250" i="71"/>
  <c r="S339" i="71"/>
  <c r="T250" i="71"/>
  <c r="T339" i="71"/>
  <c r="U250" i="71"/>
  <c r="U339" i="71"/>
  <c r="V339" i="71"/>
  <c r="W250" i="71"/>
  <c r="W339" i="71"/>
  <c r="X250" i="71"/>
  <c r="X339" i="71"/>
  <c r="Y250" i="71"/>
  <c r="Y339" i="71"/>
  <c r="Z250" i="71"/>
  <c r="Z339" i="71"/>
  <c r="AA250" i="71"/>
  <c r="AA339" i="71"/>
  <c r="AB250" i="71"/>
  <c r="AB339" i="71"/>
  <c r="AC250" i="71"/>
  <c r="AC339" i="71"/>
  <c r="AD250" i="71"/>
  <c r="AD339" i="71"/>
  <c r="AE250" i="71"/>
  <c r="AE339" i="71"/>
  <c r="AF250" i="71"/>
  <c r="AF339" i="71"/>
  <c r="AG250" i="71"/>
  <c r="AG339" i="71"/>
  <c r="AH250" i="71"/>
  <c r="AH339" i="71"/>
  <c r="AI250" i="71"/>
  <c r="AI339" i="71"/>
  <c r="AJ250" i="71"/>
  <c r="AJ339" i="71"/>
  <c r="AK250" i="71"/>
  <c r="AK339" i="71"/>
  <c r="AL250" i="71"/>
  <c r="AL339" i="71"/>
  <c r="AM250" i="71"/>
  <c r="AM339" i="71"/>
  <c r="AN250" i="71"/>
  <c r="AN339" i="71"/>
  <c r="AO250" i="71"/>
  <c r="AO339" i="71"/>
  <c r="AP250" i="71"/>
  <c r="AP339" i="71"/>
  <c r="AQ250" i="71"/>
  <c r="AQ339" i="71"/>
  <c r="AR250" i="71"/>
  <c r="AR339" i="71"/>
  <c r="AS250" i="71"/>
  <c r="AS339" i="71"/>
  <c r="AT339" i="71"/>
  <c r="AU250" i="71"/>
  <c r="AU339" i="71"/>
  <c r="AV250" i="71"/>
  <c r="AV339" i="71"/>
  <c r="AW250" i="71"/>
  <c r="AW339" i="71"/>
  <c r="AX250" i="71"/>
  <c r="AX339" i="71"/>
  <c r="AY250" i="71"/>
  <c r="AY339" i="71"/>
  <c r="AZ250" i="71"/>
  <c r="AZ339" i="71"/>
  <c r="BA250" i="71"/>
  <c r="BA339" i="71"/>
  <c r="BB250" i="71"/>
  <c r="BB339" i="71"/>
  <c r="BC250" i="71"/>
  <c r="BC339" i="71"/>
  <c r="BD250" i="71"/>
  <c r="BD339" i="71"/>
  <c r="BE250" i="71"/>
  <c r="BE339" i="71"/>
  <c r="BF250" i="71"/>
  <c r="BF339" i="71"/>
  <c r="BG250" i="71"/>
  <c r="BG339" i="71"/>
  <c r="BH250" i="71"/>
  <c r="BH339" i="71"/>
  <c r="BI250" i="71"/>
  <c r="BI339" i="71"/>
  <c r="BJ250" i="71"/>
  <c r="BJ339" i="71"/>
  <c r="BK250" i="71"/>
  <c r="BK339" i="71"/>
  <c r="BL250" i="71"/>
  <c r="BL339" i="71"/>
  <c r="BM250" i="71"/>
  <c r="BM339" i="71"/>
  <c r="BN250" i="71"/>
  <c r="BN339" i="71"/>
  <c r="BO250" i="71"/>
  <c r="BO339" i="71"/>
  <c r="BP250" i="71"/>
  <c r="BP339" i="71"/>
  <c r="BQ250" i="71"/>
  <c r="BQ339" i="71"/>
  <c r="BR250" i="71"/>
  <c r="BR339" i="71"/>
  <c r="BS250" i="71"/>
  <c r="BS339" i="71"/>
  <c r="BT250" i="71"/>
  <c r="BT339" i="71"/>
  <c r="BU250" i="71"/>
  <c r="BU339" i="71"/>
  <c r="BV250" i="71"/>
  <c r="BV339" i="71"/>
  <c r="BW250" i="71"/>
  <c r="BW339" i="71"/>
  <c r="BX250" i="71"/>
  <c r="BX339" i="71"/>
  <c r="BY250" i="71"/>
  <c r="BY339" i="71"/>
  <c r="BZ250" i="71"/>
  <c r="BZ339" i="71"/>
  <c r="CA250" i="71"/>
  <c r="CA339" i="71"/>
  <c r="CB250" i="71"/>
  <c r="CB339" i="71"/>
  <c r="CC250" i="71"/>
  <c r="CC339" i="71"/>
  <c r="CD339" i="71"/>
  <c r="CE250" i="71"/>
  <c r="CE339" i="71"/>
  <c r="CF250" i="71"/>
  <c r="CF339" i="71"/>
  <c r="CG250" i="71"/>
  <c r="CG339" i="71"/>
  <c r="CH250" i="71"/>
  <c r="CH339" i="71"/>
  <c r="CI250" i="71"/>
  <c r="CI339" i="71"/>
  <c r="CJ250" i="71"/>
  <c r="CJ339" i="71"/>
  <c r="CK250" i="71"/>
  <c r="CK339" i="71"/>
  <c r="CL250" i="71"/>
  <c r="CL339" i="71"/>
  <c r="CM250" i="71"/>
  <c r="CM339" i="71"/>
  <c r="CN250" i="71"/>
  <c r="CN339" i="71"/>
  <c r="CO250" i="71"/>
  <c r="CO339" i="71"/>
  <c r="CP339" i="71"/>
  <c r="CQ250" i="71"/>
  <c r="CQ339" i="71"/>
  <c r="CR250" i="71"/>
  <c r="CR339" i="71"/>
  <c r="CS250" i="71"/>
  <c r="CS339" i="71"/>
  <c r="CT250" i="71"/>
  <c r="CT339" i="71"/>
  <c r="CU250" i="71"/>
  <c r="CU339" i="71"/>
  <c r="CV250" i="71"/>
  <c r="CV339" i="71"/>
  <c r="CW250" i="71"/>
  <c r="CW339" i="71"/>
  <c r="CX250" i="71"/>
  <c r="CX339" i="71"/>
  <c r="CY250" i="71"/>
  <c r="CY339" i="71"/>
  <c r="CZ250" i="71"/>
  <c r="CZ339" i="71"/>
  <c r="DA250" i="71"/>
  <c r="DA339" i="71"/>
  <c r="DB250" i="71"/>
  <c r="DB339" i="71"/>
  <c r="DC250" i="71"/>
  <c r="DC339" i="71"/>
  <c r="DD250" i="71"/>
  <c r="DD339" i="71"/>
  <c r="DE250" i="71"/>
  <c r="DE339" i="71"/>
  <c r="DF250" i="71"/>
  <c r="DF339" i="71"/>
  <c r="DG250" i="71"/>
  <c r="DG339" i="71"/>
  <c r="DH250" i="71"/>
  <c r="DH339" i="71"/>
  <c r="DI250" i="71"/>
  <c r="DI339" i="71"/>
  <c r="DJ250" i="71"/>
  <c r="DJ339" i="71"/>
  <c r="DK250" i="71"/>
  <c r="DK339" i="71"/>
  <c r="DL250" i="71"/>
  <c r="DL339" i="71"/>
  <c r="DM250" i="71"/>
  <c r="DM339" i="71"/>
  <c r="DN250" i="71"/>
  <c r="DN339" i="71"/>
  <c r="DO250" i="71"/>
  <c r="DO339" i="71"/>
  <c r="DP250" i="71"/>
  <c r="DP339" i="71"/>
  <c r="DQ250" i="71"/>
  <c r="DQ339" i="71"/>
  <c r="DR250" i="71"/>
  <c r="DR339" i="71"/>
  <c r="DS250" i="71"/>
  <c r="DS339" i="71"/>
  <c r="DT250" i="71"/>
  <c r="DT339" i="71"/>
  <c r="DU250" i="71"/>
  <c r="DU339" i="71"/>
  <c r="E337" i="71"/>
  <c r="E340" i="71"/>
  <c r="F340" i="71"/>
  <c r="G340" i="71"/>
  <c r="H340" i="71"/>
  <c r="I337" i="71"/>
  <c r="I340" i="71"/>
  <c r="J340" i="71"/>
  <c r="K340" i="71"/>
  <c r="L340" i="71"/>
  <c r="M340" i="71"/>
  <c r="N340" i="71"/>
  <c r="O337" i="71"/>
  <c r="O340" i="71"/>
  <c r="P340" i="71"/>
  <c r="Q340" i="71"/>
  <c r="R337" i="71"/>
  <c r="R340" i="71"/>
  <c r="S337" i="71"/>
  <c r="S340" i="71"/>
  <c r="T340" i="71"/>
  <c r="U340" i="71"/>
  <c r="V340" i="71"/>
  <c r="W340" i="71"/>
  <c r="X337" i="71"/>
  <c r="X340" i="71"/>
  <c r="Y340" i="71"/>
  <c r="Z340" i="71"/>
  <c r="AA337" i="71"/>
  <c r="AA340" i="71"/>
  <c r="AB340" i="71"/>
  <c r="AC337" i="71"/>
  <c r="AC340" i="71"/>
  <c r="AD337" i="71"/>
  <c r="AD340" i="71"/>
  <c r="AE340" i="71"/>
  <c r="AF340" i="71"/>
  <c r="AG337" i="71"/>
  <c r="AG340" i="71"/>
  <c r="AH340" i="71"/>
  <c r="AI337" i="71"/>
  <c r="AI340" i="71"/>
  <c r="AJ340" i="71"/>
  <c r="AK340" i="71"/>
  <c r="AL340" i="71"/>
  <c r="AM337" i="71"/>
  <c r="AM340" i="71"/>
  <c r="AN337" i="71"/>
  <c r="AN340" i="71"/>
  <c r="AO340" i="71"/>
  <c r="AP337" i="71"/>
  <c r="AP340" i="71"/>
  <c r="AQ340" i="71"/>
  <c r="AR340" i="71"/>
  <c r="AS340" i="71"/>
  <c r="AT340" i="71"/>
  <c r="AU340" i="71"/>
  <c r="AV337" i="71"/>
  <c r="AV340" i="71"/>
  <c r="AW340" i="71"/>
  <c r="AX337" i="71"/>
  <c r="AX340" i="71"/>
  <c r="AY337" i="71"/>
  <c r="AY340" i="71"/>
  <c r="AZ340" i="71"/>
  <c r="BA340" i="71"/>
  <c r="BB340" i="71"/>
  <c r="BC337" i="71"/>
  <c r="BC340" i="71"/>
  <c r="BD340" i="71"/>
  <c r="BE340" i="71"/>
  <c r="BF337" i="71"/>
  <c r="BF340" i="71"/>
  <c r="BG340" i="71"/>
  <c r="BH340" i="71"/>
  <c r="BI337" i="71"/>
  <c r="BI340" i="71"/>
  <c r="BJ340" i="71"/>
  <c r="BK340" i="71"/>
  <c r="BL337" i="71"/>
  <c r="BL340" i="71"/>
  <c r="BM340" i="71"/>
  <c r="BN340" i="71"/>
  <c r="BO337" i="71"/>
  <c r="BO340" i="71"/>
  <c r="BP340" i="71"/>
  <c r="BQ340" i="71"/>
  <c r="BR337" i="71"/>
  <c r="BR340" i="71"/>
  <c r="BS340" i="71"/>
  <c r="BT340" i="71"/>
  <c r="BU340" i="71"/>
  <c r="BV340" i="71"/>
  <c r="BW337" i="71"/>
  <c r="BW340" i="71"/>
  <c r="BX340" i="71"/>
  <c r="BY340" i="71"/>
  <c r="BZ340" i="71"/>
  <c r="CA337" i="71"/>
  <c r="CA340" i="71"/>
  <c r="CB340" i="71"/>
  <c r="CC340" i="71"/>
  <c r="CD340" i="71"/>
  <c r="CE340" i="71"/>
  <c r="CF337" i="71"/>
  <c r="CF340" i="71"/>
  <c r="CG340" i="71"/>
  <c r="CH337" i="71"/>
  <c r="CH340" i="71"/>
  <c r="CI340" i="71"/>
  <c r="CJ337" i="71"/>
  <c r="CJ340" i="71"/>
  <c r="CK340" i="71"/>
  <c r="CL340" i="71"/>
  <c r="CM337" i="71"/>
  <c r="CM340" i="71"/>
  <c r="CN340" i="71"/>
  <c r="CO340" i="71"/>
  <c r="CP337" i="71"/>
  <c r="CP340" i="71"/>
  <c r="CQ340" i="71"/>
  <c r="CR340" i="71"/>
  <c r="CS337" i="71"/>
  <c r="CS340" i="71"/>
  <c r="CT340" i="71"/>
  <c r="CU337" i="71"/>
  <c r="CU340" i="71"/>
  <c r="CV340" i="71"/>
  <c r="CW337" i="71"/>
  <c r="CW340" i="71"/>
  <c r="CX337" i="71"/>
  <c r="CX340" i="71"/>
  <c r="CY340" i="71"/>
  <c r="CZ337" i="71"/>
  <c r="CZ340" i="71"/>
  <c r="DA340" i="71"/>
  <c r="DB340" i="71"/>
  <c r="DC337" i="71"/>
  <c r="DC340" i="71"/>
  <c r="DD340" i="71"/>
  <c r="DE340" i="71"/>
  <c r="DF337" i="71"/>
  <c r="DF340" i="71"/>
  <c r="DG337" i="71"/>
  <c r="DG340" i="71"/>
  <c r="DH340" i="71"/>
  <c r="DI340" i="71"/>
  <c r="DJ337" i="71"/>
  <c r="DJ340" i="71"/>
  <c r="DK340" i="71"/>
  <c r="DL340" i="71"/>
  <c r="DM337" i="71"/>
  <c r="DM340" i="71"/>
  <c r="DN337" i="71"/>
  <c r="DN340" i="71"/>
  <c r="DO340" i="71"/>
  <c r="DP340" i="71"/>
  <c r="DQ340" i="71"/>
  <c r="DR340" i="71"/>
  <c r="DS337" i="71"/>
  <c r="DS340" i="71"/>
  <c r="DT340" i="71"/>
  <c r="DU337" i="71"/>
  <c r="DU340" i="71"/>
  <c r="C341" i="71"/>
  <c r="C342" i="71"/>
  <c r="F345" i="71"/>
  <c r="H345" i="71"/>
  <c r="I345" i="71"/>
  <c r="K345" i="71"/>
  <c r="N345" i="71"/>
  <c r="P345" i="71"/>
  <c r="Q345" i="71"/>
  <c r="S345" i="71"/>
  <c r="U345" i="71"/>
  <c r="V345" i="71"/>
  <c r="Y345" i="71"/>
  <c r="Z345" i="71"/>
  <c r="AA345" i="71"/>
  <c r="AC345" i="71"/>
  <c r="AD345" i="71"/>
  <c r="AF345" i="71"/>
  <c r="AG345" i="71"/>
  <c r="AH345" i="71"/>
  <c r="AI345" i="71"/>
  <c r="AK345" i="71"/>
  <c r="AN345" i="71"/>
  <c r="AO345" i="71"/>
  <c r="AQ345" i="71"/>
  <c r="AR345" i="71"/>
  <c r="AS345" i="71"/>
  <c r="AT345" i="71"/>
  <c r="AU345" i="71"/>
  <c r="AX345" i="71"/>
  <c r="AY345" i="71"/>
  <c r="BA345" i="71"/>
  <c r="BB345" i="71"/>
  <c r="BC345" i="71"/>
  <c r="BD345" i="71"/>
  <c r="BE345" i="71"/>
  <c r="BG345" i="71"/>
  <c r="BH345" i="71"/>
  <c r="BI345" i="71"/>
  <c r="BJ345" i="71"/>
  <c r="BK345" i="71"/>
  <c r="BM345" i="71"/>
  <c r="BP345" i="71"/>
  <c r="BQ345" i="71"/>
  <c r="BS345" i="71"/>
  <c r="BU345" i="71"/>
  <c r="BV345" i="71"/>
  <c r="BW345" i="71"/>
  <c r="BX345" i="71"/>
  <c r="BZ345" i="71"/>
  <c r="CA345" i="71"/>
  <c r="CC345" i="71"/>
  <c r="CD345" i="71"/>
  <c r="CE345" i="71"/>
  <c r="CF345" i="71"/>
  <c r="CG345" i="71"/>
  <c r="CH345" i="71"/>
  <c r="CJ345" i="71"/>
  <c r="CK345" i="71"/>
  <c r="CL345" i="71"/>
  <c r="CM345" i="71"/>
  <c r="CN345" i="71"/>
  <c r="CQ345" i="71"/>
  <c r="CT345" i="71"/>
  <c r="CU345" i="71"/>
  <c r="CW345" i="71"/>
  <c r="CX345" i="71"/>
  <c r="CY345" i="71"/>
  <c r="CZ345" i="71"/>
  <c r="DA345" i="71"/>
  <c r="DB345" i="71"/>
  <c r="DF345" i="71"/>
  <c r="DG345" i="71"/>
  <c r="DH345" i="71"/>
  <c r="DI345" i="71"/>
  <c r="DJ345" i="71"/>
  <c r="DK345" i="71"/>
  <c r="DO345" i="71"/>
  <c r="DQ345" i="71"/>
  <c r="DS345" i="71"/>
  <c r="DT345" i="71"/>
  <c r="DW345" i="71"/>
  <c r="DX34" i="71"/>
  <c r="DX345" i="71"/>
  <c r="DY345" i="71"/>
  <c r="EA34" i="71"/>
  <c r="EA345" i="71"/>
  <c r="EC345" i="71"/>
  <c r="ED34" i="71"/>
  <c r="ED345" i="71"/>
  <c r="EF345" i="71"/>
  <c r="EG345" i="71"/>
  <c r="C346" i="71"/>
  <c r="F348" i="71"/>
  <c r="G348" i="71"/>
  <c r="J348" i="71"/>
  <c r="K348" i="71"/>
  <c r="L348" i="71"/>
  <c r="N348" i="71"/>
  <c r="P348" i="71"/>
  <c r="Q348" i="71"/>
  <c r="R348" i="71"/>
  <c r="V348" i="71"/>
  <c r="W348" i="71"/>
  <c r="AA348" i="71"/>
  <c r="AD348" i="71"/>
  <c r="AF348" i="71"/>
  <c r="AH348" i="71"/>
  <c r="AI348" i="71"/>
  <c r="AK348" i="71"/>
  <c r="AN348" i="71"/>
  <c r="AO348" i="71"/>
  <c r="AP348" i="71"/>
  <c r="AR348" i="71"/>
  <c r="AT348" i="71"/>
  <c r="AW348" i="71"/>
  <c r="AZ348" i="71"/>
  <c r="BA348" i="71"/>
  <c r="BB348" i="71"/>
  <c r="BC348" i="71"/>
  <c r="BD348" i="71"/>
  <c r="BF348" i="71"/>
  <c r="BG348" i="71"/>
  <c r="BH348" i="71"/>
  <c r="BJ348" i="71"/>
  <c r="BN348" i="71"/>
  <c r="BO348" i="71"/>
  <c r="BP348" i="71"/>
  <c r="BR348" i="71"/>
  <c r="BV348" i="71"/>
  <c r="BW348" i="71"/>
  <c r="BY348" i="71"/>
  <c r="CC348" i="71"/>
  <c r="CE348" i="71"/>
  <c r="CF348" i="71"/>
  <c r="CG348" i="71"/>
  <c r="CI348" i="71"/>
  <c r="CK348" i="71"/>
  <c r="CL348" i="71"/>
  <c r="CN348" i="71"/>
  <c r="CQ348" i="71"/>
  <c r="CS348" i="71"/>
  <c r="CT348" i="71"/>
  <c r="CV348" i="71"/>
  <c r="CW348" i="71"/>
  <c r="CY348" i="71"/>
  <c r="CZ348" i="71"/>
  <c r="DB348" i="71"/>
  <c r="DE348" i="71"/>
  <c r="DH348" i="71"/>
  <c r="DI348" i="71"/>
  <c r="DJ348" i="71"/>
  <c r="DM348" i="71"/>
  <c r="DN348" i="71"/>
  <c r="DO348" i="71"/>
  <c r="DR348" i="71"/>
  <c r="DT348" i="71"/>
  <c r="DV348" i="71"/>
  <c r="DX348" i="71"/>
  <c r="DZ348" i="71"/>
  <c r="EA348" i="71"/>
  <c r="EF348" i="71"/>
  <c r="E349" i="71"/>
  <c r="F349" i="71"/>
  <c r="G349" i="71"/>
  <c r="H349" i="71"/>
  <c r="I349" i="71"/>
  <c r="J349" i="71"/>
  <c r="K349" i="71"/>
  <c r="L349" i="71"/>
  <c r="M349" i="71"/>
  <c r="N349" i="71"/>
  <c r="O349" i="71"/>
  <c r="P349" i="71"/>
  <c r="Q349" i="71"/>
  <c r="R349" i="71"/>
  <c r="S349" i="71"/>
  <c r="T349" i="71"/>
  <c r="U349" i="71"/>
  <c r="V349" i="71"/>
  <c r="W349" i="71"/>
  <c r="X349" i="71"/>
  <c r="Y349" i="71"/>
  <c r="Z349" i="71"/>
  <c r="AA349" i="71"/>
  <c r="AB349" i="71"/>
  <c r="AC349" i="71"/>
  <c r="AD349" i="71"/>
  <c r="AE349" i="71"/>
  <c r="AF349" i="71"/>
  <c r="AG349" i="71"/>
  <c r="AH349" i="71"/>
  <c r="AI349" i="71"/>
  <c r="AJ349" i="71"/>
  <c r="AK349" i="71"/>
  <c r="AL349" i="71"/>
  <c r="AM349" i="71"/>
  <c r="AN349" i="71"/>
  <c r="AO349" i="71"/>
  <c r="AP349" i="71"/>
  <c r="AQ349" i="71"/>
  <c r="AR349" i="71"/>
  <c r="AS349" i="71"/>
  <c r="AT349" i="71"/>
  <c r="AU349" i="71"/>
  <c r="AV349" i="71"/>
  <c r="AW349" i="71"/>
  <c r="AX349" i="71"/>
  <c r="AY349" i="71"/>
  <c r="AZ349" i="71"/>
  <c r="BA349" i="71"/>
  <c r="BB349" i="71"/>
  <c r="BC349" i="71"/>
  <c r="BD349" i="71"/>
  <c r="BE349" i="71"/>
  <c r="BF349" i="71"/>
  <c r="BG349" i="71"/>
  <c r="BH349" i="71"/>
  <c r="BI349" i="71"/>
  <c r="BJ349" i="71"/>
  <c r="BK349" i="71"/>
  <c r="BL349" i="71"/>
  <c r="BM349" i="71"/>
  <c r="BN349" i="71"/>
  <c r="BO349" i="71"/>
  <c r="BP349" i="71"/>
  <c r="BQ349" i="71"/>
  <c r="BR349" i="71"/>
  <c r="BS349" i="71"/>
  <c r="BT349" i="71"/>
  <c r="BU349" i="71"/>
  <c r="BV349" i="71"/>
  <c r="BW349" i="71"/>
  <c r="BX349" i="71"/>
  <c r="BY349" i="71"/>
  <c r="BZ349" i="71"/>
  <c r="CA349" i="71"/>
  <c r="CB349" i="71"/>
  <c r="CC349" i="71"/>
  <c r="CD349" i="71"/>
  <c r="CE349" i="71"/>
  <c r="CF349" i="71"/>
  <c r="CG349" i="71"/>
  <c r="CH349" i="71"/>
  <c r="CI349" i="71"/>
  <c r="CJ349" i="71"/>
  <c r="CK349" i="71"/>
  <c r="CL349" i="71"/>
  <c r="CM349" i="71"/>
  <c r="CN349" i="71"/>
  <c r="CO349" i="71"/>
  <c r="CP349" i="71"/>
  <c r="CQ349" i="71"/>
  <c r="CR349" i="71"/>
  <c r="CS349" i="71"/>
  <c r="CT349" i="71"/>
  <c r="CU349" i="71"/>
  <c r="CV349" i="71"/>
  <c r="CW349" i="71"/>
  <c r="CX349" i="71"/>
  <c r="CY349" i="71"/>
  <c r="CZ349" i="71"/>
  <c r="DA349" i="71"/>
  <c r="DB349" i="71"/>
  <c r="DC349" i="71"/>
  <c r="DD349" i="71"/>
  <c r="DE349" i="71"/>
  <c r="DF349" i="71"/>
  <c r="DG349" i="71"/>
  <c r="DH349" i="71"/>
  <c r="DI349" i="71"/>
  <c r="DJ349" i="71"/>
  <c r="DK349" i="71"/>
  <c r="DL349" i="71"/>
  <c r="DM349" i="71"/>
  <c r="DN349" i="71"/>
  <c r="DO349" i="71"/>
  <c r="DP349" i="71"/>
  <c r="DQ349" i="71"/>
  <c r="DR349" i="71"/>
  <c r="DS349" i="71"/>
  <c r="DT349" i="71"/>
  <c r="DU349" i="71"/>
  <c r="E350" i="71"/>
  <c r="F350" i="71"/>
  <c r="G350" i="71"/>
  <c r="H350" i="71"/>
  <c r="I350" i="71"/>
  <c r="J350" i="71"/>
  <c r="K350" i="71"/>
  <c r="L350" i="71"/>
  <c r="M350" i="71"/>
  <c r="N350" i="71"/>
  <c r="O350" i="71"/>
  <c r="P350" i="71"/>
  <c r="Q350" i="71"/>
  <c r="R350" i="71"/>
  <c r="S350" i="71"/>
  <c r="T350" i="71"/>
  <c r="U350" i="71"/>
  <c r="V350" i="71"/>
  <c r="W350" i="71"/>
  <c r="X350" i="71"/>
  <c r="Y350" i="71"/>
  <c r="Z350" i="71"/>
  <c r="AA350" i="71"/>
  <c r="AB350" i="71"/>
  <c r="AC350" i="71"/>
  <c r="AD350" i="71"/>
  <c r="AE350" i="71"/>
  <c r="AF350" i="71"/>
  <c r="AG350" i="71"/>
  <c r="AH350" i="71"/>
  <c r="AI350" i="71"/>
  <c r="AJ350" i="71"/>
  <c r="AK350" i="71"/>
  <c r="AL350" i="71"/>
  <c r="AM350" i="71"/>
  <c r="AN350" i="71"/>
  <c r="AO350" i="71"/>
  <c r="AP350" i="71"/>
  <c r="AQ350" i="71"/>
  <c r="AR350" i="71"/>
  <c r="AS350" i="71"/>
  <c r="AT350" i="71"/>
  <c r="AU350" i="71"/>
  <c r="AV350" i="71"/>
  <c r="AW350" i="71"/>
  <c r="AX350" i="71"/>
  <c r="AY350" i="71"/>
  <c r="AZ350" i="71"/>
  <c r="BA350" i="71"/>
  <c r="BB350" i="71"/>
  <c r="BC350" i="71"/>
  <c r="BD350" i="71"/>
  <c r="BE350" i="71"/>
  <c r="BF350" i="71"/>
  <c r="BG350" i="71"/>
  <c r="BH350" i="71"/>
  <c r="BI350" i="71"/>
  <c r="BJ350" i="71"/>
  <c r="BK350" i="71"/>
  <c r="BL350" i="71"/>
  <c r="BM350" i="71"/>
  <c r="BN350" i="71"/>
  <c r="BO350" i="71"/>
  <c r="BP350" i="71"/>
  <c r="BQ350" i="71"/>
  <c r="BR350" i="71"/>
  <c r="BS350" i="71"/>
  <c r="BT350" i="71"/>
  <c r="BU350" i="71"/>
  <c r="BV350" i="71"/>
  <c r="BW350" i="71"/>
  <c r="BX350" i="71"/>
  <c r="BY350" i="71"/>
  <c r="BZ350" i="71"/>
  <c r="CA350" i="71"/>
  <c r="CB350" i="71"/>
  <c r="CC350" i="71"/>
  <c r="CD350" i="71"/>
  <c r="CE350" i="71"/>
  <c r="CF350" i="71"/>
  <c r="CG350" i="71"/>
  <c r="CH350" i="71"/>
  <c r="CI350" i="71"/>
  <c r="CJ350" i="71"/>
  <c r="CK350" i="71"/>
  <c r="CL350" i="71"/>
  <c r="CM350" i="71"/>
  <c r="CN350" i="71"/>
  <c r="CO350" i="71"/>
  <c r="CP350" i="71"/>
  <c r="CQ350" i="71"/>
  <c r="CR350" i="71"/>
  <c r="CS350" i="71"/>
  <c r="CT350" i="71"/>
  <c r="CU350" i="71"/>
  <c r="CV350" i="71"/>
  <c r="CW350" i="71"/>
  <c r="CX350" i="71"/>
  <c r="CY350" i="71"/>
  <c r="CZ350" i="71"/>
  <c r="DA350" i="71"/>
  <c r="DB350" i="71"/>
  <c r="DC350" i="71"/>
  <c r="DD350" i="71"/>
  <c r="DE350" i="71"/>
  <c r="DF350" i="71"/>
  <c r="DG350" i="71"/>
  <c r="DH350" i="71"/>
  <c r="DI350" i="71"/>
  <c r="DJ350" i="71"/>
  <c r="DK350" i="71"/>
  <c r="DL350" i="71"/>
  <c r="DM350" i="71"/>
  <c r="DN350" i="71"/>
  <c r="DO350" i="71"/>
  <c r="DP350" i="71"/>
  <c r="DQ350" i="71"/>
  <c r="DR350" i="71"/>
  <c r="DS350" i="71"/>
  <c r="DT350" i="71"/>
  <c r="DU350" i="71"/>
  <c r="F351" i="71"/>
  <c r="G345" i="71"/>
  <c r="G351" i="71"/>
  <c r="H351" i="71"/>
  <c r="I351" i="71"/>
  <c r="K351" i="71"/>
  <c r="L351" i="71"/>
  <c r="M351" i="71"/>
  <c r="N351" i="71"/>
  <c r="O345" i="71"/>
  <c r="O351" i="71"/>
  <c r="P351" i="71"/>
  <c r="Q351" i="71"/>
  <c r="R345" i="71"/>
  <c r="R351" i="71"/>
  <c r="S351" i="71"/>
  <c r="T345" i="71"/>
  <c r="T351" i="71"/>
  <c r="U351" i="71"/>
  <c r="V351" i="71"/>
  <c r="W345" i="71"/>
  <c r="W351" i="71"/>
  <c r="X345" i="71"/>
  <c r="X351" i="71"/>
  <c r="Y351" i="71"/>
  <c r="Z351" i="71"/>
  <c r="AA351" i="71"/>
  <c r="AB345" i="71"/>
  <c r="AB351" i="71"/>
  <c r="AC351" i="71"/>
  <c r="AD351" i="71"/>
  <c r="AE345" i="71"/>
  <c r="AE351" i="71"/>
  <c r="AF351" i="71"/>
  <c r="AG351" i="71"/>
  <c r="AH351" i="71"/>
  <c r="AI351" i="71"/>
  <c r="AJ345" i="71"/>
  <c r="AJ351" i="71"/>
  <c r="AK351" i="71"/>
  <c r="AL351" i="71"/>
  <c r="AM345" i="71"/>
  <c r="AM351" i="71"/>
  <c r="AN351" i="71"/>
  <c r="AO351" i="71"/>
  <c r="AP345" i="71"/>
  <c r="AP351" i="71"/>
  <c r="AQ351" i="71"/>
  <c r="AR351" i="71"/>
  <c r="AS351" i="71"/>
  <c r="AT351" i="71"/>
  <c r="AU351" i="71"/>
  <c r="AV351" i="71"/>
  <c r="AW345" i="71"/>
  <c r="AW351" i="71"/>
  <c r="AX351" i="71"/>
  <c r="AY351" i="71"/>
  <c r="AZ345" i="71"/>
  <c r="AZ351" i="71"/>
  <c r="BA351" i="71"/>
  <c r="BB351" i="71"/>
  <c r="BC351" i="71"/>
  <c r="BD351" i="71"/>
  <c r="BE351" i="71"/>
  <c r="BG351" i="71"/>
  <c r="BH351" i="71"/>
  <c r="BI351" i="71"/>
  <c r="BJ351" i="71"/>
  <c r="BK351" i="71"/>
  <c r="BL345" i="71"/>
  <c r="BL351" i="71"/>
  <c r="BM351" i="71"/>
  <c r="BN345" i="71"/>
  <c r="BN351" i="71"/>
  <c r="BO345" i="71"/>
  <c r="BO351" i="71"/>
  <c r="BP351" i="71"/>
  <c r="BQ351" i="71"/>
  <c r="BR345" i="71"/>
  <c r="BR351" i="71"/>
  <c r="BS351" i="71"/>
  <c r="BT345" i="71"/>
  <c r="BT351" i="71"/>
  <c r="BU351" i="71"/>
  <c r="BV351" i="71"/>
  <c r="BW351" i="71"/>
  <c r="BX351" i="71"/>
  <c r="BY345" i="71"/>
  <c r="BY351" i="71"/>
  <c r="BZ351" i="71"/>
  <c r="CA351" i="71"/>
  <c r="CB345" i="71"/>
  <c r="CB351" i="71"/>
  <c r="CC351" i="71"/>
  <c r="CD351" i="71"/>
  <c r="CE351" i="71"/>
  <c r="CF351" i="71"/>
  <c r="CG351" i="71"/>
  <c r="CH351" i="71"/>
  <c r="CI345" i="71"/>
  <c r="CI351" i="71"/>
  <c r="CJ351" i="71"/>
  <c r="CK351" i="71"/>
  <c r="CL351" i="71"/>
  <c r="CM351" i="71"/>
  <c r="CN351" i="71"/>
  <c r="CO345" i="71"/>
  <c r="CO351" i="71"/>
  <c r="CP351" i="71"/>
  <c r="CQ351" i="71"/>
  <c r="CR351" i="71"/>
  <c r="CS345" i="71"/>
  <c r="CS351" i="71"/>
  <c r="CT351" i="71"/>
  <c r="CU351" i="71"/>
  <c r="CV345" i="71"/>
  <c r="CV351" i="71"/>
  <c r="CW351" i="71"/>
  <c r="CX351" i="71"/>
  <c r="CY351" i="71"/>
  <c r="CZ351" i="71"/>
  <c r="DA351" i="71"/>
  <c r="DB351" i="71"/>
  <c r="DC345" i="71"/>
  <c r="DC351" i="71"/>
  <c r="DD351" i="71"/>
  <c r="DE345" i="71"/>
  <c r="DE351" i="71"/>
  <c r="DF351" i="71"/>
  <c r="DG351" i="71"/>
  <c r="DH351" i="71"/>
  <c r="DI351" i="71"/>
  <c r="DJ351" i="71"/>
  <c r="DK351" i="71"/>
  <c r="DL345" i="71"/>
  <c r="DL351" i="71"/>
  <c r="DM351" i="71"/>
  <c r="DN345" i="71"/>
  <c r="DN351" i="71"/>
  <c r="DO351" i="71"/>
  <c r="DP345" i="71"/>
  <c r="DQ351" i="71"/>
  <c r="DS351" i="71"/>
  <c r="DU351" i="71"/>
  <c r="DV34" i="71"/>
  <c r="DZ345" i="71"/>
  <c r="DZ351" i="71"/>
  <c r="EB34" i="71"/>
  <c r="EB351" i="71"/>
  <c r="ED351" i="71"/>
  <c r="EE34" i="71"/>
  <c r="EE345" i="71"/>
  <c r="E353" i="71"/>
  <c r="G353" i="71"/>
  <c r="I353" i="71"/>
  <c r="K353" i="71"/>
  <c r="M353" i="71"/>
  <c r="O353" i="71"/>
  <c r="Q353" i="71"/>
  <c r="U353" i="71"/>
  <c r="W353" i="71"/>
  <c r="Y353" i="71"/>
  <c r="AA353" i="71"/>
  <c r="AB353" i="71"/>
  <c r="AC353" i="71"/>
  <c r="AE353" i="71"/>
  <c r="AF353" i="71"/>
  <c r="AH353" i="71"/>
  <c r="AJ353" i="71"/>
  <c r="AL353" i="71"/>
  <c r="AM353" i="71"/>
  <c r="AP353" i="71"/>
  <c r="AR353" i="71"/>
  <c r="AS353" i="71"/>
  <c r="AU353" i="71"/>
  <c r="AW353" i="71"/>
  <c r="AZ353" i="71"/>
  <c r="BA353" i="71"/>
  <c r="BC353" i="71"/>
  <c r="BE353" i="71"/>
  <c r="BG353" i="71"/>
  <c r="BH353" i="71"/>
  <c r="BI353" i="71"/>
  <c r="BJ353" i="71"/>
  <c r="BL353" i="71"/>
  <c r="BM353" i="71"/>
  <c r="BN353" i="71"/>
  <c r="BP353" i="71"/>
  <c r="BQ353" i="71"/>
  <c r="BS353" i="71"/>
  <c r="BU353" i="71"/>
  <c r="BV353" i="71"/>
  <c r="BX353" i="71"/>
  <c r="BY353" i="71"/>
  <c r="CA353" i="71"/>
  <c r="CC353" i="71"/>
  <c r="CE353" i="71"/>
  <c r="CG353" i="71"/>
  <c r="CH353" i="71"/>
  <c r="CJ353" i="71"/>
  <c r="CL353" i="71"/>
  <c r="CO353" i="71"/>
  <c r="CQ353" i="71"/>
  <c r="CS353" i="71"/>
  <c r="CU353" i="71"/>
  <c r="CW353" i="71"/>
  <c r="CY353" i="71"/>
  <c r="DA353" i="71"/>
  <c r="DC353" i="71"/>
  <c r="DE353" i="71"/>
  <c r="DG353" i="71"/>
  <c r="DI353" i="71"/>
  <c r="DJ353" i="71"/>
  <c r="DK353" i="71"/>
  <c r="DM353" i="71"/>
  <c r="DO353" i="71"/>
  <c r="DQ353" i="71"/>
  <c r="DS353" i="71"/>
  <c r="DU353" i="71"/>
  <c r="DW353" i="71"/>
  <c r="DY353" i="71"/>
  <c r="EB353" i="71"/>
  <c r="ED353" i="71"/>
  <c r="EG353" i="71"/>
  <c r="C355" i="71"/>
  <c r="AA357" i="71"/>
  <c r="AB357" i="71"/>
  <c r="AD357" i="71"/>
  <c r="AF357" i="71"/>
  <c r="AH357" i="71"/>
  <c r="AJ357" i="71"/>
  <c r="AL357" i="71"/>
  <c r="AO357" i="71"/>
  <c r="AQ357" i="71"/>
  <c r="AR357" i="71"/>
  <c r="AT357" i="71"/>
  <c r="AV357" i="71"/>
  <c r="AX357" i="71"/>
  <c r="AZ357" i="71"/>
  <c r="BB357" i="71"/>
  <c r="BD357" i="71"/>
  <c r="BG357" i="71"/>
  <c r="BI357" i="71"/>
  <c r="BJ357" i="71"/>
  <c r="BL357" i="71"/>
  <c r="BM357" i="71"/>
  <c r="BO357" i="71"/>
  <c r="BR357" i="71"/>
  <c r="BU357" i="71"/>
  <c r="BW357" i="71"/>
  <c r="BX357" i="71"/>
  <c r="BZ357" i="71"/>
  <c r="CC357" i="71"/>
  <c r="CE357" i="71"/>
  <c r="CG357" i="71"/>
  <c r="CI357" i="71"/>
  <c r="CK357" i="71"/>
  <c r="CL357" i="71"/>
  <c r="CN357" i="71"/>
  <c r="CO357" i="71"/>
  <c r="CP357" i="71"/>
  <c r="CR357" i="71"/>
  <c r="CT357" i="71"/>
  <c r="CV357" i="71"/>
  <c r="CW357" i="71"/>
  <c r="CY357" i="71"/>
  <c r="DA357" i="71"/>
  <c r="DB357" i="71"/>
  <c r="DD357" i="71"/>
  <c r="DF357" i="71"/>
  <c r="DH357" i="71"/>
  <c r="DI357" i="71"/>
  <c r="DK357" i="71"/>
  <c r="DM357" i="71"/>
  <c r="DO357" i="71"/>
  <c r="DQ357" i="71"/>
  <c r="DS357" i="71"/>
  <c r="DU357" i="71"/>
  <c r="DW357" i="71"/>
  <c r="DY357" i="71"/>
  <c r="DZ357" i="71"/>
  <c r="EB357" i="71"/>
  <c r="ED357" i="71"/>
  <c r="EE357" i="71"/>
  <c r="EG357" i="71"/>
  <c r="C358" i="71"/>
  <c r="C359" i="71"/>
  <c r="E362" i="71"/>
  <c r="F362" i="71"/>
  <c r="G362" i="71"/>
  <c r="H362" i="71"/>
  <c r="I362" i="71"/>
  <c r="J362" i="71"/>
  <c r="K362" i="71"/>
  <c r="L362" i="71"/>
  <c r="M362" i="71"/>
  <c r="N362" i="71"/>
  <c r="O362" i="71"/>
  <c r="P362" i="71"/>
  <c r="Q362" i="71"/>
  <c r="R362" i="71"/>
  <c r="S362" i="71"/>
  <c r="T362" i="71"/>
  <c r="U362" i="71"/>
  <c r="V362" i="71"/>
  <c r="W362" i="71"/>
  <c r="X362" i="71"/>
  <c r="Y362" i="71"/>
  <c r="Z362" i="71"/>
  <c r="AA362" i="71"/>
  <c r="AB362" i="71"/>
  <c r="AC362" i="71"/>
  <c r="AD362" i="71"/>
  <c r="AE362" i="71"/>
  <c r="AF362" i="71"/>
  <c r="AG362" i="71"/>
  <c r="AH362" i="71"/>
  <c r="AI362" i="71"/>
  <c r="AJ362" i="71"/>
  <c r="AK362" i="71"/>
  <c r="AL362" i="71"/>
  <c r="AM362" i="71"/>
  <c r="AN362" i="71"/>
  <c r="AO362" i="71"/>
  <c r="AP362" i="71"/>
  <c r="AQ362" i="71"/>
  <c r="AR362" i="71"/>
  <c r="AS362" i="71"/>
  <c r="AT362" i="71"/>
  <c r="AU362" i="71"/>
  <c r="AV362" i="71"/>
  <c r="AW362" i="71"/>
  <c r="AX362" i="71"/>
  <c r="AY362" i="71"/>
  <c r="AZ362" i="71"/>
  <c r="BA362" i="71"/>
  <c r="BB362" i="71"/>
  <c r="BC362" i="71"/>
  <c r="BD362" i="71"/>
  <c r="BE362" i="71"/>
  <c r="BF362" i="71"/>
  <c r="BG362" i="71"/>
  <c r="BH362" i="71"/>
  <c r="BI362" i="71"/>
  <c r="BJ362" i="71"/>
  <c r="BK362" i="71"/>
  <c r="BL362" i="71"/>
  <c r="BM362" i="71"/>
  <c r="BN362" i="71"/>
  <c r="BO362" i="71"/>
  <c r="BP362" i="71"/>
  <c r="BQ362" i="71"/>
  <c r="BR362" i="71"/>
  <c r="BS362" i="71"/>
  <c r="BT362" i="71"/>
  <c r="BU362" i="71"/>
  <c r="BV362" i="71"/>
  <c r="BW362" i="71"/>
  <c r="BX362" i="71"/>
  <c r="BY362" i="71"/>
  <c r="BZ362" i="71"/>
  <c r="CA362" i="71"/>
  <c r="CB362" i="71"/>
  <c r="CC362" i="71"/>
  <c r="CD362" i="71"/>
  <c r="CE362" i="71"/>
  <c r="CF362" i="71"/>
  <c r="CG362" i="71"/>
  <c r="CH362" i="71"/>
  <c r="CI362" i="71"/>
  <c r="CJ362" i="71"/>
  <c r="CK362" i="71"/>
  <c r="CL362" i="71"/>
  <c r="CM362" i="71"/>
  <c r="CN362" i="71"/>
  <c r="CO362" i="71"/>
  <c r="CP362" i="71"/>
  <c r="CQ362" i="71"/>
  <c r="CR362" i="71"/>
  <c r="CS362" i="71"/>
  <c r="CT362" i="71"/>
  <c r="CU362" i="71"/>
  <c r="CV362" i="71"/>
  <c r="CW362" i="71"/>
  <c r="CX362" i="71"/>
  <c r="CY362" i="71"/>
  <c r="CZ362" i="71"/>
  <c r="DA362" i="71"/>
  <c r="DB362" i="71"/>
  <c r="DC362" i="71"/>
  <c r="DD362" i="71"/>
  <c r="DE362" i="71"/>
  <c r="DF362" i="71"/>
  <c r="DG362" i="71"/>
  <c r="DH362" i="71"/>
  <c r="DI362" i="71"/>
  <c r="DJ362" i="71"/>
  <c r="DK362" i="71"/>
  <c r="DL362" i="71"/>
  <c r="DM362" i="71"/>
  <c r="DN362" i="71"/>
  <c r="DO362" i="71"/>
  <c r="DP362" i="71"/>
  <c r="DQ362" i="71"/>
  <c r="DR362" i="71"/>
  <c r="DS362" i="71"/>
  <c r="DT362" i="71"/>
  <c r="DU362" i="71"/>
  <c r="E363" i="71"/>
  <c r="G363" i="71"/>
  <c r="H363" i="71"/>
  <c r="I363" i="71"/>
  <c r="J363" i="71"/>
  <c r="L363" i="71"/>
  <c r="N363" i="71"/>
  <c r="P363" i="71"/>
  <c r="Q363" i="71"/>
  <c r="S363" i="71"/>
  <c r="U363" i="71"/>
  <c r="W363" i="71"/>
  <c r="Y363" i="71"/>
  <c r="AA363" i="71"/>
  <c r="AC363" i="71"/>
  <c r="AF363" i="71"/>
  <c r="AG363" i="71"/>
  <c r="AH363" i="71"/>
  <c r="AJ363" i="71"/>
  <c r="AK363" i="71"/>
  <c r="AM363" i="71"/>
  <c r="AN363" i="71"/>
  <c r="AO363" i="71"/>
  <c r="AQ363" i="71"/>
  <c r="AS363" i="71"/>
  <c r="AW363" i="71"/>
  <c r="AY363" i="71"/>
  <c r="BB363" i="71"/>
  <c r="BD363" i="71"/>
  <c r="BE363" i="71"/>
  <c r="BG363" i="71"/>
  <c r="BI363" i="71"/>
  <c r="BK363" i="71"/>
  <c r="BL363" i="71"/>
  <c r="BN363" i="71"/>
  <c r="BP363" i="71"/>
  <c r="BQ363" i="71"/>
  <c r="BS363" i="71"/>
  <c r="BT363" i="71"/>
  <c r="BU363" i="71"/>
  <c r="BW363" i="71"/>
  <c r="BY363" i="71"/>
  <c r="CC363" i="71"/>
  <c r="CE363" i="71"/>
  <c r="CG363" i="71"/>
  <c r="CJ363" i="71"/>
  <c r="CL363" i="71"/>
  <c r="CN363" i="71"/>
  <c r="CO363" i="71"/>
  <c r="CQ363" i="71"/>
  <c r="CT363" i="71"/>
  <c r="CW363" i="71"/>
  <c r="CZ363" i="71"/>
  <c r="DB363" i="71"/>
  <c r="DE363" i="71"/>
  <c r="DG363" i="71"/>
  <c r="DI363" i="71"/>
  <c r="DL363" i="71"/>
  <c r="DN363" i="71"/>
  <c r="DP363" i="71"/>
  <c r="DR363" i="71"/>
  <c r="DT363" i="71"/>
  <c r="E364" i="71"/>
  <c r="H364" i="71"/>
  <c r="K364" i="71"/>
  <c r="M364" i="71"/>
  <c r="O364" i="71"/>
  <c r="Q364" i="71"/>
  <c r="U364" i="71"/>
  <c r="W364" i="71"/>
  <c r="X364" i="71"/>
  <c r="Z364" i="71"/>
  <c r="AB364" i="71"/>
  <c r="AD364" i="71"/>
  <c r="AE364" i="71"/>
  <c r="AG364" i="71"/>
  <c r="AI364" i="71"/>
  <c r="AJ364" i="71"/>
  <c r="AL364" i="71"/>
  <c r="AN364" i="71"/>
  <c r="AP364" i="71"/>
  <c r="AR364" i="71"/>
  <c r="AT364" i="71"/>
  <c r="AV364" i="71"/>
  <c r="AX364" i="71"/>
  <c r="AZ364" i="71"/>
  <c r="BB364" i="71"/>
  <c r="BD364" i="71"/>
  <c r="BF364" i="71"/>
  <c r="BH364" i="71"/>
  <c r="BJ364" i="71"/>
  <c r="BL364" i="71"/>
  <c r="BN364" i="71"/>
  <c r="BP364" i="71"/>
  <c r="BR364" i="71"/>
  <c r="BT364" i="71"/>
  <c r="BV364" i="71"/>
  <c r="BX364" i="71"/>
  <c r="BZ364" i="71"/>
  <c r="CB364" i="71"/>
  <c r="CD364" i="71"/>
  <c r="CF364" i="71"/>
  <c r="CI364" i="71"/>
  <c r="CK364" i="71"/>
  <c r="CM364" i="71"/>
  <c r="CO364" i="71"/>
  <c r="CQ364" i="71"/>
  <c r="CS364" i="71"/>
  <c r="CU364" i="71"/>
  <c r="CW364" i="71"/>
  <c r="CY364" i="71"/>
  <c r="DB364" i="71"/>
  <c r="DD364" i="71"/>
  <c r="DF364" i="71"/>
  <c r="DH364" i="71"/>
  <c r="DJ364" i="71"/>
  <c r="DL364" i="71"/>
  <c r="DN364" i="71"/>
  <c r="DP364" i="71"/>
  <c r="DR364" i="71"/>
  <c r="DT364" i="71"/>
  <c r="E366" i="71"/>
  <c r="H366" i="71"/>
  <c r="J366" i="71"/>
  <c r="L366" i="71"/>
  <c r="P366" i="71"/>
  <c r="S366" i="71"/>
  <c r="T366" i="71"/>
  <c r="V366" i="71"/>
  <c r="X366" i="71"/>
  <c r="AA366" i="71"/>
  <c r="AC366" i="71"/>
  <c r="AE366" i="71"/>
  <c r="AF366" i="71"/>
  <c r="AH366" i="71"/>
  <c r="AJ366" i="71"/>
  <c r="AM366" i="71"/>
  <c r="AN366" i="71"/>
  <c r="AP366" i="71"/>
  <c r="AR366" i="71"/>
  <c r="AT366" i="71"/>
  <c r="AV366" i="71"/>
  <c r="AW366" i="71"/>
  <c r="AX366" i="71"/>
  <c r="AY366" i="71"/>
  <c r="BC366" i="71"/>
  <c r="BD366" i="71"/>
  <c r="BF366" i="71"/>
  <c r="BH366" i="71"/>
  <c r="BI366" i="71"/>
  <c r="BJ366" i="71"/>
  <c r="BL366" i="71"/>
  <c r="BN366" i="71"/>
  <c r="BO366" i="71"/>
  <c r="BR366" i="71"/>
  <c r="BU366" i="71"/>
  <c r="BV366" i="71"/>
  <c r="BX366" i="71"/>
  <c r="BY366" i="71"/>
  <c r="CA366" i="71"/>
  <c r="CB366" i="71"/>
  <c r="CC366" i="71"/>
  <c r="CE366" i="71"/>
  <c r="CH366" i="71"/>
  <c r="CJ366" i="71"/>
  <c r="CL366" i="71"/>
  <c r="CN366" i="71"/>
  <c r="CP366" i="71"/>
  <c r="CQ366" i="71"/>
  <c r="CS366" i="71"/>
  <c r="CT366" i="71"/>
  <c r="CV366" i="71"/>
  <c r="CX366" i="71"/>
  <c r="CY366" i="71"/>
  <c r="DA366" i="71"/>
  <c r="DB366" i="71"/>
  <c r="DC366" i="71"/>
  <c r="DD366" i="71"/>
  <c r="DE366" i="71"/>
  <c r="DF366" i="71"/>
  <c r="DG366" i="71"/>
  <c r="DH366" i="71"/>
  <c r="DI366" i="71"/>
  <c r="DJ366" i="71"/>
  <c r="DK366" i="71"/>
  <c r="DL366" i="71"/>
  <c r="DM366" i="71"/>
  <c r="DN366" i="71"/>
  <c r="DO366" i="71"/>
  <c r="DP366" i="71"/>
  <c r="DQ366" i="71"/>
  <c r="DR366" i="71"/>
  <c r="DS366" i="71"/>
  <c r="DT366" i="71"/>
  <c r="DU366" i="71"/>
  <c r="DV366" i="71"/>
  <c r="DW366" i="71"/>
  <c r="DX366" i="71"/>
  <c r="DY366" i="71"/>
  <c r="EA366" i="71"/>
  <c r="EB366" i="71"/>
  <c r="EC366" i="71"/>
  <c r="ED366" i="71"/>
  <c r="EF366" i="71"/>
  <c r="C367" i="71"/>
  <c r="F371" i="71"/>
  <c r="G371" i="71"/>
  <c r="I149" i="71"/>
  <c r="J149" i="71"/>
  <c r="K149" i="71"/>
  <c r="L371" i="71"/>
  <c r="N149" i="71"/>
  <c r="P149" i="71"/>
  <c r="Q371" i="71"/>
  <c r="R371" i="71"/>
  <c r="T149" i="71"/>
  <c r="U371" i="71"/>
  <c r="Y149" i="71"/>
  <c r="Z149" i="71"/>
  <c r="AA371" i="71"/>
  <c r="AC149" i="71"/>
  <c r="Q373" i="71"/>
  <c r="W373" i="71"/>
  <c r="AA373" i="71"/>
  <c r="AF373" i="71"/>
  <c r="AK373" i="71"/>
  <c r="AW373" i="71"/>
  <c r="BB373" i="71"/>
  <c r="E420" i="71"/>
  <c r="C441" i="71"/>
  <c r="BB444" i="71"/>
  <c r="CA444" i="71"/>
  <c r="CT444" i="71"/>
  <c r="DB444" i="71"/>
  <c r="DI444" i="71"/>
  <c r="DM444" i="71"/>
  <c r="DS444" i="71"/>
  <c r="EA444" i="71"/>
  <c r="K453" i="71"/>
  <c r="M461" i="71"/>
  <c r="C463" i="71"/>
  <c r="J466" i="71"/>
  <c r="C466" i="71"/>
  <c r="C468" i="71"/>
  <c r="J471" i="71"/>
  <c r="K472" i="71"/>
  <c r="J475" i="71"/>
  <c r="C476" i="71"/>
  <c r="O476" i="71"/>
  <c r="C477" i="71"/>
  <c r="H477" i="71"/>
  <c r="I479" i="71"/>
  <c r="H483" i="71"/>
  <c r="C485" i="71"/>
  <c r="E488" i="71"/>
  <c r="L488" i="71"/>
  <c r="G489" i="71"/>
  <c r="C488" i="71"/>
  <c r="I488" i="71"/>
  <c r="L490" i="71"/>
  <c r="C383" i="71"/>
  <c r="E389" i="71"/>
  <c r="F389" i="71"/>
  <c r="H389" i="71"/>
  <c r="J389" i="71"/>
  <c r="L389" i="71"/>
  <c r="N389" i="71"/>
  <c r="O389" i="71"/>
  <c r="P389" i="71"/>
  <c r="R389" i="71"/>
  <c r="S389" i="71"/>
  <c r="U389" i="71"/>
  <c r="V389" i="71"/>
  <c r="X389" i="71"/>
  <c r="Y389" i="71"/>
  <c r="AA389" i="71"/>
  <c r="AC389" i="71"/>
  <c r="AE389" i="71"/>
  <c r="AF389" i="71"/>
  <c r="AH389" i="71"/>
  <c r="AI389" i="71"/>
  <c r="AJ389" i="71"/>
  <c r="AM389" i="71"/>
  <c r="AO389" i="71"/>
  <c r="AQ389" i="71"/>
  <c r="AS389" i="71"/>
  <c r="AU389" i="71"/>
  <c r="AW389" i="71"/>
  <c r="AY389" i="71"/>
  <c r="BA389" i="71"/>
  <c r="BC389" i="71"/>
  <c r="BG389" i="71"/>
  <c r="BJ389" i="71"/>
  <c r="BL389" i="71"/>
  <c r="BN389" i="71"/>
  <c r="BP389" i="71"/>
  <c r="BR389" i="71"/>
  <c r="BS389" i="71"/>
  <c r="BU389" i="71"/>
  <c r="BW389" i="71"/>
  <c r="BY389" i="71"/>
  <c r="BZ389" i="71"/>
  <c r="CC389" i="71"/>
  <c r="CH389" i="71"/>
  <c r="CJ389" i="71"/>
  <c r="CL389" i="71"/>
  <c r="CN389" i="71"/>
  <c r="CP389" i="71"/>
  <c r="CR389" i="71"/>
  <c r="CS389" i="71"/>
  <c r="CT389" i="71"/>
  <c r="CV389" i="71"/>
  <c r="CW389" i="71"/>
  <c r="CY389" i="71"/>
  <c r="DA389" i="71"/>
  <c r="DC389" i="71"/>
  <c r="DD389" i="71"/>
  <c r="DG389" i="71"/>
  <c r="DI389" i="71"/>
  <c r="DJ389" i="71"/>
  <c r="DN389" i="71"/>
  <c r="DO389" i="71"/>
  <c r="DS389" i="71"/>
  <c r="DU389" i="71"/>
  <c r="DV389" i="71"/>
  <c r="DX389" i="71"/>
  <c r="DY389" i="71"/>
  <c r="EA389" i="71"/>
  <c r="EC389" i="71"/>
  <c r="EF389" i="71"/>
  <c r="C390" i="71"/>
  <c r="E212" i="71"/>
  <c r="C212" i="71"/>
  <c r="C393" i="71"/>
  <c r="F395" i="71"/>
  <c r="J395" i="71"/>
  <c r="M395" i="71"/>
  <c r="O395" i="71"/>
  <c r="P395" i="71"/>
  <c r="S395" i="71"/>
  <c r="T395" i="71"/>
  <c r="V395" i="71"/>
  <c r="Y395" i="71"/>
  <c r="AA395" i="71"/>
  <c r="AC395" i="71"/>
  <c r="AE395" i="71"/>
  <c r="AI395" i="71"/>
  <c r="AL395" i="71"/>
  <c r="AN395" i="71"/>
  <c r="AP395" i="71"/>
  <c r="AS395" i="71"/>
  <c r="AU395" i="71"/>
  <c r="AW395" i="71"/>
  <c r="AZ395" i="71"/>
  <c r="BB395" i="71"/>
  <c r="BC395" i="71"/>
  <c r="BE395" i="71"/>
  <c r="BF395" i="71"/>
  <c r="BH395" i="71"/>
  <c r="BL395" i="71"/>
  <c r="BN395" i="71"/>
  <c r="BP395" i="71"/>
  <c r="BR395" i="71"/>
  <c r="BU395" i="71"/>
  <c r="BW395" i="71"/>
  <c r="BZ395" i="71"/>
  <c r="CC395" i="71"/>
  <c r="CE395" i="71"/>
  <c r="CG395" i="71"/>
  <c r="CH395" i="71"/>
  <c r="CJ395" i="71"/>
  <c r="CM395" i="71"/>
  <c r="CO395" i="71"/>
  <c r="CP395" i="71"/>
  <c r="CQ395" i="71"/>
  <c r="CS395" i="71"/>
  <c r="CU395" i="71"/>
  <c r="CX395" i="71"/>
  <c r="CY395" i="71"/>
  <c r="DA395" i="71"/>
  <c r="DD395" i="71"/>
  <c r="DF395" i="71"/>
  <c r="DH395" i="71"/>
  <c r="DJ395" i="71"/>
  <c r="DL395" i="71"/>
  <c r="DN395" i="71"/>
  <c r="DP395" i="71"/>
  <c r="DR395" i="71"/>
  <c r="DT395" i="71"/>
  <c r="DV395" i="71"/>
  <c r="DX395" i="71"/>
  <c r="DZ395" i="71"/>
  <c r="EB395" i="71"/>
  <c r="EC395" i="71"/>
  <c r="EE395" i="71"/>
  <c r="EG395" i="71"/>
  <c r="C397" i="71"/>
  <c r="P401" i="71"/>
  <c r="T401" i="71"/>
  <c r="V401" i="71"/>
  <c r="X401" i="71"/>
  <c r="Y401" i="71"/>
  <c r="AB401" i="71"/>
  <c r="AE401" i="71"/>
  <c r="AH401" i="71"/>
  <c r="AJ401" i="71"/>
  <c r="AK401" i="71"/>
  <c r="AM401" i="71"/>
  <c r="AN401" i="71"/>
  <c r="AP401" i="71"/>
  <c r="AR401" i="71"/>
  <c r="AS401" i="71"/>
  <c r="AU401" i="71"/>
  <c r="AW401" i="71"/>
  <c r="AY401" i="71"/>
  <c r="AZ401" i="71"/>
  <c r="BA401" i="71"/>
  <c r="BC401" i="71"/>
  <c r="BE401" i="71"/>
  <c r="BG401" i="71"/>
  <c r="BJ401" i="71"/>
  <c r="BL401" i="71"/>
  <c r="BN401" i="71"/>
  <c r="BP401" i="71"/>
  <c r="BR401" i="71"/>
  <c r="BT401" i="71"/>
  <c r="BV401" i="71"/>
  <c r="BW401" i="71"/>
  <c r="BY401" i="71"/>
  <c r="CA401" i="71"/>
  <c r="CB401" i="71"/>
  <c r="CC401" i="71"/>
  <c r="CG401" i="71"/>
  <c r="CH401" i="71"/>
  <c r="CI401" i="71"/>
  <c r="CK401" i="71"/>
  <c r="CL401" i="71"/>
  <c r="CM401" i="71"/>
  <c r="CN401" i="71"/>
  <c r="CO401" i="71"/>
  <c r="CQ401" i="71"/>
  <c r="CS401" i="71"/>
  <c r="CV401" i="71"/>
  <c r="CX401" i="71"/>
  <c r="DA401" i="71"/>
  <c r="DC401" i="71"/>
  <c r="DF401" i="71"/>
  <c r="DH401" i="71"/>
  <c r="DK401" i="71"/>
  <c r="DM401" i="71"/>
  <c r="DN401" i="71"/>
  <c r="DP401" i="71"/>
  <c r="DR401" i="71"/>
  <c r="DT401" i="71"/>
  <c r="DV401" i="71"/>
  <c r="DX401" i="71"/>
  <c r="EA401" i="71"/>
  <c r="EC401" i="71"/>
  <c r="EE401" i="71"/>
  <c r="C402" i="71"/>
  <c r="C401" i="71"/>
  <c r="F408" i="71"/>
  <c r="H408" i="71"/>
  <c r="K408" i="71"/>
  <c r="N408" i="71"/>
  <c r="O408" i="71"/>
  <c r="P408" i="71"/>
  <c r="S408" i="71"/>
  <c r="T408" i="71"/>
  <c r="V408" i="71"/>
  <c r="X408" i="71"/>
  <c r="Z408" i="71"/>
  <c r="AB408" i="71"/>
  <c r="AC408" i="71"/>
  <c r="AF408" i="71"/>
  <c r="AH408" i="71"/>
  <c r="AJ408" i="71"/>
  <c r="AL408" i="71"/>
  <c r="AM408" i="71"/>
  <c r="AN408" i="71"/>
  <c r="AP408" i="71"/>
  <c r="AR408" i="71"/>
  <c r="AT408" i="71"/>
  <c r="AU408" i="71"/>
  <c r="AV408" i="71"/>
  <c r="AX408" i="71"/>
  <c r="AY408" i="71"/>
  <c r="BA408" i="71"/>
  <c r="BC408" i="71"/>
  <c r="BE408" i="71"/>
  <c r="BG408" i="71"/>
  <c r="BI408" i="71"/>
  <c r="BJ408" i="71"/>
  <c r="BL408" i="71"/>
  <c r="BO408" i="71"/>
  <c r="BQ408" i="71"/>
  <c r="BS408" i="71"/>
  <c r="BW408" i="71"/>
  <c r="BY408" i="71"/>
  <c r="BZ408" i="71"/>
  <c r="CB408" i="71"/>
  <c r="CD408" i="71"/>
  <c r="CG408" i="71"/>
  <c r="CJ408" i="71"/>
  <c r="CL408" i="71"/>
  <c r="CN408" i="71"/>
  <c r="CP408" i="71"/>
  <c r="CR408" i="71"/>
  <c r="CT408" i="71"/>
  <c r="CV408" i="71"/>
  <c r="CX408" i="71"/>
  <c r="CZ408" i="71"/>
  <c r="DB408" i="71"/>
  <c r="DD408" i="71"/>
  <c r="DF408" i="71"/>
  <c r="DH408" i="71"/>
  <c r="DJ408" i="71"/>
  <c r="DK408" i="71"/>
  <c r="DL408" i="71"/>
  <c r="DM408" i="71"/>
  <c r="DO408" i="71"/>
  <c r="DQ408" i="71"/>
  <c r="DS408" i="71"/>
  <c r="DU408" i="71"/>
  <c r="DW408" i="71"/>
  <c r="DX408" i="71"/>
  <c r="DZ408" i="71"/>
  <c r="EB408" i="71"/>
  <c r="ED408" i="71"/>
  <c r="EF408" i="71"/>
  <c r="C409" i="71"/>
  <c r="BE414" i="71"/>
  <c r="BH414" i="71"/>
  <c r="BI414" i="71"/>
  <c r="BK414" i="71"/>
  <c r="BM414" i="71"/>
  <c r="BO414" i="71"/>
  <c r="BP414" i="71"/>
  <c r="BS414" i="71"/>
  <c r="BT414" i="71"/>
  <c r="BV414" i="71"/>
  <c r="BX414" i="71"/>
  <c r="BY414" i="71"/>
  <c r="CA414" i="71"/>
  <c r="CC414" i="71"/>
  <c r="CE414" i="71"/>
  <c r="CH414" i="71"/>
  <c r="CJ414" i="71"/>
  <c r="CL414" i="71"/>
  <c r="CN414" i="71"/>
  <c r="CO414" i="71"/>
  <c r="CQ414" i="71"/>
  <c r="CR414" i="71"/>
  <c r="CT414" i="71"/>
  <c r="CV414" i="71"/>
  <c r="CX414" i="71"/>
  <c r="CZ414" i="71"/>
  <c r="DC414" i="71"/>
  <c r="DE414" i="71"/>
  <c r="DG414" i="71"/>
  <c r="DI414" i="71"/>
  <c r="DK414" i="71"/>
  <c r="DM414" i="71"/>
  <c r="DO414" i="71"/>
  <c r="DQ414" i="71"/>
  <c r="DR414" i="71"/>
  <c r="DT414" i="71"/>
  <c r="DV414" i="71"/>
  <c r="DW414" i="71"/>
  <c r="DX414" i="71"/>
  <c r="DY414" i="71"/>
  <c r="EA414" i="71"/>
  <c r="EB414" i="71"/>
  <c r="ED414" i="71"/>
  <c r="EE414" i="71"/>
  <c r="EG414" i="71"/>
  <c r="C415" i="71"/>
  <c r="AM420" i="71"/>
  <c r="AO420" i="71"/>
  <c r="AQ420" i="71"/>
  <c r="AS420" i="71"/>
  <c r="AU420" i="71"/>
  <c r="AX420" i="71"/>
  <c r="AY420" i="71"/>
  <c r="AZ420" i="71"/>
  <c r="BB420" i="71"/>
  <c r="BC420" i="71"/>
  <c r="BG420" i="71"/>
  <c r="BJ420" i="71"/>
  <c r="BK420" i="71"/>
  <c r="BM420" i="71"/>
  <c r="BS420" i="71"/>
  <c r="BU420" i="71"/>
  <c r="BV420" i="71"/>
  <c r="BX420" i="71"/>
  <c r="BZ420" i="71"/>
  <c r="CB420" i="71"/>
  <c r="CE420" i="71"/>
  <c r="CG420" i="71"/>
  <c r="CH420" i="71"/>
  <c r="CJ420" i="71"/>
  <c r="CM420" i="71"/>
  <c r="CO420" i="71"/>
  <c r="CQ420" i="71"/>
  <c r="CR420" i="71"/>
  <c r="CT420" i="71"/>
  <c r="CU420" i="71"/>
  <c r="CW420" i="71"/>
  <c r="CX420" i="71"/>
  <c r="CY420" i="71"/>
  <c r="DA420" i="71"/>
  <c r="DC420" i="71"/>
  <c r="DD420" i="71"/>
  <c r="DG420" i="71"/>
  <c r="DI420" i="71"/>
  <c r="DK420" i="71"/>
  <c r="DL420" i="71"/>
  <c r="DM420" i="71"/>
  <c r="DN420" i="71"/>
  <c r="DO420" i="71"/>
  <c r="DP420" i="71"/>
  <c r="DT420" i="71"/>
  <c r="DV420" i="71"/>
  <c r="DX420" i="71"/>
  <c r="DZ420" i="71"/>
  <c r="EA420" i="71"/>
  <c r="EC420" i="71"/>
  <c r="EE420" i="71"/>
  <c r="EG420" i="71"/>
  <c r="C422" i="71"/>
  <c r="C420" i="71"/>
  <c r="C423" i="71"/>
  <c r="E427" i="71"/>
  <c r="F427" i="71"/>
  <c r="G427" i="71"/>
  <c r="H427" i="71"/>
  <c r="I427" i="71"/>
  <c r="J427" i="71"/>
  <c r="K427" i="71"/>
  <c r="L427" i="71"/>
  <c r="M427" i="71"/>
  <c r="N427" i="71"/>
  <c r="O427" i="71"/>
  <c r="P427" i="71"/>
  <c r="Q427" i="71"/>
  <c r="R427" i="71"/>
  <c r="S427" i="71"/>
  <c r="T427" i="71"/>
  <c r="U427" i="71"/>
  <c r="V427" i="71"/>
  <c r="W427" i="71"/>
  <c r="X427" i="71"/>
  <c r="Y427" i="71"/>
  <c r="Z427" i="71"/>
  <c r="AB427" i="71"/>
  <c r="AD427" i="71"/>
  <c r="AE427" i="71"/>
  <c r="AF427" i="71"/>
  <c r="AG427" i="71"/>
  <c r="AH427" i="71"/>
  <c r="AJ427" i="71"/>
  <c r="AK427" i="71"/>
  <c r="AL427" i="71"/>
  <c r="AN427" i="71"/>
  <c r="AP427" i="71"/>
  <c r="AR427" i="71"/>
  <c r="AT427" i="71"/>
  <c r="AV427" i="71"/>
  <c r="AX427" i="71"/>
  <c r="AZ427" i="71"/>
  <c r="BB427" i="71"/>
  <c r="BD427" i="71"/>
  <c r="BE427" i="71"/>
  <c r="BH427" i="71"/>
  <c r="BN427" i="71"/>
  <c r="BX427" i="71"/>
  <c r="CD427" i="71"/>
  <c r="CI427" i="71"/>
  <c r="CO427" i="71"/>
  <c r="CX427" i="71"/>
  <c r="DA427" i="71"/>
  <c r="DC427" i="71"/>
  <c r="DE427" i="71"/>
  <c r="DH427" i="71"/>
  <c r="DJ427" i="71"/>
  <c r="DQ427" i="71"/>
  <c r="DV427" i="71"/>
  <c r="EC427" i="71"/>
  <c r="C429" i="71"/>
  <c r="AN433" i="71"/>
  <c r="BC433" i="71"/>
  <c r="BN433" i="71"/>
  <c r="BS433" i="71"/>
  <c r="BY433" i="71"/>
  <c r="CD433" i="71"/>
  <c r="CJ433" i="71"/>
  <c r="CO433" i="71"/>
  <c r="CU433" i="71"/>
  <c r="CZ433" i="71"/>
  <c r="DE433" i="71"/>
  <c r="DP433" i="71"/>
  <c r="DW433" i="71"/>
  <c r="EF433" i="71"/>
  <c r="C85" i="71"/>
  <c r="F439" i="71"/>
  <c r="I439" i="71"/>
  <c r="K439" i="71"/>
  <c r="P439" i="71"/>
  <c r="S439" i="71"/>
  <c r="U439" i="71"/>
  <c r="W439" i="71"/>
  <c r="Y439" i="71"/>
  <c r="AC439" i="71"/>
  <c r="AK439" i="71"/>
  <c r="AV439" i="71"/>
  <c r="AX439" i="71"/>
  <c r="BF439" i="71"/>
  <c r="BL439" i="71"/>
  <c r="BP439" i="71"/>
  <c r="BS439" i="71"/>
  <c r="CD439" i="71"/>
  <c r="CM439" i="71"/>
  <c r="CS439" i="71"/>
  <c r="CT439" i="71"/>
  <c r="CY439" i="71"/>
  <c r="DB439" i="71"/>
  <c r="DQ439" i="71"/>
  <c r="DT439" i="71"/>
  <c r="DV439" i="71"/>
  <c r="EC439" i="71"/>
  <c r="C440" i="71"/>
  <c r="F444" i="71"/>
  <c r="Y444" i="71"/>
  <c r="AE444" i="71"/>
  <c r="AQ444" i="71"/>
  <c r="AW444" i="71"/>
  <c r="BH444" i="71"/>
  <c r="BR444" i="71"/>
  <c r="BY444" i="71"/>
  <c r="CF444" i="71"/>
  <c r="CI444" i="71"/>
  <c r="CS444" i="71"/>
  <c r="DK444" i="71"/>
  <c r="DR444" i="71"/>
  <c r="DZ444" i="71"/>
  <c r="EC444" i="71"/>
  <c r="C446" i="71"/>
  <c r="G453" i="71"/>
  <c r="J457" i="71"/>
  <c r="C458" i="71"/>
  <c r="H460" i="71"/>
  <c r="L461" i="71"/>
  <c r="C464" i="71"/>
  <c r="O464" i="71"/>
  <c r="I465" i="71"/>
  <c r="G468" i="71"/>
  <c r="K461" i="71"/>
  <c r="J472" i="71"/>
  <c r="G475" i="71"/>
  <c r="F476" i="71"/>
  <c r="J476" i="71"/>
  <c r="H479" i="71"/>
  <c r="I483" i="71"/>
  <c r="K488" i="71"/>
  <c r="C491" i="71"/>
  <c r="G497" i="71"/>
  <c r="L504" i="71"/>
  <c r="I505" i="71"/>
  <c r="C508" i="71"/>
  <c r="C589" i="71"/>
  <c r="C598" i="71"/>
  <c r="G15" i="69"/>
  <c r="X15" i="69"/>
  <c r="AU15" i="69"/>
  <c r="AS16" i="69"/>
  <c r="L24" i="69"/>
  <c r="W24" i="69"/>
  <c r="AK24" i="69"/>
  <c r="AS24" i="69"/>
  <c r="X25" i="69"/>
  <c r="S28" i="69"/>
  <c r="AC28" i="69"/>
  <c r="X29" i="69"/>
  <c r="P34" i="69"/>
  <c r="J38" i="69"/>
  <c r="AJ41" i="71"/>
  <c r="P38" i="69"/>
  <c r="Z38" i="69"/>
  <c r="O42" i="69"/>
  <c r="AC42" i="69"/>
  <c r="AR42" i="69"/>
  <c r="M43" i="69"/>
  <c r="BE19" i="71"/>
  <c r="AA43" i="69"/>
  <c r="CU46" i="71"/>
  <c r="AO43" i="69"/>
  <c r="R42" i="69"/>
  <c r="J51" i="69"/>
  <c r="R51" i="69"/>
  <c r="Z51" i="69"/>
  <c r="AO51" i="69"/>
  <c r="AM55" i="71"/>
  <c r="Q52" i="69"/>
  <c r="CO28" i="71"/>
  <c r="CO55" i="71"/>
  <c r="AI52" i="69"/>
  <c r="C58" i="71"/>
  <c r="C55" i="69"/>
  <c r="F60" i="71"/>
  <c r="R60" i="71"/>
  <c r="J57" i="69"/>
  <c r="AV60" i="71"/>
  <c r="BH60" i="71"/>
  <c r="X57" i="69"/>
  <c r="CL60" i="71"/>
  <c r="AH57" i="69"/>
  <c r="E61" i="69"/>
  <c r="G61" i="69"/>
  <c r="L61" i="69"/>
  <c r="AA61" i="69"/>
  <c r="AK61" i="69"/>
  <c r="F74" i="69"/>
  <c r="F76" i="69"/>
  <c r="K74" i="69"/>
  <c r="T74" i="69"/>
  <c r="AD74" i="69"/>
  <c r="AR74" i="69"/>
  <c r="K79" i="69"/>
  <c r="U79" i="69"/>
  <c r="AB79" i="69"/>
  <c r="AO79" i="69"/>
  <c r="AV79" i="69"/>
  <c r="W80" i="69"/>
  <c r="AE80" i="69"/>
  <c r="AO80" i="69"/>
  <c r="AV80" i="69"/>
  <c r="U82" i="69"/>
  <c r="AE82" i="69"/>
  <c r="AL82" i="69"/>
  <c r="AR82" i="69"/>
  <c r="K85" i="69"/>
  <c r="T85" i="69"/>
  <c r="AJ85" i="69"/>
  <c r="AT85" i="69"/>
  <c r="F142" i="69"/>
  <c r="E143" i="69"/>
  <c r="R147" i="71"/>
  <c r="O144" i="69"/>
  <c r="AS147" i="71"/>
  <c r="W144" i="69"/>
  <c r="AA141" i="69"/>
  <c r="CR147" i="71"/>
  <c r="DM147" i="71"/>
  <c r="DY147" i="71"/>
  <c r="G145" i="69"/>
  <c r="M145" i="69"/>
  <c r="R145" i="69"/>
  <c r="V145" i="69"/>
  <c r="BN148" i="71"/>
  <c r="AD145" i="69"/>
  <c r="AH145" i="69"/>
  <c r="AR145" i="69"/>
  <c r="M146" i="69"/>
  <c r="F160" i="69"/>
  <c r="J160" i="69"/>
  <c r="N160" i="69"/>
  <c r="AA160" i="69"/>
  <c r="AJ160" i="69"/>
  <c r="AJ163" i="69"/>
  <c r="AN160" i="69"/>
  <c r="AN163" i="69"/>
  <c r="J168" i="69"/>
  <c r="AE168" i="69"/>
  <c r="K171" i="69"/>
  <c r="O171" i="69"/>
  <c r="Z171" i="69"/>
  <c r="AN171" i="69"/>
  <c r="AW171" i="69"/>
  <c r="CU180" i="71"/>
  <c r="AK177" i="69"/>
  <c r="AM180" i="69"/>
  <c r="T186" i="69"/>
  <c r="AP186" i="69"/>
  <c r="AE254" i="69"/>
  <c r="X268" i="69"/>
  <c r="O269" i="69"/>
  <c r="AQ269" i="69"/>
  <c r="O273" i="69"/>
  <c r="M269" i="69"/>
  <c r="W285" i="69"/>
  <c r="AH286" i="69"/>
  <c r="AI287" i="69"/>
  <c r="U286" i="69"/>
  <c r="AR290" i="69"/>
  <c r="AH297" i="69"/>
  <c r="AB299" i="69"/>
  <c r="AC300" i="69"/>
  <c r="AC302" i="69"/>
  <c r="P307" i="69"/>
  <c r="AS307" i="69"/>
  <c r="AR308" i="69"/>
  <c r="W312" i="69"/>
  <c r="AD313" i="69"/>
  <c r="Y322" i="69"/>
  <c r="AQ323" i="69"/>
  <c r="V330" i="69"/>
  <c r="BS19" i="71"/>
  <c r="CS28" i="71"/>
  <c r="BE180" i="71"/>
  <c r="L41" i="71"/>
  <c r="BE50" i="71"/>
  <c r="L87" i="69"/>
  <c r="R87" i="69"/>
  <c r="X87" i="69"/>
  <c r="AC87" i="69"/>
  <c r="AI87" i="69"/>
  <c r="AO87" i="69"/>
  <c r="AV87" i="69"/>
  <c r="T88" i="69"/>
  <c r="AB88" i="69"/>
  <c r="AH88" i="69"/>
  <c r="AP88" i="69"/>
  <c r="AV88" i="69"/>
  <c r="T90" i="69"/>
  <c r="AA90" i="69"/>
  <c r="AG90" i="69"/>
  <c r="AM90" i="69"/>
  <c r="AV90" i="69"/>
  <c r="H95" i="69"/>
  <c r="N95" i="69"/>
  <c r="U95" i="69"/>
  <c r="AA95" i="69"/>
  <c r="AC96" i="69"/>
  <c r="AP96" i="69"/>
  <c r="C99" i="69"/>
  <c r="AV104" i="69"/>
  <c r="N105" i="69"/>
  <c r="W105" i="69"/>
  <c r="AE105" i="69"/>
  <c r="AL105" i="69"/>
  <c r="AU105" i="69"/>
  <c r="Q111" i="69"/>
  <c r="Y111" i="69"/>
  <c r="AH111" i="69"/>
  <c r="AO111" i="69"/>
  <c r="AA112" i="69"/>
  <c r="CL115" i="71"/>
  <c r="CO115" i="71"/>
  <c r="AI112" i="69"/>
  <c r="AT112" i="69"/>
  <c r="M113" i="69"/>
  <c r="AJ116" i="71"/>
  <c r="S113" i="69"/>
  <c r="Y113" i="69"/>
  <c r="BZ116" i="71"/>
  <c r="AE113" i="69"/>
  <c r="AK113" i="69"/>
  <c r="DS116" i="71"/>
  <c r="AS113" i="69"/>
  <c r="R120" i="69"/>
  <c r="O121" i="69"/>
  <c r="BB124" i="71"/>
  <c r="Z121" i="69"/>
  <c r="AH121" i="69"/>
  <c r="AP121" i="69"/>
  <c r="AW121" i="69"/>
  <c r="CU125" i="71"/>
  <c r="AK122" i="69"/>
  <c r="DP125" i="71"/>
  <c r="AU122" i="69"/>
  <c r="AS128" i="71"/>
  <c r="U125" i="69"/>
  <c r="BW128" i="71"/>
  <c r="AE125" i="69"/>
  <c r="AM125" i="69"/>
  <c r="AS125" i="69"/>
  <c r="AS129" i="71"/>
  <c r="AC126" i="69"/>
  <c r="CU129" i="71"/>
  <c r="AL126" i="69"/>
  <c r="AS126" i="69"/>
  <c r="H131" i="69"/>
  <c r="L131" i="69"/>
  <c r="X131" i="69"/>
  <c r="AF131" i="69"/>
  <c r="AN131" i="69"/>
  <c r="AU131" i="69"/>
  <c r="J141" i="69"/>
  <c r="N141" i="69"/>
  <c r="V141" i="69"/>
  <c r="AC141" i="69"/>
  <c r="AS141" i="69"/>
  <c r="AY147" i="71"/>
  <c r="AB144" i="69"/>
  <c r="Y168" i="69"/>
  <c r="I171" i="69"/>
  <c r="U171" i="69"/>
  <c r="AT171" i="69"/>
  <c r="AU177" i="69"/>
  <c r="M186" i="69"/>
  <c r="AA186" i="69"/>
  <c r="P224" i="69"/>
  <c r="I268" i="69"/>
  <c r="F269" i="69"/>
  <c r="Z269" i="69"/>
  <c r="AI270" i="69"/>
  <c r="S285" i="69"/>
  <c r="AA286" i="69"/>
  <c r="AF287" i="69"/>
  <c r="S290" i="69"/>
  <c r="AO290" i="69"/>
  <c r="AJ297" i="69"/>
  <c r="J300" i="69"/>
  <c r="R300" i="69"/>
  <c r="AP300" i="69"/>
  <c r="AH302" i="69"/>
  <c r="V307" i="69"/>
  <c r="M308" i="69"/>
  <c r="AE308" i="69"/>
  <c r="V309" i="69"/>
  <c r="Q312" i="69"/>
  <c r="AE313" i="69"/>
  <c r="O322" i="69"/>
  <c r="AI323" i="69"/>
  <c r="AS329" i="69"/>
  <c r="CO23" i="71"/>
  <c r="BR180" i="71"/>
  <c r="AG50" i="71"/>
  <c r="N50" i="73"/>
  <c r="K51" i="73"/>
  <c r="K55" i="73" s="1"/>
  <c r="K65" i="73" s="1"/>
  <c r="K70" i="73" s="1"/>
  <c r="K71" i="73" s="1"/>
  <c r="I460" i="71"/>
  <c r="F59" i="73"/>
  <c r="I59" i="73"/>
  <c r="H62" i="73"/>
  <c r="H63" i="73"/>
  <c r="O63" i="73"/>
  <c r="I67" i="73"/>
  <c r="G68" i="73"/>
  <c r="F69" i="73"/>
  <c r="N69" i="73"/>
  <c r="G13" i="68"/>
  <c r="G14" i="68"/>
  <c r="J14" i="68"/>
  <c r="J18" i="68" s="1"/>
  <c r="J29" i="68" s="1"/>
  <c r="J33" i="68" s="1"/>
  <c r="J332" i="68" s="1"/>
  <c r="P14" i="68"/>
  <c r="P18" i="68" s="1"/>
  <c r="P29" i="68" s="1"/>
  <c r="P33" i="68" s="1"/>
  <c r="P332" i="68" s="1"/>
  <c r="P335" i="68" s="1"/>
  <c r="K22" i="68"/>
  <c r="J23" i="68"/>
  <c r="P23" i="68"/>
  <c r="C34" i="68"/>
  <c r="H36" i="68"/>
  <c r="P40" i="68"/>
  <c r="P41" i="68"/>
  <c r="M49" i="68"/>
  <c r="H50" i="68"/>
  <c r="N50" i="68"/>
  <c r="C57" i="68"/>
  <c r="E59" i="68"/>
  <c r="F59" i="68"/>
  <c r="I59" i="68"/>
  <c r="P59" i="68"/>
  <c r="P77" i="68"/>
  <c r="F80" i="68"/>
  <c r="I80" i="68"/>
  <c r="P80" i="68"/>
  <c r="E85" i="68"/>
  <c r="I85" i="68"/>
  <c r="F86" i="68"/>
  <c r="I86" i="68"/>
  <c r="N86" i="68"/>
  <c r="O88" i="68"/>
  <c r="P91" i="68"/>
  <c r="I96" i="68"/>
  <c r="P99" i="68"/>
  <c r="F102" i="68"/>
  <c r="E105" i="68"/>
  <c r="H105" i="68"/>
  <c r="N105" i="68"/>
  <c r="O110" i="68"/>
  <c r="O115" i="68" s="1"/>
  <c r="P119" i="68"/>
  <c r="H123" i="68"/>
  <c r="H124" i="68"/>
  <c r="N124" i="68"/>
  <c r="O129" i="68"/>
  <c r="M139" i="68"/>
  <c r="L142" i="68"/>
  <c r="J143" i="68"/>
  <c r="P143" i="68"/>
  <c r="P166" i="68"/>
  <c r="H174" i="68"/>
  <c r="H177" i="68"/>
  <c r="L178" i="68"/>
  <c r="K211" i="68"/>
  <c r="H212" i="68"/>
  <c r="O212" i="68"/>
  <c r="N216" i="68"/>
  <c r="G223" i="68"/>
  <c r="K223" i="68"/>
  <c r="K224" i="68" s="1"/>
  <c r="C261" i="68"/>
  <c r="F266" i="68"/>
  <c r="L266" i="68"/>
  <c r="J267" i="68"/>
  <c r="E268" i="68"/>
  <c r="E269" i="68" s="1"/>
  <c r="F265" i="68" s="1"/>
  <c r="F269" i="68" s="1"/>
  <c r="G265" i="68" s="1"/>
  <c r="G269" i="68" s="1"/>
  <c r="H265" i="68" s="1"/>
  <c r="H269" i="68" s="1"/>
  <c r="I265" i="68" s="1"/>
  <c r="I269" i="68" s="1"/>
  <c r="J265" i="68" s="1"/>
  <c r="J269" i="68" s="1"/>
  <c r="K265" i="68" s="1"/>
  <c r="K269" i="68" s="1"/>
  <c r="L265" i="68" s="1"/>
  <c r="L269" i="68" s="1"/>
  <c r="M265" i="68" s="1"/>
  <c r="M269" i="68" s="1"/>
  <c r="N265" i="68" s="1"/>
  <c r="N269" i="68" s="1"/>
  <c r="O265" i="68" s="1"/>
  <c r="O269" i="68" s="1"/>
  <c r="P265" i="68" s="1"/>
  <c r="P269" i="68" s="1"/>
  <c r="I268" i="68"/>
  <c r="N268" i="68"/>
  <c r="M271" i="68"/>
  <c r="M272" i="68" s="1"/>
  <c r="M277" i="68" s="1"/>
  <c r="K283" i="68"/>
  <c r="H284" i="68"/>
  <c r="N284" i="68"/>
  <c r="M285" i="68"/>
  <c r="K295" i="68"/>
  <c r="H297" i="68"/>
  <c r="N297" i="68"/>
  <c r="N300" i="68"/>
  <c r="N305" i="68"/>
  <c r="L306" i="68"/>
  <c r="J307" i="68"/>
  <c r="F311" i="68"/>
  <c r="L311" i="68"/>
  <c r="I315" i="68"/>
  <c r="E316" i="68"/>
  <c r="H316" i="68"/>
  <c r="O316" i="68"/>
  <c r="F320" i="68"/>
  <c r="I327" i="68"/>
  <c r="G340" i="68"/>
  <c r="L340" i="68"/>
  <c r="C362" i="68"/>
  <c r="CP23" i="71"/>
  <c r="AI50" i="71"/>
  <c r="AH60" i="71"/>
  <c r="AZ60" i="71"/>
  <c r="BG60" i="71"/>
  <c r="DF115" i="71"/>
  <c r="C146" i="71"/>
  <c r="P185" i="71"/>
  <c r="AM309" i="69"/>
  <c r="K313" i="69"/>
  <c r="AF313" i="69"/>
  <c r="M322" i="69"/>
  <c r="R329" i="69"/>
  <c r="DH23" i="71"/>
  <c r="AN46" i="71"/>
  <c r="EC46" i="71"/>
  <c r="CN116" i="71"/>
  <c r="DC116" i="71"/>
  <c r="S125" i="71"/>
  <c r="CG125" i="71"/>
  <c r="CW125" i="71"/>
  <c r="DW125" i="71"/>
  <c r="BA128" i="71"/>
  <c r="AA312" i="69"/>
  <c r="AB313" i="69"/>
  <c r="Z322" i="69"/>
  <c r="J368" i="69"/>
  <c r="EB23" i="71"/>
  <c r="C221" i="71"/>
  <c r="G244" i="71"/>
  <c r="AA244" i="71"/>
  <c r="AG244" i="71"/>
  <c r="AP244" i="71"/>
  <c r="BF244" i="71"/>
  <c r="BU244" i="71"/>
  <c r="AP245" i="71"/>
  <c r="AU245" i="71"/>
  <c r="P246" i="71"/>
  <c r="BT246" i="71"/>
  <c r="M477" i="71"/>
  <c r="J489" i="71"/>
  <c r="O497" i="71"/>
  <c r="E23" i="69"/>
  <c r="AD24" i="69"/>
  <c r="H38" i="69"/>
  <c r="AP51" i="69"/>
  <c r="G273" i="69"/>
  <c r="U273" i="69"/>
  <c r="F285" i="69"/>
  <c r="AP285" i="69"/>
  <c r="AK287" i="69"/>
  <c r="AM290" i="69"/>
  <c r="AP297" i="69"/>
  <c r="O300" i="69"/>
  <c r="R302" i="69"/>
  <c r="O307" i="69"/>
  <c r="AI307" i="69"/>
  <c r="E495" i="71"/>
  <c r="C495" i="71"/>
  <c r="O495" i="71"/>
  <c r="E497" i="71"/>
  <c r="H497" i="71"/>
  <c r="C498" i="71"/>
  <c r="H498" i="71"/>
  <c r="BR373" i="71"/>
  <c r="K497" i="71"/>
  <c r="K498" i="71"/>
  <c r="O498" i="71"/>
  <c r="E498" i="71"/>
  <c r="E500" i="71"/>
  <c r="H500" i="71"/>
  <c r="K500" i="71"/>
  <c r="G483" i="71"/>
  <c r="G504" i="71"/>
  <c r="K483" i="71"/>
  <c r="K504" i="71"/>
  <c r="E505" i="71"/>
  <c r="C505" i="71"/>
  <c r="H505" i="71"/>
  <c r="BF373" i="71"/>
  <c r="J497" i="71"/>
  <c r="J498" i="71"/>
  <c r="J500" i="71"/>
  <c r="J505" i="71"/>
  <c r="CD373" i="71"/>
  <c r="L497" i="71"/>
  <c r="L498" i="71"/>
  <c r="L500" i="71"/>
  <c r="L505" i="71"/>
  <c r="E506" i="71"/>
  <c r="G506" i="71"/>
  <c r="J506" i="71"/>
  <c r="M483" i="71"/>
  <c r="M504" i="71"/>
  <c r="M506" i="71"/>
  <c r="C576" i="71"/>
  <c r="C345" i="71"/>
  <c r="C584" i="71"/>
  <c r="C585" i="71"/>
  <c r="C590" i="71"/>
  <c r="C349" i="71"/>
  <c r="C597" i="71"/>
  <c r="C599" i="71"/>
  <c r="C607" i="71"/>
  <c r="C608" i="71"/>
  <c r="C371" i="71"/>
  <c r="C620" i="71"/>
  <c r="F15" i="69"/>
  <c r="J15" i="69"/>
  <c r="L15" i="69"/>
  <c r="O15" i="69"/>
  <c r="R15" i="69"/>
  <c r="Z15" i="69"/>
  <c r="AD15" i="69"/>
  <c r="AI15" i="69"/>
  <c r="AM15" i="69"/>
  <c r="AP15" i="69"/>
  <c r="AS15" i="69"/>
  <c r="AW15" i="69"/>
  <c r="J16" i="69"/>
  <c r="J20" i="69"/>
  <c r="M16" i="69"/>
  <c r="AD16" i="69"/>
  <c r="AG16" i="69"/>
  <c r="AG15" i="69"/>
  <c r="AG20" i="69"/>
  <c r="AO16" i="69"/>
  <c r="AV16" i="69"/>
  <c r="E20" i="69"/>
  <c r="C21" i="69"/>
  <c r="P23" i="69"/>
  <c r="G24" i="69"/>
  <c r="K24" i="69"/>
  <c r="R24" i="69"/>
  <c r="U24" i="69"/>
  <c r="Y24" i="69"/>
  <c r="AB24" i="69"/>
  <c r="AF24" i="69"/>
  <c r="AL24" i="69"/>
  <c r="AP24" i="69"/>
  <c r="L25" i="69"/>
  <c r="P25" i="69"/>
  <c r="S25" i="69"/>
  <c r="V25" i="69"/>
  <c r="Z25" i="69"/>
  <c r="AC25" i="69"/>
  <c r="AG25" i="69"/>
  <c r="AJ25" i="69"/>
  <c r="AN25" i="69"/>
  <c r="AR25" i="69"/>
  <c r="AU25" i="69"/>
  <c r="P27" i="69"/>
  <c r="C27" i="69"/>
  <c r="R28" i="69"/>
  <c r="Y28" i="69"/>
  <c r="AB28" i="69"/>
  <c r="AE28" i="69"/>
  <c r="AL28" i="69"/>
  <c r="AP28" i="69"/>
  <c r="AS28" i="69"/>
  <c r="AV28" i="69"/>
  <c r="S29" i="69"/>
  <c r="V29" i="69"/>
  <c r="Y29" i="69"/>
  <c r="AB29" i="69"/>
  <c r="AF29" i="69"/>
  <c r="AP29" i="69"/>
  <c r="AR29" i="69"/>
  <c r="AV29" i="69"/>
  <c r="F34" i="69"/>
  <c r="F345" i="69" s="1"/>
  <c r="H34" i="69"/>
  <c r="AI34" i="69"/>
  <c r="AI345" i="69"/>
  <c r="N38" i="69"/>
  <c r="Q38" i="69"/>
  <c r="BB41" i="71"/>
  <c r="V38" i="69"/>
  <c r="CU41" i="71"/>
  <c r="AK38" i="69"/>
  <c r="AT38" i="69"/>
  <c r="E42" i="69"/>
  <c r="E47" i="69"/>
  <c r="K42" i="69"/>
  <c r="M42" i="69"/>
  <c r="Q42" i="69"/>
  <c r="U42" i="69"/>
  <c r="W42" i="69"/>
  <c r="Z42" i="69"/>
  <c r="AN42" i="69"/>
  <c r="AQ42" i="69"/>
  <c r="AU42" i="69"/>
  <c r="F43" i="69"/>
  <c r="F47" i="69"/>
  <c r="L46" i="71"/>
  <c r="H43" i="69"/>
  <c r="R46" i="71"/>
  <c r="J43" i="69"/>
  <c r="AM19" i="71"/>
  <c r="AM46" i="71"/>
  <c r="Q43" i="69"/>
  <c r="AY19" i="71"/>
  <c r="AY46" i="71"/>
  <c r="U43" i="69"/>
  <c r="U47" i="69"/>
  <c r="X43" i="69"/>
  <c r="CC19" i="71"/>
  <c r="CC46" i="71"/>
  <c r="AE43" i="69"/>
  <c r="CO46" i="71"/>
  <c r="AI43" i="69"/>
  <c r="CX19" i="71"/>
  <c r="CX46" i="71"/>
  <c r="AL43" i="69"/>
  <c r="AL47" i="69"/>
  <c r="DJ46" i="71"/>
  <c r="AP43" i="69"/>
  <c r="AP47" i="69"/>
  <c r="AS43" i="69"/>
  <c r="AS47" i="69"/>
  <c r="EE46" i="71"/>
  <c r="AW43" i="69"/>
  <c r="AV47" i="69"/>
  <c r="I51" i="69"/>
  <c r="M51" i="69"/>
  <c r="Q51" i="69"/>
  <c r="T51" i="69"/>
  <c r="AB51" i="69"/>
  <c r="AH51" i="69"/>
  <c r="AN51" i="69"/>
  <c r="AV51" i="69"/>
  <c r="AV54" i="69"/>
  <c r="G52" i="69"/>
  <c r="J52" i="69"/>
  <c r="V52" i="69"/>
  <c r="Y52" i="69"/>
  <c r="BW55" i="71"/>
  <c r="AC52" i="69"/>
  <c r="CF55" i="71"/>
  <c r="AF52" i="69"/>
  <c r="AJ52" i="69"/>
  <c r="DY55" i="71"/>
  <c r="AU52" i="69"/>
  <c r="EE55" i="71"/>
  <c r="AW52" i="69"/>
  <c r="O60" i="71"/>
  <c r="I57" i="69"/>
  <c r="AA60" i="71"/>
  <c r="M57" i="69"/>
  <c r="AJ60" i="71"/>
  <c r="P57" i="69"/>
  <c r="S57" i="69"/>
  <c r="BE60" i="71"/>
  <c r="W57" i="69"/>
  <c r="BN60" i="71"/>
  <c r="Z57" i="69"/>
  <c r="AB57" i="69"/>
  <c r="CF60" i="71"/>
  <c r="AF57" i="69"/>
  <c r="AJ57" i="69"/>
  <c r="DA60" i="71"/>
  <c r="AM57" i="69"/>
  <c r="DM60" i="71"/>
  <c r="AQ57" i="69"/>
  <c r="DY60" i="71"/>
  <c r="AU57" i="69"/>
  <c r="AW57" i="69"/>
  <c r="K61" i="69"/>
  <c r="O61" i="69"/>
  <c r="Q61" i="69"/>
  <c r="U61" i="69"/>
  <c r="Y61" i="69"/>
  <c r="AC61" i="69"/>
  <c r="AE61" i="69"/>
  <c r="AI61" i="69"/>
  <c r="AM61" i="69"/>
  <c r="AQ61" i="69"/>
  <c r="AS61" i="69"/>
  <c r="AW61" i="69"/>
  <c r="G74" i="69"/>
  <c r="G76" i="69"/>
  <c r="J74" i="69"/>
  <c r="J76" i="69" s="1"/>
  <c r="N74" i="69"/>
  <c r="U74" i="69"/>
  <c r="Y74" i="69"/>
  <c r="AB74" i="69"/>
  <c r="AF74" i="69"/>
  <c r="AF213" i="69" s="1"/>
  <c r="AJ74" i="69"/>
  <c r="AJ76" i="69" s="1"/>
  <c r="AN74" i="69"/>
  <c r="AQ74" i="69"/>
  <c r="AT74" i="69"/>
  <c r="AT76" i="69" s="1"/>
  <c r="P75" i="69"/>
  <c r="C75" i="69" s="1"/>
  <c r="E76" i="69"/>
  <c r="O76" i="69"/>
  <c r="S76" i="69"/>
  <c r="AN76" i="69"/>
  <c r="C80" i="71"/>
  <c r="C77" i="69"/>
  <c r="G79" i="69"/>
  <c r="J79" i="69"/>
  <c r="N79" i="69"/>
  <c r="Q79" i="69"/>
  <c r="T79" i="69"/>
  <c r="W79" i="69"/>
  <c r="Z79" i="69"/>
  <c r="AD79" i="69"/>
  <c r="AH79" i="69"/>
  <c r="AW82" i="69"/>
  <c r="N85" i="69"/>
  <c r="R85" i="69"/>
  <c r="W85" i="69"/>
  <c r="AA85" i="69"/>
  <c r="AC85" i="69"/>
  <c r="AG85" i="69"/>
  <c r="AK85" i="69"/>
  <c r="AN85" i="69"/>
  <c r="AQ85" i="69"/>
  <c r="AU85" i="69"/>
  <c r="E87" i="69"/>
  <c r="G87" i="69"/>
  <c r="AI141" i="69"/>
  <c r="AV177" i="69"/>
  <c r="V180" i="69"/>
  <c r="Y180" i="69"/>
  <c r="AD180" i="69"/>
  <c r="CX183" i="71"/>
  <c r="AL180" i="69"/>
  <c r="AT180" i="69"/>
  <c r="BB184" i="71"/>
  <c r="V181" i="69"/>
  <c r="Z181" i="69"/>
  <c r="AD181" i="69"/>
  <c r="AI181" i="69"/>
  <c r="AM181" i="69"/>
  <c r="AQ181" i="69"/>
  <c r="AU181" i="69"/>
  <c r="P186" i="69"/>
  <c r="P189" i="69"/>
  <c r="W186" i="69"/>
  <c r="W189" i="69" s="1"/>
  <c r="Y186" i="69"/>
  <c r="Y189" i="69" s="1"/>
  <c r="AD186" i="69"/>
  <c r="AD189" i="69" s="1"/>
  <c r="AF186" i="69"/>
  <c r="AF189" i="69" s="1"/>
  <c r="AO186" i="69"/>
  <c r="AO189" i="69" s="1"/>
  <c r="AS186" i="69"/>
  <c r="AS189" i="69" s="1"/>
  <c r="X189" i="69"/>
  <c r="X199" i="69"/>
  <c r="G213" i="69"/>
  <c r="U213" i="69"/>
  <c r="W213" i="69"/>
  <c r="Y213" i="69"/>
  <c r="AB213" i="69"/>
  <c r="AO213" i="69"/>
  <c r="AW213" i="69"/>
  <c r="P105" i="69"/>
  <c r="P107" i="69" s="1"/>
  <c r="P214" i="69" s="1"/>
  <c r="P217" i="69"/>
  <c r="J224" i="69"/>
  <c r="L224" i="69"/>
  <c r="O224" i="69"/>
  <c r="R224" i="69"/>
  <c r="U224" i="69"/>
  <c r="V224" i="69"/>
  <c r="W224" i="69"/>
  <c r="AB224" i="69"/>
  <c r="AG224" i="69"/>
  <c r="AI224" i="69"/>
  <c r="AK224" i="69"/>
  <c r="AO224" i="69"/>
  <c r="AS224" i="69"/>
  <c r="AW224" i="69"/>
  <c r="P251" i="69"/>
  <c r="Q254" i="69"/>
  <c r="Q255" i="69" s="1"/>
  <c r="Q262" i="69" s="1"/>
  <c r="Q278" i="69" s="1"/>
  <c r="V254" i="69"/>
  <c r="V255" i="69" s="1"/>
  <c r="V262" i="69" s="1"/>
  <c r="V278" i="69" s="1"/>
  <c r="V280" i="69" s="1"/>
  <c r="AA254" i="69"/>
  <c r="AA255" i="69" s="1"/>
  <c r="AA262" i="69" s="1"/>
  <c r="AA278" i="69" s="1"/>
  <c r="AI254" i="69"/>
  <c r="AM254" i="69"/>
  <c r="AM255" i="69" s="1"/>
  <c r="AM262" i="69" s="1"/>
  <c r="AM278" i="69" s="1"/>
  <c r="AR254" i="69"/>
  <c r="AR255" i="69" s="1"/>
  <c r="AR262" i="69" s="1"/>
  <c r="AR278" i="69" s="1"/>
  <c r="O254" i="69"/>
  <c r="O255" i="69" s="1"/>
  <c r="O262" i="69" s="1"/>
  <c r="O278" i="69" s="1"/>
  <c r="O280" i="69" s="1"/>
  <c r="AI255" i="69"/>
  <c r="AI262" i="69"/>
  <c r="AI278" i="69"/>
  <c r="R262" i="69"/>
  <c r="R278" i="69" s="1"/>
  <c r="R280" i="69" s="1"/>
  <c r="F268" i="69"/>
  <c r="K268" i="69"/>
  <c r="Q268" i="69"/>
  <c r="U268" i="69"/>
  <c r="Z268" i="69"/>
  <c r="AD268" i="69"/>
  <c r="AH268" i="69"/>
  <c r="AM268" i="69"/>
  <c r="AP268" i="69"/>
  <c r="E269" i="69"/>
  <c r="G269" i="69"/>
  <c r="K269" i="69"/>
  <c r="V269" i="69"/>
  <c r="Y269" i="69"/>
  <c r="AC269" i="69"/>
  <c r="AH269" i="69"/>
  <c r="AL269" i="69"/>
  <c r="E270" i="69"/>
  <c r="E271" i="69"/>
  <c r="F267" i="69"/>
  <c r="F270" i="69"/>
  <c r="H270" i="69"/>
  <c r="K270" i="69"/>
  <c r="O270" i="69"/>
  <c r="Q270" i="69"/>
  <c r="U270" i="69"/>
  <c r="X270" i="69"/>
  <c r="AB270" i="69"/>
  <c r="AF270" i="69"/>
  <c r="AK270" i="69"/>
  <c r="AN270" i="69"/>
  <c r="AR270" i="69"/>
  <c r="K273" i="69"/>
  <c r="K274" i="69" s="1"/>
  <c r="K279" i="69" s="1"/>
  <c r="N273" i="69"/>
  <c r="S273" i="69"/>
  <c r="V273" i="69"/>
  <c r="Z273" i="69"/>
  <c r="AD273" i="69"/>
  <c r="AD269" i="69"/>
  <c r="AD274" i="69" s="1"/>
  <c r="AD279" i="69" s="1"/>
  <c r="AI273" i="69"/>
  <c r="AI269" i="69"/>
  <c r="AI274" i="69" s="1"/>
  <c r="AI279" i="69" s="1"/>
  <c r="AM273" i="69"/>
  <c r="AP273" i="69"/>
  <c r="AP269" i="69"/>
  <c r="AP274" i="69" s="1"/>
  <c r="AP279" i="69" s="1"/>
  <c r="AK269" i="69"/>
  <c r="AK274" i="69" s="1"/>
  <c r="AK279" i="69" s="1"/>
  <c r="G285" i="69"/>
  <c r="K285" i="69"/>
  <c r="O285" i="69"/>
  <c r="R285" i="69"/>
  <c r="V285" i="69"/>
  <c r="AA285" i="69"/>
  <c r="AD285" i="69"/>
  <c r="AH285" i="69"/>
  <c r="AL285" i="69"/>
  <c r="AO285" i="69"/>
  <c r="AS285" i="69"/>
  <c r="L286" i="69"/>
  <c r="S312" i="69"/>
  <c r="AC312" i="69"/>
  <c r="AK312" i="69"/>
  <c r="AR312" i="69"/>
  <c r="J313" i="69"/>
  <c r="Z313" i="69"/>
  <c r="AG313" i="69"/>
  <c r="AM313" i="69"/>
  <c r="AR313" i="69"/>
  <c r="H320" i="69"/>
  <c r="O320" i="69"/>
  <c r="T320" i="69"/>
  <c r="Z320" i="69"/>
  <c r="AD320" i="69"/>
  <c r="AJ320" i="69"/>
  <c r="AO320" i="69"/>
  <c r="F322" i="69"/>
  <c r="F324" i="69" s="1"/>
  <c r="F325" i="69" s="1"/>
  <c r="I322" i="69"/>
  <c r="N322" i="69"/>
  <c r="U322" i="69"/>
  <c r="AB322" i="69"/>
  <c r="AG322" i="69"/>
  <c r="AG247" i="69" s="1"/>
  <c r="AN322" i="69"/>
  <c r="F323" i="69"/>
  <c r="F242" i="69" s="1"/>
  <c r="I323" i="69"/>
  <c r="I242" i="69" s="1"/>
  <c r="M323" i="69"/>
  <c r="M242" i="69" s="1"/>
  <c r="R323" i="69"/>
  <c r="W323" i="69"/>
  <c r="AE323" i="69"/>
  <c r="AE242" i="69" s="1"/>
  <c r="AK323" i="69"/>
  <c r="AK242" i="69" s="1"/>
  <c r="AO323" i="69"/>
  <c r="AO242" i="69" s="1"/>
  <c r="AO244" i="69" s="1"/>
  <c r="E329" i="69"/>
  <c r="J329" i="69"/>
  <c r="N329" i="69"/>
  <c r="N331" i="69" s="1"/>
  <c r="S329" i="69"/>
  <c r="Z329" i="69"/>
  <c r="Z331" i="69" s="1"/>
  <c r="AF329" i="69"/>
  <c r="AL329" i="69"/>
  <c r="AR329" i="69"/>
  <c r="J330" i="69"/>
  <c r="J243" i="69" s="1"/>
  <c r="O330" i="69"/>
  <c r="U330" i="69"/>
  <c r="U243" i="69" s="1"/>
  <c r="AA330" i="69"/>
  <c r="AG330" i="69"/>
  <c r="AG243" i="69" s="1"/>
  <c r="AM330" i="69"/>
  <c r="AS330" i="69"/>
  <c r="AS243" i="69" s="1"/>
  <c r="O34" i="69"/>
  <c r="AC345" i="69"/>
  <c r="AT345" i="69"/>
  <c r="C355" i="69"/>
  <c r="N368" i="69"/>
  <c r="T34" i="69"/>
  <c r="AC370" i="69"/>
  <c r="AC371" i="69"/>
  <c r="AH34" i="69"/>
  <c r="AH370" i="69" s="1"/>
  <c r="AH371" i="69" s="1"/>
  <c r="AQ34" i="69"/>
  <c r="AQ370" i="69" s="1"/>
  <c r="AQ371" i="69" s="1"/>
  <c r="AI19" i="71"/>
  <c r="AK19" i="71"/>
  <c r="AW19" i="71"/>
  <c r="BC19" i="71"/>
  <c r="BI19" i="71"/>
  <c r="BQ19" i="71"/>
  <c r="BV19" i="71"/>
  <c r="CH19" i="71"/>
  <c r="CJ19" i="71"/>
  <c r="CR19" i="71"/>
  <c r="DO19" i="71"/>
  <c r="E23" i="71"/>
  <c r="G23" i="71"/>
  <c r="K23" i="71"/>
  <c r="O23" i="71"/>
  <c r="R23" i="71"/>
  <c r="Y23" i="71"/>
  <c r="AF23" i="71"/>
  <c r="AJ23" i="71"/>
  <c r="AO23" i="71"/>
  <c r="AU23" i="71"/>
  <c r="AX23" i="71"/>
  <c r="BD23" i="71"/>
  <c r="BM23" i="71"/>
  <c r="BP23" i="71"/>
  <c r="BY23" i="71"/>
  <c r="CJ23" i="71"/>
  <c r="CS23" i="71"/>
  <c r="CZ23" i="71"/>
  <c r="DK23" i="71"/>
  <c r="DP23" i="71"/>
  <c r="DT23" i="71"/>
  <c r="DY23" i="71"/>
  <c r="EE23" i="71"/>
  <c r="F171" i="71"/>
  <c r="F28" i="71"/>
  <c r="M171" i="71"/>
  <c r="M28" i="71"/>
  <c r="Q171" i="71"/>
  <c r="Q28" i="71"/>
  <c r="AC171" i="71"/>
  <c r="AC28" i="71"/>
  <c r="AF171" i="71"/>
  <c r="AF28" i="71"/>
  <c r="AH171" i="71"/>
  <c r="AH28" i="71"/>
  <c r="AN171" i="71"/>
  <c r="AN28" i="71"/>
  <c r="AT171" i="71"/>
  <c r="AT28" i="71"/>
  <c r="BG171" i="71"/>
  <c r="BG28" i="71"/>
  <c r="BM171" i="71"/>
  <c r="BM28" i="71"/>
  <c r="BO171" i="71"/>
  <c r="BO28" i="71"/>
  <c r="BU171" i="71"/>
  <c r="BU28" i="71"/>
  <c r="CH171" i="71"/>
  <c r="CH28" i="71"/>
  <c r="CM171" i="71"/>
  <c r="CM28" i="71"/>
  <c r="CQ171" i="71"/>
  <c r="CQ28" i="71"/>
  <c r="CT171" i="71"/>
  <c r="CT28" i="71"/>
  <c r="CV171" i="71"/>
  <c r="CV28" i="71"/>
  <c r="DB171" i="71"/>
  <c r="DB28" i="71"/>
  <c r="DE171" i="71"/>
  <c r="DE28" i="71"/>
  <c r="DG171" i="71"/>
  <c r="DG28" i="71"/>
  <c r="DQ171" i="71"/>
  <c r="DQ28" i="71"/>
  <c r="DS171" i="71"/>
  <c r="DS28" i="71"/>
  <c r="DU171" i="71"/>
  <c r="DU28" i="71"/>
  <c r="DZ171" i="71"/>
  <c r="DZ28" i="71"/>
  <c r="C29" i="71"/>
  <c r="AO180" i="71"/>
  <c r="AO31" i="71"/>
  <c r="AV31" i="71"/>
  <c r="AY31" i="71"/>
  <c r="BB180" i="71"/>
  <c r="BB31" i="71"/>
  <c r="BD31" i="71"/>
  <c r="BH31" i="71"/>
  <c r="BJ180" i="71"/>
  <c r="BJ31" i="71"/>
  <c r="CB180" i="71"/>
  <c r="CB31" i="71"/>
  <c r="CG180" i="71"/>
  <c r="CG31" i="71"/>
  <c r="CJ31" i="71"/>
  <c r="CL31" i="71"/>
  <c r="DA31" i="71"/>
  <c r="DC180" i="71"/>
  <c r="DC31" i="71"/>
  <c r="DM31" i="71"/>
  <c r="DP180" i="71"/>
  <c r="DP31" i="71"/>
  <c r="DR31" i="71"/>
  <c r="DU180" i="71"/>
  <c r="DU31" i="71"/>
  <c r="DW180" i="71"/>
  <c r="DW31" i="71"/>
  <c r="DZ31" i="71"/>
  <c r="EC180" i="71"/>
  <c r="EC31" i="71"/>
  <c r="EF31" i="71"/>
  <c r="AP32" i="71"/>
  <c r="AR32" i="71"/>
  <c r="AW32" i="71"/>
  <c r="AZ32" i="71"/>
  <c r="BM183" i="71"/>
  <c r="BM32" i="71"/>
  <c r="BO32" i="71"/>
  <c r="BS183" i="71"/>
  <c r="BS32" i="71"/>
  <c r="CD183" i="71"/>
  <c r="CD32" i="71"/>
  <c r="CO32" i="71"/>
  <c r="CS183" i="71"/>
  <c r="CS32" i="71"/>
  <c r="CV32" i="71"/>
  <c r="CX32" i="71"/>
  <c r="DC32" i="71"/>
  <c r="DI32" i="71"/>
  <c r="EA32" i="71"/>
  <c r="C37" i="71"/>
  <c r="DX38" i="71"/>
  <c r="EA38" i="71"/>
  <c r="ED38" i="71"/>
  <c r="E41" i="71"/>
  <c r="G41" i="71"/>
  <c r="M41" i="71"/>
  <c r="P41" i="71"/>
  <c r="S41" i="71"/>
  <c r="U41" i="71"/>
  <c r="W41" i="71"/>
  <c r="Z41" i="71"/>
  <c r="AB41" i="71"/>
  <c r="AL41" i="71"/>
  <c r="AP41" i="71"/>
  <c r="AU41" i="71"/>
  <c r="AX41" i="71"/>
  <c r="BC41" i="71"/>
  <c r="BH41" i="71"/>
  <c r="BK41" i="71"/>
  <c r="BU41" i="71"/>
  <c r="BW41" i="71"/>
  <c r="CG41" i="71"/>
  <c r="CI41" i="71"/>
  <c r="CT41" i="71"/>
  <c r="CV41" i="71"/>
  <c r="CX41" i="71"/>
  <c r="DA41" i="71"/>
  <c r="DJ41" i="71"/>
  <c r="DP41" i="71"/>
  <c r="DW41" i="71"/>
  <c r="DY41" i="71"/>
  <c r="EB41" i="71"/>
  <c r="EG41" i="71"/>
  <c r="H46" i="71"/>
  <c r="K46" i="71"/>
  <c r="P46" i="71"/>
  <c r="S46" i="71"/>
  <c r="W46" i="71"/>
  <c r="X46" i="71"/>
  <c r="K55" i="71"/>
  <c r="N55" i="71"/>
  <c r="S55" i="71"/>
  <c r="X55" i="71"/>
  <c r="AA55" i="71"/>
  <c r="AG55" i="71"/>
  <c r="AI55" i="71"/>
  <c r="AN55" i="71"/>
  <c r="AP55" i="71"/>
  <c r="AR55" i="71"/>
  <c r="AU55" i="71"/>
  <c r="AW55" i="71"/>
  <c r="BI55" i="71"/>
  <c r="BM55" i="71"/>
  <c r="BQ55" i="71"/>
  <c r="BS55" i="71"/>
  <c r="BU55" i="71"/>
  <c r="BY171" i="71"/>
  <c r="BY28" i="71"/>
  <c r="BY55" i="71"/>
  <c r="CM55" i="71"/>
  <c r="CP55" i="71"/>
  <c r="CV55" i="71"/>
  <c r="CY55" i="71"/>
  <c r="DA55" i="71"/>
  <c r="DH171" i="71"/>
  <c r="DH28" i="71"/>
  <c r="DH55" i="71"/>
  <c r="DJ55" i="71"/>
  <c r="DM55" i="71"/>
  <c r="DU55" i="71"/>
  <c r="DW55" i="71"/>
  <c r="DZ55" i="71"/>
  <c r="BC373" i="71"/>
  <c r="BD373" i="71"/>
  <c r="BE373" i="71"/>
  <c r="BG373" i="71"/>
  <c r="BH373" i="71"/>
  <c r="BI373" i="71"/>
  <c r="BJ373" i="71"/>
  <c r="BK373" i="71"/>
  <c r="BL373" i="71"/>
  <c r="BN373" i="71"/>
  <c r="BO373" i="71"/>
  <c r="BP373" i="71"/>
  <c r="BQ373" i="71"/>
  <c r="BU373" i="71"/>
  <c r="BV373" i="71"/>
  <c r="BW373" i="71"/>
  <c r="BX373" i="71"/>
  <c r="BY373" i="71"/>
  <c r="CA373" i="71"/>
  <c r="CC373" i="71"/>
  <c r="CE373" i="71"/>
  <c r="CF373" i="71"/>
  <c r="CG373" i="71"/>
  <c r="CH373" i="71"/>
  <c r="CI373" i="71"/>
  <c r="CJ373" i="71"/>
  <c r="CK373" i="71"/>
  <c r="CL373" i="71"/>
  <c r="CM373" i="71"/>
  <c r="CN373" i="71"/>
  <c r="CO373" i="71"/>
  <c r="CQ373" i="71"/>
  <c r="CS373" i="71"/>
  <c r="CT373" i="71"/>
  <c r="CV373" i="71"/>
  <c r="CW373" i="71"/>
  <c r="CX373" i="71"/>
  <c r="CY373" i="71"/>
  <c r="CZ373" i="71"/>
  <c r="DA373" i="71"/>
  <c r="DB373" i="71"/>
  <c r="DD373" i="71"/>
  <c r="DE373" i="71"/>
  <c r="DF373" i="71"/>
  <c r="DH373" i="71"/>
  <c r="DI373" i="71"/>
  <c r="DJ373" i="71"/>
  <c r="DK373" i="71"/>
  <c r="DM373" i="71"/>
  <c r="DN373" i="71"/>
  <c r="DO373" i="71"/>
  <c r="DP373" i="71"/>
  <c r="DR373" i="71"/>
  <c r="DS373" i="71"/>
  <c r="DT373" i="71"/>
  <c r="DU373" i="71"/>
  <c r="DV373" i="71"/>
  <c r="DW373" i="71"/>
  <c r="DX373" i="71"/>
  <c r="DY373" i="71"/>
  <c r="DZ373" i="71"/>
  <c r="EA373" i="71"/>
  <c r="EB373" i="71"/>
  <c r="EF373" i="71"/>
  <c r="EG373" i="71"/>
  <c r="F374" i="71"/>
  <c r="G374" i="71"/>
  <c r="H374" i="71"/>
  <c r="I374" i="71"/>
  <c r="J374" i="71"/>
  <c r="K374" i="71"/>
  <c r="L374" i="71"/>
  <c r="M374" i="71"/>
  <c r="N374" i="71"/>
  <c r="O374" i="71"/>
  <c r="P374" i="71"/>
  <c r="Q374" i="71"/>
  <c r="R374" i="71"/>
  <c r="S374" i="71"/>
  <c r="T374" i="71"/>
  <c r="U374" i="71"/>
  <c r="V374" i="71"/>
  <c r="W374" i="71"/>
  <c r="X374" i="71"/>
  <c r="Y374" i="71"/>
  <c r="Z374" i="71"/>
  <c r="AA374" i="71"/>
  <c r="AB374" i="71"/>
  <c r="AC374" i="71"/>
  <c r="AD374" i="71"/>
  <c r="AE374" i="71"/>
  <c r="AF374" i="71"/>
  <c r="AG373" i="71"/>
  <c r="AG374" i="71"/>
  <c r="AH374" i="71"/>
  <c r="AI374" i="71"/>
  <c r="AJ373" i="71"/>
  <c r="AJ374" i="71"/>
  <c r="AK374" i="71"/>
  <c r="AL373" i="71"/>
  <c r="AL374" i="71"/>
  <c r="AM374" i="71"/>
  <c r="AN374" i="71"/>
  <c r="AO374" i="71"/>
  <c r="AP374" i="71"/>
  <c r="AQ373" i="71"/>
  <c r="AQ374" i="71"/>
  <c r="AR374" i="71"/>
  <c r="AS374" i="71"/>
  <c r="AT374" i="71"/>
  <c r="AU373" i="71"/>
  <c r="AU374" i="71"/>
  <c r="AV373" i="71"/>
  <c r="AV374" i="71"/>
  <c r="AW374" i="71"/>
  <c r="AX373" i="71"/>
  <c r="AX374" i="71"/>
  <c r="AY373" i="71"/>
  <c r="AY374" i="71"/>
  <c r="AZ374" i="71"/>
  <c r="BA374" i="71"/>
  <c r="BB374" i="71"/>
  <c r="BC374" i="71"/>
  <c r="BD374" i="71"/>
  <c r="BE374" i="71"/>
  <c r="BF374" i="71"/>
  <c r="BG374" i="71"/>
  <c r="BH374" i="71"/>
  <c r="BI374" i="71"/>
  <c r="BJ374" i="71"/>
  <c r="BK374" i="71"/>
  <c r="BL374" i="71"/>
  <c r="BM373" i="71"/>
  <c r="BM374" i="71"/>
  <c r="BN374" i="71"/>
  <c r="BO374" i="71"/>
  <c r="BP374" i="71"/>
  <c r="BQ374" i="71"/>
  <c r="BR374" i="71"/>
  <c r="BS373" i="71"/>
  <c r="BS374" i="71"/>
  <c r="BT374" i="71"/>
  <c r="BU374" i="71"/>
  <c r="BV374" i="71"/>
  <c r="BW374" i="71"/>
  <c r="BX374" i="71"/>
  <c r="BY374" i="71"/>
  <c r="BZ373" i="71"/>
  <c r="BZ374" i="71"/>
  <c r="CA374" i="71"/>
  <c r="CB373" i="71"/>
  <c r="CB374" i="71"/>
  <c r="CC374" i="71"/>
  <c r="CD374" i="71"/>
  <c r="CE374" i="71"/>
  <c r="CF374" i="71"/>
  <c r="CG374" i="71"/>
  <c r="CH374" i="71"/>
  <c r="CI374" i="71"/>
  <c r="CJ374" i="71"/>
  <c r="CK374" i="71"/>
  <c r="CL374" i="71"/>
  <c r="CM374" i="71"/>
  <c r="CN374" i="71"/>
  <c r="CO374" i="71"/>
  <c r="CP374" i="71"/>
  <c r="CQ374" i="71"/>
  <c r="CR374" i="71"/>
  <c r="CS374" i="71"/>
  <c r="CT374" i="71"/>
  <c r="CU373" i="71"/>
  <c r="CU374" i="71"/>
  <c r="CV374" i="71"/>
  <c r="CW374" i="71"/>
  <c r="CX374" i="71"/>
  <c r="CY374" i="71"/>
  <c r="CZ374" i="71"/>
  <c r="DA374" i="71"/>
  <c r="DB374" i="71"/>
  <c r="DC374" i="71"/>
  <c r="DD374" i="71"/>
  <c r="DE374" i="71"/>
  <c r="DF374" i="71"/>
  <c r="DG373" i="71"/>
  <c r="DG374" i="71"/>
  <c r="DH374" i="71"/>
  <c r="DI374" i="71"/>
  <c r="DJ374" i="71"/>
  <c r="DK374" i="71"/>
  <c r="DL373" i="71"/>
  <c r="DL374" i="71"/>
  <c r="DM374" i="71"/>
  <c r="DN374" i="71"/>
  <c r="DO374" i="71"/>
  <c r="DP374" i="71"/>
  <c r="DQ373" i="71"/>
  <c r="DQ374" i="71"/>
  <c r="DR374" i="71"/>
  <c r="DS374" i="71"/>
  <c r="DT374" i="71"/>
  <c r="DU374" i="71"/>
  <c r="DV374" i="71"/>
  <c r="DW374" i="71"/>
  <c r="DX374" i="71"/>
  <c r="DY374" i="71"/>
  <c r="DZ374" i="71"/>
  <c r="EA374" i="71"/>
  <c r="EB374" i="71"/>
  <c r="EC374" i="71"/>
  <c r="ED373" i="71"/>
  <c r="ED374" i="71"/>
  <c r="EE374" i="71"/>
  <c r="EF374" i="71"/>
  <c r="EG374" i="71"/>
  <c r="E376" i="71"/>
  <c r="F376" i="71"/>
  <c r="G376" i="71"/>
  <c r="H376" i="71"/>
  <c r="I376" i="71"/>
  <c r="J376" i="71"/>
  <c r="K376" i="71"/>
  <c r="L376" i="71"/>
  <c r="M376" i="71"/>
  <c r="N376" i="71"/>
  <c r="O376" i="71"/>
  <c r="P376" i="71"/>
  <c r="Q376" i="71"/>
  <c r="R376" i="71"/>
  <c r="S376" i="71"/>
  <c r="T376" i="71"/>
  <c r="U376" i="71"/>
  <c r="V376" i="71"/>
  <c r="W376" i="71"/>
  <c r="X376" i="71"/>
  <c r="Y376" i="71"/>
  <c r="Z376" i="71"/>
  <c r="AA376" i="71"/>
  <c r="AB376" i="71"/>
  <c r="AC376" i="71"/>
  <c r="AD376" i="71"/>
  <c r="AE376" i="71"/>
  <c r="AF376" i="71"/>
  <c r="AG376" i="71"/>
  <c r="AH376" i="71"/>
  <c r="AI376" i="71"/>
  <c r="AJ376" i="71"/>
  <c r="AK376" i="71"/>
  <c r="AL376" i="71"/>
  <c r="AM376" i="71"/>
  <c r="AN376" i="71"/>
  <c r="AO376" i="71"/>
  <c r="AP376" i="71"/>
  <c r="AQ376" i="71"/>
  <c r="AR376" i="71"/>
  <c r="AS376" i="71"/>
  <c r="AT376" i="71"/>
  <c r="AU376" i="71"/>
  <c r="AV376" i="71"/>
  <c r="AW376" i="71"/>
  <c r="AX376" i="71"/>
  <c r="AY376" i="71"/>
  <c r="AZ376" i="71"/>
  <c r="BA376" i="71"/>
  <c r="BB376" i="71"/>
  <c r="BC376" i="71"/>
  <c r="BD376" i="71"/>
  <c r="BE376" i="71"/>
  <c r="BF376" i="71"/>
  <c r="BG376" i="71"/>
  <c r="BH376" i="71"/>
  <c r="BI376" i="71"/>
  <c r="BJ376" i="71"/>
  <c r="BK376" i="71"/>
  <c r="BL376" i="71"/>
  <c r="BM376" i="71"/>
  <c r="BN376" i="71"/>
  <c r="BO376" i="71"/>
  <c r="BP376" i="71"/>
  <c r="BQ376" i="71"/>
  <c r="BR376" i="71"/>
  <c r="BS376" i="71"/>
  <c r="BT376" i="71"/>
  <c r="BU376" i="71"/>
  <c r="BV376" i="71"/>
  <c r="BW376" i="71"/>
  <c r="BX376" i="71"/>
  <c r="BY376" i="71"/>
  <c r="BZ376" i="71"/>
  <c r="CA376" i="71"/>
  <c r="CB376" i="71"/>
  <c r="CC376" i="71"/>
  <c r="CD376" i="71"/>
  <c r="CE376" i="71"/>
  <c r="CF376" i="71"/>
  <c r="CG376" i="71"/>
  <c r="CH376" i="71"/>
  <c r="CI376" i="71"/>
  <c r="CJ376" i="71"/>
  <c r="CK376" i="71"/>
  <c r="CL376" i="71"/>
  <c r="CM376" i="71"/>
  <c r="CN376" i="71"/>
  <c r="CO376" i="71"/>
  <c r="CP376" i="71"/>
  <c r="CQ376" i="71"/>
  <c r="CR376" i="71"/>
  <c r="CS376" i="71"/>
  <c r="CT376" i="71"/>
  <c r="CU376" i="71"/>
  <c r="CV376" i="71"/>
  <c r="CW376" i="71"/>
  <c r="CX376" i="71"/>
  <c r="CY376" i="71"/>
  <c r="CZ376" i="71"/>
  <c r="DA376" i="71"/>
  <c r="DB376" i="71"/>
  <c r="DC376" i="71"/>
  <c r="DD376" i="71"/>
  <c r="DE376" i="71"/>
  <c r="DF376" i="71"/>
  <c r="DG376" i="71"/>
  <c r="DH376" i="71"/>
  <c r="DI376" i="71"/>
  <c r="DJ376" i="71"/>
  <c r="DK376" i="71"/>
  <c r="DL376" i="71"/>
  <c r="DM376" i="71"/>
  <c r="DN376" i="71"/>
  <c r="DO376" i="71"/>
  <c r="DP376" i="71"/>
  <c r="DQ376" i="71"/>
  <c r="DR376" i="71"/>
  <c r="DS376" i="71"/>
  <c r="DT376" i="71"/>
  <c r="DU376" i="71"/>
  <c r="DV376" i="71"/>
  <c r="DW376" i="71"/>
  <c r="DX376" i="71"/>
  <c r="DY376" i="71"/>
  <c r="DZ376" i="71"/>
  <c r="EA376" i="71"/>
  <c r="EB376" i="71"/>
  <c r="EC376" i="71"/>
  <c r="ED376" i="71"/>
  <c r="EE376" i="71"/>
  <c r="EF376" i="71"/>
  <c r="EG376" i="71"/>
  <c r="E380" i="71"/>
  <c r="F380" i="71"/>
  <c r="G380" i="71"/>
  <c r="H380" i="71"/>
  <c r="I380" i="71"/>
  <c r="J380" i="71"/>
  <c r="K380" i="71"/>
  <c r="L380" i="71"/>
  <c r="M380" i="71"/>
  <c r="N380" i="71"/>
  <c r="O380" i="71"/>
  <c r="P380" i="71"/>
  <c r="Q380" i="71"/>
  <c r="R380" i="71"/>
  <c r="S380" i="71"/>
  <c r="T380" i="71"/>
  <c r="U380" i="71"/>
  <c r="V380" i="71"/>
  <c r="W380" i="71"/>
  <c r="X380" i="71"/>
  <c r="Y380" i="71"/>
  <c r="Z380" i="71"/>
  <c r="AA380" i="71"/>
  <c r="AB380" i="71"/>
  <c r="AC380" i="71"/>
  <c r="AD380" i="71"/>
  <c r="AE380" i="71"/>
  <c r="AF380" i="71"/>
  <c r="AG380" i="71"/>
  <c r="AH380" i="71"/>
  <c r="AI380" i="71"/>
  <c r="AJ380" i="71"/>
  <c r="AK380" i="71"/>
  <c r="AL380" i="71"/>
  <c r="AM380" i="71"/>
  <c r="AN380" i="71"/>
  <c r="AO380" i="71"/>
  <c r="AP380" i="71"/>
  <c r="AQ380" i="71"/>
  <c r="AR380" i="71"/>
  <c r="AS380" i="71"/>
  <c r="AT380" i="71"/>
  <c r="AU380" i="71"/>
  <c r="AV380" i="71"/>
  <c r="AW380" i="71"/>
  <c r="AX380" i="71"/>
  <c r="AY380" i="71"/>
  <c r="AZ380" i="71"/>
  <c r="BA380" i="71"/>
  <c r="BB380" i="71"/>
  <c r="BC380" i="71"/>
  <c r="BD380" i="71"/>
  <c r="BE380" i="71"/>
  <c r="BF380" i="71"/>
  <c r="BG380" i="71"/>
  <c r="BH380" i="71"/>
  <c r="BI380" i="71"/>
  <c r="BJ380" i="71"/>
  <c r="BK380" i="71"/>
  <c r="BL380" i="71"/>
  <c r="BM380" i="71"/>
  <c r="BN380" i="71"/>
  <c r="BO380" i="71"/>
  <c r="BP380" i="71"/>
  <c r="BQ380" i="71"/>
  <c r="BR380" i="71"/>
  <c r="BS380" i="71"/>
  <c r="BT380" i="71"/>
  <c r="BU380" i="71"/>
  <c r="BV380" i="71"/>
  <c r="BW380" i="71"/>
  <c r="BX380" i="71"/>
  <c r="BY380" i="71"/>
  <c r="BZ380" i="71"/>
  <c r="CA380" i="71"/>
  <c r="CB380" i="71"/>
  <c r="CC380" i="71"/>
  <c r="CD380" i="71"/>
  <c r="CE380" i="71"/>
  <c r="CF380" i="71"/>
  <c r="CG380" i="71"/>
  <c r="CH380" i="71"/>
  <c r="CI380" i="71"/>
  <c r="CJ380" i="71"/>
  <c r="CK380" i="71"/>
  <c r="CL380" i="71"/>
  <c r="CM380" i="71"/>
  <c r="CN380" i="71"/>
  <c r="CO380" i="71"/>
  <c r="CP380" i="71"/>
  <c r="CQ380" i="71"/>
  <c r="CR380" i="71"/>
  <c r="CS380" i="71"/>
  <c r="CT380" i="71"/>
  <c r="CU380" i="71"/>
  <c r="CV380" i="71"/>
  <c r="CW380" i="71"/>
  <c r="CX380" i="71"/>
  <c r="CY380" i="71"/>
  <c r="CZ380" i="71"/>
  <c r="DA380" i="71"/>
  <c r="DB380" i="71"/>
  <c r="DC380" i="71"/>
  <c r="DD380" i="71"/>
  <c r="DE380" i="71"/>
  <c r="DF380" i="71"/>
  <c r="DG380" i="71"/>
  <c r="DH380" i="71"/>
  <c r="DI380" i="71"/>
  <c r="DJ380" i="71"/>
  <c r="DK380" i="71"/>
  <c r="DL380" i="71"/>
  <c r="DM380" i="71"/>
  <c r="DN380" i="71"/>
  <c r="DO380" i="71"/>
  <c r="DP380" i="71"/>
  <c r="DQ380" i="71"/>
  <c r="DR380" i="71"/>
  <c r="DS380" i="71"/>
  <c r="DT380" i="71"/>
  <c r="DU380" i="71"/>
  <c r="DV380" i="71"/>
  <c r="DW380" i="71"/>
  <c r="DX380" i="71"/>
  <c r="DY380" i="71"/>
  <c r="DZ380" i="71"/>
  <c r="EA380" i="71"/>
  <c r="EB380" i="71"/>
  <c r="EC380" i="71"/>
  <c r="ED380" i="71"/>
  <c r="EE380" i="71"/>
  <c r="EF380" i="71"/>
  <c r="EG380" i="71"/>
  <c r="E381" i="71"/>
  <c r="F381" i="71"/>
  <c r="G381" i="71"/>
  <c r="H381" i="71"/>
  <c r="I381" i="71"/>
  <c r="J381" i="71"/>
  <c r="K381" i="71"/>
  <c r="L381" i="71"/>
  <c r="M381" i="71"/>
  <c r="N381" i="71"/>
  <c r="O381" i="71"/>
  <c r="P381" i="71"/>
  <c r="Q381" i="71"/>
  <c r="R381" i="71"/>
  <c r="S381" i="71"/>
  <c r="T381" i="71"/>
  <c r="U381" i="71"/>
  <c r="V381" i="71"/>
  <c r="W381" i="71"/>
  <c r="X381" i="71"/>
  <c r="Y381" i="71"/>
  <c r="Z381" i="71"/>
  <c r="AA381" i="71"/>
  <c r="AB381" i="71"/>
  <c r="AC381" i="71"/>
  <c r="AD381" i="71"/>
  <c r="AE381" i="71"/>
  <c r="AF381" i="71"/>
  <c r="AG381" i="71"/>
  <c r="AH381" i="71"/>
  <c r="AI381" i="71"/>
  <c r="AJ381" i="71"/>
  <c r="AK381" i="71"/>
  <c r="AL381" i="71"/>
  <c r="AM381" i="71"/>
  <c r="AN381" i="71"/>
  <c r="AO381" i="71"/>
  <c r="AP381" i="71"/>
  <c r="AQ381" i="71"/>
  <c r="AR381" i="71"/>
  <c r="AS381" i="71"/>
  <c r="AT381" i="71"/>
  <c r="AU381" i="71"/>
  <c r="AV381" i="71"/>
  <c r="AW381" i="71"/>
  <c r="AX381" i="71"/>
  <c r="AY381" i="71"/>
  <c r="AZ381" i="71"/>
  <c r="BA381" i="71"/>
  <c r="BB381" i="71"/>
  <c r="BC381" i="71"/>
  <c r="BD381" i="71"/>
  <c r="BE381" i="71"/>
  <c r="BF381" i="71"/>
  <c r="BG381" i="71"/>
  <c r="BH381" i="71"/>
  <c r="BI381" i="71"/>
  <c r="BJ381" i="71"/>
  <c r="BK381" i="71"/>
  <c r="BL381" i="71"/>
  <c r="BM381" i="71"/>
  <c r="BN381" i="71"/>
  <c r="BO381" i="71"/>
  <c r="BP381" i="71"/>
  <c r="BQ381" i="71"/>
  <c r="BR381" i="71"/>
  <c r="BS381" i="71"/>
  <c r="BT381" i="71"/>
  <c r="BU381" i="71"/>
  <c r="BV381" i="71"/>
  <c r="BW381" i="71"/>
  <c r="BX381" i="71"/>
  <c r="BY381" i="71"/>
  <c r="BZ381" i="71"/>
  <c r="CA381" i="71"/>
  <c r="CB381" i="71"/>
  <c r="CC381" i="71"/>
  <c r="CD381" i="71"/>
  <c r="CE381" i="71"/>
  <c r="CF381" i="71"/>
  <c r="CG381" i="71"/>
  <c r="CH381" i="71"/>
  <c r="CI381" i="71"/>
  <c r="CJ381" i="71"/>
  <c r="CK381" i="71"/>
  <c r="CL381" i="71"/>
  <c r="CM381" i="71"/>
  <c r="CN381" i="71"/>
  <c r="CO381" i="71"/>
  <c r="CP381" i="71"/>
  <c r="CQ381" i="71"/>
  <c r="CR381" i="71"/>
  <c r="CS381" i="71"/>
  <c r="CT381" i="71"/>
  <c r="CU381" i="71"/>
  <c r="CV381" i="71"/>
  <c r="CW381" i="71"/>
  <c r="CX381" i="71"/>
  <c r="N308" i="69"/>
  <c r="R308" i="69"/>
  <c r="V308" i="69"/>
  <c r="Y308" i="69"/>
  <c r="AD308" i="69"/>
  <c r="AG308" i="69"/>
  <c r="AK308" i="69"/>
  <c r="AO308" i="69"/>
  <c r="E309" i="69"/>
  <c r="G309" i="69"/>
  <c r="J309" i="69"/>
  <c r="N309" i="69"/>
  <c r="R309" i="69"/>
  <c r="X309" i="69"/>
  <c r="AC309" i="69"/>
  <c r="AH309" i="69"/>
  <c r="AO309" i="69"/>
  <c r="F312" i="69"/>
  <c r="J312" i="69"/>
  <c r="P312" i="69"/>
  <c r="X312" i="69"/>
  <c r="AF312" i="69"/>
  <c r="AN312" i="69"/>
  <c r="G313" i="69"/>
  <c r="P313" i="69"/>
  <c r="W313" i="69"/>
  <c r="AC313" i="69"/>
  <c r="AK313" i="69"/>
  <c r="AS313" i="69"/>
  <c r="J320" i="69"/>
  <c r="Q320" i="69"/>
  <c r="X320" i="69"/>
  <c r="AF320" i="69"/>
  <c r="AM320" i="69"/>
  <c r="G322" i="69"/>
  <c r="K322" i="69"/>
  <c r="Q322" i="69"/>
  <c r="Q247" i="69" s="1"/>
  <c r="AA322" i="69"/>
  <c r="AI322" i="69"/>
  <c r="J322" i="69"/>
  <c r="J324" i="69" s="1"/>
  <c r="J325" i="69" s="1"/>
  <c r="F329" i="69"/>
  <c r="P329" i="69"/>
  <c r="AG329" i="69"/>
  <c r="AO329" i="69"/>
  <c r="C343" i="69"/>
  <c r="C352" i="69"/>
  <c r="EE38" i="71"/>
  <c r="CM41" i="71"/>
  <c r="DU41" i="71"/>
  <c r="BI50" i="71"/>
  <c r="CG50" i="71"/>
  <c r="CS50" i="71"/>
  <c r="DY50" i="71"/>
  <c r="V55" i="71"/>
  <c r="CH55" i="71"/>
  <c r="DC439" i="71"/>
  <c r="DJ439" i="71"/>
  <c r="DL439" i="71"/>
  <c r="DN439" i="71"/>
  <c r="DP439" i="71"/>
  <c r="DS439" i="71"/>
  <c r="DU439" i="71"/>
  <c r="DW439" i="71"/>
  <c r="DY439" i="71"/>
  <c r="EB439" i="71"/>
  <c r="EF439" i="71"/>
  <c r="EG439" i="71"/>
  <c r="C442" i="71"/>
  <c r="C456" i="71"/>
  <c r="O456" i="71"/>
  <c r="F457" i="71"/>
  <c r="G457" i="71"/>
  <c r="I457" i="71"/>
  <c r="K457" i="71"/>
  <c r="O460" i="71"/>
  <c r="C467" i="71"/>
  <c r="O467" i="71"/>
  <c r="H468" i="71"/>
  <c r="J468" i="71"/>
  <c r="M468" i="71"/>
  <c r="L472" i="71"/>
  <c r="O472" i="71"/>
  <c r="F479" i="71"/>
  <c r="J479" i="71"/>
  <c r="O479" i="71"/>
  <c r="C480" i="71"/>
  <c r="C481" i="71"/>
  <c r="H489" i="71"/>
  <c r="K489" i="71"/>
  <c r="E490" i="71"/>
  <c r="F497" i="71"/>
  <c r="O504" i="71"/>
  <c r="I506" i="71"/>
  <c r="L506" i="71"/>
  <c r="C592" i="71"/>
  <c r="C596" i="71"/>
  <c r="C350" i="71"/>
  <c r="C613" i="71"/>
  <c r="C616" i="71"/>
  <c r="AB15" i="69"/>
  <c r="AL15" i="69"/>
  <c r="AO15" i="69"/>
  <c r="AR15" i="69"/>
  <c r="AV15" i="69"/>
  <c r="H16" i="69"/>
  <c r="O16" i="69"/>
  <c r="R16" i="69"/>
  <c r="Z16" i="69"/>
  <c r="AC16" i="69"/>
  <c r="AJ16" i="69"/>
  <c r="R23" i="69"/>
  <c r="H24" i="69"/>
  <c r="N24" i="69"/>
  <c r="X24" i="69"/>
  <c r="AC24" i="69"/>
  <c r="AG24" i="69"/>
  <c r="AM24" i="69"/>
  <c r="E25" i="69"/>
  <c r="O25" i="69"/>
  <c r="AI25" i="69"/>
  <c r="AM25" i="69"/>
  <c r="AQ25" i="69"/>
  <c r="T28" i="69"/>
  <c r="Z28" i="69"/>
  <c r="AK28" i="69"/>
  <c r="AQ28" i="69"/>
  <c r="R29" i="69"/>
  <c r="W29" i="69"/>
  <c r="AA29" i="69"/>
  <c r="AG29" i="69"/>
  <c r="AU29" i="69"/>
  <c r="E38" i="69"/>
  <c r="I41" i="71"/>
  <c r="G38" i="69"/>
  <c r="R38" i="69"/>
  <c r="X38" i="69"/>
  <c r="DG41" i="71"/>
  <c r="AO38" i="69"/>
  <c r="AU38" i="69"/>
  <c r="Y42" i="69"/>
  <c r="AB42" i="69"/>
  <c r="AI42" i="69"/>
  <c r="AO42" i="69"/>
  <c r="K43" i="69"/>
  <c r="O43" i="69"/>
  <c r="Z43" i="69"/>
  <c r="AJ43" i="69"/>
  <c r="AN43" i="69"/>
  <c r="AQ43" i="69"/>
  <c r="AU43" i="69"/>
  <c r="F52" i="69"/>
  <c r="F54" i="69" s="1"/>
  <c r="F58" i="69" s="1"/>
  <c r="F62" i="69" s="1"/>
  <c r="I52" i="69"/>
  <c r="L52" i="69"/>
  <c r="W52" i="69"/>
  <c r="AA52" i="69"/>
  <c r="AH52" i="69"/>
  <c r="AK52" i="69"/>
  <c r="Q76" i="69"/>
  <c r="AB76" i="69"/>
  <c r="F213" i="69"/>
  <c r="J213" i="69"/>
  <c r="AJ213" i="69"/>
  <c r="AN213" i="69"/>
  <c r="AV213" i="69"/>
  <c r="G224" i="69"/>
  <c r="AJ224" i="69"/>
  <c r="AN224" i="69"/>
  <c r="AQ224" i="69"/>
  <c r="AT224" i="69"/>
  <c r="AE291" i="69"/>
  <c r="X313" i="69"/>
  <c r="AA313" i="69"/>
  <c r="AH313" i="69"/>
  <c r="C315" i="69"/>
  <c r="H317" i="69"/>
  <c r="F320" i="69"/>
  <c r="N320" i="69"/>
  <c r="W322" i="69"/>
  <c r="AE322" i="69"/>
  <c r="AK322" i="69"/>
  <c r="AO322" i="69"/>
  <c r="AO247" i="69" s="1"/>
  <c r="K323" i="69"/>
  <c r="G329" i="69"/>
  <c r="Q329" i="69"/>
  <c r="W329" i="69"/>
  <c r="AB329" i="69"/>
  <c r="AI329" i="69"/>
  <c r="AP329" i="69"/>
  <c r="K330" i="69"/>
  <c r="AI330" i="69"/>
  <c r="C338" i="69"/>
  <c r="H345" i="69"/>
  <c r="Z345" i="69"/>
  <c r="AH345" i="69"/>
  <c r="AO345" i="69"/>
  <c r="C351" i="69"/>
  <c r="C364" i="69"/>
  <c r="G368" i="69"/>
  <c r="F370" i="69"/>
  <c r="H370" i="69"/>
  <c r="C380" i="69"/>
  <c r="BT23" i="71"/>
  <c r="BX23" i="71"/>
  <c r="CA23" i="71"/>
  <c r="CN23" i="71"/>
  <c r="CT23" i="71"/>
  <c r="DC23" i="71"/>
  <c r="EA23" i="71"/>
  <c r="C26" i="71"/>
  <c r="C36" i="71"/>
  <c r="AI46" i="71"/>
  <c r="AR46" i="71"/>
  <c r="AW46" i="71"/>
  <c r="BC46" i="71"/>
  <c r="BI46" i="71"/>
  <c r="BS46" i="71"/>
  <c r="CZ46" i="71"/>
  <c r="DO46" i="71"/>
  <c r="BP55" i="71"/>
  <c r="CQ55" i="71"/>
  <c r="C337" i="71"/>
  <c r="C338" i="71"/>
  <c r="C339" i="71"/>
  <c r="C340" i="71"/>
  <c r="C348" i="71"/>
  <c r="H348" i="71"/>
  <c r="I348" i="71"/>
  <c r="M348" i="71"/>
  <c r="O348" i="71"/>
  <c r="S348" i="71"/>
  <c r="U348" i="71"/>
  <c r="Y348" i="71"/>
  <c r="Z348" i="71"/>
  <c r="AB348" i="71"/>
  <c r="AG348" i="71"/>
  <c r="AJ348" i="71"/>
  <c r="AL348" i="71"/>
  <c r="AQ348" i="71"/>
  <c r="AU348" i="71"/>
  <c r="AV348" i="71"/>
  <c r="AX348" i="71"/>
  <c r="AY348" i="71"/>
  <c r="BE348" i="71"/>
  <c r="BI348" i="71"/>
  <c r="BK348" i="71"/>
  <c r="BL348" i="71"/>
  <c r="BM348" i="71"/>
  <c r="BQ348" i="71"/>
  <c r="BS348" i="71"/>
  <c r="BU348" i="71"/>
  <c r="BX348" i="71"/>
  <c r="BZ348" i="71"/>
  <c r="CA348" i="71"/>
  <c r="CB348" i="71"/>
  <c r="CD348" i="71"/>
  <c r="CH348" i="71"/>
  <c r="CJ348" i="71"/>
  <c r="CM348" i="71"/>
  <c r="CO348" i="71"/>
  <c r="CU348" i="71"/>
  <c r="CX348" i="71"/>
  <c r="DA348" i="71"/>
  <c r="DD348" i="71"/>
  <c r="DF348" i="71"/>
  <c r="DG348" i="71"/>
  <c r="DK348" i="71"/>
  <c r="DL348" i="71"/>
  <c r="DP348" i="71"/>
  <c r="DQ348" i="71"/>
  <c r="DS348" i="71"/>
  <c r="DU348" i="71"/>
  <c r="DW348" i="71"/>
  <c r="DY348" i="71"/>
  <c r="EB348" i="71"/>
  <c r="ED348" i="71"/>
  <c r="EG348" i="71"/>
  <c r="C351" i="71"/>
  <c r="C353" i="71"/>
  <c r="C357" i="71"/>
  <c r="C362" i="71"/>
  <c r="C363" i="71"/>
  <c r="C364" i="71"/>
  <c r="C366" i="71"/>
  <c r="H373" i="71"/>
  <c r="I373" i="71"/>
  <c r="M373" i="71"/>
  <c r="O373" i="71"/>
  <c r="S373" i="71"/>
  <c r="U373" i="71"/>
  <c r="Y373" i="71"/>
  <c r="Z373" i="71"/>
  <c r="AB373" i="71"/>
  <c r="BC427" i="71"/>
  <c r="BG427" i="71"/>
  <c r="BI427" i="71"/>
  <c r="BJ427" i="71"/>
  <c r="BL427" i="71"/>
  <c r="BM427" i="71"/>
  <c r="BO427" i="71"/>
  <c r="BP427" i="71"/>
  <c r="BR427" i="71"/>
  <c r="BT427" i="71"/>
  <c r="BU427" i="71"/>
  <c r="BV427" i="71"/>
  <c r="BW427" i="71"/>
  <c r="BY427" i="71"/>
  <c r="BZ427" i="71"/>
  <c r="CA427" i="71"/>
  <c r="CC427" i="71"/>
  <c r="CE427" i="71"/>
  <c r="CG427" i="71"/>
  <c r="CH427" i="71"/>
  <c r="CJ427" i="71"/>
  <c r="CL427" i="71"/>
  <c r="CN427" i="71"/>
  <c r="CP427" i="71"/>
  <c r="CR427" i="71"/>
  <c r="CS427" i="71"/>
  <c r="CU427" i="71"/>
  <c r="CW427" i="71"/>
  <c r="CY427" i="71"/>
  <c r="DG427" i="71"/>
  <c r="DI427" i="71"/>
  <c r="DK427" i="71"/>
  <c r="DM427" i="71"/>
  <c r="DN427" i="71"/>
  <c r="DP427" i="71"/>
  <c r="DR427" i="71"/>
  <c r="DT427" i="71"/>
  <c r="DU427" i="71"/>
  <c r="DW427" i="71"/>
  <c r="DX427" i="71"/>
  <c r="DZ427" i="71"/>
  <c r="EA427" i="71"/>
  <c r="EB427" i="71"/>
  <c r="ED427" i="71"/>
  <c r="EF427" i="71"/>
  <c r="EG427" i="71"/>
  <c r="C431" i="71"/>
  <c r="C433" i="71"/>
  <c r="F433" i="71"/>
  <c r="H433" i="71"/>
  <c r="I433" i="71"/>
  <c r="K433" i="71"/>
  <c r="M433" i="71"/>
  <c r="N433" i="71"/>
  <c r="P433" i="71"/>
  <c r="Q433" i="71"/>
  <c r="R433" i="71"/>
  <c r="T433" i="71"/>
  <c r="U433" i="71"/>
  <c r="V433" i="71"/>
  <c r="W433" i="71"/>
  <c r="Y433" i="71"/>
  <c r="Z433" i="71"/>
  <c r="AB433" i="71"/>
  <c r="AD433" i="71"/>
  <c r="AF433" i="71"/>
  <c r="AH433" i="71"/>
  <c r="AJ433" i="71"/>
  <c r="AK433" i="71"/>
  <c r="AM433" i="71"/>
  <c r="AO433" i="71"/>
  <c r="AP433" i="71"/>
  <c r="AR433" i="71"/>
  <c r="AS433" i="71"/>
  <c r="AU433" i="71"/>
  <c r="AW433" i="71"/>
  <c r="AX433" i="71"/>
  <c r="AY433" i="71"/>
  <c r="AZ433" i="71"/>
  <c r="BB433" i="71"/>
  <c r="BD433" i="71"/>
  <c r="BF433" i="71"/>
  <c r="BH433" i="71"/>
  <c r="BJ433" i="71"/>
  <c r="BL433" i="71"/>
  <c r="BM433" i="71"/>
  <c r="BO433" i="71"/>
  <c r="BP433" i="71"/>
  <c r="BR433" i="71"/>
  <c r="BT433" i="71"/>
  <c r="BU433" i="71"/>
  <c r="BW433" i="71"/>
  <c r="BX433" i="71"/>
  <c r="BZ433" i="71"/>
  <c r="CA433" i="71"/>
  <c r="CC433" i="71"/>
  <c r="CE433" i="71"/>
  <c r="CF433" i="71"/>
  <c r="CH433" i="71"/>
  <c r="CI433" i="71"/>
  <c r="CK433" i="71"/>
  <c r="CL433" i="71"/>
  <c r="CN433" i="71"/>
  <c r="CP433" i="71"/>
  <c r="CQ433" i="71"/>
  <c r="CS433" i="71"/>
  <c r="CT433" i="71"/>
  <c r="CV433" i="71"/>
  <c r="CW433" i="71"/>
  <c r="CY433" i="71"/>
  <c r="DA433" i="71"/>
  <c r="DC433" i="71"/>
  <c r="DD433" i="71"/>
  <c r="DF433" i="71"/>
  <c r="DG433" i="71"/>
  <c r="DI433" i="71"/>
  <c r="DK433" i="71"/>
  <c r="DL433" i="71"/>
  <c r="DN433" i="71"/>
  <c r="DO433" i="71"/>
  <c r="DQ433" i="71"/>
  <c r="DR433" i="71"/>
  <c r="DT433" i="71"/>
  <c r="DV433" i="71"/>
  <c r="DX433" i="71"/>
  <c r="DZ433" i="71"/>
  <c r="EA433" i="71"/>
  <c r="EC433" i="71"/>
  <c r="EE433" i="71"/>
  <c r="EG433" i="71"/>
  <c r="C435" i="71"/>
  <c r="G439" i="71"/>
  <c r="H439" i="71"/>
  <c r="J439" i="71"/>
  <c r="L439" i="71"/>
  <c r="N439" i="71"/>
  <c r="O439" i="71"/>
  <c r="Q439" i="71"/>
  <c r="R439" i="71"/>
  <c r="T439" i="71"/>
  <c r="V439" i="71"/>
  <c r="X439" i="71"/>
  <c r="Z439" i="71"/>
  <c r="AB439" i="71"/>
  <c r="AD439" i="71"/>
  <c r="AF439" i="71"/>
  <c r="AG439" i="71"/>
  <c r="AI439" i="71"/>
  <c r="AJ439" i="71"/>
  <c r="AL439" i="71"/>
  <c r="AM439" i="71"/>
  <c r="AO439" i="71"/>
  <c r="AQ439" i="71"/>
  <c r="AR439" i="71"/>
  <c r="AT439" i="71"/>
  <c r="AU439" i="71"/>
  <c r="AW439" i="71"/>
  <c r="AY439" i="71"/>
  <c r="AZ439" i="71"/>
  <c r="BB439" i="71"/>
  <c r="BC439" i="71"/>
  <c r="BE439" i="71"/>
  <c r="BG439" i="71"/>
  <c r="BH439" i="71"/>
  <c r="BJ439" i="71"/>
  <c r="BK439" i="71"/>
  <c r="BM439" i="71"/>
  <c r="BO439" i="71"/>
  <c r="BQ439" i="71"/>
  <c r="BR439" i="71"/>
  <c r="BT439" i="71"/>
  <c r="BU439" i="71"/>
  <c r="BW439" i="71"/>
  <c r="BX439" i="71"/>
  <c r="BZ439" i="71"/>
  <c r="CB439" i="71"/>
  <c r="CC439" i="71"/>
  <c r="CE439" i="71"/>
  <c r="CG439" i="71"/>
  <c r="CH439" i="71"/>
  <c r="CJ439" i="71"/>
  <c r="CL439" i="71"/>
  <c r="CN439" i="71"/>
  <c r="CO439" i="71"/>
  <c r="CQ439" i="71"/>
  <c r="CR439" i="71"/>
  <c r="CU439" i="71"/>
  <c r="CV439" i="71"/>
  <c r="CX439" i="71"/>
  <c r="CZ439" i="71"/>
  <c r="DA439" i="71"/>
  <c r="DD439" i="71"/>
  <c r="DF439" i="71"/>
  <c r="DG439" i="71"/>
  <c r="DI439" i="71"/>
  <c r="DK439" i="71"/>
  <c r="DM439" i="71"/>
  <c r="DO439" i="71"/>
  <c r="EA439" i="71"/>
  <c r="ED439" i="71"/>
  <c r="O500" i="71"/>
  <c r="C604" i="71"/>
  <c r="C625" i="71"/>
  <c r="Q16" i="69"/>
  <c r="Q20" i="69" s="1"/>
  <c r="Q31" i="69" s="1"/>
  <c r="W16" i="69"/>
  <c r="AA16" i="69"/>
  <c r="AK16" i="69"/>
  <c r="M20" i="69"/>
  <c r="O24" i="69"/>
  <c r="AI24" i="69"/>
  <c r="AT24" i="69"/>
  <c r="AW24" i="69"/>
  <c r="U28" i="69"/>
  <c r="AH28" i="69"/>
  <c r="AI29" i="69"/>
  <c r="AL29" i="69"/>
  <c r="K38" i="69"/>
  <c r="Y38" i="69"/>
  <c r="AC38" i="69"/>
  <c r="AG38" i="69"/>
  <c r="AM38" i="69"/>
  <c r="AP38" i="69"/>
  <c r="G42" i="69"/>
  <c r="AK42" i="69"/>
  <c r="N43" i="69"/>
  <c r="R50" i="69"/>
  <c r="X51" i="69"/>
  <c r="AL51" i="69"/>
  <c r="AR51" i="69"/>
  <c r="M52" i="69"/>
  <c r="O52" i="69"/>
  <c r="R52" i="69"/>
  <c r="AM52" i="69"/>
  <c r="AQ52" i="69"/>
  <c r="Q213" i="69"/>
  <c r="AH213" i="69"/>
  <c r="AM213" i="69"/>
  <c r="F224" i="69"/>
  <c r="Q224" i="69"/>
  <c r="AD224" i="69"/>
  <c r="AV224" i="69"/>
  <c r="AE345" i="69"/>
  <c r="AM345" i="69"/>
  <c r="M370" i="69"/>
  <c r="C381" i="69"/>
  <c r="CE23" i="71"/>
  <c r="CX23" i="71"/>
  <c r="BM41" i="71"/>
  <c r="BS41" i="71"/>
  <c r="C374" i="71"/>
  <c r="C376" i="71"/>
  <c r="C380" i="71"/>
  <c r="C381" i="71"/>
  <c r="C382" i="71"/>
  <c r="C389" i="71"/>
  <c r="C395" i="71"/>
  <c r="C408" i="71"/>
  <c r="C414" i="71"/>
  <c r="C427" i="71"/>
  <c r="V23" i="69"/>
  <c r="AL25" i="69"/>
  <c r="AH38" i="69"/>
  <c r="X42" i="69"/>
  <c r="AT51" i="69"/>
  <c r="AC93" i="69"/>
  <c r="F343" i="68"/>
  <c r="AO117" i="69"/>
  <c r="C48" i="68"/>
  <c r="AH274" i="69"/>
  <c r="AH279" i="69"/>
  <c r="AH240" i="69"/>
  <c r="H207" i="68"/>
  <c r="H333" i="68"/>
  <c r="H224" i="69"/>
  <c r="AQ196" i="69"/>
  <c r="AG107" i="69"/>
  <c r="AG214" i="69" s="1"/>
  <c r="AQ47" i="69"/>
  <c r="AE47" i="69"/>
  <c r="S47" i="69"/>
  <c r="G324" i="69"/>
  <c r="AJ301" i="69"/>
  <c r="AJ318" i="69"/>
  <c r="AD58" i="69"/>
  <c r="J31" i="69"/>
  <c r="J342" i="69" s="1"/>
  <c r="F271" i="69"/>
  <c r="G267" i="69"/>
  <c r="V274" i="69"/>
  <c r="V279" i="69"/>
  <c r="V295" i="69" s="1"/>
  <c r="AG54" i="69"/>
  <c r="AG58" i="69" s="1"/>
  <c r="AG62" i="69" s="1"/>
  <c r="U54" i="69"/>
  <c r="U58" i="69" s="1"/>
  <c r="U62" i="69" s="1"/>
  <c r="I54" i="69"/>
  <c r="I58" i="69" s="1"/>
  <c r="I62" i="69" s="1"/>
  <c r="AO47" i="69"/>
  <c r="AO54" i="69" s="1"/>
  <c r="AO58" i="69" s="1"/>
  <c r="AO62" i="69" s="1"/>
  <c r="P45" i="68"/>
  <c r="P197" i="69"/>
  <c r="P196" i="69"/>
  <c r="AE98" i="69"/>
  <c r="AG324" i="69"/>
  <c r="AO301" i="69"/>
  <c r="AO318" i="69" s="1"/>
  <c r="AO319" i="69" s="1"/>
  <c r="AQ197" i="69"/>
  <c r="AQ199" i="69"/>
  <c r="AB331" i="69"/>
  <c r="P331" i="69"/>
  <c r="AB301" i="69"/>
  <c r="AB318" i="69" s="1"/>
  <c r="AB319" i="69" s="1"/>
  <c r="AA274" i="69"/>
  <c r="AA279" i="69" s="1"/>
  <c r="I191" i="68"/>
  <c r="I196" i="68" s="1"/>
  <c r="I194" i="68"/>
  <c r="Q196" i="69"/>
  <c r="Q193" i="69"/>
  <c r="Q198" i="69" s="1"/>
  <c r="Q199" i="69"/>
  <c r="Q197" i="69"/>
  <c r="Z247" i="69"/>
  <c r="Z347" i="69" s="1"/>
  <c r="V197" i="69"/>
  <c r="V196" i="69"/>
  <c r="V193" i="69"/>
  <c r="V198" i="69"/>
  <c r="V199" i="69"/>
  <c r="L107" i="69"/>
  <c r="L214" i="69" s="1"/>
  <c r="J197" i="68"/>
  <c r="J195" i="68"/>
  <c r="J191" i="68"/>
  <c r="J196" i="68"/>
  <c r="J194" i="68"/>
  <c r="F145" i="68"/>
  <c r="F147" i="68"/>
  <c r="AA291" i="69"/>
  <c r="C143" i="69"/>
  <c r="E147" i="69"/>
  <c r="AQ101" i="69"/>
  <c r="AQ98" i="69"/>
  <c r="I324" i="69"/>
  <c r="I325" i="69"/>
  <c r="N147" i="69"/>
  <c r="N191" i="68"/>
  <c r="N196" i="68"/>
  <c r="N195" i="68"/>
  <c r="N197" i="68"/>
  <c r="AR331" i="69"/>
  <c r="AF331" i="69"/>
  <c r="AN324" i="69"/>
  <c r="AN325" i="69"/>
  <c r="AE274" i="69"/>
  <c r="AE279" i="69" s="1"/>
  <c r="S274" i="69"/>
  <c r="S279" i="69" s="1"/>
  <c r="G274" i="69"/>
  <c r="G279" i="69"/>
  <c r="AH280" i="69"/>
  <c r="AQ301" i="69"/>
  <c r="AQ318" i="69"/>
  <c r="AR76" i="69"/>
  <c r="AR213" i="69"/>
  <c r="AF76" i="69"/>
  <c r="AF224" i="69"/>
  <c r="T76" i="69"/>
  <c r="T213" i="69"/>
  <c r="L191" i="68"/>
  <c r="L197" i="68"/>
  <c r="L194" i="68"/>
  <c r="K197" i="68"/>
  <c r="K191" i="68"/>
  <c r="K194" i="68"/>
  <c r="AU224" i="69"/>
  <c r="X117" i="69"/>
  <c r="T98" i="69"/>
  <c r="N20" i="69"/>
  <c r="N31" i="69"/>
  <c r="P274" i="69"/>
  <c r="P279" i="69"/>
  <c r="AV147" i="69"/>
  <c r="AH117" i="69"/>
  <c r="AH317" i="69"/>
  <c r="C85" i="69"/>
  <c r="AH295" i="69"/>
  <c r="R295" i="69"/>
  <c r="J35" i="69"/>
  <c r="J334" i="69" s="1"/>
  <c r="Q147" i="69"/>
  <c r="AG198" i="69"/>
  <c r="G194" i="68"/>
  <c r="E8" i="70"/>
  <c r="G55" i="73"/>
  <c r="G65" i="73"/>
  <c r="AV20" i="69"/>
  <c r="AJ20" i="69"/>
  <c r="C222" i="68"/>
  <c r="L45" i="68"/>
  <c r="AU107" i="69"/>
  <c r="AU214" i="69" s="1"/>
  <c r="W107" i="69"/>
  <c r="W214" i="69" s="1"/>
  <c r="O47" i="69"/>
  <c r="O54" i="69"/>
  <c r="O58" i="69" s="1"/>
  <c r="O62" i="69" s="1"/>
  <c r="AU31" i="69"/>
  <c r="AU20" i="69"/>
  <c r="W20" i="69"/>
  <c r="Z274" i="69"/>
  <c r="Z279" i="69" s="1"/>
  <c r="N274" i="69"/>
  <c r="N279" i="69" s="1"/>
  <c r="AE199" i="69"/>
  <c r="AQ54" i="69"/>
  <c r="AQ58" i="69" s="1"/>
  <c r="AQ62" i="69" s="1"/>
  <c r="AT31" i="69"/>
  <c r="AT342" i="69" s="1"/>
  <c r="M299" i="68"/>
  <c r="H197" i="68"/>
  <c r="AP224" i="69"/>
  <c r="AP226" i="69" s="1"/>
  <c r="AD213" i="69"/>
  <c r="AE193" i="69"/>
  <c r="AE198" i="69" s="1"/>
  <c r="G117" i="69"/>
  <c r="S98" i="69"/>
  <c r="AW93" i="69"/>
  <c r="AC47" i="69"/>
  <c r="AC54" i="69"/>
  <c r="AC58" i="69" s="1"/>
  <c r="AC62" i="69" s="1"/>
  <c r="Q47" i="69"/>
  <c r="AW47" i="69"/>
  <c r="AW54" i="69" s="1"/>
  <c r="AW58" i="69" s="1"/>
  <c r="AW62" i="69" s="1"/>
  <c r="Y47" i="69"/>
  <c r="Y54" i="69"/>
  <c r="Y58" i="69" s="1"/>
  <c r="Y62" i="69" s="1"/>
  <c r="M47" i="69"/>
  <c r="M54" i="69"/>
  <c r="M58" i="69" s="1"/>
  <c r="M62" i="69" s="1"/>
  <c r="H171" i="68"/>
  <c r="I45" i="68"/>
  <c r="C32" i="68"/>
  <c r="AC98" i="69"/>
  <c r="AU47" i="69"/>
  <c r="AI47" i="69"/>
  <c r="W47" i="69"/>
  <c r="K47" i="69"/>
  <c r="I323" i="68"/>
  <c r="AT93" i="69"/>
  <c r="AH93" i="69"/>
  <c r="V93" i="69"/>
  <c r="J93" i="69"/>
  <c r="AP54" i="69"/>
  <c r="AP58" i="69"/>
  <c r="AP20" i="69"/>
  <c r="AP31" i="69"/>
  <c r="AD20" i="69"/>
  <c r="AD31" i="69"/>
  <c r="R20" i="69"/>
  <c r="G369" i="68"/>
  <c r="N299" i="68"/>
  <c r="C249" i="68"/>
  <c r="X197" i="69"/>
  <c r="C82" i="69"/>
  <c r="Q54" i="69"/>
  <c r="Q58" i="69" s="1"/>
  <c r="Q62" i="69" s="1"/>
  <c r="V31" i="69"/>
  <c r="V342" i="69" s="1"/>
  <c r="AG31" i="69"/>
  <c r="AO20" i="69"/>
  <c r="AC20" i="69"/>
  <c r="O245" i="68"/>
  <c r="O345" i="68"/>
  <c r="G147" i="68"/>
  <c r="S117" i="69"/>
  <c r="AW101" i="69"/>
  <c r="Y107" i="69"/>
  <c r="Y214" i="69" s="1"/>
  <c r="AR93" i="69"/>
  <c r="H93" i="69"/>
  <c r="AR47" i="69"/>
  <c r="AF47" i="69"/>
  <c r="AF54" i="69" s="1"/>
  <c r="AF58" i="69" s="1"/>
  <c r="AF62" i="69" s="1"/>
  <c r="T47" i="69"/>
  <c r="T54" i="69"/>
  <c r="H47" i="69"/>
  <c r="H20" i="69"/>
  <c r="H31" i="69"/>
  <c r="AB20" i="69"/>
  <c r="R196" i="69"/>
  <c r="AR196" i="69"/>
  <c r="AW147" i="69"/>
  <c r="C184" i="68"/>
  <c r="R240" i="69"/>
  <c r="C74" i="69"/>
  <c r="AT35" i="69"/>
  <c r="AT334" i="69"/>
  <c r="AN147" i="69"/>
  <c r="G195" i="68"/>
  <c r="H147" i="68"/>
  <c r="O197" i="68"/>
  <c r="M195" i="68"/>
  <c r="I195" i="68"/>
  <c r="D57" i="73"/>
  <c r="P20" i="69"/>
  <c r="AI243" i="69"/>
  <c r="AI331" i="69"/>
  <c r="W243" i="69"/>
  <c r="W331" i="69"/>
  <c r="K243" i="69"/>
  <c r="L291" i="69"/>
  <c r="AD301" i="69"/>
  <c r="AD318" i="69" s="1"/>
  <c r="R247" i="69"/>
  <c r="R301" i="69"/>
  <c r="R318" i="69" s="1"/>
  <c r="Z336" i="69"/>
  <c r="Z360" i="69"/>
  <c r="AO324" i="69"/>
  <c r="AN196" i="69"/>
  <c r="AN193" i="69"/>
  <c r="AN199" i="69"/>
  <c r="AN197" i="69"/>
  <c r="C251" i="69"/>
  <c r="P252" i="69"/>
  <c r="AE107" i="69"/>
  <c r="AE214" i="69"/>
  <c r="AE215" i="69" s="1"/>
  <c r="AB196" i="69"/>
  <c r="AB193" i="69"/>
  <c r="AB199" i="69"/>
  <c r="AB197" i="69"/>
  <c r="AM243" i="69"/>
  <c r="AA243" i="69"/>
  <c r="O243" i="69"/>
  <c r="AI242" i="69"/>
  <c r="AI324" i="69"/>
  <c r="W242" i="69"/>
  <c r="W324" i="69"/>
  <c r="K242" i="69"/>
  <c r="K324" i="69"/>
  <c r="AB247" i="69"/>
  <c r="AB324" i="69"/>
  <c r="AB240" i="69"/>
  <c r="AB295" i="69"/>
  <c r="AB317" i="69"/>
  <c r="G240" i="69"/>
  <c r="G295" i="69"/>
  <c r="G296" i="69"/>
  <c r="G317" i="69"/>
  <c r="N47" i="69"/>
  <c r="N54" i="69"/>
  <c r="N58" i="69" s="1"/>
  <c r="N62" i="69" s="1"/>
  <c r="AG35" i="69"/>
  <c r="AG334" i="69"/>
  <c r="AG342" i="69"/>
  <c r="AF295" i="69"/>
  <c r="AF296" i="69"/>
  <c r="AF240" i="69"/>
  <c r="AF244" i="69"/>
  <c r="AF317" i="69"/>
  <c r="AO295" i="69"/>
  <c r="AO240" i="69"/>
  <c r="V317" i="69"/>
  <c r="V240" i="69"/>
  <c r="AM196" i="69"/>
  <c r="AM197" i="69"/>
  <c r="AM199" i="69"/>
  <c r="AM193" i="69"/>
  <c r="O196" i="69"/>
  <c r="O197" i="69"/>
  <c r="O199" i="69"/>
  <c r="O193" i="69"/>
  <c r="C343" i="68"/>
  <c r="AL331" i="69"/>
  <c r="AE324" i="69"/>
  <c r="O241" i="69"/>
  <c r="O324" i="69"/>
  <c r="T240" i="69"/>
  <c r="T244" i="69"/>
  <c r="T295" i="69"/>
  <c r="T296" i="69"/>
  <c r="T317" i="69"/>
  <c r="AJ274" i="69"/>
  <c r="AJ279" i="69"/>
  <c r="X274" i="69"/>
  <c r="X279" i="69" s="1"/>
  <c r="G280" i="69"/>
  <c r="AL76" i="69"/>
  <c r="AL213" i="69"/>
  <c r="AL224" i="69"/>
  <c r="Z76" i="69"/>
  <c r="Z224" i="69"/>
  <c r="N76" i="69"/>
  <c r="N213" i="69"/>
  <c r="N224" i="69"/>
  <c r="AO331" i="69"/>
  <c r="Q331" i="69"/>
  <c r="E331" i="69"/>
  <c r="Y324" i="69"/>
  <c r="M324" i="69"/>
  <c r="Z196" i="69"/>
  <c r="Z193" i="69"/>
  <c r="Z199" i="69"/>
  <c r="R197" i="69"/>
  <c r="AJ247" i="69"/>
  <c r="X247" i="69"/>
  <c r="AR193" i="69"/>
  <c r="H295" i="69"/>
  <c r="E241" i="69"/>
  <c r="O274" i="69"/>
  <c r="O279" i="69"/>
  <c r="O240" i="69" s="1"/>
  <c r="O244" i="69" s="1"/>
  <c r="AG196" i="69"/>
  <c r="H54" i="69"/>
  <c r="H58" i="69"/>
  <c r="H62" i="69" s="1"/>
  <c r="AP215" i="69"/>
  <c r="AQ193" i="69"/>
  <c r="C139" i="69" a="1"/>
  <c r="C139" i="69" s="1"/>
  <c r="AQ31" i="69"/>
  <c r="O334" i="68"/>
  <c r="K272" i="68"/>
  <c r="K277" i="68" s="1"/>
  <c r="I197" i="68"/>
  <c r="K145" i="68"/>
  <c r="G331" i="69"/>
  <c r="AA324" i="69"/>
  <c r="AA325" i="69"/>
  <c r="O247" i="69"/>
  <c r="C217" i="69"/>
  <c r="Z213" i="69"/>
  <c r="AK324" i="69"/>
  <c r="AK325" i="69"/>
  <c r="E310" i="69"/>
  <c r="F306" i="69" s="1"/>
  <c r="F310" i="69" s="1"/>
  <c r="G306" i="69" s="1"/>
  <c r="G310" i="69" s="1"/>
  <c r="H306" i="69" s="1"/>
  <c r="H310" i="69" s="1"/>
  <c r="I306" i="69" s="1"/>
  <c r="I310" i="69" s="1"/>
  <c r="J306" i="69" s="1"/>
  <c r="J310" i="69" s="1"/>
  <c r="K306" i="69" s="1"/>
  <c r="K310" i="69" s="1"/>
  <c r="L306" i="69" s="1"/>
  <c r="L310" i="69" s="1"/>
  <c r="M306" i="69" s="1"/>
  <c r="M310" i="69" s="1"/>
  <c r="N306" i="69" s="1"/>
  <c r="N310" i="69" s="1"/>
  <c r="O306" i="69" s="1"/>
  <c r="O310" i="69" s="1"/>
  <c r="P306" i="69" s="1"/>
  <c r="P310" i="69" s="1"/>
  <c r="Q306" i="69" s="1"/>
  <c r="Q310" i="69" s="1"/>
  <c r="R306" i="69" s="1"/>
  <c r="R310" i="69" s="1"/>
  <c r="S306" i="69" s="1"/>
  <c r="S310" i="69" s="1"/>
  <c r="T306" i="69" s="1"/>
  <c r="T310" i="69" s="1"/>
  <c r="U306" i="69" s="1"/>
  <c r="U310" i="69" s="1"/>
  <c r="V306" i="69" s="1"/>
  <c r="V310" i="69" s="1"/>
  <c r="W306" i="69" s="1"/>
  <c r="W310" i="69" s="1"/>
  <c r="X306" i="69" s="1"/>
  <c r="X310" i="69" s="1"/>
  <c r="Y306" i="69" s="1"/>
  <c r="Y310" i="69" s="1"/>
  <c r="Z306" i="69" s="1"/>
  <c r="Z310" i="69" s="1"/>
  <c r="AA306" i="69" s="1"/>
  <c r="AA310" i="69" s="1"/>
  <c r="AB306" i="69" s="1"/>
  <c r="AB310" i="69" s="1"/>
  <c r="AC306" i="69" s="1"/>
  <c r="AC310" i="69" s="1"/>
  <c r="AD306" i="69" s="1"/>
  <c r="AD310" i="69" s="1"/>
  <c r="AE306" i="69" s="1"/>
  <c r="AE310" i="69" s="1"/>
  <c r="AF306" i="69" s="1"/>
  <c r="AF310" i="69" s="1"/>
  <c r="AG306" i="69" s="1"/>
  <c r="AG310" i="69" s="1"/>
  <c r="AH306" i="69" s="1"/>
  <c r="AH310" i="69" s="1"/>
  <c r="AI306" i="69" s="1"/>
  <c r="AI310" i="69" s="1"/>
  <c r="AJ306" i="69" s="1"/>
  <c r="AJ310" i="69" s="1"/>
  <c r="AK306" i="69" s="1"/>
  <c r="AK310" i="69" s="1"/>
  <c r="AL306" i="69" s="1"/>
  <c r="AL310" i="69" s="1"/>
  <c r="AM306" i="69" s="1"/>
  <c r="AM310" i="69" s="1"/>
  <c r="AN306" i="69" s="1"/>
  <c r="AN310" i="69" s="1"/>
  <c r="AO306" i="69" s="1"/>
  <c r="AO310" i="69" s="1"/>
  <c r="AP306" i="69" s="1"/>
  <c r="AP310" i="69" s="1"/>
  <c r="AQ306" i="69" s="1"/>
  <c r="AQ310" i="69" s="1"/>
  <c r="AR306" i="69" s="1"/>
  <c r="AR310" i="69" s="1"/>
  <c r="AS306" i="69" s="1"/>
  <c r="AS310" i="69" s="1"/>
  <c r="AT306" i="69" s="1"/>
  <c r="AT310" i="69" s="1"/>
  <c r="AU306" i="69" s="1"/>
  <c r="AU310" i="69" s="1"/>
  <c r="AV306" i="69" s="1"/>
  <c r="AV310" i="69" s="1"/>
  <c r="AW306" i="69" s="1"/>
  <c r="AW310" i="69" s="1"/>
  <c r="R193" i="69"/>
  <c r="AR197" i="69"/>
  <c r="Z301" i="69"/>
  <c r="Z318" i="69"/>
  <c r="F187" i="68"/>
  <c r="V247" i="69"/>
  <c r="L145" i="68"/>
  <c r="Z47" i="69"/>
  <c r="G191" i="68"/>
  <c r="H101" i="69"/>
  <c r="P193" i="69"/>
  <c r="P199" i="69"/>
  <c r="AK199" i="69"/>
  <c r="AK193" i="69"/>
  <c r="AK196" i="69"/>
  <c r="I247" i="69"/>
  <c r="AO280" i="69"/>
  <c r="O240" i="68"/>
  <c r="X196" i="69"/>
  <c r="E170" i="69"/>
  <c r="P31" i="69"/>
  <c r="G272" i="68"/>
  <c r="G277" i="68"/>
  <c r="G238" i="68"/>
  <c r="G242" i="68" s="1"/>
  <c r="E149" i="69"/>
  <c r="R31" i="69"/>
  <c r="C23" i="69"/>
  <c r="G128" i="69"/>
  <c r="G132" i="69" s="1"/>
  <c r="AL54" i="69"/>
  <c r="AL58" i="69" s="1"/>
  <c r="AL62" i="69" s="1"/>
  <c r="C50" i="69"/>
  <c r="C42" i="69"/>
  <c r="AP62" i="69"/>
  <c r="AD62" i="69"/>
  <c r="C252" i="68"/>
  <c r="F207" i="68"/>
  <c r="F344" i="68"/>
  <c r="F357" i="68"/>
  <c r="K196" i="68"/>
  <c r="G18" i="68"/>
  <c r="G29" i="68" s="1"/>
  <c r="G33" i="68" s="1"/>
  <c r="G332" i="68" s="1"/>
  <c r="C61" i="69"/>
  <c r="C366" i="68"/>
  <c r="G278" i="68"/>
  <c r="C253" i="68"/>
  <c r="C213" i="68"/>
  <c r="U101" i="69"/>
  <c r="U103" i="69" s="1"/>
  <c r="I98" i="69"/>
  <c r="AI93" i="69"/>
  <c r="AI103" i="69" s="1"/>
  <c r="W93" i="69"/>
  <c r="W103" i="69" s="1"/>
  <c r="K93" i="69"/>
  <c r="K103" i="69" s="1"/>
  <c r="H103" i="69"/>
  <c r="AU54" i="69"/>
  <c r="AU58" i="69"/>
  <c r="AU62" i="69" s="1"/>
  <c r="AI54" i="69"/>
  <c r="AI58" i="69"/>
  <c r="AI62" i="69"/>
  <c r="W54" i="69"/>
  <c r="W58" i="69" s="1"/>
  <c r="W62" i="69" s="1"/>
  <c r="K54" i="69"/>
  <c r="K58" i="69" s="1"/>
  <c r="K62" i="69" s="1"/>
  <c r="AI147" i="69"/>
  <c r="AO107" i="69"/>
  <c r="AO214" i="69" s="1"/>
  <c r="AT147" i="69"/>
  <c r="AH147" i="69"/>
  <c r="V147" i="69"/>
  <c r="AO31" i="69"/>
  <c r="AC31" i="69"/>
  <c r="F317" i="68"/>
  <c r="C250" i="68"/>
  <c r="H260" i="68"/>
  <c r="E31" i="69"/>
  <c r="H191" i="68"/>
  <c r="O194" i="68"/>
  <c r="O191" i="68"/>
  <c r="F165" i="68"/>
  <c r="M191" i="68"/>
  <c r="M197" i="68"/>
  <c r="C144" i="68"/>
  <c r="O357" i="68"/>
  <c r="O359" i="68" s="1"/>
  <c r="L196" i="68"/>
  <c r="C72" i="68"/>
  <c r="O195" i="68"/>
  <c r="H194" i="68"/>
  <c r="E52" i="68"/>
  <c r="AH331" i="69"/>
  <c r="J331" i="69"/>
  <c r="I301" i="69"/>
  <c r="I318" i="69" s="1"/>
  <c r="AB93" i="69"/>
  <c r="AV58" i="69"/>
  <c r="AV62" i="69"/>
  <c r="AM47" i="69"/>
  <c r="AM54" i="69" s="1"/>
  <c r="AM58" i="69" s="1"/>
  <c r="AM62" i="69" s="1"/>
  <c r="M31" i="69"/>
  <c r="AA20" i="69"/>
  <c r="AA31" i="69"/>
  <c r="O20" i="69"/>
  <c r="O31" i="69" s="1"/>
  <c r="I344" i="68"/>
  <c r="G145" i="68"/>
  <c r="N371" i="69"/>
  <c r="I331" i="69"/>
  <c r="AS274" i="69"/>
  <c r="AS279" i="69" s="1"/>
  <c r="AG274" i="69"/>
  <c r="AG279" i="69" s="1"/>
  <c r="I274" i="69"/>
  <c r="I279" i="69" s="1"/>
  <c r="AJ196" i="69"/>
  <c r="Y147" i="69"/>
  <c r="M147" i="69"/>
  <c r="AL147" i="69"/>
  <c r="G107" i="69"/>
  <c r="G214" i="69" s="1"/>
  <c r="N101" i="69"/>
  <c r="R98" i="69"/>
  <c r="F98" i="69"/>
  <c r="AV93" i="69"/>
  <c r="AV103" i="69" s="1"/>
  <c r="X93" i="69"/>
  <c r="L93" i="69"/>
  <c r="L103" i="69" s="1"/>
  <c r="H369" i="68"/>
  <c r="I329" i="68"/>
  <c r="Z324" i="69"/>
  <c r="Z325" i="69"/>
  <c r="AB101" i="69"/>
  <c r="AB103" i="69"/>
  <c r="AI76" i="69"/>
  <c r="AW20" i="69"/>
  <c r="AK20" i="69"/>
  <c r="Y20" i="69"/>
  <c r="Y31" i="69"/>
  <c r="G224" i="68"/>
  <c r="AS331" i="69"/>
  <c r="N324" i="69"/>
  <c r="N325" i="69"/>
  <c r="AU370" i="69"/>
  <c r="AU371" i="69"/>
  <c r="AI370" i="69"/>
  <c r="AI371" i="69"/>
  <c r="W370" i="69"/>
  <c r="W371" i="69"/>
  <c r="K370" i="69"/>
  <c r="P179" i="69"/>
  <c r="AA101" i="69"/>
  <c r="AV98" i="69"/>
  <c r="AJ98" i="69"/>
  <c r="X98" i="69"/>
  <c r="AN47" i="69"/>
  <c r="AN54" i="69" s="1"/>
  <c r="AN58" i="69" s="1"/>
  <c r="AN62" i="69" s="1"/>
  <c r="AJ47" i="69"/>
  <c r="X47" i="69"/>
  <c r="X54" i="69"/>
  <c r="X58" i="69" s="1"/>
  <c r="X62" i="69" s="1"/>
  <c r="P343" i="68"/>
  <c r="P346" i="68" s="1"/>
  <c r="F322" i="68"/>
  <c r="AP331" i="69"/>
  <c r="R331" i="69"/>
  <c r="F331" i="69"/>
  <c r="AG93" i="69"/>
  <c r="O317" i="69"/>
  <c r="AJ193" i="69"/>
  <c r="AJ198" i="69"/>
  <c r="J98" i="69"/>
  <c r="AH47" i="69"/>
  <c r="AH54" i="69" s="1"/>
  <c r="AH58" i="69" s="1"/>
  <c r="AH62" i="69" s="1"/>
  <c r="J47" i="69"/>
  <c r="J54" i="69"/>
  <c r="J58" i="69"/>
  <c r="J62" i="69"/>
  <c r="M115" i="68"/>
  <c r="AM247" i="69"/>
  <c r="AW117" i="69"/>
  <c r="Y117" i="69"/>
  <c r="AD117" i="69"/>
  <c r="AW98" i="69"/>
  <c r="Y98" i="69"/>
  <c r="M98" i="69"/>
  <c r="G93" i="69"/>
  <c r="G103" i="69" s="1"/>
  <c r="O224" i="68"/>
  <c r="H74" i="68"/>
  <c r="C74" i="68" s="1"/>
  <c r="AG331" i="69"/>
  <c r="U324" i="69"/>
  <c r="AG199" i="69"/>
  <c r="L317" i="68"/>
  <c r="S101" i="69"/>
  <c r="AO93" i="69"/>
  <c r="Q93" i="69"/>
  <c r="Q103" i="69" s="1"/>
  <c r="E93" i="69"/>
  <c r="H76" i="69"/>
  <c r="L195" i="68"/>
  <c r="F368" i="68"/>
  <c r="F369" i="68" s="1"/>
  <c r="C368" i="68"/>
  <c r="N241" i="69"/>
  <c r="K195" i="68"/>
  <c r="AJ117" i="69"/>
  <c r="AL20" i="69"/>
  <c r="AL31" i="69"/>
  <c r="Z20" i="69"/>
  <c r="AK31" i="69"/>
  <c r="AT117" i="69"/>
  <c r="H240" i="69"/>
  <c r="AQ247" i="69"/>
  <c r="AH247" i="69"/>
  <c r="G20" i="69"/>
  <c r="H344" i="68"/>
  <c r="C344" i="68" s="1"/>
  <c r="AR54" i="69"/>
  <c r="AR58" i="69" s="1"/>
  <c r="AR62" i="69" s="1"/>
  <c r="AE196" i="69"/>
  <c r="AG197" i="69"/>
  <c r="AE225" i="69"/>
  <c r="AE226" i="69" s="1"/>
  <c r="AA117" i="69"/>
  <c r="H299" i="68"/>
  <c r="O358" i="68"/>
  <c r="AF101" i="69"/>
  <c r="F6" i="70"/>
  <c r="M18" i="68"/>
  <c r="M29" i="68" s="1"/>
  <c r="M33" i="68" s="1"/>
  <c r="M332" i="68" s="1"/>
  <c r="O295" i="69"/>
  <c r="AM347" i="69"/>
  <c r="AM336" i="69"/>
  <c r="AM360" i="69"/>
  <c r="G293" i="68"/>
  <c r="AA35" i="69"/>
  <c r="AA334" i="69" s="1"/>
  <c r="AA342" i="69"/>
  <c r="Y35" i="69"/>
  <c r="Y334" i="69"/>
  <c r="Y342" i="69"/>
  <c r="AW103" i="69"/>
  <c r="M342" i="69"/>
  <c r="N342" i="69"/>
  <c r="AL342" i="69"/>
  <c r="AP35" i="69"/>
  <c r="AP334" i="69" s="1"/>
  <c r="AU35" i="69"/>
  <c r="AU334" i="69"/>
  <c r="AD35" i="69"/>
  <c r="AD334" i="69" s="1"/>
  <c r="AK35" i="69"/>
  <c r="AK334" i="69" s="1"/>
  <c r="AK198" i="69"/>
  <c r="AO342" i="69"/>
  <c r="AP209" i="69"/>
  <c r="AP335" i="69"/>
  <c r="Z198" i="69"/>
  <c r="M196" i="68"/>
  <c r="AQ198" i="69"/>
  <c r="AB360" i="69"/>
  <c r="C207" i="68"/>
  <c r="R35" i="69"/>
  <c r="R334" i="69" s="1"/>
  <c r="H276" i="68"/>
  <c r="AJ295" i="69"/>
  <c r="AB336" i="69"/>
  <c r="I336" i="69"/>
  <c r="F333" i="68"/>
  <c r="C333" i="68" s="1"/>
  <c r="G6" i="70"/>
  <c r="R347" i="69"/>
  <c r="P198" i="69"/>
  <c r="F195" i="68"/>
  <c r="F194" i="68"/>
  <c r="F191" i="68"/>
  <c r="C187" i="68"/>
  <c r="F197" i="68"/>
  <c r="O198" i="69"/>
  <c r="F8" i="70"/>
  <c r="P35" i="69"/>
  <c r="P334" i="69" s="1"/>
  <c r="P342" i="69"/>
  <c r="C357" i="68"/>
  <c r="V360" i="69"/>
  <c r="V336" i="69"/>
  <c r="V347" i="69"/>
  <c r="X336" i="69"/>
  <c r="X360" i="69"/>
  <c r="X347" i="69"/>
  <c r="O347" i="69"/>
  <c r="O336" i="69"/>
  <c r="O360" i="69"/>
  <c r="AU342" i="69"/>
  <c r="O196" i="68"/>
  <c r="AQ35" i="69"/>
  <c r="AQ334" i="69" s="1"/>
  <c r="AQ342" i="69"/>
  <c r="AH347" i="69"/>
  <c r="AH360" i="69"/>
  <c r="AH336" i="69"/>
  <c r="AJ336" i="69"/>
  <c r="AJ347" i="69"/>
  <c r="AJ360" i="69"/>
  <c r="AC35" i="69"/>
  <c r="AC334" i="69" s="1"/>
  <c r="AC342" i="69"/>
  <c r="Z54" i="69"/>
  <c r="Z58" i="69" s="1"/>
  <c r="Z62" i="69" s="1"/>
  <c r="AP359" i="69"/>
  <c r="AM198" i="69"/>
  <c r="G196" i="68"/>
  <c r="I360" i="69"/>
  <c r="AQ347" i="69"/>
  <c r="AQ360" i="69"/>
  <c r="F167" i="69"/>
  <c r="F170" i="69" s="1"/>
  <c r="P262" i="69"/>
  <c r="P278" i="69"/>
  <c r="P280" i="69" s="1"/>
  <c r="AL35" i="69"/>
  <c r="AL334" i="69" s="1"/>
  <c r="P317" i="69"/>
  <c r="H342" i="69"/>
  <c r="V35" i="69"/>
  <c r="V334" i="69"/>
  <c r="H196" i="68"/>
  <c r="AR198" i="69"/>
  <c r="AJ240" i="69"/>
  <c r="AJ244" i="69"/>
  <c r="AB347" i="69"/>
  <c r="I347" i="69"/>
  <c r="R342" i="69"/>
  <c r="R336" i="69"/>
  <c r="E35" i="69"/>
  <c r="E342" i="69"/>
  <c r="C252" i="69"/>
  <c r="M35" i="69"/>
  <c r="M334" i="69" s="1"/>
  <c r="N35" i="69"/>
  <c r="N334" i="69"/>
  <c r="AP342" i="69"/>
  <c r="P240" i="69"/>
  <c r="P244" i="69"/>
  <c r="P295" i="69"/>
  <c r="P296" i="69"/>
  <c r="AD342" i="69"/>
  <c r="H35" i="69"/>
  <c r="H334" i="69" s="1"/>
  <c r="AK342" i="69"/>
  <c r="AO35" i="69"/>
  <c r="AO334" i="69"/>
  <c r="AP346" i="69"/>
  <c r="AB198" i="69"/>
  <c r="AJ317" i="69"/>
  <c r="E56" i="68"/>
  <c r="AQ336" i="69"/>
  <c r="E194" i="69"/>
  <c r="E195" i="69" s="1"/>
  <c r="E200" i="69" s="1"/>
  <c r="AN198" i="69"/>
  <c r="R360" i="69"/>
  <c r="C260" i="68"/>
  <c r="R198" i="69"/>
  <c r="E334" i="69"/>
  <c r="H6" i="70"/>
  <c r="G8" i="70"/>
  <c r="F196" i="68"/>
  <c r="E60" i="68"/>
  <c r="I6" i="70"/>
  <c r="H8" i="70"/>
  <c r="I8" i="70"/>
  <c r="J6" i="70"/>
  <c r="J8" i="70"/>
  <c r="K6" i="70"/>
  <c r="L6" i="70"/>
  <c r="L8" i="70" s="1"/>
  <c r="K8" i="70"/>
  <c r="M6" i="70"/>
  <c r="N6" i="70"/>
  <c r="M8" i="70"/>
  <c r="N8" i="70"/>
  <c r="O6" i="70"/>
  <c r="P6" i="70"/>
  <c r="O8" i="70"/>
  <c r="Q6" i="70"/>
  <c r="P8" i="70"/>
  <c r="CF98" i="71"/>
  <c r="CL98" i="71"/>
  <c r="CP98" i="71"/>
  <c r="CS98" i="71"/>
  <c r="CX98" i="71"/>
  <c r="CZ98" i="71"/>
  <c r="DB98" i="71"/>
  <c r="DF98" i="71"/>
  <c r="DH98" i="71"/>
  <c r="DL98" i="71"/>
  <c r="DO98" i="71"/>
  <c r="DR98" i="71"/>
  <c r="DU98" i="71"/>
  <c r="DX98" i="71"/>
  <c r="EB98" i="71"/>
  <c r="EF98" i="71"/>
  <c r="F99" i="71"/>
  <c r="I99" i="71"/>
  <c r="M99" i="71"/>
  <c r="R99" i="71"/>
  <c r="W99" i="71"/>
  <c r="AA99" i="71"/>
  <c r="AM99" i="71"/>
  <c r="AQ99" i="71"/>
  <c r="BA99" i="71"/>
  <c r="BE99" i="71"/>
  <c r="BI99" i="71"/>
  <c r="BO99" i="71"/>
  <c r="BS99" i="71"/>
  <c r="BU99" i="71"/>
  <c r="CA99" i="71"/>
  <c r="CL99" i="71"/>
  <c r="CS99" i="71"/>
  <c r="DB99" i="71"/>
  <c r="DO99" i="71"/>
  <c r="DR99" i="71"/>
  <c r="EF99" i="71"/>
  <c r="I101" i="71"/>
  <c r="K101" i="71"/>
  <c r="O101" i="71"/>
  <c r="T101" i="71"/>
  <c r="Z101" i="71"/>
  <c r="AH101" i="71"/>
  <c r="AR101" i="71"/>
  <c r="AV101" i="71"/>
  <c r="AY101" i="71"/>
  <c r="BE101" i="71"/>
  <c r="BJ101" i="71"/>
  <c r="BT101" i="71"/>
  <c r="BX101" i="71"/>
  <c r="CE101" i="71"/>
  <c r="CK101" i="71"/>
  <c r="CP101" i="71"/>
  <c r="CY101" i="71"/>
  <c r="DB101" i="71"/>
  <c r="DJ101" i="71"/>
  <c r="DZ101" i="71"/>
  <c r="E104" i="71"/>
  <c r="I104" i="71"/>
  <c r="R104" i="71"/>
  <c r="Y104" i="71"/>
  <c r="AD104" i="71"/>
  <c r="AL104" i="71"/>
  <c r="AQ104" i="71"/>
  <c r="AT104" i="71"/>
  <c r="BA104" i="71"/>
  <c r="BD104" i="71"/>
  <c r="BL104" i="71"/>
  <c r="BR104" i="71"/>
  <c r="BV104" i="71"/>
  <c r="BZ104" i="71"/>
  <c r="CC104" i="71"/>
  <c r="CF104" i="71"/>
  <c r="CP104" i="71"/>
  <c r="DB104" i="71"/>
  <c r="DL104" i="71"/>
  <c r="H107" i="71"/>
  <c r="L107" i="71"/>
  <c r="S107" i="71"/>
  <c r="W107" i="71"/>
  <c r="Z107" i="71"/>
  <c r="AF107" i="71"/>
  <c r="AH107" i="71"/>
  <c r="AS107" i="71"/>
  <c r="AZ107" i="71"/>
  <c r="BG107" i="71"/>
  <c r="BM107" i="71"/>
  <c r="BV107" i="71"/>
  <c r="CA107" i="71"/>
  <c r="CG107" i="71"/>
  <c r="CS107" i="71"/>
  <c r="CZ107" i="71"/>
  <c r="DD107" i="71"/>
  <c r="DH107" i="71"/>
  <c r="DL107" i="71"/>
  <c r="DN107" i="71"/>
  <c r="DR107" i="71"/>
  <c r="DX107" i="71"/>
  <c r="ED107" i="71"/>
  <c r="F115" i="71"/>
  <c r="P115" i="71"/>
  <c r="R115" i="71"/>
  <c r="Z115" i="71"/>
  <c r="AD115" i="71"/>
  <c r="AJ115" i="71"/>
  <c r="AL115" i="71"/>
  <c r="AR115" i="71"/>
  <c r="AY115" i="71"/>
  <c r="BI115" i="71"/>
  <c r="BM115" i="71"/>
  <c r="CH115" i="71"/>
  <c r="CZ150" i="71"/>
  <c r="DP150" i="71"/>
  <c r="DV150" i="71"/>
  <c r="J152" i="71"/>
  <c r="U152" i="71"/>
  <c r="AB152" i="71"/>
  <c r="AS152" i="71"/>
  <c r="BE152" i="71"/>
  <c r="BO152" i="71"/>
  <c r="BW152" i="71"/>
  <c r="CN152" i="71"/>
  <c r="CU152" i="71"/>
  <c r="DB152" i="71"/>
  <c r="EF152" i="71"/>
  <c r="AC166" i="71"/>
  <c r="AJ163" i="71"/>
  <c r="BB166" i="71"/>
  <c r="BJ163" i="71"/>
  <c r="BV163" i="71"/>
  <c r="CV163" i="71"/>
  <c r="CZ166" i="71"/>
  <c r="DB163" i="71"/>
  <c r="DG163" i="71"/>
  <c r="DL163" i="71"/>
  <c r="DV166" i="71"/>
  <c r="DZ163" i="71"/>
  <c r="AP174" i="71"/>
  <c r="DD178" i="71"/>
  <c r="DP178" i="71"/>
  <c r="BD183" i="71"/>
  <c r="CL183" i="71"/>
  <c r="DQ183" i="71"/>
  <c r="DY183" i="71"/>
  <c r="AU184" i="71"/>
  <c r="BD184" i="71"/>
  <c r="CJ184" i="71"/>
  <c r="S163" i="71"/>
  <c r="AP166" i="71"/>
  <c r="AV163" i="71"/>
  <c r="CI185" i="71"/>
  <c r="CK166" i="71"/>
  <c r="CO185" i="71"/>
  <c r="CQ166" i="71"/>
  <c r="CS163" i="71"/>
  <c r="DH166" i="71"/>
  <c r="DJ166" i="71"/>
  <c r="DK185" i="71"/>
  <c r="DR185" i="71"/>
  <c r="DS185" i="71"/>
  <c r="DV185" i="71"/>
  <c r="DY166" i="71"/>
  <c r="DY185" i="71"/>
  <c r="EB185" i="71"/>
  <c r="EF185" i="71"/>
  <c r="AS189" i="71"/>
  <c r="N323" i="69"/>
  <c r="BT322" i="71"/>
  <c r="DD257" i="71"/>
  <c r="AS38" i="71"/>
  <c r="AS311" i="71"/>
  <c r="AS281" i="71"/>
  <c r="DS258" i="71"/>
  <c r="DS283" i="71"/>
  <c r="AD329" i="69"/>
  <c r="N330" i="69"/>
  <c r="AJ330" i="69"/>
  <c r="BT37" i="71"/>
  <c r="I163" i="71"/>
  <c r="AC19" i="71"/>
  <c r="BH19" i="71"/>
  <c r="DX19" i="71"/>
  <c r="Z23" i="71"/>
  <c r="AK23" i="71"/>
  <c r="BQ23" i="71"/>
  <c r="I28" i="71"/>
  <c r="DX28" i="71"/>
  <c r="AQ32" i="71"/>
  <c r="AV34" i="71"/>
  <c r="T37" i="71"/>
  <c r="Z180" i="69"/>
  <c r="L186" i="69"/>
  <c r="AI186" i="69"/>
  <c r="Y290" i="69"/>
  <c r="Q297" i="69"/>
  <c r="AQ297" i="69"/>
  <c r="AS299" i="69"/>
  <c r="AQ300" i="69"/>
  <c r="L307" i="69"/>
  <c r="U307" i="69"/>
  <c r="T308" i="69"/>
  <c r="M309" i="69"/>
  <c r="AA309" i="69"/>
  <c r="M313" i="69"/>
  <c r="G320" i="69"/>
  <c r="AI320" i="69"/>
  <c r="Y323" i="69"/>
  <c r="AM329" i="69"/>
  <c r="BX19" i="71"/>
  <c r="AF41" i="71"/>
  <c r="C50" i="71"/>
  <c r="CP50" i="71"/>
  <c r="N87" i="69"/>
  <c r="T87" i="69"/>
  <c r="AD87" i="69"/>
  <c r="AK87" i="69"/>
  <c r="AQ87" i="69"/>
  <c r="E88" i="69"/>
  <c r="G88" i="69"/>
  <c r="I88" i="69"/>
  <c r="L88" i="69"/>
  <c r="R88" i="69"/>
  <c r="R93" i="69" s="1"/>
  <c r="X88" i="69"/>
  <c r="AF88" i="69"/>
  <c r="AL88" i="69"/>
  <c r="AR88" i="69"/>
  <c r="G90" i="69"/>
  <c r="L90" i="69"/>
  <c r="P90" i="69"/>
  <c r="V90" i="69"/>
  <c r="AA98" i="69"/>
  <c r="AF90" i="69"/>
  <c r="AL90" i="69"/>
  <c r="AS90" i="69"/>
  <c r="C94" i="71"/>
  <c r="E95" i="69"/>
  <c r="K95" i="69"/>
  <c r="Q95" i="69"/>
  <c r="W95" i="69"/>
  <c r="AD95" i="69"/>
  <c r="AV95" i="69"/>
  <c r="W96" i="69"/>
  <c r="AE96" i="69"/>
  <c r="AT96" i="69"/>
  <c r="AU104" i="69"/>
  <c r="M105" i="69"/>
  <c r="Q105" i="69"/>
  <c r="Z105" i="69"/>
  <c r="AK105" i="69"/>
  <c r="AT105" i="69"/>
  <c r="O111" i="69"/>
  <c r="W111" i="69"/>
  <c r="AE111" i="69"/>
  <c r="AM111" i="69"/>
  <c r="AS111" i="69"/>
  <c r="P112" i="69"/>
  <c r="BT115" i="71"/>
  <c r="BW115" i="71"/>
  <c r="BZ115" i="71"/>
  <c r="AD112" i="69"/>
  <c r="AJ112" i="69"/>
  <c r="AQ112" i="69"/>
  <c r="F113" i="69"/>
  <c r="L116" i="71"/>
  <c r="O113" i="69"/>
  <c r="AP116" i="71"/>
  <c r="AV116" i="71"/>
  <c r="BQ116" i="71"/>
  <c r="AB113" i="69"/>
  <c r="AG113" i="69"/>
  <c r="DV116" i="71"/>
  <c r="AT113" i="69"/>
  <c r="C118" i="69"/>
  <c r="F121" i="69"/>
  <c r="K121" i="69"/>
  <c r="Q121" i="69"/>
  <c r="Y121" i="69"/>
  <c r="AG121" i="69"/>
  <c r="AQ121" i="69"/>
  <c r="F122" i="69"/>
  <c r="X125" i="71"/>
  <c r="AS125" i="71"/>
  <c r="U122" i="69"/>
  <c r="BQ125" i="71"/>
  <c r="AE122" i="69"/>
  <c r="DS125" i="71"/>
  <c r="AV122" i="69"/>
  <c r="S125" i="69"/>
  <c r="AA125" i="69"/>
  <c r="AP125" i="69"/>
  <c r="Q126" i="69"/>
  <c r="BB129" i="71"/>
  <c r="BT129" i="71"/>
  <c r="CC129" i="71"/>
  <c r="DA129" i="71"/>
  <c r="AO126" i="69"/>
  <c r="Q131" i="69"/>
  <c r="Y131" i="69"/>
  <c r="AE131" i="69"/>
  <c r="AO131" i="69"/>
  <c r="AV131" i="69"/>
  <c r="K141" i="69"/>
  <c r="U141" i="69"/>
  <c r="AB141" i="69"/>
  <c r="AP141" i="69"/>
  <c r="U144" i="69"/>
  <c r="CI147" i="71"/>
  <c r="AT144" i="69"/>
  <c r="T168" i="69"/>
  <c r="AU168" i="69"/>
  <c r="AO171" i="69"/>
  <c r="AI177" i="69"/>
  <c r="AK254" i="69"/>
  <c r="AI268" i="69"/>
  <c r="W270" i="69"/>
  <c r="H273" i="69"/>
  <c r="AC273" i="69"/>
  <c r="AB285" i="69"/>
  <c r="AJ286" i="69"/>
  <c r="G290" i="69"/>
  <c r="X290" i="69"/>
  <c r="AS290" i="69"/>
  <c r="AN297" i="69"/>
  <c r="AR299" i="69"/>
  <c r="AI300" i="69"/>
  <c r="AE302" i="69"/>
  <c r="R307" i="69"/>
  <c r="AR307" i="69"/>
  <c r="F309" i="69"/>
  <c r="L309" i="69"/>
  <c r="E312" i="69"/>
  <c r="Y312" i="69"/>
  <c r="AE320" i="69"/>
  <c r="S323" i="69"/>
  <c r="M329" i="69"/>
  <c r="Q330" i="69"/>
  <c r="AS345" i="69"/>
  <c r="BU19" i="71"/>
  <c r="CD23" i="71"/>
  <c r="BV28" i="71"/>
  <c r="BP41" i="71"/>
  <c r="I38" i="73"/>
  <c r="F50" i="73"/>
  <c r="G51" i="73"/>
  <c r="O51" i="73"/>
  <c r="O55" i="73" s="1"/>
  <c r="O65" i="73" s="1"/>
  <c r="O70" i="73" s="1"/>
  <c r="O71" i="73" s="1"/>
  <c r="E58" i="73"/>
  <c r="H58" i="73"/>
  <c r="L58" i="73"/>
  <c r="G462" i="71"/>
  <c r="K62" i="73"/>
  <c r="I63" i="73"/>
  <c r="F67" i="73"/>
  <c r="D67" i="73" s="1"/>
  <c r="L67" i="73"/>
  <c r="H68" i="73"/>
  <c r="O68" i="73"/>
  <c r="K69" i="73"/>
  <c r="R11" i="72"/>
  <c r="H13" i="68"/>
  <c r="H14" i="68"/>
  <c r="K14" i="68"/>
  <c r="K18" i="68" s="1"/>
  <c r="K29" i="68" s="1"/>
  <c r="K33" i="68" s="1"/>
  <c r="K332" i="68" s="1"/>
  <c r="C19" i="68"/>
  <c r="J21" i="68"/>
  <c r="L22" i="68"/>
  <c r="G23" i="68"/>
  <c r="K23" i="68"/>
  <c r="J26" i="68"/>
  <c r="O26" i="68"/>
  <c r="N27" i="68"/>
  <c r="F36" i="68"/>
  <c r="K36" i="68"/>
  <c r="H40" i="68"/>
  <c r="M40" i="68"/>
  <c r="K41" i="68"/>
  <c r="C46" i="68"/>
  <c r="H48" i="68"/>
  <c r="L49" i="68"/>
  <c r="G50" i="68"/>
  <c r="M50" i="68"/>
  <c r="K55" i="68"/>
  <c r="G59" i="68"/>
  <c r="M59" i="68"/>
  <c r="I77" i="68"/>
  <c r="O77" i="68"/>
  <c r="P78" i="68"/>
  <c r="C81" i="68"/>
  <c r="E83" i="68"/>
  <c r="I83" i="68"/>
  <c r="O83" i="68"/>
  <c r="N85" i="68"/>
  <c r="O86" i="68"/>
  <c r="N88" i="68"/>
  <c r="M91" i="68"/>
  <c r="J93" i="68"/>
  <c r="E96" i="68"/>
  <c r="H101" i="68"/>
  <c r="M101" i="68"/>
  <c r="I103" i="68"/>
  <c r="N103" i="68"/>
  <c r="P105" i="68"/>
  <c r="G111" i="68"/>
  <c r="E118" i="68"/>
  <c r="E119" i="68"/>
  <c r="K119" i="68"/>
  <c r="M124" i="68"/>
  <c r="K129" i="68"/>
  <c r="C135" i="68"/>
  <c r="H139" i="68"/>
  <c r="P139" i="68"/>
  <c r="P142" i="68"/>
  <c r="O143" i="68"/>
  <c r="N166" i="68"/>
  <c r="M169" i="68"/>
  <c r="I175" i="68"/>
  <c r="M175" i="68"/>
  <c r="I178" i="68"/>
  <c r="P178" i="68"/>
  <c r="P179" i="68"/>
  <c r="M211" i="68"/>
  <c r="L212" i="68"/>
  <c r="J216" i="68"/>
  <c r="I222" i="68"/>
  <c r="H223" i="68"/>
  <c r="H224" i="68" s="1"/>
  <c r="L223" i="68"/>
  <c r="L224" i="68" s="1"/>
  <c r="J266" i="68"/>
  <c r="F267" i="68"/>
  <c r="I267" i="68"/>
  <c r="O267" i="68"/>
  <c r="F271" i="68"/>
  <c r="I271" i="68"/>
  <c r="N271" i="68"/>
  <c r="M283" i="68"/>
  <c r="K284" i="68"/>
  <c r="H285" i="68"/>
  <c r="N285" i="68"/>
  <c r="L295" i="68"/>
  <c r="K297" i="68"/>
  <c r="H300" i="68"/>
  <c r="M300" i="68"/>
  <c r="J305" i="68"/>
  <c r="F306" i="68"/>
  <c r="I306" i="68"/>
  <c r="O306" i="68"/>
  <c r="O307" i="68"/>
  <c r="C313" i="68"/>
  <c r="G315" i="68"/>
  <c r="G317" i="68" s="1"/>
  <c r="M315" i="68"/>
  <c r="M317" i="68" s="1"/>
  <c r="N316" i="68"/>
  <c r="O318" i="68"/>
  <c r="K321" i="68"/>
  <c r="O327" i="68"/>
  <c r="M340" i="68"/>
  <c r="C378" i="68"/>
  <c r="CW23" i="71"/>
  <c r="AK41" i="71"/>
  <c r="DK46" i="71"/>
  <c r="DN50" i="71"/>
  <c r="K60" i="71"/>
  <c r="BV60" i="71"/>
  <c r="CJ60" i="71"/>
  <c r="CY60" i="71"/>
  <c r="DT60" i="71"/>
  <c r="C110" i="71"/>
  <c r="CE115" i="71"/>
  <c r="N116" i="71"/>
  <c r="R312" i="69"/>
  <c r="AS312" i="69"/>
  <c r="W320" i="69"/>
  <c r="AJ322" i="69"/>
  <c r="DK41" i="71"/>
  <c r="CJ46" i="71"/>
  <c r="BB50" i="71"/>
  <c r="DP50" i="71"/>
  <c r="BC55" i="71"/>
  <c r="BD116" i="71"/>
  <c r="C125" i="71"/>
  <c r="AI125" i="71"/>
  <c r="DC125" i="71"/>
  <c r="DE129" i="71"/>
  <c r="N312" i="69"/>
  <c r="E313" i="69"/>
  <c r="P320" i="69"/>
  <c r="AM322" i="69"/>
  <c r="C22" i="71"/>
  <c r="DX50" i="71"/>
  <c r="CN55" i="71"/>
  <c r="C220" i="71"/>
  <c r="AC244" i="71"/>
  <c r="AW244" i="71"/>
  <c r="BW244" i="71"/>
  <c r="CI244" i="71"/>
  <c r="CN244" i="71"/>
  <c r="DE244" i="71"/>
  <c r="DP244" i="71"/>
  <c r="AS245" i="71"/>
  <c r="BN245" i="71"/>
  <c r="BX245" i="71"/>
  <c r="CW245" i="71"/>
  <c r="DM245" i="71"/>
  <c r="T246" i="71"/>
  <c r="Z246" i="71"/>
  <c r="BW246" i="71"/>
  <c r="M472" i="71"/>
  <c r="O488" i="71"/>
  <c r="AP16" i="69"/>
  <c r="AS25" i="69"/>
  <c r="AW38" i="69"/>
  <c r="K52" i="69"/>
  <c r="AP52" i="69"/>
  <c r="AJ270" i="69"/>
  <c r="AF285" i="69"/>
  <c r="AC287" i="69"/>
  <c r="V290" i="69"/>
  <c r="V291" i="69" s="1"/>
  <c r="V296" i="69" s="1"/>
  <c r="I297" i="69"/>
  <c r="AD297" i="69"/>
  <c r="AP299" i="69"/>
  <c r="AL302" i="69"/>
  <c r="AP307" i="69"/>
  <c r="AP90" i="69"/>
  <c r="F105" i="69"/>
  <c r="I105" i="69"/>
  <c r="I107" i="69" s="1"/>
  <c r="I214" i="69" s="1"/>
  <c r="J105" i="69"/>
  <c r="N107" i="69"/>
  <c r="N214" i="69" s="1"/>
  <c r="S105" i="69"/>
  <c r="X105" i="69"/>
  <c r="X107" i="69" s="1"/>
  <c r="X214" i="69" s="1"/>
  <c r="AD105" i="69"/>
  <c r="AJ105" i="69"/>
  <c r="AS105" i="69"/>
  <c r="J111" i="69"/>
  <c r="N111" i="69"/>
  <c r="U111" i="69"/>
  <c r="Z111" i="69"/>
  <c r="AF111" i="69"/>
  <c r="AL111" i="69"/>
  <c r="AQ111" i="69"/>
  <c r="I112" i="69"/>
  <c r="AB112" i="69"/>
  <c r="CX115" i="71"/>
  <c r="AR112" i="69"/>
  <c r="AV112" i="69"/>
  <c r="AV117" i="69" s="1"/>
  <c r="J113" i="69"/>
  <c r="L113" i="69"/>
  <c r="P113" i="69"/>
  <c r="AY116" i="71"/>
  <c r="BB116" i="71"/>
  <c r="BE116" i="71"/>
  <c r="W113" i="69"/>
  <c r="Z117" i="69"/>
  <c r="Z128" i="69" s="1"/>
  <c r="Z132" i="69" s="1"/>
  <c r="CL116" i="71"/>
  <c r="CO116" i="71"/>
  <c r="AI113" i="69"/>
  <c r="DG116" i="71"/>
  <c r="DJ116" i="71"/>
  <c r="DM116" i="71"/>
  <c r="AQ113" i="69"/>
  <c r="AV113" i="69"/>
  <c r="P120" i="69"/>
  <c r="C120" i="69" s="1"/>
  <c r="I121" i="69"/>
  <c r="M121" i="69"/>
  <c r="W121" i="69"/>
  <c r="AC121" i="69"/>
  <c r="AI121" i="69"/>
  <c r="AN121" i="69"/>
  <c r="AU121" i="69"/>
  <c r="L125" i="71"/>
  <c r="J122" i="69"/>
  <c r="AD125" i="71"/>
  <c r="BE125" i="71"/>
  <c r="BK125" i="71"/>
  <c r="BN125" i="71"/>
  <c r="AG122" i="69"/>
  <c r="CX125" i="71"/>
  <c r="DA125" i="71"/>
  <c r="AN122" i="69"/>
  <c r="AR122" i="69"/>
  <c r="AR128" i="69" s="1"/>
  <c r="AR132" i="69" s="1"/>
  <c r="P123" i="69"/>
  <c r="C123" i="69" s="1"/>
  <c r="Q125" i="69"/>
  <c r="BT128" i="71"/>
  <c r="AB125" i="69"/>
  <c r="CL128" i="71"/>
  <c r="CO128" i="71"/>
  <c r="AJ125" i="69"/>
  <c r="AJ128" i="69" s="1"/>
  <c r="AJ132" i="69" s="1"/>
  <c r="DG128" i="71"/>
  <c r="DM128" i="71"/>
  <c r="AR125" i="69"/>
  <c r="BE129" i="71"/>
  <c r="BH129" i="71"/>
  <c r="X126" i="69"/>
  <c r="X128" i="69" s="1"/>
  <c r="X132" i="69" s="1"/>
  <c r="BZ129" i="71"/>
  <c r="CF129" i="71"/>
  <c r="CI129" i="71"/>
  <c r="CO129" i="71"/>
  <c r="CR129" i="71"/>
  <c r="AK126" i="69"/>
  <c r="AK128" i="69" s="1"/>
  <c r="AK132" i="69" s="1"/>
  <c r="EB129" i="71"/>
  <c r="AW126" i="69"/>
  <c r="K131" i="69"/>
  <c r="R131" i="69"/>
  <c r="V131" i="69"/>
  <c r="AD131" i="69"/>
  <c r="AI131" i="69"/>
  <c r="AP131" i="69"/>
  <c r="AT131" i="69"/>
  <c r="C133" i="69"/>
  <c r="F141" i="69"/>
  <c r="I141" i="69"/>
  <c r="L141" i="69"/>
  <c r="S141" i="69"/>
  <c r="X141" i="69"/>
  <c r="AE141" i="69"/>
  <c r="C142" i="69"/>
  <c r="L147" i="71"/>
  <c r="DJ147" i="71"/>
  <c r="L145" i="69"/>
  <c r="C145" i="69" s="1"/>
  <c r="T147" i="69"/>
  <c r="X145" i="69"/>
  <c r="AG145" i="69"/>
  <c r="F146" i="69"/>
  <c r="K146" i="69"/>
  <c r="H160" i="69"/>
  <c r="AD160" i="69"/>
  <c r="F168" i="69"/>
  <c r="C168" i="69" s="1"/>
  <c r="M168" i="69"/>
  <c r="AC168" i="69"/>
  <c r="F171" i="69"/>
  <c r="R171" i="69"/>
  <c r="AL171" i="69"/>
  <c r="P178" i="69"/>
  <c r="Q175" i="69" s="1"/>
  <c r="Q178" i="69" s="1"/>
  <c r="R175" i="69" s="1"/>
  <c r="S177" i="69"/>
  <c r="AN177" i="69"/>
  <c r="AC180" i="69"/>
  <c r="U181" i="69"/>
  <c r="AL181" i="69"/>
  <c r="U186" i="69"/>
  <c r="AH186" i="69"/>
  <c r="AH189" i="69" s="1"/>
  <c r="X193" i="69"/>
  <c r="X198" i="69" s="1"/>
  <c r="R213" i="69"/>
  <c r="AP213" i="69"/>
  <c r="AC224" i="69"/>
  <c r="F254" i="69"/>
  <c r="C254" i="69" s="1"/>
  <c r="T255" i="69"/>
  <c r="T262" i="69" s="1"/>
  <c r="T278" i="69" s="1"/>
  <c r="T280" i="69" s="1"/>
  <c r="AF254" i="69"/>
  <c r="M268" i="69"/>
  <c r="AN268" i="69"/>
  <c r="G270" i="69"/>
  <c r="G271" i="69" s="1"/>
  <c r="H267" i="69" s="1"/>
  <c r="H271" i="69" s="1"/>
  <c r="I267" i="69" s="1"/>
  <c r="I271" i="69" s="1"/>
  <c r="J267" i="69" s="1"/>
  <c r="J271" i="69" s="1"/>
  <c r="K267" i="69" s="1"/>
  <c r="K271" i="69" s="1"/>
  <c r="L267" i="69" s="1"/>
  <c r="L271" i="69" s="1"/>
  <c r="M267" i="69" s="1"/>
  <c r="M271" i="69" s="1"/>
  <c r="N267" i="69" s="1"/>
  <c r="N271" i="69" s="1"/>
  <c r="O267" i="69" s="1"/>
  <c r="O271" i="69" s="1"/>
  <c r="P267" i="69" s="1"/>
  <c r="P271" i="69" s="1"/>
  <c r="Q267" i="69" s="1"/>
  <c r="Q271" i="69" s="1"/>
  <c r="R267" i="69" s="1"/>
  <c r="R271" i="69" s="1"/>
  <c r="S267" i="69" s="1"/>
  <c r="S271" i="69" s="1"/>
  <c r="T267" i="69" s="1"/>
  <c r="T271" i="69" s="1"/>
  <c r="U267" i="69" s="1"/>
  <c r="U271" i="69" s="1"/>
  <c r="V267" i="69" s="1"/>
  <c r="V271" i="69" s="1"/>
  <c r="W267" i="69" s="1"/>
  <c r="W271" i="69" s="1"/>
  <c r="X267" i="69" s="1"/>
  <c r="X271" i="69" s="1"/>
  <c r="Y267" i="69" s="1"/>
  <c r="Y271" i="69" s="1"/>
  <c r="Z267" i="69" s="1"/>
  <c r="Z271" i="69" s="1"/>
  <c r="AA267" i="69" s="1"/>
  <c r="AA271" i="69" s="1"/>
  <c r="AB267" i="69" s="1"/>
  <c r="AB271" i="69" s="1"/>
  <c r="AC267" i="69" s="1"/>
  <c r="AC271" i="69" s="1"/>
  <c r="AD267" i="69" s="1"/>
  <c r="AD271" i="69" s="1"/>
  <c r="AE267" i="69" s="1"/>
  <c r="AE271" i="69" s="1"/>
  <c r="AF267" i="69" s="1"/>
  <c r="AF271" i="69" s="1"/>
  <c r="AG267" i="69" s="1"/>
  <c r="AG271" i="69" s="1"/>
  <c r="AH267" i="69" s="1"/>
  <c r="AH271" i="69" s="1"/>
  <c r="AI267" i="69" s="1"/>
  <c r="AI271" i="69" s="1"/>
  <c r="AJ267" i="69" s="1"/>
  <c r="AJ271" i="69" s="1"/>
  <c r="AK267" i="69" s="1"/>
  <c r="AK271" i="69" s="1"/>
  <c r="AL267" i="69" s="1"/>
  <c r="AL271" i="69" s="1"/>
  <c r="AM267" i="69" s="1"/>
  <c r="AM271" i="69" s="1"/>
  <c r="AN267" i="69" s="1"/>
  <c r="AN271" i="69" s="1"/>
  <c r="AO267" i="69" s="1"/>
  <c r="AO271" i="69" s="1"/>
  <c r="AP267" i="69" s="1"/>
  <c r="AP271" i="69" s="1"/>
  <c r="AQ267" i="69" s="1"/>
  <c r="AQ271" i="69" s="1"/>
  <c r="AR267" i="69" s="1"/>
  <c r="AR271" i="69" s="1"/>
  <c r="AS267" i="69" s="1"/>
  <c r="AS271" i="69" s="1"/>
  <c r="AT267" i="69" s="1"/>
  <c r="AT271" i="69" s="1"/>
  <c r="AU267" i="69" s="1"/>
  <c r="AU271" i="69" s="1"/>
  <c r="AV267" i="69" s="1"/>
  <c r="AV271" i="69" s="1"/>
  <c r="AW267" i="69" s="1"/>
  <c r="AW271" i="69" s="1"/>
  <c r="T270" i="69"/>
  <c r="F273" i="69"/>
  <c r="F274" i="69" s="1"/>
  <c r="F279" i="69" s="1"/>
  <c r="M273" i="69"/>
  <c r="M274" i="69" s="1"/>
  <c r="M279" i="69" s="1"/>
  <c r="W274" i="69"/>
  <c r="AC279" i="69"/>
  <c r="AC280" i="69" s="1"/>
  <c r="AN273" i="69"/>
  <c r="X285" i="69"/>
  <c r="J291" i="69"/>
  <c r="O286" i="69"/>
  <c r="K287" i="69"/>
  <c r="W287" i="69"/>
  <c r="AP287" i="69"/>
  <c r="AB286" i="69"/>
  <c r="AB291" i="69" s="1"/>
  <c r="AB296" i="69" s="1"/>
  <c r="AS286" i="69"/>
  <c r="AS291" i="69" s="1"/>
  <c r="W297" i="69"/>
  <c r="K299" i="69"/>
  <c r="S299" i="69"/>
  <c r="AI299" i="69"/>
  <c r="V300" i="69"/>
  <c r="AM241" i="69"/>
  <c r="AP241" i="69"/>
  <c r="H299" i="69"/>
  <c r="H301" i="69" s="1"/>
  <c r="H318" i="69" s="1"/>
  <c r="H319" i="69" s="1"/>
  <c r="K302" i="69"/>
  <c r="W302" i="69"/>
  <c r="AM302" i="69"/>
  <c r="N307" i="69"/>
  <c r="AN307" i="69"/>
  <c r="U308" i="69"/>
  <c r="AQ308" i="69"/>
  <c r="AN309" i="69"/>
  <c r="F313" i="69"/>
  <c r="S313" i="69"/>
  <c r="K320" i="69"/>
  <c r="AL320" i="69"/>
  <c r="AL322" i="69"/>
  <c r="AR242" i="69"/>
  <c r="AC329" i="69"/>
  <c r="AH243" i="69"/>
  <c r="AQ330" i="69"/>
  <c r="AQ243" i="69" s="1"/>
  <c r="AR23" i="71"/>
  <c r="DN23" i="71"/>
  <c r="BR31" i="71"/>
  <c r="DL31" i="71"/>
  <c r="CZ32" i="71"/>
  <c r="DL32" i="71"/>
  <c r="EG183" i="71"/>
  <c r="AN41" i="71"/>
  <c r="CF41" i="71"/>
  <c r="BB46" i="71"/>
  <c r="ED46" i="71"/>
  <c r="R50" i="71"/>
  <c r="BC50" i="71"/>
  <c r="CF50" i="71"/>
  <c r="CT50" i="71"/>
  <c r="DK50" i="71"/>
  <c r="ED50" i="71"/>
  <c r="EG50" i="71"/>
  <c r="I36" i="73"/>
  <c r="C64" i="71"/>
  <c r="C445" i="71"/>
  <c r="O58" i="73"/>
  <c r="N59" i="73"/>
  <c r="L63" i="73"/>
  <c r="G67" i="73"/>
  <c r="O67" i="73"/>
  <c r="I68" i="73"/>
  <c r="E69" i="73"/>
  <c r="R12" i="72"/>
  <c r="R15" i="72"/>
  <c r="F13" i="68"/>
  <c r="O13" i="68"/>
  <c r="N14" i="68"/>
  <c r="N18" i="68" s="1"/>
  <c r="N29" i="68" s="1"/>
  <c r="N33" i="68" s="1"/>
  <c r="N332" i="68" s="1"/>
  <c r="I21" i="68"/>
  <c r="C21" i="68" s="1"/>
  <c r="H22" i="68"/>
  <c r="C22" i="68" s="1"/>
  <c r="N22" i="68"/>
  <c r="H23" i="68"/>
  <c r="L23" i="68"/>
  <c r="H26" i="68"/>
  <c r="L26" i="68"/>
  <c r="I27" i="68"/>
  <c r="J27" i="68"/>
  <c r="P27" i="68"/>
  <c r="J36" i="68"/>
  <c r="P36" i="68"/>
  <c r="N40" i="68"/>
  <c r="C40" i="68" s="1"/>
  <c r="J41" i="68"/>
  <c r="J45" i="68" s="1"/>
  <c r="J52" i="68" s="1"/>
  <c r="J56" i="68" s="1"/>
  <c r="J60" i="68" s="1"/>
  <c r="O41" i="68"/>
  <c r="O45" i="68" s="1"/>
  <c r="O52" i="68" s="1"/>
  <c r="O56" i="68" s="1"/>
  <c r="O60" i="68" s="1"/>
  <c r="G49" i="68"/>
  <c r="C49" i="68" s="1"/>
  <c r="I49" i="68"/>
  <c r="P49" i="68"/>
  <c r="L50" i="68"/>
  <c r="G55" i="68"/>
  <c r="J55" i="68"/>
  <c r="P55" i="68"/>
  <c r="L59" i="68"/>
  <c r="C59" i="68" s="1"/>
  <c r="C75" i="68"/>
  <c r="F77" i="68"/>
  <c r="L77" i="68"/>
  <c r="G78" i="68"/>
  <c r="K78" i="68"/>
  <c r="E80" i="68"/>
  <c r="H80" i="68"/>
  <c r="L80" i="68"/>
  <c r="G83" i="68"/>
  <c r="K83" i="68"/>
  <c r="P83" i="68"/>
  <c r="O85" i="68"/>
  <c r="M86" i="68"/>
  <c r="I88" i="68"/>
  <c r="C88" i="68" s="1"/>
  <c r="M88" i="68"/>
  <c r="J91" i="68"/>
  <c r="O91" i="68"/>
  <c r="L93" i="68"/>
  <c r="G94" i="68"/>
  <c r="P94" i="68"/>
  <c r="K101" i="68"/>
  <c r="C101" i="68" s="1"/>
  <c r="E103" i="68"/>
  <c r="G103" i="68"/>
  <c r="K103" i="68"/>
  <c r="O103" i="68"/>
  <c r="K105" i="68"/>
  <c r="C105" i="68" s="1"/>
  <c r="H109" i="68"/>
  <c r="C109" i="68" s="1"/>
  <c r="L109" i="68"/>
  <c r="P110" i="68"/>
  <c r="O111" i="68"/>
  <c r="H119" i="68"/>
  <c r="C119" i="68" s="1"/>
  <c r="M119" i="68"/>
  <c r="I120" i="68"/>
  <c r="M120" i="68"/>
  <c r="K123" i="68"/>
  <c r="P123" i="68"/>
  <c r="P126" i="68" s="1"/>
  <c r="P130" i="68" s="1"/>
  <c r="P124" i="68"/>
  <c r="N129" i="68"/>
  <c r="C129" i="68" s="1"/>
  <c r="I139" i="68"/>
  <c r="N139" i="68"/>
  <c r="N145" i="68" s="1"/>
  <c r="I142" i="68"/>
  <c r="O142" i="68"/>
  <c r="O145" i="68" s="1"/>
  <c r="I143" i="68"/>
  <c r="C143" i="68" s="1"/>
  <c r="M143" i="68"/>
  <c r="M145" i="68" s="1"/>
  <c r="L166" i="68"/>
  <c r="G169" i="68"/>
  <c r="C169" i="68" s="1"/>
  <c r="I169" i="68"/>
  <c r="L169" i="68"/>
  <c r="H175" i="68"/>
  <c r="H176" i="68" s="1"/>
  <c r="I173" i="68" s="1"/>
  <c r="K175" i="68"/>
  <c r="P175" i="68"/>
  <c r="M178" i="68"/>
  <c r="I179" i="68"/>
  <c r="L179" i="68"/>
  <c r="E211" i="68"/>
  <c r="F211" i="68"/>
  <c r="H211" i="68"/>
  <c r="L211" i="68"/>
  <c r="G212" i="68"/>
  <c r="C212" i="68" s="1"/>
  <c r="K212" i="68"/>
  <c r="E216" i="68"/>
  <c r="G216" i="68"/>
  <c r="I216" i="68"/>
  <c r="O216" i="68"/>
  <c r="E223" i="68"/>
  <c r="I223" i="68"/>
  <c r="N223" i="68"/>
  <c r="N224" i="68" s="1"/>
  <c r="G266" i="68"/>
  <c r="M266" i="68"/>
  <c r="H267" i="68"/>
  <c r="H272" i="68" s="1"/>
  <c r="H277" i="68" s="1"/>
  <c r="N267" i="68"/>
  <c r="N272" i="68" s="1"/>
  <c r="N277" i="68" s="1"/>
  <c r="K268" i="68"/>
  <c r="E271" i="68"/>
  <c r="E272" i="68" s="1"/>
  <c r="E277" i="68" s="1"/>
  <c r="H271" i="68"/>
  <c r="L271" i="68"/>
  <c r="L272" i="68" s="1"/>
  <c r="L277" i="68" s="1"/>
  <c r="H283" i="68"/>
  <c r="L283" i="68"/>
  <c r="G284" i="68"/>
  <c r="J284" i="68"/>
  <c r="O284" i="68"/>
  <c r="L285" i="68"/>
  <c r="F295" i="68"/>
  <c r="I295" i="68"/>
  <c r="M295" i="68"/>
  <c r="J297" i="68"/>
  <c r="L298" i="68"/>
  <c r="L239" i="68" s="1"/>
  <c r="K300" i="68"/>
  <c r="F305" i="68"/>
  <c r="H305" i="68"/>
  <c r="K305" i="68"/>
  <c r="E306" i="68"/>
  <c r="E308" i="68" s="1"/>
  <c r="F304" i="68" s="1"/>
  <c r="G306" i="68"/>
  <c r="K306" i="68"/>
  <c r="F307" i="68"/>
  <c r="H307" i="68"/>
  <c r="L307" i="68"/>
  <c r="I311" i="68"/>
  <c r="I317" i="68" s="1"/>
  <c r="O311" i="68"/>
  <c r="O317" i="68" s="1"/>
  <c r="O315" i="68"/>
  <c r="M316" i="68"/>
  <c r="J318" i="68"/>
  <c r="E320" i="68"/>
  <c r="E322" i="68" s="1"/>
  <c r="E323" i="68" s="1"/>
  <c r="G320" i="68"/>
  <c r="G322" i="68" s="1"/>
  <c r="G323" i="68" s="1"/>
  <c r="K320" i="68"/>
  <c r="E327" i="68"/>
  <c r="E329" i="68" s="1"/>
  <c r="F327" i="68"/>
  <c r="J327" i="68"/>
  <c r="J329" i="68" s="1"/>
  <c r="C336" i="68"/>
  <c r="M55" i="71"/>
  <c r="ED55" i="71"/>
  <c r="EG55" i="71"/>
  <c r="C57" i="71"/>
  <c r="H60" i="71"/>
  <c r="M60" i="71"/>
  <c r="W60" i="71"/>
  <c r="AF60" i="71"/>
  <c r="AN60" i="71"/>
  <c r="AQ60" i="71"/>
  <c r="AR60" i="71"/>
  <c r="AU60" i="71"/>
  <c r="AX60" i="71"/>
  <c r="BA60" i="71"/>
  <c r="BC60" i="71"/>
  <c r="BI60" i="71"/>
  <c r="BL60" i="71"/>
  <c r="BP60" i="71"/>
  <c r="BU60" i="71"/>
  <c r="BY60" i="71"/>
  <c r="CA60" i="71"/>
  <c r="CB60" i="71"/>
  <c r="DE60" i="71"/>
  <c r="DK60" i="71"/>
  <c r="DN60" i="71"/>
  <c r="DZ60" i="71"/>
  <c r="EF60" i="71"/>
  <c r="C61" i="71"/>
  <c r="C77" i="71"/>
  <c r="C93" i="71"/>
  <c r="C106" i="71"/>
  <c r="BS115" i="71"/>
  <c r="BY115" i="71"/>
  <c r="CD115" i="71"/>
  <c r="CN115" i="71"/>
  <c r="CW115" i="71"/>
  <c r="DB115" i="71"/>
  <c r="DC115" i="71"/>
  <c r="DR115" i="71"/>
  <c r="H116" i="71"/>
  <c r="T116" i="71"/>
  <c r="AE116" i="71"/>
  <c r="AO116" i="71"/>
  <c r="AQ116" i="71"/>
  <c r="AU116" i="71"/>
  <c r="AX116" i="71"/>
  <c r="BA116" i="71"/>
  <c r="BC116" i="71"/>
  <c r="C174" i="71"/>
  <c r="L185" i="71"/>
  <c r="AK185" i="71"/>
  <c r="AM185" i="71"/>
  <c r="AD309" i="69"/>
  <c r="AH312" i="69"/>
  <c r="AJ313" i="69"/>
  <c r="AJ319" i="69" s="1"/>
  <c r="AH320" i="69"/>
  <c r="H329" i="69"/>
  <c r="G34" i="69"/>
  <c r="M345" i="69"/>
  <c r="V345" i="69"/>
  <c r="AD345" i="69"/>
  <c r="AR345" i="69"/>
  <c r="I34" i="69"/>
  <c r="C23" i="71"/>
  <c r="CM23" i="71"/>
  <c r="CY23" i="71"/>
  <c r="DS23" i="71"/>
  <c r="C28" i="71"/>
  <c r="C34" i="71"/>
  <c r="DY38" i="71"/>
  <c r="H41" i="71"/>
  <c r="Y41" i="71"/>
  <c r="AT41" i="71"/>
  <c r="BL41" i="71"/>
  <c r="BR41" i="71"/>
  <c r="CB41" i="71"/>
  <c r="DR41" i="71"/>
  <c r="EF41" i="71"/>
  <c r="AF46" i="71"/>
  <c r="BO46" i="71"/>
  <c r="CH46" i="71"/>
  <c r="DU46" i="71"/>
  <c r="BF50" i="71"/>
  <c r="BK50" i="71"/>
  <c r="BR50" i="71"/>
  <c r="BY50" i="71"/>
  <c r="CE50" i="71"/>
  <c r="CL50" i="71"/>
  <c r="CX50" i="71"/>
  <c r="DG50" i="71"/>
  <c r="DM50" i="71"/>
  <c r="EF50" i="71"/>
  <c r="Y55" i="71"/>
  <c r="AC55" i="71"/>
  <c r="BV55" i="71"/>
  <c r="DB55" i="71"/>
  <c r="BI116" i="71"/>
  <c r="BL116" i="71"/>
  <c r="BP116" i="71"/>
  <c r="BS116" i="71"/>
  <c r="BX116" i="71"/>
  <c r="CE116" i="71"/>
  <c r="CH116" i="71"/>
  <c r="CK116" i="71"/>
  <c r="CQ116" i="71"/>
  <c r="CY116" i="71"/>
  <c r="DF116" i="71"/>
  <c r="DQ116" i="71"/>
  <c r="EF116" i="71"/>
  <c r="C120" i="71"/>
  <c r="AL124" i="71"/>
  <c r="H125" i="71"/>
  <c r="K125" i="71"/>
  <c r="AE125" i="71"/>
  <c r="AU125" i="71"/>
  <c r="BC125" i="71"/>
  <c r="BF125" i="71"/>
  <c r="BI125" i="71"/>
  <c r="BM125" i="71"/>
  <c r="BV125" i="71"/>
  <c r="BY125" i="71"/>
  <c r="CS125" i="71"/>
  <c r="DE125" i="71"/>
  <c r="DI125" i="71"/>
  <c r="DZ125" i="71"/>
  <c r="ED125" i="71"/>
  <c r="EG125" i="71"/>
  <c r="C128" i="71"/>
  <c r="AU128" i="71"/>
  <c r="BG128" i="71"/>
  <c r="BJ128" i="71"/>
  <c r="BL128" i="71"/>
  <c r="BP128" i="71"/>
  <c r="BV128" i="71"/>
  <c r="CB128" i="71"/>
  <c r="CG128" i="71"/>
  <c r="CK128" i="71"/>
  <c r="CP128" i="71"/>
  <c r="CT128" i="71"/>
  <c r="CY128" i="71"/>
  <c r="DB128" i="71"/>
  <c r="DF128" i="71"/>
  <c r="DK128" i="71"/>
  <c r="DO128" i="71"/>
  <c r="DR128" i="71"/>
  <c r="DT128" i="71"/>
  <c r="DZ128" i="71"/>
  <c r="EC128" i="71"/>
  <c r="EF128" i="71"/>
  <c r="AN129" i="71"/>
  <c r="AO129" i="71"/>
  <c r="AW129" i="71"/>
  <c r="BL129" i="71"/>
  <c r="BM129" i="71"/>
  <c r="BS129" i="71"/>
  <c r="BX129" i="71"/>
  <c r="CA129" i="71"/>
  <c r="CH129" i="71"/>
  <c r="CN129" i="71"/>
  <c r="CP129" i="71"/>
  <c r="CW129" i="71"/>
  <c r="DI129" i="71"/>
  <c r="DT129" i="71"/>
  <c r="DU129" i="71"/>
  <c r="ED129" i="71"/>
  <c r="EG129" i="71"/>
  <c r="C135" i="71"/>
  <c r="AQ309" i="69"/>
  <c r="I313" i="69"/>
  <c r="AP313" i="69"/>
  <c r="AK320" i="69"/>
  <c r="AA329" i="69"/>
  <c r="C365" i="69"/>
  <c r="J370" i="69"/>
  <c r="J371" i="69" s="1"/>
  <c r="CQ23" i="71"/>
  <c r="C30" i="71"/>
  <c r="DZ38" i="71"/>
  <c r="AO41" i="71"/>
  <c r="CK41" i="71"/>
  <c r="DQ41" i="71"/>
  <c r="V46" i="71"/>
  <c r="AQ46" i="71"/>
  <c r="N50" i="71"/>
  <c r="AN50" i="71"/>
  <c r="AX50" i="71"/>
  <c r="BV50" i="71"/>
  <c r="DD50" i="71"/>
  <c r="DV50" i="71"/>
  <c r="AB55" i="71"/>
  <c r="BO55" i="71"/>
  <c r="C217" i="71"/>
  <c r="C229" i="71"/>
  <c r="H244" i="71"/>
  <c r="K244" i="71"/>
  <c r="L244" i="71"/>
  <c r="N244" i="71"/>
  <c r="R244" i="71"/>
  <c r="S244" i="71"/>
  <c r="T244" i="71"/>
  <c r="V244" i="71"/>
  <c r="W244" i="71"/>
  <c r="Y244" i="71"/>
  <c r="Z244" i="71"/>
  <c r="AB244" i="71"/>
  <c r="AD244" i="71"/>
  <c r="AF244" i="71"/>
  <c r="AL244" i="71"/>
  <c r="AT244" i="71"/>
  <c r="AV244" i="71"/>
  <c r="AX244" i="71"/>
  <c r="AY244" i="71"/>
  <c r="BB244" i="71"/>
  <c r="BE244" i="71"/>
  <c r="BH244" i="71"/>
  <c r="BI244" i="71"/>
  <c r="BJ244" i="71"/>
  <c r="BL244" i="71"/>
  <c r="BP244" i="71"/>
  <c r="BR244" i="71"/>
  <c r="BS244" i="71"/>
  <c r="BX244" i="71"/>
  <c r="BZ244" i="71"/>
  <c r="CA244" i="71"/>
  <c r="CG244" i="71"/>
  <c r="CJ244" i="71"/>
  <c r="CR244" i="71"/>
  <c r="CT244" i="71"/>
  <c r="CV244" i="71"/>
  <c r="CX244" i="71"/>
  <c r="DA244" i="71"/>
  <c r="DD244" i="71"/>
  <c r="DH244" i="71"/>
  <c r="DK244" i="71"/>
  <c r="DM244" i="71"/>
  <c r="DQ244" i="71"/>
  <c r="DT244" i="71"/>
  <c r="DU244" i="71"/>
  <c r="F245" i="71"/>
  <c r="I245" i="71"/>
  <c r="K245" i="71"/>
  <c r="O245" i="71"/>
  <c r="R245" i="71"/>
  <c r="T245" i="71"/>
  <c r="W245" i="71"/>
  <c r="Z245" i="71"/>
  <c r="AF245" i="71"/>
  <c r="AH245" i="71"/>
  <c r="AK245" i="71"/>
  <c r="AN245" i="71"/>
  <c r="AW245" i="71"/>
  <c r="AY245" i="71"/>
  <c r="AZ245" i="71"/>
  <c r="BF245" i="71"/>
  <c r="BJ245" i="71"/>
  <c r="BP245" i="71"/>
  <c r="BR245" i="71"/>
  <c r="BT245" i="71"/>
  <c r="CQ245" i="71"/>
  <c r="CR245" i="71"/>
  <c r="CV245" i="71"/>
  <c r="CY245" i="71"/>
  <c r="DA245" i="71"/>
  <c r="DE245" i="71"/>
  <c r="DG245" i="71"/>
  <c r="DH245" i="71"/>
  <c r="DI245" i="71"/>
  <c r="DJ245" i="71"/>
  <c r="DK245" i="71"/>
  <c r="DO245" i="71"/>
  <c r="DR245" i="71"/>
  <c r="DT245" i="71"/>
  <c r="E246" i="71"/>
  <c r="G246" i="71"/>
  <c r="J246" i="71"/>
  <c r="O246" i="71"/>
  <c r="U246" i="71"/>
  <c r="Y246" i="71"/>
  <c r="AF246" i="71"/>
  <c r="AG246" i="71"/>
  <c r="AO246" i="71"/>
  <c r="AU246" i="71"/>
  <c r="AX246" i="71"/>
  <c r="BA246" i="71"/>
  <c r="BD246" i="71"/>
  <c r="BF246" i="71"/>
  <c r="BM246" i="71"/>
  <c r="BO246" i="71"/>
  <c r="BP246" i="71"/>
  <c r="BY246" i="71"/>
  <c r="CB246" i="71"/>
  <c r="CE246" i="71"/>
  <c r="CH246" i="71"/>
  <c r="CI246" i="71"/>
  <c r="CO246" i="71"/>
  <c r="CU246" i="71"/>
  <c r="CW246" i="71"/>
  <c r="DA246" i="71"/>
  <c r="DC246" i="71"/>
  <c r="DE246" i="71"/>
  <c r="DG246" i="71"/>
  <c r="DM246" i="71"/>
  <c r="DN246" i="71"/>
  <c r="DR246" i="71"/>
  <c r="DU246" i="71"/>
  <c r="C254" i="71"/>
  <c r="E468" i="71"/>
  <c r="G479" i="71"/>
  <c r="K505" i="71"/>
  <c r="C506" i="71"/>
  <c r="C373" i="71"/>
  <c r="AN15" i="69"/>
  <c r="Z24" i="69"/>
  <c r="AW25" i="69"/>
  <c r="AW31" i="69" s="1"/>
  <c r="S38" i="69"/>
  <c r="C38" i="69" s="1"/>
  <c r="G43" i="69"/>
  <c r="P43" i="69"/>
  <c r="P47" i="69" s="1"/>
  <c r="P54" i="69" s="1"/>
  <c r="P58" i="69" s="1"/>
  <c r="P62" i="69" s="1"/>
  <c r="AJ51" i="69"/>
  <c r="AJ54" i="69" s="1"/>
  <c r="AJ58" i="69" s="1"/>
  <c r="AJ62" i="69" s="1"/>
  <c r="I76" i="69"/>
  <c r="AS76" i="69"/>
  <c r="I213" i="69"/>
  <c r="AT213" i="69"/>
  <c r="K224" i="69"/>
  <c r="AN269" i="69"/>
  <c r="AN274" i="69" s="1"/>
  <c r="AN279" i="69" s="1"/>
  <c r="Q273" i="69"/>
  <c r="Q274" i="69" s="1"/>
  <c r="Q279" i="69" s="1"/>
  <c r="AR273" i="69"/>
  <c r="AR274" i="69" s="1"/>
  <c r="AR279" i="69" s="1"/>
  <c r="Q286" i="69"/>
  <c r="Q291" i="69" s="1"/>
  <c r="L287" i="69"/>
  <c r="Y287" i="69"/>
  <c r="AS287" i="69"/>
  <c r="C293" i="69"/>
  <c r="E297" i="69"/>
  <c r="M297" i="69"/>
  <c r="AG297" i="69"/>
  <c r="AC299" i="69"/>
  <c r="L302" i="69"/>
  <c r="X302" i="69"/>
  <c r="X325" i="69" s="1"/>
  <c r="K307" i="69"/>
  <c r="W307" i="69"/>
  <c r="J308" i="69"/>
  <c r="CE98" i="71"/>
  <c r="CH98" i="71"/>
  <c r="CI98" i="71"/>
  <c r="CJ98" i="71"/>
  <c r="CM98" i="71"/>
  <c r="CO98" i="71"/>
  <c r="CR98" i="71"/>
  <c r="CT98" i="71"/>
  <c r="CV98" i="71"/>
  <c r="CY98" i="71"/>
  <c r="DA98" i="71"/>
  <c r="DC98" i="71"/>
  <c r="DE98" i="71"/>
  <c r="DI98" i="71"/>
  <c r="DK98" i="71"/>
  <c r="DM98" i="71"/>
  <c r="DQ98" i="71"/>
  <c r="DT98" i="71"/>
  <c r="DW98" i="71"/>
  <c r="DY98" i="71"/>
  <c r="EA98" i="71"/>
  <c r="EC98" i="71"/>
  <c r="EE98" i="71"/>
  <c r="EG98" i="71"/>
  <c r="E99" i="71"/>
  <c r="H99" i="71"/>
  <c r="L99" i="71"/>
  <c r="O99" i="71"/>
  <c r="P99" i="71"/>
  <c r="Q99" i="71"/>
  <c r="T99" i="71"/>
  <c r="V99" i="71"/>
  <c r="X99" i="71"/>
  <c r="Y99" i="71"/>
  <c r="AB99" i="71"/>
  <c r="AC99" i="71"/>
  <c r="AD99" i="71"/>
  <c r="AF99" i="71"/>
  <c r="AG99" i="71"/>
  <c r="AH99" i="71"/>
  <c r="AJ99" i="71"/>
  <c r="AK99" i="71"/>
  <c r="AL99" i="71"/>
  <c r="AO99" i="71"/>
  <c r="AS99" i="71"/>
  <c r="AU99" i="71"/>
  <c r="AW99" i="71"/>
  <c r="AX99" i="71"/>
  <c r="AZ99" i="71"/>
  <c r="BB99" i="71"/>
  <c r="BD99" i="71"/>
  <c r="BF99" i="71"/>
  <c r="BJ99" i="71"/>
  <c r="BL99" i="71"/>
  <c r="BM99" i="71"/>
  <c r="BN99" i="71"/>
  <c r="BP99" i="71"/>
  <c r="BQ99" i="71"/>
  <c r="BR99" i="71"/>
  <c r="BT99" i="71"/>
  <c r="BV99" i="71"/>
  <c r="BX99" i="71"/>
  <c r="BY99" i="71"/>
  <c r="CB99" i="71"/>
  <c r="CD99" i="71"/>
  <c r="CF99" i="71"/>
  <c r="CI99" i="71"/>
  <c r="CP99" i="71"/>
  <c r="CT99" i="71"/>
  <c r="CV99" i="71"/>
  <c r="CX99" i="71"/>
  <c r="DF99" i="71"/>
  <c r="DH99" i="71"/>
  <c r="DI99" i="71"/>
  <c r="DL99" i="71"/>
  <c r="DQ99" i="71"/>
  <c r="DU99" i="71"/>
  <c r="DX99" i="71"/>
  <c r="EA99" i="71"/>
  <c r="EB99" i="71"/>
  <c r="EG99" i="71"/>
  <c r="G101" i="71"/>
  <c r="L101" i="71"/>
  <c r="N101" i="71"/>
  <c r="P101" i="71"/>
  <c r="Q101" i="71"/>
  <c r="U101" i="71"/>
  <c r="V101" i="71"/>
  <c r="X101" i="71"/>
  <c r="Y101" i="71"/>
  <c r="AA101" i="71"/>
  <c r="AB101" i="71"/>
  <c r="AE101" i="71"/>
  <c r="AG101" i="71"/>
  <c r="AI101" i="71"/>
  <c r="AJ101" i="71"/>
  <c r="AL101" i="71"/>
  <c r="AM101" i="71"/>
  <c r="AN101" i="71"/>
  <c r="AO101" i="71"/>
  <c r="AQ101" i="71"/>
  <c r="AS101" i="71"/>
  <c r="AU101" i="71"/>
  <c r="AW101" i="71"/>
  <c r="AX101" i="71"/>
  <c r="AZ101" i="71"/>
  <c r="BA101" i="71"/>
  <c r="BB101" i="71"/>
  <c r="BF101" i="71"/>
  <c r="BH101" i="71"/>
  <c r="BK101" i="71"/>
  <c r="BL101" i="71"/>
  <c r="BM101" i="71"/>
  <c r="BN101" i="71"/>
  <c r="BO101" i="71"/>
  <c r="BP101" i="71"/>
  <c r="BQ101" i="71"/>
  <c r="BS101" i="71"/>
  <c r="BU101" i="71"/>
  <c r="BW101" i="71"/>
  <c r="BY101" i="71"/>
  <c r="CA101" i="71"/>
  <c r="CB101" i="71"/>
  <c r="CC101" i="71"/>
  <c r="CF101" i="71"/>
  <c r="CG101" i="71"/>
  <c r="CI101" i="71"/>
  <c r="CJ101" i="71"/>
  <c r="CL101" i="71"/>
  <c r="CN101" i="71"/>
  <c r="CO101" i="71"/>
  <c r="CQ101" i="71"/>
  <c r="CR101" i="71"/>
  <c r="CS101" i="71"/>
  <c r="CU101" i="71"/>
  <c r="CW101" i="71"/>
  <c r="DA101" i="71"/>
  <c r="DC101" i="71"/>
  <c r="DD101" i="71"/>
  <c r="DE101" i="71"/>
  <c r="DG101" i="71"/>
  <c r="DI101" i="71"/>
  <c r="DK101" i="71"/>
  <c r="DL101" i="71"/>
  <c r="DM101" i="71"/>
  <c r="DO101" i="71"/>
  <c r="DP101" i="71"/>
  <c r="DQ101" i="71"/>
  <c r="DR101" i="71"/>
  <c r="DS101" i="71"/>
  <c r="DT101" i="71"/>
  <c r="DU101" i="71"/>
  <c r="DW101" i="71"/>
  <c r="DY101" i="71"/>
  <c r="EA101" i="71"/>
  <c r="EB101" i="71"/>
  <c r="EE101" i="71"/>
  <c r="F104" i="71"/>
  <c r="K104" i="71"/>
  <c r="M104" i="71"/>
  <c r="O104" i="71"/>
  <c r="Q104" i="71"/>
  <c r="S104" i="71"/>
  <c r="T104" i="71"/>
  <c r="V104" i="71"/>
  <c r="X104" i="71"/>
  <c r="Z104" i="71"/>
  <c r="AC104" i="71"/>
  <c r="AE104" i="71"/>
  <c r="AJ104" i="71"/>
  <c r="AN104" i="71"/>
  <c r="AP104" i="71"/>
  <c r="AR104" i="71"/>
  <c r="AS104" i="71"/>
  <c r="AU104" i="71"/>
  <c r="AX104" i="71"/>
  <c r="AZ104" i="71"/>
  <c r="BB104" i="71"/>
  <c r="BC104" i="71"/>
  <c r="BE104" i="71"/>
  <c r="BG104" i="71"/>
  <c r="BI104" i="71"/>
  <c r="BK104" i="71"/>
  <c r="BM104" i="71"/>
  <c r="BO104" i="71"/>
  <c r="BQ104" i="71"/>
  <c r="BT104" i="71"/>
  <c r="BW104" i="71"/>
  <c r="BX104" i="71"/>
  <c r="BY104" i="71"/>
  <c r="CA104" i="71"/>
  <c r="CE104" i="71"/>
  <c r="CH104" i="71"/>
  <c r="CJ104" i="71"/>
  <c r="CL104" i="71"/>
  <c r="CM104" i="71"/>
  <c r="CS104" i="71"/>
  <c r="CV104" i="71"/>
  <c r="CX104" i="71"/>
  <c r="CZ104" i="71"/>
  <c r="DC104" i="71"/>
  <c r="DF104" i="71"/>
  <c r="DI104" i="71"/>
  <c r="DK104" i="71"/>
  <c r="DM104" i="71"/>
  <c r="DO104" i="71"/>
  <c r="DR104" i="71"/>
  <c r="DU104" i="71"/>
  <c r="DW104" i="71"/>
  <c r="DX104" i="71"/>
  <c r="EA104" i="71"/>
  <c r="EF104" i="71"/>
  <c r="E107" i="71"/>
  <c r="G107" i="71"/>
  <c r="I107" i="71"/>
  <c r="J107" i="71"/>
  <c r="K107" i="71"/>
  <c r="M107" i="71"/>
  <c r="N107" i="71"/>
  <c r="O107" i="71"/>
  <c r="Q107" i="71"/>
  <c r="R107" i="71"/>
  <c r="V107" i="71"/>
  <c r="Y107" i="71"/>
  <c r="AA107" i="71"/>
  <c r="AD107" i="71"/>
  <c r="AK107" i="71"/>
  <c r="AL107" i="71"/>
  <c r="AM107" i="71"/>
  <c r="AO107" i="71"/>
  <c r="AP107" i="71"/>
  <c r="AQ107" i="71"/>
  <c r="AU107" i="71"/>
  <c r="AW107" i="71"/>
  <c r="AY107" i="71"/>
  <c r="BA107" i="71"/>
  <c r="BC107" i="71"/>
  <c r="BF107" i="71"/>
  <c r="BI107" i="71"/>
  <c r="BJ107" i="71"/>
  <c r="BN107" i="71"/>
  <c r="BO107" i="71"/>
  <c r="BQ107" i="71"/>
  <c r="BR107" i="71"/>
  <c r="BT107" i="71"/>
  <c r="BU107" i="71"/>
  <c r="BW107" i="71"/>
  <c r="BY107" i="71"/>
  <c r="BZ107" i="71"/>
  <c r="CB107" i="71"/>
  <c r="CD107" i="71"/>
  <c r="CE107" i="71"/>
  <c r="CI107" i="71"/>
  <c r="CK107" i="71"/>
  <c r="CL107" i="71"/>
  <c r="CM107" i="71"/>
  <c r="CO107" i="71"/>
  <c r="CP107" i="71"/>
  <c r="CR107" i="71"/>
  <c r="CT107" i="71"/>
  <c r="CU107" i="71"/>
  <c r="CX107" i="71"/>
  <c r="CY107" i="71"/>
  <c r="DA107" i="71"/>
  <c r="DB107" i="71"/>
  <c r="DC107" i="71"/>
  <c r="DE107" i="71"/>
  <c r="DF107" i="71"/>
  <c r="DG107" i="71"/>
  <c r="DI107" i="71"/>
  <c r="DJ107" i="71"/>
  <c r="DK107" i="71"/>
  <c r="DM107" i="71"/>
  <c r="DO107" i="71"/>
  <c r="DQ107" i="71"/>
  <c r="DU107" i="71"/>
  <c r="DZ107" i="71"/>
  <c r="EA107" i="71"/>
  <c r="EC107" i="71"/>
  <c r="EE107" i="71"/>
  <c r="EG107" i="71"/>
  <c r="G115" i="71"/>
  <c r="M115" i="71"/>
  <c r="N115" i="71"/>
  <c r="Q115" i="71"/>
  <c r="S115" i="71"/>
  <c r="T115" i="71"/>
  <c r="U115" i="71"/>
  <c r="V115" i="71"/>
  <c r="W115" i="71"/>
  <c r="Y115" i="71"/>
  <c r="AA115" i="71"/>
  <c r="AE115" i="71"/>
  <c r="AG115" i="71"/>
  <c r="AH115" i="71"/>
  <c r="AI115" i="71"/>
  <c r="AK115" i="71"/>
  <c r="AM115" i="71"/>
  <c r="AO115" i="71"/>
  <c r="AP115" i="71"/>
  <c r="AS115" i="71"/>
  <c r="AV115" i="71"/>
  <c r="AX115" i="71"/>
  <c r="AZ115" i="71"/>
  <c r="BA115" i="71"/>
  <c r="BC115" i="71"/>
  <c r="BD115" i="71"/>
  <c r="BF115" i="71"/>
  <c r="BG115" i="71"/>
  <c r="BJ115" i="71"/>
  <c r="BL115" i="71"/>
  <c r="BN115" i="71"/>
  <c r="BP115" i="71"/>
  <c r="BR115" i="71"/>
  <c r="DA115" i="71"/>
  <c r="Q19" i="71"/>
  <c r="AH163" i="71"/>
  <c r="AR150" i="71"/>
  <c r="BG150" i="71"/>
  <c r="BO150" i="71"/>
  <c r="BU150" i="71"/>
  <c r="CA150" i="71"/>
  <c r="CI150" i="71"/>
  <c r="CO150" i="71"/>
  <c r="CV150" i="71"/>
  <c r="DB150" i="71"/>
  <c r="DF150" i="71"/>
  <c r="DL150" i="71"/>
  <c r="DN150" i="71"/>
  <c r="DT150" i="71"/>
  <c r="DX150" i="71"/>
  <c r="EB150" i="71"/>
  <c r="EF150" i="71"/>
  <c r="H152" i="71"/>
  <c r="O152" i="71"/>
  <c r="W152" i="71"/>
  <c r="AA152" i="71"/>
  <c r="AF152" i="71"/>
  <c r="AH152" i="71"/>
  <c r="AL152" i="71"/>
  <c r="AP152" i="71"/>
  <c r="AU152" i="71"/>
  <c r="BC152" i="71"/>
  <c r="BH152" i="71"/>
  <c r="BQ152" i="71"/>
  <c r="CC152" i="71"/>
  <c r="CH152" i="71"/>
  <c r="CJ152" i="71"/>
  <c r="CQ152" i="71"/>
  <c r="DA152" i="71"/>
  <c r="DX152" i="71"/>
  <c r="ED152" i="71"/>
  <c r="H166" i="71"/>
  <c r="N166" i="71"/>
  <c r="AA163" i="71"/>
  <c r="AJ166" i="71"/>
  <c r="AL163" i="71"/>
  <c r="BD166" i="71"/>
  <c r="BF163" i="71"/>
  <c r="BL163" i="71"/>
  <c r="BR163" i="71"/>
  <c r="BX163" i="71"/>
  <c r="CT163" i="71"/>
  <c r="CY163" i="71"/>
  <c r="DB166" i="71"/>
  <c r="DC163" i="71"/>
  <c r="DG166" i="71"/>
  <c r="DI163" i="71"/>
  <c r="DL166" i="71"/>
  <c r="DN166" i="71"/>
  <c r="DP163" i="71"/>
  <c r="DT166" i="71"/>
  <c r="DX163" i="71"/>
  <c r="ED166" i="71"/>
  <c r="EF163" i="71"/>
  <c r="CX181" i="71"/>
  <c r="CZ178" i="71"/>
  <c r="DF178" i="71"/>
  <c r="DF181" i="71"/>
  <c r="DH181" i="71"/>
  <c r="DJ178" i="71"/>
  <c r="DL178" i="71"/>
  <c r="DM181" i="71"/>
  <c r="DO178" i="71"/>
  <c r="DP181" i="71"/>
  <c r="DS178" i="71"/>
  <c r="DT178" i="71"/>
  <c r="DU178" i="71"/>
  <c r="DV181" i="71"/>
  <c r="DY181" i="71"/>
  <c r="EA181" i="71"/>
  <c r="EB181" i="71"/>
  <c r="EC178" i="71"/>
  <c r="EE178" i="71"/>
  <c r="AS183" i="71"/>
  <c r="BQ183" i="71"/>
  <c r="BV183" i="71"/>
  <c r="BX183" i="71"/>
  <c r="CH183" i="71"/>
  <c r="CN183" i="71"/>
  <c r="DD183" i="71"/>
  <c r="DG183" i="71"/>
  <c r="DO183" i="71"/>
  <c r="DU183" i="71"/>
  <c r="EE183" i="71"/>
  <c r="AN184" i="71"/>
  <c r="AS184" i="71"/>
  <c r="BA184" i="71"/>
  <c r="BV184" i="71"/>
  <c r="BX184" i="71"/>
  <c r="CH184" i="71"/>
  <c r="CL184" i="71"/>
  <c r="CR184" i="71"/>
  <c r="CT184" i="71"/>
  <c r="DJ184" i="71"/>
  <c r="DO184" i="71"/>
  <c r="DR184" i="71"/>
  <c r="DT184" i="71"/>
  <c r="H185" i="71"/>
  <c r="M166" i="71"/>
  <c r="M185" i="71"/>
  <c r="Q185" i="71"/>
  <c r="S166" i="71"/>
  <c r="W163" i="71"/>
  <c r="AP185" i="71"/>
  <c r="AR163" i="71"/>
  <c r="AX185" i="71"/>
  <c r="BB185" i="71"/>
  <c r="CI163" i="71"/>
  <c r="CM185" i="71"/>
  <c r="CO163" i="71"/>
  <c r="CS166" i="71"/>
  <c r="CX185" i="71"/>
  <c r="DB185" i="71"/>
  <c r="DF163" i="71"/>
  <c r="DP185" i="71"/>
  <c r="DS163" i="71"/>
  <c r="AB189" i="71"/>
  <c r="AH189" i="71"/>
  <c r="AO192" i="71"/>
  <c r="AY192" i="71"/>
  <c r="BC192" i="71"/>
  <c r="BT38" i="71"/>
  <c r="BT265" i="71"/>
  <c r="AB323" i="69"/>
  <c r="AB242" i="69" s="1"/>
  <c r="AB244" i="69" s="1"/>
  <c r="DD258" i="71"/>
  <c r="DD316" i="71"/>
  <c r="DD323" i="71"/>
  <c r="AN323" i="69"/>
  <c r="AN242" i="69" s="1"/>
  <c r="AS325" i="71"/>
  <c r="AS283" i="71"/>
  <c r="S302" i="69"/>
  <c r="AS302" i="69"/>
  <c r="CR332" i="71"/>
  <c r="L258" i="71"/>
  <c r="L283" i="71"/>
  <c r="H330" i="69"/>
  <c r="H243" i="69" s="1"/>
  <c r="H244" i="69" s="1"/>
  <c r="DJ281" i="71"/>
  <c r="DJ305" i="71"/>
  <c r="DJ333" i="71"/>
  <c r="AP330" i="69"/>
  <c r="CR37" i="71"/>
  <c r="AP34" i="69"/>
  <c r="I166" i="71"/>
  <c r="M19" i="71"/>
  <c r="O166" i="71"/>
  <c r="U163" i="71"/>
  <c r="CG19" i="71"/>
  <c r="DB19" i="71"/>
  <c r="DP19" i="71"/>
  <c r="I23" i="71"/>
  <c r="AH23" i="71"/>
  <c r="AN23" i="71"/>
  <c r="BC23" i="71"/>
  <c r="EF23" i="71"/>
  <c r="AP171" i="71"/>
  <c r="BM184" i="71"/>
  <c r="BM31" i="71"/>
  <c r="BS31" i="71"/>
  <c r="BX180" i="71"/>
  <c r="CF184" i="71"/>
  <c r="DJ180" i="71"/>
  <c r="DN180" i="71"/>
  <c r="AM183" i="71"/>
  <c r="AM32" i="71"/>
  <c r="CL32" i="71"/>
  <c r="AL34" i="71"/>
  <c r="X37" i="71"/>
  <c r="EC37" i="71"/>
  <c r="EE37" i="71"/>
  <c r="AP177" i="69"/>
  <c r="AR180" i="69"/>
  <c r="AS181" i="69"/>
  <c r="E213" i="69"/>
  <c r="H268" i="69"/>
  <c r="AE268" i="69"/>
  <c r="U269" i="69"/>
  <c r="M270" i="69"/>
  <c r="AG270" i="69"/>
  <c r="Y273" i="69"/>
  <c r="P285" i="69"/>
  <c r="Y286" i="69"/>
  <c r="I287" i="69"/>
  <c r="Q287" i="69"/>
  <c r="AD287" i="69"/>
  <c r="H286" i="69"/>
  <c r="H291" i="69"/>
  <c r="L290" i="69"/>
  <c r="AC290" i="69"/>
  <c r="L297" i="69"/>
  <c r="AC297" i="69"/>
  <c r="J299" i="69"/>
  <c r="M299" i="69"/>
  <c r="AF299" i="69"/>
  <c r="Q300" i="69"/>
  <c r="AH300" i="69"/>
  <c r="AH301" i="69" s="1"/>
  <c r="AH318" i="69" s="1"/>
  <c r="AH319" i="69" s="1"/>
  <c r="Y302" i="69"/>
  <c r="AR302" i="69"/>
  <c r="AC307" i="69"/>
  <c r="O308" i="69"/>
  <c r="AC308" i="69"/>
  <c r="U309" i="69"/>
  <c r="O312" i="69"/>
  <c r="AP312" i="69"/>
  <c r="U320" i="69"/>
  <c r="P322" i="69"/>
  <c r="AR322" i="69"/>
  <c r="AR324" i="69" s="1"/>
  <c r="AR325" i="69" s="1"/>
  <c r="V329" i="69"/>
  <c r="AL330" i="69"/>
  <c r="DN19" i="71"/>
  <c r="BA23" i="71"/>
  <c r="DA23" i="71"/>
  <c r="AX171" i="71"/>
  <c r="ED31" i="71"/>
  <c r="DW38" i="71"/>
  <c r="CO41" i="71"/>
  <c r="BT46" i="71"/>
  <c r="DH46" i="71"/>
  <c r="AO50" i="71"/>
  <c r="CZ50" i="71"/>
  <c r="I87" i="69"/>
  <c r="O87" i="69"/>
  <c r="U87" i="69"/>
  <c r="Z87" i="69"/>
  <c r="AF87" i="69"/>
  <c r="AJ87" i="69"/>
  <c r="AP87" i="69"/>
  <c r="AP93" i="69" s="1"/>
  <c r="AU87" i="69"/>
  <c r="J88" i="69"/>
  <c r="O88" i="69"/>
  <c r="S88" i="69"/>
  <c r="Y88" i="69"/>
  <c r="AD88" i="69"/>
  <c r="AD93" i="69" s="1"/>
  <c r="AD103" i="69" s="1"/>
  <c r="AI88" i="69"/>
  <c r="AN88" i="69"/>
  <c r="AT88" i="69"/>
  <c r="E90" i="69"/>
  <c r="H90" i="69"/>
  <c r="K90" i="69"/>
  <c r="N90" i="69"/>
  <c r="U90" i="69"/>
  <c r="Z90" i="69"/>
  <c r="AD90" i="69"/>
  <c r="AH90" i="69"/>
  <c r="AN90" i="69"/>
  <c r="AT90" i="69"/>
  <c r="U93" i="69"/>
  <c r="F95" i="69"/>
  <c r="J95" i="69"/>
  <c r="P95" i="69"/>
  <c r="V95" i="69"/>
  <c r="Z95" i="69"/>
  <c r="AE95" i="69"/>
  <c r="AI95" i="69"/>
  <c r="E96" i="69"/>
  <c r="H96" i="69"/>
  <c r="L96" i="69"/>
  <c r="Q96" i="69"/>
  <c r="AB96" i="69"/>
  <c r="AG96" i="69"/>
  <c r="AQ96" i="69"/>
  <c r="AU96" i="69"/>
  <c r="Y101" i="69"/>
  <c r="F104" i="69"/>
  <c r="I104" i="69"/>
  <c r="M104" i="69"/>
  <c r="R104" i="69"/>
  <c r="AA104" i="69"/>
  <c r="AG104" i="69"/>
  <c r="AM104" i="69"/>
  <c r="AQ104" i="69"/>
  <c r="E105" i="69"/>
  <c r="H105" i="69"/>
  <c r="K105" i="69"/>
  <c r="T105" i="69"/>
  <c r="AC105" i="69"/>
  <c r="AI105" i="69"/>
  <c r="AQ105" i="69"/>
  <c r="AW105" i="69"/>
  <c r="P111" i="69"/>
  <c r="V111" i="69"/>
  <c r="AB111" i="69"/>
  <c r="AG111" i="69"/>
  <c r="CX116" i="71"/>
  <c r="DA19" i="71"/>
  <c r="DA116" i="71"/>
  <c r="DD116" i="71"/>
  <c r="AO113" i="69"/>
  <c r="EE116" i="71"/>
  <c r="AW113" i="69"/>
  <c r="E121" i="69"/>
  <c r="J121" i="69"/>
  <c r="P121" i="69"/>
  <c r="U121" i="69"/>
  <c r="AA121" i="69"/>
  <c r="AF121" i="69"/>
  <c r="AM121" i="69"/>
  <c r="AS121" i="69"/>
  <c r="G122" i="69"/>
  <c r="I122" i="69"/>
  <c r="AA125" i="71"/>
  <c r="AG125" i="71"/>
  <c r="AJ125" i="71"/>
  <c r="Q122" i="69"/>
  <c r="BB125" i="71"/>
  <c r="W122" i="69"/>
  <c r="BT125" i="71"/>
  <c r="BW125" i="71"/>
  <c r="AC122" i="69"/>
  <c r="AH122" i="69"/>
  <c r="DG125" i="71"/>
  <c r="AP122" i="69"/>
  <c r="C124" i="69"/>
  <c r="AP128" i="71"/>
  <c r="Y125" i="69"/>
  <c r="AI125" i="69"/>
  <c r="DY128" i="71"/>
  <c r="AU125" i="69"/>
  <c r="S126" i="69"/>
  <c r="BK129" i="71"/>
  <c r="Z126" i="69"/>
  <c r="AE126" i="69"/>
  <c r="AJ126" i="69"/>
  <c r="DM129" i="71"/>
  <c r="DP129" i="71"/>
  <c r="AR126" i="69"/>
  <c r="AK127" i="69"/>
  <c r="O131" i="69"/>
  <c r="U131" i="69"/>
  <c r="Z131" i="69"/>
  <c r="AG131" i="69"/>
  <c r="AM131" i="69"/>
  <c r="E55" i="71"/>
  <c r="E50" i="68"/>
  <c r="O50" i="68"/>
  <c r="M55" i="68"/>
  <c r="H59" i="68"/>
  <c r="N59" i="68"/>
  <c r="G77" i="68"/>
  <c r="K77" i="68"/>
  <c r="F78" i="68"/>
  <c r="J78" i="68"/>
  <c r="O78" i="68"/>
  <c r="M80" i="68"/>
  <c r="H83" i="68"/>
  <c r="M83" i="68"/>
  <c r="H85" i="68"/>
  <c r="L85" i="68"/>
  <c r="H86" i="68"/>
  <c r="L86" i="68"/>
  <c r="G88" i="68"/>
  <c r="K88" i="68"/>
  <c r="E91" i="68"/>
  <c r="G91" i="68"/>
  <c r="K91" i="68"/>
  <c r="F93" i="68"/>
  <c r="H93" i="68"/>
  <c r="M93" i="68"/>
  <c r="M94" i="68"/>
  <c r="G96" i="68"/>
  <c r="K96" i="68"/>
  <c r="E99" i="68"/>
  <c r="G99" i="68"/>
  <c r="L99" i="68"/>
  <c r="F101" i="68"/>
  <c r="J101" i="68"/>
  <c r="P101" i="68"/>
  <c r="P102" i="68"/>
  <c r="M103" i="68"/>
  <c r="I105" i="68"/>
  <c r="M105" i="68"/>
  <c r="J109" i="68"/>
  <c r="G110" i="68"/>
  <c r="G115" i="68" s="1"/>
  <c r="L110" i="68"/>
  <c r="H111" i="68"/>
  <c r="L111" i="68"/>
  <c r="H118" i="68"/>
  <c r="J119" i="68"/>
  <c r="F120" i="68"/>
  <c r="F126" i="68" s="1"/>
  <c r="F130" i="68" s="1"/>
  <c r="G120" i="68"/>
  <c r="G126" i="68" s="1"/>
  <c r="G130" i="68" s="1"/>
  <c r="N123" i="68"/>
  <c r="K124" i="68"/>
  <c r="H129" i="68"/>
  <c r="L129" i="68"/>
  <c r="C136" i="68"/>
  <c r="J139" i="68"/>
  <c r="E141" i="68"/>
  <c r="E145" i="68" s="1"/>
  <c r="J141" i="68"/>
  <c r="J142" i="68"/>
  <c r="K315" i="68"/>
  <c r="G316" i="68"/>
  <c r="J316" i="68"/>
  <c r="F318" i="68"/>
  <c r="I318" i="68"/>
  <c r="M318" i="68"/>
  <c r="J320" i="68"/>
  <c r="O320" i="68"/>
  <c r="N327" i="68"/>
  <c r="J340" i="68"/>
  <c r="C341" i="68"/>
  <c r="C349" i="68"/>
  <c r="C350" i="68"/>
  <c r="C353" i="68"/>
  <c r="C354" i="68"/>
  <c r="C363" i="68"/>
  <c r="C18" i="71"/>
  <c r="EG38" i="71"/>
  <c r="J50" i="71"/>
  <c r="BA50" i="71"/>
  <c r="CR50" i="71"/>
  <c r="EC50" i="71"/>
  <c r="CT55" i="71"/>
  <c r="EC55" i="71"/>
  <c r="C60" i="71"/>
  <c r="T60" i="71"/>
  <c r="Y60" i="71"/>
  <c r="AB60" i="71"/>
  <c r="AK60" i="71"/>
  <c r="AO60" i="71"/>
  <c r="BD60" i="71"/>
  <c r="CE60" i="71"/>
  <c r="CG60" i="71"/>
  <c r="CN60" i="71"/>
  <c r="CQ60" i="71"/>
  <c r="CS60" i="71"/>
  <c r="DF60" i="71"/>
  <c r="DR60" i="71"/>
  <c r="DW60" i="71"/>
  <c r="ED60" i="71"/>
  <c r="C78" i="71"/>
  <c r="C96" i="71"/>
  <c r="C104" i="71"/>
  <c r="C115" i="71"/>
  <c r="CJ115" i="71"/>
  <c r="CM115" i="71"/>
  <c r="CS115" i="71"/>
  <c r="CZ115" i="71"/>
  <c r="DE115" i="71"/>
  <c r="DK115" i="71"/>
  <c r="DL115" i="71"/>
  <c r="DO115" i="71"/>
  <c r="DU115" i="71"/>
  <c r="C116" i="71"/>
  <c r="J116" i="71"/>
  <c r="K116" i="71"/>
  <c r="P116" i="71"/>
  <c r="S116" i="71"/>
  <c r="V116" i="71"/>
  <c r="Y116" i="71"/>
  <c r="AB116" i="71"/>
  <c r="AI116" i="71"/>
  <c r="AK116" i="71"/>
  <c r="AN116" i="71"/>
  <c r="AR116" i="71"/>
  <c r="AW116" i="71"/>
  <c r="C145" i="71"/>
  <c r="C171" i="71"/>
  <c r="EG181" i="71"/>
  <c r="AB185" i="71"/>
  <c r="AI185" i="71"/>
  <c r="W309" i="69"/>
  <c r="V312" i="69"/>
  <c r="Q313" i="69"/>
  <c r="AQ313" i="69"/>
  <c r="X322" i="69"/>
  <c r="AQ329" i="69"/>
  <c r="I368" i="69"/>
  <c r="CB23" i="71"/>
  <c r="CI23" i="71"/>
  <c r="DF23" i="71"/>
  <c r="C31" i="71"/>
  <c r="N41" i="71"/>
  <c r="AH41" i="71"/>
  <c r="AI41" i="71"/>
  <c r="BJ41" i="71"/>
  <c r="CQ41" i="71"/>
  <c r="DF41" i="71"/>
  <c r="DT41" i="71"/>
  <c r="EA41" i="71"/>
  <c r="AK46" i="71"/>
  <c r="AX46" i="71"/>
  <c r="CY46" i="71"/>
  <c r="EG46" i="71"/>
  <c r="AV50" i="71"/>
  <c r="CN50" i="71"/>
  <c r="EA50" i="71"/>
  <c r="P55" i="71"/>
  <c r="AQ55" i="71"/>
  <c r="CZ55" i="71"/>
  <c r="DE55" i="71"/>
  <c r="BJ116" i="71"/>
  <c r="BO116" i="71"/>
  <c r="BV116" i="71"/>
  <c r="CM116" i="71"/>
  <c r="DH116" i="71"/>
  <c r="DO116" i="71"/>
  <c r="DT116" i="71"/>
  <c r="DW116" i="71"/>
  <c r="EC116" i="71"/>
  <c r="EG116" i="71"/>
  <c r="C123" i="71"/>
  <c r="G125" i="71"/>
  <c r="M125" i="71"/>
  <c r="V125" i="71"/>
  <c r="Y125" i="71"/>
  <c r="AC125" i="71"/>
  <c r="AH125" i="71"/>
  <c r="AK125" i="71"/>
  <c r="AQ125" i="71"/>
  <c r="AT125" i="71"/>
  <c r="AX125" i="71"/>
  <c r="AZ125" i="71"/>
  <c r="BD125" i="71"/>
  <c r="BG125" i="71"/>
  <c r="BL125" i="71"/>
  <c r="BO125" i="71"/>
  <c r="BR125" i="71"/>
  <c r="BX125" i="71"/>
  <c r="CE125" i="71"/>
  <c r="CH125" i="71"/>
  <c r="CJ125" i="71"/>
  <c r="CV125" i="71"/>
  <c r="CZ125" i="71"/>
  <c r="DF125" i="71"/>
  <c r="DL125" i="71"/>
  <c r="DO125" i="71"/>
  <c r="EA125" i="71"/>
  <c r="EF125" i="71"/>
  <c r="C126" i="71"/>
  <c r="AN128" i="71"/>
  <c r="AO128" i="71"/>
  <c r="AR128" i="71"/>
  <c r="AX128" i="71"/>
  <c r="BF128" i="71"/>
  <c r="BI128" i="71"/>
  <c r="BR128" i="71"/>
  <c r="CJ128" i="71"/>
  <c r="CM128" i="71"/>
  <c r="CN128" i="71"/>
  <c r="CQ128" i="71"/>
  <c r="CW128" i="71"/>
  <c r="DC128" i="71"/>
  <c r="DL128" i="71"/>
  <c r="DW128" i="71"/>
  <c r="ED128" i="71"/>
  <c r="EG128" i="71"/>
  <c r="BF129" i="71"/>
  <c r="BO129" i="71"/>
  <c r="BU129" i="71"/>
  <c r="BV129" i="71"/>
  <c r="CB129" i="71"/>
  <c r="CK129" i="71"/>
  <c r="CM129" i="71"/>
  <c r="CS129" i="71"/>
  <c r="CZ129" i="71"/>
  <c r="DK129" i="71"/>
  <c r="DR129" i="71"/>
  <c r="EF129" i="71"/>
  <c r="C130" i="71"/>
  <c r="G312" i="69"/>
  <c r="AO312" i="69"/>
  <c r="AI313" i="69"/>
  <c r="AP320" i="69"/>
  <c r="AK345" i="69"/>
  <c r="BS23" i="71"/>
  <c r="CC23" i="71"/>
  <c r="V41" i="71"/>
  <c r="AZ41" i="71"/>
  <c r="BI41" i="71"/>
  <c r="CH41" i="71"/>
  <c r="C46" i="71"/>
  <c r="AB46" i="71"/>
  <c r="BP46" i="71"/>
  <c r="CB46" i="71"/>
  <c r="DN46" i="71"/>
  <c r="K50" i="71"/>
  <c r="S50" i="71"/>
  <c r="AU50" i="71"/>
  <c r="AZ50" i="71"/>
  <c r="BJ50" i="71"/>
  <c r="BO50" i="71"/>
  <c r="BS50" i="71"/>
  <c r="CB50" i="71"/>
  <c r="CW50" i="71"/>
  <c r="DH50" i="71"/>
  <c r="DO50" i="71"/>
  <c r="DR50" i="71"/>
  <c r="DT50" i="71"/>
  <c r="AE244" i="71"/>
  <c r="AI244" i="71"/>
  <c r="AK244" i="71"/>
  <c r="AM244" i="71"/>
  <c r="AR244" i="71"/>
  <c r="AU244" i="71"/>
  <c r="BA244" i="71"/>
  <c r="BC244" i="71"/>
  <c r="BG244" i="71"/>
  <c r="BM244" i="71"/>
  <c r="CC244" i="71"/>
  <c r="CE244" i="71"/>
  <c r="CL244" i="71"/>
  <c r="CP244" i="71"/>
  <c r="CS244" i="71"/>
  <c r="CZ244" i="71"/>
  <c r="DI244" i="71"/>
  <c r="DO244" i="71"/>
  <c r="DR244" i="71"/>
  <c r="E245" i="71"/>
  <c r="H245" i="71"/>
  <c r="L245" i="71"/>
  <c r="P245" i="71"/>
  <c r="S245" i="71"/>
  <c r="V245" i="71"/>
  <c r="Y245" i="71"/>
  <c r="AD245" i="71"/>
  <c r="AI245" i="71"/>
  <c r="AJ245" i="71"/>
  <c r="AM245" i="71"/>
  <c r="AR245" i="71"/>
  <c r="AT245" i="71"/>
  <c r="BA245" i="71"/>
  <c r="BC245" i="71"/>
  <c r="BE245" i="71"/>
  <c r="BG245" i="71"/>
  <c r="BH245" i="71"/>
  <c r="BK245" i="71"/>
  <c r="BM245" i="71"/>
  <c r="BO245" i="71"/>
  <c r="BU245" i="71"/>
  <c r="BW245" i="71"/>
  <c r="BY245" i="71"/>
  <c r="CA245" i="71"/>
  <c r="CE245" i="71"/>
  <c r="CI245" i="71"/>
  <c r="CK245" i="71"/>
  <c r="CM245" i="71"/>
  <c r="CN245" i="71"/>
  <c r="CO245" i="71"/>
  <c r="CS245" i="71"/>
  <c r="CT245" i="71"/>
  <c r="CX245" i="71"/>
  <c r="CZ245" i="71"/>
  <c r="DB245" i="71"/>
  <c r="DD245" i="71"/>
  <c r="DF245" i="71"/>
  <c r="DQ245" i="71"/>
  <c r="DS245" i="71"/>
  <c r="H246" i="71"/>
  <c r="N246" i="71"/>
  <c r="S246" i="71"/>
  <c r="V246" i="71"/>
  <c r="AA246" i="71"/>
  <c r="AC246" i="71"/>
  <c r="AD246" i="71"/>
  <c r="AH246" i="71"/>
  <c r="AJ246" i="71"/>
  <c r="AL246" i="71"/>
  <c r="AM246" i="71"/>
  <c r="AR246" i="71"/>
  <c r="AV246" i="71"/>
  <c r="AZ246" i="71"/>
  <c r="BC246" i="71"/>
  <c r="BG246" i="71"/>
  <c r="BH246" i="71"/>
  <c r="BL246" i="71"/>
  <c r="BU246" i="71"/>
  <c r="BZ246" i="71"/>
  <c r="CD246" i="71"/>
  <c r="CJ246" i="71"/>
  <c r="CK246" i="71"/>
  <c r="CL246" i="71"/>
  <c r="CN246" i="71"/>
  <c r="CQ246" i="71"/>
  <c r="CS246" i="71"/>
  <c r="CV246" i="71"/>
  <c r="CX246" i="71"/>
  <c r="CZ246" i="71"/>
  <c r="DI246" i="71"/>
  <c r="DL246" i="71"/>
  <c r="DP246" i="71"/>
  <c r="DQ246" i="71"/>
  <c r="DT246" i="71"/>
  <c r="C247" i="71"/>
  <c r="C255" i="71"/>
  <c r="I468" i="71"/>
  <c r="K479" i="71"/>
  <c r="C612" i="71"/>
  <c r="AF15" i="69"/>
  <c r="V24" i="69"/>
  <c r="AO25" i="69"/>
  <c r="AJ29" i="69"/>
  <c r="AT42" i="69"/>
  <c r="AS51" i="69"/>
  <c r="AT52" i="69"/>
  <c r="AE270" i="69"/>
  <c r="AG273" i="69"/>
  <c r="Y285" i="69"/>
  <c r="X286" i="69"/>
  <c r="U287" i="69"/>
  <c r="AO287" i="69"/>
  <c r="AI290" i="69"/>
  <c r="AI291" i="69" s="1"/>
  <c r="T297" i="69"/>
  <c r="F299" i="69"/>
  <c r="L299" i="69"/>
  <c r="AL299" i="69"/>
  <c r="O302" i="69"/>
  <c r="AI302" i="69"/>
  <c r="AD307" i="69"/>
  <c r="G147" i="71"/>
  <c r="H147" i="71"/>
  <c r="J147" i="71"/>
  <c r="K147" i="71"/>
  <c r="M147" i="71"/>
  <c r="N147" i="71"/>
  <c r="P147" i="71"/>
  <c r="Q147" i="71"/>
  <c r="S147" i="71"/>
  <c r="T147" i="71"/>
  <c r="V147" i="71"/>
  <c r="W147" i="71"/>
  <c r="Y147" i="71"/>
  <c r="Z147" i="71"/>
  <c r="AB147" i="71"/>
  <c r="AC147" i="71"/>
  <c r="AE147" i="71"/>
  <c r="AF147" i="71"/>
  <c r="AH147" i="71"/>
  <c r="AI147" i="71"/>
  <c r="AK147" i="71"/>
  <c r="AL147" i="71"/>
  <c r="AN147" i="71"/>
  <c r="AO147" i="71"/>
  <c r="AQ147" i="71"/>
  <c r="AR147" i="71"/>
  <c r="AT147" i="71"/>
  <c r="AU147" i="71"/>
  <c r="AW147" i="71"/>
  <c r="AX147" i="71"/>
  <c r="AZ147" i="71"/>
  <c r="BA147" i="71"/>
  <c r="BC147" i="71"/>
  <c r="BD147" i="71"/>
  <c r="BF147" i="71"/>
  <c r="BG147" i="71"/>
  <c r="BI147" i="71"/>
  <c r="BJ147" i="71"/>
  <c r="BL147" i="71"/>
  <c r="BM147" i="71"/>
  <c r="BO147" i="71"/>
  <c r="BP147" i="71"/>
  <c r="BR147" i="71"/>
  <c r="BS147" i="71"/>
  <c r="BU147" i="71"/>
  <c r="BV147" i="71"/>
  <c r="BX147" i="71"/>
  <c r="BY147" i="71"/>
  <c r="CA147" i="71"/>
  <c r="CB147" i="71"/>
  <c r="CD147" i="71"/>
  <c r="CE147" i="71"/>
  <c r="CG147" i="71"/>
  <c r="CH147" i="71"/>
  <c r="CJ147" i="71"/>
  <c r="CK147" i="71"/>
  <c r="CM147" i="71"/>
  <c r="CN147" i="71"/>
  <c r="CP147" i="71"/>
  <c r="CQ147" i="71"/>
  <c r="CS147" i="71"/>
  <c r="CT147" i="71"/>
  <c r="CV147" i="71"/>
  <c r="CW147" i="71"/>
  <c r="CY147" i="71"/>
  <c r="CZ147" i="71"/>
  <c r="DB147" i="71"/>
  <c r="DC147" i="71"/>
  <c r="DE147" i="71"/>
  <c r="DF147" i="71"/>
  <c r="DH147" i="71"/>
  <c r="DI147" i="71"/>
  <c r="DK147" i="71"/>
  <c r="DL147" i="71"/>
  <c r="DN147" i="71"/>
  <c r="DO147" i="71"/>
  <c r="DQ147" i="71"/>
  <c r="DR147" i="71"/>
  <c r="DT147" i="71"/>
  <c r="DU147" i="71"/>
  <c r="DW147" i="71"/>
  <c r="DX147" i="71"/>
  <c r="DZ147" i="71"/>
  <c r="EA147" i="71"/>
  <c r="EC147" i="71"/>
  <c r="ED147" i="71"/>
  <c r="EF147" i="71"/>
  <c r="EG147" i="71"/>
  <c r="G148" i="71"/>
  <c r="H148" i="71"/>
  <c r="J148" i="71"/>
  <c r="K148" i="71"/>
  <c r="M148" i="71"/>
  <c r="N148" i="71"/>
  <c r="P148" i="71"/>
  <c r="Q148" i="71"/>
  <c r="S148" i="71"/>
  <c r="T148" i="71"/>
  <c r="V148" i="71"/>
  <c r="W148" i="71"/>
  <c r="Y148" i="71"/>
  <c r="Z148" i="71"/>
  <c r="AB148" i="71"/>
  <c r="AC148" i="71"/>
  <c r="AE148" i="71"/>
  <c r="AF148" i="71"/>
  <c r="AH148" i="71"/>
  <c r="AI148" i="71"/>
  <c r="AK148" i="71"/>
  <c r="AL148" i="71"/>
  <c r="AN148" i="71"/>
  <c r="AO148" i="71"/>
  <c r="AQ148" i="71"/>
  <c r="AR148" i="71"/>
  <c r="AT148" i="71"/>
  <c r="AU148" i="71"/>
  <c r="AW148" i="71"/>
  <c r="AX148" i="71"/>
  <c r="AZ148" i="71"/>
  <c r="BA148" i="71"/>
  <c r="BC148" i="71"/>
  <c r="BD148" i="71"/>
  <c r="BF148" i="71"/>
  <c r="BG148" i="71"/>
  <c r="BI148" i="71"/>
  <c r="BJ148" i="71"/>
  <c r="BL148" i="71"/>
  <c r="BM148" i="71"/>
  <c r="BO148" i="71"/>
  <c r="BP148" i="71"/>
  <c r="BR148" i="71"/>
  <c r="BS148" i="71"/>
  <c r="BU148" i="71"/>
  <c r="BV148" i="71"/>
  <c r="BX148" i="71"/>
  <c r="BY148" i="71"/>
  <c r="CA148" i="71"/>
  <c r="CB148" i="71"/>
  <c r="CD148" i="71"/>
  <c r="CE148" i="71"/>
  <c r="CG148" i="71"/>
  <c r="CH148" i="71"/>
  <c r="CJ148" i="71"/>
  <c r="CK148" i="71"/>
  <c r="CM148" i="71"/>
  <c r="CN148" i="71"/>
  <c r="CP148" i="71"/>
  <c r="CQ148" i="71"/>
  <c r="CS148" i="71"/>
  <c r="CT148" i="71"/>
  <c r="CV148" i="71"/>
  <c r="CW148" i="71"/>
  <c r="CY148" i="71"/>
  <c r="CZ148" i="71"/>
  <c r="DB148" i="71"/>
  <c r="DC148" i="71"/>
  <c r="DE148" i="71"/>
  <c r="DF148" i="71"/>
  <c r="DH148" i="71"/>
  <c r="DI148" i="71"/>
  <c r="DK148" i="71"/>
  <c r="DL148" i="71"/>
  <c r="DN148" i="71"/>
  <c r="DO148" i="71"/>
  <c r="DR148" i="71"/>
  <c r="DT148" i="71"/>
  <c r="DU148" i="71"/>
  <c r="DW148" i="71"/>
  <c r="DX148" i="71"/>
  <c r="DZ148" i="71"/>
  <c r="EA148" i="71"/>
  <c r="EC148" i="71"/>
  <c r="EF148" i="71"/>
  <c r="DQ148" i="71"/>
  <c r="ED148" i="71"/>
  <c r="EG148" i="71"/>
  <c r="C580" i="71"/>
  <c r="CG98" i="71"/>
  <c r="CK98" i="71"/>
  <c r="CN98" i="71"/>
  <c r="CQ98" i="71"/>
  <c r="CU98" i="71"/>
  <c r="CW98" i="71"/>
  <c r="DD98" i="71"/>
  <c r="DG98" i="71"/>
  <c r="DJ98" i="71"/>
  <c r="DN98" i="71"/>
  <c r="DP98" i="71"/>
  <c r="DS98" i="71"/>
  <c r="DV98" i="71"/>
  <c r="DZ98" i="71"/>
  <c r="ED98" i="71"/>
  <c r="G99" i="71"/>
  <c r="J99" i="71"/>
  <c r="K99" i="71"/>
  <c r="N99" i="71"/>
  <c r="S99" i="71"/>
  <c r="U99" i="71"/>
  <c r="Z99" i="71"/>
  <c r="AE99" i="71"/>
  <c r="AI99" i="71"/>
  <c r="AP99" i="71"/>
  <c r="AT99" i="71"/>
  <c r="AY99" i="71"/>
  <c r="BH99" i="71"/>
  <c r="CE99" i="71"/>
  <c r="CJ99" i="71"/>
  <c r="CR99" i="71"/>
  <c r="CU99" i="71"/>
  <c r="DA99" i="71"/>
  <c r="DC99" i="71"/>
  <c r="DK99" i="71"/>
  <c r="DS99" i="71"/>
  <c r="EE99" i="71"/>
  <c r="F101" i="71"/>
  <c r="J101" i="71"/>
  <c r="M101" i="71"/>
  <c r="S101" i="71"/>
  <c r="AD101" i="71"/>
  <c r="AK101" i="71"/>
  <c r="BC101" i="71"/>
  <c r="BG101" i="71"/>
  <c r="BV101" i="71"/>
  <c r="BZ101" i="71"/>
  <c r="CH101" i="71"/>
  <c r="CT101" i="71"/>
  <c r="CX101" i="71"/>
  <c r="DF101" i="71"/>
  <c r="DH101" i="71"/>
  <c r="DX101" i="71"/>
  <c r="ED101" i="71"/>
  <c r="EF101" i="71"/>
  <c r="H104" i="71"/>
  <c r="N104" i="71"/>
  <c r="U104" i="71"/>
  <c r="AA104" i="71"/>
  <c r="AF104" i="71"/>
  <c r="AH104" i="71"/>
  <c r="AK104" i="71"/>
  <c r="AM104" i="71"/>
  <c r="AW104" i="71"/>
  <c r="BH104" i="71"/>
  <c r="BN104" i="71"/>
  <c r="BS104" i="71"/>
  <c r="CB104" i="71"/>
  <c r="CG104" i="71"/>
  <c r="CN104" i="71"/>
  <c r="CT104" i="71"/>
  <c r="CW104" i="71"/>
  <c r="DE104" i="71"/>
  <c r="DH104" i="71"/>
  <c r="DN104" i="71"/>
  <c r="DS104" i="71"/>
  <c r="EC104" i="71"/>
  <c r="EG104" i="71"/>
  <c r="T107" i="71"/>
  <c r="X107" i="71"/>
  <c r="AB107" i="71"/>
  <c r="AE107" i="71"/>
  <c r="AJ107" i="71"/>
  <c r="AT107" i="71"/>
  <c r="AX107" i="71"/>
  <c r="BB107" i="71"/>
  <c r="BE107" i="71"/>
  <c r="BH107" i="71"/>
  <c r="BK107" i="71"/>
  <c r="BS107" i="71"/>
  <c r="BX107" i="71"/>
  <c r="CF107" i="71"/>
  <c r="CN107" i="71"/>
  <c r="CV107" i="71"/>
  <c r="DP107" i="71"/>
  <c r="DT107" i="71"/>
  <c r="DW107" i="71"/>
  <c r="EF107" i="71"/>
  <c r="H115" i="71"/>
  <c r="K115" i="71"/>
  <c r="AB115" i="71"/>
  <c r="AF115" i="71"/>
  <c r="AU115" i="71"/>
  <c r="BB115" i="71"/>
  <c r="BE115" i="71"/>
  <c r="BV115" i="71"/>
  <c r="AH19" i="71"/>
  <c r="E150" i="71"/>
  <c r="J150" i="71"/>
  <c r="M150" i="71"/>
  <c r="Q150" i="71"/>
  <c r="U150" i="71"/>
  <c r="Y150" i="71"/>
  <c r="AB150" i="71"/>
  <c r="AF150" i="71"/>
  <c r="AJ150" i="71"/>
  <c r="AN150" i="71"/>
  <c r="AT150" i="71"/>
  <c r="AX150" i="71"/>
  <c r="BC150" i="71"/>
  <c r="BK150" i="71"/>
  <c r="BS150" i="71"/>
  <c r="BY150" i="71"/>
  <c r="CE150" i="71"/>
  <c r="CK150" i="71"/>
  <c r="CR150" i="71"/>
  <c r="CX150" i="71"/>
  <c r="DH150" i="71"/>
  <c r="DR150" i="71"/>
  <c r="DZ150" i="71"/>
  <c r="G152" i="71"/>
  <c r="M152" i="71"/>
  <c r="AD152" i="71"/>
  <c r="AN152" i="71"/>
  <c r="AY152" i="71"/>
  <c r="BK152" i="71"/>
  <c r="BU152" i="71"/>
  <c r="CE152" i="71"/>
  <c r="CO152" i="71"/>
  <c r="CY152" i="71"/>
  <c r="DZ152" i="71"/>
  <c r="J166" i="71"/>
  <c r="Y163" i="71"/>
  <c r="AZ163" i="71"/>
  <c r="BH163" i="71"/>
  <c r="BP166" i="71"/>
  <c r="BT163" i="71"/>
  <c r="CB166" i="71"/>
  <c r="CT166" i="71"/>
  <c r="CV166" i="71"/>
  <c r="CW163" i="71"/>
  <c r="DA163" i="71"/>
  <c r="DD166" i="71"/>
  <c r="DE163" i="71"/>
  <c r="DK163" i="71"/>
  <c r="DR163" i="71"/>
  <c r="DZ166" i="71"/>
  <c r="EB163" i="71"/>
  <c r="AL174" i="71"/>
  <c r="CY178" i="71"/>
  <c r="DA178" i="71"/>
  <c r="DA181" i="71"/>
  <c r="DB181" i="71"/>
  <c r="DD181" i="71"/>
  <c r="DG181" i="71"/>
  <c r="DI178" i="71"/>
  <c r="DJ181" i="71"/>
  <c r="DL181" i="71"/>
  <c r="DN178" i="71"/>
  <c r="DQ181" i="71"/>
  <c r="DW178" i="71"/>
  <c r="DX181" i="71"/>
  <c r="DZ178" i="71"/>
  <c r="EC181" i="71"/>
  <c r="AU183" i="71"/>
  <c r="DF183" i="71"/>
  <c r="AW184" i="71"/>
  <c r="BT184" i="71"/>
  <c r="CA184" i="71"/>
  <c r="CN184" i="71"/>
  <c r="CV184" i="71"/>
  <c r="DQ184" i="71"/>
  <c r="S185" i="71"/>
  <c r="W166" i="71"/>
  <c r="Y185" i="71"/>
  <c r="AF166" i="71"/>
  <c r="AR166" i="71"/>
  <c r="AT166" i="71"/>
  <c r="AV166" i="71"/>
  <c r="AV185" i="71"/>
  <c r="AX163" i="71"/>
  <c r="CK185" i="71"/>
  <c r="CM163" i="71"/>
  <c r="CQ185" i="71"/>
  <c r="CS185" i="71"/>
  <c r="CV185" i="71"/>
  <c r="CW185" i="71"/>
  <c r="CZ185" i="71"/>
  <c r="DF166" i="71"/>
  <c r="DH185" i="71"/>
  <c r="DJ185" i="71"/>
  <c r="DM163" i="71"/>
  <c r="ED185" i="71"/>
  <c r="U189" i="71"/>
  <c r="AD192" i="71"/>
  <c r="AF189" i="71"/>
  <c r="AM192" i="71"/>
  <c r="AS192" i="71"/>
  <c r="AU192" i="71"/>
  <c r="AW189" i="71"/>
  <c r="BZ325" i="71"/>
  <c r="N242" i="69"/>
  <c r="V323" i="69"/>
  <c r="BT311" i="71"/>
  <c r="DD34" i="71"/>
  <c r="DD265" i="71"/>
  <c r="AS257" i="71"/>
  <c r="AS322" i="71"/>
  <c r="S322" i="69"/>
  <c r="DS265" i="71"/>
  <c r="CR34" i="71"/>
  <c r="CR258" i="71"/>
  <c r="CR281" i="71"/>
  <c r="CR305" i="71"/>
  <c r="L34" i="71"/>
  <c r="L265" i="71"/>
  <c r="L305" i="71"/>
  <c r="N243" i="69"/>
  <c r="AS333" i="71"/>
  <c r="AD330" i="69"/>
  <c r="AM37" i="71"/>
  <c r="AS37" i="71"/>
  <c r="AL34" i="69"/>
  <c r="AB34" i="69"/>
  <c r="U166" i="71"/>
  <c r="AL19" i="71"/>
  <c r="AZ19" i="71"/>
  <c r="CG163" i="71"/>
  <c r="T23" i="71"/>
  <c r="AY23" i="71"/>
  <c r="BV23" i="71"/>
  <c r="AL28" i="71"/>
  <c r="BT28" i="71"/>
  <c r="CJ28" i="71"/>
  <c r="CL28" i="71"/>
  <c r="DN171" i="71"/>
  <c r="BQ184" i="71"/>
  <c r="BS184" i="71"/>
  <c r="BU184" i="71"/>
  <c r="CF180" i="71"/>
  <c r="DN31" i="71"/>
  <c r="AX183" i="71"/>
  <c r="DB183" i="71"/>
  <c r="DS183" i="71"/>
  <c r="EE32" i="71"/>
  <c r="CP34" i="71"/>
  <c r="AC37" i="71"/>
  <c r="DC37" i="71"/>
  <c r="M34" i="71"/>
  <c r="T180" i="69"/>
  <c r="Y181" i="69"/>
  <c r="T189" i="69"/>
  <c r="AI189" i="69"/>
  <c r="N189" i="69"/>
  <c r="P213" i="69"/>
  <c r="X254" i="69"/>
  <c r="S268" i="69"/>
  <c r="J269" i="69"/>
  <c r="AM269" i="69"/>
  <c r="E273" i="69"/>
  <c r="AE273" i="69"/>
  <c r="AE285" i="69"/>
  <c r="AM286" i="69"/>
  <c r="H290" i="69"/>
  <c r="Q290" i="69"/>
  <c r="AR286" i="69"/>
  <c r="G299" i="69"/>
  <c r="T299" i="69"/>
  <c r="Y300" i="69"/>
  <c r="M302" i="69"/>
  <c r="AG302" i="69"/>
  <c r="AH307" i="69"/>
  <c r="AM308" i="69"/>
  <c r="AF309" i="69"/>
  <c r="V313" i="69"/>
  <c r="AB320" i="69"/>
  <c r="AG323" i="69"/>
  <c r="M330" i="69"/>
  <c r="AG370" i="69"/>
  <c r="W171" i="71"/>
  <c r="BE31" i="71"/>
  <c r="EC41" i="71"/>
  <c r="CK46" i="71"/>
  <c r="BZ50" i="71"/>
  <c r="CC55" i="71"/>
  <c r="M87" i="69"/>
  <c r="S87" i="69"/>
  <c r="Y87" i="69"/>
  <c r="AE87" i="69"/>
  <c r="AL87" i="69"/>
  <c r="AS87" i="69"/>
  <c r="F88" i="69"/>
  <c r="H88" i="69"/>
  <c r="K88" i="69"/>
  <c r="P88" i="69"/>
  <c r="V88" i="69"/>
  <c r="AC88" i="69"/>
  <c r="AJ88" i="69"/>
  <c r="AQ88" i="69"/>
  <c r="AW88" i="69"/>
  <c r="Q90" i="69"/>
  <c r="W90" i="69"/>
  <c r="AB90" i="69"/>
  <c r="AI90" i="69"/>
  <c r="AR90" i="69"/>
  <c r="C91" i="69"/>
  <c r="G95" i="69"/>
  <c r="L95" i="69"/>
  <c r="R95" i="69"/>
  <c r="X95" i="69"/>
  <c r="AC95" i="69"/>
  <c r="AJ95" i="69"/>
  <c r="AS95" i="69"/>
  <c r="G96" i="69"/>
  <c r="K96" i="69"/>
  <c r="K101" i="69" s="1"/>
  <c r="N96" i="69"/>
  <c r="U96" i="69"/>
  <c r="AA96" i="69"/>
  <c r="AA107" i="69" s="1"/>
  <c r="AA214" i="69" s="1"/>
  <c r="AI96" i="69"/>
  <c r="AO96" i="69"/>
  <c r="AW96" i="69"/>
  <c r="P104" i="69"/>
  <c r="X104" i="69"/>
  <c r="AE104" i="69"/>
  <c r="AL104" i="69"/>
  <c r="AT104" i="69"/>
  <c r="U105" i="69"/>
  <c r="AF105" i="69"/>
  <c r="AM105" i="69"/>
  <c r="I111" i="69"/>
  <c r="L111" i="69"/>
  <c r="T111" i="69"/>
  <c r="AC111" i="69"/>
  <c r="AK111" i="69"/>
  <c r="AR111" i="69"/>
  <c r="S112" i="69"/>
  <c r="Y112" i="69"/>
  <c r="CC115" i="71"/>
  <c r="CF115" i="71"/>
  <c r="CI115" i="71"/>
  <c r="AH112" i="69"/>
  <c r="DD115" i="71"/>
  <c r="DG115" i="71"/>
  <c r="AO112" i="69"/>
  <c r="AU112" i="69"/>
  <c r="O116" i="71"/>
  <c r="K113" i="69"/>
  <c r="R113" i="69"/>
  <c r="X113" i="69"/>
  <c r="BW116" i="71"/>
  <c r="AD113" i="69"/>
  <c r="CR116" i="71"/>
  <c r="AJ113" i="69"/>
  <c r="AR113" i="69"/>
  <c r="V120" i="69"/>
  <c r="AP124" i="71"/>
  <c r="V121" i="69"/>
  <c r="AD121" i="69"/>
  <c r="AL121" i="69"/>
  <c r="AT121" i="69"/>
  <c r="K122" i="69"/>
  <c r="N122" i="69"/>
  <c r="V122" i="69"/>
  <c r="BZ125" i="71"/>
  <c r="AF122" i="69"/>
  <c r="AM122" i="69"/>
  <c r="DV125" i="71"/>
  <c r="EE125" i="71"/>
  <c r="AW122" i="69"/>
  <c r="AV128" i="71"/>
  <c r="BB128" i="71"/>
  <c r="BE128" i="71"/>
  <c r="X125" i="69"/>
  <c r="BZ128" i="71"/>
  <c r="AG125" i="69"/>
  <c r="DD128" i="71"/>
  <c r="AO125" i="69"/>
  <c r="EE128" i="71"/>
  <c r="AP129" i="71"/>
  <c r="R126" i="69"/>
  <c r="AB126" i="69"/>
  <c r="AH126" i="69"/>
  <c r="DJ129" i="71"/>
  <c r="AQ126" i="69"/>
  <c r="F131" i="69"/>
  <c r="I131" i="69"/>
  <c r="N131" i="69"/>
  <c r="T131" i="69"/>
  <c r="AC131" i="69"/>
  <c r="AK131" i="69"/>
  <c r="AQ131" i="69"/>
  <c r="C138" i="69"/>
  <c r="G141" i="69"/>
  <c r="P141" i="69"/>
  <c r="W141" i="69"/>
  <c r="AF141" i="69"/>
  <c r="X147" i="71"/>
  <c r="X144" i="69"/>
  <c r="AK144" i="69"/>
  <c r="F148" i="71"/>
  <c r="BW148" i="71"/>
  <c r="DG148" i="71"/>
  <c r="H146" i="69"/>
  <c r="P160" i="69"/>
  <c r="AQ160" i="69"/>
  <c r="AL168" i="69"/>
  <c r="AE171" i="69"/>
  <c r="AD177" i="69"/>
  <c r="S180" i="69"/>
  <c r="AS180" i="69"/>
  <c r="M189" i="69"/>
  <c r="AK255" i="69"/>
  <c r="AB268" i="69"/>
  <c r="P270" i="69"/>
  <c r="R273" i="69"/>
  <c r="AH273" i="69"/>
  <c r="AI285" i="69"/>
  <c r="S287" i="69"/>
  <c r="E290" i="69"/>
  <c r="O290" i="69"/>
  <c r="AF290" i="69"/>
  <c r="R297" i="69"/>
  <c r="AR297" i="69"/>
  <c r="AN299" i="69"/>
  <c r="AE300" i="69"/>
  <c r="Q302" i="69"/>
  <c r="AP302" i="69"/>
  <c r="AJ307" i="69"/>
  <c r="AI308" i="69"/>
  <c r="AG309" i="69"/>
  <c r="L313" i="69"/>
  <c r="AO313" i="69"/>
  <c r="V322" i="69"/>
  <c r="AA323" i="69"/>
  <c r="AK329" i="69"/>
  <c r="Y34" i="69"/>
  <c r="BP171" i="71"/>
  <c r="EB38" i="71"/>
  <c r="I50" i="71"/>
  <c r="DF55" i="71"/>
  <c r="I41" i="73"/>
  <c r="E50" i="73"/>
  <c r="I51" i="73"/>
  <c r="I55" i="73" s="1"/>
  <c r="H57" i="73"/>
  <c r="F58" i="73"/>
  <c r="K58" i="73"/>
  <c r="E59" i="73"/>
  <c r="H59" i="73"/>
  <c r="L59" i="73"/>
  <c r="K465" i="71"/>
  <c r="K67" i="73"/>
  <c r="E68" i="73"/>
  <c r="N68" i="73"/>
  <c r="H69" i="73"/>
  <c r="R14" i="72"/>
  <c r="E13" i="68"/>
  <c r="F14" i="68"/>
  <c r="I14" i="68"/>
  <c r="I18" i="68" s="1"/>
  <c r="I29" i="68" s="1"/>
  <c r="I33" i="68" s="1"/>
  <c r="I332" i="68" s="1"/>
  <c r="O14" i="68"/>
  <c r="I22" i="68"/>
  <c r="O22" i="68"/>
  <c r="N23" i="68"/>
  <c r="M26" i="68"/>
  <c r="K27" i="68"/>
  <c r="C30" i="68"/>
  <c r="E36" i="68"/>
  <c r="L36" i="68"/>
  <c r="K40" i="68"/>
  <c r="F41" i="68"/>
  <c r="F45" i="68" s="1"/>
  <c r="H41" i="68"/>
  <c r="L41" i="68"/>
  <c r="I48" i="68"/>
  <c r="K49" i="68"/>
  <c r="F50" i="68"/>
  <c r="F52" i="68" s="1"/>
  <c r="I50" i="68"/>
  <c r="C53" i="68"/>
  <c r="F55" i="68"/>
  <c r="I55" i="68"/>
  <c r="O55" i="68"/>
  <c r="O59" i="68"/>
  <c r="N77" i="68"/>
  <c r="M78" i="68"/>
  <c r="K80" i="68"/>
  <c r="F83" i="68"/>
  <c r="J83" i="68"/>
  <c r="F85" i="68"/>
  <c r="J85" i="68"/>
  <c r="P85" i="68"/>
  <c r="F88" i="68"/>
  <c r="J88" i="68"/>
  <c r="C89" i="68"/>
  <c r="F91" i="68"/>
  <c r="H91" i="68"/>
  <c r="L91" i="68"/>
  <c r="N93" i="68"/>
  <c r="N94" i="68"/>
  <c r="L96" i="68"/>
  <c r="J99" i="68"/>
  <c r="E101" i="68"/>
  <c r="I101" i="68"/>
  <c r="N101" i="68"/>
  <c r="F103" i="68"/>
  <c r="H103" i="68"/>
  <c r="L103" i="68"/>
  <c r="J105" i="68"/>
  <c r="I109" i="68"/>
  <c r="F110" i="68"/>
  <c r="F115" i="68" s="1"/>
  <c r="J110" i="68"/>
  <c r="F111" i="68"/>
  <c r="I111" i="68"/>
  <c r="N111" i="68"/>
  <c r="L119" i="68"/>
  <c r="K120" i="68"/>
  <c r="I123" i="68"/>
  <c r="O123" i="68"/>
  <c r="C127" i="68"/>
  <c r="I129" i="68"/>
  <c r="P129" i="68"/>
  <c r="I141" i="68"/>
  <c r="M142" i="68"/>
  <c r="H143" i="68"/>
  <c r="N143" i="68"/>
  <c r="M166" i="68"/>
  <c r="J169" i="68"/>
  <c r="P169" i="68"/>
  <c r="O175" i="68"/>
  <c r="N178" i="68"/>
  <c r="M179" i="68"/>
  <c r="G211" i="68"/>
  <c r="O211" i="68"/>
  <c r="N212" i="68"/>
  <c r="M216" i="68"/>
  <c r="F223" i="68"/>
  <c r="F224" i="68" s="1"/>
  <c r="J223" i="68"/>
  <c r="J224" i="68" s="1"/>
  <c r="C225" i="68"/>
  <c r="C243" i="68"/>
  <c r="H266" i="68"/>
  <c r="O266" i="68"/>
  <c r="F268" i="68"/>
  <c r="J268" i="68"/>
  <c r="O268" i="68"/>
  <c r="O271" i="68"/>
  <c r="E284" i="68"/>
  <c r="F284" i="68"/>
  <c r="I284" i="68"/>
  <c r="F285" i="68"/>
  <c r="I285" i="68"/>
  <c r="O285" i="68"/>
  <c r="N295" i="68"/>
  <c r="F298" i="68"/>
  <c r="F299" i="68" s="1"/>
  <c r="F300" i="68"/>
  <c r="J300" i="68"/>
  <c r="G305" i="68"/>
  <c r="L305" i="68"/>
  <c r="J306" i="68"/>
  <c r="E307" i="68"/>
  <c r="G307" i="68"/>
  <c r="K307" i="68"/>
  <c r="J311" i="68"/>
  <c r="F315" i="68"/>
  <c r="J315" i="68"/>
  <c r="F316" i="68"/>
  <c r="I316" i="68"/>
  <c r="E318" i="68"/>
  <c r="G318" i="68"/>
  <c r="L318" i="68"/>
  <c r="M320" i="68"/>
  <c r="M245" i="68" s="1"/>
  <c r="L327" i="68"/>
  <c r="I340" i="68"/>
  <c r="O340" i="68"/>
  <c r="DE23" i="71"/>
  <c r="DF46" i="71"/>
  <c r="CJ55" i="71"/>
  <c r="EG171" i="71"/>
  <c r="BR60" i="71"/>
  <c r="CW60" i="71"/>
  <c r="BU115" i="71"/>
  <c r="CY115" i="71"/>
  <c r="L312" i="69"/>
  <c r="AB312" i="69"/>
  <c r="E320" i="69"/>
  <c r="AC320" i="69"/>
  <c r="K329" i="69"/>
  <c r="J345" i="69"/>
  <c r="G46" i="71"/>
  <c r="BG55" i="71"/>
  <c r="DT55" i="71"/>
  <c r="CT116" i="71"/>
  <c r="DR116" i="71"/>
  <c r="EA116" i="71"/>
  <c r="C124" i="71"/>
  <c r="AZ129" i="71"/>
  <c r="CY129" i="71"/>
  <c r="DL129" i="71"/>
  <c r="DW129" i="71"/>
  <c r="C131" i="71"/>
  <c r="T312" i="69"/>
  <c r="O313" i="69"/>
  <c r="V320" i="69"/>
  <c r="O329" i="69"/>
  <c r="AN329" i="69"/>
  <c r="CL23" i="71"/>
  <c r="DR55" i="71"/>
  <c r="C227" i="71"/>
  <c r="E244" i="71"/>
  <c r="I244" i="71"/>
  <c r="BN244" i="71"/>
  <c r="CO244" i="71"/>
  <c r="BQ245" i="71"/>
  <c r="CG245" i="71"/>
  <c r="DP245" i="71"/>
  <c r="R246" i="71"/>
  <c r="X246" i="71"/>
  <c r="BI246" i="71"/>
  <c r="C258" i="71"/>
  <c r="S24" i="69"/>
  <c r="M25" i="69"/>
  <c r="V28" i="69"/>
  <c r="AA42" i="69"/>
  <c r="AM43" i="69"/>
  <c r="AB52" i="69"/>
  <c r="AQ270" i="69"/>
  <c r="T285" i="69"/>
  <c r="AO286" i="69"/>
  <c r="N290" i="69"/>
  <c r="N291" i="69" s="1"/>
  <c r="AE290" i="69"/>
  <c r="Z297" i="69"/>
  <c r="U299" i="69"/>
  <c r="W300" i="69"/>
  <c r="AD302" i="69"/>
  <c r="AA307" i="69"/>
  <c r="CH99" i="71"/>
  <c r="CM99" i="71"/>
  <c r="CQ99" i="71"/>
  <c r="CZ99" i="71"/>
  <c r="DD99" i="71"/>
  <c r="DJ99" i="71"/>
  <c r="DM99" i="71"/>
  <c r="DT99" i="71"/>
  <c r="DW99" i="71"/>
  <c r="EC99" i="71"/>
  <c r="CI104" i="71"/>
  <c r="CO104" i="71"/>
  <c r="CR104" i="71"/>
  <c r="DA104" i="71"/>
  <c r="DD104" i="71"/>
  <c r="DG104" i="71"/>
  <c r="DJ104" i="71"/>
  <c r="DP104" i="71"/>
  <c r="DV104" i="71"/>
  <c r="EB104" i="71"/>
  <c r="EE104" i="71"/>
  <c r="Q166" i="71"/>
  <c r="Q116" i="71"/>
  <c r="AH166" i="71"/>
  <c r="AH116" i="71"/>
  <c r="H163" i="71"/>
  <c r="N163" i="71"/>
  <c r="AL166" i="71"/>
  <c r="BJ166" i="71"/>
  <c r="BL166" i="71"/>
  <c r="BV166" i="71"/>
  <c r="BX166" i="71"/>
  <c r="CY166" i="71"/>
  <c r="DC166" i="71"/>
  <c r="DI166" i="71"/>
  <c r="DK166" i="71"/>
  <c r="EB166" i="71"/>
  <c r="CZ181" i="71"/>
  <c r="DB178" i="71"/>
  <c r="DC181" i="71"/>
  <c r="DE181" i="71"/>
  <c r="DG178" i="71"/>
  <c r="DO181" i="71"/>
  <c r="DQ178" i="71"/>
  <c r="DR181" i="71"/>
  <c r="DT181" i="71"/>
  <c r="DV178" i="71"/>
  <c r="DX178" i="71"/>
  <c r="DY178" i="71"/>
  <c r="EA178" i="71"/>
  <c r="EB178" i="71"/>
  <c r="ED181" i="71"/>
  <c r="DJ183" i="71"/>
  <c r="DC184" i="71"/>
  <c r="M163" i="71"/>
  <c r="W185" i="71"/>
  <c r="CI166" i="71"/>
  <c r="DD185" i="71"/>
  <c r="DS166" i="71"/>
  <c r="AD189" i="71"/>
  <c r="AF192" i="71"/>
  <c r="AH192" i="71"/>
  <c r="AM189" i="71"/>
  <c r="AU189" i="71"/>
  <c r="BC189" i="71"/>
  <c r="BT258" i="71"/>
  <c r="BT316" i="71"/>
  <c r="BT323" i="71"/>
  <c r="AS265" i="71"/>
  <c r="AS316" i="71"/>
  <c r="S324" i="69"/>
  <c r="AS305" i="71"/>
  <c r="DS281" i="71"/>
  <c r="DS305" i="71"/>
  <c r="AD331" i="69"/>
  <c r="CR38" i="71"/>
  <c r="CR265" i="71"/>
  <c r="CR328" i="71"/>
  <c r="AJ329" i="69"/>
  <c r="AJ331" i="69" s="1"/>
  <c r="AD243" i="69"/>
  <c r="AJ243" i="69"/>
  <c r="DJ283" i="71"/>
  <c r="DJ328" i="71"/>
  <c r="AP243" i="69"/>
  <c r="Q34" i="69"/>
  <c r="AL370" i="69"/>
  <c r="AL371" i="69" s="1"/>
  <c r="AP370" i="69"/>
  <c r="AP371" i="69" s="1"/>
  <c r="I19" i="71"/>
  <c r="O163" i="71"/>
  <c r="W19" i="71"/>
  <c r="AT19" i="71"/>
  <c r="BF19" i="71"/>
  <c r="BT19" i="71"/>
  <c r="CV19" i="71"/>
  <c r="ED19" i="71"/>
  <c r="I171" i="71"/>
  <c r="AP28" i="71"/>
  <c r="BT171" i="71"/>
  <c r="DX171" i="71"/>
  <c r="BS180" i="71"/>
  <c r="BX31" i="71"/>
  <c r="DJ31" i="71"/>
  <c r="AX32" i="71"/>
  <c r="DG32" i="71"/>
  <c r="CI37" i="71"/>
  <c r="AS177" i="69"/>
  <c r="AK181" i="69"/>
  <c r="AC186" i="69"/>
  <c r="AC189" i="69" s="1"/>
  <c r="K213" i="69"/>
  <c r="AQ254" i="69"/>
  <c r="AQ255" i="69" s="1"/>
  <c r="AQ262" i="69" s="1"/>
  <c r="AQ278" i="69" s="1"/>
  <c r="AR268" i="69"/>
  <c r="AA270" i="69"/>
  <c r="I273" i="69"/>
  <c r="AQ273" i="69"/>
  <c r="AQ274" i="69" s="1"/>
  <c r="AQ279" i="69" s="1"/>
  <c r="AR285" i="69"/>
  <c r="V287" i="69"/>
  <c r="AR287" i="69"/>
  <c r="AL290" i="69"/>
  <c r="Y297" i="69"/>
  <c r="J301" i="69"/>
  <c r="J318" i="69" s="1"/>
  <c r="X299" i="69"/>
  <c r="X301" i="69" s="1"/>
  <c r="X318" i="69" s="1"/>
  <c r="M300" i="69"/>
  <c r="M241" i="69" s="1"/>
  <c r="AC241" i="69"/>
  <c r="AH241" i="69"/>
  <c r="AL241" i="69"/>
  <c r="AQ241" i="69"/>
  <c r="P302" i="69"/>
  <c r="AJ302" i="69"/>
  <c r="AM307" i="69"/>
  <c r="AP309" i="69"/>
  <c r="AH322" i="69"/>
  <c r="AH324" i="69" s="1"/>
  <c r="AH325" i="69" s="1"/>
  <c r="AQ242" i="69"/>
  <c r="I329" i="69"/>
  <c r="G330" i="69"/>
  <c r="G243" i="69" s="1"/>
  <c r="G244" i="69" s="1"/>
  <c r="M243" i="69"/>
  <c r="AC330" i="69"/>
  <c r="AC243" i="69" s="1"/>
  <c r="AN31" i="71"/>
  <c r="BK46" i="71"/>
  <c r="F55" i="71"/>
  <c r="AF95" i="69"/>
  <c r="AL95" i="69"/>
  <c r="AL98" i="69" s="1"/>
  <c r="AQ95" i="69"/>
  <c r="AW95" i="69"/>
  <c r="S96" i="69"/>
  <c r="AF96" i="69"/>
  <c r="AK96" i="69"/>
  <c r="AS96" i="69"/>
  <c r="Z98" i="69"/>
  <c r="C102" i="71"/>
  <c r="AI101" i="69"/>
  <c r="H104" i="69"/>
  <c r="N104" i="69"/>
  <c r="U104" i="69"/>
  <c r="Z104" i="69"/>
  <c r="AI104" i="69"/>
  <c r="AP104" i="69"/>
  <c r="AW104" i="69"/>
  <c r="K111" i="69"/>
  <c r="K117" i="69" s="1"/>
  <c r="K128" i="69" s="1"/>
  <c r="K132" i="69" s="1"/>
  <c r="S111" i="69"/>
  <c r="AA111" i="69"/>
  <c r="AI111" i="69"/>
  <c r="AI117" i="69" s="1"/>
  <c r="AI128" i="69" s="1"/>
  <c r="AI132" i="69" s="1"/>
  <c r="Q112" i="69"/>
  <c r="Z112" i="69"/>
  <c r="AE112" i="69"/>
  <c r="AP112" i="69"/>
  <c r="AU117" i="69"/>
  <c r="AW112" i="69"/>
  <c r="N113" i="69"/>
  <c r="AS116" i="71"/>
  <c r="T113" i="69"/>
  <c r="BN116" i="71"/>
  <c r="AA113" i="69"/>
  <c r="CI116" i="71"/>
  <c r="AH113" i="69"/>
  <c r="AN113" i="69"/>
  <c r="DY116" i="71"/>
  <c r="EB116" i="71"/>
  <c r="G121" i="69"/>
  <c r="L121" i="69"/>
  <c r="T121" i="69"/>
  <c r="AB121" i="69"/>
  <c r="AJ121" i="69"/>
  <c r="AR121" i="69"/>
  <c r="M122" i="69"/>
  <c r="R122" i="69"/>
  <c r="Z122" i="69"/>
  <c r="AJ122" i="69"/>
  <c r="AQ122" i="69"/>
  <c r="AY128" i="71"/>
  <c r="V125" i="69"/>
  <c r="AC125" i="69"/>
  <c r="CR128" i="71"/>
  <c r="CU31" i="71"/>
  <c r="AK125" i="69"/>
  <c r="DP128" i="71"/>
  <c r="DS128" i="71"/>
  <c r="AT125" i="69"/>
  <c r="T126" i="69"/>
  <c r="BN129" i="71"/>
  <c r="AA126" i="69"/>
  <c r="AG126" i="69"/>
  <c r="AM126" i="69"/>
  <c r="DY129" i="71"/>
  <c r="M131" i="69"/>
  <c r="S131" i="69"/>
  <c r="AA131" i="69"/>
  <c r="AJ131" i="69"/>
  <c r="AR131" i="69"/>
  <c r="F145" i="69"/>
  <c r="L148" i="71"/>
  <c r="T145" i="69"/>
  <c r="CI148" i="71"/>
  <c r="G146" i="69"/>
  <c r="U160" i="69"/>
  <c r="U163" i="69" s="1"/>
  <c r="AP168" i="69"/>
  <c r="W177" i="69"/>
  <c r="R180" i="69"/>
  <c r="X180" i="69"/>
  <c r="AV181" i="69"/>
  <c r="V213" i="69"/>
  <c r="I224" i="69"/>
  <c r="T254" i="69"/>
  <c r="W268" i="69"/>
  <c r="AE269" i="69"/>
  <c r="AP270" i="69"/>
  <c r="AC274" i="69"/>
  <c r="I285" i="69"/>
  <c r="AE286" i="69"/>
  <c r="AJ287" i="69"/>
  <c r="AF291" i="69"/>
  <c r="AJ290" i="69"/>
  <c r="AE297" i="69"/>
  <c r="AA299" i="69"/>
  <c r="AA301" i="69" s="1"/>
  <c r="AA318" i="69" s="1"/>
  <c r="J241" i="69"/>
  <c r="Z241" i="69"/>
  <c r="AE241" i="69"/>
  <c r="AI241" i="69"/>
  <c r="AM300" i="69"/>
  <c r="AM301" i="69" s="1"/>
  <c r="AM318" i="69" s="1"/>
  <c r="H307" i="69"/>
  <c r="AF307" i="69"/>
  <c r="AA308" i="69"/>
  <c r="I309" i="69"/>
  <c r="AB309" i="69"/>
  <c r="AM312" i="69"/>
  <c r="Y320" i="69"/>
  <c r="AC322" i="69"/>
  <c r="AC324" i="69" s="1"/>
  <c r="AC325" i="69" s="1"/>
  <c r="AR323" i="69"/>
  <c r="J19" i="71"/>
  <c r="DA46" i="71"/>
  <c r="I37" i="73"/>
  <c r="H50" i="73"/>
  <c r="F51" i="73"/>
  <c r="L51" i="73"/>
  <c r="L55" i="73" s="1"/>
  <c r="I57" i="73"/>
  <c r="I58" i="73"/>
  <c r="G59" i="73"/>
  <c r="K59" i="73"/>
  <c r="O59" i="73"/>
  <c r="N62" i="73"/>
  <c r="L466" i="71"/>
  <c r="L68" i="73"/>
  <c r="L69" i="73"/>
  <c r="L14" i="68"/>
  <c r="L18" i="68" s="1"/>
  <c r="L29" i="68" s="1"/>
  <c r="L33" i="68" s="1"/>
  <c r="L332" i="68" s="1"/>
  <c r="J22" i="68"/>
  <c r="O23" i="68"/>
  <c r="N26" i="68"/>
  <c r="L27" i="68"/>
  <c r="G36" i="68"/>
  <c r="M36" i="68"/>
  <c r="N41" i="68"/>
  <c r="K50" i="68"/>
  <c r="L55" i="68"/>
  <c r="O93" i="68"/>
  <c r="F99" i="68"/>
  <c r="H99" i="68"/>
  <c r="O102" i="68"/>
  <c r="M109" i="68"/>
  <c r="M110" i="68"/>
  <c r="M111" i="68"/>
  <c r="J118" i="68"/>
  <c r="O119" i="68"/>
  <c r="P120" i="68"/>
  <c r="I124" i="68"/>
  <c r="L124" i="68"/>
  <c r="J129" i="68"/>
  <c r="C131" i="68"/>
  <c r="G142" i="68"/>
  <c r="K142" i="68"/>
  <c r="F143" i="68"/>
  <c r="K143" i="68"/>
  <c r="G166" i="68"/>
  <c r="J166" i="68"/>
  <c r="O166" i="68"/>
  <c r="N175" i="68"/>
  <c r="K178" i="68"/>
  <c r="H179" i="68"/>
  <c r="N179" i="68"/>
  <c r="J211" i="68"/>
  <c r="F212" i="68"/>
  <c r="K216" i="68"/>
  <c r="N222" i="68"/>
  <c r="M223" i="68"/>
  <c r="M224" i="68" s="1"/>
  <c r="K266" i="68"/>
  <c r="G267" i="68"/>
  <c r="K267" i="68"/>
  <c r="G268" i="68"/>
  <c r="M268" i="68"/>
  <c r="J271" i="68"/>
  <c r="J272" i="68" s="1"/>
  <c r="J277" i="68" s="1"/>
  <c r="F283" i="68"/>
  <c r="I283" i="68"/>
  <c r="N283" i="68"/>
  <c r="K285" i="68"/>
  <c r="I305" i="68"/>
  <c r="O305" i="68"/>
  <c r="N307" i="68"/>
  <c r="L315" i="68"/>
  <c r="L316" i="68"/>
  <c r="O321" i="68"/>
  <c r="F340" i="68"/>
  <c r="C340" i="68" s="1"/>
  <c r="H340" i="68"/>
  <c r="N340" i="68"/>
  <c r="C379" i="68"/>
  <c r="CJ41" i="71"/>
  <c r="P60" i="71"/>
  <c r="BM60" i="71"/>
  <c r="CD60" i="71"/>
  <c r="CK60" i="71"/>
  <c r="CV60" i="71"/>
  <c r="DL60" i="71"/>
  <c r="DX60" i="71"/>
  <c r="AS309" i="69"/>
  <c r="U313" i="69"/>
  <c r="L320" i="69"/>
  <c r="AN320" i="69"/>
  <c r="W330" i="69"/>
  <c r="DL46" i="71"/>
  <c r="DL116" i="71"/>
  <c r="DQ128" i="71"/>
  <c r="EA128" i="71"/>
  <c r="BA129" i="71"/>
  <c r="BI129" i="71"/>
  <c r="DF129" i="71"/>
  <c r="AI309" i="69"/>
  <c r="I320" i="69"/>
  <c r="AG320" i="69"/>
  <c r="DW46" i="71"/>
  <c r="C216" i="71"/>
  <c r="AJ244" i="71"/>
  <c r="BT244" i="71"/>
  <c r="DB244" i="71"/>
  <c r="DG244" i="71"/>
  <c r="AC245" i="71"/>
  <c r="AV245" i="71"/>
  <c r="L246" i="71"/>
  <c r="H472" i="71"/>
  <c r="C497" i="71"/>
  <c r="AL16" i="69"/>
  <c r="Q25" i="69"/>
  <c r="AO28" i="69"/>
  <c r="L43" i="69"/>
  <c r="L47" i="69" s="1"/>
  <c r="L54" i="69" s="1"/>
  <c r="L58" i="69" s="1"/>
  <c r="L62" i="69" s="1"/>
  <c r="AE76" i="69"/>
  <c r="M213" i="69"/>
  <c r="L270" i="69"/>
  <c r="J273" i="69"/>
  <c r="AL273" i="69"/>
  <c r="AL274" i="69" s="1"/>
  <c r="AL279" i="69" s="1"/>
  <c r="K290" i="69"/>
  <c r="K291" i="69" s="1"/>
  <c r="Z290" i="69"/>
  <c r="Z291" i="69" s="1"/>
  <c r="P297" i="69"/>
  <c r="E299" i="69"/>
  <c r="O299" i="69"/>
  <c r="O301" i="69" s="1"/>
  <c r="O318" i="69" s="1"/>
  <c r="O319" i="69" s="1"/>
  <c r="G302" i="69"/>
  <c r="G325" i="69" s="1"/>
  <c r="AA302" i="69"/>
  <c r="S307" i="69"/>
  <c r="T41" i="71"/>
  <c r="AE41" i="71"/>
  <c r="AM41" i="71"/>
  <c r="M46" i="71"/>
  <c r="O46" i="71"/>
  <c r="AC46" i="71"/>
  <c r="AH46" i="71"/>
  <c r="BH46" i="71"/>
  <c r="CW19" i="71"/>
  <c r="DE46" i="71"/>
  <c r="DP46" i="71"/>
  <c r="I55" i="71"/>
  <c r="DN55" i="71"/>
  <c r="BH116" i="71"/>
  <c r="BR19" i="71"/>
  <c r="CG116" i="71"/>
  <c r="DB116" i="71"/>
  <c r="DE116" i="71"/>
  <c r="DP116" i="71"/>
  <c r="DX116" i="71"/>
  <c r="DZ116" i="71"/>
  <c r="F120" i="71"/>
  <c r="G120" i="71"/>
  <c r="H120" i="71"/>
  <c r="K120" i="71"/>
  <c r="M120" i="71"/>
  <c r="N120" i="71"/>
  <c r="P120" i="71"/>
  <c r="U196" i="71"/>
  <c r="AB196" i="71"/>
  <c r="AD196" i="71"/>
  <c r="AM196" i="71"/>
  <c r="AO196" i="71"/>
  <c r="AQ196" i="71"/>
  <c r="AS196" i="71"/>
  <c r="AU196" i="71"/>
  <c r="AW196" i="71"/>
  <c r="AY196" i="71"/>
  <c r="BC196" i="71"/>
  <c r="AP27" i="71"/>
  <c r="AW180" i="71"/>
  <c r="BM128" i="71"/>
  <c r="BQ128" i="71"/>
  <c r="BS128" i="71"/>
  <c r="BU128" i="71"/>
  <c r="CF128" i="71"/>
  <c r="CV180" i="71"/>
  <c r="CZ184" i="71"/>
  <c r="DE184" i="71"/>
  <c r="DI184" i="71"/>
  <c r="DN128" i="71"/>
  <c r="AM129" i="71"/>
  <c r="AQ129" i="71"/>
  <c r="CL129" i="71"/>
  <c r="DB129" i="71"/>
  <c r="DD32" i="71"/>
  <c r="DN183" i="71"/>
  <c r="DS129" i="71"/>
  <c r="DZ183" i="71"/>
  <c r="EC183" i="71"/>
  <c r="EE129" i="71"/>
  <c r="T134" i="71"/>
  <c r="X134" i="71"/>
  <c r="AC134" i="71"/>
  <c r="AE134" i="71"/>
  <c r="AM134" i="71"/>
  <c r="BT134" i="71"/>
  <c r="CP134" i="71"/>
  <c r="DC134" i="71"/>
  <c r="EC134" i="71"/>
  <c r="EE134" i="71"/>
  <c r="H37" i="71"/>
  <c r="I37" i="71"/>
  <c r="K37" i="71"/>
  <c r="N37" i="71"/>
  <c r="P37" i="71"/>
  <c r="V37" i="71"/>
  <c r="AB37" i="71"/>
  <c r="AG37" i="71"/>
  <c r="AI37" i="71"/>
  <c r="AO37" i="71"/>
  <c r="AQ37" i="71"/>
  <c r="AS134" i="71"/>
  <c r="AT37" i="71"/>
  <c r="AV37" i="71"/>
  <c r="AZ37" i="71"/>
  <c r="BD37" i="71"/>
  <c r="BF37" i="71"/>
  <c r="BI37" i="71"/>
  <c r="BL37" i="71"/>
  <c r="BP37" i="71"/>
  <c r="BR37" i="71"/>
  <c r="BV37" i="71"/>
  <c r="BX37" i="71"/>
  <c r="CD37" i="71"/>
  <c r="CF37" i="71"/>
  <c r="CK37" i="71"/>
  <c r="CO37" i="71"/>
  <c r="CR134" i="71"/>
  <c r="CV37" i="71"/>
  <c r="CZ37" i="71"/>
  <c r="DB37" i="71"/>
  <c r="DY37" i="71"/>
  <c r="EA37" i="71"/>
  <c r="EG37" i="71"/>
  <c r="EF178" i="71"/>
  <c r="BA180" i="71"/>
  <c r="BT180" i="71"/>
  <c r="CA180" i="71"/>
  <c r="DL180" i="71"/>
  <c r="DM184" i="71"/>
  <c r="DO180" i="71"/>
  <c r="DQ180" i="71"/>
  <c r="ED184" i="71"/>
  <c r="CY183" i="71"/>
  <c r="DA183" i="71"/>
  <c r="DC183" i="71"/>
  <c r="DE183" i="71"/>
  <c r="DH183" i="71"/>
  <c r="DI183" i="71"/>
  <c r="DL183" i="71"/>
  <c r="DP183" i="71"/>
  <c r="DR183" i="71"/>
  <c r="DT183" i="71"/>
  <c r="CY184" i="71"/>
  <c r="DA184" i="71"/>
  <c r="DD184" i="71"/>
  <c r="DF184" i="71"/>
  <c r="DK184" i="71"/>
  <c r="DP184" i="71"/>
  <c r="DS184" i="71"/>
  <c r="DU184" i="71"/>
  <c r="DW184" i="71"/>
  <c r="EC184" i="71"/>
  <c r="EE184" i="71"/>
  <c r="I185" i="71"/>
  <c r="N185" i="71"/>
  <c r="O185" i="71"/>
  <c r="U185" i="71"/>
  <c r="AA185" i="71"/>
  <c r="AC185" i="71"/>
  <c r="AJ185" i="71"/>
  <c r="AZ185" i="71"/>
  <c r="BD185" i="71"/>
  <c r="BF185" i="71"/>
  <c r="BH185" i="71"/>
  <c r="BP185" i="71"/>
  <c r="BR185" i="71"/>
  <c r="BT185" i="71"/>
  <c r="CB185" i="71"/>
  <c r="CG185" i="71"/>
  <c r="CT185" i="71"/>
  <c r="DA185" i="71"/>
  <c r="DE185" i="71"/>
  <c r="DG185" i="71"/>
  <c r="DL185" i="71"/>
  <c r="DN185" i="71"/>
  <c r="DT185" i="71"/>
  <c r="DX185" i="71"/>
  <c r="DZ185" i="71"/>
  <c r="L311" i="71"/>
  <c r="H302" i="69"/>
  <c r="H325" i="69" s="1"/>
  <c r="AV38" i="71"/>
  <c r="DS311" i="71"/>
  <c r="Y19" i="71"/>
  <c r="AA19" i="71"/>
  <c r="AJ19" i="71"/>
  <c r="BB19" i="71"/>
  <c r="BD19" i="71"/>
  <c r="CT19" i="71"/>
  <c r="DD19" i="71"/>
  <c r="DG19" i="71"/>
  <c r="DV19" i="71"/>
  <c r="DY19" i="71"/>
  <c r="EF19" i="71"/>
  <c r="BV180" i="71"/>
  <c r="CH180" i="71"/>
  <c r="DH184" i="71"/>
  <c r="DT180" i="71"/>
  <c r="AU32" i="71"/>
  <c r="BX32" i="71"/>
  <c r="CH32" i="71"/>
  <c r="DK183" i="71"/>
  <c r="DM183" i="71"/>
  <c r="DW32" i="71"/>
  <c r="ED183" i="71"/>
  <c r="AL38" i="71"/>
  <c r="X41" i="71"/>
  <c r="BT41" i="71"/>
  <c r="CP41" i="71"/>
  <c r="AL46" i="71"/>
  <c r="AZ46" i="71"/>
  <c r="CG46" i="71"/>
  <c r="DZ46" i="71"/>
  <c r="AL55" i="71"/>
  <c r="DX55" i="71"/>
  <c r="U199" i="71"/>
  <c r="AB199" i="71"/>
  <c r="AD199" i="71"/>
  <c r="AM199" i="71"/>
  <c r="AO199" i="71"/>
  <c r="AQ199" i="71"/>
  <c r="AS199" i="71"/>
  <c r="AU199" i="71"/>
  <c r="AW199" i="71"/>
  <c r="AY199" i="71"/>
  <c r="BC199" i="71"/>
  <c r="U200" i="71"/>
  <c r="AB200" i="71"/>
  <c r="AD200" i="71"/>
  <c r="AM200" i="71"/>
  <c r="AO200" i="71"/>
  <c r="AQ200" i="71"/>
  <c r="AS200" i="71"/>
  <c r="AU200" i="71"/>
  <c r="AW200" i="71"/>
  <c r="AY200" i="71"/>
  <c r="BC200" i="71"/>
  <c r="U202" i="71"/>
  <c r="AB202" i="71"/>
  <c r="AD202" i="71"/>
  <c r="AM202" i="71"/>
  <c r="AO202" i="71"/>
  <c r="AQ202" i="71"/>
  <c r="AS202" i="71"/>
  <c r="AU202" i="71"/>
  <c r="AW202" i="71"/>
  <c r="AY202" i="71"/>
  <c r="BC202" i="71"/>
  <c r="L272" i="71"/>
  <c r="M257" i="71"/>
  <c r="BT272" i="71"/>
  <c r="CP38" i="71"/>
  <c r="DD272" i="71"/>
  <c r="DS272" i="71"/>
  <c r="I16" i="69"/>
  <c r="I20" i="69" s="1"/>
  <c r="I31" i="69" s="1"/>
  <c r="X16" i="69"/>
  <c r="X20" i="69" s="1"/>
  <c r="AA28" i="69"/>
  <c r="AF28" i="69"/>
  <c r="Q29" i="69"/>
  <c r="C29" i="69" s="1"/>
  <c r="AV46" i="71"/>
  <c r="X60" i="71"/>
  <c r="AM60" i="71"/>
  <c r="CR180" i="71"/>
  <c r="AA180" i="69"/>
  <c r="AH181" i="69"/>
  <c r="AB254" i="69"/>
  <c r="AB255" i="69" s="1"/>
  <c r="AB262" i="69" s="1"/>
  <c r="AB278" i="69" s="1"/>
  <c r="AB280" i="69" s="1"/>
  <c r="AN254" i="69"/>
  <c r="AN255" i="69" s="1"/>
  <c r="AN262" i="69" s="1"/>
  <c r="AN278" i="69" s="1"/>
  <c r="L289" i="71"/>
  <c r="BT289" i="71"/>
  <c r="DS289" i="71"/>
  <c r="DD281" i="71"/>
  <c r="S19" i="71"/>
  <c r="DF19" i="71"/>
  <c r="DM19" i="71"/>
  <c r="AS32" i="71"/>
  <c r="DX46" i="71"/>
  <c r="BT55" i="71"/>
  <c r="L273" i="71"/>
  <c r="BT273" i="71"/>
  <c r="DD273" i="71"/>
  <c r="DS273" i="71"/>
  <c r="BT281" i="71"/>
  <c r="DP351" i="71"/>
  <c r="DT351" i="71"/>
  <c r="DV345" i="71"/>
  <c r="DW351" i="71"/>
  <c r="DX351" i="71"/>
  <c r="DY351" i="71"/>
  <c r="EA351" i="71"/>
  <c r="EB345" i="71"/>
  <c r="EC351" i="71"/>
  <c r="EE351" i="71"/>
  <c r="EF351" i="71"/>
  <c r="EG351" i="71"/>
  <c r="F353" i="71"/>
  <c r="H353" i="71"/>
  <c r="L353" i="71"/>
  <c r="N353" i="71"/>
  <c r="P353" i="71"/>
  <c r="R353" i="71"/>
  <c r="S353" i="71"/>
  <c r="T353" i="71"/>
  <c r="V353" i="71"/>
  <c r="X353" i="71"/>
  <c r="Z353" i="71"/>
  <c r="AD353" i="71"/>
  <c r="AG353" i="71"/>
  <c r="AI353" i="71"/>
  <c r="AK353" i="71"/>
  <c r="AN353" i="71"/>
  <c r="AO353" i="71"/>
  <c r="AQ353" i="71"/>
  <c r="AT353" i="71"/>
  <c r="AV353" i="71"/>
  <c r="AX353" i="71"/>
  <c r="AY353" i="71"/>
  <c r="BB353" i="71"/>
  <c r="BD353" i="71"/>
  <c r="BF353" i="71"/>
  <c r="BK353" i="71"/>
  <c r="BO353" i="71"/>
  <c r="BR353" i="71"/>
  <c r="BT353" i="71"/>
  <c r="BW353" i="71"/>
  <c r="BZ353" i="71"/>
  <c r="CB353" i="71"/>
  <c r="CD353" i="71"/>
  <c r="CF353" i="71"/>
  <c r="CI353" i="71"/>
  <c r="CK353" i="71"/>
  <c r="CM353" i="71"/>
  <c r="CN353" i="71"/>
  <c r="CP353" i="71"/>
  <c r="CR353" i="71"/>
  <c r="CT353" i="71"/>
  <c r="CV353" i="71"/>
  <c r="CX353" i="71"/>
  <c r="CZ353" i="71"/>
  <c r="DB353" i="71"/>
  <c r="DD353" i="71"/>
  <c r="DF353" i="71"/>
  <c r="DH353" i="71"/>
  <c r="DL353" i="71"/>
  <c r="DN353" i="71"/>
  <c r="DZ353" i="71"/>
  <c r="F357" i="71"/>
  <c r="G357" i="71"/>
  <c r="H357" i="71"/>
  <c r="I357" i="71"/>
  <c r="K357" i="71"/>
  <c r="L357" i="71"/>
  <c r="M357" i="71"/>
  <c r="N357" i="71"/>
  <c r="O357" i="71"/>
  <c r="P357" i="71"/>
  <c r="Q357" i="71"/>
  <c r="R357" i="71"/>
  <c r="S357" i="71"/>
  <c r="T357" i="71"/>
  <c r="U357" i="71"/>
  <c r="V357" i="71"/>
  <c r="W357" i="71"/>
  <c r="X357" i="71"/>
  <c r="Y357" i="71"/>
  <c r="Z357" i="71"/>
  <c r="AC357" i="71"/>
  <c r="AE357" i="71"/>
  <c r="AG357" i="71"/>
  <c r="AI357" i="71"/>
  <c r="AK357" i="71"/>
  <c r="AM357" i="71"/>
  <c r="AN357" i="71"/>
  <c r="AP357" i="71"/>
  <c r="AS357" i="71"/>
  <c r="AU357" i="71"/>
  <c r="AW357" i="71"/>
  <c r="AY357" i="71"/>
  <c r="BA357" i="71"/>
  <c r="BC357" i="71"/>
  <c r="BE357" i="71"/>
  <c r="BH357" i="71"/>
  <c r="BK357" i="71"/>
  <c r="BN357" i="71"/>
  <c r="BP357" i="71"/>
  <c r="BQ357" i="71"/>
  <c r="BS357" i="71"/>
  <c r="BT357" i="71"/>
  <c r="BV357" i="71"/>
  <c r="BY357" i="71"/>
  <c r="CA357" i="71"/>
  <c r="CB357" i="71"/>
  <c r="CD357" i="71"/>
  <c r="CF357" i="71"/>
  <c r="CH357" i="71"/>
  <c r="CJ357" i="71"/>
  <c r="CM357" i="71"/>
  <c r="CQ357" i="71"/>
  <c r="CS357" i="71"/>
  <c r="CU357" i="71"/>
  <c r="CX357" i="71"/>
  <c r="CZ357" i="71"/>
  <c r="DC357" i="71"/>
  <c r="DE357" i="71"/>
  <c r="DG357" i="71"/>
  <c r="DJ357" i="71"/>
  <c r="DL357" i="71"/>
  <c r="DN357" i="71"/>
  <c r="F363" i="71"/>
  <c r="K363" i="71"/>
  <c r="M363" i="71"/>
  <c r="O363" i="71"/>
  <c r="R363" i="71"/>
  <c r="T363" i="71"/>
  <c r="X363" i="71"/>
  <c r="Z363" i="71"/>
  <c r="AB363" i="71"/>
  <c r="AD363" i="71"/>
  <c r="AE363" i="71"/>
  <c r="AI363" i="71"/>
  <c r="AL363" i="71"/>
  <c r="AP363" i="71"/>
  <c r="AR363" i="71"/>
  <c r="AT363" i="71"/>
  <c r="AU363" i="71"/>
  <c r="AV363" i="71"/>
  <c r="AX363" i="71"/>
  <c r="AZ363" i="71"/>
  <c r="BA363" i="71"/>
  <c r="BC363" i="71"/>
  <c r="BF363" i="71"/>
  <c r="BH363" i="71"/>
  <c r="BJ363" i="71"/>
  <c r="BM363" i="71"/>
  <c r="BO363" i="71"/>
  <c r="BR363" i="71"/>
  <c r="BV363" i="71"/>
  <c r="BX363" i="71"/>
  <c r="BZ363" i="71"/>
  <c r="CA363" i="71"/>
  <c r="CB363" i="71"/>
  <c r="CF363" i="71"/>
  <c r="CH363" i="71"/>
  <c r="CI363" i="71"/>
  <c r="CK363" i="71"/>
  <c r="CM363" i="71"/>
  <c r="CP363" i="71"/>
  <c r="CR363" i="71"/>
  <c r="CS363" i="71"/>
  <c r="CU363" i="71"/>
  <c r="CV363" i="71"/>
  <c r="CX363" i="71"/>
  <c r="CY363" i="71"/>
  <c r="DA363" i="71"/>
  <c r="DC363" i="71"/>
  <c r="DD363" i="71"/>
  <c r="DF363" i="71"/>
  <c r="DH363" i="71"/>
  <c r="DJ363" i="71"/>
  <c r="DK363" i="71"/>
  <c r="DM363" i="71"/>
  <c r="DO363" i="71"/>
  <c r="DQ363" i="71"/>
  <c r="DS363" i="71"/>
  <c r="DU363" i="71"/>
  <c r="F364" i="71"/>
  <c r="G364" i="71"/>
  <c r="I364" i="71"/>
  <c r="J364" i="71"/>
  <c r="L364" i="71"/>
  <c r="N364" i="71"/>
  <c r="P364" i="71"/>
  <c r="R364" i="71"/>
  <c r="S364" i="71"/>
  <c r="T364" i="71"/>
  <c r="V364" i="71"/>
  <c r="Y364" i="71"/>
  <c r="AA364" i="71"/>
  <c r="AC364" i="71"/>
  <c r="AF364" i="71"/>
  <c r="AH364" i="71"/>
  <c r="AK364" i="71"/>
  <c r="AM364" i="71"/>
  <c r="AO364" i="71"/>
  <c r="AQ364" i="71"/>
  <c r="AS364" i="71"/>
  <c r="AU364" i="71"/>
  <c r="AW364" i="71"/>
  <c r="AY364" i="71"/>
  <c r="BA364" i="71"/>
  <c r="BC364" i="71"/>
  <c r="BE364" i="71"/>
  <c r="BG364" i="71"/>
  <c r="BI364" i="71"/>
  <c r="BK364" i="71"/>
  <c r="BM364" i="71"/>
  <c r="BO364" i="71"/>
  <c r="BQ364" i="71"/>
  <c r="BS364" i="71"/>
  <c r="BU364" i="71"/>
  <c r="BW364" i="71"/>
  <c r="BY364" i="71"/>
  <c r="CA364" i="71"/>
  <c r="CC364" i="71"/>
  <c r="CE364" i="71"/>
  <c r="CG364" i="71"/>
  <c r="CH364" i="71"/>
  <c r="CJ364" i="71"/>
  <c r="CL364" i="71"/>
  <c r="CN364" i="71"/>
  <c r="CP364" i="71"/>
  <c r="CR364" i="71"/>
  <c r="CT364" i="71"/>
  <c r="CV364" i="71"/>
  <c r="CX364" i="71"/>
  <c r="CZ364" i="71"/>
  <c r="DA364" i="71"/>
  <c r="DC364" i="71"/>
  <c r="DE364" i="71"/>
  <c r="DG364" i="71"/>
  <c r="DI364" i="71"/>
  <c r="DK364" i="71"/>
  <c r="DM364" i="71"/>
  <c r="DO364" i="71"/>
  <c r="DQ364" i="71"/>
  <c r="DS364" i="71"/>
  <c r="DU364" i="71"/>
  <c r="K366" i="71"/>
  <c r="M366" i="71"/>
  <c r="O366" i="71"/>
  <c r="Q366" i="71"/>
  <c r="U366" i="71"/>
  <c r="W366" i="71"/>
  <c r="Z366" i="71"/>
  <c r="AB366" i="71"/>
  <c r="AD366" i="71"/>
  <c r="AG366" i="71"/>
  <c r="AI366" i="71"/>
  <c r="AL366" i="71"/>
  <c r="AZ366" i="71"/>
  <c r="BB366" i="71"/>
  <c r="BP366" i="71"/>
  <c r="BT366" i="71"/>
  <c r="BZ366" i="71"/>
  <c r="CD366" i="71"/>
  <c r="CF366" i="71"/>
  <c r="CI366" i="71"/>
  <c r="CK366" i="71"/>
  <c r="CM366" i="71"/>
  <c r="CO366" i="71"/>
  <c r="CU366" i="71"/>
  <c r="CW366" i="71"/>
  <c r="DZ366" i="71"/>
  <c r="EE366" i="71"/>
  <c r="EG366" i="71"/>
  <c r="C368" i="71"/>
  <c r="G149" i="71"/>
  <c r="H149" i="71"/>
  <c r="I371" i="71"/>
  <c r="J371" i="71"/>
  <c r="K371" i="71"/>
  <c r="M149" i="71"/>
  <c r="N371" i="71"/>
  <c r="P371" i="71"/>
  <c r="S149" i="71"/>
  <c r="T371" i="71"/>
  <c r="W149" i="71"/>
  <c r="Y371" i="71"/>
  <c r="Z371" i="71"/>
  <c r="AB149" i="71"/>
  <c r="AC371" i="71"/>
  <c r="AC373" i="71"/>
  <c r="AE373" i="71"/>
  <c r="E439" i="71"/>
  <c r="E453" i="71"/>
  <c r="O463" i="71"/>
  <c r="H466" i="71"/>
  <c r="O466" i="71"/>
  <c r="O468" i="71"/>
  <c r="E476" i="71"/>
  <c r="H476" i="71"/>
  <c r="K476" i="71"/>
  <c r="J477" i="71"/>
  <c r="E479" i="71"/>
  <c r="J488" i="71"/>
  <c r="I489" i="71"/>
  <c r="M489" i="71"/>
  <c r="C490" i="71"/>
  <c r="I490" i="71"/>
  <c r="CY381" i="71"/>
  <c r="CZ381" i="71"/>
  <c r="DA381" i="71"/>
  <c r="DB381" i="71"/>
  <c r="DC381" i="71"/>
  <c r="DD381" i="71"/>
  <c r="DE381" i="71"/>
  <c r="DF381" i="71"/>
  <c r="DG381" i="71"/>
  <c r="DH381" i="71"/>
  <c r="DJ381" i="71"/>
  <c r="DK381" i="71"/>
  <c r="DL381" i="71"/>
  <c r="DM381" i="71"/>
  <c r="DN381" i="71"/>
  <c r="DO381" i="71"/>
  <c r="DP381" i="71"/>
  <c r="DQ381" i="71"/>
  <c r="DS381" i="71"/>
  <c r="DU381" i="71"/>
  <c r="DW381" i="71"/>
  <c r="DY381" i="71"/>
  <c r="EA381" i="71"/>
  <c r="ED381" i="71"/>
  <c r="EF381" i="71"/>
  <c r="EG381" i="71"/>
  <c r="E382" i="71"/>
  <c r="G382" i="71"/>
  <c r="H382" i="71"/>
  <c r="I382" i="71"/>
  <c r="K382" i="71"/>
  <c r="M382" i="71"/>
  <c r="O382" i="71"/>
  <c r="P382" i="71"/>
  <c r="S382" i="71"/>
  <c r="U382" i="71"/>
  <c r="W382" i="71"/>
  <c r="Y382" i="71"/>
  <c r="AA382" i="71"/>
  <c r="AC382" i="71"/>
  <c r="AE382" i="71"/>
  <c r="AF382" i="71"/>
  <c r="AH382" i="71"/>
  <c r="AJ382" i="71"/>
  <c r="AL382" i="71"/>
  <c r="AN382" i="71"/>
  <c r="AP382" i="71"/>
  <c r="AR382" i="71"/>
  <c r="AU382" i="71"/>
  <c r="AX382" i="71"/>
  <c r="AZ382" i="71"/>
  <c r="BB382" i="71"/>
  <c r="BC382" i="71"/>
  <c r="BD382" i="71"/>
  <c r="BF382" i="71"/>
  <c r="BG382" i="71"/>
  <c r="BI382" i="71"/>
  <c r="BK382" i="71"/>
  <c r="BL382" i="71"/>
  <c r="BN382" i="71"/>
  <c r="BP382" i="71"/>
  <c r="BR382" i="71"/>
  <c r="BT382" i="71"/>
  <c r="BU382" i="71"/>
  <c r="BW382" i="71"/>
  <c r="BY382" i="71"/>
  <c r="CA382" i="71"/>
  <c r="CC382" i="71"/>
  <c r="CE382" i="71"/>
  <c r="CG382" i="71"/>
  <c r="CI382" i="71"/>
  <c r="CK382" i="71"/>
  <c r="CM382" i="71"/>
  <c r="CO382" i="71"/>
  <c r="CQ382" i="71"/>
  <c r="CS382" i="71"/>
  <c r="CV382" i="71"/>
  <c r="CW382" i="71"/>
  <c r="CY382" i="71"/>
  <c r="DB382" i="71"/>
  <c r="DD382" i="71"/>
  <c r="DF382" i="71"/>
  <c r="DH382" i="71"/>
  <c r="DJ382" i="71"/>
  <c r="DK382" i="71"/>
  <c r="DM382" i="71"/>
  <c r="DO382" i="71"/>
  <c r="DR382" i="71"/>
  <c r="DT382" i="71"/>
  <c r="DV382" i="71"/>
  <c r="DX382" i="71"/>
  <c r="DZ382" i="71"/>
  <c r="EB382" i="71"/>
  <c r="ED382" i="71"/>
  <c r="EF382" i="71"/>
  <c r="EG382" i="71"/>
  <c r="C391" i="71"/>
  <c r="C404" i="71"/>
  <c r="AC427" i="71"/>
  <c r="AM427" i="71"/>
  <c r="AU427" i="71"/>
  <c r="AY427" i="71"/>
  <c r="BA427" i="71"/>
  <c r="BQ427" i="71"/>
  <c r="BS427" i="71"/>
  <c r="CB427" i="71"/>
  <c r="CT427" i="71"/>
  <c r="CV427" i="71"/>
  <c r="CZ427" i="71"/>
  <c r="DB427" i="71"/>
  <c r="DD427" i="71"/>
  <c r="DF427" i="71"/>
  <c r="DL427" i="71"/>
  <c r="DO427" i="71"/>
  <c r="DS427" i="71"/>
  <c r="BE433" i="71"/>
  <c r="BI433" i="71"/>
  <c r="BK433" i="71"/>
  <c r="BV433" i="71"/>
  <c r="CR433" i="71"/>
  <c r="CX433" i="71"/>
  <c r="DM433" i="71"/>
  <c r="DY433" i="71"/>
  <c r="EB433" i="71"/>
  <c r="ED433" i="71"/>
  <c r="C436" i="71"/>
  <c r="AS439" i="71"/>
  <c r="BV439" i="71"/>
  <c r="CW439" i="71"/>
  <c r="DX439" i="71"/>
  <c r="DZ439" i="71"/>
  <c r="EE439" i="71"/>
  <c r="C444" i="71"/>
  <c r="I462" i="71"/>
  <c r="C465" i="71"/>
  <c r="K468" i="71"/>
  <c r="G477" i="71"/>
  <c r="F489" i="71"/>
  <c r="G488" i="71"/>
  <c r="K490" i="71"/>
  <c r="C500" i="71"/>
  <c r="C504" i="71"/>
  <c r="I504" i="71"/>
  <c r="O505" i="71"/>
  <c r="K506" i="71"/>
  <c r="C595" i="71"/>
  <c r="C600" i="71"/>
  <c r="C507" i="71"/>
  <c r="L16" i="69"/>
  <c r="L20" i="69" s="1"/>
  <c r="L31" i="69" s="1"/>
  <c r="U16" i="69"/>
  <c r="U20" i="69" s="1"/>
  <c r="U31" i="69" s="1"/>
  <c r="AI16" i="69"/>
  <c r="AI20" i="69" s="1"/>
  <c r="AS20" i="69"/>
  <c r="AW16" i="69"/>
  <c r="F25" i="69"/>
  <c r="AV25" i="69"/>
  <c r="AV31" i="69" s="1"/>
  <c r="X28" i="69"/>
  <c r="X31" i="69" s="1"/>
  <c r="AI28" i="69"/>
  <c r="AI31" i="69" s="1"/>
  <c r="AR28" i="69"/>
  <c r="AW28" i="69"/>
  <c r="AW29" i="69"/>
  <c r="AL38" i="69"/>
  <c r="AV38" i="69"/>
  <c r="AP46" i="71"/>
  <c r="BE46" i="71"/>
  <c r="AK43" i="69"/>
  <c r="AK47" i="69" s="1"/>
  <c r="AK54" i="69" s="1"/>
  <c r="AK58" i="69" s="1"/>
  <c r="AK62" i="69" s="1"/>
  <c r="AT43" i="69"/>
  <c r="R47" i="69"/>
  <c r="R54" i="69" s="1"/>
  <c r="R58" i="69" s="1"/>
  <c r="R62" i="69" s="1"/>
  <c r="Z52" i="69"/>
  <c r="DG55" i="71"/>
  <c r="DS55" i="71"/>
  <c r="F57" i="69"/>
  <c r="C57" i="69" s="1"/>
  <c r="T57" i="69"/>
  <c r="T58" i="69" s="1"/>
  <c r="T62" i="69" s="1"/>
  <c r="K76" i="69"/>
  <c r="T224" i="69"/>
  <c r="AD76" i="69"/>
  <c r="AR224" i="69"/>
  <c r="J144" i="69"/>
  <c r="J147" i="69" s="1"/>
  <c r="S144" i="69"/>
  <c r="AA147" i="69"/>
  <c r="AJ144" i="69"/>
  <c r="AJ147" i="69" s="1"/>
  <c r="AQ144" i="69"/>
  <c r="AQ147" i="69" s="1"/>
  <c r="AU144" i="69"/>
  <c r="AU147" i="69" s="1"/>
  <c r="I148" i="71"/>
  <c r="Z145" i="69"/>
  <c r="Z147" i="69" s="1"/>
  <c r="BZ148" i="71"/>
  <c r="F163" i="69"/>
  <c r="F182" i="69" s="1"/>
  <c r="J163" i="69"/>
  <c r="J182" i="69" s="1"/>
  <c r="N163" i="69"/>
  <c r="N182" i="69" s="1"/>
  <c r="AA163" i="69"/>
  <c r="AS168" i="69"/>
  <c r="AW168" i="69"/>
  <c r="V177" i="69"/>
  <c r="AA177" i="69"/>
  <c r="Q180" i="69"/>
  <c r="Q182" i="69" s="1"/>
  <c r="L189" i="69"/>
  <c r="T197" i="69"/>
  <c r="AP189" i="69"/>
  <c r="X224" i="69"/>
  <c r="S254" i="69"/>
  <c r="S255" i="69" s="1"/>
  <c r="S262" i="69" s="1"/>
  <c r="S278" i="69" s="1"/>
  <c r="S280" i="69" s="1"/>
  <c r="AE255" i="69"/>
  <c r="AE262" i="69" s="1"/>
  <c r="AE278" i="69" s="1"/>
  <c r="AE280" i="69" s="1"/>
  <c r="AK285" i="69"/>
  <c r="M287" i="69"/>
  <c r="Z287" i="69"/>
  <c r="AM287" i="69"/>
  <c r="U290" i="69"/>
  <c r="U291" i="69" s="1"/>
  <c r="AC291" i="69"/>
  <c r="AC296" i="69" s="1"/>
  <c r="AH290" i="69"/>
  <c r="AH291" i="69" s="1"/>
  <c r="AH296" i="69" s="1"/>
  <c r="U297" i="69"/>
  <c r="AM297" i="69"/>
  <c r="P299" i="69"/>
  <c r="AK299" i="69"/>
  <c r="U300" i="69"/>
  <c r="U241" i="69" s="1"/>
  <c r="Y307" i="69"/>
  <c r="K308" i="69"/>
  <c r="X308" i="69"/>
  <c r="H309" i="69"/>
  <c r="P309" i="69"/>
  <c r="H312" i="69"/>
  <c r="AG312" i="69"/>
  <c r="M320" i="69"/>
  <c r="AQ320" i="69"/>
  <c r="Q323" i="69"/>
  <c r="AE329" i="69"/>
  <c r="AE331" i="69" s="1"/>
  <c r="V243" i="69"/>
  <c r="AL243" i="69"/>
  <c r="C41" i="71"/>
  <c r="CR46" i="71"/>
  <c r="CL55" i="71"/>
  <c r="I93" i="69"/>
  <c r="AG95" i="69"/>
  <c r="AM95" i="69"/>
  <c r="AP95" i="69"/>
  <c r="AP101" i="69" s="1"/>
  <c r="AU95" i="69"/>
  <c r="I96" i="69"/>
  <c r="I101" i="69" s="1"/>
  <c r="M96" i="69"/>
  <c r="O96" i="69"/>
  <c r="Z96" i="69"/>
  <c r="Z101" i="69" s="1"/>
  <c r="AH96" i="69"/>
  <c r="AH107" i="69" s="1"/>
  <c r="AH214" i="69" s="1"/>
  <c r="AR96" i="69"/>
  <c r="AR107" i="69" s="1"/>
  <c r="AR214" i="69" s="1"/>
  <c r="AV96" i="69"/>
  <c r="AV107" i="69" s="1"/>
  <c r="AV214" i="69" s="1"/>
  <c r="W101" i="69"/>
  <c r="G104" i="69"/>
  <c r="AB104" i="69"/>
  <c r="AH104" i="69"/>
  <c r="AN104" i="69"/>
  <c r="K112" i="69"/>
  <c r="N112" i="69"/>
  <c r="T112" i="69"/>
  <c r="AC112" i="69"/>
  <c r="AG112" i="69"/>
  <c r="AL112" i="69"/>
  <c r="F116" i="71"/>
  <c r="R116" i="71"/>
  <c r="U116" i="71"/>
  <c r="X116" i="71"/>
  <c r="AG116" i="71"/>
  <c r="Q113" i="69"/>
  <c r="Q117" i="69" s="1"/>
  <c r="Q128" i="69" s="1"/>
  <c r="Q132" i="69" s="1"/>
  <c r="V113" i="69"/>
  <c r="CC116" i="71"/>
  <c r="AL113" i="69"/>
  <c r="AP113" i="69"/>
  <c r="AP117" i="69" s="1"/>
  <c r="L122" i="69"/>
  <c r="L128" i="69" s="1"/>
  <c r="L132" i="69" s="1"/>
  <c r="O122" i="69"/>
  <c r="AA122" i="69"/>
  <c r="AO122" i="69"/>
  <c r="AO128" i="69" s="1"/>
  <c r="AO132" i="69" s="1"/>
  <c r="AS122" i="69"/>
  <c r="R125" i="69"/>
  <c r="BH128" i="71"/>
  <c r="BN128" i="71"/>
  <c r="CC128" i="71"/>
  <c r="CX128" i="71"/>
  <c r="AQ125" i="69"/>
  <c r="Y126" i="69"/>
  <c r="AD126" i="69"/>
  <c r="AI126" i="69"/>
  <c r="H144" i="69"/>
  <c r="AG144" i="69"/>
  <c r="AG147" i="69" s="1"/>
  <c r="X148" i="71"/>
  <c r="P145" i="69"/>
  <c r="AV148" i="71"/>
  <c r="BH148" i="71"/>
  <c r="AK145" i="69"/>
  <c r="AK147" i="69" s="1"/>
  <c r="AS145" i="69"/>
  <c r="AS147" i="69" s="1"/>
  <c r="M160" i="69"/>
  <c r="M163" i="69" s="1"/>
  <c r="M182" i="69" s="1"/>
  <c r="AQ163" i="69"/>
  <c r="P163" i="69"/>
  <c r="P182" i="69" s="1"/>
  <c r="Q168" i="69"/>
  <c r="AH168" i="69"/>
  <c r="AR177" i="69"/>
  <c r="AF181" i="69"/>
  <c r="M193" i="69"/>
  <c r="M198" i="69" s="1"/>
  <c r="AA189" i="69"/>
  <c r="AE213" i="69"/>
  <c r="L274" i="69"/>
  <c r="L279" i="69" s="1"/>
  <c r="AN285" i="69"/>
  <c r="O287" i="69"/>
  <c r="AB287" i="69"/>
  <c r="E291" i="69"/>
  <c r="J290" i="69"/>
  <c r="AB290" i="69"/>
  <c r="AA297" i="69"/>
  <c r="N299" i="69"/>
  <c r="W299" i="69"/>
  <c r="AE299" i="69"/>
  <c r="R241" i="69"/>
  <c r="AB302" i="69"/>
  <c r="AB325" i="69" s="1"/>
  <c r="F307" i="69"/>
  <c r="J307" i="69"/>
  <c r="Z307" i="69"/>
  <c r="Q308" i="69"/>
  <c r="Q309" i="69"/>
  <c r="K312" i="69"/>
  <c r="AE312" i="69"/>
  <c r="AR320" i="69"/>
  <c r="AS322" i="69"/>
  <c r="AS324" i="69" s="1"/>
  <c r="T329" i="69"/>
  <c r="T331" i="69" s="1"/>
  <c r="Q243" i="69"/>
  <c r="AF19" i="71"/>
  <c r="BP28" i="71"/>
  <c r="DF32" i="71"/>
  <c r="EG32" i="71"/>
  <c r="CM46" i="71"/>
  <c r="DR46" i="71"/>
  <c r="I40" i="73"/>
  <c r="I45" i="73"/>
  <c r="H51" i="73"/>
  <c r="N51" i="73"/>
  <c r="N55" i="73" s="1"/>
  <c r="N58" i="73"/>
  <c r="F462" i="71"/>
  <c r="H462" i="71"/>
  <c r="I62" i="73"/>
  <c r="K63" i="73"/>
  <c r="D63" i="73" s="1"/>
  <c r="K68" i="73"/>
  <c r="I69" i="73"/>
  <c r="O69" i="73"/>
  <c r="M23" i="68"/>
  <c r="I26" i="68"/>
  <c r="K26" i="68"/>
  <c r="I36" i="68"/>
  <c r="N36" i="68"/>
  <c r="G41" i="68"/>
  <c r="G45" i="68" s="1"/>
  <c r="G52" i="68" s="1"/>
  <c r="G56" i="68" s="1"/>
  <c r="G60" i="68" s="1"/>
  <c r="P50" i="68"/>
  <c r="N55" i="68"/>
  <c r="F94" i="68"/>
  <c r="H94" i="68"/>
  <c r="F96" i="68"/>
  <c r="J96" i="68"/>
  <c r="M99" i="68"/>
  <c r="G102" i="68"/>
  <c r="J102" i="68"/>
  <c r="M102" i="68"/>
  <c r="N110" i="68"/>
  <c r="N115" i="68" s="1"/>
  <c r="I119" i="68"/>
  <c r="J120" i="68"/>
  <c r="L123" i="68"/>
  <c r="J124" i="68"/>
  <c r="C124" i="68" s="1"/>
  <c r="O124" i="68"/>
  <c r="O126" i="68" s="1"/>
  <c r="O130" i="68" s="1"/>
  <c r="H142" i="68"/>
  <c r="C142" i="68" s="1"/>
  <c r="F166" i="68"/>
  <c r="H178" i="68"/>
  <c r="H180" i="68" s="1"/>
  <c r="O283" i="68"/>
  <c r="L284" i="68"/>
  <c r="G285" i="68"/>
  <c r="J285" i="68"/>
  <c r="C291" i="68"/>
  <c r="E297" i="68"/>
  <c r="G297" i="68"/>
  <c r="I297" i="68"/>
  <c r="L297" i="68"/>
  <c r="O300" i="68"/>
  <c r="O323" i="68" s="1"/>
  <c r="M305" i="68"/>
  <c r="I307" i="68"/>
  <c r="M307" i="68"/>
  <c r="E315" i="68"/>
  <c r="E317" i="68" s="1"/>
  <c r="H315" i="68"/>
  <c r="H317" i="68" s="1"/>
  <c r="N315" i="68"/>
  <c r="N317" i="68" s="1"/>
  <c r="K316" i="68"/>
  <c r="K317" i="68" s="1"/>
  <c r="H320" i="68"/>
  <c r="N320" i="68"/>
  <c r="H327" i="68"/>
  <c r="H329" i="68" s="1"/>
  <c r="O328" i="68"/>
  <c r="O241" i="68" s="1"/>
  <c r="C241" i="68" s="1"/>
  <c r="K340" i="68"/>
  <c r="DQ55" i="71"/>
  <c r="EG28" i="71"/>
  <c r="EC60" i="71"/>
  <c r="Z116" i="71"/>
  <c r="AC116" i="71"/>
  <c r="AJ309" i="69"/>
  <c r="AL312" i="69"/>
  <c r="Y313" i="69"/>
  <c r="S320" i="69"/>
  <c r="Y329" i="69"/>
  <c r="Y331" i="69" s="1"/>
  <c r="Y345" i="69"/>
  <c r="M368" i="69"/>
  <c r="M371" i="69" s="1"/>
  <c r="C19" i="71"/>
  <c r="EF38" i="71"/>
  <c r="Z46" i="71"/>
  <c r="CB55" i="71"/>
  <c r="BG116" i="71"/>
  <c r="BU116" i="71"/>
  <c r="CB116" i="71"/>
  <c r="CJ116" i="71"/>
  <c r="CS116" i="71"/>
  <c r="CZ116" i="71"/>
  <c r="DU116" i="71"/>
  <c r="AL125" i="71"/>
  <c r="AZ128" i="71"/>
  <c r="BD128" i="71"/>
  <c r="BY128" i="71"/>
  <c r="CA128" i="71"/>
  <c r="CE128" i="71"/>
  <c r="DU128" i="71"/>
  <c r="DX128" i="71"/>
  <c r="BY129" i="71"/>
  <c r="CD129" i="71"/>
  <c r="CV129" i="71"/>
  <c r="DC129" i="71"/>
  <c r="DO129" i="71"/>
  <c r="DQ129" i="71"/>
  <c r="EA129" i="71"/>
  <c r="T309" i="69"/>
  <c r="AI312" i="69"/>
  <c r="AA320" i="69"/>
  <c r="L322" i="69"/>
  <c r="L324" i="69" s="1"/>
  <c r="U329" i="69"/>
  <c r="U331" i="69" s="1"/>
  <c r="AQ345" i="69"/>
  <c r="C356" i="69"/>
  <c r="DV38" i="71"/>
  <c r="BJ46" i="71"/>
  <c r="BV46" i="71"/>
  <c r="CS46" i="71"/>
  <c r="DC46" i="71"/>
  <c r="DT46" i="71"/>
  <c r="J55" i="71"/>
  <c r="AF55" i="71"/>
  <c r="AH55" i="71"/>
  <c r="CS55" i="71"/>
  <c r="J244" i="71"/>
  <c r="M244" i="71"/>
  <c r="O244" i="71"/>
  <c r="P244" i="71"/>
  <c r="Q244" i="71"/>
  <c r="X244" i="71"/>
  <c r="AH244" i="71"/>
  <c r="AN244" i="71"/>
  <c r="AO244" i="71"/>
  <c r="AQ244" i="71"/>
  <c r="AZ244" i="71"/>
  <c r="BD244" i="71"/>
  <c r="BK244" i="71"/>
  <c r="BO244" i="71"/>
  <c r="BQ244" i="71"/>
  <c r="BV244" i="71"/>
  <c r="BY244" i="71"/>
  <c r="CB244" i="71"/>
  <c r="CD244" i="71"/>
  <c r="CH244" i="71"/>
  <c r="CK244" i="71"/>
  <c r="CM244" i="71"/>
  <c r="CQ244" i="71"/>
  <c r="CU244" i="71"/>
  <c r="CW244" i="71"/>
  <c r="CY244" i="71"/>
  <c r="DC244" i="71"/>
  <c r="DF244" i="71"/>
  <c r="DL244" i="71"/>
  <c r="DN244" i="71"/>
  <c r="G245" i="71"/>
  <c r="J245" i="71"/>
  <c r="M245" i="71"/>
  <c r="N245" i="71"/>
  <c r="Q245" i="71"/>
  <c r="U245" i="71"/>
  <c r="AA245" i="71"/>
  <c r="AB245" i="71"/>
  <c r="AE245" i="71"/>
  <c r="AL245" i="71"/>
  <c r="AO245" i="71"/>
  <c r="AQ245" i="71"/>
  <c r="AX245" i="71"/>
  <c r="BD245" i="71"/>
  <c r="BI245" i="71"/>
  <c r="BL245" i="71"/>
  <c r="BS245" i="71"/>
  <c r="BV245" i="71"/>
  <c r="CB245" i="71"/>
  <c r="CC245" i="71"/>
  <c r="CD245" i="71"/>
  <c r="CH245" i="71"/>
  <c r="CJ245" i="71"/>
  <c r="CP245" i="71"/>
  <c r="CU245" i="71"/>
  <c r="DC245" i="71"/>
  <c r="DL245" i="71"/>
  <c r="DN245" i="71"/>
  <c r="DU245" i="71"/>
  <c r="I246" i="71"/>
  <c r="K246" i="71"/>
  <c r="M246" i="71"/>
  <c r="Q246" i="71"/>
  <c r="W246" i="71"/>
  <c r="AB246" i="71"/>
  <c r="AE246" i="71"/>
  <c r="AI246" i="71"/>
  <c r="AK246" i="71"/>
  <c r="AN246" i="71"/>
  <c r="AQ246" i="71"/>
  <c r="AS246" i="71"/>
  <c r="AT246" i="71"/>
  <c r="AW246" i="71"/>
  <c r="AY246" i="71"/>
  <c r="BE246" i="71"/>
  <c r="BJ246" i="71"/>
  <c r="BQ246" i="71"/>
  <c r="BR246" i="71"/>
  <c r="BS246" i="71"/>
  <c r="BV246" i="71"/>
  <c r="BX246" i="71"/>
  <c r="CA246" i="71"/>
  <c r="CG246" i="71"/>
  <c r="CM246" i="71"/>
  <c r="CP246" i="71"/>
  <c r="CT246" i="71"/>
  <c r="CY246" i="71"/>
  <c r="DB246" i="71"/>
  <c r="DF246" i="71"/>
  <c r="DH246" i="71"/>
  <c r="DK246" i="71"/>
  <c r="DO246" i="71"/>
  <c r="DS246" i="71"/>
  <c r="C250" i="71"/>
  <c r="L468" i="71"/>
  <c r="I477" i="71"/>
  <c r="C484" i="71"/>
  <c r="H504" i="71"/>
  <c r="O506" i="71"/>
  <c r="C615" i="71"/>
  <c r="C622" i="71"/>
  <c r="F16" i="69"/>
  <c r="AJ28" i="69"/>
  <c r="AJ31" i="69" s="1"/>
  <c r="E52" i="69"/>
  <c r="S52" i="69"/>
  <c r="S54" i="69" s="1"/>
  <c r="S58" i="69" s="1"/>
  <c r="S62" i="69" s="1"/>
  <c r="U76" i="69"/>
  <c r="E224" i="69"/>
  <c r="AJ285" i="69"/>
  <c r="P287" i="69"/>
  <c r="AG287" i="69"/>
  <c r="R290" i="69"/>
  <c r="R291" i="69" s="1"/>
  <c r="R296" i="69" s="1"/>
  <c r="AQ290" i="69"/>
  <c r="AQ291" i="69" s="1"/>
  <c r="AK297" i="69"/>
  <c r="Y299" i="69"/>
  <c r="U302" i="69"/>
  <c r="U325" i="69" s="1"/>
  <c r="AO302" i="69"/>
  <c r="AO325" i="69" s="1"/>
  <c r="AL307" i="69"/>
  <c r="DD289" i="71"/>
  <c r="L290" i="71"/>
  <c r="BT290" i="71"/>
  <c r="DD290" i="71"/>
  <c r="DS290" i="71"/>
  <c r="L312" i="71"/>
  <c r="BT312" i="71"/>
  <c r="DD312" i="71"/>
  <c r="DS312" i="71"/>
  <c r="H453" i="71"/>
  <c r="M471" i="71"/>
  <c r="CP373" i="71"/>
  <c r="K16" i="69"/>
  <c r="K20" i="69" s="1"/>
  <c r="K31" i="69" s="1"/>
  <c r="G25" i="69"/>
  <c r="G31" i="69" s="1"/>
  <c r="AB25" i="69"/>
  <c r="AB31" i="69" s="1"/>
  <c r="L34" i="69"/>
  <c r="CR41" i="71"/>
  <c r="G160" i="69"/>
  <c r="G163" i="69" s="1"/>
  <c r="G182" i="69" s="1"/>
  <c r="K160" i="69"/>
  <c r="K163" i="69" s="1"/>
  <c r="K182" i="69" s="1"/>
  <c r="T160" i="69"/>
  <c r="T163" i="69" s="1"/>
  <c r="X160" i="69"/>
  <c r="X163" i="69" s="1"/>
  <c r="AB160" i="69"/>
  <c r="AB163" i="69" s="1"/>
  <c r="AI160" i="69"/>
  <c r="AI163" i="69" s="1"/>
  <c r="AO160" i="69"/>
  <c r="AO163" i="69" s="1"/>
  <c r="AR160" i="69"/>
  <c r="AR163" i="69" s="1"/>
  <c r="AV160" i="69"/>
  <c r="AV163" i="69" s="1"/>
  <c r="AF177" i="69"/>
  <c r="CL180" i="71"/>
  <c r="AU180" i="69"/>
  <c r="AB181" i="69"/>
  <c r="AJ181" i="69"/>
  <c r="S308" i="69"/>
  <c r="AB308" i="69"/>
  <c r="AN308" i="69"/>
  <c r="AB345" i="69"/>
  <c r="AW34" i="69"/>
  <c r="H19" i="71"/>
  <c r="N19" i="71"/>
  <c r="AX19" i="71"/>
  <c r="CB19" i="71"/>
  <c r="CK19" i="71"/>
  <c r="CO19" i="71"/>
  <c r="CQ19" i="71"/>
  <c r="CS19" i="71"/>
  <c r="DL19" i="71"/>
  <c r="DR19" i="71"/>
  <c r="AL27" i="71"/>
  <c r="AS180" i="71"/>
  <c r="AU180" i="71"/>
  <c r="CT180" i="71"/>
  <c r="BV32" i="71"/>
  <c r="DQ32" i="71"/>
  <c r="DY32" i="71"/>
  <c r="Q46" i="71"/>
  <c r="U46" i="71"/>
  <c r="DB46" i="71"/>
  <c r="DD325" i="71"/>
  <c r="AS326" i="71"/>
  <c r="AS327" i="71"/>
  <c r="BZ327" i="71"/>
  <c r="L332" i="71"/>
  <c r="CR334" i="71"/>
  <c r="L337" i="71"/>
  <c r="M337" i="71"/>
  <c r="BT337" i="71"/>
  <c r="DD337" i="71"/>
  <c r="AS337" i="71"/>
  <c r="L345" i="71"/>
  <c r="M345" i="71"/>
  <c r="AL345" i="71"/>
  <c r="AV345" i="71"/>
  <c r="CP345" i="71"/>
  <c r="CR345" i="71"/>
  <c r="DD345" i="71"/>
  <c r="T348" i="71"/>
  <c r="X348" i="71"/>
  <c r="AC348" i="71"/>
  <c r="AE348" i="71"/>
  <c r="AM348" i="71"/>
  <c r="BT348" i="71"/>
  <c r="CP348" i="71"/>
  <c r="DC348" i="71"/>
  <c r="EC348" i="71"/>
  <c r="EE348" i="71"/>
  <c r="T373" i="71"/>
  <c r="X373" i="71"/>
  <c r="AM373" i="71"/>
  <c r="DI381" i="71"/>
  <c r="DR381" i="71"/>
  <c r="DT381" i="71"/>
  <c r="DV381" i="71"/>
  <c r="DX381" i="71"/>
  <c r="DZ381" i="71"/>
  <c r="EB381" i="71"/>
  <c r="EC381" i="71"/>
  <c r="EE381" i="71"/>
  <c r="F382" i="71"/>
  <c r="J382" i="71"/>
  <c r="L382" i="71"/>
  <c r="N382" i="71"/>
  <c r="Q382" i="71"/>
  <c r="R382" i="71"/>
  <c r="T382" i="71"/>
  <c r="V382" i="71"/>
  <c r="X382" i="71"/>
  <c r="Z382" i="71"/>
  <c r="AB382" i="71"/>
  <c r="AD382" i="71"/>
  <c r="AG382" i="71"/>
  <c r="AI382" i="71"/>
  <c r="AK382" i="71"/>
  <c r="AM382" i="71"/>
  <c r="AO382" i="71"/>
  <c r="AQ382" i="71"/>
  <c r="AS382" i="71"/>
  <c r="AT382" i="71"/>
  <c r="AV382" i="71"/>
  <c r="AW382" i="71"/>
  <c r="AY382" i="71"/>
  <c r="BA382" i="71"/>
  <c r="BE382" i="71"/>
  <c r="BH382" i="71"/>
  <c r="BJ382" i="71"/>
  <c r="BM382" i="71"/>
  <c r="BO382" i="71"/>
  <c r="BQ382" i="71"/>
  <c r="BS382" i="71"/>
  <c r="BV382" i="71"/>
  <c r="BX382" i="71"/>
  <c r="BZ382" i="71"/>
  <c r="CB382" i="71"/>
  <c r="CD382" i="71"/>
  <c r="CF382" i="71"/>
  <c r="CH382" i="71"/>
  <c r="CJ382" i="71"/>
  <c r="CL382" i="71"/>
  <c r="CN382" i="71"/>
  <c r="CP382" i="71"/>
  <c r="CR382" i="71"/>
  <c r="CT382" i="71"/>
  <c r="CU382" i="71"/>
  <c r="CX382" i="71"/>
  <c r="CZ382" i="71"/>
  <c r="DA382" i="71"/>
  <c r="DC382" i="71"/>
  <c r="DE382" i="71"/>
  <c r="DG382" i="71"/>
  <c r="DI382" i="71"/>
  <c r="DL382" i="71"/>
  <c r="DN382" i="71"/>
  <c r="DP382" i="71"/>
  <c r="DQ382" i="71"/>
  <c r="DS382" i="71"/>
  <c r="DU382" i="71"/>
  <c r="DW382" i="71"/>
  <c r="DY382" i="71"/>
  <c r="EA382" i="71"/>
  <c r="EC382" i="71"/>
  <c r="EE382" i="71"/>
  <c r="C605" i="71"/>
  <c r="AE16" i="69"/>
  <c r="AE20" i="69" s="1"/>
  <c r="AE31" i="69" s="1"/>
  <c r="AH25" i="69"/>
  <c r="AH31" i="69" s="1"/>
  <c r="AM28" i="69"/>
  <c r="AH29" i="69"/>
  <c r="AS29" i="69"/>
  <c r="AS31" i="69" s="1"/>
  <c r="AR38" i="69"/>
  <c r="BQ46" i="71"/>
  <c r="AQ76" i="69"/>
  <c r="AS160" i="69"/>
  <c r="AS163" i="69" s="1"/>
  <c r="R168" i="69"/>
  <c r="AO168" i="69"/>
  <c r="AQ213" i="69"/>
  <c r="X255" i="69"/>
  <c r="X262" i="69" s="1"/>
  <c r="X278" i="69" s="1"/>
  <c r="X280" i="69" s="1"/>
  <c r="E274" i="69"/>
  <c r="E279" i="69" s="1"/>
  <c r="Y241" i="69"/>
  <c r="Y242" i="69"/>
  <c r="AG242" i="69"/>
  <c r="Q55" i="71"/>
  <c r="O93" i="69"/>
  <c r="O103" i="69" s="1"/>
  <c r="AH95" i="69"/>
  <c r="AH101" i="69" s="1"/>
  <c r="AH103" i="69" s="1"/>
  <c r="AR95" i="69"/>
  <c r="AR101" i="69" s="1"/>
  <c r="AR103" i="69" s="1"/>
  <c r="F96" i="69"/>
  <c r="J96" i="69"/>
  <c r="P96" i="69"/>
  <c r="V96" i="69"/>
  <c r="V107" i="69" s="1"/>
  <c r="V214" i="69" s="1"/>
  <c r="AJ96" i="69"/>
  <c r="K98" i="69"/>
  <c r="N98" i="69"/>
  <c r="V98" i="69"/>
  <c r="AH98" i="69"/>
  <c r="E104" i="69"/>
  <c r="L104" i="69"/>
  <c r="S104" i="69"/>
  <c r="Y104" i="69"/>
  <c r="AF104" i="69"/>
  <c r="AO104" i="69"/>
  <c r="F112" i="69"/>
  <c r="J112" i="69"/>
  <c r="O112" i="69"/>
  <c r="O117" i="69" s="1"/>
  <c r="U112" i="69"/>
  <c r="AN112" i="69"/>
  <c r="AN117" i="69" s="1"/>
  <c r="H113" i="69"/>
  <c r="H117" i="69" s="1"/>
  <c r="AM116" i="71"/>
  <c r="S122" i="69"/>
  <c r="S128" i="69" s="1"/>
  <c r="S132" i="69" s="1"/>
  <c r="Y122" i="69"/>
  <c r="AD122" i="69"/>
  <c r="DA128" i="71"/>
  <c r="V126" i="69"/>
  <c r="BQ129" i="71"/>
  <c r="CX129" i="71"/>
  <c r="AP144" i="69"/>
  <c r="AP147" i="69" s="1"/>
  <c r="AJ148" i="71"/>
  <c r="CU148" i="71"/>
  <c r="DS148" i="71"/>
  <c r="H163" i="69"/>
  <c r="H182" i="69" s="1"/>
  <c r="AD163" i="69"/>
  <c r="AM160" i="69"/>
  <c r="AM163" i="69" s="1"/>
  <c r="AA181" i="69"/>
  <c r="U189" i="69"/>
  <c r="AK262" i="69"/>
  <c r="AK278" i="69" s="1"/>
  <c r="AK280" i="69" s="1"/>
  <c r="W279" i="69"/>
  <c r="AC317" i="69"/>
  <c r="Y274" i="69"/>
  <c r="Y279" i="69" s="1"/>
  <c r="S242" i="69"/>
  <c r="AA242" i="69"/>
  <c r="BP19" i="71"/>
  <c r="CN31" i="71"/>
  <c r="I42" i="73"/>
  <c r="F23" i="68"/>
  <c r="C23" i="68" s="1"/>
  <c r="H27" i="68"/>
  <c r="C27" i="68" s="1"/>
  <c r="M27" i="68"/>
  <c r="O36" i="68"/>
  <c r="P93" i="68"/>
  <c r="O96" i="68"/>
  <c r="I102" i="68"/>
  <c r="N102" i="68"/>
  <c r="H110" i="68"/>
  <c r="C110" i="68" s="1"/>
  <c r="P111" i="68"/>
  <c r="J175" i="68"/>
  <c r="J179" i="68"/>
  <c r="O179" i="68"/>
  <c r="L320" i="68"/>
  <c r="L322" i="68" s="1"/>
  <c r="L323" i="68" s="1"/>
  <c r="AC60" i="71"/>
  <c r="CP60" i="71"/>
  <c r="AR129" i="71"/>
  <c r="BD129" i="71"/>
  <c r="AT55" i="71"/>
  <c r="AI38" i="69"/>
  <c r="T16" i="69"/>
  <c r="T20" i="69" s="1"/>
  <c r="T31" i="69" s="1"/>
  <c r="AR16" i="69"/>
  <c r="AR20" i="69" s="1"/>
  <c r="DJ19" i="71"/>
  <c r="AS60" i="71"/>
  <c r="BT60" i="71"/>
  <c r="CR60" i="71"/>
  <c r="EE60" i="71"/>
  <c r="AH180" i="69"/>
  <c r="AO180" i="69"/>
  <c r="AW180" i="69"/>
  <c r="K186" i="69"/>
  <c r="S186" i="69"/>
  <c r="S189" i="69" s="1"/>
  <c r="H254" i="69"/>
  <c r="H255" i="69" s="1"/>
  <c r="H262" i="69" s="1"/>
  <c r="H278" i="69" s="1"/>
  <c r="H280" i="69" s="1"/>
  <c r="AP345" i="69"/>
  <c r="AP19" i="71"/>
  <c r="AR19" i="71"/>
  <c r="CM19" i="71"/>
  <c r="CZ19" i="71"/>
  <c r="DH19" i="71"/>
  <c r="DT19" i="71"/>
  <c r="BD180" i="71"/>
  <c r="CJ180" i="71"/>
  <c r="DR180" i="71"/>
  <c r="DZ180" i="71"/>
  <c r="C32" i="71"/>
  <c r="BD32" i="71"/>
  <c r="BQ32" i="71"/>
  <c r="DO32" i="71"/>
  <c r="DU32" i="71"/>
  <c r="AC41" i="71"/>
  <c r="AS41" i="71"/>
  <c r="DC41" i="71"/>
  <c r="EE41" i="71"/>
  <c r="BT373" i="71"/>
  <c r="CR373" i="71"/>
  <c r="DC373" i="71"/>
  <c r="EC373" i="71"/>
  <c r="EE373" i="71"/>
  <c r="AS373" i="71"/>
  <c r="C55" i="71"/>
  <c r="W28" i="69"/>
  <c r="AF38" i="69"/>
  <c r="V43" i="69"/>
  <c r="V47" i="69" s="1"/>
  <c r="V54" i="69" s="1"/>
  <c r="V58" i="69" s="1"/>
  <c r="V62" i="69" s="1"/>
  <c r="M197" i="69"/>
  <c r="Y291" i="69"/>
  <c r="AN313" i="69"/>
  <c r="AL345" i="69"/>
  <c r="BU46" i="71"/>
  <c r="BX46" i="71"/>
  <c r="W55" i="71"/>
  <c r="AX55" i="71"/>
  <c r="AS348" i="71"/>
  <c r="CR348" i="71"/>
  <c r="AB43" i="69"/>
  <c r="AB47" i="69" s="1"/>
  <c r="V324" i="69"/>
  <c r="V325" i="69" s="1"/>
  <c r="F368" i="69"/>
  <c r="AM16" i="69"/>
  <c r="AM20" i="69" s="1"/>
  <c r="AE52" i="69"/>
  <c r="AE54" i="69" s="1"/>
  <c r="AE58" i="69" s="1"/>
  <c r="AE62" i="69" s="1"/>
  <c r="C127" i="69"/>
  <c r="Z107" i="69"/>
  <c r="Z214" i="69" s="1"/>
  <c r="AJ291" i="69"/>
  <c r="AJ296" i="69" s="1"/>
  <c r="H98" i="69"/>
  <c r="O18" i="68"/>
  <c r="O29" i="68" s="1"/>
  <c r="O33" i="68" s="1"/>
  <c r="O332" i="68" s="1"/>
  <c r="O335" i="68" s="1"/>
  <c r="J117" i="69"/>
  <c r="J128" i="69"/>
  <c r="J132" i="69" s="1"/>
  <c r="F101" i="69"/>
  <c r="AL247" i="69"/>
  <c r="D69" i="73"/>
  <c r="U107" i="69"/>
  <c r="U214" i="69" s="1"/>
  <c r="M331" i="69"/>
  <c r="L301" i="69"/>
  <c r="L318" i="69" s="1"/>
  <c r="J274" i="69"/>
  <c r="J279" i="69" s="1"/>
  <c r="N117" i="69"/>
  <c r="N128" i="69" s="1"/>
  <c r="N132" i="69" s="1"/>
  <c r="AS54" i="69"/>
  <c r="AS58" i="69" s="1"/>
  <c r="AS62" i="69" s="1"/>
  <c r="J317" i="68"/>
  <c r="H18" i="68"/>
  <c r="H29" i="68" s="1"/>
  <c r="H33" i="68" s="1"/>
  <c r="H332" i="68" s="1"/>
  <c r="AE101" i="69"/>
  <c r="AG325" i="69"/>
  <c r="AN331" i="69"/>
  <c r="W241" i="69"/>
  <c r="AN301" i="69"/>
  <c r="AN318" i="69" s="1"/>
  <c r="AM274" i="69"/>
  <c r="AM279" i="69" s="1"/>
  <c r="AJ107" i="69"/>
  <c r="AJ214" i="69" s="1"/>
  <c r="T199" i="69"/>
  <c r="T196" i="69"/>
  <c r="S147" i="69"/>
  <c r="AK331" i="69"/>
  <c r="AO291" i="69"/>
  <c r="AO296" i="69" s="1"/>
  <c r="AB117" i="69"/>
  <c r="AV101" i="69"/>
  <c r="L101" i="69"/>
  <c r="AM291" i="69"/>
  <c r="O291" i="69"/>
  <c r="O296" i="69" s="1"/>
  <c r="T193" i="69"/>
  <c r="P324" i="69"/>
  <c r="P325" i="69" s="1"/>
  <c r="G301" i="69"/>
  <c r="G318" i="69" s="1"/>
  <c r="G319" i="69" s="1"/>
  <c r="G247" i="69"/>
  <c r="X291" i="69"/>
  <c r="AR98" i="69"/>
  <c r="F272" i="68"/>
  <c r="F277" i="68" s="1"/>
  <c r="AL117" i="69"/>
  <c r="Q241" i="69"/>
  <c r="AL301" i="69"/>
  <c r="AL318" i="69" s="1"/>
  <c r="C50" i="68"/>
  <c r="K247" i="69"/>
  <c r="C111" i="69"/>
  <c r="K240" i="68"/>
  <c r="C240" i="68" s="1"/>
  <c r="C131" i="69"/>
  <c r="AB147" i="69"/>
  <c r="G147" i="69"/>
  <c r="AU128" i="69"/>
  <c r="AU132" i="69" s="1"/>
  <c r="S31" i="69"/>
  <c r="M322" i="68"/>
  <c r="M323" i="68"/>
  <c r="AW107" i="69"/>
  <c r="AW214" i="69" s="1"/>
  <c r="G70" i="73"/>
  <c r="G71" i="73" s="1"/>
  <c r="D59" i="73"/>
  <c r="O272" i="68"/>
  <c r="O277" i="68" s="1"/>
  <c r="C83" i="68"/>
  <c r="L52" i="68"/>
  <c r="L56" i="68" s="1"/>
  <c r="L60" i="68" s="1"/>
  <c r="AI107" i="69"/>
  <c r="AI214" i="69" s="1"/>
  <c r="K107" i="69"/>
  <c r="K214" i="69" s="1"/>
  <c r="H107" i="69"/>
  <c r="H214" i="69" s="1"/>
  <c r="AA47" i="69"/>
  <c r="AA54" i="69" s="1"/>
  <c r="AA58" i="69" s="1"/>
  <c r="AA62" i="69" s="1"/>
  <c r="K45" i="68"/>
  <c r="K52" i="68"/>
  <c r="K56" i="68" s="1"/>
  <c r="K60" i="68" s="1"/>
  <c r="AT107" i="69"/>
  <c r="AT214" i="69" s="1"/>
  <c r="J107" i="69"/>
  <c r="J214" i="69" s="1"/>
  <c r="F239" i="68"/>
  <c r="C239" i="68" s="1"/>
  <c r="C26" i="68"/>
  <c r="L117" i="69"/>
  <c r="AK93" i="69"/>
  <c r="Y93" i="69"/>
  <c r="Y103" i="69" s="1"/>
  <c r="M93" i="69"/>
  <c r="AF107" i="69"/>
  <c r="AF214" i="69" s="1"/>
  <c r="T107" i="69"/>
  <c r="T214" i="69" s="1"/>
  <c r="L115" i="68"/>
  <c r="AE147" i="69"/>
  <c r="Q98" i="69"/>
  <c r="E98" i="69"/>
  <c r="N329" i="68"/>
  <c r="I272" i="68"/>
  <c r="I277" i="68" s="1"/>
  <c r="AR117" i="69"/>
  <c r="T117" i="69"/>
  <c r="G98" i="69"/>
  <c r="C141" i="68"/>
  <c r="C14" i="68"/>
  <c r="AQ117" i="69"/>
  <c r="AQ128" i="69"/>
  <c r="AQ132" i="69"/>
  <c r="AE117" i="69"/>
  <c r="AE128" i="69" s="1"/>
  <c r="AE132" i="69" s="1"/>
  <c r="AK107" i="69"/>
  <c r="AK214" i="69" s="1"/>
  <c r="AF93" i="69"/>
  <c r="AF103" i="69" s="1"/>
  <c r="T93" i="69"/>
  <c r="T103" i="69" s="1"/>
  <c r="S301" i="69"/>
  <c r="S318" i="69" s="1"/>
  <c r="M301" i="69"/>
  <c r="M318" i="69" s="1"/>
  <c r="AK117" i="69"/>
  <c r="E101" i="69"/>
  <c r="H115" i="68"/>
  <c r="M45" i="68"/>
  <c r="M52" i="68" s="1"/>
  <c r="M56" i="68" s="1"/>
  <c r="M60" i="68" s="1"/>
  <c r="D58" i="73"/>
  <c r="F55" i="73"/>
  <c r="F65" i="73"/>
  <c r="K331" i="69"/>
  <c r="AP301" i="69"/>
  <c r="AP318" i="69" s="1"/>
  <c r="AP247" i="69"/>
  <c r="F247" i="69"/>
  <c r="F301" i="69"/>
  <c r="F318" i="69" s="1"/>
  <c r="T247" i="69"/>
  <c r="AI193" i="69"/>
  <c r="AI197" i="69"/>
  <c r="AI196" i="69"/>
  <c r="AI199" i="69"/>
  <c r="AM331" i="69"/>
  <c r="O331" i="69"/>
  <c r="AI325" i="69"/>
  <c r="W325" i="69"/>
  <c r="K325" i="69"/>
  <c r="O346" i="68"/>
  <c r="AE325" i="69"/>
  <c r="AR247" i="69"/>
  <c r="AF247" i="69"/>
  <c r="AF301" i="69"/>
  <c r="AF318" i="69" s="1"/>
  <c r="AF319" i="69" s="1"/>
  <c r="AC295" i="69"/>
  <c r="AC240" i="69"/>
  <c r="AC244" i="69" s="1"/>
  <c r="O325" i="69"/>
  <c r="Y325" i="69"/>
  <c r="M325" i="69"/>
  <c r="AJ324" i="69"/>
  <c r="AJ325" i="69" s="1"/>
  <c r="X324" i="69"/>
  <c r="S247" i="69"/>
  <c r="H296" i="69"/>
  <c r="Y128" i="69"/>
  <c r="J247" i="69"/>
  <c r="Q101" i="69"/>
  <c r="C91" i="68"/>
  <c r="E55" i="73"/>
  <c r="E65" i="73" s="1"/>
  <c r="D68" i="73"/>
  <c r="F70" i="73"/>
  <c r="F71" i="73" s="1"/>
  <c r="AQ331" i="69"/>
  <c r="AM324" i="69"/>
  <c r="AM325" i="69" s="1"/>
  <c r="AR301" i="69"/>
  <c r="AR318" i="69" s="1"/>
  <c r="AC331" i="69"/>
  <c r="L247" i="69"/>
  <c r="U147" i="69"/>
  <c r="M196" i="69"/>
  <c r="M199" i="69"/>
  <c r="F147" i="69"/>
  <c r="AS247" i="69"/>
  <c r="U247" i="69"/>
  <c r="M247" i="69"/>
  <c r="N196" i="69"/>
  <c r="N193" i="69"/>
  <c r="N199" i="69"/>
  <c r="N197" i="69"/>
  <c r="O322" i="68"/>
  <c r="AI301" i="69"/>
  <c r="AI318" i="69" s="1"/>
  <c r="K301" i="69"/>
  <c r="K318" i="69" s="1"/>
  <c r="AN247" i="69"/>
  <c r="C171" i="69"/>
  <c r="O329" i="68"/>
  <c r="C211" i="68"/>
  <c r="E310" i="68"/>
  <c r="V101" i="69"/>
  <c r="V103" i="69" s="1"/>
  <c r="J101" i="69"/>
  <c r="J103" i="69" s="1"/>
  <c r="E126" i="68"/>
  <c r="C118" i="68"/>
  <c r="AS101" i="69"/>
  <c r="AS98" i="69"/>
  <c r="U98" i="69"/>
  <c r="C90" i="69"/>
  <c r="AU93" i="69"/>
  <c r="W147" i="69"/>
  <c r="K147" i="69"/>
  <c r="AC107" i="69"/>
  <c r="AC214" i="69" s="1"/>
  <c r="E286" i="68"/>
  <c r="F282" i="68" s="1"/>
  <c r="E289" i="68"/>
  <c r="Y132" i="69"/>
  <c r="C55" i="68"/>
  <c r="J145" i="68"/>
  <c r="F18" i="68"/>
  <c r="F29" i="68" s="1"/>
  <c r="F33" i="68" s="1"/>
  <c r="F332" i="68" s="1"/>
  <c r="C80" i="68"/>
  <c r="C41" i="68"/>
  <c r="E18" i="68"/>
  <c r="C13" i="68"/>
  <c r="P52" i="68"/>
  <c r="P56" i="68" s="1"/>
  <c r="P60" i="68" s="1"/>
  <c r="I52" i="68"/>
  <c r="I56" i="68" s="1"/>
  <c r="I60" i="68" s="1"/>
  <c r="C36" i="68"/>
  <c r="L329" i="68"/>
  <c r="V331" i="69"/>
  <c r="AS301" i="69"/>
  <c r="AS318" i="69" s="1"/>
  <c r="U301" i="69"/>
  <c r="U318" i="69" s="1"/>
  <c r="I224" i="68"/>
  <c r="N45" i="68"/>
  <c r="N52" i="68" s="1"/>
  <c r="N56" i="68" s="1"/>
  <c r="N60" i="68" s="1"/>
  <c r="U274" i="69"/>
  <c r="U279" i="69" s="1"/>
  <c r="I147" i="69"/>
  <c r="AQ107" i="69"/>
  <c r="AQ214" i="69" s="1"/>
  <c r="S107" i="69"/>
  <c r="S214" i="69" s="1"/>
  <c r="Q107" i="69"/>
  <c r="Q214" i="69" s="1"/>
  <c r="E107" i="69"/>
  <c r="AP98" i="69"/>
  <c r="AD98" i="69"/>
  <c r="AJ93" i="69"/>
  <c r="AJ103" i="69" s="1"/>
  <c r="K299" i="68"/>
  <c r="AD107" i="69"/>
  <c r="AD214" i="69" s="1"/>
  <c r="F107" i="69"/>
  <c r="F214" i="69" s="1"/>
  <c r="P101" i="69"/>
  <c r="AL93" i="69"/>
  <c r="N93" i="69"/>
  <c r="N103" i="69" s="1"/>
  <c r="AL324" i="69"/>
  <c r="AL325" i="69"/>
  <c r="X147" i="69"/>
  <c r="AS117" i="69"/>
  <c r="AS128" i="69" s="1"/>
  <c r="AS132" i="69" s="1"/>
  <c r="AG117" i="69"/>
  <c r="AG128" i="69" s="1"/>
  <c r="AG132" i="69" s="1"/>
  <c r="L98" i="69"/>
  <c r="AB98" i="69"/>
  <c r="P98" i="69"/>
  <c r="F323" i="68"/>
  <c r="P115" i="68"/>
  <c r="AS93" i="69"/>
  <c r="AS103" i="69" s="1"/>
  <c r="T301" i="69"/>
  <c r="T318" i="69" s="1"/>
  <c r="T319" i="69" s="1"/>
  <c r="AT47" i="69"/>
  <c r="AT54" i="69" s="1"/>
  <c r="AT58" i="69" s="1"/>
  <c r="AT62" i="69" s="1"/>
  <c r="AF147" i="69"/>
  <c r="AQ93" i="69"/>
  <c r="AQ103" i="69" s="1"/>
  <c r="AE93" i="69"/>
  <c r="AE103" i="69" s="1"/>
  <c r="S93" i="69"/>
  <c r="S103" i="69" s="1"/>
  <c r="P145" i="68"/>
  <c r="H45" i="68"/>
  <c r="H52" i="68" s="1"/>
  <c r="H56" i="68" s="1"/>
  <c r="H60" i="68" s="1"/>
  <c r="AF20" i="69"/>
  <c r="AF31" i="69" s="1"/>
  <c r="G101" i="69"/>
  <c r="AI98" i="69"/>
  <c r="W98" i="69"/>
  <c r="AS107" i="69"/>
  <c r="AS214" i="69" s="1"/>
  <c r="P117" i="69"/>
  <c r="AF98" i="69"/>
  <c r="C216" i="68"/>
  <c r="AD101" i="69"/>
  <c r="AI247" i="69"/>
  <c r="F255" i="69"/>
  <c r="F262" i="69" s="1"/>
  <c r="F278" i="69" s="1"/>
  <c r="F280" i="69" s="1"/>
  <c r="J322" i="68"/>
  <c r="J323" i="68"/>
  <c r="P147" i="69"/>
  <c r="C146" i="69"/>
  <c r="AA128" i="69"/>
  <c r="AA132" i="69" s="1"/>
  <c r="AC101" i="69"/>
  <c r="AC103" i="69" s="1"/>
  <c r="H145" i="68"/>
  <c r="D50" i="73"/>
  <c r="CO99" i="71"/>
  <c r="CY99" i="71"/>
  <c r="DE99" i="71"/>
  <c r="DV99" i="71"/>
  <c r="DY99" i="71"/>
  <c r="CK104" i="71"/>
  <c r="CY104" i="71"/>
  <c r="DQ104" i="71"/>
  <c r="DT104" i="71"/>
  <c r="DY104" i="71"/>
  <c r="Q163" i="71"/>
  <c r="J163" i="71"/>
  <c r="Y166" i="71"/>
  <c r="AA166" i="71"/>
  <c r="BF166" i="71"/>
  <c r="BH166" i="71"/>
  <c r="BR166" i="71"/>
  <c r="BT166" i="71"/>
  <c r="DA166" i="71"/>
  <c r="DP166" i="71"/>
  <c r="DR166" i="71"/>
  <c r="DX166" i="71"/>
  <c r="EF166" i="71"/>
  <c r="CY181" i="71"/>
  <c r="DI181" i="71"/>
  <c r="DK181" i="71"/>
  <c r="DS181" i="71"/>
  <c r="DU181" i="71"/>
  <c r="DW181" i="71"/>
  <c r="EE181" i="71"/>
  <c r="DL184" i="71"/>
  <c r="AR185" i="71"/>
  <c r="AT185" i="71"/>
  <c r="CM166" i="71"/>
  <c r="CO166" i="71"/>
  <c r="DF185" i="71"/>
  <c r="DM185" i="71"/>
  <c r="U192" i="71"/>
  <c r="AB192" i="71"/>
  <c r="AQ192" i="71"/>
  <c r="AW192" i="71"/>
  <c r="AY189" i="71"/>
  <c r="BT257" i="71"/>
  <c r="DD38" i="71"/>
  <c r="DD311" i="71"/>
  <c r="DD322" i="71"/>
  <c r="DD326" i="71"/>
  <c r="AS258" i="71"/>
  <c r="AS323" i="71"/>
  <c r="S325" i="69"/>
  <c r="L257" i="71"/>
  <c r="L281" i="71"/>
  <c r="L333" i="71"/>
  <c r="AJ34" i="69"/>
  <c r="AB370" i="69"/>
  <c r="AB371" i="69" s="1"/>
  <c r="O19" i="71"/>
  <c r="U19" i="71"/>
  <c r="AV19" i="71"/>
  <c r="CG166" i="71"/>
  <c r="DE19" i="71"/>
  <c r="AL171" i="71"/>
  <c r="CJ171" i="71"/>
  <c r="DN28" i="71"/>
  <c r="BM180" i="71"/>
  <c r="BQ31" i="71"/>
  <c r="BU31" i="71"/>
  <c r="DB32" i="71"/>
  <c r="S181" i="69"/>
  <c r="AX28" i="71"/>
  <c r="AN180" i="71"/>
  <c r="CN32" i="71"/>
  <c r="Z93" i="69"/>
  <c r="Z103" i="69" s="1"/>
  <c r="AK95" i="69"/>
  <c r="AO95" i="69"/>
  <c r="R96" i="69"/>
  <c r="AJ101" i="69"/>
  <c r="AL96" i="69"/>
  <c r="J104" i="69"/>
  <c r="Q104" i="69"/>
  <c r="W104" i="69"/>
  <c r="AC104" i="69"/>
  <c r="AK104" i="69"/>
  <c r="V112" i="69"/>
  <c r="V117" i="69" s="1"/>
  <c r="V128" i="69" s="1"/>
  <c r="V132" i="69" s="1"/>
  <c r="I113" i="69"/>
  <c r="U113" i="69"/>
  <c r="U117" i="69" s="1"/>
  <c r="U128" i="69" s="1"/>
  <c r="U132" i="69" s="1"/>
  <c r="AM113" i="69"/>
  <c r="H122" i="69"/>
  <c r="AL122" i="69"/>
  <c r="AL128" i="69" s="1"/>
  <c r="AL132" i="69" s="1"/>
  <c r="AH125" i="69"/>
  <c r="AH128" i="69" s="1"/>
  <c r="AH132" i="69" s="1"/>
  <c r="W126" i="69"/>
  <c r="C126" i="69" s="1"/>
  <c r="AF126" i="69"/>
  <c r="AV126" i="69"/>
  <c r="AV128" i="69" s="1"/>
  <c r="AV132" i="69" s="1"/>
  <c r="L144" i="69"/>
  <c r="L147" i="69" s="1"/>
  <c r="AC145" i="69"/>
  <c r="AC147" i="69" s="1"/>
  <c r="AO145" i="69"/>
  <c r="AO147" i="69" s="1"/>
  <c r="K368" i="69"/>
  <c r="K371" i="69" s="1"/>
  <c r="AG160" i="69"/>
  <c r="AG163" i="69" s="1"/>
  <c r="AN180" i="69"/>
  <c r="AP181" i="69"/>
  <c r="AF255" i="69"/>
  <c r="AF262" i="69" s="1"/>
  <c r="AF278" i="69" s="1"/>
  <c r="AF280" i="69" s="1"/>
  <c r="Y370" i="69"/>
  <c r="Y371" i="69" s="1"/>
  <c r="CN180" i="71"/>
  <c r="E94" i="68"/>
  <c r="J94" i="68"/>
  <c r="H96" i="68"/>
  <c r="C96" i="68" s="1"/>
  <c r="M96" i="68"/>
  <c r="K99" i="68"/>
  <c r="L102" i="68"/>
  <c r="K110" i="68"/>
  <c r="K115" i="68" s="1"/>
  <c r="K126" i="68" s="1"/>
  <c r="K130" i="68" s="1"/>
  <c r="J111" i="68"/>
  <c r="H120" i="68"/>
  <c r="N120" i="68"/>
  <c r="N126" i="68" s="1"/>
  <c r="N130" i="68" s="1"/>
  <c r="M123" i="68"/>
  <c r="M126" i="68" s="1"/>
  <c r="M130" i="68" s="1"/>
  <c r="DN116" i="71"/>
  <c r="AD104" i="69"/>
  <c r="AJ104" i="69"/>
  <c r="AR104" i="69"/>
  <c r="M112" i="69"/>
  <c r="M117" i="69" s="1"/>
  <c r="M128" i="69" s="1"/>
  <c r="M132" i="69" s="1"/>
  <c r="R112" i="69"/>
  <c r="R117" i="69" s="1"/>
  <c r="W112" i="69"/>
  <c r="W117" i="69" s="1"/>
  <c r="AF112" i="69"/>
  <c r="AF117" i="69" s="1"/>
  <c r="AM112" i="69"/>
  <c r="AM117" i="69" s="1"/>
  <c r="AM128" i="69" s="1"/>
  <c r="AM132" i="69" s="1"/>
  <c r="AC113" i="69"/>
  <c r="AC117" i="69" s="1"/>
  <c r="AC128" i="69" s="1"/>
  <c r="AC132" i="69" s="1"/>
  <c r="R121" i="69"/>
  <c r="P122" i="69"/>
  <c r="P128" i="69" s="1"/>
  <c r="P132" i="69" s="1"/>
  <c r="AB122" i="69"/>
  <c r="AB128" i="69" s="1"/>
  <c r="AB132" i="69" s="1"/>
  <c r="W125" i="69"/>
  <c r="W128" i="69" s="1"/>
  <c r="W132" i="69" s="1"/>
  <c r="AW125" i="69"/>
  <c r="AW128" i="69" s="1"/>
  <c r="AW132" i="69" s="1"/>
  <c r="AP126" i="69"/>
  <c r="AP128" i="69" s="1"/>
  <c r="AP132" i="69" s="1"/>
  <c r="CZ183" i="71"/>
  <c r="L62" i="73"/>
  <c r="L65" i="73" s="1"/>
  <c r="L70" i="73" s="1"/>
  <c r="L71" i="73" s="1"/>
  <c r="K94" i="68"/>
  <c r="N96" i="68"/>
  <c r="I99" i="68"/>
  <c r="C99" i="68" s="1"/>
  <c r="N99" i="68"/>
  <c r="E102" i="68"/>
  <c r="H102" i="68"/>
  <c r="K102" i="68"/>
  <c r="I110" i="68"/>
  <c r="I115" i="68" s="1"/>
  <c r="I166" i="68"/>
  <c r="AE60" i="71"/>
  <c r="M116" i="71"/>
  <c r="AL116" i="71"/>
  <c r="DJ246" i="71"/>
  <c r="CG99" i="71"/>
  <c r="CK99" i="71"/>
  <c r="CN99" i="71"/>
  <c r="CW99" i="71"/>
  <c r="DG99" i="71"/>
  <c r="DN99" i="71"/>
  <c r="DP99" i="71"/>
  <c r="DZ99" i="71"/>
  <c r="ED99" i="71"/>
  <c r="CQ104" i="71"/>
  <c r="CU104" i="71"/>
  <c r="DZ104" i="71"/>
  <c r="ED104" i="71"/>
  <c r="AZ166" i="71"/>
  <c r="CW166" i="71"/>
  <c r="DE166" i="71"/>
  <c r="DC178" i="71"/>
  <c r="DE178" i="71"/>
  <c r="DH178" i="71"/>
  <c r="DK178" i="71"/>
  <c r="DM178" i="71"/>
  <c r="DN181" i="71"/>
  <c r="DR178" i="71"/>
  <c r="DZ181" i="71"/>
  <c r="ED178" i="71"/>
  <c r="DW183" i="71"/>
  <c r="DZ184" i="71"/>
  <c r="J185" i="71"/>
  <c r="AF185" i="71"/>
  <c r="AX166" i="71"/>
  <c r="DM166" i="71"/>
  <c r="AQ189" i="71"/>
  <c r="AD322" i="69"/>
  <c r="V242" i="69"/>
  <c r="CR283" i="71"/>
  <c r="L38" i="71"/>
  <c r="L328" i="71"/>
  <c r="S330" i="69"/>
  <c r="S34" i="69"/>
  <c r="DZ19" i="71"/>
  <c r="CL171" i="71"/>
  <c r="BQ180" i="71"/>
  <c r="BU180" i="71"/>
  <c r="CF31" i="71"/>
  <c r="DN184" i="71"/>
  <c r="DS32" i="71"/>
  <c r="AE37" i="71"/>
  <c r="CP37" i="71"/>
  <c r="M38" i="71"/>
  <c r="AR291" i="69"/>
  <c r="AG371" i="69"/>
  <c r="W28" i="71"/>
  <c r="AN95" i="69"/>
  <c r="AT95" i="69"/>
  <c r="X96" i="69"/>
  <c r="X101" i="69" s="1"/>
  <c r="AM96" i="69"/>
  <c r="AM107" i="69" s="1"/>
  <c r="AM214" i="69" s="1"/>
  <c r="V104" i="69"/>
  <c r="AT122" i="69"/>
  <c r="AT128" i="69" s="1"/>
  <c r="AT132" i="69" s="1"/>
  <c r="T125" i="69"/>
  <c r="AD125" i="69"/>
  <c r="AD128" i="69" s="1"/>
  <c r="AD132" i="69" s="1"/>
  <c r="AN125" i="69"/>
  <c r="AN128" i="69" s="1"/>
  <c r="AN132" i="69" s="1"/>
  <c r="I94" i="68"/>
  <c r="L120" i="68"/>
  <c r="L126" i="68" s="1"/>
  <c r="L130" i="68" s="1"/>
  <c r="J123" i="68"/>
  <c r="C123" i="68" s="1"/>
  <c r="DC60" i="71"/>
  <c r="AZ116" i="71"/>
  <c r="C148" i="71"/>
  <c r="H368" i="69"/>
  <c r="H371" i="69" s="1"/>
  <c r="AB218" i="69" l="1"/>
  <c r="AB215" i="69"/>
  <c r="AB225" i="69"/>
  <c r="AB226" i="69" s="1"/>
  <c r="AV345" i="69"/>
  <c r="AV370" i="69"/>
  <c r="AV371" i="69" s="1"/>
  <c r="AH224" i="69"/>
  <c r="AH226" i="69" s="1"/>
  <c r="AH76" i="69"/>
  <c r="C93" i="69"/>
  <c r="F103" i="69"/>
  <c r="AL197" i="69"/>
  <c r="AL193" i="69"/>
  <c r="AL196" i="69"/>
  <c r="AL199" i="69"/>
  <c r="E262" i="69"/>
  <c r="C255" i="69"/>
  <c r="AN218" i="69"/>
  <c r="AN215" i="69"/>
  <c r="AN225" i="69"/>
  <c r="AN226" i="69" s="1"/>
  <c r="O218" i="69"/>
  <c r="O225" i="69"/>
  <c r="O226" i="69" s="1"/>
  <c r="O215" i="69"/>
  <c r="E128" i="69"/>
  <c r="C117" i="69"/>
  <c r="J196" i="69"/>
  <c r="J197" i="69"/>
  <c r="J199" i="69"/>
  <c r="C189" i="69"/>
  <c r="J193" i="69"/>
  <c r="P370" i="69"/>
  <c r="P371" i="69" s="1"/>
  <c r="P345" i="69"/>
  <c r="M293" i="68"/>
  <c r="M278" i="68"/>
  <c r="M238" i="68"/>
  <c r="M242" i="68" s="1"/>
  <c r="AB54" i="69"/>
  <c r="AB58" i="69" s="1"/>
  <c r="AB62" i="69" s="1"/>
  <c r="C51" i="69"/>
  <c r="Y76" i="69"/>
  <c r="C76" i="69" s="1"/>
  <c r="Y224" i="69"/>
  <c r="W197" i="69"/>
  <c r="W193" i="69"/>
  <c r="W196" i="69"/>
  <c r="W199" i="69"/>
  <c r="Y197" i="69"/>
  <c r="Y193" i="69"/>
  <c r="Y199" i="69"/>
  <c r="Y196" i="69"/>
  <c r="AD196" i="69"/>
  <c r="AD197" i="69"/>
  <c r="AD193" i="69"/>
  <c r="AD199" i="69"/>
  <c r="AF197" i="69"/>
  <c r="AF199" i="69"/>
  <c r="AF196" i="69"/>
  <c r="AF193" i="69"/>
  <c r="AO199" i="69"/>
  <c r="AO193" i="69"/>
  <c r="AO197" i="69"/>
  <c r="AO196" i="69"/>
  <c r="AS197" i="69"/>
  <c r="AS199" i="69"/>
  <c r="AS196" i="69"/>
  <c r="AS193" i="69"/>
  <c r="P218" i="69"/>
  <c r="P225" i="69"/>
  <c r="P226" i="69" s="1"/>
  <c r="P215" i="69"/>
  <c r="K295" i="69"/>
  <c r="K296" i="69" s="1"/>
  <c r="K240" i="69"/>
  <c r="K244" i="69" s="1"/>
  <c r="K280" i="69"/>
  <c r="K317" i="69"/>
  <c r="K319" i="69" s="1"/>
  <c r="AD317" i="69"/>
  <c r="AD319" i="69" s="1"/>
  <c r="AD240" i="69"/>
  <c r="AD244" i="69" s="1"/>
  <c r="AD280" i="69"/>
  <c r="AD295" i="69"/>
  <c r="AD296" i="69" s="1"/>
  <c r="AI295" i="69"/>
  <c r="AI296" i="69" s="1"/>
  <c r="AI280" i="69"/>
  <c r="AI317" i="69"/>
  <c r="AI319" i="69" s="1"/>
  <c r="AI240" i="69"/>
  <c r="AI244" i="69" s="1"/>
  <c r="AP280" i="69"/>
  <c r="AP317" i="69"/>
  <c r="AP319" i="69" s="1"/>
  <c r="AP240" i="69"/>
  <c r="AP244" i="69" s="1"/>
  <c r="AP295" i="69"/>
  <c r="AP296" i="69" s="1"/>
  <c r="AK240" i="69"/>
  <c r="AK244" i="69" s="1"/>
  <c r="AK295" i="69"/>
  <c r="AK296" i="69" s="1"/>
  <c r="AK317" i="69"/>
  <c r="AK319" i="69" s="1"/>
  <c r="AG336" i="69"/>
  <c r="AG360" i="69"/>
  <c r="AG347" i="69"/>
  <c r="R242" i="69"/>
  <c r="R244" i="69" s="1"/>
  <c r="R324" i="69"/>
  <c r="R325" i="69" s="1"/>
  <c r="O345" i="69"/>
  <c r="O370" i="69"/>
  <c r="O371" i="69" s="1"/>
  <c r="T345" i="69"/>
  <c r="T370" i="69"/>
  <c r="T371" i="69" s="1"/>
  <c r="Q360" i="69"/>
  <c r="Q336" i="69"/>
  <c r="Q347" i="69"/>
  <c r="AO360" i="69"/>
  <c r="AO336" i="69"/>
  <c r="AO347" i="69"/>
  <c r="Q342" i="69"/>
  <c r="Q35" i="69"/>
  <c r="Q334" i="69" s="1"/>
  <c r="AG218" i="69"/>
  <c r="AG215" i="69"/>
  <c r="AG225" i="69"/>
  <c r="AG226" i="69" s="1"/>
  <c r="AA317" i="69"/>
  <c r="AA319" i="69" s="1"/>
  <c r="AA240" i="69"/>
  <c r="AA244" i="69" s="1"/>
  <c r="AA295" i="69"/>
  <c r="AA296" i="69" s="1"/>
  <c r="L215" i="69"/>
  <c r="L218" i="69"/>
  <c r="L225" i="69"/>
  <c r="L226" i="69" s="1"/>
  <c r="AE240" i="69"/>
  <c r="AE244" i="69" s="1"/>
  <c r="AE295" i="69"/>
  <c r="AE296" i="69" s="1"/>
  <c r="AE317" i="69"/>
  <c r="AE319" i="69" s="1"/>
  <c r="S317" i="69"/>
  <c r="S319" i="69" s="1"/>
  <c r="S295" i="69"/>
  <c r="S296" i="69" s="1"/>
  <c r="S240" i="69"/>
  <c r="S244" i="69" s="1"/>
  <c r="AU218" i="69"/>
  <c r="AU215" i="69"/>
  <c r="AU225" i="69"/>
  <c r="AU226" i="69" s="1"/>
  <c r="W225" i="69"/>
  <c r="W226" i="69" s="1"/>
  <c r="W218" i="69"/>
  <c r="W215" i="69"/>
  <c r="Z295" i="69"/>
  <c r="Z296" i="69" s="1"/>
  <c r="Z317" i="69"/>
  <c r="Z319" i="69" s="1"/>
  <c r="Z240" i="69"/>
  <c r="Z244" i="69" s="1"/>
  <c r="N295" i="69"/>
  <c r="N296" i="69" s="1"/>
  <c r="N280" i="69"/>
  <c r="N317" i="69"/>
  <c r="N319" i="69" s="1"/>
  <c r="N240" i="69"/>
  <c r="N244" i="69" s="1"/>
  <c r="Y215" i="69"/>
  <c r="Y225" i="69"/>
  <c r="Y218" i="69"/>
  <c r="AE359" i="69"/>
  <c r="AE346" i="69"/>
  <c r="AE209" i="69"/>
  <c r="AE335" i="69" s="1"/>
  <c r="X317" i="69"/>
  <c r="X319" i="69" s="1"/>
  <c r="X295" i="69"/>
  <c r="X296" i="69" s="1"/>
  <c r="X240" i="69"/>
  <c r="X244" i="69" s="1"/>
  <c r="K293" i="68"/>
  <c r="K238" i="68"/>
  <c r="K242" i="68" s="1"/>
  <c r="K278" i="68"/>
  <c r="AO218" i="69"/>
  <c r="AO225" i="69"/>
  <c r="AO226" i="69" s="1"/>
  <c r="AO215" i="69"/>
  <c r="O371" i="68"/>
  <c r="O376" i="68" s="1"/>
  <c r="O361" i="68"/>
  <c r="O35" i="69"/>
  <c r="O334" i="69" s="1"/>
  <c r="O342" i="69"/>
  <c r="AS295" i="69"/>
  <c r="AS296" i="69" s="1"/>
  <c r="AS317" i="69"/>
  <c r="AS319" i="69" s="1"/>
  <c r="AS240" i="69"/>
  <c r="AS244" i="69" s="1"/>
  <c r="AS280" i="69"/>
  <c r="AG317" i="69"/>
  <c r="AG319" i="69" s="1"/>
  <c r="AG280" i="69"/>
  <c r="AG240" i="69"/>
  <c r="AG244" i="69" s="1"/>
  <c r="AG295" i="69"/>
  <c r="AG296" i="69" s="1"/>
  <c r="I317" i="69"/>
  <c r="I319" i="69" s="1"/>
  <c r="I295" i="69"/>
  <c r="I296" i="69" s="1"/>
  <c r="I280" i="69"/>
  <c r="I240" i="69"/>
  <c r="I244" i="69" s="1"/>
  <c r="G225" i="69"/>
  <c r="G226" i="69" s="1"/>
  <c r="G215" i="69"/>
  <c r="G218" i="69"/>
  <c r="P352" i="68"/>
  <c r="P348" i="68"/>
  <c r="C369" i="68"/>
  <c r="G167" i="69"/>
  <c r="G170" i="69" s="1"/>
  <c r="F194" i="69"/>
  <c r="F195" i="69" s="1"/>
  <c r="F200" i="69" s="1"/>
  <c r="R6" i="70"/>
  <c r="Q8" i="70"/>
  <c r="I215" i="69"/>
  <c r="I218" i="69"/>
  <c r="I225" i="69"/>
  <c r="I226" i="69" s="1"/>
  <c r="N218" i="69"/>
  <c r="N215" i="69"/>
  <c r="N225" i="69"/>
  <c r="N226" i="69" s="1"/>
  <c r="X225" i="69"/>
  <c r="X226" i="69" s="1"/>
  <c r="X215" i="69"/>
  <c r="X218" i="69"/>
  <c r="C141" i="69"/>
  <c r="C147" i="69" s="1"/>
  <c r="S149" i="69"/>
  <c r="AP149" i="69"/>
  <c r="AK149" i="69"/>
  <c r="AH149" i="69"/>
  <c r="T149" i="69"/>
  <c r="AU149" i="69"/>
  <c r="AB149" i="69"/>
  <c r="AL149" i="69"/>
  <c r="H149" i="69"/>
  <c r="AI149" i="69"/>
  <c r="L149" i="69"/>
  <c r="X149" i="69"/>
  <c r="AF149" i="69"/>
  <c r="AQ149" i="69"/>
  <c r="M149" i="69"/>
  <c r="AC149" i="69"/>
  <c r="R149" i="69"/>
  <c r="AW149" i="69"/>
  <c r="I149" i="69"/>
  <c r="Q149" i="69"/>
  <c r="AT149" i="69"/>
  <c r="Y149" i="69"/>
  <c r="Z149" i="69"/>
  <c r="W149" i="69"/>
  <c r="K149" i="69"/>
  <c r="AD149" i="69"/>
  <c r="AE149" i="69"/>
  <c r="O149" i="69"/>
  <c r="J149" i="69"/>
  <c r="AM149" i="69"/>
  <c r="U149" i="69"/>
  <c r="F149" i="69"/>
  <c r="AO149" i="69"/>
  <c r="AJ149" i="69"/>
  <c r="AA149" i="69"/>
  <c r="AN149" i="69"/>
  <c r="V149" i="69"/>
  <c r="AG149" i="69"/>
  <c r="G149" i="69"/>
  <c r="AV149" i="69"/>
  <c r="AS149" i="69"/>
  <c r="AR149" i="69"/>
  <c r="N149" i="69"/>
  <c r="P149" i="69"/>
  <c r="R182" i="69"/>
  <c r="R178" i="69"/>
  <c r="S175" i="69" s="1"/>
  <c r="AH193" i="69"/>
  <c r="AH196" i="69"/>
  <c r="AH199" i="69"/>
  <c r="AH197" i="69"/>
  <c r="F240" i="69"/>
  <c r="F244" i="69" s="1"/>
  <c r="F317" i="69"/>
  <c r="F319" i="69" s="1"/>
  <c r="F295" i="69"/>
  <c r="F296" i="69" s="1"/>
  <c r="M280" i="69"/>
  <c r="M240" i="69"/>
  <c r="M244" i="69" s="1"/>
  <c r="M317" i="69"/>
  <c r="M319" i="69" s="1"/>
  <c r="M295" i="69"/>
  <c r="M296" i="69" s="1"/>
  <c r="V301" i="69"/>
  <c r="V318" i="69" s="1"/>
  <c r="V319" i="69" s="1"/>
  <c r="V241" i="69"/>
  <c r="V244" i="69" s="1"/>
  <c r="I145" i="68"/>
  <c r="C145" i="68" s="1"/>
  <c r="O147" i="68"/>
  <c r="M147" i="68"/>
  <c r="I147" i="68"/>
  <c r="C139" i="68"/>
  <c r="K147" i="68"/>
  <c r="L147" i="68"/>
  <c r="P147" i="68"/>
  <c r="N147" i="68"/>
  <c r="J147" i="68"/>
  <c r="I180" i="68"/>
  <c r="I176" i="68"/>
  <c r="J173" i="68" s="1"/>
  <c r="C223" i="68"/>
  <c r="E224" i="68"/>
  <c r="C224" i="68" s="1"/>
  <c r="H293" i="68"/>
  <c r="H238" i="68"/>
  <c r="H242" i="68" s="1"/>
  <c r="N278" i="68"/>
  <c r="N293" i="68"/>
  <c r="N238" i="68"/>
  <c r="N242" i="68" s="1"/>
  <c r="E293" i="68"/>
  <c r="E294" i="68" s="1"/>
  <c r="E238" i="68"/>
  <c r="E278" i="68"/>
  <c r="L293" i="68"/>
  <c r="L238" i="68"/>
  <c r="L242" i="68" s="1"/>
  <c r="L278" i="68"/>
  <c r="J245" i="68"/>
  <c r="J299" i="68"/>
  <c r="F310" i="68"/>
  <c r="F308" i="68"/>
  <c r="G304" i="68" s="1"/>
  <c r="K322" i="68"/>
  <c r="K323" i="68" s="1"/>
  <c r="K245" i="68"/>
  <c r="F329" i="68"/>
  <c r="F245" i="68"/>
  <c r="H247" i="69"/>
  <c r="H331" i="69"/>
  <c r="C34" i="69"/>
  <c r="G345" i="69"/>
  <c r="G370" i="69"/>
  <c r="I345" i="69"/>
  <c r="I370" i="69"/>
  <c r="I371" i="69" s="1"/>
  <c r="AA247" i="69"/>
  <c r="AA331" i="69"/>
  <c r="AN20" i="69"/>
  <c r="AN31" i="69" s="1"/>
  <c r="C15" i="69"/>
  <c r="Z31" i="69"/>
  <c r="C24" i="69"/>
  <c r="AW342" i="69"/>
  <c r="AW35" i="69"/>
  <c r="AW334" i="69" s="1"/>
  <c r="C43" i="69"/>
  <c r="G47" i="69"/>
  <c r="C213" i="69"/>
  <c r="AE218" i="69"/>
  <c r="AP218" i="69"/>
  <c r="AN317" i="69"/>
  <c r="AN319" i="69" s="1"/>
  <c r="AN295" i="69"/>
  <c r="AN296" i="69" s="1"/>
  <c r="AN240" i="69"/>
  <c r="AN244" i="69" s="1"/>
  <c r="Q295" i="69"/>
  <c r="Q296" i="69" s="1"/>
  <c r="Q240" i="69"/>
  <c r="Q244" i="69" s="1"/>
  <c r="Q317" i="69"/>
  <c r="Q319" i="69" s="1"/>
  <c r="AR295" i="69"/>
  <c r="AR296" i="69" s="1"/>
  <c r="AR317" i="69"/>
  <c r="AR319" i="69" s="1"/>
  <c r="AR240" i="69"/>
  <c r="AR244" i="69" s="1"/>
  <c r="AC247" i="69"/>
  <c r="AC301" i="69"/>
  <c r="AC318" i="69" s="1"/>
  <c r="AC319" i="69" s="1"/>
  <c r="AA218" i="69"/>
  <c r="AA225" i="69"/>
  <c r="AA226" i="69" s="1"/>
  <c r="AA215" i="69"/>
  <c r="C52" i="68"/>
  <c r="F56" i="68"/>
  <c r="M358" i="68"/>
  <c r="M359" i="68" s="1"/>
  <c r="M345" i="68"/>
  <c r="M346" i="68" s="1"/>
  <c r="M334" i="68"/>
  <c r="M335" i="68" s="1"/>
  <c r="Q345" i="69"/>
  <c r="Q370" i="69"/>
  <c r="Q371" i="69" s="1"/>
  <c r="AC196" i="69"/>
  <c r="AC197" i="69"/>
  <c r="AC193" i="69"/>
  <c r="AC199" i="69"/>
  <c r="AQ317" i="69"/>
  <c r="AQ319" i="69" s="1"/>
  <c r="AQ295" i="69"/>
  <c r="AQ296" i="69" s="1"/>
  <c r="AQ240" i="69"/>
  <c r="AQ244" i="69" s="1"/>
  <c r="J293" i="68"/>
  <c r="J238" i="68"/>
  <c r="J242" i="68" s="1"/>
  <c r="J278" i="68"/>
  <c r="AL280" i="69"/>
  <c r="AL317" i="69"/>
  <c r="AL319" i="69" s="1"/>
  <c r="AL240" i="69"/>
  <c r="AL244" i="69" s="1"/>
  <c r="AL295" i="69"/>
  <c r="AL296" i="69" s="1"/>
  <c r="E301" i="69"/>
  <c r="E318" i="69" s="1"/>
  <c r="E247" i="69"/>
  <c r="I35" i="69"/>
  <c r="I334" i="69" s="1"/>
  <c r="I342" i="69"/>
  <c r="L35" i="69"/>
  <c r="L334" i="69" s="1"/>
  <c r="L342" i="69"/>
  <c r="U342" i="69"/>
  <c r="U35" i="69"/>
  <c r="U334" i="69" s="1"/>
  <c r="C25" i="69"/>
  <c r="F31" i="69"/>
  <c r="AV35" i="69"/>
  <c r="AV334" i="69" s="1"/>
  <c r="AV342" i="69"/>
  <c r="X342" i="69"/>
  <c r="X35" i="69"/>
  <c r="X334" i="69" s="1"/>
  <c r="AI35" i="69"/>
  <c r="AI334" i="69" s="1"/>
  <c r="AI342" i="69"/>
  <c r="L196" i="69"/>
  <c r="L197" i="69"/>
  <c r="L193" i="69"/>
  <c r="L199" i="69"/>
  <c r="AP193" i="69"/>
  <c r="AP196" i="69"/>
  <c r="AP197" i="69"/>
  <c r="AP199" i="69"/>
  <c r="P247" i="69"/>
  <c r="P301" i="69"/>
  <c r="P318" i="69" s="1"/>
  <c r="P319" i="69" s="1"/>
  <c r="AK247" i="69"/>
  <c r="AK301" i="69"/>
  <c r="AK318" i="69" s="1"/>
  <c r="Q324" i="69"/>
  <c r="Q325" i="69" s="1"/>
  <c r="Q242" i="69"/>
  <c r="AG98" i="69"/>
  <c r="AG101" i="69"/>
  <c r="AG103" i="69" s="1"/>
  <c r="AM98" i="69"/>
  <c r="AM101" i="69"/>
  <c r="AM103" i="69" s="1"/>
  <c r="AU101" i="69"/>
  <c r="AU103" i="69" s="1"/>
  <c r="AU98" i="69"/>
  <c r="M101" i="69"/>
  <c r="M103" i="69" s="1"/>
  <c r="M107" i="69"/>
  <c r="M214" i="69" s="1"/>
  <c r="AH218" i="69"/>
  <c r="AH225" i="69"/>
  <c r="AH215" i="69"/>
  <c r="AR218" i="69"/>
  <c r="AR225" i="69"/>
  <c r="AR226" i="69" s="1"/>
  <c r="AR215" i="69"/>
  <c r="AV225" i="69"/>
  <c r="AV226" i="69" s="1"/>
  <c r="AV215" i="69"/>
  <c r="AV218" i="69"/>
  <c r="H147" i="69"/>
  <c r="C144" i="69"/>
  <c r="AA193" i="69"/>
  <c r="AA199" i="69"/>
  <c r="AA196" i="69"/>
  <c r="AA197" i="69"/>
  <c r="L295" i="69"/>
  <c r="L296" i="69" s="1"/>
  <c r="L280" i="69"/>
  <c r="L317" i="69"/>
  <c r="L319" i="69" s="1"/>
  <c r="L240" i="69"/>
  <c r="L244" i="69" s="1"/>
  <c r="N247" i="69"/>
  <c r="N301" i="69"/>
  <c r="N318" i="69" s="1"/>
  <c r="W247" i="69"/>
  <c r="W301" i="69"/>
  <c r="W318" i="69" s="1"/>
  <c r="AE301" i="69"/>
  <c r="AE318" i="69" s="1"/>
  <c r="AE247" i="69"/>
  <c r="H55" i="73"/>
  <c r="H65" i="73" s="1"/>
  <c r="H70" i="73" s="1"/>
  <c r="H71" i="73" s="1"/>
  <c r="D51" i="73"/>
  <c r="D55" i="73" s="1"/>
  <c r="I65" i="73"/>
  <c r="I70" i="73" s="1"/>
  <c r="I71" i="73" s="1"/>
  <c r="D62" i="73"/>
  <c r="D65" i="73" s="1"/>
  <c r="C166" i="68"/>
  <c r="F168" i="68"/>
  <c r="E299" i="68"/>
  <c r="E245" i="68"/>
  <c r="G245" i="68"/>
  <c r="G299" i="68"/>
  <c r="I299" i="68"/>
  <c r="I245" i="68"/>
  <c r="L245" i="68"/>
  <c r="L299" i="68"/>
  <c r="H245" i="68"/>
  <c r="H322" i="68"/>
  <c r="H323" i="68" s="1"/>
  <c r="N322" i="68"/>
  <c r="N323" i="68" s="1"/>
  <c r="N245" i="68"/>
  <c r="F20" i="69"/>
  <c r="C16" i="69"/>
  <c r="AJ35" i="69"/>
  <c r="AJ334" i="69" s="1"/>
  <c r="AJ342" i="69"/>
  <c r="C52" i="69"/>
  <c r="E54" i="69"/>
  <c r="Y301" i="69"/>
  <c r="Y318" i="69" s="1"/>
  <c r="Y247" i="69"/>
  <c r="K35" i="69"/>
  <c r="K334" i="69" s="1"/>
  <c r="K342" i="69"/>
  <c r="G342" i="69"/>
  <c r="G35" i="69"/>
  <c r="G334" i="69" s="1"/>
  <c r="AB342" i="69"/>
  <c r="AB35" i="69"/>
  <c r="AB334" i="69" s="1"/>
  <c r="L370" i="69"/>
  <c r="L371" i="69" s="1"/>
  <c r="L345" i="69"/>
  <c r="AW345" i="69"/>
  <c r="AW370" i="69"/>
  <c r="AW371" i="69" s="1"/>
  <c r="AE342" i="69"/>
  <c r="AE35" i="69"/>
  <c r="AE334" i="69" s="1"/>
  <c r="AH342" i="69"/>
  <c r="AH35" i="69"/>
  <c r="AH334" i="69" s="1"/>
  <c r="AS35" i="69"/>
  <c r="AS334" i="69" s="1"/>
  <c r="AS342" i="69"/>
  <c r="E295" i="69"/>
  <c r="E296" i="69" s="1"/>
  <c r="E240" i="69"/>
  <c r="E244" i="69" s="1"/>
  <c r="E317" i="69"/>
  <c r="V215" i="69"/>
  <c r="V218" i="69"/>
  <c r="V225" i="69"/>
  <c r="V226" i="69" s="1"/>
  <c r="F117" i="69"/>
  <c r="F128" i="69" s="1"/>
  <c r="F132" i="69" s="1"/>
  <c r="C112" i="69"/>
  <c r="U196" i="69"/>
  <c r="U197" i="69"/>
  <c r="U193" i="69"/>
  <c r="U199" i="69"/>
  <c r="W280" i="69"/>
  <c r="W295" i="69"/>
  <c r="W296" i="69" s="1"/>
  <c r="W240" i="69"/>
  <c r="W244" i="69" s="1"/>
  <c r="W317" i="69"/>
  <c r="Y295" i="69"/>
  <c r="Y296" i="69" s="1"/>
  <c r="Y240" i="69"/>
  <c r="Y244" i="69" s="1"/>
  <c r="Y280" i="69"/>
  <c r="Y317" i="69"/>
  <c r="T342" i="69"/>
  <c r="T35" i="69"/>
  <c r="T334" i="69" s="1"/>
  <c r="C186" i="69"/>
  <c r="K189" i="69"/>
  <c r="S199" i="69"/>
  <c r="S196" i="69"/>
  <c r="S197" i="69"/>
  <c r="S193" i="69"/>
  <c r="W31" i="69"/>
  <c r="C28" i="69"/>
  <c r="C368" i="69"/>
  <c r="F371" i="69"/>
  <c r="Z215" i="69"/>
  <c r="Z218" i="69"/>
  <c r="Z225" i="69"/>
  <c r="Z226" i="69" s="1"/>
  <c r="AL336" i="69"/>
  <c r="AL360" i="69"/>
  <c r="AL347" i="69"/>
  <c r="U218" i="69"/>
  <c r="U225" i="69"/>
  <c r="U226" i="69" s="1"/>
  <c r="U215" i="69"/>
  <c r="J295" i="69"/>
  <c r="J296" i="69" s="1"/>
  <c r="J317" i="69"/>
  <c r="J319" i="69" s="1"/>
  <c r="J240" i="69"/>
  <c r="J244" i="69" s="1"/>
  <c r="AM240" i="69"/>
  <c r="AM244" i="69" s="1"/>
  <c r="AM295" i="69"/>
  <c r="AM296" i="69" s="1"/>
  <c r="AM317" i="69"/>
  <c r="AM319" i="69" s="1"/>
  <c r="AJ218" i="69"/>
  <c r="AJ225" i="69"/>
  <c r="AJ226" i="69" s="1"/>
  <c r="AJ215" i="69"/>
  <c r="T198" i="69"/>
  <c r="G336" i="69"/>
  <c r="G347" i="69"/>
  <c r="G360" i="69"/>
  <c r="F293" i="68"/>
  <c r="F278" i="68"/>
  <c r="F238" i="68"/>
  <c r="F242" i="68" s="1"/>
  <c r="K347" i="69"/>
  <c r="K336" i="69"/>
  <c r="K360" i="69"/>
  <c r="S35" i="69"/>
  <c r="S334" i="69" s="1"/>
  <c r="S342" i="69"/>
  <c r="AW215" i="69"/>
  <c r="AW225" i="69"/>
  <c r="AW226" i="69" s="1"/>
  <c r="AW218" i="69"/>
  <c r="O238" i="68"/>
  <c r="O242" i="68" s="1"/>
  <c r="O278" i="68"/>
  <c r="O293" i="68"/>
  <c r="AI225" i="69"/>
  <c r="AI226" i="69" s="1"/>
  <c r="AI218" i="69"/>
  <c r="AI215" i="69"/>
  <c r="K215" i="69"/>
  <c r="K218" i="69"/>
  <c r="K225" i="69"/>
  <c r="K226" i="69" s="1"/>
  <c r="H218" i="69"/>
  <c r="H225" i="69"/>
  <c r="H226" i="69" s="1"/>
  <c r="H215" i="69"/>
  <c r="AT225" i="69"/>
  <c r="AT226" i="69" s="1"/>
  <c r="AT215" i="69"/>
  <c r="AT218" i="69"/>
  <c r="J215" i="69"/>
  <c r="J218" i="69"/>
  <c r="J225" i="69"/>
  <c r="J226" i="69" s="1"/>
  <c r="AF218" i="69"/>
  <c r="AF215" i="69"/>
  <c r="AF225" i="69"/>
  <c r="AF226" i="69" s="1"/>
  <c r="T215" i="69"/>
  <c r="T218" i="69"/>
  <c r="T225" i="69"/>
  <c r="T226" i="69" s="1"/>
  <c r="I238" i="68"/>
  <c r="I242" i="68" s="1"/>
  <c r="I278" i="68"/>
  <c r="I293" i="68"/>
  <c r="AK215" i="69"/>
  <c r="AK218" i="69"/>
  <c r="AK225" i="69"/>
  <c r="AK226" i="69" s="1"/>
  <c r="E103" i="69"/>
  <c r="AP347" i="69"/>
  <c r="AP348" i="69" s="1"/>
  <c r="AP336" i="69"/>
  <c r="AP337" i="69" s="1"/>
  <c r="AP360" i="69"/>
  <c r="AP361" i="69" s="1"/>
  <c r="F347" i="69"/>
  <c r="F360" i="69"/>
  <c r="F336" i="69"/>
  <c r="T336" i="69"/>
  <c r="T347" i="69"/>
  <c r="T360" i="69"/>
  <c r="AI198" i="69"/>
  <c r="O348" i="68"/>
  <c r="O352" i="68"/>
  <c r="O375" i="68" s="1"/>
  <c r="AR336" i="69"/>
  <c r="AR360" i="69"/>
  <c r="AR347" i="69"/>
  <c r="AF360" i="69"/>
  <c r="AF336" i="69"/>
  <c r="AF347" i="69"/>
  <c r="S336" i="69"/>
  <c r="S347" i="69"/>
  <c r="S360" i="69"/>
  <c r="J336" i="69"/>
  <c r="J347" i="69"/>
  <c r="J360" i="69"/>
  <c r="L360" i="69"/>
  <c r="L336" i="69"/>
  <c r="L347" i="69"/>
  <c r="AS360" i="69"/>
  <c r="AS347" i="69"/>
  <c r="AS336" i="69"/>
  <c r="U360" i="69"/>
  <c r="U347" i="69"/>
  <c r="U336" i="69"/>
  <c r="M360" i="69"/>
  <c r="M336" i="69"/>
  <c r="M347" i="69"/>
  <c r="N198" i="69"/>
  <c r="AN360" i="69"/>
  <c r="AN336" i="69"/>
  <c r="AN347" i="69"/>
  <c r="E130" i="68"/>
  <c r="AC225" i="69"/>
  <c r="AC226" i="69" s="1"/>
  <c r="AC215" i="69"/>
  <c r="AC218" i="69"/>
  <c r="F286" i="68"/>
  <c r="G282" i="68" s="1"/>
  <c r="F288" i="68"/>
  <c r="F289" i="68" s="1"/>
  <c r="F294" i="68" s="1"/>
  <c r="E29" i="68"/>
  <c r="C18" i="68"/>
  <c r="U317" i="69"/>
  <c r="U319" i="69" s="1"/>
  <c r="U295" i="69"/>
  <c r="U296" i="69" s="1"/>
  <c r="U240" i="69"/>
  <c r="U244" i="69" s="1"/>
  <c r="U280" i="69"/>
  <c r="AQ215" i="69"/>
  <c r="AQ218" i="69"/>
  <c r="AQ225" i="69"/>
  <c r="AQ226" i="69" s="1"/>
  <c r="S215" i="69"/>
  <c r="S218" i="69"/>
  <c r="S225" i="69"/>
  <c r="S226" i="69" s="1"/>
  <c r="Q215" i="69"/>
  <c r="Q218" i="69"/>
  <c r="Q225" i="69"/>
  <c r="Q226" i="69" s="1"/>
  <c r="E214" i="69"/>
  <c r="AD218" i="69"/>
  <c r="AD215" i="69"/>
  <c r="AD225" i="69"/>
  <c r="AD226" i="69" s="1"/>
  <c r="F215" i="69"/>
  <c r="F218" i="69"/>
  <c r="F225" i="69"/>
  <c r="F226" i="69" s="1"/>
  <c r="AF35" i="69"/>
  <c r="AF334" i="69" s="1"/>
  <c r="AF342" i="69"/>
  <c r="AS218" i="69"/>
  <c r="AS215" i="69"/>
  <c r="AS225" i="69"/>
  <c r="AS226" i="69" s="1"/>
  <c r="AI336" i="69"/>
  <c r="AI360" i="69"/>
  <c r="AI347" i="69"/>
  <c r="AJ370" i="69"/>
  <c r="AJ371" i="69" s="1"/>
  <c r="AJ345" i="69"/>
  <c r="AK98" i="69"/>
  <c r="AK101" i="69"/>
  <c r="AK103" i="69" s="1"/>
  <c r="AO101" i="69"/>
  <c r="AO103" i="69" s="1"/>
  <c r="AO98" i="69"/>
  <c r="R101" i="69"/>
  <c r="R107" i="69"/>
  <c r="AL101" i="69"/>
  <c r="AL103" i="69" s="1"/>
  <c r="AL107" i="69"/>
  <c r="AL214" i="69" s="1"/>
  <c r="C113" i="69"/>
  <c r="I117" i="69"/>
  <c r="I128" i="69" s="1"/>
  <c r="I132" i="69" s="1"/>
  <c r="C122" i="69"/>
  <c r="H128" i="69"/>
  <c r="H132" i="69" s="1"/>
  <c r="C111" i="68"/>
  <c r="J115" i="68"/>
  <c r="J126" i="68" s="1"/>
  <c r="J130" i="68" s="1"/>
  <c r="H126" i="68"/>
  <c r="C120" i="68"/>
  <c r="R128" i="69"/>
  <c r="R132" i="69" s="1"/>
  <c r="C121" i="69"/>
  <c r="AD247" i="69"/>
  <c r="AD324" i="69"/>
  <c r="AD325" i="69" s="1"/>
  <c r="S331" i="69"/>
  <c r="S243" i="69"/>
  <c r="S345" i="69"/>
  <c r="S370" i="69"/>
  <c r="S371" i="69" s="1"/>
  <c r="AN101" i="69"/>
  <c r="AN103" i="69" s="1"/>
  <c r="AN98" i="69"/>
  <c r="AT98" i="69"/>
  <c r="AT101" i="69"/>
  <c r="AT103" i="69" s="1"/>
  <c r="AM225" i="69"/>
  <c r="AM226" i="69" s="1"/>
  <c r="AM218" i="69"/>
  <c r="AM215" i="69"/>
  <c r="T128" i="69"/>
  <c r="T132" i="69" s="1"/>
  <c r="C125" i="69"/>
  <c r="X103" i="69"/>
  <c r="O128" i="69"/>
  <c r="O132" i="69" s="1"/>
  <c r="L325" i="69"/>
  <c r="J280" i="69"/>
  <c r="R319" i="69"/>
  <c r="D70" i="73"/>
  <c r="D71" i="73" s="1"/>
  <c r="E70" i="73"/>
  <c r="E71" i="73" s="1"/>
  <c r="AA280" i="69"/>
  <c r="AR280" i="69"/>
  <c r="H278" i="68"/>
  <c r="AP103" i="69"/>
  <c r="N65" i="73"/>
  <c r="N70" i="73" s="1"/>
  <c r="N71" i="73" s="1"/>
  <c r="Q280" i="69"/>
  <c r="AM280" i="69"/>
  <c r="AS325" i="69"/>
  <c r="I126" i="68"/>
  <c r="I130" i="68" s="1"/>
  <c r="AM31" i="69"/>
  <c r="C45" i="68"/>
  <c r="C115" i="68"/>
  <c r="AQ280" i="69"/>
  <c r="AN280" i="69"/>
  <c r="AR31" i="69"/>
  <c r="I103" i="69"/>
  <c r="AF128" i="69"/>
  <c r="AF132" i="69" s="1"/>
  <c r="AB209" i="69" l="1"/>
  <c r="AB335" i="69" s="1"/>
  <c r="AB337" i="69" s="1"/>
  <c r="AB346" i="69"/>
  <c r="AB348" i="69" s="1"/>
  <c r="AB359" i="69"/>
  <c r="AB361" i="69" s="1"/>
  <c r="AL198" i="69"/>
  <c r="C262" i="69"/>
  <c r="E278" i="69"/>
  <c r="E280" i="69" s="1"/>
  <c r="AN209" i="69"/>
  <c r="AN335" i="69" s="1"/>
  <c r="AN346" i="69"/>
  <c r="AN359" i="69"/>
  <c r="AN361" i="69" s="1"/>
  <c r="O346" i="69"/>
  <c r="O209" i="69"/>
  <c r="O335" i="69" s="1"/>
  <c r="O337" i="69" s="1"/>
  <c r="O359" i="69"/>
  <c r="O361" i="69" s="1"/>
  <c r="C128" i="69"/>
  <c r="E132" i="69"/>
  <c r="C132" i="69" s="1"/>
  <c r="J198" i="69"/>
  <c r="W198" i="69"/>
  <c r="Y198" i="69"/>
  <c r="AD198" i="69"/>
  <c r="AF198" i="69"/>
  <c r="AO198" i="69"/>
  <c r="AS198" i="69"/>
  <c r="P346" i="69"/>
  <c r="P348" i="69" s="1"/>
  <c r="P209" i="69"/>
  <c r="P335" i="69" s="1"/>
  <c r="P337" i="69" s="1"/>
  <c r="P359" i="69"/>
  <c r="P361" i="69" s="1"/>
  <c r="AG359" i="69"/>
  <c r="AG361" i="69" s="1"/>
  <c r="AG209" i="69"/>
  <c r="AG335" i="69" s="1"/>
  <c r="AG337" i="69" s="1"/>
  <c r="AG346" i="69"/>
  <c r="AG348" i="69" s="1"/>
  <c r="L209" i="69"/>
  <c r="L335" i="69" s="1"/>
  <c r="L337" i="69" s="1"/>
  <c r="L359" i="69"/>
  <c r="L361" i="69" s="1"/>
  <c r="L346" i="69"/>
  <c r="L348" i="69" s="1"/>
  <c r="AU346" i="69"/>
  <c r="AU348" i="69" s="1"/>
  <c r="AU359" i="69"/>
  <c r="AU361" i="69" s="1"/>
  <c r="AU209" i="69"/>
  <c r="AU335" i="69" s="1"/>
  <c r="AU337" i="69" s="1"/>
  <c r="W346" i="69"/>
  <c r="W209" i="69"/>
  <c r="W335" i="69" s="1"/>
  <c r="W359" i="69"/>
  <c r="Y209" i="69"/>
  <c r="Y335" i="69" s="1"/>
  <c r="Y359" i="69"/>
  <c r="Y346" i="69"/>
  <c r="AO359" i="69"/>
  <c r="AO361" i="69" s="1"/>
  <c r="AO209" i="69"/>
  <c r="AO335" i="69" s="1"/>
  <c r="AO337" i="69" s="1"/>
  <c r="AO346" i="69"/>
  <c r="AO348" i="69" s="1"/>
  <c r="G346" i="69"/>
  <c r="G209" i="69"/>
  <c r="G335" i="69" s="1"/>
  <c r="G337" i="69" s="1"/>
  <c r="G359" i="69"/>
  <c r="G361" i="69" s="1"/>
  <c r="P361" i="68"/>
  <c r="P375" i="68"/>
  <c r="P377" i="68" s="1"/>
  <c r="G194" i="69"/>
  <c r="G195" i="69" s="1"/>
  <c r="G200" i="69" s="1"/>
  <c r="H167" i="69"/>
  <c r="H170" i="69" s="1"/>
  <c r="R8" i="70"/>
  <c r="S6" i="70"/>
  <c r="I346" i="69"/>
  <c r="I348" i="69" s="1"/>
  <c r="I209" i="69"/>
  <c r="I335" i="69" s="1"/>
  <c r="I337" i="69" s="1"/>
  <c r="I359" i="69"/>
  <c r="I361" i="69" s="1"/>
  <c r="N346" i="69"/>
  <c r="N209" i="69"/>
  <c r="N335" i="69" s="1"/>
  <c r="N359" i="69"/>
  <c r="X359" i="69"/>
  <c r="X361" i="69" s="1"/>
  <c r="X209" i="69"/>
  <c r="X335" i="69" s="1"/>
  <c r="X337" i="69" s="1"/>
  <c r="X346" i="69"/>
  <c r="X348" i="69" s="1"/>
  <c r="S182" i="69"/>
  <c r="S178" i="69"/>
  <c r="T175" i="69" s="1"/>
  <c r="AH198" i="69"/>
  <c r="J180" i="68"/>
  <c r="J176" i="68"/>
  <c r="K173" i="68" s="1"/>
  <c r="E242" i="68"/>
  <c r="C242" i="68" s="1"/>
  <c r="C238" i="68"/>
  <c r="J334" i="68"/>
  <c r="J335" i="68" s="1"/>
  <c r="J345" i="68"/>
  <c r="J346" i="68" s="1"/>
  <c r="J358" i="68"/>
  <c r="J359" i="68" s="1"/>
  <c r="G308" i="68"/>
  <c r="H304" i="68" s="1"/>
  <c r="G310" i="68"/>
  <c r="K358" i="68"/>
  <c r="K359" i="68" s="1"/>
  <c r="K345" i="68"/>
  <c r="K346" i="68" s="1"/>
  <c r="K334" i="68"/>
  <c r="K335" i="68" s="1"/>
  <c r="F334" i="68"/>
  <c r="F335" i="68" s="1"/>
  <c r="F345" i="68"/>
  <c r="F346" i="68" s="1"/>
  <c r="F358" i="68"/>
  <c r="F359" i="68" s="1"/>
  <c r="H360" i="69"/>
  <c r="H336" i="69"/>
  <c r="H347" i="69"/>
  <c r="C370" i="69"/>
  <c r="G371" i="69"/>
  <c r="AA336" i="69"/>
  <c r="AA360" i="69"/>
  <c r="AA347" i="69"/>
  <c r="AN342" i="69"/>
  <c r="AN348" i="69" s="1"/>
  <c r="AN35" i="69"/>
  <c r="AN334" i="69" s="1"/>
  <c r="AN337" i="69" s="1"/>
  <c r="Z35" i="69"/>
  <c r="Z334" i="69" s="1"/>
  <c r="Z337" i="69" s="1"/>
  <c r="Z342" i="69"/>
  <c r="Z348" i="69" s="1"/>
  <c r="G54" i="69"/>
  <c r="C47" i="69"/>
  <c r="AC360" i="69"/>
  <c r="AC336" i="69"/>
  <c r="AC347" i="69"/>
  <c r="AA359" i="69"/>
  <c r="AA361" i="69" s="1"/>
  <c r="AA209" i="69"/>
  <c r="AA335" i="69" s="1"/>
  <c r="AA337" i="69" s="1"/>
  <c r="AA346" i="69"/>
  <c r="AA348" i="69" s="1"/>
  <c r="F60" i="68"/>
  <c r="C60" i="68" s="1"/>
  <c r="C56" i="68"/>
  <c r="M371" i="68"/>
  <c r="M376" i="68" s="1"/>
  <c r="M348" i="68"/>
  <c r="M352" i="68"/>
  <c r="AC198" i="69"/>
  <c r="C247" i="69"/>
  <c r="E360" i="69"/>
  <c r="E347" i="69"/>
  <c r="E336" i="69"/>
  <c r="I350" i="69"/>
  <c r="I354" i="69"/>
  <c r="I377" i="69" s="1"/>
  <c r="F342" i="69"/>
  <c r="C31" i="69"/>
  <c r="F35" i="69"/>
  <c r="X350" i="69"/>
  <c r="X354" i="69"/>
  <c r="X377" i="69" s="1"/>
  <c r="L198" i="69"/>
  <c r="AP198" i="69"/>
  <c r="P360" i="69"/>
  <c r="P336" i="69"/>
  <c r="P347" i="69"/>
  <c r="AK360" i="69"/>
  <c r="AK347" i="69"/>
  <c r="AK336" i="69"/>
  <c r="M225" i="69"/>
  <c r="M226" i="69" s="1"/>
  <c r="M215" i="69"/>
  <c r="M218" i="69"/>
  <c r="AH209" i="69"/>
  <c r="AH335" i="69" s="1"/>
  <c r="AH337" i="69" s="1"/>
  <c r="AH359" i="69"/>
  <c r="AH361" i="69" s="1"/>
  <c r="AH346" i="69"/>
  <c r="AH348" i="69" s="1"/>
  <c r="AR209" i="69"/>
  <c r="AR335" i="69" s="1"/>
  <c r="AR359" i="69"/>
  <c r="AR361" i="69" s="1"/>
  <c r="AR346" i="69"/>
  <c r="AV346" i="69"/>
  <c r="AV359" i="69"/>
  <c r="AV361" i="69" s="1"/>
  <c r="AV209" i="69"/>
  <c r="AV335" i="69" s="1"/>
  <c r="AV337" i="69" s="1"/>
  <c r="AA198" i="69"/>
  <c r="N336" i="69"/>
  <c r="N360" i="69"/>
  <c r="N347" i="69"/>
  <c r="W360" i="69"/>
  <c r="W347" i="69"/>
  <c r="W336" i="69"/>
  <c r="AE360" i="69"/>
  <c r="AE361" i="69" s="1"/>
  <c r="AE336" i="69"/>
  <c r="AE347" i="69"/>
  <c r="F192" i="68"/>
  <c r="F193" i="68" s="1"/>
  <c r="F198" i="68" s="1"/>
  <c r="G165" i="68"/>
  <c r="G168" i="68" s="1"/>
  <c r="E358" i="68"/>
  <c r="E345" i="68"/>
  <c r="E334" i="68"/>
  <c r="C245" i="68"/>
  <c r="G358" i="68"/>
  <c r="G359" i="68" s="1"/>
  <c r="G345" i="68"/>
  <c r="G346" i="68" s="1"/>
  <c r="G334" i="68"/>
  <c r="G335" i="68" s="1"/>
  <c r="I345" i="68"/>
  <c r="I346" i="68" s="1"/>
  <c r="I334" i="68"/>
  <c r="I335" i="68" s="1"/>
  <c r="I358" i="68"/>
  <c r="I359" i="68" s="1"/>
  <c r="L334" i="68"/>
  <c r="L335" i="68" s="1"/>
  <c r="L358" i="68"/>
  <c r="L359" i="68" s="1"/>
  <c r="L345" i="68"/>
  <c r="L346" i="68" s="1"/>
  <c r="H345" i="68"/>
  <c r="H346" i="68" s="1"/>
  <c r="H358" i="68"/>
  <c r="H359" i="68" s="1"/>
  <c r="H334" i="68"/>
  <c r="H335" i="68" s="1"/>
  <c r="N358" i="68"/>
  <c r="N359" i="68" s="1"/>
  <c r="N345" i="68"/>
  <c r="N346" i="68" s="1"/>
  <c r="N334" i="68"/>
  <c r="N335" i="68" s="1"/>
  <c r="E58" i="69"/>
  <c r="Y360" i="69"/>
  <c r="Y336" i="69"/>
  <c r="Y347" i="69"/>
  <c r="V359" i="69"/>
  <c r="V361" i="69" s="1"/>
  <c r="V209" i="69"/>
  <c r="V335" i="69" s="1"/>
  <c r="V337" i="69" s="1"/>
  <c r="V346" i="69"/>
  <c r="V348" i="69" s="1"/>
  <c r="U198" i="69"/>
  <c r="K196" i="69"/>
  <c r="K197" i="69"/>
  <c r="K199" i="69"/>
  <c r="K193" i="69"/>
  <c r="S198" i="69"/>
  <c r="W35" i="69"/>
  <c r="W334" i="69" s="1"/>
  <c r="W342" i="69"/>
  <c r="Z359" i="69"/>
  <c r="Z361" i="69" s="1"/>
  <c r="Z346" i="69"/>
  <c r="Z209" i="69"/>
  <c r="Z335" i="69" s="1"/>
  <c r="U209" i="69"/>
  <c r="U335" i="69" s="1"/>
  <c r="U337" i="69" s="1"/>
  <c r="U359" i="69"/>
  <c r="U361" i="69" s="1"/>
  <c r="U346" i="69"/>
  <c r="U348" i="69" s="1"/>
  <c r="AJ359" i="69"/>
  <c r="AJ361" i="69" s="1"/>
  <c r="AJ346" i="69"/>
  <c r="AJ209" i="69"/>
  <c r="AJ335" i="69" s="1"/>
  <c r="AJ337" i="69" s="1"/>
  <c r="AW209" i="69"/>
  <c r="AW335" i="69" s="1"/>
  <c r="AW337" i="69" s="1"/>
  <c r="AW359" i="69"/>
  <c r="AW361" i="69" s="1"/>
  <c r="AW346" i="69"/>
  <c r="AW348" i="69" s="1"/>
  <c r="AI359" i="69"/>
  <c r="AI361" i="69" s="1"/>
  <c r="AI209" i="69"/>
  <c r="AI335" i="69" s="1"/>
  <c r="AI337" i="69" s="1"/>
  <c r="AI346" i="69"/>
  <c r="AI348" i="69" s="1"/>
  <c r="K346" i="69"/>
  <c r="K348" i="69" s="1"/>
  <c r="K209" i="69"/>
  <c r="K335" i="69" s="1"/>
  <c r="K337" i="69" s="1"/>
  <c r="K359" i="69"/>
  <c r="K361" i="69" s="1"/>
  <c r="H209" i="69"/>
  <c r="H335" i="69" s="1"/>
  <c r="H359" i="69"/>
  <c r="H346" i="69"/>
  <c r="AT359" i="69"/>
  <c r="AT361" i="69" s="1"/>
  <c r="AT346" i="69"/>
  <c r="AT348" i="69" s="1"/>
  <c r="AT209" i="69"/>
  <c r="AT335" i="69" s="1"/>
  <c r="AT337" i="69" s="1"/>
  <c r="J359" i="69"/>
  <c r="J361" i="69" s="1"/>
  <c r="J209" i="69"/>
  <c r="J335" i="69" s="1"/>
  <c r="J337" i="69" s="1"/>
  <c r="J346" i="69"/>
  <c r="J348" i="69" s="1"/>
  <c r="AF209" i="69"/>
  <c r="AF335" i="69" s="1"/>
  <c r="AF337" i="69" s="1"/>
  <c r="AF359" i="69"/>
  <c r="AF361" i="69" s="1"/>
  <c r="AF346" i="69"/>
  <c r="AF348" i="69" s="1"/>
  <c r="T359" i="69"/>
  <c r="T361" i="69" s="1"/>
  <c r="T209" i="69"/>
  <c r="T335" i="69" s="1"/>
  <c r="T337" i="69" s="1"/>
  <c r="T346" i="69"/>
  <c r="AK346" i="69"/>
  <c r="AK359" i="69"/>
  <c r="AK209" i="69"/>
  <c r="AK335" i="69" s="1"/>
  <c r="AP354" i="69"/>
  <c r="AP377" i="69" s="1"/>
  <c r="AP350" i="69"/>
  <c r="AP373" i="69"/>
  <c r="AP378" i="69" s="1"/>
  <c r="AP363" i="69"/>
  <c r="AC209" i="69"/>
  <c r="AC335" i="69" s="1"/>
  <c r="AC346" i="69"/>
  <c r="AC359" i="69"/>
  <c r="G286" i="68"/>
  <c r="H282" i="68" s="1"/>
  <c r="G288" i="68"/>
  <c r="G289" i="68" s="1"/>
  <c r="G294" i="68" s="1"/>
  <c r="C29" i="68"/>
  <c r="E33" i="68"/>
  <c r="AQ346" i="69"/>
  <c r="AQ348" i="69" s="1"/>
  <c r="AQ359" i="69"/>
  <c r="AQ361" i="69" s="1"/>
  <c r="AQ209" i="69"/>
  <c r="AQ335" i="69" s="1"/>
  <c r="AQ337" i="69" s="1"/>
  <c r="S346" i="69"/>
  <c r="S359" i="69"/>
  <c r="S361" i="69" s="1"/>
  <c r="S209" i="69"/>
  <c r="S335" i="69" s="1"/>
  <c r="S337" i="69" s="1"/>
  <c r="Q346" i="69"/>
  <c r="Q359" i="69"/>
  <c r="Q361" i="69" s="1"/>
  <c r="Q209" i="69"/>
  <c r="Q335" i="69" s="1"/>
  <c r="Q337" i="69" s="1"/>
  <c r="C214" i="69"/>
  <c r="E225" i="69"/>
  <c r="E215" i="69"/>
  <c r="E218" i="69"/>
  <c r="AD209" i="69"/>
  <c r="AD335" i="69" s="1"/>
  <c r="AD346" i="69"/>
  <c r="AD359" i="69"/>
  <c r="F209" i="69"/>
  <c r="F335" i="69" s="1"/>
  <c r="F359" i="69"/>
  <c r="F361" i="69" s="1"/>
  <c r="F373" i="69" s="1"/>
  <c r="F378" i="69" s="1"/>
  <c r="F346" i="69"/>
  <c r="AF350" i="69"/>
  <c r="AF354" i="69"/>
  <c r="AF377" i="69" s="1"/>
  <c r="AS209" i="69"/>
  <c r="AS335" i="69" s="1"/>
  <c r="AS337" i="69" s="1"/>
  <c r="AS346" i="69"/>
  <c r="AS348" i="69" s="1"/>
  <c r="AS359" i="69"/>
  <c r="AS361" i="69" s="1"/>
  <c r="AL225" i="69"/>
  <c r="AL226" i="69" s="1"/>
  <c r="AL215" i="69"/>
  <c r="AL218" i="69"/>
  <c r="AD347" i="69"/>
  <c r="AD336" i="69"/>
  <c r="AD360" i="69"/>
  <c r="AM346" i="69"/>
  <c r="AM359" i="69"/>
  <c r="AM361" i="69" s="1"/>
  <c r="AM209" i="69"/>
  <c r="AM335" i="69" s="1"/>
  <c r="AM342" i="69"/>
  <c r="AM348" i="69" s="1"/>
  <c r="AM35" i="69"/>
  <c r="AM334" i="69" s="1"/>
  <c r="AM337" i="69" s="1"/>
  <c r="AR35" i="69"/>
  <c r="AR334" i="69" s="1"/>
  <c r="AR337" i="69" s="1"/>
  <c r="AR342" i="69"/>
  <c r="AR348" i="69" s="1"/>
  <c r="Q348" i="69"/>
  <c r="O348" i="69"/>
  <c r="AV348" i="69"/>
  <c r="C98" i="69"/>
  <c r="C20" i="69"/>
  <c r="AJ348" i="69"/>
  <c r="S348" i="69"/>
  <c r="O377" i="68"/>
  <c r="G348" i="69"/>
  <c r="AE348" i="69"/>
  <c r="AE337" i="69"/>
  <c r="C244" i="69"/>
  <c r="E319" i="69"/>
  <c r="W319" i="69"/>
  <c r="Y319" i="69"/>
  <c r="T348" i="69"/>
  <c r="C103" i="69"/>
  <c r="C345" i="69"/>
  <c r="Y226" i="69"/>
  <c r="C224" i="69"/>
  <c r="R103" i="69"/>
  <c r="C101" i="69"/>
  <c r="R214" i="69"/>
  <c r="C107" i="69"/>
  <c r="H130" i="68"/>
  <c r="C130" i="68" s="1"/>
  <c r="C126" i="68"/>
  <c r="AB373" i="69" l="1"/>
  <c r="AB378" i="69" s="1"/>
  <c r="AB363" i="69"/>
  <c r="AN373" i="69"/>
  <c r="AN378" i="69" s="1"/>
  <c r="O373" i="69"/>
  <c r="O378" i="69" s="1"/>
  <c r="O363" i="69"/>
  <c r="P354" i="69"/>
  <c r="P377" i="69" s="1"/>
  <c r="P350" i="69"/>
  <c r="P373" i="69"/>
  <c r="P378" i="69" s="1"/>
  <c r="P363" i="69"/>
  <c r="AG373" i="69"/>
  <c r="AG378" i="69" s="1"/>
  <c r="AG350" i="69"/>
  <c r="AG354" i="69"/>
  <c r="L373" i="69"/>
  <c r="L378" i="69" s="1"/>
  <c r="L363" i="69"/>
  <c r="AU350" i="69"/>
  <c r="AU354" i="69"/>
  <c r="AU373" i="69"/>
  <c r="AU378" i="69" s="1"/>
  <c r="AO373" i="69"/>
  <c r="AO378" i="69" s="1"/>
  <c r="AO354" i="69"/>
  <c r="AO350" i="69"/>
  <c r="I167" i="69"/>
  <c r="I170" i="69" s="1"/>
  <c r="H194" i="69"/>
  <c r="H195" i="69" s="1"/>
  <c r="H200" i="69" s="1"/>
  <c r="S8" i="70"/>
  <c r="T6" i="70"/>
  <c r="I373" i="69"/>
  <c r="I378" i="69" s="1"/>
  <c r="I379" i="69" s="1"/>
  <c r="I363" i="69"/>
  <c r="X363" i="69"/>
  <c r="X373" i="69"/>
  <c r="X378" i="69" s="1"/>
  <c r="X379" i="69" s="1"/>
  <c r="T182" i="69"/>
  <c r="T178" i="69"/>
  <c r="U175" i="69" s="1"/>
  <c r="K176" i="68"/>
  <c r="L173" i="68" s="1"/>
  <c r="K180" i="68"/>
  <c r="J352" i="68"/>
  <c r="J375" i="68" s="1"/>
  <c r="J348" i="68"/>
  <c r="J361" i="68"/>
  <c r="J371" i="68"/>
  <c r="J376" i="68" s="1"/>
  <c r="H310" i="68"/>
  <c r="H308" i="68"/>
  <c r="I304" i="68" s="1"/>
  <c r="K371" i="68"/>
  <c r="K376" i="68" s="1"/>
  <c r="K348" i="68"/>
  <c r="K352" i="68"/>
  <c r="F352" i="68"/>
  <c r="F375" i="68" s="1"/>
  <c r="F348" i="68"/>
  <c r="F371" i="68"/>
  <c r="F376" i="68" s="1"/>
  <c r="F361" i="68"/>
  <c r="AN354" i="69"/>
  <c r="AN350" i="69"/>
  <c r="Z354" i="69"/>
  <c r="Z377" i="69" s="1"/>
  <c r="Z350" i="69"/>
  <c r="AA373" i="69"/>
  <c r="AA378" i="69" s="1"/>
  <c r="AA354" i="69"/>
  <c r="AA350" i="69"/>
  <c r="C336" i="69"/>
  <c r="E337" i="69"/>
  <c r="F348" i="69"/>
  <c r="C342" i="69"/>
  <c r="C35" i="69"/>
  <c r="F334" i="69"/>
  <c r="M359" i="69"/>
  <c r="M361" i="69" s="1"/>
  <c r="M346" i="69"/>
  <c r="M348" i="69" s="1"/>
  <c r="M209" i="69"/>
  <c r="M335" i="69" s="1"/>
  <c r="AH373" i="69"/>
  <c r="AH378" i="69" s="1"/>
  <c r="AH363" i="69"/>
  <c r="AR373" i="69"/>
  <c r="AR378" i="69" s="1"/>
  <c r="AR363" i="69"/>
  <c r="AV373" i="69"/>
  <c r="AV378" i="69" s="1"/>
  <c r="AV363" i="69"/>
  <c r="AE363" i="69"/>
  <c r="AE373" i="69"/>
  <c r="AE378" i="69" s="1"/>
  <c r="G192" i="68"/>
  <c r="G193" i="68" s="1"/>
  <c r="G198" i="68" s="1"/>
  <c r="H165" i="68"/>
  <c r="H168" i="68" s="1"/>
  <c r="E359" i="68"/>
  <c r="C358" i="68"/>
  <c r="C345" i="68"/>
  <c r="E346" i="68"/>
  <c r="G371" i="68"/>
  <c r="G376" i="68" s="1"/>
  <c r="G352" i="68"/>
  <c r="G348" i="68"/>
  <c r="I348" i="68"/>
  <c r="I352" i="68"/>
  <c r="I375" i="68" s="1"/>
  <c r="I361" i="68"/>
  <c r="I371" i="68"/>
  <c r="I376" i="68" s="1"/>
  <c r="L371" i="68"/>
  <c r="L376" i="68" s="1"/>
  <c r="L352" i="68"/>
  <c r="L348" i="68"/>
  <c r="H352" i="68"/>
  <c r="H375" i="68" s="1"/>
  <c r="H348" i="68"/>
  <c r="H371" i="68"/>
  <c r="H376" i="68" s="1"/>
  <c r="H361" i="68"/>
  <c r="N371" i="68"/>
  <c r="N376" i="68" s="1"/>
  <c r="N348" i="68"/>
  <c r="N352" i="68"/>
  <c r="E62" i="69"/>
  <c r="C62" i="69" s="1"/>
  <c r="C58" i="69"/>
  <c r="V373" i="69"/>
  <c r="V378" i="69" s="1"/>
  <c r="V354" i="69"/>
  <c r="V350" i="69"/>
  <c r="K198" i="69"/>
  <c r="Z373" i="69"/>
  <c r="Z378" i="69" s="1"/>
  <c r="Z363" i="69"/>
  <c r="U373" i="69"/>
  <c r="U378" i="69" s="1"/>
  <c r="U350" i="69"/>
  <c r="U354" i="69"/>
  <c r="AJ373" i="69"/>
  <c r="AJ378" i="69" s="1"/>
  <c r="AW373" i="69"/>
  <c r="AW378" i="69" s="1"/>
  <c r="AW354" i="69"/>
  <c r="AW350" i="69"/>
  <c r="AI373" i="69"/>
  <c r="AI378" i="69" s="1"/>
  <c r="AI354" i="69"/>
  <c r="AI350" i="69"/>
  <c r="K350" i="69"/>
  <c r="K354" i="69"/>
  <c r="K377" i="69" s="1"/>
  <c r="K373" i="69"/>
  <c r="K378" i="69" s="1"/>
  <c r="K363" i="69"/>
  <c r="AT373" i="69"/>
  <c r="AT378" i="69" s="1"/>
  <c r="AT350" i="69"/>
  <c r="AT354" i="69"/>
  <c r="J373" i="69"/>
  <c r="J378" i="69" s="1"/>
  <c r="J354" i="69"/>
  <c r="J350" i="69"/>
  <c r="AF363" i="69"/>
  <c r="AF373" i="69"/>
  <c r="AF378" i="69" s="1"/>
  <c r="AF379" i="69" s="1"/>
  <c r="T373" i="69"/>
  <c r="T378" i="69" s="1"/>
  <c r="H286" i="68"/>
  <c r="I282" i="68" s="1"/>
  <c r="H288" i="68"/>
  <c r="H289" i="68" s="1"/>
  <c r="H294" i="68" s="1"/>
  <c r="C33" i="68"/>
  <c r="E332" i="68"/>
  <c r="AQ350" i="69"/>
  <c r="AQ354" i="69"/>
  <c r="AQ377" i="69" s="1"/>
  <c r="AQ373" i="69"/>
  <c r="AQ378" i="69" s="1"/>
  <c r="AQ363" i="69"/>
  <c r="S373" i="69"/>
  <c r="S378" i="69" s="1"/>
  <c r="Q373" i="69"/>
  <c r="Q378" i="69" s="1"/>
  <c r="E226" i="69"/>
  <c r="E359" i="69"/>
  <c r="E346" i="69"/>
  <c r="E209" i="69"/>
  <c r="AS350" i="69"/>
  <c r="AS354" i="69"/>
  <c r="AS377" i="69" s="1"/>
  <c r="AS363" i="69"/>
  <c r="AS373" i="69"/>
  <c r="AS378" i="69" s="1"/>
  <c r="AL359" i="69"/>
  <c r="AL361" i="69" s="1"/>
  <c r="AL209" i="69"/>
  <c r="AL335" i="69" s="1"/>
  <c r="AL337" i="69" s="1"/>
  <c r="AL346" i="69"/>
  <c r="AL348" i="69" s="1"/>
  <c r="AM373" i="69"/>
  <c r="AM378" i="69" s="1"/>
  <c r="AM354" i="69"/>
  <c r="AM350" i="69"/>
  <c r="AR354" i="69"/>
  <c r="AR377" i="69" s="1"/>
  <c r="AR350" i="69"/>
  <c r="Q354" i="69"/>
  <c r="Q350" i="69"/>
  <c r="O354" i="69"/>
  <c r="O377" i="69" s="1"/>
  <c r="O350" i="69"/>
  <c r="AV350" i="69"/>
  <c r="AV354" i="69"/>
  <c r="AV377" i="69" s="1"/>
  <c r="AJ350" i="69"/>
  <c r="AJ354" i="69"/>
  <c r="S354" i="69"/>
  <c r="S350" i="69"/>
  <c r="G354" i="69"/>
  <c r="G350" i="69"/>
  <c r="AE354" i="69"/>
  <c r="AE377" i="69" s="1"/>
  <c r="AE350" i="69"/>
  <c r="T350" i="69"/>
  <c r="T354" i="69"/>
  <c r="R215" i="69"/>
  <c r="C215" i="69" s="1"/>
  <c r="R225" i="69"/>
  <c r="R218" i="69"/>
  <c r="C218" i="69" s="1"/>
  <c r="AD348" i="69"/>
  <c r="W361" i="69"/>
  <c r="Y337" i="69"/>
  <c r="Y361" i="69"/>
  <c r="Y348" i="69"/>
  <c r="N348" i="69"/>
  <c r="N337" i="69"/>
  <c r="N361" i="69"/>
  <c r="C360" i="69"/>
  <c r="C347" i="69"/>
  <c r="AD337" i="69"/>
  <c r="C334" i="68"/>
  <c r="W337" i="69"/>
  <c r="W348" i="69"/>
  <c r="H337" i="69"/>
  <c r="H361" i="69"/>
  <c r="H348" i="69"/>
  <c r="AK348" i="69"/>
  <c r="AK361" i="69"/>
  <c r="AK337" i="69"/>
  <c r="AP379" i="69"/>
  <c r="AC337" i="69"/>
  <c r="AC348" i="69"/>
  <c r="AC361" i="69"/>
  <c r="AD361" i="69"/>
  <c r="AB354" i="69"/>
  <c r="AB377" i="69" s="1"/>
  <c r="AB350" i="69"/>
  <c r="L354" i="69"/>
  <c r="L377" i="69" s="1"/>
  <c r="L350" i="69"/>
  <c r="G373" i="69"/>
  <c r="G378" i="69" s="1"/>
  <c r="C371" i="69"/>
  <c r="G58" i="69"/>
  <c r="G62" i="69" s="1"/>
  <c r="C54" i="69"/>
  <c r="M375" i="68"/>
  <c r="M377" i="68" s="1"/>
  <c r="M361" i="68"/>
  <c r="AH350" i="69"/>
  <c r="AH354" i="69"/>
  <c r="AH377" i="69" s="1"/>
  <c r="J167" i="69" l="1"/>
  <c r="J170" i="69" s="1"/>
  <c r="I194" i="69"/>
  <c r="I195" i="69" s="1"/>
  <c r="I200" i="69" s="1"/>
  <c r="U6" i="70"/>
  <c r="T8" i="70"/>
  <c r="U182" i="69"/>
  <c r="U178" i="69"/>
  <c r="V175" i="69" s="1"/>
  <c r="L176" i="68"/>
  <c r="M173" i="68" s="1"/>
  <c r="L180" i="68"/>
  <c r="I308" i="68"/>
  <c r="J304" i="68" s="1"/>
  <c r="I310" i="68"/>
  <c r="F350" i="69"/>
  <c r="F354" i="69"/>
  <c r="C334" i="69"/>
  <c r="F337" i="69"/>
  <c r="M373" i="69"/>
  <c r="M378" i="69" s="1"/>
  <c r="M350" i="69"/>
  <c r="M354" i="69"/>
  <c r="M337" i="69"/>
  <c r="H192" i="68"/>
  <c r="H193" i="68" s="1"/>
  <c r="H198" i="68" s="1"/>
  <c r="I165" i="68"/>
  <c r="I168" i="68" s="1"/>
  <c r="E371" i="68"/>
  <c r="C359" i="68"/>
  <c r="E348" i="68"/>
  <c r="C348" i="68" s="1"/>
  <c r="E352" i="68"/>
  <c r="E361" i="68" s="1"/>
  <c r="C361" i="68" s="1"/>
  <c r="C346" i="68"/>
  <c r="I286" i="68"/>
  <c r="J282" i="68" s="1"/>
  <c r="I288" i="68"/>
  <c r="I289" i="68" s="1"/>
  <c r="I294" i="68" s="1"/>
  <c r="E335" i="68"/>
  <c r="C335" i="68" s="1"/>
  <c r="C332" i="68"/>
  <c r="E361" i="69"/>
  <c r="E348" i="69"/>
  <c r="AL373" i="69"/>
  <c r="AL378" i="69" s="1"/>
  <c r="AL363" i="69"/>
  <c r="AL354" i="69"/>
  <c r="AL377" i="69" s="1"/>
  <c r="AL379" i="69" s="1"/>
  <c r="AL350" i="69"/>
  <c r="G363" i="69"/>
  <c r="G377" i="69"/>
  <c r="G379" i="69" s="1"/>
  <c r="R346" i="69"/>
  <c r="R359" i="69"/>
  <c r="R209" i="69"/>
  <c r="AD354" i="69"/>
  <c r="AD350" i="69"/>
  <c r="W373" i="69"/>
  <c r="W378" i="69" s="1"/>
  <c r="Y373" i="69"/>
  <c r="Y378" i="69" s="1"/>
  <c r="Y354" i="69"/>
  <c r="Y350" i="69"/>
  <c r="N354" i="69"/>
  <c r="N377" i="69" s="1"/>
  <c r="N350" i="69"/>
  <c r="N363" i="69"/>
  <c r="N373" i="69"/>
  <c r="N378" i="69" s="1"/>
  <c r="W354" i="69"/>
  <c r="W350" i="69"/>
  <c r="H363" i="69"/>
  <c r="H373" i="69"/>
  <c r="H378" i="69" s="1"/>
  <c r="H350" i="69"/>
  <c r="H354" i="69"/>
  <c r="H377" i="69" s="1"/>
  <c r="AK350" i="69"/>
  <c r="AK354" i="69"/>
  <c r="AK377" i="69" s="1"/>
  <c r="AK373" i="69"/>
  <c r="AK378" i="69" s="1"/>
  <c r="AK363" i="69"/>
  <c r="AC350" i="69"/>
  <c r="AC354" i="69"/>
  <c r="AC377" i="69" s="1"/>
  <c r="AC373" i="69"/>
  <c r="AC378" i="69" s="1"/>
  <c r="AC363" i="69"/>
  <c r="AD373" i="69"/>
  <c r="AD378" i="69" s="1"/>
  <c r="I377" i="68"/>
  <c r="H377" i="68"/>
  <c r="K379" i="69"/>
  <c r="AQ379" i="69"/>
  <c r="AS379" i="69"/>
  <c r="AR379" i="69"/>
  <c r="O379" i="69"/>
  <c r="L379" i="69"/>
  <c r="AH379" i="69"/>
  <c r="F377" i="68"/>
  <c r="AV379" i="69"/>
  <c r="AE379" i="69"/>
  <c r="AB379" i="69"/>
  <c r="P379" i="69"/>
  <c r="AU379" i="69"/>
  <c r="J377" i="68"/>
  <c r="Z379" i="69"/>
  <c r="AG377" i="69"/>
  <c r="AG379" i="69" s="1"/>
  <c r="AG363" i="69"/>
  <c r="AU377" i="69"/>
  <c r="AU363" i="69"/>
  <c r="AO377" i="69"/>
  <c r="AO379" i="69" s="1"/>
  <c r="AO363" i="69"/>
  <c r="K375" i="68"/>
  <c r="K377" i="68" s="1"/>
  <c r="K361" i="68"/>
  <c r="AN377" i="69"/>
  <c r="AN379" i="69" s="1"/>
  <c r="AN363" i="69"/>
  <c r="AA377" i="69"/>
  <c r="AA379" i="69" s="1"/>
  <c r="AA363" i="69"/>
  <c r="G375" i="68"/>
  <c r="G377" i="68" s="1"/>
  <c r="G361" i="68"/>
  <c r="L375" i="68"/>
  <c r="L377" i="68" s="1"/>
  <c r="L361" i="68"/>
  <c r="N375" i="68"/>
  <c r="N377" i="68" s="1"/>
  <c r="N361" i="68"/>
  <c r="V377" i="69"/>
  <c r="V379" i="69" s="1"/>
  <c r="V363" i="69"/>
  <c r="U377" i="69"/>
  <c r="U379" i="69" s="1"/>
  <c r="U363" i="69"/>
  <c r="AW377" i="69"/>
  <c r="AW379" i="69" s="1"/>
  <c r="AW363" i="69"/>
  <c r="AI377" i="69"/>
  <c r="AI379" i="69" s="1"/>
  <c r="AI363" i="69"/>
  <c r="AT377" i="69"/>
  <c r="AT379" i="69" s="1"/>
  <c r="AT363" i="69"/>
  <c r="J377" i="69"/>
  <c r="J379" i="69" s="1"/>
  <c r="J363" i="69"/>
  <c r="AM377" i="69"/>
  <c r="AM379" i="69" s="1"/>
  <c r="AM363" i="69"/>
  <c r="Q377" i="69"/>
  <c r="Q379" i="69" s="1"/>
  <c r="Q363" i="69"/>
  <c r="AJ377" i="69"/>
  <c r="AJ379" i="69" s="1"/>
  <c r="AJ363" i="69"/>
  <c r="S377" i="69"/>
  <c r="S379" i="69" s="1"/>
  <c r="S363" i="69"/>
  <c r="T377" i="69"/>
  <c r="T379" i="69" s="1"/>
  <c r="T363" i="69"/>
  <c r="R226" i="69"/>
  <c r="C226" i="69" s="1"/>
  <c r="C225" i="69"/>
  <c r="K167" i="69" l="1"/>
  <c r="K170" i="69" s="1"/>
  <c r="J194" i="69"/>
  <c r="J195" i="69" s="1"/>
  <c r="J200" i="69" s="1"/>
  <c r="V6" i="70"/>
  <c r="U8" i="70"/>
  <c r="V178" i="69"/>
  <c r="W175" i="69" s="1"/>
  <c r="V182" i="69"/>
  <c r="M180" i="68"/>
  <c r="M176" i="68"/>
  <c r="N173" i="68" s="1"/>
  <c r="J310" i="68"/>
  <c r="J308" i="68"/>
  <c r="K304" i="68" s="1"/>
  <c r="F363" i="69"/>
  <c r="F377" i="69"/>
  <c r="F379" i="69" s="1"/>
  <c r="I192" i="68"/>
  <c r="I193" i="68" s="1"/>
  <c r="I198" i="68" s="1"/>
  <c r="J165" i="68"/>
  <c r="J168" i="68" s="1"/>
  <c r="E376" i="68"/>
  <c r="C376" i="68" s="1"/>
  <c r="C371" i="68"/>
  <c r="E375" i="68"/>
  <c r="C352" i="68"/>
  <c r="J288" i="68"/>
  <c r="J289" i="68" s="1"/>
  <c r="J294" i="68" s="1"/>
  <c r="J286" i="68"/>
  <c r="K282" i="68" s="1"/>
  <c r="E373" i="69"/>
  <c r="C361" i="69"/>
  <c r="C348" i="69"/>
  <c r="E350" i="69"/>
  <c r="E354" i="69"/>
  <c r="E363" i="69" s="1"/>
  <c r="C337" i="69"/>
  <c r="H379" i="69"/>
  <c r="AK379" i="69"/>
  <c r="AC379" i="69"/>
  <c r="N379" i="69"/>
  <c r="M377" i="69"/>
  <c r="M379" i="69" s="1"/>
  <c r="M363" i="69"/>
  <c r="R348" i="69"/>
  <c r="C346" i="69"/>
  <c r="R361" i="69"/>
  <c r="C359" i="69"/>
  <c r="R335" i="69"/>
  <c r="C209" i="69"/>
  <c r="AD377" i="69"/>
  <c r="AD379" i="69" s="1"/>
  <c r="AD363" i="69"/>
  <c r="Y377" i="69"/>
  <c r="Y379" i="69" s="1"/>
  <c r="Y363" i="69"/>
  <c r="W377" i="69"/>
  <c r="W379" i="69" s="1"/>
  <c r="W363" i="69"/>
  <c r="K194" i="69" l="1"/>
  <c r="K195" i="69" s="1"/>
  <c r="K200" i="69" s="1"/>
  <c r="L167" i="69"/>
  <c r="L170" i="69" s="1"/>
  <c r="V8" i="70"/>
  <c r="W6" i="70"/>
  <c r="W182" i="69"/>
  <c r="W178" i="69"/>
  <c r="X175" i="69" s="1"/>
  <c r="N176" i="68"/>
  <c r="O173" i="68" s="1"/>
  <c r="N180" i="68"/>
  <c r="K310" i="68"/>
  <c r="K308" i="68"/>
  <c r="L304" i="68" s="1"/>
  <c r="K165" i="68"/>
  <c r="K168" i="68" s="1"/>
  <c r="J192" i="68"/>
  <c r="J193" i="68" s="1"/>
  <c r="J198" i="68" s="1"/>
  <c r="C375" i="68"/>
  <c r="E377" i="68"/>
  <c r="C377" i="68" s="1"/>
  <c r="K286" i="68"/>
  <c r="L282" i="68" s="1"/>
  <c r="K288" i="68"/>
  <c r="K289" i="68" s="1"/>
  <c r="K294" i="68" s="1"/>
  <c r="C373" i="69"/>
  <c r="E378" i="69"/>
  <c r="C378" i="69" s="1"/>
  <c r="E377" i="69"/>
  <c r="R354" i="69"/>
  <c r="R350" i="69"/>
  <c r="C350" i="69" s="1"/>
  <c r="R373" i="69"/>
  <c r="R378" i="69" s="1"/>
  <c r="C335" i="69"/>
  <c r="R337" i="69"/>
  <c r="L194" i="69" l="1"/>
  <c r="L195" i="69" s="1"/>
  <c r="L200" i="69" s="1"/>
  <c r="M167" i="69"/>
  <c r="M170" i="69" s="1"/>
  <c r="W8" i="70"/>
  <c r="X6" i="70"/>
  <c r="X182" i="69"/>
  <c r="X178" i="69"/>
  <c r="Y175" i="69" s="1"/>
  <c r="O180" i="68"/>
  <c r="O176" i="68"/>
  <c r="P173" i="68" s="1"/>
  <c r="L308" i="68"/>
  <c r="M304" i="68" s="1"/>
  <c r="L310" i="68"/>
  <c r="K192" i="68"/>
  <c r="K193" i="68" s="1"/>
  <c r="K198" i="68" s="1"/>
  <c r="L165" i="68"/>
  <c r="L168" i="68" s="1"/>
  <c r="L288" i="68"/>
  <c r="L289" i="68" s="1"/>
  <c r="L294" i="68" s="1"/>
  <c r="L286" i="68"/>
  <c r="M282" i="68" s="1"/>
  <c r="C377" i="69"/>
  <c r="E379" i="69"/>
  <c r="C379" i="69" s="1"/>
  <c r="R377" i="69"/>
  <c r="R379" i="69" s="1"/>
  <c r="C354" i="69"/>
  <c r="R363" i="69"/>
  <c r="C363" i="69" s="1"/>
  <c r="M194" i="69" l="1"/>
  <c r="M195" i="69" s="1"/>
  <c r="M200" i="69" s="1"/>
  <c r="N167" i="69"/>
  <c r="N170" i="69" s="1"/>
  <c r="X8" i="70"/>
  <c r="Y6" i="70"/>
  <c r="Y182" i="69"/>
  <c r="Y178" i="69"/>
  <c r="Z175" i="69" s="1"/>
  <c r="P176" i="68"/>
  <c r="P180" i="68"/>
  <c r="M308" i="68"/>
  <c r="N304" i="68" s="1"/>
  <c r="M310" i="68"/>
  <c r="M165" i="68"/>
  <c r="M168" i="68" s="1"/>
  <c r="L192" i="68"/>
  <c r="L193" i="68" s="1"/>
  <c r="L198" i="68" s="1"/>
  <c r="M288" i="68"/>
  <c r="M289" i="68" s="1"/>
  <c r="M294" i="68" s="1"/>
  <c r="M286" i="68"/>
  <c r="N282" i="68" s="1"/>
  <c r="O167" i="69" l="1"/>
  <c r="O170" i="69" s="1"/>
  <c r="N194" i="69"/>
  <c r="N195" i="69" s="1"/>
  <c r="N200" i="69" s="1"/>
  <c r="Y8" i="70"/>
  <c r="Z6" i="70"/>
  <c r="Z182" i="69"/>
  <c r="Z178" i="69"/>
  <c r="AA175" i="69" s="1"/>
  <c r="N310" i="68"/>
  <c r="N308" i="68"/>
  <c r="O304" i="68" s="1"/>
  <c r="N165" i="68"/>
  <c r="N168" i="68" s="1"/>
  <c r="M192" i="68"/>
  <c r="M193" i="68" s="1"/>
  <c r="M198" i="68" s="1"/>
  <c r="N286" i="68"/>
  <c r="O282" i="68" s="1"/>
  <c r="N288" i="68"/>
  <c r="N289" i="68" s="1"/>
  <c r="N294" i="68" s="1"/>
  <c r="P167" i="69" l="1"/>
  <c r="P170" i="69" s="1"/>
  <c r="O194" i="69"/>
  <c r="O195" i="69" s="1"/>
  <c r="O200" i="69" s="1"/>
  <c r="Z8" i="70"/>
  <c r="AA6" i="70"/>
  <c r="AA182" i="69"/>
  <c r="AA178" i="69"/>
  <c r="AB175" i="69" s="1"/>
  <c r="O310" i="68"/>
  <c r="O308" i="68"/>
  <c r="P304" i="68" s="1"/>
  <c r="N192" i="68"/>
  <c r="N193" i="68" s="1"/>
  <c r="N198" i="68" s="1"/>
  <c r="O165" i="68"/>
  <c r="O168" i="68" s="1"/>
  <c r="O288" i="68"/>
  <c r="O289" i="68" s="1"/>
  <c r="O294" i="68" s="1"/>
  <c r="O286" i="68"/>
  <c r="P282" i="68" s="1"/>
  <c r="P194" i="69" l="1"/>
  <c r="P195" i="69" s="1"/>
  <c r="P200" i="69" s="1"/>
  <c r="Q167" i="69"/>
  <c r="Q170" i="69" s="1"/>
  <c r="AA8" i="70"/>
  <c r="AB6" i="70"/>
  <c r="AB182" i="69"/>
  <c r="AB178" i="69"/>
  <c r="AC175" i="69" s="1"/>
  <c r="P310" i="68"/>
  <c r="P308" i="68"/>
  <c r="P165" i="68"/>
  <c r="P168" i="68" s="1"/>
  <c r="P192" i="68" s="1"/>
  <c r="P193" i="68" s="1"/>
  <c r="P198" i="68" s="1"/>
  <c r="O192" i="68"/>
  <c r="O193" i="68" s="1"/>
  <c r="O198" i="68" s="1"/>
  <c r="P286" i="68"/>
  <c r="P288" i="68"/>
  <c r="P289" i="68" s="1"/>
  <c r="P294" i="68" s="1"/>
  <c r="Q194" i="69" l="1"/>
  <c r="Q195" i="69" s="1"/>
  <c r="Q200" i="69" s="1"/>
  <c r="R167" i="69"/>
  <c r="R170" i="69" s="1"/>
  <c r="AB8" i="70"/>
  <c r="AC6" i="70"/>
  <c r="AC182" i="69"/>
  <c r="AC178" i="69"/>
  <c r="AD175" i="69" s="1"/>
  <c r="S167" i="69" l="1"/>
  <c r="S170" i="69" s="1"/>
  <c r="R194" i="69"/>
  <c r="R195" i="69" s="1"/>
  <c r="R200" i="69" s="1"/>
  <c r="AD6" i="70"/>
  <c r="AC8" i="70"/>
  <c r="AD182" i="69"/>
  <c r="AD178" i="69"/>
  <c r="AE175" i="69" s="1"/>
  <c r="T167" i="69" l="1"/>
  <c r="T170" i="69" s="1"/>
  <c r="S194" i="69"/>
  <c r="S195" i="69" s="1"/>
  <c r="S200" i="69" s="1"/>
  <c r="AD8" i="70"/>
  <c r="AE6" i="70"/>
  <c r="AE182" i="69"/>
  <c r="AE178" i="69"/>
  <c r="AF175" i="69" s="1"/>
  <c r="U167" i="69" l="1"/>
  <c r="U170" i="69" s="1"/>
  <c r="T194" i="69"/>
  <c r="T195" i="69" s="1"/>
  <c r="T200" i="69" s="1"/>
  <c r="AE8" i="70"/>
  <c r="AF6" i="70"/>
  <c r="AF182" i="69"/>
  <c r="AF178" i="69"/>
  <c r="AG175" i="69" s="1"/>
  <c r="V167" i="69" l="1"/>
  <c r="V170" i="69" s="1"/>
  <c r="U194" i="69"/>
  <c r="U195" i="69" s="1"/>
  <c r="U200" i="69" s="1"/>
  <c r="AF8" i="70"/>
  <c r="AG6" i="70"/>
  <c r="AG182" i="69"/>
  <c r="AG178" i="69"/>
  <c r="AH175" i="69" s="1"/>
  <c r="V194" i="69" l="1"/>
  <c r="V195" i="69" s="1"/>
  <c r="V200" i="69" s="1"/>
  <c r="W167" i="69"/>
  <c r="W170" i="69" s="1"/>
  <c r="AH6" i="70"/>
  <c r="AG8" i="70"/>
  <c r="AH182" i="69"/>
  <c r="AH178" i="69"/>
  <c r="AI175" i="69" s="1"/>
  <c r="X167" i="69" l="1"/>
  <c r="X170" i="69" s="1"/>
  <c r="W194" i="69"/>
  <c r="W195" i="69" s="1"/>
  <c r="W200" i="69" s="1"/>
  <c r="AH8" i="70"/>
  <c r="AI6" i="70"/>
  <c r="AI182" i="69"/>
  <c r="AI178" i="69"/>
  <c r="AJ175" i="69" s="1"/>
  <c r="Y167" i="69" l="1"/>
  <c r="Y170" i="69" s="1"/>
  <c r="X194" i="69"/>
  <c r="X195" i="69" s="1"/>
  <c r="X200" i="69" s="1"/>
  <c r="AJ6" i="70"/>
  <c r="AI8" i="70"/>
  <c r="AJ178" i="69"/>
  <c r="AK175" i="69" s="1"/>
  <c r="AJ182" i="69"/>
  <c r="Z167" i="69" l="1"/>
  <c r="Z170" i="69" s="1"/>
  <c r="Y194" i="69"/>
  <c r="Y195" i="69" s="1"/>
  <c r="Y200" i="69" s="1"/>
  <c r="AK6" i="70"/>
  <c r="AJ8" i="70"/>
  <c r="AK178" i="69"/>
  <c r="AL175" i="69" s="1"/>
  <c r="AK182" i="69"/>
  <c r="Z194" i="69" l="1"/>
  <c r="Z195" i="69" s="1"/>
  <c r="Z200" i="69" s="1"/>
  <c r="AA167" i="69"/>
  <c r="AA170" i="69" s="1"/>
  <c r="AL6" i="70"/>
  <c r="AK8" i="70"/>
  <c r="AL182" i="69"/>
  <c r="AL178" i="69"/>
  <c r="AM175" i="69" s="1"/>
  <c r="AA194" i="69" l="1"/>
  <c r="AA195" i="69" s="1"/>
  <c r="AA200" i="69" s="1"/>
  <c r="AB167" i="69"/>
  <c r="AB170" i="69" s="1"/>
  <c r="AL8" i="70"/>
  <c r="AM6" i="70"/>
  <c r="AM182" i="69"/>
  <c r="AM178" i="69"/>
  <c r="AN175" i="69" s="1"/>
  <c r="AC167" i="69" l="1"/>
  <c r="AC170" i="69" s="1"/>
  <c r="AB194" i="69"/>
  <c r="AB195" i="69" s="1"/>
  <c r="AB200" i="69" s="1"/>
  <c r="AM8" i="70"/>
  <c r="AN6" i="70"/>
  <c r="AN182" i="69"/>
  <c r="AN178" i="69"/>
  <c r="AO175" i="69" s="1"/>
  <c r="AD167" i="69" l="1"/>
  <c r="AD170" i="69" s="1"/>
  <c r="AC194" i="69"/>
  <c r="AC195" i="69" s="1"/>
  <c r="AC200" i="69" s="1"/>
  <c r="AO6" i="70"/>
  <c r="AN8" i="70"/>
  <c r="AO182" i="69"/>
  <c r="AO178" i="69"/>
  <c r="AP175" i="69" s="1"/>
  <c r="AD194" i="69" l="1"/>
  <c r="AD195" i="69" s="1"/>
  <c r="AD200" i="69" s="1"/>
  <c r="AE167" i="69"/>
  <c r="AE170" i="69" s="1"/>
  <c r="AP6" i="70"/>
  <c r="AO8" i="70"/>
  <c r="AP182" i="69"/>
  <c r="AP178" i="69"/>
  <c r="AQ175" i="69" s="1"/>
  <c r="AE194" i="69" l="1"/>
  <c r="AE195" i="69" s="1"/>
  <c r="AE200" i="69" s="1"/>
  <c r="AF167" i="69"/>
  <c r="AF170" i="69" s="1"/>
  <c r="AP8" i="70"/>
  <c r="AQ6" i="70"/>
  <c r="AQ182" i="69"/>
  <c r="AQ178" i="69"/>
  <c r="AR175" i="69" s="1"/>
  <c r="AF194" i="69" l="1"/>
  <c r="AF195" i="69" s="1"/>
  <c r="AF200" i="69" s="1"/>
  <c r="AG167" i="69"/>
  <c r="AG170" i="69" s="1"/>
  <c r="AQ8" i="70"/>
  <c r="AR6" i="70"/>
  <c r="AR182" i="69"/>
  <c r="AR178" i="69"/>
  <c r="AS175" i="69" s="1"/>
  <c r="AG194" i="69" l="1"/>
  <c r="AG195" i="69" s="1"/>
  <c r="AG200" i="69" s="1"/>
  <c r="AH167" i="69"/>
  <c r="AH170" i="69" s="1"/>
  <c r="AS6" i="70"/>
  <c r="AR8" i="70"/>
  <c r="AS182" i="69"/>
  <c r="AS178" i="69"/>
  <c r="AT175" i="69" s="1"/>
  <c r="AI167" i="69" l="1"/>
  <c r="AI170" i="69" s="1"/>
  <c r="AH194" i="69"/>
  <c r="AH195" i="69" s="1"/>
  <c r="AH200" i="69" s="1"/>
  <c r="AT6" i="70"/>
  <c r="AS8" i="70"/>
  <c r="AT182" i="69"/>
  <c r="AT178" i="69"/>
  <c r="AU175" i="69" s="1"/>
  <c r="AI194" i="69" l="1"/>
  <c r="AI195" i="69" s="1"/>
  <c r="AI200" i="69" s="1"/>
  <c r="AJ167" i="69"/>
  <c r="AJ170" i="69" s="1"/>
  <c r="AU6" i="70"/>
  <c r="AT8" i="70"/>
  <c r="AU182" i="69"/>
  <c r="AU178" i="69"/>
  <c r="AV175" i="69" s="1"/>
  <c r="AJ194" i="69" l="1"/>
  <c r="AJ195" i="69" s="1"/>
  <c r="AJ200" i="69" s="1"/>
  <c r="AK167" i="69"/>
  <c r="AK170" i="69" s="1"/>
  <c r="AU8" i="70"/>
  <c r="AV6" i="70"/>
  <c r="AV182" i="69"/>
  <c r="AV178" i="69"/>
  <c r="AW175" i="69" s="1"/>
  <c r="AL167" i="69" l="1"/>
  <c r="AL170" i="69" s="1"/>
  <c r="AK194" i="69"/>
  <c r="AK195" i="69" s="1"/>
  <c r="AK200" i="69" s="1"/>
  <c r="AV8" i="70"/>
  <c r="AW6" i="70"/>
  <c r="AW182" i="69"/>
  <c r="AW178" i="69"/>
  <c r="AL194" i="69" l="1"/>
  <c r="AL195" i="69" s="1"/>
  <c r="AL200" i="69" s="1"/>
  <c r="AM167" i="69"/>
  <c r="AM170" i="69" s="1"/>
  <c r="AX6" i="70"/>
  <c r="AW8" i="70"/>
  <c r="AN167" i="69" l="1"/>
  <c r="AN170" i="69" s="1"/>
  <c r="AM194" i="69"/>
  <c r="AM195" i="69" s="1"/>
  <c r="AM200" i="69" s="1"/>
  <c r="AX8" i="70"/>
  <c r="AY6" i="70"/>
  <c r="AN194" i="69" l="1"/>
  <c r="AN195" i="69" s="1"/>
  <c r="AN200" i="69" s="1"/>
  <c r="AO167" i="69"/>
  <c r="AO170" i="69" s="1"/>
  <c r="AZ6" i="70"/>
  <c r="AY8" i="70"/>
  <c r="AO194" i="69" l="1"/>
  <c r="AO195" i="69" s="1"/>
  <c r="AO200" i="69" s="1"/>
  <c r="AP167" i="69"/>
  <c r="AP170" i="69" s="1"/>
  <c r="BA6" i="70"/>
  <c r="AZ8" i="70"/>
  <c r="AQ167" i="69" l="1"/>
  <c r="AQ170" i="69" s="1"/>
  <c r="AP194" i="69"/>
  <c r="AP195" i="69" s="1"/>
  <c r="AP200" i="69" s="1"/>
  <c r="BA8" i="70"/>
  <c r="BB6" i="70"/>
  <c r="AQ194" i="69" l="1"/>
  <c r="AQ195" i="69" s="1"/>
  <c r="AQ200" i="69" s="1"/>
  <c r="AR167" i="69"/>
  <c r="AR170" i="69" s="1"/>
  <c r="BC6" i="70"/>
  <c r="BB8" i="70"/>
  <c r="AR194" i="69" l="1"/>
  <c r="AR195" i="69" s="1"/>
  <c r="AR200" i="69" s="1"/>
  <c r="AS167" i="69"/>
  <c r="AS170" i="69" s="1"/>
  <c r="BC8" i="70"/>
  <c r="BD6" i="70"/>
  <c r="AT167" i="69" l="1"/>
  <c r="AT170" i="69" s="1"/>
  <c r="AS194" i="69"/>
  <c r="AS195" i="69" s="1"/>
  <c r="AS200" i="69" s="1"/>
  <c r="BE6" i="70"/>
  <c r="BD8" i="70"/>
  <c r="AT194" i="69" l="1"/>
  <c r="AT195" i="69" s="1"/>
  <c r="AT200" i="69" s="1"/>
  <c r="AU167" i="69"/>
  <c r="AU170" i="69" s="1"/>
  <c r="BF6" i="70"/>
  <c r="BE8" i="70"/>
  <c r="AV167" i="69" l="1"/>
  <c r="AV170" i="69" s="1"/>
  <c r="AU194" i="69"/>
  <c r="AU195" i="69" s="1"/>
  <c r="AU200" i="69" s="1"/>
  <c r="BG6" i="70"/>
  <c r="BF8" i="70"/>
  <c r="AW167" i="69" l="1"/>
  <c r="AW170" i="69" s="1"/>
  <c r="AW194" i="69" s="1"/>
  <c r="AW195" i="69" s="1"/>
  <c r="AW200" i="69" s="1"/>
  <c r="AV194" i="69"/>
  <c r="AV195" i="69" s="1"/>
  <c r="AV200" i="69" s="1"/>
  <c r="BH6" i="70"/>
  <c r="BG8" i="70"/>
  <c r="BH8" i="70" l="1"/>
  <c r="BI6" i="70"/>
  <c r="BJ6" i="70" l="1"/>
  <c r="BI8" i="70"/>
  <c r="BJ8" i="70" l="1"/>
  <c r="BK6" i="70"/>
  <c r="BL6" i="70" l="1"/>
  <c r="BK8" i="70"/>
  <c r="BM6" i="70" l="1"/>
  <c r="BL8" i="70"/>
  <c r="BM8" i="70" l="1"/>
  <c r="BN6" i="70"/>
  <c r="BO6" i="70" l="1"/>
  <c r="BN8" i="70"/>
  <c r="BP6" i="70" l="1"/>
  <c r="BO8" i="70"/>
  <c r="BQ6" i="70" l="1"/>
  <c r="BP8" i="70"/>
  <c r="BR6" i="70" l="1"/>
  <c r="BQ8" i="70"/>
  <c r="BR8" i="70" l="1"/>
  <c r="BS6" i="70"/>
  <c r="BT6" i="70" l="1"/>
  <c r="BS8" i="70"/>
  <c r="BT8" i="70" l="1"/>
  <c r="BU6" i="70"/>
  <c r="BU8" i="70" l="1"/>
  <c r="BV6" i="70"/>
  <c r="BV8" i="70" l="1"/>
  <c r="BW6" i="70"/>
  <c r="BW8" i="70" l="1"/>
  <c r="BX6" i="70"/>
  <c r="BY6" i="70" l="1"/>
  <c r="BX8" i="70"/>
  <c r="BY8" i="70" l="1"/>
  <c r="BZ6" i="70"/>
  <c r="BZ8" i="70" l="1"/>
  <c r="CA6" i="70"/>
  <c r="CB6" i="70" l="1"/>
  <c r="CA8" i="70"/>
  <c r="CB8" i="70" l="1"/>
  <c r="CC6" i="70"/>
  <c r="CC8" i="70" l="1"/>
  <c r="CD6" i="70"/>
  <c r="CE6" i="70" l="1"/>
  <c r="CD8" i="70"/>
  <c r="CF6" i="70" l="1"/>
  <c r="CE8" i="70"/>
  <c r="CF8" i="70" l="1"/>
  <c r="CG6" i="70"/>
  <c r="CH6" i="70" l="1"/>
  <c r="CG8" i="70"/>
  <c r="CH8" i="70" l="1"/>
  <c r="CI6" i="70"/>
  <c r="CI8" i="70" l="1"/>
  <c r="CJ6" i="70"/>
  <c r="CJ8" i="70" l="1"/>
  <c r="CK6" i="70"/>
  <c r="CK8" i="70" l="1"/>
  <c r="CL6" i="70"/>
  <c r="CL8" i="70" l="1"/>
  <c r="CM6" i="70"/>
  <c r="CM8" i="70" l="1"/>
  <c r="CN6" i="70"/>
  <c r="CN8" i="70" l="1"/>
  <c r="CO6" i="70"/>
  <c r="CO8" i="70" l="1"/>
  <c r="CP6" i="70"/>
  <c r="CQ6" i="70" l="1"/>
  <c r="CP8" i="70"/>
  <c r="CQ8" i="70" l="1"/>
  <c r="CR6" i="70"/>
  <c r="CS6" i="70" l="1"/>
  <c r="CR8" i="70"/>
  <c r="CT6" i="70" l="1"/>
  <c r="CS8" i="70"/>
  <c r="CT8" i="70" l="1"/>
  <c r="CU6" i="70"/>
  <c r="CV6" i="70" l="1"/>
  <c r="CU8" i="70"/>
  <c r="CW6" i="70" l="1"/>
  <c r="CV8" i="70"/>
  <c r="CX6" i="70" l="1"/>
  <c r="CW8" i="70"/>
  <c r="CY6" i="70" l="1"/>
  <c r="CX8" i="70"/>
  <c r="CZ6" i="70" l="1"/>
  <c r="CY8" i="70"/>
  <c r="DA6" i="70" l="1"/>
  <c r="CZ8" i="70"/>
  <c r="DA8" i="70" l="1"/>
  <c r="DB6" i="70"/>
  <c r="DB8" i="70" l="1"/>
  <c r="DC6" i="70"/>
  <c r="DD6" i="70" l="1"/>
  <c r="DC8" i="70"/>
  <c r="DD8" i="70" l="1"/>
  <c r="DE6" i="70"/>
  <c r="DE8" i="70" l="1"/>
  <c r="DF6" i="70"/>
  <c r="DF8" i="70" l="1"/>
  <c r="DG6" i="70"/>
  <c r="DG8" i="70" l="1"/>
  <c r="DH6" i="70"/>
  <c r="DH8" i="70" l="1"/>
  <c r="DI6" i="70"/>
  <c r="DJ6" i="70" l="1"/>
  <c r="DI8" i="70"/>
  <c r="DJ8" i="70" l="1"/>
  <c r="DK6" i="70"/>
  <c r="DL6" i="70" l="1"/>
  <c r="DK8" i="70"/>
  <c r="DL8" i="70" l="1"/>
  <c r="DM6" i="70"/>
  <c r="DM8" i="70" l="1"/>
  <c r="DN6" i="70"/>
  <c r="DO6" i="70" l="1"/>
  <c r="DN8" i="70"/>
  <c r="DP6" i="70" l="1"/>
  <c r="DO8" i="70"/>
  <c r="DQ6" i="70" l="1"/>
  <c r="DP8" i="70"/>
  <c r="DR6" i="70" l="1"/>
  <c r="DQ8" i="70"/>
  <c r="DR8" i="70" l="1"/>
  <c r="DS6" i="70"/>
  <c r="DT6" i="70" l="1"/>
  <c r="DS8" i="70"/>
  <c r="DU6" i="70" l="1"/>
  <c r="DT8" i="70"/>
  <c r="DV6" i="70" l="1"/>
  <c r="DU8" i="70"/>
  <c r="DV8" i="70" l="1"/>
  <c r="DW6" i="70"/>
  <c r="DW8" i="70" l="1"/>
  <c r="DX6" i="70"/>
  <c r="DX8" i="70" l="1"/>
  <c r="DY6" i="70"/>
  <c r="DZ6" i="70" l="1"/>
  <c r="DY8" i="70"/>
  <c r="DZ8" i="70" l="1"/>
  <c r="EA6" i="70"/>
  <c r="EB6" i="70" l="1"/>
  <c r="EA8" i="70"/>
  <c r="EB8" i="70" l="1"/>
  <c r="EC6" i="70"/>
  <c r="ED6" i="70" l="1"/>
  <c r="EC8" i="70"/>
  <c r="ED8" i="70" l="1"/>
  <c r="EE6" i="70"/>
  <c r="EE8" i="70" l="1"/>
  <c r="EF6" i="70"/>
  <c r="EG6" i="70" l="1"/>
  <c r="EG8" i="70" s="1"/>
  <c r="EF8" i="70"/>
  <c r="E30" i="20"/>
  <c r="O30" i="20"/>
  <c r="E32" i="20"/>
  <c r="F32" i="20"/>
  <c r="O32" i="20"/>
  <c r="E34" i="20"/>
  <c r="F34" i="20"/>
  <c r="G34" i="20"/>
  <c r="H34" i="20"/>
  <c r="I34" i="20"/>
  <c r="J34" i="20"/>
  <c r="K34" i="20"/>
  <c r="L34" i="20"/>
  <c r="M34" i="20"/>
  <c r="N34" i="20"/>
  <c r="O34" i="20"/>
  <c r="D35" i="20"/>
  <c r="H35" i="20"/>
  <c r="I35" i="20"/>
  <c r="O35" i="20"/>
  <c r="E37" i="20"/>
  <c r="O37" i="20"/>
  <c r="E39" i="20"/>
  <c r="F39" i="20"/>
  <c r="G39" i="20"/>
  <c r="H39" i="20"/>
  <c r="I39" i="20"/>
  <c r="J39" i="20"/>
  <c r="K39" i="20"/>
  <c r="L39" i="20"/>
  <c r="M39" i="20"/>
  <c r="N39" i="20"/>
  <c r="O39" i="20"/>
  <c r="E40" i="20"/>
  <c r="F40" i="20"/>
  <c r="G40" i="20"/>
  <c r="O40" i="20"/>
  <c r="D42" i="20"/>
  <c r="E42" i="20"/>
  <c r="F42" i="20"/>
  <c r="G42" i="20"/>
  <c r="H42" i="20"/>
  <c r="I42" i="20"/>
  <c r="J42" i="20"/>
  <c r="K42" i="20"/>
  <c r="L42" i="20"/>
  <c r="M42" i="20"/>
  <c r="N42" i="20"/>
  <c r="O42" i="20"/>
  <c r="D47" i="20"/>
  <c r="E47" i="20"/>
  <c r="F47" i="20"/>
  <c r="G47" i="20"/>
  <c r="H47" i="20"/>
  <c r="I47" i="20"/>
  <c r="J47" i="20"/>
  <c r="K47" i="20"/>
  <c r="L47" i="20"/>
  <c r="M47" i="20"/>
  <c r="N47" i="20"/>
  <c r="O47" i="20"/>
  <c r="D48" i="20"/>
  <c r="E48" i="20"/>
  <c r="F48" i="20"/>
  <c r="G48" i="20"/>
  <c r="H48" i="20"/>
  <c r="I48" i="20"/>
  <c r="J48" i="20"/>
  <c r="K48" i="20"/>
  <c r="L48" i="20"/>
  <c r="M48" i="20"/>
  <c r="N48" i="20"/>
  <c r="O48" i="20"/>
  <c r="E59" i="21"/>
  <c r="F59" i="21"/>
  <c r="G59" i="21"/>
  <c r="H59" i="21"/>
  <c r="I59" i="21"/>
  <c r="J59" i="21"/>
  <c r="K59" i="21"/>
  <c r="L59" i="21"/>
  <c r="M59" i="21"/>
  <c r="N59" i="21"/>
  <c r="O59" i="21"/>
  <c r="E64" i="21"/>
  <c r="F64" i="21"/>
  <c r="G64" i="21"/>
  <c r="H64" i="21"/>
  <c r="I64" i="21"/>
  <c r="J64" i="21"/>
  <c r="K64" i="21"/>
  <c r="L64" i="21"/>
  <c r="M64" i="21"/>
  <c r="N64" i="21"/>
  <c r="O64" i="21"/>
  <c r="E65" i="21"/>
  <c r="F65" i="21"/>
  <c r="G65" i="21"/>
  <c r="H65" i="21"/>
  <c r="I65" i="21"/>
  <c r="J65" i="21"/>
  <c r="K65" i="21"/>
  <c r="L65" i="21"/>
  <c r="M65" i="21"/>
  <c r="N65" i="21"/>
  <c r="O65" i="21"/>
  <c r="E66" i="21"/>
  <c r="F66" i="21"/>
  <c r="G66" i="21"/>
  <c r="H66" i="21"/>
  <c r="I66" i="21"/>
  <c r="J66" i="21"/>
  <c r="K66" i="21"/>
  <c r="L66" i="21"/>
  <c r="M66" i="21"/>
  <c r="N66" i="21"/>
  <c r="O66" i="21"/>
  <c r="F9" i="32"/>
  <c r="G9" i="32"/>
  <c r="H9" i="32"/>
  <c r="I9" i="32"/>
  <c r="J9" i="32"/>
  <c r="K9" i="32"/>
  <c r="L9" i="32"/>
  <c r="M9" i="32"/>
  <c r="N9" i="32"/>
  <c r="D10" i="32"/>
  <c r="E10" i="32"/>
  <c r="F10" i="32"/>
  <c r="G10" i="32"/>
  <c r="H10" i="32"/>
  <c r="I10" i="32"/>
  <c r="J10" i="32"/>
  <c r="K10" i="32"/>
  <c r="L10" i="32"/>
  <c r="M10" i="32"/>
  <c r="N10" i="32"/>
  <c r="D11" i="32"/>
  <c r="E11" i="32"/>
  <c r="F11" i="32"/>
  <c r="G11" i="32"/>
  <c r="H11" i="32"/>
  <c r="I11" i="32"/>
  <c r="J11" i="32"/>
  <c r="K11" i="32"/>
  <c r="L11" i="32"/>
  <c r="M11" i="32"/>
  <c r="N11" i="32"/>
  <c r="F14" i="32"/>
  <c r="G14" i="32"/>
  <c r="H14" i="32"/>
  <c r="I14" i="32"/>
  <c r="J14" i="32"/>
  <c r="K14" i="32"/>
  <c r="L14" i="32"/>
  <c r="M14" i="32"/>
  <c r="N14" i="32"/>
  <c r="D15" i="32"/>
  <c r="E15" i="32"/>
  <c r="F15" i="32"/>
  <c r="G15" i="32"/>
  <c r="H15" i="32"/>
  <c r="I15" i="32"/>
  <c r="J15" i="32"/>
  <c r="K15" i="32"/>
  <c r="L15" i="32"/>
  <c r="M15" i="32"/>
  <c r="N15" i="32"/>
  <c r="D16" i="32"/>
  <c r="E16" i="32"/>
  <c r="F16" i="32"/>
  <c r="G16" i="32"/>
  <c r="H16" i="32"/>
  <c r="I16" i="32"/>
  <c r="J16" i="32"/>
  <c r="K16" i="32"/>
  <c r="L16" i="32"/>
  <c r="M16" i="32"/>
  <c r="N16" i="32"/>
  <c r="G17" i="32"/>
  <c r="D18" i="32"/>
  <c r="E18" i="32"/>
  <c r="F18" i="32"/>
  <c r="G18" i="32"/>
  <c r="H18" i="32"/>
  <c r="I18" i="32"/>
  <c r="J18" i="32"/>
  <c r="K18" i="32"/>
  <c r="L18" i="32"/>
  <c r="M18" i="32"/>
  <c r="N18" i="32"/>
  <c r="H21" i="32"/>
  <c r="I21" i="32"/>
  <c r="J21" i="32"/>
  <c r="K21" i="32"/>
  <c r="L21" i="32"/>
  <c r="M21" i="32"/>
  <c r="N21" i="32"/>
  <c r="G22" i="32"/>
  <c r="G23" i="32"/>
  <c r="H23" i="32"/>
  <c r="I23" i="32"/>
  <c r="J23" i="32"/>
  <c r="K23" i="32"/>
  <c r="L23" i="32"/>
  <c r="M23" i="32"/>
  <c r="N23" i="32"/>
  <c r="G24" i="32"/>
  <c r="H24" i="32"/>
  <c r="I24" i="32"/>
  <c r="J24" i="32"/>
  <c r="K24" i="32"/>
  <c r="L24" i="32"/>
  <c r="M24" i="32"/>
  <c r="N24" i="32"/>
  <c r="E27" i="32"/>
  <c r="F27" i="32"/>
  <c r="G27" i="32"/>
  <c r="H27" i="32"/>
  <c r="I27" i="32"/>
  <c r="J27" i="32"/>
  <c r="K27" i="32"/>
  <c r="L27" i="32"/>
  <c r="M27" i="32"/>
  <c r="N27" i="32"/>
  <c r="D28" i="32"/>
  <c r="E28" i="32"/>
  <c r="F28" i="32"/>
  <c r="G28" i="32"/>
  <c r="H28" i="32"/>
  <c r="I28" i="32"/>
  <c r="J28" i="32"/>
  <c r="K28" i="32"/>
  <c r="L28" i="32"/>
  <c r="M28" i="32"/>
  <c r="N28" i="32"/>
  <c r="D29" i="32"/>
  <c r="E29" i="32"/>
  <c r="F29" i="32"/>
  <c r="G29" i="32"/>
  <c r="H29" i="32"/>
  <c r="I29" i="32"/>
  <c r="J29" i="32"/>
  <c r="K29" i="32"/>
  <c r="L29" i="32"/>
  <c r="M29" i="32"/>
  <c r="N29" i="32"/>
  <c r="F32" i="32"/>
  <c r="G32" i="32"/>
  <c r="H32" i="32"/>
  <c r="I32" i="32"/>
  <c r="J32" i="32"/>
  <c r="K32" i="32"/>
  <c r="L32" i="32"/>
  <c r="M32" i="32"/>
  <c r="N32" i="32"/>
  <c r="E34" i="32"/>
  <c r="F34" i="32"/>
  <c r="G34" i="32"/>
  <c r="H34" i="32"/>
  <c r="I34" i="32"/>
  <c r="J34" i="32"/>
  <c r="K34" i="32"/>
  <c r="L34" i="32"/>
  <c r="M34" i="32"/>
  <c r="N34" i="32"/>
  <c r="E35" i="32"/>
  <c r="F35" i="32"/>
  <c r="G35" i="32"/>
  <c r="H35" i="32"/>
  <c r="I35" i="32"/>
  <c r="J35" i="32"/>
  <c r="K35" i="32"/>
  <c r="L35" i="32"/>
  <c r="M35" i="32"/>
  <c r="N35" i="32"/>
  <c r="G36" i="32"/>
  <c r="G37" i="32"/>
  <c r="E38" i="32"/>
  <c r="F38" i="32"/>
  <c r="G38" i="32"/>
  <c r="H38" i="32"/>
  <c r="I38" i="32"/>
  <c r="J38" i="32"/>
  <c r="K38" i="32"/>
  <c r="L38" i="32"/>
  <c r="M38" i="32"/>
  <c r="N38" i="32"/>
  <c r="F41" i="32"/>
  <c r="G41" i="32"/>
  <c r="H41" i="32"/>
  <c r="I41" i="32"/>
  <c r="J41" i="32"/>
  <c r="K41" i="32"/>
  <c r="L41" i="32"/>
  <c r="M41" i="32"/>
  <c r="N41" i="32"/>
  <c r="D42" i="32"/>
  <c r="E42" i="32"/>
  <c r="F42" i="32"/>
  <c r="G42" i="32"/>
  <c r="H42" i="32"/>
  <c r="I42" i="32"/>
  <c r="J42" i="32"/>
  <c r="K42" i="32"/>
  <c r="L42" i="32"/>
  <c r="M42" i="32"/>
  <c r="N42" i="32"/>
  <c r="D43" i="32"/>
  <c r="E43" i="32"/>
  <c r="F43" i="32"/>
  <c r="G43" i="32"/>
  <c r="H43" i="32"/>
  <c r="I43" i="32"/>
  <c r="J43" i="32"/>
  <c r="K43" i="32"/>
  <c r="L43" i="32"/>
  <c r="M43" i="32"/>
  <c r="N43" i="32"/>
  <c r="F46" i="32"/>
  <c r="G46" i="32"/>
  <c r="H46" i="32"/>
  <c r="I46" i="32"/>
  <c r="J46" i="32"/>
  <c r="K46" i="32"/>
  <c r="L46" i="32"/>
  <c r="M46" i="32"/>
  <c r="N46" i="32"/>
  <c r="E47" i="32"/>
  <c r="F47" i="32"/>
  <c r="G47" i="32"/>
  <c r="H47" i="32"/>
  <c r="I47" i="32"/>
  <c r="J47" i="32"/>
  <c r="K47" i="32"/>
  <c r="L47" i="32"/>
  <c r="M47" i="32"/>
  <c r="N47" i="32"/>
  <c r="D48" i="32"/>
  <c r="E48" i="32"/>
  <c r="F48" i="32"/>
  <c r="G48" i="32"/>
  <c r="H48" i="32"/>
  <c r="I48" i="32"/>
  <c r="J48" i="32"/>
  <c r="K48" i="32"/>
  <c r="L48" i="32"/>
  <c r="M48" i="32"/>
  <c r="N48" i="32"/>
  <c r="D49" i="32"/>
  <c r="E49" i="32"/>
  <c r="F49" i="32"/>
  <c r="G49" i="32"/>
  <c r="H49" i="32"/>
  <c r="I49" i="32"/>
  <c r="J49" i="32"/>
  <c r="K49" i="32"/>
  <c r="L49" i="32"/>
  <c r="M49" i="32"/>
  <c r="N49" i="32"/>
  <c r="D50" i="32"/>
  <c r="E50" i="32"/>
  <c r="F50" i="32"/>
  <c r="G50" i="32"/>
  <c r="H50" i="32"/>
  <c r="I50" i="32"/>
  <c r="J50" i="32"/>
  <c r="K50" i="32"/>
  <c r="L50" i="32"/>
  <c r="M50" i="32"/>
  <c r="N50" i="32"/>
  <c r="G51" i="32"/>
  <c r="D52" i="32"/>
  <c r="E52" i="32"/>
  <c r="F52" i="32"/>
  <c r="G52" i="32"/>
  <c r="H52" i="32"/>
  <c r="I52" i="32"/>
  <c r="J52" i="32"/>
  <c r="K52" i="32"/>
  <c r="L52" i="32"/>
  <c r="M52" i="32"/>
  <c r="N52" i="32"/>
  <c r="G53" i="32"/>
  <c r="D54" i="32"/>
  <c r="E54" i="32"/>
  <c r="F54" i="32"/>
  <c r="G54" i="32"/>
  <c r="H54" i="32"/>
  <c r="I54" i="32"/>
  <c r="J54" i="32"/>
  <c r="K54" i="32"/>
  <c r="L54" i="32"/>
  <c r="M54" i="32"/>
  <c r="N54" i="32"/>
  <c r="F57" i="32"/>
  <c r="G57" i="32"/>
  <c r="H57" i="32"/>
  <c r="I57" i="32"/>
  <c r="J57" i="32"/>
  <c r="K57" i="32"/>
  <c r="L57" i="32"/>
  <c r="M57" i="32"/>
  <c r="N57" i="32"/>
  <c r="E58" i="32"/>
  <c r="F58" i="32"/>
  <c r="G58" i="32"/>
  <c r="H58" i="32"/>
  <c r="I58" i="32"/>
  <c r="J58" i="32"/>
  <c r="K58" i="32"/>
  <c r="L58" i="32"/>
  <c r="M58" i="32"/>
  <c r="N58" i="32"/>
  <c r="E59" i="32"/>
  <c r="F59" i="32"/>
  <c r="G59" i="32"/>
  <c r="H59" i="32"/>
  <c r="I59" i="32"/>
  <c r="J59" i="32"/>
  <c r="K59" i="32"/>
  <c r="L59" i="32"/>
  <c r="M59" i="32"/>
  <c r="N59" i="32"/>
  <c r="D60" i="32"/>
  <c r="E60" i="32"/>
  <c r="F60" i="32"/>
  <c r="G60" i="32"/>
  <c r="H60" i="32"/>
  <c r="I60" i="32"/>
  <c r="J60" i="32"/>
  <c r="K60" i="32"/>
  <c r="L60" i="32"/>
  <c r="M60" i="32"/>
  <c r="N60" i="32"/>
  <c r="D61" i="32"/>
  <c r="E61" i="32"/>
  <c r="F61" i="32"/>
  <c r="G61" i="32"/>
  <c r="H61" i="32"/>
  <c r="I61" i="32"/>
  <c r="J61" i="32"/>
  <c r="K61" i="32"/>
  <c r="L61" i="32"/>
  <c r="M61" i="32"/>
  <c r="N61" i="32"/>
  <c r="G62" i="32"/>
  <c r="D63" i="32"/>
  <c r="E63" i="32"/>
  <c r="F63" i="32"/>
  <c r="G63" i="32"/>
  <c r="H63" i="32"/>
  <c r="I63" i="32"/>
  <c r="J63" i="32"/>
  <c r="K63" i="32"/>
  <c r="L63" i="32"/>
  <c r="M63" i="32"/>
  <c r="N63" i="32"/>
  <c r="F66" i="32"/>
  <c r="G66" i="32"/>
  <c r="H66" i="32"/>
  <c r="I66" i="32"/>
  <c r="J66" i="32"/>
  <c r="K66" i="32"/>
  <c r="L66" i="32"/>
  <c r="M66" i="32"/>
  <c r="N66" i="32"/>
  <c r="D67" i="32"/>
  <c r="E67" i="32"/>
  <c r="F67" i="32"/>
  <c r="G67" i="32"/>
  <c r="H67" i="32"/>
  <c r="I67" i="32"/>
  <c r="J67" i="32"/>
  <c r="K67" i="32"/>
  <c r="L67" i="32"/>
  <c r="M67" i="32"/>
  <c r="N67" i="32"/>
  <c r="D68" i="32"/>
  <c r="E68" i="32"/>
  <c r="F68" i="32"/>
  <c r="G68" i="32"/>
  <c r="H68" i="32"/>
  <c r="I68" i="32"/>
  <c r="J68" i="32"/>
  <c r="K68" i="32"/>
  <c r="L68" i="32"/>
  <c r="M68" i="32"/>
  <c r="N68" i="32"/>
  <c r="F71" i="32"/>
  <c r="G71" i="32"/>
  <c r="H71" i="32"/>
  <c r="I71" i="32"/>
  <c r="J71" i="32"/>
  <c r="K71" i="32"/>
  <c r="L71" i="32"/>
  <c r="M71" i="32"/>
  <c r="N71" i="32"/>
  <c r="E72" i="32"/>
  <c r="F72" i="32"/>
  <c r="G72" i="32"/>
  <c r="H72" i="32"/>
  <c r="I72" i="32"/>
  <c r="J72" i="32"/>
  <c r="K72" i="32"/>
  <c r="L72" i="32"/>
  <c r="M72" i="32"/>
  <c r="N72" i="32"/>
  <c r="D73" i="32"/>
  <c r="E73" i="32"/>
  <c r="F73" i="32"/>
  <c r="G73" i="32"/>
  <c r="H73" i="32"/>
  <c r="I73" i="32"/>
  <c r="J73" i="32"/>
  <c r="K73" i="32"/>
  <c r="L73" i="32"/>
  <c r="M73" i="32"/>
  <c r="N73" i="32"/>
  <c r="D74" i="32"/>
  <c r="E74" i="32"/>
  <c r="F74" i="32"/>
  <c r="G74" i="32"/>
  <c r="H74" i="32"/>
  <c r="I74" i="32"/>
  <c r="J74" i="32"/>
  <c r="K74" i="32"/>
  <c r="L74" i="32"/>
  <c r="M74" i="32"/>
  <c r="N74" i="32"/>
  <c r="D75" i="32"/>
  <c r="E75" i="32"/>
  <c r="F75" i="32"/>
  <c r="G75" i="32"/>
  <c r="H75" i="32"/>
  <c r="I75" i="32"/>
  <c r="J75" i="32"/>
  <c r="K75" i="32"/>
  <c r="L75" i="32"/>
  <c r="M75" i="32"/>
  <c r="N75" i="32"/>
  <c r="G76" i="32"/>
  <c r="D77" i="32"/>
  <c r="E77" i="32"/>
  <c r="F77" i="32"/>
  <c r="G77" i="32"/>
  <c r="H77" i="32"/>
  <c r="I77" i="32"/>
  <c r="J77" i="32"/>
  <c r="K77" i="32"/>
  <c r="L77" i="32"/>
  <c r="M77" i="32"/>
  <c r="N77" i="32"/>
  <c r="G78" i="32"/>
  <c r="D79" i="32"/>
  <c r="E79" i="32"/>
  <c r="F79" i="32"/>
  <c r="G79" i="32"/>
  <c r="H79" i="32"/>
  <c r="I79" i="32"/>
  <c r="J79" i="32"/>
  <c r="K79" i="32"/>
  <c r="L79" i="32"/>
  <c r="M79" i="32"/>
  <c r="N79" i="32"/>
  <c r="F82" i="32"/>
  <c r="G82" i="32"/>
  <c r="H82" i="32"/>
  <c r="I82" i="32"/>
  <c r="J82" i="32"/>
  <c r="K82" i="32"/>
  <c r="L82" i="32"/>
  <c r="M82" i="32"/>
  <c r="N82" i="32"/>
  <c r="E83" i="32"/>
  <c r="F83" i="32"/>
  <c r="G83" i="32"/>
  <c r="H83" i="32"/>
  <c r="I83" i="32"/>
  <c r="J83" i="32"/>
  <c r="K83" i="32"/>
  <c r="L83" i="32"/>
  <c r="M83" i="32"/>
  <c r="N83" i="32"/>
  <c r="E84" i="32"/>
  <c r="F84" i="32"/>
  <c r="G84" i="32"/>
  <c r="H84" i="32"/>
  <c r="I84" i="32"/>
  <c r="J84" i="32"/>
  <c r="K84" i="32"/>
  <c r="L84" i="32"/>
  <c r="M84" i="32"/>
  <c r="N84" i="32"/>
  <c r="D85" i="32"/>
  <c r="E85" i="32"/>
  <c r="F85" i="32"/>
  <c r="G85" i="32"/>
  <c r="H85" i="32"/>
  <c r="I85" i="32"/>
  <c r="J85" i="32"/>
  <c r="K85" i="32"/>
  <c r="L85" i="32"/>
  <c r="M85" i="32"/>
  <c r="N85" i="32"/>
  <c r="D86" i="32"/>
  <c r="E86" i="32"/>
  <c r="F86" i="32"/>
  <c r="G86" i="32"/>
  <c r="H86" i="32"/>
  <c r="I86" i="32"/>
  <c r="J86" i="32"/>
  <c r="K86" i="32"/>
  <c r="L86" i="32"/>
  <c r="M86" i="32"/>
  <c r="N86" i="32"/>
  <c r="G87" i="32"/>
  <c r="D88" i="32"/>
  <c r="E88" i="32"/>
  <c r="F88" i="32"/>
  <c r="G88" i="32"/>
  <c r="H88" i="32"/>
  <c r="I88" i="32"/>
  <c r="J88" i="32"/>
  <c r="K88" i="32"/>
  <c r="L88" i="32"/>
  <c r="M88" i="32"/>
  <c r="N88" i="32"/>
  <c r="F96" i="32"/>
  <c r="G96" i="32"/>
  <c r="H96" i="32"/>
  <c r="I96" i="32"/>
  <c r="J96" i="32"/>
  <c r="K96" i="32"/>
  <c r="L96" i="32"/>
  <c r="M96" i="32"/>
  <c r="N96" i="32"/>
  <c r="E97" i="32"/>
  <c r="F97" i="32"/>
  <c r="G97" i="32"/>
  <c r="H97" i="32"/>
  <c r="I97" i="32"/>
  <c r="J97" i="32"/>
  <c r="K97" i="32"/>
  <c r="L97" i="32"/>
  <c r="M97" i="32"/>
  <c r="N97" i="32"/>
  <c r="D99" i="32"/>
  <c r="E99" i="32"/>
  <c r="F99" i="32"/>
  <c r="G99" i="32"/>
  <c r="H99" i="32"/>
  <c r="I99" i="32"/>
  <c r="J99" i="32"/>
  <c r="K99" i="32"/>
  <c r="L99" i="32"/>
  <c r="M99" i="32"/>
  <c r="N99" i="32"/>
  <c r="D100" i="32"/>
  <c r="E100" i="32"/>
  <c r="F100" i="32"/>
  <c r="G100" i="32"/>
  <c r="H100" i="32"/>
  <c r="I100" i="32"/>
  <c r="J100" i="32"/>
  <c r="K100" i="32"/>
  <c r="L100" i="32"/>
  <c r="M100" i="32"/>
  <c r="N100" i="32"/>
  <c r="G101" i="32"/>
  <c r="D102" i="32"/>
  <c r="E102" i="32"/>
  <c r="F102" i="32"/>
  <c r="G102" i="32"/>
  <c r="H102" i="32"/>
  <c r="I102" i="32"/>
  <c r="J102" i="32"/>
  <c r="K102" i="32"/>
  <c r="L102" i="32"/>
  <c r="M102" i="32"/>
  <c r="N102" i="32"/>
  <c r="G103" i="32"/>
  <c r="D104" i="32"/>
  <c r="E104" i="32"/>
  <c r="F104" i="32"/>
  <c r="G104" i="32"/>
  <c r="H104" i="32"/>
  <c r="I104" i="32"/>
  <c r="J104" i="32"/>
  <c r="K104" i="32"/>
  <c r="L104" i="32"/>
  <c r="M104" i="32"/>
  <c r="N104" i="32"/>
  <c r="F107" i="32"/>
  <c r="G107" i="32"/>
  <c r="H107" i="32"/>
  <c r="I107" i="32"/>
  <c r="J107" i="32"/>
  <c r="K107" i="32"/>
  <c r="L107" i="32"/>
  <c r="M107" i="32"/>
  <c r="N107" i="32"/>
  <c r="E108" i="32"/>
  <c r="F108" i="32"/>
  <c r="G108" i="32"/>
  <c r="H108" i="32"/>
  <c r="I108" i="32"/>
  <c r="J108" i="32"/>
  <c r="K108" i="32"/>
  <c r="L108" i="32"/>
  <c r="M108" i="32"/>
  <c r="N108" i="32"/>
  <c r="E109" i="32"/>
  <c r="F109" i="32"/>
  <c r="G109" i="32"/>
  <c r="H109" i="32"/>
  <c r="I109" i="32"/>
  <c r="J109" i="32"/>
  <c r="K109" i="32"/>
  <c r="L109" i="32"/>
  <c r="M109" i="32"/>
  <c r="N109" i="32"/>
  <c r="D110" i="32"/>
  <c r="E110" i="32"/>
  <c r="F110" i="32"/>
  <c r="G110" i="32"/>
  <c r="H110" i="32"/>
  <c r="I110" i="32"/>
  <c r="J110" i="32"/>
  <c r="K110" i="32"/>
  <c r="L110" i="32"/>
  <c r="M110" i="32"/>
  <c r="N110" i="32"/>
  <c r="D111" i="32"/>
  <c r="E111" i="32"/>
  <c r="F111" i="32"/>
  <c r="G111" i="32"/>
  <c r="H111" i="32"/>
  <c r="I111" i="32"/>
  <c r="J111" i="32"/>
  <c r="K111" i="32"/>
  <c r="L111" i="32"/>
  <c r="M111" i="32"/>
  <c r="N111" i="32"/>
  <c r="G112" i="32"/>
  <c r="D113" i="32"/>
  <c r="E113" i="32"/>
  <c r="F113" i="32"/>
  <c r="G113" i="32"/>
  <c r="H113" i="32"/>
  <c r="I113" i="32"/>
  <c r="J113" i="32"/>
  <c r="K113" i="32"/>
  <c r="L113" i="32"/>
  <c r="M113" i="32"/>
  <c r="N113" i="32"/>
  <c r="G116" i="32"/>
  <c r="G117" i="32"/>
  <c r="G118" i="32"/>
  <c r="G120" i="32"/>
  <c r="G121" i="32"/>
  <c r="G122" i="32"/>
  <c r="G124" i="32"/>
  <c r="G125" i="32"/>
  <c r="G127" i="32"/>
  <c r="G128" i="32"/>
  <c r="G129" i="32"/>
  <c r="G130" i="32"/>
  <c r="G132" i="32"/>
  <c r="G133" i="32"/>
  <c r="G134" i="32"/>
  <c r="G135" i="32"/>
  <c r="G136" i="32"/>
  <c r="G137" i="32"/>
  <c r="G138" i="32"/>
  <c r="G139" i="32"/>
  <c r="G140" i="32"/>
  <c r="G141" i="32"/>
  <c r="G142" i="32"/>
  <c r="G143" i="32"/>
  <c r="G146" i="32"/>
  <c r="G147" i="32"/>
  <c r="G148" i="32"/>
  <c r="E151" i="32"/>
  <c r="F151" i="32"/>
  <c r="G151" i="32"/>
  <c r="H151" i="32"/>
  <c r="I151" i="32"/>
  <c r="J151" i="32"/>
  <c r="K151" i="32"/>
  <c r="L151" i="32"/>
  <c r="M151" i="32"/>
  <c r="N151" i="32"/>
  <c r="E152" i="32"/>
  <c r="F152" i="32"/>
  <c r="G152" i="32"/>
  <c r="H152" i="32"/>
  <c r="I152" i="32"/>
  <c r="J152" i="32"/>
  <c r="K152" i="32"/>
  <c r="L152" i="32"/>
  <c r="M152" i="32"/>
  <c r="N152" i="32"/>
  <c r="G153" i="32"/>
  <c r="H153" i="32"/>
  <c r="I153" i="32"/>
  <c r="J153" i="32"/>
  <c r="K153" i="32"/>
  <c r="L153" i="32"/>
  <c r="M153" i="32"/>
  <c r="N153" i="32"/>
  <c r="E155" i="32"/>
  <c r="F155" i="32"/>
  <c r="G155" i="32"/>
  <c r="H155" i="32"/>
  <c r="I155" i="32"/>
  <c r="J155" i="32"/>
  <c r="K155" i="32"/>
  <c r="L155" i="32"/>
  <c r="M155" i="32"/>
  <c r="N155" i="32"/>
  <c r="E156" i="32"/>
  <c r="F156" i="32"/>
  <c r="G156" i="32"/>
  <c r="H156" i="32"/>
  <c r="I156" i="32"/>
  <c r="J156" i="32"/>
  <c r="K156" i="32"/>
  <c r="L156" i="32"/>
  <c r="M156" i="32"/>
  <c r="N156" i="32"/>
  <c r="G159" i="32"/>
  <c r="H159" i="32"/>
  <c r="I159" i="32"/>
  <c r="J159" i="32"/>
  <c r="K159" i="32"/>
  <c r="L159" i="32"/>
  <c r="M159" i="32"/>
  <c r="N159" i="32"/>
  <c r="E160" i="32"/>
  <c r="F160" i="32"/>
  <c r="G160" i="32"/>
  <c r="H160" i="32"/>
  <c r="I160" i="32"/>
  <c r="J160" i="32"/>
  <c r="K160" i="32"/>
  <c r="L160" i="32"/>
  <c r="M160" i="32"/>
  <c r="N160" i="32"/>
  <c r="E162" i="32"/>
  <c r="F162" i="32"/>
  <c r="G162" i="32"/>
  <c r="H162" i="32"/>
  <c r="I162" i="32"/>
  <c r="J162" i="32"/>
  <c r="K162" i="32"/>
  <c r="L162" i="32"/>
  <c r="M162" i="32"/>
  <c r="N162" i="32"/>
  <c r="E163" i="32"/>
  <c r="F163" i="32"/>
  <c r="G163" i="32"/>
  <c r="H163" i="32"/>
  <c r="I163" i="32"/>
  <c r="J163" i="32"/>
  <c r="K163" i="32"/>
  <c r="L163" i="32"/>
  <c r="M163" i="32"/>
  <c r="N163" i="32"/>
  <c r="D165" i="32"/>
  <c r="E165" i="32"/>
  <c r="F165" i="32"/>
  <c r="G165" i="32"/>
  <c r="H165" i="32"/>
  <c r="I165" i="32"/>
  <c r="J165" i="32"/>
  <c r="K165" i="32"/>
  <c r="L165" i="32"/>
  <c r="M165" i="32"/>
  <c r="N165" i="32"/>
  <c r="D166" i="32"/>
  <c r="E166" i="32"/>
  <c r="F166" i="32"/>
  <c r="G166" i="32"/>
  <c r="H166" i="32"/>
  <c r="I166" i="32"/>
  <c r="J166" i="32"/>
  <c r="K166" i="32"/>
  <c r="L166" i="32"/>
  <c r="M166" i="32"/>
  <c r="N166" i="32"/>
  <c r="D168" i="32"/>
  <c r="E168" i="32"/>
  <c r="F168" i="32"/>
  <c r="G168" i="32"/>
  <c r="H168" i="32"/>
  <c r="I168" i="32"/>
  <c r="J168" i="32"/>
  <c r="K168" i="32"/>
  <c r="L168" i="32"/>
  <c r="M168" i="32"/>
  <c r="N168" i="32"/>
  <c r="D169" i="32"/>
  <c r="E169" i="32"/>
  <c r="F169" i="32"/>
  <c r="G169" i="32"/>
  <c r="H169" i="32"/>
  <c r="I169" i="32"/>
  <c r="J169" i="32"/>
  <c r="K169" i="32"/>
  <c r="L169" i="32"/>
  <c r="M169" i="32"/>
  <c r="N169" i="32"/>
  <c r="D171" i="32"/>
  <c r="E171" i="32"/>
  <c r="F171" i="32"/>
  <c r="G171" i="32"/>
  <c r="H171" i="32"/>
  <c r="I171" i="32"/>
  <c r="J171" i="32"/>
  <c r="K171" i="32"/>
  <c r="L171" i="32"/>
  <c r="M171" i="32"/>
  <c r="N171" i="32"/>
  <c r="D172" i="32"/>
  <c r="E172" i="32"/>
  <c r="F172" i="32"/>
  <c r="G172" i="32"/>
  <c r="H172" i="32"/>
  <c r="I172" i="32"/>
  <c r="J172" i="32"/>
  <c r="K172" i="32"/>
  <c r="L172" i="32"/>
  <c r="M172" i="32"/>
  <c r="N172" i="32"/>
  <c r="D175" i="32"/>
  <c r="E175" i="32"/>
  <c r="F175" i="32"/>
  <c r="G175" i="32"/>
  <c r="H175" i="32"/>
  <c r="I175" i="32"/>
  <c r="J175" i="32"/>
  <c r="K175" i="32"/>
  <c r="L175" i="32"/>
  <c r="M175" i="32"/>
  <c r="N175" i="32"/>
  <c r="D176" i="32"/>
  <c r="E176" i="32"/>
  <c r="F176" i="32"/>
  <c r="G176" i="32"/>
  <c r="H176" i="32"/>
  <c r="I176" i="32"/>
  <c r="J176" i="32"/>
  <c r="K176" i="32"/>
  <c r="L176" i="32"/>
  <c r="M176" i="32"/>
  <c r="N176" i="32"/>
  <c r="D177" i="32"/>
  <c r="E177" i="32"/>
  <c r="F177" i="32"/>
  <c r="G177" i="32"/>
  <c r="H177" i="32"/>
  <c r="I177" i="32"/>
  <c r="J177" i="32"/>
  <c r="K177" i="32"/>
  <c r="L177" i="32"/>
  <c r="M177" i="32"/>
  <c r="N177" i="32"/>
  <c r="E180" i="32"/>
  <c r="F180" i="32"/>
  <c r="G180" i="32"/>
  <c r="H180" i="32"/>
  <c r="I180" i="32"/>
  <c r="J180" i="32"/>
  <c r="K180" i="32"/>
  <c r="L180" i="32"/>
  <c r="M180" i="32"/>
  <c r="N180" i="32"/>
  <c r="E183" i="32"/>
  <c r="F183" i="32"/>
  <c r="G183" i="32"/>
  <c r="H183" i="32"/>
  <c r="I183" i="32"/>
  <c r="J183" i="32"/>
  <c r="K183" i="32"/>
  <c r="L183" i="32"/>
  <c r="M183" i="32"/>
  <c r="N183" i="32"/>
  <c r="E186" i="32"/>
  <c r="F186" i="32"/>
  <c r="G186" i="32"/>
  <c r="H186" i="32"/>
  <c r="I186" i="32"/>
  <c r="J186" i="32"/>
  <c r="K186" i="32"/>
  <c r="L186" i="32"/>
  <c r="M186" i="32"/>
  <c r="N186" i="32"/>
  <c r="E187" i="32"/>
  <c r="F187" i="32"/>
  <c r="G187" i="32"/>
  <c r="H187" i="32"/>
  <c r="I187" i="32"/>
  <c r="J187" i="32"/>
  <c r="K187" i="32"/>
  <c r="L187" i="32"/>
  <c r="M187" i="32"/>
  <c r="N187" i="32"/>
  <c r="E188" i="32"/>
  <c r="F188" i="32"/>
  <c r="G188" i="32"/>
  <c r="H188" i="32"/>
  <c r="I188" i="32"/>
  <c r="J188" i="32"/>
  <c r="K188" i="32"/>
  <c r="L188" i="32"/>
  <c r="M188" i="32"/>
  <c r="N188" i="32"/>
  <c r="E190" i="32"/>
  <c r="F190" i="32"/>
  <c r="G190" i="32"/>
  <c r="H190" i="32"/>
  <c r="I190" i="32"/>
  <c r="J190" i="32"/>
  <c r="K190" i="32"/>
  <c r="L190" i="32"/>
  <c r="M190" i="32"/>
  <c r="N190" i="32"/>
  <c r="E192" i="32"/>
  <c r="F192" i="32"/>
  <c r="G192" i="32"/>
  <c r="H192" i="32"/>
  <c r="I192" i="32"/>
  <c r="J192" i="32"/>
  <c r="K192" i="32"/>
  <c r="L192" i="32"/>
  <c r="M192" i="32"/>
  <c r="N192" i="32"/>
  <c r="E193" i="32"/>
  <c r="F193" i="32"/>
  <c r="G193" i="32"/>
  <c r="H193" i="32"/>
  <c r="I193" i="32"/>
  <c r="J193" i="32"/>
  <c r="K193" i="32"/>
  <c r="L193" i="32"/>
  <c r="M193" i="32"/>
  <c r="N193" i="32"/>
  <c r="E194" i="32"/>
  <c r="F194" i="32"/>
  <c r="G194" i="32"/>
  <c r="H194" i="32"/>
  <c r="I194" i="32"/>
  <c r="J194" i="32"/>
  <c r="K194" i="32"/>
  <c r="L194" i="32"/>
  <c r="M194" i="32"/>
  <c r="N194" i="32"/>
  <c r="E195" i="32"/>
  <c r="F195" i="32"/>
  <c r="G195" i="32"/>
  <c r="H195" i="32"/>
  <c r="I195" i="32"/>
  <c r="J195" i="32"/>
  <c r="K195" i="32"/>
  <c r="L195" i="32"/>
  <c r="M195" i="32"/>
  <c r="N195" i="32"/>
  <c r="E196" i="32"/>
  <c r="F196" i="32"/>
  <c r="G196" i="32"/>
  <c r="H196" i="32"/>
  <c r="I196" i="32"/>
  <c r="J196" i="32"/>
  <c r="K196" i="32"/>
  <c r="L196" i="32"/>
  <c r="M196" i="32"/>
  <c r="N196" i="32"/>
  <c r="E197" i="32"/>
  <c r="F197" i="32"/>
  <c r="G197" i="32"/>
  <c r="H197" i="32"/>
  <c r="I197" i="32"/>
  <c r="J197" i="32"/>
  <c r="K197" i="32"/>
  <c r="L197" i="32"/>
  <c r="M197" i="32"/>
  <c r="N197" i="32"/>
  <c r="E198" i="32"/>
  <c r="F198" i="32"/>
  <c r="G198" i="32"/>
  <c r="H198" i="32"/>
  <c r="I198" i="32"/>
  <c r="J198" i="32"/>
  <c r="K198" i="32"/>
  <c r="L198" i="32"/>
  <c r="M198" i="32"/>
  <c r="N198" i="32"/>
  <c r="C203" i="32"/>
  <c r="D203" i="32"/>
  <c r="E203" i="32"/>
  <c r="F203" i="32"/>
  <c r="G203" i="32"/>
  <c r="D206" i="32"/>
  <c r="E206" i="32"/>
  <c r="F206" i="32"/>
  <c r="G206" i="32"/>
  <c r="D207" i="32"/>
  <c r="E207" i="32"/>
  <c r="F207" i="32"/>
  <c r="G207" i="32"/>
  <c r="D208" i="32"/>
  <c r="E208" i="32"/>
  <c r="F208" i="32"/>
  <c r="G208" i="32"/>
  <c r="G211" i="32"/>
  <c r="D212" i="32"/>
  <c r="E212" i="32"/>
  <c r="F212" i="32"/>
  <c r="G212" i="32"/>
  <c r="D214" i="32"/>
  <c r="E214" i="32"/>
  <c r="F214" i="32"/>
  <c r="G214" i="32"/>
  <c r="D215" i="32"/>
  <c r="E215" i="32"/>
  <c r="F215" i="32"/>
  <c r="G215" i="32"/>
  <c r="D216" i="32"/>
  <c r="E216" i="32"/>
  <c r="F216" i="32"/>
  <c r="G216" i="32"/>
  <c r="G219" i="32"/>
  <c r="D220" i="32"/>
  <c r="E220" i="32"/>
  <c r="F220" i="32"/>
  <c r="G220" i="32"/>
  <c r="D223" i="32"/>
  <c r="E223" i="32"/>
  <c r="F223" i="32"/>
  <c r="G223" i="32"/>
  <c r="D224" i="32"/>
  <c r="E224" i="32"/>
  <c r="F224" i="32"/>
  <c r="G224" i="32"/>
  <c r="G227" i="32"/>
  <c r="D228" i="32"/>
  <c r="E228" i="32"/>
  <c r="F228" i="32"/>
  <c r="G228" i="32"/>
  <c r="D231" i="32"/>
  <c r="E231" i="32"/>
  <c r="F231" i="32"/>
  <c r="G231" i="32"/>
  <c r="D232" i="32"/>
  <c r="E232" i="32"/>
  <c r="F232" i="32"/>
  <c r="G232" i="32"/>
  <c r="G233" i="32"/>
  <c r="D234" i="32"/>
  <c r="E234" i="32"/>
  <c r="F234" i="32"/>
  <c r="G234" i="32"/>
  <c r="G235" i="32"/>
  <c r="C236" i="32"/>
  <c r="D236" i="32"/>
  <c r="E236" i="32"/>
  <c r="F236" i="32"/>
  <c r="G236" i="32"/>
  <c r="G238" i="32"/>
  <c r="G239" i="32"/>
  <c r="G240" i="32"/>
  <c r="G241" i="32"/>
  <c r="D244" i="32"/>
  <c r="E244" i="32"/>
  <c r="F244" i="32"/>
  <c r="G244" i="32"/>
  <c r="D245" i="32"/>
  <c r="E245" i="32"/>
  <c r="F245" i="32"/>
  <c r="G245" i="32"/>
  <c r="H245" i="32"/>
  <c r="I245" i="32"/>
  <c r="J245" i="32"/>
  <c r="K245" i="32"/>
  <c r="L245" i="32"/>
  <c r="M245" i="32"/>
  <c r="N245" i="32"/>
  <c r="C246" i="32"/>
  <c r="D246" i="32"/>
  <c r="E246" i="32"/>
  <c r="F246" i="32"/>
  <c r="G246" i="32"/>
  <c r="H246" i="32"/>
  <c r="I246" i="32"/>
  <c r="J246" i="32"/>
  <c r="K246" i="32"/>
  <c r="L246" i="32"/>
  <c r="M246" i="32"/>
  <c r="N246" i="32"/>
  <c r="G248" i="32"/>
  <c r="G249" i="32"/>
  <c r="G250" i="32"/>
  <c r="G251" i="32"/>
  <c r="D254" i="32"/>
  <c r="E254" i="32"/>
  <c r="F254" i="32"/>
  <c r="G254" i="32"/>
  <c r="H254" i="32"/>
  <c r="I254" i="32"/>
  <c r="J254" i="32"/>
  <c r="K254" i="32"/>
  <c r="L254" i="32"/>
  <c r="M254" i="32"/>
  <c r="N254" i="32"/>
  <c r="D255" i="32"/>
  <c r="E255" i="32"/>
  <c r="F255" i="32"/>
  <c r="G255" i="32"/>
  <c r="H255" i="32"/>
  <c r="I255" i="32"/>
  <c r="J255" i="32"/>
  <c r="K255" i="32"/>
  <c r="L255" i="32"/>
  <c r="M255" i="32"/>
  <c r="N255" i="32"/>
  <c r="C256" i="32"/>
  <c r="D256" i="32"/>
  <c r="E256" i="32"/>
  <c r="F256" i="32"/>
  <c r="G256" i="32"/>
  <c r="H256" i="32"/>
  <c r="I256" i="32"/>
  <c r="J256" i="32"/>
  <c r="K256" i="32"/>
  <c r="L256" i="32"/>
  <c r="M256" i="32"/>
  <c r="N256" i="32"/>
  <c r="G258" i="32"/>
  <c r="G259" i="32"/>
  <c r="G260" i="32"/>
  <c r="G261" i="32"/>
  <c r="C264" i="32"/>
  <c r="D264" i="32"/>
  <c r="E264" i="32"/>
  <c r="F264" i="32"/>
  <c r="G264" i="32"/>
  <c r="G266" i="32"/>
  <c r="G267" i="32"/>
  <c r="G268" i="32"/>
  <c r="G269" i="32"/>
  <c r="G275" i="32"/>
  <c r="G276" i="32"/>
  <c r="G277" i="32"/>
  <c r="D280" i="32"/>
  <c r="E280" i="32"/>
  <c r="F280" i="32"/>
  <c r="G280" i="32"/>
  <c r="D281" i="32"/>
  <c r="E281" i="32"/>
  <c r="F281" i="32"/>
  <c r="G281" i="32"/>
  <c r="G282" i="32"/>
  <c r="G283" i="32"/>
  <c r="C284" i="32"/>
  <c r="D284" i="32"/>
  <c r="E284" i="32"/>
  <c r="F284" i="32"/>
  <c r="G284" i="32"/>
  <c r="D287" i="32"/>
  <c r="E287" i="32"/>
  <c r="F287" i="32"/>
  <c r="G287" i="32"/>
  <c r="D288" i="32"/>
  <c r="E288" i="32"/>
  <c r="F288" i="32"/>
  <c r="G288" i="32"/>
  <c r="G289" i="32"/>
  <c r="G290" i="32"/>
  <c r="C291" i="32"/>
  <c r="D291" i="32"/>
  <c r="E291" i="32"/>
  <c r="F291" i="32"/>
  <c r="G291" i="32"/>
  <c r="D295" i="32"/>
  <c r="E295" i="32"/>
  <c r="F295" i="32"/>
  <c r="G295" i="32"/>
  <c r="G296" i="32"/>
  <c r="G297" i="32"/>
  <c r="C298" i="32"/>
  <c r="D298" i="32"/>
  <c r="E298" i="32"/>
  <c r="F298" i="32"/>
  <c r="G298" i="32"/>
  <c r="D301" i="32"/>
  <c r="E301" i="32"/>
  <c r="F301" i="32"/>
  <c r="G301" i="32"/>
  <c r="D302" i="32"/>
  <c r="E302" i="32"/>
  <c r="F302" i="32"/>
  <c r="G302" i="32"/>
  <c r="H302" i="32"/>
  <c r="I302" i="32"/>
  <c r="J302" i="32"/>
  <c r="K302" i="32"/>
  <c r="L302" i="32"/>
  <c r="M302" i="32"/>
  <c r="N302" i="32"/>
  <c r="G303" i="32"/>
  <c r="C304" i="32"/>
  <c r="D304" i="32"/>
  <c r="E304" i="32"/>
  <c r="F304" i="32"/>
  <c r="G304" i="32"/>
  <c r="H304" i="32"/>
  <c r="I304" i="32"/>
  <c r="J304" i="32"/>
  <c r="K304" i="32"/>
  <c r="L304" i="32"/>
  <c r="M304" i="32"/>
  <c r="N304" i="32"/>
  <c r="J5" i="67"/>
  <c r="J6" i="67"/>
  <c r="D20" i="67"/>
  <c r="P3" i="75"/>
  <c r="S3" i="75"/>
  <c r="X3" i="75"/>
  <c r="Y3" i="75"/>
  <c r="Z3" i="75"/>
  <c r="AA3" i="75"/>
  <c r="F31" i="2"/>
  <c r="EH31" i="2"/>
  <c r="F33" i="2"/>
  <c r="G33" i="2"/>
  <c r="H33" i="2"/>
  <c r="I33" i="2"/>
  <c r="J33" i="2"/>
  <c r="K33" i="2"/>
  <c r="L33" i="2"/>
  <c r="M33" i="2"/>
  <c r="N33" i="2"/>
  <c r="O33" i="2"/>
  <c r="P33" i="2"/>
  <c r="Q33" i="2"/>
  <c r="R33" i="2"/>
  <c r="EH33" i="2"/>
  <c r="F35" i="2"/>
  <c r="G35" i="2"/>
  <c r="H35" i="2"/>
  <c r="I35" i="2"/>
  <c r="J35" i="2"/>
  <c r="K35" i="2"/>
  <c r="L35" i="2"/>
  <c r="M35" i="2"/>
  <c r="N35" i="2"/>
  <c r="O35" i="2"/>
  <c r="P35" i="2"/>
  <c r="Q35" i="2"/>
  <c r="R35" i="2"/>
  <c r="S35" i="2"/>
  <c r="T35" i="2"/>
  <c r="U35" i="2"/>
  <c r="V35" i="2"/>
  <c r="W35" i="2"/>
  <c r="X35" i="2"/>
  <c r="Y35" i="2"/>
  <c r="Z35" i="2"/>
  <c r="AA35" i="2"/>
  <c r="AB35" i="2"/>
  <c r="AC35" i="2"/>
  <c r="AD35" i="2"/>
  <c r="AE35" i="2"/>
  <c r="AF35" i="2"/>
  <c r="AG35" i="2"/>
  <c r="AH35" i="2"/>
  <c r="AI35" i="2"/>
  <c r="AJ35" i="2"/>
  <c r="AK35" i="2"/>
  <c r="AL35" i="2"/>
  <c r="AM35" i="2"/>
  <c r="AN35" i="2"/>
  <c r="AO35" i="2"/>
  <c r="AP35" i="2"/>
  <c r="AQ35" i="2"/>
  <c r="AR35" i="2"/>
  <c r="AS35" i="2"/>
  <c r="AT35" i="2"/>
  <c r="AU35" i="2"/>
  <c r="AV35" i="2"/>
  <c r="AW35" i="2"/>
  <c r="AX35" i="2"/>
  <c r="AY35" i="2"/>
  <c r="AZ35" i="2"/>
  <c r="BA35" i="2"/>
  <c r="BB35" i="2"/>
  <c r="BC35" i="2"/>
  <c r="BD35" i="2"/>
  <c r="BE35" i="2"/>
  <c r="BF35" i="2"/>
  <c r="BG35" i="2"/>
  <c r="BH35" i="2"/>
  <c r="BI35" i="2"/>
  <c r="BJ35" i="2"/>
  <c r="BK35" i="2"/>
  <c r="BL35" i="2"/>
  <c r="BM35" i="2"/>
  <c r="BN35" i="2"/>
  <c r="BO35" i="2"/>
  <c r="BP35" i="2"/>
  <c r="BQ35" i="2"/>
  <c r="BR35" i="2"/>
  <c r="BS35" i="2"/>
  <c r="BT35" i="2"/>
  <c r="BU35" i="2"/>
  <c r="BV35" i="2"/>
  <c r="BW35" i="2"/>
  <c r="BX35" i="2"/>
  <c r="BY35" i="2"/>
  <c r="BZ35" i="2"/>
  <c r="CA35" i="2"/>
  <c r="CB35" i="2"/>
  <c r="CC35" i="2"/>
  <c r="CD35" i="2"/>
  <c r="CE35" i="2"/>
  <c r="CF35" i="2"/>
  <c r="CG35" i="2"/>
  <c r="CH35" i="2"/>
  <c r="CI35" i="2"/>
  <c r="CJ35" i="2"/>
  <c r="CK35" i="2"/>
  <c r="CL35" i="2"/>
  <c r="CM35" i="2"/>
  <c r="CN35" i="2"/>
  <c r="CO35" i="2"/>
  <c r="CP35" i="2"/>
  <c r="CQ35" i="2"/>
  <c r="CR35" i="2"/>
  <c r="CS35" i="2"/>
  <c r="CT35" i="2"/>
  <c r="CU35" i="2"/>
  <c r="CV35" i="2"/>
  <c r="CW35" i="2"/>
  <c r="CX35" i="2"/>
  <c r="CY35" i="2"/>
  <c r="CZ35" i="2"/>
  <c r="DA35" i="2"/>
  <c r="DB35" i="2"/>
  <c r="DC35" i="2"/>
  <c r="DD35" i="2"/>
  <c r="DE35" i="2"/>
  <c r="DF35" i="2"/>
  <c r="DG35" i="2"/>
  <c r="DH35" i="2"/>
  <c r="DI35" i="2"/>
  <c r="DJ35" i="2"/>
  <c r="DK35" i="2"/>
  <c r="DL35" i="2"/>
  <c r="DM35" i="2"/>
  <c r="DN35" i="2"/>
  <c r="DO35" i="2"/>
  <c r="DP35" i="2"/>
  <c r="DQ35" i="2"/>
  <c r="DR35" i="2"/>
  <c r="DS35" i="2"/>
  <c r="DT35" i="2"/>
  <c r="DU35" i="2"/>
  <c r="DV35" i="2"/>
  <c r="DW35" i="2"/>
  <c r="DX35" i="2"/>
  <c r="DY35" i="2"/>
  <c r="DZ35" i="2"/>
  <c r="EA35" i="2"/>
  <c r="EB35" i="2"/>
  <c r="EC35" i="2"/>
  <c r="ED35" i="2"/>
  <c r="EE35" i="2"/>
  <c r="EF35" i="2"/>
  <c r="EG35" i="2"/>
  <c r="EH35" i="2"/>
  <c r="E36" i="2"/>
  <c r="AP36" i="2"/>
  <c r="BB36" i="2"/>
  <c r="EH36" i="2"/>
  <c r="F38" i="2"/>
  <c r="EH38" i="2"/>
  <c r="F40" i="2"/>
  <c r="G40" i="2"/>
  <c r="H40" i="2"/>
  <c r="I40" i="2"/>
  <c r="J40" i="2"/>
  <c r="K40" i="2"/>
  <c r="L40" i="2"/>
  <c r="M40" i="2"/>
  <c r="N40" i="2"/>
  <c r="O40" i="2"/>
  <c r="P40" i="2"/>
  <c r="Q40" i="2"/>
  <c r="R40" i="2"/>
  <c r="S40" i="2"/>
  <c r="T40" i="2"/>
  <c r="U40" i="2"/>
  <c r="V40" i="2"/>
  <c r="W40" i="2"/>
  <c r="X40" i="2"/>
  <c r="Y40" i="2"/>
  <c r="Z40" i="2"/>
  <c r="AA40" i="2"/>
  <c r="AB40" i="2"/>
  <c r="AC40" i="2"/>
  <c r="AD40" i="2"/>
  <c r="AE40" i="2"/>
  <c r="AF40" i="2"/>
  <c r="AG40" i="2"/>
  <c r="AH40" i="2"/>
  <c r="AI40" i="2"/>
  <c r="AJ40" i="2"/>
  <c r="AK40" i="2"/>
  <c r="AL40" i="2"/>
  <c r="AM40" i="2"/>
  <c r="AN40" i="2"/>
  <c r="AO40" i="2"/>
  <c r="AP40" i="2"/>
  <c r="AQ40" i="2"/>
  <c r="AR40" i="2"/>
  <c r="AS40" i="2"/>
  <c r="AT40" i="2"/>
  <c r="AU40" i="2"/>
  <c r="AV40" i="2"/>
  <c r="AW40" i="2"/>
  <c r="AX40" i="2"/>
  <c r="AY40" i="2"/>
  <c r="AZ40" i="2"/>
  <c r="BA40" i="2"/>
  <c r="BB40" i="2"/>
  <c r="BC40" i="2"/>
  <c r="BD40" i="2"/>
  <c r="BE40" i="2"/>
  <c r="BF40" i="2"/>
  <c r="BG40" i="2"/>
  <c r="BH40" i="2"/>
  <c r="BI40" i="2"/>
  <c r="BJ40" i="2"/>
  <c r="BK40" i="2"/>
  <c r="BL40" i="2"/>
  <c r="BM40" i="2"/>
  <c r="BN40" i="2"/>
  <c r="BO40" i="2"/>
  <c r="BP40" i="2"/>
  <c r="BQ40" i="2"/>
  <c r="BR40" i="2"/>
  <c r="BS40" i="2"/>
  <c r="BT40" i="2"/>
  <c r="BU40" i="2"/>
  <c r="BV40" i="2"/>
  <c r="BW40" i="2"/>
  <c r="BX40" i="2"/>
  <c r="BY40" i="2"/>
  <c r="BZ40" i="2"/>
  <c r="CA40" i="2"/>
  <c r="CB40" i="2"/>
  <c r="CC40" i="2"/>
  <c r="CD40" i="2"/>
  <c r="CE40" i="2"/>
  <c r="CF40" i="2"/>
  <c r="CG40" i="2"/>
  <c r="CH40" i="2"/>
  <c r="CI40" i="2"/>
  <c r="CJ40" i="2"/>
  <c r="CK40" i="2"/>
  <c r="CL40" i="2"/>
  <c r="CM40" i="2"/>
  <c r="CN40" i="2"/>
  <c r="CO40" i="2"/>
  <c r="CP40" i="2"/>
  <c r="CQ40" i="2"/>
  <c r="CR40" i="2"/>
  <c r="CS40" i="2"/>
  <c r="CT40" i="2"/>
  <c r="CU40" i="2"/>
  <c r="CV40" i="2"/>
  <c r="CW40" i="2"/>
  <c r="CX40" i="2"/>
  <c r="CY40" i="2"/>
  <c r="CZ40" i="2"/>
  <c r="DA40" i="2"/>
  <c r="DB40" i="2"/>
  <c r="DC40" i="2"/>
  <c r="DD40" i="2"/>
  <c r="DE40" i="2"/>
  <c r="DF40" i="2"/>
  <c r="DG40" i="2"/>
  <c r="DH40" i="2"/>
  <c r="DI40" i="2"/>
  <c r="DJ40" i="2"/>
  <c r="DK40" i="2"/>
  <c r="DL40" i="2"/>
  <c r="DM40" i="2"/>
  <c r="DN40" i="2"/>
  <c r="DO40" i="2"/>
  <c r="DP40" i="2"/>
  <c r="DQ40" i="2"/>
  <c r="DR40" i="2"/>
  <c r="DS40" i="2"/>
  <c r="DT40" i="2"/>
  <c r="DU40" i="2"/>
  <c r="DV40" i="2"/>
  <c r="DW40" i="2"/>
  <c r="DX40" i="2"/>
  <c r="DY40" i="2"/>
  <c r="DZ40" i="2"/>
  <c r="EA40" i="2"/>
  <c r="EB40" i="2"/>
  <c r="EC40" i="2"/>
  <c r="ED40" i="2"/>
  <c r="EE40" i="2"/>
  <c r="EF40" i="2"/>
  <c r="EG40" i="2"/>
  <c r="EH40" i="2"/>
  <c r="F41" i="2"/>
  <c r="G41" i="2"/>
  <c r="H41" i="2"/>
  <c r="I41" i="2"/>
  <c r="J41" i="2"/>
  <c r="K41" i="2"/>
  <c r="L41" i="2"/>
  <c r="M41" i="2"/>
  <c r="N41" i="2"/>
  <c r="O41" i="2"/>
  <c r="P41" i="2"/>
  <c r="Q41" i="2"/>
  <c r="R41" i="2"/>
  <c r="S41" i="2"/>
  <c r="T41" i="2"/>
  <c r="U41" i="2"/>
  <c r="V41" i="2"/>
  <c r="W41" i="2"/>
  <c r="X41" i="2"/>
  <c r="Y41" i="2"/>
  <c r="Z41" i="2"/>
  <c r="AA41" i="2"/>
  <c r="AB41" i="2"/>
  <c r="AC41" i="2"/>
  <c r="AD41" i="2"/>
  <c r="EH41" i="2"/>
  <c r="E43" i="2"/>
  <c r="F43" i="2"/>
  <c r="G43" i="2"/>
  <c r="H43" i="2"/>
  <c r="I43" i="2"/>
  <c r="J43" i="2"/>
  <c r="K43" i="2"/>
  <c r="L43" i="2"/>
  <c r="M43" i="2"/>
  <c r="N43" i="2"/>
  <c r="O43" i="2"/>
  <c r="P43" i="2"/>
  <c r="Q43" i="2"/>
  <c r="R43" i="2"/>
  <c r="S43" i="2"/>
  <c r="T43" i="2"/>
  <c r="U43" i="2"/>
  <c r="V43" i="2"/>
  <c r="W43" i="2"/>
  <c r="X43" i="2"/>
  <c r="Y43" i="2"/>
  <c r="Z43" i="2"/>
  <c r="AA43" i="2"/>
  <c r="AB43" i="2"/>
  <c r="AC43" i="2"/>
  <c r="AD43" i="2"/>
  <c r="AE43" i="2"/>
  <c r="AF43" i="2"/>
  <c r="AG43" i="2"/>
  <c r="AH43" i="2"/>
  <c r="AI43" i="2"/>
  <c r="AJ43" i="2"/>
  <c r="AK43" i="2"/>
  <c r="AL43" i="2"/>
  <c r="AM43" i="2"/>
  <c r="AN43" i="2"/>
  <c r="AO43" i="2"/>
  <c r="AP43" i="2"/>
  <c r="AQ43" i="2"/>
  <c r="AR43" i="2"/>
  <c r="AS43" i="2"/>
  <c r="AT43" i="2"/>
  <c r="AU43" i="2"/>
  <c r="AV43" i="2"/>
  <c r="AW43" i="2"/>
  <c r="AX43" i="2"/>
  <c r="AY43" i="2"/>
  <c r="AZ43" i="2"/>
  <c r="BA43" i="2"/>
  <c r="BB43" i="2"/>
  <c r="BC43" i="2"/>
  <c r="BD43" i="2"/>
  <c r="BE43" i="2"/>
  <c r="BF43" i="2"/>
  <c r="BG43" i="2"/>
  <c r="BH43" i="2"/>
  <c r="BI43" i="2"/>
  <c r="BJ43" i="2"/>
  <c r="BK43" i="2"/>
  <c r="BL43" i="2"/>
  <c r="BM43" i="2"/>
  <c r="BN43" i="2"/>
  <c r="BO43" i="2"/>
  <c r="BP43" i="2"/>
  <c r="BQ43" i="2"/>
  <c r="BR43" i="2"/>
  <c r="BS43" i="2"/>
  <c r="BT43" i="2"/>
  <c r="BU43" i="2"/>
  <c r="BV43" i="2"/>
  <c r="BW43" i="2"/>
  <c r="BX43" i="2"/>
  <c r="BY43" i="2"/>
  <c r="BZ43" i="2"/>
  <c r="CA43" i="2"/>
  <c r="CB43" i="2"/>
  <c r="CC43" i="2"/>
  <c r="CD43" i="2"/>
  <c r="CE43" i="2"/>
  <c r="CF43" i="2"/>
  <c r="CG43" i="2"/>
  <c r="CH43" i="2"/>
  <c r="CI43" i="2"/>
  <c r="CJ43" i="2"/>
  <c r="CK43" i="2"/>
  <c r="CL43" i="2"/>
  <c r="CM43" i="2"/>
  <c r="CN43" i="2"/>
  <c r="CO43" i="2"/>
  <c r="CP43" i="2"/>
  <c r="CQ43" i="2"/>
  <c r="CR43" i="2"/>
  <c r="CS43" i="2"/>
  <c r="CT43" i="2"/>
  <c r="CU43" i="2"/>
  <c r="CV43" i="2"/>
  <c r="CW43" i="2"/>
  <c r="CX43" i="2"/>
  <c r="CY43" i="2"/>
  <c r="CZ43" i="2"/>
  <c r="DA43" i="2"/>
  <c r="DB43" i="2"/>
  <c r="DC43" i="2"/>
  <c r="DD43" i="2"/>
  <c r="DE43" i="2"/>
  <c r="DF43" i="2"/>
  <c r="DG43" i="2"/>
  <c r="DH43" i="2"/>
  <c r="DI43" i="2"/>
  <c r="DJ43" i="2"/>
  <c r="DK43" i="2"/>
  <c r="DL43" i="2"/>
  <c r="DM43" i="2"/>
  <c r="DN43" i="2"/>
  <c r="DO43" i="2"/>
  <c r="DP43" i="2"/>
  <c r="DQ43" i="2"/>
  <c r="DR43" i="2"/>
  <c r="DS43" i="2"/>
  <c r="DT43" i="2"/>
  <c r="DU43" i="2"/>
  <c r="DV43" i="2"/>
  <c r="DW43" i="2"/>
  <c r="DX43" i="2"/>
  <c r="DY43" i="2"/>
  <c r="DZ43" i="2"/>
  <c r="EA43" i="2"/>
  <c r="EB43" i="2"/>
  <c r="EC43" i="2"/>
  <c r="ED43" i="2"/>
  <c r="EE43" i="2"/>
  <c r="EF43" i="2"/>
  <c r="EG43" i="2"/>
  <c r="EH43" i="2"/>
  <c r="E48" i="2"/>
  <c r="F48" i="2"/>
  <c r="G48" i="2"/>
  <c r="H48" i="2"/>
  <c r="I48" i="2"/>
  <c r="J48" i="2"/>
  <c r="K48" i="2"/>
  <c r="L48" i="2"/>
  <c r="M48" i="2"/>
  <c r="N48" i="2"/>
  <c r="O48" i="2"/>
  <c r="P48" i="2"/>
  <c r="Q48" i="2"/>
  <c r="R48" i="2"/>
  <c r="S48" i="2"/>
  <c r="T48" i="2"/>
  <c r="U48" i="2"/>
  <c r="V48" i="2"/>
  <c r="W48" i="2"/>
  <c r="X48" i="2"/>
  <c r="Y48" i="2"/>
  <c r="Z48" i="2"/>
  <c r="AA48" i="2"/>
  <c r="AB48" i="2"/>
  <c r="AC48" i="2"/>
  <c r="AD48" i="2"/>
  <c r="AE48" i="2"/>
  <c r="AF48" i="2"/>
  <c r="AG48" i="2"/>
  <c r="AH48" i="2"/>
  <c r="AI48" i="2"/>
  <c r="AJ48" i="2"/>
  <c r="AK48" i="2"/>
  <c r="AL48" i="2"/>
  <c r="AM48" i="2"/>
  <c r="AN48" i="2"/>
  <c r="AO48" i="2"/>
  <c r="AP48" i="2"/>
  <c r="AQ48" i="2"/>
  <c r="AR48" i="2"/>
  <c r="AS48" i="2"/>
  <c r="AT48" i="2"/>
  <c r="AU48" i="2"/>
  <c r="AV48" i="2"/>
  <c r="AW48" i="2"/>
  <c r="AX48" i="2"/>
  <c r="AY48" i="2"/>
  <c r="AZ48" i="2"/>
  <c r="BA48" i="2"/>
  <c r="BB48" i="2"/>
  <c r="BC48" i="2"/>
  <c r="BD48" i="2"/>
  <c r="BE48" i="2"/>
  <c r="BF48" i="2"/>
  <c r="BG48" i="2"/>
  <c r="BH48" i="2"/>
  <c r="BI48" i="2"/>
  <c r="BJ48" i="2"/>
  <c r="BK48" i="2"/>
  <c r="BL48" i="2"/>
  <c r="BM48" i="2"/>
  <c r="BN48" i="2"/>
  <c r="BO48" i="2"/>
  <c r="BP48" i="2"/>
  <c r="BQ48" i="2"/>
  <c r="BR48" i="2"/>
  <c r="BS48" i="2"/>
  <c r="BT48" i="2"/>
  <c r="BU48" i="2"/>
  <c r="BV48" i="2"/>
  <c r="BW48" i="2"/>
  <c r="BX48" i="2"/>
  <c r="BY48" i="2"/>
  <c r="BZ48" i="2"/>
  <c r="CA48" i="2"/>
  <c r="CB48" i="2"/>
  <c r="CC48" i="2"/>
  <c r="CD48" i="2"/>
  <c r="CE48" i="2"/>
  <c r="CF48" i="2"/>
  <c r="CG48" i="2"/>
  <c r="CH48" i="2"/>
  <c r="CI48" i="2"/>
  <c r="CJ48" i="2"/>
  <c r="CK48" i="2"/>
  <c r="CL48" i="2"/>
  <c r="CM48" i="2"/>
  <c r="CN48" i="2"/>
  <c r="CO48" i="2"/>
  <c r="CP48" i="2"/>
  <c r="CQ48" i="2"/>
  <c r="CR48" i="2"/>
  <c r="CS48" i="2"/>
  <c r="CT48" i="2"/>
  <c r="CU48" i="2"/>
  <c r="CV48" i="2"/>
  <c r="CW48" i="2"/>
  <c r="CX48" i="2"/>
  <c r="CY48" i="2"/>
  <c r="CZ48" i="2"/>
  <c r="DA48" i="2"/>
  <c r="DB48" i="2"/>
  <c r="DC48" i="2"/>
  <c r="DD48" i="2"/>
  <c r="DE48" i="2"/>
  <c r="DF48" i="2"/>
  <c r="DG48" i="2"/>
  <c r="DH48" i="2"/>
  <c r="DI48" i="2"/>
  <c r="DJ48" i="2"/>
  <c r="DK48" i="2"/>
  <c r="DL48" i="2"/>
  <c r="DM48" i="2"/>
  <c r="DN48" i="2"/>
  <c r="DO48" i="2"/>
  <c r="DP48" i="2"/>
  <c r="DQ48" i="2"/>
  <c r="DR48" i="2"/>
  <c r="DS48" i="2"/>
  <c r="DT48" i="2"/>
  <c r="DU48" i="2"/>
  <c r="DV48" i="2"/>
  <c r="DW48" i="2"/>
  <c r="DX48" i="2"/>
  <c r="DY48" i="2"/>
  <c r="DZ48" i="2"/>
  <c r="EA48" i="2"/>
  <c r="EB48" i="2"/>
  <c r="EC48" i="2"/>
  <c r="ED48" i="2"/>
  <c r="EE48" i="2"/>
  <c r="EF48" i="2"/>
  <c r="EG48" i="2"/>
  <c r="EH48" i="2"/>
  <c r="E49" i="2"/>
  <c r="F49" i="2"/>
  <c r="G49" i="2"/>
  <c r="H49" i="2"/>
  <c r="I49" i="2"/>
  <c r="J49" i="2"/>
  <c r="K49" i="2"/>
  <c r="L49" i="2"/>
  <c r="M49" i="2"/>
  <c r="N49" i="2"/>
  <c r="O49" i="2"/>
  <c r="P49" i="2"/>
  <c r="Q49" i="2"/>
  <c r="R49" i="2"/>
  <c r="S49" i="2"/>
  <c r="T49" i="2"/>
  <c r="U49" i="2"/>
  <c r="V49" i="2"/>
  <c r="W49" i="2"/>
  <c r="X49" i="2"/>
  <c r="Y49" i="2"/>
  <c r="Z49" i="2"/>
  <c r="AA49" i="2"/>
  <c r="AB49" i="2"/>
  <c r="AC49" i="2"/>
  <c r="AD49" i="2"/>
  <c r="AE49" i="2"/>
  <c r="AF49" i="2"/>
  <c r="AG49" i="2"/>
  <c r="AH49" i="2"/>
  <c r="AI49" i="2"/>
  <c r="AJ49" i="2"/>
  <c r="AK49" i="2"/>
  <c r="AL49" i="2"/>
  <c r="AM49" i="2"/>
  <c r="AN49" i="2"/>
  <c r="AO49" i="2"/>
  <c r="AP49" i="2"/>
  <c r="AQ49" i="2"/>
  <c r="AR49" i="2"/>
  <c r="AS49" i="2"/>
  <c r="AT49" i="2"/>
  <c r="AU49" i="2"/>
  <c r="AV49" i="2"/>
  <c r="AW49" i="2"/>
  <c r="AX49" i="2"/>
  <c r="AY49" i="2"/>
  <c r="AZ49" i="2"/>
  <c r="BA49" i="2"/>
  <c r="BB49" i="2"/>
  <c r="BC49" i="2"/>
  <c r="BD49" i="2"/>
  <c r="BE49" i="2"/>
  <c r="BF49" i="2"/>
  <c r="BG49" i="2"/>
  <c r="BH49" i="2"/>
  <c r="BI49" i="2"/>
  <c r="BJ49" i="2"/>
  <c r="BK49" i="2"/>
  <c r="BL49" i="2"/>
  <c r="BM49" i="2"/>
  <c r="BN49" i="2"/>
  <c r="BO49" i="2"/>
  <c r="BP49" i="2"/>
  <c r="BQ49" i="2"/>
  <c r="BR49" i="2"/>
  <c r="BS49" i="2"/>
  <c r="BT49" i="2"/>
  <c r="BU49" i="2"/>
  <c r="BV49" i="2"/>
  <c r="BW49" i="2"/>
  <c r="BX49" i="2"/>
  <c r="BY49" i="2"/>
  <c r="BZ49" i="2"/>
  <c r="CA49" i="2"/>
  <c r="CB49" i="2"/>
  <c r="CC49" i="2"/>
  <c r="CD49" i="2"/>
  <c r="CE49" i="2"/>
  <c r="CF49" i="2"/>
  <c r="CG49" i="2"/>
  <c r="CH49" i="2"/>
  <c r="CI49" i="2"/>
  <c r="CJ49" i="2"/>
  <c r="CK49" i="2"/>
  <c r="CL49" i="2"/>
  <c r="CM49" i="2"/>
  <c r="CN49" i="2"/>
  <c r="CO49" i="2"/>
  <c r="CP49" i="2"/>
  <c r="CQ49" i="2"/>
  <c r="CR49" i="2"/>
  <c r="CS49" i="2"/>
  <c r="CT49" i="2"/>
  <c r="CU49" i="2"/>
  <c r="CV49" i="2"/>
  <c r="CW49" i="2"/>
  <c r="CX49" i="2"/>
  <c r="CY49" i="2"/>
  <c r="CZ49" i="2"/>
  <c r="DA49" i="2"/>
  <c r="DB49" i="2"/>
  <c r="DC49" i="2"/>
  <c r="DD49" i="2"/>
  <c r="DE49" i="2"/>
  <c r="DF49" i="2"/>
  <c r="DG49" i="2"/>
  <c r="DH49" i="2"/>
  <c r="DI49" i="2"/>
  <c r="DJ49" i="2"/>
  <c r="DK49" i="2"/>
  <c r="DL49" i="2"/>
  <c r="DM49" i="2"/>
  <c r="DN49" i="2"/>
  <c r="DO49" i="2"/>
  <c r="DP49" i="2"/>
  <c r="DQ49" i="2"/>
  <c r="DR49" i="2"/>
  <c r="DS49" i="2"/>
  <c r="DT49" i="2"/>
  <c r="DU49" i="2"/>
  <c r="DV49" i="2"/>
  <c r="DW49" i="2"/>
  <c r="DX49" i="2"/>
  <c r="DY49" i="2"/>
  <c r="DZ49" i="2"/>
  <c r="EA49" i="2"/>
  <c r="EB49" i="2"/>
  <c r="EC49" i="2"/>
  <c r="ED49" i="2"/>
  <c r="EE49" i="2"/>
  <c r="EF49" i="2"/>
  <c r="EG49" i="2"/>
  <c r="EH49" i="2"/>
  <c r="AD52" i="2"/>
  <c r="AE52" i="2"/>
  <c r="AF52" i="2"/>
  <c r="AG52" i="2"/>
  <c r="AH52" i="2"/>
  <c r="AI52" i="2"/>
  <c r="AJ52" i="2"/>
  <c r="AK52" i="2"/>
  <c r="AL52" i="2"/>
  <c r="AM52" i="2"/>
  <c r="AN52" i="2"/>
  <c r="AO52" i="2"/>
  <c r="AP52" i="2"/>
  <c r="AQ52" i="2"/>
  <c r="AR52" i="2"/>
  <c r="AS52" i="2"/>
  <c r="AT52" i="2"/>
  <c r="AU52" i="2"/>
  <c r="AV52" i="2"/>
  <c r="AW52" i="2"/>
  <c r="AX52" i="2"/>
  <c r="AY52" i="2"/>
  <c r="AZ52" i="2"/>
  <c r="BA52" i="2"/>
  <c r="BB52" i="2"/>
  <c r="BC52" i="2"/>
  <c r="BD52" i="2"/>
  <c r="BE52" i="2"/>
  <c r="BF52" i="2"/>
  <c r="BG52" i="2"/>
  <c r="BH52" i="2"/>
  <c r="BI52" i="2"/>
  <c r="BJ52" i="2"/>
  <c r="BK52" i="2"/>
  <c r="BL52" i="2"/>
  <c r="BM52" i="2"/>
  <c r="BN52" i="2"/>
  <c r="BO52" i="2"/>
  <c r="BP52" i="2"/>
  <c r="BQ52" i="2"/>
  <c r="BR52" i="2"/>
  <c r="BS52" i="2"/>
  <c r="BT52" i="2"/>
  <c r="BU52" i="2"/>
  <c r="BV52" i="2"/>
  <c r="BW52" i="2"/>
  <c r="BX52" i="2"/>
  <c r="BY52" i="2"/>
  <c r="BZ52" i="2"/>
  <c r="CA52" i="2"/>
  <c r="CB52" i="2"/>
  <c r="CC52" i="2"/>
  <c r="CD52" i="2"/>
  <c r="CE52" i="2"/>
  <c r="CF52" i="2"/>
  <c r="CG52" i="2"/>
  <c r="CH52" i="2"/>
  <c r="CI52" i="2"/>
  <c r="CJ52" i="2"/>
  <c r="CK52" i="2"/>
  <c r="CL52" i="2"/>
  <c r="CM52" i="2"/>
  <c r="CN52" i="2"/>
  <c r="CO52" i="2"/>
  <c r="CP52" i="2"/>
  <c r="CQ52" i="2"/>
  <c r="CR52" i="2"/>
  <c r="CS52" i="2"/>
  <c r="CT52" i="2"/>
  <c r="CU52" i="2"/>
  <c r="CV52" i="2"/>
  <c r="CW52" i="2"/>
  <c r="CX52" i="2"/>
  <c r="CY52" i="2"/>
  <c r="CZ52" i="2"/>
  <c r="DA52" i="2"/>
  <c r="DB52" i="2"/>
  <c r="DC52" i="2"/>
  <c r="DD52" i="2"/>
  <c r="DE52" i="2"/>
  <c r="DF52" i="2"/>
  <c r="DG52" i="2"/>
  <c r="DH52" i="2"/>
  <c r="DI52" i="2"/>
  <c r="DJ52" i="2"/>
  <c r="DK52" i="2"/>
  <c r="DL52" i="2"/>
  <c r="DM52" i="2"/>
  <c r="DN52" i="2"/>
  <c r="DO52" i="2"/>
  <c r="DP52" i="2"/>
  <c r="DQ52" i="2"/>
  <c r="DR52" i="2"/>
  <c r="DS52" i="2"/>
  <c r="DT52" i="2"/>
  <c r="DU52" i="2"/>
  <c r="DV52" i="2"/>
  <c r="DW52" i="2"/>
  <c r="DX52" i="2"/>
  <c r="DY52" i="2"/>
  <c r="DZ52" i="2"/>
  <c r="EA52" i="2"/>
  <c r="EB52" i="2"/>
  <c r="EC52" i="2"/>
  <c r="ED52" i="2"/>
  <c r="EE52" i="2"/>
  <c r="EF52" i="2"/>
  <c r="EG52" i="2"/>
  <c r="C53" i="2"/>
  <c r="F53" i="2"/>
  <c r="G53" i="2"/>
  <c r="H53" i="2"/>
  <c r="I53" i="2"/>
  <c r="J53" i="2"/>
  <c r="K53" i="2"/>
  <c r="L53" i="2"/>
  <c r="M53" i="2"/>
  <c r="N53" i="2"/>
  <c r="O53" i="2"/>
  <c r="P53" i="2"/>
  <c r="Q53" i="2"/>
  <c r="R53" i="2"/>
  <c r="S53" i="2"/>
  <c r="T53" i="2"/>
  <c r="U53" i="2"/>
  <c r="V53" i="2"/>
  <c r="W53" i="2"/>
  <c r="X53" i="2"/>
  <c r="Y53" i="2"/>
  <c r="Z53" i="2"/>
  <c r="AA53" i="2"/>
  <c r="AB53" i="2"/>
  <c r="AC53" i="2"/>
  <c r="AD53" i="2"/>
  <c r="AE53" i="2"/>
  <c r="AF53" i="2"/>
  <c r="AG53" i="2"/>
  <c r="AH53" i="2"/>
  <c r="AI53" i="2"/>
  <c r="AJ53" i="2"/>
  <c r="AK53" i="2"/>
  <c r="AL53" i="2"/>
  <c r="AM53" i="2"/>
  <c r="AN53" i="2"/>
  <c r="AO53" i="2"/>
  <c r="AP53" i="2"/>
  <c r="AQ53" i="2"/>
  <c r="AR53" i="2"/>
  <c r="AS53" i="2"/>
  <c r="AT53" i="2"/>
  <c r="AU53" i="2"/>
  <c r="AV53" i="2"/>
  <c r="AW53" i="2"/>
  <c r="AX53" i="2"/>
  <c r="AY53" i="2"/>
  <c r="AZ53" i="2"/>
  <c r="BA53" i="2"/>
  <c r="BB53" i="2"/>
  <c r="BC53" i="2"/>
  <c r="BD53" i="2"/>
  <c r="BE53" i="2"/>
  <c r="BF53" i="2"/>
  <c r="BG53" i="2"/>
  <c r="BH53" i="2"/>
  <c r="BI53" i="2"/>
  <c r="BJ53" i="2"/>
  <c r="BK53" i="2"/>
  <c r="BL53" i="2"/>
  <c r="BM53" i="2"/>
  <c r="BN53" i="2"/>
  <c r="BO53" i="2"/>
  <c r="BP53" i="2"/>
  <c r="BQ53" i="2"/>
  <c r="BR53" i="2"/>
  <c r="BS53" i="2"/>
  <c r="BT53" i="2"/>
  <c r="BU53" i="2"/>
  <c r="BV53" i="2"/>
  <c r="BW53" i="2"/>
  <c r="BX53" i="2"/>
  <c r="BY53" i="2"/>
  <c r="BZ53" i="2"/>
  <c r="CA53" i="2"/>
  <c r="CB53" i="2"/>
  <c r="CC53" i="2"/>
  <c r="CD53" i="2"/>
  <c r="CE53" i="2"/>
  <c r="CF53" i="2"/>
  <c r="CG53" i="2"/>
  <c r="CH53" i="2"/>
  <c r="CI53" i="2"/>
  <c r="CJ53" i="2"/>
  <c r="CK53" i="2"/>
  <c r="CL53" i="2"/>
  <c r="CM53" i="2"/>
  <c r="CN53" i="2"/>
  <c r="CO53" i="2"/>
  <c r="CP53" i="2"/>
  <c r="CQ53" i="2"/>
  <c r="CR53" i="2"/>
  <c r="CS53" i="2"/>
  <c r="CT53" i="2"/>
  <c r="CU53" i="2"/>
  <c r="CV53" i="2"/>
  <c r="CW53" i="2"/>
  <c r="CX53" i="2"/>
  <c r="CY53" i="2"/>
  <c r="CZ53" i="2"/>
  <c r="DA53" i="2"/>
  <c r="DB53" i="2"/>
  <c r="DC53" i="2"/>
  <c r="DD53" i="2"/>
  <c r="DE53" i="2"/>
  <c r="DF53" i="2"/>
  <c r="DG53" i="2"/>
  <c r="DH53" i="2"/>
  <c r="DI53" i="2"/>
  <c r="DJ53" i="2"/>
  <c r="DK53" i="2"/>
  <c r="DL53" i="2"/>
  <c r="DM53" i="2"/>
  <c r="DN53" i="2"/>
  <c r="DO53" i="2"/>
  <c r="DP53" i="2"/>
  <c r="DQ53" i="2"/>
  <c r="DR53" i="2"/>
  <c r="DS53" i="2"/>
  <c r="DT53" i="2"/>
  <c r="DU53" i="2"/>
  <c r="DV53" i="2"/>
  <c r="DW53" i="2"/>
  <c r="DX53" i="2"/>
  <c r="DY53" i="2"/>
  <c r="DZ53" i="2"/>
  <c r="EA53" i="2"/>
  <c r="EB53" i="2"/>
  <c r="EC53" i="2"/>
  <c r="ED53" i="2"/>
  <c r="EE53" i="2"/>
  <c r="EF53" i="2"/>
  <c r="EG53" i="2"/>
  <c r="N2" i="3"/>
  <c r="V8" i="3"/>
  <c r="W8" i="3"/>
  <c r="X8" i="3"/>
  <c r="E9" i="3"/>
  <c r="F9" i="3"/>
  <c r="G9" i="3"/>
  <c r="E10" i="3"/>
  <c r="F10" i="3"/>
  <c r="G10" i="3"/>
  <c r="B11" i="3"/>
  <c r="E16" i="3"/>
  <c r="F16" i="3"/>
  <c r="G16" i="3"/>
  <c r="V16" i="3"/>
  <c r="W16" i="3"/>
  <c r="X16" i="3"/>
  <c r="E18" i="3"/>
  <c r="F18" i="3"/>
  <c r="G18" i="3"/>
  <c r="N29" i="3"/>
  <c r="L54" i="3"/>
  <c r="M54" i="3"/>
  <c r="N54" i="3"/>
  <c r="L55" i="3"/>
  <c r="M55" i="3"/>
  <c r="N55" i="3"/>
  <c r="L56" i="3"/>
  <c r="M56" i="3"/>
  <c r="N56" i="3"/>
  <c r="N68" i="3"/>
  <c r="E90" i="3"/>
  <c r="F90" i="3"/>
  <c r="G90" i="3"/>
  <c r="E95" i="3"/>
  <c r="F95" i="3"/>
  <c r="G95" i="3"/>
  <c r="E99" i="3"/>
  <c r="F99" i="3"/>
  <c r="G99" i="3"/>
  <c r="E100" i="3"/>
  <c r="F100" i="3"/>
  <c r="G100" i="3"/>
  <c r="E101" i="3"/>
  <c r="F101" i="3"/>
  <c r="G101" i="3"/>
  <c r="L103" i="3"/>
  <c r="M103" i="3"/>
  <c r="N103" i="3"/>
  <c r="E104" i="3"/>
  <c r="F104" i="3"/>
  <c r="G104" i="3"/>
  <c r="L104" i="3"/>
  <c r="M104" i="3"/>
  <c r="N104" i="3"/>
  <c r="E106" i="3"/>
  <c r="F106" i="3"/>
  <c r="G106" i="3"/>
  <c r="E108" i="3"/>
  <c r="F108" i="3"/>
  <c r="G108" i="3"/>
  <c r="N108" i="3"/>
  <c r="E109" i="3"/>
  <c r="F109" i="3"/>
  <c r="G109" i="3"/>
  <c r="K109" i="3"/>
  <c r="L109" i="3"/>
  <c r="M109" i="3"/>
  <c r="N109" i="3"/>
  <c r="T109" i="3"/>
  <c r="V109" i="3"/>
  <c r="K111" i="3"/>
  <c r="L111" i="3"/>
  <c r="M111" i="3"/>
  <c r="N111" i="3"/>
  <c r="T111" i="3"/>
  <c r="V111" i="3"/>
  <c r="E112" i="3"/>
  <c r="F112" i="3"/>
  <c r="G112" i="3"/>
  <c r="N112" i="3"/>
  <c r="E113" i="3"/>
  <c r="F113" i="3"/>
  <c r="G113" i="3"/>
  <c r="K113" i="3"/>
  <c r="L113" i="3"/>
  <c r="M113" i="3"/>
  <c r="N113" i="3"/>
  <c r="T113" i="3"/>
  <c r="V113" i="3"/>
  <c r="E114" i="3"/>
  <c r="F114" i="3"/>
  <c r="G114" i="3"/>
  <c r="K114" i="3"/>
  <c r="L114" i="3"/>
  <c r="M114" i="3"/>
  <c r="N114" i="3"/>
  <c r="T114" i="3"/>
  <c r="V114" i="3"/>
  <c r="N115" i="3"/>
  <c r="K116" i="3"/>
  <c r="L116" i="3"/>
  <c r="M116" i="3"/>
  <c r="N116" i="3"/>
  <c r="T116" i="3"/>
  <c r="V116" i="3"/>
  <c r="N117" i="3"/>
  <c r="K118" i="3"/>
  <c r="L118" i="3"/>
  <c r="M118" i="3"/>
  <c r="N118" i="3"/>
  <c r="T118" i="3"/>
  <c r="V118" i="3"/>
  <c r="K119" i="3"/>
  <c r="L119" i="3"/>
  <c r="M119" i="3"/>
  <c r="N119" i="3"/>
  <c r="T119" i="3"/>
  <c r="V119" i="3"/>
  <c r="N120" i="3"/>
  <c r="K121" i="3"/>
  <c r="L121" i="3"/>
  <c r="M121" i="3"/>
  <c r="N121" i="3"/>
  <c r="T121" i="3"/>
  <c r="V121" i="3"/>
  <c r="E122" i="3"/>
  <c r="F122" i="3"/>
  <c r="G122" i="3"/>
  <c r="N123" i="3"/>
  <c r="N124" i="3"/>
  <c r="N125" i="3"/>
  <c r="E126" i="3"/>
  <c r="F126" i="3"/>
  <c r="G126" i="3"/>
  <c r="K126" i="3"/>
  <c r="L126" i="3"/>
  <c r="M126" i="3"/>
  <c r="N126" i="3"/>
  <c r="T126" i="3"/>
  <c r="V126" i="3"/>
  <c r="X172" i="3"/>
  <c r="X173" i="3"/>
  <c r="X174" i="3"/>
  <c r="G7" i="64"/>
  <c r="D8" i="64"/>
  <c r="E8" i="64"/>
  <c r="F8" i="64"/>
  <c r="G8" i="64"/>
  <c r="D10" i="64"/>
  <c r="E10" i="64"/>
  <c r="F10" i="64"/>
  <c r="G10" i="64"/>
  <c r="G11" i="64"/>
  <c r="D12" i="64"/>
  <c r="E12" i="64"/>
  <c r="F12" i="64"/>
  <c r="G12" i="64"/>
  <c r="D13" i="64"/>
  <c r="E13" i="64"/>
  <c r="F13" i="64"/>
  <c r="G13" i="64"/>
  <c r="G14" i="64"/>
  <c r="D15" i="64"/>
  <c r="E15" i="64"/>
  <c r="F15" i="64"/>
  <c r="G15" i="64"/>
  <c r="G16" i="64"/>
  <c r="D17" i="64"/>
  <c r="E17" i="64"/>
  <c r="F17" i="64"/>
  <c r="G17" i="64"/>
  <c r="D18" i="64"/>
  <c r="E18" i="64"/>
  <c r="F18" i="64"/>
  <c r="G18" i="64"/>
  <c r="G19" i="64"/>
  <c r="D20" i="64"/>
  <c r="E20" i="64"/>
  <c r="F20" i="64"/>
  <c r="G20" i="64"/>
  <c r="G22" i="64"/>
  <c r="G23" i="64"/>
  <c r="G24" i="64"/>
  <c r="D25" i="64"/>
  <c r="E25" i="64"/>
  <c r="F25" i="64"/>
  <c r="G25" i="64"/>
  <c r="B30" i="64"/>
  <c r="C30" i="64"/>
  <c r="D30" i="64"/>
  <c r="E30" i="64"/>
  <c r="F30" i="64"/>
  <c r="G30" i="64"/>
  <c r="B31" i="64"/>
  <c r="C31" i="64"/>
  <c r="G31" i="64"/>
  <c r="B33" i="64"/>
  <c r="G33" i="64"/>
  <c r="K41" i="64"/>
  <c r="G42" i="64"/>
  <c r="K42" i="64"/>
  <c r="K43" i="64"/>
  <c r="K44" i="64"/>
  <c r="G45" i="64"/>
  <c r="D46" i="64"/>
  <c r="E46" i="64"/>
  <c r="F46" i="64"/>
  <c r="G46" i="64"/>
  <c r="K46" i="64"/>
  <c r="D47" i="64"/>
  <c r="E47" i="64"/>
  <c r="F47" i="64"/>
  <c r="G47" i="64"/>
  <c r="K47" i="64"/>
  <c r="D48" i="64"/>
  <c r="E48" i="64"/>
  <c r="F48" i="64"/>
  <c r="G48" i="64"/>
  <c r="K48" i="64"/>
  <c r="D49" i="64"/>
  <c r="E49" i="64"/>
  <c r="F49" i="64"/>
  <c r="G49" i="64"/>
  <c r="K49" i="64"/>
  <c r="S49" i="64"/>
  <c r="S50" i="64"/>
  <c r="D51" i="64"/>
  <c r="E51" i="64"/>
  <c r="F51" i="64"/>
  <c r="G51" i="64"/>
  <c r="S51" i="64"/>
  <c r="D53" i="64"/>
  <c r="E53" i="64"/>
  <c r="F53" i="64"/>
  <c r="G53" i="64"/>
  <c r="D54" i="64"/>
  <c r="E54" i="64"/>
  <c r="F54" i="64"/>
  <c r="G54" i="64"/>
  <c r="K54" i="64"/>
  <c r="D55" i="64"/>
  <c r="E55" i="64"/>
  <c r="F55" i="64"/>
  <c r="G55" i="64"/>
  <c r="D56" i="64"/>
  <c r="E56" i="64"/>
  <c r="F56" i="64"/>
  <c r="G56" i="64"/>
  <c r="K56" i="64"/>
  <c r="G57" i="64"/>
  <c r="K57" i="64"/>
  <c r="G58" i="64"/>
  <c r="K58" i="64"/>
  <c r="O63" i="64"/>
  <c r="N64" i="64"/>
  <c r="N65" i="64"/>
  <c r="N66" i="64"/>
  <c r="N67" i="64"/>
  <c r="N68" i="64"/>
  <c r="T97" i="45"/>
  <c r="U97" i="45"/>
  <c r="V97" i="45"/>
  <c r="T98" i="45"/>
  <c r="U98" i="45"/>
  <c r="V98" i="45"/>
  <c r="T99" i="45"/>
  <c r="U99" i="45"/>
  <c r="V99" i="45"/>
  <c r="T100" i="45"/>
  <c r="U100" i="45"/>
  <c r="V100" i="45"/>
  <c r="T101" i="45"/>
  <c r="U101" i="45"/>
  <c r="V101" i="45"/>
  <c r="T102" i="45"/>
  <c r="U102" i="45"/>
  <c r="V102" i="45"/>
  <c r="T103" i="45"/>
  <c r="U103" i="45"/>
  <c r="V103" i="45"/>
  <c r="T104" i="45"/>
  <c r="U104" i="45"/>
  <c r="V104" i="45"/>
  <c r="T105" i="45"/>
  <c r="U105" i="45"/>
  <c r="V105" i="45"/>
  <c r="T106" i="45"/>
  <c r="U106" i="45"/>
  <c r="V106" i="45"/>
  <c r="T107" i="45"/>
  <c r="U107" i="45"/>
  <c r="V107" i="45"/>
  <c r="T108" i="45"/>
  <c r="U108" i="45"/>
  <c r="V108" i="45"/>
  <c r="T109" i="45"/>
  <c r="U109" i="45"/>
  <c r="V109" i="45"/>
  <c r="T110" i="45"/>
  <c r="U110" i="45"/>
  <c r="V110" i="45"/>
  <c r="T111" i="45"/>
  <c r="U111" i="45"/>
  <c r="V111" i="45"/>
  <c r="T112" i="45"/>
  <c r="U112" i="45"/>
  <c r="V112" i="45"/>
  <c r="T113" i="45"/>
  <c r="U113" i="45"/>
  <c r="V113" i="45"/>
  <c r="T114" i="45"/>
  <c r="U114" i="45"/>
  <c r="V114" i="45"/>
  <c r="T115" i="45"/>
  <c r="U115" i="45"/>
  <c r="V115" i="45"/>
  <c r="T116" i="45"/>
  <c r="U116" i="45"/>
  <c r="V116" i="45"/>
  <c r="T117" i="45"/>
  <c r="U117" i="45"/>
  <c r="V117" i="45"/>
  <c r="T118" i="45"/>
  <c r="U118" i="45"/>
  <c r="V118" i="45"/>
  <c r="T119" i="45"/>
  <c r="U119" i="45"/>
  <c r="V119" i="45"/>
  <c r="T120" i="45"/>
  <c r="U120" i="45"/>
  <c r="V120" i="45"/>
  <c r="T121" i="45"/>
  <c r="U121" i="45"/>
  <c r="V121" i="45"/>
  <c r="T122" i="45"/>
  <c r="U122" i="45"/>
  <c r="V122" i="45"/>
  <c r="T123" i="45"/>
  <c r="U123" i="45"/>
  <c r="V123" i="45"/>
  <c r="T124" i="45"/>
  <c r="U124" i="45"/>
  <c r="V124" i="45"/>
  <c r="T125" i="45"/>
  <c r="U125" i="45"/>
  <c r="V125" i="45"/>
  <c r="T126" i="45"/>
  <c r="U126" i="45"/>
  <c r="V126" i="45"/>
  <c r="X126" i="45"/>
  <c r="Y126" i="45"/>
  <c r="Z126" i="45"/>
  <c r="T127" i="45"/>
  <c r="U127" i="45"/>
  <c r="V127" i="45"/>
  <c r="X127" i="45"/>
  <c r="Y127" i="45"/>
  <c r="Z127" i="45"/>
  <c r="T128" i="45"/>
  <c r="U128" i="45"/>
  <c r="V128" i="45"/>
  <c r="X128" i="45"/>
  <c r="Y128" i="45"/>
  <c r="Z128" i="45"/>
  <c r="T129" i="45"/>
  <c r="U129" i="45"/>
  <c r="V129" i="45"/>
  <c r="X129" i="45"/>
  <c r="Y129" i="45"/>
  <c r="Z129" i="45"/>
  <c r="T130" i="45"/>
  <c r="U130" i="45"/>
  <c r="V130" i="45"/>
  <c r="X130" i="45"/>
  <c r="Y130" i="45"/>
  <c r="Z130" i="45"/>
  <c r="T131" i="45"/>
  <c r="U131" i="45"/>
  <c r="V131" i="45"/>
  <c r="X131" i="45"/>
  <c r="Y131" i="45"/>
  <c r="Z131" i="45"/>
  <c r="T132" i="45"/>
  <c r="U132" i="45"/>
  <c r="V132" i="45"/>
  <c r="X132" i="45"/>
  <c r="Y132" i="45"/>
  <c r="Z132" i="45"/>
  <c r="T133" i="45"/>
  <c r="U133" i="45"/>
  <c r="V133" i="45"/>
  <c r="X133" i="45"/>
  <c r="Y133" i="45"/>
  <c r="Z133" i="45"/>
  <c r="T134" i="45"/>
  <c r="U134" i="45"/>
  <c r="V134" i="45"/>
  <c r="X134" i="45"/>
  <c r="Y134" i="45"/>
  <c r="Z134" i="45"/>
  <c r="T135" i="45"/>
  <c r="U135" i="45"/>
  <c r="V135" i="45"/>
  <c r="X135" i="45"/>
  <c r="Y135" i="45"/>
  <c r="Z135" i="45"/>
  <c r="T136" i="45"/>
  <c r="U136" i="45"/>
  <c r="V136" i="45"/>
  <c r="X136" i="45"/>
  <c r="Y136" i="45"/>
  <c r="Z136" i="45"/>
  <c r="T137" i="45"/>
  <c r="U137" i="45"/>
  <c r="V137" i="45"/>
  <c r="X137" i="45"/>
  <c r="Y137" i="45"/>
  <c r="Z137" i="45"/>
  <c r="T138" i="45"/>
  <c r="U138" i="45"/>
  <c r="V138" i="45"/>
  <c r="X138" i="45"/>
  <c r="Y138" i="45"/>
  <c r="Z138" i="45"/>
  <c r="T139" i="45"/>
  <c r="U139" i="45"/>
  <c r="V139" i="45"/>
  <c r="X139" i="45"/>
  <c r="Y139" i="45"/>
  <c r="Z139" i="45"/>
  <c r="T140" i="45"/>
  <c r="U140" i="45"/>
  <c r="V140" i="45"/>
  <c r="X140" i="45"/>
  <c r="Y140" i="45"/>
  <c r="Z140" i="45"/>
  <c r="T141" i="45"/>
  <c r="U141" i="45"/>
  <c r="V141" i="45"/>
  <c r="X141" i="45"/>
  <c r="Y141" i="45"/>
  <c r="Z141" i="45"/>
  <c r="T142" i="45"/>
  <c r="U142" i="45"/>
  <c r="V142" i="45"/>
  <c r="X142" i="45"/>
  <c r="Y142" i="45"/>
  <c r="Z142" i="45"/>
  <c r="T143" i="45"/>
  <c r="U143" i="45"/>
  <c r="V143" i="45"/>
  <c r="X143" i="45"/>
  <c r="Y143" i="45"/>
  <c r="Z143" i="45"/>
  <c r="T144" i="45"/>
  <c r="U144" i="45"/>
  <c r="V144" i="45"/>
  <c r="X144" i="45"/>
  <c r="Y144" i="45"/>
  <c r="Z144" i="45"/>
  <c r="T145" i="45"/>
  <c r="U145" i="45"/>
  <c r="V145" i="45"/>
  <c r="X145" i="45"/>
  <c r="Y145" i="45"/>
  <c r="Z145" i="45"/>
  <c r="T146" i="45"/>
  <c r="U146" i="45"/>
  <c r="V146" i="45"/>
  <c r="X146" i="45"/>
  <c r="Y146" i="45"/>
  <c r="Z146" i="45"/>
  <c r="T147" i="45"/>
  <c r="U147" i="45"/>
  <c r="V147" i="45"/>
  <c r="X147" i="45"/>
  <c r="Y147" i="45"/>
  <c r="Z147" i="45"/>
  <c r="T148" i="45"/>
  <c r="U148" i="45"/>
  <c r="V148" i="45"/>
  <c r="X148" i="45"/>
  <c r="Y148" i="45"/>
  <c r="Z148" i="45"/>
  <c r="T149" i="45"/>
  <c r="U149" i="45"/>
  <c r="V149" i="45"/>
  <c r="X149" i="45"/>
  <c r="Y149" i="45"/>
  <c r="Z149" i="45"/>
  <c r="T150" i="45"/>
  <c r="U150" i="45"/>
  <c r="V150" i="45"/>
  <c r="X150" i="45"/>
  <c r="Y150" i="45"/>
  <c r="Z150" i="45"/>
  <c r="T151" i="45"/>
  <c r="U151" i="45"/>
  <c r="V151" i="45"/>
  <c r="X151" i="45"/>
  <c r="Y151" i="45"/>
  <c r="Z151" i="45"/>
  <c r="T152" i="45"/>
  <c r="U152" i="45"/>
  <c r="V152" i="45"/>
  <c r="X152" i="45"/>
  <c r="Y152" i="45"/>
  <c r="Z152" i="45"/>
  <c r="T153" i="45"/>
  <c r="U153" i="45"/>
  <c r="V153" i="45"/>
  <c r="X153" i="45"/>
  <c r="Y153" i="45"/>
  <c r="Z153" i="45"/>
  <c r="T154" i="45"/>
  <c r="U154" i="45"/>
  <c r="V154" i="45"/>
  <c r="X154" i="45"/>
  <c r="Y154" i="45"/>
  <c r="Z154" i="45"/>
  <c r="T155" i="45"/>
  <c r="U155" i="45"/>
  <c r="V155" i="45"/>
  <c r="X155" i="45"/>
  <c r="Y155" i="45"/>
  <c r="Z155" i="45"/>
  <c r="T156" i="45"/>
  <c r="U156" i="45"/>
  <c r="V156" i="45"/>
  <c r="X156" i="45"/>
  <c r="Y156" i="45"/>
  <c r="Z156" i="45"/>
  <c r="T157" i="45"/>
  <c r="U157" i="45"/>
  <c r="V157" i="45"/>
  <c r="X157" i="45"/>
  <c r="Y157" i="45"/>
  <c r="Z157" i="45"/>
  <c r="T158" i="45"/>
  <c r="U158" i="45"/>
  <c r="V158" i="45"/>
  <c r="X158" i="45"/>
  <c r="Y158" i="45"/>
  <c r="Z158" i="45"/>
  <c r="T159" i="45"/>
  <c r="U159" i="45"/>
  <c r="V159" i="45"/>
  <c r="X159" i="45"/>
  <c r="Y159" i="45"/>
  <c r="Z159" i="45"/>
  <c r="T160" i="45"/>
  <c r="U160" i="45"/>
  <c r="V160" i="45"/>
  <c r="X160" i="45"/>
  <c r="Y160" i="45"/>
  <c r="Z160" i="45"/>
  <c r="T161" i="45"/>
  <c r="U161" i="45"/>
  <c r="V161" i="45"/>
  <c r="X161" i="45"/>
  <c r="Y161" i="45"/>
  <c r="Z161" i="45"/>
  <c r="T162" i="45"/>
  <c r="U162" i="45"/>
  <c r="V162" i="45"/>
  <c r="X162" i="45"/>
  <c r="Y162" i="45"/>
  <c r="Z162" i="45"/>
  <c r="T163" i="45"/>
  <c r="U163" i="45"/>
  <c r="V163" i="45"/>
  <c r="X163" i="45"/>
  <c r="Y163" i="45"/>
  <c r="Z163" i="45"/>
  <c r="T164" i="45"/>
  <c r="U164" i="45"/>
  <c r="V164" i="45"/>
  <c r="X164" i="45"/>
  <c r="Y164" i="45"/>
  <c r="Z164" i="45"/>
  <c r="T165" i="45"/>
  <c r="U165" i="45"/>
  <c r="V165" i="45"/>
  <c r="X165" i="45"/>
  <c r="Y165" i="45"/>
  <c r="Z165" i="45"/>
  <c r="T166" i="45"/>
  <c r="U166" i="45"/>
  <c r="V166" i="45"/>
  <c r="X166" i="45"/>
  <c r="Y166" i="45"/>
  <c r="Z166" i="45"/>
  <c r="T167" i="45"/>
  <c r="U167" i="45"/>
  <c r="V167" i="45"/>
  <c r="X167" i="45"/>
  <c r="Y167" i="45"/>
  <c r="Z167" i="45"/>
  <c r="T168" i="45"/>
  <c r="U168" i="45"/>
  <c r="V168" i="45"/>
  <c r="X168" i="45"/>
  <c r="Y168" i="45"/>
  <c r="Z168" i="45"/>
  <c r="T169" i="45"/>
  <c r="U169" i="45"/>
  <c r="V169" i="45"/>
  <c r="X169" i="45"/>
  <c r="Y169" i="45"/>
  <c r="Z169" i="45"/>
  <c r="T170" i="45"/>
  <c r="U170" i="45"/>
  <c r="V170" i="45"/>
  <c r="X170" i="45"/>
  <c r="Y170" i="45"/>
  <c r="Z170" i="45"/>
  <c r="T171" i="45"/>
  <c r="U171" i="45"/>
  <c r="V171" i="45"/>
  <c r="X171" i="45"/>
  <c r="Y171" i="45"/>
  <c r="Z171" i="45"/>
  <c r="T172" i="45"/>
  <c r="U172" i="45"/>
  <c r="V172" i="45"/>
  <c r="X172" i="45"/>
  <c r="Y172" i="45"/>
  <c r="Z172" i="45"/>
  <c r="T173" i="45"/>
  <c r="U173" i="45"/>
  <c r="V173" i="45"/>
  <c r="X173" i="45"/>
  <c r="Y173" i="45"/>
  <c r="Z173" i="45"/>
  <c r="T174" i="45"/>
  <c r="U174" i="45"/>
  <c r="V174" i="45"/>
  <c r="X174" i="45"/>
  <c r="Y174" i="45"/>
  <c r="Z174" i="45"/>
  <c r="T175" i="45"/>
  <c r="U175" i="45"/>
  <c r="V175" i="45"/>
  <c r="X175" i="45"/>
  <c r="Y175" i="45"/>
  <c r="Z175" i="45"/>
  <c r="T176" i="45"/>
  <c r="U176" i="45"/>
  <c r="V176" i="45"/>
  <c r="X176" i="45"/>
  <c r="Y176" i="45"/>
  <c r="Z176" i="45"/>
  <c r="T177" i="45"/>
  <c r="U177" i="45"/>
  <c r="V177" i="45"/>
  <c r="X177" i="45"/>
  <c r="Y177" i="45"/>
  <c r="Z177" i="45"/>
  <c r="T178" i="45"/>
  <c r="U178" i="45"/>
  <c r="V178" i="45"/>
  <c r="X178" i="45"/>
  <c r="Y178" i="45"/>
  <c r="Z178" i="45"/>
  <c r="T179" i="45"/>
  <c r="U179" i="45"/>
  <c r="V179" i="45"/>
  <c r="X179" i="45"/>
  <c r="Y179" i="45"/>
  <c r="Z179" i="45"/>
  <c r="T180" i="45"/>
  <c r="U180" i="45"/>
  <c r="V180" i="45"/>
  <c r="X180" i="45"/>
  <c r="Y180" i="45"/>
  <c r="Z180" i="45"/>
  <c r="T181" i="45"/>
  <c r="U181" i="45"/>
  <c r="V181" i="45"/>
  <c r="X181" i="45"/>
  <c r="Y181" i="45"/>
  <c r="Z181" i="45"/>
  <c r="T182" i="45"/>
  <c r="U182" i="45"/>
  <c r="V182" i="45"/>
  <c r="X182" i="45"/>
  <c r="Y182" i="45"/>
  <c r="Z182" i="45"/>
  <c r="T183" i="45"/>
  <c r="U183" i="45"/>
  <c r="V183" i="45"/>
  <c r="X183" i="45"/>
  <c r="Y183" i="45"/>
  <c r="Z183" i="45"/>
  <c r="T184" i="45"/>
  <c r="U184" i="45"/>
  <c r="V184" i="45"/>
  <c r="X184" i="45"/>
  <c r="Y184" i="45"/>
  <c r="Z184" i="45"/>
  <c r="T185" i="45"/>
  <c r="U185" i="45"/>
  <c r="V185" i="45"/>
  <c r="X185" i="45"/>
  <c r="Y185" i="45"/>
  <c r="Z185" i="45"/>
  <c r="T186" i="45"/>
  <c r="U186" i="45"/>
  <c r="V186" i="45"/>
  <c r="X186" i="45"/>
  <c r="Y186" i="45"/>
  <c r="Z186" i="45"/>
  <c r="T187" i="45"/>
  <c r="U187" i="45"/>
  <c r="V187" i="45"/>
  <c r="X187" i="45"/>
  <c r="Y187" i="45"/>
  <c r="Z187" i="45"/>
  <c r="T188" i="45"/>
  <c r="U188" i="45"/>
  <c r="V188" i="45"/>
  <c r="X188" i="45"/>
  <c r="Y188" i="45"/>
  <c r="Z188" i="45"/>
  <c r="T189" i="45"/>
  <c r="U189" i="45"/>
  <c r="V189" i="45"/>
  <c r="X189" i="45"/>
  <c r="Y189" i="45"/>
  <c r="Z189" i="45"/>
  <c r="T190" i="45"/>
  <c r="U190" i="45"/>
  <c r="V190" i="45"/>
  <c r="X190" i="45"/>
  <c r="Y190" i="45"/>
  <c r="Z190" i="45"/>
  <c r="T191" i="45"/>
  <c r="U191" i="45"/>
  <c r="V191" i="45"/>
  <c r="X191" i="45"/>
  <c r="Y191" i="45"/>
  <c r="Z191" i="45"/>
  <c r="T192" i="45"/>
  <c r="U192" i="45"/>
  <c r="V192" i="45"/>
  <c r="X192" i="45"/>
  <c r="Y192" i="45"/>
  <c r="Z192" i="45"/>
  <c r="T193" i="45"/>
  <c r="U193" i="45"/>
  <c r="V193" i="45"/>
  <c r="X193" i="45"/>
  <c r="Y193" i="45"/>
  <c r="Z193" i="45"/>
  <c r="T194" i="45"/>
  <c r="U194" i="45"/>
  <c r="V194" i="45"/>
  <c r="X194" i="45"/>
  <c r="Y194" i="45"/>
  <c r="Z194" i="45"/>
  <c r="T195" i="45"/>
  <c r="U195" i="45"/>
  <c r="V195" i="45"/>
  <c r="X195" i="45"/>
  <c r="Y195" i="45"/>
  <c r="Z195" i="45"/>
  <c r="T196" i="45"/>
  <c r="U196" i="45"/>
  <c r="V196" i="45"/>
  <c r="X196" i="45"/>
  <c r="Y196" i="45"/>
  <c r="Z196" i="45"/>
  <c r="T197" i="45"/>
  <c r="U197" i="45"/>
  <c r="V197" i="45"/>
  <c r="X197" i="45"/>
  <c r="Y197" i="45"/>
  <c r="Z197" i="45"/>
  <c r="T198" i="45"/>
  <c r="U198" i="45"/>
  <c r="V198" i="45"/>
  <c r="X198" i="45"/>
  <c r="Y198" i="45"/>
  <c r="Z198" i="45"/>
  <c r="T199" i="45"/>
  <c r="U199" i="45"/>
  <c r="V199" i="45"/>
  <c r="X199" i="45"/>
  <c r="Y199" i="45"/>
  <c r="Z199" i="45"/>
  <c r="T200" i="45"/>
  <c r="U200" i="45"/>
  <c r="V200" i="45"/>
  <c r="X200" i="45"/>
  <c r="Y200" i="45"/>
  <c r="Z200" i="45"/>
  <c r="T201" i="45"/>
  <c r="U201" i="45"/>
  <c r="V201" i="45"/>
  <c r="X201" i="45"/>
  <c r="Y201" i="45"/>
  <c r="Z201" i="45"/>
  <c r="T202" i="45"/>
  <c r="U202" i="45"/>
  <c r="V202" i="45"/>
  <c r="X202" i="45"/>
  <c r="Y202" i="45"/>
  <c r="Z202" i="45"/>
  <c r="T203" i="45"/>
  <c r="U203" i="45"/>
  <c r="V203" i="45"/>
  <c r="X203" i="45"/>
  <c r="Y203" i="45"/>
  <c r="Z203" i="45"/>
  <c r="T204" i="45"/>
  <c r="U204" i="45"/>
  <c r="V204" i="45"/>
  <c r="X204" i="45"/>
  <c r="Y204" i="45"/>
  <c r="Z204" i="45"/>
  <c r="T205" i="45"/>
  <c r="U205" i="45"/>
  <c r="V205" i="45"/>
  <c r="X205" i="45"/>
  <c r="Y205" i="45"/>
  <c r="Z205" i="45"/>
  <c r="T206" i="45"/>
  <c r="U206" i="45"/>
  <c r="V206" i="45"/>
  <c r="X206" i="45"/>
  <c r="Y206" i="45"/>
  <c r="Z206" i="45"/>
  <c r="T207" i="45"/>
  <c r="U207" i="45"/>
  <c r="V207" i="45"/>
  <c r="X207" i="45"/>
  <c r="Y207" i="45"/>
  <c r="Z207" i="45"/>
  <c r="T208" i="45"/>
  <c r="U208" i="45"/>
  <c r="V208" i="45"/>
  <c r="X208" i="45"/>
  <c r="Y208" i="45"/>
  <c r="Z208" i="45"/>
  <c r="T209" i="45"/>
  <c r="U209" i="45"/>
  <c r="V209" i="45"/>
  <c r="X209" i="45"/>
  <c r="Y209" i="45"/>
  <c r="Z209" i="45"/>
  <c r="T210" i="45"/>
  <c r="U210" i="45"/>
  <c r="V210" i="45"/>
  <c r="X210" i="45"/>
  <c r="Y210" i="45"/>
  <c r="Z210" i="45"/>
  <c r="T211" i="45"/>
  <c r="U211" i="45"/>
  <c r="V211" i="45"/>
  <c r="X211" i="45"/>
  <c r="Y211" i="45"/>
  <c r="Z211" i="45"/>
  <c r="T212" i="45"/>
  <c r="U212" i="45"/>
  <c r="V212" i="45"/>
  <c r="X212" i="45"/>
  <c r="Y212" i="45"/>
  <c r="Z212" i="45"/>
  <c r="T213" i="45"/>
  <c r="U213" i="45"/>
  <c r="V213" i="45"/>
  <c r="X213" i="45"/>
  <c r="Y213" i="45"/>
  <c r="Z213" i="45"/>
  <c r="T214" i="45"/>
  <c r="U214" i="45"/>
  <c r="V214" i="45"/>
  <c r="X214" i="45"/>
  <c r="Y214" i="45"/>
  <c r="Z214" i="45"/>
  <c r="T215" i="45"/>
  <c r="U215" i="45"/>
  <c r="V215" i="45"/>
  <c r="X215" i="45"/>
  <c r="Y215" i="45"/>
  <c r="Z215" i="45"/>
  <c r="T216" i="45"/>
  <c r="U216" i="45"/>
  <c r="V216" i="45"/>
  <c r="X216" i="45"/>
  <c r="Y216" i="45"/>
  <c r="Z216" i="45"/>
  <c r="T217" i="45"/>
  <c r="U217" i="45"/>
  <c r="V217" i="45"/>
  <c r="X217" i="45"/>
  <c r="Y217" i="45"/>
  <c r="Z217" i="45"/>
  <c r="T218" i="45"/>
  <c r="U218" i="45"/>
  <c r="V218" i="45"/>
  <c r="X218" i="45"/>
  <c r="Y218" i="45"/>
  <c r="Z218" i="45"/>
  <c r="T219" i="45"/>
  <c r="U219" i="45"/>
  <c r="V219" i="45"/>
  <c r="X219" i="45"/>
  <c r="Y219" i="45"/>
  <c r="Z219" i="45"/>
  <c r="T220" i="45"/>
  <c r="U220" i="45"/>
  <c r="V220" i="45"/>
  <c r="X220" i="45"/>
  <c r="Y220" i="45"/>
  <c r="Z220" i="45"/>
  <c r="T221" i="45"/>
  <c r="U221" i="45"/>
  <c r="V221" i="45"/>
  <c r="X221" i="45"/>
  <c r="Y221" i="45"/>
  <c r="Z221" i="45"/>
  <c r="T222" i="45"/>
  <c r="U222" i="45"/>
  <c r="V222" i="45"/>
  <c r="X222" i="45"/>
  <c r="Y222" i="45"/>
  <c r="Z222" i="45"/>
  <c r="T223" i="45"/>
  <c r="U223" i="45"/>
  <c r="V223" i="45"/>
  <c r="X223" i="45"/>
  <c r="Y223" i="45"/>
  <c r="Z223" i="45"/>
  <c r="T224" i="45"/>
  <c r="U224" i="45"/>
  <c r="V224" i="45"/>
  <c r="X224" i="45"/>
  <c r="Y224" i="45"/>
  <c r="Z224" i="45"/>
  <c r="T225" i="45"/>
  <c r="U225" i="45"/>
  <c r="V225" i="45"/>
  <c r="X225" i="45"/>
  <c r="Y225" i="45"/>
  <c r="Z225" i="45"/>
  <c r="T226" i="45"/>
  <c r="U226" i="45"/>
  <c r="V226" i="45"/>
  <c r="X226" i="45"/>
  <c r="Y226" i="45"/>
  <c r="Z226" i="45"/>
  <c r="T227" i="45"/>
  <c r="U227" i="45"/>
  <c r="V227" i="45"/>
  <c r="X227" i="45"/>
  <c r="Y227" i="45"/>
  <c r="Z227" i="45"/>
  <c r="T228" i="45"/>
  <c r="U228" i="45"/>
  <c r="V228" i="45"/>
  <c r="X228" i="45"/>
  <c r="Y228" i="45"/>
  <c r="Z228" i="45"/>
  <c r="T229" i="45"/>
  <c r="U229" i="45"/>
  <c r="V229" i="45"/>
  <c r="X229" i="45"/>
  <c r="Y229" i="45"/>
  <c r="Z229" i="45"/>
  <c r="T230" i="45"/>
  <c r="U230" i="45"/>
  <c r="V230" i="45"/>
  <c r="X230" i="45"/>
  <c r="Y230" i="45"/>
  <c r="Z230" i="45"/>
  <c r="T231" i="45"/>
  <c r="U231" i="45"/>
  <c r="V231" i="45"/>
  <c r="X231" i="45"/>
  <c r="Y231" i="45"/>
  <c r="Z231" i="45"/>
  <c r="T232" i="45"/>
  <c r="U232" i="45"/>
  <c r="V232" i="45"/>
  <c r="X232" i="45"/>
  <c r="Y232" i="45"/>
  <c r="Z232" i="45"/>
  <c r="T233" i="45"/>
  <c r="U233" i="45"/>
  <c r="V233" i="45"/>
  <c r="X233" i="45"/>
  <c r="Y233" i="45"/>
  <c r="Z233" i="45"/>
  <c r="T234" i="45"/>
  <c r="U234" i="45"/>
  <c r="V234" i="45"/>
  <c r="X234" i="45"/>
  <c r="Y234" i="45"/>
  <c r="Z234" i="45"/>
  <c r="T235" i="45"/>
  <c r="U235" i="45"/>
  <c r="V235" i="45"/>
  <c r="X235" i="45"/>
  <c r="Y235" i="45"/>
  <c r="Z235" i="45"/>
  <c r="T236" i="45"/>
  <c r="U236" i="45"/>
  <c r="V236" i="45"/>
  <c r="X236" i="45"/>
  <c r="Y236" i="45"/>
  <c r="Z236" i="45"/>
  <c r="T237" i="45"/>
  <c r="U237" i="45"/>
  <c r="V237" i="45"/>
  <c r="X237" i="45"/>
  <c r="Y237" i="45"/>
  <c r="Z237" i="45"/>
  <c r="T238" i="45"/>
  <c r="U238" i="45"/>
  <c r="V238" i="45"/>
  <c r="X238" i="45"/>
  <c r="Y238" i="45"/>
  <c r="Z238" i="45"/>
  <c r="T239" i="45"/>
  <c r="U239" i="45"/>
  <c r="V239" i="45"/>
  <c r="X239" i="45"/>
  <c r="Y239" i="45"/>
  <c r="Z239" i="45"/>
  <c r="T240" i="45"/>
  <c r="U240" i="45"/>
  <c r="V240" i="45"/>
  <c r="X240" i="45"/>
  <c r="Y240" i="45"/>
  <c r="Z240" i="45"/>
  <c r="T241" i="45"/>
  <c r="U241" i="45"/>
  <c r="V241" i="45"/>
  <c r="X241" i="45"/>
  <c r="Y241" i="45"/>
  <c r="Z241" i="45"/>
  <c r="T242" i="45"/>
  <c r="U242" i="45"/>
  <c r="V242" i="45"/>
  <c r="X242" i="45"/>
  <c r="Y242" i="45"/>
  <c r="Z242" i="45"/>
  <c r="T243" i="45"/>
  <c r="U243" i="45"/>
  <c r="V243" i="45"/>
  <c r="X243" i="45"/>
  <c r="Y243" i="45"/>
  <c r="Z243" i="45"/>
  <c r="T244" i="45"/>
  <c r="U244" i="45"/>
  <c r="V244" i="45"/>
  <c r="X244" i="45"/>
  <c r="Y244" i="45"/>
  <c r="Z244" i="45"/>
  <c r="T245" i="45"/>
  <c r="U245" i="45"/>
  <c r="V245" i="45"/>
  <c r="X245" i="45"/>
  <c r="Y245" i="45"/>
  <c r="Z245" i="45"/>
  <c r="T246" i="45"/>
  <c r="U246" i="45"/>
  <c r="V246" i="45"/>
  <c r="X246" i="45"/>
  <c r="Y246" i="45"/>
  <c r="Z246" i="45"/>
  <c r="T247" i="45"/>
  <c r="U247" i="45"/>
  <c r="V247" i="45"/>
  <c r="X247" i="45"/>
  <c r="Y247" i="45"/>
  <c r="Z247" i="45"/>
  <c r="T248" i="45"/>
  <c r="U248" i="45"/>
  <c r="V248" i="45"/>
  <c r="X248" i="45"/>
  <c r="Y248" i="45"/>
  <c r="Z248" i="45"/>
  <c r="T249" i="45"/>
  <c r="U249" i="45"/>
  <c r="V249" i="45"/>
  <c r="X249" i="45"/>
  <c r="Y249" i="45"/>
  <c r="Z249" i="45"/>
  <c r="T250" i="45"/>
  <c r="U250" i="45"/>
  <c r="V250" i="45"/>
  <c r="X250" i="45"/>
  <c r="Y250" i="45"/>
  <c r="Z250" i="45"/>
  <c r="T251" i="45"/>
  <c r="U251" i="45"/>
  <c r="V251" i="45"/>
  <c r="X251" i="45"/>
  <c r="Y251" i="45"/>
  <c r="Z251" i="45"/>
  <c r="T252" i="45"/>
  <c r="U252" i="45"/>
  <c r="V252" i="45"/>
  <c r="X252" i="45"/>
  <c r="Y252" i="45"/>
  <c r="Z252" i="45"/>
  <c r="T253" i="45"/>
  <c r="U253" i="45"/>
  <c r="V253" i="45"/>
  <c r="X253" i="45"/>
  <c r="Y253" i="45"/>
  <c r="Z253" i="45"/>
  <c r="T254" i="45"/>
  <c r="U254" i="45"/>
  <c r="V254" i="45"/>
  <c r="X254" i="45"/>
  <c r="Y254" i="45"/>
  <c r="Z254" i="45"/>
  <c r="T255" i="45"/>
  <c r="U255" i="45"/>
  <c r="V255" i="45"/>
  <c r="X255" i="45"/>
  <c r="Y255" i="45"/>
  <c r="Z255" i="45"/>
  <c r="T256" i="45"/>
  <c r="U256" i="45"/>
  <c r="V256" i="45"/>
  <c r="X256" i="45"/>
  <c r="Y256" i="45"/>
  <c r="Z256" i="45"/>
  <c r="T257" i="45"/>
  <c r="U257" i="45"/>
  <c r="V257" i="45"/>
  <c r="X257" i="45"/>
  <c r="Y257" i="45"/>
  <c r="Z257" i="45"/>
  <c r="T258" i="45"/>
  <c r="U258" i="45"/>
  <c r="V258" i="45"/>
  <c r="X258" i="45"/>
  <c r="Y258" i="45"/>
  <c r="Z258" i="45"/>
  <c r="T259" i="45"/>
  <c r="U259" i="45"/>
  <c r="V259" i="45"/>
  <c r="X259" i="45"/>
  <c r="Y259" i="45"/>
  <c r="Z259" i="45"/>
  <c r="T260" i="45"/>
  <c r="U260" i="45"/>
  <c r="V260" i="45"/>
  <c r="X260" i="45"/>
  <c r="Y260" i="45"/>
  <c r="Z260" i="45"/>
  <c r="T261" i="45"/>
  <c r="U261" i="45"/>
  <c r="V261" i="45"/>
  <c r="X261" i="45"/>
  <c r="Y261" i="45"/>
  <c r="Z261" i="45"/>
  <c r="T262" i="45"/>
  <c r="U262" i="45"/>
  <c r="V262" i="45"/>
  <c r="X262" i="45"/>
  <c r="Y262" i="45"/>
  <c r="Z262" i="45"/>
  <c r="T263" i="45"/>
  <c r="U263" i="45"/>
  <c r="V263" i="45"/>
  <c r="X263" i="45"/>
  <c r="Y263" i="45"/>
  <c r="Z263" i="45"/>
  <c r="T264" i="45"/>
  <c r="U264" i="45"/>
  <c r="V264" i="45"/>
  <c r="X264" i="45"/>
  <c r="Y264" i="45"/>
  <c r="Z264" i="45"/>
  <c r="T265" i="45"/>
  <c r="U265" i="45"/>
  <c r="V265" i="45"/>
  <c r="X265" i="45"/>
  <c r="Y265" i="45"/>
  <c r="Z265" i="45"/>
  <c r="T266" i="45"/>
  <c r="U266" i="45"/>
  <c r="V266" i="45"/>
  <c r="X266" i="45"/>
  <c r="Y266" i="45"/>
  <c r="Z266" i="45"/>
  <c r="T267" i="45"/>
  <c r="U267" i="45"/>
  <c r="V267" i="45"/>
  <c r="X267" i="45"/>
  <c r="Y267" i="45"/>
  <c r="Z267" i="45"/>
  <c r="T268" i="45"/>
  <c r="U268" i="45"/>
  <c r="V268" i="45"/>
  <c r="X268" i="45"/>
  <c r="Y268" i="45"/>
  <c r="Z268" i="45"/>
  <c r="T269" i="45"/>
  <c r="U269" i="45"/>
  <c r="V269" i="45"/>
  <c r="X269" i="45"/>
  <c r="Y269" i="45"/>
  <c r="Z269" i="45"/>
  <c r="T270" i="45"/>
  <c r="U270" i="45"/>
  <c r="V270" i="45"/>
  <c r="X270" i="45"/>
  <c r="Y270" i="45"/>
  <c r="Z270" i="45"/>
  <c r="T271" i="45"/>
  <c r="U271" i="45"/>
  <c r="V271" i="45"/>
  <c r="X271" i="45"/>
  <c r="Y271" i="45"/>
  <c r="Z271" i="45"/>
  <c r="T272" i="45"/>
  <c r="U272" i="45"/>
  <c r="V272" i="45"/>
  <c r="X272" i="45"/>
  <c r="Y272" i="45"/>
  <c r="Z272" i="45"/>
  <c r="T273" i="45"/>
  <c r="U273" i="45"/>
  <c r="V273" i="45"/>
  <c r="X273" i="45"/>
  <c r="Y273" i="45"/>
  <c r="Z273" i="45"/>
  <c r="T274" i="45"/>
  <c r="U274" i="45"/>
  <c r="V274" i="45"/>
  <c r="X274" i="45"/>
  <c r="Y274" i="45"/>
  <c r="Z274" i="45"/>
  <c r="T275" i="45"/>
  <c r="U275" i="45"/>
  <c r="V275" i="45"/>
  <c r="X275" i="45"/>
  <c r="Y275" i="45"/>
  <c r="Z275" i="45"/>
  <c r="T276" i="45"/>
  <c r="U276" i="45"/>
  <c r="V276" i="45"/>
  <c r="X276" i="45"/>
  <c r="Y276" i="45"/>
  <c r="Z276" i="45"/>
  <c r="T277" i="45"/>
  <c r="U277" i="45"/>
  <c r="V277" i="45"/>
  <c r="X277" i="45"/>
  <c r="Y277" i="45"/>
  <c r="Z277" i="45"/>
  <c r="T278" i="45"/>
  <c r="U278" i="45"/>
  <c r="V278" i="45"/>
  <c r="X278" i="45"/>
  <c r="Y278" i="45"/>
  <c r="Z278" i="45"/>
  <c r="T279" i="45"/>
  <c r="U279" i="45"/>
  <c r="V279" i="45"/>
  <c r="X279" i="45"/>
  <c r="Y279" i="45"/>
  <c r="Z279" i="45"/>
  <c r="T280" i="45"/>
  <c r="U280" i="45"/>
  <c r="V280" i="45"/>
  <c r="X280" i="45"/>
  <c r="Y280" i="45"/>
  <c r="Z280" i="45"/>
  <c r="T281" i="45"/>
  <c r="U281" i="45"/>
  <c r="V281" i="45"/>
  <c r="X281" i="45"/>
  <c r="Y281" i="45"/>
  <c r="Z281" i="45"/>
  <c r="T282" i="45"/>
  <c r="U282" i="45"/>
  <c r="V282" i="45"/>
  <c r="X282" i="45"/>
  <c r="Y282" i="45"/>
  <c r="Z282" i="45"/>
  <c r="T283" i="45"/>
  <c r="U283" i="45"/>
  <c r="V283" i="45"/>
  <c r="X283" i="45"/>
  <c r="Y283" i="45"/>
  <c r="Z283" i="45"/>
  <c r="T284" i="45"/>
  <c r="U284" i="45"/>
  <c r="V284" i="45"/>
  <c r="X284" i="45"/>
  <c r="Y284" i="45"/>
  <c r="Z284" i="45"/>
  <c r="T285" i="45"/>
  <c r="U285" i="45"/>
  <c r="V285" i="45"/>
  <c r="X285" i="45"/>
  <c r="Y285" i="45"/>
  <c r="Z285" i="45"/>
  <c r="T286" i="45"/>
  <c r="U286" i="45"/>
  <c r="V286" i="45"/>
  <c r="X286" i="45"/>
  <c r="Y286" i="45"/>
  <c r="Z286" i="45"/>
  <c r="T287" i="45"/>
  <c r="U287" i="45"/>
  <c r="V287" i="45"/>
  <c r="X287" i="45"/>
  <c r="Y287" i="45"/>
  <c r="Z287" i="45"/>
  <c r="T288" i="45"/>
  <c r="U288" i="45"/>
  <c r="V288" i="45"/>
  <c r="X288" i="45"/>
  <c r="Y288" i="45"/>
  <c r="Z288" i="45"/>
  <c r="T289" i="45"/>
  <c r="U289" i="45"/>
  <c r="V289" i="45"/>
  <c r="X289" i="45"/>
  <c r="Y289" i="45"/>
  <c r="Z289" i="45"/>
  <c r="T290" i="45"/>
  <c r="U290" i="45"/>
  <c r="V290" i="45"/>
  <c r="X290" i="45"/>
  <c r="Y290" i="45"/>
  <c r="Z290" i="45"/>
  <c r="T291" i="45"/>
  <c r="U291" i="45"/>
  <c r="V291" i="45"/>
  <c r="X291" i="45"/>
  <c r="Y291" i="45"/>
  <c r="Z291" i="45"/>
  <c r="T292" i="45"/>
  <c r="U292" i="45"/>
  <c r="V292" i="45"/>
  <c r="X292" i="45"/>
  <c r="Y292" i="45"/>
  <c r="Z292" i="45"/>
  <c r="T293" i="45"/>
  <c r="U293" i="45"/>
  <c r="V293" i="45"/>
  <c r="X293" i="45"/>
  <c r="Y293" i="45"/>
  <c r="Z293" i="45"/>
  <c r="T294" i="45"/>
  <c r="U294" i="45"/>
  <c r="V294" i="45"/>
  <c r="X294" i="45"/>
  <c r="Y294" i="45"/>
  <c r="Z294" i="45"/>
  <c r="T295" i="45"/>
  <c r="U295" i="45"/>
  <c r="V295" i="45"/>
  <c r="X295" i="45"/>
  <c r="Y295" i="45"/>
  <c r="Z295" i="45"/>
  <c r="T296" i="45"/>
  <c r="U296" i="45"/>
  <c r="V296" i="45"/>
  <c r="X296" i="45"/>
  <c r="Y296" i="45"/>
  <c r="Z296" i="45"/>
  <c r="T297" i="45"/>
  <c r="U297" i="45"/>
  <c r="V297" i="45"/>
  <c r="X297" i="45"/>
  <c r="Y297" i="45"/>
  <c r="Z297" i="45"/>
  <c r="T298" i="45"/>
  <c r="U298" i="45"/>
  <c r="V298" i="45"/>
  <c r="X298" i="45"/>
  <c r="Y298" i="45"/>
  <c r="Z298" i="45"/>
  <c r="T299" i="45"/>
  <c r="U299" i="45"/>
  <c r="V299" i="45"/>
  <c r="X299" i="45"/>
  <c r="Y299" i="45"/>
  <c r="Z299" i="45"/>
  <c r="T300" i="45"/>
  <c r="U300" i="45"/>
  <c r="V300" i="45"/>
  <c r="X300" i="45"/>
  <c r="Y300" i="45"/>
  <c r="Z300" i="45"/>
  <c r="T301" i="45"/>
  <c r="U301" i="45"/>
  <c r="V301" i="45"/>
  <c r="X301" i="45"/>
  <c r="Y301" i="45"/>
  <c r="Z301" i="45"/>
  <c r="T302" i="45"/>
  <c r="U302" i="45"/>
  <c r="V302" i="45"/>
  <c r="X302" i="45"/>
  <c r="Y302" i="45"/>
  <c r="Z302" i="45"/>
  <c r="T303" i="45"/>
  <c r="U303" i="45"/>
  <c r="V303" i="45"/>
  <c r="X303" i="45"/>
  <c r="Y303" i="45"/>
  <c r="Z303" i="45"/>
  <c r="T304" i="45"/>
  <c r="U304" i="45"/>
  <c r="V304" i="45"/>
  <c r="X304" i="45"/>
  <c r="Y304" i="45"/>
  <c r="Z304" i="45"/>
  <c r="T305" i="45"/>
  <c r="U305" i="45"/>
  <c r="V305" i="45"/>
  <c r="X305" i="45"/>
  <c r="Y305" i="45"/>
  <c r="Z305" i="45"/>
  <c r="T306" i="45"/>
  <c r="U306" i="45"/>
  <c r="V306" i="45"/>
  <c r="X306" i="45"/>
  <c r="Y306" i="45"/>
  <c r="Z306" i="45"/>
  <c r="T307" i="45"/>
  <c r="U307" i="45"/>
  <c r="V307" i="45"/>
  <c r="X307" i="45"/>
  <c r="Y307" i="45"/>
  <c r="Z307" i="45"/>
  <c r="T308" i="45"/>
  <c r="U308" i="45"/>
  <c r="V308" i="45"/>
  <c r="X308" i="45"/>
  <c r="Y308" i="45"/>
  <c r="Z308" i="45"/>
  <c r="T309" i="45"/>
  <c r="U309" i="45"/>
  <c r="V309" i="45"/>
  <c r="X309" i="45"/>
  <c r="Y309" i="45"/>
  <c r="Z309" i="45"/>
  <c r="T310" i="45"/>
  <c r="U310" i="45"/>
  <c r="V310" i="45"/>
  <c r="X310" i="45"/>
  <c r="Y310" i="45"/>
  <c r="Z310" i="45"/>
  <c r="T311" i="45"/>
  <c r="U311" i="45"/>
  <c r="V311" i="45"/>
  <c r="X311" i="45"/>
  <c r="Y311" i="45"/>
  <c r="Z311" i="45"/>
  <c r="T312" i="45"/>
  <c r="U312" i="45"/>
  <c r="V312" i="45"/>
  <c r="X312" i="45"/>
  <c r="Y312" i="45"/>
  <c r="Z312" i="45"/>
  <c r="T313" i="45"/>
  <c r="U313" i="45"/>
  <c r="V313" i="45"/>
  <c r="X313" i="45"/>
  <c r="Y313" i="45"/>
  <c r="Z313" i="45"/>
  <c r="T314" i="45"/>
  <c r="U314" i="45"/>
  <c r="V314" i="45"/>
  <c r="X314" i="45"/>
  <c r="Y314" i="45"/>
  <c r="Z314" i="45"/>
  <c r="T315" i="45"/>
  <c r="U315" i="45"/>
  <c r="V315" i="45"/>
  <c r="X315" i="45"/>
  <c r="Y315" i="45"/>
  <c r="Z315" i="45"/>
  <c r="T316" i="45"/>
  <c r="U316" i="45"/>
  <c r="V316" i="45"/>
  <c r="X316" i="45"/>
  <c r="Y316" i="45"/>
  <c r="Z316" i="45"/>
  <c r="T317" i="45"/>
  <c r="U317" i="45"/>
  <c r="V317" i="45"/>
  <c r="X317" i="45"/>
  <c r="Y317" i="45"/>
  <c r="Z317" i="45"/>
  <c r="T318" i="45"/>
  <c r="U318" i="45"/>
  <c r="V318" i="45"/>
  <c r="X318" i="45"/>
  <c r="Y318" i="45"/>
  <c r="Z318" i="45"/>
  <c r="T319" i="45"/>
  <c r="U319" i="45"/>
  <c r="V319" i="45"/>
  <c r="X319" i="45"/>
  <c r="Y319" i="45"/>
  <c r="Z319" i="45"/>
  <c r="T320" i="45"/>
  <c r="U320" i="45"/>
  <c r="V320" i="45"/>
  <c r="X320" i="45"/>
  <c r="Y320" i="45"/>
  <c r="Z320" i="45"/>
  <c r="T321" i="45"/>
  <c r="U321" i="45"/>
  <c r="V321" i="45"/>
  <c r="X321" i="45"/>
  <c r="Y321" i="45"/>
  <c r="Z321" i="45"/>
  <c r="T322" i="45"/>
  <c r="U322" i="45"/>
  <c r="V322" i="45"/>
  <c r="X322" i="45"/>
  <c r="Y322" i="45"/>
  <c r="Z322" i="45"/>
  <c r="T323" i="45"/>
  <c r="U323" i="45"/>
  <c r="V323" i="45"/>
  <c r="X323" i="45"/>
  <c r="Y323" i="45"/>
  <c r="Z323" i="45"/>
  <c r="T324" i="45"/>
  <c r="U324" i="45"/>
  <c r="V324" i="45"/>
  <c r="X324" i="45"/>
  <c r="Y324" i="45"/>
  <c r="Z324" i="45"/>
  <c r="T325" i="45"/>
  <c r="U325" i="45"/>
  <c r="V325" i="45"/>
  <c r="X325" i="45"/>
  <c r="Y325" i="45"/>
  <c r="Z325" i="45"/>
  <c r="T326" i="45"/>
  <c r="U326" i="45"/>
  <c r="V326" i="45"/>
  <c r="X326" i="45"/>
  <c r="Y326" i="45"/>
  <c r="Z326" i="45"/>
  <c r="T327" i="45"/>
  <c r="U327" i="45"/>
  <c r="V327" i="45"/>
  <c r="X327" i="45"/>
  <c r="Y327" i="45"/>
  <c r="Z327" i="45"/>
  <c r="T328" i="45"/>
  <c r="U328" i="45"/>
  <c r="V328" i="45"/>
  <c r="X328" i="45"/>
  <c r="Y328" i="45"/>
  <c r="Z328" i="45"/>
  <c r="T329" i="45"/>
  <c r="U329" i="45"/>
  <c r="V329" i="45"/>
  <c r="X329" i="45"/>
  <c r="Y329" i="45"/>
  <c r="Z329" i="45"/>
  <c r="T330" i="45"/>
  <c r="U330" i="45"/>
  <c r="V330" i="45"/>
  <c r="X330" i="45"/>
  <c r="Y330" i="45"/>
  <c r="Z330" i="45"/>
  <c r="T331" i="45"/>
  <c r="U331" i="45"/>
  <c r="V331" i="45"/>
  <c r="X331" i="45"/>
  <c r="Y331" i="45"/>
  <c r="Z331" i="45"/>
  <c r="T332" i="45"/>
  <c r="U332" i="45"/>
  <c r="V332" i="45"/>
  <c r="X332" i="45"/>
  <c r="Y332" i="45"/>
  <c r="Z332" i="45"/>
  <c r="T333" i="45"/>
  <c r="U333" i="45"/>
  <c r="V333" i="45"/>
  <c r="X333" i="45"/>
  <c r="Y333" i="45"/>
  <c r="Z333" i="45"/>
  <c r="T334" i="45"/>
  <c r="U334" i="45"/>
  <c r="V334" i="45"/>
  <c r="X334" i="45"/>
  <c r="Y334" i="45"/>
  <c r="Z334" i="45"/>
  <c r="T335" i="45"/>
  <c r="U335" i="45"/>
  <c r="V335" i="45"/>
  <c r="X335" i="45"/>
  <c r="Y335" i="45"/>
  <c r="Z335" i="45"/>
  <c r="T336" i="45"/>
  <c r="U336" i="45"/>
  <c r="V336" i="45"/>
  <c r="X336" i="45"/>
  <c r="Y336" i="45"/>
  <c r="Z336" i="45"/>
  <c r="T337" i="45"/>
  <c r="U337" i="45"/>
  <c r="V337" i="45"/>
  <c r="X337" i="45"/>
  <c r="Y337" i="45"/>
  <c r="Z337" i="45"/>
  <c r="T338" i="45"/>
  <c r="U338" i="45"/>
  <c r="V338" i="45"/>
  <c r="X338" i="45"/>
  <c r="Y338" i="45"/>
  <c r="Z338" i="45"/>
  <c r="T339" i="45"/>
  <c r="U339" i="45"/>
  <c r="V339" i="45"/>
  <c r="X339" i="45"/>
  <c r="Y339" i="45"/>
  <c r="Z339" i="45"/>
  <c r="T340" i="45"/>
  <c r="U340" i="45"/>
  <c r="V340" i="45"/>
  <c r="X340" i="45"/>
  <c r="Y340" i="45"/>
  <c r="Z340" i="45"/>
  <c r="T341" i="45"/>
  <c r="U341" i="45"/>
  <c r="V341" i="45"/>
  <c r="X341" i="45"/>
  <c r="Y341" i="45"/>
  <c r="Z341" i="45"/>
  <c r="T342" i="45"/>
  <c r="U342" i="45"/>
  <c r="V342" i="45"/>
  <c r="X342" i="45"/>
  <c r="Y342" i="45"/>
  <c r="Z342" i="45"/>
  <c r="T343" i="45"/>
  <c r="U343" i="45"/>
  <c r="V343" i="45"/>
  <c r="X343" i="45"/>
  <c r="Y343" i="45"/>
  <c r="Z343" i="45"/>
  <c r="T344" i="45"/>
  <c r="U344" i="45"/>
  <c r="V344" i="45"/>
  <c r="X344" i="45"/>
  <c r="Y344" i="45"/>
  <c r="Z344" i="45"/>
  <c r="T345" i="45"/>
  <c r="U345" i="45"/>
  <c r="V345" i="45"/>
  <c r="X345" i="45"/>
  <c r="Y345" i="45"/>
  <c r="Z345" i="45"/>
  <c r="T346" i="45"/>
  <c r="U346" i="45"/>
  <c r="V346" i="45"/>
  <c r="X346" i="45"/>
  <c r="Y346" i="45"/>
  <c r="Z346" i="45"/>
  <c r="T347" i="45"/>
  <c r="U347" i="45"/>
  <c r="V347" i="45"/>
  <c r="X347" i="45"/>
  <c r="Y347" i="45"/>
  <c r="Z347" i="45"/>
  <c r="T348" i="45"/>
  <c r="U348" i="45"/>
  <c r="V348" i="45"/>
  <c r="X348" i="45"/>
  <c r="Y348" i="45"/>
  <c r="Z348" i="45"/>
  <c r="T349" i="45"/>
  <c r="U349" i="45"/>
  <c r="V349" i="45"/>
  <c r="X349" i="45"/>
  <c r="Y349" i="45"/>
  <c r="Z349" i="45"/>
  <c r="T350" i="45"/>
  <c r="U350" i="45"/>
  <c r="V350" i="45"/>
  <c r="X350" i="45"/>
  <c r="Y350" i="45"/>
  <c r="Z350" i="45"/>
  <c r="T351" i="45"/>
  <c r="U351" i="45"/>
  <c r="V351" i="45"/>
  <c r="X351" i="45"/>
  <c r="Y351" i="45"/>
  <c r="Z351" i="45"/>
  <c r="T352" i="45"/>
  <c r="U352" i="45"/>
  <c r="V352" i="45"/>
  <c r="X352" i="45"/>
  <c r="Y352" i="45"/>
  <c r="Z352" i="45"/>
  <c r="T353" i="45"/>
  <c r="U353" i="45"/>
  <c r="V353" i="45"/>
  <c r="X353" i="45"/>
  <c r="Y353" i="45"/>
  <c r="Z353" i="45"/>
  <c r="T354" i="45"/>
  <c r="U354" i="45"/>
  <c r="V354" i="45"/>
  <c r="X354" i="45"/>
  <c r="Y354" i="45"/>
  <c r="Z354" i="45"/>
  <c r="T355" i="45"/>
  <c r="U355" i="45"/>
  <c r="V355" i="45"/>
  <c r="X355" i="45"/>
  <c r="Y355" i="45"/>
  <c r="Z355" i="45"/>
  <c r="T356" i="45"/>
  <c r="U356" i="45"/>
  <c r="V356" i="45"/>
  <c r="X356" i="45"/>
  <c r="Y356" i="45"/>
  <c r="Z356" i="45"/>
  <c r="T357" i="45"/>
  <c r="U357" i="45"/>
  <c r="V357" i="45"/>
  <c r="X357" i="45"/>
  <c r="Y357" i="45"/>
  <c r="Z357" i="45"/>
  <c r="T358" i="45"/>
  <c r="U358" i="45"/>
  <c r="V358" i="45"/>
  <c r="X358" i="45"/>
  <c r="Y358" i="45"/>
  <c r="Z358" i="45"/>
  <c r="T359" i="45"/>
  <c r="U359" i="45"/>
  <c r="V359" i="45"/>
  <c r="X359" i="45"/>
  <c r="Y359" i="45"/>
  <c r="Z359" i="45"/>
  <c r="T360" i="45"/>
  <c r="U360" i="45"/>
  <c r="V360" i="45"/>
  <c r="X360" i="45"/>
  <c r="Y360" i="45"/>
  <c r="Z360" i="45"/>
  <c r="T361" i="45"/>
  <c r="U361" i="45"/>
  <c r="V361" i="45"/>
  <c r="X361" i="45"/>
  <c r="Y361" i="45"/>
  <c r="Z361" i="45"/>
  <c r="T362" i="45"/>
  <c r="U362" i="45"/>
  <c r="V362" i="45"/>
  <c r="X362" i="45"/>
  <c r="Y362" i="45"/>
  <c r="Z362" i="45"/>
  <c r="T363" i="45"/>
  <c r="U363" i="45"/>
  <c r="V363" i="45"/>
  <c r="X363" i="45"/>
  <c r="Y363" i="45"/>
  <c r="Z363" i="45"/>
  <c r="T364" i="45"/>
  <c r="U364" i="45"/>
  <c r="V364" i="45"/>
  <c r="X364" i="45"/>
  <c r="Y364" i="45"/>
  <c r="Z364" i="45"/>
  <c r="T365" i="45"/>
  <c r="U365" i="45"/>
  <c r="V365" i="45"/>
  <c r="X365" i="45"/>
  <c r="Y365" i="45"/>
  <c r="Z365" i="45"/>
  <c r="T366" i="45"/>
  <c r="U366" i="45"/>
  <c r="V366" i="45"/>
  <c r="X366" i="45"/>
  <c r="Y366" i="45"/>
  <c r="Z366" i="45"/>
  <c r="T367" i="45"/>
  <c r="U367" i="45"/>
  <c r="V367" i="45"/>
  <c r="X367" i="45"/>
  <c r="Y367" i="45"/>
  <c r="Z367" i="45"/>
  <c r="T368" i="45"/>
  <c r="U368" i="45"/>
  <c r="V368" i="45"/>
  <c r="X368" i="45"/>
  <c r="Y368" i="45"/>
  <c r="Z368" i="45"/>
  <c r="T369" i="45"/>
  <c r="U369" i="45"/>
  <c r="V369" i="45"/>
  <c r="X369" i="45"/>
  <c r="Y369" i="45"/>
  <c r="Z369" i="45"/>
  <c r="T370" i="45"/>
  <c r="U370" i="45"/>
  <c r="V370" i="45"/>
  <c r="X370" i="45"/>
  <c r="Y370" i="45"/>
  <c r="Z370" i="45"/>
  <c r="T371" i="45"/>
  <c r="U371" i="45"/>
  <c r="V371" i="45"/>
  <c r="X371" i="45"/>
  <c r="Y371" i="45"/>
  <c r="Z371" i="45"/>
  <c r="T372" i="45"/>
  <c r="U372" i="45"/>
  <c r="V372" i="45"/>
  <c r="X372" i="45"/>
  <c r="Y372" i="45"/>
  <c r="Z372" i="45"/>
  <c r="T373" i="45"/>
  <c r="U373" i="45"/>
  <c r="V373" i="45"/>
  <c r="X373" i="45"/>
  <c r="Y373" i="45"/>
  <c r="Z373" i="45"/>
  <c r="T374" i="45"/>
  <c r="U374" i="45"/>
  <c r="V374" i="45"/>
  <c r="X374" i="45"/>
  <c r="Y374" i="45"/>
  <c r="Z374" i="45"/>
  <c r="T375" i="45"/>
  <c r="U375" i="45"/>
  <c r="V375" i="45"/>
  <c r="X375" i="45"/>
  <c r="Y375" i="45"/>
  <c r="Z375" i="45"/>
  <c r="T376" i="45"/>
  <c r="U376" i="45"/>
  <c r="V376" i="45"/>
  <c r="X376" i="45"/>
  <c r="Y376" i="45"/>
  <c r="Z376" i="45"/>
  <c r="T377" i="45"/>
  <c r="U377" i="45"/>
  <c r="V377" i="45"/>
  <c r="X377" i="45"/>
  <c r="Y377" i="45"/>
  <c r="Z377" i="45"/>
  <c r="T378" i="45"/>
  <c r="U378" i="45"/>
  <c r="V378" i="45"/>
  <c r="X378" i="45"/>
  <c r="Y378" i="45"/>
  <c r="Z378" i="45"/>
  <c r="T379" i="45"/>
  <c r="U379" i="45"/>
  <c r="V379" i="45"/>
  <c r="X379" i="45"/>
  <c r="Y379" i="45"/>
  <c r="Z379" i="45"/>
  <c r="T380" i="45"/>
  <c r="U380" i="45"/>
  <c r="V380" i="45"/>
  <c r="X380" i="45"/>
  <c r="Y380" i="45"/>
  <c r="Z380" i="45"/>
  <c r="T381" i="45"/>
  <c r="U381" i="45"/>
  <c r="V381" i="45"/>
  <c r="X381" i="45"/>
  <c r="Y381" i="45"/>
  <c r="Z381" i="45"/>
  <c r="T382" i="45"/>
  <c r="U382" i="45"/>
  <c r="V382" i="45"/>
  <c r="X382" i="45"/>
  <c r="Y382" i="45"/>
  <c r="Z382" i="45"/>
  <c r="T383" i="45"/>
  <c r="U383" i="45"/>
  <c r="V383" i="45"/>
  <c r="X383" i="45"/>
  <c r="Y383" i="45"/>
  <c r="Z383" i="45"/>
  <c r="T384" i="45"/>
  <c r="U384" i="45"/>
  <c r="V384" i="45"/>
  <c r="X384" i="45"/>
  <c r="Y384" i="45"/>
  <c r="Z384" i="45"/>
  <c r="T385" i="45"/>
  <c r="U385" i="45"/>
  <c r="V385" i="45"/>
  <c r="X385" i="45"/>
  <c r="Y385" i="45"/>
  <c r="Z385" i="45"/>
  <c r="T386" i="45"/>
  <c r="U386" i="45"/>
  <c r="V386" i="45"/>
  <c r="X386" i="45"/>
  <c r="Y386" i="45"/>
  <c r="Z386" i="45"/>
  <c r="T387" i="45"/>
  <c r="U387" i="45"/>
  <c r="V387" i="45"/>
  <c r="X387" i="45"/>
  <c r="Y387" i="45"/>
  <c r="Z387" i="45"/>
  <c r="T388" i="45"/>
  <c r="U388" i="45"/>
  <c r="V388" i="45"/>
  <c r="X388" i="45"/>
  <c r="Y388" i="45"/>
  <c r="Z388" i="45"/>
  <c r="T389" i="45"/>
  <c r="U389" i="45"/>
  <c r="V389" i="45"/>
  <c r="X389" i="45"/>
  <c r="Y389" i="45"/>
  <c r="Z389" i="45"/>
  <c r="T390" i="45"/>
  <c r="U390" i="45"/>
  <c r="V390" i="45"/>
  <c r="X390" i="45"/>
  <c r="Y390" i="45"/>
  <c r="Z390" i="45"/>
  <c r="T391" i="45"/>
  <c r="U391" i="45"/>
  <c r="V391" i="45"/>
  <c r="X391" i="45"/>
  <c r="Y391" i="45"/>
  <c r="Z391" i="45"/>
  <c r="T392" i="45"/>
  <c r="U392" i="45"/>
  <c r="V392" i="45"/>
  <c r="X392" i="45"/>
  <c r="Y392" i="45"/>
  <c r="Z392" i="45"/>
  <c r="T393" i="45"/>
  <c r="U393" i="45"/>
  <c r="V393" i="45"/>
  <c r="X393" i="45"/>
  <c r="Y393" i="45"/>
  <c r="Z393" i="45"/>
  <c r="T394" i="45"/>
  <c r="U394" i="45"/>
  <c r="V394" i="45"/>
  <c r="X394" i="45"/>
  <c r="Y394" i="45"/>
  <c r="Z394" i="45"/>
  <c r="T395" i="45"/>
  <c r="U395" i="45"/>
  <c r="V395" i="45"/>
  <c r="X395" i="45"/>
  <c r="Y395" i="45"/>
  <c r="Z395" i="45"/>
  <c r="T396" i="45"/>
  <c r="U396" i="45"/>
  <c r="V396" i="45"/>
  <c r="X396" i="45"/>
  <c r="Y396" i="45"/>
  <c r="Z396" i="45"/>
  <c r="T397" i="45"/>
  <c r="U397" i="45"/>
  <c r="V397" i="45"/>
  <c r="X397" i="45"/>
  <c r="Y397" i="45"/>
  <c r="Z397" i="45"/>
  <c r="T398" i="45"/>
  <c r="U398" i="45"/>
  <c r="V398" i="45"/>
  <c r="X398" i="45"/>
  <c r="Y398" i="45"/>
  <c r="Z398" i="45"/>
  <c r="T399" i="45"/>
  <c r="U399" i="45"/>
  <c r="V399" i="45"/>
  <c r="X399" i="45"/>
  <c r="Y399" i="45"/>
  <c r="Z399" i="45"/>
  <c r="T400" i="45"/>
  <c r="U400" i="45"/>
  <c r="V400" i="45"/>
  <c r="X400" i="45"/>
  <c r="Y400" i="45"/>
  <c r="Z400" i="45"/>
  <c r="T401" i="45"/>
  <c r="U401" i="45"/>
  <c r="V401" i="45"/>
  <c r="X401" i="45"/>
  <c r="Y401" i="45"/>
  <c r="Z401" i="45"/>
  <c r="T402" i="45"/>
  <c r="U402" i="45"/>
  <c r="V402" i="45"/>
  <c r="X402" i="45"/>
  <c r="Y402" i="45"/>
  <c r="Z402" i="45"/>
  <c r="T403" i="45"/>
  <c r="U403" i="45"/>
  <c r="V403" i="45"/>
  <c r="X403" i="45"/>
  <c r="Y403" i="45"/>
  <c r="Z403" i="45"/>
  <c r="T404" i="45"/>
  <c r="U404" i="45"/>
  <c r="V404" i="45"/>
  <c r="X404" i="45"/>
  <c r="Y404" i="45"/>
  <c r="Z404" i="45"/>
  <c r="T405" i="45"/>
  <c r="U405" i="45"/>
  <c r="V405" i="45"/>
  <c r="X405" i="45"/>
  <c r="Y405" i="45"/>
  <c r="Z405" i="45"/>
  <c r="T406" i="45"/>
  <c r="U406" i="45"/>
  <c r="V406" i="45"/>
  <c r="X406" i="45"/>
  <c r="Y406" i="45"/>
  <c r="Z406" i="45"/>
  <c r="T407" i="45"/>
  <c r="U407" i="45"/>
  <c r="V407" i="45"/>
  <c r="X407" i="45"/>
  <c r="Y407" i="45"/>
  <c r="Z407" i="45"/>
  <c r="T408" i="45"/>
  <c r="U408" i="45"/>
  <c r="V408" i="45"/>
  <c r="X408" i="45"/>
  <c r="Y408" i="45"/>
  <c r="Z408" i="45"/>
  <c r="T409" i="45"/>
  <c r="U409" i="45"/>
  <c r="V409" i="45"/>
  <c r="X409" i="45"/>
  <c r="Y409" i="45"/>
  <c r="Z409" i="45"/>
  <c r="T410" i="45"/>
  <c r="U410" i="45"/>
  <c r="V410" i="45"/>
  <c r="X410" i="45"/>
  <c r="Y410" i="45"/>
  <c r="Z410" i="45"/>
  <c r="T411" i="45"/>
  <c r="U411" i="45"/>
  <c r="V411" i="45"/>
  <c r="X411" i="45"/>
  <c r="Y411" i="45"/>
  <c r="Z411" i="45"/>
  <c r="T412" i="45"/>
  <c r="U412" i="45"/>
  <c r="V412" i="45"/>
  <c r="X412" i="45"/>
  <c r="Y412" i="45"/>
  <c r="Z412" i="45"/>
  <c r="T413" i="45"/>
  <c r="U413" i="45"/>
  <c r="V413" i="45"/>
  <c r="X413" i="45"/>
  <c r="Y413" i="45"/>
  <c r="Z413" i="45"/>
  <c r="T414" i="45"/>
  <c r="U414" i="45"/>
  <c r="V414" i="45"/>
  <c r="X414" i="45"/>
  <c r="Y414" i="45"/>
  <c r="Z414" i="45"/>
  <c r="T415" i="45"/>
  <c r="U415" i="45"/>
  <c r="V415" i="45"/>
  <c r="X415" i="45"/>
  <c r="Y415" i="45"/>
  <c r="Z415" i="45"/>
  <c r="T416" i="45"/>
  <c r="U416" i="45"/>
  <c r="V416" i="45"/>
  <c r="X416" i="45"/>
  <c r="Y416" i="45"/>
  <c r="Z416" i="45"/>
  <c r="T417" i="45"/>
  <c r="U417" i="45"/>
  <c r="V417" i="45"/>
  <c r="X417" i="45"/>
  <c r="Y417" i="45"/>
  <c r="Z417" i="45"/>
  <c r="T418" i="45"/>
  <c r="U418" i="45"/>
  <c r="V418" i="45"/>
  <c r="X418" i="45"/>
  <c r="Y418" i="45"/>
  <c r="Z418" i="45"/>
  <c r="T419" i="45"/>
  <c r="U419" i="45"/>
  <c r="V419" i="45"/>
  <c r="X419" i="45"/>
  <c r="Y419" i="45"/>
  <c r="Z419" i="45"/>
  <c r="T420" i="45"/>
  <c r="U420" i="45"/>
  <c r="V420" i="45"/>
  <c r="X420" i="45"/>
  <c r="Y420" i="45"/>
  <c r="Z420" i="45"/>
  <c r="T421" i="45"/>
  <c r="U421" i="45"/>
  <c r="V421" i="45"/>
  <c r="X421" i="45"/>
  <c r="Y421" i="45"/>
  <c r="Z421" i="45"/>
  <c r="T422" i="45"/>
  <c r="U422" i="45"/>
  <c r="V422" i="45"/>
  <c r="X422" i="45"/>
  <c r="Y422" i="45"/>
  <c r="Z422" i="45"/>
  <c r="T423" i="45"/>
  <c r="U423" i="45"/>
  <c r="V423" i="45"/>
  <c r="X423" i="45"/>
  <c r="Y423" i="45"/>
  <c r="Z423" i="45"/>
  <c r="T424" i="45"/>
  <c r="U424" i="45"/>
  <c r="V424" i="45"/>
  <c r="X424" i="45"/>
  <c r="Y424" i="45"/>
  <c r="Z424" i="45"/>
  <c r="T425" i="45"/>
  <c r="U425" i="45"/>
  <c r="V425" i="45"/>
  <c r="X425" i="45"/>
  <c r="Y425" i="45"/>
  <c r="Z425" i="45"/>
  <c r="T426" i="45"/>
  <c r="U426" i="45"/>
  <c r="V426" i="45"/>
  <c r="X426" i="45"/>
  <c r="Y426" i="45"/>
  <c r="Z426" i="45"/>
  <c r="T427" i="45"/>
  <c r="U427" i="45"/>
  <c r="V427" i="45"/>
  <c r="X427" i="45"/>
  <c r="Y427" i="45"/>
  <c r="Z427" i="45"/>
  <c r="T428" i="45"/>
  <c r="U428" i="45"/>
  <c r="V428" i="45"/>
  <c r="X428" i="45"/>
  <c r="Y428" i="45"/>
  <c r="Z428" i="45"/>
  <c r="T429" i="45"/>
  <c r="U429" i="45"/>
  <c r="V429" i="45"/>
  <c r="X429" i="45"/>
  <c r="Y429" i="45"/>
  <c r="Z429" i="45"/>
  <c r="T430" i="45"/>
  <c r="U430" i="45"/>
  <c r="V430" i="45"/>
  <c r="X430" i="45"/>
  <c r="Y430" i="45"/>
  <c r="Z430" i="45"/>
  <c r="T431" i="45"/>
  <c r="U431" i="45"/>
  <c r="V431" i="45"/>
  <c r="X431" i="45"/>
  <c r="Y431" i="45"/>
  <c r="Z431" i="45"/>
  <c r="T432" i="45"/>
  <c r="U432" i="45"/>
  <c r="V432" i="45"/>
  <c r="X432" i="45"/>
  <c r="Y432" i="45"/>
  <c r="Z432" i="45"/>
  <c r="T433" i="45"/>
  <c r="U433" i="45"/>
  <c r="V433" i="45"/>
  <c r="X433" i="45"/>
  <c r="Y433" i="45"/>
  <c r="Z433" i="45"/>
  <c r="T434" i="45"/>
  <c r="U434" i="45"/>
  <c r="V434" i="45"/>
  <c r="X434" i="45"/>
  <c r="Y434" i="45"/>
  <c r="Z434" i="45"/>
  <c r="T435" i="45"/>
  <c r="U435" i="45"/>
  <c r="V435" i="45"/>
  <c r="X435" i="45"/>
  <c r="Y435" i="45"/>
  <c r="Z435" i="45"/>
  <c r="T436" i="45"/>
  <c r="U436" i="45"/>
  <c r="V436" i="45"/>
  <c r="X436" i="45"/>
  <c r="Y436" i="45"/>
  <c r="Z436" i="45"/>
  <c r="T437" i="45"/>
  <c r="U437" i="45"/>
  <c r="V437" i="45"/>
  <c r="X437" i="45"/>
  <c r="Y437" i="45"/>
  <c r="Z437" i="45"/>
  <c r="T438" i="45"/>
  <c r="U438" i="45"/>
  <c r="V438" i="45"/>
  <c r="X438" i="45"/>
  <c r="Y438" i="45"/>
  <c r="Z438" i="45"/>
  <c r="T439" i="45"/>
  <c r="U439" i="45"/>
  <c r="V439" i="45"/>
  <c r="X439" i="45"/>
  <c r="Y439" i="45"/>
  <c r="Z439" i="45"/>
  <c r="T440" i="45"/>
  <c r="U440" i="45"/>
  <c r="V440" i="45"/>
  <c r="X440" i="45"/>
  <c r="Y440" i="45"/>
  <c r="Z440" i="45"/>
  <c r="T441" i="45"/>
  <c r="U441" i="45"/>
  <c r="V441" i="45"/>
  <c r="X441" i="45"/>
  <c r="Y441" i="45"/>
  <c r="Z441" i="45"/>
  <c r="T442" i="45"/>
  <c r="U442" i="45"/>
  <c r="V442" i="45"/>
  <c r="X442" i="45"/>
  <c r="Y442" i="45"/>
  <c r="Z442" i="45"/>
  <c r="T443" i="45"/>
  <c r="U443" i="45"/>
  <c r="V443" i="45"/>
  <c r="X443" i="45"/>
  <c r="Y443" i="45"/>
  <c r="Z443" i="45"/>
  <c r="T444" i="45"/>
  <c r="U444" i="45"/>
  <c r="V444" i="45"/>
  <c r="X444" i="45"/>
  <c r="Y444" i="45"/>
  <c r="Z444" i="45"/>
  <c r="T445" i="45"/>
  <c r="U445" i="45"/>
  <c r="V445" i="45"/>
  <c r="X445" i="45"/>
  <c r="Y445" i="45"/>
  <c r="Z445" i="45"/>
  <c r="T446" i="45"/>
  <c r="U446" i="45"/>
  <c r="V446" i="45"/>
  <c r="X446" i="45"/>
  <c r="Y446" i="45"/>
  <c r="Z446" i="45"/>
  <c r="T447" i="45"/>
  <c r="U447" i="45"/>
  <c r="V447" i="45"/>
  <c r="X447" i="45"/>
  <c r="Y447" i="45"/>
  <c r="Z447" i="45"/>
  <c r="T448" i="45"/>
  <c r="U448" i="45"/>
  <c r="V448" i="45"/>
  <c r="X448" i="45"/>
  <c r="Y448" i="45"/>
  <c r="Z448" i="45"/>
  <c r="T449" i="45"/>
  <c r="U449" i="45"/>
  <c r="V449" i="45"/>
  <c r="X449" i="45"/>
  <c r="Y449" i="45"/>
  <c r="Z449" i="45"/>
  <c r="T450" i="45"/>
  <c r="U450" i="45"/>
  <c r="V450" i="45"/>
  <c r="X450" i="45"/>
  <c r="Y450" i="45"/>
  <c r="Z450" i="45"/>
  <c r="T451" i="45"/>
  <c r="U451" i="45"/>
  <c r="V451" i="45"/>
  <c r="X451" i="45"/>
  <c r="Y451" i="45"/>
  <c r="Z451" i="45"/>
  <c r="T452" i="45"/>
  <c r="U452" i="45"/>
  <c r="V452" i="45"/>
  <c r="X452" i="45"/>
  <c r="Y452" i="45"/>
  <c r="Z452" i="45"/>
  <c r="T453" i="45"/>
  <c r="U453" i="45"/>
  <c r="V453" i="45"/>
  <c r="X453" i="45"/>
  <c r="Y453" i="45"/>
  <c r="Z453" i="45"/>
  <c r="T454" i="45"/>
  <c r="U454" i="45"/>
  <c r="V454" i="45"/>
  <c r="X454" i="45"/>
  <c r="Y454" i="45"/>
  <c r="Z454" i="45"/>
  <c r="T455" i="45"/>
  <c r="U455" i="45"/>
  <c r="V455" i="45"/>
  <c r="X455" i="45"/>
  <c r="Y455" i="45"/>
  <c r="Z455" i="45"/>
  <c r="T456" i="45"/>
  <c r="U456" i="45"/>
  <c r="V456" i="45"/>
  <c r="X456" i="45"/>
  <c r="Y456" i="45"/>
  <c r="Z456" i="45"/>
  <c r="T457" i="45"/>
  <c r="U457" i="45"/>
  <c r="V457" i="45"/>
  <c r="X457" i="45"/>
  <c r="Y457" i="45"/>
  <c r="Z457" i="45"/>
  <c r="T458" i="45"/>
  <c r="U458" i="45"/>
  <c r="V458" i="45"/>
  <c r="X458" i="45"/>
  <c r="Y458" i="45"/>
  <c r="Z458" i="45"/>
  <c r="T459" i="45"/>
  <c r="U459" i="45"/>
  <c r="V459" i="45"/>
  <c r="X459" i="45"/>
  <c r="Y459" i="45"/>
  <c r="Z459" i="45"/>
  <c r="D11" i="23"/>
  <c r="D12" i="23"/>
  <c r="D35" i="23"/>
  <c r="D36" i="23"/>
  <c r="D39" i="23"/>
  <c r="D40" i="23"/>
  <c r="D41" i="23"/>
  <c r="D43" i="23"/>
  <c r="D44" i="23"/>
  <c r="D45" i="23"/>
  <c r="D47" i="23"/>
  <c r="D49" i="23"/>
  <c r="D51" i="23"/>
  <c r="D53" i="23"/>
  <c r="D90" i="23"/>
  <c r="D93" i="23"/>
  <c r="D98" i="23"/>
  <c r="D108" i="23"/>
  <c r="D114" i="23"/>
  <c r="D115" i="23"/>
  <c r="D157" i="23"/>
  <c r="D158" i="23"/>
  <c r="L22" i="89"/>
  <c r="O2" i="17"/>
  <c r="J6" i="17"/>
  <c r="K6" i="17"/>
  <c r="L6" i="17"/>
  <c r="H8" i="17"/>
  <c r="I8" i="17"/>
  <c r="J8" i="17"/>
  <c r="K8" i="17"/>
  <c r="L8" i="17"/>
  <c r="M8" i="17"/>
  <c r="N8" i="17"/>
  <c r="O8" i="17"/>
  <c r="S8" i="17"/>
  <c r="T8" i="17"/>
  <c r="U8" i="17"/>
  <c r="H9" i="17"/>
  <c r="J9" i="17"/>
  <c r="K9" i="17"/>
  <c r="L9" i="17"/>
  <c r="M9" i="17"/>
  <c r="H12" i="17" a="1"/>
  <c r="H14" i="17"/>
  <c r="S16" i="17"/>
  <c r="T16" i="17"/>
  <c r="U16" i="17"/>
  <c r="H18" i="17"/>
  <c r="S24" i="17"/>
  <c r="T24" i="17"/>
  <c r="U24" i="17"/>
  <c r="I25" i="17"/>
  <c r="I26" i="17"/>
  <c r="I27" i="17"/>
  <c r="N30" i="17"/>
  <c r="O30" i="17"/>
  <c r="N31" i="17"/>
  <c r="O31" i="17"/>
  <c r="N32" i="17"/>
  <c r="O32" i="17"/>
  <c r="S32" i="17"/>
  <c r="T32" i="17"/>
  <c r="U32" i="17"/>
  <c r="S40" i="17"/>
  <c r="T40" i="17"/>
  <c r="U40" i="17"/>
  <c r="B76" i="77"/>
  <c r="M2" i="1"/>
  <c r="R24" i="1"/>
  <c r="S24" i="1"/>
  <c r="T24" i="1"/>
  <c r="M69" i="1"/>
  <c r="M112" i="1"/>
  <c r="R116" i="1"/>
  <c r="S116" i="1"/>
  <c r="T116" i="1"/>
  <c r="C125" i="1"/>
  <c r="D125" i="1"/>
  <c r="F125" i="1"/>
  <c r="G125" i="1"/>
  <c r="I125" i="1"/>
  <c r="J125" i="1"/>
  <c r="L125" i="1"/>
  <c r="M125" i="1"/>
  <c r="C130" i="1"/>
  <c r="D130" i="1"/>
  <c r="F130" i="1"/>
  <c r="G130" i="1"/>
  <c r="I130" i="1"/>
  <c r="J130" i="1"/>
  <c r="L130" i="1"/>
  <c r="M130" i="1"/>
  <c r="M132" i="1"/>
  <c r="I173" i="1"/>
  <c r="I174" i="1"/>
  <c r="I175" i="1"/>
  <c r="I177" i="1"/>
  <c r="F179" i="1"/>
  <c r="I179" i="1"/>
  <c r="F180" i="1"/>
  <c r="M190" i="1"/>
  <c r="G75" i="6"/>
  <c r="H75" i="6"/>
  <c r="I75" i="6"/>
  <c r="J75" i="6"/>
  <c r="K75" i="6"/>
  <c r="L75" i="6"/>
  <c r="M75" i="6"/>
  <c r="N75" i="6"/>
  <c r="O75" i="6"/>
  <c r="P75" i="6"/>
  <c r="Q75" i="6"/>
  <c r="R75" i="6"/>
  <c r="S75" i="6"/>
  <c r="T75" i="6"/>
  <c r="U75" i="6"/>
  <c r="V75" i="6"/>
  <c r="W75" i="6"/>
  <c r="X75" i="6"/>
  <c r="Y75" i="6"/>
  <c r="Z75" i="6"/>
  <c r="AA75" i="6"/>
  <c r="AB75" i="6"/>
  <c r="AC75" i="6"/>
  <c r="AD75" i="6"/>
  <c r="AE75" i="6"/>
  <c r="AF75" i="6"/>
  <c r="AG75" i="6"/>
  <c r="AH75" i="6"/>
  <c r="AI75" i="6"/>
  <c r="AJ75" i="6"/>
  <c r="AK75" i="6"/>
  <c r="AL75" i="6"/>
  <c r="AM75" i="6"/>
  <c r="AN75" i="6"/>
  <c r="AO75" i="6"/>
  <c r="AP75" i="6"/>
  <c r="AQ75" i="6"/>
  <c r="AR75" i="6"/>
  <c r="AS75" i="6"/>
  <c r="AT75" i="6"/>
  <c r="AU75" i="6"/>
  <c r="AV75" i="6"/>
  <c r="AW75" i="6"/>
  <c r="AX75" i="6"/>
  <c r="AY75" i="6"/>
  <c r="AZ75" i="6"/>
  <c r="BA75" i="6"/>
  <c r="BB75" i="6"/>
  <c r="BC75" i="6"/>
  <c r="BD75" i="6"/>
  <c r="BE75" i="6"/>
  <c r="BF75" i="6"/>
  <c r="BG75" i="6"/>
  <c r="BH75" i="6"/>
  <c r="BI75" i="6"/>
  <c r="BJ75" i="6"/>
  <c r="BK75" i="6"/>
  <c r="BL75" i="6"/>
  <c r="BM75" i="6"/>
  <c r="BN75" i="6"/>
  <c r="BO75" i="6"/>
  <c r="BP75" i="6"/>
  <c r="BQ75" i="6"/>
  <c r="BR75" i="6"/>
  <c r="BS75" i="6"/>
  <c r="BT75" i="6"/>
  <c r="BU75" i="6"/>
  <c r="BV75" i="6"/>
  <c r="BW75" i="6"/>
  <c r="BX75" i="6"/>
  <c r="BY75" i="6"/>
  <c r="BZ75" i="6"/>
  <c r="CA75" i="6"/>
  <c r="CB75" i="6"/>
  <c r="CC75" i="6"/>
  <c r="CD75" i="6"/>
  <c r="CE75" i="6"/>
  <c r="CF75" i="6"/>
  <c r="CG75" i="6"/>
  <c r="CH75" i="6"/>
  <c r="CI75" i="6"/>
  <c r="CJ75" i="6"/>
  <c r="CK75" i="6"/>
  <c r="CL75" i="6"/>
  <c r="CM75" i="6"/>
  <c r="CN75" i="6"/>
  <c r="CO75" i="6"/>
  <c r="CP75" i="6"/>
  <c r="CQ75" i="6"/>
  <c r="CR75" i="6"/>
  <c r="CS75" i="6"/>
  <c r="CT75" i="6"/>
  <c r="CU75" i="6"/>
  <c r="CV75" i="6"/>
  <c r="CW75" i="6"/>
  <c r="CX75" i="6"/>
  <c r="CY75" i="6"/>
  <c r="CZ75" i="6"/>
  <c r="DA75" i="6"/>
  <c r="DB75" i="6"/>
  <c r="DC75" i="6"/>
  <c r="DD75" i="6"/>
  <c r="DE75" i="6"/>
  <c r="DF75" i="6"/>
  <c r="DG75" i="6"/>
  <c r="DH75" i="6"/>
  <c r="DI75" i="6"/>
  <c r="DJ75" i="6"/>
  <c r="DK75" i="6"/>
  <c r="DL75" i="6"/>
  <c r="DM75" i="6"/>
  <c r="DN75" i="6"/>
  <c r="DO75" i="6"/>
  <c r="DP75" i="6"/>
  <c r="DQ75" i="6"/>
  <c r="DR75" i="6"/>
  <c r="DS75" i="6"/>
  <c r="DT75" i="6"/>
  <c r="DU75" i="6"/>
  <c r="DV75" i="6"/>
  <c r="DW75" i="6"/>
  <c r="DX75" i="6"/>
  <c r="DY75" i="6"/>
  <c r="DZ75" i="6"/>
  <c r="EA75" i="6"/>
  <c r="EB75" i="6"/>
  <c r="EC75" i="6"/>
  <c r="ED75" i="6"/>
  <c r="EE75" i="6"/>
  <c r="EF75" i="6"/>
  <c r="EG75" i="6"/>
  <c r="EH75" i="6"/>
  <c r="G80" i="6"/>
  <c r="H80" i="6"/>
  <c r="I80" i="6"/>
  <c r="J80" i="6"/>
  <c r="K80" i="6"/>
  <c r="L80" i="6"/>
  <c r="M80" i="6"/>
  <c r="N80" i="6"/>
  <c r="O80" i="6"/>
  <c r="P80" i="6"/>
  <c r="Q80" i="6"/>
  <c r="R80" i="6"/>
  <c r="S80" i="6"/>
  <c r="T80" i="6"/>
  <c r="U80" i="6"/>
  <c r="V80" i="6"/>
  <c r="W80" i="6"/>
  <c r="X80" i="6"/>
  <c r="Y80" i="6"/>
  <c r="Z80" i="6"/>
  <c r="AA80" i="6"/>
  <c r="AB80" i="6"/>
  <c r="AC80" i="6"/>
  <c r="AD80" i="6"/>
  <c r="AE80" i="6"/>
  <c r="AF80" i="6"/>
  <c r="AG80" i="6"/>
  <c r="AH80" i="6"/>
  <c r="AI80" i="6"/>
  <c r="AJ80" i="6"/>
  <c r="AK80" i="6"/>
  <c r="AL80" i="6"/>
  <c r="AM80" i="6"/>
  <c r="AN80" i="6"/>
  <c r="AO80" i="6"/>
  <c r="AP80" i="6"/>
  <c r="AQ80" i="6"/>
  <c r="AR80" i="6"/>
  <c r="AS80" i="6"/>
  <c r="AT80" i="6"/>
  <c r="AU80" i="6"/>
  <c r="AV80" i="6"/>
  <c r="AW80" i="6"/>
  <c r="AX80" i="6"/>
  <c r="AY80" i="6"/>
  <c r="AZ80" i="6"/>
  <c r="BA80" i="6"/>
  <c r="BB80" i="6"/>
  <c r="BC80" i="6"/>
  <c r="BD80" i="6"/>
  <c r="BE80" i="6"/>
  <c r="BF80" i="6"/>
  <c r="BG80" i="6"/>
  <c r="BH80" i="6"/>
  <c r="BI80" i="6"/>
  <c r="BJ80" i="6"/>
  <c r="BK80" i="6"/>
  <c r="BL80" i="6"/>
  <c r="BM80" i="6"/>
  <c r="BN80" i="6"/>
  <c r="BO80" i="6"/>
  <c r="BP80" i="6"/>
  <c r="BQ80" i="6"/>
  <c r="BR80" i="6"/>
  <c r="BS80" i="6"/>
  <c r="BT80" i="6"/>
  <c r="BU80" i="6"/>
  <c r="BV80" i="6"/>
  <c r="BW80" i="6"/>
  <c r="BX80" i="6"/>
  <c r="BY80" i="6"/>
  <c r="BZ80" i="6"/>
  <c r="CA80" i="6"/>
  <c r="CB80" i="6"/>
  <c r="CC80" i="6"/>
  <c r="CD80" i="6"/>
  <c r="CE80" i="6"/>
  <c r="CF80" i="6"/>
  <c r="CG80" i="6"/>
  <c r="CH80" i="6"/>
  <c r="CI80" i="6"/>
  <c r="CJ80" i="6"/>
  <c r="CK80" i="6"/>
  <c r="CL80" i="6"/>
  <c r="CM80" i="6"/>
  <c r="CN80" i="6"/>
  <c r="CO80" i="6"/>
  <c r="CP80" i="6"/>
  <c r="CQ80" i="6"/>
  <c r="CR80" i="6"/>
  <c r="CS80" i="6"/>
  <c r="CT80" i="6"/>
  <c r="CU80" i="6"/>
  <c r="CV80" i="6"/>
  <c r="CW80" i="6"/>
  <c r="CX80" i="6"/>
  <c r="CY80" i="6"/>
  <c r="CZ80" i="6"/>
  <c r="DA80" i="6"/>
  <c r="DB80" i="6"/>
  <c r="DC80" i="6"/>
  <c r="DD80" i="6"/>
  <c r="DE80" i="6"/>
  <c r="DF80" i="6"/>
  <c r="DG80" i="6"/>
  <c r="DH80" i="6"/>
  <c r="DI80" i="6"/>
  <c r="DJ80" i="6"/>
  <c r="DK80" i="6"/>
  <c r="DL80" i="6"/>
  <c r="DM80" i="6"/>
  <c r="DN80" i="6"/>
  <c r="DO80" i="6"/>
  <c r="DP80" i="6"/>
  <c r="DQ80" i="6"/>
  <c r="DR80" i="6"/>
  <c r="DS80" i="6"/>
  <c r="DT80" i="6"/>
  <c r="DU80" i="6"/>
  <c r="DV80" i="6"/>
  <c r="DW80" i="6"/>
  <c r="DX80" i="6"/>
  <c r="DY80" i="6"/>
  <c r="DZ80" i="6"/>
  <c r="EA80" i="6"/>
  <c r="EB80" i="6"/>
  <c r="EC80" i="6"/>
  <c r="ED80" i="6"/>
  <c r="EE80" i="6"/>
  <c r="EF80" i="6"/>
  <c r="EG80" i="6"/>
  <c r="EH80" i="6"/>
  <c r="E81" i="6"/>
  <c r="F81" i="6"/>
  <c r="G81" i="6"/>
  <c r="H81" i="6"/>
  <c r="I81" i="6"/>
  <c r="J81" i="6"/>
  <c r="K81" i="6"/>
  <c r="L81" i="6"/>
  <c r="M81" i="6"/>
  <c r="N81" i="6"/>
  <c r="O81" i="6"/>
  <c r="P81" i="6"/>
  <c r="Q81" i="6"/>
  <c r="R81" i="6"/>
  <c r="S81" i="6"/>
  <c r="T81" i="6"/>
  <c r="U81" i="6"/>
  <c r="V81" i="6"/>
  <c r="W81" i="6"/>
  <c r="X81" i="6"/>
  <c r="Y81" i="6"/>
  <c r="Z81" i="6"/>
  <c r="AA81" i="6"/>
  <c r="AB81" i="6"/>
  <c r="AC81" i="6"/>
  <c r="AD81" i="6"/>
  <c r="AE81" i="6"/>
  <c r="AF81" i="6"/>
  <c r="AG81" i="6"/>
  <c r="AH81" i="6"/>
  <c r="AI81" i="6"/>
  <c r="AJ81" i="6"/>
  <c r="AK81" i="6"/>
  <c r="AL81" i="6"/>
  <c r="AM81" i="6"/>
  <c r="AN81" i="6"/>
  <c r="AO81" i="6"/>
  <c r="AP81" i="6"/>
  <c r="AQ81" i="6"/>
  <c r="AR81" i="6"/>
  <c r="AS81" i="6"/>
  <c r="AT81" i="6"/>
  <c r="AU81" i="6"/>
  <c r="AV81" i="6"/>
  <c r="AW81" i="6"/>
  <c r="AX81" i="6"/>
  <c r="AY81" i="6"/>
  <c r="AZ81" i="6"/>
  <c r="BA81" i="6"/>
  <c r="BB81" i="6"/>
  <c r="BC81" i="6"/>
  <c r="BD81" i="6"/>
  <c r="BE81" i="6"/>
  <c r="BF81" i="6"/>
  <c r="BG81" i="6"/>
  <c r="BH81" i="6"/>
  <c r="BI81" i="6"/>
  <c r="BJ81" i="6"/>
  <c r="BK81" i="6"/>
  <c r="BL81" i="6"/>
  <c r="BM81" i="6"/>
  <c r="BN81" i="6"/>
  <c r="BO81" i="6"/>
  <c r="BP81" i="6"/>
  <c r="BQ81" i="6"/>
  <c r="BR81" i="6"/>
  <c r="BS81" i="6"/>
  <c r="BT81" i="6"/>
  <c r="BU81" i="6"/>
  <c r="BV81" i="6"/>
  <c r="BW81" i="6"/>
  <c r="BX81" i="6"/>
  <c r="BY81" i="6"/>
  <c r="BZ81" i="6"/>
  <c r="CA81" i="6"/>
  <c r="CB81" i="6"/>
  <c r="CC81" i="6"/>
  <c r="CD81" i="6"/>
  <c r="CE81" i="6"/>
  <c r="CF81" i="6"/>
  <c r="CG81" i="6"/>
  <c r="CH81" i="6"/>
  <c r="CI81" i="6"/>
  <c r="CJ81" i="6"/>
  <c r="CK81" i="6"/>
  <c r="CL81" i="6"/>
  <c r="CM81" i="6"/>
  <c r="CN81" i="6"/>
  <c r="CO81" i="6"/>
  <c r="CP81" i="6"/>
  <c r="CQ81" i="6"/>
  <c r="CR81" i="6"/>
  <c r="CS81" i="6"/>
  <c r="CT81" i="6"/>
  <c r="CU81" i="6"/>
  <c r="CV81" i="6"/>
  <c r="CW81" i="6"/>
  <c r="CX81" i="6"/>
  <c r="CY81" i="6"/>
  <c r="CZ81" i="6"/>
  <c r="DA81" i="6"/>
  <c r="DB81" i="6"/>
  <c r="DC81" i="6"/>
  <c r="DD81" i="6"/>
  <c r="DE81" i="6"/>
  <c r="DF81" i="6"/>
  <c r="DG81" i="6"/>
  <c r="DH81" i="6"/>
  <c r="DI81" i="6"/>
  <c r="DJ81" i="6"/>
  <c r="DK81" i="6"/>
  <c r="DL81" i="6"/>
  <c r="DM81" i="6"/>
  <c r="DN81" i="6"/>
  <c r="DO81" i="6"/>
  <c r="DP81" i="6"/>
  <c r="DQ81" i="6"/>
  <c r="DR81" i="6"/>
  <c r="DS81" i="6"/>
  <c r="DT81" i="6"/>
  <c r="DU81" i="6"/>
  <c r="DV81" i="6"/>
  <c r="DW81" i="6"/>
  <c r="DX81" i="6"/>
  <c r="DY81" i="6"/>
  <c r="DZ81" i="6"/>
  <c r="EA81" i="6"/>
  <c r="EB81" i="6"/>
  <c r="EC81" i="6"/>
  <c r="ED81" i="6"/>
  <c r="EE81" i="6"/>
  <c r="EF81" i="6"/>
  <c r="EG81" i="6"/>
  <c r="EH81" i="6"/>
  <c r="AE82" i="6"/>
  <c r="AF82" i="6"/>
  <c r="AG82" i="6"/>
  <c r="AH82" i="6"/>
  <c r="AI82" i="6"/>
  <c r="AJ82" i="6"/>
  <c r="AK82" i="6"/>
  <c r="AL82" i="6"/>
  <c r="AM82" i="6"/>
  <c r="AN82" i="6"/>
  <c r="AO82" i="6"/>
  <c r="AP82" i="6"/>
  <c r="AQ82" i="6"/>
  <c r="AR82" i="6"/>
  <c r="AS82" i="6"/>
  <c r="AT82" i="6"/>
  <c r="AU82" i="6"/>
  <c r="AV82" i="6"/>
  <c r="AW82" i="6"/>
  <c r="AX82" i="6"/>
  <c r="AY82" i="6"/>
  <c r="AZ82" i="6"/>
  <c r="BA82" i="6"/>
  <c r="BB82" i="6"/>
  <c r="BC82" i="6"/>
  <c r="BD82" i="6"/>
  <c r="BE82" i="6"/>
  <c r="BF82" i="6"/>
  <c r="BG82" i="6"/>
  <c r="BH82" i="6"/>
  <c r="BI82" i="6"/>
  <c r="BJ82" i="6"/>
  <c r="BK82" i="6"/>
  <c r="BL82" i="6"/>
  <c r="BM82" i="6"/>
  <c r="BN82" i="6"/>
  <c r="BO82" i="6"/>
  <c r="BP82" i="6"/>
  <c r="BQ82" i="6"/>
  <c r="BR82" i="6"/>
  <c r="BS82" i="6"/>
  <c r="BT82" i="6"/>
  <c r="BU82" i="6"/>
  <c r="BV82" i="6"/>
  <c r="BW82" i="6"/>
  <c r="BX82" i="6"/>
  <c r="BY82" i="6"/>
  <c r="BZ82" i="6"/>
  <c r="CA82" i="6"/>
  <c r="CB82" i="6"/>
  <c r="CC82" i="6"/>
  <c r="CD82" i="6"/>
  <c r="CE82" i="6"/>
  <c r="CF82" i="6"/>
  <c r="CG82" i="6"/>
  <c r="CH82" i="6"/>
  <c r="CI82" i="6"/>
  <c r="CJ82" i="6"/>
  <c r="CK82" i="6"/>
  <c r="CL82" i="6"/>
  <c r="CM82" i="6"/>
  <c r="CN82" i="6"/>
  <c r="CO82" i="6"/>
  <c r="CP82" i="6"/>
  <c r="CQ82" i="6"/>
  <c r="CR82" i="6"/>
  <c r="CS82" i="6"/>
  <c r="CT82" i="6"/>
  <c r="CU82" i="6"/>
  <c r="CV82" i="6"/>
  <c r="CW82" i="6"/>
  <c r="CX82" i="6"/>
  <c r="CY82" i="6"/>
  <c r="CZ82" i="6"/>
  <c r="DA82" i="6"/>
  <c r="DB82" i="6"/>
  <c r="DC82" i="6"/>
  <c r="DD82" i="6"/>
  <c r="DE82" i="6"/>
  <c r="DF82" i="6"/>
  <c r="DG82" i="6"/>
  <c r="DH82" i="6"/>
  <c r="DI82" i="6"/>
  <c r="DJ82" i="6"/>
  <c r="DK82" i="6"/>
  <c r="DL82" i="6"/>
  <c r="DM82" i="6"/>
  <c r="DN82" i="6"/>
  <c r="DO82" i="6"/>
  <c r="DP82" i="6"/>
  <c r="DQ82" i="6"/>
  <c r="DR82" i="6"/>
  <c r="DS82" i="6"/>
  <c r="DT82" i="6"/>
  <c r="DU82" i="6"/>
  <c r="DV82" i="6"/>
  <c r="DW82" i="6"/>
  <c r="DX82" i="6"/>
  <c r="DY82" i="6"/>
  <c r="DZ82" i="6"/>
  <c r="EA82" i="6"/>
  <c r="EB82" i="6"/>
  <c r="EC82" i="6"/>
  <c r="ED82" i="6"/>
  <c r="EE82" i="6"/>
  <c r="EF82" i="6"/>
  <c r="EG82" i="6"/>
  <c r="EH82" i="6"/>
  <c r="AI130" i="6"/>
  <c r="AJ130" i="6"/>
  <c r="AK130" i="6"/>
  <c r="AL130" i="6"/>
  <c r="AM130" i="6"/>
  <c r="AN130" i="6"/>
  <c r="AO130" i="6"/>
  <c r="AP130" i="6"/>
  <c r="AQ130" i="6"/>
  <c r="AR130" i="6"/>
  <c r="AS130" i="6"/>
  <c r="AT130" i="6"/>
  <c r="M92" i="57"/>
  <c r="N92" i="57"/>
  <c r="M97" i="57"/>
  <c r="N97" i="57"/>
  <c r="I5" i="73"/>
  <c r="F6" i="73"/>
  <c r="G6" i="73"/>
  <c r="H6" i="73"/>
  <c r="I6" i="73"/>
  <c r="F8" i="73"/>
  <c r="G8" i="73"/>
  <c r="H8" i="73"/>
  <c r="I8" i="73"/>
  <c r="I9" i="73"/>
  <c r="F10" i="73"/>
  <c r="G10" i="73"/>
  <c r="H10" i="73"/>
  <c r="I10" i="73"/>
  <c r="F11" i="73"/>
  <c r="G11" i="73"/>
  <c r="H11" i="73"/>
  <c r="I11" i="73"/>
  <c r="I12" i="73"/>
  <c r="F13" i="73"/>
  <c r="G13" i="73"/>
  <c r="H13" i="73"/>
  <c r="I13" i="73"/>
  <c r="I14" i="73"/>
  <c r="F15" i="73"/>
  <c r="G15" i="73"/>
  <c r="H15" i="73"/>
  <c r="I15" i="73"/>
  <c r="F16" i="73"/>
  <c r="G16" i="73"/>
  <c r="H16" i="73"/>
  <c r="I16" i="73"/>
  <c r="I17" i="73"/>
  <c r="F18" i="73"/>
  <c r="G18" i="73"/>
  <c r="H18" i="73"/>
  <c r="I18" i="73"/>
  <c r="I20" i="73"/>
  <c r="I21" i="73"/>
  <c r="I22" i="73"/>
  <c r="F23" i="73"/>
  <c r="G23" i="73"/>
  <c r="H23" i="73"/>
  <c r="I23" i="73"/>
  <c r="E28" i="73"/>
  <c r="F28" i="73"/>
  <c r="G28" i="73"/>
  <c r="I28" i="73"/>
  <c r="E29" i="73"/>
  <c r="I29" i="73"/>
  <c r="N34" i="73"/>
  <c r="O34" i="73"/>
  <c r="N35" i="73"/>
  <c r="O35" i="73"/>
  <c r="N36" i="73"/>
  <c r="O36" i="73"/>
  <c r="N38" i="73"/>
  <c r="O38" i="73"/>
  <c r="N39" i="73"/>
  <c r="O39" i="73"/>
  <c r="L43" i="73"/>
  <c r="D9" i="38"/>
  <c r="D10" i="38"/>
  <c r="D11" i="38"/>
  <c r="I11" i="38"/>
  <c r="D12" i="38"/>
  <c r="I13" i="38"/>
  <c r="I15" i="38"/>
  <c r="I16" i="38"/>
  <c r="I18" i="38"/>
  <c r="I20" i="38"/>
  <c r="I21" i="38"/>
  <c r="I23" i="38"/>
  <c r="D24" i="38"/>
  <c r="D25" i="38"/>
  <c r="D26" i="38"/>
  <c r="D28" i="38"/>
  <c r="I28" i="38"/>
  <c r="L7" i="55"/>
  <c r="M7" i="55"/>
  <c r="S7" i="55"/>
  <c r="T7" i="55"/>
  <c r="L9" i="55"/>
  <c r="M9" i="55"/>
  <c r="S9" i="55"/>
  <c r="T9" i="55"/>
  <c r="L11" i="55"/>
  <c r="M11" i="55"/>
  <c r="S11" i="55"/>
  <c r="T11" i="55"/>
  <c r="L12" i="55"/>
  <c r="M12" i="55"/>
  <c r="S12" i="55"/>
  <c r="T12" i="55"/>
  <c r="L14" i="55"/>
  <c r="M14" i="55"/>
  <c r="S14" i="55"/>
  <c r="T14" i="55"/>
  <c r="L16" i="55"/>
  <c r="M16" i="55"/>
  <c r="S16" i="55"/>
  <c r="T16" i="55"/>
  <c r="L17" i="55"/>
  <c r="M17" i="55"/>
  <c r="S17" i="55"/>
  <c r="T17" i="55"/>
  <c r="L19" i="55"/>
  <c r="M19" i="55"/>
  <c r="S19" i="55"/>
  <c r="T19" i="55"/>
  <c r="L24" i="55"/>
  <c r="M24" i="55"/>
  <c r="S24" i="55"/>
  <c r="T24" i="55"/>
  <c r="J28" i="55"/>
  <c r="K28" i="55"/>
  <c r="L28" i="55"/>
  <c r="M28" i="55"/>
  <c r="Q28" i="55"/>
  <c r="R28" i="55"/>
  <c r="S28" i="55"/>
  <c r="T28" i="55"/>
  <c r="J29" i="55"/>
  <c r="Q29" i="55"/>
  <c r="M34" i="55"/>
  <c r="T34" i="55"/>
  <c r="M36" i="55"/>
  <c r="T36" i="55"/>
  <c r="M37" i="55"/>
  <c r="T37" i="55"/>
  <c r="M39" i="55"/>
  <c r="T39" i="55"/>
  <c r="M40" i="55"/>
  <c r="T40" i="55"/>
  <c r="M42" i="55"/>
  <c r="T42" i="55"/>
  <c r="M43" i="55"/>
  <c r="T43" i="55"/>
  <c r="M47" i="55"/>
  <c r="T47" i="55"/>
  <c r="M48" i="55"/>
  <c r="T48" i="55"/>
  <c r="M49" i="55"/>
  <c r="T49" i="55"/>
  <c r="M56" i="55"/>
  <c r="T56" i="55"/>
  <c r="G7" i="42"/>
  <c r="D8" i="42"/>
  <c r="E8" i="42"/>
  <c r="F8" i="42"/>
  <c r="G8" i="42"/>
  <c r="D10" i="42"/>
  <c r="E10" i="42"/>
  <c r="F10" i="42"/>
  <c r="G10" i="42"/>
  <c r="G11" i="42"/>
  <c r="D12" i="42"/>
  <c r="E12" i="42"/>
  <c r="F12" i="42"/>
  <c r="G12" i="42"/>
  <c r="D13" i="42"/>
  <c r="E13" i="42"/>
  <c r="F13" i="42"/>
  <c r="G13" i="42"/>
  <c r="G14" i="42"/>
  <c r="D15" i="42"/>
  <c r="E15" i="42"/>
  <c r="F15" i="42"/>
  <c r="G15" i="42"/>
  <c r="G16" i="42"/>
  <c r="D17" i="42"/>
  <c r="E17" i="42"/>
  <c r="F17" i="42"/>
  <c r="G17" i="42"/>
  <c r="D18" i="42"/>
  <c r="E18" i="42"/>
  <c r="F18" i="42"/>
  <c r="G18" i="42"/>
  <c r="G19" i="42"/>
  <c r="D20" i="42"/>
  <c r="E20" i="42"/>
  <c r="F20" i="42"/>
  <c r="G20" i="42"/>
  <c r="G22" i="42"/>
  <c r="G23" i="42"/>
  <c r="G24" i="42"/>
  <c r="D25" i="42"/>
  <c r="E25" i="42"/>
  <c r="F25" i="42"/>
  <c r="G25" i="42"/>
  <c r="B30" i="42"/>
  <c r="C30" i="42"/>
  <c r="D30" i="42"/>
  <c r="E30" i="42"/>
  <c r="F30" i="42"/>
  <c r="G30" i="42"/>
  <c r="B31" i="42"/>
  <c r="C31" i="42"/>
  <c r="G31" i="42"/>
  <c r="I31" i="42"/>
  <c r="I32" i="42"/>
  <c r="B33" i="42"/>
  <c r="G33" i="42"/>
  <c r="I33" i="42"/>
  <c r="I34" i="42"/>
  <c r="O40" i="42"/>
  <c r="P40" i="42"/>
  <c r="R40" i="42"/>
  <c r="S40" i="42"/>
  <c r="K41" i="42"/>
  <c r="O41" i="42"/>
  <c r="P41" i="42"/>
  <c r="R41" i="42"/>
  <c r="S41" i="42"/>
  <c r="G42" i="42"/>
  <c r="K42" i="42"/>
  <c r="P42" i="42"/>
  <c r="S42" i="42"/>
  <c r="K43" i="42"/>
  <c r="O43" i="42"/>
  <c r="P43" i="42"/>
  <c r="R43" i="42"/>
  <c r="S43" i="42"/>
  <c r="K44" i="42"/>
  <c r="G45" i="42"/>
  <c r="O45" i="42"/>
  <c r="P45" i="42"/>
  <c r="R45" i="42"/>
  <c r="S45" i="42"/>
  <c r="D46" i="42"/>
  <c r="E46" i="42"/>
  <c r="F46" i="42"/>
  <c r="G46" i="42"/>
  <c r="K46" i="42"/>
  <c r="D47" i="42"/>
  <c r="E47" i="42"/>
  <c r="F47" i="42"/>
  <c r="G47" i="42"/>
  <c r="K47" i="42"/>
  <c r="O47" i="42"/>
  <c r="P47" i="42"/>
  <c r="R47" i="42"/>
  <c r="S47" i="42"/>
  <c r="D48" i="42"/>
  <c r="E48" i="42"/>
  <c r="F48" i="42"/>
  <c r="G48" i="42"/>
  <c r="K48" i="42"/>
  <c r="O48" i="42"/>
  <c r="P48" i="42"/>
  <c r="R48" i="42"/>
  <c r="S48" i="42"/>
  <c r="D49" i="42"/>
  <c r="E49" i="42"/>
  <c r="F49" i="42"/>
  <c r="G49" i="42"/>
  <c r="K49" i="42"/>
  <c r="O49" i="42"/>
  <c r="P49" i="42"/>
  <c r="R49" i="42"/>
  <c r="S49" i="42"/>
  <c r="O50" i="42"/>
  <c r="P50" i="42"/>
  <c r="R50" i="42"/>
  <c r="S50" i="42"/>
  <c r="D51" i="42"/>
  <c r="E51" i="42"/>
  <c r="F51" i="42"/>
  <c r="G51" i="42"/>
  <c r="O51" i="42"/>
  <c r="P51" i="42"/>
  <c r="R51" i="42"/>
  <c r="S51" i="42"/>
  <c r="D53" i="42"/>
  <c r="E53" i="42"/>
  <c r="F53" i="42"/>
  <c r="G53" i="42"/>
  <c r="D54" i="42"/>
  <c r="E54" i="42"/>
  <c r="F54" i="42"/>
  <c r="G54" i="42"/>
  <c r="K54" i="42"/>
  <c r="D55" i="42"/>
  <c r="E55" i="42"/>
  <c r="F55" i="42"/>
  <c r="G55" i="42"/>
  <c r="D56" i="42"/>
  <c r="E56" i="42"/>
  <c r="F56" i="42"/>
  <c r="G56" i="42"/>
  <c r="K56" i="42"/>
  <c r="G57" i="42"/>
  <c r="K57" i="42"/>
  <c r="G58" i="42"/>
  <c r="K58" i="42"/>
  <c r="O64" i="42"/>
  <c r="N65" i="42"/>
  <c r="O65" i="42"/>
  <c r="N66" i="42"/>
  <c r="O66" i="42"/>
  <c r="N67" i="42"/>
  <c r="O67" i="42"/>
  <c r="N68" i="42"/>
  <c r="N69" i="42"/>
  <c r="E8" i="19"/>
  <c r="F8" i="19"/>
  <c r="G8" i="19"/>
  <c r="H8" i="19"/>
  <c r="I8" i="19"/>
  <c r="J8" i="19"/>
  <c r="K8" i="19"/>
  <c r="L8" i="19"/>
  <c r="M8" i="19"/>
  <c r="N8" i="19"/>
  <c r="O8" i="19"/>
  <c r="P8" i="19"/>
  <c r="Q8" i="19"/>
  <c r="R8" i="19"/>
  <c r="S8" i="19"/>
  <c r="T8" i="19"/>
  <c r="U8" i="19"/>
  <c r="V8" i="19"/>
  <c r="W8" i="19"/>
  <c r="X8" i="19"/>
  <c r="Y8" i="19"/>
  <c r="Z8" i="19"/>
  <c r="AA8" i="19"/>
  <c r="AB8" i="19"/>
  <c r="AC8" i="19"/>
  <c r="AD8" i="19"/>
  <c r="AE8" i="19"/>
  <c r="AF8" i="19"/>
  <c r="AG8" i="19"/>
  <c r="AH8" i="19"/>
  <c r="AI8" i="19"/>
  <c r="AJ8" i="19"/>
  <c r="AK8" i="19"/>
  <c r="AL8" i="19"/>
  <c r="AM8" i="19"/>
  <c r="AN8" i="19"/>
  <c r="AO8" i="19"/>
  <c r="AP8" i="19"/>
  <c r="AQ8" i="19"/>
  <c r="AR8" i="19"/>
  <c r="AS8" i="19"/>
  <c r="AT8" i="19"/>
  <c r="AU8" i="19"/>
  <c r="AV8" i="19"/>
  <c r="AW8" i="19"/>
  <c r="AX8" i="19"/>
  <c r="AY8" i="19"/>
  <c r="AZ8" i="19"/>
  <c r="BA8" i="19"/>
  <c r="BB8" i="19"/>
  <c r="BC8" i="19"/>
  <c r="BD8" i="19"/>
  <c r="BE8" i="19"/>
  <c r="BF8" i="19"/>
  <c r="BG8" i="19"/>
  <c r="BH8" i="19"/>
  <c r="BI8" i="19"/>
  <c r="BJ8" i="19"/>
  <c r="BK8" i="19"/>
  <c r="BL8" i="19"/>
  <c r="BM8" i="19"/>
  <c r="BN8" i="19"/>
  <c r="BO8" i="19"/>
  <c r="BP8" i="19"/>
  <c r="BQ8" i="19"/>
  <c r="BR8" i="19"/>
  <c r="BS8" i="19"/>
  <c r="BT8" i="19"/>
  <c r="BU8" i="19"/>
  <c r="BV8" i="19"/>
  <c r="BW8" i="19"/>
  <c r="BX8" i="19"/>
  <c r="BY8" i="19"/>
  <c r="BZ8" i="19"/>
  <c r="CA8" i="19"/>
  <c r="CB8" i="19"/>
  <c r="CC8" i="19"/>
  <c r="CD8" i="19"/>
  <c r="CE8" i="19"/>
  <c r="CF8" i="19"/>
  <c r="CG8" i="19"/>
  <c r="CH8" i="19"/>
  <c r="CI8" i="19"/>
  <c r="CJ8" i="19"/>
  <c r="CK8" i="19"/>
  <c r="CL8" i="19"/>
  <c r="CM8" i="19"/>
  <c r="CN8" i="19"/>
  <c r="CO8" i="19"/>
  <c r="CP8" i="19"/>
  <c r="CQ8" i="19"/>
  <c r="CR8" i="19"/>
  <c r="CS8" i="19"/>
  <c r="CT8" i="19"/>
  <c r="CU8" i="19"/>
  <c r="CV8" i="19"/>
  <c r="CW8" i="19"/>
  <c r="CX8" i="19"/>
  <c r="CY8" i="19"/>
  <c r="CZ8" i="19"/>
  <c r="DA8" i="19"/>
  <c r="DB8" i="19"/>
  <c r="DC8" i="19"/>
  <c r="DD8" i="19"/>
  <c r="DE8" i="19"/>
  <c r="DF8" i="19"/>
  <c r="DG8" i="19"/>
  <c r="DH8" i="19"/>
  <c r="DI8" i="19"/>
  <c r="DJ8" i="19"/>
  <c r="DK8" i="19"/>
  <c r="DL8" i="19"/>
  <c r="DM8" i="19"/>
  <c r="DN8" i="19"/>
  <c r="DO8" i="19"/>
  <c r="DP8" i="19"/>
  <c r="DQ8" i="19"/>
  <c r="DR8" i="19"/>
  <c r="DS8" i="19"/>
  <c r="DT8" i="19"/>
  <c r="DU8" i="19"/>
  <c r="DV8" i="19"/>
  <c r="DW8" i="19"/>
  <c r="DX8" i="19"/>
  <c r="DY8" i="19"/>
  <c r="DZ8" i="19"/>
  <c r="EA8" i="19"/>
  <c r="EB8" i="19"/>
  <c r="EC8" i="19"/>
  <c r="ED8" i="19"/>
  <c r="EE8" i="19"/>
  <c r="EF8" i="19"/>
  <c r="E12" i="19"/>
  <c r="F12" i="19"/>
  <c r="G12" i="19"/>
  <c r="H12" i="19"/>
  <c r="I12" i="19"/>
  <c r="J12" i="19"/>
  <c r="K12" i="19"/>
  <c r="L12" i="19"/>
  <c r="M12" i="19"/>
  <c r="N12" i="19"/>
  <c r="O12" i="19"/>
  <c r="P12" i="19"/>
  <c r="Q12" i="19"/>
  <c r="R12" i="19"/>
  <c r="S12" i="19"/>
  <c r="T12" i="19"/>
  <c r="U12" i="19"/>
  <c r="V12" i="19"/>
  <c r="W12" i="19"/>
  <c r="X12" i="19"/>
  <c r="Y12" i="19"/>
  <c r="Z12" i="19"/>
  <c r="AA12" i="19"/>
  <c r="AB12" i="19"/>
  <c r="AC12" i="19"/>
  <c r="AD12" i="19"/>
  <c r="AE12" i="19"/>
  <c r="AF12" i="19"/>
  <c r="AG12" i="19"/>
  <c r="AH12" i="19"/>
  <c r="AI12" i="19"/>
  <c r="AJ12" i="19"/>
  <c r="AK12" i="19"/>
  <c r="AL12" i="19"/>
  <c r="AM12" i="19"/>
  <c r="AN12" i="19"/>
  <c r="AO12" i="19"/>
  <c r="AP12" i="19"/>
  <c r="AQ12" i="19"/>
  <c r="AR12" i="19"/>
  <c r="AS12" i="19"/>
  <c r="AT12" i="19"/>
  <c r="AU12" i="19"/>
  <c r="AV12" i="19"/>
  <c r="AW12" i="19"/>
  <c r="AX12" i="19"/>
  <c r="AY12" i="19"/>
  <c r="AZ12" i="19"/>
  <c r="BA12" i="19"/>
  <c r="BB12" i="19"/>
  <c r="BC12" i="19"/>
  <c r="BD12" i="19"/>
  <c r="BE12" i="19"/>
  <c r="BF12" i="19"/>
  <c r="BG12" i="19"/>
  <c r="BH12" i="19"/>
  <c r="BI12" i="19"/>
  <c r="BJ12" i="19"/>
  <c r="BK12" i="19"/>
  <c r="BL12" i="19"/>
  <c r="BM12" i="19"/>
  <c r="BN12" i="19"/>
  <c r="BO12" i="19"/>
  <c r="BP12" i="19"/>
  <c r="BQ12" i="19"/>
  <c r="BR12" i="19"/>
  <c r="BS12" i="19"/>
  <c r="BT12" i="19"/>
  <c r="BU12" i="19"/>
  <c r="BV12" i="19"/>
  <c r="BW12" i="19"/>
  <c r="BX12" i="19"/>
  <c r="BY12" i="19"/>
  <c r="BZ12" i="19"/>
  <c r="CA12" i="19"/>
  <c r="CB12" i="19"/>
  <c r="CC12" i="19"/>
  <c r="CD12" i="19"/>
  <c r="CE12" i="19"/>
  <c r="CF12" i="19"/>
  <c r="CG12" i="19"/>
  <c r="CH12" i="19"/>
  <c r="CI12" i="19"/>
  <c r="CJ12" i="19"/>
  <c r="CK12" i="19"/>
  <c r="CL12" i="19"/>
  <c r="CM12" i="19"/>
  <c r="CN12" i="19"/>
  <c r="CO12" i="19"/>
  <c r="CP12" i="19"/>
  <c r="CQ12" i="19"/>
  <c r="CR12" i="19"/>
  <c r="CS12" i="19"/>
  <c r="CT12" i="19"/>
  <c r="CU12" i="19"/>
  <c r="CV12" i="19"/>
  <c r="CW12" i="19"/>
  <c r="CX12" i="19"/>
  <c r="CY12" i="19"/>
  <c r="CZ12" i="19"/>
  <c r="DA12" i="19"/>
  <c r="DB12" i="19"/>
  <c r="DC12" i="19"/>
  <c r="DD12" i="19"/>
  <c r="DE12" i="19"/>
  <c r="DF12" i="19"/>
  <c r="DG12" i="19"/>
  <c r="DH12" i="19"/>
  <c r="DI12" i="19"/>
  <c r="DJ12" i="19"/>
  <c r="DK12" i="19"/>
  <c r="DL12" i="19"/>
  <c r="DM12" i="19"/>
  <c r="DN12" i="19"/>
  <c r="DO12" i="19"/>
  <c r="DP12" i="19"/>
  <c r="DQ12" i="19"/>
  <c r="DR12" i="19"/>
  <c r="DS12" i="19"/>
  <c r="DT12" i="19"/>
  <c r="DU12" i="19"/>
  <c r="DV12" i="19"/>
  <c r="DW12" i="19"/>
  <c r="DX12" i="19"/>
  <c r="DY12" i="19"/>
  <c r="DZ12" i="19"/>
  <c r="EA12" i="19"/>
  <c r="EB12" i="19"/>
  <c r="EC12" i="19"/>
  <c r="ED12" i="19"/>
  <c r="EE12" i="19"/>
  <c r="EF12" i="19"/>
  <c r="E14" i="19"/>
  <c r="F14" i="19"/>
  <c r="G14" i="19"/>
  <c r="H14" i="19"/>
  <c r="I14" i="19"/>
  <c r="J14" i="19"/>
  <c r="K14" i="19"/>
  <c r="L14" i="19"/>
  <c r="M14" i="19"/>
  <c r="N14" i="19"/>
  <c r="O14" i="19"/>
  <c r="P14" i="19"/>
  <c r="Q14" i="19"/>
  <c r="R14" i="19"/>
  <c r="S14" i="19"/>
  <c r="T14" i="19"/>
  <c r="U14" i="19"/>
  <c r="V14" i="19"/>
  <c r="W14" i="19"/>
  <c r="X14" i="19"/>
  <c r="Y14" i="19"/>
  <c r="Z14" i="19"/>
  <c r="AA14" i="19"/>
  <c r="AB14" i="19"/>
  <c r="AC14" i="19"/>
  <c r="AD14" i="19"/>
  <c r="AE14" i="19"/>
  <c r="AF14" i="19"/>
  <c r="AG14" i="19"/>
  <c r="AH14" i="19"/>
  <c r="AI14" i="19"/>
  <c r="AJ14" i="19"/>
  <c r="AK14" i="19"/>
  <c r="AL14" i="19"/>
  <c r="AM14" i="19"/>
  <c r="AN14" i="19"/>
  <c r="AO14" i="19"/>
  <c r="AP14" i="19"/>
  <c r="AQ14" i="19"/>
  <c r="AR14" i="19"/>
  <c r="AS14" i="19"/>
  <c r="AT14" i="19"/>
  <c r="AU14" i="19"/>
  <c r="AV14" i="19"/>
  <c r="AW14" i="19"/>
  <c r="AX14" i="19"/>
  <c r="AY14" i="19"/>
  <c r="AZ14" i="19"/>
  <c r="BA14" i="19"/>
  <c r="BB14" i="19"/>
  <c r="BC14" i="19"/>
  <c r="BD14" i="19"/>
  <c r="BE14" i="19"/>
  <c r="BF14" i="19"/>
  <c r="BG14" i="19"/>
  <c r="BH14" i="19"/>
  <c r="BI14" i="19"/>
  <c r="BJ14" i="19"/>
  <c r="BK14" i="19"/>
  <c r="BL14" i="19"/>
  <c r="BM14" i="19"/>
  <c r="BN14" i="19"/>
  <c r="BO14" i="19"/>
  <c r="BP14" i="19"/>
  <c r="BQ14" i="19"/>
  <c r="BR14" i="19"/>
  <c r="BS14" i="19"/>
  <c r="BT14" i="19"/>
  <c r="BU14" i="19"/>
  <c r="BV14" i="19"/>
  <c r="BW14" i="19"/>
  <c r="BX14" i="19"/>
  <c r="BY14" i="19"/>
  <c r="BZ14" i="19"/>
  <c r="CA14" i="19"/>
  <c r="CB14" i="19"/>
  <c r="CC14" i="19"/>
  <c r="CD14" i="19"/>
  <c r="CE14" i="19"/>
  <c r="CF14" i="19"/>
  <c r="CG14" i="19"/>
  <c r="CH14" i="19"/>
  <c r="CI14" i="19"/>
  <c r="CJ14" i="19"/>
  <c r="CK14" i="19"/>
  <c r="CL14" i="19"/>
  <c r="CM14" i="19"/>
  <c r="CN14" i="19"/>
  <c r="CO14" i="19"/>
  <c r="CP14" i="19"/>
  <c r="CQ14" i="19"/>
  <c r="CR14" i="19"/>
  <c r="CS14" i="19"/>
  <c r="CT14" i="19"/>
  <c r="CU14" i="19"/>
  <c r="CV14" i="19"/>
  <c r="CW14" i="19"/>
  <c r="CX14" i="19"/>
  <c r="CY14" i="19"/>
  <c r="CZ14" i="19"/>
  <c r="DA14" i="19"/>
  <c r="DB14" i="19"/>
  <c r="DC14" i="19"/>
  <c r="DD14" i="19"/>
  <c r="DE14" i="19"/>
  <c r="DF14" i="19"/>
  <c r="DG14" i="19"/>
  <c r="DH14" i="19"/>
  <c r="DI14" i="19"/>
  <c r="DJ14" i="19"/>
  <c r="DK14" i="19"/>
  <c r="DL14" i="19"/>
  <c r="DM14" i="19"/>
  <c r="DN14" i="19"/>
  <c r="DO14" i="19"/>
  <c r="DP14" i="19"/>
  <c r="DQ14" i="19"/>
  <c r="DR14" i="19"/>
  <c r="DS14" i="19"/>
  <c r="DT14" i="19"/>
  <c r="DU14" i="19"/>
  <c r="DV14" i="19"/>
  <c r="DW14" i="19"/>
  <c r="DX14" i="19"/>
  <c r="DY14" i="19"/>
  <c r="DZ14" i="19"/>
  <c r="EA14" i="19"/>
  <c r="EB14" i="19"/>
  <c r="EC14" i="19"/>
  <c r="ED14" i="19"/>
  <c r="EE14" i="19"/>
  <c r="EF14" i="19"/>
  <c r="E17" i="19"/>
  <c r="F17" i="19"/>
  <c r="G17" i="19"/>
  <c r="H17" i="19"/>
  <c r="I17" i="19"/>
  <c r="J17" i="19"/>
  <c r="K17" i="19"/>
  <c r="L17" i="19"/>
  <c r="M17" i="19"/>
  <c r="N17" i="19"/>
  <c r="O17" i="19"/>
  <c r="P17" i="19"/>
  <c r="Q17" i="19"/>
  <c r="E18" i="19"/>
  <c r="F18" i="19"/>
  <c r="G18" i="19"/>
  <c r="H18" i="19"/>
  <c r="I18" i="19"/>
  <c r="J18" i="19"/>
  <c r="K18" i="19"/>
  <c r="L18" i="19"/>
  <c r="M18" i="19"/>
  <c r="N18" i="19"/>
  <c r="O18" i="19"/>
  <c r="P18" i="19"/>
  <c r="Q18" i="19"/>
  <c r="R18" i="19"/>
  <c r="S18" i="19"/>
  <c r="T18" i="19"/>
  <c r="U18" i="19"/>
  <c r="V18" i="19"/>
  <c r="W18" i="19"/>
  <c r="X18" i="19"/>
  <c r="Y18" i="19"/>
  <c r="Z18" i="19"/>
  <c r="AA18" i="19"/>
  <c r="AB18" i="19"/>
  <c r="AC18" i="19"/>
  <c r="AD18" i="19"/>
  <c r="AE18" i="19"/>
  <c r="AF18" i="19"/>
  <c r="AG18" i="19"/>
  <c r="AH18" i="19"/>
  <c r="AI18" i="19"/>
  <c r="AJ18" i="19"/>
  <c r="AK18" i="19"/>
  <c r="AL18" i="19"/>
  <c r="AM18" i="19"/>
  <c r="AN18" i="19"/>
  <c r="AO18" i="19"/>
  <c r="AP18" i="19"/>
  <c r="AQ18" i="19"/>
  <c r="AR18" i="19"/>
  <c r="AS18" i="19"/>
  <c r="AT18" i="19"/>
  <c r="AU18" i="19"/>
  <c r="AV18" i="19"/>
  <c r="AW18" i="19"/>
  <c r="AX18" i="19"/>
  <c r="AY18" i="19"/>
  <c r="AZ18" i="19"/>
  <c r="BA18" i="19"/>
  <c r="BB18" i="19"/>
  <c r="BC18" i="19"/>
  <c r="BD18" i="19"/>
  <c r="BE18" i="19"/>
  <c r="BF18" i="19"/>
  <c r="BG18" i="19"/>
  <c r="BH18" i="19"/>
  <c r="BI18" i="19"/>
  <c r="BJ18" i="19"/>
  <c r="BK18" i="19"/>
  <c r="BL18" i="19"/>
  <c r="BM18" i="19"/>
  <c r="BN18" i="19"/>
  <c r="BO18" i="19"/>
  <c r="BP18" i="19"/>
  <c r="BQ18" i="19"/>
  <c r="BR18" i="19"/>
  <c r="BS18" i="19"/>
  <c r="BT18" i="19"/>
  <c r="BU18" i="19"/>
  <c r="BV18" i="19"/>
  <c r="BW18" i="19"/>
  <c r="BX18" i="19"/>
  <c r="BY18" i="19"/>
  <c r="BZ18" i="19"/>
  <c r="CA18" i="19"/>
  <c r="CB18" i="19"/>
  <c r="CC18" i="19"/>
  <c r="CD18" i="19"/>
  <c r="CE18" i="19"/>
  <c r="CF18" i="19"/>
  <c r="CG18" i="19"/>
  <c r="CH18" i="19"/>
  <c r="CI18" i="19"/>
  <c r="CJ18" i="19"/>
  <c r="CK18" i="19"/>
  <c r="CL18" i="19"/>
  <c r="CM18" i="19"/>
  <c r="CN18" i="19"/>
  <c r="CO18" i="19"/>
  <c r="CP18" i="19"/>
  <c r="CQ18" i="19"/>
  <c r="CR18" i="19"/>
  <c r="CS18" i="19"/>
  <c r="CT18" i="19"/>
  <c r="CU18" i="19"/>
  <c r="CV18" i="19"/>
  <c r="CW18" i="19"/>
  <c r="CX18" i="19"/>
  <c r="CY18" i="19"/>
  <c r="CZ18" i="19"/>
  <c r="DA18" i="19"/>
  <c r="DB18" i="19"/>
  <c r="DC18" i="19"/>
  <c r="DD18" i="19"/>
  <c r="DE18" i="19"/>
  <c r="DF18" i="19"/>
  <c r="DG18" i="19"/>
  <c r="DH18" i="19"/>
  <c r="DI18" i="19"/>
  <c r="DJ18" i="19"/>
  <c r="DK18" i="19"/>
  <c r="DL18" i="19"/>
  <c r="DM18" i="19"/>
  <c r="DN18" i="19"/>
  <c r="DO18" i="19"/>
  <c r="DP18" i="19"/>
  <c r="DQ18" i="19"/>
  <c r="DR18" i="19"/>
  <c r="DS18" i="19"/>
  <c r="DT18" i="19"/>
  <c r="DU18" i="19"/>
  <c r="DV18" i="19"/>
  <c r="DW18" i="19"/>
  <c r="DX18" i="19"/>
  <c r="DY18" i="19"/>
  <c r="DZ18" i="19"/>
  <c r="EA18" i="19"/>
  <c r="EB18" i="19"/>
  <c r="EC18" i="19"/>
  <c r="ED18" i="19"/>
  <c r="EE18" i="19"/>
  <c r="EF18" i="19"/>
  <c r="AB21" i="19"/>
  <c r="AC21" i="19"/>
  <c r="AD21" i="19"/>
  <c r="AE21" i="19"/>
  <c r="AF21" i="19"/>
  <c r="AG21" i="19"/>
  <c r="AH21" i="19"/>
  <c r="AI21" i="19"/>
  <c r="AJ21" i="19"/>
  <c r="AK21" i="19"/>
  <c r="AL21" i="19"/>
  <c r="AM21" i="19"/>
  <c r="AN21" i="19"/>
  <c r="AO21" i="19"/>
  <c r="AP21" i="19"/>
  <c r="AQ21" i="19"/>
  <c r="AR21" i="19"/>
  <c r="AS21" i="19"/>
  <c r="AT21" i="19"/>
  <c r="AU21" i="19"/>
  <c r="AV21" i="19"/>
  <c r="AW21" i="19"/>
  <c r="AX21" i="19"/>
  <c r="AY21" i="19"/>
  <c r="AZ21" i="19"/>
  <c r="BA21" i="19"/>
  <c r="BB21" i="19"/>
  <c r="BC21" i="19"/>
  <c r="BD21" i="19"/>
  <c r="BE21" i="19"/>
  <c r="BF21" i="19"/>
  <c r="BG21" i="19"/>
  <c r="BH21" i="19"/>
  <c r="BI21" i="19"/>
  <c r="BJ21" i="19"/>
  <c r="BK21" i="19"/>
  <c r="BL21" i="19"/>
  <c r="BM21" i="19"/>
  <c r="BN21" i="19"/>
  <c r="BO21" i="19"/>
  <c r="BP21" i="19"/>
  <c r="BQ21" i="19"/>
  <c r="BR21" i="19"/>
  <c r="BS21" i="19"/>
  <c r="BT21" i="19"/>
  <c r="BU21" i="19"/>
  <c r="BV21" i="19"/>
  <c r="BW21" i="19"/>
  <c r="BX21" i="19"/>
  <c r="BY21" i="19"/>
  <c r="BZ21" i="19"/>
  <c r="CA21" i="19"/>
  <c r="CB21" i="19"/>
  <c r="CC21" i="19"/>
  <c r="CD21" i="19"/>
  <c r="CE21" i="19"/>
  <c r="CF21" i="19"/>
  <c r="CG21" i="19"/>
  <c r="CH21" i="19"/>
  <c r="CI21" i="19"/>
  <c r="CJ21" i="19"/>
  <c r="CK21" i="19"/>
  <c r="CL21" i="19"/>
  <c r="CM21" i="19"/>
  <c r="CN21" i="19"/>
  <c r="CO21" i="19"/>
  <c r="CP21" i="19"/>
  <c r="CQ21" i="19"/>
  <c r="CR21" i="19"/>
  <c r="CS21" i="19"/>
  <c r="CT21" i="19"/>
  <c r="CU21" i="19"/>
  <c r="CV21" i="19"/>
  <c r="CW21" i="19"/>
  <c r="CX21" i="19"/>
  <c r="CY21" i="19"/>
  <c r="CZ21" i="19"/>
  <c r="DA21" i="19"/>
  <c r="DB21" i="19"/>
  <c r="DC21" i="19"/>
  <c r="DD21" i="19"/>
  <c r="DE21" i="19"/>
  <c r="DF21" i="19"/>
  <c r="DG21" i="19"/>
  <c r="DH21" i="19"/>
  <c r="DI21" i="19"/>
  <c r="DJ21" i="19"/>
  <c r="DK21" i="19"/>
  <c r="DL21" i="19"/>
  <c r="DM21" i="19"/>
  <c r="DN21" i="19"/>
  <c r="DO21" i="19"/>
  <c r="DP21" i="19"/>
  <c r="DQ21" i="19"/>
  <c r="DR21" i="19"/>
  <c r="DS21" i="19"/>
  <c r="DT21" i="19"/>
  <c r="DU21" i="19"/>
  <c r="DV21" i="19"/>
  <c r="DW21" i="19"/>
  <c r="DX21" i="19"/>
  <c r="DY21" i="19"/>
  <c r="DZ21" i="19"/>
  <c r="EA21" i="19"/>
  <c r="EB21" i="19"/>
  <c r="EC21" i="19"/>
  <c r="ED21" i="19"/>
  <c r="EE21" i="19"/>
  <c r="EF21" i="19"/>
  <c r="AB22" i="19"/>
  <c r="AC22" i="19"/>
  <c r="AD22" i="19"/>
  <c r="AE22" i="19"/>
  <c r="AF22" i="19"/>
  <c r="AG22" i="19"/>
  <c r="AH22" i="19"/>
  <c r="AI22" i="19"/>
  <c r="AJ22" i="19"/>
  <c r="AK22" i="19"/>
  <c r="AL22" i="19"/>
  <c r="AM22" i="19"/>
  <c r="AN22" i="19"/>
  <c r="AO22" i="19"/>
  <c r="AP22" i="19"/>
  <c r="AQ22" i="19"/>
  <c r="AR22" i="19"/>
  <c r="AS22" i="19"/>
  <c r="AT22" i="19"/>
  <c r="AU22" i="19"/>
  <c r="AV22" i="19"/>
  <c r="AW22" i="19"/>
  <c r="AX22" i="19"/>
  <c r="AY22" i="19"/>
  <c r="AZ22" i="19"/>
  <c r="BA22" i="19"/>
  <c r="BB22" i="19"/>
  <c r="BC22" i="19"/>
  <c r="BD22" i="19"/>
  <c r="BE22" i="19"/>
  <c r="BF22" i="19"/>
  <c r="BG22" i="19"/>
  <c r="BH22" i="19"/>
  <c r="BI22" i="19"/>
  <c r="BJ22" i="19"/>
  <c r="BK22" i="19"/>
  <c r="BL22" i="19"/>
  <c r="BM22" i="19"/>
  <c r="BN22" i="19"/>
  <c r="BO22" i="19"/>
  <c r="BP22" i="19"/>
  <c r="BQ22" i="19"/>
  <c r="BR22" i="19"/>
  <c r="BS22" i="19"/>
  <c r="BT22" i="19"/>
  <c r="BU22" i="19"/>
  <c r="BV22" i="19"/>
  <c r="BW22" i="19"/>
  <c r="BX22" i="19"/>
  <c r="BY22" i="19"/>
  <c r="BZ22" i="19"/>
  <c r="CA22" i="19"/>
  <c r="CB22" i="19"/>
  <c r="CC22" i="19"/>
  <c r="CD22" i="19"/>
  <c r="CE22" i="19"/>
  <c r="CF22" i="19"/>
  <c r="CG22" i="19"/>
  <c r="CH22" i="19"/>
  <c r="CI22" i="19"/>
  <c r="CJ22" i="19"/>
  <c r="CK22" i="19"/>
  <c r="CL22" i="19"/>
  <c r="CM22" i="19"/>
  <c r="CN22" i="19"/>
  <c r="CO22" i="19"/>
  <c r="CP22" i="19"/>
  <c r="CQ22" i="19"/>
  <c r="CR22" i="19"/>
  <c r="CS22" i="19"/>
  <c r="CT22" i="19"/>
  <c r="CU22" i="19"/>
  <c r="CV22" i="19"/>
  <c r="CW22" i="19"/>
  <c r="CX22" i="19"/>
  <c r="CY22" i="19"/>
  <c r="CZ22" i="19"/>
  <c r="DA22" i="19"/>
  <c r="DB22" i="19"/>
  <c r="DC22" i="19"/>
  <c r="DD22" i="19"/>
  <c r="DE22" i="19"/>
  <c r="DF22" i="19"/>
  <c r="DG22" i="19"/>
  <c r="DH22" i="19"/>
  <c r="DI22" i="19"/>
  <c r="DJ22" i="19"/>
  <c r="DK22" i="19"/>
  <c r="DL22" i="19"/>
  <c r="DM22" i="19"/>
  <c r="DN22" i="19"/>
  <c r="DO22" i="19"/>
  <c r="DP22" i="19"/>
  <c r="DQ22" i="19"/>
  <c r="DR22" i="19"/>
  <c r="DS22" i="19"/>
  <c r="DT22" i="19"/>
  <c r="DU22" i="19"/>
  <c r="DV22" i="19"/>
  <c r="DW22" i="19"/>
  <c r="DX22" i="19"/>
  <c r="DY22" i="19"/>
  <c r="DZ22" i="19"/>
  <c r="EA22" i="19"/>
  <c r="EB22" i="19"/>
  <c r="EC22" i="19"/>
  <c r="ED22" i="19"/>
  <c r="EE22" i="19"/>
  <c r="EF22" i="19"/>
  <c r="AB24" i="19"/>
  <c r="AC24" i="19"/>
  <c r="AD24" i="19"/>
  <c r="AE24" i="19"/>
  <c r="AF24" i="19"/>
  <c r="AG24" i="19"/>
  <c r="AH24" i="19"/>
  <c r="AI24" i="19"/>
  <c r="AJ24" i="19"/>
  <c r="AK24" i="19"/>
  <c r="AL24" i="19"/>
  <c r="AM24" i="19"/>
  <c r="AN24" i="19"/>
  <c r="AO24" i="19"/>
  <c r="AP24" i="19"/>
  <c r="AQ24" i="19"/>
  <c r="AR24" i="19"/>
  <c r="AS24" i="19"/>
  <c r="AT24" i="19"/>
  <c r="AU24" i="19"/>
  <c r="AV24" i="19"/>
  <c r="AW24" i="19"/>
  <c r="AX24" i="19"/>
  <c r="AY24" i="19"/>
  <c r="AZ24" i="19"/>
  <c r="BA24" i="19"/>
  <c r="BB24" i="19"/>
  <c r="BC24" i="19"/>
  <c r="BD24" i="19"/>
  <c r="BE24" i="19"/>
  <c r="BF24" i="19"/>
  <c r="BG24" i="19"/>
  <c r="BH24" i="19"/>
  <c r="BI24" i="19"/>
  <c r="BJ24" i="19"/>
  <c r="BK24" i="19"/>
  <c r="BL24" i="19"/>
  <c r="BM24" i="19"/>
  <c r="BN24" i="19"/>
  <c r="BO24" i="19"/>
  <c r="BP24" i="19"/>
  <c r="BQ24" i="19"/>
  <c r="BR24" i="19"/>
  <c r="BS24" i="19"/>
  <c r="BT24" i="19"/>
  <c r="BU24" i="19"/>
  <c r="BV24" i="19"/>
  <c r="BW24" i="19"/>
  <c r="BX24" i="19"/>
  <c r="BY24" i="19"/>
  <c r="BZ24" i="19"/>
  <c r="CA24" i="19"/>
  <c r="CB24" i="19"/>
  <c r="CC24" i="19"/>
  <c r="CD24" i="19"/>
  <c r="CE24" i="19"/>
  <c r="CF24" i="19"/>
  <c r="CG24" i="19"/>
  <c r="CH24" i="19"/>
  <c r="CI24" i="19"/>
  <c r="CJ24" i="19"/>
  <c r="CK24" i="19"/>
  <c r="CL24" i="19"/>
  <c r="CM24" i="19"/>
  <c r="CN24" i="19"/>
  <c r="CO24" i="19"/>
  <c r="CP24" i="19"/>
  <c r="CQ24" i="19"/>
  <c r="CR24" i="19"/>
  <c r="CS24" i="19"/>
  <c r="CT24" i="19"/>
  <c r="CU24" i="19"/>
  <c r="CV24" i="19"/>
  <c r="CW24" i="19"/>
  <c r="CX24" i="19"/>
  <c r="CY24" i="19"/>
  <c r="CZ24" i="19"/>
  <c r="DA24" i="19"/>
  <c r="DB24" i="19"/>
  <c r="DC24" i="19"/>
  <c r="DD24" i="19"/>
  <c r="DE24" i="19"/>
  <c r="DF24" i="19"/>
  <c r="DG24" i="19"/>
  <c r="DH24" i="19"/>
  <c r="DI24" i="19"/>
  <c r="DJ24" i="19"/>
  <c r="DK24" i="19"/>
  <c r="DL24" i="19"/>
  <c r="DM24" i="19"/>
  <c r="DN24" i="19"/>
  <c r="DO24" i="19"/>
  <c r="DP24" i="19"/>
  <c r="DQ24" i="19"/>
  <c r="DR24" i="19"/>
  <c r="DS24" i="19"/>
  <c r="DT24" i="19"/>
  <c r="DU24" i="19"/>
  <c r="DV24" i="19"/>
  <c r="DW24" i="19"/>
  <c r="DX24" i="19"/>
  <c r="DY24" i="19"/>
  <c r="DZ24" i="19"/>
  <c r="EA24" i="19"/>
  <c r="EB24" i="19"/>
  <c r="EC24" i="19"/>
  <c r="ED24" i="19"/>
  <c r="EE24" i="19"/>
  <c r="EF24" i="19"/>
  <c r="K26" i="19"/>
  <c r="L26" i="19"/>
  <c r="M26" i="19"/>
  <c r="N26" i="19"/>
  <c r="O26" i="19"/>
  <c r="P26" i="19"/>
  <c r="Q26" i="19"/>
  <c r="R26" i="19"/>
  <c r="S26" i="19"/>
  <c r="T26" i="19"/>
  <c r="U26" i="19"/>
  <c r="V26" i="19"/>
  <c r="W26" i="19"/>
  <c r="X26" i="19"/>
  <c r="Y26" i="19"/>
  <c r="Q28" i="19"/>
  <c r="R28" i="19"/>
  <c r="S28" i="19"/>
  <c r="T28" i="19"/>
  <c r="U28" i="19"/>
  <c r="V28" i="19"/>
  <c r="D12" i="96"/>
  <c r="D13" i="96"/>
  <c r="D18" i="96"/>
  <c r="D19" i="96"/>
  <c r="D20" i="96"/>
  <c r="D21" i="96"/>
  <c r="D22" i="96" a="1"/>
  <c r="D26" i="96" a="1"/>
  <c r="E26" i="96"/>
  <c r="F26" i="96"/>
  <c r="H26" i="96"/>
  <c r="E27" i="96"/>
  <c r="E28" i="96"/>
  <c r="E29" i="96"/>
  <c r="E30" i="96"/>
  <c r="D31" i="96"/>
  <c r="E31" i="96"/>
  <c r="F31" i="96"/>
  <c r="E32" i="96"/>
  <c r="E33" i="96"/>
  <c r="D34" i="96"/>
  <c r="E34" i="96"/>
  <c r="F34" i="96"/>
  <c r="D35" i="96"/>
  <c r="E35" i="96"/>
  <c r="F35" i="96"/>
  <c r="D36" i="96"/>
  <c r="E36" i="96"/>
  <c r="F36" i="96"/>
  <c r="J36" i="96"/>
  <c r="D37" i="96"/>
  <c r="E37" i="96"/>
  <c r="F37" i="96"/>
  <c r="E38" i="96"/>
  <c r="D39" i="96"/>
  <c r="E39" i="96"/>
  <c r="F39" i="96"/>
  <c r="D40" i="96"/>
  <c r="E40" i="96"/>
  <c r="F40" i="96"/>
  <c r="E41" i="96"/>
  <c r="D42" i="96"/>
  <c r="E42" i="96"/>
  <c r="F42" i="96"/>
  <c r="D43" i="96"/>
  <c r="E43" i="96"/>
  <c r="F43" i="96"/>
  <c r="D44" i="96"/>
  <c r="E44" i="96"/>
  <c r="F44" i="96"/>
  <c r="H44" i="96"/>
  <c r="D45" i="96"/>
  <c r="E45" i="96"/>
  <c r="F45" i="96"/>
  <c r="D46" i="96"/>
  <c r="F46" i="96"/>
  <c r="D67" i="96"/>
  <c r="E67" i="96"/>
  <c r="D71" i="96"/>
  <c r="E71" i="96"/>
  <c r="D72" i="96"/>
  <c r="E72" i="96"/>
  <c r="D74" i="96"/>
  <c r="E74" i="96"/>
  <c r="H74" i="96"/>
  <c r="E76" i="96"/>
  <c r="E78" i="96"/>
  <c r="H78" i="96"/>
  <c r="D80" i="96"/>
  <c r="E80" i="96"/>
  <c r="D82" i="96"/>
  <c r="E82" i="96"/>
  <c r="D86" i="96" a="1"/>
  <c r="D87" i="96" a="1"/>
  <c r="R9" i="72"/>
  <c r="R21" i="72"/>
  <c r="P25" i="72"/>
  <c r="Q25" i="72"/>
  <c r="R25" i="72"/>
  <c r="P26" i="72"/>
  <c r="Q26" i="72"/>
  <c r="R26" i="72"/>
  <c r="P27" i="72"/>
  <c r="Q27" i="72"/>
  <c r="R27" i="72"/>
  <c r="P28" i="72"/>
  <c r="Q28" i="72"/>
  <c r="R28" i="72"/>
  <c r="P31" i="72"/>
  <c r="Q31" i="72"/>
  <c r="R31" i="72"/>
  <c r="P32" i="72"/>
  <c r="Q32" i="72"/>
  <c r="R32" i="72"/>
  <c r="P33" i="72"/>
  <c r="P34" i="72"/>
  <c r="Q34" i="72"/>
  <c r="R34" i="72"/>
  <c r="E12" i="70"/>
  <c r="F12" i="70"/>
  <c r="G12" i="70"/>
  <c r="H12" i="70"/>
  <c r="I12" i="70"/>
  <c r="J12" i="70"/>
  <c r="K12" i="70"/>
  <c r="L12" i="70"/>
  <c r="M12" i="70"/>
  <c r="N12" i="70"/>
  <c r="O12" i="70"/>
  <c r="P12" i="70"/>
  <c r="Q12" i="70"/>
  <c r="R12" i="70"/>
  <c r="S12" i="70"/>
  <c r="T12" i="70"/>
  <c r="U12" i="70"/>
  <c r="V12" i="70"/>
  <c r="W12" i="70"/>
  <c r="X12" i="70"/>
  <c r="Y12" i="70"/>
  <c r="Z12" i="70"/>
  <c r="AA12" i="70"/>
  <c r="AB12" i="70"/>
  <c r="AC12" i="70"/>
  <c r="AD12" i="70"/>
  <c r="AE12" i="70"/>
  <c r="AF12" i="70"/>
  <c r="AG12" i="70"/>
  <c r="AH12" i="70"/>
  <c r="AI12" i="70"/>
  <c r="AJ12" i="70"/>
  <c r="AK12" i="70"/>
  <c r="AL12" i="70"/>
  <c r="AM12" i="70"/>
  <c r="AN12" i="70"/>
  <c r="AO12" i="70"/>
  <c r="AP12" i="70"/>
  <c r="AQ12" i="70"/>
  <c r="AR12" i="70"/>
  <c r="AS12" i="70"/>
  <c r="AT12" i="70"/>
  <c r="AU12" i="70"/>
  <c r="AV12" i="70"/>
  <c r="AW12" i="70"/>
  <c r="AX12" i="70"/>
  <c r="AY12" i="70"/>
  <c r="AZ12" i="70"/>
  <c r="BA12" i="70"/>
  <c r="BB12" i="70"/>
  <c r="BC12" i="70"/>
  <c r="BD12" i="70"/>
  <c r="BE12" i="70"/>
  <c r="BF12" i="70"/>
  <c r="BG12" i="70"/>
  <c r="BH12" i="70"/>
  <c r="BI12" i="70"/>
  <c r="BJ12" i="70"/>
  <c r="BK12" i="70"/>
  <c r="BL12" i="70"/>
  <c r="BM12" i="70"/>
  <c r="BN12" i="70"/>
  <c r="BO12" i="70"/>
  <c r="BP12" i="70"/>
  <c r="BQ12" i="70"/>
  <c r="BR12" i="70"/>
  <c r="BS12" i="70"/>
  <c r="BT12" i="70"/>
  <c r="BU12" i="70"/>
  <c r="BV12" i="70"/>
  <c r="BW12" i="70"/>
  <c r="BX12" i="70"/>
  <c r="BY12" i="70"/>
  <c r="BZ12" i="70"/>
  <c r="CA12" i="70"/>
  <c r="CB12" i="70"/>
  <c r="CC12" i="70"/>
  <c r="CD12" i="70"/>
  <c r="CE12" i="70"/>
  <c r="CF12" i="70"/>
  <c r="CG12" i="70"/>
  <c r="CH12" i="70"/>
  <c r="CI12" i="70"/>
  <c r="CJ12" i="70"/>
  <c r="CK12" i="70"/>
  <c r="CL12" i="70"/>
  <c r="CM12" i="70"/>
  <c r="CN12" i="70"/>
  <c r="CO12" i="70"/>
  <c r="CP12" i="70"/>
  <c r="CQ12" i="70"/>
  <c r="CR12" i="70"/>
  <c r="CS12" i="70"/>
  <c r="CT12" i="70"/>
  <c r="CU12" i="70"/>
  <c r="CV12" i="70"/>
  <c r="CW12" i="70"/>
  <c r="CX12" i="70"/>
  <c r="CY12" i="70"/>
  <c r="CZ12" i="70"/>
  <c r="DA12" i="70"/>
  <c r="DB12" i="70"/>
  <c r="DC12" i="70"/>
  <c r="DD12" i="70"/>
  <c r="DE12" i="70"/>
  <c r="DF12" i="70"/>
  <c r="DG12" i="70"/>
  <c r="DH12" i="70"/>
  <c r="DI12" i="70"/>
  <c r="DJ12" i="70"/>
  <c r="DK12" i="70"/>
  <c r="DL12" i="70"/>
  <c r="DM12" i="70"/>
  <c r="DN12" i="70"/>
  <c r="DO12" i="70"/>
  <c r="DP12" i="70"/>
  <c r="DQ12" i="70"/>
  <c r="DR12" i="70"/>
  <c r="DS12" i="70"/>
  <c r="DT12" i="70"/>
  <c r="DU12" i="70"/>
  <c r="DV12" i="70"/>
  <c r="DW12" i="70"/>
  <c r="DX12" i="70"/>
  <c r="DY12" i="70"/>
  <c r="DZ12" i="70"/>
  <c r="EA12" i="70"/>
  <c r="EB12" i="70"/>
  <c r="EC12" i="70"/>
  <c r="ED12" i="70"/>
  <c r="EE12" i="70"/>
  <c r="EF12" i="70"/>
  <c r="EG12" i="70"/>
  <c r="F13" i="70"/>
  <c r="E14" i="70"/>
  <c r="AP14" i="70"/>
  <c r="BB14" i="70"/>
  <c r="F15" i="70"/>
  <c r="G15" i="70"/>
  <c r="H15" i="70"/>
  <c r="I15" i="70"/>
  <c r="J15" i="70"/>
  <c r="K15" i="70"/>
  <c r="L15" i="70"/>
  <c r="M15" i="70"/>
  <c r="N15" i="70"/>
  <c r="O15" i="70"/>
  <c r="P15" i="70"/>
  <c r="Q15" i="70"/>
  <c r="R15" i="70"/>
  <c r="S15" i="70"/>
  <c r="T15" i="70"/>
  <c r="U15" i="70"/>
  <c r="V15" i="70"/>
  <c r="W15" i="70"/>
  <c r="X15" i="70"/>
  <c r="Y15" i="70"/>
  <c r="Z15" i="70"/>
  <c r="AA15" i="70"/>
  <c r="AB15" i="70"/>
  <c r="AC15" i="70"/>
  <c r="AD15" i="70"/>
  <c r="AE15" i="70"/>
  <c r="AF15" i="70"/>
  <c r="AG15" i="70"/>
  <c r="AH15" i="70"/>
  <c r="AI15" i="70"/>
  <c r="AJ15" i="70"/>
  <c r="AK15" i="70"/>
  <c r="AL15" i="70"/>
  <c r="AM15" i="70"/>
  <c r="AN15" i="70"/>
  <c r="AO15" i="70"/>
  <c r="AP15" i="70"/>
  <c r="AQ15" i="70"/>
  <c r="AR15" i="70"/>
  <c r="AS15" i="70"/>
  <c r="AT15" i="70"/>
  <c r="AU15" i="70"/>
  <c r="AV15" i="70"/>
  <c r="AW15" i="70"/>
  <c r="AX15" i="70"/>
  <c r="AY15" i="70"/>
  <c r="AZ15" i="70"/>
  <c r="BA15" i="70"/>
  <c r="BB15" i="70"/>
  <c r="BC15" i="70"/>
  <c r="BD15" i="70"/>
  <c r="BE15" i="70"/>
  <c r="BF15" i="70"/>
  <c r="BG15" i="70"/>
  <c r="BH15" i="70"/>
  <c r="BI15" i="70"/>
  <c r="BJ15" i="70"/>
  <c r="BK15" i="70"/>
  <c r="BL15" i="70"/>
  <c r="BM15" i="70"/>
  <c r="BN15" i="70"/>
  <c r="BO15" i="70"/>
  <c r="BP15" i="70"/>
  <c r="BQ15" i="70"/>
  <c r="BR15" i="70"/>
  <c r="BS15" i="70"/>
  <c r="BT15" i="70"/>
  <c r="BU15" i="70"/>
  <c r="BV15" i="70"/>
  <c r="BW15" i="70"/>
  <c r="BX15" i="70"/>
  <c r="BY15" i="70"/>
  <c r="BZ15" i="70"/>
  <c r="CA15" i="70"/>
  <c r="CB15" i="70"/>
  <c r="CC15" i="70"/>
  <c r="CD15" i="70"/>
  <c r="CE15" i="70"/>
  <c r="CF15" i="70"/>
  <c r="CG15" i="70"/>
  <c r="CH15" i="70"/>
  <c r="CI15" i="70"/>
  <c r="CJ15" i="70"/>
  <c r="CK15" i="70"/>
  <c r="CL15" i="70"/>
  <c r="CM15" i="70"/>
  <c r="CN15" i="70"/>
  <c r="CO15" i="70"/>
  <c r="CP15" i="70"/>
  <c r="CQ15" i="70"/>
  <c r="CR15" i="70"/>
  <c r="CS15" i="70"/>
  <c r="CT15" i="70"/>
  <c r="CU15" i="70"/>
  <c r="CV15" i="70"/>
  <c r="CW15" i="70"/>
  <c r="CX15" i="70"/>
  <c r="CY15" i="70"/>
  <c r="CZ15" i="70"/>
  <c r="DA15" i="70"/>
  <c r="DB15" i="70"/>
  <c r="DC15" i="70"/>
  <c r="DD15" i="70"/>
  <c r="DE15" i="70"/>
  <c r="DF15" i="70"/>
  <c r="DG15" i="70"/>
  <c r="DH15" i="70"/>
  <c r="DI15" i="70"/>
  <c r="DJ15" i="70"/>
  <c r="DK15" i="70"/>
  <c r="DL15" i="70"/>
  <c r="DM15" i="70"/>
  <c r="DN15" i="70"/>
  <c r="DO15" i="70"/>
  <c r="DP15" i="70"/>
  <c r="DQ15" i="70"/>
  <c r="DR15" i="70"/>
  <c r="DS15" i="70"/>
  <c r="DT15" i="70"/>
  <c r="DU15" i="70"/>
  <c r="DV15" i="70"/>
  <c r="DW15" i="70"/>
  <c r="DX15" i="70"/>
  <c r="DY15" i="70"/>
  <c r="DZ15" i="70"/>
  <c r="EA15" i="70"/>
  <c r="EB15" i="70"/>
  <c r="EC15" i="70"/>
  <c r="ED15" i="70"/>
  <c r="EE15" i="70"/>
  <c r="EF15" i="70"/>
  <c r="EG15" i="70"/>
  <c r="F16" i="70"/>
  <c r="G16" i="70"/>
  <c r="H16" i="70"/>
  <c r="I16" i="70"/>
  <c r="J16" i="70"/>
  <c r="K16" i="70"/>
  <c r="L16" i="70"/>
  <c r="M16" i="70"/>
  <c r="N16" i="70"/>
  <c r="O16" i="70"/>
  <c r="P16" i="70"/>
  <c r="Q16" i="70"/>
  <c r="R16" i="70"/>
  <c r="S16" i="70"/>
  <c r="T16" i="70"/>
  <c r="U16" i="70"/>
  <c r="V16" i="70"/>
  <c r="W16" i="70"/>
  <c r="X16" i="70"/>
  <c r="Y16" i="70"/>
  <c r="Z16" i="70"/>
  <c r="AA16" i="70"/>
  <c r="AB16" i="70"/>
  <c r="AC16" i="70"/>
  <c r="AD16" i="70"/>
  <c r="AE16" i="70"/>
  <c r="AF16" i="70"/>
  <c r="AG16" i="70"/>
  <c r="AH16" i="70"/>
  <c r="AI16" i="70"/>
  <c r="AJ16" i="70"/>
  <c r="AK16" i="70"/>
  <c r="AL16" i="70"/>
  <c r="AM16" i="70"/>
  <c r="AN16" i="70"/>
  <c r="AO16" i="70"/>
  <c r="AP16" i="70"/>
  <c r="AQ16" i="70"/>
  <c r="AR16" i="70"/>
  <c r="AS16" i="70"/>
  <c r="AT16" i="70"/>
  <c r="AU16" i="70"/>
  <c r="AV16" i="70"/>
  <c r="AW16" i="70"/>
  <c r="AX16" i="70"/>
  <c r="AY16" i="70"/>
  <c r="AZ16" i="70"/>
  <c r="BA16" i="70"/>
  <c r="BB16" i="70"/>
  <c r="BC16" i="70"/>
  <c r="BD16" i="70"/>
  <c r="BE16" i="70"/>
  <c r="BF16" i="70"/>
  <c r="BG16" i="70"/>
  <c r="BH16" i="70"/>
  <c r="BI16" i="70"/>
  <c r="BJ16" i="70"/>
  <c r="BK16" i="70"/>
  <c r="BL16" i="70"/>
  <c r="BM16" i="70"/>
  <c r="BN16" i="70"/>
  <c r="BO16" i="70"/>
  <c r="BP16" i="70"/>
  <c r="BQ16" i="70"/>
  <c r="BR16" i="70"/>
  <c r="BS16" i="70"/>
  <c r="BT16" i="70"/>
  <c r="BU16" i="70"/>
  <c r="BV16" i="70"/>
  <c r="BW16" i="70"/>
  <c r="BX16" i="70"/>
  <c r="BY16" i="70"/>
  <c r="BZ16" i="70"/>
  <c r="CA16" i="70"/>
  <c r="CB16" i="70"/>
  <c r="CC16" i="70"/>
  <c r="CD16" i="70"/>
  <c r="CE16" i="70"/>
  <c r="CF16" i="70"/>
  <c r="CG16" i="70"/>
  <c r="CH16" i="70"/>
  <c r="CI16" i="70"/>
  <c r="CJ16" i="70"/>
  <c r="CK16" i="70"/>
  <c r="CL16" i="70"/>
  <c r="CM16" i="70"/>
  <c r="CN16" i="70"/>
  <c r="CO16" i="70"/>
  <c r="CP16" i="70"/>
  <c r="CQ16" i="70"/>
  <c r="CR16" i="70"/>
  <c r="CS16" i="70"/>
  <c r="CT16" i="70"/>
  <c r="CU16" i="70"/>
  <c r="CV16" i="70"/>
  <c r="CW16" i="70"/>
  <c r="CX16" i="70"/>
  <c r="CY16" i="70"/>
  <c r="CZ16" i="70"/>
  <c r="DA16" i="70"/>
  <c r="DB16" i="70"/>
  <c r="DC16" i="70"/>
  <c r="DD16" i="70"/>
  <c r="DE16" i="70"/>
  <c r="DF16" i="70"/>
  <c r="DG16" i="70"/>
  <c r="DH16" i="70"/>
  <c r="DI16" i="70"/>
  <c r="DJ16" i="70"/>
  <c r="DK16" i="70"/>
  <c r="DL16" i="70"/>
  <c r="DM16" i="70"/>
  <c r="DN16" i="70"/>
  <c r="DO16" i="70"/>
  <c r="DP16" i="70"/>
  <c r="DQ16" i="70"/>
  <c r="DR16" i="70"/>
  <c r="DS16" i="70"/>
  <c r="DT16" i="70"/>
  <c r="DU16" i="70"/>
  <c r="DV16" i="70"/>
  <c r="DW16" i="70"/>
  <c r="DX16" i="70"/>
  <c r="DY16" i="70"/>
  <c r="DZ16" i="70"/>
  <c r="EA16" i="70"/>
  <c r="EB16" i="70"/>
  <c r="EC16" i="70"/>
  <c r="ED16" i="70"/>
  <c r="EE16" i="70"/>
  <c r="EF16" i="70"/>
  <c r="EG16" i="70"/>
  <c r="F17" i="70"/>
  <c r="G17" i="70"/>
  <c r="H17" i="70"/>
  <c r="I17" i="70"/>
  <c r="J17" i="70"/>
  <c r="K17" i="70"/>
  <c r="L17" i="70"/>
  <c r="M17" i="70"/>
  <c r="N17" i="70"/>
  <c r="O17" i="70"/>
  <c r="P17" i="70"/>
  <c r="Q17" i="70"/>
  <c r="R17" i="70"/>
  <c r="S17" i="70"/>
  <c r="T17" i="70"/>
  <c r="U17" i="70"/>
  <c r="V17" i="70"/>
  <c r="W17" i="70"/>
  <c r="X17" i="70"/>
  <c r="Y17" i="70"/>
  <c r="Z17" i="70"/>
  <c r="AA17" i="70"/>
  <c r="AB17" i="70"/>
  <c r="AC17" i="70"/>
  <c r="AD17" i="70"/>
  <c r="E18" i="70"/>
  <c r="F18" i="70"/>
  <c r="G18" i="70"/>
  <c r="H18" i="70"/>
  <c r="I18" i="70"/>
  <c r="J18" i="70"/>
  <c r="K18" i="70"/>
  <c r="L18" i="70"/>
  <c r="M18" i="70"/>
  <c r="N18" i="70"/>
  <c r="O18" i="70"/>
  <c r="P18" i="70"/>
  <c r="Q18" i="70"/>
  <c r="R18" i="70"/>
  <c r="S18" i="70"/>
  <c r="T18" i="70"/>
  <c r="U18" i="70"/>
  <c r="V18" i="70"/>
  <c r="W18" i="70"/>
  <c r="X18" i="70"/>
  <c r="Y18" i="70"/>
  <c r="Z18" i="70"/>
  <c r="AA18" i="70"/>
  <c r="AB18" i="70"/>
  <c r="AC18" i="70"/>
  <c r="AD18" i="70"/>
  <c r="AE18" i="70"/>
  <c r="AF18" i="70"/>
  <c r="AG18" i="70"/>
  <c r="AH18" i="70"/>
  <c r="AI18" i="70"/>
  <c r="AJ18" i="70"/>
  <c r="AK18" i="70"/>
  <c r="AL18" i="70"/>
  <c r="AM18" i="70"/>
  <c r="AN18" i="70"/>
  <c r="AO18" i="70"/>
  <c r="AP18" i="70"/>
  <c r="AQ18" i="70"/>
  <c r="AR18" i="70"/>
  <c r="AS18" i="70"/>
  <c r="AT18" i="70"/>
  <c r="AU18" i="70"/>
  <c r="AV18" i="70"/>
  <c r="AW18" i="70"/>
  <c r="AX18" i="70"/>
  <c r="AY18" i="70"/>
  <c r="AZ18" i="70"/>
  <c r="BA18" i="70"/>
  <c r="BB18" i="70"/>
  <c r="BC18" i="70"/>
  <c r="BD18" i="70"/>
  <c r="BE18" i="70"/>
  <c r="BF18" i="70"/>
  <c r="BG18" i="70"/>
  <c r="BH18" i="70"/>
  <c r="BI18" i="70"/>
  <c r="BJ18" i="70"/>
  <c r="BK18" i="70"/>
  <c r="BL18" i="70"/>
  <c r="BM18" i="70"/>
  <c r="BN18" i="70"/>
  <c r="BO18" i="70"/>
  <c r="BP18" i="70"/>
  <c r="BQ18" i="70"/>
  <c r="BR18" i="70"/>
  <c r="BS18" i="70"/>
  <c r="BT18" i="70"/>
  <c r="BU18" i="70"/>
  <c r="BV18" i="70"/>
  <c r="BW18" i="70"/>
  <c r="BX18" i="70"/>
  <c r="BY18" i="70"/>
  <c r="BZ18" i="70"/>
  <c r="CA18" i="70"/>
  <c r="CB18" i="70"/>
  <c r="CC18" i="70"/>
  <c r="CD18" i="70"/>
  <c r="CE18" i="70"/>
  <c r="CF18" i="70"/>
  <c r="CG18" i="70"/>
  <c r="CH18" i="70"/>
  <c r="CI18" i="70"/>
  <c r="CJ18" i="70"/>
  <c r="CK18" i="70"/>
  <c r="CL18" i="70"/>
  <c r="CM18" i="70"/>
  <c r="CN18" i="70"/>
  <c r="CO18" i="70"/>
  <c r="CP18" i="70"/>
  <c r="CQ18" i="70"/>
  <c r="CR18" i="70"/>
  <c r="CS18" i="70"/>
  <c r="CT18" i="70"/>
  <c r="CU18" i="70"/>
  <c r="CV18" i="70"/>
  <c r="CW18" i="70"/>
  <c r="CX18" i="70"/>
  <c r="CY18" i="70"/>
  <c r="CZ18" i="70"/>
  <c r="DA18" i="70"/>
  <c r="DB18" i="70"/>
  <c r="DC18" i="70"/>
  <c r="DD18" i="70"/>
  <c r="DE18" i="70"/>
  <c r="DF18" i="70"/>
  <c r="DG18" i="70"/>
  <c r="DH18" i="70"/>
  <c r="DI18" i="70"/>
  <c r="DJ18" i="70"/>
  <c r="DK18" i="70"/>
  <c r="DL18" i="70"/>
  <c r="DM18" i="70"/>
  <c r="DN18" i="70"/>
  <c r="DO18" i="70"/>
  <c r="DP18" i="70"/>
  <c r="DQ18" i="70"/>
  <c r="DR18" i="70"/>
  <c r="DS18" i="70"/>
  <c r="DT18" i="70"/>
  <c r="DU18" i="70"/>
  <c r="DV18" i="70"/>
  <c r="DW18" i="70"/>
  <c r="DX18" i="70"/>
  <c r="DY18" i="70"/>
  <c r="DZ18" i="70"/>
  <c r="EA18" i="70"/>
  <c r="EB18" i="70"/>
  <c r="EC18" i="70"/>
  <c r="ED18" i="70"/>
  <c r="EE18" i="70"/>
  <c r="EF18" i="70"/>
  <c r="EG18" i="70"/>
  <c r="F23" i="70"/>
  <c r="G23" i="70"/>
  <c r="H23" i="70"/>
  <c r="I23" i="70"/>
  <c r="J23" i="70"/>
  <c r="K23" i="70"/>
  <c r="L23" i="70"/>
  <c r="M23" i="70"/>
  <c r="N23" i="70"/>
  <c r="O23" i="70"/>
  <c r="P23" i="70"/>
  <c r="Q23" i="70"/>
  <c r="R23" i="70"/>
  <c r="S23" i="70"/>
  <c r="T23" i="70"/>
  <c r="U23" i="70"/>
  <c r="V23" i="70"/>
  <c r="W23" i="70"/>
  <c r="X23" i="70"/>
  <c r="Y23" i="70"/>
  <c r="Z23" i="70"/>
  <c r="AA23" i="70"/>
  <c r="AB23" i="70"/>
  <c r="AC23" i="70"/>
  <c r="AD23" i="70"/>
  <c r="AE23" i="70"/>
  <c r="AF23" i="70"/>
  <c r="AG23" i="70"/>
  <c r="AH23" i="70"/>
  <c r="AI23" i="70"/>
  <c r="AJ23" i="70"/>
  <c r="AK23" i="70"/>
  <c r="AL23" i="70"/>
  <c r="AM23" i="70"/>
  <c r="AN23" i="70"/>
  <c r="AO23" i="70"/>
  <c r="AP23" i="70"/>
  <c r="AQ23" i="70"/>
  <c r="AR23" i="70"/>
  <c r="AS23" i="70"/>
  <c r="AT23" i="70"/>
  <c r="AU23" i="70"/>
  <c r="AV23" i="70"/>
  <c r="AW23" i="70"/>
  <c r="AX23" i="70"/>
  <c r="AY23" i="70"/>
  <c r="AZ23" i="70"/>
  <c r="BA23" i="70"/>
  <c r="BB23" i="70"/>
  <c r="BC23" i="70"/>
  <c r="BD23" i="70"/>
  <c r="BE23" i="70"/>
  <c r="BF23" i="70"/>
  <c r="BG23" i="70"/>
  <c r="BH23" i="70"/>
  <c r="BI23" i="70"/>
  <c r="BJ23" i="70"/>
  <c r="BK23" i="70"/>
  <c r="BL23" i="70"/>
  <c r="BM23" i="70"/>
  <c r="BN23" i="70"/>
  <c r="BO23" i="70"/>
  <c r="BP23" i="70"/>
  <c r="BQ23" i="70"/>
  <c r="BR23" i="70"/>
  <c r="BS23" i="70"/>
  <c r="BT23" i="70"/>
  <c r="BU23" i="70"/>
  <c r="BV23" i="70"/>
  <c r="BW23" i="70"/>
  <c r="BX23" i="70"/>
  <c r="BY23" i="70"/>
  <c r="BZ23" i="70"/>
  <c r="CA23" i="70"/>
  <c r="CB23" i="70"/>
  <c r="CC23" i="70"/>
  <c r="CD23" i="70"/>
  <c r="CE23" i="70"/>
  <c r="CF23" i="70"/>
  <c r="CG23" i="70"/>
  <c r="CH23" i="70"/>
  <c r="CI23" i="70"/>
  <c r="CJ23" i="70"/>
  <c r="CK23" i="70"/>
  <c r="CL23" i="70"/>
  <c r="CM23" i="70"/>
  <c r="CN23" i="70"/>
  <c r="CO23" i="70"/>
  <c r="CP23" i="70"/>
  <c r="CQ23" i="70"/>
  <c r="CR23" i="70"/>
  <c r="CS23" i="70"/>
  <c r="CT23" i="70"/>
  <c r="CU23" i="70"/>
  <c r="CV23" i="70"/>
  <c r="CW23" i="70"/>
  <c r="CX23" i="70"/>
  <c r="CY23" i="70"/>
  <c r="CZ23" i="70"/>
  <c r="DA23" i="70"/>
  <c r="DB23" i="70"/>
  <c r="DC23" i="70"/>
  <c r="DD23" i="70"/>
  <c r="DE23" i="70"/>
  <c r="DF23" i="70"/>
  <c r="DG23" i="70"/>
  <c r="DH23" i="70"/>
  <c r="DI23" i="70"/>
  <c r="DJ23" i="70"/>
  <c r="DK23" i="70"/>
  <c r="DL23" i="70"/>
  <c r="DM23" i="70"/>
  <c r="DN23" i="70"/>
  <c r="DO23" i="70"/>
  <c r="DP23" i="70"/>
  <c r="DQ23" i="70"/>
  <c r="DR23" i="70"/>
  <c r="DS23" i="70"/>
  <c r="DT23" i="70"/>
  <c r="DU23" i="70"/>
  <c r="DV23" i="70"/>
  <c r="DW23" i="70"/>
  <c r="DX23" i="70"/>
  <c r="DY23" i="70"/>
  <c r="DZ23" i="70"/>
  <c r="EA23" i="70"/>
  <c r="EB23" i="70"/>
  <c r="EC23" i="70"/>
  <c r="ED23" i="70"/>
  <c r="EE23" i="70"/>
  <c r="EF23" i="70"/>
  <c r="EG23" i="70"/>
  <c r="E28" i="70"/>
  <c r="F28" i="70"/>
  <c r="G28" i="70"/>
  <c r="H28" i="70"/>
  <c r="I28" i="70"/>
  <c r="J28" i="70"/>
  <c r="K28" i="70"/>
  <c r="L28" i="70"/>
  <c r="M28" i="70"/>
  <c r="N28" i="70"/>
  <c r="O28" i="70"/>
  <c r="P28" i="70"/>
  <c r="Q28" i="70"/>
  <c r="R28" i="70"/>
  <c r="S28" i="70"/>
  <c r="T28" i="70"/>
  <c r="U28" i="70"/>
  <c r="V28" i="70"/>
  <c r="W28" i="70"/>
  <c r="X28" i="70"/>
  <c r="Y28" i="70"/>
  <c r="Z28" i="70"/>
  <c r="AA28" i="70"/>
  <c r="AB28" i="70"/>
  <c r="AC28" i="70"/>
  <c r="AD28" i="70"/>
  <c r="AE28" i="70"/>
  <c r="AF28" i="70"/>
  <c r="AG28" i="70"/>
  <c r="AH28" i="70"/>
  <c r="AI28" i="70"/>
  <c r="AJ28" i="70"/>
  <c r="AK28" i="70"/>
  <c r="AL28" i="70"/>
  <c r="AM28" i="70"/>
  <c r="AN28" i="70"/>
  <c r="AO28" i="70"/>
  <c r="AP28" i="70"/>
  <c r="AQ28" i="70"/>
  <c r="AR28" i="70"/>
  <c r="AS28" i="70"/>
  <c r="AT28" i="70"/>
  <c r="AU28" i="70"/>
  <c r="AV28" i="70"/>
  <c r="AW28" i="70"/>
  <c r="AX28" i="70"/>
  <c r="AY28" i="70"/>
  <c r="AZ28" i="70"/>
  <c r="BA28" i="70"/>
  <c r="BB28" i="70"/>
  <c r="BC28" i="70"/>
  <c r="BD28" i="70"/>
  <c r="BE28" i="70"/>
  <c r="BF28" i="70"/>
  <c r="BG28" i="70"/>
  <c r="BH28" i="70"/>
  <c r="BI28" i="70"/>
  <c r="BJ28" i="70"/>
  <c r="BK28" i="70"/>
  <c r="BL28" i="70"/>
  <c r="BM28" i="70"/>
  <c r="BN28" i="70"/>
  <c r="BO28" i="70"/>
  <c r="BP28" i="70"/>
  <c r="BQ28" i="70"/>
  <c r="BR28" i="70"/>
  <c r="BS28" i="70"/>
  <c r="BT28" i="70"/>
  <c r="BU28" i="70"/>
  <c r="BV28" i="70"/>
  <c r="BW28" i="70"/>
  <c r="BX28" i="70"/>
  <c r="BY28" i="70"/>
  <c r="BZ28" i="70"/>
  <c r="CA28" i="70"/>
  <c r="CB28" i="70"/>
  <c r="CC28" i="70"/>
  <c r="CD28" i="70"/>
  <c r="CE28" i="70"/>
  <c r="CF28" i="70"/>
  <c r="CG28" i="70"/>
  <c r="CH28" i="70"/>
  <c r="CI28" i="70"/>
  <c r="CJ28" i="70"/>
  <c r="CK28" i="70"/>
  <c r="CL28" i="70"/>
  <c r="CM28" i="70"/>
  <c r="CN28" i="70"/>
  <c r="CO28" i="70"/>
  <c r="CP28" i="70"/>
  <c r="CQ28" i="70"/>
  <c r="CR28" i="70"/>
  <c r="CS28" i="70"/>
  <c r="CT28" i="70"/>
  <c r="CU28" i="70"/>
  <c r="CV28" i="70"/>
  <c r="CW28" i="70"/>
  <c r="CX28" i="70"/>
  <c r="CY28" i="70"/>
  <c r="CZ28" i="70"/>
  <c r="DA28" i="70"/>
  <c r="DB28" i="70"/>
  <c r="DC28" i="70"/>
  <c r="DD28" i="70"/>
  <c r="DE28" i="70"/>
  <c r="DF28" i="70"/>
  <c r="DG28" i="70"/>
  <c r="DH28" i="70"/>
  <c r="DI28" i="70"/>
  <c r="DJ28" i="70"/>
  <c r="DK28" i="70"/>
  <c r="DL28" i="70"/>
  <c r="DM28" i="70"/>
  <c r="DN28" i="70"/>
  <c r="DO28" i="70"/>
  <c r="DP28" i="70"/>
  <c r="DQ28" i="70"/>
  <c r="DR28" i="70"/>
  <c r="DS28" i="70"/>
  <c r="DT28" i="70"/>
  <c r="DU28" i="70"/>
  <c r="DV28" i="70"/>
  <c r="DW28" i="70"/>
  <c r="DX28" i="70"/>
  <c r="DY28" i="70"/>
  <c r="DZ28" i="70"/>
  <c r="EA28" i="70"/>
  <c r="EB28" i="70"/>
  <c r="EC28" i="70"/>
  <c r="ED28" i="70"/>
  <c r="EE28" i="70"/>
  <c r="EF28" i="70"/>
  <c r="EG28" i="70"/>
  <c r="F29" i="70"/>
  <c r="G29" i="70"/>
  <c r="H29" i="70"/>
  <c r="I29" i="70"/>
  <c r="J29" i="70"/>
  <c r="K29" i="70"/>
  <c r="L29" i="70"/>
  <c r="M29" i="70"/>
  <c r="N29" i="70"/>
  <c r="O29" i="70"/>
  <c r="P29" i="70"/>
  <c r="Q29" i="70"/>
  <c r="R29" i="70"/>
  <c r="S29" i="70"/>
  <c r="T29" i="70"/>
  <c r="U29" i="70"/>
  <c r="V29" i="70"/>
  <c r="W29" i="70"/>
  <c r="X29" i="70"/>
  <c r="Y29" i="70"/>
  <c r="Z29" i="70"/>
  <c r="AA29" i="70"/>
  <c r="AB29" i="70"/>
  <c r="AC29" i="70"/>
  <c r="AD29" i="70"/>
  <c r="AE29" i="70"/>
  <c r="AF29" i="70"/>
  <c r="AG29" i="70"/>
  <c r="AH29" i="70"/>
  <c r="AI29" i="70"/>
  <c r="AJ29" i="70"/>
  <c r="AK29" i="70"/>
  <c r="AL29" i="70"/>
  <c r="AM29" i="70"/>
  <c r="AN29" i="70"/>
  <c r="AO29" i="70"/>
  <c r="AP29" i="70"/>
  <c r="AQ29" i="70"/>
  <c r="AR29" i="70"/>
  <c r="AS29" i="70"/>
  <c r="AT29" i="70"/>
  <c r="AU29" i="70"/>
  <c r="AV29" i="70"/>
  <c r="AW29" i="70"/>
  <c r="AX29" i="70"/>
  <c r="AY29" i="70"/>
  <c r="AZ29" i="70"/>
  <c r="BA29" i="70"/>
  <c r="BB29" i="70"/>
  <c r="BC29" i="70"/>
  <c r="BD29" i="70"/>
  <c r="BE29" i="70"/>
  <c r="BF29" i="70"/>
  <c r="BG29" i="70"/>
  <c r="BH29" i="70"/>
  <c r="BI29" i="70"/>
  <c r="BJ29" i="70"/>
  <c r="BK29" i="70"/>
  <c r="BL29" i="70"/>
  <c r="BM29" i="70"/>
  <c r="BN29" i="70"/>
  <c r="BO29" i="70"/>
  <c r="BP29" i="70"/>
  <c r="BQ29" i="70"/>
  <c r="BR29" i="70"/>
  <c r="BS29" i="70"/>
  <c r="BT29" i="70"/>
  <c r="BU29" i="70"/>
  <c r="BV29" i="70"/>
  <c r="BW29" i="70"/>
  <c r="BX29" i="70"/>
  <c r="BY29" i="70"/>
  <c r="BZ29" i="70"/>
  <c r="CA29" i="70"/>
  <c r="CB29" i="70"/>
  <c r="CC29" i="70"/>
  <c r="CD29" i="70"/>
  <c r="CE29" i="70"/>
  <c r="CF29" i="70"/>
  <c r="CG29" i="70"/>
  <c r="CH29" i="70"/>
  <c r="CI29" i="70"/>
  <c r="CJ29" i="70"/>
  <c r="CK29" i="70"/>
  <c r="CL29" i="70"/>
  <c r="CM29" i="70"/>
  <c r="CN29" i="70"/>
  <c r="CO29" i="70"/>
  <c r="CP29" i="70"/>
  <c r="CQ29" i="70"/>
  <c r="CR29" i="70"/>
  <c r="CS29" i="70"/>
  <c r="CT29" i="70"/>
  <c r="CU29" i="70"/>
  <c r="CV29" i="70"/>
  <c r="CW29" i="70"/>
  <c r="CX29" i="70"/>
  <c r="CY29" i="70"/>
  <c r="CZ29" i="70"/>
  <c r="DA29" i="70"/>
  <c r="DB29" i="70"/>
  <c r="DC29" i="70"/>
  <c r="DD29" i="70"/>
  <c r="DE29" i="70"/>
  <c r="DF29" i="70"/>
  <c r="DG29" i="70"/>
  <c r="DH29" i="70"/>
  <c r="DI29" i="70"/>
  <c r="DJ29" i="70"/>
  <c r="DK29" i="70"/>
  <c r="DL29" i="70"/>
  <c r="DM29" i="70"/>
  <c r="DN29" i="70"/>
  <c r="DO29" i="70"/>
  <c r="DP29" i="70"/>
  <c r="DQ29" i="70"/>
  <c r="DR29" i="70"/>
  <c r="DS29" i="70"/>
  <c r="DT29" i="70"/>
  <c r="DU29" i="70"/>
  <c r="DV29" i="70"/>
  <c r="DW29" i="70"/>
  <c r="DX29" i="70"/>
  <c r="DY29" i="70"/>
  <c r="DZ29" i="70"/>
  <c r="EA29" i="70"/>
  <c r="EB29" i="70"/>
  <c r="EC29" i="70"/>
  <c r="ED29" i="70"/>
  <c r="EE29" i="70"/>
  <c r="EF29" i="70"/>
  <c r="EG29" i="70"/>
  <c r="Q30" i="70"/>
  <c r="R30" i="70"/>
  <c r="S30" i="70"/>
  <c r="T30" i="70"/>
  <c r="U30" i="70"/>
  <c r="V30" i="70"/>
  <c r="W30" i="70"/>
  <c r="X30" i="70"/>
  <c r="Y30" i="70"/>
  <c r="Z30" i="70"/>
  <c r="AA30" i="70"/>
  <c r="AB30" i="70"/>
  <c r="AC30" i="70"/>
  <c r="AD30" i="70"/>
  <c r="AE30" i="70"/>
  <c r="AF30" i="70"/>
  <c r="AG30" i="70"/>
  <c r="AH30" i="70"/>
  <c r="AI30" i="70"/>
  <c r="AJ30" i="70"/>
  <c r="AK30" i="70"/>
  <c r="AL30" i="70"/>
  <c r="AM30" i="70"/>
  <c r="AN30" i="70"/>
  <c r="AO30" i="70"/>
  <c r="AP30" i="70"/>
  <c r="AQ30" i="70"/>
  <c r="AR30" i="70"/>
  <c r="AS30" i="70"/>
  <c r="AT30" i="70"/>
  <c r="AU30" i="70"/>
  <c r="AV30" i="70"/>
  <c r="AW30" i="70"/>
  <c r="AX30" i="70"/>
  <c r="AY30" i="70"/>
  <c r="AZ30" i="70"/>
  <c r="BA30" i="70"/>
  <c r="BB30" i="70"/>
  <c r="BC30" i="70"/>
  <c r="BD30" i="70"/>
  <c r="BE30" i="70"/>
  <c r="BF30" i="70"/>
  <c r="BG30" i="70"/>
  <c r="BH30" i="70"/>
  <c r="BI30" i="70"/>
  <c r="BJ30" i="70"/>
  <c r="BK30" i="70"/>
  <c r="BL30" i="70"/>
  <c r="BM30" i="70"/>
  <c r="BN30" i="70"/>
  <c r="BO30" i="70"/>
  <c r="BP30" i="70"/>
  <c r="BQ30" i="70"/>
  <c r="BR30" i="70"/>
  <c r="BS30" i="70"/>
  <c r="BT30" i="70"/>
  <c r="BU30" i="70"/>
  <c r="BV30" i="70"/>
  <c r="BW30" i="70"/>
  <c r="BX30" i="70"/>
  <c r="BY30" i="70"/>
  <c r="BZ30" i="70"/>
  <c r="CA30" i="70"/>
  <c r="CB30" i="70"/>
  <c r="CC30" i="70"/>
  <c r="CD30" i="70"/>
  <c r="CE30" i="70"/>
  <c r="CF30" i="70"/>
  <c r="CG30" i="70"/>
  <c r="CH30" i="70"/>
  <c r="CI30" i="70"/>
  <c r="CJ30" i="70"/>
  <c r="CK30" i="70"/>
  <c r="CL30" i="70"/>
  <c r="CM30" i="70"/>
  <c r="CN30" i="70"/>
  <c r="CO30" i="70"/>
  <c r="CP30" i="70"/>
  <c r="CQ30" i="70"/>
  <c r="CR30" i="70"/>
  <c r="CS30" i="70"/>
  <c r="CT30" i="70"/>
  <c r="CU30" i="70"/>
  <c r="CV30" i="70"/>
  <c r="CW30" i="70"/>
  <c r="CX30" i="70"/>
  <c r="CY30" i="70"/>
  <c r="CZ30" i="70"/>
  <c r="DA30" i="70"/>
  <c r="DB30" i="70"/>
  <c r="DC30" i="70"/>
  <c r="DD30" i="70"/>
  <c r="DE30" i="70"/>
  <c r="DF30" i="70"/>
  <c r="DG30" i="70"/>
  <c r="DH30" i="70"/>
  <c r="DI30" i="70"/>
  <c r="DJ30" i="70"/>
  <c r="DK30" i="70"/>
  <c r="DL30" i="70"/>
  <c r="DM30" i="70"/>
  <c r="DN30" i="70"/>
  <c r="DO30" i="70"/>
  <c r="DP30" i="70"/>
  <c r="DQ30" i="70"/>
  <c r="DR30" i="70"/>
  <c r="DS30" i="70"/>
  <c r="DT30" i="70"/>
  <c r="DU30" i="70"/>
  <c r="F9" i="30"/>
  <c r="G9" i="30"/>
  <c r="H9" i="30"/>
  <c r="I9" i="30"/>
  <c r="J9" i="30"/>
  <c r="K9" i="30"/>
  <c r="L9" i="30"/>
  <c r="M9" i="30"/>
  <c r="N9" i="30"/>
  <c r="O9" i="30"/>
  <c r="P9" i="30"/>
  <c r="Q9" i="30"/>
  <c r="R9" i="30"/>
  <c r="S9" i="30"/>
  <c r="T9" i="30"/>
  <c r="U9" i="30"/>
  <c r="V9" i="30"/>
  <c r="W9" i="30"/>
  <c r="X9" i="30"/>
  <c r="Y9" i="30"/>
  <c r="Z9" i="30"/>
  <c r="AA9" i="30"/>
  <c r="AB9" i="30"/>
  <c r="AC9" i="30"/>
  <c r="AD9" i="30"/>
  <c r="AE9" i="30"/>
  <c r="AF9" i="30"/>
  <c r="AG9" i="30"/>
  <c r="AH9" i="30"/>
  <c r="AI9" i="30"/>
  <c r="AJ9" i="30"/>
  <c r="AK9" i="30"/>
  <c r="AL9" i="30"/>
  <c r="AM9" i="30"/>
  <c r="AN9" i="30"/>
  <c r="AO9" i="30"/>
  <c r="AP9" i="30"/>
  <c r="AQ9" i="30"/>
  <c r="AR9" i="30"/>
  <c r="AS9" i="30"/>
  <c r="AT9" i="30"/>
  <c r="AU9" i="30"/>
  <c r="AV9" i="30"/>
  <c r="AW9" i="30"/>
  <c r="AX9" i="30"/>
  <c r="AY9" i="30"/>
  <c r="AZ9" i="30"/>
  <c r="BA9" i="30"/>
  <c r="BB9" i="30"/>
  <c r="BC9" i="30"/>
  <c r="BD9" i="30"/>
  <c r="BE9" i="30"/>
  <c r="BF9" i="30"/>
  <c r="BG9" i="30"/>
  <c r="BH9" i="30"/>
  <c r="BI9" i="30"/>
  <c r="BJ9" i="30"/>
  <c r="BK9" i="30"/>
  <c r="BL9" i="30"/>
  <c r="BM9" i="30"/>
  <c r="BN9" i="30"/>
  <c r="BO9" i="30"/>
  <c r="BP9" i="30"/>
  <c r="BQ9" i="30"/>
  <c r="BR9" i="30"/>
  <c r="BS9" i="30"/>
  <c r="BT9" i="30"/>
  <c r="BU9" i="30"/>
  <c r="BV9" i="30"/>
  <c r="BW9" i="30"/>
  <c r="BX9" i="30"/>
  <c r="BY9" i="30"/>
  <c r="BZ9" i="30"/>
  <c r="CA9" i="30"/>
  <c r="CB9" i="30"/>
  <c r="CC9" i="30"/>
  <c r="CD9" i="30"/>
  <c r="CE9" i="30"/>
  <c r="CF9" i="30"/>
  <c r="CG9" i="30"/>
  <c r="CH9" i="30"/>
  <c r="CI9" i="30"/>
  <c r="CJ9" i="30"/>
  <c r="CK9" i="30"/>
  <c r="CL9" i="30"/>
  <c r="CM9" i="30"/>
  <c r="CN9" i="30"/>
  <c r="CO9" i="30"/>
  <c r="CP9" i="30"/>
  <c r="CQ9" i="30"/>
  <c r="CR9" i="30"/>
  <c r="CS9" i="30"/>
  <c r="CT9" i="30"/>
  <c r="CU9" i="30"/>
  <c r="CV9" i="30"/>
  <c r="CW9" i="30"/>
  <c r="CX9" i="30"/>
  <c r="CY9" i="30"/>
  <c r="CZ9" i="30"/>
  <c r="DA9" i="30"/>
  <c r="DB9" i="30"/>
  <c r="DC9" i="30"/>
  <c r="DD9" i="30"/>
  <c r="DE9" i="30"/>
  <c r="DF9" i="30"/>
  <c r="DG9" i="30"/>
  <c r="DH9" i="30"/>
  <c r="DI9" i="30"/>
  <c r="DJ9" i="30"/>
  <c r="DK9" i="30"/>
  <c r="DL9" i="30"/>
  <c r="DM9" i="30"/>
  <c r="DN9" i="30"/>
  <c r="DO9" i="30"/>
  <c r="DP9" i="30"/>
  <c r="DQ9" i="30"/>
  <c r="DR9" i="30"/>
  <c r="DS9" i="30"/>
  <c r="DT9" i="30"/>
  <c r="DU9" i="30"/>
  <c r="DV9" i="30"/>
  <c r="DW9" i="30"/>
  <c r="DX9" i="30"/>
  <c r="DY9" i="30"/>
  <c r="DZ9" i="30"/>
  <c r="EA9" i="30"/>
  <c r="EB9" i="30"/>
  <c r="EC9" i="30"/>
  <c r="ED9" i="30"/>
  <c r="EE9" i="30"/>
  <c r="EF9" i="30"/>
  <c r="EG9" i="30"/>
  <c r="E10" i="30"/>
  <c r="F10" i="30"/>
  <c r="G10" i="30"/>
  <c r="H10" i="30"/>
  <c r="I10" i="30"/>
  <c r="J10" i="30"/>
  <c r="K10" i="30"/>
  <c r="L10" i="30"/>
  <c r="M10" i="30"/>
  <c r="N10" i="30"/>
  <c r="O10" i="30"/>
  <c r="P10" i="30"/>
  <c r="Q10" i="30"/>
  <c r="R10" i="30"/>
  <c r="S10" i="30"/>
  <c r="T10" i="30"/>
  <c r="U10" i="30"/>
  <c r="V10" i="30"/>
  <c r="W10" i="30"/>
  <c r="X10" i="30"/>
  <c r="Y10" i="30"/>
  <c r="Z10" i="30"/>
  <c r="AA10" i="30"/>
  <c r="AB10" i="30"/>
  <c r="AC10" i="30"/>
  <c r="AD10" i="30"/>
  <c r="AE10" i="30"/>
  <c r="AF10" i="30"/>
  <c r="AG10" i="30"/>
  <c r="AH10" i="30"/>
  <c r="AI10" i="30"/>
  <c r="AJ10" i="30"/>
  <c r="AK10" i="30"/>
  <c r="AL10" i="30"/>
  <c r="AM10" i="30"/>
  <c r="AN10" i="30"/>
  <c r="AO10" i="30"/>
  <c r="AP10" i="30"/>
  <c r="AQ10" i="30"/>
  <c r="AR10" i="30"/>
  <c r="AS10" i="30"/>
  <c r="AT10" i="30"/>
  <c r="AU10" i="30"/>
  <c r="AV10" i="30"/>
  <c r="AW10" i="30"/>
  <c r="AX10" i="30"/>
  <c r="AY10" i="30"/>
  <c r="AZ10" i="30"/>
  <c r="BA10" i="30"/>
  <c r="BB10" i="30"/>
  <c r="BC10" i="30"/>
  <c r="BD10" i="30"/>
  <c r="BE10" i="30"/>
  <c r="BF10" i="30"/>
  <c r="BG10" i="30"/>
  <c r="BH10" i="30"/>
  <c r="BI10" i="30"/>
  <c r="BJ10" i="30"/>
  <c r="BK10" i="30"/>
  <c r="BL10" i="30"/>
  <c r="BM10" i="30"/>
  <c r="BN10" i="30"/>
  <c r="BO10" i="30"/>
  <c r="BP10" i="30"/>
  <c r="BQ10" i="30"/>
  <c r="BR10" i="30"/>
  <c r="BS10" i="30"/>
  <c r="BT10" i="30"/>
  <c r="BU10" i="30"/>
  <c r="BV10" i="30"/>
  <c r="BW10" i="30"/>
  <c r="BX10" i="30"/>
  <c r="BY10" i="30"/>
  <c r="BZ10" i="30"/>
  <c r="CA10" i="30"/>
  <c r="CB10" i="30"/>
  <c r="CC10" i="30"/>
  <c r="CD10" i="30"/>
  <c r="CE10" i="30"/>
  <c r="CF10" i="30"/>
  <c r="CG10" i="30"/>
  <c r="CH10" i="30"/>
  <c r="CI10" i="30"/>
  <c r="CJ10" i="30"/>
  <c r="CK10" i="30"/>
  <c r="CL10" i="30"/>
  <c r="CM10" i="30"/>
  <c r="CN10" i="30"/>
  <c r="CO10" i="30"/>
  <c r="CP10" i="30"/>
  <c r="CQ10" i="30"/>
  <c r="CR10" i="30"/>
  <c r="CS10" i="30"/>
  <c r="CT10" i="30"/>
  <c r="CU10" i="30"/>
  <c r="CV10" i="30"/>
  <c r="CW10" i="30"/>
  <c r="CX10" i="30"/>
  <c r="CY10" i="30"/>
  <c r="CZ10" i="30"/>
  <c r="DA10" i="30"/>
  <c r="DB10" i="30"/>
  <c r="DC10" i="30"/>
  <c r="DD10" i="30"/>
  <c r="DE10" i="30"/>
  <c r="DF10" i="30"/>
  <c r="DG10" i="30"/>
  <c r="DH10" i="30"/>
  <c r="DI10" i="30"/>
  <c r="DJ10" i="30"/>
  <c r="DK10" i="30"/>
  <c r="DL10" i="30"/>
  <c r="DM10" i="30"/>
  <c r="DN10" i="30"/>
  <c r="DO10" i="30"/>
  <c r="DP10" i="30"/>
  <c r="DQ10" i="30"/>
  <c r="DR10" i="30"/>
  <c r="DS10" i="30"/>
  <c r="DT10" i="30"/>
  <c r="DU10" i="30"/>
  <c r="DV10" i="30"/>
  <c r="DW10" i="30"/>
  <c r="DX10" i="30"/>
  <c r="DY10" i="30"/>
  <c r="DZ10" i="30"/>
  <c r="EA10" i="30"/>
  <c r="EB10" i="30"/>
  <c r="EC10" i="30"/>
  <c r="ED10" i="30"/>
  <c r="EE10" i="30"/>
  <c r="EF10" i="30"/>
  <c r="EG10" i="30"/>
  <c r="E11" i="30"/>
  <c r="F11" i="30"/>
  <c r="G11" i="30"/>
  <c r="H11" i="30"/>
  <c r="I11" i="30"/>
  <c r="J11" i="30"/>
  <c r="K11" i="30"/>
  <c r="L11" i="30"/>
  <c r="M11" i="30"/>
  <c r="N11" i="30"/>
  <c r="O11" i="30"/>
  <c r="P11" i="30"/>
  <c r="Q11" i="30"/>
  <c r="R11" i="30"/>
  <c r="S11" i="30"/>
  <c r="T11" i="30"/>
  <c r="U11" i="30"/>
  <c r="V11" i="30"/>
  <c r="W11" i="30"/>
  <c r="X11" i="30"/>
  <c r="Y11" i="30"/>
  <c r="Z11" i="30"/>
  <c r="AA11" i="30"/>
  <c r="AB11" i="30"/>
  <c r="AC11" i="30"/>
  <c r="AD11" i="30"/>
  <c r="AE11" i="30"/>
  <c r="AF11" i="30"/>
  <c r="AG11" i="30"/>
  <c r="AH11" i="30"/>
  <c r="AI11" i="30"/>
  <c r="AJ11" i="30"/>
  <c r="AK11" i="30"/>
  <c r="AL11" i="30"/>
  <c r="AM11" i="30"/>
  <c r="AN11" i="30"/>
  <c r="AO11" i="30"/>
  <c r="AP11" i="30"/>
  <c r="AQ11" i="30"/>
  <c r="AR11" i="30"/>
  <c r="AS11" i="30"/>
  <c r="AT11" i="30"/>
  <c r="AU11" i="30"/>
  <c r="AV11" i="30"/>
  <c r="AW11" i="30"/>
  <c r="AX11" i="30"/>
  <c r="AY11" i="30"/>
  <c r="AZ11" i="30"/>
  <c r="BA11" i="30"/>
  <c r="BB11" i="30"/>
  <c r="BC11" i="30"/>
  <c r="BD11" i="30"/>
  <c r="BE11" i="30"/>
  <c r="BF11" i="30"/>
  <c r="BG11" i="30"/>
  <c r="BH11" i="30"/>
  <c r="BI11" i="30"/>
  <c r="BJ11" i="30"/>
  <c r="BK11" i="30"/>
  <c r="BL11" i="30"/>
  <c r="BM11" i="30"/>
  <c r="BN11" i="30"/>
  <c r="BO11" i="30"/>
  <c r="BP11" i="30"/>
  <c r="BQ11" i="30"/>
  <c r="BR11" i="30"/>
  <c r="BS11" i="30"/>
  <c r="BT11" i="30"/>
  <c r="BU11" i="30"/>
  <c r="BV11" i="30"/>
  <c r="BW11" i="30"/>
  <c r="BX11" i="30"/>
  <c r="BY11" i="30"/>
  <c r="BZ11" i="30"/>
  <c r="CA11" i="30"/>
  <c r="CB11" i="30"/>
  <c r="CC11" i="30"/>
  <c r="CD11" i="30"/>
  <c r="CE11" i="30"/>
  <c r="CF11" i="30"/>
  <c r="CG11" i="30"/>
  <c r="CH11" i="30"/>
  <c r="CI11" i="30"/>
  <c r="CJ11" i="30"/>
  <c r="CK11" i="30"/>
  <c r="CL11" i="30"/>
  <c r="CM11" i="30"/>
  <c r="CN11" i="30"/>
  <c r="CO11" i="30"/>
  <c r="CP11" i="30"/>
  <c r="CQ11" i="30"/>
  <c r="CR11" i="30"/>
  <c r="CS11" i="30"/>
  <c r="CT11" i="30"/>
  <c r="CU11" i="30"/>
  <c r="CV11" i="30"/>
  <c r="CW11" i="30"/>
  <c r="CX11" i="30"/>
  <c r="CY11" i="30"/>
  <c r="CZ11" i="30"/>
  <c r="DA11" i="30"/>
  <c r="DB11" i="30"/>
  <c r="DC11" i="30"/>
  <c r="DD11" i="30"/>
  <c r="DE11" i="30"/>
  <c r="DF11" i="30"/>
  <c r="DG11" i="30"/>
  <c r="DH11" i="30"/>
  <c r="DI11" i="30"/>
  <c r="DJ11" i="30"/>
  <c r="DK11" i="30"/>
  <c r="DL11" i="30"/>
  <c r="DM11" i="30"/>
  <c r="DN11" i="30"/>
  <c r="DO11" i="30"/>
  <c r="DP11" i="30"/>
  <c r="DQ11" i="30"/>
  <c r="DR11" i="30"/>
  <c r="DS11" i="30"/>
  <c r="DT11" i="30"/>
  <c r="DU11" i="30"/>
  <c r="DV11" i="30"/>
  <c r="DW11" i="30"/>
  <c r="DX11" i="30"/>
  <c r="DY11" i="30"/>
  <c r="DZ11" i="30"/>
  <c r="EA11" i="30"/>
  <c r="EB11" i="30"/>
  <c r="EC11" i="30"/>
  <c r="ED11" i="30"/>
  <c r="EE11" i="30"/>
  <c r="EF11" i="30"/>
  <c r="EG11" i="30"/>
  <c r="F14" i="30"/>
  <c r="G14" i="30"/>
  <c r="H14" i="30"/>
  <c r="I14" i="30"/>
  <c r="J14" i="30"/>
  <c r="K14" i="30"/>
  <c r="L14" i="30"/>
  <c r="M14" i="30"/>
  <c r="N14" i="30"/>
  <c r="O14" i="30"/>
  <c r="P14" i="30"/>
  <c r="Q14" i="30"/>
  <c r="R14" i="30"/>
  <c r="S14" i="30"/>
  <c r="T14" i="30"/>
  <c r="U14" i="30"/>
  <c r="V14" i="30"/>
  <c r="W14" i="30"/>
  <c r="X14" i="30"/>
  <c r="Y14" i="30"/>
  <c r="Z14" i="30"/>
  <c r="AA14" i="30"/>
  <c r="AB14" i="30"/>
  <c r="AC14" i="30"/>
  <c r="AD14" i="30"/>
  <c r="AE14" i="30"/>
  <c r="AF14" i="30"/>
  <c r="AG14" i="30"/>
  <c r="AH14" i="30"/>
  <c r="AI14" i="30"/>
  <c r="AJ14" i="30"/>
  <c r="AK14" i="30"/>
  <c r="AL14" i="30"/>
  <c r="AM14" i="30"/>
  <c r="AN14" i="30"/>
  <c r="AO14" i="30"/>
  <c r="AP14" i="30"/>
  <c r="AQ14" i="30"/>
  <c r="AR14" i="30"/>
  <c r="AS14" i="30"/>
  <c r="AT14" i="30"/>
  <c r="AU14" i="30"/>
  <c r="AV14" i="30"/>
  <c r="AW14" i="30"/>
  <c r="AX14" i="30"/>
  <c r="AY14" i="30"/>
  <c r="AZ14" i="30"/>
  <c r="BA14" i="30"/>
  <c r="BB14" i="30"/>
  <c r="BC14" i="30"/>
  <c r="BD14" i="30"/>
  <c r="BE14" i="30"/>
  <c r="BF14" i="30"/>
  <c r="BG14" i="30"/>
  <c r="BH14" i="30"/>
  <c r="BI14" i="30"/>
  <c r="BJ14" i="30"/>
  <c r="BK14" i="30"/>
  <c r="BL14" i="30"/>
  <c r="BM14" i="30"/>
  <c r="BN14" i="30"/>
  <c r="BO14" i="30"/>
  <c r="BP14" i="30"/>
  <c r="BQ14" i="30"/>
  <c r="BR14" i="30"/>
  <c r="BS14" i="30"/>
  <c r="BT14" i="30"/>
  <c r="BU14" i="30"/>
  <c r="BV14" i="30"/>
  <c r="BW14" i="30"/>
  <c r="BX14" i="30"/>
  <c r="BY14" i="30"/>
  <c r="BZ14" i="30"/>
  <c r="CA14" i="30"/>
  <c r="CB14" i="30"/>
  <c r="CC14" i="30"/>
  <c r="CD14" i="30"/>
  <c r="CE14" i="30"/>
  <c r="CF14" i="30"/>
  <c r="CG14" i="30"/>
  <c r="CH14" i="30"/>
  <c r="CI14" i="30"/>
  <c r="CJ14" i="30"/>
  <c r="CK14" i="30"/>
  <c r="CL14" i="30"/>
  <c r="CM14" i="30"/>
  <c r="CN14" i="30"/>
  <c r="CO14" i="30"/>
  <c r="CP14" i="30"/>
  <c r="CQ14" i="30"/>
  <c r="CR14" i="30"/>
  <c r="CS14" i="30"/>
  <c r="CT14" i="30"/>
  <c r="CU14" i="30"/>
  <c r="CV14" i="30"/>
  <c r="CW14" i="30"/>
  <c r="CX14" i="30"/>
  <c r="CY14" i="30"/>
  <c r="CZ14" i="30"/>
  <c r="DA14" i="30"/>
  <c r="DB14" i="30"/>
  <c r="DC14" i="30"/>
  <c r="DD14" i="30"/>
  <c r="DE14" i="30"/>
  <c r="DF14" i="30"/>
  <c r="DG14" i="30"/>
  <c r="DH14" i="30"/>
  <c r="DI14" i="30"/>
  <c r="DJ14" i="30"/>
  <c r="DK14" i="30"/>
  <c r="DL14" i="30"/>
  <c r="DM14" i="30"/>
  <c r="DN14" i="30"/>
  <c r="DO14" i="30"/>
  <c r="DP14" i="30"/>
  <c r="DQ14" i="30"/>
  <c r="DR14" i="30"/>
  <c r="DS14" i="30"/>
  <c r="DT14" i="30"/>
  <c r="DU14" i="30"/>
  <c r="DV14" i="30"/>
  <c r="DW14" i="30"/>
  <c r="DX14" i="30"/>
  <c r="DY14" i="30"/>
  <c r="DZ14" i="30"/>
  <c r="EA14" i="30"/>
  <c r="EB14" i="30"/>
  <c r="EC14" i="30"/>
  <c r="ED14" i="30"/>
  <c r="EE14" i="30"/>
  <c r="EF14" i="30"/>
  <c r="EG14" i="30"/>
  <c r="E15" i="30"/>
  <c r="F15" i="30"/>
  <c r="G15" i="30"/>
  <c r="H15" i="30"/>
  <c r="I15" i="30"/>
  <c r="J15" i="30"/>
  <c r="K15" i="30"/>
  <c r="L15" i="30"/>
  <c r="M15" i="30"/>
  <c r="N15" i="30"/>
  <c r="O15" i="30"/>
  <c r="P15" i="30"/>
  <c r="Q15" i="30"/>
  <c r="R15" i="30"/>
  <c r="S15" i="30"/>
  <c r="T15" i="30"/>
  <c r="U15" i="30"/>
  <c r="V15" i="30"/>
  <c r="W15" i="30"/>
  <c r="X15" i="30"/>
  <c r="Y15" i="30"/>
  <c r="Z15" i="30"/>
  <c r="AA15" i="30"/>
  <c r="AB15" i="30"/>
  <c r="AC15" i="30"/>
  <c r="AD15" i="30"/>
  <c r="AE15" i="30"/>
  <c r="AF15" i="30"/>
  <c r="AG15" i="30"/>
  <c r="AH15" i="30"/>
  <c r="AI15" i="30"/>
  <c r="AJ15" i="30"/>
  <c r="AK15" i="30"/>
  <c r="AL15" i="30"/>
  <c r="AM15" i="30"/>
  <c r="AN15" i="30"/>
  <c r="AO15" i="30"/>
  <c r="AP15" i="30"/>
  <c r="AQ15" i="30"/>
  <c r="AR15" i="30"/>
  <c r="AS15" i="30"/>
  <c r="AT15" i="30"/>
  <c r="AU15" i="30"/>
  <c r="AV15" i="30"/>
  <c r="AW15" i="30"/>
  <c r="AX15" i="30"/>
  <c r="AY15" i="30"/>
  <c r="AZ15" i="30"/>
  <c r="BA15" i="30"/>
  <c r="BB15" i="30"/>
  <c r="BC15" i="30"/>
  <c r="BD15" i="30"/>
  <c r="BE15" i="30"/>
  <c r="BF15" i="30"/>
  <c r="BG15" i="30"/>
  <c r="BH15" i="30"/>
  <c r="BI15" i="30"/>
  <c r="BJ15" i="30"/>
  <c r="BK15" i="30"/>
  <c r="BL15" i="30"/>
  <c r="BM15" i="30"/>
  <c r="BN15" i="30"/>
  <c r="BO15" i="30"/>
  <c r="BP15" i="30"/>
  <c r="BQ15" i="30"/>
  <c r="BR15" i="30"/>
  <c r="BS15" i="30"/>
  <c r="BT15" i="30"/>
  <c r="BU15" i="30"/>
  <c r="BV15" i="30"/>
  <c r="BW15" i="30"/>
  <c r="BX15" i="30"/>
  <c r="BY15" i="30"/>
  <c r="BZ15" i="30"/>
  <c r="CA15" i="30"/>
  <c r="CB15" i="30"/>
  <c r="CC15" i="30"/>
  <c r="CD15" i="30"/>
  <c r="CE15" i="30"/>
  <c r="CF15" i="30"/>
  <c r="CG15" i="30"/>
  <c r="CH15" i="30"/>
  <c r="CI15" i="30"/>
  <c r="CJ15" i="30"/>
  <c r="CK15" i="30"/>
  <c r="CL15" i="30"/>
  <c r="CM15" i="30"/>
  <c r="CN15" i="30"/>
  <c r="CO15" i="30"/>
  <c r="CP15" i="30"/>
  <c r="CQ15" i="30"/>
  <c r="CR15" i="30"/>
  <c r="CS15" i="30"/>
  <c r="CT15" i="30"/>
  <c r="CU15" i="30"/>
  <c r="CV15" i="30"/>
  <c r="CW15" i="30"/>
  <c r="CX15" i="30"/>
  <c r="CY15" i="30"/>
  <c r="CZ15" i="30"/>
  <c r="DA15" i="30"/>
  <c r="DB15" i="30"/>
  <c r="DC15" i="30"/>
  <c r="DD15" i="30"/>
  <c r="DE15" i="30"/>
  <c r="DF15" i="30"/>
  <c r="DG15" i="30"/>
  <c r="DH15" i="30"/>
  <c r="DI15" i="30"/>
  <c r="DJ15" i="30"/>
  <c r="DK15" i="30"/>
  <c r="DL15" i="30"/>
  <c r="DM15" i="30"/>
  <c r="DN15" i="30"/>
  <c r="DO15" i="30"/>
  <c r="DP15" i="30"/>
  <c r="DQ15" i="30"/>
  <c r="DR15" i="30"/>
  <c r="DS15" i="30"/>
  <c r="DT15" i="30"/>
  <c r="DU15" i="30"/>
  <c r="DV15" i="30"/>
  <c r="DW15" i="30"/>
  <c r="DX15" i="30"/>
  <c r="DY15" i="30"/>
  <c r="DZ15" i="30"/>
  <c r="EA15" i="30"/>
  <c r="EB15" i="30"/>
  <c r="EC15" i="30"/>
  <c r="ED15" i="30"/>
  <c r="EE15" i="30"/>
  <c r="EF15" i="30"/>
  <c r="EG15" i="30"/>
  <c r="E16" i="30"/>
  <c r="F16" i="30"/>
  <c r="G16" i="30"/>
  <c r="H16" i="30"/>
  <c r="I16" i="30"/>
  <c r="J16" i="30"/>
  <c r="K16" i="30"/>
  <c r="L16" i="30"/>
  <c r="M16" i="30"/>
  <c r="N16" i="30"/>
  <c r="O16" i="30"/>
  <c r="P16" i="30"/>
  <c r="Q16" i="30"/>
  <c r="R16" i="30"/>
  <c r="S16" i="30"/>
  <c r="T16" i="30"/>
  <c r="U16" i="30"/>
  <c r="V16" i="30"/>
  <c r="W16" i="30"/>
  <c r="X16" i="30"/>
  <c r="Y16" i="30"/>
  <c r="Z16" i="30"/>
  <c r="AA16" i="30"/>
  <c r="AB16" i="30"/>
  <c r="AC16" i="30"/>
  <c r="AD16" i="30"/>
  <c r="AE16" i="30"/>
  <c r="AF16" i="30"/>
  <c r="AG16" i="30"/>
  <c r="AH16" i="30"/>
  <c r="AI16" i="30"/>
  <c r="AJ16" i="30"/>
  <c r="AK16" i="30"/>
  <c r="AL16" i="30"/>
  <c r="AM16" i="30"/>
  <c r="AN16" i="30"/>
  <c r="AO16" i="30"/>
  <c r="AP16" i="30"/>
  <c r="AQ16" i="30"/>
  <c r="AR16" i="30"/>
  <c r="AS16" i="30"/>
  <c r="AT16" i="30"/>
  <c r="AU16" i="30"/>
  <c r="AV16" i="30"/>
  <c r="AW16" i="30"/>
  <c r="AX16" i="30"/>
  <c r="AY16" i="30"/>
  <c r="AZ16" i="30"/>
  <c r="BA16" i="30"/>
  <c r="BB16" i="30"/>
  <c r="BC16" i="30"/>
  <c r="BD16" i="30"/>
  <c r="BE16" i="30"/>
  <c r="BF16" i="30"/>
  <c r="BG16" i="30"/>
  <c r="BH16" i="30"/>
  <c r="BI16" i="30"/>
  <c r="BJ16" i="30"/>
  <c r="BK16" i="30"/>
  <c r="BL16" i="30"/>
  <c r="BM16" i="30"/>
  <c r="BN16" i="30"/>
  <c r="BO16" i="30"/>
  <c r="BP16" i="30"/>
  <c r="BQ16" i="30"/>
  <c r="BR16" i="30"/>
  <c r="BS16" i="30"/>
  <c r="BT16" i="30"/>
  <c r="BU16" i="30"/>
  <c r="BV16" i="30"/>
  <c r="BW16" i="30"/>
  <c r="BX16" i="30"/>
  <c r="BY16" i="30"/>
  <c r="BZ16" i="30"/>
  <c r="CA16" i="30"/>
  <c r="CB16" i="30"/>
  <c r="CC16" i="30"/>
  <c r="CD16" i="30"/>
  <c r="CE16" i="30"/>
  <c r="CF16" i="30"/>
  <c r="CG16" i="30"/>
  <c r="CH16" i="30"/>
  <c r="CI16" i="30"/>
  <c r="CJ16" i="30"/>
  <c r="CK16" i="30"/>
  <c r="CL16" i="30"/>
  <c r="CM16" i="30"/>
  <c r="CN16" i="30"/>
  <c r="CO16" i="30"/>
  <c r="CP16" i="30"/>
  <c r="CQ16" i="30"/>
  <c r="CR16" i="30"/>
  <c r="CS16" i="30"/>
  <c r="CT16" i="30"/>
  <c r="CU16" i="30"/>
  <c r="CV16" i="30"/>
  <c r="CW16" i="30"/>
  <c r="CX16" i="30"/>
  <c r="CY16" i="30"/>
  <c r="CZ16" i="30"/>
  <c r="DA16" i="30"/>
  <c r="DB16" i="30"/>
  <c r="DC16" i="30"/>
  <c r="DD16" i="30"/>
  <c r="DE16" i="30"/>
  <c r="DF16" i="30"/>
  <c r="DG16" i="30"/>
  <c r="DH16" i="30"/>
  <c r="DI16" i="30"/>
  <c r="DJ16" i="30"/>
  <c r="DK16" i="30"/>
  <c r="DL16" i="30"/>
  <c r="DM16" i="30"/>
  <c r="DN16" i="30"/>
  <c r="DO16" i="30"/>
  <c r="DP16" i="30"/>
  <c r="DQ16" i="30"/>
  <c r="DR16" i="30"/>
  <c r="DS16" i="30"/>
  <c r="DT16" i="30"/>
  <c r="DU16" i="30"/>
  <c r="DV16" i="30"/>
  <c r="DW16" i="30"/>
  <c r="DX16" i="30"/>
  <c r="DY16" i="30"/>
  <c r="DZ16" i="30"/>
  <c r="EA16" i="30"/>
  <c r="EB16" i="30"/>
  <c r="EC16" i="30"/>
  <c r="ED16" i="30"/>
  <c r="EE16" i="30"/>
  <c r="EF16" i="30"/>
  <c r="EG16" i="30"/>
  <c r="AH17" i="30"/>
  <c r="E18" i="30"/>
  <c r="F18" i="30"/>
  <c r="G18" i="30"/>
  <c r="H18" i="30"/>
  <c r="I18" i="30"/>
  <c r="J18" i="30"/>
  <c r="K18" i="30"/>
  <c r="L18" i="30"/>
  <c r="M18" i="30"/>
  <c r="N18" i="30"/>
  <c r="O18" i="30"/>
  <c r="P18" i="30"/>
  <c r="Q18" i="30"/>
  <c r="R18" i="30"/>
  <c r="S18" i="30"/>
  <c r="T18" i="30"/>
  <c r="U18" i="30"/>
  <c r="V18" i="30"/>
  <c r="W18" i="30"/>
  <c r="X18" i="30"/>
  <c r="Y18" i="30"/>
  <c r="Z18" i="30"/>
  <c r="AA18" i="30"/>
  <c r="AB18" i="30"/>
  <c r="AC18" i="30"/>
  <c r="AD18" i="30"/>
  <c r="AE18" i="30"/>
  <c r="AF18" i="30"/>
  <c r="AG18" i="30"/>
  <c r="AH18" i="30"/>
  <c r="AI18" i="30"/>
  <c r="AJ18" i="30"/>
  <c r="AK18" i="30"/>
  <c r="AL18" i="30"/>
  <c r="AM18" i="30"/>
  <c r="AN18" i="30"/>
  <c r="AO18" i="30"/>
  <c r="AP18" i="30"/>
  <c r="AQ18" i="30"/>
  <c r="AR18" i="30"/>
  <c r="AS18" i="30"/>
  <c r="AT18" i="30"/>
  <c r="AU18" i="30"/>
  <c r="AV18" i="30"/>
  <c r="AW18" i="30"/>
  <c r="AX18" i="30"/>
  <c r="AY18" i="30"/>
  <c r="AZ18" i="30"/>
  <c r="BA18" i="30"/>
  <c r="BB18" i="30"/>
  <c r="BC18" i="30"/>
  <c r="BD18" i="30"/>
  <c r="BE18" i="30"/>
  <c r="BF18" i="30"/>
  <c r="BG18" i="30"/>
  <c r="BH18" i="30"/>
  <c r="BI18" i="30"/>
  <c r="BJ18" i="30"/>
  <c r="BK18" i="30"/>
  <c r="BL18" i="30"/>
  <c r="BM18" i="30"/>
  <c r="BN18" i="30"/>
  <c r="BO18" i="30"/>
  <c r="BP18" i="30"/>
  <c r="BQ18" i="30"/>
  <c r="BR18" i="30"/>
  <c r="BS18" i="30"/>
  <c r="BT18" i="30"/>
  <c r="BU18" i="30"/>
  <c r="BV18" i="30"/>
  <c r="BW18" i="30"/>
  <c r="BX18" i="30"/>
  <c r="BY18" i="30"/>
  <c r="BZ18" i="30"/>
  <c r="CA18" i="30"/>
  <c r="CB18" i="30"/>
  <c r="CC18" i="30"/>
  <c r="CD18" i="30"/>
  <c r="CE18" i="30"/>
  <c r="CF18" i="30"/>
  <c r="CG18" i="30"/>
  <c r="CH18" i="30"/>
  <c r="CI18" i="30"/>
  <c r="CJ18" i="30"/>
  <c r="CK18" i="30"/>
  <c r="CL18" i="30"/>
  <c r="CM18" i="30"/>
  <c r="CN18" i="30"/>
  <c r="CO18" i="30"/>
  <c r="CP18" i="30"/>
  <c r="CQ18" i="30"/>
  <c r="CR18" i="30"/>
  <c r="CS18" i="30"/>
  <c r="CT18" i="30"/>
  <c r="CU18" i="30"/>
  <c r="CV18" i="30"/>
  <c r="CW18" i="30"/>
  <c r="CX18" i="30"/>
  <c r="CY18" i="30"/>
  <c r="CZ18" i="30"/>
  <c r="DA18" i="30"/>
  <c r="DB18" i="30"/>
  <c r="DC18" i="30"/>
  <c r="DD18" i="30"/>
  <c r="DE18" i="30"/>
  <c r="DF18" i="30"/>
  <c r="DG18" i="30"/>
  <c r="DH18" i="30"/>
  <c r="DI18" i="30"/>
  <c r="DJ18" i="30"/>
  <c r="DK18" i="30"/>
  <c r="DL18" i="30"/>
  <c r="DM18" i="30"/>
  <c r="DN18" i="30"/>
  <c r="DO18" i="30"/>
  <c r="DP18" i="30"/>
  <c r="DQ18" i="30"/>
  <c r="DR18" i="30"/>
  <c r="DS18" i="30"/>
  <c r="DT18" i="30"/>
  <c r="DU18" i="30"/>
  <c r="DV18" i="30"/>
  <c r="DW18" i="30"/>
  <c r="DX18" i="30"/>
  <c r="DY18" i="30"/>
  <c r="DZ18" i="30"/>
  <c r="EA18" i="30"/>
  <c r="EB18" i="30"/>
  <c r="EC18" i="30"/>
  <c r="ED18" i="30"/>
  <c r="EE18" i="30"/>
  <c r="EF18" i="30"/>
  <c r="EG18" i="30"/>
  <c r="AI21" i="30"/>
  <c r="AJ21" i="30"/>
  <c r="AK21" i="30"/>
  <c r="AL21" i="30"/>
  <c r="AM21" i="30"/>
  <c r="AN21" i="30"/>
  <c r="AO21" i="30"/>
  <c r="AP21" i="30"/>
  <c r="AQ21" i="30"/>
  <c r="AR21" i="30"/>
  <c r="AS21" i="30"/>
  <c r="AT21" i="30"/>
  <c r="AU21" i="30"/>
  <c r="AV21" i="30"/>
  <c r="AW21" i="30"/>
  <c r="AX21" i="30"/>
  <c r="AY21" i="30"/>
  <c r="AZ21" i="30"/>
  <c r="BA21" i="30"/>
  <c r="BB21" i="30"/>
  <c r="BC21" i="30"/>
  <c r="BD21" i="30"/>
  <c r="BE21" i="30"/>
  <c r="BF21" i="30"/>
  <c r="BG21" i="30"/>
  <c r="BH21" i="30"/>
  <c r="BI21" i="30"/>
  <c r="BJ21" i="30"/>
  <c r="BK21" i="30"/>
  <c r="BL21" i="30"/>
  <c r="BM21" i="30"/>
  <c r="BN21" i="30"/>
  <c r="BO21" i="30"/>
  <c r="BP21" i="30"/>
  <c r="BQ21" i="30"/>
  <c r="BR21" i="30"/>
  <c r="BS21" i="30"/>
  <c r="BT21" i="30"/>
  <c r="BU21" i="30"/>
  <c r="BV21" i="30"/>
  <c r="BW21" i="30"/>
  <c r="BX21" i="30"/>
  <c r="BY21" i="30"/>
  <c r="BZ21" i="30"/>
  <c r="CA21" i="30"/>
  <c r="CB21" i="30"/>
  <c r="CC21" i="30"/>
  <c r="CD21" i="30"/>
  <c r="CE21" i="30"/>
  <c r="CF21" i="30"/>
  <c r="CG21" i="30"/>
  <c r="CH21" i="30"/>
  <c r="CI21" i="30"/>
  <c r="CJ21" i="30"/>
  <c r="CK21" i="30"/>
  <c r="CL21" i="30"/>
  <c r="CM21" i="30"/>
  <c r="CN21" i="30"/>
  <c r="CO21" i="30"/>
  <c r="CP21" i="30"/>
  <c r="CQ21" i="30"/>
  <c r="CR21" i="30"/>
  <c r="CS21" i="30"/>
  <c r="CT21" i="30"/>
  <c r="CU21" i="30"/>
  <c r="CV21" i="30"/>
  <c r="CW21" i="30"/>
  <c r="CX21" i="30"/>
  <c r="CY21" i="30"/>
  <c r="CZ21" i="30"/>
  <c r="DA21" i="30"/>
  <c r="DB21" i="30"/>
  <c r="DC21" i="30"/>
  <c r="DD21" i="30"/>
  <c r="DE21" i="30"/>
  <c r="DF21" i="30"/>
  <c r="DG21" i="30"/>
  <c r="DH21" i="30"/>
  <c r="DI21" i="30"/>
  <c r="DJ21" i="30"/>
  <c r="DK21" i="30"/>
  <c r="DL21" i="30"/>
  <c r="DM21" i="30"/>
  <c r="DN21" i="30"/>
  <c r="DO21" i="30"/>
  <c r="DP21" i="30"/>
  <c r="DQ21" i="30"/>
  <c r="DR21" i="30"/>
  <c r="DS21" i="30"/>
  <c r="DT21" i="30"/>
  <c r="DU21" i="30"/>
  <c r="DV21" i="30"/>
  <c r="DW21" i="30"/>
  <c r="DX21" i="30"/>
  <c r="DY21" i="30"/>
  <c r="DZ21" i="30"/>
  <c r="EA21" i="30"/>
  <c r="EB21" i="30"/>
  <c r="EC21" i="30"/>
  <c r="ED21" i="30"/>
  <c r="EE21" i="30"/>
  <c r="EF21" i="30"/>
  <c r="EG21" i="30"/>
  <c r="AH22" i="30"/>
  <c r="AI23" i="30"/>
  <c r="AJ23" i="30"/>
  <c r="AK23" i="30"/>
  <c r="AL23" i="30"/>
  <c r="AM23" i="30"/>
  <c r="AN23" i="30"/>
  <c r="AO23" i="30"/>
  <c r="AP23" i="30"/>
  <c r="AQ23" i="30"/>
  <c r="AR23" i="30"/>
  <c r="AS23" i="30"/>
  <c r="AT23" i="30"/>
  <c r="AU23" i="30"/>
  <c r="AV23" i="30"/>
  <c r="AW23" i="30"/>
  <c r="AX23" i="30"/>
  <c r="AY23" i="30"/>
  <c r="AZ23" i="30"/>
  <c r="BA23" i="30"/>
  <c r="BB23" i="30"/>
  <c r="BC23" i="30"/>
  <c r="BD23" i="30"/>
  <c r="BE23" i="30"/>
  <c r="BF23" i="30"/>
  <c r="BG23" i="30"/>
  <c r="BH23" i="30"/>
  <c r="BI23" i="30"/>
  <c r="BJ23" i="30"/>
  <c r="BK23" i="30"/>
  <c r="BL23" i="30"/>
  <c r="BM23" i="30"/>
  <c r="BN23" i="30"/>
  <c r="BO23" i="30"/>
  <c r="BP23" i="30"/>
  <c r="BQ23" i="30"/>
  <c r="BR23" i="30"/>
  <c r="BS23" i="30"/>
  <c r="BT23" i="30"/>
  <c r="BU23" i="30"/>
  <c r="BV23" i="30"/>
  <c r="BW23" i="30"/>
  <c r="BX23" i="30"/>
  <c r="BY23" i="30"/>
  <c r="BZ23" i="30"/>
  <c r="CA23" i="30"/>
  <c r="CB23" i="30"/>
  <c r="CC23" i="30"/>
  <c r="CD23" i="30"/>
  <c r="CE23" i="30"/>
  <c r="CF23" i="30"/>
  <c r="CG23" i="30"/>
  <c r="CH23" i="30"/>
  <c r="CI23" i="30"/>
  <c r="CJ23" i="30"/>
  <c r="CK23" i="30"/>
  <c r="CL23" i="30"/>
  <c r="CM23" i="30"/>
  <c r="CN23" i="30"/>
  <c r="CO23" i="30"/>
  <c r="CP23" i="30"/>
  <c r="CQ23" i="30"/>
  <c r="CR23" i="30"/>
  <c r="CS23" i="30"/>
  <c r="CT23" i="30"/>
  <c r="CU23" i="30"/>
  <c r="CV23" i="30"/>
  <c r="CW23" i="30"/>
  <c r="CX23" i="30"/>
  <c r="CY23" i="30"/>
  <c r="CZ23" i="30"/>
  <c r="DA23" i="30"/>
  <c r="DB23" i="30"/>
  <c r="DC23" i="30"/>
  <c r="DD23" i="30"/>
  <c r="DE23" i="30"/>
  <c r="DF23" i="30"/>
  <c r="DG23" i="30"/>
  <c r="DH23" i="30"/>
  <c r="DI23" i="30"/>
  <c r="DJ23" i="30"/>
  <c r="DK23" i="30"/>
  <c r="DL23" i="30"/>
  <c r="DM23" i="30"/>
  <c r="DN23" i="30"/>
  <c r="DO23" i="30"/>
  <c r="DP23" i="30"/>
  <c r="DQ23" i="30"/>
  <c r="DR23" i="30"/>
  <c r="DS23" i="30"/>
  <c r="DT23" i="30"/>
  <c r="DU23" i="30"/>
  <c r="DV23" i="30"/>
  <c r="DW23" i="30"/>
  <c r="DX23" i="30"/>
  <c r="DY23" i="30"/>
  <c r="DZ23" i="30"/>
  <c r="EA23" i="30"/>
  <c r="EB23" i="30"/>
  <c r="EC23" i="30"/>
  <c r="ED23" i="30"/>
  <c r="EE23" i="30"/>
  <c r="EF23" i="30"/>
  <c r="EG23" i="30"/>
  <c r="AH24" i="30"/>
  <c r="AI24" i="30"/>
  <c r="AJ24" i="30"/>
  <c r="AK24" i="30"/>
  <c r="AL24" i="30"/>
  <c r="AM24" i="30"/>
  <c r="AN24" i="30"/>
  <c r="AO24" i="30"/>
  <c r="AP24" i="30"/>
  <c r="AQ24" i="30"/>
  <c r="AR24" i="30"/>
  <c r="AS24" i="30"/>
  <c r="AT24" i="30"/>
  <c r="AU24" i="30"/>
  <c r="AV24" i="30"/>
  <c r="AW24" i="30"/>
  <c r="AX24" i="30"/>
  <c r="AY24" i="30"/>
  <c r="AZ24" i="30"/>
  <c r="BA24" i="30"/>
  <c r="BB24" i="30"/>
  <c r="BC24" i="30"/>
  <c r="BD24" i="30"/>
  <c r="BE24" i="30"/>
  <c r="BF24" i="30"/>
  <c r="BG24" i="30"/>
  <c r="BH24" i="30"/>
  <c r="BI24" i="30"/>
  <c r="BJ24" i="30"/>
  <c r="BK24" i="30"/>
  <c r="BL24" i="30"/>
  <c r="BM24" i="30"/>
  <c r="BN24" i="30"/>
  <c r="BO24" i="30"/>
  <c r="BP24" i="30"/>
  <c r="BQ24" i="30"/>
  <c r="BR24" i="30"/>
  <c r="BS24" i="30"/>
  <c r="BT24" i="30"/>
  <c r="BU24" i="30"/>
  <c r="BV24" i="30"/>
  <c r="BW24" i="30"/>
  <c r="BX24" i="30"/>
  <c r="BY24" i="30"/>
  <c r="BZ24" i="30"/>
  <c r="CA24" i="30"/>
  <c r="CB24" i="30"/>
  <c r="CC24" i="30"/>
  <c r="CD24" i="30"/>
  <c r="CE24" i="30"/>
  <c r="CF24" i="30"/>
  <c r="CG24" i="30"/>
  <c r="CH24" i="30"/>
  <c r="CI24" i="30"/>
  <c r="CJ24" i="30"/>
  <c r="CK24" i="30"/>
  <c r="CL24" i="30"/>
  <c r="CM24" i="30"/>
  <c r="CN24" i="30"/>
  <c r="CO24" i="30"/>
  <c r="CP24" i="30"/>
  <c r="CQ24" i="30"/>
  <c r="CR24" i="30"/>
  <c r="CS24" i="30"/>
  <c r="CT24" i="30"/>
  <c r="CU24" i="30"/>
  <c r="CV24" i="30"/>
  <c r="CW24" i="30"/>
  <c r="CX24" i="30"/>
  <c r="CY24" i="30"/>
  <c r="CZ24" i="30"/>
  <c r="DA24" i="30"/>
  <c r="DB24" i="30"/>
  <c r="DC24" i="30"/>
  <c r="DD24" i="30"/>
  <c r="DE24" i="30"/>
  <c r="DF24" i="30"/>
  <c r="DG24" i="30"/>
  <c r="DH24" i="30"/>
  <c r="DI24" i="30"/>
  <c r="DJ24" i="30"/>
  <c r="DK24" i="30"/>
  <c r="DL24" i="30"/>
  <c r="DM24" i="30"/>
  <c r="DN24" i="30"/>
  <c r="DO24" i="30"/>
  <c r="DP24" i="30"/>
  <c r="DQ24" i="30"/>
  <c r="DR24" i="30"/>
  <c r="DS24" i="30"/>
  <c r="DT24" i="30"/>
  <c r="DU24" i="30"/>
  <c r="DV24" i="30"/>
  <c r="DW24" i="30"/>
  <c r="DX24" i="30"/>
  <c r="DY24" i="30"/>
  <c r="DZ24" i="30"/>
  <c r="EA24" i="30"/>
  <c r="EB24" i="30"/>
  <c r="EC24" i="30"/>
  <c r="ED24" i="30"/>
  <c r="EE24" i="30"/>
  <c r="EF24" i="30"/>
  <c r="EG24" i="30"/>
  <c r="F27" i="30"/>
  <c r="G27" i="30"/>
  <c r="H27" i="30"/>
  <c r="I27" i="30"/>
  <c r="J27" i="30"/>
  <c r="K27" i="30"/>
  <c r="L27" i="30"/>
  <c r="M27" i="30"/>
  <c r="N27" i="30"/>
  <c r="O27" i="30"/>
  <c r="P27" i="30"/>
  <c r="Q27" i="30"/>
  <c r="R27" i="30"/>
  <c r="S27" i="30"/>
  <c r="T27" i="30"/>
  <c r="U27" i="30"/>
  <c r="V27" i="30"/>
  <c r="W27" i="30"/>
  <c r="X27" i="30"/>
  <c r="Y27" i="30"/>
  <c r="Z27" i="30"/>
  <c r="AA27" i="30"/>
  <c r="AB27" i="30"/>
  <c r="AC27" i="30"/>
  <c r="AD27" i="30"/>
  <c r="AE27" i="30"/>
  <c r="AF27" i="30"/>
  <c r="AG27" i="30"/>
  <c r="AH27" i="30"/>
  <c r="AI27" i="30"/>
  <c r="AJ27" i="30"/>
  <c r="AK27" i="30"/>
  <c r="AL27" i="30"/>
  <c r="AM27" i="30"/>
  <c r="AN27" i="30"/>
  <c r="AO27" i="30"/>
  <c r="AP27" i="30"/>
  <c r="AQ27" i="30"/>
  <c r="AR27" i="30"/>
  <c r="AS27" i="30"/>
  <c r="AT27" i="30"/>
  <c r="AU27" i="30"/>
  <c r="AV27" i="30"/>
  <c r="AW27" i="30"/>
  <c r="AX27" i="30"/>
  <c r="AY27" i="30"/>
  <c r="AZ27" i="30"/>
  <c r="BA27" i="30"/>
  <c r="BB27" i="30"/>
  <c r="BC27" i="30"/>
  <c r="BD27" i="30"/>
  <c r="BE27" i="30"/>
  <c r="BF27" i="30"/>
  <c r="BG27" i="30"/>
  <c r="BH27" i="30"/>
  <c r="BI27" i="30"/>
  <c r="BJ27" i="30"/>
  <c r="BK27" i="30"/>
  <c r="BL27" i="30"/>
  <c r="BM27" i="30"/>
  <c r="BN27" i="30"/>
  <c r="BO27" i="30"/>
  <c r="BP27" i="30"/>
  <c r="BQ27" i="30"/>
  <c r="BR27" i="30"/>
  <c r="BS27" i="30"/>
  <c r="BT27" i="30"/>
  <c r="BU27" i="30"/>
  <c r="BV27" i="30"/>
  <c r="BW27" i="30"/>
  <c r="BX27" i="30"/>
  <c r="BY27" i="30"/>
  <c r="BZ27" i="30"/>
  <c r="CA27" i="30"/>
  <c r="CB27" i="30"/>
  <c r="CC27" i="30"/>
  <c r="CD27" i="30"/>
  <c r="CE27" i="30"/>
  <c r="CF27" i="30"/>
  <c r="CG27" i="30"/>
  <c r="CH27" i="30"/>
  <c r="CI27" i="30"/>
  <c r="CJ27" i="30"/>
  <c r="CK27" i="30"/>
  <c r="CL27" i="30"/>
  <c r="CM27" i="30"/>
  <c r="CN27" i="30"/>
  <c r="CO27" i="30"/>
  <c r="CP27" i="30"/>
  <c r="CQ27" i="30"/>
  <c r="CR27" i="30"/>
  <c r="CS27" i="30"/>
  <c r="CT27" i="30"/>
  <c r="CU27" i="30"/>
  <c r="CV27" i="30"/>
  <c r="CW27" i="30"/>
  <c r="CX27" i="30"/>
  <c r="CY27" i="30"/>
  <c r="CZ27" i="30"/>
  <c r="DA27" i="30"/>
  <c r="DB27" i="30"/>
  <c r="DC27" i="30"/>
  <c r="DD27" i="30"/>
  <c r="DE27" i="30"/>
  <c r="DF27" i="30"/>
  <c r="DG27" i="30"/>
  <c r="DH27" i="30"/>
  <c r="DI27" i="30"/>
  <c r="DJ27" i="30"/>
  <c r="DK27" i="30"/>
  <c r="DL27" i="30"/>
  <c r="DM27" i="30"/>
  <c r="DN27" i="30"/>
  <c r="DO27" i="30"/>
  <c r="DP27" i="30"/>
  <c r="DQ27" i="30"/>
  <c r="DR27" i="30"/>
  <c r="DS27" i="30"/>
  <c r="DT27" i="30"/>
  <c r="DU27" i="30"/>
  <c r="DV27" i="30"/>
  <c r="DW27" i="30"/>
  <c r="DX27" i="30"/>
  <c r="DY27" i="30"/>
  <c r="DZ27" i="30"/>
  <c r="EA27" i="30"/>
  <c r="EB27" i="30"/>
  <c r="EC27" i="30"/>
  <c r="ED27" i="30"/>
  <c r="EE27" i="30"/>
  <c r="EF27" i="30"/>
  <c r="EG27" i="30"/>
  <c r="E28" i="30"/>
  <c r="F28" i="30"/>
  <c r="G28" i="30"/>
  <c r="H28" i="30"/>
  <c r="I28" i="30"/>
  <c r="J28" i="30"/>
  <c r="K28" i="30"/>
  <c r="L28" i="30"/>
  <c r="M28" i="30"/>
  <c r="N28" i="30"/>
  <c r="O28" i="30"/>
  <c r="P28" i="30"/>
  <c r="Q28" i="30"/>
  <c r="R28" i="30"/>
  <c r="S28" i="30"/>
  <c r="T28" i="30"/>
  <c r="U28" i="30"/>
  <c r="V28" i="30"/>
  <c r="W28" i="30"/>
  <c r="X28" i="30"/>
  <c r="Y28" i="30"/>
  <c r="Z28" i="30"/>
  <c r="AA28" i="30"/>
  <c r="AB28" i="30"/>
  <c r="AC28" i="30"/>
  <c r="AD28" i="30"/>
  <c r="AE28" i="30"/>
  <c r="AF28" i="30"/>
  <c r="AG28" i="30"/>
  <c r="AH28" i="30"/>
  <c r="AI28" i="30"/>
  <c r="AJ28" i="30"/>
  <c r="AK28" i="30"/>
  <c r="AL28" i="30"/>
  <c r="AM28" i="30"/>
  <c r="AN28" i="30"/>
  <c r="AO28" i="30"/>
  <c r="AP28" i="30"/>
  <c r="AQ28" i="30"/>
  <c r="AR28" i="30"/>
  <c r="AS28" i="30"/>
  <c r="AT28" i="30"/>
  <c r="AU28" i="30"/>
  <c r="AV28" i="30"/>
  <c r="AW28" i="30"/>
  <c r="AX28" i="30"/>
  <c r="AY28" i="30"/>
  <c r="AZ28" i="30"/>
  <c r="BA28" i="30"/>
  <c r="BB28" i="30"/>
  <c r="BC28" i="30"/>
  <c r="BD28" i="30"/>
  <c r="BE28" i="30"/>
  <c r="BF28" i="30"/>
  <c r="BG28" i="30"/>
  <c r="BH28" i="30"/>
  <c r="BI28" i="30"/>
  <c r="BJ28" i="30"/>
  <c r="BK28" i="30"/>
  <c r="BL28" i="30"/>
  <c r="BM28" i="30"/>
  <c r="BN28" i="30"/>
  <c r="BO28" i="30"/>
  <c r="BP28" i="30"/>
  <c r="BQ28" i="30"/>
  <c r="BR28" i="30"/>
  <c r="BS28" i="30"/>
  <c r="BT28" i="30"/>
  <c r="BU28" i="30"/>
  <c r="BV28" i="30"/>
  <c r="BW28" i="30"/>
  <c r="BX28" i="30"/>
  <c r="BY28" i="30"/>
  <c r="BZ28" i="30"/>
  <c r="CA28" i="30"/>
  <c r="CB28" i="30"/>
  <c r="CC28" i="30"/>
  <c r="CD28" i="30"/>
  <c r="CE28" i="30"/>
  <c r="CF28" i="30"/>
  <c r="CG28" i="30"/>
  <c r="CH28" i="30"/>
  <c r="CI28" i="30"/>
  <c r="CJ28" i="30"/>
  <c r="CK28" i="30"/>
  <c r="CL28" i="30"/>
  <c r="CM28" i="30"/>
  <c r="CN28" i="30"/>
  <c r="CO28" i="30"/>
  <c r="CP28" i="30"/>
  <c r="CQ28" i="30"/>
  <c r="CR28" i="30"/>
  <c r="CS28" i="30"/>
  <c r="CT28" i="30"/>
  <c r="CU28" i="30"/>
  <c r="CV28" i="30"/>
  <c r="CW28" i="30"/>
  <c r="CX28" i="30"/>
  <c r="CY28" i="30"/>
  <c r="CZ28" i="30"/>
  <c r="DA28" i="30"/>
  <c r="DB28" i="30"/>
  <c r="DC28" i="30"/>
  <c r="DD28" i="30"/>
  <c r="DE28" i="30"/>
  <c r="DF28" i="30"/>
  <c r="DG28" i="30"/>
  <c r="DH28" i="30"/>
  <c r="DI28" i="30"/>
  <c r="DJ28" i="30"/>
  <c r="DK28" i="30"/>
  <c r="DL28" i="30"/>
  <c r="DM28" i="30"/>
  <c r="DN28" i="30"/>
  <c r="DO28" i="30"/>
  <c r="DP28" i="30"/>
  <c r="DQ28" i="30"/>
  <c r="DR28" i="30"/>
  <c r="DS28" i="30"/>
  <c r="DT28" i="30"/>
  <c r="DU28" i="30"/>
  <c r="DV28" i="30"/>
  <c r="DW28" i="30"/>
  <c r="DX28" i="30"/>
  <c r="DY28" i="30"/>
  <c r="DZ28" i="30"/>
  <c r="EA28" i="30"/>
  <c r="EB28" i="30"/>
  <c r="EC28" i="30"/>
  <c r="ED28" i="30"/>
  <c r="EE28" i="30"/>
  <c r="EF28" i="30"/>
  <c r="EG28" i="30"/>
  <c r="E29" i="30"/>
  <c r="F29" i="30"/>
  <c r="G29" i="30"/>
  <c r="H29" i="30"/>
  <c r="I29" i="30"/>
  <c r="J29" i="30"/>
  <c r="K29" i="30"/>
  <c r="L29" i="30"/>
  <c r="M29" i="30"/>
  <c r="N29" i="30"/>
  <c r="O29" i="30"/>
  <c r="P29" i="30"/>
  <c r="Q29" i="30"/>
  <c r="R29" i="30"/>
  <c r="S29" i="30"/>
  <c r="T29" i="30"/>
  <c r="U29" i="30"/>
  <c r="V29" i="30"/>
  <c r="W29" i="30"/>
  <c r="X29" i="30"/>
  <c r="Y29" i="30"/>
  <c r="Z29" i="30"/>
  <c r="AA29" i="30"/>
  <c r="AB29" i="30"/>
  <c r="AC29" i="30"/>
  <c r="AD29" i="30"/>
  <c r="AE29" i="30"/>
  <c r="AF29" i="30"/>
  <c r="AG29" i="30"/>
  <c r="AH29" i="30"/>
  <c r="AI29" i="30"/>
  <c r="AJ29" i="30"/>
  <c r="AK29" i="30"/>
  <c r="AL29" i="30"/>
  <c r="AM29" i="30"/>
  <c r="AN29" i="30"/>
  <c r="AO29" i="30"/>
  <c r="AP29" i="30"/>
  <c r="AQ29" i="30"/>
  <c r="AR29" i="30"/>
  <c r="AS29" i="30"/>
  <c r="AT29" i="30"/>
  <c r="AU29" i="30"/>
  <c r="AV29" i="30"/>
  <c r="AW29" i="30"/>
  <c r="AX29" i="30"/>
  <c r="AY29" i="30"/>
  <c r="AZ29" i="30"/>
  <c r="BA29" i="30"/>
  <c r="BB29" i="30"/>
  <c r="BC29" i="30"/>
  <c r="BD29" i="30"/>
  <c r="BE29" i="30"/>
  <c r="BF29" i="30"/>
  <c r="BG29" i="30"/>
  <c r="BH29" i="30"/>
  <c r="BI29" i="30"/>
  <c r="BJ29" i="30"/>
  <c r="BK29" i="30"/>
  <c r="BL29" i="30"/>
  <c r="BM29" i="30"/>
  <c r="BN29" i="30"/>
  <c r="BO29" i="30"/>
  <c r="BP29" i="30"/>
  <c r="BQ29" i="30"/>
  <c r="BR29" i="30"/>
  <c r="BS29" i="30"/>
  <c r="BT29" i="30"/>
  <c r="BU29" i="30"/>
  <c r="BV29" i="30"/>
  <c r="BW29" i="30"/>
  <c r="BX29" i="30"/>
  <c r="BY29" i="30"/>
  <c r="BZ29" i="30"/>
  <c r="CA29" i="30"/>
  <c r="CB29" i="30"/>
  <c r="CC29" i="30"/>
  <c r="CD29" i="30"/>
  <c r="CE29" i="30"/>
  <c r="CF29" i="30"/>
  <c r="CG29" i="30"/>
  <c r="CH29" i="30"/>
  <c r="CI29" i="30"/>
  <c r="CJ29" i="30"/>
  <c r="CK29" i="30"/>
  <c r="CL29" i="30"/>
  <c r="CM29" i="30"/>
  <c r="CN29" i="30"/>
  <c r="CO29" i="30"/>
  <c r="CP29" i="30"/>
  <c r="CQ29" i="30"/>
  <c r="CR29" i="30"/>
  <c r="CS29" i="30"/>
  <c r="CT29" i="30"/>
  <c r="CU29" i="30"/>
  <c r="CV29" i="30"/>
  <c r="CW29" i="30"/>
  <c r="CX29" i="30"/>
  <c r="CY29" i="30"/>
  <c r="CZ29" i="30"/>
  <c r="DA29" i="30"/>
  <c r="DB29" i="30"/>
  <c r="DC29" i="30"/>
  <c r="DD29" i="30"/>
  <c r="DE29" i="30"/>
  <c r="DF29" i="30"/>
  <c r="DG29" i="30"/>
  <c r="DH29" i="30"/>
  <c r="DI29" i="30"/>
  <c r="DJ29" i="30"/>
  <c r="DK29" i="30"/>
  <c r="DL29" i="30"/>
  <c r="DM29" i="30"/>
  <c r="DN29" i="30"/>
  <c r="DO29" i="30"/>
  <c r="DP29" i="30"/>
  <c r="DQ29" i="30"/>
  <c r="DR29" i="30"/>
  <c r="DS29" i="30"/>
  <c r="DT29" i="30"/>
  <c r="DU29" i="30"/>
  <c r="DV29" i="30"/>
  <c r="DW29" i="30"/>
  <c r="DX29" i="30"/>
  <c r="DY29" i="30"/>
  <c r="DZ29" i="30"/>
  <c r="EA29" i="30"/>
  <c r="EB29" i="30"/>
  <c r="EC29" i="30"/>
  <c r="ED29" i="30"/>
  <c r="EE29" i="30"/>
  <c r="EF29" i="30"/>
  <c r="EG29" i="30"/>
  <c r="G32" i="30"/>
  <c r="H32" i="30"/>
  <c r="I32" i="30"/>
  <c r="J32" i="30"/>
  <c r="K32" i="30"/>
  <c r="L32" i="30"/>
  <c r="M32" i="30"/>
  <c r="N32" i="30"/>
  <c r="O32" i="30"/>
  <c r="P32" i="30"/>
  <c r="Q32" i="30"/>
  <c r="R32" i="30"/>
  <c r="S32" i="30"/>
  <c r="T32" i="30"/>
  <c r="U32" i="30"/>
  <c r="V32" i="30"/>
  <c r="W32" i="30"/>
  <c r="X32" i="30"/>
  <c r="Y32" i="30"/>
  <c r="Z32" i="30"/>
  <c r="AA32" i="30"/>
  <c r="AB32" i="30"/>
  <c r="AC32" i="30"/>
  <c r="AD32" i="30"/>
  <c r="AE32" i="30"/>
  <c r="AF32" i="30"/>
  <c r="AG32" i="30"/>
  <c r="AH32" i="30"/>
  <c r="AI32" i="30"/>
  <c r="AJ32" i="30"/>
  <c r="AK32" i="30"/>
  <c r="AL32" i="30"/>
  <c r="AM32" i="30"/>
  <c r="AN32" i="30"/>
  <c r="AO32" i="30"/>
  <c r="AP32" i="30"/>
  <c r="AQ32" i="30"/>
  <c r="AR32" i="30"/>
  <c r="AS32" i="30"/>
  <c r="AT32" i="30"/>
  <c r="AU32" i="30"/>
  <c r="AV32" i="30"/>
  <c r="AW32" i="30"/>
  <c r="AX32" i="30"/>
  <c r="AY32" i="30"/>
  <c r="AZ32" i="30"/>
  <c r="BA32" i="30"/>
  <c r="BB32" i="30"/>
  <c r="BC32" i="30"/>
  <c r="BD32" i="30"/>
  <c r="BE32" i="30"/>
  <c r="BF32" i="30"/>
  <c r="BG32" i="30"/>
  <c r="BH32" i="30"/>
  <c r="BI32" i="30"/>
  <c r="BJ32" i="30"/>
  <c r="BK32" i="30"/>
  <c r="BL32" i="30"/>
  <c r="BM32" i="30"/>
  <c r="BN32" i="30"/>
  <c r="BO32" i="30"/>
  <c r="BP32" i="30"/>
  <c r="BQ32" i="30"/>
  <c r="BR32" i="30"/>
  <c r="BS32" i="30"/>
  <c r="BT32" i="30"/>
  <c r="BU32" i="30"/>
  <c r="BV32" i="30"/>
  <c r="BW32" i="30"/>
  <c r="BX32" i="30"/>
  <c r="BY32" i="30"/>
  <c r="BZ32" i="30"/>
  <c r="CA32" i="30"/>
  <c r="CB32" i="30"/>
  <c r="CC32" i="30"/>
  <c r="CD32" i="30"/>
  <c r="CE32" i="30"/>
  <c r="CF32" i="30"/>
  <c r="CG32" i="30"/>
  <c r="CH32" i="30"/>
  <c r="CI32" i="30"/>
  <c r="CJ32" i="30"/>
  <c r="CK32" i="30"/>
  <c r="CL32" i="30"/>
  <c r="CM32" i="30"/>
  <c r="CN32" i="30"/>
  <c r="CO32" i="30"/>
  <c r="CP32" i="30"/>
  <c r="CQ32" i="30"/>
  <c r="CR32" i="30"/>
  <c r="CS32" i="30"/>
  <c r="CT32" i="30"/>
  <c r="CU32" i="30"/>
  <c r="CV32" i="30"/>
  <c r="CW32" i="30"/>
  <c r="CX32" i="30"/>
  <c r="CY32" i="30"/>
  <c r="CZ32" i="30"/>
  <c r="DA32" i="30"/>
  <c r="DB32" i="30"/>
  <c r="DC32" i="30"/>
  <c r="DD32" i="30"/>
  <c r="DE32" i="30"/>
  <c r="DF32" i="30"/>
  <c r="DG32" i="30"/>
  <c r="DH32" i="30"/>
  <c r="DI32" i="30"/>
  <c r="DJ32" i="30"/>
  <c r="DK32" i="30"/>
  <c r="DL32" i="30"/>
  <c r="DM32" i="30"/>
  <c r="DN32" i="30"/>
  <c r="DO32" i="30"/>
  <c r="DP32" i="30"/>
  <c r="DQ32" i="30"/>
  <c r="DR32" i="30"/>
  <c r="DS32" i="30"/>
  <c r="DT32" i="30"/>
  <c r="DU32" i="30"/>
  <c r="DV32" i="30"/>
  <c r="DW32" i="30"/>
  <c r="DX32" i="30"/>
  <c r="DY32" i="30"/>
  <c r="DZ32" i="30"/>
  <c r="EA32" i="30"/>
  <c r="EB32" i="30"/>
  <c r="EC32" i="30"/>
  <c r="ED32" i="30"/>
  <c r="EE32" i="30"/>
  <c r="EF32" i="30"/>
  <c r="EG32" i="30"/>
  <c r="F34" i="30"/>
  <c r="G34" i="30"/>
  <c r="H34" i="30"/>
  <c r="I34" i="30"/>
  <c r="J34" i="30"/>
  <c r="K34" i="30"/>
  <c r="L34" i="30"/>
  <c r="M34" i="30"/>
  <c r="N34" i="30"/>
  <c r="O34" i="30"/>
  <c r="P34" i="30"/>
  <c r="Q34" i="30"/>
  <c r="R34" i="30"/>
  <c r="S34" i="30"/>
  <c r="T34" i="30"/>
  <c r="U34" i="30"/>
  <c r="V34" i="30"/>
  <c r="W34" i="30"/>
  <c r="X34" i="30"/>
  <c r="Y34" i="30"/>
  <c r="Z34" i="30"/>
  <c r="AA34" i="30"/>
  <c r="AB34" i="30"/>
  <c r="AC34" i="30"/>
  <c r="AD34" i="30"/>
  <c r="AE34" i="30"/>
  <c r="AF34" i="30"/>
  <c r="AG34" i="30"/>
  <c r="AH34" i="30"/>
  <c r="AI34" i="30"/>
  <c r="AJ34" i="30"/>
  <c r="AK34" i="30"/>
  <c r="AL34" i="30"/>
  <c r="AM34" i="30"/>
  <c r="AN34" i="30"/>
  <c r="AO34" i="30"/>
  <c r="AP34" i="30"/>
  <c r="AQ34" i="30"/>
  <c r="AR34" i="30"/>
  <c r="AS34" i="30"/>
  <c r="AT34" i="30"/>
  <c r="AU34" i="30"/>
  <c r="AV34" i="30"/>
  <c r="AW34" i="30"/>
  <c r="AX34" i="30"/>
  <c r="AY34" i="30"/>
  <c r="AZ34" i="30"/>
  <c r="BA34" i="30"/>
  <c r="BB34" i="30"/>
  <c r="BC34" i="30"/>
  <c r="BD34" i="30"/>
  <c r="BE34" i="30"/>
  <c r="BF34" i="30"/>
  <c r="BG34" i="30"/>
  <c r="BH34" i="30"/>
  <c r="BI34" i="30"/>
  <c r="BJ34" i="30"/>
  <c r="BK34" i="30"/>
  <c r="BL34" i="30"/>
  <c r="BM34" i="30"/>
  <c r="BN34" i="30"/>
  <c r="BO34" i="30"/>
  <c r="BP34" i="30"/>
  <c r="BQ34" i="30"/>
  <c r="BR34" i="30"/>
  <c r="BS34" i="30"/>
  <c r="BT34" i="30"/>
  <c r="BU34" i="30"/>
  <c r="BV34" i="30"/>
  <c r="BW34" i="30"/>
  <c r="BX34" i="30"/>
  <c r="BY34" i="30"/>
  <c r="BZ34" i="30"/>
  <c r="CA34" i="30"/>
  <c r="CB34" i="30"/>
  <c r="CC34" i="30"/>
  <c r="CD34" i="30"/>
  <c r="CE34" i="30"/>
  <c r="CF34" i="30"/>
  <c r="CG34" i="30"/>
  <c r="CH34" i="30"/>
  <c r="CI34" i="30"/>
  <c r="CJ34" i="30"/>
  <c r="CK34" i="30"/>
  <c r="CL34" i="30"/>
  <c r="CM34" i="30"/>
  <c r="CN34" i="30"/>
  <c r="CO34" i="30"/>
  <c r="CP34" i="30"/>
  <c r="CQ34" i="30"/>
  <c r="CR34" i="30"/>
  <c r="CS34" i="30"/>
  <c r="CT34" i="30"/>
  <c r="CU34" i="30"/>
  <c r="CV34" i="30"/>
  <c r="CW34" i="30"/>
  <c r="CX34" i="30"/>
  <c r="CY34" i="30"/>
  <c r="CZ34" i="30"/>
  <c r="DA34" i="30"/>
  <c r="DB34" i="30"/>
  <c r="DC34" i="30"/>
  <c r="DD34" i="30"/>
  <c r="DE34" i="30"/>
  <c r="DF34" i="30"/>
  <c r="DG34" i="30"/>
  <c r="DH34" i="30"/>
  <c r="DI34" i="30"/>
  <c r="DJ34" i="30"/>
  <c r="DK34" i="30"/>
  <c r="DL34" i="30"/>
  <c r="DM34" i="30"/>
  <c r="DN34" i="30"/>
  <c r="DO34" i="30"/>
  <c r="DP34" i="30"/>
  <c r="DQ34" i="30"/>
  <c r="DR34" i="30"/>
  <c r="DS34" i="30"/>
  <c r="DT34" i="30"/>
  <c r="DU34" i="30"/>
  <c r="DV34" i="30"/>
  <c r="DW34" i="30"/>
  <c r="DX34" i="30"/>
  <c r="DY34" i="30"/>
  <c r="DZ34" i="30"/>
  <c r="EA34" i="30"/>
  <c r="EB34" i="30"/>
  <c r="EC34" i="30"/>
  <c r="ED34" i="30"/>
  <c r="EE34" i="30"/>
  <c r="EF34" i="30"/>
  <c r="EG34" i="30"/>
  <c r="F35" i="30"/>
  <c r="G35" i="30"/>
  <c r="H35" i="30"/>
  <c r="I35" i="30"/>
  <c r="J35" i="30"/>
  <c r="K35" i="30"/>
  <c r="L35" i="30"/>
  <c r="M35" i="30"/>
  <c r="N35" i="30"/>
  <c r="O35" i="30"/>
  <c r="P35" i="30"/>
  <c r="Q35" i="30"/>
  <c r="R35" i="30"/>
  <c r="S35" i="30"/>
  <c r="T35" i="30"/>
  <c r="U35" i="30"/>
  <c r="V35" i="30"/>
  <c r="W35" i="30"/>
  <c r="X35" i="30"/>
  <c r="Y35" i="30"/>
  <c r="Z35" i="30"/>
  <c r="AA35" i="30"/>
  <c r="AB35" i="30"/>
  <c r="AC35" i="30"/>
  <c r="AD35" i="30"/>
  <c r="AE35" i="30"/>
  <c r="AF35" i="30"/>
  <c r="AG35" i="30"/>
  <c r="AH35" i="30"/>
  <c r="AI35" i="30"/>
  <c r="AJ35" i="30"/>
  <c r="AK35" i="30"/>
  <c r="AL35" i="30"/>
  <c r="AM35" i="30"/>
  <c r="AN35" i="30"/>
  <c r="AO35" i="30"/>
  <c r="AP35" i="30"/>
  <c r="AQ35" i="30"/>
  <c r="AR35" i="30"/>
  <c r="AS35" i="30"/>
  <c r="AT35" i="30"/>
  <c r="AU35" i="30"/>
  <c r="AV35" i="30"/>
  <c r="AW35" i="30"/>
  <c r="AX35" i="30"/>
  <c r="AY35" i="30"/>
  <c r="AZ35" i="30"/>
  <c r="BA35" i="30"/>
  <c r="BB35" i="30"/>
  <c r="BC35" i="30"/>
  <c r="BD35" i="30"/>
  <c r="BE35" i="30"/>
  <c r="BF35" i="30"/>
  <c r="BG35" i="30"/>
  <c r="BH35" i="30"/>
  <c r="BI35" i="30"/>
  <c r="BJ35" i="30"/>
  <c r="BK35" i="30"/>
  <c r="BL35" i="30"/>
  <c r="BM35" i="30"/>
  <c r="BN35" i="30"/>
  <c r="BO35" i="30"/>
  <c r="BP35" i="30"/>
  <c r="BQ35" i="30"/>
  <c r="BR35" i="30"/>
  <c r="BS35" i="30"/>
  <c r="BT35" i="30"/>
  <c r="BU35" i="30"/>
  <c r="BV35" i="30"/>
  <c r="BW35" i="30"/>
  <c r="BX35" i="30"/>
  <c r="BY35" i="30"/>
  <c r="BZ35" i="30"/>
  <c r="CA35" i="30"/>
  <c r="CB35" i="30"/>
  <c r="CC35" i="30"/>
  <c r="CD35" i="30"/>
  <c r="CE35" i="30"/>
  <c r="CF35" i="30"/>
  <c r="CG35" i="30"/>
  <c r="CH35" i="30"/>
  <c r="CI35" i="30"/>
  <c r="CJ35" i="30"/>
  <c r="CK35" i="30"/>
  <c r="CL35" i="30"/>
  <c r="CM35" i="30"/>
  <c r="CN35" i="30"/>
  <c r="CO35" i="30"/>
  <c r="CP35" i="30"/>
  <c r="CQ35" i="30"/>
  <c r="CR35" i="30"/>
  <c r="CS35" i="30"/>
  <c r="CT35" i="30"/>
  <c r="CU35" i="30"/>
  <c r="CV35" i="30"/>
  <c r="CW35" i="30"/>
  <c r="CX35" i="30"/>
  <c r="CY35" i="30"/>
  <c r="CZ35" i="30"/>
  <c r="DA35" i="30"/>
  <c r="DB35" i="30"/>
  <c r="DC35" i="30"/>
  <c r="DD35" i="30"/>
  <c r="DE35" i="30"/>
  <c r="DF35" i="30"/>
  <c r="DG35" i="30"/>
  <c r="DH35" i="30"/>
  <c r="DI35" i="30"/>
  <c r="DJ35" i="30"/>
  <c r="DK35" i="30"/>
  <c r="DL35" i="30"/>
  <c r="DM35" i="30"/>
  <c r="DN35" i="30"/>
  <c r="DO35" i="30"/>
  <c r="DP35" i="30"/>
  <c r="DQ35" i="30"/>
  <c r="DR35" i="30"/>
  <c r="DS35" i="30"/>
  <c r="DT35" i="30"/>
  <c r="DU35" i="30"/>
  <c r="DV35" i="30"/>
  <c r="DW35" i="30"/>
  <c r="DX35" i="30"/>
  <c r="DY35" i="30"/>
  <c r="DZ35" i="30"/>
  <c r="EA35" i="30"/>
  <c r="EB35" i="30"/>
  <c r="EC35" i="30"/>
  <c r="ED35" i="30"/>
  <c r="EE35" i="30"/>
  <c r="EF35" i="30"/>
  <c r="EG35" i="30"/>
  <c r="AH36" i="30"/>
  <c r="AH37" i="30"/>
  <c r="F38" i="30"/>
  <c r="G38" i="30"/>
  <c r="H38" i="30"/>
  <c r="I38" i="30"/>
  <c r="J38" i="30"/>
  <c r="K38" i="30"/>
  <c r="L38" i="30"/>
  <c r="M38" i="30"/>
  <c r="N38" i="30"/>
  <c r="O38" i="30"/>
  <c r="P38" i="30"/>
  <c r="Q38" i="30"/>
  <c r="R38" i="30"/>
  <c r="S38" i="30"/>
  <c r="T38" i="30"/>
  <c r="U38" i="30"/>
  <c r="V38" i="30"/>
  <c r="W38" i="30"/>
  <c r="X38" i="30"/>
  <c r="Y38" i="30"/>
  <c r="Z38" i="30"/>
  <c r="AA38" i="30"/>
  <c r="AB38" i="30"/>
  <c r="AC38" i="30"/>
  <c r="AD38" i="30"/>
  <c r="AE38" i="30"/>
  <c r="AF38" i="30"/>
  <c r="AG38" i="30"/>
  <c r="AH38" i="30"/>
  <c r="AI38" i="30"/>
  <c r="AJ38" i="30"/>
  <c r="AK38" i="30"/>
  <c r="AL38" i="30"/>
  <c r="AM38" i="30"/>
  <c r="AN38" i="30"/>
  <c r="AO38" i="30"/>
  <c r="AP38" i="30"/>
  <c r="AQ38" i="30"/>
  <c r="AR38" i="30"/>
  <c r="AS38" i="30"/>
  <c r="AT38" i="30"/>
  <c r="AU38" i="30"/>
  <c r="AV38" i="30"/>
  <c r="AW38" i="30"/>
  <c r="AX38" i="30"/>
  <c r="AY38" i="30"/>
  <c r="AZ38" i="30"/>
  <c r="BA38" i="30"/>
  <c r="BB38" i="30"/>
  <c r="BC38" i="30"/>
  <c r="BD38" i="30"/>
  <c r="BE38" i="30"/>
  <c r="BF38" i="30"/>
  <c r="BG38" i="30"/>
  <c r="BH38" i="30"/>
  <c r="BI38" i="30"/>
  <c r="BJ38" i="30"/>
  <c r="BK38" i="30"/>
  <c r="BL38" i="30"/>
  <c r="BM38" i="30"/>
  <c r="BN38" i="30"/>
  <c r="BO38" i="30"/>
  <c r="BP38" i="30"/>
  <c r="BQ38" i="30"/>
  <c r="BR38" i="30"/>
  <c r="BS38" i="30"/>
  <c r="BT38" i="30"/>
  <c r="BU38" i="30"/>
  <c r="BV38" i="30"/>
  <c r="BW38" i="30"/>
  <c r="BX38" i="30"/>
  <c r="BY38" i="30"/>
  <c r="BZ38" i="30"/>
  <c r="CA38" i="30"/>
  <c r="CB38" i="30"/>
  <c r="CC38" i="30"/>
  <c r="CD38" i="30"/>
  <c r="CE38" i="30"/>
  <c r="CF38" i="30"/>
  <c r="CG38" i="30"/>
  <c r="CH38" i="30"/>
  <c r="CI38" i="30"/>
  <c r="CJ38" i="30"/>
  <c r="CK38" i="30"/>
  <c r="CL38" i="30"/>
  <c r="CM38" i="30"/>
  <c r="CN38" i="30"/>
  <c r="CO38" i="30"/>
  <c r="CP38" i="30"/>
  <c r="CQ38" i="30"/>
  <c r="CR38" i="30"/>
  <c r="CS38" i="30"/>
  <c r="CT38" i="30"/>
  <c r="CU38" i="30"/>
  <c r="CV38" i="30"/>
  <c r="CW38" i="30"/>
  <c r="CX38" i="30"/>
  <c r="CY38" i="30"/>
  <c r="CZ38" i="30"/>
  <c r="DA38" i="30"/>
  <c r="DB38" i="30"/>
  <c r="DC38" i="30"/>
  <c r="DD38" i="30"/>
  <c r="DE38" i="30"/>
  <c r="DF38" i="30"/>
  <c r="DG38" i="30"/>
  <c r="DH38" i="30"/>
  <c r="DI38" i="30"/>
  <c r="DJ38" i="30"/>
  <c r="DK38" i="30"/>
  <c r="DL38" i="30"/>
  <c r="DM38" i="30"/>
  <c r="DN38" i="30"/>
  <c r="DO38" i="30"/>
  <c r="DP38" i="30"/>
  <c r="DQ38" i="30"/>
  <c r="DR38" i="30"/>
  <c r="DS38" i="30"/>
  <c r="DT38" i="30"/>
  <c r="DU38" i="30"/>
  <c r="DV38" i="30"/>
  <c r="DW38" i="30"/>
  <c r="DX38" i="30"/>
  <c r="DY38" i="30"/>
  <c r="DZ38" i="30"/>
  <c r="EA38" i="30"/>
  <c r="EB38" i="30"/>
  <c r="EC38" i="30"/>
  <c r="ED38" i="30"/>
  <c r="EE38" i="30"/>
  <c r="EF38" i="30"/>
  <c r="EG38" i="30"/>
  <c r="F41" i="30"/>
  <c r="G41" i="30"/>
  <c r="H41" i="30"/>
  <c r="I41" i="30"/>
  <c r="J41" i="30"/>
  <c r="K41" i="30"/>
  <c r="L41" i="30"/>
  <c r="M41" i="30"/>
  <c r="N41" i="30"/>
  <c r="O41" i="30"/>
  <c r="P41" i="30"/>
  <c r="Q41" i="30"/>
  <c r="R41" i="30"/>
  <c r="S41" i="30"/>
  <c r="T41" i="30"/>
  <c r="U41" i="30"/>
  <c r="V41" i="30"/>
  <c r="W41" i="30"/>
  <c r="X41" i="30"/>
  <c r="Y41" i="30"/>
  <c r="Z41" i="30"/>
  <c r="AA41" i="30"/>
  <c r="AB41" i="30"/>
  <c r="AC41" i="30"/>
  <c r="AD41" i="30"/>
  <c r="AE41" i="30"/>
  <c r="AF41" i="30"/>
  <c r="AG41" i="30"/>
  <c r="AH41" i="30"/>
  <c r="AI41" i="30"/>
  <c r="AJ41" i="30"/>
  <c r="AK41" i="30"/>
  <c r="AL41" i="30"/>
  <c r="AM41" i="30"/>
  <c r="AN41" i="30"/>
  <c r="AO41" i="30"/>
  <c r="AP41" i="30"/>
  <c r="AQ41" i="30"/>
  <c r="AR41" i="30"/>
  <c r="AS41" i="30"/>
  <c r="AT41" i="30"/>
  <c r="AU41" i="30"/>
  <c r="AV41" i="30"/>
  <c r="AW41" i="30"/>
  <c r="AX41" i="30"/>
  <c r="AY41" i="30"/>
  <c r="AZ41" i="30"/>
  <c r="BA41" i="30"/>
  <c r="BB41" i="30"/>
  <c r="BC41" i="30"/>
  <c r="BD41" i="30"/>
  <c r="BE41" i="30"/>
  <c r="BF41" i="30"/>
  <c r="BG41" i="30"/>
  <c r="BH41" i="30"/>
  <c r="BI41" i="30"/>
  <c r="BJ41" i="30"/>
  <c r="BK41" i="30"/>
  <c r="BL41" i="30"/>
  <c r="BM41" i="30"/>
  <c r="BN41" i="30"/>
  <c r="BO41" i="30"/>
  <c r="BP41" i="30"/>
  <c r="BQ41" i="30"/>
  <c r="BR41" i="30"/>
  <c r="BS41" i="30"/>
  <c r="BT41" i="30"/>
  <c r="BU41" i="30"/>
  <c r="BV41" i="30"/>
  <c r="BW41" i="30"/>
  <c r="BX41" i="30"/>
  <c r="BY41" i="30"/>
  <c r="BZ41" i="30"/>
  <c r="CA41" i="30"/>
  <c r="CB41" i="30"/>
  <c r="CC41" i="30"/>
  <c r="CD41" i="30"/>
  <c r="CE41" i="30"/>
  <c r="CF41" i="30"/>
  <c r="CG41" i="30"/>
  <c r="CH41" i="30"/>
  <c r="CI41" i="30"/>
  <c r="CJ41" i="30"/>
  <c r="CK41" i="30"/>
  <c r="CL41" i="30"/>
  <c r="CM41" i="30"/>
  <c r="CN41" i="30"/>
  <c r="CO41" i="30"/>
  <c r="CP41" i="30"/>
  <c r="CQ41" i="30"/>
  <c r="CR41" i="30"/>
  <c r="CS41" i="30"/>
  <c r="CT41" i="30"/>
  <c r="CU41" i="30"/>
  <c r="CV41" i="30"/>
  <c r="CW41" i="30"/>
  <c r="CX41" i="30"/>
  <c r="CY41" i="30"/>
  <c r="CZ41" i="30"/>
  <c r="DA41" i="30"/>
  <c r="DB41" i="30"/>
  <c r="DC41" i="30"/>
  <c r="DD41" i="30"/>
  <c r="DE41" i="30"/>
  <c r="DF41" i="30"/>
  <c r="DG41" i="30"/>
  <c r="DH41" i="30"/>
  <c r="DI41" i="30"/>
  <c r="DJ41" i="30"/>
  <c r="DK41" i="30"/>
  <c r="DL41" i="30"/>
  <c r="DM41" i="30"/>
  <c r="DN41" i="30"/>
  <c r="DO41" i="30"/>
  <c r="DP41" i="30"/>
  <c r="DQ41" i="30"/>
  <c r="DR41" i="30"/>
  <c r="DS41" i="30"/>
  <c r="DT41" i="30"/>
  <c r="DU41" i="30"/>
  <c r="DV41" i="30"/>
  <c r="DW41" i="30"/>
  <c r="DX41" i="30"/>
  <c r="DY41" i="30"/>
  <c r="DZ41" i="30"/>
  <c r="EA41" i="30"/>
  <c r="EB41" i="30"/>
  <c r="EC41" i="30"/>
  <c r="ED41" i="30"/>
  <c r="EE41" i="30"/>
  <c r="EF41" i="30"/>
  <c r="EG41" i="30"/>
  <c r="E42" i="30"/>
  <c r="F42" i="30"/>
  <c r="G42" i="30"/>
  <c r="H42" i="30"/>
  <c r="I42" i="30"/>
  <c r="J42" i="30"/>
  <c r="K42" i="30"/>
  <c r="L42" i="30"/>
  <c r="M42" i="30"/>
  <c r="N42" i="30"/>
  <c r="O42" i="30"/>
  <c r="P42" i="30"/>
  <c r="Q42" i="30"/>
  <c r="R42" i="30"/>
  <c r="S42" i="30"/>
  <c r="T42" i="30"/>
  <c r="U42" i="30"/>
  <c r="V42" i="30"/>
  <c r="W42" i="30"/>
  <c r="X42" i="30"/>
  <c r="Y42" i="30"/>
  <c r="Z42" i="30"/>
  <c r="AA42" i="30"/>
  <c r="AB42" i="30"/>
  <c r="AC42" i="30"/>
  <c r="AD42" i="30"/>
  <c r="AE42" i="30"/>
  <c r="AF42" i="30"/>
  <c r="AG42" i="30"/>
  <c r="AH42" i="30"/>
  <c r="AI42" i="30"/>
  <c r="AJ42" i="30"/>
  <c r="AK42" i="30"/>
  <c r="AL42" i="30"/>
  <c r="AM42" i="30"/>
  <c r="AN42" i="30"/>
  <c r="AO42" i="30"/>
  <c r="AP42" i="30"/>
  <c r="AQ42" i="30"/>
  <c r="AR42" i="30"/>
  <c r="AS42" i="30"/>
  <c r="AT42" i="30"/>
  <c r="AU42" i="30"/>
  <c r="AV42" i="30"/>
  <c r="AW42" i="30"/>
  <c r="AX42" i="30"/>
  <c r="AY42" i="30"/>
  <c r="AZ42" i="30"/>
  <c r="BA42" i="30"/>
  <c r="BB42" i="30"/>
  <c r="BC42" i="30"/>
  <c r="BD42" i="30"/>
  <c r="BE42" i="30"/>
  <c r="BF42" i="30"/>
  <c r="BG42" i="30"/>
  <c r="BH42" i="30"/>
  <c r="BI42" i="30"/>
  <c r="BJ42" i="30"/>
  <c r="BK42" i="30"/>
  <c r="BL42" i="30"/>
  <c r="BM42" i="30"/>
  <c r="BN42" i="30"/>
  <c r="BO42" i="30"/>
  <c r="BP42" i="30"/>
  <c r="BQ42" i="30"/>
  <c r="BR42" i="30"/>
  <c r="BS42" i="30"/>
  <c r="BT42" i="30"/>
  <c r="BU42" i="30"/>
  <c r="BV42" i="30"/>
  <c r="BW42" i="30"/>
  <c r="BX42" i="30"/>
  <c r="BY42" i="30"/>
  <c r="BZ42" i="30"/>
  <c r="CA42" i="30"/>
  <c r="CB42" i="30"/>
  <c r="CC42" i="30"/>
  <c r="CD42" i="30"/>
  <c r="CE42" i="30"/>
  <c r="CF42" i="30"/>
  <c r="CG42" i="30"/>
  <c r="CH42" i="30"/>
  <c r="CI42" i="30"/>
  <c r="CJ42" i="30"/>
  <c r="CK42" i="30"/>
  <c r="CL42" i="30"/>
  <c r="CM42" i="30"/>
  <c r="CN42" i="30"/>
  <c r="CO42" i="30"/>
  <c r="CP42" i="30"/>
  <c r="CQ42" i="30"/>
  <c r="CR42" i="30"/>
  <c r="CS42" i="30"/>
  <c r="CT42" i="30"/>
  <c r="CU42" i="30"/>
  <c r="CV42" i="30"/>
  <c r="CW42" i="30"/>
  <c r="CX42" i="30"/>
  <c r="CY42" i="30"/>
  <c r="CZ42" i="30"/>
  <c r="DA42" i="30"/>
  <c r="DB42" i="30"/>
  <c r="DC42" i="30"/>
  <c r="DD42" i="30"/>
  <c r="DE42" i="30"/>
  <c r="DF42" i="30"/>
  <c r="DG42" i="30"/>
  <c r="DH42" i="30"/>
  <c r="DI42" i="30"/>
  <c r="DJ42" i="30"/>
  <c r="DK42" i="30"/>
  <c r="DL42" i="30"/>
  <c r="DM42" i="30"/>
  <c r="DN42" i="30"/>
  <c r="DO42" i="30"/>
  <c r="DP42" i="30"/>
  <c r="DQ42" i="30"/>
  <c r="DR42" i="30"/>
  <c r="DS42" i="30"/>
  <c r="DT42" i="30"/>
  <c r="DU42" i="30"/>
  <c r="DV42" i="30"/>
  <c r="DW42" i="30"/>
  <c r="DX42" i="30"/>
  <c r="DY42" i="30"/>
  <c r="DZ42" i="30"/>
  <c r="EA42" i="30"/>
  <c r="EB42" i="30"/>
  <c r="EC42" i="30"/>
  <c r="ED42" i="30"/>
  <c r="EE42" i="30"/>
  <c r="EF42" i="30"/>
  <c r="EG42" i="30"/>
  <c r="E43" i="30"/>
  <c r="F43" i="30"/>
  <c r="G43" i="30"/>
  <c r="H43" i="30"/>
  <c r="I43" i="30"/>
  <c r="J43" i="30"/>
  <c r="K43" i="30"/>
  <c r="L43" i="30"/>
  <c r="M43" i="30"/>
  <c r="N43" i="30"/>
  <c r="O43" i="30"/>
  <c r="P43" i="30"/>
  <c r="Q43" i="30"/>
  <c r="R43" i="30"/>
  <c r="S43" i="30"/>
  <c r="T43" i="30"/>
  <c r="U43" i="30"/>
  <c r="V43" i="30"/>
  <c r="W43" i="30"/>
  <c r="X43" i="30"/>
  <c r="Y43" i="30"/>
  <c r="Z43" i="30"/>
  <c r="AA43" i="30"/>
  <c r="AB43" i="30"/>
  <c r="AC43" i="30"/>
  <c r="AD43" i="30"/>
  <c r="AE43" i="30"/>
  <c r="AF43" i="30"/>
  <c r="AG43" i="30"/>
  <c r="AH43" i="30"/>
  <c r="AI43" i="30"/>
  <c r="AJ43" i="30"/>
  <c r="AK43" i="30"/>
  <c r="AL43" i="30"/>
  <c r="AM43" i="30"/>
  <c r="AN43" i="30"/>
  <c r="AO43" i="30"/>
  <c r="AP43" i="30"/>
  <c r="AQ43" i="30"/>
  <c r="AR43" i="30"/>
  <c r="AS43" i="30"/>
  <c r="AT43" i="30"/>
  <c r="AU43" i="30"/>
  <c r="AV43" i="30"/>
  <c r="AW43" i="30"/>
  <c r="AX43" i="30"/>
  <c r="AY43" i="30"/>
  <c r="AZ43" i="30"/>
  <c r="BA43" i="30"/>
  <c r="BB43" i="30"/>
  <c r="BC43" i="30"/>
  <c r="BD43" i="30"/>
  <c r="BE43" i="30"/>
  <c r="BF43" i="30"/>
  <c r="BG43" i="30"/>
  <c r="BH43" i="30"/>
  <c r="BI43" i="30"/>
  <c r="BJ43" i="30"/>
  <c r="BK43" i="30"/>
  <c r="BL43" i="30"/>
  <c r="BM43" i="30"/>
  <c r="BN43" i="30"/>
  <c r="BO43" i="30"/>
  <c r="BP43" i="30"/>
  <c r="BQ43" i="30"/>
  <c r="BR43" i="30"/>
  <c r="BS43" i="30"/>
  <c r="BT43" i="30"/>
  <c r="BU43" i="30"/>
  <c r="BV43" i="30"/>
  <c r="BW43" i="30"/>
  <c r="BX43" i="30"/>
  <c r="BY43" i="30"/>
  <c r="BZ43" i="30"/>
  <c r="CA43" i="30"/>
  <c r="CB43" i="30"/>
  <c r="CC43" i="30"/>
  <c r="CD43" i="30"/>
  <c r="CE43" i="30"/>
  <c r="CF43" i="30"/>
  <c r="CG43" i="30"/>
  <c r="CH43" i="30"/>
  <c r="CI43" i="30"/>
  <c r="CJ43" i="30"/>
  <c r="CK43" i="30"/>
  <c r="CL43" i="30"/>
  <c r="CM43" i="30"/>
  <c r="CN43" i="30"/>
  <c r="CO43" i="30"/>
  <c r="CP43" i="30"/>
  <c r="CQ43" i="30"/>
  <c r="CR43" i="30"/>
  <c r="CS43" i="30"/>
  <c r="CT43" i="30"/>
  <c r="CU43" i="30"/>
  <c r="CV43" i="30"/>
  <c r="CW43" i="30"/>
  <c r="CX43" i="30"/>
  <c r="CY43" i="30"/>
  <c r="CZ43" i="30"/>
  <c r="DA43" i="30"/>
  <c r="DB43" i="30"/>
  <c r="DC43" i="30"/>
  <c r="DD43" i="30"/>
  <c r="DE43" i="30"/>
  <c r="DF43" i="30"/>
  <c r="DG43" i="30"/>
  <c r="DH43" i="30"/>
  <c r="DI43" i="30"/>
  <c r="DJ43" i="30"/>
  <c r="DK43" i="30"/>
  <c r="DL43" i="30"/>
  <c r="DM43" i="30"/>
  <c r="DN43" i="30"/>
  <c r="DO43" i="30"/>
  <c r="DP43" i="30"/>
  <c r="DQ43" i="30"/>
  <c r="DR43" i="30"/>
  <c r="DS43" i="30"/>
  <c r="DT43" i="30"/>
  <c r="DU43" i="30"/>
  <c r="DV43" i="30"/>
  <c r="DW43" i="30"/>
  <c r="DX43" i="30"/>
  <c r="DY43" i="30"/>
  <c r="DZ43" i="30"/>
  <c r="EA43" i="30"/>
  <c r="EB43" i="30"/>
  <c r="EC43" i="30"/>
  <c r="ED43" i="30"/>
  <c r="EE43" i="30"/>
  <c r="EF43" i="30"/>
  <c r="EG43" i="30"/>
  <c r="F46" i="30"/>
  <c r="G46" i="30"/>
  <c r="H46" i="30"/>
  <c r="I46" i="30"/>
  <c r="J46" i="30"/>
  <c r="K46" i="30"/>
  <c r="L46" i="30"/>
  <c r="M46" i="30"/>
  <c r="N46" i="30"/>
  <c r="O46" i="30"/>
  <c r="P46" i="30"/>
  <c r="Q46" i="30"/>
  <c r="R46" i="30"/>
  <c r="S46" i="30"/>
  <c r="T46" i="30"/>
  <c r="U46" i="30"/>
  <c r="V46" i="30"/>
  <c r="W46" i="30"/>
  <c r="X46" i="30"/>
  <c r="Y46" i="30"/>
  <c r="Z46" i="30"/>
  <c r="AA46" i="30"/>
  <c r="AB46" i="30"/>
  <c r="AC46" i="30"/>
  <c r="AD46" i="30"/>
  <c r="AE46" i="30"/>
  <c r="AF46" i="30"/>
  <c r="AG46" i="30"/>
  <c r="AH46" i="30"/>
  <c r="AI46" i="30"/>
  <c r="AJ46" i="30"/>
  <c r="AK46" i="30"/>
  <c r="AL46" i="30"/>
  <c r="AM46" i="30"/>
  <c r="AN46" i="30"/>
  <c r="AO46" i="30"/>
  <c r="AP46" i="30"/>
  <c r="AQ46" i="30"/>
  <c r="AR46" i="30"/>
  <c r="AS46" i="30"/>
  <c r="AT46" i="30"/>
  <c r="AU46" i="30"/>
  <c r="AV46" i="30"/>
  <c r="AW46" i="30"/>
  <c r="AX46" i="30"/>
  <c r="AY46" i="30"/>
  <c r="AZ46" i="30"/>
  <c r="BA46" i="30"/>
  <c r="BB46" i="30"/>
  <c r="BC46" i="30"/>
  <c r="BD46" i="30"/>
  <c r="BE46" i="30"/>
  <c r="BF46" i="30"/>
  <c r="BG46" i="30"/>
  <c r="BH46" i="30"/>
  <c r="BI46" i="30"/>
  <c r="BJ46" i="30"/>
  <c r="BK46" i="30"/>
  <c r="BL46" i="30"/>
  <c r="BM46" i="30"/>
  <c r="BN46" i="30"/>
  <c r="BO46" i="30"/>
  <c r="BP46" i="30"/>
  <c r="BQ46" i="30"/>
  <c r="BR46" i="30"/>
  <c r="BS46" i="30"/>
  <c r="BT46" i="30"/>
  <c r="BU46" i="30"/>
  <c r="BV46" i="30"/>
  <c r="BW46" i="30"/>
  <c r="BX46" i="30"/>
  <c r="BY46" i="30"/>
  <c r="BZ46" i="30"/>
  <c r="CA46" i="30"/>
  <c r="CB46" i="30"/>
  <c r="CC46" i="30"/>
  <c r="CD46" i="30"/>
  <c r="CE46" i="30"/>
  <c r="CF46" i="30"/>
  <c r="CG46" i="30"/>
  <c r="CH46" i="30"/>
  <c r="CI46" i="30"/>
  <c r="CJ46" i="30"/>
  <c r="CK46" i="30"/>
  <c r="CL46" i="30"/>
  <c r="CM46" i="30"/>
  <c r="CN46" i="30"/>
  <c r="CO46" i="30"/>
  <c r="CP46" i="30"/>
  <c r="CQ46" i="30"/>
  <c r="CR46" i="30"/>
  <c r="CS46" i="30"/>
  <c r="CT46" i="30"/>
  <c r="CU46" i="30"/>
  <c r="CV46" i="30"/>
  <c r="CW46" i="30"/>
  <c r="CX46" i="30"/>
  <c r="CY46" i="30"/>
  <c r="CZ46" i="30"/>
  <c r="DA46" i="30"/>
  <c r="DB46" i="30"/>
  <c r="DC46" i="30"/>
  <c r="DD46" i="30"/>
  <c r="DE46" i="30"/>
  <c r="DF46" i="30"/>
  <c r="DG46" i="30"/>
  <c r="DH46" i="30"/>
  <c r="DI46" i="30"/>
  <c r="DJ46" i="30"/>
  <c r="DK46" i="30"/>
  <c r="DL46" i="30"/>
  <c r="DM46" i="30"/>
  <c r="DN46" i="30"/>
  <c r="DO46" i="30"/>
  <c r="DP46" i="30"/>
  <c r="DQ46" i="30"/>
  <c r="DR46" i="30"/>
  <c r="DS46" i="30"/>
  <c r="DT46" i="30"/>
  <c r="DU46" i="30"/>
  <c r="DV46" i="30"/>
  <c r="DW46" i="30"/>
  <c r="DX46" i="30"/>
  <c r="DY46" i="30"/>
  <c r="DZ46" i="30"/>
  <c r="EA46" i="30"/>
  <c r="EB46" i="30"/>
  <c r="EC46" i="30"/>
  <c r="ED46" i="30"/>
  <c r="EE46" i="30"/>
  <c r="EF46" i="30"/>
  <c r="EG46" i="30"/>
  <c r="F47" i="30"/>
  <c r="G47" i="30"/>
  <c r="H47" i="30"/>
  <c r="I47" i="30"/>
  <c r="J47" i="30"/>
  <c r="K47" i="30"/>
  <c r="L47" i="30"/>
  <c r="M47" i="30"/>
  <c r="N47" i="30"/>
  <c r="O47" i="30"/>
  <c r="P47" i="30"/>
  <c r="Q47" i="30"/>
  <c r="R47" i="30"/>
  <c r="S47" i="30"/>
  <c r="T47" i="30"/>
  <c r="U47" i="30"/>
  <c r="V47" i="30"/>
  <c r="W47" i="30"/>
  <c r="X47" i="30"/>
  <c r="Y47" i="30"/>
  <c r="Z47" i="30"/>
  <c r="AA47" i="30"/>
  <c r="AB47" i="30"/>
  <c r="AC47" i="30"/>
  <c r="AD47" i="30"/>
  <c r="AE47" i="30"/>
  <c r="AF47" i="30"/>
  <c r="AG47" i="30"/>
  <c r="AH47" i="30"/>
  <c r="AI47" i="30"/>
  <c r="AJ47" i="30"/>
  <c r="AK47" i="30"/>
  <c r="AL47" i="30"/>
  <c r="AM47" i="30"/>
  <c r="AN47" i="30"/>
  <c r="AO47" i="30"/>
  <c r="AP47" i="30"/>
  <c r="AQ47" i="30"/>
  <c r="AR47" i="30"/>
  <c r="AS47" i="30"/>
  <c r="AT47" i="30"/>
  <c r="AU47" i="30"/>
  <c r="AV47" i="30"/>
  <c r="AW47" i="30"/>
  <c r="AX47" i="30"/>
  <c r="AY47" i="30"/>
  <c r="AZ47" i="30"/>
  <c r="BA47" i="30"/>
  <c r="BB47" i="30"/>
  <c r="BC47" i="30"/>
  <c r="BD47" i="30"/>
  <c r="BE47" i="30"/>
  <c r="BF47" i="30"/>
  <c r="BG47" i="30"/>
  <c r="BH47" i="30"/>
  <c r="BI47" i="30"/>
  <c r="BJ47" i="30"/>
  <c r="BK47" i="30"/>
  <c r="BL47" i="30"/>
  <c r="BM47" i="30"/>
  <c r="BN47" i="30"/>
  <c r="BO47" i="30"/>
  <c r="BP47" i="30"/>
  <c r="BQ47" i="30"/>
  <c r="BR47" i="30"/>
  <c r="BS47" i="30"/>
  <c r="BT47" i="30"/>
  <c r="BU47" i="30"/>
  <c r="BV47" i="30"/>
  <c r="BW47" i="30"/>
  <c r="BX47" i="30"/>
  <c r="BY47" i="30"/>
  <c r="BZ47" i="30"/>
  <c r="CA47" i="30"/>
  <c r="CB47" i="30"/>
  <c r="CC47" i="30"/>
  <c r="CD47" i="30"/>
  <c r="CE47" i="30"/>
  <c r="CF47" i="30"/>
  <c r="CG47" i="30"/>
  <c r="CH47" i="30"/>
  <c r="CI47" i="30"/>
  <c r="CJ47" i="30"/>
  <c r="CK47" i="30"/>
  <c r="CL47" i="30"/>
  <c r="CM47" i="30"/>
  <c r="CN47" i="30"/>
  <c r="CO47" i="30"/>
  <c r="CP47" i="30"/>
  <c r="CQ47" i="30"/>
  <c r="CR47" i="30"/>
  <c r="CS47" i="30"/>
  <c r="CT47" i="30"/>
  <c r="CU47" i="30"/>
  <c r="CV47" i="30"/>
  <c r="CW47" i="30"/>
  <c r="CX47" i="30"/>
  <c r="CY47" i="30"/>
  <c r="CZ47" i="30"/>
  <c r="DA47" i="30"/>
  <c r="DB47" i="30"/>
  <c r="DC47" i="30"/>
  <c r="DD47" i="30"/>
  <c r="DE47" i="30"/>
  <c r="DF47" i="30"/>
  <c r="DG47" i="30"/>
  <c r="DH47" i="30"/>
  <c r="DI47" i="30"/>
  <c r="DJ47" i="30"/>
  <c r="DK47" i="30"/>
  <c r="DL47" i="30"/>
  <c r="DM47" i="30"/>
  <c r="DN47" i="30"/>
  <c r="DO47" i="30"/>
  <c r="DP47" i="30"/>
  <c r="DQ47" i="30"/>
  <c r="DR47" i="30"/>
  <c r="DS47" i="30"/>
  <c r="DT47" i="30"/>
  <c r="DU47" i="30"/>
  <c r="DV47" i="30"/>
  <c r="DW47" i="30"/>
  <c r="DX47" i="30"/>
  <c r="DY47" i="30"/>
  <c r="DZ47" i="30"/>
  <c r="EA47" i="30"/>
  <c r="EB47" i="30"/>
  <c r="EC47" i="30"/>
  <c r="ED47" i="30"/>
  <c r="EE47" i="30"/>
  <c r="EF47" i="30"/>
  <c r="EG47" i="30"/>
  <c r="E48" i="30"/>
  <c r="F48" i="30"/>
  <c r="G48" i="30"/>
  <c r="H48" i="30"/>
  <c r="I48" i="30"/>
  <c r="J48" i="30"/>
  <c r="K48" i="30"/>
  <c r="L48" i="30"/>
  <c r="M48" i="30"/>
  <c r="N48" i="30"/>
  <c r="O48" i="30"/>
  <c r="P48" i="30"/>
  <c r="Q48" i="30"/>
  <c r="R48" i="30"/>
  <c r="S48" i="30"/>
  <c r="T48" i="30"/>
  <c r="U48" i="30"/>
  <c r="V48" i="30"/>
  <c r="W48" i="30"/>
  <c r="X48" i="30"/>
  <c r="Y48" i="30"/>
  <c r="Z48" i="30"/>
  <c r="AA48" i="30"/>
  <c r="AB48" i="30"/>
  <c r="AC48" i="30"/>
  <c r="AD48" i="30"/>
  <c r="AE48" i="30"/>
  <c r="AF48" i="30"/>
  <c r="AG48" i="30"/>
  <c r="AH48" i="30"/>
  <c r="AI48" i="30"/>
  <c r="AJ48" i="30"/>
  <c r="AK48" i="30"/>
  <c r="AL48" i="30"/>
  <c r="AM48" i="30"/>
  <c r="AN48" i="30"/>
  <c r="AO48" i="30"/>
  <c r="AP48" i="30"/>
  <c r="AQ48" i="30"/>
  <c r="AR48" i="30"/>
  <c r="AS48" i="30"/>
  <c r="AT48" i="30"/>
  <c r="AU48" i="30"/>
  <c r="AV48" i="30"/>
  <c r="AW48" i="30"/>
  <c r="AX48" i="30"/>
  <c r="AY48" i="30"/>
  <c r="AZ48" i="30"/>
  <c r="BA48" i="30"/>
  <c r="BB48" i="30"/>
  <c r="BC48" i="30"/>
  <c r="BD48" i="30"/>
  <c r="BE48" i="30"/>
  <c r="BF48" i="30"/>
  <c r="BG48" i="30"/>
  <c r="BH48" i="30"/>
  <c r="BI48" i="30"/>
  <c r="BJ48" i="30"/>
  <c r="BK48" i="30"/>
  <c r="BL48" i="30"/>
  <c r="BM48" i="30"/>
  <c r="BN48" i="30"/>
  <c r="BO48" i="30"/>
  <c r="BP48" i="30"/>
  <c r="BQ48" i="30"/>
  <c r="BR48" i="30"/>
  <c r="BS48" i="30"/>
  <c r="BT48" i="30"/>
  <c r="BU48" i="30"/>
  <c r="BV48" i="30"/>
  <c r="BW48" i="30"/>
  <c r="BX48" i="30"/>
  <c r="BY48" i="30"/>
  <c r="BZ48" i="30"/>
  <c r="CA48" i="30"/>
  <c r="CB48" i="30"/>
  <c r="CC48" i="30"/>
  <c r="CD48" i="30"/>
  <c r="CE48" i="30"/>
  <c r="CF48" i="30"/>
  <c r="CG48" i="30"/>
  <c r="CH48" i="30"/>
  <c r="CI48" i="30"/>
  <c r="CJ48" i="30"/>
  <c r="CK48" i="30"/>
  <c r="CL48" i="30"/>
  <c r="CM48" i="30"/>
  <c r="CN48" i="30"/>
  <c r="CO48" i="30"/>
  <c r="CP48" i="30"/>
  <c r="CQ48" i="30"/>
  <c r="CR48" i="30"/>
  <c r="CS48" i="30"/>
  <c r="CT48" i="30"/>
  <c r="CU48" i="30"/>
  <c r="CV48" i="30"/>
  <c r="CW48" i="30"/>
  <c r="CX48" i="30"/>
  <c r="CY48" i="30"/>
  <c r="CZ48" i="30"/>
  <c r="DA48" i="30"/>
  <c r="DB48" i="30"/>
  <c r="DC48" i="30"/>
  <c r="DD48" i="30"/>
  <c r="DE48" i="30"/>
  <c r="DF48" i="30"/>
  <c r="DG48" i="30"/>
  <c r="DH48" i="30"/>
  <c r="DI48" i="30"/>
  <c r="DJ48" i="30"/>
  <c r="DK48" i="30"/>
  <c r="DL48" i="30"/>
  <c r="DM48" i="30"/>
  <c r="DN48" i="30"/>
  <c r="DO48" i="30"/>
  <c r="DP48" i="30"/>
  <c r="DQ48" i="30"/>
  <c r="DR48" i="30"/>
  <c r="DS48" i="30"/>
  <c r="DT48" i="30"/>
  <c r="DU48" i="30"/>
  <c r="DV48" i="30"/>
  <c r="DW48" i="30"/>
  <c r="DX48" i="30"/>
  <c r="DY48" i="30"/>
  <c r="DZ48" i="30"/>
  <c r="EA48" i="30"/>
  <c r="EB48" i="30"/>
  <c r="EC48" i="30"/>
  <c r="ED48" i="30"/>
  <c r="EE48" i="30"/>
  <c r="EF48" i="30"/>
  <c r="EG48" i="30"/>
  <c r="E49" i="30"/>
  <c r="F49" i="30"/>
  <c r="G49" i="30"/>
  <c r="H49" i="30"/>
  <c r="I49" i="30"/>
  <c r="J49" i="30"/>
  <c r="K49" i="30"/>
  <c r="L49" i="30"/>
  <c r="M49" i="30"/>
  <c r="N49" i="30"/>
  <c r="O49" i="30"/>
  <c r="P49" i="30"/>
  <c r="Q49" i="30"/>
  <c r="R49" i="30"/>
  <c r="S49" i="30"/>
  <c r="T49" i="30"/>
  <c r="U49" i="30"/>
  <c r="V49" i="30"/>
  <c r="W49" i="30"/>
  <c r="X49" i="30"/>
  <c r="Y49" i="30"/>
  <c r="Z49" i="30"/>
  <c r="AA49" i="30"/>
  <c r="AB49" i="30"/>
  <c r="AC49" i="30"/>
  <c r="AD49" i="30"/>
  <c r="AE49" i="30"/>
  <c r="AF49" i="30"/>
  <c r="AG49" i="30"/>
  <c r="AH49" i="30"/>
  <c r="AI49" i="30"/>
  <c r="AJ49" i="30"/>
  <c r="AK49" i="30"/>
  <c r="AL49" i="30"/>
  <c r="AM49" i="30"/>
  <c r="AN49" i="30"/>
  <c r="AO49" i="30"/>
  <c r="AP49" i="30"/>
  <c r="AQ49" i="30"/>
  <c r="AR49" i="30"/>
  <c r="AS49" i="30"/>
  <c r="AT49" i="30"/>
  <c r="AU49" i="30"/>
  <c r="AV49" i="30"/>
  <c r="AW49" i="30"/>
  <c r="AX49" i="30"/>
  <c r="AY49" i="30"/>
  <c r="AZ49" i="30"/>
  <c r="BA49" i="30"/>
  <c r="BB49" i="30"/>
  <c r="BC49" i="30"/>
  <c r="BD49" i="30"/>
  <c r="BE49" i="30"/>
  <c r="BF49" i="30"/>
  <c r="BG49" i="30"/>
  <c r="BH49" i="30"/>
  <c r="BI49" i="30"/>
  <c r="BJ49" i="30"/>
  <c r="BK49" i="30"/>
  <c r="BL49" i="30"/>
  <c r="BM49" i="30"/>
  <c r="BN49" i="30"/>
  <c r="BO49" i="30"/>
  <c r="BP49" i="30"/>
  <c r="BQ49" i="30"/>
  <c r="BR49" i="30"/>
  <c r="BS49" i="30"/>
  <c r="BT49" i="30"/>
  <c r="BU49" i="30"/>
  <c r="BV49" i="30"/>
  <c r="BW49" i="30"/>
  <c r="BX49" i="30"/>
  <c r="BY49" i="30"/>
  <c r="BZ49" i="30"/>
  <c r="CA49" i="30"/>
  <c r="CB49" i="30"/>
  <c r="CC49" i="30"/>
  <c r="CD49" i="30"/>
  <c r="CE49" i="30"/>
  <c r="CF49" i="30"/>
  <c r="CG49" i="30"/>
  <c r="CH49" i="30"/>
  <c r="CI49" i="30"/>
  <c r="CJ49" i="30"/>
  <c r="CK49" i="30"/>
  <c r="CL49" i="30"/>
  <c r="CM49" i="30"/>
  <c r="CN49" i="30"/>
  <c r="CO49" i="30"/>
  <c r="CP49" i="30"/>
  <c r="CQ49" i="30"/>
  <c r="CR49" i="30"/>
  <c r="CS49" i="30"/>
  <c r="CT49" i="30"/>
  <c r="CU49" i="30"/>
  <c r="CV49" i="30"/>
  <c r="CW49" i="30"/>
  <c r="CX49" i="30"/>
  <c r="CY49" i="30"/>
  <c r="CZ49" i="30"/>
  <c r="DA49" i="30"/>
  <c r="DB49" i="30"/>
  <c r="DC49" i="30"/>
  <c r="DD49" i="30"/>
  <c r="DE49" i="30"/>
  <c r="DF49" i="30"/>
  <c r="DG49" i="30"/>
  <c r="DH49" i="30"/>
  <c r="DI49" i="30"/>
  <c r="DJ49" i="30"/>
  <c r="DK49" i="30"/>
  <c r="DL49" i="30"/>
  <c r="DM49" i="30"/>
  <c r="DN49" i="30"/>
  <c r="DO49" i="30"/>
  <c r="DP49" i="30"/>
  <c r="DQ49" i="30"/>
  <c r="DR49" i="30"/>
  <c r="DS49" i="30"/>
  <c r="DT49" i="30"/>
  <c r="DU49" i="30"/>
  <c r="DV49" i="30"/>
  <c r="DW49" i="30"/>
  <c r="DX49" i="30"/>
  <c r="DY49" i="30"/>
  <c r="DZ49" i="30"/>
  <c r="EA49" i="30"/>
  <c r="EB49" i="30"/>
  <c r="EC49" i="30"/>
  <c r="ED49" i="30"/>
  <c r="EE49" i="30"/>
  <c r="EF49" i="30"/>
  <c r="EG49" i="30"/>
  <c r="E50" i="30"/>
  <c r="F50" i="30"/>
  <c r="G50" i="30"/>
  <c r="H50" i="30"/>
  <c r="I50" i="30"/>
  <c r="J50" i="30"/>
  <c r="K50" i="30"/>
  <c r="L50" i="30"/>
  <c r="M50" i="30"/>
  <c r="N50" i="30"/>
  <c r="O50" i="30"/>
  <c r="P50" i="30"/>
  <c r="Q50" i="30"/>
  <c r="R50" i="30"/>
  <c r="S50" i="30"/>
  <c r="T50" i="30"/>
  <c r="U50" i="30"/>
  <c r="V50" i="30"/>
  <c r="W50" i="30"/>
  <c r="X50" i="30"/>
  <c r="Y50" i="30"/>
  <c r="Z50" i="30"/>
  <c r="AA50" i="30"/>
  <c r="AB50" i="30"/>
  <c r="AC50" i="30"/>
  <c r="AD50" i="30"/>
  <c r="AE50" i="30"/>
  <c r="AF50" i="30"/>
  <c r="AG50" i="30"/>
  <c r="AH50" i="30"/>
  <c r="AI50" i="30"/>
  <c r="AJ50" i="30"/>
  <c r="AK50" i="30"/>
  <c r="AL50" i="30"/>
  <c r="AM50" i="30"/>
  <c r="AN50" i="30"/>
  <c r="AO50" i="30"/>
  <c r="AP50" i="30"/>
  <c r="AQ50" i="30"/>
  <c r="AR50" i="30"/>
  <c r="AS50" i="30"/>
  <c r="AT50" i="30"/>
  <c r="AU50" i="30"/>
  <c r="AV50" i="30"/>
  <c r="AW50" i="30"/>
  <c r="AX50" i="30"/>
  <c r="AY50" i="30"/>
  <c r="AZ50" i="30"/>
  <c r="BA50" i="30"/>
  <c r="BB50" i="30"/>
  <c r="BC50" i="30"/>
  <c r="BD50" i="30"/>
  <c r="BE50" i="30"/>
  <c r="BF50" i="30"/>
  <c r="BG50" i="30"/>
  <c r="BH50" i="30"/>
  <c r="BI50" i="30"/>
  <c r="BJ50" i="30"/>
  <c r="BK50" i="30"/>
  <c r="BL50" i="30"/>
  <c r="BM50" i="30"/>
  <c r="BN50" i="30"/>
  <c r="BO50" i="30"/>
  <c r="BP50" i="30"/>
  <c r="BQ50" i="30"/>
  <c r="BR50" i="30"/>
  <c r="BS50" i="30"/>
  <c r="BT50" i="30"/>
  <c r="BU50" i="30"/>
  <c r="BV50" i="30"/>
  <c r="BW50" i="30"/>
  <c r="BX50" i="30"/>
  <c r="BY50" i="30"/>
  <c r="BZ50" i="30"/>
  <c r="CA50" i="30"/>
  <c r="CB50" i="30"/>
  <c r="CC50" i="30"/>
  <c r="CD50" i="30"/>
  <c r="CE50" i="30"/>
  <c r="CF50" i="30"/>
  <c r="CG50" i="30"/>
  <c r="CH50" i="30"/>
  <c r="CI50" i="30"/>
  <c r="CJ50" i="30"/>
  <c r="CK50" i="30"/>
  <c r="CL50" i="30"/>
  <c r="CM50" i="30"/>
  <c r="CN50" i="30"/>
  <c r="CO50" i="30"/>
  <c r="CP50" i="30"/>
  <c r="CQ50" i="30"/>
  <c r="CR50" i="30"/>
  <c r="CS50" i="30"/>
  <c r="CT50" i="30"/>
  <c r="CU50" i="30"/>
  <c r="CV50" i="30"/>
  <c r="CW50" i="30"/>
  <c r="CX50" i="30"/>
  <c r="CY50" i="30"/>
  <c r="CZ50" i="30"/>
  <c r="DA50" i="30"/>
  <c r="DB50" i="30"/>
  <c r="DC50" i="30"/>
  <c r="DD50" i="30"/>
  <c r="DE50" i="30"/>
  <c r="DF50" i="30"/>
  <c r="DG50" i="30"/>
  <c r="DH50" i="30"/>
  <c r="DI50" i="30"/>
  <c r="DJ50" i="30"/>
  <c r="DK50" i="30"/>
  <c r="DL50" i="30"/>
  <c r="DM50" i="30"/>
  <c r="DN50" i="30"/>
  <c r="DO50" i="30"/>
  <c r="DP50" i="30"/>
  <c r="DQ50" i="30"/>
  <c r="DR50" i="30"/>
  <c r="DS50" i="30"/>
  <c r="DT50" i="30"/>
  <c r="DU50" i="30"/>
  <c r="DV50" i="30"/>
  <c r="DW50" i="30"/>
  <c r="DX50" i="30"/>
  <c r="DY50" i="30"/>
  <c r="DZ50" i="30"/>
  <c r="EA50" i="30"/>
  <c r="EB50" i="30"/>
  <c r="EC50" i="30"/>
  <c r="ED50" i="30"/>
  <c r="EE50" i="30"/>
  <c r="EF50" i="30"/>
  <c r="EG50" i="30"/>
  <c r="AH51" i="30"/>
  <c r="E52" i="30"/>
  <c r="F52" i="30"/>
  <c r="G52" i="30"/>
  <c r="H52" i="30"/>
  <c r="I52" i="30"/>
  <c r="J52" i="30"/>
  <c r="K52" i="30"/>
  <c r="L52" i="30"/>
  <c r="M52" i="30"/>
  <c r="N52" i="30"/>
  <c r="O52" i="30"/>
  <c r="P52" i="30"/>
  <c r="Q52" i="30"/>
  <c r="R52" i="30"/>
  <c r="S52" i="30"/>
  <c r="T52" i="30"/>
  <c r="U52" i="30"/>
  <c r="V52" i="30"/>
  <c r="W52" i="30"/>
  <c r="X52" i="30"/>
  <c r="Y52" i="30"/>
  <c r="Z52" i="30"/>
  <c r="AA52" i="30"/>
  <c r="AB52" i="30"/>
  <c r="AC52" i="30"/>
  <c r="AD52" i="30"/>
  <c r="AE52" i="30"/>
  <c r="AF52" i="30"/>
  <c r="AG52" i="30"/>
  <c r="AH52" i="30"/>
  <c r="AI52" i="30"/>
  <c r="AJ52" i="30"/>
  <c r="AK52" i="30"/>
  <c r="AL52" i="30"/>
  <c r="AM52" i="30"/>
  <c r="AN52" i="30"/>
  <c r="AO52" i="30"/>
  <c r="AP52" i="30"/>
  <c r="AQ52" i="30"/>
  <c r="AR52" i="30"/>
  <c r="AS52" i="30"/>
  <c r="AT52" i="30"/>
  <c r="AU52" i="30"/>
  <c r="AV52" i="30"/>
  <c r="AW52" i="30"/>
  <c r="AX52" i="30"/>
  <c r="AY52" i="30"/>
  <c r="AZ52" i="30"/>
  <c r="BA52" i="30"/>
  <c r="BB52" i="30"/>
  <c r="BC52" i="30"/>
  <c r="BD52" i="30"/>
  <c r="BE52" i="30"/>
  <c r="BF52" i="30"/>
  <c r="BG52" i="30"/>
  <c r="BH52" i="30"/>
  <c r="BI52" i="30"/>
  <c r="BJ52" i="30"/>
  <c r="BK52" i="30"/>
  <c r="BL52" i="30"/>
  <c r="BM52" i="30"/>
  <c r="BN52" i="30"/>
  <c r="BO52" i="30"/>
  <c r="BP52" i="30"/>
  <c r="BQ52" i="30"/>
  <c r="BR52" i="30"/>
  <c r="BS52" i="30"/>
  <c r="BT52" i="30"/>
  <c r="BU52" i="30"/>
  <c r="BV52" i="30"/>
  <c r="BW52" i="30"/>
  <c r="BX52" i="30"/>
  <c r="BY52" i="30"/>
  <c r="BZ52" i="30"/>
  <c r="CA52" i="30"/>
  <c r="CB52" i="30"/>
  <c r="CC52" i="30"/>
  <c r="CD52" i="30"/>
  <c r="CE52" i="30"/>
  <c r="CF52" i="30"/>
  <c r="CG52" i="30"/>
  <c r="CH52" i="30"/>
  <c r="CI52" i="30"/>
  <c r="CJ52" i="30"/>
  <c r="CK52" i="30"/>
  <c r="CL52" i="30"/>
  <c r="CM52" i="30"/>
  <c r="CN52" i="30"/>
  <c r="CO52" i="30"/>
  <c r="CP52" i="30"/>
  <c r="CQ52" i="30"/>
  <c r="CR52" i="30"/>
  <c r="CS52" i="30"/>
  <c r="CT52" i="30"/>
  <c r="CU52" i="30"/>
  <c r="CV52" i="30"/>
  <c r="CW52" i="30"/>
  <c r="CX52" i="30"/>
  <c r="CY52" i="30"/>
  <c r="CZ52" i="30"/>
  <c r="DA52" i="30"/>
  <c r="DB52" i="30"/>
  <c r="DC52" i="30"/>
  <c r="DD52" i="30"/>
  <c r="DE52" i="30"/>
  <c r="DF52" i="30"/>
  <c r="DG52" i="30"/>
  <c r="DH52" i="30"/>
  <c r="DI52" i="30"/>
  <c r="DJ52" i="30"/>
  <c r="DK52" i="30"/>
  <c r="DL52" i="30"/>
  <c r="DM52" i="30"/>
  <c r="DN52" i="30"/>
  <c r="DO52" i="30"/>
  <c r="DP52" i="30"/>
  <c r="DQ52" i="30"/>
  <c r="DR52" i="30"/>
  <c r="DS52" i="30"/>
  <c r="DT52" i="30"/>
  <c r="DU52" i="30"/>
  <c r="DV52" i="30"/>
  <c r="DW52" i="30"/>
  <c r="DX52" i="30"/>
  <c r="DY52" i="30"/>
  <c r="DZ52" i="30"/>
  <c r="EA52" i="30"/>
  <c r="EB52" i="30"/>
  <c r="EC52" i="30"/>
  <c r="ED52" i="30"/>
  <c r="EE52" i="30"/>
  <c r="EF52" i="30"/>
  <c r="EG52" i="30"/>
  <c r="AH53" i="30"/>
  <c r="E54" i="30"/>
  <c r="F54" i="30"/>
  <c r="G54" i="30"/>
  <c r="H54" i="30"/>
  <c r="I54" i="30"/>
  <c r="J54" i="30"/>
  <c r="K54" i="30"/>
  <c r="L54" i="30"/>
  <c r="M54" i="30"/>
  <c r="N54" i="30"/>
  <c r="O54" i="30"/>
  <c r="P54" i="30"/>
  <c r="Q54" i="30"/>
  <c r="R54" i="30"/>
  <c r="S54" i="30"/>
  <c r="T54" i="30"/>
  <c r="U54" i="30"/>
  <c r="V54" i="30"/>
  <c r="W54" i="30"/>
  <c r="X54" i="30"/>
  <c r="Y54" i="30"/>
  <c r="Z54" i="30"/>
  <c r="AA54" i="30"/>
  <c r="AB54" i="30"/>
  <c r="AC54" i="30"/>
  <c r="AD54" i="30"/>
  <c r="AE54" i="30"/>
  <c r="AF54" i="30"/>
  <c r="AG54" i="30"/>
  <c r="AH54" i="30"/>
  <c r="AI54" i="30"/>
  <c r="AJ54" i="30"/>
  <c r="AK54" i="30"/>
  <c r="AL54" i="30"/>
  <c r="AM54" i="30"/>
  <c r="AN54" i="30"/>
  <c r="AO54" i="30"/>
  <c r="AP54" i="30"/>
  <c r="AQ54" i="30"/>
  <c r="AR54" i="30"/>
  <c r="AS54" i="30"/>
  <c r="AT54" i="30"/>
  <c r="AU54" i="30"/>
  <c r="AV54" i="30"/>
  <c r="AW54" i="30"/>
  <c r="AX54" i="30"/>
  <c r="AY54" i="30"/>
  <c r="AZ54" i="30"/>
  <c r="BA54" i="30"/>
  <c r="BB54" i="30"/>
  <c r="BC54" i="30"/>
  <c r="BD54" i="30"/>
  <c r="BE54" i="30"/>
  <c r="BF54" i="30"/>
  <c r="BG54" i="30"/>
  <c r="BH54" i="30"/>
  <c r="BI54" i="30"/>
  <c r="BJ54" i="30"/>
  <c r="BK54" i="30"/>
  <c r="BL54" i="30"/>
  <c r="BM54" i="30"/>
  <c r="BN54" i="30"/>
  <c r="BO54" i="30"/>
  <c r="BP54" i="30"/>
  <c r="BQ54" i="30"/>
  <c r="BR54" i="30"/>
  <c r="BS54" i="30"/>
  <c r="BT54" i="30"/>
  <c r="BU54" i="30"/>
  <c r="BV54" i="30"/>
  <c r="BW54" i="30"/>
  <c r="BX54" i="30"/>
  <c r="BY54" i="30"/>
  <c r="BZ54" i="30"/>
  <c r="CA54" i="30"/>
  <c r="CB54" i="30"/>
  <c r="CC54" i="30"/>
  <c r="CD54" i="30"/>
  <c r="CE54" i="30"/>
  <c r="CF54" i="30"/>
  <c r="CG54" i="30"/>
  <c r="CH54" i="30"/>
  <c r="CI54" i="30"/>
  <c r="CJ54" i="30"/>
  <c r="CK54" i="30"/>
  <c r="CL54" i="30"/>
  <c r="CM54" i="30"/>
  <c r="CN54" i="30"/>
  <c r="CO54" i="30"/>
  <c r="CP54" i="30"/>
  <c r="CQ54" i="30"/>
  <c r="CR54" i="30"/>
  <c r="CS54" i="30"/>
  <c r="CT54" i="30"/>
  <c r="CU54" i="30"/>
  <c r="CV54" i="30"/>
  <c r="CW54" i="30"/>
  <c r="CX54" i="30"/>
  <c r="CY54" i="30"/>
  <c r="CZ54" i="30"/>
  <c r="DA54" i="30"/>
  <c r="DB54" i="30"/>
  <c r="DC54" i="30"/>
  <c r="DD54" i="30"/>
  <c r="DE54" i="30"/>
  <c r="DF54" i="30"/>
  <c r="DG54" i="30"/>
  <c r="DH54" i="30"/>
  <c r="DI54" i="30"/>
  <c r="DJ54" i="30"/>
  <c r="DK54" i="30"/>
  <c r="DL54" i="30"/>
  <c r="DM54" i="30"/>
  <c r="DN54" i="30"/>
  <c r="DO54" i="30"/>
  <c r="DP54" i="30"/>
  <c r="DQ54" i="30"/>
  <c r="DR54" i="30"/>
  <c r="DS54" i="30"/>
  <c r="DT54" i="30"/>
  <c r="DU54" i="30"/>
  <c r="DV54" i="30"/>
  <c r="DW54" i="30"/>
  <c r="DX54" i="30"/>
  <c r="DY54" i="30"/>
  <c r="DZ54" i="30"/>
  <c r="EA54" i="30"/>
  <c r="EB54" i="30"/>
  <c r="EC54" i="30"/>
  <c r="ED54" i="30"/>
  <c r="EE54" i="30"/>
  <c r="EF54" i="30"/>
  <c r="EG54" i="30"/>
  <c r="F57" i="30"/>
  <c r="G57" i="30"/>
  <c r="H57" i="30"/>
  <c r="I57" i="30"/>
  <c r="J57" i="30"/>
  <c r="K57" i="30"/>
  <c r="L57" i="30"/>
  <c r="M57" i="30"/>
  <c r="N57" i="30"/>
  <c r="O57" i="30"/>
  <c r="P57" i="30"/>
  <c r="Q57" i="30"/>
  <c r="R57" i="30"/>
  <c r="S57" i="30"/>
  <c r="T57" i="30"/>
  <c r="U57" i="30"/>
  <c r="V57" i="30"/>
  <c r="W57" i="30"/>
  <c r="X57" i="30"/>
  <c r="Y57" i="30"/>
  <c r="Z57" i="30"/>
  <c r="AA57" i="30"/>
  <c r="AB57" i="30"/>
  <c r="AC57" i="30"/>
  <c r="AD57" i="30"/>
  <c r="AE57" i="30"/>
  <c r="AF57" i="30"/>
  <c r="AG57" i="30"/>
  <c r="AH57" i="30"/>
  <c r="AI57" i="30"/>
  <c r="AJ57" i="30"/>
  <c r="AK57" i="30"/>
  <c r="AL57" i="30"/>
  <c r="AM57" i="30"/>
  <c r="AN57" i="30"/>
  <c r="AO57" i="30"/>
  <c r="AP57" i="30"/>
  <c r="AQ57" i="30"/>
  <c r="AR57" i="30"/>
  <c r="AS57" i="30"/>
  <c r="AT57" i="30"/>
  <c r="AU57" i="30"/>
  <c r="AV57" i="30"/>
  <c r="AW57" i="30"/>
  <c r="AX57" i="30"/>
  <c r="AY57" i="30"/>
  <c r="AZ57" i="30"/>
  <c r="BA57" i="30"/>
  <c r="BB57" i="30"/>
  <c r="BC57" i="30"/>
  <c r="BD57" i="30"/>
  <c r="BE57" i="30"/>
  <c r="BF57" i="30"/>
  <c r="BG57" i="30"/>
  <c r="BH57" i="30"/>
  <c r="BI57" i="30"/>
  <c r="BJ57" i="30"/>
  <c r="BK57" i="30"/>
  <c r="BL57" i="30"/>
  <c r="BM57" i="30"/>
  <c r="BN57" i="30"/>
  <c r="BO57" i="30"/>
  <c r="BP57" i="30"/>
  <c r="BQ57" i="30"/>
  <c r="BR57" i="30"/>
  <c r="BS57" i="30"/>
  <c r="BT57" i="30"/>
  <c r="BU57" i="30"/>
  <c r="BV57" i="30"/>
  <c r="BW57" i="30"/>
  <c r="BX57" i="30"/>
  <c r="BY57" i="30"/>
  <c r="BZ57" i="30"/>
  <c r="CA57" i="30"/>
  <c r="CB57" i="30"/>
  <c r="CC57" i="30"/>
  <c r="CD57" i="30"/>
  <c r="CE57" i="30"/>
  <c r="CF57" i="30"/>
  <c r="CG57" i="30"/>
  <c r="CH57" i="30"/>
  <c r="CI57" i="30"/>
  <c r="CJ57" i="30"/>
  <c r="CK57" i="30"/>
  <c r="CL57" i="30"/>
  <c r="CM57" i="30"/>
  <c r="CN57" i="30"/>
  <c r="CO57" i="30"/>
  <c r="CP57" i="30"/>
  <c r="CQ57" i="30"/>
  <c r="CR57" i="30"/>
  <c r="CS57" i="30"/>
  <c r="CT57" i="30"/>
  <c r="CU57" i="30"/>
  <c r="CV57" i="30"/>
  <c r="CW57" i="30"/>
  <c r="CX57" i="30"/>
  <c r="CY57" i="30"/>
  <c r="CZ57" i="30"/>
  <c r="DA57" i="30"/>
  <c r="DB57" i="30"/>
  <c r="DC57" i="30"/>
  <c r="DD57" i="30"/>
  <c r="DE57" i="30"/>
  <c r="DF57" i="30"/>
  <c r="DG57" i="30"/>
  <c r="DH57" i="30"/>
  <c r="DI57" i="30"/>
  <c r="DJ57" i="30"/>
  <c r="DK57" i="30"/>
  <c r="DL57" i="30"/>
  <c r="DM57" i="30"/>
  <c r="DN57" i="30"/>
  <c r="DO57" i="30"/>
  <c r="DP57" i="30"/>
  <c r="DQ57" i="30"/>
  <c r="DR57" i="30"/>
  <c r="DS57" i="30"/>
  <c r="DT57" i="30"/>
  <c r="DU57" i="30"/>
  <c r="DV57" i="30"/>
  <c r="DW57" i="30"/>
  <c r="DX57" i="30"/>
  <c r="DY57" i="30"/>
  <c r="DZ57" i="30"/>
  <c r="EA57" i="30"/>
  <c r="EB57" i="30"/>
  <c r="EC57" i="30"/>
  <c r="ED57" i="30"/>
  <c r="EE57" i="30"/>
  <c r="EF57" i="30"/>
  <c r="EG57" i="30"/>
  <c r="F58" i="30"/>
  <c r="G58" i="30"/>
  <c r="H58" i="30"/>
  <c r="I58" i="30"/>
  <c r="J58" i="30"/>
  <c r="K58" i="30"/>
  <c r="L58" i="30"/>
  <c r="M58" i="30"/>
  <c r="N58" i="30"/>
  <c r="O58" i="30"/>
  <c r="P58" i="30"/>
  <c r="Q58" i="30"/>
  <c r="R58" i="30"/>
  <c r="S58" i="30"/>
  <c r="T58" i="30"/>
  <c r="U58" i="30"/>
  <c r="V58" i="30"/>
  <c r="W58" i="30"/>
  <c r="X58" i="30"/>
  <c r="Y58" i="30"/>
  <c r="Z58" i="30"/>
  <c r="AA58" i="30"/>
  <c r="AB58" i="30"/>
  <c r="AC58" i="30"/>
  <c r="AD58" i="30"/>
  <c r="AE58" i="30"/>
  <c r="AF58" i="30"/>
  <c r="AG58" i="30"/>
  <c r="AH58" i="30"/>
  <c r="AI58" i="30"/>
  <c r="AJ58" i="30"/>
  <c r="AK58" i="30"/>
  <c r="AL58" i="30"/>
  <c r="AM58" i="30"/>
  <c r="AN58" i="30"/>
  <c r="AO58" i="30"/>
  <c r="AP58" i="30"/>
  <c r="AQ58" i="30"/>
  <c r="AR58" i="30"/>
  <c r="AS58" i="30"/>
  <c r="AT58" i="30"/>
  <c r="AU58" i="30"/>
  <c r="AV58" i="30"/>
  <c r="AW58" i="30"/>
  <c r="AX58" i="30"/>
  <c r="AY58" i="30"/>
  <c r="AZ58" i="30"/>
  <c r="BA58" i="30"/>
  <c r="BB58" i="30"/>
  <c r="BC58" i="30"/>
  <c r="BD58" i="30"/>
  <c r="BE58" i="30"/>
  <c r="BF58" i="30"/>
  <c r="BG58" i="30"/>
  <c r="BH58" i="30"/>
  <c r="BI58" i="30"/>
  <c r="BJ58" i="30"/>
  <c r="BK58" i="30"/>
  <c r="BL58" i="30"/>
  <c r="BM58" i="30"/>
  <c r="BN58" i="30"/>
  <c r="BO58" i="30"/>
  <c r="BP58" i="30"/>
  <c r="BQ58" i="30"/>
  <c r="BR58" i="30"/>
  <c r="BS58" i="30"/>
  <c r="BT58" i="30"/>
  <c r="BU58" i="30"/>
  <c r="BV58" i="30"/>
  <c r="BW58" i="30"/>
  <c r="BX58" i="30"/>
  <c r="BY58" i="30"/>
  <c r="BZ58" i="30"/>
  <c r="CA58" i="30"/>
  <c r="CB58" i="30"/>
  <c r="CC58" i="30"/>
  <c r="CD58" i="30"/>
  <c r="CE58" i="30"/>
  <c r="CF58" i="30"/>
  <c r="CG58" i="30"/>
  <c r="CH58" i="30"/>
  <c r="CI58" i="30"/>
  <c r="CJ58" i="30"/>
  <c r="CK58" i="30"/>
  <c r="CL58" i="30"/>
  <c r="CM58" i="30"/>
  <c r="CN58" i="30"/>
  <c r="CO58" i="30"/>
  <c r="CP58" i="30"/>
  <c r="CQ58" i="30"/>
  <c r="CR58" i="30"/>
  <c r="CS58" i="30"/>
  <c r="CT58" i="30"/>
  <c r="CU58" i="30"/>
  <c r="CV58" i="30"/>
  <c r="CW58" i="30"/>
  <c r="CX58" i="30"/>
  <c r="CY58" i="30"/>
  <c r="CZ58" i="30"/>
  <c r="DA58" i="30"/>
  <c r="DB58" i="30"/>
  <c r="DC58" i="30"/>
  <c r="DD58" i="30"/>
  <c r="DE58" i="30"/>
  <c r="DF58" i="30"/>
  <c r="DG58" i="30"/>
  <c r="DH58" i="30"/>
  <c r="DI58" i="30"/>
  <c r="DJ58" i="30"/>
  <c r="DK58" i="30"/>
  <c r="DL58" i="30"/>
  <c r="DM58" i="30"/>
  <c r="DN58" i="30"/>
  <c r="DO58" i="30"/>
  <c r="DP58" i="30"/>
  <c r="DQ58" i="30"/>
  <c r="DR58" i="30"/>
  <c r="DS58" i="30"/>
  <c r="DT58" i="30"/>
  <c r="DU58" i="30"/>
  <c r="DV58" i="30"/>
  <c r="DW58" i="30"/>
  <c r="DX58" i="30"/>
  <c r="DY58" i="30"/>
  <c r="DZ58" i="30"/>
  <c r="EA58" i="30"/>
  <c r="EB58" i="30"/>
  <c r="EC58" i="30"/>
  <c r="ED58" i="30"/>
  <c r="EE58" i="30"/>
  <c r="EF58" i="30"/>
  <c r="EG58" i="30"/>
  <c r="F59" i="30"/>
  <c r="G59" i="30"/>
  <c r="H59" i="30"/>
  <c r="I59" i="30"/>
  <c r="J59" i="30"/>
  <c r="K59" i="30"/>
  <c r="L59" i="30"/>
  <c r="M59" i="30"/>
  <c r="N59" i="30"/>
  <c r="O59" i="30"/>
  <c r="P59" i="30"/>
  <c r="Q59" i="30"/>
  <c r="R59" i="30"/>
  <c r="S59" i="30"/>
  <c r="T59" i="30"/>
  <c r="U59" i="30"/>
  <c r="V59" i="30"/>
  <c r="W59" i="30"/>
  <c r="X59" i="30"/>
  <c r="Y59" i="30"/>
  <c r="Z59" i="30"/>
  <c r="AA59" i="30"/>
  <c r="AB59" i="30"/>
  <c r="AC59" i="30"/>
  <c r="AD59" i="30"/>
  <c r="AE59" i="30"/>
  <c r="AF59" i="30"/>
  <c r="AG59" i="30"/>
  <c r="AH59" i="30"/>
  <c r="AI59" i="30"/>
  <c r="AJ59" i="30"/>
  <c r="AK59" i="30"/>
  <c r="AL59" i="30"/>
  <c r="AM59" i="30"/>
  <c r="AN59" i="30"/>
  <c r="AO59" i="30"/>
  <c r="AP59" i="30"/>
  <c r="AQ59" i="30"/>
  <c r="AR59" i="30"/>
  <c r="AS59" i="30"/>
  <c r="AT59" i="30"/>
  <c r="AU59" i="30"/>
  <c r="AV59" i="30"/>
  <c r="AW59" i="30"/>
  <c r="AX59" i="30"/>
  <c r="AY59" i="30"/>
  <c r="AZ59" i="30"/>
  <c r="BA59" i="30"/>
  <c r="BB59" i="30"/>
  <c r="BC59" i="30"/>
  <c r="BD59" i="30"/>
  <c r="BE59" i="30"/>
  <c r="BF59" i="30"/>
  <c r="BG59" i="30"/>
  <c r="BH59" i="30"/>
  <c r="BI59" i="30"/>
  <c r="BJ59" i="30"/>
  <c r="BK59" i="30"/>
  <c r="BL59" i="30"/>
  <c r="BM59" i="30"/>
  <c r="BN59" i="30"/>
  <c r="BO59" i="30"/>
  <c r="BP59" i="30"/>
  <c r="BQ59" i="30"/>
  <c r="BR59" i="30"/>
  <c r="BS59" i="30"/>
  <c r="BT59" i="30"/>
  <c r="BU59" i="30"/>
  <c r="BV59" i="30"/>
  <c r="BW59" i="30"/>
  <c r="BX59" i="30"/>
  <c r="BY59" i="30"/>
  <c r="BZ59" i="30"/>
  <c r="CA59" i="30"/>
  <c r="CB59" i="30"/>
  <c r="CC59" i="30"/>
  <c r="CD59" i="30"/>
  <c r="CE59" i="30"/>
  <c r="CF59" i="30"/>
  <c r="CG59" i="30"/>
  <c r="CH59" i="30"/>
  <c r="CI59" i="30"/>
  <c r="CJ59" i="30"/>
  <c r="CK59" i="30"/>
  <c r="CL59" i="30"/>
  <c r="CM59" i="30"/>
  <c r="CN59" i="30"/>
  <c r="CO59" i="30"/>
  <c r="CP59" i="30"/>
  <c r="CQ59" i="30"/>
  <c r="CR59" i="30"/>
  <c r="CS59" i="30"/>
  <c r="CT59" i="30"/>
  <c r="CU59" i="30"/>
  <c r="CV59" i="30"/>
  <c r="CW59" i="30"/>
  <c r="CX59" i="30"/>
  <c r="CY59" i="30"/>
  <c r="CZ59" i="30"/>
  <c r="DA59" i="30"/>
  <c r="DB59" i="30"/>
  <c r="DC59" i="30"/>
  <c r="DD59" i="30"/>
  <c r="DE59" i="30"/>
  <c r="DF59" i="30"/>
  <c r="DG59" i="30"/>
  <c r="DH59" i="30"/>
  <c r="DI59" i="30"/>
  <c r="DJ59" i="30"/>
  <c r="DK59" i="30"/>
  <c r="DL59" i="30"/>
  <c r="DM59" i="30"/>
  <c r="DN59" i="30"/>
  <c r="DO59" i="30"/>
  <c r="DP59" i="30"/>
  <c r="DQ59" i="30"/>
  <c r="DR59" i="30"/>
  <c r="DS59" i="30"/>
  <c r="DT59" i="30"/>
  <c r="DU59" i="30"/>
  <c r="DV59" i="30"/>
  <c r="DW59" i="30"/>
  <c r="DX59" i="30"/>
  <c r="DY59" i="30"/>
  <c r="DZ59" i="30"/>
  <c r="EA59" i="30"/>
  <c r="EB59" i="30"/>
  <c r="EC59" i="30"/>
  <c r="ED59" i="30"/>
  <c r="EE59" i="30"/>
  <c r="EF59" i="30"/>
  <c r="EG59" i="30"/>
  <c r="E60" i="30"/>
  <c r="F60" i="30"/>
  <c r="G60" i="30"/>
  <c r="H60" i="30"/>
  <c r="I60" i="30"/>
  <c r="J60" i="30"/>
  <c r="K60" i="30"/>
  <c r="L60" i="30"/>
  <c r="M60" i="30"/>
  <c r="N60" i="30"/>
  <c r="O60" i="30"/>
  <c r="P60" i="30"/>
  <c r="Q60" i="30"/>
  <c r="R60" i="30"/>
  <c r="S60" i="30"/>
  <c r="T60" i="30"/>
  <c r="U60" i="30"/>
  <c r="V60" i="30"/>
  <c r="W60" i="30"/>
  <c r="X60" i="30"/>
  <c r="Y60" i="30"/>
  <c r="Z60" i="30"/>
  <c r="AA60" i="30"/>
  <c r="AB60" i="30"/>
  <c r="AC60" i="30"/>
  <c r="AD60" i="30"/>
  <c r="AE60" i="30"/>
  <c r="AF60" i="30"/>
  <c r="AG60" i="30"/>
  <c r="AH60" i="30"/>
  <c r="AI60" i="30"/>
  <c r="AJ60" i="30"/>
  <c r="AK60" i="30"/>
  <c r="AL60" i="30"/>
  <c r="AM60" i="30"/>
  <c r="AN60" i="30"/>
  <c r="AO60" i="30"/>
  <c r="AP60" i="30"/>
  <c r="AQ60" i="30"/>
  <c r="AR60" i="30"/>
  <c r="AS60" i="30"/>
  <c r="AT60" i="30"/>
  <c r="AU60" i="30"/>
  <c r="AV60" i="30"/>
  <c r="AW60" i="30"/>
  <c r="AX60" i="30"/>
  <c r="AY60" i="30"/>
  <c r="AZ60" i="30"/>
  <c r="BA60" i="30"/>
  <c r="BB60" i="30"/>
  <c r="BC60" i="30"/>
  <c r="BD60" i="30"/>
  <c r="BE60" i="30"/>
  <c r="BF60" i="30"/>
  <c r="BG60" i="30"/>
  <c r="BH60" i="30"/>
  <c r="BI60" i="30"/>
  <c r="BJ60" i="30"/>
  <c r="BK60" i="30"/>
  <c r="BL60" i="30"/>
  <c r="BM60" i="30"/>
  <c r="BN60" i="30"/>
  <c r="BO60" i="30"/>
  <c r="BP60" i="30"/>
  <c r="BQ60" i="30"/>
  <c r="BR60" i="30"/>
  <c r="BS60" i="30"/>
  <c r="BT60" i="30"/>
  <c r="BU60" i="30"/>
  <c r="BV60" i="30"/>
  <c r="BW60" i="30"/>
  <c r="BX60" i="30"/>
  <c r="BY60" i="30"/>
  <c r="BZ60" i="30"/>
  <c r="CA60" i="30"/>
  <c r="CB60" i="30"/>
  <c r="CC60" i="30"/>
  <c r="CD60" i="30"/>
  <c r="CE60" i="30"/>
  <c r="CF60" i="30"/>
  <c r="CG60" i="30"/>
  <c r="CH60" i="30"/>
  <c r="CI60" i="30"/>
  <c r="CJ60" i="30"/>
  <c r="CK60" i="30"/>
  <c r="CL60" i="30"/>
  <c r="CM60" i="30"/>
  <c r="CN60" i="30"/>
  <c r="CO60" i="30"/>
  <c r="CP60" i="30"/>
  <c r="CQ60" i="30"/>
  <c r="CR60" i="30"/>
  <c r="CS60" i="30"/>
  <c r="CT60" i="30"/>
  <c r="CU60" i="30"/>
  <c r="CV60" i="30"/>
  <c r="CW60" i="30"/>
  <c r="CX60" i="30"/>
  <c r="CY60" i="30"/>
  <c r="CZ60" i="30"/>
  <c r="DA60" i="30"/>
  <c r="DB60" i="30"/>
  <c r="DC60" i="30"/>
  <c r="DD60" i="30"/>
  <c r="DE60" i="30"/>
  <c r="DF60" i="30"/>
  <c r="DG60" i="30"/>
  <c r="DH60" i="30"/>
  <c r="DI60" i="30"/>
  <c r="DJ60" i="30"/>
  <c r="DK60" i="30"/>
  <c r="DL60" i="30"/>
  <c r="DM60" i="30"/>
  <c r="DN60" i="30"/>
  <c r="DO60" i="30"/>
  <c r="DP60" i="30"/>
  <c r="DQ60" i="30"/>
  <c r="DR60" i="30"/>
  <c r="DS60" i="30"/>
  <c r="DT60" i="30"/>
  <c r="DU60" i="30"/>
  <c r="DV60" i="30"/>
  <c r="DW60" i="30"/>
  <c r="DX60" i="30"/>
  <c r="DY60" i="30"/>
  <c r="DZ60" i="30"/>
  <c r="EA60" i="30"/>
  <c r="EB60" i="30"/>
  <c r="EC60" i="30"/>
  <c r="ED60" i="30"/>
  <c r="EE60" i="30"/>
  <c r="EF60" i="30"/>
  <c r="EG60" i="30"/>
  <c r="E61" i="30"/>
  <c r="F61" i="30"/>
  <c r="G61" i="30"/>
  <c r="H61" i="30"/>
  <c r="I61" i="30"/>
  <c r="J61" i="30"/>
  <c r="K61" i="30"/>
  <c r="L61" i="30"/>
  <c r="M61" i="30"/>
  <c r="N61" i="30"/>
  <c r="O61" i="30"/>
  <c r="P61" i="30"/>
  <c r="Q61" i="30"/>
  <c r="R61" i="30"/>
  <c r="S61" i="30"/>
  <c r="T61" i="30"/>
  <c r="U61" i="30"/>
  <c r="V61" i="30"/>
  <c r="W61" i="30"/>
  <c r="X61" i="30"/>
  <c r="Y61" i="30"/>
  <c r="Z61" i="30"/>
  <c r="AA61" i="30"/>
  <c r="AB61" i="30"/>
  <c r="AC61" i="30"/>
  <c r="AD61" i="30"/>
  <c r="AE61" i="30"/>
  <c r="AF61" i="30"/>
  <c r="AG61" i="30"/>
  <c r="AH61" i="30"/>
  <c r="AI61" i="30"/>
  <c r="AJ61" i="30"/>
  <c r="AK61" i="30"/>
  <c r="AL61" i="30"/>
  <c r="AM61" i="30"/>
  <c r="AN61" i="30"/>
  <c r="AO61" i="30"/>
  <c r="AP61" i="30"/>
  <c r="AQ61" i="30"/>
  <c r="AR61" i="30"/>
  <c r="AS61" i="30"/>
  <c r="AT61" i="30"/>
  <c r="AU61" i="30"/>
  <c r="AV61" i="30"/>
  <c r="AW61" i="30"/>
  <c r="AX61" i="30"/>
  <c r="AY61" i="30"/>
  <c r="AZ61" i="30"/>
  <c r="BA61" i="30"/>
  <c r="BB61" i="30"/>
  <c r="BC61" i="30"/>
  <c r="BD61" i="30"/>
  <c r="BE61" i="30"/>
  <c r="BF61" i="30"/>
  <c r="BG61" i="30"/>
  <c r="BH61" i="30"/>
  <c r="BI61" i="30"/>
  <c r="BJ61" i="30"/>
  <c r="BK61" i="30"/>
  <c r="BL61" i="30"/>
  <c r="BM61" i="30"/>
  <c r="BN61" i="30"/>
  <c r="BO61" i="30"/>
  <c r="BP61" i="30"/>
  <c r="BQ61" i="30"/>
  <c r="BR61" i="30"/>
  <c r="BS61" i="30"/>
  <c r="BT61" i="30"/>
  <c r="BU61" i="30"/>
  <c r="BV61" i="30"/>
  <c r="BW61" i="30"/>
  <c r="BX61" i="30"/>
  <c r="BY61" i="30"/>
  <c r="BZ61" i="30"/>
  <c r="CA61" i="30"/>
  <c r="CB61" i="30"/>
  <c r="CC61" i="30"/>
  <c r="CD61" i="30"/>
  <c r="CE61" i="30"/>
  <c r="CF61" i="30"/>
  <c r="CG61" i="30"/>
  <c r="CH61" i="30"/>
  <c r="CI61" i="30"/>
  <c r="CJ61" i="30"/>
  <c r="CK61" i="30"/>
  <c r="CL61" i="30"/>
  <c r="CM61" i="30"/>
  <c r="CN61" i="30"/>
  <c r="CO61" i="30"/>
  <c r="CP61" i="30"/>
  <c r="CQ61" i="30"/>
  <c r="CR61" i="30"/>
  <c r="CS61" i="30"/>
  <c r="CT61" i="30"/>
  <c r="CU61" i="30"/>
  <c r="CV61" i="30"/>
  <c r="CW61" i="30"/>
  <c r="CX61" i="30"/>
  <c r="CY61" i="30"/>
  <c r="CZ61" i="30"/>
  <c r="DA61" i="30"/>
  <c r="DB61" i="30"/>
  <c r="DC61" i="30"/>
  <c r="DD61" i="30"/>
  <c r="DE61" i="30"/>
  <c r="DF61" i="30"/>
  <c r="DG61" i="30"/>
  <c r="DH61" i="30"/>
  <c r="DI61" i="30"/>
  <c r="DJ61" i="30"/>
  <c r="DK61" i="30"/>
  <c r="DL61" i="30"/>
  <c r="DM61" i="30"/>
  <c r="DN61" i="30"/>
  <c r="DO61" i="30"/>
  <c r="DP61" i="30"/>
  <c r="DQ61" i="30"/>
  <c r="DR61" i="30"/>
  <c r="DS61" i="30"/>
  <c r="DT61" i="30"/>
  <c r="DU61" i="30"/>
  <c r="DV61" i="30"/>
  <c r="DW61" i="30"/>
  <c r="DX61" i="30"/>
  <c r="DY61" i="30"/>
  <c r="DZ61" i="30"/>
  <c r="EA61" i="30"/>
  <c r="EB61" i="30"/>
  <c r="EC61" i="30"/>
  <c r="ED61" i="30"/>
  <c r="EE61" i="30"/>
  <c r="EF61" i="30"/>
  <c r="EG61" i="30"/>
  <c r="AH62" i="30"/>
  <c r="E63" i="30"/>
  <c r="F63" i="30"/>
  <c r="G63" i="30"/>
  <c r="H63" i="30"/>
  <c r="I63" i="30"/>
  <c r="J63" i="30"/>
  <c r="K63" i="30"/>
  <c r="L63" i="30"/>
  <c r="M63" i="30"/>
  <c r="N63" i="30"/>
  <c r="O63" i="30"/>
  <c r="P63" i="30"/>
  <c r="Q63" i="30"/>
  <c r="R63" i="30"/>
  <c r="S63" i="30"/>
  <c r="T63" i="30"/>
  <c r="U63" i="30"/>
  <c r="V63" i="30"/>
  <c r="W63" i="30"/>
  <c r="X63" i="30"/>
  <c r="Y63" i="30"/>
  <c r="Z63" i="30"/>
  <c r="AA63" i="30"/>
  <c r="AB63" i="30"/>
  <c r="AC63" i="30"/>
  <c r="AD63" i="30"/>
  <c r="AE63" i="30"/>
  <c r="AF63" i="30"/>
  <c r="AG63" i="30"/>
  <c r="AH63" i="30"/>
  <c r="AI63" i="30"/>
  <c r="AJ63" i="30"/>
  <c r="AK63" i="30"/>
  <c r="AL63" i="30"/>
  <c r="AM63" i="30"/>
  <c r="AN63" i="30"/>
  <c r="AO63" i="30"/>
  <c r="AP63" i="30"/>
  <c r="AQ63" i="30"/>
  <c r="AR63" i="30"/>
  <c r="AS63" i="30"/>
  <c r="AT63" i="30"/>
  <c r="AU63" i="30"/>
  <c r="AV63" i="30"/>
  <c r="AW63" i="30"/>
  <c r="AX63" i="30"/>
  <c r="AY63" i="30"/>
  <c r="AZ63" i="30"/>
  <c r="BA63" i="30"/>
  <c r="BB63" i="30"/>
  <c r="BC63" i="30"/>
  <c r="BD63" i="30"/>
  <c r="BE63" i="30"/>
  <c r="BF63" i="30"/>
  <c r="BG63" i="30"/>
  <c r="BH63" i="30"/>
  <c r="BI63" i="30"/>
  <c r="BJ63" i="30"/>
  <c r="BK63" i="30"/>
  <c r="BL63" i="30"/>
  <c r="BM63" i="30"/>
  <c r="BN63" i="30"/>
  <c r="BO63" i="30"/>
  <c r="BP63" i="30"/>
  <c r="BQ63" i="30"/>
  <c r="BR63" i="30"/>
  <c r="BS63" i="30"/>
  <c r="BT63" i="30"/>
  <c r="BU63" i="30"/>
  <c r="BV63" i="30"/>
  <c r="BW63" i="30"/>
  <c r="BX63" i="30"/>
  <c r="BY63" i="30"/>
  <c r="BZ63" i="30"/>
  <c r="CA63" i="30"/>
  <c r="CB63" i="30"/>
  <c r="CC63" i="30"/>
  <c r="CD63" i="30"/>
  <c r="CE63" i="30"/>
  <c r="CF63" i="30"/>
  <c r="CG63" i="30"/>
  <c r="CH63" i="30"/>
  <c r="CI63" i="30"/>
  <c r="CJ63" i="30"/>
  <c r="CK63" i="30"/>
  <c r="CL63" i="30"/>
  <c r="CM63" i="30"/>
  <c r="CN63" i="30"/>
  <c r="CO63" i="30"/>
  <c r="CP63" i="30"/>
  <c r="CQ63" i="30"/>
  <c r="CR63" i="30"/>
  <c r="CS63" i="30"/>
  <c r="CT63" i="30"/>
  <c r="CU63" i="30"/>
  <c r="CV63" i="30"/>
  <c r="CW63" i="30"/>
  <c r="CX63" i="30"/>
  <c r="CY63" i="30"/>
  <c r="CZ63" i="30"/>
  <c r="DA63" i="30"/>
  <c r="DB63" i="30"/>
  <c r="DC63" i="30"/>
  <c r="DD63" i="30"/>
  <c r="DE63" i="30"/>
  <c r="DF63" i="30"/>
  <c r="DG63" i="30"/>
  <c r="DH63" i="30"/>
  <c r="DI63" i="30"/>
  <c r="DJ63" i="30"/>
  <c r="DK63" i="30"/>
  <c r="DL63" i="30"/>
  <c r="DM63" i="30"/>
  <c r="DN63" i="30"/>
  <c r="DO63" i="30"/>
  <c r="DP63" i="30"/>
  <c r="DQ63" i="30"/>
  <c r="DR63" i="30"/>
  <c r="DS63" i="30"/>
  <c r="DT63" i="30"/>
  <c r="DU63" i="30"/>
  <c r="DV63" i="30"/>
  <c r="DW63" i="30"/>
  <c r="DX63" i="30"/>
  <c r="DY63" i="30"/>
  <c r="DZ63" i="30"/>
  <c r="EA63" i="30"/>
  <c r="EB63" i="30"/>
  <c r="EC63" i="30"/>
  <c r="ED63" i="30"/>
  <c r="EE63" i="30"/>
  <c r="EF63" i="30"/>
  <c r="EG63" i="30"/>
  <c r="F66" i="30"/>
  <c r="G66" i="30"/>
  <c r="H66" i="30"/>
  <c r="I66" i="30"/>
  <c r="J66" i="30"/>
  <c r="K66" i="30"/>
  <c r="L66" i="30"/>
  <c r="M66" i="30"/>
  <c r="N66" i="30"/>
  <c r="O66" i="30"/>
  <c r="P66" i="30"/>
  <c r="Q66" i="30"/>
  <c r="R66" i="30"/>
  <c r="S66" i="30"/>
  <c r="T66" i="30"/>
  <c r="U66" i="30"/>
  <c r="V66" i="30"/>
  <c r="W66" i="30"/>
  <c r="X66" i="30"/>
  <c r="Y66" i="30"/>
  <c r="Z66" i="30"/>
  <c r="AA66" i="30"/>
  <c r="AB66" i="30"/>
  <c r="AC66" i="30"/>
  <c r="AD66" i="30"/>
  <c r="AE66" i="30"/>
  <c r="AF66" i="30"/>
  <c r="AG66" i="30"/>
  <c r="AH66" i="30"/>
  <c r="AI66" i="30"/>
  <c r="AJ66" i="30"/>
  <c r="AK66" i="30"/>
  <c r="AL66" i="30"/>
  <c r="AM66" i="30"/>
  <c r="AN66" i="30"/>
  <c r="AO66" i="30"/>
  <c r="AP66" i="30"/>
  <c r="AQ66" i="30"/>
  <c r="AR66" i="30"/>
  <c r="AS66" i="30"/>
  <c r="AT66" i="30"/>
  <c r="AU66" i="30"/>
  <c r="AV66" i="30"/>
  <c r="AW66" i="30"/>
  <c r="AX66" i="30"/>
  <c r="AY66" i="30"/>
  <c r="AZ66" i="30"/>
  <c r="BA66" i="30"/>
  <c r="BB66" i="30"/>
  <c r="BC66" i="30"/>
  <c r="BD66" i="30"/>
  <c r="BE66" i="30"/>
  <c r="BF66" i="30"/>
  <c r="BG66" i="30"/>
  <c r="BH66" i="30"/>
  <c r="BI66" i="30"/>
  <c r="BJ66" i="30"/>
  <c r="BK66" i="30"/>
  <c r="BL66" i="30"/>
  <c r="BM66" i="30"/>
  <c r="BN66" i="30"/>
  <c r="BO66" i="30"/>
  <c r="BP66" i="30"/>
  <c r="BQ66" i="30"/>
  <c r="BR66" i="30"/>
  <c r="BS66" i="30"/>
  <c r="BT66" i="30"/>
  <c r="BU66" i="30"/>
  <c r="BV66" i="30"/>
  <c r="BW66" i="30"/>
  <c r="BX66" i="30"/>
  <c r="BY66" i="30"/>
  <c r="BZ66" i="30"/>
  <c r="CA66" i="30"/>
  <c r="CB66" i="30"/>
  <c r="CC66" i="30"/>
  <c r="CD66" i="30"/>
  <c r="CE66" i="30"/>
  <c r="CF66" i="30"/>
  <c r="CG66" i="30"/>
  <c r="CH66" i="30"/>
  <c r="CI66" i="30"/>
  <c r="CJ66" i="30"/>
  <c r="CK66" i="30"/>
  <c r="CL66" i="30"/>
  <c r="CM66" i="30"/>
  <c r="CN66" i="30"/>
  <c r="CO66" i="30"/>
  <c r="CP66" i="30"/>
  <c r="CQ66" i="30"/>
  <c r="CR66" i="30"/>
  <c r="CS66" i="30"/>
  <c r="CT66" i="30"/>
  <c r="CU66" i="30"/>
  <c r="CV66" i="30"/>
  <c r="CW66" i="30"/>
  <c r="CX66" i="30"/>
  <c r="CY66" i="30"/>
  <c r="CZ66" i="30"/>
  <c r="DA66" i="30"/>
  <c r="DB66" i="30"/>
  <c r="DC66" i="30"/>
  <c r="DD66" i="30"/>
  <c r="DE66" i="30"/>
  <c r="DF66" i="30"/>
  <c r="DG66" i="30"/>
  <c r="DH66" i="30"/>
  <c r="DI66" i="30"/>
  <c r="DJ66" i="30"/>
  <c r="DK66" i="30"/>
  <c r="DL66" i="30"/>
  <c r="DM66" i="30"/>
  <c r="DN66" i="30"/>
  <c r="DO66" i="30"/>
  <c r="DP66" i="30"/>
  <c r="DQ66" i="30"/>
  <c r="DR66" i="30"/>
  <c r="DS66" i="30"/>
  <c r="DT66" i="30"/>
  <c r="DU66" i="30"/>
  <c r="DV66" i="30"/>
  <c r="DW66" i="30"/>
  <c r="DX66" i="30"/>
  <c r="DY66" i="30"/>
  <c r="DZ66" i="30"/>
  <c r="EA66" i="30"/>
  <c r="EB66" i="30"/>
  <c r="EC66" i="30"/>
  <c r="ED66" i="30"/>
  <c r="EE66" i="30"/>
  <c r="EF66" i="30"/>
  <c r="EG66" i="30"/>
  <c r="E67" i="30"/>
  <c r="F67" i="30"/>
  <c r="G67" i="30"/>
  <c r="H67" i="30"/>
  <c r="I67" i="30"/>
  <c r="J67" i="30"/>
  <c r="K67" i="30"/>
  <c r="L67" i="30"/>
  <c r="M67" i="30"/>
  <c r="N67" i="30"/>
  <c r="O67" i="30"/>
  <c r="P67" i="30"/>
  <c r="Q67" i="30"/>
  <c r="R67" i="30"/>
  <c r="S67" i="30"/>
  <c r="T67" i="30"/>
  <c r="U67" i="30"/>
  <c r="V67" i="30"/>
  <c r="W67" i="30"/>
  <c r="X67" i="30"/>
  <c r="Y67" i="30"/>
  <c r="Z67" i="30"/>
  <c r="AA67" i="30"/>
  <c r="AB67" i="30"/>
  <c r="AC67" i="30"/>
  <c r="AD67" i="30"/>
  <c r="AE67" i="30"/>
  <c r="AF67" i="30"/>
  <c r="AG67" i="30"/>
  <c r="AH67" i="30"/>
  <c r="AI67" i="30"/>
  <c r="AJ67" i="30"/>
  <c r="AK67" i="30"/>
  <c r="AL67" i="30"/>
  <c r="AM67" i="30"/>
  <c r="AN67" i="30"/>
  <c r="AO67" i="30"/>
  <c r="AP67" i="30"/>
  <c r="AQ67" i="30"/>
  <c r="AR67" i="30"/>
  <c r="AS67" i="30"/>
  <c r="AT67" i="30"/>
  <c r="AU67" i="30"/>
  <c r="AV67" i="30"/>
  <c r="AW67" i="30"/>
  <c r="AX67" i="30"/>
  <c r="AY67" i="30"/>
  <c r="AZ67" i="30"/>
  <c r="BA67" i="30"/>
  <c r="BB67" i="30"/>
  <c r="BC67" i="30"/>
  <c r="BD67" i="30"/>
  <c r="BE67" i="30"/>
  <c r="BF67" i="30"/>
  <c r="BG67" i="30"/>
  <c r="BH67" i="30"/>
  <c r="BI67" i="30"/>
  <c r="BJ67" i="30"/>
  <c r="BK67" i="30"/>
  <c r="BL67" i="30"/>
  <c r="BM67" i="30"/>
  <c r="BN67" i="30"/>
  <c r="BO67" i="30"/>
  <c r="BP67" i="30"/>
  <c r="BQ67" i="30"/>
  <c r="BR67" i="30"/>
  <c r="BS67" i="30"/>
  <c r="BT67" i="30"/>
  <c r="BU67" i="30"/>
  <c r="BV67" i="30"/>
  <c r="BW67" i="30"/>
  <c r="BX67" i="30"/>
  <c r="BY67" i="30"/>
  <c r="BZ67" i="30"/>
  <c r="CA67" i="30"/>
  <c r="CB67" i="30"/>
  <c r="CC67" i="30"/>
  <c r="CD67" i="30"/>
  <c r="CE67" i="30"/>
  <c r="CF67" i="30"/>
  <c r="CG67" i="30"/>
  <c r="CH67" i="30"/>
  <c r="CI67" i="30"/>
  <c r="CJ67" i="30"/>
  <c r="CK67" i="30"/>
  <c r="CL67" i="30"/>
  <c r="CM67" i="30"/>
  <c r="CN67" i="30"/>
  <c r="CO67" i="30"/>
  <c r="CP67" i="30"/>
  <c r="CQ67" i="30"/>
  <c r="CR67" i="30"/>
  <c r="CS67" i="30"/>
  <c r="CT67" i="30"/>
  <c r="CU67" i="30"/>
  <c r="CV67" i="30"/>
  <c r="CW67" i="30"/>
  <c r="CX67" i="30"/>
  <c r="CY67" i="30"/>
  <c r="CZ67" i="30"/>
  <c r="DA67" i="30"/>
  <c r="DB67" i="30"/>
  <c r="DC67" i="30"/>
  <c r="DD67" i="30"/>
  <c r="DE67" i="30"/>
  <c r="DF67" i="30"/>
  <c r="DG67" i="30"/>
  <c r="DH67" i="30"/>
  <c r="DI67" i="30"/>
  <c r="DJ67" i="30"/>
  <c r="DK67" i="30"/>
  <c r="DL67" i="30"/>
  <c r="DM67" i="30"/>
  <c r="DN67" i="30"/>
  <c r="DO67" i="30"/>
  <c r="DP67" i="30"/>
  <c r="DQ67" i="30"/>
  <c r="DR67" i="30"/>
  <c r="DS67" i="30"/>
  <c r="DT67" i="30"/>
  <c r="DU67" i="30"/>
  <c r="DV67" i="30"/>
  <c r="DW67" i="30"/>
  <c r="DX67" i="30"/>
  <c r="DY67" i="30"/>
  <c r="DZ67" i="30"/>
  <c r="EA67" i="30"/>
  <c r="EB67" i="30"/>
  <c r="EC67" i="30"/>
  <c r="ED67" i="30"/>
  <c r="EE67" i="30"/>
  <c r="EF67" i="30"/>
  <c r="EG67" i="30"/>
  <c r="E68" i="30"/>
  <c r="F68" i="30"/>
  <c r="G68" i="30"/>
  <c r="H68" i="30"/>
  <c r="I68" i="30"/>
  <c r="J68" i="30"/>
  <c r="K68" i="30"/>
  <c r="L68" i="30"/>
  <c r="M68" i="30"/>
  <c r="N68" i="30"/>
  <c r="O68" i="30"/>
  <c r="P68" i="30"/>
  <c r="Q68" i="30"/>
  <c r="R68" i="30"/>
  <c r="S68" i="30"/>
  <c r="T68" i="30"/>
  <c r="U68" i="30"/>
  <c r="V68" i="30"/>
  <c r="W68" i="30"/>
  <c r="X68" i="30"/>
  <c r="Y68" i="30"/>
  <c r="Z68" i="30"/>
  <c r="AA68" i="30"/>
  <c r="AB68" i="30"/>
  <c r="AC68" i="30"/>
  <c r="AD68" i="30"/>
  <c r="AE68" i="30"/>
  <c r="AF68" i="30"/>
  <c r="AG68" i="30"/>
  <c r="AH68" i="30"/>
  <c r="AI68" i="30"/>
  <c r="AJ68" i="30"/>
  <c r="AK68" i="30"/>
  <c r="AL68" i="30"/>
  <c r="AM68" i="30"/>
  <c r="AN68" i="30"/>
  <c r="AO68" i="30"/>
  <c r="AP68" i="30"/>
  <c r="AQ68" i="30"/>
  <c r="AR68" i="30"/>
  <c r="AS68" i="30"/>
  <c r="AT68" i="30"/>
  <c r="AU68" i="30"/>
  <c r="AV68" i="30"/>
  <c r="AW68" i="30"/>
  <c r="AX68" i="30"/>
  <c r="AY68" i="30"/>
  <c r="AZ68" i="30"/>
  <c r="BA68" i="30"/>
  <c r="BB68" i="30"/>
  <c r="BC68" i="30"/>
  <c r="BD68" i="30"/>
  <c r="BE68" i="30"/>
  <c r="BF68" i="30"/>
  <c r="BG68" i="30"/>
  <c r="BH68" i="30"/>
  <c r="BI68" i="30"/>
  <c r="BJ68" i="30"/>
  <c r="BK68" i="30"/>
  <c r="BL68" i="30"/>
  <c r="BM68" i="30"/>
  <c r="BN68" i="30"/>
  <c r="BO68" i="30"/>
  <c r="BP68" i="30"/>
  <c r="BQ68" i="30"/>
  <c r="BR68" i="30"/>
  <c r="BS68" i="30"/>
  <c r="BT68" i="30"/>
  <c r="BU68" i="30"/>
  <c r="BV68" i="30"/>
  <c r="BW68" i="30"/>
  <c r="BX68" i="30"/>
  <c r="BY68" i="30"/>
  <c r="BZ68" i="30"/>
  <c r="CA68" i="30"/>
  <c r="CB68" i="30"/>
  <c r="CC68" i="30"/>
  <c r="CD68" i="30"/>
  <c r="CE68" i="30"/>
  <c r="CF68" i="30"/>
  <c r="CG68" i="30"/>
  <c r="CH68" i="30"/>
  <c r="CI68" i="30"/>
  <c r="CJ68" i="30"/>
  <c r="CK68" i="30"/>
  <c r="CL68" i="30"/>
  <c r="CM68" i="30"/>
  <c r="CN68" i="30"/>
  <c r="CO68" i="30"/>
  <c r="CP68" i="30"/>
  <c r="CQ68" i="30"/>
  <c r="CR68" i="30"/>
  <c r="CS68" i="30"/>
  <c r="CT68" i="30"/>
  <c r="CU68" i="30"/>
  <c r="CV68" i="30"/>
  <c r="CW68" i="30"/>
  <c r="CX68" i="30"/>
  <c r="CY68" i="30"/>
  <c r="CZ68" i="30"/>
  <c r="DA68" i="30"/>
  <c r="DB68" i="30"/>
  <c r="DC68" i="30"/>
  <c r="DD68" i="30"/>
  <c r="DE68" i="30"/>
  <c r="DF68" i="30"/>
  <c r="DG68" i="30"/>
  <c r="DH68" i="30"/>
  <c r="DI68" i="30"/>
  <c r="DJ68" i="30"/>
  <c r="DK68" i="30"/>
  <c r="DL68" i="30"/>
  <c r="DM68" i="30"/>
  <c r="DN68" i="30"/>
  <c r="DO68" i="30"/>
  <c r="DP68" i="30"/>
  <c r="DQ68" i="30"/>
  <c r="DR68" i="30"/>
  <c r="DS68" i="30"/>
  <c r="DT68" i="30"/>
  <c r="DU68" i="30"/>
  <c r="DV68" i="30"/>
  <c r="DW68" i="30"/>
  <c r="DX68" i="30"/>
  <c r="DY68" i="30"/>
  <c r="DZ68" i="30"/>
  <c r="EA68" i="30"/>
  <c r="EB68" i="30"/>
  <c r="EC68" i="30"/>
  <c r="ED68" i="30"/>
  <c r="EE68" i="30"/>
  <c r="EF68" i="30"/>
  <c r="EG68" i="30"/>
  <c r="F71" i="30"/>
  <c r="G71" i="30"/>
  <c r="H71" i="30"/>
  <c r="I71" i="30"/>
  <c r="J71" i="30"/>
  <c r="K71" i="30"/>
  <c r="L71" i="30"/>
  <c r="M71" i="30"/>
  <c r="N71" i="30"/>
  <c r="O71" i="30"/>
  <c r="P71" i="30"/>
  <c r="Q71" i="30"/>
  <c r="R71" i="30"/>
  <c r="S71" i="30"/>
  <c r="T71" i="30"/>
  <c r="U71" i="30"/>
  <c r="V71" i="30"/>
  <c r="W71" i="30"/>
  <c r="X71" i="30"/>
  <c r="Y71" i="30"/>
  <c r="Z71" i="30"/>
  <c r="AA71" i="30"/>
  <c r="AB71" i="30"/>
  <c r="AC71" i="30"/>
  <c r="AD71" i="30"/>
  <c r="AE71" i="30"/>
  <c r="AF71" i="30"/>
  <c r="AG71" i="30"/>
  <c r="AH71" i="30"/>
  <c r="AI71" i="30"/>
  <c r="AJ71" i="30"/>
  <c r="AK71" i="30"/>
  <c r="AL71" i="30"/>
  <c r="AM71" i="30"/>
  <c r="AN71" i="30"/>
  <c r="AO71" i="30"/>
  <c r="AP71" i="30"/>
  <c r="AQ71" i="30"/>
  <c r="AR71" i="30"/>
  <c r="AS71" i="30"/>
  <c r="AT71" i="30"/>
  <c r="AU71" i="30"/>
  <c r="AV71" i="30"/>
  <c r="AW71" i="30"/>
  <c r="AX71" i="30"/>
  <c r="AY71" i="30"/>
  <c r="AZ71" i="30"/>
  <c r="BA71" i="30"/>
  <c r="BB71" i="30"/>
  <c r="BC71" i="30"/>
  <c r="BD71" i="30"/>
  <c r="BE71" i="30"/>
  <c r="BF71" i="30"/>
  <c r="BG71" i="30"/>
  <c r="BH71" i="30"/>
  <c r="BI71" i="30"/>
  <c r="BJ71" i="30"/>
  <c r="BK71" i="30"/>
  <c r="BL71" i="30"/>
  <c r="BM71" i="30"/>
  <c r="BN71" i="30"/>
  <c r="BO71" i="30"/>
  <c r="BP71" i="30"/>
  <c r="BQ71" i="30"/>
  <c r="BR71" i="30"/>
  <c r="BS71" i="30"/>
  <c r="BT71" i="30"/>
  <c r="BU71" i="30"/>
  <c r="BV71" i="30"/>
  <c r="BW71" i="30"/>
  <c r="BX71" i="30"/>
  <c r="BY71" i="30"/>
  <c r="BZ71" i="30"/>
  <c r="CA71" i="30"/>
  <c r="CB71" i="30"/>
  <c r="CC71" i="30"/>
  <c r="CD71" i="30"/>
  <c r="CE71" i="30"/>
  <c r="CF71" i="30"/>
  <c r="CG71" i="30"/>
  <c r="CH71" i="30"/>
  <c r="CI71" i="30"/>
  <c r="CJ71" i="30"/>
  <c r="CK71" i="30"/>
  <c r="CL71" i="30"/>
  <c r="CM71" i="30"/>
  <c r="CN71" i="30"/>
  <c r="CO71" i="30"/>
  <c r="CP71" i="30"/>
  <c r="CQ71" i="30"/>
  <c r="CR71" i="30"/>
  <c r="CS71" i="30"/>
  <c r="CT71" i="30"/>
  <c r="CU71" i="30"/>
  <c r="CV71" i="30"/>
  <c r="CW71" i="30"/>
  <c r="CX71" i="30"/>
  <c r="CY71" i="30"/>
  <c r="CZ71" i="30"/>
  <c r="DA71" i="30"/>
  <c r="DB71" i="30"/>
  <c r="DC71" i="30"/>
  <c r="DD71" i="30"/>
  <c r="DE71" i="30"/>
  <c r="DF71" i="30"/>
  <c r="DG71" i="30"/>
  <c r="DH71" i="30"/>
  <c r="DI71" i="30"/>
  <c r="DJ71" i="30"/>
  <c r="DK71" i="30"/>
  <c r="DL71" i="30"/>
  <c r="DM71" i="30"/>
  <c r="DN71" i="30"/>
  <c r="DO71" i="30"/>
  <c r="DP71" i="30"/>
  <c r="DQ71" i="30"/>
  <c r="DR71" i="30"/>
  <c r="DS71" i="30"/>
  <c r="DT71" i="30"/>
  <c r="DU71" i="30"/>
  <c r="DV71" i="30"/>
  <c r="DW71" i="30"/>
  <c r="DX71" i="30"/>
  <c r="DY71" i="30"/>
  <c r="DZ71" i="30"/>
  <c r="EA71" i="30"/>
  <c r="EB71" i="30"/>
  <c r="EC71" i="30"/>
  <c r="ED71" i="30"/>
  <c r="EE71" i="30"/>
  <c r="EF71" i="30"/>
  <c r="EG71" i="30"/>
  <c r="F72" i="30"/>
  <c r="G72" i="30"/>
  <c r="H72" i="30"/>
  <c r="I72" i="30"/>
  <c r="J72" i="30"/>
  <c r="K72" i="30"/>
  <c r="L72" i="30"/>
  <c r="M72" i="30"/>
  <c r="N72" i="30"/>
  <c r="O72" i="30"/>
  <c r="P72" i="30"/>
  <c r="Q72" i="30"/>
  <c r="R72" i="30"/>
  <c r="S72" i="30"/>
  <c r="T72" i="30"/>
  <c r="U72" i="30"/>
  <c r="V72" i="30"/>
  <c r="W72" i="30"/>
  <c r="X72" i="30"/>
  <c r="Y72" i="30"/>
  <c r="Z72" i="30"/>
  <c r="AA72" i="30"/>
  <c r="AB72" i="30"/>
  <c r="AC72" i="30"/>
  <c r="AD72" i="30"/>
  <c r="AE72" i="30"/>
  <c r="AF72" i="30"/>
  <c r="AG72" i="30"/>
  <c r="AH72" i="30"/>
  <c r="AI72" i="30"/>
  <c r="AJ72" i="30"/>
  <c r="AK72" i="30"/>
  <c r="AL72" i="30"/>
  <c r="AM72" i="30"/>
  <c r="AN72" i="30"/>
  <c r="AO72" i="30"/>
  <c r="AP72" i="30"/>
  <c r="AQ72" i="30"/>
  <c r="AR72" i="30"/>
  <c r="AS72" i="30"/>
  <c r="AT72" i="30"/>
  <c r="AU72" i="30"/>
  <c r="AV72" i="30"/>
  <c r="AW72" i="30"/>
  <c r="AX72" i="30"/>
  <c r="AY72" i="30"/>
  <c r="AZ72" i="30"/>
  <c r="BA72" i="30"/>
  <c r="BB72" i="30"/>
  <c r="BC72" i="30"/>
  <c r="BD72" i="30"/>
  <c r="BE72" i="30"/>
  <c r="BF72" i="30"/>
  <c r="BG72" i="30"/>
  <c r="BH72" i="30"/>
  <c r="BI72" i="30"/>
  <c r="BJ72" i="30"/>
  <c r="BK72" i="30"/>
  <c r="BL72" i="30"/>
  <c r="BM72" i="30"/>
  <c r="BN72" i="30"/>
  <c r="BO72" i="30"/>
  <c r="BP72" i="30"/>
  <c r="BQ72" i="30"/>
  <c r="BR72" i="30"/>
  <c r="BS72" i="30"/>
  <c r="BT72" i="30"/>
  <c r="BU72" i="30"/>
  <c r="BV72" i="30"/>
  <c r="BW72" i="30"/>
  <c r="BX72" i="30"/>
  <c r="BY72" i="30"/>
  <c r="BZ72" i="30"/>
  <c r="CA72" i="30"/>
  <c r="CB72" i="30"/>
  <c r="CC72" i="30"/>
  <c r="CD72" i="30"/>
  <c r="CE72" i="30"/>
  <c r="CF72" i="30"/>
  <c r="CG72" i="30"/>
  <c r="CH72" i="30"/>
  <c r="CI72" i="30"/>
  <c r="CJ72" i="30"/>
  <c r="CK72" i="30"/>
  <c r="CL72" i="30"/>
  <c r="CM72" i="30"/>
  <c r="CN72" i="30"/>
  <c r="CO72" i="30"/>
  <c r="CP72" i="30"/>
  <c r="CQ72" i="30"/>
  <c r="CR72" i="30"/>
  <c r="CS72" i="30"/>
  <c r="CT72" i="30"/>
  <c r="CU72" i="30"/>
  <c r="CV72" i="30"/>
  <c r="CW72" i="30"/>
  <c r="CX72" i="30"/>
  <c r="CY72" i="30"/>
  <c r="CZ72" i="30"/>
  <c r="DA72" i="30"/>
  <c r="DB72" i="30"/>
  <c r="DC72" i="30"/>
  <c r="DD72" i="30"/>
  <c r="DE72" i="30"/>
  <c r="DF72" i="30"/>
  <c r="DG72" i="30"/>
  <c r="DH72" i="30"/>
  <c r="DI72" i="30"/>
  <c r="DJ72" i="30"/>
  <c r="DK72" i="30"/>
  <c r="DL72" i="30"/>
  <c r="DM72" i="30"/>
  <c r="DN72" i="30"/>
  <c r="DO72" i="30"/>
  <c r="DP72" i="30"/>
  <c r="DQ72" i="30"/>
  <c r="DR72" i="30"/>
  <c r="DS72" i="30"/>
  <c r="DT72" i="30"/>
  <c r="DU72" i="30"/>
  <c r="DV72" i="30"/>
  <c r="DW72" i="30"/>
  <c r="DX72" i="30"/>
  <c r="DY72" i="30"/>
  <c r="DZ72" i="30"/>
  <c r="EA72" i="30"/>
  <c r="EB72" i="30"/>
  <c r="EC72" i="30"/>
  <c r="ED72" i="30"/>
  <c r="EE72" i="30"/>
  <c r="EF72" i="30"/>
  <c r="EG72" i="30"/>
  <c r="E73" i="30"/>
  <c r="F73" i="30"/>
  <c r="G73" i="30"/>
  <c r="H73" i="30"/>
  <c r="I73" i="30"/>
  <c r="J73" i="30"/>
  <c r="K73" i="30"/>
  <c r="L73" i="30"/>
  <c r="M73" i="30"/>
  <c r="N73" i="30"/>
  <c r="O73" i="30"/>
  <c r="P73" i="30"/>
  <c r="Q73" i="30"/>
  <c r="R73" i="30"/>
  <c r="S73" i="30"/>
  <c r="T73" i="30"/>
  <c r="U73" i="30"/>
  <c r="V73" i="30"/>
  <c r="W73" i="30"/>
  <c r="X73" i="30"/>
  <c r="Y73" i="30"/>
  <c r="Z73" i="30"/>
  <c r="AA73" i="30"/>
  <c r="AB73" i="30"/>
  <c r="AC73" i="30"/>
  <c r="AD73" i="30"/>
  <c r="AE73" i="30"/>
  <c r="AF73" i="30"/>
  <c r="AG73" i="30"/>
  <c r="AH73" i="30"/>
  <c r="AI73" i="30"/>
  <c r="AJ73" i="30"/>
  <c r="AK73" i="30"/>
  <c r="AL73" i="30"/>
  <c r="AM73" i="30"/>
  <c r="AN73" i="30"/>
  <c r="AO73" i="30"/>
  <c r="AP73" i="30"/>
  <c r="AQ73" i="30"/>
  <c r="AR73" i="30"/>
  <c r="AS73" i="30"/>
  <c r="AT73" i="30"/>
  <c r="AU73" i="30"/>
  <c r="AV73" i="30"/>
  <c r="AW73" i="30"/>
  <c r="AX73" i="30"/>
  <c r="AY73" i="30"/>
  <c r="AZ73" i="30"/>
  <c r="BA73" i="30"/>
  <c r="BB73" i="30"/>
  <c r="BC73" i="30"/>
  <c r="BD73" i="30"/>
  <c r="BE73" i="30"/>
  <c r="BF73" i="30"/>
  <c r="BG73" i="30"/>
  <c r="BH73" i="30"/>
  <c r="BI73" i="30"/>
  <c r="BJ73" i="30"/>
  <c r="BK73" i="30"/>
  <c r="BL73" i="30"/>
  <c r="BM73" i="30"/>
  <c r="BN73" i="30"/>
  <c r="BO73" i="30"/>
  <c r="BP73" i="30"/>
  <c r="BQ73" i="30"/>
  <c r="BR73" i="30"/>
  <c r="BS73" i="30"/>
  <c r="BT73" i="30"/>
  <c r="BU73" i="30"/>
  <c r="BV73" i="30"/>
  <c r="BW73" i="30"/>
  <c r="BX73" i="30"/>
  <c r="BY73" i="30"/>
  <c r="BZ73" i="30"/>
  <c r="CA73" i="30"/>
  <c r="CB73" i="30"/>
  <c r="CC73" i="30"/>
  <c r="CD73" i="30"/>
  <c r="CE73" i="30"/>
  <c r="CF73" i="30"/>
  <c r="CG73" i="30"/>
  <c r="CH73" i="30"/>
  <c r="CI73" i="30"/>
  <c r="CJ73" i="30"/>
  <c r="CK73" i="30"/>
  <c r="CL73" i="30"/>
  <c r="CM73" i="30"/>
  <c r="CN73" i="30"/>
  <c r="CO73" i="30"/>
  <c r="CP73" i="30"/>
  <c r="CQ73" i="30"/>
  <c r="CR73" i="30"/>
  <c r="CS73" i="30"/>
  <c r="CT73" i="30"/>
  <c r="CU73" i="30"/>
  <c r="CV73" i="30"/>
  <c r="CW73" i="30"/>
  <c r="CX73" i="30"/>
  <c r="CY73" i="30"/>
  <c r="CZ73" i="30"/>
  <c r="DA73" i="30"/>
  <c r="DB73" i="30"/>
  <c r="DC73" i="30"/>
  <c r="DD73" i="30"/>
  <c r="DE73" i="30"/>
  <c r="DF73" i="30"/>
  <c r="DG73" i="30"/>
  <c r="DH73" i="30"/>
  <c r="DI73" i="30"/>
  <c r="DJ73" i="30"/>
  <c r="DK73" i="30"/>
  <c r="DL73" i="30"/>
  <c r="DM73" i="30"/>
  <c r="DN73" i="30"/>
  <c r="DO73" i="30"/>
  <c r="DP73" i="30"/>
  <c r="DQ73" i="30"/>
  <c r="DR73" i="30"/>
  <c r="DS73" i="30"/>
  <c r="DT73" i="30"/>
  <c r="DU73" i="30"/>
  <c r="DV73" i="30"/>
  <c r="DW73" i="30"/>
  <c r="DX73" i="30"/>
  <c r="DY73" i="30"/>
  <c r="DZ73" i="30"/>
  <c r="EA73" i="30"/>
  <c r="EB73" i="30"/>
  <c r="EC73" i="30"/>
  <c r="ED73" i="30"/>
  <c r="EE73" i="30"/>
  <c r="EF73" i="30"/>
  <c r="EG73" i="30"/>
  <c r="E74" i="30"/>
  <c r="F74" i="30"/>
  <c r="G74" i="30"/>
  <c r="H74" i="30"/>
  <c r="I74" i="30"/>
  <c r="J74" i="30"/>
  <c r="K74" i="30"/>
  <c r="L74" i="30"/>
  <c r="M74" i="30"/>
  <c r="N74" i="30"/>
  <c r="O74" i="30"/>
  <c r="P74" i="30"/>
  <c r="Q74" i="30"/>
  <c r="R74" i="30"/>
  <c r="S74" i="30"/>
  <c r="T74" i="30"/>
  <c r="U74" i="30"/>
  <c r="V74" i="30"/>
  <c r="W74" i="30"/>
  <c r="X74" i="30"/>
  <c r="Y74" i="30"/>
  <c r="Z74" i="30"/>
  <c r="AA74" i="30"/>
  <c r="AB74" i="30"/>
  <c r="AC74" i="30"/>
  <c r="AD74" i="30"/>
  <c r="AE74" i="30"/>
  <c r="AF74" i="30"/>
  <c r="AG74" i="30"/>
  <c r="AH74" i="30"/>
  <c r="AI74" i="30"/>
  <c r="AJ74" i="30"/>
  <c r="AK74" i="30"/>
  <c r="AL74" i="30"/>
  <c r="AM74" i="30"/>
  <c r="AN74" i="30"/>
  <c r="AO74" i="30"/>
  <c r="AP74" i="30"/>
  <c r="AQ74" i="30"/>
  <c r="AR74" i="30"/>
  <c r="AS74" i="30"/>
  <c r="AT74" i="30"/>
  <c r="AU74" i="30"/>
  <c r="AV74" i="30"/>
  <c r="AW74" i="30"/>
  <c r="AX74" i="30"/>
  <c r="AY74" i="30"/>
  <c r="AZ74" i="30"/>
  <c r="BA74" i="30"/>
  <c r="BB74" i="30"/>
  <c r="BC74" i="30"/>
  <c r="BD74" i="30"/>
  <c r="BE74" i="30"/>
  <c r="BF74" i="30"/>
  <c r="BG74" i="30"/>
  <c r="BH74" i="30"/>
  <c r="BI74" i="30"/>
  <c r="BJ74" i="30"/>
  <c r="BK74" i="30"/>
  <c r="BL74" i="30"/>
  <c r="BM74" i="30"/>
  <c r="BN74" i="30"/>
  <c r="BO74" i="30"/>
  <c r="BP74" i="30"/>
  <c r="BQ74" i="30"/>
  <c r="BR74" i="30"/>
  <c r="BS74" i="30"/>
  <c r="BT74" i="30"/>
  <c r="BU74" i="30"/>
  <c r="BV74" i="30"/>
  <c r="BW74" i="30"/>
  <c r="BX74" i="30"/>
  <c r="BY74" i="30"/>
  <c r="BZ74" i="30"/>
  <c r="CA74" i="30"/>
  <c r="CB74" i="30"/>
  <c r="CC74" i="30"/>
  <c r="CD74" i="30"/>
  <c r="CE74" i="30"/>
  <c r="CF74" i="30"/>
  <c r="CG74" i="30"/>
  <c r="CH74" i="30"/>
  <c r="CI74" i="30"/>
  <c r="CJ74" i="30"/>
  <c r="CK74" i="30"/>
  <c r="CL74" i="30"/>
  <c r="CM74" i="30"/>
  <c r="CN74" i="30"/>
  <c r="CO74" i="30"/>
  <c r="CP74" i="30"/>
  <c r="CQ74" i="30"/>
  <c r="CR74" i="30"/>
  <c r="CS74" i="30"/>
  <c r="CT74" i="30"/>
  <c r="CU74" i="30"/>
  <c r="CV74" i="30"/>
  <c r="CW74" i="30"/>
  <c r="CX74" i="30"/>
  <c r="CY74" i="30"/>
  <c r="CZ74" i="30"/>
  <c r="DA74" i="30"/>
  <c r="DB74" i="30"/>
  <c r="DC74" i="30"/>
  <c r="DD74" i="30"/>
  <c r="DE74" i="30"/>
  <c r="DF74" i="30"/>
  <c r="DG74" i="30"/>
  <c r="DH74" i="30"/>
  <c r="DI74" i="30"/>
  <c r="DJ74" i="30"/>
  <c r="DK74" i="30"/>
  <c r="DL74" i="30"/>
  <c r="DM74" i="30"/>
  <c r="DN74" i="30"/>
  <c r="DO74" i="30"/>
  <c r="DP74" i="30"/>
  <c r="DQ74" i="30"/>
  <c r="DR74" i="30"/>
  <c r="DS74" i="30"/>
  <c r="DT74" i="30"/>
  <c r="DU74" i="30"/>
  <c r="DV74" i="30"/>
  <c r="DW74" i="30"/>
  <c r="DX74" i="30"/>
  <c r="DY74" i="30"/>
  <c r="DZ74" i="30"/>
  <c r="EA74" i="30"/>
  <c r="EB74" i="30"/>
  <c r="EC74" i="30"/>
  <c r="ED74" i="30"/>
  <c r="EE74" i="30"/>
  <c r="EF74" i="30"/>
  <c r="EG74" i="30"/>
  <c r="E75" i="30"/>
  <c r="F75" i="30"/>
  <c r="G75" i="30"/>
  <c r="H75" i="30"/>
  <c r="I75" i="30"/>
  <c r="J75" i="30"/>
  <c r="K75" i="30"/>
  <c r="L75" i="30"/>
  <c r="M75" i="30"/>
  <c r="N75" i="30"/>
  <c r="O75" i="30"/>
  <c r="P75" i="30"/>
  <c r="Q75" i="30"/>
  <c r="R75" i="30"/>
  <c r="S75" i="30"/>
  <c r="T75" i="30"/>
  <c r="U75" i="30"/>
  <c r="V75" i="30"/>
  <c r="W75" i="30"/>
  <c r="X75" i="30"/>
  <c r="Y75" i="30"/>
  <c r="Z75" i="30"/>
  <c r="AA75" i="30"/>
  <c r="AB75" i="30"/>
  <c r="AC75" i="30"/>
  <c r="AD75" i="30"/>
  <c r="AE75" i="30"/>
  <c r="AF75" i="30"/>
  <c r="AG75" i="30"/>
  <c r="AH75" i="30"/>
  <c r="AI75" i="30"/>
  <c r="AJ75" i="30"/>
  <c r="AK75" i="30"/>
  <c r="AL75" i="30"/>
  <c r="AM75" i="30"/>
  <c r="AN75" i="30"/>
  <c r="AO75" i="30"/>
  <c r="AP75" i="30"/>
  <c r="AQ75" i="30"/>
  <c r="AR75" i="30"/>
  <c r="AS75" i="30"/>
  <c r="AT75" i="30"/>
  <c r="AU75" i="30"/>
  <c r="AV75" i="30"/>
  <c r="AW75" i="30"/>
  <c r="AX75" i="30"/>
  <c r="AY75" i="30"/>
  <c r="AZ75" i="30"/>
  <c r="BA75" i="30"/>
  <c r="BB75" i="30"/>
  <c r="BC75" i="30"/>
  <c r="BD75" i="30"/>
  <c r="BE75" i="30"/>
  <c r="BF75" i="30"/>
  <c r="BG75" i="30"/>
  <c r="BH75" i="30"/>
  <c r="BI75" i="30"/>
  <c r="BJ75" i="30"/>
  <c r="BK75" i="30"/>
  <c r="BL75" i="30"/>
  <c r="BM75" i="30"/>
  <c r="BN75" i="30"/>
  <c r="BO75" i="30"/>
  <c r="BP75" i="30"/>
  <c r="BQ75" i="30"/>
  <c r="BR75" i="30"/>
  <c r="BS75" i="30"/>
  <c r="BT75" i="30"/>
  <c r="BU75" i="30"/>
  <c r="BV75" i="30"/>
  <c r="BW75" i="30"/>
  <c r="BX75" i="30"/>
  <c r="BY75" i="30"/>
  <c r="BZ75" i="30"/>
  <c r="CA75" i="30"/>
  <c r="CB75" i="30"/>
  <c r="CC75" i="30"/>
  <c r="CD75" i="30"/>
  <c r="CE75" i="30"/>
  <c r="CF75" i="30"/>
  <c r="CG75" i="30"/>
  <c r="CH75" i="30"/>
  <c r="CI75" i="30"/>
  <c r="CJ75" i="30"/>
  <c r="CK75" i="30"/>
  <c r="CL75" i="30"/>
  <c r="CM75" i="30"/>
  <c r="CN75" i="30"/>
  <c r="CO75" i="30"/>
  <c r="CP75" i="30"/>
  <c r="CQ75" i="30"/>
  <c r="CR75" i="30"/>
  <c r="CS75" i="30"/>
  <c r="CT75" i="30"/>
  <c r="CU75" i="30"/>
  <c r="CV75" i="30"/>
  <c r="CW75" i="30"/>
  <c r="CX75" i="30"/>
  <c r="CY75" i="30"/>
  <c r="CZ75" i="30"/>
  <c r="DA75" i="30"/>
  <c r="DB75" i="30"/>
  <c r="DC75" i="30"/>
  <c r="DD75" i="30"/>
  <c r="DE75" i="30"/>
  <c r="DF75" i="30"/>
  <c r="DG75" i="30"/>
  <c r="DH75" i="30"/>
  <c r="DI75" i="30"/>
  <c r="DJ75" i="30"/>
  <c r="DK75" i="30"/>
  <c r="DL75" i="30"/>
  <c r="DM75" i="30"/>
  <c r="DN75" i="30"/>
  <c r="DO75" i="30"/>
  <c r="DP75" i="30"/>
  <c r="DQ75" i="30"/>
  <c r="DR75" i="30"/>
  <c r="DS75" i="30"/>
  <c r="DT75" i="30"/>
  <c r="DU75" i="30"/>
  <c r="DV75" i="30"/>
  <c r="DW75" i="30"/>
  <c r="DX75" i="30"/>
  <c r="DY75" i="30"/>
  <c r="DZ75" i="30"/>
  <c r="EA75" i="30"/>
  <c r="EB75" i="30"/>
  <c r="EC75" i="30"/>
  <c r="ED75" i="30"/>
  <c r="EE75" i="30"/>
  <c r="EF75" i="30"/>
  <c r="EG75" i="30"/>
  <c r="AH76" i="30"/>
  <c r="E77" i="30"/>
  <c r="F77" i="30"/>
  <c r="G77" i="30"/>
  <c r="H77" i="30"/>
  <c r="I77" i="30"/>
  <c r="J77" i="30"/>
  <c r="K77" i="30"/>
  <c r="L77" i="30"/>
  <c r="M77" i="30"/>
  <c r="N77" i="30"/>
  <c r="O77" i="30"/>
  <c r="P77" i="30"/>
  <c r="Q77" i="30"/>
  <c r="R77" i="30"/>
  <c r="S77" i="30"/>
  <c r="T77" i="30"/>
  <c r="U77" i="30"/>
  <c r="V77" i="30"/>
  <c r="W77" i="30"/>
  <c r="X77" i="30"/>
  <c r="Y77" i="30"/>
  <c r="Z77" i="30"/>
  <c r="AA77" i="30"/>
  <c r="AB77" i="30"/>
  <c r="AC77" i="30"/>
  <c r="AD77" i="30"/>
  <c r="AE77" i="30"/>
  <c r="AF77" i="30"/>
  <c r="AG77" i="30"/>
  <c r="AH77" i="30"/>
  <c r="AI77" i="30"/>
  <c r="AJ77" i="30"/>
  <c r="AK77" i="30"/>
  <c r="AL77" i="30"/>
  <c r="AM77" i="30"/>
  <c r="AN77" i="30"/>
  <c r="AO77" i="30"/>
  <c r="AP77" i="30"/>
  <c r="AQ77" i="30"/>
  <c r="AR77" i="30"/>
  <c r="AS77" i="30"/>
  <c r="AT77" i="30"/>
  <c r="AU77" i="30"/>
  <c r="AV77" i="30"/>
  <c r="AW77" i="30"/>
  <c r="AX77" i="30"/>
  <c r="AY77" i="30"/>
  <c r="AZ77" i="30"/>
  <c r="BA77" i="30"/>
  <c r="BB77" i="30"/>
  <c r="BC77" i="30"/>
  <c r="BD77" i="30"/>
  <c r="BE77" i="30"/>
  <c r="BF77" i="30"/>
  <c r="BG77" i="30"/>
  <c r="BH77" i="30"/>
  <c r="BI77" i="30"/>
  <c r="BJ77" i="30"/>
  <c r="BK77" i="30"/>
  <c r="BL77" i="30"/>
  <c r="BM77" i="30"/>
  <c r="BN77" i="30"/>
  <c r="BO77" i="30"/>
  <c r="BP77" i="30"/>
  <c r="BQ77" i="30"/>
  <c r="BR77" i="30"/>
  <c r="BS77" i="30"/>
  <c r="BT77" i="30"/>
  <c r="BU77" i="30"/>
  <c r="BV77" i="30"/>
  <c r="BW77" i="30"/>
  <c r="BX77" i="30"/>
  <c r="BY77" i="30"/>
  <c r="BZ77" i="30"/>
  <c r="CA77" i="30"/>
  <c r="CB77" i="30"/>
  <c r="CC77" i="30"/>
  <c r="CD77" i="30"/>
  <c r="CE77" i="30"/>
  <c r="CF77" i="30"/>
  <c r="CG77" i="30"/>
  <c r="CH77" i="30"/>
  <c r="CI77" i="30"/>
  <c r="CJ77" i="30"/>
  <c r="CK77" i="30"/>
  <c r="CL77" i="30"/>
  <c r="CM77" i="30"/>
  <c r="CN77" i="30"/>
  <c r="CO77" i="30"/>
  <c r="CP77" i="30"/>
  <c r="CQ77" i="30"/>
  <c r="CR77" i="30"/>
  <c r="CS77" i="30"/>
  <c r="CT77" i="30"/>
  <c r="CU77" i="30"/>
  <c r="CV77" i="30"/>
  <c r="CW77" i="30"/>
  <c r="CX77" i="30"/>
  <c r="CY77" i="30"/>
  <c r="CZ77" i="30"/>
  <c r="DA77" i="30"/>
  <c r="DB77" i="30"/>
  <c r="DC77" i="30"/>
  <c r="DD77" i="30"/>
  <c r="DE77" i="30"/>
  <c r="DF77" i="30"/>
  <c r="DG77" i="30"/>
  <c r="DH77" i="30"/>
  <c r="DI77" i="30"/>
  <c r="DJ77" i="30"/>
  <c r="DK77" i="30"/>
  <c r="DL77" i="30"/>
  <c r="DM77" i="30"/>
  <c r="DN77" i="30"/>
  <c r="DO77" i="30"/>
  <c r="DP77" i="30"/>
  <c r="DQ77" i="30"/>
  <c r="DR77" i="30"/>
  <c r="DS77" i="30"/>
  <c r="DT77" i="30"/>
  <c r="DU77" i="30"/>
  <c r="DV77" i="30"/>
  <c r="DW77" i="30"/>
  <c r="DX77" i="30"/>
  <c r="DY77" i="30"/>
  <c r="DZ77" i="30"/>
  <c r="EA77" i="30"/>
  <c r="EB77" i="30"/>
  <c r="EC77" i="30"/>
  <c r="ED77" i="30"/>
  <c r="EE77" i="30"/>
  <c r="EF77" i="30"/>
  <c r="EG77" i="30"/>
  <c r="AH78" i="30"/>
  <c r="E79" i="30"/>
  <c r="F79" i="30"/>
  <c r="G79" i="30"/>
  <c r="H79" i="30"/>
  <c r="I79" i="30"/>
  <c r="J79" i="30"/>
  <c r="K79" i="30"/>
  <c r="L79" i="30"/>
  <c r="M79" i="30"/>
  <c r="N79" i="30"/>
  <c r="O79" i="30"/>
  <c r="P79" i="30"/>
  <c r="Q79" i="30"/>
  <c r="R79" i="30"/>
  <c r="S79" i="30"/>
  <c r="T79" i="30"/>
  <c r="U79" i="30"/>
  <c r="V79" i="30"/>
  <c r="W79" i="30"/>
  <c r="X79" i="30"/>
  <c r="Y79" i="30"/>
  <c r="Z79" i="30"/>
  <c r="AA79" i="30"/>
  <c r="AB79" i="30"/>
  <c r="AC79" i="30"/>
  <c r="AD79" i="30"/>
  <c r="AE79" i="30"/>
  <c r="AF79" i="30"/>
  <c r="AG79" i="30"/>
  <c r="AH79" i="30"/>
  <c r="AI79" i="30"/>
  <c r="AJ79" i="30"/>
  <c r="AK79" i="30"/>
  <c r="AL79" i="30"/>
  <c r="AM79" i="30"/>
  <c r="AN79" i="30"/>
  <c r="AO79" i="30"/>
  <c r="AP79" i="30"/>
  <c r="AQ79" i="30"/>
  <c r="AR79" i="30"/>
  <c r="AS79" i="30"/>
  <c r="AT79" i="30"/>
  <c r="AU79" i="30"/>
  <c r="AV79" i="30"/>
  <c r="AW79" i="30"/>
  <c r="AX79" i="30"/>
  <c r="AY79" i="30"/>
  <c r="AZ79" i="30"/>
  <c r="BA79" i="30"/>
  <c r="BB79" i="30"/>
  <c r="BC79" i="30"/>
  <c r="BD79" i="30"/>
  <c r="BE79" i="30"/>
  <c r="BF79" i="30"/>
  <c r="BG79" i="30"/>
  <c r="BH79" i="30"/>
  <c r="BI79" i="30"/>
  <c r="BJ79" i="30"/>
  <c r="BK79" i="30"/>
  <c r="BL79" i="30"/>
  <c r="BM79" i="30"/>
  <c r="BN79" i="30"/>
  <c r="BO79" i="30"/>
  <c r="BP79" i="30"/>
  <c r="BQ79" i="30"/>
  <c r="BR79" i="30"/>
  <c r="BS79" i="30"/>
  <c r="BT79" i="30"/>
  <c r="BU79" i="30"/>
  <c r="BV79" i="30"/>
  <c r="BW79" i="30"/>
  <c r="BX79" i="30"/>
  <c r="BY79" i="30"/>
  <c r="BZ79" i="30"/>
  <c r="CA79" i="30"/>
  <c r="CB79" i="30"/>
  <c r="CC79" i="30"/>
  <c r="CD79" i="30"/>
  <c r="CE79" i="30"/>
  <c r="CF79" i="30"/>
  <c r="CG79" i="30"/>
  <c r="CH79" i="30"/>
  <c r="CI79" i="30"/>
  <c r="CJ79" i="30"/>
  <c r="CK79" i="30"/>
  <c r="CL79" i="30"/>
  <c r="CM79" i="30"/>
  <c r="CN79" i="30"/>
  <c r="CO79" i="30"/>
  <c r="CP79" i="30"/>
  <c r="CQ79" i="30"/>
  <c r="CR79" i="30"/>
  <c r="CS79" i="30"/>
  <c r="CT79" i="30"/>
  <c r="CU79" i="30"/>
  <c r="CV79" i="30"/>
  <c r="CW79" i="30"/>
  <c r="CX79" i="30"/>
  <c r="CY79" i="30"/>
  <c r="CZ79" i="30"/>
  <c r="DA79" i="30"/>
  <c r="DB79" i="30"/>
  <c r="DC79" i="30"/>
  <c r="DD79" i="30"/>
  <c r="DE79" i="30"/>
  <c r="DF79" i="30"/>
  <c r="DG79" i="30"/>
  <c r="DH79" i="30"/>
  <c r="DI79" i="30"/>
  <c r="DJ79" i="30"/>
  <c r="DK79" i="30"/>
  <c r="DL79" i="30"/>
  <c r="DM79" i="30"/>
  <c r="DN79" i="30"/>
  <c r="DO79" i="30"/>
  <c r="DP79" i="30"/>
  <c r="DQ79" i="30"/>
  <c r="DR79" i="30"/>
  <c r="DS79" i="30"/>
  <c r="DT79" i="30"/>
  <c r="DU79" i="30"/>
  <c r="DV79" i="30"/>
  <c r="DW79" i="30"/>
  <c r="DX79" i="30"/>
  <c r="DY79" i="30"/>
  <c r="DZ79" i="30"/>
  <c r="EA79" i="30"/>
  <c r="EB79" i="30"/>
  <c r="EC79" i="30"/>
  <c r="ED79" i="30"/>
  <c r="EE79" i="30"/>
  <c r="EF79" i="30"/>
  <c r="EG79" i="30"/>
  <c r="F82" i="30"/>
  <c r="G82" i="30"/>
  <c r="H82" i="30"/>
  <c r="I82" i="30"/>
  <c r="J82" i="30"/>
  <c r="K82" i="30"/>
  <c r="L82" i="30"/>
  <c r="M82" i="30"/>
  <c r="N82" i="30"/>
  <c r="O82" i="30"/>
  <c r="P82" i="30"/>
  <c r="Q82" i="30"/>
  <c r="R82" i="30"/>
  <c r="S82" i="30"/>
  <c r="T82" i="30"/>
  <c r="U82" i="30"/>
  <c r="V82" i="30"/>
  <c r="W82" i="30"/>
  <c r="X82" i="30"/>
  <c r="Y82" i="30"/>
  <c r="Z82" i="30"/>
  <c r="AA82" i="30"/>
  <c r="AB82" i="30"/>
  <c r="AC82" i="30"/>
  <c r="AD82" i="30"/>
  <c r="AE82" i="30"/>
  <c r="AF82" i="30"/>
  <c r="AG82" i="30"/>
  <c r="AH82" i="30"/>
  <c r="AI82" i="30"/>
  <c r="AJ82" i="30"/>
  <c r="AK82" i="30"/>
  <c r="AL82" i="30"/>
  <c r="AM82" i="30"/>
  <c r="AN82" i="30"/>
  <c r="AO82" i="30"/>
  <c r="AP82" i="30"/>
  <c r="AQ82" i="30"/>
  <c r="AR82" i="30"/>
  <c r="AS82" i="30"/>
  <c r="AT82" i="30"/>
  <c r="AU82" i="30"/>
  <c r="AV82" i="30"/>
  <c r="AW82" i="30"/>
  <c r="AX82" i="30"/>
  <c r="AY82" i="30"/>
  <c r="AZ82" i="30"/>
  <c r="BA82" i="30"/>
  <c r="BB82" i="30"/>
  <c r="BC82" i="30"/>
  <c r="BD82" i="30"/>
  <c r="BE82" i="30"/>
  <c r="BF82" i="30"/>
  <c r="BG82" i="30"/>
  <c r="BH82" i="30"/>
  <c r="BI82" i="30"/>
  <c r="BJ82" i="30"/>
  <c r="BK82" i="30"/>
  <c r="BL82" i="30"/>
  <c r="BM82" i="30"/>
  <c r="BN82" i="30"/>
  <c r="BO82" i="30"/>
  <c r="BP82" i="30"/>
  <c r="BQ82" i="30"/>
  <c r="BR82" i="30"/>
  <c r="BS82" i="30"/>
  <c r="BT82" i="30"/>
  <c r="BU82" i="30"/>
  <c r="BV82" i="30"/>
  <c r="BW82" i="30"/>
  <c r="BX82" i="30"/>
  <c r="BY82" i="30"/>
  <c r="BZ82" i="30"/>
  <c r="CA82" i="30"/>
  <c r="CB82" i="30"/>
  <c r="CC82" i="30"/>
  <c r="CD82" i="30"/>
  <c r="CE82" i="30"/>
  <c r="CF82" i="30"/>
  <c r="CG82" i="30"/>
  <c r="CH82" i="30"/>
  <c r="CI82" i="30"/>
  <c r="CJ82" i="30"/>
  <c r="CK82" i="30"/>
  <c r="CL82" i="30"/>
  <c r="CM82" i="30"/>
  <c r="CN82" i="30"/>
  <c r="CO82" i="30"/>
  <c r="CP82" i="30"/>
  <c r="CQ82" i="30"/>
  <c r="CR82" i="30"/>
  <c r="CS82" i="30"/>
  <c r="CT82" i="30"/>
  <c r="CU82" i="30"/>
  <c r="CV82" i="30"/>
  <c r="CW82" i="30"/>
  <c r="CX82" i="30"/>
  <c r="CY82" i="30"/>
  <c r="CZ82" i="30"/>
  <c r="DA82" i="30"/>
  <c r="DB82" i="30"/>
  <c r="DC82" i="30"/>
  <c r="DD82" i="30"/>
  <c r="DE82" i="30"/>
  <c r="DF82" i="30"/>
  <c r="DG82" i="30"/>
  <c r="DH82" i="30"/>
  <c r="DI82" i="30"/>
  <c r="DJ82" i="30"/>
  <c r="DK82" i="30"/>
  <c r="DL82" i="30"/>
  <c r="DM82" i="30"/>
  <c r="DN82" i="30"/>
  <c r="DO82" i="30"/>
  <c r="DP82" i="30"/>
  <c r="DQ82" i="30"/>
  <c r="DR82" i="30"/>
  <c r="DS82" i="30"/>
  <c r="DT82" i="30"/>
  <c r="DU82" i="30"/>
  <c r="DV82" i="30"/>
  <c r="DW82" i="30"/>
  <c r="DX82" i="30"/>
  <c r="DY82" i="30"/>
  <c r="DZ82" i="30"/>
  <c r="EA82" i="30"/>
  <c r="EB82" i="30"/>
  <c r="EC82" i="30"/>
  <c r="ED82" i="30"/>
  <c r="EE82" i="30"/>
  <c r="EF82" i="30"/>
  <c r="EG82" i="30"/>
  <c r="F83" i="30"/>
  <c r="G83" i="30"/>
  <c r="H83" i="30"/>
  <c r="I83" i="30"/>
  <c r="J83" i="30"/>
  <c r="K83" i="30"/>
  <c r="L83" i="30"/>
  <c r="M83" i="30"/>
  <c r="N83" i="30"/>
  <c r="O83" i="30"/>
  <c r="P83" i="30"/>
  <c r="Q83" i="30"/>
  <c r="R83" i="30"/>
  <c r="S83" i="30"/>
  <c r="T83" i="30"/>
  <c r="U83" i="30"/>
  <c r="V83" i="30"/>
  <c r="W83" i="30"/>
  <c r="X83" i="30"/>
  <c r="Y83" i="30"/>
  <c r="Z83" i="30"/>
  <c r="AA83" i="30"/>
  <c r="AB83" i="30"/>
  <c r="AC83" i="30"/>
  <c r="AD83" i="30"/>
  <c r="AE83" i="30"/>
  <c r="AF83" i="30"/>
  <c r="AG83" i="30"/>
  <c r="AH83" i="30"/>
  <c r="AI83" i="30"/>
  <c r="AJ83" i="30"/>
  <c r="AK83" i="30"/>
  <c r="AL83" i="30"/>
  <c r="AM83" i="30"/>
  <c r="AN83" i="30"/>
  <c r="AO83" i="30"/>
  <c r="AP83" i="30"/>
  <c r="AQ83" i="30"/>
  <c r="AR83" i="30"/>
  <c r="AS83" i="30"/>
  <c r="AT83" i="30"/>
  <c r="AU83" i="30"/>
  <c r="AV83" i="30"/>
  <c r="AW83" i="30"/>
  <c r="AX83" i="30"/>
  <c r="AY83" i="30"/>
  <c r="AZ83" i="30"/>
  <c r="BA83" i="30"/>
  <c r="BB83" i="30"/>
  <c r="BC83" i="30"/>
  <c r="BD83" i="30"/>
  <c r="BE83" i="30"/>
  <c r="BF83" i="30"/>
  <c r="BG83" i="30"/>
  <c r="BH83" i="30"/>
  <c r="BI83" i="30"/>
  <c r="BJ83" i="30"/>
  <c r="BK83" i="30"/>
  <c r="BL83" i="30"/>
  <c r="BM83" i="30"/>
  <c r="BN83" i="30"/>
  <c r="BO83" i="30"/>
  <c r="BP83" i="30"/>
  <c r="BQ83" i="30"/>
  <c r="BR83" i="30"/>
  <c r="BS83" i="30"/>
  <c r="BT83" i="30"/>
  <c r="BU83" i="30"/>
  <c r="BV83" i="30"/>
  <c r="BW83" i="30"/>
  <c r="BX83" i="30"/>
  <c r="BY83" i="30"/>
  <c r="BZ83" i="30"/>
  <c r="CA83" i="30"/>
  <c r="CB83" i="30"/>
  <c r="CC83" i="30"/>
  <c r="CD83" i="30"/>
  <c r="CE83" i="30"/>
  <c r="CF83" i="30"/>
  <c r="CG83" i="30"/>
  <c r="CH83" i="30"/>
  <c r="CI83" i="30"/>
  <c r="CJ83" i="30"/>
  <c r="CK83" i="30"/>
  <c r="CL83" i="30"/>
  <c r="CM83" i="30"/>
  <c r="CN83" i="30"/>
  <c r="CO83" i="30"/>
  <c r="CP83" i="30"/>
  <c r="CQ83" i="30"/>
  <c r="CR83" i="30"/>
  <c r="CS83" i="30"/>
  <c r="CT83" i="30"/>
  <c r="CU83" i="30"/>
  <c r="CV83" i="30"/>
  <c r="CW83" i="30"/>
  <c r="CX83" i="30"/>
  <c r="CY83" i="30"/>
  <c r="CZ83" i="30"/>
  <c r="DA83" i="30"/>
  <c r="DB83" i="30"/>
  <c r="DC83" i="30"/>
  <c r="DD83" i="30"/>
  <c r="DE83" i="30"/>
  <c r="DF83" i="30"/>
  <c r="DG83" i="30"/>
  <c r="DH83" i="30"/>
  <c r="DI83" i="30"/>
  <c r="DJ83" i="30"/>
  <c r="DK83" i="30"/>
  <c r="DL83" i="30"/>
  <c r="DM83" i="30"/>
  <c r="DN83" i="30"/>
  <c r="DO83" i="30"/>
  <c r="DP83" i="30"/>
  <c r="DQ83" i="30"/>
  <c r="DR83" i="30"/>
  <c r="DS83" i="30"/>
  <c r="DT83" i="30"/>
  <c r="DU83" i="30"/>
  <c r="DV83" i="30"/>
  <c r="DW83" i="30"/>
  <c r="DX83" i="30"/>
  <c r="DY83" i="30"/>
  <c r="DZ83" i="30"/>
  <c r="EA83" i="30"/>
  <c r="EB83" i="30"/>
  <c r="EC83" i="30"/>
  <c r="ED83" i="30"/>
  <c r="EE83" i="30"/>
  <c r="EF83" i="30"/>
  <c r="EG83" i="30"/>
  <c r="F84" i="30"/>
  <c r="G84" i="30"/>
  <c r="H84" i="30"/>
  <c r="I84" i="30"/>
  <c r="J84" i="30"/>
  <c r="K84" i="30"/>
  <c r="L84" i="30"/>
  <c r="M84" i="30"/>
  <c r="N84" i="30"/>
  <c r="O84" i="30"/>
  <c r="P84" i="30"/>
  <c r="Q84" i="30"/>
  <c r="R84" i="30"/>
  <c r="S84" i="30"/>
  <c r="T84" i="30"/>
  <c r="U84" i="30"/>
  <c r="V84" i="30"/>
  <c r="W84" i="30"/>
  <c r="X84" i="30"/>
  <c r="Y84" i="30"/>
  <c r="Z84" i="30"/>
  <c r="AA84" i="30"/>
  <c r="AB84" i="30"/>
  <c r="AC84" i="30"/>
  <c r="AD84" i="30"/>
  <c r="AE84" i="30"/>
  <c r="AF84" i="30"/>
  <c r="AG84" i="30"/>
  <c r="AH84" i="30"/>
  <c r="AI84" i="30"/>
  <c r="AJ84" i="30"/>
  <c r="AK84" i="30"/>
  <c r="AL84" i="30"/>
  <c r="AM84" i="30"/>
  <c r="AN84" i="30"/>
  <c r="AO84" i="30"/>
  <c r="AP84" i="30"/>
  <c r="AQ84" i="30"/>
  <c r="AR84" i="30"/>
  <c r="AS84" i="30"/>
  <c r="AT84" i="30"/>
  <c r="AU84" i="30"/>
  <c r="AV84" i="30"/>
  <c r="AW84" i="30"/>
  <c r="AX84" i="30"/>
  <c r="AY84" i="30"/>
  <c r="AZ84" i="30"/>
  <c r="BA84" i="30"/>
  <c r="BB84" i="30"/>
  <c r="BC84" i="30"/>
  <c r="BD84" i="30"/>
  <c r="BE84" i="30"/>
  <c r="BF84" i="30"/>
  <c r="BG84" i="30"/>
  <c r="BH84" i="30"/>
  <c r="BI84" i="30"/>
  <c r="BJ84" i="30"/>
  <c r="BK84" i="30"/>
  <c r="BL84" i="30"/>
  <c r="BM84" i="30"/>
  <c r="BN84" i="30"/>
  <c r="BO84" i="30"/>
  <c r="BP84" i="30"/>
  <c r="BQ84" i="30"/>
  <c r="BR84" i="30"/>
  <c r="BS84" i="30"/>
  <c r="BT84" i="30"/>
  <c r="BU84" i="30"/>
  <c r="BV84" i="30"/>
  <c r="BW84" i="30"/>
  <c r="BX84" i="30"/>
  <c r="BY84" i="30"/>
  <c r="BZ84" i="30"/>
  <c r="CA84" i="30"/>
  <c r="CB84" i="30"/>
  <c r="CC84" i="30"/>
  <c r="CD84" i="30"/>
  <c r="CE84" i="30"/>
  <c r="CF84" i="30"/>
  <c r="CG84" i="30"/>
  <c r="CH84" i="30"/>
  <c r="CI84" i="30"/>
  <c r="CJ84" i="30"/>
  <c r="CK84" i="30"/>
  <c r="CL84" i="30"/>
  <c r="CM84" i="30"/>
  <c r="CN84" i="30"/>
  <c r="CO84" i="30"/>
  <c r="CP84" i="30"/>
  <c r="CQ84" i="30"/>
  <c r="CR84" i="30"/>
  <c r="CS84" i="30"/>
  <c r="CT84" i="30"/>
  <c r="CU84" i="30"/>
  <c r="CV84" i="30"/>
  <c r="CW84" i="30"/>
  <c r="CX84" i="30"/>
  <c r="CY84" i="30"/>
  <c r="CZ84" i="30"/>
  <c r="DA84" i="30"/>
  <c r="DB84" i="30"/>
  <c r="DC84" i="30"/>
  <c r="DD84" i="30"/>
  <c r="DE84" i="30"/>
  <c r="DF84" i="30"/>
  <c r="DG84" i="30"/>
  <c r="DH84" i="30"/>
  <c r="DI84" i="30"/>
  <c r="DJ84" i="30"/>
  <c r="DK84" i="30"/>
  <c r="DL84" i="30"/>
  <c r="DM84" i="30"/>
  <c r="DN84" i="30"/>
  <c r="DO84" i="30"/>
  <c r="DP84" i="30"/>
  <c r="DQ84" i="30"/>
  <c r="DR84" i="30"/>
  <c r="DS84" i="30"/>
  <c r="DT84" i="30"/>
  <c r="DU84" i="30"/>
  <c r="DV84" i="30"/>
  <c r="DW84" i="30"/>
  <c r="DX84" i="30"/>
  <c r="DY84" i="30"/>
  <c r="DZ84" i="30"/>
  <c r="EA84" i="30"/>
  <c r="EB84" i="30"/>
  <c r="EC84" i="30"/>
  <c r="ED84" i="30"/>
  <c r="EE84" i="30"/>
  <c r="EF84" i="30"/>
  <c r="EG84" i="30"/>
  <c r="E85" i="30"/>
  <c r="F85" i="30"/>
  <c r="G85" i="30"/>
  <c r="H85" i="30"/>
  <c r="I85" i="30"/>
  <c r="J85" i="30"/>
  <c r="K85" i="30"/>
  <c r="L85" i="30"/>
  <c r="M85" i="30"/>
  <c r="N85" i="30"/>
  <c r="O85" i="30"/>
  <c r="P85" i="30"/>
  <c r="Q85" i="30"/>
  <c r="R85" i="30"/>
  <c r="S85" i="30"/>
  <c r="T85" i="30"/>
  <c r="U85" i="30"/>
  <c r="V85" i="30"/>
  <c r="W85" i="30"/>
  <c r="X85" i="30"/>
  <c r="Y85" i="30"/>
  <c r="Z85" i="30"/>
  <c r="AA85" i="30"/>
  <c r="AB85" i="30"/>
  <c r="AC85" i="30"/>
  <c r="AD85" i="30"/>
  <c r="AE85" i="30"/>
  <c r="AF85" i="30"/>
  <c r="AG85" i="30"/>
  <c r="AH85" i="30"/>
  <c r="AI85" i="30"/>
  <c r="AJ85" i="30"/>
  <c r="AK85" i="30"/>
  <c r="AL85" i="30"/>
  <c r="AM85" i="30"/>
  <c r="AN85" i="30"/>
  <c r="AO85" i="30"/>
  <c r="AP85" i="30"/>
  <c r="AQ85" i="30"/>
  <c r="AR85" i="30"/>
  <c r="AS85" i="30"/>
  <c r="AT85" i="30"/>
  <c r="AU85" i="30"/>
  <c r="AV85" i="30"/>
  <c r="AW85" i="30"/>
  <c r="AX85" i="30"/>
  <c r="AY85" i="30"/>
  <c r="AZ85" i="30"/>
  <c r="BA85" i="30"/>
  <c r="BB85" i="30"/>
  <c r="BC85" i="30"/>
  <c r="BD85" i="30"/>
  <c r="BE85" i="30"/>
  <c r="BF85" i="30"/>
  <c r="BG85" i="30"/>
  <c r="BH85" i="30"/>
  <c r="BI85" i="30"/>
  <c r="BJ85" i="30"/>
  <c r="BK85" i="30"/>
  <c r="BL85" i="30"/>
  <c r="BM85" i="30"/>
  <c r="BN85" i="30"/>
  <c r="BO85" i="30"/>
  <c r="BP85" i="30"/>
  <c r="BQ85" i="30"/>
  <c r="BR85" i="30"/>
  <c r="BS85" i="30"/>
  <c r="BT85" i="30"/>
  <c r="BU85" i="30"/>
  <c r="BV85" i="30"/>
  <c r="BW85" i="30"/>
  <c r="BX85" i="30"/>
  <c r="BY85" i="30"/>
  <c r="BZ85" i="30"/>
  <c r="CA85" i="30"/>
  <c r="CB85" i="30"/>
  <c r="CC85" i="30"/>
  <c r="CD85" i="30"/>
  <c r="CE85" i="30"/>
  <c r="CF85" i="30"/>
  <c r="CG85" i="30"/>
  <c r="CH85" i="30"/>
  <c r="CI85" i="30"/>
  <c r="CJ85" i="30"/>
  <c r="CK85" i="30"/>
  <c r="CL85" i="30"/>
  <c r="CM85" i="30"/>
  <c r="CN85" i="30"/>
  <c r="CO85" i="30"/>
  <c r="CP85" i="30"/>
  <c r="CQ85" i="30"/>
  <c r="CR85" i="30"/>
  <c r="CS85" i="30"/>
  <c r="CT85" i="30"/>
  <c r="CU85" i="30"/>
  <c r="CV85" i="30"/>
  <c r="CW85" i="30"/>
  <c r="CX85" i="30"/>
  <c r="CY85" i="30"/>
  <c r="CZ85" i="30"/>
  <c r="DA85" i="30"/>
  <c r="DB85" i="30"/>
  <c r="DC85" i="30"/>
  <c r="DD85" i="30"/>
  <c r="DE85" i="30"/>
  <c r="DF85" i="30"/>
  <c r="DG85" i="30"/>
  <c r="DH85" i="30"/>
  <c r="DI85" i="30"/>
  <c r="DJ85" i="30"/>
  <c r="DK85" i="30"/>
  <c r="DL85" i="30"/>
  <c r="DM85" i="30"/>
  <c r="DN85" i="30"/>
  <c r="DO85" i="30"/>
  <c r="DP85" i="30"/>
  <c r="DQ85" i="30"/>
  <c r="DR85" i="30"/>
  <c r="DS85" i="30"/>
  <c r="DT85" i="30"/>
  <c r="DU85" i="30"/>
  <c r="DV85" i="30"/>
  <c r="DW85" i="30"/>
  <c r="DX85" i="30"/>
  <c r="DY85" i="30"/>
  <c r="DZ85" i="30"/>
  <c r="EA85" i="30"/>
  <c r="EB85" i="30"/>
  <c r="EC85" i="30"/>
  <c r="ED85" i="30"/>
  <c r="EE85" i="30"/>
  <c r="EF85" i="30"/>
  <c r="EG85" i="30"/>
  <c r="E86" i="30"/>
  <c r="F86" i="30"/>
  <c r="G86" i="30"/>
  <c r="H86" i="30"/>
  <c r="I86" i="30"/>
  <c r="J86" i="30"/>
  <c r="K86" i="30"/>
  <c r="L86" i="30"/>
  <c r="M86" i="30"/>
  <c r="N86" i="30"/>
  <c r="O86" i="30"/>
  <c r="P86" i="30"/>
  <c r="Q86" i="30"/>
  <c r="R86" i="30"/>
  <c r="S86" i="30"/>
  <c r="T86" i="30"/>
  <c r="U86" i="30"/>
  <c r="V86" i="30"/>
  <c r="W86" i="30"/>
  <c r="X86" i="30"/>
  <c r="Y86" i="30"/>
  <c r="Z86" i="30"/>
  <c r="AA86" i="30"/>
  <c r="AB86" i="30"/>
  <c r="AC86" i="30"/>
  <c r="AD86" i="30"/>
  <c r="AE86" i="30"/>
  <c r="AF86" i="30"/>
  <c r="AG86" i="30"/>
  <c r="AH86" i="30"/>
  <c r="AI86" i="30"/>
  <c r="AJ86" i="30"/>
  <c r="AK86" i="30"/>
  <c r="AL86" i="30"/>
  <c r="AM86" i="30"/>
  <c r="AN86" i="30"/>
  <c r="AO86" i="30"/>
  <c r="AP86" i="30"/>
  <c r="AQ86" i="30"/>
  <c r="AR86" i="30"/>
  <c r="AS86" i="30"/>
  <c r="AT86" i="30"/>
  <c r="AU86" i="30"/>
  <c r="AV86" i="30"/>
  <c r="AW86" i="30"/>
  <c r="AX86" i="30"/>
  <c r="AY86" i="30"/>
  <c r="AZ86" i="30"/>
  <c r="BA86" i="30"/>
  <c r="BB86" i="30"/>
  <c r="BC86" i="30"/>
  <c r="BD86" i="30"/>
  <c r="BE86" i="30"/>
  <c r="BF86" i="30"/>
  <c r="BG86" i="30"/>
  <c r="BH86" i="30"/>
  <c r="BI86" i="30"/>
  <c r="BJ86" i="30"/>
  <c r="BK86" i="30"/>
  <c r="BL86" i="30"/>
  <c r="BM86" i="30"/>
  <c r="BN86" i="30"/>
  <c r="BO86" i="30"/>
  <c r="BP86" i="30"/>
  <c r="BQ86" i="30"/>
  <c r="BR86" i="30"/>
  <c r="BS86" i="30"/>
  <c r="BT86" i="30"/>
  <c r="BU86" i="30"/>
  <c r="BV86" i="30"/>
  <c r="BW86" i="30"/>
  <c r="BX86" i="30"/>
  <c r="BY86" i="30"/>
  <c r="BZ86" i="30"/>
  <c r="CA86" i="30"/>
  <c r="CB86" i="30"/>
  <c r="CC86" i="30"/>
  <c r="CD86" i="30"/>
  <c r="CE86" i="30"/>
  <c r="CF86" i="30"/>
  <c r="CG86" i="30"/>
  <c r="CH86" i="30"/>
  <c r="CI86" i="30"/>
  <c r="CJ86" i="30"/>
  <c r="CK86" i="30"/>
  <c r="CL86" i="30"/>
  <c r="CM86" i="30"/>
  <c r="CN86" i="30"/>
  <c r="CO86" i="30"/>
  <c r="CP86" i="30"/>
  <c r="CQ86" i="30"/>
  <c r="CR86" i="30"/>
  <c r="CS86" i="30"/>
  <c r="CT86" i="30"/>
  <c r="CU86" i="30"/>
  <c r="CV86" i="30"/>
  <c r="CW86" i="30"/>
  <c r="CX86" i="30"/>
  <c r="CY86" i="30"/>
  <c r="CZ86" i="30"/>
  <c r="DA86" i="30"/>
  <c r="DB86" i="30"/>
  <c r="DC86" i="30"/>
  <c r="DD86" i="30"/>
  <c r="DE86" i="30"/>
  <c r="DF86" i="30"/>
  <c r="DG86" i="30"/>
  <c r="DH86" i="30"/>
  <c r="DI86" i="30"/>
  <c r="DJ86" i="30"/>
  <c r="DK86" i="30"/>
  <c r="DL86" i="30"/>
  <c r="DM86" i="30"/>
  <c r="DN86" i="30"/>
  <c r="DO86" i="30"/>
  <c r="DP86" i="30"/>
  <c r="DQ86" i="30"/>
  <c r="DR86" i="30"/>
  <c r="DS86" i="30"/>
  <c r="DT86" i="30"/>
  <c r="DU86" i="30"/>
  <c r="DV86" i="30"/>
  <c r="DW86" i="30"/>
  <c r="DX86" i="30"/>
  <c r="DY86" i="30"/>
  <c r="DZ86" i="30"/>
  <c r="EA86" i="30"/>
  <c r="EB86" i="30"/>
  <c r="EC86" i="30"/>
  <c r="ED86" i="30"/>
  <c r="EE86" i="30"/>
  <c r="EF86" i="30"/>
  <c r="EG86" i="30"/>
  <c r="AH87" i="30"/>
  <c r="E88" i="30"/>
  <c r="F88" i="30"/>
  <c r="G88" i="30"/>
  <c r="H88" i="30"/>
  <c r="I88" i="30"/>
  <c r="J88" i="30"/>
  <c r="K88" i="30"/>
  <c r="L88" i="30"/>
  <c r="M88" i="30"/>
  <c r="N88" i="30"/>
  <c r="O88" i="30"/>
  <c r="P88" i="30"/>
  <c r="Q88" i="30"/>
  <c r="R88" i="30"/>
  <c r="S88" i="30"/>
  <c r="T88" i="30"/>
  <c r="U88" i="30"/>
  <c r="V88" i="30"/>
  <c r="W88" i="30"/>
  <c r="X88" i="30"/>
  <c r="Y88" i="30"/>
  <c r="Z88" i="30"/>
  <c r="AA88" i="30"/>
  <c r="AB88" i="30"/>
  <c r="AC88" i="30"/>
  <c r="AD88" i="30"/>
  <c r="AE88" i="30"/>
  <c r="AF88" i="30"/>
  <c r="AG88" i="30"/>
  <c r="AH88" i="30"/>
  <c r="AI88" i="30"/>
  <c r="AJ88" i="30"/>
  <c r="AK88" i="30"/>
  <c r="AL88" i="30"/>
  <c r="AM88" i="30"/>
  <c r="AN88" i="30"/>
  <c r="AO88" i="30"/>
  <c r="AP88" i="30"/>
  <c r="AQ88" i="30"/>
  <c r="AR88" i="30"/>
  <c r="AS88" i="30"/>
  <c r="AT88" i="30"/>
  <c r="AU88" i="30"/>
  <c r="AV88" i="30"/>
  <c r="AW88" i="30"/>
  <c r="AX88" i="30"/>
  <c r="AY88" i="30"/>
  <c r="AZ88" i="30"/>
  <c r="BA88" i="30"/>
  <c r="BB88" i="30"/>
  <c r="BC88" i="30"/>
  <c r="BD88" i="30"/>
  <c r="BE88" i="30"/>
  <c r="BF88" i="30"/>
  <c r="BG88" i="30"/>
  <c r="BH88" i="30"/>
  <c r="BI88" i="30"/>
  <c r="BJ88" i="30"/>
  <c r="BK88" i="30"/>
  <c r="BL88" i="30"/>
  <c r="BM88" i="30"/>
  <c r="BN88" i="30"/>
  <c r="BO88" i="30"/>
  <c r="BP88" i="30"/>
  <c r="BQ88" i="30"/>
  <c r="BR88" i="30"/>
  <c r="BS88" i="30"/>
  <c r="BT88" i="30"/>
  <c r="BU88" i="30"/>
  <c r="BV88" i="30"/>
  <c r="BW88" i="30"/>
  <c r="BX88" i="30"/>
  <c r="BY88" i="30"/>
  <c r="BZ88" i="30"/>
  <c r="CA88" i="30"/>
  <c r="CB88" i="30"/>
  <c r="CC88" i="30"/>
  <c r="CD88" i="30"/>
  <c r="CE88" i="30"/>
  <c r="CF88" i="30"/>
  <c r="CG88" i="30"/>
  <c r="CH88" i="30"/>
  <c r="CI88" i="30"/>
  <c r="CJ88" i="30"/>
  <c r="CK88" i="30"/>
  <c r="CL88" i="30"/>
  <c r="CM88" i="30"/>
  <c r="CN88" i="30"/>
  <c r="CO88" i="30"/>
  <c r="CP88" i="30"/>
  <c r="CQ88" i="30"/>
  <c r="CR88" i="30"/>
  <c r="CS88" i="30"/>
  <c r="CT88" i="30"/>
  <c r="CU88" i="30"/>
  <c r="CV88" i="30"/>
  <c r="CW88" i="30"/>
  <c r="CX88" i="30"/>
  <c r="CY88" i="30"/>
  <c r="CZ88" i="30"/>
  <c r="DA88" i="30"/>
  <c r="DB88" i="30"/>
  <c r="DC88" i="30"/>
  <c r="DD88" i="30"/>
  <c r="DE88" i="30"/>
  <c r="DF88" i="30"/>
  <c r="DG88" i="30"/>
  <c r="DH88" i="30"/>
  <c r="DI88" i="30"/>
  <c r="DJ88" i="30"/>
  <c r="DK88" i="30"/>
  <c r="DL88" i="30"/>
  <c r="DM88" i="30"/>
  <c r="DN88" i="30"/>
  <c r="DO88" i="30"/>
  <c r="DP88" i="30"/>
  <c r="DQ88" i="30"/>
  <c r="DR88" i="30"/>
  <c r="DS88" i="30"/>
  <c r="DT88" i="30"/>
  <c r="DU88" i="30"/>
  <c r="DV88" i="30"/>
  <c r="DW88" i="30"/>
  <c r="DX88" i="30"/>
  <c r="DY88" i="30"/>
  <c r="DZ88" i="30"/>
  <c r="EA88" i="30"/>
  <c r="EB88" i="30"/>
  <c r="EC88" i="30"/>
  <c r="ED88" i="30"/>
  <c r="EE88" i="30"/>
  <c r="EF88" i="30"/>
  <c r="EG88" i="30"/>
  <c r="F96" i="30"/>
  <c r="G96" i="30"/>
  <c r="H96" i="30"/>
  <c r="I96" i="30"/>
  <c r="J96" i="30"/>
  <c r="K96" i="30"/>
  <c r="L96" i="30"/>
  <c r="M96" i="30"/>
  <c r="N96" i="30"/>
  <c r="O96" i="30"/>
  <c r="P96" i="30"/>
  <c r="Q96" i="30"/>
  <c r="R96" i="30"/>
  <c r="S96" i="30"/>
  <c r="T96" i="30"/>
  <c r="U96" i="30"/>
  <c r="V96" i="30"/>
  <c r="W96" i="30"/>
  <c r="X96" i="30"/>
  <c r="Y96" i="30"/>
  <c r="Z96" i="30"/>
  <c r="AA96" i="30"/>
  <c r="AB96" i="30"/>
  <c r="AC96" i="30"/>
  <c r="AD96" i="30"/>
  <c r="AE96" i="30"/>
  <c r="AF96" i="30"/>
  <c r="AG96" i="30"/>
  <c r="AH96" i="30"/>
  <c r="AI96" i="30"/>
  <c r="AJ96" i="30"/>
  <c r="AK96" i="30"/>
  <c r="AL96" i="30"/>
  <c r="AM96" i="30"/>
  <c r="AN96" i="30"/>
  <c r="AO96" i="30"/>
  <c r="AP96" i="30"/>
  <c r="AQ96" i="30"/>
  <c r="AR96" i="30"/>
  <c r="AS96" i="30"/>
  <c r="AT96" i="30"/>
  <c r="AU96" i="30"/>
  <c r="AV96" i="30"/>
  <c r="AW96" i="30"/>
  <c r="AX96" i="30"/>
  <c r="AY96" i="30"/>
  <c r="AZ96" i="30"/>
  <c r="BA96" i="30"/>
  <c r="BB96" i="30"/>
  <c r="BC96" i="30"/>
  <c r="BD96" i="30"/>
  <c r="BE96" i="30"/>
  <c r="BF96" i="30"/>
  <c r="BG96" i="30"/>
  <c r="BH96" i="30"/>
  <c r="BI96" i="30"/>
  <c r="BJ96" i="30"/>
  <c r="BK96" i="30"/>
  <c r="BL96" i="30"/>
  <c r="BM96" i="30"/>
  <c r="BN96" i="30"/>
  <c r="BO96" i="30"/>
  <c r="BP96" i="30"/>
  <c r="BQ96" i="30"/>
  <c r="BR96" i="30"/>
  <c r="BS96" i="30"/>
  <c r="BT96" i="30"/>
  <c r="BU96" i="30"/>
  <c r="BV96" i="30"/>
  <c r="BW96" i="30"/>
  <c r="BX96" i="30"/>
  <c r="BY96" i="30"/>
  <c r="BZ96" i="30"/>
  <c r="CA96" i="30"/>
  <c r="CB96" i="30"/>
  <c r="CC96" i="30"/>
  <c r="CD96" i="30"/>
  <c r="CE96" i="30"/>
  <c r="CF96" i="30"/>
  <c r="CG96" i="30"/>
  <c r="CH96" i="30"/>
  <c r="CI96" i="30"/>
  <c r="CJ96" i="30"/>
  <c r="CK96" i="30"/>
  <c r="CL96" i="30"/>
  <c r="CM96" i="30"/>
  <c r="CN96" i="30"/>
  <c r="CO96" i="30"/>
  <c r="CP96" i="30"/>
  <c r="CQ96" i="30"/>
  <c r="CR96" i="30"/>
  <c r="CS96" i="30"/>
  <c r="CT96" i="30"/>
  <c r="CU96" i="30"/>
  <c r="CV96" i="30"/>
  <c r="CW96" i="30"/>
  <c r="CX96" i="30"/>
  <c r="CY96" i="30"/>
  <c r="CZ96" i="30"/>
  <c r="DA96" i="30"/>
  <c r="DB96" i="30"/>
  <c r="DC96" i="30"/>
  <c r="DD96" i="30"/>
  <c r="DE96" i="30"/>
  <c r="DF96" i="30"/>
  <c r="DG96" i="30"/>
  <c r="DH96" i="30"/>
  <c r="DI96" i="30"/>
  <c r="DJ96" i="30"/>
  <c r="DK96" i="30"/>
  <c r="DL96" i="30"/>
  <c r="DM96" i="30"/>
  <c r="DN96" i="30"/>
  <c r="DO96" i="30"/>
  <c r="DP96" i="30"/>
  <c r="DQ96" i="30"/>
  <c r="DR96" i="30"/>
  <c r="DS96" i="30"/>
  <c r="DT96" i="30"/>
  <c r="DU96" i="30"/>
  <c r="DV96" i="30"/>
  <c r="DW96" i="30"/>
  <c r="DX96" i="30"/>
  <c r="DY96" i="30"/>
  <c r="DZ96" i="30"/>
  <c r="EA96" i="30"/>
  <c r="EB96" i="30"/>
  <c r="EC96" i="30"/>
  <c r="ED96" i="30"/>
  <c r="EE96" i="30"/>
  <c r="EF96" i="30"/>
  <c r="EG96" i="30"/>
  <c r="F97" i="30"/>
  <c r="G97" i="30"/>
  <c r="H97" i="30"/>
  <c r="I97" i="30"/>
  <c r="J97" i="30"/>
  <c r="K97" i="30"/>
  <c r="L97" i="30"/>
  <c r="M97" i="30"/>
  <c r="N97" i="30"/>
  <c r="O97" i="30"/>
  <c r="P97" i="30"/>
  <c r="Q97" i="30"/>
  <c r="R97" i="30"/>
  <c r="S97" i="30"/>
  <c r="T97" i="30"/>
  <c r="U97" i="30"/>
  <c r="V97" i="30"/>
  <c r="W97" i="30"/>
  <c r="X97" i="30"/>
  <c r="Y97" i="30"/>
  <c r="Z97" i="30"/>
  <c r="AA97" i="30"/>
  <c r="AB97" i="30"/>
  <c r="AC97" i="30"/>
  <c r="AD97" i="30"/>
  <c r="AE97" i="30"/>
  <c r="AF97" i="30"/>
  <c r="AG97" i="30"/>
  <c r="AH97" i="30"/>
  <c r="AI97" i="30"/>
  <c r="AJ97" i="30"/>
  <c r="AK97" i="30"/>
  <c r="AL97" i="30"/>
  <c r="AM97" i="30"/>
  <c r="AN97" i="30"/>
  <c r="AO97" i="30"/>
  <c r="AP97" i="30"/>
  <c r="AQ97" i="30"/>
  <c r="AR97" i="30"/>
  <c r="AS97" i="30"/>
  <c r="AT97" i="30"/>
  <c r="AU97" i="30"/>
  <c r="AV97" i="30"/>
  <c r="AW97" i="30"/>
  <c r="AX97" i="30"/>
  <c r="AY97" i="30"/>
  <c r="AZ97" i="30"/>
  <c r="BA97" i="30"/>
  <c r="BB97" i="30"/>
  <c r="BC97" i="30"/>
  <c r="BD97" i="30"/>
  <c r="BE97" i="30"/>
  <c r="BF97" i="30"/>
  <c r="BG97" i="30"/>
  <c r="BH97" i="30"/>
  <c r="BI97" i="30"/>
  <c r="BJ97" i="30"/>
  <c r="BK97" i="30"/>
  <c r="BL97" i="30"/>
  <c r="BM97" i="30"/>
  <c r="BN97" i="30"/>
  <c r="BO97" i="30"/>
  <c r="BP97" i="30"/>
  <c r="BQ97" i="30"/>
  <c r="BR97" i="30"/>
  <c r="BS97" i="30"/>
  <c r="BT97" i="30"/>
  <c r="BU97" i="30"/>
  <c r="BV97" i="30"/>
  <c r="BW97" i="30"/>
  <c r="BX97" i="30"/>
  <c r="BY97" i="30"/>
  <c r="BZ97" i="30"/>
  <c r="CA97" i="30"/>
  <c r="CB97" i="30"/>
  <c r="CC97" i="30"/>
  <c r="CD97" i="30"/>
  <c r="CE97" i="30"/>
  <c r="CF97" i="30"/>
  <c r="CG97" i="30"/>
  <c r="CH97" i="30"/>
  <c r="CI97" i="30"/>
  <c r="CJ97" i="30"/>
  <c r="CK97" i="30"/>
  <c r="CL97" i="30"/>
  <c r="CM97" i="30"/>
  <c r="CN97" i="30"/>
  <c r="CO97" i="30"/>
  <c r="CP97" i="30"/>
  <c r="CQ97" i="30"/>
  <c r="CR97" i="30"/>
  <c r="CS97" i="30"/>
  <c r="CT97" i="30"/>
  <c r="CU97" i="30"/>
  <c r="CV97" i="30"/>
  <c r="CW97" i="30"/>
  <c r="CX97" i="30"/>
  <c r="CY97" i="30"/>
  <c r="CZ97" i="30"/>
  <c r="DA97" i="30"/>
  <c r="DB97" i="30"/>
  <c r="DC97" i="30"/>
  <c r="DD97" i="30"/>
  <c r="DE97" i="30"/>
  <c r="DF97" i="30"/>
  <c r="DG97" i="30"/>
  <c r="DH97" i="30"/>
  <c r="DI97" i="30"/>
  <c r="DJ97" i="30"/>
  <c r="DK97" i="30"/>
  <c r="DL97" i="30"/>
  <c r="DM97" i="30"/>
  <c r="DN97" i="30"/>
  <c r="DO97" i="30"/>
  <c r="DP97" i="30"/>
  <c r="DQ97" i="30"/>
  <c r="DR97" i="30"/>
  <c r="DS97" i="30"/>
  <c r="DT97" i="30"/>
  <c r="DU97" i="30"/>
  <c r="DV97" i="30"/>
  <c r="DW97" i="30"/>
  <c r="DX97" i="30"/>
  <c r="DY97" i="30"/>
  <c r="DZ97" i="30"/>
  <c r="EA97" i="30"/>
  <c r="EB97" i="30"/>
  <c r="EC97" i="30"/>
  <c r="ED97" i="30"/>
  <c r="EE97" i="30"/>
  <c r="EF97" i="30"/>
  <c r="EG97" i="30"/>
  <c r="E99" i="30"/>
  <c r="F99" i="30"/>
  <c r="G99" i="30"/>
  <c r="H99" i="30"/>
  <c r="I99" i="30"/>
  <c r="J99" i="30"/>
  <c r="K99" i="30"/>
  <c r="L99" i="30"/>
  <c r="M99" i="30"/>
  <c r="N99" i="30"/>
  <c r="O99" i="30"/>
  <c r="P99" i="30"/>
  <c r="Q99" i="30"/>
  <c r="R99" i="30"/>
  <c r="S99" i="30"/>
  <c r="T99" i="30"/>
  <c r="U99" i="30"/>
  <c r="V99" i="30"/>
  <c r="W99" i="30"/>
  <c r="X99" i="30"/>
  <c r="Y99" i="30"/>
  <c r="Z99" i="30"/>
  <c r="AA99" i="30"/>
  <c r="AB99" i="30"/>
  <c r="AC99" i="30"/>
  <c r="AD99" i="30"/>
  <c r="AE99" i="30"/>
  <c r="AF99" i="30"/>
  <c r="AG99" i="30"/>
  <c r="AH99" i="30"/>
  <c r="AI99" i="30"/>
  <c r="AJ99" i="30"/>
  <c r="AK99" i="30"/>
  <c r="AL99" i="30"/>
  <c r="AM99" i="30"/>
  <c r="AN99" i="30"/>
  <c r="AO99" i="30"/>
  <c r="AP99" i="30"/>
  <c r="AQ99" i="30"/>
  <c r="AR99" i="30"/>
  <c r="AS99" i="30"/>
  <c r="AT99" i="30"/>
  <c r="AU99" i="30"/>
  <c r="AV99" i="30"/>
  <c r="AW99" i="30"/>
  <c r="AX99" i="30"/>
  <c r="AY99" i="30"/>
  <c r="AZ99" i="30"/>
  <c r="BA99" i="30"/>
  <c r="BB99" i="30"/>
  <c r="BC99" i="30"/>
  <c r="BD99" i="30"/>
  <c r="BE99" i="30"/>
  <c r="BF99" i="30"/>
  <c r="BG99" i="30"/>
  <c r="BH99" i="30"/>
  <c r="BI99" i="30"/>
  <c r="BJ99" i="30"/>
  <c r="BK99" i="30"/>
  <c r="BL99" i="30"/>
  <c r="BM99" i="30"/>
  <c r="BN99" i="30"/>
  <c r="BO99" i="30"/>
  <c r="BP99" i="30"/>
  <c r="BQ99" i="30"/>
  <c r="BR99" i="30"/>
  <c r="BS99" i="30"/>
  <c r="BT99" i="30"/>
  <c r="BU99" i="30"/>
  <c r="BV99" i="30"/>
  <c r="BW99" i="30"/>
  <c r="BX99" i="30"/>
  <c r="BY99" i="30"/>
  <c r="BZ99" i="30"/>
  <c r="CA99" i="30"/>
  <c r="CB99" i="30"/>
  <c r="CC99" i="30"/>
  <c r="CD99" i="30"/>
  <c r="CE99" i="30"/>
  <c r="CF99" i="30"/>
  <c r="CG99" i="30"/>
  <c r="CH99" i="30"/>
  <c r="CI99" i="30"/>
  <c r="CJ99" i="30"/>
  <c r="CK99" i="30"/>
  <c r="CL99" i="30"/>
  <c r="CM99" i="30"/>
  <c r="CN99" i="30"/>
  <c r="CO99" i="30"/>
  <c r="CP99" i="30"/>
  <c r="CQ99" i="30"/>
  <c r="CR99" i="30"/>
  <c r="CS99" i="30"/>
  <c r="CT99" i="30"/>
  <c r="CU99" i="30"/>
  <c r="CV99" i="30"/>
  <c r="CW99" i="30"/>
  <c r="CX99" i="30"/>
  <c r="CY99" i="30"/>
  <c r="CZ99" i="30"/>
  <c r="DA99" i="30"/>
  <c r="DB99" i="30"/>
  <c r="DC99" i="30"/>
  <c r="DD99" i="30"/>
  <c r="DE99" i="30"/>
  <c r="DF99" i="30"/>
  <c r="DG99" i="30"/>
  <c r="DH99" i="30"/>
  <c r="DI99" i="30"/>
  <c r="DJ99" i="30"/>
  <c r="DK99" i="30"/>
  <c r="DL99" i="30"/>
  <c r="DM99" i="30"/>
  <c r="DN99" i="30"/>
  <c r="DO99" i="30"/>
  <c r="DP99" i="30"/>
  <c r="DQ99" i="30"/>
  <c r="DR99" i="30"/>
  <c r="DS99" i="30"/>
  <c r="DT99" i="30"/>
  <c r="DU99" i="30"/>
  <c r="DV99" i="30"/>
  <c r="DW99" i="30"/>
  <c r="DX99" i="30"/>
  <c r="DY99" i="30"/>
  <c r="DZ99" i="30"/>
  <c r="EA99" i="30"/>
  <c r="EB99" i="30"/>
  <c r="EC99" i="30"/>
  <c r="ED99" i="30"/>
  <c r="EE99" i="30"/>
  <c r="EF99" i="30"/>
  <c r="EG99" i="30"/>
  <c r="E100" i="30"/>
  <c r="F100" i="30"/>
  <c r="G100" i="30"/>
  <c r="H100" i="30"/>
  <c r="I100" i="30"/>
  <c r="J100" i="30"/>
  <c r="K100" i="30"/>
  <c r="L100" i="30"/>
  <c r="M100" i="30"/>
  <c r="N100" i="30"/>
  <c r="O100" i="30"/>
  <c r="P100" i="30"/>
  <c r="Q100" i="30"/>
  <c r="R100" i="30"/>
  <c r="S100" i="30"/>
  <c r="T100" i="30"/>
  <c r="U100" i="30"/>
  <c r="V100" i="30"/>
  <c r="W100" i="30"/>
  <c r="X100" i="30"/>
  <c r="Y100" i="30"/>
  <c r="Z100" i="30"/>
  <c r="AA100" i="30"/>
  <c r="AB100" i="30"/>
  <c r="AC100" i="30"/>
  <c r="AD100" i="30"/>
  <c r="AE100" i="30"/>
  <c r="AF100" i="30"/>
  <c r="AG100" i="30"/>
  <c r="AH100" i="30"/>
  <c r="AI100" i="30"/>
  <c r="AJ100" i="30"/>
  <c r="AK100" i="30"/>
  <c r="AL100" i="30"/>
  <c r="AM100" i="30"/>
  <c r="AN100" i="30"/>
  <c r="AO100" i="30"/>
  <c r="AP100" i="30"/>
  <c r="AQ100" i="30"/>
  <c r="AR100" i="30"/>
  <c r="AS100" i="30"/>
  <c r="AT100" i="30"/>
  <c r="AU100" i="30"/>
  <c r="AV100" i="30"/>
  <c r="AW100" i="30"/>
  <c r="AX100" i="30"/>
  <c r="AY100" i="30"/>
  <c r="AZ100" i="30"/>
  <c r="BA100" i="30"/>
  <c r="BB100" i="30"/>
  <c r="BC100" i="30"/>
  <c r="BD100" i="30"/>
  <c r="BE100" i="30"/>
  <c r="BF100" i="30"/>
  <c r="BG100" i="30"/>
  <c r="BH100" i="30"/>
  <c r="BI100" i="30"/>
  <c r="BJ100" i="30"/>
  <c r="BK100" i="30"/>
  <c r="BL100" i="30"/>
  <c r="BM100" i="30"/>
  <c r="BN100" i="30"/>
  <c r="BO100" i="30"/>
  <c r="BP100" i="30"/>
  <c r="BQ100" i="30"/>
  <c r="BR100" i="30"/>
  <c r="BS100" i="30"/>
  <c r="BT100" i="30"/>
  <c r="BU100" i="30"/>
  <c r="BV100" i="30"/>
  <c r="BW100" i="30"/>
  <c r="BX100" i="30"/>
  <c r="BY100" i="30"/>
  <c r="BZ100" i="30"/>
  <c r="CA100" i="30"/>
  <c r="CB100" i="30"/>
  <c r="CC100" i="30"/>
  <c r="CD100" i="30"/>
  <c r="CE100" i="30"/>
  <c r="CF100" i="30"/>
  <c r="CG100" i="30"/>
  <c r="CH100" i="30"/>
  <c r="CI100" i="30"/>
  <c r="CJ100" i="30"/>
  <c r="CK100" i="30"/>
  <c r="CL100" i="30"/>
  <c r="CM100" i="30"/>
  <c r="CN100" i="30"/>
  <c r="CO100" i="30"/>
  <c r="CP100" i="30"/>
  <c r="CQ100" i="30"/>
  <c r="CR100" i="30"/>
  <c r="CS100" i="30"/>
  <c r="CT100" i="30"/>
  <c r="CU100" i="30"/>
  <c r="CV100" i="30"/>
  <c r="CW100" i="30"/>
  <c r="CX100" i="30"/>
  <c r="CY100" i="30"/>
  <c r="CZ100" i="30"/>
  <c r="DA100" i="30"/>
  <c r="DB100" i="30"/>
  <c r="DC100" i="30"/>
  <c r="DD100" i="30"/>
  <c r="DE100" i="30"/>
  <c r="DF100" i="30"/>
  <c r="DG100" i="30"/>
  <c r="DH100" i="30"/>
  <c r="DI100" i="30"/>
  <c r="DJ100" i="30"/>
  <c r="DK100" i="30"/>
  <c r="DL100" i="30"/>
  <c r="DM100" i="30"/>
  <c r="DN100" i="30"/>
  <c r="DO100" i="30"/>
  <c r="DP100" i="30"/>
  <c r="DQ100" i="30"/>
  <c r="DR100" i="30"/>
  <c r="DS100" i="30"/>
  <c r="DT100" i="30"/>
  <c r="DU100" i="30"/>
  <c r="DV100" i="30"/>
  <c r="DW100" i="30"/>
  <c r="DX100" i="30"/>
  <c r="DY100" i="30"/>
  <c r="DZ100" i="30"/>
  <c r="EA100" i="30"/>
  <c r="EB100" i="30"/>
  <c r="EC100" i="30"/>
  <c r="ED100" i="30"/>
  <c r="EE100" i="30"/>
  <c r="EF100" i="30"/>
  <c r="EG100" i="30"/>
  <c r="AH101" i="30"/>
  <c r="E102" i="30"/>
  <c r="F102" i="30"/>
  <c r="G102" i="30"/>
  <c r="H102" i="30"/>
  <c r="I102" i="30"/>
  <c r="J102" i="30"/>
  <c r="K102" i="30"/>
  <c r="L102" i="30"/>
  <c r="M102" i="30"/>
  <c r="N102" i="30"/>
  <c r="O102" i="30"/>
  <c r="P102" i="30"/>
  <c r="Q102" i="30"/>
  <c r="R102" i="30"/>
  <c r="S102" i="30"/>
  <c r="T102" i="30"/>
  <c r="U102" i="30"/>
  <c r="V102" i="30"/>
  <c r="W102" i="30"/>
  <c r="X102" i="30"/>
  <c r="Y102" i="30"/>
  <c r="Z102" i="30"/>
  <c r="AA102" i="30"/>
  <c r="AB102" i="30"/>
  <c r="AC102" i="30"/>
  <c r="AD102" i="30"/>
  <c r="AE102" i="30"/>
  <c r="AF102" i="30"/>
  <c r="AG102" i="30"/>
  <c r="AH102" i="30"/>
  <c r="AI102" i="30"/>
  <c r="AJ102" i="30"/>
  <c r="AK102" i="30"/>
  <c r="AL102" i="30"/>
  <c r="AM102" i="30"/>
  <c r="AN102" i="30"/>
  <c r="AO102" i="30"/>
  <c r="AP102" i="30"/>
  <c r="AQ102" i="30"/>
  <c r="AR102" i="30"/>
  <c r="AS102" i="30"/>
  <c r="AT102" i="30"/>
  <c r="AU102" i="30"/>
  <c r="AV102" i="30"/>
  <c r="AW102" i="30"/>
  <c r="AX102" i="30"/>
  <c r="AY102" i="30"/>
  <c r="AZ102" i="30"/>
  <c r="BA102" i="30"/>
  <c r="BB102" i="30"/>
  <c r="BC102" i="30"/>
  <c r="BD102" i="30"/>
  <c r="BE102" i="30"/>
  <c r="BF102" i="30"/>
  <c r="BG102" i="30"/>
  <c r="BH102" i="30"/>
  <c r="BI102" i="30"/>
  <c r="BJ102" i="30"/>
  <c r="BK102" i="30"/>
  <c r="BL102" i="30"/>
  <c r="BM102" i="30"/>
  <c r="BN102" i="30"/>
  <c r="BO102" i="30"/>
  <c r="BP102" i="30"/>
  <c r="BQ102" i="30"/>
  <c r="BR102" i="30"/>
  <c r="BS102" i="30"/>
  <c r="BT102" i="30"/>
  <c r="BU102" i="30"/>
  <c r="BV102" i="30"/>
  <c r="BW102" i="30"/>
  <c r="BX102" i="30"/>
  <c r="BY102" i="30"/>
  <c r="BZ102" i="30"/>
  <c r="CA102" i="30"/>
  <c r="CB102" i="30"/>
  <c r="CC102" i="30"/>
  <c r="CD102" i="30"/>
  <c r="CE102" i="30"/>
  <c r="CF102" i="30"/>
  <c r="CG102" i="30"/>
  <c r="CH102" i="30"/>
  <c r="CI102" i="30"/>
  <c r="CJ102" i="30"/>
  <c r="CK102" i="30"/>
  <c r="CL102" i="30"/>
  <c r="CM102" i="30"/>
  <c r="CN102" i="30"/>
  <c r="CO102" i="30"/>
  <c r="CP102" i="30"/>
  <c r="CQ102" i="30"/>
  <c r="CR102" i="30"/>
  <c r="CS102" i="30"/>
  <c r="CT102" i="30"/>
  <c r="CU102" i="30"/>
  <c r="CV102" i="30"/>
  <c r="CW102" i="30"/>
  <c r="CX102" i="30"/>
  <c r="CY102" i="30"/>
  <c r="CZ102" i="30"/>
  <c r="DA102" i="30"/>
  <c r="DB102" i="30"/>
  <c r="DC102" i="30"/>
  <c r="DD102" i="30"/>
  <c r="DE102" i="30"/>
  <c r="DF102" i="30"/>
  <c r="DG102" i="30"/>
  <c r="DH102" i="30"/>
  <c r="DI102" i="30"/>
  <c r="DJ102" i="30"/>
  <c r="DK102" i="30"/>
  <c r="DL102" i="30"/>
  <c r="DM102" i="30"/>
  <c r="DN102" i="30"/>
  <c r="DO102" i="30"/>
  <c r="DP102" i="30"/>
  <c r="DQ102" i="30"/>
  <c r="DR102" i="30"/>
  <c r="DS102" i="30"/>
  <c r="DT102" i="30"/>
  <c r="DU102" i="30"/>
  <c r="DV102" i="30"/>
  <c r="DW102" i="30"/>
  <c r="DX102" i="30"/>
  <c r="DY102" i="30"/>
  <c r="DZ102" i="30"/>
  <c r="EA102" i="30"/>
  <c r="EB102" i="30"/>
  <c r="EC102" i="30"/>
  <c r="ED102" i="30"/>
  <c r="EE102" i="30"/>
  <c r="EF102" i="30"/>
  <c r="EG102" i="30"/>
  <c r="AH103" i="30"/>
  <c r="E104" i="30"/>
  <c r="F104" i="30"/>
  <c r="G104" i="30"/>
  <c r="H104" i="30"/>
  <c r="I104" i="30"/>
  <c r="J104" i="30"/>
  <c r="K104" i="30"/>
  <c r="L104" i="30"/>
  <c r="M104" i="30"/>
  <c r="N104" i="30"/>
  <c r="O104" i="30"/>
  <c r="P104" i="30"/>
  <c r="Q104" i="30"/>
  <c r="R104" i="30"/>
  <c r="S104" i="30"/>
  <c r="T104" i="30"/>
  <c r="U104" i="30"/>
  <c r="V104" i="30"/>
  <c r="W104" i="30"/>
  <c r="X104" i="30"/>
  <c r="Y104" i="30"/>
  <c r="Z104" i="30"/>
  <c r="AA104" i="30"/>
  <c r="AB104" i="30"/>
  <c r="AC104" i="30"/>
  <c r="AD104" i="30"/>
  <c r="AE104" i="30"/>
  <c r="AF104" i="30"/>
  <c r="AG104" i="30"/>
  <c r="AH104" i="30"/>
  <c r="AI104" i="30"/>
  <c r="AJ104" i="30"/>
  <c r="AK104" i="30"/>
  <c r="AL104" i="30"/>
  <c r="AM104" i="30"/>
  <c r="AN104" i="30"/>
  <c r="AO104" i="30"/>
  <c r="AP104" i="30"/>
  <c r="AQ104" i="30"/>
  <c r="AR104" i="30"/>
  <c r="AS104" i="30"/>
  <c r="AT104" i="30"/>
  <c r="AU104" i="30"/>
  <c r="AV104" i="30"/>
  <c r="AW104" i="30"/>
  <c r="AX104" i="30"/>
  <c r="AY104" i="30"/>
  <c r="AZ104" i="30"/>
  <c r="BA104" i="30"/>
  <c r="BB104" i="30"/>
  <c r="BC104" i="30"/>
  <c r="BD104" i="30"/>
  <c r="BE104" i="30"/>
  <c r="BF104" i="30"/>
  <c r="BG104" i="30"/>
  <c r="BH104" i="30"/>
  <c r="BI104" i="30"/>
  <c r="BJ104" i="30"/>
  <c r="BK104" i="30"/>
  <c r="BL104" i="30"/>
  <c r="BM104" i="30"/>
  <c r="BN104" i="30"/>
  <c r="BO104" i="30"/>
  <c r="BP104" i="30"/>
  <c r="BQ104" i="30"/>
  <c r="BR104" i="30"/>
  <c r="BS104" i="30"/>
  <c r="BT104" i="30"/>
  <c r="BU104" i="30"/>
  <c r="BV104" i="30"/>
  <c r="BW104" i="30"/>
  <c r="BX104" i="30"/>
  <c r="BY104" i="30"/>
  <c r="BZ104" i="30"/>
  <c r="CA104" i="30"/>
  <c r="CB104" i="30"/>
  <c r="CC104" i="30"/>
  <c r="CD104" i="30"/>
  <c r="CE104" i="30"/>
  <c r="CF104" i="30"/>
  <c r="CG104" i="30"/>
  <c r="CH104" i="30"/>
  <c r="CI104" i="30"/>
  <c r="CJ104" i="30"/>
  <c r="CK104" i="30"/>
  <c r="CL104" i="30"/>
  <c r="CM104" i="30"/>
  <c r="CN104" i="30"/>
  <c r="CO104" i="30"/>
  <c r="CP104" i="30"/>
  <c r="CQ104" i="30"/>
  <c r="CR104" i="30"/>
  <c r="CS104" i="30"/>
  <c r="CT104" i="30"/>
  <c r="CU104" i="30"/>
  <c r="CV104" i="30"/>
  <c r="CW104" i="30"/>
  <c r="CX104" i="30"/>
  <c r="CY104" i="30"/>
  <c r="CZ104" i="30"/>
  <c r="DA104" i="30"/>
  <c r="DB104" i="30"/>
  <c r="DC104" i="30"/>
  <c r="DD104" i="30"/>
  <c r="DE104" i="30"/>
  <c r="DF104" i="30"/>
  <c r="DG104" i="30"/>
  <c r="DH104" i="30"/>
  <c r="DI104" i="30"/>
  <c r="DJ104" i="30"/>
  <c r="DK104" i="30"/>
  <c r="DL104" i="30"/>
  <c r="DM104" i="30"/>
  <c r="DN104" i="30"/>
  <c r="DO104" i="30"/>
  <c r="DP104" i="30"/>
  <c r="DQ104" i="30"/>
  <c r="DR104" i="30"/>
  <c r="DS104" i="30"/>
  <c r="DT104" i="30"/>
  <c r="DU104" i="30"/>
  <c r="DV104" i="30"/>
  <c r="DW104" i="30"/>
  <c r="DX104" i="30"/>
  <c r="DY104" i="30"/>
  <c r="DZ104" i="30"/>
  <c r="EA104" i="30"/>
  <c r="EB104" i="30"/>
  <c r="EC104" i="30"/>
  <c r="ED104" i="30"/>
  <c r="EE104" i="30"/>
  <c r="EF104" i="30"/>
  <c r="EG104" i="30"/>
  <c r="F107" i="30"/>
  <c r="G107" i="30"/>
  <c r="H107" i="30"/>
  <c r="I107" i="30"/>
  <c r="J107" i="30"/>
  <c r="K107" i="30"/>
  <c r="L107" i="30"/>
  <c r="M107" i="30"/>
  <c r="N107" i="30"/>
  <c r="O107" i="30"/>
  <c r="P107" i="30"/>
  <c r="Q107" i="30"/>
  <c r="R107" i="30"/>
  <c r="S107" i="30"/>
  <c r="T107" i="30"/>
  <c r="U107" i="30"/>
  <c r="V107" i="30"/>
  <c r="W107" i="30"/>
  <c r="X107" i="30"/>
  <c r="Y107" i="30"/>
  <c r="Z107" i="30"/>
  <c r="AA107" i="30"/>
  <c r="AB107" i="30"/>
  <c r="AC107" i="30"/>
  <c r="AD107" i="30"/>
  <c r="AE107" i="30"/>
  <c r="AF107" i="30"/>
  <c r="AG107" i="30"/>
  <c r="AH107" i="30"/>
  <c r="AI107" i="30"/>
  <c r="AJ107" i="30"/>
  <c r="AK107" i="30"/>
  <c r="AL107" i="30"/>
  <c r="AM107" i="30"/>
  <c r="AN107" i="30"/>
  <c r="AO107" i="30"/>
  <c r="AP107" i="30"/>
  <c r="AQ107" i="30"/>
  <c r="AR107" i="30"/>
  <c r="AS107" i="30"/>
  <c r="AT107" i="30"/>
  <c r="AU107" i="30"/>
  <c r="AV107" i="30"/>
  <c r="AW107" i="30"/>
  <c r="AX107" i="30"/>
  <c r="AY107" i="30"/>
  <c r="AZ107" i="30"/>
  <c r="BA107" i="30"/>
  <c r="BB107" i="30"/>
  <c r="BC107" i="30"/>
  <c r="BD107" i="30"/>
  <c r="BE107" i="30"/>
  <c r="BF107" i="30"/>
  <c r="BG107" i="30"/>
  <c r="BH107" i="30"/>
  <c r="BI107" i="30"/>
  <c r="BJ107" i="30"/>
  <c r="BK107" i="30"/>
  <c r="BL107" i="30"/>
  <c r="BM107" i="30"/>
  <c r="BN107" i="30"/>
  <c r="BO107" i="30"/>
  <c r="BP107" i="30"/>
  <c r="BQ107" i="30"/>
  <c r="BR107" i="30"/>
  <c r="BS107" i="30"/>
  <c r="BT107" i="30"/>
  <c r="BU107" i="30"/>
  <c r="BV107" i="30"/>
  <c r="BW107" i="30"/>
  <c r="BX107" i="30"/>
  <c r="BY107" i="30"/>
  <c r="BZ107" i="30"/>
  <c r="CA107" i="30"/>
  <c r="CB107" i="30"/>
  <c r="CC107" i="30"/>
  <c r="CD107" i="30"/>
  <c r="CE107" i="30"/>
  <c r="CF107" i="30"/>
  <c r="CG107" i="30"/>
  <c r="CH107" i="30"/>
  <c r="CI107" i="30"/>
  <c r="CJ107" i="30"/>
  <c r="CK107" i="30"/>
  <c r="CL107" i="30"/>
  <c r="CM107" i="30"/>
  <c r="CN107" i="30"/>
  <c r="CO107" i="30"/>
  <c r="CP107" i="30"/>
  <c r="CQ107" i="30"/>
  <c r="CR107" i="30"/>
  <c r="CS107" i="30"/>
  <c r="CT107" i="30"/>
  <c r="CU107" i="30"/>
  <c r="CV107" i="30"/>
  <c r="CW107" i="30"/>
  <c r="CX107" i="30"/>
  <c r="CY107" i="30"/>
  <c r="CZ107" i="30"/>
  <c r="DA107" i="30"/>
  <c r="DB107" i="30"/>
  <c r="DC107" i="30"/>
  <c r="DD107" i="30"/>
  <c r="DE107" i="30"/>
  <c r="DF107" i="30"/>
  <c r="DG107" i="30"/>
  <c r="DH107" i="30"/>
  <c r="DI107" i="30"/>
  <c r="DJ107" i="30"/>
  <c r="DK107" i="30"/>
  <c r="DL107" i="30"/>
  <c r="DM107" i="30"/>
  <c r="DN107" i="30"/>
  <c r="DO107" i="30"/>
  <c r="DP107" i="30"/>
  <c r="DQ107" i="30"/>
  <c r="DR107" i="30"/>
  <c r="DS107" i="30"/>
  <c r="DT107" i="30"/>
  <c r="DU107" i="30"/>
  <c r="DV107" i="30"/>
  <c r="DW107" i="30"/>
  <c r="DX107" i="30"/>
  <c r="DY107" i="30"/>
  <c r="DZ107" i="30"/>
  <c r="EA107" i="30"/>
  <c r="EB107" i="30"/>
  <c r="EC107" i="30"/>
  <c r="ED107" i="30"/>
  <c r="EE107" i="30"/>
  <c r="EF107" i="30"/>
  <c r="EG107" i="30"/>
  <c r="F108" i="30"/>
  <c r="G108" i="30"/>
  <c r="H108" i="30"/>
  <c r="I108" i="30"/>
  <c r="J108" i="30"/>
  <c r="K108" i="30"/>
  <c r="L108" i="30"/>
  <c r="M108" i="30"/>
  <c r="N108" i="30"/>
  <c r="O108" i="30"/>
  <c r="P108" i="30"/>
  <c r="Q108" i="30"/>
  <c r="R108" i="30"/>
  <c r="S108" i="30"/>
  <c r="T108" i="30"/>
  <c r="U108" i="30"/>
  <c r="V108" i="30"/>
  <c r="W108" i="30"/>
  <c r="X108" i="30"/>
  <c r="Y108" i="30"/>
  <c r="Z108" i="30"/>
  <c r="AA108" i="30"/>
  <c r="AB108" i="30"/>
  <c r="AC108" i="30"/>
  <c r="AD108" i="30"/>
  <c r="AE108" i="30"/>
  <c r="AF108" i="30"/>
  <c r="AG108" i="30"/>
  <c r="AH108" i="30"/>
  <c r="AI108" i="30"/>
  <c r="AJ108" i="30"/>
  <c r="AK108" i="30"/>
  <c r="AL108" i="30"/>
  <c r="AM108" i="30"/>
  <c r="AN108" i="30"/>
  <c r="AO108" i="30"/>
  <c r="AP108" i="30"/>
  <c r="AQ108" i="30"/>
  <c r="AR108" i="30"/>
  <c r="AS108" i="30"/>
  <c r="AT108" i="30"/>
  <c r="AU108" i="30"/>
  <c r="AV108" i="30"/>
  <c r="AW108" i="30"/>
  <c r="AX108" i="30"/>
  <c r="AY108" i="30"/>
  <c r="AZ108" i="30"/>
  <c r="BA108" i="30"/>
  <c r="BB108" i="30"/>
  <c r="BC108" i="30"/>
  <c r="BD108" i="30"/>
  <c r="BE108" i="30"/>
  <c r="BF108" i="30"/>
  <c r="BG108" i="30"/>
  <c r="BH108" i="30"/>
  <c r="BI108" i="30"/>
  <c r="BJ108" i="30"/>
  <c r="BK108" i="30"/>
  <c r="BL108" i="30"/>
  <c r="BM108" i="30"/>
  <c r="BN108" i="30"/>
  <c r="BO108" i="30"/>
  <c r="BP108" i="30"/>
  <c r="BQ108" i="30"/>
  <c r="BR108" i="30"/>
  <c r="BS108" i="30"/>
  <c r="BT108" i="30"/>
  <c r="BU108" i="30"/>
  <c r="BV108" i="30"/>
  <c r="BW108" i="30"/>
  <c r="BX108" i="30"/>
  <c r="BY108" i="30"/>
  <c r="BZ108" i="30"/>
  <c r="CA108" i="30"/>
  <c r="CB108" i="30"/>
  <c r="CC108" i="30"/>
  <c r="CD108" i="30"/>
  <c r="CE108" i="30"/>
  <c r="CF108" i="30"/>
  <c r="CG108" i="30"/>
  <c r="CH108" i="30"/>
  <c r="CI108" i="30"/>
  <c r="CJ108" i="30"/>
  <c r="CK108" i="30"/>
  <c r="CL108" i="30"/>
  <c r="CM108" i="30"/>
  <c r="CN108" i="30"/>
  <c r="CO108" i="30"/>
  <c r="CP108" i="30"/>
  <c r="CQ108" i="30"/>
  <c r="CR108" i="30"/>
  <c r="CS108" i="30"/>
  <c r="CT108" i="30"/>
  <c r="CU108" i="30"/>
  <c r="CV108" i="30"/>
  <c r="CW108" i="30"/>
  <c r="CX108" i="30"/>
  <c r="CY108" i="30"/>
  <c r="CZ108" i="30"/>
  <c r="DA108" i="30"/>
  <c r="DB108" i="30"/>
  <c r="DC108" i="30"/>
  <c r="DD108" i="30"/>
  <c r="DE108" i="30"/>
  <c r="DF108" i="30"/>
  <c r="DG108" i="30"/>
  <c r="DH108" i="30"/>
  <c r="DI108" i="30"/>
  <c r="DJ108" i="30"/>
  <c r="DK108" i="30"/>
  <c r="DL108" i="30"/>
  <c r="DM108" i="30"/>
  <c r="DN108" i="30"/>
  <c r="DO108" i="30"/>
  <c r="DP108" i="30"/>
  <c r="DQ108" i="30"/>
  <c r="DR108" i="30"/>
  <c r="DS108" i="30"/>
  <c r="DT108" i="30"/>
  <c r="DU108" i="30"/>
  <c r="DV108" i="30"/>
  <c r="DW108" i="30"/>
  <c r="DX108" i="30"/>
  <c r="DY108" i="30"/>
  <c r="DZ108" i="30"/>
  <c r="EA108" i="30"/>
  <c r="EB108" i="30"/>
  <c r="EC108" i="30"/>
  <c r="ED108" i="30"/>
  <c r="EE108" i="30"/>
  <c r="EF108" i="30"/>
  <c r="EG108" i="30"/>
  <c r="F109" i="30"/>
  <c r="G109" i="30"/>
  <c r="H109" i="30"/>
  <c r="I109" i="30"/>
  <c r="J109" i="30"/>
  <c r="K109" i="30"/>
  <c r="L109" i="30"/>
  <c r="M109" i="30"/>
  <c r="N109" i="30"/>
  <c r="O109" i="30"/>
  <c r="P109" i="30"/>
  <c r="Q109" i="30"/>
  <c r="R109" i="30"/>
  <c r="S109" i="30"/>
  <c r="T109" i="30"/>
  <c r="U109" i="30"/>
  <c r="V109" i="30"/>
  <c r="W109" i="30"/>
  <c r="X109" i="30"/>
  <c r="Y109" i="30"/>
  <c r="Z109" i="30"/>
  <c r="AA109" i="30"/>
  <c r="AB109" i="30"/>
  <c r="AC109" i="30"/>
  <c r="AD109" i="30"/>
  <c r="AE109" i="30"/>
  <c r="AF109" i="30"/>
  <c r="AG109" i="30"/>
  <c r="AH109" i="30"/>
  <c r="AI109" i="30"/>
  <c r="AJ109" i="30"/>
  <c r="AK109" i="30"/>
  <c r="AL109" i="30"/>
  <c r="AM109" i="30"/>
  <c r="AN109" i="30"/>
  <c r="AO109" i="30"/>
  <c r="AP109" i="30"/>
  <c r="AQ109" i="30"/>
  <c r="AR109" i="30"/>
  <c r="AS109" i="30"/>
  <c r="AT109" i="30"/>
  <c r="AU109" i="30"/>
  <c r="AV109" i="30"/>
  <c r="AW109" i="30"/>
  <c r="AX109" i="30"/>
  <c r="AY109" i="30"/>
  <c r="AZ109" i="30"/>
  <c r="BA109" i="30"/>
  <c r="BB109" i="30"/>
  <c r="BC109" i="30"/>
  <c r="BD109" i="30"/>
  <c r="BE109" i="30"/>
  <c r="BF109" i="30"/>
  <c r="BG109" i="30"/>
  <c r="BH109" i="30"/>
  <c r="BI109" i="30"/>
  <c r="BJ109" i="30"/>
  <c r="BK109" i="30"/>
  <c r="BL109" i="30"/>
  <c r="BM109" i="30"/>
  <c r="BN109" i="30"/>
  <c r="BO109" i="30"/>
  <c r="BP109" i="30"/>
  <c r="BQ109" i="30"/>
  <c r="BR109" i="30"/>
  <c r="BS109" i="30"/>
  <c r="BT109" i="30"/>
  <c r="BU109" i="30"/>
  <c r="BV109" i="30"/>
  <c r="BW109" i="30"/>
  <c r="BX109" i="30"/>
  <c r="BY109" i="30"/>
  <c r="BZ109" i="30"/>
  <c r="CA109" i="30"/>
  <c r="CB109" i="30"/>
  <c r="CC109" i="30"/>
  <c r="CD109" i="30"/>
  <c r="CE109" i="30"/>
  <c r="CF109" i="30"/>
  <c r="CG109" i="30"/>
  <c r="CH109" i="30"/>
  <c r="CI109" i="30"/>
  <c r="CJ109" i="30"/>
  <c r="CK109" i="30"/>
  <c r="CL109" i="30"/>
  <c r="CM109" i="30"/>
  <c r="CN109" i="30"/>
  <c r="CO109" i="30"/>
  <c r="CP109" i="30"/>
  <c r="CQ109" i="30"/>
  <c r="CR109" i="30"/>
  <c r="CS109" i="30"/>
  <c r="CT109" i="30"/>
  <c r="CU109" i="30"/>
  <c r="CV109" i="30"/>
  <c r="CW109" i="30"/>
  <c r="CX109" i="30"/>
  <c r="CY109" i="30"/>
  <c r="CZ109" i="30"/>
  <c r="DA109" i="30"/>
  <c r="DB109" i="30"/>
  <c r="DC109" i="30"/>
  <c r="DD109" i="30"/>
  <c r="DE109" i="30"/>
  <c r="DF109" i="30"/>
  <c r="DG109" i="30"/>
  <c r="DH109" i="30"/>
  <c r="DI109" i="30"/>
  <c r="DJ109" i="30"/>
  <c r="DK109" i="30"/>
  <c r="DL109" i="30"/>
  <c r="DM109" i="30"/>
  <c r="DN109" i="30"/>
  <c r="DO109" i="30"/>
  <c r="DP109" i="30"/>
  <c r="DQ109" i="30"/>
  <c r="DR109" i="30"/>
  <c r="DS109" i="30"/>
  <c r="DT109" i="30"/>
  <c r="DU109" i="30"/>
  <c r="DV109" i="30"/>
  <c r="DW109" i="30"/>
  <c r="DX109" i="30"/>
  <c r="DY109" i="30"/>
  <c r="DZ109" i="30"/>
  <c r="EA109" i="30"/>
  <c r="EB109" i="30"/>
  <c r="EC109" i="30"/>
  <c r="ED109" i="30"/>
  <c r="EE109" i="30"/>
  <c r="EF109" i="30"/>
  <c r="EG109" i="30"/>
  <c r="E110" i="30"/>
  <c r="F110" i="30"/>
  <c r="G110" i="30"/>
  <c r="H110" i="30"/>
  <c r="I110" i="30"/>
  <c r="J110" i="30"/>
  <c r="K110" i="30"/>
  <c r="L110" i="30"/>
  <c r="M110" i="30"/>
  <c r="N110" i="30"/>
  <c r="O110" i="30"/>
  <c r="P110" i="30"/>
  <c r="Q110" i="30"/>
  <c r="R110" i="30"/>
  <c r="S110" i="30"/>
  <c r="T110" i="30"/>
  <c r="U110" i="30"/>
  <c r="V110" i="30"/>
  <c r="W110" i="30"/>
  <c r="X110" i="30"/>
  <c r="Y110" i="30"/>
  <c r="Z110" i="30"/>
  <c r="AA110" i="30"/>
  <c r="AB110" i="30"/>
  <c r="AC110" i="30"/>
  <c r="AD110" i="30"/>
  <c r="AE110" i="30"/>
  <c r="AF110" i="30"/>
  <c r="AG110" i="30"/>
  <c r="AH110" i="30"/>
  <c r="AI110" i="30"/>
  <c r="AJ110" i="30"/>
  <c r="AK110" i="30"/>
  <c r="AL110" i="30"/>
  <c r="AM110" i="30"/>
  <c r="AN110" i="30"/>
  <c r="AO110" i="30"/>
  <c r="AP110" i="30"/>
  <c r="AQ110" i="30"/>
  <c r="AR110" i="30"/>
  <c r="AS110" i="30"/>
  <c r="AT110" i="30"/>
  <c r="AU110" i="30"/>
  <c r="AV110" i="30"/>
  <c r="AW110" i="30"/>
  <c r="AX110" i="30"/>
  <c r="AY110" i="30"/>
  <c r="AZ110" i="30"/>
  <c r="BA110" i="30"/>
  <c r="BB110" i="30"/>
  <c r="BC110" i="30"/>
  <c r="BD110" i="30"/>
  <c r="BE110" i="30"/>
  <c r="BF110" i="30"/>
  <c r="BG110" i="30"/>
  <c r="BH110" i="30"/>
  <c r="BI110" i="30"/>
  <c r="BJ110" i="30"/>
  <c r="BK110" i="30"/>
  <c r="BL110" i="30"/>
  <c r="BM110" i="30"/>
  <c r="BN110" i="30"/>
  <c r="BO110" i="30"/>
  <c r="BP110" i="30"/>
  <c r="BQ110" i="30"/>
  <c r="BR110" i="30"/>
  <c r="BS110" i="30"/>
  <c r="BT110" i="30"/>
  <c r="BU110" i="30"/>
  <c r="BV110" i="30"/>
  <c r="BW110" i="30"/>
  <c r="BX110" i="30"/>
  <c r="BY110" i="30"/>
  <c r="BZ110" i="30"/>
  <c r="CA110" i="30"/>
  <c r="CB110" i="30"/>
  <c r="CC110" i="30"/>
  <c r="CD110" i="30"/>
  <c r="CE110" i="30"/>
  <c r="CF110" i="30"/>
  <c r="CG110" i="30"/>
  <c r="CH110" i="30"/>
  <c r="CI110" i="30"/>
  <c r="CJ110" i="30"/>
  <c r="CK110" i="30"/>
  <c r="CL110" i="30"/>
  <c r="CM110" i="30"/>
  <c r="CN110" i="30"/>
  <c r="CO110" i="30"/>
  <c r="CP110" i="30"/>
  <c r="CQ110" i="30"/>
  <c r="CR110" i="30"/>
  <c r="CS110" i="30"/>
  <c r="CT110" i="30"/>
  <c r="CU110" i="30"/>
  <c r="CV110" i="30"/>
  <c r="CW110" i="30"/>
  <c r="CX110" i="30"/>
  <c r="CY110" i="30"/>
  <c r="CZ110" i="30"/>
  <c r="DA110" i="30"/>
  <c r="DB110" i="30"/>
  <c r="DC110" i="30"/>
  <c r="DD110" i="30"/>
  <c r="DE110" i="30"/>
  <c r="DF110" i="30"/>
  <c r="DG110" i="30"/>
  <c r="DH110" i="30"/>
  <c r="DI110" i="30"/>
  <c r="DJ110" i="30"/>
  <c r="DK110" i="30"/>
  <c r="DL110" i="30"/>
  <c r="DM110" i="30"/>
  <c r="DN110" i="30"/>
  <c r="DO110" i="30"/>
  <c r="DP110" i="30"/>
  <c r="DQ110" i="30"/>
  <c r="DR110" i="30"/>
  <c r="DS110" i="30"/>
  <c r="DT110" i="30"/>
  <c r="DU110" i="30"/>
  <c r="DV110" i="30"/>
  <c r="DW110" i="30"/>
  <c r="DX110" i="30"/>
  <c r="DY110" i="30"/>
  <c r="DZ110" i="30"/>
  <c r="EA110" i="30"/>
  <c r="EB110" i="30"/>
  <c r="EC110" i="30"/>
  <c r="ED110" i="30"/>
  <c r="EE110" i="30"/>
  <c r="EF110" i="30"/>
  <c r="EG110" i="30"/>
  <c r="E111" i="30"/>
  <c r="F111" i="30"/>
  <c r="G111" i="30"/>
  <c r="H111" i="30"/>
  <c r="I111" i="30"/>
  <c r="J111" i="30"/>
  <c r="K111" i="30"/>
  <c r="L111" i="30"/>
  <c r="M111" i="30"/>
  <c r="N111" i="30"/>
  <c r="O111" i="30"/>
  <c r="P111" i="30"/>
  <c r="Q111" i="30"/>
  <c r="R111" i="30"/>
  <c r="S111" i="30"/>
  <c r="T111" i="30"/>
  <c r="U111" i="30"/>
  <c r="V111" i="30"/>
  <c r="W111" i="30"/>
  <c r="X111" i="30"/>
  <c r="Y111" i="30"/>
  <c r="Z111" i="30"/>
  <c r="AA111" i="30"/>
  <c r="AB111" i="30"/>
  <c r="AC111" i="30"/>
  <c r="AD111" i="30"/>
  <c r="AE111" i="30"/>
  <c r="AF111" i="30"/>
  <c r="AG111" i="30"/>
  <c r="AH111" i="30"/>
  <c r="AI111" i="30"/>
  <c r="AJ111" i="30"/>
  <c r="AK111" i="30"/>
  <c r="AL111" i="30"/>
  <c r="AM111" i="30"/>
  <c r="AN111" i="30"/>
  <c r="AO111" i="30"/>
  <c r="AP111" i="30"/>
  <c r="AQ111" i="30"/>
  <c r="AR111" i="30"/>
  <c r="AS111" i="30"/>
  <c r="AT111" i="30"/>
  <c r="AU111" i="30"/>
  <c r="AV111" i="30"/>
  <c r="AW111" i="30"/>
  <c r="AX111" i="30"/>
  <c r="AY111" i="30"/>
  <c r="AZ111" i="30"/>
  <c r="BA111" i="30"/>
  <c r="BB111" i="30"/>
  <c r="BC111" i="30"/>
  <c r="BD111" i="30"/>
  <c r="BE111" i="30"/>
  <c r="BF111" i="30"/>
  <c r="BG111" i="30"/>
  <c r="BH111" i="30"/>
  <c r="BI111" i="30"/>
  <c r="BJ111" i="30"/>
  <c r="BK111" i="30"/>
  <c r="BL111" i="30"/>
  <c r="BM111" i="30"/>
  <c r="BN111" i="30"/>
  <c r="BO111" i="30"/>
  <c r="BP111" i="30"/>
  <c r="BQ111" i="30"/>
  <c r="BR111" i="30"/>
  <c r="BS111" i="30"/>
  <c r="BT111" i="30"/>
  <c r="BU111" i="30"/>
  <c r="BV111" i="30"/>
  <c r="BW111" i="30"/>
  <c r="BX111" i="30"/>
  <c r="BY111" i="30"/>
  <c r="BZ111" i="30"/>
  <c r="CA111" i="30"/>
  <c r="CB111" i="30"/>
  <c r="CC111" i="30"/>
  <c r="CD111" i="30"/>
  <c r="CE111" i="30"/>
  <c r="CF111" i="30"/>
  <c r="CG111" i="30"/>
  <c r="CH111" i="30"/>
  <c r="CI111" i="30"/>
  <c r="CJ111" i="30"/>
  <c r="CK111" i="30"/>
  <c r="CL111" i="30"/>
  <c r="CM111" i="30"/>
  <c r="CN111" i="30"/>
  <c r="CO111" i="30"/>
  <c r="CP111" i="30"/>
  <c r="CQ111" i="30"/>
  <c r="CR111" i="30"/>
  <c r="CS111" i="30"/>
  <c r="CT111" i="30"/>
  <c r="CU111" i="30"/>
  <c r="CV111" i="30"/>
  <c r="CW111" i="30"/>
  <c r="CX111" i="30"/>
  <c r="CY111" i="30"/>
  <c r="CZ111" i="30"/>
  <c r="DA111" i="30"/>
  <c r="DB111" i="30"/>
  <c r="DC111" i="30"/>
  <c r="DD111" i="30"/>
  <c r="DE111" i="30"/>
  <c r="DF111" i="30"/>
  <c r="DG111" i="30"/>
  <c r="DH111" i="30"/>
  <c r="DI111" i="30"/>
  <c r="DJ111" i="30"/>
  <c r="DK111" i="30"/>
  <c r="DL111" i="30"/>
  <c r="DM111" i="30"/>
  <c r="DN111" i="30"/>
  <c r="DO111" i="30"/>
  <c r="DP111" i="30"/>
  <c r="DQ111" i="30"/>
  <c r="DR111" i="30"/>
  <c r="DS111" i="30"/>
  <c r="DT111" i="30"/>
  <c r="DU111" i="30"/>
  <c r="DV111" i="30"/>
  <c r="DW111" i="30"/>
  <c r="DX111" i="30"/>
  <c r="DY111" i="30"/>
  <c r="DZ111" i="30"/>
  <c r="EA111" i="30"/>
  <c r="EB111" i="30"/>
  <c r="EC111" i="30"/>
  <c r="ED111" i="30"/>
  <c r="EE111" i="30"/>
  <c r="EF111" i="30"/>
  <c r="EG111" i="30"/>
  <c r="AH112" i="30"/>
  <c r="E113" i="30"/>
  <c r="F113" i="30"/>
  <c r="G113" i="30"/>
  <c r="H113" i="30"/>
  <c r="I113" i="30"/>
  <c r="J113" i="30"/>
  <c r="K113" i="30"/>
  <c r="L113" i="30"/>
  <c r="M113" i="30"/>
  <c r="N113" i="30"/>
  <c r="O113" i="30"/>
  <c r="P113" i="30"/>
  <c r="Q113" i="30"/>
  <c r="R113" i="30"/>
  <c r="S113" i="30"/>
  <c r="T113" i="30"/>
  <c r="U113" i="30"/>
  <c r="V113" i="30"/>
  <c r="W113" i="30"/>
  <c r="X113" i="30"/>
  <c r="Y113" i="30"/>
  <c r="Z113" i="30"/>
  <c r="AA113" i="30"/>
  <c r="AB113" i="30"/>
  <c r="AC113" i="30"/>
  <c r="AD113" i="30"/>
  <c r="AE113" i="30"/>
  <c r="AF113" i="30"/>
  <c r="AG113" i="30"/>
  <c r="AH113" i="30"/>
  <c r="AI113" i="30"/>
  <c r="AJ113" i="30"/>
  <c r="AK113" i="30"/>
  <c r="AL113" i="30"/>
  <c r="AM113" i="30"/>
  <c r="AN113" i="30"/>
  <c r="AO113" i="30"/>
  <c r="AP113" i="30"/>
  <c r="AQ113" i="30"/>
  <c r="AR113" i="30"/>
  <c r="AS113" i="30"/>
  <c r="AT113" i="30"/>
  <c r="AU113" i="30"/>
  <c r="AV113" i="30"/>
  <c r="AW113" i="30"/>
  <c r="AX113" i="30"/>
  <c r="AY113" i="30"/>
  <c r="AZ113" i="30"/>
  <c r="BA113" i="30"/>
  <c r="BB113" i="30"/>
  <c r="BC113" i="30"/>
  <c r="BD113" i="30"/>
  <c r="BE113" i="30"/>
  <c r="BF113" i="30"/>
  <c r="BG113" i="30"/>
  <c r="BH113" i="30"/>
  <c r="BI113" i="30"/>
  <c r="BJ113" i="30"/>
  <c r="BK113" i="30"/>
  <c r="BL113" i="30"/>
  <c r="BM113" i="30"/>
  <c r="BN113" i="30"/>
  <c r="BO113" i="30"/>
  <c r="BP113" i="30"/>
  <c r="BQ113" i="30"/>
  <c r="BR113" i="30"/>
  <c r="BS113" i="30"/>
  <c r="BT113" i="30"/>
  <c r="BU113" i="30"/>
  <c r="BV113" i="30"/>
  <c r="BW113" i="30"/>
  <c r="BX113" i="30"/>
  <c r="BY113" i="30"/>
  <c r="BZ113" i="30"/>
  <c r="CA113" i="30"/>
  <c r="CB113" i="30"/>
  <c r="CC113" i="30"/>
  <c r="CD113" i="30"/>
  <c r="CE113" i="30"/>
  <c r="CF113" i="30"/>
  <c r="CG113" i="30"/>
  <c r="CH113" i="30"/>
  <c r="CI113" i="30"/>
  <c r="CJ113" i="30"/>
  <c r="CK113" i="30"/>
  <c r="CL113" i="30"/>
  <c r="CM113" i="30"/>
  <c r="CN113" i="30"/>
  <c r="CO113" i="30"/>
  <c r="CP113" i="30"/>
  <c r="CQ113" i="30"/>
  <c r="CR113" i="30"/>
  <c r="CS113" i="30"/>
  <c r="CT113" i="30"/>
  <c r="CU113" i="30"/>
  <c r="CV113" i="30"/>
  <c r="CW113" i="30"/>
  <c r="CX113" i="30"/>
  <c r="CY113" i="30"/>
  <c r="CZ113" i="30"/>
  <c r="DA113" i="30"/>
  <c r="DB113" i="30"/>
  <c r="DC113" i="30"/>
  <c r="DD113" i="30"/>
  <c r="DE113" i="30"/>
  <c r="DF113" i="30"/>
  <c r="DG113" i="30"/>
  <c r="DH113" i="30"/>
  <c r="DI113" i="30"/>
  <c r="DJ113" i="30"/>
  <c r="DK113" i="30"/>
  <c r="DL113" i="30"/>
  <c r="DM113" i="30"/>
  <c r="DN113" i="30"/>
  <c r="DO113" i="30"/>
  <c r="DP113" i="30"/>
  <c r="DQ113" i="30"/>
  <c r="DR113" i="30"/>
  <c r="DS113" i="30"/>
  <c r="DT113" i="30"/>
  <c r="DU113" i="30"/>
  <c r="DV113" i="30"/>
  <c r="DW113" i="30"/>
  <c r="DX113" i="30"/>
  <c r="DY113" i="30"/>
  <c r="DZ113" i="30"/>
  <c r="EA113" i="30"/>
  <c r="EB113" i="30"/>
  <c r="EC113" i="30"/>
  <c r="ED113" i="30"/>
  <c r="EE113" i="30"/>
  <c r="EF113" i="30"/>
  <c r="EG113" i="30"/>
  <c r="AH116" i="30"/>
  <c r="AH117" i="30"/>
  <c r="AH118" i="30"/>
  <c r="AH120" i="30"/>
  <c r="AH121" i="30"/>
  <c r="AH122" i="30"/>
  <c r="AH124" i="30"/>
  <c r="AH125" i="30"/>
  <c r="AH127" i="30"/>
  <c r="AH128" i="30"/>
  <c r="AH129" i="30"/>
  <c r="AH130" i="30"/>
  <c r="AH132" i="30"/>
  <c r="AH133" i="30"/>
  <c r="AH134" i="30"/>
  <c r="AH135" i="30"/>
  <c r="AH136" i="30"/>
  <c r="AH137" i="30"/>
  <c r="AH138" i="30"/>
  <c r="AH139" i="30"/>
  <c r="AH140" i="30"/>
  <c r="AH141" i="30"/>
  <c r="AH142" i="30"/>
  <c r="AH143" i="30"/>
  <c r="AH146" i="30"/>
  <c r="AH147" i="30"/>
  <c r="AH148" i="30"/>
  <c r="F151" i="30"/>
  <c r="G151" i="30"/>
  <c r="H151" i="30"/>
  <c r="I151" i="30"/>
  <c r="J151" i="30"/>
  <c r="K151" i="30"/>
  <c r="L151" i="30"/>
  <c r="M151" i="30"/>
  <c r="N151" i="30"/>
  <c r="O151" i="30"/>
  <c r="P151" i="30"/>
  <c r="Q151" i="30"/>
  <c r="R151" i="30"/>
  <c r="S151" i="30"/>
  <c r="T151" i="30"/>
  <c r="U151" i="30"/>
  <c r="V151" i="30"/>
  <c r="W151" i="30"/>
  <c r="X151" i="30"/>
  <c r="Y151" i="30"/>
  <c r="Z151" i="30"/>
  <c r="AA151" i="30"/>
  <c r="AB151" i="30"/>
  <c r="AC151" i="30"/>
  <c r="AD151" i="30"/>
  <c r="AE151" i="30"/>
  <c r="AF151" i="30"/>
  <c r="AG151" i="30"/>
  <c r="AH151" i="30"/>
  <c r="AI151" i="30"/>
  <c r="AJ151" i="30"/>
  <c r="AK151" i="30"/>
  <c r="AL151" i="30"/>
  <c r="AM151" i="30"/>
  <c r="AN151" i="30"/>
  <c r="AO151" i="30"/>
  <c r="AP151" i="30"/>
  <c r="AQ151" i="30"/>
  <c r="AR151" i="30"/>
  <c r="AS151" i="30"/>
  <c r="AT151" i="30"/>
  <c r="AU151" i="30"/>
  <c r="AV151" i="30"/>
  <c r="AW151" i="30"/>
  <c r="AX151" i="30"/>
  <c r="AY151" i="30"/>
  <c r="AZ151" i="30"/>
  <c r="BA151" i="30"/>
  <c r="BB151" i="30"/>
  <c r="BC151" i="30"/>
  <c r="BD151" i="30"/>
  <c r="BE151" i="30"/>
  <c r="BF151" i="30"/>
  <c r="BG151" i="30"/>
  <c r="BH151" i="30"/>
  <c r="BI151" i="30"/>
  <c r="BJ151" i="30"/>
  <c r="BK151" i="30"/>
  <c r="BL151" i="30"/>
  <c r="BM151" i="30"/>
  <c r="BN151" i="30"/>
  <c r="BO151" i="30"/>
  <c r="BP151" i="30"/>
  <c r="BQ151" i="30"/>
  <c r="BR151" i="30"/>
  <c r="BS151" i="30"/>
  <c r="BT151" i="30"/>
  <c r="BU151" i="30"/>
  <c r="BV151" i="30"/>
  <c r="BW151" i="30"/>
  <c r="BX151" i="30"/>
  <c r="BY151" i="30"/>
  <c r="BZ151" i="30"/>
  <c r="CA151" i="30"/>
  <c r="CB151" i="30"/>
  <c r="CC151" i="30"/>
  <c r="CD151" i="30"/>
  <c r="CE151" i="30"/>
  <c r="CF151" i="30"/>
  <c r="CG151" i="30"/>
  <c r="CH151" i="30"/>
  <c r="CI151" i="30"/>
  <c r="CJ151" i="30"/>
  <c r="CK151" i="30"/>
  <c r="CL151" i="30"/>
  <c r="CM151" i="30"/>
  <c r="CN151" i="30"/>
  <c r="CO151" i="30"/>
  <c r="CP151" i="30"/>
  <c r="CQ151" i="30"/>
  <c r="CR151" i="30"/>
  <c r="CS151" i="30"/>
  <c r="CT151" i="30"/>
  <c r="CU151" i="30"/>
  <c r="CV151" i="30"/>
  <c r="CW151" i="30"/>
  <c r="CX151" i="30"/>
  <c r="CY151" i="30"/>
  <c r="CZ151" i="30"/>
  <c r="DA151" i="30"/>
  <c r="DB151" i="30"/>
  <c r="DC151" i="30"/>
  <c r="DD151" i="30"/>
  <c r="DE151" i="30"/>
  <c r="DF151" i="30"/>
  <c r="DG151" i="30"/>
  <c r="DH151" i="30"/>
  <c r="DI151" i="30"/>
  <c r="DJ151" i="30"/>
  <c r="DK151" i="30"/>
  <c r="DL151" i="30"/>
  <c r="DM151" i="30"/>
  <c r="DN151" i="30"/>
  <c r="DO151" i="30"/>
  <c r="DP151" i="30"/>
  <c r="DQ151" i="30"/>
  <c r="DR151" i="30"/>
  <c r="DS151" i="30"/>
  <c r="DT151" i="30"/>
  <c r="DU151" i="30"/>
  <c r="DV151" i="30"/>
  <c r="DW151" i="30"/>
  <c r="DX151" i="30"/>
  <c r="DY151" i="30"/>
  <c r="DZ151" i="30"/>
  <c r="EA151" i="30"/>
  <c r="EB151" i="30"/>
  <c r="EC151" i="30"/>
  <c r="ED151" i="30"/>
  <c r="EE151" i="30"/>
  <c r="EF151" i="30"/>
  <c r="EG151" i="30"/>
  <c r="F152" i="30"/>
  <c r="G152" i="30"/>
  <c r="H152" i="30"/>
  <c r="I152" i="30"/>
  <c r="J152" i="30"/>
  <c r="K152" i="30"/>
  <c r="L152" i="30"/>
  <c r="M152" i="30"/>
  <c r="N152" i="30"/>
  <c r="O152" i="30"/>
  <c r="P152" i="30"/>
  <c r="Q152" i="30"/>
  <c r="R152" i="30"/>
  <c r="S152" i="30"/>
  <c r="T152" i="30"/>
  <c r="U152" i="30"/>
  <c r="V152" i="30"/>
  <c r="W152" i="30"/>
  <c r="X152" i="30"/>
  <c r="Y152" i="30"/>
  <c r="Z152" i="30"/>
  <c r="AA152" i="30"/>
  <c r="AB152" i="30"/>
  <c r="AC152" i="30"/>
  <c r="AD152" i="30"/>
  <c r="AE152" i="30"/>
  <c r="AF152" i="30"/>
  <c r="AG152" i="30"/>
  <c r="AH152" i="30"/>
  <c r="AI152" i="30"/>
  <c r="AJ152" i="30"/>
  <c r="AK152" i="30"/>
  <c r="AL152" i="30"/>
  <c r="AM152" i="30"/>
  <c r="AN152" i="30"/>
  <c r="AO152" i="30"/>
  <c r="AP152" i="30"/>
  <c r="AQ152" i="30"/>
  <c r="AR152" i="30"/>
  <c r="AS152" i="30"/>
  <c r="AT152" i="30"/>
  <c r="AU152" i="30"/>
  <c r="AV152" i="30"/>
  <c r="AW152" i="30"/>
  <c r="AX152" i="30"/>
  <c r="AY152" i="30"/>
  <c r="AZ152" i="30"/>
  <c r="BA152" i="30"/>
  <c r="BB152" i="30"/>
  <c r="BC152" i="30"/>
  <c r="BD152" i="30"/>
  <c r="BE152" i="30"/>
  <c r="BF152" i="30"/>
  <c r="BG152" i="30"/>
  <c r="BH152" i="30"/>
  <c r="BI152" i="30"/>
  <c r="BJ152" i="30"/>
  <c r="BK152" i="30"/>
  <c r="BL152" i="30"/>
  <c r="BM152" i="30"/>
  <c r="BN152" i="30"/>
  <c r="BO152" i="30"/>
  <c r="BP152" i="30"/>
  <c r="BQ152" i="30"/>
  <c r="BR152" i="30"/>
  <c r="BS152" i="30"/>
  <c r="BT152" i="30"/>
  <c r="BU152" i="30"/>
  <c r="BV152" i="30"/>
  <c r="BW152" i="30"/>
  <c r="BX152" i="30"/>
  <c r="BY152" i="30"/>
  <c r="BZ152" i="30"/>
  <c r="CA152" i="30"/>
  <c r="CB152" i="30"/>
  <c r="CC152" i="30"/>
  <c r="CD152" i="30"/>
  <c r="CE152" i="30"/>
  <c r="CF152" i="30"/>
  <c r="CG152" i="30"/>
  <c r="CH152" i="30"/>
  <c r="CI152" i="30"/>
  <c r="CJ152" i="30"/>
  <c r="CK152" i="30"/>
  <c r="CL152" i="30"/>
  <c r="CM152" i="30"/>
  <c r="CN152" i="30"/>
  <c r="CO152" i="30"/>
  <c r="CP152" i="30"/>
  <c r="CQ152" i="30"/>
  <c r="CR152" i="30"/>
  <c r="CS152" i="30"/>
  <c r="CT152" i="30"/>
  <c r="CU152" i="30"/>
  <c r="CV152" i="30"/>
  <c r="CW152" i="30"/>
  <c r="CX152" i="30"/>
  <c r="CY152" i="30"/>
  <c r="CZ152" i="30"/>
  <c r="DA152" i="30"/>
  <c r="DB152" i="30"/>
  <c r="DC152" i="30"/>
  <c r="DD152" i="30"/>
  <c r="DE152" i="30"/>
  <c r="DF152" i="30"/>
  <c r="DG152" i="30"/>
  <c r="DH152" i="30"/>
  <c r="DI152" i="30"/>
  <c r="DJ152" i="30"/>
  <c r="DK152" i="30"/>
  <c r="DL152" i="30"/>
  <c r="DM152" i="30"/>
  <c r="DN152" i="30"/>
  <c r="DO152" i="30"/>
  <c r="DP152" i="30"/>
  <c r="DQ152" i="30"/>
  <c r="DR152" i="30"/>
  <c r="DS152" i="30"/>
  <c r="DT152" i="30"/>
  <c r="DU152" i="30"/>
  <c r="DV152" i="30"/>
  <c r="DW152" i="30"/>
  <c r="DX152" i="30"/>
  <c r="DY152" i="30"/>
  <c r="DZ152" i="30"/>
  <c r="EA152" i="30"/>
  <c r="EB152" i="30"/>
  <c r="EC152" i="30"/>
  <c r="ED152" i="30"/>
  <c r="EE152" i="30"/>
  <c r="EF152" i="30"/>
  <c r="EG152" i="30"/>
  <c r="AI153" i="30"/>
  <c r="AJ153" i="30"/>
  <c r="AK153" i="30"/>
  <c r="AL153" i="30"/>
  <c r="AM153" i="30"/>
  <c r="AN153" i="30"/>
  <c r="AO153" i="30"/>
  <c r="AP153" i="30"/>
  <c r="AQ153" i="30"/>
  <c r="AR153" i="30"/>
  <c r="AS153" i="30"/>
  <c r="AT153" i="30"/>
  <c r="AU153" i="30"/>
  <c r="AV153" i="30"/>
  <c r="AW153" i="30"/>
  <c r="AX153" i="30"/>
  <c r="AY153" i="30"/>
  <c r="AZ153" i="30"/>
  <c r="BA153" i="30"/>
  <c r="BB153" i="30"/>
  <c r="BC153" i="30"/>
  <c r="BD153" i="30"/>
  <c r="BE153" i="30"/>
  <c r="BF153" i="30"/>
  <c r="BG153" i="30"/>
  <c r="BH153" i="30"/>
  <c r="BI153" i="30"/>
  <c r="BJ153" i="30"/>
  <c r="BK153" i="30"/>
  <c r="BL153" i="30"/>
  <c r="BM153" i="30"/>
  <c r="BN153" i="30"/>
  <c r="BO153" i="30"/>
  <c r="BP153" i="30"/>
  <c r="BQ153" i="30"/>
  <c r="BR153" i="30"/>
  <c r="BS153" i="30"/>
  <c r="BT153" i="30"/>
  <c r="BU153" i="30"/>
  <c r="BV153" i="30"/>
  <c r="BW153" i="30"/>
  <c r="BX153" i="30"/>
  <c r="BY153" i="30"/>
  <c r="BZ153" i="30"/>
  <c r="CA153" i="30"/>
  <c r="CB153" i="30"/>
  <c r="CC153" i="30"/>
  <c r="CD153" i="30"/>
  <c r="CE153" i="30"/>
  <c r="CF153" i="30"/>
  <c r="CG153" i="30"/>
  <c r="CH153" i="30"/>
  <c r="CI153" i="30"/>
  <c r="CJ153" i="30"/>
  <c r="CK153" i="30"/>
  <c r="CL153" i="30"/>
  <c r="CM153" i="30"/>
  <c r="CN153" i="30"/>
  <c r="CO153" i="30"/>
  <c r="CP153" i="30"/>
  <c r="CQ153" i="30"/>
  <c r="CR153" i="30"/>
  <c r="CS153" i="30"/>
  <c r="CT153" i="30"/>
  <c r="CU153" i="30"/>
  <c r="CV153" i="30"/>
  <c r="CW153" i="30"/>
  <c r="CX153" i="30"/>
  <c r="CY153" i="30"/>
  <c r="CZ153" i="30"/>
  <c r="DA153" i="30"/>
  <c r="DB153" i="30"/>
  <c r="DC153" i="30"/>
  <c r="DD153" i="30"/>
  <c r="DE153" i="30"/>
  <c r="DF153" i="30"/>
  <c r="DG153" i="30"/>
  <c r="DH153" i="30"/>
  <c r="DI153" i="30"/>
  <c r="DJ153" i="30"/>
  <c r="DK153" i="30"/>
  <c r="DL153" i="30"/>
  <c r="DM153" i="30"/>
  <c r="DN153" i="30"/>
  <c r="DO153" i="30"/>
  <c r="DP153" i="30"/>
  <c r="DQ153" i="30"/>
  <c r="DR153" i="30"/>
  <c r="DS153" i="30"/>
  <c r="DT153" i="30"/>
  <c r="DU153" i="30"/>
  <c r="DV153" i="30"/>
  <c r="DW153" i="30"/>
  <c r="DX153" i="30"/>
  <c r="DY153" i="30"/>
  <c r="DZ153" i="30"/>
  <c r="EA153" i="30"/>
  <c r="EB153" i="30"/>
  <c r="EC153" i="30"/>
  <c r="ED153" i="30"/>
  <c r="EE153" i="30"/>
  <c r="EF153" i="30"/>
  <c r="EG153" i="30"/>
  <c r="F155" i="30"/>
  <c r="G155" i="30"/>
  <c r="H155" i="30"/>
  <c r="I155" i="30"/>
  <c r="J155" i="30"/>
  <c r="K155" i="30"/>
  <c r="L155" i="30"/>
  <c r="M155" i="30"/>
  <c r="N155" i="30"/>
  <c r="O155" i="30"/>
  <c r="P155" i="30"/>
  <c r="Q155" i="30"/>
  <c r="R155" i="30"/>
  <c r="S155" i="30"/>
  <c r="T155" i="30"/>
  <c r="U155" i="30"/>
  <c r="V155" i="30"/>
  <c r="W155" i="30"/>
  <c r="X155" i="30"/>
  <c r="Y155" i="30"/>
  <c r="Z155" i="30"/>
  <c r="AA155" i="30"/>
  <c r="AB155" i="30"/>
  <c r="AC155" i="30"/>
  <c r="AD155" i="30"/>
  <c r="AE155" i="30"/>
  <c r="AF155" i="30"/>
  <c r="AG155" i="30"/>
  <c r="AH155" i="30"/>
  <c r="AI155" i="30"/>
  <c r="AJ155" i="30"/>
  <c r="AK155" i="30"/>
  <c r="AL155" i="30"/>
  <c r="AM155" i="30"/>
  <c r="AN155" i="30"/>
  <c r="AO155" i="30"/>
  <c r="AP155" i="30"/>
  <c r="AQ155" i="30"/>
  <c r="AR155" i="30"/>
  <c r="AS155" i="30"/>
  <c r="AT155" i="30"/>
  <c r="AU155" i="30"/>
  <c r="AV155" i="30"/>
  <c r="AW155" i="30"/>
  <c r="AX155" i="30"/>
  <c r="AY155" i="30"/>
  <c r="AZ155" i="30"/>
  <c r="BA155" i="30"/>
  <c r="BB155" i="30"/>
  <c r="BC155" i="30"/>
  <c r="BD155" i="30"/>
  <c r="BE155" i="30"/>
  <c r="BF155" i="30"/>
  <c r="BG155" i="30"/>
  <c r="BH155" i="30"/>
  <c r="BI155" i="30"/>
  <c r="BJ155" i="30"/>
  <c r="BK155" i="30"/>
  <c r="BL155" i="30"/>
  <c r="BM155" i="30"/>
  <c r="BN155" i="30"/>
  <c r="BO155" i="30"/>
  <c r="BP155" i="30"/>
  <c r="BQ155" i="30"/>
  <c r="BR155" i="30"/>
  <c r="BS155" i="30"/>
  <c r="BT155" i="30"/>
  <c r="BU155" i="30"/>
  <c r="BV155" i="30"/>
  <c r="BW155" i="30"/>
  <c r="BX155" i="30"/>
  <c r="BY155" i="30"/>
  <c r="BZ155" i="30"/>
  <c r="CA155" i="30"/>
  <c r="CB155" i="30"/>
  <c r="CC155" i="30"/>
  <c r="CD155" i="30"/>
  <c r="CE155" i="30"/>
  <c r="CF155" i="30"/>
  <c r="CG155" i="30"/>
  <c r="CH155" i="30"/>
  <c r="CI155" i="30"/>
  <c r="CJ155" i="30"/>
  <c r="CK155" i="30"/>
  <c r="CL155" i="30"/>
  <c r="CM155" i="30"/>
  <c r="CN155" i="30"/>
  <c r="CO155" i="30"/>
  <c r="CP155" i="30"/>
  <c r="CQ155" i="30"/>
  <c r="CR155" i="30"/>
  <c r="CS155" i="30"/>
  <c r="CT155" i="30"/>
  <c r="CU155" i="30"/>
  <c r="CV155" i="30"/>
  <c r="CW155" i="30"/>
  <c r="CX155" i="30"/>
  <c r="CY155" i="30"/>
  <c r="CZ155" i="30"/>
  <c r="DA155" i="30"/>
  <c r="DB155" i="30"/>
  <c r="DC155" i="30"/>
  <c r="DD155" i="30"/>
  <c r="DE155" i="30"/>
  <c r="DF155" i="30"/>
  <c r="DG155" i="30"/>
  <c r="DH155" i="30"/>
  <c r="DI155" i="30"/>
  <c r="DJ155" i="30"/>
  <c r="DK155" i="30"/>
  <c r="DL155" i="30"/>
  <c r="DM155" i="30"/>
  <c r="DN155" i="30"/>
  <c r="DO155" i="30"/>
  <c r="DP155" i="30"/>
  <c r="DQ155" i="30"/>
  <c r="DR155" i="30"/>
  <c r="DS155" i="30"/>
  <c r="DT155" i="30"/>
  <c r="DU155" i="30"/>
  <c r="DV155" i="30"/>
  <c r="DW155" i="30"/>
  <c r="DX155" i="30"/>
  <c r="DY155" i="30"/>
  <c r="DZ155" i="30"/>
  <c r="EA155" i="30"/>
  <c r="EB155" i="30"/>
  <c r="EC155" i="30"/>
  <c r="ED155" i="30"/>
  <c r="EE155" i="30"/>
  <c r="EF155" i="30"/>
  <c r="EG155" i="30"/>
  <c r="F156" i="30"/>
  <c r="G156" i="30"/>
  <c r="H156" i="30"/>
  <c r="I156" i="30"/>
  <c r="J156" i="30"/>
  <c r="K156" i="30"/>
  <c r="L156" i="30"/>
  <c r="M156" i="30"/>
  <c r="N156" i="30"/>
  <c r="O156" i="30"/>
  <c r="P156" i="30"/>
  <c r="Q156" i="30"/>
  <c r="R156" i="30"/>
  <c r="S156" i="30"/>
  <c r="T156" i="30"/>
  <c r="U156" i="30"/>
  <c r="V156" i="30"/>
  <c r="W156" i="30"/>
  <c r="X156" i="30"/>
  <c r="Y156" i="30"/>
  <c r="Z156" i="30"/>
  <c r="AA156" i="30"/>
  <c r="AB156" i="30"/>
  <c r="AC156" i="30"/>
  <c r="AD156" i="30"/>
  <c r="AE156" i="30"/>
  <c r="AF156" i="30"/>
  <c r="AG156" i="30"/>
  <c r="AH156" i="30"/>
  <c r="AI156" i="30"/>
  <c r="AJ156" i="30"/>
  <c r="AK156" i="30"/>
  <c r="AL156" i="30"/>
  <c r="AM156" i="30"/>
  <c r="AN156" i="30"/>
  <c r="AO156" i="30"/>
  <c r="AP156" i="30"/>
  <c r="AQ156" i="30"/>
  <c r="AR156" i="30"/>
  <c r="AS156" i="30"/>
  <c r="AT156" i="30"/>
  <c r="AU156" i="30"/>
  <c r="AV156" i="30"/>
  <c r="AW156" i="30"/>
  <c r="AX156" i="30"/>
  <c r="AY156" i="30"/>
  <c r="AZ156" i="30"/>
  <c r="BA156" i="30"/>
  <c r="BB156" i="30"/>
  <c r="BC156" i="30"/>
  <c r="BD156" i="30"/>
  <c r="BE156" i="30"/>
  <c r="BF156" i="30"/>
  <c r="BG156" i="30"/>
  <c r="BH156" i="30"/>
  <c r="BI156" i="30"/>
  <c r="BJ156" i="30"/>
  <c r="BK156" i="30"/>
  <c r="BL156" i="30"/>
  <c r="BM156" i="30"/>
  <c r="BN156" i="30"/>
  <c r="BO156" i="30"/>
  <c r="BP156" i="30"/>
  <c r="BQ156" i="30"/>
  <c r="BR156" i="30"/>
  <c r="BS156" i="30"/>
  <c r="BT156" i="30"/>
  <c r="BU156" i="30"/>
  <c r="BV156" i="30"/>
  <c r="BW156" i="30"/>
  <c r="BX156" i="30"/>
  <c r="BY156" i="30"/>
  <c r="BZ156" i="30"/>
  <c r="CA156" i="30"/>
  <c r="CB156" i="30"/>
  <c r="CC156" i="30"/>
  <c r="CD156" i="30"/>
  <c r="CE156" i="30"/>
  <c r="CF156" i="30"/>
  <c r="CG156" i="30"/>
  <c r="CH156" i="30"/>
  <c r="CI156" i="30"/>
  <c r="CJ156" i="30"/>
  <c r="CK156" i="30"/>
  <c r="CL156" i="30"/>
  <c r="CM156" i="30"/>
  <c r="CN156" i="30"/>
  <c r="CO156" i="30"/>
  <c r="CP156" i="30"/>
  <c r="CQ156" i="30"/>
  <c r="CR156" i="30"/>
  <c r="CS156" i="30"/>
  <c r="CT156" i="30"/>
  <c r="CU156" i="30"/>
  <c r="CV156" i="30"/>
  <c r="CW156" i="30"/>
  <c r="CX156" i="30"/>
  <c r="CY156" i="30"/>
  <c r="CZ156" i="30"/>
  <c r="DA156" i="30"/>
  <c r="DB156" i="30"/>
  <c r="DC156" i="30"/>
  <c r="DD156" i="30"/>
  <c r="DE156" i="30"/>
  <c r="DF156" i="30"/>
  <c r="DG156" i="30"/>
  <c r="DH156" i="30"/>
  <c r="DI156" i="30"/>
  <c r="DJ156" i="30"/>
  <c r="DK156" i="30"/>
  <c r="DL156" i="30"/>
  <c r="DM156" i="30"/>
  <c r="DN156" i="30"/>
  <c r="DO156" i="30"/>
  <c r="DP156" i="30"/>
  <c r="DQ156" i="30"/>
  <c r="DR156" i="30"/>
  <c r="DS156" i="30"/>
  <c r="DT156" i="30"/>
  <c r="DU156" i="30"/>
  <c r="DV156" i="30"/>
  <c r="DW156" i="30"/>
  <c r="DX156" i="30"/>
  <c r="DY156" i="30"/>
  <c r="DZ156" i="30"/>
  <c r="EA156" i="30"/>
  <c r="EB156" i="30"/>
  <c r="EC156" i="30"/>
  <c r="ED156" i="30"/>
  <c r="EE156" i="30"/>
  <c r="EF156" i="30"/>
  <c r="EG156" i="30"/>
  <c r="AD159" i="30"/>
  <c r="AE159" i="30"/>
  <c r="AF159" i="30"/>
  <c r="AG159" i="30"/>
  <c r="AH159" i="30"/>
  <c r="AI159" i="30"/>
  <c r="AJ159" i="30"/>
  <c r="AK159" i="30"/>
  <c r="AL159" i="30"/>
  <c r="AM159" i="30"/>
  <c r="AN159" i="30"/>
  <c r="AO159" i="30"/>
  <c r="AP159" i="30"/>
  <c r="AQ159" i="30"/>
  <c r="AR159" i="30"/>
  <c r="AS159" i="30"/>
  <c r="AT159" i="30"/>
  <c r="AU159" i="30"/>
  <c r="AV159" i="30"/>
  <c r="AW159" i="30"/>
  <c r="AX159" i="30"/>
  <c r="AY159" i="30"/>
  <c r="AZ159" i="30"/>
  <c r="BA159" i="30"/>
  <c r="BB159" i="30"/>
  <c r="BC159" i="30"/>
  <c r="BD159" i="30"/>
  <c r="BE159" i="30"/>
  <c r="BF159" i="30"/>
  <c r="BG159" i="30"/>
  <c r="BH159" i="30"/>
  <c r="BI159" i="30"/>
  <c r="BJ159" i="30"/>
  <c r="BK159" i="30"/>
  <c r="BL159" i="30"/>
  <c r="BM159" i="30"/>
  <c r="BN159" i="30"/>
  <c r="BO159" i="30"/>
  <c r="BP159" i="30"/>
  <c r="BQ159" i="30"/>
  <c r="BR159" i="30"/>
  <c r="BS159" i="30"/>
  <c r="BT159" i="30"/>
  <c r="BU159" i="30"/>
  <c r="BV159" i="30"/>
  <c r="BW159" i="30"/>
  <c r="BX159" i="30"/>
  <c r="BY159" i="30"/>
  <c r="BZ159" i="30"/>
  <c r="CA159" i="30"/>
  <c r="CB159" i="30"/>
  <c r="CC159" i="30"/>
  <c r="CD159" i="30"/>
  <c r="CE159" i="30"/>
  <c r="CF159" i="30"/>
  <c r="CG159" i="30"/>
  <c r="CH159" i="30"/>
  <c r="CI159" i="30"/>
  <c r="CJ159" i="30"/>
  <c r="CK159" i="30"/>
  <c r="CL159" i="30"/>
  <c r="CM159" i="30"/>
  <c r="CN159" i="30"/>
  <c r="CO159" i="30"/>
  <c r="CP159" i="30"/>
  <c r="CQ159" i="30"/>
  <c r="CR159" i="30"/>
  <c r="CS159" i="30"/>
  <c r="CT159" i="30"/>
  <c r="CU159" i="30"/>
  <c r="CV159" i="30"/>
  <c r="CW159" i="30"/>
  <c r="CX159" i="30"/>
  <c r="CY159" i="30"/>
  <c r="CZ159" i="30"/>
  <c r="DA159" i="30"/>
  <c r="DB159" i="30"/>
  <c r="DC159" i="30"/>
  <c r="DD159" i="30"/>
  <c r="DE159" i="30"/>
  <c r="DF159" i="30"/>
  <c r="DG159" i="30"/>
  <c r="DH159" i="30"/>
  <c r="DI159" i="30"/>
  <c r="DJ159" i="30"/>
  <c r="DK159" i="30"/>
  <c r="DL159" i="30"/>
  <c r="DM159" i="30"/>
  <c r="DN159" i="30"/>
  <c r="DO159" i="30"/>
  <c r="DP159" i="30"/>
  <c r="DQ159" i="30"/>
  <c r="DR159" i="30"/>
  <c r="DS159" i="30"/>
  <c r="DT159" i="30"/>
  <c r="DU159" i="30"/>
  <c r="DV159" i="30"/>
  <c r="DW159" i="30"/>
  <c r="DX159" i="30"/>
  <c r="DY159" i="30"/>
  <c r="DZ159" i="30"/>
  <c r="EA159" i="30"/>
  <c r="EB159" i="30"/>
  <c r="EC159" i="30"/>
  <c r="ED159" i="30"/>
  <c r="EE159" i="30"/>
  <c r="EF159" i="30"/>
  <c r="EG159" i="30"/>
  <c r="F160" i="30"/>
  <c r="G160" i="30"/>
  <c r="H160" i="30"/>
  <c r="I160" i="30"/>
  <c r="J160" i="30"/>
  <c r="K160" i="30"/>
  <c r="L160" i="30"/>
  <c r="M160" i="30"/>
  <c r="N160" i="30"/>
  <c r="O160" i="30"/>
  <c r="P160" i="30"/>
  <c r="Q160" i="30"/>
  <c r="R160" i="30"/>
  <c r="S160" i="30"/>
  <c r="T160" i="30"/>
  <c r="U160" i="30"/>
  <c r="V160" i="30"/>
  <c r="W160" i="30"/>
  <c r="X160" i="30"/>
  <c r="Y160" i="30"/>
  <c r="Z160" i="30"/>
  <c r="AA160" i="30"/>
  <c r="AB160" i="30"/>
  <c r="AC160" i="30"/>
  <c r="AD160" i="30"/>
  <c r="AE160" i="30"/>
  <c r="AF160" i="30"/>
  <c r="AG160" i="30"/>
  <c r="AH160" i="30"/>
  <c r="AI160" i="30"/>
  <c r="AJ160" i="30"/>
  <c r="AK160" i="30"/>
  <c r="AL160" i="30"/>
  <c r="AM160" i="30"/>
  <c r="AN160" i="30"/>
  <c r="AO160" i="30"/>
  <c r="AP160" i="30"/>
  <c r="AQ160" i="30"/>
  <c r="AR160" i="30"/>
  <c r="AS160" i="30"/>
  <c r="AT160" i="30"/>
  <c r="AU160" i="30"/>
  <c r="AV160" i="30"/>
  <c r="AW160" i="30"/>
  <c r="AX160" i="30"/>
  <c r="AY160" i="30"/>
  <c r="AZ160" i="30"/>
  <c r="BA160" i="30"/>
  <c r="BB160" i="30"/>
  <c r="BC160" i="30"/>
  <c r="BD160" i="30"/>
  <c r="BE160" i="30"/>
  <c r="BF160" i="30"/>
  <c r="BG160" i="30"/>
  <c r="BH160" i="30"/>
  <c r="BI160" i="30"/>
  <c r="BJ160" i="30"/>
  <c r="BK160" i="30"/>
  <c r="BL160" i="30"/>
  <c r="BM160" i="30"/>
  <c r="BN160" i="30"/>
  <c r="BO160" i="30"/>
  <c r="BP160" i="30"/>
  <c r="BQ160" i="30"/>
  <c r="BR160" i="30"/>
  <c r="BS160" i="30"/>
  <c r="BT160" i="30"/>
  <c r="BU160" i="30"/>
  <c r="BV160" i="30"/>
  <c r="BW160" i="30"/>
  <c r="BX160" i="30"/>
  <c r="BY160" i="30"/>
  <c r="BZ160" i="30"/>
  <c r="CA160" i="30"/>
  <c r="CB160" i="30"/>
  <c r="CC160" i="30"/>
  <c r="CD160" i="30"/>
  <c r="CE160" i="30"/>
  <c r="CF160" i="30"/>
  <c r="CG160" i="30"/>
  <c r="CH160" i="30"/>
  <c r="CI160" i="30"/>
  <c r="CJ160" i="30"/>
  <c r="CK160" i="30"/>
  <c r="CL160" i="30"/>
  <c r="CM160" i="30"/>
  <c r="CN160" i="30"/>
  <c r="CO160" i="30"/>
  <c r="CP160" i="30"/>
  <c r="CQ160" i="30"/>
  <c r="CR160" i="30"/>
  <c r="CS160" i="30"/>
  <c r="CT160" i="30"/>
  <c r="CU160" i="30"/>
  <c r="CV160" i="30"/>
  <c r="CW160" i="30"/>
  <c r="CX160" i="30"/>
  <c r="CY160" i="30"/>
  <c r="CZ160" i="30"/>
  <c r="DA160" i="30"/>
  <c r="DB160" i="30"/>
  <c r="DC160" i="30"/>
  <c r="DD160" i="30"/>
  <c r="DE160" i="30"/>
  <c r="DF160" i="30"/>
  <c r="DG160" i="30"/>
  <c r="DH160" i="30"/>
  <c r="DI160" i="30"/>
  <c r="DJ160" i="30"/>
  <c r="DK160" i="30"/>
  <c r="DL160" i="30"/>
  <c r="DM160" i="30"/>
  <c r="DN160" i="30"/>
  <c r="DO160" i="30"/>
  <c r="DP160" i="30"/>
  <c r="DQ160" i="30"/>
  <c r="DR160" i="30"/>
  <c r="DS160" i="30"/>
  <c r="DT160" i="30"/>
  <c r="DU160" i="30"/>
  <c r="DV160" i="30"/>
  <c r="DW160" i="30"/>
  <c r="DX160" i="30"/>
  <c r="DY160" i="30"/>
  <c r="DZ160" i="30"/>
  <c r="EA160" i="30"/>
  <c r="EB160" i="30"/>
  <c r="EC160" i="30"/>
  <c r="ED160" i="30"/>
  <c r="EE160" i="30"/>
  <c r="EF160" i="30"/>
  <c r="EG160" i="30"/>
  <c r="F162" i="30"/>
  <c r="G162" i="30"/>
  <c r="H162" i="30"/>
  <c r="I162" i="30"/>
  <c r="J162" i="30"/>
  <c r="K162" i="30"/>
  <c r="L162" i="30"/>
  <c r="M162" i="30"/>
  <c r="N162" i="30"/>
  <c r="O162" i="30"/>
  <c r="P162" i="30"/>
  <c r="Q162" i="30"/>
  <c r="R162" i="30"/>
  <c r="S162" i="30"/>
  <c r="T162" i="30"/>
  <c r="U162" i="30"/>
  <c r="V162" i="30"/>
  <c r="W162" i="30"/>
  <c r="X162" i="30"/>
  <c r="Y162" i="30"/>
  <c r="Z162" i="30"/>
  <c r="AA162" i="30"/>
  <c r="AB162" i="30"/>
  <c r="AC162" i="30"/>
  <c r="AD162" i="30"/>
  <c r="AE162" i="30"/>
  <c r="AF162" i="30"/>
  <c r="AG162" i="30"/>
  <c r="AH162" i="30"/>
  <c r="AI162" i="30"/>
  <c r="AJ162" i="30"/>
  <c r="AK162" i="30"/>
  <c r="AL162" i="30"/>
  <c r="AM162" i="30"/>
  <c r="AN162" i="30"/>
  <c r="AO162" i="30"/>
  <c r="AP162" i="30"/>
  <c r="AQ162" i="30"/>
  <c r="AR162" i="30"/>
  <c r="AS162" i="30"/>
  <c r="AT162" i="30"/>
  <c r="AU162" i="30"/>
  <c r="AV162" i="30"/>
  <c r="AW162" i="30"/>
  <c r="AX162" i="30"/>
  <c r="AY162" i="30"/>
  <c r="AZ162" i="30"/>
  <c r="BA162" i="30"/>
  <c r="BB162" i="30"/>
  <c r="BC162" i="30"/>
  <c r="BD162" i="30"/>
  <c r="BE162" i="30"/>
  <c r="BF162" i="30"/>
  <c r="BG162" i="30"/>
  <c r="BH162" i="30"/>
  <c r="BI162" i="30"/>
  <c r="BJ162" i="30"/>
  <c r="BK162" i="30"/>
  <c r="BL162" i="30"/>
  <c r="BM162" i="30"/>
  <c r="BN162" i="30"/>
  <c r="BO162" i="30"/>
  <c r="BP162" i="30"/>
  <c r="BQ162" i="30"/>
  <c r="BR162" i="30"/>
  <c r="BS162" i="30"/>
  <c r="BT162" i="30"/>
  <c r="BU162" i="30"/>
  <c r="BV162" i="30"/>
  <c r="BW162" i="30"/>
  <c r="BX162" i="30"/>
  <c r="BY162" i="30"/>
  <c r="BZ162" i="30"/>
  <c r="CA162" i="30"/>
  <c r="CB162" i="30"/>
  <c r="CC162" i="30"/>
  <c r="CD162" i="30"/>
  <c r="CE162" i="30"/>
  <c r="CF162" i="30"/>
  <c r="CG162" i="30"/>
  <c r="CH162" i="30"/>
  <c r="CI162" i="30"/>
  <c r="CJ162" i="30"/>
  <c r="CK162" i="30"/>
  <c r="CL162" i="30"/>
  <c r="CM162" i="30"/>
  <c r="CN162" i="30"/>
  <c r="CO162" i="30"/>
  <c r="CP162" i="30"/>
  <c r="CQ162" i="30"/>
  <c r="CR162" i="30"/>
  <c r="CS162" i="30"/>
  <c r="CT162" i="30"/>
  <c r="CU162" i="30"/>
  <c r="CV162" i="30"/>
  <c r="CW162" i="30"/>
  <c r="CX162" i="30"/>
  <c r="CY162" i="30"/>
  <c r="CZ162" i="30"/>
  <c r="DA162" i="30"/>
  <c r="DB162" i="30"/>
  <c r="DC162" i="30"/>
  <c r="DD162" i="30"/>
  <c r="DE162" i="30"/>
  <c r="DF162" i="30"/>
  <c r="DG162" i="30"/>
  <c r="DH162" i="30"/>
  <c r="DI162" i="30"/>
  <c r="DJ162" i="30"/>
  <c r="DK162" i="30"/>
  <c r="DL162" i="30"/>
  <c r="DM162" i="30"/>
  <c r="DN162" i="30"/>
  <c r="DO162" i="30"/>
  <c r="DP162" i="30"/>
  <c r="DQ162" i="30"/>
  <c r="DR162" i="30"/>
  <c r="DS162" i="30"/>
  <c r="DT162" i="30"/>
  <c r="DU162" i="30"/>
  <c r="DV162" i="30"/>
  <c r="DW162" i="30"/>
  <c r="DX162" i="30"/>
  <c r="DY162" i="30"/>
  <c r="DZ162" i="30"/>
  <c r="EA162" i="30"/>
  <c r="EB162" i="30"/>
  <c r="EC162" i="30"/>
  <c r="ED162" i="30"/>
  <c r="EE162" i="30"/>
  <c r="EF162" i="30"/>
  <c r="EG162" i="30"/>
  <c r="F163" i="30"/>
  <c r="G163" i="30"/>
  <c r="H163" i="30"/>
  <c r="I163" i="30"/>
  <c r="J163" i="30"/>
  <c r="K163" i="30"/>
  <c r="L163" i="30"/>
  <c r="M163" i="30"/>
  <c r="N163" i="30"/>
  <c r="O163" i="30"/>
  <c r="P163" i="30"/>
  <c r="Q163" i="30"/>
  <c r="R163" i="30"/>
  <c r="S163" i="30"/>
  <c r="T163" i="30"/>
  <c r="U163" i="30"/>
  <c r="V163" i="30"/>
  <c r="W163" i="30"/>
  <c r="X163" i="30"/>
  <c r="Y163" i="30"/>
  <c r="Z163" i="30"/>
  <c r="AA163" i="30"/>
  <c r="AB163" i="30"/>
  <c r="AC163" i="30"/>
  <c r="AD163" i="30"/>
  <c r="AE163" i="30"/>
  <c r="AF163" i="30"/>
  <c r="AG163" i="30"/>
  <c r="AH163" i="30"/>
  <c r="AI163" i="30"/>
  <c r="AJ163" i="30"/>
  <c r="AK163" i="30"/>
  <c r="AL163" i="30"/>
  <c r="AM163" i="30"/>
  <c r="AN163" i="30"/>
  <c r="AO163" i="30"/>
  <c r="AP163" i="30"/>
  <c r="AQ163" i="30"/>
  <c r="AR163" i="30"/>
  <c r="AS163" i="30"/>
  <c r="AT163" i="30"/>
  <c r="AU163" i="30"/>
  <c r="AV163" i="30"/>
  <c r="AW163" i="30"/>
  <c r="AX163" i="30"/>
  <c r="AY163" i="30"/>
  <c r="AZ163" i="30"/>
  <c r="BA163" i="30"/>
  <c r="BB163" i="30"/>
  <c r="BC163" i="30"/>
  <c r="BD163" i="30"/>
  <c r="BE163" i="30"/>
  <c r="BF163" i="30"/>
  <c r="BG163" i="30"/>
  <c r="BH163" i="30"/>
  <c r="BI163" i="30"/>
  <c r="BJ163" i="30"/>
  <c r="BK163" i="30"/>
  <c r="BL163" i="30"/>
  <c r="BM163" i="30"/>
  <c r="BN163" i="30"/>
  <c r="BO163" i="30"/>
  <c r="BP163" i="30"/>
  <c r="BQ163" i="30"/>
  <c r="BR163" i="30"/>
  <c r="BS163" i="30"/>
  <c r="BT163" i="30"/>
  <c r="BU163" i="30"/>
  <c r="BV163" i="30"/>
  <c r="BW163" i="30"/>
  <c r="BX163" i="30"/>
  <c r="BY163" i="30"/>
  <c r="BZ163" i="30"/>
  <c r="CA163" i="30"/>
  <c r="CB163" i="30"/>
  <c r="CC163" i="30"/>
  <c r="CD163" i="30"/>
  <c r="CE163" i="30"/>
  <c r="CF163" i="30"/>
  <c r="CG163" i="30"/>
  <c r="CH163" i="30"/>
  <c r="CI163" i="30"/>
  <c r="CJ163" i="30"/>
  <c r="CK163" i="30"/>
  <c r="CL163" i="30"/>
  <c r="CM163" i="30"/>
  <c r="CN163" i="30"/>
  <c r="CO163" i="30"/>
  <c r="CP163" i="30"/>
  <c r="CQ163" i="30"/>
  <c r="CR163" i="30"/>
  <c r="CS163" i="30"/>
  <c r="CT163" i="30"/>
  <c r="CU163" i="30"/>
  <c r="CV163" i="30"/>
  <c r="CW163" i="30"/>
  <c r="CX163" i="30"/>
  <c r="CY163" i="30"/>
  <c r="CZ163" i="30"/>
  <c r="DA163" i="30"/>
  <c r="DB163" i="30"/>
  <c r="DC163" i="30"/>
  <c r="DD163" i="30"/>
  <c r="DE163" i="30"/>
  <c r="DF163" i="30"/>
  <c r="DG163" i="30"/>
  <c r="DH163" i="30"/>
  <c r="DI163" i="30"/>
  <c r="DJ163" i="30"/>
  <c r="DK163" i="30"/>
  <c r="DL163" i="30"/>
  <c r="DM163" i="30"/>
  <c r="DN163" i="30"/>
  <c r="DO163" i="30"/>
  <c r="DP163" i="30"/>
  <c r="DQ163" i="30"/>
  <c r="DR163" i="30"/>
  <c r="DS163" i="30"/>
  <c r="DT163" i="30"/>
  <c r="DU163" i="30"/>
  <c r="DV163" i="30"/>
  <c r="DW163" i="30"/>
  <c r="DX163" i="30"/>
  <c r="DY163" i="30"/>
  <c r="DZ163" i="30"/>
  <c r="EA163" i="30"/>
  <c r="EB163" i="30"/>
  <c r="EC163" i="30"/>
  <c r="ED163" i="30"/>
  <c r="EE163" i="30"/>
  <c r="EF163" i="30"/>
  <c r="EG163" i="30"/>
  <c r="E165" i="30"/>
  <c r="F165" i="30"/>
  <c r="G165" i="30"/>
  <c r="H165" i="30"/>
  <c r="I165" i="30"/>
  <c r="J165" i="30"/>
  <c r="K165" i="30"/>
  <c r="L165" i="30"/>
  <c r="M165" i="30"/>
  <c r="N165" i="30"/>
  <c r="O165" i="30"/>
  <c r="P165" i="30"/>
  <c r="Q165" i="30"/>
  <c r="R165" i="30"/>
  <c r="S165" i="30"/>
  <c r="T165" i="30"/>
  <c r="U165" i="30"/>
  <c r="V165" i="30"/>
  <c r="W165" i="30"/>
  <c r="X165" i="30"/>
  <c r="Y165" i="30"/>
  <c r="Z165" i="30"/>
  <c r="AA165" i="30"/>
  <c r="AB165" i="30"/>
  <c r="AC165" i="30"/>
  <c r="AD165" i="30"/>
  <c r="AE165" i="30"/>
  <c r="AF165" i="30"/>
  <c r="AG165" i="30"/>
  <c r="AH165" i="30"/>
  <c r="AI165" i="30"/>
  <c r="AJ165" i="30"/>
  <c r="AK165" i="30"/>
  <c r="AL165" i="30"/>
  <c r="AM165" i="30"/>
  <c r="AN165" i="30"/>
  <c r="AO165" i="30"/>
  <c r="AP165" i="30"/>
  <c r="AQ165" i="30"/>
  <c r="AR165" i="30"/>
  <c r="AS165" i="30"/>
  <c r="AT165" i="30"/>
  <c r="AU165" i="30"/>
  <c r="AV165" i="30"/>
  <c r="AW165" i="30"/>
  <c r="AX165" i="30"/>
  <c r="AY165" i="30"/>
  <c r="AZ165" i="30"/>
  <c r="BA165" i="30"/>
  <c r="BB165" i="30"/>
  <c r="BC165" i="30"/>
  <c r="BD165" i="30"/>
  <c r="BE165" i="30"/>
  <c r="BF165" i="30"/>
  <c r="BG165" i="30"/>
  <c r="BH165" i="30"/>
  <c r="BI165" i="30"/>
  <c r="BJ165" i="30"/>
  <c r="BK165" i="30"/>
  <c r="BL165" i="30"/>
  <c r="BM165" i="30"/>
  <c r="BN165" i="30"/>
  <c r="BO165" i="30"/>
  <c r="BP165" i="30"/>
  <c r="BQ165" i="30"/>
  <c r="BR165" i="30"/>
  <c r="BS165" i="30"/>
  <c r="BT165" i="30"/>
  <c r="BU165" i="30"/>
  <c r="BV165" i="30"/>
  <c r="BW165" i="30"/>
  <c r="BX165" i="30"/>
  <c r="BY165" i="30"/>
  <c r="BZ165" i="30"/>
  <c r="CA165" i="30"/>
  <c r="CB165" i="30"/>
  <c r="CC165" i="30"/>
  <c r="CD165" i="30"/>
  <c r="CE165" i="30"/>
  <c r="CF165" i="30"/>
  <c r="CG165" i="30"/>
  <c r="CH165" i="30"/>
  <c r="CI165" i="30"/>
  <c r="CJ165" i="30"/>
  <c r="CK165" i="30"/>
  <c r="CL165" i="30"/>
  <c r="CM165" i="30"/>
  <c r="CN165" i="30"/>
  <c r="CO165" i="30"/>
  <c r="CP165" i="30"/>
  <c r="CQ165" i="30"/>
  <c r="CR165" i="30"/>
  <c r="CS165" i="30"/>
  <c r="CT165" i="30"/>
  <c r="CU165" i="30"/>
  <c r="CV165" i="30"/>
  <c r="CW165" i="30"/>
  <c r="CX165" i="30"/>
  <c r="CY165" i="30"/>
  <c r="CZ165" i="30"/>
  <c r="DA165" i="30"/>
  <c r="DB165" i="30"/>
  <c r="DC165" i="30"/>
  <c r="DD165" i="30"/>
  <c r="DE165" i="30"/>
  <c r="DF165" i="30"/>
  <c r="DG165" i="30"/>
  <c r="DH165" i="30"/>
  <c r="DI165" i="30"/>
  <c r="DJ165" i="30"/>
  <c r="DK165" i="30"/>
  <c r="DL165" i="30"/>
  <c r="DM165" i="30"/>
  <c r="DN165" i="30"/>
  <c r="DO165" i="30"/>
  <c r="DP165" i="30"/>
  <c r="DQ165" i="30"/>
  <c r="DR165" i="30"/>
  <c r="DS165" i="30"/>
  <c r="DT165" i="30"/>
  <c r="DU165" i="30"/>
  <c r="DV165" i="30"/>
  <c r="DW165" i="30"/>
  <c r="DX165" i="30"/>
  <c r="DY165" i="30"/>
  <c r="DZ165" i="30"/>
  <c r="EA165" i="30"/>
  <c r="EB165" i="30"/>
  <c r="EC165" i="30"/>
  <c r="ED165" i="30"/>
  <c r="EE165" i="30"/>
  <c r="EF165" i="30"/>
  <c r="EG165" i="30"/>
  <c r="E166" i="30"/>
  <c r="F166" i="30"/>
  <c r="G166" i="30"/>
  <c r="H166" i="30"/>
  <c r="I166" i="30"/>
  <c r="J166" i="30"/>
  <c r="K166" i="30"/>
  <c r="L166" i="30"/>
  <c r="M166" i="30"/>
  <c r="N166" i="30"/>
  <c r="O166" i="30"/>
  <c r="P166" i="30"/>
  <c r="Q166" i="30"/>
  <c r="R166" i="30"/>
  <c r="S166" i="30"/>
  <c r="T166" i="30"/>
  <c r="U166" i="30"/>
  <c r="V166" i="30"/>
  <c r="W166" i="30"/>
  <c r="X166" i="30"/>
  <c r="Y166" i="30"/>
  <c r="Z166" i="30"/>
  <c r="AA166" i="30"/>
  <c r="AB166" i="30"/>
  <c r="AC166" i="30"/>
  <c r="AD166" i="30"/>
  <c r="AE166" i="30"/>
  <c r="AF166" i="30"/>
  <c r="AG166" i="30"/>
  <c r="AH166" i="30"/>
  <c r="AI166" i="30"/>
  <c r="AJ166" i="30"/>
  <c r="AK166" i="30"/>
  <c r="AL166" i="30"/>
  <c r="AM166" i="30"/>
  <c r="AN166" i="30"/>
  <c r="AO166" i="30"/>
  <c r="AP166" i="30"/>
  <c r="AQ166" i="30"/>
  <c r="AR166" i="30"/>
  <c r="AS166" i="30"/>
  <c r="AT166" i="30"/>
  <c r="AU166" i="30"/>
  <c r="AV166" i="30"/>
  <c r="AW166" i="30"/>
  <c r="AX166" i="30"/>
  <c r="AY166" i="30"/>
  <c r="AZ166" i="30"/>
  <c r="BA166" i="30"/>
  <c r="BB166" i="30"/>
  <c r="BC166" i="30"/>
  <c r="BD166" i="30"/>
  <c r="BE166" i="30"/>
  <c r="BF166" i="30"/>
  <c r="BG166" i="30"/>
  <c r="BH166" i="30"/>
  <c r="BI166" i="30"/>
  <c r="BJ166" i="30"/>
  <c r="BK166" i="30"/>
  <c r="BL166" i="30"/>
  <c r="BM166" i="30"/>
  <c r="BN166" i="30"/>
  <c r="BO166" i="30"/>
  <c r="BP166" i="30"/>
  <c r="BQ166" i="30"/>
  <c r="BR166" i="30"/>
  <c r="BS166" i="30"/>
  <c r="BT166" i="30"/>
  <c r="BU166" i="30"/>
  <c r="BV166" i="30"/>
  <c r="BW166" i="30"/>
  <c r="BX166" i="30"/>
  <c r="BY166" i="30"/>
  <c r="BZ166" i="30"/>
  <c r="CA166" i="30"/>
  <c r="CB166" i="30"/>
  <c r="CC166" i="30"/>
  <c r="CD166" i="30"/>
  <c r="CE166" i="30"/>
  <c r="CF166" i="30"/>
  <c r="CG166" i="30"/>
  <c r="CH166" i="30"/>
  <c r="CI166" i="30"/>
  <c r="CJ166" i="30"/>
  <c r="CK166" i="30"/>
  <c r="CL166" i="30"/>
  <c r="CM166" i="30"/>
  <c r="CN166" i="30"/>
  <c r="CO166" i="30"/>
  <c r="CP166" i="30"/>
  <c r="CQ166" i="30"/>
  <c r="CR166" i="30"/>
  <c r="CS166" i="30"/>
  <c r="CT166" i="30"/>
  <c r="CU166" i="30"/>
  <c r="CV166" i="30"/>
  <c r="CW166" i="30"/>
  <c r="CX166" i="30"/>
  <c r="CY166" i="30"/>
  <c r="CZ166" i="30"/>
  <c r="DA166" i="30"/>
  <c r="DB166" i="30"/>
  <c r="DC166" i="30"/>
  <c r="DD166" i="30"/>
  <c r="DE166" i="30"/>
  <c r="DF166" i="30"/>
  <c r="DG166" i="30"/>
  <c r="DH166" i="30"/>
  <c r="DI166" i="30"/>
  <c r="DJ166" i="30"/>
  <c r="DK166" i="30"/>
  <c r="DL166" i="30"/>
  <c r="DM166" i="30"/>
  <c r="DN166" i="30"/>
  <c r="DO166" i="30"/>
  <c r="DP166" i="30"/>
  <c r="DQ166" i="30"/>
  <c r="DR166" i="30"/>
  <c r="DS166" i="30"/>
  <c r="DT166" i="30"/>
  <c r="DU166" i="30"/>
  <c r="DV166" i="30"/>
  <c r="DW166" i="30"/>
  <c r="DX166" i="30"/>
  <c r="DY166" i="30"/>
  <c r="DZ166" i="30"/>
  <c r="EA166" i="30"/>
  <c r="EB166" i="30"/>
  <c r="EC166" i="30"/>
  <c r="ED166" i="30"/>
  <c r="EE166" i="30"/>
  <c r="EF166" i="30"/>
  <c r="EG166" i="30"/>
  <c r="E168" i="30"/>
  <c r="F168" i="30"/>
  <c r="G168" i="30"/>
  <c r="H168" i="30"/>
  <c r="I168" i="30"/>
  <c r="J168" i="30"/>
  <c r="K168" i="30"/>
  <c r="L168" i="30"/>
  <c r="M168" i="30"/>
  <c r="N168" i="30"/>
  <c r="O168" i="30"/>
  <c r="P168" i="30"/>
  <c r="Q168" i="30"/>
  <c r="R168" i="30"/>
  <c r="S168" i="30"/>
  <c r="T168" i="30"/>
  <c r="U168" i="30"/>
  <c r="V168" i="30"/>
  <c r="W168" i="30"/>
  <c r="X168" i="30"/>
  <c r="Y168" i="30"/>
  <c r="Z168" i="30"/>
  <c r="AA168" i="30"/>
  <c r="AB168" i="30"/>
  <c r="AC168" i="30"/>
  <c r="AD168" i="30"/>
  <c r="AE168" i="30"/>
  <c r="AF168" i="30"/>
  <c r="AG168" i="30"/>
  <c r="AH168" i="30"/>
  <c r="AI168" i="30"/>
  <c r="AJ168" i="30"/>
  <c r="AK168" i="30"/>
  <c r="AL168" i="30"/>
  <c r="AM168" i="30"/>
  <c r="AN168" i="30"/>
  <c r="AO168" i="30"/>
  <c r="AP168" i="30"/>
  <c r="AQ168" i="30"/>
  <c r="AR168" i="30"/>
  <c r="AS168" i="30"/>
  <c r="AT168" i="30"/>
  <c r="AU168" i="30"/>
  <c r="AV168" i="30"/>
  <c r="AW168" i="30"/>
  <c r="AX168" i="30"/>
  <c r="AY168" i="30"/>
  <c r="AZ168" i="30"/>
  <c r="BA168" i="30"/>
  <c r="BB168" i="30"/>
  <c r="BC168" i="30"/>
  <c r="BD168" i="30"/>
  <c r="BE168" i="30"/>
  <c r="BF168" i="30"/>
  <c r="BG168" i="30"/>
  <c r="BH168" i="30"/>
  <c r="BI168" i="30"/>
  <c r="BJ168" i="30"/>
  <c r="BK168" i="30"/>
  <c r="BL168" i="30"/>
  <c r="BM168" i="30"/>
  <c r="BN168" i="30"/>
  <c r="BO168" i="30"/>
  <c r="BP168" i="30"/>
  <c r="BQ168" i="30"/>
  <c r="BR168" i="30"/>
  <c r="BS168" i="30"/>
  <c r="BT168" i="30"/>
  <c r="BU168" i="30"/>
  <c r="BV168" i="30"/>
  <c r="BW168" i="30"/>
  <c r="BX168" i="30"/>
  <c r="BY168" i="30"/>
  <c r="BZ168" i="30"/>
  <c r="CA168" i="30"/>
  <c r="CB168" i="30"/>
  <c r="CC168" i="30"/>
  <c r="CD168" i="30"/>
  <c r="CE168" i="30"/>
  <c r="CF168" i="30"/>
  <c r="CG168" i="30"/>
  <c r="CH168" i="30"/>
  <c r="CI168" i="30"/>
  <c r="CJ168" i="30"/>
  <c r="CK168" i="30"/>
  <c r="CL168" i="30"/>
  <c r="CM168" i="30"/>
  <c r="CN168" i="30"/>
  <c r="CO168" i="30"/>
  <c r="CP168" i="30"/>
  <c r="CQ168" i="30"/>
  <c r="CR168" i="30"/>
  <c r="CS168" i="30"/>
  <c r="CT168" i="30"/>
  <c r="CU168" i="30"/>
  <c r="CV168" i="30"/>
  <c r="CW168" i="30"/>
  <c r="CX168" i="30"/>
  <c r="CY168" i="30"/>
  <c r="CZ168" i="30"/>
  <c r="DA168" i="30"/>
  <c r="DB168" i="30"/>
  <c r="DC168" i="30"/>
  <c r="DD168" i="30"/>
  <c r="DE168" i="30"/>
  <c r="DF168" i="30"/>
  <c r="DG168" i="30"/>
  <c r="DH168" i="30"/>
  <c r="DI168" i="30"/>
  <c r="DJ168" i="30"/>
  <c r="DK168" i="30"/>
  <c r="DL168" i="30"/>
  <c r="DM168" i="30"/>
  <c r="DN168" i="30"/>
  <c r="DO168" i="30"/>
  <c r="DP168" i="30"/>
  <c r="DQ168" i="30"/>
  <c r="DR168" i="30"/>
  <c r="DS168" i="30"/>
  <c r="DT168" i="30"/>
  <c r="DU168" i="30"/>
  <c r="DV168" i="30"/>
  <c r="DW168" i="30"/>
  <c r="DX168" i="30"/>
  <c r="DY168" i="30"/>
  <c r="DZ168" i="30"/>
  <c r="EA168" i="30"/>
  <c r="EB168" i="30"/>
  <c r="EC168" i="30"/>
  <c r="ED168" i="30"/>
  <c r="EE168" i="30"/>
  <c r="EF168" i="30"/>
  <c r="EG168" i="30"/>
  <c r="E169" i="30"/>
  <c r="F169" i="30"/>
  <c r="G169" i="30"/>
  <c r="H169" i="30"/>
  <c r="I169" i="30"/>
  <c r="J169" i="30"/>
  <c r="K169" i="30"/>
  <c r="L169" i="30"/>
  <c r="M169" i="30"/>
  <c r="N169" i="30"/>
  <c r="O169" i="30"/>
  <c r="P169" i="30"/>
  <c r="Q169" i="30"/>
  <c r="R169" i="30"/>
  <c r="S169" i="30"/>
  <c r="T169" i="30"/>
  <c r="U169" i="30"/>
  <c r="V169" i="30"/>
  <c r="W169" i="30"/>
  <c r="X169" i="30"/>
  <c r="Y169" i="30"/>
  <c r="Z169" i="30"/>
  <c r="AA169" i="30"/>
  <c r="AB169" i="30"/>
  <c r="AC169" i="30"/>
  <c r="AD169" i="30"/>
  <c r="AE169" i="30"/>
  <c r="AF169" i="30"/>
  <c r="AG169" i="30"/>
  <c r="AH169" i="30"/>
  <c r="AI169" i="30"/>
  <c r="AJ169" i="30"/>
  <c r="AK169" i="30"/>
  <c r="AL169" i="30"/>
  <c r="AM169" i="30"/>
  <c r="AN169" i="30"/>
  <c r="AO169" i="30"/>
  <c r="AP169" i="30"/>
  <c r="AQ169" i="30"/>
  <c r="AR169" i="30"/>
  <c r="AS169" i="30"/>
  <c r="AT169" i="30"/>
  <c r="AU169" i="30"/>
  <c r="AV169" i="30"/>
  <c r="AW169" i="30"/>
  <c r="AX169" i="30"/>
  <c r="AY169" i="30"/>
  <c r="AZ169" i="30"/>
  <c r="BA169" i="30"/>
  <c r="BB169" i="30"/>
  <c r="BC169" i="30"/>
  <c r="BD169" i="30"/>
  <c r="BE169" i="30"/>
  <c r="BF169" i="30"/>
  <c r="BG169" i="30"/>
  <c r="BH169" i="30"/>
  <c r="BI169" i="30"/>
  <c r="BJ169" i="30"/>
  <c r="BK169" i="30"/>
  <c r="BL169" i="30"/>
  <c r="BM169" i="30"/>
  <c r="BN169" i="30"/>
  <c r="BO169" i="30"/>
  <c r="BP169" i="30"/>
  <c r="BQ169" i="30"/>
  <c r="BR169" i="30"/>
  <c r="BS169" i="30"/>
  <c r="BT169" i="30"/>
  <c r="BU169" i="30"/>
  <c r="BV169" i="30"/>
  <c r="BW169" i="30"/>
  <c r="BX169" i="30"/>
  <c r="BY169" i="30"/>
  <c r="BZ169" i="30"/>
  <c r="CA169" i="30"/>
  <c r="CB169" i="30"/>
  <c r="CC169" i="30"/>
  <c r="CD169" i="30"/>
  <c r="CE169" i="30"/>
  <c r="CF169" i="30"/>
  <c r="CG169" i="30"/>
  <c r="CH169" i="30"/>
  <c r="CI169" i="30"/>
  <c r="CJ169" i="30"/>
  <c r="CK169" i="30"/>
  <c r="CL169" i="30"/>
  <c r="CM169" i="30"/>
  <c r="CN169" i="30"/>
  <c r="CO169" i="30"/>
  <c r="CP169" i="30"/>
  <c r="CQ169" i="30"/>
  <c r="CR169" i="30"/>
  <c r="CS169" i="30"/>
  <c r="CT169" i="30"/>
  <c r="CU169" i="30"/>
  <c r="CV169" i="30"/>
  <c r="CW169" i="30"/>
  <c r="CX169" i="30"/>
  <c r="CY169" i="30"/>
  <c r="CZ169" i="30"/>
  <c r="DA169" i="30"/>
  <c r="DB169" i="30"/>
  <c r="DC169" i="30"/>
  <c r="DD169" i="30"/>
  <c r="DE169" i="30"/>
  <c r="DF169" i="30"/>
  <c r="DG169" i="30"/>
  <c r="DH169" i="30"/>
  <c r="DI169" i="30"/>
  <c r="DJ169" i="30"/>
  <c r="DK169" i="30"/>
  <c r="DL169" i="30"/>
  <c r="DM169" i="30"/>
  <c r="DN169" i="30"/>
  <c r="DO169" i="30"/>
  <c r="DP169" i="30"/>
  <c r="DQ169" i="30"/>
  <c r="DR169" i="30"/>
  <c r="DS169" i="30"/>
  <c r="DT169" i="30"/>
  <c r="DU169" i="30"/>
  <c r="DV169" i="30"/>
  <c r="DW169" i="30"/>
  <c r="DX169" i="30"/>
  <c r="DY169" i="30"/>
  <c r="DZ169" i="30"/>
  <c r="EA169" i="30"/>
  <c r="EB169" i="30"/>
  <c r="EC169" i="30"/>
  <c r="ED169" i="30"/>
  <c r="EE169" i="30"/>
  <c r="EF169" i="30"/>
  <c r="EG169" i="30"/>
  <c r="E171" i="30"/>
  <c r="F171" i="30"/>
  <c r="G171" i="30"/>
  <c r="H171" i="30"/>
  <c r="I171" i="30"/>
  <c r="J171" i="30"/>
  <c r="K171" i="30"/>
  <c r="L171" i="30"/>
  <c r="M171" i="30"/>
  <c r="N171" i="30"/>
  <c r="O171" i="30"/>
  <c r="P171" i="30"/>
  <c r="Q171" i="30"/>
  <c r="R171" i="30"/>
  <c r="S171" i="30"/>
  <c r="T171" i="30"/>
  <c r="U171" i="30"/>
  <c r="V171" i="30"/>
  <c r="W171" i="30"/>
  <c r="X171" i="30"/>
  <c r="Y171" i="30"/>
  <c r="Z171" i="30"/>
  <c r="AA171" i="30"/>
  <c r="AB171" i="30"/>
  <c r="AC171" i="30"/>
  <c r="AD171" i="30"/>
  <c r="AE171" i="30"/>
  <c r="AF171" i="30"/>
  <c r="AG171" i="30"/>
  <c r="AH171" i="30"/>
  <c r="AI171" i="30"/>
  <c r="AJ171" i="30"/>
  <c r="AK171" i="30"/>
  <c r="AL171" i="30"/>
  <c r="AM171" i="30"/>
  <c r="AN171" i="30"/>
  <c r="AO171" i="30"/>
  <c r="AP171" i="30"/>
  <c r="AQ171" i="30"/>
  <c r="AR171" i="30"/>
  <c r="AS171" i="30"/>
  <c r="AT171" i="30"/>
  <c r="AU171" i="30"/>
  <c r="AV171" i="30"/>
  <c r="AW171" i="30"/>
  <c r="AX171" i="30"/>
  <c r="AY171" i="30"/>
  <c r="AZ171" i="30"/>
  <c r="BA171" i="30"/>
  <c r="BB171" i="30"/>
  <c r="BC171" i="30"/>
  <c r="BD171" i="30"/>
  <c r="BE171" i="30"/>
  <c r="BF171" i="30"/>
  <c r="BG171" i="30"/>
  <c r="BH171" i="30"/>
  <c r="BI171" i="30"/>
  <c r="BJ171" i="30"/>
  <c r="BK171" i="30"/>
  <c r="BL171" i="30"/>
  <c r="BM171" i="30"/>
  <c r="BN171" i="30"/>
  <c r="BO171" i="30"/>
  <c r="BP171" i="30"/>
  <c r="BQ171" i="30"/>
  <c r="BR171" i="30"/>
  <c r="BS171" i="30"/>
  <c r="BT171" i="30"/>
  <c r="BU171" i="30"/>
  <c r="BV171" i="30"/>
  <c r="BW171" i="30"/>
  <c r="BX171" i="30"/>
  <c r="BY171" i="30"/>
  <c r="BZ171" i="30"/>
  <c r="CA171" i="30"/>
  <c r="CB171" i="30"/>
  <c r="CC171" i="30"/>
  <c r="CD171" i="30"/>
  <c r="CE171" i="30"/>
  <c r="CF171" i="30"/>
  <c r="CG171" i="30"/>
  <c r="CH171" i="30"/>
  <c r="CI171" i="30"/>
  <c r="CJ171" i="30"/>
  <c r="CK171" i="30"/>
  <c r="CL171" i="30"/>
  <c r="CM171" i="30"/>
  <c r="CN171" i="30"/>
  <c r="CO171" i="30"/>
  <c r="CP171" i="30"/>
  <c r="CQ171" i="30"/>
  <c r="CR171" i="30"/>
  <c r="CS171" i="30"/>
  <c r="CT171" i="30"/>
  <c r="CU171" i="30"/>
  <c r="CV171" i="30"/>
  <c r="CW171" i="30"/>
  <c r="CX171" i="30"/>
  <c r="CY171" i="30"/>
  <c r="CZ171" i="30"/>
  <c r="DA171" i="30"/>
  <c r="DB171" i="30"/>
  <c r="DC171" i="30"/>
  <c r="DD171" i="30"/>
  <c r="DE171" i="30"/>
  <c r="DF171" i="30"/>
  <c r="DG171" i="30"/>
  <c r="DH171" i="30"/>
  <c r="DI171" i="30"/>
  <c r="DJ171" i="30"/>
  <c r="DK171" i="30"/>
  <c r="DL171" i="30"/>
  <c r="DM171" i="30"/>
  <c r="DN171" i="30"/>
  <c r="DO171" i="30"/>
  <c r="DP171" i="30"/>
  <c r="DQ171" i="30"/>
  <c r="DR171" i="30"/>
  <c r="DS171" i="30"/>
  <c r="DT171" i="30"/>
  <c r="DU171" i="30"/>
  <c r="DV171" i="30"/>
  <c r="DW171" i="30"/>
  <c r="DX171" i="30"/>
  <c r="DY171" i="30"/>
  <c r="DZ171" i="30"/>
  <c r="EA171" i="30"/>
  <c r="EB171" i="30"/>
  <c r="EC171" i="30"/>
  <c r="ED171" i="30"/>
  <c r="EE171" i="30"/>
  <c r="EF171" i="30"/>
  <c r="EG171" i="30"/>
  <c r="E172" i="30"/>
  <c r="F172" i="30"/>
  <c r="G172" i="30"/>
  <c r="H172" i="30"/>
  <c r="I172" i="30"/>
  <c r="J172" i="30"/>
  <c r="K172" i="30"/>
  <c r="L172" i="30"/>
  <c r="M172" i="30"/>
  <c r="N172" i="30"/>
  <c r="O172" i="30"/>
  <c r="P172" i="30"/>
  <c r="Q172" i="30"/>
  <c r="R172" i="30"/>
  <c r="S172" i="30"/>
  <c r="T172" i="30"/>
  <c r="U172" i="30"/>
  <c r="V172" i="30"/>
  <c r="W172" i="30"/>
  <c r="X172" i="30"/>
  <c r="Y172" i="30"/>
  <c r="Z172" i="30"/>
  <c r="AA172" i="30"/>
  <c r="AB172" i="30"/>
  <c r="AC172" i="30"/>
  <c r="AD172" i="30"/>
  <c r="AE172" i="30"/>
  <c r="AF172" i="30"/>
  <c r="AG172" i="30"/>
  <c r="AH172" i="30"/>
  <c r="AI172" i="30"/>
  <c r="AJ172" i="30"/>
  <c r="AK172" i="30"/>
  <c r="AL172" i="30"/>
  <c r="AM172" i="30"/>
  <c r="AN172" i="30"/>
  <c r="AO172" i="30"/>
  <c r="AP172" i="30"/>
  <c r="AQ172" i="30"/>
  <c r="AR172" i="30"/>
  <c r="AS172" i="30"/>
  <c r="AT172" i="30"/>
  <c r="AU172" i="30"/>
  <c r="AV172" i="30"/>
  <c r="AW172" i="30"/>
  <c r="AX172" i="30"/>
  <c r="AY172" i="30"/>
  <c r="AZ172" i="30"/>
  <c r="BA172" i="30"/>
  <c r="BB172" i="30"/>
  <c r="BC172" i="30"/>
  <c r="BD172" i="30"/>
  <c r="BE172" i="30"/>
  <c r="BF172" i="30"/>
  <c r="BG172" i="30"/>
  <c r="BH172" i="30"/>
  <c r="BI172" i="30"/>
  <c r="BJ172" i="30"/>
  <c r="BK172" i="30"/>
  <c r="BL172" i="30"/>
  <c r="BM172" i="30"/>
  <c r="BN172" i="30"/>
  <c r="BO172" i="30"/>
  <c r="BP172" i="30"/>
  <c r="BQ172" i="30"/>
  <c r="BR172" i="30"/>
  <c r="BS172" i="30"/>
  <c r="BT172" i="30"/>
  <c r="BU172" i="30"/>
  <c r="BV172" i="30"/>
  <c r="BW172" i="30"/>
  <c r="BX172" i="30"/>
  <c r="BY172" i="30"/>
  <c r="BZ172" i="30"/>
  <c r="CA172" i="30"/>
  <c r="CB172" i="30"/>
  <c r="CC172" i="30"/>
  <c r="CD172" i="30"/>
  <c r="CE172" i="30"/>
  <c r="CF172" i="30"/>
  <c r="CG172" i="30"/>
  <c r="CH172" i="30"/>
  <c r="CI172" i="30"/>
  <c r="CJ172" i="30"/>
  <c r="CK172" i="30"/>
  <c r="CL172" i="30"/>
  <c r="CM172" i="30"/>
  <c r="CN172" i="30"/>
  <c r="CO172" i="30"/>
  <c r="CP172" i="30"/>
  <c r="CQ172" i="30"/>
  <c r="CR172" i="30"/>
  <c r="CS172" i="30"/>
  <c r="CT172" i="30"/>
  <c r="CU172" i="30"/>
  <c r="CV172" i="30"/>
  <c r="CW172" i="30"/>
  <c r="CX172" i="30"/>
  <c r="CY172" i="30"/>
  <c r="CZ172" i="30"/>
  <c r="DA172" i="30"/>
  <c r="DB172" i="30"/>
  <c r="DC172" i="30"/>
  <c r="DD172" i="30"/>
  <c r="DE172" i="30"/>
  <c r="DF172" i="30"/>
  <c r="DG172" i="30"/>
  <c r="DH172" i="30"/>
  <c r="DI172" i="30"/>
  <c r="DJ172" i="30"/>
  <c r="DK172" i="30"/>
  <c r="DL172" i="30"/>
  <c r="DM172" i="30"/>
  <c r="DN172" i="30"/>
  <c r="DO172" i="30"/>
  <c r="DP172" i="30"/>
  <c r="DQ172" i="30"/>
  <c r="DR172" i="30"/>
  <c r="DS172" i="30"/>
  <c r="DT172" i="30"/>
  <c r="DU172" i="30"/>
  <c r="DV172" i="30"/>
  <c r="DW172" i="30"/>
  <c r="DX172" i="30"/>
  <c r="DY172" i="30"/>
  <c r="DZ172" i="30"/>
  <c r="EA172" i="30"/>
  <c r="EB172" i="30"/>
  <c r="EC172" i="30"/>
  <c r="ED172" i="30"/>
  <c r="EE172" i="30"/>
  <c r="EF172" i="30"/>
  <c r="EG172" i="30"/>
  <c r="E175" i="30"/>
  <c r="F175" i="30"/>
  <c r="G175" i="30"/>
  <c r="H175" i="30"/>
  <c r="I175" i="30"/>
  <c r="J175" i="30"/>
  <c r="K175" i="30"/>
  <c r="L175" i="30"/>
  <c r="M175" i="30"/>
  <c r="N175" i="30"/>
  <c r="O175" i="30"/>
  <c r="P175" i="30"/>
  <c r="Q175" i="30"/>
  <c r="R175" i="30"/>
  <c r="S175" i="30"/>
  <c r="T175" i="30"/>
  <c r="U175" i="30"/>
  <c r="V175" i="30"/>
  <c r="W175" i="30"/>
  <c r="X175" i="30"/>
  <c r="Y175" i="30"/>
  <c r="Z175" i="30"/>
  <c r="AA175" i="30"/>
  <c r="AB175" i="30"/>
  <c r="AC175" i="30"/>
  <c r="AD175" i="30"/>
  <c r="AE175" i="30"/>
  <c r="AF175" i="30"/>
  <c r="AG175" i="30"/>
  <c r="AH175" i="30"/>
  <c r="AI175" i="30"/>
  <c r="AJ175" i="30"/>
  <c r="AK175" i="30"/>
  <c r="AL175" i="30"/>
  <c r="AM175" i="30"/>
  <c r="AN175" i="30"/>
  <c r="AO175" i="30"/>
  <c r="AP175" i="30"/>
  <c r="AQ175" i="30"/>
  <c r="AR175" i="30"/>
  <c r="AS175" i="30"/>
  <c r="AT175" i="30"/>
  <c r="AU175" i="30"/>
  <c r="AV175" i="30"/>
  <c r="AW175" i="30"/>
  <c r="AX175" i="30"/>
  <c r="AY175" i="30"/>
  <c r="AZ175" i="30"/>
  <c r="BA175" i="30"/>
  <c r="BB175" i="30"/>
  <c r="BC175" i="30"/>
  <c r="BD175" i="30"/>
  <c r="BE175" i="30"/>
  <c r="BF175" i="30"/>
  <c r="BG175" i="30"/>
  <c r="BH175" i="30"/>
  <c r="BI175" i="30"/>
  <c r="BJ175" i="30"/>
  <c r="BK175" i="30"/>
  <c r="BL175" i="30"/>
  <c r="BM175" i="30"/>
  <c r="BN175" i="30"/>
  <c r="BO175" i="30"/>
  <c r="BP175" i="30"/>
  <c r="BQ175" i="30"/>
  <c r="BR175" i="30"/>
  <c r="BS175" i="30"/>
  <c r="BT175" i="30"/>
  <c r="BU175" i="30"/>
  <c r="BV175" i="30"/>
  <c r="BW175" i="30"/>
  <c r="BX175" i="30"/>
  <c r="BY175" i="30"/>
  <c r="BZ175" i="30"/>
  <c r="CA175" i="30"/>
  <c r="CB175" i="30"/>
  <c r="CC175" i="30"/>
  <c r="CD175" i="30"/>
  <c r="CE175" i="30"/>
  <c r="CF175" i="30"/>
  <c r="CG175" i="30"/>
  <c r="CH175" i="30"/>
  <c r="CI175" i="30"/>
  <c r="CJ175" i="30"/>
  <c r="CK175" i="30"/>
  <c r="CL175" i="30"/>
  <c r="CM175" i="30"/>
  <c r="CN175" i="30"/>
  <c r="CO175" i="30"/>
  <c r="CP175" i="30"/>
  <c r="CQ175" i="30"/>
  <c r="CR175" i="30"/>
  <c r="CS175" i="30"/>
  <c r="CT175" i="30"/>
  <c r="CU175" i="30"/>
  <c r="CV175" i="30"/>
  <c r="CW175" i="30"/>
  <c r="CX175" i="30"/>
  <c r="CY175" i="30"/>
  <c r="CZ175" i="30"/>
  <c r="DA175" i="30"/>
  <c r="DB175" i="30"/>
  <c r="DC175" i="30"/>
  <c r="DD175" i="30"/>
  <c r="DE175" i="30"/>
  <c r="DF175" i="30"/>
  <c r="DG175" i="30"/>
  <c r="DH175" i="30"/>
  <c r="DI175" i="30"/>
  <c r="DJ175" i="30"/>
  <c r="DK175" i="30"/>
  <c r="DL175" i="30"/>
  <c r="DM175" i="30"/>
  <c r="DN175" i="30"/>
  <c r="DO175" i="30"/>
  <c r="DP175" i="30"/>
  <c r="DQ175" i="30"/>
  <c r="DR175" i="30"/>
  <c r="DS175" i="30"/>
  <c r="DT175" i="30"/>
  <c r="DU175" i="30"/>
  <c r="DV175" i="30"/>
  <c r="DW175" i="30"/>
  <c r="DX175" i="30"/>
  <c r="DY175" i="30"/>
  <c r="DZ175" i="30"/>
  <c r="EA175" i="30"/>
  <c r="EB175" i="30"/>
  <c r="EC175" i="30"/>
  <c r="ED175" i="30"/>
  <c r="EE175" i="30"/>
  <c r="EF175" i="30"/>
  <c r="EG175" i="30"/>
  <c r="E176" i="30"/>
  <c r="F176" i="30"/>
  <c r="G176" i="30"/>
  <c r="H176" i="30"/>
  <c r="I176" i="30"/>
  <c r="J176" i="30"/>
  <c r="K176" i="30"/>
  <c r="L176" i="30"/>
  <c r="M176" i="30"/>
  <c r="N176" i="30"/>
  <c r="O176" i="30"/>
  <c r="P176" i="30"/>
  <c r="Q176" i="30"/>
  <c r="R176" i="30"/>
  <c r="S176" i="30"/>
  <c r="T176" i="30"/>
  <c r="U176" i="30"/>
  <c r="V176" i="30"/>
  <c r="W176" i="30"/>
  <c r="X176" i="30"/>
  <c r="Y176" i="30"/>
  <c r="Z176" i="30"/>
  <c r="AA176" i="30"/>
  <c r="AB176" i="30"/>
  <c r="AC176" i="30"/>
  <c r="AD176" i="30"/>
  <c r="AE176" i="30"/>
  <c r="AF176" i="30"/>
  <c r="AG176" i="30"/>
  <c r="AH176" i="30"/>
  <c r="AI176" i="30"/>
  <c r="AJ176" i="30"/>
  <c r="AK176" i="30"/>
  <c r="AL176" i="30"/>
  <c r="AM176" i="30"/>
  <c r="AN176" i="30"/>
  <c r="AO176" i="30"/>
  <c r="AP176" i="30"/>
  <c r="AQ176" i="30"/>
  <c r="AR176" i="30"/>
  <c r="AS176" i="30"/>
  <c r="AT176" i="30"/>
  <c r="AU176" i="30"/>
  <c r="AV176" i="30"/>
  <c r="AW176" i="30"/>
  <c r="AX176" i="30"/>
  <c r="AY176" i="30"/>
  <c r="AZ176" i="30"/>
  <c r="BA176" i="30"/>
  <c r="BB176" i="30"/>
  <c r="BC176" i="30"/>
  <c r="BD176" i="30"/>
  <c r="BE176" i="30"/>
  <c r="BF176" i="30"/>
  <c r="BG176" i="30"/>
  <c r="BH176" i="30"/>
  <c r="BI176" i="30"/>
  <c r="BJ176" i="30"/>
  <c r="BK176" i="30"/>
  <c r="BL176" i="30"/>
  <c r="BM176" i="30"/>
  <c r="BN176" i="30"/>
  <c r="BO176" i="30"/>
  <c r="BP176" i="30"/>
  <c r="BQ176" i="30"/>
  <c r="BR176" i="30"/>
  <c r="BS176" i="30"/>
  <c r="BT176" i="30"/>
  <c r="BU176" i="30"/>
  <c r="BV176" i="30"/>
  <c r="BW176" i="30"/>
  <c r="BX176" i="30"/>
  <c r="BY176" i="30"/>
  <c r="BZ176" i="30"/>
  <c r="CA176" i="30"/>
  <c r="CB176" i="30"/>
  <c r="CC176" i="30"/>
  <c r="CD176" i="30"/>
  <c r="CE176" i="30"/>
  <c r="CF176" i="30"/>
  <c r="CG176" i="30"/>
  <c r="CH176" i="30"/>
  <c r="CI176" i="30"/>
  <c r="CJ176" i="30"/>
  <c r="CK176" i="30"/>
  <c r="CL176" i="30"/>
  <c r="CM176" i="30"/>
  <c r="CN176" i="30"/>
  <c r="CO176" i="30"/>
  <c r="CP176" i="30"/>
  <c r="CQ176" i="30"/>
  <c r="CR176" i="30"/>
  <c r="CS176" i="30"/>
  <c r="CT176" i="30"/>
  <c r="CU176" i="30"/>
  <c r="CV176" i="30"/>
  <c r="CW176" i="30"/>
  <c r="CX176" i="30"/>
  <c r="CY176" i="30"/>
  <c r="CZ176" i="30"/>
  <c r="DA176" i="30"/>
  <c r="DB176" i="30"/>
  <c r="DC176" i="30"/>
  <c r="DD176" i="30"/>
  <c r="DE176" i="30"/>
  <c r="DF176" i="30"/>
  <c r="DG176" i="30"/>
  <c r="DH176" i="30"/>
  <c r="DI176" i="30"/>
  <c r="DJ176" i="30"/>
  <c r="DK176" i="30"/>
  <c r="DL176" i="30"/>
  <c r="DM176" i="30"/>
  <c r="DN176" i="30"/>
  <c r="DO176" i="30"/>
  <c r="DP176" i="30"/>
  <c r="DQ176" i="30"/>
  <c r="DR176" i="30"/>
  <c r="DS176" i="30"/>
  <c r="DT176" i="30"/>
  <c r="DU176" i="30"/>
  <c r="DV176" i="30"/>
  <c r="DW176" i="30"/>
  <c r="DX176" i="30"/>
  <c r="DY176" i="30"/>
  <c r="DZ176" i="30"/>
  <c r="EA176" i="30"/>
  <c r="EB176" i="30"/>
  <c r="EC176" i="30"/>
  <c r="ED176" i="30"/>
  <c r="EE176" i="30"/>
  <c r="EF176" i="30"/>
  <c r="EG176" i="30"/>
  <c r="E177" i="30"/>
  <c r="F177" i="30"/>
  <c r="G177" i="30"/>
  <c r="H177" i="30"/>
  <c r="I177" i="30"/>
  <c r="J177" i="30"/>
  <c r="K177" i="30"/>
  <c r="L177" i="30"/>
  <c r="M177" i="30"/>
  <c r="N177" i="30"/>
  <c r="O177" i="30"/>
  <c r="P177" i="30"/>
  <c r="Q177" i="30"/>
  <c r="R177" i="30"/>
  <c r="S177" i="30"/>
  <c r="T177" i="30"/>
  <c r="U177" i="30"/>
  <c r="V177" i="30"/>
  <c r="W177" i="30"/>
  <c r="X177" i="30"/>
  <c r="Y177" i="30"/>
  <c r="Z177" i="30"/>
  <c r="AA177" i="30"/>
  <c r="AB177" i="30"/>
  <c r="AC177" i="30"/>
  <c r="AD177" i="30"/>
  <c r="AE177" i="30"/>
  <c r="AF177" i="30"/>
  <c r="AG177" i="30"/>
  <c r="AH177" i="30"/>
  <c r="AI177" i="30"/>
  <c r="AJ177" i="30"/>
  <c r="AK177" i="30"/>
  <c r="AL177" i="30"/>
  <c r="AM177" i="30"/>
  <c r="AN177" i="30"/>
  <c r="AO177" i="30"/>
  <c r="AP177" i="30"/>
  <c r="AQ177" i="30"/>
  <c r="AR177" i="30"/>
  <c r="AS177" i="30"/>
  <c r="AT177" i="30"/>
  <c r="AU177" i="30"/>
  <c r="AV177" i="30"/>
  <c r="AW177" i="30"/>
  <c r="AX177" i="30"/>
  <c r="AY177" i="30"/>
  <c r="AZ177" i="30"/>
  <c r="BA177" i="30"/>
  <c r="BB177" i="30"/>
  <c r="BC177" i="30"/>
  <c r="BD177" i="30"/>
  <c r="BE177" i="30"/>
  <c r="BF177" i="30"/>
  <c r="BG177" i="30"/>
  <c r="BH177" i="30"/>
  <c r="BI177" i="30"/>
  <c r="BJ177" i="30"/>
  <c r="BK177" i="30"/>
  <c r="BL177" i="30"/>
  <c r="BM177" i="30"/>
  <c r="BN177" i="30"/>
  <c r="BO177" i="30"/>
  <c r="BP177" i="30"/>
  <c r="BQ177" i="30"/>
  <c r="BR177" i="30"/>
  <c r="BS177" i="30"/>
  <c r="BT177" i="30"/>
  <c r="BU177" i="30"/>
  <c r="BV177" i="30"/>
  <c r="BW177" i="30"/>
  <c r="BX177" i="30"/>
  <c r="BY177" i="30"/>
  <c r="BZ177" i="30"/>
  <c r="CA177" i="30"/>
  <c r="CB177" i="30"/>
  <c r="CC177" i="30"/>
  <c r="CD177" i="30"/>
  <c r="CE177" i="30"/>
  <c r="CF177" i="30"/>
  <c r="CG177" i="30"/>
  <c r="CH177" i="30"/>
  <c r="CI177" i="30"/>
  <c r="CJ177" i="30"/>
  <c r="CK177" i="30"/>
  <c r="CL177" i="30"/>
  <c r="CM177" i="30"/>
  <c r="CN177" i="30"/>
  <c r="CO177" i="30"/>
  <c r="CP177" i="30"/>
  <c r="CQ177" i="30"/>
  <c r="CR177" i="30"/>
  <c r="CS177" i="30"/>
  <c r="CT177" i="30"/>
  <c r="CU177" i="30"/>
  <c r="CV177" i="30"/>
  <c r="CW177" i="30"/>
  <c r="CX177" i="30"/>
  <c r="CY177" i="30"/>
  <c r="CZ177" i="30"/>
  <c r="DA177" i="30"/>
  <c r="DB177" i="30"/>
  <c r="DC177" i="30"/>
  <c r="DD177" i="30"/>
  <c r="DE177" i="30"/>
  <c r="DF177" i="30"/>
  <c r="DG177" i="30"/>
  <c r="DH177" i="30"/>
  <c r="DI177" i="30"/>
  <c r="DJ177" i="30"/>
  <c r="DK177" i="30"/>
  <c r="DL177" i="30"/>
  <c r="DM177" i="30"/>
  <c r="DN177" i="30"/>
  <c r="DO177" i="30"/>
  <c r="DP177" i="30"/>
  <c r="DQ177" i="30"/>
  <c r="DR177" i="30"/>
  <c r="DS177" i="30"/>
  <c r="DT177" i="30"/>
  <c r="DU177" i="30"/>
  <c r="DV177" i="30"/>
  <c r="DW177" i="30"/>
  <c r="DX177" i="30"/>
  <c r="DY177" i="30"/>
  <c r="DZ177" i="30"/>
  <c r="EA177" i="30"/>
  <c r="EB177" i="30"/>
  <c r="EC177" i="30"/>
  <c r="ED177" i="30"/>
  <c r="EE177" i="30"/>
  <c r="EF177" i="30"/>
  <c r="EG177" i="30"/>
  <c r="E178" i="30"/>
  <c r="F178" i="30"/>
  <c r="G178" i="30"/>
  <c r="H178" i="30"/>
  <c r="I178" i="30"/>
  <c r="J178" i="30"/>
  <c r="K178" i="30"/>
  <c r="L178" i="30"/>
  <c r="M178" i="30"/>
  <c r="N178" i="30"/>
  <c r="O178" i="30"/>
  <c r="P178" i="30"/>
  <c r="Q178" i="30"/>
  <c r="R178" i="30"/>
  <c r="S178" i="30"/>
  <c r="T178" i="30"/>
  <c r="U178" i="30"/>
  <c r="V178" i="30"/>
  <c r="W178" i="30"/>
  <c r="X178" i="30"/>
  <c r="Y178" i="30"/>
  <c r="Z178" i="30"/>
  <c r="AA178" i="30"/>
  <c r="AB178" i="30"/>
  <c r="AC178" i="30"/>
  <c r="AD178" i="30"/>
  <c r="AE178" i="30"/>
  <c r="AF178" i="30"/>
  <c r="AG178" i="30"/>
  <c r="AH178" i="30"/>
  <c r="AI178" i="30"/>
  <c r="AJ178" i="30"/>
  <c r="AK178" i="30"/>
  <c r="AL178" i="30"/>
  <c r="AM178" i="30"/>
  <c r="AN178" i="30"/>
  <c r="AO178" i="30"/>
  <c r="AP178" i="30"/>
  <c r="AQ178" i="30"/>
  <c r="AR178" i="30"/>
  <c r="AS178" i="30"/>
  <c r="AT178" i="30"/>
  <c r="AU178" i="30"/>
  <c r="AV178" i="30"/>
  <c r="AW178" i="30"/>
  <c r="AX178" i="30"/>
  <c r="AY178" i="30"/>
  <c r="AZ178" i="30"/>
  <c r="BA178" i="30"/>
  <c r="BB178" i="30"/>
  <c r="BC178" i="30"/>
  <c r="BD178" i="30"/>
  <c r="BE178" i="30"/>
  <c r="BF178" i="30"/>
  <c r="BG178" i="30"/>
  <c r="BH178" i="30"/>
  <c r="BI178" i="30"/>
  <c r="BJ178" i="30"/>
  <c r="BK178" i="30"/>
  <c r="BL178" i="30"/>
  <c r="BM178" i="30"/>
  <c r="BN178" i="30"/>
  <c r="BO178" i="30"/>
  <c r="BP178" i="30"/>
  <c r="BQ178" i="30"/>
  <c r="BR178" i="30"/>
  <c r="BS178" i="30"/>
  <c r="BT178" i="30"/>
  <c r="BU178" i="30"/>
  <c r="BV178" i="30"/>
  <c r="BW178" i="30"/>
  <c r="BX178" i="30"/>
  <c r="BY178" i="30"/>
  <c r="BZ178" i="30"/>
  <c r="CA178" i="30"/>
  <c r="CB178" i="30"/>
  <c r="CC178" i="30"/>
  <c r="CD178" i="30"/>
  <c r="CE178" i="30"/>
  <c r="CF178" i="30"/>
  <c r="CG178" i="30"/>
  <c r="CH178" i="30"/>
  <c r="CI178" i="30"/>
  <c r="CJ178" i="30"/>
  <c r="CK178" i="30"/>
  <c r="CL178" i="30"/>
  <c r="CM178" i="30"/>
  <c r="CN178" i="30"/>
  <c r="CO178" i="30"/>
  <c r="CP178" i="30"/>
  <c r="CQ178" i="30"/>
  <c r="CR178" i="30"/>
  <c r="CS178" i="30"/>
  <c r="CT178" i="30"/>
  <c r="CU178" i="30"/>
  <c r="CV178" i="30"/>
  <c r="CW178" i="30"/>
  <c r="CX178" i="30"/>
  <c r="CY178" i="30"/>
  <c r="CZ178" i="30"/>
  <c r="DA178" i="30"/>
  <c r="DB178" i="30"/>
  <c r="DC178" i="30"/>
  <c r="DD178" i="30"/>
  <c r="DE178" i="30"/>
  <c r="DF178" i="30"/>
  <c r="DG178" i="30"/>
  <c r="DH178" i="30"/>
  <c r="DI178" i="30"/>
  <c r="DJ178" i="30"/>
  <c r="DK178" i="30"/>
  <c r="DL178" i="30"/>
  <c r="DM178" i="30"/>
  <c r="DN178" i="30"/>
  <c r="DO178" i="30"/>
  <c r="DP178" i="30"/>
  <c r="DQ178" i="30"/>
  <c r="DR178" i="30"/>
  <c r="DS178" i="30"/>
  <c r="DT178" i="30"/>
  <c r="DU178" i="30"/>
  <c r="DV178" i="30"/>
  <c r="DW178" i="30"/>
  <c r="DX178" i="30"/>
  <c r="DY178" i="30"/>
  <c r="DZ178" i="30"/>
  <c r="EA178" i="30"/>
  <c r="EB178" i="30"/>
  <c r="EC178" i="30"/>
  <c r="ED178" i="30"/>
  <c r="EE178" i="30"/>
  <c r="EF178" i="30"/>
  <c r="EG178" i="30"/>
  <c r="Q181" i="30"/>
  <c r="R181" i="30"/>
  <c r="S181" i="30"/>
  <c r="T181" i="30"/>
  <c r="U181" i="30"/>
  <c r="V181" i="30"/>
  <c r="W181" i="30"/>
  <c r="X181" i="30"/>
  <c r="Y181" i="30"/>
  <c r="Z181" i="30"/>
  <c r="AA181" i="30"/>
  <c r="AB181" i="30"/>
  <c r="AC181" i="30"/>
  <c r="AD181" i="30"/>
  <c r="AE181" i="30"/>
  <c r="AF181" i="30"/>
  <c r="AG181" i="30"/>
  <c r="AH181" i="30"/>
  <c r="AI181" i="30"/>
  <c r="AJ181" i="30"/>
  <c r="AK181" i="30"/>
  <c r="AL181" i="30"/>
  <c r="AM181" i="30"/>
  <c r="AN181" i="30"/>
  <c r="AO181" i="30"/>
  <c r="AP181" i="30"/>
  <c r="AQ181" i="30"/>
  <c r="AR181" i="30"/>
  <c r="AS181" i="30"/>
  <c r="AT181" i="30"/>
  <c r="AU181" i="30"/>
  <c r="AV181" i="30"/>
  <c r="AW181" i="30"/>
  <c r="AX181" i="30"/>
  <c r="AY181" i="30"/>
  <c r="AZ181" i="30"/>
  <c r="BA181" i="30"/>
  <c r="BB181" i="30"/>
  <c r="BC181" i="30"/>
  <c r="BD181" i="30"/>
  <c r="BE181" i="30"/>
  <c r="BF181" i="30"/>
  <c r="BG181" i="30"/>
  <c r="BH181" i="30"/>
  <c r="BI181" i="30"/>
  <c r="BJ181" i="30"/>
  <c r="BK181" i="30"/>
  <c r="BL181" i="30"/>
  <c r="BM181" i="30"/>
  <c r="BN181" i="30"/>
  <c r="BO181" i="30"/>
  <c r="BP181" i="30"/>
  <c r="BQ181" i="30"/>
  <c r="BR181" i="30"/>
  <c r="BS181" i="30"/>
  <c r="BT181" i="30"/>
  <c r="BU181" i="30"/>
  <c r="BV181" i="30"/>
  <c r="BW181" i="30"/>
  <c r="BX181" i="30"/>
  <c r="BY181" i="30"/>
  <c r="BZ181" i="30"/>
  <c r="CA181" i="30"/>
  <c r="CB181" i="30"/>
  <c r="CC181" i="30"/>
  <c r="CD181" i="30"/>
  <c r="CE181" i="30"/>
  <c r="CF181" i="30"/>
  <c r="CG181" i="30"/>
  <c r="CH181" i="30"/>
  <c r="CI181" i="30"/>
  <c r="CJ181" i="30"/>
  <c r="CK181" i="30"/>
  <c r="CL181" i="30"/>
  <c r="CM181" i="30"/>
  <c r="CN181" i="30"/>
  <c r="CO181" i="30"/>
  <c r="CP181" i="30"/>
  <c r="CQ181" i="30"/>
  <c r="CR181" i="30"/>
  <c r="CS181" i="30"/>
  <c r="CT181" i="30"/>
  <c r="CU181" i="30"/>
  <c r="CV181" i="30"/>
  <c r="CW181" i="30"/>
  <c r="CX181" i="30"/>
  <c r="CY181" i="30"/>
  <c r="CZ181" i="30"/>
  <c r="DA181" i="30"/>
  <c r="DB181" i="30"/>
  <c r="DC181" i="30"/>
  <c r="DD181" i="30"/>
  <c r="DE181" i="30"/>
  <c r="DF181" i="30"/>
  <c r="DG181" i="30"/>
  <c r="DH181" i="30"/>
  <c r="DI181" i="30"/>
  <c r="DJ181" i="30"/>
  <c r="DK181" i="30"/>
  <c r="DL181" i="30"/>
  <c r="DM181" i="30"/>
  <c r="DN181" i="30"/>
  <c r="DO181" i="30"/>
  <c r="DP181" i="30"/>
  <c r="DQ181" i="30"/>
  <c r="DR181" i="30"/>
  <c r="DS181" i="30"/>
  <c r="DT181" i="30"/>
  <c r="DU181" i="30"/>
  <c r="Q184" i="30"/>
  <c r="R184" i="30"/>
  <c r="S184" i="30"/>
  <c r="T184" i="30"/>
  <c r="U184" i="30"/>
  <c r="V184" i="30"/>
  <c r="W184" i="30"/>
  <c r="X184" i="30"/>
  <c r="Y184" i="30"/>
  <c r="Z184" i="30"/>
  <c r="AA184" i="30"/>
  <c r="AB184" i="30"/>
  <c r="AC184" i="30"/>
  <c r="AD184" i="30"/>
  <c r="AE184" i="30"/>
  <c r="AF184" i="30"/>
  <c r="AG184" i="30"/>
  <c r="AH184" i="30"/>
  <c r="AI184" i="30"/>
  <c r="AJ184" i="30"/>
  <c r="AK184" i="30"/>
  <c r="AL184" i="30"/>
  <c r="AM184" i="30"/>
  <c r="AN184" i="30"/>
  <c r="AO184" i="30"/>
  <c r="AP184" i="30"/>
  <c r="AQ184" i="30"/>
  <c r="AR184" i="30"/>
  <c r="AS184" i="30"/>
  <c r="AT184" i="30"/>
  <c r="AU184" i="30"/>
  <c r="AV184" i="30"/>
  <c r="AW184" i="30"/>
  <c r="AX184" i="30"/>
  <c r="AY184" i="30"/>
  <c r="AZ184" i="30"/>
  <c r="BA184" i="30"/>
  <c r="BB184" i="30"/>
  <c r="BC184" i="30"/>
  <c r="BD184" i="30"/>
  <c r="BE184" i="30"/>
  <c r="BF184" i="30"/>
  <c r="BG184" i="30"/>
  <c r="BH184" i="30"/>
  <c r="BI184" i="30"/>
  <c r="BJ184" i="30"/>
  <c r="BK184" i="30"/>
  <c r="BL184" i="30"/>
  <c r="BM184" i="30"/>
  <c r="BN184" i="30"/>
  <c r="BO184" i="30"/>
  <c r="BP184" i="30"/>
  <c r="BQ184" i="30"/>
  <c r="BR184" i="30"/>
  <c r="BS184" i="30"/>
  <c r="BT184" i="30"/>
  <c r="BU184" i="30"/>
  <c r="BV184" i="30"/>
  <c r="BW184" i="30"/>
  <c r="BX184" i="30"/>
  <c r="BY184" i="30"/>
  <c r="BZ184" i="30"/>
  <c r="CA184" i="30"/>
  <c r="CB184" i="30"/>
  <c r="CC184" i="30"/>
  <c r="CD184" i="30"/>
  <c r="CE184" i="30"/>
  <c r="CF184" i="30"/>
  <c r="CG184" i="30"/>
  <c r="CH184" i="30"/>
  <c r="CI184" i="30"/>
  <c r="CJ184" i="30"/>
  <c r="CK184" i="30"/>
  <c r="CL184" i="30"/>
  <c r="CM184" i="30"/>
  <c r="CN184" i="30"/>
  <c r="CO184" i="30"/>
  <c r="CP184" i="30"/>
  <c r="CQ184" i="30"/>
  <c r="CR184" i="30"/>
  <c r="CS184" i="30"/>
  <c r="CT184" i="30"/>
  <c r="CU184" i="30"/>
  <c r="CV184" i="30"/>
  <c r="CW184" i="30"/>
  <c r="CX184" i="30"/>
  <c r="CY184" i="30"/>
  <c r="CZ184" i="30"/>
  <c r="DA184" i="30"/>
  <c r="DB184" i="30"/>
  <c r="DC184" i="30"/>
  <c r="DD184" i="30"/>
  <c r="DE184" i="30"/>
  <c r="DF184" i="30"/>
  <c r="DG184" i="30"/>
  <c r="DH184" i="30"/>
  <c r="DI184" i="30"/>
  <c r="DJ184" i="30"/>
  <c r="DK184" i="30"/>
  <c r="DL184" i="30"/>
  <c r="DM184" i="30"/>
  <c r="DN184" i="30"/>
  <c r="DO184" i="30"/>
  <c r="DP184" i="30"/>
  <c r="DQ184" i="30"/>
  <c r="DR184" i="30"/>
  <c r="DS184" i="30"/>
  <c r="DT184" i="30"/>
  <c r="DU184" i="30"/>
  <c r="Q187" i="30"/>
  <c r="R187" i="30"/>
  <c r="S187" i="30"/>
  <c r="T187" i="30"/>
  <c r="U187" i="30"/>
  <c r="V187" i="30"/>
  <c r="W187" i="30"/>
  <c r="X187" i="30"/>
  <c r="Y187" i="30"/>
  <c r="Z187" i="30"/>
  <c r="AA187" i="30"/>
  <c r="AB187" i="30"/>
  <c r="AC187" i="30"/>
  <c r="AD187" i="30"/>
  <c r="AE187" i="30"/>
  <c r="AF187" i="30"/>
  <c r="AG187" i="30"/>
  <c r="AH187" i="30"/>
  <c r="AI187" i="30"/>
  <c r="AJ187" i="30"/>
  <c r="AK187" i="30"/>
  <c r="AL187" i="30"/>
  <c r="AM187" i="30"/>
  <c r="AN187" i="30"/>
  <c r="AO187" i="30"/>
  <c r="AP187" i="30"/>
  <c r="AQ187" i="30"/>
  <c r="AR187" i="30"/>
  <c r="AS187" i="30"/>
  <c r="AT187" i="30"/>
  <c r="AU187" i="30"/>
  <c r="AV187" i="30"/>
  <c r="AW187" i="30"/>
  <c r="AX187" i="30"/>
  <c r="AY187" i="30"/>
  <c r="AZ187" i="30"/>
  <c r="BA187" i="30"/>
  <c r="BB187" i="30"/>
  <c r="BC187" i="30"/>
  <c r="BD187" i="30"/>
  <c r="BE187" i="30"/>
  <c r="BF187" i="30"/>
  <c r="BG187" i="30"/>
  <c r="BH187" i="30"/>
  <c r="BI187" i="30"/>
  <c r="BJ187" i="30"/>
  <c r="BK187" i="30"/>
  <c r="BL187" i="30"/>
  <c r="BM187" i="30"/>
  <c r="BN187" i="30"/>
  <c r="BO187" i="30"/>
  <c r="BP187" i="30"/>
  <c r="BQ187" i="30"/>
  <c r="BR187" i="30"/>
  <c r="BS187" i="30"/>
  <c r="BT187" i="30"/>
  <c r="BU187" i="30"/>
  <c r="BV187" i="30"/>
  <c r="BW187" i="30"/>
  <c r="BX187" i="30"/>
  <c r="BY187" i="30"/>
  <c r="BZ187" i="30"/>
  <c r="CA187" i="30"/>
  <c r="CB187" i="30"/>
  <c r="CC187" i="30"/>
  <c r="CD187" i="30"/>
  <c r="CE187" i="30"/>
  <c r="CF187" i="30"/>
  <c r="CG187" i="30"/>
  <c r="CH187" i="30"/>
  <c r="CI187" i="30"/>
  <c r="CJ187" i="30"/>
  <c r="CK187" i="30"/>
  <c r="CL187" i="30"/>
  <c r="CM187" i="30"/>
  <c r="CN187" i="30"/>
  <c r="CO187" i="30"/>
  <c r="CP187" i="30"/>
  <c r="CQ187" i="30"/>
  <c r="CR187" i="30"/>
  <c r="CS187" i="30"/>
  <c r="CT187" i="30"/>
  <c r="CU187" i="30"/>
  <c r="CV187" i="30"/>
  <c r="CW187" i="30"/>
  <c r="CX187" i="30"/>
  <c r="CY187" i="30"/>
  <c r="CZ187" i="30"/>
  <c r="DA187" i="30"/>
  <c r="DB187" i="30"/>
  <c r="DC187" i="30"/>
  <c r="DD187" i="30"/>
  <c r="DE187" i="30"/>
  <c r="DF187" i="30"/>
  <c r="DG187" i="30"/>
  <c r="DH187" i="30"/>
  <c r="DI187" i="30"/>
  <c r="DJ187" i="30"/>
  <c r="DK187" i="30"/>
  <c r="DL187" i="30"/>
  <c r="DM187" i="30"/>
  <c r="DN187" i="30"/>
  <c r="DO187" i="30"/>
  <c r="DP187" i="30"/>
  <c r="DQ187" i="30"/>
  <c r="DR187" i="30"/>
  <c r="DS187" i="30"/>
  <c r="DT187" i="30"/>
  <c r="DU187" i="30"/>
  <c r="Q188" i="30"/>
  <c r="R188" i="30"/>
  <c r="S188" i="30"/>
  <c r="T188" i="30"/>
  <c r="U188" i="30"/>
  <c r="V188" i="30"/>
  <c r="W188" i="30"/>
  <c r="X188" i="30"/>
  <c r="Y188" i="30"/>
  <c r="Z188" i="30"/>
  <c r="AA188" i="30"/>
  <c r="AB188" i="30"/>
  <c r="AC188" i="30"/>
  <c r="AD188" i="30"/>
  <c r="AE188" i="30"/>
  <c r="AF188" i="30"/>
  <c r="AG188" i="30"/>
  <c r="AH188" i="30"/>
  <c r="AI188" i="30"/>
  <c r="AJ188" i="30"/>
  <c r="AK188" i="30"/>
  <c r="AL188" i="30"/>
  <c r="AM188" i="30"/>
  <c r="AN188" i="30"/>
  <c r="AO188" i="30"/>
  <c r="AP188" i="30"/>
  <c r="AQ188" i="30"/>
  <c r="AR188" i="30"/>
  <c r="AS188" i="30"/>
  <c r="AT188" i="30"/>
  <c r="AU188" i="30"/>
  <c r="AV188" i="30"/>
  <c r="AW188" i="30"/>
  <c r="AX188" i="30"/>
  <c r="AY188" i="30"/>
  <c r="AZ188" i="30"/>
  <c r="BA188" i="30"/>
  <c r="BB188" i="30"/>
  <c r="BC188" i="30"/>
  <c r="BD188" i="30"/>
  <c r="BE188" i="30"/>
  <c r="BF188" i="30"/>
  <c r="BG188" i="30"/>
  <c r="BH188" i="30"/>
  <c r="BI188" i="30"/>
  <c r="BJ188" i="30"/>
  <c r="BK188" i="30"/>
  <c r="BL188" i="30"/>
  <c r="BM188" i="30"/>
  <c r="BN188" i="30"/>
  <c r="BO188" i="30"/>
  <c r="BP188" i="30"/>
  <c r="BQ188" i="30"/>
  <c r="BR188" i="30"/>
  <c r="BS188" i="30"/>
  <c r="BT188" i="30"/>
  <c r="BU188" i="30"/>
  <c r="BV188" i="30"/>
  <c r="BW188" i="30"/>
  <c r="BX188" i="30"/>
  <c r="BY188" i="30"/>
  <c r="BZ188" i="30"/>
  <c r="CA188" i="30"/>
  <c r="CB188" i="30"/>
  <c r="CC188" i="30"/>
  <c r="CD188" i="30"/>
  <c r="CE188" i="30"/>
  <c r="CF188" i="30"/>
  <c r="CG188" i="30"/>
  <c r="CH188" i="30"/>
  <c r="CI188" i="30"/>
  <c r="CJ188" i="30"/>
  <c r="CK188" i="30"/>
  <c r="CL188" i="30"/>
  <c r="CM188" i="30"/>
  <c r="CN188" i="30"/>
  <c r="CO188" i="30"/>
  <c r="CP188" i="30"/>
  <c r="CQ188" i="30"/>
  <c r="CR188" i="30"/>
  <c r="CS188" i="30"/>
  <c r="CT188" i="30"/>
  <c r="CU188" i="30"/>
  <c r="CV188" i="30"/>
  <c r="CW188" i="30"/>
  <c r="CX188" i="30"/>
  <c r="CY188" i="30"/>
  <c r="CZ188" i="30"/>
  <c r="DA188" i="30"/>
  <c r="DB188" i="30"/>
  <c r="DC188" i="30"/>
  <c r="DD188" i="30"/>
  <c r="DE188" i="30"/>
  <c r="DF188" i="30"/>
  <c r="DG188" i="30"/>
  <c r="DH188" i="30"/>
  <c r="DI188" i="30"/>
  <c r="DJ188" i="30"/>
  <c r="DK188" i="30"/>
  <c r="DL188" i="30"/>
  <c r="DM188" i="30"/>
  <c r="DN188" i="30"/>
  <c r="DO188" i="30"/>
  <c r="DP188" i="30"/>
  <c r="DQ188" i="30"/>
  <c r="DR188" i="30"/>
  <c r="DS188" i="30"/>
  <c r="DT188" i="30"/>
  <c r="DU188" i="30"/>
  <c r="Q189" i="30"/>
  <c r="R189" i="30"/>
  <c r="S189" i="30"/>
  <c r="T189" i="30"/>
  <c r="U189" i="30"/>
  <c r="V189" i="30"/>
  <c r="W189" i="30"/>
  <c r="X189" i="30"/>
  <c r="Y189" i="30"/>
  <c r="Z189" i="30"/>
  <c r="AA189" i="30"/>
  <c r="AB189" i="30"/>
  <c r="AC189" i="30"/>
  <c r="AD189" i="30"/>
  <c r="AE189" i="30"/>
  <c r="AF189" i="30"/>
  <c r="AG189" i="30"/>
  <c r="AH189" i="30"/>
  <c r="AI189" i="30"/>
  <c r="AJ189" i="30"/>
  <c r="AK189" i="30"/>
  <c r="AL189" i="30"/>
  <c r="AM189" i="30"/>
  <c r="AN189" i="30"/>
  <c r="AO189" i="30"/>
  <c r="AP189" i="30"/>
  <c r="AQ189" i="30"/>
  <c r="AR189" i="30"/>
  <c r="AS189" i="30"/>
  <c r="AT189" i="30"/>
  <c r="AU189" i="30"/>
  <c r="AV189" i="30"/>
  <c r="AW189" i="30"/>
  <c r="AX189" i="30"/>
  <c r="AY189" i="30"/>
  <c r="AZ189" i="30"/>
  <c r="BA189" i="30"/>
  <c r="BB189" i="30"/>
  <c r="BC189" i="30"/>
  <c r="BD189" i="30"/>
  <c r="BE189" i="30"/>
  <c r="BF189" i="30"/>
  <c r="BG189" i="30"/>
  <c r="BH189" i="30"/>
  <c r="BI189" i="30"/>
  <c r="BJ189" i="30"/>
  <c r="BK189" i="30"/>
  <c r="BL189" i="30"/>
  <c r="BM189" i="30"/>
  <c r="BN189" i="30"/>
  <c r="BO189" i="30"/>
  <c r="BP189" i="30"/>
  <c r="BQ189" i="30"/>
  <c r="BR189" i="30"/>
  <c r="BS189" i="30"/>
  <c r="BT189" i="30"/>
  <c r="BU189" i="30"/>
  <c r="BV189" i="30"/>
  <c r="BW189" i="30"/>
  <c r="BX189" i="30"/>
  <c r="BY189" i="30"/>
  <c r="BZ189" i="30"/>
  <c r="CA189" i="30"/>
  <c r="CB189" i="30"/>
  <c r="CC189" i="30"/>
  <c r="CD189" i="30"/>
  <c r="CE189" i="30"/>
  <c r="CF189" i="30"/>
  <c r="CG189" i="30"/>
  <c r="CH189" i="30"/>
  <c r="CI189" i="30"/>
  <c r="CJ189" i="30"/>
  <c r="CK189" i="30"/>
  <c r="CL189" i="30"/>
  <c r="CM189" i="30"/>
  <c r="CN189" i="30"/>
  <c r="CO189" i="30"/>
  <c r="CP189" i="30"/>
  <c r="CQ189" i="30"/>
  <c r="CR189" i="30"/>
  <c r="CS189" i="30"/>
  <c r="CT189" i="30"/>
  <c r="CU189" i="30"/>
  <c r="CV189" i="30"/>
  <c r="CW189" i="30"/>
  <c r="CX189" i="30"/>
  <c r="CY189" i="30"/>
  <c r="CZ189" i="30"/>
  <c r="DA189" i="30"/>
  <c r="DB189" i="30"/>
  <c r="DC189" i="30"/>
  <c r="DD189" i="30"/>
  <c r="DE189" i="30"/>
  <c r="DF189" i="30"/>
  <c r="DG189" i="30"/>
  <c r="DH189" i="30"/>
  <c r="DI189" i="30"/>
  <c r="DJ189" i="30"/>
  <c r="DK189" i="30"/>
  <c r="DL189" i="30"/>
  <c r="DM189" i="30"/>
  <c r="DN189" i="30"/>
  <c r="DO189" i="30"/>
  <c r="DP189" i="30"/>
  <c r="DQ189" i="30"/>
  <c r="DR189" i="30"/>
  <c r="DS189" i="30"/>
  <c r="DT189" i="30"/>
  <c r="DU189" i="30"/>
  <c r="Q191" i="30"/>
  <c r="R191" i="30"/>
  <c r="S191" i="30"/>
  <c r="T191" i="30"/>
  <c r="U191" i="30"/>
  <c r="V191" i="30"/>
  <c r="W191" i="30"/>
  <c r="X191" i="30"/>
  <c r="Y191" i="30"/>
  <c r="Z191" i="30"/>
  <c r="AA191" i="30"/>
  <c r="AB191" i="30"/>
  <c r="AC191" i="30"/>
  <c r="AD191" i="30"/>
  <c r="AE191" i="30"/>
  <c r="AF191" i="30"/>
  <c r="AG191" i="30"/>
  <c r="AH191" i="30"/>
  <c r="AI191" i="30"/>
  <c r="AJ191" i="30"/>
  <c r="AK191" i="30"/>
  <c r="AL191" i="30"/>
  <c r="AM191" i="30"/>
  <c r="AN191" i="30"/>
  <c r="AO191" i="30"/>
  <c r="AP191" i="30"/>
  <c r="AQ191" i="30"/>
  <c r="AR191" i="30"/>
  <c r="AS191" i="30"/>
  <c r="AT191" i="30"/>
  <c r="AU191" i="30"/>
  <c r="AV191" i="30"/>
  <c r="AW191" i="30"/>
  <c r="AX191" i="30"/>
  <c r="AY191" i="30"/>
  <c r="AZ191" i="30"/>
  <c r="BA191" i="30"/>
  <c r="BB191" i="30"/>
  <c r="BC191" i="30"/>
  <c r="BD191" i="30"/>
  <c r="BE191" i="30"/>
  <c r="BF191" i="30"/>
  <c r="BG191" i="30"/>
  <c r="BH191" i="30"/>
  <c r="BI191" i="30"/>
  <c r="BJ191" i="30"/>
  <c r="BK191" i="30"/>
  <c r="BL191" i="30"/>
  <c r="BM191" i="30"/>
  <c r="BN191" i="30"/>
  <c r="BO191" i="30"/>
  <c r="BP191" i="30"/>
  <c r="BQ191" i="30"/>
  <c r="BR191" i="30"/>
  <c r="BS191" i="30"/>
  <c r="BT191" i="30"/>
  <c r="BU191" i="30"/>
  <c r="BV191" i="30"/>
  <c r="BW191" i="30"/>
  <c r="BX191" i="30"/>
  <c r="BY191" i="30"/>
  <c r="BZ191" i="30"/>
  <c r="CA191" i="30"/>
  <c r="CB191" i="30"/>
  <c r="CC191" i="30"/>
  <c r="CD191" i="30"/>
  <c r="CE191" i="30"/>
  <c r="CF191" i="30"/>
  <c r="CG191" i="30"/>
  <c r="CH191" i="30"/>
  <c r="CI191" i="30"/>
  <c r="CJ191" i="30"/>
  <c r="CK191" i="30"/>
  <c r="CL191" i="30"/>
  <c r="CM191" i="30"/>
  <c r="CN191" i="30"/>
  <c r="CO191" i="30"/>
  <c r="CP191" i="30"/>
  <c r="CQ191" i="30"/>
  <c r="CR191" i="30"/>
  <c r="CS191" i="30"/>
  <c r="CT191" i="30"/>
  <c r="CU191" i="30"/>
  <c r="CV191" i="30"/>
  <c r="CW191" i="30"/>
  <c r="CX191" i="30"/>
  <c r="CY191" i="30"/>
  <c r="CZ191" i="30"/>
  <c r="DA191" i="30"/>
  <c r="DB191" i="30"/>
  <c r="DC191" i="30"/>
  <c r="DD191" i="30"/>
  <c r="DE191" i="30"/>
  <c r="DF191" i="30"/>
  <c r="DG191" i="30"/>
  <c r="DH191" i="30"/>
  <c r="DI191" i="30"/>
  <c r="DJ191" i="30"/>
  <c r="DK191" i="30"/>
  <c r="DL191" i="30"/>
  <c r="DM191" i="30"/>
  <c r="DN191" i="30"/>
  <c r="DO191" i="30"/>
  <c r="DP191" i="30"/>
  <c r="DQ191" i="30"/>
  <c r="DR191" i="30"/>
  <c r="DS191" i="30"/>
  <c r="DT191" i="30"/>
  <c r="DU191" i="30"/>
  <c r="Q193" i="30"/>
  <c r="R193" i="30"/>
  <c r="S193" i="30"/>
  <c r="T193" i="30"/>
  <c r="U193" i="30"/>
  <c r="V193" i="30"/>
  <c r="W193" i="30"/>
  <c r="X193" i="30"/>
  <c r="Y193" i="30"/>
  <c r="Z193" i="30"/>
  <c r="AA193" i="30"/>
  <c r="AB193" i="30"/>
  <c r="AC193" i="30"/>
  <c r="AD193" i="30"/>
  <c r="AE193" i="30"/>
  <c r="AF193" i="30"/>
  <c r="AG193" i="30"/>
  <c r="AH193" i="30"/>
  <c r="AI193" i="30"/>
  <c r="AJ193" i="30"/>
  <c r="AK193" i="30"/>
  <c r="AL193" i="30"/>
  <c r="AM193" i="30"/>
  <c r="AN193" i="30"/>
  <c r="AO193" i="30"/>
  <c r="AP193" i="30"/>
  <c r="AQ193" i="30"/>
  <c r="AR193" i="30"/>
  <c r="AS193" i="30"/>
  <c r="AT193" i="30"/>
  <c r="AU193" i="30"/>
  <c r="AV193" i="30"/>
  <c r="AW193" i="30"/>
  <c r="AX193" i="30"/>
  <c r="AY193" i="30"/>
  <c r="AZ193" i="30"/>
  <c r="BA193" i="30"/>
  <c r="BB193" i="30"/>
  <c r="BC193" i="30"/>
  <c r="BD193" i="30"/>
  <c r="BE193" i="30"/>
  <c r="BF193" i="30"/>
  <c r="BG193" i="30"/>
  <c r="BH193" i="30"/>
  <c r="BI193" i="30"/>
  <c r="BJ193" i="30"/>
  <c r="BK193" i="30"/>
  <c r="BL193" i="30"/>
  <c r="BM193" i="30"/>
  <c r="BN193" i="30"/>
  <c r="BO193" i="30"/>
  <c r="BP193" i="30"/>
  <c r="BQ193" i="30"/>
  <c r="BR193" i="30"/>
  <c r="BS193" i="30"/>
  <c r="BT193" i="30"/>
  <c r="BU193" i="30"/>
  <c r="BV193" i="30"/>
  <c r="BW193" i="30"/>
  <c r="BX193" i="30"/>
  <c r="BY193" i="30"/>
  <c r="BZ193" i="30"/>
  <c r="CA193" i="30"/>
  <c r="CB193" i="30"/>
  <c r="CC193" i="30"/>
  <c r="CD193" i="30"/>
  <c r="CE193" i="30"/>
  <c r="CF193" i="30"/>
  <c r="CG193" i="30"/>
  <c r="CH193" i="30"/>
  <c r="CI193" i="30"/>
  <c r="CJ193" i="30"/>
  <c r="CK193" i="30"/>
  <c r="CL193" i="30"/>
  <c r="CM193" i="30"/>
  <c r="CN193" i="30"/>
  <c r="CO193" i="30"/>
  <c r="CP193" i="30"/>
  <c r="CQ193" i="30"/>
  <c r="CR193" i="30"/>
  <c r="CS193" i="30"/>
  <c r="CT193" i="30"/>
  <c r="CU193" i="30"/>
  <c r="CV193" i="30"/>
  <c r="CW193" i="30"/>
  <c r="CX193" i="30"/>
  <c r="CY193" i="30"/>
  <c r="CZ193" i="30"/>
  <c r="DA193" i="30"/>
  <c r="DB193" i="30"/>
  <c r="DC193" i="30"/>
  <c r="DD193" i="30"/>
  <c r="DE193" i="30"/>
  <c r="DF193" i="30"/>
  <c r="DG193" i="30"/>
  <c r="DH193" i="30"/>
  <c r="DI193" i="30"/>
  <c r="DJ193" i="30"/>
  <c r="DK193" i="30"/>
  <c r="DL193" i="30"/>
  <c r="DM193" i="30"/>
  <c r="DN193" i="30"/>
  <c r="DO193" i="30"/>
  <c r="DP193" i="30"/>
  <c r="DQ193" i="30"/>
  <c r="DR193" i="30"/>
  <c r="DS193" i="30"/>
  <c r="DT193" i="30"/>
  <c r="DU193" i="30"/>
  <c r="Q194" i="30"/>
  <c r="R194" i="30"/>
  <c r="S194" i="30"/>
  <c r="T194" i="30"/>
  <c r="U194" i="30"/>
  <c r="V194" i="30"/>
  <c r="W194" i="30"/>
  <c r="X194" i="30"/>
  <c r="Y194" i="30"/>
  <c r="Z194" i="30"/>
  <c r="AA194" i="30"/>
  <c r="AB194" i="30"/>
  <c r="AC194" i="30"/>
  <c r="AD194" i="30"/>
  <c r="AE194" i="30"/>
  <c r="AF194" i="30"/>
  <c r="AG194" i="30"/>
  <c r="AH194" i="30"/>
  <c r="AI194" i="30"/>
  <c r="AJ194" i="30"/>
  <c r="AK194" i="30"/>
  <c r="AL194" i="30"/>
  <c r="AM194" i="30"/>
  <c r="AN194" i="30"/>
  <c r="AO194" i="30"/>
  <c r="AP194" i="30"/>
  <c r="AQ194" i="30"/>
  <c r="AR194" i="30"/>
  <c r="AS194" i="30"/>
  <c r="AT194" i="30"/>
  <c r="AU194" i="30"/>
  <c r="AV194" i="30"/>
  <c r="AW194" i="30"/>
  <c r="AX194" i="30"/>
  <c r="AY194" i="30"/>
  <c r="AZ194" i="30"/>
  <c r="BA194" i="30"/>
  <c r="BB194" i="30"/>
  <c r="BC194" i="30"/>
  <c r="BD194" i="30"/>
  <c r="BE194" i="30"/>
  <c r="BF194" i="30"/>
  <c r="BG194" i="30"/>
  <c r="BH194" i="30"/>
  <c r="BI194" i="30"/>
  <c r="BJ194" i="30"/>
  <c r="BK194" i="30"/>
  <c r="BL194" i="30"/>
  <c r="BM194" i="30"/>
  <c r="BN194" i="30"/>
  <c r="BO194" i="30"/>
  <c r="BP194" i="30"/>
  <c r="BQ194" i="30"/>
  <c r="BR194" i="30"/>
  <c r="BS194" i="30"/>
  <c r="BT194" i="30"/>
  <c r="BU194" i="30"/>
  <c r="BV194" i="30"/>
  <c r="BW194" i="30"/>
  <c r="BX194" i="30"/>
  <c r="BY194" i="30"/>
  <c r="BZ194" i="30"/>
  <c r="CA194" i="30"/>
  <c r="CB194" i="30"/>
  <c r="CC194" i="30"/>
  <c r="CD194" i="30"/>
  <c r="CE194" i="30"/>
  <c r="CF194" i="30"/>
  <c r="CG194" i="30"/>
  <c r="CH194" i="30"/>
  <c r="CI194" i="30"/>
  <c r="CJ194" i="30"/>
  <c r="CK194" i="30"/>
  <c r="CL194" i="30"/>
  <c r="CM194" i="30"/>
  <c r="CN194" i="30"/>
  <c r="CO194" i="30"/>
  <c r="CP194" i="30"/>
  <c r="CQ194" i="30"/>
  <c r="CR194" i="30"/>
  <c r="CS194" i="30"/>
  <c r="CT194" i="30"/>
  <c r="CU194" i="30"/>
  <c r="CV194" i="30"/>
  <c r="CW194" i="30"/>
  <c r="CX194" i="30"/>
  <c r="CY194" i="30"/>
  <c r="CZ194" i="30"/>
  <c r="DA194" i="30"/>
  <c r="DB194" i="30"/>
  <c r="DC194" i="30"/>
  <c r="DD194" i="30"/>
  <c r="DE194" i="30"/>
  <c r="DF194" i="30"/>
  <c r="DG194" i="30"/>
  <c r="DH194" i="30"/>
  <c r="DI194" i="30"/>
  <c r="DJ194" i="30"/>
  <c r="DK194" i="30"/>
  <c r="DL194" i="30"/>
  <c r="DM194" i="30"/>
  <c r="DN194" i="30"/>
  <c r="DO194" i="30"/>
  <c r="DP194" i="30"/>
  <c r="DQ194" i="30"/>
  <c r="DR194" i="30"/>
  <c r="DS194" i="30"/>
  <c r="DT194" i="30"/>
  <c r="DU194" i="30"/>
  <c r="Q195" i="30"/>
  <c r="R195" i="30"/>
  <c r="S195" i="30"/>
  <c r="T195" i="30"/>
  <c r="U195" i="30"/>
  <c r="V195" i="30"/>
  <c r="W195" i="30"/>
  <c r="X195" i="30"/>
  <c r="Y195" i="30"/>
  <c r="Z195" i="30"/>
  <c r="AA195" i="30"/>
  <c r="AB195" i="30"/>
  <c r="AC195" i="30"/>
  <c r="AD195" i="30"/>
  <c r="AE195" i="30"/>
  <c r="AF195" i="30"/>
  <c r="AG195" i="30"/>
  <c r="AH195" i="30"/>
  <c r="AI195" i="30"/>
  <c r="AJ195" i="30"/>
  <c r="AK195" i="30"/>
  <c r="AL195" i="30"/>
  <c r="AM195" i="30"/>
  <c r="AN195" i="30"/>
  <c r="AO195" i="30"/>
  <c r="AP195" i="30"/>
  <c r="AQ195" i="30"/>
  <c r="AR195" i="30"/>
  <c r="AS195" i="30"/>
  <c r="AT195" i="30"/>
  <c r="AU195" i="30"/>
  <c r="AV195" i="30"/>
  <c r="AW195" i="30"/>
  <c r="AX195" i="30"/>
  <c r="AY195" i="30"/>
  <c r="AZ195" i="30"/>
  <c r="BA195" i="30"/>
  <c r="BB195" i="30"/>
  <c r="BC195" i="30"/>
  <c r="BD195" i="30"/>
  <c r="BE195" i="30"/>
  <c r="BF195" i="30"/>
  <c r="BG195" i="30"/>
  <c r="BH195" i="30"/>
  <c r="BI195" i="30"/>
  <c r="BJ195" i="30"/>
  <c r="BK195" i="30"/>
  <c r="BL195" i="30"/>
  <c r="BM195" i="30"/>
  <c r="BN195" i="30"/>
  <c r="BO195" i="30"/>
  <c r="BP195" i="30"/>
  <c r="BQ195" i="30"/>
  <c r="BR195" i="30"/>
  <c r="BS195" i="30"/>
  <c r="BT195" i="30"/>
  <c r="BU195" i="30"/>
  <c r="BV195" i="30"/>
  <c r="BW195" i="30"/>
  <c r="BX195" i="30"/>
  <c r="BY195" i="30"/>
  <c r="BZ195" i="30"/>
  <c r="CA195" i="30"/>
  <c r="CB195" i="30"/>
  <c r="CC195" i="30"/>
  <c r="CD195" i="30"/>
  <c r="CE195" i="30"/>
  <c r="CF195" i="30"/>
  <c r="CG195" i="30"/>
  <c r="CH195" i="30"/>
  <c r="CI195" i="30"/>
  <c r="CJ195" i="30"/>
  <c r="CK195" i="30"/>
  <c r="CL195" i="30"/>
  <c r="CM195" i="30"/>
  <c r="CN195" i="30"/>
  <c r="CO195" i="30"/>
  <c r="CP195" i="30"/>
  <c r="CQ195" i="30"/>
  <c r="CR195" i="30"/>
  <c r="CS195" i="30"/>
  <c r="CT195" i="30"/>
  <c r="CU195" i="30"/>
  <c r="CV195" i="30"/>
  <c r="CW195" i="30"/>
  <c r="CX195" i="30"/>
  <c r="CY195" i="30"/>
  <c r="CZ195" i="30"/>
  <c r="DA195" i="30"/>
  <c r="DB195" i="30"/>
  <c r="DC195" i="30"/>
  <c r="DD195" i="30"/>
  <c r="DE195" i="30"/>
  <c r="DF195" i="30"/>
  <c r="DG195" i="30"/>
  <c r="DH195" i="30"/>
  <c r="DI195" i="30"/>
  <c r="DJ195" i="30"/>
  <c r="DK195" i="30"/>
  <c r="DL195" i="30"/>
  <c r="DM195" i="30"/>
  <c r="DN195" i="30"/>
  <c r="DO195" i="30"/>
  <c r="DP195" i="30"/>
  <c r="DQ195" i="30"/>
  <c r="DR195" i="30"/>
  <c r="DS195" i="30"/>
  <c r="DT195" i="30"/>
  <c r="DU195" i="30"/>
  <c r="Q196" i="30"/>
  <c r="R196" i="30"/>
  <c r="S196" i="30"/>
  <c r="T196" i="30"/>
  <c r="U196" i="30"/>
  <c r="V196" i="30"/>
  <c r="W196" i="30"/>
  <c r="X196" i="30"/>
  <c r="Y196" i="30"/>
  <c r="Z196" i="30"/>
  <c r="AA196" i="30"/>
  <c r="AB196" i="30"/>
  <c r="AC196" i="30"/>
  <c r="AD196" i="30"/>
  <c r="AE196" i="30"/>
  <c r="AF196" i="30"/>
  <c r="AG196" i="30"/>
  <c r="AH196" i="30"/>
  <c r="AI196" i="30"/>
  <c r="AJ196" i="30"/>
  <c r="AK196" i="30"/>
  <c r="AL196" i="30"/>
  <c r="AM196" i="30"/>
  <c r="AN196" i="30"/>
  <c r="AO196" i="30"/>
  <c r="AP196" i="30"/>
  <c r="AQ196" i="30"/>
  <c r="AR196" i="30"/>
  <c r="AS196" i="30"/>
  <c r="AT196" i="30"/>
  <c r="AU196" i="30"/>
  <c r="AV196" i="30"/>
  <c r="AW196" i="30"/>
  <c r="AX196" i="30"/>
  <c r="AY196" i="30"/>
  <c r="AZ196" i="30"/>
  <c r="BA196" i="30"/>
  <c r="BB196" i="30"/>
  <c r="BC196" i="30"/>
  <c r="BD196" i="30"/>
  <c r="BE196" i="30"/>
  <c r="BF196" i="30"/>
  <c r="BG196" i="30"/>
  <c r="BH196" i="30"/>
  <c r="BI196" i="30"/>
  <c r="BJ196" i="30"/>
  <c r="BK196" i="30"/>
  <c r="BL196" i="30"/>
  <c r="BM196" i="30"/>
  <c r="BN196" i="30"/>
  <c r="BO196" i="30"/>
  <c r="BP196" i="30"/>
  <c r="BQ196" i="30"/>
  <c r="BR196" i="30"/>
  <c r="BS196" i="30"/>
  <c r="BT196" i="30"/>
  <c r="BU196" i="30"/>
  <c r="BV196" i="30"/>
  <c r="BW196" i="30"/>
  <c r="BX196" i="30"/>
  <c r="BY196" i="30"/>
  <c r="BZ196" i="30"/>
  <c r="CA196" i="30"/>
  <c r="CB196" i="30"/>
  <c r="CC196" i="30"/>
  <c r="CD196" i="30"/>
  <c r="CE196" i="30"/>
  <c r="CF196" i="30"/>
  <c r="CG196" i="30"/>
  <c r="CH196" i="30"/>
  <c r="CI196" i="30"/>
  <c r="CJ196" i="30"/>
  <c r="CK196" i="30"/>
  <c r="CL196" i="30"/>
  <c r="CM196" i="30"/>
  <c r="CN196" i="30"/>
  <c r="CO196" i="30"/>
  <c r="CP196" i="30"/>
  <c r="CQ196" i="30"/>
  <c r="CR196" i="30"/>
  <c r="CS196" i="30"/>
  <c r="CT196" i="30"/>
  <c r="CU196" i="30"/>
  <c r="CV196" i="30"/>
  <c r="CW196" i="30"/>
  <c r="CX196" i="30"/>
  <c r="CY196" i="30"/>
  <c r="CZ196" i="30"/>
  <c r="DA196" i="30"/>
  <c r="DB196" i="30"/>
  <c r="DC196" i="30"/>
  <c r="DD196" i="30"/>
  <c r="DE196" i="30"/>
  <c r="DF196" i="30"/>
  <c r="DG196" i="30"/>
  <c r="DH196" i="30"/>
  <c r="DI196" i="30"/>
  <c r="DJ196" i="30"/>
  <c r="DK196" i="30"/>
  <c r="DL196" i="30"/>
  <c r="DM196" i="30"/>
  <c r="DN196" i="30"/>
  <c r="DO196" i="30"/>
  <c r="DP196" i="30"/>
  <c r="DQ196" i="30"/>
  <c r="DR196" i="30"/>
  <c r="DS196" i="30"/>
  <c r="DT196" i="30"/>
  <c r="DU196" i="30"/>
  <c r="Q197" i="30"/>
  <c r="R197" i="30"/>
  <c r="S197" i="30"/>
  <c r="T197" i="30"/>
  <c r="U197" i="30"/>
  <c r="V197" i="30"/>
  <c r="W197" i="30"/>
  <c r="X197" i="30"/>
  <c r="Y197" i="30"/>
  <c r="Z197" i="30"/>
  <c r="AA197" i="30"/>
  <c r="AB197" i="30"/>
  <c r="AC197" i="30"/>
  <c r="AD197" i="30"/>
  <c r="AE197" i="30"/>
  <c r="AF197" i="30"/>
  <c r="AG197" i="30"/>
  <c r="AH197" i="30"/>
  <c r="AI197" i="30"/>
  <c r="AJ197" i="30"/>
  <c r="AK197" i="30"/>
  <c r="AL197" i="30"/>
  <c r="AM197" i="30"/>
  <c r="AN197" i="30"/>
  <c r="AO197" i="30"/>
  <c r="AP197" i="30"/>
  <c r="AQ197" i="30"/>
  <c r="AR197" i="30"/>
  <c r="AS197" i="30"/>
  <c r="AT197" i="30"/>
  <c r="AU197" i="30"/>
  <c r="AV197" i="30"/>
  <c r="AW197" i="30"/>
  <c r="AX197" i="30"/>
  <c r="AY197" i="30"/>
  <c r="AZ197" i="30"/>
  <c r="BA197" i="30"/>
  <c r="BB197" i="30"/>
  <c r="BC197" i="30"/>
  <c r="BD197" i="30"/>
  <c r="BE197" i="30"/>
  <c r="BF197" i="30"/>
  <c r="BG197" i="30"/>
  <c r="BH197" i="30"/>
  <c r="BI197" i="30"/>
  <c r="BJ197" i="30"/>
  <c r="BK197" i="30"/>
  <c r="BL197" i="30"/>
  <c r="BM197" i="30"/>
  <c r="BN197" i="30"/>
  <c r="BO197" i="30"/>
  <c r="BP197" i="30"/>
  <c r="BQ197" i="30"/>
  <c r="BR197" i="30"/>
  <c r="BS197" i="30"/>
  <c r="BT197" i="30"/>
  <c r="BU197" i="30"/>
  <c r="BV197" i="30"/>
  <c r="BW197" i="30"/>
  <c r="BX197" i="30"/>
  <c r="BY197" i="30"/>
  <c r="BZ197" i="30"/>
  <c r="CA197" i="30"/>
  <c r="CB197" i="30"/>
  <c r="CC197" i="30"/>
  <c r="CD197" i="30"/>
  <c r="CE197" i="30"/>
  <c r="CF197" i="30"/>
  <c r="CG197" i="30"/>
  <c r="CH197" i="30"/>
  <c r="CI197" i="30"/>
  <c r="CJ197" i="30"/>
  <c r="CK197" i="30"/>
  <c r="CL197" i="30"/>
  <c r="CM197" i="30"/>
  <c r="CN197" i="30"/>
  <c r="CO197" i="30"/>
  <c r="CP197" i="30"/>
  <c r="CQ197" i="30"/>
  <c r="CR197" i="30"/>
  <c r="CS197" i="30"/>
  <c r="CT197" i="30"/>
  <c r="CU197" i="30"/>
  <c r="CV197" i="30"/>
  <c r="CW197" i="30"/>
  <c r="CX197" i="30"/>
  <c r="CY197" i="30"/>
  <c r="CZ197" i="30"/>
  <c r="DA197" i="30"/>
  <c r="DB197" i="30"/>
  <c r="DC197" i="30"/>
  <c r="DD197" i="30"/>
  <c r="DE197" i="30"/>
  <c r="DF197" i="30"/>
  <c r="DG197" i="30"/>
  <c r="DH197" i="30"/>
  <c r="DI197" i="30"/>
  <c r="DJ197" i="30"/>
  <c r="DK197" i="30"/>
  <c r="DL197" i="30"/>
  <c r="DM197" i="30"/>
  <c r="DN197" i="30"/>
  <c r="DO197" i="30"/>
  <c r="DP197" i="30"/>
  <c r="DQ197" i="30"/>
  <c r="DR197" i="30"/>
  <c r="DS197" i="30"/>
  <c r="DT197" i="30"/>
  <c r="DU197" i="30"/>
  <c r="Q198" i="30"/>
  <c r="R198" i="30"/>
  <c r="S198" i="30"/>
  <c r="T198" i="30"/>
  <c r="U198" i="30"/>
  <c r="V198" i="30"/>
  <c r="W198" i="30"/>
  <c r="X198" i="30"/>
  <c r="Y198" i="30"/>
  <c r="Z198" i="30"/>
  <c r="AA198" i="30"/>
  <c r="AB198" i="30"/>
  <c r="AC198" i="30"/>
  <c r="AD198" i="30"/>
  <c r="AE198" i="30"/>
  <c r="AF198" i="30"/>
  <c r="AG198" i="30"/>
  <c r="AH198" i="30"/>
  <c r="AI198" i="30"/>
  <c r="AJ198" i="30"/>
  <c r="AK198" i="30"/>
  <c r="AL198" i="30"/>
  <c r="AM198" i="30"/>
  <c r="AN198" i="30"/>
  <c r="AO198" i="30"/>
  <c r="AP198" i="30"/>
  <c r="AQ198" i="30"/>
  <c r="AR198" i="30"/>
  <c r="AS198" i="30"/>
  <c r="AT198" i="30"/>
  <c r="AU198" i="30"/>
  <c r="AV198" i="30"/>
  <c r="AW198" i="30"/>
  <c r="AX198" i="30"/>
  <c r="AY198" i="30"/>
  <c r="AZ198" i="30"/>
  <c r="BA198" i="30"/>
  <c r="BB198" i="30"/>
  <c r="BC198" i="30"/>
  <c r="BD198" i="30"/>
  <c r="BE198" i="30"/>
  <c r="BF198" i="30"/>
  <c r="BG198" i="30"/>
  <c r="BH198" i="30"/>
  <c r="BI198" i="30"/>
  <c r="BJ198" i="30"/>
  <c r="BK198" i="30"/>
  <c r="BL198" i="30"/>
  <c r="BM198" i="30"/>
  <c r="BN198" i="30"/>
  <c r="BO198" i="30"/>
  <c r="BP198" i="30"/>
  <c r="BQ198" i="30"/>
  <c r="BR198" i="30"/>
  <c r="BS198" i="30"/>
  <c r="BT198" i="30"/>
  <c r="BU198" i="30"/>
  <c r="BV198" i="30"/>
  <c r="BW198" i="30"/>
  <c r="BX198" i="30"/>
  <c r="BY198" i="30"/>
  <c r="BZ198" i="30"/>
  <c r="CA198" i="30"/>
  <c r="CB198" i="30"/>
  <c r="CC198" i="30"/>
  <c r="CD198" i="30"/>
  <c r="CE198" i="30"/>
  <c r="CF198" i="30"/>
  <c r="CG198" i="30"/>
  <c r="CH198" i="30"/>
  <c r="CI198" i="30"/>
  <c r="CJ198" i="30"/>
  <c r="CK198" i="30"/>
  <c r="CL198" i="30"/>
  <c r="CM198" i="30"/>
  <c r="CN198" i="30"/>
  <c r="CO198" i="30"/>
  <c r="CP198" i="30"/>
  <c r="CQ198" i="30"/>
  <c r="CR198" i="30"/>
  <c r="CS198" i="30"/>
  <c r="CT198" i="30"/>
  <c r="CU198" i="30"/>
  <c r="CV198" i="30"/>
  <c r="CW198" i="30"/>
  <c r="CX198" i="30"/>
  <c r="CY198" i="30"/>
  <c r="CZ198" i="30"/>
  <c r="DA198" i="30"/>
  <c r="DB198" i="30"/>
  <c r="DC198" i="30"/>
  <c r="DD198" i="30"/>
  <c r="DE198" i="30"/>
  <c r="DF198" i="30"/>
  <c r="DG198" i="30"/>
  <c r="DH198" i="30"/>
  <c r="DI198" i="30"/>
  <c r="DJ198" i="30"/>
  <c r="DK198" i="30"/>
  <c r="DL198" i="30"/>
  <c r="DM198" i="30"/>
  <c r="DN198" i="30"/>
  <c r="DO198" i="30"/>
  <c r="DP198" i="30"/>
  <c r="DQ198" i="30"/>
  <c r="DR198" i="30"/>
  <c r="DS198" i="30"/>
  <c r="DT198" i="30"/>
  <c r="DU198" i="30"/>
  <c r="Q199" i="30"/>
  <c r="R199" i="30"/>
  <c r="S199" i="30"/>
  <c r="T199" i="30"/>
  <c r="U199" i="30"/>
  <c r="V199" i="30"/>
  <c r="W199" i="30"/>
  <c r="X199" i="30"/>
  <c r="Y199" i="30"/>
  <c r="Z199" i="30"/>
  <c r="AA199" i="30"/>
  <c r="AB199" i="30"/>
  <c r="AC199" i="30"/>
  <c r="AD199" i="30"/>
  <c r="AE199" i="30"/>
  <c r="AF199" i="30"/>
  <c r="AG199" i="30"/>
  <c r="AH199" i="30"/>
  <c r="AI199" i="30"/>
  <c r="AJ199" i="30"/>
  <c r="AK199" i="30"/>
  <c r="AL199" i="30"/>
  <c r="AM199" i="30"/>
  <c r="AN199" i="30"/>
  <c r="AO199" i="30"/>
  <c r="AP199" i="30"/>
  <c r="AQ199" i="30"/>
  <c r="AR199" i="30"/>
  <c r="AS199" i="30"/>
  <c r="AT199" i="30"/>
  <c r="AU199" i="30"/>
  <c r="AV199" i="30"/>
  <c r="AW199" i="30"/>
  <c r="AX199" i="30"/>
  <c r="AY199" i="30"/>
  <c r="AZ199" i="30"/>
  <c r="BA199" i="30"/>
  <c r="BB199" i="30"/>
  <c r="BC199" i="30"/>
  <c r="BD199" i="30"/>
  <c r="BE199" i="30"/>
  <c r="BF199" i="30"/>
  <c r="BG199" i="30"/>
  <c r="BH199" i="30"/>
  <c r="BI199" i="30"/>
  <c r="BJ199" i="30"/>
  <c r="BK199" i="30"/>
  <c r="BL199" i="30"/>
  <c r="BM199" i="30"/>
  <c r="BN199" i="30"/>
  <c r="BO199" i="30"/>
  <c r="BP199" i="30"/>
  <c r="BQ199" i="30"/>
  <c r="BR199" i="30"/>
  <c r="BS199" i="30"/>
  <c r="BT199" i="30"/>
  <c r="BU199" i="30"/>
  <c r="BV199" i="30"/>
  <c r="BW199" i="30"/>
  <c r="BX199" i="30"/>
  <c r="BY199" i="30"/>
  <c r="BZ199" i="30"/>
  <c r="CA199" i="30"/>
  <c r="CB199" i="30"/>
  <c r="CC199" i="30"/>
  <c r="CD199" i="30"/>
  <c r="CE199" i="30"/>
  <c r="CF199" i="30"/>
  <c r="CG199" i="30"/>
  <c r="CH199" i="30"/>
  <c r="CI199" i="30"/>
  <c r="CJ199" i="30"/>
  <c r="CK199" i="30"/>
  <c r="CL199" i="30"/>
  <c r="CM199" i="30"/>
  <c r="CN199" i="30"/>
  <c r="CO199" i="30"/>
  <c r="CP199" i="30"/>
  <c r="CQ199" i="30"/>
  <c r="CR199" i="30"/>
  <c r="CS199" i="30"/>
  <c r="CT199" i="30"/>
  <c r="CU199" i="30"/>
  <c r="CV199" i="30"/>
  <c r="CW199" i="30"/>
  <c r="CX199" i="30"/>
  <c r="CY199" i="30"/>
  <c r="CZ199" i="30"/>
  <c r="DA199" i="30"/>
  <c r="DB199" i="30"/>
  <c r="DC199" i="30"/>
  <c r="DD199" i="30"/>
  <c r="DE199" i="30"/>
  <c r="DF199" i="30"/>
  <c r="DG199" i="30"/>
  <c r="DH199" i="30"/>
  <c r="DI199" i="30"/>
  <c r="DJ199" i="30"/>
  <c r="DK199" i="30"/>
  <c r="DL199" i="30"/>
  <c r="DM199" i="30"/>
  <c r="DN199" i="30"/>
  <c r="DO199" i="30"/>
  <c r="DP199" i="30"/>
  <c r="DQ199" i="30"/>
  <c r="DR199" i="30"/>
  <c r="DS199" i="30"/>
  <c r="DT199" i="30"/>
  <c r="DU199" i="30"/>
  <c r="C204" i="30"/>
  <c r="E204" i="30"/>
  <c r="F204" i="30"/>
  <c r="G204" i="30"/>
  <c r="H204" i="30"/>
  <c r="I204" i="30"/>
  <c r="J204" i="30"/>
  <c r="K204" i="30"/>
  <c r="L204" i="30"/>
  <c r="M204" i="30"/>
  <c r="N204" i="30"/>
  <c r="O204" i="30"/>
  <c r="P204" i="30"/>
  <c r="Q204" i="30"/>
  <c r="R204" i="30"/>
  <c r="S204" i="30"/>
  <c r="T204" i="30"/>
  <c r="U204" i="30"/>
  <c r="V204" i="30"/>
  <c r="W204" i="30"/>
  <c r="X204" i="30"/>
  <c r="Y204" i="30"/>
  <c r="Z204" i="30"/>
  <c r="AA204" i="30"/>
  <c r="AB204" i="30"/>
  <c r="AC204" i="30"/>
  <c r="AD204" i="30"/>
  <c r="AE204" i="30"/>
  <c r="AF204" i="30"/>
  <c r="AG204" i="30"/>
  <c r="E207" i="30"/>
  <c r="F207" i="30"/>
  <c r="G207" i="30"/>
  <c r="H207" i="30"/>
  <c r="I207" i="30"/>
  <c r="J207" i="30"/>
  <c r="K207" i="30"/>
  <c r="L207" i="30"/>
  <c r="M207" i="30"/>
  <c r="N207" i="30"/>
  <c r="O207" i="30"/>
  <c r="P207" i="30"/>
  <c r="Q207" i="30"/>
  <c r="R207" i="30"/>
  <c r="S207" i="30"/>
  <c r="T207" i="30"/>
  <c r="U207" i="30"/>
  <c r="V207" i="30"/>
  <c r="W207" i="30"/>
  <c r="X207" i="30"/>
  <c r="Y207" i="30"/>
  <c r="Z207" i="30"/>
  <c r="AA207" i="30"/>
  <c r="AB207" i="30"/>
  <c r="AC207" i="30"/>
  <c r="AD207" i="30"/>
  <c r="AE207" i="30"/>
  <c r="AF207" i="30"/>
  <c r="AG207" i="30"/>
  <c r="E208" i="30"/>
  <c r="F208" i="30"/>
  <c r="G208" i="30"/>
  <c r="H208" i="30"/>
  <c r="I208" i="30"/>
  <c r="J208" i="30"/>
  <c r="K208" i="30"/>
  <c r="L208" i="30"/>
  <c r="M208" i="30"/>
  <c r="N208" i="30"/>
  <c r="O208" i="30"/>
  <c r="P208" i="30"/>
  <c r="Q208" i="30"/>
  <c r="R208" i="30"/>
  <c r="S208" i="30"/>
  <c r="T208" i="30"/>
  <c r="U208" i="30"/>
  <c r="V208" i="30"/>
  <c r="W208" i="30"/>
  <c r="X208" i="30"/>
  <c r="Y208" i="30"/>
  <c r="Z208" i="30"/>
  <c r="AA208" i="30"/>
  <c r="AB208" i="30"/>
  <c r="AC208" i="30"/>
  <c r="AD208" i="30"/>
  <c r="AE208" i="30"/>
  <c r="AF208" i="30"/>
  <c r="AG208" i="30"/>
  <c r="E209" i="30"/>
  <c r="F209" i="30"/>
  <c r="G209" i="30"/>
  <c r="H209" i="30"/>
  <c r="I209" i="30"/>
  <c r="J209" i="30"/>
  <c r="K209" i="30"/>
  <c r="L209" i="30"/>
  <c r="M209" i="30"/>
  <c r="N209" i="30"/>
  <c r="O209" i="30"/>
  <c r="P209" i="30"/>
  <c r="Q209" i="30"/>
  <c r="R209" i="30"/>
  <c r="S209" i="30"/>
  <c r="T209" i="30"/>
  <c r="U209" i="30"/>
  <c r="V209" i="30"/>
  <c r="W209" i="30"/>
  <c r="X209" i="30"/>
  <c r="Y209" i="30"/>
  <c r="Z209" i="30"/>
  <c r="AA209" i="30"/>
  <c r="AB209" i="30"/>
  <c r="AC209" i="30"/>
  <c r="AD209" i="30"/>
  <c r="AE209" i="30"/>
  <c r="AF209" i="30"/>
  <c r="AG209" i="30"/>
  <c r="AG212" i="30"/>
  <c r="D213" i="30"/>
  <c r="E213" i="30"/>
  <c r="F213" i="30"/>
  <c r="G213" i="30"/>
  <c r="H213" i="30"/>
  <c r="I213" i="30"/>
  <c r="J213" i="30"/>
  <c r="K213" i="30"/>
  <c r="L213" i="30"/>
  <c r="M213" i="30"/>
  <c r="N213" i="30"/>
  <c r="O213" i="30"/>
  <c r="P213" i="30"/>
  <c r="Q213" i="30"/>
  <c r="R213" i="30"/>
  <c r="S213" i="30"/>
  <c r="T213" i="30"/>
  <c r="U213" i="30"/>
  <c r="V213" i="30"/>
  <c r="W213" i="30"/>
  <c r="X213" i="30"/>
  <c r="Y213" i="30"/>
  <c r="Z213" i="30"/>
  <c r="AA213" i="30"/>
  <c r="AB213" i="30"/>
  <c r="AC213" i="30"/>
  <c r="AD213" i="30"/>
  <c r="AE213" i="30"/>
  <c r="AF213" i="30"/>
  <c r="AG213" i="30"/>
  <c r="E215" i="30"/>
  <c r="F215" i="30"/>
  <c r="G215" i="30"/>
  <c r="H215" i="30"/>
  <c r="I215" i="30"/>
  <c r="J215" i="30"/>
  <c r="K215" i="30"/>
  <c r="L215" i="30"/>
  <c r="M215" i="30"/>
  <c r="N215" i="30"/>
  <c r="O215" i="30"/>
  <c r="P215" i="30"/>
  <c r="Q215" i="30"/>
  <c r="R215" i="30"/>
  <c r="S215" i="30"/>
  <c r="T215" i="30"/>
  <c r="U215" i="30"/>
  <c r="V215" i="30"/>
  <c r="W215" i="30"/>
  <c r="X215" i="30"/>
  <c r="Y215" i="30"/>
  <c r="Z215" i="30"/>
  <c r="AA215" i="30"/>
  <c r="AB215" i="30"/>
  <c r="AC215" i="30"/>
  <c r="AD215" i="30"/>
  <c r="AE215" i="30"/>
  <c r="AF215" i="30"/>
  <c r="AG215" i="30"/>
  <c r="E216" i="30"/>
  <c r="F216" i="30"/>
  <c r="G216" i="30"/>
  <c r="H216" i="30"/>
  <c r="I216" i="30"/>
  <c r="J216" i="30"/>
  <c r="K216" i="30"/>
  <c r="L216" i="30"/>
  <c r="M216" i="30"/>
  <c r="N216" i="30"/>
  <c r="O216" i="30"/>
  <c r="P216" i="30"/>
  <c r="Q216" i="30"/>
  <c r="R216" i="30"/>
  <c r="S216" i="30"/>
  <c r="T216" i="30"/>
  <c r="U216" i="30"/>
  <c r="V216" i="30"/>
  <c r="W216" i="30"/>
  <c r="X216" i="30"/>
  <c r="Y216" i="30"/>
  <c r="Z216" i="30"/>
  <c r="AA216" i="30"/>
  <c r="AB216" i="30"/>
  <c r="AC216" i="30"/>
  <c r="AD216" i="30"/>
  <c r="AE216" i="30"/>
  <c r="AF216" i="30"/>
  <c r="AG216" i="30"/>
  <c r="E217" i="30"/>
  <c r="F217" i="30"/>
  <c r="G217" i="30"/>
  <c r="H217" i="30"/>
  <c r="I217" i="30"/>
  <c r="J217" i="30"/>
  <c r="K217" i="30"/>
  <c r="L217" i="30"/>
  <c r="M217" i="30"/>
  <c r="N217" i="30"/>
  <c r="O217" i="30"/>
  <c r="P217" i="30"/>
  <c r="Q217" i="30"/>
  <c r="R217" i="30"/>
  <c r="S217" i="30"/>
  <c r="T217" i="30"/>
  <c r="U217" i="30"/>
  <c r="V217" i="30"/>
  <c r="W217" i="30"/>
  <c r="X217" i="30"/>
  <c r="Y217" i="30"/>
  <c r="Z217" i="30"/>
  <c r="AA217" i="30"/>
  <c r="AB217" i="30"/>
  <c r="AC217" i="30"/>
  <c r="AD217" i="30"/>
  <c r="AE217" i="30"/>
  <c r="AF217" i="30"/>
  <c r="AG217" i="30"/>
  <c r="AG220" i="30"/>
  <c r="D221" i="30"/>
  <c r="E221" i="30"/>
  <c r="F221" i="30"/>
  <c r="G221" i="30"/>
  <c r="H221" i="30"/>
  <c r="I221" i="30"/>
  <c r="J221" i="30"/>
  <c r="K221" i="30"/>
  <c r="L221" i="30"/>
  <c r="M221" i="30"/>
  <c r="N221" i="30"/>
  <c r="O221" i="30"/>
  <c r="P221" i="30"/>
  <c r="Q221" i="30"/>
  <c r="R221" i="30"/>
  <c r="S221" i="30"/>
  <c r="T221" i="30"/>
  <c r="U221" i="30"/>
  <c r="V221" i="30"/>
  <c r="W221" i="30"/>
  <c r="X221" i="30"/>
  <c r="Y221" i="30"/>
  <c r="Z221" i="30"/>
  <c r="AA221" i="30"/>
  <c r="AB221" i="30"/>
  <c r="AC221" i="30"/>
  <c r="AD221" i="30"/>
  <c r="AE221" i="30"/>
  <c r="AF221" i="30"/>
  <c r="AG221" i="30"/>
  <c r="E224" i="30"/>
  <c r="F224" i="30"/>
  <c r="G224" i="30"/>
  <c r="H224" i="30"/>
  <c r="I224" i="30"/>
  <c r="J224" i="30"/>
  <c r="K224" i="30"/>
  <c r="L224" i="30"/>
  <c r="M224" i="30"/>
  <c r="N224" i="30"/>
  <c r="O224" i="30"/>
  <c r="P224" i="30"/>
  <c r="Q224" i="30"/>
  <c r="R224" i="30"/>
  <c r="S224" i="30"/>
  <c r="T224" i="30"/>
  <c r="U224" i="30"/>
  <c r="V224" i="30"/>
  <c r="W224" i="30"/>
  <c r="X224" i="30"/>
  <c r="Y224" i="30"/>
  <c r="Z224" i="30"/>
  <c r="AA224" i="30"/>
  <c r="AB224" i="30"/>
  <c r="AC224" i="30"/>
  <c r="AD224" i="30"/>
  <c r="AE224" i="30"/>
  <c r="AF224" i="30"/>
  <c r="AG224" i="30"/>
  <c r="E225" i="30"/>
  <c r="F225" i="30"/>
  <c r="G225" i="30"/>
  <c r="H225" i="30"/>
  <c r="I225" i="30"/>
  <c r="J225" i="30"/>
  <c r="K225" i="30"/>
  <c r="L225" i="30"/>
  <c r="M225" i="30"/>
  <c r="N225" i="30"/>
  <c r="O225" i="30"/>
  <c r="P225" i="30"/>
  <c r="Q225" i="30"/>
  <c r="R225" i="30"/>
  <c r="S225" i="30"/>
  <c r="T225" i="30"/>
  <c r="U225" i="30"/>
  <c r="V225" i="30"/>
  <c r="W225" i="30"/>
  <c r="X225" i="30"/>
  <c r="Y225" i="30"/>
  <c r="Z225" i="30"/>
  <c r="AA225" i="30"/>
  <c r="AB225" i="30"/>
  <c r="AC225" i="30"/>
  <c r="AD225" i="30"/>
  <c r="AE225" i="30"/>
  <c r="AF225" i="30"/>
  <c r="AG225" i="30"/>
  <c r="AG228" i="30"/>
  <c r="D229" i="30"/>
  <c r="E229" i="30"/>
  <c r="F229" i="30"/>
  <c r="G229" i="30"/>
  <c r="H229" i="30"/>
  <c r="I229" i="30"/>
  <c r="J229" i="30"/>
  <c r="K229" i="30"/>
  <c r="L229" i="30"/>
  <c r="M229" i="30"/>
  <c r="N229" i="30"/>
  <c r="O229" i="30"/>
  <c r="P229" i="30"/>
  <c r="Q229" i="30"/>
  <c r="R229" i="30"/>
  <c r="S229" i="30"/>
  <c r="T229" i="30"/>
  <c r="U229" i="30"/>
  <c r="V229" i="30"/>
  <c r="W229" i="30"/>
  <c r="X229" i="30"/>
  <c r="Y229" i="30"/>
  <c r="Z229" i="30"/>
  <c r="AA229" i="30"/>
  <c r="AB229" i="30"/>
  <c r="AC229" i="30"/>
  <c r="AD229" i="30"/>
  <c r="AE229" i="30"/>
  <c r="AF229" i="30"/>
  <c r="AG229" i="30"/>
  <c r="E232" i="30"/>
  <c r="F232" i="30"/>
  <c r="G232" i="30"/>
  <c r="H232" i="30"/>
  <c r="I232" i="30"/>
  <c r="J232" i="30"/>
  <c r="K232" i="30"/>
  <c r="L232" i="30"/>
  <c r="M232" i="30"/>
  <c r="N232" i="30"/>
  <c r="O232" i="30"/>
  <c r="P232" i="30"/>
  <c r="Q232" i="30"/>
  <c r="R232" i="30"/>
  <c r="S232" i="30"/>
  <c r="T232" i="30"/>
  <c r="U232" i="30"/>
  <c r="V232" i="30"/>
  <c r="W232" i="30"/>
  <c r="X232" i="30"/>
  <c r="Y232" i="30"/>
  <c r="Z232" i="30"/>
  <c r="AA232" i="30"/>
  <c r="AB232" i="30"/>
  <c r="AC232" i="30"/>
  <c r="AD232" i="30"/>
  <c r="AE232" i="30"/>
  <c r="AF232" i="30"/>
  <c r="AG232" i="30"/>
  <c r="E233" i="30"/>
  <c r="F233" i="30"/>
  <c r="G233" i="30"/>
  <c r="H233" i="30"/>
  <c r="I233" i="30"/>
  <c r="J233" i="30"/>
  <c r="K233" i="30"/>
  <c r="L233" i="30"/>
  <c r="M233" i="30"/>
  <c r="N233" i="30"/>
  <c r="O233" i="30"/>
  <c r="P233" i="30"/>
  <c r="Q233" i="30"/>
  <c r="R233" i="30"/>
  <c r="S233" i="30"/>
  <c r="T233" i="30"/>
  <c r="U233" i="30"/>
  <c r="V233" i="30"/>
  <c r="W233" i="30"/>
  <c r="X233" i="30"/>
  <c r="Y233" i="30"/>
  <c r="Z233" i="30"/>
  <c r="AA233" i="30"/>
  <c r="AB233" i="30"/>
  <c r="AC233" i="30"/>
  <c r="AD233" i="30"/>
  <c r="AE233" i="30"/>
  <c r="AF233" i="30"/>
  <c r="AG233" i="30"/>
  <c r="E234" i="30"/>
  <c r="F234" i="30"/>
  <c r="G234" i="30"/>
  <c r="H234" i="30"/>
  <c r="I234" i="30"/>
  <c r="J234" i="30"/>
  <c r="K234" i="30"/>
  <c r="L234" i="30"/>
  <c r="M234" i="30"/>
  <c r="N234" i="30"/>
  <c r="O234" i="30"/>
  <c r="P234" i="30"/>
  <c r="Q234" i="30"/>
  <c r="R234" i="30"/>
  <c r="S234" i="30"/>
  <c r="T234" i="30"/>
  <c r="U234" i="30"/>
  <c r="V234" i="30"/>
  <c r="W234" i="30"/>
  <c r="X234" i="30"/>
  <c r="Y234" i="30"/>
  <c r="Z234" i="30"/>
  <c r="AA234" i="30"/>
  <c r="AB234" i="30"/>
  <c r="AC234" i="30"/>
  <c r="AD234" i="30"/>
  <c r="AE234" i="30"/>
  <c r="AF234" i="30"/>
  <c r="AG234" i="30"/>
  <c r="AG235" i="30"/>
  <c r="E236" i="30"/>
  <c r="F236" i="30"/>
  <c r="G236" i="30"/>
  <c r="H236" i="30"/>
  <c r="I236" i="30"/>
  <c r="J236" i="30"/>
  <c r="K236" i="30"/>
  <c r="L236" i="30"/>
  <c r="M236" i="30"/>
  <c r="N236" i="30"/>
  <c r="O236" i="30"/>
  <c r="P236" i="30"/>
  <c r="Q236" i="30"/>
  <c r="R236" i="30"/>
  <c r="S236" i="30"/>
  <c r="T236" i="30"/>
  <c r="U236" i="30"/>
  <c r="V236" i="30"/>
  <c r="W236" i="30"/>
  <c r="X236" i="30"/>
  <c r="Y236" i="30"/>
  <c r="Z236" i="30"/>
  <c r="AA236" i="30"/>
  <c r="AB236" i="30"/>
  <c r="AC236" i="30"/>
  <c r="AD236" i="30"/>
  <c r="AE236" i="30"/>
  <c r="AF236" i="30"/>
  <c r="AG236" i="30"/>
  <c r="C237" i="30"/>
  <c r="E238" i="30"/>
  <c r="F238" i="30"/>
  <c r="G238" i="30"/>
  <c r="H238" i="30"/>
  <c r="I238" i="30"/>
  <c r="J238" i="30"/>
  <c r="K238" i="30"/>
  <c r="L238" i="30"/>
  <c r="M238" i="30"/>
  <c r="N238" i="30"/>
  <c r="O238" i="30"/>
  <c r="P238" i="30"/>
  <c r="Q238" i="30"/>
  <c r="R238" i="30"/>
  <c r="S238" i="30"/>
  <c r="T238" i="30"/>
  <c r="U238" i="30"/>
  <c r="V238" i="30"/>
  <c r="W238" i="30"/>
  <c r="X238" i="30"/>
  <c r="Y238" i="30"/>
  <c r="Z238" i="30"/>
  <c r="AA238" i="30"/>
  <c r="AB238" i="30"/>
  <c r="AC238" i="30"/>
  <c r="AD238" i="30"/>
  <c r="AE238" i="30"/>
  <c r="AF238" i="30"/>
  <c r="AG238" i="30"/>
  <c r="AH238" i="30"/>
  <c r="AI238" i="30"/>
  <c r="AJ238" i="30"/>
  <c r="AK238" i="30"/>
  <c r="AL238" i="30"/>
  <c r="AM238" i="30"/>
  <c r="AN238" i="30"/>
  <c r="AO238" i="30"/>
  <c r="AP238" i="30"/>
  <c r="AQ238" i="30"/>
  <c r="AR238" i="30"/>
  <c r="AS238" i="30"/>
  <c r="AT238" i="30"/>
  <c r="AU238" i="30"/>
  <c r="AV238" i="30"/>
  <c r="AW238" i="30"/>
  <c r="AX238" i="30"/>
  <c r="AY238" i="30"/>
  <c r="AZ238" i="30"/>
  <c r="BA238" i="30"/>
  <c r="BB238" i="30"/>
  <c r="BC238" i="30"/>
  <c r="BD238" i="30"/>
  <c r="BE238" i="30"/>
  <c r="BF238" i="30"/>
  <c r="BG238" i="30"/>
  <c r="BH238" i="30"/>
  <c r="BI238" i="30"/>
  <c r="BJ238" i="30"/>
  <c r="BK238" i="30"/>
  <c r="BL238" i="30"/>
  <c r="BM238" i="30"/>
  <c r="BN238" i="30"/>
  <c r="BO238" i="30"/>
  <c r="BP238" i="30"/>
  <c r="BQ238" i="30"/>
  <c r="BR238" i="30"/>
  <c r="BS238" i="30"/>
  <c r="BT238" i="30"/>
  <c r="BU238" i="30"/>
  <c r="BV238" i="30"/>
  <c r="BW238" i="30"/>
  <c r="BX238" i="30"/>
  <c r="BY238" i="30"/>
  <c r="BZ238" i="30"/>
  <c r="CA238" i="30"/>
  <c r="CB238" i="30"/>
  <c r="CC238" i="30"/>
  <c r="CD238" i="30"/>
  <c r="CE238" i="30"/>
  <c r="CF238" i="30"/>
  <c r="CG238" i="30"/>
  <c r="CH238" i="30"/>
  <c r="CI238" i="30"/>
  <c r="CJ238" i="30"/>
  <c r="CK238" i="30"/>
  <c r="CL238" i="30"/>
  <c r="CM238" i="30"/>
  <c r="CN238" i="30"/>
  <c r="CO238" i="30"/>
  <c r="CP238" i="30"/>
  <c r="CQ238" i="30"/>
  <c r="CR238" i="30"/>
  <c r="CS238" i="30"/>
  <c r="CT238" i="30"/>
  <c r="CU238" i="30"/>
  <c r="CV238" i="30"/>
  <c r="CW238" i="30"/>
  <c r="CX238" i="30"/>
  <c r="CY238" i="30"/>
  <c r="CZ238" i="30"/>
  <c r="DA238" i="30"/>
  <c r="DB238" i="30"/>
  <c r="DC238" i="30"/>
  <c r="DD238" i="30"/>
  <c r="DE238" i="30"/>
  <c r="DF238" i="30"/>
  <c r="DG238" i="30"/>
  <c r="DH238" i="30"/>
  <c r="DI238" i="30"/>
  <c r="DJ238" i="30"/>
  <c r="DK238" i="30"/>
  <c r="DL238" i="30"/>
  <c r="DM238" i="30"/>
  <c r="DN238" i="30"/>
  <c r="DO238" i="30"/>
  <c r="DP238" i="30"/>
  <c r="DQ238" i="30"/>
  <c r="DR238" i="30"/>
  <c r="DS238" i="30"/>
  <c r="DT238" i="30"/>
  <c r="DU238" i="30"/>
  <c r="E239" i="30"/>
  <c r="F239" i="30"/>
  <c r="G239" i="30"/>
  <c r="H239" i="30"/>
  <c r="I239" i="30"/>
  <c r="J239" i="30"/>
  <c r="K239" i="30"/>
  <c r="L239" i="30"/>
  <c r="M239" i="30"/>
  <c r="N239" i="30"/>
  <c r="O239" i="30"/>
  <c r="P239" i="30"/>
  <c r="Q239" i="30"/>
  <c r="R239" i="30"/>
  <c r="S239" i="30"/>
  <c r="T239" i="30"/>
  <c r="U239" i="30"/>
  <c r="V239" i="30"/>
  <c r="W239" i="30"/>
  <c r="X239" i="30"/>
  <c r="Y239" i="30"/>
  <c r="Z239" i="30"/>
  <c r="AA239" i="30"/>
  <c r="AB239" i="30"/>
  <c r="AC239" i="30"/>
  <c r="AD239" i="30"/>
  <c r="AE239" i="30"/>
  <c r="AF239" i="30"/>
  <c r="AG239" i="30"/>
  <c r="AH239" i="30"/>
  <c r="AI239" i="30"/>
  <c r="AJ239" i="30"/>
  <c r="AK239" i="30"/>
  <c r="AL239" i="30"/>
  <c r="AM239" i="30"/>
  <c r="AN239" i="30"/>
  <c r="AO239" i="30"/>
  <c r="AP239" i="30"/>
  <c r="AQ239" i="30"/>
  <c r="AR239" i="30"/>
  <c r="AS239" i="30"/>
  <c r="AT239" i="30"/>
  <c r="AU239" i="30"/>
  <c r="AV239" i="30"/>
  <c r="AW239" i="30"/>
  <c r="AX239" i="30"/>
  <c r="AY239" i="30"/>
  <c r="AZ239" i="30"/>
  <c r="BA239" i="30"/>
  <c r="BB239" i="30"/>
  <c r="BC239" i="30"/>
  <c r="BD239" i="30"/>
  <c r="BE239" i="30"/>
  <c r="BF239" i="30"/>
  <c r="BG239" i="30"/>
  <c r="BH239" i="30"/>
  <c r="BI239" i="30"/>
  <c r="BJ239" i="30"/>
  <c r="BK239" i="30"/>
  <c r="BL239" i="30"/>
  <c r="BM239" i="30"/>
  <c r="BN239" i="30"/>
  <c r="BO239" i="30"/>
  <c r="BP239" i="30"/>
  <c r="BQ239" i="30"/>
  <c r="BR239" i="30"/>
  <c r="BS239" i="30"/>
  <c r="BT239" i="30"/>
  <c r="BU239" i="30"/>
  <c r="BV239" i="30"/>
  <c r="BW239" i="30"/>
  <c r="BX239" i="30"/>
  <c r="BY239" i="30"/>
  <c r="BZ239" i="30"/>
  <c r="CA239" i="30"/>
  <c r="CB239" i="30"/>
  <c r="CC239" i="30"/>
  <c r="CD239" i="30"/>
  <c r="CE239" i="30"/>
  <c r="CF239" i="30"/>
  <c r="CG239" i="30"/>
  <c r="CH239" i="30"/>
  <c r="CI239" i="30"/>
  <c r="CJ239" i="30"/>
  <c r="CK239" i="30"/>
  <c r="CL239" i="30"/>
  <c r="CM239" i="30"/>
  <c r="CN239" i="30"/>
  <c r="CO239" i="30"/>
  <c r="CP239" i="30"/>
  <c r="CQ239" i="30"/>
  <c r="CR239" i="30"/>
  <c r="CS239" i="30"/>
  <c r="CT239" i="30"/>
  <c r="CU239" i="30"/>
  <c r="CV239" i="30"/>
  <c r="CW239" i="30"/>
  <c r="CX239" i="30"/>
  <c r="CY239" i="30"/>
  <c r="CZ239" i="30"/>
  <c r="DA239" i="30"/>
  <c r="DB239" i="30"/>
  <c r="DC239" i="30"/>
  <c r="DD239" i="30"/>
  <c r="DE239" i="30"/>
  <c r="DF239" i="30"/>
  <c r="DG239" i="30"/>
  <c r="DH239" i="30"/>
  <c r="DI239" i="30"/>
  <c r="DJ239" i="30"/>
  <c r="DK239" i="30"/>
  <c r="DL239" i="30"/>
  <c r="DM239" i="30"/>
  <c r="DN239" i="30"/>
  <c r="DO239" i="30"/>
  <c r="DP239" i="30"/>
  <c r="DQ239" i="30"/>
  <c r="DR239" i="30"/>
  <c r="DS239" i="30"/>
  <c r="DT239" i="30"/>
  <c r="DU239" i="30"/>
  <c r="AG240" i="30"/>
  <c r="C241" i="30"/>
  <c r="E241" i="30"/>
  <c r="F241" i="30"/>
  <c r="G241" i="30"/>
  <c r="H241" i="30"/>
  <c r="I241" i="30"/>
  <c r="J241" i="30"/>
  <c r="K241" i="30"/>
  <c r="L241" i="30"/>
  <c r="M241" i="30"/>
  <c r="N241" i="30"/>
  <c r="O241" i="30"/>
  <c r="P241" i="30"/>
  <c r="Q241" i="30"/>
  <c r="R241" i="30"/>
  <c r="S241" i="30"/>
  <c r="T241" i="30"/>
  <c r="U241" i="30"/>
  <c r="V241" i="30"/>
  <c r="W241" i="30"/>
  <c r="X241" i="30"/>
  <c r="Y241" i="30"/>
  <c r="Z241" i="30"/>
  <c r="AA241" i="30"/>
  <c r="AB241" i="30"/>
  <c r="AC241" i="30"/>
  <c r="AD241" i="30"/>
  <c r="AE241" i="30"/>
  <c r="AF241" i="30"/>
  <c r="AG241" i="30"/>
  <c r="AG243" i="30"/>
  <c r="AG244" i="30"/>
  <c r="AG245" i="30"/>
  <c r="AG246" i="30"/>
  <c r="E249" i="30"/>
  <c r="F249" i="30"/>
  <c r="G249" i="30"/>
  <c r="H249" i="30"/>
  <c r="I249" i="30"/>
  <c r="J249" i="30"/>
  <c r="K249" i="30"/>
  <c r="L249" i="30"/>
  <c r="M249" i="30"/>
  <c r="N249" i="30"/>
  <c r="O249" i="30"/>
  <c r="P249" i="30"/>
  <c r="Q249" i="30"/>
  <c r="R249" i="30"/>
  <c r="S249" i="30"/>
  <c r="T249" i="30"/>
  <c r="U249" i="30"/>
  <c r="V249" i="30"/>
  <c r="W249" i="30"/>
  <c r="X249" i="30"/>
  <c r="Y249" i="30"/>
  <c r="Z249" i="30"/>
  <c r="AA249" i="30"/>
  <c r="AB249" i="30"/>
  <c r="AC249" i="30"/>
  <c r="AD249" i="30"/>
  <c r="AE249" i="30"/>
  <c r="AF249" i="30"/>
  <c r="AG249" i="30"/>
  <c r="C250" i="30"/>
  <c r="E251" i="30"/>
  <c r="F251" i="30"/>
  <c r="G251" i="30"/>
  <c r="H251" i="30"/>
  <c r="I251" i="30"/>
  <c r="J251" i="30"/>
  <c r="K251" i="30"/>
  <c r="L251" i="30"/>
  <c r="M251" i="30"/>
  <c r="N251" i="30"/>
  <c r="O251" i="30"/>
  <c r="P251" i="30"/>
  <c r="Q251" i="30"/>
  <c r="R251" i="30"/>
  <c r="S251" i="30"/>
  <c r="T251" i="30"/>
  <c r="U251" i="30"/>
  <c r="V251" i="30"/>
  <c r="W251" i="30"/>
  <c r="X251" i="30"/>
  <c r="Y251" i="30"/>
  <c r="Z251" i="30"/>
  <c r="AA251" i="30"/>
  <c r="AB251" i="30"/>
  <c r="AC251" i="30"/>
  <c r="AD251" i="30"/>
  <c r="AE251" i="30"/>
  <c r="AF251" i="30"/>
  <c r="AG251" i="30"/>
  <c r="AH251" i="30"/>
  <c r="AI251" i="30"/>
  <c r="AJ251" i="30"/>
  <c r="AK251" i="30"/>
  <c r="AL251" i="30"/>
  <c r="AM251" i="30"/>
  <c r="AN251" i="30"/>
  <c r="AO251" i="30"/>
  <c r="AP251" i="30"/>
  <c r="AQ251" i="30"/>
  <c r="AR251" i="30"/>
  <c r="AS251" i="30"/>
  <c r="AT251" i="30"/>
  <c r="AU251" i="30"/>
  <c r="AV251" i="30"/>
  <c r="AW251" i="30"/>
  <c r="AX251" i="30"/>
  <c r="AY251" i="30"/>
  <c r="AZ251" i="30"/>
  <c r="BA251" i="30"/>
  <c r="BB251" i="30"/>
  <c r="BC251" i="30"/>
  <c r="BD251" i="30"/>
  <c r="BE251" i="30"/>
  <c r="BF251" i="30"/>
  <c r="BG251" i="30"/>
  <c r="BH251" i="30"/>
  <c r="BI251" i="30"/>
  <c r="BJ251" i="30"/>
  <c r="BK251" i="30"/>
  <c r="BL251" i="30"/>
  <c r="BM251" i="30"/>
  <c r="BN251" i="30"/>
  <c r="BO251" i="30"/>
  <c r="BP251" i="30"/>
  <c r="BQ251" i="30"/>
  <c r="BR251" i="30"/>
  <c r="BS251" i="30"/>
  <c r="BT251" i="30"/>
  <c r="BU251" i="30"/>
  <c r="BV251" i="30"/>
  <c r="BW251" i="30"/>
  <c r="BX251" i="30"/>
  <c r="BY251" i="30"/>
  <c r="BZ251" i="30"/>
  <c r="CA251" i="30"/>
  <c r="CB251" i="30"/>
  <c r="CC251" i="30"/>
  <c r="CD251" i="30"/>
  <c r="CE251" i="30"/>
  <c r="CF251" i="30"/>
  <c r="CG251" i="30"/>
  <c r="CH251" i="30"/>
  <c r="CI251" i="30"/>
  <c r="CJ251" i="30"/>
  <c r="CK251" i="30"/>
  <c r="CL251" i="30"/>
  <c r="CM251" i="30"/>
  <c r="CN251" i="30"/>
  <c r="CO251" i="30"/>
  <c r="CP251" i="30"/>
  <c r="CQ251" i="30"/>
  <c r="CR251" i="30"/>
  <c r="CS251" i="30"/>
  <c r="CT251" i="30"/>
  <c r="CU251" i="30"/>
  <c r="CV251" i="30"/>
  <c r="CW251" i="30"/>
  <c r="CX251" i="30"/>
  <c r="CY251" i="30"/>
  <c r="CZ251" i="30"/>
  <c r="DA251" i="30"/>
  <c r="DB251" i="30"/>
  <c r="DC251" i="30"/>
  <c r="DD251" i="30"/>
  <c r="DE251" i="30"/>
  <c r="DF251" i="30"/>
  <c r="DG251" i="30"/>
  <c r="DH251" i="30"/>
  <c r="DI251" i="30"/>
  <c r="DJ251" i="30"/>
  <c r="DK251" i="30"/>
  <c r="DL251" i="30"/>
  <c r="DM251" i="30"/>
  <c r="DN251" i="30"/>
  <c r="DO251" i="30"/>
  <c r="DP251" i="30"/>
  <c r="DQ251" i="30"/>
  <c r="DR251" i="30"/>
  <c r="DS251" i="30"/>
  <c r="DT251" i="30"/>
  <c r="DU251" i="30"/>
  <c r="E252" i="30"/>
  <c r="F252" i="30"/>
  <c r="G252" i="30"/>
  <c r="H252" i="30"/>
  <c r="I252" i="30"/>
  <c r="J252" i="30"/>
  <c r="K252" i="30"/>
  <c r="L252" i="30"/>
  <c r="M252" i="30"/>
  <c r="N252" i="30"/>
  <c r="O252" i="30"/>
  <c r="P252" i="30"/>
  <c r="Q252" i="30"/>
  <c r="R252" i="30"/>
  <c r="S252" i="30"/>
  <c r="T252" i="30"/>
  <c r="U252" i="30"/>
  <c r="V252" i="30"/>
  <c r="W252" i="30"/>
  <c r="X252" i="30"/>
  <c r="Y252" i="30"/>
  <c r="Z252" i="30"/>
  <c r="AA252" i="30"/>
  <c r="AB252" i="30"/>
  <c r="AC252" i="30"/>
  <c r="AD252" i="30"/>
  <c r="AE252" i="30"/>
  <c r="AF252" i="30"/>
  <c r="AG252" i="30"/>
  <c r="AH252" i="30"/>
  <c r="AI252" i="30"/>
  <c r="AJ252" i="30"/>
  <c r="AK252" i="30"/>
  <c r="AL252" i="30"/>
  <c r="AM252" i="30"/>
  <c r="AN252" i="30"/>
  <c r="AO252" i="30"/>
  <c r="AP252" i="30"/>
  <c r="AQ252" i="30"/>
  <c r="AR252" i="30"/>
  <c r="AS252" i="30"/>
  <c r="AT252" i="30"/>
  <c r="AU252" i="30"/>
  <c r="AV252" i="30"/>
  <c r="AW252" i="30"/>
  <c r="AX252" i="30"/>
  <c r="AY252" i="30"/>
  <c r="AZ252" i="30"/>
  <c r="BA252" i="30"/>
  <c r="BB252" i="30"/>
  <c r="BC252" i="30"/>
  <c r="BD252" i="30"/>
  <c r="BE252" i="30"/>
  <c r="BF252" i="30"/>
  <c r="BG252" i="30"/>
  <c r="BH252" i="30"/>
  <c r="BI252" i="30"/>
  <c r="BJ252" i="30"/>
  <c r="BK252" i="30"/>
  <c r="BL252" i="30"/>
  <c r="BM252" i="30"/>
  <c r="BN252" i="30"/>
  <c r="BO252" i="30"/>
  <c r="BP252" i="30"/>
  <c r="BQ252" i="30"/>
  <c r="BR252" i="30"/>
  <c r="BS252" i="30"/>
  <c r="BT252" i="30"/>
  <c r="BU252" i="30"/>
  <c r="BV252" i="30"/>
  <c r="BW252" i="30"/>
  <c r="BX252" i="30"/>
  <c r="BY252" i="30"/>
  <c r="BZ252" i="30"/>
  <c r="CA252" i="30"/>
  <c r="CB252" i="30"/>
  <c r="CC252" i="30"/>
  <c r="CD252" i="30"/>
  <c r="CE252" i="30"/>
  <c r="CF252" i="30"/>
  <c r="CG252" i="30"/>
  <c r="CH252" i="30"/>
  <c r="CI252" i="30"/>
  <c r="CJ252" i="30"/>
  <c r="CK252" i="30"/>
  <c r="CL252" i="30"/>
  <c r="CM252" i="30"/>
  <c r="CN252" i="30"/>
  <c r="CO252" i="30"/>
  <c r="CP252" i="30"/>
  <c r="CQ252" i="30"/>
  <c r="CR252" i="30"/>
  <c r="CS252" i="30"/>
  <c r="CT252" i="30"/>
  <c r="CU252" i="30"/>
  <c r="CV252" i="30"/>
  <c r="CW252" i="30"/>
  <c r="CX252" i="30"/>
  <c r="CY252" i="30"/>
  <c r="CZ252" i="30"/>
  <c r="DA252" i="30"/>
  <c r="DB252" i="30"/>
  <c r="DC252" i="30"/>
  <c r="DD252" i="30"/>
  <c r="DE252" i="30"/>
  <c r="DF252" i="30"/>
  <c r="DG252" i="30"/>
  <c r="DH252" i="30"/>
  <c r="DI252" i="30"/>
  <c r="DJ252" i="30"/>
  <c r="DK252" i="30"/>
  <c r="DL252" i="30"/>
  <c r="DM252" i="30"/>
  <c r="DN252" i="30"/>
  <c r="DO252" i="30"/>
  <c r="DP252" i="30"/>
  <c r="DQ252" i="30"/>
  <c r="DR252" i="30"/>
  <c r="DS252" i="30"/>
  <c r="DT252" i="30"/>
  <c r="DU252" i="30"/>
  <c r="E253" i="30"/>
  <c r="F253" i="30"/>
  <c r="G253" i="30"/>
  <c r="H253" i="30"/>
  <c r="I253" i="30"/>
  <c r="J253" i="30"/>
  <c r="K253" i="30"/>
  <c r="L253" i="30"/>
  <c r="M253" i="30"/>
  <c r="N253" i="30"/>
  <c r="O253" i="30"/>
  <c r="P253" i="30"/>
  <c r="Q253" i="30"/>
  <c r="R253" i="30"/>
  <c r="S253" i="30"/>
  <c r="T253" i="30"/>
  <c r="U253" i="30"/>
  <c r="V253" i="30"/>
  <c r="W253" i="30"/>
  <c r="X253" i="30"/>
  <c r="Y253" i="30"/>
  <c r="Z253" i="30"/>
  <c r="AA253" i="30"/>
  <c r="AB253" i="30"/>
  <c r="AC253" i="30"/>
  <c r="AD253" i="30"/>
  <c r="AE253" i="30"/>
  <c r="AF253" i="30"/>
  <c r="AG253" i="30"/>
  <c r="AH253" i="30"/>
  <c r="AI253" i="30"/>
  <c r="AJ253" i="30"/>
  <c r="AK253" i="30"/>
  <c r="AL253" i="30"/>
  <c r="AM253" i="30"/>
  <c r="AN253" i="30"/>
  <c r="AO253" i="30"/>
  <c r="AP253" i="30"/>
  <c r="AQ253" i="30"/>
  <c r="AR253" i="30"/>
  <c r="AS253" i="30"/>
  <c r="AT253" i="30"/>
  <c r="AU253" i="30"/>
  <c r="AV253" i="30"/>
  <c r="AW253" i="30"/>
  <c r="AX253" i="30"/>
  <c r="AY253" i="30"/>
  <c r="AZ253" i="30"/>
  <c r="BA253" i="30"/>
  <c r="BB253" i="30"/>
  <c r="BC253" i="30"/>
  <c r="BD253" i="30"/>
  <c r="BE253" i="30"/>
  <c r="BF253" i="30"/>
  <c r="BG253" i="30"/>
  <c r="BH253" i="30"/>
  <c r="BI253" i="30"/>
  <c r="BJ253" i="30"/>
  <c r="BK253" i="30"/>
  <c r="BL253" i="30"/>
  <c r="BM253" i="30"/>
  <c r="BN253" i="30"/>
  <c r="BO253" i="30"/>
  <c r="BP253" i="30"/>
  <c r="BQ253" i="30"/>
  <c r="BR253" i="30"/>
  <c r="BS253" i="30"/>
  <c r="BT253" i="30"/>
  <c r="BU253" i="30"/>
  <c r="BV253" i="30"/>
  <c r="BW253" i="30"/>
  <c r="BX253" i="30"/>
  <c r="BY253" i="30"/>
  <c r="BZ253" i="30"/>
  <c r="CA253" i="30"/>
  <c r="CB253" i="30"/>
  <c r="CC253" i="30"/>
  <c r="CD253" i="30"/>
  <c r="CE253" i="30"/>
  <c r="CF253" i="30"/>
  <c r="CG253" i="30"/>
  <c r="CH253" i="30"/>
  <c r="CI253" i="30"/>
  <c r="CJ253" i="30"/>
  <c r="CK253" i="30"/>
  <c r="CL253" i="30"/>
  <c r="CM253" i="30"/>
  <c r="CN253" i="30"/>
  <c r="CO253" i="30"/>
  <c r="CP253" i="30"/>
  <c r="CQ253" i="30"/>
  <c r="CR253" i="30"/>
  <c r="CS253" i="30"/>
  <c r="CT253" i="30"/>
  <c r="CU253" i="30"/>
  <c r="CV253" i="30"/>
  <c r="CW253" i="30"/>
  <c r="CX253" i="30"/>
  <c r="CY253" i="30"/>
  <c r="CZ253" i="30"/>
  <c r="DA253" i="30"/>
  <c r="DB253" i="30"/>
  <c r="DC253" i="30"/>
  <c r="DD253" i="30"/>
  <c r="DE253" i="30"/>
  <c r="DF253" i="30"/>
  <c r="DG253" i="30"/>
  <c r="DH253" i="30"/>
  <c r="DI253" i="30"/>
  <c r="DJ253" i="30"/>
  <c r="DK253" i="30"/>
  <c r="DL253" i="30"/>
  <c r="DM253" i="30"/>
  <c r="DN253" i="30"/>
  <c r="DO253" i="30"/>
  <c r="DP253" i="30"/>
  <c r="DQ253" i="30"/>
  <c r="DR253" i="30"/>
  <c r="DS253" i="30"/>
  <c r="DT253" i="30"/>
  <c r="DU253" i="30"/>
  <c r="C254" i="30"/>
  <c r="E254" i="30"/>
  <c r="F254" i="30"/>
  <c r="G254" i="30"/>
  <c r="H254" i="30"/>
  <c r="I254" i="30"/>
  <c r="J254" i="30"/>
  <c r="K254" i="30"/>
  <c r="L254" i="30"/>
  <c r="M254" i="30"/>
  <c r="N254" i="30"/>
  <c r="O254" i="30"/>
  <c r="P254" i="30"/>
  <c r="Q254" i="30"/>
  <c r="R254" i="30"/>
  <c r="S254" i="30"/>
  <c r="T254" i="30"/>
  <c r="U254" i="30"/>
  <c r="V254" i="30"/>
  <c r="W254" i="30"/>
  <c r="X254" i="30"/>
  <c r="Y254" i="30"/>
  <c r="Z254" i="30"/>
  <c r="AA254" i="30"/>
  <c r="AB254" i="30"/>
  <c r="AC254" i="30"/>
  <c r="AD254" i="30"/>
  <c r="AE254" i="30"/>
  <c r="AF254" i="30"/>
  <c r="AG254" i="30"/>
  <c r="AH254" i="30"/>
  <c r="AI254" i="30"/>
  <c r="AJ254" i="30"/>
  <c r="AK254" i="30"/>
  <c r="AL254" i="30"/>
  <c r="AM254" i="30"/>
  <c r="AN254" i="30"/>
  <c r="AO254" i="30"/>
  <c r="AP254" i="30"/>
  <c r="AQ254" i="30"/>
  <c r="AR254" i="30"/>
  <c r="AS254" i="30"/>
  <c r="AT254" i="30"/>
  <c r="AU254" i="30"/>
  <c r="AV254" i="30"/>
  <c r="AW254" i="30"/>
  <c r="AX254" i="30"/>
  <c r="AY254" i="30"/>
  <c r="AZ254" i="30"/>
  <c r="BA254" i="30"/>
  <c r="BB254" i="30"/>
  <c r="BC254" i="30"/>
  <c r="BD254" i="30"/>
  <c r="BE254" i="30"/>
  <c r="BF254" i="30"/>
  <c r="BG254" i="30"/>
  <c r="BH254" i="30"/>
  <c r="BI254" i="30"/>
  <c r="BJ254" i="30"/>
  <c r="BK254" i="30"/>
  <c r="BL254" i="30"/>
  <c r="BM254" i="30"/>
  <c r="BN254" i="30"/>
  <c r="BO254" i="30"/>
  <c r="BP254" i="30"/>
  <c r="BQ254" i="30"/>
  <c r="BR254" i="30"/>
  <c r="BS254" i="30"/>
  <c r="BT254" i="30"/>
  <c r="BU254" i="30"/>
  <c r="BV254" i="30"/>
  <c r="BW254" i="30"/>
  <c r="BX254" i="30"/>
  <c r="BY254" i="30"/>
  <c r="BZ254" i="30"/>
  <c r="CA254" i="30"/>
  <c r="CB254" i="30"/>
  <c r="CC254" i="30"/>
  <c r="CD254" i="30"/>
  <c r="CE254" i="30"/>
  <c r="CF254" i="30"/>
  <c r="CG254" i="30"/>
  <c r="CH254" i="30"/>
  <c r="CI254" i="30"/>
  <c r="CJ254" i="30"/>
  <c r="CK254" i="30"/>
  <c r="CL254" i="30"/>
  <c r="CM254" i="30"/>
  <c r="CN254" i="30"/>
  <c r="CO254" i="30"/>
  <c r="CP254" i="30"/>
  <c r="CQ254" i="30"/>
  <c r="CR254" i="30"/>
  <c r="CS254" i="30"/>
  <c r="CT254" i="30"/>
  <c r="CU254" i="30"/>
  <c r="CV254" i="30"/>
  <c r="CW254" i="30"/>
  <c r="CX254" i="30"/>
  <c r="CY254" i="30"/>
  <c r="CZ254" i="30"/>
  <c r="DA254" i="30"/>
  <c r="DB254" i="30"/>
  <c r="DC254" i="30"/>
  <c r="DD254" i="30"/>
  <c r="DE254" i="30"/>
  <c r="DF254" i="30"/>
  <c r="DG254" i="30"/>
  <c r="DH254" i="30"/>
  <c r="DI254" i="30"/>
  <c r="DJ254" i="30"/>
  <c r="DK254" i="30"/>
  <c r="DL254" i="30"/>
  <c r="DM254" i="30"/>
  <c r="DN254" i="30"/>
  <c r="DO254" i="30"/>
  <c r="DP254" i="30"/>
  <c r="DQ254" i="30"/>
  <c r="DR254" i="30"/>
  <c r="DS254" i="30"/>
  <c r="DT254" i="30"/>
  <c r="DU254" i="30"/>
  <c r="AG256" i="30"/>
  <c r="AG257" i="30"/>
  <c r="AG258" i="30"/>
  <c r="AG259" i="30"/>
  <c r="E262" i="30"/>
  <c r="F262" i="30"/>
  <c r="G262" i="30"/>
  <c r="H262" i="30"/>
  <c r="I262" i="30"/>
  <c r="J262" i="30"/>
  <c r="K262" i="30"/>
  <c r="L262" i="30"/>
  <c r="M262" i="30"/>
  <c r="N262" i="30"/>
  <c r="O262" i="30"/>
  <c r="P262" i="30"/>
  <c r="Q262" i="30"/>
  <c r="R262" i="30"/>
  <c r="S262" i="30"/>
  <c r="T262" i="30"/>
  <c r="U262" i="30"/>
  <c r="V262" i="30"/>
  <c r="W262" i="30"/>
  <c r="X262" i="30"/>
  <c r="Y262" i="30"/>
  <c r="Z262" i="30"/>
  <c r="AA262" i="30"/>
  <c r="AB262" i="30"/>
  <c r="AC262" i="30"/>
  <c r="AD262" i="30"/>
  <c r="AE262" i="30"/>
  <c r="AF262" i="30"/>
  <c r="AG262" i="30"/>
  <c r="AH262" i="30"/>
  <c r="AI262" i="30"/>
  <c r="AJ262" i="30"/>
  <c r="AK262" i="30"/>
  <c r="AL262" i="30"/>
  <c r="AM262" i="30"/>
  <c r="AN262" i="30"/>
  <c r="AO262" i="30"/>
  <c r="AP262" i="30"/>
  <c r="AQ262" i="30"/>
  <c r="AR262" i="30"/>
  <c r="AS262" i="30"/>
  <c r="AT262" i="30"/>
  <c r="AU262" i="30"/>
  <c r="AV262" i="30"/>
  <c r="AW262" i="30"/>
  <c r="AX262" i="30"/>
  <c r="AY262" i="30"/>
  <c r="AZ262" i="30"/>
  <c r="BA262" i="30"/>
  <c r="BB262" i="30"/>
  <c r="BC262" i="30"/>
  <c r="BD262" i="30"/>
  <c r="BE262" i="30"/>
  <c r="BF262" i="30"/>
  <c r="BG262" i="30"/>
  <c r="BH262" i="30"/>
  <c r="BI262" i="30"/>
  <c r="BJ262" i="30"/>
  <c r="BK262" i="30"/>
  <c r="BL262" i="30"/>
  <c r="BM262" i="30"/>
  <c r="BN262" i="30"/>
  <c r="BO262" i="30"/>
  <c r="BP262" i="30"/>
  <c r="BQ262" i="30"/>
  <c r="BR262" i="30"/>
  <c r="BS262" i="30"/>
  <c r="BT262" i="30"/>
  <c r="BU262" i="30"/>
  <c r="BV262" i="30"/>
  <c r="BW262" i="30"/>
  <c r="BX262" i="30"/>
  <c r="BY262" i="30"/>
  <c r="BZ262" i="30"/>
  <c r="CA262" i="30"/>
  <c r="CB262" i="30"/>
  <c r="CC262" i="30"/>
  <c r="CD262" i="30"/>
  <c r="CE262" i="30"/>
  <c r="CF262" i="30"/>
  <c r="CG262" i="30"/>
  <c r="CH262" i="30"/>
  <c r="CI262" i="30"/>
  <c r="CJ262" i="30"/>
  <c r="CK262" i="30"/>
  <c r="CL262" i="30"/>
  <c r="CM262" i="30"/>
  <c r="CN262" i="30"/>
  <c r="CO262" i="30"/>
  <c r="CP262" i="30"/>
  <c r="CQ262" i="30"/>
  <c r="CR262" i="30"/>
  <c r="CS262" i="30"/>
  <c r="CT262" i="30"/>
  <c r="CU262" i="30"/>
  <c r="CV262" i="30"/>
  <c r="CW262" i="30"/>
  <c r="CX262" i="30"/>
  <c r="CY262" i="30"/>
  <c r="CZ262" i="30"/>
  <c r="DA262" i="30"/>
  <c r="DB262" i="30"/>
  <c r="DC262" i="30"/>
  <c r="DD262" i="30"/>
  <c r="DE262" i="30"/>
  <c r="DF262" i="30"/>
  <c r="DG262" i="30"/>
  <c r="DH262" i="30"/>
  <c r="DI262" i="30"/>
  <c r="DJ262" i="30"/>
  <c r="DK262" i="30"/>
  <c r="DL262" i="30"/>
  <c r="DM262" i="30"/>
  <c r="DN262" i="30"/>
  <c r="DO262" i="30"/>
  <c r="DP262" i="30"/>
  <c r="DQ262" i="30"/>
  <c r="DR262" i="30"/>
  <c r="DS262" i="30"/>
  <c r="DT262" i="30"/>
  <c r="DU262" i="30"/>
  <c r="C263" i="30"/>
  <c r="E264" i="30"/>
  <c r="F264" i="30"/>
  <c r="G264" i="30"/>
  <c r="H264" i="30"/>
  <c r="I264" i="30"/>
  <c r="J264" i="30"/>
  <c r="K264" i="30"/>
  <c r="L264" i="30"/>
  <c r="M264" i="30"/>
  <c r="N264" i="30"/>
  <c r="O264" i="30"/>
  <c r="P264" i="30"/>
  <c r="Q264" i="30"/>
  <c r="R264" i="30"/>
  <c r="S264" i="30"/>
  <c r="T264" i="30"/>
  <c r="U264" i="30"/>
  <c r="V264" i="30"/>
  <c r="W264" i="30"/>
  <c r="X264" i="30"/>
  <c r="Y264" i="30"/>
  <c r="Z264" i="30"/>
  <c r="AA264" i="30"/>
  <c r="AB264" i="30"/>
  <c r="AC264" i="30"/>
  <c r="AD264" i="30"/>
  <c r="AE264" i="30"/>
  <c r="AF264" i="30"/>
  <c r="AG264" i="30"/>
  <c r="AH264" i="30"/>
  <c r="AI264" i="30"/>
  <c r="AJ264" i="30"/>
  <c r="AK264" i="30"/>
  <c r="AL264" i="30"/>
  <c r="AM264" i="30"/>
  <c r="AN264" i="30"/>
  <c r="AO264" i="30"/>
  <c r="AP264" i="30"/>
  <c r="AQ264" i="30"/>
  <c r="AR264" i="30"/>
  <c r="AS264" i="30"/>
  <c r="AT264" i="30"/>
  <c r="AU264" i="30"/>
  <c r="AV264" i="30"/>
  <c r="AW264" i="30"/>
  <c r="AX264" i="30"/>
  <c r="AY264" i="30"/>
  <c r="AZ264" i="30"/>
  <c r="BA264" i="30"/>
  <c r="BB264" i="30"/>
  <c r="BC264" i="30"/>
  <c r="BD264" i="30"/>
  <c r="BE264" i="30"/>
  <c r="BF264" i="30"/>
  <c r="BG264" i="30"/>
  <c r="BH264" i="30"/>
  <c r="BI264" i="30"/>
  <c r="BJ264" i="30"/>
  <c r="BK264" i="30"/>
  <c r="BL264" i="30"/>
  <c r="BM264" i="30"/>
  <c r="BN264" i="30"/>
  <c r="BO264" i="30"/>
  <c r="BP264" i="30"/>
  <c r="BQ264" i="30"/>
  <c r="BR264" i="30"/>
  <c r="BS264" i="30"/>
  <c r="BT264" i="30"/>
  <c r="BU264" i="30"/>
  <c r="BV264" i="30"/>
  <c r="BW264" i="30"/>
  <c r="BX264" i="30"/>
  <c r="BY264" i="30"/>
  <c r="BZ264" i="30"/>
  <c r="CA264" i="30"/>
  <c r="CB264" i="30"/>
  <c r="CC264" i="30"/>
  <c r="CD264" i="30"/>
  <c r="CE264" i="30"/>
  <c r="CF264" i="30"/>
  <c r="CG264" i="30"/>
  <c r="CH264" i="30"/>
  <c r="CI264" i="30"/>
  <c r="CJ264" i="30"/>
  <c r="CK264" i="30"/>
  <c r="CL264" i="30"/>
  <c r="CM264" i="30"/>
  <c r="CN264" i="30"/>
  <c r="CO264" i="30"/>
  <c r="CP264" i="30"/>
  <c r="CQ264" i="30"/>
  <c r="CR264" i="30"/>
  <c r="CS264" i="30"/>
  <c r="CT264" i="30"/>
  <c r="CU264" i="30"/>
  <c r="CV264" i="30"/>
  <c r="CW264" i="30"/>
  <c r="CX264" i="30"/>
  <c r="CY264" i="30"/>
  <c r="CZ264" i="30"/>
  <c r="DA264" i="30"/>
  <c r="DB264" i="30"/>
  <c r="DC264" i="30"/>
  <c r="DD264" i="30"/>
  <c r="DE264" i="30"/>
  <c r="DF264" i="30"/>
  <c r="DG264" i="30"/>
  <c r="DH264" i="30"/>
  <c r="DI264" i="30"/>
  <c r="DJ264" i="30"/>
  <c r="DK264" i="30"/>
  <c r="DL264" i="30"/>
  <c r="DM264" i="30"/>
  <c r="DN264" i="30"/>
  <c r="DO264" i="30"/>
  <c r="DP264" i="30"/>
  <c r="DQ264" i="30"/>
  <c r="DR264" i="30"/>
  <c r="DS264" i="30"/>
  <c r="DT264" i="30"/>
  <c r="DU264" i="30"/>
  <c r="E265" i="30"/>
  <c r="F265" i="30"/>
  <c r="G265" i="30"/>
  <c r="H265" i="30"/>
  <c r="I265" i="30"/>
  <c r="J265" i="30"/>
  <c r="K265" i="30"/>
  <c r="L265" i="30"/>
  <c r="M265" i="30"/>
  <c r="N265" i="30"/>
  <c r="O265" i="30"/>
  <c r="P265" i="30"/>
  <c r="Q265" i="30"/>
  <c r="R265" i="30"/>
  <c r="S265" i="30"/>
  <c r="T265" i="30"/>
  <c r="U265" i="30"/>
  <c r="V265" i="30"/>
  <c r="W265" i="30"/>
  <c r="X265" i="30"/>
  <c r="Y265" i="30"/>
  <c r="Z265" i="30"/>
  <c r="AA265" i="30"/>
  <c r="AB265" i="30"/>
  <c r="AC265" i="30"/>
  <c r="AD265" i="30"/>
  <c r="AE265" i="30"/>
  <c r="AF265" i="30"/>
  <c r="AG265" i="30"/>
  <c r="AH265" i="30"/>
  <c r="AI265" i="30"/>
  <c r="AJ265" i="30"/>
  <c r="AK265" i="30"/>
  <c r="AL265" i="30"/>
  <c r="AM265" i="30"/>
  <c r="AN265" i="30"/>
  <c r="AO265" i="30"/>
  <c r="AP265" i="30"/>
  <c r="AQ265" i="30"/>
  <c r="AR265" i="30"/>
  <c r="AS265" i="30"/>
  <c r="AT265" i="30"/>
  <c r="AU265" i="30"/>
  <c r="AV265" i="30"/>
  <c r="AW265" i="30"/>
  <c r="AX265" i="30"/>
  <c r="AY265" i="30"/>
  <c r="AZ265" i="30"/>
  <c r="BA265" i="30"/>
  <c r="BB265" i="30"/>
  <c r="BC265" i="30"/>
  <c r="BD265" i="30"/>
  <c r="BE265" i="30"/>
  <c r="BF265" i="30"/>
  <c r="BG265" i="30"/>
  <c r="BH265" i="30"/>
  <c r="BI265" i="30"/>
  <c r="BJ265" i="30"/>
  <c r="BK265" i="30"/>
  <c r="BL265" i="30"/>
  <c r="BM265" i="30"/>
  <c r="BN265" i="30"/>
  <c r="BO265" i="30"/>
  <c r="BP265" i="30"/>
  <c r="BQ265" i="30"/>
  <c r="BR265" i="30"/>
  <c r="BS265" i="30"/>
  <c r="BT265" i="30"/>
  <c r="BU265" i="30"/>
  <c r="BV265" i="30"/>
  <c r="BW265" i="30"/>
  <c r="BX265" i="30"/>
  <c r="BY265" i="30"/>
  <c r="BZ265" i="30"/>
  <c r="CA265" i="30"/>
  <c r="CB265" i="30"/>
  <c r="CC265" i="30"/>
  <c r="CD265" i="30"/>
  <c r="CE265" i="30"/>
  <c r="CF265" i="30"/>
  <c r="CG265" i="30"/>
  <c r="CH265" i="30"/>
  <c r="CI265" i="30"/>
  <c r="CJ265" i="30"/>
  <c r="CK265" i="30"/>
  <c r="CL265" i="30"/>
  <c r="CM265" i="30"/>
  <c r="CN265" i="30"/>
  <c r="CO265" i="30"/>
  <c r="CP265" i="30"/>
  <c r="CQ265" i="30"/>
  <c r="CR265" i="30"/>
  <c r="CS265" i="30"/>
  <c r="CT265" i="30"/>
  <c r="CU265" i="30"/>
  <c r="CV265" i="30"/>
  <c r="CW265" i="30"/>
  <c r="CX265" i="30"/>
  <c r="CY265" i="30"/>
  <c r="CZ265" i="30"/>
  <c r="DA265" i="30"/>
  <c r="DB265" i="30"/>
  <c r="DC265" i="30"/>
  <c r="DD265" i="30"/>
  <c r="DE265" i="30"/>
  <c r="DF265" i="30"/>
  <c r="DG265" i="30"/>
  <c r="DH265" i="30"/>
  <c r="DI265" i="30"/>
  <c r="DJ265" i="30"/>
  <c r="DK265" i="30"/>
  <c r="DL265" i="30"/>
  <c r="DM265" i="30"/>
  <c r="DN265" i="30"/>
  <c r="DO265" i="30"/>
  <c r="DP265" i="30"/>
  <c r="DQ265" i="30"/>
  <c r="DR265" i="30"/>
  <c r="DS265" i="30"/>
  <c r="DT265" i="30"/>
  <c r="DU265" i="30"/>
  <c r="E266" i="30"/>
  <c r="F266" i="30"/>
  <c r="G266" i="30"/>
  <c r="H266" i="30"/>
  <c r="I266" i="30"/>
  <c r="J266" i="30"/>
  <c r="K266" i="30"/>
  <c r="L266" i="30"/>
  <c r="M266" i="30"/>
  <c r="N266" i="30"/>
  <c r="O266" i="30"/>
  <c r="P266" i="30"/>
  <c r="Q266" i="30"/>
  <c r="R266" i="30"/>
  <c r="S266" i="30"/>
  <c r="T266" i="30"/>
  <c r="U266" i="30"/>
  <c r="V266" i="30"/>
  <c r="W266" i="30"/>
  <c r="X266" i="30"/>
  <c r="Y266" i="30"/>
  <c r="Z266" i="30"/>
  <c r="AA266" i="30"/>
  <c r="AB266" i="30"/>
  <c r="AC266" i="30"/>
  <c r="AD266" i="30"/>
  <c r="AE266" i="30"/>
  <c r="AF266" i="30"/>
  <c r="AG266" i="30"/>
  <c r="AH266" i="30"/>
  <c r="AI266" i="30"/>
  <c r="AJ266" i="30"/>
  <c r="AK266" i="30"/>
  <c r="AL266" i="30"/>
  <c r="AM266" i="30"/>
  <c r="AN266" i="30"/>
  <c r="AO266" i="30"/>
  <c r="AP266" i="30"/>
  <c r="AQ266" i="30"/>
  <c r="AR266" i="30"/>
  <c r="AS266" i="30"/>
  <c r="AT266" i="30"/>
  <c r="AU266" i="30"/>
  <c r="AV266" i="30"/>
  <c r="AW266" i="30"/>
  <c r="AX266" i="30"/>
  <c r="AY266" i="30"/>
  <c r="AZ266" i="30"/>
  <c r="BA266" i="30"/>
  <c r="BB266" i="30"/>
  <c r="BC266" i="30"/>
  <c r="BD266" i="30"/>
  <c r="BE266" i="30"/>
  <c r="BF266" i="30"/>
  <c r="BG266" i="30"/>
  <c r="BH266" i="30"/>
  <c r="BI266" i="30"/>
  <c r="BJ266" i="30"/>
  <c r="BK266" i="30"/>
  <c r="BL266" i="30"/>
  <c r="BM266" i="30"/>
  <c r="BN266" i="30"/>
  <c r="BO266" i="30"/>
  <c r="BP266" i="30"/>
  <c r="BQ266" i="30"/>
  <c r="BR266" i="30"/>
  <c r="BS266" i="30"/>
  <c r="BT266" i="30"/>
  <c r="BU266" i="30"/>
  <c r="BV266" i="30"/>
  <c r="BW266" i="30"/>
  <c r="BX266" i="30"/>
  <c r="BY266" i="30"/>
  <c r="BZ266" i="30"/>
  <c r="CA266" i="30"/>
  <c r="CB266" i="30"/>
  <c r="CC266" i="30"/>
  <c r="CD266" i="30"/>
  <c r="CE266" i="30"/>
  <c r="CF266" i="30"/>
  <c r="CG266" i="30"/>
  <c r="CH266" i="30"/>
  <c r="CI266" i="30"/>
  <c r="CJ266" i="30"/>
  <c r="CK266" i="30"/>
  <c r="CL266" i="30"/>
  <c r="CM266" i="30"/>
  <c r="CN266" i="30"/>
  <c r="CO266" i="30"/>
  <c r="CP266" i="30"/>
  <c r="CQ266" i="30"/>
  <c r="CR266" i="30"/>
  <c r="CS266" i="30"/>
  <c r="CT266" i="30"/>
  <c r="CU266" i="30"/>
  <c r="CV266" i="30"/>
  <c r="CW266" i="30"/>
  <c r="CX266" i="30"/>
  <c r="CY266" i="30"/>
  <c r="CZ266" i="30"/>
  <c r="DA266" i="30"/>
  <c r="DB266" i="30"/>
  <c r="DC266" i="30"/>
  <c r="DD266" i="30"/>
  <c r="DE266" i="30"/>
  <c r="DF266" i="30"/>
  <c r="DG266" i="30"/>
  <c r="DH266" i="30"/>
  <c r="DI266" i="30"/>
  <c r="DJ266" i="30"/>
  <c r="DK266" i="30"/>
  <c r="DL266" i="30"/>
  <c r="DM266" i="30"/>
  <c r="DN266" i="30"/>
  <c r="DO266" i="30"/>
  <c r="DP266" i="30"/>
  <c r="DQ266" i="30"/>
  <c r="DR266" i="30"/>
  <c r="DS266" i="30"/>
  <c r="DT266" i="30"/>
  <c r="DU266" i="30"/>
  <c r="C267" i="30"/>
  <c r="E267" i="30"/>
  <c r="F267" i="30"/>
  <c r="G267" i="30"/>
  <c r="H267" i="30"/>
  <c r="I267" i="30"/>
  <c r="J267" i="30"/>
  <c r="K267" i="30"/>
  <c r="L267" i="30"/>
  <c r="M267" i="30"/>
  <c r="N267" i="30"/>
  <c r="O267" i="30"/>
  <c r="P267" i="30"/>
  <c r="Q267" i="30"/>
  <c r="R267" i="30"/>
  <c r="S267" i="30"/>
  <c r="T267" i="30"/>
  <c r="U267" i="30"/>
  <c r="V267" i="30"/>
  <c r="W267" i="30"/>
  <c r="X267" i="30"/>
  <c r="Y267" i="30"/>
  <c r="Z267" i="30"/>
  <c r="AA267" i="30"/>
  <c r="AB267" i="30"/>
  <c r="AC267" i="30"/>
  <c r="AD267" i="30"/>
  <c r="AE267" i="30"/>
  <c r="AF267" i="30"/>
  <c r="AG267" i="30"/>
  <c r="AH267" i="30"/>
  <c r="AI267" i="30"/>
  <c r="AJ267" i="30"/>
  <c r="AK267" i="30"/>
  <c r="AL267" i="30"/>
  <c r="AM267" i="30"/>
  <c r="AN267" i="30"/>
  <c r="AO267" i="30"/>
  <c r="AP267" i="30"/>
  <c r="AQ267" i="30"/>
  <c r="AR267" i="30"/>
  <c r="AS267" i="30"/>
  <c r="AT267" i="30"/>
  <c r="AU267" i="30"/>
  <c r="AV267" i="30"/>
  <c r="AW267" i="30"/>
  <c r="AX267" i="30"/>
  <c r="AY267" i="30"/>
  <c r="AZ267" i="30"/>
  <c r="BA267" i="30"/>
  <c r="BB267" i="30"/>
  <c r="BC267" i="30"/>
  <c r="BD267" i="30"/>
  <c r="BE267" i="30"/>
  <c r="BF267" i="30"/>
  <c r="BG267" i="30"/>
  <c r="BH267" i="30"/>
  <c r="BI267" i="30"/>
  <c r="BJ267" i="30"/>
  <c r="BK267" i="30"/>
  <c r="BL267" i="30"/>
  <c r="BM267" i="30"/>
  <c r="BN267" i="30"/>
  <c r="BO267" i="30"/>
  <c r="BP267" i="30"/>
  <c r="BQ267" i="30"/>
  <c r="BR267" i="30"/>
  <c r="BS267" i="30"/>
  <c r="BT267" i="30"/>
  <c r="BU267" i="30"/>
  <c r="BV267" i="30"/>
  <c r="BW267" i="30"/>
  <c r="BX267" i="30"/>
  <c r="BY267" i="30"/>
  <c r="BZ267" i="30"/>
  <c r="CA267" i="30"/>
  <c r="CB267" i="30"/>
  <c r="CC267" i="30"/>
  <c r="CD267" i="30"/>
  <c r="CE267" i="30"/>
  <c r="CF267" i="30"/>
  <c r="CG267" i="30"/>
  <c r="CH267" i="30"/>
  <c r="CI267" i="30"/>
  <c r="CJ267" i="30"/>
  <c r="CK267" i="30"/>
  <c r="CL267" i="30"/>
  <c r="CM267" i="30"/>
  <c r="CN267" i="30"/>
  <c r="CO267" i="30"/>
  <c r="CP267" i="30"/>
  <c r="CQ267" i="30"/>
  <c r="CR267" i="30"/>
  <c r="CS267" i="30"/>
  <c r="CT267" i="30"/>
  <c r="CU267" i="30"/>
  <c r="CV267" i="30"/>
  <c r="CW267" i="30"/>
  <c r="CX267" i="30"/>
  <c r="CY267" i="30"/>
  <c r="CZ267" i="30"/>
  <c r="DA267" i="30"/>
  <c r="DB267" i="30"/>
  <c r="DC267" i="30"/>
  <c r="DD267" i="30"/>
  <c r="DE267" i="30"/>
  <c r="DF267" i="30"/>
  <c r="DG267" i="30"/>
  <c r="DH267" i="30"/>
  <c r="DI267" i="30"/>
  <c r="DJ267" i="30"/>
  <c r="DK267" i="30"/>
  <c r="DL267" i="30"/>
  <c r="DM267" i="30"/>
  <c r="DN267" i="30"/>
  <c r="DO267" i="30"/>
  <c r="DP267" i="30"/>
  <c r="DQ267" i="30"/>
  <c r="DR267" i="30"/>
  <c r="DS267" i="30"/>
  <c r="DT267" i="30"/>
  <c r="DU267" i="30"/>
  <c r="AG269" i="30"/>
  <c r="AG270" i="30"/>
  <c r="AG271" i="30"/>
  <c r="AG272" i="30"/>
  <c r="C275" i="30"/>
  <c r="E275" i="30"/>
  <c r="F275" i="30"/>
  <c r="G275" i="30"/>
  <c r="H275" i="30"/>
  <c r="I275" i="30"/>
  <c r="J275" i="30"/>
  <c r="K275" i="30"/>
  <c r="L275" i="30"/>
  <c r="M275" i="30"/>
  <c r="N275" i="30"/>
  <c r="O275" i="30"/>
  <c r="P275" i="30"/>
  <c r="Q275" i="30"/>
  <c r="R275" i="30"/>
  <c r="S275" i="30"/>
  <c r="T275" i="30"/>
  <c r="U275" i="30"/>
  <c r="V275" i="30"/>
  <c r="W275" i="30"/>
  <c r="X275" i="30"/>
  <c r="Y275" i="30"/>
  <c r="Z275" i="30"/>
  <c r="AA275" i="30"/>
  <c r="AB275" i="30"/>
  <c r="AC275" i="30"/>
  <c r="AD275" i="30"/>
  <c r="AE275" i="30"/>
  <c r="AF275" i="30"/>
  <c r="AG275" i="30"/>
  <c r="AG277" i="30"/>
  <c r="AG278" i="30"/>
  <c r="AG279" i="30"/>
  <c r="AG280" i="30"/>
  <c r="AG286" i="30"/>
  <c r="AG287" i="30"/>
  <c r="AG288" i="30"/>
  <c r="E291" i="30"/>
  <c r="F291" i="30"/>
  <c r="G291" i="30"/>
  <c r="H291" i="30"/>
  <c r="I291" i="30"/>
  <c r="J291" i="30"/>
  <c r="K291" i="30"/>
  <c r="L291" i="30"/>
  <c r="M291" i="30"/>
  <c r="N291" i="30"/>
  <c r="O291" i="30"/>
  <c r="P291" i="30"/>
  <c r="Q291" i="30"/>
  <c r="R291" i="30"/>
  <c r="S291" i="30"/>
  <c r="T291" i="30"/>
  <c r="U291" i="30"/>
  <c r="V291" i="30"/>
  <c r="W291" i="30"/>
  <c r="X291" i="30"/>
  <c r="Y291" i="30"/>
  <c r="Z291" i="30"/>
  <c r="AA291" i="30"/>
  <c r="AB291" i="30"/>
  <c r="AC291" i="30"/>
  <c r="AD291" i="30"/>
  <c r="AE291" i="30"/>
  <c r="AF291" i="30"/>
  <c r="AG291" i="30"/>
  <c r="E292" i="30"/>
  <c r="F292" i="30"/>
  <c r="G292" i="30"/>
  <c r="H292" i="30"/>
  <c r="I292" i="30"/>
  <c r="J292" i="30"/>
  <c r="K292" i="30"/>
  <c r="L292" i="30"/>
  <c r="M292" i="30"/>
  <c r="N292" i="30"/>
  <c r="O292" i="30"/>
  <c r="P292" i="30"/>
  <c r="Q292" i="30"/>
  <c r="R292" i="30"/>
  <c r="S292" i="30"/>
  <c r="T292" i="30"/>
  <c r="U292" i="30"/>
  <c r="V292" i="30"/>
  <c r="W292" i="30"/>
  <c r="X292" i="30"/>
  <c r="Y292" i="30"/>
  <c r="Z292" i="30"/>
  <c r="AA292" i="30"/>
  <c r="AB292" i="30"/>
  <c r="AC292" i="30"/>
  <c r="AD292" i="30"/>
  <c r="AE292" i="30"/>
  <c r="AF292" i="30"/>
  <c r="AG292" i="30"/>
  <c r="AG293" i="30"/>
  <c r="AG294" i="30"/>
  <c r="C295" i="30"/>
  <c r="E295" i="30"/>
  <c r="F295" i="30"/>
  <c r="G295" i="30"/>
  <c r="H295" i="30"/>
  <c r="I295" i="30"/>
  <c r="J295" i="30"/>
  <c r="K295" i="30"/>
  <c r="L295" i="30"/>
  <c r="M295" i="30"/>
  <c r="N295" i="30"/>
  <c r="O295" i="30"/>
  <c r="P295" i="30"/>
  <c r="Q295" i="30"/>
  <c r="R295" i="30"/>
  <c r="S295" i="30"/>
  <c r="T295" i="30"/>
  <c r="U295" i="30"/>
  <c r="V295" i="30"/>
  <c r="W295" i="30"/>
  <c r="X295" i="30"/>
  <c r="Y295" i="30"/>
  <c r="Z295" i="30"/>
  <c r="AA295" i="30"/>
  <c r="AB295" i="30"/>
  <c r="AC295" i="30"/>
  <c r="AD295" i="30"/>
  <c r="AE295" i="30"/>
  <c r="AF295" i="30"/>
  <c r="AG295" i="30"/>
  <c r="E298" i="30"/>
  <c r="F298" i="30"/>
  <c r="G298" i="30"/>
  <c r="H298" i="30"/>
  <c r="I298" i="30"/>
  <c r="J298" i="30"/>
  <c r="K298" i="30"/>
  <c r="L298" i="30"/>
  <c r="M298" i="30"/>
  <c r="N298" i="30"/>
  <c r="O298" i="30"/>
  <c r="P298" i="30"/>
  <c r="Q298" i="30"/>
  <c r="R298" i="30"/>
  <c r="S298" i="30"/>
  <c r="T298" i="30"/>
  <c r="U298" i="30"/>
  <c r="V298" i="30"/>
  <c r="W298" i="30"/>
  <c r="X298" i="30"/>
  <c r="Y298" i="30"/>
  <c r="Z298" i="30"/>
  <c r="AA298" i="30"/>
  <c r="AB298" i="30"/>
  <c r="AC298" i="30"/>
  <c r="AD298" i="30"/>
  <c r="AE298" i="30"/>
  <c r="AF298" i="30"/>
  <c r="AG298" i="30"/>
  <c r="E299" i="30"/>
  <c r="F299" i="30"/>
  <c r="G299" i="30"/>
  <c r="H299" i="30"/>
  <c r="I299" i="30"/>
  <c r="J299" i="30"/>
  <c r="K299" i="30"/>
  <c r="L299" i="30"/>
  <c r="M299" i="30"/>
  <c r="N299" i="30"/>
  <c r="O299" i="30"/>
  <c r="P299" i="30"/>
  <c r="Q299" i="30"/>
  <c r="R299" i="30"/>
  <c r="S299" i="30"/>
  <c r="T299" i="30"/>
  <c r="U299" i="30"/>
  <c r="V299" i="30"/>
  <c r="W299" i="30"/>
  <c r="X299" i="30"/>
  <c r="Y299" i="30"/>
  <c r="Z299" i="30"/>
  <c r="AA299" i="30"/>
  <c r="AB299" i="30"/>
  <c r="AC299" i="30"/>
  <c r="AD299" i="30"/>
  <c r="AE299" i="30"/>
  <c r="AF299" i="30"/>
  <c r="AG299" i="30"/>
  <c r="AG300" i="30"/>
  <c r="AG301" i="30"/>
  <c r="C302" i="30"/>
  <c r="E302" i="30"/>
  <c r="F302" i="30"/>
  <c r="G302" i="30"/>
  <c r="H302" i="30"/>
  <c r="I302" i="30"/>
  <c r="J302" i="30"/>
  <c r="K302" i="30"/>
  <c r="L302" i="30"/>
  <c r="M302" i="30"/>
  <c r="N302" i="30"/>
  <c r="O302" i="30"/>
  <c r="P302" i="30"/>
  <c r="Q302" i="30"/>
  <c r="R302" i="30"/>
  <c r="S302" i="30"/>
  <c r="T302" i="30"/>
  <c r="U302" i="30"/>
  <c r="V302" i="30"/>
  <c r="W302" i="30"/>
  <c r="X302" i="30"/>
  <c r="Y302" i="30"/>
  <c r="Z302" i="30"/>
  <c r="AA302" i="30"/>
  <c r="AB302" i="30"/>
  <c r="AC302" i="30"/>
  <c r="AD302" i="30"/>
  <c r="AE302" i="30"/>
  <c r="AF302" i="30"/>
  <c r="AG302" i="30"/>
  <c r="E306" i="30"/>
  <c r="F306" i="30"/>
  <c r="G306" i="30"/>
  <c r="H306" i="30"/>
  <c r="I306" i="30"/>
  <c r="J306" i="30"/>
  <c r="K306" i="30"/>
  <c r="L306" i="30"/>
  <c r="M306" i="30"/>
  <c r="N306" i="30"/>
  <c r="O306" i="30"/>
  <c r="P306" i="30"/>
  <c r="Q306" i="30"/>
  <c r="R306" i="30"/>
  <c r="S306" i="30"/>
  <c r="T306" i="30"/>
  <c r="U306" i="30"/>
  <c r="V306" i="30"/>
  <c r="W306" i="30"/>
  <c r="X306" i="30"/>
  <c r="Y306" i="30"/>
  <c r="Z306" i="30"/>
  <c r="AA306" i="30"/>
  <c r="AB306" i="30"/>
  <c r="AC306" i="30"/>
  <c r="AD306" i="30"/>
  <c r="AE306" i="30"/>
  <c r="AF306" i="30"/>
  <c r="AG306" i="30"/>
  <c r="AG307" i="30"/>
  <c r="AG308" i="30"/>
  <c r="C309" i="30"/>
  <c r="E309" i="30"/>
  <c r="F309" i="30"/>
  <c r="G309" i="30"/>
  <c r="H309" i="30"/>
  <c r="I309" i="30"/>
  <c r="J309" i="30"/>
  <c r="K309" i="30"/>
  <c r="L309" i="30"/>
  <c r="M309" i="30"/>
  <c r="N309" i="30"/>
  <c r="O309" i="30"/>
  <c r="P309" i="30"/>
  <c r="Q309" i="30"/>
  <c r="R309" i="30"/>
  <c r="S309" i="30"/>
  <c r="T309" i="30"/>
  <c r="U309" i="30"/>
  <c r="V309" i="30"/>
  <c r="W309" i="30"/>
  <c r="X309" i="30"/>
  <c r="Y309" i="30"/>
  <c r="Z309" i="30"/>
  <c r="AA309" i="30"/>
  <c r="AB309" i="30"/>
  <c r="AC309" i="30"/>
  <c r="AD309" i="30"/>
  <c r="AE309" i="30"/>
  <c r="AF309" i="30"/>
  <c r="AG309" i="30"/>
  <c r="D312" i="30"/>
  <c r="E312" i="30"/>
  <c r="F312" i="30"/>
  <c r="G312" i="30"/>
  <c r="H312" i="30"/>
  <c r="I312" i="30"/>
  <c r="J312" i="30"/>
  <c r="K312" i="30"/>
  <c r="L312" i="30"/>
  <c r="M312" i="30"/>
  <c r="N312" i="30"/>
  <c r="O312" i="30"/>
  <c r="P312" i="30"/>
  <c r="Q312" i="30"/>
  <c r="R312" i="30"/>
  <c r="S312" i="30"/>
  <c r="T312" i="30"/>
  <c r="U312" i="30"/>
  <c r="V312" i="30"/>
  <c r="W312" i="30"/>
  <c r="X312" i="30"/>
  <c r="Y312" i="30"/>
  <c r="Z312" i="30"/>
  <c r="AA312" i="30"/>
  <c r="AB312" i="30"/>
  <c r="AC312" i="30"/>
  <c r="AD312" i="30"/>
  <c r="AE312" i="30"/>
  <c r="AF312" i="30"/>
  <c r="AG312" i="30"/>
  <c r="C313" i="30"/>
  <c r="D313" i="30"/>
  <c r="E313" i="30"/>
  <c r="F313" i="30"/>
  <c r="G313" i="30"/>
  <c r="H313" i="30"/>
  <c r="I313" i="30"/>
  <c r="J313" i="30"/>
  <c r="K313" i="30"/>
  <c r="L313" i="30"/>
  <c r="M313" i="30"/>
  <c r="N313" i="30"/>
  <c r="O313" i="30"/>
  <c r="P313" i="30"/>
  <c r="Q313" i="30"/>
  <c r="R313" i="30"/>
  <c r="S313" i="30"/>
  <c r="T313" i="30"/>
  <c r="U313" i="30"/>
  <c r="V313" i="30"/>
  <c r="W313" i="30"/>
  <c r="X313" i="30"/>
  <c r="Y313" i="30"/>
  <c r="Z313" i="30"/>
  <c r="AA313" i="30"/>
  <c r="AB313" i="30"/>
  <c r="AC313" i="30"/>
  <c r="AD313" i="30"/>
  <c r="AE313" i="30"/>
  <c r="AF313" i="30"/>
  <c r="AG313" i="30"/>
  <c r="AH313" i="30"/>
  <c r="AI313" i="30"/>
  <c r="AJ313" i="30"/>
  <c r="AK313" i="30"/>
  <c r="AL313" i="30"/>
  <c r="AM313" i="30"/>
  <c r="AN313" i="30"/>
  <c r="AO313" i="30"/>
  <c r="AP313" i="30"/>
  <c r="AQ313" i="30"/>
  <c r="AR313" i="30"/>
  <c r="AS313" i="30"/>
  <c r="AT313" i="30"/>
  <c r="AU313" i="30"/>
  <c r="AV313" i="30"/>
  <c r="AW313" i="30"/>
  <c r="AX313" i="30"/>
  <c r="AY313" i="30"/>
  <c r="AZ313" i="30"/>
  <c r="BA313" i="30"/>
  <c r="BB313" i="30"/>
  <c r="BC313" i="30"/>
  <c r="BD313" i="30"/>
  <c r="BE313" i="30"/>
  <c r="BF313" i="30"/>
  <c r="BG313" i="30"/>
  <c r="BH313" i="30"/>
  <c r="BI313" i="30"/>
  <c r="BJ313" i="30"/>
  <c r="BK313" i="30"/>
  <c r="BL313" i="30"/>
  <c r="BM313" i="30"/>
  <c r="BN313" i="30"/>
  <c r="BO313" i="30"/>
  <c r="BP313" i="30"/>
  <c r="BQ313" i="30"/>
  <c r="BR313" i="30"/>
  <c r="BS313" i="30"/>
  <c r="BT313" i="30"/>
  <c r="BU313" i="30"/>
  <c r="BV313" i="30"/>
  <c r="BW313" i="30"/>
  <c r="BX313" i="30"/>
  <c r="BY313" i="30"/>
  <c r="BZ313" i="30"/>
  <c r="CA313" i="30"/>
  <c r="CB313" i="30"/>
  <c r="CC313" i="30"/>
  <c r="CD313" i="30"/>
  <c r="CE313" i="30"/>
  <c r="CF313" i="30"/>
  <c r="CG313" i="30"/>
  <c r="CH313" i="30"/>
  <c r="CI313" i="30"/>
  <c r="CJ313" i="30"/>
  <c r="CK313" i="30"/>
  <c r="CL313" i="30"/>
  <c r="CM313" i="30"/>
  <c r="CN313" i="30"/>
  <c r="CO313" i="30"/>
  <c r="CP313" i="30"/>
  <c r="CQ313" i="30"/>
  <c r="CR313" i="30"/>
  <c r="CS313" i="30"/>
  <c r="CT313" i="30"/>
  <c r="CU313" i="30"/>
  <c r="CV313" i="30"/>
  <c r="CW313" i="30"/>
  <c r="CX313" i="30"/>
  <c r="CY313" i="30"/>
  <c r="CZ313" i="30"/>
  <c r="DA313" i="30"/>
  <c r="DB313" i="30"/>
  <c r="DC313" i="30"/>
  <c r="DD313" i="30"/>
  <c r="DE313" i="30"/>
  <c r="DF313" i="30"/>
  <c r="DG313" i="30"/>
  <c r="DH313" i="30"/>
  <c r="DI313" i="30"/>
  <c r="DJ313" i="30"/>
  <c r="DK313" i="30"/>
  <c r="DL313" i="30"/>
  <c r="DM313" i="30"/>
  <c r="DN313" i="30"/>
  <c r="DO313" i="30"/>
  <c r="DP313" i="30"/>
  <c r="DQ313" i="30"/>
  <c r="DR313" i="30"/>
  <c r="DS313" i="30"/>
  <c r="DT313" i="30"/>
  <c r="DU313" i="30"/>
  <c r="AG314" i="30"/>
  <c r="C315" i="30"/>
  <c r="D315" i="30"/>
  <c r="E315" i="30"/>
  <c r="F315" i="30"/>
  <c r="G315" i="30"/>
  <c r="H315" i="30"/>
  <c r="I315" i="30"/>
  <c r="J315" i="30"/>
  <c r="K315" i="30"/>
  <c r="L315" i="30"/>
  <c r="M315" i="30"/>
  <c r="N315" i="30"/>
  <c r="O315" i="30"/>
  <c r="P315" i="30"/>
  <c r="Q315" i="30"/>
  <c r="R315" i="30"/>
  <c r="S315" i="30"/>
  <c r="T315" i="30"/>
  <c r="U315" i="30"/>
  <c r="V315" i="30"/>
  <c r="W315" i="30"/>
  <c r="X315" i="30"/>
  <c r="Y315" i="30"/>
  <c r="Z315" i="30"/>
  <c r="AA315" i="30"/>
  <c r="AB315" i="30"/>
  <c r="AC315" i="30"/>
  <c r="AD315" i="30"/>
  <c r="AE315" i="30"/>
  <c r="AF315" i="30"/>
  <c r="AG315" i="30"/>
  <c r="AH315" i="30"/>
  <c r="AI315" i="30"/>
  <c r="AJ315" i="30"/>
  <c r="AK315" i="30"/>
  <c r="AL315" i="30"/>
  <c r="AM315" i="30"/>
  <c r="AN315" i="30"/>
  <c r="AO315" i="30"/>
  <c r="AP315" i="30"/>
  <c r="AQ315" i="30"/>
  <c r="AR315" i="30"/>
  <c r="AS315" i="30"/>
  <c r="AT315" i="30"/>
  <c r="AU315" i="30"/>
  <c r="AV315" i="30"/>
  <c r="AW315" i="30"/>
  <c r="AX315" i="30"/>
  <c r="AY315" i="30"/>
  <c r="AZ315" i="30"/>
  <c r="BA315" i="30"/>
  <c r="BB315" i="30"/>
  <c r="BC315" i="30"/>
  <c r="BD315" i="30"/>
  <c r="BE315" i="30"/>
  <c r="BF315" i="30"/>
  <c r="BG315" i="30"/>
  <c r="BH315" i="30"/>
  <c r="BI315" i="30"/>
  <c r="BJ315" i="30"/>
  <c r="BK315" i="30"/>
  <c r="BL315" i="30"/>
  <c r="BM315" i="30"/>
  <c r="BN315" i="30"/>
  <c r="BO315" i="30"/>
  <c r="BP315" i="30"/>
  <c r="BQ315" i="30"/>
  <c r="BR315" i="30"/>
  <c r="BS315" i="30"/>
  <c r="BT315" i="30"/>
  <c r="BU315" i="30"/>
  <c r="BV315" i="30"/>
  <c r="BW315" i="30"/>
  <c r="BX315" i="30"/>
  <c r="BY315" i="30"/>
  <c r="BZ315" i="30"/>
  <c r="CA315" i="30"/>
  <c r="CB315" i="30"/>
  <c r="CC315" i="30"/>
  <c r="CD315" i="30"/>
  <c r="CE315" i="30"/>
  <c r="CF315" i="30"/>
  <c r="CG315" i="30"/>
  <c r="CH315" i="30"/>
  <c r="CI315" i="30"/>
  <c r="CJ315" i="30"/>
  <c r="CK315" i="30"/>
  <c r="CL315" i="30"/>
  <c r="CM315" i="30"/>
  <c r="CN315" i="30"/>
  <c r="CO315" i="30"/>
  <c r="CP315" i="30"/>
  <c r="CQ315" i="30"/>
  <c r="CR315" i="30"/>
  <c r="CS315" i="30"/>
  <c r="CT315" i="30"/>
  <c r="CU315" i="30"/>
  <c r="CV315" i="30"/>
  <c r="CW315" i="30"/>
  <c r="CX315" i="30"/>
  <c r="CY315" i="30"/>
  <c r="CZ315" i="30"/>
  <c r="DA315" i="30"/>
  <c r="DB315" i="30"/>
  <c r="DC315" i="30"/>
  <c r="DD315" i="30"/>
  <c r="DE315" i="30"/>
  <c r="DF315" i="30"/>
  <c r="DG315" i="30"/>
  <c r="DH315" i="30"/>
  <c r="DI315" i="30"/>
  <c r="DJ315" i="30"/>
  <c r="DK315" i="30"/>
  <c r="DL315" i="30"/>
  <c r="DM315" i="30"/>
  <c r="DN315" i="30"/>
  <c r="DO315" i="30"/>
  <c r="DP315" i="30"/>
  <c r="DQ315" i="30"/>
  <c r="DR315" i="30"/>
  <c r="DS315" i="30"/>
  <c r="DT315" i="30"/>
  <c r="DU315" i="30"/>
  <c r="F318" i="30"/>
  <c r="G318" i="30"/>
  <c r="H318" i="30"/>
  <c r="I318" i="30"/>
  <c r="J318" i="30"/>
  <c r="K318" i="30"/>
  <c r="L318" i="30"/>
  <c r="M318" i="30"/>
  <c r="N318" i="30"/>
  <c r="O318" i="30"/>
  <c r="P318" i="30"/>
  <c r="Q318" i="30"/>
  <c r="R318" i="30"/>
  <c r="S318" i="30"/>
  <c r="T318" i="30"/>
  <c r="U318" i="30"/>
  <c r="V318" i="30"/>
  <c r="W318" i="30"/>
  <c r="X318" i="30"/>
  <c r="Y318" i="30"/>
  <c r="Z318" i="30"/>
  <c r="AA318" i="30"/>
  <c r="AB318" i="30"/>
  <c r="AC318" i="30"/>
  <c r="AD318" i="30"/>
  <c r="AE318" i="30"/>
  <c r="AF318" i="30"/>
  <c r="AG318" i="30"/>
  <c r="AH318" i="30"/>
  <c r="AI318" i="30"/>
  <c r="AJ318" i="30"/>
  <c r="AK318" i="30"/>
  <c r="AL318" i="30"/>
  <c r="AM318" i="30"/>
  <c r="AN318" i="30"/>
  <c r="AO318" i="30"/>
  <c r="AP318" i="30"/>
  <c r="AQ318" i="30"/>
  <c r="AR318" i="30"/>
  <c r="AS318" i="30"/>
  <c r="AT318" i="30"/>
  <c r="AU318" i="30"/>
  <c r="AV318" i="30"/>
  <c r="AW318" i="30"/>
  <c r="AX318" i="30"/>
  <c r="AY318" i="30"/>
  <c r="AZ318" i="30"/>
  <c r="BA318" i="30"/>
  <c r="BB318" i="30"/>
  <c r="BC318" i="30"/>
  <c r="BD318" i="30"/>
  <c r="BE318" i="30"/>
  <c r="BF318" i="30"/>
  <c r="BG318" i="30"/>
  <c r="BH318" i="30"/>
  <c r="BI318" i="30"/>
  <c r="BJ318" i="30"/>
  <c r="BK318" i="30"/>
  <c r="BL318" i="30"/>
  <c r="BM318" i="30"/>
  <c r="BN318" i="30"/>
  <c r="BO318" i="30"/>
  <c r="BP318" i="30"/>
  <c r="BQ318" i="30"/>
  <c r="BR318" i="30"/>
  <c r="BS318" i="30"/>
  <c r="BT318" i="30"/>
  <c r="BU318" i="30"/>
  <c r="BV318" i="30"/>
  <c r="BW318" i="30"/>
  <c r="BX318" i="30"/>
  <c r="BY318" i="30"/>
  <c r="BZ318" i="30"/>
  <c r="CA318" i="30"/>
  <c r="CB318" i="30"/>
  <c r="CC318" i="30"/>
  <c r="CD318" i="30"/>
  <c r="CE318" i="30"/>
  <c r="CF318" i="30"/>
  <c r="CG318" i="30"/>
  <c r="CH318" i="30"/>
  <c r="CI318" i="30"/>
  <c r="CJ318" i="30"/>
  <c r="CK318" i="30"/>
  <c r="CL318" i="30"/>
  <c r="CM318" i="30"/>
  <c r="CN318" i="30"/>
  <c r="CO318" i="30"/>
  <c r="CP318" i="30"/>
  <c r="CQ318" i="30"/>
  <c r="CR318" i="30"/>
  <c r="CS318" i="30"/>
  <c r="CT318" i="30"/>
  <c r="CU318" i="30"/>
  <c r="CV318" i="30"/>
  <c r="CW318" i="30"/>
  <c r="CX318" i="30"/>
  <c r="CY318" i="30"/>
  <c r="CZ318" i="30"/>
  <c r="DA318" i="30"/>
  <c r="DB318" i="30"/>
  <c r="DC318" i="30"/>
  <c r="DD318" i="30"/>
  <c r="DE318" i="30"/>
  <c r="DF318" i="30"/>
  <c r="DG318" i="30"/>
  <c r="DH318" i="30"/>
  <c r="DI318" i="30"/>
  <c r="DJ318" i="30"/>
  <c r="DK318" i="30"/>
  <c r="DL318" i="30"/>
  <c r="DM318" i="30"/>
  <c r="DN318" i="30"/>
  <c r="DO318" i="30"/>
  <c r="DP318" i="30"/>
  <c r="DQ318" i="30"/>
  <c r="DR318" i="30"/>
  <c r="DS318" i="30"/>
  <c r="DT318" i="30"/>
  <c r="DU318" i="30"/>
  <c r="AD319" i="30"/>
  <c r="AE319" i="30"/>
  <c r="AF319" i="30"/>
  <c r="AG319" i="30"/>
  <c r="AH319" i="30"/>
  <c r="AI319" i="30"/>
  <c r="AJ319" i="30"/>
  <c r="AK319" i="30"/>
  <c r="AL319" i="30"/>
  <c r="AM319" i="30"/>
  <c r="AN319" i="30"/>
  <c r="AO319" i="30"/>
  <c r="AP319" i="30"/>
  <c r="AQ319" i="30"/>
  <c r="AR319" i="30"/>
  <c r="AS319" i="30"/>
  <c r="AT319" i="30"/>
  <c r="AU319" i="30"/>
  <c r="AV319" i="30"/>
  <c r="AW319" i="30"/>
  <c r="AX319" i="30"/>
  <c r="AY319" i="30"/>
  <c r="AZ319" i="30"/>
  <c r="BA319" i="30"/>
  <c r="BB319" i="30"/>
  <c r="BC319" i="30"/>
  <c r="BD319" i="30"/>
  <c r="BE319" i="30"/>
  <c r="BF319" i="30"/>
  <c r="BG319" i="30"/>
  <c r="BH319" i="30"/>
  <c r="BI319" i="30"/>
  <c r="BJ319" i="30"/>
  <c r="BK319" i="30"/>
  <c r="BL319" i="30"/>
  <c r="BM319" i="30"/>
  <c r="BN319" i="30"/>
  <c r="BO319" i="30"/>
  <c r="BP319" i="30"/>
  <c r="BQ319" i="30"/>
  <c r="BR319" i="30"/>
  <c r="BS319" i="30"/>
  <c r="BT319" i="30"/>
  <c r="BU319" i="30"/>
  <c r="BV319" i="30"/>
  <c r="BW319" i="30"/>
  <c r="BX319" i="30"/>
  <c r="BY319" i="30"/>
  <c r="BZ319" i="30"/>
  <c r="CA319" i="30"/>
  <c r="CB319" i="30"/>
  <c r="CC319" i="30"/>
  <c r="CD319" i="30"/>
  <c r="CE319" i="30"/>
  <c r="CF319" i="30"/>
  <c r="CG319" i="30"/>
  <c r="CH319" i="30"/>
  <c r="CI319" i="30"/>
  <c r="CJ319" i="30"/>
  <c r="CK319" i="30"/>
  <c r="CL319" i="30"/>
  <c r="CM319" i="30"/>
  <c r="CN319" i="30"/>
  <c r="CO319" i="30"/>
  <c r="CP319" i="30"/>
  <c r="CQ319" i="30"/>
  <c r="CR319" i="30"/>
  <c r="CS319" i="30"/>
  <c r="CT319" i="30"/>
  <c r="CU319" i="30"/>
  <c r="CV319" i="30"/>
  <c r="CW319" i="30"/>
  <c r="CX319" i="30"/>
  <c r="CY319" i="30"/>
  <c r="CZ319" i="30"/>
  <c r="DA319" i="30"/>
  <c r="DB319" i="30"/>
  <c r="DC319" i="30"/>
  <c r="DD319" i="30"/>
  <c r="DE319" i="30"/>
  <c r="DF319" i="30"/>
  <c r="DG319" i="30"/>
  <c r="DH319" i="30"/>
  <c r="DI319" i="30"/>
  <c r="DJ319" i="30"/>
  <c r="DK319" i="30"/>
  <c r="DL319" i="30"/>
  <c r="DM319" i="30"/>
  <c r="DN319" i="30"/>
  <c r="DO319" i="30"/>
  <c r="DP319" i="30"/>
  <c r="DQ319" i="30"/>
  <c r="DR319" i="30"/>
  <c r="DS319" i="30"/>
  <c r="DT319" i="30"/>
  <c r="DU319" i="30"/>
  <c r="DV319" i="30"/>
  <c r="DW319" i="30"/>
  <c r="DX319" i="30"/>
  <c r="DY319" i="30"/>
  <c r="DZ319" i="30"/>
  <c r="EA319" i="30"/>
  <c r="EB319" i="30"/>
  <c r="EC319" i="30"/>
  <c r="ED319" i="30"/>
  <c r="EE319" i="30"/>
  <c r="EF319" i="30"/>
  <c r="EG319" i="30"/>
  <c r="C330" i="30"/>
  <c r="E330" i="30"/>
  <c r="F330" i="30"/>
  <c r="G330" i="30"/>
  <c r="H330" i="30"/>
  <c r="I330" i="30"/>
  <c r="J330" i="30"/>
  <c r="K330" i="30"/>
  <c r="L330" i="30"/>
  <c r="M330" i="30"/>
  <c r="N330" i="30"/>
  <c r="O330" i="30"/>
  <c r="P330" i="30"/>
  <c r="Q330" i="30"/>
  <c r="R330" i="30"/>
  <c r="S330" i="30"/>
  <c r="T330" i="30"/>
  <c r="U330" i="30"/>
  <c r="V330" i="30"/>
  <c r="W330" i="30"/>
  <c r="X330" i="30"/>
  <c r="Y330" i="30"/>
  <c r="Z330" i="30"/>
  <c r="AA330" i="30"/>
  <c r="AB330" i="30"/>
  <c r="AC330" i="30"/>
  <c r="AD330" i="30"/>
  <c r="AE330" i="30"/>
  <c r="AF330" i="30"/>
  <c r="AG330" i="30"/>
  <c r="AG332" i="30"/>
  <c r="F335" i="30"/>
  <c r="G335" i="30"/>
  <c r="H335" i="30"/>
  <c r="I335" i="30"/>
  <c r="J335" i="30"/>
  <c r="K335" i="30"/>
  <c r="L335" i="30"/>
  <c r="M335" i="30"/>
  <c r="N335" i="30"/>
  <c r="O335" i="30"/>
  <c r="P335" i="30"/>
  <c r="Q335" i="30"/>
  <c r="R335" i="30"/>
  <c r="S335" i="30"/>
  <c r="T335" i="30"/>
  <c r="U335" i="30"/>
  <c r="V335" i="30"/>
  <c r="W335" i="30"/>
  <c r="X335" i="30"/>
  <c r="Y335" i="30"/>
  <c r="Z335" i="30"/>
  <c r="AA335" i="30"/>
  <c r="AB335" i="30"/>
  <c r="AC335" i="30"/>
  <c r="AD335" i="30"/>
  <c r="AE335" i="30"/>
  <c r="AF335" i="30"/>
  <c r="AG335" i="30"/>
  <c r="AH335" i="30"/>
  <c r="AI335" i="30"/>
  <c r="AJ335" i="30"/>
  <c r="AK335" i="30"/>
  <c r="AL335" i="30"/>
  <c r="AM335" i="30"/>
  <c r="AN335" i="30"/>
  <c r="AO335" i="30"/>
  <c r="AP335" i="30"/>
  <c r="AQ335" i="30"/>
  <c r="AR335" i="30"/>
  <c r="AS335" i="30"/>
  <c r="AT335" i="30"/>
  <c r="AU335" i="30"/>
  <c r="AV335" i="30"/>
  <c r="AW335" i="30"/>
  <c r="AX335" i="30"/>
  <c r="AY335" i="30"/>
  <c r="AZ335" i="30"/>
  <c r="BA335" i="30"/>
  <c r="BB335" i="30"/>
  <c r="BC335" i="30"/>
  <c r="BD335" i="30"/>
  <c r="BE335" i="30"/>
  <c r="BF335" i="30"/>
  <c r="BG335" i="30"/>
  <c r="BH335" i="30"/>
  <c r="BI335" i="30"/>
  <c r="BJ335" i="30"/>
  <c r="BK335" i="30"/>
  <c r="BL335" i="30"/>
  <c r="BM335" i="30"/>
  <c r="BN335" i="30"/>
  <c r="BO335" i="30"/>
  <c r="BP335" i="30"/>
  <c r="BQ335" i="30"/>
  <c r="BR335" i="30"/>
  <c r="BS335" i="30"/>
  <c r="BT335" i="30"/>
  <c r="BU335" i="30"/>
  <c r="BV335" i="30"/>
  <c r="BW335" i="30"/>
  <c r="BX335" i="30"/>
  <c r="BY335" i="30"/>
  <c r="BZ335" i="30"/>
  <c r="CA335" i="30"/>
  <c r="CB335" i="30"/>
  <c r="CC335" i="30"/>
  <c r="CD335" i="30"/>
  <c r="CE335" i="30"/>
  <c r="CF335" i="30"/>
  <c r="CG335" i="30"/>
  <c r="CH335" i="30"/>
  <c r="CI335" i="30"/>
  <c r="CJ335" i="30"/>
  <c r="CK335" i="30"/>
  <c r="CL335" i="30"/>
  <c r="CM335" i="30"/>
  <c r="CN335" i="30"/>
  <c r="CO335" i="30"/>
  <c r="CP335" i="30"/>
  <c r="CQ335" i="30"/>
  <c r="CR335" i="30"/>
  <c r="CS335" i="30"/>
  <c r="CT335" i="30"/>
  <c r="CU335" i="30"/>
  <c r="CV335" i="30"/>
  <c r="CW335" i="30"/>
  <c r="CX335" i="30"/>
  <c r="CY335" i="30"/>
  <c r="CZ335" i="30"/>
  <c r="DA335" i="30"/>
  <c r="DB335" i="30"/>
  <c r="DC335" i="30"/>
  <c r="DD335" i="30"/>
  <c r="DE335" i="30"/>
  <c r="DF335" i="30"/>
  <c r="DG335" i="30"/>
  <c r="DH335" i="30"/>
  <c r="DI335" i="30"/>
  <c r="DJ335" i="30"/>
  <c r="DK335" i="30"/>
  <c r="DL335" i="30"/>
  <c r="DM335" i="30"/>
  <c r="DN335" i="30"/>
  <c r="DO335" i="30"/>
  <c r="DP335" i="30"/>
  <c r="DQ335" i="30"/>
  <c r="DR335" i="30"/>
  <c r="DS335" i="30"/>
  <c r="DT335" i="30"/>
  <c r="DU335" i="30"/>
  <c r="E336" i="30"/>
  <c r="F336" i="30"/>
  <c r="G336" i="30"/>
  <c r="H336" i="30"/>
  <c r="I336" i="30"/>
  <c r="J336" i="30"/>
  <c r="K336" i="30"/>
  <c r="L336" i="30"/>
  <c r="M336" i="30"/>
  <c r="N336" i="30"/>
  <c r="O336" i="30"/>
  <c r="P336" i="30"/>
  <c r="Q336" i="30"/>
  <c r="R336" i="30"/>
  <c r="S336" i="30"/>
  <c r="T336" i="30"/>
  <c r="U336" i="30"/>
  <c r="V336" i="30"/>
  <c r="W336" i="30"/>
  <c r="X336" i="30"/>
  <c r="Y336" i="30"/>
  <c r="Z336" i="30"/>
  <c r="AA336" i="30"/>
  <c r="AB336" i="30"/>
  <c r="AC336" i="30"/>
  <c r="AD336" i="30"/>
  <c r="AE336" i="30"/>
  <c r="AF336" i="30"/>
  <c r="AG336" i="30"/>
  <c r="AH336" i="30"/>
  <c r="AI336" i="30"/>
  <c r="AJ336" i="30"/>
  <c r="AK336" i="30"/>
  <c r="AL336" i="30"/>
  <c r="AM336" i="30"/>
  <c r="AN336" i="30"/>
  <c r="AO336" i="30"/>
  <c r="AP336" i="30"/>
  <c r="AQ336" i="30"/>
  <c r="AR336" i="30"/>
  <c r="AS336" i="30"/>
  <c r="AT336" i="30"/>
  <c r="AU336" i="30"/>
  <c r="AV336" i="30"/>
  <c r="AW336" i="30"/>
  <c r="AX336" i="30"/>
  <c r="AY336" i="30"/>
  <c r="AZ336" i="30"/>
  <c r="BA336" i="30"/>
  <c r="BB336" i="30"/>
  <c r="BC336" i="30"/>
  <c r="BD336" i="30"/>
  <c r="BE336" i="30"/>
  <c r="BF336" i="30"/>
  <c r="BG336" i="30"/>
  <c r="BH336" i="30"/>
  <c r="BI336" i="30"/>
  <c r="BJ336" i="30"/>
  <c r="BK336" i="30"/>
  <c r="BL336" i="30"/>
  <c r="BM336" i="30"/>
  <c r="BN336" i="30"/>
  <c r="BO336" i="30"/>
  <c r="BP336" i="30"/>
  <c r="BQ336" i="30"/>
  <c r="BR336" i="30"/>
  <c r="BS336" i="30"/>
  <c r="BT336" i="30"/>
  <c r="BU336" i="30"/>
  <c r="BV336" i="30"/>
  <c r="BW336" i="30"/>
  <c r="BX336" i="30"/>
  <c r="BY336" i="30"/>
  <c r="BZ336" i="30"/>
  <c r="CA336" i="30"/>
  <c r="CB336" i="30"/>
  <c r="CC336" i="30"/>
  <c r="CD336" i="30"/>
  <c r="CE336" i="30"/>
  <c r="CF336" i="30"/>
  <c r="CG336" i="30"/>
  <c r="CH336" i="30"/>
  <c r="CI336" i="30"/>
  <c r="CJ336" i="30"/>
  <c r="CK336" i="30"/>
  <c r="CL336" i="30"/>
  <c r="CM336" i="30"/>
  <c r="CN336" i="30"/>
  <c r="CO336" i="30"/>
  <c r="CP336" i="30"/>
  <c r="CQ336" i="30"/>
  <c r="CR336" i="30"/>
  <c r="CS336" i="30"/>
  <c r="CT336" i="30"/>
  <c r="CU336" i="30"/>
  <c r="CV336" i="30"/>
  <c r="CW336" i="30"/>
  <c r="CX336" i="30"/>
  <c r="CY336" i="30"/>
  <c r="CZ336" i="30"/>
  <c r="DA336" i="30"/>
  <c r="DB336" i="30"/>
  <c r="DC336" i="30"/>
  <c r="DD336" i="30"/>
  <c r="DE336" i="30"/>
  <c r="DF336" i="30"/>
  <c r="DG336" i="30"/>
  <c r="DH336" i="30"/>
  <c r="DI336" i="30"/>
  <c r="DJ336" i="30"/>
  <c r="DK336" i="30"/>
  <c r="DL336" i="30"/>
  <c r="DM336" i="30"/>
  <c r="DN336" i="30"/>
  <c r="DO336" i="30"/>
  <c r="DP336" i="30"/>
  <c r="DQ336" i="30"/>
  <c r="DR336" i="30"/>
  <c r="DS336" i="30"/>
  <c r="DT336" i="30"/>
  <c r="DU336" i="30"/>
  <c r="F337" i="30"/>
  <c r="G337" i="30"/>
  <c r="H337" i="30"/>
  <c r="I337" i="30"/>
  <c r="J337" i="30"/>
  <c r="K337" i="30"/>
  <c r="L337" i="30"/>
  <c r="M337" i="30"/>
  <c r="N337" i="30"/>
  <c r="O337" i="30"/>
  <c r="P337" i="30"/>
  <c r="Q337" i="30"/>
  <c r="R337" i="30"/>
  <c r="S337" i="30"/>
  <c r="T337" i="30"/>
  <c r="U337" i="30"/>
  <c r="V337" i="30"/>
  <c r="W337" i="30"/>
  <c r="X337" i="30"/>
  <c r="Y337" i="30"/>
  <c r="Z337" i="30"/>
  <c r="AA337" i="30"/>
  <c r="AB337" i="30"/>
  <c r="AC337" i="30"/>
  <c r="AD337" i="30"/>
  <c r="AE337" i="30"/>
  <c r="AF337" i="30"/>
  <c r="AG337" i="30"/>
  <c r="AH337" i="30"/>
  <c r="AI337" i="30"/>
  <c r="AJ337" i="30"/>
  <c r="AK337" i="30"/>
  <c r="AL337" i="30"/>
  <c r="AM337" i="30"/>
  <c r="AN337" i="30"/>
  <c r="AO337" i="30"/>
  <c r="AP337" i="30"/>
  <c r="AQ337" i="30"/>
  <c r="AR337" i="30"/>
  <c r="AS337" i="30"/>
  <c r="AT337" i="30"/>
  <c r="AU337" i="30"/>
  <c r="AV337" i="30"/>
  <c r="AW337" i="30"/>
  <c r="AX337" i="30"/>
  <c r="AY337" i="30"/>
  <c r="AZ337" i="30"/>
  <c r="BA337" i="30"/>
  <c r="BB337" i="30"/>
  <c r="BC337" i="30"/>
  <c r="BD337" i="30"/>
  <c r="BE337" i="30"/>
  <c r="BF337" i="30"/>
  <c r="BG337" i="30"/>
  <c r="BH337" i="30"/>
  <c r="BI337" i="30"/>
  <c r="BJ337" i="30"/>
  <c r="BK337" i="30"/>
  <c r="BL337" i="30"/>
  <c r="BM337" i="30"/>
  <c r="BN337" i="30"/>
  <c r="BO337" i="30"/>
  <c r="BP337" i="30"/>
  <c r="BQ337" i="30"/>
  <c r="BR337" i="30"/>
  <c r="BS337" i="30"/>
  <c r="BT337" i="30"/>
  <c r="BU337" i="30"/>
  <c r="BV337" i="30"/>
  <c r="BW337" i="30"/>
  <c r="BX337" i="30"/>
  <c r="BY337" i="30"/>
  <c r="BZ337" i="30"/>
  <c r="CA337" i="30"/>
  <c r="CB337" i="30"/>
  <c r="CC337" i="30"/>
  <c r="CD337" i="30"/>
  <c r="CE337" i="30"/>
  <c r="CF337" i="30"/>
  <c r="CG337" i="30"/>
  <c r="CH337" i="30"/>
  <c r="CI337" i="30"/>
  <c r="CJ337" i="30"/>
  <c r="CK337" i="30"/>
  <c r="CL337" i="30"/>
  <c r="CM337" i="30"/>
  <c r="CN337" i="30"/>
  <c r="CO337" i="30"/>
  <c r="CP337" i="30"/>
  <c r="CQ337" i="30"/>
  <c r="CR337" i="30"/>
  <c r="CS337" i="30"/>
  <c r="CT337" i="30"/>
  <c r="CU337" i="30"/>
  <c r="CV337" i="30"/>
  <c r="CW337" i="30"/>
  <c r="CX337" i="30"/>
  <c r="CY337" i="30"/>
  <c r="CZ337" i="30"/>
  <c r="DA337" i="30"/>
  <c r="DB337" i="30"/>
  <c r="DC337" i="30"/>
  <c r="DD337" i="30"/>
  <c r="DE337" i="30"/>
  <c r="DF337" i="30"/>
  <c r="DG337" i="30"/>
  <c r="DH337" i="30"/>
  <c r="DI337" i="30"/>
  <c r="DJ337" i="30"/>
  <c r="DK337" i="30"/>
  <c r="DL337" i="30"/>
  <c r="DM337" i="30"/>
  <c r="DN337" i="30"/>
  <c r="DO337" i="30"/>
  <c r="DP337" i="30"/>
  <c r="DQ337" i="30"/>
  <c r="DR337" i="30"/>
  <c r="DS337" i="30"/>
  <c r="DT337" i="30"/>
  <c r="DU337" i="30"/>
  <c r="E338" i="30"/>
  <c r="F338" i="30"/>
  <c r="G338" i="30"/>
  <c r="H338" i="30"/>
  <c r="I338" i="30"/>
  <c r="J338" i="30"/>
  <c r="K338" i="30"/>
  <c r="L338" i="30"/>
  <c r="M338" i="30"/>
  <c r="N338" i="30"/>
  <c r="O338" i="30"/>
  <c r="P338" i="30"/>
  <c r="Q338" i="30"/>
  <c r="R338" i="30"/>
  <c r="S338" i="30"/>
  <c r="T338" i="30"/>
  <c r="U338" i="30"/>
  <c r="V338" i="30"/>
  <c r="W338" i="30"/>
  <c r="X338" i="30"/>
  <c r="Y338" i="30"/>
  <c r="Z338" i="30"/>
  <c r="AA338" i="30"/>
  <c r="AB338" i="30"/>
  <c r="AC338" i="30"/>
  <c r="AD338" i="30"/>
  <c r="AE338" i="30"/>
  <c r="AF338" i="30"/>
  <c r="AG338" i="30"/>
  <c r="AH338" i="30"/>
  <c r="AI338" i="30"/>
  <c r="AJ338" i="30"/>
  <c r="AK338" i="30"/>
  <c r="AL338" i="30"/>
  <c r="AM338" i="30"/>
  <c r="AN338" i="30"/>
  <c r="AO338" i="30"/>
  <c r="AP338" i="30"/>
  <c r="AQ338" i="30"/>
  <c r="AR338" i="30"/>
  <c r="AS338" i="30"/>
  <c r="AT338" i="30"/>
  <c r="AU338" i="30"/>
  <c r="AV338" i="30"/>
  <c r="AW338" i="30"/>
  <c r="AX338" i="30"/>
  <c r="AY338" i="30"/>
  <c r="AZ338" i="30"/>
  <c r="BA338" i="30"/>
  <c r="BB338" i="30"/>
  <c r="BC338" i="30"/>
  <c r="BD338" i="30"/>
  <c r="BE338" i="30"/>
  <c r="BF338" i="30"/>
  <c r="BG338" i="30"/>
  <c r="BH338" i="30"/>
  <c r="BI338" i="30"/>
  <c r="BJ338" i="30"/>
  <c r="BK338" i="30"/>
  <c r="BL338" i="30"/>
  <c r="BM338" i="30"/>
  <c r="BN338" i="30"/>
  <c r="BO338" i="30"/>
  <c r="BP338" i="30"/>
  <c r="BQ338" i="30"/>
  <c r="BR338" i="30"/>
  <c r="BS338" i="30"/>
  <c r="BT338" i="30"/>
  <c r="BU338" i="30"/>
  <c r="BV338" i="30"/>
  <c r="BW338" i="30"/>
  <c r="BX338" i="30"/>
  <c r="BY338" i="30"/>
  <c r="BZ338" i="30"/>
  <c r="CA338" i="30"/>
  <c r="CB338" i="30"/>
  <c r="CC338" i="30"/>
  <c r="CD338" i="30"/>
  <c r="CE338" i="30"/>
  <c r="CF338" i="30"/>
  <c r="CG338" i="30"/>
  <c r="CH338" i="30"/>
  <c r="CI338" i="30"/>
  <c r="CJ338" i="30"/>
  <c r="CK338" i="30"/>
  <c r="CL338" i="30"/>
  <c r="CM338" i="30"/>
  <c r="CN338" i="30"/>
  <c r="CO338" i="30"/>
  <c r="CP338" i="30"/>
  <c r="CQ338" i="30"/>
  <c r="CR338" i="30"/>
  <c r="CS338" i="30"/>
  <c r="CT338" i="30"/>
  <c r="CU338" i="30"/>
  <c r="CV338" i="30"/>
  <c r="CW338" i="30"/>
  <c r="CX338" i="30"/>
  <c r="CY338" i="30"/>
  <c r="CZ338" i="30"/>
  <c r="DA338" i="30"/>
  <c r="DB338" i="30"/>
  <c r="DC338" i="30"/>
  <c r="DD338" i="30"/>
  <c r="DE338" i="30"/>
  <c r="DF338" i="30"/>
  <c r="DG338" i="30"/>
  <c r="DH338" i="30"/>
  <c r="DI338" i="30"/>
  <c r="DJ338" i="30"/>
  <c r="DK338" i="30"/>
  <c r="DL338" i="30"/>
  <c r="DM338" i="30"/>
  <c r="DN338" i="30"/>
  <c r="DO338" i="30"/>
  <c r="DP338" i="30"/>
  <c r="DQ338" i="30"/>
  <c r="DR338" i="30"/>
  <c r="DS338" i="30"/>
  <c r="DT338" i="30"/>
  <c r="DU338" i="30"/>
  <c r="E339" i="30"/>
  <c r="F339" i="30"/>
  <c r="G339" i="30"/>
  <c r="H339" i="30"/>
  <c r="I339" i="30"/>
  <c r="J339" i="30"/>
  <c r="K339" i="30"/>
  <c r="L339" i="30"/>
  <c r="M339" i="30"/>
  <c r="N339" i="30"/>
  <c r="O339" i="30"/>
  <c r="P339" i="30"/>
  <c r="Q339" i="30"/>
  <c r="R339" i="30"/>
  <c r="S339" i="30"/>
  <c r="T339" i="30"/>
  <c r="U339" i="30"/>
  <c r="V339" i="30"/>
  <c r="W339" i="30"/>
  <c r="X339" i="30"/>
  <c r="Y339" i="30"/>
  <c r="Z339" i="30"/>
  <c r="AA339" i="30"/>
  <c r="AB339" i="30"/>
  <c r="AC339" i="30"/>
  <c r="AD339" i="30"/>
  <c r="AE339" i="30"/>
  <c r="AF339" i="30"/>
  <c r="AG339" i="30"/>
  <c r="AH339" i="30"/>
  <c r="AI339" i="30"/>
  <c r="AJ339" i="30"/>
  <c r="AK339" i="30"/>
  <c r="AL339" i="30"/>
  <c r="AM339" i="30"/>
  <c r="AN339" i="30"/>
  <c r="AO339" i="30"/>
  <c r="AP339" i="30"/>
  <c r="AQ339" i="30"/>
  <c r="AR339" i="30"/>
  <c r="AS339" i="30"/>
  <c r="AT339" i="30"/>
  <c r="AU339" i="30"/>
  <c r="AV339" i="30"/>
  <c r="AW339" i="30"/>
  <c r="AX339" i="30"/>
  <c r="AY339" i="30"/>
  <c r="AZ339" i="30"/>
  <c r="BA339" i="30"/>
  <c r="BB339" i="30"/>
  <c r="BC339" i="30"/>
  <c r="BD339" i="30"/>
  <c r="BE339" i="30"/>
  <c r="BF339" i="30"/>
  <c r="BG339" i="30"/>
  <c r="BH339" i="30"/>
  <c r="BI339" i="30"/>
  <c r="BJ339" i="30"/>
  <c r="BK339" i="30"/>
  <c r="BL339" i="30"/>
  <c r="BM339" i="30"/>
  <c r="BN339" i="30"/>
  <c r="BO339" i="30"/>
  <c r="BP339" i="30"/>
  <c r="BQ339" i="30"/>
  <c r="BR339" i="30"/>
  <c r="BS339" i="30"/>
  <c r="BT339" i="30"/>
  <c r="BU339" i="30"/>
  <c r="BV339" i="30"/>
  <c r="BW339" i="30"/>
  <c r="BX339" i="30"/>
  <c r="BY339" i="30"/>
  <c r="BZ339" i="30"/>
  <c r="CA339" i="30"/>
  <c r="CB339" i="30"/>
  <c r="CC339" i="30"/>
  <c r="CD339" i="30"/>
  <c r="CE339" i="30"/>
  <c r="CF339" i="30"/>
  <c r="CG339" i="30"/>
  <c r="CH339" i="30"/>
  <c r="CI339" i="30"/>
  <c r="CJ339" i="30"/>
  <c r="CK339" i="30"/>
  <c r="CL339" i="30"/>
  <c r="CM339" i="30"/>
  <c r="CN339" i="30"/>
  <c r="CO339" i="30"/>
  <c r="CP339" i="30"/>
  <c r="CQ339" i="30"/>
  <c r="CR339" i="30"/>
  <c r="CS339" i="30"/>
  <c r="CT339" i="30"/>
  <c r="CU339" i="30"/>
  <c r="CV339" i="30"/>
  <c r="CW339" i="30"/>
  <c r="CX339" i="30"/>
  <c r="CY339" i="30"/>
  <c r="CZ339" i="30"/>
  <c r="DA339" i="30"/>
  <c r="DB339" i="30"/>
  <c r="DC339" i="30"/>
  <c r="DD339" i="30"/>
  <c r="DE339" i="30"/>
  <c r="DF339" i="30"/>
  <c r="DG339" i="30"/>
  <c r="DH339" i="30"/>
  <c r="DI339" i="30"/>
  <c r="DJ339" i="30"/>
  <c r="DK339" i="30"/>
  <c r="DL339" i="30"/>
  <c r="DM339" i="30"/>
  <c r="DN339" i="30"/>
  <c r="DO339" i="30"/>
  <c r="DP339" i="30"/>
  <c r="DQ339" i="30"/>
  <c r="DR339" i="30"/>
  <c r="DS339" i="30"/>
  <c r="DT339" i="30"/>
  <c r="DU339" i="30"/>
  <c r="E340" i="30"/>
  <c r="F340" i="30"/>
  <c r="G340" i="30"/>
  <c r="H340" i="30"/>
  <c r="I340" i="30"/>
  <c r="J340" i="30"/>
  <c r="K340" i="30"/>
  <c r="L340" i="30"/>
  <c r="M340" i="30"/>
  <c r="N340" i="30"/>
  <c r="O340" i="30"/>
  <c r="P340" i="30"/>
  <c r="Q340" i="30"/>
  <c r="R340" i="30"/>
  <c r="S340" i="30"/>
  <c r="T340" i="30"/>
  <c r="U340" i="30"/>
  <c r="V340" i="30"/>
  <c r="W340" i="30"/>
  <c r="X340" i="30"/>
  <c r="Y340" i="30"/>
  <c r="Z340" i="30"/>
  <c r="AA340" i="30"/>
  <c r="AB340" i="30"/>
  <c r="AC340" i="30"/>
  <c r="AD340" i="30"/>
  <c r="AE340" i="30"/>
  <c r="AF340" i="30"/>
  <c r="AG340" i="30"/>
  <c r="AH340" i="30"/>
  <c r="AI340" i="30"/>
  <c r="AJ340" i="30"/>
  <c r="AK340" i="30"/>
  <c r="AL340" i="30"/>
  <c r="AM340" i="30"/>
  <c r="AN340" i="30"/>
  <c r="AO340" i="30"/>
  <c r="AP340" i="30"/>
  <c r="AQ340" i="30"/>
  <c r="AR340" i="30"/>
  <c r="AS340" i="30"/>
  <c r="AT340" i="30"/>
  <c r="AU340" i="30"/>
  <c r="AV340" i="30"/>
  <c r="AW340" i="30"/>
  <c r="AX340" i="30"/>
  <c r="AY340" i="30"/>
  <c r="AZ340" i="30"/>
  <c r="BA340" i="30"/>
  <c r="BB340" i="30"/>
  <c r="BC340" i="30"/>
  <c r="BD340" i="30"/>
  <c r="BE340" i="30"/>
  <c r="BF340" i="30"/>
  <c r="BG340" i="30"/>
  <c r="BH340" i="30"/>
  <c r="BI340" i="30"/>
  <c r="BJ340" i="30"/>
  <c r="BK340" i="30"/>
  <c r="BL340" i="30"/>
  <c r="BM340" i="30"/>
  <c r="BN340" i="30"/>
  <c r="BO340" i="30"/>
  <c r="BP340" i="30"/>
  <c r="BQ340" i="30"/>
  <c r="BR340" i="30"/>
  <c r="BS340" i="30"/>
  <c r="BT340" i="30"/>
  <c r="BU340" i="30"/>
  <c r="BV340" i="30"/>
  <c r="BW340" i="30"/>
  <c r="BX340" i="30"/>
  <c r="BY340" i="30"/>
  <c r="BZ340" i="30"/>
  <c r="CA340" i="30"/>
  <c r="CB340" i="30"/>
  <c r="CC340" i="30"/>
  <c r="CD340" i="30"/>
  <c r="CE340" i="30"/>
  <c r="CF340" i="30"/>
  <c r="CG340" i="30"/>
  <c r="CH340" i="30"/>
  <c r="CI340" i="30"/>
  <c r="CJ340" i="30"/>
  <c r="CK340" i="30"/>
  <c r="CL340" i="30"/>
  <c r="CM340" i="30"/>
  <c r="CN340" i="30"/>
  <c r="CO340" i="30"/>
  <c r="CP340" i="30"/>
  <c r="CQ340" i="30"/>
  <c r="CR340" i="30"/>
  <c r="CS340" i="30"/>
  <c r="CT340" i="30"/>
  <c r="CU340" i="30"/>
  <c r="CV340" i="30"/>
  <c r="CW340" i="30"/>
  <c r="CX340" i="30"/>
  <c r="CY340" i="30"/>
  <c r="CZ340" i="30"/>
  <c r="DA340" i="30"/>
  <c r="DB340" i="30"/>
  <c r="DC340" i="30"/>
  <c r="DD340" i="30"/>
  <c r="DE340" i="30"/>
  <c r="DF340" i="30"/>
  <c r="DG340" i="30"/>
  <c r="DH340" i="30"/>
  <c r="DI340" i="30"/>
  <c r="DJ340" i="30"/>
  <c r="DK340" i="30"/>
  <c r="DL340" i="30"/>
  <c r="DM340" i="30"/>
  <c r="DN340" i="30"/>
  <c r="DO340" i="30"/>
  <c r="DP340" i="30"/>
  <c r="DQ340" i="30"/>
  <c r="DR340" i="30"/>
  <c r="DS340" i="30"/>
  <c r="DT340" i="30"/>
  <c r="DU340" i="30"/>
  <c r="C342" i="30"/>
  <c r="E342" i="30"/>
  <c r="F342" i="30"/>
  <c r="G342" i="30"/>
  <c r="H342" i="30"/>
  <c r="I342" i="30"/>
  <c r="J342" i="30"/>
  <c r="K342" i="30"/>
  <c r="L342" i="30"/>
  <c r="M342" i="30"/>
  <c r="N342" i="30"/>
  <c r="O342" i="30"/>
  <c r="P342" i="30"/>
  <c r="Q342" i="30"/>
  <c r="R342" i="30"/>
  <c r="S342" i="30"/>
  <c r="T342" i="30"/>
  <c r="U342" i="30"/>
  <c r="V342" i="30"/>
  <c r="W342" i="30"/>
  <c r="X342" i="30"/>
  <c r="Y342" i="30"/>
  <c r="Z342" i="30"/>
  <c r="AA342" i="30"/>
  <c r="AB342" i="30"/>
  <c r="AC342" i="30"/>
  <c r="AD342" i="30"/>
  <c r="AE342" i="30"/>
  <c r="AF342" i="30"/>
  <c r="AG342" i="30"/>
  <c r="AH342" i="30"/>
  <c r="AI342" i="30"/>
  <c r="AJ342" i="30"/>
  <c r="AK342" i="30"/>
  <c r="AL342" i="30"/>
  <c r="AM342" i="30"/>
  <c r="AN342" i="30"/>
  <c r="AO342" i="30"/>
  <c r="AP342" i="30"/>
  <c r="AQ342" i="30"/>
  <c r="AR342" i="30"/>
  <c r="AS342" i="30"/>
  <c r="AT342" i="30"/>
  <c r="AU342" i="30"/>
  <c r="AV342" i="30"/>
  <c r="AW342" i="30"/>
  <c r="AX342" i="30"/>
  <c r="AY342" i="30"/>
  <c r="AZ342" i="30"/>
  <c r="BA342" i="30"/>
  <c r="BB342" i="30"/>
  <c r="BC342" i="30"/>
  <c r="BD342" i="30"/>
  <c r="BE342" i="30"/>
  <c r="BF342" i="30"/>
  <c r="BG342" i="30"/>
  <c r="BH342" i="30"/>
  <c r="BI342" i="30"/>
  <c r="BJ342" i="30"/>
  <c r="BK342" i="30"/>
  <c r="BL342" i="30"/>
  <c r="BM342" i="30"/>
  <c r="BN342" i="30"/>
  <c r="BO342" i="30"/>
  <c r="BP342" i="30"/>
  <c r="BQ342" i="30"/>
  <c r="BR342" i="30"/>
  <c r="BS342" i="30"/>
  <c r="BT342" i="30"/>
  <c r="BU342" i="30"/>
  <c r="BV342" i="30"/>
  <c r="BW342" i="30"/>
  <c r="BX342" i="30"/>
  <c r="BY342" i="30"/>
  <c r="BZ342" i="30"/>
  <c r="CA342" i="30"/>
  <c r="CB342" i="30"/>
  <c r="CC342" i="30"/>
  <c r="CD342" i="30"/>
  <c r="CE342" i="30"/>
  <c r="CF342" i="30"/>
  <c r="CG342" i="30"/>
  <c r="CH342" i="30"/>
  <c r="CI342" i="30"/>
  <c r="CJ342" i="30"/>
  <c r="CK342" i="30"/>
  <c r="CL342" i="30"/>
  <c r="CM342" i="30"/>
  <c r="CN342" i="30"/>
  <c r="CO342" i="30"/>
  <c r="CP342" i="30"/>
  <c r="CQ342" i="30"/>
  <c r="CR342" i="30"/>
  <c r="CS342" i="30"/>
  <c r="CT342" i="30"/>
  <c r="CU342" i="30"/>
  <c r="CV342" i="30"/>
  <c r="CW342" i="30"/>
  <c r="CX342" i="30"/>
  <c r="CY342" i="30"/>
  <c r="CZ342" i="30"/>
  <c r="DA342" i="30"/>
  <c r="DB342" i="30"/>
  <c r="DC342" i="30"/>
  <c r="DD342" i="30"/>
  <c r="DE342" i="30"/>
  <c r="DF342" i="30"/>
  <c r="DG342" i="30"/>
  <c r="DH342" i="30"/>
  <c r="DI342" i="30"/>
  <c r="DJ342" i="30"/>
  <c r="DK342" i="30"/>
  <c r="DL342" i="30"/>
  <c r="DM342" i="30"/>
  <c r="DN342" i="30"/>
  <c r="DO342" i="30"/>
  <c r="DP342" i="30"/>
  <c r="DQ342" i="30"/>
  <c r="DR342" i="30"/>
  <c r="DS342" i="30"/>
  <c r="DT342" i="30"/>
  <c r="DU342" i="30"/>
  <c r="C343" i="30"/>
  <c r="F346" i="30"/>
  <c r="G346" i="30"/>
  <c r="H346" i="30"/>
  <c r="I346" i="30"/>
  <c r="J346" i="30"/>
  <c r="K346" i="30"/>
  <c r="L346" i="30"/>
  <c r="M346" i="30"/>
  <c r="N346" i="30"/>
  <c r="O346" i="30"/>
  <c r="P346" i="30"/>
  <c r="Q346" i="30"/>
  <c r="R346" i="30"/>
  <c r="S346" i="30"/>
  <c r="T346" i="30"/>
  <c r="U346" i="30"/>
  <c r="V346" i="30"/>
  <c r="W346" i="30"/>
  <c r="X346" i="30"/>
  <c r="Y346" i="30"/>
  <c r="Z346" i="30"/>
  <c r="AA346" i="30"/>
  <c r="AB346" i="30"/>
  <c r="AC346" i="30"/>
  <c r="AD346" i="30"/>
  <c r="AE346" i="30"/>
  <c r="AF346" i="30"/>
  <c r="AG346" i="30"/>
  <c r="AH346" i="30"/>
  <c r="AI346" i="30"/>
  <c r="AJ346" i="30"/>
  <c r="AK346" i="30"/>
  <c r="AL346" i="30"/>
  <c r="AM346" i="30"/>
  <c r="AN346" i="30"/>
  <c r="AO346" i="30"/>
  <c r="AP346" i="30"/>
  <c r="AQ346" i="30"/>
  <c r="AR346" i="30"/>
  <c r="AS346" i="30"/>
  <c r="AT346" i="30"/>
  <c r="AU346" i="30"/>
  <c r="AV346" i="30"/>
  <c r="AW346" i="30"/>
  <c r="AX346" i="30"/>
  <c r="AY346" i="30"/>
  <c r="AZ346" i="30"/>
  <c r="BA346" i="30"/>
  <c r="BB346" i="30"/>
  <c r="BC346" i="30"/>
  <c r="BD346" i="30"/>
  <c r="BE346" i="30"/>
  <c r="BF346" i="30"/>
  <c r="BG346" i="30"/>
  <c r="BH346" i="30"/>
  <c r="BI346" i="30"/>
  <c r="BJ346" i="30"/>
  <c r="BK346" i="30"/>
  <c r="BL346" i="30"/>
  <c r="BM346" i="30"/>
  <c r="BN346" i="30"/>
  <c r="BO346" i="30"/>
  <c r="BP346" i="30"/>
  <c r="BQ346" i="30"/>
  <c r="BR346" i="30"/>
  <c r="BS346" i="30"/>
  <c r="BT346" i="30"/>
  <c r="BU346" i="30"/>
  <c r="BV346" i="30"/>
  <c r="BW346" i="30"/>
  <c r="BX346" i="30"/>
  <c r="BY346" i="30"/>
  <c r="BZ346" i="30"/>
  <c r="CA346" i="30"/>
  <c r="CB346" i="30"/>
  <c r="CC346" i="30"/>
  <c r="CD346" i="30"/>
  <c r="CE346" i="30"/>
  <c r="CF346" i="30"/>
  <c r="CG346" i="30"/>
  <c r="CH346" i="30"/>
  <c r="CI346" i="30"/>
  <c r="CJ346" i="30"/>
  <c r="CK346" i="30"/>
  <c r="CL346" i="30"/>
  <c r="CM346" i="30"/>
  <c r="CN346" i="30"/>
  <c r="CO346" i="30"/>
  <c r="CP346" i="30"/>
  <c r="CQ346" i="30"/>
  <c r="CR346" i="30"/>
  <c r="CS346" i="30"/>
  <c r="CT346" i="30"/>
  <c r="CU346" i="30"/>
  <c r="CV346" i="30"/>
  <c r="CW346" i="30"/>
  <c r="CX346" i="30"/>
  <c r="CY346" i="30"/>
  <c r="CZ346" i="30"/>
  <c r="DA346" i="30"/>
  <c r="DB346" i="30"/>
  <c r="DC346" i="30"/>
  <c r="DD346" i="30"/>
  <c r="DE346" i="30"/>
  <c r="DF346" i="30"/>
  <c r="DG346" i="30"/>
  <c r="DH346" i="30"/>
  <c r="DI346" i="30"/>
  <c r="DJ346" i="30"/>
  <c r="DK346" i="30"/>
  <c r="DL346" i="30"/>
  <c r="DM346" i="30"/>
  <c r="DN346" i="30"/>
  <c r="DO346" i="30"/>
  <c r="DP346" i="30"/>
  <c r="DQ346" i="30"/>
  <c r="DR346" i="30"/>
  <c r="DS346" i="30"/>
  <c r="DT346" i="30"/>
  <c r="DU346" i="30"/>
  <c r="E347" i="30"/>
  <c r="F347" i="30"/>
  <c r="G347" i="30"/>
  <c r="H347" i="30"/>
  <c r="I347" i="30"/>
  <c r="J347" i="30"/>
  <c r="K347" i="30"/>
  <c r="L347" i="30"/>
  <c r="M347" i="30"/>
  <c r="N347" i="30"/>
  <c r="O347" i="30"/>
  <c r="P347" i="30"/>
  <c r="Q347" i="30"/>
  <c r="R347" i="30"/>
  <c r="S347" i="30"/>
  <c r="T347" i="30"/>
  <c r="U347" i="30"/>
  <c r="V347" i="30"/>
  <c r="W347" i="30"/>
  <c r="X347" i="30"/>
  <c r="Y347" i="30"/>
  <c r="Z347" i="30"/>
  <c r="AA347" i="30"/>
  <c r="AB347" i="30"/>
  <c r="AC347" i="30"/>
  <c r="AD347" i="30"/>
  <c r="AE347" i="30"/>
  <c r="AF347" i="30"/>
  <c r="AG347" i="30"/>
  <c r="AH347" i="30"/>
  <c r="AI347" i="30"/>
  <c r="AJ347" i="30"/>
  <c r="AK347" i="30"/>
  <c r="AL347" i="30"/>
  <c r="AM347" i="30"/>
  <c r="AN347" i="30"/>
  <c r="AO347" i="30"/>
  <c r="AP347" i="30"/>
  <c r="AQ347" i="30"/>
  <c r="AR347" i="30"/>
  <c r="AS347" i="30"/>
  <c r="AT347" i="30"/>
  <c r="AU347" i="30"/>
  <c r="AV347" i="30"/>
  <c r="AW347" i="30"/>
  <c r="AX347" i="30"/>
  <c r="AY347" i="30"/>
  <c r="AZ347" i="30"/>
  <c r="BA347" i="30"/>
  <c r="BB347" i="30"/>
  <c r="BC347" i="30"/>
  <c r="BD347" i="30"/>
  <c r="BE347" i="30"/>
  <c r="BF347" i="30"/>
  <c r="BG347" i="30"/>
  <c r="BH347" i="30"/>
  <c r="BI347" i="30"/>
  <c r="BJ347" i="30"/>
  <c r="BK347" i="30"/>
  <c r="BL347" i="30"/>
  <c r="BM347" i="30"/>
  <c r="BN347" i="30"/>
  <c r="BO347" i="30"/>
  <c r="BP347" i="30"/>
  <c r="BQ347" i="30"/>
  <c r="BR347" i="30"/>
  <c r="BS347" i="30"/>
  <c r="BT347" i="30"/>
  <c r="BU347" i="30"/>
  <c r="BV347" i="30"/>
  <c r="BW347" i="30"/>
  <c r="BX347" i="30"/>
  <c r="BY347" i="30"/>
  <c r="BZ347" i="30"/>
  <c r="CA347" i="30"/>
  <c r="CB347" i="30"/>
  <c r="CC347" i="30"/>
  <c r="CD347" i="30"/>
  <c r="CE347" i="30"/>
  <c r="CF347" i="30"/>
  <c r="CG347" i="30"/>
  <c r="CH347" i="30"/>
  <c r="CI347" i="30"/>
  <c r="CJ347" i="30"/>
  <c r="CK347" i="30"/>
  <c r="CL347" i="30"/>
  <c r="CM347" i="30"/>
  <c r="CN347" i="30"/>
  <c r="CO347" i="30"/>
  <c r="CP347" i="30"/>
  <c r="CQ347" i="30"/>
  <c r="CR347" i="30"/>
  <c r="CS347" i="30"/>
  <c r="CT347" i="30"/>
  <c r="CU347" i="30"/>
  <c r="CV347" i="30"/>
  <c r="CW347" i="30"/>
  <c r="CX347" i="30"/>
  <c r="CY347" i="30"/>
  <c r="CZ347" i="30"/>
  <c r="DA347" i="30"/>
  <c r="DB347" i="30"/>
  <c r="DC347" i="30"/>
  <c r="DD347" i="30"/>
  <c r="DE347" i="30"/>
  <c r="DF347" i="30"/>
  <c r="DG347" i="30"/>
  <c r="DH347" i="30"/>
  <c r="DI347" i="30"/>
  <c r="DJ347" i="30"/>
  <c r="DK347" i="30"/>
  <c r="DL347" i="30"/>
  <c r="DM347" i="30"/>
  <c r="DN347" i="30"/>
  <c r="DO347" i="30"/>
  <c r="DP347" i="30"/>
  <c r="DQ347" i="30"/>
  <c r="DR347" i="30"/>
  <c r="DS347" i="30"/>
  <c r="DT347" i="30"/>
  <c r="DU347" i="30"/>
  <c r="F348" i="30"/>
  <c r="G348" i="30"/>
  <c r="H348" i="30"/>
  <c r="I348" i="30"/>
  <c r="J348" i="30"/>
  <c r="K348" i="30"/>
  <c r="L348" i="30"/>
  <c r="M348" i="30"/>
  <c r="N348" i="30"/>
  <c r="O348" i="30"/>
  <c r="P348" i="30"/>
  <c r="Q348" i="30"/>
  <c r="R348" i="30"/>
  <c r="S348" i="30"/>
  <c r="T348" i="30"/>
  <c r="U348" i="30"/>
  <c r="V348" i="30"/>
  <c r="W348" i="30"/>
  <c r="X348" i="30"/>
  <c r="Y348" i="30"/>
  <c r="Z348" i="30"/>
  <c r="AA348" i="30"/>
  <c r="AB348" i="30"/>
  <c r="AC348" i="30"/>
  <c r="AD348" i="30"/>
  <c r="AE348" i="30"/>
  <c r="AF348" i="30"/>
  <c r="AG348" i="30"/>
  <c r="AH348" i="30"/>
  <c r="AI348" i="30"/>
  <c r="AJ348" i="30"/>
  <c r="AK348" i="30"/>
  <c r="AL348" i="30"/>
  <c r="AM348" i="30"/>
  <c r="AN348" i="30"/>
  <c r="AO348" i="30"/>
  <c r="AP348" i="30"/>
  <c r="AQ348" i="30"/>
  <c r="AR348" i="30"/>
  <c r="AS348" i="30"/>
  <c r="AT348" i="30"/>
  <c r="AU348" i="30"/>
  <c r="AV348" i="30"/>
  <c r="AW348" i="30"/>
  <c r="AX348" i="30"/>
  <c r="AY348" i="30"/>
  <c r="AZ348" i="30"/>
  <c r="BA348" i="30"/>
  <c r="BB348" i="30"/>
  <c r="BC348" i="30"/>
  <c r="BD348" i="30"/>
  <c r="BE348" i="30"/>
  <c r="BF348" i="30"/>
  <c r="BG348" i="30"/>
  <c r="BH348" i="30"/>
  <c r="BI348" i="30"/>
  <c r="BJ348" i="30"/>
  <c r="BK348" i="30"/>
  <c r="BL348" i="30"/>
  <c r="BM348" i="30"/>
  <c r="BN348" i="30"/>
  <c r="BO348" i="30"/>
  <c r="BP348" i="30"/>
  <c r="BQ348" i="30"/>
  <c r="BR348" i="30"/>
  <c r="BS348" i="30"/>
  <c r="BT348" i="30"/>
  <c r="BU348" i="30"/>
  <c r="BV348" i="30"/>
  <c r="BW348" i="30"/>
  <c r="BX348" i="30"/>
  <c r="BY348" i="30"/>
  <c r="BZ348" i="30"/>
  <c r="CA348" i="30"/>
  <c r="CB348" i="30"/>
  <c r="CC348" i="30"/>
  <c r="CD348" i="30"/>
  <c r="CE348" i="30"/>
  <c r="CF348" i="30"/>
  <c r="CG348" i="30"/>
  <c r="CH348" i="30"/>
  <c r="CI348" i="30"/>
  <c r="CJ348" i="30"/>
  <c r="CK348" i="30"/>
  <c r="CL348" i="30"/>
  <c r="CM348" i="30"/>
  <c r="CN348" i="30"/>
  <c r="CO348" i="30"/>
  <c r="CP348" i="30"/>
  <c r="CQ348" i="30"/>
  <c r="CR348" i="30"/>
  <c r="CS348" i="30"/>
  <c r="CT348" i="30"/>
  <c r="CU348" i="30"/>
  <c r="CV348" i="30"/>
  <c r="CW348" i="30"/>
  <c r="CX348" i="30"/>
  <c r="CY348" i="30"/>
  <c r="CZ348" i="30"/>
  <c r="DA348" i="30"/>
  <c r="DB348" i="30"/>
  <c r="DC348" i="30"/>
  <c r="DD348" i="30"/>
  <c r="DE348" i="30"/>
  <c r="DF348" i="30"/>
  <c r="DG348" i="30"/>
  <c r="DH348" i="30"/>
  <c r="DI348" i="30"/>
  <c r="DJ348" i="30"/>
  <c r="DK348" i="30"/>
  <c r="DL348" i="30"/>
  <c r="DM348" i="30"/>
  <c r="DN348" i="30"/>
  <c r="DO348" i="30"/>
  <c r="DP348" i="30"/>
  <c r="DQ348" i="30"/>
  <c r="DR348" i="30"/>
  <c r="DS348" i="30"/>
  <c r="DT348" i="30"/>
  <c r="DU348" i="30"/>
  <c r="E349" i="30"/>
  <c r="F349" i="30"/>
  <c r="G349" i="30"/>
  <c r="H349" i="30"/>
  <c r="I349" i="30"/>
  <c r="J349" i="30"/>
  <c r="K349" i="30"/>
  <c r="L349" i="30"/>
  <c r="M349" i="30"/>
  <c r="N349" i="30"/>
  <c r="O349" i="30"/>
  <c r="P349" i="30"/>
  <c r="Q349" i="30"/>
  <c r="R349" i="30"/>
  <c r="S349" i="30"/>
  <c r="T349" i="30"/>
  <c r="U349" i="30"/>
  <c r="V349" i="30"/>
  <c r="W349" i="30"/>
  <c r="X349" i="30"/>
  <c r="Y349" i="30"/>
  <c r="Z349" i="30"/>
  <c r="AA349" i="30"/>
  <c r="AB349" i="30"/>
  <c r="AC349" i="30"/>
  <c r="AD349" i="30"/>
  <c r="AE349" i="30"/>
  <c r="AF349" i="30"/>
  <c r="AG349" i="30"/>
  <c r="AH349" i="30"/>
  <c r="AI349" i="30"/>
  <c r="AJ349" i="30"/>
  <c r="AK349" i="30"/>
  <c r="AL349" i="30"/>
  <c r="AM349" i="30"/>
  <c r="AN349" i="30"/>
  <c r="AO349" i="30"/>
  <c r="AP349" i="30"/>
  <c r="AQ349" i="30"/>
  <c r="AR349" i="30"/>
  <c r="AS349" i="30"/>
  <c r="AT349" i="30"/>
  <c r="AU349" i="30"/>
  <c r="AV349" i="30"/>
  <c r="AW349" i="30"/>
  <c r="AX349" i="30"/>
  <c r="AY349" i="30"/>
  <c r="AZ349" i="30"/>
  <c r="BA349" i="30"/>
  <c r="BB349" i="30"/>
  <c r="BC349" i="30"/>
  <c r="BD349" i="30"/>
  <c r="BE349" i="30"/>
  <c r="BF349" i="30"/>
  <c r="BG349" i="30"/>
  <c r="BH349" i="30"/>
  <c r="BI349" i="30"/>
  <c r="BJ349" i="30"/>
  <c r="BK349" i="30"/>
  <c r="BL349" i="30"/>
  <c r="BM349" i="30"/>
  <c r="BN349" i="30"/>
  <c r="BO349" i="30"/>
  <c r="BP349" i="30"/>
  <c r="BQ349" i="30"/>
  <c r="BR349" i="30"/>
  <c r="BS349" i="30"/>
  <c r="BT349" i="30"/>
  <c r="BU349" i="30"/>
  <c r="BV349" i="30"/>
  <c r="BW349" i="30"/>
  <c r="BX349" i="30"/>
  <c r="BY349" i="30"/>
  <c r="BZ349" i="30"/>
  <c r="CA349" i="30"/>
  <c r="CB349" i="30"/>
  <c r="CC349" i="30"/>
  <c r="CD349" i="30"/>
  <c r="CE349" i="30"/>
  <c r="CF349" i="30"/>
  <c r="CG349" i="30"/>
  <c r="CH349" i="30"/>
  <c r="CI349" i="30"/>
  <c r="CJ349" i="30"/>
  <c r="CK349" i="30"/>
  <c r="CL349" i="30"/>
  <c r="CM349" i="30"/>
  <c r="CN349" i="30"/>
  <c r="CO349" i="30"/>
  <c r="CP349" i="30"/>
  <c r="CQ349" i="30"/>
  <c r="CR349" i="30"/>
  <c r="CS349" i="30"/>
  <c r="CT349" i="30"/>
  <c r="CU349" i="30"/>
  <c r="CV349" i="30"/>
  <c r="CW349" i="30"/>
  <c r="CX349" i="30"/>
  <c r="CY349" i="30"/>
  <c r="CZ349" i="30"/>
  <c r="DA349" i="30"/>
  <c r="DB349" i="30"/>
  <c r="DC349" i="30"/>
  <c r="DD349" i="30"/>
  <c r="DE349" i="30"/>
  <c r="DF349" i="30"/>
  <c r="DG349" i="30"/>
  <c r="DH349" i="30"/>
  <c r="DI349" i="30"/>
  <c r="DJ349" i="30"/>
  <c r="DK349" i="30"/>
  <c r="DL349" i="30"/>
  <c r="DM349" i="30"/>
  <c r="DN349" i="30"/>
  <c r="DO349" i="30"/>
  <c r="DP349" i="30"/>
  <c r="DQ349" i="30"/>
  <c r="DR349" i="30"/>
  <c r="DS349" i="30"/>
  <c r="DT349" i="30"/>
  <c r="DU349" i="30"/>
  <c r="E350" i="30"/>
  <c r="F350" i="30"/>
  <c r="G350" i="30"/>
  <c r="H350" i="30"/>
  <c r="I350" i="30"/>
  <c r="J350" i="30"/>
  <c r="K350" i="30"/>
  <c r="L350" i="30"/>
  <c r="M350" i="30"/>
  <c r="N350" i="30"/>
  <c r="O350" i="30"/>
  <c r="P350" i="30"/>
  <c r="Q350" i="30"/>
  <c r="R350" i="30"/>
  <c r="S350" i="30"/>
  <c r="T350" i="30"/>
  <c r="U350" i="30"/>
  <c r="V350" i="30"/>
  <c r="W350" i="30"/>
  <c r="X350" i="30"/>
  <c r="Y350" i="30"/>
  <c r="Z350" i="30"/>
  <c r="AA350" i="30"/>
  <c r="AB350" i="30"/>
  <c r="AC350" i="30"/>
  <c r="AD350" i="30"/>
  <c r="AE350" i="30"/>
  <c r="AF350" i="30"/>
  <c r="AG350" i="30"/>
  <c r="E351" i="30"/>
  <c r="F351" i="30"/>
  <c r="G351" i="30"/>
  <c r="H351" i="30"/>
  <c r="I351" i="30"/>
  <c r="J351" i="30"/>
  <c r="K351" i="30"/>
  <c r="L351" i="30"/>
  <c r="M351" i="30"/>
  <c r="N351" i="30"/>
  <c r="O351" i="30"/>
  <c r="P351" i="30"/>
  <c r="Q351" i="30"/>
  <c r="R351" i="30"/>
  <c r="S351" i="30"/>
  <c r="T351" i="30"/>
  <c r="U351" i="30"/>
  <c r="V351" i="30"/>
  <c r="W351" i="30"/>
  <c r="X351" i="30"/>
  <c r="Y351" i="30"/>
  <c r="Z351" i="30"/>
  <c r="AA351" i="30"/>
  <c r="AB351" i="30"/>
  <c r="AC351" i="30"/>
  <c r="AD351" i="30"/>
  <c r="AE351" i="30"/>
  <c r="AF351" i="30"/>
  <c r="AG351" i="30"/>
  <c r="AH351" i="30"/>
  <c r="AI351" i="30"/>
  <c r="AJ351" i="30"/>
  <c r="AK351" i="30"/>
  <c r="AL351" i="30"/>
  <c r="AM351" i="30"/>
  <c r="AN351" i="30"/>
  <c r="AO351" i="30"/>
  <c r="AP351" i="30"/>
  <c r="AQ351" i="30"/>
  <c r="AR351" i="30"/>
  <c r="AS351" i="30"/>
  <c r="AT351" i="30"/>
  <c r="AU351" i="30"/>
  <c r="AV351" i="30"/>
  <c r="AW351" i="30"/>
  <c r="AX351" i="30"/>
  <c r="AY351" i="30"/>
  <c r="AZ351" i="30"/>
  <c r="BA351" i="30"/>
  <c r="BB351" i="30"/>
  <c r="BC351" i="30"/>
  <c r="BD351" i="30"/>
  <c r="BE351" i="30"/>
  <c r="BF351" i="30"/>
  <c r="BG351" i="30"/>
  <c r="BH351" i="30"/>
  <c r="BI351" i="30"/>
  <c r="BJ351" i="30"/>
  <c r="BK351" i="30"/>
  <c r="BL351" i="30"/>
  <c r="BM351" i="30"/>
  <c r="BN351" i="30"/>
  <c r="BO351" i="30"/>
  <c r="BP351" i="30"/>
  <c r="BQ351" i="30"/>
  <c r="BR351" i="30"/>
  <c r="BS351" i="30"/>
  <c r="BT351" i="30"/>
  <c r="BU351" i="30"/>
  <c r="BV351" i="30"/>
  <c r="BW351" i="30"/>
  <c r="BX351" i="30"/>
  <c r="BY351" i="30"/>
  <c r="BZ351" i="30"/>
  <c r="CA351" i="30"/>
  <c r="CB351" i="30"/>
  <c r="CC351" i="30"/>
  <c r="CD351" i="30"/>
  <c r="CE351" i="30"/>
  <c r="CF351" i="30"/>
  <c r="CG351" i="30"/>
  <c r="CH351" i="30"/>
  <c r="CI351" i="30"/>
  <c r="CJ351" i="30"/>
  <c r="CK351" i="30"/>
  <c r="CL351" i="30"/>
  <c r="CM351" i="30"/>
  <c r="CN351" i="30"/>
  <c r="CO351" i="30"/>
  <c r="CP351" i="30"/>
  <c r="CQ351" i="30"/>
  <c r="CR351" i="30"/>
  <c r="CS351" i="30"/>
  <c r="CT351" i="30"/>
  <c r="CU351" i="30"/>
  <c r="CV351" i="30"/>
  <c r="CW351" i="30"/>
  <c r="CX351" i="30"/>
  <c r="CY351" i="30"/>
  <c r="CZ351" i="30"/>
  <c r="DA351" i="30"/>
  <c r="DB351" i="30"/>
  <c r="DC351" i="30"/>
  <c r="DD351" i="30"/>
  <c r="DE351" i="30"/>
  <c r="DF351" i="30"/>
  <c r="DG351" i="30"/>
  <c r="DH351" i="30"/>
  <c r="DI351" i="30"/>
  <c r="DJ351" i="30"/>
  <c r="DK351" i="30"/>
  <c r="DL351" i="30"/>
  <c r="DM351" i="30"/>
  <c r="DN351" i="30"/>
  <c r="DO351" i="30"/>
  <c r="DP351" i="30"/>
  <c r="DQ351" i="30"/>
  <c r="DR351" i="30"/>
  <c r="DS351" i="30"/>
  <c r="DT351" i="30"/>
  <c r="DU351" i="30"/>
  <c r="C353" i="30"/>
  <c r="E353" i="30"/>
  <c r="F353" i="30"/>
  <c r="G353" i="30"/>
  <c r="H353" i="30"/>
  <c r="I353" i="30"/>
  <c r="J353" i="30"/>
  <c r="K353" i="30"/>
  <c r="L353" i="30"/>
  <c r="M353" i="30"/>
  <c r="N353" i="30"/>
  <c r="O353" i="30"/>
  <c r="P353" i="30"/>
  <c r="Q353" i="30"/>
  <c r="R353" i="30"/>
  <c r="S353" i="30"/>
  <c r="T353" i="30"/>
  <c r="U353" i="30"/>
  <c r="V353" i="30"/>
  <c r="W353" i="30"/>
  <c r="X353" i="30"/>
  <c r="Y353" i="30"/>
  <c r="Z353" i="30"/>
  <c r="AA353" i="30"/>
  <c r="AB353" i="30"/>
  <c r="AC353" i="30"/>
  <c r="AD353" i="30"/>
  <c r="AE353" i="30"/>
  <c r="AF353" i="30"/>
  <c r="AG353" i="30"/>
  <c r="AH353" i="30"/>
  <c r="AI353" i="30"/>
  <c r="AJ353" i="30"/>
  <c r="AK353" i="30"/>
  <c r="AL353" i="30"/>
  <c r="AM353" i="30"/>
  <c r="AN353" i="30"/>
  <c r="AO353" i="30"/>
  <c r="AP353" i="30"/>
  <c r="AQ353" i="30"/>
  <c r="AR353" i="30"/>
  <c r="AS353" i="30"/>
  <c r="AT353" i="30"/>
  <c r="AU353" i="30"/>
  <c r="AV353" i="30"/>
  <c r="AW353" i="30"/>
  <c r="AX353" i="30"/>
  <c r="AY353" i="30"/>
  <c r="AZ353" i="30"/>
  <c r="BA353" i="30"/>
  <c r="BB353" i="30"/>
  <c r="BC353" i="30"/>
  <c r="BD353" i="30"/>
  <c r="BE353" i="30"/>
  <c r="BF353" i="30"/>
  <c r="BG353" i="30"/>
  <c r="BH353" i="30"/>
  <c r="BI353" i="30"/>
  <c r="BJ353" i="30"/>
  <c r="BK353" i="30"/>
  <c r="BL353" i="30"/>
  <c r="BM353" i="30"/>
  <c r="BN353" i="30"/>
  <c r="BO353" i="30"/>
  <c r="BP353" i="30"/>
  <c r="BQ353" i="30"/>
  <c r="BR353" i="30"/>
  <c r="BS353" i="30"/>
  <c r="BT353" i="30"/>
  <c r="BU353" i="30"/>
  <c r="BV353" i="30"/>
  <c r="BW353" i="30"/>
  <c r="BX353" i="30"/>
  <c r="BY353" i="30"/>
  <c r="BZ353" i="30"/>
  <c r="CA353" i="30"/>
  <c r="CB353" i="30"/>
  <c r="CC353" i="30"/>
  <c r="CD353" i="30"/>
  <c r="CE353" i="30"/>
  <c r="CF353" i="30"/>
  <c r="CG353" i="30"/>
  <c r="CH353" i="30"/>
  <c r="CI353" i="30"/>
  <c r="CJ353" i="30"/>
  <c r="CK353" i="30"/>
  <c r="CL353" i="30"/>
  <c r="CM353" i="30"/>
  <c r="CN353" i="30"/>
  <c r="CO353" i="30"/>
  <c r="CP353" i="30"/>
  <c r="CQ353" i="30"/>
  <c r="CR353" i="30"/>
  <c r="CS353" i="30"/>
  <c r="CT353" i="30"/>
  <c r="CU353" i="30"/>
  <c r="CV353" i="30"/>
  <c r="CW353" i="30"/>
  <c r="CX353" i="30"/>
  <c r="CY353" i="30"/>
  <c r="CZ353" i="30"/>
  <c r="DA353" i="30"/>
  <c r="DB353" i="30"/>
  <c r="DC353" i="30"/>
  <c r="DD353" i="30"/>
  <c r="DE353" i="30"/>
  <c r="DF353" i="30"/>
  <c r="DG353" i="30"/>
  <c r="DH353" i="30"/>
  <c r="DI353" i="30"/>
  <c r="DJ353" i="30"/>
  <c r="DK353" i="30"/>
  <c r="DL353" i="30"/>
  <c r="DM353" i="30"/>
  <c r="DN353" i="30"/>
  <c r="DO353" i="30"/>
  <c r="DP353" i="30"/>
  <c r="DQ353" i="30"/>
  <c r="DR353" i="30"/>
  <c r="DS353" i="30"/>
  <c r="DT353" i="30"/>
  <c r="DU353" i="30"/>
  <c r="C354" i="30"/>
  <c r="AG356" i="30"/>
  <c r="D358" i="30"/>
  <c r="AG358" i="30"/>
  <c r="D359" i="30"/>
  <c r="AG359" i="30"/>
  <c r="C360" i="30"/>
  <c r="AG360" i="30"/>
  <c r="C363" i="30"/>
  <c r="E363" i="30"/>
  <c r="F363" i="30"/>
  <c r="G363" i="30"/>
  <c r="H363" i="30"/>
  <c r="I363" i="30"/>
  <c r="J363" i="30"/>
  <c r="K363" i="30"/>
  <c r="L363" i="30"/>
  <c r="M363" i="30"/>
  <c r="N363" i="30"/>
  <c r="O363" i="30"/>
  <c r="P363" i="30"/>
  <c r="Q363" i="30"/>
  <c r="R363" i="30"/>
  <c r="S363" i="30"/>
  <c r="T363" i="30"/>
  <c r="U363" i="30"/>
  <c r="V363" i="30"/>
  <c r="W363" i="30"/>
  <c r="X363" i="30"/>
  <c r="Y363" i="30"/>
  <c r="Z363" i="30"/>
  <c r="AA363" i="30"/>
  <c r="AB363" i="30"/>
  <c r="AC363" i="30"/>
  <c r="AD363" i="30"/>
  <c r="AE363" i="30"/>
  <c r="AF363" i="30"/>
  <c r="AG363" i="30"/>
  <c r="AH363" i="30"/>
  <c r="AI363" i="30"/>
  <c r="AJ363" i="30"/>
  <c r="AK363" i="30"/>
  <c r="AL363" i="30"/>
  <c r="AM363" i="30"/>
  <c r="AN363" i="30"/>
  <c r="AO363" i="30"/>
  <c r="AP363" i="30"/>
  <c r="AQ363" i="30"/>
  <c r="AR363" i="30"/>
  <c r="AS363" i="30"/>
  <c r="AT363" i="30"/>
  <c r="AU363" i="30"/>
  <c r="AV363" i="30"/>
  <c r="AW363" i="30"/>
  <c r="AX363" i="30"/>
  <c r="AY363" i="30"/>
  <c r="AZ363" i="30"/>
  <c r="BA363" i="30"/>
  <c r="BB363" i="30"/>
  <c r="BC363" i="30"/>
  <c r="BD363" i="30"/>
  <c r="BE363" i="30"/>
  <c r="BF363" i="30"/>
  <c r="BG363" i="30"/>
  <c r="BH363" i="30"/>
  <c r="BI363" i="30"/>
  <c r="BJ363" i="30"/>
  <c r="BK363" i="30"/>
  <c r="BL363" i="30"/>
  <c r="BM363" i="30"/>
  <c r="BN363" i="30"/>
  <c r="BO363" i="30"/>
  <c r="BP363" i="30"/>
  <c r="BQ363" i="30"/>
  <c r="BR363" i="30"/>
  <c r="BS363" i="30"/>
  <c r="BT363" i="30"/>
  <c r="BU363" i="30"/>
  <c r="BV363" i="30"/>
  <c r="BW363" i="30"/>
  <c r="BX363" i="30"/>
  <c r="BY363" i="30"/>
  <c r="BZ363" i="30"/>
  <c r="CA363" i="30"/>
  <c r="CB363" i="30"/>
  <c r="CC363" i="30"/>
  <c r="CD363" i="30"/>
  <c r="CE363" i="30"/>
  <c r="CF363" i="30"/>
  <c r="CG363" i="30"/>
  <c r="CH363" i="30"/>
  <c r="CI363" i="30"/>
  <c r="CJ363" i="30"/>
  <c r="CK363" i="30"/>
  <c r="CL363" i="30"/>
  <c r="CM363" i="30"/>
  <c r="CN363" i="30"/>
  <c r="CO363" i="30"/>
  <c r="CP363" i="30"/>
  <c r="CQ363" i="30"/>
  <c r="CR363" i="30"/>
  <c r="CS363" i="30"/>
  <c r="CT363" i="30"/>
  <c r="CU363" i="30"/>
  <c r="CV363" i="30"/>
  <c r="CW363" i="30"/>
  <c r="CX363" i="30"/>
  <c r="CY363" i="30"/>
  <c r="CZ363" i="30"/>
  <c r="DA363" i="30"/>
  <c r="DB363" i="30"/>
  <c r="DC363" i="30"/>
  <c r="DD363" i="30"/>
  <c r="DE363" i="30"/>
  <c r="DF363" i="30"/>
  <c r="DG363" i="30"/>
  <c r="DH363" i="30"/>
  <c r="DI363" i="30"/>
  <c r="DJ363" i="30"/>
  <c r="DK363" i="30"/>
  <c r="DL363" i="30"/>
  <c r="DM363" i="30"/>
  <c r="DN363" i="30"/>
  <c r="DO363" i="30"/>
  <c r="DP363" i="30"/>
  <c r="DQ363" i="30"/>
  <c r="DR363" i="30"/>
  <c r="DS363" i="30"/>
  <c r="DT363" i="30"/>
  <c r="DU363" i="30"/>
  <c r="C364" i="30"/>
  <c r="C366" i="30"/>
  <c r="E366" i="30"/>
  <c r="F366" i="30"/>
  <c r="G366" i="30"/>
  <c r="H366" i="30"/>
  <c r="I366" i="30"/>
  <c r="J366" i="30"/>
  <c r="K366" i="30"/>
  <c r="L366" i="30"/>
  <c r="M366" i="30"/>
  <c r="N366" i="30"/>
  <c r="O366" i="30"/>
  <c r="P366" i="30"/>
  <c r="Q366" i="30"/>
  <c r="R366" i="30"/>
  <c r="S366" i="30"/>
  <c r="T366" i="30"/>
  <c r="U366" i="30"/>
  <c r="V366" i="30"/>
  <c r="W366" i="30"/>
  <c r="X366" i="30"/>
  <c r="Y366" i="30"/>
  <c r="Z366" i="30"/>
  <c r="AA366" i="30"/>
  <c r="AB366" i="30"/>
  <c r="AC366" i="30"/>
  <c r="AD366" i="30"/>
  <c r="AE366" i="30"/>
  <c r="AF366" i="30"/>
  <c r="AG366" i="30"/>
  <c r="AH366" i="30"/>
  <c r="AI366" i="30"/>
  <c r="AJ366" i="30"/>
  <c r="AK366" i="30"/>
  <c r="AL366" i="30"/>
  <c r="AM366" i="30"/>
  <c r="AN366" i="30"/>
  <c r="AO366" i="30"/>
  <c r="AP366" i="30"/>
  <c r="AQ366" i="30"/>
  <c r="AR366" i="30"/>
  <c r="AS366" i="30"/>
  <c r="AT366" i="30"/>
  <c r="AU366" i="30"/>
  <c r="AV366" i="30"/>
  <c r="AW366" i="30"/>
  <c r="AX366" i="30"/>
  <c r="AY366" i="30"/>
  <c r="AZ366" i="30"/>
  <c r="BA366" i="30"/>
  <c r="BB366" i="30"/>
  <c r="BC366" i="30"/>
  <c r="BD366" i="30"/>
  <c r="BE366" i="30"/>
  <c r="BF366" i="30"/>
  <c r="BG366" i="30"/>
  <c r="BH366" i="30"/>
  <c r="BI366" i="30"/>
  <c r="BJ366" i="30"/>
  <c r="BK366" i="30"/>
  <c r="BL366" i="30"/>
  <c r="BM366" i="30"/>
  <c r="BN366" i="30"/>
  <c r="BO366" i="30"/>
  <c r="BP366" i="30"/>
  <c r="BQ366" i="30"/>
  <c r="BR366" i="30"/>
  <c r="BS366" i="30"/>
  <c r="BT366" i="30"/>
  <c r="BU366" i="30"/>
  <c r="BV366" i="30"/>
  <c r="BW366" i="30"/>
  <c r="BX366" i="30"/>
  <c r="BY366" i="30"/>
  <c r="BZ366" i="30"/>
  <c r="CA366" i="30"/>
  <c r="CB366" i="30"/>
  <c r="CC366" i="30"/>
  <c r="CD366" i="30"/>
  <c r="CE366" i="30"/>
  <c r="CF366" i="30"/>
  <c r="CG366" i="30"/>
  <c r="CH366" i="30"/>
  <c r="CI366" i="30"/>
  <c r="CJ366" i="30"/>
  <c r="CK366" i="30"/>
  <c r="CL366" i="30"/>
  <c r="CM366" i="30"/>
  <c r="CN366" i="30"/>
  <c r="CO366" i="30"/>
  <c r="CP366" i="30"/>
  <c r="CQ366" i="30"/>
  <c r="CR366" i="30"/>
  <c r="CS366" i="30"/>
  <c r="CT366" i="30"/>
  <c r="CU366" i="30"/>
  <c r="CV366" i="30"/>
  <c r="CW366" i="30"/>
  <c r="CX366" i="30"/>
  <c r="CY366" i="30"/>
  <c r="CZ366" i="30"/>
  <c r="DA366" i="30"/>
  <c r="DB366" i="30"/>
  <c r="DC366" i="30"/>
  <c r="DD366" i="30"/>
  <c r="DE366" i="30"/>
  <c r="DF366" i="30"/>
  <c r="DG366" i="30"/>
  <c r="DH366" i="30"/>
  <c r="DI366" i="30"/>
  <c r="DJ366" i="30"/>
  <c r="DK366" i="30"/>
  <c r="DL366" i="30"/>
  <c r="DM366" i="30"/>
  <c r="DN366" i="30"/>
  <c r="DO366" i="30"/>
  <c r="DP366" i="30"/>
  <c r="DQ366" i="30"/>
  <c r="DR366" i="30"/>
  <c r="DS366" i="30"/>
  <c r="DT366" i="30"/>
  <c r="DU366" i="30"/>
  <c r="C367" i="3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fyu2</author>
  </authors>
  <commentList>
    <comment ref="B32" authorId="0" shapeId="0" xr:uid="{233302A1-AE4A-4249-86E2-5AB1CDA335F3}">
      <text>
        <r>
          <rPr>
            <b/>
            <sz val="9"/>
            <color indexed="81"/>
            <rFont val="Tahoma"/>
            <family val="2"/>
          </rPr>
          <t>fyu2:</t>
        </r>
        <r>
          <rPr>
            <sz val="9"/>
            <color indexed="81"/>
            <rFont val="Tahoma"/>
            <family val="2"/>
          </rPr>
          <t xml:space="preserve">
Timing discrepancies between Venture Model and Asset Model</t>
        </r>
      </text>
    </comment>
    <comment ref="B144" authorId="0" shapeId="0" xr:uid="{052E5768-D286-4019-A33C-A95C4849FB49}">
      <text>
        <r>
          <rPr>
            <b/>
            <sz val="9"/>
            <color indexed="81"/>
            <rFont val="Tahoma"/>
            <family val="2"/>
          </rPr>
          <t>fyu2:</t>
        </r>
        <r>
          <rPr>
            <sz val="9"/>
            <color indexed="81"/>
            <rFont val="Tahoma"/>
            <family val="2"/>
          </rPr>
          <t xml:space="preserve">
Timing discrepancies between Venture Model and Asset Model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fyu2</author>
  </authors>
  <commentList>
    <comment ref="B34" authorId="0" shapeId="0" xr:uid="{E965D635-E93D-4DF7-9C3F-C3C3ECB5AAD0}">
      <text>
        <r>
          <rPr>
            <b/>
            <sz val="9"/>
            <color indexed="81"/>
            <rFont val="Tahoma"/>
            <family val="2"/>
          </rPr>
          <t>fyu2:</t>
        </r>
        <r>
          <rPr>
            <sz val="9"/>
            <color indexed="81"/>
            <rFont val="Tahoma"/>
            <family val="2"/>
          </rPr>
          <t xml:space="preserve">
Timing discrepancies between Venture Model and Asset Model</t>
        </r>
      </text>
    </comment>
    <comment ref="B146" authorId="0" shapeId="0" xr:uid="{2133A72B-3C2C-4306-9F36-5277419038FF}">
      <text>
        <r>
          <rPr>
            <b/>
            <sz val="9"/>
            <color indexed="81"/>
            <rFont val="Tahoma"/>
            <family val="2"/>
          </rPr>
          <t>fyu2:</t>
        </r>
        <r>
          <rPr>
            <sz val="9"/>
            <color indexed="81"/>
            <rFont val="Tahoma"/>
            <family val="2"/>
          </rPr>
          <t xml:space="preserve">
Timing discrepancies between Venture Model and Asset Model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fyu2</author>
  </authors>
  <commentList>
    <comment ref="B37" authorId="0" shapeId="0" xr:uid="{500266D8-7288-4B82-93D9-E26E9DDC20A5}">
      <text>
        <r>
          <rPr>
            <b/>
            <sz val="9"/>
            <color indexed="81"/>
            <rFont val="Tahoma"/>
            <family val="2"/>
          </rPr>
          <t>fyu2:</t>
        </r>
        <r>
          <rPr>
            <sz val="9"/>
            <color indexed="81"/>
            <rFont val="Tahoma"/>
            <family val="2"/>
          </rPr>
          <t xml:space="preserve">
Timing discrepancies between Venture Model and Asset Model</t>
        </r>
      </text>
    </comment>
    <comment ref="B149" authorId="0" shapeId="0" xr:uid="{1B883C6E-22BA-4716-B423-455F95758D6A}">
      <text>
        <r>
          <rPr>
            <b/>
            <sz val="9"/>
            <color indexed="81"/>
            <rFont val="Tahoma"/>
            <family val="2"/>
          </rPr>
          <t>fyu2:</t>
        </r>
        <r>
          <rPr>
            <sz val="9"/>
            <color indexed="81"/>
            <rFont val="Tahoma"/>
            <family val="2"/>
          </rPr>
          <t xml:space="preserve">
Timing discrepancies between Venture Model and Asset Model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tc={BD51500C-28C7-4DDC-BDC9-E01ADA9A0CF6}</author>
    <author>tc={DE8A355A-C851-4D41-9C34-E1D789E2F92E}</author>
    <author>tc={A3B4865D-4F17-498E-9602-8ADF0DCEAB17}</author>
    <author>tc={A653E6BA-359E-42F2-8F9B-D7C83FF98A09}</author>
    <author>Peter Koopman</author>
    <author>tc={F04964FF-E45B-48D1-BA9E-A07534DAB71C}</author>
    <author>tc={BD54F138-5D37-4E3D-9801-489E42C3445A}</author>
  </authors>
  <commentList>
    <comment ref="B2" authorId="0" shapeId="0" xr:uid="{BD51500C-28C7-4DDC-BDC9-E01ADA9A0CF6}">
      <text>
        <t>[Threaded comment]
Your version of Excel allows you to read this threaded comment; however, any edits to it will get removed if the file is opened in a newer version of Excel. Learn more: https://go.microsoft.com/fwlink/?linkid=870924
Comment:
    Can use this to sort if you want to "rank" pursuits, is not a DC field</t>
      </text>
    </comment>
    <comment ref="C2" authorId="1" shapeId="0" xr:uid="{DE8A355A-C851-4D41-9C34-E1D789E2F92E}">
      <text>
        <t>[Threaded comment]
Your version of Excel allows you to read this threaded comment; however, any edits to it will get removed if the file is opened in a newer version of Excel. Learn more: https://go.microsoft.com/fwlink/?linkid=870924
Comment:
    This is not a field in DC yet, but will be soon</t>
      </text>
    </comment>
    <comment ref="D2" authorId="2" shapeId="0" xr:uid="{A3B4865D-4F17-498E-9602-8ADF0DCEAB17}">
      <text>
        <t>[Threaded comment]
Your version of Excel allows you to read this threaded comment; however, any edits to it will get removed if the file is opened in a newer version of Excel. Learn more: https://go.microsoft.com/fwlink/?linkid=870924
Comment:
    Be intentional when naming a pursuit, the only way to change this is on the DC platform. If name changes in this file, the import will create a duplicate</t>
      </text>
    </comment>
    <comment ref="F2" authorId="3" shapeId="0" xr:uid="{A653E6BA-359E-42F2-8F9B-D7C83FF98A09}">
      <text>
        <t>[Threaded comment]
Your version of Excel allows you to read this threaded comment; however, any edits to it will get removed if the file is opened in a newer version of Excel. Learn more: https://go.microsoft.com/fwlink/?linkid=870924
Comment:
    Always yes</t>
      </text>
    </comment>
    <comment ref="I2" authorId="4" shapeId="0" xr:uid="{1C0C9AA9-BBD3-4965-86A6-D47CE0C8EEAA}">
      <text>
        <r>
          <rPr>
            <sz val="11"/>
            <color theme="1"/>
            <rFont val="Calibri"/>
            <family val="2"/>
            <scheme val="minor"/>
          </rPr>
          <t>Peter Koopman:
On Google Maps, click the property.  The Latitude / Longitude will appear in the URL.</t>
        </r>
      </text>
    </comment>
    <comment ref="J2" authorId="4" shapeId="0" xr:uid="{DF2C7819-18F9-4088-AA78-F86A3D19E0E2}">
      <text>
        <r>
          <rPr>
            <sz val="11"/>
            <color theme="1"/>
            <rFont val="Calibri"/>
            <family val="2"/>
            <scheme val="minor"/>
          </rPr>
          <t>Peter Koopman:
On Google Maps, click the property.  The Latitude / Longitude will appear in the URL.</t>
        </r>
      </text>
    </comment>
    <comment ref="AE2" authorId="5" shapeId="0" xr:uid="{F04964FF-E45B-48D1-BA9E-A07534DAB71C}">
      <text>
        <t>[Threaded comment]
Your version of Excel allows you to read this threaded comment; however, any edits to it will get removed if the file is opened in a newer version of Excel. Learn more: https://go.microsoft.com/fwlink/?linkid=870924
Comment:
    If removed, replace formula in Land SF with hard code</t>
      </text>
    </comment>
    <comment ref="AL2" authorId="6" shapeId="0" xr:uid="{BD54F138-5D37-4E3D-9801-489E42C3445A}">
      <text>
        <t>[Threaded comment]
Your version of Excel allows you to read this threaded comment; however, any edits to it will get removed if the file is opened in a newer version of Excel. Learn more: https://go.microsoft.com/fwlink/?linkid=870924
Comment:
    This is the date that you expect to take your PIM to IC</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Denise Ogier</author>
    <author>Paul Ogier</author>
  </authors>
  <commentList>
    <comment ref="M11" authorId="0" shapeId="0" xr:uid="{00000000-0006-0000-0F00-000001000000}">
      <text>
        <r>
          <rPr>
            <b/>
            <sz val="9"/>
            <color indexed="81"/>
            <rFont val="Tahoma"/>
            <family val="2"/>
          </rPr>
          <t>Author:</t>
        </r>
        <r>
          <rPr>
            <sz val="9"/>
            <color indexed="81"/>
            <rFont val="Tahoma"/>
            <family val="2"/>
          </rPr>
          <t xml:space="preserve">
</t>
        </r>
        <r>
          <rPr>
            <b/>
            <sz val="9"/>
            <color indexed="81"/>
            <rFont val="Tahoma"/>
            <family val="2"/>
          </rPr>
          <t>Nominal</t>
        </r>
        <r>
          <rPr>
            <sz val="9"/>
            <color indexed="81"/>
            <rFont val="Tahoma"/>
            <family val="2"/>
          </rPr>
          <t xml:space="preserve"> is the standard input.
Pref normally compounds monthly so the actual </t>
        </r>
        <r>
          <rPr>
            <u/>
            <sz val="9"/>
            <color indexed="81"/>
            <rFont val="Tahoma"/>
            <family val="2"/>
          </rPr>
          <t>effective</t>
        </r>
        <r>
          <rPr>
            <sz val="9"/>
            <color indexed="81"/>
            <rFont val="Tahoma"/>
            <family val="2"/>
          </rPr>
          <t xml:space="preserve"> return is slightly higher.  
You may force the pref to equal EXACTLY the rate input in cells J11:L11 by changing this to effective.  This only used to assist in unusual structures where the Tier 1 IRR hurdle is equal to pref. because IRR is inherently an effective measure and the nominal pref. input does not compare easily.</t>
        </r>
      </text>
    </comment>
    <comment ref="H14" authorId="0" shapeId="0" xr:uid="{00000000-0006-0000-0F00-000002000000}">
      <text>
        <r>
          <rPr>
            <b/>
            <sz val="9"/>
            <color indexed="81"/>
            <rFont val="Tahoma"/>
            <family val="2"/>
          </rPr>
          <t>Author:</t>
        </r>
        <r>
          <rPr>
            <sz val="9"/>
            <color indexed="81"/>
            <rFont val="Tahoma"/>
            <family val="2"/>
          </rPr>
          <t xml:space="preserve">
If you use the Forward Curves then this is the effective interest rate paid (because the forward curve calculates a floating rate)</t>
        </r>
      </text>
    </comment>
    <comment ref="H15" authorId="1" shapeId="0" xr:uid="{00000000-0006-0000-0F00-000003000000}">
      <text>
        <r>
          <rPr>
            <b/>
            <sz val="9"/>
            <color indexed="81"/>
            <rFont val="Tahoma"/>
            <family val="2"/>
          </rPr>
          <t>Author:</t>
        </r>
        <r>
          <rPr>
            <sz val="9"/>
            <color indexed="81"/>
            <rFont val="Tahoma"/>
            <family val="2"/>
          </rPr>
          <t xml:space="preserve">
Leave Blank to use Forward Curve or input fixed rate to override the Forward Curve.</t>
        </r>
      </text>
    </comment>
    <comment ref="N15" authorId="1" shapeId="0" xr:uid="{00000000-0006-0000-0F00-000004000000}">
      <text>
        <r>
          <rPr>
            <b/>
            <sz val="9"/>
            <color indexed="81"/>
            <rFont val="Tahoma"/>
            <family val="2"/>
          </rPr>
          <t>Author:</t>
        </r>
        <r>
          <rPr>
            <sz val="9"/>
            <color indexed="81"/>
            <rFont val="Tahoma"/>
            <family val="2"/>
          </rPr>
          <t xml:space="preserve">
Leave Blank to use Forward Curve or input fixed rate to override the Forward Curve.</t>
        </r>
      </text>
    </comment>
    <comment ref="I16" authorId="1" shapeId="0" xr:uid="{00000000-0006-0000-0F00-000005000000}">
      <text>
        <r>
          <rPr>
            <b/>
            <sz val="9"/>
            <color indexed="81"/>
            <rFont val="Tahoma"/>
            <family val="2"/>
          </rPr>
          <t>Author:</t>
        </r>
        <r>
          <rPr>
            <sz val="9"/>
            <color indexed="81"/>
            <rFont val="Tahoma"/>
            <family val="2"/>
          </rPr>
          <t xml:space="preserve">
Enter the number of months Mezz Loan is interest only.  </t>
        </r>
        <r>
          <rPr>
            <b/>
            <sz val="9"/>
            <color indexed="81"/>
            <rFont val="Tahoma"/>
            <family val="2"/>
          </rPr>
          <t>Enter as a number.</t>
        </r>
      </text>
    </comment>
    <comment ref="O16" authorId="1" shapeId="0" xr:uid="{00000000-0006-0000-0F00-000006000000}">
      <text>
        <r>
          <rPr>
            <b/>
            <sz val="9"/>
            <color indexed="81"/>
            <rFont val="Tahoma"/>
            <family val="2"/>
          </rPr>
          <t>Author:</t>
        </r>
        <r>
          <rPr>
            <sz val="9"/>
            <color indexed="81"/>
            <rFont val="Tahoma"/>
            <family val="2"/>
          </rPr>
          <t xml:space="preserve">
Enter the number of months Mezz Loan is interest only.  </t>
        </r>
        <r>
          <rPr>
            <b/>
            <sz val="9"/>
            <color indexed="81"/>
            <rFont val="Tahoma"/>
            <family val="2"/>
          </rPr>
          <t>Enter as a number.</t>
        </r>
      </text>
    </comment>
    <comment ref="N24" authorId="0" shapeId="0" xr:uid="{00000000-0006-0000-0F00-000007000000}">
      <text>
        <r>
          <rPr>
            <b/>
            <sz val="9"/>
            <color indexed="81"/>
            <rFont val="Tahoma"/>
            <family val="2"/>
          </rPr>
          <t>Author:</t>
        </r>
        <r>
          <rPr>
            <sz val="9"/>
            <color indexed="81"/>
            <rFont val="Tahoma"/>
            <family val="2"/>
          </rPr>
          <t xml:space="preserve">
Choose "No" to size loan based on LTC.  "Yes" uses the lower of LTC, stabilized LTV or in-place, untrended Debt Yield.</t>
        </r>
      </text>
    </comment>
    <comment ref="H30" authorId="0" shapeId="0" xr:uid="{00000000-0006-0000-0F00-000008000000}">
      <text>
        <r>
          <rPr>
            <b/>
            <sz val="9"/>
            <color indexed="81"/>
            <rFont val="Tahoma"/>
            <family val="2"/>
          </rPr>
          <t>Author:</t>
        </r>
        <r>
          <rPr>
            <sz val="9"/>
            <color indexed="81"/>
            <rFont val="Tahoma"/>
            <family val="2"/>
          </rPr>
          <t xml:space="preserve">
These cells become active if you input a value greater than zero.</t>
        </r>
      </text>
    </comment>
    <comment ref="H31" authorId="0" shapeId="0" xr:uid="{00000000-0006-0000-0F00-000009000000}">
      <text>
        <r>
          <rPr>
            <b/>
            <sz val="9"/>
            <color indexed="81"/>
            <rFont val="Tahoma"/>
            <family val="2"/>
          </rPr>
          <t>Author:</t>
        </r>
        <r>
          <rPr>
            <sz val="9"/>
            <color indexed="81"/>
            <rFont val="Tahoma"/>
            <family val="2"/>
          </rPr>
          <t xml:space="preserve">
These cells become active if you input a value greater than zero.</t>
        </r>
      </text>
    </comment>
    <comment ref="H32" authorId="0" shapeId="0" xr:uid="{00000000-0006-0000-0F00-00000A000000}">
      <text>
        <r>
          <rPr>
            <b/>
            <sz val="9"/>
            <color indexed="81"/>
            <rFont val="Tahoma"/>
            <family val="2"/>
          </rPr>
          <t>Author:</t>
        </r>
        <r>
          <rPr>
            <sz val="9"/>
            <color indexed="81"/>
            <rFont val="Tahoma"/>
            <family val="2"/>
          </rPr>
          <t xml:space="preserve">
These cells become active if you input a value greater than zero.</t>
        </r>
      </text>
    </comment>
    <comment ref="C37" authorId="1" shapeId="0" xr:uid="{00000000-0006-0000-0F00-00000B000000}">
      <text>
        <r>
          <rPr>
            <b/>
            <sz val="9"/>
            <color indexed="81"/>
            <rFont val="Tahoma"/>
            <family val="2"/>
          </rPr>
          <t>Author:</t>
        </r>
        <r>
          <rPr>
            <sz val="9"/>
            <color indexed="81"/>
            <rFont val="Tahoma"/>
            <family val="2"/>
          </rPr>
          <t xml:space="preserve">
The date of your estimate for Income.  Initially equal to the Analysis Start date.  This cell needs to be updated as you update rents with actual market rent growth.
If you wish to have an "un-trended" model, this date should equal the Construction Start Date.
</t>
        </r>
        <r>
          <rPr>
            <b/>
            <sz val="9"/>
            <color indexed="81"/>
            <rFont val="Tahoma"/>
            <family val="2"/>
          </rPr>
          <t>All dates in this model must be input as the first day of the month.</t>
        </r>
      </text>
    </comment>
    <comment ref="C38" authorId="1" shapeId="0" xr:uid="{2B3D3F80-D646-4951-A1E6-AADC67E920BD}">
      <text>
        <r>
          <rPr>
            <b/>
            <sz val="9"/>
            <color indexed="81"/>
            <rFont val="Tahoma"/>
            <family val="2"/>
          </rPr>
          <t>Author:</t>
        </r>
        <r>
          <rPr>
            <sz val="9"/>
            <color indexed="81"/>
            <rFont val="Tahoma"/>
            <family val="2"/>
          </rPr>
          <t xml:space="preserve">
The date of your estimate for Income.  Initially equal to the Analysis Start date.  This cell needs to be updated as you update rents with actual market rent growth.
If you wish to have an "un-trended" model, this date should equal the Construction Start Date.
</t>
        </r>
        <r>
          <rPr>
            <b/>
            <sz val="9"/>
            <color indexed="81"/>
            <rFont val="Tahoma"/>
            <family val="2"/>
          </rPr>
          <t>All dates in this model must be input as the first day of the month.</t>
        </r>
      </text>
    </comment>
    <comment ref="C39" authorId="1" shapeId="0" xr:uid="{A206DFDF-5C8F-4368-B5D1-CB5B30BEF8F1}">
      <text>
        <r>
          <rPr>
            <b/>
            <sz val="9"/>
            <color indexed="81"/>
            <rFont val="Tahoma"/>
            <family val="2"/>
          </rPr>
          <t>Author:</t>
        </r>
        <r>
          <rPr>
            <sz val="9"/>
            <color indexed="81"/>
            <rFont val="Tahoma"/>
            <family val="2"/>
          </rPr>
          <t xml:space="preserve">
The date of your estimate for Income.  Initially equal to the Analysis Start date.  This cell needs to be updated as you update rents with actual market rent growth.
If you wish to have an "un-trended" model, this date should equal the Construction Start Date.
</t>
        </r>
        <r>
          <rPr>
            <b/>
            <sz val="9"/>
            <color indexed="81"/>
            <rFont val="Tahoma"/>
            <family val="2"/>
          </rPr>
          <t>All dates in this model must be input as the first day of the month.</t>
        </r>
      </text>
    </comment>
    <comment ref="C44" authorId="1" shapeId="0" xr:uid="{00000000-0006-0000-0F00-00000E000000}">
      <text>
        <r>
          <rPr>
            <b/>
            <sz val="9"/>
            <color indexed="81"/>
            <rFont val="Tahoma"/>
            <family val="2"/>
          </rPr>
          <t>Paul Ogier:</t>
        </r>
        <r>
          <rPr>
            <sz val="9"/>
            <color indexed="81"/>
            <rFont val="Tahoma"/>
            <family val="2"/>
          </rPr>
          <t xml:space="preserve">
This is from the month of Construction Start; it is not the actual month of first units.</t>
        </r>
      </text>
    </comment>
    <comment ref="C47" authorId="1" shapeId="0" xr:uid="{00000000-0006-0000-0F00-00000F000000}">
      <text>
        <r>
          <rPr>
            <b/>
            <sz val="9"/>
            <color indexed="81"/>
            <rFont val="Tahoma"/>
            <family val="2"/>
          </rPr>
          <t>Author:</t>
        </r>
        <r>
          <rPr>
            <sz val="9"/>
            <color indexed="81"/>
            <rFont val="Tahoma"/>
            <family val="2"/>
          </rPr>
          <t xml:space="preserve">
Applied on the Total Equity
</t>
        </r>
      </text>
    </comment>
    <comment ref="C48" authorId="1" shapeId="0" xr:uid="{00000000-0006-0000-0F00-000010000000}">
      <text>
        <r>
          <rPr>
            <b/>
            <sz val="9"/>
            <color indexed="81"/>
            <rFont val="Tahoma"/>
            <family val="2"/>
          </rPr>
          <t>Author:</t>
        </r>
        <r>
          <rPr>
            <sz val="9"/>
            <color indexed="81"/>
            <rFont val="Tahoma"/>
            <family val="2"/>
          </rPr>
          <t xml:space="preserve">
All dates in this model must be input as the first day of the month.</t>
        </r>
      </text>
    </comment>
    <comment ref="H48" authorId="0" shapeId="0" xr:uid="{00000000-0006-0000-0F00-000011000000}">
      <text>
        <r>
          <rPr>
            <b/>
            <sz val="9"/>
            <color indexed="81"/>
            <rFont val="Tahoma"/>
            <family val="2"/>
          </rPr>
          <t>Author:</t>
        </r>
        <r>
          <rPr>
            <sz val="9"/>
            <color indexed="81"/>
            <rFont val="Tahoma"/>
            <family val="2"/>
          </rPr>
          <t xml:space="preserve">
"Current Year" is a Trailing 12 NOI, "Next Year" is a following 12 NOI, and "Blend" is a T6 plus a following 6.</t>
        </r>
      </text>
    </comment>
    <comment ref="H49" authorId="0" shapeId="0" xr:uid="{00000000-0006-0000-0F00-000012000000}">
      <text>
        <r>
          <rPr>
            <b/>
            <sz val="9"/>
            <color indexed="81"/>
            <rFont val="Tahoma"/>
            <family val="2"/>
          </rPr>
          <t>Author:</t>
        </r>
        <r>
          <rPr>
            <sz val="9"/>
            <color indexed="81"/>
            <rFont val="Tahoma"/>
            <family val="2"/>
          </rPr>
          <t xml:space="preserve">
A "Yes" means that the NOI used to calculate residual value is adjusted to the buyer's tax burden, based on the residual value.  The calculation is circular and the model finds a solution through trial-and-error (iteration).</t>
        </r>
      </text>
    </comment>
    <comment ref="I49" authorId="0" shapeId="0" xr:uid="{00000000-0006-0000-0F00-000013000000}">
      <text>
        <r>
          <rPr>
            <b/>
            <sz val="9"/>
            <color indexed="81"/>
            <rFont val="Tahoma"/>
            <family val="2"/>
          </rPr>
          <t>Author:</t>
        </r>
        <r>
          <rPr>
            <sz val="9"/>
            <color indexed="81"/>
            <rFont val="Tahoma"/>
            <family val="2"/>
          </rPr>
          <t xml:space="preserve">
The percentage of residual value that the Buyer's tax assessment is projected to be.</t>
        </r>
      </text>
    </comment>
    <comment ref="H50" authorId="0" shapeId="0" xr:uid="{00000000-0006-0000-0F00-000014000000}">
      <text>
        <r>
          <rPr>
            <b/>
            <sz val="9"/>
            <color indexed="81"/>
            <rFont val="Tahoma"/>
            <family val="2"/>
          </rPr>
          <t>Author:</t>
        </r>
        <r>
          <rPr>
            <sz val="9"/>
            <color indexed="81"/>
            <rFont val="Tahoma"/>
            <family val="2"/>
          </rPr>
          <t xml:space="preserve">
as a % of Gross Sales Proceeds</t>
        </r>
      </text>
    </comment>
    <comment ref="H51" authorId="0" shapeId="0" xr:uid="{00000000-0006-0000-0F00-000015000000}">
      <text>
        <r>
          <rPr>
            <b/>
            <sz val="9"/>
            <color indexed="81"/>
            <rFont val="Tahoma"/>
            <family val="2"/>
          </rPr>
          <t>Author:</t>
        </r>
        <r>
          <rPr>
            <sz val="9"/>
            <color indexed="81"/>
            <rFont val="Tahoma"/>
            <family val="2"/>
          </rPr>
          <t xml:space="preserve">
as a % of Gross Sales Proceeds</t>
        </r>
      </text>
    </comment>
    <comment ref="H53" authorId="0" shapeId="0" xr:uid="{00000000-0006-0000-0F00-000016000000}">
      <text>
        <r>
          <rPr>
            <b/>
            <sz val="9"/>
            <color indexed="81"/>
            <rFont val="Tahoma"/>
            <family val="2"/>
          </rPr>
          <t>Author:</t>
        </r>
        <r>
          <rPr>
            <sz val="9"/>
            <color indexed="81"/>
            <rFont val="Tahoma"/>
            <family val="2"/>
          </rPr>
          <t xml:space="preserve">
as a % of Gross Sales Proceeds</t>
        </r>
      </text>
    </comment>
    <comment ref="H54" authorId="0" shapeId="0" xr:uid="{00000000-0006-0000-0F00-000017000000}">
      <text>
        <r>
          <rPr>
            <b/>
            <sz val="9"/>
            <color indexed="81"/>
            <rFont val="Tahoma"/>
            <family val="2"/>
          </rPr>
          <t>Author:</t>
        </r>
        <r>
          <rPr>
            <sz val="9"/>
            <color indexed="81"/>
            <rFont val="Tahoma"/>
            <family val="2"/>
          </rPr>
          <t xml:space="preserve">
as a % of Gross Sales Proceeds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Denise Ogier</author>
    <author>Paul Ogier</author>
  </authors>
  <commentList>
    <comment ref="G8" authorId="0" shapeId="0" xr:uid="{00000000-0006-0000-1000-000001000000}">
      <text>
        <r>
          <rPr>
            <b/>
            <sz val="9"/>
            <color indexed="81"/>
            <rFont val="Tahoma"/>
            <family val="2"/>
          </rPr>
          <t>Author:</t>
        </r>
        <r>
          <rPr>
            <sz val="9"/>
            <color indexed="81"/>
            <rFont val="Tahoma"/>
            <family val="2"/>
          </rPr>
          <t xml:space="preserve">
"Yes" means all BMR units have the same rent PSF (entered to the right).  "No" means the model uses rents input in "Manual Input" (column M).</t>
        </r>
      </text>
    </comment>
    <comment ref="K8" authorId="1" shapeId="0" xr:uid="{00000000-0006-0000-1000-000002000000}">
      <text>
        <r>
          <rPr>
            <b/>
            <sz val="9"/>
            <color indexed="81"/>
            <rFont val="Tahoma"/>
            <family val="2"/>
          </rPr>
          <t>Author:</t>
        </r>
        <r>
          <rPr>
            <sz val="9"/>
            <color indexed="81"/>
            <rFont val="Tahoma"/>
            <family val="2"/>
          </rPr>
          <t xml:space="preserve">
Enter the number of months of free rent based on a 12-month lease.</t>
        </r>
      </text>
    </comment>
    <comment ref="G9" authorId="0" shapeId="0" xr:uid="{00000000-0006-0000-1000-000003000000}">
      <text>
        <r>
          <rPr>
            <b/>
            <sz val="9"/>
            <color indexed="81"/>
            <rFont val="Tahoma"/>
            <family val="2"/>
          </rPr>
          <t xml:space="preserve">Author:
</t>
        </r>
        <r>
          <rPr>
            <sz val="9"/>
            <color indexed="81"/>
            <rFont val="Tahoma"/>
            <family val="2"/>
          </rPr>
          <t>"Yes" means all Market Rate units have the same rent PSF (entered to the right).  "No" means the model uses rents input in "Manual Input" (column M).</t>
        </r>
      </text>
    </comment>
    <comment ref="G10" authorId="0" shapeId="0" xr:uid="{00000000-0006-0000-1000-000004000000}">
      <text>
        <r>
          <rPr>
            <b/>
            <sz val="9"/>
            <color indexed="81"/>
            <rFont val="Tahoma"/>
            <family val="2"/>
          </rPr>
          <t>Author:</t>
        </r>
        <r>
          <rPr>
            <sz val="9"/>
            <color indexed="81"/>
            <rFont val="Tahoma"/>
            <family val="2"/>
          </rPr>
          <t xml:space="preserve">
Average lease term.  Used to calculate Loss to Lease.</t>
        </r>
      </text>
    </comment>
    <comment ref="K10" authorId="1" shapeId="0" xr:uid="{EE7BC163-B519-4E51-9981-7FB05990E4E7}">
      <text>
        <r>
          <rPr>
            <b/>
            <sz val="9"/>
            <color indexed="81"/>
            <rFont val="Tahoma"/>
            <family val="2"/>
          </rPr>
          <t>Author:</t>
        </r>
        <r>
          <rPr>
            <sz val="9"/>
            <color indexed="81"/>
            <rFont val="Tahoma"/>
            <family val="2"/>
          </rPr>
          <t xml:space="preserve">
Enter the number of months of free rent based on a 12-month lease.</t>
        </r>
      </text>
    </comment>
    <comment ref="G11" authorId="0" shapeId="0" xr:uid="{00000000-0006-0000-1000-000005000000}">
      <text>
        <r>
          <rPr>
            <b/>
            <sz val="9"/>
            <color indexed="81"/>
            <rFont val="Tahoma"/>
            <family val="2"/>
          </rPr>
          <t>Author:</t>
        </r>
        <r>
          <rPr>
            <sz val="9"/>
            <color indexed="81"/>
            <rFont val="Tahoma"/>
            <family val="2"/>
          </rPr>
          <t xml:space="preserve">
Average lease term.  Used to calculate Loss to Lease.</t>
        </r>
      </text>
    </comment>
    <comment ref="K11" authorId="1" shapeId="0" xr:uid="{E2C6A209-254F-476B-A20B-F478CE20E42C}">
      <text>
        <r>
          <rPr>
            <b/>
            <sz val="9"/>
            <color indexed="81"/>
            <rFont val="Tahoma"/>
            <family val="2"/>
          </rPr>
          <t>Author:</t>
        </r>
        <r>
          <rPr>
            <sz val="9"/>
            <color indexed="81"/>
            <rFont val="Tahoma"/>
            <family val="2"/>
          </rPr>
          <t xml:space="preserve">
Enter the number of months of free rent based on a 12-month lease.</t>
        </r>
      </text>
    </comment>
    <comment ref="A55" authorId="0" shapeId="0" xr:uid="{00000000-0006-0000-1000-000006000000}">
      <text>
        <r>
          <rPr>
            <b/>
            <sz val="9"/>
            <color indexed="81"/>
            <rFont val="Tahoma"/>
            <family val="2"/>
          </rPr>
          <t>Author:</t>
        </r>
        <r>
          <rPr>
            <sz val="9"/>
            <color indexed="81"/>
            <rFont val="Tahoma"/>
            <family val="2"/>
          </rPr>
          <t xml:space="preserve">
Intended for unit-based, non-optional premiums like fireplaces, views, etc., that are not applicable to 100% of units.  Used to derive a "street" rent, or the lowest rent someone coming in "off the street" could pay for this particular unit.</t>
        </r>
      </text>
    </comment>
    <comment ref="A86" authorId="0" shapeId="0" xr:uid="{00000000-0006-0000-1000-000007000000}">
      <text>
        <r>
          <rPr>
            <b/>
            <sz val="9"/>
            <color indexed="81"/>
            <rFont val="Tahoma"/>
            <family val="2"/>
          </rPr>
          <t>Author:</t>
        </r>
        <r>
          <rPr>
            <sz val="9"/>
            <color indexed="81"/>
            <rFont val="Tahoma"/>
            <family val="2"/>
          </rPr>
          <t xml:space="preserve">
Intended for optional charges such as additional parking, storage units, office rental, DirecTV/Cable fees, etc.</t>
        </r>
      </text>
    </comment>
    <comment ref="A94" authorId="0" shapeId="0" xr:uid="{00000000-0006-0000-1000-000008000000}">
      <text>
        <r>
          <rPr>
            <b/>
            <sz val="9"/>
            <color indexed="81"/>
            <rFont val="Tahoma"/>
            <family val="2"/>
          </rPr>
          <t>Author:</t>
        </r>
        <r>
          <rPr>
            <sz val="9"/>
            <color indexed="81"/>
            <rFont val="Tahoma"/>
            <family val="2"/>
          </rPr>
          <t xml:space="preserve">
Includes other non-recurring income including NSF/Late Fees, Application Fees, Revenue Sharing, Laundry/Vending, Clubhouse rental, Cleaning fees, etc.</t>
        </r>
      </text>
    </comment>
    <comment ref="A99" authorId="0" shapeId="0" xr:uid="{00000000-0006-0000-1000-000009000000}">
      <text>
        <r>
          <rPr>
            <b/>
            <sz val="9"/>
            <color indexed="81"/>
            <rFont val="Tahoma"/>
            <family val="2"/>
          </rPr>
          <t>Author:</t>
        </r>
        <r>
          <rPr>
            <sz val="9"/>
            <color indexed="81"/>
            <rFont val="Tahoma"/>
            <family val="2"/>
          </rPr>
          <t xml:space="preserve">
Unit/space name</t>
        </r>
      </text>
    </comment>
    <comment ref="B99" authorId="0" shapeId="0" xr:uid="{00000000-0006-0000-1000-00000A000000}">
      <text>
        <r>
          <rPr>
            <b/>
            <sz val="9"/>
            <color indexed="81"/>
            <rFont val="Tahoma"/>
            <family val="2"/>
          </rPr>
          <t>Author:</t>
        </r>
        <r>
          <rPr>
            <sz val="9"/>
            <color indexed="81"/>
            <rFont val="Tahoma"/>
            <family val="2"/>
          </rPr>
          <t xml:space="preserve">
Enter as a number.
Lease start month - from JV Close/Land acquisition date, not necessarily construction start date.</t>
        </r>
      </text>
    </comment>
    <comment ref="E99" authorId="1" shapeId="0" xr:uid="{00000000-0006-0000-1000-00000B000000}">
      <text>
        <r>
          <rPr>
            <b/>
            <sz val="8"/>
            <color indexed="81"/>
            <rFont val="Tahoma"/>
            <family val="2"/>
          </rPr>
          <t>Paul Ogier:</t>
        </r>
        <r>
          <rPr>
            <sz val="8"/>
            <color indexed="81"/>
            <rFont val="Tahoma"/>
            <family val="2"/>
          </rPr>
          <t xml:space="preserve">
This is the starting rent in the month indicated in column B, i.e. trending begins at lease start.  </t>
        </r>
      </text>
    </comment>
    <comment ref="I99" authorId="0" shapeId="0" xr:uid="{00000000-0006-0000-1000-00000C000000}">
      <text>
        <r>
          <rPr>
            <b/>
            <sz val="9"/>
            <color indexed="81"/>
            <rFont val="Tahoma"/>
            <family val="2"/>
          </rPr>
          <t>Author:</t>
        </r>
        <r>
          <rPr>
            <sz val="9"/>
            <color indexed="81"/>
            <rFont val="Tahoma"/>
            <family val="2"/>
          </rPr>
          <t xml:space="preserve">
Enter the number of months to spread TI costs.  Costs are spread evenly.</t>
        </r>
      </text>
    </comment>
    <comment ref="J99" authorId="0" shapeId="0" xr:uid="{00000000-0006-0000-1000-00000D000000}">
      <text>
        <r>
          <rPr>
            <b/>
            <sz val="9"/>
            <color indexed="81"/>
            <rFont val="Tahoma"/>
            <family val="2"/>
          </rPr>
          <t>Author:</t>
        </r>
        <r>
          <rPr>
            <sz val="9"/>
            <color indexed="81"/>
            <rFont val="Tahoma"/>
            <family val="2"/>
          </rPr>
          <t xml:space="preserve">
The number entered here delays commercial income by that many months.</t>
        </r>
      </text>
    </comment>
    <comment ref="K99" authorId="0" shapeId="0" xr:uid="{00000000-0006-0000-1000-00000E000000}">
      <text>
        <r>
          <rPr>
            <b/>
            <sz val="9"/>
            <color indexed="81"/>
            <rFont val="Tahoma"/>
            <family val="2"/>
          </rPr>
          <t>Author:</t>
        </r>
        <r>
          <rPr>
            <sz val="9"/>
            <color indexed="81"/>
            <rFont val="Tahoma"/>
            <family val="2"/>
          </rPr>
          <t xml:space="preserve">
Commission calculation assumes a 60-Month lease.  Commission is on the entire amount of the lease.</t>
        </r>
      </text>
    </comment>
    <comment ref="I168" authorId="0" shapeId="0" xr:uid="{00000000-0006-0000-1000-000011000000}">
      <text>
        <r>
          <rPr>
            <b/>
            <sz val="9"/>
            <color indexed="81"/>
            <rFont val="Tahoma"/>
            <family val="2"/>
          </rPr>
          <t>Author:</t>
        </r>
        <r>
          <rPr>
            <sz val="9"/>
            <color indexed="81"/>
            <rFont val="Tahoma"/>
            <family val="2"/>
          </rPr>
          <t xml:space="preserve">
Applies only if State is Oregon.  This value is used until construction completion, or month 24, whichever comes first.</t>
        </r>
      </text>
    </comment>
    <comment ref="I169" authorId="1" shapeId="0" xr:uid="{00000000-0006-0000-1000-000012000000}">
      <text>
        <r>
          <rPr>
            <b/>
            <sz val="9"/>
            <color indexed="81"/>
            <rFont val="Tahoma"/>
            <family val="2"/>
          </rPr>
          <t>Author:</t>
        </r>
        <r>
          <rPr>
            <sz val="9"/>
            <color indexed="81"/>
            <rFont val="Tahoma"/>
            <family val="2"/>
          </rPr>
          <t xml:space="preserve">
Please input 1-12 representing January - December</t>
        </r>
      </text>
    </comment>
    <comment ref="I171" authorId="0" shapeId="0" xr:uid="{00000000-0006-0000-1000-000013000000}">
      <text>
        <r>
          <rPr>
            <b/>
            <sz val="9"/>
            <color indexed="81"/>
            <rFont val="Tahoma"/>
            <family val="2"/>
          </rPr>
          <t>Author:</t>
        </r>
        <r>
          <rPr>
            <sz val="9"/>
            <color indexed="81"/>
            <rFont val="Tahoma"/>
            <family val="2"/>
          </rPr>
          <t xml:space="preserve">
Input as X per $100 of value.</t>
        </r>
      </text>
    </comment>
    <comment ref="I174" authorId="0" shapeId="0" xr:uid="{00000000-0006-0000-1000-000014000000}">
      <text>
        <r>
          <rPr>
            <b/>
            <sz val="9"/>
            <color indexed="81"/>
            <rFont val="Tahoma"/>
            <family val="2"/>
          </rPr>
          <t>Author:</t>
        </r>
        <r>
          <rPr>
            <sz val="9"/>
            <color indexed="81"/>
            <rFont val="Tahoma"/>
            <family val="2"/>
          </rPr>
          <t xml:space="preserve">
Input as X per $100 of value.</t>
        </r>
      </text>
    </comment>
    <comment ref="I178" authorId="0" shapeId="0" xr:uid="{00000000-0006-0000-1000-000015000000}">
      <text>
        <r>
          <rPr>
            <b/>
            <sz val="9"/>
            <color indexed="81"/>
            <rFont val="Tahoma"/>
            <family val="2"/>
          </rPr>
          <t>Author:</t>
        </r>
        <r>
          <rPr>
            <sz val="9"/>
            <color indexed="81"/>
            <rFont val="Tahoma"/>
            <family val="2"/>
          </rPr>
          <t xml:space="preserve">
This includes any taxes that are fixed, or not variable based on changes in assessments.</t>
        </r>
      </text>
    </comment>
    <comment ref="H182" authorId="0" shapeId="0" xr:uid="{00000000-0006-0000-1000-000016000000}">
      <text>
        <r>
          <rPr>
            <b/>
            <sz val="9"/>
            <color indexed="81"/>
            <rFont val="Tahoma"/>
            <family val="2"/>
          </rPr>
          <t>Author:</t>
        </r>
        <r>
          <rPr>
            <sz val="9"/>
            <color indexed="81"/>
            <rFont val="Tahoma"/>
            <family val="2"/>
          </rPr>
          <t xml:space="preserve">
Applies during lease-up or until the calculated fee exceeds this amount.</t>
        </r>
      </text>
    </comment>
    <comment ref="C236" authorId="0" shapeId="0" xr:uid="{00000000-0006-0000-1000-000017000000}">
      <text>
        <r>
          <rPr>
            <b/>
            <sz val="9"/>
            <color indexed="81"/>
            <rFont val="Tahoma"/>
            <family val="2"/>
          </rPr>
          <t>Author:</t>
        </r>
        <r>
          <rPr>
            <sz val="9"/>
            <color indexed="81"/>
            <rFont val="Tahoma"/>
            <family val="2"/>
          </rPr>
          <t xml:space="preserve">
Used to calculate the current "market value" of leased land for tax purposes, as well as calculating a "land cost" used to calculate a Return on Cost.</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Renee Lewis</author>
    <author>Tom Poulos</author>
  </authors>
  <commentList>
    <comment ref="C7" authorId="0" shapeId="0" xr:uid="{8E9B6B35-6B17-47B5-A9A9-2368E88F8C6F}">
      <text>
        <r>
          <rPr>
            <b/>
            <sz val="9"/>
            <color indexed="81"/>
            <rFont val="Tahoma"/>
            <family val="2"/>
          </rPr>
          <t>Only combines with other "ps" modules for 3/4 splits</t>
        </r>
        <r>
          <rPr>
            <sz val="9"/>
            <color indexed="81"/>
            <rFont val="Tahoma"/>
            <family val="2"/>
          </rPr>
          <t xml:space="preserve">
</t>
        </r>
      </text>
    </comment>
    <comment ref="C10" authorId="0" shapeId="0" xr:uid="{FA3A6927-CB18-4228-89EA-6CB12EB2C9F1}">
      <text>
        <r>
          <rPr>
            <b/>
            <sz val="9"/>
            <color indexed="81"/>
            <rFont val="Tahoma"/>
            <family val="2"/>
          </rPr>
          <t>Only combines with other "ps" modules for 3/4 splits</t>
        </r>
        <r>
          <rPr>
            <sz val="9"/>
            <color indexed="81"/>
            <rFont val="Tahoma"/>
            <family val="2"/>
          </rPr>
          <t xml:space="preserve">
</t>
        </r>
      </text>
    </comment>
    <comment ref="C13" authorId="0" shapeId="0" xr:uid="{0A91C0FA-85FA-4B18-A736-B7D8BBEC106D}">
      <text>
        <r>
          <rPr>
            <b/>
            <sz val="9"/>
            <color indexed="81"/>
            <rFont val="Tahoma"/>
            <family val="2"/>
          </rPr>
          <t>Only combines with other "ps" modules for 3/4 splits</t>
        </r>
        <r>
          <rPr>
            <sz val="9"/>
            <color indexed="81"/>
            <rFont val="Tahoma"/>
            <family val="2"/>
          </rPr>
          <t xml:space="preserve">
</t>
        </r>
      </text>
    </comment>
    <comment ref="C16" authorId="0" shapeId="0" xr:uid="{54E1D087-F97A-454A-8772-A82B8BB6F55F}">
      <text>
        <r>
          <rPr>
            <b/>
            <sz val="9"/>
            <color indexed="81"/>
            <rFont val="Tahoma"/>
            <family val="2"/>
          </rPr>
          <t>Only combines with other "ps" modules for 3/4 splits</t>
        </r>
        <r>
          <rPr>
            <sz val="9"/>
            <color indexed="81"/>
            <rFont val="Tahoma"/>
            <family val="2"/>
          </rPr>
          <t xml:space="preserve">
</t>
        </r>
      </text>
    </comment>
    <comment ref="C19" authorId="0" shapeId="0" xr:uid="{139805F2-114B-44D7-8175-1E4A8D5072A2}">
      <text>
        <r>
          <rPr>
            <b/>
            <sz val="9"/>
            <color indexed="81"/>
            <rFont val="Tahoma"/>
            <family val="2"/>
          </rPr>
          <t>Only combines with other "ps" modules for 3/4 splits</t>
        </r>
        <r>
          <rPr>
            <sz val="9"/>
            <color indexed="81"/>
            <rFont val="Tahoma"/>
            <family val="2"/>
          </rPr>
          <t xml:space="preserve">
</t>
        </r>
      </text>
    </comment>
    <comment ref="C20" authorId="1" shapeId="0" xr:uid="{8FA919E1-A00A-492F-A6B3-5ADB588F57E1}">
      <text>
        <r>
          <rPr>
            <b/>
            <sz val="9"/>
            <color indexed="81"/>
            <rFont val="Tahoma"/>
            <family val="2"/>
          </rPr>
          <t>Tom Poulos:</t>
        </r>
        <r>
          <rPr>
            <sz val="9"/>
            <color indexed="81"/>
            <rFont val="Tahoma"/>
            <family val="2"/>
          </rPr>
          <t xml:space="preserve">
End module only</t>
        </r>
      </text>
    </comment>
    <comment ref="C21" authorId="1" shapeId="0" xr:uid="{EB300E29-D99C-4B70-9237-EC01F52CD71B}">
      <text>
        <r>
          <rPr>
            <b/>
            <sz val="9"/>
            <color indexed="81"/>
            <rFont val="Tahoma"/>
            <family val="2"/>
          </rPr>
          <t>Tom Poulos:</t>
        </r>
        <r>
          <rPr>
            <sz val="9"/>
            <color indexed="81"/>
            <rFont val="Tahoma"/>
            <family val="2"/>
          </rPr>
          <t xml:space="preserve">
End module only</t>
        </r>
      </text>
    </comment>
    <comment ref="C22" authorId="1" shapeId="0" xr:uid="{4DE36206-CCD0-4C96-8D0F-85840AE24D49}">
      <text>
        <r>
          <rPr>
            <b/>
            <sz val="9"/>
            <color indexed="81"/>
            <rFont val="Tahoma"/>
            <family val="2"/>
          </rPr>
          <t>Tom Poulos:</t>
        </r>
        <r>
          <rPr>
            <sz val="9"/>
            <color indexed="81"/>
            <rFont val="Tahoma"/>
            <family val="2"/>
          </rPr>
          <t xml:space="preserve">
End module only; only combines with other "ps" modules for 3/4 splits</t>
        </r>
      </text>
    </comment>
    <comment ref="U50" authorId="0" shapeId="0" xr:uid="{AAC49AC6-A9E8-4E1F-AD6A-CACCA294726A}">
      <text>
        <r>
          <rPr>
            <b/>
            <sz val="9"/>
            <color indexed="81"/>
            <rFont val="Tahoma"/>
            <family val="2"/>
          </rPr>
          <t>End unit only; windows on end of C1s</t>
        </r>
      </text>
    </comment>
    <comment ref="AC50" authorId="0" shapeId="0" xr:uid="{AE7CD109-F561-4CC0-9D55-C2AA42A447F3}">
      <text>
        <r>
          <rPr>
            <b/>
            <sz val="9"/>
            <color indexed="81"/>
            <rFont val="Tahoma"/>
            <family val="2"/>
          </rPr>
          <t>End unit only; windows on end of C1s</t>
        </r>
      </text>
    </comment>
    <comment ref="AK50" authorId="0" shapeId="0" xr:uid="{A69D0800-12FC-4C56-8D88-A51376EC2E24}">
      <text>
        <r>
          <rPr>
            <b/>
            <sz val="9"/>
            <color indexed="81"/>
            <rFont val="Tahoma"/>
            <family val="2"/>
          </rPr>
          <t>End unit only; windows on end of C1s</t>
        </r>
      </text>
    </comment>
    <comment ref="HD119" authorId="0" shapeId="0" xr:uid="{79E2B860-48D0-4521-A8A9-EE61F73B151E}">
      <text>
        <r>
          <rPr>
            <b/>
            <sz val="9"/>
            <color indexed="81"/>
            <rFont val="Tahoma"/>
            <family val="2"/>
          </rPr>
          <t>End unit only; windows on end of C1s</t>
        </r>
      </text>
    </comment>
    <comment ref="HE119" authorId="0" shapeId="0" xr:uid="{51073C33-455C-4939-A8A0-A32E726EA7EE}">
      <text>
        <r>
          <rPr>
            <b/>
            <sz val="9"/>
            <color indexed="81"/>
            <rFont val="Tahoma"/>
            <family val="2"/>
          </rPr>
          <t>End unit only; windows on end of C1s</t>
        </r>
      </text>
    </comment>
    <comment ref="HF119" authorId="0" shapeId="0" xr:uid="{06970FEC-DED6-4381-8935-9C0DCE038840}">
      <text>
        <r>
          <rPr>
            <b/>
            <sz val="9"/>
            <color indexed="81"/>
            <rFont val="Tahoma"/>
            <family val="2"/>
          </rPr>
          <t>End unit only; windows on end of C1s</t>
        </r>
      </text>
    </comment>
    <comment ref="HG119" authorId="0" shapeId="0" xr:uid="{D5CB5419-2FE0-4719-A63A-626988ABBC60}">
      <text>
        <r>
          <rPr>
            <b/>
            <sz val="9"/>
            <color indexed="81"/>
            <rFont val="Tahoma"/>
            <family val="2"/>
          </rPr>
          <t>End unit only; windows on end of C1s</t>
        </r>
      </text>
    </comment>
    <comment ref="HH119" authorId="0" shapeId="0" xr:uid="{7393E921-0D00-4491-80E4-EE9AEE8487DA}">
      <text>
        <r>
          <rPr>
            <b/>
            <sz val="9"/>
            <color indexed="81"/>
            <rFont val="Tahoma"/>
            <family val="2"/>
          </rPr>
          <t>End unit only; windows on end of C1s</t>
        </r>
      </text>
    </comment>
    <comment ref="HI119" authorId="0" shapeId="0" xr:uid="{95ED95DD-B1FC-4A2C-B47D-3CC7EA14A4BB}">
      <text>
        <r>
          <rPr>
            <b/>
            <sz val="9"/>
            <color indexed="81"/>
            <rFont val="Tahoma"/>
            <family val="2"/>
          </rPr>
          <t>End unit only; windows on end of C1s</t>
        </r>
      </text>
    </comment>
    <comment ref="HJ119" authorId="0" shapeId="0" xr:uid="{69E5EED0-6AD1-45B7-BA30-5D987414CDE1}">
      <text>
        <r>
          <rPr>
            <b/>
            <sz val="9"/>
            <color indexed="81"/>
            <rFont val="Tahoma"/>
            <family val="2"/>
          </rPr>
          <t>End unit only; windows on end of C1s</t>
        </r>
      </text>
    </comment>
    <comment ref="HL119" authorId="0" shapeId="0" xr:uid="{3017D637-0E1C-4967-9BDC-3BF7B52633D6}">
      <text>
        <r>
          <rPr>
            <b/>
            <sz val="9"/>
            <color indexed="81"/>
            <rFont val="Tahoma"/>
            <family val="2"/>
          </rPr>
          <t>End unit only; windows on end of C1s</t>
        </r>
      </text>
    </comment>
    <comment ref="HM119" authorId="0" shapeId="0" xr:uid="{D5134D5A-78C6-4241-A948-4F43EED1A317}">
      <text>
        <r>
          <rPr>
            <b/>
            <sz val="9"/>
            <color indexed="81"/>
            <rFont val="Tahoma"/>
            <family val="2"/>
          </rPr>
          <t>End unit only; windows on end of C1s</t>
        </r>
      </text>
    </comment>
    <comment ref="HN119" authorId="0" shapeId="0" xr:uid="{558D089D-6849-4CE2-B1CF-A7F4BB174264}">
      <text>
        <r>
          <rPr>
            <b/>
            <sz val="9"/>
            <color indexed="81"/>
            <rFont val="Tahoma"/>
            <family val="2"/>
          </rPr>
          <t>End unit only; windows on end of C1s</t>
        </r>
      </text>
    </comment>
    <comment ref="HO119" authorId="0" shapeId="0" xr:uid="{2A13FA3A-93CE-4982-8F32-0F103D07C116}">
      <text>
        <r>
          <rPr>
            <b/>
            <sz val="9"/>
            <color indexed="81"/>
            <rFont val="Tahoma"/>
            <family val="2"/>
          </rPr>
          <t>End unit only; windows on end of C1s</t>
        </r>
      </text>
    </comment>
    <comment ref="HP119" authorId="0" shapeId="0" xr:uid="{F0449FC2-D86B-44C9-9EBB-CF44EBBC0907}">
      <text>
        <r>
          <rPr>
            <b/>
            <sz val="9"/>
            <color indexed="81"/>
            <rFont val="Tahoma"/>
            <family val="2"/>
          </rPr>
          <t>End unit only; windows on end of C1s</t>
        </r>
      </text>
    </comment>
    <comment ref="HQ119" authorId="0" shapeId="0" xr:uid="{8D059D2B-850F-4310-9BC9-5A0194AD6D28}">
      <text>
        <r>
          <rPr>
            <b/>
            <sz val="9"/>
            <color indexed="81"/>
            <rFont val="Tahoma"/>
            <family val="2"/>
          </rPr>
          <t>End unit only; windows on end of C1s</t>
        </r>
      </text>
    </comment>
    <comment ref="HR119" authorId="0" shapeId="0" xr:uid="{C18D7E6F-0D1B-4945-B96A-FCD713806BB1}">
      <text>
        <r>
          <rPr>
            <b/>
            <sz val="9"/>
            <color indexed="81"/>
            <rFont val="Tahoma"/>
            <family val="2"/>
          </rPr>
          <t>End unit only; windows on end of C1s</t>
        </r>
      </text>
    </comment>
    <comment ref="HT119" authorId="0" shapeId="0" xr:uid="{28CAC361-1FAE-4473-AEB5-360612EFCE84}">
      <text>
        <r>
          <rPr>
            <b/>
            <sz val="9"/>
            <color indexed="81"/>
            <rFont val="Tahoma"/>
            <family val="2"/>
          </rPr>
          <t>End unit only; windows on end of C1s</t>
        </r>
      </text>
    </comment>
    <comment ref="HU119" authorId="0" shapeId="0" xr:uid="{346335E3-A9AC-46E1-9346-AE15771AD34C}">
      <text>
        <r>
          <rPr>
            <b/>
            <sz val="9"/>
            <color indexed="81"/>
            <rFont val="Tahoma"/>
            <family val="2"/>
          </rPr>
          <t>End unit only; windows on end of C1s</t>
        </r>
      </text>
    </comment>
    <comment ref="HV119" authorId="0" shapeId="0" xr:uid="{D13B0854-5247-4083-AB37-793B9CF97C22}">
      <text>
        <r>
          <rPr>
            <b/>
            <sz val="9"/>
            <color indexed="81"/>
            <rFont val="Tahoma"/>
            <family val="2"/>
          </rPr>
          <t>End unit only; windows on end of C1s</t>
        </r>
      </text>
    </comment>
    <comment ref="HW119" authorId="0" shapeId="0" xr:uid="{55D9F3E7-721A-47FC-A760-F434931562B7}">
      <text>
        <r>
          <rPr>
            <b/>
            <sz val="9"/>
            <color indexed="81"/>
            <rFont val="Tahoma"/>
            <family val="2"/>
          </rPr>
          <t>End unit only; windows on end of C1s</t>
        </r>
      </text>
    </comment>
    <comment ref="HX119" authorId="0" shapeId="0" xr:uid="{B8C5A4BD-3183-4E30-996B-C0BCEBB72D6B}">
      <text>
        <r>
          <rPr>
            <b/>
            <sz val="9"/>
            <color indexed="81"/>
            <rFont val="Tahoma"/>
            <family val="2"/>
          </rPr>
          <t>End unit only; windows on end of C1s</t>
        </r>
      </text>
    </comment>
    <comment ref="HY119" authorId="0" shapeId="0" xr:uid="{8908839F-CF95-4FEC-A783-5D4A27A600FC}">
      <text>
        <r>
          <rPr>
            <b/>
            <sz val="9"/>
            <color indexed="81"/>
            <rFont val="Tahoma"/>
            <family val="2"/>
          </rPr>
          <t>End unit only; windows on end of C1s</t>
        </r>
      </text>
    </comment>
    <comment ref="HZ119" authorId="0" shapeId="0" xr:uid="{E35F9D97-2FCC-4310-B435-7EAEE1872D7A}">
      <text>
        <r>
          <rPr>
            <b/>
            <sz val="9"/>
            <color indexed="81"/>
            <rFont val="Tahoma"/>
            <family val="2"/>
          </rPr>
          <t>End unit only; windows on end of C1s</t>
        </r>
      </text>
    </comment>
    <comment ref="IB119" authorId="0" shapeId="0" xr:uid="{7E7362E2-1CBF-4E6E-BE47-FD7C2C657A2E}">
      <text>
        <r>
          <rPr>
            <b/>
            <sz val="9"/>
            <color indexed="81"/>
            <rFont val="Tahoma"/>
            <family val="2"/>
          </rPr>
          <t>End unit only; windows on end of C1s</t>
        </r>
      </text>
    </comment>
    <comment ref="IC119" authorId="0" shapeId="0" xr:uid="{7FA3719D-2E74-49B7-9B78-7A4E1138BAB1}">
      <text>
        <r>
          <rPr>
            <b/>
            <sz val="9"/>
            <color indexed="81"/>
            <rFont val="Tahoma"/>
            <family val="2"/>
          </rPr>
          <t>End unit only; windows on end of C1s</t>
        </r>
      </text>
    </comment>
    <comment ref="ID119" authorId="0" shapeId="0" xr:uid="{1D667280-A7A1-40B0-9BAE-2E0A25F63502}">
      <text>
        <r>
          <rPr>
            <b/>
            <sz val="9"/>
            <color indexed="81"/>
            <rFont val="Tahoma"/>
            <family val="2"/>
          </rPr>
          <t>End unit only; windows on end of C1s</t>
        </r>
      </text>
    </comment>
    <comment ref="IE119" authorId="0" shapeId="0" xr:uid="{D65BEF6B-B3EF-45FA-9315-0164C09D318D}">
      <text>
        <r>
          <rPr>
            <b/>
            <sz val="9"/>
            <color indexed="81"/>
            <rFont val="Tahoma"/>
            <family val="2"/>
          </rPr>
          <t>End unit only; windows on end of C1s</t>
        </r>
      </text>
    </comment>
    <comment ref="IF119" authorId="0" shapeId="0" xr:uid="{7034EFF3-1701-4637-8865-ABDA9DFF7D40}">
      <text>
        <r>
          <rPr>
            <b/>
            <sz val="9"/>
            <color indexed="81"/>
            <rFont val="Tahoma"/>
            <family val="2"/>
          </rPr>
          <t>End unit only; windows on end of C1s</t>
        </r>
      </text>
    </comment>
    <comment ref="IG119" authorId="0" shapeId="0" xr:uid="{AC31347B-1FAB-423A-ACBC-93196DACF41D}">
      <text>
        <r>
          <rPr>
            <b/>
            <sz val="9"/>
            <color indexed="81"/>
            <rFont val="Tahoma"/>
            <family val="2"/>
          </rPr>
          <t>End unit only; windows on end of C1s</t>
        </r>
      </text>
    </comment>
    <comment ref="IH119" authorId="0" shapeId="0" xr:uid="{C77E8D66-53A3-45FE-A4A2-347C5E52B9A5}">
      <text>
        <r>
          <rPr>
            <b/>
            <sz val="9"/>
            <color indexed="81"/>
            <rFont val="Tahoma"/>
            <family val="2"/>
          </rPr>
          <t>End unit only; windows on end of C1s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Tom Poulos</author>
    <author>Denise Ogier</author>
    <author>Paul Ogier</author>
    <author>Cameron Koch</author>
    <author>tc={11BB16FD-44E0-4609-9AFD-B93CD6B9ED85}</author>
  </authors>
  <commentList>
    <comment ref="Q9" authorId="0" shapeId="0" xr:uid="{DFE2460A-4093-40B6-9422-87056E8C5CDA}">
      <text>
        <r>
          <rPr>
            <b/>
            <sz val="9"/>
            <color indexed="81"/>
            <rFont val="Tahoma"/>
            <family val="2"/>
          </rPr>
          <t>Tom Poulos:</t>
        </r>
        <r>
          <rPr>
            <sz val="9"/>
            <color indexed="81"/>
            <rFont val="Tahoma"/>
            <family val="2"/>
          </rPr>
          <t xml:space="preserve">
Insert # of </t>
        </r>
        <r>
          <rPr>
            <b/>
            <u/>
            <sz val="9"/>
            <color indexed="81"/>
            <rFont val="Tahoma"/>
            <family val="2"/>
          </rPr>
          <t xml:space="preserve">new 3-story base modules or new 3/4 split w/ tuckunder modules </t>
        </r>
        <r>
          <rPr>
            <sz val="9"/>
            <color indexed="81"/>
            <rFont val="Tahoma"/>
            <family val="2"/>
          </rPr>
          <t>that LPAS will need to design to accommodate community designs.
"Module" = a pack of 4 homes uniquely organized, stacked 3-stories tall (12-total homes).
Goal for each community is to design 0 new modules and reuse previously designed modules that are already existing within the program.</t>
        </r>
      </text>
    </comment>
    <comment ref="Q10" authorId="0" shapeId="0" xr:uid="{F90C84C8-D4E6-4E4F-8EEE-3496116560F2}">
      <text>
        <r>
          <rPr>
            <b/>
            <sz val="9"/>
            <color indexed="81"/>
            <rFont val="Tahoma"/>
            <family val="2"/>
          </rPr>
          <t>Tom Poulos:</t>
        </r>
        <r>
          <rPr>
            <sz val="9"/>
            <color indexed="81"/>
            <rFont val="Tahoma"/>
            <family val="2"/>
          </rPr>
          <t xml:space="preserve">
Insert # of </t>
        </r>
        <r>
          <rPr>
            <b/>
            <u/>
            <sz val="9"/>
            <color indexed="81"/>
            <rFont val="Tahoma"/>
            <family val="2"/>
          </rPr>
          <t>new 3/4 split of existing base module and 3-story tuckunder of existing base module</t>
        </r>
        <r>
          <rPr>
            <sz val="9"/>
            <color indexed="81"/>
            <rFont val="Tahoma"/>
            <family val="2"/>
          </rPr>
          <t xml:space="preserve"> that LPAS will need to design to accommodate community designs.
"Module" = a pack of 4 homes uniquely organized, stacked 3-stories tall (12-total homes).
Goal for each community is to design 0 new modules and reuse previously designed modules that are already existing within the program.</t>
        </r>
      </text>
    </comment>
    <comment ref="Q11" authorId="0" shapeId="0" xr:uid="{56526C92-A63C-4171-95F7-62A035B19C3B}">
      <text>
        <r>
          <rPr>
            <b/>
            <sz val="9"/>
            <color indexed="81"/>
            <rFont val="Tahoma"/>
            <family val="2"/>
          </rPr>
          <t>Tom Poulos:</t>
        </r>
        <r>
          <rPr>
            <sz val="9"/>
            <color indexed="81"/>
            <rFont val="Tahoma"/>
            <family val="2"/>
          </rPr>
          <t xml:space="preserve">
Insert # of </t>
        </r>
        <r>
          <rPr>
            <b/>
            <u/>
            <sz val="9"/>
            <color indexed="81"/>
            <rFont val="Tahoma"/>
            <family val="2"/>
          </rPr>
          <t>new 3-stroy passthrough of existing base modules</t>
        </r>
        <r>
          <rPr>
            <sz val="9"/>
            <color indexed="81"/>
            <rFont val="Tahoma"/>
            <family val="2"/>
          </rPr>
          <t xml:space="preserve"> that LPAS will need to design to accommodate community designs.
"Module" = a pack of 4 homes uniquely organized, stacked 3-stories tall (12-total homes).
Goal for each community is to design 0 new modules and reuse previously designed modules that are already existing within the program.</t>
        </r>
      </text>
    </comment>
    <comment ref="Q12" authorId="0" shapeId="0" xr:uid="{6B4761CF-E43B-4C1A-90EA-AA821F2F52AD}">
      <text>
        <r>
          <rPr>
            <b/>
            <sz val="9"/>
            <color indexed="81"/>
            <rFont val="Tahoma"/>
            <family val="2"/>
          </rPr>
          <t>Tom Poulos:</t>
        </r>
        <r>
          <rPr>
            <sz val="9"/>
            <color indexed="81"/>
            <rFont val="Tahoma"/>
            <family val="2"/>
          </rPr>
          <t xml:space="preserve">
Insert "1" if LPAS will be designing a new Clubhouse from scratch, rather than a previously designed Clubhouse.
Goal is "0" to avoid necessary costs and resources required (other considerations are interior design costs, FF&amp;E, etc.)
A new Clubhouse should only be considered if necessary to accomodate site plan and/or market specific requirements.</t>
        </r>
      </text>
    </comment>
    <comment ref="Q13" authorId="0" shapeId="0" xr:uid="{20736761-EF63-4C7F-82D6-01074CC88F3B}">
      <text>
        <r>
          <rPr>
            <b/>
            <sz val="9"/>
            <color indexed="81"/>
            <rFont val="Tahoma"/>
            <family val="2"/>
          </rPr>
          <t>Tom Poulos:</t>
        </r>
        <r>
          <rPr>
            <sz val="9"/>
            <color indexed="81"/>
            <rFont val="Tahoma"/>
            <family val="2"/>
          </rPr>
          <t xml:space="preserve">
Insert # of new elevation schemes that will be required for the community.
Goal is "0" (i.e. reuse a previous elevation scheme from past project). Otherwise "1" should be used. "1" will be the most common scenario.
Only scenario that requires "2 or more" is if a community needs multiple elevation schems, something we want to avoid unless specfically required.
</t>
        </r>
      </text>
    </comment>
    <comment ref="Q15" authorId="0" shapeId="0" xr:uid="{D55414A9-C485-4467-87B1-BBBAAA30605A}">
      <text>
        <r>
          <rPr>
            <b/>
            <sz val="9"/>
            <color indexed="81"/>
            <rFont val="Tahoma"/>
            <family val="2"/>
          </rPr>
          <t>Tom Poulos:</t>
        </r>
        <r>
          <rPr>
            <sz val="9"/>
            <color indexed="81"/>
            <rFont val="Tahoma"/>
            <family val="2"/>
          </rPr>
          <t xml:space="preserve">
Insert # of new other structures that will be required for the community (e.g. mail kiosks, garages, trash enclosures).
Goal is "0" (i.e. reuse designs from past projects).</t>
        </r>
      </text>
    </comment>
    <comment ref="Q18" authorId="0" shapeId="0" xr:uid="{C244E613-0F66-4028-88CC-56A456754543}">
      <text>
        <r>
          <rPr>
            <b/>
            <sz val="9"/>
            <color indexed="81"/>
            <rFont val="Tahoma"/>
            <family val="2"/>
          </rPr>
          <t>Tom Poulos:</t>
        </r>
        <r>
          <rPr>
            <sz val="9"/>
            <color indexed="81"/>
            <rFont val="Tahoma"/>
            <family val="2"/>
          </rPr>
          <t xml:space="preserve">
Insert # as needed for project approvals</t>
        </r>
      </text>
    </comment>
    <comment ref="Q20" authorId="0" shapeId="0" xr:uid="{E4F8432C-3539-44C9-BF4D-F4A8426F2E75}">
      <text>
        <r>
          <rPr>
            <b/>
            <sz val="9"/>
            <color indexed="81"/>
            <rFont val="Tahoma"/>
            <family val="2"/>
          </rPr>
          <t>Tom Poulos:</t>
        </r>
        <r>
          <rPr>
            <sz val="9"/>
            <color indexed="81"/>
            <rFont val="Tahoma"/>
            <family val="2"/>
          </rPr>
          <t xml:space="preserve">
Project specific add services will be negotiated on a projects specific basis as required. Insert $$ amounts based on past experiences.
$20k/$5k/$5k is rough estimate from LPAS experience.</t>
        </r>
      </text>
    </comment>
    <comment ref="Q21" authorId="0" shapeId="0" xr:uid="{B2771BEA-CB31-46F3-B93E-E27A45345A0E}">
      <text>
        <r>
          <rPr>
            <b/>
            <sz val="9"/>
            <color indexed="81"/>
            <rFont val="Tahoma"/>
            <family val="2"/>
          </rPr>
          <t>Tom Poulos:</t>
        </r>
        <r>
          <rPr>
            <sz val="9"/>
            <color indexed="81"/>
            <rFont val="Tahoma"/>
            <family val="2"/>
          </rPr>
          <t xml:space="preserve">
Project specific add services will be negotiated on a projects specific basis as required. Insert $$ amounts based on past experiences.
$10k/$5k/$0k is rough estimate from LPAS based on past experience</t>
        </r>
      </text>
    </comment>
    <comment ref="L25" authorId="1" shapeId="0" xr:uid="{00000000-0006-0000-1100-000001000000}">
      <text>
        <r>
          <rPr>
            <b/>
            <sz val="9"/>
            <color indexed="81"/>
            <rFont val="Tahoma"/>
            <family val="2"/>
          </rPr>
          <t>Author:</t>
        </r>
        <r>
          <rPr>
            <sz val="9"/>
            <color indexed="81"/>
            <rFont val="Tahoma"/>
            <family val="2"/>
          </rPr>
          <t xml:space="preserve">
Any value input here will override all lines above and the model will use only this amount.</t>
        </r>
      </text>
    </comment>
    <comment ref="Q27" authorId="0" shapeId="0" xr:uid="{143FD4A0-A7E0-4FE7-8382-2A3498F7EDED}">
      <text>
        <r>
          <rPr>
            <b/>
            <sz val="9"/>
            <color indexed="81"/>
            <rFont val="Tahoma"/>
            <family val="2"/>
          </rPr>
          <t>Tom Poulos:</t>
        </r>
        <r>
          <rPr>
            <sz val="9"/>
            <color indexed="81"/>
            <rFont val="Tahoma"/>
            <family val="2"/>
          </rPr>
          <t xml:space="preserve">
These re-use fees are only applicable for communities that are reusing modules previously designed for the program.
$80,000 minimum + $400 / unit above 200 units. No maximum.
Should a community only reuse previously-designed modules on a portion of the site, then this minimum does not apply. In that case, the reuse fee would be equal to $400 / unit of reused modules only. For the avoidance of doubt, reuse fees do not apply to units of newly-designed modules.
If all homes are re-using modules, insert "# of homes"
If only a portion of homes are re-using modules, insert "# of homes re-using modules only"
If no homes are re-using modules, insert "0"</t>
        </r>
      </text>
    </comment>
    <comment ref="N29" authorId="2" shapeId="0" xr:uid="{00000000-0006-0000-1100-000002000000}">
      <text>
        <r>
          <rPr>
            <b/>
            <sz val="10"/>
            <color indexed="81"/>
            <rFont val="Tahoma"/>
            <family val="2"/>
          </rPr>
          <t>Author:</t>
        </r>
        <r>
          <rPr>
            <sz val="10"/>
            <color indexed="81"/>
            <rFont val="Tahoma"/>
            <family val="2"/>
          </rPr>
          <t xml:space="preserve">
This is the portion of OPEX prior to first units, which is included in Operating Deficits in Cell L55 below.</t>
        </r>
      </text>
    </comment>
    <comment ref="Q30" authorId="3" shapeId="0" xr:uid="{78FF5579-DA35-43B4-9238-35F746E449A1}">
      <text>
        <r>
          <rPr>
            <b/>
            <sz val="9"/>
            <color indexed="81"/>
            <rFont val="Tahoma"/>
            <family val="2"/>
          </rPr>
          <t>Cameron Koch:</t>
        </r>
        <r>
          <rPr>
            <sz val="9"/>
            <color indexed="81"/>
            <rFont val="Tahoma"/>
            <family val="2"/>
          </rPr>
          <t xml:space="preserve">
Assumption is 10 trips for Architectural, 5 for MEPF, and 5 for Structural</t>
        </r>
      </text>
    </comment>
    <comment ref="I37" authorId="2" shapeId="0" xr:uid="{00000000-0006-0000-1100-000003000000}">
      <text>
        <r>
          <rPr>
            <b/>
            <sz val="10"/>
            <color indexed="81"/>
            <rFont val="Tahoma"/>
            <family val="2"/>
          </rPr>
          <t>Author:</t>
        </r>
        <r>
          <rPr>
            <sz val="10"/>
            <color indexed="81"/>
            <rFont val="Tahoma"/>
            <family val="2"/>
          </rPr>
          <t xml:space="preserve">
R&amp;D 1x Licensing Fee ($100/unit)
stlt. Development Fees
Adding New Community Fee
3D Modeling, Texturing, Rendering of Building
Regional Video Footage
stlt. Work Application
2D Floor Plans/Your Space Your Way
Motivation Wall
Leasing Wall
New Media Hollywood
Website
Website Updates</t>
        </r>
      </text>
    </comment>
    <comment ref="I38" authorId="2" shapeId="0" xr:uid="{00000000-0006-0000-1100-000004000000}">
      <text>
        <r>
          <rPr>
            <b/>
            <sz val="10"/>
            <color indexed="81"/>
            <rFont val="Tahoma"/>
            <family val="2"/>
          </rPr>
          <t>Author:</t>
        </r>
        <r>
          <rPr>
            <sz val="10"/>
            <color indexed="81"/>
            <rFont val="Tahoma"/>
            <family val="2"/>
          </rPr>
          <t xml:space="preserve">
Leasing Trailer + Costs
WOW Fridge Supplies
Branded Door Mats
Branded Hard Hats
Signs &amp; Banners</t>
        </r>
      </text>
    </comment>
    <comment ref="E45" authorId="1" shapeId="0" xr:uid="{00000000-0006-0000-1100-000005000000}">
      <text>
        <r>
          <rPr>
            <b/>
            <sz val="9"/>
            <color indexed="81"/>
            <rFont val="Tahoma"/>
            <family val="2"/>
          </rPr>
          <t>Author:</t>
        </r>
        <r>
          <rPr>
            <sz val="9"/>
            <color indexed="81"/>
            <rFont val="Tahoma"/>
            <family val="2"/>
          </rPr>
          <t xml:space="preserve">
Any value input here will override all lines above and the model will use only this amount.</t>
        </r>
      </text>
    </comment>
    <comment ref="G48" authorId="1" shapeId="0" xr:uid="{00000000-0006-0000-1100-000006000000}">
      <text>
        <r>
          <rPr>
            <b/>
            <sz val="9"/>
            <color indexed="81"/>
            <rFont val="Tahoma"/>
            <family val="2"/>
          </rPr>
          <t>Author:</t>
        </r>
        <r>
          <rPr>
            <sz val="9"/>
            <color indexed="81"/>
            <rFont val="Tahoma"/>
            <family val="2"/>
          </rPr>
          <t xml:space="preserve">
Input a value in this cell if you wish to spend a portion of Hard Costs in Month 0 (at JV close).  That amount is deducted from the total Hard Cost that is spread  over the construction cost curve.</t>
        </r>
      </text>
    </comment>
    <comment ref="C49" authorId="3" shapeId="0" xr:uid="{899D9517-1BA7-46F7-95FA-32BCD392C4C7}">
      <text>
        <r>
          <rPr>
            <b/>
            <sz val="9"/>
            <color indexed="81"/>
            <rFont val="Tahoma"/>
            <family val="2"/>
          </rPr>
          <t>Author:</t>
        </r>
        <r>
          <rPr>
            <sz val="9"/>
            <color indexed="81"/>
            <rFont val="Tahoma"/>
            <family val="2"/>
          </rPr>
          <t xml:space="preserve">
GC Fee input here will not effect Total Hard Costs. However, </t>
        </r>
        <r>
          <rPr>
            <b/>
            <sz val="9"/>
            <color indexed="81"/>
            <rFont val="Tahoma"/>
            <family val="2"/>
          </rPr>
          <t>it will effect the Dev Fee if a "... Less Fees" basis is selected</t>
        </r>
        <r>
          <rPr>
            <sz val="9"/>
            <color indexed="81"/>
            <rFont val="Tahoma"/>
            <family val="2"/>
          </rPr>
          <t>. If the number provided in the Hard Cost Residential line item is greater than the basis of the GC Fee, this should be used to solve to the actual anticipated GC Fee.</t>
        </r>
      </text>
    </comment>
    <comment ref="D49" authorId="3" shapeId="0" xr:uid="{C322993F-1CD0-4A5C-9C68-413E1E6BAADC}">
      <text>
        <r>
          <rPr>
            <b/>
            <sz val="9"/>
            <color indexed="81"/>
            <rFont val="Tahoma"/>
            <family val="2"/>
          </rPr>
          <t xml:space="preserve">Author:
</t>
        </r>
        <r>
          <rPr>
            <sz val="9"/>
            <color indexed="81"/>
            <rFont val="Tahoma"/>
            <family val="2"/>
          </rPr>
          <t>GC Fee input here will not effect Total Hard Costs.</t>
        </r>
        <r>
          <rPr>
            <b/>
            <sz val="9"/>
            <color indexed="81"/>
            <rFont val="Tahoma"/>
            <family val="2"/>
          </rPr>
          <t xml:space="preserve"> However, it will effect the Dev Fee if a "... Less Fees" basis is selected. </t>
        </r>
        <r>
          <rPr>
            <sz val="9"/>
            <color indexed="81"/>
            <rFont val="Tahoma"/>
            <family val="2"/>
          </rPr>
          <t>If the number provided in the Hard Cost Residential line item is greater than the basis of the GC Fee, this should be used to solve to the actual anticipated GC Fee.</t>
        </r>
      </text>
    </comment>
    <comment ref="L49" authorId="1" shapeId="0" xr:uid="{00000000-0006-0000-1100-000009000000}">
      <text>
        <r>
          <rPr>
            <b/>
            <sz val="9"/>
            <color indexed="81"/>
            <rFont val="Tahoma"/>
            <family val="2"/>
          </rPr>
          <t>Author:</t>
        </r>
        <r>
          <rPr>
            <sz val="9"/>
            <color indexed="81"/>
            <rFont val="Tahoma"/>
            <family val="2"/>
          </rPr>
          <t xml:space="preserve">
Any value input here will override all lines above and the model will use only this amount.</t>
        </r>
      </text>
    </comment>
    <comment ref="D72" authorId="1" shapeId="0" xr:uid="{00000000-0006-0000-1100-00000A000000}">
      <text>
        <r>
          <rPr>
            <b/>
            <sz val="9"/>
            <color indexed="81"/>
            <rFont val="Tahoma"/>
            <family val="2"/>
          </rPr>
          <t>Author:</t>
        </r>
        <r>
          <rPr>
            <sz val="9"/>
            <color indexed="81"/>
            <rFont val="Tahoma"/>
            <family val="2"/>
          </rPr>
          <t xml:space="preserve">
This Transfer Tax is at land acquisition ONLY.  Input a transfer tax at sale in the General Inputs if applicable.</t>
        </r>
      </text>
    </comment>
    <comment ref="D73" authorId="2" shapeId="0" xr:uid="{00000000-0006-0000-1100-00000B000000}">
      <text>
        <r>
          <rPr>
            <b/>
            <sz val="9"/>
            <color indexed="81"/>
            <rFont val="Tahoma"/>
            <family val="2"/>
          </rPr>
          <t>Author:</t>
        </r>
        <r>
          <rPr>
            <sz val="9"/>
            <color indexed="81"/>
            <rFont val="Tahoma"/>
            <family val="2"/>
          </rPr>
          <t xml:space="preserve">
Applied to the Land Purchase Price</t>
        </r>
      </text>
    </comment>
    <comment ref="E80" authorId="1" shapeId="0" xr:uid="{00000000-0006-0000-1100-00000C000000}">
      <text>
        <r>
          <rPr>
            <b/>
            <sz val="9"/>
            <color indexed="81"/>
            <rFont val="Tahoma"/>
            <family val="2"/>
          </rPr>
          <t>Author:</t>
        </r>
        <r>
          <rPr>
            <sz val="9"/>
            <color indexed="81"/>
            <rFont val="Tahoma"/>
            <family val="2"/>
          </rPr>
          <t xml:space="preserve">
EM Deposits are input ONLY to calculate carry.  They DO NOT figure into the subtotal or project costs.  EM deposit costs are assumed to be included in the Land Purchase Price.</t>
        </r>
      </text>
    </comment>
    <comment ref="E81" authorId="1" shapeId="0" xr:uid="{00000000-0006-0000-1100-00000D000000}">
      <text>
        <r>
          <rPr>
            <b/>
            <sz val="9"/>
            <color indexed="81"/>
            <rFont val="Tahoma"/>
            <family val="2"/>
          </rPr>
          <t>Author:</t>
        </r>
        <r>
          <rPr>
            <sz val="9"/>
            <color indexed="81"/>
            <rFont val="Tahoma"/>
            <family val="2"/>
          </rPr>
          <t xml:space="preserve">
EM Deposits are input ONLY to calculate carry.  They DO NOT figure into the subtotal or project costs.  EM deposit costs are assumed to be included in the Land Purchase Price.</t>
        </r>
      </text>
    </comment>
    <comment ref="E82" authorId="1" shapeId="0" xr:uid="{00000000-0006-0000-1100-00000E000000}">
      <text>
        <r>
          <rPr>
            <b/>
            <sz val="9"/>
            <color indexed="81"/>
            <rFont val="Tahoma"/>
            <family val="2"/>
          </rPr>
          <t>Author:</t>
        </r>
        <r>
          <rPr>
            <sz val="9"/>
            <color indexed="81"/>
            <rFont val="Tahoma"/>
            <family val="2"/>
          </rPr>
          <t xml:space="preserve">
EM Deposits are input ONLY to calculate carry.  They DO NOT figure into the subtotal or project costs.  EM deposit costs are assumed to be included in the Land Purchase Price.</t>
        </r>
      </text>
    </comment>
    <comment ref="E83" authorId="1" shapeId="0" xr:uid="{00000000-0006-0000-1100-00000F000000}">
      <text>
        <r>
          <rPr>
            <b/>
            <sz val="9"/>
            <color indexed="81"/>
            <rFont val="Tahoma"/>
            <family val="2"/>
          </rPr>
          <t>Author:</t>
        </r>
        <r>
          <rPr>
            <sz val="9"/>
            <color indexed="81"/>
            <rFont val="Tahoma"/>
            <family val="2"/>
          </rPr>
          <t xml:space="preserve">
EM Deposits are input ONLY to calculate carry.  They DO NOT figure into the subtotal or project costs.  EM deposit costs are assumed to be included in the Land Purchase Price.</t>
        </r>
      </text>
    </comment>
    <comment ref="E84" authorId="2" shapeId="0" xr:uid="{00000000-0006-0000-1100-000010000000}">
      <text>
        <r>
          <rPr>
            <b/>
            <sz val="9"/>
            <color indexed="81"/>
            <rFont val="Tahoma"/>
            <family val="2"/>
          </rPr>
          <t>Author:</t>
        </r>
        <r>
          <rPr>
            <sz val="9"/>
            <color indexed="81"/>
            <rFont val="Tahoma"/>
            <family val="2"/>
          </rPr>
          <t xml:space="preserve">
By default, this cell links to the Front Money Budget.  It is intended to calculate cost of funds on pursuit costs.</t>
        </r>
      </text>
    </comment>
    <comment ref="E87" authorId="4" shapeId="0" xr:uid="{11BB16FD-44E0-4609-9AFD-B93CD6B9ED85}">
      <text>
        <t xml:space="preserve">[Threaded comment]
Your version of Excel allows you to read this threaded comment; however, any edits to it will get removed if the file is opened in a newer version of Excel. Learn more: https://go.microsoft.com/fwlink/?linkid=870924
Comment:
    For architectural due diligence: 
Include $15k for Emblem Original
Include the total in R34 for Emblem West Coast </t>
      </text>
    </comment>
    <comment ref="L93" authorId="1" shapeId="0" xr:uid="{00000000-0006-0000-1100-000012000000}">
      <text>
        <r>
          <rPr>
            <b/>
            <sz val="9"/>
            <color indexed="81"/>
            <rFont val="Tahoma"/>
            <family val="2"/>
          </rPr>
          <t>Author:</t>
        </r>
        <r>
          <rPr>
            <sz val="9"/>
            <color indexed="81"/>
            <rFont val="Tahoma"/>
            <family val="2"/>
          </rPr>
          <t xml:space="preserve">
Any value input here will override all lines above and the model will use only this amount.</t>
        </r>
      </text>
    </comment>
    <comment ref="E94" authorId="1" shapeId="0" xr:uid="{00000000-0006-0000-1100-000013000000}">
      <text>
        <r>
          <rPr>
            <b/>
            <sz val="9"/>
            <color indexed="81"/>
            <rFont val="Tahoma"/>
            <family val="2"/>
          </rPr>
          <t>Author:</t>
        </r>
        <r>
          <rPr>
            <sz val="9"/>
            <color indexed="81"/>
            <rFont val="Tahoma"/>
            <family val="2"/>
          </rPr>
          <t xml:space="preserve">
Any value input here will override all lines above and the model will use only this amount.</t>
        </r>
      </text>
    </comment>
    <comment ref="D111" authorId="1" shapeId="0" xr:uid="{00000000-0006-0000-1100-000014000000}">
      <text>
        <r>
          <rPr>
            <b/>
            <sz val="9"/>
            <color indexed="81"/>
            <rFont val="Tahoma"/>
            <family val="2"/>
          </rPr>
          <t>Author:</t>
        </r>
        <r>
          <rPr>
            <sz val="9"/>
            <color indexed="81"/>
            <rFont val="Tahoma"/>
            <family val="2"/>
          </rPr>
          <t xml:space="preserve">
Amount per month of construction.</t>
        </r>
      </text>
    </comment>
    <comment ref="E125" authorId="1" shapeId="0" xr:uid="{00000000-0006-0000-1100-000015000000}">
      <text>
        <r>
          <rPr>
            <b/>
            <sz val="9"/>
            <color indexed="81"/>
            <rFont val="Tahoma"/>
            <family val="2"/>
          </rPr>
          <t>Author:</t>
        </r>
        <r>
          <rPr>
            <sz val="9"/>
            <color indexed="81"/>
            <rFont val="Tahoma"/>
            <family val="2"/>
          </rPr>
          <t xml:space="preserve">
Any value input here will override all lines above and the model will use only this amount.</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tc={8FCFFC7C-6E3E-4C80-A08C-31F15A780D1D}</author>
  </authors>
  <commentList>
    <comment ref="E14" authorId="0" shapeId="0" xr:uid="{8FCFFC7C-6E3E-4C80-A08C-31F15A780D1D}">
      <text>
        <t>[Threaded comment]
Your version of Excel allows you to read this threaded comment; however, any edits to it will get removed if the file is opened in a newer version of Excel. Learn more: https://go.microsoft.com/fwlink/?linkid=870924
Comment:
    Lookup to tax rate on Tax Study Inputs tab</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Denise Ogier</author>
  </authors>
  <commentList>
    <comment ref="F7" authorId="0" shapeId="0" xr:uid="{00000000-0006-0000-1500-000001000000}">
      <text>
        <r>
          <rPr>
            <b/>
            <sz val="9"/>
            <color indexed="81"/>
            <rFont val="Tahoma"/>
            <family val="2"/>
          </rPr>
          <t>Author:</t>
        </r>
        <r>
          <rPr>
            <sz val="9"/>
            <color indexed="81"/>
            <rFont val="Tahoma"/>
            <family val="2"/>
          </rPr>
          <t xml:space="preserve">
Default is set to equal today (and change every day the model is opened).  Override with a value to "lock" the date.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Cameron Koch</author>
  </authors>
  <commentList>
    <comment ref="K11" authorId="0" shapeId="0" xr:uid="{DE09F480-0BDB-4C0F-838B-2FBDBE21E940}">
      <text>
        <r>
          <rPr>
            <b/>
            <sz val="9"/>
            <color indexed="81"/>
            <rFont val="Tahoma"/>
            <family val="2"/>
          </rPr>
          <t>Cameron Koch:</t>
        </r>
        <r>
          <rPr>
            <sz val="9"/>
            <color indexed="81"/>
            <rFont val="Tahoma"/>
            <family val="2"/>
          </rPr>
          <t xml:space="preserve">
This unit type can be considered 
A) 2 bed / 1 bath 
OR
B) 1 bed + den / 1 bath
If (B), select "1" in this cell</t>
        </r>
      </text>
    </comment>
    <comment ref="K12" authorId="0" shapeId="0" xr:uid="{D9CC3B08-F594-42B8-913B-59F481CA8C31}">
      <text>
        <r>
          <rPr>
            <b/>
            <sz val="9"/>
            <color indexed="81"/>
            <rFont val="Tahoma"/>
            <family val="2"/>
          </rPr>
          <t>Cameron Koch:</t>
        </r>
        <r>
          <rPr>
            <sz val="9"/>
            <color indexed="81"/>
            <rFont val="Tahoma"/>
            <family val="2"/>
          </rPr>
          <t xml:space="preserve">
This unit type can be considered 
A) 2 bed / 1 bath 
OR
B) 1 bed + den / 1 bath
If (B), select "1" in this cell</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Denise Ogier</author>
  </authors>
  <commentList>
    <comment ref="A11" authorId="0" shapeId="0" xr:uid="{00000000-0006-0000-1700-000001000000}">
      <text>
        <r>
          <rPr>
            <b/>
            <sz val="9"/>
            <color indexed="81"/>
            <rFont val="Tahoma"/>
            <family val="2"/>
          </rPr>
          <t>Paul Ogier:</t>
        </r>
        <r>
          <rPr>
            <sz val="9"/>
            <color indexed="81"/>
            <rFont val="Tahoma"/>
            <family val="2"/>
          </rPr>
          <t xml:space="preserve">
BOM = Beginning of the Month</t>
        </r>
      </text>
    </comment>
    <comment ref="A13" authorId="0" shapeId="0" xr:uid="{00000000-0006-0000-1700-000002000000}">
      <text>
        <r>
          <rPr>
            <b/>
            <sz val="9"/>
            <color indexed="81"/>
            <rFont val="Tahoma"/>
            <family val="2"/>
          </rPr>
          <t>Paul Ogier:</t>
        </r>
        <r>
          <rPr>
            <sz val="9"/>
            <color indexed="81"/>
            <rFont val="Tahoma"/>
            <family val="2"/>
          </rPr>
          <t xml:space="preserve">
EOM = End of the Month</t>
        </r>
      </text>
    </comment>
    <comment ref="A15" authorId="0" shapeId="0" xr:uid="{00000000-0006-0000-1700-000003000000}">
      <text>
        <r>
          <rPr>
            <b/>
            <sz val="9"/>
            <color indexed="81"/>
            <rFont val="Tahoma"/>
            <family val="2"/>
          </rPr>
          <t>Paul Ogier:</t>
        </r>
        <r>
          <rPr>
            <sz val="9"/>
            <color indexed="81"/>
            <rFont val="Tahoma"/>
            <family val="2"/>
          </rPr>
          <t xml:space="preserve">
BOM = Beginning of the Month</t>
        </r>
      </text>
    </comment>
    <comment ref="A17" authorId="0" shapeId="0" xr:uid="{00000000-0006-0000-1700-000004000000}">
      <text>
        <r>
          <rPr>
            <b/>
            <sz val="9"/>
            <color indexed="81"/>
            <rFont val="Tahoma"/>
            <family val="2"/>
          </rPr>
          <t>Paul Ogier:</t>
        </r>
        <r>
          <rPr>
            <sz val="9"/>
            <color indexed="81"/>
            <rFont val="Tahoma"/>
            <family val="2"/>
          </rPr>
          <t xml:space="preserve">
EOM = End of the Month</t>
        </r>
      </text>
    </comment>
    <comment ref="A19" authorId="0" shapeId="0" xr:uid="{00000000-0006-0000-1700-000005000000}">
      <text>
        <r>
          <rPr>
            <b/>
            <sz val="9"/>
            <color indexed="81"/>
            <rFont val="Tahoma"/>
            <family val="2"/>
          </rPr>
          <t>Paul Ogier:</t>
        </r>
        <r>
          <rPr>
            <sz val="9"/>
            <color indexed="81"/>
            <rFont val="Tahoma"/>
            <family val="2"/>
          </rPr>
          <t xml:space="preserve">
BOM = Beginning of the Month</t>
        </r>
      </text>
    </comment>
    <comment ref="A21" authorId="0" shapeId="0" xr:uid="{00000000-0006-0000-1700-000006000000}">
      <text>
        <r>
          <rPr>
            <b/>
            <sz val="9"/>
            <color indexed="81"/>
            <rFont val="Tahoma"/>
            <family val="2"/>
          </rPr>
          <t>Paul Ogier:</t>
        </r>
        <r>
          <rPr>
            <sz val="9"/>
            <color indexed="81"/>
            <rFont val="Tahoma"/>
            <family val="2"/>
          </rPr>
          <t xml:space="preserve">
EOM = End of the Month</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tc={570BA83D-B695-41CE-9841-A304355E6005}</author>
    <author>tc={48D0D902-B22C-4079-9452-D95664201B1F}</author>
  </authors>
  <commentList>
    <comment ref="C327" authorId="0" shapeId="0" xr:uid="{570BA83D-B695-41CE-9841-A304355E6005}">
      <text>
        <t>[Threaded comment]
Your version of Excel allows you to read this threaded comment; however, any edits to it will get removed if the file is opened in a newer version of Excel. Learn more: https://go.microsoft.com/fwlink/?linkid=870924
Comment:
    % of Q equity that is subordinated</t>
      </text>
    </comment>
    <comment ref="C328" authorId="1" shapeId="0" xr:uid="{48D0D902-B22C-4079-9452-D95664201B1F}">
      <text>
        <t>[Threaded comment]
Your version of Excel allows you to read this threaded comment; however, any edits to it will get removed if the file is opened in a newer version of Excel. Learn more: https://go.microsoft.com/fwlink/?linkid=870924
Comment:
    % of Q equity that is subordinated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<sst xmlns="http://schemas.openxmlformats.org/spreadsheetml/2006/main" count="5558" uniqueCount="2568">
  <si>
    <t>Project Blue Marlin</t>
  </si>
  <si>
    <t>Date</t>
  </si>
  <si>
    <t>Actual month count</t>
  </si>
  <si>
    <t>Year</t>
  </si>
  <si>
    <t>Year count</t>
  </si>
  <si>
    <t>Project Overall Cash Flow</t>
  </si>
  <si>
    <t>Overall</t>
  </si>
  <si>
    <t>Unlevered development cost (incl. development management fees)</t>
  </si>
  <si>
    <t>NOI</t>
  </si>
  <si>
    <t>Up Front Expenses</t>
  </si>
  <si>
    <t>Venture Operational Expenses</t>
  </si>
  <si>
    <t>Net sale proceeds</t>
  </si>
  <si>
    <t>Unlevered gross cash flow</t>
  </si>
  <si>
    <t>Unlevered gross project IRR</t>
  </si>
  <si>
    <t>Financing costs</t>
  </si>
  <si>
    <t>Construction debt interest</t>
  </si>
  <si>
    <t>Construction debt drawdown</t>
  </si>
  <si>
    <t>Construction debt repayment</t>
  </si>
  <si>
    <t>Permanent debt drawdown</t>
  </si>
  <si>
    <t>Permanent debt amortization</t>
  </si>
  <si>
    <t>Permanent debt interest</t>
  </si>
  <si>
    <t>Permanent debt balance on exit</t>
  </si>
  <si>
    <t>Levered gross cashflow</t>
  </si>
  <si>
    <t>Levered gross project IRR</t>
  </si>
  <si>
    <t>Venture management (VM) fee</t>
  </si>
  <si>
    <t>Levered cashflow (post VM fee pre carry)</t>
  </si>
  <si>
    <t>Levered project IRR (post VM fee pre carry)</t>
  </si>
  <si>
    <t>Unlevered cash flow (post VM fee pre carry)</t>
  </si>
  <si>
    <t>Development Period Cash Flow</t>
  </si>
  <si>
    <t>Net sale proceeds at stabilization</t>
  </si>
  <si>
    <t>Unlevered gross development period cash flow</t>
  </si>
  <si>
    <t>Unlevered gross development period IRR</t>
  </si>
  <si>
    <t>Construction debt balance at stabilization</t>
  </si>
  <si>
    <t>Levered gross development period cashflow</t>
  </si>
  <si>
    <t>Levered gross development period IRR</t>
  </si>
  <si>
    <t>Levered development period cashflow (post VM fee pre carry)</t>
  </si>
  <si>
    <t>Levered development period IRR (post VM fee pre carry)</t>
  </si>
  <si>
    <t>Development period promote (100%)</t>
  </si>
  <si>
    <t>Net development period cash flow</t>
  </si>
  <si>
    <t>Levered net development period IRR</t>
  </si>
  <si>
    <t>Interim Development Promote</t>
  </si>
  <si>
    <t>Pref (annual rate)</t>
  </si>
  <si>
    <t>Pref (daily rate)</t>
  </si>
  <si>
    <t>1st hurdle (annual rate)</t>
  </si>
  <si>
    <t>1st hurdle (daily rate)</t>
  </si>
  <si>
    <t>2nd hurdle (annual rate)</t>
  </si>
  <si>
    <t>2nd hurdle (daily rate)</t>
  </si>
  <si>
    <t>Unlevered post fee cash flow during dev. period</t>
  </si>
  <si>
    <t>Unlevered net sale proceeds at stabilization</t>
  </si>
  <si>
    <t>Unlevered post fee cash flow + on stabilization value</t>
  </si>
  <si>
    <t>IRR Test - if all available cash is distributed</t>
  </si>
  <si>
    <t>Investors' share of equity paid out to meet pref</t>
  </si>
  <si>
    <t>VM's share of equity paid out to meet pref</t>
  </si>
  <si>
    <t>Net aggregate unlevered cash flow to Investors to meet pref</t>
  </si>
  <si>
    <t>IRR test-post pref</t>
  </si>
  <si>
    <t>Total equity paid out to meet pref</t>
  </si>
  <si>
    <t>Investors' share of equity paid out to meet 1st hurdle</t>
  </si>
  <si>
    <t>VM's share of equity paid out to meet 1st hurdle</t>
  </si>
  <si>
    <t>Net aggregate unlevered cash flow to Investors to meet 1st hurdle</t>
  </si>
  <si>
    <t>IRR Test - post 1st hurdle</t>
  </si>
  <si>
    <t>Total equity paid out to meet 1st hurdle</t>
  </si>
  <si>
    <t>Investors' share of equity paid out to meet 2nd hurdle</t>
  </si>
  <si>
    <t>VM's share of equity paid out to meet 2nd hurdle</t>
  </si>
  <si>
    <t>Net aggregate unlevered cash flow to Investors to meet 2nd hurdle</t>
  </si>
  <si>
    <t>IRR Test - post 2nd hurdle</t>
  </si>
  <si>
    <t>Total equity upon stabilization paid out to meet the 2nd return hurdle</t>
  </si>
  <si>
    <t>Remaining cash flow paid out</t>
  </si>
  <si>
    <t>Investors' share of equity paid out</t>
  </si>
  <si>
    <t>VM's share of equity paid out</t>
  </si>
  <si>
    <t>CF available for development period promote (100%)</t>
  </si>
  <si>
    <t>Core Period Cash Flow</t>
  </si>
  <si>
    <t>Asset value</t>
  </si>
  <si>
    <t>Remaining unlevered development cost</t>
  </si>
  <si>
    <t>Unlevered gross core IRR</t>
  </si>
  <si>
    <t>Assumed construction debt balance</t>
  </si>
  <si>
    <t>Levered gross core IRR</t>
  </si>
  <si>
    <t>Levered core IRR (post VM fee pre carry)</t>
  </si>
  <si>
    <t>Development Schedule</t>
  </si>
  <si>
    <t>First Funding Date</t>
  </si>
  <si>
    <t>Project closing delay</t>
  </si>
  <si>
    <t>Land closing date (venture)</t>
  </si>
  <si>
    <t>Total development cost</t>
  </si>
  <si>
    <t>Add: land</t>
  </si>
  <si>
    <t>Add: financing</t>
  </si>
  <si>
    <t>Add: construction interest</t>
  </si>
  <si>
    <t>Add: operating deficit</t>
  </si>
  <si>
    <t>Add: overhead (development management)</t>
  </si>
  <si>
    <t>Adjusted development cost</t>
  </si>
  <si>
    <t>Cumulative total development cost</t>
  </si>
  <si>
    <t>Asset Operations</t>
  </si>
  <si>
    <t>Number of completed units</t>
  </si>
  <si>
    <t>Number of occupied units</t>
  </si>
  <si>
    <t>Occupancy - all units</t>
  </si>
  <si>
    <t>Stabilized occupancy hurdle met?</t>
  </si>
  <si>
    <t>Months of Stabilized occupancy</t>
  </si>
  <si>
    <t>Rental revenue</t>
  </si>
  <si>
    <t>Operating expenses (ex. property management fee &amp; capital expenditure)</t>
  </si>
  <si>
    <t>Property management fee</t>
  </si>
  <si>
    <t>Capital expenditure</t>
  </si>
  <si>
    <t>Debt Schedules</t>
  </si>
  <si>
    <t>Construction debt balance</t>
  </si>
  <si>
    <t>Drawdown</t>
  </si>
  <si>
    <t>Repayment</t>
  </si>
  <si>
    <t>Construction debt closing balance</t>
  </si>
  <si>
    <t>Construction debt service (interest only)</t>
  </si>
  <si>
    <t>Permanent debt refinancing?</t>
  </si>
  <si>
    <t>Permanent debt opening balance</t>
  </si>
  <si>
    <t>Amortization</t>
  </si>
  <si>
    <t>Permanent debt closing balance</t>
  </si>
  <si>
    <t>Permanent debt financing fee</t>
  </si>
  <si>
    <t>Permanent debt service (interest &amp; amort.)</t>
  </si>
  <si>
    <t>Permanent debt service coverage</t>
  </si>
  <si>
    <t>Asset Value / Sales Proceeds</t>
  </si>
  <si>
    <t>Net Operating Income (Apartments)</t>
  </si>
  <si>
    <t>Add: Current Tax Burden</t>
  </si>
  <si>
    <t>Less: Purchaser's Tax Burden</t>
  </si>
  <si>
    <t>Gross Sales Proceeds (Apartments)</t>
  </si>
  <si>
    <t>Net Operating Income (Commercial)</t>
  </si>
  <si>
    <t>Gross Sales Proceeds (Commercial)</t>
  </si>
  <si>
    <t>PV Ground Lease Payments @ 6.25%</t>
  </si>
  <si>
    <t>Gross Asset Value / Gross Sales Proceeds</t>
  </si>
  <si>
    <t>Less: Debt Balance</t>
  </si>
  <si>
    <t>Net Asset Value</t>
  </si>
  <si>
    <t>Transfer Tax</t>
  </si>
  <si>
    <t>Title Insurance</t>
  </si>
  <si>
    <t>Closing Costs</t>
  </si>
  <si>
    <t>Commissions</t>
  </si>
  <si>
    <t>Net Equity Proceeds on Sale</t>
  </si>
  <si>
    <t>Development Period Promote</t>
  </si>
  <si>
    <t>Development Period Promote Clawback</t>
  </si>
  <si>
    <t>Stabilization Month</t>
  </si>
  <si>
    <t>Development Period Promote Payable in Cash</t>
  </si>
  <si>
    <t>1st Asset to Stabilize</t>
  </si>
  <si>
    <t>Total development period promote due (100%)</t>
  </si>
  <si>
    <t>Development period promote paid in cash</t>
  </si>
  <si>
    <t>Unlevered gain on sale at stabilization (less dev. period promote)</t>
  </si>
  <si>
    <t>Portfolio Test</t>
  </si>
  <si>
    <t>1st Asset development period flag</t>
  </si>
  <si>
    <t>Stabilization month</t>
  </si>
  <si>
    <t>Unlevered post fee cash flow</t>
  </si>
  <si>
    <t>Unlevered net sale proceeds at Stabilization (less dev. period promote)</t>
  </si>
  <si>
    <t>Net unlevered cash flow</t>
  </si>
  <si>
    <t>IRR check</t>
  </si>
  <si>
    <t>Core Period Promote</t>
  </si>
  <si>
    <t>Summary</t>
  </si>
  <si>
    <t>Return of Capital and Preferred Return</t>
  </si>
  <si>
    <t>Through Tier 1</t>
  </si>
  <si>
    <t>Through Tier 2</t>
  </si>
  <si>
    <t>Remaining CF</t>
  </si>
  <si>
    <t>Core Period Unlevered Cash Flow to Investors</t>
  </si>
  <si>
    <t>Core Period Unlevered Investor IRR</t>
  </si>
  <si>
    <t>Core Period Performance Fee</t>
  </si>
  <si>
    <t>Core period entry unlevered net asset value</t>
  </si>
  <si>
    <t>Core period unlevered cash flow after VM fee</t>
  </si>
  <si>
    <t>Net unlevered cash flow available</t>
  </si>
  <si>
    <t>Preferred Return</t>
  </si>
  <si>
    <t>Opening Balance</t>
  </si>
  <si>
    <t>Contribution</t>
  </si>
  <si>
    <t>Distribution</t>
  </si>
  <si>
    <t>Closing Balance</t>
  </si>
  <si>
    <t xml:space="preserve">Max Distribution </t>
  </si>
  <si>
    <t>Gross CFs</t>
  </si>
  <si>
    <t>Total Unlevered CFs</t>
  </si>
  <si>
    <t>Preferred return CFs utilized</t>
  </si>
  <si>
    <t>CFs available for Tier 1</t>
  </si>
  <si>
    <t>Tier 1</t>
  </si>
  <si>
    <t>Hurdle 1</t>
  </si>
  <si>
    <t>Max distribution</t>
  </si>
  <si>
    <t>IRR Check</t>
  </si>
  <si>
    <t>CFs available</t>
  </si>
  <si>
    <t>Gross up</t>
  </si>
  <si>
    <t>Tier 1 promote</t>
  </si>
  <si>
    <t>Investor share</t>
  </si>
  <si>
    <t>Total</t>
  </si>
  <si>
    <t>CFs available for Tier 2</t>
  </si>
  <si>
    <t>Tier 2</t>
  </si>
  <si>
    <t>Hurdle 2</t>
  </si>
  <si>
    <t>Tier 1 CFs utilized</t>
  </si>
  <si>
    <t>Tier 2 promote</t>
  </si>
  <si>
    <t>Remaining CF available</t>
  </si>
  <si>
    <t>Remaining CF promote</t>
  </si>
  <si>
    <t>Net Cash Flow</t>
  </si>
  <si>
    <t xml:space="preserve">Net Cash Flow (pre carry) </t>
  </si>
  <si>
    <t>Dev. Carry</t>
  </si>
  <si>
    <t>Core Period Carry</t>
  </si>
  <si>
    <t>Net Levered  Cash Flow post Carry</t>
  </si>
  <si>
    <t>Net IRR</t>
  </si>
  <si>
    <t>Lennar &amp; External Investor Return Breakdown</t>
  </si>
  <si>
    <t>Gross levered cash flow</t>
  </si>
  <si>
    <t>Gross levered IRR</t>
  </si>
  <si>
    <t>Venture management fee</t>
  </si>
  <si>
    <t>Interim development period promote paid in cash</t>
  </si>
  <si>
    <t>Core period promote</t>
  </si>
  <si>
    <t>Net cash flow to Investors</t>
  </si>
  <si>
    <t>Net cash flow to External LP</t>
  </si>
  <si>
    <t>External LP IRR</t>
  </si>
  <si>
    <t>External LP Cash Multiple</t>
  </si>
  <si>
    <t>Net cash flow to Lennar LP (co-investment)</t>
  </si>
  <si>
    <t>Lennar LP IRR</t>
  </si>
  <si>
    <t>Lennar LP Cash Multiple</t>
  </si>
  <si>
    <t>Cash Promotes</t>
  </si>
  <si>
    <t>Total cash promotes</t>
  </si>
  <si>
    <t>Net Venture cash flow to Lennar LP &amp; GP, including all promotes</t>
  </si>
  <si>
    <t>Combined Lennar IRR</t>
  </si>
  <si>
    <t>Combined Lennar Cash Multiple</t>
  </si>
  <si>
    <t>Other cash fees</t>
  </si>
  <si>
    <t>Development management</t>
  </si>
  <si>
    <t>Property management</t>
  </si>
  <si>
    <t>Venture management</t>
  </si>
  <si>
    <t>Total other cash fees</t>
  </si>
  <si>
    <t>Total cash fee including cash promotes</t>
  </si>
  <si>
    <t>Consolidated Lennar Return including Gross Fee Revenue</t>
  </si>
  <si>
    <t>Net Venture cash flow to Lennar</t>
  </si>
  <si>
    <t>Net cash flow to Lennar including gross fee revenue</t>
  </si>
  <si>
    <t>Combined Lennar IRR including fee revenue</t>
  </si>
  <si>
    <t>Quarter</t>
  </si>
  <si>
    <t>Quarter count</t>
  </si>
  <si>
    <t>Net Venture cash flow to Lennar LP</t>
  </si>
  <si>
    <t>-----Based on Current Inputs-----</t>
  </si>
  <si>
    <t>DEVELOPMENT BUDGET (at Const. Start)</t>
  </si>
  <si>
    <t>SUMMARY ASSUMPTIONS</t>
  </si>
  <si>
    <t>Dates, Timing, Delivery</t>
  </si>
  <si>
    <t>Key Dates</t>
  </si>
  <si>
    <t>Delivery &amp; Absorption</t>
  </si>
  <si>
    <t>First Homes:</t>
  </si>
  <si>
    <t>91% Occ.</t>
  </si>
  <si>
    <t>Building Product</t>
  </si>
  <si>
    <t>NRSF: Resi</t>
  </si>
  <si>
    <t>NRSF: Commer.</t>
  </si>
  <si>
    <t>Home Mix</t>
  </si>
  <si>
    <t>Studio</t>
  </si>
  <si>
    <t>Parking Spaces</t>
  </si>
  <si>
    <t>1 Bedroom</t>
  </si>
  <si>
    <t>MR Homes</t>
  </si>
  <si>
    <t>2 Bedroom</t>
  </si>
  <si>
    <t>BMR Homes</t>
  </si>
  <si>
    <t>3 Bedroom</t>
  </si>
  <si>
    <t>Exit Cap Rates / Performance Stabilization Valuation</t>
  </si>
  <si>
    <t>Residential:</t>
  </si>
  <si>
    <t>Perf Stab Date</t>
  </si>
  <si>
    <t>Commercial:</t>
  </si>
  <si>
    <t>Total Resi Value</t>
  </si>
  <si>
    <t>NOI to Cap</t>
  </si>
  <si>
    <t>Resi Val./home</t>
  </si>
  <si>
    <t>INITIAL CAPITALIZATION</t>
  </si>
  <si>
    <t>Rents &amp; Cashflow</t>
  </si>
  <si>
    <t>Avg Bulk Rent</t>
  </si>
  <si>
    <t>All-in Vacancy</t>
  </si>
  <si>
    <t>Avg SF</t>
  </si>
  <si>
    <t>Concessions</t>
  </si>
  <si>
    <t>Rent PSF</t>
  </si>
  <si>
    <t>Until Occ. of</t>
  </si>
  <si>
    <t>8-yr Rent CAGR</t>
  </si>
  <si>
    <t>8-yr OpEx CAGR</t>
  </si>
  <si>
    <t>In-Place</t>
  </si>
  <si>
    <t>F12 Stabilized</t>
  </si>
  <si>
    <t>Potential Gross Income</t>
  </si>
  <si>
    <t>SUMMARY RETURNS</t>
  </si>
  <si>
    <t>Effective Gross Income</t>
  </si>
  <si>
    <t>8-Year Project Level</t>
  </si>
  <si>
    <t>Operating Expenses</t>
  </si>
  <si>
    <t>OpEx/home</t>
  </si>
  <si>
    <t>Net levered IRR</t>
  </si>
  <si>
    <t>OpEx Ratio</t>
  </si>
  <si>
    <t>Net levered equity multiple</t>
  </si>
  <si>
    <t>Unlevered project IRR</t>
  </si>
  <si>
    <t>Net Operating Income</t>
  </si>
  <si>
    <t>Development Period</t>
  </si>
  <si>
    <t>Return on Cost</t>
  </si>
  <si>
    <t>Debt Financing Assumptions</t>
  </si>
  <si>
    <t>Development carried interest ($m)</t>
  </si>
  <si>
    <t>Construction Loan</t>
  </si>
  <si>
    <t>Permanent Loan</t>
  </si>
  <si>
    <t>Core Period</t>
  </si>
  <si>
    <t>LTC</t>
  </si>
  <si>
    <t>LTV</t>
  </si>
  <si>
    <t>Debt Margin</t>
  </si>
  <si>
    <t>Margin Basis</t>
  </si>
  <si>
    <t>1 mo. SOFR</t>
  </si>
  <si>
    <t>SUMMARY ANNUAL CASHFLOW</t>
  </si>
  <si>
    <t>Unlevered devlpmt. costs</t>
  </si>
  <si>
    <t>Upfront expenses</t>
  </si>
  <si>
    <t>Venture operating expenses</t>
  </si>
  <si>
    <t>Construction debt draw</t>
  </si>
  <si>
    <t>Construction debt repaymnt.</t>
  </si>
  <si>
    <t>Permanent debt amortiz.</t>
  </si>
  <si>
    <t>Perm. debt balance on exit</t>
  </si>
  <si>
    <t>Less: Venture mangmt. fee</t>
  </si>
  <si>
    <t>Less: Dev. carried interest</t>
  </si>
  <si>
    <t>Less: Core period promote</t>
  </si>
  <si>
    <t>Net levered CF to LPs</t>
  </si>
  <si>
    <t>Check</t>
  </si>
  <si>
    <t>QMV III</t>
  </si>
  <si>
    <t>Quarterra Underwriting Asset Model Output</t>
  </si>
  <si>
    <t>Offset</t>
  </si>
  <si>
    <t>Code</t>
  </si>
  <si>
    <t>Land cost</t>
  </si>
  <si>
    <t>Financing cost</t>
  </si>
  <si>
    <t>Construction interest</t>
  </si>
  <si>
    <t>Operating deficit</t>
  </si>
  <si>
    <t>Development management fee</t>
  </si>
  <si>
    <t>LP Equity Contributions</t>
  </si>
  <si>
    <t>Cumulative units complete</t>
  </si>
  <si>
    <t>Number of completed units (completion schedule)</t>
  </si>
  <si>
    <t>Number of occupied units (absorption schedule)</t>
  </si>
  <si>
    <t>Rent - market rate</t>
  </si>
  <si>
    <t>Annualized operating expense</t>
  </si>
  <si>
    <t>Construction loan drawdown</t>
  </si>
  <si>
    <t>Net operating income (Apartments)</t>
  </si>
  <si>
    <t>Net operating income (Commercial)</t>
  </si>
  <si>
    <t>Hard Cost Schedule</t>
  </si>
  <si>
    <t>Start</t>
  </si>
  <si>
    <t>End</t>
  </si>
  <si>
    <t>CAGR</t>
  </si>
  <si>
    <t>Dates</t>
  </si>
  <si>
    <t>Rent Growth CAGR</t>
  </si>
  <si>
    <t>Stabilization flag</t>
  </si>
  <si>
    <t>Development period</t>
  </si>
  <si>
    <t>Core period</t>
  </si>
  <si>
    <t>Hold flag</t>
  </si>
  <si>
    <t>Equity Multiplier</t>
  </si>
  <si>
    <t>LEVERED post fee cash flow during dev. period</t>
  </si>
  <si>
    <t>LEVERED net sale proceeds at stabilization</t>
  </si>
  <si>
    <t>Levered post fee cash flow + on stabilization value</t>
  </si>
  <si>
    <t>Net aggregate levered cash flow to Investors to meet pref</t>
  </si>
  <si>
    <t>Net aggregate levered cash flow to Investors to meet 1st hurdle</t>
  </si>
  <si>
    <t>Net aggregate levered cash flow to Investors to meet 2nd hurdle</t>
  </si>
  <si>
    <t>NPV Tax Program</t>
  </si>
  <si>
    <t>Levered post fee cash flow during dev. period</t>
  </si>
  <si>
    <t>Levered net sale proceeds at stabilization</t>
  </si>
  <si>
    <t>Levered gain on sale at stabilization (less dev. period promote)</t>
  </si>
  <si>
    <t>Core period entry LEVERED net asset value</t>
  </si>
  <si>
    <t>Core period entry levered net asset value</t>
  </si>
  <si>
    <t>Core period LEVERED cash flow after VM fee</t>
  </si>
  <si>
    <t>Core period levered cash flow after VM fee</t>
  </si>
  <si>
    <r>
      <t xml:space="preserve">Net </t>
    </r>
    <r>
      <rPr>
        <b/>
        <sz val="10"/>
        <color rgb="FFC00000"/>
        <rFont val="Calibri"/>
        <family val="2"/>
        <scheme val="minor"/>
      </rPr>
      <t>LEVERED</t>
    </r>
    <r>
      <rPr>
        <b/>
        <sz val="10"/>
        <color theme="1"/>
        <rFont val="Calibri"/>
        <family val="2"/>
        <scheme val="minor"/>
      </rPr>
      <t xml:space="preserve"> cash flow available</t>
    </r>
  </si>
  <si>
    <t>Total levered CFs</t>
  </si>
  <si>
    <t>For Reforecast Model</t>
  </si>
  <si>
    <t>x</t>
  </si>
  <si>
    <t>Lennar Combined</t>
  </si>
  <si>
    <t>Net Venture cash flow to Lennar LP &amp; GP, including promote</t>
  </si>
  <si>
    <t>na</t>
  </si>
  <si>
    <t>Promote</t>
  </si>
  <si>
    <t>External LP</t>
  </si>
  <si>
    <t>Net Venture cash flow to External LP</t>
  </si>
  <si>
    <t>Project</t>
  </si>
  <si>
    <t>Net Venture cash flow to Investors</t>
  </si>
  <si>
    <t>Project IRR</t>
  </si>
  <si>
    <t>Project Cash Multiple</t>
  </si>
  <si>
    <t>Core Period Net Cash Flow</t>
  </si>
  <si>
    <t>Core Period Net IRR</t>
  </si>
  <si>
    <t>Core Period Cash Multiple</t>
  </si>
  <si>
    <t>TABLE 1 = LINKS ; TABLE 2 = PASTE-IN HARD CODES</t>
  </si>
  <si>
    <t>TABLE 1</t>
  </si>
  <si>
    <t>Annual Summary Cash Flows</t>
  </si>
  <si>
    <t>Less: Interim development period promote paid in cash</t>
  </si>
  <si>
    <t>Plus Lennar Cash Promotes</t>
  </si>
  <si>
    <t>Lennar LP &amp; GP Cash Flow</t>
  </si>
  <si>
    <t>Lennar LP &amp; GP IRR</t>
  </si>
  <si>
    <t>Lennar LP &amp; GP Cash Multiple</t>
  </si>
  <si>
    <t>TABLE 2 - THIS PAGE IS FOR GREEN FOLDER - ALL HARDCODES</t>
  </si>
  <si>
    <t>Return Projections</t>
  </si>
  <si>
    <t>Projected Sales Date</t>
  </si>
  <si>
    <t>Terminal Sales Price</t>
  </si>
  <si>
    <t>Terminal Sales / Unit</t>
  </si>
  <si>
    <t>Terminal Sales Cap Rate - Apartment</t>
  </si>
  <si>
    <t>Terminal Sales Cap Rate - Commercial</t>
  </si>
  <si>
    <t>LMC Equity Ownership</t>
  </si>
  <si>
    <t>In-Place Return on Costs</t>
  </si>
  <si>
    <t>8- Year Gross Returns (Pre VM Fee)</t>
  </si>
  <si>
    <t>Gross Levered Cash Flow</t>
  </si>
  <si>
    <t>Levered Cash Flow Net of Investment</t>
  </si>
  <si>
    <t>8-Year Gross Levered IRR</t>
  </si>
  <si>
    <t>Returns to Investors (Post VM Fee)</t>
  </si>
  <si>
    <t>Total Cash Outflow</t>
  </si>
  <si>
    <t>Gross Levered Cash Inflow</t>
  </si>
  <si>
    <t>Project Net Cash Flow</t>
  </si>
  <si>
    <t>8-Year Multiple</t>
  </si>
  <si>
    <t>External LP Share of Cash Outflow</t>
  </si>
  <si>
    <t>Gross Cash Inflow to External LP</t>
  </si>
  <si>
    <t>External Share of Promote Payout</t>
  </si>
  <si>
    <t>Net Cash Flow to External LP</t>
  </si>
  <si>
    <t>External LP Equity Multiple</t>
  </si>
  <si>
    <t>Lennar LP</t>
  </si>
  <si>
    <t>Lennar LP Share of Cash Outflow</t>
  </si>
  <si>
    <t>Gross Cash Inflow to Lennar LP</t>
  </si>
  <si>
    <t>Lennar LP Share of Promote Payout</t>
  </si>
  <si>
    <t>Net Cash Flow to Lennar LP</t>
  </si>
  <si>
    <t>Lennar LP Equity Multiple</t>
  </si>
  <si>
    <t>Combined Lennar LP &amp; GP (excluding fees)</t>
  </si>
  <si>
    <t>Plus: Development Promote</t>
  </si>
  <si>
    <t>Plus: Core Period Promote</t>
  </si>
  <si>
    <t>Combined Lennar Equity Multiple</t>
  </si>
  <si>
    <t>Combined Lennar LP &amp; GP Including Fee Revenue</t>
  </si>
  <si>
    <t>Combined Lennar Equity Multiple including fee revenue</t>
  </si>
  <si>
    <t>Forward LIBOR</t>
  </si>
  <si>
    <t>QMVIII - Asset Model</t>
  </si>
  <si>
    <t>Venture Assumptions</t>
  </si>
  <si>
    <t>Investment Timing</t>
  </si>
  <si>
    <t>Unit</t>
  </si>
  <si>
    <t>Assumption</t>
  </si>
  <si>
    <t>Month Count Delay</t>
  </si>
  <si>
    <t>[months]</t>
  </si>
  <si>
    <t>LMV Venture Returns &amp; Metrics</t>
  </si>
  <si>
    <t>Cost/Unit</t>
  </si>
  <si>
    <t>Start Date</t>
  </si>
  <si>
    <t>[date]</t>
  </si>
  <si>
    <t>Total Project Cost</t>
  </si>
  <si>
    <t>Term</t>
  </si>
  <si>
    <t>[years]</t>
  </si>
  <si>
    <t>Units</t>
  </si>
  <si>
    <t>End Date</t>
  </si>
  <si>
    <t>[calc]</t>
  </si>
  <si>
    <t>Stabilized NOI</t>
  </si>
  <si>
    <t>Untrended development yield on cost</t>
  </si>
  <si>
    <t>Equity Investment</t>
  </si>
  <si>
    <t>Stabilized development yield on cost</t>
  </si>
  <si>
    <t>External LP's share</t>
  </si>
  <si>
    <t>[%]</t>
  </si>
  <si>
    <t>Development period gross levered IRR</t>
  </si>
  <si>
    <t>Lennar LP's share (co-investment)</t>
  </si>
  <si>
    <t>Core period gross levered IRR</t>
  </si>
  <si>
    <t>Total Investors</t>
  </si>
  <si>
    <t>8-year gross levered IRR</t>
  </si>
  <si>
    <t>Total Equity Commitment</t>
  </si>
  <si>
    <t>[$]</t>
  </si>
  <si>
    <t>8-year net equity IRR</t>
  </si>
  <si>
    <t>Equity multiple</t>
  </si>
  <si>
    <t>Management Fees &amp; Expenses</t>
  </si>
  <si>
    <t>Spot cap rate (fill in)</t>
  </si>
  <si>
    <t>Venture Management Fee</t>
  </si>
  <si>
    <t>[% cost / GAV]</t>
  </si>
  <si>
    <t>Valuation cap rate at stabilization / exit</t>
  </si>
  <si>
    <t>Financial Advisory &amp; Placement Fee to Macquarie</t>
  </si>
  <si>
    <t>[% of External Equity]</t>
  </si>
  <si>
    <t>Rent growth CAGR</t>
  </si>
  <si>
    <t>Percentage paid upfront</t>
  </si>
  <si>
    <t>[% total]</t>
  </si>
  <si>
    <t>Long-term stabilized occupancy</t>
  </si>
  <si>
    <t>Amount paid upfront</t>
  </si>
  <si>
    <t>Untrended development yield spread to spot cap rates</t>
  </si>
  <si>
    <t>Fee divided among assets</t>
  </si>
  <si>
    <t>Stabilized development yield spread to valuation cap rates</t>
  </si>
  <si>
    <t xml:space="preserve"> Number of assets in Venture</t>
  </si>
  <si>
    <t>[#]</t>
  </si>
  <si>
    <t>Other upfront expenses</t>
  </si>
  <si>
    <t>% of Total</t>
  </si>
  <si>
    <t>$m</t>
  </si>
  <si>
    <t>$'000/unit</t>
  </si>
  <si>
    <t>Annual Venture operating expenses</t>
  </si>
  <si>
    <t>Annual Venture development pursuit costs</t>
  </si>
  <si>
    <t>Lennar Equity</t>
  </si>
  <si>
    <t>Months pursuit costs incurred</t>
  </si>
  <si>
    <t>LP Equity</t>
  </si>
  <si>
    <t>Development Period Promote / Performance Fee</t>
  </si>
  <si>
    <t>LEVERED</t>
  </si>
  <si>
    <t>Venture Manager's share before pref</t>
  </si>
  <si>
    <t>Investors' share before pref</t>
  </si>
  <si>
    <t>Land</t>
  </si>
  <si>
    <t>Preferred return</t>
  </si>
  <si>
    <t>Soft Costs</t>
  </si>
  <si>
    <t>Venture Manager's share after pref</t>
  </si>
  <si>
    <t>Hard Costs</t>
  </si>
  <si>
    <t>Investors' share after pref</t>
  </si>
  <si>
    <t>1st hurdle</t>
  </si>
  <si>
    <t>Venture Manager's share after 1st hurdle</t>
  </si>
  <si>
    <t>Investors' share after 1st hurdle</t>
  </si>
  <si>
    <t>2nd hurdle</t>
  </si>
  <si>
    <t>Venture Manager's share after second hurdle</t>
  </si>
  <si>
    <t>Investors' share after second hurdle</t>
  </si>
  <si>
    <t>Construction Debt Repayment Adjustment</t>
  </si>
  <si>
    <t>Core Period Promote / Performance Fee</t>
  </si>
  <si>
    <t>Asset Assumptions</t>
  </si>
  <si>
    <t>Basic Assumptions</t>
  </si>
  <si>
    <t>Stabilization occupancy hurdle</t>
  </si>
  <si>
    <t>[% occupied]</t>
  </si>
  <si>
    <t>[months after occ. hurdle]</t>
  </si>
  <si>
    <t xml:space="preserve">Spread over Pro Forma Exit Cap </t>
  </si>
  <si>
    <t>[% increase (decrease)]</t>
  </si>
  <si>
    <t>Financing Assumptions</t>
  </si>
  <si>
    <t>Permanent debt</t>
  </si>
  <si>
    <t>Permanent debt refinancing date</t>
  </si>
  <si>
    <t>[months after Stab. month]</t>
  </si>
  <si>
    <t>[% proceeds]</t>
  </si>
  <si>
    <t>Permanent debt margin</t>
  </si>
  <si>
    <t>[% above 5yr T]</t>
  </si>
  <si>
    <t>Permanent debt LTV</t>
  </si>
  <si>
    <t>Amortization period</t>
  </si>
  <si>
    <t>Permanent debt: 175bps above SOFR</t>
  </si>
  <si>
    <t>Refi. Date</t>
  </si>
  <si>
    <t>Base Rate</t>
  </si>
  <si>
    <t>Total Rate</t>
  </si>
  <si>
    <t>5YR T Forward Curve</t>
  </si>
  <si>
    <t>EO Month</t>
  </si>
  <si>
    <t>SOFR</t>
  </si>
  <si>
    <t>Change Log</t>
  </si>
  <si>
    <t>12/21/2022 - 1/21/2023</t>
  </si>
  <si>
    <t>Right Sizing Steps</t>
  </si>
  <si>
    <t>1)</t>
  </si>
  <si>
    <t>Paste in-place ROC and project IRR in column H</t>
  </si>
  <si>
    <t>Pre-Changes</t>
  </si>
  <si>
    <t>After Changes</t>
  </si>
  <si>
    <t>2)</t>
  </si>
  <si>
    <t>Save new copy of model with today's date</t>
  </si>
  <si>
    <t>In-Place ROC</t>
  </si>
  <si>
    <t>3)</t>
  </si>
  <si>
    <t xml:space="preserve">Paste VALUE of linked trended HC/NRSF number ---&gt; </t>
  </si>
  <si>
    <t>Proj IRR</t>
  </si>
  <si>
    <t>4)</t>
  </si>
  <si>
    <t>Trend in-place market-rate rents (Op Inputs) to today's rents using rent growth (Gen Inputs)</t>
  </si>
  <si>
    <t>5)</t>
  </si>
  <si>
    <t>Drop in fresh Forward Curve</t>
  </si>
  <si>
    <t>6)</t>
  </si>
  <si>
    <t>Paste total carry in column F ---&gt;</t>
  </si>
  <si>
    <t>7)</t>
  </si>
  <si>
    <t>Zero out all carry costs</t>
  </si>
  <si>
    <t>8)</t>
  </si>
  <si>
    <t>Make and notate any necessary changes below</t>
  </si>
  <si>
    <t>9)</t>
  </si>
  <si>
    <t>Confirm the in-place ROC didn't change from the previous model (see column H)</t>
  </si>
  <si>
    <t>10)</t>
  </si>
  <si>
    <t>Drop data points into summary matrix file</t>
  </si>
  <si>
    <t>Cell/Row/Column</t>
  </si>
  <si>
    <t>Link to Current Input (if applicable)</t>
  </si>
  <si>
    <t>Change</t>
  </si>
  <si>
    <t>General Inputs</t>
  </si>
  <si>
    <t>Dispo Date</t>
  </si>
  <si>
    <t>H45</t>
  </si>
  <si>
    <t>MonthStabilization+1</t>
  </si>
  <si>
    <t>LP Equity Split</t>
  </si>
  <si>
    <t>J10</t>
  </si>
  <si>
    <t>GP Equity Split</t>
  </si>
  <si>
    <t>K10</t>
  </si>
  <si>
    <t>Leverage</t>
  </si>
  <si>
    <t>H25</t>
  </si>
  <si>
    <t>60% - Garden</t>
  </si>
  <si>
    <t>55% - Midrise / 60% - Garden</t>
  </si>
  <si>
    <t>Commit. Fee</t>
  </si>
  <si>
    <t>H18</t>
  </si>
  <si>
    <t>HC Input Date</t>
  </si>
  <si>
    <t>C39</t>
  </si>
  <si>
    <t>Income Input Date</t>
  </si>
  <si>
    <t>C37</t>
  </si>
  <si>
    <t>OpEx Input Date</t>
  </si>
  <si>
    <t>C38</t>
  </si>
  <si>
    <t>HC Escalation</t>
  </si>
  <si>
    <t>M36-37</t>
  </si>
  <si>
    <t>0% HC Escalation Per WC Feeback (1.18.2023)</t>
  </si>
  <si>
    <t>Rent Growth</t>
  </si>
  <si>
    <t>H36-42</t>
  </si>
  <si>
    <t>Development Inputs</t>
  </si>
  <si>
    <t>Structure</t>
  </si>
  <si>
    <t>N93</t>
  </si>
  <si>
    <t>Merchant</t>
  </si>
  <si>
    <t>Dev Fee</t>
  </si>
  <si>
    <t>K95</t>
  </si>
  <si>
    <t>N95</t>
  </si>
  <si>
    <t>Less Land &amp; Fees</t>
  </si>
  <si>
    <t>HC Contingency</t>
  </si>
  <si>
    <t>B14</t>
  </si>
  <si>
    <t>SC Contingency</t>
  </si>
  <si>
    <t>B13</t>
  </si>
  <si>
    <t>Carry</t>
  </si>
  <si>
    <t>Operating Inputs</t>
  </si>
  <si>
    <t>PM Fee</t>
  </si>
  <si>
    <t>H174</t>
  </si>
  <si>
    <t>Forward Curves</t>
  </si>
  <si>
    <t>Constr. Loan Margin</t>
  </si>
  <si>
    <t>G4</t>
  </si>
  <si>
    <t>Fresh Curve</t>
  </si>
  <si>
    <t>1.11.2023</t>
  </si>
  <si>
    <t>QMC Base Model Changes</t>
  </si>
  <si>
    <t>Sheet</t>
  </si>
  <si>
    <t>Cell Reference</t>
  </si>
  <si>
    <t>Action</t>
  </si>
  <si>
    <t>Consol CF</t>
  </si>
  <si>
    <t>Remove</t>
  </si>
  <si>
    <t>Cover</t>
  </si>
  <si>
    <t>Updated Logo</t>
  </si>
  <si>
    <t>E73</t>
  </si>
  <si>
    <t>Edited formula to include % of Project Cost/Value</t>
  </si>
  <si>
    <t>B80</t>
  </si>
  <si>
    <t>Changed "Carry Cost - Other" to "FMB Carry Cost"</t>
  </si>
  <si>
    <t>A71</t>
  </si>
  <si>
    <t>Changed "Return on Earnest Money" to "Carry Cost Rate"</t>
  </si>
  <si>
    <t>A70:D70</t>
  </si>
  <si>
    <t>Replaced "Calculate Carry on Earnest Money Deposits?" with Date Toggle to allow flexiblity on "Carry Cost Termination Milestone"</t>
  </si>
  <si>
    <t>A62</t>
  </si>
  <si>
    <t>Added error message if construction curve does not sum to 100%</t>
  </si>
  <si>
    <t>DSR Data</t>
  </si>
  <si>
    <t>Finance Summary</t>
  </si>
  <si>
    <t>M51</t>
  </si>
  <si>
    <t>Delete Lennar IRR</t>
  </si>
  <si>
    <t>S51</t>
  </si>
  <si>
    <t>Very Hidden</t>
  </si>
  <si>
    <t>B4</t>
  </si>
  <si>
    <t>Updated date to 1/1/2020</t>
  </si>
  <si>
    <t>A1</t>
  </si>
  <si>
    <t>Updated Title to "1-Month SOFR Forward Curve"</t>
  </si>
  <si>
    <t>E7</t>
  </si>
  <si>
    <t>Adding link to SOFR History</t>
  </si>
  <si>
    <t>E8</t>
  </si>
  <si>
    <t>Added link to SOFR Curve</t>
  </si>
  <si>
    <t>G5</t>
  </si>
  <si>
    <t>Added SOFR Floor Input</t>
  </si>
  <si>
    <t>D:D</t>
  </si>
  <si>
    <t xml:space="preserve">Added SOFR Curve + SOFR Floor to derive Rate </t>
  </si>
  <si>
    <t>G9:H9</t>
  </si>
  <si>
    <t>Added "Curves Updated as of:" input</t>
  </si>
  <si>
    <t>H14</t>
  </si>
  <si>
    <t>Edited formula to include full range of curve</t>
  </si>
  <si>
    <t>AF46:AF57</t>
  </si>
  <si>
    <t>Unlocked monthly seasonality</t>
  </si>
  <si>
    <t>Lennar Corp IRR</t>
  </si>
  <si>
    <t>LMV Summary</t>
  </si>
  <si>
    <t>Macros</t>
  </si>
  <si>
    <t>Fixed Reset Macro</t>
  </si>
  <si>
    <t>Print Macro - fixed &amp; narrowed the output to print fewer sheets</t>
  </si>
  <si>
    <t>Deleted State-Specific Property Tax Assumptions</t>
  </si>
  <si>
    <t>Peer Review</t>
  </si>
  <si>
    <t>Pipeline Inputs</t>
  </si>
  <si>
    <t>QMV III Summary</t>
  </si>
  <si>
    <t>Added Sheet</t>
  </si>
  <si>
    <t>Delete</t>
  </si>
  <si>
    <t>Updated from LMC to Quarterra</t>
  </si>
  <si>
    <t>Summary &amp; General Inputs</t>
  </si>
  <si>
    <t>Updated Construction Loan Conditional Formatting to "Grey Out" when LTC = 0</t>
  </si>
  <si>
    <t>Venture Model Outputs</t>
  </si>
  <si>
    <t>Added blank row between Development Management Fee row and Cumulative Units Complete Row</t>
  </si>
  <si>
    <t>Row 34</t>
  </si>
  <si>
    <t>Added Hard Cost Schedule Row</t>
  </si>
  <si>
    <t>TPG Summary Tab</t>
  </si>
  <si>
    <t>DRAFT</t>
  </si>
  <si>
    <t>Inputs</t>
  </si>
  <si>
    <t>Category</t>
  </si>
  <si>
    <t>Value</t>
  </si>
  <si>
    <t>Asset</t>
  </si>
  <si>
    <t>Location</t>
  </si>
  <si>
    <t>Address</t>
  </si>
  <si>
    <t>&lt;-No address to pull in model with equation</t>
  </si>
  <si>
    <t>City/State/Zip</t>
  </si>
  <si>
    <t>Total Cost Per Unit</t>
  </si>
  <si>
    <t>Helper</t>
  </si>
  <si>
    <t>Construction Start</t>
  </si>
  <si>
    <t>Cnstr. Start:</t>
  </si>
  <si>
    <t>Final Units</t>
  </si>
  <si>
    <t>Final Homes:</t>
  </si>
  <si>
    <t>Stabilization</t>
  </si>
  <si>
    <t>Stabilization:</t>
  </si>
  <si>
    <t>Untrended Rent / Unit</t>
  </si>
  <si>
    <t>In-Place YoC</t>
  </si>
  <si>
    <t>Development Fee</t>
  </si>
  <si>
    <t>AM Fee</t>
  </si>
  <si>
    <t>Dev Fee / Total Project Cost</t>
  </si>
  <si>
    <t>Stabilized YoC</t>
  </si>
  <si>
    <t>Cost Item</t>
  </si>
  <si>
    <t>$ Cost</t>
  </si>
  <si>
    <t>$ / Unit</t>
  </si>
  <si>
    <t>Check 1</t>
  </si>
  <si>
    <t xml:space="preserve">Land Costs </t>
  </si>
  <si>
    <t>Purchase Price</t>
  </si>
  <si>
    <t>Acquisition Costs</t>
  </si>
  <si>
    <t>&lt;--Used to automatically differentiate between the Emblem Model and the Conventional Model</t>
  </si>
  <si>
    <t>Total Hard Costs</t>
  </si>
  <si>
    <t>Check 3</t>
  </si>
  <si>
    <t>GC Fee</t>
  </si>
  <si>
    <t>Hard Cost Contingency</t>
  </si>
  <si>
    <t>Total Hard Costs (Incl. Contingency)</t>
  </si>
  <si>
    <t>Development Management Fee</t>
  </si>
  <si>
    <t>Permits &amp; Fees</t>
  </si>
  <si>
    <t>Architectural &amp; Engineering</t>
  </si>
  <si>
    <t>Insurance</t>
  </si>
  <si>
    <t>Construction Interest</t>
  </si>
  <si>
    <t>Asset Management Fees</t>
  </si>
  <si>
    <t>Financing</t>
  </si>
  <si>
    <t>Furniture, Fixtures &amp; Equipment</t>
  </si>
  <si>
    <t>Operating Deficits</t>
  </si>
  <si>
    <t>Ad Valorem Taxes</t>
  </si>
  <si>
    <t>Marketing</t>
  </si>
  <si>
    <t>Soft Cost Contingency</t>
  </si>
  <si>
    <t>Total Soft Costs</t>
  </si>
  <si>
    <t>Total Development Costs</t>
  </si>
  <si>
    <t>(-) Asset Management Fees</t>
  </si>
  <si>
    <t>Base Case TPG Basis for YoC</t>
  </si>
  <si>
    <t>Untrended</t>
  </si>
  <si>
    <t>Line Item</t>
  </si>
  <si>
    <t>Total Rent</t>
  </si>
  <si>
    <t>Combined Summary</t>
  </si>
  <si>
    <t>Physical Vacancy (Stabilized):</t>
  </si>
  <si>
    <t>&lt;-- Reminder to capture the paranthetical next to vacancy when pulling</t>
  </si>
  <si>
    <t>Collection Losses</t>
  </si>
  <si>
    <t>Collection Loss:</t>
  </si>
  <si>
    <t>Effective Rental Revenue</t>
  </si>
  <si>
    <t>Model, Admin. &amp; Charitable Homes:</t>
  </si>
  <si>
    <t>Other Income</t>
  </si>
  <si>
    <t>Other Income / Unit / Mo.</t>
  </si>
  <si>
    <t>Recurring Charges</t>
  </si>
  <si>
    <t>Subtotal Monthly Recurring Charges</t>
  </si>
  <si>
    <t>Total Revenue</t>
  </si>
  <si>
    <t>General and Administrative</t>
  </si>
  <si>
    <t>Administration</t>
  </si>
  <si>
    <t>Personnel</t>
  </si>
  <si>
    <t>Repairs &amp; Maintenance</t>
  </si>
  <si>
    <t>Contract Services</t>
  </si>
  <si>
    <t>Utilities</t>
  </si>
  <si>
    <t>Controllable Opex</t>
  </si>
  <si>
    <t>Replacement Reserves</t>
  </si>
  <si>
    <t>Real Estate Taxes</t>
  </si>
  <si>
    <t>Ad-Valorem Taxes</t>
  </si>
  <si>
    <t>Property Management Fee</t>
  </si>
  <si>
    <t>Management Fee</t>
  </si>
  <si>
    <t>Other Non-Controllable Expense</t>
  </si>
  <si>
    <t>Non-Controllable Opex</t>
  </si>
  <si>
    <t>Total Operating Expenses</t>
  </si>
  <si>
    <t>NOI Check Box</t>
  </si>
  <si>
    <t>NOI Margin</t>
  </si>
  <si>
    <t>Yield Check Box</t>
  </si>
  <si>
    <t>Yield on Cost</t>
  </si>
  <si>
    <t>Untrended YoC</t>
  </si>
  <si>
    <t>Trended YoC</t>
  </si>
  <si>
    <t>Yield on Cost (Including AM)</t>
  </si>
  <si>
    <t>Yield on Cost (Excluding AM)</t>
  </si>
  <si>
    <t>General Growth Rate</t>
  </si>
  <si>
    <t>Tax Growth Rate</t>
  </si>
  <si>
    <t>#</t>
  </si>
  <si>
    <t>LEN Division</t>
  </si>
  <si>
    <t>Deal Name</t>
  </si>
  <si>
    <t>Division</t>
  </si>
  <si>
    <t>Single Asset and Asset not in DealCloud?</t>
  </si>
  <si>
    <t>Deal Type</t>
  </si>
  <si>
    <t>Status</t>
  </si>
  <si>
    <t>Latitude</t>
  </si>
  <si>
    <t>Longitude</t>
  </si>
  <si>
    <t>Primary City</t>
  </si>
  <si>
    <t>Primary State/Region</t>
  </si>
  <si>
    <t>Stage</t>
  </si>
  <si>
    <t>Homes</t>
  </si>
  <si>
    <t>Land Price</t>
  </si>
  <si>
    <t>Total Cost</t>
  </si>
  <si>
    <t>Loan to Cost</t>
  </si>
  <si>
    <t>Quarterra Co-Invest %</t>
  </si>
  <si>
    <t>Net Development Margin</t>
  </si>
  <si>
    <t>Land Close</t>
  </si>
  <si>
    <t>First Homes</t>
  </si>
  <si>
    <t>Completion</t>
  </si>
  <si>
    <t>Stabilized ROC</t>
  </si>
  <si>
    <t>Unlevered Gross Project IRR</t>
  </si>
  <si>
    <t>Avg. SF</t>
  </si>
  <si>
    <t>UW Exit Cap Rate</t>
  </si>
  <si>
    <t>Land SF</t>
  </si>
  <si>
    <t>Net Acreage</t>
  </si>
  <si>
    <t>Gross Acreage</t>
  </si>
  <si>
    <t>JV Close</t>
  </si>
  <si>
    <t>Current Hard Costs/SF</t>
  </si>
  <si>
    <t>In-House/3rd Party</t>
  </si>
  <si>
    <t>Stories</t>
  </si>
  <si>
    <t>PIM Call</t>
  </si>
  <si>
    <t>Primary Asset Type</t>
  </si>
  <si>
    <t>Primary Address</t>
  </si>
  <si>
    <t>Primary US Postal Code</t>
  </si>
  <si>
    <t>Submarket</t>
  </si>
  <si>
    <t>Entitlement Status</t>
  </si>
  <si>
    <t>Current Pricing</t>
  </si>
  <si>
    <t>Division President</t>
  </si>
  <si>
    <t>Development VP</t>
  </si>
  <si>
    <t>Dev. Manager/Associate</t>
  </si>
  <si>
    <t>Land Seller</t>
  </si>
  <si>
    <t>Land Broker</t>
  </si>
  <si>
    <t>Source of Lead</t>
  </si>
  <si>
    <t>LEN Collaboration</t>
  </si>
  <si>
    <t>LOI Submitted</t>
  </si>
  <si>
    <t>LOI Signed</t>
  </si>
  <si>
    <t>PSA Execution</t>
  </si>
  <si>
    <t>Hard Date</t>
  </si>
  <si>
    <t>PSA Approval</t>
  </si>
  <si>
    <t>Green Folder Call</t>
  </si>
  <si>
    <t>Green Folder Approval</t>
  </si>
  <si>
    <t>Land Close Approval</t>
  </si>
  <si>
    <t>General Contractor</t>
  </si>
  <si>
    <t>Parking Type</t>
  </si>
  <si>
    <t>Yes</t>
  </si>
  <si>
    <t>Executive Summary</t>
  </si>
  <si>
    <t>PROJECT SUMMARY</t>
  </si>
  <si>
    <t>LAND</t>
  </si>
  <si>
    <t>Per Home</t>
  </si>
  <si>
    <t>Per/NRSF</t>
  </si>
  <si>
    <t>Land Summary (Net)</t>
  </si>
  <si>
    <t>Commercial</t>
  </si>
  <si>
    <t>Apartments</t>
  </si>
  <si>
    <t>Square Feet:</t>
  </si>
  <si>
    <t>Density:</t>
  </si>
  <si>
    <t>Acres:</t>
  </si>
  <si>
    <t>Constr. Period:</t>
  </si>
  <si>
    <t>Parking Spaces:</t>
  </si>
  <si>
    <t>SOFT COSTS</t>
  </si>
  <si>
    <t>Purchase Price:</t>
  </si>
  <si>
    <t>Delivery:</t>
  </si>
  <si>
    <t>Parking Ratio:</t>
  </si>
  <si>
    <t>Per Acre:</t>
  </si>
  <si>
    <t>Absorption:</t>
  </si>
  <si>
    <t>Product Type:</t>
  </si>
  <si>
    <t>Per SF:</t>
  </si>
  <si>
    <t>Rent CAGR:</t>
  </si>
  <si>
    <t>Buildings:</t>
  </si>
  <si>
    <t>Stories:</t>
  </si>
  <si>
    <t>Growth</t>
  </si>
  <si>
    <t>Constr. Type:</t>
  </si>
  <si>
    <t>Market Rent</t>
  </si>
  <si>
    <t>Exit Cap Rate:</t>
  </si>
  <si>
    <t>Mix</t>
  </si>
  <si>
    <t>Total NRSF</t>
  </si>
  <si>
    <t>Average NRSF</t>
  </si>
  <si>
    <t>Rent/Month</t>
  </si>
  <si>
    <t>Rent/NRSF</t>
  </si>
  <si>
    <t>Market Rate Homes</t>
  </si>
  <si>
    <t>1BR</t>
  </si>
  <si>
    <t>Amenity Premiums</t>
  </si>
  <si>
    <t>HARD COSTS</t>
  </si>
  <si>
    <t>2BR</t>
  </si>
  <si>
    <t>3BR</t>
  </si>
  <si>
    <t>GRAND TOTAL</t>
  </si>
  <si>
    <t>TOTAL PROJECT COST</t>
  </si>
  <si>
    <t>WATERFALLS</t>
  </si>
  <si>
    <t>KEY DATES</t>
  </si>
  <si>
    <t>Construction</t>
  </si>
  <si>
    <t>Mezz. Loan</t>
  </si>
  <si>
    <t>JV Closing:</t>
  </si>
  <si>
    <t>Land Closing:</t>
  </si>
  <si>
    <t>Equity Contr. %</t>
  </si>
  <si>
    <t>Rate/Pref</t>
  </si>
  <si>
    <t>Disposition:</t>
  </si>
  <si>
    <t>RETURN ON COST TRENDS &amp; CASH FLOW</t>
  </si>
  <si>
    <t>RESIDUAL VALUE &amp; PROFIT</t>
  </si>
  <si>
    <t>PARTNERSHIP DISTRIBUTIONS &amp; RETURNS</t>
  </si>
  <si>
    <t>Description</t>
  </si>
  <si>
    <t>JV Closing</t>
  </si>
  <si>
    <t>Constr. Start</t>
  </si>
  <si>
    <t>Sale</t>
  </si>
  <si>
    <t>Distribution From Sale</t>
  </si>
  <si>
    <t>Month</t>
  </si>
  <si>
    <t>Gross Sales Proceeds</t>
  </si>
  <si>
    <t>POTENTIAL GROSS INCOME</t>
  </si>
  <si>
    <t>All-In Rent (Market Rate)</t>
  </si>
  <si>
    <t>Subtotal</t>
  </si>
  <si>
    <t>NET SALE PROCEEDS</t>
  </si>
  <si>
    <t>Other Distributions</t>
  </si>
  <si>
    <t>EFFECTIVE GROSS INCOME</t>
  </si>
  <si>
    <t>NPV of Ground Lease</t>
  </si>
  <si>
    <t>Pref. From Operations</t>
  </si>
  <si>
    <t>Debt Retirement</t>
  </si>
  <si>
    <t>Pref. From Refi.</t>
  </si>
  <si>
    <t>per Home per Year</t>
  </si>
  <si>
    <t>NET CASH FROM SALE</t>
  </si>
  <si>
    <t>Cash Flow From Operations</t>
  </si>
  <si>
    <t>Operating Expense Ratio</t>
  </si>
  <si>
    <t>Return of Equity</t>
  </si>
  <si>
    <t>NET OPERATING INCOME</t>
  </si>
  <si>
    <t>CASH TO DISTRIBUTE</t>
  </si>
  <si>
    <t>TOTAL PROFIT</t>
  </si>
  <si>
    <t>Commercial Income</t>
  </si>
  <si>
    <t>FEE SCHEDULE</t>
  </si>
  <si>
    <t>Levered IRR</t>
  </si>
  <si>
    <t>Debt Service</t>
  </si>
  <si>
    <t>NOI AFTER DEBT SERVICE</t>
  </si>
  <si>
    <t>Debt Coverage Ratio</t>
  </si>
  <si>
    <t>Debt Yield</t>
  </si>
  <si>
    <t>Below the Line Debits/Credits</t>
  </si>
  <si>
    <t>NET CASH FLOW</t>
  </si>
  <si>
    <t>TOTAL FEES</t>
  </si>
  <si>
    <t>NOTES</t>
  </si>
  <si>
    <t>Capital Stack</t>
  </si>
  <si>
    <t>Profit</t>
  </si>
  <si>
    <t>LENNAR FEES</t>
  </si>
  <si>
    <t>LENNAR</t>
  </si>
  <si>
    <t>LP</t>
  </si>
  <si>
    <t>MEZZ.</t>
  </si>
  <si>
    <t>DEBT</t>
  </si>
  <si>
    <t>Sensitivity Tables</t>
  </si>
  <si>
    <t>SENSITIVITY TABLES</t>
  </si>
  <si>
    <t>BASE MARKET RENTAL RATE</t>
  </si>
  <si>
    <t>In Place ROC</t>
  </si>
  <si>
    <t>JV IRR</t>
  </si>
  <si>
    <t>JV Profit</t>
  </si>
  <si>
    <t>EXIT CAP RATE</t>
  </si>
  <si>
    <t>HARD COST / HOME</t>
  </si>
  <si>
    <t>FIRST UNITS</t>
  </si>
  <si>
    <t>ABSORPTION</t>
  </si>
  <si>
    <t>HOLD PERIOD</t>
  </si>
  <si>
    <t>RENT GROWTH CAGR</t>
  </si>
  <si>
    <t>OPEX / HOME</t>
  </si>
  <si>
    <t>Scenario Assumptions</t>
  </si>
  <si>
    <t>LINKS</t>
  </si>
  <si>
    <t>HARD CODES</t>
  </si>
  <si>
    <t>As-Input</t>
  </si>
  <si>
    <t>Record</t>
  </si>
  <si>
    <t>PropCo</t>
  </si>
  <si>
    <t>Merchant-Build Scenario</t>
  </si>
  <si>
    <t>PropCo Scenario</t>
  </si>
  <si>
    <t>LP Equity %</t>
  </si>
  <si>
    <t>QM Equity %</t>
  </si>
  <si>
    <t>LP Com. Fee</t>
  </si>
  <si>
    <t>Exit</t>
  </si>
  <si>
    <t>Fee Type</t>
  </si>
  <si>
    <t>Dev. Fee</t>
  </si>
  <si>
    <t>Ext. 1</t>
  </si>
  <si>
    <t>Ext. 2</t>
  </si>
  <si>
    <t>Deal Structure</t>
  </si>
  <si>
    <t>Start-Up Expenses &amp; Marketing</t>
  </si>
  <si>
    <t xml:space="preserve">AM Fee During Const. </t>
  </si>
  <si>
    <t>Overhead &amp; Administration Fees</t>
  </si>
  <si>
    <t>IRR Hurdle</t>
  </si>
  <si>
    <t>Quarterra</t>
  </si>
  <si>
    <t>Soft Cost Contingency (5.0%)</t>
  </si>
  <si>
    <t>Hard Costs (Input/GMP = $210/$218)</t>
  </si>
  <si>
    <t>Hard Cost Contingency (5.0%)</t>
  </si>
  <si>
    <t>Tier 3</t>
  </si>
  <si>
    <t>Commercial (TI, Legal &amp; Commissions)</t>
  </si>
  <si>
    <t>Residual</t>
  </si>
  <si>
    <t>Formulas</t>
  </si>
  <si>
    <t>RETURNS</t>
  </si>
  <si>
    <t>In-Place Return on Cost</t>
  </si>
  <si>
    <t>Project Multiple</t>
  </si>
  <si>
    <t>LMC IRR</t>
  </si>
  <si>
    <t>LMC Multiple</t>
  </si>
  <si>
    <t>LP IRR</t>
  </si>
  <si>
    <t>LP Multiple</t>
  </si>
  <si>
    <t>FEES</t>
  </si>
  <si>
    <t>Development Fee (4.0%; Less Land &amp; Fees)</t>
  </si>
  <si>
    <t>Development Fee (5.0%; Less Land &amp; Fees)</t>
  </si>
  <si>
    <t>Asset Management Fee During Construction ($0k / Month )</t>
  </si>
  <si>
    <t>Asset Management Fee During Construction ($40k / Month )</t>
  </si>
  <si>
    <t>Asset Management Fee (0.00%)</t>
  </si>
  <si>
    <t>Asset Management Fee (0.50%)</t>
  </si>
  <si>
    <t>KEY ASSUMPTIONS</t>
  </si>
  <si>
    <t>Sale Month</t>
  </si>
  <si>
    <t>Sale Date</t>
  </si>
  <si>
    <t>Exit Cap Rate (Residential)</t>
  </si>
  <si>
    <t>Terminal Sales Price / Home</t>
  </si>
  <si>
    <t>Construction Period</t>
  </si>
  <si>
    <t>Delivery</t>
  </si>
  <si>
    <t>Absorption</t>
  </si>
  <si>
    <t>Run Model</t>
  </si>
  <si>
    <t>Reset Model</t>
  </si>
  <si>
    <t>Profit after Pref</t>
  </si>
  <si>
    <t>QM FEES</t>
  </si>
  <si>
    <t>QM</t>
  </si>
  <si>
    <t>GENERAL INPUTS</t>
  </si>
  <si>
    <t>Sensitivity Calcs</t>
  </si>
  <si>
    <t>Project:</t>
  </si>
  <si>
    <t>Emblem Meridian</t>
  </si>
  <si>
    <t>CAPITALIZATION</t>
  </si>
  <si>
    <t>Mezzanine Loan</t>
  </si>
  <si>
    <t>Refi. Perm.</t>
  </si>
  <si>
    <t>Refi. Mezz.</t>
  </si>
  <si>
    <t>Location:</t>
  </si>
  <si>
    <t>Meridian</t>
  </si>
  <si>
    <t>Other</t>
  </si>
  <si>
    <t>Loan/Contribution ($)</t>
  </si>
  <si>
    <t>Scenario:</t>
  </si>
  <si>
    <t>PIM</t>
  </si>
  <si>
    <t>Loan/Contribution (%)</t>
  </si>
  <si>
    <t>Last Saved:</t>
  </si>
  <si>
    <t>Contribution of Total Equity</t>
  </si>
  <si>
    <t>Nominal</t>
  </si>
  <si>
    <t>GENERAL PROPERTY DESCRIPTION</t>
  </si>
  <si>
    <t>First Draw</t>
  </si>
  <si>
    <t xml:space="preserve"> </t>
  </si>
  <si>
    <t>Units:</t>
  </si>
  <si>
    <t>NRSF (Apts.):</t>
  </si>
  <si>
    <t>Interest Rate</t>
  </si>
  <si>
    <t>NRSF (Retail):</t>
  </si>
  <si>
    <t>Gross</t>
  </si>
  <si>
    <t>Net</t>
  </si>
  <si>
    <t>Interest Rate Override</t>
  </si>
  <si>
    <t>Land (Acres):</t>
  </si>
  <si>
    <t>Interest Only</t>
  </si>
  <si>
    <t>Land (SF):</t>
  </si>
  <si>
    <t>LTC or LTV</t>
  </si>
  <si>
    <t>Commitment Fee</t>
  </si>
  <si>
    <t>Land Price/SF:</t>
  </si>
  <si>
    <t>Broker Fee</t>
  </si>
  <si>
    <t>1st Extension</t>
  </si>
  <si>
    <t>Property Type:</t>
  </si>
  <si>
    <t>Emblem West Coast</t>
  </si>
  <si>
    <t>Parking</t>
  </si>
  <si>
    <t>Spaces</t>
  </si>
  <si>
    <t>2nd Extension</t>
  </si>
  <si>
    <t>Surface:</t>
  </si>
  <si>
    <t>Retirement Fee</t>
  </si>
  <si>
    <t>Refi Structure</t>
  </si>
  <si>
    <t>Fixed</t>
  </si>
  <si>
    <t>EV:</t>
  </si>
  <si>
    <t>V</t>
  </si>
  <si>
    <t>Garage:</t>
  </si>
  <si>
    <t>CONSTRUCTION LOAN SIZING</t>
  </si>
  <si>
    <t>Metric</t>
  </si>
  <si>
    <t>Loan Size</t>
  </si>
  <si>
    <t>Use Loan Sizing?</t>
  </si>
  <si>
    <t>No</t>
  </si>
  <si>
    <t>Carports:</t>
  </si>
  <si>
    <t>Loan to Cost (LTC)</t>
  </si>
  <si>
    <t>Analysis Start Date:</t>
  </si>
  <si>
    <t>Debt Coverage Ratio (DCR)</t>
  </si>
  <si>
    <t>based on a Rate/Amort. of</t>
  </si>
  <si>
    <t>.</t>
  </si>
  <si>
    <t>JV Closing Date:</t>
  </si>
  <si>
    <t>Key</t>
  </si>
  <si>
    <t>Seasonality</t>
  </si>
  <si>
    <t>Land Closing Date:</t>
  </si>
  <si>
    <t>PROMOTES</t>
  </si>
  <si>
    <t>Multiple Hurdle</t>
  </si>
  <si>
    <t>Hurdle Used</t>
  </si>
  <si>
    <t>Jan</t>
  </si>
  <si>
    <t>Construction Start:</t>
  </si>
  <si>
    <t>Feb</t>
  </si>
  <si>
    <t>First Units:</t>
  </si>
  <si>
    <t>Mar</t>
  </si>
  <si>
    <t>Final Units:</t>
  </si>
  <si>
    <t>Apr</t>
  </si>
  <si>
    <t>May</t>
  </si>
  <si>
    <t>Jun</t>
  </si>
  <si>
    <t>GROWTH RATES (Annual)</t>
  </si>
  <si>
    <t>Market</t>
  </si>
  <si>
    <t>BMR</t>
  </si>
  <si>
    <t>Expenses</t>
  </si>
  <si>
    <t>Property Taxes</t>
  </si>
  <si>
    <t>Jul</t>
  </si>
  <si>
    <t>INPUT DATES</t>
  </si>
  <si>
    <r>
      <rPr>
        <b/>
        <u/>
        <sz val="10"/>
        <rFont val="Calibri"/>
        <family val="2"/>
        <scheme val="minor"/>
      </rPr>
      <t>Note</t>
    </r>
    <r>
      <rPr>
        <b/>
        <sz val="10"/>
        <rFont val="Calibri"/>
        <family val="2"/>
        <scheme val="minor"/>
      </rPr>
      <t>:</t>
    </r>
    <r>
      <rPr>
        <sz val="10"/>
        <rFont val="Calibri"/>
        <family val="2"/>
        <scheme val="minor"/>
      </rPr>
      <t xml:space="preserve"> Monthly growth rates for months 61-120 equal the monthly growth rate of Month 60, which is in the annual growth rates highlighted in </t>
    </r>
    <r>
      <rPr>
        <b/>
        <u/>
        <sz val="10"/>
        <color rgb="FFFF0000"/>
        <rFont val="Calibri"/>
        <family val="2"/>
        <scheme val="minor"/>
      </rPr>
      <t>red</t>
    </r>
    <r>
      <rPr>
        <sz val="10"/>
        <rFont val="Calibri"/>
        <family val="2"/>
        <scheme val="minor"/>
      </rPr>
      <t xml:space="preserve"> in the table to the left. </t>
    </r>
    <r>
      <rPr>
        <b/>
        <sz val="10"/>
        <rFont val="Calibri"/>
        <family val="2"/>
        <scheme val="minor"/>
      </rPr>
      <t>Property Tax</t>
    </r>
    <r>
      <rPr>
        <sz val="10"/>
        <rFont val="Calibri"/>
        <family val="2"/>
        <scheme val="minor"/>
      </rPr>
      <t xml:space="preserve"> growth rates should be input for each year.</t>
    </r>
  </si>
  <si>
    <t>Aug</t>
  </si>
  <si>
    <t>Income Input Date:</t>
  </si>
  <si>
    <t>Sep</t>
  </si>
  <si>
    <t>Operating Expense Input Date:</t>
  </si>
  <si>
    <t>Oct</t>
  </si>
  <si>
    <t>Hard Cost Input Date:</t>
  </si>
  <si>
    <t>Nov</t>
  </si>
  <si>
    <t>Dec</t>
  </si>
  <si>
    <t>CONSTRUCTION INPUTS</t>
  </si>
  <si>
    <t>Construction Period:</t>
  </si>
  <si>
    <t>Unit Delivery Per Month:</t>
  </si>
  <si>
    <t>Months to First Units:</t>
  </si>
  <si>
    <t>RESIDUAL CALCULATIONS</t>
  </si>
  <si>
    <t>Absorption Summary</t>
  </si>
  <si>
    <t>Month of Disposition:</t>
  </si>
  <si>
    <t>Avg. Absorption/Month:</t>
  </si>
  <si>
    <t>ASSET MANAGEMENT</t>
  </si>
  <si>
    <t>Exit Cap Residential:</t>
  </si>
  <si>
    <t>% Absorption in 1st Month:</t>
  </si>
  <si>
    <t>Asset Management Fee:</t>
  </si>
  <si>
    <t>Exit Cap Commercial:</t>
  </si>
  <si>
    <t>Begin Asset Management Fee:</t>
  </si>
  <si>
    <t>NOI to Capitalize:</t>
  </si>
  <si>
    <t>Next Year</t>
  </si>
  <si>
    <t xml:space="preserve">Allocate percentages below to represent leasing </t>
  </si>
  <si>
    <t>Adjust to New Tax Burden?</t>
  </si>
  <si>
    <t>Reassessment.</t>
  </si>
  <si>
    <t>seasonality over the course of the year.</t>
  </si>
  <si>
    <t>AM Fee (During Construction):</t>
  </si>
  <si>
    <t>Transfer Tax:</t>
  </si>
  <si>
    <t>1Q</t>
  </si>
  <si>
    <t>Title Insurance:</t>
  </si>
  <si>
    <t>2Q</t>
  </si>
  <si>
    <t>Closing Costs:</t>
  </si>
  <si>
    <t>3Q</t>
  </si>
  <si>
    <t>Broker's Fee:</t>
  </si>
  <si>
    <t>4Q</t>
  </si>
  <si>
    <t>Disposition Fee:</t>
  </si>
  <si>
    <t xml:space="preserve">Note: The existing inputs represent 2006-2016 </t>
  </si>
  <si>
    <t>national averages for seasonality.</t>
  </si>
  <si>
    <t>Average</t>
  </si>
  <si>
    <t>Note: To straight-line absorption, simply input</t>
  </si>
  <si>
    <t>25% for all quarters.</t>
  </si>
  <si>
    <t>Type</t>
  </si>
  <si>
    <t>Item</t>
  </si>
  <si>
    <t>Land Use Considerations</t>
  </si>
  <si>
    <t>Jurisdiction &amp; State</t>
  </si>
  <si>
    <t>Zoning Code &amp; Name</t>
  </si>
  <si>
    <t>Zoning Description</t>
  </si>
  <si>
    <t>Does Zoning Allow Multifamily?</t>
  </si>
  <si>
    <t>Housing Density</t>
  </si>
  <si>
    <t>Building Height Limit</t>
  </si>
  <si>
    <t>FAR Min/Max</t>
  </si>
  <si>
    <t>Any Mixed Use Requirements?</t>
  </si>
  <si>
    <t>Parking Requirements</t>
  </si>
  <si>
    <t>Lot Coverage Requirements</t>
  </si>
  <si>
    <t>Building Setbacks</t>
  </si>
  <si>
    <t>Open Space or Design Requirements</t>
  </si>
  <si>
    <t>Located within UGA?</t>
  </si>
  <si>
    <t>Comprehensive Plan Designation</t>
  </si>
  <si>
    <t>Specific Land Use Area or Overlay?</t>
  </si>
  <si>
    <t>Specific Master Plan Requirements?</t>
  </si>
  <si>
    <t>Does a LID, Latecomer, or DA Apply?</t>
  </si>
  <si>
    <t>Any Existing LU Applications?</t>
  </si>
  <si>
    <t>MFTE/Tax Credit/Affordability Program</t>
  </si>
  <si>
    <t>Locational Qualities</t>
  </si>
  <si>
    <t>Access and Visibility</t>
  </si>
  <si>
    <t>Impacted Areas (Wetlands, Stream, Steep Slopes)</t>
  </si>
  <si>
    <t>Options for Assemblage of Adj Parcels?</t>
  </si>
  <si>
    <t>School District</t>
  </si>
  <si>
    <t>Existing Site Demolition Required?</t>
  </si>
  <si>
    <t>Existing Improvements to Utilize?</t>
  </si>
  <si>
    <t>Any Visible Environmental Issues?</t>
  </si>
  <si>
    <t>Any Notable Externalities?</t>
  </si>
  <si>
    <t>Civil Considerations</t>
  </si>
  <si>
    <t>Water (Utility, Availability, Capacity)</t>
  </si>
  <si>
    <t>Sewer (Utility, Availability, Capacity)</t>
  </si>
  <si>
    <t>Electric (Utility, Availability, Capacity)</t>
  </si>
  <si>
    <t>Storm (Utility, Availability, Capacity)</t>
  </si>
  <si>
    <t>Telecom (Utility, Availability, Capacity)</t>
  </si>
  <si>
    <t>Gas (Utility, Availability, Capacity)</t>
  </si>
  <si>
    <t>Topography</t>
  </si>
  <si>
    <t>Floodplain</t>
  </si>
  <si>
    <t>Overhead Power Lines</t>
  </si>
  <si>
    <t>Known Easements or Other Encumberances?</t>
  </si>
  <si>
    <t>Offsites/Other</t>
  </si>
  <si>
    <t>Buy Box Conformity</t>
  </si>
  <si>
    <t>Crime Score &lt;150</t>
  </si>
  <si>
    <t>Median Incomes</t>
  </si>
  <si>
    <t>Median Home Price</t>
  </si>
  <si>
    <t>Grocer within 10 Mins</t>
  </si>
  <si>
    <t>Retail within 10 Mins</t>
  </si>
  <si>
    <t>3-Mile Population Density over 30K</t>
  </si>
  <si>
    <t>INSERT</t>
  </si>
  <si>
    <t>Resources</t>
  </si>
  <si>
    <t>Code Reference</t>
  </si>
  <si>
    <t>Links</t>
  </si>
  <si>
    <t>Broker OM (As Applicable)</t>
  </si>
  <si>
    <t>City Development Code</t>
  </si>
  <si>
    <t>Zoning Map</t>
  </si>
  <si>
    <t>Zoning Overview</t>
  </si>
  <si>
    <t>Land Use Table</t>
  </si>
  <si>
    <t>Dimensional Standards</t>
  </si>
  <si>
    <t>Parking Standards</t>
  </si>
  <si>
    <t>Development Standards</t>
  </si>
  <si>
    <t>Definitions (As Applicable)</t>
  </si>
  <si>
    <t>Comprehensive Plan</t>
  </si>
  <si>
    <t>Master Plan</t>
  </si>
  <si>
    <t>Development Agreement</t>
  </si>
  <si>
    <t>Rent Growth Sensitivity</t>
  </si>
  <si>
    <t>Markerr</t>
  </si>
  <si>
    <t>3% Annual</t>
  </si>
  <si>
    <t>Markerr - Capped @ 4%</t>
  </si>
  <si>
    <t>CoStar</t>
  </si>
  <si>
    <t>IRR</t>
  </si>
  <si>
    <t>Variance</t>
  </si>
  <si>
    <t>Parking Generator</t>
  </si>
  <si>
    <t>Unit Type</t>
  </si>
  <si>
    <t>Stalls/Unit</t>
  </si>
  <si>
    <t>Total Stalls</t>
  </si>
  <si>
    <t>Notes</t>
  </si>
  <si>
    <t>3BR+</t>
  </si>
  <si>
    <t>Guest Parking</t>
  </si>
  <si>
    <t>TOTAL</t>
  </si>
  <si>
    <t>Parking Ratio</t>
  </si>
  <si>
    <t>%</t>
  </si>
  <si>
    <t>% Surface</t>
  </si>
  <si>
    <t>% EV</t>
  </si>
  <si>
    <t>% Garage</t>
  </si>
  <si>
    <t>% Carports</t>
  </si>
  <si>
    <t xml:space="preserve">Schedule Generator </t>
  </si>
  <si>
    <t>Total Units</t>
  </si>
  <si>
    <t>Mo. to first units</t>
  </si>
  <si>
    <t>First units delivered</t>
  </si>
  <si>
    <t>Units remaining after first delivery</t>
  </si>
  <si>
    <t>Units per month</t>
  </si>
  <si>
    <t>Months after first units</t>
  </si>
  <si>
    <t>Construction Duration</t>
  </si>
  <si>
    <t>Construction Duration (Adj + 3 Mos)</t>
  </si>
  <si>
    <t>Growth Rates</t>
  </si>
  <si>
    <t>VACANCY &amp; COLLECTION LOSS</t>
  </si>
  <si>
    <t>INCOME ASSUMPTIONS</t>
  </si>
  <si>
    <t>Below Market Rate Override:</t>
  </si>
  <si>
    <t>Lease-Up Concession:</t>
  </si>
  <si>
    <t>Annual Turnover %:</t>
  </si>
  <si>
    <t>Market Rate Override:</t>
  </si>
  <si>
    <t>Until Occupancy of:</t>
  </si>
  <si>
    <t>Below Market Rate Lease Term:</t>
  </si>
  <si>
    <t>Stabilized Concession:</t>
  </si>
  <si>
    <t>Market Rate Lease Term:</t>
  </si>
  <si>
    <t>For X months after Stab.:</t>
  </si>
  <si>
    <t>FLOORPLAN INPUT</t>
  </si>
  <si>
    <t>Base Rent</t>
  </si>
  <si>
    <t>Total Base</t>
  </si>
  <si>
    <t>Manual</t>
  </si>
  <si>
    <t>Floorplan</t>
  </si>
  <si>
    <t>Bedrooms</t>
  </si>
  <si>
    <t>Bathrooms</t>
  </si>
  <si>
    <t>NRSF</t>
  </si>
  <si>
    <t>/ Month</t>
  </si>
  <si>
    <t>/ NRSF</t>
  </si>
  <si>
    <t>Rent / Month</t>
  </si>
  <si>
    <t>Rent / Year</t>
  </si>
  <si>
    <t>Input</t>
  </si>
  <si>
    <t>BASE RENT</t>
  </si>
  <si>
    <t>T-A</t>
  </si>
  <si>
    <t>T-B</t>
  </si>
  <si>
    <t>Summary (All Homes)</t>
  </si>
  <si>
    <t>BASE MARKET RATE (MR) MIX DETAIL</t>
  </si>
  <si>
    <t>Subtotal Base Rent (Market Rate Homes)</t>
  </si>
  <si>
    <t>AMENITY PREMIUM INPUTS</t>
  </si>
  <si>
    <t>Amenity</t>
  </si>
  <si>
    <t>% of Homes</t>
  </si>
  <si>
    <t>Amenity Premium #1</t>
  </si>
  <si>
    <t>Amenity Premium #2</t>
  </si>
  <si>
    <t>Amenity Premium #3</t>
  </si>
  <si>
    <t>Amenity Premium #4</t>
  </si>
  <si>
    <t>Subtotal Amenity Premiums</t>
  </si>
  <si>
    <t>MARKET RATE RENTAL RATE SUMMARY</t>
  </si>
  <si>
    <t>AVG</t>
  </si>
  <si>
    <t>Total Base Rent</t>
  </si>
  <si>
    <t xml:space="preserve"> / Month</t>
  </si>
  <si>
    <t>/ Year</t>
  </si>
  <si>
    <t>Base Market Rate (MR) Homes</t>
  </si>
  <si>
    <t>Premium Amenities</t>
  </si>
  <si>
    <t>Subtotal Market Rate (MR) Homes</t>
  </si>
  <si>
    <t>INCOME INPUTS (continued)</t>
  </si>
  <si>
    <t>BASE BELOW MARKET RATE (BMR) MIX DETAIL</t>
  </si>
  <si>
    <t>Unit Mix</t>
  </si>
  <si>
    <t>Subtotal Below Market Rate (BMR) Homes</t>
  </si>
  <si>
    <t>COMBINED UNIT DETAIL</t>
  </si>
  <si>
    <t>Market Rate (MR) Homes</t>
  </si>
  <si>
    <t>Below Market Rate (BMR) Homes</t>
  </si>
  <si>
    <t>MONTHLY RECURRING INCOME</t>
  </si>
  <si>
    <t>Charge</t>
  </si>
  <si>
    <t>Income Type</t>
  </si>
  <si>
    <t>Units/Spaces</t>
  </si>
  <si>
    <t>% of Units</t>
  </si>
  <si>
    <t>Garage / Covered Parking</t>
  </si>
  <si>
    <t xml:space="preserve">Parking Detail </t>
  </si>
  <si>
    <t>Cost/Space</t>
  </si>
  <si>
    <t>Pet Fees</t>
  </si>
  <si>
    <t>Water/Sewer/Utility Billback</t>
  </si>
  <si>
    <t>Managed Wifi</t>
  </si>
  <si>
    <t>OTHER INCOME</t>
  </si>
  <si>
    <t>Total Other</t>
  </si>
  <si>
    <t>Not in print area</t>
  </si>
  <si>
    <t>COMMERCIAL INCOME</t>
  </si>
  <si>
    <t>Rent</t>
  </si>
  <si>
    <t xml:space="preserve">Monthly </t>
  </si>
  <si>
    <t>TI</t>
  </si>
  <si>
    <t xml:space="preserve">Total </t>
  </si>
  <si>
    <t xml:space="preserve">Months to </t>
  </si>
  <si>
    <t>% Lease</t>
  </si>
  <si>
    <t xml:space="preserve">Total Lease </t>
  </si>
  <si>
    <t>Annual</t>
  </si>
  <si>
    <t>Commercial Income Calculations</t>
  </si>
  <si>
    <t>Tenant Improvements</t>
  </si>
  <si>
    <t>Space</t>
  </si>
  <si>
    <t>Lease Start</t>
  </si>
  <si>
    <t>Occupancy %</t>
  </si>
  <si>
    <t>/ NRSF/Yr</t>
  </si>
  <si>
    <t xml:space="preserve"> / NRSF</t>
  </si>
  <si>
    <t>Complete TI</t>
  </si>
  <si>
    <t>(Free Rent)</t>
  </si>
  <si>
    <t>Commission</t>
  </si>
  <si>
    <t>EXPENSE SUMMARY</t>
  </si>
  <si>
    <t>@ PROJECT START (Month 0)</t>
  </si>
  <si>
    <t>OVERRIDE / UNIT</t>
  </si>
  <si>
    <t>OpEx</t>
  </si>
  <si>
    <t>/Unit</t>
  </si>
  <si>
    <t>LMC</t>
  </si>
  <si>
    <t>Contracts</t>
  </si>
  <si>
    <t>Subtotal Controllable Expenses</t>
  </si>
  <si>
    <t>TOTAL OPERATING EXPENSES</t>
  </si>
  <si>
    <t>OPERATING EXPENSES (continued)</t>
  </si>
  <si>
    <t>ADMINISTRATION</t>
  </si>
  <si>
    <t>/Month</t>
  </si>
  <si>
    <t>PERSONNEL</t>
  </si>
  <si>
    <t>Office Hospitality</t>
  </si>
  <si>
    <t>Base Payroll</t>
  </si>
  <si>
    <t>Hours</t>
  </si>
  <si>
    <t>Hourly Rate</t>
  </si>
  <si>
    <t>Salary</t>
  </si>
  <si>
    <t>Total % of Bonuses</t>
  </si>
  <si>
    <t>Taxes/Benefits</t>
  </si>
  <si>
    <t>Annual Comp</t>
  </si>
  <si>
    <t>Credit Verification</t>
  </si>
  <si>
    <t>Administrative</t>
  </si>
  <si>
    <t>Legal Fees - Resident Evictions</t>
  </si>
  <si>
    <t>Manager</t>
  </si>
  <si>
    <t>n/a</t>
  </si>
  <si>
    <t>Lease Administration</t>
  </si>
  <si>
    <t>Asst. Manager</t>
  </si>
  <si>
    <t>Leasing Prof.</t>
  </si>
  <si>
    <t>HOA Fees</t>
  </si>
  <si>
    <t>Office Alarm</t>
  </si>
  <si>
    <t>Other -</t>
  </si>
  <si>
    <t>Banking Costs</t>
  </si>
  <si>
    <t>Computer Software &amp; Supplies</t>
  </si>
  <si>
    <t>Service</t>
  </si>
  <si>
    <t>Consulting Fees</t>
  </si>
  <si>
    <t>Supervisor</t>
  </si>
  <si>
    <t>Printing &amp; Copying</t>
  </si>
  <si>
    <t>Asst. Supervisor</t>
  </si>
  <si>
    <t>Associate Training</t>
  </si>
  <si>
    <t>Service Tech</t>
  </si>
  <si>
    <t>Associate Relations</t>
  </si>
  <si>
    <t>Equipment Rental/Lease</t>
  </si>
  <si>
    <t>Hospitality - Office Refreshments</t>
  </si>
  <si>
    <t>Office Cleaning</t>
  </si>
  <si>
    <t>Grounds</t>
  </si>
  <si>
    <t>Office Supplies</t>
  </si>
  <si>
    <t>Porter</t>
  </si>
  <si>
    <t>Postage &amp; Related</t>
  </si>
  <si>
    <t>Computer Maintenance &amp; Support</t>
  </si>
  <si>
    <t>Subtotal Base Payroll</t>
  </si>
  <si>
    <t>Telephone &amp; Related</t>
  </si>
  <si>
    <t>Travel Expense</t>
  </si>
  <si>
    <t>Bonuses &amp; Incentives</t>
  </si>
  <si>
    <t>Lease Renewals</t>
  </si>
  <si>
    <t>Breaks/Skips</t>
  </si>
  <si>
    <t>Move-Outs</t>
  </si>
  <si>
    <t>Move-Ins</t>
  </si>
  <si>
    <t>Avg. Commission</t>
  </si>
  <si>
    <t>Annual B&amp;I</t>
  </si>
  <si>
    <t>Meals (Business Related)</t>
  </si>
  <si>
    <t>Bonuses</t>
  </si>
  <si>
    <t>Auto Allowance/Mileage</t>
  </si>
  <si>
    <t>Incentive/Turn Goals</t>
  </si>
  <si>
    <t>Public Transportation Svc</t>
  </si>
  <si>
    <t>Subtotal Bonuses &amp; Incentives</t>
  </si>
  <si>
    <t>Dues/Memberships</t>
  </si>
  <si>
    <t>Safety Equipment</t>
  </si>
  <si>
    <t>Permits &amp; Business Licenses</t>
  </si>
  <si>
    <t>Career Apparel/Uniforms</t>
  </si>
  <si>
    <t>Employment Fees (Inc. Recruiting)</t>
  </si>
  <si>
    <t>Employee Screening Fees</t>
  </si>
  <si>
    <t>Employee Relocation Costs</t>
  </si>
  <si>
    <t>MARKETING</t>
  </si>
  <si>
    <t>AD VALOREM TAXES</t>
  </si>
  <si>
    <t>UTILITIES</t>
  </si>
  <si>
    <t>/Home/Month</t>
  </si>
  <si>
    <t>Internet/Media/Other</t>
  </si>
  <si>
    <t>Land Value for Oregon Property Tax Exemption:</t>
  </si>
  <si>
    <t>Trash Removal - Valet</t>
  </si>
  <si>
    <t>Social Media Management</t>
  </si>
  <si>
    <t>Assessment Month:</t>
  </si>
  <si>
    <t>Trash Removal</t>
  </si>
  <si>
    <t>Broker Fees</t>
  </si>
  <si>
    <t>Tax Overlay</t>
  </si>
  <si>
    <t>Tax Rate</t>
  </si>
  <si>
    <t>Electricity - Common Areas</t>
  </si>
  <si>
    <t>Broker Relations</t>
  </si>
  <si>
    <t>Electricity - Vacant Homes</t>
  </si>
  <si>
    <t>Marketing Supplies</t>
  </si>
  <si>
    <t>TOTAL TAX RATE</t>
  </si>
  <si>
    <t>Gas</t>
  </si>
  <si>
    <t>Resident Retention &amp; Incentives</t>
  </si>
  <si>
    <t>Project Cost</t>
  </si>
  <si>
    <t>Gas - Vacant</t>
  </si>
  <si>
    <t>Resident Referral Fees</t>
  </si>
  <si>
    <t>% of Project Cost/Value</t>
  </si>
  <si>
    <t>Recycling</t>
  </si>
  <si>
    <t>Resident Surveys &amp; Evaluations</t>
  </si>
  <si>
    <t>Assessed Value</t>
  </si>
  <si>
    <t>Utility Administrative</t>
  </si>
  <si>
    <t>Reputation Management</t>
  </si>
  <si>
    <t>Water &amp; Sewer</t>
  </si>
  <si>
    <t>Video Production</t>
  </si>
  <si>
    <t xml:space="preserve">Subtotal </t>
  </si>
  <si>
    <t>Brochures</t>
  </si>
  <si>
    <t>Direct Assessments</t>
  </si>
  <si>
    <t>Direct Mail</t>
  </si>
  <si>
    <t>Apartment Guides</t>
  </si>
  <si>
    <t>Community Signage</t>
  </si>
  <si>
    <t>MANAGEMENT FEE</t>
  </si>
  <si>
    <t>Internet Apartment Guides</t>
  </si>
  <si>
    <t>Minimum Fee/Month</t>
  </si>
  <si>
    <t>Promotion</t>
  </si>
  <si>
    <t>Model Accessories &amp; Labor</t>
  </si>
  <si>
    <t>Management Fee During LMC Hold</t>
  </si>
  <si>
    <t>Resident Events</t>
  </si>
  <si>
    <t>Management Fee at Disposition</t>
  </si>
  <si>
    <t>Leasing Wall/Engrain</t>
  </si>
  <si>
    <t>Web Services</t>
  </si>
  <si>
    <t>REPAIRS &amp; MAINTENANCE</t>
  </si>
  <si>
    <t>Home/Year</t>
  </si>
  <si>
    <t>Exterior Maintenance</t>
  </si>
  <si>
    <t>Interior Maintenance</t>
  </si>
  <si>
    <t>Internet Services</t>
  </si>
  <si>
    <t>Gate Equipment Repairs &amp; Maintenance</t>
  </si>
  <si>
    <t>Alarm Service</t>
  </si>
  <si>
    <t>Janitorial-Contract Cleaning</t>
  </si>
  <si>
    <t>Fire Extinguishers &amp; Smoke Detectors</t>
  </si>
  <si>
    <t>Apt/Interior Supplies</t>
  </si>
  <si>
    <t>Elevator Maintenance Contract</t>
  </si>
  <si>
    <t>Parking Lot Repairs</t>
  </si>
  <si>
    <t>Other Interior Repairs</t>
  </si>
  <si>
    <t>Pool Service</t>
  </si>
  <si>
    <t>Pool &amp; Spa Supplies &amp; Repairs</t>
  </si>
  <si>
    <t>Walls Repairs</t>
  </si>
  <si>
    <t>Concierge Service</t>
  </si>
  <si>
    <t>Roof Repairs</t>
  </si>
  <si>
    <t>Common &amp; Renewal Carpet Maintenance</t>
  </si>
  <si>
    <t>Other Contracts</t>
  </si>
  <si>
    <t>Exterior Repairs/Maint-Common Area</t>
  </si>
  <si>
    <t>Interior Flooring</t>
  </si>
  <si>
    <t>Ponds/Lakes/Fountains Contract</t>
  </si>
  <si>
    <t>Equipment Rental</t>
  </si>
  <si>
    <t>Interior Electrical Repairs</t>
  </si>
  <si>
    <t>Seasonal Landscaping</t>
  </si>
  <si>
    <t>HVAC Repairs</t>
  </si>
  <si>
    <t>Interior Painting/Wallpaper Repair</t>
  </si>
  <si>
    <t>Snow Removal</t>
  </si>
  <si>
    <t>Electrical</t>
  </si>
  <si>
    <t>Counter Tops Repairs &amp; Replacement</t>
  </si>
  <si>
    <t>Cable TV Service</t>
  </si>
  <si>
    <t>Tools, Small Equipment &amp; Hardware</t>
  </si>
  <si>
    <t>Plumbing Repairs</t>
  </si>
  <si>
    <t>Lawn Maintenance</t>
  </si>
  <si>
    <t>Window &amp; Door Repairs</t>
  </si>
  <si>
    <t>Drapery &amp; Blind Repairs</t>
  </si>
  <si>
    <t>Pest Control</t>
  </si>
  <si>
    <t>Exterior Supplies</t>
  </si>
  <si>
    <t>Fitness Equipment Repair</t>
  </si>
  <si>
    <t>Security Service</t>
  </si>
  <si>
    <t>Exterior Painting</t>
  </si>
  <si>
    <t>Fire Sprinkler System</t>
  </si>
  <si>
    <t>Exterior Light Bulbs</t>
  </si>
  <si>
    <t>Appliance Repairs</t>
  </si>
  <si>
    <t>Garage / Carport Repairs &amp; Maintenance</t>
  </si>
  <si>
    <t>Furnace/Boiler Repairs/Service</t>
  </si>
  <si>
    <t>Turnover Expense</t>
  </si>
  <si>
    <t>Fence Repair</t>
  </si>
  <si>
    <t>Locks, Keys &amp; Fobs</t>
  </si>
  <si>
    <t>Interior Repairs</t>
  </si>
  <si>
    <t>Other Exterior Repairs &amp; Maintenance</t>
  </si>
  <si>
    <t>Janitorial Supplies</t>
  </si>
  <si>
    <t>Carpet Cleaning &amp; Repair</t>
  </si>
  <si>
    <t xml:space="preserve">General Cleaning  </t>
  </si>
  <si>
    <t>Locks &amp; Keys</t>
  </si>
  <si>
    <t>Interior Paint</t>
  </si>
  <si>
    <t>Lighting/Bulbs</t>
  </si>
  <si>
    <t>Window Treatments</t>
  </si>
  <si>
    <t>Miscellaneous</t>
  </si>
  <si>
    <r>
      <t>LAND LEASE</t>
    </r>
    <r>
      <rPr>
        <b/>
        <i/>
        <sz val="8.8000000000000007"/>
        <color theme="3" tint="-0.499984740745262"/>
        <rFont val="Calibri"/>
        <family val="2"/>
      </rPr>
      <t xml:space="preserve"> (Below-the-Line)</t>
    </r>
  </si>
  <si>
    <t>Lease Payment</t>
  </si>
  <si>
    <t>NPV (Monthly)</t>
  </si>
  <si>
    <t>OTHER NON-CONTROLLABLE EXPENSE:</t>
  </si>
  <si>
    <t>Override Default Start Month?</t>
  </si>
  <si>
    <t>Expense Start Month:</t>
  </si>
  <si>
    <t>Pre-JV Growth?</t>
  </si>
  <si>
    <t>Override Default Growth Rate?</t>
  </si>
  <si>
    <t>Annual Growth Rate:</t>
  </si>
  <si>
    <t>Growth Type:</t>
  </si>
  <si>
    <t>Monthly</t>
  </si>
  <si>
    <t>Discount Rate:</t>
  </si>
  <si>
    <t>Annual Growth:</t>
  </si>
  <si>
    <t>Land Lease Calculations</t>
  </si>
  <si>
    <t>Annual Lease</t>
  </si>
  <si>
    <t>MODULE SELECTION &amp; UNIT MIX</t>
  </si>
  <si>
    <t>AVAILABLE MODULES</t>
  </si>
  <si>
    <t>3/4 SPLITS: UNIT COUNTS PER FLOOR</t>
  </si>
  <si>
    <t>COMBINED BUILDINGS</t>
  </si>
  <si>
    <t>MODULE SELECTION</t>
  </si>
  <si>
    <t>MODULE DETAILS</t>
  </si>
  <si>
    <t>Lower case ‘p’ represents a passthrough on the ground floor of the module (i.e. complete breezeway walkway) and 'ps' represents passthrough with a 3/4 split lower level</t>
  </si>
  <si>
    <t>MODULE LENGTH (ft)</t>
  </si>
  <si>
    <t>MODULE</t>
  </si>
  <si>
    <t>BUILDING</t>
  </si>
  <si>
    <t>A</t>
  </si>
  <si>
    <t>B</t>
  </si>
  <si>
    <t>C</t>
  </si>
  <si>
    <t>D</t>
  </si>
  <si>
    <t>A2</t>
  </si>
  <si>
    <t>A3</t>
  </si>
  <si>
    <t>B1</t>
  </si>
  <si>
    <t>B2</t>
  </si>
  <si>
    <t>B3</t>
  </si>
  <si>
    <t>C1</t>
  </si>
  <si>
    <t>M1</t>
  </si>
  <si>
    <t>M1p</t>
  </si>
  <si>
    <t>M1ps</t>
  </si>
  <si>
    <t>Proposed Buildings</t>
  </si>
  <si>
    <t>LL</t>
  </si>
  <si>
    <t>Building A</t>
  </si>
  <si>
    <t>M3</t>
  </si>
  <si>
    <t>M5</t>
  </si>
  <si>
    <t>Sel.</t>
  </si>
  <si>
    <t>Count Check</t>
  </si>
  <si>
    <t>A1.1</t>
  </si>
  <si>
    <t>A1.2</t>
  </si>
  <si>
    <t>Unit Sizes</t>
  </si>
  <si>
    <t>M2</t>
  </si>
  <si>
    <t>Lower level:</t>
  </si>
  <si>
    <t>B2.1</t>
  </si>
  <si>
    <t>M2p</t>
  </si>
  <si>
    <t>Module Unit Count Detail</t>
  </si>
  <si>
    <t>Module Average Unit SF</t>
  </si>
  <si>
    <t>Non-Rentable Area</t>
  </si>
  <si>
    <t>M2ps</t>
  </si>
  <si>
    <t>Module</t>
  </si>
  <si>
    <t>A2.1</t>
  </si>
  <si>
    <t>A2.2</t>
  </si>
  <si>
    <t>A3.1</t>
  </si>
  <si>
    <t>A3.2</t>
  </si>
  <si>
    <t>B1.1</t>
  </si>
  <si>
    <t>B1.2</t>
  </si>
  <si>
    <t>B2.2</t>
  </si>
  <si>
    <t>B2.3</t>
  </si>
  <si>
    <t>B3.1</t>
  </si>
  <si>
    <t>B3.2</t>
  </si>
  <si>
    <t>B3.3</t>
  </si>
  <si>
    <t>C1.1</t>
  </si>
  <si>
    <t>C1.2</t>
  </si>
  <si>
    <t>Circulation</t>
  </si>
  <si>
    <t>Support</t>
  </si>
  <si>
    <t>M3p</t>
  </si>
  <si>
    <t>M3ps</t>
  </si>
  <si>
    <t>M4</t>
  </si>
  <si>
    <t>M4p</t>
  </si>
  <si>
    <t>M4ps</t>
  </si>
  <si>
    <t>Building B</t>
  </si>
  <si>
    <t>M5p</t>
  </si>
  <si>
    <t>M5ps</t>
  </si>
  <si>
    <t>M6</t>
  </si>
  <si>
    <t>M6p</t>
  </si>
  <si>
    <t>M6ps</t>
  </si>
  <si>
    <t># BUILDINGS</t>
  </si>
  <si>
    <r>
      <rPr>
        <b/>
        <i/>
        <sz val="11"/>
        <color theme="1"/>
        <rFont val="Calibri"/>
        <family val="2"/>
        <scheme val="minor"/>
      </rPr>
      <t>Module Selection FAQs/Recommendations:</t>
    </r>
    <r>
      <rPr>
        <sz val="11"/>
        <color theme="1"/>
        <rFont val="Calibri"/>
        <family val="2"/>
        <scheme val="minor"/>
      </rPr>
      <t xml:space="preserve">
</t>
    </r>
    <r>
      <rPr>
        <sz val="10"/>
        <color theme="1"/>
        <rFont val="Calibri"/>
        <family val="2"/>
        <scheme val="minor"/>
      </rPr>
      <t>- M6 is for end units only; C1s have windows on the end.</t>
    </r>
    <r>
      <rPr>
        <sz val="11"/>
        <color theme="1"/>
        <rFont val="Calibri"/>
        <family val="2"/>
        <scheme val="minor"/>
      </rPr>
      <t xml:space="preserve">
</t>
    </r>
    <r>
      <rPr>
        <sz val="10"/>
        <color theme="1"/>
        <rFont val="Calibri"/>
        <family val="2"/>
        <scheme val="minor"/>
      </rPr>
      <t>- Recommended max count of 4 modules per building</t>
    </r>
  </si>
  <si>
    <t>Total Bldg Length</t>
  </si>
  <si>
    <t>Building C</t>
  </si>
  <si>
    <t>BUILDING PROGRAM DATA - CONSOLIDATED</t>
  </si>
  <si>
    <t>Note: If A3/B1 are added to other modules, conditional formatting for A3 color needs to be updated.</t>
  </si>
  <si>
    <t>BUILDING SUMMARY</t>
  </si>
  <si>
    <t>UNIT TYPE AND SIZE:</t>
  </si>
  <si>
    <t>BUILDING TOTALS</t>
  </si>
  <si>
    <t>PROJECT TOTALS</t>
  </si>
  <si>
    <t>BLDG. A</t>
  </si>
  <si>
    <t>BLDG. B</t>
  </si>
  <si>
    <t>BLDG. C</t>
  </si>
  <si>
    <t>BLDG. D</t>
  </si>
  <si>
    <t>Unit Area</t>
  </si>
  <si>
    <t>TOTAL SF</t>
  </si>
  <si>
    <t>1-BEDROOM</t>
  </si>
  <si>
    <t>SF</t>
  </si>
  <si>
    <t>UNITS</t>
  </si>
  <si>
    <t>Building D</t>
  </si>
  <si>
    <t>2-BEDROOM</t>
  </si>
  <si>
    <t>3-BEDROOM</t>
  </si>
  <si>
    <t>TOTAL UNITS</t>
  </si>
  <si>
    <t>BUILDING PROGRAM DATA - ALL DETAIL</t>
  </si>
  <si>
    <t>BUILDING AREAS</t>
  </si>
  <si>
    <t>BUILDING TOTALS (SF)</t>
  </si>
  <si>
    <t>Circulation:</t>
  </si>
  <si>
    <t>Support:</t>
  </si>
  <si>
    <t>Dog House:</t>
  </si>
  <si>
    <t>PROGRAM TARGET</t>
  </si>
  <si>
    <t>DIFFERENCE</t>
  </si>
  <si>
    <t>AVERAGE</t>
  </si>
  <si>
    <t>UNIT</t>
  </si>
  <si>
    <t>NO.</t>
  </si>
  <si>
    <t>UNIT SF</t>
  </si>
  <si>
    <t>1-BED</t>
  </si>
  <si>
    <t>2-BED</t>
  </si>
  <si>
    <t>3-BED</t>
  </si>
  <si>
    <t>Column Width</t>
  </si>
  <si>
    <t>top left module width</t>
  </si>
  <si>
    <t>M1M</t>
  </si>
  <si>
    <t>M1pM</t>
  </si>
  <si>
    <t>M1psM</t>
  </si>
  <si>
    <t>M2M</t>
  </si>
  <si>
    <t>M2pM</t>
  </si>
  <si>
    <t>M3M</t>
  </si>
  <si>
    <t>M3pM</t>
  </si>
  <si>
    <t>M4M</t>
  </si>
  <si>
    <t>M4pM</t>
  </si>
  <si>
    <t>M5M</t>
  </si>
  <si>
    <t>M5pM</t>
  </si>
  <si>
    <t>M5A</t>
  </si>
  <si>
    <t>M5MA</t>
  </si>
  <si>
    <t>M5pA</t>
  </si>
  <si>
    <t>M5pMA</t>
  </si>
  <si>
    <t>M6M</t>
  </si>
  <si>
    <t>M6pM</t>
  </si>
  <si>
    <t>M2psM</t>
  </si>
  <si>
    <t>M3psM</t>
  </si>
  <si>
    <t>M4psM</t>
  </si>
  <si>
    <t>M5psM</t>
  </si>
  <si>
    <t>M5psA</t>
  </si>
  <si>
    <t>M5psMA</t>
  </si>
  <si>
    <t>M6psM</t>
  </si>
  <si>
    <t>Rent Builder</t>
  </si>
  <si>
    <t>Anchor Rent Comparable</t>
  </si>
  <si>
    <t>MC Ten Mile</t>
  </si>
  <si>
    <t>$/SF Adjustment</t>
  </si>
  <si>
    <t>Seasonal Adjustment vs. Anchor</t>
  </si>
  <si>
    <t>Qualitative Adjustment vs. Anchor</t>
  </si>
  <si>
    <t>Anchor Comp Method</t>
  </si>
  <si>
    <t>Anchor Comp</t>
  </si>
  <si>
    <t>Floorplan Adjustment</t>
  </si>
  <si>
    <t xml:space="preserve">Sq Ft Adj. </t>
  </si>
  <si>
    <t>Relative Premium</t>
  </si>
  <si>
    <t>Anchor Comp Units</t>
  </si>
  <si>
    <t>Sq Ft</t>
  </si>
  <si>
    <t>PSF</t>
  </si>
  <si>
    <t>Emblem Floorplan</t>
  </si>
  <si>
    <t>Var. $</t>
  </si>
  <si>
    <t>Var $/SF</t>
  </si>
  <si>
    <t>-</t>
  </si>
  <si>
    <t>1BR + 1BA</t>
  </si>
  <si>
    <t>2BR + 1BA</t>
  </si>
  <si>
    <t>2BR + 2BA</t>
  </si>
  <si>
    <t>3BR + 2BA</t>
  </si>
  <si>
    <t>2BR + 2BA TH</t>
  </si>
  <si>
    <t>3BR + 2BA TH</t>
  </si>
  <si>
    <t>Total/Average</t>
  </si>
  <si>
    <t>4.30.26 T30 Asking Rents (Apartment IQ)</t>
  </si>
  <si>
    <t>Pet Fees/Mo</t>
  </si>
  <si>
    <t>Managed Wifi/Mo</t>
  </si>
  <si>
    <t>&lt;&lt;Comp Average</t>
  </si>
  <si>
    <t>Move In Fee (1X)</t>
  </si>
  <si>
    <t>Application Fee (1X)</t>
  </si>
  <si>
    <t>Upfront Pet Fee (1X)</t>
  </si>
  <si>
    <t>Storage/Mo</t>
  </si>
  <si>
    <t>Parking Income</t>
  </si>
  <si>
    <t>Surface</t>
  </si>
  <si>
    <t>EV</t>
  </si>
  <si>
    <t>Garage</t>
  </si>
  <si>
    <t>&lt;&lt;Per Comps</t>
  </si>
  <si>
    <t>Carports</t>
  </si>
  <si>
    <t>Precedent Underwriting by Community (Indicates Budget Level)</t>
  </si>
  <si>
    <t>Expense</t>
  </si>
  <si>
    <t>Implied Rates</t>
  </si>
  <si>
    <t>% Adjustment</t>
  </si>
  <si>
    <t>Reconciled Rates</t>
  </si>
  <si>
    <t>Snohomish (GF)</t>
  </si>
  <si>
    <t>Gig Harbor (GF)</t>
  </si>
  <si>
    <t>Bend (JVA)</t>
  </si>
  <si>
    <t>Meridian (PIM)</t>
  </si>
  <si>
    <t># Units</t>
  </si>
  <si>
    <t>Comp Location</t>
  </si>
  <si>
    <t>Comparable</t>
  </si>
  <si>
    <t>Fields at Gramercy</t>
  </si>
  <si>
    <t>Cortland</t>
  </si>
  <si>
    <t>Lofts at 10 mile</t>
  </si>
  <si>
    <t>Aren</t>
  </si>
  <si>
    <t>Taxable Value</t>
  </si>
  <si>
    <t>Tax Paid</t>
  </si>
  <si>
    <t>Implied Rate</t>
  </si>
  <si>
    <t>Per Unit</t>
  </si>
  <si>
    <t>Unit SF</t>
  </si>
  <si>
    <t>Comp Weighting</t>
  </si>
  <si>
    <t>Jurisdiction Rate</t>
  </si>
  <si>
    <t>Tax paid at Jurisdiction Rates</t>
  </si>
  <si>
    <t>Tax paid at Jurisdiction Rates/Home</t>
  </si>
  <si>
    <t>Tax paid at Jurisdiction Rates/Home Size Adjusted</t>
  </si>
  <si>
    <t>Reconciled Prop Tax/Home Size Adjusted</t>
  </si>
  <si>
    <t>Total Taxes Paid</t>
  </si>
  <si>
    <t>Total Assessed</t>
  </si>
  <si>
    <t>% Input</t>
  </si>
  <si>
    <t>Canyon Ridge</t>
  </si>
  <si>
    <t>Weighted Rent Comparables</t>
  </si>
  <si>
    <t>Pulled T-90 from AptIQ on 4.27.2026</t>
  </si>
  <si>
    <t>Rent Comps</t>
  </si>
  <si>
    <t>MC Black Cat</t>
  </si>
  <si>
    <t>Seasons at Meridian</t>
  </si>
  <si>
    <t>Number</t>
  </si>
  <si>
    <t>$/SF (apartments)</t>
  </si>
  <si>
    <t>Boise</t>
  </si>
  <si>
    <t>$/SF (towns)</t>
  </si>
  <si>
    <t>Garden + BTR</t>
  </si>
  <si>
    <t>Gurban</t>
  </si>
  <si>
    <t>Garden</t>
  </si>
  <si>
    <t>Home Count</t>
  </si>
  <si>
    <t>Year Built</t>
  </si>
  <si>
    <t>Occupancy</t>
  </si>
  <si>
    <t>Rents</t>
  </si>
  <si>
    <t>Asking</t>
  </si>
  <si>
    <t>None</t>
  </si>
  <si>
    <t>4-weeks</t>
  </si>
  <si>
    <t>Weighted Comp Avg</t>
  </si>
  <si>
    <t>Weighted Mkt Avg</t>
  </si>
  <si>
    <t>Calculated Emblem Rent</t>
  </si>
  <si>
    <t>Total Blended Average</t>
  </si>
  <si>
    <t>Bulk Rent</t>
  </si>
  <si>
    <t>Avg. Unit Size</t>
  </si>
  <si>
    <t>Rent per SF</t>
  </si>
  <si>
    <t>2 BR Townhome</t>
  </si>
  <si>
    <t>3 BR Townhome</t>
  </si>
  <si>
    <t>Weight &amp; Adjustments</t>
  </si>
  <si>
    <t>Comp Weight</t>
  </si>
  <si>
    <t>$/+ or - SF</t>
  </si>
  <si>
    <t>Qualitative Adjustment Factor</t>
  </si>
  <si>
    <t>Scoring</t>
  </si>
  <si>
    <t>Worse</t>
  </si>
  <si>
    <t>Equivalent</t>
  </si>
  <si>
    <t>Much Better</t>
  </si>
  <si>
    <t>Much Worse</t>
  </si>
  <si>
    <t>Weighted Avg</t>
  </si>
  <si>
    <t>Weighing comps based on applicability to subject site</t>
  </si>
  <si>
    <t xml:space="preserve">Adjustment of $/SF for smaller or larger market homes to align pricing to Emblem sizes. </t>
  </si>
  <si>
    <t>Product</t>
  </si>
  <si>
    <t>Slightly Better</t>
  </si>
  <si>
    <t>Slightly Worse</t>
  </si>
  <si>
    <t>Amenity Package</t>
  </si>
  <si>
    <t>Better</t>
  </si>
  <si>
    <t>Mix &amp; Management</t>
  </si>
  <si>
    <t>Emblem Units</t>
  </si>
  <si>
    <t>Market Avg</t>
  </si>
  <si>
    <t>SF Delta</t>
  </si>
  <si>
    <t>Adj Bulk Rent</t>
  </si>
  <si>
    <t>Rent Delta</t>
  </si>
  <si>
    <t>PNW A1</t>
  </si>
  <si>
    <t>PNW A2</t>
  </si>
  <si>
    <t>PNW A3</t>
  </si>
  <si>
    <t>PNW B1</t>
  </si>
  <si>
    <t>PNW B2</t>
  </si>
  <si>
    <t>PNW B3</t>
  </si>
  <si>
    <t>PNW C1</t>
  </si>
  <si>
    <t>Comp Average</t>
  </si>
  <si>
    <t>Move In/1X</t>
  </si>
  <si>
    <t>Application</t>
  </si>
  <si>
    <t>Pet 1x</t>
  </si>
  <si>
    <t>Storage</t>
  </si>
  <si>
    <t>Valet Trash</t>
  </si>
  <si>
    <t>Tech Package (includes Managed Wifi &amp; Smart Home)</t>
  </si>
  <si>
    <t>Pet monthly</t>
  </si>
  <si>
    <t>Total Other Income</t>
  </si>
  <si>
    <t>1GB fiber internet, smart homes include smart locks, light fixtures</t>
  </si>
  <si>
    <t>EV Capable Garage:</t>
  </si>
  <si>
    <t>Modern Craftsman Ten Mile</t>
  </si>
  <si>
    <t xml:space="preserve">&lt;&lt; Not on Costar or AptIQ so based on </t>
  </si>
  <si>
    <t>Tax Study Inputs</t>
  </si>
  <si>
    <t>Ongoing Tax Rate Growth</t>
  </si>
  <si>
    <t>Direct Assessment Growth</t>
  </si>
  <si>
    <t>Under Construction Years</t>
  </si>
  <si>
    <t>Most Probable Case</t>
  </si>
  <si>
    <t>Actual</t>
  </si>
  <si>
    <t>Actual/Forecast</t>
  </si>
  <si>
    <t>Forecast</t>
  </si>
  <si>
    <t>Proforma</t>
  </si>
  <si>
    <t>Tax Year</t>
  </si>
  <si>
    <t>Assessment Year</t>
  </si>
  <si>
    <t>Year Stabilized</t>
  </si>
  <si>
    <t>X</t>
  </si>
  <si>
    <t>% Construction Complete</t>
  </si>
  <si>
    <t>Land Assessed Value</t>
  </si>
  <si>
    <t>Imp Assessed Value</t>
  </si>
  <si>
    <t>Total Assessed Value</t>
  </si>
  <si>
    <t>Assessed Value/Units</t>
  </si>
  <si>
    <t>RE Tax Growth</t>
  </si>
  <si>
    <t>RE Tax Rate</t>
  </si>
  <si>
    <t>RE Taxes</t>
  </si>
  <si>
    <t>Total Real Property Tax</t>
  </si>
  <si>
    <t>Real Property Tax/Unit</t>
  </si>
  <si>
    <t>As-If Assessed Value</t>
  </si>
  <si>
    <t>As-If Property Taxes</t>
  </si>
  <si>
    <t>Tax History</t>
  </si>
  <si>
    <t>Parcel #</t>
  </si>
  <si>
    <t>Land Value</t>
  </si>
  <si>
    <t>Improvements Value</t>
  </si>
  <si>
    <t>Total Taxable Value</t>
  </si>
  <si>
    <t>Total Tax</t>
  </si>
  <si>
    <t>28050100400600</t>
  </si>
  <si>
    <t>28050100300100</t>
  </si>
  <si>
    <t>28050100300200</t>
  </si>
  <si>
    <t>28050100300500</t>
  </si>
  <si>
    <t>28050100402800</t>
  </si>
  <si>
    <t>28050100402700</t>
  </si>
  <si>
    <t>DEVELOPMENT COSTS</t>
  </si>
  <si>
    <t>AD VALOREM TAXES (Capitalized)</t>
  </si>
  <si>
    <t>ARCHITECTURE &amp; ENGINEERING</t>
  </si>
  <si>
    <t>WEST COAST EMBLEM A&amp;E INPUTS</t>
  </si>
  <si>
    <t>Hard Cost / NRSF</t>
  </si>
  <si>
    <t>Hard Cost / Home</t>
  </si>
  <si>
    <t>Acct Code</t>
  </si>
  <si>
    <t>/NRSF</t>
  </si>
  <si>
    <t>@ JV Close</t>
  </si>
  <si>
    <t>Prior to Constr.</t>
  </si>
  <si>
    <t>Post Constr. Start</t>
  </si>
  <si>
    <t>LPAS New Modules</t>
  </si>
  <si>
    <t>Deal Specific Inputs</t>
  </si>
  <si>
    <t>Per Input</t>
  </si>
  <si>
    <t>Original Emblem A&amp;E Calc.</t>
  </si>
  <si>
    <t>Capitalized Ad Valorem Taxes</t>
  </si>
  <si>
    <t>New Apartment Module 100% (SDs thru CDs)</t>
  </si>
  <si>
    <t>Construction Admin</t>
  </si>
  <si>
    <t>New Apartment Module 60% (SDs thru CDs)</t>
  </si>
  <si>
    <t>Architect</t>
  </si>
  <si>
    <t xml:space="preserve">Architect / MEP / Structural </t>
  </si>
  <si>
    <t>New Passthrough Apartment Module 30% (SDs thru CDs)</t>
  </si>
  <si>
    <t>Structural</t>
  </si>
  <si>
    <t>CONTINGENCY</t>
  </si>
  <si>
    <t>Interior Design</t>
  </si>
  <si>
    <t>New Clubhouse (SDs thru CDs)</t>
  </si>
  <si>
    <t>MEP</t>
  </si>
  <si>
    <t>Soft Cost</t>
  </si>
  <si>
    <t>Applied to Total Project Cost less Hard Costs and Land Purchase Price.</t>
  </si>
  <si>
    <t>Architectual Reimbursables (Included in L11)</t>
  </si>
  <si>
    <t>New Apartment Elevation Scheme</t>
  </si>
  <si>
    <t>Site Visits</t>
  </si>
  <si>
    <t>Hard Cost</t>
  </si>
  <si>
    <t>Applied to Hard Costs.</t>
  </si>
  <si>
    <t>Accesibility Consultant</t>
  </si>
  <si>
    <t>New Clubhouse Elevation Scheme</t>
  </si>
  <si>
    <t>5Q Design &amp; Onboarding</t>
  </si>
  <si>
    <t>New Other Structures</t>
  </si>
  <si>
    <t>Jurisdictional Transfer</t>
  </si>
  <si>
    <t>Owner Direct A&amp;E</t>
  </si>
  <si>
    <t>LPAS Site Specific PreDev</t>
  </si>
  <si>
    <t>Architecture - Clubhouse</t>
  </si>
  <si>
    <t>Testing &amp; Inspections</t>
  </si>
  <si>
    <t>Site Plans, Zoning/Code Review, CAD prep</t>
  </si>
  <si>
    <t>Architecture - Apartments</t>
  </si>
  <si>
    <t>Other A&amp;E Consultants</t>
  </si>
  <si>
    <t>High Res Renderings (per view)</t>
  </si>
  <si>
    <t>Structural - Clubhouse</t>
  </si>
  <si>
    <t>Quarterra Reimbursables</t>
  </si>
  <si>
    <t>Green Folder Pricing Set</t>
  </si>
  <si>
    <t>Structural - Apartments</t>
  </si>
  <si>
    <t>FURNITURE, FIXTURES &amp; EQUIPMENT</t>
  </si>
  <si>
    <t>Zoning and Entitlement Services</t>
  </si>
  <si>
    <t>MEP - Clubhouse</t>
  </si>
  <si>
    <t>Initial CF</t>
  </si>
  <si>
    <t>First Month</t>
  </si>
  <si>
    <t>Last Month</t>
  </si>
  <si>
    <t>Site Electrical &amp; Utility Coordination</t>
  </si>
  <si>
    <t>MEP - Apartments</t>
  </si>
  <si>
    <t>LPAS Site Specific CDs &amp; IFC Sets</t>
  </si>
  <si>
    <t>Energy Consultant</t>
  </si>
  <si>
    <t>Photometric Study</t>
  </si>
  <si>
    <t>Accessories &amp; Art</t>
  </si>
  <si>
    <t>Clubhouse / Other</t>
  </si>
  <si>
    <t>Fitness</t>
  </si>
  <si>
    <t>Input as Total</t>
  </si>
  <si>
    <t>Plan Check</t>
  </si>
  <si>
    <t>Freight</t>
  </si>
  <si>
    <t>Prescriptive</t>
  </si>
  <si>
    <t>Installation</t>
  </si>
  <si>
    <t xml:space="preserve">Re-use Fee / Home </t>
  </si>
  <si>
    <t>Technology &amp; Network Equipment</t>
  </si>
  <si>
    <t>START-UP EXPENSES &amp; MARKETING</t>
  </si>
  <si>
    <t>Months of OPEX Prior to First Units:</t>
  </si>
  <si>
    <t>Construction Phase Services</t>
  </si>
  <si>
    <t>National WiFi</t>
  </si>
  <si>
    <t>Amount of OPEX Prior to First Units:</t>
  </si>
  <si>
    <t>CA</t>
  </si>
  <si>
    <t>Lounge</t>
  </si>
  <si>
    <t>Assumed # Trips</t>
  </si>
  <si>
    <t>Maintenance Equipment</t>
  </si>
  <si>
    <t>Other Costs</t>
  </si>
  <si>
    <t>Clubhouse</t>
  </si>
  <si>
    <t>Office Equipment</t>
  </si>
  <si>
    <t>Additional Costs</t>
  </si>
  <si>
    <t>Model Unit - A1</t>
  </si>
  <si>
    <t>Model Unit - A2</t>
  </si>
  <si>
    <t>Maintenance Supplies</t>
  </si>
  <si>
    <t>DD TOTAL (Include in Land &amp; Acquisition)</t>
  </si>
  <si>
    <t>Model Unit - B1</t>
  </si>
  <si>
    <t>Model Unit - B2</t>
  </si>
  <si>
    <t>Leasing &amp; Marketing Start-Up</t>
  </si>
  <si>
    <t>TOTAL A&amp;E (Less DD Total)</t>
  </si>
  <si>
    <t>Parcel Pending / Laundry Valet Equipment</t>
  </si>
  <si>
    <t>stlt. Wall Costs</t>
  </si>
  <si>
    <t>Pool/Outdoor Furniture</t>
  </si>
  <si>
    <t>Pre-Leasing Efforts</t>
  </si>
  <si>
    <t>Purchasing</t>
  </si>
  <si>
    <t>Advertising Costs</t>
  </si>
  <si>
    <t>Sales Tax</t>
  </si>
  <si>
    <t>Marketing Agency Deliverables</t>
  </si>
  <si>
    <t>Signage</t>
  </si>
  <si>
    <t>Outreach &amp; Misc. Marketing</t>
  </si>
  <si>
    <t>EV Charging Stations</t>
  </si>
  <si>
    <t>Other - Non Advertising</t>
  </si>
  <si>
    <t>Trash Compactor</t>
  </si>
  <si>
    <t>90-Day Pre-Leasing Strategy</t>
  </si>
  <si>
    <t>Contingency</t>
  </si>
  <si>
    <t>First Year OPEX Supplement</t>
  </si>
  <si>
    <t>stlt. Lounge</t>
  </si>
  <si>
    <t>stlt. Fit</t>
  </si>
  <si>
    <t>stlt. Co-Working</t>
  </si>
  <si>
    <t>Initial CF:</t>
  </si>
  <si>
    <t>WORKING CAPITAL</t>
  </si>
  <si>
    <t>General Contractor's Fee</t>
  </si>
  <si>
    <t>Lennar is GC?</t>
  </si>
  <si>
    <t>YES</t>
  </si>
  <si>
    <t>Construction Management Fee</t>
  </si>
  <si>
    <t>as % of Hard Costs</t>
  </si>
  <si>
    <t>Hard Costs Residential</t>
  </si>
  <si>
    <t>DEFICITS</t>
  </si>
  <si>
    <t>Water Only</t>
  </si>
  <si>
    <t>Sub-meters &amp; Lennar Pre-Con Fees</t>
  </si>
  <si>
    <t>OCIP Credits to GMP</t>
  </si>
  <si>
    <t>HCOGMP</t>
  </si>
  <si>
    <t>Garages</t>
  </si>
  <si>
    <t>COMMERCIAL</t>
  </si>
  <si>
    <t>Subtotal Hard Costs</t>
  </si>
  <si>
    <t>Construction Management (CM) Fee</t>
  </si>
  <si>
    <t>Subtotal (as of Input Date)</t>
  </si>
  <si>
    <t>DEVELOPMENT COSTS (continued)</t>
  </si>
  <si>
    <t>LAND &amp; ACQUISITION COSTS</t>
  </si>
  <si>
    <t>PERMITS &amp; FEES</t>
  </si>
  <si>
    <t>Brokerage Fee</t>
  </si>
  <si>
    <r>
      <rPr>
        <b/>
        <i/>
        <sz val="11"/>
        <color rgb="FF003300"/>
        <rFont val="Calibri"/>
        <family val="2"/>
        <scheme val="minor"/>
      </rPr>
      <t>Note:</t>
    </r>
    <r>
      <rPr>
        <i/>
        <sz val="11"/>
        <color rgb="FF003300"/>
        <rFont val="Calibri"/>
        <family val="2"/>
        <scheme val="minor"/>
      </rPr>
      <t xml:space="preserve"> Deposits are not included in subtotal.</t>
    </r>
  </si>
  <si>
    <t>Carry Cost Termination Milestone</t>
  </si>
  <si>
    <t>Carry Cost Rate (%)</t>
  </si>
  <si>
    <r>
      <t>Ad Valorem Taxes (</t>
    </r>
    <r>
      <rPr>
        <i/>
        <sz val="9.9"/>
        <color theme="1"/>
        <rFont val="Calibri"/>
        <family val="2"/>
      </rPr>
      <t>if land closes prior to JV</t>
    </r>
    <r>
      <rPr>
        <sz val="11"/>
        <color theme="1"/>
        <rFont val="Calibri"/>
        <family val="2"/>
        <scheme val="minor"/>
      </rPr>
      <t>)</t>
    </r>
  </si>
  <si>
    <t>Appraisal</t>
  </si>
  <si>
    <t>Initial Deposit</t>
  </si>
  <si>
    <t>Additional Deposit</t>
  </si>
  <si>
    <t>Approvals Deposit</t>
  </si>
  <si>
    <t>Contract Extension Deposit</t>
  </si>
  <si>
    <t>FMB Carry Cost</t>
  </si>
  <si>
    <t>Carry Costs - Earnest Money Deposits</t>
  </si>
  <si>
    <t>Due Diligence / Feasibility Studies</t>
  </si>
  <si>
    <t>Land Purchase Price</t>
  </si>
  <si>
    <t>Legal Fees</t>
  </si>
  <si>
    <t>Other-</t>
  </si>
  <si>
    <t>OVERHEAD &amp; ADMINISTRATION</t>
  </si>
  <si>
    <t>FINANCING</t>
  </si>
  <si>
    <t>Deal Structure:</t>
  </si>
  <si>
    <t>Each</t>
  </si>
  <si>
    <t>Equity Commitment Fees</t>
  </si>
  <si>
    <t>Development Fee on "Application" Costs:</t>
  </si>
  <si>
    <t>Application:</t>
  </si>
  <si>
    <t>Equity Broker Fees</t>
  </si>
  <si>
    <t>Construction Loan Legal</t>
  </si>
  <si>
    <t>Construction Loan Commitment Fee</t>
  </si>
  <si>
    <t>Debt Broker Fees</t>
  </si>
  <si>
    <t>Mezzanine Loan Legal</t>
  </si>
  <si>
    <t>JV TPC</t>
  </si>
  <si>
    <t>Mezzanine Loan Commitment Fee</t>
  </si>
  <si>
    <t>Inspection Fees</t>
  </si>
  <si>
    <t>Construction Loan Extension Fees</t>
  </si>
  <si>
    <t>INSURANCE</t>
  </si>
  <si>
    <t>% Hard Costs</t>
  </si>
  <si>
    <t>Overhead &amp; Admin. Fees</t>
  </si>
  <si>
    <t>General Liability (GL)</t>
  </si>
  <si>
    <t>Pollution Legal Liability (PLL)</t>
  </si>
  <si>
    <t>Builder's Risk</t>
  </si>
  <si>
    <t>TOTAL PROJECT COSTS</t>
  </si>
  <si>
    <t>GROWTH RATES</t>
  </si>
  <si>
    <t>GROWTH RATES (Monthly)</t>
  </si>
  <si>
    <t>Market Rent Growth / Month</t>
  </si>
  <si>
    <t>BMR Rent Growth / Month</t>
  </si>
  <si>
    <t>Other Income Growth / Month</t>
  </si>
  <si>
    <t>Expense Growth / Month</t>
  </si>
  <si>
    <t>Property Tax Growth / Month</t>
  </si>
  <si>
    <t>Hard Cost Growth / Month</t>
  </si>
  <si>
    <t>Dates of Revenue Growth</t>
  </si>
  <si>
    <t>Pre-Start Market Rent Growth</t>
  </si>
  <si>
    <t>Pre-Start BMR Growth</t>
  </si>
  <si>
    <t>Pre-Start Other Income Growth</t>
  </si>
  <si>
    <t>Dates of Expense Growth</t>
  </si>
  <si>
    <t>Pre-Start Expense Growth</t>
  </si>
  <si>
    <t>Dates of Hard Cost Growth</t>
  </si>
  <si>
    <t>Pre-Start Hard Cost Growth</t>
  </si>
  <si>
    <t>HC Adjustment for In-Place ROC</t>
  </si>
  <si>
    <t>OPEX Adjustment for In-Place ROC</t>
  </si>
  <si>
    <t>Tax Adjustment for In-Place ROC</t>
  </si>
  <si>
    <t>HC Growth To JV</t>
  </si>
  <si>
    <t>Hard Cost Pre-Start Growth =</t>
  </si>
  <si>
    <t>CONSTRUCTION CURVES</t>
  </si>
  <si>
    <t>Curve</t>
  </si>
  <si>
    <t>Note: When manually updating the curve, 'Ungroup' the curve by pressing the plus sign above column AD.</t>
  </si>
  <si>
    <t>Period</t>
  </si>
  <si>
    <t>Cum Frac</t>
  </si>
  <si>
    <t>Emblem Original</t>
  </si>
  <si>
    <t>Emblem Original + THs</t>
  </si>
  <si>
    <t>Townhomes</t>
  </si>
  <si>
    <t>THs - No Clubhouse</t>
  </si>
  <si>
    <t>Fixed A&amp;E Inputs</t>
  </si>
  <si>
    <t>Consultant</t>
  </si>
  <si>
    <t>Due Diligence</t>
  </si>
  <si>
    <t>SD</t>
  </si>
  <si>
    <t>DD</t>
  </si>
  <si>
    <t>CD</t>
  </si>
  <si>
    <t>OTHER</t>
  </si>
  <si>
    <t>Projected Final</t>
  </si>
  <si>
    <t>Comments</t>
  </si>
  <si>
    <t>Fixed Input</t>
  </si>
  <si>
    <t>Civil Engineer</t>
  </si>
  <si>
    <t>Range of $175K to $250K excluding Survey carried separately</t>
  </si>
  <si>
    <t>Surveying + Final ALTA</t>
  </si>
  <si>
    <t>Based on Kimley-Horn estimate</t>
  </si>
  <si>
    <t>Geotechnical Engineer</t>
  </si>
  <si>
    <t>Assumes we use seller Geotech with reliance on existing report</t>
  </si>
  <si>
    <t>Landscape Architect</t>
  </si>
  <si>
    <t>INPUT</t>
  </si>
  <si>
    <t>Total:</t>
  </si>
  <si>
    <t>Geotechnical Engineer - Construction Monitoring</t>
  </si>
  <si>
    <t>Based on Carlson Contract for Bend</t>
  </si>
  <si>
    <t>Special Inspections - (Building/Envelope/SWPPP)</t>
  </si>
  <si>
    <t xml:space="preserve">Environmental Engineer - Construction Monitoring </t>
  </si>
  <si>
    <t>Assume none needed for Garden</t>
  </si>
  <si>
    <t>Site Security - Construction Monitoring</t>
  </si>
  <si>
    <t>Aligned with Historical and Bend Buyout</t>
  </si>
  <si>
    <t>Fire Alarm - (Assume Design-Build Under GC)</t>
  </si>
  <si>
    <t>DB Scope but holding $ for support</t>
  </si>
  <si>
    <t>Fire Sprinkler - (Assume Design-Build Under GC)</t>
  </si>
  <si>
    <t>Pool - (Assume Design-Build Under GC)</t>
  </si>
  <si>
    <t>Traffic Engineer &amp; Street Lighting Design</t>
  </si>
  <si>
    <t>Based on Kimley-Horn Estimate</t>
  </si>
  <si>
    <t>Dry Utilities</t>
  </si>
  <si>
    <t>Historical</t>
  </si>
  <si>
    <t>Acoustical</t>
  </si>
  <si>
    <t>Part of base design but holding $ for one off Qs</t>
  </si>
  <si>
    <t>Envelope</t>
  </si>
  <si>
    <t>Shoring</t>
  </si>
  <si>
    <t>Likely not required for Garden</t>
  </si>
  <si>
    <t>Environmental Engineer</t>
  </si>
  <si>
    <t>Assumes site receives clean Phase I</t>
  </si>
  <si>
    <t>Wetland Consultant</t>
  </si>
  <si>
    <t>N/A site is infill upland location</t>
  </si>
  <si>
    <t>Arborist</t>
  </si>
  <si>
    <t>N/A site is already baren</t>
  </si>
  <si>
    <t>AV Design</t>
  </si>
  <si>
    <t>Already designed so ROM for any coordination needed above and beyond normal</t>
  </si>
  <si>
    <t>Cultural Resources</t>
  </si>
  <si>
    <t>Assume not required given market and location</t>
  </si>
  <si>
    <t>Misc Low Volt</t>
  </si>
  <si>
    <t>Add $ if/as needed</t>
  </si>
  <si>
    <t>Permit Expediter</t>
  </si>
  <si>
    <t>Historic</t>
  </si>
  <si>
    <t>Sustainability/Green Cert./NGBS</t>
  </si>
  <si>
    <t>&lt;&lt;Add $18k if outside Puget Sound</t>
  </si>
  <si>
    <t>Telecom Legal</t>
  </si>
  <si>
    <t>Travel</t>
  </si>
  <si>
    <t>&lt;&lt;Add $10k if outside Puget Sound</t>
  </si>
  <si>
    <t>Entertainment</t>
  </si>
  <si>
    <t>Community Engagement</t>
  </si>
  <si>
    <t>GMP Details</t>
  </si>
  <si>
    <t>Reconciled Amount</t>
  </si>
  <si>
    <t>GMP Underwriting</t>
  </si>
  <si>
    <t>UOM</t>
  </si>
  <si>
    <t>General Conditions</t>
  </si>
  <si>
    <t>Sitework + Paving</t>
  </si>
  <si>
    <t>Landscaping</t>
  </si>
  <si>
    <t xml:space="preserve">Exterior Amenity </t>
  </si>
  <si>
    <t>Garden Apartments (Vertical)</t>
  </si>
  <si>
    <t>Count</t>
  </si>
  <si>
    <t xml:space="preserve">Ancillary </t>
  </si>
  <si>
    <t>Retail Site Prep</t>
  </si>
  <si>
    <t>Land Area</t>
  </si>
  <si>
    <t>Offsites</t>
  </si>
  <si>
    <t>Const. Contingency</t>
  </si>
  <si>
    <t xml:space="preserve">Tax. </t>
  </si>
  <si>
    <t>Fee</t>
  </si>
  <si>
    <t>GeoGrid</t>
  </si>
  <si>
    <t>GMP Total</t>
  </si>
  <si>
    <t>&lt;&lt;Overridden at $205/NRSF per Matlock Assumption</t>
  </si>
  <si>
    <t>Project Information</t>
  </si>
  <si>
    <t>Total $/Unit</t>
  </si>
  <si>
    <t>Pricing Date</t>
  </si>
  <si>
    <t>Total $/NRSF</t>
  </si>
  <si>
    <t>Unit Avg SF</t>
  </si>
  <si>
    <t>Total Site Area</t>
  </si>
  <si>
    <t>TH Site Area</t>
  </si>
  <si>
    <t>Retail Site Area</t>
  </si>
  <si>
    <t>TH Unit Count</t>
  </si>
  <si>
    <t>Count of Garage Stalls</t>
  </si>
  <si>
    <t>Months</t>
  </si>
  <si>
    <t>UOM Calculations</t>
  </si>
  <si>
    <t>Sitework + Paving / Unit</t>
  </si>
  <si>
    <t>Landscaping / Unit</t>
  </si>
  <si>
    <t>Vertical / NRSF</t>
  </si>
  <si>
    <t>GCs / Mo</t>
  </si>
  <si>
    <t>$ / Garage Stall</t>
  </si>
  <si>
    <t>% GC Contingency</t>
  </si>
  <si>
    <t>% Tax</t>
  </si>
  <si>
    <t>% Fee</t>
  </si>
  <si>
    <t>Line item breakdown is rough estimate from GMP as SOV is not broken out in the same way; Better to use all up number vs line items</t>
  </si>
  <si>
    <t>Other Hard Cost Details</t>
  </si>
  <si>
    <t>Sales Tax %</t>
  </si>
  <si>
    <t>&lt;&lt;Taxes included in ROM, tax burden falls on subcontractors and thus is baked into pricing.</t>
  </si>
  <si>
    <t>OCIP Credit as % of GMP</t>
  </si>
  <si>
    <t>Include</t>
  </si>
  <si>
    <t>Flat Roof Upgrade</t>
  </si>
  <si>
    <t>Exterior Materials Upgrade</t>
  </si>
  <si>
    <t>TOTAL HCOGMP</t>
  </si>
  <si>
    <t>Permit &amp; Fee Details</t>
  </si>
  <si>
    <t>Permit Fees</t>
  </si>
  <si>
    <t>https://www.cityofboise.org/media/17652/final-boise-city-building-code-fee-schedule-10-1-23.pdf</t>
  </si>
  <si>
    <t>Review Fees</t>
  </si>
  <si>
    <t>Impact Fees</t>
  </si>
  <si>
    <t>Connection Charges</t>
  </si>
  <si>
    <t>Power Co Fees</t>
  </si>
  <si>
    <t>Total Permits &amp; Fees</t>
  </si>
  <si>
    <t>Tech Fee %</t>
  </si>
  <si>
    <t>Amount</t>
  </si>
  <si>
    <t>Total w/ Tech Fee</t>
  </si>
  <si>
    <t>Tech Fee?</t>
  </si>
  <si>
    <t>Building permit</t>
  </si>
  <si>
    <t>Y</t>
  </si>
  <si>
    <t>Fire Alam</t>
  </si>
  <si>
    <t>Grading</t>
  </si>
  <si>
    <t>Mechanical</t>
  </si>
  <si>
    <t>Plumbing</t>
  </si>
  <si>
    <t>&lt;Input&gt;</t>
  </si>
  <si>
    <t>Total Permit &amp; Fees</t>
  </si>
  <si>
    <t>Land Use &amp; Review Fees</t>
  </si>
  <si>
    <t>Adjustment</t>
  </si>
  <si>
    <t>Permit Review Fees</t>
  </si>
  <si>
    <t>Plan review</t>
  </si>
  <si>
    <t>Fire Alarm Permit Review</t>
  </si>
  <si>
    <t>Mechanical Review</t>
  </si>
  <si>
    <t>Plumbing review</t>
  </si>
  <si>
    <t>Site Civil Review</t>
  </si>
  <si>
    <t>Land Use Fees</t>
  </si>
  <si>
    <t>Pre-Application</t>
  </si>
  <si>
    <t>Administrative Design Review</t>
  </si>
  <si>
    <t>Critical Areas Review</t>
  </si>
  <si>
    <t>SEPA</t>
  </si>
  <si>
    <t>HPA Permit</t>
  </si>
  <si>
    <t>Site Development Plan</t>
  </si>
  <si>
    <t>SEPA Review</t>
  </si>
  <si>
    <t>BLA</t>
  </si>
  <si>
    <t>Misc/Other</t>
  </si>
  <si>
    <t>Total Review Fees</t>
  </si>
  <si>
    <t>School</t>
  </si>
  <si>
    <t>Parks - &lt;895 SF</t>
  </si>
  <si>
    <t>Parks - 896 - 1,141 SF</t>
  </si>
  <si>
    <t>Parks - 1,142 - 1,1386 SF</t>
  </si>
  <si>
    <t>Transportation</t>
  </si>
  <si>
    <t>Total Impact Fees</t>
  </si>
  <si>
    <t>Per Bldg Charge</t>
  </si>
  <si>
    <t>Quantity/Buildings</t>
  </si>
  <si>
    <t>Water</t>
  </si>
  <si>
    <t>Irrigation</t>
  </si>
  <si>
    <t>1" Meter</t>
  </si>
  <si>
    <t>Capital Facility fee</t>
  </si>
  <si>
    <t>Drop In Fees</t>
  </si>
  <si>
    <t>Clubhouse Meter</t>
  </si>
  <si>
    <t>Multifamily</t>
  </si>
  <si>
    <t>2" Meter</t>
  </si>
  <si>
    <t>Sewer</t>
  </si>
  <si>
    <t>2" Connection - CC Trunkline Spec Dev Fee</t>
  </si>
  <si>
    <t>2" Capital Facility Fee</t>
  </si>
  <si>
    <t>2" Sewer Service Connection Fee</t>
  </si>
  <si>
    <t>Stormwater &amp; Environmental</t>
  </si>
  <si>
    <t>Wetland Mitigation</t>
  </si>
  <si>
    <t>Infiltration via stormwater pond</t>
  </si>
  <si>
    <t>Total Connection Charges</t>
  </si>
  <si>
    <t>Power Company Fees</t>
  </si>
  <si>
    <t>Power Company</t>
  </si>
  <si>
    <t>Franchise Utilites</t>
  </si>
  <si>
    <t>Total Power Fees</t>
  </si>
  <si>
    <t>Permit &amp; Other</t>
  </si>
  <si>
    <t>Building Permit Fees</t>
  </si>
  <si>
    <t>Plan</t>
  </si>
  <si>
    <t>City and Parks SDCs</t>
  </si>
  <si>
    <t>Estimated Fees</t>
  </si>
  <si>
    <t>Utility SDCs</t>
  </si>
  <si>
    <t>SUMMARY</t>
  </si>
  <si>
    <t>Consolidated Impact Fees</t>
  </si>
  <si>
    <t>Utility Connections</t>
  </si>
  <si>
    <t>Permit  Fees</t>
  </si>
  <si>
    <t>Notes/Assumptions</t>
  </si>
  <si>
    <t>Building Permits</t>
  </si>
  <si>
    <t>Based on March 2026 published version of the Multifamily permit and fee calculator (250 units at 270000 GSF)</t>
  </si>
  <si>
    <t>Fire Spinkler</t>
  </si>
  <si>
    <t>Covered under Building Permit</t>
  </si>
  <si>
    <t>Grading Permits</t>
  </si>
  <si>
    <t>Electrical Permits</t>
  </si>
  <si>
    <t>Mechanical Permits</t>
  </si>
  <si>
    <t>Plumbing Permits</t>
  </si>
  <si>
    <t>Offsite Permitting</t>
  </si>
  <si>
    <t>None anticipated</t>
  </si>
  <si>
    <t>Total Permit Fees</t>
  </si>
  <si>
    <t>Land Use &amp; Plan Review Fees</t>
  </si>
  <si>
    <t>Building Plan Review</t>
  </si>
  <si>
    <t>65% of Building permit fee</t>
  </si>
  <si>
    <t>Fire Plan Review (combined)</t>
  </si>
  <si>
    <t>30% of Building permit fee</t>
  </si>
  <si>
    <t>Grading Plan Review</t>
  </si>
  <si>
    <t>Covered under Building Plan Review</t>
  </si>
  <si>
    <t>Electrical Plan Review</t>
  </si>
  <si>
    <t>Mechanical Plan Review</t>
  </si>
  <si>
    <t>Misc Land Development Fees</t>
  </si>
  <si>
    <t>See Land Development Calculator</t>
  </si>
  <si>
    <t>Sewer Review Fee</t>
  </si>
  <si>
    <t>N/A</t>
  </si>
  <si>
    <t>Site Plan Review and Landscape Plans</t>
  </si>
  <si>
    <t>Pre-App</t>
  </si>
  <si>
    <t>Steep Slope</t>
  </si>
  <si>
    <t>Utility Extension Request</t>
  </si>
  <si>
    <t>ROM</t>
  </si>
  <si>
    <t>Traffic Report Preparation?</t>
  </si>
  <si>
    <t>Conditional Use Permit</t>
  </si>
  <si>
    <t>Plat</t>
  </si>
  <si>
    <t>DA modification</t>
  </si>
  <si>
    <t>Total Land Use &amp; Plan Review Fees</t>
  </si>
  <si>
    <t>Not applicable, schools not allowed to charge impact fees per state law</t>
  </si>
  <si>
    <t>Regional Parks</t>
  </si>
  <si>
    <t>Not applicable, only applies at the city level per below</t>
  </si>
  <si>
    <t>Local Parks</t>
  </si>
  <si>
    <t>Fire</t>
  </si>
  <si>
    <t>Police</t>
  </si>
  <si>
    <t>ACHD Impact Schedule per Ordinance 254; assumed same escalation per Single Family Attached at old mult rate</t>
  </si>
  <si>
    <t>Need to submit a formal assessment once under PSA</t>
  </si>
  <si>
    <t>Impact Fee Surcharge</t>
  </si>
  <si>
    <t>Potential Jail Fee @ County Leel (ROM)</t>
  </si>
  <si>
    <t>https://boisedev.com/news/2025/09/29/ada-co-asking-cities-to-collect-impact-fees/</t>
  </si>
  <si>
    <t>Water Assessement (Domestic)</t>
  </si>
  <si>
    <t>Water Assement (Irrigation)</t>
  </si>
  <si>
    <t>Domestic Water Meter Fees</t>
  </si>
  <si>
    <t>Assumes 8 X 2" meters per Multifamily permit and fee calculator (250 units at 270000 GSF)</t>
  </si>
  <si>
    <t>Irrigation Water Meter Fees</t>
  </si>
  <si>
    <t>Assumes 2X 1.5" meters per Multifamily permit and fee calculator (250 units at 270000 GSF)</t>
  </si>
  <si>
    <t>&lt;&lt;Need to confirm the water utility here</t>
  </si>
  <si>
    <t>Sewer Assessment</t>
  </si>
  <si>
    <t>ROM public works and other fees</t>
  </si>
  <si>
    <t>Storm Charge</t>
  </si>
  <si>
    <t>Confirmed not applicable</t>
  </si>
  <si>
    <t>Other + Escalation</t>
  </si>
  <si>
    <t>Escalation</t>
  </si>
  <si>
    <t>Fee Information</t>
  </si>
  <si>
    <t>https://meridiancity.org/community-development/building/fee-schedules-calculators-estimating/</t>
  </si>
  <si>
    <t>https://www.achdidaho.org/projects/development-resources/impact-fees</t>
  </si>
  <si>
    <t>https://www.achdidaho.org/home/showpublisheddocument/1814/639016553744230000</t>
  </si>
  <si>
    <t>&lt;&lt;Note new methodology for multifamily</t>
  </si>
  <si>
    <t>https://www.achdidaho.org/home/showpublisheddocument/344/638367661826800000</t>
  </si>
  <si>
    <t>https://meridiancity.org/community-development/land/fees/</t>
  </si>
  <si>
    <t>Construction Curves</t>
  </si>
  <si>
    <t>Curve Type</t>
  </si>
  <si>
    <t>PNW Historical</t>
  </si>
  <si>
    <t>Construction Duration Curve</t>
  </si>
  <si>
    <t>Adjust Tails?</t>
  </si>
  <si>
    <t>Define Tail</t>
  </si>
  <si>
    <t>Spread Across</t>
  </si>
  <si>
    <t>Curve Total Check (Input)</t>
  </si>
  <si>
    <t>Curve Total Check (Dev Budget)</t>
  </si>
  <si>
    <t>Modelled Curve</t>
  </si>
  <si>
    <t>Available Curves</t>
  </si>
  <si>
    <t>Standard</t>
  </si>
  <si>
    <t>Smoothed Curve</t>
  </si>
  <si>
    <t>Tail Adjustment</t>
  </si>
  <si>
    <t>Base Tail?</t>
  </si>
  <si>
    <t>Adj. Tail Length</t>
  </si>
  <si>
    <t>Historical Construction Curve - Detailed Inputs</t>
  </si>
  <si>
    <t>PNW Historic Curve Adjustments</t>
  </si>
  <si>
    <t>Curve Input Duration</t>
  </si>
  <si>
    <t>Scale (Old/New)</t>
  </si>
  <si>
    <t>(NOTE: Input historical cost curve starting in cell D46 (Month 1); For formulas to work, do not include any values in cells past the historical data)</t>
  </si>
  <si>
    <t>PNW Historical Average</t>
  </si>
  <si>
    <t>Cumulative</t>
  </si>
  <si>
    <t>New Month</t>
  </si>
  <si>
    <t>Binned Start Date</t>
  </si>
  <si>
    <t>Binned End Date</t>
  </si>
  <si>
    <t>iStart</t>
  </si>
  <si>
    <t>iEnd</t>
  </si>
  <si>
    <t>Cumulative Start</t>
  </si>
  <si>
    <t>Cumulative End</t>
  </si>
  <si>
    <t>New Monthly %</t>
  </si>
  <si>
    <t>Smoothed Construction Curve - Detailed Inputs</t>
  </si>
  <si>
    <t>Curve Inputs - Adjustable</t>
  </si>
  <si>
    <t>Start Month</t>
  </si>
  <si>
    <t>Peak Month</t>
  </si>
  <si>
    <t>Steepness</t>
  </si>
  <si>
    <t>Alpha</t>
  </si>
  <si>
    <t>Beta</t>
  </si>
  <si>
    <t>Weight</t>
  </si>
  <si>
    <t>1-Month SOFR Forward Curve</t>
  </si>
  <si>
    <t>10-Year U.S. Treasury Forward Curve</t>
  </si>
  <si>
    <t>Date Calibration</t>
  </si>
  <si>
    <t>Effective Rate (Constr. Loan)</t>
  </si>
  <si>
    <t>Effective Rate (Perm. Loan)</t>
  </si>
  <si>
    <t>Rate</t>
  </si>
  <si>
    <t>Rate Local</t>
  </si>
  <si>
    <t>Balance</t>
  </si>
  <si>
    <t>Interest</t>
  </si>
  <si>
    <t>Construction Loan Margin:</t>
  </si>
  <si>
    <t>Perm Date:</t>
  </si>
  <si>
    <t>SOFR Floor:</t>
  </si>
  <si>
    <t>SOFR Cap:</t>
  </si>
  <si>
    <t>Margin:</t>
  </si>
  <si>
    <t>Historical 1-Month SOFR Rates</t>
  </si>
  <si>
    <t>Curves Updated as of:</t>
  </si>
  <si>
    <t>Cumulative Project Cost</t>
  </si>
  <si>
    <t>Assessment Month</t>
  </si>
  <si>
    <t>Tax Basis Growth After Final Units</t>
  </si>
  <si>
    <t>Assessment (Default Calculation)</t>
  </si>
  <si>
    <t>Assessment (Optional Override Line)</t>
  </si>
  <si>
    <t>Monthly Tax Burden</t>
  </si>
  <si>
    <t>Monthly Direct Assessments</t>
  </si>
  <si>
    <t>Stabilization Key</t>
  </si>
  <si>
    <t>Monthly Tax Burden (Capitalized)</t>
  </si>
  <si>
    <t>Monthly Tax Burden (Operations)</t>
  </si>
  <si>
    <t>Oregon Land Basis Switch</t>
  </si>
  <si>
    <t>Land Basis to Project Basis</t>
  </si>
  <si>
    <t>Capitalized</t>
  </si>
  <si>
    <t>Operations</t>
  </si>
  <si>
    <t>Cost Code</t>
  </si>
  <si>
    <t>Account Description</t>
  </si>
  <si>
    <t>Contact</t>
  </si>
  <si>
    <t>Email</t>
  </si>
  <si>
    <t>Budget</t>
  </si>
  <si>
    <t>DUE DILIGENCE / FEASIBILITY STUDIES</t>
  </si>
  <si>
    <t>Acoustical Study</t>
  </si>
  <si>
    <t>Aerial Photography</t>
  </si>
  <si>
    <t>Architectural - Density Study / Concept Design</t>
  </si>
  <si>
    <t>Civil - ALTA / Boundary / Topo Survey</t>
  </si>
  <si>
    <t>Civil - Feasibility Study</t>
  </si>
  <si>
    <t>Dry Utility - Feasibility Study</t>
  </si>
  <si>
    <t>Environmental - EIR/MND Consultant</t>
  </si>
  <si>
    <t>Environmental - HAZMAT Survey</t>
  </si>
  <si>
    <t>Environmental - Phase I ESA</t>
  </si>
  <si>
    <t>Environmental - Phase II ESA</t>
  </si>
  <si>
    <t>Fee Study (Planning, Building, Impact, etc.)</t>
  </si>
  <si>
    <t>Geotechnical Investigation</t>
  </si>
  <si>
    <t>Legal - Environmental Review</t>
  </si>
  <si>
    <t>Legal - Land Use Memo</t>
  </si>
  <si>
    <t>Legal - Transaction</t>
  </si>
  <si>
    <t>Market Feasibility Study</t>
  </si>
  <si>
    <t>Political Consultant</t>
  </si>
  <si>
    <t xml:space="preserve">Tax Consultant </t>
  </si>
  <si>
    <t>Traffic Study</t>
  </si>
  <si>
    <t>Reimbursable Expenses</t>
  </si>
  <si>
    <t>Reprographics</t>
  </si>
  <si>
    <t>TOTAL DUE DILIGENCE / FEASIBILITY STUDIES</t>
  </si>
  <si>
    <t>DESIGN AND ENGINEERING SECONDARY CONSULTANTS</t>
  </si>
  <si>
    <t>Acoustical Engineer</t>
  </si>
  <si>
    <t>Addressing</t>
  </si>
  <si>
    <t>Expeditor</t>
  </si>
  <si>
    <t>Façade Access</t>
  </si>
  <si>
    <t xml:space="preserve">Fire &amp; Life Saftey </t>
  </si>
  <si>
    <t>Green Consultant</t>
  </si>
  <si>
    <t>Legal</t>
  </si>
  <si>
    <t>Lighting Design</t>
  </si>
  <si>
    <t>Low Voltage</t>
  </si>
  <si>
    <t>LV Peer Review</t>
  </si>
  <si>
    <t>Potholing</t>
  </si>
  <si>
    <t>Pre-Construction Services</t>
  </si>
  <si>
    <t>SWPP Inspector</t>
  </si>
  <si>
    <t>Waterproofing</t>
  </si>
  <si>
    <t>TOTAL DESIGN AND ENGINEERING SECONDARY CONSULTANTS</t>
  </si>
  <si>
    <t>Costs to Date</t>
  </si>
  <si>
    <t>Remaining</t>
  </si>
  <si>
    <t>Pursuit</t>
  </si>
  <si>
    <t>Costs</t>
  </si>
  <si>
    <t>FRONT MONEY BUDGET</t>
  </si>
  <si>
    <t>Deficits</t>
  </si>
  <si>
    <t>Land &amp; Acquisition Costs</t>
  </si>
  <si>
    <t>Overhead &amp; Administration</t>
  </si>
  <si>
    <t>Start-Up Marketing</t>
  </si>
  <si>
    <t>PROJECT COST</t>
  </si>
  <si>
    <t>CUMULATIVE PROJECT COST</t>
  </si>
  <si>
    <t>CASH CONTRIBUTIONS</t>
  </si>
  <si>
    <t>Lennar Beginning Balance</t>
  </si>
  <si>
    <t>Lennar Contributions</t>
  </si>
  <si>
    <t>Predev Carry</t>
  </si>
  <si>
    <t>Lennar Ending Balance</t>
  </si>
  <si>
    <t>Cumulative Contributions</t>
  </si>
  <si>
    <t>S1</t>
  </si>
  <si>
    <t>T-C</t>
  </si>
  <si>
    <t>T-D</t>
  </si>
  <si>
    <t>T-E</t>
  </si>
  <si>
    <t>T-F</t>
  </si>
  <si>
    <t>T-G</t>
  </si>
  <si>
    <t>Totals</t>
  </si>
  <si>
    <t>UNIT DELIVERY</t>
  </si>
  <si>
    <t>Automated</t>
  </si>
  <si>
    <t>Units BOM (BMR)</t>
  </si>
  <si>
    <t>Unit Delivery (BMR)</t>
  </si>
  <si>
    <t>Units EOM (BMR)</t>
  </si>
  <si>
    <t>Units BOM (Market)</t>
  </si>
  <si>
    <t>Unit Delivery (Market)</t>
  </si>
  <si>
    <t>Units EOM (Market)</t>
  </si>
  <si>
    <t>Units BOM (All)</t>
  </si>
  <si>
    <t>Unit Delivery (All)</t>
  </si>
  <si>
    <t>Unit EOM (All)</t>
  </si>
  <si>
    <t>Cumulative Units Complete (%)</t>
  </si>
  <si>
    <t>Construction Curve</t>
  </si>
  <si>
    <t>Cumulative Construction Complete (%)</t>
  </si>
  <si>
    <t>DEVELOPMENT BUDGET</t>
  </si>
  <si>
    <t>CUMULATIVE</t>
  </si>
  <si>
    <t>Capitalized Removal</t>
  </si>
  <si>
    <t>% Completed</t>
  </si>
  <si>
    <t>Automatic</t>
  </si>
  <si>
    <t>Occupied Units BOM (BMR)</t>
  </si>
  <si>
    <t>Units Absorbed (BMR)</t>
  </si>
  <si>
    <t>Occupied Units EOM (BMR)</t>
  </si>
  <si>
    <t>Occupied Units BOM (Market)</t>
  </si>
  <si>
    <t>Units Absorbed (Market)</t>
  </si>
  <si>
    <t>Occupied Units EOM (Market)</t>
  </si>
  <si>
    <t>Occupied Units BOM (All)</t>
  </si>
  <si>
    <t>Calculates month absorption begins</t>
  </si>
  <si>
    <t>Calculates month absorption ends</t>
  </si>
  <si>
    <t>0 = no absorption; 1 = absorption</t>
  </si>
  <si>
    <t>Units Absorbed (All)</t>
  </si>
  <si>
    <t>Occupied Units EOM (All)</t>
  </si>
  <si>
    <t>EOM Physical Occupancy of Available Units</t>
  </si>
  <si>
    <t>EOM Overall Physical Occupancy</t>
  </si>
  <si>
    <t>Average Occupied Units</t>
  </si>
  <si>
    <t>Average Daily Occupancy</t>
  </si>
  <si>
    <t>REVENUE KEY</t>
  </si>
  <si>
    <t>Project Start</t>
  </si>
  <si>
    <t>BMR Rent Growth</t>
  </si>
  <si>
    <t>Base Below Market Rate (BMR) Rent / Unit</t>
  </si>
  <si>
    <t>Market Rent Growth</t>
  </si>
  <si>
    <t>Base Market Rate (MR) Rent / Unit</t>
  </si>
  <si>
    <t>Amenity Premiums / Unit</t>
  </si>
  <si>
    <t>Base MR Rent &amp; Amenity Premiums / Unit</t>
  </si>
  <si>
    <t>Other Income Growth</t>
  </si>
  <si>
    <t>Monthly Recurring Charges</t>
  </si>
  <si>
    <t>Other Income / Unit / Month</t>
  </si>
  <si>
    <t>REVENUE</t>
  </si>
  <si>
    <t>Base Below Market Rate (BMR) Rent</t>
  </si>
  <si>
    <t>Base Market Rate (MR) Rent</t>
  </si>
  <si>
    <t>Base Rent &amp; Amenity Premiums (MR &amp; BMR)</t>
  </si>
  <si>
    <t>Loss-to-Lease</t>
  </si>
  <si>
    <t>Less: Vacancy &amp; Collection Loss</t>
  </si>
  <si>
    <t>Less: Concessions</t>
  </si>
  <si>
    <t>EFFECTIVE GROSS INCOME (apartments)</t>
  </si>
  <si>
    <t>EFFECTIVE GROSS INCOME (all sources)</t>
  </si>
  <si>
    <t>OPERATING EXPENSES</t>
  </si>
  <si>
    <t>MINIMUM</t>
  </si>
  <si>
    <t>RAMP FACTOR</t>
  </si>
  <si>
    <t>Return on Cost (Trailing 12-Month NOI)</t>
  </si>
  <si>
    <t>LEASE TURNOVER (BMR)</t>
  </si>
  <si>
    <t>Beginning Occupied Units</t>
  </si>
  <si>
    <t>New Leases</t>
  </si>
  <si>
    <t>Total Expirations</t>
  </si>
  <si>
    <t>Move outs</t>
  </si>
  <si>
    <t>Initial Lease-Up</t>
  </si>
  <si>
    <t>Ending Occupied Units</t>
  </si>
  <si>
    <t>LOSS -TO-LEASE (BMR)</t>
  </si>
  <si>
    <t>Total Loss-To-Lease (BMR Units)</t>
  </si>
  <si>
    <t>LEASE TURNOVER (MARKET RATE)</t>
  </si>
  <si>
    <t>LOSS -TO-LEASE (Market Rate Units)</t>
  </si>
  <si>
    <t>Total Loss-To-Lease (Market Rate Units)</t>
  </si>
  <si>
    <t>Expense Calculations</t>
  </si>
  <si>
    <t>Expense Growth</t>
  </si>
  <si>
    <t>General &amp; Administrative</t>
  </si>
  <si>
    <t>Annual Admin Expense - LMC</t>
  </si>
  <si>
    <t>Annual Admin Expense - Other</t>
  </si>
  <si>
    <t>Determines when to begin accrual</t>
  </si>
  <si>
    <t>Monthly Admin Expense</t>
  </si>
  <si>
    <t>Marketing Calculations</t>
  </si>
  <si>
    <t>Annual Marketing Expense - LMC</t>
  </si>
  <si>
    <t>Annual Marketing Expense - Other</t>
  </si>
  <si>
    <t>Monthly Marketing Expense</t>
  </si>
  <si>
    <t>Personnel Calculations</t>
  </si>
  <si>
    <t>Annual Personnel Expense - LMC</t>
  </si>
  <si>
    <t>Annual Personnel Expense - Other</t>
  </si>
  <si>
    <t>Monthly Personnel Expense</t>
  </si>
  <si>
    <t>Repairs &amp; Maintenance Calculations</t>
  </si>
  <si>
    <t>Annual Repairs &amp; Maintenance Expense - LMC</t>
  </si>
  <si>
    <t>Annual REpairs &amp; Maintenance Expense - Other</t>
  </si>
  <si>
    <t>Monthly Repairs &amp; Maintenance Expense</t>
  </si>
  <si>
    <t>Utility Calculations</t>
  </si>
  <si>
    <t>Annual Utility Expense - LMC</t>
  </si>
  <si>
    <t>Annual Utility Expense - Other</t>
  </si>
  <si>
    <t>Monthly Utility Expense</t>
  </si>
  <si>
    <t>Annual Expense - LMC</t>
  </si>
  <si>
    <t>Annual Expense - Other</t>
  </si>
  <si>
    <t>Monthly Expense</t>
  </si>
  <si>
    <t>Insurance Calculations</t>
  </si>
  <si>
    <t>Annual Insurance Expense - LMC</t>
  </si>
  <si>
    <t>Annual Insurance Expense - Other</t>
  </si>
  <si>
    <t>Monthly Insurance Expense</t>
  </si>
  <si>
    <t>Replacement Reserves Calculations</t>
  </si>
  <si>
    <t>Annual Replacement Reserve Expense - LMC</t>
  </si>
  <si>
    <t>Annual Replacement Reserve Expense - Other</t>
  </si>
  <si>
    <t>Monthly Replacement Reserve Expense</t>
  </si>
  <si>
    <t>Annual Other - LMC</t>
  </si>
  <si>
    <t>Annual Other - Other</t>
  </si>
  <si>
    <t>Monthly Other</t>
  </si>
  <si>
    <t/>
  </si>
  <si>
    <t>CONSTRUCTION LOAN DRAWS</t>
  </si>
  <si>
    <t>Beginning Balance</t>
  </si>
  <si>
    <t>Draws</t>
  </si>
  <si>
    <t>Ending Balance</t>
  </si>
  <si>
    <t>CONSTRUCTION LOAN BALANCE</t>
  </si>
  <si>
    <t>Refinance Proceeds</t>
  </si>
  <si>
    <t>PERMANENT LOAN</t>
  </si>
  <si>
    <t>Funded</t>
  </si>
  <si>
    <t>Principal Portion of Debt Service</t>
  </si>
  <si>
    <t>MEZZANINE DRAWS</t>
  </si>
  <si>
    <t>MEZZANINE BALANCE</t>
  </si>
  <si>
    <t>Principal Funded</t>
  </si>
  <si>
    <t>Refi Proceeds</t>
  </si>
  <si>
    <t>Refi Balance</t>
  </si>
  <si>
    <t>Contributions</t>
  </si>
  <si>
    <t>Preference Paid From Cash Flow</t>
  </si>
  <si>
    <t>Refi Proceeds - Cum'l Pref.</t>
  </si>
  <si>
    <t>Refi Proceeds - Principal</t>
  </si>
  <si>
    <t>Beginning</t>
  </si>
  <si>
    <t>REFINANCE PROCEEDS</t>
  </si>
  <si>
    <t>Loan Fees</t>
  </si>
  <si>
    <t>PERMANENT LOAN PROCEEDS</t>
  </si>
  <si>
    <t>TOTAL PROCEEDS</t>
  </si>
  <si>
    <t>Loan Prepayment Penalty - Mezz.</t>
  </si>
  <si>
    <t>REFI PROCEEDS NET OF FEES</t>
  </si>
  <si>
    <t>PROCEEDS NET OF DEBT RETIREMENT</t>
  </si>
  <si>
    <t>DISTRIBUTION</t>
  </si>
  <si>
    <t>CASH DISTRIBUTION</t>
  </si>
  <si>
    <t>Construction Loan Debt Service</t>
  </si>
  <si>
    <t>Permanent Debt Service</t>
  </si>
  <si>
    <t>Mezzanine Debt Service</t>
  </si>
  <si>
    <t>NOI LESS DEBT SERVICE</t>
  </si>
  <si>
    <t>Ground Lease Payments</t>
  </si>
  <si>
    <t>Asset Management Fee</t>
  </si>
  <si>
    <t>CASH FLOW BEFORE FUNDING</t>
  </si>
  <si>
    <t>Operating Deficit</t>
  </si>
  <si>
    <t>DISTRIBUTION FROM OPERATIONS</t>
  </si>
  <si>
    <t>RESIDUAL VALUE CALCULATIONS</t>
  </si>
  <si>
    <t>Debt Retirement Fee</t>
  </si>
  <si>
    <t>Disposition Fee</t>
  </si>
  <si>
    <t>Net Cash to Distribute</t>
  </si>
  <si>
    <t>Joint Venture Cash Flows</t>
  </si>
  <si>
    <t>PRE-PROMOTE CASH FLOWS</t>
  </si>
  <si>
    <t>TIER 1</t>
  </si>
  <si>
    <t>Contributions &amp; Operating Cash</t>
  </si>
  <si>
    <t>NPV at Tier 1</t>
  </si>
  <si>
    <t>FV of NPV Tier 1</t>
  </si>
  <si>
    <t>Multiple Trigger</t>
  </si>
  <si>
    <t>Total Tier 1 Distribution</t>
  </si>
  <si>
    <t>TIER 2</t>
  </si>
  <si>
    <t>NPV at Tier 2</t>
  </si>
  <si>
    <t>FV of NPV Tier 2</t>
  </si>
  <si>
    <t>Total Tier 2 Distribution</t>
  </si>
  <si>
    <t>TIER 3</t>
  </si>
  <si>
    <t>NPV at Tier 3</t>
  </si>
  <si>
    <t>FV of NPV Tier 3</t>
  </si>
  <si>
    <t>Total Tier 3 Distribution</t>
  </si>
  <si>
    <t>RESIDUAL</t>
  </si>
  <si>
    <t>Residual IRR/Cash Flows</t>
  </si>
  <si>
    <t>Total Residual Tier Distribution</t>
  </si>
  <si>
    <t>PROFIT &amp; IRRs</t>
  </si>
  <si>
    <t>Cash From Operations</t>
  </si>
  <si>
    <t>Return OF and ON Equity</t>
  </si>
  <si>
    <t>Cash From Sale</t>
  </si>
  <si>
    <t>CASH FLOWS</t>
  </si>
  <si>
    <t>UNLEVERED IRR</t>
  </si>
  <si>
    <t>NOI (less AM fee paid from CF)</t>
  </si>
  <si>
    <t>Net Proceeds from Sale</t>
  </si>
  <si>
    <t>Unlevered Cash Flow</t>
  </si>
  <si>
    <t>Year Index</t>
  </si>
  <si>
    <t>Ground Lease Portion of Operating Deficit</t>
  </si>
  <si>
    <t>Below the line expenses</t>
  </si>
  <si>
    <t>Co-GP Waterfall</t>
  </si>
  <si>
    <t>Q Contribution</t>
  </si>
  <si>
    <t>Co-GP Contribution</t>
  </si>
  <si>
    <t>RESIDUAL CASH FLOW AFTER PREF FROM OPS</t>
  </si>
  <si>
    <t>Q Preferred Return</t>
  </si>
  <si>
    <t>Equity Contributions</t>
  </si>
  <si>
    <t>Accrual</t>
  </si>
  <si>
    <t>TPG PREF RETIREMENT</t>
  </si>
  <si>
    <t>End Balance</t>
  </si>
  <si>
    <t>TPG Pref Cash Flow Check</t>
  </si>
  <si>
    <t>Co-GP Preferred Return</t>
  </si>
  <si>
    <t>LEN T1 PREF RETIREMENT</t>
  </si>
  <si>
    <t>LEN Pref Cash Flow Check</t>
  </si>
  <si>
    <t>RESIDUAL CASH FLOW</t>
  </si>
  <si>
    <t>Q Residual Distribution</t>
  </si>
  <si>
    <t>Co-GP Residual Distribution</t>
  </si>
  <si>
    <t>Total Residual Distribution</t>
  </si>
  <si>
    <t>Q CASH FLOW</t>
  </si>
  <si>
    <t>Co-GP CASH FLOW</t>
  </si>
  <si>
    <t>SOURCES OF FUNDS</t>
  </si>
  <si>
    <t>USES OF FUNDS</t>
  </si>
  <si>
    <t>EQUITY</t>
  </si>
  <si>
    <t>Subtotal Equity Sources</t>
  </si>
  <si>
    <t>Subtotal Debt Sources</t>
  </si>
  <si>
    <t>GRAND TOTAL SOURCES</t>
  </si>
  <si>
    <t>OPERATING INCOME</t>
  </si>
  <si>
    <t>Mnthly Rent</t>
  </si>
  <si>
    <t>Retail 1</t>
  </si>
  <si>
    <t>PROJECT INCOME</t>
  </si>
  <si>
    <t>Rent/</t>
  </si>
  <si>
    <t>PROJECT GRAND TOTALS</t>
  </si>
  <si>
    <t>Emblem Meridian ROM (5/1)</t>
  </si>
  <si>
    <t>Updated Downside ROM (5/19)</t>
  </si>
  <si>
    <t>256 Unit Est.</t>
  </si>
  <si>
    <t>TH 2</t>
  </si>
  <si>
    <t>TH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</si>
</sst>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7">
    <numFmt numFmtId="5" formatCode="&quot;$&quot;#,##0_);\(&quot;$&quot;#,##0\)"/>
    <numFmt numFmtId="6" formatCode="&quot;$&quot;#,##0_);[Red]\(&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mm/dd/yy;@"/>
    <numFmt numFmtId="165" formatCode="&quot;Mo.&quot;0"/>
    <numFmt numFmtId="166" formatCode="[$-409]mmm\-yy;@"/>
    <numFmt numFmtId="167" formatCode="_(* #,##0_);_(* \(#,##0\);_(* &quot;-&quot;??_);_(@_)"/>
    <numFmt numFmtId="168" formatCode="0.0%"/>
    <numFmt numFmtId="169" formatCode="_(&quot;$&quot;* #,##0_);_(&quot;$&quot;* \(#,##0\);_(&quot;$&quot;* &quot;-&quot;??_);_(@_)"/>
    <numFmt numFmtId="170" formatCode="0&quot; Bedroom Subtotal&quot;"/>
    <numFmt numFmtId="171" formatCode="_(&quot;$&quot;* #,##0.000_);_(&quot;$&quot;* \(#,##0.000\);_(&quot;$&quot;* &quot;-&quot;??_);_(@_)"/>
    <numFmt numFmtId="172" formatCode="&quot;x &quot;_(* #,##0.000_);_(* \(#,##0.000\);_(* &quot;-&quot;??_);_(@_)"/>
    <numFmt numFmtId="173" formatCode="[$-409]d\-mmm\-yy;@"/>
    <numFmt numFmtId="174" formatCode="&quot;$&quot;#,##0.000_);[Red]\(&quot;$&quot;#,##0.000\)"/>
    <numFmt numFmtId="175" formatCode="#,##0.000_);[Red]\(#,##0.000\)"/>
    <numFmt numFmtId="176" formatCode="#,##0_)&quot;Months&quot;"/>
    <numFmt numFmtId="177" formatCode="##\-####"/>
    <numFmt numFmtId="178" formatCode="###\-####"/>
    <numFmt numFmtId="179" formatCode="#&quot; Years&quot;"/>
    <numFmt numFmtId="180" formatCode="&quot;Month &quot;0"/>
    <numFmt numFmtId="181" formatCode="0.00%&quot; Fee&quot;"/>
    <numFmt numFmtId="182" formatCode="&quot;Year &quot;#,##0_);[Red]\(#,##0\)"/>
    <numFmt numFmtId="183" formatCode="#,##0.00000_);[Red]\(#,##0.00000\)"/>
    <numFmt numFmtId="184" formatCode="&quot;$&quot;#,##0"/>
    <numFmt numFmtId="185" formatCode="&quot;Year &quot;#,##0_)"/>
    <numFmt numFmtId="186" formatCode="@*."/>
    <numFmt numFmtId="187" formatCode="&quot;Mo.&quot;#,##0_)"/>
    <numFmt numFmtId="188" formatCode="0&quot; Months&quot;"/>
    <numFmt numFmtId="189" formatCode="#,##0.00_)&quot;Month(s)&quot;"/>
    <numFmt numFmtId="190" formatCode="&quot;Month &quot;#,##0_);[Red]\(#,##0\)"/>
    <numFmt numFmtId="191" formatCode="&quot;$&quot;#,##0.0000_);[Red]\(&quot;$&quot;#,##0.0000\)"/>
    <numFmt numFmtId="192" formatCode="&quot;Yr.&quot;0"/>
    <numFmt numFmtId="193" formatCode="&quot;Year &quot;0"/>
    <numFmt numFmtId="194" formatCode="General&quot;+&quot;"/>
    <numFmt numFmtId="195" formatCode="&quot;Mo.&quot;#,##0_);[Red]&quot;Mo.&quot;\(#,##0\)"/>
    <numFmt numFmtId="196" formatCode="00\-0000"/>
    <numFmt numFmtId="197" formatCode="#,##0_)&quot;Units/Mo&quot;"/>
    <numFmt numFmtId="198" formatCode="&quot;$&quot;#,##0.000"/>
    <numFmt numFmtId="199" formatCode="General_)"/>
    <numFmt numFmtId="200" formatCode="0.00%_)"/>
    <numFmt numFmtId="201" formatCode="#,##0.0_);[Red]\(#,##0.0\)"/>
    <numFmt numFmtId="202" formatCode="&quot;$&quot;#,##0.00"/>
    <numFmt numFmtId="203" formatCode="0.00&quot; x&quot;"/>
    <numFmt numFmtId="204" formatCode="[$-409]mmmm\ d\,\ yyyy;@"/>
    <numFmt numFmtId="205" formatCode="&quot;Year &quot;0&quot;+&quot;"/>
    <numFmt numFmtId="206" formatCode="&quot;$&quot;#,##0.0"/>
    <numFmt numFmtId="207" formatCode="_(&quot;$&quot;* #,##0.0_);_(&quot;$&quot;* \(#,##0.0\);_(&quot;$&quot;* &quot;-&quot;??_);_(@_)"/>
    <numFmt numFmtId="208" formatCode="0.000%"/>
    <numFmt numFmtId="209" formatCode="0.000000%"/>
    <numFmt numFmtId="210" formatCode="\(###\)\ ###\-####"/>
    <numFmt numFmtId="211" formatCode="0.00&quot;x&quot;"/>
    <numFmt numFmtId="212" formatCode="#,##0_)&quot; Years&quot;"/>
    <numFmt numFmtId="213" formatCode="dd\-mmm\-yy"/>
    <numFmt numFmtId="214" formatCode="#,##0;\(#,##0\);\-"/>
    <numFmt numFmtId="215" formatCode="0.00%;\(0.00%\);\-\%"/>
    <numFmt numFmtId="216" formatCode="0.0\x"/>
    <numFmt numFmtId="217" formatCode="0.00\x"/>
    <numFmt numFmtId="218" formatCode="0.0&quot;x&quot;"/>
    <numFmt numFmtId="219" formatCode="_(* #,##0.00_);_(* \(#,##0.00\);_(* &quot;-&quot;_);_(@_)"/>
    <numFmt numFmtId="220" formatCode="0&quot; Homes/Mo&quot;"/>
    <numFmt numFmtId="221" formatCode="0&quot; Bedroom&quot;"/>
    <numFmt numFmtId="222" formatCode="&quot;Month&quot;\ ##"/>
    <numFmt numFmtId="223" formatCode="#,##0.00;\(#,##0.00\);\-"/>
    <numFmt numFmtId="224" formatCode="#,##0_)&quot;Month(s)&quot;"/>
    <numFmt numFmtId="225" formatCode="_(* #,##0.0000_);_(* \(#,##0.0000\);_(* &quot;-&quot;??_);_(@_)"/>
    <numFmt numFmtId="226" formatCode="0.00000%"/>
    <numFmt numFmtId="227" formatCode="_([$$]#,##0_);\([$$]#,##0\);_(&quot;-&quot;_)_%;_(@_)"/>
    <numFmt numFmtId="228" formatCode="m/d/yyyy;@"/>
    <numFmt numFmtId="229" formatCode="0.0%_);\(0.0%\);\-_)"/>
    <numFmt numFmtId="230" formatCode="_([$$]#,##0_)_%;\([$$]#,##0\)_%;_(&quot;–&quot;_)_%;_(@_)_%"/>
    <numFmt numFmtId="231" formatCode="_(#,##0.0%_);\(#,##0.0%\);_(&quot;–&quot;_)_%;_(@_)_%"/>
    <numFmt numFmtId="232" formatCode="[$$-380A]\ #,##0.00;\-[$$-380A]\ #,##0.00"/>
    <numFmt numFmtId="233" formatCode="0.000000000"/>
    <numFmt numFmtId="234" formatCode="0.00%_);\(0.00%\);\-_)"/>
    <numFmt numFmtId="235" formatCode="_(#,##0.00%_);\(#,##0.00%\);_(&quot;–&quot;_)_%;_(@_)_%"/>
    <numFmt numFmtId="236" formatCode="0.0000%"/>
    <numFmt numFmtId="237" formatCode="_(&quot;$&quot;* #,##0_);_(&quot;$&quot;* \(#,##0\);_(&quot;$&quot;* &quot;-&quot;???????_);_(@_)"/>
    <numFmt numFmtId="238" formatCode="0.000"/>
    <numFmt numFmtId="239" formatCode="0.00000"/>
    <numFmt numFmtId="240" formatCode="#,##0.0_);\(#,##0.0\)"/>
    <numFmt numFmtId="241" formatCode="#,##0.00\x"/>
    <numFmt numFmtId="242" formatCode="0&quot; bps&quot;"/>
  </numFmts>
  <fonts count="160" x14ac:knownFonts="1">
    <font>
      <sz val="11"/>
      <color theme="1"/>
      <name val="Calibri"/>
      <family val="2"/>
      <scheme val="minor"/>
    </font>
    <font>
      <sz val="11"/>
      <color theme="1"/>
      <name val="Calibri"/>
      <family val="2"/>
      <scheme val="minor"/>
    </font>
    <font>
      <sz val="9"/>
      <color indexed="81"/>
      <name val="Tahoma"/>
      <family val="2"/>
    </font>
    <font>
      <b/>
      <sz val="9"/>
      <color indexed="81"/>
      <name val="Tahoma"/>
      <family val="2"/>
    </font>
    <font>
      <sz val="10"/>
      <color theme="1"/>
      <name val="Calibri"/>
      <family val="2"/>
      <scheme val="minor"/>
    </font>
    <font>
      <sz val="10"/>
      <name val="Calibri"/>
      <family val="2"/>
      <scheme val="minor"/>
    </font>
    <font>
      <sz val="11"/>
      <color theme="1"/>
      <name val="Garamond"/>
      <family val="1"/>
    </font>
    <font>
      <b/>
      <i/>
      <sz val="22"/>
      <color theme="1"/>
      <name val="Garamond"/>
      <family val="1"/>
    </font>
    <font>
      <i/>
      <sz val="14"/>
      <color theme="1"/>
      <name val="Garamond"/>
      <family val="1"/>
    </font>
    <font>
      <sz val="10"/>
      <color rgb="FF071040"/>
      <name val="Calibri"/>
      <family val="2"/>
      <scheme val="minor"/>
    </font>
    <font>
      <b/>
      <i/>
      <sz val="10"/>
      <color rgb="FF071040"/>
      <name val="Calibri"/>
      <family val="2"/>
      <scheme val="minor"/>
    </font>
    <font>
      <b/>
      <sz val="10"/>
      <color rgb="FF071040"/>
      <name val="Calibri"/>
      <family val="2"/>
      <scheme val="minor"/>
    </font>
    <font>
      <sz val="12"/>
      <color theme="1"/>
      <name val="Calibri"/>
      <family val="2"/>
      <scheme val="minor"/>
    </font>
    <font>
      <sz val="11"/>
      <color theme="1"/>
      <name val="Calibri"/>
      <family val="2"/>
    </font>
    <font>
      <sz val="12"/>
      <color theme="1"/>
      <name val="Garamond"/>
      <family val="1"/>
    </font>
    <font>
      <i/>
      <sz val="11"/>
      <color rgb="FF0000CC"/>
      <name val="Calibri"/>
      <family val="2"/>
      <scheme val="minor"/>
    </font>
    <font>
      <b/>
      <sz val="11"/>
      <color theme="1"/>
      <name val="Calibri"/>
      <family val="2"/>
      <scheme val="minor"/>
    </font>
    <font>
      <sz val="11"/>
      <name val="Calibri"/>
      <family val="2"/>
      <scheme val="minor"/>
    </font>
    <font>
      <b/>
      <sz val="12"/>
      <name val="Calibri"/>
      <family val="2"/>
      <scheme val="minor"/>
    </font>
    <font>
      <sz val="10"/>
      <color theme="1"/>
      <name val="Garamond"/>
      <family val="1"/>
    </font>
    <font>
      <sz val="11"/>
      <color theme="0"/>
      <name val="Calibri"/>
      <family val="2"/>
      <scheme val="minor"/>
    </font>
    <font>
      <b/>
      <i/>
      <u/>
      <sz val="10"/>
      <color rgb="FF071040"/>
      <name val="Calibri"/>
      <family val="2"/>
      <scheme val="minor"/>
    </font>
    <font>
      <b/>
      <sz val="12"/>
      <name val="Garamond"/>
      <family val="1"/>
    </font>
    <font>
      <i/>
      <sz val="11"/>
      <name val="Calibri"/>
      <family val="2"/>
      <scheme val="minor"/>
    </font>
    <font>
      <b/>
      <i/>
      <sz val="11"/>
      <name val="Calibri"/>
      <family val="2"/>
      <scheme val="minor"/>
    </font>
    <font>
      <b/>
      <sz val="11"/>
      <name val="Calibri"/>
      <family val="2"/>
      <scheme val="minor"/>
    </font>
    <font>
      <b/>
      <i/>
      <u/>
      <sz val="11"/>
      <name val="Calibri"/>
      <family val="2"/>
      <scheme val="minor"/>
    </font>
    <font>
      <b/>
      <u/>
      <sz val="11"/>
      <name val="Calibri"/>
      <family val="2"/>
      <scheme val="minor"/>
    </font>
    <font>
      <i/>
      <u/>
      <sz val="11"/>
      <name val="Calibri"/>
      <family val="2"/>
      <scheme val="minor"/>
    </font>
    <font>
      <b/>
      <sz val="11"/>
      <name val="Garamond"/>
      <family val="1"/>
    </font>
    <font>
      <b/>
      <u/>
      <sz val="12"/>
      <name val="Calibri"/>
      <family val="2"/>
      <scheme val="minor"/>
    </font>
    <font>
      <b/>
      <sz val="11"/>
      <color rgb="FFFF0000"/>
      <name val="Calibri"/>
      <family val="2"/>
      <scheme val="minor"/>
    </font>
    <font>
      <b/>
      <sz val="11"/>
      <color theme="7" tint="-0.499984740745262"/>
      <name val="Calibri"/>
      <family val="2"/>
      <scheme val="minor"/>
    </font>
    <font>
      <b/>
      <i/>
      <sz val="11"/>
      <color theme="1"/>
      <name val="Calibri"/>
      <family val="2"/>
      <scheme val="minor"/>
    </font>
    <font>
      <b/>
      <i/>
      <sz val="11"/>
      <color rgb="FF071040"/>
      <name val="Calibri"/>
      <family val="2"/>
      <scheme val="minor"/>
    </font>
    <font>
      <b/>
      <i/>
      <sz val="11"/>
      <color theme="7" tint="-0.499984740745262"/>
      <name val="Calibri"/>
      <family val="2"/>
      <scheme val="minor"/>
    </font>
    <font>
      <i/>
      <sz val="11"/>
      <color theme="1"/>
      <name val="Calibri"/>
      <family val="2"/>
      <scheme val="minor"/>
    </font>
    <font>
      <b/>
      <u/>
      <sz val="11"/>
      <color theme="1"/>
      <name val="Calibri"/>
      <family val="2"/>
      <scheme val="minor"/>
    </font>
    <font>
      <sz val="11"/>
      <color rgb="FF071040"/>
      <name val="Calibri"/>
      <family val="2"/>
      <scheme val="minor"/>
    </font>
    <font>
      <b/>
      <sz val="11"/>
      <color theme="3" tint="-0.499984740745262"/>
      <name val="Calibri"/>
      <family val="2"/>
      <scheme val="minor"/>
    </font>
    <font>
      <sz val="11"/>
      <color rgb="FF003300"/>
      <name val="Calibri"/>
      <family val="2"/>
      <scheme val="minor"/>
    </font>
    <font>
      <b/>
      <i/>
      <sz val="11"/>
      <color rgb="FF003300"/>
      <name val="Calibri"/>
      <family val="2"/>
      <scheme val="minor"/>
    </font>
    <font>
      <b/>
      <i/>
      <sz val="11"/>
      <color rgb="FFFF0000"/>
      <name val="Calibri"/>
      <family val="2"/>
      <scheme val="minor"/>
    </font>
    <font>
      <sz val="11"/>
      <color theme="0" tint="-0.34998626667073579"/>
      <name val="Calibri"/>
      <family val="2"/>
      <scheme val="minor"/>
    </font>
    <font>
      <sz val="11"/>
      <color theme="3"/>
      <name val="Calibri"/>
      <family val="2"/>
      <scheme val="minor"/>
    </font>
    <font>
      <b/>
      <sz val="11"/>
      <color theme="0" tint="-4.9989318521683403E-2"/>
      <name val="Calibri"/>
      <family val="2"/>
      <scheme val="minor"/>
    </font>
    <font>
      <b/>
      <i/>
      <sz val="11"/>
      <color theme="0" tint="-4.9989318521683403E-2"/>
      <name val="Calibri"/>
      <family val="2"/>
      <scheme val="minor"/>
    </font>
    <font>
      <b/>
      <i/>
      <sz val="11"/>
      <color theme="0" tint="-0.34998626667073579"/>
      <name val="Calibri"/>
      <family val="2"/>
      <scheme val="minor"/>
    </font>
    <font>
      <sz val="11"/>
      <color rgb="FF0000CC"/>
      <name val="Calibri"/>
      <family val="2"/>
      <scheme val="minor"/>
    </font>
    <font>
      <b/>
      <i/>
      <u/>
      <sz val="11"/>
      <color theme="1"/>
      <name val="Calibri"/>
      <family val="2"/>
      <scheme val="minor"/>
    </font>
    <font>
      <b/>
      <i/>
      <u/>
      <sz val="11"/>
      <color rgb="FFFF0000"/>
      <name val="Calibri"/>
      <family val="2"/>
      <scheme val="minor"/>
    </font>
    <font>
      <sz val="11"/>
      <color theme="7" tint="-0.499984740745262"/>
      <name val="Calibri"/>
      <family val="2"/>
      <scheme val="minor"/>
    </font>
    <font>
      <i/>
      <sz val="11"/>
      <color rgb="FF003300"/>
      <name val="Calibri"/>
      <family val="2"/>
      <scheme val="minor"/>
    </font>
    <font>
      <i/>
      <sz val="11"/>
      <color theme="3"/>
      <name val="Calibri"/>
      <family val="2"/>
      <scheme val="minor"/>
    </font>
    <font>
      <b/>
      <i/>
      <sz val="11"/>
      <color rgb="FF0000CC"/>
      <name val="Calibri"/>
      <family val="2"/>
      <scheme val="minor"/>
    </font>
    <font>
      <b/>
      <sz val="11"/>
      <color theme="0"/>
      <name val="Calibri"/>
      <family val="2"/>
      <scheme val="minor"/>
    </font>
    <font>
      <b/>
      <i/>
      <sz val="11"/>
      <color theme="0"/>
      <name val="Calibri"/>
      <family val="2"/>
      <scheme val="minor"/>
    </font>
    <font>
      <i/>
      <sz val="10"/>
      <color theme="1"/>
      <name val="Calibri"/>
      <family val="2"/>
      <scheme val="minor"/>
    </font>
    <font>
      <b/>
      <sz val="10"/>
      <color indexed="81"/>
      <name val="Tahoma"/>
      <family val="2"/>
    </font>
    <font>
      <sz val="22"/>
      <color theme="7" tint="-0.499984740745262"/>
      <name val="Garamond"/>
      <family val="1"/>
    </font>
    <font>
      <sz val="16"/>
      <color theme="7" tint="-0.499984740745262"/>
      <name val="Garamond"/>
      <family val="1"/>
    </font>
    <font>
      <b/>
      <i/>
      <sz val="16"/>
      <color theme="7" tint="-0.499984740745262"/>
      <name val="Garamond"/>
      <family val="1"/>
    </font>
    <font>
      <u/>
      <sz val="9"/>
      <color indexed="81"/>
      <name val="Tahoma"/>
      <family val="2"/>
    </font>
    <font>
      <b/>
      <i/>
      <sz val="12"/>
      <color rgb="FFFF0000"/>
      <name val="Calibri"/>
      <family val="2"/>
      <scheme val="minor"/>
    </font>
    <font>
      <b/>
      <i/>
      <sz val="8.8000000000000007"/>
      <color theme="3" tint="-0.499984740745262"/>
      <name val="Calibri"/>
      <family val="2"/>
    </font>
    <font>
      <b/>
      <sz val="12"/>
      <color theme="7" tint="-0.499984740745262"/>
      <name val="Calibri"/>
      <family val="2"/>
      <scheme val="minor"/>
    </font>
    <font>
      <b/>
      <u/>
      <sz val="11"/>
      <color rgb="FFFF0000"/>
      <name val="Calibri"/>
      <family val="2"/>
      <scheme val="minor"/>
    </font>
    <font>
      <sz val="11"/>
      <color theme="0" tint="-0.499984740745262"/>
      <name val="Calibri"/>
      <family val="2"/>
      <scheme val="minor"/>
    </font>
    <font>
      <u/>
      <sz val="11"/>
      <color theme="1"/>
      <name val="Calibri"/>
      <family val="2"/>
      <scheme val="minor"/>
    </font>
    <font>
      <sz val="10"/>
      <color theme="1"/>
      <name val="Arial"/>
      <family val="2"/>
    </font>
    <font>
      <sz val="10"/>
      <color theme="0"/>
      <name val="Calibri"/>
      <family val="2"/>
      <scheme val="minor"/>
    </font>
    <font>
      <b/>
      <sz val="10"/>
      <color theme="0"/>
      <name val="Calibri"/>
      <family val="2"/>
      <scheme val="minor"/>
    </font>
    <font>
      <sz val="8"/>
      <color theme="0" tint="-0.34998626667073579"/>
      <name val="Calibri"/>
      <family val="2"/>
      <scheme val="minor"/>
    </font>
    <font>
      <b/>
      <sz val="10"/>
      <color theme="1"/>
      <name val="Calibri"/>
      <family val="2"/>
      <scheme val="minor"/>
    </font>
    <font>
      <sz val="8"/>
      <color theme="1"/>
      <name val="Calibri"/>
      <family val="2"/>
      <scheme val="minor"/>
    </font>
    <font>
      <b/>
      <sz val="8"/>
      <color theme="0" tint="-0.499984740745262"/>
      <name val="Calibri"/>
      <family val="2"/>
      <scheme val="minor"/>
    </font>
    <font>
      <b/>
      <sz val="10"/>
      <name val="Calibri"/>
      <family val="2"/>
      <scheme val="minor"/>
    </font>
    <font>
      <i/>
      <sz val="10"/>
      <color theme="0" tint="-0.499984740745262"/>
      <name val="Calibri"/>
      <family val="2"/>
      <scheme val="minor"/>
    </font>
    <font>
      <sz val="11"/>
      <color theme="0" tint="-0.249977111117893"/>
      <name val="Calibri"/>
      <family val="2"/>
      <scheme val="minor"/>
    </font>
    <font>
      <sz val="11"/>
      <color theme="1"/>
      <name val="Arial"/>
      <family val="2"/>
    </font>
    <font>
      <sz val="10"/>
      <color theme="0" tint="-4.9989318521683403E-2"/>
      <name val="Calibri"/>
      <family val="2"/>
      <scheme val="minor"/>
    </font>
    <font>
      <sz val="8"/>
      <color theme="0" tint="-4.9989318521683403E-2"/>
      <name val="Calibri"/>
      <family val="2"/>
      <scheme val="minor"/>
    </font>
    <font>
      <u/>
      <sz val="10"/>
      <color theme="1"/>
      <name val="Calibri"/>
      <family val="2"/>
      <scheme val="minor"/>
    </font>
    <font>
      <sz val="10"/>
      <color rgb="FF008000"/>
      <name val="Calibri"/>
      <family val="2"/>
      <scheme val="minor"/>
    </font>
    <font>
      <sz val="10"/>
      <color indexed="12"/>
      <name val="Calibri"/>
      <family val="2"/>
      <scheme val="minor"/>
    </font>
    <font>
      <sz val="10"/>
      <color rgb="FF0000FF"/>
      <name val="Calibri"/>
      <family val="2"/>
      <scheme val="minor"/>
    </font>
    <font>
      <b/>
      <sz val="11"/>
      <color theme="1"/>
      <name val="Arial"/>
      <family val="2"/>
    </font>
    <font>
      <sz val="10"/>
      <color theme="0" tint="-0.249977111117893"/>
      <name val="Calibri"/>
      <family val="2"/>
      <scheme val="minor"/>
    </font>
    <font>
      <b/>
      <sz val="10"/>
      <color theme="0" tint="-0.249977111117893"/>
      <name val="Calibri"/>
      <family val="2"/>
      <scheme val="minor"/>
    </font>
    <font>
      <sz val="10"/>
      <color rgb="FF000000"/>
      <name val="Calibri"/>
      <family val="2"/>
      <scheme val="minor"/>
    </font>
    <font>
      <sz val="10"/>
      <color indexed="12"/>
      <name val="Arial"/>
      <family val="2"/>
    </font>
    <font>
      <b/>
      <i/>
      <sz val="10"/>
      <color theme="1"/>
      <name val="Calibri"/>
      <family val="2"/>
      <scheme val="minor"/>
    </font>
    <font>
      <b/>
      <sz val="10"/>
      <color rgb="FF000000"/>
      <name val="Calibri"/>
      <family val="2"/>
      <scheme val="minor"/>
    </font>
    <font>
      <b/>
      <sz val="10"/>
      <color theme="1"/>
      <name val="Arial"/>
      <family val="2"/>
    </font>
    <font>
      <b/>
      <sz val="10"/>
      <color rgb="FFFF0000"/>
      <name val="Calibri"/>
      <family val="2"/>
      <scheme val="minor"/>
    </font>
    <font>
      <b/>
      <u/>
      <sz val="10"/>
      <color theme="1"/>
      <name val="Calibri"/>
      <family val="2"/>
      <scheme val="minor"/>
    </font>
    <font>
      <sz val="10"/>
      <color theme="3"/>
      <name val="Calibri"/>
      <family val="2"/>
      <scheme val="minor"/>
    </font>
    <font>
      <sz val="10"/>
      <color indexed="81"/>
      <name val="Tahoma"/>
      <family val="2"/>
    </font>
    <font>
      <u/>
      <sz val="11"/>
      <color theme="10"/>
      <name val="Calibri"/>
      <family val="2"/>
      <scheme val="minor"/>
    </font>
    <font>
      <sz val="8"/>
      <color indexed="81"/>
      <name val="Tahoma"/>
      <family val="2"/>
    </font>
    <font>
      <b/>
      <sz val="8"/>
      <color indexed="81"/>
      <name val="Tahoma"/>
      <family val="2"/>
    </font>
    <font>
      <b/>
      <sz val="12"/>
      <color rgb="FFFF0000"/>
      <name val="Calibri"/>
      <family val="2"/>
      <scheme val="minor"/>
    </font>
    <font>
      <sz val="8"/>
      <name val="Tahoma"/>
      <family val="2"/>
    </font>
    <font>
      <sz val="14"/>
      <color theme="1"/>
      <name val="Calibri"/>
      <family val="2"/>
      <scheme val="minor"/>
    </font>
    <font>
      <b/>
      <sz val="11"/>
      <color theme="2" tint="-0.89999084444715716"/>
      <name val="Calibri"/>
      <family val="2"/>
      <scheme val="minor"/>
    </font>
    <font>
      <b/>
      <u/>
      <sz val="10"/>
      <name val="Calibri"/>
      <family val="2"/>
      <scheme val="minor"/>
    </font>
    <font>
      <b/>
      <u/>
      <sz val="10"/>
      <color rgb="FFFF0000"/>
      <name val="Calibri"/>
      <family val="2"/>
      <scheme val="minor"/>
    </font>
    <font>
      <sz val="11"/>
      <color rgb="FF3F3F76"/>
      <name val="Calibri"/>
      <family val="2"/>
      <scheme val="minor"/>
    </font>
    <font>
      <sz val="10"/>
      <color rgb="FF003300"/>
      <name val="Calibri"/>
      <family val="2"/>
      <scheme val="minor"/>
    </font>
    <font>
      <b/>
      <sz val="11"/>
      <color rgb="FF006100"/>
      <name val="Calibri"/>
      <family val="2"/>
      <scheme val="minor"/>
    </font>
    <font>
      <b/>
      <u/>
      <sz val="11"/>
      <color theme="0" tint="-0.14999847407452621"/>
      <name val="Calibri"/>
      <family val="2"/>
      <scheme val="minor"/>
    </font>
    <font>
      <sz val="11"/>
      <color theme="0" tint="-0.14999847407452621"/>
      <name val="Calibri"/>
      <family val="2"/>
      <scheme val="minor"/>
    </font>
    <font>
      <i/>
      <sz val="9.9"/>
      <color theme="1"/>
      <name val="Calibri"/>
      <family val="2"/>
    </font>
    <font>
      <sz val="8"/>
      <name val="Calibri"/>
      <family val="2"/>
      <scheme val="minor"/>
    </font>
    <font>
      <b/>
      <sz val="10"/>
      <color rgb="FFC00000"/>
      <name val="Calibri"/>
      <family val="2"/>
      <scheme val="minor"/>
    </font>
    <font>
      <b/>
      <sz val="16"/>
      <color rgb="FFFF0000"/>
      <name val="Calibri"/>
      <family val="2"/>
      <scheme val="minor"/>
    </font>
    <font>
      <b/>
      <sz val="11"/>
      <color rgb="FF0038A8"/>
      <name val="Calibri"/>
      <family val="2"/>
      <scheme val="minor"/>
    </font>
    <font>
      <u/>
      <sz val="11"/>
      <name val="Calibri"/>
      <family val="2"/>
      <scheme val="minor"/>
    </font>
    <font>
      <sz val="9"/>
      <color theme="1"/>
      <name val="Calibri"/>
      <family val="2"/>
      <scheme val="minor"/>
    </font>
    <font>
      <b/>
      <u/>
      <sz val="9"/>
      <color theme="1"/>
      <name val="Calibri"/>
      <family val="2"/>
      <scheme val="minor"/>
    </font>
    <font>
      <i/>
      <sz val="9"/>
      <color theme="1"/>
      <name val="Calibri"/>
      <family val="2"/>
      <scheme val="minor"/>
    </font>
    <font>
      <sz val="11"/>
      <color rgb="FF0000FF"/>
      <name val="Calibri"/>
      <family val="2"/>
      <scheme val="minor"/>
    </font>
    <font>
      <b/>
      <u/>
      <sz val="9"/>
      <color indexed="81"/>
      <name val="Tahoma"/>
      <family val="2"/>
    </font>
    <font>
      <b/>
      <sz val="12"/>
      <color theme="2" tint="-9.9978637043366805E-2"/>
      <name val="Calibri"/>
      <family val="2"/>
      <scheme val="minor"/>
    </font>
    <font>
      <b/>
      <sz val="16"/>
      <name val="Calibri"/>
      <family val="2"/>
      <scheme val="minor"/>
    </font>
    <font>
      <b/>
      <sz val="8"/>
      <color theme="0"/>
      <name val="Calibri"/>
      <family val="2"/>
      <scheme val="minor"/>
    </font>
    <font>
      <b/>
      <sz val="9"/>
      <color theme="0"/>
      <name val="Calibri"/>
      <family val="2"/>
      <scheme val="minor"/>
    </font>
    <font>
      <b/>
      <sz val="16"/>
      <color theme="1"/>
      <name val="Calibri"/>
      <family val="2"/>
      <scheme val="minor"/>
    </font>
    <font>
      <b/>
      <sz val="14"/>
      <color theme="1"/>
      <name val="Calibri"/>
      <family val="2"/>
      <scheme val="minor"/>
    </font>
    <font>
      <b/>
      <i/>
      <sz val="14"/>
      <color theme="1"/>
      <name val="Calibri"/>
      <family val="2"/>
      <scheme val="minor"/>
    </font>
    <font>
      <b/>
      <sz val="16"/>
      <color theme="0"/>
      <name val="Calibri"/>
      <family val="2"/>
      <scheme val="minor"/>
    </font>
    <font>
      <b/>
      <sz val="11"/>
      <color theme="4"/>
      <name val="Calibri"/>
      <family val="2"/>
      <scheme val="minor"/>
    </font>
    <font>
      <b/>
      <sz val="11"/>
      <color rgb="FF0070C0"/>
      <name val="Calibri"/>
      <family val="2"/>
      <scheme val="minor"/>
    </font>
    <font>
      <b/>
      <sz val="12"/>
      <color theme="1"/>
      <name val="Calibri"/>
      <family val="2"/>
      <scheme val="minor"/>
    </font>
    <font>
      <b/>
      <sz val="18"/>
      <color theme="0"/>
      <name val="Calibri"/>
      <family val="2"/>
      <scheme val="minor"/>
    </font>
    <font>
      <b/>
      <sz val="12"/>
      <color theme="0"/>
      <name val="Calibri"/>
      <family val="2"/>
      <scheme val="minor"/>
    </font>
    <font>
      <sz val="12"/>
      <color theme="0"/>
      <name val="Calibri"/>
      <family val="2"/>
      <scheme val="minor"/>
    </font>
    <font>
      <b/>
      <sz val="18"/>
      <color theme="1"/>
      <name val="Calibri"/>
      <family val="2"/>
      <scheme val="minor"/>
    </font>
    <font>
      <sz val="12"/>
      <name val="Calibri"/>
      <family val="2"/>
      <scheme val="minor"/>
    </font>
    <font>
      <sz val="11"/>
      <color rgb="FFFF0000"/>
      <name val="Calibri"/>
      <family val="2"/>
      <scheme val="minor"/>
    </font>
    <font>
      <sz val="11"/>
      <color rgb="FF00B050"/>
      <name val="Calibri"/>
      <family val="2"/>
      <scheme val="minor"/>
    </font>
    <font>
      <b/>
      <sz val="11"/>
      <color rgb="FF0000FF"/>
      <name val="Calibri"/>
      <family val="2"/>
      <scheme val="minor"/>
    </font>
    <font>
      <sz val="11"/>
      <name val="Calibri"/>
      <family val="2"/>
    </font>
    <font>
      <sz val="11"/>
      <color rgb="FF000000"/>
      <name val="Calibri"/>
      <family val="2"/>
      <scheme val="minor"/>
    </font>
    <font>
      <b/>
      <u val="singleAccounting"/>
      <sz val="11"/>
      <color rgb="FFFFFFFF"/>
      <name val="Calibri"/>
      <family val="2"/>
      <scheme val="minor"/>
    </font>
    <font>
      <sz val="11"/>
      <color rgb="FF008000"/>
      <name val="Calibri"/>
      <family val="2"/>
      <scheme val="minor"/>
    </font>
    <font>
      <b/>
      <i/>
      <sz val="11"/>
      <color rgb="FF0000FF"/>
      <name val="Calibri"/>
      <family val="2"/>
      <scheme val="minor"/>
    </font>
    <font>
      <b/>
      <sz val="11"/>
      <color rgb="FF008000"/>
      <name val="Calibri"/>
      <family val="2"/>
      <scheme val="minor"/>
    </font>
    <font>
      <b/>
      <u val="singleAccounting"/>
      <sz val="11"/>
      <color rgb="FF000000"/>
      <name val="Calibri"/>
      <family val="2"/>
      <scheme val="minor"/>
    </font>
    <font>
      <i/>
      <u/>
      <sz val="11"/>
      <color theme="1"/>
      <name val="Calibri"/>
      <family val="2"/>
      <scheme val="minor"/>
    </font>
    <font>
      <sz val="11"/>
      <color theme="1"/>
      <name val="Calibri"/>
      <family val="2"/>
      <charset val="1"/>
    </font>
    <font>
      <b/>
      <sz val="9"/>
      <color theme="1"/>
      <name val="Calibri"/>
      <family val="2"/>
      <scheme val="minor"/>
    </font>
    <font>
      <b/>
      <sz val="2"/>
      <color theme="1"/>
      <name val="Calibri"/>
      <family val="2"/>
      <scheme val="minor"/>
    </font>
    <font>
      <sz val="2"/>
      <color theme="1"/>
      <name val="Calibri"/>
      <family val="2"/>
      <scheme val="minor"/>
    </font>
    <font>
      <b/>
      <i/>
      <sz val="2"/>
      <color rgb="FF0000FF"/>
      <name val="Calibri"/>
      <family val="2"/>
      <scheme val="minor"/>
    </font>
    <font>
      <b/>
      <i/>
      <sz val="11"/>
      <color rgb="FF000080"/>
      <name val="Calibri"/>
      <family val="2"/>
    </font>
    <font>
      <b/>
      <i/>
      <sz val="11"/>
      <color rgb="FFFF0000"/>
      <name val="Calibri"/>
      <family val="2"/>
    </font>
    <font>
      <b/>
      <i/>
      <sz val="11"/>
      <color rgb="FF800080"/>
      <name val="Calibri"/>
      <family val="2"/>
    </font>
    <font>
      <b/>
      <i/>
      <sz val="11"/>
      <color rgb="FFFF00FF"/>
      <name val="Calibri"/>
      <family val="2"/>
    </font>
    <font>
      <b/>
      <sz val="11"/>
      <color rgb="FF000000"/>
      <name val="Calibri"/>
      <family val="2"/>
    </font>
  </fonts>
  <fills count="67">
    <fill>
      <patternFill patternType="none"/>
    </fill>
    <fill>
      <patternFill patternType="gray125"/>
    </fill>
    <fill>
      <patternFill patternType="solid">
        <fgColor rgb="FF00B050"/>
        <bgColor indexed="64"/>
      </patternFill>
    </fill>
    <fill>
      <patternFill patternType="solid">
        <fgColor theme="0" tint="-0.14999847407452621"/>
        <bgColor indexed="64"/>
      </patternFill>
    </fill>
    <fill>
      <patternFill patternType="solid">
        <fgColor theme="2"/>
        <bgColor indexed="64"/>
      </patternFill>
    </fill>
    <fill>
      <patternFill patternType="solid">
        <fgColor theme="0" tint="-0.499984740745262"/>
        <bgColor indexed="64"/>
      </patternFill>
    </fill>
    <fill>
      <patternFill patternType="solid">
        <fgColor theme="0" tint="-4.9989318521683403E-2"/>
        <bgColor indexed="64"/>
      </patternFill>
    </fill>
    <fill>
      <gradientFill degree="90">
        <stop position="0">
          <color theme="0"/>
        </stop>
        <stop position="1">
          <color theme="5"/>
        </stop>
      </gradientFill>
    </fill>
    <fill>
      <patternFill patternType="solid">
        <fgColor theme="3" tint="0.79998168889431442"/>
        <bgColor indexed="64"/>
      </patternFill>
    </fill>
    <fill>
      <patternFill patternType="solid">
        <fgColor rgb="FF00B050"/>
        <bgColor auto="1"/>
      </patternFill>
    </fill>
    <fill>
      <patternFill patternType="solid">
        <fgColor rgb="FFFFFFCC"/>
      </patternFill>
    </fill>
    <fill>
      <patternFill patternType="solid">
        <fgColor theme="9" tint="0.79998168889431442"/>
        <bgColor indexed="64"/>
      </patternFill>
    </fill>
    <fill>
      <patternFill patternType="solid">
        <fgColor theme="2"/>
        <bgColor auto="1"/>
      </patternFill>
    </fill>
    <fill>
      <patternFill patternType="solid">
        <fgColor rgb="FF002060"/>
        <bgColor indexed="64"/>
      </patternFill>
    </fill>
    <fill>
      <patternFill patternType="solid">
        <fgColor rgb="FF0F3254"/>
        <bgColor indexed="64"/>
      </patternFill>
    </fill>
    <fill>
      <patternFill patternType="solid">
        <fgColor theme="3"/>
        <bgColor indexed="64"/>
      </patternFill>
    </fill>
    <fill>
      <patternFill patternType="solid">
        <fgColor rgb="FF086DBF"/>
        <bgColor indexed="64"/>
      </patternFill>
    </fill>
    <fill>
      <patternFill patternType="solid">
        <fgColor rgb="FF026DBF"/>
        <bgColor indexed="64"/>
      </patternFill>
    </fill>
    <fill>
      <patternFill patternType="solid">
        <fgColor rgb="FF5FB7F9"/>
        <bgColor indexed="64"/>
      </patternFill>
    </fill>
    <fill>
      <patternFill patternType="solid">
        <fgColor rgb="FF0038A8"/>
        <bgColor indexed="64"/>
      </patternFill>
    </fill>
    <fill>
      <patternFill patternType="solid">
        <fgColor rgb="FFFF0000"/>
        <bgColor indexed="64"/>
      </patternFill>
    </fill>
    <fill>
      <patternFill patternType="solid">
        <fgColor rgb="FF339E35"/>
        <bgColor indexed="64"/>
      </patternFill>
    </fill>
    <fill>
      <patternFill patternType="solid">
        <fgColor indexed="22"/>
        <bgColor indexed="64"/>
      </patternFill>
    </fill>
    <fill>
      <patternFill patternType="solid">
        <fgColor theme="4" tint="0.59999389629810485"/>
        <bgColor indexed="64"/>
      </patternFill>
    </fill>
    <fill>
      <patternFill patternType="solid">
        <fgColor rgb="FFFFCC99"/>
      </patternFill>
    </fill>
    <fill>
      <patternFill patternType="solid">
        <fgColor rgb="FF004A97"/>
        <bgColor indexed="64"/>
      </patternFill>
    </fill>
    <fill>
      <patternFill patternType="solid">
        <fgColor theme="0"/>
        <bgColor indexed="64"/>
      </patternFill>
    </fill>
    <fill>
      <patternFill patternType="solid">
        <fgColor rgb="FF00B0F0"/>
        <bgColor indexed="64"/>
      </patternFill>
    </fill>
    <fill>
      <patternFill patternType="solid">
        <fgColor rgb="FFE5E6DC"/>
        <bgColor indexed="64"/>
      </patternFill>
    </fill>
    <fill>
      <patternFill patternType="solid">
        <fgColor theme="4" tint="0.39997558519241921"/>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rgb="FFFFFF00"/>
        <bgColor indexed="64"/>
      </patternFill>
    </fill>
    <fill>
      <patternFill patternType="solid">
        <fgColor rgb="FFFFFF99"/>
        <bgColor indexed="64"/>
      </patternFill>
    </fill>
    <fill>
      <patternFill patternType="solid">
        <fgColor theme="7" tint="0.39997558519241921"/>
        <bgColor indexed="64"/>
      </patternFill>
    </fill>
    <fill>
      <patternFill patternType="solid">
        <fgColor rgb="FF005DAA"/>
        <bgColor indexed="64"/>
      </patternFill>
    </fill>
    <fill>
      <patternFill patternType="solid">
        <fgColor theme="4" tint="-0.499984740745262"/>
        <bgColor indexed="64"/>
      </patternFill>
    </fill>
    <fill>
      <patternFill patternType="solid">
        <fgColor theme="5"/>
        <bgColor indexed="64"/>
      </patternFill>
    </fill>
    <fill>
      <patternFill patternType="solid">
        <fgColor rgb="FF203764"/>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theme="9" tint="-0.499984740745262"/>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rgb="FFD6BCE2"/>
        <bgColor indexed="64"/>
      </patternFill>
    </fill>
    <fill>
      <patternFill patternType="solid">
        <fgColor theme="0" tint="-0.34998626667073579"/>
        <bgColor indexed="64"/>
      </patternFill>
    </fill>
    <fill>
      <patternFill patternType="solid">
        <fgColor theme="2" tint="-9.9978637043366805E-2"/>
        <bgColor indexed="64"/>
      </patternFill>
    </fill>
    <fill>
      <patternFill patternType="solid">
        <fgColor rgb="FFFFC000"/>
        <bgColor indexed="64"/>
      </patternFill>
    </fill>
    <fill>
      <patternFill patternType="solid">
        <fgColor theme="4" tint="0.79998168889431442"/>
        <bgColor indexed="64"/>
      </patternFill>
    </fill>
    <fill>
      <patternFill patternType="solid">
        <fgColor theme="5" tint="0.59999389629810485"/>
        <bgColor indexed="64"/>
      </patternFill>
    </fill>
    <fill>
      <gradientFill degree="90">
        <stop position="0">
          <color theme="0"/>
        </stop>
        <stop position="1">
          <color rgb="FF7ABFD8"/>
        </stop>
      </gradientFill>
    </fill>
    <fill>
      <patternFill patternType="solid">
        <fgColor theme="0" tint="-0.249977111117893"/>
        <bgColor indexed="64"/>
      </patternFill>
    </fill>
    <fill>
      <patternFill patternType="solid">
        <fgColor rgb="FF093A5B"/>
        <bgColor indexed="64"/>
      </patternFill>
    </fill>
    <fill>
      <patternFill patternType="solid">
        <fgColor rgb="FFD5FFFF"/>
        <bgColor indexed="64"/>
      </patternFill>
    </fill>
    <fill>
      <patternFill patternType="solid">
        <fgColor rgb="FFFFFFFF"/>
        <bgColor indexed="64"/>
      </patternFill>
    </fill>
    <fill>
      <patternFill patternType="solid">
        <fgColor theme="6" tint="0.89999084444715716"/>
        <bgColor indexed="64"/>
      </patternFill>
    </fill>
    <fill>
      <patternFill patternType="solid">
        <fgColor theme="4" tint="9.9978637043366805E-2"/>
        <bgColor indexed="64"/>
      </patternFill>
    </fill>
    <fill>
      <patternFill patternType="solid">
        <fgColor theme="4" tint="0.89999084444715716"/>
        <bgColor indexed="64"/>
      </patternFill>
    </fill>
    <fill>
      <patternFill patternType="solid">
        <fgColor rgb="FF075056"/>
        <bgColor indexed="64"/>
      </patternFill>
    </fill>
    <fill>
      <patternFill patternType="solid">
        <fgColor rgb="FFE1F1E9"/>
        <bgColor indexed="64"/>
      </patternFill>
    </fill>
    <fill>
      <patternFill patternType="solid">
        <fgColor rgb="FFD9D9D9"/>
        <bgColor indexed="64"/>
      </patternFill>
    </fill>
    <fill>
      <patternFill patternType="solid">
        <fgColor rgb="FFD8F9FC"/>
        <bgColor indexed="64"/>
      </patternFill>
    </fill>
    <fill>
      <patternFill patternType="solid">
        <fgColor rgb="FFD4FFCC"/>
        <bgColor indexed="64"/>
      </patternFill>
    </fill>
    <fill>
      <patternFill patternType="solid">
        <fgColor theme="3" tint="0.499984740745262"/>
        <bgColor indexed="64"/>
      </patternFill>
    </fill>
    <fill>
      <patternFill patternType="solid">
        <fgColor rgb="FFC6EFCE"/>
        <bgColor indexed="64"/>
      </patternFill>
    </fill>
    <fill>
      <patternFill patternType="solid">
        <fgColor theme="4"/>
        <bgColor indexed="64"/>
      </patternFill>
    </fill>
  </fills>
  <borders count="333">
    <border>
      <left/>
      <right/>
      <top/>
      <bottom/>
      <diagonal/>
    </border>
    <border>
      <left/>
      <right/>
      <top/>
      <bottom style="thin">
        <color indexed="64"/>
      </bottom>
      <diagonal/>
    </border>
    <border>
      <left style="thin">
        <color rgb="FF7F7F7F"/>
      </left>
      <right style="thin">
        <color rgb="FF7F7F7F"/>
      </right>
      <top/>
      <bottom style="thin">
        <color rgb="FF7F7F7F"/>
      </bottom>
      <diagonal/>
    </border>
    <border>
      <left/>
      <right style="dashed">
        <color auto="1"/>
      </right>
      <top/>
      <bottom/>
      <diagonal/>
    </border>
    <border>
      <left/>
      <right/>
      <top style="thin">
        <color indexed="64"/>
      </top>
      <bottom style="double">
        <color indexed="64"/>
      </bottom>
      <diagonal/>
    </border>
    <border>
      <left/>
      <right/>
      <top style="thick">
        <color rgb="FF071040"/>
      </top>
      <bottom/>
      <diagonal/>
    </border>
    <border>
      <left/>
      <right/>
      <top style="thin">
        <color indexed="64"/>
      </top>
      <bottom style="thin">
        <color indexed="64"/>
      </bottom>
      <diagonal/>
    </border>
    <border>
      <left/>
      <right/>
      <top/>
      <bottom style="dashed">
        <color rgb="FFA84D10"/>
      </bottom>
      <diagonal/>
    </border>
    <border>
      <left style="dashed">
        <color auto="1"/>
      </left>
      <right/>
      <top/>
      <bottom/>
      <diagonal/>
    </border>
    <border>
      <left style="dashed">
        <color auto="1"/>
      </left>
      <right/>
      <top style="thin">
        <color indexed="64"/>
      </top>
      <bottom style="double">
        <color indexed="64"/>
      </bottom>
      <diagonal/>
    </border>
    <border>
      <left style="dashed">
        <color rgb="FF071040"/>
      </left>
      <right/>
      <top/>
      <bottom/>
      <diagonal/>
    </border>
    <border>
      <left/>
      <right/>
      <top style="medium">
        <color rgb="FF071040"/>
      </top>
      <bottom style="thin">
        <color rgb="FF071040"/>
      </bottom>
      <diagonal/>
    </border>
    <border>
      <left/>
      <right/>
      <top/>
      <bottom style="thick">
        <color rgb="FF071040"/>
      </bottom>
      <diagonal/>
    </border>
    <border>
      <left style="thin">
        <color rgb="FF071040"/>
      </left>
      <right/>
      <top style="thin">
        <color rgb="FF071040"/>
      </top>
      <bottom/>
      <diagonal/>
    </border>
    <border>
      <left/>
      <right/>
      <top style="thin">
        <color rgb="FF071040"/>
      </top>
      <bottom/>
      <diagonal/>
    </border>
    <border>
      <left style="thin">
        <color rgb="FF071040"/>
      </left>
      <right/>
      <top/>
      <bottom/>
      <diagonal/>
    </border>
    <border>
      <left style="thin">
        <color rgb="FF071040"/>
      </left>
      <right/>
      <top/>
      <bottom style="thick">
        <color rgb="FF071040"/>
      </bottom>
      <diagonal/>
    </border>
    <border>
      <left/>
      <right style="thick">
        <color rgb="FF071040"/>
      </right>
      <top/>
      <bottom style="thick">
        <color rgb="FF071040"/>
      </bottom>
      <diagonal/>
    </border>
    <border>
      <left/>
      <right style="thick">
        <color rgb="FF071040"/>
      </right>
      <top style="thin">
        <color rgb="FF071040"/>
      </top>
      <bottom/>
      <diagonal/>
    </border>
    <border>
      <left/>
      <right style="thick">
        <color rgb="FF071040"/>
      </right>
      <top/>
      <bottom/>
      <diagonal/>
    </border>
    <border>
      <left/>
      <right/>
      <top/>
      <bottom style="dashed">
        <color theme="7" tint="-0.24994659260841701"/>
      </bottom>
      <diagonal/>
    </border>
    <border diagonalUp="1" diagonalDown="1">
      <left/>
      <right/>
      <top/>
      <bottom/>
      <diagonal style="thin">
        <color theme="0" tint="-0.14996795556505021"/>
      </diagonal>
    </border>
    <border diagonalUp="1" diagonalDown="1">
      <left/>
      <right/>
      <top/>
      <bottom style="thin">
        <color indexed="64"/>
      </bottom>
      <diagonal style="thin">
        <color theme="0" tint="-0.14996795556505021"/>
      </diagonal>
    </border>
    <border diagonalUp="1" diagonalDown="1">
      <left/>
      <right/>
      <top style="thin">
        <color indexed="64"/>
      </top>
      <bottom style="double">
        <color indexed="64"/>
      </bottom>
      <diagonal style="thin">
        <color theme="0" tint="-0.14996795556505021"/>
      </diagonal>
    </border>
    <border>
      <left/>
      <right/>
      <top style="thick">
        <color theme="0" tint="-0.499984740745262"/>
      </top>
      <bottom style="thin">
        <color theme="0" tint="-0.499984740745262"/>
      </bottom>
      <diagonal/>
    </border>
    <border>
      <left style="dashed">
        <color indexed="64"/>
      </left>
      <right/>
      <top/>
      <bottom style="thin">
        <color indexed="64"/>
      </bottom>
      <diagonal/>
    </border>
    <border>
      <left/>
      <right style="dashed">
        <color rgb="FF071040"/>
      </right>
      <top/>
      <bottom style="thin">
        <color indexed="64"/>
      </bottom>
      <diagonal/>
    </border>
    <border>
      <left style="medium">
        <color rgb="FF071040"/>
      </left>
      <right style="thin">
        <color rgb="FF071040"/>
      </right>
      <top/>
      <bottom/>
      <diagonal/>
    </border>
    <border>
      <left style="thin">
        <color indexed="64"/>
      </left>
      <right/>
      <top style="thin">
        <color indexed="64"/>
      </top>
      <bottom/>
      <diagonal/>
    </border>
    <border>
      <left style="thin">
        <color indexed="64"/>
      </left>
      <right/>
      <top/>
      <bottom/>
      <diagonal/>
    </border>
    <border>
      <left style="thin">
        <color theme="3" tint="-0.499984740745262"/>
      </left>
      <right/>
      <top style="thin">
        <color theme="3" tint="-0.499984740745262"/>
      </top>
      <bottom/>
      <diagonal/>
    </border>
    <border>
      <left/>
      <right/>
      <top style="thin">
        <color theme="3" tint="-0.499984740745262"/>
      </top>
      <bottom/>
      <diagonal/>
    </border>
    <border>
      <left/>
      <right style="thin">
        <color theme="3" tint="-0.499984740745262"/>
      </right>
      <top style="thin">
        <color theme="3" tint="-0.499984740745262"/>
      </top>
      <bottom/>
      <diagonal/>
    </border>
    <border>
      <left style="thin">
        <color theme="3" tint="-0.499984740745262"/>
      </left>
      <right/>
      <top/>
      <bottom style="thick">
        <color theme="3" tint="-0.499984740745262"/>
      </bottom>
      <diagonal/>
    </border>
    <border>
      <left/>
      <right/>
      <top/>
      <bottom style="thick">
        <color theme="3" tint="-0.499984740745262"/>
      </bottom>
      <diagonal/>
    </border>
    <border>
      <left/>
      <right style="thin">
        <color theme="3" tint="-0.499984740745262"/>
      </right>
      <top/>
      <bottom style="thick">
        <color theme="3" tint="-0.499984740745262"/>
      </bottom>
      <diagonal/>
    </border>
    <border>
      <left/>
      <right/>
      <top/>
      <bottom style="dashed">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7" tint="-0.499984740745262"/>
      </left>
      <right/>
      <top style="thin">
        <color theme="7" tint="-0.499984740745262"/>
      </top>
      <bottom/>
      <diagonal/>
    </border>
    <border>
      <left/>
      <right/>
      <top style="thin">
        <color theme="7" tint="-0.499984740745262"/>
      </top>
      <bottom/>
      <diagonal/>
    </border>
    <border>
      <left/>
      <right style="thin">
        <color theme="7" tint="-0.499984740745262"/>
      </right>
      <top style="thin">
        <color theme="7" tint="-0.499984740745262"/>
      </top>
      <bottom/>
      <diagonal/>
    </border>
    <border>
      <left style="thin">
        <color theme="7" tint="-0.499984740745262"/>
      </left>
      <right/>
      <top/>
      <bottom style="thick">
        <color theme="7" tint="-0.499984740745262"/>
      </bottom>
      <diagonal/>
    </border>
    <border>
      <left/>
      <right/>
      <top/>
      <bottom style="thick">
        <color theme="7" tint="-0.499984740745262"/>
      </bottom>
      <diagonal/>
    </border>
    <border>
      <left/>
      <right style="thin">
        <color theme="7" tint="-0.499984740745262"/>
      </right>
      <top/>
      <bottom style="thick">
        <color theme="7" tint="-0.499984740745262"/>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right/>
      <top style="thin">
        <color theme="0" tint="-0.24994659260841701"/>
      </top>
      <bottom/>
      <diagonal/>
    </border>
    <border>
      <left/>
      <right/>
      <top/>
      <bottom style="thick">
        <color theme="4" tint="-0.24994659260841701"/>
      </bottom>
      <diagonal/>
    </border>
    <border>
      <left style="thin">
        <color theme="5"/>
      </left>
      <right/>
      <top style="thin">
        <color theme="5"/>
      </top>
      <bottom style="thin">
        <color theme="5"/>
      </bottom>
      <diagonal/>
    </border>
    <border>
      <left/>
      <right/>
      <top style="thin">
        <color theme="5"/>
      </top>
      <bottom style="thin">
        <color theme="5"/>
      </bottom>
      <diagonal/>
    </border>
    <border>
      <left/>
      <right style="thin">
        <color theme="5"/>
      </right>
      <top style="thin">
        <color theme="5"/>
      </top>
      <bottom style="thin">
        <color theme="5"/>
      </bottom>
      <diagonal/>
    </border>
    <border>
      <left style="dashed">
        <color auto="1"/>
      </left>
      <right/>
      <top style="dashed">
        <color auto="1"/>
      </top>
      <bottom/>
      <diagonal/>
    </border>
    <border>
      <left/>
      <right/>
      <top style="dashed">
        <color auto="1"/>
      </top>
      <bottom/>
      <diagonal/>
    </border>
    <border>
      <left style="dashed">
        <color auto="1"/>
      </left>
      <right/>
      <top style="thin">
        <color indexed="64"/>
      </top>
      <bottom/>
      <diagonal/>
    </border>
    <border>
      <left style="dashed">
        <color auto="1"/>
      </left>
      <right style="thin">
        <color theme="0" tint="-0.24994659260841701"/>
      </right>
      <top style="thin">
        <color theme="0" tint="-0.24994659260841701"/>
      </top>
      <bottom/>
      <diagonal/>
    </border>
    <border>
      <left style="thin">
        <color theme="7" tint="-0.499984740745262"/>
      </left>
      <right/>
      <top style="thick">
        <color theme="7" tint="-0.499984740745262"/>
      </top>
      <bottom/>
      <diagonal/>
    </border>
    <border>
      <left/>
      <right/>
      <top style="thick">
        <color theme="7" tint="-0.499984740745262"/>
      </top>
      <bottom/>
      <diagonal/>
    </border>
    <border>
      <left style="thin">
        <color theme="7" tint="-0.499984740745262"/>
      </left>
      <right/>
      <top style="thick">
        <color theme="7" tint="-0.499984740745262"/>
      </top>
      <bottom style="thin">
        <color theme="7" tint="-0.499984740745262"/>
      </bottom>
      <diagonal/>
    </border>
    <border>
      <left/>
      <right style="thin">
        <color theme="7" tint="-0.499984740745262"/>
      </right>
      <top style="thick">
        <color theme="7" tint="-0.499984740745262"/>
      </top>
      <bottom style="thin">
        <color theme="7" tint="-0.499984740745262"/>
      </bottom>
      <diagonal/>
    </border>
    <border>
      <left/>
      <right/>
      <top/>
      <bottom style="thin">
        <color theme="0" tint="-0.24994659260841701"/>
      </bottom>
      <diagonal/>
    </border>
    <border>
      <left/>
      <right/>
      <top style="thick">
        <color theme="7" tint="-0.499984740745262"/>
      </top>
      <bottom style="thin">
        <color theme="7" tint="-0.499984740745262"/>
      </bottom>
      <diagonal/>
    </border>
    <border>
      <left style="thin">
        <color theme="0" tint="-0.24994659260841701"/>
      </left>
      <right style="thin">
        <color theme="0" tint="-0.24994659260841701"/>
      </right>
      <top style="thick">
        <color theme="7" tint="-0.499984740745262"/>
      </top>
      <bottom style="thin">
        <color theme="0" tint="-0.24994659260841701"/>
      </bottom>
      <diagonal/>
    </border>
    <border>
      <left style="thin">
        <color theme="0" tint="-0.24994659260841701"/>
      </left>
      <right/>
      <top style="thick">
        <color theme="7" tint="-0.499984740745262"/>
      </top>
      <bottom/>
      <diagonal/>
    </border>
    <border>
      <left/>
      <right style="dashed">
        <color rgb="FF071040"/>
      </right>
      <top style="thick">
        <color theme="7" tint="-0.499984740745262"/>
      </top>
      <bottom/>
      <diagonal/>
    </border>
    <border>
      <left style="dashed">
        <color auto="1"/>
      </left>
      <right/>
      <top style="thin">
        <color theme="7" tint="-0.499984740745262"/>
      </top>
      <bottom/>
      <diagonal/>
    </border>
    <border>
      <left style="dashed">
        <color auto="1"/>
      </left>
      <right style="thin">
        <color theme="0" tint="-0.24994659260841701"/>
      </right>
      <top style="thin">
        <color theme="0" tint="-0.24994659260841701"/>
      </top>
      <bottom style="thin">
        <color theme="0" tint="-0.24994659260841701"/>
      </bottom>
      <diagonal/>
    </border>
    <border>
      <left/>
      <right style="dashed">
        <color auto="1"/>
      </right>
      <top style="dashed">
        <color auto="1"/>
      </top>
      <bottom/>
      <diagonal/>
    </border>
    <border>
      <left/>
      <right style="thin">
        <color theme="0" tint="-0.24994659260841701"/>
      </right>
      <top style="thin">
        <color theme="0" tint="-0.24994659260841701"/>
      </top>
      <bottom style="thin">
        <color indexed="64"/>
      </bottom>
      <diagonal/>
    </border>
    <border>
      <left style="thin">
        <color theme="0" tint="-0.24994659260841701"/>
      </left>
      <right style="thin">
        <color theme="0" tint="-0.24994659260841701"/>
      </right>
      <top style="thin">
        <color theme="7" tint="-0.499984740745262"/>
      </top>
      <bottom style="thin">
        <color theme="0" tint="-0.24994659260841701"/>
      </bottom>
      <diagonal/>
    </border>
    <border>
      <left style="thick">
        <color rgb="FF071040"/>
      </left>
      <right/>
      <top style="thin">
        <color theme="7" tint="-0.499984740745262"/>
      </top>
      <bottom/>
      <diagonal/>
    </border>
    <border>
      <left style="dashed">
        <color rgb="FF071040"/>
      </left>
      <right/>
      <top style="thin">
        <color theme="7" tint="-0.499984740745262"/>
      </top>
      <bottom/>
      <diagonal/>
    </border>
    <border>
      <left style="dashed">
        <color rgb="FF071040"/>
      </left>
      <right/>
      <top/>
      <bottom style="thick">
        <color theme="7" tint="-0.499984740745262"/>
      </bottom>
      <diagonal/>
    </border>
    <border>
      <left/>
      <right/>
      <top style="thin">
        <color theme="7" tint="-0.499984740745262"/>
      </top>
      <bottom style="thin">
        <color theme="7" tint="-0.499984740745262"/>
      </bottom>
      <diagonal/>
    </border>
    <border>
      <left style="thin">
        <color theme="5"/>
      </left>
      <right/>
      <top style="thin">
        <color theme="5"/>
      </top>
      <bottom/>
      <diagonal/>
    </border>
    <border>
      <left/>
      <right/>
      <top style="thin">
        <color theme="5"/>
      </top>
      <bottom/>
      <diagonal/>
    </border>
    <border>
      <left/>
      <right style="thin">
        <color theme="5"/>
      </right>
      <top style="thin">
        <color theme="5"/>
      </top>
      <bottom/>
      <diagonal/>
    </border>
    <border>
      <left style="thin">
        <color theme="5"/>
      </left>
      <right/>
      <top/>
      <bottom style="thick">
        <color theme="4" tint="-0.24994659260841701"/>
      </bottom>
      <diagonal/>
    </border>
    <border>
      <left/>
      <right style="thin">
        <color theme="5"/>
      </right>
      <top/>
      <bottom style="thick">
        <color theme="4" tint="-0.24994659260841701"/>
      </bottom>
      <diagonal/>
    </border>
    <border>
      <left style="dashed">
        <color auto="1"/>
      </left>
      <right/>
      <top style="thick">
        <color theme="4" tint="-0.24994659260841701"/>
      </top>
      <bottom/>
      <diagonal/>
    </border>
    <border>
      <left style="hair">
        <color theme="4" tint="-0.24994659260841701"/>
      </left>
      <right/>
      <top style="hair">
        <color theme="4" tint="-0.24994659260841701"/>
      </top>
      <bottom/>
      <diagonal/>
    </border>
    <border>
      <left/>
      <right/>
      <top style="hair">
        <color theme="4" tint="-0.24994659260841701"/>
      </top>
      <bottom/>
      <diagonal/>
    </border>
    <border>
      <left/>
      <right style="hair">
        <color theme="4" tint="-0.24994659260841701"/>
      </right>
      <top style="hair">
        <color theme="4" tint="-0.24994659260841701"/>
      </top>
      <bottom/>
      <diagonal/>
    </border>
    <border>
      <left style="hair">
        <color theme="4" tint="-0.24994659260841701"/>
      </left>
      <right/>
      <top/>
      <bottom/>
      <diagonal/>
    </border>
    <border>
      <left/>
      <right style="hair">
        <color theme="4" tint="-0.24994659260841701"/>
      </right>
      <top/>
      <bottom/>
      <diagonal/>
    </border>
    <border>
      <left style="hair">
        <color theme="4" tint="-0.24994659260841701"/>
      </left>
      <right/>
      <top/>
      <bottom style="hair">
        <color theme="4" tint="-0.24994659260841701"/>
      </bottom>
      <diagonal/>
    </border>
    <border>
      <left/>
      <right/>
      <top/>
      <bottom style="hair">
        <color theme="4" tint="-0.24994659260841701"/>
      </bottom>
      <diagonal/>
    </border>
    <border>
      <left/>
      <right style="hair">
        <color theme="4" tint="-0.24994659260841701"/>
      </right>
      <top/>
      <bottom style="hair">
        <color theme="4" tint="-0.24994659260841701"/>
      </bottom>
      <diagonal/>
    </border>
    <border>
      <left style="thin">
        <color auto="1"/>
      </left>
      <right/>
      <top style="thick">
        <color theme="4" tint="-0.24994659260841701"/>
      </top>
      <bottom/>
      <diagonal/>
    </border>
    <border>
      <left style="thin">
        <color auto="1"/>
      </left>
      <right/>
      <top style="thin">
        <color indexed="64"/>
      </top>
      <bottom style="double">
        <color indexed="64"/>
      </bottom>
      <diagonal/>
    </border>
    <border>
      <left style="hair">
        <color theme="3" tint="-0.499984740745262"/>
      </left>
      <right/>
      <top style="hair">
        <color theme="3" tint="-0.499984740745262"/>
      </top>
      <bottom/>
      <diagonal/>
    </border>
    <border>
      <left style="hair">
        <color theme="3" tint="-0.499984740745262"/>
      </left>
      <right/>
      <top/>
      <bottom/>
      <diagonal/>
    </border>
    <border>
      <left/>
      <right style="hair">
        <color theme="3" tint="-0.499984740745262"/>
      </right>
      <top/>
      <bottom/>
      <diagonal/>
    </border>
    <border>
      <left style="hair">
        <color theme="3" tint="-0.499984740745262"/>
      </left>
      <right/>
      <top/>
      <bottom style="thin">
        <color indexed="64"/>
      </bottom>
      <diagonal/>
    </border>
    <border>
      <left/>
      <right style="hair">
        <color theme="3" tint="-0.499984740745262"/>
      </right>
      <top/>
      <bottom style="thin">
        <color indexed="64"/>
      </bottom>
      <diagonal/>
    </border>
    <border>
      <left style="hair">
        <color theme="3" tint="-0.499984740745262"/>
      </left>
      <right/>
      <top style="thin">
        <color indexed="64"/>
      </top>
      <bottom/>
      <diagonal/>
    </border>
    <border>
      <left/>
      <right style="hair">
        <color theme="3" tint="-0.499984740745262"/>
      </right>
      <top style="thin">
        <color indexed="64"/>
      </top>
      <bottom/>
      <diagonal/>
    </border>
    <border>
      <left style="hair">
        <color theme="3" tint="-0.499984740745262"/>
      </left>
      <right/>
      <top style="thin">
        <color indexed="64"/>
      </top>
      <bottom style="thin">
        <color indexed="64"/>
      </bottom>
      <diagonal/>
    </border>
    <border>
      <left/>
      <right style="hair">
        <color theme="3" tint="-0.499984740745262"/>
      </right>
      <top style="thin">
        <color indexed="64"/>
      </top>
      <bottom style="thin">
        <color indexed="64"/>
      </bottom>
      <diagonal/>
    </border>
    <border>
      <left style="hair">
        <color theme="3" tint="-0.499984740745262"/>
      </left>
      <right/>
      <top style="thin">
        <color indexed="64"/>
      </top>
      <bottom style="double">
        <color indexed="64"/>
      </bottom>
      <diagonal/>
    </border>
    <border>
      <left/>
      <right style="hair">
        <color theme="3" tint="-0.499984740745262"/>
      </right>
      <top style="thin">
        <color indexed="64"/>
      </top>
      <bottom style="double">
        <color indexed="64"/>
      </bottom>
      <diagonal/>
    </border>
    <border>
      <left/>
      <right/>
      <top style="hair">
        <color theme="3" tint="-0.499984740745262"/>
      </top>
      <bottom/>
      <diagonal/>
    </border>
    <border>
      <left style="hair">
        <color theme="3" tint="-0.499984740745262"/>
      </left>
      <right style="hair">
        <color theme="3" tint="-0.499984740745262"/>
      </right>
      <top/>
      <bottom/>
      <diagonal/>
    </border>
    <border>
      <left style="hair">
        <color theme="3" tint="-0.499984740745262"/>
      </left>
      <right style="hair">
        <color theme="3" tint="-0.499984740745262"/>
      </right>
      <top/>
      <bottom style="hair">
        <color theme="3" tint="-0.499984740745262"/>
      </bottom>
      <diagonal/>
    </border>
    <border>
      <left style="hair">
        <color theme="3" tint="-0.499984740745262"/>
      </left>
      <right style="hair">
        <color theme="3" tint="-0.499984740745262"/>
      </right>
      <top style="thick">
        <color theme="4" tint="-0.24994659260841701"/>
      </top>
      <bottom/>
      <diagonal/>
    </border>
    <border>
      <left style="hair">
        <color theme="3" tint="-0.499984740745262"/>
      </left>
      <right/>
      <top style="thick">
        <color theme="4" tint="-0.24994659260841701"/>
      </top>
      <bottom/>
      <diagonal/>
    </border>
    <border>
      <left/>
      <right style="hair">
        <color theme="3" tint="-0.499984740745262"/>
      </right>
      <top style="thick">
        <color theme="4" tint="-0.24994659260841701"/>
      </top>
      <bottom/>
      <diagonal/>
    </border>
    <border>
      <left style="hair">
        <color theme="3" tint="-0.499984740745262"/>
      </left>
      <right style="hair">
        <color theme="3" tint="-0.499984740745262"/>
      </right>
      <top style="thin">
        <color indexed="64"/>
      </top>
      <bottom style="double">
        <color indexed="64"/>
      </bottom>
      <diagonal/>
    </border>
    <border>
      <left style="hair">
        <color theme="3" tint="-0.499984740745262"/>
      </left>
      <right style="hair">
        <color theme="3" tint="-0.499984740745262"/>
      </right>
      <top style="thin">
        <color indexed="64"/>
      </top>
      <bottom style="hair">
        <color theme="3" tint="-0.499984740745262"/>
      </bottom>
      <diagonal/>
    </border>
    <border>
      <left style="hair">
        <color theme="3" tint="-0.499984740745262"/>
      </left>
      <right/>
      <top style="hair">
        <color theme="3" tint="-0.499984740745262"/>
      </top>
      <bottom style="hair">
        <color theme="3" tint="-0.499984740745262"/>
      </bottom>
      <diagonal/>
    </border>
    <border>
      <left/>
      <right/>
      <top style="hair">
        <color theme="3" tint="-0.499984740745262"/>
      </top>
      <bottom style="hair">
        <color theme="3" tint="-0.499984740745262"/>
      </bottom>
      <diagonal/>
    </border>
    <border>
      <left/>
      <right style="hair">
        <color theme="3" tint="-0.499984740745262"/>
      </right>
      <top style="hair">
        <color theme="3" tint="-0.499984740745262"/>
      </top>
      <bottom style="hair">
        <color theme="3" tint="-0.499984740745262"/>
      </bottom>
      <diagonal/>
    </border>
    <border>
      <left style="thin">
        <color indexed="64"/>
      </left>
      <right style="hair">
        <color theme="3" tint="-0.499984740745262"/>
      </right>
      <top style="hair">
        <color theme="3" tint="-0.499984740745262"/>
      </top>
      <bottom/>
      <diagonal/>
    </border>
    <border>
      <left/>
      <right style="dashed">
        <color auto="1"/>
      </right>
      <top style="thick">
        <color theme="4" tint="-0.24994659260841701"/>
      </top>
      <bottom/>
      <diagonal/>
    </border>
    <border>
      <left/>
      <right/>
      <top style="thick">
        <color theme="4" tint="-0.24994659260841701"/>
      </top>
      <bottom/>
      <diagonal/>
    </border>
    <border>
      <left style="thin">
        <color theme="0" tint="-0.24994659260841701"/>
      </left>
      <right style="thin">
        <color theme="0" tint="-0.24994659260841701"/>
      </right>
      <top style="thin">
        <color theme="0" tint="-0.24994659260841701"/>
      </top>
      <bottom style="thin">
        <color auto="1"/>
      </bottom>
      <diagonal/>
    </border>
    <border>
      <left/>
      <right style="dashed">
        <color auto="1"/>
      </right>
      <top/>
      <bottom style="thin">
        <color indexed="64"/>
      </bottom>
      <diagonal/>
    </border>
    <border>
      <left/>
      <right/>
      <top style="thin">
        <color auto="1"/>
      </top>
      <bottom/>
      <diagonal/>
    </border>
    <border>
      <left/>
      <right/>
      <top style="thick">
        <color theme="7" tint="-0.499984740745262"/>
      </top>
      <bottom style="thin">
        <color theme="0" tint="-0.24994659260841701"/>
      </bottom>
      <diagonal/>
    </border>
    <border>
      <left/>
      <right style="thin">
        <color theme="0" tint="-0.24994659260841701"/>
      </right>
      <top/>
      <bottom/>
      <diagonal/>
    </border>
    <border>
      <left/>
      <right/>
      <top style="thin">
        <color theme="5"/>
      </top>
      <bottom style="thick">
        <color theme="4" tint="-0.24994659260841701"/>
      </bottom>
      <diagonal/>
    </border>
    <border>
      <left style="hair">
        <color theme="4" tint="-0.24994659260841701"/>
      </left>
      <right/>
      <top style="thick">
        <color theme="4" tint="-0.24994659260841701"/>
      </top>
      <bottom/>
      <diagonal/>
    </border>
    <border>
      <left style="hair">
        <color theme="4" tint="-0.24994659260841701"/>
      </left>
      <right/>
      <top/>
      <bottom style="thick">
        <color theme="3" tint="-0.499984740745262"/>
      </bottom>
      <diagonal/>
    </border>
    <border>
      <left/>
      <right style="hair">
        <color theme="4" tint="-0.24994659260841701"/>
      </right>
      <top style="thick">
        <color theme="4" tint="-0.24994659260841701"/>
      </top>
      <bottom/>
      <diagonal/>
    </border>
    <border>
      <left style="thin">
        <color rgb="FFB2B2B2"/>
      </left>
      <right style="thin">
        <color rgb="FFB2B2B2"/>
      </right>
      <top style="thin">
        <color rgb="FFB2B2B2"/>
      </top>
      <bottom style="thin">
        <color rgb="FFB2B2B2"/>
      </bottom>
      <diagonal/>
    </border>
    <border>
      <left style="thin">
        <color theme="0" tint="-0.24994659260841701"/>
      </left>
      <right style="thin">
        <color theme="0" tint="-0.24994659260841701"/>
      </right>
      <top style="thin">
        <color theme="0" tint="-0.24994659260841701"/>
      </top>
      <bottom style="dashed">
        <color auto="1"/>
      </bottom>
      <diagonal/>
    </border>
    <border>
      <left/>
      <right/>
      <top style="hair">
        <color theme="4" tint="-0.24994659260841701"/>
      </top>
      <bottom style="hair">
        <color theme="4" tint="-0.24994659260841701"/>
      </bottom>
      <diagonal/>
    </border>
    <border>
      <left style="thin">
        <color theme="0" tint="-0.24994659260841701"/>
      </left>
      <right/>
      <top/>
      <bottom/>
      <diagonal/>
    </border>
    <border>
      <left style="thin">
        <color theme="0" tint="-0.24994659260841701"/>
      </left>
      <right style="thin">
        <color theme="0" tint="-0.24994659260841701"/>
      </right>
      <top style="thin">
        <color theme="0" tint="-0.24994659260841701"/>
      </top>
      <bottom style="thick">
        <color theme="7" tint="-0.499984740745262"/>
      </bottom>
      <diagonal/>
    </border>
    <border>
      <left style="hair">
        <color auto="1"/>
      </left>
      <right/>
      <top/>
      <bottom/>
      <diagonal/>
    </border>
    <border>
      <left/>
      <right/>
      <top style="thick">
        <color theme="4" tint="-0.24994659260841701"/>
      </top>
      <bottom style="thick">
        <color theme="7" tint="-0.499984740745262"/>
      </bottom>
      <diagonal/>
    </border>
    <border>
      <left/>
      <right style="thin">
        <color theme="0" tint="-0.24994659260841701"/>
      </right>
      <top style="thick">
        <color theme="7" tint="-0.499984740745262"/>
      </top>
      <bottom style="thin">
        <color theme="0" tint="-0.24994659260841701"/>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rgb="FF000000"/>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dashed">
        <color rgb="FFFF0000"/>
      </bottom>
      <diagonal/>
    </border>
    <border>
      <left style="thin">
        <color theme="0"/>
      </left>
      <right style="thin">
        <color theme="0"/>
      </right>
      <top style="thin">
        <color theme="0"/>
      </top>
      <bottom style="thin">
        <color theme="0"/>
      </bottom>
      <diagonal/>
    </border>
    <border>
      <left/>
      <right/>
      <top style="dotted">
        <color rgb="FFFF0000"/>
      </top>
      <bottom/>
      <diagonal/>
    </border>
    <border>
      <left style="hair">
        <color theme="4" tint="-0.24994659260841701"/>
      </left>
      <right/>
      <top style="hair">
        <color theme="4" tint="-0.24994659260841701"/>
      </top>
      <bottom style="thick">
        <color theme="3" tint="-0.499984740745262"/>
      </bottom>
      <diagonal/>
    </border>
    <border>
      <left/>
      <right/>
      <top style="hair">
        <color theme="4" tint="-0.24994659260841701"/>
      </top>
      <bottom style="thick">
        <color theme="3" tint="-0.499984740745262"/>
      </bottom>
      <diagonal/>
    </border>
    <border>
      <left/>
      <right style="hair">
        <color theme="4" tint="-0.24994659260841701"/>
      </right>
      <top style="hair">
        <color theme="4" tint="-0.24994659260841701"/>
      </top>
      <bottom style="thick">
        <color theme="3" tint="-0.499984740745262"/>
      </bottom>
      <diagonal/>
    </border>
    <border>
      <left style="hair">
        <color auto="1"/>
      </left>
      <right/>
      <top style="thin">
        <color theme="7" tint="-0.499984740745262"/>
      </top>
      <bottom/>
      <diagonal/>
    </border>
    <border>
      <left style="thin">
        <color theme="0" tint="-0.24994659260841701"/>
      </left>
      <right/>
      <top style="thick">
        <color theme="7" tint="-0.499984740745262"/>
      </top>
      <bottom style="thin">
        <color theme="0" tint="-0.24994659260841701"/>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style="thin">
        <color theme="0" tint="-0.24994659260841701"/>
      </left>
      <right/>
      <top/>
      <bottom style="dashed">
        <color auto="1"/>
      </bottom>
      <diagonal/>
    </border>
    <border>
      <left/>
      <right style="dashed">
        <color auto="1"/>
      </right>
      <top/>
      <bottom style="dashed">
        <color auto="1"/>
      </bottom>
      <diagonal/>
    </border>
    <border>
      <left style="thin">
        <color theme="7" tint="-0.499984740745262"/>
      </left>
      <right/>
      <top style="thin">
        <color theme="7" tint="-0.499984740745262"/>
      </top>
      <bottom style="thin">
        <color theme="7" tint="-0.499984740745262"/>
      </bottom>
      <diagonal/>
    </border>
    <border>
      <left/>
      <right style="thin">
        <color theme="7" tint="-0.499984740745262"/>
      </right>
      <top style="thin">
        <color theme="7" tint="-0.499984740745262"/>
      </top>
      <bottom style="thin">
        <color theme="7" tint="-0.499984740745262"/>
      </bottom>
      <diagonal/>
    </border>
    <border>
      <left style="dashed">
        <color auto="1"/>
      </left>
      <right/>
      <top style="thin">
        <color theme="0" tint="-0.24994659260841701"/>
      </top>
      <bottom/>
      <diagonal/>
    </border>
    <border>
      <left style="thin">
        <color theme="0" tint="-0.24994659260841701"/>
      </left>
      <right/>
      <top/>
      <bottom style="thin">
        <color theme="7" tint="-0.499984740745262"/>
      </bottom>
      <diagonal/>
    </border>
    <border>
      <left/>
      <right/>
      <top/>
      <bottom style="thin">
        <color theme="7" tint="-0.499984740745262"/>
      </bottom>
      <diagonal/>
    </border>
    <border>
      <left/>
      <right style="dashed">
        <color auto="1"/>
      </right>
      <top style="dotted">
        <color auto="1"/>
      </top>
      <bottom/>
      <diagonal/>
    </border>
    <border>
      <left/>
      <right/>
      <top style="dotted">
        <color auto="1"/>
      </top>
      <bottom/>
      <diagonal/>
    </border>
    <border>
      <left style="thin">
        <color theme="0" tint="-0.24994659260841701"/>
      </left>
      <right style="dotted">
        <color theme="7" tint="-0.499984740745262"/>
      </right>
      <top style="thick">
        <color theme="7" tint="-0.499984740745262"/>
      </top>
      <bottom style="thin">
        <color theme="0" tint="-0.24994659260841701"/>
      </bottom>
      <diagonal/>
    </border>
    <border>
      <left/>
      <right style="thin">
        <color theme="0" tint="-0.24994659260841701"/>
      </right>
      <top style="thin">
        <color theme="0" tint="-0.24994659260841701"/>
      </top>
      <bottom/>
      <diagonal/>
    </border>
    <border>
      <left style="thin">
        <color theme="0" tint="-0.24994659260841701"/>
      </left>
      <right style="dotted">
        <color theme="7" tint="-0.499984740745262"/>
      </right>
      <top style="thin">
        <color theme="0" tint="-0.24994659260841701"/>
      </top>
      <bottom style="thin">
        <color theme="0" tint="-0.24994659260841701"/>
      </bottom>
      <diagonal/>
    </border>
    <border>
      <left style="dotted">
        <color auto="1"/>
      </left>
      <right/>
      <top style="thin">
        <color theme="5"/>
      </top>
      <bottom style="thin">
        <color theme="5"/>
      </bottom>
      <diagonal/>
    </border>
    <border>
      <left style="thin">
        <color theme="0" tint="-0.34998626667073579"/>
      </left>
      <right/>
      <top style="thin">
        <color theme="5"/>
      </top>
      <bottom style="thick">
        <color theme="4" tint="-0.24994659260841701"/>
      </bottom>
      <diagonal/>
    </border>
    <border>
      <left style="dotted">
        <color auto="1"/>
      </left>
      <right/>
      <top style="thin">
        <color theme="5"/>
      </top>
      <bottom style="thick">
        <color theme="4" tint="-0.24994659260841701"/>
      </bottom>
      <diagonal/>
    </border>
    <border>
      <left/>
      <right style="thin">
        <color theme="0" tint="-0.34998626667073579"/>
      </right>
      <top style="thin">
        <color theme="5"/>
      </top>
      <bottom style="thick">
        <color theme="4" tint="-0.24994659260841701"/>
      </bottom>
      <diagonal/>
    </border>
    <border>
      <left style="dotted">
        <color auto="1"/>
      </left>
      <right/>
      <top/>
      <bottom/>
      <diagonal/>
    </border>
    <border>
      <left style="dotted">
        <color auto="1"/>
      </left>
      <right/>
      <top style="thin">
        <color indexed="64"/>
      </top>
      <bottom style="double">
        <color indexed="64"/>
      </bottom>
      <diagonal/>
    </border>
    <border>
      <left style="dotted">
        <color auto="1"/>
      </left>
      <right/>
      <top style="double">
        <color indexed="64"/>
      </top>
      <bottom style="thin">
        <color theme="5"/>
      </bottom>
      <diagonal/>
    </border>
    <border>
      <left/>
      <right style="thin">
        <color theme="5"/>
      </right>
      <top style="thin">
        <color theme="5"/>
      </top>
      <bottom style="thick">
        <color theme="4" tint="-0.24994659260841701"/>
      </bottom>
      <diagonal/>
    </border>
    <border>
      <left style="dotted">
        <color auto="1"/>
      </left>
      <right/>
      <top style="thick">
        <color theme="4" tint="-0.24994659260841701"/>
      </top>
      <bottom/>
      <diagonal/>
    </border>
    <border>
      <left style="dotted">
        <color auto="1"/>
      </left>
      <right/>
      <top style="thin">
        <color theme="5"/>
      </top>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style="thin">
        <color theme="0" tint="-0.24994659260841701"/>
      </left>
      <right style="thin">
        <color theme="0" tint="-0.24994659260841701"/>
      </right>
      <top style="dashed">
        <color auto="1"/>
      </top>
      <bottom style="thin">
        <color theme="0" tint="-0.24994659260841701"/>
      </bottom>
      <diagonal/>
    </border>
    <border>
      <left/>
      <right/>
      <top/>
      <bottom style="dotted">
        <color auto="1"/>
      </bottom>
      <diagonal/>
    </border>
    <border>
      <left style="dashed">
        <color theme="7" tint="-0.499984740745262"/>
      </left>
      <right/>
      <top style="thin">
        <color theme="7" tint="-0.499984740745262"/>
      </top>
      <bottom/>
      <diagonal/>
    </border>
    <border>
      <left style="dashed">
        <color theme="7" tint="-0.499984740745262"/>
      </left>
      <right/>
      <top/>
      <bottom style="dashed">
        <color auto="1"/>
      </bottom>
      <diagonal/>
    </border>
    <border>
      <left/>
      <right/>
      <top style="dashed">
        <color rgb="FF0038A8"/>
      </top>
      <bottom/>
      <diagonal/>
    </border>
    <border>
      <left style="thin">
        <color theme="7" tint="-0.499984740745262"/>
      </left>
      <right/>
      <top/>
      <bottom style="thin">
        <color theme="7" tint="-0.499984740745262"/>
      </bottom>
      <diagonal/>
    </border>
    <border>
      <left/>
      <right style="thin">
        <color theme="7" tint="-0.499984740745262"/>
      </right>
      <top/>
      <bottom style="thin">
        <color theme="7" tint="-0.499984740745262"/>
      </bottom>
      <diagonal/>
    </border>
    <border>
      <left style="thin">
        <color theme="0" tint="-0.24994659260841701"/>
      </left>
      <right/>
      <top style="thin">
        <color theme="0" tint="-0.24994659260841701"/>
      </top>
      <bottom/>
      <diagonal/>
    </border>
    <border>
      <left/>
      <right style="thin">
        <color theme="5"/>
      </right>
      <top/>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style="thin">
        <color rgb="FF7F7F7F"/>
      </left>
      <right style="thin">
        <color rgb="FF7F7F7F"/>
      </right>
      <top style="thin">
        <color rgb="FF7F7F7F"/>
      </top>
      <bottom style="thin">
        <color rgb="FF7F7F7F"/>
      </bottom>
      <diagonal/>
    </border>
    <border>
      <left style="hair">
        <color auto="1"/>
      </left>
      <right/>
      <top/>
      <bottom style="thin">
        <color indexed="64"/>
      </bottom>
      <diagonal/>
    </border>
    <border>
      <left style="thin">
        <color theme="0" tint="-0.24994659260841701"/>
      </left>
      <right style="thin">
        <color theme="0" tint="-0.24994659260841701"/>
      </right>
      <top style="thin">
        <color indexed="64"/>
      </top>
      <bottom style="thin">
        <color theme="0" tint="-0.24994659260841701"/>
      </bottom>
      <diagonal/>
    </border>
    <border>
      <left style="thin">
        <color theme="0" tint="-0.24994659260841701"/>
      </left>
      <right/>
      <top style="thin">
        <color indexed="64"/>
      </top>
      <bottom/>
      <diagonal/>
    </border>
    <border>
      <left/>
      <right/>
      <top style="thin">
        <color indexed="64"/>
      </top>
      <bottom style="thin">
        <color theme="0" tint="-0.24994659260841701"/>
      </bottom>
      <diagonal/>
    </border>
    <border>
      <left style="dashed">
        <color auto="1"/>
      </left>
      <right/>
      <top style="thick">
        <color theme="7" tint="-0.499984740745262"/>
      </top>
      <bottom style="thin">
        <color theme="7" tint="-0.499984740745262"/>
      </bottom>
      <diagonal/>
    </border>
    <border>
      <left style="dashed">
        <color auto="1"/>
      </left>
      <right/>
      <top style="thin">
        <color theme="0" tint="-0.24994659260841701"/>
      </top>
      <bottom style="thin">
        <color theme="0" tint="-0.24994659260841701"/>
      </bottom>
      <diagonal/>
    </border>
    <border>
      <left style="dashed">
        <color auto="1"/>
      </left>
      <right/>
      <top style="thin">
        <color indexed="64"/>
      </top>
      <bottom style="thin">
        <color indexed="64"/>
      </bottom>
      <diagonal/>
    </border>
    <border>
      <left style="dashed">
        <color auto="1"/>
      </left>
      <right/>
      <top style="thin">
        <color theme="0" tint="-0.24994659260841701"/>
      </top>
      <bottom style="thin">
        <color indexed="64"/>
      </bottom>
      <diagonal/>
    </border>
    <border>
      <left style="thin">
        <color theme="0" tint="-0.24994659260841701"/>
      </left>
      <right style="dashed">
        <color auto="1"/>
      </right>
      <top/>
      <bottom style="thin">
        <color auto="1"/>
      </bottom>
      <diagonal/>
    </border>
    <border>
      <left/>
      <right style="thin">
        <color theme="0" tint="-0.24994659260841701"/>
      </right>
      <top/>
      <bottom style="thin">
        <color auto="1"/>
      </bottom>
      <diagonal/>
    </border>
    <border>
      <left style="thin">
        <color theme="0" tint="-0.24994659260841701"/>
      </left>
      <right style="thin">
        <color theme="0" tint="-0.24994659260841701"/>
      </right>
      <top style="thin">
        <color indexed="64"/>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auto="1"/>
      </bottom>
      <diagonal/>
    </border>
    <border>
      <left/>
      <right style="dotted">
        <color auto="1"/>
      </right>
      <top style="thin">
        <color auto="1"/>
      </top>
      <bottom style="double">
        <color indexed="64"/>
      </bottom>
      <diagonal/>
    </border>
    <border>
      <left style="dashed">
        <color auto="1"/>
      </left>
      <right/>
      <top style="double">
        <color indexed="64"/>
      </top>
      <bottom style="thick">
        <color theme="7" tint="-0.499984740745262"/>
      </bottom>
      <diagonal/>
    </border>
    <border>
      <left/>
      <right/>
      <top style="double">
        <color indexed="64"/>
      </top>
      <bottom style="thick">
        <color theme="7" tint="-0.499984740745262"/>
      </bottom>
      <diagonal/>
    </border>
    <border>
      <left/>
      <right style="dashed">
        <color auto="1"/>
      </right>
      <top style="double">
        <color indexed="64"/>
      </top>
      <bottom style="thick">
        <color theme="7" tint="-0.499984740745262"/>
      </bottom>
      <diagonal/>
    </border>
    <border>
      <left/>
      <right/>
      <top/>
      <bottom style="medium">
        <color theme="0" tint="-0.24994659260841701"/>
      </bottom>
      <diagonal/>
    </border>
    <border>
      <left style="medium">
        <color theme="0" tint="-0.24994659260841701"/>
      </left>
      <right/>
      <top style="medium">
        <color theme="0" tint="-0.24994659260841701"/>
      </top>
      <bottom style="medium">
        <color theme="0" tint="-0.24994659260841701"/>
      </bottom>
      <diagonal/>
    </border>
    <border>
      <left/>
      <right/>
      <top style="medium">
        <color theme="0" tint="-0.24994659260841701"/>
      </top>
      <bottom style="medium">
        <color theme="0" tint="-0.24994659260841701"/>
      </bottom>
      <diagonal/>
    </border>
    <border>
      <left/>
      <right style="medium">
        <color theme="0" tint="-0.24994659260841701"/>
      </right>
      <top style="medium">
        <color theme="0" tint="-0.24994659260841701"/>
      </top>
      <bottom style="medium">
        <color theme="0" tint="-0.24994659260841701"/>
      </bottom>
      <diagonal/>
    </border>
    <border>
      <left/>
      <right/>
      <top style="thick">
        <color rgb="FF00B0F0"/>
      </top>
      <bottom/>
      <diagonal/>
    </border>
    <border>
      <left/>
      <right/>
      <top style="medium">
        <color rgb="FF00B0F0"/>
      </top>
      <bottom style="hair">
        <color auto="1"/>
      </bottom>
      <diagonal/>
    </border>
    <border>
      <left style="hair">
        <color theme="0" tint="-0.34998626667073579"/>
      </left>
      <right/>
      <top style="thick">
        <color rgb="FF00B0F0"/>
      </top>
      <bottom/>
      <diagonal/>
    </border>
    <border>
      <left/>
      <right style="hair">
        <color theme="0" tint="-0.499984740745262"/>
      </right>
      <top style="thick">
        <color rgb="FF00B0F0"/>
      </top>
      <bottom/>
      <diagonal/>
    </border>
    <border>
      <left style="hair">
        <color theme="0" tint="-0.34998626667073579"/>
      </left>
      <right/>
      <top/>
      <bottom/>
      <diagonal/>
    </border>
    <border>
      <left/>
      <right style="hair">
        <color theme="0" tint="-0.499984740745262"/>
      </right>
      <top/>
      <bottom/>
      <diagonal/>
    </border>
    <border>
      <left style="dashed">
        <color auto="1"/>
      </left>
      <right/>
      <top style="dashed">
        <color auto="1"/>
      </top>
      <bottom style="dashed">
        <color auto="1"/>
      </bottom>
      <diagonal/>
    </border>
    <border>
      <left/>
      <right/>
      <top style="dashed">
        <color auto="1"/>
      </top>
      <bottom style="dashed">
        <color auto="1"/>
      </bottom>
      <diagonal/>
    </border>
    <border>
      <left/>
      <right style="dashed">
        <color auto="1"/>
      </right>
      <top style="dashed">
        <color auto="1"/>
      </top>
      <bottom style="dashed">
        <color auto="1"/>
      </bottom>
      <diagonal/>
    </border>
    <border>
      <left/>
      <right/>
      <top style="hair">
        <color auto="1"/>
      </top>
      <bottom/>
      <diagonal/>
    </border>
    <border>
      <left/>
      <right style="thin">
        <color indexed="64"/>
      </right>
      <top style="medium">
        <color theme="0" tint="-0.24994659260841701"/>
      </top>
      <bottom/>
      <diagonal/>
    </border>
    <border>
      <left style="hair">
        <color theme="3" tint="-0.499984740745262"/>
      </left>
      <right/>
      <top style="double">
        <color indexed="64"/>
      </top>
      <bottom/>
      <diagonal/>
    </border>
    <border>
      <left/>
      <right style="hair">
        <color theme="3" tint="-0.499984740745262"/>
      </right>
      <top style="double">
        <color indexed="64"/>
      </top>
      <bottom/>
      <diagonal/>
    </border>
    <border>
      <left/>
      <right style="thin">
        <color theme="0" tint="-0.24994659260841701"/>
      </right>
      <top style="thick">
        <color theme="7" tint="-0.499984740745262"/>
      </top>
      <bottom/>
      <diagonal/>
    </border>
    <border>
      <left style="thin">
        <color theme="0" tint="-0.24994659260841701"/>
      </left>
      <right/>
      <top/>
      <bottom style="thin">
        <color indexed="64"/>
      </bottom>
      <diagonal/>
    </border>
    <border>
      <left style="thin">
        <color theme="3" tint="0.59999389629810485"/>
      </left>
      <right style="thin">
        <color theme="3" tint="0.59999389629810485"/>
      </right>
      <top style="thin">
        <color theme="3" tint="0.59999389629810485"/>
      </top>
      <bottom style="thin">
        <color theme="3" tint="0.59999389629810485"/>
      </bottom>
      <diagonal/>
    </border>
    <border>
      <left style="medium">
        <color rgb="FF000000"/>
      </left>
      <right/>
      <top style="medium">
        <color rgb="FF000000"/>
      </top>
      <bottom style="medium">
        <color indexed="64"/>
      </bottom>
      <diagonal/>
    </border>
    <border>
      <left/>
      <right/>
      <top style="medium">
        <color rgb="FF000000"/>
      </top>
      <bottom style="medium">
        <color indexed="64"/>
      </bottom>
      <diagonal/>
    </border>
    <border>
      <left/>
      <right/>
      <top style="medium">
        <color rgb="FF000000"/>
      </top>
      <bottom style="thin">
        <color theme="4" tint="0.39997558519241921"/>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medium">
        <color indexed="64"/>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top/>
      <bottom/>
      <diagonal/>
    </border>
    <border>
      <left style="medium">
        <color indexed="64"/>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bottom style="thin">
        <color indexed="64"/>
      </bottom>
      <diagonal/>
    </border>
    <border>
      <left style="dashed">
        <color indexed="64"/>
      </left>
      <right style="thin">
        <color indexed="64"/>
      </right>
      <top style="thin">
        <color indexed="64"/>
      </top>
      <bottom/>
      <diagonal/>
    </border>
    <border>
      <left style="medium">
        <color indexed="64"/>
      </left>
      <right style="medium">
        <color indexed="64"/>
      </right>
      <top style="thin">
        <color indexed="64"/>
      </top>
      <bottom style="medium">
        <color indexed="64"/>
      </bottom>
      <diagonal/>
    </border>
    <border>
      <left/>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bottom style="medium">
        <color indexed="64"/>
      </bottom>
      <diagonal/>
    </border>
    <border>
      <left/>
      <right style="thin">
        <color indexed="64"/>
      </right>
      <top/>
      <bottom style="medium">
        <color indexed="64"/>
      </bottom>
      <diagonal/>
    </border>
    <border>
      <left style="dashed">
        <color indexed="64"/>
      </left>
      <right style="thin">
        <color indexed="64"/>
      </right>
      <top/>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dashed">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medium">
        <color indexed="64"/>
      </left>
      <right/>
      <top style="dashDotDot">
        <color indexed="64"/>
      </top>
      <bottom/>
      <diagonal/>
    </border>
    <border>
      <left/>
      <right/>
      <top style="dashDotDot">
        <color indexed="64"/>
      </top>
      <bottom/>
      <diagonal/>
    </border>
    <border>
      <left/>
      <right style="medium">
        <color indexed="64"/>
      </right>
      <top style="dashDotDot">
        <color indexed="64"/>
      </top>
      <bottom/>
      <diagonal/>
    </border>
    <border>
      <left style="thin">
        <color indexed="64"/>
      </left>
      <right/>
      <top style="dashDot">
        <color indexed="64"/>
      </top>
      <bottom/>
      <diagonal/>
    </border>
    <border>
      <left/>
      <right/>
      <top style="dashDot">
        <color indexed="64"/>
      </top>
      <bottom/>
      <diagonal/>
    </border>
    <border>
      <left/>
      <right style="medium">
        <color indexed="64"/>
      </right>
      <top style="dashDot">
        <color indexed="64"/>
      </top>
      <bottom/>
      <diagonal/>
    </border>
    <border>
      <left style="medium">
        <color indexed="64"/>
      </left>
      <right/>
      <top/>
      <bottom style="dashDotDot">
        <color indexed="64"/>
      </bottom>
      <diagonal/>
    </border>
    <border>
      <left/>
      <right/>
      <top/>
      <bottom style="dashDotDot">
        <color indexed="64"/>
      </bottom>
      <diagonal/>
    </border>
    <border>
      <left/>
      <right style="medium">
        <color indexed="64"/>
      </right>
      <top/>
      <bottom style="dashDotDot">
        <color indexed="64"/>
      </bottom>
      <diagonal/>
    </border>
    <border>
      <left style="thin">
        <color indexed="64"/>
      </left>
      <right/>
      <top/>
      <bottom style="dashDot">
        <color indexed="64"/>
      </bottom>
      <diagonal/>
    </border>
    <border>
      <left/>
      <right/>
      <top/>
      <bottom style="dashDot">
        <color auto="1"/>
      </bottom>
      <diagonal/>
    </border>
    <border>
      <left/>
      <right style="medium">
        <color indexed="64"/>
      </right>
      <top/>
      <bottom style="dashDot">
        <color indexed="64"/>
      </bottom>
      <diagonal/>
    </border>
    <border>
      <left style="thin">
        <color indexed="64"/>
      </left>
      <right/>
      <top/>
      <bottom style="medium">
        <color indexed="64"/>
      </bottom>
      <diagonal/>
    </border>
    <border>
      <left/>
      <right/>
      <top/>
      <bottom style="medium">
        <color rgb="FF000000"/>
      </bottom>
      <diagonal/>
    </border>
    <border>
      <left style="thin">
        <color auto="1"/>
      </left>
      <right style="medium">
        <color indexed="64"/>
      </right>
      <top style="thin">
        <color auto="1"/>
      </top>
      <bottom style="thin">
        <color auto="1"/>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top/>
      <bottom style="double">
        <color indexed="64"/>
      </bottom>
      <diagonal/>
    </border>
    <border>
      <left/>
      <right style="medium">
        <color indexed="64"/>
      </right>
      <top/>
      <bottom style="double">
        <color indexed="64"/>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right/>
      <top style="thin">
        <color theme="0" tint="-0.14999847407452621"/>
      </top>
      <bottom style="thin">
        <color theme="0" tint="-0.14999847407452621"/>
      </bottom>
      <diagonal/>
    </border>
    <border>
      <left/>
      <right/>
      <top style="thin">
        <color theme="0" tint="-0.14999847407452621"/>
      </top>
      <bottom/>
      <diagonal/>
    </border>
    <border>
      <left/>
      <right/>
      <top/>
      <bottom style="thin">
        <color theme="0" tint="-0.14999847407452621"/>
      </bottom>
      <diagonal/>
    </border>
    <border>
      <left/>
      <right/>
      <top/>
      <bottom style="thin">
        <color theme="0" tint="-4.9989318521683403E-2"/>
      </bottom>
      <diagonal/>
    </border>
    <border>
      <left/>
      <right/>
      <top/>
      <bottom style="thin">
        <color theme="0"/>
      </bottom>
      <diagonal/>
    </border>
    <border>
      <left/>
      <right/>
      <top style="thin">
        <color theme="0" tint="-0.14999847407452621"/>
      </top>
      <bottom style="thin">
        <color theme="0" tint="-0.14996795556505021"/>
      </bottom>
      <diagonal/>
    </border>
    <border>
      <left/>
      <right/>
      <top style="thin">
        <color theme="0" tint="-0.14996795556505021"/>
      </top>
      <bottom style="thin">
        <color theme="0" tint="-0.14996795556505021"/>
      </bottom>
      <diagonal/>
    </border>
    <border>
      <left/>
      <right/>
      <top style="thin">
        <color theme="0" tint="-0.14996795556505021"/>
      </top>
      <bottom style="thin">
        <color theme="0" tint="-4.9989318521683403E-2"/>
      </bottom>
      <diagonal/>
    </border>
    <border>
      <left/>
      <right/>
      <top style="thin">
        <color theme="0" tint="-0.14996795556505021"/>
      </top>
      <bottom/>
      <diagonal/>
    </border>
    <border>
      <left/>
      <right/>
      <top style="thin">
        <color rgb="FF000000"/>
      </top>
      <bottom style="thin">
        <color theme="0" tint="-0.14996795556505021"/>
      </bottom>
      <diagonal/>
    </border>
    <border>
      <left/>
      <right/>
      <top/>
      <bottom style="thin">
        <color theme="0" tint="-0.14996795556505021"/>
      </bottom>
      <diagonal/>
    </border>
    <border>
      <left/>
      <right/>
      <top style="thin">
        <color theme="0" tint="-0.14996795556505021"/>
      </top>
      <bottom style="thin">
        <color indexed="64"/>
      </bottom>
      <diagonal/>
    </border>
    <border>
      <left/>
      <right/>
      <top style="thin">
        <color indexed="64"/>
      </top>
      <bottom style="thin">
        <color theme="0" tint="-0.14999847407452621"/>
      </bottom>
      <diagonal/>
    </border>
    <border>
      <left style="thin">
        <color rgb="FF000000"/>
      </left>
      <right style="thin">
        <color rgb="FF000000"/>
      </right>
      <top/>
      <bottom style="thin">
        <color rgb="FF000000"/>
      </bottom>
      <diagonal/>
    </border>
    <border>
      <left style="thin">
        <color indexed="64"/>
      </left>
      <right style="thin">
        <color indexed="64"/>
      </right>
      <top/>
      <bottom style="thin">
        <color rgb="FF000000"/>
      </bottom>
      <diagonal/>
    </border>
  </borders>
  <cellStyleXfs count="20">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38" fontId="44" fillId="11" borderId="37" applyNumberFormat="0" applyAlignment="0">
      <protection locked="0"/>
    </xf>
    <xf numFmtId="0" fontId="1" fillId="10" borderId="126" applyNumberFormat="0" applyFont="0" applyAlignment="0" applyProtection="0"/>
    <xf numFmtId="41" fontId="1" fillId="0" borderId="0" applyFont="0" applyFill="0" applyBorder="0" applyAlignment="0" applyProtection="0"/>
    <xf numFmtId="42"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38" fontId="40" fillId="11" borderId="37" applyNumberFormat="0" applyAlignment="0">
      <protection locked="0"/>
    </xf>
    <xf numFmtId="0" fontId="69" fillId="0" borderId="0"/>
    <xf numFmtId="0" fontId="69" fillId="0" borderId="0"/>
    <xf numFmtId="0" fontId="98" fillId="0" borderId="0" applyNumberFormat="0" applyFill="0" applyBorder="0" applyAlignment="0" applyProtection="0"/>
    <xf numFmtId="0" fontId="102" fillId="22" borderId="140">
      <alignment horizontal="center" vertical="center" wrapText="1"/>
    </xf>
    <xf numFmtId="38" fontId="44" fillId="11" borderId="37" applyAlignment="0">
      <protection locked="0"/>
    </xf>
    <xf numFmtId="0" fontId="107" fillId="24" borderId="190" applyNumberFormat="0" applyAlignment="0" applyProtection="0"/>
    <xf numFmtId="38" fontId="44" fillId="11" borderId="37" applyNumberFormat="0" applyAlignment="0">
      <protection locked="0"/>
    </xf>
    <xf numFmtId="0" fontId="150" fillId="0" borderId="0"/>
  </cellStyleXfs>
  <cellXfs count="2788">
    <xf numFmtId="0" fontId="0" fillId="0" borderId="0" xfId="0"/>
    <xf numFmtId="19" fontId="0" fillId="0" borderId="0" xfId="0" applyNumberFormat="1" applyAlignment="1" applyProtection="1">
      <alignment horizontal="left" vertical="center"/>
      <protection locked="0"/>
    </xf>
    <xf numFmtId="0" fontId="17" fillId="0" borderId="0" xfId="0" applyFont="1" applyProtection="1">
      <protection locked="0"/>
    </xf>
    <xf numFmtId="0" fontId="0" fillId="0" borderId="0" xfId="0" applyProtection="1">
      <protection locked="0"/>
    </xf>
    <xf numFmtId="15" fontId="0" fillId="0" borderId="0" xfId="0" applyNumberFormat="1" applyAlignment="1" applyProtection="1">
      <alignment horizontal="left"/>
      <protection locked="0"/>
    </xf>
    <xf numFmtId="38" fontId="44" fillId="11" borderId="117" xfId="4" applyBorder="1" applyAlignment="1">
      <alignment vertical="top"/>
      <protection locked="0"/>
    </xf>
    <xf numFmtId="38" fontId="44" fillId="11" borderId="37" xfId="4" applyAlignment="1">
      <alignment vertical="top"/>
      <protection locked="0"/>
    </xf>
    <xf numFmtId="10" fontId="44" fillId="11" borderId="37" xfId="0" applyNumberFormat="1" applyFont="1" applyFill="1" applyBorder="1" applyAlignment="1" applyProtection="1">
      <alignment horizontal="center"/>
      <protection locked="0"/>
    </xf>
    <xf numFmtId="38" fontId="44" fillId="11" borderId="37" xfId="4" applyAlignment="1">
      <alignment horizontal="center"/>
      <protection locked="0"/>
    </xf>
    <xf numFmtId="174" fontId="44" fillId="11" borderId="37" xfId="4" applyNumberFormat="1" applyAlignment="1">
      <alignment horizontal="center"/>
      <protection locked="0"/>
    </xf>
    <xf numFmtId="189" fontId="44" fillId="11" borderId="37" xfId="0" applyNumberFormat="1" applyFont="1" applyFill="1" applyBorder="1" applyAlignment="1" applyProtection="1">
      <alignment horizontal="center"/>
      <protection locked="0"/>
    </xf>
    <xf numFmtId="9" fontId="44" fillId="11" borderId="37" xfId="0" applyNumberFormat="1" applyFont="1" applyFill="1" applyBorder="1" applyAlignment="1" applyProtection="1">
      <alignment horizontal="center"/>
      <protection locked="0"/>
    </xf>
    <xf numFmtId="38" fontId="44" fillId="11" borderId="45" xfId="0" applyNumberFormat="1" applyFont="1" applyFill="1" applyBorder="1" applyProtection="1">
      <protection locked="0"/>
    </xf>
    <xf numFmtId="38" fontId="44" fillId="11" borderId="45" xfId="4" applyBorder="1" applyAlignment="1">
      <protection locked="0"/>
    </xf>
    <xf numFmtId="38" fontId="44" fillId="11" borderId="45" xfId="4" applyBorder="1" applyAlignment="1">
      <alignment horizontal="right"/>
      <protection locked="0"/>
    </xf>
    <xf numFmtId="38" fontId="44" fillId="11" borderId="45" xfId="4" applyBorder="1">
      <protection locked="0"/>
    </xf>
    <xf numFmtId="38" fontId="44" fillId="11" borderId="37" xfId="4">
      <protection locked="0"/>
    </xf>
    <xf numFmtId="8" fontId="44" fillId="11" borderId="37" xfId="0" applyNumberFormat="1" applyFont="1" applyFill="1" applyBorder="1" applyProtection="1">
      <protection locked="0"/>
    </xf>
    <xf numFmtId="180" fontId="44" fillId="11" borderId="37" xfId="4" applyNumberFormat="1">
      <protection locked="0"/>
    </xf>
    <xf numFmtId="38" fontId="44" fillId="11" borderId="37" xfId="4" applyNumberFormat="1">
      <protection locked="0"/>
    </xf>
    <xf numFmtId="168" fontId="44" fillId="11" borderId="37" xfId="0" applyNumberFormat="1" applyFont="1" applyFill="1" applyBorder="1" applyProtection="1">
      <protection locked="0"/>
    </xf>
    <xf numFmtId="176" fontId="44" fillId="11" borderId="37" xfId="4" applyNumberFormat="1">
      <protection locked="0"/>
    </xf>
    <xf numFmtId="10" fontId="44" fillId="11" borderId="37" xfId="0" applyNumberFormat="1" applyFont="1" applyFill="1" applyBorder="1" applyProtection="1">
      <protection locked="0"/>
    </xf>
    <xf numFmtId="38" fontId="44" fillId="11" borderId="38" xfId="4" applyNumberFormat="1" applyBorder="1">
      <protection locked="0"/>
    </xf>
    <xf numFmtId="6" fontId="44" fillId="11" borderId="38" xfId="4" applyNumberFormat="1" applyBorder="1">
      <protection locked="0"/>
    </xf>
    <xf numFmtId="38" fontId="44" fillId="11" borderId="37" xfId="4" applyAlignment="1">
      <alignment horizontal="right" vertical="center"/>
      <protection locked="0"/>
    </xf>
    <xf numFmtId="10" fontId="44" fillId="11" borderId="37" xfId="0" applyNumberFormat="1" applyFont="1" applyFill="1" applyBorder="1" applyAlignment="1" applyProtection="1">
      <alignment horizontal="right"/>
      <protection locked="0"/>
    </xf>
    <xf numFmtId="38" fontId="40" fillId="11" borderId="37" xfId="4" applyFont="1">
      <protection locked="0"/>
    </xf>
    <xf numFmtId="10" fontId="44" fillId="11" borderId="37" xfId="0" applyNumberFormat="1" applyFont="1" applyFill="1" applyBorder="1" applyAlignment="1" applyProtection="1">
      <alignment horizontal="right" vertical="center"/>
      <protection locked="0"/>
    </xf>
    <xf numFmtId="179" fontId="44" fillId="11" borderId="37" xfId="4" applyNumberFormat="1" applyAlignment="1">
      <alignment vertical="center"/>
      <protection locked="0"/>
    </xf>
    <xf numFmtId="10" fontId="44" fillId="11" borderId="37" xfId="0" applyNumberFormat="1" applyFont="1" applyFill="1" applyBorder="1" applyAlignment="1" applyProtection="1">
      <alignment vertical="center"/>
      <protection locked="0"/>
    </xf>
    <xf numFmtId="180" fontId="44" fillId="11" borderId="37" xfId="4" applyNumberFormat="1" applyAlignment="1">
      <alignment vertical="center"/>
      <protection locked="0"/>
    </xf>
    <xf numFmtId="10" fontId="44" fillId="11" borderId="37" xfId="0" applyNumberFormat="1" applyFont="1" applyFill="1" applyBorder="1" applyAlignment="1" applyProtection="1">
      <alignment horizontal="center" vertical="center"/>
      <protection locked="0"/>
    </xf>
    <xf numFmtId="10" fontId="40" fillId="11" borderId="37" xfId="0" applyNumberFormat="1" applyFont="1" applyFill="1" applyBorder="1" applyAlignment="1" applyProtection="1">
      <alignment horizontal="center" vertical="center"/>
      <protection locked="0"/>
    </xf>
    <xf numFmtId="38" fontId="40" fillId="11" borderId="37" xfId="4" applyNumberFormat="1" applyFont="1" applyAlignment="1">
      <alignment vertical="center"/>
      <protection locked="0"/>
    </xf>
    <xf numFmtId="38" fontId="40" fillId="11" borderId="37" xfId="4" applyFont="1" applyAlignment="1">
      <alignment horizontal="right" vertical="center"/>
      <protection locked="0"/>
    </xf>
    <xf numFmtId="6" fontId="44" fillId="11" borderId="37" xfId="4" applyNumberFormat="1" applyAlignment="1">
      <alignment vertical="center"/>
      <protection locked="0"/>
    </xf>
    <xf numFmtId="167" fontId="44" fillId="11" borderId="37" xfId="0" applyNumberFormat="1" applyFont="1" applyFill="1" applyBorder="1" applyAlignment="1" applyProtection="1">
      <alignment vertical="center"/>
      <protection locked="0"/>
    </xf>
    <xf numFmtId="173" fontId="40" fillId="11" borderId="37" xfId="4" applyNumberFormat="1" applyFont="1" applyAlignment="1">
      <alignment vertical="center"/>
      <protection locked="0"/>
    </xf>
    <xf numFmtId="38" fontId="44" fillId="11" borderId="37" xfId="4" applyAlignment="1">
      <alignment horizontal="center" vertical="center"/>
      <protection locked="0"/>
    </xf>
    <xf numFmtId="40" fontId="44" fillId="11" borderId="37" xfId="4" applyNumberFormat="1" applyAlignment="1">
      <alignment horizontal="right" vertical="center"/>
      <protection locked="0"/>
    </xf>
    <xf numFmtId="38" fontId="44" fillId="11" borderId="37" xfId="0" applyNumberFormat="1" applyFont="1" applyFill="1" applyBorder="1" applyProtection="1">
      <protection locked="0"/>
    </xf>
    <xf numFmtId="38" fontId="44" fillId="11" borderId="38" xfId="0" applyNumberFormat="1" applyFont="1" applyFill="1" applyBorder="1" applyProtection="1">
      <protection locked="0"/>
    </xf>
    <xf numFmtId="14" fontId="52" fillId="11" borderId="37" xfId="4" applyNumberFormat="1" applyFont="1" applyAlignment="1">
      <alignment horizontal="center"/>
      <protection locked="0"/>
    </xf>
    <xf numFmtId="38" fontId="53" fillId="11" borderId="37" xfId="0" applyNumberFormat="1" applyFont="1" applyFill="1" applyBorder="1" applyProtection="1">
      <protection locked="0"/>
    </xf>
    <xf numFmtId="38" fontId="40" fillId="11" borderId="38" xfId="4" applyFont="1" applyBorder="1" applyAlignment="1">
      <alignment horizontal="center"/>
      <protection locked="0"/>
    </xf>
    <xf numFmtId="178" fontId="44" fillId="0" borderId="37" xfId="4" applyNumberFormat="1" applyFill="1" applyAlignment="1">
      <alignment horizontal="center"/>
      <protection locked="0"/>
    </xf>
    <xf numFmtId="178" fontId="44" fillId="0" borderId="38" xfId="4" applyNumberFormat="1" applyFill="1" applyBorder="1" applyAlignment="1">
      <alignment horizontal="center"/>
      <protection locked="0"/>
    </xf>
    <xf numFmtId="177" fontId="44" fillId="0" borderId="68" xfId="4" applyNumberFormat="1" applyFill="1" applyBorder="1" applyAlignment="1">
      <alignment horizontal="center"/>
      <protection locked="0"/>
    </xf>
    <xf numFmtId="177" fontId="44" fillId="0" borderId="57" xfId="4" applyNumberFormat="1" applyFill="1" applyBorder="1" applyAlignment="1">
      <alignment horizontal="center"/>
      <protection locked="0"/>
    </xf>
    <xf numFmtId="177" fontId="44" fillId="0" borderId="37" xfId="4" applyNumberFormat="1" applyFill="1" applyAlignment="1">
      <alignment horizontal="center"/>
      <protection locked="0"/>
    </xf>
    <xf numFmtId="177" fontId="44" fillId="0" borderId="38" xfId="4" applyNumberFormat="1" applyFill="1" applyBorder="1" applyAlignment="1">
      <alignment horizontal="center"/>
      <protection locked="0"/>
    </xf>
    <xf numFmtId="38" fontId="40" fillId="11" borderId="38" xfId="0" applyNumberFormat="1" applyFont="1" applyFill="1" applyBorder="1" applyAlignment="1" applyProtection="1">
      <alignment horizontal="center"/>
      <protection locked="0"/>
    </xf>
    <xf numFmtId="9" fontId="44" fillId="11" borderId="57" xfId="0" applyNumberFormat="1" applyFont="1" applyFill="1" applyBorder="1" applyAlignment="1" applyProtection="1">
      <alignment horizontal="center"/>
      <protection locked="0"/>
    </xf>
    <xf numFmtId="10" fontId="44" fillId="11" borderId="127" xfId="0" applyNumberFormat="1" applyFont="1" applyFill="1" applyBorder="1" applyAlignment="1" applyProtection="1">
      <alignment horizontal="center"/>
      <protection locked="0"/>
    </xf>
    <xf numFmtId="173" fontId="40" fillId="11" borderId="37" xfId="4" applyNumberFormat="1" applyFont="1" applyAlignment="1">
      <alignment horizontal="center" vertical="center"/>
      <protection locked="0"/>
    </xf>
    <xf numFmtId="173" fontId="0" fillId="0" borderId="0" xfId="0" applyNumberFormat="1" applyAlignment="1" applyProtection="1">
      <alignment horizontal="left" vertical="center"/>
      <protection locked="0"/>
    </xf>
    <xf numFmtId="9" fontId="44" fillId="11" borderId="127" xfId="8" applyFont="1" applyFill="1" applyBorder="1" applyAlignment="1" applyProtection="1">
      <alignment horizontal="center"/>
      <protection locked="0"/>
    </xf>
    <xf numFmtId="6" fontId="44" fillId="11" borderId="37" xfId="0" applyNumberFormat="1" applyFont="1" applyFill="1" applyBorder="1" applyProtection="1">
      <protection locked="0"/>
    </xf>
    <xf numFmtId="178" fontId="44" fillId="0" borderId="45" xfId="4" applyNumberFormat="1" applyFill="1" applyBorder="1" applyAlignment="1">
      <alignment horizontal="center"/>
      <protection locked="0"/>
    </xf>
    <xf numFmtId="173" fontId="40" fillId="11" borderId="130" xfId="4" applyNumberFormat="1" applyFont="1" applyBorder="1" applyAlignment="1">
      <alignment vertical="center"/>
      <protection locked="0"/>
    </xf>
    <xf numFmtId="38" fontId="44" fillId="11" borderId="38" xfId="4" applyBorder="1" applyAlignment="1">
      <alignment vertical="top"/>
      <protection locked="0"/>
    </xf>
    <xf numFmtId="9" fontId="44" fillId="11" borderId="37" xfId="8" applyFont="1" applyFill="1" applyBorder="1" applyAlignment="1" applyProtection="1">
      <alignment horizontal="center"/>
      <protection locked="0"/>
    </xf>
    <xf numFmtId="38" fontId="44" fillId="11" borderId="64" xfId="4" applyBorder="1" applyAlignment="1">
      <alignment horizontal="center" vertical="center"/>
      <protection locked="0"/>
    </xf>
    <xf numFmtId="188" fontId="44" fillId="11" borderId="37" xfId="0" applyNumberFormat="1" applyFont="1" applyFill="1" applyBorder="1" applyAlignment="1" applyProtection="1">
      <alignment vertical="center"/>
      <protection locked="0"/>
    </xf>
    <xf numFmtId="211" fontId="44" fillId="11" borderId="37" xfId="0" applyNumberFormat="1" applyFont="1" applyFill="1" applyBorder="1" applyAlignment="1" applyProtection="1">
      <alignment horizontal="center" vertical="center"/>
      <protection locked="0"/>
    </xf>
    <xf numFmtId="40" fontId="44" fillId="11" borderId="37" xfId="4" applyNumberFormat="1" applyAlignment="1">
      <alignment horizontal="center" vertical="center"/>
      <protection locked="0"/>
    </xf>
    <xf numFmtId="212" fontId="44" fillId="11" borderId="37" xfId="4" applyNumberFormat="1" applyAlignment="1">
      <alignment horizontal="center" vertical="center"/>
      <protection locked="0"/>
    </xf>
    <xf numFmtId="0" fontId="17" fillId="0" borderId="123" xfId="0" applyFont="1" applyBorder="1" applyProtection="1">
      <protection locked="0"/>
    </xf>
    <xf numFmtId="0" fontId="17" fillId="0" borderId="116" xfId="0" applyFont="1" applyBorder="1" applyProtection="1">
      <protection locked="0"/>
    </xf>
    <xf numFmtId="0" fontId="26" fillId="0" borderId="0" xfId="0" applyFont="1" applyAlignment="1" applyProtection="1">
      <alignment horizontal="right"/>
      <protection locked="0"/>
    </xf>
    <xf numFmtId="0" fontId="26" fillId="0" borderId="125" xfId="0" applyFont="1" applyBorder="1" applyAlignment="1" applyProtection="1">
      <alignment horizontal="right"/>
      <protection locked="0"/>
    </xf>
    <xf numFmtId="0" fontId="17" fillId="0" borderId="87" xfId="0" applyFont="1" applyBorder="1" applyProtection="1">
      <protection locked="0"/>
    </xf>
    <xf numFmtId="0" fontId="17" fillId="0" borderId="88" xfId="0" applyFont="1" applyBorder="1" applyProtection="1">
      <protection locked="0"/>
    </xf>
    <xf numFmtId="6" fontId="17" fillId="0" borderId="88" xfId="0" applyNumberFormat="1" applyFont="1" applyBorder="1" applyProtection="1">
      <protection locked="0"/>
    </xf>
    <xf numFmtId="5" fontId="17" fillId="0" borderId="88" xfId="0" applyNumberFormat="1" applyFont="1" applyBorder="1" applyProtection="1">
      <protection locked="0"/>
    </xf>
    <xf numFmtId="6" fontId="17" fillId="0" borderId="89" xfId="0" applyNumberFormat="1" applyFont="1" applyBorder="1" applyProtection="1">
      <protection locked="0"/>
    </xf>
    <xf numFmtId="0" fontId="17" fillId="0" borderId="85" xfId="0" applyFont="1" applyBorder="1" applyProtection="1">
      <protection locked="0"/>
    </xf>
    <xf numFmtId="6" fontId="17" fillId="0" borderId="0" xfId="0" applyNumberFormat="1" applyFont="1" applyProtection="1">
      <protection locked="0"/>
    </xf>
    <xf numFmtId="5" fontId="17" fillId="0" borderId="0" xfId="0" applyNumberFormat="1" applyFont="1" applyProtection="1">
      <protection locked="0"/>
    </xf>
    <xf numFmtId="6" fontId="17" fillId="0" borderId="86" xfId="0" applyNumberFormat="1" applyFont="1" applyBorder="1" applyProtection="1">
      <protection locked="0"/>
    </xf>
    <xf numFmtId="0" fontId="17" fillId="0" borderId="0" xfId="0" quotePrefix="1" applyFont="1" applyAlignment="1" applyProtection="1">
      <alignment horizontal="left" indent="2"/>
      <protection hidden="1"/>
    </xf>
    <xf numFmtId="0" fontId="17" fillId="0" borderId="0" xfId="0" applyFont="1" applyProtection="1">
      <protection hidden="1"/>
    </xf>
    <xf numFmtId="0" fontId="29" fillId="7" borderId="52" xfId="0" applyFont="1" applyFill="1" applyBorder="1" applyProtection="1">
      <protection hidden="1"/>
    </xf>
    <xf numFmtId="0" fontId="29" fillId="7" borderId="53" xfId="0" applyFont="1" applyFill="1" applyBorder="1" applyProtection="1">
      <protection hidden="1"/>
    </xf>
    <xf numFmtId="0" fontId="27" fillId="0" borderId="0" xfId="0" quotePrefix="1" applyFont="1" applyAlignment="1" applyProtection="1">
      <alignment horizontal="left"/>
      <protection hidden="1"/>
    </xf>
    <xf numFmtId="38" fontId="26" fillId="0" borderId="0" xfId="0" applyNumberFormat="1" applyFont="1" applyAlignment="1" applyProtection="1">
      <alignment horizontal="right"/>
      <protection hidden="1"/>
    </xf>
    <xf numFmtId="184" fontId="17" fillId="0" borderId="0" xfId="0" applyNumberFormat="1" applyFont="1" applyProtection="1">
      <protection hidden="1"/>
    </xf>
    <xf numFmtId="3" fontId="17" fillId="0" borderId="0" xfId="0" applyNumberFormat="1" applyFont="1" applyProtection="1">
      <protection hidden="1"/>
    </xf>
    <xf numFmtId="0" fontId="17" fillId="0" borderId="0" xfId="0" applyFont="1" applyAlignment="1" applyProtection="1">
      <alignment horizontal="left" indent="2"/>
      <protection hidden="1"/>
    </xf>
    <xf numFmtId="0" fontId="27" fillId="0" borderId="0" xfId="0" applyFont="1" applyAlignment="1" applyProtection="1">
      <alignment horizontal="left"/>
      <protection hidden="1"/>
    </xf>
    <xf numFmtId="0" fontId="17" fillId="0" borderId="4" xfId="0" applyFont="1" applyBorder="1" applyAlignment="1" applyProtection="1">
      <alignment horizontal="left"/>
      <protection hidden="1"/>
    </xf>
    <xf numFmtId="0" fontId="17" fillId="0" borderId="4" xfId="0" applyFont="1" applyBorder="1" applyProtection="1">
      <protection hidden="1"/>
    </xf>
    <xf numFmtId="184" fontId="17" fillId="0" borderId="4" xfId="0" applyNumberFormat="1" applyFont="1" applyBorder="1" applyProtection="1">
      <protection hidden="1"/>
    </xf>
    <xf numFmtId="0" fontId="0" fillId="0" borderId="15" xfId="0" applyBorder="1" applyProtection="1">
      <protection locked="0"/>
    </xf>
    <xf numFmtId="0" fontId="0" fillId="0" borderId="19" xfId="0" applyBorder="1" applyProtection="1">
      <protection locked="0"/>
    </xf>
    <xf numFmtId="0" fontId="12" fillId="0" borderId="0" xfId="0" applyFont="1" applyProtection="1">
      <protection locked="0"/>
    </xf>
    <xf numFmtId="0" fontId="13" fillId="0" borderId="0" xfId="0" applyFont="1" applyProtection="1">
      <protection locked="0"/>
    </xf>
    <xf numFmtId="0" fontId="0" fillId="0" borderId="16" xfId="0" applyBorder="1" applyProtection="1">
      <protection locked="0"/>
    </xf>
    <xf numFmtId="0" fontId="0" fillId="0" borderId="12" xfId="0" applyBorder="1" applyProtection="1">
      <protection locked="0"/>
    </xf>
    <xf numFmtId="0" fontId="0" fillId="0" borderId="17" xfId="0" applyBorder="1" applyProtection="1">
      <protection locked="0"/>
    </xf>
    <xf numFmtId="38" fontId="44" fillId="11" borderId="37" xfId="4" applyAlignment="1">
      <protection locked="0"/>
    </xf>
    <xf numFmtId="210" fontId="44" fillId="11" borderId="37" xfId="4" applyNumberFormat="1" applyAlignment="1">
      <alignment horizontal="center"/>
      <protection locked="0"/>
    </xf>
    <xf numFmtId="38" fontId="44" fillId="11" borderId="38" xfId="4" applyBorder="1" applyAlignment="1">
      <protection locked="0"/>
    </xf>
    <xf numFmtId="210" fontId="44" fillId="11" borderId="38" xfId="4" applyNumberFormat="1" applyBorder="1" applyAlignment="1">
      <alignment horizontal="center"/>
      <protection locked="0"/>
    </xf>
    <xf numFmtId="210" fontId="44" fillId="11" borderId="45" xfId="4" applyNumberFormat="1" applyBorder="1" applyAlignment="1">
      <alignment horizontal="center"/>
      <protection locked="0"/>
    </xf>
    <xf numFmtId="38" fontId="44" fillId="11" borderId="45" xfId="4" applyBorder="1" applyAlignment="1">
      <alignment vertical="top"/>
      <protection locked="0"/>
    </xf>
    <xf numFmtId="0" fontId="29" fillId="7" borderId="52" xfId="0" applyFont="1" applyFill="1" applyBorder="1" applyProtection="1">
      <protection locked="0"/>
    </xf>
    <xf numFmtId="6" fontId="0" fillId="0" borderId="0" xfId="0" applyNumberFormat="1" applyProtection="1">
      <protection locked="0"/>
    </xf>
    <xf numFmtId="166" fontId="35" fillId="4" borderId="40" xfId="0" applyNumberFormat="1" applyFont="1" applyFill="1" applyBorder="1" applyProtection="1">
      <protection locked="0"/>
    </xf>
    <xf numFmtId="0" fontId="0" fillId="0" borderId="0" xfId="0" applyAlignment="1">
      <alignment vertical="center"/>
    </xf>
    <xf numFmtId="0" fontId="0" fillId="0" borderId="0" xfId="0" applyAlignment="1">
      <alignment horizontal="left"/>
    </xf>
    <xf numFmtId="0" fontId="61" fillId="4" borderId="42" xfId="0" applyFont="1" applyFill="1" applyBorder="1"/>
    <xf numFmtId="0" fontId="61" fillId="4" borderId="43" xfId="0" applyFont="1" applyFill="1" applyBorder="1"/>
    <xf numFmtId="0" fontId="65" fillId="12" borderId="44" xfId="0" applyFont="1" applyFill="1" applyBorder="1" applyAlignment="1">
      <alignment horizontal="right"/>
    </xf>
    <xf numFmtId="0" fontId="22" fillId="7" borderId="51" xfId="0" applyFont="1" applyFill="1" applyBorder="1"/>
    <xf numFmtId="0" fontId="25" fillId="7" borderId="52" xfId="0" applyFont="1" applyFill="1" applyBorder="1"/>
    <xf numFmtId="0" fontId="22" fillId="7" borderId="53" xfId="0" applyFont="1" applyFill="1" applyBorder="1" applyAlignment="1">
      <alignment horizontal="right"/>
    </xf>
    <xf numFmtId="0" fontId="42" fillId="0" borderId="0" xfId="0" applyFont="1"/>
    <xf numFmtId="0" fontId="17" fillId="0" borderId="50" xfId="0" quotePrefix="1" applyFont="1" applyBorder="1" applyAlignment="1">
      <alignment horizontal="left" indent="2"/>
    </xf>
    <xf numFmtId="0" fontId="17" fillId="0" borderId="0" xfId="0" applyFont="1" applyAlignment="1">
      <alignment vertical="center"/>
    </xf>
    <xf numFmtId="0" fontId="17" fillId="0" borderId="116" xfId="0" applyFont="1" applyBorder="1" applyAlignment="1">
      <alignment vertical="center"/>
    </xf>
    <xf numFmtId="168" fontId="20" fillId="0" borderId="116" xfId="0" applyNumberFormat="1" applyFont="1" applyBorder="1" applyAlignment="1">
      <alignment vertical="center"/>
    </xf>
    <xf numFmtId="0" fontId="17" fillId="0" borderId="132" xfId="0" applyFont="1" applyBorder="1" applyAlignment="1">
      <alignment vertical="center"/>
    </xf>
    <xf numFmtId="0" fontId="17" fillId="0" borderId="0" xfId="0" applyFont="1" applyAlignment="1">
      <alignment horizontal="left" vertical="center"/>
    </xf>
    <xf numFmtId="0" fontId="39" fillId="4" borderId="60" xfId="0" applyFont="1" applyFill="1" applyBorder="1" applyAlignment="1">
      <alignment horizontal="left"/>
    </xf>
    <xf numFmtId="0" fontId="39" fillId="4" borderId="61" xfId="0" applyFont="1" applyFill="1" applyBorder="1" applyAlignment="1">
      <alignment horizontal="left"/>
    </xf>
    <xf numFmtId="0" fontId="26" fillId="0" borderId="58" xfId="0" applyFont="1" applyBorder="1" applyAlignment="1">
      <alignment horizontal="right"/>
    </xf>
    <xf numFmtId="0" fontId="26" fillId="0" borderId="59" xfId="0" applyFont="1" applyBorder="1" applyAlignment="1">
      <alignment horizontal="right"/>
    </xf>
    <xf numFmtId="38" fontId="26" fillId="0" borderId="59" xfId="0" applyNumberFormat="1" applyFont="1" applyBorder="1" applyAlignment="1">
      <alignment horizontal="right"/>
    </xf>
    <xf numFmtId="0" fontId="45" fillId="5" borderId="24" xfId="0" applyFont="1" applyFill="1" applyBorder="1" applyAlignment="1">
      <alignment vertical="center"/>
    </xf>
    <xf numFmtId="0" fontId="46" fillId="5" borderId="24" xfId="0" applyFont="1" applyFill="1" applyBorder="1" applyAlignment="1">
      <alignment horizontal="left" vertical="center"/>
    </xf>
    <xf numFmtId="0" fontId="47" fillId="4" borderId="24" xfId="0" applyFont="1" applyFill="1" applyBorder="1" applyAlignment="1">
      <alignment horizontal="center"/>
    </xf>
    <xf numFmtId="6" fontId="0" fillId="0" borderId="0" xfId="0" applyNumberFormat="1" applyAlignment="1">
      <alignment horizontal="right" vertical="center"/>
    </xf>
    <xf numFmtId="0" fontId="43" fillId="0" borderId="0" xfId="0" applyFont="1" applyAlignment="1">
      <alignment vertical="center"/>
    </xf>
    <xf numFmtId="0" fontId="43" fillId="0" borderId="0" xfId="0" applyFont="1" applyAlignment="1">
      <alignment horizontal="left" vertical="center"/>
    </xf>
    <xf numFmtId="10" fontId="43" fillId="0" borderId="0" xfId="0" applyNumberFormat="1" applyFont="1" applyAlignment="1">
      <alignment horizontal="center" vertical="center"/>
    </xf>
    <xf numFmtId="184" fontId="43" fillId="0" borderId="0" xfId="0" applyNumberFormat="1" applyFont="1" applyAlignment="1">
      <alignment horizontal="center" vertical="center"/>
    </xf>
    <xf numFmtId="10" fontId="0" fillId="0" borderId="0" xfId="0" applyNumberFormat="1" applyAlignment="1">
      <alignment horizontal="right" vertical="center"/>
    </xf>
    <xf numFmtId="10" fontId="43" fillId="0" borderId="0" xfId="0" applyNumberFormat="1" applyFont="1" applyAlignment="1">
      <alignment horizontal="left" vertical="center"/>
    </xf>
    <xf numFmtId="19" fontId="0" fillId="0" borderId="0" xfId="0" applyNumberFormat="1" applyAlignment="1">
      <alignment vertical="center"/>
    </xf>
    <xf numFmtId="14" fontId="0" fillId="0" borderId="0" xfId="0" applyNumberFormat="1" applyAlignment="1">
      <alignment vertical="center"/>
    </xf>
    <xf numFmtId="0" fontId="25" fillId="4" borderId="61" xfId="0" applyFont="1" applyFill="1" applyBorder="1"/>
    <xf numFmtId="0" fontId="26" fillId="0" borderId="58" xfId="0" applyFont="1" applyBorder="1" applyAlignment="1">
      <alignment horizontal="center"/>
    </xf>
    <xf numFmtId="0" fontId="26" fillId="0" borderId="59" xfId="0" applyFont="1" applyBorder="1" applyAlignment="1">
      <alignment horizontal="right" vertical="center" wrapText="1"/>
    </xf>
    <xf numFmtId="180" fontId="17" fillId="0" borderId="0" xfId="4" applyNumberFormat="1" applyFont="1" applyFill="1" applyBorder="1" applyAlignment="1" applyProtection="1">
      <alignment vertical="center"/>
    </xf>
    <xf numFmtId="186" fontId="0" fillId="0" borderId="0" xfId="0" applyNumberFormat="1" applyAlignment="1">
      <alignment vertical="center"/>
    </xf>
    <xf numFmtId="38" fontId="0" fillId="0" borderId="0" xfId="0" applyNumberFormat="1" applyAlignment="1">
      <alignment horizontal="center" vertical="center"/>
    </xf>
    <xf numFmtId="10" fontId="0" fillId="0" borderId="0" xfId="8" applyNumberFormat="1" applyFont="1" applyBorder="1" applyProtection="1"/>
    <xf numFmtId="10" fontId="0" fillId="0" borderId="48" xfId="0" applyNumberFormat="1" applyBorder="1" applyAlignment="1">
      <alignment horizontal="right" vertical="center"/>
    </xf>
    <xf numFmtId="0" fontId="33" fillId="0" borderId="0" xfId="0" applyFont="1" applyAlignment="1">
      <alignment horizontal="right" vertical="center"/>
    </xf>
    <xf numFmtId="38" fontId="0" fillId="0" borderId="0" xfId="0" applyNumberFormat="1" applyAlignment="1">
      <alignment vertical="center"/>
    </xf>
    <xf numFmtId="190" fontId="43" fillId="0" borderId="0" xfId="0" applyNumberFormat="1" applyFont="1" applyAlignment="1">
      <alignment horizontal="left" vertical="center"/>
    </xf>
    <xf numFmtId="40" fontId="0" fillId="0" borderId="0" xfId="0" applyNumberFormat="1" applyAlignment="1">
      <alignment vertical="center"/>
    </xf>
    <xf numFmtId="8" fontId="0" fillId="0" borderId="0" xfId="0" applyNumberFormat="1" applyAlignment="1">
      <alignment vertical="center"/>
    </xf>
    <xf numFmtId="186" fontId="0" fillId="0" borderId="131" xfId="0" applyNumberFormat="1" applyBorder="1" applyAlignment="1">
      <alignment vertical="center"/>
    </xf>
    <xf numFmtId="0" fontId="42" fillId="0" borderId="0" xfId="0" applyFont="1" applyAlignment="1">
      <alignment vertical="center"/>
    </xf>
    <xf numFmtId="0" fontId="0" fillId="0" borderId="49" xfId="0" applyBorder="1" applyAlignment="1">
      <alignment vertical="center"/>
    </xf>
    <xf numFmtId="0" fontId="37" fillId="0" borderId="0" xfId="0" applyFont="1" applyAlignment="1">
      <alignment horizontal="left" vertical="center"/>
    </xf>
    <xf numFmtId="0" fontId="37" fillId="0" borderId="0" xfId="0" applyFont="1" applyAlignment="1">
      <alignment horizontal="center" vertical="center"/>
    </xf>
    <xf numFmtId="9" fontId="0" fillId="0" borderId="0" xfId="8" applyFont="1" applyAlignment="1" applyProtection="1">
      <alignment vertical="center"/>
    </xf>
    <xf numFmtId="0" fontId="0" fillId="0" borderId="0" xfId="0" applyAlignment="1">
      <alignment horizontal="left" vertical="center"/>
    </xf>
    <xf numFmtId="186" fontId="0" fillId="0" borderId="129" xfId="0" applyNumberFormat="1" applyBorder="1" applyAlignment="1">
      <alignment vertical="center"/>
    </xf>
    <xf numFmtId="0" fontId="0" fillId="0" borderId="131" xfId="0" applyBorder="1" applyAlignment="1">
      <alignment vertical="center"/>
    </xf>
    <xf numFmtId="0" fontId="26" fillId="0" borderId="59" xfId="0" applyFont="1" applyBorder="1" applyAlignment="1">
      <alignment horizontal="center" vertical="center" wrapText="1"/>
    </xf>
    <xf numFmtId="0" fontId="33" fillId="0" borderId="59" xfId="0" applyFont="1" applyBorder="1" applyAlignment="1">
      <alignment horizontal="center" vertical="center"/>
    </xf>
    <xf numFmtId="0" fontId="0" fillId="0" borderId="59" xfId="0" applyBorder="1" applyAlignment="1">
      <alignment horizontal="right" vertical="center"/>
    </xf>
    <xf numFmtId="38" fontId="48" fillId="0" borderId="0" xfId="4" applyFont="1" applyFill="1" applyBorder="1" applyAlignment="1" applyProtection="1">
      <alignment vertical="center"/>
    </xf>
    <xf numFmtId="197" fontId="43" fillId="0" borderId="0" xfId="0" applyNumberFormat="1" applyFont="1" applyAlignment="1">
      <alignment horizontal="left" vertical="center"/>
    </xf>
    <xf numFmtId="6" fontId="0" fillId="0" borderId="0" xfId="0" applyNumberFormat="1" applyAlignment="1">
      <alignment vertical="center"/>
    </xf>
    <xf numFmtId="165" fontId="0" fillId="0" borderId="0" xfId="0" applyNumberFormat="1" applyAlignment="1">
      <alignment horizontal="center" vertical="center"/>
    </xf>
    <xf numFmtId="10" fontId="40" fillId="0" borderId="0" xfId="0" applyNumberFormat="1" applyFont="1" applyAlignment="1">
      <alignment vertical="center"/>
    </xf>
    <xf numFmtId="0" fontId="26" fillId="0" borderId="120" xfId="0" applyFont="1" applyBorder="1" applyAlignment="1">
      <alignment horizontal="center" vertical="center"/>
    </xf>
    <xf numFmtId="0" fontId="26" fillId="0" borderId="133" xfId="0" applyFont="1" applyBorder="1" applyAlignment="1">
      <alignment horizontal="center" vertical="center" wrapText="1"/>
    </xf>
    <xf numFmtId="0" fontId="26" fillId="0" borderId="65" xfId="0" applyFont="1" applyBorder="1" applyAlignment="1">
      <alignment horizontal="center" vertical="center" wrapText="1"/>
    </xf>
    <xf numFmtId="0" fontId="26" fillId="0" borderId="59" xfId="0" applyFont="1" applyBorder="1" applyAlignment="1">
      <alignment vertical="center" wrapText="1"/>
    </xf>
    <xf numFmtId="0" fontId="26" fillId="0" borderId="0" xfId="0" applyFont="1" applyAlignment="1">
      <alignment horizontal="center" vertical="center" wrapText="1"/>
    </xf>
    <xf numFmtId="10" fontId="0" fillId="0" borderId="0" xfId="0" applyNumberFormat="1" applyAlignment="1">
      <alignment horizontal="center" vertical="center"/>
    </xf>
    <xf numFmtId="9" fontId="0" fillId="0" borderId="0" xfId="0" applyNumberFormat="1" applyAlignment="1">
      <alignment horizontal="center" vertical="center"/>
    </xf>
    <xf numFmtId="0" fontId="0" fillId="0" borderId="0" xfId="0" applyAlignment="1">
      <alignment horizontal="center" vertical="center"/>
    </xf>
    <xf numFmtId="43" fontId="20" fillId="0" borderId="0" xfId="10" applyFont="1" applyProtection="1"/>
    <xf numFmtId="173" fontId="0" fillId="0" borderId="0" xfId="0" applyNumberFormat="1" applyAlignment="1">
      <alignment vertical="center"/>
    </xf>
    <xf numFmtId="0" fontId="17" fillId="0" borderId="0" xfId="0" applyFont="1"/>
    <xf numFmtId="0" fontId="42" fillId="0" borderId="131" xfId="0" applyFont="1" applyBorder="1" applyAlignment="1">
      <alignment vertical="center"/>
    </xf>
    <xf numFmtId="0" fontId="33" fillId="0" borderId="59" xfId="0" applyFont="1" applyBorder="1" applyAlignment="1">
      <alignment horizontal="center" vertical="center" wrapText="1"/>
    </xf>
    <xf numFmtId="0" fontId="33" fillId="0" borderId="0" xfId="0" applyFont="1" applyAlignment="1">
      <alignment horizontal="center" vertical="center" wrapText="1"/>
    </xf>
    <xf numFmtId="0" fontId="50" fillId="0" borderId="58" xfId="0" applyFont="1" applyBorder="1" applyAlignment="1">
      <alignment horizontal="left"/>
    </xf>
    <xf numFmtId="0" fontId="0" fillId="0" borderId="131" xfId="0" applyBorder="1" applyAlignment="1">
      <alignment horizontal="left" vertical="center" wrapText="1"/>
    </xf>
    <xf numFmtId="0" fontId="20" fillId="0" borderId="0" xfId="0" applyFont="1" applyAlignment="1">
      <alignment horizontal="center" vertical="center"/>
    </xf>
    <xf numFmtId="0" fontId="31" fillId="0" borderId="0" xfId="0" applyFont="1" applyAlignment="1">
      <alignment vertical="center"/>
    </xf>
    <xf numFmtId="194" fontId="0" fillId="0" borderId="131" xfId="0" applyNumberFormat="1" applyBorder="1" applyAlignment="1">
      <alignment horizontal="left" vertical="center" wrapText="1"/>
    </xf>
    <xf numFmtId="0" fontId="26" fillId="0" borderId="59" xfId="0" applyFont="1" applyBorder="1" applyAlignment="1">
      <alignment horizontal="center"/>
    </xf>
    <xf numFmtId="0" fontId="26" fillId="0" borderId="0" xfId="0" applyFont="1" applyAlignment="1">
      <alignment horizontal="center"/>
    </xf>
    <xf numFmtId="0" fontId="0" fillId="0" borderId="131" xfId="0" applyBorder="1" applyAlignment="1">
      <alignment horizontal="left" vertical="center"/>
    </xf>
    <xf numFmtId="10" fontId="0" fillId="0" borderId="0" xfId="0" applyNumberFormat="1" applyAlignment="1">
      <alignment vertical="center"/>
    </xf>
    <xf numFmtId="168" fontId="0" fillId="0" borderId="0" xfId="0" applyNumberFormat="1" applyAlignment="1">
      <alignment vertical="center"/>
    </xf>
    <xf numFmtId="184" fontId="0" fillId="0" borderId="0" xfId="0" applyNumberFormat="1" applyAlignment="1">
      <alignment horizontal="center" vertical="center"/>
    </xf>
    <xf numFmtId="0" fontId="0" fillId="0" borderId="1" xfId="0" applyBorder="1" applyAlignment="1">
      <alignment vertical="center"/>
    </xf>
    <xf numFmtId="10" fontId="0" fillId="0" borderId="0" xfId="0" applyNumberFormat="1"/>
    <xf numFmtId="168" fontId="0" fillId="0" borderId="0" xfId="0" applyNumberFormat="1"/>
    <xf numFmtId="0" fontId="0" fillId="2" borderId="0" xfId="0" applyFill="1"/>
    <xf numFmtId="0" fontId="60" fillId="4" borderId="42" xfId="0" applyFont="1" applyFill="1" applyBorder="1"/>
    <xf numFmtId="0" fontId="60" fillId="4" borderId="43" xfId="0" applyFont="1" applyFill="1" applyBorder="1"/>
    <xf numFmtId="0" fontId="20" fillId="0" borderId="0" xfId="0" applyFont="1"/>
    <xf numFmtId="0" fontId="22" fillId="7" borderId="52" xfId="0" applyFont="1" applyFill="1" applyBorder="1"/>
    <xf numFmtId="198" fontId="0" fillId="2" borderId="0" xfId="0" applyNumberFormat="1" applyFill="1"/>
    <xf numFmtId="0" fontId="17" fillId="0" borderId="0" xfId="0" quotePrefix="1" applyFont="1" applyAlignment="1">
      <alignment horizontal="left" indent="2"/>
    </xf>
    <xf numFmtId="0" fontId="27" fillId="0" borderId="0" xfId="0" applyFont="1"/>
    <xf numFmtId="0" fontId="25" fillId="0" borderId="0" xfId="0" applyFont="1"/>
    <xf numFmtId="164" fontId="17" fillId="0" borderId="0" xfId="0" applyNumberFormat="1" applyFont="1" applyAlignment="1">
      <alignment horizontal="center"/>
    </xf>
    <xf numFmtId="0" fontId="0" fillId="0" borderId="0" xfId="0" applyAlignment="1">
      <alignment horizontal="center"/>
    </xf>
    <xf numFmtId="0" fontId="0" fillId="0" borderId="0" xfId="0" applyAlignment="1">
      <alignment horizontal="left" indent="2"/>
    </xf>
    <xf numFmtId="10" fontId="0" fillId="0" borderId="0" xfId="0" applyNumberFormat="1" applyAlignment="1">
      <alignment horizontal="center"/>
    </xf>
    <xf numFmtId="0" fontId="36" fillId="0" borderId="4" xfId="0" applyFont="1" applyBorder="1"/>
    <xf numFmtId="0" fontId="0" fillId="0" borderId="4" xfId="0" applyBorder="1" applyAlignment="1">
      <alignment horizontal="center"/>
    </xf>
    <xf numFmtId="10" fontId="16" fillId="0" borderId="4" xfId="0" applyNumberFormat="1" applyFont="1" applyBorder="1" applyAlignment="1">
      <alignment horizontal="center"/>
    </xf>
    <xf numFmtId="0" fontId="39" fillId="4" borderId="39" xfId="0" applyFont="1" applyFill="1" applyBorder="1" applyAlignment="1">
      <alignment horizontal="left"/>
    </xf>
    <xf numFmtId="0" fontId="24" fillId="4" borderId="40" xfId="0" applyFont="1" applyFill="1" applyBorder="1" applyAlignment="1">
      <alignment horizontal="right"/>
    </xf>
    <xf numFmtId="0" fontId="25" fillId="4" borderId="40" xfId="0" applyFont="1" applyFill="1" applyBorder="1" applyAlignment="1">
      <alignment horizontal="right"/>
    </xf>
    <xf numFmtId="0" fontId="25" fillId="4" borderId="41" xfId="0" applyFont="1" applyFill="1" applyBorder="1" applyAlignment="1">
      <alignment horizontal="right"/>
    </xf>
    <xf numFmtId="0" fontId="16" fillId="2" borderId="0" xfId="0" applyFont="1" applyFill="1" applyAlignment="1">
      <alignment horizontal="center"/>
    </xf>
    <xf numFmtId="0" fontId="25" fillId="4" borderId="42" xfId="0" applyFont="1" applyFill="1" applyBorder="1" applyAlignment="1">
      <alignment horizontal="left" wrapText="1"/>
    </xf>
    <xf numFmtId="0" fontId="25" fillId="4" borderId="43" xfId="0" applyFont="1" applyFill="1" applyBorder="1" applyAlignment="1">
      <alignment horizontal="right" wrapText="1"/>
    </xf>
    <xf numFmtId="0" fontId="25" fillId="4" borderId="43" xfId="0" quotePrefix="1" applyFont="1" applyFill="1" applyBorder="1" applyAlignment="1">
      <alignment horizontal="right" wrapText="1"/>
    </xf>
    <xf numFmtId="0" fontId="25" fillId="4" borderId="44" xfId="0" applyFont="1" applyFill="1" applyBorder="1" applyAlignment="1">
      <alignment horizontal="right" wrapText="1"/>
    </xf>
    <xf numFmtId="0" fontId="16" fillId="2" borderId="0" xfId="0" applyFont="1" applyFill="1" applyAlignment="1">
      <alignment horizontal="center" wrapText="1"/>
    </xf>
    <xf numFmtId="0" fontId="0" fillId="0" borderId="0" xfId="0" applyAlignment="1">
      <alignment wrapText="1"/>
    </xf>
    <xf numFmtId="6" fontId="0" fillId="0" borderId="0" xfId="0" applyNumberFormat="1"/>
    <xf numFmtId="8" fontId="0" fillId="0" borderId="0" xfId="0" applyNumberFormat="1"/>
    <xf numFmtId="38" fontId="0" fillId="0" borderId="0" xfId="0" applyNumberFormat="1"/>
    <xf numFmtId="38" fontId="0" fillId="2" borderId="0" xfId="0" applyNumberFormat="1" applyFill="1"/>
    <xf numFmtId="0" fontId="45" fillId="5" borderId="24" xfId="0" applyFont="1" applyFill="1" applyBorder="1"/>
    <xf numFmtId="0" fontId="46" fillId="5" borderId="24" xfId="0" applyFont="1" applyFill="1" applyBorder="1" applyAlignment="1">
      <alignment horizontal="left"/>
    </xf>
    <xf numFmtId="40" fontId="0" fillId="0" borderId="0" xfId="0" applyNumberFormat="1"/>
    <xf numFmtId="0" fontId="43" fillId="0" borderId="0" xfId="0" applyFont="1"/>
    <xf numFmtId="0" fontId="43" fillId="0" borderId="0" xfId="0" applyFont="1" applyAlignment="1">
      <alignment horizontal="left"/>
    </xf>
    <xf numFmtId="10" fontId="43" fillId="0" borderId="0" xfId="0" applyNumberFormat="1" applyFont="1" applyAlignment="1">
      <alignment horizontal="center"/>
    </xf>
    <xf numFmtId="184" fontId="43" fillId="0" borderId="0" xfId="0" applyNumberFormat="1" applyFont="1" applyAlignment="1">
      <alignment horizontal="center"/>
    </xf>
    <xf numFmtId="174" fontId="43" fillId="0" borderId="0" xfId="0" applyNumberFormat="1" applyFont="1" applyAlignment="1">
      <alignment horizontal="left"/>
    </xf>
    <xf numFmtId="0" fontId="0" fillId="2" borderId="0" xfId="0" applyFill="1" applyAlignment="1">
      <alignment wrapText="1"/>
    </xf>
    <xf numFmtId="9" fontId="0" fillId="0" borderId="0" xfId="0" applyNumberFormat="1"/>
    <xf numFmtId="0" fontId="0" fillId="0" borderId="1" xfId="0" applyBorder="1"/>
    <xf numFmtId="38" fontId="0" fillId="0" borderId="1" xfId="0" applyNumberFormat="1" applyBorder="1"/>
    <xf numFmtId="9" fontId="0" fillId="0" borderId="1" xfId="0" applyNumberFormat="1" applyBorder="1"/>
    <xf numFmtId="40" fontId="0" fillId="0" borderId="1" xfId="0" applyNumberFormat="1" applyBorder="1"/>
    <xf numFmtId="0" fontId="36" fillId="0" borderId="0" xfId="0" applyFont="1" applyAlignment="1">
      <alignment horizontal="left" indent="2"/>
    </xf>
    <xf numFmtId="0" fontId="0" fillId="0" borderId="6" xfId="0" applyBorder="1"/>
    <xf numFmtId="6" fontId="0" fillId="0" borderId="6" xfId="0" applyNumberFormat="1" applyBorder="1"/>
    <xf numFmtId="0" fontId="0" fillId="0" borderId="4" xfId="0" applyBorder="1"/>
    <xf numFmtId="38" fontId="0" fillId="0" borderId="4" xfId="0" applyNumberFormat="1" applyBorder="1"/>
    <xf numFmtId="6" fontId="0" fillId="0" borderId="4" xfId="0" applyNumberFormat="1" applyBorder="1"/>
    <xf numFmtId="8" fontId="0" fillId="0" borderId="4" xfId="0" applyNumberFormat="1" applyBorder="1"/>
    <xf numFmtId="184" fontId="0" fillId="0" borderId="0" xfId="0" applyNumberFormat="1"/>
    <xf numFmtId="1" fontId="0" fillId="0" borderId="0" xfId="0" applyNumberFormat="1"/>
    <xf numFmtId="1" fontId="0" fillId="0" borderId="1" xfId="0" applyNumberFormat="1" applyBorder="1"/>
    <xf numFmtId="0" fontId="33" fillId="0" borderId="4" xfId="0" applyFont="1" applyBorder="1"/>
    <xf numFmtId="0" fontId="16" fillId="0" borderId="4" xfId="0" applyFont="1" applyBorder="1"/>
    <xf numFmtId="38" fontId="16" fillId="0" borderId="4" xfId="0" applyNumberFormat="1" applyFont="1" applyBorder="1"/>
    <xf numFmtId="6" fontId="16" fillId="0" borderId="4" xfId="0" applyNumberFormat="1" applyFont="1" applyBorder="1"/>
    <xf numFmtId="8" fontId="16" fillId="0" borderId="4" xfId="0" applyNumberFormat="1" applyFont="1" applyBorder="1"/>
    <xf numFmtId="0" fontId="24" fillId="4" borderId="40" xfId="0" applyFont="1" applyFill="1" applyBorder="1" applyAlignment="1">
      <alignment horizontal="center"/>
    </xf>
    <xf numFmtId="0" fontId="25" fillId="4" borderId="40" xfId="0" applyFont="1" applyFill="1" applyBorder="1" applyAlignment="1">
      <alignment horizontal="center"/>
    </xf>
    <xf numFmtId="0" fontId="25" fillId="4" borderId="41" xfId="0" applyFont="1" applyFill="1" applyBorder="1" applyAlignment="1">
      <alignment horizontal="center"/>
    </xf>
    <xf numFmtId="0" fontId="49" fillId="0" borderId="0" xfId="0" applyFont="1"/>
    <xf numFmtId="0" fontId="25" fillId="4" borderId="42" xfId="0" applyFont="1" applyFill="1" applyBorder="1" applyAlignment="1">
      <alignment horizontal="center" wrapText="1"/>
    </xf>
    <xf numFmtId="0" fontId="25" fillId="4" borderId="43" xfId="0" applyFont="1" applyFill="1" applyBorder="1" applyAlignment="1">
      <alignment horizontal="center" wrapText="1"/>
    </xf>
    <xf numFmtId="0" fontId="25" fillId="4" borderId="43" xfId="0" quotePrefix="1" applyFont="1" applyFill="1" applyBorder="1" applyAlignment="1">
      <alignment horizontal="center" wrapText="1"/>
    </xf>
    <xf numFmtId="0" fontId="25" fillId="4" borderId="44" xfId="0" applyFont="1" applyFill="1" applyBorder="1" applyAlignment="1">
      <alignment horizontal="center" wrapText="1"/>
    </xf>
    <xf numFmtId="187" fontId="33" fillId="3" borderId="11" xfId="0" applyNumberFormat="1" applyFont="1" applyFill="1" applyBorder="1"/>
    <xf numFmtId="180" fontId="16" fillId="0" borderId="4" xfId="0" applyNumberFormat="1" applyFont="1" applyBorder="1"/>
    <xf numFmtId="188" fontId="16" fillId="0" borderId="4" xfId="0" applyNumberFormat="1" applyFont="1" applyBorder="1"/>
    <xf numFmtId="10" fontId="16" fillId="0" borderId="4" xfId="0" applyNumberFormat="1" applyFont="1" applyBorder="1"/>
    <xf numFmtId="0" fontId="16" fillId="2" borderId="0" xfId="0" applyFont="1" applyFill="1"/>
    <xf numFmtId="0" fontId="16" fillId="0" borderId="0" xfId="0" applyFont="1"/>
    <xf numFmtId="180" fontId="16" fillId="0" borderId="0" xfId="0" applyNumberFormat="1" applyFont="1"/>
    <xf numFmtId="38" fontId="16" fillId="0" borderId="0" xfId="0" applyNumberFormat="1" applyFont="1"/>
    <xf numFmtId="8" fontId="16" fillId="0" borderId="0" xfId="0" applyNumberFormat="1" applyFont="1"/>
    <xf numFmtId="6" fontId="16" fillId="0" borderId="0" xfId="0" applyNumberFormat="1" applyFont="1"/>
    <xf numFmtId="188" fontId="16" fillId="0" borderId="0" xfId="0" applyNumberFormat="1" applyFont="1"/>
    <xf numFmtId="10" fontId="16" fillId="0" borderId="0" xfId="0" applyNumberFormat="1" applyFont="1"/>
    <xf numFmtId="167" fontId="0" fillId="0" borderId="0" xfId="0" applyNumberFormat="1"/>
    <xf numFmtId="0" fontId="39" fillId="4" borderId="63" xfId="0" applyFont="1" applyFill="1" applyBorder="1" applyAlignment="1">
      <alignment horizontal="left"/>
    </xf>
    <xf numFmtId="0" fontId="17" fillId="2" borderId="0" xfId="0" applyFont="1" applyFill="1"/>
    <xf numFmtId="0" fontId="37" fillId="0" borderId="0" xfId="0" applyFont="1" applyAlignment="1">
      <alignment horizontal="right"/>
    </xf>
    <xf numFmtId="0" fontId="37" fillId="0" borderId="0" xfId="0" quotePrefix="1" applyFont="1" applyAlignment="1">
      <alignment horizontal="right"/>
    </xf>
    <xf numFmtId="0" fontId="0" fillId="0" borderId="119" xfId="0" applyBorder="1" applyAlignment="1">
      <alignment horizontal="left" indent="2"/>
    </xf>
    <xf numFmtId="190" fontId="40" fillId="0" borderId="120" xfId="4" applyNumberFormat="1" applyFont="1" applyFill="1" applyBorder="1" applyAlignment="1" applyProtection="1">
      <alignment horizontal="right"/>
    </xf>
    <xf numFmtId="0" fontId="0" fillId="0" borderId="8" xfId="0" applyBorder="1"/>
    <xf numFmtId="0" fontId="37" fillId="0" borderId="0" xfId="0" applyFont="1" applyAlignment="1">
      <alignment horizontal="center"/>
    </xf>
    <xf numFmtId="0" fontId="0" fillId="0" borderId="55" xfId="0" applyBorder="1"/>
    <xf numFmtId="171" fontId="0" fillId="0" borderId="4" xfId="0" applyNumberFormat="1" applyBorder="1"/>
    <xf numFmtId="191" fontId="0" fillId="0" borderId="4" xfId="0" applyNumberFormat="1" applyBorder="1"/>
    <xf numFmtId="0" fontId="0" fillId="0" borderId="56" xfId="0" applyBorder="1"/>
    <xf numFmtId="172" fontId="0" fillId="0" borderId="1" xfId="0" applyNumberFormat="1" applyBorder="1"/>
    <xf numFmtId="175" fontId="0" fillId="0" borderId="1" xfId="0" applyNumberFormat="1" applyBorder="1"/>
    <xf numFmtId="0" fontId="36" fillId="0" borderId="9" xfId="0" applyFont="1" applyBorder="1"/>
    <xf numFmtId="169" fontId="0" fillId="0" borderId="4" xfId="0" applyNumberFormat="1" applyBorder="1"/>
    <xf numFmtId="0" fontId="49" fillId="0" borderId="55" xfId="0" quotePrefix="1" applyFont="1" applyBorder="1" applyAlignment="1">
      <alignment horizontal="center"/>
    </xf>
    <xf numFmtId="0" fontId="49" fillId="0" borderId="55" xfId="0" applyFont="1" applyBorder="1" applyAlignment="1">
      <alignment horizontal="center" wrapText="1"/>
    </xf>
    <xf numFmtId="6" fontId="0" fillId="0" borderId="1" xfId="0" applyNumberFormat="1" applyBorder="1"/>
    <xf numFmtId="0" fontId="49" fillId="0" borderId="59" xfId="0" applyFont="1" applyBorder="1" applyAlignment="1">
      <alignment horizontal="center"/>
    </xf>
    <xf numFmtId="0" fontId="37" fillId="0" borderId="59" xfId="0" applyFont="1" applyBorder="1" applyAlignment="1">
      <alignment horizontal="center"/>
    </xf>
    <xf numFmtId="0" fontId="25" fillId="4" borderId="63" xfId="0" applyFont="1" applyFill="1" applyBorder="1"/>
    <xf numFmtId="0" fontId="27" fillId="0" borderId="59" xfId="0" applyFont="1" applyBorder="1"/>
    <xf numFmtId="0" fontId="0" fillId="0" borderId="67" xfId="0" applyBorder="1"/>
    <xf numFmtId="182" fontId="0" fillId="0" borderId="0" xfId="0" applyNumberFormat="1" applyAlignment="1">
      <alignment horizontal="center"/>
    </xf>
    <xf numFmtId="0" fontId="57" fillId="0" borderId="67" xfId="0" applyFont="1" applyBorder="1"/>
    <xf numFmtId="0" fontId="33" fillId="0" borderId="0" xfId="0" applyFont="1"/>
    <xf numFmtId="185" fontId="33" fillId="3" borderId="11" xfId="0" applyNumberFormat="1" applyFont="1" applyFill="1" applyBorder="1"/>
    <xf numFmtId="6" fontId="40" fillId="0" borderId="2" xfId="0" applyNumberFormat="1" applyFont="1" applyBorder="1"/>
    <xf numFmtId="187" fontId="33" fillId="3" borderId="27" xfId="0" applyNumberFormat="1" applyFont="1" applyFill="1" applyBorder="1"/>
    <xf numFmtId="205" fontId="0" fillId="0" borderId="0" xfId="0" applyNumberFormat="1" applyAlignment="1">
      <alignment horizontal="center"/>
    </xf>
    <xf numFmtId="0" fontId="0" fillId="0" borderId="121" xfId="0" applyBorder="1"/>
    <xf numFmtId="0" fontId="0" fillId="0" borderId="25" xfId="0" applyBorder="1"/>
    <xf numFmtId="0" fontId="22" fillId="7" borderId="76" xfId="0" applyFont="1" applyFill="1" applyBorder="1"/>
    <xf numFmtId="0" fontId="25" fillId="7" borderId="77" xfId="0" applyFont="1" applyFill="1" applyBorder="1"/>
    <xf numFmtId="0" fontId="17" fillId="0" borderId="79" xfId="0" quotePrefix="1" applyFont="1" applyBorder="1" applyAlignment="1">
      <alignment horizontal="left" indent="2"/>
    </xf>
    <xf numFmtId="0" fontId="17" fillId="0" borderId="80" xfId="0" quotePrefix="1" applyFont="1" applyBorder="1" applyAlignment="1">
      <alignment horizontal="left" indent="2"/>
    </xf>
    <xf numFmtId="0" fontId="32" fillId="4" borderId="60" xfId="0" applyFont="1" applyFill="1" applyBorder="1"/>
    <xf numFmtId="0" fontId="32" fillId="4" borderId="63" xfId="0" applyFont="1" applyFill="1" applyBorder="1"/>
    <xf numFmtId="0" fontId="35" fillId="4" borderId="61" xfId="0" applyFont="1" applyFill="1" applyBorder="1"/>
    <xf numFmtId="0" fontId="0" fillId="0" borderId="58" xfId="0" applyBorder="1"/>
    <xf numFmtId="0" fontId="0" fillId="0" borderId="59" xfId="0" applyBorder="1"/>
    <xf numFmtId="0" fontId="0" fillId="0" borderId="66" xfId="0" applyBorder="1"/>
    <xf numFmtId="0" fontId="49" fillId="0" borderId="0" xfId="0" quotePrefix="1" applyFont="1" applyAlignment="1">
      <alignment horizontal="right"/>
    </xf>
    <xf numFmtId="0" fontId="49" fillId="0" borderId="67" xfId="0" quotePrefix="1" applyFont="1" applyBorder="1" applyAlignment="1">
      <alignment horizontal="center"/>
    </xf>
    <xf numFmtId="0" fontId="49" fillId="0" borderId="0" xfId="0" applyFont="1" applyAlignment="1">
      <alignment horizontal="center"/>
    </xf>
    <xf numFmtId="0" fontId="50" fillId="0" borderId="0" xfId="0" applyFont="1" applyAlignment="1">
      <alignment horizontal="left"/>
    </xf>
    <xf numFmtId="169" fontId="0" fillId="0" borderId="0" xfId="0" applyNumberFormat="1"/>
    <xf numFmtId="6" fontId="20" fillId="0" borderId="1" xfId="0" applyNumberFormat="1" applyFont="1" applyBorder="1"/>
    <xf numFmtId="8" fontId="0" fillId="0" borderId="118" xfId="0" applyNumberFormat="1" applyBorder="1"/>
    <xf numFmtId="0" fontId="49" fillId="0" borderId="54" xfId="0" applyFont="1" applyBorder="1"/>
    <xf numFmtId="0" fontId="49" fillId="0" borderId="55" xfId="0" applyFont="1" applyBorder="1"/>
    <xf numFmtId="0" fontId="49" fillId="0" borderId="55" xfId="0" applyFont="1" applyBorder="1" applyAlignment="1">
      <alignment horizontal="center"/>
    </xf>
    <xf numFmtId="0" fontId="49" fillId="0" borderId="55" xfId="0" quotePrefix="1" applyFont="1" applyBorder="1" applyAlignment="1">
      <alignment horizontal="right"/>
    </xf>
    <xf numFmtId="43" fontId="0" fillId="0" borderId="0" xfId="0" applyNumberFormat="1"/>
    <xf numFmtId="0" fontId="32" fillId="4" borderId="59" xfId="0" applyFont="1" applyFill="1" applyBorder="1"/>
    <xf numFmtId="0" fontId="36" fillId="0" borderId="0" xfId="0" applyFont="1"/>
    <xf numFmtId="0" fontId="49" fillId="0" borderId="55" xfId="0" applyFont="1" applyBorder="1" applyAlignment="1">
      <alignment horizontal="right"/>
    </xf>
    <xf numFmtId="0" fontId="49" fillId="0" borderId="69" xfId="0" quotePrefix="1" applyFont="1" applyBorder="1" applyAlignment="1">
      <alignment horizontal="right"/>
    </xf>
    <xf numFmtId="6" fontId="20" fillId="0" borderId="0" xfId="0" applyNumberFormat="1" applyFont="1"/>
    <xf numFmtId="0" fontId="49" fillId="0" borderId="67" xfId="0" applyFont="1" applyBorder="1" applyAlignment="1">
      <alignment horizontal="center"/>
    </xf>
    <xf numFmtId="0" fontId="49" fillId="0" borderId="54" xfId="0" applyFont="1" applyBorder="1" applyAlignment="1">
      <alignment horizontal="center"/>
    </xf>
    <xf numFmtId="0" fontId="0" fillId="0" borderId="59" xfId="0" applyBorder="1" applyAlignment="1">
      <alignment horizontal="right"/>
    </xf>
    <xf numFmtId="10" fontId="0" fillId="0" borderId="0" xfId="0" applyNumberFormat="1" applyAlignment="1">
      <alignment horizontal="right"/>
    </xf>
    <xf numFmtId="0" fontId="49" fillId="0" borderId="0" xfId="0" applyFont="1" applyAlignment="1">
      <alignment horizontal="right"/>
    </xf>
    <xf numFmtId="0" fontId="25" fillId="7" borderId="78" xfId="0" applyFont="1" applyFill="1" applyBorder="1" applyAlignment="1">
      <alignment horizontal="right"/>
    </xf>
    <xf numFmtId="0" fontId="36" fillId="0" borderId="0" xfId="0" applyFont="1" applyAlignment="1">
      <alignment vertical="center" wrapText="1"/>
    </xf>
    <xf numFmtId="38" fontId="36" fillId="0" borderId="0" xfId="0" applyNumberFormat="1" applyFont="1"/>
    <xf numFmtId="40" fontId="36" fillId="0" borderId="0" xfId="0" applyNumberFormat="1" applyFont="1"/>
    <xf numFmtId="8" fontId="20" fillId="0" borderId="0" xfId="0" applyNumberFormat="1" applyFont="1"/>
    <xf numFmtId="0" fontId="0" fillId="0" borderId="0" xfId="0" applyAlignment="1">
      <alignment horizontal="right"/>
    </xf>
    <xf numFmtId="0" fontId="42" fillId="0" borderId="8" xfId="0" applyFont="1" applyBorder="1"/>
    <xf numFmtId="3" fontId="0" fillId="0" borderId="0" xfId="0" applyNumberFormat="1"/>
    <xf numFmtId="3" fontId="0" fillId="0" borderId="1" xfId="0" applyNumberFormat="1" applyBorder="1"/>
    <xf numFmtId="40" fontId="0" fillId="0" borderId="26" xfId="0" applyNumberFormat="1" applyBorder="1"/>
    <xf numFmtId="0" fontId="49" fillId="0" borderId="8" xfId="0" applyFont="1" applyBorder="1" applyAlignment="1">
      <alignment horizontal="center"/>
    </xf>
    <xf numFmtId="8" fontId="17" fillId="0" borderId="0" xfId="0" applyNumberFormat="1" applyFont="1"/>
    <xf numFmtId="0" fontId="49" fillId="0" borderId="58" xfId="0" applyFont="1" applyBorder="1" applyAlignment="1">
      <alignment horizontal="right"/>
    </xf>
    <xf numFmtId="0" fontId="49" fillId="0" borderId="59" xfId="0" applyFont="1" applyBorder="1" applyAlignment="1">
      <alignment horizontal="right"/>
    </xf>
    <xf numFmtId="0" fontId="27" fillId="0" borderId="67" xfId="0" quotePrefix="1" applyFont="1" applyBorder="1" applyAlignment="1">
      <alignment horizontal="left"/>
    </xf>
    <xf numFmtId="0" fontId="17" fillId="0" borderId="8" xfId="0" quotePrefix="1" applyFont="1" applyBorder="1" applyAlignment="1">
      <alignment horizontal="left" indent="2"/>
    </xf>
    <xf numFmtId="0" fontId="27" fillId="0" borderId="8" xfId="0" quotePrefix="1" applyFont="1" applyBorder="1" applyAlignment="1">
      <alignment horizontal="left"/>
    </xf>
    <xf numFmtId="0" fontId="17" fillId="0" borderId="8" xfId="0" applyFont="1" applyBorder="1" applyAlignment="1">
      <alignment horizontal="left" indent="2"/>
    </xf>
    <xf numFmtId="0" fontId="27" fillId="0" borderId="8" xfId="0" applyFont="1" applyBorder="1" applyAlignment="1">
      <alignment horizontal="left"/>
    </xf>
    <xf numFmtId="0" fontId="17" fillId="0" borderId="8" xfId="0" applyFont="1" applyBorder="1" applyAlignment="1">
      <alignment horizontal="left"/>
    </xf>
    <xf numFmtId="168" fontId="0" fillId="0" borderId="4" xfId="0" applyNumberFormat="1" applyBorder="1"/>
    <xf numFmtId="0" fontId="32" fillId="4" borderId="40" xfId="0" applyFont="1" applyFill="1" applyBorder="1"/>
    <xf numFmtId="0" fontId="32" fillId="4" borderId="72" xfId="0" applyFont="1" applyFill="1" applyBorder="1"/>
    <xf numFmtId="0" fontId="35" fillId="4" borderId="40" xfId="0" applyFont="1" applyFill="1" applyBorder="1"/>
    <xf numFmtId="0" fontId="51" fillId="4" borderId="40" xfId="0" applyFont="1" applyFill="1" applyBorder="1"/>
    <xf numFmtId="0" fontId="51" fillId="4" borderId="73" xfId="0" applyFont="1" applyFill="1" applyBorder="1"/>
    <xf numFmtId="0" fontId="32" fillId="4" borderId="43" xfId="0" applyFont="1" applyFill="1" applyBorder="1" applyAlignment="1">
      <alignment horizontal="center" wrapText="1"/>
    </xf>
    <xf numFmtId="0" fontId="32" fillId="4" borderId="74" xfId="0" applyFont="1" applyFill="1" applyBorder="1" applyAlignment="1">
      <alignment horizontal="center" wrapText="1"/>
    </xf>
    <xf numFmtId="0" fontId="16" fillId="0" borderId="0" xfId="0" applyFont="1" applyAlignment="1">
      <alignment horizontal="center"/>
    </xf>
    <xf numFmtId="195" fontId="0" fillId="0" borderId="0" xfId="0" applyNumberFormat="1"/>
    <xf numFmtId="166" fontId="0" fillId="0" borderId="0" xfId="0" applyNumberFormat="1"/>
    <xf numFmtId="14" fontId="0" fillId="6" borderId="10" xfId="0" applyNumberFormat="1" applyFill="1" applyBorder="1"/>
    <xf numFmtId="14" fontId="0" fillId="6" borderId="0" xfId="0" applyNumberFormat="1" applyFill="1"/>
    <xf numFmtId="195" fontId="35" fillId="4" borderId="75" xfId="0" applyNumberFormat="1" applyFont="1" applyFill="1" applyBorder="1"/>
    <xf numFmtId="166" fontId="35" fillId="4" borderId="75" xfId="0" applyNumberFormat="1" applyFont="1" applyFill="1" applyBorder="1"/>
    <xf numFmtId="10" fontId="35" fillId="4" borderId="75" xfId="0" applyNumberFormat="1" applyFont="1" applyFill="1" applyBorder="1"/>
    <xf numFmtId="14" fontId="35" fillId="4" borderId="75" xfId="0" applyNumberFormat="1" applyFont="1" applyFill="1" applyBorder="1"/>
    <xf numFmtId="14" fontId="0" fillId="0" borderId="10" xfId="0" applyNumberFormat="1" applyBorder="1"/>
    <xf numFmtId="14" fontId="0" fillId="0" borderId="0" xfId="0" applyNumberFormat="1"/>
    <xf numFmtId="10" fontId="17" fillId="0" borderId="0" xfId="0" applyNumberFormat="1" applyFont="1" applyAlignment="1">
      <alignment horizontal="left"/>
    </xf>
    <xf numFmtId="165" fontId="35" fillId="4" borderId="40" xfId="0" applyNumberFormat="1" applyFont="1" applyFill="1" applyBorder="1" applyAlignment="1">
      <alignment horizontal="right"/>
    </xf>
    <xf numFmtId="166" fontId="35" fillId="4" borderId="43" xfId="0" applyNumberFormat="1" applyFont="1" applyFill="1" applyBorder="1" applyAlignment="1">
      <alignment horizontal="right"/>
    </xf>
    <xf numFmtId="0" fontId="31" fillId="0" borderId="0" xfId="0" applyFont="1"/>
    <xf numFmtId="0" fontId="29" fillId="7" borderId="52" xfId="0" applyFont="1" applyFill="1" applyBorder="1"/>
    <xf numFmtId="0" fontId="29" fillId="7" borderId="53" xfId="0" applyFont="1" applyFill="1" applyBorder="1"/>
    <xf numFmtId="173" fontId="17" fillId="0" borderId="0" xfId="0" applyNumberFormat="1" applyFont="1" applyAlignment="1">
      <alignment horizontal="left"/>
    </xf>
    <xf numFmtId="19" fontId="17" fillId="0" borderId="0" xfId="0" applyNumberFormat="1" applyFont="1" applyAlignment="1">
      <alignment horizontal="left"/>
    </xf>
    <xf numFmtId="0" fontId="27" fillId="0" borderId="0" xfId="0" quotePrefix="1" applyFont="1" applyAlignment="1">
      <alignment horizontal="left"/>
    </xf>
    <xf numFmtId="38" fontId="26" fillId="0" borderId="0" xfId="0" applyNumberFormat="1" applyFont="1" applyAlignment="1">
      <alignment horizontal="right"/>
    </xf>
    <xf numFmtId="40" fontId="26" fillId="0" borderId="0" xfId="0" applyNumberFormat="1" applyFont="1" applyAlignment="1">
      <alignment horizontal="right"/>
    </xf>
    <xf numFmtId="10" fontId="26" fillId="0" borderId="0" xfId="0" applyNumberFormat="1" applyFont="1" applyAlignment="1">
      <alignment horizontal="right"/>
    </xf>
    <xf numFmtId="0" fontId="27" fillId="0" borderId="0" xfId="0" applyFont="1" applyAlignment="1">
      <alignment horizontal="right"/>
    </xf>
    <xf numFmtId="184" fontId="17" fillId="0" borderId="0" xfId="0" applyNumberFormat="1" applyFont="1"/>
    <xf numFmtId="202" fontId="17" fillId="0" borderId="0" xfId="0" applyNumberFormat="1" applyFont="1"/>
    <xf numFmtId="10" fontId="17" fillId="0" borderId="0" xfId="0" applyNumberFormat="1" applyFont="1"/>
    <xf numFmtId="38" fontId="17" fillId="0" borderId="0" xfId="0" applyNumberFormat="1" applyFont="1" applyAlignment="1">
      <alignment horizontal="right"/>
    </xf>
    <xf numFmtId="180" fontId="17" fillId="0" borderId="0" xfId="0" applyNumberFormat="1" applyFont="1" applyAlignment="1">
      <alignment horizontal="right"/>
    </xf>
    <xf numFmtId="40" fontId="17" fillId="0" borderId="0" xfId="0" applyNumberFormat="1" applyFont="1" applyAlignment="1">
      <alignment horizontal="right"/>
    </xf>
    <xf numFmtId="3" fontId="17" fillId="0" borderId="0" xfId="0" applyNumberFormat="1" applyFont="1"/>
    <xf numFmtId="4" fontId="17" fillId="0" borderId="0" xfId="0" applyNumberFormat="1" applyFont="1"/>
    <xf numFmtId="188" fontId="17" fillId="0" borderId="0" xfId="0" applyNumberFormat="1" applyFont="1" applyAlignment="1">
      <alignment horizontal="right"/>
    </xf>
    <xf numFmtId="38" fontId="17" fillId="0" borderId="0" xfId="0" applyNumberFormat="1" applyFont="1"/>
    <xf numFmtId="6" fontId="17" fillId="0" borderId="0" xfId="0" applyNumberFormat="1" applyFont="1"/>
    <xf numFmtId="201" fontId="17" fillId="0" borderId="0" xfId="0" applyNumberFormat="1" applyFont="1" applyAlignment="1">
      <alignment horizontal="right"/>
    </xf>
    <xf numFmtId="0" fontId="17" fillId="0" borderId="0" xfId="0" applyFont="1" applyAlignment="1">
      <alignment horizontal="right"/>
    </xf>
    <xf numFmtId="0" fontId="24" fillId="0" borderId="0" xfId="0" applyFont="1" applyAlignment="1">
      <alignment horizontal="left" indent="2"/>
    </xf>
    <xf numFmtId="6" fontId="23" fillId="0" borderId="0" xfId="0" applyNumberFormat="1" applyFont="1"/>
    <xf numFmtId="0" fontId="17" fillId="0" borderId="0" xfId="0" applyFont="1" applyAlignment="1">
      <alignment horizontal="left" indent="2"/>
    </xf>
    <xf numFmtId="8" fontId="23" fillId="0" borderId="0" xfId="0" applyNumberFormat="1" applyFont="1"/>
    <xf numFmtId="0" fontId="27" fillId="0" borderId="82" xfId="0" applyFont="1" applyBorder="1"/>
    <xf numFmtId="0" fontId="27" fillId="0" borderId="83" xfId="0" applyFont="1" applyBorder="1"/>
    <xf numFmtId="0" fontId="27" fillId="0" borderId="84" xfId="0" applyFont="1" applyBorder="1"/>
    <xf numFmtId="0" fontId="17" fillId="0" borderId="85" xfId="0" applyFont="1" applyBorder="1"/>
    <xf numFmtId="10" fontId="17" fillId="0" borderId="86" xfId="0" applyNumberFormat="1" applyFont="1" applyBorder="1"/>
    <xf numFmtId="0" fontId="17" fillId="0" borderId="87" xfId="0" applyFont="1" applyBorder="1"/>
    <xf numFmtId="10" fontId="17" fillId="0" borderId="88" xfId="0" applyNumberFormat="1" applyFont="1" applyBorder="1"/>
    <xf numFmtId="10" fontId="17" fillId="0" borderId="89" xfId="0" applyNumberFormat="1" applyFont="1" applyBorder="1"/>
    <xf numFmtId="0" fontId="17" fillId="0" borderId="55" xfId="0" applyFont="1" applyBorder="1"/>
    <xf numFmtId="0" fontId="17" fillId="0" borderId="54" xfId="0" applyFont="1" applyBorder="1"/>
    <xf numFmtId="0" fontId="20" fillId="0" borderId="0" xfId="0" applyFont="1" applyAlignment="1">
      <alignment horizontal="left"/>
    </xf>
    <xf numFmtId="168" fontId="17" fillId="0" borderId="0" xfId="0" applyNumberFormat="1" applyFont="1"/>
    <xf numFmtId="40" fontId="17" fillId="0" borderId="0" xfId="0" applyNumberFormat="1" applyFont="1"/>
    <xf numFmtId="0" fontId="27" fillId="0" borderId="0" xfId="0" applyFont="1" applyAlignment="1">
      <alignment horizontal="left"/>
    </xf>
    <xf numFmtId="0" fontId="25" fillId="0" borderId="56" xfId="0" applyFont="1" applyBorder="1" applyAlignment="1">
      <alignment horizontal="left"/>
    </xf>
    <xf numFmtId="0" fontId="17" fillId="0" borderId="9" xfId="0" applyFont="1" applyBorder="1"/>
    <xf numFmtId="38" fontId="17" fillId="0" borderId="4" xfId="0" applyNumberFormat="1" applyFont="1" applyBorder="1"/>
    <xf numFmtId="9" fontId="17" fillId="0" borderId="4" xfId="8" applyFont="1" applyFill="1" applyBorder="1" applyProtection="1"/>
    <xf numFmtId="6" fontId="17" fillId="0" borderId="4" xfId="0" applyNumberFormat="1" applyFont="1" applyBorder="1"/>
    <xf numFmtId="8" fontId="17" fillId="0" borderId="4" xfId="0" applyNumberFormat="1" applyFont="1" applyBorder="1"/>
    <xf numFmtId="0" fontId="17" fillId="0" borderId="4" xfId="0" applyFont="1" applyBorder="1" applyAlignment="1">
      <alignment horizontal="left"/>
    </xf>
    <xf numFmtId="0" fontId="17" fillId="0" borderId="4" xfId="0" applyFont="1" applyBorder="1"/>
    <xf numFmtId="184" fontId="17" fillId="0" borderId="4" xfId="0" applyNumberFormat="1" applyFont="1" applyBorder="1"/>
    <xf numFmtId="202" fontId="17" fillId="0" borderId="4" xfId="0" applyNumberFormat="1" applyFont="1" applyBorder="1"/>
    <xf numFmtId="10" fontId="17" fillId="0" borderId="4" xfId="0" applyNumberFormat="1" applyFont="1" applyBorder="1"/>
    <xf numFmtId="0" fontId="17" fillId="0" borderId="8" xfId="0" applyFont="1" applyBorder="1"/>
    <xf numFmtId="8" fontId="17" fillId="0" borderId="0" xfId="0" applyNumberFormat="1" applyFont="1" applyAlignment="1">
      <alignment horizontal="right"/>
    </xf>
    <xf numFmtId="0" fontId="29" fillId="7" borderId="52" xfId="0" applyFont="1" applyFill="1" applyBorder="1" applyAlignment="1">
      <alignment horizontal="right"/>
    </xf>
    <xf numFmtId="0" fontId="29" fillId="7" borderId="53" xfId="0" applyFont="1" applyFill="1" applyBorder="1" applyAlignment="1">
      <alignment horizontal="right"/>
    </xf>
    <xf numFmtId="0" fontId="22" fillId="7" borderId="53" xfId="0" applyFont="1" applyFill="1" applyBorder="1"/>
    <xf numFmtId="195" fontId="17" fillId="0" borderId="0" xfId="0" applyNumberFormat="1" applyFont="1" applyAlignment="1">
      <alignment horizontal="right"/>
    </xf>
    <xf numFmtId="0" fontId="29" fillId="7" borderId="52" xfId="0" applyFont="1" applyFill="1" applyBorder="1" applyAlignment="1">
      <alignment horizontal="left"/>
    </xf>
    <xf numFmtId="0" fontId="29" fillId="7" borderId="53" xfId="0" applyFont="1" applyFill="1" applyBorder="1" applyAlignment="1">
      <alignment horizontal="left"/>
    </xf>
    <xf numFmtId="0" fontId="28" fillId="0" borderId="0" xfId="0" applyFont="1" applyAlignment="1">
      <alignment horizontal="right"/>
    </xf>
    <xf numFmtId="38" fontId="27" fillId="0" borderId="116" xfId="0" applyNumberFormat="1" applyFont="1" applyBorder="1" applyAlignment="1">
      <alignment horizontal="right"/>
    </xf>
    <xf numFmtId="38" fontId="27" fillId="0" borderId="115" xfId="0" applyNumberFormat="1" applyFont="1" applyBorder="1" applyAlignment="1">
      <alignment horizontal="right"/>
    </xf>
    <xf numFmtId="0" fontId="27" fillId="0" borderId="81" xfId="0" applyFont="1" applyBorder="1" applyAlignment="1">
      <alignment horizontal="right"/>
    </xf>
    <xf numFmtId="10" fontId="27" fillId="0" borderId="0" xfId="0" applyNumberFormat="1" applyFont="1" applyAlignment="1">
      <alignment horizontal="right"/>
    </xf>
    <xf numFmtId="10" fontId="27" fillId="0" borderId="0" xfId="0" applyNumberFormat="1" applyFont="1" applyAlignment="1">
      <alignment horizontal="center"/>
    </xf>
    <xf numFmtId="166" fontId="17" fillId="0" borderId="0" xfId="0" applyNumberFormat="1" applyFont="1"/>
    <xf numFmtId="0" fontId="17" fillId="0" borderId="0" xfId="0" quotePrefix="1" applyFont="1"/>
    <xf numFmtId="184" fontId="17" fillId="0" borderId="8" xfId="0" applyNumberFormat="1" applyFont="1" applyBorder="1"/>
    <xf numFmtId="10" fontId="17" fillId="0" borderId="0" xfId="0" applyNumberFormat="1" applyFont="1" applyAlignment="1">
      <alignment horizontal="right"/>
    </xf>
    <xf numFmtId="167" fontId="17" fillId="0" borderId="0" xfId="0" applyNumberFormat="1" applyFont="1"/>
    <xf numFmtId="10" fontId="17" fillId="0" borderId="8" xfId="0" applyNumberFormat="1" applyFont="1" applyBorder="1"/>
    <xf numFmtId="195" fontId="25" fillId="0" borderId="0" xfId="0" applyNumberFormat="1" applyFont="1" applyAlignment="1">
      <alignment horizontal="right"/>
    </xf>
    <xf numFmtId="0" fontId="26" fillId="0" borderId="0" xfId="0" applyFont="1" applyAlignment="1">
      <alignment horizontal="right"/>
    </xf>
    <xf numFmtId="6" fontId="26" fillId="0" borderId="0" xfId="0" applyNumberFormat="1" applyFont="1" applyAlignment="1">
      <alignment horizontal="right"/>
    </xf>
    <xf numFmtId="0" fontId="26" fillId="0" borderId="90" xfId="0" applyFont="1" applyBorder="1" applyAlignment="1">
      <alignment horizontal="right"/>
    </xf>
    <xf numFmtId="6" fontId="17" fillId="0" borderId="0" xfId="0" applyNumberFormat="1" applyFont="1" applyAlignment="1">
      <alignment horizontal="right"/>
    </xf>
    <xf numFmtId="6" fontId="17" fillId="0" borderId="29" xfId="0" applyNumberFormat="1" applyFont="1" applyBorder="1" applyAlignment="1">
      <alignment horizontal="right"/>
    </xf>
    <xf numFmtId="0" fontId="17" fillId="0" borderId="36" xfId="0" applyFont="1" applyBorder="1"/>
    <xf numFmtId="195" fontId="17" fillId="0" borderId="36" xfId="0" applyNumberFormat="1" applyFont="1" applyBorder="1" applyAlignment="1">
      <alignment horizontal="right"/>
    </xf>
    <xf numFmtId="165" fontId="17" fillId="0" borderId="36" xfId="0" applyNumberFormat="1" applyFont="1" applyBorder="1" applyAlignment="1">
      <alignment horizontal="right"/>
    </xf>
    <xf numFmtId="6" fontId="17" fillId="0" borderId="55" xfId="0" applyNumberFormat="1" applyFont="1" applyBorder="1" applyAlignment="1">
      <alignment horizontal="right"/>
    </xf>
    <xf numFmtId="0" fontId="23" fillId="0" borderId="0" xfId="0" applyFont="1" applyAlignment="1">
      <alignment horizontal="left"/>
    </xf>
    <xf numFmtId="38" fontId="17" fillId="0" borderId="29" xfId="0" applyNumberFormat="1" applyFont="1" applyBorder="1" applyAlignment="1">
      <alignment horizontal="right"/>
    </xf>
    <xf numFmtId="0" fontId="23" fillId="0" borderId="0" xfId="0" applyFont="1"/>
    <xf numFmtId="6" fontId="23" fillId="0" borderId="0" xfId="0" applyNumberFormat="1" applyFont="1" applyAlignment="1">
      <alignment horizontal="right"/>
    </xf>
    <xf numFmtId="6" fontId="25" fillId="0" borderId="28" xfId="0" applyNumberFormat="1" applyFont="1" applyBorder="1" applyAlignment="1">
      <alignment horizontal="right"/>
    </xf>
    <xf numFmtId="0" fontId="23" fillId="0" borderId="0" xfId="0" applyFont="1" applyAlignment="1">
      <alignment horizontal="left" indent="2"/>
    </xf>
    <xf numFmtId="8" fontId="23" fillId="0" borderId="0" xfId="0" applyNumberFormat="1" applyFont="1" applyAlignment="1">
      <alignment horizontal="right"/>
    </xf>
    <xf numFmtId="0" fontId="17" fillId="0" borderId="1" xfId="0" applyFont="1" applyBorder="1"/>
    <xf numFmtId="6" fontId="17" fillId="0" borderId="1" xfId="0" applyNumberFormat="1" applyFont="1" applyBorder="1" applyAlignment="1">
      <alignment horizontal="right"/>
    </xf>
    <xf numFmtId="0" fontId="17" fillId="0" borderId="29" xfId="0" applyFont="1" applyBorder="1"/>
    <xf numFmtId="38" fontId="23" fillId="0" borderId="0" xfId="0" applyNumberFormat="1" applyFont="1" applyAlignment="1">
      <alignment horizontal="right"/>
    </xf>
    <xf numFmtId="6" fontId="17" fillId="0" borderId="28" xfId="0" applyNumberFormat="1" applyFont="1" applyBorder="1" applyAlignment="1">
      <alignment horizontal="right"/>
    </xf>
    <xf numFmtId="168" fontId="23" fillId="0" borderId="0" xfId="0" applyNumberFormat="1" applyFont="1" applyAlignment="1">
      <alignment horizontal="right"/>
    </xf>
    <xf numFmtId="6" fontId="17" fillId="0" borderId="4" xfId="0" applyNumberFormat="1" applyFont="1" applyBorder="1" applyAlignment="1">
      <alignment horizontal="right"/>
    </xf>
    <xf numFmtId="6" fontId="17" fillId="0" borderId="91" xfId="0" applyNumberFormat="1" applyFont="1" applyBorder="1" applyAlignment="1">
      <alignment horizontal="right"/>
    </xf>
    <xf numFmtId="203" fontId="17" fillId="0" borderId="0" xfId="0" applyNumberFormat="1" applyFont="1"/>
    <xf numFmtId="203" fontId="17" fillId="0" borderId="29" xfId="0" applyNumberFormat="1" applyFont="1" applyBorder="1"/>
    <xf numFmtId="0" fontId="5" fillId="0" borderId="0" xfId="0" applyFont="1"/>
    <xf numFmtId="206" fontId="9" fillId="0" borderId="0" xfId="0" applyNumberFormat="1" applyFont="1"/>
    <xf numFmtId="206" fontId="5" fillId="0" borderId="0" xfId="0" applyNumberFormat="1" applyFont="1"/>
    <xf numFmtId="40" fontId="23" fillId="0" borderId="0" xfId="0" applyNumberFormat="1" applyFont="1" applyAlignment="1">
      <alignment horizontal="right"/>
    </xf>
    <xf numFmtId="207" fontId="17" fillId="0" borderId="0" xfId="0" applyNumberFormat="1" applyFont="1"/>
    <xf numFmtId="0" fontId="17" fillId="0" borderId="124" xfId="0" applyFont="1" applyBorder="1"/>
    <xf numFmtId="0" fontId="17" fillId="0" borderId="34" xfId="0" applyFont="1" applyBorder="1"/>
    <xf numFmtId="0" fontId="9" fillId="0" borderId="0" xfId="0" applyFont="1"/>
    <xf numFmtId="0" fontId="21" fillId="0" borderId="0" xfId="0" applyFont="1" applyAlignment="1">
      <alignment horizontal="right"/>
    </xf>
    <xf numFmtId="9" fontId="9" fillId="0" borderId="0" xfId="0" applyNumberFormat="1" applyFont="1" applyAlignment="1">
      <alignment horizontal="right"/>
    </xf>
    <xf numFmtId="0" fontId="10" fillId="0" borderId="0" xfId="0" applyFont="1" applyAlignment="1">
      <alignment horizontal="left" indent="1"/>
    </xf>
    <xf numFmtId="186" fontId="11" fillId="0" borderId="0" xfId="0" applyNumberFormat="1" applyFont="1"/>
    <xf numFmtId="6" fontId="11" fillId="0" borderId="0" xfId="0" applyNumberFormat="1" applyFont="1" applyAlignment="1">
      <alignment horizontal="right"/>
    </xf>
    <xf numFmtId="0" fontId="9" fillId="0" borderId="0" xfId="0" applyFont="1" applyAlignment="1">
      <alignment horizontal="left" indent="2"/>
    </xf>
    <xf numFmtId="186" fontId="9" fillId="0" borderId="0" xfId="0" applyNumberFormat="1" applyFont="1"/>
    <xf numFmtId="38" fontId="9" fillId="0" borderId="0" xfId="0" applyNumberFormat="1" applyFont="1" applyAlignment="1">
      <alignment horizontal="right"/>
    </xf>
    <xf numFmtId="10" fontId="17" fillId="0" borderId="50" xfId="0" quotePrefix="1" applyNumberFormat="1" applyFont="1" applyBorder="1" applyAlignment="1">
      <alignment horizontal="right" indent="2"/>
    </xf>
    <xf numFmtId="209" fontId="17" fillId="0" borderId="50" xfId="0" quotePrefix="1" applyNumberFormat="1" applyFont="1" applyBorder="1" applyAlignment="1">
      <alignment horizontal="right" indent="2"/>
    </xf>
    <xf numFmtId="0" fontId="27" fillId="0" borderId="0" xfId="0" quotePrefix="1" applyFont="1" applyAlignment="1">
      <alignment horizontal="center"/>
    </xf>
    <xf numFmtId="10" fontId="37" fillId="0" borderId="0" xfId="0" applyNumberFormat="1" applyFont="1" applyAlignment="1">
      <alignment horizontal="center"/>
    </xf>
    <xf numFmtId="164" fontId="0" fillId="0" borderId="0" xfId="0" applyNumberFormat="1" applyAlignment="1">
      <alignment horizontal="center"/>
    </xf>
    <xf numFmtId="167" fontId="0" fillId="0" borderId="0" xfId="0" applyNumberFormat="1" applyAlignment="1">
      <alignment horizontal="right"/>
    </xf>
    <xf numFmtId="0" fontId="16" fillId="0" borderId="0" xfId="0" applyFont="1" applyAlignment="1">
      <alignment horizontal="right"/>
    </xf>
    <xf numFmtId="208" fontId="0" fillId="0" borderId="0" xfId="0" applyNumberFormat="1" applyAlignment="1">
      <alignment horizontal="center"/>
    </xf>
    <xf numFmtId="0" fontId="22" fillId="7" borderId="51" xfId="0" applyFont="1" applyFill="1" applyBorder="1" applyAlignment="1">
      <alignment horizontal="left"/>
    </xf>
    <xf numFmtId="0" fontId="17" fillId="0" borderId="0" xfId="0" applyFont="1" applyAlignment="1">
      <alignment horizontal="left"/>
    </xf>
    <xf numFmtId="10" fontId="27" fillId="0" borderId="116" xfId="0" applyNumberFormat="1" applyFont="1" applyBorder="1" applyAlignment="1">
      <alignment horizontal="center"/>
    </xf>
    <xf numFmtId="10" fontId="17" fillId="0" borderId="0" xfId="0" applyNumberFormat="1" applyFont="1" applyAlignment="1">
      <alignment horizontal="center"/>
    </xf>
    <xf numFmtId="38" fontId="44" fillId="11" borderId="37" xfId="4" applyAlignment="1">
      <alignment horizontal="left" vertical="center"/>
      <protection locked="0"/>
    </xf>
    <xf numFmtId="0" fontId="63" fillId="0" borderId="0" xfId="0" applyFont="1"/>
    <xf numFmtId="0" fontId="25" fillId="7" borderId="51" xfId="0" applyFont="1" applyFill="1" applyBorder="1"/>
    <xf numFmtId="0" fontId="26" fillId="0" borderId="58" xfId="0" applyFont="1" applyBorder="1" applyAlignment="1">
      <alignment horizontal="center" vertical="center"/>
    </xf>
    <xf numFmtId="184" fontId="17" fillId="0" borderId="0" xfId="0" applyNumberFormat="1" applyFont="1" applyAlignment="1">
      <alignment horizontal="center"/>
    </xf>
    <xf numFmtId="0" fontId="17" fillId="0" borderId="128" xfId="0" applyFont="1" applyBorder="1"/>
    <xf numFmtId="184" fontId="0" fillId="0" borderId="0" xfId="0" applyNumberFormat="1" applyAlignment="1">
      <alignment horizontal="center"/>
    </xf>
    <xf numFmtId="5" fontId="17" fillId="0" borderId="0" xfId="0" applyNumberFormat="1" applyFont="1"/>
    <xf numFmtId="0" fontId="0" fillId="0" borderId="13" xfId="0" applyBorder="1"/>
    <xf numFmtId="0" fontId="0" fillId="0" borderId="14" xfId="0" applyBorder="1"/>
    <xf numFmtId="0" fontId="0" fillId="0" borderId="18" xfId="0" applyBorder="1"/>
    <xf numFmtId="0" fontId="0" fillId="0" borderId="15" xfId="0" applyBorder="1"/>
    <xf numFmtId="0" fontId="0" fillId="0" borderId="19" xfId="0" applyBorder="1"/>
    <xf numFmtId="0" fontId="6" fillId="0" borderId="0" xfId="0" applyFont="1"/>
    <xf numFmtId="0" fontId="19" fillId="0" borderId="0" xfId="0" applyFont="1"/>
    <xf numFmtId="0" fontId="19" fillId="0" borderId="0" xfId="0" applyFont="1" applyAlignment="1">
      <alignment horizontal="right"/>
    </xf>
    <xf numFmtId="0" fontId="19" fillId="0" borderId="0" xfId="0" applyFont="1" applyAlignment="1">
      <alignment horizontal="left"/>
    </xf>
    <xf numFmtId="0" fontId="6" fillId="0" borderId="19" xfId="0" applyFont="1" applyBorder="1"/>
    <xf numFmtId="0" fontId="0" fillId="0" borderId="0" xfId="0" applyAlignment="1">
      <alignment vertical="top" wrapText="1"/>
    </xf>
    <xf numFmtId="44" fontId="0" fillId="0" borderId="0" xfId="9" applyFont="1" applyProtection="1"/>
    <xf numFmtId="9" fontId="0" fillId="0" borderId="0" xfId="8" applyFont="1" applyProtection="1"/>
    <xf numFmtId="43" fontId="0" fillId="0" borderId="0" xfId="10" applyFont="1" applyProtection="1"/>
    <xf numFmtId="44" fontId="0" fillId="0" borderId="0" xfId="9" applyFont="1" applyAlignment="1" applyProtection="1">
      <alignment vertical="top" wrapText="1"/>
    </xf>
    <xf numFmtId="9" fontId="0" fillId="0" borderId="0" xfId="8" applyFont="1" applyAlignment="1" applyProtection="1">
      <alignment vertical="top" wrapText="1"/>
    </xf>
    <xf numFmtId="43" fontId="0" fillId="0" borderId="0" xfId="10" applyFont="1" applyAlignment="1" applyProtection="1">
      <alignment vertical="top" wrapText="1"/>
    </xf>
    <xf numFmtId="0" fontId="17" fillId="6" borderId="0" xfId="0" applyFont="1" applyFill="1" applyProtection="1">
      <protection hidden="1"/>
    </xf>
    <xf numFmtId="10" fontId="27" fillId="6" borderId="0" xfId="0" applyNumberFormat="1" applyFont="1" applyFill="1" applyAlignment="1" applyProtection="1">
      <alignment horizontal="right"/>
      <protection hidden="1"/>
    </xf>
    <xf numFmtId="10" fontId="27" fillId="6" borderId="0" xfId="0" applyNumberFormat="1" applyFont="1" applyFill="1" applyAlignment="1" applyProtection="1">
      <alignment horizontal="center"/>
      <protection hidden="1"/>
    </xf>
    <xf numFmtId="0" fontId="17" fillId="6" borderId="0" xfId="0" applyFont="1" applyFill="1" applyAlignment="1" applyProtection="1">
      <alignment horizontal="left"/>
      <protection hidden="1"/>
    </xf>
    <xf numFmtId="10" fontId="17" fillId="6" borderId="0" xfId="0" applyNumberFormat="1" applyFont="1" applyFill="1" applyAlignment="1" applyProtection="1">
      <alignment horizontal="right"/>
      <protection hidden="1"/>
    </xf>
    <xf numFmtId="0" fontId="17" fillId="0" borderId="0" xfId="0" applyFont="1" applyAlignment="1" applyProtection="1">
      <alignment horizontal="left"/>
      <protection locked="0"/>
    </xf>
    <xf numFmtId="210" fontId="0" fillId="0" borderId="0" xfId="0" applyNumberFormat="1" applyAlignment="1" applyProtection="1">
      <alignment horizontal="center"/>
      <protection locked="0"/>
    </xf>
    <xf numFmtId="167" fontId="17" fillId="0" borderId="0" xfId="0" applyNumberFormat="1" applyFont="1" applyProtection="1">
      <protection locked="0"/>
    </xf>
    <xf numFmtId="0" fontId="4" fillId="0" borderId="0" xfId="0" applyFont="1" applyProtection="1">
      <protection locked="0"/>
    </xf>
    <xf numFmtId="167" fontId="24" fillId="0" borderId="0" xfId="0" applyNumberFormat="1" applyFont="1" applyAlignment="1" applyProtection="1">
      <alignment horizontal="center"/>
      <protection locked="0"/>
    </xf>
    <xf numFmtId="19" fontId="17" fillId="0" borderId="0" xfId="0" applyNumberFormat="1" applyFont="1" applyAlignment="1" applyProtection="1">
      <alignment horizontal="left"/>
      <protection locked="0"/>
    </xf>
    <xf numFmtId="210" fontId="17" fillId="0" borderId="0" xfId="0" applyNumberFormat="1" applyFont="1" applyAlignment="1" applyProtection="1">
      <alignment horizontal="center"/>
      <protection locked="0"/>
    </xf>
    <xf numFmtId="167" fontId="23" fillId="0" borderId="0" xfId="0" applyNumberFormat="1" applyFont="1" applyAlignment="1" applyProtection="1">
      <alignment horizontal="center"/>
      <protection locked="0"/>
    </xf>
    <xf numFmtId="199" fontId="23" fillId="0" borderId="0" xfId="0" applyNumberFormat="1" applyFont="1" applyProtection="1">
      <protection locked="0"/>
    </xf>
    <xf numFmtId="0" fontId="23" fillId="0" borderId="0" xfId="0" applyFont="1" applyAlignment="1" applyProtection="1">
      <alignment horizontal="left"/>
      <protection locked="0"/>
    </xf>
    <xf numFmtId="200" fontId="23" fillId="0" borderId="0" xfId="0" applyNumberFormat="1" applyFont="1" applyAlignment="1" applyProtection="1">
      <alignment horizontal="center"/>
      <protection locked="0"/>
    </xf>
    <xf numFmtId="210" fontId="23" fillId="0" borderId="0" xfId="0" applyNumberFormat="1" applyFont="1" applyAlignment="1" applyProtection="1">
      <alignment horizontal="center"/>
      <protection locked="0"/>
    </xf>
    <xf numFmtId="166" fontId="35" fillId="4" borderId="39" xfId="0" applyNumberFormat="1" applyFont="1" applyFill="1" applyBorder="1" applyProtection="1">
      <protection locked="0"/>
    </xf>
    <xf numFmtId="0" fontId="35" fillId="4" borderId="40" xfId="0" applyFont="1" applyFill="1" applyBorder="1" applyAlignment="1" applyProtection="1">
      <alignment horizontal="left"/>
      <protection locked="0"/>
    </xf>
    <xf numFmtId="210" fontId="35" fillId="4" borderId="40" xfId="0" applyNumberFormat="1" applyFont="1" applyFill="1" applyBorder="1" applyAlignment="1" applyProtection="1">
      <alignment horizontal="center"/>
      <protection locked="0"/>
    </xf>
    <xf numFmtId="166" fontId="35" fillId="4" borderId="41" xfId="0" applyNumberFormat="1" applyFont="1" applyFill="1" applyBorder="1" applyProtection="1">
      <protection locked="0"/>
    </xf>
    <xf numFmtId="165" fontId="35" fillId="4" borderId="42" xfId="0" applyNumberFormat="1" applyFont="1" applyFill="1" applyBorder="1" applyProtection="1">
      <protection locked="0"/>
    </xf>
    <xf numFmtId="0" fontId="35" fillId="4" borderId="43" xfId="0" applyFont="1" applyFill="1" applyBorder="1" applyAlignment="1" applyProtection="1">
      <alignment horizontal="left"/>
      <protection locked="0"/>
    </xf>
    <xf numFmtId="165" fontId="35" fillId="4" borderId="43" xfId="0" applyNumberFormat="1" applyFont="1" applyFill="1" applyBorder="1" applyAlignment="1" applyProtection="1">
      <alignment horizontal="center"/>
      <protection locked="0"/>
    </xf>
    <xf numFmtId="210" fontId="35" fillId="4" borderId="43" xfId="0" applyNumberFormat="1" applyFont="1" applyFill="1" applyBorder="1" applyAlignment="1" applyProtection="1">
      <alignment horizontal="center"/>
      <protection locked="0"/>
    </xf>
    <xf numFmtId="165" fontId="35" fillId="4" borderId="44" xfId="0" applyNumberFormat="1" applyFont="1" applyFill="1" applyBorder="1" applyProtection="1">
      <protection locked="0"/>
    </xf>
    <xf numFmtId="0" fontId="29" fillId="7" borderId="51" xfId="0" applyFont="1" applyFill="1" applyBorder="1" applyProtection="1">
      <protection locked="0"/>
    </xf>
    <xf numFmtId="0" fontId="29" fillId="7" borderId="52" xfId="0" applyFont="1" applyFill="1" applyBorder="1" applyAlignment="1" applyProtection="1">
      <alignment horizontal="left"/>
      <protection locked="0"/>
    </xf>
    <xf numFmtId="210" fontId="29" fillId="7" borderId="52" xfId="0" applyNumberFormat="1" applyFont="1" applyFill="1" applyBorder="1" applyAlignment="1" applyProtection="1">
      <alignment horizontal="center"/>
      <protection locked="0"/>
    </xf>
    <xf numFmtId="0" fontId="29" fillId="7" borderId="53" xfId="0" applyFont="1" applyFill="1" applyBorder="1" applyProtection="1">
      <protection locked="0"/>
    </xf>
    <xf numFmtId="44" fontId="17" fillId="0" borderId="0" xfId="0" applyNumberFormat="1" applyFont="1" applyProtection="1">
      <protection locked="0"/>
    </xf>
    <xf numFmtId="0" fontId="29" fillId="7" borderId="76" xfId="0" applyFont="1" applyFill="1" applyBorder="1" applyProtection="1">
      <protection locked="0"/>
    </xf>
    <xf numFmtId="0" fontId="29" fillId="7" borderId="77" xfId="0" applyFont="1" applyFill="1" applyBorder="1" applyAlignment="1" applyProtection="1">
      <alignment horizontal="left"/>
      <protection locked="0"/>
    </xf>
    <xf numFmtId="0" fontId="29" fillId="7" borderId="77" xfId="0" applyFont="1" applyFill="1" applyBorder="1" applyProtection="1">
      <protection locked="0"/>
    </xf>
    <xf numFmtId="210" fontId="29" fillId="7" borderId="77" xfId="0" applyNumberFormat="1" applyFont="1" applyFill="1" applyBorder="1" applyAlignment="1" applyProtection="1">
      <alignment horizontal="center"/>
      <protection locked="0"/>
    </xf>
    <xf numFmtId="0" fontId="29" fillId="7" borderId="78" xfId="0" applyFont="1" applyFill="1" applyBorder="1" applyProtection="1">
      <protection locked="0"/>
    </xf>
    <xf numFmtId="0" fontId="0" fillId="0" borderId="119" xfId="0" applyBorder="1" applyProtection="1">
      <protection locked="0"/>
    </xf>
    <xf numFmtId="210" fontId="0" fillId="0" borderId="119" xfId="0" applyNumberFormat="1" applyBorder="1" applyAlignment="1" applyProtection="1">
      <alignment horizontal="center"/>
      <protection locked="0"/>
    </xf>
    <xf numFmtId="0" fontId="5" fillId="0" borderId="0" xfId="0" applyFont="1" applyAlignment="1" applyProtection="1">
      <alignment horizontal="left"/>
      <protection locked="0"/>
    </xf>
    <xf numFmtId="210" fontId="4" fillId="0" borderId="0" xfId="0" applyNumberFormat="1" applyFont="1" applyAlignment="1" applyProtection="1">
      <alignment horizontal="center"/>
      <protection locked="0"/>
    </xf>
    <xf numFmtId="0" fontId="25" fillId="0" borderId="0" xfId="0" applyFont="1" applyAlignment="1">
      <alignment horizontal="left"/>
    </xf>
    <xf numFmtId="0" fontId="17" fillId="0" borderId="0" xfId="0" applyFont="1" applyAlignment="1">
      <alignment horizontal="center"/>
    </xf>
    <xf numFmtId="0" fontId="48" fillId="0" borderId="0" xfId="0" applyFont="1" applyAlignment="1">
      <alignment horizontal="center"/>
    </xf>
    <xf numFmtId="0" fontId="48" fillId="0" borderId="0" xfId="0" applyFont="1"/>
    <xf numFmtId="15" fontId="0" fillId="0" borderId="0" xfId="0" applyNumberFormat="1" applyAlignment="1">
      <alignment horizontal="left"/>
    </xf>
    <xf numFmtId="19" fontId="0" fillId="0" borderId="0" xfId="0" applyNumberFormat="1" applyAlignment="1">
      <alignment horizontal="left"/>
    </xf>
    <xf numFmtId="14" fontId="25" fillId="0" borderId="0" xfId="0" applyNumberFormat="1" applyFont="1" applyAlignment="1">
      <alignment horizontal="left"/>
    </xf>
    <xf numFmtId="0" fontId="35" fillId="4" borderId="40" xfId="0" applyFont="1" applyFill="1" applyBorder="1" applyAlignment="1">
      <alignment horizontal="left"/>
    </xf>
    <xf numFmtId="0" fontId="32" fillId="4" borderId="40" xfId="0" applyFont="1" applyFill="1" applyBorder="1" applyAlignment="1">
      <alignment horizontal="right" vertical="center" wrapText="1"/>
    </xf>
    <xf numFmtId="0" fontId="35" fillId="4" borderId="40" xfId="0" applyFont="1" applyFill="1" applyBorder="1" applyAlignment="1">
      <alignment horizontal="right" vertical="center"/>
    </xf>
    <xf numFmtId="0" fontId="35" fillId="4" borderId="40" xfId="0" applyFont="1" applyFill="1" applyBorder="1" applyAlignment="1">
      <alignment horizontal="right" vertical="center" wrapText="1"/>
    </xf>
    <xf numFmtId="195" fontId="35" fillId="4" borderId="40" xfId="0" applyNumberFormat="1" applyFont="1" applyFill="1" applyBorder="1" applyAlignment="1">
      <alignment horizontal="center"/>
    </xf>
    <xf numFmtId="0" fontId="54" fillId="0" borderId="0" xfId="0" applyFont="1" applyAlignment="1">
      <alignment horizontal="center"/>
    </xf>
    <xf numFmtId="17" fontId="35" fillId="4" borderId="43" xfId="0" applyNumberFormat="1" applyFont="1" applyFill="1" applyBorder="1"/>
    <xf numFmtId="17" fontId="35" fillId="4" borderId="43" xfId="0" applyNumberFormat="1" applyFont="1" applyFill="1" applyBorder="1" applyAlignment="1">
      <alignment horizontal="left"/>
    </xf>
    <xf numFmtId="0" fontId="32" fillId="4" borderId="43" xfId="0" applyFont="1" applyFill="1" applyBorder="1" applyAlignment="1">
      <alignment horizontal="right" vertical="center" wrapText="1"/>
    </xf>
    <xf numFmtId="0" fontId="35" fillId="4" borderId="43" xfId="0" applyFont="1" applyFill="1" applyBorder="1" applyAlignment="1">
      <alignment horizontal="right" vertical="center" wrapText="1"/>
    </xf>
    <xf numFmtId="17" fontId="35" fillId="4" borderId="43" xfId="0" applyNumberFormat="1" applyFont="1" applyFill="1" applyBorder="1" applyAlignment="1">
      <alignment horizontal="center"/>
    </xf>
    <xf numFmtId="17" fontId="54" fillId="0" borderId="0" xfId="0" applyNumberFormat="1" applyFont="1" applyAlignment="1">
      <alignment horizontal="center"/>
    </xf>
    <xf numFmtId="167" fontId="20" fillId="0" borderId="0" xfId="0" applyNumberFormat="1" applyFont="1"/>
    <xf numFmtId="167" fontId="20" fillId="0" borderId="0" xfId="0" applyNumberFormat="1" applyFont="1" applyAlignment="1">
      <alignment horizontal="left"/>
    </xf>
    <xf numFmtId="167" fontId="55" fillId="0" borderId="0" xfId="0" applyNumberFormat="1" applyFont="1"/>
    <xf numFmtId="167" fontId="20" fillId="0" borderId="0" xfId="0" applyNumberFormat="1" applyFont="1" applyAlignment="1">
      <alignment horizontal="center"/>
    </xf>
    <xf numFmtId="167" fontId="56" fillId="0" borderId="0" xfId="0" applyNumberFormat="1" applyFont="1" applyAlignment="1">
      <alignment horizontal="center"/>
    </xf>
    <xf numFmtId="196" fontId="25" fillId="0" borderId="0" xfId="0" applyNumberFormat="1" applyFont="1" applyAlignment="1">
      <alignment horizontal="left"/>
    </xf>
    <xf numFmtId="6" fontId="25" fillId="0" borderId="0" xfId="0" applyNumberFormat="1" applyFont="1" applyAlignment="1">
      <alignment vertical="top"/>
    </xf>
    <xf numFmtId="6" fontId="17" fillId="0" borderId="0" xfId="0" applyNumberFormat="1" applyFont="1" applyAlignment="1">
      <alignment vertical="top"/>
    </xf>
    <xf numFmtId="6" fontId="0" fillId="0" borderId="0" xfId="0" applyNumberFormat="1" applyAlignment="1">
      <alignment vertical="top"/>
    </xf>
    <xf numFmtId="196" fontId="17" fillId="0" borderId="1" xfId="0" applyNumberFormat="1" applyFont="1" applyBorder="1" applyAlignment="1">
      <alignment horizontal="center"/>
    </xf>
    <xf numFmtId="0" fontId="17" fillId="0" borderId="1" xfId="0" applyFont="1" applyBorder="1" applyAlignment="1">
      <alignment horizontal="left"/>
    </xf>
    <xf numFmtId="38" fontId="17" fillId="0" borderId="1" xfId="0" applyNumberFormat="1" applyFont="1" applyBorder="1" applyAlignment="1">
      <alignment vertical="top"/>
    </xf>
    <xf numFmtId="196" fontId="17" fillId="0" borderId="119" xfId="0" applyNumberFormat="1" applyFont="1" applyBorder="1" applyAlignment="1">
      <alignment horizontal="center"/>
    </xf>
    <xf numFmtId="0" fontId="17" fillId="0" borderId="119" xfId="0" applyFont="1" applyBorder="1" applyAlignment="1">
      <alignment horizontal="left"/>
    </xf>
    <xf numFmtId="0" fontId="17" fillId="0" borderId="119" xfId="0" applyFont="1" applyBorder="1"/>
    <xf numFmtId="38" fontId="17" fillId="0" borderId="119" xfId="0" applyNumberFormat="1" applyFont="1" applyBorder="1" applyAlignment="1">
      <alignment vertical="top"/>
    </xf>
    <xf numFmtId="38" fontId="44" fillId="0" borderId="119" xfId="4" applyFill="1" applyBorder="1" applyAlignment="1" applyProtection="1">
      <alignment vertical="top"/>
    </xf>
    <xf numFmtId="0" fontId="24" fillId="0" borderId="0" xfId="0" applyFont="1" applyAlignment="1">
      <alignment horizontal="left"/>
    </xf>
    <xf numFmtId="38" fontId="17" fillId="0" borderId="0" xfId="0" applyNumberFormat="1" applyFont="1" applyAlignment="1">
      <alignment vertical="top"/>
    </xf>
    <xf numFmtId="38" fontId="0" fillId="0" borderId="0" xfId="0" applyNumberFormat="1" applyAlignment="1">
      <alignment vertical="top"/>
    </xf>
    <xf numFmtId="196" fontId="17" fillId="0" borderId="0" xfId="0" applyNumberFormat="1" applyFont="1" applyAlignment="1">
      <alignment horizontal="center"/>
    </xf>
    <xf numFmtId="6" fontId="25" fillId="0" borderId="0" xfId="0" applyNumberFormat="1" applyFont="1"/>
    <xf numFmtId="0" fontId="17" fillId="0" borderId="6" xfId="0" applyFont="1" applyBorder="1"/>
    <xf numFmtId="0" fontId="17" fillId="0" borderId="6" xfId="0" applyFont="1" applyBorder="1" applyAlignment="1">
      <alignment horizontal="left"/>
    </xf>
    <xf numFmtId="6" fontId="25" fillId="0" borderId="6" xfId="0" applyNumberFormat="1" applyFont="1" applyBorder="1" applyAlignment="1">
      <alignment horizontal="right"/>
    </xf>
    <xf numFmtId="6" fontId="17" fillId="0" borderId="6" xfId="0" applyNumberFormat="1" applyFont="1" applyBorder="1" applyAlignment="1">
      <alignment horizontal="right"/>
    </xf>
    <xf numFmtId="6" fontId="17" fillId="0" borderId="6" xfId="0" applyNumberFormat="1" applyFont="1" applyBorder="1"/>
    <xf numFmtId="6" fontId="25" fillId="0" borderId="4" xfId="0" applyNumberFormat="1" applyFont="1" applyBorder="1" applyAlignment="1">
      <alignment horizontal="right"/>
    </xf>
    <xf numFmtId="6" fontId="25" fillId="0" borderId="0" xfId="0" applyNumberFormat="1" applyFont="1" applyAlignment="1">
      <alignment horizontal="right"/>
    </xf>
    <xf numFmtId="6" fontId="25" fillId="0" borderId="119" xfId="0" applyNumberFormat="1" applyFont="1" applyBorder="1" applyAlignment="1">
      <alignment horizontal="right"/>
    </xf>
    <xf numFmtId="6" fontId="17" fillId="0" borderId="119" xfId="0" applyNumberFormat="1" applyFont="1" applyBorder="1" applyAlignment="1">
      <alignment horizontal="right"/>
    </xf>
    <xf numFmtId="6" fontId="17" fillId="0" borderId="119" xfId="0" applyNumberFormat="1" applyFont="1" applyBorder="1"/>
    <xf numFmtId="0" fontId="35" fillId="4" borderId="40" xfId="0" applyFont="1" applyFill="1" applyBorder="1" applyAlignment="1">
      <alignment horizontal="right"/>
    </xf>
    <xf numFmtId="193" fontId="35" fillId="4" borderId="40" xfId="0" applyNumberFormat="1" applyFont="1" applyFill="1" applyBorder="1" applyAlignment="1">
      <alignment horizontal="right"/>
    </xf>
    <xf numFmtId="192" fontId="35" fillId="4" borderId="40" xfId="0" applyNumberFormat="1" applyFont="1" applyFill="1" applyBorder="1" applyAlignment="1">
      <alignment horizontal="right"/>
    </xf>
    <xf numFmtId="0" fontId="35" fillId="4" borderId="43" xfId="0" applyFont="1" applyFill="1" applyBorder="1" applyAlignment="1">
      <alignment horizontal="right"/>
    </xf>
    <xf numFmtId="0" fontId="32" fillId="4" borderId="61" xfId="0" applyFont="1" applyFill="1" applyBorder="1"/>
    <xf numFmtId="38" fontId="0" fillId="0" borderId="0" xfId="4" applyFont="1" applyFill="1" applyBorder="1" applyProtection="1"/>
    <xf numFmtId="38" fontId="0" fillId="0" borderId="1" xfId="4" applyNumberFormat="1" applyFont="1" applyFill="1" applyBorder="1" applyProtection="1"/>
    <xf numFmtId="38" fontId="0" fillId="0" borderId="1" xfId="4" applyFont="1" applyFill="1" applyBorder="1" applyProtection="1"/>
    <xf numFmtId="0" fontId="0" fillId="0" borderId="0" xfId="0" applyAlignment="1">
      <alignment horizontal="left" indent="1"/>
    </xf>
    <xf numFmtId="0" fontId="0" fillId="0" borderId="6" xfId="0" applyBorder="1" applyAlignment="1">
      <alignment horizontal="left"/>
    </xf>
    <xf numFmtId="0" fontId="0" fillId="0" borderId="4" xfId="0" applyBorder="1" applyAlignment="1">
      <alignment horizontal="left"/>
    </xf>
    <xf numFmtId="0" fontId="31" fillId="0" borderId="0" xfId="0" applyFont="1" applyAlignment="1">
      <alignment horizontal="right"/>
    </xf>
    <xf numFmtId="166" fontId="0" fillId="2" borderId="0" xfId="0" applyNumberFormat="1" applyFill="1"/>
    <xf numFmtId="0" fontId="34" fillId="0" borderId="0" xfId="0" applyFont="1" applyAlignment="1">
      <alignment horizontal="right"/>
    </xf>
    <xf numFmtId="0" fontId="17" fillId="2" borderId="5" xfId="0" applyFont="1" applyFill="1" applyBorder="1" applyAlignment="1">
      <alignment horizontal="right"/>
    </xf>
    <xf numFmtId="0" fontId="17" fillId="2" borderId="0" xfId="0" applyFont="1" applyFill="1" applyAlignment="1">
      <alignment horizontal="right"/>
    </xf>
    <xf numFmtId="38" fontId="17" fillId="2" borderId="0" xfId="0" applyNumberFormat="1" applyFont="1" applyFill="1"/>
    <xf numFmtId="38" fontId="17" fillId="2" borderId="1" xfId="0" applyNumberFormat="1" applyFont="1" applyFill="1" applyBorder="1"/>
    <xf numFmtId="0" fontId="0" fillId="0" borderId="36" xfId="0" applyBorder="1"/>
    <xf numFmtId="0" fontId="17" fillId="2" borderId="36" xfId="0" applyFont="1" applyFill="1" applyBorder="1"/>
    <xf numFmtId="10" fontId="0" fillId="0" borderId="36" xfId="0" applyNumberFormat="1" applyBorder="1"/>
    <xf numFmtId="6" fontId="0" fillId="2" borderId="0" xfId="0" applyNumberFormat="1" applyFill="1"/>
    <xf numFmtId="0" fontId="17" fillId="2" borderId="6" xfId="0" applyFont="1" applyFill="1" applyBorder="1"/>
    <xf numFmtId="0" fontId="17" fillId="2" borderId="4" xfId="0" applyFont="1" applyFill="1" applyBorder="1"/>
    <xf numFmtId="193" fontId="35" fillId="4" borderId="40" xfId="0" applyNumberFormat="1" applyFont="1" applyFill="1" applyBorder="1"/>
    <xf numFmtId="0" fontId="35" fillId="4" borderId="43" xfId="0" applyFont="1" applyFill="1" applyBorder="1"/>
    <xf numFmtId="0" fontId="20" fillId="0" borderId="59" xfId="0" applyFont="1" applyBorder="1"/>
    <xf numFmtId="0" fontId="36" fillId="0" borderId="0" xfId="0" applyFont="1" applyAlignment="1">
      <alignment horizontal="left" indent="3"/>
    </xf>
    <xf numFmtId="9" fontId="36" fillId="0" borderId="0" xfId="0" applyNumberFormat="1" applyFont="1"/>
    <xf numFmtId="0" fontId="0" fillId="0" borderId="7" xfId="0" applyBorder="1"/>
    <xf numFmtId="10" fontId="0" fillId="0" borderId="1" xfId="0" applyNumberFormat="1" applyBorder="1"/>
    <xf numFmtId="10" fontId="16" fillId="0" borderId="0" xfId="0" applyNumberFormat="1" applyFont="1" applyAlignment="1">
      <alignment horizontal="left"/>
    </xf>
    <xf numFmtId="10" fontId="0" fillId="0" borderId="6" xfId="0" applyNumberFormat="1" applyBorder="1"/>
    <xf numFmtId="0" fontId="32" fillId="4" borderId="40" xfId="0" applyFont="1" applyFill="1" applyBorder="1" applyAlignment="1">
      <alignment horizontal="right"/>
    </xf>
    <xf numFmtId="165" fontId="35" fillId="2" borderId="40" xfId="0" applyNumberFormat="1" applyFont="1" applyFill="1" applyBorder="1"/>
    <xf numFmtId="165" fontId="35" fillId="4" borderId="40" xfId="0" applyNumberFormat="1" applyFont="1" applyFill="1" applyBorder="1"/>
    <xf numFmtId="0" fontId="34" fillId="2" borderId="0" xfId="0" applyFont="1" applyFill="1"/>
    <xf numFmtId="0" fontId="34" fillId="0" borderId="0" xfId="0" applyFont="1"/>
    <xf numFmtId="0" fontId="32" fillId="4" borderId="43" xfId="0" applyFont="1" applyFill="1" applyBorder="1" applyAlignment="1">
      <alignment horizontal="right" wrapText="1"/>
    </xf>
    <xf numFmtId="166" fontId="35" fillId="2" borderId="43" xfId="0" applyNumberFormat="1" applyFont="1" applyFill="1" applyBorder="1"/>
    <xf numFmtId="166" fontId="35" fillId="4" borderId="43" xfId="0" applyNumberFormat="1" applyFont="1" applyFill="1" applyBorder="1"/>
    <xf numFmtId="167" fontId="38" fillId="0" borderId="0" xfId="0" applyNumberFormat="1" applyFont="1"/>
    <xf numFmtId="0" fontId="17" fillId="2" borderId="59" xfId="0" applyFont="1" applyFill="1" applyBorder="1"/>
    <xf numFmtId="0" fontId="23" fillId="2" borderId="0" xfId="0" applyFont="1" applyFill="1"/>
    <xf numFmtId="0" fontId="36" fillId="2" borderId="0" xfId="0" applyFont="1" applyFill="1"/>
    <xf numFmtId="38" fontId="0" fillId="2" borderId="1" xfId="0" applyNumberFormat="1" applyFill="1" applyBorder="1"/>
    <xf numFmtId="38" fontId="0" fillId="2" borderId="1" xfId="4" applyNumberFormat="1" applyFont="1" applyFill="1" applyBorder="1" applyProtection="1"/>
    <xf numFmtId="167" fontId="17" fillId="2" borderId="0" xfId="0" applyNumberFormat="1" applyFont="1" applyFill="1"/>
    <xf numFmtId="167" fontId="38" fillId="2" borderId="0" xfId="0" applyNumberFormat="1" applyFont="1" applyFill="1"/>
    <xf numFmtId="167" fontId="0" fillId="2" borderId="0" xfId="0" applyNumberFormat="1" applyFill="1"/>
    <xf numFmtId="10" fontId="36" fillId="0" borderId="0" xfId="8" applyNumberFormat="1" applyFont="1" applyProtection="1"/>
    <xf numFmtId="0" fontId="20" fillId="0" borderId="5" xfId="0" applyFont="1" applyBorder="1"/>
    <xf numFmtId="0" fontId="0" fillId="0" borderId="5" xfId="0" applyBorder="1"/>
    <xf numFmtId="10" fontId="0" fillId="2" borderId="0" xfId="0" applyNumberFormat="1" applyFill="1"/>
    <xf numFmtId="10" fontId="17" fillId="2" borderId="0" xfId="0" applyNumberFormat="1" applyFont="1" applyFill="1"/>
    <xf numFmtId="6" fontId="17" fillId="2" borderId="0" xfId="0" applyNumberFormat="1" applyFont="1" applyFill="1"/>
    <xf numFmtId="0" fontId="0" fillId="2" borderId="1" xfId="0" applyFill="1" applyBorder="1"/>
    <xf numFmtId="10" fontId="0" fillId="2" borderId="1" xfId="0" applyNumberFormat="1" applyFill="1" applyBorder="1"/>
    <xf numFmtId="6" fontId="16" fillId="2" borderId="0" xfId="0" applyNumberFormat="1" applyFont="1" applyFill="1"/>
    <xf numFmtId="10" fontId="16" fillId="2" borderId="0" xfId="0" applyNumberFormat="1" applyFont="1" applyFill="1"/>
    <xf numFmtId="10" fontId="37" fillId="2" borderId="0" xfId="0" applyNumberFormat="1" applyFont="1" applyFill="1"/>
    <xf numFmtId="8" fontId="17" fillId="2" borderId="0" xfId="0" applyNumberFormat="1" applyFont="1" applyFill="1"/>
    <xf numFmtId="6" fontId="25" fillId="2" borderId="4" xfId="0" applyNumberFormat="1" applyFont="1" applyFill="1" applyBorder="1"/>
    <xf numFmtId="10" fontId="25" fillId="2" borderId="0" xfId="0" applyNumberFormat="1" applyFont="1" applyFill="1"/>
    <xf numFmtId="165" fontId="27" fillId="0" borderId="59" xfId="0" applyNumberFormat="1" applyFont="1" applyBorder="1"/>
    <xf numFmtId="165" fontId="27" fillId="2" borderId="59" xfId="0" applyNumberFormat="1" applyFont="1" applyFill="1" applyBorder="1"/>
    <xf numFmtId="0" fontId="0" fillId="2" borderId="4" xfId="0" applyFill="1" applyBorder="1"/>
    <xf numFmtId="6" fontId="0" fillId="2" borderId="0" xfId="0" applyNumberFormat="1" applyFill="1" applyAlignment="1">
      <alignment horizontal="right"/>
    </xf>
    <xf numFmtId="1" fontId="35" fillId="4" borderId="43" xfId="0" applyNumberFormat="1" applyFont="1" applyFill="1" applyBorder="1" applyAlignment="1">
      <alignment horizontal="right"/>
    </xf>
    <xf numFmtId="0" fontId="37" fillId="0" borderId="0" xfId="0" applyFont="1"/>
    <xf numFmtId="0" fontId="0" fillId="0" borderId="119" xfId="0" applyBorder="1"/>
    <xf numFmtId="6" fontId="0" fillId="0" borderId="119" xfId="0" applyNumberFormat="1" applyBorder="1"/>
    <xf numFmtId="6" fontId="17" fillId="0" borderId="0" xfId="0" applyNumberFormat="1" applyFont="1" applyAlignment="1">
      <alignment horizontal="left"/>
    </xf>
    <xf numFmtId="6" fontId="17" fillId="0" borderId="1" xfId="0" applyNumberFormat="1" applyFont="1" applyBorder="1"/>
    <xf numFmtId="38" fontId="17" fillId="0" borderId="1" xfId="0" applyNumberFormat="1" applyFont="1" applyBorder="1"/>
    <xf numFmtId="6" fontId="17" fillId="0" borderId="0" xfId="0" applyNumberFormat="1" applyFont="1" applyAlignment="1">
      <alignment horizontal="left" indent="1"/>
    </xf>
    <xf numFmtId="6" fontId="23" fillId="0" borderId="0" xfId="0" applyNumberFormat="1" applyFont="1" applyAlignment="1">
      <alignment horizontal="left" indent="1"/>
    </xf>
    <xf numFmtId="40" fontId="23" fillId="0" borderId="0" xfId="0" applyNumberFormat="1" applyFont="1"/>
    <xf numFmtId="38" fontId="25" fillId="0" borderId="1" xfId="0" applyNumberFormat="1" applyFont="1" applyBorder="1"/>
    <xf numFmtId="6" fontId="23" fillId="0" borderId="0" xfId="0" applyNumberFormat="1" applyFont="1" applyAlignment="1">
      <alignment horizontal="left" indent="2"/>
    </xf>
    <xf numFmtId="5" fontId="0" fillId="0" borderId="0" xfId="0" applyNumberFormat="1"/>
    <xf numFmtId="0" fontId="0" fillId="0" borderId="21" xfId="0" applyBorder="1"/>
    <xf numFmtId="0" fontId="0" fillId="0" borderId="22" xfId="0" applyBorder="1"/>
    <xf numFmtId="0" fontId="0" fillId="0" borderId="23" xfId="0" applyBorder="1"/>
    <xf numFmtId="0" fontId="17" fillId="0" borderId="122" xfId="0" quotePrefix="1" applyFont="1" applyBorder="1" applyAlignment="1">
      <alignment horizontal="left" indent="2"/>
    </xf>
    <xf numFmtId="10" fontId="16" fillId="0" borderId="58" xfId="0" applyNumberFormat="1" applyFont="1" applyBorder="1" applyAlignment="1">
      <alignment horizontal="left"/>
    </xf>
    <xf numFmtId="0" fontId="17" fillId="0" borderId="20" xfId="0" applyFont="1" applyBorder="1"/>
    <xf numFmtId="38" fontId="17" fillId="0" borderId="20" xfId="0" applyNumberFormat="1" applyFont="1" applyBorder="1"/>
    <xf numFmtId="175" fontId="17" fillId="0" borderId="0" xfId="0" applyNumberFormat="1" applyFont="1"/>
    <xf numFmtId="10" fontId="17" fillId="0" borderId="4" xfId="0" applyNumberFormat="1" applyFont="1" applyBorder="1" applyAlignment="1">
      <alignment horizontal="right"/>
    </xf>
    <xf numFmtId="10" fontId="17" fillId="0" borderId="1" xfId="0" applyNumberFormat="1" applyFont="1" applyBorder="1"/>
    <xf numFmtId="167" fontId="38" fillId="0" borderId="0" xfId="0" applyNumberFormat="1" applyFont="1" applyAlignment="1">
      <alignment horizontal="right"/>
    </xf>
    <xf numFmtId="0" fontId="35" fillId="2" borderId="40" xfId="0" applyFont="1" applyFill="1" applyBorder="1" applyAlignment="1">
      <alignment horizontal="right"/>
    </xf>
    <xf numFmtId="0" fontId="35" fillId="2" borderId="43" xfId="0" applyFont="1" applyFill="1" applyBorder="1" applyAlignment="1">
      <alignment horizontal="right"/>
    </xf>
    <xf numFmtId="0" fontId="37" fillId="2" borderId="0" xfId="0" applyFont="1" applyFill="1"/>
    <xf numFmtId="0" fontId="36" fillId="2" borderId="0" xfId="0" applyFont="1" applyFill="1" applyAlignment="1">
      <alignment horizontal="left" indent="2"/>
    </xf>
    <xf numFmtId="0" fontId="0" fillId="2" borderId="119" xfId="0" applyFill="1" applyBorder="1"/>
    <xf numFmtId="0" fontId="0" fillId="2" borderId="59" xfId="0" applyFill="1" applyBorder="1"/>
    <xf numFmtId="6" fontId="17" fillId="2" borderId="1" xfId="0" applyNumberFormat="1" applyFont="1" applyFill="1" applyBorder="1"/>
    <xf numFmtId="6" fontId="23" fillId="2" borderId="0" xfId="0" applyNumberFormat="1" applyFont="1" applyFill="1"/>
    <xf numFmtId="6" fontId="17" fillId="2" borderId="4" xfId="0" applyNumberFormat="1" applyFont="1" applyFill="1" applyBorder="1"/>
    <xf numFmtId="5" fontId="17" fillId="2" borderId="0" xfId="0" applyNumberFormat="1" applyFont="1" applyFill="1"/>
    <xf numFmtId="0" fontId="34" fillId="2" borderId="0" xfId="0" applyFont="1" applyFill="1" applyAlignment="1">
      <alignment horizontal="right"/>
    </xf>
    <xf numFmtId="167" fontId="38" fillId="2" borderId="0" xfId="0" applyNumberFormat="1" applyFont="1" applyFill="1" applyAlignment="1">
      <alignment horizontal="right"/>
    </xf>
    <xf numFmtId="5" fontId="0" fillId="2" borderId="0" xfId="0" applyNumberFormat="1" applyFill="1"/>
    <xf numFmtId="0" fontId="20" fillId="0" borderId="21" xfId="0" applyFont="1" applyBorder="1"/>
    <xf numFmtId="0" fontId="17" fillId="2" borderId="1" xfId="0" applyFont="1" applyFill="1" applyBorder="1"/>
    <xf numFmtId="0" fontId="22" fillId="9" borderId="52" xfId="0" applyFont="1" applyFill="1" applyBorder="1"/>
    <xf numFmtId="0" fontId="17" fillId="2" borderId="122" xfId="0" quotePrefix="1" applyFont="1" applyFill="1" applyBorder="1" applyAlignment="1">
      <alignment horizontal="left" indent="2"/>
    </xf>
    <xf numFmtId="10" fontId="17" fillId="2" borderId="4" xfId="0" applyNumberFormat="1" applyFont="1" applyFill="1" applyBorder="1"/>
    <xf numFmtId="38" fontId="17" fillId="2" borderId="20" xfId="0" applyNumberFormat="1" applyFont="1" applyFill="1" applyBorder="1"/>
    <xf numFmtId="10" fontId="0" fillId="2" borderId="0" xfId="0" applyNumberFormat="1" applyFill="1" applyAlignment="1">
      <alignment horizontal="right"/>
    </xf>
    <xf numFmtId="211" fontId="0" fillId="2" borderId="0" xfId="0" applyNumberFormat="1" applyFill="1" applyAlignment="1">
      <alignment horizontal="right"/>
    </xf>
    <xf numFmtId="6" fontId="25" fillId="2" borderId="0" xfId="0" applyNumberFormat="1" applyFont="1" applyFill="1"/>
    <xf numFmtId="38" fontId="17" fillId="2" borderId="4" xfId="0" applyNumberFormat="1" applyFont="1" applyFill="1" applyBorder="1"/>
    <xf numFmtId="167" fontId="0" fillId="0" borderId="0" xfId="10" applyNumberFormat="1" applyFont="1" applyProtection="1"/>
    <xf numFmtId="0" fontId="16" fillId="0" borderId="119" xfId="0" applyFont="1" applyBorder="1"/>
    <xf numFmtId="6" fontId="33" fillId="0" borderId="4" xfId="0" applyNumberFormat="1" applyFont="1" applyBorder="1"/>
    <xf numFmtId="38" fontId="0" fillId="0" borderId="0" xfId="0" applyNumberFormat="1" applyAlignment="1">
      <alignment horizontal="left"/>
    </xf>
    <xf numFmtId="0" fontId="31" fillId="0" borderId="0" xfId="0" applyFont="1" applyAlignment="1">
      <alignment horizontal="center"/>
    </xf>
    <xf numFmtId="166" fontId="35" fillId="4" borderId="40" xfId="0" applyNumberFormat="1" applyFont="1" applyFill="1" applyBorder="1"/>
    <xf numFmtId="166" fontId="34" fillId="0" borderId="0" xfId="0" applyNumberFormat="1" applyFont="1"/>
    <xf numFmtId="165" fontId="35" fillId="4" borderId="43" xfId="0" applyNumberFormat="1" applyFont="1" applyFill="1" applyBorder="1"/>
    <xf numFmtId="165" fontId="34" fillId="0" borderId="0" xfId="0" applyNumberFormat="1" applyFont="1"/>
    <xf numFmtId="38" fontId="20" fillId="0" borderId="0" xfId="0" applyNumberFormat="1" applyFont="1"/>
    <xf numFmtId="38" fontId="49" fillId="0" borderId="0" xfId="0" applyNumberFormat="1" applyFont="1"/>
    <xf numFmtId="0" fontId="22" fillId="7" borderId="53" xfId="0" applyFont="1" applyFill="1" applyBorder="1" applyAlignment="1">
      <alignment horizontal="left"/>
    </xf>
    <xf numFmtId="10" fontId="22" fillId="7" borderId="52" xfId="8" applyNumberFormat="1" applyFont="1" applyFill="1" applyBorder="1" applyAlignment="1" applyProtection="1"/>
    <xf numFmtId="10" fontId="17" fillId="0" borderId="50" xfId="8" quotePrefix="1" applyNumberFormat="1" applyFont="1" applyFill="1" applyBorder="1" applyAlignment="1" applyProtection="1">
      <alignment horizontal="left" indent="2"/>
    </xf>
    <xf numFmtId="10" fontId="27" fillId="0" borderId="0" xfId="8" quotePrefix="1" applyNumberFormat="1" applyFont="1" applyFill="1" applyBorder="1" applyAlignment="1" applyProtection="1">
      <alignment horizontal="center"/>
    </xf>
    <xf numFmtId="165" fontId="17" fillId="0" borderId="0" xfId="0" applyNumberFormat="1" applyFont="1" applyAlignment="1">
      <alignment horizontal="right"/>
    </xf>
    <xf numFmtId="10" fontId="0" fillId="0" borderId="0" xfId="8" applyNumberFormat="1" applyFont="1" applyAlignment="1" applyProtection="1">
      <alignment horizontal="center"/>
    </xf>
    <xf numFmtId="0" fontId="56" fillId="0" borderId="59" xfId="0" applyFont="1" applyBorder="1" applyAlignment="1">
      <alignment horizontal="center" vertical="center" wrapText="1"/>
    </xf>
    <xf numFmtId="180" fontId="40" fillId="11" borderId="37" xfId="11" applyNumberFormat="1" applyAlignment="1">
      <alignment vertical="center"/>
      <protection locked="0"/>
    </xf>
    <xf numFmtId="179" fontId="40" fillId="11" borderId="37" xfId="11" applyNumberFormat="1" applyAlignment="1">
      <alignment vertical="center"/>
      <protection locked="0"/>
    </xf>
    <xf numFmtId="10" fontId="40" fillId="11" borderId="37" xfId="11" applyNumberFormat="1" applyAlignment="1">
      <alignment vertical="center"/>
      <protection locked="0"/>
    </xf>
    <xf numFmtId="0" fontId="37" fillId="0" borderId="0" xfId="0" applyFont="1" applyAlignment="1">
      <alignment vertical="center"/>
    </xf>
    <xf numFmtId="184" fontId="0" fillId="0" borderId="0" xfId="0" applyNumberFormat="1" applyAlignment="1">
      <alignment vertical="center"/>
    </xf>
    <xf numFmtId="0" fontId="0" fillId="0" borderId="0" xfId="0" applyAlignment="1">
      <alignment horizontal="left" vertical="center" indent="1"/>
    </xf>
    <xf numFmtId="0" fontId="70" fillId="13" borderId="0" xfId="12" applyFont="1" applyFill="1"/>
    <xf numFmtId="0" fontId="71" fillId="13" borderId="0" xfId="12" applyFont="1" applyFill="1"/>
    <xf numFmtId="0" fontId="72" fillId="0" borderId="0" xfId="12" applyFont="1"/>
    <xf numFmtId="0" fontId="4" fillId="0" borderId="0" xfId="12" applyFont="1"/>
    <xf numFmtId="213" fontId="73" fillId="0" borderId="0" xfId="12" applyNumberFormat="1" applyFont="1"/>
    <xf numFmtId="0" fontId="74" fillId="0" borderId="0" xfId="12" applyFont="1"/>
    <xf numFmtId="14" fontId="74" fillId="0" borderId="0" xfId="12" applyNumberFormat="1" applyFont="1"/>
    <xf numFmtId="19" fontId="4" fillId="0" borderId="0" xfId="12" applyNumberFormat="1" applyFont="1"/>
    <xf numFmtId="214" fontId="4" fillId="0" borderId="0" xfId="12" applyNumberFormat="1" applyFont="1"/>
    <xf numFmtId="3" fontId="0" fillId="0" borderId="0" xfId="0" applyNumberFormat="1" applyAlignment="1">
      <alignment vertical="center"/>
    </xf>
    <xf numFmtId="216" fontId="0" fillId="0" borderId="0" xfId="0" applyNumberFormat="1" applyAlignment="1">
      <alignment vertical="center"/>
    </xf>
    <xf numFmtId="0" fontId="4" fillId="0" borderId="1" xfId="0" applyFont="1" applyBorder="1"/>
    <xf numFmtId="0" fontId="4" fillId="0" borderId="0" xfId="0" applyFont="1"/>
    <xf numFmtId="0" fontId="4" fillId="0" borderId="119" xfId="12" applyFont="1" applyBorder="1"/>
    <xf numFmtId="164" fontId="84" fillId="0" borderId="37" xfId="0" applyNumberFormat="1" applyFont="1" applyBorder="1" applyAlignment="1" applyProtection="1">
      <alignment horizontal="center" vertical="center"/>
      <protection locked="0"/>
    </xf>
    <xf numFmtId="10" fontId="84" fillId="0" borderId="37" xfId="0" applyNumberFormat="1" applyFont="1" applyBorder="1" applyAlignment="1" applyProtection="1">
      <alignment horizontal="center" vertical="center"/>
      <protection locked="0"/>
    </xf>
    <xf numFmtId="0" fontId="70" fillId="13" borderId="0" xfId="0" applyFont="1" applyFill="1"/>
    <xf numFmtId="0" fontId="71" fillId="13" borderId="0" xfId="0" applyFont="1" applyFill="1"/>
    <xf numFmtId="0" fontId="20" fillId="14" borderId="0" xfId="0" applyFont="1" applyFill="1"/>
    <xf numFmtId="38" fontId="70" fillId="13" borderId="0" xfId="0" applyNumberFormat="1" applyFont="1" applyFill="1"/>
    <xf numFmtId="213" fontId="73" fillId="0" borderId="0" xfId="0" applyNumberFormat="1" applyFont="1"/>
    <xf numFmtId="19" fontId="4" fillId="0" borderId="0" xfId="0" applyNumberFormat="1" applyFont="1"/>
    <xf numFmtId="14" fontId="4" fillId="0" borderId="0" xfId="0" applyNumberFormat="1" applyFont="1"/>
    <xf numFmtId="0" fontId="71" fillId="17" borderId="0" xfId="0" applyFont="1" applyFill="1"/>
    <xf numFmtId="0" fontId="70" fillId="17" borderId="0" xfId="0" applyFont="1" applyFill="1"/>
    <xf numFmtId="0" fontId="20" fillId="17" borderId="0" xfId="0" applyFont="1" applyFill="1"/>
    <xf numFmtId="0" fontId="73" fillId="0" borderId="0" xfId="0" applyFont="1"/>
    <xf numFmtId="213" fontId="4" fillId="0" borderId="0" xfId="0" applyNumberFormat="1" applyFont="1"/>
    <xf numFmtId="41" fontId="4" fillId="0" borderId="0" xfId="0" applyNumberFormat="1" applyFont="1"/>
    <xf numFmtId="41" fontId="4" fillId="0" borderId="1" xfId="0" applyNumberFormat="1" applyFont="1" applyBorder="1"/>
    <xf numFmtId="0" fontId="73" fillId="0" borderId="138" xfId="0" applyFont="1" applyBorder="1"/>
    <xf numFmtId="168" fontId="73" fillId="0" borderId="139" xfId="0" applyNumberFormat="1" applyFont="1" applyBorder="1"/>
    <xf numFmtId="41" fontId="57" fillId="0" borderId="0" xfId="0" applyNumberFormat="1" applyFont="1"/>
    <xf numFmtId="0" fontId="57" fillId="0" borderId="0" xfId="0" applyFont="1"/>
    <xf numFmtId="167" fontId="4" fillId="0" borderId="0" xfId="10" applyNumberFormat="1" applyFont="1"/>
    <xf numFmtId="214" fontId="4" fillId="0" borderId="0" xfId="0" applyNumberFormat="1" applyFont="1"/>
    <xf numFmtId="168" fontId="4" fillId="0" borderId="0" xfId="0" applyNumberFormat="1" applyFont="1"/>
    <xf numFmtId="0" fontId="91" fillId="0" borderId="0" xfId="0" applyFont="1"/>
    <xf numFmtId="10" fontId="4" fillId="0" borderId="0" xfId="0" applyNumberFormat="1" applyFont="1"/>
    <xf numFmtId="215" fontId="4" fillId="0" borderId="0" xfId="0" applyNumberFormat="1" applyFont="1"/>
    <xf numFmtId="1" fontId="4" fillId="0" borderId="0" xfId="0" applyNumberFormat="1" applyFont="1"/>
    <xf numFmtId="217" fontId="4" fillId="0" borderId="0" xfId="0" applyNumberFormat="1" applyFont="1"/>
    <xf numFmtId="8" fontId="4" fillId="0" borderId="0" xfId="0" applyNumberFormat="1" applyFont="1"/>
    <xf numFmtId="41" fontId="73" fillId="0" borderId="0" xfId="0" applyNumberFormat="1" applyFont="1"/>
    <xf numFmtId="0" fontId="93" fillId="0" borderId="0" xfId="0" applyFont="1"/>
    <xf numFmtId="19" fontId="5" fillId="0" borderId="0" xfId="0" applyNumberFormat="1" applyFont="1"/>
    <xf numFmtId="214" fontId="73" fillId="0" borderId="0" xfId="0" applyNumberFormat="1" applyFont="1"/>
    <xf numFmtId="0" fontId="71" fillId="18" borderId="0" xfId="0" applyFont="1" applyFill="1"/>
    <xf numFmtId="0" fontId="70" fillId="18" borderId="0" xfId="0" applyFont="1" applyFill="1" applyAlignment="1">
      <alignment horizontal="right"/>
    </xf>
    <xf numFmtId="0" fontId="70" fillId="18" borderId="0" xfId="0" applyFont="1" applyFill="1"/>
    <xf numFmtId="167" fontId="4" fillId="0" borderId="119" xfId="10" applyNumberFormat="1" applyFont="1" applyBorder="1"/>
    <xf numFmtId="0" fontId="4" fillId="0" borderId="119" xfId="0" applyFont="1" applyBorder="1"/>
    <xf numFmtId="41" fontId="4" fillId="0" borderId="119" xfId="0" applyNumberFormat="1" applyFont="1" applyBorder="1"/>
    <xf numFmtId="168" fontId="73" fillId="0" borderId="0" xfId="0" applyNumberFormat="1" applyFont="1"/>
    <xf numFmtId="10" fontId="73" fillId="0" borderId="0" xfId="0" applyNumberFormat="1" applyFont="1"/>
    <xf numFmtId="0" fontId="73" fillId="0" borderId="119" xfId="0" applyFont="1" applyBorder="1"/>
    <xf numFmtId="214" fontId="4" fillId="0" borderId="119" xfId="0" applyNumberFormat="1" applyFont="1" applyBorder="1"/>
    <xf numFmtId="0" fontId="73" fillId="0" borderId="142" xfId="0" applyFont="1" applyBorder="1"/>
    <xf numFmtId="168" fontId="73" fillId="0" borderId="143" xfId="0" applyNumberFormat="1" applyFont="1" applyBorder="1"/>
    <xf numFmtId="0" fontId="4" fillId="0" borderId="28" xfId="0" applyFont="1" applyBorder="1"/>
    <xf numFmtId="168" fontId="4" fillId="0" borderId="134" xfId="0" applyNumberFormat="1" applyFont="1" applyBorder="1"/>
    <xf numFmtId="0" fontId="4" fillId="0" borderId="136" xfId="0" applyFont="1" applyBorder="1"/>
    <xf numFmtId="218" fontId="4" fillId="0" borderId="137" xfId="0" applyNumberFormat="1" applyFont="1" applyBorder="1"/>
    <xf numFmtId="0" fontId="73" fillId="0" borderId="28" xfId="0" applyFont="1" applyBorder="1"/>
    <xf numFmtId="168" fontId="73" fillId="0" borderId="134" xfId="0" applyNumberFormat="1" applyFont="1" applyBorder="1"/>
    <xf numFmtId="0" fontId="73" fillId="0" borderId="136" xfId="0" applyFont="1" applyBorder="1"/>
    <xf numFmtId="218" fontId="73" fillId="0" borderId="137" xfId="0" applyNumberFormat="1" applyFont="1" applyBorder="1"/>
    <xf numFmtId="215" fontId="4" fillId="0" borderId="119" xfId="0" applyNumberFormat="1" applyFont="1" applyBorder="1"/>
    <xf numFmtId="41" fontId="5" fillId="0" borderId="0" xfId="0" applyNumberFormat="1" applyFont="1"/>
    <xf numFmtId="0" fontId="76" fillId="0" borderId="119" xfId="0" applyFont="1" applyBorder="1"/>
    <xf numFmtId="41" fontId="76" fillId="0" borderId="119" xfId="0" applyNumberFormat="1" applyFont="1" applyBorder="1"/>
    <xf numFmtId="0" fontId="76" fillId="0" borderId="0" xfId="0" applyFont="1"/>
    <xf numFmtId="0" fontId="76" fillId="0" borderId="28" xfId="0" applyFont="1" applyBorder="1"/>
    <xf numFmtId="168" fontId="76" fillId="0" borderId="134" xfId="0" applyNumberFormat="1" applyFont="1" applyBorder="1"/>
    <xf numFmtId="41" fontId="76" fillId="0" borderId="0" xfId="0" applyNumberFormat="1" applyFont="1"/>
    <xf numFmtId="0" fontId="76" fillId="0" borderId="136" xfId="0" applyFont="1" applyBorder="1"/>
    <xf numFmtId="218" fontId="76" fillId="0" borderId="137" xfId="0" applyNumberFormat="1" applyFont="1" applyBorder="1"/>
    <xf numFmtId="0" fontId="57" fillId="0" borderId="0" xfId="0" applyFont="1" applyAlignment="1">
      <alignment horizontal="left"/>
    </xf>
    <xf numFmtId="0" fontId="84" fillId="0" borderId="0" xfId="0" applyFont="1"/>
    <xf numFmtId="219" fontId="4" fillId="0" borderId="0" xfId="0" applyNumberFormat="1" applyFont="1"/>
    <xf numFmtId="0" fontId="17" fillId="0" borderId="0" xfId="0" applyFont="1" applyAlignment="1" applyProtection="1">
      <alignment horizontal="left"/>
      <protection hidden="1"/>
    </xf>
    <xf numFmtId="0" fontId="44" fillId="11" borderId="37" xfId="0" applyFont="1" applyFill="1" applyBorder="1" applyAlignment="1" applyProtection="1">
      <alignment horizontal="center" vertical="center"/>
      <protection locked="0"/>
    </xf>
    <xf numFmtId="0" fontId="35" fillId="4" borderId="157" xfId="0" applyFont="1" applyFill="1" applyBorder="1"/>
    <xf numFmtId="177" fontId="44" fillId="0" borderId="158" xfId="4" applyNumberFormat="1" applyFill="1" applyBorder="1" applyAlignment="1">
      <alignment horizontal="center"/>
      <protection locked="0"/>
    </xf>
    <xf numFmtId="0" fontId="32" fillId="4" borderId="156" xfId="0" applyFont="1" applyFill="1" applyBorder="1"/>
    <xf numFmtId="0" fontId="0" fillId="0" borderId="160" xfId="0" applyBorder="1"/>
    <xf numFmtId="0" fontId="0" fillId="0" borderId="0" xfId="0" applyAlignment="1" applyProtection="1">
      <alignment horizontal="left" indent="1"/>
      <protection locked="0"/>
    </xf>
    <xf numFmtId="0" fontId="0" fillId="0" borderId="159" xfId="0" applyBorder="1" applyAlignment="1" applyProtection="1">
      <alignment horizontal="left" indent="1"/>
      <protection locked="0"/>
    </xf>
    <xf numFmtId="0" fontId="31" fillId="0" borderId="58" xfId="0" applyFont="1" applyBorder="1"/>
    <xf numFmtId="0" fontId="31" fillId="0" borderId="59" xfId="0" applyFont="1" applyBorder="1"/>
    <xf numFmtId="0" fontId="17" fillId="0" borderId="59" xfId="0" applyFont="1" applyBorder="1" applyAlignment="1">
      <alignment horizontal="right"/>
    </xf>
    <xf numFmtId="38" fontId="17" fillId="0" borderId="1" xfId="0" applyNumberFormat="1" applyFont="1" applyBorder="1" applyAlignment="1">
      <alignment horizontal="right"/>
    </xf>
    <xf numFmtId="0" fontId="23" fillId="0" borderId="0" xfId="0" applyFont="1" applyAlignment="1">
      <alignment horizontal="left" indent="1"/>
    </xf>
    <xf numFmtId="0" fontId="36" fillId="0" borderId="0" xfId="0" applyFont="1" applyAlignment="1">
      <alignment horizontal="right"/>
    </xf>
    <xf numFmtId="0" fontId="49" fillId="0" borderId="162" xfId="0" quotePrefix="1" applyFont="1" applyBorder="1" applyAlignment="1">
      <alignment horizontal="right"/>
    </xf>
    <xf numFmtId="0" fontId="49" fillId="0" borderId="161" xfId="0" quotePrefix="1" applyFont="1" applyBorder="1" applyAlignment="1">
      <alignment horizontal="right"/>
    </xf>
    <xf numFmtId="177" fontId="44" fillId="0" borderId="48" xfId="4" applyNumberFormat="1" applyFill="1" applyBorder="1" applyAlignment="1">
      <alignment horizontal="center"/>
      <protection locked="0"/>
    </xf>
    <xf numFmtId="177" fontId="44" fillId="0" borderId="164" xfId="4" applyNumberFormat="1" applyFill="1" applyBorder="1" applyAlignment="1">
      <alignment horizontal="center"/>
      <protection locked="0"/>
    </xf>
    <xf numFmtId="10" fontId="44" fillId="11" borderId="163" xfId="0" applyNumberFormat="1" applyFont="1" applyFill="1" applyBorder="1" applyAlignment="1" applyProtection="1">
      <alignment horizontal="center"/>
      <protection locked="0"/>
    </xf>
    <xf numFmtId="8" fontId="44" fillId="11" borderId="165" xfId="4" applyNumberFormat="1" applyBorder="1" applyAlignment="1">
      <alignment horizontal="center"/>
      <protection locked="0"/>
    </xf>
    <xf numFmtId="6" fontId="36" fillId="0" borderId="0" xfId="0" applyNumberFormat="1" applyFont="1" applyAlignment="1">
      <alignment horizontal="center"/>
    </xf>
    <xf numFmtId="220" fontId="17" fillId="0" borderId="0" xfId="0" applyNumberFormat="1" applyFont="1" applyAlignment="1">
      <alignment horizontal="right"/>
    </xf>
    <xf numFmtId="10" fontId="0" fillId="0" borderId="0" xfId="8" applyNumberFormat="1" applyFont="1" applyProtection="1"/>
    <xf numFmtId="19" fontId="0" fillId="0" borderId="0" xfId="0" applyNumberFormat="1"/>
    <xf numFmtId="0" fontId="22" fillId="7" borderId="51" xfId="0" applyFont="1" applyFill="1" applyBorder="1" applyAlignment="1" applyProtection="1">
      <alignment vertical="center"/>
      <protection hidden="1"/>
    </xf>
    <xf numFmtId="0" fontId="29" fillId="7" borderId="166" xfId="0" applyFont="1" applyFill="1" applyBorder="1" applyProtection="1">
      <protection hidden="1"/>
    </xf>
    <xf numFmtId="0" fontId="22" fillId="7" borderId="52" xfId="0" applyFont="1" applyFill="1" applyBorder="1" applyAlignment="1" applyProtection="1">
      <alignment vertical="center"/>
      <protection hidden="1"/>
    </xf>
    <xf numFmtId="0" fontId="25" fillId="3" borderId="167" xfId="0" quotePrefix="1" applyFont="1" applyFill="1" applyBorder="1" applyAlignment="1" applyProtection="1">
      <alignment vertical="center"/>
      <protection hidden="1"/>
    </xf>
    <xf numFmtId="0" fontId="17" fillId="3" borderId="122" xfId="0" quotePrefix="1" applyFont="1" applyFill="1" applyBorder="1" applyProtection="1">
      <protection hidden="1"/>
    </xf>
    <xf numFmtId="0" fontId="17" fillId="3" borderId="168" xfId="0" quotePrefix="1" applyFont="1" applyFill="1" applyBorder="1" applyProtection="1">
      <protection hidden="1"/>
    </xf>
    <xf numFmtId="0" fontId="25" fillId="3" borderId="122" xfId="0" quotePrefix="1" applyFont="1" applyFill="1" applyBorder="1" applyAlignment="1" applyProtection="1">
      <alignment horizontal="left" vertical="center"/>
      <protection hidden="1"/>
    </xf>
    <xf numFmtId="0" fontId="17" fillId="3" borderId="122" xfId="0" quotePrefix="1" applyFont="1" applyFill="1" applyBorder="1" applyAlignment="1" applyProtection="1">
      <alignment horizontal="left"/>
      <protection hidden="1"/>
    </xf>
    <xf numFmtId="0" fontId="17" fillId="3" borderId="169" xfId="0" quotePrefix="1" applyFont="1" applyFill="1" applyBorder="1" applyAlignment="1" applyProtection="1">
      <alignment horizontal="left"/>
      <protection hidden="1"/>
    </xf>
    <xf numFmtId="38" fontId="26" fillId="0" borderId="0" xfId="0" applyNumberFormat="1" applyFont="1" applyAlignment="1" applyProtection="1">
      <alignment horizontal="right" indent="1"/>
      <protection hidden="1"/>
    </xf>
    <xf numFmtId="38" fontId="26" fillId="0" borderId="170" xfId="0" applyNumberFormat="1" applyFont="1" applyBorder="1" applyAlignment="1" applyProtection="1">
      <alignment horizontal="right" indent="1"/>
      <protection hidden="1"/>
    </xf>
    <xf numFmtId="184" fontId="17" fillId="0" borderId="0" xfId="0" applyNumberFormat="1" applyFont="1" applyAlignment="1" applyProtection="1">
      <alignment horizontal="right"/>
      <protection hidden="1"/>
    </xf>
    <xf numFmtId="184" fontId="17" fillId="0" borderId="0" xfId="0" applyNumberFormat="1" applyFont="1" applyAlignment="1" applyProtection="1">
      <alignment horizontal="right" indent="1"/>
      <protection hidden="1"/>
    </xf>
    <xf numFmtId="184" fontId="17" fillId="0" borderId="170" xfId="0" applyNumberFormat="1" applyFont="1" applyBorder="1" applyAlignment="1" applyProtection="1">
      <alignment horizontal="right" indent="1"/>
      <protection hidden="1"/>
    </xf>
    <xf numFmtId="3" fontId="17" fillId="0" borderId="0" xfId="0" applyNumberFormat="1" applyFont="1" applyAlignment="1" applyProtection="1">
      <alignment horizontal="right"/>
      <protection hidden="1"/>
    </xf>
    <xf numFmtId="3" fontId="17" fillId="0" borderId="0" xfId="0" applyNumberFormat="1" applyFont="1" applyAlignment="1" applyProtection="1">
      <alignment horizontal="right" indent="1"/>
      <protection hidden="1"/>
    </xf>
    <xf numFmtId="3" fontId="17" fillId="0" borderId="170" xfId="0" applyNumberFormat="1" applyFont="1" applyBorder="1" applyAlignment="1" applyProtection="1">
      <alignment horizontal="right" indent="1"/>
      <protection hidden="1"/>
    </xf>
    <xf numFmtId="184" fontId="17" fillId="0" borderId="4" xfId="0" applyNumberFormat="1" applyFont="1" applyBorder="1" applyAlignment="1" applyProtection="1">
      <alignment horizontal="right"/>
      <protection hidden="1"/>
    </xf>
    <xf numFmtId="184" fontId="17" fillId="0" borderId="4" xfId="0" applyNumberFormat="1" applyFont="1" applyBorder="1" applyAlignment="1" applyProtection="1">
      <alignment horizontal="right" indent="1"/>
      <protection hidden="1"/>
    </xf>
    <xf numFmtId="184" fontId="17" fillId="0" borderId="171" xfId="0" applyNumberFormat="1" applyFont="1" applyBorder="1" applyAlignment="1" applyProtection="1">
      <alignment horizontal="right" indent="1"/>
      <protection hidden="1"/>
    </xf>
    <xf numFmtId="0" fontId="0" fillId="0" borderId="172" xfId="0" applyBorder="1"/>
    <xf numFmtId="0" fontId="22" fillId="7" borderId="51" xfId="0" applyFont="1" applyFill="1" applyBorder="1" applyAlignment="1">
      <alignment vertical="center"/>
    </xf>
    <xf numFmtId="0" fontId="29" fillId="7" borderId="168" xfId="0" applyFont="1" applyFill="1" applyBorder="1" applyAlignment="1">
      <alignment horizontal="right"/>
    </xf>
    <xf numFmtId="0" fontId="22" fillId="7" borderId="122" xfId="0" applyFont="1" applyFill="1" applyBorder="1" applyAlignment="1">
      <alignment vertical="center"/>
    </xf>
    <xf numFmtId="0" fontId="29" fillId="7" borderId="122" xfId="0" applyFont="1" applyFill="1" applyBorder="1" applyAlignment="1">
      <alignment horizontal="right"/>
    </xf>
    <xf numFmtId="0" fontId="29" fillId="7" borderId="173" xfId="0" applyFont="1" applyFill="1" applyBorder="1" applyAlignment="1">
      <alignment horizontal="right"/>
    </xf>
    <xf numFmtId="38" fontId="27" fillId="8" borderId="106" xfId="0" applyNumberFormat="1" applyFont="1" applyFill="1" applyBorder="1" applyAlignment="1">
      <alignment horizontal="right"/>
    </xf>
    <xf numFmtId="38" fontId="27" fillId="0" borderId="107" xfId="0" applyNumberFormat="1" applyFont="1" applyBorder="1" applyAlignment="1">
      <alignment horizontal="right"/>
    </xf>
    <xf numFmtId="38" fontId="27" fillId="0" borderId="174" xfId="0" applyNumberFormat="1" applyFont="1" applyBorder="1" applyAlignment="1">
      <alignment horizontal="right"/>
    </xf>
    <xf numFmtId="184" fontId="25" fillId="8" borderId="104" xfId="0" applyNumberFormat="1" applyFont="1" applyFill="1" applyBorder="1"/>
    <xf numFmtId="184" fontId="17" fillId="0" borderId="170" xfId="0" applyNumberFormat="1" applyFont="1" applyBorder="1"/>
    <xf numFmtId="10" fontId="25" fillId="8" borderId="104" xfId="0" applyNumberFormat="1" applyFont="1" applyFill="1" applyBorder="1"/>
    <xf numFmtId="10" fontId="17" fillId="0" borderId="170" xfId="0" applyNumberFormat="1" applyFont="1" applyBorder="1"/>
    <xf numFmtId="10" fontId="25" fillId="8" borderId="105" xfId="0" applyNumberFormat="1" applyFont="1" applyFill="1" applyBorder="1"/>
    <xf numFmtId="10" fontId="18" fillId="0" borderId="0" xfId="0" applyNumberFormat="1" applyFont="1"/>
    <xf numFmtId="0" fontId="22" fillId="7" borderId="76" xfId="0" applyFont="1" applyFill="1" applyBorder="1" applyAlignment="1">
      <alignment vertical="center"/>
    </xf>
    <xf numFmtId="0" fontId="29" fillId="7" borderId="77" xfId="0" applyFont="1" applyFill="1" applyBorder="1" applyAlignment="1">
      <alignment horizontal="right"/>
    </xf>
    <xf numFmtId="0" fontId="29" fillId="7" borderId="175" xfId="0" applyFont="1" applyFill="1" applyBorder="1" applyAlignment="1">
      <alignment horizontal="right"/>
    </xf>
    <xf numFmtId="0" fontId="22" fillId="7" borderId="77" xfId="0" applyFont="1" applyFill="1" applyBorder="1" applyAlignment="1">
      <alignment vertical="center"/>
    </xf>
    <xf numFmtId="0" fontId="29" fillId="7" borderId="78" xfId="0" applyFont="1" applyFill="1" applyBorder="1" applyAlignment="1">
      <alignment horizontal="right"/>
    </xf>
    <xf numFmtId="0" fontId="17" fillId="0" borderId="116" xfId="0" applyFont="1" applyBorder="1"/>
    <xf numFmtId="10" fontId="17" fillId="0" borderId="116" xfId="0" applyNumberFormat="1" applyFont="1" applyBorder="1"/>
    <xf numFmtId="10" fontId="18" fillId="0" borderId="116" xfId="0" applyNumberFormat="1" applyFont="1" applyBorder="1"/>
    <xf numFmtId="10" fontId="17" fillId="0" borderId="174" xfId="0" applyNumberFormat="1" applyFont="1" applyBorder="1"/>
    <xf numFmtId="0" fontId="0" fillId="0" borderId="116" xfId="0" applyBorder="1"/>
    <xf numFmtId="0" fontId="25" fillId="8" borderId="176" xfId="0" applyFont="1" applyFill="1" applyBorder="1" applyAlignment="1">
      <alignment vertical="center"/>
    </xf>
    <xf numFmtId="0" fontId="16" fillId="8" borderId="177" xfId="0" applyFont="1" applyFill="1" applyBorder="1" applyAlignment="1">
      <alignment vertical="center"/>
    </xf>
    <xf numFmtId="10" fontId="16" fillId="8" borderId="178" xfId="0" applyNumberFormat="1" applyFont="1" applyFill="1" applyBorder="1" applyAlignment="1">
      <alignment vertical="center"/>
    </xf>
    <xf numFmtId="0" fontId="0" fillId="0" borderId="170" xfId="0" applyBorder="1"/>
    <xf numFmtId="0" fontId="0" fillId="0" borderId="170" xfId="0" applyBorder="1" applyAlignment="1">
      <alignment vertical="center"/>
    </xf>
    <xf numFmtId="3" fontId="0" fillId="0" borderId="0" xfId="0" applyNumberFormat="1" applyAlignment="1">
      <alignment horizontal="right" vertical="center"/>
    </xf>
    <xf numFmtId="202" fontId="0" fillId="0" borderId="0" xfId="0" applyNumberFormat="1"/>
    <xf numFmtId="0" fontId="27" fillId="0" borderId="116" xfId="0" applyFont="1" applyBorder="1"/>
    <xf numFmtId="166" fontId="0" fillId="0" borderId="0" xfId="0" applyNumberFormat="1" applyAlignment="1">
      <alignment vertical="center"/>
    </xf>
    <xf numFmtId="10" fontId="0" fillId="0" borderId="0" xfId="8" applyNumberFormat="1" applyFont="1" applyAlignment="1">
      <alignment horizontal="center"/>
    </xf>
    <xf numFmtId="0" fontId="22" fillId="7" borderId="52" xfId="0" applyFont="1" applyFill="1" applyBorder="1" applyAlignment="1" applyProtection="1">
      <alignment horizontal="center" vertical="center"/>
      <protection hidden="1"/>
    </xf>
    <xf numFmtId="0" fontId="22" fillId="7" borderId="53" xfId="0" applyFont="1" applyFill="1" applyBorder="1" applyAlignment="1" applyProtection="1">
      <alignment horizontal="center" vertical="center"/>
      <protection hidden="1"/>
    </xf>
    <xf numFmtId="0" fontId="0" fillId="0" borderId="54" xfId="0" applyBorder="1" applyAlignment="1">
      <alignment horizontal="left"/>
    </xf>
    <xf numFmtId="0" fontId="0" fillId="0" borderId="55" xfId="0" applyBorder="1" applyAlignment="1">
      <alignment horizontal="right"/>
    </xf>
    <xf numFmtId="0" fontId="96" fillId="11" borderId="179" xfId="0" applyFont="1" applyFill="1" applyBorder="1" applyAlignment="1" applyProtection="1">
      <alignment horizontal="center"/>
      <protection locked="0"/>
    </xf>
    <xf numFmtId="8" fontId="44" fillId="11" borderId="37" xfId="4" applyNumberFormat="1" applyAlignment="1">
      <alignment horizontal="center"/>
      <protection locked="0"/>
    </xf>
    <xf numFmtId="38" fontId="40" fillId="0" borderId="180" xfId="4" applyFont="1" applyFill="1" applyBorder="1" applyAlignment="1" applyProtection="1">
      <alignment horizontal="center"/>
    </xf>
    <xf numFmtId="0" fontId="0" fillId="0" borderId="181" xfId="0" applyBorder="1"/>
    <xf numFmtId="0" fontId="0" fillId="0" borderId="182" xfId="0" applyBorder="1"/>
    <xf numFmtId="8" fontId="0" fillId="0" borderId="0" xfId="0" applyNumberFormat="1" applyAlignment="1">
      <alignment horizontal="center"/>
    </xf>
    <xf numFmtId="0" fontId="1" fillId="0" borderId="0" xfId="0" applyFont="1" applyAlignment="1">
      <alignment horizontal="center"/>
    </xf>
    <xf numFmtId="0" fontId="1" fillId="0" borderId="0" xfId="15" applyFont="1" applyFill="1" applyBorder="1" applyAlignment="1">
      <alignment horizontal="right"/>
    </xf>
    <xf numFmtId="0" fontId="1" fillId="0" borderId="0" xfId="10" applyNumberFormat="1" applyFont="1" applyFill="1" applyBorder="1" applyAlignment="1" applyProtection="1">
      <alignment horizontal="right"/>
    </xf>
    <xf numFmtId="168" fontId="1" fillId="0" borderId="0" xfId="8" applyNumberFormat="1" applyFont="1" applyFill="1" applyBorder="1" applyAlignment="1" applyProtection="1">
      <alignment horizontal="right"/>
    </xf>
    <xf numFmtId="168" fontId="44" fillId="11" borderId="37" xfId="4" applyNumberFormat="1">
      <protection locked="0"/>
    </xf>
    <xf numFmtId="38" fontId="0" fillId="0" borderId="0" xfId="0" applyNumberFormat="1" applyAlignment="1">
      <alignment horizontal="right"/>
    </xf>
    <xf numFmtId="167" fontId="1" fillId="0" borderId="0" xfId="0" applyNumberFormat="1" applyFont="1" applyAlignment="1">
      <alignment horizontal="right"/>
    </xf>
    <xf numFmtId="0" fontId="101" fillId="0" borderId="0" xfId="0" applyFont="1" applyAlignment="1">
      <alignment horizontal="left"/>
    </xf>
    <xf numFmtId="0" fontId="103" fillId="0" borderId="0" xfId="0" applyFont="1" applyAlignment="1">
      <alignment vertical="center"/>
    </xf>
    <xf numFmtId="2" fontId="1" fillId="0" borderId="0" xfId="10" applyNumberFormat="1" applyFont="1" applyFill="1" applyBorder="1" applyAlignment="1" applyProtection="1">
      <alignment horizontal="right"/>
    </xf>
    <xf numFmtId="2" fontId="0" fillId="0" borderId="0" xfId="0" applyNumberFormat="1"/>
    <xf numFmtId="10" fontId="40" fillId="11" borderId="37" xfId="0" applyNumberFormat="1" applyFont="1" applyFill="1" applyBorder="1" applyAlignment="1" applyProtection="1">
      <alignment vertical="center"/>
      <protection locked="0"/>
    </xf>
    <xf numFmtId="10" fontId="40" fillId="11" borderId="37" xfId="0" applyNumberFormat="1" applyFont="1" applyFill="1" applyBorder="1" applyAlignment="1" applyProtection="1">
      <alignment horizontal="right" vertical="center"/>
      <protection locked="0"/>
    </xf>
    <xf numFmtId="10" fontId="40" fillId="11" borderId="37" xfId="8" applyNumberFormat="1" applyFont="1" applyFill="1" applyBorder="1" applyAlignment="1" applyProtection="1">
      <alignment horizontal="center" vertical="center"/>
      <protection locked="0"/>
    </xf>
    <xf numFmtId="10" fontId="40" fillId="11" borderId="179" xfId="0" applyNumberFormat="1" applyFont="1" applyFill="1" applyBorder="1" applyAlignment="1" applyProtection="1">
      <alignment horizontal="center"/>
      <protection locked="0"/>
    </xf>
    <xf numFmtId="0" fontId="25" fillId="4" borderId="184" xfId="0" applyFont="1" applyFill="1" applyBorder="1" applyAlignment="1">
      <alignment horizontal="left" wrapText="1"/>
    </xf>
    <xf numFmtId="0" fontId="25" fillId="4" borderId="160" xfId="0" applyFont="1" applyFill="1" applyBorder="1" applyAlignment="1">
      <alignment horizontal="right" wrapText="1"/>
    </xf>
    <xf numFmtId="0" fontId="25" fillId="4" borderId="160" xfId="0" quotePrefix="1" applyFont="1" applyFill="1" applyBorder="1" applyAlignment="1">
      <alignment horizontal="right" wrapText="1"/>
    </xf>
    <xf numFmtId="0" fontId="25" fillId="4" borderId="185" xfId="0" quotePrefix="1" applyFont="1" applyFill="1" applyBorder="1" applyAlignment="1">
      <alignment horizontal="right" wrapText="1"/>
    </xf>
    <xf numFmtId="38" fontId="44" fillId="11" borderId="45" xfId="16" applyBorder="1" applyAlignment="1">
      <alignment horizontal="left" vertical="center"/>
      <protection locked="0"/>
    </xf>
    <xf numFmtId="38" fontId="44" fillId="11" borderId="45" xfId="16" applyBorder="1" applyAlignment="1">
      <alignment horizontal="right" vertical="center"/>
      <protection locked="0"/>
    </xf>
    <xf numFmtId="38" fontId="44" fillId="11" borderId="45" xfId="0" applyNumberFormat="1" applyFont="1" applyFill="1" applyBorder="1" applyAlignment="1" applyProtection="1">
      <alignment vertical="center"/>
      <protection locked="0"/>
    </xf>
    <xf numFmtId="40" fontId="44" fillId="11" borderId="45" xfId="0" applyNumberFormat="1" applyFont="1" applyFill="1" applyBorder="1" applyAlignment="1" applyProtection="1">
      <alignment vertical="center"/>
      <protection locked="0"/>
    </xf>
    <xf numFmtId="168" fontId="0" fillId="0" borderId="45" xfId="0" applyNumberFormat="1" applyBorder="1" applyAlignment="1">
      <alignment vertical="center"/>
    </xf>
    <xf numFmtId="6" fontId="0" fillId="0" borderId="45" xfId="0" applyNumberFormat="1" applyBorder="1" applyAlignment="1">
      <alignment vertical="center"/>
    </xf>
    <xf numFmtId="8" fontId="0" fillId="0" borderId="45" xfId="0" applyNumberFormat="1" applyBorder="1" applyAlignment="1">
      <alignment vertical="center"/>
    </xf>
    <xf numFmtId="38" fontId="0" fillId="0" borderId="45" xfId="0" applyNumberFormat="1" applyBorder="1" applyAlignment="1">
      <alignment vertical="center"/>
    </xf>
    <xf numFmtId="168" fontId="0" fillId="0" borderId="37" xfId="0" applyNumberFormat="1" applyBorder="1" applyAlignment="1">
      <alignment vertical="center"/>
    </xf>
    <xf numFmtId="38" fontId="44" fillId="11" borderId="37" xfId="0" applyNumberFormat="1" applyFont="1" applyFill="1" applyBorder="1" applyAlignment="1" applyProtection="1">
      <alignment vertical="center"/>
      <protection locked="0"/>
    </xf>
    <xf numFmtId="0" fontId="0" fillId="23" borderId="46" xfId="0" applyFill="1" applyBorder="1" applyAlignment="1">
      <alignment vertical="center"/>
    </xf>
    <xf numFmtId="0" fontId="0" fillId="23" borderId="47" xfId="0" applyFill="1" applyBorder="1" applyAlignment="1">
      <alignment vertical="center"/>
    </xf>
    <xf numFmtId="38" fontId="0" fillId="23" borderId="47" xfId="0" applyNumberFormat="1" applyFill="1" applyBorder="1" applyAlignment="1">
      <alignment vertical="center"/>
    </xf>
    <xf numFmtId="168" fontId="0" fillId="23" borderId="47" xfId="0" applyNumberFormat="1" applyFill="1" applyBorder="1" applyAlignment="1">
      <alignment vertical="center"/>
    </xf>
    <xf numFmtId="6" fontId="0" fillId="23" borderId="47" xfId="0" applyNumberFormat="1" applyFill="1" applyBorder="1" applyAlignment="1">
      <alignment vertical="center"/>
    </xf>
    <xf numFmtId="8" fontId="0" fillId="23" borderId="47" xfId="0" applyNumberFormat="1" applyFill="1" applyBorder="1" applyAlignment="1">
      <alignment vertical="center"/>
    </xf>
    <xf numFmtId="6" fontId="0" fillId="23" borderId="48" xfId="0" applyNumberFormat="1" applyFill="1" applyBorder="1" applyAlignment="1">
      <alignment vertical="center"/>
    </xf>
    <xf numFmtId="38" fontId="0" fillId="0" borderId="119" xfId="0" applyNumberFormat="1" applyBorder="1"/>
    <xf numFmtId="221" fontId="0" fillId="0" borderId="0" xfId="0" applyNumberFormat="1" applyAlignment="1">
      <alignment horizontal="left" vertical="center"/>
    </xf>
    <xf numFmtId="9" fontId="0" fillId="0" borderId="0" xfId="0" applyNumberFormat="1" applyAlignment="1">
      <alignment vertical="center"/>
    </xf>
    <xf numFmtId="221" fontId="0" fillId="0" borderId="1" xfId="0" applyNumberFormat="1" applyBorder="1" applyAlignment="1">
      <alignment horizontal="left"/>
    </xf>
    <xf numFmtId="8" fontId="0" fillId="0" borderId="1" xfId="0" applyNumberFormat="1" applyBorder="1"/>
    <xf numFmtId="6" fontId="0" fillId="0" borderId="1" xfId="0" applyNumberFormat="1" applyBorder="1" applyAlignment="1">
      <alignment vertical="center"/>
    </xf>
    <xf numFmtId="38" fontId="44" fillId="11" borderId="46" xfId="16" applyBorder="1" applyAlignment="1">
      <alignment horizontal="left" vertical="center"/>
      <protection locked="0"/>
    </xf>
    <xf numFmtId="38" fontId="44" fillId="11" borderId="47" xfId="16" applyBorder="1" applyAlignment="1">
      <alignment horizontal="left" vertical="center"/>
      <protection locked="0"/>
    </xf>
    <xf numFmtId="38" fontId="44" fillId="11" borderId="48" xfId="16" applyBorder="1" applyAlignment="1">
      <alignment horizontal="left" vertical="center"/>
      <protection locked="0"/>
    </xf>
    <xf numFmtId="38" fontId="44" fillId="11" borderId="45" xfId="16" applyBorder="1" applyAlignment="1">
      <alignment vertical="center"/>
      <protection locked="0"/>
    </xf>
    <xf numFmtId="6" fontId="44" fillId="11" borderId="45" xfId="16" applyNumberFormat="1" applyBorder="1" applyAlignment="1">
      <alignment vertical="center"/>
      <protection locked="0"/>
    </xf>
    <xf numFmtId="38" fontId="44" fillId="11" borderId="186" xfId="16" applyBorder="1" applyAlignment="1">
      <alignment horizontal="left" vertical="center"/>
      <protection locked="0"/>
    </xf>
    <xf numFmtId="38" fontId="44" fillId="11" borderId="49" xfId="16" applyBorder="1" applyAlignment="1">
      <alignment horizontal="left" vertical="center"/>
      <protection locked="0"/>
    </xf>
    <xf numFmtId="38" fontId="44" fillId="11" borderId="164" xfId="16" applyBorder="1" applyAlignment="1">
      <alignment horizontal="left" vertical="center"/>
      <protection locked="0"/>
    </xf>
    <xf numFmtId="38" fontId="44" fillId="11" borderId="37" xfId="16" applyAlignment="1">
      <alignment vertical="center"/>
      <protection locked="0"/>
    </xf>
    <xf numFmtId="6" fontId="44" fillId="11" borderId="37" xfId="16" applyNumberFormat="1" applyAlignment="1">
      <alignment vertical="center"/>
      <protection locked="0"/>
    </xf>
    <xf numFmtId="6" fontId="0" fillId="0" borderId="119" xfId="0" applyNumberFormat="1" applyBorder="1" applyAlignment="1">
      <alignment vertical="center"/>
    </xf>
    <xf numFmtId="0" fontId="36" fillId="0" borderId="119" xfId="0" applyFont="1" applyBorder="1" applyAlignment="1">
      <alignment horizontal="left" indent="2"/>
    </xf>
    <xf numFmtId="8" fontId="0" fillId="0" borderId="119" xfId="0" applyNumberFormat="1" applyBorder="1"/>
    <xf numFmtId="8" fontId="44" fillId="11" borderId="37" xfId="0" applyNumberFormat="1" applyFont="1" applyFill="1" applyBorder="1" applyAlignment="1" applyProtection="1">
      <alignment vertical="center"/>
      <protection locked="0"/>
    </xf>
    <xf numFmtId="6" fontId="78" fillId="0" borderId="0" xfId="0" applyNumberFormat="1" applyFont="1" applyAlignment="1">
      <alignment vertical="center"/>
    </xf>
    <xf numFmtId="0" fontId="0" fillId="3" borderId="4" xfId="0" applyFill="1" applyBorder="1" applyAlignment="1">
      <alignment vertical="center"/>
    </xf>
    <xf numFmtId="38" fontId="0" fillId="3" borderId="4" xfId="0" applyNumberFormat="1" applyFill="1" applyBorder="1" applyAlignment="1">
      <alignment vertical="center"/>
    </xf>
    <xf numFmtId="6" fontId="0" fillId="3" borderId="4" xfId="0" applyNumberFormat="1" applyFill="1" applyBorder="1" applyAlignment="1">
      <alignment vertical="center"/>
    </xf>
    <xf numFmtId="0" fontId="22" fillId="0" borderId="187" xfId="0" applyFont="1" applyBorder="1"/>
    <xf numFmtId="0" fontId="39" fillId="4" borderId="156" xfId="0" applyFont="1" applyFill="1" applyBorder="1" applyAlignment="1">
      <alignment horizontal="left" vertical="center"/>
    </xf>
    <xf numFmtId="0" fontId="39" fillId="4" borderId="75" xfId="0" applyFont="1" applyFill="1" applyBorder="1" applyAlignment="1">
      <alignment horizontal="right" vertical="center"/>
    </xf>
    <xf numFmtId="0" fontId="39" fillId="4" borderId="157" xfId="0" applyFont="1" applyFill="1" applyBorder="1" applyAlignment="1">
      <alignment horizontal="right" vertical="center"/>
    </xf>
    <xf numFmtId="0" fontId="39" fillId="0" borderId="0" xfId="0" applyFont="1" applyAlignment="1">
      <alignment horizontal="left" vertical="center"/>
    </xf>
    <xf numFmtId="0" fontId="39" fillId="4" borderId="75" xfId="0" applyFont="1" applyFill="1" applyBorder="1" applyAlignment="1">
      <alignment horizontal="left" vertical="center"/>
    </xf>
    <xf numFmtId="222" fontId="17" fillId="0" borderId="0" xfId="0" applyNumberFormat="1" applyFont="1"/>
    <xf numFmtId="3" fontId="17" fillId="0" borderId="0" xfId="0" applyNumberFormat="1" applyFont="1" applyAlignment="1">
      <alignment horizontal="right"/>
    </xf>
    <xf numFmtId="0" fontId="68" fillId="0" borderId="0" xfId="0" applyFont="1"/>
    <xf numFmtId="0" fontId="68" fillId="0" borderId="0" xfId="0" applyFont="1" applyAlignment="1">
      <alignment horizontal="right"/>
    </xf>
    <xf numFmtId="38" fontId="67" fillId="6" borderId="0" xfId="0" applyNumberFormat="1" applyFont="1" applyFill="1"/>
    <xf numFmtId="222" fontId="67" fillId="6" borderId="0" xfId="0" applyNumberFormat="1" applyFont="1" applyFill="1"/>
    <xf numFmtId="3" fontId="67" fillId="6" borderId="0" xfId="0" applyNumberFormat="1" applyFont="1" applyFill="1" applyAlignment="1">
      <alignment vertical="center"/>
    </xf>
    <xf numFmtId="168" fontId="67" fillId="6" borderId="0" xfId="0" applyNumberFormat="1" applyFont="1" applyFill="1"/>
    <xf numFmtId="8" fontId="67" fillId="6" borderId="0" xfId="0" applyNumberFormat="1" applyFont="1" applyFill="1"/>
    <xf numFmtId="6" fontId="67" fillId="6" borderId="0" xfId="0" applyNumberFormat="1" applyFont="1" applyFill="1"/>
    <xf numFmtId="0" fontId="0" fillId="23" borderId="4" xfId="0" applyFill="1" applyBorder="1" applyAlignment="1">
      <alignment vertical="center"/>
    </xf>
    <xf numFmtId="3" fontId="0" fillId="23" borderId="4" xfId="0" applyNumberFormat="1" applyFill="1" applyBorder="1" applyAlignment="1">
      <alignment vertical="center"/>
    </xf>
    <xf numFmtId="9" fontId="0" fillId="23" borderId="4" xfId="0" applyNumberFormat="1" applyFill="1" applyBorder="1" applyAlignment="1">
      <alignment vertical="center"/>
    </xf>
    <xf numFmtId="8" fontId="0" fillId="23" borderId="4" xfId="0" applyNumberFormat="1" applyFill="1" applyBorder="1" applyAlignment="1">
      <alignment vertical="center"/>
    </xf>
    <xf numFmtId="6" fontId="0" fillId="23" borderId="4" xfId="0" applyNumberFormat="1" applyFill="1" applyBorder="1" applyAlignment="1">
      <alignment vertical="center"/>
    </xf>
    <xf numFmtId="0" fontId="0" fillId="0" borderId="119" xfId="0" applyBorder="1" applyAlignment="1">
      <alignment horizontal="left" vertical="center"/>
    </xf>
    <xf numFmtId="0" fontId="104" fillId="4" borderId="40" xfId="0" applyFont="1" applyFill="1" applyBorder="1" applyAlignment="1">
      <alignment horizontal="right"/>
    </xf>
    <xf numFmtId="0" fontId="104" fillId="4" borderId="41" xfId="0" applyFont="1" applyFill="1" applyBorder="1" applyAlignment="1">
      <alignment horizontal="right"/>
    </xf>
    <xf numFmtId="0" fontId="39" fillId="4" borderId="184" xfId="0" applyFont="1" applyFill="1" applyBorder="1" applyAlignment="1">
      <alignment horizontal="left"/>
    </xf>
    <xf numFmtId="0" fontId="104" fillId="4" borderId="160" xfId="0" applyFont="1" applyFill="1" applyBorder="1" applyAlignment="1">
      <alignment horizontal="right" wrapText="1"/>
    </xf>
    <xf numFmtId="0" fontId="104" fillId="4" borderId="185" xfId="0" applyFont="1" applyFill="1" applyBorder="1" applyAlignment="1">
      <alignment horizontal="right" wrapText="1"/>
    </xf>
    <xf numFmtId="37" fontId="0" fillId="0" borderId="0" xfId="0" applyNumberFormat="1"/>
    <xf numFmtId="0" fontId="44" fillId="11" borderId="152" xfId="0" applyFont="1" applyFill="1" applyBorder="1" applyAlignment="1" applyProtection="1">
      <alignment horizontal="left" vertical="center"/>
      <protection locked="0"/>
    </xf>
    <xf numFmtId="0" fontId="44" fillId="11" borderId="153" xfId="0" applyFont="1" applyFill="1" applyBorder="1" applyAlignment="1" applyProtection="1">
      <alignment horizontal="left" vertical="center"/>
      <protection locked="0"/>
    </xf>
    <xf numFmtId="0" fontId="44" fillId="11" borderId="70" xfId="0" applyFont="1" applyFill="1" applyBorder="1" applyAlignment="1" applyProtection="1">
      <alignment horizontal="left" vertical="center"/>
      <protection locked="0"/>
    </xf>
    <xf numFmtId="38" fontId="0" fillId="23" borderId="4" xfId="0" applyNumberFormat="1" applyFill="1" applyBorder="1" applyAlignment="1">
      <alignment vertical="center"/>
    </xf>
    <xf numFmtId="10" fontId="0" fillId="0" borderId="119" xfId="0" applyNumberFormat="1" applyBorder="1"/>
    <xf numFmtId="6" fontId="0" fillId="2" borderId="119" xfId="0" applyNumberFormat="1" applyFill="1" applyBorder="1"/>
    <xf numFmtId="0" fontId="0" fillId="0" borderId="119" xfId="0" applyBorder="1" applyAlignment="1">
      <alignment horizontal="left"/>
    </xf>
    <xf numFmtId="6" fontId="17" fillId="2" borderId="119" xfId="0" applyNumberFormat="1" applyFont="1" applyFill="1" applyBorder="1"/>
    <xf numFmtId="9" fontId="0" fillId="0" borderId="119" xfId="8" applyFont="1" applyBorder="1" applyProtection="1"/>
    <xf numFmtId="9" fontId="0" fillId="0" borderId="4" xfId="0" applyNumberFormat="1" applyBorder="1"/>
    <xf numFmtId="0" fontId="17" fillId="0" borderId="160" xfId="0" quotePrefix="1" applyFont="1" applyBorder="1" applyAlignment="1">
      <alignment horizontal="left" indent="2"/>
    </xf>
    <xf numFmtId="167" fontId="0" fillId="21" borderId="0" xfId="10" applyNumberFormat="1" applyFont="1" applyFill="1" applyProtection="1"/>
    <xf numFmtId="167" fontId="17" fillId="21" borderId="0" xfId="10" applyNumberFormat="1" applyFont="1" applyFill="1" applyProtection="1"/>
    <xf numFmtId="8" fontId="0" fillId="3" borderId="4" xfId="0" applyNumberFormat="1" applyFill="1" applyBorder="1" applyAlignment="1">
      <alignment vertical="center"/>
    </xf>
    <xf numFmtId="38" fontId="44" fillId="11" borderId="45" xfId="4" applyNumberFormat="1" applyBorder="1">
      <protection locked="0"/>
    </xf>
    <xf numFmtId="10" fontId="27" fillId="6" borderId="116" xfId="0" applyNumberFormat="1" applyFont="1" applyFill="1" applyBorder="1" applyAlignment="1" applyProtection="1">
      <alignment horizontal="center"/>
      <protection hidden="1"/>
    </xf>
    <xf numFmtId="10" fontId="17" fillId="6" borderId="0" xfId="0" applyNumberFormat="1" applyFont="1" applyFill="1" applyAlignment="1" applyProtection="1">
      <alignment horizontal="center"/>
      <protection hidden="1"/>
    </xf>
    <xf numFmtId="0" fontId="108" fillId="11" borderId="179" xfId="0" applyFont="1" applyFill="1" applyBorder="1" applyAlignment="1" applyProtection="1">
      <alignment horizontal="center"/>
      <protection locked="0"/>
    </xf>
    <xf numFmtId="0" fontId="0" fillId="0" borderId="191" xfId="0" applyBorder="1" applyAlignment="1">
      <alignment vertical="center"/>
    </xf>
    <xf numFmtId="0" fontId="0" fillId="0" borderId="150" xfId="0" applyBorder="1" applyAlignment="1">
      <alignment horizontal="left" vertical="center"/>
    </xf>
    <xf numFmtId="0" fontId="0" fillId="0" borderId="131" xfId="0" applyBorder="1"/>
    <xf numFmtId="0" fontId="0" fillId="0" borderId="191" xfId="0" applyBorder="1"/>
    <xf numFmtId="0" fontId="0" fillId="0" borderId="131" xfId="0" applyBorder="1" applyAlignment="1">
      <alignment horizontal="left" vertical="center" indent="2"/>
    </xf>
    <xf numFmtId="0" fontId="109" fillId="0" borderId="0" xfId="0" applyFont="1" applyAlignment="1">
      <alignment horizontal="right"/>
    </xf>
    <xf numFmtId="168" fontId="17" fillId="0" borderId="49" xfId="0" applyNumberFormat="1" applyFont="1" applyBorder="1" applyAlignment="1">
      <alignment horizontal="center"/>
    </xf>
    <xf numFmtId="0" fontId="0" fillId="0" borderId="131" xfId="0" applyBorder="1" applyAlignment="1">
      <alignment horizontal="left" indent="1"/>
    </xf>
    <xf numFmtId="1" fontId="0" fillId="0" borderId="0" xfId="10" applyNumberFormat="1" applyFont="1" applyAlignment="1" applyProtection="1">
      <alignment horizontal="center"/>
    </xf>
    <xf numFmtId="0" fontId="16" fillId="0" borderId="119" xfId="0" applyFont="1" applyBorder="1" applyAlignment="1">
      <alignment horizontal="center"/>
    </xf>
    <xf numFmtId="1" fontId="16" fillId="0" borderId="119" xfId="0" applyNumberFormat="1" applyFont="1" applyBorder="1" applyAlignment="1">
      <alignment horizontal="center"/>
    </xf>
    <xf numFmtId="38" fontId="44" fillId="11" borderId="45" xfId="4" applyNumberFormat="1" applyBorder="1" applyAlignment="1">
      <alignment horizontal="center"/>
      <protection locked="0"/>
    </xf>
    <xf numFmtId="10" fontId="44" fillId="11" borderId="45" xfId="4" applyNumberFormat="1" applyBorder="1" applyAlignment="1">
      <alignment horizontal="center"/>
      <protection locked="0"/>
    </xf>
    <xf numFmtId="0" fontId="36" fillId="0" borderId="119" xfId="0" applyFont="1" applyBorder="1"/>
    <xf numFmtId="38" fontId="0" fillId="0" borderId="119" xfId="0" applyNumberFormat="1" applyBorder="1" applyAlignment="1">
      <alignment horizontal="center"/>
    </xf>
    <xf numFmtId="38" fontId="44" fillId="11" borderId="192" xfId="16" applyBorder="1" applyAlignment="1">
      <alignment horizontal="center"/>
      <protection locked="0"/>
    </xf>
    <xf numFmtId="38" fontId="0" fillId="0" borderId="119" xfId="10" applyNumberFormat="1" applyFont="1" applyBorder="1" applyAlignment="1" applyProtection="1">
      <alignment horizontal="center"/>
    </xf>
    <xf numFmtId="38" fontId="0" fillId="0" borderId="193" xfId="10" applyNumberFormat="1" applyFont="1" applyBorder="1" applyAlignment="1" applyProtection="1">
      <alignment horizontal="center"/>
    </xf>
    <xf numFmtId="0" fontId="0" fillId="0" borderId="194" xfId="0" applyBorder="1"/>
    <xf numFmtId="0" fontId="0" fillId="0" borderId="6" xfId="0" applyBorder="1" applyAlignment="1">
      <alignment horizontal="right"/>
    </xf>
    <xf numFmtId="6" fontId="0" fillId="0" borderId="0" xfId="0" applyNumberFormat="1" applyAlignment="1">
      <alignment horizontal="right"/>
    </xf>
    <xf numFmtId="6" fontId="0" fillId="0" borderId="119" xfId="0" applyNumberFormat="1" applyBorder="1" applyAlignment="1">
      <alignment horizontal="right"/>
    </xf>
    <xf numFmtId="6" fontId="0" fillId="0" borderId="4" xfId="0" applyNumberFormat="1" applyBorder="1" applyAlignment="1">
      <alignment horizontal="right"/>
    </xf>
    <xf numFmtId="38" fontId="44" fillId="0" borderId="119" xfId="16" applyFill="1" applyBorder="1" applyAlignment="1">
      <alignment horizontal="center"/>
      <protection locked="0"/>
    </xf>
    <xf numFmtId="38" fontId="0" fillId="0" borderId="119" xfId="10" applyNumberFormat="1" applyFont="1" applyFill="1" applyBorder="1" applyAlignment="1" applyProtection="1">
      <alignment horizontal="center"/>
    </xf>
    <xf numFmtId="2" fontId="44" fillId="0" borderId="119" xfId="4" applyNumberFormat="1" applyFill="1" applyBorder="1" applyAlignment="1">
      <alignment horizontal="center"/>
      <protection locked="0"/>
    </xf>
    <xf numFmtId="6" fontId="44" fillId="11" borderId="37" xfId="4" applyNumberFormat="1">
      <protection locked="0"/>
    </xf>
    <xf numFmtId="0" fontId="26" fillId="0" borderId="120" xfId="0" applyFont="1" applyBorder="1" applyAlignment="1">
      <alignment horizontal="center"/>
    </xf>
    <xf numFmtId="6" fontId="40" fillId="11" borderId="46" xfId="0" applyNumberFormat="1" applyFont="1" applyFill="1" applyBorder="1" applyProtection="1">
      <protection locked="0"/>
    </xf>
    <xf numFmtId="190" fontId="44" fillId="11" borderId="46" xfId="4" applyNumberFormat="1" applyBorder="1" applyAlignment="1">
      <alignment horizontal="right"/>
      <protection locked="0"/>
    </xf>
    <xf numFmtId="183" fontId="40" fillId="11" borderId="46" xfId="4" applyNumberFormat="1" applyFont="1" applyBorder="1">
      <protection locked="0"/>
    </xf>
    <xf numFmtId="10" fontId="40" fillId="11" borderId="46" xfId="8" applyNumberFormat="1" applyFont="1" applyFill="1" applyBorder="1" applyProtection="1">
      <protection locked="0"/>
    </xf>
    <xf numFmtId="38" fontId="44" fillId="11" borderId="186" xfId="4" applyNumberFormat="1" applyBorder="1">
      <protection locked="0"/>
    </xf>
    <xf numFmtId="0" fontId="39" fillId="4" borderId="195" xfId="0" applyFont="1" applyFill="1" applyBorder="1" applyAlignment="1">
      <alignment horizontal="left"/>
    </xf>
    <xf numFmtId="0" fontId="26" fillId="4" borderId="61" xfId="0" applyFont="1" applyFill="1" applyBorder="1" applyAlignment="1">
      <alignment horizontal="center"/>
    </xf>
    <xf numFmtId="40" fontId="0" fillId="0" borderId="0" xfId="0" applyNumberFormat="1" applyAlignment="1">
      <alignment horizontal="right"/>
    </xf>
    <xf numFmtId="0" fontId="26" fillId="0" borderId="59" xfId="0" quotePrefix="1" applyFont="1" applyBorder="1" applyAlignment="1">
      <alignment horizontal="right"/>
    </xf>
    <xf numFmtId="38" fontId="44" fillId="11" borderId="46" xfId="4" applyNumberFormat="1" applyBorder="1">
      <protection locked="0"/>
    </xf>
    <xf numFmtId="0" fontId="37" fillId="0" borderId="8" xfId="0" applyFont="1" applyBorder="1" applyAlignment="1">
      <alignment horizontal="left"/>
    </xf>
    <xf numFmtId="0" fontId="0" fillId="0" borderId="9" xfId="0" applyBorder="1"/>
    <xf numFmtId="0" fontId="36" fillId="0" borderId="8" xfId="0" applyFont="1" applyBorder="1" applyAlignment="1">
      <alignment horizontal="left" wrapText="1" indent="2"/>
    </xf>
    <xf numFmtId="0" fontId="0" fillId="0" borderId="54" xfId="0" applyBorder="1"/>
    <xf numFmtId="6" fontId="44" fillId="11" borderId="46" xfId="4" applyNumberFormat="1" applyBorder="1">
      <protection locked="0"/>
    </xf>
    <xf numFmtId="0" fontId="16" fillId="0" borderId="8" xfId="0" applyFont="1" applyBorder="1"/>
    <xf numFmtId="0" fontId="33" fillId="0" borderId="197" xfId="0" applyFont="1" applyBorder="1"/>
    <xf numFmtId="40" fontId="0" fillId="0" borderId="0" xfId="0" applyNumberFormat="1" applyAlignment="1">
      <alignment horizontal="center"/>
    </xf>
    <xf numFmtId="38" fontId="44" fillId="11" borderId="37" xfId="4" applyNumberFormat="1" applyAlignment="1">
      <alignment horizontal="center"/>
      <protection locked="0"/>
    </xf>
    <xf numFmtId="10" fontId="44" fillId="11" borderId="37" xfId="4" applyNumberFormat="1" applyAlignment="1">
      <alignment horizontal="center"/>
      <protection locked="0"/>
    </xf>
    <xf numFmtId="40" fontId="44" fillId="11" borderId="37" xfId="4" applyNumberFormat="1" applyAlignment="1">
      <alignment horizontal="center"/>
      <protection locked="0"/>
    </xf>
    <xf numFmtId="38" fontId="0" fillId="0" borderId="0" xfId="0" applyNumberFormat="1" applyAlignment="1">
      <alignment horizontal="center"/>
    </xf>
    <xf numFmtId="0" fontId="44" fillId="11" borderId="196" xfId="4" applyNumberFormat="1" applyBorder="1" applyAlignment="1">
      <alignment horizontal="left"/>
      <protection locked="0"/>
    </xf>
    <xf numFmtId="0" fontId="44" fillId="11" borderId="198" xfId="4" applyNumberFormat="1" applyBorder="1" applyAlignment="1">
      <alignment horizontal="left"/>
      <protection locked="0"/>
    </xf>
    <xf numFmtId="0" fontId="36" fillId="0" borderId="56" xfId="0" applyFont="1" applyBorder="1" applyAlignment="1">
      <alignment horizontal="left" indent="2"/>
    </xf>
    <xf numFmtId="0" fontId="0" fillId="0" borderId="56" xfId="0" applyBorder="1" applyAlignment="1">
      <alignment horizontal="left"/>
    </xf>
    <xf numFmtId="0" fontId="0" fillId="0" borderId="139" xfId="0" applyBorder="1"/>
    <xf numFmtId="0" fontId="26" fillId="0" borderId="194" xfId="0" applyFont="1" applyBorder="1" applyAlignment="1">
      <alignment horizontal="right"/>
    </xf>
    <xf numFmtId="0" fontId="26" fillId="0" borderId="28" xfId="0" quotePrefix="1" applyFont="1" applyBorder="1" applyAlignment="1">
      <alignment horizontal="right"/>
    </xf>
    <xf numFmtId="8" fontId="0" fillId="0" borderId="4" xfId="0" applyNumberFormat="1" applyBorder="1" applyAlignment="1">
      <alignment horizontal="right"/>
    </xf>
    <xf numFmtId="0" fontId="26" fillId="0" borderId="119" xfId="0" quotePrefix="1" applyFont="1" applyBorder="1" applyAlignment="1">
      <alignment horizontal="right"/>
    </xf>
    <xf numFmtId="0" fontId="0" fillId="0" borderId="28" xfId="0" applyBorder="1"/>
    <xf numFmtId="0" fontId="37" fillId="0" borderId="138" xfId="0" applyFont="1" applyBorder="1"/>
    <xf numFmtId="10" fontId="44" fillId="11" borderId="37" xfId="8" applyNumberFormat="1" applyFont="1" applyFill="1" applyBorder="1" applyProtection="1">
      <protection locked="0"/>
    </xf>
    <xf numFmtId="0" fontId="66" fillId="0" borderId="0" xfId="0" applyFont="1"/>
    <xf numFmtId="38" fontId="44" fillId="11" borderId="37" xfId="16" applyAlignment="1">
      <alignment horizontal="right" vertical="center"/>
      <protection locked="0"/>
    </xf>
    <xf numFmtId="168" fontId="44" fillId="11" borderId="37" xfId="8" applyNumberFormat="1" applyFont="1" applyFill="1" applyBorder="1" applyAlignment="1" applyProtection="1">
      <alignment horizontal="center"/>
      <protection locked="0"/>
    </xf>
    <xf numFmtId="10" fontId="44" fillId="0" borderId="201" xfId="8" applyNumberFormat="1" applyFont="1" applyFill="1" applyBorder="1" applyAlignment="1" applyProtection="1">
      <alignment horizontal="center"/>
      <protection locked="0"/>
    </xf>
    <xf numFmtId="10" fontId="44" fillId="0" borderId="202" xfId="8" applyNumberFormat="1" applyFont="1" applyFill="1" applyBorder="1" applyAlignment="1" applyProtection="1">
      <alignment horizontal="center"/>
      <protection locked="0"/>
    </xf>
    <xf numFmtId="10" fontId="44" fillId="0" borderId="203" xfId="8" applyNumberFormat="1" applyFont="1" applyFill="1" applyBorder="1" applyAlignment="1" applyProtection="1">
      <alignment horizontal="center"/>
      <protection locked="0"/>
    </xf>
    <xf numFmtId="10" fontId="44" fillId="0" borderId="201" xfId="4" applyNumberFormat="1" applyFill="1" applyBorder="1" applyAlignment="1">
      <alignment horizontal="center"/>
      <protection locked="0"/>
    </xf>
    <xf numFmtId="10" fontId="44" fillId="0" borderId="203" xfId="4" applyNumberFormat="1" applyFill="1" applyBorder="1" applyAlignment="1">
      <alignment horizontal="center"/>
      <protection locked="0"/>
    </xf>
    <xf numFmtId="40" fontId="44" fillId="11" borderId="38" xfId="4" applyNumberFormat="1" applyBorder="1" applyAlignment="1">
      <alignment horizontal="center"/>
      <protection locked="0"/>
    </xf>
    <xf numFmtId="6" fontId="44" fillId="11" borderId="192" xfId="4" applyNumberFormat="1" applyBorder="1" applyAlignment="1">
      <alignment horizontal="center"/>
      <protection locked="0"/>
    </xf>
    <xf numFmtId="6" fontId="0" fillId="0" borderId="204" xfId="0" applyNumberFormat="1" applyBorder="1"/>
    <xf numFmtId="181" fontId="40" fillId="11" borderId="37" xfId="0" applyNumberFormat="1" applyFont="1" applyFill="1" applyBorder="1" applyAlignment="1" applyProtection="1">
      <alignment vertical="center"/>
      <protection locked="0"/>
    </xf>
    <xf numFmtId="0" fontId="40" fillId="0" borderId="0" xfId="0" applyFont="1" applyAlignment="1">
      <alignment horizontal="left"/>
    </xf>
    <xf numFmtId="0" fontId="40" fillId="0" borderId="0" xfId="0" applyFont="1"/>
    <xf numFmtId="3" fontId="40" fillId="0" borderId="0" xfId="0" applyNumberFormat="1" applyFont="1"/>
    <xf numFmtId="0" fontId="110" fillId="0" borderId="0" xfId="0" applyFont="1" applyAlignment="1">
      <alignment horizontal="right"/>
    </xf>
    <xf numFmtId="38" fontId="111" fillId="0" borderId="37" xfId="4" applyNumberFormat="1" applyFont="1" applyFill="1" applyProtection="1"/>
    <xf numFmtId="38" fontId="111" fillId="0" borderId="38" xfId="4" applyNumberFormat="1" applyFont="1" applyFill="1" applyBorder="1" applyProtection="1"/>
    <xf numFmtId="8" fontId="111" fillId="0" borderId="0" xfId="0" applyNumberFormat="1" applyFont="1"/>
    <xf numFmtId="6" fontId="111" fillId="0" borderId="0" xfId="0" applyNumberFormat="1" applyFont="1"/>
    <xf numFmtId="38" fontId="111" fillId="0" borderId="0" xfId="0" applyNumberFormat="1" applyFont="1"/>
    <xf numFmtId="6" fontId="111" fillId="0" borderId="4" xfId="0" applyNumberFormat="1" applyFont="1" applyBorder="1"/>
    <xf numFmtId="0" fontId="111" fillId="0" borderId="8" xfId="0" applyFont="1" applyBorder="1"/>
    <xf numFmtId="0" fontId="111" fillId="0" borderId="0" xfId="0" applyFont="1"/>
    <xf numFmtId="10" fontId="111" fillId="0" borderId="37" xfId="8" applyNumberFormat="1" applyFont="1" applyFill="1" applyBorder="1" applyProtection="1"/>
    <xf numFmtId="0" fontId="111" fillId="0" borderId="199" xfId="0" applyFont="1" applyBorder="1"/>
    <xf numFmtId="164" fontId="44" fillId="11" borderId="37" xfId="0" applyNumberFormat="1" applyFont="1" applyFill="1" applyBorder="1" applyAlignment="1" applyProtection="1">
      <alignment horizontal="center"/>
      <protection locked="0"/>
    </xf>
    <xf numFmtId="0" fontId="17" fillId="0" borderId="0" xfId="0" applyFont="1" applyAlignment="1">
      <alignment horizontal="left" indent="1"/>
    </xf>
    <xf numFmtId="10" fontId="40" fillId="11" borderId="37" xfId="11" applyNumberFormat="1" applyAlignment="1">
      <alignment horizontal="center"/>
      <protection locked="0"/>
    </xf>
    <xf numFmtId="8" fontId="44" fillId="11" borderId="37" xfId="4" applyNumberFormat="1">
      <protection locked="0"/>
    </xf>
    <xf numFmtId="38" fontId="44" fillId="11" borderId="117" xfId="4" applyNumberFormat="1" applyBorder="1" applyAlignment="1">
      <alignment horizontal="right"/>
      <protection locked="0"/>
    </xf>
    <xf numFmtId="6" fontId="44" fillId="11" borderId="37" xfId="16" applyNumberFormat="1" applyAlignment="1">
      <alignment horizontal="right"/>
      <protection locked="0"/>
    </xf>
    <xf numFmtId="38" fontId="44" fillId="11" borderId="37" xfId="16" applyAlignment="1">
      <alignment horizontal="right"/>
      <protection locked="0"/>
    </xf>
    <xf numFmtId="38" fontId="44" fillId="11" borderId="117" xfId="16" applyBorder="1" applyAlignment="1">
      <alignment horizontal="right"/>
      <protection locked="0"/>
    </xf>
    <xf numFmtId="195" fontId="17" fillId="0" borderId="0" xfId="0" applyNumberFormat="1" applyFont="1" applyAlignment="1">
      <alignment horizontal="center"/>
    </xf>
    <xf numFmtId="0" fontId="0" fillId="0" borderId="0" xfId="0" applyAlignment="1">
      <alignment vertical="center" wrapText="1"/>
    </xf>
    <xf numFmtId="0" fontId="76" fillId="0" borderId="119" xfId="12" applyFont="1" applyBorder="1"/>
    <xf numFmtId="0" fontId="77" fillId="0" borderId="119" xfId="12" applyFont="1" applyBorder="1"/>
    <xf numFmtId="10" fontId="44" fillId="0" borderId="0" xfId="0" applyNumberFormat="1" applyFont="1" applyAlignment="1">
      <alignment horizontal="center"/>
    </xf>
    <xf numFmtId="0" fontId="70" fillId="0" borderId="0" xfId="0" applyFont="1"/>
    <xf numFmtId="168" fontId="92" fillId="0" borderId="139" xfId="0" applyNumberFormat="1" applyFont="1" applyBorder="1"/>
    <xf numFmtId="5" fontId="5" fillId="0" borderId="0" xfId="0" applyNumberFormat="1" applyFont="1"/>
    <xf numFmtId="6" fontId="4" fillId="0" borderId="0" xfId="0" applyNumberFormat="1" applyFont="1"/>
    <xf numFmtId="38" fontId="4" fillId="0" borderId="0" xfId="0" applyNumberFormat="1" applyFont="1"/>
    <xf numFmtId="6" fontId="5" fillId="0" borderId="0" xfId="0" applyNumberFormat="1" applyFont="1"/>
    <xf numFmtId="41" fontId="4" fillId="0" borderId="0" xfId="0" quotePrefix="1" applyNumberFormat="1" applyFont="1"/>
    <xf numFmtId="0" fontId="75" fillId="0" borderId="0" xfId="12" applyFont="1"/>
    <xf numFmtId="38" fontId="76" fillId="0" borderId="0" xfId="12" applyNumberFormat="1" applyFont="1"/>
    <xf numFmtId="0" fontId="76" fillId="0" borderId="0" xfId="12" applyFont="1"/>
    <xf numFmtId="0" fontId="76" fillId="0" borderId="0" xfId="12" quotePrefix="1" applyFont="1"/>
    <xf numFmtId="214" fontId="5" fillId="0" borderId="119" xfId="12" quotePrefix="1" applyNumberFormat="1" applyFont="1" applyBorder="1"/>
    <xf numFmtId="214" fontId="5" fillId="0" borderId="119" xfId="12" applyNumberFormat="1" applyFont="1" applyBorder="1"/>
    <xf numFmtId="0" fontId="77" fillId="0" borderId="0" xfId="12" applyFont="1"/>
    <xf numFmtId="214" fontId="5" fillId="0" borderId="0" xfId="12" quotePrefix="1" applyNumberFormat="1" applyFont="1"/>
    <xf numFmtId="214" fontId="5" fillId="0" borderId="0" xfId="12" applyNumberFormat="1" applyFont="1"/>
    <xf numFmtId="215" fontId="5" fillId="0" borderId="0" xfId="12" quotePrefix="1" applyNumberFormat="1" applyFont="1"/>
    <xf numFmtId="215" fontId="5" fillId="0" borderId="0" xfId="12" applyNumberFormat="1" applyFont="1"/>
    <xf numFmtId="214" fontId="70" fillId="0" borderId="119" xfId="12" quotePrefix="1" applyNumberFormat="1" applyFont="1" applyBorder="1"/>
    <xf numFmtId="214" fontId="4" fillId="0" borderId="119" xfId="12" applyNumberFormat="1" applyFont="1" applyBorder="1"/>
    <xf numFmtId="214" fontId="70" fillId="0" borderId="0" xfId="12" quotePrefix="1" applyNumberFormat="1" applyFont="1"/>
    <xf numFmtId="0" fontId="95" fillId="0" borderId="0" xfId="12" applyFont="1" applyAlignment="1">
      <alignment horizontal="right"/>
    </xf>
    <xf numFmtId="214" fontId="95" fillId="0" borderId="0" xfId="12" applyNumberFormat="1" applyFont="1" applyAlignment="1">
      <alignment horizontal="right"/>
    </xf>
    <xf numFmtId="166" fontId="5" fillId="0" borderId="0" xfId="12" quotePrefix="1" applyNumberFormat="1" applyFont="1"/>
    <xf numFmtId="168" fontId="5" fillId="0" borderId="119" xfId="12" quotePrefix="1" applyNumberFormat="1" applyFont="1" applyBorder="1"/>
    <xf numFmtId="223" fontId="5" fillId="0" borderId="119" xfId="12" applyNumberFormat="1" applyFont="1" applyBorder="1"/>
    <xf numFmtId="164" fontId="84" fillId="0" borderId="0" xfId="0" applyNumberFormat="1" applyFont="1" applyAlignment="1" applyProtection="1">
      <alignment horizontal="center" vertical="center"/>
      <protection locked="0"/>
    </xf>
    <xf numFmtId="164" fontId="89" fillId="0" borderId="37" xfId="0" applyNumberFormat="1" applyFont="1" applyBorder="1" applyAlignment="1" applyProtection="1">
      <alignment horizontal="center" vertical="center"/>
      <protection locked="0"/>
    </xf>
    <xf numFmtId="0" fontId="27" fillId="0" borderId="212" xfId="0" quotePrefix="1" applyFont="1" applyBorder="1" applyAlignment="1" applyProtection="1">
      <alignment horizontal="left"/>
      <protection hidden="1"/>
    </xf>
    <xf numFmtId="0" fontId="17" fillId="0" borderId="212" xfId="0" applyFont="1" applyBorder="1" applyAlignment="1" applyProtection="1">
      <alignment horizontal="left"/>
      <protection hidden="1"/>
    </xf>
    <xf numFmtId="0" fontId="17" fillId="0" borderId="212" xfId="0" applyFont="1" applyBorder="1" applyProtection="1">
      <protection hidden="1"/>
    </xf>
    <xf numFmtId="38" fontId="26" fillId="0" borderId="212" xfId="0" applyNumberFormat="1" applyFont="1" applyBorder="1" applyAlignment="1" applyProtection="1">
      <alignment horizontal="right"/>
      <protection hidden="1"/>
    </xf>
    <xf numFmtId="40" fontId="26" fillId="0" borderId="212" xfId="0" applyNumberFormat="1" applyFont="1" applyBorder="1" applyAlignment="1" applyProtection="1">
      <alignment horizontal="right"/>
      <protection hidden="1"/>
    </xf>
    <xf numFmtId="168" fontId="26" fillId="0" borderId="212" xfId="0" applyNumberFormat="1" applyFont="1" applyBorder="1" applyAlignment="1" applyProtection="1">
      <alignment horizontal="right"/>
      <protection hidden="1"/>
    </xf>
    <xf numFmtId="0" fontId="17" fillId="0" borderId="0" xfId="0" quotePrefix="1" applyFont="1" applyAlignment="1" applyProtection="1">
      <alignment horizontal="left" indent="1"/>
      <protection hidden="1"/>
    </xf>
    <xf numFmtId="202" fontId="17" fillId="0" borderId="0" xfId="0" applyNumberFormat="1" applyFont="1" applyProtection="1">
      <protection hidden="1"/>
    </xf>
    <xf numFmtId="168" fontId="17" fillId="0" borderId="0" xfId="0" applyNumberFormat="1" applyFont="1" applyProtection="1">
      <protection hidden="1"/>
    </xf>
    <xf numFmtId="10" fontId="26" fillId="0" borderId="0" xfId="0" applyNumberFormat="1" applyFont="1" applyAlignment="1" applyProtection="1">
      <alignment horizontal="right"/>
      <protection hidden="1"/>
    </xf>
    <xf numFmtId="4" fontId="17" fillId="0" borderId="0" xfId="0" applyNumberFormat="1" applyFont="1" applyProtection="1">
      <protection hidden="1"/>
    </xf>
    <xf numFmtId="0" fontId="17" fillId="0" borderId="0" xfId="0" applyFont="1" applyAlignment="1" applyProtection="1">
      <alignment horizontal="left" indent="1"/>
      <protection hidden="1"/>
    </xf>
    <xf numFmtId="0" fontId="17" fillId="0" borderId="4" xfId="0" applyFont="1" applyBorder="1" applyAlignment="1" applyProtection="1">
      <alignment horizontal="left" vertical="center"/>
      <protection hidden="1"/>
    </xf>
    <xf numFmtId="184" fontId="17" fillId="0" borderId="4" xfId="0" applyNumberFormat="1" applyFont="1" applyBorder="1" applyAlignment="1" applyProtection="1">
      <alignment vertical="center"/>
      <protection hidden="1"/>
    </xf>
    <xf numFmtId="202" fontId="17" fillId="0" borderId="4" xfId="0" applyNumberFormat="1" applyFont="1" applyBorder="1" applyAlignment="1" applyProtection="1">
      <alignment vertical="center"/>
      <protection hidden="1"/>
    </xf>
    <xf numFmtId="168" fontId="17" fillId="0" borderId="4" xfId="0" applyNumberFormat="1" applyFont="1" applyBorder="1" applyAlignment="1" applyProtection="1">
      <alignment vertical="center"/>
      <protection hidden="1"/>
    </xf>
    <xf numFmtId="0" fontId="17" fillId="0" borderId="0" xfId="0" quotePrefix="1" applyFont="1" applyAlignment="1" applyProtection="1">
      <alignment horizontal="right" indent="2"/>
      <protection hidden="1"/>
    </xf>
    <xf numFmtId="0" fontId="27" fillId="0" borderId="212" xfId="0" applyFont="1" applyBorder="1" applyAlignment="1" applyProtection="1">
      <alignment horizontal="right"/>
      <protection hidden="1"/>
    </xf>
    <xf numFmtId="38" fontId="27" fillId="0" borderId="214" xfId="0" applyNumberFormat="1" applyFont="1" applyBorder="1" applyAlignment="1" applyProtection="1">
      <alignment horizontal="right"/>
      <protection hidden="1"/>
    </xf>
    <xf numFmtId="38" fontId="27" fillId="0" borderId="215" xfId="0" applyNumberFormat="1" applyFont="1" applyBorder="1" applyAlignment="1" applyProtection="1">
      <alignment horizontal="right"/>
      <protection hidden="1"/>
    </xf>
    <xf numFmtId="38" fontId="27" fillId="0" borderId="212" xfId="0" applyNumberFormat="1" applyFont="1" applyBorder="1" applyAlignment="1" applyProtection="1">
      <alignment horizontal="right"/>
      <protection hidden="1"/>
    </xf>
    <xf numFmtId="0" fontId="17" fillId="0" borderId="0" xfId="0" quotePrefix="1" applyFont="1" applyProtection="1">
      <protection hidden="1"/>
    </xf>
    <xf numFmtId="184" fontId="17" fillId="0" borderId="216" xfId="0" applyNumberFormat="1" applyFont="1" applyBorder="1" applyProtection="1">
      <protection hidden="1"/>
    </xf>
    <xf numFmtId="184" fontId="17" fillId="0" borderId="217" xfId="0" applyNumberFormat="1" applyFont="1" applyBorder="1" applyProtection="1">
      <protection hidden="1"/>
    </xf>
    <xf numFmtId="10" fontId="17" fillId="0" borderId="0" xfId="0" applyNumberFormat="1" applyFont="1" applyProtection="1">
      <protection hidden="1"/>
    </xf>
    <xf numFmtId="10" fontId="17" fillId="0" borderId="216" xfId="0" applyNumberFormat="1" applyFont="1" applyBorder="1" applyProtection="1">
      <protection hidden="1"/>
    </xf>
    <xf numFmtId="10" fontId="17" fillId="0" borderId="217" xfId="0" applyNumberFormat="1" applyFont="1" applyBorder="1" applyProtection="1">
      <protection hidden="1"/>
    </xf>
    <xf numFmtId="10" fontId="78" fillId="0" borderId="0" xfId="0" applyNumberFormat="1" applyFont="1" applyProtection="1">
      <protection hidden="1"/>
    </xf>
    <xf numFmtId="180" fontId="17" fillId="0" borderId="0" xfId="4" applyNumberFormat="1" applyFont="1" applyFill="1" applyBorder="1" applyAlignment="1" applyProtection="1">
      <alignment horizontal="right" vertical="center"/>
    </xf>
    <xf numFmtId="164" fontId="44" fillId="11" borderId="37" xfId="0" applyNumberFormat="1" applyFont="1" applyFill="1" applyBorder="1" applyAlignment="1" applyProtection="1">
      <alignment horizontal="right"/>
      <protection locked="0"/>
    </xf>
    <xf numFmtId="0" fontId="98" fillId="0" borderId="0" xfId="14" applyAlignment="1" applyProtection="1">
      <alignment horizontal="right"/>
    </xf>
    <xf numFmtId="0" fontId="101" fillId="0" borderId="0" xfId="0" applyFont="1"/>
    <xf numFmtId="173" fontId="44" fillId="11" borderId="37" xfId="4" applyNumberFormat="1" applyAlignment="1">
      <alignment vertical="center"/>
      <protection locked="0"/>
    </xf>
    <xf numFmtId="10" fontId="44" fillId="11" borderId="38" xfId="0" applyNumberFormat="1" applyFont="1" applyFill="1" applyBorder="1" applyAlignment="1" applyProtection="1">
      <alignment horizontal="center"/>
      <protection locked="0"/>
    </xf>
    <xf numFmtId="10" fontId="44" fillId="11" borderId="71" xfId="0" applyNumberFormat="1" applyFont="1" applyFill="1" applyBorder="1" applyAlignment="1" applyProtection="1">
      <alignment horizontal="center"/>
      <protection locked="0"/>
    </xf>
    <xf numFmtId="0" fontId="4" fillId="14" borderId="0" xfId="12" applyFont="1" applyFill="1" applyProtection="1">
      <protection locked="0"/>
    </xf>
    <xf numFmtId="0" fontId="71" fillId="14" borderId="0" xfId="12" applyFont="1" applyFill="1" applyProtection="1">
      <protection locked="0"/>
    </xf>
    <xf numFmtId="0" fontId="4" fillId="14" borderId="0" xfId="12" applyFont="1" applyFill="1" applyAlignment="1" applyProtection="1">
      <alignment horizontal="center"/>
      <protection locked="0"/>
    </xf>
    <xf numFmtId="0" fontId="79" fillId="15" borderId="0" xfId="12" applyFont="1" applyFill="1" applyProtection="1">
      <protection locked="0"/>
    </xf>
    <xf numFmtId="0" fontId="4" fillId="0" borderId="0" xfId="12" applyFont="1" applyProtection="1">
      <protection locked="0"/>
    </xf>
    <xf numFmtId="0" fontId="4" fillId="0" borderId="0" xfId="12" applyFont="1" applyAlignment="1" applyProtection="1">
      <alignment horizontal="center"/>
      <protection locked="0"/>
    </xf>
    <xf numFmtId="0" fontId="79" fillId="3" borderId="0" xfId="12" applyFont="1" applyFill="1" applyProtection="1">
      <protection locked="0"/>
    </xf>
    <xf numFmtId="0" fontId="71" fillId="16" borderId="0" xfId="12" applyFont="1" applyFill="1" applyProtection="1">
      <protection locked="0"/>
    </xf>
    <xf numFmtId="0" fontId="70" fillId="16" borderId="0" xfId="12" applyFont="1" applyFill="1" applyProtection="1">
      <protection locked="0"/>
    </xf>
    <xf numFmtId="0" fontId="70" fillId="16" borderId="0" xfId="12" applyFont="1" applyFill="1" applyAlignment="1" applyProtection="1">
      <alignment horizontal="center"/>
      <protection locked="0"/>
    </xf>
    <xf numFmtId="0" fontId="80" fillId="16" borderId="0" xfId="12" applyFont="1" applyFill="1" applyProtection="1">
      <protection locked="0"/>
    </xf>
    <xf numFmtId="0" fontId="76" fillId="0" borderId="0" xfId="12" applyFont="1" applyProtection="1">
      <protection locked="0"/>
    </xf>
    <xf numFmtId="0" fontId="80" fillId="0" borderId="0" xfId="12" applyFont="1" applyProtection="1">
      <protection locked="0"/>
    </xf>
    <xf numFmtId="0" fontId="79" fillId="0" borderId="0" xfId="12" applyFont="1" applyProtection="1">
      <protection locked="0"/>
    </xf>
    <xf numFmtId="0" fontId="73" fillId="0" borderId="1" xfId="0" applyFont="1" applyBorder="1" applyProtection="1">
      <protection locked="0"/>
    </xf>
    <xf numFmtId="0" fontId="4" fillId="0" borderId="1" xfId="0" applyFont="1" applyBorder="1" applyProtection="1">
      <protection locked="0"/>
    </xf>
    <xf numFmtId="0" fontId="73" fillId="0" borderId="1" xfId="0" applyFont="1" applyBorder="1" applyAlignment="1" applyProtection="1">
      <alignment horizontal="center"/>
      <protection locked="0"/>
    </xf>
    <xf numFmtId="0" fontId="73" fillId="0" borderId="1" xfId="0" applyFont="1" applyBorder="1" applyAlignment="1" applyProtection="1">
      <alignment horizontal="right"/>
      <protection locked="0"/>
    </xf>
    <xf numFmtId="0" fontId="81" fillId="0" borderId="0" xfId="12" applyFont="1" applyProtection="1">
      <protection locked="0"/>
    </xf>
    <xf numFmtId="0" fontId="4" fillId="0" borderId="0" xfId="12" applyFont="1" applyAlignment="1" applyProtection="1">
      <alignment horizontal="right"/>
      <protection locked="0"/>
    </xf>
    <xf numFmtId="0" fontId="4" fillId="0" borderId="138" xfId="13" applyFont="1" applyBorder="1" applyAlignment="1" applyProtection="1">
      <alignment vertical="center"/>
      <protection locked="0"/>
    </xf>
    <xf numFmtId="0" fontId="4" fillId="0" borderId="6" xfId="13" applyFont="1" applyBorder="1" applyAlignment="1" applyProtection="1">
      <alignment vertical="center"/>
      <protection locked="0"/>
    </xf>
    <xf numFmtId="0" fontId="4" fillId="0" borderId="139" xfId="13" applyFont="1" applyBorder="1" applyAlignment="1" applyProtection="1">
      <alignment vertical="center"/>
      <protection locked="0"/>
    </xf>
    <xf numFmtId="0" fontId="82" fillId="0" borderId="0" xfId="13" applyFont="1" applyAlignment="1" applyProtection="1">
      <alignment horizontal="right" vertical="center"/>
      <protection locked="0"/>
    </xf>
    <xf numFmtId="0" fontId="4" fillId="0" borderId="0" xfId="0" applyFont="1" applyAlignment="1" applyProtection="1">
      <alignment horizontal="center"/>
      <protection locked="0"/>
    </xf>
    <xf numFmtId="14" fontId="83" fillId="0" borderId="0" xfId="0" applyNumberFormat="1" applyFont="1" applyProtection="1">
      <protection locked="0"/>
    </xf>
    <xf numFmtId="38" fontId="4" fillId="0" borderId="28" xfId="12" applyNumberFormat="1" applyFont="1" applyBorder="1" applyProtection="1">
      <protection locked="0"/>
    </xf>
    <xf numFmtId="1" fontId="84" fillId="0" borderId="134" xfId="0" applyNumberFormat="1" applyFont="1" applyBorder="1" applyProtection="1">
      <protection locked="0"/>
    </xf>
    <xf numFmtId="0" fontId="4" fillId="0" borderId="28" xfId="13" applyFont="1" applyBorder="1" applyAlignment="1" applyProtection="1">
      <alignment vertical="center"/>
      <protection locked="0"/>
    </xf>
    <xf numFmtId="0" fontId="4" fillId="0" borderId="119" xfId="13" applyFont="1" applyBorder="1" applyAlignment="1" applyProtection="1">
      <alignment vertical="center"/>
      <protection locked="0"/>
    </xf>
    <xf numFmtId="41" fontId="4" fillId="0" borderId="134" xfId="13" applyNumberFormat="1" applyFont="1" applyBorder="1" applyAlignment="1" applyProtection="1">
      <alignment vertical="center"/>
      <protection locked="0"/>
    </xf>
    <xf numFmtId="184" fontId="4" fillId="0" borderId="0" xfId="13" applyNumberFormat="1" applyFont="1" applyAlignment="1" applyProtection="1">
      <alignment vertical="center"/>
      <protection locked="0"/>
    </xf>
    <xf numFmtId="0" fontId="57" fillId="0" borderId="0" xfId="12" applyFont="1" applyProtection="1">
      <protection locked="0"/>
    </xf>
    <xf numFmtId="1" fontId="84" fillId="0" borderId="0" xfId="0" applyNumberFormat="1" applyFont="1" applyProtection="1">
      <protection locked="0"/>
    </xf>
    <xf numFmtId="0" fontId="4" fillId="0" borderId="29" xfId="12" applyFont="1" applyBorder="1" applyProtection="1">
      <protection locked="0"/>
    </xf>
    <xf numFmtId="1" fontId="84" fillId="0" borderId="135" xfId="0" applyNumberFormat="1" applyFont="1" applyBorder="1" applyProtection="1">
      <protection locked="0"/>
    </xf>
    <xf numFmtId="0" fontId="4" fillId="0" borderId="29" xfId="13" applyFont="1" applyBorder="1" applyAlignment="1" applyProtection="1">
      <alignment vertical="center"/>
      <protection locked="0"/>
    </xf>
    <xf numFmtId="0" fontId="4" fillId="0" borderId="0" xfId="13" applyFont="1" applyAlignment="1" applyProtection="1">
      <alignment vertical="center"/>
      <protection locked="0"/>
    </xf>
    <xf numFmtId="38" fontId="4" fillId="0" borderId="135" xfId="13" applyNumberFormat="1" applyFont="1" applyBorder="1" applyAlignment="1" applyProtection="1">
      <alignment vertical="center"/>
      <protection locked="0"/>
    </xf>
    <xf numFmtId="14" fontId="85" fillId="0" borderId="0" xfId="0" applyNumberFormat="1" applyFont="1" applyProtection="1">
      <protection locked="0"/>
    </xf>
    <xf numFmtId="167" fontId="4" fillId="0" borderId="135" xfId="13" applyNumberFormat="1" applyFont="1" applyBorder="1" applyAlignment="1" applyProtection="1">
      <alignment vertical="center"/>
      <protection locked="0"/>
    </xf>
    <xf numFmtId="14" fontId="5" fillId="0" borderId="0" xfId="12" applyNumberFormat="1" applyFont="1" applyProtection="1">
      <protection locked="0"/>
    </xf>
    <xf numFmtId="168" fontId="4" fillId="0" borderId="135" xfId="13" applyNumberFormat="1" applyFont="1" applyBorder="1" applyAlignment="1" applyProtection="1">
      <alignment vertical="center"/>
      <protection locked="0"/>
    </xf>
    <xf numFmtId="14" fontId="73" fillId="0" borderId="1" xfId="0" applyNumberFormat="1" applyFont="1" applyBorder="1" applyProtection="1">
      <protection locked="0"/>
    </xf>
    <xf numFmtId="19" fontId="4" fillId="0" borderId="1" xfId="0" applyNumberFormat="1" applyFont="1" applyBorder="1" applyProtection="1">
      <protection locked="0"/>
    </xf>
    <xf numFmtId="0" fontId="4" fillId="0" borderId="0" xfId="0" applyFont="1" applyAlignment="1" applyProtection="1">
      <alignment horizontal="left"/>
      <protection locked="0"/>
    </xf>
    <xf numFmtId="168" fontId="5" fillId="0" borderId="0" xfId="0" applyNumberFormat="1" applyFont="1" applyProtection="1">
      <protection locked="0"/>
    </xf>
    <xf numFmtId="168" fontId="84" fillId="0" borderId="0" xfId="0" applyNumberFormat="1" applyFont="1" applyProtection="1">
      <protection locked="0"/>
    </xf>
    <xf numFmtId="0" fontId="5" fillId="0" borderId="0" xfId="0" applyFont="1" applyProtection="1">
      <protection locked="0"/>
    </xf>
    <xf numFmtId="0" fontId="5" fillId="0" borderId="0" xfId="0" applyFont="1" applyAlignment="1" applyProtection="1">
      <alignment horizontal="center"/>
      <protection locked="0"/>
    </xf>
    <xf numFmtId="41" fontId="84" fillId="0" borderId="0" xfId="12" applyNumberFormat="1" applyFont="1" applyProtection="1">
      <protection locked="0"/>
    </xf>
    <xf numFmtId="41" fontId="4" fillId="0" borderId="0" xfId="12" applyNumberFormat="1" applyFont="1" applyProtection="1">
      <protection locked="0"/>
    </xf>
    <xf numFmtId="216" fontId="4" fillId="0" borderId="135" xfId="13" applyNumberFormat="1" applyFont="1" applyBorder="1" applyAlignment="1" applyProtection="1">
      <alignment vertical="center"/>
      <protection locked="0"/>
    </xf>
    <xf numFmtId="10" fontId="4" fillId="0" borderId="135" xfId="13" applyNumberFormat="1" applyFont="1" applyBorder="1" applyAlignment="1" applyProtection="1">
      <alignment vertical="center"/>
      <protection locked="0"/>
    </xf>
    <xf numFmtId="10" fontId="84" fillId="0" borderId="0" xfId="12" applyNumberFormat="1" applyFont="1" applyProtection="1">
      <protection locked="0"/>
    </xf>
    <xf numFmtId="0" fontId="4" fillId="0" borderId="136" xfId="13" applyFont="1" applyBorder="1" applyAlignment="1" applyProtection="1">
      <alignment vertical="center"/>
      <protection locked="0"/>
    </xf>
    <xf numFmtId="0" fontId="4" fillId="0" borderId="1" xfId="13" applyFont="1" applyBorder="1" applyAlignment="1" applyProtection="1">
      <alignment vertical="center"/>
      <protection locked="0"/>
    </xf>
    <xf numFmtId="10" fontId="4" fillId="0" borderId="137" xfId="13" applyNumberFormat="1" applyFont="1" applyBorder="1" applyAlignment="1" applyProtection="1">
      <alignment vertical="center"/>
      <protection locked="0"/>
    </xf>
    <xf numFmtId="41" fontId="5" fillId="0" borderId="0" xfId="12" applyNumberFormat="1" applyFont="1" applyProtection="1">
      <protection locked="0"/>
    </xf>
    <xf numFmtId="168" fontId="4" fillId="0" borderId="134" xfId="13" applyNumberFormat="1" applyFont="1" applyBorder="1" applyAlignment="1" applyProtection="1">
      <alignment vertical="center"/>
      <protection locked="0"/>
    </xf>
    <xf numFmtId="0" fontId="4" fillId="0" borderId="0" xfId="12" applyFont="1" applyAlignment="1" applyProtection="1">
      <alignment horizontal="left" indent="1"/>
      <protection locked="0"/>
    </xf>
    <xf numFmtId="168" fontId="84" fillId="0" borderId="0" xfId="12" applyNumberFormat="1" applyFont="1" applyProtection="1">
      <protection locked="0"/>
    </xf>
    <xf numFmtId="168" fontId="4" fillId="0" borderId="137" xfId="13" applyNumberFormat="1" applyFont="1" applyBorder="1" applyAlignment="1" applyProtection="1">
      <alignment vertical="center"/>
      <protection locked="0"/>
    </xf>
    <xf numFmtId="0" fontId="4" fillId="0" borderId="0" xfId="13" applyFont="1" applyProtection="1">
      <protection locked="0"/>
    </xf>
    <xf numFmtId="206" fontId="4" fillId="0" borderId="140" xfId="13" applyNumberFormat="1" applyFont="1" applyBorder="1" applyAlignment="1" applyProtection="1">
      <alignment horizontal="right" vertical="center"/>
      <protection locked="0"/>
    </xf>
    <xf numFmtId="9" fontId="4" fillId="0" borderId="0" xfId="13" applyNumberFormat="1" applyFont="1" applyAlignment="1" applyProtection="1">
      <alignment vertical="center"/>
      <protection locked="0"/>
    </xf>
    <xf numFmtId="206" fontId="4" fillId="0" borderId="0" xfId="13" applyNumberFormat="1" applyFont="1" applyAlignment="1" applyProtection="1">
      <alignment vertical="center"/>
      <protection locked="0"/>
    </xf>
    <xf numFmtId="10" fontId="4" fillId="0" borderId="0" xfId="13" applyNumberFormat="1" applyFont="1" applyAlignment="1" applyProtection="1">
      <alignment vertical="center"/>
      <protection locked="0"/>
    </xf>
    <xf numFmtId="9" fontId="4" fillId="0" borderId="6" xfId="13" applyNumberFormat="1" applyFont="1" applyBorder="1" applyAlignment="1" applyProtection="1">
      <alignment vertical="center"/>
      <protection locked="0"/>
    </xf>
    <xf numFmtId="206" fontId="4" fillId="0" borderId="6" xfId="13" applyNumberFormat="1" applyFont="1" applyBorder="1" applyAlignment="1" applyProtection="1">
      <alignment vertical="center"/>
      <protection locked="0"/>
    </xf>
    <xf numFmtId="0" fontId="94" fillId="0" borderId="0" xfId="12" applyFont="1" applyProtection="1">
      <protection locked="0"/>
    </xf>
    <xf numFmtId="0" fontId="4" fillId="0" borderId="0" xfId="0" applyFont="1" applyAlignment="1" applyProtection="1">
      <alignment horizontal="left" indent="1"/>
      <protection locked="0"/>
    </xf>
    <xf numFmtId="10" fontId="84" fillId="0" borderId="0" xfId="0" applyNumberFormat="1" applyFont="1" applyProtection="1">
      <protection locked="0"/>
    </xf>
    <xf numFmtId="10" fontId="5" fillId="0" borderId="0" xfId="0" applyNumberFormat="1" applyFont="1" applyProtection="1">
      <protection locked="0"/>
    </xf>
    <xf numFmtId="10" fontId="84" fillId="33" borderId="0" xfId="0" applyNumberFormat="1" applyFont="1" applyFill="1" applyProtection="1">
      <protection locked="0"/>
    </xf>
    <xf numFmtId="0" fontId="4" fillId="0" borderId="136" xfId="12" applyFont="1" applyBorder="1" applyProtection="1">
      <protection locked="0"/>
    </xf>
    <xf numFmtId="1" fontId="84" fillId="0" borderId="137" xfId="0" applyNumberFormat="1" applyFont="1" applyBorder="1" applyProtection="1">
      <protection locked="0"/>
    </xf>
    <xf numFmtId="0" fontId="73" fillId="0" borderId="1" xfId="0" applyFont="1" applyBorder="1" applyAlignment="1" applyProtection="1">
      <alignment wrapText="1"/>
      <protection locked="0"/>
    </xf>
    <xf numFmtId="168" fontId="84" fillId="0" borderId="119" xfId="0" applyNumberFormat="1" applyFont="1" applyBorder="1" applyProtection="1">
      <protection locked="0"/>
    </xf>
    <xf numFmtId="214" fontId="84" fillId="0" borderId="0" xfId="0" applyNumberFormat="1" applyFont="1" applyProtection="1">
      <protection locked="0"/>
    </xf>
    <xf numFmtId="0" fontId="73" fillId="0" borderId="0" xfId="12" applyFont="1" applyProtection="1">
      <protection locked="0"/>
    </xf>
    <xf numFmtId="0" fontId="82" fillId="0" borderId="0" xfId="0" applyFont="1" applyAlignment="1" applyProtection="1">
      <alignment horizontal="center" wrapText="1"/>
      <protection locked="0"/>
    </xf>
    <xf numFmtId="0" fontId="86" fillId="0" borderId="0" xfId="12" applyFont="1" applyProtection="1">
      <protection locked="0"/>
    </xf>
    <xf numFmtId="1" fontId="84" fillId="0" borderId="119" xfId="0" applyNumberFormat="1" applyFont="1" applyBorder="1" applyProtection="1">
      <protection locked="0"/>
    </xf>
    <xf numFmtId="164" fontId="4" fillId="0" borderId="0" xfId="0" applyNumberFormat="1" applyFont="1" applyAlignment="1" applyProtection="1">
      <alignment horizontal="center"/>
      <protection locked="0"/>
    </xf>
    <xf numFmtId="1" fontId="85" fillId="0" borderId="135" xfId="0" applyNumberFormat="1" applyFont="1" applyBorder="1" applyProtection="1">
      <protection locked="0"/>
    </xf>
    <xf numFmtId="0" fontId="81" fillId="0" borderId="135" xfId="12" applyFont="1" applyBorder="1" applyProtection="1">
      <protection locked="0"/>
    </xf>
    <xf numFmtId="0" fontId="4" fillId="0" borderId="119" xfId="12" applyFont="1" applyBorder="1" applyProtection="1">
      <protection locked="0"/>
    </xf>
    <xf numFmtId="0" fontId="87" fillId="0" borderId="0" xfId="12" applyFont="1" applyProtection="1">
      <protection locked="0"/>
    </xf>
    <xf numFmtId="0" fontId="88" fillId="0" borderId="0" xfId="12" applyFont="1" applyProtection="1">
      <protection locked="0"/>
    </xf>
    <xf numFmtId="10" fontId="84" fillId="0" borderId="140" xfId="0" applyNumberFormat="1" applyFont="1" applyBorder="1" applyAlignment="1" applyProtection="1">
      <alignment horizontal="right"/>
      <protection locked="0"/>
    </xf>
    <xf numFmtId="0" fontId="4" fillId="0" borderId="0" xfId="0" applyFont="1" applyAlignment="1" applyProtection="1">
      <alignment wrapText="1"/>
      <protection locked="0"/>
    </xf>
    <xf numFmtId="0" fontId="82" fillId="0" borderId="0" xfId="0" applyFont="1" applyAlignment="1" applyProtection="1">
      <alignment horizontal="right" wrapText="1"/>
      <protection locked="0"/>
    </xf>
    <xf numFmtId="38" fontId="4" fillId="0" borderId="28" xfId="0" applyNumberFormat="1" applyFont="1" applyBorder="1" applyProtection="1">
      <protection locked="0"/>
    </xf>
    <xf numFmtId="164" fontId="4" fillId="0" borderId="119" xfId="0" applyNumberFormat="1" applyFont="1" applyBorder="1" applyAlignment="1" applyProtection="1">
      <alignment horizontal="right"/>
      <protection locked="0"/>
    </xf>
    <xf numFmtId="10" fontId="89" fillId="0" borderId="141" xfId="0" applyNumberFormat="1" applyFont="1" applyBorder="1" applyAlignment="1" applyProtection="1">
      <alignment horizontal="right"/>
      <protection locked="0"/>
    </xf>
    <xf numFmtId="10" fontId="4" fillId="0" borderId="134" xfId="0" applyNumberFormat="1" applyFont="1" applyBorder="1" applyAlignment="1" applyProtection="1">
      <alignment horizontal="right"/>
      <protection locked="0"/>
    </xf>
    <xf numFmtId="0" fontId="4" fillId="0" borderId="29" xfId="0" applyFont="1" applyBorder="1" applyProtection="1">
      <protection locked="0"/>
    </xf>
    <xf numFmtId="164" fontId="4" fillId="0" borderId="0" xfId="0" applyNumberFormat="1" applyFont="1" applyAlignment="1" applyProtection="1">
      <alignment horizontal="right"/>
      <protection locked="0"/>
    </xf>
    <xf numFmtId="10" fontId="84" fillId="0" borderId="0" xfId="0" applyNumberFormat="1" applyFont="1" applyAlignment="1" applyProtection="1">
      <alignment horizontal="right"/>
      <protection locked="0"/>
    </xf>
    <xf numFmtId="10" fontId="4" fillId="0" borderId="135" xfId="0" applyNumberFormat="1" applyFont="1" applyBorder="1" applyAlignment="1" applyProtection="1">
      <alignment horizontal="right"/>
      <protection locked="0"/>
    </xf>
    <xf numFmtId="0" fontId="69" fillId="0" borderId="0" xfId="12" applyProtection="1">
      <protection locked="0"/>
    </xf>
    <xf numFmtId="1" fontId="90" fillId="0" borderId="0" xfId="0" applyNumberFormat="1" applyFont="1" applyProtection="1">
      <protection locked="0"/>
    </xf>
    <xf numFmtId="10" fontId="4" fillId="0" borderId="0" xfId="0" applyNumberFormat="1" applyFont="1" applyAlignment="1" applyProtection="1">
      <alignment horizontal="right"/>
      <protection locked="0"/>
    </xf>
    <xf numFmtId="0" fontId="69" fillId="0" borderId="0" xfId="12" applyAlignment="1" applyProtection="1">
      <alignment horizontal="center"/>
      <protection locked="0"/>
    </xf>
    <xf numFmtId="0" fontId="79" fillId="0" borderId="0" xfId="12" applyFont="1" applyAlignment="1" applyProtection="1">
      <alignment horizontal="center"/>
      <protection locked="0"/>
    </xf>
    <xf numFmtId="0" fontId="71" fillId="25" borderId="0" xfId="0" applyFont="1" applyFill="1" applyAlignment="1" applyProtection="1">
      <alignment horizontal="left"/>
      <protection locked="0"/>
    </xf>
    <xf numFmtId="0" fontId="70" fillId="25" borderId="0" xfId="0" applyFont="1" applyFill="1" applyAlignment="1" applyProtection="1">
      <alignment horizontal="center"/>
      <protection locked="0"/>
    </xf>
    <xf numFmtId="0" fontId="70" fillId="25" borderId="0" xfId="0" applyFont="1" applyFill="1" applyAlignment="1" applyProtection="1">
      <alignment horizontal="left"/>
      <protection locked="0"/>
    </xf>
    <xf numFmtId="0" fontId="70" fillId="25" borderId="0" xfId="0" applyFont="1" applyFill="1" applyProtection="1">
      <protection locked="0"/>
    </xf>
    <xf numFmtId="0" fontId="0" fillId="26" borderId="0" xfId="0" applyFill="1" applyProtection="1">
      <protection locked="0"/>
    </xf>
    <xf numFmtId="0" fontId="37" fillId="26" borderId="0" xfId="0" applyFont="1" applyFill="1" applyProtection="1">
      <protection locked="0"/>
    </xf>
    <xf numFmtId="0" fontId="16" fillId="26" borderId="0" xfId="0" applyFont="1" applyFill="1" applyAlignment="1" applyProtection="1">
      <alignment horizontal="left"/>
      <protection locked="0"/>
    </xf>
    <xf numFmtId="0" fontId="0" fillId="26" borderId="0" xfId="0" applyFill="1" applyAlignment="1" applyProtection="1">
      <alignment horizontal="center"/>
      <protection locked="0"/>
    </xf>
    <xf numFmtId="0" fontId="0" fillId="26" borderId="0" xfId="0" applyFill="1" applyAlignment="1" applyProtection="1">
      <alignment horizontal="left"/>
      <protection locked="0"/>
    </xf>
    <xf numFmtId="3" fontId="0" fillId="26" borderId="0" xfId="0" applyNumberFormat="1" applyFill="1" applyProtection="1">
      <protection locked="0"/>
    </xf>
    <xf numFmtId="0" fontId="95" fillId="26" borderId="0" xfId="0" applyFont="1" applyFill="1" applyProtection="1">
      <protection locked="0"/>
    </xf>
    <xf numFmtId="10" fontId="0" fillId="28" borderId="0" xfId="8" applyNumberFormat="1" applyFont="1" applyFill="1" applyProtection="1">
      <protection locked="0"/>
    </xf>
    <xf numFmtId="10" fontId="0" fillId="26" borderId="0" xfId="0" applyNumberFormat="1" applyFill="1" applyProtection="1">
      <protection locked="0"/>
    </xf>
    <xf numFmtId="4" fontId="0" fillId="28" borderId="0" xfId="0" applyNumberFormat="1" applyFill="1" applyAlignment="1" applyProtection="1">
      <alignment horizontal="left"/>
      <protection locked="0"/>
    </xf>
    <xf numFmtId="4" fontId="0" fillId="26" borderId="0" xfId="0" applyNumberFormat="1" applyFill="1" applyProtection="1">
      <protection locked="0"/>
    </xf>
    <xf numFmtId="4" fontId="0" fillId="26" borderId="0" xfId="0" applyNumberFormat="1" applyFill="1" applyAlignment="1" applyProtection="1">
      <alignment horizontal="left"/>
      <protection locked="0"/>
    </xf>
    <xf numFmtId="38" fontId="0" fillId="28" borderId="0" xfId="0" applyNumberFormat="1" applyFill="1" applyAlignment="1" applyProtection="1">
      <alignment horizontal="left"/>
      <protection locked="0"/>
    </xf>
    <xf numFmtId="38" fontId="0" fillId="26" borderId="0" xfId="0" applyNumberFormat="1" applyFill="1" applyProtection="1">
      <protection locked="0"/>
    </xf>
    <xf numFmtId="0" fontId="95" fillId="6" borderId="0" xfId="0" applyFont="1" applyFill="1" applyAlignment="1" applyProtection="1">
      <alignment horizontal="left"/>
      <protection locked="0"/>
    </xf>
    <xf numFmtId="0" fontId="95" fillId="6" borderId="0" xfId="0" applyFont="1" applyFill="1" applyAlignment="1" applyProtection="1">
      <alignment horizontal="center"/>
      <protection locked="0"/>
    </xf>
    <xf numFmtId="0" fontId="95" fillId="6" borderId="0" xfId="0" applyFont="1" applyFill="1" applyProtection="1">
      <protection locked="0"/>
    </xf>
    <xf numFmtId="0" fontId="57" fillId="28" borderId="0" xfId="0" applyFont="1" applyFill="1" applyAlignment="1" applyProtection="1">
      <alignment horizontal="left"/>
      <protection locked="0"/>
    </xf>
    <xf numFmtId="0" fontId="95" fillId="28" borderId="0" xfId="0" applyFont="1" applyFill="1" applyAlignment="1" applyProtection="1">
      <alignment horizontal="center"/>
      <protection locked="0"/>
    </xf>
    <xf numFmtId="0" fontId="95" fillId="28" borderId="0" xfId="0" applyFont="1" applyFill="1" applyAlignment="1" applyProtection="1">
      <alignment horizontal="left"/>
      <protection locked="0"/>
    </xf>
    <xf numFmtId="0" fontId="95" fillId="28" borderId="0" xfId="0" applyFont="1" applyFill="1" applyProtection="1">
      <protection locked="0"/>
    </xf>
    <xf numFmtId="14" fontId="0" fillId="26" borderId="0" xfId="0" applyNumberFormat="1" applyFill="1" applyAlignment="1" applyProtection="1">
      <alignment horizontal="left"/>
      <protection locked="0"/>
    </xf>
    <xf numFmtId="38" fontId="0" fillId="26" borderId="0" xfId="0" applyNumberFormat="1" applyFill="1" applyAlignment="1" applyProtection="1">
      <alignment horizontal="center"/>
      <protection locked="0"/>
    </xf>
    <xf numFmtId="9" fontId="0" fillId="26" borderId="0" xfId="8" applyFont="1" applyFill="1" applyAlignment="1" applyProtection="1">
      <alignment horizontal="center"/>
      <protection locked="0"/>
    </xf>
    <xf numFmtId="9" fontId="0" fillId="26" borderId="0" xfId="0" applyNumberFormat="1" applyFill="1" applyAlignment="1" applyProtection="1">
      <alignment horizontal="left"/>
      <protection locked="0"/>
    </xf>
    <xf numFmtId="9" fontId="0" fillId="26" borderId="0" xfId="0" applyNumberFormat="1" applyFill="1" applyAlignment="1" applyProtection="1">
      <alignment horizontal="center"/>
      <protection locked="0"/>
    </xf>
    <xf numFmtId="9" fontId="0" fillId="26" borderId="0" xfId="8" applyFont="1" applyFill="1" applyAlignment="1" applyProtection="1">
      <alignment horizontal="left"/>
      <protection locked="0"/>
    </xf>
    <xf numFmtId="10" fontId="0" fillId="26" borderId="0" xfId="0" applyNumberFormat="1" applyFill="1" applyAlignment="1" applyProtection="1">
      <alignment horizontal="center"/>
      <protection locked="0"/>
    </xf>
    <xf numFmtId="10" fontId="0" fillId="26" borderId="0" xfId="8" applyNumberFormat="1" applyFont="1" applyFill="1" applyAlignment="1" applyProtection="1">
      <alignment horizontal="left"/>
      <protection locked="0"/>
    </xf>
    <xf numFmtId="173" fontId="0" fillId="26" borderId="0" xfId="0" applyNumberFormat="1" applyFill="1" applyAlignment="1" applyProtection="1">
      <alignment horizontal="center"/>
      <protection locked="0"/>
    </xf>
    <xf numFmtId="15" fontId="0" fillId="26" borderId="0" xfId="8" applyNumberFormat="1" applyFont="1" applyFill="1" applyAlignment="1" applyProtection="1">
      <alignment horizontal="left"/>
      <protection locked="0"/>
    </xf>
    <xf numFmtId="8" fontId="0" fillId="26" borderId="0" xfId="0" applyNumberFormat="1" applyFill="1" applyAlignment="1" applyProtection="1">
      <alignment horizontal="center"/>
      <protection locked="0"/>
    </xf>
    <xf numFmtId="10" fontId="0" fillId="26" borderId="0" xfId="0" applyNumberFormat="1" applyFill="1" applyAlignment="1" applyProtection="1">
      <alignment horizontal="left"/>
      <protection locked="0"/>
    </xf>
    <xf numFmtId="0" fontId="95" fillId="26" borderId="0" xfId="0" applyFont="1" applyFill="1" applyAlignment="1" applyProtection="1">
      <alignment horizontal="left"/>
      <protection locked="0"/>
    </xf>
    <xf numFmtId="0" fontId="95" fillId="26" borderId="0" xfId="0" applyFont="1" applyFill="1" applyAlignment="1" applyProtection="1">
      <alignment horizontal="center"/>
      <protection locked="0"/>
    </xf>
    <xf numFmtId="0" fontId="4" fillId="0" borderId="138" xfId="0" applyFont="1" applyBorder="1"/>
    <xf numFmtId="218" fontId="4" fillId="0" borderId="139" xfId="0" applyNumberFormat="1" applyFont="1" applyBorder="1"/>
    <xf numFmtId="167" fontId="4" fillId="0" borderId="0" xfId="10" applyNumberFormat="1" applyFont="1" applyProtection="1"/>
    <xf numFmtId="0" fontId="4" fillId="29" borderId="0" xfId="0" applyFont="1" applyFill="1"/>
    <xf numFmtId="41" fontId="4" fillId="29" borderId="0" xfId="0" applyNumberFormat="1" applyFont="1" applyFill="1"/>
    <xf numFmtId="0" fontId="4" fillId="29" borderId="1" xfId="0" applyFont="1" applyFill="1" applyBorder="1"/>
    <xf numFmtId="41" fontId="4" fillId="29" borderId="1" xfId="0" applyNumberFormat="1" applyFont="1" applyFill="1" applyBorder="1"/>
    <xf numFmtId="0" fontId="4" fillId="30" borderId="0" xfId="0" applyFont="1" applyFill="1"/>
    <xf numFmtId="41" fontId="4" fillId="30" borderId="0" xfId="0" applyNumberFormat="1" applyFont="1" applyFill="1"/>
    <xf numFmtId="0" fontId="4" fillId="31" borderId="0" xfId="0" applyFont="1" applyFill="1"/>
    <xf numFmtId="41" fontId="4" fillId="31" borderId="0" xfId="0" applyNumberFormat="1" applyFont="1" applyFill="1"/>
    <xf numFmtId="0" fontId="4" fillId="32" borderId="0" xfId="0" applyFont="1" applyFill="1"/>
    <xf numFmtId="41" fontId="4" fillId="32" borderId="0" xfId="0" applyNumberFormat="1" applyFont="1" applyFill="1"/>
    <xf numFmtId="215" fontId="4" fillId="32" borderId="0" xfId="0" applyNumberFormat="1" applyFont="1" applyFill="1"/>
    <xf numFmtId="0" fontId="4" fillId="23" borderId="0" xfId="0" applyFont="1" applyFill="1"/>
    <xf numFmtId="41" fontId="4" fillId="23" borderId="0" xfId="0" applyNumberFormat="1" applyFont="1" applyFill="1"/>
    <xf numFmtId="8" fontId="4" fillId="23" borderId="0" xfId="0" applyNumberFormat="1" applyFont="1" applyFill="1"/>
    <xf numFmtId="0" fontId="73" fillId="33" borderId="0" xfId="0" applyFont="1" applyFill="1"/>
    <xf numFmtId="41" fontId="73" fillId="33" borderId="0" xfId="0" applyNumberFormat="1" applyFont="1" applyFill="1"/>
    <xf numFmtId="41" fontId="70" fillId="18" borderId="0" xfId="0" applyNumberFormat="1" applyFont="1" applyFill="1"/>
    <xf numFmtId="167" fontId="4" fillId="0" borderId="119" xfId="10" applyNumberFormat="1" applyFont="1" applyBorder="1" applyProtection="1"/>
    <xf numFmtId="0" fontId="73" fillId="29" borderId="0" xfId="0" applyFont="1" applyFill="1"/>
    <xf numFmtId="214" fontId="73" fillId="29" borderId="0" xfId="0" applyNumberFormat="1" applyFont="1" applyFill="1"/>
    <xf numFmtId="168" fontId="94" fillId="0" borderId="143" xfId="0" applyNumberFormat="1" applyFont="1" applyBorder="1"/>
    <xf numFmtId="0" fontId="4" fillId="0" borderId="183" xfId="0" applyFont="1" applyBorder="1"/>
    <xf numFmtId="0" fontId="55" fillId="21" borderId="183" xfId="0" applyFont="1" applyFill="1" applyBorder="1"/>
    <xf numFmtId="41" fontId="4" fillId="21" borderId="183" xfId="0" applyNumberFormat="1" applyFont="1" applyFill="1" applyBorder="1"/>
    <xf numFmtId="0" fontId="4" fillId="21" borderId="183" xfId="0" applyFont="1" applyFill="1" applyBorder="1"/>
    <xf numFmtId="0" fontId="82" fillId="0" borderId="0" xfId="0" applyFont="1"/>
    <xf numFmtId="41" fontId="0" fillId="0" borderId="0" xfId="0" applyNumberFormat="1"/>
    <xf numFmtId="41" fontId="5" fillId="3" borderId="0" xfId="0" applyNumberFormat="1" applyFont="1" applyFill="1" applyAlignment="1">
      <alignment horizontal="right"/>
    </xf>
    <xf numFmtId="41" fontId="5" fillId="3" borderId="0" xfId="0" applyNumberFormat="1" applyFont="1" applyFill="1"/>
    <xf numFmtId="43" fontId="4" fillId="0" borderId="0" xfId="0" applyNumberFormat="1" applyFont="1"/>
    <xf numFmtId="41" fontId="4" fillId="0" borderId="183" xfId="0" applyNumberFormat="1" applyFont="1" applyBorder="1"/>
    <xf numFmtId="0" fontId="94" fillId="0" borderId="0" xfId="0" applyFont="1"/>
    <xf numFmtId="0" fontId="4" fillId="0" borderId="144" xfId="0" applyFont="1" applyBorder="1"/>
    <xf numFmtId="0" fontId="94" fillId="0" borderId="144" xfId="0" applyFont="1" applyBorder="1"/>
    <xf numFmtId="41" fontId="4" fillId="0" borderId="144" xfId="0" applyNumberFormat="1" applyFont="1" applyBorder="1"/>
    <xf numFmtId="0" fontId="95" fillId="0" borderId="0" xfId="0" applyFont="1"/>
    <xf numFmtId="0" fontId="70" fillId="19" borderId="145" xfId="0" applyFont="1" applyFill="1" applyBorder="1" applyAlignment="1">
      <alignment horizontal="center" vertical="center"/>
    </xf>
    <xf numFmtId="41" fontId="4" fillId="3" borderId="0" xfId="0" applyNumberFormat="1" applyFont="1" applyFill="1" applyAlignment="1">
      <alignment horizontal="right"/>
    </xf>
    <xf numFmtId="41" fontId="4" fillId="3" borderId="0" xfId="0" applyNumberFormat="1" applyFont="1" applyFill="1"/>
    <xf numFmtId="167" fontId="4" fillId="0" borderId="119" xfId="0" applyNumberFormat="1" applyFont="1" applyBorder="1"/>
    <xf numFmtId="0" fontId="73" fillId="3" borderId="28" xfId="0" applyFont="1" applyFill="1" applyBorder="1"/>
    <xf numFmtId="168" fontId="73" fillId="3" borderId="134" xfId="0" applyNumberFormat="1" applyFont="1" applyFill="1" applyBorder="1"/>
    <xf numFmtId="0" fontId="73" fillId="3" borderId="136" xfId="0" applyFont="1" applyFill="1" applyBorder="1"/>
    <xf numFmtId="216" fontId="73" fillId="3" borderId="137" xfId="0" applyNumberFormat="1" applyFont="1" applyFill="1" applyBorder="1"/>
    <xf numFmtId="216" fontId="73" fillId="0" borderId="0" xfId="0" applyNumberFormat="1" applyFont="1"/>
    <xf numFmtId="41" fontId="73" fillId="0" borderId="119" xfId="0" applyNumberFormat="1" applyFont="1" applyBorder="1"/>
    <xf numFmtId="0" fontId="70" fillId="20" borderId="146" xfId="0" applyFont="1" applyFill="1" applyBorder="1"/>
    <xf numFmtId="41" fontId="70" fillId="20" borderId="146" xfId="0" applyNumberFormat="1" applyFont="1" applyFill="1" applyBorder="1"/>
    <xf numFmtId="0" fontId="70" fillId="20" borderId="0" xfId="0" applyFont="1" applyFill="1"/>
    <xf numFmtId="0" fontId="71" fillId="20" borderId="0" xfId="0" applyFont="1" applyFill="1"/>
    <xf numFmtId="41" fontId="70" fillId="20" borderId="0" xfId="0" applyNumberFormat="1" applyFont="1" applyFill="1"/>
    <xf numFmtId="0" fontId="4" fillId="0" borderId="146" xfId="0" applyFont="1" applyBorder="1"/>
    <xf numFmtId="41" fontId="4" fillId="0" borderId="146" xfId="0" applyNumberFormat="1" applyFont="1" applyBorder="1"/>
    <xf numFmtId="0" fontId="95" fillId="3" borderId="0" xfId="0" applyFont="1" applyFill="1" applyAlignment="1">
      <alignment vertical="center"/>
    </xf>
    <xf numFmtId="0" fontId="4" fillId="3" borderId="0" xfId="0" applyFont="1" applyFill="1"/>
    <xf numFmtId="0" fontId="4" fillId="3" borderId="0" xfId="0" applyFont="1" applyFill="1" applyAlignment="1">
      <alignment vertical="center"/>
    </xf>
    <xf numFmtId="14" fontId="4" fillId="3" borderId="0" xfId="0" applyNumberFormat="1" applyFont="1" applyFill="1" applyAlignment="1">
      <alignment vertical="center"/>
    </xf>
    <xf numFmtId="184" fontId="4" fillId="3" borderId="0" xfId="0" applyNumberFormat="1" applyFont="1" applyFill="1" applyAlignment="1">
      <alignment vertical="center"/>
    </xf>
    <xf numFmtId="10" fontId="4" fillId="3" borderId="0" xfId="0" applyNumberFormat="1" applyFont="1" applyFill="1" applyAlignment="1">
      <alignment vertical="center"/>
    </xf>
    <xf numFmtId="10" fontId="4" fillId="3" borderId="0" xfId="0" applyNumberFormat="1" applyFont="1" applyFill="1" applyAlignment="1">
      <alignment horizontal="right" vertical="center"/>
    </xf>
    <xf numFmtId="9" fontId="4" fillId="3" borderId="0" xfId="0" applyNumberFormat="1" applyFont="1" applyFill="1" applyAlignment="1">
      <alignment vertical="center"/>
    </xf>
    <xf numFmtId="168" fontId="4" fillId="3" borderId="0" xfId="0" applyNumberFormat="1" applyFont="1" applyFill="1" applyAlignment="1">
      <alignment vertical="center"/>
    </xf>
    <xf numFmtId="5" fontId="4" fillId="3" borderId="0" xfId="0" applyNumberFormat="1" applyFont="1" applyFill="1" applyAlignment="1">
      <alignment vertical="center"/>
    </xf>
    <xf numFmtId="216" fontId="4" fillId="3" borderId="0" xfId="0" applyNumberFormat="1" applyFont="1" applyFill="1" applyAlignment="1">
      <alignment vertical="center"/>
    </xf>
    <xf numFmtId="0" fontId="4" fillId="3" borderId="6" xfId="0" applyFont="1" applyFill="1" applyBorder="1" applyAlignment="1">
      <alignment vertical="center"/>
    </xf>
    <xf numFmtId="184" fontId="4" fillId="3" borderId="6" xfId="0" applyNumberFormat="1" applyFont="1" applyFill="1" applyBorder="1" applyAlignment="1">
      <alignment vertical="center"/>
    </xf>
    <xf numFmtId="0" fontId="0" fillId="34" borderId="0" xfId="0" applyFill="1"/>
    <xf numFmtId="10" fontId="0" fillId="34" borderId="0" xfId="0" applyNumberFormat="1" applyFill="1"/>
    <xf numFmtId="0" fontId="115" fillId="0" borderId="208" xfId="0" quotePrefix="1" applyFont="1" applyBorder="1" applyAlignment="1">
      <alignment horizontal="left"/>
    </xf>
    <xf numFmtId="0" fontId="115" fillId="0" borderId="208" xfId="0" quotePrefix="1" applyFont="1" applyBorder="1" applyAlignment="1">
      <alignment horizontal="center"/>
    </xf>
    <xf numFmtId="0" fontId="55" fillId="35" borderId="209" xfId="0" applyFont="1" applyFill="1" applyBorder="1" applyAlignment="1">
      <alignment vertical="center"/>
    </xf>
    <xf numFmtId="0" fontId="20" fillId="35" borderId="210" xfId="0" applyFont="1" applyFill="1" applyBorder="1"/>
    <xf numFmtId="0" fontId="55" fillId="35" borderId="210" xfId="0" applyFont="1" applyFill="1" applyBorder="1" applyAlignment="1">
      <alignment vertical="center"/>
    </xf>
    <xf numFmtId="0" fontId="55" fillId="35" borderId="211" xfId="0" applyFont="1" applyFill="1" applyBorder="1" applyAlignment="1">
      <alignment vertical="center"/>
    </xf>
    <xf numFmtId="0" fontId="25" fillId="0" borderId="213" xfId="0" applyFont="1" applyBorder="1" applyAlignment="1">
      <alignment vertical="center"/>
    </xf>
    <xf numFmtId="0" fontId="116" fillId="0" borderId="213" xfId="0" applyFont="1" applyBorder="1"/>
    <xf numFmtId="188" fontId="17" fillId="0" borderId="0" xfId="0" applyNumberFormat="1" applyFont="1" applyAlignment="1">
      <alignment horizontal="right" vertical="center"/>
    </xf>
    <xf numFmtId="220" fontId="17" fillId="0" borderId="0" xfId="0" applyNumberFormat="1" applyFont="1" applyAlignment="1">
      <alignment horizontal="right" vertical="center"/>
    </xf>
    <xf numFmtId="38" fontId="0" fillId="0" borderId="0" xfId="0" applyNumberFormat="1" applyAlignment="1">
      <alignment horizontal="right" vertical="center"/>
    </xf>
    <xf numFmtId="0" fontId="68" fillId="0" borderId="0" xfId="0" applyFont="1" applyAlignment="1">
      <alignment vertical="center"/>
    </xf>
    <xf numFmtId="10" fontId="17" fillId="0" borderId="0" xfId="0" applyNumberFormat="1" applyFont="1" applyAlignment="1">
      <alignment horizontal="right" vertical="center"/>
    </xf>
    <xf numFmtId="184" fontId="17" fillId="0" borderId="0" xfId="0" applyNumberFormat="1" applyFont="1" applyAlignment="1">
      <alignment vertical="center"/>
    </xf>
    <xf numFmtId="208" fontId="0" fillId="0" borderId="0" xfId="0" applyNumberFormat="1"/>
    <xf numFmtId="38" fontId="17" fillId="0" borderId="0" xfId="0" applyNumberFormat="1" applyFont="1" applyAlignment="1">
      <alignment vertical="center"/>
    </xf>
    <xf numFmtId="189" fontId="17" fillId="0" borderId="0" xfId="0" applyNumberFormat="1" applyFont="1" applyAlignment="1">
      <alignment horizontal="center"/>
    </xf>
    <xf numFmtId="8" fontId="17" fillId="0" borderId="0" xfId="0" applyNumberFormat="1" applyFont="1" applyAlignment="1">
      <alignment vertical="center"/>
    </xf>
    <xf numFmtId="9" fontId="17" fillId="0" borderId="0" xfId="0" applyNumberFormat="1" applyFont="1" applyAlignment="1">
      <alignment vertical="center"/>
    </xf>
    <xf numFmtId="0" fontId="17" fillId="0" borderId="218" xfId="0" applyFont="1" applyBorder="1" applyAlignment="1">
      <alignment vertical="center"/>
    </xf>
    <xf numFmtId="168" fontId="17" fillId="0" borderId="219" xfId="0" applyNumberFormat="1" applyFont="1" applyBorder="1" applyAlignment="1">
      <alignment vertical="center"/>
    </xf>
    <xf numFmtId="0" fontId="17" fillId="0" borderId="219" xfId="0" applyFont="1" applyBorder="1" applyAlignment="1">
      <alignment vertical="center"/>
    </xf>
    <xf numFmtId="168" fontId="17" fillId="0" borderId="220" xfId="0" applyNumberFormat="1" applyFont="1" applyBorder="1" applyAlignment="1">
      <alignment vertical="center"/>
    </xf>
    <xf numFmtId="0" fontId="117" fillId="0" borderId="0" xfId="0" applyFont="1" applyAlignment="1">
      <alignment vertical="center"/>
    </xf>
    <xf numFmtId="0" fontId="117" fillId="0" borderId="0" xfId="0" applyFont="1" applyAlignment="1">
      <alignment horizontal="right" vertical="center"/>
    </xf>
    <xf numFmtId="0" fontId="20" fillId="35" borderId="211" xfId="0" applyFont="1" applyFill="1" applyBorder="1"/>
    <xf numFmtId="0" fontId="68" fillId="0" borderId="212" xfId="0" applyFont="1" applyBorder="1" applyAlignment="1">
      <alignment vertical="center"/>
    </xf>
    <xf numFmtId="0" fontId="0" fillId="0" borderId="212" xfId="0" applyBorder="1"/>
    <xf numFmtId="206" fontId="0" fillId="0" borderId="212" xfId="0" applyNumberFormat="1" applyBorder="1" applyAlignment="1">
      <alignment vertical="center"/>
    </xf>
    <xf numFmtId="0" fontId="36" fillId="0" borderId="0" xfId="0" applyFont="1" applyAlignment="1">
      <alignment horizontal="left" vertical="center" indent="2"/>
    </xf>
    <xf numFmtId="38" fontId="36" fillId="0" borderId="0" xfId="0" applyNumberFormat="1" applyFont="1" applyAlignment="1">
      <alignment vertical="center"/>
    </xf>
    <xf numFmtId="9" fontId="23" fillId="0" borderId="0" xfId="0" applyNumberFormat="1" applyFont="1" applyAlignment="1">
      <alignment vertical="center"/>
    </xf>
    <xf numFmtId="6" fontId="68" fillId="0" borderId="0" xfId="0" applyNumberFormat="1" applyFont="1" applyAlignment="1">
      <alignment vertical="center"/>
    </xf>
    <xf numFmtId="0" fontId="68" fillId="0" borderId="221" xfId="0" applyFont="1" applyBorder="1" applyAlignment="1">
      <alignment vertical="center"/>
    </xf>
    <xf numFmtId="0" fontId="0" fillId="0" borderId="221" xfId="0" applyBorder="1" applyAlignment="1">
      <alignment vertical="center"/>
    </xf>
    <xf numFmtId="0" fontId="0" fillId="0" borderId="221" xfId="0" applyBorder="1"/>
    <xf numFmtId="0" fontId="36" fillId="0" borderId="0" xfId="0" applyFont="1" applyAlignment="1">
      <alignment vertical="center"/>
    </xf>
    <xf numFmtId="168" fontId="36" fillId="0" borderId="0" xfId="0" applyNumberFormat="1" applyFont="1"/>
    <xf numFmtId="168" fontId="36" fillId="0" borderId="0" xfId="0" applyNumberFormat="1" applyFont="1" applyAlignment="1">
      <alignment vertical="center"/>
    </xf>
    <xf numFmtId="206" fontId="0" fillId="0" borderId="0" xfId="0" applyNumberFormat="1"/>
    <xf numFmtId="0" fontId="0" fillId="0" borderId="0" xfId="0" applyAlignment="1">
      <alignment horizontal="right" vertical="center"/>
    </xf>
    <xf numFmtId="0" fontId="118" fillId="0" borderId="0" xfId="0" applyFont="1" applyAlignment="1">
      <alignment vertical="center"/>
    </xf>
    <xf numFmtId="0" fontId="119" fillId="0" borderId="222" xfId="0" applyFont="1" applyBorder="1" applyAlignment="1">
      <alignment horizontal="right" vertical="center"/>
    </xf>
    <xf numFmtId="0" fontId="119" fillId="0" borderId="0" xfId="0" applyFont="1" applyAlignment="1">
      <alignment vertical="center"/>
    </xf>
    <xf numFmtId="0" fontId="120" fillId="0" borderId="135" xfId="0" applyFont="1" applyBorder="1" applyAlignment="1">
      <alignment horizontal="right" vertical="center"/>
    </xf>
    <xf numFmtId="0" fontId="120" fillId="0" borderId="0" xfId="0" applyFont="1" applyAlignment="1">
      <alignment vertical="center"/>
    </xf>
    <xf numFmtId="41" fontId="118" fillId="0" borderId="135" xfId="0" applyNumberFormat="1" applyFont="1" applyBorder="1" applyAlignment="1">
      <alignment vertical="center"/>
    </xf>
    <xf numFmtId="41" fontId="118" fillId="0" borderId="0" xfId="0" applyNumberFormat="1" applyFont="1" applyAlignment="1">
      <alignment vertical="center"/>
    </xf>
    <xf numFmtId="0" fontId="118" fillId="0" borderId="119" xfId="0" applyFont="1" applyBorder="1" applyAlignment="1">
      <alignment vertical="center"/>
    </xf>
    <xf numFmtId="41" fontId="118" fillId="0" borderId="134" xfId="0" applyNumberFormat="1" applyFont="1" applyBorder="1" applyAlignment="1">
      <alignment vertical="center"/>
    </xf>
    <xf numFmtId="41" fontId="118" fillId="0" borderId="119" xfId="0" applyNumberFormat="1" applyFont="1" applyBorder="1" applyAlignment="1">
      <alignment vertical="center"/>
    </xf>
    <xf numFmtId="0" fontId="118" fillId="0" borderId="135" xfId="0" applyFont="1" applyBorder="1" applyAlignment="1">
      <alignment vertical="center"/>
    </xf>
    <xf numFmtId="0" fontId="118" fillId="0" borderId="119" xfId="0" applyFont="1" applyBorder="1"/>
    <xf numFmtId="0" fontId="118" fillId="0" borderId="0" xfId="0" applyFont="1"/>
    <xf numFmtId="0" fontId="118" fillId="0" borderId="135" xfId="0" applyFont="1" applyBorder="1"/>
    <xf numFmtId="0" fontId="120" fillId="0" borderId="0" xfId="0" applyFont="1"/>
    <xf numFmtId="41" fontId="0" fillId="0" borderId="135" xfId="0" applyNumberFormat="1" applyBorder="1"/>
    <xf numFmtId="41" fontId="4" fillId="0" borderId="0" xfId="0" applyNumberFormat="1" applyFont="1" applyAlignment="1">
      <alignment vertical="center"/>
    </xf>
    <xf numFmtId="10" fontId="0" fillId="0" borderId="135" xfId="0" applyNumberFormat="1" applyBorder="1"/>
    <xf numFmtId="6" fontId="44" fillId="11" borderId="37" xfId="0" applyNumberFormat="1" applyFont="1" applyFill="1" applyBorder="1" applyAlignment="1" applyProtection="1">
      <alignment vertical="center"/>
      <protection locked="0"/>
    </xf>
    <xf numFmtId="224" fontId="44" fillId="11" borderId="37" xfId="0" applyNumberFormat="1" applyFont="1" applyFill="1" applyBorder="1" applyAlignment="1" applyProtection="1">
      <alignment horizontal="center"/>
      <protection locked="0"/>
    </xf>
    <xf numFmtId="168" fontId="0" fillId="0" borderId="0" xfId="10" applyNumberFormat="1" applyFont="1" applyAlignment="1" applyProtection="1">
      <alignment horizontal="center"/>
    </xf>
    <xf numFmtId="168" fontId="16" fillId="0" borderId="119" xfId="0" applyNumberFormat="1" applyFont="1" applyBorder="1" applyAlignment="1">
      <alignment horizontal="center"/>
    </xf>
    <xf numFmtId="10" fontId="16" fillId="0" borderId="119" xfId="0" applyNumberFormat="1" applyFont="1" applyBorder="1" applyAlignment="1">
      <alignment horizontal="center"/>
    </xf>
    <xf numFmtId="9" fontId="46" fillId="5" borderId="24" xfId="8" applyFont="1" applyFill="1" applyBorder="1" applyAlignment="1">
      <alignment horizontal="left" vertical="center"/>
    </xf>
    <xf numFmtId="10" fontId="43" fillId="0" borderId="0" xfId="8" applyNumberFormat="1" applyFont="1" applyAlignment="1">
      <alignment horizontal="center" vertical="center"/>
    </xf>
    <xf numFmtId="0" fontId="47" fillId="0" borderId="24" xfId="0" applyFont="1" applyBorder="1" applyAlignment="1">
      <alignment horizontal="center"/>
    </xf>
    <xf numFmtId="0" fontId="47" fillId="0" borderId="0" xfId="0" applyFont="1" applyAlignment="1">
      <alignment horizontal="center"/>
    </xf>
    <xf numFmtId="0" fontId="25" fillId="4" borderId="61" xfId="0" applyFont="1" applyFill="1" applyBorder="1" applyAlignment="1">
      <alignment horizontal="center"/>
    </xf>
    <xf numFmtId="202" fontId="17" fillId="0" borderId="0" xfId="0" applyNumberFormat="1" applyFont="1" applyAlignment="1">
      <alignment horizontal="center"/>
    </xf>
    <xf numFmtId="202" fontId="24" fillId="0" borderId="128" xfId="0" applyNumberFormat="1" applyFont="1" applyBorder="1" applyAlignment="1">
      <alignment horizontal="center"/>
    </xf>
    <xf numFmtId="0" fontId="0" fillId="0" borderId="128" xfId="0" applyBorder="1"/>
    <xf numFmtId="10" fontId="24" fillId="0" borderId="128" xfId="4" applyNumberFormat="1" applyFont="1" applyFill="1" applyBorder="1" applyAlignment="1" applyProtection="1">
      <alignment horizontal="center"/>
    </xf>
    <xf numFmtId="184" fontId="17" fillId="0" borderId="0" xfId="9" applyNumberFormat="1" applyFont="1" applyAlignment="1">
      <alignment horizontal="center"/>
    </xf>
    <xf numFmtId="184" fontId="24" fillId="0" borderId="128" xfId="9" applyNumberFormat="1" applyFont="1" applyFill="1" applyBorder="1" applyAlignment="1" applyProtection="1">
      <alignment horizontal="center"/>
    </xf>
    <xf numFmtId="1" fontId="17" fillId="0" borderId="0" xfId="10" applyNumberFormat="1" applyFont="1" applyAlignment="1">
      <alignment horizontal="center"/>
    </xf>
    <xf numFmtId="1" fontId="24" fillId="0" borderId="128" xfId="10" applyNumberFormat="1" applyFont="1" applyFill="1" applyBorder="1" applyAlignment="1" applyProtection="1">
      <alignment horizontal="center"/>
    </xf>
    <xf numFmtId="1" fontId="17" fillId="0" borderId="0" xfId="0" applyNumberFormat="1" applyFont="1" applyAlignment="1">
      <alignment horizontal="center"/>
    </xf>
    <xf numFmtId="0" fontId="26" fillId="0" borderId="0" xfId="0" applyFont="1" applyAlignment="1">
      <alignment horizontal="center" vertical="center"/>
    </xf>
    <xf numFmtId="10" fontId="24" fillId="0" borderId="128" xfId="0" applyNumberFormat="1" applyFont="1" applyBorder="1" applyAlignment="1">
      <alignment horizontal="center"/>
    </xf>
    <xf numFmtId="184" fontId="24" fillId="0" borderId="128" xfId="0" applyNumberFormat="1" applyFont="1" applyBorder="1" applyAlignment="1">
      <alignment horizontal="center"/>
    </xf>
    <xf numFmtId="0" fontId="26" fillId="4" borderId="58" xfId="0" applyFont="1" applyFill="1" applyBorder="1" applyAlignment="1">
      <alignment horizontal="center" vertical="center"/>
    </xf>
    <xf numFmtId="0" fontId="26" fillId="4" borderId="59" xfId="0" applyFont="1" applyFill="1" applyBorder="1" applyAlignment="1">
      <alignment horizontal="center" vertical="center" wrapText="1"/>
    </xf>
    <xf numFmtId="6" fontId="44" fillId="11" borderId="202" xfId="0" applyNumberFormat="1" applyFont="1" applyFill="1" applyBorder="1" applyAlignment="1" applyProtection="1">
      <alignment horizontal="center" vertical="center"/>
      <protection locked="0"/>
    </xf>
    <xf numFmtId="0" fontId="0" fillId="26" borderId="0" xfId="0" applyFill="1"/>
    <xf numFmtId="38" fontId="0" fillId="32" borderId="0" xfId="0" applyNumberFormat="1" applyFill="1"/>
    <xf numFmtId="37" fontId="1" fillId="0" borderId="0" xfId="8" applyNumberFormat="1" applyFont="1" applyProtection="1"/>
    <xf numFmtId="1" fontId="17" fillId="0" borderId="128" xfId="0" applyNumberFormat="1" applyFont="1" applyBorder="1"/>
    <xf numFmtId="184" fontId="17" fillId="0" borderId="128" xfId="0" applyNumberFormat="1" applyFont="1" applyBorder="1"/>
    <xf numFmtId="1" fontId="17" fillId="0" borderId="0" xfId="10" applyNumberFormat="1" applyFont="1" applyFill="1" applyAlignment="1">
      <alignment horizontal="center"/>
    </xf>
    <xf numFmtId="6" fontId="43" fillId="0" borderId="0" xfId="0" applyNumberFormat="1" applyFont="1" applyAlignment="1">
      <alignment horizontal="left"/>
    </xf>
    <xf numFmtId="6" fontId="0" fillId="0" borderId="0" xfId="0" applyNumberFormat="1" applyAlignment="1">
      <alignment horizontal="center"/>
    </xf>
    <xf numFmtId="3" fontId="0" fillId="26" borderId="0" xfId="0" applyNumberFormat="1" applyFill="1" applyAlignment="1">
      <alignment vertical="center"/>
    </xf>
    <xf numFmtId="3" fontId="0" fillId="26" borderId="0" xfId="0" applyNumberFormat="1" applyFill="1" applyAlignment="1">
      <alignment horizontal="right" vertical="center"/>
    </xf>
    <xf numFmtId="0" fontId="76" fillId="32" borderId="0" xfId="12" applyFont="1" applyFill="1"/>
    <xf numFmtId="8" fontId="17" fillId="0" borderId="88" xfId="0" applyNumberFormat="1" applyFont="1" applyBorder="1" applyProtection="1">
      <protection locked="0"/>
    </xf>
    <xf numFmtId="10" fontId="5" fillId="0" borderId="119" xfId="12" quotePrefix="1" applyNumberFormat="1" applyFont="1" applyBorder="1"/>
    <xf numFmtId="0" fontId="17" fillId="0" borderId="0" xfId="0" applyFont="1" applyAlignment="1" applyProtection="1">
      <alignment horizontal="center"/>
      <protection locked="0"/>
    </xf>
    <xf numFmtId="0" fontId="17" fillId="0" borderId="88" xfId="0" applyFont="1" applyBorder="1" applyAlignment="1" applyProtection="1">
      <alignment horizontal="center"/>
      <protection locked="0"/>
    </xf>
    <xf numFmtId="10" fontId="17" fillId="0" borderId="0" xfId="0" applyNumberFormat="1" applyFont="1" applyProtection="1">
      <protection locked="0"/>
    </xf>
    <xf numFmtId="9" fontId="17" fillId="2" borderId="0" xfId="0" applyNumberFormat="1" applyFont="1" applyFill="1"/>
    <xf numFmtId="0" fontId="25" fillId="2" borderId="59" xfId="0" applyFont="1" applyFill="1" applyBorder="1" applyAlignment="1">
      <alignment horizontal="right"/>
    </xf>
    <xf numFmtId="10" fontId="0" fillId="0" borderId="4" xfId="0" applyNumberFormat="1" applyBorder="1"/>
    <xf numFmtId="0" fontId="0" fillId="0" borderId="28" xfId="0" applyBorder="1" applyAlignment="1">
      <alignment horizontal="center"/>
    </xf>
    <xf numFmtId="0" fontId="0" fillId="0" borderId="119" xfId="0" applyBorder="1" applyAlignment="1">
      <alignment horizontal="center"/>
    </xf>
    <xf numFmtId="0" fontId="0" fillId="0" borderId="134" xfId="0" applyBorder="1" applyAlignment="1">
      <alignment horizontal="center"/>
    </xf>
    <xf numFmtId="9" fontId="0" fillId="0" borderId="29" xfId="0" applyNumberFormat="1" applyBorder="1" applyAlignment="1">
      <alignment horizontal="center"/>
    </xf>
    <xf numFmtId="9" fontId="0" fillId="0" borderId="0" xfId="0" applyNumberFormat="1" applyAlignment="1">
      <alignment horizontal="center"/>
    </xf>
    <xf numFmtId="9" fontId="0" fillId="0" borderId="135" xfId="0" applyNumberFormat="1" applyBorder="1" applyAlignment="1">
      <alignment horizontal="center"/>
    </xf>
    <xf numFmtId="0" fontId="0" fillId="0" borderId="136" xfId="0" applyBorder="1" applyAlignment="1">
      <alignment horizontal="center"/>
    </xf>
    <xf numFmtId="9" fontId="0" fillId="0" borderId="1" xfId="0" applyNumberFormat="1" applyBorder="1" applyAlignment="1">
      <alignment horizontal="center"/>
    </xf>
    <xf numFmtId="9" fontId="0" fillId="0" borderId="137" xfId="0" applyNumberFormat="1" applyBorder="1" applyAlignment="1">
      <alignment horizontal="center"/>
    </xf>
    <xf numFmtId="0" fontId="36" fillId="0" borderId="0" xfId="0" applyFont="1" applyAlignment="1">
      <alignment horizontal="left" indent="1"/>
    </xf>
    <xf numFmtId="38" fontId="44" fillId="0" borderId="0" xfId="4" applyFill="1" applyBorder="1" applyAlignment="1" applyProtection="1"/>
    <xf numFmtId="38" fontId="44" fillId="0" borderId="0" xfId="0" applyNumberFormat="1" applyFont="1"/>
    <xf numFmtId="40" fontId="44" fillId="0" borderId="0" xfId="0" applyNumberFormat="1" applyFont="1"/>
    <xf numFmtId="38" fontId="44" fillId="11" borderId="0" xfId="0" applyNumberFormat="1" applyFont="1" applyFill="1" applyProtection="1">
      <protection locked="0"/>
    </xf>
    <xf numFmtId="38" fontId="44" fillId="0" borderId="0" xfId="4" applyFill="1" applyBorder="1" applyAlignment="1" applyProtection="1">
      <alignment horizontal="center"/>
    </xf>
    <xf numFmtId="38" fontId="44" fillId="0" borderId="0" xfId="0" applyNumberFormat="1" applyFont="1" applyAlignment="1">
      <alignment horizontal="center"/>
    </xf>
    <xf numFmtId="40" fontId="44" fillId="0" borderId="0" xfId="0" applyNumberFormat="1" applyFont="1" applyAlignment="1">
      <alignment horizontal="center"/>
    </xf>
    <xf numFmtId="38" fontId="44" fillId="26" borderId="0" xfId="0" applyNumberFormat="1" applyFont="1" applyFill="1"/>
    <xf numFmtId="0" fontId="68" fillId="0" borderId="0" xfId="0" applyFont="1" applyAlignment="1">
      <alignment horizontal="center"/>
    </xf>
    <xf numFmtId="184" fontId="0" fillId="11" borderId="227" xfId="0" applyNumberFormat="1" applyFill="1" applyBorder="1" applyAlignment="1" applyProtection="1">
      <alignment horizontal="center"/>
      <protection locked="0"/>
    </xf>
    <xf numFmtId="38" fontId="44" fillId="26" borderId="65" xfId="4" applyFill="1" applyBorder="1" applyAlignment="1" applyProtection="1"/>
    <xf numFmtId="38" fontId="44" fillId="26" borderId="59" xfId="4" applyFill="1" applyBorder="1" applyAlignment="1" applyProtection="1">
      <alignment horizontal="right"/>
    </xf>
    <xf numFmtId="38" fontId="44" fillId="26" borderId="59" xfId="0" applyNumberFormat="1" applyFont="1" applyFill="1" applyBorder="1"/>
    <xf numFmtId="40" fontId="44" fillId="26" borderId="225" xfId="0" applyNumberFormat="1" applyFont="1" applyFill="1" applyBorder="1"/>
    <xf numFmtId="38" fontId="44" fillId="26" borderId="129" xfId="4" applyFill="1" applyBorder="1" applyAlignment="1" applyProtection="1"/>
    <xf numFmtId="38" fontId="44" fillId="26" borderId="0" xfId="4" applyFill="1" applyBorder="1" applyAlignment="1" applyProtection="1">
      <alignment horizontal="right"/>
    </xf>
    <xf numFmtId="40" fontId="44" fillId="26" borderId="121" xfId="0" applyNumberFormat="1" applyFont="1" applyFill="1" applyBorder="1"/>
    <xf numFmtId="38" fontId="44" fillId="26" borderId="188" xfId="4" applyFill="1" applyBorder="1" applyAlignment="1" applyProtection="1"/>
    <xf numFmtId="38" fontId="44" fillId="26" borderId="62" xfId="4" applyFill="1" applyBorder="1" applyAlignment="1" applyProtection="1">
      <alignment horizontal="right"/>
    </xf>
    <xf numFmtId="38" fontId="44" fillId="26" borderId="0" xfId="0" applyNumberFormat="1" applyFont="1" applyFill="1" applyAlignment="1">
      <alignment horizontal="right"/>
    </xf>
    <xf numFmtId="40" fontId="44" fillId="26" borderId="121" xfId="0" applyNumberFormat="1" applyFont="1" applyFill="1" applyBorder="1" applyAlignment="1">
      <alignment horizontal="right"/>
    </xf>
    <xf numFmtId="38" fontId="44" fillId="26" borderId="59" xfId="4" applyNumberFormat="1" applyFill="1" applyBorder="1" applyProtection="1"/>
    <xf numFmtId="38" fontId="44" fillId="26" borderId="0" xfId="4" applyFill="1" applyBorder="1" applyProtection="1"/>
    <xf numFmtId="38" fontId="44" fillId="26" borderId="1" xfId="4" applyFill="1" applyBorder="1" applyProtection="1"/>
    <xf numFmtId="6" fontId="0" fillId="32" borderId="4" xfId="0" applyNumberFormat="1" applyFill="1" applyBorder="1"/>
    <xf numFmtId="0" fontId="44" fillId="26" borderId="49" xfId="4" applyNumberFormat="1" applyFill="1" applyBorder="1" applyAlignment="1" applyProtection="1">
      <alignment horizontal="center" vertical="center"/>
    </xf>
    <xf numFmtId="0" fontId="44" fillId="26" borderId="0" xfId="4" applyNumberFormat="1" applyFill="1" applyBorder="1" applyAlignment="1" applyProtection="1">
      <alignment horizontal="center" vertical="center"/>
    </xf>
    <xf numFmtId="0" fontId="37" fillId="26" borderId="0" xfId="0" applyFont="1" applyFill="1"/>
    <xf numFmtId="0" fontId="16" fillId="26" borderId="0" xfId="0" applyFont="1" applyFill="1" applyAlignment="1">
      <alignment horizontal="right"/>
    </xf>
    <xf numFmtId="0" fontId="0" fillId="26" borderId="0" xfId="0" applyFill="1" applyAlignment="1">
      <alignment horizontal="right"/>
    </xf>
    <xf numFmtId="38" fontId="121" fillId="11" borderId="46" xfId="0" applyNumberFormat="1" applyFont="1" applyFill="1" applyBorder="1" applyProtection="1">
      <protection locked="0"/>
    </xf>
    <xf numFmtId="6" fontId="0" fillId="3" borderId="0" xfId="0" applyNumberFormat="1" applyFill="1"/>
    <xf numFmtId="38" fontId="121" fillId="26" borderId="0" xfId="0" applyNumberFormat="1" applyFont="1" applyFill="1" applyProtection="1">
      <protection locked="0"/>
    </xf>
    <xf numFmtId="0" fontId="0" fillId="26" borderId="0" xfId="0" applyFill="1" applyAlignment="1">
      <alignment horizontal="right" vertical="center"/>
    </xf>
    <xf numFmtId="0" fontId="0" fillId="26" borderId="0" xfId="0" applyFill="1" applyAlignment="1">
      <alignment horizontal="right" vertical="center" wrapText="1"/>
    </xf>
    <xf numFmtId="6" fontId="0" fillId="26" borderId="0" xfId="0" applyNumberFormat="1" applyFill="1"/>
    <xf numFmtId="6" fontId="121" fillId="11" borderId="37" xfId="0" applyNumberFormat="1" applyFont="1" applyFill="1" applyBorder="1" applyProtection="1">
      <protection locked="0"/>
    </xf>
    <xf numFmtId="6" fontId="0" fillId="3" borderId="140" xfId="0" applyNumberFormat="1" applyFill="1" applyBorder="1"/>
    <xf numFmtId="5" fontId="17" fillId="26" borderId="0" xfId="0" applyNumberFormat="1" applyFont="1" applyFill="1"/>
    <xf numFmtId="10" fontId="44" fillId="26" borderId="57" xfId="0" applyNumberFormat="1" applyFont="1" applyFill="1" applyBorder="1" applyAlignment="1">
      <alignment horizontal="center"/>
    </xf>
    <xf numFmtId="10" fontId="44" fillId="26" borderId="38" xfId="0" applyNumberFormat="1" applyFont="1" applyFill="1" applyBorder="1" applyAlignment="1">
      <alignment horizontal="center"/>
    </xf>
    <xf numFmtId="184" fontId="44" fillId="26" borderId="37" xfId="10" applyNumberFormat="1" applyFont="1" applyFill="1" applyBorder="1" applyProtection="1"/>
    <xf numFmtId="184" fontId="44" fillId="11" borderId="37" xfId="10" applyNumberFormat="1" applyFont="1" applyFill="1" applyBorder="1" applyProtection="1">
      <protection locked="0"/>
    </xf>
    <xf numFmtId="9" fontId="44" fillId="26" borderId="38" xfId="0" applyNumberFormat="1" applyFont="1" applyFill="1" applyBorder="1" applyAlignment="1">
      <alignment horizontal="center"/>
    </xf>
    <xf numFmtId="0" fontId="40" fillId="26" borderId="38" xfId="0" applyFont="1" applyFill="1" applyBorder="1" applyAlignment="1">
      <alignment horizontal="center"/>
    </xf>
    <xf numFmtId="9" fontId="44" fillId="26" borderId="57" xfId="0" applyNumberFormat="1" applyFont="1" applyFill="1" applyBorder="1" applyAlignment="1">
      <alignment horizontal="center"/>
    </xf>
    <xf numFmtId="178" fontId="17" fillId="11" borderId="37" xfId="4" applyNumberFormat="1" applyFont="1" applyAlignment="1">
      <alignment horizontal="center"/>
      <protection locked="0"/>
    </xf>
    <xf numFmtId="14" fontId="53" fillId="11" borderId="37" xfId="0" applyNumberFormat="1" applyFont="1" applyFill="1" applyBorder="1" applyAlignment="1" applyProtection="1">
      <alignment horizontal="center"/>
      <protection locked="0"/>
    </xf>
    <xf numFmtId="37" fontId="0" fillId="0" borderId="0" xfId="0" applyNumberFormat="1" applyProtection="1">
      <protection locked="0"/>
    </xf>
    <xf numFmtId="37" fontId="17" fillId="0" borderId="0" xfId="0" applyNumberFormat="1" applyFont="1" applyProtection="1">
      <protection locked="0"/>
    </xf>
    <xf numFmtId="39" fontId="17" fillId="0" borderId="0" xfId="0" applyNumberFormat="1" applyFont="1" applyProtection="1">
      <protection locked="0"/>
    </xf>
    <xf numFmtId="10" fontId="40" fillId="26" borderId="0" xfId="0" applyNumberFormat="1" applyFont="1" applyFill="1" applyAlignment="1" applyProtection="1">
      <alignment horizontal="center" vertical="center"/>
      <protection locked="0"/>
    </xf>
    <xf numFmtId="10" fontId="40" fillId="26" borderId="0" xfId="0" applyNumberFormat="1" applyFont="1" applyFill="1" applyAlignment="1">
      <alignment horizontal="center" vertical="center"/>
    </xf>
    <xf numFmtId="6" fontId="44" fillId="26" borderId="0" xfId="0" applyNumberFormat="1" applyFont="1" applyFill="1"/>
    <xf numFmtId="0" fontId="0" fillId="32" borderId="0" xfId="0" applyFill="1" applyProtection="1">
      <protection locked="0"/>
    </xf>
    <xf numFmtId="0" fontId="0" fillId="26" borderId="0" xfId="0" applyFill="1" applyAlignment="1">
      <alignment vertical="center"/>
    </xf>
    <xf numFmtId="38" fontId="121" fillId="11" borderId="46" xfId="0" applyNumberFormat="1" applyFont="1" applyFill="1" applyBorder="1" applyAlignment="1" applyProtection="1">
      <alignment horizontal="center"/>
      <protection locked="0"/>
    </xf>
    <xf numFmtId="8" fontId="43" fillId="0" borderId="0" xfId="0" applyNumberFormat="1" applyFont="1" applyAlignment="1">
      <alignment horizontal="center"/>
    </xf>
    <xf numFmtId="6" fontId="43" fillId="0" borderId="0" xfId="0" applyNumberFormat="1" applyFont="1" applyAlignment="1">
      <alignment horizontal="center"/>
    </xf>
    <xf numFmtId="7" fontId="46" fillId="5" borderId="24" xfId="0" applyNumberFormat="1" applyFont="1" applyFill="1" applyBorder="1" applyAlignment="1">
      <alignment horizontal="left"/>
    </xf>
    <xf numFmtId="176" fontId="44" fillId="26" borderId="37" xfId="4" applyNumberFormat="1" applyFill="1" applyAlignment="1" applyProtection="1">
      <alignment horizontal="center"/>
    </xf>
    <xf numFmtId="0" fontId="98" fillId="0" borderId="0" xfId="14" applyAlignment="1">
      <alignment horizontal="right"/>
    </xf>
    <xf numFmtId="38" fontId="40" fillId="11" borderId="64" xfId="11" applyNumberFormat="1" applyBorder="1" applyAlignment="1">
      <alignment horizontal="center"/>
      <protection locked="0"/>
    </xf>
    <xf numFmtId="10" fontId="0" fillId="0" borderId="59" xfId="0" applyNumberFormat="1" applyBorder="1"/>
    <xf numFmtId="38" fontId="0" fillId="26" borderId="1" xfId="0" applyNumberFormat="1" applyFill="1" applyBorder="1"/>
    <xf numFmtId="38" fontId="0" fillId="26" borderId="0" xfId="0" applyNumberFormat="1" applyFill="1"/>
    <xf numFmtId="0" fontId="18" fillId="4" borderId="111" xfId="0" applyFont="1" applyFill="1" applyBorder="1"/>
    <xf numFmtId="0" fontId="18" fillId="4" borderId="112" xfId="0" applyFont="1" applyFill="1" applyBorder="1"/>
    <xf numFmtId="10" fontId="18" fillId="4" borderId="112" xfId="0" applyNumberFormat="1" applyFont="1" applyFill="1" applyBorder="1" applyAlignment="1">
      <alignment horizontal="right"/>
    </xf>
    <xf numFmtId="10" fontId="18" fillId="4" borderId="113" xfId="0" applyNumberFormat="1" applyFont="1" applyFill="1" applyBorder="1"/>
    <xf numFmtId="38" fontId="30" fillId="4" borderId="106" xfId="0" applyNumberFormat="1" applyFont="1" applyFill="1" applyBorder="1" applyAlignment="1">
      <alignment horizontal="right"/>
    </xf>
    <xf numFmtId="184" fontId="18" fillId="4" borderId="104" xfId="0" applyNumberFormat="1" applyFont="1" applyFill="1" applyBorder="1"/>
    <xf numFmtId="10" fontId="18" fillId="4" borderId="104" xfId="0" applyNumberFormat="1" applyFont="1" applyFill="1" applyBorder="1"/>
    <xf numFmtId="10" fontId="18" fillId="4" borderId="105" xfId="0" applyNumberFormat="1" applyFont="1" applyFill="1" applyBorder="1"/>
    <xf numFmtId="166" fontId="18" fillId="4" borderId="112" xfId="0" applyNumberFormat="1" applyFont="1" applyFill="1" applyBorder="1"/>
    <xf numFmtId="195" fontId="18" fillId="4" borderId="113" xfId="0" applyNumberFormat="1" applyFont="1" applyFill="1" applyBorder="1" applyAlignment="1">
      <alignment horizontal="right"/>
    </xf>
    <xf numFmtId="8" fontId="18" fillId="4" borderId="110" xfId="0" applyNumberFormat="1" applyFont="1" applyFill="1" applyBorder="1"/>
    <xf numFmtId="0" fontId="18" fillId="4" borderId="107" xfId="0" applyFont="1" applyFill="1" applyBorder="1"/>
    <xf numFmtId="6" fontId="30" fillId="4" borderId="108" xfId="0" applyNumberFormat="1" applyFont="1" applyFill="1" applyBorder="1" applyAlignment="1">
      <alignment horizontal="right"/>
    </xf>
    <xf numFmtId="6" fontId="18" fillId="4" borderId="93" xfId="0" applyNumberFormat="1" applyFont="1" applyFill="1" applyBorder="1" applyAlignment="1">
      <alignment horizontal="right"/>
    </xf>
    <xf numFmtId="6" fontId="18" fillId="4" borderId="94" xfId="0" applyNumberFormat="1" applyFont="1" applyFill="1" applyBorder="1" applyAlignment="1">
      <alignment horizontal="right"/>
    </xf>
    <xf numFmtId="38" fontId="18" fillId="4" borderId="95" xfId="0" applyNumberFormat="1" applyFont="1" applyFill="1" applyBorder="1" applyAlignment="1">
      <alignment horizontal="right"/>
    </xf>
    <xf numFmtId="38" fontId="18" fillId="4" borderId="96" xfId="0" applyNumberFormat="1" applyFont="1" applyFill="1" applyBorder="1" applyAlignment="1">
      <alignment horizontal="right"/>
    </xf>
    <xf numFmtId="6" fontId="18" fillId="4" borderId="97" xfId="0" applyNumberFormat="1" applyFont="1" applyFill="1" applyBorder="1" applyAlignment="1">
      <alignment horizontal="right"/>
    </xf>
    <xf numFmtId="6" fontId="18" fillId="4" borderId="98" xfId="0" applyNumberFormat="1" applyFont="1" applyFill="1" applyBorder="1" applyAlignment="1">
      <alignment horizontal="right"/>
    </xf>
    <xf numFmtId="0" fontId="18" fillId="4" borderId="93" xfId="0" applyFont="1" applyFill="1" applyBorder="1"/>
    <xf numFmtId="0" fontId="18" fillId="4" borderId="94" xfId="0" applyFont="1" applyFill="1" applyBorder="1"/>
    <xf numFmtId="38" fontId="18" fillId="4" borderId="93" xfId="0" applyNumberFormat="1" applyFont="1" applyFill="1" applyBorder="1" applyAlignment="1">
      <alignment horizontal="right"/>
    </xf>
    <xf numFmtId="38" fontId="18" fillId="4" borderId="94" xfId="0" applyNumberFormat="1" applyFont="1" applyFill="1" applyBorder="1" applyAlignment="1">
      <alignment horizontal="right"/>
    </xf>
    <xf numFmtId="6" fontId="18" fillId="4" borderId="99" xfId="0" applyNumberFormat="1" applyFont="1" applyFill="1" applyBorder="1" applyAlignment="1">
      <alignment horizontal="right"/>
    </xf>
    <xf numFmtId="6" fontId="18" fillId="4" borderId="100" xfId="0" applyNumberFormat="1" applyFont="1" applyFill="1" applyBorder="1" applyAlignment="1">
      <alignment horizontal="right"/>
    </xf>
    <xf numFmtId="6" fontId="18" fillId="4" borderId="101" xfId="0" applyNumberFormat="1" applyFont="1" applyFill="1" applyBorder="1" applyAlignment="1">
      <alignment horizontal="right"/>
    </xf>
    <xf numFmtId="6" fontId="18" fillId="4" borderId="102" xfId="0" applyNumberFormat="1" applyFont="1" applyFill="1" applyBorder="1" applyAlignment="1">
      <alignment horizontal="right"/>
    </xf>
    <xf numFmtId="10" fontId="18" fillId="4" borderId="0" xfId="0" applyNumberFormat="1" applyFont="1" applyFill="1" applyAlignment="1">
      <alignment horizontal="right"/>
    </xf>
    <xf numFmtId="0" fontId="18" fillId="4" borderId="92" xfId="0" applyFont="1" applyFill="1" applyBorder="1"/>
    <xf numFmtId="0" fontId="18" fillId="4" borderId="103" xfId="0" applyFont="1" applyFill="1" applyBorder="1"/>
    <xf numFmtId="10" fontId="18" fillId="4" borderId="103" xfId="0" applyNumberFormat="1" applyFont="1" applyFill="1" applyBorder="1"/>
    <xf numFmtId="10" fontId="18" fillId="4" borderId="114" xfId="0" applyNumberFormat="1" applyFont="1" applyFill="1" applyBorder="1"/>
    <xf numFmtId="6" fontId="18" fillId="4" borderId="109" xfId="0" applyNumberFormat="1" applyFont="1" applyFill="1" applyBorder="1"/>
    <xf numFmtId="10" fontId="18" fillId="4" borderId="112" xfId="0" applyNumberFormat="1" applyFont="1" applyFill="1" applyBorder="1"/>
    <xf numFmtId="10" fontId="123" fillId="4" borderId="103" xfId="0" applyNumberFormat="1" applyFont="1" applyFill="1" applyBorder="1"/>
    <xf numFmtId="0" fontId="18" fillId="4" borderId="93" xfId="0" applyFont="1" applyFill="1" applyBorder="1" applyAlignment="1">
      <alignment horizontal="right"/>
    </xf>
    <xf numFmtId="203" fontId="18" fillId="4" borderId="94" xfId="0" applyNumberFormat="1" applyFont="1" applyFill="1" applyBorder="1" applyAlignment="1">
      <alignment horizontal="right"/>
    </xf>
    <xf numFmtId="0" fontId="124" fillId="4" borderId="228" xfId="0" applyFont="1" applyFill="1" applyBorder="1" applyAlignment="1">
      <alignment horizontal="center" vertical="top" wrapText="1"/>
    </xf>
    <xf numFmtId="0" fontId="55" fillId="36" borderId="229" xfId="0" applyFont="1" applyFill="1" applyBorder="1" applyAlignment="1">
      <alignment horizontal="center" wrapText="1"/>
    </xf>
    <xf numFmtId="0" fontId="55" fillId="37" borderId="229" xfId="0" applyFont="1" applyFill="1" applyBorder="1" applyAlignment="1">
      <alignment wrapText="1"/>
    </xf>
    <xf numFmtId="0" fontId="55" fillId="37" borderId="229" xfId="0" applyFont="1" applyFill="1" applyBorder="1" applyAlignment="1">
      <alignment horizontal="center" wrapText="1"/>
    </xf>
    <xf numFmtId="0" fontId="125" fillId="37" borderId="229" xfId="0" applyFont="1" applyFill="1" applyBorder="1" applyAlignment="1">
      <alignment wrapText="1"/>
    </xf>
    <xf numFmtId="0" fontId="126" fillId="36" borderId="229" xfId="0" applyFont="1" applyFill="1" applyBorder="1" applyAlignment="1">
      <alignment horizontal="center" wrapText="1"/>
    </xf>
    <xf numFmtId="0" fontId="55" fillId="38" borderId="229" xfId="0" applyFont="1" applyFill="1" applyBorder="1" applyAlignment="1">
      <alignment horizontal="center" wrapText="1"/>
    </xf>
    <xf numFmtId="0" fontId="55" fillId="4" borderId="229" xfId="0" applyFont="1" applyFill="1" applyBorder="1" applyAlignment="1">
      <alignment horizontal="center" wrapText="1"/>
    </xf>
    <xf numFmtId="0" fontId="55" fillId="38" borderId="230" xfId="0" applyFont="1" applyFill="1" applyBorder="1" applyAlignment="1">
      <alignment horizontal="center" wrapText="1"/>
    </xf>
    <xf numFmtId="0" fontId="55" fillId="36" borderId="231" xfId="0" applyFont="1" applyFill="1" applyBorder="1" applyAlignment="1">
      <alignment horizontal="center" wrapText="1"/>
    </xf>
    <xf numFmtId="0" fontId="55" fillId="36" borderId="230" xfId="0" applyFont="1" applyFill="1" applyBorder="1" applyAlignment="1">
      <alignment horizontal="center" wrapText="1"/>
    </xf>
    <xf numFmtId="0" fontId="55" fillId="36" borderId="232" xfId="0" applyFont="1" applyFill="1" applyBorder="1" applyAlignment="1">
      <alignment horizontal="center" wrapText="1"/>
    </xf>
    <xf numFmtId="38" fontId="25" fillId="0" borderId="119" xfId="0" applyNumberFormat="1" applyFont="1" applyBorder="1"/>
    <xf numFmtId="168" fontId="25" fillId="0" borderId="119" xfId="0" applyNumberFormat="1" applyFont="1" applyBorder="1"/>
    <xf numFmtId="6" fontId="25" fillId="0" borderId="119" xfId="0" applyNumberFormat="1" applyFont="1" applyBorder="1"/>
    <xf numFmtId="0" fontId="17" fillId="0" borderId="119" xfId="0" applyFont="1" applyBorder="1" applyAlignment="1">
      <alignment horizontal="left" indent="2"/>
    </xf>
    <xf numFmtId="0" fontId="23" fillId="0" borderId="119" xfId="0" applyFont="1" applyBorder="1" applyAlignment="1">
      <alignment horizontal="left" indent="2"/>
    </xf>
    <xf numFmtId="0" fontId="25" fillId="0" borderId="119" xfId="0" applyFont="1" applyBorder="1"/>
    <xf numFmtId="168" fontId="0" fillId="0" borderId="119" xfId="0" applyNumberFormat="1" applyBorder="1"/>
    <xf numFmtId="6" fontId="111" fillId="0" borderId="119" xfId="0" applyNumberFormat="1" applyFont="1" applyBorder="1"/>
    <xf numFmtId="0" fontId="36" fillId="0" borderId="119" xfId="0" applyFont="1" applyBorder="1" applyAlignment="1">
      <alignment horizontal="left" indent="1"/>
    </xf>
    <xf numFmtId="199" fontId="17" fillId="0" borderId="119" xfId="0" applyNumberFormat="1" applyFont="1" applyBorder="1" applyAlignment="1" applyProtection="1">
      <alignment horizontal="center"/>
      <protection locked="0"/>
    </xf>
    <xf numFmtId="0" fontId="33" fillId="0" borderId="119" xfId="0" applyFont="1" applyBorder="1" applyAlignment="1" applyProtection="1">
      <alignment horizontal="left"/>
      <protection locked="0"/>
    </xf>
    <xf numFmtId="6" fontId="25" fillId="0" borderId="119" xfId="0" applyNumberFormat="1" applyFont="1" applyBorder="1" applyAlignment="1" applyProtection="1">
      <alignment vertical="top"/>
      <protection locked="0"/>
    </xf>
    <xf numFmtId="0" fontId="127" fillId="3" borderId="0" xfId="0" applyFont="1" applyFill="1"/>
    <xf numFmtId="0" fontId="127" fillId="26" borderId="0" xfId="0" applyFont="1" applyFill="1" applyAlignment="1">
      <alignment horizontal="center"/>
    </xf>
    <xf numFmtId="0" fontId="128" fillId="39" borderId="142" xfId="0" applyFont="1" applyFill="1" applyBorder="1"/>
    <xf numFmtId="0" fontId="128" fillId="39" borderId="233" xfId="0" applyFont="1" applyFill="1" applyBorder="1" applyAlignment="1">
      <alignment horizontal="center"/>
    </xf>
    <xf numFmtId="0" fontId="129" fillId="39" borderId="233" xfId="0" applyFont="1" applyFill="1" applyBorder="1" applyAlignment="1">
      <alignment horizontal="center"/>
    </xf>
    <xf numFmtId="0" fontId="128" fillId="39" borderId="233" xfId="0" applyFont="1" applyFill="1" applyBorder="1" applyAlignment="1">
      <alignment horizontal="left"/>
    </xf>
    <xf numFmtId="0" fontId="128" fillId="39" borderId="143" xfId="0" applyFont="1" applyFill="1" applyBorder="1" applyAlignment="1">
      <alignment horizontal="center"/>
    </xf>
    <xf numFmtId="0" fontId="128" fillId="39" borderId="233" xfId="0" applyFont="1" applyFill="1" applyBorder="1"/>
    <xf numFmtId="0" fontId="16" fillId="39" borderId="233" xfId="0" applyFont="1" applyFill="1" applyBorder="1"/>
    <xf numFmtId="0" fontId="16" fillId="39" borderId="143" xfId="0" applyFont="1" applyFill="1" applyBorder="1"/>
    <xf numFmtId="0" fontId="36" fillId="0" borderId="0" xfId="0" applyFont="1" applyAlignment="1">
      <alignment horizontal="center" wrapText="1"/>
    </xf>
    <xf numFmtId="0" fontId="16" fillId="0" borderId="236" xfId="0" applyFont="1" applyBorder="1" applyAlignment="1">
      <alignment horizontal="center"/>
    </xf>
    <xf numFmtId="0" fontId="16" fillId="0" borderId="237" xfId="0" applyFont="1" applyBorder="1" applyAlignment="1">
      <alignment horizontal="center"/>
    </xf>
    <xf numFmtId="0" fontId="16" fillId="0" borderId="238" xfId="0" applyFont="1" applyBorder="1" applyAlignment="1">
      <alignment horizontal="center"/>
    </xf>
    <xf numFmtId="0" fontId="16" fillId="0" borderId="239" xfId="0" applyFont="1" applyBorder="1" applyAlignment="1">
      <alignment horizontal="center"/>
    </xf>
    <xf numFmtId="0" fontId="0" fillId="26" borderId="240" xfId="0" applyFill="1" applyBorder="1"/>
    <xf numFmtId="0" fontId="127" fillId="26" borderId="0" xfId="0" applyFont="1" applyFill="1"/>
    <xf numFmtId="0" fontId="0" fillId="0" borderId="241" xfId="0" applyBorder="1"/>
    <xf numFmtId="0" fontId="20" fillId="0" borderId="242" xfId="0" applyFont="1" applyBorder="1"/>
    <xf numFmtId="0" fontId="20" fillId="0" borderId="239" xfId="0" applyFont="1" applyBorder="1"/>
    <xf numFmtId="0" fontId="16" fillId="0" borderId="245" xfId="0" applyFont="1" applyBorder="1" applyAlignment="1">
      <alignment horizontal="center"/>
    </xf>
    <xf numFmtId="0" fontId="16" fillId="0" borderId="246" xfId="0" applyFont="1" applyBorder="1" applyAlignment="1">
      <alignment horizontal="center"/>
    </xf>
    <xf numFmtId="0" fontId="16" fillId="0" borderId="247" xfId="0" applyFont="1" applyBorder="1" applyAlignment="1">
      <alignment horizontal="center"/>
    </xf>
    <xf numFmtId="0" fontId="16" fillId="0" borderId="240" xfId="0" applyFont="1" applyBorder="1" applyAlignment="1">
      <alignment horizontal="center"/>
    </xf>
    <xf numFmtId="0" fontId="16" fillId="39" borderId="0" xfId="0" applyFont="1" applyFill="1" applyAlignment="1">
      <alignment horizontal="center"/>
    </xf>
    <xf numFmtId="0" fontId="16" fillId="40" borderId="0" xfId="0" applyFont="1" applyFill="1" applyAlignment="1">
      <alignment horizontal="center"/>
    </xf>
    <xf numFmtId="0" fontId="16" fillId="41" borderId="0" xfId="0" applyFont="1" applyFill="1" applyAlignment="1">
      <alignment horizontal="center"/>
    </xf>
    <xf numFmtId="0" fontId="16" fillId="42" borderId="0" xfId="0" applyFont="1" applyFill="1" applyAlignment="1">
      <alignment horizontal="center"/>
    </xf>
    <xf numFmtId="0" fontId="16" fillId="43" borderId="0" xfId="0" applyFont="1" applyFill="1" applyAlignment="1">
      <alignment horizontal="center"/>
    </xf>
    <xf numFmtId="0" fontId="16" fillId="44" borderId="0" xfId="0" applyFont="1" applyFill="1" applyAlignment="1">
      <alignment horizontal="center"/>
    </xf>
    <xf numFmtId="0" fontId="16" fillId="45" borderId="240" xfId="0" applyFont="1" applyFill="1" applyBorder="1" applyAlignment="1">
      <alignment horizontal="center"/>
    </xf>
    <xf numFmtId="0" fontId="16" fillId="26" borderId="0" xfId="0" applyFont="1" applyFill="1"/>
    <xf numFmtId="0" fontId="16" fillId="3" borderId="138" xfId="0" applyFont="1" applyFill="1" applyBorder="1" applyAlignment="1">
      <alignment horizontal="centerContinuous"/>
    </xf>
    <xf numFmtId="0" fontId="16" fillId="3" borderId="6" xfId="0" applyFont="1" applyFill="1" applyBorder="1" applyAlignment="1">
      <alignment horizontal="centerContinuous"/>
    </xf>
    <xf numFmtId="0" fontId="16" fillId="3" borderId="139" xfId="0" applyFont="1" applyFill="1" applyBorder="1" applyAlignment="1">
      <alignment horizontal="centerContinuous"/>
    </xf>
    <xf numFmtId="0" fontId="127" fillId="0" borderId="248" xfId="0" applyFont="1" applyBorder="1"/>
    <xf numFmtId="0" fontId="127" fillId="0" borderId="0" xfId="0" applyFont="1"/>
    <xf numFmtId="0" fontId="130" fillId="0" borderId="0" xfId="0" applyFont="1"/>
    <xf numFmtId="0" fontId="130" fillId="0" borderId="240" xfId="0" applyFont="1" applyBorder="1"/>
    <xf numFmtId="0" fontId="0" fillId="4" borderId="249" xfId="0" applyFill="1" applyBorder="1" applyAlignment="1">
      <alignment horizontal="center"/>
    </xf>
    <xf numFmtId="0" fontId="0" fillId="4" borderId="250" xfId="0" applyFill="1" applyBorder="1" applyAlignment="1">
      <alignment horizontal="center"/>
    </xf>
    <xf numFmtId="0" fontId="131" fillId="31" borderId="251" xfId="0" applyFont="1" applyFill="1" applyBorder="1" applyAlignment="1" applyProtection="1">
      <alignment horizontal="center"/>
      <protection locked="0"/>
    </xf>
    <xf numFmtId="0" fontId="131" fillId="31" borderId="252" xfId="0" applyFont="1" applyFill="1" applyBorder="1" applyAlignment="1" applyProtection="1">
      <alignment horizontal="center"/>
      <protection locked="0"/>
    </xf>
    <xf numFmtId="0" fontId="131" fillId="31" borderId="253" xfId="0" applyFont="1" applyFill="1" applyBorder="1" applyAlignment="1" applyProtection="1">
      <alignment horizontal="center"/>
      <protection locked="0"/>
    </xf>
    <xf numFmtId="37" fontId="25" fillId="26" borderId="249" xfId="10" applyNumberFormat="1" applyFont="1" applyFill="1" applyBorder="1" applyAlignment="1">
      <alignment horizontal="center"/>
    </xf>
    <xf numFmtId="1" fontId="0" fillId="0" borderId="254" xfId="10" applyNumberFormat="1" applyFont="1" applyFill="1" applyBorder="1" applyAlignment="1">
      <alignment horizontal="center" vertical="center"/>
    </xf>
    <xf numFmtId="1" fontId="0" fillId="0" borderId="255" xfId="10" applyNumberFormat="1" applyFont="1" applyFill="1" applyBorder="1" applyAlignment="1">
      <alignment horizontal="center" vertical="center"/>
    </xf>
    <xf numFmtId="1" fontId="0" fillId="0" borderId="250" xfId="10" applyNumberFormat="1" applyFont="1" applyFill="1" applyBorder="1" applyAlignment="1">
      <alignment horizontal="center" vertical="center"/>
    </xf>
    <xf numFmtId="1" fontId="0" fillId="0" borderId="253" xfId="10" applyNumberFormat="1" applyFont="1" applyFill="1" applyBorder="1" applyAlignment="1">
      <alignment horizontal="center" vertical="center"/>
    </xf>
    <xf numFmtId="0" fontId="16" fillId="0" borderId="1" xfId="0" applyFont="1" applyBorder="1"/>
    <xf numFmtId="0" fontId="0" fillId="46" borderId="140" xfId="0" applyFill="1" applyBorder="1"/>
    <xf numFmtId="0" fontId="16" fillId="46" borderId="140" xfId="0" applyFont="1" applyFill="1" applyBorder="1" applyAlignment="1">
      <alignment horizontal="center"/>
    </xf>
    <xf numFmtId="0" fontId="16" fillId="0" borderId="248" xfId="0" applyFont="1" applyBorder="1"/>
    <xf numFmtId="0" fontId="16" fillId="3" borderId="138" xfId="0" applyFont="1" applyFill="1" applyBorder="1" applyAlignment="1">
      <alignment horizontal="left" vertical="center"/>
    </xf>
    <xf numFmtId="0" fontId="16" fillId="3" borderId="6" xfId="0" applyFont="1" applyFill="1" applyBorder="1" applyAlignment="1">
      <alignment horizontal="center"/>
    </xf>
    <xf numFmtId="0" fontId="16" fillId="3" borderId="139" xfId="0" applyFont="1" applyFill="1" applyBorder="1" applyAlignment="1">
      <alignment horizontal="center"/>
    </xf>
    <xf numFmtId="0" fontId="16" fillId="3" borderId="138" xfId="0" applyFont="1" applyFill="1" applyBorder="1" applyAlignment="1">
      <alignment horizontal="center" vertical="center"/>
    </xf>
    <xf numFmtId="0" fontId="131" fillId="31" borderId="140" xfId="0" applyFont="1" applyFill="1" applyBorder="1" applyAlignment="1" applyProtection="1">
      <alignment horizontal="center"/>
      <protection locked="0"/>
    </xf>
    <xf numFmtId="0" fontId="25" fillId="0" borderId="0" xfId="0" applyFont="1" applyAlignment="1">
      <alignment vertical="center"/>
    </xf>
    <xf numFmtId="0" fontId="124" fillId="0" borderId="0" xfId="0" applyFont="1"/>
    <xf numFmtId="0" fontId="25" fillId="0" borderId="0" xfId="0" applyFont="1" applyAlignment="1">
      <alignment horizontal="center"/>
    </xf>
    <xf numFmtId="0" fontId="55" fillId="0" borderId="0" xfId="0" applyFont="1" applyAlignment="1">
      <alignment horizontal="center"/>
    </xf>
    <xf numFmtId="0" fontId="55" fillId="0" borderId="240" xfId="0" applyFont="1" applyBorder="1"/>
    <xf numFmtId="0" fontId="0" fillId="47" borderId="256" xfId="0" applyFill="1" applyBorder="1" applyAlignment="1">
      <alignment horizontal="center"/>
    </xf>
    <xf numFmtId="0" fontId="0" fillId="47" borderId="6" xfId="0" applyFill="1" applyBorder="1" applyAlignment="1">
      <alignment horizontal="center"/>
    </xf>
    <xf numFmtId="0" fontId="131" fillId="31" borderId="257" xfId="0" applyFont="1" applyFill="1" applyBorder="1" applyAlignment="1" applyProtection="1">
      <alignment horizontal="center"/>
      <protection locked="0"/>
    </xf>
    <xf numFmtId="0" fontId="131" fillId="31" borderId="258" xfId="0" applyFont="1" applyFill="1" applyBorder="1" applyAlignment="1" applyProtection="1">
      <alignment horizontal="center"/>
      <protection locked="0"/>
    </xf>
    <xf numFmtId="0" fontId="131" fillId="31" borderId="259" xfId="0" applyFont="1" applyFill="1" applyBorder="1" applyAlignment="1" applyProtection="1">
      <alignment horizontal="center"/>
      <protection locked="0"/>
    </xf>
    <xf numFmtId="37" fontId="25" fillId="26" borderId="256" xfId="10" applyNumberFormat="1" applyFont="1" applyFill="1" applyBorder="1" applyAlignment="1">
      <alignment horizontal="center"/>
    </xf>
    <xf numFmtId="1" fontId="0" fillId="0" borderId="260" xfId="10" applyNumberFormat="1" applyFont="1" applyFill="1" applyBorder="1" applyAlignment="1">
      <alignment horizontal="center" vertical="center"/>
    </xf>
    <xf numFmtId="1" fontId="0" fillId="0" borderId="137" xfId="10" applyNumberFormat="1" applyFont="1" applyFill="1" applyBorder="1" applyAlignment="1">
      <alignment horizontal="center" vertical="center"/>
    </xf>
    <xf numFmtId="1" fontId="0" fillId="0" borderId="1" xfId="10" applyNumberFormat="1" applyFont="1" applyFill="1" applyBorder="1" applyAlignment="1">
      <alignment horizontal="center" vertical="center"/>
    </xf>
    <xf numFmtId="1" fontId="0" fillId="0" borderId="259" xfId="10" applyNumberFormat="1" applyFont="1" applyFill="1" applyBorder="1" applyAlignment="1">
      <alignment horizontal="center" vertical="center"/>
    </xf>
    <xf numFmtId="0" fontId="16" fillId="43" borderId="28" xfId="0" applyFont="1" applyFill="1" applyBorder="1"/>
    <xf numFmtId="0" fontId="16" fillId="43" borderId="119" xfId="0" applyFont="1" applyFill="1" applyBorder="1"/>
    <xf numFmtId="0" fontId="16" fillId="43" borderId="134" xfId="0" applyFont="1" applyFill="1" applyBorder="1"/>
    <xf numFmtId="0" fontId="16" fillId="39" borderId="28" xfId="0" applyFont="1" applyFill="1" applyBorder="1"/>
    <xf numFmtId="0" fontId="16" fillId="39" borderId="134" xfId="0" applyFont="1" applyFill="1" applyBorder="1"/>
    <xf numFmtId="0" fontId="16" fillId="43" borderId="261" xfId="0" applyFont="1" applyFill="1" applyBorder="1"/>
    <xf numFmtId="0" fontId="16" fillId="39" borderId="140" xfId="0" applyFont="1" applyFill="1" applyBorder="1" applyAlignment="1">
      <alignment horizontal="right"/>
    </xf>
    <xf numFmtId="0" fontId="0" fillId="0" borderId="140" xfId="0" applyBorder="1" applyAlignment="1">
      <alignment horizontal="center"/>
    </xf>
    <xf numFmtId="0" fontId="0" fillId="0" borderId="248" xfId="0" applyBorder="1"/>
    <xf numFmtId="0" fontId="16" fillId="0" borderId="0" xfId="0" applyFont="1" applyAlignment="1">
      <alignment vertical="center"/>
    </xf>
    <xf numFmtId="0" fontId="20" fillId="0" borderId="240" xfId="0" applyFont="1" applyBorder="1"/>
    <xf numFmtId="0" fontId="0" fillId="47" borderId="262" xfId="0" applyFill="1" applyBorder="1" applyAlignment="1">
      <alignment horizontal="center"/>
    </xf>
    <xf numFmtId="0" fontId="0" fillId="47" borderId="263" xfId="0" applyFill="1" applyBorder="1" applyAlignment="1">
      <alignment horizontal="center"/>
    </xf>
    <xf numFmtId="0" fontId="131" fillId="31" borderId="264" xfId="0" applyFont="1" applyFill="1" applyBorder="1" applyAlignment="1" applyProtection="1">
      <alignment horizontal="center"/>
      <protection locked="0"/>
    </xf>
    <xf numFmtId="0" fontId="131" fillId="31" borderId="265" xfId="0" applyFont="1" applyFill="1" applyBorder="1" applyAlignment="1" applyProtection="1">
      <alignment horizontal="center"/>
      <protection locked="0"/>
    </xf>
    <xf numFmtId="0" fontId="131" fillId="31" borderId="266" xfId="0" applyFont="1" applyFill="1" applyBorder="1" applyAlignment="1" applyProtection="1">
      <alignment horizontal="center"/>
      <protection locked="0"/>
    </xf>
    <xf numFmtId="37" fontId="25" fillId="26" borderId="244" xfId="10" applyNumberFormat="1" applyFont="1" applyFill="1" applyBorder="1" applyAlignment="1">
      <alignment horizontal="center"/>
    </xf>
    <xf numFmtId="1" fontId="0" fillId="0" borderId="267" xfId="10" applyNumberFormat="1" applyFont="1" applyFill="1" applyBorder="1" applyAlignment="1">
      <alignment horizontal="center" vertical="center"/>
    </xf>
    <xf numFmtId="1" fontId="0" fillId="0" borderId="268" xfId="10" applyNumberFormat="1" applyFont="1" applyFill="1" applyBorder="1" applyAlignment="1">
      <alignment horizontal="center" vertical="center"/>
    </xf>
    <xf numFmtId="1" fontId="0" fillId="0" borderId="234" xfId="10" applyNumberFormat="1" applyFont="1" applyFill="1" applyBorder="1" applyAlignment="1">
      <alignment horizontal="center" vertical="center"/>
    </xf>
    <xf numFmtId="1" fontId="0" fillId="0" borderId="266" xfId="10" applyNumberFormat="1" applyFont="1" applyFill="1" applyBorder="1" applyAlignment="1">
      <alignment horizontal="center" vertical="center"/>
    </xf>
    <xf numFmtId="1" fontId="0" fillId="0" borderId="0" xfId="10" applyNumberFormat="1" applyFont="1" applyFill="1" applyBorder="1" applyAlignment="1">
      <alignment horizontal="center" vertical="center"/>
    </xf>
    <xf numFmtId="0" fontId="16" fillId="43" borderId="29" xfId="0" applyFont="1" applyFill="1" applyBorder="1"/>
    <xf numFmtId="0" fontId="16" fillId="43" borderId="0" xfId="0" applyFont="1" applyFill="1"/>
    <xf numFmtId="0" fontId="16" fillId="43" borderId="135" xfId="0" applyFont="1" applyFill="1" applyBorder="1"/>
    <xf numFmtId="0" fontId="16" fillId="39" borderId="29" xfId="0" applyFont="1" applyFill="1" applyBorder="1"/>
    <xf numFmtId="0" fontId="16" fillId="39" borderId="135" xfId="0" applyFont="1" applyFill="1" applyBorder="1"/>
    <xf numFmtId="0" fontId="16" fillId="43" borderId="269" xfId="0" applyFont="1" applyFill="1" applyBorder="1"/>
    <xf numFmtId="0" fontId="16" fillId="0" borderId="270" xfId="0" applyFont="1" applyBorder="1"/>
    <xf numFmtId="167" fontId="132" fillId="0" borderId="233" xfId="10" applyNumberFormat="1" applyFont="1" applyBorder="1"/>
    <xf numFmtId="167" fontId="132" fillId="0" borderId="271" xfId="10" applyNumberFormat="1" applyFont="1" applyBorder="1"/>
    <xf numFmtId="167" fontId="132" fillId="0" borderId="233" xfId="10" applyNumberFormat="1" applyFont="1" applyFill="1" applyBorder="1"/>
    <xf numFmtId="167" fontId="132" fillId="0" borderId="143" xfId="10" applyNumberFormat="1" applyFont="1" applyFill="1" applyBorder="1"/>
    <xf numFmtId="0" fontId="16" fillId="43" borderId="136" xfId="0" applyFont="1" applyFill="1" applyBorder="1"/>
    <xf numFmtId="0" fontId="16" fillId="43" borderId="1" xfId="0" applyFont="1" applyFill="1" applyBorder="1"/>
    <xf numFmtId="0" fontId="16" fillId="43" borderId="137" xfId="0" applyFont="1" applyFill="1" applyBorder="1"/>
    <xf numFmtId="0" fontId="16" fillId="39" borderId="136" xfId="0" applyFont="1" applyFill="1" applyBorder="1"/>
    <xf numFmtId="0" fontId="16" fillId="39" borderId="137" xfId="0" applyFont="1" applyFill="1" applyBorder="1"/>
    <xf numFmtId="0" fontId="16" fillId="43" borderId="272" xfId="0" applyFont="1" applyFill="1" applyBorder="1"/>
    <xf numFmtId="0" fontId="16" fillId="43" borderId="140" xfId="0" applyFont="1" applyFill="1" applyBorder="1" applyAlignment="1">
      <alignment horizontal="right"/>
    </xf>
    <xf numFmtId="0" fontId="16" fillId="0" borderId="0" xfId="0" applyFont="1" applyAlignment="1">
      <alignment horizontal="left"/>
    </xf>
    <xf numFmtId="0" fontId="55" fillId="0" borderId="0" xfId="0" applyFont="1" applyAlignment="1">
      <alignment horizontal="right"/>
    </xf>
    <xf numFmtId="167" fontId="132" fillId="0" borderId="0" xfId="10" applyNumberFormat="1" applyFont="1" applyBorder="1"/>
    <xf numFmtId="0" fontId="16" fillId="0" borderId="246" xfId="0" applyFont="1" applyBorder="1"/>
    <xf numFmtId="0" fontId="16" fillId="0" borderId="273" xfId="0" applyFont="1" applyBorder="1"/>
    <xf numFmtId="0" fontId="55" fillId="0" borderId="0" xfId="0" applyFont="1"/>
    <xf numFmtId="0" fontId="16" fillId="0" borderId="242" xfId="0" applyFont="1" applyBorder="1"/>
    <xf numFmtId="0" fontId="16" fillId="0" borderId="239" xfId="0" applyFont="1" applyBorder="1"/>
    <xf numFmtId="0" fontId="16" fillId="0" borderId="241" xfId="0" applyFont="1" applyBorder="1" applyAlignment="1">
      <alignment horizontal="left"/>
    </xf>
    <xf numFmtId="0" fontId="16" fillId="0" borderId="242" xfId="0" applyFont="1" applyBorder="1" applyAlignment="1">
      <alignment horizontal="center"/>
    </xf>
    <xf numFmtId="0" fontId="16" fillId="0" borderId="29" xfId="0" applyFont="1" applyBorder="1"/>
    <xf numFmtId="0" fontId="16" fillId="0" borderId="248" xfId="0" applyFont="1" applyBorder="1" applyAlignment="1">
      <alignment horizontal="center"/>
    </xf>
    <xf numFmtId="0" fontId="16" fillId="45" borderId="0" xfId="0" applyFont="1" applyFill="1" applyAlignment="1">
      <alignment horizontal="center"/>
    </xf>
    <xf numFmtId="0" fontId="16" fillId="39" borderId="248" xfId="0" applyFont="1" applyFill="1" applyBorder="1"/>
    <xf numFmtId="0" fontId="16" fillId="40" borderId="0" xfId="0" applyFont="1" applyFill="1"/>
    <xf numFmtId="0" fontId="16" fillId="41" borderId="0" xfId="0" applyFont="1" applyFill="1"/>
    <xf numFmtId="0" fontId="16" fillId="44" borderId="0" xfId="0" applyFont="1" applyFill="1"/>
    <xf numFmtId="0" fontId="16" fillId="45" borderId="274" xfId="0" applyFont="1" applyFill="1" applyBorder="1"/>
    <xf numFmtId="0" fontId="0" fillId="4" borderId="260" xfId="0" applyFill="1" applyBorder="1" applyAlignment="1">
      <alignment horizontal="center"/>
    </xf>
    <xf numFmtId="0" fontId="0" fillId="4" borderId="274" xfId="0" applyFill="1" applyBorder="1" applyAlignment="1">
      <alignment horizontal="center"/>
    </xf>
    <xf numFmtId="0" fontId="16" fillId="0" borderId="258" xfId="0" applyFont="1" applyBorder="1"/>
    <xf numFmtId="0" fontId="133" fillId="0" borderId="275" xfId="0" applyFont="1" applyBorder="1" applyAlignment="1">
      <alignment horizontal="center"/>
    </xf>
    <xf numFmtId="0" fontId="0" fillId="0" borderId="276" xfId="0" applyBorder="1" applyAlignment="1">
      <alignment horizontal="center"/>
    </xf>
    <xf numFmtId="1" fontId="0" fillId="0" borderId="275" xfId="0" applyNumberFormat="1" applyBorder="1"/>
    <xf numFmtId="1" fontId="0" fillId="0" borderId="119" xfId="0" applyNumberFormat="1" applyBorder="1"/>
    <xf numFmtId="1" fontId="0" fillId="0" borderId="134" xfId="0" applyNumberFormat="1" applyBorder="1"/>
    <xf numFmtId="1" fontId="0" fillId="0" borderId="28" xfId="0" applyNumberFormat="1" applyBorder="1"/>
    <xf numFmtId="1" fontId="0" fillId="0" borderId="240" xfId="0" applyNumberFormat="1" applyBorder="1"/>
    <xf numFmtId="0" fontId="0" fillId="0" borderId="248" xfId="0" applyBorder="1" applyAlignment="1">
      <alignment horizontal="center"/>
    </xf>
    <xf numFmtId="0" fontId="0" fillId="0" borderId="240" xfId="0" applyBorder="1" applyAlignment="1">
      <alignment horizontal="center"/>
    </xf>
    <xf numFmtId="0" fontId="133" fillId="0" borderId="248" xfId="0" applyFont="1" applyBorder="1" applyAlignment="1">
      <alignment horizontal="center"/>
    </xf>
    <xf numFmtId="0" fontId="0" fillId="0" borderId="29" xfId="0" applyBorder="1" applyAlignment="1">
      <alignment horizontal="center"/>
    </xf>
    <xf numFmtId="0" fontId="0" fillId="0" borderId="135" xfId="0" applyBorder="1" applyAlignment="1">
      <alignment horizontal="center"/>
    </xf>
    <xf numFmtId="1" fontId="0" fillId="0" borderId="248" xfId="0" applyNumberFormat="1" applyBorder="1"/>
    <xf numFmtId="1" fontId="0" fillId="0" borderId="29" xfId="0" applyNumberFormat="1" applyBorder="1"/>
    <xf numFmtId="1" fontId="0" fillId="0" borderId="135" xfId="0" applyNumberFormat="1" applyBorder="1"/>
    <xf numFmtId="0" fontId="133" fillId="0" borderId="260" xfId="0" applyFont="1" applyBorder="1" applyAlignment="1">
      <alignment horizontal="center"/>
    </xf>
    <xf numFmtId="0" fontId="0" fillId="0" borderId="137" xfId="0" applyBorder="1" applyAlignment="1">
      <alignment horizontal="center"/>
    </xf>
    <xf numFmtId="0" fontId="0" fillId="0" borderId="1" xfId="0" applyBorder="1" applyAlignment="1">
      <alignment horizontal="center"/>
    </xf>
    <xf numFmtId="0" fontId="0" fillId="0" borderId="274" xfId="0" applyBorder="1" applyAlignment="1">
      <alignment horizontal="center"/>
    </xf>
    <xf numFmtId="1" fontId="0" fillId="0" borderId="260" xfId="0" applyNumberFormat="1" applyBorder="1"/>
    <xf numFmtId="1" fontId="0" fillId="0" borderId="136" xfId="0" applyNumberFormat="1" applyBorder="1"/>
    <xf numFmtId="1" fontId="0" fillId="0" borderId="137" xfId="0" applyNumberFormat="1" applyBorder="1"/>
    <xf numFmtId="1" fontId="0" fillId="0" borderId="274" xfId="0" applyNumberFormat="1" applyBorder="1"/>
    <xf numFmtId="0" fontId="16" fillId="44" borderId="28" xfId="0" applyFont="1" applyFill="1" applyBorder="1"/>
    <xf numFmtId="0" fontId="16" fillId="44" borderId="119" xfId="0" applyFont="1" applyFill="1" applyBorder="1"/>
    <xf numFmtId="0" fontId="16" fillId="44" borderId="134" xfId="0" applyFont="1" applyFill="1" applyBorder="1"/>
    <xf numFmtId="0" fontId="16" fillId="40" borderId="28" xfId="0" applyFont="1" applyFill="1" applyBorder="1"/>
    <xf numFmtId="0" fontId="16" fillId="40" borderId="134" xfId="0" applyFont="1" applyFill="1" applyBorder="1"/>
    <xf numFmtId="0" fontId="16" fillId="44" borderId="261" xfId="0" applyFont="1" applyFill="1" applyBorder="1"/>
    <xf numFmtId="0" fontId="16" fillId="40" borderId="140" xfId="0" applyFont="1" applyFill="1" applyBorder="1" applyAlignment="1">
      <alignment horizontal="center"/>
    </xf>
    <xf numFmtId="0" fontId="16" fillId="44" borderId="29" xfId="0" applyFont="1" applyFill="1" applyBorder="1"/>
    <xf numFmtId="0" fontId="16" fillId="44" borderId="135" xfId="0" applyFont="1" applyFill="1" applyBorder="1"/>
    <xf numFmtId="0" fontId="16" fillId="40" borderId="29" xfId="0" applyFont="1" applyFill="1" applyBorder="1"/>
    <xf numFmtId="0" fontId="16" fillId="40" borderId="135" xfId="0" applyFont="1" applyFill="1" applyBorder="1"/>
    <xf numFmtId="0" fontId="16" fillId="44" borderId="269" xfId="0" applyFont="1" applyFill="1" applyBorder="1"/>
    <xf numFmtId="0" fontId="20" fillId="0" borderId="0" xfId="0" applyFont="1" applyAlignment="1">
      <alignment horizontal="right"/>
    </xf>
    <xf numFmtId="0" fontId="16" fillId="44" borderId="136" xfId="0" applyFont="1" applyFill="1" applyBorder="1"/>
    <xf numFmtId="0" fontId="16" fillId="44" borderId="1" xfId="0" applyFont="1" applyFill="1" applyBorder="1"/>
    <xf numFmtId="0" fontId="16" fillId="44" borderId="137" xfId="0" applyFont="1" applyFill="1" applyBorder="1"/>
    <xf numFmtId="0" fontId="16" fillId="40" borderId="136" xfId="0" applyFont="1" applyFill="1" applyBorder="1"/>
    <xf numFmtId="0" fontId="16" fillId="40" borderId="137" xfId="0" applyFont="1" applyFill="1" applyBorder="1"/>
    <xf numFmtId="0" fontId="16" fillId="44" borderId="272" xfId="0" applyFont="1" applyFill="1" applyBorder="1"/>
    <xf numFmtId="0" fontId="16" fillId="44" borderId="140" xfId="0" applyFont="1" applyFill="1" applyBorder="1" applyAlignment="1">
      <alignment horizontal="center"/>
    </xf>
    <xf numFmtId="1" fontId="0" fillId="0" borderId="0" xfId="10" applyNumberFormat="1" applyFont="1" applyFill="1" applyBorder="1" applyAlignment="1" applyProtection="1">
      <alignment horizontal="center" vertical="center"/>
      <protection locked="0"/>
    </xf>
    <xf numFmtId="0" fontId="16" fillId="0" borderId="135" xfId="0" applyFont="1" applyBorder="1"/>
    <xf numFmtId="0" fontId="16" fillId="0" borderId="134" xfId="0" applyFont="1" applyBorder="1"/>
    <xf numFmtId="0" fontId="0" fillId="0" borderId="0" xfId="0" applyAlignment="1">
      <alignment horizontal="left" vertical="center" wrapText="1"/>
    </xf>
    <xf numFmtId="0" fontId="16" fillId="0" borderId="137" xfId="0" applyFont="1" applyBorder="1"/>
    <xf numFmtId="0" fontId="0" fillId="26" borderId="243" xfId="0" applyFill="1" applyBorder="1" applyAlignment="1">
      <alignment horizontal="center"/>
    </xf>
    <xf numFmtId="0" fontId="16" fillId="26" borderId="241" xfId="0" applyFont="1" applyFill="1" applyBorder="1" applyAlignment="1">
      <alignment horizontal="center"/>
    </xf>
    <xf numFmtId="0" fontId="16" fillId="26" borderId="242" xfId="0" applyFont="1" applyFill="1" applyBorder="1" applyAlignment="1">
      <alignment horizontal="center"/>
    </xf>
    <xf numFmtId="0" fontId="16" fillId="26" borderId="239" xfId="0" applyFont="1" applyFill="1" applyBorder="1" applyAlignment="1">
      <alignment horizontal="center"/>
    </xf>
    <xf numFmtId="0" fontId="16" fillId="0" borderId="0" xfId="10" applyNumberFormat="1" applyFont="1" applyFill="1" applyBorder="1" applyAlignment="1">
      <alignment horizontal="center" vertical="center"/>
    </xf>
    <xf numFmtId="0" fontId="16" fillId="0" borderId="135" xfId="10" applyNumberFormat="1" applyFont="1" applyFill="1" applyBorder="1" applyAlignment="1">
      <alignment horizontal="center" vertical="center"/>
    </xf>
    <xf numFmtId="0" fontId="16" fillId="0" borderId="240" xfId="10" applyNumberFormat="1" applyFont="1" applyFill="1" applyBorder="1" applyAlignment="1">
      <alignment horizontal="center" vertical="center"/>
    </xf>
    <xf numFmtId="0" fontId="0" fillId="26" borderId="244" xfId="0" applyFill="1" applyBorder="1" applyAlignment="1">
      <alignment horizontal="center"/>
    </xf>
    <xf numFmtId="0" fontId="0" fillId="26" borderId="234" xfId="0" applyFill="1" applyBorder="1" applyAlignment="1">
      <alignment horizontal="right"/>
    </xf>
    <xf numFmtId="0" fontId="131" fillId="31" borderId="270" xfId="0" applyFont="1" applyFill="1" applyBorder="1" applyAlignment="1" applyProtection="1">
      <alignment horizontal="center"/>
      <protection locked="0"/>
    </xf>
    <xf numFmtId="0" fontId="131" fillId="31" borderId="277" xfId="0" applyFont="1" applyFill="1" applyBorder="1" applyAlignment="1" applyProtection="1">
      <alignment horizontal="center"/>
      <protection locked="0"/>
    </xf>
    <xf numFmtId="0" fontId="131" fillId="31" borderId="278" xfId="0" applyFont="1" applyFill="1" applyBorder="1" applyAlignment="1" applyProtection="1">
      <alignment horizontal="center"/>
      <protection locked="0"/>
    </xf>
    <xf numFmtId="0" fontId="25" fillId="26" borderId="143" xfId="0" applyFont="1" applyFill="1" applyBorder="1" applyAlignment="1">
      <alignment horizontal="center"/>
    </xf>
    <xf numFmtId="0" fontId="0" fillId="26" borderId="234" xfId="0" applyFill="1" applyBorder="1"/>
    <xf numFmtId="0" fontId="0" fillId="26" borderId="279" xfId="0" applyFill="1" applyBorder="1"/>
    <xf numFmtId="0" fontId="16" fillId="43" borderId="140" xfId="0" applyFont="1" applyFill="1" applyBorder="1" applyAlignment="1">
      <alignment horizontal="center"/>
    </xf>
    <xf numFmtId="0" fontId="0" fillId="26" borderId="138" xfId="0" applyFill="1" applyBorder="1"/>
    <xf numFmtId="0" fontId="0" fillId="26" borderId="0" xfId="0" applyFill="1" applyAlignment="1">
      <alignment horizontal="left" vertical="center" wrapText="1"/>
    </xf>
    <xf numFmtId="0" fontId="0" fillId="0" borderId="234" xfId="0" applyBorder="1"/>
    <xf numFmtId="0" fontId="0" fillId="0" borderId="267" xfId="0" applyBorder="1"/>
    <xf numFmtId="0" fontId="16" fillId="0" borderId="280" xfId="0" applyFont="1" applyBorder="1" applyAlignment="1">
      <alignment horizontal="center"/>
    </xf>
    <xf numFmtId="0" fontId="16" fillId="0" borderId="281" xfId="0" applyFont="1" applyBorder="1" applyAlignment="1">
      <alignment horizontal="center"/>
    </xf>
    <xf numFmtId="0" fontId="0" fillId="0" borderId="267" xfId="0" applyBorder="1" applyAlignment="1">
      <alignment horizontal="center"/>
    </xf>
    <xf numFmtId="0" fontId="0" fillId="0" borderId="279" xfId="0" applyBorder="1" applyAlignment="1">
      <alignment horizontal="center"/>
    </xf>
    <xf numFmtId="0" fontId="134" fillId="36" borderId="241" xfId="0" applyFont="1" applyFill="1" applyBorder="1"/>
    <xf numFmtId="0" fontId="135" fillId="36" borderId="242" xfId="0" applyFont="1" applyFill="1" applyBorder="1"/>
    <xf numFmtId="0" fontId="136" fillId="36" borderId="242" xfId="0" applyFont="1" applyFill="1" applyBorder="1"/>
    <xf numFmtId="0" fontId="136" fillId="36" borderId="239" xfId="0" applyFont="1" applyFill="1" applyBorder="1"/>
    <xf numFmtId="0" fontId="130" fillId="36" borderId="248" xfId="0" applyFont="1" applyFill="1" applyBorder="1"/>
    <xf numFmtId="0" fontId="135" fillId="36" borderId="0" xfId="0" applyFont="1" applyFill="1"/>
    <xf numFmtId="0" fontId="136" fillId="36" borderId="0" xfId="0" applyFont="1" applyFill="1"/>
    <xf numFmtId="0" fontId="136" fillId="36" borderId="240" xfId="0" applyFont="1" applyFill="1" applyBorder="1"/>
    <xf numFmtId="0" fontId="0" fillId="48" borderId="0" xfId="0" applyFill="1"/>
    <xf numFmtId="0" fontId="134" fillId="36" borderId="267" xfId="0" applyFont="1" applyFill="1" applyBorder="1"/>
    <xf numFmtId="0" fontId="135" fillId="36" borderId="234" xfId="0" applyFont="1" applyFill="1" applyBorder="1"/>
    <xf numFmtId="0" fontId="136" fillId="36" borderId="234" xfId="0" applyFont="1" applyFill="1" applyBorder="1"/>
    <xf numFmtId="0" fontId="136" fillId="36" borderId="279" xfId="0" applyFont="1" applyFill="1" applyBorder="1"/>
    <xf numFmtId="0" fontId="128" fillId="39" borderId="267" xfId="0" applyFont="1" applyFill="1" applyBorder="1"/>
    <xf numFmtId="0" fontId="133" fillId="39" borderId="234" xfId="0" applyFont="1" applyFill="1" applyBorder="1" applyAlignment="1">
      <alignment horizontal="center"/>
    </xf>
    <xf numFmtId="0" fontId="133" fillId="39" borderId="234" xfId="0" applyFont="1" applyFill="1" applyBorder="1"/>
    <xf numFmtId="0" fontId="133" fillId="39" borderId="279" xfId="0" applyFont="1" applyFill="1" applyBorder="1"/>
    <xf numFmtId="0" fontId="12" fillId="39" borderId="0" xfId="0" applyFont="1" applyFill="1"/>
    <xf numFmtId="0" fontId="12" fillId="39" borderId="240" xfId="0" applyFont="1" applyFill="1" applyBorder="1"/>
    <xf numFmtId="0" fontId="136" fillId="5" borderId="142" xfId="0" applyFont="1" applyFill="1" applyBorder="1"/>
    <xf numFmtId="0" fontId="136" fillId="5" borderId="233" xfId="0" applyFont="1" applyFill="1" applyBorder="1" applyAlignment="1">
      <alignment horizontal="left"/>
    </xf>
    <xf numFmtId="0" fontId="136" fillId="5" borderId="233" xfId="0" applyFont="1" applyFill="1" applyBorder="1" applyAlignment="1">
      <alignment horizontal="center"/>
    </xf>
    <xf numFmtId="167" fontId="136" fillId="5" borderId="143" xfId="10" applyNumberFormat="1" applyFont="1" applyFill="1" applyBorder="1" applyAlignment="1">
      <alignment horizontal="center"/>
    </xf>
    <xf numFmtId="0" fontId="136" fillId="5" borderId="233" xfId="0" applyFont="1" applyFill="1" applyBorder="1"/>
    <xf numFmtId="0" fontId="136" fillId="5" borderId="143" xfId="0" applyFont="1" applyFill="1" applyBorder="1"/>
    <xf numFmtId="167" fontId="136" fillId="5" borderId="142" xfId="10" applyNumberFormat="1" applyFont="1" applyFill="1" applyBorder="1" applyAlignment="1">
      <alignment horizontal="center"/>
    </xf>
    <xf numFmtId="167" fontId="136" fillId="5" borderId="143" xfId="10" applyNumberFormat="1" applyFont="1" applyFill="1" applyBorder="1"/>
    <xf numFmtId="0" fontId="136" fillId="5" borderId="241" xfId="0" applyFont="1" applyFill="1" applyBorder="1"/>
    <xf numFmtId="0" fontId="136" fillId="5" borderId="242" xfId="0" applyFont="1" applyFill="1" applyBorder="1" applyAlignment="1">
      <alignment horizontal="center"/>
    </xf>
    <xf numFmtId="167" fontId="136" fillId="5" borderId="239" xfId="10" applyNumberFormat="1" applyFont="1" applyFill="1" applyBorder="1" applyAlignment="1">
      <alignment horizontal="center"/>
    </xf>
    <xf numFmtId="0" fontId="136" fillId="5" borderId="241" xfId="0" applyFont="1" applyFill="1" applyBorder="1" applyAlignment="1">
      <alignment horizontal="center"/>
    </xf>
    <xf numFmtId="0" fontId="136" fillId="5" borderId="239" xfId="0" applyFont="1" applyFill="1" applyBorder="1" applyAlignment="1">
      <alignment horizontal="center"/>
    </xf>
    <xf numFmtId="167" fontId="136" fillId="5" borderId="241" xfId="10" applyNumberFormat="1" applyFont="1" applyFill="1" applyBorder="1" applyAlignment="1">
      <alignment horizontal="center"/>
    </xf>
    <xf numFmtId="167" fontId="136" fillId="5" borderId="239" xfId="10" applyNumberFormat="1" applyFont="1" applyFill="1" applyBorder="1"/>
    <xf numFmtId="0" fontId="136" fillId="5" borderId="260" xfId="0" applyFont="1" applyFill="1" applyBorder="1"/>
    <xf numFmtId="0" fontId="136" fillId="5" borderId="1" xfId="0" applyFont="1" applyFill="1" applyBorder="1" applyAlignment="1">
      <alignment horizontal="center"/>
    </xf>
    <xf numFmtId="0" fontId="136" fillId="5" borderId="1" xfId="0" applyFont="1" applyFill="1" applyBorder="1" applyAlignment="1">
      <alignment horizontal="centerContinuous"/>
    </xf>
    <xf numFmtId="167" fontId="136" fillId="5" borderId="274" xfId="10" applyNumberFormat="1" applyFont="1" applyFill="1" applyBorder="1" applyAlignment="1">
      <alignment horizontal="centerContinuous"/>
    </xf>
    <xf numFmtId="0" fontId="136" fillId="5" borderId="260" xfId="0" applyFont="1" applyFill="1" applyBorder="1" applyAlignment="1">
      <alignment horizontal="center"/>
    </xf>
    <xf numFmtId="0" fontId="136" fillId="5" borderId="274" xfId="0" applyFont="1" applyFill="1" applyBorder="1" applyAlignment="1">
      <alignment horizontal="center"/>
    </xf>
    <xf numFmtId="167" fontId="136" fillId="5" borderId="260" xfId="10" applyNumberFormat="1" applyFont="1" applyFill="1" applyBorder="1" applyAlignment="1">
      <alignment horizontal="left" indent="5"/>
    </xf>
    <xf numFmtId="0" fontId="136" fillId="5" borderId="1" xfId="0" applyFont="1" applyFill="1" applyBorder="1" applyAlignment="1">
      <alignment horizontal="left" indent="5"/>
    </xf>
    <xf numFmtId="167" fontId="136" fillId="5" borderId="274" xfId="10" applyNumberFormat="1" applyFont="1" applyFill="1" applyBorder="1" applyAlignment="1">
      <alignment horizontal="right"/>
    </xf>
    <xf numFmtId="0" fontId="0" fillId="44" borderId="1" xfId="0" applyFill="1" applyBorder="1"/>
    <xf numFmtId="0" fontId="133" fillId="49" borderId="282" xfId="0" applyFont="1" applyFill="1" applyBorder="1" applyAlignment="1">
      <alignment horizontal="left"/>
    </xf>
    <xf numFmtId="0" fontId="133" fillId="49" borderId="6" xfId="0" applyFont="1" applyFill="1" applyBorder="1" applyAlignment="1">
      <alignment horizontal="center"/>
    </xf>
    <xf numFmtId="3" fontId="133" fillId="49" borderId="6" xfId="10" applyNumberFormat="1" applyFont="1" applyFill="1" applyBorder="1" applyAlignment="1">
      <alignment horizontal="right"/>
    </xf>
    <xf numFmtId="167" fontId="133" fillId="49" borderId="283" xfId="10" applyNumberFormat="1" applyFont="1" applyFill="1" applyBorder="1" applyAlignment="1">
      <alignment horizontal="left"/>
    </xf>
    <xf numFmtId="3" fontId="133" fillId="49" borderId="260" xfId="10" applyNumberFormat="1" applyFont="1" applyFill="1" applyBorder="1" applyAlignment="1">
      <alignment horizontal="center"/>
    </xf>
    <xf numFmtId="3" fontId="133" fillId="49" borderId="1" xfId="10" applyNumberFormat="1" applyFont="1" applyFill="1" applyBorder="1" applyAlignment="1">
      <alignment horizontal="center"/>
    </xf>
    <xf numFmtId="3" fontId="133" fillId="49" borderId="274" xfId="10" applyNumberFormat="1" applyFont="1" applyFill="1" applyBorder="1" applyAlignment="1">
      <alignment horizontal="center"/>
    </xf>
    <xf numFmtId="167" fontId="133" fillId="49" borderId="6" xfId="10" applyNumberFormat="1" applyFont="1" applyFill="1" applyBorder="1" applyAlignment="1">
      <alignment horizontal="center"/>
    </xf>
    <xf numFmtId="9" fontId="133" fillId="49" borderId="6" xfId="8" applyFont="1" applyFill="1" applyBorder="1" applyAlignment="1">
      <alignment horizontal="left"/>
    </xf>
    <xf numFmtId="9" fontId="133" fillId="49" borderId="6" xfId="8" applyFont="1" applyFill="1" applyBorder="1" applyAlignment="1">
      <alignment horizontal="center"/>
    </xf>
    <xf numFmtId="3" fontId="133" fillId="49" borderId="283" xfId="10" applyNumberFormat="1" applyFont="1" applyFill="1" applyBorder="1" applyAlignment="1">
      <alignment horizontal="center"/>
    </xf>
    <xf numFmtId="0" fontId="12" fillId="26" borderId="275" xfId="0" applyFont="1" applyFill="1" applyBorder="1"/>
    <xf numFmtId="0" fontId="12" fillId="39" borderId="119" xfId="0" applyFont="1" applyFill="1" applyBorder="1" applyAlignment="1">
      <alignment horizontal="center"/>
    </xf>
    <xf numFmtId="3" fontId="0" fillId="26" borderId="0" xfId="10" applyNumberFormat="1" applyFont="1" applyFill="1" applyBorder="1" applyAlignment="1">
      <alignment horizontal="right"/>
    </xf>
    <xf numFmtId="167" fontId="12" fillId="26" borderId="276" xfId="10" applyNumberFormat="1" applyFont="1" applyFill="1" applyBorder="1" applyAlignment="1">
      <alignment horizontal="left"/>
    </xf>
    <xf numFmtId="3" fontId="12" fillId="26" borderId="248" xfId="10" applyNumberFormat="1" applyFont="1" applyFill="1" applyBorder="1" applyAlignment="1">
      <alignment horizontal="center"/>
    </xf>
    <xf numFmtId="3" fontId="12" fillId="26" borderId="0" xfId="10" applyNumberFormat="1" applyFont="1" applyFill="1" applyBorder="1" applyAlignment="1">
      <alignment horizontal="center"/>
    </xf>
    <xf numFmtId="3" fontId="12" fillId="26" borderId="240" xfId="10" applyNumberFormat="1" applyFont="1" applyFill="1" applyBorder="1" applyAlignment="1">
      <alignment horizontal="center"/>
    </xf>
    <xf numFmtId="167" fontId="0" fillId="26" borderId="119" xfId="10" applyNumberFormat="1" applyFont="1" applyFill="1" applyBorder="1" applyAlignment="1">
      <alignment horizontal="center"/>
    </xf>
    <xf numFmtId="9" fontId="12" fillId="26" borderId="0" xfId="8" applyFont="1" applyFill="1" applyBorder="1" applyAlignment="1">
      <alignment horizontal="left"/>
    </xf>
    <xf numFmtId="9" fontId="12" fillId="26" borderId="0" xfId="8" applyFont="1" applyFill="1" applyBorder="1" applyAlignment="1">
      <alignment horizontal="center"/>
    </xf>
    <xf numFmtId="3" fontId="0" fillId="26" borderId="276" xfId="10" applyNumberFormat="1" applyFont="1" applyFill="1" applyBorder="1" applyAlignment="1">
      <alignment horizontal="center"/>
    </xf>
    <xf numFmtId="0" fontId="12" fillId="26" borderId="248" xfId="0" applyFont="1" applyFill="1" applyBorder="1"/>
    <xf numFmtId="0" fontId="12" fillId="40" borderId="0" xfId="0" applyFont="1" applyFill="1" applyAlignment="1">
      <alignment horizontal="center"/>
    </xf>
    <xf numFmtId="167" fontId="12" fillId="26" borderId="240" xfId="10" applyNumberFormat="1" applyFont="1" applyFill="1" applyBorder="1" applyAlignment="1">
      <alignment horizontal="left"/>
    </xf>
    <xf numFmtId="167" fontId="0" fillId="26" borderId="0" xfId="10" applyNumberFormat="1" applyFont="1" applyFill="1" applyBorder="1" applyAlignment="1">
      <alignment horizontal="center"/>
    </xf>
    <xf numFmtId="3" fontId="0" fillId="26" borderId="240" xfId="10" applyNumberFormat="1" applyFont="1" applyFill="1" applyBorder="1" applyAlignment="1">
      <alignment horizontal="center"/>
    </xf>
    <xf numFmtId="0" fontId="12" fillId="41" borderId="0" xfId="0" applyFont="1" applyFill="1" applyAlignment="1">
      <alignment horizontal="center"/>
    </xf>
    <xf numFmtId="0" fontId="12" fillId="26" borderId="260" xfId="0" applyFont="1" applyFill="1" applyBorder="1"/>
    <xf numFmtId="0" fontId="12" fillId="26" borderId="1" xfId="0" applyFont="1" applyFill="1" applyBorder="1"/>
    <xf numFmtId="3" fontId="12" fillId="26" borderId="1" xfId="0" applyNumberFormat="1" applyFont="1" applyFill="1" applyBorder="1" applyAlignment="1">
      <alignment horizontal="right"/>
    </xf>
    <xf numFmtId="0" fontId="12" fillId="26" borderId="274" xfId="0" applyFont="1" applyFill="1" applyBorder="1" applyAlignment="1">
      <alignment horizontal="left"/>
    </xf>
    <xf numFmtId="3" fontId="12" fillId="26" borderId="248" xfId="0" applyNumberFormat="1" applyFont="1" applyFill="1" applyBorder="1" applyAlignment="1">
      <alignment horizontal="center"/>
    </xf>
    <xf numFmtId="3" fontId="12" fillId="26" borderId="0" xfId="0" applyNumberFormat="1" applyFont="1" applyFill="1" applyAlignment="1">
      <alignment horizontal="center"/>
    </xf>
    <xf numFmtId="3" fontId="12" fillId="26" borderId="240" xfId="0" applyNumberFormat="1" applyFont="1" applyFill="1" applyBorder="1" applyAlignment="1">
      <alignment horizontal="center"/>
    </xf>
    <xf numFmtId="0" fontId="12" fillId="26" borderId="0" xfId="0" applyFont="1" applyFill="1"/>
    <xf numFmtId="0" fontId="12" fillId="26" borderId="0" xfId="0" applyFont="1" applyFill="1" applyAlignment="1">
      <alignment horizontal="left"/>
    </xf>
    <xf numFmtId="3" fontId="133" fillId="49" borderId="282" xfId="10" applyNumberFormat="1" applyFont="1" applyFill="1" applyBorder="1" applyAlignment="1">
      <alignment horizontal="center"/>
    </xf>
    <xf numFmtId="3" fontId="133" fillId="49" borderId="6" xfId="10" applyNumberFormat="1" applyFont="1" applyFill="1" applyBorder="1" applyAlignment="1">
      <alignment horizontal="center"/>
    </xf>
    <xf numFmtId="0" fontId="12" fillId="42" borderId="119" xfId="0" applyFont="1" applyFill="1" applyBorder="1" applyAlignment="1">
      <alignment horizontal="center"/>
    </xf>
    <xf numFmtId="9" fontId="12" fillId="26" borderId="119" xfId="8" applyFont="1" applyFill="1" applyBorder="1" applyAlignment="1">
      <alignment horizontal="left"/>
    </xf>
    <xf numFmtId="9" fontId="12" fillId="26" borderId="119" xfId="8" applyFont="1" applyFill="1" applyBorder="1" applyAlignment="1">
      <alignment horizontal="center"/>
    </xf>
    <xf numFmtId="0" fontId="16" fillId="42" borderId="28" xfId="0" applyFont="1" applyFill="1" applyBorder="1"/>
    <xf numFmtId="0" fontId="16" fillId="42" borderId="119" xfId="0" applyFont="1" applyFill="1" applyBorder="1"/>
    <xf numFmtId="0" fontId="16" fillId="42" borderId="134" xfId="0" applyFont="1" applyFill="1" applyBorder="1"/>
    <xf numFmtId="0" fontId="12" fillId="43" borderId="0" xfId="0" applyFont="1" applyFill="1" applyAlignment="1">
      <alignment horizontal="center"/>
    </xf>
    <xf numFmtId="0" fontId="16" fillId="42" borderId="29" xfId="0" applyFont="1" applyFill="1" applyBorder="1"/>
    <xf numFmtId="0" fontId="16" fillId="42" borderId="0" xfId="0" applyFont="1" applyFill="1"/>
    <xf numFmtId="0" fontId="16" fillId="42" borderId="135" xfId="0" applyFont="1" applyFill="1" applyBorder="1"/>
    <xf numFmtId="0" fontId="16" fillId="41" borderId="140" xfId="0" applyFont="1" applyFill="1" applyBorder="1" applyAlignment="1">
      <alignment horizontal="center"/>
    </xf>
    <xf numFmtId="0" fontId="12" fillId="44" borderId="0" xfId="0" applyFont="1" applyFill="1" applyAlignment="1">
      <alignment horizontal="center"/>
    </xf>
    <xf numFmtId="0" fontId="16" fillId="42" borderId="136" xfId="0" applyFont="1" applyFill="1" applyBorder="1"/>
    <xf numFmtId="0" fontId="16" fillId="42" borderId="1" xfId="0" applyFont="1" applyFill="1" applyBorder="1"/>
    <xf numFmtId="0" fontId="16" fillId="42" borderId="137" xfId="0" applyFont="1" applyFill="1" applyBorder="1"/>
    <xf numFmtId="0" fontId="12" fillId="26" borderId="260" xfId="0" applyFont="1" applyFill="1" applyBorder="1" applyAlignment="1">
      <alignment horizontal="center"/>
    </xf>
    <xf numFmtId="0" fontId="12" fillId="26" borderId="1" xfId="0" applyFont="1" applyFill="1" applyBorder="1" applyAlignment="1">
      <alignment horizontal="center"/>
    </xf>
    <xf numFmtId="3" fontId="12" fillId="26" borderId="1" xfId="10" applyNumberFormat="1" applyFont="1" applyFill="1" applyBorder="1" applyAlignment="1">
      <alignment horizontal="right"/>
    </xf>
    <xf numFmtId="167" fontId="12" fillId="26" borderId="274" xfId="10" applyNumberFormat="1" applyFont="1" applyFill="1" applyBorder="1" applyAlignment="1">
      <alignment horizontal="left"/>
    </xf>
    <xf numFmtId="167" fontId="12" fillId="26" borderId="1" xfId="10" applyNumberFormat="1" applyFont="1" applyFill="1" applyBorder="1" applyAlignment="1">
      <alignment horizontal="center"/>
    </xf>
    <xf numFmtId="9" fontId="12" fillId="26" borderId="1" xfId="8" applyFont="1" applyFill="1" applyBorder="1" applyAlignment="1">
      <alignment horizontal="left"/>
    </xf>
    <xf numFmtId="9" fontId="12" fillId="26" borderId="1" xfId="8" applyFont="1" applyFill="1" applyBorder="1" applyAlignment="1">
      <alignment horizontal="center"/>
    </xf>
    <xf numFmtId="3" fontId="12" fillId="26" borderId="274" xfId="10" applyNumberFormat="1" applyFont="1" applyFill="1" applyBorder="1" applyAlignment="1">
      <alignment horizontal="center"/>
    </xf>
    <xf numFmtId="0" fontId="16" fillId="42" borderId="140" xfId="0" applyFont="1" applyFill="1" applyBorder="1" applyAlignment="1">
      <alignment horizontal="center"/>
    </xf>
    <xf numFmtId="0" fontId="12" fillId="0" borderId="275" xfId="0" applyFont="1" applyBorder="1"/>
    <xf numFmtId="0" fontId="12" fillId="45" borderId="119" xfId="0" applyFont="1" applyFill="1" applyBorder="1" applyAlignment="1">
      <alignment horizontal="center"/>
    </xf>
    <xf numFmtId="3" fontId="0" fillId="0" borderId="119" xfId="10" applyNumberFormat="1" applyFont="1" applyBorder="1" applyAlignment="1">
      <alignment horizontal="right"/>
    </xf>
    <xf numFmtId="167" fontId="0" fillId="0" borderId="119" xfId="10" applyNumberFormat="1" applyFont="1" applyBorder="1" applyAlignment="1">
      <alignment horizontal="center"/>
    </xf>
    <xf numFmtId="0" fontId="0" fillId="0" borderId="240" xfId="0" applyBorder="1"/>
    <xf numFmtId="0" fontId="12" fillId="26" borderId="1" xfId="0" applyFont="1" applyFill="1" applyBorder="1" applyAlignment="1">
      <alignment horizontal="left"/>
    </xf>
    <xf numFmtId="3" fontId="12" fillId="26" borderId="274" xfId="0" applyNumberFormat="1" applyFont="1" applyFill="1" applyBorder="1" applyAlignment="1">
      <alignment horizontal="center"/>
    </xf>
    <xf numFmtId="0" fontId="16" fillId="0" borderId="240" xfId="0" applyFont="1" applyBorder="1"/>
    <xf numFmtId="0" fontId="133" fillId="49" borderId="282" xfId="0" applyFont="1" applyFill="1" applyBorder="1"/>
    <xf numFmtId="0" fontId="16" fillId="3" borderId="138" xfId="0" applyFont="1" applyFill="1" applyBorder="1" applyAlignment="1">
      <alignment horizontal="centerContinuous" vertical="center"/>
    </xf>
    <xf numFmtId="0" fontId="16" fillId="3" borderId="6" xfId="0" applyFont="1" applyFill="1" applyBorder="1" applyAlignment="1">
      <alignment horizontal="centerContinuous" vertical="center"/>
    </xf>
    <xf numFmtId="0" fontId="16" fillId="3" borderId="139" xfId="0" applyFont="1" applyFill="1" applyBorder="1" applyAlignment="1">
      <alignment horizontal="centerContinuous" vertical="center"/>
    </xf>
    <xf numFmtId="0" fontId="0" fillId="26" borderId="267" xfId="0" applyFill="1" applyBorder="1"/>
    <xf numFmtId="0" fontId="0" fillId="26" borderId="234" xfId="0" applyFill="1" applyBorder="1" applyAlignment="1">
      <alignment horizontal="center"/>
    </xf>
    <xf numFmtId="3" fontId="0" fillId="0" borderId="0" xfId="0" applyNumberFormat="1" applyAlignment="1">
      <alignment horizontal="center"/>
    </xf>
    <xf numFmtId="0" fontId="16" fillId="45" borderId="28" xfId="0" applyFont="1" applyFill="1" applyBorder="1"/>
    <xf numFmtId="0" fontId="16" fillId="45" borderId="119" xfId="0" applyFont="1" applyFill="1" applyBorder="1"/>
    <xf numFmtId="0" fontId="16" fillId="45" borderId="134" xfId="0" applyFont="1" applyFill="1" applyBorder="1"/>
    <xf numFmtId="0" fontId="16" fillId="39" borderId="140" xfId="0" applyFont="1" applyFill="1" applyBorder="1" applyAlignment="1">
      <alignment horizontal="center"/>
    </xf>
    <xf numFmtId="0" fontId="135" fillId="36" borderId="241" xfId="0" applyFont="1" applyFill="1" applyBorder="1"/>
    <xf numFmtId="0" fontId="135" fillId="36" borderId="239" xfId="0" applyFont="1" applyFill="1" applyBorder="1"/>
    <xf numFmtId="0" fontId="16" fillId="45" borderId="29" xfId="0" applyFont="1" applyFill="1" applyBorder="1"/>
    <xf numFmtId="0" fontId="16" fillId="45" borderId="0" xfId="0" applyFont="1" applyFill="1"/>
    <xf numFmtId="0" fontId="16" fillId="45" borderId="135" xfId="0" applyFont="1" applyFill="1" applyBorder="1"/>
    <xf numFmtId="0" fontId="20" fillId="0" borderId="234" xfId="0" applyFont="1" applyBorder="1"/>
    <xf numFmtId="0" fontId="20" fillId="0" borderId="279" xfId="0" applyFont="1" applyBorder="1"/>
    <xf numFmtId="0" fontId="16" fillId="45" borderId="136" xfId="0" applyFont="1" applyFill="1" applyBorder="1"/>
    <xf numFmtId="0" fontId="16" fillId="45" borderId="1" xfId="0" applyFont="1" applyFill="1" applyBorder="1"/>
    <xf numFmtId="0" fontId="16" fillId="45" borderId="137" xfId="0" applyFont="1" applyFill="1" applyBorder="1"/>
    <xf numFmtId="0" fontId="16" fillId="45" borderId="140" xfId="0" applyFont="1" applyFill="1" applyBorder="1" applyAlignment="1">
      <alignment horizontal="center"/>
    </xf>
    <xf numFmtId="0" fontId="135" fillId="36" borderId="267" xfId="0" applyFont="1" applyFill="1" applyBorder="1"/>
    <xf numFmtId="0" fontId="135" fillId="36" borderId="279" xfId="0" applyFont="1" applyFill="1" applyBorder="1"/>
    <xf numFmtId="0" fontId="133" fillId="39" borderId="233" xfId="0" applyFont="1" applyFill="1" applyBorder="1" applyAlignment="1">
      <alignment horizontal="center"/>
    </xf>
    <xf numFmtId="0" fontId="133" fillId="39" borderId="233" xfId="0" applyFont="1" applyFill="1" applyBorder="1"/>
    <xf numFmtId="0" fontId="133" fillId="39" borderId="143" xfId="0" applyFont="1" applyFill="1" applyBorder="1"/>
    <xf numFmtId="0" fontId="12" fillId="39" borderId="242" xfId="0" applyFont="1" applyFill="1" applyBorder="1"/>
    <xf numFmtId="0" fontId="12" fillId="39" borderId="239" xfId="0" applyFont="1" applyFill="1" applyBorder="1"/>
    <xf numFmtId="0" fontId="133" fillId="39" borderId="142" xfId="0" applyFont="1" applyFill="1" applyBorder="1" applyAlignment="1">
      <alignment horizontal="center"/>
    </xf>
    <xf numFmtId="0" fontId="136" fillId="5" borderId="142" xfId="0" applyFont="1" applyFill="1" applyBorder="1" applyAlignment="1">
      <alignment horizontal="left"/>
    </xf>
    <xf numFmtId="0" fontId="136" fillId="5" borderId="284" xfId="0" applyFont="1" applyFill="1" applyBorder="1"/>
    <xf numFmtId="0" fontId="136" fillId="5" borderId="285" xfId="0" applyFont="1" applyFill="1" applyBorder="1" applyAlignment="1">
      <alignment horizontal="center"/>
    </xf>
    <xf numFmtId="0" fontId="136" fillId="5" borderId="136" xfId="0" applyFont="1" applyFill="1" applyBorder="1" applyAlignment="1">
      <alignment horizontal="center"/>
    </xf>
    <xf numFmtId="167" fontId="133" fillId="49" borderId="282" xfId="10" applyNumberFormat="1" applyFont="1" applyFill="1" applyBorder="1" applyAlignment="1">
      <alignment horizontal="center"/>
    </xf>
    <xf numFmtId="0" fontId="133" fillId="49" borderId="282" xfId="0" applyFont="1" applyFill="1" applyBorder="1" applyAlignment="1">
      <alignment horizontal="center"/>
    </xf>
    <xf numFmtId="3" fontId="133" fillId="49" borderId="138" xfId="10" applyNumberFormat="1" applyFont="1" applyFill="1" applyBorder="1" applyAlignment="1">
      <alignment horizontal="center"/>
    </xf>
    <xf numFmtId="3" fontId="12" fillId="26" borderId="275" xfId="10" applyNumberFormat="1" applyFont="1" applyFill="1" applyBorder="1" applyAlignment="1">
      <alignment horizontal="center"/>
    </xf>
    <xf numFmtId="3" fontId="12" fillId="26" borderId="119" xfId="10" applyNumberFormat="1" applyFont="1" applyFill="1" applyBorder="1" applyAlignment="1">
      <alignment horizontal="center"/>
    </xf>
    <xf numFmtId="3" fontId="12" fillId="26" borderId="276" xfId="10" applyNumberFormat="1" applyFont="1" applyFill="1" applyBorder="1" applyAlignment="1">
      <alignment horizontal="center"/>
    </xf>
    <xf numFmtId="167" fontId="0" fillId="26" borderId="275" xfId="10" applyNumberFormat="1" applyFont="1" applyFill="1" applyBorder="1" applyAlignment="1">
      <alignment horizontal="center"/>
    </xf>
    <xf numFmtId="0" fontId="16" fillId="39" borderId="248" xfId="0" applyFont="1" applyFill="1" applyBorder="1" applyAlignment="1">
      <alignment horizontal="center"/>
    </xf>
    <xf numFmtId="3" fontId="12" fillId="26" borderId="28" xfId="10" applyNumberFormat="1" applyFont="1" applyFill="1" applyBorder="1" applyAlignment="1">
      <alignment horizontal="center"/>
    </xf>
    <xf numFmtId="167" fontId="0" fillId="26" borderId="248" xfId="10" applyNumberFormat="1" applyFont="1" applyFill="1" applyBorder="1" applyAlignment="1">
      <alignment horizontal="center"/>
    </xf>
    <xf numFmtId="3" fontId="12" fillId="26" borderId="29" xfId="10" applyNumberFormat="1" applyFont="1" applyFill="1" applyBorder="1" applyAlignment="1">
      <alignment horizontal="center"/>
    </xf>
    <xf numFmtId="0" fontId="0" fillId="0" borderId="286" xfId="0" applyBorder="1"/>
    <xf numFmtId="0" fontId="16" fillId="40" borderId="287" xfId="0" applyFont="1" applyFill="1" applyBorder="1" applyAlignment="1">
      <alignment horizontal="center"/>
    </xf>
    <xf numFmtId="3" fontId="0" fillId="26" borderId="287" xfId="10" applyNumberFormat="1" applyFont="1" applyFill="1" applyBorder="1" applyAlignment="1">
      <alignment horizontal="right"/>
    </xf>
    <xf numFmtId="167" fontId="12" fillId="26" borderId="288" xfId="10" applyNumberFormat="1" applyFont="1" applyFill="1" applyBorder="1" applyAlignment="1">
      <alignment horizontal="left"/>
    </xf>
    <xf numFmtId="3" fontId="12" fillId="26" borderId="286" xfId="10" applyNumberFormat="1" applyFont="1" applyFill="1" applyBorder="1" applyAlignment="1">
      <alignment horizontal="center"/>
    </xf>
    <xf numFmtId="3" fontId="12" fillId="26" borderId="287" xfId="10" applyNumberFormat="1" applyFont="1" applyFill="1" applyBorder="1" applyAlignment="1">
      <alignment horizontal="center"/>
    </xf>
    <xf numFmtId="3" fontId="12" fillId="26" borderId="288" xfId="10" applyNumberFormat="1" applyFont="1" applyFill="1" applyBorder="1" applyAlignment="1">
      <alignment horizontal="center"/>
    </xf>
    <xf numFmtId="167" fontId="0" fillId="26" borderId="286" xfId="10" applyNumberFormat="1" applyFont="1" applyFill="1" applyBorder="1" applyAlignment="1">
      <alignment horizontal="center"/>
    </xf>
    <xf numFmtId="9" fontId="12" fillId="26" borderId="287" xfId="8" applyFont="1" applyFill="1" applyBorder="1" applyAlignment="1">
      <alignment horizontal="left"/>
    </xf>
    <xf numFmtId="9" fontId="12" fillId="26" borderId="287" xfId="8" applyFont="1" applyFill="1" applyBorder="1" applyAlignment="1">
      <alignment horizontal="center"/>
    </xf>
    <xf numFmtId="3" fontId="0" fillId="26" borderId="288" xfId="10" applyNumberFormat="1" applyFont="1" applyFill="1" applyBorder="1" applyAlignment="1">
      <alignment horizontal="center"/>
    </xf>
    <xf numFmtId="0" fontId="16" fillId="40" borderId="286" xfId="0" applyFont="1" applyFill="1" applyBorder="1" applyAlignment="1">
      <alignment horizontal="center"/>
    </xf>
    <xf numFmtId="3" fontId="12" fillId="26" borderId="289" xfId="10" applyNumberFormat="1" applyFont="1" applyFill="1" applyBorder="1" applyAlignment="1">
      <alignment horizontal="center"/>
    </xf>
    <xf numFmtId="3" fontId="12" fillId="26" borderId="290" xfId="10" applyNumberFormat="1" applyFont="1" applyFill="1" applyBorder="1" applyAlignment="1">
      <alignment horizontal="center"/>
    </xf>
    <xf numFmtId="3" fontId="12" fillId="26" borderId="291" xfId="10" applyNumberFormat="1" applyFont="1" applyFill="1" applyBorder="1" applyAlignment="1">
      <alignment horizontal="center"/>
    </xf>
    <xf numFmtId="0" fontId="0" fillId="0" borderId="292" xfId="0" applyBorder="1"/>
    <xf numFmtId="0" fontId="16" fillId="40" borderId="293" xfId="0" applyFont="1" applyFill="1" applyBorder="1" applyAlignment="1">
      <alignment horizontal="center"/>
    </xf>
    <xf numFmtId="3" fontId="0" fillId="26" borderId="293" xfId="10" applyNumberFormat="1" applyFont="1" applyFill="1" applyBorder="1" applyAlignment="1">
      <alignment horizontal="right"/>
    </xf>
    <xf numFmtId="167" fontId="12" fillId="26" borderId="294" xfId="10" applyNumberFormat="1" applyFont="1" applyFill="1" applyBorder="1" applyAlignment="1">
      <alignment horizontal="left"/>
    </xf>
    <xf numFmtId="3" fontId="12" fillId="26" borderId="292" xfId="10" applyNumberFormat="1" applyFont="1" applyFill="1" applyBorder="1" applyAlignment="1">
      <alignment horizontal="center"/>
    </xf>
    <xf numFmtId="3" fontId="12" fillId="26" borderId="293" xfId="10" applyNumberFormat="1" applyFont="1" applyFill="1" applyBorder="1" applyAlignment="1">
      <alignment horizontal="center"/>
    </xf>
    <xf numFmtId="3" fontId="12" fillId="26" borderId="294" xfId="10" applyNumberFormat="1" applyFont="1" applyFill="1" applyBorder="1" applyAlignment="1">
      <alignment horizontal="center"/>
    </xf>
    <xf numFmtId="167" fontId="0" fillId="26" borderId="292" xfId="10" applyNumberFormat="1" applyFont="1" applyFill="1" applyBorder="1" applyAlignment="1">
      <alignment horizontal="center"/>
    </xf>
    <xf numFmtId="9" fontId="12" fillId="26" borderId="293" xfId="8" applyFont="1" applyFill="1" applyBorder="1" applyAlignment="1">
      <alignment horizontal="left"/>
    </xf>
    <xf numFmtId="9" fontId="12" fillId="26" borderId="293" xfId="8" applyFont="1" applyFill="1" applyBorder="1" applyAlignment="1">
      <alignment horizontal="center"/>
    </xf>
    <xf numFmtId="3" fontId="0" fillId="26" borderId="294" xfId="10" applyNumberFormat="1" applyFont="1" applyFill="1" applyBorder="1" applyAlignment="1">
      <alignment horizontal="center"/>
    </xf>
    <xf numFmtId="0" fontId="16" fillId="40" borderId="292" xfId="0" applyFont="1" applyFill="1" applyBorder="1" applyAlignment="1">
      <alignment horizontal="center"/>
    </xf>
    <xf numFmtId="3" fontId="12" fillId="26" borderId="295" xfId="10" applyNumberFormat="1" applyFont="1" applyFill="1" applyBorder="1" applyAlignment="1">
      <alignment horizontal="center"/>
    </xf>
    <xf numFmtId="3" fontId="12" fillId="26" borderId="296" xfId="10" applyNumberFormat="1" applyFont="1" applyFill="1" applyBorder="1" applyAlignment="1">
      <alignment horizontal="center"/>
    </xf>
    <xf numFmtId="3" fontId="12" fillId="26" borderId="297" xfId="10" applyNumberFormat="1" applyFont="1" applyFill="1" applyBorder="1" applyAlignment="1">
      <alignment horizontal="center"/>
    </xf>
    <xf numFmtId="0" fontId="16" fillId="41" borderId="248" xfId="0" applyFont="1" applyFill="1" applyBorder="1" applyAlignment="1">
      <alignment horizontal="center"/>
    </xf>
    <xf numFmtId="3" fontId="12" fillId="26" borderId="29" xfId="0" applyNumberFormat="1" applyFont="1" applyFill="1" applyBorder="1" applyAlignment="1">
      <alignment horizontal="center"/>
    </xf>
    <xf numFmtId="0" fontId="16" fillId="42" borderId="248" xfId="0" applyFont="1" applyFill="1" applyBorder="1" applyAlignment="1">
      <alignment horizontal="center"/>
    </xf>
    <xf numFmtId="0" fontId="12" fillId="26" borderId="286" xfId="0" applyFont="1" applyFill="1" applyBorder="1"/>
    <xf numFmtId="0" fontId="16" fillId="43" borderId="287" xfId="0" applyFont="1" applyFill="1" applyBorder="1" applyAlignment="1">
      <alignment horizontal="center"/>
    </xf>
    <xf numFmtId="0" fontId="16" fillId="43" borderId="286" xfId="0" applyFont="1" applyFill="1" applyBorder="1" applyAlignment="1">
      <alignment horizontal="center"/>
    </xf>
    <xf numFmtId="0" fontId="16" fillId="43" borderId="248" xfId="0" applyFont="1" applyFill="1" applyBorder="1" applyAlignment="1">
      <alignment horizontal="center"/>
    </xf>
    <xf numFmtId="0" fontId="16" fillId="43" borderId="293" xfId="0" applyFont="1" applyFill="1" applyBorder="1" applyAlignment="1">
      <alignment horizontal="center"/>
    </xf>
    <xf numFmtId="0" fontId="16" fillId="43" borderId="292" xfId="0" applyFont="1" applyFill="1" applyBorder="1" applyAlignment="1">
      <alignment horizontal="center"/>
    </xf>
    <xf numFmtId="0" fontId="16" fillId="44" borderId="287" xfId="0" applyFont="1" applyFill="1" applyBorder="1" applyAlignment="1">
      <alignment horizontal="center"/>
    </xf>
    <xf numFmtId="0" fontId="16" fillId="44" borderId="286" xfId="0" applyFont="1" applyFill="1" applyBorder="1" applyAlignment="1">
      <alignment horizontal="center"/>
    </xf>
    <xf numFmtId="0" fontId="16" fillId="44" borderId="248" xfId="0" applyFont="1" applyFill="1" applyBorder="1" applyAlignment="1">
      <alignment horizontal="center"/>
    </xf>
    <xf numFmtId="0" fontId="16" fillId="44" borderId="293" xfId="0" applyFont="1" applyFill="1" applyBorder="1" applyAlignment="1">
      <alignment horizontal="center"/>
    </xf>
    <xf numFmtId="0" fontId="16" fillId="44" borderId="292" xfId="0" applyFont="1" applyFill="1" applyBorder="1" applyAlignment="1">
      <alignment horizontal="center"/>
    </xf>
    <xf numFmtId="167" fontId="12" fillId="26" borderId="260" xfId="10" applyNumberFormat="1" applyFont="1" applyFill="1" applyBorder="1" applyAlignment="1">
      <alignment horizontal="center"/>
    </xf>
    <xf numFmtId="0" fontId="12" fillId="45" borderId="275" xfId="0" applyFont="1" applyFill="1" applyBorder="1" applyAlignment="1">
      <alignment horizontal="center"/>
    </xf>
    <xf numFmtId="0" fontId="12" fillId="0" borderId="248" xfId="0" applyFont="1" applyBorder="1"/>
    <xf numFmtId="0" fontId="12" fillId="45" borderId="0" xfId="0" applyFont="1" applyFill="1" applyAlignment="1">
      <alignment horizontal="center"/>
    </xf>
    <xf numFmtId="3" fontId="0" fillId="0" borderId="0" xfId="10" applyNumberFormat="1" applyFont="1" applyBorder="1" applyAlignment="1">
      <alignment horizontal="right"/>
    </xf>
    <xf numFmtId="0" fontId="12" fillId="45" borderId="248" xfId="0" applyFont="1" applyFill="1" applyBorder="1" applyAlignment="1">
      <alignment horizontal="center"/>
    </xf>
    <xf numFmtId="0" fontId="0" fillId="26" borderId="267" xfId="0" applyFill="1" applyBorder="1" applyAlignment="1">
      <alignment horizontal="center"/>
    </xf>
    <xf numFmtId="3" fontId="0" fillId="26" borderId="298" xfId="0" applyNumberFormat="1" applyFill="1" applyBorder="1" applyAlignment="1">
      <alignment horizontal="center"/>
    </xf>
    <xf numFmtId="3" fontId="0" fillId="26" borderId="234" xfId="0" applyNumberFormat="1" applyFill="1" applyBorder="1" applyAlignment="1">
      <alignment horizontal="center"/>
    </xf>
    <xf numFmtId="3" fontId="0" fillId="26" borderId="279" xfId="0" applyNumberFormat="1" applyFill="1" applyBorder="1" applyAlignment="1">
      <alignment horizontal="center"/>
    </xf>
    <xf numFmtId="0" fontId="16" fillId="0" borderId="241" xfId="0" applyFont="1" applyBorder="1" applyAlignment="1">
      <alignment horizontal="center"/>
    </xf>
    <xf numFmtId="3" fontId="0" fillId="0" borderId="285" xfId="10" applyNumberFormat="1" applyFont="1" applyFill="1" applyBorder="1" applyAlignment="1">
      <alignment horizontal="center"/>
    </xf>
    <xf numFmtId="3" fontId="0" fillId="0" borderId="242" xfId="10" applyNumberFormat="1" applyFont="1" applyFill="1" applyBorder="1" applyAlignment="1">
      <alignment horizontal="center"/>
    </xf>
    <xf numFmtId="3" fontId="0" fillId="0" borderId="239" xfId="10" applyNumberFormat="1" applyFont="1" applyFill="1" applyBorder="1" applyAlignment="1">
      <alignment horizontal="center"/>
    </xf>
    <xf numFmtId="3" fontId="0" fillId="0" borderId="29" xfId="10" applyNumberFormat="1" applyFont="1" applyFill="1" applyBorder="1" applyAlignment="1">
      <alignment horizontal="center"/>
    </xf>
    <xf numFmtId="3" fontId="0" fillId="0" borderId="0" xfId="10" applyNumberFormat="1" applyFont="1" applyFill="1" applyBorder="1" applyAlignment="1">
      <alignment horizontal="center"/>
    </xf>
    <xf numFmtId="3" fontId="0" fillId="0" borderId="240" xfId="10" applyNumberFormat="1" applyFont="1" applyFill="1" applyBorder="1" applyAlignment="1">
      <alignment horizontal="center"/>
    </xf>
    <xf numFmtId="0" fontId="16" fillId="0" borderId="267" xfId="0" applyFont="1" applyBorder="1" applyAlignment="1">
      <alignment horizontal="center"/>
    </xf>
    <xf numFmtId="3" fontId="0" fillId="31" borderId="298" xfId="10" applyNumberFormat="1" applyFont="1" applyFill="1" applyBorder="1" applyAlignment="1" applyProtection="1">
      <alignment horizontal="center"/>
      <protection locked="0"/>
    </xf>
    <xf numFmtId="3" fontId="0" fillId="31" borderId="234" xfId="10" applyNumberFormat="1" applyFont="1" applyFill="1" applyBorder="1" applyAlignment="1" applyProtection="1">
      <alignment horizontal="center"/>
      <protection locked="0"/>
    </xf>
    <xf numFmtId="3" fontId="0" fillId="31" borderId="279" xfId="10" applyNumberFormat="1" applyFont="1" applyFill="1" applyBorder="1" applyAlignment="1" applyProtection="1">
      <alignment horizontal="center"/>
      <protection locked="0"/>
    </xf>
    <xf numFmtId="3" fontId="0" fillId="0" borderId="29" xfId="0" applyNumberFormat="1" applyBorder="1" applyAlignment="1">
      <alignment horizontal="center"/>
    </xf>
    <xf numFmtId="3" fontId="0" fillId="0" borderId="240" xfId="0" applyNumberFormat="1" applyBorder="1" applyAlignment="1">
      <alignment horizontal="center"/>
    </xf>
    <xf numFmtId="0" fontId="16" fillId="49" borderId="282" xfId="0" applyFont="1" applyFill="1" applyBorder="1" applyAlignment="1">
      <alignment horizontal="center" wrapText="1"/>
    </xf>
    <xf numFmtId="3" fontId="16" fillId="49" borderId="138" xfId="10" applyNumberFormat="1" applyFont="1" applyFill="1" applyBorder="1" applyAlignment="1">
      <alignment horizontal="center"/>
    </xf>
    <xf numFmtId="3" fontId="16" fillId="49" borderId="6" xfId="10" applyNumberFormat="1" applyFont="1" applyFill="1" applyBorder="1" applyAlignment="1">
      <alignment horizontal="center"/>
    </xf>
    <xf numFmtId="3" fontId="16" fillId="49" borderId="283" xfId="10" applyNumberFormat="1" applyFont="1" applyFill="1" applyBorder="1" applyAlignment="1">
      <alignment horizontal="center"/>
    </xf>
    <xf numFmtId="3" fontId="0" fillId="0" borderId="298" xfId="0" applyNumberFormat="1" applyBorder="1" applyAlignment="1">
      <alignment horizontal="center"/>
    </xf>
    <xf numFmtId="3" fontId="0" fillId="0" borderId="234" xfId="0" applyNumberFormat="1" applyBorder="1" applyAlignment="1">
      <alignment horizontal="center"/>
    </xf>
    <xf numFmtId="3" fontId="0" fillId="0" borderId="279" xfId="0" applyNumberFormat="1" applyBorder="1" applyAlignment="1">
      <alignment horizontal="center"/>
    </xf>
    <xf numFmtId="0" fontId="137" fillId="50" borderId="241" xfId="0" applyFont="1" applyFill="1" applyBorder="1"/>
    <xf numFmtId="0" fontId="133" fillId="50" borderId="242" xfId="0" applyFont="1" applyFill="1" applyBorder="1"/>
    <xf numFmtId="0" fontId="133" fillId="50" borderId="239" xfId="0" applyFont="1" applyFill="1" applyBorder="1"/>
    <xf numFmtId="0" fontId="137" fillId="49" borderId="241" xfId="0" applyFont="1" applyFill="1" applyBorder="1"/>
    <xf numFmtId="0" fontId="133" fillId="49" borderId="242" xfId="0" applyFont="1" applyFill="1" applyBorder="1"/>
    <xf numFmtId="0" fontId="133" fillId="49" borderId="239" xfId="0" applyFont="1" applyFill="1" applyBorder="1"/>
    <xf numFmtId="0" fontId="127" fillId="50" borderId="248" xfId="0" applyFont="1" applyFill="1" applyBorder="1" applyAlignment="1">
      <alignment horizontal="centerContinuous"/>
    </xf>
    <xf numFmtId="0" fontId="127" fillId="50" borderId="0" xfId="0" applyFont="1" applyFill="1" applyAlignment="1">
      <alignment horizontal="centerContinuous"/>
    </xf>
    <xf numFmtId="0" fontId="127" fillId="50" borderId="240" xfId="0" applyFont="1" applyFill="1" applyBorder="1" applyAlignment="1">
      <alignment horizontal="centerContinuous"/>
    </xf>
    <xf numFmtId="0" fontId="137" fillId="50" borderId="267" xfId="0" applyFont="1" applyFill="1" applyBorder="1"/>
    <xf numFmtId="0" fontId="133" fillId="50" borderId="234" xfId="0" applyFont="1" applyFill="1" applyBorder="1"/>
    <xf numFmtId="0" fontId="133" fillId="50" borderId="279" xfId="0" applyFont="1" applyFill="1" applyBorder="1"/>
    <xf numFmtId="0" fontId="137" fillId="49" borderId="267" xfId="0" applyFont="1" applyFill="1" applyBorder="1"/>
    <xf numFmtId="0" fontId="133" fillId="49" borderId="234" xfId="0" applyFont="1" applyFill="1" applyBorder="1"/>
    <xf numFmtId="0" fontId="133" fillId="49" borderId="279" xfId="0" applyFont="1" applyFill="1" applyBorder="1"/>
    <xf numFmtId="167" fontId="136" fillId="5" borderId="242" xfId="10" applyNumberFormat="1" applyFont="1" applyFill="1" applyBorder="1" applyAlignment="1">
      <alignment horizontal="center"/>
    </xf>
    <xf numFmtId="0" fontId="136" fillId="5" borderId="242" xfId="0" applyFont="1" applyFill="1" applyBorder="1"/>
    <xf numFmtId="167" fontId="136" fillId="5" borderId="1" xfId="10" applyNumberFormat="1" applyFont="1" applyFill="1" applyBorder="1" applyAlignment="1">
      <alignment horizontal="center"/>
    </xf>
    <xf numFmtId="0" fontId="136" fillId="5" borderId="1" xfId="0" applyFont="1" applyFill="1" applyBorder="1"/>
    <xf numFmtId="167" fontId="133" fillId="49" borderId="6" xfId="10" applyNumberFormat="1" applyFont="1" applyFill="1" applyBorder="1" applyAlignment="1">
      <alignment horizontal="left"/>
    </xf>
    <xf numFmtId="1" fontId="133" fillId="49" borderId="6" xfId="10" applyNumberFormat="1" applyFont="1" applyFill="1" applyBorder="1" applyAlignment="1">
      <alignment horizontal="right"/>
    </xf>
    <xf numFmtId="0" fontId="12" fillId="39" borderId="275" xfId="0" applyFont="1" applyFill="1" applyBorder="1" applyAlignment="1">
      <alignment horizontal="center"/>
    </xf>
    <xf numFmtId="3" fontId="131" fillId="31" borderId="0" xfId="0" applyNumberFormat="1" applyFont="1" applyFill="1" applyAlignment="1" applyProtection="1">
      <alignment horizontal="center" vertical="center"/>
      <protection locked="0"/>
    </xf>
    <xf numFmtId="3" fontId="17" fillId="0" borderId="0" xfId="0" applyNumberFormat="1" applyFont="1" applyAlignment="1" applyProtection="1">
      <alignment horizontal="center" vertical="center"/>
      <protection locked="0"/>
    </xf>
    <xf numFmtId="167" fontId="12" fillId="26" borderId="119" xfId="10" applyNumberFormat="1" applyFont="1" applyFill="1" applyBorder="1" applyAlignment="1">
      <alignment horizontal="left"/>
    </xf>
    <xf numFmtId="1" fontId="12" fillId="0" borderId="0" xfId="0" applyNumberFormat="1" applyFont="1" applyAlignment="1">
      <alignment horizontal="right"/>
    </xf>
    <xf numFmtId="0" fontId="12" fillId="40" borderId="248" xfId="0" applyFont="1" applyFill="1" applyBorder="1" applyAlignment="1">
      <alignment horizontal="center"/>
    </xf>
    <xf numFmtId="167" fontId="12" fillId="26" borderId="0" xfId="10" applyNumberFormat="1" applyFont="1" applyFill="1" applyBorder="1" applyAlignment="1">
      <alignment horizontal="left"/>
    </xf>
    <xf numFmtId="0" fontId="12" fillId="41" borderId="248" xfId="0" applyFont="1" applyFill="1" applyBorder="1" applyAlignment="1">
      <alignment horizontal="center"/>
    </xf>
    <xf numFmtId="0" fontId="12" fillId="26" borderId="274" xfId="0" applyFont="1" applyFill="1" applyBorder="1"/>
    <xf numFmtId="1" fontId="12" fillId="26" borderId="1" xfId="0" applyNumberFormat="1" applyFont="1" applyFill="1" applyBorder="1" applyAlignment="1">
      <alignment horizontal="right"/>
    </xf>
    <xf numFmtId="167" fontId="12" fillId="26" borderId="1" xfId="10" applyNumberFormat="1" applyFont="1" applyFill="1" applyBorder="1"/>
    <xf numFmtId="0" fontId="12" fillId="42" borderId="275" xfId="0" applyFont="1" applyFill="1" applyBorder="1" applyAlignment="1">
      <alignment horizontal="center"/>
    </xf>
    <xf numFmtId="0" fontId="12" fillId="43" borderId="248" xfId="0" applyFont="1" applyFill="1" applyBorder="1" applyAlignment="1">
      <alignment horizontal="center"/>
    </xf>
    <xf numFmtId="0" fontId="12" fillId="44" borderId="248" xfId="0" applyFont="1" applyFill="1" applyBorder="1" applyAlignment="1">
      <alignment horizontal="center"/>
    </xf>
    <xf numFmtId="167" fontId="138" fillId="0" borderId="1" xfId="10" applyNumberFormat="1" applyFont="1" applyFill="1" applyBorder="1" applyAlignment="1" applyProtection="1">
      <alignment horizontal="center"/>
      <protection locked="0"/>
    </xf>
    <xf numFmtId="167" fontId="12" fillId="26" borderId="1" xfId="10" applyNumberFormat="1" applyFont="1" applyFill="1" applyBorder="1" applyAlignment="1">
      <alignment horizontal="left"/>
    </xf>
    <xf numFmtId="1" fontId="133" fillId="49" borderId="6" xfId="10" applyNumberFormat="1" applyFont="1" applyFill="1" applyBorder="1" applyAlignment="1">
      <alignment horizontal="center"/>
    </xf>
    <xf numFmtId="167" fontId="0" fillId="26" borderId="234" xfId="10" applyNumberFormat="1" applyFont="1" applyFill="1" applyBorder="1"/>
    <xf numFmtId="0" fontId="16" fillId="3" borderId="138" xfId="0" applyFont="1" applyFill="1" applyBorder="1" applyAlignment="1">
      <alignment horizontal="center"/>
    </xf>
    <xf numFmtId="0" fontId="16" fillId="0" borderId="6" xfId="0" applyFont="1" applyBorder="1"/>
    <xf numFmtId="0" fontId="16" fillId="43" borderId="56" xfId="0" applyFont="1" applyFill="1" applyBorder="1"/>
    <xf numFmtId="0" fontId="16" fillId="44" borderId="56" xfId="0" applyFont="1" applyFill="1" applyBorder="1"/>
    <xf numFmtId="0" fontId="16" fillId="41" borderId="28" xfId="0" applyFont="1" applyFill="1" applyBorder="1"/>
    <xf numFmtId="0" fontId="16" fillId="41" borderId="119" xfId="0" applyFont="1" applyFill="1" applyBorder="1"/>
    <xf numFmtId="0" fontId="16" fillId="41" borderId="134" xfId="0" applyFont="1" applyFill="1" applyBorder="1"/>
    <xf numFmtId="0" fontId="16" fillId="41" borderId="29" xfId="0" applyFont="1" applyFill="1" applyBorder="1"/>
    <xf numFmtId="0" fontId="16" fillId="41" borderId="135" xfId="0" applyFont="1" applyFill="1" applyBorder="1"/>
    <xf numFmtId="0" fontId="16" fillId="43" borderId="8" xfId="0" applyFont="1" applyFill="1" applyBorder="1"/>
    <xf numFmtId="0" fontId="16" fillId="44" borderId="8" xfId="0" applyFont="1" applyFill="1" applyBorder="1"/>
    <xf numFmtId="0" fontId="16" fillId="43" borderId="25" xfId="0" applyFont="1" applyFill="1" applyBorder="1"/>
    <xf numFmtId="0" fontId="16" fillId="44" borderId="25" xfId="0" applyFont="1" applyFill="1" applyBorder="1"/>
    <xf numFmtId="0" fontId="16" fillId="41" borderId="136" xfId="0" applyFont="1" applyFill="1" applyBorder="1"/>
    <xf numFmtId="0" fontId="16" fillId="41" borderId="1" xfId="0" applyFont="1" applyFill="1" applyBorder="1"/>
    <xf numFmtId="0" fontId="16" fillId="41" borderId="137" xfId="0" applyFont="1" applyFill="1" applyBorder="1"/>
    <xf numFmtId="0" fontId="0" fillId="0" borderId="302" xfId="0" applyBorder="1" applyProtection="1">
      <protection locked="0"/>
    </xf>
    <xf numFmtId="10" fontId="44" fillId="11" borderId="140" xfId="8" applyNumberFormat="1" applyFont="1" applyFill="1" applyBorder="1" applyProtection="1">
      <protection locked="0"/>
    </xf>
    <xf numFmtId="169" fontId="44" fillId="11" borderId="140" xfId="9" applyNumberFormat="1" applyFont="1" applyFill="1" applyBorder="1" applyProtection="1">
      <protection locked="0"/>
    </xf>
    <xf numFmtId="43" fontId="44" fillId="11" borderId="140" xfId="10" applyFont="1" applyFill="1" applyBorder="1" applyAlignment="1" applyProtection="1">
      <alignment horizontal="right"/>
      <protection locked="0"/>
    </xf>
    <xf numFmtId="43" fontId="44" fillId="11" borderId="140" xfId="10" applyFont="1" applyFill="1" applyBorder="1" applyProtection="1">
      <protection locked="0"/>
    </xf>
    <xf numFmtId="167" fontId="44" fillId="11" borderId="140" xfId="10" applyNumberFormat="1" applyFont="1" applyFill="1" applyBorder="1" applyProtection="1">
      <protection locked="0"/>
    </xf>
    <xf numFmtId="0" fontId="44" fillId="11" borderId="140" xfId="10" applyNumberFormat="1" applyFont="1" applyFill="1" applyBorder="1" applyProtection="1">
      <protection locked="0"/>
    </xf>
    <xf numFmtId="209" fontId="44" fillId="11" borderId="140" xfId="8" applyNumberFormat="1" applyFont="1" applyFill="1" applyBorder="1" applyProtection="1">
      <protection locked="0"/>
    </xf>
    <xf numFmtId="169" fontId="44" fillId="11" borderId="258" xfId="9" applyNumberFormat="1" applyFont="1" applyFill="1" applyBorder="1" applyProtection="1">
      <protection locked="0"/>
    </xf>
    <xf numFmtId="209" fontId="44" fillId="11" borderId="258" xfId="8" applyNumberFormat="1" applyFont="1" applyFill="1" applyBorder="1" applyProtection="1">
      <protection locked="0"/>
    </xf>
    <xf numFmtId="0" fontId="44" fillId="11" borderId="140" xfId="9" applyNumberFormat="1" applyFont="1" applyFill="1" applyBorder="1" applyProtection="1">
      <protection locked="0"/>
    </xf>
    <xf numFmtId="44" fontId="44" fillId="11" borderId="258" xfId="9" applyFont="1" applyFill="1" applyBorder="1" applyProtection="1">
      <protection locked="0"/>
    </xf>
    <xf numFmtId="44" fontId="44" fillId="11" borderId="140" xfId="9" applyFont="1" applyFill="1" applyBorder="1" applyProtection="1">
      <protection locked="0"/>
    </xf>
    <xf numFmtId="9" fontId="44" fillId="11" borderId="140" xfId="8" applyFont="1" applyFill="1" applyBorder="1" applyProtection="1">
      <protection locked="0"/>
    </xf>
    <xf numFmtId="0" fontId="44" fillId="11" borderId="140" xfId="8" applyNumberFormat="1" applyFont="1" applyFill="1" applyBorder="1" applyAlignment="1" applyProtection="1">
      <alignment horizontal="center" vertical="center"/>
      <protection locked="0"/>
    </xf>
    <xf numFmtId="0" fontId="44" fillId="11" borderId="302" xfId="9" applyNumberFormat="1" applyFont="1" applyFill="1" applyBorder="1" applyProtection="1">
      <protection locked="0"/>
    </xf>
    <xf numFmtId="0" fontId="44" fillId="11" borderId="302" xfId="8" applyNumberFormat="1" applyFont="1" applyFill="1" applyBorder="1" applyAlignment="1" applyProtection="1">
      <alignment horizontal="center" vertical="center"/>
      <protection locked="0"/>
    </xf>
    <xf numFmtId="0" fontId="44" fillId="11" borderId="300" xfId="8" applyNumberFormat="1" applyFont="1" applyFill="1" applyBorder="1" applyAlignment="1" applyProtection="1">
      <alignment horizontal="center" vertical="center"/>
      <protection locked="0"/>
    </xf>
    <xf numFmtId="9" fontId="44" fillId="11" borderId="302" xfId="8" applyFont="1" applyFill="1" applyBorder="1" applyProtection="1">
      <protection locked="0"/>
    </xf>
    <xf numFmtId="9" fontId="44" fillId="11" borderId="300" xfId="8" applyFont="1" applyFill="1" applyBorder="1" applyProtection="1">
      <protection locked="0"/>
    </xf>
    <xf numFmtId="169" fontId="44" fillId="11" borderId="302" xfId="9" applyNumberFormat="1" applyFont="1" applyFill="1" applyBorder="1" applyProtection="1">
      <protection locked="0"/>
    </xf>
    <xf numFmtId="169" fontId="44" fillId="11" borderId="300" xfId="9" applyNumberFormat="1" applyFont="1" applyFill="1" applyBorder="1" applyProtection="1">
      <protection locked="0"/>
    </xf>
    <xf numFmtId="10" fontId="44" fillId="11" borderId="302" xfId="8" applyNumberFormat="1" applyFont="1" applyFill="1" applyBorder="1" applyProtection="1">
      <protection locked="0"/>
    </xf>
    <xf numFmtId="10" fontId="44" fillId="11" borderId="300" xfId="8" applyNumberFormat="1" applyFont="1" applyFill="1" applyBorder="1" applyProtection="1">
      <protection locked="0"/>
    </xf>
    <xf numFmtId="209" fontId="44" fillId="11" borderId="302" xfId="8" applyNumberFormat="1" applyFont="1" applyFill="1" applyBorder="1" applyProtection="1">
      <protection locked="0"/>
    </xf>
    <xf numFmtId="169" fontId="44" fillId="11" borderId="305" xfId="9" applyNumberFormat="1" applyFont="1" applyFill="1" applyBorder="1" applyProtection="1">
      <protection locked="0"/>
    </xf>
    <xf numFmtId="169" fontId="44" fillId="11" borderId="306" xfId="9" applyNumberFormat="1" applyFont="1" applyFill="1" applyBorder="1" applyProtection="1">
      <protection locked="0"/>
    </xf>
    <xf numFmtId="169" fontId="44" fillId="11" borderId="307" xfId="9" applyNumberFormat="1" applyFont="1" applyFill="1" applyBorder="1" applyProtection="1">
      <protection locked="0"/>
    </xf>
    <xf numFmtId="9" fontId="44" fillId="11" borderId="140" xfId="8" applyFont="1" applyFill="1" applyBorder="1" applyAlignment="1" applyProtection="1">
      <alignment horizontal="center" vertical="center"/>
      <protection locked="0"/>
    </xf>
    <xf numFmtId="0" fontId="44" fillId="11" borderId="140" xfId="8" applyNumberFormat="1" applyFont="1" applyFill="1" applyBorder="1" applyAlignment="1" applyProtection="1">
      <alignment horizontal="left" vertical="center"/>
      <protection locked="0"/>
    </xf>
    <xf numFmtId="0" fontId="44" fillId="11" borderId="140" xfId="8" applyNumberFormat="1" applyFont="1" applyFill="1" applyBorder="1" applyAlignment="1" applyProtection="1">
      <alignment horizontal="left" vertical="center" indent="1"/>
      <protection locked="0"/>
    </xf>
    <xf numFmtId="0" fontId="25" fillId="51" borderId="52" xfId="0" applyFont="1" applyFill="1" applyBorder="1" applyProtection="1">
      <protection locked="0"/>
    </xf>
    <xf numFmtId="0" fontId="22" fillId="51" borderId="51" xfId="0" applyFont="1" applyFill="1" applyBorder="1" applyProtection="1">
      <protection locked="0"/>
    </xf>
    <xf numFmtId="0" fontId="17" fillId="0" borderId="50" xfId="0" quotePrefix="1" applyFont="1" applyBorder="1" applyAlignment="1" applyProtection="1">
      <alignment horizontal="left" indent="2"/>
      <protection locked="0"/>
    </xf>
    <xf numFmtId="10" fontId="0" fillId="0" borderId="140" xfId="0" applyNumberFormat="1" applyBorder="1" applyProtection="1">
      <protection locked="0"/>
    </xf>
    <xf numFmtId="10" fontId="0" fillId="0" borderId="0" xfId="8" applyNumberFormat="1" applyFont="1" applyProtection="1">
      <protection locked="0"/>
    </xf>
    <xf numFmtId="10" fontId="0" fillId="0" borderId="0" xfId="0" applyNumberFormat="1" applyProtection="1">
      <protection locked="0"/>
    </xf>
    <xf numFmtId="10" fontId="0" fillId="0" borderId="140" xfId="8" applyNumberFormat="1" applyFont="1" applyBorder="1" applyProtection="1">
      <protection locked="0"/>
    </xf>
    <xf numFmtId="208" fontId="0" fillId="0" borderId="0" xfId="8" applyNumberFormat="1" applyFont="1" applyProtection="1">
      <protection locked="0"/>
    </xf>
    <xf numFmtId="0" fontId="16" fillId="0" borderId="0" xfId="0" applyFont="1" applyProtection="1">
      <protection locked="0"/>
    </xf>
    <xf numFmtId="0" fontId="36" fillId="0" borderId="140" xfId="0" applyFont="1" applyBorder="1" applyProtection="1">
      <protection locked="0"/>
    </xf>
    <xf numFmtId="43" fontId="36" fillId="0" borderId="140" xfId="0" applyNumberFormat="1" applyFont="1" applyBorder="1" applyProtection="1">
      <protection locked="0"/>
    </xf>
    <xf numFmtId="0" fontId="139" fillId="0" borderId="0" xfId="0" applyFont="1" applyProtection="1">
      <protection locked="0"/>
    </xf>
    <xf numFmtId="0" fontId="0" fillId="0" borderId="251" xfId="0" applyBorder="1" applyProtection="1">
      <protection locked="0"/>
    </xf>
    <xf numFmtId="0" fontId="0" fillId="0" borderId="252" xfId="0" applyBorder="1" applyProtection="1">
      <protection locked="0"/>
    </xf>
    <xf numFmtId="0" fontId="0" fillId="0" borderId="253" xfId="0" applyBorder="1" applyProtection="1">
      <protection locked="0"/>
    </xf>
    <xf numFmtId="0" fontId="0" fillId="0" borderId="140" xfId="0" applyBorder="1" applyProtection="1">
      <protection locked="0"/>
    </xf>
    <xf numFmtId="0" fontId="0" fillId="0" borderId="300" xfId="0" applyBorder="1" applyProtection="1">
      <protection locked="0"/>
    </xf>
    <xf numFmtId="0" fontId="0" fillId="3" borderId="248" xfId="0" applyFill="1" applyBorder="1" applyProtection="1">
      <protection locked="0"/>
    </xf>
    <xf numFmtId="0" fontId="0" fillId="3" borderId="0" xfId="0" applyFill="1" applyProtection="1">
      <protection locked="0"/>
    </xf>
    <xf numFmtId="0" fontId="0" fillId="3" borderId="240" xfId="0" applyFill="1" applyBorder="1" applyProtection="1">
      <protection locked="0"/>
    </xf>
    <xf numFmtId="0" fontId="0" fillId="3" borderId="308" xfId="0" applyFill="1" applyBorder="1" applyProtection="1">
      <protection locked="0"/>
    </xf>
    <xf numFmtId="0" fontId="0" fillId="3" borderId="304" xfId="0" applyFill="1" applyBorder="1" applyProtection="1">
      <protection locked="0"/>
    </xf>
    <xf numFmtId="0" fontId="0" fillId="3" borderId="309" xfId="0" applyFill="1" applyBorder="1" applyProtection="1">
      <protection locked="0"/>
    </xf>
    <xf numFmtId="169" fontId="0" fillId="0" borderId="257" xfId="0" applyNumberFormat="1" applyBorder="1" applyProtection="1">
      <protection locked="0"/>
    </xf>
    <xf numFmtId="169" fontId="0" fillId="0" borderId="258" xfId="0" applyNumberFormat="1" applyBorder="1" applyProtection="1">
      <protection locked="0"/>
    </xf>
    <xf numFmtId="169" fontId="0" fillId="0" borderId="259" xfId="0" applyNumberFormat="1" applyBorder="1" applyProtection="1">
      <protection locked="0"/>
    </xf>
    <xf numFmtId="209" fontId="0" fillId="0" borderId="140" xfId="8" applyNumberFormat="1" applyFont="1" applyBorder="1" applyProtection="1">
      <protection locked="0"/>
    </xf>
    <xf numFmtId="209" fontId="0" fillId="0" borderId="300" xfId="8" applyNumberFormat="1" applyFont="1" applyBorder="1" applyProtection="1">
      <protection locked="0"/>
    </xf>
    <xf numFmtId="209" fontId="0" fillId="0" borderId="302" xfId="8" applyNumberFormat="1" applyFont="1" applyBorder="1" applyProtection="1">
      <protection locked="0"/>
    </xf>
    <xf numFmtId="169" fontId="0" fillId="0" borderId="302" xfId="0" applyNumberFormat="1" applyBorder="1" applyProtection="1">
      <protection locked="0"/>
    </xf>
    <xf numFmtId="169" fontId="0" fillId="0" borderId="140" xfId="0" applyNumberFormat="1" applyBorder="1" applyProtection="1">
      <protection locked="0"/>
    </xf>
    <xf numFmtId="169" fontId="0" fillId="0" borderId="300" xfId="0" applyNumberFormat="1" applyBorder="1" applyProtection="1">
      <protection locked="0"/>
    </xf>
    <xf numFmtId="169" fontId="0" fillId="0" borderId="303" xfId="0" applyNumberFormat="1" applyBorder="1" applyProtection="1">
      <protection locked="0"/>
    </xf>
    <xf numFmtId="169" fontId="0" fillId="0" borderId="301" xfId="0" applyNumberFormat="1" applyBorder="1" applyProtection="1">
      <protection locked="0"/>
    </xf>
    <xf numFmtId="169" fontId="0" fillId="0" borderId="281" xfId="0" applyNumberFormat="1" applyBorder="1" applyProtection="1">
      <protection locked="0"/>
    </xf>
    <xf numFmtId="226" fontId="0" fillId="0" borderId="0" xfId="8" applyNumberFormat="1" applyFont="1" applyProtection="1">
      <protection locked="0"/>
    </xf>
    <xf numFmtId="6" fontId="0" fillId="0" borderId="140" xfId="0" applyNumberFormat="1" applyBorder="1" applyProtection="1">
      <protection locked="0"/>
    </xf>
    <xf numFmtId="0" fontId="16" fillId="0" borderId="138" xfId="0" applyFont="1" applyBorder="1" applyProtection="1">
      <protection locked="0"/>
    </xf>
    <xf numFmtId="0" fontId="16" fillId="0" borderId="140" xfId="0" applyFont="1" applyBorder="1" applyProtection="1">
      <protection locked="0"/>
    </xf>
    <xf numFmtId="44" fontId="0" fillId="0" borderId="0" xfId="0" applyNumberFormat="1" applyProtection="1">
      <protection locked="0"/>
    </xf>
    <xf numFmtId="44" fontId="0" fillId="0" borderId="135" xfId="0" applyNumberFormat="1" applyBorder="1" applyProtection="1">
      <protection locked="0"/>
    </xf>
    <xf numFmtId="44" fontId="0" fillId="0" borderId="1" xfId="0" applyNumberFormat="1" applyBorder="1" applyProtection="1">
      <protection locked="0"/>
    </xf>
    <xf numFmtId="44" fontId="0" fillId="0" borderId="137" xfId="0" applyNumberFormat="1" applyBorder="1" applyProtection="1">
      <protection locked="0"/>
    </xf>
    <xf numFmtId="169" fontId="16" fillId="0" borderId="140" xfId="0" applyNumberFormat="1" applyFont="1" applyBorder="1" applyProtection="1">
      <protection locked="0"/>
    </xf>
    <xf numFmtId="44" fontId="16" fillId="0" borderId="140" xfId="0" applyNumberFormat="1" applyFont="1" applyBorder="1" applyProtection="1">
      <protection locked="0"/>
    </xf>
    <xf numFmtId="0" fontId="22" fillId="51" borderId="51" xfId="0" applyFont="1" applyFill="1" applyBorder="1" applyAlignment="1" applyProtection="1">
      <alignment horizontal="left"/>
      <protection locked="0"/>
    </xf>
    <xf numFmtId="0" fontId="25" fillId="51" borderId="52" xfId="0" applyFont="1" applyFill="1" applyBorder="1" applyAlignment="1" applyProtection="1">
      <alignment horizontal="right"/>
      <protection locked="0"/>
    </xf>
    <xf numFmtId="0" fontId="0" fillId="0" borderId="0" xfId="0" applyAlignment="1" applyProtection="1">
      <alignment horizontal="left"/>
      <protection locked="0"/>
    </xf>
    <xf numFmtId="0" fontId="0" fillId="0" borderId="140" xfId="0" applyBorder="1" applyAlignment="1" applyProtection="1">
      <alignment horizontal="left"/>
      <protection locked="0"/>
    </xf>
    <xf numFmtId="0" fontId="0" fillId="0" borderId="306" xfId="0" applyBorder="1" applyAlignment="1" applyProtection="1">
      <alignment horizontal="left"/>
      <protection locked="0"/>
    </xf>
    <xf numFmtId="169" fontId="0" fillId="0" borderId="306" xfId="0" applyNumberFormat="1" applyBorder="1" applyProtection="1">
      <protection locked="0"/>
    </xf>
    <xf numFmtId="0" fontId="16" fillId="0" borderId="258" xfId="0" applyFont="1" applyBorder="1" applyAlignment="1" applyProtection="1">
      <alignment horizontal="left"/>
      <protection locked="0"/>
    </xf>
    <xf numFmtId="169" fontId="16" fillId="0" borderId="258" xfId="0" applyNumberFormat="1" applyFont="1" applyBorder="1" applyProtection="1">
      <protection locked="0"/>
    </xf>
    <xf numFmtId="0" fontId="27" fillId="0" borderId="0" xfId="0" quotePrefix="1" applyFont="1" applyAlignment="1" applyProtection="1">
      <alignment horizontal="center"/>
      <protection locked="0"/>
    </xf>
    <xf numFmtId="9" fontId="0" fillId="0" borderId="0" xfId="0" applyNumberFormat="1" applyProtection="1">
      <protection locked="0"/>
    </xf>
    <xf numFmtId="0" fontId="27" fillId="0" borderId="0" xfId="0" quotePrefix="1" applyFont="1" applyAlignment="1" applyProtection="1">
      <alignment horizontal="left"/>
      <protection locked="0"/>
    </xf>
    <xf numFmtId="0" fontId="16" fillId="0" borderId="140" xfId="0" applyFont="1" applyBorder="1" applyAlignment="1" applyProtection="1">
      <alignment horizontal="left"/>
      <protection locked="0"/>
    </xf>
    <xf numFmtId="44" fontId="0" fillId="0" borderId="140" xfId="9" applyFont="1" applyFill="1" applyBorder="1" applyAlignment="1" applyProtection="1">
      <alignment horizontal="left" indent="2"/>
      <protection locked="0"/>
    </xf>
    <xf numFmtId="8" fontId="0" fillId="0" borderId="140" xfId="9" applyNumberFormat="1" applyFont="1" applyFill="1" applyBorder="1" applyAlignment="1" applyProtection="1">
      <alignment horizontal="right"/>
      <protection locked="0"/>
    </xf>
    <xf numFmtId="6" fontId="16" fillId="0" borderId="140" xfId="0" applyNumberFormat="1" applyFont="1" applyBorder="1" applyProtection="1">
      <protection locked="0"/>
    </xf>
    <xf numFmtId="44" fontId="0" fillId="0" borderId="0" xfId="9" applyFont="1" applyFill="1" applyBorder="1" applyAlignment="1" applyProtection="1">
      <alignment horizontal="left" indent="2"/>
      <protection locked="0"/>
    </xf>
    <xf numFmtId="44" fontId="16" fillId="0" borderId="140" xfId="9" applyFont="1" applyFill="1" applyBorder="1" applyAlignment="1" applyProtection="1">
      <alignment horizontal="left" indent="2"/>
      <protection locked="0"/>
    </xf>
    <xf numFmtId="169" fontId="16" fillId="0" borderId="140" xfId="9" applyNumberFormat="1" applyFont="1" applyFill="1" applyBorder="1" applyAlignment="1" applyProtection="1">
      <alignment horizontal="left" indent="2"/>
      <protection locked="0"/>
    </xf>
    <xf numFmtId="0" fontId="27" fillId="0" borderId="1" xfId="0" quotePrefix="1" applyFont="1" applyBorder="1" applyAlignment="1" applyProtection="1">
      <alignment horizontal="left"/>
      <protection locked="0"/>
    </xf>
    <xf numFmtId="0" fontId="27" fillId="0" borderId="1" xfId="0" quotePrefix="1" applyFont="1" applyBorder="1" applyAlignment="1" applyProtection="1">
      <alignment horizontal="center" vertical="center"/>
      <protection locked="0"/>
    </xf>
    <xf numFmtId="44" fontId="0" fillId="0" borderId="140" xfId="9" applyFont="1" applyFill="1" applyBorder="1" applyAlignment="1" applyProtection="1">
      <alignment horizontal="center" vertical="center"/>
      <protection locked="0"/>
    </xf>
    <xf numFmtId="0" fontId="0" fillId="0" borderId="138" xfId="9" applyNumberFormat="1" applyFont="1" applyFill="1" applyBorder="1" applyAlignment="1" applyProtection="1">
      <alignment horizontal="center" vertical="center"/>
      <protection locked="0"/>
    </xf>
    <xf numFmtId="0" fontId="0" fillId="0" borderId="140" xfId="9" applyNumberFormat="1" applyFont="1" applyFill="1" applyBorder="1" applyAlignment="1" applyProtection="1">
      <alignment horizontal="center" vertical="center"/>
      <protection locked="0"/>
    </xf>
    <xf numFmtId="0" fontId="137" fillId="0" borderId="0" xfId="0" applyFont="1" applyProtection="1">
      <protection locked="0"/>
    </xf>
    <xf numFmtId="169" fontId="0" fillId="0" borderId="140" xfId="9" applyNumberFormat="1" applyFont="1" applyFill="1" applyBorder="1" applyProtection="1">
      <protection locked="0"/>
    </xf>
    <xf numFmtId="169" fontId="0" fillId="0" borderId="0" xfId="0" applyNumberFormat="1" applyProtection="1">
      <protection locked="0"/>
    </xf>
    <xf numFmtId="0" fontId="142" fillId="0" borderId="0" xfId="0" applyFont="1" applyAlignment="1" applyProtection="1">
      <alignment vertical="center" wrapText="1"/>
      <protection locked="0"/>
    </xf>
    <xf numFmtId="169" fontId="16" fillId="0" borderId="0" xfId="0" applyNumberFormat="1" applyFont="1" applyProtection="1">
      <protection locked="0"/>
    </xf>
    <xf numFmtId="38" fontId="0" fillId="33" borderId="0" xfId="0" applyNumberFormat="1" applyFill="1"/>
    <xf numFmtId="38" fontId="0" fillId="33" borderId="0" xfId="0" quotePrefix="1" applyNumberFormat="1" applyFill="1"/>
    <xf numFmtId="0" fontId="127" fillId="0" borderId="299" xfId="0" applyFont="1" applyBorder="1"/>
    <xf numFmtId="0" fontId="0" fillId="0" borderId="299" xfId="0" applyBorder="1"/>
    <xf numFmtId="0" fontId="115" fillId="0" borderId="299" xfId="0" applyFont="1" applyBorder="1" applyAlignment="1">
      <alignment horizontal="right"/>
    </xf>
    <xf numFmtId="0" fontId="103" fillId="0" borderId="0" xfId="0" applyFont="1"/>
    <xf numFmtId="0" fontId="144" fillId="53" borderId="310" xfId="0" applyFont="1" applyFill="1" applyBorder="1" applyAlignment="1">
      <alignment horizontal="center"/>
    </xf>
    <xf numFmtId="0" fontId="144" fillId="53" borderId="311" xfId="0" applyFont="1" applyFill="1" applyBorder="1" applyAlignment="1">
      <alignment horizontal="center"/>
    </xf>
    <xf numFmtId="0" fontId="0" fillId="0" borderId="312" xfId="0" applyBorder="1"/>
    <xf numFmtId="38" fontId="121" fillId="0" borderId="313" xfId="0" applyNumberFormat="1" applyFont="1" applyBorder="1" applyAlignment="1">
      <alignment horizontal="center"/>
    </xf>
    <xf numFmtId="0" fontId="145" fillId="0" borderId="313" xfId="0" applyFont="1" applyBorder="1" applyAlignment="1">
      <alignment horizontal="center"/>
    </xf>
    <xf numFmtId="38" fontId="145" fillId="42" borderId="313" xfId="0" applyNumberFormat="1" applyFont="1" applyFill="1" applyBorder="1" applyAlignment="1">
      <alignment horizontal="center"/>
    </xf>
    <xf numFmtId="38" fontId="145" fillId="0" borderId="313" xfId="0" applyNumberFormat="1" applyFont="1" applyBorder="1" applyAlignment="1">
      <alignment horizontal="center"/>
    </xf>
    <xf numFmtId="227" fontId="143" fillId="0" borderId="313" xfId="0" applyNumberFormat="1" applyFont="1" applyBorder="1" applyAlignment="1">
      <alignment horizontal="center"/>
    </xf>
    <xf numFmtId="0" fontId="144" fillId="53" borderId="314" xfId="0" applyFont="1" applyFill="1" applyBorder="1" applyAlignment="1">
      <alignment horizontal="center"/>
    </xf>
    <xf numFmtId="0" fontId="144" fillId="53" borderId="0" xfId="0" applyFont="1" applyFill="1" applyAlignment="1">
      <alignment horizontal="center"/>
    </xf>
    <xf numFmtId="228" fontId="145" fillId="0" borderId="313" xfId="0" applyNumberFormat="1" applyFont="1" applyBorder="1" applyAlignment="1">
      <alignment horizontal="center"/>
    </xf>
    <xf numFmtId="0" fontId="141" fillId="0" borderId="315" xfId="0" applyFont="1" applyBorder="1" applyAlignment="1">
      <alignment horizontal="center"/>
    </xf>
    <xf numFmtId="0" fontId="141" fillId="0" borderId="0" xfId="0" applyFont="1" applyAlignment="1">
      <alignment horizontal="center"/>
    </xf>
    <xf numFmtId="6" fontId="145" fillId="0" borderId="313" xfId="0" applyNumberFormat="1" applyFont="1" applyBorder="1" applyAlignment="1">
      <alignment horizontal="center"/>
    </xf>
    <xf numFmtId="0" fontId="0" fillId="0" borderId="315" xfId="0" applyBorder="1"/>
    <xf numFmtId="10" fontId="143" fillId="0" borderId="313" xfId="0" applyNumberFormat="1" applyFont="1" applyBorder="1" applyAlignment="1">
      <alignment horizontal="center"/>
    </xf>
    <xf numFmtId="229" fontId="0" fillId="0" borderId="313" xfId="0" applyNumberFormat="1" applyBorder="1" applyAlignment="1">
      <alignment horizontal="center"/>
    </xf>
    <xf numFmtId="0" fontId="0" fillId="0" borderId="316" xfId="0" applyBorder="1"/>
    <xf numFmtId="229" fontId="0" fillId="0" borderId="317" xfId="0" applyNumberFormat="1" applyBorder="1" applyAlignment="1">
      <alignment horizontal="center"/>
    </xf>
    <xf numFmtId="0" fontId="146" fillId="0" borderId="0" xfId="0" applyFont="1" applyAlignment="1">
      <alignment horizontal="center"/>
    </xf>
    <xf numFmtId="0" fontId="0" fillId="0" borderId="246" xfId="0" applyBorder="1"/>
    <xf numFmtId="0" fontId="146" fillId="0" borderId="246" xfId="0" applyFont="1" applyBorder="1" applyAlignment="1">
      <alignment horizontal="center"/>
    </xf>
    <xf numFmtId="0" fontId="0" fillId="0" borderId="246" xfId="0" applyBorder="1" applyAlignment="1">
      <alignment horizontal="left"/>
    </xf>
    <xf numFmtId="6" fontId="146" fillId="0" borderId="246" xfId="0" applyNumberFormat="1" applyFont="1" applyBorder="1" applyAlignment="1">
      <alignment horizontal="center"/>
    </xf>
    <xf numFmtId="0" fontId="0" fillId="32" borderId="0" xfId="0" applyFill="1"/>
    <xf numFmtId="230" fontId="0" fillId="0" borderId="0" xfId="0" applyNumberFormat="1"/>
    <xf numFmtId="232" fontId="0" fillId="0" borderId="0" xfId="0" applyNumberFormat="1"/>
    <xf numFmtId="233" fontId="0" fillId="0" borderId="0" xfId="0" applyNumberFormat="1"/>
    <xf numFmtId="0" fontId="16" fillId="0" borderId="314" xfId="0" applyFont="1" applyBorder="1" applyAlignment="1">
      <alignment horizontal="center"/>
    </xf>
    <xf numFmtId="0" fontId="0" fillId="0" borderId="135" xfId="0" applyBorder="1"/>
    <xf numFmtId="6" fontId="147" fillId="0" borderId="331" xfId="0" applyNumberFormat="1" applyFont="1" applyBorder="1" applyAlignment="1">
      <alignment horizontal="center"/>
    </xf>
    <xf numFmtId="10" fontId="147" fillId="0" borderId="331" xfId="0" applyNumberFormat="1" applyFont="1" applyBorder="1" applyAlignment="1">
      <alignment horizontal="center"/>
    </xf>
    <xf numFmtId="0" fontId="0" fillId="0" borderId="332" xfId="0" applyBorder="1"/>
    <xf numFmtId="0" fontId="16" fillId="0" borderId="310" xfId="0" applyFont="1" applyBorder="1"/>
    <xf numFmtId="229" fontId="147" fillId="0" borderId="311" xfId="0" applyNumberFormat="1" applyFont="1" applyBorder="1" applyAlignment="1">
      <alignment horizontal="center"/>
    </xf>
    <xf numFmtId="0" fontId="16" fillId="0" borderId="316" xfId="0" applyFont="1" applyBorder="1"/>
    <xf numFmtId="229" fontId="147" fillId="0" borderId="317" xfId="0" applyNumberFormat="1" applyFont="1" applyBorder="1" applyAlignment="1">
      <alignment horizontal="center"/>
    </xf>
    <xf numFmtId="0" fontId="44" fillId="11" borderId="37" xfId="4" applyNumberFormat="1" applyAlignment="1">
      <alignment horizontal="left" vertical="center"/>
      <protection locked="0"/>
    </xf>
    <xf numFmtId="38" fontId="44" fillId="0" borderId="140" xfId="4" applyFill="1" applyBorder="1" applyAlignment="1">
      <alignment horizontal="left"/>
      <protection locked="0"/>
    </xf>
    <xf numFmtId="184" fontId="0" fillId="0" borderId="0" xfId="0" applyNumberFormat="1" applyProtection="1">
      <protection locked="0"/>
    </xf>
    <xf numFmtId="38" fontId="44" fillId="0" borderId="140" xfId="4" applyFill="1" applyBorder="1" applyAlignment="1" applyProtection="1">
      <alignment horizontal="left"/>
    </xf>
    <xf numFmtId="0" fontId="0" fillId="0" borderId="140" xfId="0" applyBorder="1"/>
    <xf numFmtId="9" fontId="0" fillId="0" borderId="140" xfId="8" applyFont="1" applyBorder="1"/>
    <xf numFmtId="167" fontId="0" fillId="0" borderId="140" xfId="10" applyNumberFormat="1" applyFont="1" applyFill="1" applyBorder="1" applyAlignment="1">
      <alignment horizontal="right"/>
    </xf>
    <xf numFmtId="167" fontId="0" fillId="0" borderId="140" xfId="0" applyNumberFormat="1" applyBorder="1"/>
    <xf numFmtId="0" fontId="44" fillId="0" borderId="140" xfId="4" applyNumberFormat="1" applyFill="1" applyBorder="1" applyAlignment="1" applyProtection="1">
      <alignment horizontal="left"/>
    </xf>
    <xf numFmtId="0" fontId="0" fillId="0" borderId="0" xfId="0" applyAlignment="1" applyProtection="1">
      <alignment horizontal="right"/>
      <protection locked="0"/>
    </xf>
    <xf numFmtId="8" fontId="0" fillId="0" borderId="0" xfId="0" applyNumberFormat="1" applyAlignment="1" applyProtection="1">
      <alignment horizontal="right" vertical="top"/>
      <protection locked="0"/>
    </xf>
    <xf numFmtId="167" fontId="0" fillId="0" borderId="0" xfId="0" applyNumberFormat="1" applyProtection="1">
      <protection locked="0"/>
    </xf>
    <xf numFmtId="6" fontId="140" fillId="0" borderId="0" xfId="0" applyNumberFormat="1" applyFont="1" applyAlignment="1" applyProtection="1">
      <alignment horizontal="right" vertical="top"/>
      <protection locked="0"/>
    </xf>
    <xf numFmtId="8" fontId="0" fillId="0" borderId="0" xfId="0" applyNumberFormat="1" applyProtection="1">
      <protection locked="0"/>
    </xf>
    <xf numFmtId="8" fontId="0" fillId="0" borderId="0" xfId="0" applyNumberFormat="1" applyAlignment="1" applyProtection="1">
      <alignment horizontal="center" vertical="top"/>
      <protection locked="0"/>
    </xf>
    <xf numFmtId="0" fontId="0" fillId="0" borderId="0" xfId="0" applyAlignment="1" applyProtection="1">
      <alignment horizontal="center"/>
      <protection locked="0"/>
    </xf>
    <xf numFmtId="38" fontId="17" fillId="0" borderId="140" xfId="18" applyFont="1" applyFill="1" applyBorder="1" applyAlignment="1">
      <protection locked="0"/>
    </xf>
    <xf numFmtId="0" fontId="0" fillId="0" borderId="140" xfId="0" applyBorder="1" applyAlignment="1">
      <alignment horizontal="left"/>
    </xf>
    <xf numFmtId="0" fontId="0" fillId="0" borderId="140" xfId="0" applyBorder="1" applyAlignment="1">
      <alignment horizontal="left" indent="2"/>
    </xf>
    <xf numFmtId="169" fontId="0" fillId="0" borderId="0" xfId="9" applyNumberFormat="1" applyFont="1" applyFill="1" applyProtection="1">
      <protection locked="0"/>
    </xf>
    <xf numFmtId="169" fontId="0" fillId="0" borderId="140" xfId="9" applyNumberFormat="1" applyFont="1" applyBorder="1" applyProtection="1">
      <protection locked="0"/>
    </xf>
    <xf numFmtId="38" fontId="44" fillId="0" borderId="138" xfId="4" applyFill="1" applyBorder="1" applyAlignment="1" applyProtection="1">
      <alignment horizontal="left"/>
    </xf>
    <xf numFmtId="236" fontId="0" fillId="0" borderId="140" xfId="8" applyNumberFormat="1" applyFont="1" applyBorder="1"/>
    <xf numFmtId="167" fontId="44" fillId="11" borderId="140" xfId="10" applyNumberFormat="1" applyFont="1" applyFill="1" applyBorder="1" applyAlignment="1" applyProtection="1">
      <alignment horizontal="center" vertical="center"/>
      <protection locked="0"/>
    </xf>
    <xf numFmtId="169" fontId="0" fillId="0" borderId="140" xfId="9" applyNumberFormat="1" applyFont="1" applyBorder="1"/>
    <xf numFmtId="9" fontId="44" fillId="11" borderId="140" xfId="8" applyFont="1" applyFill="1" applyBorder="1" applyAlignment="1" applyProtection="1">
      <alignment horizontal="right" vertical="center"/>
      <protection locked="0"/>
    </xf>
    <xf numFmtId="169" fontId="0" fillId="0" borderId="140" xfId="0" applyNumberFormat="1" applyBorder="1"/>
    <xf numFmtId="44" fontId="0" fillId="0" borderId="140" xfId="0" applyNumberFormat="1" applyBorder="1"/>
    <xf numFmtId="237" fontId="0" fillId="0" borderId="140" xfId="0" applyNumberFormat="1" applyBorder="1"/>
    <xf numFmtId="10" fontId="16" fillId="0" borderId="140" xfId="8" applyNumberFormat="1" applyFont="1" applyBorder="1" applyProtection="1">
      <protection locked="0"/>
    </xf>
    <xf numFmtId="2" fontId="0" fillId="0" borderId="140" xfId="0" applyNumberFormat="1" applyBorder="1"/>
    <xf numFmtId="44" fontId="0" fillId="0" borderId="140" xfId="9" applyFont="1" applyFill="1" applyBorder="1" applyAlignment="1">
      <alignment horizontal="left" indent="2"/>
    </xf>
    <xf numFmtId="0" fontId="16" fillId="0" borderId="140" xfId="0" applyFont="1" applyBorder="1"/>
    <xf numFmtId="44" fontId="0" fillId="0" borderId="0" xfId="9" applyFont="1" applyFill="1" applyBorder="1" applyAlignment="1">
      <alignment horizontal="left" indent="2"/>
    </xf>
    <xf numFmtId="44" fontId="0" fillId="0" borderId="0" xfId="0" applyNumberFormat="1"/>
    <xf numFmtId="44" fontId="0" fillId="32" borderId="140" xfId="9" applyFont="1" applyFill="1" applyBorder="1" applyAlignment="1">
      <alignment horizontal="left" indent="2"/>
    </xf>
    <xf numFmtId="0" fontId="0" fillId="0" borderId="0" xfId="0" applyAlignment="1" applyProtection="1">
      <alignment wrapText="1"/>
      <protection locked="0"/>
    </xf>
    <xf numFmtId="0" fontId="55" fillId="57" borderId="140" xfId="0" applyFont="1" applyFill="1" applyBorder="1"/>
    <xf numFmtId="0" fontId="55" fillId="57" borderId="140" xfId="0" applyFont="1" applyFill="1" applyBorder="1" applyAlignment="1">
      <alignment wrapText="1"/>
    </xf>
    <xf numFmtId="0" fontId="149" fillId="52" borderId="140" xfId="0" applyFont="1" applyFill="1" applyBorder="1"/>
    <xf numFmtId="0" fontId="55" fillId="57" borderId="0" xfId="0" applyFont="1" applyFill="1"/>
    <xf numFmtId="0" fontId="0" fillId="11" borderId="140" xfId="0" applyFill="1" applyBorder="1"/>
    <xf numFmtId="9" fontId="0" fillId="11" borderId="140" xfId="8" applyFont="1" applyFill="1" applyBorder="1"/>
    <xf numFmtId="167" fontId="44" fillId="11" borderId="140" xfId="10" applyNumberFormat="1" applyFont="1" applyFill="1" applyBorder="1" applyAlignment="1" applyProtection="1">
      <alignment horizontal="right" vertical="center"/>
      <protection locked="0"/>
    </xf>
    <xf numFmtId="8" fontId="17" fillId="11" borderId="140" xfId="0" applyNumberFormat="1" applyFont="1" applyFill="1" applyBorder="1" applyProtection="1">
      <protection locked="0"/>
    </xf>
    <xf numFmtId="10" fontId="17" fillId="11" borderId="140" xfId="0" applyNumberFormat="1" applyFont="1" applyFill="1" applyBorder="1" applyAlignment="1" applyProtection="1">
      <alignment horizontal="right"/>
      <protection locked="0"/>
    </xf>
    <xf numFmtId="0" fontId="0" fillId="11" borderId="140" xfId="0" applyFill="1" applyBorder="1" applyProtection="1">
      <protection locked="0"/>
    </xf>
    <xf numFmtId="0" fontId="0" fillId="0" borderId="140" xfId="0" applyBorder="1" applyAlignment="1" applyProtection="1">
      <alignment horizontal="left" vertical="top"/>
      <protection locked="0"/>
    </xf>
    <xf numFmtId="0" fontId="0" fillId="58" borderId="140" xfId="0" applyFill="1" applyBorder="1" applyAlignment="1" applyProtection="1">
      <alignment horizontal="left" vertical="top"/>
      <protection locked="0"/>
    </xf>
    <xf numFmtId="0" fontId="0" fillId="58" borderId="140" xfId="0" applyFill="1" applyBorder="1" applyAlignment="1" applyProtection="1">
      <alignment horizontal="right" vertical="top"/>
      <protection locked="0"/>
    </xf>
    <xf numFmtId="0" fontId="0" fillId="58" borderId="140" xfId="0" applyFill="1" applyBorder="1" applyAlignment="1" applyProtection="1">
      <alignment horizontal="center" vertical="top"/>
      <protection locked="0"/>
    </xf>
    <xf numFmtId="44" fontId="0" fillId="0" borderId="140" xfId="9" applyFont="1" applyBorder="1" applyAlignment="1" applyProtection="1">
      <alignment horizontal="center" vertical="top"/>
      <protection locked="0"/>
    </xf>
    <xf numFmtId="44" fontId="17" fillId="0" borderId="140" xfId="9" applyFont="1" applyBorder="1" applyAlignment="1" applyProtection="1">
      <alignment horizontal="center" vertical="top"/>
      <protection locked="0"/>
    </xf>
    <xf numFmtId="167" fontId="17" fillId="11" borderId="140" xfId="10" applyNumberFormat="1" applyFont="1" applyFill="1" applyBorder="1" applyAlignment="1" applyProtection="1">
      <alignment horizontal="center" vertical="top"/>
      <protection locked="0"/>
    </xf>
    <xf numFmtId="6" fontId="17" fillId="11" borderId="140" xfId="0" applyNumberFormat="1" applyFont="1" applyFill="1" applyBorder="1" applyProtection="1">
      <protection locked="0"/>
    </xf>
    <xf numFmtId="169" fontId="17" fillId="11" borderId="140" xfId="9" applyNumberFormat="1" applyFont="1" applyFill="1" applyBorder="1" applyAlignment="1" applyProtection="1">
      <protection locked="0"/>
    </xf>
    <xf numFmtId="169" fontId="0" fillId="11" borderId="140" xfId="9" applyNumberFormat="1" applyFont="1" applyFill="1" applyBorder="1" applyProtection="1">
      <protection locked="0"/>
    </xf>
    <xf numFmtId="0" fontId="36" fillId="0" borderId="0" xfId="0" applyFont="1" applyAlignment="1" applyProtection="1">
      <alignment horizontal="left"/>
      <protection locked="0"/>
    </xf>
    <xf numFmtId="236" fontId="44" fillId="11" borderId="140" xfId="8" applyNumberFormat="1" applyFont="1" applyFill="1" applyBorder="1" applyAlignment="1" applyProtection="1">
      <alignment horizontal="right" vertical="center"/>
      <protection locked="0"/>
    </xf>
    <xf numFmtId="6" fontId="17" fillId="11" borderId="140" xfId="0" applyNumberFormat="1" applyFont="1" applyFill="1" applyBorder="1" applyAlignment="1" applyProtection="1">
      <alignment horizontal="right"/>
      <protection locked="0"/>
    </xf>
    <xf numFmtId="167" fontId="17" fillId="0" borderId="140" xfId="10" applyNumberFormat="1" applyFont="1" applyFill="1" applyBorder="1" applyAlignment="1" applyProtection="1">
      <alignment horizontal="right" vertical="top"/>
      <protection locked="0"/>
    </xf>
    <xf numFmtId="1" fontId="17" fillId="0" borderId="140" xfId="0" applyNumberFormat="1" applyFont="1" applyBorder="1" applyProtection="1">
      <protection locked="0"/>
    </xf>
    <xf numFmtId="0" fontId="17" fillId="0" borderId="140" xfId="0" applyFont="1" applyBorder="1" applyProtection="1">
      <protection locked="0"/>
    </xf>
    <xf numFmtId="6" fontId="17" fillId="0" borderId="140" xfId="0" applyNumberFormat="1" applyFont="1" applyBorder="1" applyAlignment="1" applyProtection="1">
      <alignment horizontal="right" vertical="top"/>
      <protection locked="0"/>
    </xf>
    <xf numFmtId="44" fontId="17" fillId="0" borderId="140" xfId="9" applyFont="1" applyBorder="1" applyAlignment="1" applyProtection="1">
      <alignment horizontal="right" vertical="top"/>
      <protection locked="0"/>
    </xf>
    <xf numFmtId="38" fontId="44" fillId="0" borderId="0" xfId="4" applyFill="1" applyBorder="1" applyAlignment="1" applyProtection="1">
      <alignment horizontal="left"/>
    </xf>
    <xf numFmtId="9" fontId="0" fillId="0" borderId="0" xfId="8" applyFont="1" applyBorder="1" applyProtection="1">
      <protection locked="0"/>
    </xf>
    <xf numFmtId="9" fontId="0" fillId="11" borderId="140" xfId="8" applyFont="1" applyFill="1" applyBorder="1" applyProtection="1">
      <protection locked="0"/>
    </xf>
    <xf numFmtId="238" fontId="0" fillId="0" borderId="0" xfId="0" applyNumberFormat="1"/>
    <xf numFmtId="44" fontId="17" fillId="0" borderId="140" xfId="9" applyFont="1" applyFill="1" applyBorder="1" applyAlignment="1" applyProtection="1">
      <alignment horizontal="right" vertical="top"/>
      <protection locked="0"/>
    </xf>
    <xf numFmtId="0" fontId="17" fillId="0" borderId="140" xfId="0" applyFont="1" applyBorder="1" applyAlignment="1" applyProtection="1">
      <alignment horizontal="left" vertical="top"/>
      <protection locked="0"/>
    </xf>
    <xf numFmtId="0" fontId="17" fillId="0" borderId="140" xfId="0" applyFont="1" applyBorder="1" applyAlignment="1" applyProtection="1">
      <alignment horizontal="right" vertical="top"/>
      <protection locked="0"/>
    </xf>
    <xf numFmtId="8" fontId="17" fillId="0" borderId="140" xfId="0" applyNumberFormat="1" applyFont="1" applyBorder="1" applyAlignment="1" applyProtection="1">
      <alignment horizontal="right" vertical="top"/>
      <protection locked="0"/>
    </xf>
    <xf numFmtId="0" fontId="44" fillId="0" borderId="140" xfId="8" applyNumberFormat="1" applyFont="1" applyFill="1" applyBorder="1" applyAlignment="1" applyProtection="1">
      <alignment horizontal="left" vertical="center"/>
      <protection locked="0"/>
    </xf>
    <xf numFmtId="0" fontId="0" fillId="11" borderId="140" xfId="0" applyFill="1" applyBorder="1" applyAlignment="1" applyProtection="1">
      <alignment wrapText="1"/>
      <protection locked="0"/>
    </xf>
    <xf numFmtId="0" fontId="53" fillId="11" borderId="140" xfId="8" applyNumberFormat="1" applyFont="1" applyFill="1" applyBorder="1" applyAlignment="1" applyProtection="1">
      <alignment horizontal="left" vertical="center"/>
      <protection locked="0"/>
    </xf>
    <xf numFmtId="0" fontId="0" fillId="11" borderId="140" xfId="0" applyFill="1" applyBorder="1" applyAlignment="1" applyProtection="1">
      <alignment horizontal="center"/>
      <protection locked="0"/>
    </xf>
    <xf numFmtId="0" fontId="25" fillId="51" borderId="52" xfId="0" applyFont="1" applyFill="1" applyBorder="1" applyAlignment="1" applyProtection="1">
      <alignment wrapText="1"/>
      <protection locked="0"/>
    </xf>
    <xf numFmtId="0" fontId="17" fillId="0" borderId="50" xfId="0" quotePrefix="1" applyFont="1" applyBorder="1" applyAlignment="1" applyProtection="1">
      <alignment horizontal="left" wrapText="1"/>
      <protection locked="0"/>
    </xf>
    <xf numFmtId="168" fontId="44" fillId="11" borderId="139" xfId="8" applyNumberFormat="1" applyFont="1" applyFill="1" applyBorder="1" applyAlignment="1" applyProtection="1">
      <alignment horizontal="center" vertical="center" wrapText="1"/>
      <protection locked="0"/>
    </xf>
    <xf numFmtId="0" fontId="27" fillId="0" borderId="0" xfId="0" quotePrefix="1" applyFont="1" applyAlignment="1" applyProtection="1">
      <alignment horizontal="center" wrapText="1"/>
      <protection locked="0"/>
    </xf>
    <xf numFmtId="169" fontId="44" fillId="11" borderId="140" xfId="9" applyNumberFormat="1" applyFont="1" applyFill="1" applyBorder="1" applyAlignment="1" applyProtection="1">
      <alignment wrapText="1"/>
      <protection locked="0"/>
    </xf>
    <xf numFmtId="0" fontId="16" fillId="0" borderId="140" xfId="0" applyFont="1" applyBorder="1" applyAlignment="1" applyProtection="1">
      <alignment wrapText="1"/>
      <protection locked="0"/>
    </xf>
    <xf numFmtId="8" fontId="0" fillId="0" borderId="140" xfId="9" applyNumberFormat="1" applyFont="1" applyFill="1" applyBorder="1" applyAlignment="1" applyProtection="1">
      <alignment horizontal="right" wrapText="1"/>
      <protection locked="0"/>
    </xf>
    <xf numFmtId="44" fontId="16" fillId="0" borderId="140" xfId="9" applyFont="1" applyFill="1" applyBorder="1" applyAlignment="1" applyProtection="1">
      <alignment horizontal="left" wrapText="1"/>
      <protection locked="0"/>
    </xf>
    <xf numFmtId="44" fontId="0" fillId="0" borderId="0" xfId="9" applyFont="1" applyFill="1" applyBorder="1" applyAlignment="1" applyProtection="1">
      <alignment horizontal="left" wrapText="1"/>
      <protection locked="0"/>
    </xf>
    <xf numFmtId="44" fontId="0" fillId="0" borderId="140" xfId="9" applyFont="1" applyFill="1" applyBorder="1" applyAlignment="1" applyProtection="1">
      <alignment horizontal="center" vertical="center" wrapText="1"/>
      <protection locked="0"/>
    </xf>
    <xf numFmtId="0" fontId="0" fillId="0" borderId="140" xfId="0" applyBorder="1" applyAlignment="1">
      <alignment horizontal="left" wrapText="1"/>
    </xf>
    <xf numFmtId="9" fontId="0" fillId="0" borderId="140" xfId="0" applyNumberFormat="1" applyBorder="1" applyAlignment="1">
      <alignment horizontal="left" wrapText="1"/>
    </xf>
    <xf numFmtId="0" fontId="0" fillId="0" borderId="0" xfId="0" applyAlignment="1">
      <alignment horizontal="left" wrapText="1"/>
    </xf>
    <xf numFmtId="44" fontId="0" fillId="0" borderId="0" xfId="0" applyNumberFormat="1" applyAlignment="1">
      <alignment wrapText="1"/>
    </xf>
    <xf numFmtId="9" fontId="0" fillId="0" borderId="0" xfId="8" applyFont="1" applyFill="1" applyAlignment="1">
      <alignment wrapText="1"/>
    </xf>
    <xf numFmtId="0" fontId="55" fillId="57" borderId="0" xfId="0" applyFont="1" applyFill="1" applyAlignment="1">
      <alignment wrapText="1"/>
    </xf>
    <xf numFmtId="0" fontId="149" fillId="52" borderId="140" xfId="0" applyFont="1" applyFill="1" applyBorder="1" applyAlignment="1">
      <alignment wrapText="1"/>
    </xf>
    <xf numFmtId="0" fontId="16" fillId="3" borderId="138" xfId="0" applyFont="1" applyFill="1" applyBorder="1" applyAlignment="1" applyProtection="1">
      <alignment horizontal="left" vertical="top"/>
      <protection locked="0"/>
    </xf>
    <xf numFmtId="169" fontId="16" fillId="3" borderId="138" xfId="9" applyNumberFormat="1" applyFont="1" applyFill="1" applyBorder="1" applyAlignment="1" applyProtection="1">
      <alignment horizontal="left" vertical="top"/>
      <protection locked="0"/>
    </xf>
    <xf numFmtId="167" fontId="16" fillId="3" borderId="138" xfId="0" applyNumberFormat="1" applyFont="1" applyFill="1" applyBorder="1" applyAlignment="1" applyProtection="1">
      <alignment horizontal="left" vertical="top"/>
      <protection locked="0"/>
    </xf>
    <xf numFmtId="167" fontId="16" fillId="3" borderId="138" xfId="10" applyNumberFormat="1" applyFont="1" applyFill="1" applyBorder="1" applyAlignment="1" applyProtection="1">
      <alignment horizontal="left" vertical="top"/>
      <protection locked="0"/>
    </xf>
    <xf numFmtId="44" fontId="16" fillId="3" borderId="140" xfId="9" applyFont="1" applyFill="1" applyBorder="1" applyAlignment="1" applyProtection="1">
      <alignment horizontal="left" vertical="top"/>
      <protection locked="0"/>
    </xf>
    <xf numFmtId="0" fontId="16" fillId="3" borderId="140" xfId="0" applyFont="1" applyFill="1" applyBorder="1" applyAlignment="1" applyProtection="1">
      <alignment horizontal="left" vertical="top"/>
      <protection locked="0"/>
    </xf>
    <xf numFmtId="167" fontId="16" fillId="3" borderId="140" xfId="10" applyNumberFormat="1" applyFont="1" applyFill="1" applyBorder="1" applyAlignment="1" applyProtection="1">
      <alignment horizontal="right" vertical="top"/>
      <protection locked="0"/>
    </xf>
    <xf numFmtId="169" fontId="16" fillId="3" borderId="140" xfId="9" applyNumberFormat="1" applyFont="1" applyFill="1" applyBorder="1" applyAlignment="1" applyProtection="1">
      <alignment horizontal="right" vertical="top"/>
      <protection locked="0"/>
    </xf>
    <xf numFmtId="44" fontId="16" fillId="3" borderId="140" xfId="9" applyFont="1" applyFill="1" applyBorder="1" applyAlignment="1" applyProtection="1">
      <alignment horizontal="right" vertical="top"/>
      <protection locked="0"/>
    </xf>
    <xf numFmtId="167" fontId="16" fillId="3" borderId="140" xfId="0" applyNumberFormat="1" applyFont="1" applyFill="1" applyBorder="1" applyAlignment="1" applyProtection="1">
      <alignment horizontal="center" vertical="top"/>
      <protection locked="0"/>
    </xf>
    <xf numFmtId="44" fontId="16" fillId="3" borderId="140" xfId="0" applyNumberFormat="1" applyFont="1" applyFill="1" applyBorder="1" applyAlignment="1" applyProtection="1">
      <alignment horizontal="center" vertical="top"/>
      <protection locked="0"/>
    </xf>
    <xf numFmtId="0" fontId="16" fillId="3" borderId="140" xfId="0" applyFont="1" applyFill="1" applyBorder="1" applyAlignment="1" applyProtection="1">
      <alignment vertical="top"/>
      <protection locked="0"/>
    </xf>
    <xf numFmtId="6" fontId="16" fillId="3" borderId="140" xfId="0" applyNumberFormat="1" applyFont="1" applyFill="1" applyBorder="1" applyAlignment="1" applyProtection="1">
      <alignment horizontal="right" vertical="top"/>
      <protection locked="0"/>
    </xf>
    <xf numFmtId="8" fontId="16" fillId="3" borderId="140" xfId="0" applyNumberFormat="1" applyFont="1" applyFill="1" applyBorder="1" applyAlignment="1" applyProtection="1">
      <alignment horizontal="right" vertical="top"/>
      <protection locked="0"/>
    </xf>
    <xf numFmtId="0" fontId="44" fillId="26" borderId="140" xfId="8" applyNumberFormat="1" applyFont="1" applyFill="1" applyBorder="1" applyAlignment="1" applyProtection="1">
      <alignment horizontal="left" vertical="center"/>
      <protection locked="0"/>
    </xf>
    <xf numFmtId="169" fontId="44" fillId="11" borderId="138" xfId="9" applyNumberFormat="1" applyFont="1" applyFill="1" applyBorder="1" applyProtection="1">
      <protection locked="0"/>
    </xf>
    <xf numFmtId="0" fontId="16" fillId="3" borderId="140" xfId="0" applyFont="1" applyFill="1" applyBorder="1" applyAlignment="1" applyProtection="1">
      <alignment horizontal="left" vertical="top" wrapText="1"/>
      <protection locked="0"/>
    </xf>
    <xf numFmtId="169" fontId="16" fillId="3" borderId="140" xfId="9" applyNumberFormat="1" applyFont="1" applyFill="1" applyBorder="1" applyAlignment="1" applyProtection="1">
      <alignment horizontal="left" vertical="top"/>
      <protection locked="0"/>
    </xf>
    <xf numFmtId="0" fontId="0" fillId="11" borderId="140" xfId="0" applyFill="1" applyBorder="1" applyAlignment="1">
      <alignment wrapText="1"/>
    </xf>
    <xf numFmtId="0" fontId="0" fillId="11" borderId="140" xfId="0" quotePrefix="1" applyFill="1" applyBorder="1" applyAlignment="1">
      <alignment wrapText="1"/>
    </xf>
    <xf numFmtId="0" fontId="36" fillId="11" borderId="140" xfId="0" applyFont="1" applyFill="1" applyBorder="1"/>
    <xf numFmtId="0" fontId="36" fillId="11" borderId="140" xfId="0" applyFont="1" applyFill="1" applyBorder="1" applyAlignment="1">
      <alignment wrapText="1"/>
    </xf>
    <xf numFmtId="0" fontId="98" fillId="11" borderId="140" xfId="14" applyFill="1" applyBorder="1" applyAlignment="1">
      <alignment wrapText="1"/>
    </xf>
    <xf numFmtId="17" fontId="44" fillId="11" borderId="140" xfId="8" applyNumberFormat="1" applyFont="1" applyFill="1" applyBorder="1" applyAlignment="1" applyProtection="1">
      <alignment horizontal="right" vertical="center"/>
      <protection locked="0"/>
    </xf>
    <xf numFmtId="17" fontId="44" fillId="0" borderId="140" xfId="8" applyNumberFormat="1" applyFont="1" applyFill="1" applyBorder="1" applyAlignment="1" applyProtection="1">
      <alignment horizontal="right" vertical="center"/>
      <protection locked="0"/>
    </xf>
    <xf numFmtId="167" fontId="0" fillId="0" borderId="140" xfId="10" applyNumberFormat="1" applyFont="1" applyBorder="1" applyProtection="1">
      <protection locked="0"/>
    </xf>
    <xf numFmtId="167" fontId="0" fillId="11" borderId="140" xfId="10" applyNumberFormat="1" applyFont="1" applyFill="1" applyBorder="1" applyProtection="1">
      <protection locked="0"/>
    </xf>
    <xf numFmtId="0" fontId="16" fillId="3" borderId="140" xfId="0" quotePrefix="1" applyFont="1" applyFill="1" applyBorder="1" applyAlignment="1" applyProtection="1">
      <alignment horizontal="left" vertical="top"/>
      <protection locked="0"/>
    </xf>
    <xf numFmtId="43" fontId="0" fillId="0" borderId="140" xfId="10" applyFont="1" applyBorder="1" applyProtection="1">
      <protection locked="0"/>
    </xf>
    <xf numFmtId="167" fontId="0" fillId="0" borderId="140" xfId="10" applyNumberFormat="1" applyFont="1" applyFill="1" applyBorder="1" applyProtection="1">
      <protection locked="0"/>
    </xf>
    <xf numFmtId="0" fontId="0" fillId="0" borderId="138" xfId="0" applyBorder="1" applyProtection="1">
      <protection locked="0"/>
    </xf>
    <xf numFmtId="169" fontId="0" fillId="0" borderId="138" xfId="9" applyNumberFormat="1" applyFont="1" applyFill="1" applyBorder="1" applyProtection="1">
      <protection locked="0"/>
    </xf>
    <xf numFmtId="169" fontId="0" fillId="11" borderId="138" xfId="9" applyNumberFormat="1" applyFont="1" applyFill="1" applyBorder="1" applyProtection="1">
      <protection locked="0"/>
    </xf>
    <xf numFmtId="0" fontId="0" fillId="0" borderId="140" xfId="0" applyBorder="1" applyAlignment="1" applyProtection="1">
      <alignment wrapText="1"/>
      <protection locked="0"/>
    </xf>
    <xf numFmtId="0" fontId="16" fillId="52" borderId="140" xfId="0" applyFont="1" applyFill="1" applyBorder="1" applyProtection="1">
      <protection locked="0"/>
    </xf>
    <xf numFmtId="169" fontId="16" fillId="52" borderId="140" xfId="9" applyNumberFormat="1" applyFont="1" applyFill="1" applyBorder="1" applyProtection="1">
      <protection locked="0"/>
    </xf>
    <xf numFmtId="169" fontId="44" fillId="11" borderId="140" xfId="8" applyNumberFormat="1" applyFont="1" applyFill="1" applyBorder="1" applyAlignment="1" applyProtection="1">
      <alignment horizontal="left" vertical="center"/>
      <protection locked="0"/>
    </xf>
    <xf numFmtId="169" fontId="1" fillId="0" borderId="140" xfId="9" applyNumberFormat="1" applyFont="1" applyFill="1" applyBorder="1" applyProtection="1">
      <protection locked="0"/>
    </xf>
    <xf numFmtId="169" fontId="16" fillId="52" borderId="140" xfId="0" applyNumberFormat="1" applyFont="1" applyFill="1" applyBorder="1" applyProtection="1">
      <protection locked="0"/>
    </xf>
    <xf numFmtId="43" fontId="44" fillId="11" borderId="140" xfId="10" applyFont="1" applyFill="1" applyBorder="1" applyAlignment="1" applyProtection="1">
      <protection locked="0"/>
    </xf>
    <xf numFmtId="167" fontId="0" fillId="0" borderId="140" xfId="0" applyNumberFormat="1" applyBorder="1" applyProtection="1">
      <protection locked="0"/>
    </xf>
    <xf numFmtId="38" fontId="44" fillId="0" borderId="0" xfId="4" applyFill="1" applyBorder="1" applyAlignment="1">
      <alignment horizontal="left"/>
      <protection locked="0"/>
    </xf>
    <xf numFmtId="165" fontId="17" fillId="58" borderId="140" xfId="0" applyNumberFormat="1" applyFont="1" applyFill="1" applyBorder="1" applyAlignment="1" applyProtection="1">
      <alignment horizontal="right"/>
      <protection locked="0"/>
    </xf>
    <xf numFmtId="166" fontId="17" fillId="58" borderId="140" xfId="0" applyNumberFormat="1" applyFont="1" applyFill="1" applyBorder="1" applyAlignment="1" applyProtection="1">
      <alignment horizontal="left"/>
      <protection locked="0"/>
    </xf>
    <xf numFmtId="0" fontId="23" fillId="0" borderId="0" xfId="0" applyFont="1" applyProtection="1">
      <protection locked="0"/>
    </xf>
    <xf numFmtId="0" fontId="44" fillId="0" borderId="140" xfId="8" applyNumberFormat="1" applyFont="1" applyFill="1" applyBorder="1" applyProtection="1">
      <protection locked="0"/>
    </xf>
    <xf numFmtId="43" fontId="44" fillId="0" borderId="140" xfId="8" applyNumberFormat="1" applyFont="1" applyFill="1" applyBorder="1" applyProtection="1">
      <protection locked="0"/>
    </xf>
    <xf numFmtId="10" fontId="44" fillId="0" borderId="140" xfId="8" applyNumberFormat="1" applyFont="1" applyFill="1" applyBorder="1" applyProtection="1">
      <protection locked="0"/>
    </xf>
    <xf numFmtId="225" fontId="0" fillId="0" borderId="140" xfId="0" applyNumberFormat="1" applyBorder="1" applyProtection="1">
      <protection locked="0"/>
    </xf>
    <xf numFmtId="10" fontId="0" fillId="0" borderId="140" xfId="8" applyNumberFormat="1" applyFont="1" applyFill="1" applyBorder="1" applyProtection="1">
      <protection locked="0"/>
    </xf>
    <xf numFmtId="10" fontId="0" fillId="11" borderId="140" xfId="8" applyNumberFormat="1" applyFont="1" applyFill="1" applyBorder="1" applyProtection="1">
      <protection locked="0"/>
    </xf>
    <xf numFmtId="0" fontId="149" fillId="52" borderId="140" xfId="0" applyFont="1" applyFill="1" applyBorder="1" applyAlignment="1">
      <alignment horizontal="right"/>
    </xf>
    <xf numFmtId="0" fontId="0" fillId="11" borderId="140" xfId="0" applyFill="1" applyBorder="1" applyAlignment="1" applyProtection="1">
      <alignment horizontal="right"/>
      <protection locked="0"/>
    </xf>
    <xf numFmtId="10" fontId="0" fillId="11" borderId="140" xfId="8" applyNumberFormat="1" applyFont="1" applyFill="1" applyBorder="1"/>
    <xf numFmtId="169" fontId="16" fillId="32" borderId="140" xfId="9" applyNumberFormat="1" applyFont="1" applyFill="1" applyBorder="1" applyAlignment="1" applyProtection="1">
      <alignment horizontal="left" vertical="top"/>
      <protection locked="0"/>
    </xf>
    <xf numFmtId="207" fontId="44" fillId="11" borderId="140" xfId="9" applyNumberFormat="1" applyFont="1" applyFill="1" applyBorder="1" applyProtection="1">
      <protection locked="0"/>
    </xf>
    <xf numFmtId="0" fontId="98" fillId="11" borderId="140" xfId="14" applyFill="1" applyBorder="1" applyAlignment="1" applyProtection="1">
      <alignment wrapText="1"/>
      <protection locked="0"/>
    </xf>
    <xf numFmtId="169" fontId="17" fillId="0" borderId="258" xfId="9" applyNumberFormat="1" applyFont="1" applyFill="1" applyBorder="1" applyAlignment="1" applyProtection="1">
      <alignment horizontal="left"/>
      <protection locked="0"/>
    </xf>
    <xf numFmtId="0" fontId="55" fillId="57" borderId="0" xfId="0" applyFont="1" applyFill="1" applyAlignment="1">
      <alignment horizontal="right" vertical="center"/>
    </xf>
    <xf numFmtId="0" fontId="149" fillId="52" borderId="140" xfId="0" applyFont="1" applyFill="1" applyBorder="1" applyAlignment="1">
      <alignment horizontal="right" vertical="center"/>
    </xf>
    <xf numFmtId="167" fontId="17" fillId="11" borderId="140" xfId="10" applyNumberFormat="1" applyFont="1" applyFill="1" applyBorder="1" applyAlignment="1" applyProtection="1">
      <alignment horizontal="right" vertical="center"/>
      <protection locked="0"/>
    </xf>
    <xf numFmtId="1" fontId="17" fillId="11" borderId="140" xfId="10" applyNumberFormat="1" applyFont="1" applyFill="1" applyBorder="1" applyAlignment="1" applyProtection="1">
      <alignment horizontal="right" vertical="center"/>
      <protection locked="0"/>
    </xf>
    <xf numFmtId="9" fontId="17" fillId="11" borderId="140" xfId="8" applyFont="1" applyFill="1" applyBorder="1" applyAlignment="1" applyProtection="1">
      <alignment horizontal="right" vertical="center"/>
      <protection locked="0"/>
    </xf>
    <xf numFmtId="0" fontId="16" fillId="58" borderId="140" xfId="0" applyFont="1" applyFill="1" applyBorder="1" applyProtection="1">
      <protection locked="0"/>
    </xf>
    <xf numFmtId="0" fontId="16" fillId="58" borderId="140" xfId="0" applyFont="1" applyFill="1" applyBorder="1"/>
    <xf numFmtId="0" fontId="16" fillId="58" borderId="140" xfId="0" applyFont="1" applyFill="1" applyBorder="1" applyAlignment="1" applyProtection="1">
      <alignment horizontal="right" vertical="center"/>
      <protection locked="0"/>
    </xf>
    <xf numFmtId="169" fontId="17" fillId="11" borderId="140" xfId="9" applyNumberFormat="1" applyFont="1" applyFill="1" applyBorder="1" applyAlignment="1" applyProtection="1">
      <alignment horizontal="right" vertical="center"/>
      <protection locked="0"/>
    </xf>
    <xf numFmtId="169" fontId="17" fillId="0" borderId="140" xfId="9" applyNumberFormat="1" applyFont="1" applyFill="1" applyBorder="1" applyAlignment="1" applyProtection="1">
      <alignment horizontal="right" vertical="center"/>
      <protection locked="0"/>
    </xf>
    <xf numFmtId="1" fontId="17" fillId="0" borderId="140" xfId="10" applyNumberFormat="1" applyFont="1" applyFill="1" applyBorder="1" applyAlignment="1" applyProtection="1">
      <alignment horizontal="right" vertical="center"/>
      <protection locked="0"/>
    </xf>
    <xf numFmtId="44" fontId="17" fillId="0" borderId="140" xfId="9" applyFont="1" applyFill="1" applyBorder="1" applyAlignment="1" applyProtection="1">
      <alignment horizontal="right" vertical="center"/>
      <protection locked="0"/>
    </xf>
    <xf numFmtId="167" fontId="17" fillId="0" borderId="140" xfId="10" applyNumberFormat="1" applyFont="1" applyFill="1" applyBorder="1" applyAlignment="1" applyProtection="1">
      <alignment horizontal="right" vertical="center"/>
      <protection locked="0"/>
    </xf>
    <xf numFmtId="9" fontId="0" fillId="11" borderId="140" xfId="8" applyFont="1" applyFill="1" applyBorder="1" applyAlignment="1">
      <alignment horizontal="right" vertical="center"/>
    </xf>
    <xf numFmtId="0" fontId="0" fillId="11" borderId="140" xfId="0" applyFill="1" applyBorder="1" applyAlignment="1">
      <alignment horizontal="right" vertical="center"/>
    </xf>
    <xf numFmtId="10" fontId="17" fillId="11" borderId="140" xfId="8" applyNumberFormat="1" applyFont="1" applyFill="1" applyBorder="1" applyAlignment="1" applyProtection="1">
      <alignment horizontal="right" vertical="center"/>
      <protection locked="0"/>
    </xf>
    <xf numFmtId="44" fontId="17" fillId="11" borderId="140" xfId="9" applyFont="1" applyFill="1" applyBorder="1" applyAlignment="1" applyProtection="1">
      <alignment horizontal="right" vertical="center"/>
      <protection locked="0"/>
    </xf>
    <xf numFmtId="0" fontId="36" fillId="0" borderId="0" xfId="0" applyFont="1" applyAlignment="1">
      <alignment horizontal="left"/>
    </xf>
    <xf numFmtId="44" fontId="17" fillId="0" borderId="0" xfId="9" applyFont="1" applyFill="1" applyBorder="1" applyAlignment="1" applyProtection="1">
      <alignment horizontal="right" vertical="center"/>
      <protection locked="0"/>
    </xf>
    <xf numFmtId="1" fontId="0" fillId="11" borderId="140" xfId="0" applyNumberFormat="1" applyFill="1" applyBorder="1" applyAlignment="1">
      <alignment horizontal="right" vertical="center"/>
    </xf>
    <xf numFmtId="0" fontId="16" fillId="0" borderId="140" xfId="0" applyFont="1" applyBorder="1" applyAlignment="1">
      <alignment horizontal="right" vertical="center"/>
    </xf>
    <xf numFmtId="1" fontId="16" fillId="0" borderId="140" xfId="0" applyNumberFormat="1" applyFont="1" applyBorder="1" applyAlignment="1">
      <alignment horizontal="right" vertical="center"/>
    </xf>
    <xf numFmtId="0" fontId="0" fillId="0" borderId="0" xfId="0" applyAlignment="1">
      <alignment horizontal="right" vertical="center" wrapText="1"/>
    </xf>
    <xf numFmtId="14" fontId="0" fillId="11" borderId="140" xfId="0" applyNumberFormat="1" applyFill="1" applyBorder="1" applyProtection="1">
      <protection locked="0"/>
    </xf>
    <xf numFmtId="43" fontId="0" fillId="11" borderId="140" xfId="10" applyFont="1" applyFill="1" applyBorder="1" applyProtection="1">
      <protection locked="0"/>
    </xf>
    <xf numFmtId="0" fontId="126" fillId="59" borderId="0" xfId="0" applyFont="1" applyFill="1" applyAlignment="1">
      <alignment horizontal="left" vertical="center" indent="1"/>
    </xf>
    <xf numFmtId="0" fontId="126" fillId="59" borderId="0" xfId="0" applyFont="1" applyFill="1" applyAlignment="1">
      <alignment horizontal="right" vertical="center" indent="1"/>
    </xf>
    <xf numFmtId="0" fontId="151" fillId="60" borderId="318" xfId="0" applyFont="1" applyFill="1" applyBorder="1" applyAlignment="1">
      <alignment horizontal="left" vertical="center" indent="1"/>
    </xf>
    <xf numFmtId="230" fontId="151" fillId="60" borderId="318" xfId="0" applyNumberFormat="1" applyFont="1" applyFill="1" applyBorder="1" applyAlignment="1">
      <alignment horizontal="right" vertical="center" indent="1"/>
    </xf>
    <xf numFmtId="231" fontId="151" fillId="60" borderId="318" xfId="0" applyNumberFormat="1" applyFont="1" applyFill="1" applyBorder="1" applyAlignment="1">
      <alignment horizontal="right" vertical="center" indent="1"/>
    </xf>
    <xf numFmtId="0" fontId="118" fillId="0" borderId="319" xfId="0" applyFont="1" applyBorder="1" applyAlignment="1">
      <alignment horizontal="left" vertical="center" indent="1"/>
    </xf>
    <xf numFmtId="230" fontId="118" fillId="0" borderId="319" xfId="0" applyNumberFormat="1" applyFont="1" applyBorder="1" applyAlignment="1">
      <alignment horizontal="right" vertical="center" indent="1"/>
    </xf>
    <xf numFmtId="231" fontId="118" fillId="0" borderId="319" xfId="0" applyNumberFormat="1" applyFont="1" applyBorder="1" applyAlignment="1">
      <alignment horizontal="right" vertical="center" indent="1"/>
    </xf>
    <xf numFmtId="0" fontId="151" fillId="60" borderId="320" xfId="0" applyFont="1" applyFill="1" applyBorder="1" applyAlignment="1">
      <alignment horizontal="left" vertical="center" indent="1"/>
    </xf>
    <xf numFmtId="230" fontId="151" fillId="60" borderId="320" xfId="0" applyNumberFormat="1" applyFont="1" applyFill="1" applyBorder="1" applyAlignment="1">
      <alignment horizontal="right" vertical="center" indent="1"/>
    </xf>
    <xf numFmtId="0" fontId="118" fillId="0" borderId="321" xfId="0" applyFont="1" applyBorder="1" applyAlignment="1">
      <alignment horizontal="left" vertical="center" indent="1"/>
    </xf>
    <xf numFmtId="230" fontId="118" fillId="0" borderId="321" xfId="0" applyNumberFormat="1" applyFont="1" applyBorder="1" applyAlignment="1">
      <alignment horizontal="right" vertical="center" indent="1"/>
    </xf>
    <xf numFmtId="231" fontId="118" fillId="0" borderId="321" xfId="0" applyNumberFormat="1" applyFont="1" applyBorder="1" applyAlignment="1">
      <alignment horizontal="right" vertical="center" indent="1"/>
    </xf>
    <xf numFmtId="0" fontId="118" fillId="26" borderId="319" xfId="0" applyFont="1" applyFill="1" applyBorder="1" applyAlignment="1">
      <alignment horizontal="left" vertical="center" indent="1"/>
    </xf>
    <xf numFmtId="231" fontId="151" fillId="60" borderId="320" xfId="0" applyNumberFormat="1" applyFont="1" applyFill="1" applyBorder="1" applyAlignment="1">
      <alignment horizontal="right" vertical="center" indent="1"/>
    </xf>
    <xf numFmtId="0" fontId="151" fillId="61" borderId="0" xfId="0" applyFont="1" applyFill="1" applyAlignment="1">
      <alignment horizontal="left" vertical="center" indent="1"/>
    </xf>
    <xf numFmtId="230" fontId="151" fillId="61" borderId="0" xfId="0" applyNumberFormat="1" applyFont="1" applyFill="1" applyAlignment="1">
      <alignment horizontal="right" vertical="center" indent="1"/>
    </xf>
    <xf numFmtId="231" fontId="151" fillId="61" borderId="0" xfId="0" applyNumberFormat="1" applyFont="1" applyFill="1" applyAlignment="1">
      <alignment horizontal="right" vertical="center" indent="1"/>
    </xf>
    <xf numFmtId="0" fontId="118" fillId="0" borderId="0" xfId="0" applyFont="1" applyAlignment="1">
      <alignment horizontal="left" vertical="center" indent="1"/>
    </xf>
    <xf numFmtId="230" fontId="118" fillId="0" borderId="0" xfId="0" applyNumberFormat="1" applyFont="1" applyAlignment="1">
      <alignment horizontal="right" vertical="center" indent="1"/>
    </xf>
    <xf numFmtId="231" fontId="118" fillId="0" borderId="0" xfId="0" applyNumberFormat="1" applyFont="1" applyAlignment="1">
      <alignment horizontal="right" vertical="center" indent="1"/>
    </xf>
    <xf numFmtId="0" fontId="151" fillId="54" borderId="0" xfId="0" applyFont="1" applyFill="1" applyAlignment="1">
      <alignment horizontal="left" vertical="center" indent="1"/>
    </xf>
    <xf numFmtId="230" fontId="151" fillId="54" borderId="0" xfId="0" applyNumberFormat="1" applyFont="1" applyFill="1" applyAlignment="1">
      <alignment horizontal="right" vertical="center" indent="1"/>
    </xf>
    <xf numFmtId="231" fontId="118" fillId="54" borderId="0" xfId="0" applyNumberFormat="1" applyFont="1" applyFill="1" applyAlignment="1">
      <alignment horizontal="right" vertical="center" indent="1"/>
    </xf>
    <xf numFmtId="0" fontId="71" fillId="59" borderId="0" xfId="0" applyFont="1" applyFill="1" applyAlignment="1">
      <alignment vertical="center"/>
    </xf>
    <xf numFmtId="0" fontId="71" fillId="59" borderId="322" xfId="0" applyFont="1" applyFill="1" applyBorder="1" applyAlignment="1">
      <alignment horizontal="centerContinuous" vertical="center"/>
    </xf>
    <xf numFmtId="0" fontId="71" fillId="59" borderId="0" xfId="0" applyFont="1" applyFill="1" applyAlignment="1">
      <alignment horizontal="left" vertical="center"/>
    </xf>
    <xf numFmtId="0" fontId="71" fillId="59" borderId="0" xfId="0" applyFont="1" applyFill="1" applyAlignment="1">
      <alignment horizontal="right" vertical="center" indent="2"/>
    </xf>
    <xf numFmtId="0" fontId="118" fillId="0" borderId="323" xfId="0" applyFont="1" applyBorder="1" applyAlignment="1">
      <alignment horizontal="left" vertical="center" indent="1"/>
    </xf>
    <xf numFmtId="230" fontId="118" fillId="0" borderId="323" xfId="0" applyNumberFormat="1" applyFont="1" applyBorder="1" applyAlignment="1">
      <alignment horizontal="right" vertical="center" indent="1"/>
    </xf>
    <xf numFmtId="0" fontId="118" fillId="0" borderId="324" xfId="0" applyFont="1" applyBorder="1" applyAlignment="1">
      <alignment horizontal="left" vertical="center" indent="1"/>
    </xf>
    <xf numFmtId="230" fontId="118" fillId="0" borderId="324" xfId="0" applyNumberFormat="1" applyFont="1" applyBorder="1" applyAlignment="1">
      <alignment horizontal="right" vertical="center" indent="1"/>
    </xf>
    <xf numFmtId="0" fontId="151" fillId="60" borderId="324" xfId="0" applyFont="1" applyFill="1" applyBorder="1" applyAlignment="1">
      <alignment horizontal="left" vertical="center" indent="1"/>
    </xf>
    <xf numFmtId="230" fontId="151" fillId="60" borderId="324" xfId="0" applyNumberFormat="1" applyFont="1" applyFill="1" applyBorder="1" applyAlignment="1">
      <alignment horizontal="right" vertical="center" indent="1"/>
    </xf>
    <xf numFmtId="0" fontId="118" fillId="0" borderId="325" xfId="0" applyFont="1" applyBorder="1" applyAlignment="1">
      <alignment horizontal="left" vertical="center" indent="1"/>
    </xf>
    <xf numFmtId="230" fontId="118" fillId="0" borderId="325" xfId="0" applyNumberFormat="1" applyFont="1" applyBorder="1" applyAlignment="1">
      <alignment horizontal="right" vertical="center" indent="1"/>
    </xf>
    <xf numFmtId="230" fontId="118" fillId="0" borderId="326" xfId="0" applyNumberFormat="1" applyFont="1" applyBorder="1" applyAlignment="1">
      <alignment horizontal="right" vertical="center" indent="1"/>
    </xf>
    <xf numFmtId="0" fontId="151" fillId="60" borderId="323" xfId="0" applyFont="1" applyFill="1" applyBorder="1" applyAlignment="1">
      <alignment horizontal="left" vertical="center" indent="1"/>
    </xf>
    <xf numFmtId="230" fontId="151" fillId="60" borderId="323" xfId="0" applyNumberFormat="1" applyFont="1" applyFill="1" applyBorder="1" applyAlignment="1">
      <alignment horizontal="right" vertical="center" indent="1"/>
    </xf>
    <xf numFmtId="0" fontId="151" fillId="0" borderId="327" xfId="0" applyFont="1" applyBorder="1" applyAlignment="1">
      <alignment horizontal="left" vertical="center" indent="1"/>
    </xf>
    <xf numFmtId="230" fontId="151" fillId="0" borderId="327" xfId="0" applyNumberFormat="1" applyFont="1" applyBorder="1" applyAlignment="1">
      <alignment horizontal="right" vertical="center" indent="1"/>
    </xf>
    <xf numFmtId="0" fontId="118" fillId="0" borderId="328" xfId="0" applyFont="1" applyBorder="1" applyAlignment="1">
      <alignment horizontal="left" vertical="center" indent="1"/>
    </xf>
    <xf numFmtId="230" fontId="118" fillId="0" borderId="328" xfId="0" applyNumberFormat="1" applyFont="1" applyBorder="1" applyAlignment="1">
      <alignment horizontal="right" vertical="center" indent="1"/>
    </xf>
    <xf numFmtId="0" fontId="118" fillId="0" borderId="329" xfId="0" applyFont="1" applyBorder="1" applyAlignment="1">
      <alignment horizontal="left" vertical="center" indent="1"/>
    </xf>
    <xf numFmtId="230" fontId="118" fillId="0" borderId="329" xfId="0" applyNumberFormat="1" applyFont="1" applyBorder="1" applyAlignment="1">
      <alignment horizontal="right" vertical="center" indent="1"/>
    </xf>
    <xf numFmtId="0" fontId="151" fillId="0" borderId="330" xfId="0" applyFont="1" applyBorder="1" applyAlignment="1">
      <alignment horizontal="left" vertical="center" indent="1"/>
    </xf>
    <xf numFmtId="230" fontId="151" fillId="0" borderId="330" xfId="0" applyNumberFormat="1" applyFont="1" applyBorder="1" applyAlignment="1">
      <alignment horizontal="right" vertical="center" indent="1"/>
    </xf>
    <xf numFmtId="0" fontId="152" fillId="0" borderId="320" xfId="0" applyFont="1" applyBorder="1" applyAlignment="1">
      <alignment horizontal="left" vertical="center" indent="1"/>
    </xf>
    <xf numFmtId="0" fontId="152" fillId="0" borderId="320" xfId="0" applyFont="1" applyBorder="1" applyAlignment="1">
      <alignment horizontal="right" vertical="center" indent="1"/>
    </xf>
    <xf numFmtId="0" fontId="153" fillId="0" borderId="0" xfId="0" applyFont="1"/>
    <xf numFmtId="0" fontId="152" fillId="0" borderId="315" xfId="0" applyFont="1" applyBorder="1" applyAlignment="1">
      <alignment horizontal="center"/>
    </xf>
    <xf numFmtId="0" fontId="153" fillId="0" borderId="135" xfId="0" applyFont="1" applyBorder="1"/>
    <xf numFmtId="0" fontId="154" fillId="0" borderId="246" xfId="0" applyFont="1" applyBorder="1" applyAlignment="1">
      <alignment horizontal="center"/>
    </xf>
    <xf numFmtId="0" fontId="154" fillId="0" borderId="0" xfId="0" applyFont="1" applyAlignment="1">
      <alignment horizontal="center"/>
    </xf>
    <xf numFmtId="0" fontId="151" fillId="62" borderId="320" xfId="0" applyFont="1" applyFill="1" applyBorder="1" applyAlignment="1">
      <alignment horizontal="left" vertical="center" indent="1"/>
    </xf>
    <xf numFmtId="230" fontId="151" fillId="62" borderId="320" xfId="0" applyNumberFormat="1" applyFont="1" applyFill="1" applyBorder="1" applyAlignment="1">
      <alignment horizontal="right" vertical="center" indent="1"/>
    </xf>
    <xf numFmtId="0" fontId="153" fillId="0" borderId="141" xfId="0" applyFont="1" applyBorder="1"/>
    <xf numFmtId="0" fontId="151" fillId="63" borderId="320" xfId="0" applyFont="1" applyFill="1" applyBorder="1" applyAlignment="1">
      <alignment horizontal="left" vertical="center" indent="1"/>
    </xf>
    <xf numFmtId="231" fontId="151" fillId="63" borderId="320" xfId="0" applyNumberFormat="1" applyFont="1" applyFill="1" applyBorder="1" applyAlignment="1">
      <alignment horizontal="right" vertical="center" indent="1"/>
    </xf>
    <xf numFmtId="0" fontId="153" fillId="0" borderId="315" xfId="0" applyFont="1" applyBorder="1"/>
    <xf numFmtId="0" fontId="153" fillId="0" borderId="246" xfId="0" applyFont="1" applyBorder="1"/>
    <xf numFmtId="0" fontId="151" fillId="61" borderId="320" xfId="0" applyFont="1" applyFill="1" applyBorder="1" applyAlignment="1">
      <alignment horizontal="left" vertical="center" indent="1"/>
    </xf>
    <xf numFmtId="0" fontId="151" fillId="61" borderId="320" xfId="0" applyFont="1" applyFill="1" applyBorder="1" applyAlignment="1">
      <alignment horizontal="right" vertical="center" indent="1"/>
    </xf>
    <xf numFmtId="234" fontId="151" fillId="61" borderId="320" xfId="0" applyNumberFormat="1" applyFont="1" applyFill="1" applyBorder="1" applyAlignment="1">
      <alignment horizontal="right" vertical="center" indent="1"/>
    </xf>
    <xf numFmtId="0" fontId="73" fillId="0" borderId="320" xfId="0" applyFont="1" applyBorder="1" applyAlignment="1">
      <alignment horizontal="left" vertical="center" indent="1"/>
    </xf>
    <xf numFmtId="0" fontId="148" fillId="55" borderId="320" xfId="0" applyFont="1" applyFill="1" applyBorder="1" applyAlignment="1">
      <alignment horizontal="right" vertical="center" indent="2"/>
    </xf>
    <xf numFmtId="0" fontId="73" fillId="54" borderId="320" xfId="0" applyFont="1" applyFill="1" applyBorder="1" applyAlignment="1">
      <alignment horizontal="left" vertical="center" indent="1"/>
    </xf>
    <xf numFmtId="234" fontId="73" fillId="54" borderId="320" xfId="0" applyNumberFormat="1" applyFont="1" applyFill="1" applyBorder="1" applyAlignment="1">
      <alignment horizontal="right" vertical="center" indent="2"/>
    </xf>
    <xf numFmtId="235" fontId="73" fillId="54" borderId="320" xfId="0" applyNumberFormat="1" applyFont="1" applyFill="1" applyBorder="1" applyAlignment="1">
      <alignment horizontal="right" vertical="center" indent="2"/>
    </xf>
    <xf numFmtId="0" fontId="0" fillId="0" borderId="0" xfId="0" applyAlignment="1">
      <alignment horizontal="right" vertical="center" indent="2"/>
    </xf>
    <xf numFmtId="0" fontId="73" fillId="56" borderId="320" xfId="0" applyFont="1" applyFill="1" applyBorder="1" applyAlignment="1">
      <alignment horizontal="left" vertical="center" indent="1"/>
    </xf>
    <xf numFmtId="234" fontId="73" fillId="56" borderId="320" xfId="0" applyNumberFormat="1" applyFont="1" applyFill="1" applyBorder="1" applyAlignment="1">
      <alignment horizontal="right" vertical="center" indent="2"/>
    </xf>
    <xf numFmtId="235" fontId="73" fillId="56" borderId="320" xfId="0" applyNumberFormat="1" applyFont="1" applyFill="1" applyBorder="1" applyAlignment="1">
      <alignment horizontal="right" vertical="center" indent="2"/>
    </xf>
    <xf numFmtId="6" fontId="36" fillId="0" borderId="59" xfId="0" applyNumberFormat="1" applyFont="1" applyBorder="1"/>
    <xf numFmtId="6" fontId="17" fillId="0" borderId="0" xfId="0" quotePrefix="1" applyNumberFormat="1" applyFont="1"/>
    <xf numFmtId="37" fontId="36" fillId="0" borderId="0" xfId="0" applyNumberFormat="1" applyFont="1"/>
    <xf numFmtId="6" fontId="36" fillId="2" borderId="0" xfId="0" applyNumberFormat="1" applyFont="1" applyFill="1"/>
    <xf numFmtId="38" fontId="36" fillId="2" borderId="0" xfId="0" applyNumberFormat="1" applyFont="1" applyFill="1"/>
    <xf numFmtId="6" fontId="36" fillId="2" borderId="4" xfId="0" applyNumberFormat="1" applyFont="1" applyFill="1" applyBorder="1"/>
    <xf numFmtId="6" fontId="0" fillId="0" borderId="0" xfId="10" applyNumberFormat="1" applyFont="1" applyProtection="1"/>
    <xf numFmtId="0" fontId="0" fillId="64" borderId="0" xfId="0" applyFill="1"/>
    <xf numFmtId="9" fontId="121" fillId="11" borderId="0" xfId="0" applyNumberFormat="1" applyFont="1" applyFill="1" applyProtection="1">
      <protection locked="0"/>
    </xf>
    <xf numFmtId="0" fontId="0" fillId="2" borderId="6" xfId="0" applyFill="1" applyBorder="1"/>
    <xf numFmtId="38" fontId="0" fillId="0" borderId="6" xfId="0" applyNumberFormat="1" applyBorder="1"/>
    <xf numFmtId="9" fontId="0" fillId="2" borderId="0" xfId="0" applyNumberFormat="1" applyFill="1"/>
    <xf numFmtId="168" fontId="121" fillId="11" borderId="0" xfId="0" applyNumberFormat="1" applyFont="1" applyFill="1" applyProtection="1">
      <protection locked="0"/>
    </xf>
    <xf numFmtId="236" fontId="0" fillId="0" borderId="0" xfId="0" applyNumberFormat="1"/>
    <xf numFmtId="239" fontId="0" fillId="0" borderId="0" xfId="0" applyNumberFormat="1"/>
    <xf numFmtId="10" fontId="121" fillId="0" borderId="0" xfId="0" applyNumberFormat="1" applyFont="1"/>
    <xf numFmtId="240" fontId="17" fillId="0" borderId="0" xfId="0" applyNumberFormat="1" applyFont="1"/>
    <xf numFmtId="241" fontId="0" fillId="0" borderId="0" xfId="0" applyNumberFormat="1"/>
    <xf numFmtId="0" fontId="0" fillId="52" borderId="0" xfId="0" applyFill="1"/>
    <xf numFmtId="0" fontId="25" fillId="0" borderId="0" xfId="0" applyFont="1" applyProtection="1">
      <protection locked="0"/>
    </xf>
    <xf numFmtId="0" fontId="36" fillId="0" borderId="0" xfId="0" applyFont="1" applyAlignment="1" applyProtection="1">
      <alignment horizontal="left" vertical="top"/>
      <protection locked="0"/>
    </xf>
    <xf numFmtId="167" fontId="17" fillId="11" borderId="140" xfId="10" applyNumberFormat="1" applyFont="1" applyFill="1" applyBorder="1" applyAlignment="1" applyProtection="1">
      <alignment horizontal="right" vertical="top"/>
      <protection locked="0"/>
    </xf>
    <xf numFmtId="6" fontId="17" fillId="11" borderId="140" xfId="0" applyNumberFormat="1" applyFont="1" applyFill="1" applyBorder="1" applyAlignment="1" applyProtection="1">
      <alignment horizontal="right" vertical="top"/>
      <protection locked="0"/>
    </xf>
    <xf numFmtId="0" fontId="0" fillId="11" borderId="140" xfId="0" applyFill="1" applyBorder="1" applyAlignment="1" applyProtection="1">
      <alignment horizontal="left" vertical="top"/>
      <protection locked="0"/>
    </xf>
    <xf numFmtId="0" fontId="17" fillId="11" borderId="140" xfId="0" applyFont="1" applyFill="1" applyBorder="1" applyAlignment="1" applyProtection="1">
      <alignment horizontal="left" vertical="top"/>
      <protection locked="0"/>
    </xf>
    <xf numFmtId="0" fontId="55" fillId="66" borderId="138" xfId="0" applyFont="1" applyFill="1" applyBorder="1" applyAlignment="1" applyProtection="1">
      <alignment horizontal="center" vertical="center" wrapText="1"/>
      <protection locked="0"/>
    </xf>
    <xf numFmtId="0" fontId="55" fillId="66" borderId="6" xfId="0" applyFont="1" applyFill="1" applyBorder="1" applyAlignment="1" applyProtection="1">
      <alignment horizontal="center" vertical="center" wrapText="1"/>
      <protection locked="0"/>
    </xf>
    <xf numFmtId="0" fontId="55" fillId="66" borderId="139" xfId="0" applyFont="1" applyFill="1" applyBorder="1" applyAlignment="1" applyProtection="1">
      <alignment horizontal="center" vertical="center" wrapText="1"/>
      <protection locked="0"/>
    </xf>
    <xf numFmtId="0" fontId="36" fillId="6" borderId="140" xfId="0" applyFont="1" applyFill="1" applyBorder="1" applyProtection="1">
      <protection locked="0"/>
    </xf>
    <xf numFmtId="242" fontId="36" fillId="6" borderId="140" xfId="0" applyNumberFormat="1" applyFont="1" applyFill="1" applyBorder="1" applyProtection="1">
      <protection locked="0"/>
    </xf>
    <xf numFmtId="43" fontId="0" fillId="0" borderId="0" xfId="0" applyNumberFormat="1" applyProtection="1">
      <protection locked="0"/>
    </xf>
    <xf numFmtId="0" fontId="15" fillId="0" borderId="15" xfId="0" applyFont="1" applyBorder="1" applyAlignment="1" applyProtection="1">
      <alignment horizontal="center"/>
      <protection locked="0"/>
    </xf>
    <xf numFmtId="0" fontId="15" fillId="0" borderId="0" xfId="0" applyFont="1" applyAlignment="1" applyProtection="1">
      <alignment horizontal="center"/>
      <protection locked="0"/>
    </xf>
    <xf numFmtId="0" fontId="15" fillId="0" borderId="19" xfId="0" applyFont="1" applyBorder="1" applyAlignment="1" applyProtection="1">
      <alignment horizontal="center"/>
      <protection locked="0"/>
    </xf>
    <xf numFmtId="0" fontId="7" fillId="0" borderId="15" xfId="0" applyFont="1" applyBorder="1" applyAlignment="1">
      <alignment horizontal="center"/>
    </xf>
    <xf numFmtId="0" fontId="7" fillId="0" borderId="0" xfId="0" applyFont="1" applyAlignment="1">
      <alignment horizontal="center"/>
    </xf>
    <xf numFmtId="0" fontId="7" fillId="0" borderId="19" xfId="0" applyFont="1" applyBorder="1" applyAlignment="1">
      <alignment horizontal="center"/>
    </xf>
    <xf numFmtId="0" fontId="8" fillId="0" borderId="15" xfId="0" applyFont="1" applyBorder="1" applyAlignment="1">
      <alignment horizontal="center"/>
    </xf>
    <xf numFmtId="0" fontId="8" fillId="0" borderId="0" xfId="0" applyFont="1" applyAlignment="1">
      <alignment horizontal="center"/>
    </xf>
    <xf numFmtId="0" fontId="8" fillId="0" borderId="19" xfId="0" applyFont="1" applyBorder="1" applyAlignment="1">
      <alignment horizontal="center"/>
    </xf>
    <xf numFmtId="0" fontId="6" fillId="0" borderId="15" xfId="0" applyFont="1" applyBorder="1" applyAlignment="1">
      <alignment horizontal="center"/>
    </xf>
    <xf numFmtId="0" fontId="6" fillId="0" borderId="0" xfId="0" applyFont="1" applyAlignment="1">
      <alignment horizontal="center"/>
    </xf>
    <xf numFmtId="0" fontId="6" fillId="0" borderId="19" xfId="0" applyFont="1" applyBorder="1" applyAlignment="1">
      <alignment horizontal="center"/>
    </xf>
    <xf numFmtId="0" fontId="14" fillId="0" borderId="15" xfId="0" applyFont="1" applyBorder="1" applyAlignment="1">
      <alignment horizontal="center"/>
    </xf>
    <xf numFmtId="0" fontId="14" fillId="0" borderId="0" xfId="0" applyFont="1" applyAlignment="1">
      <alignment horizontal="center"/>
    </xf>
    <xf numFmtId="0" fontId="14" fillId="0" borderId="19" xfId="0" applyFont="1" applyBorder="1" applyAlignment="1">
      <alignment horizontal="center"/>
    </xf>
    <xf numFmtId="0" fontId="19" fillId="0" borderId="15" xfId="0" applyFont="1" applyBorder="1" applyAlignment="1">
      <alignment horizontal="center"/>
    </xf>
    <xf numFmtId="0" fontId="19" fillId="0" borderId="0" xfId="0" applyFont="1" applyAlignment="1">
      <alignment horizontal="center"/>
    </xf>
    <xf numFmtId="0" fontId="19" fillId="0" borderId="19" xfId="0" applyFont="1" applyBorder="1" applyAlignment="1">
      <alignment horizontal="center"/>
    </xf>
    <xf numFmtId="14" fontId="71" fillId="27" borderId="0" xfId="0" applyNumberFormat="1" applyFont="1" applyFill="1" applyAlignment="1" applyProtection="1">
      <alignment horizontal="center"/>
      <protection locked="0"/>
    </xf>
    <xf numFmtId="0" fontId="71" fillId="27" borderId="0" xfId="0" applyFont="1" applyFill="1" applyAlignment="1" applyProtection="1">
      <alignment horizontal="center"/>
      <protection locked="0"/>
    </xf>
    <xf numFmtId="10" fontId="27" fillId="6" borderId="116" xfId="0" applyNumberFormat="1" applyFont="1" applyFill="1" applyBorder="1" applyAlignment="1" applyProtection="1">
      <alignment horizontal="center"/>
      <protection hidden="1"/>
    </xf>
    <xf numFmtId="0" fontId="59" fillId="4" borderId="30" xfId="0" applyFont="1" applyFill="1" applyBorder="1" applyAlignment="1">
      <alignment horizontal="center"/>
    </xf>
    <xf numFmtId="0" fontId="59" fillId="4" borderId="31" xfId="0" applyFont="1" applyFill="1" applyBorder="1" applyAlignment="1">
      <alignment horizontal="center"/>
    </xf>
    <xf numFmtId="0" fontId="59" fillId="4" borderId="32" xfId="0" applyFont="1" applyFill="1" applyBorder="1" applyAlignment="1">
      <alignment horizontal="center"/>
    </xf>
    <xf numFmtId="0" fontId="60" fillId="4" borderId="33" xfId="0" applyFont="1" applyFill="1" applyBorder="1" applyAlignment="1">
      <alignment horizontal="center"/>
    </xf>
    <xf numFmtId="0" fontId="60" fillId="4" borderId="34" xfId="0" applyFont="1" applyFill="1" applyBorder="1" applyAlignment="1">
      <alignment horizontal="center"/>
    </xf>
    <xf numFmtId="0" fontId="60" fillId="4" borderId="35" xfId="0" applyFont="1" applyFill="1" applyBorder="1" applyAlignment="1">
      <alignment horizontal="center"/>
    </xf>
    <xf numFmtId="0" fontId="22" fillId="7" borderId="51" xfId="0" applyFont="1" applyFill="1" applyBorder="1" applyAlignment="1">
      <alignment horizontal="left"/>
    </xf>
    <xf numFmtId="0" fontId="22" fillId="7" borderId="52" xfId="0" applyFont="1" applyFill="1" applyBorder="1" applyAlignment="1">
      <alignment horizontal="left"/>
    </xf>
    <xf numFmtId="0" fontId="22" fillId="7" borderId="53" xfId="0" applyFont="1" applyFill="1" applyBorder="1" applyAlignment="1">
      <alignment horizontal="left"/>
    </xf>
    <xf numFmtId="204" fontId="17" fillId="0" borderId="0" xfId="0" applyNumberFormat="1" applyFont="1" applyAlignment="1">
      <alignment horizontal="left"/>
    </xf>
    <xf numFmtId="0" fontId="18" fillId="4" borderId="111" xfId="0" applyFont="1" applyFill="1" applyBorder="1"/>
    <xf numFmtId="0" fontId="18" fillId="4" borderId="112" xfId="0" applyFont="1" applyFill="1" applyBorder="1"/>
    <xf numFmtId="10" fontId="17" fillId="6" borderId="0" xfId="0" applyNumberFormat="1" applyFont="1" applyFill="1" applyAlignment="1" applyProtection="1">
      <alignment horizontal="center"/>
      <protection hidden="1"/>
    </xf>
    <xf numFmtId="6" fontId="18" fillId="4" borderId="93" xfId="0" applyNumberFormat="1" applyFont="1" applyFill="1" applyBorder="1" applyAlignment="1">
      <alignment horizontal="right"/>
    </xf>
    <xf numFmtId="6" fontId="18" fillId="4" borderId="94" xfId="0" applyNumberFormat="1" applyFont="1" applyFill="1" applyBorder="1" applyAlignment="1">
      <alignment horizontal="right"/>
    </xf>
    <xf numFmtId="0" fontId="42" fillId="0" borderId="147" xfId="0" applyFont="1" applyBorder="1" applyAlignment="1" applyProtection="1">
      <alignment horizontal="center"/>
      <protection locked="0"/>
    </xf>
    <xf numFmtId="0" fontId="42" fillId="0" borderId="148" xfId="0" applyFont="1" applyBorder="1" applyAlignment="1" applyProtection="1">
      <alignment horizontal="center"/>
      <protection locked="0"/>
    </xf>
    <xf numFmtId="0" fontId="42" fillId="0" borderId="149" xfId="0" applyFont="1" applyBorder="1" applyAlignment="1" applyProtection="1">
      <alignment horizontal="center"/>
      <protection locked="0"/>
    </xf>
    <xf numFmtId="0" fontId="24" fillId="6" borderId="0" xfId="0" applyFont="1" applyFill="1" applyAlignment="1" applyProtection="1">
      <alignment horizontal="center"/>
      <protection hidden="1"/>
    </xf>
    <xf numFmtId="38" fontId="18" fillId="4" borderId="95" xfId="0" applyNumberFormat="1" applyFont="1" applyFill="1" applyBorder="1" applyAlignment="1">
      <alignment horizontal="right"/>
    </xf>
    <xf numFmtId="38" fontId="18" fillId="4" borderId="96" xfId="0" applyNumberFormat="1" applyFont="1" applyFill="1" applyBorder="1" applyAlignment="1">
      <alignment horizontal="right"/>
    </xf>
    <xf numFmtId="0" fontId="59" fillId="4" borderId="39" xfId="0" applyFont="1" applyFill="1" applyBorder="1" applyAlignment="1">
      <alignment horizontal="center"/>
    </xf>
    <xf numFmtId="0" fontId="59" fillId="4" borderId="40" xfId="0" applyFont="1" applyFill="1" applyBorder="1" applyAlignment="1">
      <alignment horizontal="center"/>
    </xf>
    <xf numFmtId="0" fontId="60" fillId="4" borderId="42" xfId="0" applyFont="1" applyFill="1" applyBorder="1" applyAlignment="1">
      <alignment horizontal="center"/>
    </xf>
    <xf numFmtId="0" fontId="60" fillId="4" borderId="43" xfId="0" applyFont="1" applyFill="1" applyBorder="1" applyAlignment="1">
      <alignment horizontal="center"/>
    </xf>
    <xf numFmtId="0" fontId="22" fillId="7" borderId="43" xfId="0" applyFont="1" applyFill="1" applyBorder="1" applyAlignment="1" applyProtection="1">
      <alignment horizontal="center" vertical="center"/>
      <protection hidden="1"/>
    </xf>
    <xf numFmtId="0" fontId="0" fillId="0" borderId="0" xfId="0" applyAlignment="1">
      <alignment horizontal="center"/>
    </xf>
    <xf numFmtId="6" fontId="18" fillId="4" borderId="97" xfId="0" applyNumberFormat="1" applyFont="1" applyFill="1" applyBorder="1" applyAlignment="1">
      <alignment horizontal="right"/>
    </xf>
    <xf numFmtId="6" fontId="18" fillId="4" borderId="98" xfId="0" applyNumberFormat="1" applyFont="1" applyFill="1" applyBorder="1" applyAlignment="1">
      <alignment horizontal="right"/>
    </xf>
    <xf numFmtId="6" fontId="18" fillId="4" borderId="101" xfId="0" applyNumberFormat="1" applyFont="1" applyFill="1" applyBorder="1" applyAlignment="1">
      <alignment horizontal="right"/>
    </xf>
    <xf numFmtId="6" fontId="18" fillId="4" borderId="102" xfId="0" applyNumberFormat="1" applyFont="1" applyFill="1" applyBorder="1" applyAlignment="1">
      <alignment horizontal="right"/>
    </xf>
    <xf numFmtId="6" fontId="18" fillId="4" borderId="99" xfId="0" applyNumberFormat="1" applyFont="1" applyFill="1" applyBorder="1" applyAlignment="1">
      <alignment horizontal="right"/>
    </xf>
    <xf numFmtId="6" fontId="18" fillId="4" borderId="100" xfId="0" applyNumberFormat="1" applyFont="1" applyFill="1" applyBorder="1" applyAlignment="1">
      <alignment horizontal="right"/>
    </xf>
    <xf numFmtId="38" fontId="18" fillId="4" borderId="93" xfId="0" applyNumberFormat="1" applyFont="1" applyFill="1" applyBorder="1" applyAlignment="1">
      <alignment horizontal="right"/>
    </xf>
    <xf numFmtId="38" fontId="18" fillId="4" borderId="94" xfId="0" applyNumberFormat="1" applyFont="1" applyFill="1" applyBorder="1" applyAlignment="1">
      <alignment horizontal="right"/>
    </xf>
    <xf numFmtId="203" fontId="18" fillId="4" borderId="223" xfId="0" applyNumberFormat="1" applyFont="1" applyFill="1" applyBorder="1" applyAlignment="1">
      <alignment horizontal="right"/>
    </xf>
    <xf numFmtId="203" fontId="18" fillId="4" borderId="224" xfId="0" applyNumberFormat="1" applyFont="1" applyFill="1" applyBorder="1" applyAlignment="1">
      <alignment horizontal="right"/>
    </xf>
    <xf numFmtId="10" fontId="18" fillId="4" borderId="0" xfId="0" applyNumberFormat="1" applyFont="1" applyFill="1" applyAlignment="1">
      <alignment horizontal="right"/>
    </xf>
    <xf numFmtId="10" fontId="27" fillId="0" borderId="116" xfId="0" applyNumberFormat="1" applyFont="1" applyBorder="1" applyAlignment="1">
      <alignment horizontal="center"/>
    </xf>
    <xf numFmtId="10" fontId="17" fillId="0" borderId="0" xfId="0" applyNumberFormat="1" applyFont="1" applyAlignment="1">
      <alignment horizontal="center"/>
    </xf>
    <xf numFmtId="38" fontId="44" fillId="11" borderId="46" xfId="4" applyBorder="1" applyAlignment="1">
      <alignment horizontal="left" vertical="center"/>
      <protection locked="0"/>
    </xf>
    <xf numFmtId="38" fontId="44" fillId="11" borderId="47" xfId="4" applyBorder="1" applyAlignment="1">
      <alignment horizontal="left" vertical="center"/>
      <protection locked="0"/>
    </xf>
    <xf numFmtId="38" fontId="44" fillId="11" borderId="48" xfId="4" applyBorder="1" applyAlignment="1">
      <alignment horizontal="left" vertical="center"/>
      <protection locked="0"/>
    </xf>
    <xf numFmtId="186" fontId="0" fillId="0" borderId="129" xfId="0" applyNumberFormat="1" applyBorder="1" applyAlignment="1">
      <alignment horizontal="center" vertical="center"/>
    </xf>
    <xf numFmtId="186" fontId="0" fillId="0" borderId="0" xfId="0" applyNumberFormat="1" applyAlignment="1">
      <alignment horizontal="center" vertical="center"/>
    </xf>
    <xf numFmtId="186" fontId="0" fillId="0" borderId="121" xfId="0" applyNumberFormat="1" applyBorder="1" applyAlignment="1">
      <alignment horizontal="center" vertical="center"/>
    </xf>
    <xf numFmtId="186" fontId="0" fillId="0" borderId="131" xfId="0" applyNumberFormat="1" applyBorder="1" applyAlignment="1">
      <alignment horizontal="center" vertical="center"/>
    </xf>
    <xf numFmtId="186" fontId="0" fillId="0" borderId="131" xfId="0" applyNumberFormat="1" applyBorder="1" applyAlignment="1">
      <alignment horizontal="left" vertical="center"/>
    </xf>
    <xf numFmtId="186" fontId="0" fillId="0" borderId="0" xfId="0" applyNumberFormat="1" applyAlignment="1">
      <alignment horizontal="left" vertical="center"/>
    </xf>
    <xf numFmtId="186" fontId="0" fillId="0" borderId="121" xfId="0" applyNumberFormat="1" applyBorder="1" applyAlignment="1">
      <alignment horizontal="left" vertical="center"/>
    </xf>
    <xf numFmtId="0" fontId="22" fillId="7" borderId="52" xfId="0" applyFont="1" applyFill="1" applyBorder="1" applyAlignment="1">
      <alignment horizontal="center"/>
    </xf>
    <xf numFmtId="0" fontId="22" fillId="7" borderId="53" xfId="0" applyFont="1" applyFill="1" applyBorder="1" applyAlignment="1">
      <alignment horizontal="center"/>
    </xf>
    <xf numFmtId="0" fontId="22" fillId="7" borderId="51" xfId="0" applyFont="1" applyFill="1" applyBorder="1" applyAlignment="1">
      <alignment horizontal="center"/>
    </xf>
    <xf numFmtId="0" fontId="59" fillId="4" borderId="41" xfId="0" applyFont="1" applyFill="1" applyBorder="1" applyAlignment="1">
      <alignment horizontal="center"/>
    </xf>
    <xf numFmtId="204" fontId="44" fillId="11" borderId="46" xfId="4" applyNumberFormat="1" applyBorder="1" applyAlignment="1">
      <alignment horizontal="left" vertical="center"/>
      <protection locked="0"/>
    </xf>
    <xf numFmtId="204" fontId="44" fillId="11" borderId="47" xfId="4" applyNumberFormat="1" applyBorder="1" applyAlignment="1">
      <alignment horizontal="left" vertical="center"/>
      <protection locked="0"/>
    </xf>
    <xf numFmtId="204" fontId="44" fillId="11" borderId="48" xfId="4" applyNumberFormat="1" applyBorder="1" applyAlignment="1">
      <alignment horizontal="left" vertical="center"/>
      <protection locked="0"/>
    </xf>
    <xf numFmtId="186" fontId="0" fillId="0" borderId="150" xfId="0" applyNumberFormat="1" applyBorder="1" applyAlignment="1">
      <alignment horizontal="center" vertical="center"/>
    </xf>
    <xf numFmtId="186" fontId="0" fillId="0" borderId="40" xfId="0" applyNumberFormat="1" applyBorder="1" applyAlignment="1">
      <alignment horizontal="center" vertical="center"/>
    </xf>
    <xf numFmtId="0" fontId="5" fillId="0" borderId="28" xfId="0" applyFont="1" applyBorder="1" applyAlignment="1">
      <alignment horizontal="center" vertical="center" wrapText="1"/>
    </xf>
    <xf numFmtId="0" fontId="5" fillId="0" borderId="134" xfId="0" applyFont="1" applyBorder="1" applyAlignment="1">
      <alignment horizontal="center" vertical="center" wrapText="1"/>
    </xf>
    <xf numFmtId="0" fontId="5" fillId="0" borderId="29" xfId="0" applyFont="1" applyBorder="1" applyAlignment="1">
      <alignment horizontal="center" vertical="center" wrapText="1"/>
    </xf>
    <xf numFmtId="0" fontId="5" fillId="0" borderId="135" xfId="0" applyFont="1" applyBorder="1" applyAlignment="1">
      <alignment horizontal="center" vertical="center" wrapText="1"/>
    </xf>
    <xf numFmtId="0" fontId="5" fillId="0" borderId="136" xfId="0" applyFont="1" applyBorder="1" applyAlignment="1">
      <alignment horizontal="center" vertical="center" wrapText="1"/>
    </xf>
    <xf numFmtId="0" fontId="5" fillId="0" borderId="137" xfId="0" applyFont="1" applyBorder="1" applyAlignment="1">
      <alignment horizontal="center" vertical="center" wrapText="1"/>
    </xf>
    <xf numFmtId="0" fontId="61" fillId="4" borderId="43" xfId="0" applyFont="1" applyFill="1" applyBorder="1" applyAlignment="1">
      <alignment horizontal="center"/>
    </xf>
    <xf numFmtId="0" fontId="0" fillId="0" borderId="273" xfId="0" applyBorder="1" applyAlignment="1">
      <alignment horizontal="center" vertical="center"/>
    </xf>
    <xf numFmtId="0" fontId="0" fillId="0" borderId="258" xfId="0" applyBorder="1" applyAlignment="1">
      <alignment horizontal="center" vertical="center"/>
    </xf>
    <xf numFmtId="0" fontId="0" fillId="0" borderId="246" xfId="0" applyBorder="1" applyAlignment="1">
      <alignment horizontal="center" vertical="center"/>
    </xf>
    <xf numFmtId="0" fontId="16" fillId="65" borderId="28" xfId="0" applyFont="1" applyFill="1" applyBorder="1" applyAlignment="1" applyProtection="1">
      <alignment horizontal="center"/>
      <protection locked="0"/>
    </xf>
    <xf numFmtId="0" fontId="16" fillId="65" borderId="119" xfId="0" applyFont="1" applyFill="1" applyBorder="1" applyAlignment="1" applyProtection="1">
      <alignment horizontal="center"/>
      <protection locked="0"/>
    </xf>
    <xf numFmtId="0" fontId="16" fillId="65" borderId="134" xfId="0" applyFont="1" applyFill="1" applyBorder="1" applyAlignment="1" applyProtection="1">
      <alignment horizontal="center"/>
      <protection locked="0"/>
    </xf>
    <xf numFmtId="170" fontId="0" fillId="0" borderId="0" xfId="0" applyNumberFormat="1" applyAlignment="1">
      <alignment horizontal="left"/>
    </xf>
    <xf numFmtId="170" fontId="0" fillId="0" borderId="1" xfId="0" applyNumberFormat="1" applyBorder="1" applyAlignment="1">
      <alignment horizontal="left"/>
    </xf>
    <xf numFmtId="170" fontId="0" fillId="0" borderId="59" xfId="0" applyNumberFormat="1" applyBorder="1" applyAlignment="1">
      <alignment horizontal="left"/>
    </xf>
    <xf numFmtId="38" fontId="44" fillId="11" borderId="151" xfId="4" applyBorder="1" applyAlignment="1">
      <alignment horizontal="left"/>
      <protection locked="0"/>
    </xf>
    <xf numFmtId="38" fontId="44" fillId="11" borderId="120" xfId="4" applyBorder="1" applyAlignment="1">
      <alignment horizontal="left"/>
      <protection locked="0"/>
    </xf>
    <xf numFmtId="38" fontId="44" fillId="11" borderId="133" xfId="4" applyBorder="1" applyAlignment="1">
      <alignment horizontal="left"/>
      <protection locked="0"/>
    </xf>
    <xf numFmtId="38" fontId="44" fillId="11" borderId="46" xfId="4" applyBorder="1" applyAlignment="1">
      <alignment horizontal="left"/>
      <protection locked="0"/>
    </xf>
    <xf numFmtId="38" fontId="44" fillId="11" borderId="47" xfId="4" applyBorder="1" applyAlignment="1">
      <alignment horizontal="left"/>
      <protection locked="0"/>
    </xf>
    <xf numFmtId="38" fontId="44" fillId="11" borderId="48" xfId="4" applyBorder="1" applyAlignment="1">
      <alignment horizontal="left"/>
      <protection locked="0"/>
    </xf>
    <xf numFmtId="38" fontId="44" fillId="11" borderId="152" xfId="4" applyBorder="1" applyAlignment="1">
      <alignment horizontal="left"/>
      <protection locked="0"/>
    </xf>
    <xf numFmtId="38" fontId="44" fillId="11" borderId="153" xfId="4" applyBorder="1" applyAlignment="1">
      <alignment horizontal="left"/>
      <protection locked="0"/>
    </xf>
    <xf numFmtId="38" fontId="44" fillId="11" borderId="70" xfId="4" applyBorder="1" applyAlignment="1">
      <alignment horizontal="left"/>
      <protection locked="0"/>
    </xf>
    <xf numFmtId="0" fontId="42" fillId="0" borderId="205" xfId="0" applyFont="1" applyBorder="1" applyAlignment="1">
      <alignment horizontal="center"/>
    </xf>
    <xf numFmtId="0" fontId="42" fillId="0" borderId="206" xfId="0" applyFont="1" applyBorder="1" applyAlignment="1">
      <alignment horizontal="center"/>
    </xf>
    <xf numFmtId="0" fontId="42" fillId="0" borderId="207" xfId="0" applyFont="1" applyBorder="1" applyAlignment="1">
      <alignment horizontal="center"/>
    </xf>
    <xf numFmtId="0" fontId="17" fillId="26" borderId="226" xfId="0" applyFont="1" applyFill="1" applyBorder="1" applyAlignment="1">
      <alignment horizontal="left"/>
    </xf>
    <xf numFmtId="0" fontId="17" fillId="26" borderId="1" xfId="0" applyFont="1" applyFill="1" applyBorder="1" applyAlignment="1">
      <alignment horizontal="left"/>
    </xf>
    <xf numFmtId="0" fontId="44" fillId="11" borderId="152" xfId="0" applyFont="1" applyFill="1" applyBorder="1" applyAlignment="1" applyProtection="1">
      <alignment horizontal="left"/>
      <protection locked="0"/>
    </xf>
    <xf numFmtId="0" fontId="44" fillId="11" borderId="70" xfId="0" applyFont="1" applyFill="1" applyBorder="1" applyAlignment="1" applyProtection="1">
      <alignment horizontal="left"/>
      <protection locked="0"/>
    </xf>
    <xf numFmtId="0" fontId="39" fillId="4" borderId="63" xfId="0" applyFont="1" applyFill="1" applyBorder="1" applyAlignment="1">
      <alignment horizontal="center"/>
    </xf>
    <xf numFmtId="38" fontId="44" fillId="11" borderId="196" xfId="4" applyBorder="1" applyAlignment="1">
      <alignment horizontal="left"/>
      <protection locked="0"/>
    </xf>
    <xf numFmtId="186" fontId="0" fillId="0" borderId="8" xfId="0" applyNumberFormat="1" applyBorder="1" applyAlignment="1">
      <alignment horizontal="left"/>
    </xf>
    <xf numFmtId="186" fontId="0" fillId="0" borderId="0" xfId="0" applyNumberFormat="1" applyAlignment="1">
      <alignment horizontal="left"/>
    </xf>
    <xf numFmtId="186" fontId="0" fillId="0" borderId="121" xfId="0" applyNumberFormat="1" applyBorder="1" applyAlignment="1">
      <alignment horizontal="left"/>
    </xf>
    <xf numFmtId="0" fontId="0" fillId="0" borderId="0" xfId="0"/>
    <xf numFmtId="186" fontId="0" fillId="0" borderId="25" xfId="0" applyNumberFormat="1" applyBorder="1" applyAlignment="1">
      <alignment horizontal="left"/>
    </xf>
    <xf numFmtId="186" fontId="0" fillId="0" borderId="1" xfId="0" applyNumberFormat="1" applyBorder="1" applyAlignment="1">
      <alignment horizontal="left"/>
    </xf>
    <xf numFmtId="186" fontId="0" fillId="0" borderId="200" xfId="0" applyNumberFormat="1" applyBorder="1" applyAlignment="1">
      <alignment horizontal="left"/>
    </xf>
    <xf numFmtId="0" fontId="39" fillId="4" borderId="63" xfId="0" quotePrefix="1" applyFont="1" applyFill="1" applyBorder="1" applyAlignment="1">
      <alignment horizontal="center"/>
    </xf>
    <xf numFmtId="0" fontId="39" fillId="4" borderId="61" xfId="0" applyFont="1" applyFill="1" applyBorder="1" applyAlignment="1">
      <alignment horizontal="center"/>
    </xf>
    <xf numFmtId="38" fontId="44" fillId="11" borderId="151" xfId="4" applyBorder="1" applyAlignment="1">
      <protection locked="0"/>
    </xf>
    <xf numFmtId="38" fontId="44" fillId="11" borderId="120" xfId="4" applyBorder="1" applyAlignment="1">
      <protection locked="0"/>
    </xf>
    <xf numFmtId="38" fontId="44" fillId="11" borderId="133" xfId="4" applyBorder="1" applyAlignment="1">
      <protection locked="0"/>
    </xf>
    <xf numFmtId="38" fontId="44" fillId="11" borderId="46" xfId="4" applyBorder="1" applyAlignment="1">
      <protection locked="0"/>
    </xf>
    <xf numFmtId="38" fontId="44" fillId="11" borderId="47" xfId="4" applyBorder="1" applyAlignment="1">
      <protection locked="0"/>
    </xf>
    <xf numFmtId="38" fontId="44" fillId="11" borderId="48" xfId="4" applyBorder="1" applyAlignment="1">
      <protection locked="0"/>
    </xf>
    <xf numFmtId="38" fontId="44" fillId="11" borderId="152" xfId="4" applyBorder="1" applyAlignment="1">
      <protection locked="0"/>
    </xf>
    <xf numFmtId="38" fontId="44" fillId="11" borderId="153" xfId="4" applyBorder="1" applyAlignment="1">
      <protection locked="0"/>
    </xf>
    <xf numFmtId="38" fontId="44" fillId="11" borderId="70" xfId="4" applyBorder="1" applyAlignment="1">
      <protection locked="0"/>
    </xf>
    <xf numFmtId="0" fontId="127" fillId="49" borderId="248" xfId="0" applyFont="1" applyFill="1" applyBorder="1" applyAlignment="1">
      <alignment horizontal="center"/>
    </xf>
    <xf numFmtId="0" fontId="127" fillId="49" borderId="0" xfId="0" applyFont="1" applyFill="1" applyAlignment="1">
      <alignment horizontal="center"/>
    </xf>
    <xf numFmtId="0" fontId="127" fillId="49" borderId="240" xfId="0" applyFont="1" applyFill="1" applyBorder="1" applyAlignment="1">
      <alignment horizontal="center"/>
    </xf>
    <xf numFmtId="0" fontId="16" fillId="26" borderId="235" xfId="0" applyFont="1" applyFill="1" applyBorder="1" applyAlignment="1">
      <alignment horizontal="center" vertical="center" wrapText="1"/>
    </xf>
    <xf numFmtId="0" fontId="16" fillId="26" borderId="243" xfId="0" applyFont="1" applyFill="1" applyBorder="1" applyAlignment="1">
      <alignment horizontal="center" vertical="center" wrapText="1"/>
    </xf>
    <xf numFmtId="0" fontId="16" fillId="26" borderId="235" xfId="0" applyFont="1" applyFill="1" applyBorder="1" applyAlignment="1">
      <alignment horizontal="center" vertical="center"/>
    </xf>
    <xf numFmtId="0" fontId="16" fillId="26" borderId="244" xfId="0" applyFont="1" applyFill="1" applyBorder="1" applyAlignment="1">
      <alignment horizontal="center" vertical="center"/>
    </xf>
    <xf numFmtId="0" fontId="0" fillId="4" borderId="241" xfId="0" applyFill="1" applyBorder="1" applyAlignment="1">
      <alignment horizontal="center"/>
    </xf>
    <xf numFmtId="0" fontId="0" fillId="4" borderId="239" xfId="0" applyFill="1" applyBorder="1" applyAlignment="1">
      <alignment horizontal="center"/>
    </xf>
    <xf numFmtId="1" fontId="36" fillId="0" borderId="248" xfId="10" applyNumberFormat="1" applyFont="1" applyFill="1" applyBorder="1" applyAlignment="1">
      <alignment horizontal="right" wrapText="1"/>
    </xf>
    <xf numFmtId="1" fontId="36" fillId="0" borderId="0" xfId="10" applyNumberFormat="1" applyFont="1" applyFill="1" applyBorder="1" applyAlignment="1">
      <alignment horizontal="right" wrapText="1"/>
    </xf>
    <xf numFmtId="0" fontId="0" fillId="26" borderId="242" xfId="0" applyFill="1" applyBorder="1" applyAlignment="1">
      <alignment horizontal="left" vertical="center" wrapText="1"/>
    </xf>
    <xf numFmtId="0" fontId="0" fillId="26" borderId="0" xfId="0" applyFill="1" applyAlignment="1">
      <alignment horizontal="left" vertical="center" wrapText="1"/>
    </xf>
    <xf numFmtId="0" fontId="130" fillId="36" borderId="248" xfId="0" applyFont="1" applyFill="1" applyBorder="1" applyAlignment="1">
      <alignment horizontal="center"/>
    </xf>
    <xf numFmtId="0" fontId="130" fillId="36" borderId="0" xfId="0" applyFont="1" applyFill="1" applyAlignment="1">
      <alignment horizontal="center"/>
    </xf>
    <xf numFmtId="0" fontId="130" fillId="36" borderId="240" xfId="0" applyFont="1" applyFill="1" applyBorder="1" applyAlignment="1">
      <alignment horizontal="center"/>
    </xf>
    <xf numFmtId="0" fontId="127" fillId="3" borderId="0" xfId="0" applyFont="1" applyFill="1" applyAlignment="1">
      <alignment horizontal="center"/>
    </xf>
    <xf numFmtId="0" fontId="73" fillId="3" borderId="0" xfId="0" applyFont="1" applyFill="1" applyAlignment="1">
      <alignment horizontal="center" wrapText="1"/>
    </xf>
    <xf numFmtId="0" fontId="36" fillId="0" borderId="0" xfId="0" applyFont="1" applyAlignment="1">
      <alignment horizontal="center" wrapText="1"/>
    </xf>
    <xf numFmtId="0" fontId="36" fillId="0" borderId="234" xfId="0" applyFont="1" applyBorder="1" applyAlignment="1">
      <alignment horizontal="center" vertical="center" wrapText="1"/>
    </xf>
    <xf numFmtId="0" fontId="149" fillId="52" borderId="140" xfId="0" applyFont="1" applyFill="1" applyBorder="1" applyAlignment="1">
      <alignment horizontal="center"/>
    </xf>
    <xf numFmtId="0" fontId="0" fillId="0" borderId="140" xfId="0" applyBorder="1" applyAlignment="1" applyProtection="1">
      <alignment horizontal="left" vertical="center"/>
      <protection locked="0"/>
    </xf>
    <xf numFmtId="167" fontId="17" fillId="11" borderId="140" xfId="10" applyNumberFormat="1" applyFont="1" applyFill="1" applyBorder="1" applyAlignment="1" applyProtection="1">
      <alignment horizontal="center" vertical="center"/>
      <protection locked="0"/>
    </xf>
    <xf numFmtId="6" fontId="17" fillId="11" borderId="140" xfId="0" applyNumberFormat="1" applyFont="1" applyFill="1" applyBorder="1" applyAlignment="1" applyProtection="1">
      <alignment horizontal="right" vertical="center"/>
      <protection locked="0"/>
    </xf>
    <xf numFmtId="44" fontId="17" fillId="0" borderId="140" xfId="9" applyFont="1" applyBorder="1" applyAlignment="1" applyProtection="1">
      <alignment horizontal="center" vertical="center"/>
      <protection locked="0"/>
    </xf>
    <xf numFmtId="0" fontId="149" fillId="52" borderId="138" xfId="0" applyFont="1" applyFill="1" applyBorder="1" applyAlignment="1">
      <alignment horizontal="center"/>
    </xf>
    <xf numFmtId="0" fontId="149" fillId="52" borderId="6" xfId="0" applyFont="1" applyFill="1" applyBorder="1" applyAlignment="1">
      <alignment horizontal="center"/>
    </xf>
    <xf numFmtId="0" fontId="149" fillId="52" borderId="139" xfId="0" applyFont="1" applyFill="1" applyBorder="1" applyAlignment="1">
      <alignment horizontal="center"/>
    </xf>
    <xf numFmtId="0" fontId="0" fillId="0" borderId="28" xfId="0" applyBorder="1" applyAlignment="1" applyProtection="1">
      <alignment horizontal="center"/>
      <protection locked="0"/>
    </xf>
    <xf numFmtId="0" fontId="0" fillId="0" borderId="119" xfId="0" applyBorder="1" applyAlignment="1" applyProtection="1">
      <alignment horizontal="center"/>
      <protection locked="0"/>
    </xf>
    <xf numFmtId="0" fontId="0" fillId="0" borderId="134" xfId="0" applyBorder="1" applyAlignment="1" applyProtection="1">
      <alignment horizontal="center"/>
      <protection locked="0"/>
    </xf>
    <xf numFmtId="0" fontId="44" fillId="11" borderId="46" xfId="4" applyNumberFormat="1" applyBorder="1" applyAlignment="1">
      <alignment horizontal="left"/>
      <protection locked="0"/>
    </xf>
    <xf numFmtId="0" fontId="44" fillId="11" borderId="47" xfId="4" applyNumberFormat="1" applyBorder="1" applyAlignment="1">
      <alignment horizontal="left"/>
      <protection locked="0"/>
    </xf>
    <xf numFmtId="0" fontId="44" fillId="11" borderId="48" xfId="4" applyNumberFormat="1" applyBorder="1" applyAlignment="1">
      <alignment horizontal="left"/>
      <protection locked="0"/>
    </xf>
    <xf numFmtId="0" fontId="37" fillId="0" borderId="0" xfId="0" applyFont="1" applyAlignment="1">
      <alignment horizontal="center"/>
    </xf>
    <xf numFmtId="6" fontId="17" fillId="0" borderId="129" xfId="4" applyNumberFormat="1" applyFont="1" applyFill="1" applyBorder="1" applyAlignment="1">
      <alignment horizontal="left"/>
      <protection locked="0"/>
    </xf>
    <xf numFmtId="6" fontId="44" fillId="0" borderId="0" xfId="4" applyNumberFormat="1" applyFill="1" applyBorder="1" applyAlignment="1">
      <alignment horizontal="left"/>
      <protection locked="0"/>
    </xf>
    <xf numFmtId="0" fontId="52" fillId="0" borderId="129" xfId="0" applyFont="1" applyBorder="1" applyAlignment="1">
      <alignment horizontal="center" vertical="center" wrapText="1"/>
    </xf>
    <xf numFmtId="0" fontId="52" fillId="0" borderId="0" xfId="0" applyFont="1" applyAlignment="1">
      <alignment horizontal="center" vertical="center" wrapText="1"/>
    </xf>
    <xf numFmtId="0" fontId="52" fillId="0" borderId="3" xfId="0" applyFont="1" applyBorder="1" applyAlignment="1">
      <alignment horizontal="center" vertical="center" wrapText="1"/>
    </xf>
    <xf numFmtId="0" fontId="52" fillId="0" borderId="154" xfId="0" applyFont="1" applyBorder="1" applyAlignment="1">
      <alignment horizontal="center" vertical="center" wrapText="1"/>
    </xf>
    <xf numFmtId="0" fontId="52" fillId="0" borderId="36" xfId="0" applyFont="1" applyBorder="1" applyAlignment="1">
      <alignment horizontal="center" vertical="center" wrapText="1"/>
    </xf>
    <xf numFmtId="0" fontId="52" fillId="0" borderId="155" xfId="0" applyFont="1" applyBorder="1" applyAlignment="1">
      <alignment horizontal="center" vertical="center" wrapText="1"/>
    </xf>
    <xf numFmtId="38" fontId="44" fillId="11" borderId="46" xfId="0" applyNumberFormat="1" applyFont="1" applyFill="1" applyBorder="1" applyAlignment="1" applyProtection="1">
      <alignment horizontal="left"/>
      <protection locked="0"/>
    </xf>
    <xf numFmtId="38" fontId="44" fillId="11" borderId="47" xfId="0" applyNumberFormat="1" applyFont="1" applyFill="1" applyBorder="1" applyAlignment="1" applyProtection="1">
      <alignment horizontal="left"/>
      <protection locked="0"/>
    </xf>
    <xf numFmtId="38" fontId="44" fillId="11" borderId="48" xfId="0" applyNumberFormat="1" applyFont="1" applyFill="1" applyBorder="1" applyAlignment="1" applyProtection="1">
      <alignment horizontal="left"/>
      <protection locked="0"/>
    </xf>
    <xf numFmtId="6" fontId="44" fillId="11" borderId="46" xfId="4" applyNumberFormat="1" applyBorder="1" applyAlignment="1">
      <alignment horizontal="left"/>
      <protection locked="0"/>
    </xf>
    <xf numFmtId="6" fontId="44" fillId="11" borderId="152" xfId="4" applyNumberFormat="1" applyBorder="1" applyAlignment="1">
      <alignment horizontal="left"/>
      <protection locked="0"/>
    </xf>
    <xf numFmtId="0" fontId="44" fillId="11" borderId="153" xfId="4" applyNumberFormat="1" applyBorder="1" applyAlignment="1">
      <alignment horizontal="left"/>
      <protection locked="0"/>
    </xf>
    <xf numFmtId="0" fontId="44" fillId="11" borderId="70" xfId="4" applyNumberFormat="1" applyBorder="1" applyAlignment="1">
      <alignment horizontal="left"/>
      <protection locked="0"/>
    </xf>
    <xf numFmtId="0" fontId="0" fillId="11" borderId="138" xfId="0" applyFill="1" applyBorder="1" applyAlignment="1" applyProtection="1">
      <alignment horizontal="left" wrapText="1"/>
      <protection locked="0"/>
    </xf>
    <xf numFmtId="0" fontId="0" fillId="11" borderId="6" xfId="0" applyFill="1" applyBorder="1" applyAlignment="1" applyProtection="1">
      <alignment horizontal="left" wrapText="1"/>
      <protection locked="0"/>
    </xf>
    <xf numFmtId="0" fontId="0" fillId="11" borderId="139" xfId="0" applyFill="1" applyBorder="1" applyAlignment="1" applyProtection="1">
      <alignment horizontal="left" wrapText="1"/>
      <protection locked="0"/>
    </xf>
    <xf numFmtId="0" fontId="98" fillId="11" borderId="138" xfId="14" applyFill="1" applyBorder="1" applyAlignment="1" applyProtection="1">
      <alignment horizontal="left" wrapText="1"/>
      <protection locked="0"/>
    </xf>
    <xf numFmtId="0" fontId="27" fillId="0" borderId="1" xfId="0" quotePrefix="1" applyFont="1" applyBorder="1" applyAlignment="1" applyProtection="1">
      <alignment horizontal="center"/>
      <protection locked="0"/>
    </xf>
    <xf numFmtId="0" fontId="27" fillId="0" borderId="0" xfId="0" quotePrefix="1" applyFont="1" applyAlignment="1">
      <alignment horizontal="center"/>
    </xf>
    <xf numFmtId="10" fontId="22" fillId="7" borderId="51" xfId="0" applyNumberFormat="1" applyFont="1" applyFill="1" applyBorder="1" applyAlignment="1">
      <alignment horizontal="center"/>
    </xf>
    <xf numFmtId="10" fontId="22" fillId="7" borderId="52" xfId="0" applyNumberFormat="1" applyFont="1" applyFill="1" applyBorder="1" applyAlignment="1">
      <alignment horizontal="center"/>
    </xf>
    <xf numFmtId="10" fontId="22" fillId="7" borderId="53" xfId="0" applyNumberFormat="1" applyFont="1" applyFill="1" applyBorder="1" applyAlignment="1">
      <alignment horizontal="center"/>
    </xf>
    <xf numFmtId="0" fontId="39" fillId="4" borderId="60" xfId="0" applyFont="1" applyFill="1" applyBorder="1" applyAlignment="1">
      <alignment horizontal="left"/>
    </xf>
    <xf numFmtId="0" fontId="39" fillId="4" borderId="63" xfId="0" applyFont="1" applyFill="1" applyBorder="1" applyAlignment="1">
      <alignment horizontal="left"/>
    </xf>
    <xf numFmtId="0" fontId="39" fillId="4" borderId="61" xfId="0" applyFont="1" applyFill="1" applyBorder="1" applyAlignment="1">
      <alignment horizontal="left"/>
    </xf>
    <xf numFmtId="0" fontId="32" fillId="4" borderId="60" xfId="0" applyFont="1" applyFill="1" applyBorder="1" applyAlignment="1">
      <alignment horizontal="left"/>
    </xf>
    <xf numFmtId="0" fontId="32" fillId="4" borderId="63" xfId="0" applyFont="1" applyFill="1" applyBorder="1" applyAlignment="1">
      <alignment horizontal="left"/>
    </xf>
    <xf numFmtId="0" fontId="32" fillId="4" borderId="61" xfId="0" applyFont="1" applyFill="1" applyBorder="1" applyAlignment="1">
      <alignment horizontal="left"/>
    </xf>
    <xf numFmtId="38" fontId="44" fillId="11" borderId="188" xfId="4" applyBorder="1" applyAlignment="1">
      <alignment horizontal="left"/>
      <protection locked="0"/>
    </xf>
    <xf numFmtId="38" fontId="44" fillId="11" borderId="62" xfId="4" applyBorder="1" applyAlignment="1">
      <alignment horizontal="left"/>
      <protection locked="0"/>
    </xf>
    <xf numFmtId="38" fontId="44" fillId="11" borderId="189" xfId="4" applyBorder="1" applyAlignment="1">
      <alignment horizontal="left"/>
      <protection locked="0"/>
    </xf>
  </cellXfs>
  <cellStyles count="20">
    <cellStyle name="Comma" xfId="1" builtinId="3" hidden="1"/>
    <cellStyle name="Comma" xfId="10" builtinId="3"/>
    <cellStyle name="Comma [0]" xfId="6" builtinId="6" hidden="1"/>
    <cellStyle name="Currency" xfId="2" builtinId="4" hidden="1"/>
    <cellStyle name="Currency" xfId="9" builtinId="4"/>
    <cellStyle name="Currency [0]" xfId="7" builtinId="7" hidden="1"/>
    <cellStyle name="Hyperlink" xfId="14" builtinId="8"/>
    <cellStyle name="Input" xfId="4" builtinId="20" customBuiltin="1"/>
    <cellStyle name="Input (Suggested)" xfId="11" xr:uid="{00000000-0005-0000-0000-000008000000}"/>
    <cellStyle name="Input 2" xfId="16" xr:uid="{00000000-0005-0000-0000-000009000000}"/>
    <cellStyle name="Input 2 2" xfId="18" xr:uid="{719A51FE-215F-4B3A-8528-0E4891C5C573}"/>
    <cellStyle name="Input 3" xfId="17" xr:uid="{00000000-0005-0000-0000-00000A000000}"/>
    <cellStyle name="Label" xfId="15" xr:uid="{00000000-0005-0000-0000-00000B000000}"/>
    <cellStyle name="Normal" xfId="0" builtinId="0"/>
    <cellStyle name="Normal 2" xfId="19" xr:uid="{50B3656E-1DE3-49DB-BB85-B0A2DFB37A83}"/>
    <cellStyle name="Normal 3 2" xfId="13" xr:uid="{00000000-0005-0000-0000-00000D000000}"/>
    <cellStyle name="Normal 3 4" xfId="12" xr:uid="{00000000-0005-0000-0000-00000E000000}"/>
    <cellStyle name="Note" xfId="5" builtinId="10" hidden="1"/>
    <cellStyle name="Percent" xfId="3" builtinId="5" hidden="1"/>
    <cellStyle name="Percent" xfId="8" builtinId="5"/>
  </cellStyles>
  <dxfs count="317">
    <dxf>
      <font>
        <color theme="0" tint="-0.499984740745262"/>
      </font>
      <fill>
        <patternFill>
          <bgColor theme="0" tint="-0.14996795556505021"/>
        </patternFill>
      </fill>
    </dxf>
    <dxf>
      <font>
        <color theme="0" tint="-0.499984740745262"/>
      </font>
      <fill>
        <patternFill>
          <bgColor theme="0" tint="-0.14996795556505021"/>
        </patternFill>
      </fill>
    </dxf>
    <dxf>
      <font>
        <color theme="0" tint="-0.24994659260841701"/>
      </font>
    </dxf>
    <dxf>
      <font>
        <color theme="0" tint="-0.34998626667073579"/>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11" formatCode="0.00&quot;x&quot;"/>
    </dxf>
    <dxf>
      <fill>
        <patternFill patternType="none">
          <bgColor auto="1"/>
        </patternFill>
      </fill>
    </dxf>
    <dxf>
      <font>
        <color theme="0" tint="-0.24994659260841701"/>
      </font>
    </dxf>
    <dxf>
      <font>
        <color theme="0" tint="-0.24994659260841701"/>
      </font>
    </dxf>
    <dxf>
      <font>
        <b val="0"/>
        <i val="0"/>
      </font>
      <fill>
        <patternFill>
          <bgColor rgb="FFFFFF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theme="0" tint="-0.24994659260841701"/>
      </font>
    </dxf>
    <dxf>
      <font>
        <color theme="0"/>
      </font>
      <fill>
        <patternFill patternType="none">
          <bgColor auto="1"/>
        </patternFill>
      </fill>
      <border>
        <left/>
        <right/>
        <top/>
        <bottom/>
        <vertical/>
        <horizontal/>
      </border>
    </dxf>
    <dxf>
      <font>
        <color theme="0" tint="-0.499984740745262"/>
      </font>
    </dxf>
    <dxf>
      <font>
        <color theme="0" tint="-0.24994659260841701"/>
      </font>
      <fill>
        <patternFill patternType="none">
          <bgColor auto="1"/>
        </patternFill>
      </fill>
    </dxf>
    <dxf>
      <font>
        <color auto="1"/>
      </font>
      <fill>
        <patternFill>
          <bgColor theme="9" tint="0.59996337778862885"/>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24994659260841701"/>
      </font>
    </dxf>
    <dxf>
      <font>
        <color theme="0"/>
      </font>
    </dxf>
    <dxf>
      <font>
        <color theme="0"/>
      </font>
    </dxf>
    <dxf>
      <font>
        <color theme="0" tint="-0.24994659260841701"/>
      </font>
    </dxf>
    <dxf>
      <font>
        <color theme="0"/>
      </font>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font>
    </dxf>
    <dxf>
      <font>
        <color theme="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auto="1"/>
      </font>
      <fill>
        <patternFill>
          <bgColor theme="9" tint="-0.499984740745262"/>
        </patternFill>
      </fill>
    </dxf>
    <dxf>
      <font>
        <color theme="9" tint="-0.499984740745262"/>
      </font>
      <fill>
        <patternFill>
          <bgColor theme="9" tint="-0.499984740745262"/>
        </patternFill>
      </fill>
    </dxf>
    <dxf>
      <border>
        <right style="thin">
          <color auto="1"/>
        </right>
        <vertical/>
        <horizontal/>
      </border>
    </dxf>
    <dxf>
      <font>
        <strike val="0"/>
        <color theme="0" tint="-0.14996795556505021"/>
      </font>
      <fill>
        <patternFill>
          <bgColor theme="0" tint="-0.14996795556505021"/>
        </patternFill>
      </fill>
      <border>
        <left/>
        <right style="thin">
          <color auto="1"/>
        </right>
        <top style="thin">
          <color auto="1"/>
        </top>
        <bottom style="thin">
          <color auto="1"/>
        </bottom>
        <vertical/>
        <horizontal/>
      </border>
    </dxf>
    <dxf>
      <font>
        <strike val="0"/>
        <color theme="0" tint="-0.14996795556505021"/>
      </font>
      <fill>
        <patternFill>
          <bgColor theme="0" tint="-0.14996795556505021"/>
        </patternFill>
      </fill>
      <border>
        <left style="thin">
          <color auto="1"/>
        </left>
        <top style="thin">
          <color auto="1"/>
        </top>
        <bottom style="thin">
          <color auto="1"/>
        </bottom>
        <vertical/>
        <horizontal/>
      </border>
    </dxf>
    <dxf>
      <font>
        <color theme="0" tint="-0.14996795556505021"/>
      </font>
      <fill>
        <patternFill>
          <bgColor theme="0" tint="-0.14996795556505021"/>
        </patternFill>
      </fill>
      <border>
        <top style="thin">
          <color auto="1"/>
        </top>
        <bottom style="thin">
          <color auto="1"/>
        </bottom>
        <vertical/>
        <horizontal/>
      </border>
    </dxf>
    <dxf>
      <fill>
        <patternFill>
          <bgColor theme="0" tint="-0.14996795556505021"/>
        </patternFill>
      </fill>
      <border>
        <top style="thin">
          <color auto="1"/>
        </top>
        <bottom style="thin">
          <color auto="1"/>
        </bottom>
        <vertical/>
        <horizontal/>
      </border>
    </dxf>
    <dxf>
      <font>
        <color auto="1"/>
      </font>
      <fill>
        <patternFill>
          <bgColor theme="9" tint="-0.499984740745262"/>
        </patternFill>
      </fill>
    </dxf>
    <dxf>
      <font>
        <color theme="9" tint="-0.499984740745262"/>
      </font>
      <fill>
        <patternFill>
          <bgColor theme="9" tint="-0.499984740745262"/>
        </patternFill>
      </fill>
    </dxf>
    <dxf>
      <border>
        <right style="thin">
          <color auto="1"/>
        </right>
        <vertical/>
        <horizontal/>
      </border>
    </dxf>
    <dxf>
      <font>
        <color auto="1"/>
      </font>
      <fill>
        <patternFill>
          <bgColor theme="9" tint="-0.499984740745262"/>
        </patternFill>
      </fill>
    </dxf>
    <dxf>
      <font>
        <color theme="9" tint="-0.499984740745262"/>
      </font>
      <fill>
        <patternFill>
          <bgColor theme="9" tint="-0.499984740745262"/>
        </patternFill>
      </fill>
    </dxf>
    <dxf>
      <border>
        <right style="thin">
          <color auto="1"/>
        </right>
        <vertical/>
        <horizontal/>
      </border>
    </dxf>
    <dxf>
      <font>
        <strike val="0"/>
        <color theme="0" tint="-0.14996795556505021"/>
      </font>
      <fill>
        <patternFill>
          <bgColor theme="0" tint="-0.14996795556505021"/>
        </patternFill>
      </fill>
      <border>
        <left/>
        <right style="thin">
          <color auto="1"/>
        </right>
        <top style="thin">
          <color auto="1"/>
        </top>
        <bottom style="thin">
          <color auto="1"/>
        </bottom>
        <vertical/>
        <horizontal/>
      </border>
    </dxf>
    <dxf>
      <font>
        <strike val="0"/>
        <color theme="0" tint="-0.14996795556505021"/>
      </font>
      <fill>
        <patternFill>
          <bgColor theme="0" tint="-0.14996795556505021"/>
        </patternFill>
      </fill>
      <border>
        <left style="thin">
          <color auto="1"/>
        </left>
        <top style="thin">
          <color auto="1"/>
        </top>
        <bottom style="thin">
          <color auto="1"/>
        </bottom>
        <vertical/>
        <horizontal/>
      </border>
    </dxf>
    <dxf>
      <font>
        <color theme="0" tint="-0.14996795556505021"/>
      </font>
      <fill>
        <patternFill>
          <bgColor theme="0" tint="-0.14996795556505021"/>
        </patternFill>
      </fill>
      <border>
        <top style="thin">
          <color auto="1"/>
        </top>
        <bottom style="thin">
          <color auto="1"/>
        </bottom>
        <vertical/>
        <horizontal/>
      </border>
    </dxf>
    <dxf>
      <fill>
        <patternFill>
          <bgColor theme="0" tint="-0.14996795556505021"/>
        </patternFill>
      </fill>
      <border>
        <top style="thin">
          <color auto="1"/>
        </top>
        <bottom style="thin">
          <color auto="1"/>
        </bottom>
        <vertical/>
        <horizontal/>
      </border>
    </dxf>
    <dxf>
      <border>
        <bottom style="thin">
          <color auto="1"/>
        </bottom>
        <vertical/>
        <horizontal/>
      </border>
    </dxf>
    <dxf>
      <font>
        <color theme="0"/>
      </font>
      <fill>
        <patternFill>
          <bgColor theme="0"/>
        </patternFill>
      </fill>
      <border>
        <left style="thin">
          <color auto="1"/>
        </left>
        <right style="thin">
          <color auto="1"/>
        </right>
      </border>
    </dxf>
    <dxf>
      <font>
        <color auto="1"/>
      </font>
      <fill>
        <patternFill>
          <bgColor theme="0"/>
        </patternFill>
      </fill>
      <border>
        <left style="thin">
          <color auto="1"/>
        </left>
        <right style="thin">
          <color auto="1"/>
        </right>
      </border>
    </dxf>
    <dxf>
      <border>
        <bottom style="thin">
          <color auto="1"/>
        </bottom>
        <vertical/>
        <horizontal/>
      </border>
    </dxf>
    <dxf>
      <font>
        <color auto="1"/>
      </font>
      <fill>
        <patternFill>
          <bgColor theme="9" tint="-0.499984740745262"/>
        </patternFill>
      </fill>
    </dxf>
    <dxf>
      <font>
        <color theme="9" tint="-0.499984740745262"/>
      </font>
      <fill>
        <patternFill>
          <bgColor theme="9" tint="-0.499984740745262"/>
        </patternFill>
      </fill>
    </dxf>
    <dxf>
      <border>
        <right style="thin">
          <color auto="1"/>
        </right>
        <vertical/>
        <horizontal/>
      </border>
    </dxf>
    <dxf>
      <font>
        <color theme="8" tint="-0.24994659260841701"/>
      </font>
      <fill>
        <patternFill>
          <bgColor theme="8" tint="-0.24994659260841701"/>
        </patternFill>
      </fill>
    </dxf>
    <dxf>
      <font>
        <color auto="1"/>
      </font>
      <fill>
        <patternFill>
          <bgColor theme="8" tint="-0.24994659260841701"/>
        </patternFill>
      </fill>
    </dxf>
    <dxf>
      <font>
        <color theme="8" tint="-0.24994659260841701"/>
      </font>
      <fill>
        <patternFill>
          <bgColor theme="8" tint="-0.24994659260841701"/>
        </patternFill>
      </fill>
      <border>
        <left style="dashed">
          <color auto="1"/>
        </left>
      </border>
    </dxf>
    <dxf>
      <font>
        <color theme="9" tint="0.59996337778862885"/>
      </font>
      <fill>
        <patternFill>
          <bgColor theme="9" tint="0.59996337778862885"/>
        </patternFill>
      </fill>
    </dxf>
    <dxf>
      <font>
        <color auto="1"/>
      </font>
      <fill>
        <patternFill>
          <bgColor theme="9" tint="0.59996337778862885"/>
        </patternFill>
      </fill>
    </dxf>
    <dxf>
      <font>
        <color theme="9" tint="-0.24994659260841701"/>
      </font>
      <fill>
        <patternFill>
          <bgColor theme="9" tint="-0.24994659260841701"/>
        </patternFill>
      </fill>
    </dxf>
    <dxf>
      <font>
        <color auto="1"/>
      </font>
      <fill>
        <patternFill>
          <bgColor theme="9" tint="-0.24994659260841701"/>
        </patternFill>
      </fill>
    </dxf>
    <dxf>
      <font>
        <color theme="8" tint="0.79998168889431442"/>
      </font>
      <fill>
        <patternFill>
          <bgColor theme="8" tint="0.79998168889431442"/>
        </patternFill>
      </fill>
    </dxf>
    <dxf>
      <font>
        <color auto="1"/>
      </font>
      <fill>
        <patternFill>
          <bgColor theme="8" tint="0.79998168889431442"/>
        </patternFill>
      </fill>
    </dxf>
    <dxf>
      <font>
        <color rgb="FFD6BCE2"/>
      </font>
      <fill>
        <patternFill>
          <bgColor rgb="FFD6BCE2"/>
        </patternFill>
      </fill>
    </dxf>
    <dxf>
      <font>
        <color auto="1"/>
      </font>
      <fill>
        <patternFill>
          <bgColor rgb="FFD6BCE2"/>
        </patternFill>
      </fill>
    </dxf>
    <dxf>
      <font>
        <color theme="8" tint="0.39994506668294322"/>
      </font>
      <fill>
        <patternFill>
          <bgColor theme="8" tint="0.39994506668294322"/>
        </patternFill>
      </fill>
    </dxf>
    <dxf>
      <font>
        <color auto="1"/>
      </font>
      <fill>
        <patternFill>
          <bgColor theme="8" tint="0.39994506668294322"/>
        </patternFill>
      </fill>
    </dxf>
    <dxf>
      <font>
        <color theme="8" tint="0.39994506668294322"/>
      </font>
      <fill>
        <patternFill>
          <bgColor theme="8" tint="0.39994506668294322"/>
        </patternFill>
      </fill>
      <border>
        <left style="dashed">
          <color auto="1"/>
        </left>
      </border>
    </dxf>
    <dxf>
      <font>
        <color theme="0"/>
      </font>
    </dxf>
    <dxf>
      <border>
        <top style="thin">
          <color auto="1"/>
        </top>
        <bottom/>
        <vertical/>
        <horizontal/>
      </border>
    </dxf>
    <dxf>
      <font>
        <strike val="0"/>
        <color theme="0" tint="-0.14996795556505021"/>
      </font>
      <fill>
        <patternFill>
          <bgColor theme="0" tint="-0.14996795556505021"/>
        </patternFill>
      </fill>
      <border>
        <left style="thin">
          <color auto="1"/>
        </left>
        <top style="thin">
          <color auto="1"/>
        </top>
        <bottom style="thin">
          <color auto="1"/>
        </bottom>
        <vertical/>
        <horizontal/>
      </border>
    </dxf>
    <dxf>
      <font>
        <strike val="0"/>
        <color theme="0" tint="-0.14996795556505021"/>
      </font>
      <fill>
        <patternFill>
          <bgColor theme="0" tint="-0.14996795556505021"/>
        </patternFill>
      </fill>
      <border>
        <left/>
        <right style="thin">
          <color auto="1"/>
        </right>
        <top style="thin">
          <color auto="1"/>
        </top>
        <bottom style="thin">
          <color auto="1"/>
        </bottom>
        <vertical/>
        <horizontal/>
      </border>
    </dxf>
    <dxf>
      <font>
        <color theme="0" tint="-0.14996795556505021"/>
      </font>
      <fill>
        <patternFill>
          <bgColor theme="0" tint="-0.14996795556505021"/>
        </patternFill>
      </fill>
      <border>
        <top style="thin">
          <color auto="1"/>
        </top>
        <bottom style="thin">
          <color auto="1"/>
        </bottom>
        <vertical/>
        <horizontal/>
      </border>
    </dxf>
    <dxf>
      <fill>
        <patternFill>
          <bgColor theme="0" tint="-0.14996795556505021"/>
        </patternFill>
      </fill>
      <border>
        <top style="thin">
          <color auto="1"/>
        </top>
        <bottom style="thin">
          <color auto="1"/>
        </bottom>
        <vertical/>
        <horizontal/>
      </border>
    </dxf>
    <dxf>
      <border>
        <right/>
        <vertical/>
        <horizontal/>
      </border>
    </dxf>
    <dxf>
      <border>
        <right/>
        <vertical/>
        <horizontal/>
      </border>
    </dxf>
    <dxf>
      <border>
        <right/>
        <vertical/>
        <horizontal/>
      </border>
    </dxf>
    <dxf>
      <border>
        <right/>
        <vertical/>
        <horizontal/>
      </border>
    </dxf>
    <dxf>
      <font>
        <color auto="1"/>
      </font>
      <fill>
        <patternFill>
          <bgColor theme="7" tint="0.79998168889431442"/>
        </patternFill>
      </fill>
      <border>
        <left style="thin">
          <color auto="1"/>
        </left>
        <right style="thin">
          <color auto="1"/>
        </right>
        <top style="thin">
          <color auto="1"/>
        </top>
        <bottom style="thin">
          <color auto="1"/>
        </bottom>
        <vertical/>
        <horizontal/>
      </border>
    </dxf>
    <dxf>
      <font>
        <color theme="0" tint="-0.24994659260841701"/>
      </font>
    </dxf>
    <dxf>
      <font>
        <color theme="0" tint="-0.24994659260841701"/>
      </font>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dxf>
    <dxf>
      <font>
        <color theme="0" tint="-0.499984740745262"/>
      </font>
      <fill>
        <patternFill patternType="none">
          <bgColor auto="1"/>
        </patternFill>
      </fill>
    </dxf>
    <dxf>
      <font>
        <color theme="0" tint="-0.499984740745262"/>
      </font>
      <fill>
        <patternFill patternType="none">
          <bgColor auto="1"/>
        </patternFill>
      </fill>
    </dxf>
    <dxf>
      <font>
        <color theme="0" tint="-0.34998626667073579"/>
      </font>
      <fill>
        <patternFill patternType="none">
          <bgColor auto="1"/>
        </patternFill>
      </fill>
    </dxf>
    <dxf>
      <font>
        <color theme="0" tint="-0.34998626667073579"/>
      </font>
      <fill>
        <patternFill patternType="none">
          <bgColor auto="1"/>
        </patternFill>
      </fill>
    </dxf>
    <dxf>
      <font>
        <color theme="0" tint="-0.499984740745262"/>
      </font>
      <fill>
        <patternFill>
          <bgColor theme="0" tint="-0.14996795556505021"/>
        </patternFill>
      </fill>
    </dxf>
    <dxf>
      <font>
        <color theme="0" tint="-0.499984740745262"/>
      </font>
    </dxf>
    <dxf>
      <font>
        <color theme="0" tint="-0.499984740745262"/>
      </font>
      <fill>
        <patternFill>
          <bgColor theme="0" tint="-0.14996795556505021"/>
        </patternFill>
      </fill>
    </dxf>
    <dxf>
      <font>
        <color theme="0" tint="-0.34998626667073579"/>
      </font>
    </dxf>
    <dxf>
      <font>
        <b/>
        <i val="0"/>
        <color rgb="FFFF0000"/>
      </font>
    </dxf>
    <dxf>
      <font>
        <b/>
        <i val="0"/>
        <color rgb="FFFF0000"/>
      </font>
    </dxf>
    <dxf>
      <font>
        <color theme="0" tint="-0.34998626667073579"/>
      </font>
    </dxf>
    <dxf>
      <font>
        <color theme="0" tint="-0.34998626667073579"/>
      </font>
      <fill>
        <patternFill patternType="none">
          <bgColor auto="1"/>
        </patternFill>
      </fill>
    </dxf>
    <dxf>
      <font>
        <b/>
        <i val="0"/>
        <color rgb="FFFF0000"/>
      </font>
    </dxf>
    <dxf>
      <font>
        <b/>
        <i val="0"/>
        <color theme="0"/>
      </font>
      <fill>
        <patternFill>
          <bgColor rgb="FFFF0000"/>
        </patternFill>
      </fill>
      <border>
        <left style="thin">
          <color rgb="FFFF0000"/>
        </left>
        <right style="thin">
          <color rgb="FFFF0000"/>
        </right>
        <top style="thin">
          <color rgb="FFFF0000"/>
        </top>
        <bottom style="thin">
          <color rgb="FFFF0000"/>
        </bottom>
      </border>
    </dxf>
    <dxf>
      <font>
        <color theme="0" tint="-0.34998626667073579"/>
      </font>
      <fill>
        <patternFill patternType="none">
          <bgColor auto="1"/>
        </patternFill>
      </fill>
    </dxf>
    <dxf>
      <font>
        <color theme="0" tint="-0.34998626667073579"/>
      </font>
      <fill>
        <patternFill patternType="none">
          <bgColor auto="1"/>
        </patternFill>
      </fill>
    </dxf>
    <dxf>
      <font>
        <color rgb="FF9C0006"/>
      </font>
      <fill>
        <patternFill>
          <bgColor rgb="FFFFC7CE"/>
        </patternFill>
      </fill>
    </dxf>
    <dxf>
      <font>
        <color theme="0" tint="-0.34998626667073579"/>
      </font>
      <fill>
        <patternFill patternType="none">
          <bgColor auto="1"/>
        </patternFill>
      </fill>
    </dxf>
    <dxf>
      <font>
        <color theme="0" tint="-0.34998626667073579"/>
      </font>
      <fill>
        <patternFill patternType="none">
          <bgColor auto="1"/>
        </patternFill>
      </fill>
    </dxf>
    <dxf>
      <font>
        <b val="0"/>
        <i/>
        <strike/>
        <u val="none"/>
        <color theme="0" tint="-0.34998626667073579"/>
      </font>
      <fill>
        <patternFill patternType="none">
          <bgColor auto="1"/>
        </patternFill>
      </fill>
      <border>
        <left/>
        <vertical/>
        <horizontal/>
      </border>
    </dxf>
    <dxf>
      <font>
        <b val="0"/>
        <i/>
        <strike/>
        <u val="none"/>
        <color theme="0" tint="-0.34998626667073579"/>
      </font>
      <fill>
        <patternFill patternType="none">
          <bgColor auto="1"/>
        </patternFill>
      </fill>
      <border>
        <right/>
      </border>
    </dxf>
    <dxf>
      <font>
        <color rgb="FF9C0006"/>
      </font>
      <fill>
        <patternFill>
          <bgColor rgb="FFFFC7CE"/>
        </patternFill>
      </fill>
    </dxf>
    <dxf>
      <font>
        <color theme="0" tint="-0.34998626667073579"/>
      </font>
    </dxf>
    <dxf>
      <font>
        <color theme="0" tint="-0.34998626667073579"/>
      </font>
      <fill>
        <patternFill patternType="none">
          <bgColor auto="1"/>
        </patternFill>
      </fill>
    </dxf>
    <dxf>
      <font>
        <color theme="0" tint="-0.34998626667073579"/>
      </font>
      <fill>
        <patternFill patternType="none">
          <bgColor auto="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tint="-0.34998626667073579"/>
      </font>
    </dxf>
    <dxf>
      <font>
        <color rgb="FF9C0006"/>
      </font>
      <fill>
        <patternFill>
          <bgColor rgb="FFFFC7CE"/>
        </patternFill>
      </fill>
    </dxf>
    <dxf>
      <font>
        <b/>
        <i val="0"/>
        <strike val="0"/>
        <color theme="0"/>
      </font>
      <fill>
        <patternFill>
          <bgColor theme="7" tint="-0.24994659260841701"/>
        </patternFill>
      </fill>
      <border>
        <left style="thin">
          <color theme="0" tint="-0.24994659260841701"/>
        </left>
        <right/>
        <top/>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tint="-0.34998626667073579"/>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font>
    </dxf>
    <dxf>
      <font>
        <color theme="0"/>
      </font>
    </dxf>
    <dxf>
      <font>
        <color theme="0" tint="-0.24994659260841701"/>
      </font>
    </dxf>
    <dxf>
      <font>
        <color theme="0" tint="-0.24994659260841701"/>
      </font>
    </dxf>
    <dxf>
      <font>
        <color theme="0"/>
      </font>
    </dxf>
    <dxf>
      <font>
        <color theme="0" tint="-0.34998626667073579"/>
      </font>
    </dxf>
    <dxf>
      <font>
        <color theme="0" tint="-0.24994659260841701"/>
      </font>
    </dxf>
    <dxf>
      <font>
        <color theme="0"/>
      </font>
    </dxf>
    <dxf>
      <font>
        <color rgb="FF9C0006"/>
      </font>
      <fill>
        <patternFill>
          <bgColor rgb="FFFFC7CE"/>
        </patternFill>
      </fill>
    </dxf>
    <dxf>
      <font>
        <color rgb="FF9C0006"/>
      </font>
      <fill>
        <patternFill>
          <bgColor rgb="FFFFC7CE"/>
        </patternFill>
      </fill>
    </dxf>
    <dxf>
      <font>
        <color theme="0" tint="-0.24994659260841701"/>
      </font>
    </dxf>
    <dxf>
      <font>
        <color theme="0" tint="-0.34998626667073579"/>
      </font>
    </dxf>
    <dxf>
      <font>
        <color theme="0" tint="-0.24994659260841701"/>
      </font>
    </dxf>
    <dxf>
      <font>
        <color theme="0" tint="-0.34998626667073579"/>
      </font>
    </dxf>
    <dxf>
      <font>
        <color theme="0" tint="-0.24994659260841701"/>
      </font>
    </dxf>
    <dxf>
      <font>
        <color theme="0" tint="-0.34998626667073579"/>
      </font>
    </dxf>
    <dxf>
      <font>
        <color theme="0" tint="-0.24994659260841701"/>
      </font>
    </dxf>
    <dxf>
      <font>
        <color theme="0" tint="-0.34998626667073579"/>
      </font>
    </dxf>
    <dxf>
      <font>
        <color theme="0" tint="-0.24994659260841701"/>
      </font>
    </dxf>
    <dxf>
      <font>
        <color theme="0" tint="-0.34998626667073579"/>
      </font>
    </dxf>
    <dxf>
      <font>
        <color theme="0" tint="-0.24994659260841701"/>
      </font>
    </dxf>
    <dxf>
      <font>
        <color theme="0" tint="-0.34998626667073579"/>
      </font>
    </dxf>
    <dxf>
      <font>
        <color theme="0" tint="-0.34998626667073579"/>
      </font>
      <fill>
        <patternFill patternType="none">
          <bgColor auto="1"/>
        </patternFill>
      </fill>
    </dxf>
    <dxf>
      <font>
        <b val="0"/>
        <i/>
        <strike/>
        <u val="none"/>
        <color theme="0" tint="-0.34998626667073579"/>
      </font>
      <fill>
        <patternFill patternType="none">
          <bgColor auto="1"/>
        </patternFill>
      </fill>
      <border>
        <left/>
        <vertical/>
        <horizontal/>
      </border>
    </dxf>
    <dxf>
      <font>
        <color theme="0" tint="-0.34998626667073579"/>
      </font>
      <fill>
        <patternFill patternType="none">
          <bgColor auto="1"/>
        </patternFill>
      </fill>
    </dxf>
    <dxf>
      <font>
        <color theme="0" tint="-0.34998626667073579"/>
      </font>
      <fill>
        <patternFill patternType="none">
          <bgColor auto="1"/>
        </patternFill>
      </fill>
    </dxf>
    <dxf>
      <font>
        <b val="0"/>
        <i/>
        <strike/>
        <u val="none"/>
        <color theme="0" tint="-0.34998626667073579"/>
      </font>
      <fill>
        <patternFill patternType="none">
          <bgColor auto="1"/>
        </patternFill>
      </fill>
      <border>
        <left/>
        <vertical/>
        <horizontal/>
      </border>
    </dxf>
    <dxf>
      <font>
        <color theme="0" tint="-0.34998626667073579"/>
      </font>
      <fill>
        <patternFill patternType="none">
          <bgColor auto="1"/>
        </patternFill>
      </fill>
    </dxf>
    <dxf>
      <font>
        <color theme="0"/>
      </font>
    </dxf>
    <dxf>
      <font>
        <color theme="0" tint="-0.24994659260841701"/>
      </font>
    </dxf>
    <dxf>
      <font>
        <color theme="0" tint="-0.24994659260841701"/>
      </font>
    </dxf>
    <dxf>
      <font>
        <color theme="0"/>
      </font>
    </dxf>
    <dxf>
      <font>
        <color theme="0"/>
      </font>
    </dxf>
    <dxf>
      <font>
        <color theme="0" tint="-0.24994659260841701"/>
      </font>
    </dxf>
    <dxf>
      <font>
        <color theme="0" tint="-0.24994659260841701"/>
      </font>
    </dxf>
    <dxf>
      <font>
        <color theme="0" tint="-0.24994659260841701"/>
      </font>
    </dxf>
    <dxf>
      <font>
        <color theme="0"/>
      </font>
    </dxf>
    <dxf>
      <font>
        <color theme="0" tint="-0.24994659260841701"/>
      </font>
    </dxf>
    <dxf>
      <font>
        <color theme="3" tint="0.79998168889431442"/>
      </font>
    </dxf>
    <dxf>
      <font>
        <color theme="0" tint="-0.24994659260841701"/>
      </font>
    </dxf>
    <dxf>
      <font>
        <color theme="0"/>
      </font>
    </dxf>
    <dxf>
      <font>
        <color theme="0" tint="-0.34998626667073579"/>
      </font>
    </dxf>
    <dxf>
      <font>
        <color theme="0" tint="-0.24994659260841701"/>
      </font>
    </dxf>
    <dxf>
      <font>
        <color rgb="FF9C0006"/>
      </font>
      <fill>
        <patternFill>
          <bgColor rgb="FFFFC7CE"/>
        </patternFill>
      </fill>
    </dxf>
    <dxf>
      <font>
        <color rgb="FF9C0006"/>
      </font>
      <fill>
        <patternFill>
          <bgColor rgb="FFFFC7CE"/>
        </patternFill>
      </fill>
    </dxf>
    <dxf>
      <fill>
        <patternFill>
          <bgColor rgb="FF0076C0"/>
        </patternFill>
      </fill>
    </dxf>
    <dxf>
      <fill>
        <patternFill>
          <bgColor theme="3" tint="0.59996337778862885"/>
        </patternFill>
      </fill>
    </dxf>
    <dxf>
      <fill>
        <patternFill>
          <bgColor theme="6" tint="0.59996337778862885"/>
        </patternFill>
      </fill>
    </dxf>
    <dxf>
      <fill>
        <patternFill>
          <bgColor rgb="FFC6E8C2"/>
        </patternFill>
      </fill>
    </dxf>
  </dxfs>
  <tableStyles count="1" defaultTableStyle="TableStyleMedium2" defaultPivotStyle="PivotStyleLight16">
    <tableStyle name="Invisible" pivot="0" table="0" count="0" xr9:uid="{6A6E6A2B-10E3-4D87-ABA8-BD33AC14A515}"/>
  </tableStyles>
  <colors>
    <mruColors>
      <color rgb="FFC6EFCE"/>
      <color rgb="FF003300"/>
      <color rgb="FF339E35"/>
      <color rgb="FF008080"/>
      <color rgb="FFFFFF99"/>
      <color rgb="FF006100"/>
      <color rgb="FF0000FF"/>
      <color rgb="FFDDEBF7"/>
      <color rgb="FFB4C6E7"/>
      <color rgb="FFDDF7D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3.xml"/><Relationship Id="rId50" Type="http://schemas.openxmlformats.org/officeDocument/2006/relationships/externalLink" Target="externalLinks/externalLink6.xml"/><Relationship Id="rId55" Type="http://schemas.microsoft.com/office/2017/06/relationships/rdRichValue" Target="richData/rdrichvalue.xml"/><Relationship Id="rId63"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openxmlformats.org/officeDocument/2006/relationships/sharedStrings" Target="sharedStrings.xml"/><Relationship Id="rId58" Type="http://schemas.microsoft.com/office/2017/10/relationships/person" Target="persons/person.xml"/><Relationship Id="rId5" Type="http://schemas.openxmlformats.org/officeDocument/2006/relationships/worksheet" Target="worksheets/sheet5.xml"/><Relationship Id="rId61" Type="http://schemas.openxmlformats.org/officeDocument/2006/relationships/customXml" Target="../customXml/item2.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externalLink" Target="externalLinks/externalLink4.xml"/><Relationship Id="rId56" Type="http://schemas.microsoft.com/office/2017/06/relationships/rdRichValueStructure" Target="richData/rdrichvaluestructure.xml"/><Relationship Id="rId8" Type="http://schemas.openxmlformats.org/officeDocument/2006/relationships/worksheet" Target="worksheets/sheet8.xml"/><Relationship Id="rId51"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2.xml"/><Relationship Id="rId59"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sheetMetadata" Target="metadata.xml"/><Relationship Id="rId62"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5.xml"/><Relationship Id="rId57" Type="http://schemas.microsoft.com/office/2017/06/relationships/rdRichValueTypes" Target="richData/rdRichValueTyp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tyles" Target="styles.xml"/><Relationship Id="rId6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5.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6.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sz="1600"/>
            </a:pPr>
            <a:r>
              <a:rPr lang="en-US" sz="1600"/>
              <a:t>Capital Stack </a:t>
            </a:r>
          </a:p>
        </c:rich>
      </c:tx>
      <c:overlay val="0"/>
    </c:title>
    <c:autoTitleDeleted val="0"/>
    <c:plotArea>
      <c:layout/>
      <c:barChart>
        <c:barDir val="col"/>
        <c:grouping val="stacked"/>
        <c:varyColors val="0"/>
        <c:ser>
          <c:idx val="5"/>
          <c:order val="0"/>
          <c:tx>
            <c:strRef>
              <c:f>'Finance Summary'!$M$68</c:f>
              <c:strCache>
                <c:ptCount val="1"/>
                <c:pt idx="0">
                  <c:v>DEBT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'Finance Summary'!$N$62:$O$62</c:f>
              <c:strCache>
                <c:ptCount val="2"/>
                <c:pt idx="0">
                  <c:v>Capital Stack</c:v>
                </c:pt>
                <c:pt idx="1">
                  <c:v>Profit</c:v>
                </c:pt>
              </c:strCache>
            </c:strRef>
          </c:cat>
          <c:val>
            <c:numRef>
              <c:f>'Finance Summary'!$N$68</c:f>
              <c:numCache>
                <c:formatCode>_("$"* #,##0.0_);_("$"* \(#,##0.0\);_("$"* "-"??_);_(@_)</c:formatCode>
                <c:ptCount val="1"/>
                <c:pt idx="0">
                  <c:v>42.877793388198164</c:v>
                </c:pt>
              </c:numCache>
            </c:numRef>
          </c:val>
          <c:extLst>
            <c:ext xmlns:c16="http://schemas.microsoft.com/office/drawing/2014/chart" uri="{C3380CC4-5D6E-409C-BE32-E72D297353CC}">
              <c16:uniqueId val="{00000000-54CF-486A-AA38-08D24C6D9D4D}"/>
            </c:ext>
          </c:extLst>
        </c:ser>
        <c:ser>
          <c:idx val="4"/>
          <c:order val="1"/>
          <c:tx>
            <c:strRef>
              <c:f>'Finance Summary'!$M$67</c:f>
              <c:strCache>
                <c:ptCount val="1"/>
                <c:pt idx="0">
                  <c:v>MEZZ.</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'Finance Summary'!$N$62:$O$62</c:f>
              <c:strCache>
                <c:ptCount val="2"/>
                <c:pt idx="0">
                  <c:v>Capital Stack</c:v>
                </c:pt>
                <c:pt idx="1">
                  <c:v>Profit</c:v>
                </c:pt>
              </c:strCache>
            </c:strRef>
          </c:cat>
          <c:val>
            <c:numRef>
              <c:f>'Finance Summary'!$N$67</c:f>
              <c:numCache>
                <c:formatCode>_("$"* #,##0.0_);_("$"* \(#,##0.0\);_("$"* "-"??_);_(@_)</c:formatCode>
                <c:ptCount val="1"/>
                <c:pt idx="0">
                  <c:v>0</c:v>
                </c:pt>
              </c:numCache>
            </c:numRef>
          </c:val>
          <c:extLst>
            <c:ext xmlns:c16="http://schemas.microsoft.com/office/drawing/2014/chart" uri="{C3380CC4-5D6E-409C-BE32-E72D297353CC}">
              <c16:uniqueId val="{00000001-54CF-486A-AA38-08D24C6D9D4D}"/>
            </c:ext>
          </c:extLst>
        </c:ser>
        <c:ser>
          <c:idx val="3"/>
          <c:order val="2"/>
          <c:tx>
            <c:strRef>
              <c:f>'Finance Summary'!$M$66</c:f>
              <c:strCache>
                <c:ptCount val="1"/>
                <c:pt idx="0">
                  <c:v>LAND</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'Finance Summary'!$N$62:$O$62</c:f>
              <c:strCache>
                <c:ptCount val="2"/>
                <c:pt idx="0">
                  <c:v>Capital Stack</c:v>
                </c:pt>
                <c:pt idx="1">
                  <c:v>Profit</c:v>
                </c:pt>
              </c:strCache>
            </c:strRef>
          </c:cat>
          <c:val>
            <c:numRef>
              <c:f>'Finance Summary'!$N$66</c:f>
              <c:numCache>
                <c:formatCode>_("$"* #,##0.0_);_("$"* \(#,##0.0\);_("$"* "-"??_);_(@_)</c:formatCode>
                <c:ptCount val="1"/>
                <c:pt idx="0">
                  <c:v>0</c:v>
                </c:pt>
              </c:numCache>
            </c:numRef>
          </c:val>
          <c:extLst>
            <c:ext xmlns:c16="http://schemas.microsoft.com/office/drawing/2014/chart" uri="{C3380CC4-5D6E-409C-BE32-E72D297353CC}">
              <c16:uniqueId val="{00000002-54CF-486A-AA38-08D24C6D9D4D}"/>
            </c:ext>
          </c:extLst>
        </c:ser>
        <c:ser>
          <c:idx val="2"/>
          <c:order val="3"/>
          <c:tx>
            <c:strRef>
              <c:f>'Finance Summary'!$M$65</c:f>
              <c:strCache>
                <c:ptCount val="1"/>
                <c:pt idx="0">
                  <c:v>LP</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'Finance Summary'!$N$62:$O$62</c:f>
              <c:strCache>
                <c:ptCount val="2"/>
                <c:pt idx="0">
                  <c:v>Capital Stack</c:v>
                </c:pt>
                <c:pt idx="1">
                  <c:v>Profit</c:v>
                </c:pt>
              </c:strCache>
            </c:strRef>
          </c:cat>
          <c:val>
            <c:numRef>
              <c:f>'Finance Summary'!$N$65</c:f>
              <c:numCache>
                <c:formatCode>_("$"* #,##0.0_);_("$"* \(#,##0.0\);_("$"* "-"??_);_(@_)</c:formatCode>
                <c:ptCount val="1"/>
                <c:pt idx="0">
                  <c:v>31.57364785858228</c:v>
                </c:pt>
              </c:numCache>
            </c:numRef>
          </c:val>
          <c:extLst>
            <c:ext xmlns:c16="http://schemas.microsoft.com/office/drawing/2014/chart" uri="{C3380CC4-5D6E-409C-BE32-E72D297353CC}">
              <c16:uniqueId val="{00000003-54CF-486A-AA38-08D24C6D9D4D}"/>
            </c:ext>
          </c:extLst>
        </c:ser>
        <c:ser>
          <c:idx val="1"/>
          <c:order val="4"/>
          <c:tx>
            <c:strRef>
              <c:f>'Finance Summary'!$M$64</c:f>
              <c:strCache>
                <c:ptCount val="1"/>
                <c:pt idx="0">
                  <c:v>LENNAR</c:v>
                </c:pt>
              </c:strCache>
            </c:strRef>
          </c:tx>
          <c:invertIfNegative val="0"/>
          <c:dLbls>
            <c:spPr>
              <a:noFill/>
              <a:ln>
                <a:noFill/>
              </a:ln>
              <a:effectLst/>
            </c:spPr>
            <c:txPr>
              <a:bodyPr/>
              <a:lstStyle/>
              <a:p>
                <a:pPr>
                  <a:defRPr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'Finance Summary'!$N$62:$O$62</c:f>
              <c:strCache>
                <c:ptCount val="2"/>
                <c:pt idx="0">
                  <c:v>Capital Stack</c:v>
                </c:pt>
                <c:pt idx="1">
                  <c:v>Profit</c:v>
                </c:pt>
              </c:strCache>
            </c:strRef>
          </c:cat>
          <c:val>
            <c:numRef>
              <c:f>'Finance Summary'!$N$64</c:f>
              <c:numCache>
                <c:formatCode>_("$"* #,##0.0_);_("$"* \(#,##0.0\);_("$"* "-"??_);_(@_)</c:formatCode>
                <c:ptCount val="1"/>
                <c:pt idx="0">
                  <c:v>3.5081830953980302</c:v>
                </c:pt>
              </c:numCache>
            </c:numRef>
          </c:val>
          <c:extLst>
            <c:ext xmlns:c16="http://schemas.microsoft.com/office/drawing/2014/chart" uri="{C3380CC4-5D6E-409C-BE32-E72D297353CC}">
              <c16:uniqueId val="{00000004-54CF-486A-AA38-08D24C6D9D4D}"/>
            </c:ext>
          </c:extLst>
        </c:ser>
        <c:dLbls>
          <c:showLegendKey val="0"/>
          <c:showVal val="0"/>
          <c:showCatName val="0"/>
          <c:showSerName val="0"/>
          <c:showPercent val="0"/>
          <c:showBubbleSize val="0"/>
        </c:dLbls>
        <c:gapWidth val="158"/>
        <c:overlap val="100"/>
        <c:axId val="409064192"/>
        <c:axId val="409064584"/>
      </c:barChart>
      <c:catAx>
        <c:axId val="409064192"/>
        <c:scaling>
          <c:orientation val="minMax"/>
        </c:scaling>
        <c:delete val="0"/>
        <c:axPos val="b"/>
        <c:numFmt formatCode="General" sourceLinked="0"/>
        <c:majorTickMark val="none"/>
        <c:minorTickMark val="none"/>
        <c:tickLblPos val="nextTo"/>
        <c:txPr>
          <a:bodyPr/>
          <a:lstStyle/>
          <a:p>
            <a:pPr>
              <a:defRPr b="1"/>
            </a:pPr>
            <a:endParaRPr lang="en-US"/>
          </a:p>
        </c:txPr>
        <c:crossAx val="409064584"/>
        <c:crosses val="autoZero"/>
        <c:auto val="1"/>
        <c:lblAlgn val="ctr"/>
        <c:lblOffset val="100"/>
        <c:noMultiLvlLbl val="0"/>
      </c:catAx>
      <c:valAx>
        <c:axId val="409064584"/>
        <c:scaling>
          <c:orientation val="minMax"/>
        </c:scaling>
        <c:delete val="0"/>
        <c:axPos val="l"/>
        <c:majorGridlines/>
        <c:title>
          <c:tx>
            <c:rich>
              <a:bodyPr rot="-5400000" vert="horz"/>
              <a:lstStyle/>
              <a:p>
                <a:pPr>
                  <a:defRPr/>
                </a:pPr>
                <a:r>
                  <a:rPr lang="en-US"/>
                  <a:t>Millions $</a:t>
                </a:r>
              </a:p>
            </c:rich>
          </c:tx>
          <c:overlay val="0"/>
        </c:title>
        <c:numFmt formatCode="_(&quot;$&quot;* #,##0.0_);_(&quot;$&quot;* \(#,##0.0\);_(&quot;$&quot;* &quot;-&quot;??_);_(@_)" sourceLinked="1"/>
        <c:majorTickMark val="none"/>
        <c:minorTickMark val="none"/>
        <c:tickLblPos val="nextTo"/>
        <c:crossAx val="409064192"/>
        <c:crosses val="autoZero"/>
        <c:crossBetween val="between"/>
      </c:valAx>
    </c:plotArea>
    <c:legend>
      <c:legendPos val="r"/>
      <c:overlay val="0"/>
    </c:legend>
    <c:plotVisOnly val="1"/>
    <c:dispBlanksAs val="gap"/>
    <c:showDLblsOverMax val="0"/>
  </c:chart>
  <c:spPr>
    <a:ln>
      <a:noFill/>
    </a:ln>
  </c:spPr>
  <c:txPr>
    <a:bodyPr/>
    <a:lstStyle/>
    <a:p>
      <a:pPr>
        <a:defRPr>
          <a:latin typeface="+mj-lt"/>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sz="1100"/>
            </a:pPr>
            <a:r>
              <a:rPr lang="en-US" sz="1100" baseline="0"/>
              <a:t>Mix</a:t>
            </a:r>
            <a:endParaRPr lang="en-US" sz="1100"/>
          </a:p>
        </c:rich>
      </c:tx>
      <c:overlay val="0"/>
    </c:title>
    <c:autoTitleDeleted val="0"/>
    <c:plotArea>
      <c:layout/>
      <c:pieChart>
        <c:varyColors val="1"/>
        <c:ser>
          <c:idx val="0"/>
          <c:order val="0"/>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'Finance Summary'!$I$19:$I$22</c:f>
              <c:strCache>
                <c:ptCount val="4"/>
                <c:pt idx="0">
                  <c:v>Studio</c:v>
                </c:pt>
                <c:pt idx="1">
                  <c:v>1BR</c:v>
                </c:pt>
                <c:pt idx="2">
                  <c:v>2BR</c:v>
                </c:pt>
                <c:pt idx="3">
                  <c:v>3BR</c:v>
                </c:pt>
              </c:strCache>
            </c:strRef>
          </c:cat>
          <c:val>
            <c:numRef>
              <c:f>'Finance Summary'!$J$19:$J$22</c:f>
              <c:numCache>
                <c:formatCode>General</c:formatCode>
                <c:ptCount val="4"/>
                <c:pt idx="0">
                  <c:v>0</c:v>
                </c:pt>
                <c:pt idx="1">
                  <c:v>0.4375</c:v>
                </c:pt>
                <c:pt idx="2">
                  <c:v>0.3515625</c:v>
                </c:pt>
                <c:pt idx="3">
                  <c:v>0.2109375</c:v>
                </c:pt>
              </c:numCache>
            </c:numRef>
          </c:val>
          <c:extLst>
            <c:ext xmlns:c16="http://schemas.microsoft.com/office/drawing/2014/chart" uri="{C3380CC4-5D6E-409C-BE32-E72D297353CC}">
              <c16:uniqueId val="{00000000-C0D4-4CD5-B81F-253D4C6A77E5}"/>
            </c:ext>
          </c:extLst>
        </c:ser>
        <c:dLbls>
          <c:showLegendKey val="0"/>
          <c:showVal val="0"/>
          <c:showCatName val="0"/>
          <c:showSerName val="0"/>
          <c:showPercent val="1"/>
          <c:showBubbleSize val="0"/>
          <c:showLeaderLines val="1"/>
        </c:dLbls>
        <c:firstSliceAng val="0"/>
      </c:pieChart>
    </c:plotArea>
    <c:legend>
      <c:legendPos val="t"/>
      <c:overlay val="0"/>
    </c:legend>
    <c:plotVisOnly val="1"/>
    <c:dispBlanksAs val="gap"/>
    <c:showDLblsOverMax val="0"/>
  </c:chart>
  <c:spPr>
    <a:noFill/>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sz="1600"/>
            </a:pPr>
            <a:r>
              <a:rPr lang="en-US" sz="1600"/>
              <a:t>Capital Stack &amp; Profit</a:t>
            </a:r>
          </a:p>
        </c:rich>
      </c:tx>
      <c:overlay val="0"/>
    </c:title>
    <c:autoTitleDeleted val="0"/>
    <c:plotArea>
      <c:layout/>
      <c:barChart>
        <c:barDir val="col"/>
        <c:grouping val="stacked"/>
        <c:varyColors val="0"/>
        <c:ser>
          <c:idx val="5"/>
          <c:order val="0"/>
          <c:tx>
            <c:strRef>
              <c:f>Summary!$M$69</c:f>
              <c:strCache>
                <c:ptCount val="1"/>
                <c:pt idx="0">
                  <c:v>DEBT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Summary!$N$63:$O$63</c:f>
              <c:strCache>
                <c:ptCount val="2"/>
                <c:pt idx="0">
                  <c:v>Capital Stack</c:v>
                </c:pt>
                <c:pt idx="1">
                  <c:v>Profit</c:v>
                </c:pt>
              </c:strCache>
            </c:strRef>
          </c:cat>
          <c:val>
            <c:numRef>
              <c:f>Summary!$N$69:$O$69</c:f>
              <c:numCache>
                <c:formatCode>_("$"* #,##0.0_);_("$"* \(#,##0.0\);_("$"* "-"??_);_(@_)</c:formatCode>
                <c:ptCount val="2"/>
                <c:pt idx="0">
                  <c:v>42.877793388198164</c:v>
                </c:pt>
              </c:numCache>
            </c:numRef>
          </c:val>
          <c:extLst>
            <c:ext xmlns:c16="http://schemas.microsoft.com/office/drawing/2014/chart" uri="{C3380CC4-5D6E-409C-BE32-E72D297353CC}">
              <c16:uniqueId val="{00000000-1E2D-41E9-8F25-509CA8594398}"/>
            </c:ext>
          </c:extLst>
        </c:ser>
        <c:ser>
          <c:idx val="4"/>
          <c:order val="1"/>
          <c:tx>
            <c:strRef>
              <c:f>Summary!$M$68</c:f>
              <c:strCache>
                <c:ptCount val="1"/>
                <c:pt idx="0">
                  <c:v>MEZZ.</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Summary!$N$63:$O$63</c:f>
              <c:strCache>
                <c:ptCount val="2"/>
                <c:pt idx="0">
                  <c:v>Capital Stack</c:v>
                </c:pt>
                <c:pt idx="1">
                  <c:v>Profit</c:v>
                </c:pt>
              </c:strCache>
            </c:strRef>
          </c:cat>
          <c:val>
            <c:numRef>
              <c:f>Summary!$N$68:$O$68</c:f>
              <c:numCache>
                <c:formatCode>_("$"* #,##0.0_);_("$"* \(#,##0.0\);_("$"* "-"??_);_(@_)</c:formatCode>
                <c:ptCount val="2"/>
                <c:pt idx="0">
                  <c:v>0</c:v>
                </c:pt>
              </c:numCache>
            </c:numRef>
          </c:val>
          <c:extLst>
            <c:ext xmlns:c16="http://schemas.microsoft.com/office/drawing/2014/chart" uri="{C3380CC4-5D6E-409C-BE32-E72D297353CC}">
              <c16:uniqueId val="{00000001-1E2D-41E9-8F25-509CA8594398}"/>
            </c:ext>
          </c:extLst>
        </c:ser>
        <c:ser>
          <c:idx val="3"/>
          <c:order val="2"/>
          <c:tx>
            <c:strRef>
              <c:f>Summary!$M$67</c:f>
              <c:strCache>
                <c:ptCount val="1"/>
                <c:pt idx="0">
                  <c:v>LAND</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Summary!$N$63:$O$63</c:f>
              <c:strCache>
                <c:ptCount val="2"/>
                <c:pt idx="0">
                  <c:v>Capital Stack</c:v>
                </c:pt>
                <c:pt idx="1">
                  <c:v>Profit</c:v>
                </c:pt>
              </c:strCache>
            </c:strRef>
          </c:cat>
          <c:val>
            <c:numRef>
              <c:f>Summary!$N$67:$O$67</c:f>
              <c:numCache>
                <c:formatCode>_("$"* #,##0.0_);_("$"* \(#,##0.0\);_("$"* "-"??_);_(@_)</c:formatCode>
                <c:ptCount val="2"/>
                <c:pt idx="0">
                  <c:v>0</c:v>
                </c:pt>
                <c:pt idx="1">
                  <c:v>0</c:v>
                </c:pt>
              </c:numCache>
            </c:numRef>
          </c:val>
          <c:extLst>
            <c:ext xmlns:c16="http://schemas.microsoft.com/office/drawing/2014/chart" uri="{C3380CC4-5D6E-409C-BE32-E72D297353CC}">
              <c16:uniqueId val="{00000002-1E2D-41E9-8F25-509CA8594398}"/>
            </c:ext>
          </c:extLst>
        </c:ser>
        <c:ser>
          <c:idx val="2"/>
          <c:order val="3"/>
          <c:tx>
            <c:strRef>
              <c:f>Summary!$M$66</c:f>
              <c:strCache>
                <c:ptCount val="1"/>
                <c:pt idx="0">
                  <c:v>LP</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Summary!$N$63:$O$63</c:f>
              <c:strCache>
                <c:ptCount val="2"/>
                <c:pt idx="0">
                  <c:v>Capital Stack</c:v>
                </c:pt>
                <c:pt idx="1">
                  <c:v>Profit</c:v>
                </c:pt>
              </c:strCache>
            </c:strRef>
          </c:cat>
          <c:val>
            <c:numRef>
              <c:f>Summary!$N$66:$O$66</c:f>
              <c:numCache>
                <c:formatCode>_("$"* #,##0.0_);_("$"* \(#,##0.0\);_("$"* "-"??_);_(@_)</c:formatCode>
                <c:ptCount val="2"/>
                <c:pt idx="0">
                  <c:v>31.57364785858228</c:v>
                </c:pt>
                <c:pt idx="1">
                  <c:v>15.022000202497638</c:v>
                </c:pt>
              </c:numCache>
            </c:numRef>
          </c:val>
          <c:extLst>
            <c:ext xmlns:c16="http://schemas.microsoft.com/office/drawing/2014/chart" uri="{C3380CC4-5D6E-409C-BE32-E72D297353CC}">
              <c16:uniqueId val="{00000003-1E2D-41E9-8F25-509CA8594398}"/>
            </c:ext>
          </c:extLst>
        </c:ser>
        <c:ser>
          <c:idx val="1"/>
          <c:order val="4"/>
          <c:tx>
            <c:strRef>
              <c:f>Summary!$M$65</c:f>
              <c:strCache>
                <c:ptCount val="1"/>
                <c:pt idx="0">
                  <c:v>QM</c:v>
                </c:pt>
              </c:strCache>
            </c:strRef>
          </c:tx>
          <c:invertIfNegative val="0"/>
          <c:dLbls>
            <c:spPr>
              <a:noFill/>
              <a:ln>
                <a:noFill/>
              </a:ln>
              <a:effectLst/>
            </c:spPr>
            <c:txPr>
              <a:bodyPr/>
              <a:lstStyle/>
              <a:p>
                <a:pPr>
                  <a:defRPr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Summary!$N$63:$O$63</c:f>
              <c:strCache>
                <c:ptCount val="2"/>
                <c:pt idx="0">
                  <c:v>Capital Stack</c:v>
                </c:pt>
                <c:pt idx="1">
                  <c:v>Profit</c:v>
                </c:pt>
              </c:strCache>
            </c:strRef>
          </c:cat>
          <c:val>
            <c:numRef>
              <c:f>Summary!$N$65:$O$65</c:f>
              <c:numCache>
                <c:formatCode>_("$"* #,##0.0_);_("$"* \(#,##0.0\);_("$"* "-"??_);_(@_)</c:formatCode>
                <c:ptCount val="2"/>
                <c:pt idx="0">
                  <c:v>3.5081830953980302</c:v>
                </c:pt>
                <c:pt idx="1">
                  <c:v>9.0777726378511971</c:v>
                </c:pt>
              </c:numCache>
            </c:numRef>
          </c:val>
          <c:extLst>
            <c:ext xmlns:c16="http://schemas.microsoft.com/office/drawing/2014/chart" uri="{C3380CC4-5D6E-409C-BE32-E72D297353CC}">
              <c16:uniqueId val="{00000004-1E2D-41E9-8F25-509CA8594398}"/>
            </c:ext>
          </c:extLst>
        </c:ser>
        <c:ser>
          <c:idx val="0"/>
          <c:order val="5"/>
          <c:tx>
            <c:strRef>
              <c:f>Summary!$M$64</c:f>
              <c:strCache>
                <c:ptCount val="1"/>
                <c:pt idx="0">
                  <c:v>QM FEES</c:v>
                </c:pt>
              </c:strCache>
            </c:strRef>
          </c:tx>
          <c:spPr>
            <a:solidFill>
              <a:schemeClr val="accent1">
                <a:lumMod val="50000"/>
                <a:lumOff val="50000"/>
              </a:schemeClr>
            </a:solidFill>
          </c:spPr>
          <c:invertIfNegative val="0"/>
          <c:dLbls>
            <c:spPr>
              <a:noFill/>
              <a:ln>
                <a:noFill/>
              </a:ln>
              <a:effectLst/>
            </c:spPr>
            <c:txPr>
              <a:bodyPr/>
              <a:lstStyle/>
              <a:p>
                <a:pPr>
                  <a:defRPr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Summary!$N$63:$O$63</c:f>
              <c:strCache>
                <c:ptCount val="2"/>
                <c:pt idx="0">
                  <c:v>Capital Stack</c:v>
                </c:pt>
                <c:pt idx="1">
                  <c:v>Profit</c:v>
                </c:pt>
              </c:strCache>
            </c:strRef>
          </c:cat>
          <c:val>
            <c:numRef>
              <c:f>Summary!$N$64:$O$64</c:f>
              <c:numCache>
                <c:formatCode>_("$"* #,##0.0_);_("$"* \(#,##0.0\);_("$"* "-"??_);_(@_)</c:formatCode>
                <c:ptCount val="2"/>
                <c:pt idx="1">
                  <c:v>2.6580624746991712</c:v>
                </c:pt>
              </c:numCache>
            </c:numRef>
          </c:val>
          <c:extLst>
            <c:ext xmlns:c16="http://schemas.microsoft.com/office/drawing/2014/chart" uri="{C3380CC4-5D6E-409C-BE32-E72D297353CC}">
              <c16:uniqueId val="{00000005-1E2D-41E9-8F25-509CA8594398}"/>
            </c:ext>
          </c:extLst>
        </c:ser>
        <c:dLbls>
          <c:showLegendKey val="0"/>
          <c:showVal val="0"/>
          <c:showCatName val="0"/>
          <c:showSerName val="0"/>
          <c:showPercent val="0"/>
          <c:showBubbleSize val="0"/>
        </c:dLbls>
        <c:gapWidth val="55"/>
        <c:overlap val="100"/>
        <c:axId val="409068896"/>
        <c:axId val="409069288"/>
      </c:barChart>
      <c:catAx>
        <c:axId val="409068896"/>
        <c:scaling>
          <c:orientation val="minMax"/>
        </c:scaling>
        <c:delete val="0"/>
        <c:axPos val="b"/>
        <c:numFmt formatCode="General" sourceLinked="0"/>
        <c:majorTickMark val="none"/>
        <c:minorTickMark val="none"/>
        <c:tickLblPos val="nextTo"/>
        <c:txPr>
          <a:bodyPr/>
          <a:lstStyle/>
          <a:p>
            <a:pPr>
              <a:defRPr b="1"/>
            </a:pPr>
            <a:endParaRPr lang="en-US"/>
          </a:p>
        </c:txPr>
        <c:crossAx val="409069288"/>
        <c:crosses val="autoZero"/>
        <c:auto val="1"/>
        <c:lblAlgn val="ctr"/>
        <c:lblOffset val="100"/>
        <c:noMultiLvlLbl val="0"/>
      </c:catAx>
      <c:valAx>
        <c:axId val="409069288"/>
        <c:scaling>
          <c:orientation val="minMax"/>
        </c:scaling>
        <c:delete val="0"/>
        <c:axPos val="l"/>
        <c:majorGridlines/>
        <c:title>
          <c:tx>
            <c:rich>
              <a:bodyPr rot="-5400000" vert="horz"/>
              <a:lstStyle/>
              <a:p>
                <a:pPr>
                  <a:defRPr/>
                </a:pPr>
                <a:r>
                  <a:rPr lang="en-US"/>
                  <a:t>Millions $</a:t>
                </a:r>
              </a:p>
            </c:rich>
          </c:tx>
          <c:overlay val="0"/>
        </c:title>
        <c:numFmt formatCode="_(&quot;$&quot;* #,##0.0_);_(&quot;$&quot;* \(#,##0.0\);_(&quot;$&quot;* &quot;-&quot;??_);_(@_)" sourceLinked="1"/>
        <c:majorTickMark val="none"/>
        <c:minorTickMark val="none"/>
        <c:tickLblPos val="nextTo"/>
        <c:crossAx val="409068896"/>
        <c:crosses val="autoZero"/>
        <c:crossBetween val="between"/>
      </c:valAx>
    </c:plotArea>
    <c:legend>
      <c:legendPos val="r"/>
      <c:overlay val="0"/>
    </c:legend>
    <c:plotVisOnly val="1"/>
    <c:dispBlanksAs val="gap"/>
    <c:showDLblsOverMax val="0"/>
  </c:chart>
  <c:spPr>
    <a:ln>
      <a:noFill/>
    </a:ln>
  </c:spPr>
  <c:txPr>
    <a:bodyPr/>
    <a:lstStyle/>
    <a:p>
      <a:pPr>
        <a:defRPr>
          <a:latin typeface="+mj-lt"/>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sz="1100"/>
            </a:pPr>
            <a:r>
              <a:rPr lang="en-US" sz="1100" baseline="0"/>
              <a:t>Mix</a:t>
            </a:r>
            <a:endParaRPr lang="en-US" sz="1100"/>
          </a:p>
        </c:rich>
      </c:tx>
      <c:overlay val="0"/>
    </c:title>
    <c:autoTitleDeleted val="0"/>
    <c:plotArea>
      <c:layout/>
      <c:pieChart>
        <c:varyColors val="1"/>
        <c:ser>
          <c:idx val="0"/>
          <c:order val="0"/>
          <c:dPt>
            <c:idx val="0"/>
            <c:bubble3D val="0"/>
            <c:spPr>
              <a:solidFill>
                <a:schemeClr val="accent1">
                  <a:lumMod val="50000"/>
                  <a:lumOff val="50000"/>
                </a:schemeClr>
              </a:solidFill>
            </c:spPr>
            <c:extLst>
              <c:ext xmlns:c16="http://schemas.microsoft.com/office/drawing/2014/chart" uri="{C3380CC4-5D6E-409C-BE32-E72D297353CC}">
                <c16:uniqueId val="{00000000-E9E0-4759-9F74-761D767E2F62}"/>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Summary!$I$19:$I$22</c:f>
              <c:strCache>
                <c:ptCount val="4"/>
                <c:pt idx="0">
                  <c:v>Studio</c:v>
                </c:pt>
                <c:pt idx="1">
                  <c:v>1BR</c:v>
                </c:pt>
                <c:pt idx="2">
                  <c:v>2BR</c:v>
                </c:pt>
                <c:pt idx="3">
                  <c:v>3BR</c:v>
                </c:pt>
              </c:strCache>
            </c:strRef>
          </c:cat>
          <c:val>
            <c:numRef>
              <c:f>Summary!$J$19:$J$22</c:f>
              <c:numCache>
                <c:formatCode>General</c:formatCode>
                <c:ptCount val="4"/>
                <c:pt idx="0">
                  <c:v>0</c:v>
                </c:pt>
                <c:pt idx="1">
                  <c:v>0.4375</c:v>
                </c:pt>
                <c:pt idx="2">
                  <c:v>0.3515625</c:v>
                </c:pt>
                <c:pt idx="3">
                  <c:v>0.2109375</c:v>
                </c:pt>
              </c:numCache>
            </c:numRef>
          </c:val>
          <c:extLst>
            <c:ext xmlns:c16="http://schemas.microsoft.com/office/drawing/2014/chart" uri="{C3380CC4-5D6E-409C-BE32-E72D297353CC}">
              <c16:uniqueId val="{00000000-A9EB-4BB7-A18B-4E0EF2651DE4}"/>
            </c:ext>
          </c:extLst>
        </c:ser>
        <c:dLbls>
          <c:showLegendKey val="0"/>
          <c:showVal val="0"/>
          <c:showCatName val="0"/>
          <c:showSerName val="0"/>
          <c:showPercent val="1"/>
          <c:showBubbleSize val="0"/>
          <c:showLeaderLines val="1"/>
        </c:dLbls>
        <c:firstSliceAng val="0"/>
      </c:pieChart>
    </c:plotArea>
    <c:legend>
      <c:legendPos val="t"/>
      <c:overlay val="0"/>
    </c:legend>
    <c:plotVisOnly val="1"/>
    <c:dispBlanksAs val="gap"/>
    <c:showDLblsOverMax val="0"/>
  </c:chart>
  <c:spPr>
    <a:noFill/>
    <a:ln>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Construction Curve Comparison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Actual</c:v>
          </c:tx>
          <c:spPr>
            <a:ln w="28575" cap="rnd">
              <a:solidFill>
                <a:schemeClr val="accent1"/>
              </a:solidFill>
              <a:round/>
            </a:ln>
            <a:effectLst/>
          </c:spPr>
          <c:marker>
            <c:symbol val="none"/>
          </c:marker>
          <c:cat>
            <c:numRef>
              <c:f>'Development Inputs'!$C$236:$BJ$236</c:f>
              <c:numCache>
                <c:formatCode>[$-409]mmm\-yy;@</c:formatCode>
                <c:ptCount val="50"/>
                <c:pt idx="0">
                  <c:v>46661</c:v>
                </c:pt>
                <c:pt idx="1">
                  <c:v>46692</c:v>
                </c:pt>
                <c:pt idx="2">
                  <c:v>46722</c:v>
                </c:pt>
                <c:pt idx="3">
                  <c:v>46753</c:v>
                </c:pt>
                <c:pt idx="4">
                  <c:v>46784</c:v>
                </c:pt>
                <c:pt idx="5">
                  <c:v>46813</c:v>
                </c:pt>
                <c:pt idx="6">
                  <c:v>46844</c:v>
                </c:pt>
                <c:pt idx="7">
                  <c:v>46874</c:v>
                </c:pt>
                <c:pt idx="8">
                  <c:v>46905</c:v>
                </c:pt>
                <c:pt idx="9">
                  <c:v>46935</c:v>
                </c:pt>
                <c:pt idx="10">
                  <c:v>46966</c:v>
                </c:pt>
                <c:pt idx="11">
                  <c:v>46997</c:v>
                </c:pt>
                <c:pt idx="12">
                  <c:v>47027</c:v>
                </c:pt>
                <c:pt idx="13">
                  <c:v>47058</c:v>
                </c:pt>
                <c:pt idx="14">
                  <c:v>47088</c:v>
                </c:pt>
                <c:pt idx="15">
                  <c:v>47119</c:v>
                </c:pt>
                <c:pt idx="16">
                  <c:v>47150</c:v>
                </c:pt>
                <c:pt idx="17">
                  <c:v>47484</c:v>
                </c:pt>
                <c:pt idx="18">
                  <c:v>47515</c:v>
                </c:pt>
                <c:pt idx="19">
                  <c:v>47543</c:v>
                </c:pt>
                <c:pt idx="20">
                  <c:v>47574</c:v>
                </c:pt>
                <c:pt idx="21">
                  <c:v>47604</c:v>
                </c:pt>
                <c:pt idx="22">
                  <c:v>47635</c:v>
                </c:pt>
                <c:pt idx="23">
                  <c:v>47665</c:v>
                </c:pt>
                <c:pt idx="24">
                  <c:v>47696</c:v>
                </c:pt>
                <c:pt idx="25">
                  <c:v>47727</c:v>
                </c:pt>
                <c:pt idx="26">
                  <c:v>47757</c:v>
                </c:pt>
                <c:pt idx="27">
                  <c:v>47788</c:v>
                </c:pt>
                <c:pt idx="28">
                  <c:v>47818</c:v>
                </c:pt>
                <c:pt idx="29">
                  <c:v>47849</c:v>
                </c:pt>
                <c:pt idx="30">
                  <c:v>47880</c:v>
                </c:pt>
                <c:pt idx="31">
                  <c:v>47908</c:v>
                </c:pt>
                <c:pt idx="32">
                  <c:v>47939</c:v>
                </c:pt>
                <c:pt idx="33">
                  <c:v>47969</c:v>
                </c:pt>
                <c:pt idx="34">
                  <c:v>48000</c:v>
                </c:pt>
                <c:pt idx="35">
                  <c:v>48030</c:v>
                </c:pt>
                <c:pt idx="36">
                  <c:v>48061</c:v>
                </c:pt>
                <c:pt idx="37">
                  <c:v>48092</c:v>
                </c:pt>
                <c:pt idx="38">
                  <c:v>48122</c:v>
                </c:pt>
                <c:pt idx="39">
                  <c:v>48153</c:v>
                </c:pt>
                <c:pt idx="40">
                  <c:v>48183</c:v>
                </c:pt>
                <c:pt idx="41">
                  <c:v>48214</c:v>
                </c:pt>
                <c:pt idx="42">
                  <c:v>48245</c:v>
                </c:pt>
                <c:pt idx="43">
                  <c:v>48274</c:v>
                </c:pt>
                <c:pt idx="44">
                  <c:v>48305</c:v>
                </c:pt>
                <c:pt idx="45">
                  <c:v>48335</c:v>
                </c:pt>
                <c:pt idx="46">
                  <c:v>48366</c:v>
                </c:pt>
                <c:pt idx="47">
                  <c:v>48396</c:v>
                </c:pt>
                <c:pt idx="48">
                  <c:v>48427</c:v>
                </c:pt>
                <c:pt idx="49">
                  <c:v>48458</c:v>
                </c:pt>
              </c:numCache>
            </c:numRef>
          </c:cat>
          <c:val>
            <c:numRef>
              <c:f>'Development Inputs'!$C$237:$BJ$237</c:f>
              <c:numCache>
                <c:formatCode>0.0%</c:formatCode>
                <c:ptCount val="50"/>
                <c:pt idx="0">
                  <c:v>1.7838367967777109E-3</c:v>
                </c:pt>
                <c:pt idx="1">
                  <c:v>6.2567868610355548E-3</c:v>
                </c:pt>
                <c:pt idx="2">
                  <c:v>1.072158401463873E-2</c:v>
                </c:pt>
                <c:pt idx="3">
                  <c:v>1.9783107551358179E-2</c:v>
                </c:pt>
                <c:pt idx="4">
                  <c:v>3.3819111569278471E-2</c:v>
                </c:pt>
                <c:pt idx="5">
                  <c:v>3.488038348247556E-2</c:v>
                </c:pt>
                <c:pt idx="6">
                  <c:v>4.51135059054181E-2</c:v>
                </c:pt>
                <c:pt idx="7">
                  <c:v>5.39662230559394E-2</c:v>
                </c:pt>
                <c:pt idx="8">
                  <c:v>5.7949826218219674E-2</c:v>
                </c:pt>
                <c:pt idx="9">
                  <c:v>6.4788468477919026E-2</c:v>
                </c:pt>
                <c:pt idx="10">
                  <c:v>6.8170401746178222E-2</c:v>
                </c:pt>
                <c:pt idx="11">
                  <c:v>6.8691437271245659E-2</c:v>
                </c:pt>
                <c:pt idx="12">
                  <c:v>6.4263914851491244E-2</c:v>
                </c:pt>
                <c:pt idx="13">
                  <c:v>6.2182678934341928E-2</c:v>
                </c:pt>
                <c:pt idx="14">
                  <c:v>6.0969864697935416E-2</c:v>
                </c:pt>
                <c:pt idx="15">
                  <c:v>5.5680553996835136E-2</c:v>
                </c:pt>
                <c:pt idx="16">
                  <c:v>4.9811874136302836E-2</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smooth val="0"/>
          <c:extLst>
            <c:ext xmlns:c16="http://schemas.microsoft.com/office/drawing/2014/chart" uri="{C3380CC4-5D6E-409C-BE32-E72D297353CC}">
              <c16:uniqueId val="{00000000-C93B-43DC-981E-EA73AA235D6B}"/>
            </c:ext>
          </c:extLst>
        </c:ser>
        <c:ser>
          <c:idx val="1"/>
          <c:order val="1"/>
          <c:tx>
            <c:v>Standard</c:v>
          </c:tx>
          <c:spPr>
            <a:ln w="28575" cap="rnd">
              <a:solidFill>
                <a:schemeClr val="accent2"/>
              </a:solidFill>
              <a:round/>
            </a:ln>
            <a:effectLst/>
          </c:spPr>
          <c:marker>
            <c:symbol val="none"/>
          </c:marker>
          <c:cat>
            <c:numRef>
              <c:f>'Development Inputs'!$C$236:$BJ$236</c:f>
              <c:numCache>
                <c:formatCode>[$-409]mmm\-yy;@</c:formatCode>
                <c:ptCount val="50"/>
                <c:pt idx="0">
                  <c:v>46661</c:v>
                </c:pt>
                <c:pt idx="1">
                  <c:v>46692</c:v>
                </c:pt>
                <c:pt idx="2">
                  <c:v>46722</c:v>
                </c:pt>
                <c:pt idx="3">
                  <c:v>46753</c:v>
                </c:pt>
                <c:pt idx="4">
                  <c:v>46784</c:v>
                </c:pt>
                <c:pt idx="5">
                  <c:v>46813</c:v>
                </c:pt>
                <c:pt idx="6">
                  <c:v>46844</c:v>
                </c:pt>
                <c:pt idx="7">
                  <c:v>46874</c:v>
                </c:pt>
                <c:pt idx="8">
                  <c:v>46905</c:v>
                </c:pt>
                <c:pt idx="9">
                  <c:v>46935</c:v>
                </c:pt>
                <c:pt idx="10">
                  <c:v>46966</c:v>
                </c:pt>
                <c:pt idx="11">
                  <c:v>46997</c:v>
                </c:pt>
                <c:pt idx="12">
                  <c:v>47027</c:v>
                </c:pt>
                <c:pt idx="13">
                  <c:v>47058</c:v>
                </c:pt>
                <c:pt idx="14">
                  <c:v>47088</c:v>
                </c:pt>
                <c:pt idx="15">
                  <c:v>47119</c:v>
                </c:pt>
                <c:pt idx="16">
                  <c:v>47150</c:v>
                </c:pt>
                <c:pt idx="17">
                  <c:v>47484</c:v>
                </c:pt>
                <c:pt idx="18">
                  <c:v>47515</c:v>
                </c:pt>
                <c:pt idx="19">
                  <c:v>47543</c:v>
                </c:pt>
                <c:pt idx="20">
                  <c:v>47574</c:v>
                </c:pt>
                <c:pt idx="21">
                  <c:v>47604</c:v>
                </c:pt>
                <c:pt idx="22">
                  <c:v>47635</c:v>
                </c:pt>
                <c:pt idx="23">
                  <c:v>47665</c:v>
                </c:pt>
                <c:pt idx="24">
                  <c:v>47696</c:v>
                </c:pt>
                <c:pt idx="25">
                  <c:v>47727</c:v>
                </c:pt>
                <c:pt idx="26">
                  <c:v>47757</c:v>
                </c:pt>
                <c:pt idx="27">
                  <c:v>47788</c:v>
                </c:pt>
                <c:pt idx="28">
                  <c:v>47818</c:v>
                </c:pt>
                <c:pt idx="29">
                  <c:v>47849</c:v>
                </c:pt>
                <c:pt idx="30">
                  <c:v>47880</c:v>
                </c:pt>
                <c:pt idx="31">
                  <c:v>47908</c:v>
                </c:pt>
                <c:pt idx="32">
                  <c:v>47939</c:v>
                </c:pt>
                <c:pt idx="33">
                  <c:v>47969</c:v>
                </c:pt>
                <c:pt idx="34">
                  <c:v>48000</c:v>
                </c:pt>
                <c:pt idx="35">
                  <c:v>48030</c:v>
                </c:pt>
                <c:pt idx="36">
                  <c:v>48061</c:v>
                </c:pt>
                <c:pt idx="37">
                  <c:v>48092</c:v>
                </c:pt>
                <c:pt idx="38">
                  <c:v>48122</c:v>
                </c:pt>
                <c:pt idx="39">
                  <c:v>48153</c:v>
                </c:pt>
                <c:pt idx="40">
                  <c:v>48183</c:v>
                </c:pt>
                <c:pt idx="41">
                  <c:v>48214</c:v>
                </c:pt>
                <c:pt idx="42">
                  <c:v>48245</c:v>
                </c:pt>
                <c:pt idx="43">
                  <c:v>48274</c:v>
                </c:pt>
                <c:pt idx="44">
                  <c:v>48305</c:v>
                </c:pt>
                <c:pt idx="45">
                  <c:v>48335</c:v>
                </c:pt>
                <c:pt idx="46">
                  <c:v>48366</c:v>
                </c:pt>
                <c:pt idx="47">
                  <c:v>48396</c:v>
                </c:pt>
                <c:pt idx="48">
                  <c:v>48427</c:v>
                </c:pt>
                <c:pt idx="49">
                  <c:v>48458</c:v>
                </c:pt>
              </c:numCache>
            </c:numRef>
          </c:cat>
          <c:val>
            <c:numRef>
              <c:f>'Development Inputs'!$C$242:$Z$242</c:f>
            </c:numRef>
          </c:val>
          <c:smooth val="0"/>
          <c:extLst>
            <c:ext xmlns:c16="http://schemas.microsoft.com/office/drawing/2014/chart" uri="{C3380CC4-5D6E-409C-BE32-E72D297353CC}">
              <c16:uniqueId val="{00000001-C93B-43DC-981E-EA73AA235D6B}"/>
            </c:ext>
          </c:extLst>
        </c:ser>
        <c:dLbls>
          <c:showLegendKey val="0"/>
          <c:showVal val="0"/>
          <c:showCatName val="0"/>
          <c:showSerName val="0"/>
          <c:showPercent val="0"/>
          <c:showBubbleSize val="0"/>
        </c:dLbls>
        <c:smooth val="0"/>
        <c:axId val="415949392"/>
        <c:axId val="415949784"/>
      </c:lineChart>
      <c:dateAx>
        <c:axId val="415949392"/>
        <c:scaling>
          <c:orientation val="minMax"/>
        </c:scaling>
        <c:delete val="0"/>
        <c:axPos val="b"/>
        <c:numFmt formatCode="[$-409]mm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949784"/>
        <c:crosses val="autoZero"/>
        <c:auto val="1"/>
        <c:lblOffset val="100"/>
        <c:baseTimeUnit val="months"/>
      </c:dateAx>
      <c:valAx>
        <c:axId val="415949784"/>
        <c:scaling>
          <c:orientation val="minMax"/>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949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Construction Curve Comparison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'Construction Curve'!$B$25</c:f>
              <c:strCache>
                <c:ptCount val="1"/>
                <c:pt idx="0">
                  <c:v>Standard</c:v>
                </c:pt>
              </c:strCache>
            </c:strRef>
          </c:tx>
          <c:spPr>
            <a:ln w="28575" cap="rnd">
              <a:solidFill>
                <a:schemeClr val="bg1">
                  <a:lumMod val="75000"/>
                </a:schemeClr>
              </a:solidFill>
              <a:round/>
            </a:ln>
            <a:effectLst/>
          </c:spPr>
          <c:marker>
            <c:symbol val="none"/>
          </c:marker>
          <c:cat>
            <c:numRef>
              <c:f>'Construction Curve'!$C$24:$BK$24</c:f>
              <c:numCache>
                <c:formatCode>"Mo."0</c:formatCode>
                <c:ptCount val="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numCache>
            </c:numRef>
          </c:cat>
          <c:val>
            <c:numRef>
              <c:f>'Construction Curve'!$C$25:$BK$25</c:f>
              <c:numCache>
                <c:formatCode>0.00%</c:formatCode>
                <c:ptCount val="61"/>
                <c:pt idx="0">
                  <c:v>0</c:v>
                </c:pt>
                <c:pt idx="1">
                  <c:v>3.4333695999999997E-3</c:v>
                </c:pt>
                <c:pt idx="2">
                  <c:v>1.1059097600000003E-2</c:v>
                </c:pt>
                <c:pt idx="3">
                  <c:v>1.9452825600000001E-2</c:v>
                </c:pt>
                <c:pt idx="4">
                  <c:v>2.815989759999999E-2</c:v>
                </c:pt>
                <c:pt idx="5">
                  <c:v>3.6774809600000055E-2</c:v>
                </c:pt>
                <c:pt idx="6">
                  <c:v>4.4941209599999948E-2</c:v>
                </c:pt>
                <c:pt idx="7">
                  <c:v>5.2351897600000058E-2</c:v>
                </c:pt>
                <c:pt idx="8">
                  <c:v>5.8748825599999915E-2</c:v>
                </c:pt>
                <c:pt idx="9">
                  <c:v>6.3923097599999978E-2</c:v>
                </c:pt>
                <c:pt idx="10">
                  <c:v>6.7714969600000174E-2</c:v>
                </c:pt>
                <c:pt idx="11">
                  <c:v>7.0013849599999955E-2</c:v>
                </c:pt>
                <c:pt idx="12">
                  <c:v>7.075829760000002E-2</c:v>
                </c:pt>
                <c:pt idx="13">
                  <c:v>6.9936025600000007E-2</c:v>
                </c:pt>
                <c:pt idx="14">
                  <c:v>6.7583897600000054E-2</c:v>
                </c:pt>
                <c:pt idx="15">
                  <c:v>6.3787929599999793E-2</c:v>
                </c:pt>
                <c:pt idx="16">
                  <c:v>5.8683289600000021E-2</c:v>
                </c:pt>
                <c:pt idx="17">
                  <c:v>5.2454297599999977E-2</c:v>
                </c:pt>
                <c:pt idx="18">
                  <c:v>4.5334425599999895E-2</c:v>
                </c:pt>
                <c:pt idx="19">
                  <c:v>3.7606297600000227E-2</c:v>
                </c:pt>
                <c:pt idx="20">
                  <c:v>2.9601689600000092E-2</c:v>
                </c:pt>
                <c:pt idx="21">
                  <c:v>2.1701529599999825E-2</c:v>
                </c:pt>
                <c:pt idx="22">
                  <c:v>1.4335897600000092E-2</c:v>
                </c:pt>
                <c:pt idx="23">
                  <c:v>7.9840255999998888E-3</c:v>
                </c:pt>
                <c:pt idx="24">
                  <c:v>3.1742976000000978E-3</c:v>
                </c:pt>
                <c:pt idx="25">
                  <c:v>4.8424959999993078E-4</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numCache>
            </c:numRef>
          </c:val>
          <c:smooth val="0"/>
          <c:extLst>
            <c:ext xmlns:c16="http://schemas.microsoft.com/office/drawing/2014/chart" uri="{C3380CC4-5D6E-409C-BE32-E72D297353CC}">
              <c16:uniqueId val="{00000000-4147-41B5-A104-ADD0B1BDDF0D}"/>
            </c:ext>
          </c:extLst>
        </c:ser>
        <c:ser>
          <c:idx val="1"/>
          <c:order val="1"/>
          <c:tx>
            <c:strRef>
              <c:f>'Construction Curve'!$B$26</c:f>
              <c:strCache>
                <c:ptCount val="1"/>
                <c:pt idx="0">
                  <c:v>PNW Historical</c:v>
                </c:pt>
              </c:strCache>
            </c:strRef>
          </c:tx>
          <c:spPr>
            <a:ln w="28575" cap="rnd">
              <a:solidFill>
                <a:schemeClr val="tx1"/>
              </a:solidFill>
              <a:round/>
            </a:ln>
            <a:effectLst/>
          </c:spPr>
          <c:marker>
            <c:symbol val="none"/>
          </c:marker>
          <c:cat>
            <c:numRef>
              <c:f>'Construction Curve'!$C$24:$BK$24</c:f>
              <c:numCache>
                <c:formatCode>"Mo."0</c:formatCode>
                <c:ptCount val="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numCache>
            </c:numRef>
          </c:cat>
          <c:val>
            <c:numRef>
              <c:f>'Construction Curve'!$C$26:$BK$26</c:f>
              <c:numCache>
                <c:formatCode>0.00%</c:formatCode>
                <c:ptCount val="61"/>
                <c:pt idx="0">
                  <c:v>0</c:v>
                </c:pt>
                <c:pt idx="1">
                  <c:v>1.7838367967777109E-3</c:v>
                </c:pt>
                <c:pt idx="2">
                  <c:v>6.2567868610355548E-3</c:v>
                </c:pt>
                <c:pt idx="3">
                  <c:v>1.072158401463873E-2</c:v>
                </c:pt>
                <c:pt idx="4">
                  <c:v>1.9783107551358179E-2</c:v>
                </c:pt>
                <c:pt idx="5">
                  <c:v>3.3819111569278471E-2</c:v>
                </c:pt>
                <c:pt idx="6">
                  <c:v>3.488038348247556E-2</c:v>
                </c:pt>
                <c:pt idx="7">
                  <c:v>4.51135059054181E-2</c:v>
                </c:pt>
                <c:pt idx="8">
                  <c:v>5.39662230559394E-2</c:v>
                </c:pt>
                <c:pt idx="9">
                  <c:v>5.7949826218219674E-2</c:v>
                </c:pt>
                <c:pt idx="10">
                  <c:v>6.4788468477919026E-2</c:v>
                </c:pt>
                <c:pt idx="11">
                  <c:v>6.8170401746178222E-2</c:v>
                </c:pt>
                <c:pt idx="12">
                  <c:v>6.8691437271245659E-2</c:v>
                </c:pt>
                <c:pt idx="13">
                  <c:v>6.4263914851491244E-2</c:v>
                </c:pt>
                <c:pt idx="14">
                  <c:v>6.2182678934341928E-2</c:v>
                </c:pt>
                <c:pt idx="15">
                  <c:v>6.0969864697935416E-2</c:v>
                </c:pt>
                <c:pt idx="16">
                  <c:v>5.5680553996835136E-2</c:v>
                </c:pt>
                <c:pt idx="17">
                  <c:v>4.9811874136302836E-2</c:v>
                </c:pt>
                <c:pt idx="18">
                  <c:v>4.9809421321176828E-2</c:v>
                </c:pt>
                <c:pt idx="19">
                  <c:v>4.6252188046931431E-2</c:v>
                </c:pt>
                <c:pt idx="20">
                  <c:v>3.884591020288386E-2</c:v>
                </c:pt>
                <c:pt idx="21">
                  <c:v>3.3307656764089866E-2</c:v>
                </c:pt>
                <c:pt idx="22">
                  <c:v>2.8129859163246396E-2</c:v>
                </c:pt>
                <c:pt idx="23">
                  <c:v>1.9317456626116725E-2</c:v>
                </c:pt>
                <c:pt idx="24">
                  <c:v>1.557576171286712E-2</c:v>
                </c:pt>
                <c:pt idx="25">
                  <c:v>9.9281865952968174E-3</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numCache>
            </c:numRef>
          </c:val>
          <c:smooth val="0"/>
          <c:extLst>
            <c:ext xmlns:c16="http://schemas.microsoft.com/office/drawing/2014/chart" uri="{C3380CC4-5D6E-409C-BE32-E72D297353CC}">
              <c16:uniqueId val="{00000001-4147-41B5-A104-ADD0B1BDDF0D}"/>
            </c:ext>
          </c:extLst>
        </c:ser>
        <c:ser>
          <c:idx val="2"/>
          <c:order val="2"/>
          <c:tx>
            <c:strRef>
              <c:f>'Construction Curve'!$B$27</c:f>
              <c:strCache>
                <c:ptCount val="1"/>
                <c:pt idx="0">
                  <c:v>Smoothed Curve</c:v>
                </c:pt>
              </c:strCache>
            </c:strRef>
          </c:tx>
          <c:spPr>
            <a:ln w="28575" cap="rnd">
              <a:solidFill>
                <a:schemeClr val="bg2">
                  <a:lumMod val="50000"/>
                </a:schemeClr>
              </a:solidFill>
              <a:round/>
            </a:ln>
            <a:effectLst/>
          </c:spPr>
          <c:marker>
            <c:symbol val="none"/>
          </c:marker>
          <c:cat>
            <c:numRef>
              <c:f>'Construction Curve'!$C$24:$BK$24</c:f>
              <c:numCache>
                <c:formatCode>"Mo."0</c:formatCode>
                <c:ptCount val="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numCache>
            </c:numRef>
          </c:cat>
          <c:val>
            <c:numRef>
              <c:f>'Construction Curve'!$C$27:$BK$27</c:f>
              <c:numCache>
                <c:formatCode>0.00%</c:formatCode>
                <c:ptCount val="61"/>
                <c:pt idx="0">
                  <c:v>0</c:v>
                </c:pt>
                <c:pt idx="1">
                  <c:v>1.5814727044966539E-3</c:v>
                </c:pt>
                <c:pt idx="2">
                  <c:v>7.1156403204849679E-3</c:v>
                </c:pt>
                <c:pt idx="3">
                  <c:v>1.4404442920346141E-2</c:v>
                </c:pt>
                <c:pt idx="4">
                  <c:v>2.2411686631570046E-2</c:v>
                </c:pt>
                <c:pt idx="5">
                  <c:v>3.0557439797375567E-2</c:v>
                </c:pt>
                <c:pt idx="6">
                  <c:v>3.8440893881079227E-2</c:v>
                </c:pt>
                <c:pt idx="7">
                  <c:v>4.5763603854153512E-2</c:v>
                </c:pt>
                <c:pt idx="8">
                  <c:v>5.2296198061070331E-2</c:v>
                </c:pt>
                <c:pt idx="9">
                  <c:v>5.7860944121649577E-2</c:v>
                </c:pt>
                <c:pt idx="10">
                  <c:v>6.2321596902588483E-2</c:v>
                </c:pt>
                <c:pt idx="11">
                  <c:v>6.5577123026575757E-2</c:v>
                </c:pt>
                <c:pt idx="12">
                  <c:v>6.7557734903559707E-2</c:v>
                </c:pt>
                <c:pt idx="13">
                  <c:v>6.8222445750100003E-2</c:v>
                </c:pt>
                <c:pt idx="14">
                  <c:v>6.7557734903559874E-2</c:v>
                </c:pt>
                <c:pt idx="15">
                  <c:v>6.557712302657559E-2</c:v>
                </c:pt>
                <c:pt idx="16">
                  <c:v>6.2321596902588539E-2</c:v>
                </c:pt>
                <c:pt idx="17">
                  <c:v>5.7860944121649771E-2</c:v>
                </c:pt>
                <c:pt idx="18">
                  <c:v>5.2296198061070109E-2</c:v>
                </c:pt>
                <c:pt idx="19">
                  <c:v>4.5763603854153567E-2</c:v>
                </c:pt>
                <c:pt idx="20">
                  <c:v>3.8440893881079297E-2</c:v>
                </c:pt>
                <c:pt idx="21">
                  <c:v>3.0557439797375463E-2</c:v>
                </c:pt>
                <c:pt idx="22">
                  <c:v>2.2411686631570005E-2</c:v>
                </c:pt>
                <c:pt idx="23">
                  <c:v>1.4404442920346261E-2</c:v>
                </c:pt>
                <c:pt idx="24">
                  <c:v>7.1156403204848395E-3</c:v>
                </c:pt>
                <c:pt idx="25">
                  <c:v>1.5814727044967114E-3</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numCache>
            </c:numRef>
          </c:val>
          <c:smooth val="0"/>
          <c:extLst>
            <c:ext xmlns:c16="http://schemas.microsoft.com/office/drawing/2014/chart" uri="{C3380CC4-5D6E-409C-BE32-E72D297353CC}">
              <c16:uniqueId val="{00000002-4147-41B5-A104-ADD0B1BDDF0D}"/>
            </c:ext>
          </c:extLst>
        </c:ser>
        <c:ser>
          <c:idx val="3"/>
          <c:order val="3"/>
          <c:tx>
            <c:strRef>
              <c:f>'Construction Curve'!$B$28</c:f>
              <c:strCache>
                <c:ptCount val="1"/>
                <c:pt idx="0">
                  <c:v>Modelled Curve</c:v>
                </c:pt>
              </c:strCache>
            </c:strRef>
          </c:tx>
          <c:spPr>
            <a:ln w="50800" cap="rnd">
              <a:solidFill>
                <a:srgbClr val="006100"/>
              </a:solidFill>
              <a:round/>
            </a:ln>
            <a:effectLst/>
          </c:spPr>
          <c:marker>
            <c:symbol val="none"/>
          </c:marker>
          <c:cat>
            <c:numRef>
              <c:f>'Construction Curve'!$C$24:$BK$24</c:f>
              <c:numCache>
                <c:formatCode>"Mo."0</c:formatCode>
                <c:ptCount val="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numCache>
            </c:numRef>
          </c:cat>
          <c:val>
            <c:numRef>
              <c:f>'Construction Curve'!$C$28:$BK$28</c:f>
              <c:numCache>
                <c:formatCode>0.00%</c:formatCode>
                <c:ptCount val="61"/>
                <c:pt idx="0">
                  <c:v>0</c:v>
                </c:pt>
                <c:pt idx="1">
                  <c:v>1.7838367967777109E-3</c:v>
                </c:pt>
                <c:pt idx="2">
                  <c:v>6.2567868610355548E-3</c:v>
                </c:pt>
                <c:pt idx="3">
                  <c:v>1.072158401463873E-2</c:v>
                </c:pt>
                <c:pt idx="4">
                  <c:v>1.9783107551358179E-2</c:v>
                </c:pt>
                <c:pt idx="5">
                  <c:v>3.3819111569278471E-2</c:v>
                </c:pt>
                <c:pt idx="6">
                  <c:v>3.488038348247556E-2</c:v>
                </c:pt>
                <c:pt idx="7">
                  <c:v>4.51135059054181E-2</c:v>
                </c:pt>
                <c:pt idx="8">
                  <c:v>5.39662230559394E-2</c:v>
                </c:pt>
                <c:pt idx="9">
                  <c:v>5.7949826218219674E-2</c:v>
                </c:pt>
                <c:pt idx="10">
                  <c:v>6.4788468477919026E-2</c:v>
                </c:pt>
                <c:pt idx="11">
                  <c:v>6.8170401746178222E-2</c:v>
                </c:pt>
                <c:pt idx="12">
                  <c:v>6.8691437271245659E-2</c:v>
                </c:pt>
                <c:pt idx="13">
                  <c:v>6.4263914851491244E-2</c:v>
                </c:pt>
                <c:pt idx="14">
                  <c:v>6.2182678934341928E-2</c:v>
                </c:pt>
                <c:pt idx="15">
                  <c:v>6.0969864697935416E-2</c:v>
                </c:pt>
                <c:pt idx="16">
                  <c:v>5.5680553996835136E-2</c:v>
                </c:pt>
                <c:pt idx="17">
                  <c:v>4.9811874136302836E-2</c:v>
                </c:pt>
                <c:pt idx="18">
                  <c:v>4.9809421321176828E-2</c:v>
                </c:pt>
                <c:pt idx="19">
                  <c:v>4.6252188046931431E-2</c:v>
                </c:pt>
                <c:pt idx="20">
                  <c:v>3.884591020288386E-2</c:v>
                </c:pt>
                <c:pt idx="21">
                  <c:v>3.3307656764089866E-2</c:v>
                </c:pt>
                <c:pt idx="22">
                  <c:v>2.8129859163246396E-2</c:v>
                </c:pt>
                <c:pt idx="23">
                  <c:v>1.9317456626116725E-2</c:v>
                </c:pt>
                <c:pt idx="24">
                  <c:v>1.557576171286712E-2</c:v>
                </c:pt>
                <c:pt idx="25">
                  <c:v>9.9281865952969284E-3</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numCache>
            </c:numRef>
          </c:val>
          <c:smooth val="0"/>
          <c:extLst>
            <c:ext xmlns:c16="http://schemas.microsoft.com/office/drawing/2014/chart" uri="{C3380CC4-5D6E-409C-BE32-E72D297353CC}">
              <c16:uniqueId val="{00000003-4147-41B5-A104-ADD0B1BDDF0D}"/>
            </c:ext>
          </c:extLst>
        </c:ser>
        <c:dLbls>
          <c:showLegendKey val="0"/>
          <c:showVal val="0"/>
          <c:showCatName val="0"/>
          <c:showSerName val="0"/>
          <c:showPercent val="0"/>
          <c:showBubbleSize val="0"/>
        </c:dLbls>
        <c:smooth val="0"/>
        <c:axId val="1705274255"/>
        <c:axId val="1705268495"/>
      </c:lineChart>
      <c:catAx>
        <c:axId val="1705274255"/>
        <c:scaling>
          <c:orientation val="minMax"/>
        </c:scaling>
        <c:delete val="0"/>
        <c:axPos val="b"/>
        <c:numFmt formatCode="&quot;Mo.&quot;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5268495"/>
        <c:crosses val="autoZero"/>
        <c:auto val="1"/>
        <c:lblAlgn val="ctr"/>
        <c:lblOffset val="100"/>
        <c:noMultiLvlLbl val="0"/>
      </c:catAx>
      <c:valAx>
        <c:axId val="1705268495"/>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527425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12</xdr:col>
      <xdr:colOff>1</xdr:colOff>
      <xdr:row>51</xdr:row>
      <xdr:rowOff>30690</xdr:rowOff>
    </xdr:from>
    <xdr:to>
      <xdr:col>18</xdr:col>
      <xdr:colOff>867835</xdr:colOff>
      <xdr:row>69</xdr:row>
      <xdr:rowOff>148166</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867835</xdr:colOff>
      <xdr:row>15</xdr:row>
      <xdr:rowOff>148166</xdr:rowOff>
    </xdr:from>
    <xdr:to>
      <xdr:col>10</xdr:col>
      <xdr:colOff>169335</xdr:colOff>
      <xdr:row>26</xdr:row>
      <xdr:rowOff>75141</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10</xdr:col>
      <xdr:colOff>95250</xdr:colOff>
      <xdr:row>30</xdr:row>
      <xdr:rowOff>137584</xdr:rowOff>
    </xdr:from>
    <xdr:ext cx="1791516" cy="328295"/>
    <xdr:sp macro="" textlink="">
      <xdr:nvSpPr>
        <xdr:cNvPr id="4" name="TextBox 3">
          <a:extLst>
            <a:ext uri="{FF2B5EF4-FFF2-40B4-BE49-F238E27FC236}">
              <a16:creationId xmlns:a16="http://schemas.microsoft.com/office/drawing/2014/main" id="{00000000-0008-0000-0800-000004000000}"/>
            </a:ext>
          </a:extLst>
        </xdr:cNvPr>
        <xdr:cNvSpPr txBox="1"/>
      </xdr:nvSpPr>
      <xdr:spPr>
        <a:xfrm>
          <a:off x="8572500" y="5757334"/>
          <a:ext cx="1791516"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chemeClr val="bg1">
                  <a:lumMod val="50000"/>
                </a:schemeClr>
              </a:solidFill>
              <a:latin typeface="Times New Roman" pitchFamily="18" charset="0"/>
              <a:cs typeface="Times New Roman" pitchFamily="18" charset="0"/>
            </a:rPr>
            <a:t>To Be Determined</a:t>
          </a:r>
        </a:p>
      </xdr:txBody>
    </xdr:sp>
    <xdr:clientData/>
  </xdr:oneCellAnchor>
  <xdr:oneCellAnchor>
    <xdr:from>
      <xdr:col>14</xdr:col>
      <xdr:colOff>476250</xdr:colOff>
      <xdr:row>43</xdr:row>
      <xdr:rowOff>190500</xdr:rowOff>
    </xdr:from>
    <xdr:ext cx="1791516" cy="328295"/>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11715750" y="7969250"/>
          <a:ext cx="1791516"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chemeClr val="bg1">
                  <a:lumMod val="50000"/>
                </a:schemeClr>
              </a:solidFill>
              <a:latin typeface="Times New Roman" pitchFamily="18" charset="0"/>
              <a:cs typeface="Times New Roman" pitchFamily="18" charset="0"/>
            </a:rPr>
            <a:t>To Be Determined</a:t>
          </a: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144780</xdr:colOff>
          <xdr:row>1</xdr:row>
          <xdr:rowOff>22860</xdr:rowOff>
        </xdr:from>
        <xdr:to>
          <xdr:col>4</xdr:col>
          <xdr:colOff>1089660</xdr:colOff>
          <xdr:row>1</xdr:row>
          <xdr:rowOff>213360</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A00-0000010001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1100" b="1" i="1" u="none" strike="noStrike" baseline="0">
                  <a:solidFill>
                    <a:srgbClr val="000080"/>
                  </a:solidFill>
                  <a:latin typeface="Calibri"/>
                  <a:ea typeface="Calibri"/>
                  <a:cs typeface="Calibri"/>
                </a:rPr>
                <a:t>Calc Sensitivities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33</xdr:col>
          <xdr:colOff>213360</xdr:colOff>
          <xdr:row>1</xdr:row>
          <xdr:rowOff>99060</xdr:rowOff>
        </xdr:from>
        <xdr:to>
          <xdr:col>36</xdr:col>
          <xdr:colOff>22860</xdr:colOff>
          <xdr:row>4</xdr:row>
          <xdr:rowOff>114300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B00-000002A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1" i="1" u="none" strike="noStrike" baseline="0">
                  <a:solidFill>
                    <a:srgbClr val="FF0000"/>
                  </a:solidFill>
                  <a:latin typeface="Calibri"/>
                  <a:ea typeface="Calibri"/>
                  <a:cs typeface="Calibri"/>
                </a:rPr>
                <a:t>Calculate SBS Summary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8</xdr:row>
          <xdr:rowOff>60960</xdr:rowOff>
        </xdr:from>
        <xdr:to>
          <xdr:col>3</xdr:col>
          <xdr:colOff>601980</xdr:colOff>
          <xdr:row>10</xdr:row>
          <xdr:rowOff>137160</xdr:rowOff>
        </xdr:to>
        <xdr:sp macro="" textlink="">
          <xdr:nvSpPr>
            <xdr:cNvPr id="56322" name="Button 2" hidden="1">
              <a:extLst>
                <a:ext uri="{63B3BB69-23CF-44E3-9099-C40C66FF867C}">
                  <a14:compatExt spid="_x0000_s56322"/>
                </a:ext>
                <a:ext uri="{FF2B5EF4-FFF2-40B4-BE49-F238E27FC236}">
                  <a16:creationId xmlns:a16="http://schemas.microsoft.com/office/drawing/2014/main" id="{00000000-0008-0000-0C00-000002D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1100" b="1" i="1" u="none" strike="noStrike" baseline="0">
                  <a:solidFill>
                    <a:srgbClr val="000080"/>
                  </a:solidFill>
                  <a:latin typeface="Calibri"/>
                  <a:ea typeface="Calibri"/>
                  <a:cs typeface="Calibri"/>
                </a:rPr>
                <a:t>Calc Sensitivities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609600</xdr:colOff>
          <xdr:row>5</xdr:row>
          <xdr:rowOff>30480</xdr:rowOff>
        </xdr:from>
        <xdr:to>
          <xdr:col>3</xdr:col>
          <xdr:colOff>601980</xdr:colOff>
          <xdr:row>7</xdr:row>
          <xdr:rowOff>106680</xdr:rowOff>
        </xdr:to>
        <xdr:sp macro="" textlink="">
          <xdr:nvSpPr>
            <xdr:cNvPr id="56328" name="Button 8" hidden="1">
              <a:extLst>
                <a:ext uri="{63B3BB69-23CF-44E3-9099-C40C66FF867C}">
                  <a14:compatExt spid="_x0000_s56328"/>
                </a:ext>
                <a:ext uri="{FF2B5EF4-FFF2-40B4-BE49-F238E27FC236}">
                  <a16:creationId xmlns:a16="http://schemas.microsoft.com/office/drawing/2014/main" id="{00000000-0008-0000-0C00-000008D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1100" b="1" i="1" u="none" strike="noStrike" baseline="0">
                  <a:solidFill>
                    <a:srgbClr val="800080"/>
                  </a:solidFill>
                  <a:latin typeface="Calibri"/>
                  <a:ea typeface="Calibri"/>
                  <a:cs typeface="Calibri"/>
                </a:rPr>
                <a:t>Create Values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609600</xdr:colOff>
          <xdr:row>2</xdr:row>
          <xdr:rowOff>22860</xdr:rowOff>
        </xdr:from>
        <xdr:to>
          <xdr:col>3</xdr:col>
          <xdr:colOff>601980</xdr:colOff>
          <xdr:row>4</xdr:row>
          <xdr:rowOff>99060</xdr:rowOff>
        </xdr:to>
        <xdr:sp macro="" textlink="">
          <xdr:nvSpPr>
            <xdr:cNvPr id="56332" name="Button 12" hidden="1">
              <a:extLst>
                <a:ext uri="{63B3BB69-23CF-44E3-9099-C40C66FF867C}">
                  <a14:compatExt spid="_x0000_s56332"/>
                </a:ext>
                <a:ext uri="{FF2B5EF4-FFF2-40B4-BE49-F238E27FC236}">
                  <a16:creationId xmlns:a16="http://schemas.microsoft.com/office/drawing/2014/main" id="{00000000-0008-0000-0C00-00000CD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1100" b="1" i="1" u="none" strike="noStrike" baseline="0">
                  <a:solidFill>
                    <a:srgbClr val="FF00FF"/>
                  </a:solidFill>
                  <a:latin typeface="Calibri"/>
                  <a:ea typeface="Calibri"/>
                  <a:cs typeface="Calibri"/>
                </a:rPr>
                <a:t>Reset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11</xdr:row>
          <xdr:rowOff>99060</xdr:rowOff>
        </xdr:from>
        <xdr:to>
          <xdr:col>4</xdr:col>
          <xdr:colOff>0</xdr:colOff>
          <xdr:row>14</xdr:row>
          <xdr:rowOff>22860</xdr:rowOff>
        </xdr:to>
        <xdr:sp macro="" textlink="">
          <xdr:nvSpPr>
            <xdr:cNvPr id="56333" name="Button 13" hidden="1">
              <a:extLst>
                <a:ext uri="{63B3BB69-23CF-44E3-9099-C40C66FF867C}">
                  <a14:compatExt spid="_x0000_s56333"/>
                </a:ext>
                <a:ext uri="{FF2B5EF4-FFF2-40B4-BE49-F238E27FC236}">
                  <a16:creationId xmlns:a16="http://schemas.microsoft.com/office/drawing/2014/main" id="{00000000-0008-0000-0C00-00000DD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Venture Summary: OFF</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4</xdr:col>
      <xdr:colOff>9525</xdr:colOff>
      <xdr:row>6</xdr:row>
      <xdr:rowOff>143058</xdr:rowOff>
    </xdr:from>
    <xdr:to>
      <xdr:col>8</xdr:col>
      <xdr:colOff>618201</xdr:colOff>
      <xdr:row>9</xdr:row>
      <xdr:rowOff>3627</xdr:rowOff>
    </xdr:to>
    <xdr:pic>
      <xdr:nvPicPr>
        <xdr:cNvPr id="4" name="Picture 3">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2486025" y="1286058"/>
          <a:ext cx="3085176" cy="422544"/>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xdr:colOff>
      <xdr:row>51</xdr:row>
      <xdr:rowOff>10584</xdr:rowOff>
    </xdr:from>
    <xdr:to>
      <xdr:col>18</xdr:col>
      <xdr:colOff>867835</xdr:colOff>
      <xdr:row>68</xdr:row>
      <xdr:rowOff>169333</xdr:rowOff>
    </xdr:to>
    <xdr:graphicFrame macro="">
      <xdr:nvGraphicFramePr>
        <xdr:cNvPr id="4" name="Chart 3">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867835</xdr:colOff>
      <xdr:row>15</xdr:row>
      <xdr:rowOff>148166</xdr:rowOff>
    </xdr:from>
    <xdr:to>
      <xdr:col>10</xdr:col>
      <xdr:colOff>169335</xdr:colOff>
      <xdr:row>26</xdr:row>
      <xdr:rowOff>75141</xdr:rowOff>
    </xdr:to>
    <xdr:graphicFrame macro="">
      <xdr:nvGraphicFramePr>
        <xdr:cNvPr id="8" name="Chart 7">
          <a:extLst>
            <a:ext uri="{FF2B5EF4-FFF2-40B4-BE49-F238E27FC236}">
              <a16:creationId xmlns:a16="http://schemas.microsoft.com/office/drawing/2014/main" id="{00000000-0008-0000-0B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47626</xdr:colOff>
      <xdr:row>259</xdr:row>
      <xdr:rowOff>59531</xdr:rowOff>
    </xdr:from>
    <xdr:to>
      <xdr:col>5</xdr:col>
      <xdr:colOff>381001</xdr:colOff>
      <xdr:row>273</xdr:row>
      <xdr:rowOff>135731</xdr:rowOff>
    </xdr:to>
    <xdr:graphicFrame macro="">
      <xdr:nvGraphicFramePr>
        <xdr:cNvPr id="5" name="Chart 4">
          <a:extLst>
            <a:ext uri="{FF2B5EF4-FFF2-40B4-BE49-F238E27FC236}">
              <a16:creationId xmlns:a16="http://schemas.microsoft.com/office/drawing/2014/main" id="{00000000-0008-0000-0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198120</xdr:colOff>
      <xdr:row>1</xdr:row>
      <xdr:rowOff>99060</xdr:rowOff>
    </xdr:from>
    <xdr:to>
      <xdr:col>17</xdr:col>
      <xdr:colOff>358139</xdr:colOff>
      <xdr:row>18</xdr:row>
      <xdr:rowOff>175260</xdr:rowOff>
    </xdr:to>
    <xdr:graphicFrame macro="">
      <xdr:nvGraphicFramePr>
        <xdr:cNvPr id="2" name="Chart 1">
          <a:extLst>
            <a:ext uri="{FF2B5EF4-FFF2-40B4-BE49-F238E27FC236}">
              <a16:creationId xmlns:a16="http://schemas.microsoft.com/office/drawing/2014/main" id="{BA5B0AF7-C017-D37C-9D33-D49B74D895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Ex20_8.xls"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cmo.xls"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IO-PO.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cloudwksp.sharepoint.com/DELTA/OLDSERV/Open%20Projects/20206/YearEnd2000/DELTA/OLDSERV/EXCEL/98206-1/YrEnd98/End98/NARL.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cloudwksp.sharepoint.com/Archive/Apartments/1stQtr2001/DELTA/OLDSERV/EXCEL/98206-1/YrEnd98/End98/NARL.XLS" TargetMode="External"/></Relationships>
</file>

<file path=xl/externalLinks/_rels/externalLink6.xml.rels><?xml version="1.0" encoding="UTF-8" standalone="yes"?>
<Relationships xmlns="http://schemas.openxmlformats.org/package/2006/relationships"><Relationship Id="rId2" Type="http://schemas.openxmlformats.org/officeDocument/2006/relationships/externalLinkPath" Target="https://cloudwksp.sharepoint.com/sites/Repo-QMF-QD-PNW/Shared%20Documents/17%20Bend%20-%20Emblem%20Bend/2.0%20Budgets%20and%20Schedules/2.1%20Proformas/FINAL%20Proformas/Emblem%20Bend%20-%20Loan%20Land%20JVA%20Close%20Model%20-%20FINAL.xlsm" TargetMode="External"/><Relationship Id="rId1" Type="http://schemas.openxmlformats.org/officeDocument/2006/relationships/externalLinkPath" Target="https://cloudwksp.sharepoint.com/sites/Repo-QMF-QD-PNW/Shared%20Documents/17%20Bend%20-%20Emblem%20Bend/2.0%20Budgets%20and%20Schedules/2.1%20Proformas/FINAL%20Proformas/Emblem%20Bend%20-%20Loan%20Land%20JVA%20Close%20Model%20-%20FIN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CREIF &amp; S&amp;P"/>
      <sheetName val="REITs &amp; S&amp;P"/>
      <sheetName val="Glossary"/>
      <sheetName val="Validation #2"/>
      <sheetName val="Validation"/>
      <sheetName val="Invoice Tie Out"/>
      <sheetName val="Sheet2"/>
      <sheetName val="Return Summary"/>
      <sheetName val="T5D Budget 2014"/>
      <sheetName val="2014 SGA Slide Inputs"/>
      <sheetName val="T5D Budget 2015 - NEEDS UPDATE"/>
      <sheetName val="Asset Management Fees"/>
      <sheetName val="P&amp;L"/>
      <sheetName val="Sheet1"/>
      <sheetName val="Profit and Loss - 12 Month Hist"/>
      <sheetName val="Individual Property Data Tape"/>
      <sheetName val="A"/>
      <sheetName val="Control Board"/>
      <sheetName val="induceamort"/>
      <sheetName val="1999 BUDGET"/>
      <sheetName val="Lease Up Data - HIDE"/>
      <sheetName val="CASH Fee Summary"/>
      <sheetName val="Chart Back-Up"/>
      <sheetName val="Chart Back Up"/>
      <sheetName val="Data Validation"/>
      <sheetName val="HIDE (DO NOT TOUCH)"/>
      <sheetName val="Apple Summary"/>
      <sheetName val="Apple Sellco TB's"/>
      <sheetName val="C-B"/>
      <sheetName val="summsht"/>
      <sheetName val="NCREIF_&amp;_S&amp;P"/>
      <sheetName val="NCREIF_&amp;_S&amp;P1"/>
      <sheetName val="REITs_&amp;_S&amp;P"/>
      <sheetName val="NCREIF_&amp;_S&amp;P2"/>
      <sheetName val="REITs_&amp;_S&amp;P1"/>
      <sheetName val="NCREIF_&amp;_S&amp;P3"/>
      <sheetName val="REITs_&amp;_S&amp;P2"/>
      <sheetName val="CF Analysis"/>
      <sheetName val="OSS Charts"/>
      <sheetName val="O"/>
      <sheetName val="J"/>
      <sheetName val="K"/>
      <sheetName val="P"/>
      <sheetName val="F"/>
      <sheetName val="L"/>
      <sheetName val=" Budget Balancing | Tracking"/>
      <sheetName val="APT UNIT MIX"/>
      <sheetName val="ProvMs"/>
      <sheetName val="Payroll (Devco)"/>
      <sheetName val="Summary"/>
      <sheetName val="Inputs &amp; Assumptions"/>
      <sheetName val="10 Yr Pro Forma"/>
      <sheetName val="Amortization Schedule"/>
      <sheetName val="Detailed Expenses"/>
      <sheetName val="Lease-up schedule"/>
      <sheetName val="Historical Template 2005"/>
      <sheetName val="Profitability"/>
      <sheetName val="Report1"/>
      <sheetName val="RR - Nov 2020"/>
      <sheetName val="Improved Sales"/>
      <sheetName val="Closing Cost Calc"/>
      <sheetName val="INPUTS CASH"/>
      <sheetName val="P - Financial Summary"/>
      <sheetName val="Hoja1"/>
      <sheetName val="Control"/>
      <sheetName val="RR"/>
      <sheetName val="Worksheet"/>
      <sheetName val="Ground Leasing!$A$137"/>
      <sheetName val="2021 Budget"/>
      <sheetName val="March"/>
      <sheetName val="AY 21-22 Rate Plan"/>
      <sheetName val="NCREIF_&amp;_S&amp;P4"/>
      <sheetName val="REITs_&amp;_S&amp;P3"/>
      <sheetName val="Validation_#2"/>
      <sheetName val="Invoice_Tie_Out"/>
      <sheetName val="Return_Summary"/>
      <sheetName val="T5D_Budget_2014"/>
      <sheetName val="2014_SGA_Slide_Inputs"/>
      <sheetName val="T5D_Budget_2015_-_NEEDS_UPDATE"/>
      <sheetName val="Asset_Management_Fees"/>
      <sheetName val="Profit_and_Loss_-_12_Month_Hist"/>
      <sheetName val="Individual_Property_Data_Tape"/>
      <sheetName val="Control_Board"/>
      <sheetName val="1999_BUDGET"/>
      <sheetName val="Lease_Up_Data_-_HIDE"/>
      <sheetName val="Apple_Summary"/>
      <sheetName val="Apple_Sellco_TB's"/>
      <sheetName val="Improved_Sales"/>
      <sheetName val="OSS_Charts"/>
      <sheetName val="Payroll_(Devco)"/>
      <sheetName val="Inputs_&amp;_Assumptions"/>
      <sheetName val="10_Yr_Pro_Forma"/>
      <sheetName val="Amortization_Schedule"/>
      <sheetName val="Detailed_Expenses"/>
      <sheetName val="Lease-up_schedule"/>
      <sheetName val="CF_Analysis"/>
      <sheetName val="_Budget_Balancing_|_Tracking"/>
      <sheetName val="Data_Validation"/>
      <sheetName val="Historical_Template_2005"/>
      <sheetName val="CASH_Fee_Summary"/>
      <sheetName val="RR_-_Nov_2020"/>
      <sheetName val="NCREIF_&amp;_S&amp;P5"/>
      <sheetName val="REITs_&amp;_S&amp;P4"/>
      <sheetName val="Validation_#21"/>
      <sheetName val="Invoice_Tie_Out1"/>
      <sheetName val="Return_Summary1"/>
      <sheetName val="T5D_Budget_20141"/>
      <sheetName val="2014_SGA_Slide_Inputs1"/>
      <sheetName val="T5D_Budget_2015_-_NEEDS_UPDATE1"/>
      <sheetName val="Asset_Management_Fees1"/>
      <sheetName val="Profit_and_Loss_-_12_Month_His1"/>
      <sheetName val="Individual_Property_Data_Tape1"/>
      <sheetName val="Control_Board1"/>
      <sheetName val="1999_BUDGET1"/>
      <sheetName val="Lease_Up_Data_-_HIDE1"/>
      <sheetName val="Apple_Summary1"/>
      <sheetName val="Apple_Sellco_TB's1"/>
      <sheetName val="Improved_Sales1"/>
      <sheetName val="OSS_Charts1"/>
      <sheetName val="Payroll_(Devco)1"/>
      <sheetName val="Inputs_&amp;_Assumptions1"/>
      <sheetName val="10_Yr_Pro_Forma1"/>
      <sheetName val="Amortization_Schedule1"/>
      <sheetName val="Detailed_Expenses1"/>
      <sheetName val="Lease-up_schedule1"/>
      <sheetName val="CF_Analysis1"/>
      <sheetName val="_Budget_Balancing_|_Tracking1"/>
      <sheetName val="Data_Validation1"/>
      <sheetName val="Historical_Template_20051"/>
      <sheetName val="CASH_Fee_Summary1"/>
      <sheetName val="RR_-_Nov_20201"/>
      <sheetName val="Cashflow Projections"/>
      <sheetName val="Ex20_8"/>
      <sheetName val="P_-_Financial_Summary"/>
      <sheetName val="P_-_Financial_Summary1"/>
      <sheetName val="Closing_Cost_Calc"/>
      <sheetName val="INPUTS_CASH"/>
      <sheetName val="Chart_Back-Up"/>
      <sheetName val="Chart_Back_Up"/>
      <sheetName val="HIDE_(DO_NOT_TOUCH)"/>
      <sheetName val="Ground_Leasing!$A$137"/>
      <sheetName val="P1-B CF"/>
      <sheetName val="P1-D CF"/>
      <sheetName val="P2 CF"/>
      <sheetName val="P1-C CF - Capex"/>
      <sheetName val="P1-A CF"/>
      <sheetName val="#ref"/>
      <sheetName val="UW Comparison"/>
      <sheetName val="Expenses"/>
      <sheetName val="Ground_Leasing!$A$1371"/>
      <sheetName val="DATA"/>
      <sheetName val="Setup"/>
      <sheetName val="Supply &amp; Demand"/>
      <sheetName val="Covenant Exception Report"/>
      <sheetName val="Rent Roll"/>
      <sheetName val="Input Sheet"/>
      <sheetName val="Unit Mix-Residential"/>
      <sheetName val="Pro-Forma Assumptions"/>
      <sheetName val="Operating Expense Detail"/>
      <sheetName val="Other Income"/>
      <sheetName val="Operating Pro-Forma"/>
      <sheetName val="Draw Schedule"/>
      <sheetName val="Detailed Development Budget"/>
      <sheetName val="S&amp;U"/>
      <sheetName val="Total Development Cost"/>
      <sheetName val="Summary-Equity"/>
      <sheetName val="Summary-Debt"/>
      <sheetName val="Cash Flow"/>
      <sheetName val="Loan Payment Schedule"/>
      <sheetName val="Waterfall-Venture"/>
      <sheetName val="on-campus1"/>
      <sheetName val="Future"/>
      <sheetName val="Waterfall-Sponsor"/>
      <sheetName val="ValueList_Helper"/>
      <sheetName val="Drop Downs"/>
      <sheetName val="Tenant Revenue Detail"/>
      <sheetName val="Ownership"/>
      <sheetName val="TEV-EBITDA"/>
      <sheetName val="Segment"/>
      <sheetName val="Valuation Table"/>
      <sheetName val="Historical Outputs"/>
      <sheetName val="Expense Detail Sheets"/>
      <sheetName val="1998 Detailed Revenue Schedule"/>
      <sheetName val="Macro1"/>
      <sheetName val="2021_Budget"/>
      <sheetName val="AY_21-22_Rate_Plan"/>
      <sheetName val="Drop_Downs"/>
      <sheetName val="APT_UNIT_MIX"/>
      <sheetName val="yield - hide_cel"/>
      <sheetName val="REQ# 117"/>
      <sheetName val="NCREIF_&amp;_S&amp;P6"/>
      <sheetName val="REITs_&amp;_S&amp;P5"/>
      <sheetName val="1999_BUDGET2"/>
      <sheetName val="Lease_Up_Data_-_HIDE2"/>
      <sheetName val="OSS_Charts2"/>
      <sheetName val="_Budget_Balancing_|_Tracking2"/>
      <sheetName val="Inputs_&amp;_Assumptions2"/>
      <sheetName val="10_Yr_Pro_Forma2"/>
      <sheetName val="Amortization_Schedule2"/>
      <sheetName val="Detailed_Expenses2"/>
      <sheetName val="Lease-up_schedule2"/>
      <sheetName val="Data_Validation2"/>
      <sheetName val="Apple_Summary2"/>
      <sheetName val="Apple_Sellco_TB's2"/>
      <sheetName val="Payroll_(Devco)2"/>
      <sheetName val="Validation_#22"/>
      <sheetName val="Invoice_Tie_Out2"/>
      <sheetName val="Return_Summary2"/>
      <sheetName val="T5D_Budget_20142"/>
      <sheetName val="2014_SGA_Slide_Inputs2"/>
      <sheetName val="T5D_Budget_2015_-_NEEDS_UPDATE2"/>
      <sheetName val="Asset_Management_Fees2"/>
      <sheetName val="Profit_and_Loss_-_12_Month_His2"/>
      <sheetName val="Individual_Property_Data_Tape2"/>
      <sheetName val="Control_Board2"/>
      <sheetName val="RR_-_Nov_20202"/>
      <sheetName val="Improved_Sales2"/>
      <sheetName val="Historical_Template_20052"/>
      <sheetName val="CF_Analysis2"/>
      <sheetName val="CASH_Fee_Summary2"/>
      <sheetName val="Supply_&amp;_Demand"/>
      <sheetName val="Closing_Cost_Calc1"/>
      <sheetName val="INPUTS_CASH1"/>
      <sheetName val="Chart_Back-Up1"/>
      <sheetName val="Chart_Back_Up1"/>
      <sheetName val="HIDE_(DO_NOT_TOUCH)1"/>
      <sheetName val="2021_Budget1"/>
      <sheetName val="APT_UNIT_MIX1"/>
      <sheetName val="AY_21-22_Rate_Plan1"/>
      <sheetName val="P_-_Financial_Summary2"/>
      <sheetName val="Closing_Cost_Calc2"/>
      <sheetName val="INPUTS_CASH2"/>
      <sheetName val="Chart_Back-Up2"/>
      <sheetName val="Chart_Back_Up2"/>
      <sheetName val="HIDE_(DO_NOT_TOUCH)2"/>
      <sheetName val="2021_Budget2"/>
      <sheetName val="APT_UNIT_MIX2"/>
      <sheetName val="AY_21-22_Rate_Plan2"/>
      <sheetName val="Ground_Leasing!$A$1372"/>
      <sheetName val="1633"/>
      <sheetName val="MKTSEG"/>
      <sheetName val="PORTFOLIO"/>
      <sheetName val="712"/>
      <sheetName val="FSQ"/>
      <sheetName val="OFFICE"/>
      <sheetName val="1325"/>
      <sheetName val="45B"/>
      <sheetName val="4TH"/>
      <sheetName val="900"/>
      <sheetName val="ONE"/>
      <sheetName val="Demand"/>
      <sheetName val="Occ"/>
      <sheetName val="3-source cash flows"/>
      <sheetName val="VARIABLES"/>
      <sheetName val="APARTMENT CONVERSION"/>
    </sheetNames>
    <sheetDataSet>
      <sheetData sheetId="0" refreshError="1"/>
      <sheetData sheetId="1" refreshError="1">
        <row r="11">
          <cell r="D11">
            <v>0.10256580965724643</v>
          </cell>
          <cell r="F11">
            <v>3.9374304347826112</v>
          </cell>
        </row>
        <row r="12">
          <cell r="D12">
            <v>9.9699466842594398E-2</v>
          </cell>
          <cell r="F12">
            <v>3.9434344565217412</v>
          </cell>
        </row>
        <row r="13">
          <cell r="D13">
            <v>9.6926697633896594E-2</v>
          </cell>
          <cell r="F13">
            <v>3.949438478260872</v>
          </cell>
        </row>
        <row r="14">
          <cell r="D14">
            <v>9.4255760498720725E-2</v>
          </cell>
          <cell r="F14">
            <v>3.955442500000002</v>
          </cell>
        </row>
        <row r="15">
          <cell r="D15">
            <v>9.1695554459503378E-2</v>
          </cell>
          <cell r="F15">
            <v>3.9614465217391328</v>
          </cell>
        </row>
        <row r="16">
          <cell r="D16">
            <v>8.9255608650344487E-2</v>
          </cell>
          <cell r="F16">
            <v>3.9674505434782628</v>
          </cell>
        </row>
        <row r="17">
          <cell r="D17">
            <v>8.6946048161577236E-2</v>
          </cell>
          <cell r="F17">
            <v>3.9734545652173923</v>
          </cell>
        </row>
        <row r="18">
          <cell r="D18">
            <v>8.4777529769104062E-2</v>
          </cell>
          <cell r="F18">
            <v>3.9794585869565231</v>
          </cell>
        </row>
        <row r="19">
          <cell r="D19">
            <v>8.2761141026761451E-2</v>
          </cell>
          <cell r="F19">
            <v>3.9854626086956535</v>
          </cell>
        </row>
        <row r="20">
          <cell r="D20">
            <v>8.0908256821018112E-2</v>
          </cell>
          <cell r="F20">
            <v>3.9914666304347839</v>
          </cell>
        </row>
        <row r="21">
          <cell r="D21">
            <v>7.9230349153871005E-2</v>
          </cell>
          <cell r="F21">
            <v>3.9974706521739138</v>
          </cell>
        </row>
        <row r="22">
          <cell r="D22">
            <v>7.7738748894852619E-2</v>
          </cell>
          <cell r="F22">
            <v>4.0034746739130451</v>
          </cell>
        </row>
        <row r="23">
          <cell r="D23">
            <v>7.6444362642995103E-2</v>
          </cell>
          <cell r="F23">
            <v>4.0094786956521746</v>
          </cell>
        </row>
        <row r="24">
          <cell r="D24">
            <v>7.5357353506573591E-2</v>
          </cell>
          <cell r="F24">
            <v>4.015482717391305</v>
          </cell>
        </row>
        <row r="25">
          <cell r="D25">
            <v>7.4486800995879857E-2</v>
          </cell>
          <cell r="F25">
            <v>4.0214867391304354</v>
          </cell>
        </row>
        <row r="26">
          <cell r="D26">
            <v>7.3840361355759068E-2</v>
          </cell>
          <cell r="F26">
            <v>4.0274907608695658</v>
          </cell>
        </row>
        <row r="27">
          <cell r="D27">
            <v>7.3423954232678723E-2</v>
          </cell>
          <cell r="F27">
            <v>4.0334947826086962</v>
          </cell>
        </row>
        <row r="28">
          <cell r="D28">
            <v>7.3241503211226341E-2</v>
          </cell>
          <cell r="F28">
            <v>4.0394988043478257</v>
          </cell>
        </row>
        <row r="29">
          <cell r="D29">
            <v>7.329475545754835E-2</v>
          </cell>
          <cell r="F29">
            <v>4.045502826086957</v>
          </cell>
        </row>
        <row r="30">
          <cell r="D30">
            <v>7.358319923724238E-2</v>
          </cell>
          <cell r="F30">
            <v>4.0515068478260865</v>
          </cell>
        </row>
        <row r="31">
          <cell r="D31">
            <v>7.4104088212849348E-2</v>
          </cell>
          <cell r="F31">
            <v>4.0575108695652169</v>
          </cell>
        </row>
      </sheetData>
      <sheetData sheetId="2" refreshError="1"/>
      <sheetData sheetId="3" refreshError="1"/>
      <sheetData sheetId="4" refreshError="1"/>
      <sheetData sheetId="5" refreshError="1"/>
      <sheetData sheetId="6" refreshError="1"/>
      <sheetData sheetId="7">
        <row r="11">
          <cell r="D11">
            <v>0.10256580965724643</v>
          </cell>
        </row>
      </sheetData>
      <sheetData sheetId="8">
        <row r="11">
          <cell r="D11">
            <v>0.10256580965724643</v>
          </cell>
        </row>
      </sheetData>
      <sheetData sheetId="9">
        <row r="11">
          <cell r="D11">
            <v>0.10256580965724643</v>
          </cell>
        </row>
      </sheetData>
      <sheetData sheetId="10">
        <row r="11">
          <cell r="D11">
            <v>0.10256580965724643</v>
          </cell>
        </row>
      </sheetData>
      <sheetData sheetId="11">
        <row r="11">
          <cell r="D11">
            <v>0.10256580965724643</v>
          </cell>
        </row>
      </sheetData>
      <sheetData sheetId="12">
        <row r="11">
          <cell r="D11">
            <v>0.10256580965724643</v>
          </cell>
        </row>
      </sheetData>
      <sheetData sheetId="13">
        <row r="11">
          <cell r="D11">
            <v>0.10256580965724643</v>
          </cell>
        </row>
      </sheetData>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ow r="11">
          <cell r="D11">
            <v>0.10256580965724643</v>
          </cell>
        </row>
      </sheetData>
      <sheetData sheetId="32">
        <row r="11">
          <cell r="D11">
            <v>0.10256580965724643</v>
          </cell>
        </row>
      </sheetData>
      <sheetData sheetId="33"/>
      <sheetData sheetId="34">
        <row r="11">
          <cell r="D11">
            <v>0.10256580965724643</v>
          </cell>
        </row>
      </sheetData>
      <sheetData sheetId="35" refreshError="1"/>
      <sheetData sheetId="36"/>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ow r="11">
          <cell r="D11" t="str">
            <v>GC Contingency</v>
          </cell>
        </row>
      </sheetData>
      <sheetData sheetId="46" refreshError="1"/>
      <sheetData sheetId="47" refreshError="1"/>
      <sheetData sheetId="48" refreshError="1"/>
      <sheetData sheetId="49">
        <row r="29">
          <cell r="D29">
            <v>0</v>
          </cell>
        </row>
      </sheetData>
      <sheetData sheetId="50"/>
      <sheetData sheetId="51"/>
      <sheetData sheetId="52"/>
      <sheetData sheetId="53"/>
      <sheetData sheetId="54" refreshError="1"/>
      <sheetData sheetId="55" refreshError="1"/>
      <sheetData sheetId="56" refreshError="1"/>
      <sheetData sheetId="57">
        <row r="11">
          <cell r="D11" t="str">
            <v>Jon Cleveland</v>
          </cell>
        </row>
      </sheetData>
      <sheetData sheetId="58" refreshError="1"/>
      <sheetData sheetId="59" refreshError="1"/>
      <sheetData sheetId="60" refreshError="1"/>
      <sheetData sheetId="61" refreshError="1"/>
      <sheetData sheetId="62" refreshError="1"/>
      <sheetData sheetId="63"/>
      <sheetData sheetId="64" refreshError="1"/>
      <sheetData sheetId="65" refreshError="1"/>
      <sheetData sheetId="66" refreshError="1"/>
      <sheetData sheetId="67" refreshError="1"/>
      <sheetData sheetId="68" refreshError="1"/>
      <sheetData sheetId="69" refreshError="1"/>
      <sheetData sheetId="70" refreshError="1"/>
      <sheetData sheetId="71">
        <row r="11">
          <cell r="D11">
            <v>0.10256580965724643</v>
          </cell>
        </row>
      </sheetData>
      <sheetData sheetId="72">
        <row r="11">
          <cell r="D11">
            <v>0.10256580965724643</v>
          </cell>
        </row>
      </sheetData>
      <sheetData sheetId="73"/>
      <sheetData sheetId="74"/>
      <sheetData sheetId="75">
        <row r="11">
          <cell r="D11">
            <v>0.10256580965724643</v>
          </cell>
        </row>
      </sheetData>
      <sheetData sheetId="76">
        <row r="11">
          <cell r="D11">
            <v>0.10256580965724643</v>
          </cell>
        </row>
      </sheetData>
      <sheetData sheetId="77">
        <row r="11">
          <cell r="D11">
            <v>0.10256580965724643</v>
          </cell>
        </row>
      </sheetData>
      <sheetData sheetId="78">
        <row r="11">
          <cell r="D11">
            <v>0.10256580965724643</v>
          </cell>
        </row>
      </sheetData>
      <sheetData sheetId="79">
        <row r="11">
          <cell r="D11">
            <v>0.10256580965724643</v>
          </cell>
        </row>
      </sheetData>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row r="11">
          <cell r="D11" t="str">
            <v>GC Contingency</v>
          </cell>
        </row>
      </sheetData>
      <sheetData sheetId="97"/>
      <sheetData sheetId="98"/>
      <sheetData sheetId="99"/>
      <sheetData sheetId="100"/>
      <sheetData sheetId="101">
        <row r="11">
          <cell r="D11">
            <v>0.10256580965724643</v>
          </cell>
        </row>
      </sheetData>
      <sheetData sheetId="102">
        <row r="11">
          <cell r="D11">
            <v>0.10256580965724643</v>
          </cell>
        </row>
      </sheetData>
      <sheetData sheetId="103"/>
      <sheetData sheetId="104"/>
      <sheetData sheetId="105">
        <row r="11">
          <cell r="D11">
            <v>0.10256580965724643</v>
          </cell>
        </row>
      </sheetData>
      <sheetData sheetId="106">
        <row r="11">
          <cell r="D11">
            <v>0.10256580965724643</v>
          </cell>
        </row>
      </sheetData>
      <sheetData sheetId="107">
        <row r="11">
          <cell r="D11">
            <v>0.10256580965724643</v>
          </cell>
        </row>
      </sheetData>
      <sheetData sheetId="108">
        <row r="11">
          <cell r="D11">
            <v>0.10256580965724643</v>
          </cell>
        </row>
      </sheetData>
      <sheetData sheetId="109">
        <row r="11">
          <cell r="D11">
            <v>0.10256580965724643</v>
          </cell>
        </row>
      </sheetData>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row r="11">
          <cell r="D11" t="str">
            <v>GC Contingency</v>
          </cell>
        </row>
      </sheetData>
      <sheetData sheetId="127"/>
      <sheetData sheetId="128"/>
      <sheetData sheetId="129"/>
      <sheetData sheetId="130"/>
      <sheetData sheetId="131" refreshError="1"/>
      <sheetData sheetId="132" refreshError="1"/>
      <sheetData sheetId="133"/>
      <sheetData sheetId="134"/>
      <sheetData sheetId="135"/>
      <sheetData sheetId="136"/>
      <sheetData sheetId="137"/>
      <sheetData sheetId="138"/>
      <sheetData sheetId="139"/>
      <sheetData sheetId="140"/>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sheetData sheetId="150" refreshError="1"/>
      <sheetData sheetId="151" refreshError="1"/>
      <sheetData sheetId="152"/>
      <sheetData sheetId="153" refreshError="1"/>
      <sheetData sheetId="154" refreshError="1"/>
      <sheetData sheetId="155"/>
      <sheetData sheetId="156">
        <row r="11">
          <cell r="D11">
            <v>0.10256580965724643</v>
          </cell>
        </row>
      </sheetData>
      <sheetData sheetId="157"/>
      <sheetData sheetId="158"/>
      <sheetData sheetId="159"/>
      <sheetData sheetId="160"/>
      <sheetData sheetId="161">
        <row r="11">
          <cell r="D11">
            <v>0</v>
          </cell>
        </row>
      </sheetData>
      <sheetData sheetId="162"/>
      <sheetData sheetId="163"/>
      <sheetData sheetId="164">
        <row r="11">
          <cell r="D11">
            <v>0</v>
          </cell>
        </row>
      </sheetData>
      <sheetData sheetId="165"/>
      <sheetData sheetId="166"/>
      <sheetData sheetId="167">
        <row r="11">
          <cell r="D11">
            <v>0</v>
          </cell>
        </row>
      </sheetData>
      <sheetData sheetId="168"/>
      <sheetData sheetId="169"/>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sheetData sheetId="185"/>
      <sheetData sheetId="186"/>
      <sheetData sheetId="187"/>
      <sheetData sheetId="188" refreshError="1"/>
      <sheetData sheetId="189" refreshError="1"/>
      <sheetData sheetId="190">
        <row r="11">
          <cell r="D11">
            <v>0.10256580965724643</v>
          </cell>
        </row>
      </sheetData>
      <sheetData sheetId="191">
        <row r="11">
          <cell r="D11">
            <v>0.10256580965724643</v>
          </cell>
        </row>
      </sheetData>
      <sheetData sheetId="192"/>
      <sheetData sheetId="193"/>
      <sheetData sheetId="194"/>
      <sheetData sheetId="195">
        <row r="11">
          <cell r="D11" t="str">
            <v>GC Contingency</v>
          </cell>
        </row>
      </sheetData>
      <sheetData sheetId="196"/>
      <sheetData sheetId="197"/>
      <sheetData sheetId="198"/>
      <sheetData sheetId="199"/>
      <sheetData sheetId="200"/>
      <sheetData sheetId="201"/>
      <sheetData sheetId="202"/>
      <sheetData sheetId="203"/>
      <sheetData sheetId="204"/>
      <sheetData sheetId="205"/>
      <sheetData sheetId="206"/>
      <sheetData sheetId="207">
        <row r="11">
          <cell r="D11">
            <v>0.10256580965724643</v>
          </cell>
        </row>
      </sheetData>
      <sheetData sheetId="208">
        <row r="11">
          <cell r="D11">
            <v>0.10256580965724643</v>
          </cell>
        </row>
      </sheetData>
      <sheetData sheetId="209">
        <row r="11">
          <cell r="D11">
            <v>0.10256580965724643</v>
          </cell>
        </row>
      </sheetData>
      <sheetData sheetId="210">
        <row r="11">
          <cell r="D11">
            <v>0.10256580965724643</v>
          </cell>
        </row>
      </sheetData>
      <sheetData sheetId="211">
        <row r="11">
          <cell r="D11">
            <v>0.10256580965724643</v>
          </cell>
        </row>
      </sheetData>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
      <sheetName val="REITs &amp; S&amp;P"/>
      <sheetName val="Invoice Tie Out"/>
      <sheetName val="Return Summary"/>
      <sheetName val="T5D Budget 2014"/>
      <sheetName val="2014 SGA Slide Inputs"/>
      <sheetName val="T5D Budget 2015 - NEEDS UPDATE"/>
      <sheetName val="Asset Management Fees"/>
      <sheetName val="P&amp;L"/>
      <sheetName val="Sheet1"/>
      <sheetName val="Profit and Loss - 12 Month Hist"/>
      <sheetName val="DataTape"/>
      <sheetName val="Demand"/>
      <sheetName val="Occ"/>
      <sheetName val="DPW 18 &amp; 19"/>
      <sheetName val="TPS BACKUP"/>
      <sheetName val="Data Validation"/>
      <sheetName val="332 61st Street"/>
      <sheetName val="1-9 62nd Street"/>
      <sheetName val="5712-14 Hudson"/>
      <sheetName val="VlookUp Matrix"/>
      <sheetName val="Fact Sheet"/>
      <sheetName val="Cost Breakdowns"/>
      <sheetName val="Medical"/>
      <sheetName val="Dental"/>
      <sheetName val="Vision"/>
      <sheetName val="Occupancy Costs"/>
      <sheetName val="1999 BUDGET"/>
      <sheetName val="Rent Comps"/>
      <sheetName val="Value Comparison"/>
      <sheetName val="Summary"/>
      <sheetName val="Inputs &amp; Assumptions"/>
      <sheetName val="Annual Cash Flow"/>
      <sheetName val="MtoM Sale Projections"/>
      <sheetName val="Unit Sale Prices"/>
      <sheetName val="S&amp;U"/>
      <sheetName val="CF Paste-In"/>
      <sheetName val="Monthly CF"/>
      <sheetName val="DCF"/>
      <sheetName val="CF Projections"/>
      <sheetName val="Rent Roll"/>
      <sheetName val="Rollover+RR Analysis"/>
      <sheetName val="Historical Occupancy"/>
      <sheetName val="Memo-&gt;"/>
      <sheetName val="IRC"/>
      <sheetName val="Memo Financials"/>
      <sheetName val="Memo Rent Roll"/>
      <sheetName val="Leasing Bridge"/>
      <sheetName val="Leasing Expiration Report"/>
      <sheetName val="Sale Comps"/>
      <sheetName val="Sponsor-&gt;"/>
      <sheetName val="Capital Project"/>
      <sheetName val="OM Rent Roll"/>
      <sheetName val="Cash Flow"/>
      <sheetName val="Historicals"/>
      <sheetName val="MLA"/>
      <sheetName val="Argus-&gt;"/>
      <sheetName val="11.22 TRT Base"/>
      <sheetName val="11.20 TRT CF"/>
      <sheetName val="11.12 SPONSOR CF"/>
      <sheetName val="Sponsor Cash Flow "/>
      <sheetName val="Model Inputs"/>
      <sheetName val="Lease Summary Report"/>
      <sheetName val="Archive-&gt;"/>
      <sheetName val="Leasing Activity"/>
      <sheetName val="Hoja1"/>
      <sheetName val="P"/>
      <sheetName val="G"/>
      <sheetName val="S"/>
      <sheetName val="N"/>
      <sheetName val="T"/>
      <sheetName val="U"/>
      <sheetName val="W"/>
      <sheetName val="M"/>
      <sheetName val="#REF"/>
      <sheetName val="REITs_&amp;_S&amp;P"/>
      <sheetName val="Invoice_Tie_Out"/>
      <sheetName val="Return_Summary"/>
      <sheetName val="T5D_Budget_2014"/>
      <sheetName val="2014_SGA_Slide_Inputs"/>
      <sheetName val="T5D_Budget_2015_-_NEEDS_UPDATE"/>
      <sheetName val="Asset_Management_Fees"/>
      <sheetName val="Profit_and_Loss_-_12_Month_Hist"/>
      <sheetName val="soc1"/>
      <sheetName val="OPER BDGT"/>
      <sheetName val="DPW_18_&amp;_19"/>
      <sheetName val="TPS_BACKUP"/>
      <sheetName val="VlookUp_Matrix"/>
      <sheetName val="REITs_&amp;_S&amp;P1"/>
      <sheetName val="Invoice_Tie_Out1"/>
      <sheetName val="Return_Summary1"/>
      <sheetName val="T5D_Budget_20141"/>
      <sheetName val="2014_SGA_Slide_Inputs1"/>
      <sheetName val="T5D_Budget_2015_-_NEEDS_UPDATE1"/>
      <sheetName val="Asset_Management_Fees1"/>
      <sheetName val="Profit_and_Loss_-_12_Month_His1"/>
      <sheetName val="DPW_18_&amp;_191"/>
      <sheetName val="TPS_BACKUP1"/>
      <sheetName val="VlookUp_Matrix1"/>
      <sheetName val="cmo"/>
      <sheetName val="Cost_Breakdowns"/>
      <sheetName val="Data_Validation"/>
      <sheetName val="332_61st_Street"/>
      <sheetName val="1-9_62nd_Street"/>
      <sheetName val="5712-14_Hudson"/>
      <sheetName val="Cost_Breakdowns1"/>
      <sheetName val="332_61st_Street1"/>
      <sheetName val="1-9_62nd_Street1"/>
      <sheetName val="5712-14_Hudson1"/>
      <sheetName val="Data_Validation1"/>
      <sheetName val="fcf"/>
      <sheetName val="Ch20 CMBS"/>
      <sheetName val="Regression Analysis"/>
    </sheetNames>
    <sheetDataSet>
      <sheetData sheetId="0" refreshError="1">
        <row r="171">
          <cell r="D171">
            <v>0</v>
          </cell>
          <cell r="E171">
            <v>0.19104004814636055</v>
          </cell>
        </row>
        <row r="172">
          <cell r="D172">
            <v>0.05</v>
          </cell>
          <cell r="E172">
            <v>0.17331256212247201</v>
          </cell>
        </row>
        <row r="173">
          <cell r="D173">
            <v>0.1</v>
          </cell>
          <cell r="E173">
            <v>0.16098670463276857</v>
          </cell>
        </row>
        <row r="174">
          <cell r="D174">
            <v>0.15000000000000002</v>
          </cell>
          <cell r="E174">
            <v>0.15532835618367249</v>
          </cell>
        </row>
        <row r="175">
          <cell r="D175">
            <v>0.2</v>
          </cell>
          <cell r="E175">
            <v>0.14993493952328116</v>
          </cell>
        </row>
        <row r="176">
          <cell r="D176">
            <v>0.25</v>
          </cell>
          <cell r="E176">
            <v>0.14737549187106463</v>
          </cell>
        </row>
        <row r="177">
          <cell r="D177">
            <v>0.3</v>
          </cell>
          <cell r="E177">
            <v>0.14738328611616652</v>
          </cell>
        </row>
      </sheetData>
      <sheetData sheetId="1" refreshError="1"/>
      <sheetData sheetId="2" refreshError="1"/>
      <sheetData sheetId="3">
        <row r="171">
          <cell r="D171">
            <v>0</v>
          </cell>
        </row>
      </sheetData>
      <sheetData sheetId="4">
        <row r="171">
          <cell r="D171">
            <v>0</v>
          </cell>
        </row>
      </sheetData>
      <sheetData sheetId="5">
        <row r="171">
          <cell r="D171">
            <v>0</v>
          </cell>
        </row>
      </sheetData>
      <sheetData sheetId="6">
        <row r="171">
          <cell r="D171">
            <v>0</v>
          </cell>
        </row>
      </sheetData>
      <sheetData sheetId="7">
        <row r="171">
          <cell r="D171">
            <v>0</v>
          </cell>
        </row>
      </sheetData>
      <sheetData sheetId="8"/>
      <sheetData sheetId="9">
        <row r="171">
          <cell r="D171" t="str">
            <v>In Date</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sheetData sheetId="23"/>
      <sheetData sheetId="24"/>
      <sheetData sheetId="25"/>
      <sheetData sheetId="26" refreshError="1"/>
      <sheetData sheetId="27" refreshError="1"/>
      <sheetData sheetId="28" refreshError="1"/>
      <sheetData sheetId="29" refreshError="1"/>
      <sheetData sheetId="30"/>
      <sheetData sheetId="31"/>
      <sheetData sheetId="32"/>
      <sheetData sheetId="33"/>
      <sheetData sheetId="34" refreshError="1"/>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sheetData sheetId="76"/>
      <sheetData sheetId="77">
        <row r="171">
          <cell r="D171">
            <v>0</v>
          </cell>
        </row>
      </sheetData>
      <sheetData sheetId="78">
        <row r="171">
          <cell r="D171">
            <v>0</v>
          </cell>
        </row>
      </sheetData>
      <sheetData sheetId="79">
        <row r="171">
          <cell r="D171">
            <v>0</v>
          </cell>
        </row>
      </sheetData>
      <sheetData sheetId="80">
        <row r="171">
          <cell r="D171">
            <v>0</v>
          </cell>
        </row>
      </sheetData>
      <sheetData sheetId="81">
        <row r="171">
          <cell r="D171">
            <v>0</v>
          </cell>
        </row>
      </sheetData>
      <sheetData sheetId="82"/>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sheetData sheetId="101"/>
      <sheetData sheetId="102"/>
      <sheetData sheetId="103"/>
      <sheetData sheetId="104"/>
      <sheetData sheetId="105"/>
      <sheetData sheetId="106"/>
      <sheetData sheetId="107"/>
      <sheetData sheetId="108"/>
      <sheetData sheetId="109"/>
      <sheetData sheetId="110" refreshError="1"/>
      <sheetData sheetId="111" refreshError="1"/>
      <sheetData sheetId="11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
      <sheetName val="Return Summary"/>
      <sheetName val="T5D Budget 2014"/>
      <sheetName val="2014 SGA Slide Inputs"/>
      <sheetName val="T5D Budget 2015 - NEEDS UPDATE"/>
      <sheetName val="Asset Management Fees"/>
      <sheetName val="P&amp;L"/>
      <sheetName val="Sheet1"/>
      <sheetName val="Profit and Loss - 12 Month Hist"/>
      <sheetName val="summsht"/>
      <sheetName val="HIDE (DO NOT TOUCH)"/>
      <sheetName val="Fuel Consumption Report - PSEG"/>
      <sheetName val="Fuel Consumption Report - gas"/>
      <sheetName val="Deal CF"/>
      <sheetName val="Roll Up Pro Forma"/>
      <sheetName val="Newman Budget"/>
      <sheetName val="Landmark Budget"/>
      <sheetName val="Target Budget"/>
      <sheetName val="Unit Mix - Retail"/>
      <sheetName val="Unit Mix-Residential"/>
      <sheetName val="UW Unit Mix-Residential"/>
      <sheetName val="UW Pro Forma"/>
      <sheetName val="Boden 2017.2018 Year"/>
      <sheetName val="Endi - 18 Budget"/>
      <sheetName val="Occ"/>
      <sheetName val="Demand"/>
      <sheetName val="DETAIL"/>
      <sheetName val="Summary"/>
      <sheetName val="Inputs &amp; Assumptions"/>
      <sheetName val="10 Yr Pro Forma"/>
      <sheetName val="Amortization Schedule"/>
      <sheetName val="Detailed Expenses"/>
      <sheetName val="Lease-up schedule"/>
      <sheetName val="1999 BUDGET"/>
      <sheetName val="EntityInformation"/>
      <sheetName val="C"/>
      <sheetName val="Assum"/>
      <sheetName val="REITs &amp; S&amp;P"/>
      <sheetName val="Ch20 CMBS"/>
      <sheetName val="prkg"/>
      <sheetName val="Hoja1"/>
      <sheetName val="soc1"/>
      <sheetName val="Proforma"/>
      <sheetName val="Loan Data"/>
      <sheetName val="Historicals"/>
      <sheetName val="Property_Loan Specs "/>
      <sheetName val="Tenant Sales"/>
      <sheetName val="Demographics"/>
      <sheetName val="Return_Summary"/>
      <sheetName val="T5D_Budget_2014"/>
      <sheetName val="2014_SGA_Slide_Inputs"/>
      <sheetName val="T5D_Budget_2015_-_NEEDS_UPDATE"/>
      <sheetName val="Asset_Management_Fees"/>
      <sheetName val="Profit_and_Loss_-_12_Month_Hist"/>
      <sheetName val="Return_Summary1"/>
      <sheetName val="T5D_Budget_20141"/>
      <sheetName val="2014_SGA_Slide_Inputs1"/>
      <sheetName val="T5D_Budget_2015_-_NEEDS_UPDATE1"/>
      <sheetName val="Asset_Management_Fees1"/>
      <sheetName val="Profit_and_Loss_-_12_Month_His1"/>
      <sheetName val="CF"/>
      <sheetName val="Asu"/>
      <sheetName val="General INPUTS"/>
      <sheetName val="MONTHLY"/>
      <sheetName val="Monthly Cash Flows"/>
      <sheetName val="Development INPUTS"/>
      <sheetName val="Monthly Waterfall Calculation"/>
      <sheetName val="Commercial Assumptions INPUTS"/>
      <sheetName val="Roll_Up_Pro_Forma"/>
      <sheetName val="Newman_Budget"/>
      <sheetName val="Landmark_Budget"/>
      <sheetName val="Target_Budget"/>
      <sheetName val="Unit_Mix_-_Retail"/>
      <sheetName val="Unit_Mix-Residential"/>
      <sheetName val="UW_Unit_Mix-Residential"/>
      <sheetName val="UW_Pro_Forma"/>
      <sheetName val="Boden_2017_2018_Year"/>
      <sheetName val="Endi_-_18_Budget"/>
      <sheetName val="Fuel_Consumption_Report_-_PSEG"/>
      <sheetName val="Fuel_Consumption_Report_-_gas"/>
      <sheetName val="REITs_&amp;_S&amp;P"/>
      <sheetName val="1999_BUDGET"/>
      <sheetName val="Ch20_CMBS"/>
      <sheetName val="HIDE_(DO_NOT_TOUCH)"/>
      <sheetName val="Roll_Up_Pro_Forma1"/>
      <sheetName val="Newman_Budget1"/>
      <sheetName val="Landmark_Budget1"/>
      <sheetName val="Target_Budget1"/>
      <sheetName val="Unit_Mix_-_Retail1"/>
      <sheetName val="Unit_Mix-Residential1"/>
      <sheetName val="UW_Unit_Mix-Residential1"/>
      <sheetName val="UW_Pro_Forma1"/>
      <sheetName val="Boden_2017_2018_Year1"/>
      <sheetName val="Endi_-_18_Budget1"/>
      <sheetName val="Fuel_Consumption_Report_-_PSEG1"/>
      <sheetName val="Fuel_Consumption_Report_-_gas1"/>
      <sheetName val="REITs_&amp;_S&amp;P1"/>
      <sheetName val="1999_BUDGET1"/>
      <sheetName val="Ch20_CMBS1"/>
      <sheetName val="HIDE_(DO_NOT_TOUCH)1"/>
      <sheetName val="FIJOSP8 EURO"/>
    </sheetNames>
    <sheetDataSet>
      <sheetData sheetId="0" refreshError="1">
        <row r="60">
          <cell r="F60">
            <v>0.2</v>
          </cell>
        </row>
        <row r="135">
          <cell r="E135">
            <v>5.3792676242975117E-2</v>
          </cell>
        </row>
        <row r="136">
          <cell r="E136">
            <v>6.5681770075035173E-2</v>
          </cell>
        </row>
        <row r="137">
          <cell r="E137">
            <v>7.9037589924664753E-2</v>
          </cell>
        </row>
        <row r="138">
          <cell r="E138">
            <v>9.3672789192370182E-2</v>
          </cell>
        </row>
        <row r="139">
          <cell r="E139">
            <v>0.10935888548657445</v>
          </cell>
        </row>
        <row r="140">
          <cell r="E140">
            <v>0.12586561470778773</v>
          </cell>
        </row>
        <row r="141">
          <cell r="E141">
            <v>0.14298917762938032</v>
          </cell>
        </row>
      </sheetData>
      <sheetData sheetId="1">
        <row r="135">
          <cell r="E135">
            <v>5.3792676242975117E-2</v>
          </cell>
        </row>
      </sheetData>
      <sheetData sheetId="2">
        <row r="135">
          <cell r="E135">
            <v>5.3792676242975117E-2</v>
          </cell>
        </row>
      </sheetData>
      <sheetData sheetId="3">
        <row r="135">
          <cell r="E135">
            <v>5.3792676242975117E-2</v>
          </cell>
        </row>
      </sheetData>
      <sheetData sheetId="4">
        <row r="135">
          <cell r="E135">
            <v>5.3792676242975117E-2</v>
          </cell>
        </row>
      </sheetData>
      <sheetData sheetId="5">
        <row r="135">
          <cell r="E135">
            <v>5.3792676242975117E-2</v>
          </cell>
        </row>
      </sheetData>
      <sheetData sheetId="6">
        <row r="135">
          <cell r="E135">
            <v>5.3792676242975117E-2</v>
          </cell>
        </row>
      </sheetData>
      <sheetData sheetId="7">
        <row r="135">
          <cell r="E135">
            <v>5.3792676242975117E-2</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sheetData sheetId="28"/>
      <sheetData sheetId="29"/>
      <sheetData sheetId="30"/>
      <sheetData sheetId="3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sheetData sheetId="41" refreshError="1"/>
      <sheetData sheetId="42"/>
      <sheetData sheetId="43"/>
      <sheetData sheetId="44"/>
      <sheetData sheetId="45"/>
      <sheetData sheetId="46"/>
      <sheetData sheetId="47"/>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mix-size-rents"/>
      <sheetName val="vacancy"/>
      <sheetName val="unitmix"/>
      <sheetName val="rentanaly"/>
      <sheetName val="unitsize"/>
      <sheetName val="rentfoot"/>
      <sheetName val="in-unit"/>
      <sheetName val="project"/>
      <sheetName val="premiums"/>
      <sheetName val="security"/>
      <sheetName val="park"/>
      <sheetName val="Marketing effect."/>
      <sheetName val="RATING"/>
      <sheetName val="Rent Trends"/>
      <sheetName val="Vac Trends"/>
      <sheetName val="t-o$vacancy"/>
      <sheetName val="rent&amp;vac-trnds"/>
      <sheetName val="summary"/>
      <sheetName val="RENTANAL"/>
      <sheetName val="Operating Inpu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mix-size-rents"/>
      <sheetName val="vacancy"/>
      <sheetName val="unitmix"/>
      <sheetName val="rentanaly"/>
      <sheetName val="unitsize"/>
      <sheetName val="rentfoot"/>
      <sheetName val="in-unit"/>
      <sheetName val="project"/>
      <sheetName val="premiums"/>
      <sheetName val="security"/>
      <sheetName val="park"/>
      <sheetName val="Marketing effect."/>
      <sheetName val="RATING"/>
      <sheetName val="Rent Trends"/>
      <sheetName val="Vac Trends"/>
      <sheetName val="t-o$vacancy"/>
      <sheetName val="rent&amp;vac-trnds"/>
      <sheetName val="summary"/>
      <sheetName val="RENTANA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Peer Review"/>
      <sheetName val="Model Checklist"/>
      <sheetName val="DSR Data"/>
      <sheetName val="Pipeline Inputs"/>
      <sheetName val="Venture Summary - Annual"/>
      <sheetName val="Venture Summary - Qrtly"/>
      <sheetName val="Venture Model Outputs"/>
      <sheetName val="LMV Summary"/>
      <sheetName val="Venture Summary - Mthly"/>
      <sheetName val="Venture Assumptions"/>
      <sheetName val="Model Updates"/>
      <sheetName val="SBS Summary"/>
      <sheetName val="Finance Summary"/>
      <sheetName val="Macros"/>
      <sheetName val="Cover"/>
      <sheetName val="SBS Insert"/>
      <sheetName val="Sensitivity"/>
      <sheetName val="Summary"/>
      <sheetName val="General Inputs"/>
      <sheetName val="Operating Inputs"/>
      <sheetName val="Development Inputs"/>
      <sheetName val="Line Item Sum"/>
      <sheetName val="Tax Inputs"/>
      <sheetName val="Emblem Mix &amp; Cost Generator"/>
      <sheetName val="Tax Calcs"/>
      <sheetName val="Forward Curves"/>
      <sheetName val="Anchor Rent Builder"/>
      <sheetName val="Workbench"/>
      <sheetName val="Fee Detail"/>
      <sheetName val="TIF Summary"/>
      <sheetName val="Unit Summary - MOA"/>
      <sheetName val="Comp Set Rent Builder"/>
      <sheetName val="Soft Cost Detail"/>
      <sheetName val="Front Money Budget"/>
      <sheetName val="A-DevBdgt"/>
      <sheetName val="DMP"/>
      <sheetName val="Emblem Checklist"/>
      <sheetName val="Unit Matrix"/>
      <sheetName val="DevBdgt"/>
      <sheetName val="A-OperBgt"/>
      <sheetName val="OperBgt"/>
      <sheetName val="LD Calculations"/>
      <sheetName val="A-Waterfalls"/>
      <sheetName val="Waterfalls"/>
      <sheetName val="Lennar Corp IRR"/>
      <sheetName val="Consol CF"/>
      <sheetName val="S&amp;U"/>
      <sheetName val="Package Inser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Set>
  </externalBook>
</externalLink>
</file>

<file path=xl/persons/person.xml><?xml version="1.0" encoding="utf-8"?>
<personList xmlns="http://schemas.microsoft.com/office/spreadsheetml/2018/threadedcomments" xmlns:x="http://schemas.openxmlformats.org/spreadsheetml/2006/main">
  <person displayName="Cameron Koch" id="{97C311AC-1F53-4815-AE78-1BA2170A6098}" userId="S::cameron.koch@quarterra.com::4afa0285-ff3a-493a-9ffa-5de9f6f62f00" providerId="AD"/>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1</v>
  </rv>
  <rv s="1">
    <v>13</v>
    <v>3</v>
  </rv>
</rvData>
</file>

<file path=xl/richData/rdrichvaluestructure.xml><?xml version="1.0" encoding="utf-8"?>
<rvStructures xmlns="http://schemas.microsoft.com/office/spreadsheetml/2017/richdata" count="2">
  <s t="_error">
    <k n="errorType" t="i"/>
    <k n="propagated" t="b"/>
  </s>
  <s t="_error">
    <k n="errorType" t="i"/>
    <k n="subType" t="i"/>
  </s>
</rvStructures>
</file>

<file path=xl/theme/theme1.xml><?xml version="1.0" encoding="utf-8"?>
<a:theme xmlns:a="http://schemas.openxmlformats.org/drawingml/2006/main" name="Office Theme">
  <a:themeElements>
    <a:clrScheme name="Custom 73">
      <a:dk1>
        <a:sysClr val="windowText" lastClr="000000"/>
      </a:dk1>
      <a:lt1>
        <a:sysClr val="window" lastClr="FFFFFF"/>
      </a:lt1>
      <a:dk2>
        <a:srgbClr val="1E1E20"/>
      </a:dk2>
      <a:lt2>
        <a:srgbClr val="E7E7E9"/>
      </a:lt2>
      <a:accent1>
        <a:srgbClr val="183426"/>
      </a:accent1>
      <a:accent2>
        <a:srgbClr val="0EA9B6"/>
      </a:accent2>
      <a:accent3>
        <a:srgbClr val="DEAE00"/>
      </a:accent3>
      <a:accent4>
        <a:srgbClr val="B77BB4"/>
      </a:accent4>
      <a:accent5>
        <a:srgbClr val="E0773C"/>
      </a:accent5>
      <a:accent6>
        <a:srgbClr val="A98D63"/>
      </a:accent6>
      <a:hlink>
        <a:srgbClr val="26CBEC"/>
      </a:hlink>
      <a:folHlink>
        <a:srgbClr val="598C8C"/>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2" dT="2024-03-27T18:26:23.22" personId="{97C311AC-1F53-4815-AE78-1BA2170A6098}" id="{BD51500C-28C7-4DDC-BDC9-E01ADA9A0CF6}">
    <text>Can use this to sort if you want to "rank" pursuits, is not a DC field</text>
  </threadedComment>
  <threadedComment ref="C2" dT="2024-03-27T18:07:58.68" personId="{97C311AC-1F53-4815-AE78-1BA2170A6098}" id="{DE8A355A-C851-4D41-9C34-E1D789E2F92E}">
    <text>This is not a field in DC yet, but will be soon</text>
  </threadedComment>
  <threadedComment ref="D2" dT="2024-03-27T18:27:12.16" personId="{97C311AC-1F53-4815-AE78-1BA2170A6098}" id="{A3B4865D-4F17-498E-9602-8ADF0DCEAB17}">
    <text>Be intentional when naming a pursuit, the only way to change this is on the DC platform. If name changes in this file, the import will create a duplicate</text>
  </threadedComment>
  <threadedComment ref="F2" dT="2024-03-27T18:15:44.66" personId="{97C311AC-1F53-4815-AE78-1BA2170A6098}" id="{A653E6BA-359E-42F2-8F9B-D7C83FF98A09}">
    <text>Always yes</text>
  </threadedComment>
  <threadedComment ref="AE2" dT="2024-03-27T17:04:10.72" personId="{97C311AC-1F53-4815-AE78-1BA2170A6098}" id="{F04964FF-E45B-48D1-BA9E-A07534DAB71C}">
    <text>If removed, replace formula in Land SF with hard code</text>
  </threadedComment>
  <threadedComment ref="AL2" dT="2024-03-27T18:16:32.24" personId="{97C311AC-1F53-4815-AE78-1BA2170A6098}" id="{BD54F138-5D37-4E3D-9801-489E42C3445A}">
    <text>This is the date that you expect to take your PIM to IC</text>
  </threadedComment>
</ThreadedComments>
</file>

<file path=xl/threadedComments/threadedComment2.xml><?xml version="1.0" encoding="utf-8"?>
<ThreadedComments xmlns="http://schemas.microsoft.com/office/spreadsheetml/2018/threadedcomments" xmlns:x="http://schemas.openxmlformats.org/spreadsheetml/2006/main">
  <threadedComment ref="E87" dT="2024-11-01T18:27:07.77" personId="{97C311AC-1F53-4815-AE78-1BA2170A6098}" id="{11BB16FD-44E0-4609-9AFD-B93CD6B9ED85}">
    <text xml:space="preserve">For architectural due diligence: 
Include $15k for Emblem Original
Include the total in R34 for Emblem West Coast </text>
  </threadedComment>
</ThreadedComments>
</file>

<file path=xl/threadedComments/threadedComment3.xml><?xml version="1.0" encoding="utf-8"?>
<ThreadedComments xmlns="http://schemas.microsoft.com/office/spreadsheetml/2018/threadedcomments" xmlns:x="http://schemas.openxmlformats.org/spreadsheetml/2006/main">
  <threadedComment ref="E14" dT="2025-12-08T15:33:17.09" personId="{97C311AC-1F53-4815-AE78-1BA2170A6098}" id="{8FCFFC7C-6E3E-4C80-A08C-31F15A780D1D}">
    <text>Lookup to tax rate on Tax Study Inputs tab</text>
  </threadedComment>
</ThreadedComments>
</file>

<file path=xl/threadedComments/threadedComment4.xml><?xml version="1.0" encoding="utf-8"?>
<ThreadedComments xmlns="http://schemas.microsoft.com/office/spreadsheetml/2018/threadedcomments" xmlns:x="http://schemas.openxmlformats.org/spreadsheetml/2006/main">
  <threadedComment ref="C327" dT="2024-11-06T19:44:51.24" personId="{97C311AC-1F53-4815-AE78-1BA2170A6098}" id="{570BA83D-B695-41CE-9841-A304355E6005}">
    <text>% of Q equity that is subordinated</text>
  </threadedComment>
  <threadedComment ref="C328" dT="2024-11-06T19:44:51.24" personId="{97C311AC-1F53-4815-AE78-1BA2170A6098}" id="{48D0D902-B22C-4079-9452-D95664201B1F}">
    <text>% of Q equity that is subordinated</text>
  </threadedComment>
</ThreadedComments>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7.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6.xml"/><Relationship Id="rId2" Type="http://schemas.openxmlformats.org/officeDocument/2006/relationships/drawing" Target="../drawings/drawing4.xml"/><Relationship Id="rId1" Type="http://schemas.openxmlformats.org/officeDocument/2006/relationships/printerSettings" Target="../printerSettings/printerSettings8.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4.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5.bin"/><Relationship Id="rId5" Type="http://schemas.microsoft.com/office/2017/10/relationships/threadedComment" Target="../threadedComments/threadedComment2.xml"/><Relationship Id="rId4" Type="http://schemas.openxmlformats.org/officeDocument/2006/relationships/comments" Target="../comments8.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3" Type="http://schemas.openxmlformats.org/officeDocument/2006/relationships/hyperlink" Target="https://www.achdidaho.org/home/showpublisheddocument/1814/639016553744230000" TargetMode="External"/><Relationship Id="rId2" Type="http://schemas.openxmlformats.org/officeDocument/2006/relationships/hyperlink" Target="https://www.achdidaho.org/projects/development-resources/impact-fees" TargetMode="External"/><Relationship Id="rId1" Type="http://schemas.openxmlformats.org/officeDocument/2006/relationships/hyperlink" Target="https://meridiancity.org/community-development/building/fee-schedules-calculators-estimating/" TargetMode="External"/><Relationship Id="rId6" Type="http://schemas.openxmlformats.org/officeDocument/2006/relationships/hyperlink" Target="https://boisedev.com/news/2025/09/29/ada-co-asking-cities-to-collect-impact-fees/" TargetMode="External"/><Relationship Id="rId5" Type="http://schemas.openxmlformats.org/officeDocument/2006/relationships/hyperlink" Target="https://meridiancity.org/community-development/land/fees/" TargetMode="External"/><Relationship Id="rId4" Type="http://schemas.openxmlformats.org/officeDocument/2006/relationships/hyperlink" Target="https://www.achdidaho.org/home/showpublisheddocument/344/638367661826800000" TargetMode="Externa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17.bin"/><Relationship Id="rId2" Type="http://schemas.openxmlformats.org/officeDocument/2006/relationships/hyperlink" Target="https://www.pensford.com/resources/forward-curve" TargetMode="External"/><Relationship Id="rId1" Type="http://schemas.openxmlformats.org/officeDocument/2006/relationships/hyperlink" Target="https://fred.stlouisfed.org/series/SOFR" TargetMode="External"/></Relationships>
</file>

<file path=xl/worksheets/_rels/sheet3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8.bin"/><Relationship Id="rId4" Type="http://schemas.microsoft.com/office/2017/10/relationships/threadedComment" Target="../threadedComments/threadedComment3.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3.vml"/><Relationship Id="rId1" Type="http://schemas.openxmlformats.org/officeDocument/2006/relationships/printerSettings" Target="../printerSettings/printerSettings20.bin"/></Relationships>
</file>

<file path=xl/worksheets/_rels/sheet36.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4.v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5.vml"/><Relationship Id="rId1" Type="http://schemas.openxmlformats.org/officeDocument/2006/relationships/printerSettings" Target="../printerSettings/printerSettings22.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4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6.vml"/><Relationship Id="rId1" Type="http://schemas.openxmlformats.org/officeDocument/2006/relationships/printerSettings" Target="../printerSettings/printerSettings26.bin"/><Relationship Id="rId4" Type="http://schemas.microsoft.com/office/2017/10/relationships/threadedComment" Target="../threadedComments/threadedComment4.xml"/></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E57288-7180-4689-926E-1650648B702F}">
  <sheetPr codeName="Sheet22">
    <tabColor rgb="FF00B0F0"/>
  </sheetPr>
  <dimension ref="A1:EL490"/>
  <sheetViews>
    <sheetView showGridLines="0" zoomScale="85" zoomScaleNormal="85" workbookViewId="0">
      <pane xSplit="4" ySplit="7" topLeftCell="E8" activePane="bottomRight" state="frozen"/>
      <selection pane="topRight" activeCell="I43" sqref="I43"/>
      <selection pane="bottomLeft" activeCell="I43" sqref="I43"/>
      <selection pane="bottomRight" activeCell="B24" sqref="B24"/>
    </sheetView>
  </sheetViews>
  <sheetFormatPr defaultColWidth="0" defaultRowHeight="12.75" customHeight="1" x14ac:dyDescent="0.3"/>
  <cols>
    <col min="1" max="1" width="3" customWidth="1"/>
    <col min="2" max="2" width="61.33203125" bestFit="1" customWidth="1"/>
    <col min="3" max="3" width="14.6640625" customWidth="1"/>
    <col min="4" max="4" width="4.6640625" customWidth="1"/>
    <col min="5" max="17" width="14.6640625" customWidth="1"/>
    <col min="18" max="142" width="0" hidden="1" customWidth="1"/>
    <col min="143" max="16384" width="9.33203125" hidden="1"/>
  </cols>
  <sheetData>
    <row r="1" spans="1:17" s="788" customFormat="1" ht="12.75" customHeight="1" x14ac:dyDescent="0.3">
      <c r="A1" s="786"/>
      <c r="B1" s="787" t="s">
        <v>0</v>
      </c>
      <c r="C1" s="786"/>
      <c r="D1" s="786"/>
      <c r="E1" s="786"/>
      <c r="F1" s="786"/>
      <c r="G1" s="786"/>
      <c r="H1" s="786"/>
      <c r="I1" s="786"/>
      <c r="J1" s="786"/>
      <c r="K1" s="786"/>
      <c r="L1" s="786"/>
      <c r="M1" s="786"/>
      <c r="N1" s="786"/>
      <c r="O1" s="786"/>
      <c r="P1" s="786"/>
      <c r="Q1" s="786"/>
    </row>
    <row r="2" spans="1:17" s="788" customFormat="1" ht="12.75" customHeight="1" x14ac:dyDescent="0.3">
      <c r="A2" s="786"/>
      <c r="B2" s="789" t="str">
        <f>'General Inputs'!B7</f>
        <v>Emblem Meridian</v>
      </c>
      <c r="D2" s="786"/>
      <c r="E2" s="786"/>
      <c r="F2" s="786"/>
      <c r="G2" s="786"/>
      <c r="H2" s="786"/>
      <c r="I2" s="786"/>
      <c r="J2" s="786"/>
      <c r="K2" s="786"/>
      <c r="L2" s="786"/>
      <c r="M2" s="786"/>
      <c r="N2" s="786"/>
      <c r="O2" s="786"/>
      <c r="P2" s="786"/>
      <c r="Q2" s="786"/>
    </row>
    <row r="3" spans="1:17" ht="12.75" customHeight="1" x14ac:dyDescent="0.3">
      <c r="A3" s="782"/>
      <c r="B3" s="782"/>
      <c r="C3" s="782"/>
      <c r="D3" s="782"/>
      <c r="E3" s="782"/>
      <c r="F3" s="782"/>
      <c r="G3" s="782"/>
      <c r="H3" s="782"/>
      <c r="I3" s="782"/>
      <c r="J3" s="782"/>
      <c r="K3" s="782"/>
      <c r="L3" s="782"/>
      <c r="M3" s="782"/>
      <c r="N3" s="782"/>
      <c r="O3" s="782"/>
      <c r="P3" s="782"/>
      <c r="Q3" s="782"/>
    </row>
    <row r="4" spans="1:17" ht="12.75" customHeight="1" x14ac:dyDescent="0.3">
      <c r="A4" s="782"/>
      <c r="B4" s="782" t="s">
        <v>1</v>
      </c>
      <c r="C4" s="782"/>
      <c r="D4" s="782"/>
      <c r="E4" s="797">
        <f>'Venture Assumptions'!$F$6</f>
        <v>45169</v>
      </c>
      <c r="F4" s="797">
        <f>EOMONTH(E4,12)</f>
        <v>45535</v>
      </c>
      <c r="G4" s="797">
        <f t="shared" ref="G4:P4" si="0">EOMONTH(F4,12)</f>
        <v>45900</v>
      </c>
      <c r="H4" s="797">
        <f t="shared" si="0"/>
        <v>46265</v>
      </c>
      <c r="I4" s="797">
        <f t="shared" si="0"/>
        <v>46630</v>
      </c>
      <c r="J4" s="797">
        <f t="shared" si="0"/>
        <v>46996</v>
      </c>
      <c r="K4" s="797">
        <f t="shared" si="0"/>
        <v>47361</v>
      </c>
      <c r="L4" s="797">
        <f t="shared" si="0"/>
        <v>47726</v>
      </c>
      <c r="M4" s="797">
        <f t="shared" si="0"/>
        <v>48091</v>
      </c>
      <c r="N4" s="797">
        <f t="shared" si="0"/>
        <v>48457</v>
      </c>
      <c r="O4" s="797">
        <f t="shared" si="0"/>
        <v>48822</v>
      </c>
      <c r="P4" s="797">
        <f t="shared" si="0"/>
        <v>49187</v>
      </c>
      <c r="Q4" s="797"/>
    </row>
    <row r="5" spans="1:17" ht="12.75" customHeight="1" x14ac:dyDescent="0.3">
      <c r="A5" s="782"/>
      <c r="B5" s="782" t="s">
        <v>2</v>
      </c>
      <c r="C5" s="782"/>
      <c r="D5" s="782"/>
      <c r="E5" s="782">
        <f>IF(E4='Venture Assumptions'!$F$6,0,D5+1)</f>
        <v>0</v>
      </c>
      <c r="F5" s="782">
        <f>IF(F4='Venture Assumptions'!$F$6,0,E5+12)</f>
        <v>12</v>
      </c>
      <c r="G5" s="782">
        <f>IF(G4='Venture Assumptions'!$F$6,0,F5+12)</f>
        <v>24</v>
      </c>
      <c r="H5" s="782">
        <f>IF(H4='Venture Assumptions'!$F$6,0,G5+12)</f>
        <v>36</v>
      </c>
      <c r="I5" s="782">
        <f>IF(I4='Venture Assumptions'!$F$6,0,H5+12)</f>
        <v>48</v>
      </c>
      <c r="J5" s="782">
        <f>IF(J4='Venture Assumptions'!$F$6,0,I5+12)</f>
        <v>60</v>
      </c>
      <c r="K5" s="782">
        <f>IF(K4='Venture Assumptions'!$F$6,0,J5+12)</f>
        <v>72</v>
      </c>
      <c r="L5" s="782">
        <f>IF(L4='Venture Assumptions'!$F$6,0,K5+12)</f>
        <v>84</v>
      </c>
      <c r="M5" s="782">
        <f>IF(M4='Venture Assumptions'!$F$6,0,L5+12)</f>
        <v>96</v>
      </c>
      <c r="N5" s="782">
        <f>IF(N4='Venture Assumptions'!$F$6,0,M5+12)</f>
        <v>108</v>
      </c>
      <c r="O5" s="782">
        <f>IF(O4='Venture Assumptions'!$F$6,0,N5+12)</f>
        <v>120</v>
      </c>
      <c r="P5" s="782">
        <f>IF(P4='Venture Assumptions'!$F$6,0,O5+12)</f>
        <v>132</v>
      </c>
      <c r="Q5" s="782"/>
    </row>
    <row r="6" spans="1:17" s="273" customFormat="1" ht="12.75" customHeight="1" x14ac:dyDescent="0.3">
      <c r="A6" s="796"/>
      <c r="B6" s="796" t="s">
        <v>3</v>
      </c>
      <c r="C6" s="796"/>
      <c r="D6" s="796"/>
      <c r="E6" s="796">
        <f>YEAR(E4)</f>
        <v>2023</v>
      </c>
      <c r="F6" s="796">
        <f t="shared" ref="F6:P6" si="1">YEAR(F4)</f>
        <v>2024</v>
      </c>
      <c r="G6" s="796">
        <f t="shared" si="1"/>
        <v>2025</v>
      </c>
      <c r="H6" s="796">
        <f t="shared" si="1"/>
        <v>2026</v>
      </c>
      <c r="I6" s="796">
        <f t="shared" si="1"/>
        <v>2027</v>
      </c>
      <c r="J6" s="796">
        <f t="shared" si="1"/>
        <v>2028</v>
      </c>
      <c r="K6" s="796">
        <f t="shared" si="1"/>
        <v>2029</v>
      </c>
      <c r="L6" s="796">
        <f t="shared" si="1"/>
        <v>2030</v>
      </c>
      <c r="M6" s="796">
        <f t="shared" si="1"/>
        <v>2031</v>
      </c>
      <c r="N6" s="796">
        <f t="shared" si="1"/>
        <v>2032</v>
      </c>
      <c r="O6" s="796">
        <f t="shared" si="1"/>
        <v>2033</v>
      </c>
      <c r="P6" s="796">
        <f t="shared" si="1"/>
        <v>2034</v>
      </c>
      <c r="Q6" s="796"/>
    </row>
    <row r="7" spans="1:17" s="273" customFormat="1" ht="12.75" customHeight="1" x14ac:dyDescent="0.3">
      <c r="A7" s="796"/>
      <c r="B7" s="796" t="s">
        <v>4</v>
      </c>
      <c r="C7" s="796"/>
      <c r="D7" s="796"/>
      <c r="E7" s="796">
        <f>IF(E5=0,0,INT((E5+11)/12))</f>
        <v>0</v>
      </c>
      <c r="F7" s="796">
        <f t="shared" ref="F7:P7" si="2">IF(F5=0,0,INT((F5+11)/12))</f>
        <v>1</v>
      </c>
      <c r="G7" s="796">
        <f t="shared" si="2"/>
        <v>2</v>
      </c>
      <c r="H7" s="796">
        <f t="shared" si="2"/>
        <v>3</v>
      </c>
      <c r="I7" s="796">
        <f t="shared" si="2"/>
        <v>4</v>
      </c>
      <c r="J7" s="796">
        <f t="shared" si="2"/>
        <v>5</v>
      </c>
      <c r="K7" s="796">
        <f t="shared" si="2"/>
        <v>6</v>
      </c>
      <c r="L7" s="796">
        <f t="shared" si="2"/>
        <v>7</v>
      </c>
      <c r="M7" s="796">
        <f t="shared" si="2"/>
        <v>8</v>
      </c>
      <c r="N7" s="796">
        <f t="shared" si="2"/>
        <v>9</v>
      </c>
      <c r="O7" s="796">
        <f t="shared" si="2"/>
        <v>10</v>
      </c>
      <c r="P7" s="796">
        <f t="shared" si="2"/>
        <v>11</v>
      </c>
      <c r="Q7" s="796"/>
    </row>
    <row r="8" spans="1:17" ht="12.75" customHeight="1" x14ac:dyDescent="0.3">
      <c r="A8" s="782"/>
      <c r="B8" s="782"/>
      <c r="C8" s="782"/>
      <c r="D8" s="782"/>
      <c r="E8" s="782"/>
      <c r="F8" s="782"/>
      <c r="G8" s="782"/>
      <c r="H8" s="782"/>
      <c r="I8" s="782"/>
      <c r="J8" s="782"/>
      <c r="K8" s="782"/>
      <c r="L8" s="782"/>
      <c r="M8" s="782"/>
      <c r="N8" s="782"/>
      <c r="O8" s="782"/>
      <c r="P8" s="782"/>
      <c r="Q8" s="782"/>
    </row>
    <row r="9" spans="1:17" s="795" customFormat="1" ht="12.75" customHeight="1" x14ac:dyDescent="0.3">
      <c r="A9" s="1146"/>
      <c r="B9" s="793" t="s">
        <v>5</v>
      </c>
      <c r="C9" s="794"/>
      <c r="D9" s="794"/>
      <c r="E9" s="794"/>
      <c r="F9" s="794"/>
      <c r="G9" s="794"/>
      <c r="H9" s="794"/>
      <c r="I9" s="794"/>
      <c r="J9" s="794"/>
      <c r="K9" s="794"/>
      <c r="L9" s="794"/>
      <c r="M9" s="794"/>
      <c r="N9" s="794"/>
      <c r="O9" s="794"/>
      <c r="P9" s="794"/>
      <c r="Q9" s="794"/>
    </row>
    <row r="10" spans="1:17" ht="12.75" customHeight="1" x14ac:dyDescent="0.3">
      <c r="A10" s="782"/>
      <c r="B10" s="782"/>
      <c r="C10" s="782"/>
      <c r="D10" s="782"/>
      <c r="E10" s="782"/>
      <c r="F10" s="782"/>
      <c r="G10" s="782"/>
      <c r="H10" s="782"/>
      <c r="I10" s="782"/>
      <c r="J10" s="782"/>
      <c r="K10" s="782"/>
      <c r="L10" s="782"/>
      <c r="M10" s="782"/>
      <c r="N10" s="782"/>
      <c r="O10" s="782"/>
      <c r="P10" s="782"/>
      <c r="Q10" s="782"/>
    </row>
    <row r="11" spans="1:17" ht="12.75" customHeight="1" x14ac:dyDescent="0.3">
      <c r="A11" s="782"/>
      <c r="B11" s="796" t="s">
        <v>6</v>
      </c>
      <c r="C11" s="782"/>
      <c r="D11" s="782"/>
      <c r="E11" s="797"/>
      <c r="F11" s="782"/>
      <c r="G11" s="782"/>
      <c r="H11" s="782"/>
      <c r="I11" s="782"/>
      <c r="J11" s="782"/>
      <c r="K11" s="782"/>
      <c r="L11" s="782"/>
      <c r="M11" s="782"/>
      <c r="N11" s="782"/>
      <c r="O11" s="782"/>
      <c r="P11" s="782"/>
      <c r="Q11" s="782"/>
    </row>
    <row r="12" spans="1:17" ht="12.75" customHeight="1" x14ac:dyDescent="0.3">
      <c r="A12" s="782"/>
      <c r="B12" s="782"/>
      <c r="C12" s="782"/>
      <c r="D12" s="782"/>
      <c r="E12" s="782"/>
      <c r="F12" s="782"/>
      <c r="G12" s="782"/>
      <c r="H12" s="782"/>
      <c r="I12" s="782"/>
      <c r="J12" s="782"/>
      <c r="K12" s="782"/>
      <c r="L12" s="782"/>
      <c r="M12" s="782"/>
      <c r="N12" s="782"/>
      <c r="O12" s="782"/>
      <c r="P12" s="782"/>
      <c r="Q12" s="782"/>
    </row>
    <row r="13" spans="1:17" ht="12.75" customHeight="1" x14ac:dyDescent="0.3">
      <c r="A13" s="782"/>
      <c r="B13" s="782" t="s">
        <v>7</v>
      </c>
      <c r="C13" s="798">
        <f t="shared" ref="C13:C18" si="3">SUM(E13:O13)</f>
        <v>-75647698.216711134</v>
      </c>
      <c r="D13" s="782"/>
      <c r="E13" s="798">
        <f>SUMIF('Venture Summary - Mthly'!$E$7:$EG$7,E$7,'Venture Summary - Mthly'!$E18:$EG18)</f>
        <v>-1050423.5</v>
      </c>
      <c r="F13" s="798">
        <f>SUMIF('Venture Summary - Mthly'!$E$7:$EG$7,F$7,'Venture Summary - Mthly'!$E18:$EG18)</f>
        <v>-42866892.019908398</v>
      </c>
      <c r="G13" s="798">
        <f>SUMIF('Venture Summary - Mthly'!$E$7:$EG$7,G$7,'Venture Summary - Mthly'!$E18:$EG18)</f>
        <v>-31055678.412585393</v>
      </c>
      <c r="H13" s="798">
        <f>SUMIF('Venture Summary - Mthly'!$E$7:$EG$7,H$7,'Venture Summary - Mthly'!$E18:$EG18)</f>
        <v>-674704.28421734134</v>
      </c>
      <c r="I13" s="798">
        <f>SUMIF('Venture Summary - Mthly'!$E$7:$EG$7,I$7,'Venture Summary - Mthly'!$E18:$EG18)</f>
        <v>0</v>
      </c>
      <c r="J13" s="798">
        <f>SUMIF('Venture Summary - Mthly'!$E$7:$EG$7,J$7,'Venture Summary - Mthly'!$E18:$EG18)</f>
        <v>0</v>
      </c>
      <c r="K13" s="798">
        <f>SUMIF('Venture Summary - Mthly'!$E$7:$EG$7,K$7,'Venture Summary - Mthly'!$E18:$EG18)</f>
        <v>0</v>
      </c>
      <c r="L13" s="798">
        <f>SUMIF('Venture Summary - Mthly'!$E$7:$EG$7,L$7,'Venture Summary - Mthly'!$E18:$EG18)</f>
        <v>0</v>
      </c>
      <c r="M13" s="798">
        <f>SUMIF('Venture Summary - Mthly'!$E$7:$EG$7,M$7,'Venture Summary - Mthly'!$E18:$EG18)</f>
        <v>0</v>
      </c>
      <c r="N13" s="798">
        <f>SUMIF('Venture Summary - Mthly'!$E$7:$EG$7,N$7,'Venture Summary - Mthly'!$E18:$EG18)</f>
        <v>0</v>
      </c>
      <c r="O13" s="798">
        <f>SUMIF('Venture Summary - Mthly'!$E$7:$EG$7,O$7,'Venture Summary - Mthly'!$E18:$EG18)</f>
        <v>0</v>
      </c>
      <c r="P13" s="798">
        <f>SUMIF('Venture Summary - Mthly'!$E$7:$EG$7,P$7,'Venture Summary - Mthly'!$E18:$EG18)</f>
        <v>0</v>
      </c>
      <c r="Q13" s="798"/>
    </row>
    <row r="14" spans="1:17" ht="12.75" customHeight="1" x14ac:dyDescent="0.3">
      <c r="A14" s="782"/>
      <c r="B14" s="782" t="s">
        <v>8</v>
      </c>
      <c r="C14" s="798">
        <f t="shared" si="3"/>
        <v>37413661.974816911</v>
      </c>
      <c r="D14" s="782"/>
      <c r="E14" s="798">
        <f>SUMIF('Venture Summary - Mthly'!$E$7:$EG$7,E$7,'Venture Summary - Mthly'!$E19:$EG19)</f>
        <v>0</v>
      </c>
      <c r="F14" s="798">
        <f>SUMIF('Venture Summary - Mthly'!$E$7:$EG$7,F$7,'Venture Summary - Mthly'!$E19:$EG19)</f>
        <v>0</v>
      </c>
      <c r="G14" s="798">
        <f>SUMIF('Venture Summary - Mthly'!$E$7:$EG$7,G$7,'Venture Summary - Mthly'!$E19:$EG19)</f>
        <v>486603.63326172775</v>
      </c>
      <c r="H14" s="798">
        <f>SUMIF('Venture Summary - Mthly'!$E$7:$EG$7,H$7,'Venture Summary - Mthly'!$E19:$EG19)</f>
        <v>5303050.5038964218</v>
      </c>
      <c r="I14" s="798">
        <f>SUMIF('Venture Summary - Mthly'!$E$7:$EG$7,I$7,'Venture Summary - Mthly'!$E19:$EG19)</f>
        <v>5825182.4356253231</v>
      </c>
      <c r="J14" s="798">
        <f>SUMIF('Venture Summary - Mthly'!$E$7:$EG$7,J$7,'Venture Summary - Mthly'!$E19:$EG19)</f>
        <v>6056558.8585462254</v>
      </c>
      <c r="K14" s="798">
        <f>SUMIF('Venture Summary - Mthly'!$E$7:$EG$7,K$7,'Venture Summary - Mthly'!$E19:$EG19)</f>
        <v>6301886.6285589896</v>
      </c>
      <c r="L14" s="798">
        <f>SUMIF('Venture Summary - Mthly'!$E$7:$EG$7,L$7,'Venture Summary - Mthly'!$E19:$EG19)</f>
        <v>6576768.7756926958</v>
      </c>
      <c r="M14" s="798">
        <f>SUMIF('Venture Summary - Mthly'!$E$7:$EG$7,M$7,'Venture Summary - Mthly'!$E19:$EG19)</f>
        <v>6863611.1392355235</v>
      </c>
      <c r="N14" s="798">
        <f>SUMIF('Venture Summary - Mthly'!$E$7:$EG$7,N$7,'Venture Summary - Mthly'!$E19:$EG19)</f>
        <v>0</v>
      </c>
      <c r="O14" s="798">
        <f>SUMIF('Venture Summary - Mthly'!$E$7:$EG$7,O$7,'Venture Summary - Mthly'!$E19:$EG19)</f>
        <v>0</v>
      </c>
      <c r="P14" s="798">
        <f>SUMIF('Venture Summary - Mthly'!$E$7:$EG$7,P$7,'Venture Summary - Mthly'!$E19:$EG19)</f>
        <v>0</v>
      </c>
      <c r="Q14" s="798"/>
    </row>
    <row r="15" spans="1:17" ht="12.75" customHeight="1" x14ac:dyDescent="0.3">
      <c r="A15" s="782"/>
      <c r="B15" s="782" t="s">
        <v>9</v>
      </c>
      <c r="C15" s="798">
        <f t="shared" si="3"/>
        <v>-71428.57142857142</v>
      </c>
      <c r="D15" s="782"/>
      <c r="E15" s="798">
        <f>SUMIF('Venture Summary - Mthly'!$E$7:$EG$7,E$7,'Venture Summary - Mthly'!$E20:$EG20)</f>
        <v>-71428.57142857142</v>
      </c>
      <c r="F15" s="798">
        <f>SUMIF('Venture Summary - Mthly'!$E$7:$EG$7,F$7,'Venture Summary - Mthly'!$E20:$EG20)</f>
        <v>0</v>
      </c>
      <c r="G15" s="798">
        <f>SUMIF('Venture Summary - Mthly'!$E$7:$EG$7,G$7,'Venture Summary - Mthly'!$E20:$EG20)</f>
        <v>0</v>
      </c>
      <c r="H15" s="798">
        <f>SUMIF('Venture Summary - Mthly'!$E$7:$EG$7,H$7,'Venture Summary - Mthly'!$E20:$EG20)</f>
        <v>0</v>
      </c>
      <c r="I15" s="798">
        <f>SUMIF('Venture Summary - Mthly'!$E$7:$EG$7,I$7,'Venture Summary - Mthly'!$E20:$EG20)</f>
        <v>0</v>
      </c>
      <c r="J15" s="798">
        <f>SUMIF('Venture Summary - Mthly'!$E$7:$EG$7,J$7,'Venture Summary - Mthly'!$E20:$EG20)</f>
        <v>0</v>
      </c>
      <c r="K15" s="798">
        <f>SUMIF('Venture Summary - Mthly'!$E$7:$EG$7,K$7,'Venture Summary - Mthly'!$E20:$EG20)</f>
        <v>0</v>
      </c>
      <c r="L15" s="798">
        <f>SUMIF('Venture Summary - Mthly'!$E$7:$EG$7,L$7,'Venture Summary - Mthly'!$E20:$EG20)</f>
        <v>0</v>
      </c>
      <c r="M15" s="798">
        <f>SUMIF('Venture Summary - Mthly'!$E$7:$EG$7,M$7,'Venture Summary - Mthly'!$E20:$EG20)</f>
        <v>0</v>
      </c>
      <c r="N15" s="798">
        <f>SUMIF('Venture Summary - Mthly'!$E$7:$EG$7,N$7,'Venture Summary - Mthly'!$E20:$EG20)</f>
        <v>0</v>
      </c>
      <c r="O15" s="798">
        <f>SUMIF('Venture Summary - Mthly'!$E$7:$EG$7,O$7,'Venture Summary - Mthly'!$E20:$EG20)</f>
        <v>0</v>
      </c>
      <c r="P15" s="798">
        <f>SUMIF('Venture Summary - Mthly'!$E$7:$EG$7,P$7,'Venture Summary - Mthly'!$E20:$EG20)</f>
        <v>0</v>
      </c>
      <c r="Q15" s="798"/>
    </row>
    <row r="16" spans="1:17" ht="12.75" customHeight="1" x14ac:dyDescent="0.3">
      <c r="A16" s="782"/>
      <c r="B16" s="782" t="s">
        <v>10</v>
      </c>
      <c r="C16" s="798">
        <f t="shared" si="3"/>
        <v>-799999.99999999988</v>
      </c>
      <c r="D16" s="782"/>
      <c r="E16" s="798">
        <f>SUMIF('Venture Summary - Mthly'!$E$7:$EG$7,E$7,'Venture Summary - Mthly'!$E21:$EG21)</f>
        <v>0</v>
      </c>
      <c r="F16" s="798">
        <f>SUMIF('Venture Summary - Mthly'!$E$7:$EG$7,F$7,'Venture Summary - Mthly'!$E21:$EG21)</f>
        <v>-99999.999999999985</v>
      </c>
      <c r="G16" s="798">
        <f>SUMIF('Venture Summary - Mthly'!$E$7:$EG$7,G$7,'Venture Summary - Mthly'!$E21:$EG21)</f>
        <v>-99999.999999999985</v>
      </c>
      <c r="H16" s="798">
        <f>SUMIF('Venture Summary - Mthly'!$E$7:$EG$7,H$7,'Venture Summary - Mthly'!$E21:$EG21)</f>
        <v>-99999.999999999985</v>
      </c>
      <c r="I16" s="798">
        <f>SUMIF('Venture Summary - Mthly'!$E$7:$EG$7,I$7,'Venture Summary - Mthly'!$E21:$EG21)</f>
        <v>-99999.999999999985</v>
      </c>
      <c r="J16" s="798">
        <f>SUMIF('Venture Summary - Mthly'!$E$7:$EG$7,J$7,'Venture Summary - Mthly'!$E21:$EG21)</f>
        <v>-99999.999999999985</v>
      </c>
      <c r="K16" s="798">
        <f>SUMIF('Venture Summary - Mthly'!$E$7:$EG$7,K$7,'Venture Summary - Mthly'!$E21:$EG21)</f>
        <v>-99999.999999999985</v>
      </c>
      <c r="L16" s="798">
        <f>SUMIF('Venture Summary - Mthly'!$E$7:$EG$7,L$7,'Venture Summary - Mthly'!$E21:$EG21)</f>
        <v>-99999.999999999985</v>
      </c>
      <c r="M16" s="798">
        <f>SUMIF('Venture Summary - Mthly'!$E$7:$EG$7,M$7,'Venture Summary - Mthly'!$E21:$EG21)</f>
        <v>-99999.999999999985</v>
      </c>
      <c r="N16" s="798">
        <f>SUMIF('Venture Summary - Mthly'!$E$7:$EG$7,N$7,'Venture Summary - Mthly'!$E21:$EG21)</f>
        <v>0</v>
      </c>
      <c r="O16" s="798">
        <f>SUMIF('Venture Summary - Mthly'!$E$7:$EG$7,O$7,'Venture Summary - Mthly'!$E21:$EG21)</f>
        <v>0</v>
      </c>
      <c r="P16" s="798">
        <f>SUMIF('Venture Summary - Mthly'!$E$7:$EG$7,P$7,'Venture Summary - Mthly'!$E21:$EG21)</f>
        <v>0</v>
      </c>
      <c r="Q16" s="798"/>
    </row>
    <row r="17" spans="1:17" ht="12.75" customHeight="1" x14ac:dyDescent="0.3">
      <c r="A17" s="782"/>
      <c r="B17" s="782" t="s">
        <v>11</v>
      </c>
      <c r="C17" s="798">
        <f t="shared" si="3"/>
        <v>129660985.44941077</v>
      </c>
      <c r="D17" s="782"/>
      <c r="E17" s="799">
        <f>SUMIF('Venture Summary - Mthly'!$E$7:$EG$7,E$7,'Venture Summary - Mthly'!$E22:$EG22)</f>
        <v>0</v>
      </c>
      <c r="F17" s="799">
        <f>SUMIF('Venture Summary - Mthly'!$E$7:$EG$7,F$7,'Venture Summary - Mthly'!$E22:$EG22)</f>
        <v>0</v>
      </c>
      <c r="G17" s="799">
        <f>SUMIF('Venture Summary - Mthly'!$E$7:$EG$7,G$7,'Venture Summary - Mthly'!$E22:$EG22)</f>
        <v>0</v>
      </c>
      <c r="H17" s="799">
        <f>SUMIF('Venture Summary - Mthly'!$E$7:$EG$7,H$7,'Venture Summary - Mthly'!$E22:$EG22)</f>
        <v>0</v>
      </c>
      <c r="I17" s="799">
        <f>SUMIF('Venture Summary - Mthly'!$E$7:$EG$7,I$7,'Venture Summary - Mthly'!$E22:$EG22)</f>
        <v>0</v>
      </c>
      <c r="J17" s="799">
        <f>SUMIF('Venture Summary - Mthly'!$E$7:$EG$7,J$7,'Venture Summary - Mthly'!$E22:$EG22)</f>
        <v>0</v>
      </c>
      <c r="K17" s="799">
        <f>SUMIF('Venture Summary - Mthly'!$E$7:$EG$7,K$7,'Venture Summary - Mthly'!$E22:$EG22)</f>
        <v>0</v>
      </c>
      <c r="L17" s="799">
        <f>SUMIF('Venture Summary - Mthly'!$E$7:$EG$7,L$7,'Venture Summary - Mthly'!$E22:$EG22)</f>
        <v>0</v>
      </c>
      <c r="M17" s="799">
        <f>SUMIF('Venture Summary - Mthly'!$E$7:$EG$7,M$7,'Venture Summary - Mthly'!$E22:$EG22)</f>
        <v>129660985.44941077</v>
      </c>
      <c r="N17" s="799">
        <f>SUMIF('Venture Summary - Mthly'!$E$7:$EG$7,N$7,'Venture Summary - Mthly'!$E22:$EG22)</f>
        <v>0</v>
      </c>
      <c r="O17" s="799">
        <f>SUMIF('Venture Summary - Mthly'!$E$7:$EG$7,O$7,'Venture Summary - Mthly'!$E22:$EG22)</f>
        <v>0</v>
      </c>
      <c r="P17" s="799">
        <f>SUMIF('Venture Summary - Mthly'!$E$7:$EG$7,P$7,'Venture Summary - Mthly'!$E22:$EG22)</f>
        <v>0</v>
      </c>
      <c r="Q17" s="798"/>
    </row>
    <row r="18" spans="1:17" ht="12.75" customHeight="1" x14ac:dyDescent="0.3">
      <c r="A18" s="782"/>
      <c r="B18" s="821" t="s">
        <v>12</v>
      </c>
      <c r="C18" s="822">
        <f t="shared" si="3"/>
        <v>90555520.636087984</v>
      </c>
      <c r="D18" s="821"/>
      <c r="E18" s="798">
        <f>SUM(E13:E17)</f>
        <v>-1121852.0714285714</v>
      </c>
      <c r="F18" s="798">
        <f t="shared" ref="F18:P18" si="4">SUM(F13:F17)</f>
        <v>-42966892.019908398</v>
      </c>
      <c r="G18" s="798">
        <f t="shared" si="4"/>
        <v>-30669074.779323664</v>
      </c>
      <c r="H18" s="798">
        <f t="shared" si="4"/>
        <v>4528346.2196790799</v>
      </c>
      <c r="I18" s="798">
        <f t="shared" si="4"/>
        <v>5725182.4356253231</v>
      </c>
      <c r="J18" s="798">
        <f t="shared" si="4"/>
        <v>5956558.8585462254</v>
      </c>
      <c r="K18" s="798">
        <f t="shared" si="4"/>
        <v>6201886.6285589896</v>
      </c>
      <c r="L18" s="798">
        <f t="shared" si="4"/>
        <v>6476768.7756926958</v>
      </c>
      <c r="M18" s="798">
        <f t="shared" si="4"/>
        <v>136424596.58864629</v>
      </c>
      <c r="N18" s="798">
        <f t="shared" si="4"/>
        <v>0</v>
      </c>
      <c r="O18" s="798">
        <f t="shared" si="4"/>
        <v>0</v>
      </c>
      <c r="P18" s="798">
        <f t="shared" si="4"/>
        <v>0</v>
      </c>
      <c r="Q18" s="798"/>
    </row>
    <row r="19" spans="1:17" ht="12.75" customHeight="1" x14ac:dyDescent="0.3">
      <c r="A19" s="782"/>
      <c r="B19" s="800" t="s">
        <v>13</v>
      </c>
      <c r="C19" s="801">
        <f>'Venture Summary - Mthly'!C24</f>
        <v>0.13132647871971129</v>
      </c>
      <c r="D19" s="782"/>
      <c r="E19" s="798"/>
      <c r="F19" s="798"/>
      <c r="G19" s="798"/>
      <c r="H19" s="798"/>
      <c r="I19" s="798"/>
      <c r="J19" s="798"/>
      <c r="K19" s="798"/>
      <c r="L19" s="798"/>
      <c r="M19" s="798"/>
      <c r="N19" s="798"/>
      <c r="O19" s="798"/>
      <c r="P19" s="798"/>
      <c r="Q19" s="798"/>
    </row>
    <row r="20" spans="1:17" ht="12.75" customHeight="1" x14ac:dyDescent="0.3">
      <c r="A20" s="782"/>
      <c r="B20" s="782"/>
      <c r="C20" s="782"/>
      <c r="D20" s="782"/>
      <c r="E20" s="782"/>
      <c r="F20" s="782"/>
      <c r="G20" s="782"/>
      <c r="H20" s="782"/>
      <c r="I20" s="782"/>
      <c r="J20" s="782"/>
      <c r="K20" s="782"/>
      <c r="L20" s="782"/>
      <c r="M20" s="782"/>
      <c r="N20" s="782"/>
      <c r="O20" s="782"/>
      <c r="P20" s="782"/>
      <c r="Q20" s="782"/>
    </row>
    <row r="21" spans="1:17" ht="12.75" customHeight="1" x14ac:dyDescent="0.3">
      <c r="A21" s="782"/>
      <c r="B21" s="782" t="s">
        <v>14</v>
      </c>
      <c r="C21" s="798">
        <f t="shared" ref="C21:C29" si="5">SUM(E21:O21)</f>
        <v>-1470019.5694877617</v>
      </c>
      <c r="D21" s="782"/>
      <c r="E21" s="798">
        <f>SUMIF('Venture Summary - Mthly'!$E$7:$EG$7,E$7,'Venture Summary - Mthly'!$E26:$EG26)</f>
        <v>-821583.45041148621</v>
      </c>
      <c r="F21" s="798">
        <f>SUMIF('Venture Summary - Mthly'!$E$7:$EG$7,F$7,'Venture Summary - Mthly'!$E26:$EG26)</f>
        <v>-36000</v>
      </c>
      <c r="G21" s="798">
        <f>SUMIF('Venture Summary - Mthly'!$E$7:$EG$7,G$7,'Venture Summary - Mthly'!$E26:$EG26)</f>
        <v>-36000</v>
      </c>
      <c r="H21" s="798">
        <f>SUMIF('Venture Summary - Mthly'!$E$7:$EG$7,H$7,'Venture Summary - Mthly'!$E26:$EG26)</f>
        <v>-576436.1190762755</v>
      </c>
      <c r="I21" s="798">
        <f>SUMIF('Venture Summary - Mthly'!$E$7:$EG$7,I$7,'Venture Summary - Mthly'!$E26:$EG26)</f>
        <v>0</v>
      </c>
      <c r="J21" s="798">
        <f>SUMIF('Venture Summary - Mthly'!$E$7:$EG$7,J$7,'Venture Summary - Mthly'!$E26:$EG26)</f>
        <v>0</v>
      </c>
      <c r="K21" s="798">
        <f>SUMIF('Venture Summary - Mthly'!$E$7:$EG$7,K$7,'Venture Summary - Mthly'!$E26:$EG26)</f>
        <v>0</v>
      </c>
      <c r="L21" s="798">
        <f>SUMIF('Venture Summary - Mthly'!$E$7:$EG$7,L$7,'Venture Summary - Mthly'!$E26:$EG26)</f>
        <v>0</v>
      </c>
      <c r="M21" s="798">
        <f>SUMIF('Venture Summary - Mthly'!$E$7:$EG$7,M$7,'Venture Summary - Mthly'!$E26:$EG26)</f>
        <v>0</v>
      </c>
      <c r="N21" s="798">
        <f>SUMIF('Venture Summary - Mthly'!$E$7:$EG$7,N$7,'Venture Summary - Mthly'!$E26:$EG26)</f>
        <v>0</v>
      </c>
      <c r="O21" s="798">
        <f>SUMIF('Venture Summary - Mthly'!$E$7:$EG$7,O$7,'Venture Summary - Mthly'!$E26:$EG26)</f>
        <v>0</v>
      </c>
      <c r="P21" s="798">
        <f>SUMIF('Venture Summary - Mthly'!$E$7:$EG$7,P$7,'Venture Summary - Mthly'!$E26:$EG26)</f>
        <v>0</v>
      </c>
      <c r="Q21" s="798"/>
    </row>
    <row r="22" spans="1:17" ht="12.75" customHeight="1" x14ac:dyDescent="0.3">
      <c r="A22" s="782"/>
      <c r="B22" s="782" t="s">
        <v>15</v>
      </c>
      <c r="C22" s="798">
        <f t="shared" si="5"/>
        <v>-3015435.9515204169</v>
      </c>
      <c r="D22" s="782"/>
      <c r="E22" s="798">
        <f>SUMIF('Venture Summary - Mthly'!$E$7:$EG$7,E$7,'Venture Summary - Mthly'!$E27:$EG27)</f>
        <v>0</v>
      </c>
      <c r="F22" s="798">
        <f>SUMIF('Venture Summary - Mthly'!$E$7:$EG$7,F$7,'Venture Summary - Mthly'!$E27:$EG27)</f>
        <v>-40131.847345416674</v>
      </c>
      <c r="G22" s="798">
        <f>SUMIF('Venture Summary - Mthly'!$E$7:$EG$7,G$7,'Venture Summary - Mthly'!$E27:$EG27)</f>
        <v>-1817701.4314820836</v>
      </c>
      <c r="H22" s="798">
        <f>SUMIF('Venture Summary - Mthly'!$E$7:$EG$7,H$7,'Venture Summary - Mthly'!$E27:$EG27)</f>
        <v>-1157602.6726929168</v>
      </c>
      <c r="I22" s="798">
        <f>SUMIF('Venture Summary - Mthly'!$E$7:$EG$7,I$7,'Venture Summary - Mthly'!$E27:$EG27)</f>
        <v>0</v>
      </c>
      <c r="J22" s="798">
        <f>SUMIF('Venture Summary - Mthly'!$E$7:$EG$7,J$7,'Venture Summary - Mthly'!$E27:$EG27)</f>
        <v>0</v>
      </c>
      <c r="K22" s="798">
        <f>SUMIF('Venture Summary - Mthly'!$E$7:$EG$7,K$7,'Venture Summary - Mthly'!$E27:$EG27)</f>
        <v>0</v>
      </c>
      <c r="L22" s="798">
        <f>SUMIF('Venture Summary - Mthly'!$E$7:$EG$7,L$7,'Venture Summary - Mthly'!$E27:$EG27)</f>
        <v>0</v>
      </c>
      <c r="M22" s="798">
        <f>SUMIF('Venture Summary - Mthly'!$E$7:$EG$7,M$7,'Venture Summary - Mthly'!$E27:$EG27)</f>
        <v>0</v>
      </c>
      <c r="N22" s="798">
        <f>SUMIF('Venture Summary - Mthly'!$E$7:$EG$7,N$7,'Venture Summary - Mthly'!$E27:$EG27)</f>
        <v>0</v>
      </c>
      <c r="O22" s="798">
        <f>SUMIF('Venture Summary - Mthly'!$E$7:$EG$7,O$7,'Venture Summary - Mthly'!$E27:$EG27)</f>
        <v>0</v>
      </c>
      <c r="P22" s="798">
        <f>SUMIF('Venture Summary - Mthly'!$E$7:$EG$7,P$7,'Venture Summary - Mthly'!$E27:$EG27)</f>
        <v>0</v>
      </c>
      <c r="Q22" s="798"/>
    </row>
    <row r="23" spans="1:17" ht="12.75" customHeight="1" x14ac:dyDescent="0.3">
      <c r="A23" s="782"/>
      <c r="B23" s="782" t="s">
        <v>16</v>
      </c>
      <c r="C23" s="798">
        <f t="shared" si="5"/>
        <v>42877793.387000002</v>
      </c>
      <c r="D23" s="782"/>
      <c r="E23" s="798">
        <f>SUMIF('Venture Summary - Mthly'!$E$7:$EG$7,E$7,'Venture Summary - Mthly'!$E28:$EG28)</f>
        <v>0</v>
      </c>
      <c r="F23" s="798">
        <f>SUMIF('Venture Summary - Mthly'!$E$7:$EG$7,F$7,'Venture Summary - Mthly'!$E28:$EG28)</f>
        <v>9733199.8629999999</v>
      </c>
      <c r="G23" s="798">
        <f>SUMIF('Venture Summary - Mthly'!$E$7:$EG$7,G$7,'Venture Summary - Mthly'!$E28:$EG28)</f>
        <v>32466889.239999998</v>
      </c>
      <c r="H23" s="798">
        <f>SUMIF('Venture Summary - Mthly'!$E$7:$EG$7,H$7,'Venture Summary - Mthly'!$E28:$EG28)</f>
        <v>677704.28399999999</v>
      </c>
      <c r="I23" s="798">
        <f>SUMIF('Venture Summary - Mthly'!$E$7:$EG$7,I$7,'Venture Summary - Mthly'!$E28:$EG28)</f>
        <v>0</v>
      </c>
      <c r="J23" s="798">
        <f>SUMIF('Venture Summary - Mthly'!$E$7:$EG$7,J$7,'Venture Summary - Mthly'!$E28:$EG28)</f>
        <v>0</v>
      </c>
      <c r="K23" s="798">
        <f>SUMIF('Venture Summary - Mthly'!$E$7:$EG$7,K$7,'Venture Summary - Mthly'!$E28:$EG28)</f>
        <v>0</v>
      </c>
      <c r="L23" s="798">
        <f>SUMIF('Venture Summary - Mthly'!$E$7:$EG$7,L$7,'Venture Summary - Mthly'!$E28:$EG28)</f>
        <v>0</v>
      </c>
      <c r="M23" s="798">
        <f>SUMIF('Venture Summary - Mthly'!$E$7:$EG$7,M$7,'Venture Summary - Mthly'!$E28:$EG28)</f>
        <v>0</v>
      </c>
      <c r="N23" s="798">
        <f>SUMIF('Venture Summary - Mthly'!$E$7:$EG$7,N$7,'Venture Summary - Mthly'!$E28:$EG28)</f>
        <v>0</v>
      </c>
      <c r="O23" s="798">
        <f>SUMIF('Venture Summary - Mthly'!$E$7:$EG$7,O$7,'Venture Summary - Mthly'!$E28:$EG28)</f>
        <v>0</v>
      </c>
      <c r="P23" s="798">
        <f>SUMIF('Venture Summary - Mthly'!$E$7:$EG$7,P$7,'Venture Summary - Mthly'!$E28:$EG28)</f>
        <v>0</v>
      </c>
      <c r="Q23" s="798"/>
    </row>
    <row r="24" spans="1:17" ht="12.75" customHeight="1" x14ac:dyDescent="0.3">
      <c r="A24" s="782"/>
      <c r="B24" s="782" t="s">
        <v>17</v>
      </c>
      <c r="C24" s="798">
        <f t="shared" si="5"/>
        <v>-42877793.387000009</v>
      </c>
      <c r="D24" s="782"/>
      <c r="E24" s="798">
        <f>SUMIF('Venture Summary - Mthly'!$E$7:$EG$7,E$7,'Venture Summary - Mthly'!$E29:$EG29)</f>
        <v>0</v>
      </c>
      <c r="F24" s="798">
        <f>SUMIF('Venture Summary - Mthly'!$E$7:$EG$7,F$7,'Venture Summary - Mthly'!$E29:$EG29)</f>
        <v>0</v>
      </c>
      <c r="G24" s="798">
        <f>SUMIF('Venture Summary - Mthly'!$E$7:$EG$7,G$7,'Venture Summary - Mthly'!$E29:$EG29)</f>
        <v>0</v>
      </c>
      <c r="H24" s="798">
        <f>SUMIF('Venture Summary - Mthly'!$E$7:$EG$7,H$7,'Venture Summary - Mthly'!$E29:$EG29)</f>
        <v>-42877793.387000009</v>
      </c>
      <c r="I24" s="798">
        <f>SUMIF('Venture Summary - Mthly'!$E$7:$EG$7,I$7,'Venture Summary - Mthly'!$E29:$EG29)</f>
        <v>0</v>
      </c>
      <c r="J24" s="798">
        <f>SUMIF('Venture Summary - Mthly'!$E$7:$EG$7,J$7,'Venture Summary - Mthly'!$E29:$EG29)</f>
        <v>0</v>
      </c>
      <c r="K24" s="798">
        <f>SUMIF('Venture Summary - Mthly'!$E$7:$EG$7,K$7,'Venture Summary - Mthly'!$E29:$EG29)</f>
        <v>0</v>
      </c>
      <c r="L24" s="798">
        <f>SUMIF('Venture Summary - Mthly'!$E$7:$EG$7,L$7,'Venture Summary - Mthly'!$E29:$EG29)</f>
        <v>0</v>
      </c>
      <c r="M24" s="798">
        <f>SUMIF('Venture Summary - Mthly'!$E$7:$EG$7,M$7,'Venture Summary - Mthly'!$E29:$EG29)</f>
        <v>0</v>
      </c>
      <c r="N24" s="798">
        <f>SUMIF('Venture Summary - Mthly'!$E$7:$EG$7,N$7,'Venture Summary - Mthly'!$E29:$EG29)</f>
        <v>0</v>
      </c>
      <c r="O24" s="798">
        <f>SUMIF('Venture Summary - Mthly'!$E$7:$EG$7,O$7,'Venture Summary - Mthly'!$E29:$EG29)</f>
        <v>0</v>
      </c>
      <c r="P24" s="798">
        <f>SUMIF('Venture Summary - Mthly'!$E$7:$EG$7,P$7,'Venture Summary - Mthly'!$E29:$EG29)</f>
        <v>0</v>
      </c>
      <c r="Q24" s="798"/>
    </row>
    <row r="25" spans="1:17" ht="12.75" customHeight="1" x14ac:dyDescent="0.3">
      <c r="A25" s="782"/>
      <c r="B25" s="782" t="s">
        <v>18</v>
      </c>
      <c r="C25" s="798">
        <f t="shared" si="5"/>
        <v>57343611.907627545</v>
      </c>
      <c r="D25" s="782"/>
      <c r="E25" s="798">
        <f>SUMIF('Venture Summary - Mthly'!$E$7:$EG$7,E$7,'Venture Summary - Mthly'!$E30:$EG30)</f>
        <v>0</v>
      </c>
      <c r="F25" s="798">
        <f>SUMIF('Venture Summary - Mthly'!$E$7:$EG$7,F$7,'Venture Summary - Mthly'!$E30:$EG30)</f>
        <v>0</v>
      </c>
      <c r="G25" s="798">
        <f>SUMIF('Venture Summary - Mthly'!$E$7:$EG$7,G$7,'Venture Summary - Mthly'!$E30:$EG30)</f>
        <v>0</v>
      </c>
      <c r="H25" s="798">
        <f>SUMIF('Venture Summary - Mthly'!$E$7:$EG$7,H$7,'Venture Summary - Mthly'!$E30:$EG30)</f>
        <v>57343611.907627545</v>
      </c>
      <c r="I25" s="798">
        <f>SUMIF('Venture Summary - Mthly'!$E$7:$EG$7,I$7,'Venture Summary - Mthly'!$E30:$EG30)</f>
        <v>0</v>
      </c>
      <c r="J25" s="798">
        <f>SUMIF('Venture Summary - Mthly'!$E$7:$EG$7,J$7,'Venture Summary - Mthly'!$E30:$EG30)</f>
        <v>0</v>
      </c>
      <c r="K25" s="798">
        <f>SUMIF('Venture Summary - Mthly'!$E$7:$EG$7,K$7,'Venture Summary - Mthly'!$E30:$EG30)</f>
        <v>0</v>
      </c>
      <c r="L25" s="798">
        <f>SUMIF('Venture Summary - Mthly'!$E$7:$EG$7,L$7,'Venture Summary - Mthly'!$E30:$EG30)</f>
        <v>0</v>
      </c>
      <c r="M25" s="798">
        <f>SUMIF('Venture Summary - Mthly'!$E$7:$EG$7,M$7,'Venture Summary - Mthly'!$E30:$EG30)</f>
        <v>0</v>
      </c>
      <c r="N25" s="798">
        <f>SUMIF('Venture Summary - Mthly'!$E$7:$EG$7,N$7,'Venture Summary - Mthly'!$E30:$EG30)</f>
        <v>0</v>
      </c>
      <c r="O25" s="798">
        <f>SUMIF('Venture Summary - Mthly'!$E$7:$EG$7,O$7,'Venture Summary - Mthly'!$E30:$EG30)</f>
        <v>0</v>
      </c>
      <c r="P25" s="798">
        <f>SUMIF('Venture Summary - Mthly'!$E$7:$EG$7,P$7,'Venture Summary - Mthly'!$E30:$EG30)</f>
        <v>0</v>
      </c>
      <c r="Q25" s="798"/>
    </row>
    <row r="26" spans="1:17" ht="12.75" customHeight="1" x14ac:dyDescent="0.3">
      <c r="A26" s="782"/>
      <c r="B26" s="782" t="s">
        <v>19</v>
      </c>
      <c r="C26" s="798">
        <f t="shared" si="5"/>
        <v>0</v>
      </c>
      <c r="D26" s="782"/>
      <c r="E26" s="798">
        <f>SUMIF('Venture Summary - Mthly'!$E$7:$EG$7,E$7,'Venture Summary - Mthly'!$E31:$EG31)</f>
        <v>0</v>
      </c>
      <c r="F26" s="798">
        <f>SUMIF('Venture Summary - Mthly'!$E$7:$EG$7,F$7,'Venture Summary - Mthly'!$E31:$EG31)</f>
        <v>0</v>
      </c>
      <c r="G26" s="798">
        <f>SUMIF('Venture Summary - Mthly'!$E$7:$EG$7,G$7,'Venture Summary - Mthly'!$E31:$EG31)</f>
        <v>0</v>
      </c>
      <c r="H26" s="798">
        <f>SUMIF('Venture Summary - Mthly'!$E$7:$EG$7,H$7,'Venture Summary - Mthly'!$E31:$EG31)</f>
        <v>0</v>
      </c>
      <c r="I26" s="798">
        <f>SUMIF('Venture Summary - Mthly'!$E$7:$EG$7,I$7,'Venture Summary - Mthly'!$E31:$EG31)</f>
        <v>0</v>
      </c>
      <c r="J26" s="798">
        <f>SUMIF('Venture Summary - Mthly'!$E$7:$EG$7,J$7,'Venture Summary - Mthly'!$E31:$EG31)</f>
        <v>0</v>
      </c>
      <c r="K26" s="798">
        <f>SUMIF('Venture Summary - Mthly'!$E$7:$EG$7,K$7,'Venture Summary - Mthly'!$E31:$EG31)</f>
        <v>0</v>
      </c>
      <c r="L26" s="798">
        <f>SUMIF('Venture Summary - Mthly'!$E$7:$EG$7,L$7,'Venture Summary - Mthly'!$E31:$EG31)</f>
        <v>0</v>
      </c>
      <c r="M26" s="798">
        <f>SUMIF('Venture Summary - Mthly'!$E$7:$EG$7,M$7,'Venture Summary - Mthly'!$E31:$EG31)</f>
        <v>0</v>
      </c>
      <c r="N26" s="798">
        <f>SUMIF('Venture Summary - Mthly'!$E$7:$EG$7,N$7,'Venture Summary - Mthly'!$E31:$EG31)</f>
        <v>0</v>
      </c>
      <c r="O26" s="798">
        <f>SUMIF('Venture Summary - Mthly'!$E$7:$EG$7,O$7,'Venture Summary - Mthly'!$E31:$EG31)</f>
        <v>0</v>
      </c>
      <c r="P26" s="798">
        <f>SUMIF('Venture Summary - Mthly'!$E$7:$EG$7,P$7,'Venture Summary - Mthly'!$E31:$EG31)</f>
        <v>0</v>
      </c>
      <c r="Q26" s="798"/>
    </row>
    <row r="27" spans="1:17" ht="12.75" customHeight="1" x14ac:dyDescent="0.3">
      <c r="A27" s="782"/>
      <c r="B27" s="782" t="s">
        <v>20</v>
      </c>
      <c r="C27" s="798">
        <f t="shared" si="5"/>
        <v>-14404145.697984423</v>
      </c>
      <c r="D27" s="782"/>
      <c r="E27" s="798">
        <f>SUMIF('Venture Summary - Mthly'!$E$7:$EG$7,E$7,'Venture Summary - Mthly'!$E32:$EG32)</f>
        <v>0</v>
      </c>
      <c r="F27" s="798">
        <f>SUMIF('Venture Summary - Mthly'!$E$7:$EG$7,F$7,'Venture Summary - Mthly'!$E32:$EG32)</f>
        <v>0</v>
      </c>
      <c r="G27" s="798">
        <f>SUMIF('Venture Summary - Mthly'!$E$7:$EG$7,G$7,'Venture Summary - Mthly'!$E32:$EG32)</f>
        <v>0</v>
      </c>
      <c r="H27" s="798">
        <f>SUMIF('Venture Summary - Mthly'!$E$7:$EG$7,H$7,'Venture Summary - Mthly'!$E32:$EG32)</f>
        <v>-661856.6235938092</v>
      </c>
      <c r="I27" s="798">
        <f>SUMIF('Venture Summary - Mthly'!$E$7:$EG$7,I$7,'Venture Summary - Mthly'!$E32:$EG32)</f>
        <v>-2662844.2801634669</v>
      </c>
      <c r="J27" s="798">
        <f>SUMIF('Venture Summary - Mthly'!$E$7:$EG$7,J$7,'Venture Summary - Mthly'!$E32:$EG32)</f>
        <v>-2705408.0539653371</v>
      </c>
      <c r="K27" s="798">
        <f>SUMIF('Venture Summary - Mthly'!$E$7:$EG$7,K$7,'Venture Summary - Mthly'!$E32:$EG32)</f>
        <v>-2753554.7062498461</v>
      </c>
      <c r="L27" s="798">
        <f>SUMIF('Venture Summary - Mthly'!$E$7:$EG$7,L$7,'Venture Summary - Mthly'!$E32:$EG32)</f>
        <v>-2792560.3089328469</v>
      </c>
      <c r="M27" s="798">
        <f>SUMIF('Venture Summary - Mthly'!$E$7:$EG$7,M$7,'Venture Summary - Mthly'!$E32:$EG32)</f>
        <v>-2827921.7250791178</v>
      </c>
      <c r="N27" s="798">
        <f>SUMIF('Venture Summary - Mthly'!$E$7:$EG$7,N$7,'Venture Summary - Mthly'!$E32:$EG32)</f>
        <v>0</v>
      </c>
      <c r="O27" s="798">
        <f>SUMIF('Venture Summary - Mthly'!$E$7:$EG$7,O$7,'Venture Summary - Mthly'!$E32:$EG32)</f>
        <v>0</v>
      </c>
      <c r="P27" s="798">
        <f>SUMIF('Venture Summary - Mthly'!$E$7:$EG$7,P$7,'Venture Summary - Mthly'!$E32:$EG32)</f>
        <v>0</v>
      </c>
      <c r="Q27" s="798"/>
    </row>
    <row r="28" spans="1:17" ht="12.75" customHeight="1" x14ac:dyDescent="0.3">
      <c r="A28" s="782"/>
      <c r="B28" s="782" t="s">
        <v>21</v>
      </c>
      <c r="C28" s="798">
        <f t="shared" si="5"/>
        <v>-57343611.907627545</v>
      </c>
      <c r="D28" s="782"/>
      <c r="E28" s="799">
        <f>SUMIF('Venture Summary - Mthly'!$E$7:$EG$7,E$7,'Venture Summary - Mthly'!$E33:$EG33)</f>
        <v>0</v>
      </c>
      <c r="F28" s="799">
        <f>SUMIF('Venture Summary - Mthly'!$E$7:$EG$7,F$7,'Venture Summary - Mthly'!$E33:$EG33)</f>
        <v>0</v>
      </c>
      <c r="G28" s="799">
        <f>SUMIF('Venture Summary - Mthly'!$E$7:$EG$7,G$7,'Venture Summary - Mthly'!$E33:$EG33)</f>
        <v>0</v>
      </c>
      <c r="H28" s="799">
        <f>SUMIF('Venture Summary - Mthly'!$E$7:$EG$7,H$7,'Venture Summary - Mthly'!$E33:$EG33)</f>
        <v>0</v>
      </c>
      <c r="I28" s="799">
        <f>SUMIF('Venture Summary - Mthly'!$E$7:$EG$7,I$7,'Venture Summary - Mthly'!$E33:$EG33)</f>
        <v>0</v>
      </c>
      <c r="J28" s="799">
        <f>SUMIF('Venture Summary - Mthly'!$E$7:$EG$7,J$7,'Venture Summary - Mthly'!$E33:$EG33)</f>
        <v>0</v>
      </c>
      <c r="K28" s="799">
        <f>SUMIF('Venture Summary - Mthly'!$E$7:$EG$7,K$7,'Venture Summary - Mthly'!$E33:$EG33)</f>
        <v>0</v>
      </c>
      <c r="L28" s="799">
        <f>SUMIF('Venture Summary - Mthly'!$E$7:$EG$7,L$7,'Venture Summary - Mthly'!$E33:$EG33)</f>
        <v>0</v>
      </c>
      <c r="M28" s="799">
        <f>SUMIF('Venture Summary - Mthly'!$E$7:$EG$7,M$7,'Venture Summary - Mthly'!$E33:$EG33)</f>
        <v>-57343611.907627545</v>
      </c>
      <c r="N28" s="799">
        <f>SUMIF('Venture Summary - Mthly'!$E$7:$EG$7,N$7,'Venture Summary - Mthly'!$E33:$EG33)</f>
        <v>0</v>
      </c>
      <c r="O28" s="799">
        <f>SUMIF('Venture Summary - Mthly'!$E$7:$EG$7,O$7,'Venture Summary - Mthly'!$E33:$EG33)</f>
        <v>0</v>
      </c>
      <c r="P28" s="799">
        <f>SUMIF('Venture Summary - Mthly'!$E$7:$EG$7,P$7,'Venture Summary - Mthly'!$E33:$EG33)</f>
        <v>0</v>
      </c>
      <c r="Q28" s="798"/>
    </row>
    <row r="29" spans="1:17" ht="12.75" customHeight="1" x14ac:dyDescent="0.3">
      <c r="A29" s="782"/>
      <c r="B29" s="821" t="s">
        <v>22</v>
      </c>
      <c r="C29" s="822">
        <f t="shared" si="5"/>
        <v>71665919.417095363</v>
      </c>
      <c r="D29" s="821"/>
      <c r="E29" s="798">
        <f>E18+SUM(E21:E28)</f>
        <v>-1943435.5218400576</v>
      </c>
      <c r="F29" s="798">
        <f t="shared" ref="F29:O29" si="6">F18+SUM(F21:F28)</f>
        <v>-33309824.004253816</v>
      </c>
      <c r="G29" s="798">
        <f t="shared" si="6"/>
        <v>-55886.970805749297</v>
      </c>
      <c r="H29" s="798">
        <f t="shared" si="6"/>
        <v>17275973.608943619</v>
      </c>
      <c r="I29" s="798">
        <f t="shared" si="6"/>
        <v>3062338.1554618562</v>
      </c>
      <c r="J29" s="798">
        <f t="shared" si="6"/>
        <v>3251150.8045808882</v>
      </c>
      <c r="K29" s="798">
        <f t="shared" si="6"/>
        <v>3448331.9223091435</v>
      </c>
      <c r="L29" s="798">
        <f t="shared" si="6"/>
        <v>3684208.4667598489</v>
      </c>
      <c r="M29" s="798">
        <f t="shared" si="6"/>
        <v>76253062.955939621</v>
      </c>
      <c r="N29" s="798">
        <f t="shared" si="6"/>
        <v>0</v>
      </c>
      <c r="O29" s="798">
        <f t="shared" si="6"/>
        <v>0</v>
      </c>
      <c r="P29" s="798">
        <f>P18+SUM(P21:P28)</f>
        <v>0</v>
      </c>
      <c r="Q29" s="798"/>
    </row>
    <row r="30" spans="1:17" ht="12.75" customHeight="1" x14ac:dyDescent="0.3">
      <c r="A30" s="782"/>
      <c r="B30" s="800" t="s">
        <v>23</v>
      </c>
      <c r="C30" s="801">
        <f>'Venture Summary - Mthly'!C35</f>
        <v>0.20314757227897645</v>
      </c>
      <c r="D30" s="782"/>
      <c r="E30" s="782"/>
      <c r="F30" s="782"/>
      <c r="G30" s="782"/>
      <c r="H30" s="782"/>
      <c r="I30" s="782"/>
      <c r="J30" s="782"/>
      <c r="K30" s="782"/>
      <c r="L30" s="782"/>
      <c r="M30" s="782"/>
      <c r="N30" s="782"/>
      <c r="O30" s="782"/>
      <c r="P30" s="782"/>
      <c r="Q30" s="782"/>
    </row>
    <row r="31" spans="1:17" ht="12.75" customHeight="1" x14ac:dyDescent="0.3">
      <c r="A31" s="782"/>
      <c r="B31" s="782"/>
      <c r="C31" s="782"/>
      <c r="D31" s="782"/>
      <c r="E31" s="782"/>
      <c r="F31" s="782"/>
      <c r="G31" s="782"/>
      <c r="H31" s="782"/>
      <c r="I31" s="782"/>
      <c r="J31" s="782"/>
      <c r="K31" s="782"/>
      <c r="L31" s="782"/>
      <c r="M31" s="782"/>
      <c r="N31" s="782"/>
      <c r="O31" s="782"/>
      <c r="P31" s="782"/>
      <c r="Q31" s="782"/>
    </row>
    <row r="32" spans="1:17" ht="12.75" customHeight="1" x14ac:dyDescent="0.3">
      <c r="A32" s="782"/>
      <c r="B32" s="781" t="s">
        <v>24</v>
      </c>
      <c r="C32" s="799">
        <f>SUM(E32:O32)</f>
        <v>-3022291.0014259894</v>
      </c>
      <c r="D32" s="781"/>
      <c r="E32" s="799">
        <f>SUMIF('Venture Summary - Mthly'!$E$7:$EG$7,E$7,'Venture Summary - Mthly'!$E37:$EG37)</f>
        <v>0</v>
      </c>
      <c r="F32" s="799">
        <f>SUMIF('Venture Summary - Mthly'!$E$7:$EG$7,F$7,'Venture Summary - Mthly'!$E37:$EG37)</f>
        <v>-92831.732407094911</v>
      </c>
      <c r="G32" s="799">
        <f>SUMIF('Venture Summary - Mthly'!$E$7:$EG$7,G$7,'Venture Summary - Mthly'!$E37:$EG37)</f>
        <v>-244743.29851944721</v>
      </c>
      <c r="H32" s="799">
        <f>SUMIF('Venture Summary - Mthly'!$E$7:$EG$7,H$7,'Venture Summary - Mthly'!$E37:$EG37)</f>
        <v>-340469.92755794059</v>
      </c>
      <c r="I32" s="799">
        <f>SUMIF('Venture Summary - Mthly'!$E$7:$EG$7,I$7,'Venture Summary - Mthly'!$E37:$EG37)</f>
        <v>-431614.7937272226</v>
      </c>
      <c r="J32" s="799">
        <f>SUMIF('Venture Summary - Mthly'!$E$7:$EG$7,J$7,'Venture Summary - Mthly'!$E37:$EG37)</f>
        <v>-448348.07265455829</v>
      </c>
      <c r="K32" s="799">
        <f>SUMIF('Venture Summary - Mthly'!$E$7:$EG$7,K$7,'Venture Summary - Mthly'!$E37:$EG37)</f>
        <v>-467410.11787337146</v>
      </c>
      <c r="L32" s="799">
        <f>SUMIF('Venture Summary - Mthly'!$E$7:$EG$7,L$7,'Venture Summary - Mthly'!$E37:$EG37)</f>
        <v>-487802.33196967375</v>
      </c>
      <c r="M32" s="799">
        <f>SUMIF('Venture Summary - Mthly'!$E$7:$EG$7,M$7,'Venture Summary - Mthly'!$E37:$EG37)</f>
        <v>-509070.72671668057</v>
      </c>
      <c r="N32" s="799">
        <f>SUMIF('Venture Summary - Mthly'!$E$7:$EG$7,N$7,'Venture Summary - Mthly'!$E37:$EG37)</f>
        <v>0</v>
      </c>
      <c r="O32" s="799">
        <f>SUMIF('Venture Summary - Mthly'!$E$7:$EG$7,O$7,'Venture Summary - Mthly'!$E37:$EG37)</f>
        <v>0</v>
      </c>
      <c r="P32" s="799">
        <f>SUMIF('Venture Summary - Mthly'!$E$7:$EG$7,P$7,'Venture Summary - Mthly'!$E37:$EG37)</f>
        <v>0</v>
      </c>
      <c r="Q32" s="798"/>
    </row>
    <row r="33" spans="1:17" ht="12.75" customHeight="1" x14ac:dyDescent="0.3">
      <c r="A33" s="782"/>
      <c r="B33" s="782" t="s">
        <v>25</v>
      </c>
      <c r="C33" s="798">
        <f>SUM(E33:O33)</f>
        <v>68643628.415669352</v>
      </c>
      <c r="D33" s="782"/>
      <c r="E33" s="798">
        <f>SUM(E29,E32)</f>
        <v>-1943435.5218400576</v>
      </c>
      <c r="F33" s="798">
        <f t="shared" ref="F33:P33" si="7">SUM(F29,F32)</f>
        <v>-33402655.736660913</v>
      </c>
      <c r="G33" s="798">
        <f t="shared" si="7"/>
        <v>-300630.26932519651</v>
      </c>
      <c r="H33" s="798">
        <f t="shared" si="7"/>
        <v>16935503.681385677</v>
      </c>
      <c r="I33" s="798">
        <f t="shared" si="7"/>
        <v>2630723.3617346333</v>
      </c>
      <c r="J33" s="798">
        <f t="shared" si="7"/>
        <v>2802802.7319263299</v>
      </c>
      <c r="K33" s="798">
        <f t="shared" si="7"/>
        <v>2980921.8044357719</v>
      </c>
      <c r="L33" s="798">
        <f t="shared" si="7"/>
        <v>3196406.1347901751</v>
      </c>
      <c r="M33" s="798">
        <f t="shared" si="7"/>
        <v>75743992.229222938</v>
      </c>
      <c r="N33" s="798">
        <f t="shared" si="7"/>
        <v>0</v>
      </c>
      <c r="O33" s="798">
        <f t="shared" si="7"/>
        <v>0</v>
      </c>
      <c r="P33" s="798">
        <f t="shared" si="7"/>
        <v>0</v>
      </c>
      <c r="Q33" s="798"/>
    </row>
    <row r="34" spans="1:17" ht="12.75" customHeight="1" x14ac:dyDescent="0.3">
      <c r="A34" s="782"/>
      <c r="B34" s="800" t="s">
        <v>26</v>
      </c>
      <c r="C34" s="801">
        <f>'Venture Summary - Mthly'!C39</f>
        <v>0.194367915391922</v>
      </c>
      <c r="D34" s="782"/>
    </row>
    <row r="35" spans="1:17" ht="12.75" customHeight="1" x14ac:dyDescent="0.3">
      <c r="A35" s="782"/>
      <c r="B35" s="796"/>
      <c r="C35" s="823"/>
      <c r="D35" s="782"/>
      <c r="E35" s="798"/>
      <c r="F35" s="798"/>
      <c r="G35" s="798"/>
      <c r="H35" s="798"/>
      <c r="I35" s="798"/>
      <c r="J35" s="798"/>
      <c r="K35" s="798"/>
      <c r="L35" s="798"/>
      <c r="M35" s="798"/>
      <c r="N35" s="798"/>
      <c r="O35" s="798"/>
      <c r="P35" s="798"/>
      <c r="Q35" s="798"/>
    </row>
    <row r="36" spans="1:17" s="337" customFormat="1" ht="12.75" customHeight="1" x14ac:dyDescent="0.3">
      <c r="A36" s="803"/>
      <c r="B36" s="803" t="s">
        <v>27</v>
      </c>
      <c r="C36" s="802">
        <f>SUM(E36:O36)</f>
        <v>87533229.634661987</v>
      </c>
      <c r="D36" s="803"/>
      <c r="E36" s="802">
        <f>SUMIF('Venture Summary - Mthly'!$E$7:$EG$7,E$7,'Venture Summary - Mthly'!$E41:$EG41)</f>
        <v>-1121852.0714285714</v>
      </c>
      <c r="F36" s="802">
        <f>SUMIF('Venture Summary - Mthly'!$E$7:$EG$7,F$7,'Venture Summary - Mthly'!$E41:$EG41)</f>
        <v>-43059723.752315491</v>
      </c>
      <c r="G36" s="802">
        <f>SUMIF('Venture Summary - Mthly'!$E$7:$EG$7,G$7,'Venture Summary - Mthly'!$E41:$EG41)</f>
        <v>-30913818.077843118</v>
      </c>
      <c r="H36" s="802">
        <f>SUMIF('Venture Summary - Mthly'!$E$7:$EG$7,H$7,'Venture Summary - Mthly'!$E41:$EG41)</f>
        <v>4187876.2921211398</v>
      </c>
      <c r="I36" s="802">
        <f>SUMIF('Venture Summary - Mthly'!$E$7:$EG$7,I$7,'Venture Summary - Mthly'!$E41:$EG41)</f>
        <v>5293567.6418981012</v>
      </c>
      <c r="J36" s="802">
        <f>SUMIF('Venture Summary - Mthly'!$E$7:$EG$7,J$7,'Venture Summary - Mthly'!$E41:$EG41)</f>
        <v>5508210.7858916661</v>
      </c>
      <c r="K36" s="802">
        <f>SUMIF('Venture Summary - Mthly'!$E$7:$EG$7,K$7,'Venture Summary - Mthly'!$E41:$EG41)</f>
        <v>5734476.510685619</v>
      </c>
      <c r="L36" s="802">
        <f>SUMIF('Venture Summary - Mthly'!$E$7:$EG$7,L$7,'Venture Summary - Mthly'!$E41:$EG41)</f>
        <v>5988966.4437230239</v>
      </c>
      <c r="M36" s="802">
        <f>SUMIF('Venture Summary - Mthly'!$E$7:$EG$7,M$7,'Venture Summary - Mthly'!$E41:$EG41)</f>
        <v>135915525.86192963</v>
      </c>
      <c r="N36" s="802">
        <f>SUMIF('Venture Summary - Mthly'!$E$7:$EG$7,N$7,'Venture Summary - Mthly'!$E41:$EG41)</f>
        <v>0</v>
      </c>
      <c r="O36" s="802">
        <f>SUMIF('Venture Summary - Mthly'!$E$7:$EG$7,O$7,'Venture Summary - Mthly'!$E41:$EG41)</f>
        <v>0</v>
      </c>
      <c r="P36" s="802">
        <f>SUMIF('Venture Summary - Mthly'!$E$7:$EG$7,P$7,'Venture Summary - Mthly'!$E41:$EG41)</f>
        <v>0</v>
      </c>
      <c r="Q36" s="802"/>
    </row>
    <row r="37" spans="1:17" ht="12.75" customHeight="1" x14ac:dyDescent="0.3">
      <c r="A37" s="782"/>
      <c r="B37" s="782"/>
      <c r="C37" s="782"/>
      <c r="D37" s="782"/>
      <c r="E37" s="782"/>
      <c r="F37" s="782"/>
      <c r="G37" s="782"/>
      <c r="H37" s="782"/>
      <c r="I37" s="782"/>
      <c r="J37" s="782"/>
      <c r="K37" s="782"/>
      <c r="L37" s="782"/>
      <c r="M37" s="782"/>
      <c r="N37" s="782"/>
      <c r="O37" s="782"/>
      <c r="P37" s="782"/>
      <c r="Q37" s="782"/>
    </row>
    <row r="38" spans="1:17" s="795" customFormat="1" ht="12.75" customHeight="1" x14ac:dyDescent="0.3">
      <c r="A38" s="1146"/>
      <c r="B38" s="793" t="s">
        <v>28</v>
      </c>
      <c r="C38" s="794"/>
      <c r="D38" s="794"/>
      <c r="E38" s="794"/>
      <c r="F38" s="794"/>
      <c r="G38" s="794"/>
      <c r="H38" s="794"/>
      <c r="I38" s="794"/>
      <c r="J38" s="794"/>
      <c r="K38" s="794"/>
      <c r="L38" s="794"/>
      <c r="M38" s="794"/>
      <c r="N38" s="794"/>
      <c r="O38" s="794"/>
      <c r="P38" s="794"/>
      <c r="Q38" s="794"/>
    </row>
    <row r="39" spans="1:17" ht="12.75" customHeight="1" x14ac:dyDescent="0.3">
      <c r="A39" s="782"/>
      <c r="B39" s="782"/>
      <c r="C39" s="782"/>
      <c r="D39" s="782"/>
      <c r="E39" s="782"/>
      <c r="F39" s="782"/>
      <c r="G39" s="782"/>
      <c r="H39" s="782"/>
      <c r="I39" s="782"/>
      <c r="J39" s="782"/>
      <c r="K39" s="782"/>
      <c r="L39" s="782"/>
      <c r="M39" s="782"/>
      <c r="N39" s="782"/>
      <c r="O39" s="782"/>
      <c r="P39" s="782"/>
      <c r="Q39" s="782"/>
    </row>
    <row r="40" spans="1:17" ht="12.75" customHeight="1" x14ac:dyDescent="0.3">
      <c r="A40" s="782"/>
      <c r="B40" s="782" t="s">
        <v>7</v>
      </c>
      <c r="C40" s="798">
        <f t="shared" ref="C40:C45" si="8">SUM(E40:O40)</f>
        <v>-75647698.216711134</v>
      </c>
      <c r="D40" s="782"/>
      <c r="E40" s="798">
        <f>SUMIF('Venture Summary - Mthly'!$E$7:$EG$7,E$7,'Venture Summary - Mthly'!$E45:$EG45)</f>
        <v>-1050423.5</v>
      </c>
      <c r="F40" s="798">
        <f>SUMIF('Venture Summary - Mthly'!$E$7:$EG$7,F$7,'Venture Summary - Mthly'!$E45:$EG45)</f>
        <v>-42866892.019908398</v>
      </c>
      <c r="G40" s="798">
        <f>SUMIF('Venture Summary - Mthly'!$E$7:$EG$7,G$7,'Venture Summary - Mthly'!$E45:$EG45)</f>
        <v>-31055678.412585393</v>
      </c>
      <c r="H40" s="798">
        <f>SUMIF('Venture Summary - Mthly'!$E$7:$EG$7,H$7,'Venture Summary - Mthly'!$E45:$EG45)</f>
        <v>-674704.28421734134</v>
      </c>
      <c r="I40" s="798">
        <f>SUMIF('Venture Summary - Mthly'!$E$7:$EG$7,I$7,'Venture Summary - Mthly'!$E45:$EG45)</f>
        <v>0</v>
      </c>
      <c r="J40" s="798">
        <f>SUMIF('Venture Summary - Mthly'!$E$7:$EG$7,J$7,'Venture Summary - Mthly'!$E45:$EG45)</f>
        <v>0</v>
      </c>
      <c r="K40" s="798">
        <f>SUMIF('Venture Summary - Mthly'!$E$7:$EG$7,K$7,'Venture Summary - Mthly'!$E45:$EG45)</f>
        <v>0</v>
      </c>
      <c r="L40" s="798">
        <f>SUMIF('Venture Summary - Mthly'!$E$7:$EG$7,L$7,'Venture Summary - Mthly'!$E45:$EG45)</f>
        <v>0</v>
      </c>
      <c r="M40" s="798">
        <f>SUMIF('Venture Summary - Mthly'!$E$7:$EG$7,M$7,'Venture Summary - Mthly'!$E45:$EG45)</f>
        <v>0</v>
      </c>
      <c r="N40" s="798">
        <f>SUMIF('Venture Summary - Mthly'!$E$7:$EG$7,N$7,'Venture Summary - Mthly'!$E45:$EG45)</f>
        <v>0</v>
      </c>
      <c r="O40" s="798">
        <f>SUMIF('Venture Summary - Mthly'!$E$7:$EG$7,O$7,'Venture Summary - Mthly'!$E45:$EG45)</f>
        <v>0</v>
      </c>
      <c r="P40" s="798">
        <f>SUMIF('Venture Summary - Mthly'!$E$7:$EG$7,P$7,'Venture Summary - Mthly'!$E45:$EG45)</f>
        <v>0</v>
      </c>
      <c r="Q40" s="798"/>
    </row>
    <row r="41" spans="1:17" ht="12.75" customHeight="1" x14ac:dyDescent="0.3">
      <c r="A41" s="782"/>
      <c r="B41" s="782" t="s">
        <v>8</v>
      </c>
      <c r="C41" s="798">
        <f t="shared" si="8"/>
        <v>3908113.1813995633</v>
      </c>
      <c r="D41" s="782"/>
      <c r="E41" s="798">
        <f>SUMIF('Venture Summary - Mthly'!$E$7:$EG$7,E$7,'Venture Summary - Mthly'!$E46:$EG46)</f>
        <v>0</v>
      </c>
      <c r="F41" s="798">
        <f>SUMIF('Venture Summary - Mthly'!$E$7:$EG$7,F$7,'Venture Summary - Mthly'!$E46:$EG46)</f>
        <v>0</v>
      </c>
      <c r="G41" s="798">
        <f>SUMIF('Venture Summary - Mthly'!$E$7:$EG$7,G$7,'Venture Summary - Mthly'!$E46:$EG46)</f>
        <v>486603.63326172775</v>
      </c>
      <c r="H41" s="798">
        <f>SUMIF('Venture Summary - Mthly'!$E$7:$EG$7,H$7,'Venture Summary - Mthly'!$E46:$EG46)</f>
        <v>3421509.5481378357</v>
      </c>
      <c r="I41" s="798">
        <f>SUMIF('Venture Summary - Mthly'!$E$7:$EG$7,I$7,'Venture Summary - Mthly'!$E46:$EG46)</f>
        <v>0</v>
      </c>
      <c r="J41" s="798">
        <f>SUMIF('Venture Summary - Mthly'!$E$7:$EG$7,J$7,'Venture Summary - Mthly'!$E46:$EG46)</f>
        <v>0</v>
      </c>
      <c r="K41" s="798">
        <f>SUMIF('Venture Summary - Mthly'!$E$7:$EG$7,K$7,'Venture Summary - Mthly'!$E46:$EG46)</f>
        <v>0</v>
      </c>
      <c r="L41" s="798">
        <f>SUMIF('Venture Summary - Mthly'!$E$7:$EG$7,L$7,'Venture Summary - Mthly'!$E46:$EG46)</f>
        <v>0</v>
      </c>
      <c r="M41" s="798">
        <f>SUMIF('Venture Summary - Mthly'!$E$7:$EG$7,M$7,'Venture Summary - Mthly'!$E46:$EG46)</f>
        <v>0</v>
      </c>
      <c r="N41" s="798">
        <f>SUMIF('Venture Summary - Mthly'!$E$7:$EG$7,N$7,'Venture Summary - Mthly'!$E46:$EG46)</f>
        <v>0</v>
      </c>
      <c r="O41" s="798">
        <f>SUMIF('Venture Summary - Mthly'!$E$7:$EG$7,O$7,'Venture Summary - Mthly'!$E46:$EG46)</f>
        <v>0</v>
      </c>
      <c r="P41" s="798">
        <f>SUMIF('Venture Summary - Mthly'!$E$7:$EG$7,P$7,'Venture Summary - Mthly'!$E46:$EG46)</f>
        <v>0</v>
      </c>
      <c r="Q41" s="798"/>
    </row>
    <row r="42" spans="1:17" ht="12.75" customHeight="1" x14ac:dyDescent="0.3">
      <c r="A42" s="782"/>
      <c r="B42" s="782" t="s">
        <v>9</v>
      </c>
      <c r="C42" s="798">
        <f t="shared" si="8"/>
        <v>-71428.57142857142</v>
      </c>
      <c r="D42" s="782"/>
      <c r="E42" s="798">
        <f>SUMIF('Venture Summary - Mthly'!$E$7:$EG$7,E$7,'Venture Summary - Mthly'!$E47:$EG47)</f>
        <v>-71428.57142857142</v>
      </c>
      <c r="F42" s="798">
        <f>SUMIF('Venture Summary - Mthly'!$E$7:$EG$7,F$7,'Venture Summary - Mthly'!$E47:$EG47)</f>
        <v>0</v>
      </c>
      <c r="G42" s="798">
        <f>SUMIF('Venture Summary - Mthly'!$E$7:$EG$7,G$7,'Venture Summary - Mthly'!$E47:$EG47)</f>
        <v>0</v>
      </c>
      <c r="H42" s="798">
        <f>SUMIF('Venture Summary - Mthly'!$E$7:$EG$7,H$7,'Venture Summary - Mthly'!$E47:$EG47)</f>
        <v>0</v>
      </c>
      <c r="I42" s="798">
        <f>SUMIF('Venture Summary - Mthly'!$E$7:$EG$7,I$7,'Venture Summary - Mthly'!$E47:$EG47)</f>
        <v>0</v>
      </c>
      <c r="J42" s="798">
        <f>SUMIF('Venture Summary - Mthly'!$E$7:$EG$7,J$7,'Venture Summary - Mthly'!$E47:$EG47)</f>
        <v>0</v>
      </c>
      <c r="K42" s="798">
        <f>SUMIF('Venture Summary - Mthly'!$E$7:$EG$7,K$7,'Venture Summary - Mthly'!$E47:$EG47)</f>
        <v>0</v>
      </c>
      <c r="L42" s="798">
        <f>SUMIF('Venture Summary - Mthly'!$E$7:$EG$7,L$7,'Venture Summary - Mthly'!$E47:$EG47)</f>
        <v>0</v>
      </c>
      <c r="M42" s="798">
        <f>SUMIF('Venture Summary - Mthly'!$E$7:$EG$7,M$7,'Venture Summary - Mthly'!$E47:$EG47)</f>
        <v>0</v>
      </c>
      <c r="N42" s="798">
        <f>SUMIF('Venture Summary - Mthly'!$E$7:$EG$7,N$7,'Venture Summary - Mthly'!$E47:$EG47)</f>
        <v>0</v>
      </c>
      <c r="O42" s="798">
        <f>SUMIF('Venture Summary - Mthly'!$E$7:$EG$7,O$7,'Venture Summary - Mthly'!$E47:$EG47)</f>
        <v>0</v>
      </c>
      <c r="P42" s="798">
        <f>SUMIF('Venture Summary - Mthly'!$E$7:$EG$7,P$7,'Venture Summary - Mthly'!$E47:$EG47)</f>
        <v>0</v>
      </c>
      <c r="Q42" s="798"/>
    </row>
    <row r="43" spans="1:17" ht="12.75" customHeight="1" x14ac:dyDescent="0.3">
      <c r="A43" s="782"/>
      <c r="B43" s="782" t="s">
        <v>10</v>
      </c>
      <c r="C43" s="798">
        <f t="shared" si="8"/>
        <v>-266666.66666666663</v>
      </c>
      <c r="D43" s="782"/>
      <c r="E43" s="798">
        <f>SUMIF('Venture Summary - Mthly'!$E$7:$EG$7,E$7,'Venture Summary - Mthly'!$E48:$EG48)</f>
        <v>0</v>
      </c>
      <c r="F43" s="798">
        <f>SUMIF('Venture Summary - Mthly'!$E$7:$EG$7,F$7,'Venture Summary - Mthly'!$E48:$EG48)</f>
        <v>-99999.999999999985</v>
      </c>
      <c r="G43" s="798">
        <f>SUMIF('Venture Summary - Mthly'!$E$7:$EG$7,G$7,'Venture Summary - Mthly'!$E48:$EG48)</f>
        <v>-99999.999999999985</v>
      </c>
      <c r="H43" s="798">
        <f>SUMIF('Venture Summary - Mthly'!$E$7:$EG$7,H$7,'Venture Summary - Mthly'!$E48:$EG48)</f>
        <v>-66666.666666666672</v>
      </c>
      <c r="I43" s="798">
        <f>SUMIF('Venture Summary - Mthly'!$E$7:$EG$7,I$7,'Venture Summary - Mthly'!$E48:$EG48)</f>
        <v>0</v>
      </c>
      <c r="J43" s="798">
        <f>SUMIF('Venture Summary - Mthly'!$E$7:$EG$7,J$7,'Venture Summary - Mthly'!$E48:$EG48)</f>
        <v>0</v>
      </c>
      <c r="K43" s="798">
        <f>SUMIF('Venture Summary - Mthly'!$E$7:$EG$7,K$7,'Venture Summary - Mthly'!$E48:$EG48)</f>
        <v>0</v>
      </c>
      <c r="L43" s="798">
        <f>SUMIF('Venture Summary - Mthly'!$E$7:$EG$7,L$7,'Venture Summary - Mthly'!$E48:$EG48)</f>
        <v>0</v>
      </c>
      <c r="M43" s="798">
        <f>SUMIF('Venture Summary - Mthly'!$E$7:$EG$7,M$7,'Venture Summary - Mthly'!$E48:$EG48)</f>
        <v>0</v>
      </c>
      <c r="N43" s="798">
        <f>SUMIF('Venture Summary - Mthly'!$E$7:$EG$7,N$7,'Venture Summary - Mthly'!$E48:$EG48)</f>
        <v>0</v>
      </c>
      <c r="O43" s="798">
        <f>SUMIF('Venture Summary - Mthly'!$E$7:$EG$7,O$7,'Venture Summary - Mthly'!$E48:$EG48)</f>
        <v>0</v>
      </c>
      <c r="P43" s="798">
        <f>SUMIF('Venture Summary - Mthly'!$E$7:$EG$7,P$7,'Venture Summary - Mthly'!$E48:$EG48)</f>
        <v>0</v>
      </c>
      <c r="Q43" s="798"/>
    </row>
    <row r="44" spans="1:17" ht="12.75" customHeight="1" x14ac:dyDescent="0.3">
      <c r="A44" s="782"/>
      <c r="B44" s="781" t="s">
        <v>29</v>
      </c>
      <c r="C44" s="799">
        <f t="shared" si="8"/>
        <v>103794068.10908552</v>
      </c>
      <c r="D44" s="781"/>
      <c r="E44" s="799">
        <f>SUMIF('Venture Summary - Mthly'!$E$7:$EG$7,E$7,'Venture Summary - Mthly'!$E49:$EG49)</f>
        <v>0</v>
      </c>
      <c r="F44" s="799">
        <f>SUMIF('Venture Summary - Mthly'!$E$7:$EG$7,F$7,'Venture Summary - Mthly'!$E49:$EG49)</f>
        <v>0</v>
      </c>
      <c r="G44" s="799">
        <f>SUMIF('Venture Summary - Mthly'!$E$7:$EG$7,G$7,'Venture Summary - Mthly'!$E49:$EG49)</f>
        <v>0</v>
      </c>
      <c r="H44" s="799">
        <f>SUMIF('Venture Summary - Mthly'!$E$7:$EG$7,H$7,'Venture Summary - Mthly'!$E49:$EG49)</f>
        <v>103794068.10908552</v>
      </c>
      <c r="I44" s="799">
        <f>SUMIF('Venture Summary - Mthly'!$E$7:$EG$7,I$7,'Venture Summary - Mthly'!$E49:$EG49)</f>
        <v>0</v>
      </c>
      <c r="J44" s="799">
        <f>SUMIF('Venture Summary - Mthly'!$E$7:$EG$7,J$7,'Venture Summary - Mthly'!$E49:$EG49)</f>
        <v>0</v>
      </c>
      <c r="K44" s="799">
        <f>SUMIF('Venture Summary - Mthly'!$E$7:$EG$7,K$7,'Venture Summary - Mthly'!$E49:$EG49)</f>
        <v>0</v>
      </c>
      <c r="L44" s="799">
        <f>SUMIF('Venture Summary - Mthly'!$E$7:$EG$7,L$7,'Venture Summary - Mthly'!$E49:$EG49)</f>
        <v>0</v>
      </c>
      <c r="M44" s="799">
        <f>SUMIF('Venture Summary - Mthly'!$E$7:$EG$7,M$7,'Venture Summary - Mthly'!$E49:$EG49)</f>
        <v>0</v>
      </c>
      <c r="N44" s="799">
        <f>SUMIF('Venture Summary - Mthly'!$E$7:$EG$7,N$7,'Venture Summary - Mthly'!$E49:$EG49)</f>
        <v>0</v>
      </c>
      <c r="O44" s="799">
        <f>SUMIF('Venture Summary - Mthly'!$E$7:$EG$7,O$7,'Venture Summary - Mthly'!$E49:$EG49)</f>
        <v>0</v>
      </c>
      <c r="P44" s="799">
        <f>SUMIF('Venture Summary - Mthly'!$E$7:$EG$7,P$7,'Venture Summary - Mthly'!$E49:$EG49)</f>
        <v>0</v>
      </c>
      <c r="Q44" s="798"/>
    </row>
    <row r="45" spans="1:17" ht="12.75" customHeight="1" x14ac:dyDescent="0.3">
      <c r="A45" s="782"/>
      <c r="B45" s="782" t="s">
        <v>30</v>
      </c>
      <c r="C45" s="798">
        <f t="shared" si="8"/>
        <v>31716387.835678712</v>
      </c>
      <c r="D45" s="782"/>
      <c r="E45" s="798">
        <f>SUM(E40:E44)</f>
        <v>-1121852.0714285714</v>
      </c>
      <c r="F45" s="798">
        <f t="shared" ref="F45:P45" si="9">SUM(F40:F44)</f>
        <v>-42966892.019908398</v>
      </c>
      <c r="G45" s="798">
        <f t="shared" si="9"/>
        <v>-30669074.779323664</v>
      </c>
      <c r="H45" s="798">
        <f t="shared" si="9"/>
        <v>106474206.70633934</v>
      </c>
      <c r="I45" s="798">
        <f t="shared" si="9"/>
        <v>0</v>
      </c>
      <c r="J45" s="798">
        <f t="shared" si="9"/>
        <v>0</v>
      </c>
      <c r="K45" s="798">
        <f t="shared" si="9"/>
        <v>0</v>
      </c>
      <c r="L45" s="798">
        <f t="shared" si="9"/>
        <v>0</v>
      </c>
      <c r="M45" s="798">
        <f t="shared" si="9"/>
        <v>0</v>
      </c>
      <c r="N45" s="798">
        <f t="shared" si="9"/>
        <v>0</v>
      </c>
      <c r="O45" s="798">
        <f t="shared" si="9"/>
        <v>0</v>
      </c>
      <c r="P45" s="798">
        <f t="shared" si="9"/>
        <v>0</v>
      </c>
      <c r="Q45" s="798"/>
    </row>
    <row r="46" spans="1:17" ht="12.75" customHeight="1" x14ac:dyDescent="0.3">
      <c r="A46" s="782"/>
      <c r="B46" s="800" t="s">
        <v>31</v>
      </c>
      <c r="C46" s="801">
        <f>'Venture Summary - Mthly'!C51</f>
        <v>0.21382752060890195</v>
      </c>
      <c r="D46" s="782"/>
      <c r="E46" s="798"/>
      <c r="F46" s="798"/>
      <c r="G46" s="798"/>
      <c r="H46" s="798"/>
      <c r="I46" s="798"/>
      <c r="J46" s="798"/>
      <c r="K46" s="798"/>
      <c r="L46" s="798"/>
      <c r="M46" s="798"/>
      <c r="N46" s="798"/>
      <c r="O46" s="798"/>
      <c r="P46" s="798"/>
      <c r="Q46" s="798"/>
    </row>
    <row r="47" spans="1:17" ht="12.75" customHeight="1" x14ac:dyDescent="0.3">
      <c r="A47" s="782"/>
      <c r="B47" s="782"/>
      <c r="C47" s="782"/>
      <c r="D47" s="782"/>
      <c r="E47" s="782"/>
      <c r="F47" s="782"/>
      <c r="G47" s="782"/>
      <c r="H47" s="782"/>
      <c r="I47" s="782"/>
      <c r="J47" s="782"/>
      <c r="K47" s="782"/>
      <c r="L47" s="782"/>
      <c r="M47" s="782"/>
      <c r="N47" s="782"/>
      <c r="O47" s="782"/>
      <c r="P47" s="782"/>
      <c r="Q47" s="782"/>
    </row>
    <row r="48" spans="1:17" ht="12.75" customHeight="1" x14ac:dyDescent="0.3">
      <c r="A48" s="782"/>
      <c r="B48" s="782" t="s">
        <v>14</v>
      </c>
      <c r="C48" s="804">
        <f>SUM(E48:O48)</f>
        <v>-896583.45041148621</v>
      </c>
      <c r="D48" s="782"/>
      <c r="E48" s="798">
        <f>SUMIF('Venture Summary - Mthly'!$E$7:$EG$7,E$7,'Venture Summary - Mthly'!$E53:$EG53)</f>
        <v>-821583.45041148621</v>
      </c>
      <c r="F48" s="798">
        <f>SUMIF('Venture Summary - Mthly'!$E$7:$EG$7,F$7,'Venture Summary - Mthly'!$E53:$EG53)</f>
        <v>-36000</v>
      </c>
      <c r="G48" s="798">
        <f>SUMIF('Venture Summary - Mthly'!$E$7:$EG$7,G$7,'Venture Summary - Mthly'!$E53:$EG53)</f>
        <v>-36000</v>
      </c>
      <c r="H48" s="798">
        <f>SUMIF('Venture Summary - Mthly'!$E$7:$EG$7,H$7,'Venture Summary - Mthly'!$E53:$EG53)</f>
        <v>-3000</v>
      </c>
      <c r="I48" s="798">
        <f>SUMIF('Venture Summary - Mthly'!$E$7:$EG$7,I$7,'Venture Summary - Mthly'!$E53:$EG53)</f>
        <v>0</v>
      </c>
      <c r="J48" s="798">
        <f>SUMIF('Venture Summary - Mthly'!$E$7:$EG$7,J$7,'Venture Summary - Mthly'!$E53:$EG53)</f>
        <v>0</v>
      </c>
      <c r="K48" s="798">
        <f>SUMIF('Venture Summary - Mthly'!$E$7:$EG$7,K$7,'Venture Summary - Mthly'!$E53:$EG53)</f>
        <v>0</v>
      </c>
      <c r="L48" s="798">
        <f>SUMIF('Venture Summary - Mthly'!$E$7:$EG$7,L$7,'Venture Summary - Mthly'!$E53:$EG53)</f>
        <v>0</v>
      </c>
      <c r="M48" s="798">
        <f>SUMIF('Venture Summary - Mthly'!$E$7:$EG$7,M$7,'Venture Summary - Mthly'!$E53:$EG53)</f>
        <v>0</v>
      </c>
      <c r="N48" s="798">
        <f>SUMIF('Venture Summary - Mthly'!$E$7:$EG$7,N$7,'Venture Summary - Mthly'!$E53:$EG53)</f>
        <v>0</v>
      </c>
      <c r="O48" s="798">
        <f>SUMIF('Venture Summary - Mthly'!$E$7:$EG$7,O$7,'Venture Summary - Mthly'!$E53:$EG53)</f>
        <v>0</v>
      </c>
      <c r="P48" s="798">
        <f>SUMIF('Venture Summary - Mthly'!$E$7:$EG$7,P$7,'Venture Summary - Mthly'!$E53:$EG53)</f>
        <v>0</v>
      </c>
      <c r="Q48" s="798"/>
    </row>
    <row r="49" spans="1:17" ht="12.75" customHeight="1" x14ac:dyDescent="0.3">
      <c r="A49" s="782"/>
      <c r="B49" s="782" t="s">
        <v>15</v>
      </c>
      <c r="C49" s="804">
        <f>SUM(E49:O49)</f>
        <v>-3015435.9515204169</v>
      </c>
      <c r="D49" s="782"/>
      <c r="E49" s="798">
        <f>SUMIF('Venture Summary - Mthly'!$E$7:$EG$7,E$7,'Venture Summary - Mthly'!$E54:$EG54)</f>
        <v>0</v>
      </c>
      <c r="F49" s="798">
        <f>SUMIF('Venture Summary - Mthly'!$E$7:$EG$7,F$7,'Venture Summary - Mthly'!$E54:$EG54)</f>
        <v>-40131.847345416674</v>
      </c>
      <c r="G49" s="798">
        <f>SUMIF('Venture Summary - Mthly'!$E$7:$EG$7,G$7,'Venture Summary - Mthly'!$E54:$EG54)</f>
        <v>-1817701.4314820836</v>
      </c>
      <c r="H49" s="798">
        <f>SUMIF('Venture Summary - Mthly'!$E$7:$EG$7,H$7,'Venture Summary - Mthly'!$E54:$EG54)</f>
        <v>-1157602.6726929168</v>
      </c>
      <c r="I49" s="798">
        <f>SUMIF('Venture Summary - Mthly'!$E$7:$EG$7,I$7,'Venture Summary - Mthly'!$E54:$EG54)</f>
        <v>0</v>
      </c>
      <c r="J49" s="798">
        <f>SUMIF('Venture Summary - Mthly'!$E$7:$EG$7,J$7,'Venture Summary - Mthly'!$E54:$EG54)</f>
        <v>0</v>
      </c>
      <c r="K49" s="798">
        <f>SUMIF('Venture Summary - Mthly'!$E$7:$EG$7,K$7,'Venture Summary - Mthly'!$E54:$EG54)</f>
        <v>0</v>
      </c>
      <c r="L49" s="798">
        <f>SUMIF('Venture Summary - Mthly'!$E$7:$EG$7,L$7,'Venture Summary - Mthly'!$E54:$EG54)</f>
        <v>0</v>
      </c>
      <c r="M49" s="798">
        <f>SUMIF('Venture Summary - Mthly'!$E$7:$EG$7,M$7,'Venture Summary - Mthly'!$E54:$EG54)</f>
        <v>0</v>
      </c>
      <c r="N49" s="798">
        <f>SUMIF('Venture Summary - Mthly'!$E$7:$EG$7,N$7,'Venture Summary - Mthly'!$E54:$EG54)</f>
        <v>0</v>
      </c>
      <c r="O49" s="798">
        <f>SUMIF('Venture Summary - Mthly'!$E$7:$EG$7,O$7,'Venture Summary - Mthly'!$E54:$EG54)</f>
        <v>0</v>
      </c>
      <c r="P49" s="798">
        <f>SUMIF('Venture Summary - Mthly'!$E$7:$EG$7,P$7,'Venture Summary - Mthly'!$E54:$EG54)</f>
        <v>0</v>
      </c>
      <c r="Q49" s="798"/>
    </row>
    <row r="50" spans="1:17" ht="12.75" customHeight="1" x14ac:dyDescent="0.3">
      <c r="A50" s="782"/>
      <c r="B50" s="782" t="s">
        <v>16</v>
      </c>
      <c r="C50" s="804">
        <f>SUM(E50:O50)</f>
        <v>42877793.387000002</v>
      </c>
      <c r="D50" s="782"/>
      <c r="E50" s="798">
        <f>SUMIF('Venture Summary - Mthly'!$E$7:$EG$7,E$7,'Venture Summary - Mthly'!$E55:$EG55)</f>
        <v>0</v>
      </c>
      <c r="F50" s="798">
        <f>SUMIF('Venture Summary - Mthly'!$E$7:$EG$7,F$7,'Venture Summary - Mthly'!$E55:$EG55)</f>
        <v>9733199.8629999999</v>
      </c>
      <c r="G50" s="798">
        <f>SUMIF('Venture Summary - Mthly'!$E$7:$EG$7,G$7,'Venture Summary - Mthly'!$E55:$EG55)</f>
        <v>32466889.239999998</v>
      </c>
      <c r="H50" s="798">
        <f>SUMIF('Venture Summary - Mthly'!$E$7:$EG$7,H$7,'Venture Summary - Mthly'!$E55:$EG55)</f>
        <v>677704.28399999999</v>
      </c>
      <c r="I50" s="798">
        <f>SUMIF('Venture Summary - Mthly'!$E$7:$EG$7,I$7,'Venture Summary - Mthly'!$E55:$EG55)</f>
        <v>0</v>
      </c>
      <c r="J50" s="798">
        <f>SUMIF('Venture Summary - Mthly'!$E$7:$EG$7,J$7,'Venture Summary - Mthly'!$E55:$EG55)</f>
        <v>0</v>
      </c>
      <c r="K50" s="798">
        <f>SUMIF('Venture Summary - Mthly'!$E$7:$EG$7,K$7,'Venture Summary - Mthly'!$E55:$EG55)</f>
        <v>0</v>
      </c>
      <c r="L50" s="798">
        <f>SUMIF('Venture Summary - Mthly'!$E$7:$EG$7,L$7,'Venture Summary - Mthly'!$E55:$EG55)</f>
        <v>0</v>
      </c>
      <c r="M50" s="798">
        <f>SUMIF('Venture Summary - Mthly'!$E$7:$EG$7,M$7,'Venture Summary - Mthly'!$E55:$EG55)</f>
        <v>0</v>
      </c>
      <c r="N50" s="798">
        <f>SUMIF('Venture Summary - Mthly'!$E$7:$EG$7,N$7,'Venture Summary - Mthly'!$E55:$EG55)</f>
        <v>0</v>
      </c>
      <c r="O50" s="798">
        <f>SUMIF('Venture Summary - Mthly'!$E$7:$EG$7,O$7,'Venture Summary - Mthly'!$E55:$EG55)</f>
        <v>0</v>
      </c>
      <c r="P50" s="798">
        <f>SUMIF('Venture Summary - Mthly'!$E$7:$EG$7,P$7,'Venture Summary - Mthly'!$E55:$EG55)</f>
        <v>0</v>
      </c>
      <c r="Q50" s="798"/>
    </row>
    <row r="51" spans="1:17" ht="12.75" customHeight="1" x14ac:dyDescent="0.3">
      <c r="A51" s="782"/>
      <c r="B51" s="781" t="s">
        <v>32</v>
      </c>
      <c r="C51" s="799">
        <f>SUM(E51:O51)</f>
        <v>-42877793.387000009</v>
      </c>
      <c r="D51" s="781"/>
      <c r="E51" s="799">
        <f>SUMIF('Venture Summary - Mthly'!$E$7:$EG$7,E$7,'Venture Summary - Mthly'!$E56:$EG56)</f>
        <v>0</v>
      </c>
      <c r="F51" s="799">
        <f>SUMIF('Venture Summary - Mthly'!$E$7:$EG$7,F$7,'Venture Summary - Mthly'!$E56:$EG56)</f>
        <v>0</v>
      </c>
      <c r="G51" s="799">
        <f>SUMIF('Venture Summary - Mthly'!$E$7:$EG$7,G$7,'Venture Summary - Mthly'!$E56:$EG56)</f>
        <v>0</v>
      </c>
      <c r="H51" s="799">
        <f>SUMIF('Venture Summary - Mthly'!$E$7:$EG$7,H$7,'Venture Summary - Mthly'!$E56:$EG56)</f>
        <v>-42877793.387000009</v>
      </c>
      <c r="I51" s="799">
        <f>SUMIF('Venture Summary - Mthly'!$E$7:$EG$7,I$7,'Venture Summary - Mthly'!$E56:$EG56)</f>
        <v>0</v>
      </c>
      <c r="J51" s="799">
        <f>SUMIF('Venture Summary - Mthly'!$E$7:$EG$7,J$7,'Venture Summary - Mthly'!$E56:$EG56)</f>
        <v>0</v>
      </c>
      <c r="K51" s="799">
        <f>SUMIF('Venture Summary - Mthly'!$E$7:$EG$7,K$7,'Venture Summary - Mthly'!$E56:$EG56)</f>
        <v>0</v>
      </c>
      <c r="L51" s="799">
        <f>SUMIF('Venture Summary - Mthly'!$E$7:$EG$7,L$7,'Venture Summary - Mthly'!$E56:$EG56)</f>
        <v>0</v>
      </c>
      <c r="M51" s="799">
        <f>SUMIF('Venture Summary - Mthly'!$E$7:$EG$7,M$7,'Venture Summary - Mthly'!$E56:$EG56)</f>
        <v>0</v>
      </c>
      <c r="N51" s="799">
        <f>SUMIF('Venture Summary - Mthly'!$E$7:$EG$7,N$7,'Venture Summary - Mthly'!$E56:$EG56)</f>
        <v>0</v>
      </c>
      <c r="O51" s="799">
        <f>SUMIF('Venture Summary - Mthly'!$E$7:$EG$7,O$7,'Venture Summary - Mthly'!$E56:$EG56)</f>
        <v>0</v>
      </c>
      <c r="P51" s="799">
        <f>SUMIF('Venture Summary - Mthly'!$E$7:$EG$7,P$7,'Venture Summary - Mthly'!$E56:$EG56)</f>
        <v>0</v>
      </c>
      <c r="Q51" s="798"/>
    </row>
    <row r="52" spans="1:17" ht="12.75" customHeight="1" x14ac:dyDescent="0.3">
      <c r="A52" s="782"/>
      <c r="B52" s="782" t="s">
        <v>33</v>
      </c>
      <c r="C52" s="798">
        <f>SUM(E52:O52)</f>
        <v>27804368.4337468</v>
      </c>
      <c r="D52" s="782"/>
      <c r="E52" s="798">
        <f>SUM(E48:E51,E45)</f>
        <v>-1943435.5218400576</v>
      </c>
      <c r="F52" s="798">
        <f t="shared" ref="F52:P52" si="10">SUM(F48:F51,F45)</f>
        <v>-33309824.004253816</v>
      </c>
      <c r="G52" s="798">
        <f t="shared" si="10"/>
        <v>-55886.970805749297</v>
      </c>
      <c r="H52" s="798">
        <f t="shared" si="10"/>
        <v>63113514.93064642</v>
      </c>
      <c r="I52" s="798">
        <f t="shared" si="10"/>
        <v>0</v>
      </c>
      <c r="J52" s="798">
        <f t="shared" si="10"/>
        <v>0</v>
      </c>
      <c r="K52" s="798">
        <f t="shared" si="10"/>
        <v>0</v>
      </c>
      <c r="L52" s="798">
        <f t="shared" si="10"/>
        <v>0</v>
      </c>
      <c r="M52" s="798">
        <f t="shared" si="10"/>
        <v>0</v>
      </c>
      <c r="N52" s="798">
        <f t="shared" si="10"/>
        <v>0</v>
      </c>
      <c r="O52" s="798">
        <f t="shared" si="10"/>
        <v>0</v>
      </c>
      <c r="P52" s="798">
        <f t="shared" si="10"/>
        <v>0</v>
      </c>
      <c r="Q52" s="798"/>
    </row>
    <row r="53" spans="1:17" ht="12.75" customHeight="1" x14ac:dyDescent="0.3">
      <c r="A53" s="782"/>
      <c r="B53" s="800" t="s">
        <v>34</v>
      </c>
      <c r="C53" s="801">
        <f>'Venture Summary - Mthly'!C58</f>
        <v>0.28323593735694885</v>
      </c>
      <c r="D53" s="782"/>
      <c r="E53" s="805"/>
      <c r="F53" s="805"/>
      <c r="G53" s="805"/>
      <c r="H53" s="805"/>
      <c r="I53" s="805"/>
      <c r="J53" s="805"/>
      <c r="K53" s="805"/>
      <c r="L53" s="805"/>
      <c r="M53" s="805"/>
      <c r="N53" s="805"/>
      <c r="O53" s="805"/>
      <c r="P53" s="805"/>
      <c r="Q53" s="805"/>
    </row>
    <row r="54" spans="1:17" ht="12.75" customHeight="1" x14ac:dyDescent="0.3">
      <c r="A54" s="782"/>
      <c r="B54" s="782"/>
      <c r="C54" s="782"/>
      <c r="D54" s="782"/>
      <c r="E54" s="805"/>
      <c r="F54" s="805"/>
      <c r="G54" s="805"/>
      <c r="H54" s="805"/>
      <c r="I54" s="805"/>
      <c r="J54" s="805"/>
      <c r="K54" s="805"/>
      <c r="L54" s="805"/>
      <c r="M54" s="805"/>
      <c r="N54" s="805"/>
      <c r="O54" s="805"/>
      <c r="P54" s="805"/>
      <c r="Q54" s="805"/>
    </row>
    <row r="55" spans="1:17" ht="12.75" customHeight="1" x14ac:dyDescent="0.3">
      <c r="A55" s="782"/>
      <c r="B55" s="781" t="s">
        <v>24</v>
      </c>
      <c r="C55" s="799">
        <f>SUM(E55:O55)</f>
        <v>-538188.73531141016</v>
      </c>
      <c r="D55" s="781"/>
      <c r="E55" s="799">
        <f>SUMIF('Venture Summary - Mthly'!$E$7:$EG$7,E$7,'Venture Summary - Mthly'!$E60:$EG60)</f>
        <v>0</v>
      </c>
      <c r="F55" s="799">
        <f>SUMIF('Venture Summary - Mthly'!$E$7:$EG$7,F$7,'Venture Summary - Mthly'!$E60:$EG60)</f>
        <v>-92831.732407094911</v>
      </c>
      <c r="G55" s="799">
        <f>SUMIF('Venture Summary - Mthly'!$E$7:$EG$7,G$7,'Venture Summary - Mthly'!$E60:$EG60)</f>
        <v>-244743.29851944721</v>
      </c>
      <c r="H55" s="799">
        <f>SUMIF('Venture Summary - Mthly'!$E$7:$EG$7,H$7,'Venture Summary - Mthly'!$E60:$EG60)</f>
        <v>-200613.704384868</v>
      </c>
      <c r="I55" s="799">
        <f>SUMIF('Venture Summary - Mthly'!$E$7:$EG$7,I$7,'Venture Summary - Mthly'!$E60:$EG60)</f>
        <v>0</v>
      </c>
      <c r="J55" s="799">
        <f>SUMIF('Venture Summary - Mthly'!$E$7:$EG$7,J$7,'Venture Summary - Mthly'!$E60:$EG60)</f>
        <v>0</v>
      </c>
      <c r="K55" s="799">
        <f>SUMIF('Venture Summary - Mthly'!$E$7:$EG$7,K$7,'Venture Summary - Mthly'!$E60:$EG60)</f>
        <v>0</v>
      </c>
      <c r="L55" s="799">
        <f>SUMIF('Venture Summary - Mthly'!$E$7:$EG$7,L$7,'Venture Summary - Mthly'!$E60:$EG60)</f>
        <v>0</v>
      </c>
      <c r="M55" s="799">
        <f>SUMIF('Venture Summary - Mthly'!$E$7:$EG$7,M$7,'Venture Summary - Mthly'!$E60:$EG60)</f>
        <v>0</v>
      </c>
      <c r="N55" s="799">
        <f>SUMIF('Venture Summary - Mthly'!$E$7:$EG$7,N$7,'Venture Summary - Mthly'!$E60:$EG60)</f>
        <v>0</v>
      </c>
      <c r="O55" s="799">
        <f>SUMIF('Venture Summary - Mthly'!$E$7:$EG$7,O$7,'Venture Summary - Mthly'!$E60:$EG60)</f>
        <v>0</v>
      </c>
      <c r="P55" s="799">
        <f>SUMIF('Venture Summary - Mthly'!$E$7:$EG$7,P$7,'Venture Summary - Mthly'!$E60:$EG60)</f>
        <v>0</v>
      </c>
      <c r="Q55" s="798"/>
    </row>
    <row r="56" spans="1:17" ht="12.75" customHeight="1" x14ac:dyDescent="0.3">
      <c r="A56" s="782"/>
      <c r="B56" s="782" t="s">
        <v>35</v>
      </c>
      <c r="C56" s="798">
        <f>SUM(E56:O56)</f>
        <v>27266179.698435381</v>
      </c>
      <c r="D56" s="782"/>
      <c r="E56" s="798">
        <f>SUM(E52,E55)</f>
        <v>-1943435.5218400576</v>
      </c>
      <c r="F56" s="798">
        <f t="shared" ref="F56:P56" si="11">SUM(F52,F55)</f>
        <v>-33402655.736660913</v>
      </c>
      <c r="G56" s="798">
        <f t="shared" si="11"/>
        <v>-300630.26932519651</v>
      </c>
      <c r="H56" s="798">
        <f t="shared" si="11"/>
        <v>62912901.226261549</v>
      </c>
      <c r="I56" s="798">
        <f t="shared" si="11"/>
        <v>0</v>
      </c>
      <c r="J56" s="798">
        <f t="shared" si="11"/>
        <v>0</v>
      </c>
      <c r="K56" s="798">
        <f t="shared" si="11"/>
        <v>0</v>
      </c>
      <c r="L56" s="798">
        <f t="shared" si="11"/>
        <v>0</v>
      </c>
      <c r="M56" s="798">
        <f t="shared" si="11"/>
        <v>0</v>
      </c>
      <c r="N56" s="798">
        <f t="shared" si="11"/>
        <v>0</v>
      </c>
      <c r="O56" s="798">
        <f t="shared" si="11"/>
        <v>0</v>
      </c>
      <c r="P56" s="798">
        <f t="shared" si="11"/>
        <v>0</v>
      </c>
      <c r="Q56" s="798"/>
    </row>
    <row r="57" spans="1:17" ht="12.75" customHeight="1" x14ac:dyDescent="0.3">
      <c r="A57" s="782"/>
      <c r="B57" s="800" t="s">
        <v>36</v>
      </c>
      <c r="C57" s="801">
        <f>'Venture Summary - Mthly'!C62</f>
        <v>0.27725512385368345</v>
      </c>
      <c r="D57" s="782"/>
      <c r="E57" s="782"/>
      <c r="F57" s="782"/>
      <c r="G57" s="782"/>
      <c r="H57" s="782"/>
      <c r="I57" s="782"/>
      <c r="J57" s="782"/>
      <c r="K57" s="782"/>
      <c r="L57" s="782"/>
      <c r="M57" s="782"/>
      <c r="N57" s="782"/>
      <c r="O57" s="782"/>
      <c r="P57" s="782"/>
      <c r="Q57" s="782"/>
    </row>
    <row r="58" spans="1:17" ht="12.75" customHeight="1" x14ac:dyDescent="0.3">
      <c r="A58" s="782"/>
      <c r="B58" s="782"/>
      <c r="C58" s="782"/>
      <c r="D58" s="782"/>
      <c r="E58" s="782"/>
      <c r="F58" s="782"/>
      <c r="G58" s="782"/>
      <c r="H58" s="782"/>
      <c r="I58" s="782"/>
      <c r="J58" s="782"/>
      <c r="K58" s="782"/>
      <c r="L58" s="782"/>
      <c r="M58" s="782"/>
      <c r="N58" s="782"/>
      <c r="O58" s="782"/>
      <c r="P58" s="782"/>
      <c r="Q58" s="782"/>
    </row>
    <row r="59" spans="1:17" ht="12.75" customHeight="1" x14ac:dyDescent="0.3">
      <c r="A59" s="782"/>
      <c r="B59" s="781" t="s">
        <v>37</v>
      </c>
      <c r="C59" s="799">
        <f>SUM(E59:O59)</f>
        <v>-6868726.7816661661</v>
      </c>
      <c r="D59" s="781"/>
      <c r="E59" s="799">
        <f>SUMIF('Venture Summary - Mthly'!$E$7:$EG$7,E$7,'Venture Summary - Mthly'!$E64:$EG64)</f>
        <v>0</v>
      </c>
      <c r="F59" s="799">
        <f>SUMIF('Venture Summary - Mthly'!$E$7:$EG$7,F$7,'Venture Summary - Mthly'!$E64:$EG64)</f>
        <v>0</v>
      </c>
      <c r="G59" s="799">
        <f>SUMIF('Venture Summary - Mthly'!$E$7:$EG$7,G$7,'Venture Summary - Mthly'!$E64:$EG64)</f>
        <v>0</v>
      </c>
      <c r="H59" s="799">
        <f>SUMIF('Venture Summary - Mthly'!$E$7:$EG$7,H$7,'Venture Summary - Mthly'!$E64:$EG64)</f>
        <v>-6868726.7816661661</v>
      </c>
      <c r="I59" s="799">
        <f>SUMIF('Venture Summary - Mthly'!$E$7:$EG$7,I$7,'Venture Summary - Mthly'!$E64:$EG64)</f>
        <v>0</v>
      </c>
      <c r="J59" s="799">
        <f>SUMIF('Venture Summary - Mthly'!$E$7:$EG$7,J$7,'Venture Summary - Mthly'!$E64:$EG64)</f>
        <v>0</v>
      </c>
      <c r="K59" s="799">
        <f>SUMIF('Venture Summary - Mthly'!$E$7:$EG$7,K$7,'Venture Summary - Mthly'!$E64:$EG64)</f>
        <v>0</v>
      </c>
      <c r="L59" s="799">
        <f>SUMIF('Venture Summary - Mthly'!$E$7:$EG$7,L$7,'Venture Summary - Mthly'!$E64:$EG64)</f>
        <v>0</v>
      </c>
      <c r="M59" s="799">
        <f>SUMIF('Venture Summary - Mthly'!$E$7:$EG$7,M$7,'Venture Summary - Mthly'!$E64:$EG64)</f>
        <v>0</v>
      </c>
      <c r="N59" s="799">
        <f>SUMIF('Venture Summary - Mthly'!$E$7:$EG$7,N$7,'Venture Summary - Mthly'!$E64:$EG64)</f>
        <v>0</v>
      </c>
      <c r="O59" s="799">
        <f>SUMIF('Venture Summary - Mthly'!$E$7:$EG$7,O$7,'Venture Summary - Mthly'!$E64:$EG64)</f>
        <v>0</v>
      </c>
      <c r="P59" s="799">
        <f>SUMIF('Venture Summary - Mthly'!$E$7:$EG$7,P$7,'Venture Summary - Mthly'!$E64:$EG64)</f>
        <v>0</v>
      </c>
      <c r="Q59" s="798"/>
    </row>
    <row r="60" spans="1:17" ht="12.75" customHeight="1" x14ac:dyDescent="0.3">
      <c r="A60" s="782"/>
      <c r="B60" s="782" t="s">
        <v>38</v>
      </c>
      <c r="C60" s="798">
        <f>SUM(E60:O60)</f>
        <v>20397452.916769214</v>
      </c>
      <c r="D60" s="782"/>
      <c r="E60" s="798">
        <f t="shared" ref="E60:P60" si="12">SUM(E59,E56)</f>
        <v>-1943435.5218400576</v>
      </c>
      <c r="F60" s="798">
        <f t="shared" si="12"/>
        <v>-33402655.736660913</v>
      </c>
      <c r="G60" s="798">
        <f t="shared" si="12"/>
        <v>-300630.26932519651</v>
      </c>
      <c r="H60" s="798">
        <f t="shared" si="12"/>
        <v>56044174.444595382</v>
      </c>
      <c r="I60" s="798">
        <f t="shared" si="12"/>
        <v>0</v>
      </c>
      <c r="J60" s="798">
        <f t="shared" si="12"/>
        <v>0</v>
      </c>
      <c r="K60" s="798">
        <f t="shared" si="12"/>
        <v>0</v>
      </c>
      <c r="L60" s="798">
        <f t="shared" si="12"/>
        <v>0</v>
      </c>
      <c r="M60" s="798">
        <f t="shared" si="12"/>
        <v>0</v>
      </c>
      <c r="N60" s="798">
        <f t="shared" si="12"/>
        <v>0</v>
      </c>
      <c r="O60" s="798">
        <f t="shared" si="12"/>
        <v>0</v>
      </c>
      <c r="P60" s="798">
        <f t="shared" si="12"/>
        <v>0</v>
      </c>
      <c r="Q60" s="798"/>
    </row>
    <row r="61" spans="1:17" ht="12.75" customHeight="1" x14ac:dyDescent="0.3">
      <c r="A61" s="782"/>
      <c r="B61" s="800" t="s">
        <v>39</v>
      </c>
      <c r="C61" s="801">
        <f>'Venture Summary - Mthly'!C66</f>
        <v>0.21550791859626769</v>
      </c>
      <c r="D61" s="782"/>
      <c r="E61" s="782"/>
      <c r="F61" s="782"/>
      <c r="G61" s="782"/>
      <c r="H61" s="782"/>
      <c r="I61" s="782"/>
      <c r="J61" s="782"/>
      <c r="K61" s="782"/>
      <c r="L61" s="782"/>
      <c r="M61" s="782"/>
      <c r="N61" s="782"/>
      <c r="O61" s="782"/>
      <c r="P61" s="782"/>
      <c r="Q61" s="782"/>
    </row>
    <row r="62" spans="1:17" ht="12.75" customHeight="1" x14ac:dyDescent="0.3">
      <c r="A62" s="782"/>
      <c r="B62" s="782"/>
      <c r="C62" s="806"/>
      <c r="D62" s="782"/>
      <c r="E62" s="782"/>
      <c r="F62" s="782"/>
      <c r="G62" s="782"/>
      <c r="H62" s="782"/>
      <c r="I62" s="782"/>
      <c r="J62" s="782"/>
      <c r="K62" s="782"/>
      <c r="L62" s="782"/>
      <c r="M62" s="782"/>
      <c r="N62" s="782"/>
      <c r="O62" s="782"/>
      <c r="P62" s="782"/>
      <c r="Q62" s="782"/>
    </row>
    <row r="63" spans="1:17" ht="12.75" customHeight="1" x14ac:dyDescent="0.3">
      <c r="A63" s="782"/>
      <c r="B63" s="793" t="s">
        <v>40</v>
      </c>
      <c r="C63" s="794"/>
      <c r="D63" s="794"/>
      <c r="E63" s="794"/>
      <c r="F63" s="794"/>
      <c r="G63" s="794"/>
      <c r="H63" s="794"/>
      <c r="I63" s="794"/>
      <c r="J63" s="794"/>
      <c r="K63" s="794"/>
      <c r="L63" s="794"/>
      <c r="M63" s="794"/>
      <c r="N63" s="794"/>
      <c r="O63" s="794"/>
      <c r="P63" s="794"/>
      <c r="Q63" s="794"/>
    </row>
    <row r="64" spans="1:17" ht="12.75" customHeight="1" x14ac:dyDescent="0.3">
      <c r="A64" s="782"/>
      <c r="B64" s="807"/>
      <c r="C64" s="782"/>
      <c r="D64" s="782"/>
      <c r="E64" s="782"/>
      <c r="F64" s="782"/>
      <c r="G64" s="782"/>
      <c r="H64" s="782"/>
      <c r="I64" s="782"/>
      <c r="J64" s="782"/>
      <c r="K64" s="782"/>
      <c r="L64" s="782"/>
      <c r="M64" s="782"/>
      <c r="N64" s="782"/>
      <c r="O64" s="782"/>
      <c r="P64" s="782"/>
      <c r="Q64" s="782"/>
    </row>
    <row r="65" spans="1:17" ht="12.75" customHeight="1" x14ac:dyDescent="0.3">
      <c r="A65" s="782"/>
      <c r="B65" s="782" t="s">
        <v>41</v>
      </c>
      <c r="C65" s="808">
        <f>+'Venture Assumptions'!F32</f>
        <v>0.1</v>
      </c>
      <c r="D65" s="782"/>
      <c r="E65" s="782"/>
      <c r="F65" s="782"/>
      <c r="G65" s="782"/>
      <c r="H65" s="782"/>
      <c r="I65" s="782"/>
      <c r="J65" s="782"/>
      <c r="K65" s="782"/>
      <c r="L65" s="782"/>
      <c r="M65" s="782"/>
      <c r="N65" s="782"/>
      <c r="O65" s="782"/>
      <c r="P65" s="782"/>
      <c r="Q65" s="782"/>
    </row>
    <row r="66" spans="1:17" ht="12.75" customHeight="1" x14ac:dyDescent="0.3">
      <c r="A66" s="782"/>
      <c r="B66" s="782" t="s">
        <v>42</v>
      </c>
      <c r="C66" s="808">
        <f>(1+C65)^(1/365)-1</f>
        <v>2.6115787606784124E-4</v>
      </c>
      <c r="D66" s="782"/>
      <c r="E66" s="782"/>
      <c r="F66" s="782"/>
      <c r="G66" s="782"/>
      <c r="H66" s="782"/>
      <c r="I66" s="782"/>
      <c r="J66" s="782"/>
      <c r="K66" s="782"/>
      <c r="L66" s="782"/>
      <c r="M66" s="782"/>
      <c r="N66" s="782"/>
      <c r="O66" s="782"/>
      <c r="P66" s="782"/>
      <c r="Q66" s="782"/>
    </row>
    <row r="67" spans="1:17" ht="12.75" customHeight="1" x14ac:dyDescent="0.3">
      <c r="A67" s="782"/>
      <c r="B67" s="782" t="s">
        <v>43</v>
      </c>
      <c r="C67" s="808">
        <f>+'Venture Assumptions'!F35</f>
        <v>0.14000000000000001</v>
      </c>
      <c r="D67" s="782"/>
      <c r="E67" s="782"/>
      <c r="F67" s="782"/>
      <c r="G67" s="782"/>
      <c r="H67" s="782"/>
      <c r="I67" s="782"/>
      <c r="J67" s="782"/>
      <c r="K67" s="782"/>
      <c r="L67" s="782"/>
      <c r="M67" s="782"/>
      <c r="N67" s="782"/>
      <c r="O67" s="782"/>
      <c r="P67" s="782"/>
      <c r="Q67" s="782"/>
    </row>
    <row r="68" spans="1:17" ht="12.75" customHeight="1" x14ac:dyDescent="0.3">
      <c r="A68" s="782"/>
      <c r="B68" s="782" t="s">
        <v>44</v>
      </c>
      <c r="C68" s="808">
        <f>(1+C67)^(1/365)-1</f>
        <v>3.5904598242364472E-4</v>
      </c>
      <c r="D68" s="782"/>
      <c r="E68" s="782"/>
      <c r="F68" s="782"/>
      <c r="G68" s="782"/>
      <c r="H68" s="782"/>
      <c r="I68" s="782"/>
      <c r="J68" s="782"/>
      <c r="K68" s="782"/>
      <c r="L68" s="782"/>
      <c r="M68" s="782"/>
      <c r="N68" s="782"/>
      <c r="O68" s="782"/>
      <c r="P68" s="782"/>
      <c r="Q68" s="782"/>
    </row>
    <row r="69" spans="1:17" ht="12.75" customHeight="1" x14ac:dyDescent="0.3">
      <c r="A69" s="782"/>
      <c r="B69" s="782" t="s">
        <v>45</v>
      </c>
      <c r="C69" s="808">
        <f>+'Venture Assumptions'!F38</f>
        <v>0.18</v>
      </c>
      <c r="D69" s="782"/>
      <c r="E69" s="782"/>
      <c r="F69" s="782"/>
      <c r="G69" s="782"/>
      <c r="H69" s="782"/>
      <c r="I69" s="782"/>
      <c r="J69" s="782"/>
      <c r="K69" s="782"/>
      <c r="L69" s="782"/>
      <c r="M69" s="782"/>
      <c r="N69" s="782"/>
      <c r="O69" s="782"/>
      <c r="P69" s="782"/>
      <c r="Q69" s="782"/>
    </row>
    <row r="70" spans="1:17" ht="12.75" customHeight="1" x14ac:dyDescent="0.3">
      <c r="A70" s="782"/>
      <c r="B70" s="782" t="s">
        <v>46</v>
      </c>
      <c r="C70" s="808">
        <f>(1+C69)^(1/365)-1</f>
        <v>4.5356704544685655E-4</v>
      </c>
      <c r="D70" s="782"/>
      <c r="E70" s="782"/>
      <c r="F70" s="782"/>
      <c r="G70" s="782"/>
      <c r="H70" s="782"/>
      <c r="I70" s="782"/>
      <c r="J70" s="782"/>
      <c r="K70" s="782"/>
      <c r="L70" s="782"/>
      <c r="M70" s="782"/>
      <c r="N70" s="782"/>
      <c r="O70" s="782"/>
      <c r="P70" s="782"/>
      <c r="Q70" s="782"/>
    </row>
    <row r="71" spans="1:17" ht="12.75" customHeight="1" x14ac:dyDescent="0.3">
      <c r="A71" s="782"/>
      <c r="B71" s="782"/>
      <c r="C71" s="782"/>
      <c r="D71" s="782"/>
      <c r="E71" s="782"/>
      <c r="F71" s="782"/>
      <c r="G71" s="782"/>
      <c r="H71" s="782"/>
      <c r="I71" s="782"/>
      <c r="J71" s="782"/>
      <c r="K71" s="782"/>
      <c r="L71" s="782"/>
      <c r="M71" s="782"/>
      <c r="N71" s="782"/>
      <c r="O71" s="782"/>
      <c r="P71" s="782"/>
      <c r="Q71" s="782"/>
    </row>
    <row r="72" spans="1:17" ht="12.75" customHeight="1" x14ac:dyDescent="0.3">
      <c r="A72" s="782"/>
      <c r="B72" s="782" t="s">
        <v>47</v>
      </c>
      <c r="C72" s="798">
        <f>SUM(E72:O72)</f>
        <v>-33650095.023650117</v>
      </c>
      <c r="D72" s="782"/>
      <c r="E72" s="798">
        <f>SUMIF('Venture Summary - Mthly'!$E$7:$EG$7,E$7,'Venture Summary - Mthly'!$E77:$EG77)</f>
        <v>-1943435.5218400576</v>
      </c>
      <c r="F72" s="798">
        <f>SUMIF('Venture Summary - Mthly'!$E$7:$EG$7,F$7,'Venture Summary - Mthly'!$E77:$EG77)</f>
        <v>-33402655.736660905</v>
      </c>
      <c r="G72" s="798">
        <f>SUMIF('Venture Summary - Mthly'!$E$7:$EG$7,G$7,'Venture Summary - Mthly'!$E77:$EG77)</f>
        <v>-300630.26932519954</v>
      </c>
      <c r="H72" s="798">
        <f>SUMIF('Venture Summary - Mthly'!$E$7:$EG$7,H$7,'Venture Summary - Mthly'!$E77:$EG77)</f>
        <v>1996626.5041760425</v>
      </c>
      <c r="I72" s="798">
        <f>SUMIF('Venture Summary - Mthly'!$E$7:$EG$7,I$7,'Venture Summary - Mthly'!$E77:$EG77)</f>
        <v>0</v>
      </c>
      <c r="J72" s="798">
        <f>SUMIF('Venture Summary - Mthly'!$E$7:$EG$7,J$7,'Venture Summary - Mthly'!$E77:$EG77)</f>
        <v>0</v>
      </c>
      <c r="K72" s="798">
        <f>SUMIF('Venture Summary - Mthly'!$E$7:$EG$7,K$7,'Venture Summary - Mthly'!$E77:$EG77)</f>
        <v>0</v>
      </c>
      <c r="L72" s="798">
        <f>SUMIF('Venture Summary - Mthly'!$E$7:$EG$7,L$7,'Venture Summary - Mthly'!$E77:$EG77)</f>
        <v>0</v>
      </c>
      <c r="M72" s="798">
        <f>SUMIF('Venture Summary - Mthly'!$E$7:$EG$7,M$7,'Venture Summary - Mthly'!$E77:$EG77)</f>
        <v>0</v>
      </c>
      <c r="N72" s="798">
        <f>SUMIF('Venture Summary - Mthly'!$E$7:$EG$7,N$7,'Venture Summary - Mthly'!$E77:$EG77)</f>
        <v>0</v>
      </c>
      <c r="O72" s="798">
        <f>SUMIF('Venture Summary - Mthly'!$E$7:$EG$7,O$7,'Venture Summary - Mthly'!$E77:$EG77)</f>
        <v>0</v>
      </c>
      <c r="P72" s="798">
        <f>SUMIF('Venture Summary - Mthly'!$E$7:$EG$7,P$7,'Venture Summary - Mthly'!$E77:$EG77)</f>
        <v>0</v>
      </c>
      <c r="Q72" s="798"/>
    </row>
    <row r="73" spans="1:17" ht="12.75" customHeight="1" x14ac:dyDescent="0.3">
      <c r="A73" s="782"/>
      <c r="B73" s="781" t="s">
        <v>48</v>
      </c>
      <c r="C73" s="799">
        <f>SUM(E73:O73)</f>
        <v>60916274.722085506</v>
      </c>
      <c r="D73" s="781"/>
      <c r="E73" s="799">
        <f>SUMIF('Venture Summary - Mthly'!$E$7:$EG$7,E$7,'Venture Summary - Mthly'!$E78:$EG78)</f>
        <v>0</v>
      </c>
      <c r="F73" s="799">
        <f>SUMIF('Venture Summary - Mthly'!$E$7:$EG$7,F$7,'Venture Summary - Mthly'!$E78:$EG78)</f>
        <v>0</v>
      </c>
      <c r="G73" s="799">
        <f>SUMIF('Venture Summary - Mthly'!$E$7:$EG$7,G$7,'Venture Summary - Mthly'!$E78:$EG78)</f>
        <v>0</v>
      </c>
      <c r="H73" s="799">
        <f>SUMIF('Venture Summary - Mthly'!$E$7:$EG$7,H$7,'Venture Summary - Mthly'!$E78:$EG78)</f>
        <v>60916274.722085506</v>
      </c>
      <c r="I73" s="799">
        <f>SUMIF('Venture Summary - Mthly'!$E$7:$EG$7,I$7,'Venture Summary - Mthly'!$E78:$EG78)</f>
        <v>0</v>
      </c>
      <c r="J73" s="799">
        <f>SUMIF('Venture Summary - Mthly'!$E$7:$EG$7,J$7,'Venture Summary - Mthly'!$E78:$EG78)</f>
        <v>0</v>
      </c>
      <c r="K73" s="799">
        <f>SUMIF('Venture Summary - Mthly'!$E$7:$EG$7,K$7,'Venture Summary - Mthly'!$E78:$EG78)</f>
        <v>0</v>
      </c>
      <c r="L73" s="799">
        <f>SUMIF('Venture Summary - Mthly'!$E$7:$EG$7,L$7,'Venture Summary - Mthly'!$E78:$EG78)</f>
        <v>0</v>
      </c>
      <c r="M73" s="799">
        <f>SUMIF('Venture Summary - Mthly'!$E$7:$EG$7,M$7,'Venture Summary - Mthly'!$E78:$EG78)</f>
        <v>0</v>
      </c>
      <c r="N73" s="799">
        <f>SUMIF('Venture Summary - Mthly'!$E$7:$EG$7,N$7,'Venture Summary - Mthly'!$E78:$EG78)</f>
        <v>0</v>
      </c>
      <c r="O73" s="799">
        <f>SUMIF('Venture Summary - Mthly'!$E$7:$EG$7,O$7,'Venture Summary - Mthly'!$E78:$EG78)</f>
        <v>0</v>
      </c>
      <c r="P73" s="799">
        <f>SUMIF('Venture Summary - Mthly'!$E$7:$EG$7,P$7,'Venture Summary - Mthly'!$E78:$EG78)</f>
        <v>0</v>
      </c>
      <c r="Q73" s="798"/>
    </row>
    <row r="74" spans="1:17" ht="12.75" customHeight="1" x14ac:dyDescent="0.3">
      <c r="A74" s="782"/>
      <c r="B74" s="782" t="s">
        <v>49</v>
      </c>
      <c r="C74" s="798">
        <f>SUM(E74:O74)</f>
        <v>27266179.698435389</v>
      </c>
      <c r="D74" s="782"/>
      <c r="E74" s="798">
        <f>SUM(E72:E73)</f>
        <v>-1943435.5218400576</v>
      </c>
      <c r="F74" s="798">
        <f t="shared" ref="F74:P74" si="13">SUM(F72:F73)</f>
        <v>-33402655.736660905</v>
      </c>
      <c r="G74" s="798">
        <f t="shared" si="13"/>
        <v>-300630.26932519954</v>
      </c>
      <c r="H74" s="798">
        <f t="shared" si="13"/>
        <v>62912901.226261549</v>
      </c>
      <c r="I74" s="798">
        <f t="shared" si="13"/>
        <v>0</v>
      </c>
      <c r="J74" s="798">
        <f t="shared" si="13"/>
        <v>0</v>
      </c>
      <c r="K74" s="798">
        <f t="shared" si="13"/>
        <v>0</v>
      </c>
      <c r="L74" s="798">
        <f t="shared" si="13"/>
        <v>0</v>
      </c>
      <c r="M74" s="798">
        <f t="shared" si="13"/>
        <v>0</v>
      </c>
      <c r="N74" s="798">
        <f t="shared" si="13"/>
        <v>0</v>
      </c>
      <c r="O74" s="798">
        <f t="shared" si="13"/>
        <v>0</v>
      </c>
      <c r="P74" s="798">
        <f t="shared" si="13"/>
        <v>0</v>
      </c>
      <c r="Q74" s="798"/>
    </row>
    <row r="75" spans="1:17" ht="12.75" customHeight="1" x14ac:dyDescent="0.3">
      <c r="A75" s="782"/>
      <c r="B75" s="782" t="s">
        <v>50</v>
      </c>
      <c r="C75" s="806">
        <f>'Venture Summary - Mthly'!C80</f>
        <v>0.27725512385368345</v>
      </c>
      <c r="D75" s="782"/>
      <c r="E75" s="782"/>
      <c r="F75" s="782"/>
      <c r="G75" s="782"/>
      <c r="H75" s="782"/>
      <c r="I75" s="782"/>
      <c r="J75" s="782"/>
      <c r="K75" s="782"/>
      <c r="L75" s="782"/>
      <c r="M75" s="782"/>
      <c r="N75" s="782"/>
      <c r="O75" s="782"/>
      <c r="P75" s="782"/>
      <c r="Q75" s="782"/>
    </row>
    <row r="76" spans="1:17" ht="12.75" customHeight="1" x14ac:dyDescent="0.3">
      <c r="A76" s="782"/>
      <c r="B76" s="782"/>
      <c r="C76" s="782"/>
      <c r="D76" s="782"/>
      <c r="E76" s="782"/>
      <c r="F76" s="782"/>
      <c r="G76" s="782"/>
      <c r="H76" s="782"/>
      <c r="I76" s="782"/>
      <c r="J76" s="782"/>
      <c r="K76" s="782"/>
      <c r="L76" s="782"/>
      <c r="M76" s="782"/>
      <c r="N76" s="782"/>
      <c r="O76" s="782"/>
      <c r="P76" s="782"/>
      <c r="Q76" s="782"/>
    </row>
    <row r="77" spans="1:17" ht="12.75" customHeight="1" x14ac:dyDescent="0.3">
      <c r="A77" s="782"/>
      <c r="B77" s="782" t="s">
        <v>51</v>
      </c>
      <c r="C77" s="806">
        <f>'Venture Summary - Mthly'!C82</f>
        <v>1</v>
      </c>
      <c r="D77" s="782"/>
      <c r="E77" s="798">
        <f>SUMIF('Venture Summary - Mthly'!$E$7:$EG$7,E$7,'Venture Summary - Mthly'!$E82:$EG82)</f>
        <v>0</v>
      </c>
      <c r="F77" s="798">
        <f>SUMIF('Venture Summary - Mthly'!$E$7:$EG$7,F$7,'Venture Summary - Mthly'!$E82:$EG82)</f>
        <v>0</v>
      </c>
      <c r="G77" s="798">
        <f>SUMIF('Venture Summary - Mthly'!$E$7:$EG$7,G$7,'Venture Summary - Mthly'!$E82:$EG82)</f>
        <v>0</v>
      </c>
      <c r="H77" s="798">
        <f>SUMIF('Venture Summary - Mthly'!$E$7:$EG$7,H$7,'Venture Summary - Mthly'!$E82:$EG82)</f>
        <v>42438726.661692351</v>
      </c>
      <c r="I77" s="798">
        <f>SUMIF('Venture Summary - Mthly'!$E$7:$EG$7,I$7,'Venture Summary - Mthly'!$E82:$EG82)</f>
        <v>0</v>
      </c>
      <c r="J77" s="798">
        <f>SUMIF('Venture Summary - Mthly'!$E$7:$EG$7,J$7,'Venture Summary - Mthly'!$E82:$EG82)</f>
        <v>0</v>
      </c>
      <c r="K77" s="798">
        <f>SUMIF('Venture Summary - Mthly'!$E$7:$EG$7,K$7,'Venture Summary - Mthly'!$E82:$EG82)</f>
        <v>0</v>
      </c>
      <c r="L77" s="798">
        <f>SUMIF('Venture Summary - Mthly'!$E$7:$EG$7,L$7,'Venture Summary - Mthly'!$E82:$EG82)</f>
        <v>0</v>
      </c>
      <c r="M77" s="798">
        <f>SUMIF('Venture Summary - Mthly'!$E$7:$EG$7,M$7,'Venture Summary - Mthly'!$E82:$EG82)</f>
        <v>0</v>
      </c>
      <c r="N77" s="798">
        <f>SUMIF('Venture Summary - Mthly'!$E$7:$EG$7,N$7,'Venture Summary - Mthly'!$E82:$EG82)</f>
        <v>0</v>
      </c>
      <c r="O77" s="798">
        <f>SUMIF('Venture Summary - Mthly'!$E$7:$EG$7,O$7,'Venture Summary - Mthly'!$E82:$EG82)</f>
        <v>0</v>
      </c>
      <c r="P77" s="798">
        <f>SUMIF('Venture Summary - Mthly'!$E$7:$EG$7,P$7,'Venture Summary - Mthly'!$E82:$EG82)</f>
        <v>0</v>
      </c>
      <c r="Q77" s="798"/>
    </row>
    <row r="78" spans="1:17" ht="12.75" customHeight="1" x14ac:dyDescent="0.3">
      <c r="A78" s="782"/>
      <c r="B78" s="782" t="s">
        <v>52</v>
      </c>
      <c r="C78" s="806">
        <f>'Venture Summary - Mthly'!C83</f>
        <v>0</v>
      </c>
      <c r="D78" s="782"/>
      <c r="E78" s="798">
        <f>SUMIF('Venture Summary - Mthly'!$E$7:$EG$7,E$7,'Venture Summary - Mthly'!$E83:$EG83)</f>
        <v>0</v>
      </c>
      <c r="F78" s="798">
        <f>SUMIF('Venture Summary - Mthly'!$E$7:$EG$7,F$7,'Venture Summary - Mthly'!$E83:$EG83)</f>
        <v>0</v>
      </c>
      <c r="G78" s="798">
        <f>SUMIF('Venture Summary - Mthly'!$E$7:$EG$7,G$7,'Venture Summary - Mthly'!$E83:$EG83)</f>
        <v>0</v>
      </c>
      <c r="H78" s="798">
        <f>SUMIF('Venture Summary - Mthly'!$E$7:$EG$7,H$7,'Venture Summary - Mthly'!$E83:$EG83)</f>
        <v>0</v>
      </c>
      <c r="I78" s="798">
        <f>SUMIF('Venture Summary - Mthly'!$E$7:$EG$7,I$7,'Venture Summary - Mthly'!$E83:$EG83)</f>
        <v>0</v>
      </c>
      <c r="J78" s="798">
        <f>SUMIF('Venture Summary - Mthly'!$E$7:$EG$7,J$7,'Venture Summary - Mthly'!$E83:$EG83)</f>
        <v>0</v>
      </c>
      <c r="K78" s="798">
        <f>SUMIF('Venture Summary - Mthly'!$E$7:$EG$7,K$7,'Venture Summary - Mthly'!$E83:$EG83)</f>
        <v>0</v>
      </c>
      <c r="L78" s="798">
        <f>SUMIF('Venture Summary - Mthly'!$E$7:$EG$7,L$7,'Venture Summary - Mthly'!$E83:$EG83)</f>
        <v>0</v>
      </c>
      <c r="M78" s="798">
        <f>SUMIF('Venture Summary - Mthly'!$E$7:$EG$7,M$7,'Venture Summary - Mthly'!$E83:$EG83)</f>
        <v>0</v>
      </c>
      <c r="N78" s="798">
        <f>SUMIF('Venture Summary - Mthly'!$E$7:$EG$7,N$7,'Venture Summary - Mthly'!$E83:$EG83)</f>
        <v>0</v>
      </c>
      <c r="O78" s="798">
        <f>SUMIF('Venture Summary - Mthly'!$E$7:$EG$7,O$7,'Venture Summary - Mthly'!$E83:$EG83)</f>
        <v>0</v>
      </c>
      <c r="P78" s="798">
        <f>SUMIF('Venture Summary - Mthly'!$E$7:$EG$7,P$7,'Venture Summary - Mthly'!$E83:$EG83)</f>
        <v>0</v>
      </c>
      <c r="Q78" s="798"/>
    </row>
    <row r="79" spans="1:17" ht="12.75" customHeight="1" x14ac:dyDescent="0.3">
      <c r="A79" s="782"/>
      <c r="B79" s="782"/>
      <c r="C79" s="782"/>
      <c r="D79" s="782"/>
      <c r="E79" s="782"/>
      <c r="F79" s="782"/>
      <c r="G79" s="782"/>
      <c r="H79" s="782"/>
      <c r="I79" s="782"/>
      <c r="J79" s="782"/>
      <c r="K79" s="782"/>
      <c r="L79" s="782"/>
      <c r="M79" s="782"/>
      <c r="N79" s="782"/>
      <c r="O79" s="782"/>
      <c r="P79" s="782"/>
      <c r="Q79" s="782"/>
    </row>
    <row r="80" spans="1:17" ht="12.75" customHeight="1" x14ac:dyDescent="0.3">
      <c r="A80" s="782"/>
      <c r="B80" s="782" t="s">
        <v>53</v>
      </c>
      <c r="C80" s="798">
        <f>SUM(E80:O80)</f>
        <v>8788631.6380422339</v>
      </c>
      <c r="D80" s="782"/>
      <c r="E80" s="798">
        <f>SUMIF('Venture Summary - Mthly'!$E$7:$EG$7,E$7,'Venture Summary - Mthly'!$E85:$EG85)</f>
        <v>-1943435.5218400576</v>
      </c>
      <c r="F80" s="798">
        <f>SUMIF('Venture Summary - Mthly'!$E$7:$EG$7,F$7,'Venture Summary - Mthly'!$E85:$EG85)</f>
        <v>-33402655.736660905</v>
      </c>
      <c r="G80" s="798">
        <f>SUMIF('Venture Summary - Mthly'!$E$7:$EG$7,G$7,'Venture Summary - Mthly'!$E85:$EG85)</f>
        <v>-300630.26932519954</v>
      </c>
      <c r="H80" s="798">
        <f>SUMIF('Venture Summary - Mthly'!$E$7:$EG$7,H$7,'Venture Summary - Mthly'!$E85:$EG85)</f>
        <v>44435353.165868394</v>
      </c>
      <c r="I80" s="798">
        <f>SUMIF('Venture Summary - Mthly'!$E$7:$EG$7,I$7,'Venture Summary - Mthly'!$E85:$EG85)</f>
        <v>0</v>
      </c>
      <c r="J80" s="798">
        <f>SUMIF('Venture Summary - Mthly'!$E$7:$EG$7,J$7,'Venture Summary - Mthly'!$E85:$EG85)</f>
        <v>0</v>
      </c>
      <c r="K80" s="798">
        <f>SUMIF('Venture Summary - Mthly'!$E$7:$EG$7,K$7,'Venture Summary - Mthly'!$E85:$EG85)</f>
        <v>0</v>
      </c>
      <c r="L80" s="798">
        <f>SUMIF('Venture Summary - Mthly'!$E$7:$EG$7,L$7,'Venture Summary - Mthly'!$E85:$EG85)</f>
        <v>0</v>
      </c>
      <c r="M80" s="798">
        <f>SUMIF('Venture Summary - Mthly'!$E$7:$EG$7,M$7,'Venture Summary - Mthly'!$E85:$EG85)</f>
        <v>0</v>
      </c>
      <c r="N80" s="798">
        <f>SUMIF('Venture Summary - Mthly'!$E$7:$EG$7,N$7,'Venture Summary - Mthly'!$E85:$EG85)</f>
        <v>0</v>
      </c>
      <c r="O80" s="798">
        <f>SUMIF('Venture Summary - Mthly'!$E$7:$EG$7,O$7,'Venture Summary - Mthly'!$E85:$EG85)</f>
        <v>0</v>
      </c>
      <c r="P80" s="798">
        <f>SUMIF('Venture Summary - Mthly'!$E$7:$EG$7,P$7,'Venture Summary - Mthly'!$E85:$EG85)</f>
        <v>0</v>
      </c>
      <c r="Q80" s="798"/>
    </row>
    <row r="81" spans="1:17" ht="12.75" customHeight="1" x14ac:dyDescent="0.3">
      <c r="A81" s="782"/>
      <c r="B81" s="782" t="s">
        <v>54</v>
      </c>
      <c r="C81" s="806">
        <f>'Venture Summary - Mthly'!C86</f>
        <v>0.10000000596046449</v>
      </c>
      <c r="D81" s="782"/>
      <c r="E81" s="782"/>
      <c r="F81" s="782"/>
      <c r="G81" s="782"/>
      <c r="H81" s="782"/>
      <c r="I81" s="782"/>
      <c r="J81" s="782"/>
      <c r="K81" s="782"/>
      <c r="L81" s="782"/>
      <c r="M81" s="782"/>
      <c r="N81" s="782"/>
      <c r="O81" s="782"/>
      <c r="P81" s="782"/>
      <c r="Q81" s="782"/>
    </row>
    <row r="82" spans="1:17" ht="12.75" customHeight="1" x14ac:dyDescent="0.3">
      <c r="A82" s="782"/>
      <c r="B82" s="782"/>
      <c r="C82" s="782"/>
      <c r="D82" s="782"/>
      <c r="E82" s="782"/>
      <c r="F82" s="782"/>
      <c r="G82" s="782"/>
      <c r="H82" s="782"/>
      <c r="I82" s="782"/>
      <c r="J82" s="782"/>
      <c r="K82" s="782"/>
      <c r="L82" s="782"/>
      <c r="M82" s="782"/>
      <c r="N82" s="782"/>
      <c r="O82" s="782"/>
      <c r="P82" s="782"/>
      <c r="Q82" s="782"/>
    </row>
    <row r="83" spans="1:17" ht="12.75" customHeight="1" x14ac:dyDescent="0.3">
      <c r="A83" s="782"/>
      <c r="B83" s="782" t="s">
        <v>55</v>
      </c>
      <c r="C83" s="798">
        <f>SUM(E83:O83)</f>
        <v>42438726.661692351</v>
      </c>
      <c r="D83" s="782"/>
      <c r="E83" s="798">
        <f>SUMIF('Venture Summary - Mthly'!$E$7:$EG$7,E$7,'Venture Summary - Mthly'!$E88:$EG88)</f>
        <v>0</v>
      </c>
      <c r="F83" s="798">
        <f>SUMIF('Venture Summary - Mthly'!$E$7:$EG$7,F$7,'Venture Summary - Mthly'!$E88:$EG88)</f>
        <v>0</v>
      </c>
      <c r="G83" s="798">
        <f>SUMIF('Venture Summary - Mthly'!$E$7:$EG$7,G$7,'Venture Summary - Mthly'!$E88:$EG88)</f>
        <v>0</v>
      </c>
      <c r="H83" s="798">
        <f>SUMIF('Venture Summary - Mthly'!$E$7:$EG$7,H$7,'Venture Summary - Mthly'!$E88:$EG88)</f>
        <v>42438726.661692351</v>
      </c>
      <c r="I83" s="798">
        <f>SUMIF('Venture Summary - Mthly'!$E$7:$EG$7,I$7,'Venture Summary - Mthly'!$E88:$EG88)</f>
        <v>0</v>
      </c>
      <c r="J83" s="798">
        <f>SUMIF('Venture Summary - Mthly'!$E$7:$EG$7,J$7,'Venture Summary - Mthly'!$E88:$EG88)</f>
        <v>0</v>
      </c>
      <c r="K83" s="798">
        <f>SUMIF('Venture Summary - Mthly'!$E$7:$EG$7,K$7,'Venture Summary - Mthly'!$E88:$EG88)</f>
        <v>0</v>
      </c>
      <c r="L83" s="798">
        <f>SUMIF('Venture Summary - Mthly'!$E$7:$EG$7,L$7,'Venture Summary - Mthly'!$E88:$EG88)</f>
        <v>0</v>
      </c>
      <c r="M83" s="798">
        <f>SUMIF('Venture Summary - Mthly'!$E$7:$EG$7,M$7,'Venture Summary - Mthly'!$E88:$EG88)</f>
        <v>0</v>
      </c>
      <c r="N83" s="798">
        <f>SUMIF('Venture Summary - Mthly'!$E$7:$EG$7,N$7,'Venture Summary - Mthly'!$E88:$EG88)</f>
        <v>0</v>
      </c>
      <c r="O83" s="798">
        <f>SUMIF('Venture Summary - Mthly'!$E$7:$EG$7,O$7,'Venture Summary - Mthly'!$E88:$EG88)</f>
        <v>0</v>
      </c>
      <c r="P83" s="798">
        <f>SUMIF('Venture Summary - Mthly'!$E$7:$EG$7,P$7,'Venture Summary - Mthly'!$E88:$EG88)</f>
        <v>0</v>
      </c>
      <c r="Q83" s="798"/>
    </row>
    <row r="84" spans="1:17" ht="12.75" customHeight="1" x14ac:dyDescent="0.3">
      <c r="A84" s="782"/>
      <c r="B84" s="782"/>
      <c r="C84" s="782"/>
      <c r="D84" s="782"/>
      <c r="E84" s="782"/>
      <c r="F84" s="782"/>
      <c r="G84" s="782"/>
      <c r="H84" s="782"/>
      <c r="I84" s="782"/>
      <c r="J84" s="782"/>
      <c r="K84" s="782"/>
      <c r="L84" s="782"/>
      <c r="M84" s="782"/>
      <c r="N84" s="782"/>
      <c r="O84" s="782"/>
      <c r="P84" s="782"/>
      <c r="Q84" s="782"/>
    </row>
    <row r="85" spans="1:17" ht="12.75" customHeight="1" x14ac:dyDescent="0.3">
      <c r="A85" s="782"/>
      <c r="B85" s="782" t="s">
        <v>56</v>
      </c>
      <c r="C85" s="806">
        <f>'Venture Summary - Mthly'!C90</f>
        <v>0.8</v>
      </c>
      <c r="D85" s="782"/>
      <c r="E85" s="798">
        <f>SUMIF('Venture Summary - Mthly'!$E$7:$EG$7,E$7,'Venture Summary - Mthly'!$E90:$EG90)</f>
        <v>0</v>
      </c>
      <c r="F85" s="798">
        <f>SUMIF('Venture Summary - Mthly'!$E$7:$EG$7,F$7,'Venture Summary - Mthly'!$E90:$EG90)</f>
        <v>0</v>
      </c>
      <c r="G85" s="798">
        <f>SUMIF('Venture Summary - Mthly'!$E$7:$EG$7,G$7,'Venture Summary - Mthly'!$E90:$EG90)</f>
        <v>0</v>
      </c>
      <c r="H85" s="798">
        <f>SUMIF('Venture Summary - Mthly'!$E$7:$EG$7,H$7,'Venture Summary - Mthly'!$E90:$EG90)</f>
        <v>3840143.816019203</v>
      </c>
      <c r="I85" s="798">
        <f>SUMIF('Venture Summary - Mthly'!$E$7:$EG$7,I$7,'Venture Summary - Mthly'!$E90:$EG90)</f>
        <v>0</v>
      </c>
      <c r="J85" s="798">
        <f>SUMIF('Venture Summary - Mthly'!$E$7:$EG$7,J$7,'Venture Summary - Mthly'!$E90:$EG90)</f>
        <v>0</v>
      </c>
      <c r="K85" s="798">
        <f>SUMIF('Venture Summary - Mthly'!$E$7:$EG$7,K$7,'Venture Summary - Mthly'!$E90:$EG90)</f>
        <v>0</v>
      </c>
      <c r="L85" s="798">
        <f>SUMIF('Venture Summary - Mthly'!$E$7:$EG$7,L$7,'Venture Summary - Mthly'!$E90:$EG90)</f>
        <v>0</v>
      </c>
      <c r="M85" s="798">
        <f>SUMIF('Venture Summary - Mthly'!$E$7:$EG$7,M$7,'Venture Summary - Mthly'!$E90:$EG90)</f>
        <v>0</v>
      </c>
      <c r="N85" s="798">
        <f>SUMIF('Venture Summary - Mthly'!$E$7:$EG$7,N$7,'Venture Summary - Mthly'!$E90:$EG90)</f>
        <v>0</v>
      </c>
      <c r="O85" s="798">
        <f>SUMIF('Venture Summary - Mthly'!$E$7:$EG$7,O$7,'Venture Summary - Mthly'!$E90:$EG90)</f>
        <v>0</v>
      </c>
      <c r="P85" s="798">
        <f>SUMIF('Venture Summary - Mthly'!$E$7:$EG$7,P$7,'Venture Summary - Mthly'!$E90:$EG90)</f>
        <v>0</v>
      </c>
      <c r="Q85" s="798"/>
    </row>
    <row r="86" spans="1:17" ht="12.75" customHeight="1" x14ac:dyDescent="0.3">
      <c r="A86" s="782"/>
      <c r="B86" s="782" t="s">
        <v>57</v>
      </c>
      <c r="C86" s="806">
        <f>'Venture Summary - Mthly'!C91</f>
        <v>0.2</v>
      </c>
      <c r="D86" s="782"/>
      <c r="E86" s="798">
        <f>SUMIF('Venture Summary - Mthly'!$E$7:$EG$7,E$7,'Venture Summary - Mthly'!$E91:$EG91)</f>
        <v>0</v>
      </c>
      <c r="F86" s="798">
        <f>SUMIF('Venture Summary - Mthly'!$E$7:$EG$7,F$7,'Venture Summary - Mthly'!$E91:$EG91)</f>
        <v>0</v>
      </c>
      <c r="G86" s="798">
        <f>SUMIF('Venture Summary - Mthly'!$E$7:$EG$7,G$7,'Venture Summary - Mthly'!$E91:$EG91)</f>
        <v>0</v>
      </c>
      <c r="H86" s="798">
        <f>SUMIF('Venture Summary - Mthly'!$E$7:$EG$7,H$7,'Venture Summary - Mthly'!$E91:$EG91)</f>
        <v>960035.95400480076</v>
      </c>
      <c r="I86" s="798">
        <f>SUMIF('Venture Summary - Mthly'!$E$7:$EG$7,I$7,'Venture Summary - Mthly'!$E91:$EG91)</f>
        <v>0</v>
      </c>
      <c r="J86" s="798">
        <f>SUMIF('Venture Summary - Mthly'!$E$7:$EG$7,J$7,'Venture Summary - Mthly'!$E91:$EG91)</f>
        <v>0</v>
      </c>
      <c r="K86" s="798">
        <f>SUMIF('Venture Summary - Mthly'!$E$7:$EG$7,K$7,'Venture Summary - Mthly'!$E91:$EG91)</f>
        <v>0</v>
      </c>
      <c r="L86" s="798">
        <f>SUMIF('Venture Summary - Mthly'!$E$7:$EG$7,L$7,'Venture Summary - Mthly'!$E91:$EG91)</f>
        <v>0</v>
      </c>
      <c r="M86" s="798">
        <f>SUMIF('Venture Summary - Mthly'!$E$7:$EG$7,M$7,'Venture Summary - Mthly'!$E91:$EG91)</f>
        <v>0</v>
      </c>
      <c r="N86" s="798">
        <f>SUMIF('Venture Summary - Mthly'!$E$7:$EG$7,N$7,'Venture Summary - Mthly'!$E91:$EG91)</f>
        <v>0</v>
      </c>
      <c r="O86" s="798">
        <f>SUMIF('Venture Summary - Mthly'!$E$7:$EG$7,O$7,'Venture Summary - Mthly'!$E91:$EG91)</f>
        <v>0</v>
      </c>
      <c r="P86" s="798">
        <f>SUMIF('Venture Summary - Mthly'!$E$7:$EG$7,P$7,'Venture Summary - Mthly'!$E91:$EG91)</f>
        <v>0</v>
      </c>
      <c r="Q86" s="798"/>
    </row>
    <row r="87" spans="1:17" ht="12.75" customHeight="1" x14ac:dyDescent="0.3">
      <c r="A87" s="782"/>
      <c r="B87" s="782"/>
      <c r="C87" s="808"/>
      <c r="D87" s="782"/>
      <c r="E87" s="798"/>
      <c r="F87" s="798"/>
      <c r="G87" s="798"/>
      <c r="H87" s="798"/>
      <c r="I87" s="798"/>
      <c r="J87" s="798"/>
      <c r="K87" s="798"/>
      <c r="L87" s="798"/>
      <c r="M87" s="798"/>
      <c r="N87" s="798"/>
      <c r="O87" s="798"/>
      <c r="P87" s="798"/>
      <c r="Q87" s="798"/>
    </row>
    <row r="88" spans="1:17" ht="12.75" customHeight="1" x14ac:dyDescent="0.3">
      <c r="A88" s="782"/>
      <c r="B88" s="782" t="s">
        <v>58</v>
      </c>
      <c r="C88" s="798">
        <f>SUM(E88:O88)</f>
        <v>12628775.454061434</v>
      </c>
      <c r="D88" s="782"/>
      <c r="E88" s="798">
        <f>SUMIF('Venture Summary - Mthly'!$E$7:$EG$7,E$7,'Venture Summary - Mthly'!$E93:$EG93)</f>
        <v>-1943435.5218400576</v>
      </c>
      <c r="F88" s="798">
        <f>SUMIF('Venture Summary - Mthly'!$E$7:$EG$7,F$7,'Venture Summary - Mthly'!$E93:$EG93)</f>
        <v>-33402655.736660905</v>
      </c>
      <c r="G88" s="798">
        <f>SUMIF('Venture Summary - Mthly'!$E$7:$EG$7,G$7,'Venture Summary - Mthly'!$E93:$EG93)</f>
        <v>-300630.26932519954</v>
      </c>
      <c r="H88" s="798">
        <f>SUMIF('Venture Summary - Mthly'!$E$7:$EG$7,H$7,'Venture Summary - Mthly'!$E93:$EG93)</f>
        <v>48275496.981887594</v>
      </c>
      <c r="I88" s="798">
        <f>SUMIF('Venture Summary - Mthly'!$E$7:$EG$7,I$7,'Venture Summary - Mthly'!$E93:$EG93)</f>
        <v>0</v>
      </c>
      <c r="J88" s="798">
        <f>SUMIF('Venture Summary - Mthly'!$E$7:$EG$7,J$7,'Venture Summary - Mthly'!$E93:$EG93)</f>
        <v>0</v>
      </c>
      <c r="K88" s="798">
        <f>SUMIF('Venture Summary - Mthly'!$E$7:$EG$7,K$7,'Venture Summary - Mthly'!$E93:$EG93)</f>
        <v>0</v>
      </c>
      <c r="L88" s="798">
        <f>SUMIF('Venture Summary - Mthly'!$E$7:$EG$7,L$7,'Venture Summary - Mthly'!$E93:$EG93)</f>
        <v>0</v>
      </c>
      <c r="M88" s="798">
        <f>SUMIF('Venture Summary - Mthly'!$E$7:$EG$7,M$7,'Venture Summary - Mthly'!$E93:$EG93)</f>
        <v>0</v>
      </c>
      <c r="N88" s="798">
        <f>SUMIF('Venture Summary - Mthly'!$E$7:$EG$7,N$7,'Venture Summary - Mthly'!$E93:$EG93)</f>
        <v>0</v>
      </c>
      <c r="O88" s="798">
        <f>SUMIF('Venture Summary - Mthly'!$E$7:$EG$7,O$7,'Venture Summary - Mthly'!$E93:$EG93)</f>
        <v>0</v>
      </c>
      <c r="P88" s="798">
        <f>SUMIF('Venture Summary - Mthly'!$E$7:$EG$7,P$7,'Venture Summary - Mthly'!$E93:$EG93)</f>
        <v>0</v>
      </c>
      <c r="Q88" s="798"/>
    </row>
    <row r="89" spans="1:17" ht="12.75" customHeight="1" x14ac:dyDescent="0.3">
      <c r="A89" s="782"/>
      <c r="B89" s="782" t="s">
        <v>59</v>
      </c>
      <c r="C89" s="806">
        <f>'Venture Summary - Mthly'!C94</f>
        <v>0.14000000357627859</v>
      </c>
      <c r="D89" s="782"/>
      <c r="E89" s="782"/>
      <c r="F89" s="782"/>
      <c r="G89" s="782"/>
      <c r="H89" s="782"/>
      <c r="I89" s="782"/>
      <c r="J89" s="782"/>
      <c r="K89" s="782"/>
      <c r="L89" s="782"/>
      <c r="M89" s="782"/>
      <c r="N89" s="782"/>
      <c r="O89" s="782"/>
      <c r="P89" s="782"/>
      <c r="Q89" s="782"/>
    </row>
    <row r="90" spans="1:17" ht="12.75" customHeight="1" x14ac:dyDescent="0.3">
      <c r="A90" s="782"/>
      <c r="B90" s="782"/>
      <c r="C90" s="782"/>
      <c r="D90" s="782"/>
      <c r="E90" s="782"/>
      <c r="F90" s="782"/>
      <c r="G90" s="782"/>
      <c r="H90" s="782"/>
      <c r="I90" s="782"/>
      <c r="J90" s="782"/>
      <c r="K90" s="782"/>
      <c r="L90" s="782"/>
      <c r="M90" s="782"/>
      <c r="N90" s="782"/>
      <c r="O90" s="782"/>
      <c r="P90" s="782"/>
      <c r="Q90" s="782"/>
    </row>
    <row r="91" spans="1:17" ht="12.75" customHeight="1" x14ac:dyDescent="0.3">
      <c r="A91" s="782"/>
      <c r="B91" s="782" t="s">
        <v>60</v>
      </c>
      <c r="C91" s="798">
        <f>SUM(E91:O91)</f>
        <v>4800179.7700240035</v>
      </c>
      <c r="D91" s="782"/>
      <c r="E91" s="798">
        <f>SUMIF('Venture Summary - Mthly'!$E$7:$EG$7,E$7,'Venture Summary - Mthly'!$E96:$EG96)</f>
        <v>0</v>
      </c>
      <c r="F91" s="798">
        <f>SUMIF('Venture Summary - Mthly'!$E$7:$EG$7,F$7,'Venture Summary - Mthly'!$E96:$EG96)</f>
        <v>0</v>
      </c>
      <c r="G91" s="798">
        <f>SUMIF('Venture Summary - Mthly'!$E$7:$EG$7,G$7,'Venture Summary - Mthly'!$E96:$EG96)</f>
        <v>0</v>
      </c>
      <c r="H91" s="798">
        <f>SUMIF('Venture Summary - Mthly'!$E$7:$EG$7,H$7,'Venture Summary - Mthly'!$E96:$EG96)</f>
        <v>4800179.7700240035</v>
      </c>
      <c r="I91" s="798">
        <f>SUMIF('Venture Summary - Mthly'!$E$7:$EG$7,I$7,'Venture Summary - Mthly'!$E96:$EG96)</f>
        <v>0</v>
      </c>
      <c r="J91" s="798">
        <f>SUMIF('Venture Summary - Mthly'!$E$7:$EG$7,J$7,'Venture Summary - Mthly'!$E96:$EG96)</f>
        <v>0</v>
      </c>
      <c r="K91" s="798">
        <f>SUMIF('Venture Summary - Mthly'!$E$7:$EG$7,K$7,'Venture Summary - Mthly'!$E96:$EG96)</f>
        <v>0</v>
      </c>
      <c r="L91" s="798">
        <f>SUMIF('Venture Summary - Mthly'!$E$7:$EG$7,L$7,'Venture Summary - Mthly'!$E96:$EG96)</f>
        <v>0</v>
      </c>
      <c r="M91" s="798">
        <f>SUMIF('Venture Summary - Mthly'!$E$7:$EG$7,M$7,'Venture Summary - Mthly'!$E96:$EG96)</f>
        <v>0</v>
      </c>
      <c r="N91" s="798">
        <f>SUMIF('Venture Summary - Mthly'!$E$7:$EG$7,N$7,'Venture Summary - Mthly'!$E96:$EG96)</f>
        <v>0</v>
      </c>
      <c r="O91" s="798">
        <f>SUMIF('Venture Summary - Mthly'!$E$7:$EG$7,O$7,'Venture Summary - Mthly'!$E96:$EG96)</f>
        <v>0</v>
      </c>
      <c r="P91" s="798">
        <f>SUMIF('Venture Summary - Mthly'!$E$7:$EG$7,P$7,'Venture Summary - Mthly'!$E96:$EG96)</f>
        <v>0</v>
      </c>
      <c r="Q91" s="798"/>
    </row>
    <row r="92" spans="1:17" ht="12.75" customHeight="1" x14ac:dyDescent="0.3">
      <c r="A92" s="782"/>
      <c r="B92" s="782"/>
      <c r="C92" s="782"/>
      <c r="D92" s="782"/>
      <c r="E92" s="782"/>
      <c r="F92" s="782"/>
      <c r="G92" s="782"/>
      <c r="H92" s="782"/>
      <c r="I92" s="782"/>
      <c r="J92" s="782"/>
      <c r="K92" s="782"/>
      <c r="L92" s="782"/>
      <c r="M92" s="782"/>
      <c r="N92" s="782"/>
      <c r="O92" s="782"/>
      <c r="P92" s="782"/>
      <c r="Q92" s="782"/>
    </row>
    <row r="93" spans="1:17" ht="12.75" customHeight="1" x14ac:dyDescent="0.3">
      <c r="A93" s="782"/>
      <c r="B93" s="782" t="s">
        <v>61</v>
      </c>
      <c r="C93" s="806">
        <f>'Venture Summary - Mthly'!C98</f>
        <v>0.65</v>
      </c>
      <c r="D93" s="782"/>
      <c r="E93" s="798">
        <f>SUMIF('Venture Summary - Mthly'!$E$7:$EG$7,E$7,'Venture Summary - Mthly'!$E98:$EG98)</f>
        <v>0</v>
      </c>
      <c r="F93" s="798">
        <f>SUMIF('Venture Summary - Mthly'!$E$7:$EG$7,F$7,'Venture Summary - Mthly'!$E98:$EG98)</f>
        <v>0</v>
      </c>
      <c r="G93" s="798">
        <f>SUMIF('Venture Summary - Mthly'!$E$7:$EG$7,G$7,'Venture Summary - Mthly'!$E98:$EG98)</f>
        <v>0</v>
      </c>
      <c r="H93" s="798">
        <f>SUMIF('Venture Summary - Mthly'!$E$7:$EG$7,H$7,'Venture Summary - Mthly'!$E98:$EG98)</f>
        <v>4029971.0426005777</v>
      </c>
      <c r="I93" s="798">
        <f>SUMIF('Venture Summary - Mthly'!$E$7:$EG$7,I$7,'Venture Summary - Mthly'!$E98:$EG98)</f>
        <v>0</v>
      </c>
      <c r="J93" s="798">
        <f>SUMIF('Venture Summary - Mthly'!$E$7:$EG$7,J$7,'Venture Summary - Mthly'!$E98:$EG98)</f>
        <v>0</v>
      </c>
      <c r="K93" s="798">
        <f>SUMIF('Venture Summary - Mthly'!$E$7:$EG$7,K$7,'Venture Summary - Mthly'!$E98:$EG98)</f>
        <v>0</v>
      </c>
      <c r="L93" s="798">
        <f>SUMIF('Venture Summary - Mthly'!$E$7:$EG$7,L$7,'Venture Summary - Mthly'!$E98:$EG98)</f>
        <v>0</v>
      </c>
      <c r="M93" s="798">
        <f>SUMIF('Venture Summary - Mthly'!$E$7:$EG$7,M$7,'Venture Summary - Mthly'!$E98:$EG98)</f>
        <v>0</v>
      </c>
      <c r="N93" s="798">
        <f>SUMIF('Venture Summary - Mthly'!$E$7:$EG$7,N$7,'Venture Summary - Mthly'!$E98:$EG98)</f>
        <v>0</v>
      </c>
      <c r="O93" s="798">
        <f>SUMIF('Venture Summary - Mthly'!$E$7:$EG$7,O$7,'Venture Summary - Mthly'!$E98:$EG98)</f>
        <v>0</v>
      </c>
      <c r="P93" s="798">
        <f>SUMIF('Venture Summary - Mthly'!$E$7:$EG$7,P$7,'Venture Summary - Mthly'!$E98:$EG98)</f>
        <v>0</v>
      </c>
      <c r="Q93" s="798"/>
    </row>
    <row r="94" spans="1:17" ht="12.75" customHeight="1" x14ac:dyDescent="0.3">
      <c r="A94" s="782"/>
      <c r="B94" s="782" t="s">
        <v>62</v>
      </c>
      <c r="C94" s="806">
        <f>'Venture Summary - Mthly'!C99</f>
        <v>0.35</v>
      </c>
      <c r="D94" s="782"/>
      <c r="E94" s="798">
        <f>SUMIF('Venture Summary - Mthly'!$E$7:$EG$7,E$7,'Venture Summary - Mthly'!$E99:$EG99)</f>
        <v>0</v>
      </c>
      <c r="F94" s="798">
        <f>SUMIF('Venture Summary - Mthly'!$E$7:$EG$7,F$7,'Venture Summary - Mthly'!$E99:$EG99)</f>
        <v>0</v>
      </c>
      <c r="G94" s="798">
        <f>SUMIF('Venture Summary - Mthly'!$E$7:$EG$7,G$7,'Venture Summary - Mthly'!$E99:$EG99)</f>
        <v>0</v>
      </c>
      <c r="H94" s="798">
        <f>SUMIF('Venture Summary - Mthly'!$E$7:$EG$7,H$7,'Venture Summary - Mthly'!$E99:$EG99)</f>
        <v>2169984.4075541571</v>
      </c>
      <c r="I94" s="798">
        <f>SUMIF('Venture Summary - Mthly'!$E$7:$EG$7,I$7,'Venture Summary - Mthly'!$E99:$EG99)</f>
        <v>0</v>
      </c>
      <c r="J94" s="798">
        <f>SUMIF('Venture Summary - Mthly'!$E$7:$EG$7,J$7,'Venture Summary - Mthly'!$E99:$EG99)</f>
        <v>0</v>
      </c>
      <c r="K94" s="798">
        <f>SUMIF('Venture Summary - Mthly'!$E$7:$EG$7,K$7,'Venture Summary - Mthly'!$E99:$EG99)</f>
        <v>0</v>
      </c>
      <c r="L94" s="798">
        <f>SUMIF('Venture Summary - Mthly'!$E$7:$EG$7,L$7,'Venture Summary - Mthly'!$E99:$EG99)</f>
        <v>0</v>
      </c>
      <c r="M94" s="798">
        <f>SUMIF('Venture Summary - Mthly'!$E$7:$EG$7,M$7,'Venture Summary - Mthly'!$E99:$EG99)</f>
        <v>0</v>
      </c>
      <c r="N94" s="798">
        <f>SUMIF('Venture Summary - Mthly'!$E$7:$EG$7,N$7,'Venture Summary - Mthly'!$E99:$EG99)</f>
        <v>0</v>
      </c>
      <c r="O94" s="798">
        <f>SUMIF('Venture Summary - Mthly'!$E$7:$EG$7,O$7,'Venture Summary - Mthly'!$E99:$EG99)</f>
        <v>0</v>
      </c>
      <c r="P94" s="798">
        <f>SUMIF('Venture Summary - Mthly'!$E$7:$EG$7,P$7,'Venture Summary - Mthly'!$E99:$EG99)</f>
        <v>0</v>
      </c>
      <c r="Q94" s="798"/>
    </row>
    <row r="95" spans="1:17" ht="12.75" customHeight="1" x14ac:dyDescent="0.3">
      <c r="A95" s="782"/>
      <c r="B95" s="782"/>
      <c r="C95" s="782"/>
      <c r="D95" s="782"/>
      <c r="E95" s="782"/>
      <c r="F95" s="782"/>
      <c r="G95" s="782"/>
      <c r="H95" s="782"/>
      <c r="I95" s="782"/>
      <c r="J95" s="782"/>
      <c r="K95" s="782"/>
      <c r="L95" s="782"/>
      <c r="M95" s="782"/>
      <c r="N95" s="782"/>
      <c r="O95" s="782"/>
      <c r="P95" s="782"/>
      <c r="Q95" s="782"/>
    </row>
    <row r="96" spans="1:17" ht="12.75" customHeight="1" x14ac:dyDescent="0.3">
      <c r="A96" s="782"/>
      <c r="B96" s="782" t="s">
        <v>63</v>
      </c>
      <c r="C96" s="798">
        <f>SUM(E96:O96)</f>
        <v>16658746.496662013</v>
      </c>
      <c r="D96" s="782"/>
      <c r="E96" s="798">
        <f>SUMIF('Venture Summary - Mthly'!$E$7:$EG$7,E$7,'Venture Summary - Mthly'!$E101:$EG101)</f>
        <v>-1943435.5218400576</v>
      </c>
      <c r="F96" s="798">
        <f>SUMIF('Venture Summary - Mthly'!$E$7:$EG$7,F$7,'Venture Summary - Mthly'!$E101:$EG101)</f>
        <v>-33402655.736660905</v>
      </c>
      <c r="G96" s="798">
        <f>SUMIF('Venture Summary - Mthly'!$E$7:$EG$7,G$7,'Venture Summary - Mthly'!$E101:$EG101)</f>
        <v>-300630.26932519954</v>
      </c>
      <c r="H96" s="798">
        <f>SUMIF('Venture Summary - Mthly'!$E$7:$EG$7,H$7,'Venture Summary - Mthly'!$E101:$EG101)</f>
        <v>52305468.024488173</v>
      </c>
      <c r="I96" s="798">
        <f>SUMIF('Venture Summary - Mthly'!$E$7:$EG$7,I$7,'Venture Summary - Mthly'!$E101:$EG101)</f>
        <v>0</v>
      </c>
      <c r="J96" s="798">
        <f>SUMIF('Venture Summary - Mthly'!$E$7:$EG$7,J$7,'Venture Summary - Mthly'!$E101:$EG101)</f>
        <v>0</v>
      </c>
      <c r="K96" s="798">
        <f>SUMIF('Venture Summary - Mthly'!$E$7:$EG$7,K$7,'Venture Summary - Mthly'!$E101:$EG101)</f>
        <v>0</v>
      </c>
      <c r="L96" s="798">
        <f>SUMIF('Venture Summary - Mthly'!$E$7:$EG$7,L$7,'Venture Summary - Mthly'!$E101:$EG101)</f>
        <v>0</v>
      </c>
      <c r="M96" s="798">
        <f>SUMIF('Venture Summary - Mthly'!$E$7:$EG$7,M$7,'Venture Summary - Mthly'!$E101:$EG101)</f>
        <v>0</v>
      </c>
      <c r="N96" s="798">
        <f>SUMIF('Venture Summary - Mthly'!$E$7:$EG$7,N$7,'Venture Summary - Mthly'!$E101:$EG101)</f>
        <v>0</v>
      </c>
      <c r="O96" s="798">
        <f>SUMIF('Venture Summary - Mthly'!$E$7:$EG$7,O$7,'Venture Summary - Mthly'!$E101:$EG101)</f>
        <v>0</v>
      </c>
      <c r="P96" s="798">
        <f>SUMIF('Venture Summary - Mthly'!$E$7:$EG$7,P$7,'Venture Summary - Mthly'!$E101:$EG101)</f>
        <v>0</v>
      </c>
      <c r="Q96" s="798"/>
    </row>
    <row r="97" spans="1:17" ht="12.75" customHeight="1" x14ac:dyDescent="0.3">
      <c r="A97" s="782"/>
      <c r="B97" s="782" t="s">
        <v>64</v>
      </c>
      <c r="C97" s="806">
        <f>'Venture Summary - Mthly'!C102</f>
        <v>0.18000000119209297</v>
      </c>
      <c r="D97" s="782"/>
      <c r="E97" s="782"/>
      <c r="F97" s="782"/>
      <c r="G97" s="782"/>
      <c r="H97" s="782"/>
      <c r="I97" s="782"/>
      <c r="J97" s="782"/>
      <c r="K97" s="782"/>
      <c r="L97" s="782"/>
      <c r="M97" s="782"/>
      <c r="N97" s="782"/>
      <c r="O97" s="782"/>
      <c r="P97" s="782"/>
      <c r="Q97" s="782"/>
    </row>
    <row r="98" spans="1:17" ht="12.75" customHeight="1" x14ac:dyDescent="0.3">
      <c r="A98" s="782"/>
      <c r="B98" s="782"/>
      <c r="C98" s="782"/>
      <c r="D98" s="782"/>
      <c r="E98" s="782"/>
      <c r="F98" s="782"/>
      <c r="G98" s="782"/>
      <c r="H98" s="782"/>
      <c r="I98" s="782"/>
      <c r="J98" s="782"/>
      <c r="K98" s="782"/>
      <c r="L98" s="782"/>
      <c r="M98" s="782"/>
      <c r="N98" s="782"/>
      <c r="O98" s="782"/>
      <c r="P98" s="782"/>
      <c r="Q98" s="782"/>
    </row>
    <row r="99" spans="1:17" ht="12.75" customHeight="1" x14ac:dyDescent="0.3">
      <c r="A99" s="782"/>
      <c r="B99" s="782" t="s">
        <v>65</v>
      </c>
      <c r="C99" s="798">
        <f>SUM(E99:Q99)</f>
        <v>6199955.4501547348</v>
      </c>
      <c r="D99" s="782"/>
      <c r="E99" s="798">
        <f>SUMIF('Venture Summary - Mthly'!$E$7:$EG$7,E$7,'Venture Summary - Mthly'!$E104:$EG104)</f>
        <v>0</v>
      </c>
      <c r="F99" s="798">
        <f>SUMIF('Venture Summary - Mthly'!$E$7:$EG$7,F$7,'Venture Summary - Mthly'!$E104:$EG104)</f>
        <v>0</v>
      </c>
      <c r="G99" s="798">
        <f>SUMIF('Venture Summary - Mthly'!$E$7:$EG$7,G$7,'Venture Summary - Mthly'!$E104:$EG104)</f>
        <v>0</v>
      </c>
      <c r="H99" s="798">
        <f>SUMIF('Venture Summary - Mthly'!$E$7:$EG$7,H$7,'Venture Summary - Mthly'!$E104:$EG104)</f>
        <v>6199955.4501547348</v>
      </c>
      <c r="I99" s="798">
        <f>SUMIF('Venture Summary - Mthly'!$E$7:$EG$7,I$7,'Venture Summary - Mthly'!$E104:$EG104)</f>
        <v>0</v>
      </c>
      <c r="J99" s="798">
        <f>SUMIF('Venture Summary - Mthly'!$E$7:$EG$7,J$7,'Venture Summary - Mthly'!$E104:$EG104)</f>
        <v>0</v>
      </c>
      <c r="K99" s="798">
        <f>SUMIF('Venture Summary - Mthly'!$E$7:$EG$7,K$7,'Venture Summary - Mthly'!$E104:$EG104)</f>
        <v>0</v>
      </c>
      <c r="L99" s="798">
        <f>SUMIF('Venture Summary - Mthly'!$E$7:$EG$7,L$7,'Venture Summary - Mthly'!$E104:$EG104)</f>
        <v>0</v>
      </c>
      <c r="M99" s="798">
        <f>SUMIF('Venture Summary - Mthly'!$E$7:$EG$7,M$7,'Venture Summary - Mthly'!$E104:$EG104)</f>
        <v>0</v>
      </c>
      <c r="N99" s="798">
        <f>SUMIF('Venture Summary - Mthly'!$E$7:$EG$7,N$7,'Venture Summary - Mthly'!$E104:$EG104)</f>
        <v>0</v>
      </c>
      <c r="O99" s="798">
        <f>SUMIF('Venture Summary - Mthly'!$E$7:$EG$7,O$7,'Venture Summary - Mthly'!$E104:$EG104)</f>
        <v>0</v>
      </c>
      <c r="P99" s="798">
        <f>SUMIF('Venture Summary - Mthly'!$E$7:$EG$7,P$7,'Venture Summary - Mthly'!$E104:$EG104)</f>
        <v>0</v>
      </c>
      <c r="Q99" s="798"/>
    </row>
    <row r="100" spans="1:17" ht="12.75" customHeight="1" x14ac:dyDescent="0.3">
      <c r="A100" s="782"/>
      <c r="B100" s="782"/>
      <c r="C100" s="782"/>
      <c r="D100" s="782"/>
      <c r="E100" s="782"/>
      <c r="F100" s="782"/>
      <c r="G100" s="782"/>
      <c r="H100" s="782"/>
      <c r="I100" s="782"/>
      <c r="J100" s="782"/>
      <c r="K100" s="782"/>
      <c r="L100" s="782"/>
      <c r="M100" s="782"/>
      <c r="N100" s="782"/>
      <c r="O100" s="782"/>
      <c r="P100" s="782"/>
      <c r="Q100" s="782"/>
    </row>
    <row r="101" spans="1:17" ht="12.75" customHeight="1" x14ac:dyDescent="0.3">
      <c r="A101" s="782"/>
      <c r="B101" s="782" t="s">
        <v>66</v>
      </c>
      <c r="C101" s="798">
        <f>SUM(E101:Q101)</f>
        <v>7477412.8402144164</v>
      </c>
      <c r="D101" s="782"/>
      <c r="E101" s="798">
        <f>SUMIF('Venture Summary - Mthly'!$E$7:$EG$7,E$7,'Venture Summary - Mthly'!$E106:$EG106)</f>
        <v>0</v>
      </c>
      <c r="F101" s="798">
        <f>SUMIF('Venture Summary - Mthly'!$E$7:$EG$7,F$7,'Venture Summary - Mthly'!$E106:$EG106)</f>
        <v>0</v>
      </c>
      <c r="G101" s="798">
        <f>SUMIF('Venture Summary - Mthly'!$E$7:$EG$7,G$7,'Venture Summary - Mthly'!$E106:$EG106)</f>
        <v>0</v>
      </c>
      <c r="H101" s="798">
        <f>SUMIF('Venture Summary - Mthly'!$E$7:$EG$7,H$7,'Venture Summary - Mthly'!$E106:$EG106)</f>
        <v>7477412.8402144164</v>
      </c>
      <c r="I101" s="798">
        <f>SUMIF('Venture Summary - Mthly'!$E$7:$EG$7,I$7,'Venture Summary - Mthly'!$E106:$EG106)</f>
        <v>0</v>
      </c>
      <c r="J101" s="798">
        <f>SUMIF('Venture Summary - Mthly'!$E$7:$EG$7,J$7,'Venture Summary - Mthly'!$E106:$EG106)</f>
        <v>0</v>
      </c>
      <c r="K101" s="798">
        <f>SUMIF('Venture Summary - Mthly'!$E$7:$EG$7,K$7,'Venture Summary - Mthly'!$E106:$EG106)</f>
        <v>0</v>
      </c>
      <c r="L101" s="798">
        <f>SUMIF('Venture Summary - Mthly'!$E$7:$EG$7,L$7,'Venture Summary - Mthly'!$E106:$EG106)</f>
        <v>0</v>
      </c>
      <c r="M101" s="798">
        <f>SUMIF('Venture Summary - Mthly'!$E$7:$EG$7,M$7,'Venture Summary - Mthly'!$E106:$EG106)</f>
        <v>0</v>
      </c>
      <c r="N101" s="798">
        <f>SUMIF('Venture Summary - Mthly'!$E$7:$EG$7,N$7,'Venture Summary - Mthly'!$E106:$EG106)</f>
        <v>0</v>
      </c>
      <c r="O101" s="798">
        <f>SUMIF('Venture Summary - Mthly'!$E$7:$EG$7,O$7,'Venture Summary - Mthly'!$E106:$EG106)</f>
        <v>0</v>
      </c>
      <c r="P101" s="798">
        <f>SUMIF('Venture Summary - Mthly'!$E$7:$EG$7,P$7,'Venture Summary - Mthly'!$E106:$EG106)</f>
        <v>0</v>
      </c>
      <c r="Q101" s="798"/>
    </row>
    <row r="102" spans="1:17" ht="12.75" customHeight="1" x14ac:dyDescent="0.3">
      <c r="A102" s="782"/>
      <c r="B102" s="782" t="s">
        <v>67</v>
      </c>
      <c r="C102" s="806">
        <f>+'Venture Assumptions'!F40</f>
        <v>0.5</v>
      </c>
      <c r="D102" s="782"/>
      <c r="E102" s="798">
        <f>SUMIF('Venture Summary - Mthly'!$E$7:$EG$7,E$7,'Venture Summary - Mthly'!$E107:$EG107)</f>
        <v>0</v>
      </c>
      <c r="F102" s="798">
        <f>SUMIF('Venture Summary - Mthly'!$E$7:$EG$7,F$7,'Venture Summary - Mthly'!$E107:$EG107)</f>
        <v>0</v>
      </c>
      <c r="G102" s="798">
        <f>SUMIF('Venture Summary - Mthly'!$E$7:$EG$7,G$7,'Venture Summary - Mthly'!$E107:$EG107)</f>
        <v>0</v>
      </c>
      <c r="H102" s="798">
        <f>SUMIF('Venture Summary - Mthly'!$E$7:$EG$7,H$7,'Venture Summary - Mthly'!$E107:$EG107)</f>
        <v>3738706.4201072082</v>
      </c>
      <c r="I102" s="798">
        <f>SUMIF('Venture Summary - Mthly'!$E$7:$EG$7,I$7,'Venture Summary - Mthly'!$E107:$EG107)</f>
        <v>0</v>
      </c>
      <c r="J102" s="798">
        <f>SUMIF('Venture Summary - Mthly'!$E$7:$EG$7,J$7,'Venture Summary - Mthly'!$E107:$EG107)</f>
        <v>0</v>
      </c>
      <c r="K102" s="798">
        <f>SUMIF('Venture Summary - Mthly'!$E$7:$EG$7,K$7,'Venture Summary - Mthly'!$E107:$EG107)</f>
        <v>0</v>
      </c>
      <c r="L102" s="798">
        <f>SUMIF('Venture Summary - Mthly'!$E$7:$EG$7,L$7,'Venture Summary - Mthly'!$E107:$EG107)</f>
        <v>0</v>
      </c>
      <c r="M102" s="798">
        <f>SUMIF('Venture Summary - Mthly'!$E$7:$EG$7,M$7,'Venture Summary - Mthly'!$E107:$EG107)</f>
        <v>0</v>
      </c>
      <c r="N102" s="798">
        <f>SUMIF('Venture Summary - Mthly'!$E$7:$EG$7,N$7,'Venture Summary - Mthly'!$E107:$EG107)</f>
        <v>0</v>
      </c>
      <c r="O102" s="798">
        <f>SUMIF('Venture Summary - Mthly'!$E$7:$EG$7,O$7,'Venture Summary - Mthly'!$E107:$EG107)</f>
        <v>0</v>
      </c>
      <c r="P102" s="798">
        <f>SUMIF('Venture Summary - Mthly'!$E$7:$EG$7,P$7,'Venture Summary - Mthly'!$E107:$EG107)</f>
        <v>0</v>
      </c>
      <c r="Q102" s="798"/>
    </row>
    <row r="103" spans="1:17" ht="12.75" customHeight="1" x14ac:dyDescent="0.3">
      <c r="A103" s="782"/>
      <c r="B103" s="782" t="s">
        <v>68</v>
      </c>
      <c r="C103" s="806">
        <f>+'Venture Assumptions'!F39</f>
        <v>0.5</v>
      </c>
      <c r="D103" s="782"/>
      <c r="E103" s="798">
        <f>SUMIF('Venture Summary - Mthly'!$E$7:$EG$7,E$7,'Venture Summary - Mthly'!$E108:$EG108)</f>
        <v>0</v>
      </c>
      <c r="F103" s="798">
        <f>SUMIF('Venture Summary - Mthly'!$E$7:$EG$7,F$7,'Venture Summary - Mthly'!$E108:$EG108)</f>
        <v>0</v>
      </c>
      <c r="G103" s="798">
        <f>SUMIF('Venture Summary - Mthly'!$E$7:$EG$7,G$7,'Venture Summary - Mthly'!$E108:$EG108)</f>
        <v>0</v>
      </c>
      <c r="H103" s="798">
        <f>SUMIF('Venture Summary - Mthly'!$E$7:$EG$7,H$7,'Venture Summary - Mthly'!$E108:$EG108)</f>
        <v>3738706.4201072082</v>
      </c>
      <c r="I103" s="798">
        <f>SUMIF('Venture Summary - Mthly'!$E$7:$EG$7,I$7,'Venture Summary - Mthly'!$E108:$EG108)</f>
        <v>0</v>
      </c>
      <c r="J103" s="798">
        <f>SUMIF('Venture Summary - Mthly'!$E$7:$EG$7,J$7,'Venture Summary - Mthly'!$E108:$EG108)</f>
        <v>0</v>
      </c>
      <c r="K103" s="798">
        <f>SUMIF('Venture Summary - Mthly'!$E$7:$EG$7,K$7,'Venture Summary - Mthly'!$E108:$EG108)</f>
        <v>0</v>
      </c>
      <c r="L103" s="798">
        <f>SUMIF('Venture Summary - Mthly'!$E$7:$EG$7,L$7,'Venture Summary - Mthly'!$E108:$EG108)</f>
        <v>0</v>
      </c>
      <c r="M103" s="798">
        <f>SUMIF('Venture Summary - Mthly'!$E$7:$EG$7,M$7,'Venture Summary - Mthly'!$E108:$EG108)</f>
        <v>0</v>
      </c>
      <c r="N103" s="798">
        <f>SUMIF('Venture Summary - Mthly'!$E$7:$EG$7,N$7,'Venture Summary - Mthly'!$E108:$EG108)</f>
        <v>0</v>
      </c>
      <c r="O103" s="798">
        <f>SUMIF('Venture Summary - Mthly'!$E$7:$EG$7,O$7,'Venture Summary - Mthly'!$E108:$EG108)</f>
        <v>0</v>
      </c>
      <c r="P103" s="798">
        <f>SUMIF('Venture Summary - Mthly'!$E$7:$EG$7,P$7,'Venture Summary - Mthly'!$E108:$EG108)</f>
        <v>0</v>
      </c>
      <c r="Q103" s="798"/>
    </row>
    <row r="104" spans="1:17" ht="12.75" customHeight="1" x14ac:dyDescent="0.3">
      <c r="A104" s="782"/>
      <c r="B104" s="782"/>
      <c r="C104" s="782"/>
      <c r="D104" s="782"/>
      <c r="E104" s="798"/>
      <c r="F104" s="798"/>
      <c r="G104" s="798"/>
      <c r="H104" s="798"/>
      <c r="I104" s="798"/>
      <c r="J104" s="798"/>
      <c r="K104" s="798"/>
      <c r="L104" s="798"/>
      <c r="M104" s="798"/>
      <c r="N104" s="798"/>
      <c r="O104" s="798"/>
      <c r="P104" s="798"/>
      <c r="Q104" s="798"/>
    </row>
    <row r="105" spans="1:17" ht="12.75" customHeight="1" x14ac:dyDescent="0.3">
      <c r="A105" s="782"/>
      <c r="B105" s="782" t="s">
        <v>69</v>
      </c>
      <c r="C105" s="798">
        <f>SUM(E105:O105)</f>
        <v>6868726.7816661661</v>
      </c>
      <c r="D105" s="782"/>
      <c r="E105" s="798">
        <f>SUMIF('Venture Summary - Mthly'!$E$7:$EG$7,E$7,'Venture Summary - Mthly'!$E110:$EG110)</f>
        <v>0</v>
      </c>
      <c r="F105" s="798">
        <f>SUMIF('Venture Summary - Mthly'!$E$7:$EG$7,F$7,'Venture Summary - Mthly'!$E110:$EG110)</f>
        <v>0</v>
      </c>
      <c r="G105" s="798">
        <f>SUMIF('Venture Summary - Mthly'!$E$7:$EG$7,G$7,'Venture Summary - Mthly'!$E110:$EG110)</f>
        <v>0</v>
      </c>
      <c r="H105" s="798">
        <f>SUMIF('Venture Summary - Mthly'!$E$7:$EG$7,H$7,'Venture Summary - Mthly'!$E110:$EG110)</f>
        <v>6868726.7816661661</v>
      </c>
      <c r="I105" s="798">
        <f>SUMIF('Venture Summary - Mthly'!$E$7:$EG$7,I$7,'Venture Summary - Mthly'!$E110:$EG110)</f>
        <v>0</v>
      </c>
      <c r="J105" s="798">
        <f>SUMIF('Venture Summary - Mthly'!$E$7:$EG$7,J$7,'Venture Summary - Mthly'!$E110:$EG110)</f>
        <v>0</v>
      </c>
      <c r="K105" s="798">
        <f>SUMIF('Venture Summary - Mthly'!$E$7:$EG$7,K$7,'Venture Summary - Mthly'!$E110:$EG110)</f>
        <v>0</v>
      </c>
      <c r="L105" s="798">
        <f>SUMIF('Venture Summary - Mthly'!$E$7:$EG$7,L$7,'Venture Summary - Mthly'!$E110:$EG110)</f>
        <v>0</v>
      </c>
      <c r="M105" s="798">
        <f>SUMIF('Venture Summary - Mthly'!$E$7:$EG$7,M$7,'Venture Summary - Mthly'!$E110:$EG110)</f>
        <v>0</v>
      </c>
      <c r="N105" s="798">
        <f>SUMIF('Venture Summary - Mthly'!$E$7:$EG$7,N$7,'Venture Summary - Mthly'!$E110:$EG110)</f>
        <v>0</v>
      </c>
      <c r="O105" s="798">
        <f>SUMIF('Venture Summary - Mthly'!$E$7:$EG$7,O$7,'Venture Summary - Mthly'!$E110:$EG110)</f>
        <v>0</v>
      </c>
      <c r="P105" s="798">
        <f>SUMIF('Venture Summary - Mthly'!$E$7:$EG$7,P$7,'Venture Summary - Mthly'!$E110:$EG110)</f>
        <v>0</v>
      </c>
      <c r="Q105" s="798"/>
    </row>
    <row r="106" spans="1:17" ht="12.75" customHeight="1" x14ac:dyDescent="0.3">
      <c r="A106" s="782"/>
      <c r="B106" s="782"/>
      <c r="C106" s="782"/>
      <c r="D106" s="782"/>
      <c r="E106" s="782"/>
      <c r="F106" s="782"/>
      <c r="G106" s="782"/>
      <c r="H106" s="782"/>
      <c r="I106" s="782"/>
      <c r="J106" s="782"/>
      <c r="K106" s="782"/>
      <c r="L106" s="782"/>
      <c r="M106" s="782"/>
      <c r="N106" s="782"/>
      <c r="O106" s="782"/>
      <c r="P106" s="782"/>
      <c r="Q106" s="782"/>
    </row>
    <row r="107" spans="1:17" ht="12.75" customHeight="1" x14ac:dyDescent="0.3">
      <c r="A107" s="782"/>
      <c r="B107" s="793" t="s">
        <v>70</v>
      </c>
      <c r="C107" s="794"/>
      <c r="D107" s="794"/>
      <c r="E107" s="794"/>
      <c r="F107" s="794"/>
      <c r="G107" s="794"/>
      <c r="H107" s="794"/>
      <c r="I107" s="794"/>
      <c r="J107" s="794"/>
      <c r="K107" s="794"/>
      <c r="L107" s="794"/>
      <c r="M107" s="794"/>
      <c r="N107" s="794"/>
      <c r="O107" s="794"/>
      <c r="P107" s="794"/>
      <c r="Q107" s="794"/>
    </row>
    <row r="108" spans="1:17" ht="12.75" customHeight="1" x14ac:dyDescent="0.3">
      <c r="A108" s="782"/>
      <c r="B108" s="782"/>
      <c r="C108" s="782"/>
      <c r="D108" s="782"/>
      <c r="E108" s="782"/>
      <c r="F108" s="782"/>
      <c r="G108" s="782"/>
      <c r="H108" s="782"/>
      <c r="I108" s="782"/>
      <c r="J108" s="782"/>
      <c r="K108" s="782"/>
      <c r="L108" s="782"/>
      <c r="M108" s="782"/>
      <c r="N108" s="782"/>
      <c r="O108" s="782"/>
      <c r="P108" s="782"/>
      <c r="Q108" s="782"/>
    </row>
    <row r="109" spans="1:17" ht="12.75" customHeight="1" x14ac:dyDescent="0.3">
      <c r="A109" s="782"/>
      <c r="B109" s="782" t="s">
        <v>71</v>
      </c>
      <c r="C109" s="798">
        <f t="shared" ref="C109:C115" si="14">SUM(E109:O109)</f>
        <v>-104261112.5593228</v>
      </c>
      <c r="D109" s="782"/>
      <c r="E109" s="798">
        <f>SUMIF('Venture Summary - Mthly'!$E$7:$EG$7,E$7,'Venture Summary - Mthly'!$E114:$EG114)</f>
        <v>0</v>
      </c>
      <c r="F109" s="798">
        <f>SUMIF('Venture Summary - Mthly'!$E$7:$EG$7,F$7,'Venture Summary - Mthly'!$E114:$EG114)</f>
        <v>0</v>
      </c>
      <c r="G109" s="798">
        <f>SUMIF('Venture Summary - Mthly'!$E$7:$EG$7,G$7,'Venture Summary - Mthly'!$E114:$EG114)</f>
        <v>0</v>
      </c>
      <c r="H109" s="798">
        <f>SUMIF('Venture Summary - Mthly'!$E$7:$EG$7,H$7,'Venture Summary - Mthly'!$E114:$EG114)</f>
        <v>-104261112.5593228</v>
      </c>
      <c r="I109" s="798">
        <f>SUMIF('Venture Summary - Mthly'!$E$7:$EG$7,I$7,'Venture Summary - Mthly'!$E114:$EG114)</f>
        <v>0</v>
      </c>
      <c r="J109" s="798">
        <f>SUMIF('Venture Summary - Mthly'!$E$7:$EG$7,J$7,'Venture Summary - Mthly'!$E114:$EG114)</f>
        <v>0</v>
      </c>
      <c r="K109" s="798">
        <f>SUMIF('Venture Summary - Mthly'!$E$7:$EG$7,K$7,'Venture Summary - Mthly'!$E114:$EG114)</f>
        <v>0</v>
      </c>
      <c r="L109" s="798">
        <f>SUMIF('Venture Summary - Mthly'!$E$7:$EG$7,L$7,'Venture Summary - Mthly'!$E114:$EG114)</f>
        <v>0</v>
      </c>
      <c r="M109" s="798">
        <f>SUMIF('Venture Summary - Mthly'!$E$7:$EG$7,M$7,'Venture Summary - Mthly'!$E114:$EG114)</f>
        <v>0</v>
      </c>
      <c r="N109" s="798">
        <f>SUMIF('Venture Summary - Mthly'!$E$7:$EG$7,N$7,'Venture Summary - Mthly'!$E114:$EG114)</f>
        <v>0</v>
      </c>
      <c r="O109" s="798">
        <f>SUMIF('Venture Summary - Mthly'!$E$7:$EG$7,O$7,'Venture Summary - Mthly'!$E114:$EG114)</f>
        <v>0</v>
      </c>
      <c r="P109" s="798">
        <f>SUMIF('Venture Summary - Mthly'!$E$7:$EG$7,P$7,'Venture Summary - Mthly'!$E114:$EG114)</f>
        <v>0</v>
      </c>
      <c r="Q109" s="798"/>
    </row>
    <row r="110" spans="1:17" ht="12.75" customHeight="1" x14ac:dyDescent="0.3">
      <c r="A110" s="782"/>
      <c r="B110" s="782" t="s">
        <v>72</v>
      </c>
      <c r="C110" s="798">
        <f t="shared" si="14"/>
        <v>0</v>
      </c>
      <c r="D110" s="782"/>
      <c r="E110" s="798">
        <f>SUMIF('Venture Summary - Mthly'!$E$7:$EG$7,E$7,'Venture Summary - Mthly'!$E115:$EG115)</f>
        <v>0</v>
      </c>
      <c r="F110" s="798">
        <f>SUMIF('Venture Summary - Mthly'!$E$7:$EG$7,F$7,'Venture Summary - Mthly'!$E115:$EG115)</f>
        <v>0</v>
      </c>
      <c r="G110" s="798">
        <f>SUMIF('Venture Summary - Mthly'!$E$7:$EG$7,G$7,'Venture Summary - Mthly'!$E115:$EG115)</f>
        <v>0</v>
      </c>
      <c r="H110" s="798">
        <f>SUMIF('Venture Summary - Mthly'!$E$7:$EG$7,H$7,'Venture Summary - Mthly'!$E115:$EG115)</f>
        <v>0</v>
      </c>
      <c r="I110" s="798">
        <f>SUMIF('Venture Summary - Mthly'!$E$7:$EG$7,I$7,'Venture Summary - Mthly'!$E115:$EG115)</f>
        <v>0</v>
      </c>
      <c r="J110" s="798">
        <f>SUMIF('Venture Summary - Mthly'!$E$7:$EG$7,J$7,'Venture Summary - Mthly'!$E115:$EG115)</f>
        <v>0</v>
      </c>
      <c r="K110" s="798">
        <f>SUMIF('Venture Summary - Mthly'!$E$7:$EG$7,K$7,'Venture Summary - Mthly'!$E115:$EG115)</f>
        <v>0</v>
      </c>
      <c r="L110" s="798">
        <f>SUMIF('Venture Summary - Mthly'!$E$7:$EG$7,L$7,'Venture Summary - Mthly'!$E115:$EG115)</f>
        <v>0</v>
      </c>
      <c r="M110" s="798">
        <f>SUMIF('Venture Summary - Mthly'!$E$7:$EG$7,M$7,'Venture Summary - Mthly'!$E115:$EG115)</f>
        <v>0</v>
      </c>
      <c r="N110" s="798">
        <f>SUMIF('Venture Summary - Mthly'!$E$7:$EG$7,N$7,'Venture Summary - Mthly'!$E115:$EG115)</f>
        <v>0</v>
      </c>
      <c r="O110" s="798">
        <f>SUMIF('Venture Summary - Mthly'!$E$7:$EG$7,O$7,'Venture Summary - Mthly'!$E115:$EG115)</f>
        <v>0</v>
      </c>
      <c r="P110" s="798">
        <f>SUMIF('Venture Summary - Mthly'!$E$7:$EG$7,P$7,'Venture Summary - Mthly'!$E115:$EG115)</f>
        <v>0</v>
      </c>
      <c r="Q110" s="798"/>
    </row>
    <row r="111" spans="1:17" ht="12.75" customHeight="1" x14ac:dyDescent="0.3">
      <c r="A111" s="782"/>
      <c r="B111" s="782" t="s">
        <v>8</v>
      </c>
      <c r="C111" s="798">
        <f t="shared" si="14"/>
        <v>33505548.793417338</v>
      </c>
      <c r="D111" s="782"/>
      <c r="E111" s="798">
        <f>SUMIF('Venture Summary - Mthly'!$E$7:$EG$7,E$7,'Venture Summary - Mthly'!$E116:$EG116)</f>
        <v>0</v>
      </c>
      <c r="F111" s="798">
        <f>SUMIF('Venture Summary - Mthly'!$E$7:$EG$7,F$7,'Venture Summary - Mthly'!$E116:$EG116)</f>
        <v>0</v>
      </c>
      <c r="G111" s="798">
        <f>SUMIF('Venture Summary - Mthly'!$E$7:$EG$7,G$7,'Venture Summary - Mthly'!$E116:$EG116)</f>
        <v>0</v>
      </c>
      <c r="H111" s="798">
        <f>SUMIF('Venture Summary - Mthly'!$E$7:$EG$7,H$7,'Venture Summary - Mthly'!$E116:$EG116)</f>
        <v>1881540.9557585861</v>
      </c>
      <c r="I111" s="798">
        <f>SUMIF('Venture Summary - Mthly'!$E$7:$EG$7,I$7,'Venture Summary - Mthly'!$E116:$EG116)</f>
        <v>5825182.4356253231</v>
      </c>
      <c r="J111" s="798">
        <f>SUMIF('Venture Summary - Mthly'!$E$7:$EG$7,J$7,'Venture Summary - Mthly'!$E116:$EG116)</f>
        <v>6056558.8585462254</v>
      </c>
      <c r="K111" s="798">
        <f>SUMIF('Venture Summary - Mthly'!$E$7:$EG$7,K$7,'Venture Summary - Mthly'!$E116:$EG116)</f>
        <v>6301886.6285589896</v>
      </c>
      <c r="L111" s="798">
        <f>SUMIF('Venture Summary - Mthly'!$E$7:$EG$7,L$7,'Venture Summary - Mthly'!$E116:$EG116)</f>
        <v>6576768.7756926958</v>
      </c>
      <c r="M111" s="798">
        <f>SUMIF('Venture Summary - Mthly'!$E$7:$EG$7,M$7,'Venture Summary - Mthly'!$E116:$EG116)</f>
        <v>6863611.1392355235</v>
      </c>
      <c r="N111" s="798">
        <f>SUMIF('Venture Summary - Mthly'!$E$7:$EG$7,N$7,'Venture Summary - Mthly'!$E116:$EG116)</f>
        <v>0</v>
      </c>
      <c r="O111" s="798">
        <f>SUMIF('Venture Summary - Mthly'!$E$7:$EG$7,O$7,'Venture Summary - Mthly'!$E116:$EG116)</f>
        <v>0</v>
      </c>
      <c r="P111" s="798">
        <f>SUMIF('Venture Summary - Mthly'!$E$7:$EG$7,P$7,'Venture Summary - Mthly'!$E116:$EG116)</f>
        <v>0</v>
      </c>
      <c r="Q111" s="798"/>
    </row>
    <row r="112" spans="1:17" ht="12.75" customHeight="1" x14ac:dyDescent="0.3">
      <c r="A112" s="782"/>
      <c r="B112" s="782" t="s">
        <v>9</v>
      </c>
      <c r="C112" s="798">
        <f t="shared" si="14"/>
        <v>0</v>
      </c>
      <c r="D112" s="782"/>
      <c r="E112" s="798">
        <f>SUMIF('Venture Summary - Mthly'!$E$7:$EG$7,E$7,'Venture Summary - Mthly'!$E117:$EG117)</f>
        <v>0</v>
      </c>
      <c r="F112" s="798">
        <f>SUMIF('Venture Summary - Mthly'!$E$7:$EG$7,F$7,'Venture Summary - Mthly'!$E117:$EG117)</f>
        <v>0</v>
      </c>
      <c r="G112" s="798">
        <f>SUMIF('Venture Summary - Mthly'!$E$7:$EG$7,G$7,'Venture Summary - Mthly'!$E117:$EG117)</f>
        <v>0</v>
      </c>
      <c r="H112" s="798">
        <f>SUMIF('Venture Summary - Mthly'!$E$7:$EG$7,H$7,'Venture Summary - Mthly'!$E117:$EG117)</f>
        <v>0</v>
      </c>
      <c r="I112" s="798">
        <f>SUMIF('Venture Summary - Mthly'!$E$7:$EG$7,I$7,'Venture Summary - Mthly'!$E117:$EG117)</f>
        <v>0</v>
      </c>
      <c r="J112" s="798">
        <f>SUMIF('Venture Summary - Mthly'!$E$7:$EG$7,J$7,'Venture Summary - Mthly'!$E117:$EG117)</f>
        <v>0</v>
      </c>
      <c r="K112" s="798">
        <f>SUMIF('Venture Summary - Mthly'!$E$7:$EG$7,K$7,'Venture Summary - Mthly'!$E117:$EG117)</f>
        <v>0</v>
      </c>
      <c r="L112" s="798">
        <f>SUMIF('Venture Summary - Mthly'!$E$7:$EG$7,L$7,'Venture Summary - Mthly'!$E117:$EG117)</f>
        <v>0</v>
      </c>
      <c r="M112" s="798">
        <f>SUMIF('Venture Summary - Mthly'!$E$7:$EG$7,M$7,'Venture Summary - Mthly'!$E117:$EG117)</f>
        <v>0</v>
      </c>
      <c r="N112" s="798">
        <f>SUMIF('Venture Summary - Mthly'!$E$7:$EG$7,N$7,'Venture Summary - Mthly'!$E117:$EG117)</f>
        <v>0</v>
      </c>
      <c r="O112" s="798">
        <f>SUMIF('Venture Summary - Mthly'!$E$7:$EG$7,O$7,'Venture Summary - Mthly'!$E117:$EG117)</f>
        <v>0</v>
      </c>
      <c r="P112" s="798">
        <f>SUMIF('Venture Summary - Mthly'!$E$7:$EG$7,P$7,'Venture Summary - Mthly'!$E117:$EG117)</f>
        <v>0</v>
      </c>
      <c r="Q112" s="798"/>
    </row>
    <row r="113" spans="1:17" ht="12.75" customHeight="1" x14ac:dyDescent="0.3">
      <c r="A113" s="782"/>
      <c r="B113" s="782" t="s">
        <v>10</v>
      </c>
      <c r="C113" s="798">
        <f t="shared" si="14"/>
        <v>-533333.33333333326</v>
      </c>
      <c r="D113" s="782"/>
      <c r="E113" s="798">
        <f>SUMIF('Venture Summary - Mthly'!$E$7:$EG$7,E$7,'Venture Summary - Mthly'!$E118:$EG118)</f>
        <v>0</v>
      </c>
      <c r="F113" s="798">
        <f>SUMIF('Venture Summary - Mthly'!$E$7:$EG$7,F$7,'Venture Summary - Mthly'!$E118:$EG118)</f>
        <v>0</v>
      </c>
      <c r="G113" s="798">
        <f>SUMIF('Venture Summary - Mthly'!$E$7:$EG$7,G$7,'Venture Summary - Mthly'!$E118:$EG118)</f>
        <v>0</v>
      </c>
      <c r="H113" s="798">
        <f>SUMIF('Venture Summary - Mthly'!$E$7:$EG$7,H$7,'Venture Summary - Mthly'!$E118:$EG118)</f>
        <v>-33333.333333333336</v>
      </c>
      <c r="I113" s="798">
        <f>SUMIF('Venture Summary - Mthly'!$E$7:$EG$7,I$7,'Venture Summary - Mthly'!$E118:$EG118)</f>
        <v>-99999.999999999985</v>
      </c>
      <c r="J113" s="798">
        <f>SUMIF('Venture Summary - Mthly'!$E$7:$EG$7,J$7,'Venture Summary - Mthly'!$E118:$EG118)</f>
        <v>-99999.999999999985</v>
      </c>
      <c r="K113" s="798">
        <f>SUMIF('Venture Summary - Mthly'!$E$7:$EG$7,K$7,'Venture Summary - Mthly'!$E118:$EG118)</f>
        <v>-99999.999999999985</v>
      </c>
      <c r="L113" s="798">
        <f>SUMIF('Venture Summary - Mthly'!$E$7:$EG$7,L$7,'Venture Summary - Mthly'!$E118:$EG118)</f>
        <v>-99999.999999999985</v>
      </c>
      <c r="M113" s="798">
        <f>SUMIF('Venture Summary - Mthly'!$E$7:$EG$7,M$7,'Venture Summary - Mthly'!$E118:$EG118)</f>
        <v>-99999.999999999985</v>
      </c>
      <c r="N113" s="798">
        <f>SUMIF('Venture Summary - Mthly'!$E$7:$EG$7,N$7,'Venture Summary - Mthly'!$E118:$EG118)</f>
        <v>0</v>
      </c>
      <c r="O113" s="798">
        <f>SUMIF('Venture Summary - Mthly'!$E$7:$EG$7,O$7,'Venture Summary - Mthly'!$E118:$EG118)</f>
        <v>0</v>
      </c>
      <c r="P113" s="798">
        <f>SUMIF('Venture Summary - Mthly'!$E$7:$EG$7,P$7,'Venture Summary - Mthly'!$E118:$EG118)</f>
        <v>0</v>
      </c>
      <c r="Q113" s="798"/>
    </row>
    <row r="114" spans="1:17" ht="12.75" customHeight="1" x14ac:dyDescent="0.3">
      <c r="A114" s="782"/>
      <c r="B114" s="781" t="s">
        <v>11</v>
      </c>
      <c r="C114" s="799">
        <f t="shared" si="14"/>
        <v>129660985.44941077</v>
      </c>
      <c r="D114" s="781"/>
      <c r="E114" s="799">
        <f>SUMIF('Venture Summary - Mthly'!$E$7:$EG$7,E$7,'Venture Summary - Mthly'!$E119:$EG119)</f>
        <v>0</v>
      </c>
      <c r="F114" s="799">
        <f>SUMIF('Venture Summary - Mthly'!$E$7:$EG$7,F$7,'Venture Summary - Mthly'!$E119:$EG119)</f>
        <v>0</v>
      </c>
      <c r="G114" s="799">
        <f>SUMIF('Venture Summary - Mthly'!$E$7:$EG$7,G$7,'Venture Summary - Mthly'!$E119:$EG119)</f>
        <v>0</v>
      </c>
      <c r="H114" s="799">
        <f>SUMIF('Venture Summary - Mthly'!$E$7:$EG$7,H$7,'Venture Summary - Mthly'!$E119:$EG119)</f>
        <v>0</v>
      </c>
      <c r="I114" s="799">
        <f>SUMIF('Venture Summary - Mthly'!$E$7:$EG$7,I$7,'Venture Summary - Mthly'!$E119:$EG119)</f>
        <v>0</v>
      </c>
      <c r="J114" s="799">
        <f>SUMIF('Venture Summary - Mthly'!$E$7:$EG$7,J$7,'Venture Summary - Mthly'!$E119:$EG119)</f>
        <v>0</v>
      </c>
      <c r="K114" s="799">
        <f>SUMIF('Venture Summary - Mthly'!$E$7:$EG$7,K$7,'Venture Summary - Mthly'!$E119:$EG119)</f>
        <v>0</v>
      </c>
      <c r="L114" s="799">
        <f>SUMIF('Venture Summary - Mthly'!$E$7:$EG$7,L$7,'Venture Summary - Mthly'!$E119:$EG119)</f>
        <v>0</v>
      </c>
      <c r="M114" s="799">
        <f>SUMIF('Venture Summary - Mthly'!$E$7:$EG$7,M$7,'Venture Summary - Mthly'!$E119:$EG119)</f>
        <v>129660985.44941077</v>
      </c>
      <c r="N114" s="799">
        <f>SUMIF('Venture Summary - Mthly'!$E$7:$EG$7,N$7,'Venture Summary - Mthly'!$E119:$EG119)</f>
        <v>0</v>
      </c>
      <c r="O114" s="799">
        <f>SUMIF('Venture Summary - Mthly'!$E$7:$EG$7,O$7,'Venture Summary - Mthly'!$E119:$EG119)</f>
        <v>0</v>
      </c>
      <c r="P114" s="799">
        <f>SUMIF('Venture Summary - Mthly'!$E$7:$EG$7,P$7,'Venture Summary - Mthly'!$E119:$EG119)</f>
        <v>0</v>
      </c>
      <c r="Q114" s="798"/>
    </row>
    <row r="115" spans="1:17" ht="12.75" customHeight="1" x14ac:dyDescent="0.3">
      <c r="A115" s="782"/>
      <c r="B115" s="782" t="s">
        <v>12</v>
      </c>
      <c r="C115" s="798">
        <f t="shared" si="14"/>
        <v>58372088.350171998</v>
      </c>
      <c r="D115" s="782"/>
      <c r="E115" s="798">
        <f>SUM(E109:E114)</f>
        <v>0</v>
      </c>
      <c r="F115" s="798">
        <f t="shared" ref="F115:P115" si="15">SUM(F109:F114)</f>
        <v>0</v>
      </c>
      <c r="G115" s="798">
        <f t="shared" si="15"/>
        <v>0</v>
      </c>
      <c r="H115" s="798">
        <f t="shared" si="15"/>
        <v>-102412904.93689755</v>
      </c>
      <c r="I115" s="798">
        <f t="shared" si="15"/>
        <v>5725182.4356253231</v>
      </c>
      <c r="J115" s="798">
        <f t="shared" si="15"/>
        <v>5956558.8585462254</v>
      </c>
      <c r="K115" s="798">
        <f t="shared" si="15"/>
        <v>6201886.6285589896</v>
      </c>
      <c r="L115" s="798">
        <f t="shared" si="15"/>
        <v>6476768.7756926958</v>
      </c>
      <c r="M115" s="798">
        <f t="shared" si="15"/>
        <v>136424596.58864629</v>
      </c>
      <c r="N115" s="798">
        <f t="shared" si="15"/>
        <v>0</v>
      </c>
      <c r="O115" s="798">
        <f t="shared" si="15"/>
        <v>0</v>
      </c>
      <c r="P115" s="798">
        <f t="shared" si="15"/>
        <v>0</v>
      </c>
      <c r="Q115" s="798"/>
    </row>
    <row r="116" spans="1:17" ht="12.75" customHeight="1" x14ac:dyDescent="0.3">
      <c r="A116" s="782"/>
      <c r="B116" s="800" t="s">
        <v>73</v>
      </c>
      <c r="C116" s="801">
        <f>'Venture Summary - Mthly'!C121</f>
        <v>9.813267588615418E-2</v>
      </c>
      <c r="D116" s="782"/>
      <c r="E116" s="798"/>
      <c r="F116" s="798"/>
      <c r="G116" s="798"/>
      <c r="H116" s="798"/>
      <c r="I116" s="798"/>
      <c r="J116" s="798"/>
      <c r="K116" s="798"/>
      <c r="L116" s="798"/>
      <c r="M116" s="798"/>
      <c r="N116" s="798"/>
      <c r="O116" s="798"/>
      <c r="P116" s="798"/>
      <c r="Q116" s="798"/>
    </row>
    <row r="117" spans="1:17" ht="12.75" customHeight="1" x14ac:dyDescent="0.3">
      <c r="A117" s="782"/>
      <c r="B117" s="782"/>
      <c r="C117" s="782"/>
      <c r="D117" s="782"/>
      <c r="E117" s="782"/>
      <c r="F117" s="782"/>
      <c r="G117" s="782"/>
      <c r="H117" s="782"/>
      <c r="I117" s="782"/>
      <c r="J117" s="782"/>
      <c r="K117" s="782"/>
      <c r="L117" s="782"/>
      <c r="M117" s="782"/>
      <c r="N117" s="782"/>
      <c r="O117" s="782"/>
      <c r="P117" s="782"/>
      <c r="Q117" s="782"/>
    </row>
    <row r="118" spans="1:17" ht="12.75" customHeight="1" x14ac:dyDescent="0.3">
      <c r="A118" s="782"/>
      <c r="B118" s="782" t="s">
        <v>14</v>
      </c>
      <c r="C118" s="798">
        <f t="shared" ref="C118:C126" si="16">SUM(E118:O118)</f>
        <v>-573436.1190762755</v>
      </c>
      <c r="D118" s="782"/>
      <c r="E118" s="798">
        <f>SUMIF('Venture Summary - Mthly'!$E$7:$EG$7,E$7,'Venture Summary - Mthly'!$E123:$EG123)</f>
        <v>0</v>
      </c>
      <c r="F118" s="798">
        <f>SUMIF('Venture Summary - Mthly'!$E$7:$EG$7,F$7,'Venture Summary - Mthly'!$E123:$EG123)</f>
        <v>0</v>
      </c>
      <c r="G118" s="798">
        <f>SUMIF('Venture Summary - Mthly'!$E$7:$EG$7,G$7,'Venture Summary - Mthly'!$E123:$EG123)</f>
        <v>0</v>
      </c>
      <c r="H118" s="798">
        <f>SUMIF('Venture Summary - Mthly'!$E$7:$EG$7,H$7,'Venture Summary - Mthly'!$E123:$EG123)</f>
        <v>-573436.1190762755</v>
      </c>
      <c r="I118" s="798">
        <f>SUMIF('Venture Summary - Mthly'!$E$7:$EG$7,I$7,'Venture Summary - Mthly'!$E123:$EG123)</f>
        <v>0</v>
      </c>
      <c r="J118" s="798">
        <f>SUMIF('Venture Summary - Mthly'!$E$7:$EG$7,J$7,'Venture Summary - Mthly'!$E123:$EG123)</f>
        <v>0</v>
      </c>
      <c r="K118" s="798">
        <f>SUMIF('Venture Summary - Mthly'!$E$7:$EG$7,K$7,'Venture Summary - Mthly'!$E123:$EG123)</f>
        <v>0</v>
      </c>
      <c r="L118" s="798">
        <f>SUMIF('Venture Summary - Mthly'!$E$7:$EG$7,L$7,'Venture Summary - Mthly'!$E123:$EG123)</f>
        <v>0</v>
      </c>
      <c r="M118" s="798">
        <f>SUMIF('Venture Summary - Mthly'!$E$7:$EG$7,M$7,'Venture Summary - Mthly'!$E123:$EG123)</f>
        <v>0</v>
      </c>
      <c r="N118" s="798">
        <f>SUMIF('Venture Summary - Mthly'!$E$7:$EG$7,N$7,'Venture Summary - Mthly'!$E123:$EG123)</f>
        <v>0</v>
      </c>
      <c r="O118" s="798">
        <f>SUMIF('Venture Summary - Mthly'!$E$7:$EG$7,O$7,'Venture Summary - Mthly'!$E123:$EG123)</f>
        <v>0</v>
      </c>
      <c r="P118" s="798">
        <f>SUMIF('Venture Summary - Mthly'!$E$7:$EG$7,P$7,'Venture Summary - Mthly'!$E123:$EG123)</f>
        <v>0</v>
      </c>
      <c r="Q118" s="798"/>
    </row>
    <row r="119" spans="1:17" ht="12.75" customHeight="1" x14ac:dyDescent="0.3">
      <c r="A119" s="782"/>
      <c r="B119" s="782" t="s">
        <v>74</v>
      </c>
      <c r="C119" s="798">
        <f t="shared" si="16"/>
        <v>42877793.387000009</v>
      </c>
      <c r="D119" s="782"/>
      <c r="E119" s="798">
        <f>SUMIF('Venture Summary - Mthly'!$E$7:$EG$7,E$7,'Venture Summary - Mthly'!$E124:$EG124)</f>
        <v>0</v>
      </c>
      <c r="F119" s="798">
        <f>SUMIF('Venture Summary - Mthly'!$E$7:$EG$7,F$7,'Venture Summary - Mthly'!$E124:$EG124)</f>
        <v>0</v>
      </c>
      <c r="G119" s="798">
        <f>SUMIF('Venture Summary - Mthly'!$E$7:$EG$7,G$7,'Venture Summary - Mthly'!$E124:$EG124)</f>
        <v>0</v>
      </c>
      <c r="H119" s="798">
        <f>SUMIF('Venture Summary - Mthly'!$E$7:$EG$7,H$7,'Venture Summary - Mthly'!$E124:$EG124)</f>
        <v>42877793.387000009</v>
      </c>
      <c r="I119" s="798">
        <f>SUMIF('Venture Summary - Mthly'!$E$7:$EG$7,I$7,'Venture Summary - Mthly'!$E124:$EG124)</f>
        <v>0</v>
      </c>
      <c r="J119" s="798">
        <f>SUMIF('Venture Summary - Mthly'!$E$7:$EG$7,J$7,'Venture Summary - Mthly'!$E124:$EG124)</f>
        <v>0</v>
      </c>
      <c r="K119" s="798">
        <f>SUMIF('Venture Summary - Mthly'!$E$7:$EG$7,K$7,'Venture Summary - Mthly'!$E124:$EG124)</f>
        <v>0</v>
      </c>
      <c r="L119" s="798">
        <f>SUMIF('Venture Summary - Mthly'!$E$7:$EG$7,L$7,'Venture Summary - Mthly'!$E124:$EG124)</f>
        <v>0</v>
      </c>
      <c r="M119" s="798">
        <f>SUMIF('Venture Summary - Mthly'!$E$7:$EG$7,M$7,'Venture Summary - Mthly'!$E124:$EG124)</f>
        <v>0</v>
      </c>
      <c r="N119" s="798">
        <f>SUMIF('Venture Summary - Mthly'!$E$7:$EG$7,N$7,'Venture Summary - Mthly'!$E124:$EG124)</f>
        <v>0</v>
      </c>
      <c r="O119" s="798">
        <f>SUMIF('Venture Summary - Mthly'!$E$7:$EG$7,O$7,'Venture Summary - Mthly'!$E124:$EG124)</f>
        <v>0</v>
      </c>
      <c r="P119" s="798">
        <f>SUMIF('Venture Summary - Mthly'!$E$7:$EG$7,P$7,'Venture Summary - Mthly'!$E124:$EG124)</f>
        <v>0</v>
      </c>
      <c r="Q119" s="798"/>
    </row>
    <row r="120" spans="1:17" ht="12.75" customHeight="1" x14ac:dyDescent="0.3">
      <c r="A120" s="782"/>
      <c r="B120" s="782" t="s">
        <v>15</v>
      </c>
      <c r="C120" s="798">
        <f t="shared" si="16"/>
        <v>0</v>
      </c>
      <c r="D120" s="782"/>
      <c r="E120" s="798">
        <f>SUMIF('Venture Summary - Mthly'!$E$7:$EG$7,E$7,'Venture Summary - Mthly'!$E125:$EG125)</f>
        <v>0</v>
      </c>
      <c r="F120" s="798">
        <f>SUMIF('Venture Summary - Mthly'!$E$7:$EG$7,F$7,'Venture Summary - Mthly'!$E125:$EG125)</f>
        <v>0</v>
      </c>
      <c r="G120" s="798">
        <f>SUMIF('Venture Summary - Mthly'!$E$7:$EG$7,G$7,'Venture Summary - Mthly'!$E125:$EG125)</f>
        <v>0</v>
      </c>
      <c r="H120" s="798">
        <f>SUMIF('Venture Summary - Mthly'!$E$7:$EG$7,H$7,'Venture Summary - Mthly'!$E125:$EG125)</f>
        <v>0</v>
      </c>
      <c r="I120" s="798">
        <f>SUMIF('Venture Summary - Mthly'!$E$7:$EG$7,I$7,'Venture Summary - Mthly'!$E125:$EG125)</f>
        <v>0</v>
      </c>
      <c r="J120" s="798">
        <f>SUMIF('Venture Summary - Mthly'!$E$7:$EG$7,J$7,'Venture Summary - Mthly'!$E125:$EG125)</f>
        <v>0</v>
      </c>
      <c r="K120" s="798">
        <f>SUMIF('Venture Summary - Mthly'!$E$7:$EG$7,K$7,'Venture Summary - Mthly'!$E125:$EG125)</f>
        <v>0</v>
      </c>
      <c r="L120" s="798">
        <f>SUMIF('Venture Summary - Mthly'!$E$7:$EG$7,L$7,'Venture Summary - Mthly'!$E125:$EG125)</f>
        <v>0</v>
      </c>
      <c r="M120" s="798">
        <f>SUMIF('Venture Summary - Mthly'!$E$7:$EG$7,M$7,'Venture Summary - Mthly'!$E125:$EG125)</f>
        <v>0</v>
      </c>
      <c r="N120" s="798">
        <f>SUMIF('Venture Summary - Mthly'!$E$7:$EG$7,N$7,'Venture Summary - Mthly'!$E125:$EG125)</f>
        <v>0</v>
      </c>
      <c r="O120" s="798">
        <f>SUMIF('Venture Summary - Mthly'!$E$7:$EG$7,O$7,'Venture Summary - Mthly'!$E125:$EG125)</f>
        <v>0</v>
      </c>
      <c r="P120" s="798">
        <f>SUMIF('Venture Summary - Mthly'!$E$7:$EG$7,P$7,'Venture Summary - Mthly'!$E125:$EG125)</f>
        <v>0</v>
      </c>
      <c r="Q120" s="798"/>
    </row>
    <row r="121" spans="1:17" ht="12.75" customHeight="1" x14ac:dyDescent="0.3">
      <c r="A121" s="782"/>
      <c r="B121" s="782" t="s">
        <v>17</v>
      </c>
      <c r="C121" s="798">
        <f t="shared" si="16"/>
        <v>-42877793.387000009</v>
      </c>
      <c r="D121" s="782"/>
      <c r="E121" s="798">
        <f>SUMIF('Venture Summary - Mthly'!$E$7:$EG$7,E$7,'Venture Summary - Mthly'!$E126:$EG126)</f>
        <v>0</v>
      </c>
      <c r="F121" s="798">
        <f>SUMIF('Venture Summary - Mthly'!$E$7:$EG$7,F$7,'Venture Summary - Mthly'!$E126:$EG126)</f>
        <v>0</v>
      </c>
      <c r="G121" s="798">
        <f>SUMIF('Venture Summary - Mthly'!$E$7:$EG$7,G$7,'Venture Summary - Mthly'!$E126:$EG126)</f>
        <v>0</v>
      </c>
      <c r="H121" s="798">
        <f>SUMIF('Venture Summary - Mthly'!$E$7:$EG$7,H$7,'Venture Summary - Mthly'!$E126:$EG126)</f>
        <v>-42877793.387000009</v>
      </c>
      <c r="I121" s="798">
        <f>SUMIF('Venture Summary - Mthly'!$E$7:$EG$7,I$7,'Venture Summary - Mthly'!$E126:$EG126)</f>
        <v>0</v>
      </c>
      <c r="J121" s="798">
        <f>SUMIF('Venture Summary - Mthly'!$E$7:$EG$7,J$7,'Venture Summary - Mthly'!$E126:$EG126)</f>
        <v>0</v>
      </c>
      <c r="K121" s="798">
        <f>SUMIF('Venture Summary - Mthly'!$E$7:$EG$7,K$7,'Venture Summary - Mthly'!$E126:$EG126)</f>
        <v>0</v>
      </c>
      <c r="L121" s="798">
        <f>SUMIF('Venture Summary - Mthly'!$E$7:$EG$7,L$7,'Venture Summary - Mthly'!$E126:$EG126)</f>
        <v>0</v>
      </c>
      <c r="M121" s="798">
        <f>SUMIF('Venture Summary - Mthly'!$E$7:$EG$7,M$7,'Venture Summary - Mthly'!$E126:$EG126)</f>
        <v>0</v>
      </c>
      <c r="N121" s="798">
        <f>SUMIF('Venture Summary - Mthly'!$E$7:$EG$7,N$7,'Venture Summary - Mthly'!$E126:$EG126)</f>
        <v>0</v>
      </c>
      <c r="O121" s="798">
        <f>SUMIF('Venture Summary - Mthly'!$E$7:$EG$7,O$7,'Venture Summary - Mthly'!$E126:$EG126)</f>
        <v>0</v>
      </c>
      <c r="P121" s="798">
        <f>SUMIF('Venture Summary - Mthly'!$E$7:$EG$7,P$7,'Venture Summary - Mthly'!$E126:$EG126)</f>
        <v>0</v>
      </c>
      <c r="Q121" s="798"/>
    </row>
    <row r="122" spans="1:17" ht="12.75" customHeight="1" x14ac:dyDescent="0.3">
      <c r="A122" s="782"/>
      <c r="B122" s="782" t="s">
        <v>18</v>
      </c>
      <c r="C122" s="798">
        <f t="shared" si="16"/>
        <v>57343611.907627545</v>
      </c>
      <c r="D122" s="782"/>
      <c r="E122" s="798">
        <f>SUMIF('Venture Summary - Mthly'!$E$7:$EG$7,E$7,'Venture Summary - Mthly'!$E127:$EG127)</f>
        <v>0</v>
      </c>
      <c r="F122" s="798">
        <f>SUMIF('Venture Summary - Mthly'!$E$7:$EG$7,F$7,'Venture Summary - Mthly'!$E127:$EG127)</f>
        <v>0</v>
      </c>
      <c r="G122" s="798">
        <f>SUMIF('Venture Summary - Mthly'!$E$7:$EG$7,G$7,'Venture Summary - Mthly'!$E127:$EG127)</f>
        <v>0</v>
      </c>
      <c r="H122" s="798">
        <f>SUMIF('Venture Summary - Mthly'!$E$7:$EG$7,H$7,'Venture Summary - Mthly'!$E127:$EG127)</f>
        <v>57343611.907627545</v>
      </c>
      <c r="I122" s="798">
        <f>SUMIF('Venture Summary - Mthly'!$E$7:$EG$7,I$7,'Venture Summary - Mthly'!$E127:$EG127)</f>
        <v>0</v>
      </c>
      <c r="J122" s="798">
        <f>SUMIF('Venture Summary - Mthly'!$E$7:$EG$7,J$7,'Venture Summary - Mthly'!$E127:$EG127)</f>
        <v>0</v>
      </c>
      <c r="K122" s="798">
        <f>SUMIF('Venture Summary - Mthly'!$E$7:$EG$7,K$7,'Venture Summary - Mthly'!$E127:$EG127)</f>
        <v>0</v>
      </c>
      <c r="L122" s="798">
        <f>SUMIF('Venture Summary - Mthly'!$E$7:$EG$7,L$7,'Venture Summary - Mthly'!$E127:$EG127)</f>
        <v>0</v>
      </c>
      <c r="M122" s="798">
        <f>SUMIF('Venture Summary - Mthly'!$E$7:$EG$7,M$7,'Venture Summary - Mthly'!$E127:$EG127)</f>
        <v>0</v>
      </c>
      <c r="N122" s="798">
        <f>SUMIF('Venture Summary - Mthly'!$E$7:$EG$7,N$7,'Venture Summary - Mthly'!$E127:$EG127)</f>
        <v>0</v>
      </c>
      <c r="O122" s="798">
        <f>SUMIF('Venture Summary - Mthly'!$E$7:$EG$7,O$7,'Venture Summary - Mthly'!$E127:$EG127)</f>
        <v>0</v>
      </c>
      <c r="P122" s="798">
        <f>SUMIF('Venture Summary - Mthly'!$E$7:$EG$7,P$7,'Venture Summary - Mthly'!$E127:$EG127)</f>
        <v>0</v>
      </c>
      <c r="Q122" s="798"/>
    </row>
    <row r="123" spans="1:17" ht="12.75" customHeight="1" x14ac:dyDescent="0.3">
      <c r="A123" s="782"/>
      <c r="B123" s="782" t="s">
        <v>19</v>
      </c>
      <c r="C123" s="798">
        <f t="shared" si="16"/>
        <v>0</v>
      </c>
      <c r="D123" s="782"/>
      <c r="E123" s="798">
        <f>SUMIF('Venture Summary - Mthly'!$E$7:$EG$7,E$7,'Venture Summary - Mthly'!$E128:$EG128)</f>
        <v>0</v>
      </c>
      <c r="F123" s="798">
        <f>SUMIF('Venture Summary - Mthly'!$E$7:$EG$7,F$7,'Venture Summary - Mthly'!$E128:$EG128)</f>
        <v>0</v>
      </c>
      <c r="G123" s="798">
        <f>SUMIF('Venture Summary - Mthly'!$E$7:$EG$7,G$7,'Venture Summary - Mthly'!$E128:$EG128)</f>
        <v>0</v>
      </c>
      <c r="H123" s="798">
        <f>SUMIF('Venture Summary - Mthly'!$E$7:$EG$7,H$7,'Venture Summary - Mthly'!$E128:$EG128)</f>
        <v>0</v>
      </c>
      <c r="I123" s="798">
        <f>SUMIF('Venture Summary - Mthly'!$E$7:$EG$7,I$7,'Venture Summary - Mthly'!$E128:$EG128)</f>
        <v>0</v>
      </c>
      <c r="J123" s="798">
        <f>SUMIF('Venture Summary - Mthly'!$E$7:$EG$7,J$7,'Venture Summary - Mthly'!$E128:$EG128)</f>
        <v>0</v>
      </c>
      <c r="K123" s="798">
        <f>SUMIF('Venture Summary - Mthly'!$E$7:$EG$7,K$7,'Venture Summary - Mthly'!$E128:$EG128)</f>
        <v>0</v>
      </c>
      <c r="L123" s="798">
        <f>SUMIF('Venture Summary - Mthly'!$E$7:$EG$7,L$7,'Venture Summary - Mthly'!$E128:$EG128)</f>
        <v>0</v>
      </c>
      <c r="M123" s="798">
        <f>SUMIF('Venture Summary - Mthly'!$E$7:$EG$7,M$7,'Venture Summary - Mthly'!$E128:$EG128)</f>
        <v>0</v>
      </c>
      <c r="N123" s="798">
        <f>SUMIF('Venture Summary - Mthly'!$E$7:$EG$7,N$7,'Venture Summary - Mthly'!$E128:$EG128)</f>
        <v>0</v>
      </c>
      <c r="O123" s="798">
        <f>SUMIF('Venture Summary - Mthly'!$E$7:$EG$7,O$7,'Venture Summary - Mthly'!$E128:$EG128)</f>
        <v>0</v>
      </c>
      <c r="P123" s="798">
        <f>SUMIF('Venture Summary - Mthly'!$E$7:$EG$7,P$7,'Venture Summary - Mthly'!$E128:$EG128)</f>
        <v>0</v>
      </c>
      <c r="Q123" s="798"/>
    </row>
    <row r="124" spans="1:17" ht="12.75" customHeight="1" x14ac:dyDescent="0.3">
      <c r="A124" s="782"/>
      <c r="B124" s="782" t="s">
        <v>20</v>
      </c>
      <c r="C124" s="798">
        <f t="shared" si="16"/>
        <v>-14404145.697984423</v>
      </c>
      <c r="D124" s="782"/>
      <c r="E124" s="798">
        <f>SUMIF('Venture Summary - Mthly'!$E$7:$EG$7,E$7,'Venture Summary - Mthly'!$E129:$EG129)</f>
        <v>0</v>
      </c>
      <c r="F124" s="798">
        <f>SUMIF('Venture Summary - Mthly'!$E$7:$EG$7,F$7,'Venture Summary - Mthly'!$E129:$EG129)</f>
        <v>0</v>
      </c>
      <c r="G124" s="798">
        <f>SUMIF('Venture Summary - Mthly'!$E$7:$EG$7,G$7,'Venture Summary - Mthly'!$E129:$EG129)</f>
        <v>0</v>
      </c>
      <c r="H124" s="798">
        <f>SUMIF('Venture Summary - Mthly'!$E$7:$EG$7,H$7,'Venture Summary - Mthly'!$E129:$EG129)</f>
        <v>-661856.6235938092</v>
      </c>
      <c r="I124" s="798">
        <f>SUMIF('Venture Summary - Mthly'!$E$7:$EG$7,I$7,'Venture Summary - Mthly'!$E129:$EG129)</f>
        <v>-2662844.2801634669</v>
      </c>
      <c r="J124" s="798">
        <f>SUMIF('Venture Summary - Mthly'!$E$7:$EG$7,J$7,'Venture Summary - Mthly'!$E129:$EG129)</f>
        <v>-2705408.0539653371</v>
      </c>
      <c r="K124" s="798">
        <f>SUMIF('Venture Summary - Mthly'!$E$7:$EG$7,K$7,'Venture Summary - Mthly'!$E129:$EG129)</f>
        <v>-2753554.7062498461</v>
      </c>
      <c r="L124" s="798">
        <f>SUMIF('Venture Summary - Mthly'!$E$7:$EG$7,L$7,'Venture Summary - Mthly'!$E129:$EG129)</f>
        <v>-2792560.3089328469</v>
      </c>
      <c r="M124" s="798">
        <f>SUMIF('Venture Summary - Mthly'!$E$7:$EG$7,M$7,'Venture Summary - Mthly'!$E129:$EG129)</f>
        <v>-2827921.7250791178</v>
      </c>
      <c r="N124" s="798">
        <f>SUMIF('Venture Summary - Mthly'!$E$7:$EG$7,N$7,'Venture Summary - Mthly'!$E129:$EG129)</f>
        <v>0</v>
      </c>
      <c r="O124" s="798">
        <f>SUMIF('Venture Summary - Mthly'!$E$7:$EG$7,O$7,'Venture Summary - Mthly'!$E129:$EG129)</f>
        <v>0</v>
      </c>
      <c r="P124" s="798">
        <f>SUMIF('Venture Summary - Mthly'!$E$7:$EG$7,P$7,'Venture Summary - Mthly'!$E129:$EG129)</f>
        <v>0</v>
      </c>
      <c r="Q124" s="798"/>
    </row>
    <row r="125" spans="1:17" ht="12.75" customHeight="1" x14ac:dyDescent="0.3">
      <c r="A125" s="782"/>
      <c r="B125" s="781" t="s">
        <v>21</v>
      </c>
      <c r="C125" s="799">
        <f t="shared" si="16"/>
        <v>-57343611.907627545</v>
      </c>
      <c r="D125" s="781"/>
      <c r="E125" s="799">
        <f>SUMIF('Venture Summary - Mthly'!$E$7:$EG$7,E$7,'Venture Summary - Mthly'!$E130:$EG130)</f>
        <v>0</v>
      </c>
      <c r="F125" s="799">
        <f>SUMIF('Venture Summary - Mthly'!$E$7:$EG$7,F$7,'Venture Summary - Mthly'!$E130:$EG130)</f>
        <v>0</v>
      </c>
      <c r="G125" s="799">
        <f>SUMIF('Venture Summary - Mthly'!$E$7:$EG$7,G$7,'Venture Summary - Mthly'!$E130:$EG130)</f>
        <v>0</v>
      </c>
      <c r="H125" s="799">
        <f>SUMIF('Venture Summary - Mthly'!$E$7:$EG$7,H$7,'Venture Summary - Mthly'!$E130:$EG130)</f>
        <v>0</v>
      </c>
      <c r="I125" s="799">
        <f>SUMIF('Venture Summary - Mthly'!$E$7:$EG$7,I$7,'Venture Summary - Mthly'!$E130:$EG130)</f>
        <v>0</v>
      </c>
      <c r="J125" s="799">
        <f>SUMIF('Venture Summary - Mthly'!$E$7:$EG$7,J$7,'Venture Summary - Mthly'!$E130:$EG130)</f>
        <v>0</v>
      </c>
      <c r="K125" s="799">
        <f>SUMIF('Venture Summary - Mthly'!$E$7:$EG$7,K$7,'Venture Summary - Mthly'!$E130:$EG130)</f>
        <v>0</v>
      </c>
      <c r="L125" s="799">
        <f>SUMIF('Venture Summary - Mthly'!$E$7:$EG$7,L$7,'Venture Summary - Mthly'!$E130:$EG130)</f>
        <v>0</v>
      </c>
      <c r="M125" s="799">
        <f>SUMIF('Venture Summary - Mthly'!$E$7:$EG$7,M$7,'Venture Summary - Mthly'!$E130:$EG130)</f>
        <v>-57343611.907627545</v>
      </c>
      <c r="N125" s="799">
        <f>SUMIF('Venture Summary - Mthly'!$E$7:$EG$7,N$7,'Venture Summary - Mthly'!$E130:$EG130)</f>
        <v>0</v>
      </c>
      <c r="O125" s="799">
        <f>SUMIF('Venture Summary - Mthly'!$E$7:$EG$7,O$7,'Venture Summary - Mthly'!$E130:$EG130)</f>
        <v>0</v>
      </c>
      <c r="P125" s="799">
        <f>SUMIF('Venture Summary - Mthly'!$E$7:$EG$7,P$7,'Venture Summary - Mthly'!$E130:$EG130)</f>
        <v>0</v>
      </c>
      <c r="Q125" s="798"/>
    </row>
    <row r="126" spans="1:17" ht="12.75" customHeight="1" x14ac:dyDescent="0.3">
      <c r="A126" s="782"/>
      <c r="B126" s="782" t="s">
        <v>22</v>
      </c>
      <c r="C126" s="798">
        <f t="shared" si="16"/>
        <v>43394506.533111274</v>
      </c>
      <c r="D126" s="782"/>
      <c r="E126" s="798">
        <f>SUM(E118:E125,E115)</f>
        <v>0</v>
      </c>
      <c r="F126" s="798">
        <f t="shared" ref="F126:P126" si="17">SUM(F118:F125,F115)</f>
        <v>0</v>
      </c>
      <c r="G126" s="798">
        <f t="shared" si="17"/>
        <v>0</v>
      </c>
      <c r="H126" s="798">
        <f t="shared" si="17"/>
        <v>-46304585.771940082</v>
      </c>
      <c r="I126" s="798">
        <f t="shared" si="17"/>
        <v>3062338.1554618562</v>
      </c>
      <c r="J126" s="798">
        <f t="shared" si="17"/>
        <v>3251150.8045808882</v>
      </c>
      <c r="K126" s="798">
        <f t="shared" si="17"/>
        <v>3448331.9223091435</v>
      </c>
      <c r="L126" s="798">
        <f t="shared" si="17"/>
        <v>3684208.4667598489</v>
      </c>
      <c r="M126" s="798">
        <f t="shared" si="17"/>
        <v>76253062.955939621</v>
      </c>
      <c r="N126" s="798">
        <f t="shared" si="17"/>
        <v>0</v>
      </c>
      <c r="O126" s="798">
        <f t="shared" si="17"/>
        <v>0</v>
      </c>
      <c r="P126" s="798">
        <f t="shared" si="17"/>
        <v>0</v>
      </c>
      <c r="Q126" s="798"/>
    </row>
    <row r="127" spans="1:17" ht="12.75" customHeight="1" x14ac:dyDescent="0.3">
      <c r="A127" s="782"/>
      <c r="B127" s="800" t="s">
        <v>75</v>
      </c>
      <c r="C127" s="801">
        <f>'Venture Summary - Mthly'!C132</f>
        <v>0.14702246785163881</v>
      </c>
      <c r="D127" s="782"/>
      <c r="E127" s="782"/>
      <c r="F127" s="782"/>
      <c r="G127" s="782"/>
      <c r="H127" s="782"/>
      <c r="I127" s="782"/>
      <c r="J127" s="782"/>
      <c r="K127" s="782"/>
      <c r="L127" s="782"/>
      <c r="M127" s="782"/>
      <c r="N127" s="782"/>
      <c r="O127" s="782"/>
      <c r="P127" s="782"/>
      <c r="Q127" s="782"/>
    </row>
    <row r="128" spans="1:17" ht="12.75" customHeight="1" x14ac:dyDescent="0.3">
      <c r="A128" s="782"/>
      <c r="B128" s="782"/>
      <c r="C128" s="782"/>
      <c r="D128" s="782"/>
      <c r="E128" s="782"/>
      <c r="F128" s="782"/>
      <c r="G128" s="782"/>
      <c r="H128" s="782"/>
      <c r="I128" s="782"/>
      <c r="J128" s="782"/>
      <c r="K128" s="782"/>
      <c r="L128" s="782"/>
      <c r="M128" s="782"/>
      <c r="N128" s="782"/>
      <c r="O128" s="782"/>
      <c r="P128" s="782"/>
      <c r="Q128" s="782"/>
    </row>
    <row r="129" spans="1:17" ht="12.75" customHeight="1" x14ac:dyDescent="0.3">
      <c r="A129" s="782"/>
      <c r="B129" s="781" t="s">
        <v>24</v>
      </c>
      <c r="C129" s="799">
        <f>SUM(E129:O129)</f>
        <v>-2484102.266114579</v>
      </c>
      <c r="D129" s="781"/>
      <c r="E129" s="799">
        <f>SUMIF('Venture Summary - Mthly'!$E$7:$EG$7,E$7,'Venture Summary - Mthly'!$E134:$EG134)</f>
        <v>0</v>
      </c>
      <c r="F129" s="799">
        <f>SUMIF('Venture Summary - Mthly'!$E$7:$EG$7,F$7,'Venture Summary - Mthly'!$E134:$EG134)</f>
        <v>0</v>
      </c>
      <c r="G129" s="799">
        <f>SUMIF('Venture Summary - Mthly'!$E$7:$EG$7,G$7,'Venture Summary - Mthly'!$E134:$EG134)</f>
        <v>0</v>
      </c>
      <c r="H129" s="799">
        <f>SUMIF('Venture Summary - Mthly'!$E$7:$EG$7,H$7,'Venture Summary - Mthly'!$E134:$EG134)</f>
        <v>-139856.22317307256</v>
      </c>
      <c r="I129" s="799">
        <f>SUMIF('Venture Summary - Mthly'!$E$7:$EG$7,I$7,'Venture Summary - Mthly'!$E134:$EG134)</f>
        <v>-431614.7937272226</v>
      </c>
      <c r="J129" s="799">
        <f>SUMIF('Venture Summary - Mthly'!$E$7:$EG$7,J$7,'Venture Summary - Mthly'!$E134:$EG134)</f>
        <v>-448348.07265455829</v>
      </c>
      <c r="K129" s="799">
        <f>SUMIF('Venture Summary - Mthly'!$E$7:$EG$7,K$7,'Venture Summary - Mthly'!$E134:$EG134)</f>
        <v>-467410.11787337146</v>
      </c>
      <c r="L129" s="799">
        <f>SUMIF('Venture Summary - Mthly'!$E$7:$EG$7,L$7,'Venture Summary - Mthly'!$E134:$EG134)</f>
        <v>-487802.33196967375</v>
      </c>
      <c r="M129" s="799">
        <f>SUMIF('Venture Summary - Mthly'!$E$7:$EG$7,M$7,'Venture Summary - Mthly'!$E134:$EG134)</f>
        <v>-509070.72671668057</v>
      </c>
      <c r="N129" s="799">
        <f>SUMIF('Venture Summary - Mthly'!$E$7:$EG$7,N$7,'Venture Summary - Mthly'!$E134:$EG134)</f>
        <v>0</v>
      </c>
      <c r="O129" s="799">
        <f>SUMIF('Venture Summary - Mthly'!$E$7:$EG$7,O$7,'Venture Summary - Mthly'!$E134:$EG134)</f>
        <v>0</v>
      </c>
      <c r="P129" s="799">
        <f>SUMIF('Venture Summary - Mthly'!$E$7:$EG$7,P$7,'Venture Summary - Mthly'!$E134:$EG134)</f>
        <v>0</v>
      </c>
      <c r="Q129" s="798"/>
    </row>
    <row r="130" spans="1:17" ht="12.75" customHeight="1" x14ac:dyDescent="0.3">
      <c r="A130" s="782"/>
      <c r="B130" s="782" t="s">
        <v>25</v>
      </c>
      <c r="C130" s="798">
        <f>SUM(E130:O130)</f>
        <v>40910404.266996697</v>
      </c>
      <c r="D130" s="782"/>
      <c r="E130" s="798">
        <f>SUM(E129,E126)</f>
        <v>0</v>
      </c>
      <c r="F130" s="798">
        <f t="shared" ref="F130:P130" si="18">SUM(F129,F126)</f>
        <v>0</v>
      </c>
      <c r="G130" s="798">
        <f t="shared" si="18"/>
        <v>0</v>
      </c>
      <c r="H130" s="798">
        <f t="shared" si="18"/>
        <v>-46444441.995113157</v>
      </c>
      <c r="I130" s="798">
        <f t="shared" si="18"/>
        <v>2630723.3617346333</v>
      </c>
      <c r="J130" s="798">
        <f t="shared" si="18"/>
        <v>2802802.7319263299</v>
      </c>
      <c r="K130" s="798">
        <f t="shared" si="18"/>
        <v>2980921.8044357719</v>
      </c>
      <c r="L130" s="798">
        <f t="shared" si="18"/>
        <v>3196406.1347901751</v>
      </c>
      <c r="M130" s="798">
        <f t="shared" si="18"/>
        <v>75743992.229222938</v>
      </c>
      <c r="N130" s="798">
        <f t="shared" si="18"/>
        <v>0</v>
      </c>
      <c r="O130" s="798">
        <f t="shared" si="18"/>
        <v>0</v>
      </c>
      <c r="P130" s="798">
        <f t="shared" si="18"/>
        <v>0</v>
      </c>
      <c r="Q130" s="798"/>
    </row>
    <row r="131" spans="1:17" ht="12.75" customHeight="1" x14ac:dyDescent="0.3">
      <c r="A131" s="782"/>
      <c r="B131" s="800" t="s">
        <v>76</v>
      </c>
      <c r="C131" s="1147">
        <f>'Venture Summary - Mthly'!C136</f>
        <v>0.13801112771034243</v>
      </c>
      <c r="D131" s="782"/>
      <c r="E131" s="782"/>
      <c r="F131" s="782"/>
      <c r="G131" s="782"/>
      <c r="H131" s="782"/>
      <c r="I131" s="782"/>
      <c r="J131" s="782"/>
      <c r="K131" s="782"/>
      <c r="L131" s="782"/>
      <c r="M131" s="782"/>
      <c r="N131" s="782"/>
      <c r="O131" s="782"/>
      <c r="P131" s="782"/>
      <c r="Q131" s="782"/>
    </row>
    <row r="132" spans="1:17" ht="12.75" customHeight="1" x14ac:dyDescent="0.3">
      <c r="A132" s="782"/>
      <c r="B132" s="782"/>
      <c r="C132" s="782"/>
      <c r="D132" s="782"/>
      <c r="E132" s="782"/>
      <c r="F132" s="782"/>
      <c r="G132" s="782"/>
      <c r="H132" s="782"/>
      <c r="I132" s="782"/>
      <c r="J132" s="782"/>
      <c r="K132" s="782"/>
      <c r="L132" s="782"/>
      <c r="M132" s="782"/>
      <c r="N132" s="782"/>
      <c r="O132" s="782"/>
      <c r="P132" s="782"/>
      <c r="Q132" s="782"/>
    </row>
    <row r="133" spans="1:17" ht="12.75" customHeight="1" x14ac:dyDescent="0.3">
      <c r="A133" s="782"/>
      <c r="B133" s="793" t="s">
        <v>77</v>
      </c>
      <c r="C133" s="794"/>
      <c r="D133" s="794"/>
      <c r="E133" s="794"/>
      <c r="F133" s="794"/>
      <c r="G133" s="794"/>
      <c r="H133" s="794"/>
      <c r="I133" s="794"/>
      <c r="J133" s="794"/>
      <c r="K133" s="794"/>
      <c r="L133" s="794"/>
      <c r="M133" s="794"/>
      <c r="N133" s="794"/>
      <c r="O133" s="794"/>
      <c r="P133" s="794"/>
      <c r="Q133" s="794"/>
    </row>
    <row r="134" spans="1:17" ht="12.75" customHeight="1" x14ac:dyDescent="0.3">
      <c r="A134" s="782"/>
      <c r="B134" s="782"/>
      <c r="C134" s="798"/>
      <c r="D134" s="782"/>
      <c r="E134" s="798"/>
      <c r="F134" s="798"/>
      <c r="G134" s="798"/>
      <c r="H134" s="798"/>
      <c r="I134" s="798"/>
      <c r="J134" s="798"/>
      <c r="K134" s="798"/>
      <c r="L134" s="798"/>
      <c r="M134" s="798"/>
      <c r="N134" s="798"/>
      <c r="O134" s="798"/>
      <c r="P134" s="798"/>
      <c r="Q134" s="798"/>
    </row>
    <row r="135" spans="1:17" ht="12.75" customHeight="1" x14ac:dyDescent="0.3">
      <c r="A135" s="782"/>
      <c r="B135" s="782" t="s">
        <v>78</v>
      </c>
      <c r="C135" s="792">
        <f>'Venture Summary - Mthly'!C140</f>
        <v>45169</v>
      </c>
      <c r="D135" s="782"/>
      <c r="E135" s="798"/>
      <c r="F135" s="798"/>
      <c r="G135" s="798"/>
      <c r="H135" s="798"/>
      <c r="I135" s="798"/>
      <c r="J135" s="798"/>
      <c r="K135" s="798"/>
      <c r="L135" s="798"/>
      <c r="M135" s="798"/>
      <c r="N135" s="798"/>
      <c r="O135" s="798"/>
      <c r="P135" s="798"/>
      <c r="Q135" s="798"/>
    </row>
    <row r="136" spans="1:17" ht="12.75" customHeight="1" x14ac:dyDescent="0.3">
      <c r="A136" s="782"/>
      <c r="B136" s="782" t="s">
        <v>79</v>
      </c>
      <c r="C136" s="810">
        <f>'Venture Summary - Mthly'!C141</f>
        <v>0</v>
      </c>
      <c r="D136" s="782"/>
      <c r="E136" s="798"/>
      <c r="F136" s="798"/>
      <c r="G136" s="798"/>
      <c r="H136" s="798"/>
      <c r="I136" s="798"/>
      <c r="J136" s="798"/>
      <c r="K136" s="798"/>
      <c r="L136" s="798"/>
      <c r="M136" s="798"/>
      <c r="N136" s="798"/>
      <c r="O136" s="798"/>
      <c r="P136" s="798"/>
      <c r="Q136" s="798"/>
    </row>
    <row r="137" spans="1:17" ht="12.75" customHeight="1" x14ac:dyDescent="0.3">
      <c r="A137" s="782"/>
      <c r="B137" s="782" t="s">
        <v>80</v>
      </c>
      <c r="C137" s="797">
        <f>'Venture Summary - Mthly'!C142</f>
        <v>45169</v>
      </c>
      <c r="D137" s="782"/>
      <c r="E137" s="798"/>
      <c r="F137" s="798"/>
      <c r="G137" s="798"/>
      <c r="H137" s="798"/>
      <c r="I137" s="798"/>
      <c r="J137" s="798"/>
      <c r="K137" s="798"/>
      <c r="L137" s="798"/>
      <c r="M137" s="798"/>
      <c r="N137" s="798"/>
      <c r="O137" s="798"/>
      <c r="P137" s="798"/>
      <c r="Q137" s="798"/>
    </row>
    <row r="138" spans="1:17" ht="12.75" customHeight="1" x14ac:dyDescent="0.3">
      <c r="A138" s="782"/>
      <c r="B138" s="782"/>
      <c r="C138" s="798"/>
      <c r="D138" s="782"/>
      <c r="E138" s="798"/>
      <c r="F138" s="798"/>
      <c r="G138" s="798"/>
      <c r="H138" s="798"/>
      <c r="I138" s="798"/>
      <c r="J138" s="798"/>
      <c r="K138" s="798"/>
      <c r="L138" s="798"/>
      <c r="M138" s="798"/>
      <c r="N138" s="798"/>
      <c r="O138" s="798"/>
      <c r="P138" s="798"/>
      <c r="Q138" s="798"/>
    </row>
    <row r="139" spans="1:17" ht="12.75" customHeight="1" x14ac:dyDescent="0.3">
      <c r="A139" s="782"/>
      <c r="B139" s="782" t="s">
        <v>81</v>
      </c>
      <c r="C139" s="798">
        <f t="shared" ref="C139:C145" si="19">SUM(E139:O139)</f>
        <v>-77959624.342178494</v>
      </c>
      <c r="D139" s="782"/>
      <c r="E139" s="1148">
        <f>SUMIF('Venture Summary - Mthly'!$E$7:$EG$7,E$7,'Venture Summary - Mthly'!$E144:$EG144)</f>
        <v>-1872006.9504114862</v>
      </c>
      <c r="F139" s="1148">
        <f>SUMIF('Venture Summary - Mthly'!$E$7:$EG$7,F$7,'Venture Summary - Mthly'!$E144:$EG144)</f>
        <v>-42943023.867253818</v>
      </c>
      <c r="G139" s="1148">
        <f>SUMIF('Venture Summary - Mthly'!$E$7:$EG$7,G$7,'Venture Summary - Mthly'!$E144:$EG144)</f>
        <v>-32466889.240295846</v>
      </c>
      <c r="H139" s="1148">
        <f>SUMIF('Venture Summary - Mthly'!$E$7:$EG$7,H$7,'Venture Summary - Mthly'!$E144:$EG144)</f>
        <v>-677704.28421734134</v>
      </c>
      <c r="I139" s="1148">
        <f>SUMIF('Venture Summary - Mthly'!$E$7:$EG$7,I$7,'Venture Summary - Mthly'!$E144:$EG144)</f>
        <v>0</v>
      </c>
      <c r="J139" s="1148">
        <f>SUMIF('Venture Summary - Mthly'!$E$7:$EG$7,J$7,'Venture Summary - Mthly'!$E144:$EG144)</f>
        <v>0</v>
      </c>
      <c r="K139" s="1148">
        <f>SUMIF('Venture Summary - Mthly'!$E$7:$EG$7,K$7,'Venture Summary - Mthly'!$E144:$EG144)</f>
        <v>0</v>
      </c>
      <c r="L139" s="1148">
        <f>SUMIF('Venture Summary - Mthly'!$E$7:$EG$7,L$7,'Venture Summary - Mthly'!$E144:$EG144)</f>
        <v>0</v>
      </c>
      <c r="M139" s="1148">
        <f>SUMIF('Venture Summary - Mthly'!$E$7:$EG$7,M$7,'Venture Summary - Mthly'!$E144:$EG144)</f>
        <v>0</v>
      </c>
      <c r="N139" s="1148">
        <f>SUMIF('Venture Summary - Mthly'!$E$7:$EG$7,N$7,'Venture Summary - Mthly'!$E144:$EG144)</f>
        <v>0</v>
      </c>
      <c r="O139" s="1148">
        <f>SUMIF('Venture Summary - Mthly'!$E$7:$EG$7,O$7,'Venture Summary - Mthly'!$E144:$EG144)</f>
        <v>0</v>
      </c>
      <c r="P139" s="1148">
        <f>SUMIF('Venture Summary - Mthly'!$E$7:$EG$7,P$7,'Venture Summary - Mthly'!$E144:$EG144)</f>
        <v>0</v>
      </c>
      <c r="Q139" s="1148"/>
    </row>
    <row r="140" spans="1:17" ht="12.75" customHeight="1" x14ac:dyDescent="0.3">
      <c r="A140" s="782"/>
      <c r="B140" s="782" t="s">
        <v>82</v>
      </c>
      <c r="C140" s="798">
        <f t="shared" si="19"/>
        <v>9092959.6243421789</v>
      </c>
      <c r="D140" s="782"/>
      <c r="E140" s="1149">
        <f>SUMIF('Venture Summary - Mthly'!$E$7:$EG$7,E$7,'Venture Summary - Mthly'!$E145:$EG145)</f>
        <v>0</v>
      </c>
      <c r="F140" s="1149">
        <f>SUMIF('Venture Summary - Mthly'!$E$7:$EG$7,F$7,'Venture Summary - Mthly'!$E145:$EG145)</f>
        <v>9092959.6243421789</v>
      </c>
      <c r="G140" s="1149">
        <f>SUMIF('Venture Summary - Mthly'!$E$7:$EG$7,G$7,'Venture Summary - Mthly'!$E145:$EG145)</f>
        <v>0</v>
      </c>
      <c r="H140" s="1149">
        <f>SUMIF('Venture Summary - Mthly'!$E$7:$EG$7,H$7,'Venture Summary - Mthly'!$E145:$EG145)</f>
        <v>0</v>
      </c>
      <c r="I140" s="1149">
        <f>SUMIF('Venture Summary - Mthly'!$E$7:$EG$7,I$7,'Venture Summary - Mthly'!$E145:$EG145)</f>
        <v>0</v>
      </c>
      <c r="J140" s="1149">
        <f>SUMIF('Venture Summary - Mthly'!$E$7:$EG$7,J$7,'Venture Summary - Mthly'!$E145:$EG145)</f>
        <v>0</v>
      </c>
      <c r="K140" s="1149">
        <f>SUMIF('Venture Summary - Mthly'!$E$7:$EG$7,K$7,'Venture Summary - Mthly'!$E145:$EG145)</f>
        <v>0</v>
      </c>
      <c r="L140" s="1149">
        <f>SUMIF('Venture Summary - Mthly'!$E$7:$EG$7,L$7,'Venture Summary - Mthly'!$E145:$EG145)</f>
        <v>0</v>
      </c>
      <c r="M140" s="1149">
        <f>SUMIF('Venture Summary - Mthly'!$E$7:$EG$7,M$7,'Venture Summary - Mthly'!$E145:$EG145)</f>
        <v>0</v>
      </c>
      <c r="N140" s="1149">
        <f>SUMIF('Venture Summary - Mthly'!$E$7:$EG$7,N$7,'Venture Summary - Mthly'!$E145:$EG145)</f>
        <v>0</v>
      </c>
      <c r="O140" s="1149">
        <f>SUMIF('Venture Summary - Mthly'!$E$7:$EG$7,O$7,'Venture Summary - Mthly'!$E145:$EG145)</f>
        <v>0</v>
      </c>
      <c r="P140" s="1149">
        <f>SUMIF('Venture Summary - Mthly'!$E$7:$EG$7,P$7,'Venture Summary - Mthly'!$E145:$EG145)</f>
        <v>0</v>
      </c>
      <c r="Q140" s="1149"/>
    </row>
    <row r="141" spans="1:17" ht="12.75" customHeight="1" x14ac:dyDescent="0.3">
      <c r="A141" s="782"/>
      <c r="B141" s="782" t="s">
        <v>83</v>
      </c>
      <c r="C141" s="798">
        <f t="shared" si="19"/>
        <v>896583.45041148621</v>
      </c>
      <c r="D141" s="782"/>
      <c r="E141" s="798">
        <f>SUMIF('Venture Summary - Mthly'!$E$7:$EG$7,E$7,'Venture Summary - Mthly'!$E146:$EG146)</f>
        <v>821583.45041148621</v>
      </c>
      <c r="F141" s="798">
        <f>SUMIF('Venture Summary - Mthly'!$E$7:$EG$7,F$7,'Venture Summary - Mthly'!$E146:$EG146)</f>
        <v>36000</v>
      </c>
      <c r="G141" s="798">
        <f>SUMIF('Venture Summary - Mthly'!$E$7:$EG$7,G$7,'Venture Summary - Mthly'!$E146:$EG146)</f>
        <v>36000</v>
      </c>
      <c r="H141" s="798">
        <f>SUMIF('Venture Summary - Mthly'!$E$7:$EG$7,H$7,'Venture Summary - Mthly'!$E146:$EG146)</f>
        <v>3000</v>
      </c>
      <c r="I141" s="798">
        <f>SUMIF('Venture Summary - Mthly'!$E$7:$EG$7,I$7,'Venture Summary - Mthly'!$E146:$EG146)</f>
        <v>0</v>
      </c>
      <c r="J141" s="798">
        <f>SUMIF('Venture Summary - Mthly'!$E$7:$EG$7,J$7,'Venture Summary - Mthly'!$E146:$EG146)</f>
        <v>0</v>
      </c>
      <c r="K141" s="798">
        <f>SUMIF('Venture Summary - Mthly'!$E$7:$EG$7,K$7,'Venture Summary - Mthly'!$E146:$EG146)</f>
        <v>0</v>
      </c>
      <c r="L141" s="798">
        <f>SUMIF('Venture Summary - Mthly'!$E$7:$EG$7,L$7,'Venture Summary - Mthly'!$E146:$EG146)</f>
        <v>0</v>
      </c>
      <c r="M141" s="798">
        <f>SUMIF('Venture Summary - Mthly'!$E$7:$EG$7,M$7,'Venture Summary - Mthly'!$E146:$EG146)</f>
        <v>0</v>
      </c>
      <c r="N141" s="798">
        <f>SUMIF('Venture Summary - Mthly'!$E$7:$EG$7,N$7,'Venture Summary - Mthly'!$E146:$EG146)</f>
        <v>0</v>
      </c>
      <c r="O141" s="798">
        <f>SUMIF('Venture Summary - Mthly'!$E$7:$EG$7,O$7,'Venture Summary - Mthly'!$E146:$EG146)</f>
        <v>0</v>
      </c>
      <c r="P141" s="798">
        <f>SUMIF('Venture Summary - Mthly'!$E$7:$EG$7,P$7,'Venture Summary - Mthly'!$E146:$EG146)</f>
        <v>0</v>
      </c>
      <c r="Q141" s="798"/>
    </row>
    <row r="142" spans="1:17" ht="12.75" customHeight="1" x14ac:dyDescent="0.3">
      <c r="A142" s="782"/>
      <c r="B142" s="782" t="s">
        <v>84</v>
      </c>
      <c r="C142" s="798">
        <f t="shared" si="19"/>
        <v>1086262.1410115552</v>
      </c>
      <c r="D142" s="782"/>
      <c r="E142" s="798">
        <f>SUMIF('Venture Summary - Mthly'!$E$7:$EG$7,E$7,'Venture Summary - Mthly'!$E147:$EG147)</f>
        <v>0</v>
      </c>
      <c r="F142" s="798">
        <f>SUMIF('Venture Summary - Mthly'!$E$7:$EG$7,F$7,'Venture Summary - Mthly'!$E147:$EG147)</f>
        <v>40131.847345416674</v>
      </c>
      <c r="G142" s="798">
        <f>SUMIF('Venture Summary - Mthly'!$E$7:$EG$7,G$7,'Venture Summary - Mthly'!$E147:$EG147)</f>
        <v>1046130.2936661385</v>
      </c>
      <c r="H142" s="798">
        <f>SUMIF('Venture Summary - Mthly'!$E$7:$EG$7,H$7,'Venture Summary - Mthly'!$E147:$EG147)</f>
        <v>0</v>
      </c>
      <c r="I142" s="798">
        <f>SUMIF('Venture Summary - Mthly'!$E$7:$EG$7,I$7,'Venture Summary - Mthly'!$E147:$EG147)</f>
        <v>0</v>
      </c>
      <c r="J142" s="798">
        <f>SUMIF('Venture Summary - Mthly'!$E$7:$EG$7,J$7,'Venture Summary - Mthly'!$E147:$EG147)</f>
        <v>0</v>
      </c>
      <c r="K142" s="798">
        <f>SUMIF('Venture Summary - Mthly'!$E$7:$EG$7,K$7,'Venture Summary - Mthly'!$E147:$EG147)</f>
        <v>0</v>
      </c>
      <c r="L142" s="798">
        <f>SUMIF('Venture Summary - Mthly'!$E$7:$EG$7,L$7,'Venture Summary - Mthly'!$E147:$EG147)</f>
        <v>0</v>
      </c>
      <c r="M142" s="798">
        <f>SUMIF('Venture Summary - Mthly'!$E$7:$EG$7,M$7,'Venture Summary - Mthly'!$E147:$EG147)</f>
        <v>0</v>
      </c>
      <c r="N142" s="798">
        <f>SUMIF('Venture Summary - Mthly'!$E$7:$EG$7,N$7,'Venture Summary - Mthly'!$E147:$EG147)</f>
        <v>0</v>
      </c>
      <c r="O142" s="798">
        <f>SUMIF('Venture Summary - Mthly'!$E$7:$EG$7,O$7,'Venture Summary - Mthly'!$E147:$EG147)</f>
        <v>0</v>
      </c>
      <c r="P142" s="798">
        <f>SUMIF('Venture Summary - Mthly'!$E$7:$EG$7,P$7,'Venture Summary - Mthly'!$E147:$EG147)</f>
        <v>0</v>
      </c>
      <c r="Q142" s="798"/>
    </row>
    <row r="143" spans="1:17" ht="12.75" customHeight="1" x14ac:dyDescent="0.3">
      <c r="A143" s="782"/>
      <c r="B143" s="782" t="s">
        <v>85</v>
      </c>
      <c r="C143" s="798">
        <f t="shared" si="19"/>
        <v>329080.53404430853</v>
      </c>
      <c r="D143" s="782"/>
      <c r="E143" s="798">
        <f>SUMIF('Venture Summary - Mthly'!$E$7:$EG$7,E$7,'Venture Summary - Mthly'!$E148:$EG148)</f>
        <v>0</v>
      </c>
      <c r="F143" s="798">
        <f>SUMIF('Venture Summary - Mthly'!$E$7:$EG$7,F$7,'Venture Summary - Mthly'!$E148:$EG148)</f>
        <v>0</v>
      </c>
      <c r="G143" s="798">
        <f>SUMIF('Venture Summary - Mthly'!$E$7:$EG$7,G$7,'Venture Summary - Mthly'!$E148:$EG148)</f>
        <v>329080.53404430853</v>
      </c>
      <c r="H143" s="798">
        <f>SUMIF('Venture Summary - Mthly'!$E$7:$EG$7,H$7,'Venture Summary - Mthly'!$E148:$EG148)</f>
        <v>0</v>
      </c>
      <c r="I143" s="798">
        <f>SUMIF('Venture Summary - Mthly'!$E$7:$EG$7,I$7,'Venture Summary - Mthly'!$E148:$EG148)</f>
        <v>0</v>
      </c>
      <c r="J143" s="798">
        <f>SUMIF('Venture Summary - Mthly'!$E$7:$EG$7,J$7,'Venture Summary - Mthly'!$E148:$EG148)</f>
        <v>0</v>
      </c>
      <c r="K143" s="798">
        <f>SUMIF('Venture Summary - Mthly'!$E$7:$EG$7,K$7,'Venture Summary - Mthly'!$E148:$EG148)</f>
        <v>0</v>
      </c>
      <c r="L143" s="798">
        <f>SUMIF('Venture Summary - Mthly'!$E$7:$EG$7,L$7,'Venture Summary - Mthly'!$E148:$EG148)</f>
        <v>0</v>
      </c>
      <c r="M143" s="798">
        <f>SUMIF('Venture Summary - Mthly'!$E$7:$EG$7,M$7,'Venture Summary - Mthly'!$E148:$EG148)</f>
        <v>0</v>
      </c>
      <c r="N143" s="798">
        <f>SUMIF('Venture Summary - Mthly'!$E$7:$EG$7,N$7,'Venture Summary - Mthly'!$E148:$EG148)</f>
        <v>0</v>
      </c>
      <c r="O143" s="798">
        <f>SUMIF('Venture Summary - Mthly'!$E$7:$EG$7,O$7,'Venture Summary - Mthly'!$E148:$EG148)</f>
        <v>0</v>
      </c>
      <c r="P143" s="798">
        <f>SUMIF('Venture Summary - Mthly'!$E$7:$EG$7,P$7,'Venture Summary - Mthly'!$E148:$EG148)</f>
        <v>0</v>
      </c>
      <c r="Q143" s="798"/>
    </row>
    <row r="144" spans="1:17" ht="12.75" customHeight="1" x14ac:dyDescent="0.3">
      <c r="A144" s="782"/>
      <c r="B144" s="781" t="s">
        <v>86</v>
      </c>
      <c r="C144" s="799">
        <f t="shared" si="19"/>
        <v>2658062.4746991722</v>
      </c>
      <c r="D144" s="781"/>
      <c r="E144" s="799">
        <f>SUMIF('Venture Summary - Mthly'!$E$7:$EG$7,E$7,'Venture Summary - Mthly'!$E149:$EG149)</f>
        <v>0</v>
      </c>
      <c r="F144" s="799">
        <f>SUMIF('Venture Summary - Mthly'!$E$7:$EG$7,F$7,'Venture Summary - Mthly'!$E149:$EG149)</f>
        <v>1275869.9878556028</v>
      </c>
      <c r="G144" s="799">
        <f>SUMIF('Venture Summary - Mthly'!$E$7:$EG$7,G$7,'Venture Summary - Mthly'!$E149:$EG149)</f>
        <v>1275869.9878556028</v>
      </c>
      <c r="H144" s="799">
        <f>SUMIF('Venture Summary - Mthly'!$E$7:$EG$7,H$7,'Venture Summary - Mthly'!$E149:$EG149)</f>
        <v>106322.4989879669</v>
      </c>
      <c r="I144" s="799">
        <f>SUMIF('Venture Summary - Mthly'!$E$7:$EG$7,I$7,'Venture Summary - Mthly'!$E149:$EG149)</f>
        <v>0</v>
      </c>
      <c r="J144" s="799">
        <f>SUMIF('Venture Summary - Mthly'!$E$7:$EG$7,J$7,'Venture Summary - Mthly'!$E149:$EG149)</f>
        <v>0</v>
      </c>
      <c r="K144" s="799">
        <f>SUMIF('Venture Summary - Mthly'!$E$7:$EG$7,K$7,'Venture Summary - Mthly'!$E149:$EG149)</f>
        <v>0</v>
      </c>
      <c r="L144" s="799">
        <f>SUMIF('Venture Summary - Mthly'!$E$7:$EG$7,L$7,'Venture Summary - Mthly'!$E149:$EG149)</f>
        <v>0</v>
      </c>
      <c r="M144" s="799">
        <f>SUMIF('Venture Summary - Mthly'!$E$7:$EG$7,M$7,'Venture Summary - Mthly'!$E149:$EG149)</f>
        <v>0</v>
      </c>
      <c r="N144" s="799">
        <f>SUMIF('Venture Summary - Mthly'!$E$7:$EG$7,N$7,'Venture Summary - Mthly'!$E149:$EG149)</f>
        <v>0</v>
      </c>
      <c r="O144" s="799">
        <f>SUMIF('Venture Summary - Mthly'!$E$7:$EG$7,O$7,'Venture Summary - Mthly'!$E149:$EG149)</f>
        <v>0</v>
      </c>
      <c r="P144" s="799">
        <f>SUMIF('Venture Summary - Mthly'!$E$7:$EG$7,P$7,'Venture Summary - Mthly'!$E149:$EG149)</f>
        <v>0</v>
      </c>
      <c r="Q144" s="798"/>
    </row>
    <row r="145" spans="1:17" ht="12.75" customHeight="1" x14ac:dyDescent="0.3">
      <c r="A145" s="782"/>
      <c r="B145" s="782" t="s">
        <v>87</v>
      </c>
      <c r="C145" s="798">
        <f t="shared" si="19"/>
        <v>-63896676.117669791</v>
      </c>
      <c r="D145" s="782"/>
      <c r="E145" s="798">
        <f>SUM(E139:E144)</f>
        <v>-1050423.5</v>
      </c>
      <c r="F145" s="798">
        <f>SUM(F139:F144)</f>
        <v>-32498062.407710616</v>
      </c>
      <c r="G145" s="798">
        <f>SUM(G139:G144)</f>
        <v>-29779808.424729798</v>
      </c>
      <c r="H145" s="798">
        <f t="shared" ref="H145:P145" si="20">SUM(H139:H144)</f>
        <v>-568381.78522937442</v>
      </c>
      <c r="I145" s="798">
        <f t="shared" si="20"/>
        <v>0</v>
      </c>
      <c r="J145" s="798">
        <f t="shared" si="20"/>
        <v>0</v>
      </c>
      <c r="K145" s="798">
        <f t="shared" si="20"/>
        <v>0</v>
      </c>
      <c r="L145" s="798">
        <f t="shared" si="20"/>
        <v>0</v>
      </c>
      <c r="M145" s="798">
        <f t="shared" si="20"/>
        <v>0</v>
      </c>
      <c r="N145" s="798">
        <f t="shared" si="20"/>
        <v>0</v>
      </c>
      <c r="O145" s="798">
        <f t="shared" si="20"/>
        <v>0</v>
      </c>
      <c r="P145" s="798">
        <f t="shared" si="20"/>
        <v>0</v>
      </c>
      <c r="Q145" s="798"/>
    </row>
    <row r="146" spans="1:17" ht="12.75" customHeight="1" x14ac:dyDescent="0.3">
      <c r="A146" s="782"/>
      <c r="B146" s="782"/>
      <c r="C146" s="798"/>
      <c r="D146" s="782"/>
      <c r="E146" s="798"/>
      <c r="F146" s="798"/>
      <c r="G146" s="798"/>
      <c r="H146" s="798"/>
      <c r="I146" s="798"/>
      <c r="J146" s="798"/>
      <c r="K146" s="798"/>
      <c r="L146" s="798"/>
      <c r="M146" s="798"/>
      <c r="N146" s="798"/>
      <c r="O146" s="798"/>
      <c r="P146" s="798"/>
      <c r="Q146" s="798"/>
    </row>
    <row r="147" spans="1:17" ht="12.75" customHeight="1" x14ac:dyDescent="0.3">
      <c r="A147" s="782"/>
      <c r="B147" s="782" t="s">
        <v>88</v>
      </c>
      <c r="C147" s="798"/>
      <c r="D147" s="782"/>
      <c r="E147" s="798">
        <f>-SUM($E$139:E139,$E$144:E144)</f>
        <v>1872006.9504114862</v>
      </c>
      <c r="F147" s="798">
        <f>-SUM($E$139:F139,$E$144:F144)</f>
        <v>43539160.829809695</v>
      </c>
      <c r="G147" s="798">
        <f>-SUM($E$139:G139,$E$144:G144)</f>
        <v>74730180.082249954</v>
      </c>
      <c r="H147" s="798">
        <f>-SUM($E$139:H139,$E$144:H144)</f>
        <v>75301561.867479324</v>
      </c>
      <c r="I147" s="798">
        <f>-SUM($E$139:I139,$E$144:I144)</f>
        <v>75301561.867479324</v>
      </c>
      <c r="J147" s="798">
        <f>-SUM($E$139:J139,$E$144:J144)</f>
        <v>75301561.867479324</v>
      </c>
      <c r="K147" s="798">
        <f>-SUM($E$139:K139,$E$144:K144)</f>
        <v>75301561.867479324</v>
      </c>
      <c r="L147" s="798">
        <f>-SUM($E$139:L139,$E$144:L144)</f>
        <v>75301561.867479324</v>
      </c>
      <c r="M147" s="798">
        <f>-SUM($E$139:M139,$E$144:M144)</f>
        <v>75301561.867479324</v>
      </c>
      <c r="N147" s="798">
        <f>-SUM($E$139:N139,$E$144:N144)</f>
        <v>75301561.867479324</v>
      </c>
      <c r="O147" s="798">
        <f>-SUM($E$139:O139,$E$144:O144)</f>
        <v>75301561.867479324</v>
      </c>
      <c r="P147" s="798">
        <f>-SUM($E$139:P139,$E$144:P144)</f>
        <v>75301561.867479324</v>
      </c>
      <c r="Q147" s="798"/>
    </row>
    <row r="148" spans="1:17" ht="12.75" customHeight="1" x14ac:dyDescent="0.3">
      <c r="A148" s="782"/>
      <c r="B148" s="782"/>
      <c r="C148" s="798"/>
      <c r="D148" s="782"/>
      <c r="E148" s="798"/>
      <c r="F148" s="798"/>
      <c r="G148" s="798"/>
      <c r="H148" s="798"/>
      <c r="I148" s="798"/>
      <c r="J148" s="798"/>
      <c r="K148" s="798"/>
      <c r="L148" s="798"/>
      <c r="M148" s="798"/>
      <c r="N148" s="798"/>
      <c r="O148" s="798"/>
      <c r="P148" s="798"/>
      <c r="Q148" s="798"/>
    </row>
    <row r="149" spans="1:17" ht="12.75" customHeight="1" x14ac:dyDescent="0.3">
      <c r="A149" s="782"/>
      <c r="B149" s="793" t="s">
        <v>89</v>
      </c>
      <c r="C149" s="794"/>
      <c r="D149" s="794"/>
      <c r="E149" s="794"/>
      <c r="F149" s="794"/>
      <c r="G149" s="794"/>
      <c r="H149" s="794"/>
      <c r="I149" s="794"/>
      <c r="J149" s="794"/>
      <c r="K149" s="794"/>
      <c r="L149" s="794"/>
      <c r="M149" s="794"/>
      <c r="N149" s="794"/>
      <c r="O149" s="794"/>
      <c r="P149" s="794"/>
      <c r="Q149" s="794"/>
    </row>
    <row r="150" spans="1:17" ht="12.75" customHeight="1" x14ac:dyDescent="0.3">
      <c r="A150" s="782"/>
      <c r="B150" s="782"/>
      <c r="C150" s="782"/>
      <c r="D150" s="782"/>
      <c r="E150" s="782"/>
      <c r="F150" s="782"/>
      <c r="G150" s="782"/>
      <c r="H150" s="782"/>
      <c r="I150" s="782"/>
      <c r="J150" s="782"/>
      <c r="K150" s="782"/>
      <c r="L150" s="782"/>
      <c r="M150" s="782"/>
      <c r="N150" s="782"/>
      <c r="O150" s="782"/>
      <c r="P150" s="782"/>
      <c r="Q150" s="782"/>
    </row>
    <row r="151" spans="1:17" ht="12.75" customHeight="1" x14ac:dyDescent="0.3">
      <c r="A151" s="782"/>
      <c r="B151" s="782" t="s">
        <v>90</v>
      </c>
      <c r="C151" s="1150">
        <f>'Venture Summary - Mthly'!C156</f>
        <v>256</v>
      </c>
      <c r="D151" s="782"/>
      <c r="E151" s="798">
        <f>INDEX('Venture Summary - Mthly'!$E156:$EG156,MATCH(E$5,'Venture Summary - Mthly'!$E$5:$EG$5,0))</f>
        <v>0</v>
      </c>
      <c r="F151" s="798">
        <f>INDEX('Venture Summary - Mthly'!$E156:$EG156,MATCH(F$5,'Venture Summary - Mthly'!$E$5:$EG$5,0))</f>
        <v>0</v>
      </c>
      <c r="G151" s="798">
        <f>INDEX('Venture Summary - Mthly'!$E156:$EG156,MATCH(G$5,'Venture Summary - Mthly'!$E$5:$EG$5,0))</f>
        <v>234.66666666666669</v>
      </c>
      <c r="H151" s="798">
        <f>INDEX('Venture Summary - Mthly'!$E156:$EG156,MATCH(H$5,'Venture Summary - Mthly'!$E$5:$EG$5,0))</f>
        <v>256</v>
      </c>
      <c r="I151" s="798">
        <f>INDEX('Venture Summary - Mthly'!$E156:$EG156,MATCH(I$5,'Venture Summary - Mthly'!$E$5:$EG$5,0))</f>
        <v>256</v>
      </c>
      <c r="J151" s="798">
        <f>INDEX('Venture Summary - Mthly'!$E156:$EG156,MATCH(J$5,'Venture Summary - Mthly'!$E$5:$EG$5,0))</f>
        <v>256</v>
      </c>
      <c r="K151" s="798">
        <f>INDEX('Venture Summary - Mthly'!$E156:$EG156,MATCH(K$5,'Venture Summary - Mthly'!$E$5:$EG$5,0))</f>
        <v>256</v>
      </c>
      <c r="L151" s="798">
        <f>INDEX('Venture Summary - Mthly'!$E156:$EG156,MATCH(L$5,'Venture Summary - Mthly'!$E$5:$EG$5,0))</f>
        <v>256</v>
      </c>
      <c r="M151" s="798">
        <f>INDEX('Venture Summary - Mthly'!$E156:$EG156,MATCH(M$5,'Venture Summary - Mthly'!$E$5:$EG$5,0))</f>
        <v>256</v>
      </c>
      <c r="N151" s="798">
        <f>INDEX('Venture Summary - Mthly'!$E156:$EG156,MATCH(N$5,'Venture Summary - Mthly'!$E$5:$EG$5,0))</f>
        <v>256</v>
      </c>
      <c r="O151" s="798">
        <f>INDEX('Venture Summary - Mthly'!$E156:$EG156,MATCH(O$5,'Venture Summary - Mthly'!$E$5:$EG$5,0))</f>
        <v>256</v>
      </c>
      <c r="P151" s="798">
        <f>INDEX('Venture Summary - Mthly'!$E156:$EG156,MATCH(P$5,'Venture Summary - Mthly'!$E$5:$EG$5,0))</f>
        <v>256</v>
      </c>
      <c r="Q151" s="798"/>
    </row>
    <row r="152" spans="1:17" ht="12.75" customHeight="1" x14ac:dyDescent="0.3">
      <c r="A152" s="782"/>
      <c r="B152" s="782" t="s">
        <v>91</v>
      </c>
      <c r="C152" s="782"/>
      <c r="D152" s="782"/>
      <c r="E152" s="798">
        <f>INDEX('Venture Summary - Mthly'!$E157:$EG157,MATCH(E$5,'Venture Summary - Mthly'!$E$5:$EG$5,0))</f>
        <v>0</v>
      </c>
      <c r="F152" s="798">
        <f>INDEX('Venture Summary - Mthly'!$E157:$EG157,MATCH(F$5,'Venture Summary - Mthly'!$E$5:$EG$5,0))</f>
        <v>0</v>
      </c>
      <c r="G152" s="798">
        <f>INDEX('Venture Summary - Mthly'!$E157:$EG157,MATCH(G$5,'Venture Summary - Mthly'!$E$5:$EG$5,0))</f>
        <v>201.59999999999997</v>
      </c>
      <c r="H152" s="798">
        <f>INDEX('Venture Summary - Mthly'!$E157:$EG157,MATCH(H$5,'Venture Summary - Mthly'!$E$5:$EG$5,0))</f>
        <v>240.98</v>
      </c>
      <c r="I152" s="798">
        <f>INDEX('Venture Summary - Mthly'!$E157:$EG157,MATCH(I$5,'Venture Summary - Mthly'!$E$5:$EG$5,0))</f>
        <v>240.98</v>
      </c>
      <c r="J152" s="798">
        <f>INDEX('Venture Summary - Mthly'!$E157:$EG157,MATCH(J$5,'Venture Summary - Mthly'!$E$5:$EG$5,0))</f>
        <v>240.98</v>
      </c>
      <c r="K152" s="798">
        <f>INDEX('Venture Summary - Mthly'!$E157:$EG157,MATCH(K$5,'Venture Summary - Mthly'!$E$5:$EG$5,0))</f>
        <v>240.98</v>
      </c>
      <c r="L152" s="798">
        <f>INDEX('Venture Summary - Mthly'!$E157:$EG157,MATCH(L$5,'Venture Summary - Mthly'!$E$5:$EG$5,0))</f>
        <v>240.98</v>
      </c>
      <c r="M152" s="798">
        <f>INDEX('Venture Summary - Mthly'!$E157:$EG157,MATCH(M$5,'Venture Summary - Mthly'!$E$5:$EG$5,0))</f>
        <v>240.98</v>
      </c>
      <c r="N152" s="798">
        <f>INDEX('Venture Summary - Mthly'!$E157:$EG157,MATCH(N$5,'Venture Summary - Mthly'!$E$5:$EG$5,0))</f>
        <v>240.98</v>
      </c>
      <c r="O152" s="798">
        <f>INDEX('Venture Summary - Mthly'!$E157:$EG157,MATCH(O$5,'Venture Summary - Mthly'!$E$5:$EG$5,0))</f>
        <v>240.98</v>
      </c>
      <c r="P152" s="798">
        <f>INDEX('Venture Summary - Mthly'!$E157:$EG157,MATCH(P$5,'Venture Summary - Mthly'!$E$5:$EG$5,0))</f>
        <v>240.98</v>
      </c>
      <c r="Q152" s="798"/>
    </row>
    <row r="153" spans="1:17" ht="12.75" customHeight="1" x14ac:dyDescent="0.3">
      <c r="A153" s="782"/>
      <c r="B153" s="782" t="s">
        <v>92</v>
      </c>
      <c r="C153" s="782"/>
      <c r="D153" s="782"/>
      <c r="E153" s="806">
        <f>INDEX('Venture Summary - Mthly'!$E158:$EG158,MATCH(E$5,'Venture Summary - Mthly'!$E$5:$EG$5,0))</f>
        <v>0</v>
      </c>
      <c r="F153" s="806">
        <f>INDEX('Venture Summary - Mthly'!$E158:$EG158,MATCH(F$5,'Venture Summary - Mthly'!$E$5:$EG$5,0))</f>
        <v>0</v>
      </c>
      <c r="G153" s="806">
        <f>INDEX('Venture Summary - Mthly'!$E158:$EG158,MATCH(G$5,'Venture Summary - Mthly'!$E$5:$EG$5,0))</f>
        <v>0.78749999999999987</v>
      </c>
      <c r="H153" s="806">
        <f>INDEX('Venture Summary - Mthly'!$E158:$EG158,MATCH(H$5,'Venture Summary - Mthly'!$E$5:$EG$5,0))</f>
        <v>0.94132812499999996</v>
      </c>
      <c r="I153" s="806">
        <f>INDEX('Venture Summary - Mthly'!$E158:$EG158,MATCH(I$5,'Venture Summary - Mthly'!$E$5:$EG$5,0))</f>
        <v>0.94132812499999996</v>
      </c>
      <c r="J153" s="806">
        <f>INDEX('Venture Summary - Mthly'!$E158:$EG158,MATCH(J$5,'Venture Summary - Mthly'!$E$5:$EG$5,0))</f>
        <v>0.94132812499999996</v>
      </c>
      <c r="K153" s="806">
        <f>INDEX('Venture Summary - Mthly'!$E158:$EG158,MATCH(K$5,'Venture Summary - Mthly'!$E$5:$EG$5,0))</f>
        <v>0.94132812499999996</v>
      </c>
      <c r="L153" s="806">
        <f>INDEX('Venture Summary - Mthly'!$E158:$EG158,MATCH(L$5,'Venture Summary - Mthly'!$E$5:$EG$5,0))</f>
        <v>0.94132812499999996</v>
      </c>
      <c r="M153" s="806">
        <f>INDEX('Venture Summary - Mthly'!$E158:$EG158,MATCH(M$5,'Venture Summary - Mthly'!$E$5:$EG$5,0))</f>
        <v>0.94132812499999996</v>
      </c>
      <c r="N153" s="806">
        <f>INDEX('Venture Summary - Mthly'!$E158:$EG158,MATCH(N$5,'Venture Summary - Mthly'!$E$5:$EG$5,0))</f>
        <v>0.94132812499999996</v>
      </c>
      <c r="O153" s="806">
        <f>INDEX('Venture Summary - Mthly'!$E158:$EG158,MATCH(O$5,'Venture Summary - Mthly'!$E$5:$EG$5,0))</f>
        <v>0.94132812499999996</v>
      </c>
      <c r="P153" s="806">
        <f>INDEX('Venture Summary - Mthly'!$E158:$EG158,MATCH(P$5,'Venture Summary - Mthly'!$E$5:$EG$5,0))</f>
        <v>0.94132812499999996</v>
      </c>
      <c r="Q153" s="806"/>
    </row>
    <row r="154" spans="1:17" ht="12.75" customHeight="1" x14ac:dyDescent="0.3">
      <c r="A154" s="782"/>
      <c r="B154" s="782" t="s">
        <v>93</v>
      </c>
      <c r="C154" s="782"/>
      <c r="D154" s="782"/>
      <c r="E154" s="782">
        <f>INDEX('Venture Summary - Mthly'!$E159:$EG159,MATCH(E$5,'Venture Summary - Mthly'!$E$5:$EG$5,0))</f>
        <v>0</v>
      </c>
      <c r="F154" s="782">
        <f>INDEX('Venture Summary - Mthly'!$E159:$EG159,MATCH(F$5,'Venture Summary - Mthly'!$E$5:$EG$5,0))</f>
        <v>0</v>
      </c>
      <c r="G154" s="782">
        <f>INDEX('Venture Summary - Mthly'!$E159:$EG159,MATCH(G$5,'Venture Summary - Mthly'!$E$5:$EG$5,0))</f>
        <v>0</v>
      </c>
      <c r="H154" s="782">
        <f>INDEX('Venture Summary - Mthly'!$E159:$EG159,MATCH(H$5,'Venture Summary - Mthly'!$E$5:$EG$5,0))</f>
        <v>1</v>
      </c>
      <c r="I154" s="782">
        <f>INDEX('Venture Summary - Mthly'!$E159:$EG159,MATCH(I$5,'Venture Summary - Mthly'!$E$5:$EG$5,0))</f>
        <v>1</v>
      </c>
      <c r="J154" s="782">
        <f>INDEX('Venture Summary - Mthly'!$E159:$EG159,MATCH(J$5,'Venture Summary - Mthly'!$E$5:$EG$5,0))</f>
        <v>1</v>
      </c>
      <c r="K154" s="782">
        <f>INDEX('Venture Summary - Mthly'!$E159:$EG159,MATCH(K$5,'Venture Summary - Mthly'!$E$5:$EG$5,0))</f>
        <v>1</v>
      </c>
      <c r="L154" s="782">
        <f>INDEX('Venture Summary - Mthly'!$E159:$EG159,MATCH(L$5,'Venture Summary - Mthly'!$E$5:$EG$5,0))</f>
        <v>1</v>
      </c>
      <c r="M154" s="782">
        <f>INDEX('Venture Summary - Mthly'!$E159:$EG159,MATCH(M$5,'Venture Summary - Mthly'!$E$5:$EG$5,0))</f>
        <v>1</v>
      </c>
      <c r="N154" s="782">
        <f>INDEX('Venture Summary - Mthly'!$E159:$EG159,MATCH(N$5,'Venture Summary - Mthly'!$E$5:$EG$5,0))</f>
        <v>1</v>
      </c>
      <c r="O154" s="782">
        <f>INDEX('Venture Summary - Mthly'!$E159:$EG159,MATCH(O$5,'Venture Summary - Mthly'!$E$5:$EG$5,0))</f>
        <v>1</v>
      </c>
      <c r="P154" s="782">
        <f>INDEX('Venture Summary - Mthly'!$E159:$EG159,MATCH(P$5,'Venture Summary - Mthly'!$E$5:$EG$5,0))</f>
        <v>1</v>
      </c>
      <c r="Q154" s="782"/>
    </row>
    <row r="155" spans="1:17" ht="12.75" customHeight="1" x14ac:dyDescent="0.3">
      <c r="A155" s="782"/>
      <c r="B155" s="782" t="s">
        <v>94</v>
      </c>
      <c r="C155" s="782"/>
      <c r="D155" s="782"/>
      <c r="E155" s="782">
        <f>INDEX('Venture Summary - Mthly'!$E160:$EG160,MATCH(E$5,'Venture Summary - Mthly'!$E$5:$EG$5,0))</f>
        <v>0</v>
      </c>
      <c r="F155" s="782">
        <f>INDEX('Venture Summary - Mthly'!$E160:$EG160,MATCH(F$5,'Venture Summary - Mthly'!$E$5:$EG$5,0))</f>
        <v>0</v>
      </c>
      <c r="G155" s="782">
        <f>INDEX('Venture Summary - Mthly'!$E160:$EG160,MATCH(G$5,'Venture Summary - Mthly'!$E$5:$EG$5,0))</f>
        <v>0</v>
      </c>
      <c r="H155" s="782">
        <f>INDEX('Venture Summary - Mthly'!$E160:$EG160,MATCH(H$5,'Venture Summary - Mthly'!$E$5:$EG$5,0))</f>
        <v>10</v>
      </c>
      <c r="I155" s="782">
        <f>INDEX('Venture Summary - Mthly'!$E160:$EG160,MATCH(I$5,'Venture Summary - Mthly'!$E$5:$EG$5,0))</f>
        <v>22</v>
      </c>
      <c r="J155" s="782">
        <f>INDEX('Venture Summary - Mthly'!$E160:$EG160,MATCH(J$5,'Venture Summary - Mthly'!$E$5:$EG$5,0))</f>
        <v>34</v>
      </c>
      <c r="K155" s="782">
        <f>INDEX('Venture Summary - Mthly'!$E160:$EG160,MATCH(K$5,'Venture Summary - Mthly'!$E$5:$EG$5,0))</f>
        <v>46</v>
      </c>
      <c r="L155" s="782">
        <f>INDEX('Venture Summary - Mthly'!$E160:$EG160,MATCH(L$5,'Venture Summary - Mthly'!$E$5:$EG$5,0))</f>
        <v>58</v>
      </c>
      <c r="M155" s="782">
        <f>INDEX('Venture Summary - Mthly'!$E160:$EG160,MATCH(M$5,'Venture Summary - Mthly'!$E$5:$EG$5,0))</f>
        <v>70</v>
      </c>
      <c r="N155" s="782">
        <f>INDEX('Venture Summary - Mthly'!$E160:$EG160,MATCH(N$5,'Venture Summary - Mthly'!$E$5:$EG$5,0))</f>
        <v>82</v>
      </c>
      <c r="O155" s="782">
        <f>INDEX('Venture Summary - Mthly'!$E160:$EG160,MATCH(O$5,'Venture Summary - Mthly'!$E$5:$EG$5,0))</f>
        <v>94</v>
      </c>
      <c r="P155" s="782">
        <f>INDEX('Venture Summary - Mthly'!$E160:$EG160,MATCH(P$5,'Venture Summary - Mthly'!$E$5:$EG$5,0))</f>
        <v>106</v>
      </c>
      <c r="Q155" s="782"/>
    </row>
    <row r="156" spans="1:17" ht="12.75" customHeight="1" x14ac:dyDescent="0.3">
      <c r="A156" s="782"/>
      <c r="B156" s="782"/>
      <c r="C156" s="782"/>
      <c r="D156" s="782"/>
      <c r="E156" s="782"/>
      <c r="F156" s="782"/>
      <c r="G156" s="782"/>
      <c r="H156" s="782"/>
      <c r="I156" s="782"/>
      <c r="J156" s="782"/>
      <c r="K156" s="782"/>
      <c r="L156" s="782"/>
      <c r="M156" s="782"/>
      <c r="N156" s="782"/>
      <c r="O156" s="782"/>
      <c r="P156" s="782"/>
      <c r="Q156" s="782"/>
    </row>
    <row r="157" spans="1:17" ht="12.75" customHeight="1" x14ac:dyDescent="0.3">
      <c r="A157" s="782"/>
      <c r="B157" s="782" t="s">
        <v>95</v>
      </c>
      <c r="C157" s="798"/>
      <c r="D157" s="782"/>
      <c r="E157" s="798">
        <f>SUMIF('Venture Summary - Mthly'!$E$7:$EG$7,E$7,'Venture Summary - Mthly'!$E162:$EG162)</f>
        <v>0</v>
      </c>
      <c r="F157" s="1149">
        <f>SUMIF('Venture Summary - Mthly'!$E$7:$EG$7,F$7,'Venture Summary - Mthly'!$E162:$EG162)</f>
        <v>0</v>
      </c>
      <c r="G157" s="1149">
        <f>SUMIF('Venture Summary - Mthly'!$E$7:$EG$7,G$7,'Venture Summary - Mthly'!$E162:$EG162)</f>
        <v>2004662.6226940623</v>
      </c>
      <c r="H157" s="1149">
        <f>SUMIF('Venture Summary - Mthly'!$E$7:$EG$7,H$7,'Venture Summary - Mthly'!$E162:$EG162)</f>
        <v>7422981.3958914476</v>
      </c>
      <c r="I157" s="1149">
        <f>SUMIF('Venture Summary - Mthly'!$E$7:$EG$7,I$7,'Venture Summary - Mthly'!$E162:$EG162)</f>
        <v>8072588.1864297315</v>
      </c>
      <c r="J157" s="1149">
        <f>SUMIF('Venture Summary - Mthly'!$E$7:$EG$7,J$7,'Venture Summary - Mthly'!$E162:$EG162)</f>
        <v>8379031.3473341111</v>
      </c>
      <c r="K157" s="1149">
        <f>SUMIF('Venture Summary - Mthly'!$E$7:$EG$7,K$7,'Venture Summary - Mthly'!$E162:$EG162)</f>
        <v>8698392.5214442443</v>
      </c>
      <c r="L157" s="1149">
        <f>SUMIF('Venture Summary - Mthly'!$E$7:$EG$7,L$7,'Venture Summary - Mthly'!$E162:$EG162)</f>
        <v>9050699.0177856255</v>
      </c>
      <c r="M157" s="1149">
        <f>SUMIF('Venture Summary - Mthly'!$E$7:$EG$7,M$7,'Venture Summary - Mthly'!$E162:$EG162)</f>
        <v>9417606.9311915189</v>
      </c>
      <c r="N157" s="1149">
        <f>SUMIF('Venture Summary - Mthly'!$E$7:$EG$7,N$7,'Venture Summary - Mthly'!$E162:$EG162)</f>
        <v>9799554.0499619935</v>
      </c>
      <c r="O157" s="1149">
        <f>SUMIF('Venture Summary - Mthly'!$E$7:$EG$7,O$7,'Venture Summary - Mthly'!$E162:$EG162)</f>
        <v>10197161.979932744</v>
      </c>
      <c r="P157" s="1149">
        <f>SUMIF('Venture Summary - Mthly'!$E$7:$EG$7,P$7,'Venture Summary - Mthly'!$E162:$EG162)</f>
        <v>10611078.179108802</v>
      </c>
      <c r="Q157" s="1149"/>
    </row>
    <row r="158" spans="1:17" ht="12.75" customHeight="1" x14ac:dyDescent="0.3">
      <c r="A158" s="782"/>
      <c r="B158" s="782" t="s">
        <v>96</v>
      </c>
      <c r="C158" s="798"/>
      <c r="D158" s="782"/>
      <c r="E158" s="838">
        <f>SUMIF('Venture Summary - Mthly'!$E$7:$EG$7,E$7,'Venture Summary - Mthly'!$E163:$EG163)</f>
        <v>0</v>
      </c>
      <c r="F158" s="1151">
        <f>SUMIF('Venture Summary - Mthly'!$E$7:$EG$7,F$7,'Venture Summary - Mthly'!$E163:$EG163)</f>
        <v>0</v>
      </c>
      <c r="G158" s="1151">
        <f>SUMIF('Venture Summary - Mthly'!$E$7:$EG$7,G$7,'Venture Summary - Mthly'!$E163:$EG163)</f>
        <v>-1404436.7513811309</v>
      </c>
      <c r="H158" s="1151">
        <f>SUMIF('Venture Summary - Mthly'!$E$7:$EG$7,H$7,'Venture Summary - Mthly'!$E163:$EG163)</f>
        <v>-1845340.4816935866</v>
      </c>
      <c r="I158" s="1151">
        <f>SUMIF('Venture Summary - Mthly'!$E$7:$EG$7,I$7,'Venture Summary - Mthly'!$E163:$EG163)</f>
        <v>-1947026.7184281836</v>
      </c>
      <c r="J158" s="1151">
        <f>SUMIF('Venture Summary - Mthly'!$E$7:$EG$7,J$7,'Venture Summary - Mthly'!$E163:$EG163)</f>
        <v>-2011154.1199810309</v>
      </c>
      <c r="K158" s="1151">
        <f>SUMIF('Venture Summary - Mthly'!$E$7:$EG$7,K$7,'Venture Summary - Mthly'!$E163:$EG163)</f>
        <v>-2073808.2660034883</v>
      </c>
      <c r="L158" s="1151">
        <f>SUMIF('Venture Summary - Mthly'!$E$7:$EG$7,L$7,'Venture Summary - Mthly'!$E163:$EG163)</f>
        <v>-2138811.044783771</v>
      </c>
      <c r="M158" s="1151">
        <f>SUMIF('Venture Summary - Mthly'!$E$7:$EG$7,M$7,'Venture Summary - Mthly'!$E163:$EG163)</f>
        <v>-2205961.4104413907</v>
      </c>
      <c r="N158" s="1151">
        <f>SUMIF('Venture Summary - Mthly'!$E$7:$EG$7,N$7,'Venture Summary - Mthly'!$E163:$EG163)</f>
        <v>-2275340.8490769183</v>
      </c>
      <c r="O158" s="1151">
        <f>SUMIF('Venture Summary - Mthly'!$E$7:$EG$7,O$7,'Venture Summary - Mthly'!$E163:$EG163)</f>
        <v>-2347034.9081498133</v>
      </c>
      <c r="P158" s="1151">
        <f>SUMIF('Venture Summary - Mthly'!$E$7:$EG$7,P$7,'Venture Summary - Mthly'!$E163:$EG163)</f>
        <v>-2421133.4770493358</v>
      </c>
      <c r="Q158" s="1151"/>
    </row>
    <row r="159" spans="1:17" ht="12.75" customHeight="1" x14ac:dyDescent="0.3">
      <c r="A159" s="782"/>
      <c r="B159" s="782" t="s">
        <v>97</v>
      </c>
      <c r="C159" s="798"/>
      <c r="D159" s="782"/>
      <c r="E159" s="798">
        <f>SUMIF('Venture Summary - Mthly'!$E$7:$EG$7,E$7,'Venture Summary - Mthly'!$E164:$EG164)</f>
        <v>0</v>
      </c>
      <c r="F159" s="798">
        <f>SUMIF('Venture Summary - Mthly'!$E$7:$EG$7,F$7,'Venture Summary - Mthly'!$E164:$EG164)</f>
        <v>0</v>
      </c>
      <c r="G159" s="798">
        <f>SUMIF('Venture Summary - Mthly'!$E$7:$EG$7,G$7,'Venture Summary - Mthly'!$E164:$EG164)</f>
        <v>-113622.23805120389</v>
      </c>
      <c r="H159" s="798">
        <f>SUMIF('Venture Summary - Mthly'!$E$7:$EG$7,H$7,'Venture Summary - Mthly'!$E164:$EG164)</f>
        <v>-222689.44187674343</v>
      </c>
      <c r="I159" s="798">
        <f>SUMIF('Venture Summary - Mthly'!$E$7:$EG$7,I$7,'Venture Summary - Mthly'!$E164:$EG164)</f>
        <v>-242177.64559289196</v>
      </c>
      <c r="J159" s="798">
        <f>SUMIF('Venture Summary - Mthly'!$E$7:$EG$7,J$7,'Venture Summary - Mthly'!$E164:$EG164)</f>
        <v>-251370.94042002337</v>
      </c>
      <c r="K159" s="798">
        <f>SUMIF('Venture Summary - Mthly'!$E$7:$EG$7,K$7,'Venture Summary - Mthly'!$E164:$EG164)</f>
        <v>-260951.7756433273</v>
      </c>
      <c r="L159" s="798">
        <f>SUMIF('Venture Summary - Mthly'!$E$7:$EG$7,L$7,'Venture Summary - Mthly'!$E164:$EG164)</f>
        <v>-271520.97053356882</v>
      </c>
      <c r="M159" s="798">
        <f>SUMIF('Venture Summary - Mthly'!$E$7:$EG$7,M$7,'Venture Summary - Mthly'!$E164:$EG164)</f>
        <v>-282528.2079357456</v>
      </c>
      <c r="N159" s="798">
        <f>SUMIF('Venture Summary - Mthly'!$E$7:$EG$7,N$7,'Venture Summary - Mthly'!$E164:$EG164)</f>
        <v>-293986.62149885978</v>
      </c>
      <c r="O159" s="798">
        <f>SUMIF('Venture Summary - Mthly'!$E$7:$EG$7,O$7,'Venture Summary - Mthly'!$E164:$EG164)</f>
        <v>-305914.85939798236</v>
      </c>
      <c r="P159" s="798">
        <f>SUMIF('Venture Summary - Mthly'!$E$7:$EG$7,P$7,'Venture Summary - Mthly'!$E164:$EG164)</f>
        <v>-318332.34537326399</v>
      </c>
      <c r="Q159" s="798"/>
    </row>
    <row r="160" spans="1:17" ht="12.75" customHeight="1" x14ac:dyDescent="0.3">
      <c r="A160" s="782"/>
      <c r="B160" s="781" t="s">
        <v>98</v>
      </c>
      <c r="C160" s="799"/>
      <c r="D160" s="781"/>
      <c r="E160" s="799">
        <f>SUMIF('Venture Summary - Mthly'!$E$7:$EG$7,E$7,'Venture Summary - Mthly'!$E165:$EG165)</f>
        <v>0</v>
      </c>
      <c r="F160" s="799">
        <f>SUMIF('Venture Summary - Mthly'!$E$7:$EG$7,F$7,'Venture Summary - Mthly'!$E165:$EG165)</f>
        <v>0</v>
      </c>
      <c r="G160" s="799">
        <f>SUMIF('Venture Summary - Mthly'!$E$7:$EG$7,G$7,'Venture Summary - Mthly'!$E165:$EG165)</f>
        <v>0</v>
      </c>
      <c r="H160" s="799">
        <f>SUMIF('Venture Summary - Mthly'!$E$7:$EG$7,H$7,'Venture Summary - Mthly'!$E165:$EG165)</f>
        <v>-51900.96842469633</v>
      </c>
      <c r="I160" s="799">
        <f>SUMIF('Venture Summary - Mthly'!$E$7:$EG$7,I$7,'Venture Summary - Mthly'!$E165:$EG165)</f>
        <v>-58201.386783332346</v>
      </c>
      <c r="J160" s="799">
        <f>SUMIF('Venture Summary - Mthly'!$E$7:$EG$7,J$7,'Venture Summary - Mthly'!$E165:$EG165)</f>
        <v>-59947.428386832391</v>
      </c>
      <c r="K160" s="799">
        <f>SUMIF('Venture Summary - Mthly'!$E$7:$EG$7,K$7,'Venture Summary - Mthly'!$E165:$EG165)</f>
        <v>-61745.851238437419</v>
      </c>
      <c r="L160" s="799">
        <f>SUMIF('Venture Summary - Mthly'!$E$7:$EG$7,L$7,'Venture Summary - Mthly'!$E165:$EG165)</f>
        <v>-63598.226775590614</v>
      </c>
      <c r="M160" s="799">
        <f>SUMIF('Venture Summary - Mthly'!$E$7:$EG$7,M$7,'Venture Summary - Mthly'!$E165:$EG165)</f>
        <v>-65506.17357885839</v>
      </c>
      <c r="N160" s="799">
        <f>SUMIF('Venture Summary - Mthly'!$E$7:$EG$7,N$7,'Venture Summary - Mthly'!$E165:$EG165)</f>
        <v>-67471.358786224169</v>
      </c>
      <c r="O160" s="799">
        <f>SUMIF('Venture Summary - Mthly'!$E$7:$EG$7,O$7,'Venture Summary - Mthly'!$E165:$EG165)</f>
        <v>-69495.499549810993</v>
      </c>
      <c r="P160" s="799">
        <f>SUMIF('Venture Summary - Mthly'!$E$7:$EG$7,P$7,'Venture Summary - Mthly'!$E165:$EG165)</f>
        <v>-71580.364536305424</v>
      </c>
      <c r="Q160" s="798"/>
    </row>
    <row r="161" spans="1:17" ht="12.75" customHeight="1" x14ac:dyDescent="0.3">
      <c r="A161" s="782"/>
      <c r="B161" s="782" t="s">
        <v>8</v>
      </c>
      <c r="C161" s="798"/>
      <c r="D161" s="782"/>
      <c r="E161" s="798">
        <f>SUM(E157:E160)</f>
        <v>0</v>
      </c>
      <c r="F161" s="798">
        <f t="shared" ref="F161:P161" si="21">SUM(F157:F160)</f>
        <v>0</v>
      </c>
      <c r="G161" s="798">
        <f t="shared" si="21"/>
        <v>486603.63326172752</v>
      </c>
      <c r="H161" s="798">
        <f t="shared" si="21"/>
        <v>5303050.5038964218</v>
      </c>
      <c r="I161" s="798">
        <f t="shared" si="21"/>
        <v>5825182.435625324</v>
      </c>
      <c r="J161" s="798">
        <f t="shared" si="21"/>
        <v>6056558.8585462244</v>
      </c>
      <c r="K161" s="798">
        <f t="shared" si="21"/>
        <v>6301886.6285589915</v>
      </c>
      <c r="L161" s="798">
        <f t="shared" si="21"/>
        <v>6576768.7756926958</v>
      </c>
      <c r="M161" s="798">
        <f t="shared" si="21"/>
        <v>6863611.1392355235</v>
      </c>
      <c r="N161" s="798">
        <f t="shared" si="21"/>
        <v>7162755.2205999913</v>
      </c>
      <c r="O161" s="798">
        <f t="shared" si="21"/>
        <v>7474716.7128351377</v>
      </c>
      <c r="P161" s="798">
        <f t="shared" si="21"/>
        <v>7800031.9921498969</v>
      </c>
      <c r="Q161" s="798"/>
    </row>
    <row r="162" spans="1:17" ht="12.75" customHeight="1" x14ac:dyDescent="0.3">
      <c r="A162" s="782"/>
      <c r="B162" s="782"/>
      <c r="C162" s="798"/>
      <c r="D162" s="782"/>
      <c r="E162" s="798"/>
      <c r="F162" s="798"/>
      <c r="G162" s="798"/>
      <c r="H162" s="798"/>
      <c r="I162" s="798"/>
      <c r="J162" s="798"/>
      <c r="K162" s="798"/>
      <c r="L162" s="798"/>
      <c r="M162" s="798"/>
      <c r="N162" s="798"/>
      <c r="O162" s="798"/>
      <c r="P162" s="798"/>
      <c r="Q162" s="798"/>
    </row>
    <row r="163" spans="1:17" ht="12.75" customHeight="1" x14ac:dyDescent="0.3">
      <c r="A163" s="782"/>
      <c r="B163" s="793" t="s">
        <v>99</v>
      </c>
      <c r="C163" s="794"/>
      <c r="D163" s="794"/>
      <c r="E163" s="794"/>
      <c r="F163" s="794"/>
      <c r="G163" s="794"/>
      <c r="H163" s="794"/>
      <c r="I163" s="794"/>
      <c r="J163" s="794"/>
      <c r="K163" s="794"/>
      <c r="L163" s="794"/>
      <c r="M163" s="794"/>
      <c r="N163" s="794"/>
      <c r="O163" s="794"/>
      <c r="P163" s="794"/>
      <c r="Q163" s="794"/>
    </row>
    <row r="164" spans="1:17" ht="12.75" customHeight="1" x14ac:dyDescent="0.3">
      <c r="A164" s="782"/>
      <c r="B164" s="782"/>
      <c r="C164" s="782"/>
      <c r="D164" s="782"/>
      <c r="E164" s="782"/>
      <c r="F164" s="782"/>
      <c r="G164" s="782"/>
      <c r="H164" s="782"/>
      <c r="I164" s="782"/>
      <c r="J164" s="782"/>
      <c r="K164" s="782"/>
      <c r="L164" s="782"/>
      <c r="M164" s="782"/>
      <c r="N164" s="782"/>
      <c r="O164" s="782"/>
      <c r="P164" s="782"/>
      <c r="Q164" s="782"/>
    </row>
    <row r="165" spans="1:17" ht="12.75" customHeight="1" x14ac:dyDescent="0.3">
      <c r="A165" s="782"/>
      <c r="B165" s="781" t="s">
        <v>100</v>
      </c>
      <c r="C165" s="799"/>
      <c r="D165" s="781"/>
      <c r="E165" s="799">
        <v>0</v>
      </c>
      <c r="F165" s="799">
        <f>E168</f>
        <v>0</v>
      </c>
      <c r="G165" s="799">
        <f t="shared" ref="G165:P165" si="22">F168</f>
        <v>9733199.8629999999</v>
      </c>
      <c r="H165" s="799">
        <f t="shared" si="22"/>
        <v>42200089.103</v>
      </c>
      <c r="I165" s="799">
        <f t="shared" si="22"/>
        <v>0</v>
      </c>
      <c r="J165" s="799">
        <f t="shared" si="22"/>
        <v>0</v>
      </c>
      <c r="K165" s="799">
        <f t="shared" si="22"/>
        <v>0</v>
      </c>
      <c r="L165" s="799">
        <f t="shared" si="22"/>
        <v>0</v>
      </c>
      <c r="M165" s="799">
        <f t="shared" si="22"/>
        <v>0</v>
      </c>
      <c r="N165" s="799">
        <f t="shared" si="22"/>
        <v>0</v>
      </c>
      <c r="O165" s="799">
        <f t="shared" si="22"/>
        <v>0</v>
      </c>
      <c r="P165" s="799">
        <f t="shared" si="22"/>
        <v>0</v>
      </c>
      <c r="Q165" s="798"/>
    </row>
    <row r="166" spans="1:17" ht="12.75" customHeight="1" x14ac:dyDescent="0.3">
      <c r="A166" s="782"/>
      <c r="B166" s="782" t="s">
        <v>101</v>
      </c>
      <c r="C166" s="798">
        <f>SUM(E166:O166)</f>
        <v>42877793.387000002</v>
      </c>
      <c r="D166" s="782"/>
      <c r="E166" s="798">
        <f>SUMIF('Venture Summary - Mthly'!$E$7:$EG$7,E$7,'Venture Summary - Mthly'!$E171:$EG171)</f>
        <v>0</v>
      </c>
      <c r="F166" s="798">
        <f>SUMIF('Venture Summary - Mthly'!$E$7:$EG$7,F$7,'Venture Summary - Mthly'!$E171:$EG171)</f>
        <v>9733199.8629999999</v>
      </c>
      <c r="G166" s="798">
        <f>SUMIF('Venture Summary - Mthly'!$E$7:$EG$7,G$7,'Venture Summary - Mthly'!$E171:$EG171)</f>
        <v>32466889.239999998</v>
      </c>
      <c r="H166" s="798">
        <f>SUMIF('Venture Summary - Mthly'!$E$7:$EG$7,H$7,'Venture Summary - Mthly'!$E171:$EG171)</f>
        <v>677704.28399999999</v>
      </c>
      <c r="I166" s="798">
        <f>SUMIF('Venture Summary - Mthly'!$E$7:$EG$7,I$7,'Venture Summary - Mthly'!$E171:$EG171)</f>
        <v>0</v>
      </c>
      <c r="J166" s="798">
        <f>SUMIF('Venture Summary - Mthly'!$E$7:$EG$7,J$7,'Venture Summary - Mthly'!$E171:$EG171)</f>
        <v>0</v>
      </c>
      <c r="K166" s="798">
        <f>SUMIF('Venture Summary - Mthly'!$E$7:$EG$7,K$7,'Venture Summary - Mthly'!$E171:$EG171)</f>
        <v>0</v>
      </c>
      <c r="L166" s="798">
        <f>SUMIF('Venture Summary - Mthly'!$E$7:$EG$7,L$7,'Venture Summary - Mthly'!$E171:$EG171)</f>
        <v>0</v>
      </c>
      <c r="M166" s="798">
        <f>SUMIF('Venture Summary - Mthly'!$E$7:$EG$7,M$7,'Venture Summary - Mthly'!$E171:$EG171)</f>
        <v>0</v>
      </c>
      <c r="N166" s="798">
        <f>SUMIF('Venture Summary - Mthly'!$E$7:$EG$7,N$7,'Venture Summary - Mthly'!$E171:$EG171)</f>
        <v>0</v>
      </c>
      <c r="O166" s="798">
        <f>SUMIF('Venture Summary - Mthly'!$E$7:$EG$7,O$7,'Venture Summary - Mthly'!$E171:$EG171)</f>
        <v>0</v>
      </c>
      <c r="P166" s="798">
        <f>SUMIF('Venture Summary - Mthly'!$E$7:$EG$7,P$7,'Venture Summary - Mthly'!$E171:$EG171)</f>
        <v>0</v>
      </c>
      <c r="Q166" s="798"/>
    </row>
    <row r="167" spans="1:17" ht="12.75" customHeight="1" x14ac:dyDescent="0.3">
      <c r="A167" s="782"/>
      <c r="B167" s="781" t="s">
        <v>102</v>
      </c>
      <c r="C167" s="799">
        <f>SUM(E167:O167)</f>
        <v>-42877793.387000009</v>
      </c>
      <c r="D167" s="781"/>
      <c r="E167" s="799">
        <f>SUMIF('Venture Summary - Mthly'!$E$7:$EG$7,E$7,'Venture Summary - Mthly'!$E172:$EG172)</f>
        <v>0</v>
      </c>
      <c r="F167" s="799">
        <f>SUMIF('Venture Summary - Mthly'!$E$7:$EG$7,F$7,'Venture Summary - Mthly'!$E172:$EG172)</f>
        <v>0</v>
      </c>
      <c r="G167" s="799">
        <f>SUMIF('Venture Summary - Mthly'!$E$7:$EG$7,G$7,'Venture Summary - Mthly'!$E172:$EG172)</f>
        <v>0</v>
      </c>
      <c r="H167" s="799">
        <f>SUMIF('Venture Summary - Mthly'!$E$7:$EG$7,H$7,'Venture Summary - Mthly'!$E172:$EG172)</f>
        <v>-42877793.387000009</v>
      </c>
      <c r="I167" s="799">
        <f>SUMIF('Venture Summary - Mthly'!$E$7:$EG$7,I$7,'Venture Summary - Mthly'!$E172:$EG172)</f>
        <v>0</v>
      </c>
      <c r="J167" s="799">
        <f>SUMIF('Venture Summary - Mthly'!$E$7:$EG$7,J$7,'Venture Summary - Mthly'!$E172:$EG172)</f>
        <v>0</v>
      </c>
      <c r="K167" s="799">
        <f>SUMIF('Venture Summary - Mthly'!$E$7:$EG$7,K$7,'Venture Summary - Mthly'!$E172:$EG172)</f>
        <v>0</v>
      </c>
      <c r="L167" s="799">
        <f>SUMIF('Venture Summary - Mthly'!$E$7:$EG$7,L$7,'Venture Summary - Mthly'!$E172:$EG172)</f>
        <v>0</v>
      </c>
      <c r="M167" s="799">
        <f>SUMIF('Venture Summary - Mthly'!$E$7:$EG$7,M$7,'Venture Summary - Mthly'!$E172:$EG172)</f>
        <v>0</v>
      </c>
      <c r="N167" s="799">
        <f>SUMIF('Venture Summary - Mthly'!$E$7:$EG$7,N$7,'Venture Summary - Mthly'!$E172:$EG172)</f>
        <v>0</v>
      </c>
      <c r="O167" s="799">
        <f>SUMIF('Venture Summary - Mthly'!$E$7:$EG$7,O$7,'Venture Summary - Mthly'!$E172:$EG172)</f>
        <v>0</v>
      </c>
      <c r="P167" s="799">
        <f>SUMIF('Venture Summary - Mthly'!$E$7:$EG$7,P$7,'Venture Summary - Mthly'!$E172:$EG172)</f>
        <v>0</v>
      </c>
      <c r="Q167" s="798"/>
    </row>
    <row r="168" spans="1:17" ht="12.75" customHeight="1" x14ac:dyDescent="0.3">
      <c r="A168" s="782"/>
      <c r="B168" s="782" t="s">
        <v>103</v>
      </c>
      <c r="C168" s="798"/>
      <c r="D168" s="782"/>
      <c r="E168" s="798">
        <f>SUM(E165:E167)</f>
        <v>0</v>
      </c>
      <c r="F168" s="798">
        <f t="shared" ref="F168:P168" si="23">SUM(F165:F167)</f>
        <v>9733199.8629999999</v>
      </c>
      <c r="G168" s="798">
        <f t="shared" si="23"/>
        <v>42200089.103</v>
      </c>
      <c r="H168" s="798">
        <f t="shared" si="23"/>
        <v>0</v>
      </c>
      <c r="I168" s="798">
        <f t="shared" si="23"/>
        <v>0</v>
      </c>
      <c r="J168" s="798">
        <f t="shared" si="23"/>
        <v>0</v>
      </c>
      <c r="K168" s="798">
        <f t="shared" si="23"/>
        <v>0</v>
      </c>
      <c r="L168" s="798">
        <f t="shared" si="23"/>
        <v>0</v>
      </c>
      <c r="M168" s="798">
        <f t="shared" si="23"/>
        <v>0</v>
      </c>
      <c r="N168" s="798">
        <f t="shared" si="23"/>
        <v>0</v>
      </c>
      <c r="O168" s="798">
        <f t="shared" si="23"/>
        <v>0</v>
      </c>
      <c r="P168" s="798">
        <f t="shared" si="23"/>
        <v>0</v>
      </c>
      <c r="Q168" s="798"/>
    </row>
    <row r="169" spans="1:17" ht="12.75" customHeight="1" x14ac:dyDescent="0.3">
      <c r="A169" s="782"/>
      <c r="B169" s="782" t="s">
        <v>104</v>
      </c>
      <c r="C169" s="798">
        <f>SUM(E169:O169)</f>
        <v>-3015435.9515204169</v>
      </c>
      <c r="D169" s="782"/>
      <c r="E169" s="798">
        <f>SUMIF('Venture Summary - Mthly'!$E$7:$EG$7,E$7,'Venture Summary - Mthly'!$E174:$EG174)</f>
        <v>0</v>
      </c>
      <c r="F169" s="798">
        <f>SUMIF('Venture Summary - Mthly'!$E$7:$EG$7,F$7,'Venture Summary - Mthly'!$E174:$EG174)</f>
        <v>-40131.847345416674</v>
      </c>
      <c r="G169" s="798">
        <f>SUMIF('Venture Summary - Mthly'!$E$7:$EG$7,G$7,'Venture Summary - Mthly'!$E174:$EG174)</f>
        <v>-1817701.4314820836</v>
      </c>
      <c r="H169" s="798">
        <f>SUMIF('Venture Summary - Mthly'!$E$7:$EG$7,H$7,'Venture Summary - Mthly'!$E174:$EG174)</f>
        <v>-1157602.6726929168</v>
      </c>
      <c r="I169" s="798">
        <f>SUMIF('Venture Summary - Mthly'!$E$7:$EG$7,I$7,'Venture Summary - Mthly'!$E174:$EG174)</f>
        <v>0</v>
      </c>
      <c r="J169" s="798">
        <f>SUMIF('Venture Summary - Mthly'!$E$7:$EG$7,J$7,'Venture Summary - Mthly'!$E174:$EG174)</f>
        <v>0</v>
      </c>
      <c r="K169" s="798">
        <f>SUMIF('Venture Summary - Mthly'!$E$7:$EG$7,K$7,'Venture Summary - Mthly'!$E174:$EG174)</f>
        <v>0</v>
      </c>
      <c r="L169" s="798">
        <f>SUMIF('Venture Summary - Mthly'!$E$7:$EG$7,L$7,'Venture Summary - Mthly'!$E174:$EG174)</f>
        <v>0</v>
      </c>
      <c r="M169" s="798">
        <f>SUMIF('Venture Summary - Mthly'!$E$7:$EG$7,M$7,'Venture Summary - Mthly'!$E174:$EG174)</f>
        <v>0</v>
      </c>
      <c r="N169" s="798">
        <f>SUMIF('Venture Summary - Mthly'!$E$7:$EG$7,N$7,'Venture Summary - Mthly'!$E174:$EG174)</f>
        <v>0</v>
      </c>
      <c r="O169" s="798">
        <f>SUMIF('Venture Summary - Mthly'!$E$7:$EG$7,O$7,'Venture Summary - Mthly'!$E174:$EG174)</f>
        <v>0</v>
      </c>
      <c r="P169" s="798">
        <f>SUMIF('Venture Summary - Mthly'!$E$7:$EG$7,P$7,'Venture Summary - Mthly'!$E174:$EG174)</f>
        <v>0</v>
      </c>
      <c r="Q169" s="798"/>
    </row>
    <row r="170" spans="1:17" ht="12.75" customHeight="1" x14ac:dyDescent="0.3">
      <c r="A170" s="782"/>
      <c r="B170" s="782"/>
      <c r="C170" s="798"/>
      <c r="D170" s="782"/>
      <c r="E170" s="798"/>
      <c r="F170" s="808"/>
      <c r="G170" s="808"/>
      <c r="H170" s="808"/>
      <c r="I170" s="808"/>
      <c r="J170" s="808"/>
      <c r="K170" s="808"/>
      <c r="L170" s="808"/>
      <c r="M170" s="808"/>
      <c r="N170" s="808"/>
      <c r="O170" s="808"/>
      <c r="P170" s="808"/>
      <c r="Q170" s="808"/>
    </row>
    <row r="171" spans="1:17" ht="12.75" customHeight="1" x14ac:dyDescent="0.3">
      <c r="A171" s="782"/>
      <c r="B171" s="782" t="s">
        <v>105</v>
      </c>
      <c r="C171" s="798"/>
      <c r="D171" s="782"/>
      <c r="E171" s="798">
        <f>IF(E167&lt;0,1,0)</f>
        <v>0</v>
      </c>
      <c r="F171" s="798">
        <f t="shared" ref="F171:P171" si="24">IF(F167&lt;0,1,0)</f>
        <v>0</v>
      </c>
      <c r="G171" s="798">
        <f t="shared" si="24"/>
        <v>0</v>
      </c>
      <c r="H171" s="798">
        <f t="shared" si="24"/>
        <v>1</v>
      </c>
      <c r="I171" s="798">
        <f t="shared" si="24"/>
        <v>0</v>
      </c>
      <c r="J171" s="798">
        <f t="shared" si="24"/>
        <v>0</v>
      </c>
      <c r="K171" s="798">
        <f t="shared" si="24"/>
        <v>0</v>
      </c>
      <c r="L171" s="798">
        <f t="shared" si="24"/>
        <v>0</v>
      </c>
      <c r="M171" s="798">
        <f t="shared" si="24"/>
        <v>0</v>
      </c>
      <c r="N171" s="798">
        <f t="shared" si="24"/>
        <v>0</v>
      </c>
      <c r="O171" s="798">
        <f t="shared" si="24"/>
        <v>0</v>
      </c>
      <c r="P171" s="798">
        <f t="shared" si="24"/>
        <v>0</v>
      </c>
      <c r="Q171" s="798"/>
    </row>
    <row r="172" spans="1:17" ht="12.75" customHeight="1" x14ac:dyDescent="0.3">
      <c r="A172" s="782"/>
      <c r="B172" s="782"/>
      <c r="C172" s="798"/>
      <c r="D172" s="782"/>
      <c r="E172" s="798"/>
      <c r="F172" s="808"/>
      <c r="G172" s="808"/>
      <c r="H172" s="808"/>
      <c r="I172" s="808"/>
      <c r="J172" s="808"/>
      <c r="K172" s="808"/>
      <c r="L172" s="808"/>
      <c r="M172" s="808"/>
      <c r="N172" s="808"/>
      <c r="O172" s="808"/>
      <c r="P172" s="808"/>
      <c r="Q172" s="808"/>
    </row>
    <row r="173" spans="1:17" ht="12.75" customHeight="1" x14ac:dyDescent="0.3">
      <c r="A173" s="782"/>
      <c r="B173" s="781" t="s">
        <v>106</v>
      </c>
      <c r="C173" s="799"/>
      <c r="D173" s="781"/>
      <c r="E173" s="799">
        <v>0</v>
      </c>
      <c r="F173" s="799">
        <f>E176</f>
        <v>0</v>
      </c>
      <c r="G173" s="799">
        <f t="shared" ref="G173:P173" si="25">F176</f>
        <v>0</v>
      </c>
      <c r="H173" s="799">
        <f t="shared" si="25"/>
        <v>0</v>
      </c>
      <c r="I173" s="799">
        <f t="shared" si="25"/>
        <v>57343611.907627545</v>
      </c>
      <c r="J173" s="799">
        <f t="shared" si="25"/>
        <v>57343611.907627545</v>
      </c>
      <c r="K173" s="799">
        <f t="shared" si="25"/>
        <v>57343611.907627545</v>
      </c>
      <c r="L173" s="799">
        <f t="shared" si="25"/>
        <v>57343611.907627545</v>
      </c>
      <c r="M173" s="799">
        <f t="shared" si="25"/>
        <v>57343611.907627545</v>
      </c>
      <c r="N173" s="799">
        <f t="shared" si="25"/>
        <v>57343611.907627545</v>
      </c>
      <c r="O173" s="799">
        <f t="shared" si="25"/>
        <v>57343611.907627545</v>
      </c>
      <c r="P173" s="799">
        <f t="shared" si="25"/>
        <v>57343611.907627545</v>
      </c>
      <c r="Q173" s="798"/>
    </row>
    <row r="174" spans="1:17" ht="12.75" customHeight="1" x14ac:dyDescent="0.3">
      <c r="A174" s="782"/>
      <c r="B174" s="782" t="s">
        <v>101</v>
      </c>
      <c r="C174" s="798"/>
      <c r="D174" s="782"/>
      <c r="E174" s="798">
        <f>SUMIF('Venture Summary - Mthly'!$E$7:$EG$7,E$7,'Venture Summary - Mthly'!$E179:$EG179)</f>
        <v>0</v>
      </c>
      <c r="F174" s="798">
        <f>SUMIF('Venture Summary - Mthly'!$E$7:$EG$7,F$7,'Venture Summary - Mthly'!$E179:$EG179)</f>
        <v>0</v>
      </c>
      <c r="G174" s="798">
        <f>SUMIF('Venture Summary - Mthly'!$E$7:$EG$7,G$7,'Venture Summary - Mthly'!$E179:$EG179)</f>
        <v>0</v>
      </c>
      <c r="H174" s="798">
        <f>SUMIF('Venture Summary - Mthly'!$E$7:$EG$7,H$7,'Venture Summary - Mthly'!$E179:$EG179)</f>
        <v>57343611.907627545</v>
      </c>
      <c r="I174" s="798">
        <f>SUMIF('Venture Summary - Mthly'!$E$7:$EG$7,I$7,'Venture Summary - Mthly'!$E179:$EG179)</f>
        <v>0</v>
      </c>
      <c r="J174" s="798">
        <f>SUMIF('Venture Summary - Mthly'!$E$7:$EG$7,J$7,'Venture Summary - Mthly'!$E179:$EG179)</f>
        <v>0</v>
      </c>
      <c r="K174" s="798">
        <f>SUMIF('Venture Summary - Mthly'!$E$7:$EG$7,K$7,'Venture Summary - Mthly'!$E179:$EG179)</f>
        <v>0</v>
      </c>
      <c r="L174" s="798">
        <f>SUMIF('Venture Summary - Mthly'!$E$7:$EG$7,L$7,'Venture Summary - Mthly'!$E179:$EG179)</f>
        <v>0</v>
      </c>
      <c r="M174" s="798">
        <f>SUMIF('Venture Summary - Mthly'!$E$7:$EG$7,M$7,'Venture Summary - Mthly'!$E179:$EG179)</f>
        <v>0</v>
      </c>
      <c r="N174" s="798">
        <f>SUMIF('Venture Summary - Mthly'!$E$7:$EG$7,N$7,'Venture Summary - Mthly'!$E179:$EG179)</f>
        <v>0</v>
      </c>
      <c r="O174" s="798">
        <f>SUMIF('Venture Summary - Mthly'!$E$7:$EG$7,O$7,'Venture Summary - Mthly'!$E179:$EG179)</f>
        <v>0</v>
      </c>
      <c r="P174" s="798">
        <f>SUMIF('Venture Summary - Mthly'!$E$7:$EG$7,P$7,'Venture Summary - Mthly'!$E179:$EG179)</f>
        <v>0</v>
      </c>
      <c r="Q174" s="798"/>
    </row>
    <row r="175" spans="1:17" ht="12.75" customHeight="1" x14ac:dyDescent="0.3">
      <c r="A175" s="782"/>
      <c r="B175" s="781" t="s">
        <v>107</v>
      </c>
      <c r="C175" s="799"/>
      <c r="D175" s="781"/>
      <c r="E175" s="799">
        <f>SUMIF('Venture Summary - Mthly'!$E$7:$EG$7,E$7,'Venture Summary - Mthly'!$E180:$EG180)</f>
        <v>0</v>
      </c>
      <c r="F175" s="799">
        <f>SUMIF('Venture Summary - Mthly'!$E$7:$EG$7,F$7,'Venture Summary - Mthly'!$E180:$EG180)</f>
        <v>0</v>
      </c>
      <c r="G175" s="799">
        <f>SUMIF('Venture Summary - Mthly'!$E$7:$EG$7,G$7,'Venture Summary - Mthly'!$E180:$EG180)</f>
        <v>0</v>
      </c>
      <c r="H175" s="799">
        <f>SUMIF('Venture Summary - Mthly'!$E$7:$EG$7,H$7,'Venture Summary - Mthly'!$E180:$EG180)</f>
        <v>0</v>
      </c>
      <c r="I175" s="799">
        <f>SUMIF('Venture Summary - Mthly'!$E$7:$EG$7,I$7,'Venture Summary - Mthly'!$E180:$EG180)</f>
        <v>0</v>
      </c>
      <c r="J175" s="799">
        <f>SUMIF('Venture Summary - Mthly'!$E$7:$EG$7,J$7,'Venture Summary - Mthly'!$E180:$EG180)</f>
        <v>0</v>
      </c>
      <c r="K175" s="799">
        <f>SUMIF('Venture Summary - Mthly'!$E$7:$EG$7,K$7,'Venture Summary - Mthly'!$E180:$EG180)</f>
        <v>0</v>
      </c>
      <c r="L175" s="799">
        <f>SUMIF('Venture Summary - Mthly'!$E$7:$EG$7,L$7,'Venture Summary - Mthly'!$E180:$EG180)</f>
        <v>0</v>
      </c>
      <c r="M175" s="799">
        <f>SUMIF('Venture Summary - Mthly'!$E$7:$EG$7,M$7,'Venture Summary - Mthly'!$E180:$EG180)</f>
        <v>0</v>
      </c>
      <c r="N175" s="799">
        <f>SUMIF('Venture Summary - Mthly'!$E$7:$EG$7,N$7,'Venture Summary - Mthly'!$E180:$EG180)</f>
        <v>0</v>
      </c>
      <c r="O175" s="799">
        <f>SUMIF('Venture Summary - Mthly'!$E$7:$EG$7,O$7,'Venture Summary - Mthly'!$E180:$EG180)</f>
        <v>0</v>
      </c>
      <c r="P175" s="799">
        <f>SUMIF('Venture Summary - Mthly'!$E$7:$EG$7,P$7,'Venture Summary - Mthly'!$E180:$EG180)</f>
        <v>0</v>
      </c>
      <c r="Q175" s="798"/>
    </row>
    <row r="176" spans="1:17" ht="12.75" customHeight="1" x14ac:dyDescent="0.3">
      <c r="A176" s="782"/>
      <c r="B176" s="782" t="s">
        <v>108</v>
      </c>
      <c r="C176" s="798"/>
      <c r="D176" s="782"/>
      <c r="E176" s="798">
        <f>SUM(E173:E175)</f>
        <v>0</v>
      </c>
      <c r="F176" s="798">
        <f t="shared" ref="F176:P176" si="26">SUM(F173:F175)</f>
        <v>0</v>
      </c>
      <c r="G176" s="798">
        <f t="shared" si="26"/>
        <v>0</v>
      </c>
      <c r="H176" s="798">
        <f t="shared" si="26"/>
        <v>57343611.907627545</v>
      </c>
      <c r="I176" s="798">
        <f t="shared" si="26"/>
        <v>57343611.907627545</v>
      </c>
      <c r="J176" s="798">
        <f t="shared" si="26"/>
        <v>57343611.907627545</v>
      </c>
      <c r="K176" s="798">
        <f t="shared" si="26"/>
        <v>57343611.907627545</v>
      </c>
      <c r="L176" s="798">
        <f t="shared" si="26"/>
        <v>57343611.907627545</v>
      </c>
      <c r="M176" s="798">
        <f t="shared" si="26"/>
        <v>57343611.907627545</v>
      </c>
      <c r="N176" s="798">
        <f t="shared" si="26"/>
        <v>57343611.907627545</v>
      </c>
      <c r="O176" s="798">
        <f t="shared" si="26"/>
        <v>57343611.907627545</v>
      </c>
      <c r="P176" s="798">
        <f t="shared" si="26"/>
        <v>57343611.907627545</v>
      </c>
      <c r="Q176" s="798"/>
    </row>
    <row r="177" spans="1:17" ht="12.75" customHeight="1" x14ac:dyDescent="0.3">
      <c r="A177" s="782"/>
      <c r="B177" s="782" t="s">
        <v>109</v>
      </c>
      <c r="C177" s="798"/>
      <c r="D177" s="782"/>
      <c r="E177" s="798">
        <f>SUMIF('Venture Summary - Mthly'!$E$7:$EG$7,E$7,'Venture Summary - Mthly'!$E182:$EG182)</f>
        <v>0</v>
      </c>
      <c r="F177" s="798">
        <f>SUMIF('Venture Summary - Mthly'!$E$7:$EG$7,F$7,'Venture Summary - Mthly'!$E182:$EG182)</f>
        <v>0</v>
      </c>
      <c r="G177" s="798">
        <f>SUMIF('Venture Summary - Mthly'!$E$7:$EG$7,G$7,'Venture Summary - Mthly'!$E182:$EG182)</f>
        <v>0</v>
      </c>
      <c r="H177" s="798">
        <f>SUMIF('Venture Summary - Mthly'!$E$7:$EG$7,H$7,'Venture Summary - Mthly'!$E182:$EG182)</f>
        <v>-573436.1190762755</v>
      </c>
      <c r="I177" s="798">
        <f>SUMIF('Venture Summary - Mthly'!$E$7:$EG$7,I$7,'Venture Summary - Mthly'!$E182:$EG182)</f>
        <v>0</v>
      </c>
      <c r="J177" s="798">
        <f>SUMIF('Venture Summary - Mthly'!$E$7:$EG$7,J$7,'Venture Summary - Mthly'!$E182:$EG182)</f>
        <v>0</v>
      </c>
      <c r="K177" s="798">
        <f>SUMIF('Venture Summary - Mthly'!$E$7:$EG$7,K$7,'Venture Summary - Mthly'!$E182:$EG182)</f>
        <v>0</v>
      </c>
      <c r="L177" s="798">
        <f>SUMIF('Venture Summary - Mthly'!$E$7:$EG$7,L$7,'Venture Summary - Mthly'!$E182:$EG182)</f>
        <v>0</v>
      </c>
      <c r="M177" s="798">
        <f>SUMIF('Venture Summary - Mthly'!$E$7:$EG$7,M$7,'Venture Summary - Mthly'!$E182:$EG182)</f>
        <v>0</v>
      </c>
      <c r="N177" s="798">
        <f>SUMIF('Venture Summary - Mthly'!$E$7:$EG$7,N$7,'Venture Summary - Mthly'!$E182:$EG182)</f>
        <v>0</v>
      </c>
      <c r="O177" s="798">
        <f>SUMIF('Venture Summary - Mthly'!$E$7:$EG$7,O$7,'Venture Summary - Mthly'!$E182:$EG182)</f>
        <v>0</v>
      </c>
      <c r="P177" s="798">
        <f>SUMIF('Venture Summary - Mthly'!$E$7:$EG$7,P$7,'Venture Summary - Mthly'!$E182:$EG182)</f>
        <v>0</v>
      </c>
      <c r="Q177" s="798"/>
    </row>
    <row r="178" spans="1:17" ht="12.75" customHeight="1" x14ac:dyDescent="0.3">
      <c r="A178" s="782"/>
      <c r="B178" s="782" t="s">
        <v>20</v>
      </c>
      <c r="C178" s="798"/>
      <c r="D178" s="782"/>
      <c r="E178" s="798">
        <f>SUMIF('Venture Summary - Mthly'!$E$7:$EG$7,E$7,'Venture Summary - Mthly'!$E183:$EG183)</f>
        <v>0</v>
      </c>
      <c r="F178" s="798">
        <f>SUMIF('Venture Summary - Mthly'!$E$7:$EG$7,F$7,'Venture Summary - Mthly'!$E183:$EG183)</f>
        <v>0</v>
      </c>
      <c r="G178" s="798">
        <f>SUMIF('Venture Summary - Mthly'!$E$7:$EG$7,G$7,'Venture Summary - Mthly'!$E183:$EG183)</f>
        <v>0</v>
      </c>
      <c r="H178" s="798">
        <f>SUMIF('Venture Summary - Mthly'!$E$7:$EG$7,H$7,'Venture Summary - Mthly'!$E183:$EG183)</f>
        <v>-661856.6235938092</v>
      </c>
      <c r="I178" s="798">
        <f>SUMIF('Venture Summary - Mthly'!$E$7:$EG$7,I$7,'Venture Summary - Mthly'!$E183:$EG183)</f>
        <v>-2662844.2801634669</v>
      </c>
      <c r="J178" s="798">
        <f>SUMIF('Venture Summary - Mthly'!$E$7:$EG$7,J$7,'Venture Summary - Mthly'!$E183:$EG183)</f>
        <v>-2705408.0539653371</v>
      </c>
      <c r="K178" s="798">
        <f>SUMIF('Venture Summary - Mthly'!$E$7:$EG$7,K$7,'Venture Summary - Mthly'!$E183:$EG183)</f>
        <v>-2753554.7062498461</v>
      </c>
      <c r="L178" s="798">
        <f>SUMIF('Venture Summary - Mthly'!$E$7:$EG$7,L$7,'Venture Summary - Mthly'!$E183:$EG183)</f>
        <v>-2792560.3089328469</v>
      </c>
      <c r="M178" s="798">
        <f>SUMIF('Venture Summary - Mthly'!$E$7:$EG$7,M$7,'Venture Summary - Mthly'!$E183:$EG183)</f>
        <v>-2827921.7250791178</v>
      </c>
      <c r="N178" s="798">
        <f>SUMIF('Venture Summary - Mthly'!$E$7:$EG$7,N$7,'Venture Summary - Mthly'!$E183:$EG183)</f>
        <v>-2863487.6667745258</v>
      </c>
      <c r="O178" s="798">
        <f>SUMIF('Venture Summary - Mthly'!$E$7:$EG$7,O$7,'Venture Summary - Mthly'!$E183:$EG183)</f>
        <v>-962388.75924049446</v>
      </c>
      <c r="P178" s="798">
        <f>SUMIF('Venture Summary - Mthly'!$E$7:$EG$7,P$7,'Venture Summary - Mthly'!$E183:$EG183)</f>
        <v>0</v>
      </c>
      <c r="Q178" s="798"/>
    </row>
    <row r="179" spans="1:17" ht="12.75" customHeight="1" x14ac:dyDescent="0.3">
      <c r="A179" s="782"/>
      <c r="B179" s="782" t="s">
        <v>110</v>
      </c>
      <c r="C179" s="798"/>
      <c r="D179" s="782"/>
      <c r="E179" s="798">
        <f>SUMIF('Venture Summary - Mthly'!$E$7:$EG$7,E$7,'Venture Summary - Mthly'!$E184:$EG184)</f>
        <v>0</v>
      </c>
      <c r="F179" s="798">
        <f>SUMIF('Venture Summary - Mthly'!$E$7:$EG$7,F$7,'Venture Summary - Mthly'!$E184:$EG184)</f>
        <v>0</v>
      </c>
      <c r="G179" s="798">
        <f>SUMIF('Venture Summary - Mthly'!$E$7:$EG$7,G$7,'Venture Summary - Mthly'!$E184:$EG184)</f>
        <v>0</v>
      </c>
      <c r="H179" s="798">
        <f>SUMIF('Venture Summary - Mthly'!$E$7:$EG$7,H$7,'Venture Summary - Mthly'!$E184:$EG184)</f>
        <v>0</v>
      </c>
      <c r="I179" s="798">
        <f>SUMIF('Venture Summary - Mthly'!$E$7:$EG$7,I$7,'Venture Summary - Mthly'!$E184:$EG184)</f>
        <v>0</v>
      </c>
      <c r="J179" s="798">
        <f>SUMIF('Venture Summary - Mthly'!$E$7:$EG$7,J$7,'Venture Summary - Mthly'!$E184:$EG184)</f>
        <v>0</v>
      </c>
      <c r="K179" s="798">
        <f>SUMIF('Venture Summary - Mthly'!$E$7:$EG$7,K$7,'Venture Summary - Mthly'!$E184:$EG184)</f>
        <v>0</v>
      </c>
      <c r="L179" s="798">
        <f>SUMIF('Venture Summary - Mthly'!$E$7:$EG$7,L$7,'Venture Summary - Mthly'!$E184:$EG184)</f>
        <v>0</v>
      </c>
      <c r="M179" s="798">
        <f>SUMIF('Venture Summary - Mthly'!$E$7:$EG$7,M$7,'Venture Summary - Mthly'!$E184:$EG184)</f>
        <v>0</v>
      </c>
      <c r="N179" s="798">
        <f>SUMIF('Venture Summary - Mthly'!$E$7:$EG$7,N$7,'Venture Summary - Mthly'!$E184:$EG184)</f>
        <v>0</v>
      </c>
      <c r="O179" s="798">
        <f>SUMIF('Venture Summary - Mthly'!$E$7:$EG$7,O$7,'Venture Summary - Mthly'!$E184:$EG184)</f>
        <v>0</v>
      </c>
      <c r="P179" s="798">
        <f>SUMIF('Venture Summary - Mthly'!$E$7:$EG$7,P$7,'Venture Summary - Mthly'!$E184:$EG184)</f>
        <v>0</v>
      </c>
      <c r="Q179" s="798"/>
    </row>
    <row r="180" spans="1:17" ht="12.75" customHeight="1" x14ac:dyDescent="0.3">
      <c r="A180" s="782"/>
      <c r="B180" s="782" t="s">
        <v>111</v>
      </c>
      <c r="C180" s="798"/>
      <c r="D180" s="782"/>
      <c r="E180" s="811">
        <f>IFERROR(E161/SUM(-E178,-181),0)*(E173&gt;0)</f>
        <v>0</v>
      </c>
      <c r="F180" s="811">
        <f t="shared" ref="F180:P180" si="27">IFERROR(F161/SUM(-F178,-181),0)*(F173&gt;0)</f>
        <v>0</v>
      </c>
      <c r="G180" s="811">
        <f t="shared" si="27"/>
        <v>0</v>
      </c>
      <c r="H180" s="811">
        <f t="shared" si="27"/>
        <v>0</v>
      </c>
      <c r="I180" s="811">
        <f t="shared" si="27"/>
        <v>2.1877277833146453</v>
      </c>
      <c r="J180" s="811">
        <f t="shared" si="27"/>
        <v>2.2388356828194831</v>
      </c>
      <c r="K180" s="811">
        <f t="shared" si="27"/>
        <v>2.2887872482599887</v>
      </c>
      <c r="L180" s="811">
        <f t="shared" si="27"/>
        <v>2.3552562342277614</v>
      </c>
      <c r="M180" s="811">
        <f t="shared" si="27"/>
        <v>2.4272420304883098</v>
      </c>
      <c r="N180" s="811">
        <f t="shared" si="27"/>
        <v>2.5015676119207773</v>
      </c>
      <c r="O180" s="811">
        <f t="shared" si="27"/>
        <v>7.7682981051152646</v>
      </c>
      <c r="P180" s="811">
        <f t="shared" si="27"/>
        <v>-43094.099404143075</v>
      </c>
      <c r="Q180" s="811"/>
    </row>
    <row r="181" spans="1:17" ht="12.75" customHeight="1" x14ac:dyDescent="0.3">
      <c r="A181" s="782"/>
      <c r="B181" s="782"/>
      <c r="C181" s="798"/>
      <c r="D181" s="782"/>
      <c r="E181" s="798"/>
      <c r="F181" s="798"/>
      <c r="G181" s="798"/>
      <c r="H181" s="798"/>
      <c r="I181" s="798"/>
      <c r="J181" s="798"/>
      <c r="K181" s="798"/>
      <c r="L181" s="798"/>
      <c r="M181" s="798"/>
      <c r="N181" s="798"/>
      <c r="O181" s="798"/>
      <c r="P181" s="798"/>
      <c r="Q181" s="798"/>
    </row>
    <row r="182" spans="1:17" ht="12.75" customHeight="1" x14ac:dyDescent="0.3">
      <c r="A182" s="782"/>
      <c r="B182" s="793" t="s">
        <v>112</v>
      </c>
      <c r="C182" s="794"/>
      <c r="D182" s="794"/>
      <c r="E182" s="794"/>
      <c r="F182" s="794"/>
      <c r="G182" s="794"/>
      <c r="H182" s="794"/>
      <c r="I182" s="794"/>
      <c r="J182" s="794"/>
      <c r="K182" s="794"/>
      <c r="L182" s="794"/>
      <c r="M182" s="794"/>
      <c r="N182" s="794"/>
      <c r="O182" s="794"/>
      <c r="P182" s="794"/>
      <c r="Q182" s="794"/>
    </row>
    <row r="183" spans="1:17" ht="12.75" customHeight="1" x14ac:dyDescent="0.3">
      <c r="A183" s="782"/>
      <c r="B183" s="782"/>
      <c r="C183" s="798"/>
      <c r="D183" s="782"/>
      <c r="E183" s="798"/>
      <c r="F183" s="798"/>
      <c r="G183" s="798"/>
      <c r="H183" s="798"/>
      <c r="I183" s="798"/>
      <c r="J183" s="798"/>
      <c r="K183" s="798"/>
      <c r="L183" s="798"/>
      <c r="M183" s="798"/>
      <c r="N183" s="798"/>
      <c r="O183" s="798"/>
      <c r="P183" s="798"/>
      <c r="Q183" s="798"/>
    </row>
    <row r="184" spans="1:17" ht="12.75" customHeight="1" x14ac:dyDescent="0.3">
      <c r="A184" s="782"/>
      <c r="B184" s="782" t="s">
        <v>113</v>
      </c>
      <c r="C184" s="798">
        <f>SUM(E184:O184)</f>
        <v>59851165.900401942</v>
      </c>
      <c r="D184" s="782"/>
      <c r="E184" s="798">
        <f>INDEX('Venture Summary - Mthly'!$E189:$EG189,MATCH(E$5,'Venture Summary - Mthly'!$E$5:$EG$5,0))</f>
        <v>0</v>
      </c>
      <c r="F184" s="798">
        <f>INDEX('Venture Summary - Mthly'!$E189:$EG189,MATCH(F$5,'Venture Summary - Mthly'!$E$5:$EG$5,0))</f>
        <v>486603.63326172775</v>
      </c>
      <c r="G184" s="798">
        <f>INDEX('Venture Summary - Mthly'!$E189:$EG189,MATCH(G$5,'Venture Summary - Mthly'!$E$5:$EG$5,0))</f>
        <v>5303050.5038964218</v>
      </c>
      <c r="H184" s="798">
        <f>INDEX('Venture Summary - Mthly'!$E189:$EG189,MATCH(H$5,'Venture Summary - Mthly'!$E$5:$EG$5,0))</f>
        <v>5825182.4356253222</v>
      </c>
      <c r="I184" s="798">
        <f>INDEX('Venture Summary - Mthly'!$E189:$EG189,MATCH(I$5,'Venture Summary - Mthly'!$E$5:$EG$5,0))</f>
        <v>6056558.8585462254</v>
      </c>
      <c r="J184" s="798">
        <f>INDEX('Venture Summary - Mthly'!$E189:$EG189,MATCH(J$5,'Venture Summary - Mthly'!$E$5:$EG$5,0))</f>
        <v>6301886.6285589896</v>
      </c>
      <c r="K184" s="798">
        <f>INDEX('Venture Summary - Mthly'!$E189:$EG189,MATCH(K$5,'Venture Summary - Mthly'!$E$5:$EG$5,0))</f>
        <v>6576768.7756926967</v>
      </c>
      <c r="L184" s="798">
        <f>INDEX('Venture Summary - Mthly'!$E189:$EG189,MATCH(L$5,'Venture Summary - Mthly'!$E$5:$EG$5,0))</f>
        <v>6863611.1392355235</v>
      </c>
      <c r="M184" s="798">
        <f>INDEX('Venture Summary - Mthly'!$E189:$EG189,MATCH(M$5,'Venture Summary - Mthly'!$E$5:$EG$5,0))</f>
        <v>7162755.2205999922</v>
      </c>
      <c r="N184" s="798">
        <f>INDEX('Venture Summary - Mthly'!$E189:$EG189,MATCH(N$5,'Venture Summary - Mthly'!$E$5:$EG$5,0))</f>
        <v>7474716.7128351387</v>
      </c>
      <c r="O184" s="798">
        <f>INDEX('Venture Summary - Mthly'!$E189:$EG189,MATCH(O$5,'Venture Summary - Mthly'!$E$5:$EG$5,0))</f>
        <v>7800031.992149896</v>
      </c>
      <c r="P184" s="798">
        <f>INDEX('Venture Summary - Mthly'!$E189:$EG189,MATCH(P$5,'Venture Summary - Mthly'!$E$5:$EG$5,0))</f>
        <v>0</v>
      </c>
      <c r="Q184" s="798"/>
    </row>
    <row r="185" spans="1:17" ht="12.75" customHeight="1" x14ac:dyDescent="0.3">
      <c r="A185" s="782"/>
      <c r="B185" s="782" t="s">
        <v>114</v>
      </c>
      <c r="C185" s="798">
        <f>SUM(E185:Q185)</f>
        <v>0</v>
      </c>
      <c r="D185" s="782"/>
      <c r="E185" s="798">
        <f>INDEX('Venture Summary - Mthly'!$E190:$EG190,MATCH(E$5,'Venture Summary - Mthly'!$E$5:$EG$5,0))</f>
        <v>0</v>
      </c>
      <c r="F185" s="798">
        <f>INDEX('Venture Summary - Mthly'!$E190:$EG190,MATCH(F$5,'Venture Summary - Mthly'!$E$5:$EG$5,0))</f>
        <v>0</v>
      </c>
      <c r="G185" s="798">
        <f>INDEX('Venture Summary - Mthly'!$E190:$EG190,MATCH(G$5,'Venture Summary - Mthly'!$E$5:$EG$5,0))</f>
        <v>0</v>
      </c>
      <c r="H185" s="798">
        <f>INDEX('Venture Summary - Mthly'!$E190:$EG190,MATCH(H$5,'Venture Summary - Mthly'!$E$5:$EG$5,0))</f>
        <v>0</v>
      </c>
      <c r="I185" s="798">
        <f>INDEX('Venture Summary - Mthly'!$E190:$EG190,MATCH(I$5,'Venture Summary - Mthly'!$E$5:$EG$5,0))</f>
        <v>0</v>
      </c>
      <c r="J185" s="798">
        <f>INDEX('Venture Summary - Mthly'!$E190:$EG190,MATCH(J$5,'Venture Summary - Mthly'!$E$5:$EG$5,0))</f>
        <v>0</v>
      </c>
      <c r="K185" s="798">
        <f>INDEX('Venture Summary - Mthly'!$E190:$EG190,MATCH(K$5,'Venture Summary - Mthly'!$E$5:$EG$5,0))</f>
        <v>0</v>
      </c>
      <c r="L185" s="798">
        <f>INDEX('Venture Summary - Mthly'!$E190:$EG190,MATCH(L$5,'Venture Summary - Mthly'!$E$5:$EG$5,0))</f>
        <v>0</v>
      </c>
      <c r="M185" s="798">
        <f>INDEX('Venture Summary - Mthly'!$E190:$EG190,MATCH(M$5,'Venture Summary - Mthly'!$E$5:$EG$5,0))</f>
        <v>0</v>
      </c>
      <c r="N185" s="798">
        <f>INDEX('Venture Summary - Mthly'!$E190:$EG190,MATCH(N$5,'Venture Summary - Mthly'!$E$5:$EG$5,0))</f>
        <v>0</v>
      </c>
      <c r="O185" s="798">
        <f>INDEX('Venture Summary - Mthly'!$E190:$EG190,MATCH(O$5,'Venture Summary - Mthly'!$E$5:$EG$5,0))</f>
        <v>0</v>
      </c>
      <c r="P185" s="798">
        <f>INDEX('Venture Summary - Mthly'!$E190:$EG190,MATCH(P$5,'Venture Summary - Mthly'!$E$5:$EG$5,0))</f>
        <v>0</v>
      </c>
      <c r="Q185" s="798"/>
    </row>
    <row r="186" spans="1:17" ht="12.75" customHeight="1" x14ac:dyDescent="0.3">
      <c r="A186" s="782"/>
      <c r="B186" s="782" t="s">
        <v>115</v>
      </c>
      <c r="C186" s="798">
        <f>SUM(E186:Q186)</f>
        <v>0</v>
      </c>
      <c r="D186" s="782"/>
      <c r="E186" s="798">
        <f>INDEX('Venture Summary - Mthly'!$E191:$EG191,MATCH(E$5,'Venture Summary - Mthly'!$E$5:$EG$5,0))</f>
        <v>0</v>
      </c>
      <c r="F186" s="798">
        <f>INDEX('Venture Summary - Mthly'!$E191:$EG191,MATCH(F$5,'Venture Summary - Mthly'!$E$5:$EG$5,0))</f>
        <v>0</v>
      </c>
      <c r="G186" s="798">
        <f>INDEX('Venture Summary - Mthly'!$E191:$EG191,MATCH(G$5,'Venture Summary - Mthly'!$E$5:$EG$5,0))</f>
        <v>0</v>
      </c>
      <c r="H186" s="798">
        <f>INDEX('Venture Summary - Mthly'!$E191:$EG191,MATCH(H$5,'Venture Summary - Mthly'!$E$5:$EG$5,0))</f>
        <v>0</v>
      </c>
      <c r="I186" s="798">
        <f>INDEX('Venture Summary - Mthly'!$E191:$EG191,MATCH(I$5,'Venture Summary - Mthly'!$E$5:$EG$5,0))</f>
        <v>0</v>
      </c>
      <c r="J186" s="798">
        <f>INDEX('Venture Summary - Mthly'!$E191:$EG191,MATCH(J$5,'Venture Summary - Mthly'!$E$5:$EG$5,0))</f>
        <v>0</v>
      </c>
      <c r="K186" s="798">
        <f>INDEX('Venture Summary - Mthly'!$E191:$EG191,MATCH(K$5,'Venture Summary - Mthly'!$E$5:$EG$5,0))</f>
        <v>0</v>
      </c>
      <c r="L186" s="798">
        <f>INDEX('Venture Summary - Mthly'!$E191:$EG191,MATCH(L$5,'Venture Summary - Mthly'!$E$5:$EG$5,0))</f>
        <v>0</v>
      </c>
      <c r="M186" s="798">
        <f>INDEX('Venture Summary - Mthly'!$E191:$EG191,MATCH(M$5,'Venture Summary - Mthly'!$E$5:$EG$5,0))</f>
        <v>0</v>
      </c>
      <c r="N186" s="798">
        <f>INDEX('Venture Summary - Mthly'!$E191:$EG191,MATCH(N$5,'Venture Summary - Mthly'!$E$5:$EG$5,0))</f>
        <v>0</v>
      </c>
      <c r="O186" s="798">
        <f>INDEX('Venture Summary - Mthly'!$E191:$EG191,MATCH(O$5,'Venture Summary - Mthly'!$E$5:$EG$5,0))</f>
        <v>0</v>
      </c>
      <c r="P186" s="798">
        <f>INDEX('Venture Summary - Mthly'!$E191:$EG191,MATCH(P$5,'Venture Summary - Mthly'!$E$5:$EG$5,0))</f>
        <v>0</v>
      </c>
      <c r="Q186" s="798"/>
    </row>
    <row r="187" spans="1:17" ht="12.75" customHeight="1" x14ac:dyDescent="0.3">
      <c r="A187" s="782"/>
      <c r="B187" s="782" t="s">
        <v>116</v>
      </c>
      <c r="C187" s="798">
        <f>SUM(E187:O187)</f>
        <v>1088203016.370944</v>
      </c>
      <c r="D187" s="782"/>
      <c r="E187" s="798">
        <f>SUM(E184:E186)/'General Inputs'!$H$46</f>
        <v>0</v>
      </c>
      <c r="F187" s="798">
        <f>SUM(F184:F186)/'General Inputs'!$H$46</f>
        <v>8847338.786576869</v>
      </c>
      <c r="G187" s="798">
        <f>SUM(G184:G186)/'General Inputs'!$H$46</f>
        <v>96419100.070844024</v>
      </c>
      <c r="H187" s="798">
        <f>SUM(H184:H186)/'General Inputs'!$H$46</f>
        <v>105912407.9204604</v>
      </c>
      <c r="I187" s="798">
        <f>SUM(I184:I186)/'General Inputs'!$H$46</f>
        <v>110119251.97356774</v>
      </c>
      <c r="J187" s="798">
        <f>SUM(J184:J186)/'General Inputs'!$H$46</f>
        <v>114579756.88289072</v>
      </c>
      <c r="K187" s="798">
        <f>SUM(K184:K186)/'General Inputs'!$H$46</f>
        <v>119577614.10350357</v>
      </c>
      <c r="L187" s="798">
        <f>SUM(L184:L186)/'General Inputs'!$H$46</f>
        <v>124792929.80428225</v>
      </c>
      <c r="M187" s="798">
        <f>SUM(M184:M186)/'General Inputs'!$H$46</f>
        <v>130231913.10181804</v>
      </c>
      <c r="N187" s="798">
        <f>SUM(N184:N186)/'General Inputs'!$H$46</f>
        <v>135903940.23336616</v>
      </c>
      <c r="O187" s="798">
        <f>SUM(O184:O186)/'General Inputs'!$H$46</f>
        <v>141818763.49363446</v>
      </c>
      <c r="P187" s="798">
        <f>SUM(P184:P186)/'General Inputs'!$H$46</f>
        <v>0</v>
      </c>
      <c r="Q187" s="798"/>
    </row>
    <row r="188" spans="1:17" ht="12.75" customHeight="1" x14ac:dyDescent="0.3">
      <c r="A188" s="782"/>
      <c r="B188" s="782" t="s">
        <v>117</v>
      </c>
      <c r="C188" s="798">
        <f>SUM(E188:O188)</f>
        <v>0</v>
      </c>
      <c r="D188" s="782"/>
      <c r="E188" s="798">
        <f>INDEX('Venture Summary - Mthly'!$E193:$EG193,MATCH(E$5,'Venture Summary - Mthly'!$E$5:$EG$5,0))</f>
        <v>0</v>
      </c>
      <c r="F188" s="798">
        <f>INDEX('Venture Summary - Mthly'!$E193:$EG193,MATCH(F$5,'Venture Summary - Mthly'!$E$5:$EG$5,0))</f>
        <v>0</v>
      </c>
      <c r="G188" s="798">
        <f>INDEX('Venture Summary - Mthly'!$E193:$EG193,MATCH(G$5,'Venture Summary - Mthly'!$E$5:$EG$5,0))</f>
        <v>0</v>
      </c>
      <c r="H188" s="798">
        <f>INDEX('Venture Summary - Mthly'!$E193:$EG193,MATCH(H$5,'Venture Summary - Mthly'!$E$5:$EG$5,0))</f>
        <v>0</v>
      </c>
      <c r="I188" s="798">
        <f>INDEX('Venture Summary - Mthly'!$E193:$EG193,MATCH(I$5,'Venture Summary - Mthly'!$E$5:$EG$5,0))</f>
        <v>0</v>
      </c>
      <c r="J188" s="798">
        <f>INDEX('Venture Summary - Mthly'!$E193:$EG193,MATCH(J$5,'Venture Summary - Mthly'!$E$5:$EG$5,0))</f>
        <v>0</v>
      </c>
      <c r="K188" s="798">
        <f>INDEX('Venture Summary - Mthly'!$E193:$EG193,MATCH(K$5,'Venture Summary - Mthly'!$E$5:$EG$5,0))</f>
        <v>0</v>
      </c>
      <c r="L188" s="798">
        <f>INDEX('Venture Summary - Mthly'!$E193:$EG193,MATCH(L$5,'Venture Summary - Mthly'!$E$5:$EG$5,0))</f>
        <v>0</v>
      </c>
      <c r="M188" s="798">
        <f>INDEX('Venture Summary - Mthly'!$E193:$EG193,MATCH(M$5,'Venture Summary - Mthly'!$E$5:$EG$5,0))</f>
        <v>0</v>
      </c>
      <c r="N188" s="798">
        <f>INDEX('Venture Summary - Mthly'!$E193:$EG193,MATCH(N$5,'Venture Summary - Mthly'!$E$5:$EG$5,0))</f>
        <v>0</v>
      </c>
      <c r="O188" s="798">
        <f>INDEX('Venture Summary - Mthly'!$E193:$EG193,MATCH(O$5,'Venture Summary - Mthly'!$E$5:$EG$5,0))</f>
        <v>0</v>
      </c>
      <c r="P188" s="798">
        <f>INDEX('Venture Summary - Mthly'!$E193:$EG193,MATCH(P$5,'Venture Summary - Mthly'!$E$5:$EG$5,0))</f>
        <v>0</v>
      </c>
      <c r="Q188" s="798"/>
    </row>
    <row r="189" spans="1:17" ht="12.75" customHeight="1" x14ac:dyDescent="0.3">
      <c r="A189" s="782"/>
      <c r="B189" s="782" t="s">
        <v>118</v>
      </c>
      <c r="C189" s="798">
        <f>SUM(E189:O189)</f>
        <v>0</v>
      </c>
      <c r="D189" s="782"/>
      <c r="E189" s="798">
        <f>E188/'General Inputs'!$H$47</f>
        <v>0</v>
      </c>
      <c r="F189" s="798">
        <f>F188/'General Inputs'!$H$47</f>
        <v>0</v>
      </c>
      <c r="G189" s="798">
        <f>G188/'General Inputs'!$H$47</f>
        <v>0</v>
      </c>
      <c r="H189" s="798">
        <f>H188/'General Inputs'!$H$47</f>
        <v>0</v>
      </c>
      <c r="I189" s="798">
        <f>I188/'General Inputs'!$H$47</f>
        <v>0</v>
      </c>
      <c r="J189" s="798">
        <f>J188/'General Inputs'!$H$47</f>
        <v>0</v>
      </c>
      <c r="K189" s="798">
        <f>K188/'General Inputs'!$H$47</f>
        <v>0</v>
      </c>
      <c r="L189" s="798">
        <f>L188/'General Inputs'!$H$47</f>
        <v>0</v>
      </c>
      <c r="M189" s="798">
        <f>M188/'General Inputs'!$H$47</f>
        <v>0</v>
      </c>
      <c r="N189" s="798">
        <f>N188/'General Inputs'!$H$47</f>
        <v>0</v>
      </c>
      <c r="O189" s="798">
        <f>O188/'General Inputs'!$H$47</f>
        <v>0</v>
      </c>
      <c r="P189" s="798">
        <f>P188/'General Inputs'!$H$47</f>
        <v>0</v>
      </c>
      <c r="Q189" s="798"/>
    </row>
    <row r="190" spans="1:17" ht="12.75" customHeight="1" x14ac:dyDescent="0.3">
      <c r="A190" s="782"/>
      <c r="B190" s="781" t="s">
        <v>119</v>
      </c>
      <c r="C190" s="799">
        <f>SUM(E190:O190)</f>
        <v>0</v>
      </c>
      <c r="D190" s="781"/>
      <c r="E190" s="799">
        <f>INDEX('Venture Summary - Mthly'!$E195:$EG195,MATCH(E$5,'Venture Summary - Mthly'!$E$5:$EG$5,0))</f>
        <v>0</v>
      </c>
      <c r="F190" s="799">
        <f>INDEX('Venture Summary - Mthly'!$E195:$EG195,MATCH(F$5,'Venture Summary - Mthly'!$E$5:$EG$5,0))</f>
        <v>0</v>
      </c>
      <c r="G190" s="799">
        <f>INDEX('Venture Summary - Mthly'!$E195:$EG195,MATCH(G$5,'Venture Summary - Mthly'!$E$5:$EG$5,0))</f>
        <v>0</v>
      </c>
      <c r="H190" s="799">
        <f>INDEX('Venture Summary - Mthly'!$E195:$EG195,MATCH(H$5,'Venture Summary - Mthly'!$E$5:$EG$5,0))</f>
        <v>0</v>
      </c>
      <c r="I190" s="799">
        <f>INDEX('Venture Summary - Mthly'!$E195:$EG195,MATCH(I$5,'Venture Summary - Mthly'!$E$5:$EG$5,0))</f>
        <v>0</v>
      </c>
      <c r="J190" s="799">
        <f>INDEX('Venture Summary - Mthly'!$E195:$EG195,MATCH(J$5,'Venture Summary - Mthly'!$E$5:$EG$5,0))</f>
        <v>0</v>
      </c>
      <c r="K190" s="799">
        <f>INDEX('Venture Summary - Mthly'!$E195:$EG195,MATCH(K$5,'Venture Summary - Mthly'!$E$5:$EG$5,0))</f>
        <v>0</v>
      </c>
      <c r="L190" s="799">
        <f>INDEX('Venture Summary - Mthly'!$E195:$EG195,MATCH(L$5,'Venture Summary - Mthly'!$E$5:$EG$5,0))</f>
        <v>0</v>
      </c>
      <c r="M190" s="799">
        <f>INDEX('Venture Summary - Mthly'!$E195:$EG195,MATCH(M$5,'Venture Summary - Mthly'!$E$5:$EG$5,0))</f>
        <v>0</v>
      </c>
      <c r="N190" s="799">
        <f>INDEX('Venture Summary - Mthly'!$E195:$EG195,MATCH(N$5,'Venture Summary - Mthly'!$E$5:$EG$5,0))</f>
        <v>0</v>
      </c>
      <c r="O190" s="799">
        <f>INDEX('Venture Summary - Mthly'!$E195:$EG195,MATCH(O$5,'Venture Summary - Mthly'!$E$5:$EG$5,0))</f>
        <v>0</v>
      </c>
      <c r="P190" s="799">
        <f>INDEX('Venture Summary - Mthly'!$E195:$EG195,MATCH(P$5,'Venture Summary - Mthly'!$E$5:$EG$5,0))</f>
        <v>0</v>
      </c>
      <c r="Q190" s="798"/>
    </row>
    <row r="191" spans="1:17" ht="12.75" customHeight="1" x14ac:dyDescent="0.3">
      <c r="A191" s="782"/>
      <c r="B191" s="796" t="s">
        <v>120</v>
      </c>
      <c r="C191" s="813"/>
      <c r="D191" s="796"/>
      <c r="E191" s="813">
        <f>E187+E189+E190</f>
        <v>0</v>
      </c>
      <c r="F191" s="813">
        <f t="shared" ref="F191:P191" si="28">F187+F189+F190</f>
        <v>8847338.786576869</v>
      </c>
      <c r="G191" s="813">
        <f t="shared" si="28"/>
        <v>96419100.070844024</v>
      </c>
      <c r="H191" s="813">
        <f t="shared" si="28"/>
        <v>105912407.9204604</v>
      </c>
      <c r="I191" s="813">
        <f t="shared" si="28"/>
        <v>110119251.97356774</v>
      </c>
      <c r="J191" s="813">
        <f t="shared" si="28"/>
        <v>114579756.88289072</v>
      </c>
      <c r="K191" s="813">
        <f t="shared" si="28"/>
        <v>119577614.10350357</v>
      </c>
      <c r="L191" s="813">
        <f t="shared" si="28"/>
        <v>124792929.80428225</v>
      </c>
      <c r="M191" s="813">
        <f t="shared" si="28"/>
        <v>130231913.10181804</v>
      </c>
      <c r="N191" s="813">
        <f t="shared" si="28"/>
        <v>135903940.23336616</v>
      </c>
      <c r="O191" s="813">
        <f t="shared" si="28"/>
        <v>141818763.49363446</v>
      </c>
      <c r="P191" s="813">
        <f t="shared" si="28"/>
        <v>0</v>
      </c>
      <c r="Q191" s="813"/>
    </row>
    <row r="192" spans="1:17" ht="12.75" customHeight="1" x14ac:dyDescent="0.3">
      <c r="A192" s="782"/>
      <c r="B192" s="781" t="s">
        <v>121</v>
      </c>
      <c r="C192" s="799"/>
      <c r="D192" s="781"/>
      <c r="E192" s="799">
        <f>-E168-E176</f>
        <v>0</v>
      </c>
      <c r="F192" s="799">
        <f t="shared" ref="F192:P192" si="29">-F168-F176</f>
        <v>-9733199.8629999999</v>
      </c>
      <c r="G192" s="799">
        <f t="shared" si="29"/>
        <v>-42200089.103</v>
      </c>
      <c r="H192" s="799">
        <f t="shared" si="29"/>
        <v>-57343611.907627545</v>
      </c>
      <c r="I192" s="799">
        <f t="shared" si="29"/>
        <v>-57343611.907627545</v>
      </c>
      <c r="J192" s="799">
        <f t="shared" si="29"/>
        <v>-57343611.907627545</v>
      </c>
      <c r="K192" s="799">
        <f t="shared" si="29"/>
        <v>-57343611.907627545</v>
      </c>
      <c r="L192" s="799">
        <f t="shared" si="29"/>
        <v>-57343611.907627545</v>
      </c>
      <c r="M192" s="799">
        <f t="shared" si="29"/>
        <v>-57343611.907627545</v>
      </c>
      <c r="N192" s="799">
        <f t="shared" si="29"/>
        <v>-57343611.907627545</v>
      </c>
      <c r="O192" s="799">
        <f t="shared" si="29"/>
        <v>-57343611.907627545</v>
      </c>
      <c r="P192" s="799">
        <f t="shared" si="29"/>
        <v>-57343611.907627545</v>
      </c>
      <c r="Q192" s="798"/>
    </row>
    <row r="193" spans="1:17" ht="12.75" customHeight="1" x14ac:dyDescent="0.3">
      <c r="A193" s="782"/>
      <c r="B193" s="796" t="s">
        <v>122</v>
      </c>
      <c r="C193" s="813"/>
      <c r="D193" s="796"/>
      <c r="E193" s="813">
        <f>E191+E192</f>
        <v>0</v>
      </c>
      <c r="F193" s="813">
        <f t="shared" ref="F193:P193" si="30">F191+F192</f>
        <v>-885861.07642313093</v>
      </c>
      <c r="G193" s="813">
        <f t="shared" si="30"/>
        <v>54219010.967844024</v>
      </c>
      <c r="H193" s="813">
        <f t="shared" si="30"/>
        <v>48568796.012832858</v>
      </c>
      <c r="I193" s="813">
        <f t="shared" si="30"/>
        <v>52775640.065940194</v>
      </c>
      <c r="J193" s="813">
        <f t="shared" si="30"/>
        <v>57236144.975263171</v>
      </c>
      <c r="K193" s="813">
        <f t="shared" si="30"/>
        <v>62234002.195876025</v>
      </c>
      <c r="L193" s="813">
        <f t="shared" si="30"/>
        <v>67449317.896654695</v>
      </c>
      <c r="M193" s="813">
        <f t="shared" si="30"/>
        <v>72888301.194190502</v>
      </c>
      <c r="N193" s="813">
        <f t="shared" si="30"/>
        <v>78560328.325738609</v>
      </c>
      <c r="O193" s="813">
        <f t="shared" si="30"/>
        <v>84475151.58600691</v>
      </c>
      <c r="P193" s="813">
        <f t="shared" si="30"/>
        <v>-57343611.907627545</v>
      </c>
      <c r="Q193" s="813"/>
    </row>
    <row r="194" spans="1:17" ht="12.75" customHeight="1" x14ac:dyDescent="0.3">
      <c r="A194" s="782"/>
      <c r="B194" s="782" t="s">
        <v>123</v>
      </c>
      <c r="C194" s="798"/>
      <c r="D194" s="782"/>
      <c r="E194" s="798">
        <f>SUM(E187,E189)*-'General Inputs'!$H$50</f>
        <v>0</v>
      </c>
      <c r="F194" s="798">
        <f>SUM(F187,F189)*-'General Inputs'!$H$50</f>
        <v>0</v>
      </c>
      <c r="G194" s="798">
        <f>SUM(G187,G189)*-'General Inputs'!$H$50</f>
        <v>0</v>
      </c>
      <c r="H194" s="798">
        <f>SUM(H187,H189)*-'General Inputs'!$H$50</f>
        <v>0</v>
      </c>
      <c r="I194" s="798">
        <f>SUM(I187,I189)*-'General Inputs'!$H$50</f>
        <v>0</v>
      </c>
      <c r="J194" s="798">
        <f>SUM(J187,J189)*-'General Inputs'!$H$50</f>
        <v>0</v>
      </c>
      <c r="K194" s="798">
        <f>SUM(K187,K189)*-'General Inputs'!$H$50</f>
        <v>0</v>
      </c>
      <c r="L194" s="798">
        <f>SUM(L187,L189)*-'General Inputs'!$H$50</f>
        <v>0</v>
      </c>
      <c r="M194" s="798">
        <f>SUM(M187,M189)*-'General Inputs'!$H$50</f>
        <v>0</v>
      </c>
      <c r="N194" s="798">
        <f>SUM(N187,N189)*-'General Inputs'!$H$50</f>
        <v>0</v>
      </c>
      <c r="O194" s="798">
        <f>SUM(O187,O189)*-'General Inputs'!$H$50</f>
        <v>0</v>
      </c>
      <c r="P194" s="798">
        <f>SUM(P187,P189)*-'General Inputs'!$H$50</f>
        <v>0</v>
      </c>
      <c r="Q194" s="798"/>
    </row>
    <row r="195" spans="1:17" ht="12.75" customHeight="1" x14ac:dyDescent="0.3">
      <c r="A195" s="782"/>
      <c r="B195" s="782" t="s">
        <v>124</v>
      </c>
      <c r="C195" s="798"/>
      <c r="D195" s="782"/>
      <c r="E195" s="798">
        <f>SUM(E187,E189)*-'General Inputs'!$H$51</f>
        <v>0</v>
      </c>
      <c r="F195" s="798">
        <f>SUM(F187,F189)*-'General Inputs'!$H$51</f>
        <v>-8847.3387865768691</v>
      </c>
      <c r="G195" s="798">
        <f>SUM(G187,G189)*-'General Inputs'!$H$51</f>
        <v>-96419.100070844026</v>
      </c>
      <c r="H195" s="798">
        <f>SUM(H187,H189)*-'General Inputs'!$H$51</f>
        <v>-105912.40792046041</v>
      </c>
      <c r="I195" s="798">
        <f>SUM(I187,I189)*-'General Inputs'!$H$51</f>
        <v>-110119.25197356773</v>
      </c>
      <c r="J195" s="798">
        <f>SUM(J187,J189)*-'General Inputs'!$H$51</f>
        <v>-114579.75688289072</v>
      </c>
      <c r="K195" s="798">
        <f>SUM(K187,K189)*-'General Inputs'!$H$51</f>
        <v>-119577.61410350357</v>
      </c>
      <c r="L195" s="798">
        <f>SUM(L187,L189)*-'General Inputs'!$H$51</f>
        <v>-124792.92980428225</v>
      </c>
      <c r="M195" s="798">
        <f>SUM(M187,M189)*-'General Inputs'!$H$51</f>
        <v>-130231.91310181805</v>
      </c>
      <c r="N195" s="798">
        <f>SUM(N187,N189)*-'General Inputs'!$H$51</f>
        <v>-135903.94023336616</v>
      </c>
      <c r="O195" s="798">
        <f>SUM(O187,O189)*-'General Inputs'!$H$51</f>
        <v>-141818.76349363447</v>
      </c>
      <c r="P195" s="798">
        <f>SUM(P187,P189)*-'General Inputs'!$H$51</f>
        <v>0</v>
      </c>
      <c r="Q195" s="798"/>
    </row>
    <row r="196" spans="1:17" ht="12.75" customHeight="1" x14ac:dyDescent="0.3">
      <c r="A196" s="782"/>
      <c r="B196" s="782" t="s">
        <v>125</v>
      </c>
      <c r="C196" s="798"/>
      <c r="D196" s="782"/>
      <c r="E196" s="798">
        <f>IF(E191=0,0,-'General Inputs'!$H$52)</f>
        <v>0</v>
      </c>
      <c r="F196" s="798">
        <f>IF(F191=0,0,-'General Inputs'!$H$52)</f>
        <v>-50000</v>
      </c>
      <c r="G196" s="798">
        <f>IF(G191=0,0,-'General Inputs'!$H$52)</f>
        <v>-50000</v>
      </c>
      <c r="H196" s="798">
        <f>IF(H191=0,0,-'General Inputs'!$H$52)</f>
        <v>-50000</v>
      </c>
      <c r="I196" s="798">
        <f>IF(I191=0,0,-'General Inputs'!$H$52)</f>
        <v>-50000</v>
      </c>
      <c r="J196" s="798">
        <f>IF(J191=0,0,-'General Inputs'!$H$52)</f>
        <v>-50000</v>
      </c>
      <c r="K196" s="798">
        <f>IF(K191=0,0,-'General Inputs'!$H$52)</f>
        <v>-50000</v>
      </c>
      <c r="L196" s="798">
        <f>IF(L191=0,0,-'General Inputs'!$H$52)</f>
        <v>-50000</v>
      </c>
      <c r="M196" s="798">
        <f>IF(M191=0,0,-'General Inputs'!$H$52)</f>
        <v>-50000</v>
      </c>
      <c r="N196" s="798">
        <f>IF(N191=0,0,-'General Inputs'!$H$52)</f>
        <v>-50000</v>
      </c>
      <c r="O196" s="798">
        <f>IF(O191=0,0,-'General Inputs'!$H$52)</f>
        <v>-50000</v>
      </c>
      <c r="P196" s="798">
        <f>IF(P191=0,0,-'General Inputs'!$H$52)</f>
        <v>0</v>
      </c>
      <c r="Q196" s="798"/>
    </row>
    <row r="197" spans="1:17" ht="12.75" customHeight="1" x14ac:dyDescent="0.3">
      <c r="A197" s="782"/>
      <c r="B197" s="781" t="s">
        <v>126</v>
      </c>
      <c r="C197" s="799"/>
      <c r="D197" s="781"/>
      <c r="E197" s="799">
        <f>SUM(E187,E189)*-'General Inputs'!$H$53</f>
        <v>0</v>
      </c>
      <c r="F197" s="799">
        <f>SUM(F187,F189)*-'General Inputs'!$H$53</f>
        <v>-26542.016359730609</v>
      </c>
      <c r="G197" s="799">
        <f>SUM(G187,G189)*-'General Inputs'!$H$53</f>
        <v>-289257.30021253211</v>
      </c>
      <c r="H197" s="799">
        <f>SUM(H187,H189)*-'General Inputs'!$H$53</f>
        <v>-317737.22376138123</v>
      </c>
      <c r="I197" s="799">
        <f>SUM(I187,I189)*-'General Inputs'!$H$53</f>
        <v>-330357.75592070323</v>
      </c>
      <c r="J197" s="799">
        <f>SUM(J187,J189)*-'General Inputs'!$H$53</f>
        <v>-343739.27064867213</v>
      </c>
      <c r="K197" s="799">
        <f>SUM(K187,K189)*-'General Inputs'!$H$53</f>
        <v>-358732.84231051069</v>
      </c>
      <c r="L197" s="799">
        <f>SUM(L187,L189)*-'General Inputs'!$H$53</f>
        <v>-374378.78941284673</v>
      </c>
      <c r="M197" s="799">
        <f>SUM(M187,M189)*-'General Inputs'!$H$53</f>
        <v>-390695.73930545413</v>
      </c>
      <c r="N197" s="799">
        <f>SUM(N187,N189)*-'General Inputs'!$H$53</f>
        <v>-407711.82070009847</v>
      </c>
      <c r="O197" s="799">
        <f>SUM(O187,O189)*-'General Inputs'!$H$53</f>
        <v>-425456.29048090341</v>
      </c>
      <c r="P197" s="799">
        <f>SUM(P187,P189)*-'General Inputs'!$H$53</f>
        <v>0</v>
      </c>
      <c r="Q197" s="798"/>
    </row>
    <row r="198" spans="1:17" s="814" customFormat="1" ht="12.75" customHeight="1" x14ac:dyDescent="0.3">
      <c r="A198" s="796"/>
      <c r="B198" s="796" t="s">
        <v>127</v>
      </c>
      <c r="C198" s="813"/>
      <c r="D198" s="796"/>
      <c r="E198" s="813">
        <f>SUM(E193:E197)</f>
        <v>0</v>
      </c>
      <c r="F198" s="813">
        <f t="shared" ref="F198:P198" si="31">SUM(F193:F197)</f>
        <v>-971250.43156943843</v>
      </c>
      <c r="G198" s="813">
        <f t="shared" si="31"/>
        <v>53783334.56756065</v>
      </c>
      <c r="H198" s="813">
        <f t="shared" si="31"/>
        <v>48095146.381151021</v>
      </c>
      <c r="I198" s="813">
        <f t="shared" si="31"/>
        <v>52285163.058045924</v>
      </c>
      <c r="J198" s="813">
        <f t="shared" si="31"/>
        <v>56727825.947731607</v>
      </c>
      <c r="K198" s="813">
        <f t="shared" si="31"/>
        <v>61705691.739462011</v>
      </c>
      <c r="L198" s="813">
        <f t="shared" si="31"/>
        <v>66900146.177437566</v>
      </c>
      <c r="M198" s="813">
        <f t="shared" si="31"/>
        <v>72317373.541783229</v>
      </c>
      <c r="N198" s="813">
        <f t="shared" si="31"/>
        <v>77966712.56480515</v>
      </c>
      <c r="O198" s="813">
        <f t="shared" si="31"/>
        <v>83857876.532032385</v>
      </c>
      <c r="P198" s="813">
        <f t="shared" si="31"/>
        <v>-57343611.907627545</v>
      </c>
      <c r="Q198" s="813"/>
    </row>
    <row r="199" spans="1:17" ht="12.75" customHeight="1" x14ac:dyDescent="0.3">
      <c r="A199" s="782"/>
      <c r="B199" s="782"/>
      <c r="C199" s="798"/>
      <c r="D199" s="782"/>
      <c r="E199" s="798"/>
      <c r="F199" s="798"/>
      <c r="G199" s="798"/>
      <c r="H199" s="798"/>
      <c r="I199" s="798"/>
      <c r="J199" s="798"/>
      <c r="K199" s="798"/>
      <c r="L199" s="798"/>
      <c r="M199" s="798"/>
      <c r="N199" s="798"/>
      <c r="O199" s="798"/>
      <c r="P199" s="798"/>
      <c r="Q199" s="798"/>
    </row>
    <row r="200" spans="1:17" ht="12.75" customHeight="1" x14ac:dyDescent="0.3">
      <c r="A200" s="782"/>
      <c r="B200" s="793" t="s">
        <v>128</v>
      </c>
      <c r="C200" s="794"/>
      <c r="D200" s="794"/>
      <c r="E200" s="794"/>
      <c r="F200" s="794"/>
      <c r="G200" s="794"/>
      <c r="H200" s="794"/>
      <c r="I200" s="794"/>
      <c r="J200" s="794"/>
      <c r="K200" s="794"/>
      <c r="L200" s="794"/>
      <c r="M200" s="794"/>
      <c r="N200" s="794"/>
      <c r="O200" s="794"/>
      <c r="P200" s="794"/>
      <c r="Q200" s="794"/>
    </row>
    <row r="201" spans="1:17" ht="12.75" customHeight="1" x14ac:dyDescent="0.3">
      <c r="A201" s="782"/>
      <c r="B201" s="782"/>
      <c r="C201" s="798"/>
      <c r="D201" s="782"/>
      <c r="E201" s="798"/>
      <c r="F201" s="798"/>
      <c r="G201" s="798"/>
      <c r="H201" s="798"/>
      <c r="I201" s="798"/>
      <c r="J201" s="798"/>
      <c r="K201" s="798"/>
      <c r="L201" s="798"/>
      <c r="M201" s="798"/>
      <c r="N201" s="798"/>
      <c r="O201" s="798"/>
      <c r="P201" s="798"/>
      <c r="Q201" s="798"/>
    </row>
    <row r="202" spans="1:17" ht="12.75" customHeight="1" x14ac:dyDescent="0.3">
      <c r="A202" s="782"/>
      <c r="B202" s="796" t="s">
        <v>129</v>
      </c>
      <c r="C202" s="782"/>
      <c r="D202" s="782"/>
      <c r="E202" s="782"/>
      <c r="F202" s="798"/>
      <c r="G202" s="798"/>
      <c r="H202" s="798"/>
      <c r="I202" s="798"/>
      <c r="J202" s="798"/>
      <c r="K202" s="798"/>
      <c r="L202" s="798"/>
      <c r="M202" s="798"/>
      <c r="N202" s="798"/>
      <c r="O202" s="798"/>
      <c r="P202" s="798"/>
      <c r="Q202" s="798"/>
    </row>
    <row r="203" spans="1:17" ht="12.75" customHeight="1" x14ac:dyDescent="0.3">
      <c r="A203" s="782"/>
      <c r="B203" s="815" t="s">
        <v>41</v>
      </c>
      <c r="C203" s="808">
        <f>'Venture Summary - Mthly'!C208</f>
        <v>0.1</v>
      </c>
      <c r="D203" s="782"/>
      <c r="E203" s="782"/>
      <c r="F203" s="798"/>
      <c r="G203" s="798"/>
      <c r="H203" s="798"/>
      <c r="I203" s="798"/>
      <c r="J203" s="798"/>
      <c r="K203" s="798"/>
      <c r="L203" s="798"/>
      <c r="M203" s="798"/>
      <c r="N203" s="798"/>
      <c r="O203" s="798"/>
      <c r="P203" s="798"/>
      <c r="Q203" s="798"/>
    </row>
    <row r="204" spans="1:17" ht="12.75" customHeight="1" x14ac:dyDescent="0.3">
      <c r="A204" s="782"/>
      <c r="B204" s="782" t="s">
        <v>42</v>
      </c>
      <c r="C204" s="808">
        <f>'Venture Summary - Mthly'!C209</f>
        <v>2.6115787606784124E-4</v>
      </c>
      <c r="D204" s="782"/>
      <c r="E204" s="782"/>
      <c r="F204" s="798"/>
      <c r="G204" s="798"/>
      <c r="H204" s="798"/>
      <c r="I204" s="798"/>
      <c r="J204" s="798"/>
      <c r="K204" s="798"/>
      <c r="L204" s="798"/>
      <c r="M204" s="798"/>
      <c r="N204" s="798"/>
      <c r="O204" s="798"/>
      <c r="P204" s="798"/>
      <c r="Q204" s="798"/>
    </row>
    <row r="205" spans="1:17" ht="12.75" customHeight="1" x14ac:dyDescent="0.3">
      <c r="A205" s="782"/>
      <c r="B205" s="782" t="s">
        <v>130</v>
      </c>
      <c r="C205" s="792">
        <f>'Venture Summary - Mthly'!C210</f>
        <v>46142</v>
      </c>
      <c r="D205" s="782">
        <f>'Venture Summary - Mthly'!D210</f>
        <v>32</v>
      </c>
      <c r="E205" s="798"/>
      <c r="F205" s="798"/>
      <c r="G205" s="798"/>
      <c r="H205" s="798"/>
      <c r="I205" s="798"/>
      <c r="J205" s="798"/>
      <c r="K205" s="798"/>
      <c r="L205" s="798"/>
      <c r="M205" s="798"/>
      <c r="N205" s="798"/>
      <c r="O205" s="798"/>
      <c r="P205" s="798"/>
      <c r="Q205" s="798"/>
    </row>
    <row r="206" spans="1:17" ht="12.75" customHeight="1" x14ac:dyDescent="0.3">
      <c r="A206" s="782"/>
      <c r="B206" s="782"/>
      <c r="C206" s="798"/>
      <c r="D206" s="782"/>
      <c r="E206" s="798"/>
      <c r="F206" s="798"/>
      <c r="G206" s="798"/>
      <c r="H206" s="798"/>
      <c r="I206" s="798"/>
      <c r="J206" s="798"/>
      <c r="K206" s="798"/>
      <c r="L206" s="798"/>
      <c r="M206" s="798"/>
      <c r="N206" s="798"/>
      <c r="O206" s="798"/>
      <c r="P206" s="798"/>
      <c r="Q206" s="798"/>
    </row>
    <row r="207" spans="1:17" s="273" customFormat="1" ht="12.75" customHeight="1" x14ac:dyDescent="0.3">
      <c r="A207" s="796"/>
      <c r="B207" s="796" t="s">
        <v>131</v>
      </c>
      <c r="C207" s="813">
        <f>SUM(E207:O207)</f>
        <v>6868726.7816661661</v>
      </c>
      <c r="D207" s="796"/>
      <c r="E207" s="816">
        <f t="shared" ref="E207:O207" si="32">SUM(E213)</f>
        <v>0</v>
      </c>
      <c r="F207" s="816">
        <f t="shared" si="32"/>
        <v>0</v>
      </c>
      <c r="G207" s="816">
        <f t="shared" si="32"/>
        <v>0</v>
      </c>
      <c r="H207" s="816">
        <f t="shared" si="32"/>
        <v>6868726.7816661661</v>
      </c>
      <c r="I207" s="816">
        <f t="shared" si="32"/>
        <v>0</v>
      </c>
      <c r="J207" s="816">
        <f t="shared" si="32"/>
        <v>0</v>
      </c>
      <c r="K207" s="816">
        <f t="shared" si="32"/>
        <v>0</v>
      </c>
      <c r="L207" s="816">
        <f t="shared" si="32"/>
        <v>0</v>
      </c>
      <c r="M207" s="816">
        <f t="shared" si="32"/>
        <v>0</v>
      </c>
      <c r="N207" s="816">
        <f t="shared" si="32"/>
        <v>0</v>
      </c>
      <c r="O207" s="816">
        <f t="shared" si="32"/>
        <v>0</v>
      </c>
      <c r="P207" s="816">
        <f>SUM(P213)</f>
        <v>0</v>
      </c>
      <c r="Q207" s="816"/>
    </row>
    <row r="208" spans="1:17" ht="12.75" customHeight="1" x14ac:dyDescent="0.3">
      <c r="A208" s="782"/>
      <c r="B208" s="782"/>
      <c r="C208" s="798"/>
      <c r="D208" s="782"/>
      <c r="E208" s="805"/>
      <c r="F208" s="805"/>
      <c r="G208" s="805"/>
      <c r="H208" s="805"/>
      <c r="I208" s="805"/>
      <c r="J208" s="805"/>
      <c r="K208" s="805"/>
      <c r="L208" s="805"/>
      <c r="M208" s="805"/>
      <c r="N208" s="805"/>
      <c r="O208" s="805"/>
      <c r="P208" s="805"/>
      <c r="Q208" s="805"/>
    </row>
    <row r="209" spans="1:17" ht="12.75" customHeight="1" x14ac:dyDescent="0.3">
      <c r="A209" s="782"/>
      <c r="B209" s="817" t="s">
        <v>132</v>
      </c>
      <c r="C209" s="818"/>
      <c r="D209" s="819"/>
      <c r="E209" s="819"/>
      <c r="F209" s="819"/>
      <c r="G209" s="819"/>
      <c r="H209" s="819"/>
      <c r="I209" s="819"/>
      <c r="J209" s="819"/>
      <c r="K209" s="819"/>
      <c r="L209" s="819"/>
      <c r="M209" s="819"/>
      <c r="N209" s="819"/>
      <c r="O209" s="819"/>
      <c r="P209" s="819"/>
      <c r="Q209" s="819"/>
    </row>
    <row r="210" spans="1:17" ht="12.75" customHeight="1" x14ac:dyDescent="0.3">
      <c r="A210" s="782"/>
      <c r="B210" s="782"/>
      <c r="C210" s="782"/>
      <c r="D210" s="782"/>
      <c r="E210" s="782"/>
      <c r="F210" s="782"/>
      <c r="G210" s="782"/>
      <c r="H210" s="782"/>
      <c r="I210" s="782"/>
      <c r="J210" s="782"/>
      <c r="K210" s="782"/>
      <c r="L210" s="782"/>
      <c r="M210" s="782"/>
      <c r="N210" s="782"/>
      <c r="O210" s="782"/>
      <c r="P210" s="782"/>
      <c r="Q210" s="782"/>
    </row>
    <row r="211" spans="1:17" ht="12.75" customHeight="1" x14ac:dyDescent="0.3">
      <c r="A211" s="782"/>
      <c r="B211" s="782" t="s">
        <v>47</v>
      </c>
      <c r="C211" s="798">
        <f>SUM(E211:O211)</f>
        <v>35657885.983124956</v>
      </c>
      <c r="D211" s="782"/>
      <c r="E211" s="798">
        <f>SUMIF('Venture Summary - Mthly'!$E$7:$EG$7,E$7,'Venture Summary - Mthly'!$E216:$EG216)</f>
        <v>1943435.5218400576</v>
      </c>
      <c r="F211" s="798">
        <f>SUMIF('Venture Summary - Mthly'!$E$7:$EG$7,F$7,'Venture Summary - Mthly'!$E216:$EG216)</f>
        <v>33402655.736660905</v>
      </c>
      <c r="G211" s="798">
        <f>SUMIF('Venture Summary - Mthly'!$E$7:$EG$7,G$7,'Venture Summary - Mthly'!$E216:$EG216)</f>
        <v>311794.72462399269</v>
      </c>
      <c r="H211" s="798">
        <f>SUMIF('Venture Summary - Mthly'!$E$7:$EG$7,H$7,'Venture Summary - Mthly'!$E216:$EG216)</f>
        <v>0</v>
      </c>
      <c r="I211" s="798">
        <f>SUMIF('Venture Summary - Mthly'!$E$7:$EG$7,I$7,'Venture Summary - Mthly'!$E216:$EG216)</f>
        <v>0</v>
      </c>
      <c r="J211" s="798">
        <f>SUMIF('Venture Summary - Mthly'!$E$7:$EG$7,J$7,'Venture Summary - Mthly'!$E216:$EG216)</f>
        <v>0</v>
      </c>
      <c r="K211" s="798">
        <f>SUMIF('Venture Summary - Mthly'!$E$7:$EG$7,K$7,'Venture Summary - Mthly'!$E216:$EG216)</f>
        <v>0</v>
      </c>
      <c r="L211" s="798">
        <f>SUMIF('Venture Summary - Mthly'!$E$7:$EG$7,L$7,'Venture Summary - Mthly'!$E216:$EG216)</f>
        <v>0</v>
      </c>
      <c r="M211" s="798">
        <f>SUMIF('Venture Summary - Mthly'!$E$7:$EG$7,M$7,'Venture Summary - Mthly'!$E216:$EG216)</f>
        <v>0</v>
      </c>
      <c r="N211" s="798">
        <f>SUMIF('Venture Summary - Mthly'!$E$7:$EG$7,N$7,'Venture Summary - Mthly'!$E216:$EG216)</f>
        <v>0</v>
      </c>
      <c r="O211" s="798">
        <f>SUMIF('Venture Summary - Mthly'!$E$7:$EG$7,O$7,'Venture Summary - Mthly'!$E216:$EG216)</f>
        <v>0</v>
      </c>
      <c r="P211" s="798">
        <f>SUMIF('Venture Summary - Mthly'!$E$7:$EG$7,P$7,'Venture Summary - Mthly'!$E216:$EG216)</f>
        <v>0</v>
      </c>
      <c r="Q211" s="798"/>
    </row>
    <row r="212" spans="1:17" ht="12.75" customHeight="1" x14ac:dyDescent="0.3">
      <c r="A212" s="782"/>
      <c r="B212" s="782" t="s">
        <v>133</v>
      </c>
      <c r="C212" s="798">
        <f>SUM(E212:O212)</f>
        <v>6868726.7816661661</v>
      </c>
      <c r="D212" s="782"/>
      <c r="E212" s="798">
        <f>SUMIF('Venture Summary - Mthly'!$E$7:$EG$7,E$7,'Venture Summary - Mthly'!$E217:$EG217)</f>
        <v>0</v>
      </c>
      <c r="F212" s="798">
        <f>SUMIF('Venture Summary - Mthly'!$E$7:$EG$7,F$7,'Venture Summary - Mthly'!$E217:$EG217)</f>
        <v>0</v>
      </c>
      <c r="G212" s="798">
        <f>SUMIF('Venture Summary - Mthly'!$E$7:$EG$7,G$7,'Venture Summary - Mthly'!$E217:$EG217)</f>
        <v>0</v>
      </c>
      <c r="H212" s="798">
        <f>SUMIF('Venture Summary - Mthly'!$E$7:$EG$7,H$7,'Venture Summary - Mthly'!$E217:$EG217)</f>
        <v>6868726.7816661661</v>
      </c>
      <c r="I212" s="798">
        <f>SUMIF('Venture Summary - Mthly'!$E$7:$EG$7,I$7,'Venture Summary - Mthly'!$E217:$EG217)</f>
        <v>0</v>
      </c>
      <c r="J212" s="798">
        <f>SUMIF('Venture Summary - Mthly'!$E$7:$EG$7,J$7,'Venture Summary - Mthly'!$E217:$EG217)</f>
        <v>0</v>
      </c>
      <c r="K212" s="798">
        <f>SUMIF('Venture Summary - Mthly'!$E$7:$EG$7,K$7,'Venture Summary - Mthly'!$E217:$EG217)</f>
        <v>0</v>
      </c>
      <c r="L212" s="798">
        <f>SUMIF('Venture Summary - Mthly'!$E$7:$EG$7,L$7,'Venture Summary - Mthly'!$E217:$EG217)</f>
        <v>0</v>
      </c>
      <c r="M212" s="798">
        <f>SUMIF('Venture Summary - Mthly'!$E$7:$EG$7,M$7,'Venture Summary - Mthly'!$E217:$EG217)</f>
        <v>0</v>
      </c>
      <c r="N212" s="798">
        <f>SUMIF('Venture Summary - Mthly'!$E$7:$EG$7,N$7,'Venture Summary - Mthly'!$E217:$EG217)</f>
        <v>0</v>
      </c>
      <c r="O212" s="798">
        <f>SUMIF('Venture Summary - Mthly'!$E$7:$EG$7,O$7,'Venture Summary - Mthly'!$E217:$EG217)</f>
        <v>0</v>
      </c>
      <c r="P212" s="798">
        <f>SUMIF('Venture Summary - Mthly'!$E$7:$EG$7,P$7,'Venture Summary - Mthly'!$E217:$EG217)</f>
        <v>0</v>
      </c>
      <c r="Q212" s="798"/>
    </row>
    <row r="213" spans="1:17" ht="12.75" customHeight="1" x14ac:dyDescent="0.3">
      <c r="A213" s="782"/>
      <c r="B213" s="782" t="s">
        <v>134</v>
      </c>
      <c r="C213" s="798">
        <f>SUM(E213:O213)</f>
        <v>6868726.7816661661</v>
      </c>
      <c r="D213" s="782"/>
      <c r="E213" s="798">
        <f>SUMIF('Venture Summary - Mthly'!$E$7:$EG$7,E$7,'Venture Summary - Mthly'!$E218:$EG218)</f>
        <v>0</v>
      </c>
      <c r="F213" s="798">
        <f>SUMIF('Venture Summary - Mthly'!$E$7:$EG$7,F$7,'Venture Summary - Mthly'!$E218:$EG218)</f>
        <v>0</v>
      </c>
      <c r="G213" s="798">
        <f>SUMIF('Venture Summary - Mthly'!$E$7:$EG$7,G$7,'Venture Summary - Mthly'!$E218:$EG218)</f>
        <v>0</v>
      </c>
      <c r="H213" s="798">
        <f>SUMIF('Venture Summary - Mthly'!$E$7:$EG$7,H$7,'Venture Summary - Mthly'!$E218:$EG218)</f>
        <v>6868726.7816661661</v>
      </c>
      <c r="I213" s="798">
        <f>SUMIF('Venture Summary - Mthly'!$E$7:$EG$7,I$7,'Venture Summary - Mthly'!$E218:$EG218)</f>
        <v>0</v>
      </c>
      <c r="J213" s="798">
        <f>SUMIF('Venture Summary - Mthly'!$E$7:$EG$7,J$7,'Venture Summary - Mthly'!$E218:$EG218)</f>
        <v>0</v>
      </c>
      <c r="K213" s="798">
        <f>SUMIF('Venture Summary - Mthly'!$E$7:$EG$7,K$7,'Venture Summary - Mthly'!$E218:$EG218)</f>
        <v>0</v>
      </c>
      <c r="L213" s="798">
        <f>SUMIF('Venture Summary - Mthly'!$E$7:$EG$7,L$7,'Venture Summary - Mthly'!$E218:$EG218)</f>
        <v>0</v>
      </c>
      <c r="M213" s="798">
        <f>SUMIF('Venture Summary - Mthly'!$E$7:$EG$7,M$7,'Venture Summary - Mthly'!$E218:$EG218)</f>
        <v>0</v>
      </c>
      <c r="N213" s="798">
        <f>SUMIF('Venture Summary - Mthly'!$E$7:$EG$7,N$7,'Venture Summary - Mthly'!$E218:$EG218)</f>
        <v>0</v>
      </c>
      <c r="O213" s="798">
        <f>SUMIF('Venture Summary - Mthly'!$E$7:$EG$7,O$7,'Venture Summary - Mthly'!$E218:$EG218)</f>
        <v>0</v>
      </c>
      <c r="P213" s="798">
        <f>SUMIF('Venture Summary - Mthly'!$E$7:$EG$7,P$7,'Venture Summary - Mthly'!$E218:$EG218)</f>
        <v>0</v>
      </c>
      <c r="Q213" s="798"/>
    </row>
    <row r="214" spans="1:17" ht="12.75" customHeight="1" x14ac:dyDescent="0.3">
      <c r="A214" s="782"/>
      <c r="B214" s="782"/>
      <c r="C214" s="782"/>
      <c r="D214" s="782"/>
      <c r="E214" s="782"/>
      <c r="F214" s="782"/>
      <c r="G214" s="782"/>
      <c r="H214" s="782"/>
      <c r="I214" s="782"/>
      <c r="J214" s="782"/>
      <c r="K214" s="782"/>
      <c r="L214" s="782"/>
      <c r="M214" s="782"/>
      <c r="N214" s="782"/>
      <c r="O214" s="782"/>
      <c r="P214" s="782"/>
      <c r="Q214" s="782"/>
    </row>
    <row r="215" spans="1:17" ht="12.75" customHeight="1" x14ac:dyDescent="0.3">
      <c r="A215" s="782"/>
      <c r="B215" s="782" t="s">
        <v>48</v>
      </c>
      <c r="C215" s="798">
        <f>SUM(E215:O215)</f>
        <v>60916274.722085506</v>
      </c>
      <c r="D215" s="782"/>
      <c r="E215" s="798">
        <f>SUMIF('Venture Summary - Mthly'!$E$7:$EG$7,E$7,'Venture Summary - Mthly'!$E220:$EG220)</f>
        <v>0</v>
      </c>
      <c r="F215" s="798">
        <f>SUMIF('Venture Summary - Mthly'!$E$7:$EG$7,F$7,'Venture Summary - Mthly'!$E220:$EG220)</f>
        <v>0</v>
      </c>
      <c r="G215" s="798">
        <f>SUMIF('Venture Summary - Mthly'!$E$7:$EG$7,G$7,'Venture Summary - Mthly'!$E220:$EG220)</f>
        <v>0</v>
      </c>
      <c r="H215" s="798">
        <f>SUMIF('Venture Summary - Mthly'!$E$7:$EG$7,H$7,'Venture Summary - Mthly'!$E220:$EG220)</f>
        <v>60916274.722085506</v>
      </c>
      <c r="I215" s="798">
        <f>SUMIF('Venture Summary - Mthly'!$E$7:$EG$7,I$7,'Venture Summary - Mthly'!$E220:$EG220)</f>
        <v>0</v>
      </c>
      <c r="J215" s="798">
        <f>SUMIF('Venture Summary - Mthly'!$E$7:$EG$7,J$7,'Venture Summary - Mthly'!$E220:$EG220)</f>
        <v>0</v>
      </c>
      <c r="K215" s="798">
        <f>SUMIF('Venture Summary - Mthly'!$E$7:$EG$7,K$7,'Venture Summary - Mthly'!$E220:$EG220)</f>
        <v>0</v>
      </c>
      <c r="L215" s="798">
        <f>SUMIF('Venture Summary - Mthly'!$E$7:$EG$7,L$7,'Venture Summary - Mthly'!$E220:$EG220)</f>
        <v>0</v>
      </c>
      <c r="M215" s="798">
        <f>SUMIF('Venture Summary - Mthly'!$E$7:$EG$7,M$7,'Venture Summary - Mthly'!$E220:$EG220)</f>
        <v>0</v>
      </c>
      <c r="N215" s="798">
        <f>SUMIF('Venture Summary - Mthly'!$E$7:$EG$7,N$7,'Venture Summary - Mthly'!$E220:$EG220)</f>
        <v>0</v>
      </c>
      <c r="O215" s="798">
        <f>SUMIF('Venture Summary - Mthly'!$E$7:$EG$7,O$7,'Venture Summary - Mthly'!$E220:$EG220)</f>
        <v>0</v>
      </c>
      <c r="P215" s="798">
        <f>SUMIF('Venture Summary - Mthly'!$E$7:$EG$7,P$7,'Venture Summary - Mthly'!$E220:$EG220)</f>
        <v>0</v>
      </c>
      <c r="Q215" s="798"/>
    </row>
    <row r="216" spans="1:17" ht="12.75" customHeight="1" x14ac:dyDescent="0.3">
      <c r="A216" s="782"/>
      <c r="B216" s="782" t="s">
        <v>135</v>
      </c>
      <c r="C216" s="798">
        <f>SUM(E216:O216)</f>
        <v>18389661.957294382</v>
      </c>
      <c r="D216" s="782"/>
      <c r="E216" s="798">
        <f>SUMIF('Venture Summary - Mthly'!$E$7:$EG$7,E$7,'Venture Summary - Mthly'!$E221:$EG221)</f>
        <v>0</v>
      </c>
      <c r="F216" s="798">
        <f>SUMIF('Venture Summary - Mthly'!$E$7:$EG$7,F$7,'Venture Summary - Mthly'!$E221:$EG221)</f>
        <v>0</v>
      </c>
      <c r="G216" s="798">
        <f>SUMIF('Venture Summary - Mthly'!$E$7:$EG$7,G$7,'Venture Summary - Mthly'!$E221:$EG221)</f>
        <v>0</v>
      </c>
      <c r="H216" s="798">
        <f>SUMIF('Venture Summary - Mthly'!$E$7:$EG$7,H$7,'Venture Summary - Mthly'!$E221:$EG221)</f>
        <v>18389661.957294382</v>
      </c>
      <c r="I216" s="798">
        <f>SUMIF('Venture Summary - Mthly'!$E$7:$EG$7,I$7,'Venture Summary - Mthly'!$E221:$EG221)</f>
        <v>0</v>
      </c>
      <c r="J216" s="798">
        <f>SUMIF('Venture Summary - Mthly'!$E$7:$EG$7,J$7,'Venture Summary - Mthly'!$E221:$EG221)</f>
        <v>0</v>
      </c>
      <c r="K216" s="798">
        <f>SUMIF('Venture Summary - Mthly'!$E$7:$EG$7,K$7,'Venture Summary - Mthly'!$E221:$EG221)</f>
        <v>0</v>
      </c>
      <c r="L216" s="798">
        <f>SUMIF('Venture Summary - Mthly'!$E$7:$EG$7,L$7,'Venture Summary - Mthly'!$E221:$EG221)</f>
        <v>0</v>
      </c>
      <c r="M216" s="798">
        <f>SUMIF('Venture Summary - Mthly'!$E$7:$EG$7,M$7,'Venture Summary - Mthly'!$E221:$EG221)</f>
        <v>0</v>
      </c>
      <c r="N216" s="798">
        <f>SUMIF('Venture Summary - Mthly'!$E$7:$EG$7,N$7,'Venture Summary - Mthly'!$E221:$EG221)</f>
        <v>0</v>
      </c>
      <c r="O216" s="798">
        <f>SUMIF('Venture Summary - Mthly'!$E$7:$EG$7,O$7,'Venture Summary - Mthly'!$E221:$EG221)</f>
        <v>0</v>
      </c>
      <c r="P216" s="798">
        <f>SUMIF('Venture Summary - Mthly'!$E$7:$EG$7,P$7,'Venture Summary - Mthly'!$E221:$EG221)</f>
        <v>0</v>
      </c>
      <c r="Q216" s="798"/>
    </row>
    <row r="217" spans="1:17" ht="12.75" customHeight="1" x14ac:dyDescent="0.3">
      <c r="A217" s="782"/>
      <c r="B217" s="782"/>
      <c r="C217" s="782"/>
      <c r="D217" s="782"/>
      <c r="E217" s="782"/>
      <c r="F217" s="782"/>
      <c r="G217" s="782"/>
      <c r="H217" s="782"/>
      <c r="I217" s="782"/>
      <c r="J217" s="782"/>
      <c r="K217" s="782"/>
      <c r="L217" s="782"/>
      <c r="M217" s="782"/>
      <c r="N217" s="782"/>
      <c r="O217" s="782"/>
      <c r="P217" s="782"/>
      <c r="Q217" s="782"/>
    </row>
    <row r="218" spans="1:17" ht="12.75" customHeight="1" x14ac:dyDescent="0.3">
      <c r="A218" s="782"/>
      <c r="B218" s="796" t="s">
        <v>136</v>
      </c>
      <c r="C218" s="798"/>
      <c r="D218" s="782"/>
      <c r="E218" s="782"/>
      <c r="F218" s="782"/>
      <c r="G218" s="782"/>
      <c r="H218" s="782"/>
      <c r="I218" s="782"/>
      <c r="J218" s="782"/>
      <c r="K218" s="782"/>
      <c r="L218" s="782"/>
      <c r="M218" s="782"/>
      <c r="N218" s="782"/>
      <c r="O218" s="782"/>
      <c r="P218" s="782"/>
      <c r="Q218" s="782"/>
    </row>
    <row r="219" spans="1:17" ht="12.75" customHeight="1" x14ac:dyDescent="0.3">
      <c r="A219" s="782"/>
      <c r="B219" s="782" t="s">
        <v>137</v>
      </c>
      <c r="C219" s="798"/>
      <c r="D219" s="782"/>
      <c r="E219" s="782">
        <f t="shared" ref="E219:P219" si="33">IF(E4&lt;=$C$205,1,0)</f>
        <v>1</v>
      </c>
      <c r="F219" s="782">
        <f t="shared" si="33"/>
        <v>1</v>
      </c>
      <c r="G219" s="782">
        <f t="shared" si="33"/>
        <v>1</v>
      </c>
      <c r="H219" s="782">
        <f t="shared" si="33"/>
        <v>0</v>
      </c>
      <c r="I219" s="782">
        <f t="shared" si="33"/>
        <v>0</v>
      </c>
      <c r="J219" s="782">
        <f t="shared" si="33"/>
        <v>0</v>
      </c>
      <c r="K219" s="782">
        <f t="shared" si="33"/>
        <v>0</v>
      </c>
      <c r="L219" s="782">
        <f t="shared" si="33"/>
        <v>0</v>
      </c>
      <c r="M219" s="782">
        <f t="shared" si="33"/>
        <v>0</v>
      </c>
      <c r="N219" s="782">
        <f t="shared" si="33"/>
        <v>0</v>
      </c>
      <c r="O219" s="782">
        <f t="shared" si="33"/>
        <v>0</v>
      </c>
      <c r="P219" s="782">
        <f t="shared" si="33"/>
        <v>0</v>
      </c>
      <c r="Q219" s="782"/>
    </row>
    <row r="220" spans="1:17" ht="12.75" customHeight="1" x14ac:dyDescent="0.3">
      <c r="A220" s="782"/>
      <c r="B220" s="782" t="s">
        <v>138</v>
      </c>
      <c r="C220" s="798"/>
      <c r="D220" s="782"/>
      <c r="E220" s="782">
        <f t="shared" ref="E220:P220" si="34">IF(E4=$C$205,1,0)</f>
        <v>0</v>
      </c>
      <c r="F220" s="782">
        <f t="shared" si="34"/>
        <v>0</v>
      </c>
      <c r="G220" s="782">
        <f t="shared" si="34"/>
        <v>0</v>
      </c>
      <c r="H220" s="782">
        <f t="shared" si="34"/>
        <v>0</v>
      </c>
      <c r="I220" s="782">
        <f t="shared" si="34"/>
        <v>0</v>
      </c>
      <c r="J220" s="782">
        <f t="shared" si="34"/>
        <v>0</v>
      </c>
      <c r="K220" s="782">
        <f t="shared" si="34"/>
        <v>0</v>
      </c>
      <c r="L220" s="782">
        <f t="shared" si="34"/>
        <v>0</v>
      </c>
      <c r="M220" s="782">
        <f t="shared" si="34"/>
        <v>0</v>
      </c>
      <c r="N220" s="782">
        <f t="shared" si="34"/>
        <v>0</v>
      </c>
      <c r="O220" s="782">
        <f t="shared" si="34"/>
        <v>0</v>
      </c>
      <c r="P220" s="782">
        <f t="shared" si="34"/>
        <v>0</v>
      </c>
      <c r="Q220" s="782"/>
    </row>
    <row r="221" spans="1:17" ht="12.75" customHeight="1" x14ac:dyDescent="0.3">
      <c r="A221" s="782"/>
      <c r="B221" s="782"/>
      <c r="C221" s="798"/>
      <c r="D221" s="782"/>
      <c r="E221" s="782"/>
      <c r="F221" s="782"/>
      <c r="G221" s="782"/>
      <c r="H221" s="782"/>
      <c r="I221" s="782"/>
      <c r="J221" s="782"/>
      <c r="K221" s="782"/>
      <c r="L221" s="782"/>
      <c r="M221" s="782"/>
      <c r="N221" s="782"/>
      <c r="O221" s="782"/>
      <c r="P221" s="782"/>
      <c r="Q221" s="782"/>
    </row>
    <row r="222" spans="1:17" ht="12.75" customHeight="1" x14ac:dyDescent="0.3">
      <c r="A222" s="782"/>
      <c r="B222" s="782" t="s">
        <v>139</v>
      </c>
      <c r="C222" s="804">
        <f>SUM(E222:O222)</f>
        <v>-33650095.023650117</v>
      </c>
      <c r="D222" s="782"/>
      <c r="E222" s="798">
        <f>SUMIF('Venture Summary - Mthly'!$E$7:$EG$7,E$7,'Venture Summary - Mthly'!$E227:$EG227)</f>
        <v>-1943435.5218400576</v>
      </c>
      <c r="F222" s="798">
        <f>SUMIF('Venture Summary - Mthly'!$E$7:$EG$7,F$7,'Venture Summary - Mthly'!$E227:$EG227)</f>
        <v>-33402655.736660905</v>
      </c>
      <c r="G222" s="798">
        <f>SUMIF('Venture Summary - Mthly'!$E$7:$EG$7,G$7,'Venture Summary - Mthly'!$E227:$EG227)</f>
        <v>-300630.26932519954</v>
      </c>
      <c r="H222" s="798">
        <f>SUMIF('Venture Summary - Mthly'!$E$7:$EG$7,H$7,'Venture Summary - Mthly'!$E227:$EG227)</f>
        <v>1996626.5041760425</v>
      </c>
      <c r="I222" s="798">
        <f>SUMIF('Venture Summary - Mthly'!$E$7:$EG$7,I$7,'Venture Summary - Mthly'!$E227:$EG227)</f>
        <v>0</v>
      </c>
      <c r="J222" s="798">
        <f>SUMIF('Venture Summary - Mthly'!$E$7:$EG$7,J$7,'Venture Summary - Mthly'!$E227:$EG227)</f>
        <v>0</v>
      </c>
      <c r="K222" s="798">
        <f>SUMIF('Venture Summary - Mthly'!$E$7:$EG$7,K$7,'Venture Summary - Mthly'!$E227:$EG227)</f>
        <v>0</v>
      </c>
      <c r="L222" s="798">
        <f>SUMIF('Venture Summary - Mthly'!$E$7:$EG$7,L$7,'Venture Summary - Mthly'!$E227:$EG227)</f>
        <v>0</v>
      </c>
      <c r="M222" s="798">
        <f>SUMIF('Venture Summary - Mthly'!$E$7:$EG$7,M$7,'Venture Summary - Mthly'!$E227:$EG227)</f>
        <v>0</v>
      </c>
      <c r="N222" s="798">
        <f>SUMIF('Venture Summary - Mthly'!$E$7:$EG$7,N$7,'Venture Summary - Mthly'!$E227:$EG227)</f>
        <v>0</v>
      </c>
      <c r="O222" s="798">
        <f>SUMIF('Venture Summary - Mthly'!$E$7:$EG$7,O$7,'Venture Summary - Mthly'!$E227:$EG227)</f>
        <v>0</v>
      </c>
      <c r="P222" s="798">
        <f>SUMIF('Venture Summary - Mthly'!$E$7:$EG$7,P$7,'Venture Summary - Mthly'!$E227:$EG227)</f>
        <v>0</v>
      </c>
      <c r="Q222" s="798"/>
    </row>
    <row r="223" spans="1:17" ht="12.75" customHeight="1" x14ac:dyDescent="0.3">
      <c r="A223" s="782"/>
      <c r="B223" s="781" t="s">
        <v>140</v>
      </c>
      <c r="C223" s="804">
        <f>SUM(E223:O223)</f>
        <v>54047547.940419339</v>
      </c>
      <c r="D223" s="782"/>
      <c r="E223" s="799">
        <f>SUMIF('Venture Summary - Mthly'!$E$7:$EG$7,E$7,'Venture Summary - Mthly'!$E228:$EG228)</f>
        <v>0</v>
      </c>
      <c r="F223" s="799">
        <f>SUMIF('Venture Summary - Mthly'!$E$7:$EG$7,F$7,'Venture Summary - Mthly'!$E228:$EG228)</f>
        <v>0</v>
      </c>
      <c r="G223" s="799">
        <f>SUMIF('Venture Summary - Mthly'!$E$7:$EG$7,G$7,'Venture Summary - Mthly'!$E228:$EG228)</f>
        <v>0</v>
      </c>
      <c r="H223" s="799">
        <f>SUMIF('Venture Summary - Mthly'!$E$7:$EG$7,H$7,'Venture Summary - Mthly'!$E228:$EG228)</f>
        <v>54047547.940419339</v>
      </c>
      <c r="I223" s="799">
        <f>SUMIF('Venture Summary - Mthly'!$E$7:$EG$7,I$7,'Venture Summary - Mthly'!$E228:$EG228)</f>
        <v>0</v>
      </c>
      <c r="J223" s="799">
        <f>SUMIF('Venture Summary - Mthly'!$E$7:$EG$7,J$7,'Venture Summary - Mthly'!$E228:$EG228)</f>
        <v>0</v>
      </c>
      <c r="K223" s="799">
        <f>SUMIF('Venture Summary - Mthly'!$E$7:$EG$7,K$7,'Venture Summary - Mthly'!$E228:$EG228)</f>
        <v>0</v>
      </c>
      <c r="L223" s="799">
        <f>SUMIF('Venture Summary - Mthly'!$E$7:$EG$7,L$7,'Venture Summary - Mthly'!$E228:$EG228)</f>
        <v>0</v>
      </c>
      <c r="M223" s="799">
        <f>SUMIF('Venture Summary - Mthly'!$E$7:$EG$7,M$7,'Venture Summary - Mthly'!$E228:$EG228)</f>
        <v>0</v>
      </c>
      <c r="N223" s="799">
        <f>SUMIF('Venture Summary - Mthly'!$E$7:$EG$7,N$7,'Venture Summary - Mthly'!$E228:$EG228)</f>
        <v>0</v>
      </c>
      <c r="O223" s="799">
        <f>SUMIF('Venture Summary - Mthly'!$E$7:$EG$7,O$7,'Venture Summary - Mthly'!$E228:$EG228)</f>
        <v>0</v>
      </c>
      <c r="P223" s="799">
        <f>SUMIF('Venture Summary - Mthly'!$E$7:$EG$7,P$7,'Venture Summary - Mthly'!$E228:$EG228)</f>
        <v>0</v>
      </c>
      <c r="Q223" s="798"/>
    </row>
    <row r="224" spans="1:17" ht="12.75" customHeight="1" x14ac:dyDescent="0.3">
      <c r="A224" s="782"/>
      <c r="B224" s="782" t="s">
        <v>141</v>
      </c>
      <c r="C224" s="820">
        <f>SUM(E224:O224)</f>
        <v>20397452.916769221</v>
      </c>
      <c r="D224" s="821"/>
      <c r="E224" s="798">
        <f t="shared" ref="E224:O224" si="35">SUM(E222:E223)</f>
        <v>-1943435.5218400576</v>
      </c>
      <c r="F224" s="798">
        <f t="shared" si="35"/>
        <v>-33402655.736660905</v>
      </c>
      <c r="G224" s="798">
        <f t="shared" si="35"/>
        <v>-300630.26932519954</v>
      </c>
      <c r="H224" s="798">
        <f>SUM(H222:H223)</f>
        <v>56044174.444595382</v>
      </c>
      <c r="I224" s="798">
        <f>SUM(I222:I223)</f>
        <v>0</v>
      </c>
      <c r="J224" s="798">
        <f>SUM(J222:J223)</f>
        <v>0</v>
      </c>
      <c r="K224" s="798">
        <f t="shared" si="35"/>
        <v>0</v>
      </c>
      <c r="L224" s="798">
        <f t="shared" si="35"/>
        <v>0</v>
      </c>
      <c r="M224" s="798">
        <f t="shared" si="35"/>
        <v>0</v>
      </c>
      <c r="N224" s="798">
        <f t="shared" si="35"/>
        <v>0</v>
      </c>
      <c r="O224" s="798">
        <f t="shared" si="35"/>
        <v>0</v>
      </c>
      <c r="P224" s="798">
        <f>SUM(P222:P223)</f>
        <v>0</v>
      </c>
      <c r="Q224" s="798"/>
    </row>
    <row r="225" spans="1:17" ht="12.75" customHeight="1" x14ac:dyDescent="0.3">
      <c r="A225" s="782"/>
      <c r="B225" s="800" t="s">
        <v>142</v>
      </c>
      <c r="C225" s="801">
        <f>'Venture Summary - Mthly'!C230</f>
        <v>0.21550791859626769</v>
      </c>
      <c r="D225" s="782"/>
      <c r="E225" s="782"/>
      <c r="F225" s="782"/>
      <c r="G225" s="782"/>
      <c r="H225" s="782"/>
      <c r="I225" s="782"/>
      <c r="J225" s="782"/>
      <c r="K225" s="782"/>
      <c r="L225" s="782"/>
      <c r="M225" s="782"/>
      <c r="N225" s="782"/>
      <c r="O225" s="782"/>
      <c r="P225" s="782"/>
      <c r="Q225" s="782"/>
    </row>
    <row r="226" spans="1:17" ht="12.75" customHeight="1" x14ac:dyDescent="0.3">
      <c r="A226" s="782"/>
      <c r="B226" s="782"/>
      <c r="C226" s="798"/>
      <c r="D226" s="782"/>
      <c r="E226" s="782"/>
      <c r="F226" s="782"/>
      <c r="G226" s="782"/>
      <c r="H226" s="782"/>
      <c r="I226" s="782"/>
      <c r="J226" s="782"/>
      <c r="K226" s="782"/>
      <c r="L226" s="782"/>
      <c r="M226" s="782"/>
      <c r="N226" s="782"/>
      <c r="O226" s="782"/>
      <c r="P226" s="782"/>
      <c r="Q226" s="782"/>
    </row>
    <row r="227" spans="1:17" ht="12.75" customHeight="1" x14ac:dyDescent="0.3">
      <c r="A227" s="782"/>
      <c r="B227" s="793" t="s">
        <v>143</v>
      </c>
      <c r="C227" s="794"/>
      <c r="D227" s="794"/>
      <c r="E227" s="794"/>
      <c r="F227" s="794"/>
      <c r="G227" s="794"/>
      <c r="H227" s="794"/>
      <c r="I227" s="794"/>
      <c r="J227" s="794"/>
      <c r="K227" s="794"/>
      <c r="L227" s="794"/>
      <c r="M227" s="794"/>
      <c r="N227" s="794"/>
      <c r="O227" s="794"/>
      <c r="P227" s="794"/>
      <c r="Q227" s="794"/>
    </row>
    <row r="228" spans="1:17" ht="12.75" customHeight="1" x14ac:dyDescent="0.3">
      <c r="A228" s="782"/>
      <c r="B228" s="782"/>
      <c r="C228" s="798"/>
      <c r="D228" s="782"/>
      <c r="E228" s="798"/>
      <c r="F228" s="798"/>
      <c r="G228" s="798"/>
      <c r="H228" s="798"/>
      <c r="I228" s="798"/>
      <c r="J228" s="798"/>
      <c r="K228" s="798"/>
      <c r="L228" s="798"/>
      <c r="M228" s="798"/>
      <c r="N228" s="798"/>
      <c r="O228" s="798"/>
      <c r="P228" s="798"/>
      <c r="Q228" s="798"/>
    </row>
    <row r="229" spans="1:17" ht="12.75" customHeight="1" x14ac:dyDescent="0.3">
      <c r="A229" s="782"/>
      <c r="B229" s="782" t="s">
        <v>41</v>
      </c>
      <c r="C229" s="808">
        <f>+'Venture Assumptions'!F44</f>
        <v>8.2500000000000004E-2</v>
      </c>
      <c r="D229" s="782"/>
      <c r="E229" s="782"/>
      <c r="F229" s="798"/>
      <c r="G229" s="798"/>
      <c r="H229" s="798"/>
      <c r="I229" s="798"/>
      <c r="J229" s="798"/>
      <c r="K229" s="798"/>
      <c r="L229" s="798"/>
      <c r="M229" s="798"/>
      <c r="N229" s="798"/>
      <c r="O229" s="798"/>
      <c r="P229" s="798"/>
      <c r="Q229" s="798"/>
    </row>
    <row r="230" spans="1:17" ht="12.75" customHeight="1" x14ac:dyDescent="0.3">
      <c r="A230" s="782"/>
      <c r="B230" s="791" t="s">
        <v>42</v>
      </c>
      <c r="C230" s="808">
        <f>(1+C229)^(1/365)-1</f>
        <v>2.1721038373123669E-4</v>
      </c>
      <c r="D230" s="782"/>
      <c r="E230" s="782"/>
      <c r="F230" s="798"/>
      <c r="G230" s="798"/>
      <c r="H230" s="798"/>
      <c r="I230" s="798"/>
      <c r="J230" s="798"/>
      <c r="K230" s="798"/>
      <c r="L230" s="798"/>
      <c r="M230" s="798"/>
      <c r="N230" s="798"/>
      <c r="O230" s="798"/>
      <c r="P230" s="798"/>
      <c r="Q230" s="798"/>
    </row>
    <row r="231" spans="1:17" ht="12.75" customHeight="1" x14ac:dyDescent="0.3">
      <c r="A231" s="782"/>
      <c r="B231" s="782" t="s">
        <v>43</v>
      </c>
      <c r="C231" s="808">
        <f>+'Venture Assumptions'!F47</f>
        <v>0.1</v>
      </c>
      <c r="D231" s="782"/>
      <c r="E231" s="782"/>
      <c r="F231" s="798"/>
      <c r="G231" s="798"/>
      <c r="H231" s="798"/>
      <c r="I231" s="798"/>
      <c r="J231" s="798"/>
      <c r="K231" s="798"/>
      <c r="L231" s="798"/>
      <c r="M231" s="798"/>
      <c r="N231" s="798"/>
      <c r="O231" s="798"/>
      <c r="P231" s="798"/>
      <c r="Q231" s="798"/>
    </row>
    <row r="232" spans="1:17" ht="12.75" customHeight="1" x14ac:dyDescent="0.3">
      <c r="A232" s="782"/>
      <c r="B232" s="782" t="s">
        <v>44</v>
      </c>
      <c r="C232" s="808">
        <f>(1+C231)^(1/365)-1</f>
        <v>2.6115787606784124E-4</v>
      </c>
      <c r="D232" s="782"/>
      <c r="E232" s="782"/>
      <c r="F232" s="798"/>
      <c r="G232" s="798"/>
      <c r="H232" s="798"/>
      <c r="I232" s="798"/>
      <c r="J232" s="798"/>
      <c r="K232" s="798"/>
      <c r="L232" s="798"/>
      <c r="M232" s="798"/>
      <c r="N232" s="798"/>
      <c r="O232" s="798"/>
      <c r="P232" s="798"/>
      <c r="Q232" s="798"/>
    </row>
    <row r="233" spans="1:17" ht="12.75" customHeight="1" x14ac:dyDescent="0.3">
      <c r="A233" s="782"/>
      <c r="B233" s="782" t="s">
        <v>45</v>
      </c>
      <c r="C233" s="808">
        <f>+'Venture Assumptions'!F50</f>
        <v>0.1</v>
      </c>
      <c r="D233" s="782"/>
      <c r="E233" s="782"/>
      <c r="F233" s="798"/>
      <c r="G233" s="798"/>
      <c r="H233" s="798"/>
      <c r="I233" s="798"/>
      <c r="J233" s="798"/>
      <c r="K233" s="798"/>
      <c r="L233" s="798"/>
      <c r="M233" s="798"/>
      <c r="N233" s="798"/>
      <c r="O233" s="798"/>
      <c r="P233" s="798"/>
      <c r="Q233" s="798"/>
    </row>
    <row r="234" spans="1:17" ht="12.75" customHeight="1" x14ac:dyDescent="0.3">
      <c r="A234" s="782"/>
      <c r="B234" s="782" t="s">
        <v>46</v>
      </c>
      <c r="C234" s="808">
        <f>(1+C233)^(1/365)-1</f>
        <v>2.6115787606784124E-4</v>
      </c>
      <c r="D234" s="782"/>
      <c r="E234" s="782"/>
      <c r="F234" s="798"/>
      <c r="G234" s="798"/>
      <c r="H234" s="798"/>
      <c r="I234" s="798"/>
      <c r="J234" s="798"/>
      <c r="K234" s="798"/>
      <c r="L234" s="798"/>
      <c r="M234" s="798"/>
      <c r="N234" s="798"/>
      <c r="O234" s="798"/>
      <c r="P234" s="798"/>
      <c r="Q234" s="798"/>
    </row>
    <row r="235" spans="1:17" ht="12.75" customHeight="1" x14ac:dyDescent="0.3">
      <c r="A235" s="782"/>
      <c r="B235" s="782"/>
      <c r="C235" s="798"/>
      <c r="D235" s="782"/>
      <c r="E235" s="798"/>
      <c r="F235" s="798"/>
      <c r="G235" s="798"/>
      <c r="H235" s="798"/>
      <c r="I235" s="798"/>
      <c r="J235" s="798"/>
      <c r="K235" s="798"/>
      <c r="L235" s="798"/>
      <c r="M235" s="798"/>
      <c r="N235" s="798"/>
      <c r="O235" s="798"/>
      <c r="P235" s="798"/>
      <c r="Q235" s="798"/>
    </row>
    <row r="236" spans="1:17" ht="12.75" customHeight="1" x14ac:dyDescent="0.3">
      <c r="A236" s="782"/>
      <c r="B236" s="796" t="s">
        <v>144</v>
      </c>
      <c r="C236" s="782"/>
      <c r="D236" s="782"/>
      <c r="E236" s="782"/>
      <c r="F236" s="782"/>
      <c r="G236" s="782"/>
      <c r="H236" s="782"/>
      <c r="I236" s="782"/>
      <c r="J236" s="782"/>
      <c r="K236" s="782"/>
      <c r="L236" s="782"/>
      <c r="M236" s="782"/>
      <c r="N236" s="782"/>
      <c r="O236" s="782"/>
      <c r="P236" s="782"/>
      <c r="Q236" s="782"/>
    </row>
    <row r="237" spans="1:17" ht="12.75" customHeight="1" x14ac:dyDescent="0.3">
      <c r="A237" s="782"/>
      <c r="B237" s="782"/>
      <c r="C237" s="782"/>
      <c r="D237" s="782"/>
      <c r="E237" s="782"/>
      <c r="F237" s="782"/>
      <c r="G237" s="782"/>
      <c r="H237" s="782"/>
      <c r="I237" s="782"/>
      <c r="J237" s="782"/>
      <c r="K237" s="782"/>
      <c r="L237" s="782"/>
      <c r="M237" s="782"/>
      <c r="N237" s="782"/>
      <c r="O237" s="782"/>
      <c r="P237" s="782"/>
      <c r="Q237" s="782"/>
    </row>
    <row r="238" spans="1:17" ht="12.75" customHeight="1" x14ac:dyDescent="0.3">
      <c r="A238" s="782"/>
      <c r="B238" s="782" t="s">
        <v>145</v>
      </c>
      <c r="C238" s="782">
        <f>SUM(E238:O238)</f>
        <v>21235761.253688172</v>
      </c>
      <c r="D238" s="782"/>
      <c r="E238" s="798">
        <f t="shared" ref="E238:P238" si="36">E277</f>
        <v>0</v>
      </c>
      <c r="F238" s="798">
        <f t="shared" si="36"/>
        <v>0</v>
      </c>
      <c r="G238" s="798">
        <f t="shared" si="36"/>
        <v>0</v>
      </c>
      <c r="H238" s="798">
        <f t="shared" si="36"/>
        <v>-45977397.544875875</v>
      </c>
      <c r="I238" s="798">
        <f t="shared" si="36"/>
        <v>2630723.3617346338</v>
      </c>
      <c r="J238" s="798">
        <f t="shared" si="36"/>
        <v>2802802.7319263299</v>
      </c>
      <c r="K238" s="798">
        <f t="shared" si="36"/>
        <v>2980921.8044357733</v>
      </c>
      <c r="L238" s="798">
        <f t="shared" si="36"/>
        <v>3196406.1347901761</v>
      </c>
      <c r="M238" s="798">
        <f t="shared" si="36"/>
        <v>55602304.765677132</v>
      </c>
      <c r="N238" s="798">
        <f t="shared" si="36"/>
        <v>0</v>
      </c>
      <c r="O238" s="798">
        <f t="shared" si="36"/>
        <v>0</v>
      </c>
      <c r="P238" s="798">
        <f t="shared" si="36"/>
        <v>0</v>
      </c>
      <c r="Q238" s="798"/>
    </row>
    <row r="239" spans="1:17" ht="12.75" customHeight="1" x14ac:dyDescent="0.3">
      <c r="A239" s="782"/>
      <c r="B239" s="782" t="s">
        <v>146</v>
      </c>
      <c r="C239" s="782">
        <f>SUM(E239:O239)</f>
        <v>5582134.9825772569</v>
      </c>
      <c r="D239" s="782"/>
      <c r="E239" s="798">
        <f t="shared" ref="E239:P239" si="37">E298</f>
        <v>0</v>
      </c>
      <c r="F239" s="798">
        <f t="shared" si="37"/>
        <v>0</v>
      </c>
      <c r="G239" s="798">
        <f t="shared" si="37"/>
        <v>0</v>
      </c>
      <c r="H239" s="798">
        <f t="shared" si="37"/>
        <v>0</v>
      </c>
      <c r="I239" s="798">
        <f t="shared" si="37"/>
        <v>0</v>
      </c>
      <c r="J239" s="798">
        <f t="shared" si="37"/>
        <v>0</v>
      </c>
      <c r="K239" s="798">
        <f t="shared" si="37"/>
        <v>0</v>
      </c>
      <c r="L239" s="798">
        <f t="shared" si="37"/>
        <v>0</v>
      </c>
      <c r="M239" s="798">
        <f t="shared" si="37"/>
        <v>5582134.9825772569</v>
      </c>
      <c r="N239" s="798">
        <f t="shared" si="37"/>
        <v>0</v>
      </c>
      <c r="O239" s="798">
        <f t="shared" si="37"/>
        <v>0</v>
      </c>
      <c r="P239" s="798">
        <f t="shared" si="37"/>
        <v>0</v>
      </c>
      <c r="Q239" s="798"/>
    </row>
    <row r="240" spans="1:17" ht="12.75" customHeight="1" x14ac:dyDescent="0.3">
      <c r="A240" s="782"/>
      <c r="B240" s="782" t="s">
        <v>147</v>
      </c>
      <c r="C240" s="782">
        <f>SUM(E240:O240)</f>
        <v>-753298.49245852255</v>
      </c>
      <c r="D240" s="782"/>
      <c r="E240" s="798">
        <f t="shared" ref="E240:P240" si="38">E321</f>
        <v>0</v>
      </c>
      <c r="F240" s="798">
        <f t="shared" si="38"/>
        <v>0</v>
      </c>
      <c r="G240" s="798">
        <f t="shared" si="38"/>
        <v>0</v>
      </c>
      <c r="H240" s="798">
        <f t="shared" si="38"/>
        <v>0</v>
      </c>
      <c r="I240" s="798">
        <f t="shared" si="38"/>
        <v>0</v>
      </c>
      <c r="J240" s="798">
        <f t="shared" si="38"/>
        <v>0</v>
      </c>
      <c r="K240" s="798">
        <f t="shared" si="38"/>
        <v>0</v>
      </c>
      <c r="L240" s="798">
        <f t="shared" si="38"/>
        <v>0</v>
      </c>
      <c r="M240" s="798">
        <f t="shared" si="38"/>
        <v>-753298.49245852255</v>
      </c>
      <c r="N240" s="798">
        <f t="shared" si="38"/>
        <v>0</v>
      </c>
      <c r="O240" s="798">
        <f t="shared" si="38"/>
        <v>0</v>
      </c>
      <c r="P240" s="798">
        <f t="shared" si="38"/>
        <v>0</v>
      </c>
      <c r="Q240" s="798"/>
    </row>
    <row r="241" spans="1:17" ht="12.75" customHeight="1" x14ac:dyDescent="0.3">
      <c r="A241" s="782"/>
      <c r="B241" s="781" t="s">
        <v>148</v>
      </c>
      <c r="C241" s="781">
        <f>SUM(E241:O241)</f>
        <v>9576703.8864983413</v>
      </c>
      <c r="D241" s="781"/>
      <c r="E241" s="799">
        <f t="shared" ref="E241:P241" si="39">E328</f>
        <v>0</v>
      </c>
      <c r="F241" s="799">
        <f t="shared" si="39"/>
        <v>0</v>
      </c>
      <c r="G241" s="799">
        <f t="shared" si="39"/>
        <v>0</v>
      </c>
      <c r="H241" s="799">
        <f t="shared" si="39"/>
        <v>0</v>
      </c>
      <c r="I241" s="799">
        <f t="shared" si="39"/>
        <v>0</v>
      </c>
      <c r="J241" s="799">
        <f t="shared" si="39"/>
        <v>0</v>
      </c>
      <c r="K241" s="799">
        <f t="shared" si="39"/>
        <v>0</v>
      </c>
      <c r="L241" s="799">
        <f t="shared" si="39"/>
        <v>0</v>
      </c>
      <c r="M241" s="799">
        <f t="shared" si="39"/>
        <v>9576703.8864983413</v>
      </c>
      <c r="N241" s="799">
        <f t="shared" si="39"/>
        <v>0</v>
      </c>
      <c r="O241" s="799">
        <f t="shared" si="39"/>
        <v>0</v>
      </c>
      <c r="P241" s="799">
        <f t="shared" si="39"/>
        <v>0</v>
      </c>
      <c r="Q241" s="798"/>
    </row>
    <row r="242" spans="1:17" ht="12.75" customHeight="1" x14ac:dyDescent="0.3">
      <c r="A242" s="782"/>
      <c r="B242" s="796" t="s">
        <v>149</v>
      </c>
      <c r="C242" s="813">
        <f>SUM(E242:O242)</f>
        <v>35641301.630305253</v>
      </c>
      <c r="D242" s="796"/>
      <c r="E242" s="813">
        <f t="shared" ref="E242:P242" si="40">SUM(E238:E241)</f>
        <v>0</v>
      </c>
      <c r="F242" s="813">
        <f t="shared" si="40"/>
        <v>0</v>
      </c>
      <c r="G242" s="813">
        <f t="shared" si="40"/>
        <v>0</v>
      </c>
      <c r="H242" s="813">
        <f t="shared" si="40"/>
        <v>-45977397.544875875</v>
      </c>
      <c r="I242" s="813">
        <f t="shared" si="40"/>
        <v>2630723.3617346338</v>
      </c>
      <c r="J242" s="813">
        <f t="shared" si="40"/>
        <v>2802802.7319263299</v>
      </c>
      <c r="K242" s="813">
        <f t="shared" si="40"/>
        <v>2980921.8044357733</v>
      </c>
      <c r="L242" s="813">
        <f t="shared" si="40"/>
        <v>3196406.1347901761</v>
      </c>
      <c r="M242" s="813">
        <f t="shared" si="40"/>
        <v>70007845.142294213</v>
      </c>
      <c r="N242" s="813">
        <f t="shared" si="40"/>
        <v>0</v>
      </c>
      <c r="O242" s="813">
        <f t="shared" si="40"/>
        <v>0</v>
      </c>
      <c r="P242" s="813">
        <f t="shared" si="40"/>
        <v>0</v>
      </c>
      <c r="Q242" s="813"/>
    </row>
    <row r="243" spans="1:17" ht="12.75" customHeight="1" x14ac:dyDescent="0.3">
      <c r="A243" s="782"/>
      <c r="B243" s="800" t="s">
        <v>150</v>
      </c>
      <c r="C243" s="801">
        <f>'Venture Summary - Mthly'!C248</f>
        <v>0.12527844309806824</v>
      </c>
      <c r="D243" s="796"/>
      <c r="E243" s="813"/>
      <c r="F243" s="813"/>
      <c r="G243" s="813"/>
      <c r="H243" s="813"/>
      <c r="I243" s="813"/>
      <c r="J243" s="813"/>
      <c r="K243" s="813"/>
      <c r="L243" s="813"/>
      <c r="M243" s="813"/>
      <c r="N243" s="813"/>
      <c r="O243" s="813"/>
      <c r="P243" s="813"/>
      <c r="Q243" s="813"/>
    </row>
    <row r="244" spans="1:17" ht="12.75" customHeight="1" x14ac:dyDescent="0.3">
      <c r="A244" s="782"/>
      <c r="B244" s="796"/>
      <c r="C244" s="796"/>
      <c r="D244" s="796"/>
      <c r="E244" s="813"/>
      <c r="F244" s="813"/>
      <c r="G244" s="813"/>
      <c r="H244" s="813"/>
      <c r="I244" s="813"/>
      <c r="J244" s="813"/>
      <c r="K244" s="813"/>
      <c r="L244" s="813"/>
      <c r="M244" s="813"/>
      <c r="N244" s="813"/>
      <c r="O244" s="813"/>
      <c r="P244" s="813"/>
      <c r="Q244" s="813"/>
    </row>
    <row r="245" spans="1:17" ht="12.75" customHeight="1" x14ac:dyDescent="0.3">
      <c r="A245" s="782"/>
      <c r="B245" s="796" t="s">
        <v>151</v>
      </c>
      <c r="C245" s="813">
        <f>SUM(E245:Q245)</f>
        <v>5736147.0869287392</v>
      </c>
      <c r="D245" s="782"/>
      <c r="E245" s="813">
        <f t="shared" ref="E245:P245" si="41">E297+E320+E327</f>
        <v>0</v>
      </c>
      <c r="F245" s="813">
        <f t="shared" si="41"/>
        <v>0</v>
      </c>
      <c r="G245" s="813">
        <f t="shared" si="41"/>
        <v>0</v>
      </c>
      <c r="H245" s="813">
        <f t="shared" si="41"/>
        <v>0</v>
      </c>
      <c r="I245" s="813">
        <f t="shared" si="41"/>
        <v>0</v>
      </c>
      <c r="J245" s="813">
        <f t="shared" si="41"/>
        <v>0</v>
      </c>
      <c r="K245" s="813">
        <f t="shared" si="41"/>
        <v>0</v>
      </c>
      <c r="L245" s="813">
        <f t="shared" si="41"/>
        <v>0</v>
      </c>
      <c r="M245" s="813">
        <f t="shared" si="41"/>
        <v>5736147.0869287392</v>
      </c>
      <c r="N245" s="813">
        <f t="shared" si="41"/>
        <v>0</v>
      </c>
      <c r="O245" s="813">
        <f t="shared" si="41"/>
        <v>0</v>
      </c>
      <c r="P245" s="813">
        <f t="shared" si="41"/>
        <v>0</v>
      </c>
      <c r="Q245" s="813"/>
    </row>
    <row r="246" spans="1:17" ht="12.75" customHeight="1" x14ac:dyDescent="0.3">
      <c r="A246" s="782"/>
      <c r="B246" s="782"/>
      <c r="C246" s="782"/>
      <c r="D246" s="782"/>
      <c r="E246" s="782"/>
      <c r="F246" s="782"/>
      <c r="G246" s="782"/>
      <c r="H246" s="782"/>
      <c r="I246" s="782"/>
      <c r="J246" s="782"/>
      <c r="K246" s="782"/>
      <c r="L246" s="782"/>
      <c r="M246" s="782"/>
      <c r="N246" s="782"/>
      <c r="O246" s="782"/>
      <c r="P246" s="782"/>
      <c r="Q246" s="782"/>
    </row>
    <row r="247" spans="1:17" ht="12.75" customHeight="1" x14ac:dyDescent="0.3">
      <c r="A247" s="782"/>
      <c r="B247" s="796" t="s">
        <v>70</v>
      </c>
      <c r="C247" s="782"/>
      <c r="D247" s="782"/>
      <c r="E247" s="782"/>
      <c r="F247" s="782"/>
      <c r="G247" s="782"/>
      <c r="H247" s="782"/>
      <c r="I247" s="782"/>
      <c r="J247" s="782"/>
      <c r="K247" s="782"/>
      <c r="L247" s="782"/>
      <c r="M247" s="782"/>
      <c r="N247" s="782"/>
      <c r="O247" s="782"/>
      <c r="P247" s="782"/>
      <c r="Q247" s="782"/>
    </row>
    <row r="248" spans="1:17" ht="12.75" customHeight="1" x14ac:dyDescent="0.3">
      <c r="A248" s="782"/>
      <c r="B248" s="782"/>
      <c r="C248" s="782"/>
      <c r="D248" s="782"/>
      <c r="E248" s="782"/>
      <c r="F248" s="782"/>
      <c r="G248" s="782"/>
      <c r="H248" s="782"/>
      <c r="I248" s="782"/>
      <c r="J248" s="782"/>
      <c r="K248" s="782"/>
      <c r="L248" s="782"/>
      <c r="M248" s="782"/>
      <c r="N248" s="782"/>
      <c r="O248" s="782"/>
      <c r="P248" s="782"/>
      <c r="Q248" s="782"/>
    </row>
    <row r="249" spans="1:17" ht="12.75" customHeight="1" x14ac:dyDescent="0.3">
      <c r="A249" s="782"/>
      <c r="B249" s="782" t="s">
        <v>152</v>
      </c>
      <c r="C249" s="798">
        <f>SUM(E249:O249)</f>
        <v>-103794068.10908552</v>
      </c>
      <c r="D249" s="782"/>
      <c r="E249" s="798">
        <f>-E44</f>
        <v>0</v>
      </c>
      <c r="F249" s="798">
        <f t="shared" ref="F249:P249" si="42">-F44</f>
        <v>0</v>
      </c>
      <c r="G249" s="798">
        <f t="shared" si="42"/>
        <v>0</v>
      </c>
      <c r="H249" s="798">
        <f t="shared" si="42"/>
        <v>-103794068.10908552</v>
      </c>
      <c r="I249" s="798">
        <f t="shared" si="42"/>
        <v>0</v>
      </c>
      <c r="J249" s="798">
        <f t="shared" si="42"/>
        <v>0</v>
      </c>
      <c r="K249" s="798">
        <f t="shared" si="42"/>
        <v>0</v>
      </c>
      <c r="L249" s="798">
        <f t="shared" si="42"/>
        <v>0</v>
      </c>
      <c r="M249" s="798">
        <f t="shared" si="42"/>
        <v>0</v>
      </c>
      <c r="N249" s="798">
        <f t="shared" si="42"/>
        <v>0</v>
      </c>
      <c r="O249" s="798">
        <f t="shared" si="42"/>
        <v>0</v>
      </c>
      <c r="P249" s="798">
        <f t="shared" si="42"/>
        <v>0</v>
      </c>
      <c r="Q249" s="798"/>
    </row>
    <row r="250" spans="1:17" ht="12.75" customHeight="1" x14ac:dyDescent="0.3">
      <c r="A250" s="782"/>
      <c r="B250" s="821" t="s">
        <v>152</v>
      </c>
      <c r="C250" s="822">
        <f>SUM(E250:O250)</f>
        <v>-103794068.10908552</v>
      </c>
      <c r="D250" s="821"/>
      <c r="E250" s="822">
        <f t="shared" ref="E250:P250" si="43">SUM(E249:E249)</f>
        <v>0</v>
      </c>
      <c r="F250" s="822">
        <f t="shared" si="43"/>
        <v>0</v>
      </c>
      <c r="G250" s="822">
        <f t="shared" si="43"/>
        <v>0</v>
      </c>
      <c r="H250" s="822">
        <f t="shared" si="43"/>
        <v>-103794068.10908552</v>
      </c>
      <c r="I250" s="822">
        <f t="shared" si="43"/>
        <v>0</v>
      </c>
      <c r="J250" s="822">
        <f t="shared" si="43"/>
        <v>0</v>
      </c>
      <c r="K250" s="822">
        <f t="shared" si="43"/>
        <v>0</v>
      </c>
      <c r="L250" s="822">
        <f t="shared" si="43"/>
        <v>0</v>
      </c>
      <c r="M250" s="822">
        <f t="shared" si="43"/>
        <v>0</v>
      </c>
      <c r="N250" s="822">
        <f t="shared" si="43"/>
        <v>0</v>
      </c>
      <c r="O250" s="822">
        <f t="shared" si="43"/>
        <v>0</v>
      </c>
      <c r="P250" s="822">
        <f t="shared" si="43"/>
        <v>0</v>
      </c>
      <c r="Q250" s="798"/>
    </row>
    <row r="251" spans="1:17" ht="12.75" customHeight="1" x14ac:dyDescent="0.3">
      <c r="A251" s="782"/>
      <c r="B251" s="782"/>
      <c r="C251" s="798"/>
      <c r="D251" s="782"/>
      <c r="E251" s="798"/>
      <c r="F251" s="782"/>
      <c r="G251" s="782"/>
      <c r="H251" s="782"/>
      <c r="I251" s="782"/>
      <c r="J251" s="782"/>
      <c r="K251" s="782"/>
      <c r="L251" s="782"/>
      <c r="M251" s="782"/>
      <c r="N251" s="782"/>
      <c r="O251" s="782"/>
      <c r="P251" s="782"/>
      <c r="Q251" s="782"/>
    </row>
    <row r="252" spans="1:17" ht="12.75" customHeight="1" x14ac:dyDescent="0.3">
      <c r="A252" s="782"/>
      <c r="B252" s="782" t="s">
        <v>153</v>
      </c>
      <c r="C252" s="798">
        <f>SUM(E252:O252)</f>
        <v>102293723.43931949</v>
      </c>
      <c r="D252" s="782"/>
      <c r="E252" s="798">
        <f>SUMIF('Venture Summary - Mthly'!$E$7:$EG$7,E$7,'Venture Summary - Mthly'!$E257:$EG257)</f>
        <v>0</v>
      </c>
      <c r="F252" s="798">
        <f>SUMIF('Venture Summary - Mthly'!$E$7:$EG$7,F$7,'Venture Summary - Mthly'!$E257:$EG257)</f>
        <v>0</v>
      </c>
      <c r="G252" s="798">
        <f>SUMIF('Venture Summary - Mthly'!$E$7:$EG$7,G$7,'Venture Summary - Mthly'!$E257:$EG257)</f>
        <v>0</v>
      </c>
      <c r="H252" s="798">
        <f>SUMIF('Venture Summary - Mthly'!$E$7:$EG$7,H$7,'Venture Summary - Mthly'!$E257:$EG257)</f>
        <v>14938877.177209632</v>
      </c>
      <c r="I252" s="798">
        <f>SUMIF('Venture Summary - Mthly'!$E$7:$EG$7,I$7,'Venture Summary - Mthly'!$E257:$EG257)</f>
        <v>2630723.3617346338</v>
      </c>
      <c r="J252" s="798">
        <f>SUMIF('Venture Summary - Mthly'!$E$7:$EG$7,J$7,'Venture Summary - Mthly'!$E257:$EG257)</f>
        <v>2802802.7319263299</v>
      </c>
      <c r="K252" s="798">
        <f>SUMIF('Venture Summary - Mthly'!$E$7:$EG$7,K$7,'Venture Summary - Mthly'!$E257:$EG257)</f>
        <v>2980921.8044357733</v>
      </c>
      <c r="L252" s="798">
        <f>SUMIF('Venture Summary - Mthly'!$E$7:$EG$7,L$7,'Venture Summary - Mthly'!$E257:$EG257)</f>
        <v>3196406.1347901761</v>
      </c>
      <c r="M252" s="798">
        <f>SUMIF('Venture Summary - Mthly'!$E$7:$EG$7,M$7,'Venture Summary - Mthly'!$E257:$EG257)</f>
        <v>75743992.229222953</v>
      </c>
      <c r="N252" s="798">
        <f>SUMIF('Venture Summary - Mthly'!$E$7:$EG$7,N$7,'Venture Summary - Mthly'!$E257:$EG257)</f>
        <v>0</v>
      </c>
      <c r="O252" s="798">
        <f>SUMIF('Venture Summary - Mthly'!$E$7:$EG$7,O$7,'Venture Summary - Mthly'!$E257:$EG257)</f>
        <v>0</v>
      </c>
      <c r="P252" s="798">
        <f>SUMIF('Venture Summary - Mthly'!$E$7:$EG$7,P$7,'Venture Summary - Mthly'!$E257:$EG257)</f>
        <v>0</v>
      </c>
      <c r="Q252" s="798"/>
    </row>
    <row r="253" spans="1:17" ht="12.75" customHeight="1" x14ac:dyDescent="0.3">
      <c r="A253" s="782"/>
      <c r="B253" s="821" t="s">
        <v>153</v>
      </c>
      <c r="C253" s="822">
        <f>SUM(E253:O253)</f>
        <v>102293723.43931949</v>
      </c>
      <c r="D253" s="821"/>
      <c r="E253" s="822">
        <f t="shared" ref="E253:O253" si="44">SUM(E252:E252)</f>
        <v>0</v>
      </c>
      <c r="F253" s="822">
        <f t="shared" si="44"/>
        <v>0</v>
      </c>
      <c r="G253" s="822">
        <f t="shared" si="44"/>
        <v>0</v>
      </c>
      <c r="H253" s="822">
        <f t="shared" si="44"/>
        <v>14938877.177209632</v>
      </c>
      <c r="I253" s="822">
        <f t="shared" si="44"/>
        <v>2630723.3617346338</v>
      </c>
      <c r="J253" s="822">
        <f t="shared" si="44"/>
        <v>2802802.7319263299</v>
      </c>
      <c r="K253" s="822">
        <f t="shared" si="44"/>
        <v>2980921.8044357733</v>
      </c>
      <c r="L253" s="822">
        <f t="shared" si="44"/>
        <v>3196406.1347901761</v>
      </c>
      <c r="M253" s="822">
        <f t="shared" si="44"/>
        <v>75743992.229222953</v>
      </c>
      <c r="N253" s="822">
        <f t="shared" si="44"/>
        <v>0</v>
      </c>
      <c r="O253" s="822">
        <f t="shared" si="44"/>
        <v>0</v>
      </c>
      <c r="P253" s="822">
        <f>SUM(P252:P252)</f>
        <v>0</v>
      </c>
      <c r="Q253" s="798"/>
    </row>
    <row r="254" spans="1:17" ht="12.75" hidden="1" customHeight="1" x14ac:dyDescent="0.3">
      <c r="A254" s="782"/>
      <c r="B254" s="782"/>
      <c r="C254" s="798"/>
      <c r="D254" s="782"/>
      <c r="E254" s="782"/>
      <c r="F254" s="782"/>
      <c r="G254" s="782"/>
      <c r="H254" s="782"/>
      <c r="I254" s="782"/>
      <c r="J254" s="782"/>
      <c r="K254" s="782"/>
      <c r="L254" s="782"/>
      <c r="M254" s="782"/>
      <c r="N254" s="782"/>
      <c r="O254" s="782"/>
      <c r="P254" s="782"/>
      <c r="Q254" s="782"/>
    </row>
    <row r="255" spans="1:17" ht="12.75" hidden="1" customHeight="1" x14ac:dyDescent="0.3">
      <c r="A255" s="782"/>
      <c r="B255" s="782"/>
      <c r="C255" s="798"/>
      <c r="D255" s="782"/>
      <c r="E255" s="1152"/>
      <c r="F255" s="798"/>
      <c r="G255" s="798"/>
      <c r="H255" s="798"/>
      <c r="I255" s="798"/>
      <c r="J255" s="798"/>
      <c r="K255" s="798"/>
      <c r="L255" s="798"/>
      <c r="M255" s="798"/>
      <c r="N255" s="798"/>
      <c r="O255" s="798"/>
      <c r="P255" s="798"/>
      <c r="Q255" s="798"/>
    </row>
    <row r="256" spans="1:17" ht="12.75" hidden="1" customHeight="1" x14ac:dyDescent="0.3">
      <c r="A256" s="782"/>
      <c r="B256" s="782"/>
      <c r="C256" s="798"/>
      <c r="D256" s="782"/>
      <c r="E256" s="798"/>
      <c r="F256" s="798"/>
      <c r="G256" s="798"/>
      <c r="H256" s="798"/>
      <c r="I256" s="798"/>
      <c r="J256" s="798"/>
      <c r="K256" s="798"/>
      <c r="L256" s="798"/>
      <c r="M256" s="798"/>
      <c r="N256" s="798"/>
      <c r="O256" s="798"/>
      <c r="P256" s="798"/>
      <c r="Q256" s="798"/>
    </row>
    <row r="257" spans="1:17" ht="12.75" hidden="1" customHeight="1" x14ac:dyDescent="0.3">
      <c r="A257" s="782"/>
      <c r="B257" s="782"/>
      <c r="C257" s="798"/>
      <c r="D257" s="782"/>
      <c r="E257" s="798"/>
      <c r="F257" s="798"/>
      <c r="G257" s="798"/>
      <c r="H257" s="798"/>
      <c r="I257" s="798"/>
      <c r="J257" s="798"/>
      <c r="K257" s="798"/>
      <c r="L257" s="798"/>
      <c r="M257" s="798"/>
      <c r="N257" s="798"/>
      <c r="O257" s="798"/>
      <c r="P257" s="798"/>
      <c r="Q257" s="798"/>
    </row>
    <row r="258" spans="1:17" ht="12.75" hidden="1" customHeight="1" x14ac:dyDescent="0.3">
      <c r="A258" s="782"/>
      <c r="B258" s="782"/>
      <c r="C258" s="782"/>
      <c r="D258" s="782"/>
      <c r="E258" s="798"/>
      <c r="F258" s="798"/>
      <c r="G258" s="798"/>
      <c r="H258" s="798"/>
      <c r="I258" s="798"/>
      <c r="J258" s="798"/>
      <c r="K258" s="798"/>
      <c r="L258" s="798"/>
      <c r="M258" s="798"/>
      <c r="N258" s="798"/>
      <c r="O258" s="798"/>
      <c r="P258" s="798"/>
      <c r="Q258" s="798"/>
    </row>
    <row r="259" spans="1:17" ht="12.75" customHeight="1" x14ac:dyDescent="0.3">
      <c r="A259" s="782"/>
      <c r="B259" s="782"/>
      <c r="C259" s="782"/>
      <c r="D259" s="782"/>
      <c r="E259" s="782"/>
      <c r="F259" s="782"/>
      <c r="G259" s="782"/>
      <c r="H259" s="782"/>
      <c r="I259" s="782"/>
      <c r="J259" s="782"/>
      <c r="K259" s="782"/>
      <c r="L259" s="782"/>
      <c r="M259" s="782"/>
      <c r="N259" s="782"/>
      <c r="O259" s="782"/>
      <c r="P259" s="782"/>
      <c r="Q259" s="782"/>
    </row>
    <row r="260" spans="1:17" ht="12.75" customHeight="1" x14ac:dyDescent="0.3">
      <c r="A260" s="782"/>
      <c r="B260" s="796" t="s">
        <v>154</v>
      </c>
      <c r="C260" s="816">
        <f>SUM(E260:O260)</f>
        <v>-1500344.6697660089</v>
      </c>
      <c r="D260" s="796"/>
      <c r="E260" s="813">
        <f>E250+E253</f>
        <v>0</v>
      </c>
      <c r="F260" s="813">
        <f t="shared" ref="F260:P260" si="45">F250+F253</f>
        <v>0</v>
      </c>
      <c r="G260" s="813">
        <f t="shared" si="45"/>
        <v>0</v>
      </c>
      <c r="H260" s="813">
        <f t="shared" si="45"/>
        <v>-88855190.931875885</v>
      </c>
      <c r="I260" s="813">
        <f t="shared" si="45"/>
        <v>2630723.3617346338</v>
      </c>
      <c r="J260" s="813">
        <f t="shared" si="45"/>
        <v>2802802.7319263299</v>
      </c>
      <c r="K260" s="813">
        <f t="shared" si="45"/>
        <v>2980921.8044357733</v>
      </c>
      <c r="L260" s="813">
        <f t="shared" si="45"/>
        <v>3196406.1347901761</v>
      </c>
      <c r="M260" s="813">
        <f t="shared" si="45"/>
        <v>75743992.229222953</v>
      </c>
      <c r="N260" s="813">
        <f t="shared" si="45"/>
        <v>0</v>
      </c>
      <c r="O260" s="813">
        <f t="shared" si="45"/>
        <v>0</v>
      </c>
      <c r="P260" s="813">
        <f t="shared" si="45"/>
        <v>0</v>
      </c>
      <c r="Q260" s="813"/>
    </row>
    <row r="261" spans="1:17" ht="12.75" customHeight="1" x14ac:dyDescent="0.3">
      <c r="A261" s="782"/>
      <c r="B261" s="796" t="s">
        <v>142</v>
      </c>
      <c r="C261" s="823">
        <f>'Venture Summary - Mthly'!C266</f>
        <v>0.14040511250495913</v>
      </c>
      <c r="D261" s="796"/>
      <c r="E261" s="813"/>
      <c r="F261" s="813"/>
      <c r="G261" s="813"/>
      <c r="H261" s="813"/>
      <c r="I261" s="813"/>
      <c r="J261" s="813"/>
      <c r="K261" s="813"/>
      <c r="L261" s="813"/>
      <c r="M261" s="813"/>
      <c r="N261" s="813"/>
      <c r="O261" s="813"/>
      <c r="P261" s="813"/>
      <c r="Q261" s="813"/>
    </row>
    <row r="262" spans="1:17" ht="12.75" customHeight="1" x14ac:dyDescent="0.3">
      <c r="A262" s="782"/>
      <c r="B262" s="796"/>
      <c r="C262" s="813"/>
      <c r="D262" s="796"/>
      <c r="E262" s="798"/>
      <c r="F262" s="813"/>
      <c r="G262" s="813"/>
      <c r="H262" s="813"/>
      <c r="I262" s="813"/>
      <c r="J262" s="813"/>
      <c r="K262" s="813"/>
      <c r="L262" s="813"/>
      <c r="M262" s="813"/>
      <c r="N262" s="813"/>
      <c r="O262" s="813"/>
      <c r="P262" s="813"/>
      <c r="Q262" s="813"/>
    </row>
    <row r="263" spans="1:17" ht="12.75" customHeight="1" x14ac:dyDescent="0.3">
      <c r="A263" s="782"/>
      <c r="B263" s="796" t="s">
        <v>155</v>
      </c>
      <c r="C263" s="798"/>
      <c r="D263" s="782"/>
      <c r="E263" s="798"/>
      <c r="F263" s="798"/>
      <c r="G263" s="798"/>
      <c r="H263" s="798"/>
      <c r="I263" s="798"/>
      <c r="J263" s="798"/>
      <c r="K263" s="798"/>
      <c r="L263" s="798"/>
      <c r="M263" s="798"/>
      <c r="N263" s="798"/>
      <c r="O263" s="798"/>
      <c r="P263" s="798"/>
      <c r="Q263" s="798"/>
    </row>
    <row r="264" spans="1:17" ht="12.75" customHeight="1" x14ac:dyDescent="0.3">
      <c r="A264" s="782"/>
      <c r="B264" s="782"/>
      <c r="C264" s="782"/>
      <c r="D264" s="782"/>
      <c r="E264" s="798"/>
      <c r="F264" s="782"/>
      <c r="G264" s="782"/>
      <c r="H264" s="782"/>
      <c r="I264" s="782"/>
      <c r="J264" s="782"/>
      <c r="K264" s="782"/>
      <c r="L264" s="782"/>
      <c r="M264" s="782"/>
      <c r="N264" s="782"/>
      <c r="O264" s="782"/>
      <c r="P264" s="782"/>
      <c r="Q264" s="782"/>
    </row>
    <row r="265" spans="1:17" ht="12.75" customHeight="1" x14ac:dyDescent="0.3">
      <c r="A265" s="782"/>
      <c r="B265" s="781" t="s">
        <v>156</v>
      </c>
      <c r="C265" s="799"/>
      <c r="D265" s="781"/>
      <c r="E265" s="799">
        <v>0</v>
      </c>
      <c r="F265" s="799">
        <f t="shared" ref="F265:P265" si="46">E269</f>
        <v>0</v>
      </c>
      <c r="G265" s="799">
        <f t="shared" si="46"/>
        <v>0</v>
      </c>
      <c r="H265" s="799">
        <f t="shared" si="46"/>
        <v>0</v>
      </c>
      <c r="I265" s="799">
        <f t="shared" si="46"/>
        <v>-47333539.382965699</v>
      </c>
      <c r="J265" s="799">
        <f t="shared" si="46"/>
        <v>-48510867.979531117</v>
      </c>
      <c r="K265" s="799">
        <f t="shared" si="46"/>
        <v>-49617511.141926713</v>
      </c>
      <c r="L265" s="799">
        <f t="shared" si="46"/>
        <v>-50619926.863422811</v>
      </c>
      <c r="M265" s="799">
        <f t="shared" si="46"/>
        <v>-51481632.774805136</v>
      </c>
      <c r="N265" s="799">
        <f t="shared" si="46"/>
        <v>20141687.463545807</v>
      </c>
      <c r="O265" s="799">
        <f t="shared" si="46"/>
        <v>21808112.599103563</v>
      </c>
      <c r="P265" s="799">
        <f t="shared" si="46"/>
        <v>23607281.888529696</v>
      </c>
      <c r="Q265" s="798"/>
    </row>
    <row r="266" spans="1:17" ht="12.75" customHeight="1" x14ac:dyDescent="0.3">
      <c r="A266" s="782"/>
      <c r="B266" s="782" t="s">
        <v>155</v>
      </c>
      <c r="C266" s="798"/>
      <c r="D266" s="782"/>
      <c r="E266" s="798">
        <f>SUMIF('Venture Summary - Mthly'!$E$7:$EG$7,E$7,'Venture Summary - Mthly'!$E271:$EG271)</f>
        <v>0</v>
      </c>
      <c r="F266" s="798">
        <f>SUMIF('Venture Summary - Mthly'!$E$7:$EG$7,F$7,'Venture Summary - Mthly'!$E271:$EG271)</f>
        <v>0</v>
      </c>
      <c r="G266" s="798">
        <f>SUMIF('Venture Summary - Mthly'!$E$7:$EG$7,G$7,'Venture Summary - Mthly'!$E271:$EG271)</f>
        <v>0</v>
      </c>
      <c r="H266" s="798">
        <f>SUMIF('Venture Summary - Mthly'!$E$7:$EG$7,H$7,'Venture Summary - Mthly'!$E271:$EG271)</f>
        <v>-1356141.8380898207</v>
      </c>
      <c r="I266" s="798">
        <f>SUMIF('Venture Summary - Mthly'!$E$7:$EG$7,I$7,'Venture Summary - Mthly'!$E271:$EG271)</f>
        <v>-3808051.9583000503</v>
      </c>
      <c r="J266" s="798">
        <f>SUMIF('Venture Summary - Mthly'!$E$7:$EG$7,J$7,'Venture Summary - Mthly'!$E271:$EG271)</f>
        <v>-3909445.8943219236</v>
      </c>
      <c r="K266" s="798">
        <f>SUMIF('Venture Summary - Mthly'!$E$7:$EG$7,K$7,'Venture Summary - Mthly'!$E271:$EG271)</f>
        <v>-3983337.5259318696</v>
      </c>
      <c r="L266" s="798">
        <f>SUMIF('Venture Summary - Mthly'!$E$7:$EG$7,L$7,'Venture Summary - Mthly'!$E271:$EG271)</f>
        <v>-4058112.046172502</v>
      </c>
      <c r="M266" s="798">
        <f>SUMIF('Venture Summary - Mthly'!$E$7:$EG$7,M$7,'Venture Summary - Mthly'!$E271:$EG271)</f>
        <v>-4120671.9908720097</v>
      </c>
      <c r="N266" s="798">
        <f>SUMIF('Venture Summary - Mthly'!$E$7:$EG$7,N$7,'Venture Summary - Mthly'!$E271:$EG271)</f>
        <v>1666425.1355577549</v>
      </c>
      <c r="O266" s="798">
        <f>SUMIF('Venture Summary - Mthly'!$E$7:$EG$7,O$7,'Venture Summary - Mthly'!$E271:$EG271)</f>
        <v>1799169.2894261321</v>
      </c>
      <c r="P266" s="798">
        <f>SUMIF('Venture Summary - Mthly'!$E$7:$EG$7,P$7,'Venture Summary - Mthly'!$E271:$EG271)</f>
        <v>0</v>
      </c>
      <c r="Q266" s="798"/>
    </row>
    <row r="267" spans="1:17" ht="12.75" customHeight="1" x14ac:dyDescent="0.3">
      <c r="A267" s="782"/>
      <c r="B267" s="782" t="s">
        <v>157</v>
      </c>
      <c r="C267" s="798"/>
      <c r="D267" s="782"/>
      <c r="E267" s="798">
        <f>SUMIF('Venture Summary - Mthly'!$E$7:$EG$7,E$7,'Venture Summary - Mthly'!$E272:$EG272)</f>
        <v>0</v>
      </c>
      <c r="F267" s="798">
        <f>SUMIF('Venture Summary - Mthly'!$E$7:$EG$7,F$7,'Venture Summary - Mthly'!$E272:$EG272)</f>
        <v>0</v>
      </c>
      <c r="G267" s="798">
        <f>SUMIF('Venture Summary - Mthly'!$E$7:$EG$7,G$7,'Venture Summary - Mthly'!$E272:$EG272)</f>
        <v>0</v>
      </c>
      <c r="H267" s="798">
        <f>SUMIF('Venture Summary - Mthly'!$E$7:$EG$7,H$7,'Venture Summary - Mthly'!$E272:$EG272)</f>
        <v>-60916274.722085506</v>
      </c>
      <c r="I267" s="798">
        <f>SUMIF('Venture Summary - Mthly'!$E$7:$EG$7,I$7,'Venture Summary - Mthly'!$E272:$EG272)</f>
        <v>0</v>
      </c>
      <c r="J267" s="798">
        <f>SUMIF('Venture Summary - Mthly'!$E$7:$EG$7,J$7,'Venture Summary - Mthly'!$E272:$EG272)</f>
        <v>0</v>
      </c>
      <c r="K267" s="798">
        <f>SUMIF('Venture Summary - Mthly'!$E$7:$EG$7,K$7,'Venture Summary - Mthly'!$E272:$EG272)</f>
        <v>0</v>
      </c>
      <c r="L267" s="798">
        <f>SUMIF('Venture Summary - Mthly'!$E$7:$EG$7,L$7,'Venture Summary - Mthly'!$E272:$EG272)</f>
        <v>0</v>
      </c>
      <c r="M267" s="798">
        <f>SUMIF('Venture Summary - Mthly'!$E$7:$EG$7,M$7,'Venture Summary - Mthly'!$E272:$EG272)</f>
        <v>0</v>
      </c>
      <c r="N267" s="798">
        <f>SUMIF('Venture Summary - Mthly'!$E$7:$EG$7,N$7,'Venture Summary - Mthly'!$E272:$EG272)</f>
        <v>0</v>
      </c>
      <c r="O267" s="798">
        <f>SUMIF('Venture Summary - Mthly'!$E$7:$EG$7,O$7,'Venture Summary - Mthly'!$E272:$EG272)</f>
        <v>0</v>
      </c>
      <c r="P267" s="798">
        <f>SUMIF('Venture Summary - Mthly'!$E$7:$EG$7,P$7,'Venture Summary - Mthly'!$E272:$EG272)</f>
        <v>0</v>
      </c>
      <c r="Q267" s="798"/>
    </row>
    <row r="268" spans="1:17" ht="12.75" customHeight="1" x14ac:dyDescent="0.3">
      <c r="A268" s="782"/>
      <c r="B268" s="781" t="s">
        <v>158</v>
      </c>
      <c r="C268" s="799"/>
      <c r="D268" s="781"/>
      <c r="E268" s="799">
        <f>SUMIF('Venture Summary - Mthly'!$E$7:$EG$7,E$7,'Venture Summary - Mthly'!$E273:$EG273)</f>
        <v>0</v>
      </c>
      <c r="F268" s="799">
        <f>SUMIF('Venture Summary - Mthly'!$E$7:$EG$7,F$7,'Venture Summary - Mthly'!$E273:$EG273)</f>
        <v>0</v>
      </c>
      <c r="G268" s="799">
        <f>SUMIF('Venture Summary - Mthly'!$E$7:$EG$7,G$7,'Venture Summary - Mthly'!$E273:$EG273)</f>
        <v>0</v>
      </c>
      <c r="H268" s="799">
        <f>SUMIF('Venture Summary - Mthly'!$E$7:$EG$7,H$7,'Venture Summary - Mthly'!$E273:$EG273)</f>
        <v>14938877.177209632</v>
      </c>
      <c r="I268" s="799">
        <f>SUMIF('Venture Summary - Mthly'!$E$7:$EG$7,I$7,'Venture Summary - Mthly'!$E273:$EG273)</f>
        <v>2630723.3617346338</v>
      </c>
      <c r="J268" s="799">
        <f>SUMIF('Venture Summary - Mthly'!$E$7:$EG$7,J$7,'Venture Summary - Mthly'!$E273:$EG273)</f>
        <v>2802802.7319263299</v>
      </c>
      <c r="K268" s="799">
        <f>SUMIF('Venture Summary - Mthly'!$E$7:$EG$7,K$7,'Venture Summary - Mthly'!$E273:$EG273)</f>
        <v>2980921.8044357733</v>
      </c>
      <c r="L268" s="799">
        <f>SUMIF('Venture Summary - Mthly'!$E$7:$EG$7,L$7,'Venture Summary - Mthly'!$E273:$EG273)</f>
        <v>3196406.1347901761</v>
      </c>
      <c r="M268" s="799">
        <f>SUMIF('Venture Summary - Mthly'!$E$7:$EG$7,M$7,'Venture Summary - Mthly'!$E273:$EG273)</f>
        <v>75743992.229222953</v>
      </c>
      <c r="N268" s="799">
        <f>SUMIF('Venture Summary - Mthly'!$E$7:$EG$7,N$7,'Venture Summary - Mthly'!$E273:$EG273)</f>
        <v>0</v>
      </c>
      <c r="O268" s="799">
        <f>SUMIF('Venture Summary - Mthly'!$E$7:$EG$7,O$7,'Venture Summary - Mthly'!$E273:$EG273)</f>
        <v>0</v>
      </c>
      <c r="P268" s="799">
        <f>SUMIF('Venture Summary - Mthly'!$E$7:$EG$7,P$7,'Venture Summary - Mthly'!$E273:$EG273)</f>
        <v>0</v>
      </c>
      <c r="Q268" s="798"/>
    </row>
    <row r="269" spans="1:17" ht="12.75" customHeight="1" x14ac:dyDescent="0.3">
      <c r="A269" s="782"/>
      <c r="B269" s="782" t="s">
        <v>159</v>
      </c>
      <c r="C269" s="798"/>
      <c r="D269" s="782"/>
      <c r="E269" s="798">
        <f t="shared" ref="E269:O269" si="47">SUM(E265:E268)</f>
        <v>0</v>
      </c>
      <c r="F269" s="798">
        <f t="shared" si="47"/>
        <v>0</v>
      </c>
      <c r="G269" s="798">
        <f t="shared" si="47"/>
        <v>0</v>
      </c>
      <c r="H269" s="798">
        <f>SUM(H265:H268)</f>
        <v>-47333539.382965699</v>
      </c>
      <c r="I269" s="798">
        <f>SUM(I265:I268)</f>
        <v>-48510867.979531117</v>
      </c>
      <c r="J269" s="798">
        <f>SUM(J265:J268)</f>
        <v>-49617511.141926713</v>
      </c>
      <c r="K269" s="798">
        <f t="shared" si="47"/>
        <v>-50619926.863422811</v>
      </c>
      <c r="L269" s="798">
        <f t="shared" si="47"/>
        <v>-51481632.774805136</v>
      </c>
      <c r="M269" s="798">
        <f t="shared" si="47"/>
        <v>20141687.463545807</v>
      </c>
      <c r="N269" s="798">
        <f t="shared" si="47"/>
        <v>21808112.599103563</v>
      </c>
      <c r="O269" s="798">
        <f t="shared" si="47"/>
        <v>23607281.888529696</v>
      </c>
      <c r="P269" s="798">
        <f>SUM(P265:P268)</f>
        <v>23607281.888529696</v>
      </c>
      <c r="Q269" s="798"/>
    </row>
    <row r="270" spans="1:17" ht="12.75" customHeight="1" x14ac:dyDescent="0.3">
      <c r="A270" s="782"/>
      <c r="B270" s="782"/>
      <c r="C270" s="798"/>
      <c r="D270" s="782"/>
      <c r="E270" s="798"/>
      <c r="F270" s="798"/>
      <c r="G270" s="798"/>
      <c r="H270" s="798"/>
      <c r="I270" s="798"/>
      <c r="J270" s="798"/>
      <c r="K270" s="798"/>
      <c r="L270" s="798"/>
      <c r="M270" s="798"/>
      <c r="N270" s="798"/>
      <c r="O270" s="798"/>
      <c r="P270" s="798"/>
      <c r="Q270" s="798"/>
    </row>
    <row r="271" spans="1:17" ht="12.75" customHeight="1" x14ac:dyDescent="0.3">
      <c r="A271" s="782"/>
      <c r="B271" s="781" t="s">
        <v>160</v>
      </c>
      <c r="C271" s="799"/>
      <c r="D271" s="781"/>
      <c r="E271" s="799">
        <f>SUMIF('Venture Summary - Mthly'!$E$7:$EG$7,E$7,'Venture Summary - Mthly'!$E276:$EG276)</f>
        <v>0</v>
      </c>
      <c r="F271" s="799">
        <f>SUMIF('Venture Summary - Mthly'!$E$7:$EG$7,F$7,'Venture Summary - Mthly'!$E276:$EG276)</f>
        <v>0</v>
      </c>
      <c r="G271" s="799">
        <f>SUMIF('Venture Summary - Mthly'!$E$7:$EG$7,G$7,'Venture Summary - Mthly'!$E276:$EG276)</f>
        <v>0</v>
      </c>
      <c r="H271" s="799">
        <f>SUMIF('Venture Summary - Mthly'!$E$7:$EG$7,H$7,'Venture Summary - Mthly'!$E276:$EG276)</f>
        <v>14938877.177209632</v>
      </c>
      <c r="I271" s="799">
        <f>SUMIF('Venture Summary - Mthly'!$E$7:$EG$7,I$7,'Venture Summary - Mthly'!$E276:$EG276)</f>
        <v>2630723.3617346338</v>
      </c>
      <c r="J271" s="799">
        <f>SUMIF('Venture Summary - Mthly'!$E$7:$EG$7,J$7,'Venture Summary - Mthly'!$E276:$EG276)</f>
        <v>2802802.7319263299</v>
      </c>
      <c r="K271" s="799">
        <f>SUMIF('Venture Summary - Mthly'!$E$7:$EG$7,K$7,'Venture Summary - Mthly'!$E276:$EG276)</f>
        <v>2980921.8044357733</v>
      </c>
      <c r="L271" s="799">
        <f>SUMIF('Venture Summary - Mthly'!$E$7:$EG$7,L$7,'Venture Summary - Mthly'!$E276:$EG276)</f>
        <v>3196406.1347901761</v>
      </c>
      <c r="M271" s="799">
        <f>SUMIF('Venture Summary - Mthly'!$E$7:$EG$7,M$7,'Venture Summary - Mthly'!$E276:$EG276)</f>
        <v>55602304.765677132</v>
      </c>
      <c r="N271" s="799">
        <f>SUMIF('Venture Summary - Mthly'!$E$7:$EG$7,N$7,'Venture Summary - Mthly'!$E276:$EG276)</f>
        <v>0</v>
      </c>
      <c r="O271" s="799">
        <f>SUMIF('Venture Summary - Mthly'!$E$7:$EG$7,O$7,'Venture Summary - Mthly'!$E276:$EG276)</f>
        <v>0</v>
      </c>
      <c r="P271" s="799">
        <f>SUMIF('Venture Summary - Mthly'!$E$7:$EG$7,P$7,'Venture Summary - Mthly'!$E276:$EG276)</f>
        <v>0</v>
      </c>
      <c r="Q271" s="798"/>
    </row>
    <row r="272" spans="1:17" ht="12.75" customHeight="1" x14ac:dyDescent="0.3">
      <c r="A272" s="782"/>
      <c r="B272" s="782" t="s">
        <v>161</v>
      </c>
      <c r="C272" s="798"/>
      <c r="D272" s="782"/>
      <c r="E272" s="798">
        <f t="shared" ref="E272:P272" si="48">E267+E271</f>
        <v>0</v>
      </c>
      <c r="F272" s="798">
        <f t="shared" si="48"/>
        <v>0</v>
      </c>
      <c r="G272" s="798">
        <f t="shared" si="48"/>
        <v>0</v>
      </c>
      <c r="H272" s="798">
        <f t="shared" si="48"/>
        <v>-45977397.544875875</v>
      </c>
      <c r="I272" s="798">
        <f t="shared" si="48"/>
        <v>2630723.3617346338</v>
      </c>
      <c r="J272" s="798">
        <f t="shared" si="48"/>
        <v>2802802.7319263299</v>
      </c>
      <c r="K272" s="798">
        <f t="shared" si="48"/>
        <v>2980921.8044357733</v>
      </c>
      <c r="L272" s="798">
        <f t="shared" si="48"/>
        <v>3196406.1347901761</v>
      </c>
      <c r="M272" s="798">
        <f t="shared" si="48"/>
        <v>55602304.765677132</v>
      </c>
      <c r="N272" s="798">
        <f t="shared" si="48"/>
        <v>0</v>
      </c>
      <c r="O272" s="798">
        <f t="shared" si="48"/>
        <v>0</v>
      </c>
      <c r="P272" s="798">
        <f t="shared" si="48"/>
        <v>0</v>
      </c>
      <c r="Q272" s="798"/>
    </row>
    <row r="273" spans="1:17" ht="12.75" customHeight="1" x14ac:dyDescent="0.3">
      <c r="A273" s="782"/>
      <c r="B273" s="782"/>
      <c r="C273" s="798"/>
      <c r="D273" s="782"/>
      <c r="E273" s="798"/>
      <c r="F273" s="798"/>
      <c r="G273" s="798"/>
      <c r="H273" s="798"/>
      <c r="I273" s="798"/>
      <c r="J273" s="798"/>
      <c r="K273" s="798"/>
      <c r="L273" s="798"/>
      <c r="M273" s="798"/>
      <c r="N273" s="798"/>
      <c r="O273" s="798"/>
      <c r="P273" s="798"/>
      <c r="Q273" s="798"/>
    </row>
    <row r="274" spans="1:17" ht="12.75" customHeight="1" x14ac:dyDescent="0.3">
      <c r="A274" s="782"/>
      <c r="B274" s="796" t="s">
        <v>142</v>
      </c>
      <c r="C274" s="824">
        <f>'Venture Summary - Mthly'!C279</f>
        <v>8.2500001788139307E-2</v>
      </c>
      <c r="D274" s="782"/>
      <c r="E274" s="798"/>
      <c r="F274" s="798"/>
      <c r="G274" s="798"/>
      <c r="H274" s="798"/>
      <c r="I274" s="798"/>
      <c r="J274" s="798"/>
      <c r="K274" s="798"/>
      <c r="L274" s="798"/>
      <c r="M274" s="798"/>
      <c r="N274" s="798"/>
      <c r="O274" s="798"/>
      <c r="P274" s="798"/>
      <c r="Q274" s="798"/>
    </row>
    <row r="275" spans="1:17" ht="12.75" customHeight="1" x14ac:dyDescent="0.3">
      <c r="A275" s="782"/>
      <c r="B275" s="782"/>
      <c r="C275" s="798"/>
      <c r="D275" s="782"/>
      <c r="E275" s="798"/>
      <c r="F275" s="798"/>
      <c r="G275" s="798"/>
      <c r="H275" s="798"/>
      <c r="I275" s="798"/>
      <c r="J275" s="798"/>
      <c r="K275" s="798"/>
      <c r="L275" s="798"/>
      <c r="M275" s="798"/>
      <c r="N275" s="798"/>
      <c r="O275" s="798"/>
      <c r="P275" s="798"/>
      <c r="Q275" s="798"/>
    </row>
    <row r="276" spans="1:17" ht="12.75" customHeight="1" x14ac:dyDescent="0.3">
      <c r="A276" s="782"/>
      <c r="B276" s="782" t="s">
        <v>162</v>
      </c>
      <c r="C276" s="798"/>
      <c r="D276" s="782"/>
      <c r="E276" s="798">
        <f t="shared" ref="E276:P276" si="49">E260</f>
        <v>0</v>
      </c>
      <c r="F276" s="798">
        <f t="shared" si="49"/>
        <v>0</v>
      </c>
      <c r="G276" s="798">
        <f t="shared" si="49"/>
        <v>0</v>
      </c>
      <c r="H276" s="798">
        <f t="shared" si="49"/>
        <v>-88855190.931875885</v>
      </c>
      <c r="I276" s="798">
        <f t="shared" si="49"/>
        <v>2630723.3617346338</v>
      </c>
      <c r="J276" s="798">
        <f t="shared" si="49"/>
        <v>2802802.7319263299</v>
      </c>
      <c r="K276" s="798">
        <f t="shared" si="49"/>
        <v>2980921.8044357733</v>
      </c>
      <c r="L276" s="798">
        <f t="shared" si="49"/>
        <v>3196406.1347901761</v>
      </c>
      <c r="M276" s="798">
        <f t="shared" si="49"/>
        <v>75743992.229222953</v>
      </c>
      <c r="N276" s="798">
        <f t="shared" si="49"/>
        <v>0</v>
      </c>
      <c r="O276" s="798">
        <f t="shared" si="49"/>
        <v>0</v>
      </c>
      <c r="P276" s="798">
        <f t="shared" si="49"/>
        <v>0</v>
      </c>
      <c r="Q276" s="798"/>
    </row>
    <row r="277" spans="1:17" ht="12.75" customHeight="1" x14ac:dyDescent="0.3">
      <c r="A277" s="782"/>
      <c r="B277" s="781" t="s">
        <v>163</v>
      </c>
      <c r="C277" s="799"/>
      <c r="D277" s="781"/>
      <c r="E277" s="799">
        <f t="shared" ref="E277:P277" si="50">E272</f>
        <v>0</v>
      </c>
      <c r="F277" s="799">
        <f t="shared" si="50"/>
        <v>0</v>
      </c>
      <c r="G277" s="799">
        <f t="shared" si="50"/>
        <v>0</v>
      </c>
      <c r="H277" s="799">
        <f t="shared" si="50"/>
        <v>-45977397.544875875</v>
      </c>
      <c r="I277" s="799">
        <f t="shared" si="50"/>
        <v>2630723.3617346338</v>
      </c>
      <c r="J277" s="799">
        <f t="shared" si="50"/>
        <v>2802802.7319263299</v>
      </c>
      <c r="K277" s="799">
        <f t="shared" si="50"/>
        <v>2980921.8044357733</v>
      </c>
      <c r="L277" s="799">
        <f t="shared" si="50"/>
        <v>3196406.1347901761</v>
      </c>
      <c r="M277" s="799">
        <f t="shared" si="50"/>
        <v>55602304.765677132</v>
      </c>
      <c r="N277" s="799">
        <f t="shared" si="50"/>
        <v>0</v>
      </c>
      <c r="O277" s="799">
        <f t="shared" si="50"/>
        <v>0</v>
      </c>
      <c r="P277" s="799">
        <f t="shared" si="50"/>
        <v>0</v>
      </c>
      <c r="Q277" s="798"/>
    </row>
    <row r="278" spans="1:17" ht="12.75" customHeight="1" x14ac:dyDescent="0.3">
      <c r="A278" s="782"/>
      <c r="B278" s="782" t="s">
        <v>164</v>
      </c>
      <c r="C278" s="798"/>
      <c r="D278" s="782"/>
      <c r="E278" s="798">
        <f t="shared" ref="E278:P278" si="51">E276-E277</f>
        <v>0</v>
      </c>
      <c r="F278" s="798">
        <f t="shared" si="51"/>
        <v>0</v>
      </c>
      <c r="G278" s="798">
        <f t="shared" si="51"/>
        <v>0</v>
      </c>
      <c r="H278" s="798">
        <f t="shared" si="51"/>
        <v>-42877793.387000009</v>
      </c>
      <c r="I278" s="798">
        <f t="shared" si="51"/>
        <v>0</v>
      </c>
      <c r="J278" s="798">
        <f t="shared" si="51"/>
        <v>0</v>
      </c>
      <c r="K278" s="798">
        <f t="shared" si="51"/>
        <v>0</v>
      </c>
      <c r="L278" s="798">
        <f t="shared" si="51"/>
        <v>0</v>
      </c>
      <c r="M278" s="798">
        <f t="shared" si="51"/>
        <v>20141687.463545822</v>
      </c>
      <c r="N278" s="798">
        <f t="shared" si="51"/>
        <v>0</v>
      </c>
      <c r="O278" s="798">
        <f t="shared" si="51"/>
        <v>0</v>
      </c>
      <c r="P278" s="798">
        <f t="shared" si="51"/>
        <v>0</v>
      </c>
      <c r="Q278" s="798"/>
    </row>
    <row r="279" spans="1:17" ht="12.75" customHeight="1" x14ac:dyDescent="0.3">
      <c r="A279" s="782"/>
      <c r="B279" s="782"/>
      <c r="C279" s="798"/>
      <c r="D279" s="782"/>
      <c r="E279" s="798"/>
      <c r="F279" s="798"/>
      <c r="G279" s="798"/>
      <c r="H279" s="798"/>
      <c r="I279" s="798"/>
      <c r="J279" s="798"/>
      <c r="K279" s="798"/>
      <c r="L279" s="798"/>
      <c r="M279" s="798"/>
      <c r="N279" s="798"/>
      <c r="O279" s="798"/>
      <c r="P279" s="798"/>
      <c r="Q279" s="798"/>
    </row>
    <row r="280" spans="1:17" ht="12.75" customHeight="1" x14ac:dyDescent="0.3">
      <c r="A280" s="782"/>
      <c r="B280" s="796" t="s">
        <v>165</v>
      </c>
      <c r="C280" s="798"/>
      <c r="D280" s="782"/>
      <c r="E280" s="798"/>
      <c r="F280" s="798"/>
      <c r="G280" s="798"/>
      <c r="H280" s="798"/>
      <c r="I280" s="798"/>
      <c r="J280" s="798"/>
      <c r="K280" s="798"/>
      <c r="L280" s="798"/>
      <c r="M280" s="798"/>
      <c r="N280" s="798"/>
      <c r="O280" s="798"/>
      <c r="P280" s="798"/>
      <c r="Q280" s="798"/>
    </row>
    <row r="281" spans="1:17" ht="12.75" customHeight="1" x14ac:dyDescent="0.3">
      <c r="A281" s="782"/>
      <c r="B281" s="796"/>
      <c r="C281" s="798"/>
      <c r="D281" s="782"/>
      <c r="E281" s="798"/>
      <c r="F281" s="798"/>
      <c r="G281" s="798"/>
      <c r="H281" s="798"/>
      <c r="I281" s="798"/>
      <c r="J281" s="798"/>
      <c r="K281" s="798"/>
      <c r="L281" s="798"/>
      <c r="M281" s="798"/>
      <c r="N281" s="798"/>
      <c r="O281" s="798"/>
      <c r="P281" s="798"/>
      <c r="Q281" s="798"/>
    </row>
    <row r="282" spans="1:17" ht="12.75" customHeight="1" x14ac:dyDescent="0.3">
      <c r="A282" s="782"/>
      <c r="B282" s="781" t="s">
        <v>156</v>
      </c>
      <c r="C282" s="799"/>
      <c r="D282" s="781"/>
      <c r="E282" s="799">
        <v>0</v>
      </c>
      <c r="F282" s="799">
        <f t="shared" ref="F282:P282" si="52">E286</f>
        <v>0</v>
      </c>
      <c r="G282" s="799">
        <f t="shared" si="52"/>
        <v>0</v>
      </c>
      <c r="H282" s="799">
        <f t="shared" si="52"/>
        <v>0</v>
      </c>
      <c r="I282" s="799">
        <f t="shared" si="52"/>
        <v>-47612567.991190918</v>
      </c>
      <c r="J282" s="799">
        <f t="shared" si="52"/>
        <v>-49625916.100554526</v>
      </c>
      <c r="K282" s="799">
        <f t="shared" si="52"/>
        <v>-51674140.6796856</v>
      </c>
      <c r="L282" s="799">
        <f t="shared" si="52"/>
        <v>-53727564.251854703</v>
      </c>
      <c r="M282" s="799">
        <f t="shared" si="52"/>
        <v>-55761268.62374121</v>
      </c>
      <c r="N282" s="799">
        <f t="shared" si="52"/>
        <v>14559552.480968542</v>
      </c>
      <c r="O282" s="799">
        <f t="shared" si="52"/>
        <v>16019690.305048212</v>
      </c>
      <c r="P282" s="799">
        <f t="shared" si="52"/>
        <v>17621659.335553195</v>
      </c>
      <c r="Q282" s="798"/>
    </row>
    <row r="283" spans="1:17" ht="12.75" customHeight="1" x14ac:dyDescent="0.3">
      <c r="A283" s="782"/>
      <c r="B283" s="782" t="s">
        <v>166</v>
      </c>
      <c r="C283" s="798"/>
      <c r="D283" s="782"/>
      <c r="E283" s="798">
        <f>SUMIF('Venture Summary - Mthly'!$E$7:$EG$7,E$7,'Venture Summary - Mthly'!$E288:$EG288)</f>
        <v>0</v>
      </c>
      <c r="F283" s="798">
        <f>SUMIF('Venture Summary - Mthly'!$E$7:$EG$7,F$7,'Venture Summary - Mthly'!$E288:$EG288)</f>
        <v>0</v>
      </c>
      <c r="G283" s="798">
        <f>SUMIF('Venture Summary - Mthly'!$E$7:$EG$7,G$7,'Venture Summary - Mthly'!$E288:$EG288)</f>
        <v>0</v>
      </c>
      <c r="H283" s="798">
        <f>SUMIF('Venture Summary - Mthly'!$E$7:$EG$7,H$7,'Venture Summary - Mthly'!$E288:$EG288)</f>
        <v>-1635170.4463150431</v>
      </c>
      <c r="I283" s="798">
        <f>SUMIF('Venture Summary - Mthly'!$E$7:$EG$7,I$7,'Venture Summary - Mthly'!$E288:$EG288)</f>
        <v>-4644071.4710982442</v>
      </c>
      <c r="J283" s="798">
        <f>SUMIF('Venture Summary - Mthly'!$E$7:$EG$7,J$7,'Venture Summary - Mthly'!$E288:$EG288)</f>
        <v>-4851027.3110574028</v>
      </c>
      <c r="K283" s="798">
        <f>SUMIF('Venture Summary - Mthly'!$E$7:$EG$7,K$7,'Venture Summary - Mthly'!$E288:$EG288)</f>
        <v>-5034345.3766048783</v>
      </c>
      <c r="L283" s="798">
        <f>SUMIF('Venture Summary - Mthly'!$E$7:$EG$7,L$7,'Venture Summary - Mthly'!$E288:$EG288)</f>
        <v>-5230110.5066766832</v>
      </c>
      <c r="M283" s="798">
        <f>SUMIF('Venture Summary - Mthly'!$E$7:$EG$7,M$7,'Venture Summary - Mthly'!$E288:$EG288)</f>
        <v>-5423171.1245132014</v>
      </c>
      <c r="N283" s="798">
        <f>SUMIF('Venture Summary - Mthly'!$E$7:$EG$7,N$7,'Venture Summary - Mthly'!$E288:$EG288)</f>
        <v>1460137.8240796709</v>
      </c>
      <c r="O283" s="798">
        <f>SUMIF('Venture Summary - Mthly'!$E$7:$EG$7,O$7,'Venture Summary - Mthly'!$E288:$EG288)</f>
        <v>1601969.030504982</v>
      </c>
      <c r="P283" s="798">
        <f>SUMIF('Venture Summary - Mthly'!$E$7:$EG$7,P$7,'Venture Summary - Mthly'!$E288:$EG288)</f>
        <v>0</v>
      </c>
      <c r="Q283" s="798"/>
    </row>
    <row r="284" spans="1:17" ht="12.75" customHeight="1" x14ac:dyDescent="0.3">
      <c r="A284" s="782"/>
      <c r="B284" s="782" t="s">
        <v>157</v>
      </c>
      <c r="C284" s="798"/>
      <c r="D284" s="782"/>
      <c r="E284" s="798">
        <f>SUMIF('Venture Summary - Mthly'!$E$7:$EG$7,E$7,'Venture Summary - Mthly'!$E289:$EG289)</f>
        <v>0</v>
      </c>
      <c r="F284" s="798">
        <f>SUMIF('Venture Summary - Mthly'!$E$7:$EG$7,F$7,'Venture Summary - Mthly'!$E289:$EG289)</f>
        <v>0</v>
      </c>
      <c r="G284" s="798">
        <f>SUMIF('Venture Summary - Mthly'!$E$7:$EG$7,G$7,'Venture Summary - Mthly'!$E289:$EG289)</f>
        <v>0</v>
      </c>
      <c r="H284" s="798">
        <f>SUMIF('Venture Summary - Mthly'!$E$7:$EG$7,H$7,'Venture Summary - Mthly'!$E289:$EG289)</f>
        <v>-60916274.722085506</v>
      </c>
      <c r="I284" s="798">
        <f>SUMIF('Venture Summary - Mthly'!$E$7:$EG$7,I$7,'Venture Summary - Mthly'!$E289:$EG289)</f>
        <v>0</v>
      </c>
      <c r="J284" s="798">
        <f>SUMIF('Venture Summary - Mthly'!$E$7:$EG$7,J$7,'Venture Summary - Mthly'!$E289:$EG289)</f>
        <v>0</v>
      </c>
      <c r="K284" s="798">
        <f>SUMIF('Venture Summary - Mthly'!$E$7:$EG$7,K$7,'Venture Summary - Mthly'!$E289:$EG289)</f>
        <v>0</v>
      </c>
      <c r="L284" s="798">
        <f>SUMIF('Venture Summary - Mthly'!$E$7:$EG$7,L$7,'Venture Summary - Mthly'!$E289:$EG289)</f>
        <v>0</v>
      </c>
      <c r="M284" s="798">
        <f>SUMIF('Venture Summary - Mthly'!$E$7:$EG$7,M$7,'Venture Summary - Mthly'!$E289:$EG289)</f>
        <v>0</v>
      </c>
      <c r="N284" s="798">
        <f>SUMIF('Venture Summary - Mthly'!$E$7:$EG$7,N$7,'Venture Summary - Mthly'!$E289:$EG289)</f>
        <v>0</v>
      </c>
      <c r="O284" s="798">
        <f>SUMIF('Venture Summary - Mthly'!$E$7:$EG$7,O$7,'Venture Summary - Mthly'!$E289:$EG289)</f>
        <v>0</v>
      </c>
      <c r="P284" s="798">
        <f>SUMIF('Venture Summary - Mthly'!$E$7:$EG$7,P$7,'Venture Summary - Mthly'!$E289:$EG289)</f>
        <v>0</v>
      </c>
      <c r="Q284" s="798"/>
    </row>
    <row r="285" spans="1:17" ht="12.75" customHeight="1" x14ac:dyDescent="0.3">
      <c r="A285" s="782"/>
      <c r="B285" s="781" t="s">
        <v>158</v>
      </c>
      <c r="C285" s="799"/>
      <c r="D285" s="781"/>
      <c r="E285" s="799">
        <f>SUMIF('Venture Summary - Mthly'!$E$7:$EG$7,E$7,'Venture Summary - Mthly'!$E290:$EG290)</f>
        <v>0</v>
      </c>
      <c r="F285" s="799">
        <f>SUMIF('Venture Summary - Mthly'!$E$7:$EG$7,F$7,'Venture Summary - Mthly'!$E290:$EG290)</f>
        <v>0</v>
      </c>
      <c r="G285" s="799">
        <f>SUMIF('Venture Summary - Mthly'!$E$7:$EG$7,G$7,'Venture Summary - Mthly'!$E290:$EG290)</f>
        <v>0</v>
      </c>
      <c r="H285" s="799">
        <f>SUMIF('Venture Summary - Mthly'!$E$7:$EG$7,H$7,'Venture Summary - Mthly'!$E290:$EG290)</f>
        <v>14938877.177209632</v>
      </c>
      <c r="I285" s="799">
        <f>SUMIF('Venture Summary - Mthly'!$E$7:$EG$7,I$7,'Venture Summary - Mthly'!$E290:$EG290)</f>
        <v>2630723.3617346338</v>
      </c>
      <c r="J285" s="799">
        <f>SUMIF('Venture Summary - Mthly'!$E$7:$EG$7,J$7,'Venture Summary - Mthly'!$E290:$EG290)</f>
        <v>2802802.7319263299</v>
      </c>
      <c r="K285" s="799">
        <f>SUMIF('Venture Summary - Mthly'!$E$7:$EG$7,K$7,'Venture Summary - Mthly'!$E290:$EG290)</f>
        <v>2980921.8044357733</v>
      </c>
      <c r="L285" s="799">
        <f>SUMIF('Venture Summary - Mthly'!$E$7:$EG$7,L$7,'Venture Summary - Mthly'!$E290:$EG290)</f>
        <v>3196406.1347901761</v>
      </c>
      <c r="M285" s="799">
        <f>SUMIF('Venture Summary - Mthly'!$E$7:$EG$7,M$7,'Venture Summary - Mthly'!$E290:$EG290)</f>
        <v>75743992.229222953</v>
      </c>
      <c r="N285" s="799">
        <f>SUMIF('Venture Summary - Mthly'!$E$7:$EG$7,N$7,'Venture Summary - Mthly'!$E290:$EG290)</f>
        <v>0</v>
      </c>
      <c r="O285" s="799">
        <f>SUMIF('Venture Summary - Mthly'!$E$7:$EG$7,O$7,'Venture Summary - Mthly'!$E290:$EG290)</f>
        <v>0</v>
      </c>
      <c r="P285" s="799">
        <f>SUMIF('Venture Summary - Mthly'!$E$7:$EG$7,P$7,'Venture Summary - Mthly'!$E290:$EG290)</f>
        <v>0</v>
      </c>
      <c r="Q285" s="798"/>
    </row>
    <row r="286" spans="1:17" ht="12.75" customHeight="1" x14ac:dyDescent="0.3">
      <c r="A286" s="782"/>
      <c r="B286" s="782" t="s">
        <v>159</v>
      </c>
      <c r="C286" s="798"/>
      <c r="D286" s="782"/>
      <c r="E286" s="798">
        <f t="shared" ref="E286:O286" si="53">SUM(E282:E285)</f>
        <v>0</v>
      </c>
      <c r="F286" s="798">
        <f t="shared" si="53"/>
        <v>0</v>
      </c>
      <c r="G286" s="798">
        <f t="shared" si="53"/>
        <v>0</v>
      </c>
      <c r="H286" s="798">
        <f>SUM(H282:H285)</f>
        <v>-47612567.991190918</v>
      </c>
      <c r="I286" s="798">
        <f>SUM(I282:I285)</f>
        <v>-49625916.100554526</v>
      </c>
      <c r="J286" s="798">
        <f>SUM(J282:J285)</f>
        <v>-51674140.6796856</v>
      </c>
      <c r="K286" s="798">
        <f t="shared" si="53"/>
        <v>-53727564.251854703</v>
      </c>
      <c r="L286" s="798">
        <f t="shared" si="53"/>
        <v>-55761268.62374121</v>
      </c>
      <c r="M286" s="798">
        <f t="shared" si="53"/>
        <v>14559552.480968542</v>
      </c>
      <c r="N286" s="798">
        <f t="shared" si="53"/>
        <v>16019690.305048212</v>
      </c>
      <c r="O286" s="798">
        <f t="shared" si="53"/>
        <v>17621659.335553195</v>
      </c>
      <c r="P286" s="798">
        <f>SUM(P282:P285)</f>
        <v>17621659.335553195</v>
      </c>
      <c r="Q286" s="798"/>
    </row>
    <row r="287" spans="1:17" ht="12.75" customHeight="1" x14ac:dyDescent="0.3">
      <c r="A287" s="782"/>
      <c r="B287" s="782"/>
      <c r="C287" s="798"/>
      <c r="D287" s="782"/>
      <c r="E287" s="798"/>
      <c r="F287" s="798"/>
      <c r="G287" s="798"/>
      <c r="H287" s="798"/>
      <c r="I287" s="798"/>
      <c r="J287" s="798"/>
      <c r="K287" s="798"/>
      <c r="L287" s="798"/>
      <c r="M287" s="798"/>
      <c r="N287" s="798"/>
      <c r="O287" s="798"/>
      <c r="P287" s="798"/>
      <c r="Q287" s="798"/>
    </row>
    <row r="288" spans="1:17" ht="12.75" customHeight="1" x14ac:dyDescent="0.3">
      <c r="A288" s="782"/>
      <c r="B288" s="781" t="s">
        <v>167</v>
      </c>
      <c r="C288" s="799"/>
      <c r="D288" s="781"/>
      <c r="E288" s="799">
        <f t="shared" ref="E288:O288" si="54">MAX(MIN(-SUM(E282:E283),E285),0)</f>
        <v>0</v>
      </c>
      <c r="F288" s="799">
        <f t="shared" si="54"/>
        <v>0</v>
      </c>
      <c r="G288" s="799">
        <f t="shared" si="54"/>
        <v>0</v>
      </c>
      <c r="H288" s="799">
        <f>MAX(MIN(-SUM(H282:H283),H285),0)</f>
        <v>1635170.4463150431</v>
      </c>
      <c r="I288" s="799">
        <f>MAX(MIN(-SUM(I282:I283),I285),0)</f>
        <v>2630723.3617346338</v>
      </c>
      <c r="J288" s="799">
        <f>MAX(MIN(-SUM(J282:J283),J285),0)</f>
        <v>2802802.7319263299</v>
      </c>
      <c r="K288" s="799">
        <f t="shared" si="54"/>
        <v>2980921.8044357733</v>
      </c>
      <c r="L288" s="799">
        <f t="shared" si="54"/>
        <v>3196406.1347901761</v>
      </c>
      <c r="M288" s="799">
        <f t="shared" si="54"/>
        <v>61184439.748254411</v>
      </c>
      <c r="N288" s="799">
        <f t="shared" si="54"/>
        <v>0</v>
      </c>
      <c r="O288" s="799">
        <f t="shared" si="54"/>
        <v>0</v>
      </c>
      <c r="P288" s="799">
        <f>MAX(MIN(-SUM(P282:P283),P285),0)</f>
        <v>0</v>
      </c>
      <c r="Q288" s="798"/>
    </row>
    <row r="289" spans="1:17" ht="12.75" customHeight="1" x14ac:dyDescent="0.3">
      <c r="A289" s="782"/>
      <c r="B289" s="782" t="s">
        <v>161</v>
      </c>
      <c r="C289" s="798"/>
      <c r="D289" s="782"/>
      <c r="E289" s="798">
        <f t="shared" ref="E289:P289" si="55">E284+E288</f>
        <v>0</v>
      </c>
      <c r="F289" s="798">
        <f t="shared" si="55"/>
        <v>0</v>
      </c>
      <c r="G289" s="798">
        <f t="shared" si="55"/>
        <v>0</v>
      </c>
      <c r="H289" s="798">
        <f t="shared" si="55"/>
        <v>-59281104.275770463</v>
      </c>
      <c r="I289" s="798">
        <f t="shared" si="55"/>
        <v>2630723.3617346338</v>
      </c>
      <c r="J289" s="798">
        <f t="shared" si="55"/>
        <v>2802802.7319263299</v>
      </c>
      <c r="K289" s="798">
        <f t="shared" si="55"/>
        <v>2980921.8044357733</v>
      </c>
      <c r="L289" s="798">
        <f t="shared" si="55"/>
        <v>3196406.1347901761</v>
      </c>
      <c r="M289" s="798">
        <f t="shared" si="55"/>
        <v>61184439.748254411</v>
      </c>
      <c r="N289" s="798">
        <f t="shared" si="55"/>
        <v>0</v>
      </c>
      <c r="O289" s="798">
        <f t="shared" si="55"/>
        <v>0</v>
      </c>
      <c r="P289" s="798">
        <f t="shared" si="55"/>
        <v>0</v>
      </c>
      <c r="Q289" s="798"/>
    </row>
    <row r="290" spans="1:17" ht="12.75" customHeight="1" x14ac:dyDescent="0.3">
      <c r="A290" s="782"/>
      <c r="B290" s="782"/>
      <c r="C290" s="798"/>
      <c r="D290" s="782"/>
      <c r="E290" s="798"/>
      <c r="F290" s="798"/>
      <c r="G290" s="798"/>
      <c r="H290" s="798"/>
      <c r="I290" s="798"/>
      <c r="J290" s="798"/>
      <c r="K290" s="798"/>
      <c r="L290" s="798"/>
      <c r="M290" s="798"/>
      <c r="N290" s="798"/>
      <c r="O290" s="798"/>
      <c r="P290" s="798"/>
      <c r="Q290" s="798"/>
    </row>
    <row r="291" spans="1:17" ht="12.75" customHeight="1" x14ac:dyDescent="0.3">
      <c r="A291" s="782"/>
      <c r="B291" s="796" t="s">
        <v>168</v>
      </c>
      <c r="C291" s="824">
        <f>'Venture Summary - Mthly'!C296</f>
        <v>0.10000000596046449</v>
      </c>
      <c r="D291" s="782"/>
      <c r="E291" s="798"/>
      <c r="F291" s="798"/>
      <c r="G291" s="798"/>
      <c r="H291" s="798"/>
      <c r="I291" s="798"/>
      <c r="J291" s="798"/>
      <c r="K291" s="798"/>
      <c r="L291" s="798"/>
      <c r="M291" s="798"/>
      <c r="N291" s="798"/>
      <c r="O291" s="798"/>
      <c r="P291" s="798"/>
      <c r="Q291" s="798"/>
    </row>
    <row r="292" spans="1:17" ht="12.75" customHeight="1" x14ac:dyDescent="0.3">
      <c r="A292" s="782"/>
      <c r="B292" s="782"/>
      <c r="C292" s="798"/>
      <c r="D292" s="782"/>
      <c r="E292" s="798"/>
      <c r="F292" s="798"/>
      <c r="G292" s="798"/>
      <c r="H292" s="798"/>
      <c r="I292" s="798"/>
      <c r="J292" s="798"/>
      <c r="K292" s="798"/>
      <c r="L292" s="798"/>
      <c r="M292" s="798"/>
      <c r="N292" s="798"/>
      <c r="O292" s="798"/>
      <c r="P292" s="798"/>
      <c r="Q292" s="798"/>
    </row>
    <row r="293" spans="1:17" ht="12.75" customHeight="1" x14ac:dyDescent="0.3">
      <c r="A293" s="782"/>
      <c r="B293" s="781" t="s">
        <v>163</v>
      </c>
      <c r="C293" s="799"/>
      <c r="D293" s="781"/>
      <c r="E293" s="799">
        <f t="shared" ref="E293:P293" si="56">E277</f>
        <v>0</v>
      </c>
      <c r="F293" s="799">
        <f t="shared" si="56"/>
        <v>0</v>
      </c>
      <c r="G293" s="799">
        <f t="shared" si="56"/>
        <v>0</v>
      </c>
      <c r="H293" s="799">
        <f t="shared" si="56"/>
        <v>-45977397.544875875</v>
      </c>
      <c r="I293" s="799">
        <f t="shared" si="56"/>
        <v>2630723.3617346338</v>
      </c>
      <c r="J293" s="799">
        <f t="shared" si="56"/>
        <v>2802802.7319263299</v>
      </c>
      <c r="K293" s="799">
        <f t="shared" si="56"/>
        <v>2980921.8044357733</v>
      </c>
      <c r="L293" s="799">
        <f t="shared" si="56"/>
        <v>3196406.1347901761</v>
      </c>
      <c r="M293" s="799">
        <f t="shared" si="56"/>
        <v>55602304.765677132</v>
      </c>
      <c r="N293" s="799">
        <f t="shared" si="56"/>
        <v>0</v>
      </c>
      <c r="O293" s="799">
        <f t="shared" si="56"/>
        <v>0</v>
      </c>
      <c r="P293" s="799">
        <f t="shared" si="56"/>
        <v>0</v>
      </c>
      <c r="Q293" s="798"/>
    </row>
    <row r="294" spans="1:17" ht="12.75" customHeight="1" x14ac:dyDescent="0.3">
      <c r="A294" s="782"/>
      <c r="B294" s="782" t="s">
        <v>169</v>
      </c>
      <c r="C294" s="798"/>
      <c r="D294" s="782"/>
      <c r="E294" s="798">
        <f t="shared" ref="E294:P294" si="57">E289-E293</f>
        <v>0</v>
      </c>
      <c r="F294" s="798">
        <f t="shared" si="57"/>
        <v>0</v>
      </c>
      <c r="G294" s="798">
        <f t="shared" si="57"/>
        <v>0</v>
      </c>
      <c r="H294" s="798">
        <f t="shared" si="57"/>
        <v>-13303706.730894588</v>
      </c>
      <c r="I294" s="798">
        <f t="shared" si="57"/>
        <v>0</v>
      </c>
      <c r="J294" s="798">
        <f t="shared" si="57"/>
        <v>0</v>
      </c>
      <c r="K294" s="798">
        <f t="shared" si="57"/>
        <v>0</v>
      </c>
      <c r="L294" s="798">
        <f t="shared" si="57"/>
        <v>0</v>
      </c>
      <c r="M294" s="798">
        <f t="shared" si="57"/>
        <v>5582134.9825772792</v>
      </c>
      <c r="N294" s="798">
        <f t="shared" si="57"/>
        <v>0</v>
      </c>
      <c r="O294" s="798">
        <f t="shared" si="57"/>
        <v>0</v>
      </c>
      <c r="P294" s="798">
        <f t="shared" si="57"/>
        <v>0</v>
      </c>
      <c r="Q294" s="798"/>
    </row>
    <row r="295" spans="1:17" ht="12.75" customHeight="1" x14ac:dyDescent="0.3">
      <c r="A295" s="782"/>
      <c r="B295" s="782" t="s">
        <v>170</v>
      </c>
      <c r="C295" s="798"/>
      <c r="D295" s="782"/>
      <c r="E295" s="798">
        <f>SUMIF('Venture Summary - Mthly'!$E$7:$EG$7,E$7,'Venture Summary - Mthly'!$E300:$EG300)</f>
        <v>0</v>
      </c>
      <c r="F295" s="798">
        <f>SUMIF('Venture Summary - Mthly'!$E$7:$EG$7,F$7,'Venture Summary - Mthly'!$E300:$EG300)</f>
        <v>0</v>
      </c>
      <c r="G295" s="798">
        <f>SUMIF('Venture Summary - Mthly'!$E$7:$EG$7,G$7,'Venture Summary - Mthly'!$E300:$EG300)</f>
        <v>0</v>
      </c>
      <c r="H295" s="798">
        <f>SUMIF('Venture Summary - Mthly'!$E$7:$EG$7,H$7,'Venture Summary - Mthly'!$E300:$EG300)</f>
        <v>0</v>
      </c>
      <c r="I295" s="798">
        <f>SUMIF('Venture Summary - Mthly'!$E$7:$EG$7,I$7,'Venture Summary - Mthly'!$E300:$EG300)</f>
        <v>0</v>
      </c>
      <c r="J295" s="798">
        <f>SUMIF('Venture Summary - Mthly'!$E$7:$EG$7,J$7,'Venture Summary - Mthly'!$E300:$EG300)</f>
        <v>0</v>
      </c>
      <c r="K295" s="798">
        <f>SUMIF('Venture Summary - Mthly'!$E$7:$EG$7,K$7,'Venture Summary - Mthly'!$E300:$EG300)</f>
        <v>0</v>
      </c>
      <c r="L295" s="798">
        <f>SUMIF('Venture Summary - Mthly'!$E$7:$EG$7,L$7,'Venture Summary - Mthly'!$E300:$EG300)</f>
        <v>0</v>
      </c>
      <c r="M295" s="798">
        <f>SUMIF('Venture Summary - Mthly'!$E$7:$EG$7,M$7,'Venture Summary - Mthly'!$E300:$EG300)</f>
        <v>6567217.6265614787</v>
      </c>
      <c r="N295" s="798">
        <f>SUMIF('Venture Summary - Mthly'!$E$7:$EG$7,N$7,'Venture Summary - Mthly'!$E300:$EG300)</f>
        <v>0</v>
      </c>
      <c r="O295" s="798">
        <f>SUMIF('Venture Summary - Mthly'!$E$7:$EG$7,O$7,'Venture Summary - Mthly'!$E300:$EG300)</f>
        <v>0</v>
      </c>
      <c r="P295" s="798">
        <f>SUMIF('Venture Summary - Mthly'!$E$7:$EG$7,P$7,'Venture Summary - Mthly'!$E300:$EG300)</f>
        <v>0</v>
      </c>
      <c r="Q295" s="798"/>
    </row>
    <row r="296" spans="1:17" ht="12.75" customHeight="1" x14ac:dyDescent="0.3">
      <c r="A296" s="782"/>
      <c r="B296" s="782"/>
      <c r="C296" s="798"/>
      <c r="D296" s="782"/>
      <c r="E296" s="798"/>
      <c r="F296" s="798"/>
      <c r="G296" s="798"/>
      <c r="H296" s="798"/>
      <c r="I296" s="798"/>
      <c r="J296" s="798"/>
      <c r="K296" s="798"/>
      <c r="L296" s="798"/>
      <c r="M296" s="798"/>
      <c r="N296" s="798"/>
      <c r="O296" s="798"/>
      <c r="P296" s="798"/>
      <c r="Q296" s="798"/>
    </row>
    <row r="297" spans="1:17" ht="12.75" customHeight="1" x14ac:dyDescent="0.3">
      <c r="A297" s="782"/>
      <c r="B297" s="782" t="s">
        <v>171</v>
      </c>
      <c r="C297" s="798"/>
      <c r="D297" s="782"/>
      <c r="E297" s="798">
        <f>SUMIF('Venture Summary - Mthly'!$E$7:$EG$7,E$7,'Venture Summary - Mthly'!$E302:$EG302)</f>
        <v>0</v>
      </c>
      <c r="F297" s="798">
        <f>SUMIF('Venture Summary - Mthly'!$E$7:$EG$7,F$7,'Venture Summary - Mthly'!$E302:$EG302)</f>
        <v>0</v>
      </c>
      <c r="G297" s="798">
        <f>SUMIF('Venture Summary - Mthly'!$E$7:$EG$7,G$7,'Venture Summary - Mthly'!$E302:$EG302)</f>
        <v>0</v>
      </c>
      <c r="H297" s="798">
        <f>SUMIF('Venture Summary - Mthly'!$E$7:$EG$7,H$7,'Venture Summary - Mthly'!$E302:$EG302)</f>
        <v>0</v>
      </c>
      <c r="I297" s="798">
        <f>SUMIF('Venture Summary - Mthly'!$E$7:$EG$7,I$7,'Venture Summary - Mthly'!$E302:$EG302)</f>
        <v>0</v>
      </c>
      <c r="J297" s="798">
        <f>SUMIF('Venture Summary - Mthly'!$E$7:$EG$7,J$7,'Venture Summary - Mthly'!$E302:$EG302)</f>
        <v>0</v>
      </c>
      <c r="K297" s="798">
        <f>SUMIF('Venture Summary - Mthly'!$E$7:$EG$7,K$7,'Venture Summary - Mthly'!$E302:$EG302)</f>
        <v>0</v>
      </c>
      <c r="L297" s="798">
        <f>SUMIF('Venture Summary - Mthly'!$E$7:$EG$7,L$7,'Venture Summary - Mthly'!$E302:$EG302)</f>
        <v>0</v>
      </c>
      <c r="M297" s="798">
        <f>SUMIF('Venture Summary - Mthly'!$E$7:$EG$7,M$7,'Venture Summary - Mthly'!$E302:$EG302)</f>
        <v>985082.64398422174</v>
      </c>
      <c r="N297" s="798">
        <f>SUMIF('Venture Summary - Mthly'!$E$7:$EG$7,N$7,'Venture Summary - Mthly'!$E302:$EG302)</f>
        <v>0</v>
      </c>
      <c r="O297" s="798">
        <f>SUMIF('Venture Summary - Mthly'!$E$7:$EG$7,O$7,'Venture Summary - Mthly'!$E302:$EG302)</f>
        <v>0</v>
      </c>
      <c r="P297" s="798">
        <f>SUMIF('Venture Summary - Mthly'!$E$7:$EG$7,P$7,'Venture Summary - Mthly'!$E302:$EG302)</f>
        <v>0</v>
      </c>
      <c r="Q297" s="798"/>
    </row>
    <row r="298" spans="1:17" ht="12.75" customHeight="1" x14ac:dyDescent="0.3">
      <c r="A298" s="782"/>
      <c r="B298" s="781" t="s">
        <v>172</v>
      </c>
      <c r="C298" s="799"/>
      <c r="D298" s="781"/>
      <c r="E298" s="799">
        <f>SUMIF('Venture Summary - Mthly'!$E$7:$EG$7,E$7,'Venture Summary - Mthly'!$E303:$EG303)</f>
        <v>0</v>
      </c>
      <c r="F298" s="799">
        <f>SUMIF('Venture Summary - Mthly'!$E$7:$EG$7,F$7,'Venture Summary - Mthly'!$E303:$EG303)</f>
        <v>0</v>
      </c>
      <c r="G298" s="799">
        <f>SUMIF('Venture Summary - Mthly'!$E$7:$EG$7,G$7,'Venture Summary - Mthly'!$E303:$EG303)</f>
        <v>0</v>
      </c>
      <c r="H298" s="799">
        <f>SUMIF('Venture Summary - Mthly'!$E$7:$EG$7,H$7,'Venture Summary - Mthly'!$E303:$EG303)</f>
        <v>0</v>
      </c>
      <c r="I298" s="799">
        <f>SUMIF('Venture Summary - Mthly'!$E$7:$EG$7,I$7,'Venture Summary - Mthly'!$E303:$EG303)</f>
        <v>0</v>
      </c>
      <c r="J298" s="799">
        <f>SUMIF('Venture Summary - Mthly'!$E$7:$EG$7,J$7,'Venture Summary - Mthly'!$E303:$EG303)</f>
        <v>0</v>
      </c>
      <c r="K298" s="799">
        <f>SUMIF('Venture Summary - Mthly'!$E$7:$EG$7,K$7,'Venture Summary - Mthly'!$E303:$EG303)</f>
        <v>0</v>
      </c>
      <c r="L298" s="799">
        <f>SUMIF('Venture Summary - Mthly'!$E$7:$EG$7,L$7,'Venture Summary - Mthly'!$E303:$EG303)</f>
        <v>0</v>
      </c>
      <c r="M298" s="799">
        <f>SUMIF('Venture Summary - Mthly'!$E$7:$EG$7,M$7,'Venture Summary - Mthly'!$E303:$EG303)</f>
        <v>5582134.9825772569</v>
      </c>
      <c r="N298" s="799">
        <f>SUMIF('Venture Summary - Mthly'!$E$7:$EG$7,N$7,'Venture Summary - Mthly'!$E303:$EG303)</f>
        <v>0</v>
      </c>
      <c r="O298" s="799">
        <f>SUMIF('Venture Summary - Mthly'!$E$7:$EG$7,O$7,'Venture Summary - Mthly'!$E303:$EG303)</f>
        <v>0</v>
      </c>
      <c r="P298" s="799">
        <f>SUMIF('Venture Summary - Mthly'!$E$7:$EG$7,P$7,'Venture Summary - Mthly'!$E303:$EG303)</f>
        <v>0</v>
      </c>
      <c r="Q298" s="798"/>
    </row>
    <row r="299" spans="1:17" ht="12.75" customHeight="1" x14ac:dyDescent="0.3">
      <c r="A299" s="782"/>
      <c r="B299" s="782" t="s">
        <v>173</v>
      </c>
      <c r="C299" s="798"/>
      <c r="D299" s="782"/>
      <c r="E299" s="798">
        <f t="shared" ref="E299:O299" si="58">SUM(E297:E298)</f>
        <v>0</v>
      </c>
      <c r="F299" s="798">
        <f t="shared" si="58"/>
        <v>0</v>
      </c>
      <c r="G299" s="798">
        <f t="shared" si="58"/>
        <v>0</v>
      </c>
      <c r="H299" s="798">
        <f>SUM(H297:H298)</f>
        <v>0</v>
      </c>
      <c r="I299" s="798">
        <f>SUM(I297:I298)</f>
        <v>0</v>
      </c>
      <c r="J299" s="798">
        <f>SUM(J297:J298)</f>
        <v>0</v>
      </c>
      <c r="K299" s="798">
        <f t="shared" si="58"/>
        <v>0</v>
      </c>
      <c r="L299" s="798">
        <f t="shared" si="58"/>
        <v>0</v>
      </c>
      <c r="M299" s="798">
        <f t="shared" si="58"/>
        <v>6567217.6265614787</v>
      </c>
      <c r="N299" s="798">
        <f t="shared" si="58"/>
        <v>0</v>
      </c>
      <c r="O299" s="798">
        <f t="shared" si="58"/>
        <v>0</v>
      </c>
      <c r="P299" s="798">
        <f>SUM(P297:P298)</f>
        <v>0</v>
      </c>
      <c r="Q299" s="798"/>
    </row>
    <row r="300" spans="1:17" ht="12.75" customHeight="1" x14ac:dyDescent="0.3">
      <c r="A300" s="782"/>
      <c r="B300" s="782" t="s">
        <v>174</v>
      </c>
      <c r="C300" s="798"/>
      <c r="D300" s="782"/>
      <c r="E300" s="798">
        <f>SUMIF('Venture Summary - Mthly'!$E$7:$EG$7,E$7,'Venture Summary - Mthly'!$E305:$EG305)</f>
        <v>0</v>
      </c>
      <c r="F300" s="798">
        <f>SUMIF('Venture Summary - Mthly'!$E$7:$EG$7,F$7,'Venture Summary - Mthly'!$E305:$EG305)</f>
        <v>0</v>
      </c>
      <c r="G300" s="798">
        <f>SUMIF('Venture Summary - Mthly'!$E$7:$EG$7,G$7,'Venture Summary - Mthly'!$E305:$EG305)</f>
        <v>0</v>
      </c>
      <c r="H300" s="798">
        <f>SUMIF('Venture Summary - Mthly'!$E$7:$EG$7,H$7,'Venture Summary - Mthly'!$E305:$EG305)</f>
        <v>0</v>
      </c>
      <c r="I300" s="798">
        <f>SUMIF('Venture Summary - Mthly'!$E$7:$EG$7,I$7,'Venture Summary - Mthly'!$E305:$EG305)</f>
        <v>0</v>
      </c>
      <c r="J300" s="798">
        <f>SUMIF('Venture Summary - Mthly'!$E$7:$EG$7,J$7,'Venture Summary - Mthly'!$E305:$EG305)</f>
        <v>0</v>
      </c>
      <c r="K300" s="798">
        <f>SUMIF('Venture Summary - Mthly'!$E$7:$EG$7,K$7,'Venture Summary - Mthly'!$E305:$EG305)</f>
        <v>0</v>
      </c>
      <c r="L300" s="798">
        <f>SUMIF('Venture Summary - Mthly'!$E$7:$EG$7,L$7,'Venture Summary - Mthly'!$E305:$EG305)</f>
        <v>0</v>
      </c>
      <c r="M300" s="798">
        <f>SUMIF('Venture Summary - Mthly'!$E$7:$EG$7,M$7,'Venture Summary - Mthly'!$E305:$EG305)</f>
        <v>13574469.836984336</v>
      </c>
      <c r="N300" s="798">
        <f>SUMIF('Venture Summary - Mthly'!$E$7:$EG$7,N$7,'Venture Summary - Mthly'!$E305:$EG305)</f>
        <v>0</v>
      </c>
      <c r="O300" s="798">
        <f>SUMIF('Venture Summary - Mthly'!$E$7:$EG$7,O$7,'Venture Summary - Mthly'!$E305:$EG305)</f>
        <v>0</v>
      </c>
      <c r="P300" s="798">
        <f>SUMIF('Venture Summary - Mthly'!$E$7:$EG$7,P$7,'Venture Summary - Mthly'!$E305:$EG305)</f>
        <v>0</v>
      </c>
      <c r="Q300" s="798"/>
    </row>
    <row r="301" spans="1:17" ht="12.75" customHeight="1" x14ac:dyDescent="0.3">
      <c r="A301" s="782"/>
      <c r="B301" s="782"/>
      <c r="C301" s="798"/>
      <c r="D301" s="782"/>
      <c r="E301" s="798"/>
      <c r="F301" s="798"/>
      <c r="G301" s="798"/>
      <c r="H301" s="798"/>
      <c r="I301" s="798"/>
      <c r="J301" s="798"/>
      <c r="K301" s="798"/>
      <c r="L301" s="798"/>
      <c r="M301" s="798"/>
      <c r="N301" s="798"/>
      <c r="O301" s="798"/>
      <c r="P301" s="798"/>
      <c r="Q301" s="798"/>
    </row>
    <row r="302" spans="1:17" ht="12.75" customHeight="1" x14ac:dyDescent="0.3">
      <c r="A302" s="782"/>
      <c r="B302" s="796" t="s">
        <v>175</v>
      </c>
      <c r="C302" s="798"/>
      <c r="D302" s="782"/>
      <c r="E302" s="798"/>
      <c r="F302" s="798"/>
      <c r="G302" s="798"/>
      <c r="H302" s="798"/>
      <c r="I302" s="798"/>
      <c r="J302" s="798"/>
      <c r="K302" s="798"/>
      <c r="L302" s="798"/>
      <c r="M302" s="798"/>
      <c r="N302" s="798"/>
      <c r="O302" s="798"/>
      <c r="P302" s="798"/>
      <c r="Q302" s="798"/>
    </row>
    <row r="303" spans="1:17" ht="12.75" customHeight="1" x14ac:dyDescent="0.3">
      <c r="A303" s="782"/>
      <c r="B303" s="782"/>
      <c r="C303" s="798"/>
      <c r="D303" s="782"/>
      <c r="E303" s="798"/>
      <c r="F303" s="798"/>
      <c r="G303" s="798"/>
      <c r="H303" s="798"/>
      <c r="I303" s="798"/>
      <c r="J303" s="798"/>
      <c r="K303" s="798"/>
      <c r="L303" s="798"/>
      <c r="M303" s="798"/>
      <c r="N303" s="798"/>
      <c r="O303" s="798"/>
      <c r="P303" s="798"/>
      <c r="Q303" s="798"/>
    </row>
    <row r="304" spans="1:17" ht="12.75" customHeight="1" x14ac:dyDescent="0.3">
      <c r="A304" s="782"/>
      <c r="B304" s="781" t="s">
        <v>156</v>
      </c>
      <c r="C304" s="799"/>
      <c r="D304" s="781"/>
      <c r="E304" s="799">
        <v>0</v>
      </c>
      <c r="F304" s="799">
        <f t="shared" ref="F304:P304" si="59">E308</f>
        <v>0</v>
      </c>
      <c r="G304" s="799">
        <f t="shared" si="59"/>
        <v>0</v>
      </c>
      <c r="H304" s="799">
        <f t="shared" si="59"/>
        <v>0</v>
      </c>
      <c r="I304" s="799">
        <f t="shared" si="59"/>
        <v>-47612567.991190918</v>
      </c>
      <c r="J304" s="799">
        <f t="shared" si="59"/>
        <v>-49625916.100554526</v>
      </c>
      <c r="K304" s="799">
        <f t="shared" si="59"/>
        <v>-51674140.6796856</v>
      </c>
      <c r="L304" s="799">
        <f t="shared" si="59"/>
        <v>-53727564.251854703</v>
      </c>
      <c r="M304" s="799">
        <f t="shared" si="59"/>
        <v>-55761268.62374121</v>
      </c>
      <c r="N304" s="799">
        <f t="shared" si="59"/>
        <v>14559552.480968542</v>
      </c>
      <c r="O304" s="799">
        <f t="shared" si="59"/>
        <v>16019690.305048212</v>
      </c>
      <c r="P304" s="799">
        <f t="shared" si="59"/>
        <v>17621659.335553195</v>
      </c>
      <c r="Q304" s="798"/>
    </row>
    <row r="305" spans="1:17" ht="12.75" customHeight="1" x14ac:dyDescent="0.3">
      <c r="A305" s="782"/>
      <c r="B305" s="782" t="s">
        <v>176</v>
      </c>
      <c r="C305" s="798"/>
      <c r="D305" s="782"/>
      <c r="E305" s="798">
        <f>SUMIF('Venture Summary - Mthly'!$E$7:$EG$7,E$7,'Venture Summary - Mthly'!$E310:$EG310)</f>
        <v>0</v>
      </c>
      <c r="F305" s="798">
        <f>SUMIF('Venture Summary - Mthly'!$E$7:$EG$7,F$7,'Venture Summary - Mthly'!$E310:$EG310)</f>
        <v>0</v>
      </c>
      <c r="G305" s="798">
        <f>SUMIF('Venture Summary - Mthly'!$E$7:$EG$7,G$7,'Venture Summary - Mthly'!$E310:$EG310)</f>
        <v>0</v>
      </c>
      <c r="H305" s="798">
        <f>SUMIF('Venture Summary - Mthly'!$E$7:$EG$7,H$7,'Venture Summary - Mthly'!$E310:$EG310)</f>
        <v>-1635170.4463150431</v>
      </c>
      <c r="I305" s="798">
        <f>SUMIF('Venture Summary - Mthly'!$E$7:$EG$7,I$7,'Venture Summary - Mthly'!$E310:$EG310)</f>
        <v>-4644071.4710982442</v>
      </c>
      <c r="J305" s="798">
        <f>SUMIF('Venture Summary - Mthly'!$E$7:$EG$7,J$7,'Venture Summary - Mthly'!$E310:$EG310)</f>
        <v>-4851027.3110574028</v>
      </c>
      <c r="K305" s="798">
        <f>SUMIF('Venture Summary - Mthly'!$E$7:$EG$7,K$7,'Venture Summary - Mthly'!$E310:$EG310)</f>
        <v>-5034345.3766048783</v>
      </c>
      <c r="L305" s="798">
        <f>SUMIF('Venture Summary - Mthly'!$E$7:$EG$7,L$7,'Venture Summary - Mthly'!$E310:$EG310)</f>
        <v>-5230110.5066766832</v>
      </c>
      <c r="M305" s="798">
        <f>SUMIF('Venture Summary - Mthly'!$E$7:$EG$7,M$7,'Venture Summary - Mthly'!$E310:$EG310)</f>
        <v>-5423171.1245132014</v>
      </c>
      <c r="N305" s="798">
        <f>SUMIF('Venture Summary - Mthly'!$E$7:$EG$7,N$7,'Venture Summary - Mthly'!$E310:$EG310)</f>
        <v>1460137.8240796709</v>
      </c>
      <c r="O305" s="798">
        <f>SUMIF('Venture Summary - Mthly'!$E$7:$EG$7,O$7,'Venture Summary - Mthly'!$E310:$EG310)</f>
        <v>1601969.030504982</v>
      </c>
      <c r="P305" s="798">
        <f>SUMIF('Venture Summary - Mthly'!$E$7:$EG$7,P$7,'Venture Summary - Mthly'!$E310:$EG310)</f>
        <v>0</v>
      </c>
      <c r="Q305" s="798"/>
    </row>
    <row r="306" spans="1:17" ht="12.75" customHeight="1" x14ac:dyDescent="0.3">
      <c r="A306" s="782"/>
      <c r="B306" s="782" t="s">
        <v>157</v>
      </c>
      <c r="C306" s="798"/>
      <c r="D306" s="782"/>
      <c r="E306" s="798">
        <f>SUMIF('Venture Summary - Mthly'!$E$7:$EG$7,E$7,'Venture Summary - Mthly'!$E311:$EG311)</f>
        <v>0</v>
      </c>
      <c r="F306" s="798">
        <f>SUMIF('Venture Summary - Mthly'!$E$7:$EG$7,F$7,'Venture Summary - Mthly'!$E311:$EG311)</f>
        <v>0</v>
      </c>
      <c r="G306" s="798">
        <f>SUMIF('Venture Summary - Mthly'!$E$7:$EG$7,G$7,'Venture Summary - Mthly'!$E311:$EG311)</f>
        <v>0</v>
      </c>
      <c r="H306" s="798">
        <f>SUMIF('Venture Summary - Mthly'!$E$7:$EG$7,H$7,'Venture Summary - Mthly'!$E311:$EG311)</f>
        <v>-60916274.722085506</v>
      </c>
      <c r="I306" s="798">
        <f>SUMIF('Venture Summary - Mthly'!$E$7:$EG$7,I$7,'Venture Summary - Mthly'!$E311:$EG311)</f>
        <v>0</v>
      </c>
      <c r="J306" s="798">
        <f>SUMIF('Venture Summary - Mthly'!$E$7:$EG$7,J$7,'Venture Summary - Mthly'!$E311:$EG311)</f>
        <v>0</v>
      </c>
      <c r="K306" s="798">
        <f>SUMIF('Venture Summary - Mthly'!$E$7:$EG$7,K$7,'Venture Summary - Mthly'!$E311:$EG311)</f>
        <v>0</v>
      </c>
      <c r="L306" s="798">
        <f>SUMIF('Venture Summary - Mthly'!$E$7:$EG$7,L$7,'Venture Summary - Mthly'!$E311:$EG311)</f>
        <v>0</v>
      </c>
      <c r="M306" s="798">
        <f>SUMIF('Venture Summary - Mthly'!$E$7:$EG$7,M$7,'Venture Summary - Mthly'!$E311:$EG311)</f>
        <v>0</v>
      </c>
      <c r="N306" s="798">
        <f>SUMIF('Venture Summary - Mthly'!$E$7:$EG$7,N$7,'Venture Summary - Mthly'!$E311:$EG311)</f>
        <v>0</v>
      </c>
      <c r="O306" s="798">
        <f>SUMIF('Venture Summary - Mthly'!$E$7:$EG$7,O$7,'Venture Summary - Mthly'!$E311:$EG311)</f>
        <v>0</v>
      </c>
      <c r="P306" s="798">
        <f>SUMIF('Venture Summary - Mthly'!$E$7:$EG$7,P$7,'Venture Summary - Mthly'!$E311:$EG311)</f>
        <v>0</v>
      </c>
      <c r="Q306" s="798"/>
    </row>
    <row r="307" spans="1:17" ht="12.75" customHeight="1" x14ac:dyDescent="0.3">
      <c r="A307" s="782"/>
      <c r="B307" s="781" t="s">
        <v>158</v>
      </c>
      <c r="C307" s="799"/>
      <c r="D307" s="781"/>
      <c r="E307" s="799">
        <f>SUMIF('Venture Summary - Mthly'!$E$7:$EG$7,E$7,'Venture Summary - Mthly'!$E312:$EG312)</f>
        <v>0</v>
      </c>
      <c r="F307" s="799">
        <f>SUMIF('Venture Summary - Mthly'!$E$7:$EG$7,F$7,'Venture Summary - Mthly'!$E312:$EG312)</f>
        <v>0</v>
      </c>
      <c r="G307" s="799">
        <f>SUMIF('Venture Summary - Mthly'!$E$7:$EG$7,G$7,'Venture Summary - Mthly'!$E312:$EG312)</f>
        <v>0</v>
      </c>
      <c r="H307" s="799">
        <f>SUMIF('Venture Summary - Mthly'!$E$7:$EG$7,H$7,'Venture Summary - Mthly'!$E312:$EG312)</f>
        <v>14938877.177209632</v>
      </c>
      <c r="I307" s="799">
        <f>SUMIF('Venture Summary - Mthly'!$E$7:$EG$7,I$7,'Venture Summary - Mthly'!$E312:$EG312)</f>
        <v>2630723.3617346338</v>
      </c>
      <c r="J307" s="799">
        <f>SUMIF('Venture Summary - Mthly'!$E$7:$EG$7,J$7,'Venture Summary - Mthly'!$E312:$EG312)</f>
        <v>2802802.7319263299</v>
      </c>
      <c r="K307" s="799">
        <f>SUMIF('Venture Summary - Mthly'!$E$7:$EG$7,K$7,'Venture Summary - Mthly'!$E312:$EG312)</f>
        <v>2980921.8044357733</v>
      </c>
      <c r="L307" s="799">
        <f>SUMIF('Venture Summary - Mthly'!$E$7:$EG$7,L$7,'Venture Summary - Mthly'!$E312:$EG312)</f>
        <v>3196406.1347901761</v>
      </c>
      <c r="M307" s="799">
        <f>SUMIF('Venture Summary - Mthly'!$E$7:$EG$7,M$7,'Venture Summary - Mthly'!$E312:$EG312)</f>
        <v>75743992.229222953</v>
      </c>
      <c r="N307" s="799">
        <f>SUMIF('Venture Summary - Mthly'!$E$7:$EG$7,N$7,'Venture Summary - Mthly'!$E312:$EG312)</f>
        <v>0</v>
      </c>
      <c r="O307" s="799">
        <f>SUMIF('Venture Summary - Mthly'!$E$7:$EG$7,O$7,'Venture Summary - Mthly'!$E312:$EG312)</f>
        <v>0</v>
      </c>
      <c r="P307" s="799">
        <f>SUMIF('Venture Summary - Mthly'!$E$7:$EG$7,P$7,'Venture Summary - Mthly'!$E312:$EG312)</f>
        <v>0</v>
      </c>
      <c r="Q307" s="798"/>
    </row>
    <row r="308" spans="1:17" ht="12.75" customHeight="1" x14ac:dyDescent="0.3">
      <c r="A308" s="782"/>
      <c r="B308" s="782" t="s">
        <v>159</v>
      </c>
      <c r="C308" s="798"/>
      <c r="D308" s="782"/>
      <c r="E308" s="798">
        <f t="shared" ref="E308:O308" si="60">SUM(E304:E307)</f>
        <v>0</v>
      </c>
      <c r="F308" s="798">
        <f t="shared" si="60"/>
        <v>0</v>
      </c>
      <c r="G308" s="798">
        <f t="shared" si="60"/>
        <v>0</v>
      </c>
      <c r="H308" s="798">
        <f>SUM(H304:H307)</f>
        <v>-47612567.991190918</v>
      </c>
      <c r="I308" s="798">
        <f>SUM(I304:I307)</f>
        <v>-49625916.100554526</v>
      </c>
      <c r="J308" s="798">
        <f>SUM(J304:J307)</f>
        <v>-51674140.6796856</v>
      </c>
      <c r="K308" s="798">
        <f t="shared" si="60"/>
        <v>-53727564.251854703</v>
      </c>
      <c r="L308" s="798">
        <f t="shared" si="60"/>
        <v>-55761268.62374121</v>
      </c>
      <c r="M308" s="798">
        <f t="shared" si="60"/>
        <v>14559552.480968542</v>
      </c>
      <c r="N308" s="798">
        <f t="shared" si="60"/>
        <v>16019690.305048212</v>
      </c>
      <c r="O308" s="798">
        <f t="shared" si="60"/>
        <v>17621659.335553195</v>
      </c>
      <c r="P308" s="798">
        <f>SUM(P304:P307)</f>
        <v>17621659.335553195</v>
      </c>
      <c r="Q308" s="798"/>
    </row>
    <row r="309" spans="1:17" ht="12.75" customHeight="1" x14ac:dyDescent="0.3">
      <c r="A309" s="782"/>
      <c r="B309" s="782"/>
      <c r="C309" s="798"/>
      <c r="D309" s="782"/>
      <c r="E309" s="798"/>
      <c r="F309" s="798"/>
      <c r="G309" s="798"/>
      <c r="H309" s="798"/>
      <c r="I309" s="798"/>
      <c r="J309" s="798"/>
      <c r="K309" s="798"/>
      <c r="L309" s="798"/>
      <c r="M309" s="798"/>
      <c r="N309" s="798"/>
      <c r="O309" s="798"/>
      <c r="P309" s="798"/>
      <c r="Q309" s="798"/>
    </row>
    <row r="310" spans="1:17" ht="12.75" customHeight="1" x14ac:dyDescent="0.3">
      <c r="A310" s="782"/>
      <c r="B310" s="781" t="s">
        <v>167</v>
      </c>
      <c r="C310" s="799"/>
      <c r="D310" s="781"/>
      <c r="E310" s="799">
        <f t="shared" ref="E310:O310" si="61">MAX(MIN(-SUM(E304:E305),E307),0)</f>
        <v>0</v>
      </c>
      <c r="F310" s="799">
        <f t="shared" si="61"/>
        <v>0</v>
      </c>
      <c r="G310" s="799">
        <f t="shared" si="61"/>
        <v>0</v>
      </c>
      <c r="H310" s="799">
        <f>MAX(MIN(-SUM(H304:H305),H307),0)</f>
        <v>1635170.4463150431</v>
      </c>
      <c r="I310" s="799">
        <f>MAX(MIN(-SUM(I304:I305),I307),0)</f>
        <v>2630723.3617346338</v>
      </c>
      <c r="J310" s="799">
        <f>MAX(MIN(-SUM(J304:J305),J307),0)</f>
        <v>2802802.7319263299</v>
      </c>
      <c r="K310" s="799">
        <f t="shared" si="61"/>
        <v>2980921.8044357733</v>
      </c>
      <c r="L310" s="799">
        <f t="shared" si="61"/>
        <v>3196406.1347901761</v>
      </c>
      <c r="M310" s="799">
        <f t="shared" si="61"/>
        <v>61184439.748254411</v>
      </c>
      <c r="N310" s="799">
        <f t="shared" si="61"/>
        <v>0</v>
      </c>
      <c r="O310" s="799">
        <f t="shared" si="61"/>
        <v>0</v>
      </c>
      <c r="P310" s="799">
        <f>MAX(MIN(-SUM(P304:P305),P307),0)</f>
        <v>0</v>
      </c>
      <c r="Q310" s="798"/>
    </row>
    <row r="311" spans="1:17" ht="12.75" customHeight="1" x14ac:dyDescent="0.3">
      <c r="A311" s="782"/>
      <c r="B311" s="782" t="s">
        <v>161</v>
      </c>
      <c r="C311" s="798"/>
      <c r="D311" s="782"/>
      <c r="E311" s="798">
        <f>SUMIF('Venture Summary - Mthly'!$E$7:$EG$7,E$7,'Venture Summary - Mthly'!$E316:$EG316)</f>
        <v>0</v>
      </c>
      <c r="F311" s="798">
        <f>SUMIF('Venture Summary - Mthly'!$E$7:$EG$7,F$7,'Venture Summary - Mthly'!$E316:$EG316)</f>
        <v>0</v>
      </c>
      <c r="G311" s="798">
        <f>SUMIF('Venture Summary - Mthly'!$E$7:$EG$7,G$7,'Venture Summary - Mthly'!$E316:$EG316)</f>
        <v>0</v>
      </c>
      <c r="H311" s="798">
        <f>SUMIF('Venture Summary - Mthly'!$E$7:$EG$7,H$7,'Venture Summary - Mthly'!$E316:$EG316)</f>
        <v>-45977397.544875875</v>
      </c>
      <c r="I311" s="798">
        <f>SUMIF('Venture Summary - Mthly'!$E$7:$EG$7,I$7,'Venture Summary - Mthly'!$E316:$EG316)</f>
        <v>2630723.3617346338</v>
      </c>
      <c r="J311" s="798">
        <f>SUMIF('Venture Summary - Mthly'!$E$7:$EG$7,J$7,'Venture Summary - Mthly'!$E316:$EG316)</f>
        <v>2802802.7319263299</v>
      </c>
      <c r="K311" s="798">
        <f>SUMIF('Venture Summary - Mthly'!$E$7:$EG$7,K$7,'Venture Summary - Mthly'!$E316:$EG316)</f>
        <v>2980921.8044357733</v>
      </c>
      <c r="L311" s="798">
        <f>SUMIF('Venture Summary - Mthly'!$E$7:$EG$7,L$7,'Venture Summary - Mthly'!$E316:$EG316)</f>
        <v>3196406.1347901761</v>
      </c>
      <c r="M311" s="798">
        <f>SUMIF('Venture Summary - Mthly'!$E$7:$EG$7,M$7,'Venture Summary - Mthly'!$E316:$EG316)</f>
        <v>61184439.748254389</v>
      </c>
      <c r="N311" s="798">
        <f>SUMIF('Venture Summary - Mthly'!$E$7:$EG$7,N$7,'Venture Summary - Mthly'!$E316:$EG316)</f>
        <v>0</v>
      </c>
      <c r="O311" s="798">
        <f>SUMIF('Venture Summary - Mthly'!$E$7:$EG$7,O$7,'Venture Summary - Mthly'!$E316:$EG316)</f>
        <v>0</v>
      </c>
      <c r="P311" s="798">
        <f>SUMIF('Venture Summary - Mthly'!$E$7:$EG$7,P$7,'Venture Summary - Mthly'!$E316:$EG316)</f>
        <v>0</v>
      </c>
      <c r="Q311" s="798"/>
    </row>
    <row r="312" spans="1:17" ht="12.75" customHeight="1" x14ac:dyDescent="0.3">
      <c r="A312" s="782"/>
      <c r="B312" s="782"/>
      <c r="C312" s="798"/>
      <c r="D312" s="782"/>
      <c r="E312" s="798"/>
      <c r="F312" s="798"/>
      <c r="G312" s="798"/>
      <c r="H312" s="798"/>
      <c r="I312" s="798"/>
      <c r="J312" s="798"/>
      <c r="K312" s="798"/>
      <c r="L312" s="798"/>
      <c r="M312" s="798"/>
      <c r="N312" s="798"/>
      <c r="O312" s="798"/>
      <c r="P312" s="798"/>
      <c r="Q312" s="798"/>
    </row>
    <row r="313" spans="1:17" ht="12.75" customHeight="1" x14ac:dyDescent="0.3">
      <c r="A313" s="782"/>
      <c r="B313" s="796" t="s">
        <v>168</v>
      </c>
      <c r="C313" s="824">
        <f>'Venture Summary - Mthly'!C318</f>
        <v>0.10000000596046449</v>
      </c>
      <c r="D313" s="782"/>
      <c r="E313" s="798"/>
      <c r="F313" s="798"/>
      <c r="G313" s="798"/>
      <c r="H313" s="798"/>
      <c r="I313" s="798"/>
      <c r="J313" s="798"/>
      <c r="K313" s="798"/>
      <c r="L313" s="798"/>
      <c r="M313" s="798"/>
      <c r="N313" s="798"/>
      <c r="O313" s="798"/>
      <c r="P313" s="798"/>
      <c r="Q313" s="798"/>
    </row>
    <row r="314" spans="1:17" ht="12.75" customHeight="1" x14ac:dyDescent="0.3">
      <c r="A314" s="782"/>
      <c r="B314" s="782"/>
      <c r="C314" s="798"/>
      <c r="D314" s="782"/>
      <c r="E314" s="798"/>
      <c r="F314" s="798"/>
      <c r="G314" s="798"/>
      <c r="H314" s="798"/>
      <c r="I314" s="798"/>
      <c r="J314" s="798"/>
      <c r="K314" s="798"/>
      <c r="L314" s="798"/>
      <c r="M314" s="798"/>
      <c r="N314" s="798"/>
      <c r="O314" s="798"/>
      <c r="P314" s="798"/>
      <c r="Q314" s="798"/>
    </row>
    <row r="315" spans="1:17" ht="12.75" customHeight="1" x14ac:dyDescent="0.3">
      <c r="A315" s="782"/>
      <c r="B315" s="782" t="s">
        <v>163</v>
      </c>
      <c r="C315" s="798"/>
      <c r="D315" s="782"/>
      <c r="E315" s="798">
        <f>SUMIF('Venture Summary - Mthly'!$E$7:$EG$7,E$7,'Venture Summary - Mthly'!$E320:$EG320)</f>
        <v>0</v>
      </c>
      <c r="F315" s="798">
        <f>SUMIF('Venture Summary - Mthly'!$E$7:$EG$7,F$7,'Venture Summary - Mthly'!$E320:$EG320)</f>
        <v>0</v>
      </c>
      <c r="G315" s="798">
        <f>SUMIF('Venture Summary - Mthly'!$E$7:$EG$7,G$7,'Venture Summary - Mthly'!$E320:$EG320)</f>
        <v>0</v>
      </c>
      <c r="H315" s="798">
        <f>SUMIF('Venture Summary - Mthly'!$E$7:$EG$7,H$7,'Venture Summary - Mthly'!$E320:$EG320)</f>
        <v>-45977397.544875875</v>
      </c>
      <c r="I315" s="798">
        <f>SUMIF('Venture Summary - Mthly'!$E$7:$EG$7,I$7,'Venture Summary - Mthly'!$E320:$EG320)</f>
        <v>2630723.3617346338</v>
      </c>
      <c r="J315" s="798">
        <f>SUMIF('Venture Summary - Mthly'!$E$7:$EG$7,J$7,'Venture Summary - Mthly'!$E320:$EG320)</f>
        <v>2802802.7319263299</v>
      </c>
      <c r="K315" s="798">
        <f>SUMIF('Venture Summary - Mthly'!$E$7:$EG$7,K$7,'Venture Summary - Mthly'!$E320:$EG320)</f>
        <v>2980921.8044357733</v>
      </c>
      <c r="L315" s="798">
        <f>SUMIF('Venture Summary - Mthly'!$E$7:$EG$7,L$7,'Venture Summary - Mthly'!$E320:$EG320)</f>
        <v>3196406.1347901761</v>
      </c>
      <c r="M315" s="798">
        <f>SUMIF('Venture Summary - Mthly'!$E$7:$EG$7,M$7,'Venture Summary - Mthly'!$E320:$EG320)</f>
        <v>55602304.765677132</v>
      </c>
      <c r="N315" s="798">
        <f>SUMIF('Venture Summary - Mthly'!$E$7:$EG$7,N$7,'Venture Summary - Mthly'!$E320:$EG320)</f>
        <v>0</v>
      </c>
      <c r="O315" s="798">
        <f>SUMIF('Venture Summary - Mthly'!$E$7:$EG$7,O$7,'Venture Summary - Mthly'!$E320:$EG320)</f>
        <v>0</v>
      </c>
      <c r="P315" s="798">
        <f>SUMIF('Venture Summary - Mthly'!$E$7:$EG$7,P$7,'Venture Summary - Mthly'!$E320:$EG320)</f>
        <v>0</v>
      </c>
      <c r="Q315" s="798"/>
    </row>
    <row r="316" spans="1:17" ht="12.75" customHeight="1" x14ac:dyDescent="0.3">
      <c r="A316" s="782"/>
      <c r="B316" s="781" t="s">
        <v>177</v>
      </c>
      <c r="C316" s="799"/>
      <c r="D316" s="781"/>
      <c r="E316" s="799">
        <f>SUMIF('Venture Summary - Mthly'!$E$7:$EG$7,E$7,'Venture Summary - Mthly'!$E321:$EG321)</f>
        <v>0</v>
      </c>
      <c r="F316" s="799">
        <f>SUMIF('Venture Summary - Mthly'!$E$7:$EG$7,F$7,'Venture Summary - Mthly'!$E321:$EG321)</f>
        <v>0</v>
      </c>
      <c r="G316" s="799">
        <f>SUMIF('Venture Summary - Mthly'!$E$7:$EG$7,G$7,'Venture Summary - Mthly'!$E321:$EG321)</f>
        <v>0</v>
      </c>
      <c r="H316" s="799">
        <f>SUMIF('Venture Summary - Mthly'!$E$7:$EG$7,H$7,'Venture Summary - Mthly'!$E321:$EG321)</f>
        <v>0</v>
      </c>
      <c r="I316" s="799">
        <f>SUMIF('Venture Summary - Mthly'!$E$7:$EG$7,I$7,'Venture Summary - Mthly'!$E321:$EG321)</f>
        <v>0</v>
      </c>
      <c r="J316" s="799">
        <f>SUMIF('Venture Summary - Mthly'!$E$7:$EG$7,J$7,'Venture Summary - Mthly'!$E321:$EG321)</f>
        <v>0</v>
      </c>
      <c r="K316" s="799">
        <f>SUMIF('Venture Summary - Mthly'!$E$7:$EG$7,K$7,'Venture Summary - Mthly'!$E321:$EG321)</f>
        <v>0</v>
      </c>
      <c r="L316" s="799">
        <f>SUMIF('Venture Summary - Mthly'!$E$7:$EG$7,L$7,'Venture Summary - Mthly'!$E321:$EG321)</f>
        <v>0</v>
      </c>
      <c r="M316" s="799">
        <f>SUMIF('Venture Summary - Mthly'!$E$7:$EG$7,M$7,'Venture Summary - Mthly'!$E321:$EG321)</f>
        <v>6567217.6265614787</v>
      </c>
      <c r="N316" s="799">
        <f>SUMIF('Venture Summary - Mthly'!$E$7:$EG$7,N$7,'Venture Summary - Mthly'!$E321:$EG321)</f>
        <v>0</v>
      </c>
      <c r="O316" s="799">
        <f>SUMIF('Venture Summary - Mthly'!$E$7:$EG$7,O$7,'Venture Summary - Mthly'!$E321:$EG321)</f>
        <v>0</v>
      </c>
      <c r="P316" s="799">
        <f>SUMIF('Venture Summary - Mthly'!$E$7:$EG$7,P$7,'Venture Summary - Mthly'!$E321:$EG321)</f>
        <v>0</v>
      </c>
      <c r="Q316" s="798"/>
    </row>
    <row r="317" spans="1:17" ht="12.75" customHeight="1" x14ac:dyDescent="0.3">
      <c r="A317" s="782"/>
      <c r="B317" s="782" t="s">
        <v>169</v>
      </c>
      <c r="C317" s="798"/>
      <c r="D317" s="782"/>
      <c r="E317" s="798">
        <f t="shared" ref="E317:P317" si="62">E311-E315-E316</f>
        <v>0</v>
      </c>
      <c r="F317" s="798">
        <f t="shared" si="62"/>
        <v>0</v>
      </c>
      <c r="G317" s="798">
        <f t="shared" si="62"/>
        <v>0</v>
      </c>
      <c r="H317" s="798">
        <f t="shared" si="62"/>
        <v>0</v>
      </c>
      <c r="I317" s="798">
        <f t="shared" si="62"/>
        <v>0</v>
      </c>
      <c r="J317" s="798">
        <f t="shared" si="62"/>
        <v>0</v>
      </c>
      <c r="K317" s="798">
        <f t="shared" si="62"/>
        <v>0</v>
      </c>
      <c r="L317" s="798">
        <f t="shared" si="62"/>
        <v>0</v>
      </c>
      <c r="M317" s="798">
        <f t="shared" si="62"/>
        <v>-985082.64398422185</v>
      </c>
      <c r="N317" s="798">
        <f t="shared" si="62"/>
        <v>0</v>
      </c>
      <c r="O317" s="798">
        <f t="shared" si="62"/>
        <v>0</v>
      </c>
      <c r="P317" s="798">
        <f t="shared" si="62"/>
        <v>0</v>
      </c>
      <c r="Q317" s="798"/>
    </row>
    <row r="318" spans="1:17" ht="12.75" customHeight="1" x14ac:dyDescent="0.3">
      <c r="A318" s="782"/>
      <c r="B318" s="782" t="s">
        <v>170</v>
      </c>
      <c r="C318" s="798"/>
      <c r="D318" s="782"/>
      <c r="E318" s="798">
        <f>SUMIF('Venture Summary - Mthly'!$E$7:$EG$7,E$7,'Venture Summary - Mthly'!$E323:$EG323)</f>
        <v>0</v>
      </c>
      <c r="F318" s="798">
        <f>SUMIF('Venture Summary - Mthly'!$E$7:$EG$7,F$7,'Venture Summary - Mthly'!$E323:$EG323)</f>
        <v>0</v>
      </c>
      <c r="G318" s="798">
        <f>SUMIF('Venture Summary - Mthly'!$E$7:$EG$7,G$7,'Venture Summary - Mthly'!$E323:$EG323)</f>
        <v>0</v>
      </c>
      <c r="H318" s="798">
        <f>SUMIF('Venture Summary - Mthly'!$E$7:$EG$7,H$7,'Venture Summary - Mthly'!$E323:$EG323)</f>
        <v>0</v>
      </c>
      <c r="I318" s="798">
        <f>SUMIF('Venture Summary - Mthly'!$E$7:$EG$7,I$7,'Venture Summary - Mthly'!$E323:$EG323)</f>
        <v>0</v>
      </c>
      <c r="J318" s="798">
        <f>SUMIF('Venture Summary - Mthly'!$E$7:$EG$7,J$7,'Venture Summary - Mthly'!$E323:$EG323)</f>
        <v>0</v>
      </c>
      <c r="K318" s="798">
        <f>SUMIF('Venture Summary - Mthly'!$E$7:$EG$7,K$7,'Venture Summary - Mthly'!$E323:$EG323)</f>
        <v>0</v>
      </c>
      <c r="L318" s="798">
        <f>SUMIF('Venture Summary - Mthly'!$E$7:$EG$7,L$7,'Venture Summary - Mthly'!$E323:$EG323)</f>
        <v>0</v>
      </c>
      <c r="M318" s="798">
        <f>SUMIF('Venture Summary - Mthly'!$E$7:$EG$7,M$7,'Venture Summary - Mthly'!$E323:$EG323)</f>
        <v>-1158920.7576284963</v>
      </c>
      <c r="N318" s="798">
        <f>SUMIF('Venture Summary - Mthly'!$E$7:$EG$7,N$7,'Venture Summary - Mthly'!$E323:$EG323)</f>
        <v>0</v>
      </c>
      <c r="O318" s="798">
        <f>SUMIF('Venture Summary - Mthly'!$E$7:$EG$7,O$7,'Venture Summary - Mthly'!$E323:$EG323)</f>
        <v>0</v>
      </c>
      <c r="P318" s="798">
        <f>SUMIF('Venture Summary - Mthly'!$E$7:$EG$7,P$7,'Venture Summary - Mthly'!$E323:$EG323)</f>
        <v>0</v>
      </c>
      <c r="Q318" s="798"/>
    </row>
    <row r="319" spans="1:17" ht="12.75" customHeight="1" x14ac:dyDescent="0.3">
      <c r="A319" s="782"/>
      <c r="B319" s="782"/>
      <c r="C319" s="798"/>
      <c r="D319" s="782"/>
      <c r="E319" s="798"/>
      <c r="F319" s="798"/>
      <c r="G319" s="798"/>
      <c r="H319" s="798"/>
      <c r="I319" s="798"/>
      <c r="J319" s="798"/>
      <c r="K319" s="798"/>
      <c r="L319" s="798"/>
      <c r="M319" s="798"/>
      <c r="N319" s="798"/>
      <c r="O319" s="798"/>
      <c r="P319" s="798"/>
      <c r="Q319" s="798"/>
    </row>
    <row r="320" spans="1:17" ht="12.75" customHeight="1" x14ac:dyDescent="0.3">
      <c r="A320" s="782"/>
      <c r="B320" s="782" t="s">
        <v>178</v>
      </c>
      <c r="C320" s="798"/>
      <c r="D320" s="782"/>
      <c r="E320" s="798">
        <f>SUMIF('Venture Summary - Mthly'!$E$7:$EG$7,E$7,'Venture Summary - Mthly'!$E325:$EG325)</f>
        <v>0</v>
      </c>
      <c r="F320" s="798">
        <f>SUMIF('Venture Summary - Mthly'!$E$7:$EG$7,F$7,'Venture Summary - Mthly'!$E325:$EG325)</f>
        <v>0</v>
      </c>
      <c r="G320" s="798">
        <f>SUMIF('Venture Summary - Mthly'!$E$7:$EG$7,G$7,'Venture Summary - Mthly'!$E325:$EG325)</f>
        <v>0</v>
      </c>
      <c r="H320" s="798">
        <f>SUMIF('Venture Summary - Mthly'!$E$7:$EG$7,H$7,'Venture Summary - Mthly'!$E325:$EG325)</f>
        <v>0</v>
      </c>
      <c r="I320" s="798">
        <f>SUMIF('Venture Summary - Mthly'!$E$7:$EG$7,I$7,'Venture Summary - Mthly'!$E325:$EG325)</f>
        <v>0</v>
      </c>
      <c r="J320" s="798">
        <f>SUMIF('Venture Summary - Mthly'!$E$7:$EG$7,J$7,'Venture Summary - Mthly'!$E325:$EG325)</f>
        <v>0</v>
      </c>
      <c r="K320" s="798">
        <f>SUMIF('Venture Summary - Mthly'!$E$7:$EG$7,K$7,'Venture Summary - Mthly'!$E325:$EG325)</f>
        <v>0</v>
      </c>
      <c r="L320" s="798">
        <f>SUMIF('Venture Summary - Mthly'!$E$7:$EG$7,L$7,'Venture Summary - Mthly'!$E325:$EG325)</f>
        <v>0</v>
      </c>
      <c r="M320" s="798">
        <f>SUMIF('Venture Summary - Mthly'!$E$7:$EG$7,M$7,'Venture Summary - Mthly'!$E325:$EG325)</f>
        <v>-405622.26516997366</v>
      </c>
      <c r="N320" s="798">
        <f>SUMIF('Venture Summary - Mthly'!$E$7:$EG$7,N$7,'Venture Summary - Mthly'!$E325:$EG325)</f>
        <v>0</v>
      </c>
      <c r="O320" s="798">
        <f>SUMIF('Venture Summary - Mthly'!$E$7:$EG$7,O$7,'Venture Summary - Mthly'!$E325:$EG325)</f>
        <v>0</v>
      </c>
      <c r="P320" s="798">
        <f>SUMIF('Venture Summary - Mthly'!$E$7:$EG$7,P$7,'Venture Summary - Mthly'!$E325:$EG325)</f>
        <v>0</v>
      </c>
      <c r="Q320" s="798"/>
    </row>
    <row r="321" spans="1:17" ht="12.75" customHeight="1" x14ac:dyDescent="0.3">
      <c r="A321" s="782"/>
      <c r="B321" s="781" t="s">
        <v>172</v>
      </c>
      <c r="C321" s="799"/>
      <c r="D321" s="781"/>
      <c r="E321" s="799">
        <f>SUMIF('Venture Summary - Mthly'!$E$7:$EG$7,E$7,'Venture Summary - Mthly'!$E326:$EG326)</f>
        <v>0</v>
      </c>
      <c r="F321" s="799">
        <f>SUMIF('Venture Summary - Mthly'!$E$7:$EG$7,F$7,'Venture Summary - Mthly'!$E326:$EG326)</f>
        <v>0</v>
      </c>
      <c r="G321" s="799">
        <f>SUMIF('Venture Summary - Mthly'!$E$7:$EG$7,G$7,'Venture Summary - Mthly'!$E326:$EG326)</f>
        <v>0</v>
      </c>
      <c r="H321" s="799">
        <f>SUMIF('Venture Summary - Mthly'!$E$7:$EG$7,H$7,'Venture Summary - Mthly'!$E326:$EG326)</f>
        <v>0</v>
      </c>
      <c r="I321" s="799">
        <f>SUMIF('Venture Summary - Mthly'!$E$7:$EG$7,I$7,'Venture Summary - Mthly'!$E326:$EG326)</f>
        <v>0</v>
      </c>
      <c r="J321" s="799">
        <f>SUMIF('Venture Summary - Mthly'!$E$7:$EG$7,J$7,'Venture Summary - Mthly'!$E326:$EG326)</f>
        <v>0</v>
      </c>
      <c r="K321" s="799">
        <f>SUMIF('Venture Summary - Mthly'!$E$7:$EG$7,K$7,'Venture Summary - Mthly'!$E326:$EG326)</f>
        <v>0</v>
      </c>
      <c r="L321" s="799">
        <f>SUMIF('Venture Summary - Mthly'!$E$7:$EG$7,L$7,'Venture Summary - Mthly'!$E326:$EG326)</f>
        <v>0</v>
      </c>
      <c r="M321" s="799">
        <f>SUMIF('Venture Summary - Mthly'!$E$7:$EG$7,M$7,'Venture Summary - Mthly'!$E326:$EG326)</f>
        <v>-753298.49245852255</v>
      </c>
      <c r="N321" s="799">
        <f>SUMIF('Venture Summary - Mthly'!$E$7:$EG$7,N$7,'Venture Summary - Mthly'!$E326:$EG326)</f>
        <v>0</v>
      </c>
      <c r="O321" s="799">
        <f>SUMIF('Venture Summary - Mthly'!$E$7:$EG$7,O$7,'Venture Summary - Mthly'!$E326:$EG326)</f>
        <v>0</v>
      </c>
      <c r="P321" s="799">
        <f>SUMIF('Venture Summary - Mthly'!$E$7:$EG$7,P$7,'Venture Summary - Mthly'!$E326:$EG326)</f>
        <v>0</v>
      </c>
      <c r="Q321" s="798"/>
    </row>
    <row r="322" spans="1:17" ht="12.75" customHeight="1" x14ac:dyDescent="0.3">
      <c r="A322" s="782"/>
      <c r="B322" s="782" t="s">
        <v>173</v>
      </c>
      <c r="C322" s="798"/>
      <c r="D322" s="782"/>
      <c r="E322" s="798">
        <f t="shared" ref="E322:O322" si="63">SUM(E320:E321)</f>
        <v>0</v>
      </c>
      <c r="F322" s="798">
        <f t="shared" si="63"/>
        <v>0</v>
      </c>
      <c r="G322" s="798">
        <f t="shared" si="63"/>
        <v>0</v>
      </c>
      <c r="H322" s="798">
        <f>SUM(H320:H321)</f>
        <v>0</v>
      </c>
      <c r="I322" s="798">
        <f>SUM(I320:I321)</f>
        <v>0</v>
      </c>
      <c r="J322" s="798">
        <f>SUM(J320:J321)</f>
        <v>0</v>
      </c>
      <c r="K322" s="798">
        <f t="shared" si="63"/>
        <v>0</v>
      </c>
      <c r="L322" s="798">
        <f t="shared" si="63"/>
        <v>0</v>
      </c>
      <c r="M322" s="798">
        <f t="shared" si="63"/>
        <v>-1158920.7576284963</v>
      </c>
      <c r="N322" s="798">
        <f t="shared" si="63"/>
        <v>0</v>
      </c>
      <c r="O322" s="798">
        <f t="shared" si="63"/>
        <v>0</v>
      </c>
      <c r="P322" s="798">
        <f>SUM(P320:P321)</f>
        <v>0</v>
      </c>
      <c r="Q322" s="798"/>
    </row>
    <row r="323" spans="1:17" ht="12.75" customHeight="1" x14ac:dyDescent="0.3">
      <c r="A323" s="782"/>
      <c r="B323" s="782" t="s">
        <v>179</v>
      </c>
      <c r="C323" s="798"/>
      <c r="D323" s="782"/>
      <c r="E323" s="798">
        <f t="shared" ref="E323:P323" si="64">E300-E322</f>
        <v>0</v>
      </c>
      <c r="F323" s="798">
        <f t="shared" si="64"/>
        <v>0</v>
      </c>
      <c r="G323" s="798">
        <f t="shared" si="64"/>
        <v>0</v>
      </c>
      <c r="H323" s="798">
        <f t="shared" si="64"/>
        <v>0</v>
      </c>
      <c r="I323" s="798">
        <f t="shared" si="64"/>
        <v>0</v>
      </c>
      <c r="J323" s="798">
        <f t="shared" si="64"/>
        <v>0</v>
      </c>
      <c r="K323" s="798">
        <f t="shared" si="64"/>
        <v>0</v>
      </c>
      <c r="L323" s="798">
        <f t="shared" si="64"/>
        <v>0</v>
      </c>
      <c r="M323" s="798">
        <f t="shared" si="64"/>
        <v>14733390.594612833</v>
      </c>
      <c r="N323" s="798">
        <f t="shared" si="64"/>
        <v>0</v>
      </c>
      <c r="O323" s="798">
        <f t="shared" si="64"/>
        <v>0</v>
      </c>
      <c r="P323" s="798">
        <f t="shared" si="64"/>
        <v>0</v>
      </c>
      <c r="Q323" s="798"/>
    </row>
    <row r="324" spans="1:17" ht="12.75" customHeight="1" x14ac:dyDescent="0.3">
      <c r="A324" s="782"/>
      <c r="B324" s="782"/>
      <c r="C324" s="798"/>
      <c r="D324" s="782"/>
      <c r="E324" s="798"/>
      <c r="F324" s="798"/>
      <c r="G324" s="798"/>
      <c r="H324" s="798"/>
      <c r="I324" s="798"/>
      <c r="J324" s="798"/>
      <c r="K324" s="798"/>
      <c r="L324" s="798"/>
      <c r="M324" s="798"/>
      <c r="N324" s="798"/>
      <c r="O324" s="798"/>
      <c r="P324" s="798"/>
      <c r="Q324" s="798"/>
    </row>
    <row r="325" spans="1:17" ht="12.75" customHeight="1" x14ac:dyDescent="0.3">
      <c r="A325" s="782"/>
      <c r="B325" s="796" t="s">
        <v>148</v>
      </c>
      <c r="C325" s="798"/>
      <c r="D325" s="782"/>
      <c r="E325" s="798"/>
      <c r="F325" s="798"/>
      <c r="G325" s="798"/>
      <c r="H325" s="798"/>
      <c r="I325" s="798"/>
      <c r="J325" s="798"/>
      <c r="K325" s="798"/>
      <c r="L325" s="798"/>
      <c r="M325" s="798"/>
      <c r="N325" s="798"/>
      <c r="O325" s="798"/>
      <c r="P325" s="798"/>
      <c r="Q325" s="798"/>
    </row>
    <row r="326" spans="1:17" ht="12.75" customHeight="1" x14ac:dyDescent="0.3">
      <c r="A326" s="782"/>
      <c r="B326" s="782"/>
      <c r="C326" s="798"/>
      <c r="D326" s="782"/>
      <c r="E326" s="798"/>
      <c r="F326" s="798"/>
      <c r="G326" s="798"/>
      <c r="H326" s="798"/>
      <c r="I326" s="798"/>
      <c r="J326" s="798"/>
      <c r="K326" s="798"/>
      <c r="L326" s="798"/>
      <c r="M326" s="798"/>
      <c r="N326" s="798"/>
      <c r="O326" s="798"/>
      <c r="P326" s="798"/>
      <c r="Q326" s="798"/>
    </row>
    <row r="327" spans="1:17" ht="12.75" customHeight="1" x14ac:dyDescent="0.3">
      <c r="A327" s="782"/>
      <c r="B327" s="782" t="s">
        <v>180</v>
      </c>
      <c r="C327" s="798"/>
      <c r="D327" s="782"/>
      <c r="E327" s="798">
        <f>SUMIF('Venture Summary - Mthly'!$E$7:$EG$7,E$7,'Venture Summary - Mthly'!$E332:$EG332)</f>
        <v>0</v>
      </c>
      <c r="F327" s="798">
        <f>SUMIF('Venture Summary - Mthly'!$E$7:$EG$7,F$7,'Venture Summary - Mthly'!$E332:$EG332)</f>
        <v>0</v>
      </c>
      <c r="G327" s="798">
        <f>SUMIF('Venture Summary - Mthly'!$E$7:$EG$7,G$7,'Venture Summary - Mthly'!$E332:$EG332)</f>
        <v>0</v>
      </c>
      <c r="H327" s="798">
        <f>SUMIF('Venture Summary - Mthly'!$E$7:$EG$7,H$7,'Venture Summary - Mthly'!$E332:$EG332)</f>
        <v>0</v>
      </c>
      <c r="I327" s="798">
        <f>SUMIF('Venture Summary - Mthly'!$E$7:$EG$7,I$7,'Venture Summary - Mthly'!$E332:$EG332)</f>
        <v>0</v>
      </c>
      <c r="J327" s="798">
        <f>SUMIF('Venture Summary - Mthly'!$E$7:$EG$7,J$7,'Venture Summary - Mthly'!$E332:$EG332)</f>
        <v>0</v>
      </c>
      <c r="K327" s="798">
        <f>SUMIF('Venture Summary - Mthly'!$E$7:$EG$7,K$7,'Venture Summary - Mthly'!$E332:$EG332)</f>
        <v>0</v>
      </c>
      <c r="L327" s="798">
        <f>SUMIF('Venture Summary - Mthly'!$E$7:$EG$7,L$7,'Venture Summary - Mthly'!$E332:$EG332)</f>
        <v>0</v>
      </c>
      <c r="M327" s="798">
        <f>SUMIF('Venture Summary - Mthly'!$E$7:$EG$7,M$7,'Venture Summary - Mthly'!$E332:$EG332)</f>
        <v>5156686.7081144908</v>
      </c>
      <c r="N327" s="798">
        <f>SUMIF('Venture Summary - Mthly'!$E$7:$EG$7,N$7,'Venture Summary - Mthly'!$E332:$EG332)</f>
        <v>0</v>
      </c>
      <c r="O327" s="798">
        <f>SUMIF('Venture Summary - Mthly'!$E$7:$EG$7,O$7,'Venture Summary - Mthly'!$E332:$EG332)</f>
        <v>0</v>
      </c>
      <c r="P327" s="798">
        <f>SUMIF('Venture Summary - Mthly'!$E$7:$EG$7,P$7,'Venture Summary - Mthly'!$E332:$EG332)</f>
        <v>0</v>
      </c>
      <c r="Q327" s="798"/>
    </row>
    <row r="328" spans="1:17" ht="12.75" customHeight="1" x14ac:dyDescent="0.3">
      <c r="A328" s="782"/>
      <c r="B328" s="781" t="s">
        <v>172</v>
      </c>
      <c r="C328" s="799"/>
      <c r="D328" s="781"/>
      <c r="E328" s="799">
        <f>SUMIF('Venture Summary - Mthly'!$E$7:$EG$7,E$7,'Venture Summary - Mthly'!$E333:$EG333)</f>
        <v>0</v>
      </c>
      <c r="F328" s="799">
        <f>SUMIF('Venture Summary - Mthly'!$E$7:$EG$7,F$7,'Venture Summary - Mthly'!$E333:$EG333)</f>
        <v>0</v>
      </c>
      <c r="G328" s="799">
        <f>SUMIF('Venture Summary - Mthly'!$E$7:$EG$7,G$7,'Venture Summary - Mthly'!$E333:$EG333)</f>
        <v>0</v>
      </c>
      <c r="H328" s="799">
        <f>SUMIF('Venture Summary - Mthly'!$E$7:$EG$7,H$7,'Venture Summary - Mthly'!$E333:$EG333)</f>
        <v>0</v>
      </c>
      <c r="I328" s="799">
        <f>SUMIF('Venture Summary - Mthly'!$E$7:$EG$7,I$7,'Venture Summary - Mthly'!$E333:$EG333)</f>
        <v>0</v>
      </c>
      <c r="J328" s="799">
        <f>SUMIF('Venture Summary - Mthly'!$E$7:$EG$7,J$7,'Venture Summary - Mthly'!$E333:$EG333)</f>
        <v>0</v>
      </c>
      <c r="K328" s="799">
        <f>SUMIF('Venture Summary - Mthly'!$E$7:$EG$7,K$7,'Venture Summary - Mthly'!$E333:$EG333)</f>
        <v>0</v>
      </c>
      <c r="L328" s="799">
        <f>SUMIF('Venture Summary - Mthly'!$E$7:$EG$7,L$7,'Venture Summary - Mthly'!$E333:$EG333)</f>
        <v>0</v>
      </c>
      <c r="M328" s="799">
        <f>SUMIF('Venture Summary - Mthly'!$E$7:$EG$7,M$7,'Venture Summary - Mthly'!$E333:$EG333)</f>
        <v>9576703.8864983413</v>
      </c>
      <c r="N328" s="799">
        <f>SUMIF('Venture Summary - Mthly'!$E$7:$EG$7,N$7,'Venture Summary - Mthly'!$E333:$EG333)</f>
        <v>0</v>
      </c>
      <c r="O328" s="799">
        <f>SUMIF('Venture Summary - Mthly'!$E$7:$EG$7,O$7,'Venture Summary - Mthly'!$E333:$EG333)</f>
        <v>0</v>
      </c>
      <c r="P328" s="799">
        <f>SUMIF('Venture Summary - Mthly'!$E$7:$EG$7,P$7,'Venture Summary - Mthly'!$E333:$EG333)</f>
        <v>0</v>
      </c>
      <c r="Q328" s="798"/>
    </row>
    <row r="329" spans="1:17" ht="12.75" customHeight="1" x14ac:dyDescent="0.3">
      <c r="A329" s="782"/>
      <c r="B329" s="782" t="s">
        <v>173</v>
      </c>
      <c r="C329" s="798"/>
      <c r="D329" s="782"/>
      <c r="E329" s="798">
        <f t="shared" ref="E329:O329" si="65">SUM(E327:E328)</f>
        <v>0</v>
      </c>
      <c r="F329" s="798">
        <f t="shared" si="65"/>
        <v>0</v>
      </c>
      <c r="G329" s="798">
        <f t="shared" si="65"/>
        <v>0</v>
      </c>
      <c r="H329" s="798">
        <f>SUM(H327:H328)</f>
        <v>0</v>
      </c>
      <c r="I329" s="798">
        <f>SUM(I327:I328)</f>
        <v>0</v>
      </c>
      <c r="J329" s="798">
        <f>SUM(J327:J328)</f>
        <v>0</v>
      </c>
      <c r="K329" s="798">
        <f t="shared" si="65"/>
        <v>0</v>
      </c>
      <c r="L329" s="798">
        <f t="shared" si="65"/>
        <v>0</v>
      </c>
      <c r="M329" s="798">
        <f t="shared" si="65"/>
        <v>14733390.594612833</v>
      </c>
      <c r="N329" s="798">
        <f t="shared" si="65"/>
        <v>0</v>
      </c>
      <c r="O329" s="798">
        <f t="shared" si="65"/>
        <v>0</v>
      </c>
      <c r="P329" s="798">
        <f>SUM(P327:P328)</f>
        <v>0</v>
      </c>
      <c r="Q329" s="798"/>
    </row>
    <row r="330" spans="1:17" ht="12.75" customHeight="1" x14ac:dyDescent="0.3">
      <c r="A330" s="782"/>
      <c r="B330" s="782"/>
      <c r="C330" s="798"/>
      <c r="D330" s="782"/>
      <c r="E330" s="798"/>
      <c r="F330" s="798"/>
      <c r="G330" s="798"/>
      <c r="H330" s="798"/>
      <c r="I330" s="798"/>
      <c r="J330" s="798"/>
      <c r="K330" s="798"/>
      <c r="L330" s="798"/>
      <c r="M330" s="798"/>
      <c r="N330" s="798"/>
      <c r="O330" s="798"/>
      <c r="P330" s="798"/>
      <c r="Q330" s="798"/>
    </row>
    <row r="331" spans="1:17" ht="12.75" customHeight="1" x14ac:dyDescent="0.3">
      <c r="A331" s="782"/>
      <c r="B331" s="796" t="s">
        <v>181</v>
      </c>
      <c r="C331" s="798"/>
      <c r="D331" s="782"/>
      <c r="E331" s="798"/>
      <c r="F331" s="798"/>
      <c r="G331" s="798"/>
      <c r="H331" s="798"/>
      <c r="I331" s="798"/>
      <c r="J331" s="798"/>
      <c r="K331" s="798"/>
      <c r="L331" s="798"/>
      <c r="M331" s="798"/>
      <c r="N331" s="798"/>
      <c r="O331" s="798"/>
      <c r="P331" s="798"/>
      <c r="Q331" s="798"/>
    </row>
    <row r="332" spans="1:17" ht="12.75" customHeight="1" x14ac:dyDescent="0.3">
      <c r="A332" s="782"/>
      <c r="B332" s="782" t="s">
        <v>182</v>
      </c>
      <c r="C332" s="804">
        <f>SUM(E332:O332)</f>
        <v>68643628.415669352</v>
      </c>
      <c r="D332" s="782"/>
      <c r="E332" s="805">
        <f>+'Venture Summary - Annual'!E33</f>
        <v>-1943435.5218400576</v>
      </c>
      <c r="F332" s="805">
        <f>+'Venture Summary - Annual'!F33</f>
        <v>-33402655.736660913</v>
      </c>
      <c r="G332" s="805">
        <f>+'Venture Summary - Annual'!G33</f>
        <v>-300630.26932519651</v>
      </c>
      <c r="H332" s="805">
        <f>+'Venture Summary - Annual'!H33</f>
        <v>16935503.681385677</v>
      </c>
      <c r="I332" s="805">
        <f>+'Venture Summary - Annual'!I33</f>
        <v>2630723.3617346333</v>
      </c>
      <c r="J332" s="805">
        <f>+'Venture Summary - Annual'!J33</f>
        <v>2802802.7319263299</v>
      </c>
      <c r="K332" s="805">
        <f>+'Venture Summary - Annual'!K33</f>
        <v>2980921.8044357719</v>
      </c>
      <c r="L332" s="805">
        <f>+'Venture Summary - Annual'!L33</f>
        <v>3196406.1347901751</v>
      </c>
      <c r="M332" s="805">
        <f>+'Venture Summary - Annual'!M33</f>
        <v>75743992.229222938</v>
      </c>
      <c r="N332" s="805">
        <f>+'Venture Summary - Annual'!N33</f>
        <v>0</v>
      </c>
      <c r="O332" s="805">
        <f>+'Venture Summary - Annual'!O33</f>
        <v>0</v>
      </c>
      <c r="P332" s="805">
        <f>+'Venture Summary - Annual'!P33</f>
        <v>0</v>
      </c>
      <c r="Q332" s="805"/>
    </row>
    <row r="333" spans="1:17" ht="12.75" customHeight="1" x14ac:dyDescent="0.3">
      <c r="A333" s="782"/>
      <c r="B333" s="782" t="s">
        <v>183</v>
      </c>
      <c r="C333" s="804">
        <f>SUM(E333:O333)</f>
        <v>-6868726.7816661661</v>
      </c>
      <c r="D333" s="782"/>
      <c r="E333" s="805">
        <f>+E257</f>
        <v>0</v>
      </c>
      <c r="F333" s="805">
        <f>-'Venture Summary - Annual'!F207</f>
        <v>0</v>
      </c>
      <c r="G333" s="805">
        <f>-'Venture Summary - Annual'!G207</f>
        <v>0</v>
      </c>
      <c r="H333" s="805">
        <f>-'Venture Summary - Annual'!H207</f>
        <v>-6868726.7816661661</v>
      </c>
      <c r="I333" s="805">
        <f>-'Venture Summary - Annual'!I207</f>
        <v>0</v>
      </c>
      <c r="J333" s="805">
        <f>-'Venture Summary - Annual'!J207</f>
        <v>0</v>
      </c>
      <c r="K333" s="805">
        <f>-'Venture Summary - Annual'!K207</f>
        <v>0</v>
      </c>
      <c r="L333" s="805">
        <f>-'Venture Summary - Annual'!L207</f>
        <v>0</v>
      </c>
      <c r="M333" s="805">
        <f>-'Venture Summary - Annual'!M207</f>
        <v>0</v>
      </c>
      <c r="N333" s="805">
        <f>-'Venture Summary - Annual'!N207</f>
        <v>0</v>
      </c>
      <c r="O333" s="805">
        <f>-'Venture Summary - Annual'!O207</f>
        <v>0</v>
      </c>
      <c r="P333" s="805">
        <f>-'Venture Summary - Annual'!P207</f>
        <v>0</v>
      </c>
      <c r="Q333" s="805"/>
    </row>
    <row r="334" spans="1:17" ht="12.75" customHeight="1" x14ac:dyDescent="0.3">
      <c r="A334" s="782"/>
      <c r="B334" s="782" t="s">
        <v>184</v>
      </c>
      <c r="C334" s="804">
        <f>SUM(E334:O334)</f>
        <v>-5736147.0869287392</v>
      </c>
      <c r="D334" s="782"/>
      <c r="E334" s="805">
        <f t="shared" ref="E334:P334" si="66">-E245</f>
        <v>0</v>
      </c>
      <c r="F334" s="805">
        <f t="shared" si="66"/>
        <v>0</v>
      </c>
      <c r="G334" s="805">
        <f t="shared" si="66"/>
        <v>0</v>
      </c>
      <c r="H334" s="805">
        <f t="shared" si="66"/>
        <v>0</v>
      </c>
      <c r="I334" s="805">
        <f t="shared" si="66"/>
        <v>0</v>
      </c>
      <c r="J334" s="805">
        <f t="shared" si="66"/>
        <v>0</v>
      </c>
      <c r="K334" s="805">
        <f t="shared" si="66"/>
        <v>0</v>
      </c>
      <c r="L334" s="805">
        <f t="shared" si="66"/>
        <v>0</v>
      </c>
      <c r="M334" s="805">
        <f t="shared" si="66"/>
        <v>-5736147.0869287392</v>
      </c>
      <c r="N334" s="805">
        <f t="shared" si="66"/>
        <v>0</v>
      </c>
      <c r="O334" s="805">
        <f t="shared" si="66"/>
        <v>0</v>
      </c>
      <c r="P334" s="805">
        <f t="shared" si="66"/>
        <v>0</v>
      </c>
      <c r="Q334" s="805"/>
    </row>
    <row r="335" spans="1:17" ht="12.75" customHeight="1" thickBot="1" x14ac:dyDescent="0.35">
      <c r="A335" s="782"/>
      <c r="B335" s="825" t="s">
        <v>185</v>
      </c>
      <c r="C335" s="820">
        <f>SUM(E335:O335)</f>
        <v>56038754.547074452</v>
      </c>
      <c r="D335" s="821"/>
      <c r="E335" s="826">
        <f t="shared" ref="E335:P335" si="67">SUM(E332:E334)</f>
        <v>-1943435.5218400576</v>
      </c>
      <c r="F335" s="826">
        <f t="shared" si="67"/>
        <v>-33402655.736660913</v>
      </c>
      <c r="G335" s="826">
        <f t="shared" si="67"/>
        <v>-300630.26932519651</v>
      </c>
      <c r="H335" s="826">
        <f t="shared" si="67"/>
        <v>10066776.89971951</v>
      </c>
      <c r="I335" s="826">
        <f t="shared" si="67"/>
        <v>2630723.3617346333</v>
      </c>
      <c r="J335" s="826">
        <f t="shared" si="67"/>
        <v>2802802.7319263299</v>
      </c>
      <c r="K335" s="826">
        <f t="shared" si="67"/>
        <v>2980921.8044357719</v>
      </c>
      <c r="L335" s="826">
        <f t="shared" si="67"/>
        <v>3196406.1347901751</v>
      </c>
      <c r="M335" s="826">
        <f t="shared" si="67"/>
        <v>70007845.142294198</v>
      </c>
      <c r="N335" s="826">
        <f t="shared" si="67"/>
        <v>0</v>
      </c>
      <c r="O335" s="826">
        <f t="shared" si="67"/>
        <v>0</v>
      </c>
      <c r="P335" s="826">
        <f t="shared" si="67"/>
        <v>0</v>
      </c>
      <c r="Q335" s="805"/>
    </row>
    <row r="336" spans="1:17" ht="12.75" customHeight="1" thickBot="1" x14ac:dyDescent="0.35">
      <c r="A336" s="782"/>
      <c r="B336" s="827" t="s">
        <v>186</v>
      </c>
      <c r="C336" s="828">
        <f>'Venture Summary - Mthly'!C341</f>
        <v>0.15838249325752266</v>
      </c>
      <c r="D336" s="782"/>
      <c r="E336" s="782"/>
      <c r="F336" s="782"/>
      <c r="G336" s="782"/>
      <c r="H336" s="782"/>
      <c r="I336" s="782"/>
      <c r="J336" s="782"/>
      <c r="K336" s="782"/>
      <c r="L336" s="782"/>
      <c r="M336" s="782"/>
      <c r="N336" s="782"/>
      <c r="O336" s="782"/>
      <c r="P336" s="782"/>
      <c r="Q336" s="782"/>
    </row>
    <row r="337" spans="1:17" ht="12.75" customHeight="1" x14ac:dyDescent="0.3">
      <c r="A337" s="782"/>
      <c r="B337" s="782"/>
      <c r="C337" s="798"/>
      <c r="D337" s="782"/>
      <c r="E337" s="798"/>
      <c r="F337" s="798"/>
      <c r="G337" s="798"/>
      <c r="H337" s="798"/>
      <c r="I337" s="798"/>
      <c r="J337" s="798"/>
      <c r="K337" s="798"/>
      <c r="L337" s="798"/>
      <c r="M337" s="798"/>
      <c r="N337" s="798"/>
      <c r="O337" s="798"/>
      <c r="P337" s="798"/>
      <c r="Q337" s="798"/>
    </row>
    <row r="338" spans="1:17" ht="12.75" customHeight="1" x14ac:dyDescent="0.3">
      <c r="A338" s="782"/>
      <c r="B338" s="787" t="s">
        <v>187</v>
      </c>
      <c r="C338" s="786"/>
      <c r="D338" s="786"/>
      <c r="E338" s="786"/>
      <c r="F338" s="786"/>
      <c r="G338" s="786"/>
      <c r="H338" s="786"/>
      <c r="I338" s="786"/>
      <c r="J338" s="786"/>
      <c r="K338" s="786"/>
      <c r="L338" s="786"/>
      <c r="M338" s="786"/>
      <c r="N338" s="786"/>
      <c r="O338" s="786"/>
      <c r="P338" s="786"/>
      <c r="Q338" s="786"/>
    </row>
    <row r="339" spans="1:17" ht="12.75" customHeight="1" x14ac:dyDescent="0.3">
      <c r="A339" s="782"/>
      <c r="B339" s="782"/>
      <c r="C339" s="798"/>
      <c r="D339" s="782"/>
      <c r="E339" s="798"/>
      <c r="F339" s="798"/>
      <c r="G339" s="798"/>
      <c r="H339" s="798"/>
      <c r="I339" s="798"/>
      <c r="J339" s="798"/>
      <c r="K339" s="798"/>
      <c r="L339" s="798"/>
      <c r="M339" s="798"/>
      <c r="N339" s="798"/>
      <c r="O339" s="798"/>
      <c r="P339" s="798"/>
      <c r="Q339" s="798"/>
    </row>
    <row r="340" spans="1:17" ht="12.75" customHeight="1" x14ac:dyDescent="0.3">
      <c r="A340" s="782"/>
      <c r="B340" s="782" t="s">
        <v>188</v>
      </c>
      <c r="C340" s="798">
        <f>SUM(E340:O340)</f>
        <v>71665919.417095363</v>
      </c>
      <c r="D340" s="782"/>
      <c r="E340" s="798">
        <f>SUMIF('Venture Summary - Mthly'!$E$7:$EG$7,E$7,'Venture Summary - Mthly'!$E345:$EG345)</f>
        <v>-1943435.5218400576</v>
      </c>
      <c r="F340" s="798">
        <f>SUMIF('Venture Summary - Mthly'!$E$7:$EG$7,F$7,'Venture Summary - Mthly'!$E345:$EG345)</f>
        <v>-33309824.004253808</v>
      </c>
      <c r="G340" s="798">
        <f>SUMIF('Venture Summary - Mthly'!$E$7:$EG$7,G$7,'Venture Summary - Mthly'!$E345:$EG345)</f>
        <v>-55886.970805752673</v>
      </c>
      <c r="H340" s="798">
        <f>SUMIF('Venture Summary - Mthly'!$E$7:$EG$7,H$7,'Venture Summary - Mthly'!$E345:$EG345)</f>
        <v>17275973.608943615</v>
      </c>
      <c r="I340" s="798">
        <f>SUMIF('Venture Summary - Mthly'!$E$7:$EG$7,I$7,'Venture Summary - Mthly'!$E345:$EG345)</f>
        <v>3062338.1554618562</v>
      </c>
      <c r="J340" s="798">
        <f>SUMIF('Venture Summary - Mthly'!$E$7:$EG$7,J$7,'Venture Summary - Mthly'!$E345:$EG345)</f>
        <v>3251150.8045808887</v>
      </c>
      <c r="K340" s="798">
        <f>SUMIF('Venture Summary - Mthly'!$E$7:$EG$7,K$7,'Venture Summary - Mthly'!$E345:$EG345)</f>
        <v>3448331.9223091444</v>
      </c>
      <c r="L340" s="798">
        <f>SUMIF('Venture Summary - Mthly'!$E$7:$EG$7,L$7,'Venture Summary - Mthly'!$E345:$EG345)</f>
        <v>3684208.4667598493</v>
      </c>
      <c r="M340" s="798">
        <f>SUMIF('Venture Summary - Mthly'!$E$7:$EG$7,M$7,'Venture Summary - Mthly'!$E345:$EG345)</f>
        <v>76253062.955939621</v>
      </c>
      <c r="N340" s="798">
        <f>SUMIF('Venture Summary - Mthly'!$E$7:$EG$7,N$7,'Venture Summary - Mthly'!$E345:$EG345)</f>
        <v>0</v>
      </c>
      <c r="O340" s="798">
        <f>SUMIF('Venture Summary - Mthly'!$E$7:$EG$7,O$7,'Venture Summary - Mthly'!$E345:$EG345)</f>
        <v>0</v>
      </c>
      <c r="P340" s="798">
        <f>SUMIF('Venture Summary - Mthly'!$E$7:$EG$7,P$7,'Venture Summary - Mthly'!$E345:$EG345)</f>
        <v>0</v>
      </c>
      <c r="Q340" s="798"/>
    </row>
    <row r="341" spans="1:17" ht="12.75" customHeight="1" x14ac:dyDescent="0.3">
      <c r="A341" s="782"/>
      <c r="B341" s="796" t="s">
        <v>189</v>
      </c>
      <c r="C341" s="823">
        <f>'Venture Summary - Mthly'!C346</f>
        <v>0.20314757227897645</v>
      </c>
      <c r="D341" s="782"/>
      <c r="E341" s="798"/>
      <c r="F341" s="798"/>
      <c r="G341" s="798"/>
      <c r="H341" s="798"/>
      <c r="I341" s="798"/>
      <c r="J341" s="798"/>
      <c r="K341" s="798"/>
      <c r="L341" s="798"/>
      <c r="M341" s="798"/>
      <c r="N341" s="798"/>
      <c r="O341" s="798"/>
      <c r="P341" s="798"/>
      <c r="Q341" s="798"/>
    </row>
    <row r="342" spans="1:17" ht="12.75" customHeight="1" x14ac:dyDescent="0.3">
      <c r="A342" s="782"/>
      <c r="B342" s="782"/>
      <c r="C342" s="798"/>
      <c r="D342" s="782"/>
      <c r="E342" s="798"/>
      <c r="F342" s="798"/>
      <c r="G342" s="798"/>
      <c r="H342" s="798"/>
      <c r="I342" s="798"/>
      <c r="J342" s="798"/>
      <c r="K342" s="798"/>
      <c r="L342" s="798"/>
      <c r="M342" s="798"/>
      <c r="N342" s="798"/>
      <c r="O342" s="798"/>
      <c r="P342" s="798"/>
      <c r="Q342" s="798"/>
    </row>
    <row r="343" spans="1:17" ht="12.75" customHeight="1" x14ac:dyDescent="0.3">
      <c r="A343" s="782"/>
      <c r="B343" s="782" t="s">
        <v>190</v>
      </c>
      <c r="C343" s="798">
        <f t="shared" ref="C343:C348" si="68">SUM(E343:O343)</f>
        <v>-3022291.0014259894</v>
      </c>
      <c r="D343" s="782"/>
      <c r="E343" s="798">
        <f>E32</f>
        <v>0</v>
      </c>
      <c r="F343" s="798">
        <f t="shared" ref="F343:P343" si="69">F32</f>
        <v>-92831.732407094911</v>
      </c>
      <c r="G343" s="798">
        <f t="shared" si="69"/>
        <v>-244743.29851944721</v>
      </c>
      <c r="H343" s="798">
        <f t="shared" si="69"/>
        <v>-340469.92755794059</v>
      </c>
      <c r="I343" s="798">
        <f t="shared" si="69"/>
        <v>-431614.7937272226</v>
      </c>
      <c r="J343" s="798">
        <f t="shared" si="69"/>
        <v>-448348.07265455829</v>
      </c>
      <c r="K343" s="798">
        <f t="shared" si="69"/>
        <v>-467410.11787337146</v>
      </c>
      <c r="L343" s="798">
        <f t="shared" si="69"/>
        <v>-487802.33196967375</v>
      </c>
      <c r="M343" s="798">
        <f t="shared" si="69"/>
        <v>-509070.72671668057</v>
      </c>
      <c r="N343" s="798">
        <f t="shared" si="69"/>
        <v>0</v>
      </c>
      <c r="O343" s="798">
        <f t="shared" si="69"/>
        <v>0</v>
      </c>
      <c r="P343" s="798">
        <f t="shared" si="69"/>
        <v>0</v>
      </c>
      <c r="Q343" s="798"/>
    </row>
    <row r="344" spans="1:17" ht="12.75" customHeight="1" x14ac:dyDescent="0.3">
      <c r="A344" s="782"/>
      <c r="B344" s="782" t="s">
        <v>191</v>
      </c>
      <c r="C344" s="798">
        <f t="shared" si="68"/>
        <v>-6868726.7816661661</v>
      </c>
      <c r="D344" s="782"/>
      <c r="E344" s="798">
        <f>-E213</f>
        <v>0</v>
      </c>
      <c r="F344" s="798">
        <f t="shared" ref="F344:P344" si="70">-F213</f>
        <v>0</v>
      </c>
      <c r="G344" s="798">
        <f t="shared" si="70"/>
        <v>0</v>
      </c>
      <c r="H344" s="798">
        <f t="shared" si="70"/>
        <v>-6868726.7816661661</v>
      </c>
      <c r="I344" s="798">
        <f t="shared" si="70"/>
        <v>0</v>
      </c>
      <c r="J344" s="798">
        <f t="shared" si="70"/>
        <v>0</v>
      </c>
      <c r="K344" s="798">
        <f t="shared" si="70"/>
        <v>0</v>
      </c>
      <c r="L344" s="798">
        <f t="shared" si="70"/>
        <v>0</v>
      </c>
      <c r="M344" s="798">
        <f t="shared" si="70"/>
        <v>0</v>
      </c>
      <c r="N344" s="798">
        <f t="shared" si="70"/>
        <v>0</v>
      </c>
      <c r="O344" s="798">
        <f t="shared" si="70"/>
        <v>0</v>
      </c>
      <c r="P344" s="798">
        <f t="shared" si="70"/>
        <v>0</v>
      </c>
      <c r="Q344" s="798"/>
    </row>
    <row r="345" spans="1:17" ht="12.75" customHeight="1" x14ac:dyDescent="0.3">
      <c r="A345" s="782"/>
      <c r="B345" s="782" t="s">
        <v>192</v>
      </c>
      <c r="C345" s="798">
        <f t="shared" si="68"/>
        <v>-5736147.0869287392</v>
      </c>
      <c r="D345" s="782"/>
      <c r="E345" s="798">
        <f>-E245</f>
        <v>0</v>
      </c>
      <c r="F345" s="798">
        <f t="shared" ref="F345:P345" si="71">-F245</f>
        <v>0</v>
      </c>
      <c r="G345" s="798">
        <f t="shared" si="71"/>
        <v>0</v>
      </c>
      <c r="H345" s="798">
        <f t="shared" si="71"/>
        <v>0</v>
      </c>
      <c r="I345" s="798">
        <f t="shared" si="71"/>
        <v>0</v>
      </c>
      <c r="J345" s="798">
        <f t="shared" si="71"/>
        <v>0</v>
      </c>
      <c r="K345" s="798">
        <f t="shared" si="71"/>
        <v>0</v>
      </c>
      <c r="L345" s="798">
        <f t="shared" si="71"/>
        <v>0</v>
      </c>
      <c r="M345" s="798">
        <f t="shared" si="71"/>
        <v>-5736147.0869287392</v>
      </c>
      <c r="N345" s="798">
        <f t="shared" si="71"/>
        <v>0</v>
      </c>
      <c r="O345" s="798">
        <f t="shared" si="71"/>
        <v>0</v>
      </c>
      <c r="P345" s="798">
        <f t="shared" si="71"/>
        <v>0</v>
      </c>
      <c r="Q345" s="798"/>
    </row>
    <row r="346" spans="1:17" ht="12.75" customHeight="1" x14ac:dyDescent="0.3">
      <c r="A346" s="782"/>
      <c r="B346" s="821" t="s">
        <v>193</v>
      </c>
      <c r="C346" s="822">
        <f t="shared" si="68"/>
        <v>56038754.547074452</v>
      </c>
      <c r="D346" s="821"/>
      <c r="E346" s="822">
        <f>E340+SUM(E343:E345)</f>
        <v>-1943435.5218400576</v>
      </c>
      <c r="F346" s="822">
        <f t="shared" ref="F346:O346" si="72">F340+SUM(F343:F345)</f>
        <v>-33402655.736660905</v>
      </c>
      <c r="G346" s="822">
        <f t="shared" si="72"/>
        <v>-300630.26932519989</v>
      </c>
      <c r="H346" s="822">
        <f t="shared" si="72"/>
        <v>10066776.899719508</v>
      </c>
      <c r="I346" s="822">
        <f t="shared" si="72"/>
        <v>2630723.3617346333</v>
      </c>
      <c r="J346" s="822">
        <f t="shared" si="72"/>
        <v>2802802.7319263304</v>
      </c>
      <c r="K346" s="822">
        <f t="shared" si="72"/>
        <v>2980921.8044357728</v>
      </c>
      <c r="L346" s="822">
        <f t="shared" si="72"/>
        <v>3196406.1347901756</v>
      </c>
      <c r="M346" s="822">
        <f t="shared" si="72"/>
        <v>70007845.142294198</v>
      </c>
      <c r="N346" s="822">
        <f t="shared" si="72"/>
        <v>0</v>
      </c>
      <c r="O346" s="822">
        <f t="shared" si="72"/>
        <v>0</v>
      </c>
      <c r="P346" s="822">
        <f>P340+SUM(P343:P345)</f>
        <v>0</v>
      </c>
      <c r="Q346" s="798"/>
    </row>
    <row r="347" spans="1:17" ht="12.75" customHeight="1" x14ac:dyDescent="0.3">
      <c r="A347" s="782"/>
      <c r="B347" s="782"/>
      <c r="C347" s="798"/>
      <c r="D347" s="782"/>
      <c r="E347" s="798"/>
      <c r="F347" s="798"/>
      <c r="G347" s="798"/>
      <c r="H347" s="798"/>
      <c r="I347" s="798"/>
      <c r="J347" s="798"/>
      <c r="K347" s="798"/>
      <c r="L347" s="798"/>
      <c r="M347" s="798"/>
      <c r="N347" s="798"/>
      <c r="O347" s="798"/>
      <c r="P347" s="798"/>
      <c r="Q347" s="798"/>
    </row>
    <row r="348" spans="1:17" ht="12.75" customHeight="1" x14ac:dyDescent="0.3">
      <c r="A348" s="782"/>
      <c r="B348" s="782" t="s">
        <v>194</v>
      </c>
      <c r="C348" s="798">
        <f t="shared" si="68"/>
        <v>13953649.882221539</v>
      </c>
      <c r="D348" s="782"/>
      <c r="E348" s="798">
        <f>E346*'Venture Assumptions'!$F$11</f>
        <v>-483915.44493817433</v>
      </c>
      <c r="F348" s="798">
        <f>F346*'Venture Assumptions'!$F$11</f>
        <v>-8317261.2784285657</v>
      </c>
      <c r="G348" s="798">
        <f>G346*'Venture Assumptions'!$F$11</f>
        <v>-74856.937061974764</v>
      </c>
      <c r="H348" s="798">
        <f>H346*'Venture Assumptions'!$F$11</f>
        <v>2506627.4480301575</v>
      </c>
      <c r="I348" s="798">
        <f>I346*'Venture Assumptions'!$F$11</f>
        <v>655050.11707192368</v>
      </c>
      <c r="J348" s="798">
        <f>J346*'Venture Assumptions'!$F$11</f>
        <v>697897.88024965627</v>
      </c>
      <c r="K348" s="798">
        <f>K346*'Venture Assumptions'!$F$11</f>
        <v>742249.52930450742</v>
      </c>
      <c r="L348" s="798">
        <f>L346*'Venture Assumptions'!$F$11</f>
        <v>795905.12756275374</v>
      </c>
      <c r="M348" s="798">
        <f>M346*'Venture Assumptions'!$F$11</f>
        <v>17431953.440431256</v>
      </c>
      <c r="N348" s="798">
        <f>N346*'Venture Assumptions'!$F$11</f>
        <v>0</v>
      </c>
      <c r="O348" s="798">
        <f>O346*'Venture Assumptions'!$F$11</f>
        <v>0</v>
      </c>
      <c r="P348" s="798">
        <f>P346*'Venture Assumptions'!$F$11</f>
        <v>0</v>
      </c>
      <c r="Q348" s="798"/>
    </row>
    <row r="349" spans="1:17" ht="12.75" customHeight="1" x14ac:dyDescent="0.3">
      <c r="A349" s="782"/>
      <c r="B349" s="829" t="s">
        <v>195</v>
      </c>
      <c r="C349" s="830">
        <f>'Venture Summary - Mthly'!C354</f>
        <v>0.15838249325752266</v>
      </c>
      <c r="D349" s="782"/>
      <c r="E349" s="798"/>
      <c r="F349" s="798"/>
      <c r="G349" s="798"/>
      <c r="H349" s="798"/>
      <c r="I349" s="798"/>
      <c r="J349" s="798"/>
      <c r="K349" s="798"/>
      <c r="L349" s="798"/>
      <c r="M349" s="798"/>
      <c r="N349" s="798"/>
      <c r="O349" s="798"/>
      <c r="P349" s="798"/>
      <c r="Q349" s="798"/>
    </row>
    <row r="350" spans="1:17" ht="12.75" customHeight="1" x14ac:dyDescent="0.3">
      <c r="A350" s="782"/>
      <c r="B350" s="831" t="s">
        <v>196</v>
      </c>
      <c r="C350" s="832">
        <f>'Venture Summary - Mthly'!C355</f>
        <v>2.3311944189841349</v>
      </c>
      <c r="D350" s="782"/>
      <c r="E350" s="798"/>
      <c r="F350" s="798"/>
      <c r="G350" s="798"/>
      <c r="H350" s="798"/>
      <c r="I350" s="798"/>
      <c r="J350" s="798"/>
      <c r="K350" s="798"/>
      <c r="L350" s="798"/>
      <c r="M350" s="798"/>
      <c r="N350" s="798"/>
      <c r="O350" s="798"/>
      <c r="P350" s="798"/>
      <c r="Q350" s="798"/>
    </row>
    <row r="351" spans="1:17" ht="12.75" customHeight="1" x14ac:dyDescent="0.3">
      <c r="A351" s="782"/>
      <c r="B351" s="782"/>
      <c r="C351" s="798"/>
      <c r="D351" s="782"/>
      <c r="E351" s="798"/>
      <c r="F351" s="798"/>
      <c r="G351" s="798"/>
      <c r="H351" s="798"/>
      <c r="I351" s="798"/>
      <c r="J351" s="798"/>
      <c r="K351" s="798"/>
      <c r="L351" s="798"/>
      <c r="M351" s="798"/>
      <c r="N351" s="798"/>
      <c r="O351" s="798"/>
      <c r="P351" s="798"/>
      <c r="Q351" s="798"/>
    </row>
    <row r="352" spans="1:17" ht="12.75" customHeight="1" x14ac:dyDescent="0.3">
      <c r="A352" s="782"/>
      <c r="B352" s="796" t="s">
        <v>197</v>
      </c>
      <c r="C352" s="813">
        <f>SUM(E352:O352)</f>
        <v>42085104.664852917</v>
      </c>
      <c r="D352" s="782"/>
      <c r="E352" s="798">
        <f>E346*'Venture Assumptions'!$F$12</f>
        <v>-1459520.0769018831</v>
      </c>
      <c r="F352" s="798">
        <f>F346*'Venture Assumptions'!$F$12</f>
        <v>-25085394.458232339</v>
      </c>
      <c r="G352" s="798">
        <f>G346*'Venture Assumptions'!$F$12</f>
        <v>-225773.33226322511</v>
      </c>
      <c r="H352" s="798">
        <f>H346*'Venture Assumptions'!$F$12</f>
        <v>7560149.4516893504</v>
      </c>
      <c r="I352" s="798">
        <f>I346*'Venture Assumptions'!$F$12</f>
        <v>1975673.2446627095</v>
      </c>
      <c r="J352" s="798">
        <f>J346*'Venture Assumptions'!$F$12</f>
        <v>2104904.8516766741</v>
      </c>
      <c r="K352" s="798">
        <f>K346*'Venture Assumptions'!$F$12</f>
        <v>2238672.2751312652</v>
      </c>
      <c r="L352" s="798">
        <f>L346*'Venture Assumptions'!$F$12</f>
        <v>2400501.0072274217</v>
      </c>
      <c r="M352" s="798">
        <f>M346*'Venture Assumptions'!$F$12</f>
        <v>52575891.701862946</v>
      </c>
      <c r="N352" s="798">
        <f>N346*'Venture Assumptions'!$F$12</f>
        <v>0</v>
      </c>
      <c r="O352" s="798">
        <f>O346*'Venture Assumptions'!$F$12</f>
        <v>0</v>
      </c>
      <c r="P352" s="798">
        <f>P346*'Venture Assumptions'!$F$12</f>
        <v>0</v>
      </c>
      <c r="Q352" s="798"/>
    </row>
    <row r="353" spans="1:17" ht="12.75" customHeight="1" x14ac:dyDescent="0.3">
      <c r="A353" s="782"/>
      <c r="B353" s="833" t="s">
        <v>198</v>
      </c>
      <c r="C353" s="834">
        <f>'Venture Summary - Mthly'!C358</f>
        <v>0.15838249325752266</v>
      </c>
      <c r="D353" s="782"/>
      <c r="E353" s="798"/>
      <c r="F353" s="798"/>
      <c r="G353" s="798"/>
      <c r="H353" s="798"/>
      <c r="I353" s="798"/>
      <c r="J353" s="798"/>
      <c r="K353" s="798"/>
      <c r="L353" s="798"/>
      <c r="M353" s="798"/>
      <c r="N353" s="798"/>
      <c r="O353" s="798"/>
      <c r="P353" s="798"/>
      <c r="Q353" s="798"/>
    </row>
    <row r="354" spans="1:17" ht="12.75" customHeight="1" x14ac:dyDescent="0.3">
      <c r="A354" s="782"/>
      <c r="B354" s="835" t="s">
        <v>199</v>
      </c>
      <c r="C354" s="836">
        <f>'Venture Summary - Mthly'!C359</f>
        <v>2.3311944189841349</v>
      </c>
      <c r="D354" s="782"/>
      <c r="E354" s="798"/>
      <c r="F354" s="798"/>
      <c r="G354" s="798"/>
      <c r="H354" s="798"/>
      <c r="I354" s="798"/>
      <c r="J354" s="798"/>
      <c r="K354" s="798"/>
      <c r="L354" s="798"/>
      <c r="M354" s="798"/>
      <c r="N354" s="798"/>
      <c r="O354" s="798"/>
      <c r="P354" s="798"/>
      <c r="Q354" s="798"/>
    </row>
    <row r="355" spans="1:17" ht="12.75" customHeight="1" x14ac:dyDescent="0.3">
      <c r="A355" s="782"/>
      <c r="B355" s="782"/>
      <c r="C355" s="798"/>
      <c r="D355" s="782"/>
      <c r="E355" s="798"/>
      <c r="F355" s="798"/>
      <c r="G355" s="798"/>
      <c r="H355" s="798"/>
      <c r="I355" s="798"/>
      <c r="J355" s="798"/>
      <c r="K355" s="798"/>
      <c r="L355" s="798"/>
      <c r="M355" s="798"/>
      <c r="N355" s="798"/>
      <c r="O355" s="798"/>
      <c r="P355" s="798"/>
      <c r="Q355" s="798"/>
    </row>
    <row r="356" spans="1:17" ht="12.75" customHeight="1" x14ac:dyDescent="0.3">
      <c r="A356" s="782"/>
      <c r="B356" s="796" t="s">
        <v>200</v>
      </c>
      <c r="C356" s="798"/>
      <c r="D356" s="782"/>
      <c r="E356" s="798"/>
      <c r="F356" s="798"/>
      <c r="G356" s="798"/>
      <c r="H356" s="798"/>
      <c r="I356" s="798"/>
      <c r="J356" s="798"/>
      <c r="K356" s="798"/>
      <c r="L356" s="798"/>
      <c r="M356" s="798"/>
      <c r="N356" s="798"/>
      <c r="O356" s="798"/>
      <c r="P356" s="798"/>
      <c r="Q356" s="798"/>
    </row>
    <row r="357" spans="1:17" ht="12.75" customHeight="1" x14ac:dyDescent="0.3">
      <c r="A357" s="782"/>
      <c r="B357" s="782" t="s">
        <v>191</v>
      </c>
      <c r="C357" s="798">
        <f>SUM(E357:O357)</f>
        <v>6868726.7816661661</v>
      </c>
      <c r="D357" s="782"/>
      <c r="E357" s="798">
        <f>E213</f>
        <v>0</v>
      </c>
      <c r="F357" s="798">
        <f t="shared" ref="F357:P357" si="73">F213</f>
        <v>0</v>
      </c>
      <c r="G357" s="798">
        <f t="shared" si="73"/>
        <v>0</v>
      </c>
      <c r="H357" s="798">
        <f t="shared" si="73"/>
        <v>6868726.7816661661</v>
      </c>
      <c r="I357" s="798">
        <f t="shared" si="73"/>
        <v>0</v>
      </c>
      <c r="J357" s="798">
        <f t="shared" si="73"/>
        <v>0</v>
      </c>
      <c r="K357" s="798">
        <f t="shared" si="73"/>
        <v>0</v>
      </c>
      <c r="L357" s="798">
        <f t="shared" si="73"/>
        <v>0</v>
      </c>
      <c r="M357" s="798">
        <f t="shared" si="73"/>
        <v>0</v>
      </c>
      <c r="N357" s="798">
        <f t="shared" si="73"/>
        <v>0</v>
      </c>
      <c r="O357" s="798">
        <f t="shared" si="73"/>
        <v>0</v>
      </c>
      <c r="P357" s="798">
        <f t="shared" si="73"/>
        <v>0</v>
      </c>
      <c r="Q357" s="798"/>
    </row>
    <row r="358" spans="1:17" ht="12.75" customHeight="1" x14ac:dyDescent="0.3">
      <c r="A358" s="782"/>
      <c r="B358" s="782" t="s">
        <v>192</v>
      </c>
      <c r="C358" s="798">
        <f>SUM(E358:O358)</f>
        <v>5736147.0869287392</v>
      </c>
      <c r="D358" s="782"/>
      <c r="E358" s="798">
        <f>E245</f>
        <v>0</v>
      </c>
      <c r="F358" s="798">
        <f t="shared" ref="F358:P358" si="74">F245</f>
        <v>0</v>
      </c>
      <c r="G358" s="798">
        <f t="shared" si="74"/>
        <v>0</v>
      </c>
      <c r="H358" s="798">
        <f t="shared" si="74"/>
        <v>0</v>
      </c>
      <c r="I358" s="798">
        <f t="shared" si="74"/>
        <v>0</v>
      </c>
      <c r="J358" s="798">
        <f t="shared" si="74"/>
        <v>0</v>
      </c>
      <c r="K358" s="798">
        <f t="shared" si="74"/>
        <v>0</v>
      </c>
      <c r="L358" s="798">
        <f t="shared" si="74"/>
        <v>0</v>
      </c>
      <c r="M358" s="798">
        <f t="shared" si="74"/>
        <v>5736147.0869287392</v>
      </c>
      <c r="N358" s="798">
        <f t="shared" si="74"/>
        <v>0</v>
      </c>
      <c r="O358" s="798">
        <f t="shared" si="74"/>
        <v>0</v>
      </c>
      <c r="P358" s="798">
        <f t="shared" si="74"/>
        <v>0</v>
      </c>
      <c r="Q358" s="798"/>
    </row>
    <row r="359" spans="1:17" ht="12.75" customHeight="1" x14ac:dyDescent="0.3">
      <c r="A359" s="782"/>
      <c r="B359" s="821" t="s">
        <v>201</v>
      </c>
      <c r="C359" s="822">
        <f>SUM(E359:O359)</f>
        <v>12604873.868594905</v>
      </c>
      <c r="D359" s="821"/>
      <c r="E359" s="822">
        <f>SUM(E357:E358)</f>
        <v>0</v>
      </c>
      <c r="F359" s="822">
        <f t="shared" ref="F359:P359" si="75">SUM(F357:F358)</f>
        <v>0</v>
      </c>
      <c r="G359" s="822">
        <f t="shared" si="75"/>
        <v>0</v>
      </c>
      <c r="H359" s="822">
        <f t="shared" si="75"/>
        <v>6868726.7816661661</v>
      </c>
      <c r="I359" s="822">
        <f t="shared" si="75"/>
        <v>0</v>
      </c>
      <c r="J359" s="822">
        <f t="shared" si="75"/>
        <v>0</v>
      </c>
      <c r="K359" s="822">
        <f t="shared" si="75"/>
        <v>0</v>
      </c>
      <c r="L359" s="822">
        <f t="shared" si="75"/>
        <v>0</v>
      </c>
      <c r="M359" s="822">
        <f t="shared" si="75"/>
        <v>5736147.0869287392</v>
      </c>
      <c r="N359" s="822">
        <f t="shared" si="75"/>
        <v>0</v>
      </c>
      <c r="O359" s="822">
        <f t="shared" si="75"/>
        <v>0</v>
      </c>
      <c r="P359" s="822">
        <f t="shared" si="75"/>
        <v>0</v>
      </c>
      <c r="Q359" s="798"/>
    </row>
    <row r="360" spans="1:17" ht="12.75" customHeight="1" x14ac:dyDescent="0.3">
      <c r="A360" s="782"/>
      <c r="B360" s="782"/>
      <c r="C360" s="798"/>
      <c r="D360" s="782"/>
      <c r="E360" s="798"/>
      <c r="F360" s="798"/>
      <c r="G360" s="798"/>
      <c r="H360" s="798"/>
      <c r="I360" s="798"/>
      <c r="J360" s="798"/>
      <c r="K360" s="798"/>
      <c r="L360" s="798"/>
      <c r="M360" s="798"/>
      <c r="N360" s="798"/>
      <c r="O360" s="798"/>
      <c r="P360" s="798"/>
      <c r="Q360" s="798"/>
    </row>
    <row r="361" spans="1:17" ht="12.75" customHeight="1" x14ac:dyDescent="0.3">
      <c r="A361" s="782"/>
      <c r="B361" s="782" t="s">
        <v>202</v>
      </c>
      <c r="C361" s="798">
        <f>SUM(E361:O361)</f>
        <v>54689978.533447824</v>
      </c>
      <c r="D361" s="782"/>
      <c r="E361" s="798">
        <f>E359+E352</f>
        <v>-1459520.0769018831</v>
      </c>
      <c r="F361" s="798">
        <f t="shared" ref="F361:P361" si="76">F359+F352</f>
        <v>-25085394.458232339</v>
      </c>
      <c r="G361" s="798">
        <f t="shared" si="76"/>
        <v>-225773.33226322511</v>
      </c>
      <c r="H361" s="798">
        <f t="shared" si="76"/>
        <v>14428876.233355517</v>
      </c>
      <c r="I361" s="798">
        <f t="shared" si="76"/>
        <v>1975673.2446627095</v>
      </c>
      <c r="J361" s="798">
        <f t="shared" si="76"/>
        <v>2104904.8516766741</v>
      </c>
      <c r="K361" s="798">
        <f t="shared" si="76"/>
        <v>2238672.2751312652</v>
      </c>
      <c r="L361" s="798">
        <f t="shared" si="76"/>
        <v>2400501.0072274217</v>
      </c>
      <c r="M361" s="798">
        <f t="shared" si="76"/>
        <v>58312038.788791686</v>
      </c>
      <c r="N361" s="798">
        <f t="shared" si="76"/>
        <v>0</v>
      </c>
      <c r="O361" s="798">
        <f t="shared" si="76"/>
        <v>0</v>
      </c>
      <c r="P361" s="798">
        <f t="shared" si="76"/>
        <v>0</v>
      </c>
      <c r="Q361" s="798"/>
    </row>
    <row r="362" spans="1:17" ht="12.75" customHeight="1" x14ac:dyDescent="0.3">
      <c r="A362" s="782"/>
      <c r="B362" s="833" t="s">
        <v>203</v>
      </c>
      <c r="C362" s="834">
        <f>'Venture Summary - Mthly'!C367</f>
        <v>0.20637730956077577</v>
      </c>
      <c r="D362" s="782"/>
      <c r="E362" s="798"/>
      <c r="F362" s="798"/>
      <c r="G362" s="798"/>
      <c r="H362" s="798"/>
      <c r="I362" s="798"/>
      <c r="J362" s="798"/>
      <c r="K362" s="798"/>
      <c r="L362" s="798"/>
      <c r="M362" s="798"/>
      <c r="N362" s="798"/>
      <c r="O362" s="798"/>
      <c r="P362" s="798"/>
      <c r="Q362" s="798"/>
    </row>
    <row r="363" spans="1:17" ht="12.75" customHeight="1" x14ac:dyDescent="0.3">
      <c r="A363" s="782"/>
      <c r="B363" s="835" t="s">
        <v>204</v>
      </c>
      <c r="C363" s="836">
        <f>'Venture Summary - Mthly'!C368</f>
        <v>3.0422656084204585</v>
      </c>
      <c r="D363" s="782"/>
      <c r="E363" s="798"/>
      <c r="F363" s="798"/>
      <c r="G363" s="798"/>
      <c r="H363" s="798"/>
      <c r="I363" s="798"/>
      <c r="J363" s="798"/>
      <c r="K363" s="798"/>
      <c r="L363" s="798"/>
      <c r="M363" s="798"/>
      <c r="N363" s="798"/>
      <c r="O363" s="798"/>
      <c r="P363" s="798"/>
      <c r="Q363" s="798"/>
    </row>
    <row r="364" spans="1:17" ht="12.75" customHeight="1" x14ac:dyDescent="0.3">
      <c r="A364" s="782"/>
      <c r="B364" s="782"/>
      <c r="C364" s="798"/>
      <c r="D364" s="782"/>
      <c r="E364" s="798"/>
      <c r="F364" s="798"/>
      <c r="G364" s="798"/>
      <c r="H364" s="798"/>
      <c r="I364" s="798"/>
      <c r="J364" s="798"/>
      <c r="K364" s="798"/>
      <c r="L364" s="798"/>
      <c r="M364" s="798"/>
      <c r="N364" s="798"/>
      <c r="O364" s="798"/>
      <c r="P364" s="798"/>
      <c r="Q364" s="798"/>
    </row>
    <row r="365" spans="1:17" ht="12.75" customHeight="1" x14ac:dyDescent="0.3">
      <c r="A365" s="782"/>
      <c r="B365" s="796" t="s">
        <v>205</v>
      </c>
      <c r="C365" s="798"/>
      <c r="D365" s="782"/>
      <c r="E365" s="798"/>
      <c r="F365" s="798"/>
      <c r="G365" s="798"/>
      <c r="H365" s="798"/>
      <c r="I365" s="798"/>
      <c r="J365" s="798"/>
      <c r="K365" s="798"/>
      <c r="L365" s="798"/>
      <c r="M365" s="798"/>
      <c r="N365" s="798"/>
      <c r="O365" s="798"/>
      <c r="P365" s="798"/>
      <c r="Q365" s="798"/>
    </row>
    <row r="366" spans="1:17" ht="12.75" customHeight="1" x14ac:dyDescent="0.3">
      <c r="A366" s="782"/>
      <c r="B366" s="782" t="s">
        <v>206</v>
      </c>
      <c r="C366" s="798">
        <f>SUM(E366:P366)</f>
        <v>2658062.4746991722</v>
      </c>
      <c r="D366" s="782"/>
      <c r="E366" s="798">
        <f>E144</f>
        <v>0</v>
      </c>
      <c r="F366" s="798">
        <f t="shared" ref="F366:P366" si="77">F144</f>
        <v>1275869.9878556028</v>
      </c>
      <c r="G366" s="798">
        <f t="shared" si="77"/>
        <v>1275869.9878556028</v>
      </c>
      <c r="H366" s="798">
        <f t="shared" si="77"/>
        <v>106322.4989879669</v>
      </c>
      <c r="I366" s="798">
        <f t="shared" si="77"/>
        <v>0</v>
      </c>
      <c r="J366" s="798">
        <f t="shared" si="77"/>
        <v>0</v>
      </c>
      <c r="K366" s="798">
        <f t="shared" si="77"/>
        <v>0</v>
      </c>
      <c r="L366" s="798">
        <f t="shared" si="77"/>
        <v>0</v>
      </c>
      <c r="M366" s="798">
        <f t="shared" si="77"/>
        <v>0</v>
      </c>
      <c r="N366" s="798">
        <f t="shared" si="77"/>
        <v>0</v>
      </c>
      <c r="O366" s="798">
        <f t="shared" si="77"/>
        <v>0</v>
      </c>
      <c r="P366" s="798">
        <f t="shared" si="77"/>
        <v>0</v>
      </c>
      <c r="Q366" s="798"/>
    </row>
    <row r="367" spans="1:17" ht="12.75" customHeight="1" x14ac:dyDescent="0.3">
      <c r="A367" s="782"/>
      <c r="B367" s="782" t="s">
        <v>207</v>
      </c>
      <c r="C367" s="798">
        <f>SUM(E367:P367)</f>
        <v>1644861.2200535045</v>
      </c>
      <c r="D367" s="782"/>
      <c r="E367" s="798">
        <f>-E159*IF(E4&gt;'Venture Assumptions'!$F$8,0,1)</f>
        <v>0</v>
      </c>
      <c r="F367" s="798">
        <f>-F159*IF(F4&gt;'Venture Assumptions'!$F$8,0,1)</f>
        <v>0</v>
      </c>
      <c r="G367" s="798">
        <f>-G159*IF(G4&gt;'Venture Assumptions'!$F$8,0,1)</f>
        <v>113622.23805120389</v>
      </c>
      <c r="H367" s="798">
        <f>-H159*IF(H4&gt;'Venture Assumptions'!$F$8,0,1)</f>
        <v>222689.44187674343</v>
      </c>
      <c r="I367" s="798">
        <f>-I159*IF(I4&gt;'Venture Assumptions'!$F$8,0,1)</f>
        <v>242177.64559289196</v>
      </c>
      <c r="J367" s="798">
        <f>-J159*IF(J4&gt;'Venture Assumptions'!$F$8,0,1)</f>
        <v>251370.94042002337</v>
      </c>
      <c r="K367" s="798">
        <f>-K159*IF(K4&gt;'Venture Assumptions'!$F$8,0,1)</f>
        <v>260951.7756433273</v>
      </c>
      <c r="L367" s="798">
        <f>-L159*IF(L4&gt;'Venture Assumptions'!$F$8,0,1)</f>
        <v>271520.97053356882</v>
      </c>
      <c r="M367" s="798">
        <f>-M159*IF(M4&gt;'Venture Assumptions'!$F$8,0,1)</f>
        <v>282528.2079357456</v>
      </c>
      <c r="N367" s="798">
        <f>-N159*IF(N4&gt;'Venture Assumptions'!$F$8,0,1)</f>
        <v>0</v>
      </c>
      <c r="O367" s="798">
        <f>-O159*IF(O4&gt;'Venture Assumptions'!$F$8,0,1)</f>
        <v>0</v>
      </c>
      <c r="P367" s="798">
        <f>-P159*IF(P4&gt;'Venture Assumptions'!$F$8,0,1)</f>
        <v>0</v>
      </c>
      <c r="Q367" s="798"/>
    </row>
    <row r="368" spans="1:17" ht="12.75" customHeight="1" x14ac:dyDescent="0.3">
      <c r="A368" s="782"/>
      <c r="B368" s="782" t="s">
        <v>208</v>
      </c>
      <c r="C368" s="798">
        <f>SUM(E368:P368)</f>
        <v>3022291.0014259894</v>
      </c>
      <c r="D368" s="782"/>
      <c r="E368" s="798">
        <f>-E32</f>
        <v>0</v>
      </c>
      <c r="F368" s="798">
        <f t="shared" ref="F368:P368" si="78">-F32</f>
        <v>92831.732407094911</v>
      </c>
      <c r="G368" s="798">
        <f t="shared" si="78"/>
        <v>244743.29851944721</v>
      </c>
      <c r="H368" s="798">
        <f t="shared" si="78"/>
        <v>340469.92755794059</v>
      </c>
      <c r="I368" s="798">
        <f t="shared" si="78"/>
        <v>431614.7937272226</v>
      </c>
      <c r="J368" s="798">
        <f t="shared" si="78"/>
        <v>448348.07265455829</v>
      </c>
      <c r="K368" s="798">
        <f t="shared" si="78"/>
        <v>467410.11787337146</v>
      </c>
      <c r="L368" s="798">
        <f t="shared" si="78"/>
        <v>487802.33196967375</v>
      </c>
      <c r="M368" s="798">
        <f t="shared" si="78"/>
        <v>509070.72671668057</v>
      </c>
      <c r="N368" s="798">
        <f t="shared" si="78"/>
        <v>0</v>
      </c>
      <c r="O368" s="798">
        <f t="shared" si="78"/>
        <v>0</v>
      </c>
      <c r="P368" s="798">
        <f t="shared" si="78"/>
        <v>0</v>
      </c>
      <c r="Q368" s="798"/>
    </row>
    <row r="369" spans="1:17" ht="12.75" customHeight="1" x14ac:dyDescent="0.3">
      <c r="A369" s="782"/>
      <c r="B369" s="837" t="s">
        <v>209</v>
      </c>
      <c r="C369" s="822">
        <f>SUM(E369:O369)</f>
        <v>7325214.6961786663</v>
      </c>
      <c r="D369" s="821"/>
      <c r="E369" s="822">
        <f>SUM(E366:E368)</f>
        <v>0</v>
      </c>
      <c r="F369" s="822">
        <f t="shared" ref="F369:P369" si="79">SUM(F366:F368)</f>
        <v>1368701.7202626977</v>
      </c>
      <c r="G369" s="822">
        <f t="shared" si="79"/>
        <v>1634235.5244262537</v>
      </c>
      <c r="H369" s="822">
        <f t="shared" si="79"/>
        <v>669481.86842265096</v>
      </c>
      <c r="I369" s="822">
        <f t="shared" si="79"/>
        <v>673792.43932011456</v>
      </c>
      <c r="J369" s="822">
        <f t="shared" si="79"/>
        <v>699719.01307458163</v>
      </c>
      <c r="K369" s="822">
        <f t="shared" si="79"/>
        <v>728361.89351669874</v>
      </c>
      <c r="L369" s="822">
        <f t="shared" si="79"/>
        <v>759323.30250324262</v>
      </c>
      <c r="M369" s="822">
        <f t="shared" si="79"/>
        <v>791598.93465242616</v>
      </c>
      <c r="N369" s="822">
        <f t="shared" si="79"/>
        <v>0</v>
      </c>
      <c r="O369" s="822">
        <f t="shared" si="79"/>
        <v>0</v>
      </c>
      <c r="P369" s="822">
        <f t="shared" si="79"/>
        <v>0</v>
      </c>
      <c r="Q369" s="798"/>
    </row>
    <row r="370" spans="1:17" ht="12.75" customHeight="1" x14ac:dyDescent="0.3">
      <c r="A370" s="782"/>
      <c r="B370" s="782"/>
      <c r="C370" s="798"/>
      <c r="D370" s="782"/>
      <c r="E370" s="798"/>
      <c r="F370" s="798"/>
      <c r="G370" s="798"/>
      <c r="H370" s="798"/>
      <c r="I370" s="798"/>
      <c r="J370" s="798"/>
      <c r="K370" s="798"/>
      <c r="L370" s="798"/>
      <c r="M370" s="798"/>
      <c r="N370" s="798"/>
      <c r="O370" s="798"/>
      <c r="P370" s="798"/>
      <c r="Q370" s="798"/>
    </row>
    <row r="371" spans="1:17" ht="12.75" customHeight="1" x14ac:dyDescent="0.3">
      <c r="A371" s="782"/>
      <c r="B371" s="782" t="s">
        <v>210</v>
      </c>
      <c r="C371" s="798">
        <f>SUM(E371:O371)</f>
        <v>19930088.564773574</v>
      </c>
      <c r="D371" s="782"/>
      <c r="E371" s="798">
        <f>E369+E359</f>
        <v>0</v>
      </c>
      <c r="F371" s="798">
        <f t="shared" ref="F371:P371" si="80">F369+F359</f>
        <v>1368701.7202626977</v>
      </c>
      <c r="G371" s="798">
        <f t="shared" si="80"/>
        <v>1634235.5244262537</v>
      </c>
      <c r="H371" s="798">
        <f t="shared" si="80"/>
        <v>7538208.6500888169</v>
      </c>
      <c r="I371" s="798">
        <f t="shared" si="80"/>
        <v>673792.43932011456</v>
      </c>
      <c r="J371" s="798">
        <f t="shared" si="80"/>
        <v>699719.01307458163</v>
      </c>
      <c r="K371" s="798">
        <f t="shared" si="80"/>
        <v>728361.89351669874</v>
      </c>
      <c r="L371" s="798">
        <f t="shared" si="80"/>
        <v>759323.30250324262</v>
      </c>
      <c r="M371" s="798">
        <f t="shared" si="80"/>
        <v>6527746.0215811655</v>
      </c>
      <c r="N371" s="798">
        <f t="shared" si="80"/>
        <v>0</v>
      </c>
      <c r="O371" s="798">
        <f t="shared" si="80"/>
        <v>0</v>
      </c>
      <c r="P371" s="798">
        <f t="shared" si="80"/>
        <v>0</v>
      </c>
      <c r="Q371" s="798"/>
    </row>
    <row r="372" spans="1:17" ht="12.75" customHeight="1" x14ac:dyDescent="0.3">
      <c r="A372" s="782"/>
      <c r="B372" s="782"/>
      <c r="C372" s="798"/>
      <c r="D372" s="782"/>
      <c r="E372" s="798"/>
      <c r="F372" s="798"/>
      <c r="G372" s="798"/>
      <c r="H372" s="798"/>
      <c r="I372" s="798"/>
      <c r="J372" s="798"/>
      <c r="K372" s="798"/>
      <c r="L372" s="798"/>
      <c r="M372" s="798"/>
      <c r="N372" s="798"/>
      <c r="O372" s="798"/>
      <c r="P372" s="798"/>
      <c r="Q372" s="798"/>
    </row>
    <row r="373" spans="1:17" ht="12.75" customHeight="1" x14ac:dyDescent="0.3">
      <c r="A373" s="782"/>
      <c r="B373" s="796" t="s">
        <v>211</v>
      </c>
      <c r="C373" s="798"/>
      <c r="D373" s="782"/>
      <c r="E373" s="798"/>
      <c r="F373" s="798"/>
      <c r="G373" s="798"/>
      <c r="H373" s="798"/>
      <c r="I373" s="798"/>
      <c r="J373" s="798"/>
      <c r="K373" s="798"/>
      <c r="L373" s="798"/>
      <c r="M373" s="798"/>
      <c r="N373" s="798"/>
      <c r="O373" s="798"/>
      <c r="P373" s="798"/>
      <c r="Q373" s="798"/>
    </row>
    <row r="374" spans="1:17" ht="12.75" customHeight="1" x14ac:dyDescent="0.3">
      <c r="A374" s="782"/>
      <c r="B374" s="782"/>
      <c r="C374" s="798"/>
      <c r="D374" s="782"/>
      <c r="E374" s="798"/>
      <c r="F374" s="798"/>
      <c r="G374" s="798"/>
      <c r="H374" s="798"/>
      <c r="I374" s="798"/>
      <c r="J374" s="798"/>
      <c r="K374" s="798"/>
      <c r="L374" s="798"/>
      <c r="M374" s="798"/>
      <c r="N374" s="798"/>
      <c r="O374" s="798"/>
      <c r="P374" s="798"/>
      <c r="Q374" s="798"/>
    </row>
    <row r="375" spans="1:17" ht="12.75" customHeight="1" x14ac:dyDescent="0.3">
      <c r="A375" s="782"/>
      <c r="B375" s="487" t="s">
        <v>212</v>
      </c>
      <c r="C375" s="838">
        <f>SUM(E375:O375)</f>
        <v>42085104.664852917</v>
      </c>
      <c r="D375" s="782"/>
      <c r="E375" s="798">
        <f>E352</f>
        <v>-1459520.0769018831</v>
      </c>
      <c r="F375" s="798">
        <f t="shared" ref="F375:P375" si="81">F352</f>
        <v>-25085394.458232339</v>
      </c>
      <c r="G375" s="798">
        <f t="shared" si="81"/>
        <v>-225773.33226322511</v>
      </c>
      <c r="H375" s="798">
        <f t="shared" si="81"/>
        <v>7560149.4516893504</v>
      </c>
      <c r="I375" s="798">
        <f t="shared" si="81"/>
        <v>1975673.2446627095</v>
      </c>
      <c r="J375" s="798">
        <f t="shared" si="81"/>
        <v>2104904.8516766741</v>
      </c>
      <c r="K375" s="798">
        <f t="shared" si="81"/>
        <v>2238672.2751312652</v>
      </c>
      <c r="L375" s="798">
        <f t="shared" si="81"/>
        <v>2400501.0072274217</v>
      </c>
      <c r="M375" s="798">
        <f t="shared" si="81"/>
        <v>52575891.701862946</v>
      </c>
      <c r="N375" s="798">
        <f t="shared" si="81"/>
        <v>0</v>
      </c>
      <c r="O375" s="798">
        <f t="shared" si="81"/>
        <v>0</v>
      </c>
      <c r="P375" s="798">
        <f t="shared" si="81"/>
        <v>0</v>
      </c>
      <c r="Q375" s="798"/>
    </row>
    <row r="376" spans="1:17" ht="12.75" customHeight="1" x14ac:dyDescent="0.3">
      <c r="A376" s="782"/>
      <c r="B376" s="487" t="s">
        <v>210</v>
      </c>
      <c r="C376" s="838">
        <f>SUM(E376:O376)</f>
        <v>19930088.564773574</v>
      </c>
      <c r="D376" s="782"/>
      <c r="E376" s="798">
        <f>E371</f>
        <v>0</v>
      </c>
      <c r="F376" s="798">
        <f t="shared" ref="F376:P376" si="82">F371</f>
        <v>1368701.7202626977</v>
      </c>
      <c r="G376" s="798">
        <f t="shared" si="82"/>
        <v>1634235.5244262537</v>
      </c>
      <c r="H376" s="798">
        <f t="shared" si="82"/>
        <v>7538208.6500888169</v>
      </c>
      <c r="I376" s="798">
        <f t="shared" si="82"/>
        <v>673792.43932011456</v>
      </c>
      <c r="J376" s="798">
        <f t="shared" si="82"/>
        <v>699719.01307458163</v>
      </c>
      <c r="K376" s="798">
        <f t="shared" si="82"/>
        <v>728361.89351669874</v>
      </c>
      <c r="L376" s="798">
        <f t="shared" si="82"/>
        <v>759323.30250324262</v>
      </c>
      <c r="M376" s="798">
        <f t="shared" si="82"/>
        <v>6527746.0215811655</v>
      </c>
      <c r="N376" s="798">
        <f t="shared" si="82"/>
        <v>0</v>
      </c>
      <c r="O376" s="798">
        <f t="shared" si="82"/>
        <v>0</v>
      </c>
      <c r="P376" s="798">
        <f t="shared" si="82"/>
        <v>0</v>
      </c>
      <c r="Q376" s="798"/>
    </row>
    <row r="377" spans="1:17" ht="12.75" customHeight="1" x14ac:dyDescent="0.3">
      <c r="A377" s="782"/>
      <c r="B377" s="839" t="s">
        <v>213</v>
      </c>
      <c r="C377" s="840">
        <f>SUM(E377:O377)</f>
        <v>62015193.229626492</v>
      </c>
      <c r="D377" s="821"/>
      <c r="E377" s="822">
        <f>SUM(E375:E376)</f>
        <v>-1459520.0769018831</v>
      </c>
      <c r="F377" s="822">
        <f t="shared" ref="F377:P377" si="83">SUM(F375:F376)</f>
        <v>-23716692.737969641</v>
      </c>
      <c r="G377" s="822">
        <f t="shared" si="83"/>
        <v>1408462.1921630288</v>
      </c>
      <c r="H377" s="822">
        <f t="shared" si="83"/>
        <v>15098358.101778168</v>
      </c>
      <c r="I377" s="822">
        <f t="shared" si="83"/>
        <v>2649465.683982824</v>
      </c>
      <c r="J377" s="822">
        <f t="shared" si="83"/>
        <v>2804623.8647512556</v>
      </c>
      <c r="K377" s="822">
        <f t="shared" si="83"/>
        <v>2967034.168647964</v>
      </c>
      <c r="L377" s="822">
        <f t="shared" si="83"/>
        <v>3159824.3097306644</v>
      </c>
      <c r="M377" s="822">
        <f t="shared" si="83"/>
        <v>59103637.723444112</v>
      </c>
      <c r="N377" s="822">
        <f t="shared" si="83"/>
        <v>0</v>
      </c>
      <c r="O377" s="822">
        <f t="shared" si="83"/>
        <v>0</v>
      </c>
      <c r="P377" s="822">
        <f t="shared" si="83"/>
        <v>0</v>
      </c>
      <c r="Q377" s="798"/>
    </row>
    <row r="378" spans="1:17" ht="12.75" customHeight="1" x14ac:dyDescent="0.3">
      <c r="A378" s="782"/>
      <c r="B378" s="842" t="s">
        <v>214</v>
      </c>
      <c r="C378" s="843">
        <f>'Venture Summary - Mthly'!C383</f>
        <v>0.24556238055229185</v>
      </c>
      <c r="D378" s="782"/>
      <c r="E378" s="798"/>
      <c r="F378" s="798"/>
      <c r="G378" s="798"/>
      <c r="H378" s="798"/>
      <c r="I378" s="798"/>
      <c r="J378" s="798"/>
      <c r="K378" s="798"/>
      <c r="L378" s="798"/>
      <c r="M378" s="798"/>
      <c r="N378" s="798"/>
      <c r="O378" s="798"/>
      <c r="P378" s="798"/>
      <c r="Q378" s="798"/>
    </row>
    <row r="379" spans="1:17" ht="12.75" customHeight="1" x14ac:dyDescent="0.3">
      <c r="A379" s="782"/>
      <c r="B379" s="845" t="s">
        <v>204</v>
      </c>
      <c r="C379" s="846">
        <f>'Venture Summary - Mthly'!C384</f>
        <v>3.4432172837586199</v>
      </c>
      <c r="D379" s="782"/>
      <c r="E379" s="798"/>
      <c r="F379" s="798"/>
      <c r="G379" s="798"/>
      <c r="H379" s="798"/>
      <c r="I379" s="798"/>
      <c r="J379" s="798"/>
      <c r="K379" s="798"/>
      <c r="L379" s="798"/>
      <c r="M379" s="798"/>
      <c r="N379" s="798"/>
      <c r="O379" s="798"/>
      <c r="P379" s="798"/>
      <c r="Q379" s="798"/>
    </row>
    <row r="380" spans="1:17" ht="12.75" customHeight="1" x14ac:dyDescent="0.3">
      <c r="A380" s="782"/>
      <c r="B380" s="782"/>
      <c r="C380" s="798"/>
      <c r="D380" s="782"/>
      <c r="E380" s="798"/>
      <c r="F380" s="798"/>
      <c r="G380" s="798"/>
      <c r="H380" s="798"/>
      <c r="I380" s="798"/>
      <c r="J380" s="798"/>
      <c r="K380" s="798"/>
      <c r="L380" s="798"/>
      <c r="M380" s="798"/>
      <c r="N380" s="798"/>
      <c r="O380" s="798"/>
      <c r="P380" s="798"/>
      <c r="Q380" s="798"/>
    </row>
    <row r="381" spans="1:17" ht="12.75" customHeight="1" x14ac:dyDescent="0.3">
      <c r="A381" s="782"/>
      <c r="B381" s="782"/>
      <c r="C381" s="798"/>
      <c r="D381" s="782"/>
      <c r="E381" s="798"/>
      <c r="F381" s="798"/>
      <c r="G381" s="798"/>
      <c r="H381" s="798"/>
      <c r="I381" s="798"/>
      <c r="J381" s="798"/>
      <c r="K381" s="798"/>
      <c r="L381" s="798"/>
      <c r="M381" s="798"/>
      <c r="N381" s="798"/>
      <c r="O381" s="798"/>
      <c r="P381" s="798"/>
      <c r="Q381" s="798"/>
    </row>
    <row r="382" spans="1:17" ht="12.75" customHeight="1" x14ac:dyDescent="0.3">
      <c r="A382" s="782"/>
      <c r="B382" s="782"/>
      <c r="C382" s="798"/>
      <c r="D382" s="782"/>
      <c r="E382" s="798"/>
      <c r="F382" s="798"/>
      <c r="G382" s="798"/>
      <c r="H382" s="798"/>
      <c r="I382" s="798"/>
      <c r="J382" s="798"/>
      <c r="K382" s="798"/>
      <c r="L382" s="798"/>
      <c r="M382" s="798"/>
      <c r="N382" s="798"/>
      <c r="O382" s="798"/>
      <c r="P382" s="798"/>
      <c r="Q382" s="798"/>
    </row>
    <row r="383" spans="1:17" ht="12.75" customHeight="1" x14ac:dyDescent="0.3">
      <c r="A383" s="782"/>
      <c r="B383" s="782"/>
      <c r="C383" s="798"/>
      <c r="D383" s="782"/>
      <c r="E383" s="798"/>
      <c r="F383" s="798"/>
      <c r="G383" s="798"/>
      <c r="H383" s="798"/>
      <c r="I383" s="798"/>
      <c r="J383" s="798"/>
      <c r="K383" s="798"/>
      <c r="L383" s="798"/>
      <c r="M383" s="798"/>
      <c r="N383" s="798"/>
      <c r="O383" s="798"/>
      <c r="P383" s="798"/>
      <c r="Q383" s="798"/>
    </row>
    <row r="384" spans="1:17" ht="12.75" customHeight="1" x14ac:dyDescent="0.3">
      <c r="A384" s="782"/>
      <c r="B384" s="782"/>
      <c r="C384" s="798"/>
      <c r="D384" s="782"/>
      <c r="E384" s="798"/>
      <c r="F384" s="798"/>
      <c r="G384" s="798"/>
      <c r="H384" s="798"/>
      <c r="I384" s="798"/>
      <c r="J384" s="798"/>
      <c r="K384" s="798"/>
      <c r="L384" s="798"/>
      <c r="M384" s="798"/>
      <c r="N384" s="798"/>
      <c r="O384" s="798"/>
      <c r="P384" s="798"/>
      <c r="Q384" s="798"/>
    </row>
    <row r="385" spans="1:17" ht="12.75" customHeight="1" x14ac:dyDescent="0.3">
      <c r="A385" s="782"/>
      <c r="B385" s="782"/>
      <c r="C385" s="798"/>
      <c r="D385" s="782"/>
      <c r="E385" s="798"/>
      <c r="F385" s="798"/>
      <c r="G385" s="798"/>
      <c r="H385" s="798"/>
      <c r="I385" s="798"/>
      <c r="J385" s="798"/>
      <c r="K385" s="798"/>
      <c r="L385" s="798"/>
      <c r="M385" s="798"/>
      <c r="N385" s="798"/>
      <c r="O385" s="798"/>
      <c r="P385" s="798"/>
      <c r="Q385" s="798"/>
    </row>
    <row r="386" spans="1:17" ht="12.75" customHeight="1" x14ac:dyDescent="0.3">
      <c r="A386" s="782"/>
      <c r="B386" s="782"/>
      <c r="C386" s="798"/>
      <c r="D386" s="782"/>
      <c r="E386" s="798"/>
      <c r="F386" s="798"/>
      <c r="G386" s="798"/>
      <c r="H386" s="798"/>
      <c r="I386" s="798"/>
      <c r="J386" s="798"/>
      <c r="K386" s="798"/>
      <c r="L386" s="798"/>
      <c r="M386" s="798"/>
      <c r="N386" s="798"/>
      <c r="O386" s="798"/>
      <c r="P386" s="798"/>
      <c r="Q386" s="798"/>
    </row>
    <row r="387" spans="1:17" ht="12.75" customHeight="1" x14ac:dyDescent="0.3">
      <c r="A387" s="782"/>
      <c r="B387" s="782"/>
      <c r="C387" s="798"/>
      <c r="D387" s="782"/>
      <c r="E387" s="798"/>
      <c r="F387" s="798"/>
      <c r="G387" s="798"/>
      <c r="H387" s="798"/>
      <c r="I387" s="798"/>
      <c r="J387" s="798"/>
      <c r="K387" s="798"/>
      <c r="L387" s="798"/>
      <c r="M387" s="798"/>
      <c r="N387" s="798"/>
      <c r="O387" s="798"/>
      <c r="P387" s="798"/>
      <c r="Q387" s="798"/>
    </row>
    <row r="388" spans="1:17" ht="12.75" customHeight="1" x14ac:dyDescent="0.3">
      <c r="A388" s="782"/>
      <c r="B388" s="782"/>
      <c r="C388" s="798"/>
      <c r="D388" s="782"/>
      <c r="E388" s="798"/>
      <c r="F388" s="798"/>
      <c r="G388" s="798"/>
      <c r="H388" s="798"/>
      <c r="I388" s="798"/>
      <c r="J388" s="798"/>
      <c r="K388" s="798"/>
      <c r="L388" s="798"/>
      <c r="M388" s="798"/>
      <c r="N388" s="798"/>
      <c r="O388" s="798"/>
      <c r="P388" s="798"/>
      <c r="Q388" s="798"/>
    </row>
    <row r="389" spans="1:17" ht="12.75" customHeight="1" x14ac:dyDescent="0.3">
      <c r="A389" s="782"/>
      <c r="B389" s="782"/>
      <c r="C389" s="798"/>
      <c r="D389" s="782"/>
      <c r="E389" s="798"/>
      <c r="F389" s="798"/>
      <c r="G389" s="798"/>
      <c r="H389" s="798"/>
      <c r="I389" s="798"/>
      <c r="J389" s="798"/>
      <c r="K389" s="798"/>
      <c r="L389" s="798"/>
      <c r="M389" s="798"/>
      <c r="N389" s="798"/>
      <c r="O389" s="798"/>
      <c r="P389" s="798"/>
      <c r="Q389" s="798"/>
    </row>
    <row r="390" spans="1:17" ht="12.75" customHeight="1" x14ac:dyDescent="0.3">
      <c r="A390" s="782"/>
      <c r="B390" s="782"/>
      <c r="C390" s="798"/>
      <c r="D390" s="782"/>
      <c r="E390" s="798"/>
      <c r="F390" s="798"/>
      <c r="G390" s="798"/>
      <c r="H390" s="798"/>
      <c r="I390" s="798"/>
      <c r="J390" s="798"/>
      <c r="K390" s="798"/>
      <c r="L390" s="798"/>
      <c r="M390" s="798"/>
      <c r="N390" s="798"/>
      <c r="O390" s="798"/>
      <c r="P390" s="798"/>
      <c r="Q390" s="798"/>
    </row>
    <row r="391" spans="1:17" ht="12.75" customHeight="1" x14ac:dyDescent="0.3">
      <c r="A391" s="782"/>
      <c r="B391" s="782"/>
      <c r="C391" s="798"/>
      <c r="D391" s="782"/>
      <c r="E391" s="798"/>
      <c r="F391" s="798"/>
      <c r="G391" s="798"/>
      <c r="H391" s="798"/>
      <c r="I391" s="798"/>
      <c r="J391" s="798"/>
      <c r="K391" s="798"/>
      <c r="L391" s="798"/>
      <c r="M391" s="798"/>
      <c r="N391" s="798"/>
      <c r="O391" s="798"/>
      <c r="P391" s="798"/>
      <c r="Q391" s="798"/>
    </row>
    <row r="392" spans="1:17" ht="12.75" customHeight="1" x14ac:dyDescent="0.3">
      <c r="A392" s="782"/>
      <c r="B392" s="782"/>
      <c r="C392" s="798"/>
      <c r="D392" s="782"/>
      <c r="E392" s="798"/>
      <c r="F392" s="798"/>
      <c r="G392" s="798"/>
      <c r="H392" s="798"/>
      <c r="I392" s="798"/>
      <c r="J392" s="798"/>
      <c r="K392" s="798"/>
      <c r="L392" s="798"/>
      <c r="M392" s="798"/>
      <c r="N392" s="798"/>
      <c r="O392" s="798"/>
      <c r="P392" s="798"/>
      <c r="Q392" s="798"/>
    </row>
    <row r="393" spans="1:17" ht="12.75" customHeight="1" x14ac:dyDescent="0.3">
      <c r="A393" s="782"/>
      <c r="B393" s="782"/>
      <c r="C393" s="798"/>
      <c r="D393" s="782"/>
      <c r="E393" s="798"/>
      <c r="F393" s="798"/>
      <c r="G393" s="798"/>
      <c r="H393" s="798"/>
      <c r="I393" s="798"/>
      <c r="J393" s="798"/>
      <c r="K393" s="798"/>
      <c r="L393" s="798"/>
      <c r="M393" s="798"/>
      <c r="N393" s="798"/>
      <c r="O393" s="798"/>
      <c r="P393" s="798"/>
      <c r="Q393" s="798"/>
    </row>
    <row r="394" spans="1:17" ht="12.75" customHeight="1" x14ac:dyDescent="0.3">
      <c r="A394" s="782"/>
      <c r="B394" s="782"/>
      <c r="C394" s="798"/>
      <c r="D394" s="782"/>
      <c r="E394" s="798"/>
      <c r="F394" s="798"/>
      <c r="G394" s="798"/>
      <c r="H394" s="798"/>
      <c r="I394" s="798"/>
      <c r="J394" s="798"/>
      <c r="K394" s="798"/>
      <c r="L394" s="798"/>
      <c r="M394" s="798"/>
      <c r="N394" s="798"/>
      <c r="O394" s="798"/>
      <c r="P394" s="798"/>
      <c r="Q394" s="798"/>
    </row>
    <row r="395" spans="1:17" ht="12.75" customHeight="1" x14ac:dyDescent="0.3">
      <c r="A395" s="782"/>
      <c r="B395" s="782"/>
      <c r="C395" s="798"/>
      <c r="D395" s="782"/>
      <c r="E395" s="798"/>
      <c r="F395" s="798"/>
      <c r="G395" s="798"/>
      <c r="H395" s="798"/>
      <c r="I395" s="798"/>
      <c r="J395" s="798"/>
      <c r="K395" s="798"/>
      <c r="L395" s="798"/>
      <c r="M395" s="798"/>
      <c r="N395" s="798"/>
      <c r="O395" s="798"/>
      <c r="P395" s="798"/>
      <c r="Q395" s="798"/>
    </row>
    <row r="396" spans="1:17" ht="12.75" customHeight="1" x14ac:dyDescent="0.3">
      <c r="A396" s="782"/>
      <c r="B396" s="782"/>
      <c r="C396" s="798"/>
      <c r="D396" s="782"/>
      <c r="E396" s="798"/>
      <c r="F396" s="798"/>
      <c r="G396" s="798"/>
      <c r="H396" s="798"/>
      <c r="I396" s="798"/>
      <c r="J396" s="798"/>
      <c r="K396" s="798"/>
      <c r="L396" s="798"/>
      <c r="M396" s="798"/>
      <c r="N396" s="798"/>
      <c r="O396" s="798"/>
      <c r="P396" s="798"/>
      <c r="Q396" s="798"/>
    </row>
    <row r="397" spans="1:17" ht="12.75" customHeight="1" x14ac:dyDescent="0.3">
      <c r="A397" s="782"/>
      <c r="B397" s="782"/>
      <c r="C397" s="798"/>
      <c r="D397" s="782"/>
      <c r="E397" s="798"/>
      <c r="F397" s="798"/>
      <c r="G397" s="798"/>
      <c r="H397" s="798"/>
      <c r="I397" s="798"/>
      <c r="J397" s="798"/>
      <c r="K397" s="798"/>
      <c r="L397" s="798"/>
      <c r="M397" s="798"/>
      <c r="N397" s="798"/>
      <c r="O397" s="798"/>
      <c r="P397" s="798"/>
      <c r="Q397" s="798"/>
    </row>
    <row r="398" spans="1:17" ht="12.75" customHeight="1" x14ac:dyDescent="0.3">
      <c r="A398" s="782"/>
      <c r="B398" s="782"/>
      <c r="C398" s="798"/>
      <c r="D398" s="782"/>
      <c r="E398" s="798"/>
      <c r="F398" s="798"/>
      <c r="G398" s="798"/>
      <c r="H398" s="798"/>
      <c r="I398" s="798"/>
      <c r="J398" s="798"/>
      <c r="K398" s="798"/>
      <c r="L398" s="798"/>
      <c r="M398" s="798"/>
      <c r="N398" s="798"/>
      <c r="O398" s="798"/>
      <c r="P398" s="798"/>
      <c r="Q398" s="798"/>
    </row>
    <row r="399" spans="1:17" ht="12.75" customHeight="1" x14ac:dyDescent="0.3">
      <c r="A399" s="782"/>
      <c r="B399" s="782"/>
      <c r="C399" s="798"/>
      <c r="D399" s="782"/>
      <c r="E399" s="798"/>
      <c r="F399" s="798"/>
      <c r="G399" s="798"/>
      <c r="H399" s="798"/>
      <c r="I399" s="798"/>
      <c r="J399" s="798"/>
      <c r="K399" s="798"/>
      <c r="L399" s="798"/>
      <c r="M399" s="798"/>
      <c r="N399" s="798"/>
      <c r="O399" s="798"/>
      <c r="P399" s="798"/>
      <c r="Q399" s="798"/>
    </row>
    <row r="400" spans="1:17" ht="12.75" customHeight="1" x14ac:dyDescent="0.3">
      <c r="A400" s="782"/>
      <c r="B400" s="782"/>
      <c r="C400" s="798"/>
      <c r="D400" s="782"/>
      <c r="E400" s="798"/>
      <c r="F400" s="798"/>
      <c r="G400" s="798"/>
      <c r="H400" s="798"/>
      <c r="I400" s="798"/>
      <c r="J400" s="798"/>
      <c r="K400" s="798"/>
      <c r="L400" s="798"/>
      <c r="M400" s="798"/>
      <c r="N400" s="798"/>
      <c r="O400" s="798"/>
      <c r="P400" s="798"/>
      <c r="Q400" s="798"/>
    </row>
    <row r="401" spans="1:17" ht="12.75" customHeight="1" x14ac:dyDescent="0.3">
      <c r="A401" s="782"/>
      <c r="B401" s="782"/>
      <c r="C401" s="798"/>
      <c r="D401" s="782"/>
      <c r="E401" s="798"/>
      <c r="F401" s="798"/>
      <c r="G401" s="798"/>
      <c r="H401" s="798"/>
      <c r="I401" s="798"/>
      <c r="J401" s="798"/>
      <c r="K401" s="798"/>
      <c r="L401" s="798"/>
      <c r="M401" s="798"/>
      <c r="N401" s="798"/>
      <c r="O401" s="798"/>
      <c r="P401" s="798"/>
      <c r="Q401" s="798"/>
    </row>
    <row r="402" spans="1:17" ht="12.75" customHeight="1" x14ac:dyDescent="0.3">
      <c r="A402" s="782"/>
      <c r="B402" s="782"/>
      <c r="C402" s="798"/>
      <c r="D402" s="782"/>
      <c r="E402" s="798"/>
      <c r="F402" s="798"/>
      <c r="G402" s="798"/>
      <c r="H402" s="798"/>
      <c r="I402" s="798"/>
      <c r="J402" s="798"/>
      <c r="K402" s="798"/>
      <c r="L402" s="798"/>
      <c r="M402" s="798"/>
      <c r="N402" s="798"/>
      <c r="O402" s="798"/>
      <c r="P402" s="798"/>
      <c r="Q402" s="798"/>
    </row>
    <row r="403" spans="1:17" ht="12.75" customHeight="1" x14ac:dyDescent="0.3">
      <c r="A403" s="782"/>
      <c r="B403" s="782"/>
      <c r="C403" s="798"/>
      <c r="D403" s="782"/>
      <c r="E403" s="798"/>
      <c r="F403" s="798"/>
      <c r="G403" s="798"/>
      <c r="H403" s="798"/>
      <c r="I403" s="798"/>
      <c r="J403" s="798"/>
      <c r="K403" s="798"/>
      <c r="L403" s="798"/>
      <c r="M403" s="798"/>
      <c r="N403" s="798"/>
      <c r="O403" s="798"/>
      <c r="P403" s="798"/>
      <c r="Q403" s="798"/>
    </row>
    <row r="404" spans="1:17" ht="12.75" customHeight="1" x14ac:dyDescent="0.3">
      <c r="A404" s="782"/>
      <c r="B404" s="782"/>
      <c r="C404" s="798"/>
      <c r="D404" s="782"/>
      <c r="E404" s="798"/>
      <c r="F404" s="798"/>
      <c r="G404" s="798"/>
      <c r="H404" s="798"/>
      <c r="I404" s="798"/>
      <c r="J404" s="798"/>
      <c r="K404" s="798"/>
      <c r="L404" s="798"/>
      <c r="M404" s="798"/>
      <c r="N404" s="798"/>
      <c r="O404" s="798"/>
      <c r="P404" s="798"/>
      <c r="Q404" s="798"/>
    </row>
    <row r="405" spans="1:17" ht="12.75" customHeight="1" x14ac:dyDescent="0.3">
      <c r="A405" s="782"/>
      <c r="B405" s="782"/>
      <c r="C405" s="798"/>
      <c r="D405" s="782"/>
      <c r="E405" s="798"/>
      <c r="F405" s="798"/>
      <c r="G405" s="798"/>
      <c r="H405" s="798"/>
      <c r="I405" s="798"/>
      <c r="J405" s="798"/>
      <c r="K405" s="798"/>
      <c r="L405" s="798"/>
      <c r="M405" s="798"/>
      <c r="N405" s="798"/>
      <c r="O405" s="798"/>
      <c r="P405" s="798"/>
      <c r="Q405" s="798"/>
    </row>
    <row r="406" spans="1:17" ht="12.75" customHeight="1" x14ac:dyDescent="0.3">
      <c r="A406" s="782"/>
      <c r="B406" s="782"/>
      <c r="C406" s="798"/>
      <c r="D406" s="782"/>
      <c r="E406" s="798"/>
      <c r="F406" s="798"/>
      <c r="G406" s="798"/>
      <c r="H406" s="798"/>
      <c r="I406" s="798"/>
      <c r="J406" s="798"/>
      <c r="K406" s="798"/>
      <c r="L406" s="798"/>
      <c r="M406" s="798"/>
      <c r="N406" s="798"/>
      <c r="O406" s="798"/>
      <c r="P406" s="798"/>
      <c r="Q406" s="798"/>
    </row>
    <row r="407" spans="1:17" ht="12.75" customHeight="1" x14ac:dyDescent="0.3">
      <c r="A407" s="782"/>
      <c r="B407" s="782"/>
      <c r="C407" s="798"/>
      <c r="D407" s="782"/>
      <c r="E407" s="798"/>
      <c r="F407" s="798"/>
      <c r="G407" s="798"/>
      <c r="H407" s="798"/>
      <c r="I407" s="798"/>
      <c r="J407" s="798"/>
      <c r="K407" s="798"/>
      <c r="L407" s="798"/>
      <c r="M407" s="798"/>
      <c r="N407" s="798"/>
      <c r="O407" s="798"/>
      <c r="P407" s="798"/>
      <c r="Q407" s="798"/>
    </row>
    <row r="408" spans="1:17" ht="12.75" customHeight="1" x14ac:dyDescent="0.3">
      <c r="A408" s="782"/>
      <c r="B408" s="782"/>
      <c r="C408" s="798"/>
      <c r="D408" s="782"/>
      <c r="E408" s="798"/>
      <c r="F408" s="798"/>
      <c r="G408" s="798"/>
      <c r="H408" s="798"/>
      <c r="I408" s="798"/>
      <c r="J408" s="798"/>
      <c r="K408" s="798"/>
      <c r="L408" s="798"/>
      <c r="M408" s="798"/>
      <c r="N408" s="798"/>
      <c r="O408" s="798"/>
      <c r="P408" s="798"/>
      <c r="Q408" s="798"/>
    </row>
    <row r="409" spans="1:17" ht="12.75" customHeight="1" x14ac:dyDescent="0.3">
      <c r="A409" s="782"/>
      <c r="B409" s="782"/>
      <c r="C409" s="798"/>
      <c r="D409" s="782"/>
      <c r="E409" s="798"/>
      <c r="F409" s="798"/>
      <c r="G409" s="798"/>
      <c r="H409" s="798"/>
      <c r="I409" s="798"/>
      <c r="J409" s="798"/>
      <c r="K409" s="798"/>
      <c r="L409" s="798"/>
      <c r="M409" s="798"/>
      <c r="N409" s="798"/>
      <c r="O409" s="798"/>
      <c r="P409" s="798"/>
      <c r="Q409" s="798"/>
    </row>
    <row r="410" spans="1:17" ht="12.75" customHeight="1" x14ac:dyDescent="0.3">
      <c r="A410" s="782"/>
      <c r="B410" s="782"/>
      <c r="C410" s="798"/>
      <c r="D410" s="782"/>
      <c r="E410" s="798"/>
      <c r="F410" s="798"/>
      <c r="G410" s="798"/>
      <c r="H410" s="798"/>
      <c r="I410" s="798"/>
      <c r="J410" s="798"/>
      <c r="K410" s="798"/>
      <c r="L410" s="798"/>
      <c r="M410" s="798"/>
      <c r="N410" s="798"/>
      <c r="O410" s="798"/>
      <c r="P410" s="798"/>
      <c r="Q410" s="798"/>
    </row>
    <row r="411" spans="1:17" ht="12.75" customHeight="1" x14ac:dyDescent="0.3">
      <c r="A411" s="782"/>
      <c r="B411" s="782"/>
      <c r="C411" s="798"/>
      <c r="D411" s="782"/>
      <c r="E411" s="798"/>
      <c r="F411" s="798"/>
      <c r="G411" s="798"/>
      <c r="H411" s="798"/>
      <c r="I411" s="798"/>
      <c r="J411" s="798"/>
      <c r="K411" s="798"/>
      <c r="L411" s="798"/>
      <c r="M411" s="798"/>
      <c r="N411" s="798"/>
      <c r="O411" s="798"/>
      <c r="P411" s="798"/>
      <c r="Q411" s="798"/>
    </row>
    <row r="412" spans="1:17" ht="12.75" customHeight="1" x14ac:dyDescent="0.3">
      <c r="A412" s="782"/>
      <c r="B412" s="782"/>
      <c r="C412" s="798"/>
      <c r="D412" s="782"/>
      <c r="E412" s="798"/>
      <c r="F412" s="798"/>
      <c r="G412" s="798"/>
      <c r="H412" s="798"/>
      <c r="I412" s="798"/>
      <c r="J412" s="798"/>
      <c r="K412" s="798"/>
      <c r="L412" s="798"/>
      <c r="M412" s="798"/>
      <c r="N412" s="798"/>
      <c r="O412" s="798"/>
      <c r="P412" s="798"/>
      <c r="Q412" s="798"/>
    </row>
    <row r="413" spans="1:17" ht="12.75" customHeight="1" x14ac:dyDescent="0.3">
      <c r="A413" s="782"/>
      <c r="B413" s="782"/>
      <c r="C413" s="798"/>
      <c r="D413" s="782"/>
      <c r="E413" s="798"/>
      <c r="F413" s="798"/>
      <c r="G413" s="798"/>
      <c r="H413" s="798"/>
      <c r="I413" s="798"/>
      <c r="J413" s="798"/>
      <c r="K413" s="798"/>
      <c r="L413" s="798"/>
      <c r="M413" s="798"/>
      <c r="N413" s="798"/>
      <c r="O413" s="798"/>
      <c r="P413" s="798"/>
      <c r="Q413" s="798"/>
    </row>
    <row r="414" spans="1:17" ht="12.75" customHeight="1" x14ac:dyDescent="0.3">
      <c r="A414" s="782"/>
      <c r="B414" s="782"/>
      <c r="C414" s="798"/>
      <c r="D414" s="782"/>
      <c r="E414" s="798"/>
      <c r="F414" s="798"/>
      <c r="G414" s="798"/>
      <c r="H414" s="798"/>
      <c r="I414" s="798"/>
      <c r="J414" s="798"/>
      <c r="K414" s="798"/>
      <c r="L414" s="798"/>
      <c r="M414" s="798"/>
      <c r="N414" s="798"/>
      <c r="O414" s="798"/>
      <c r="P414" s="798"/>
      <c r="Q414" s="798"/>
    </row>
    <row r="415" spans="1:17" ht="12.75" customHeight="1" x14ac:dyDescent="0.3">
      <c r="A415" s="782"/>
      <c r="B415" s="782"/>
      <c r="C415" s="798"/>
      <c r="D415" s="782"/>
      <c r="E415" s="798"/>
      <c r="F415" s="798"/>
      <c r="G415" s="798"/>
      <c r="H415" s="798"/>
      <c r="I415" s="798"/>
      <c r="J415" s="798"/>
      <c r="K415" s="798"/>
      <c r="L415" s="798"/>
      <c r="M415" s="798"/>
      <c r="N415" s="798"/>
      <c r="O415" s="798"/>
      <c r="P415" s="798"/>
      <c r="Q415" s="798"/>
    </row>
    <row r="416" spans="1:17" ht="12.75" customHeight="1" x14ac:dyDescent="0.3">
      <c r="A416" s="782"/>
      <c r="B416" s="782"/>
      <c r="C416" s="798"/>
      <c r="D416" s="782"/>
      <c r="E416" s="798"/>
      <c r="F416" s="798"/>
      <c r="G416" s="798"/>
      <c r="H416" s="798"/>
      <c r="I416" s="798"/>
      <c r="J416" s="798"/>
      <c r="K416" s="798"/>
      <c r="L416" s="798"/>
      <c r="M416" s="798"/>
      <c r="N416" s="798"/>
      <c r="O416" s="798"/>
      <c r="P416" s="798"/>
      <c r="Q416" s="798"/>
    </row>
    <row r="417" spans="1:17" ht="12.75" customHeight="1" x14ac:dyDescent="0.3">
      <c r="A417" s="782"/>
      <c r="B417" s="782"/>
      <c r="C417" s="798"/>
      <c r="D417" s="782"/>
      <c r="E417" s="798"/>
      <c r="F417" s="798"/>
      <c r="G417" s="798"/>
      <c r="H417" s="798"/>
      <c r="I417" s="798"/>
      <c r="J417" s="798"/>
      <c r="K417" s="798"/>
      <c r="L417" s="798"/>
      <c r="M417" s="798"/>
      <c r="N417" s="798"/>
      <c r="O417" s="798"/>
      <c r="P417" s="798"/>
      <c r="Q417" s="798"/>
    </row>
    <row r="418" spans="1:17" ht="12.75" customHeight="1" x14ac:dyDescent="0.3">
      <c r="A418" s="782"/>
      <c r="B418" s="782"/>
      <c r="C418" s="798"/>
      <c r="D418" s="782"/>
      <c r="E418" s="798"/>
      <c r="F418" s="798"/>
      <c r="G418" s="798"/>
      <c r="H418" s="798"/>
      <c r="I418" s="798"/>
      <c r="J418" s="798"/>
      <c r="K418" s="798"/>
      <c r="L418" s="798"/>
      <c r="M418" s="798"/>
      <c r="N418" s="798"/>
      <c r="O418" s="798"/>
      <c r="P418" s="798"/>
      <c r="Q418" s="798"/>
    </row>
    <row r="419" spans="1:17" ht="12.75" customHeight="1" x14ac:dyDescent="0.3">
      <c r="A419" s="782"/>
      <c r="B419" s="782"/>
      <c r="C419" s="798"/>
      <c r="D419" s="782"/>
      <c r="E419" s="798"/>
      <c r="F419" s="798"/>
      <c r="G419" s="798"/>
      <c r="H419" s="798"/>
      <c r="I419" s="798"/>
      <c r="J419" s="798"/>
      <c r="K419" s="798"/>
      <c r="L419" s="798"/>
      <c r="M419" s="798"/>
      <c r="N419" s="798"/>
      <c r="O419" s="798"/>
      <c r="P419" s="798"/>
      <c r="Q419" s="798"/>
    </row>
    <row r="420" spans="1:17" ht="12.75" customHeight="1" x14ac:dyDescent="0.3">
      <c r="A420" s="782"/>
      <c r="B420" s="782"/>
      <c r="C420" s="798"/>
      <c r="D420" s="782"/>
      <c r="E420" s="798"/>
      <c r="F420" s="798"/>
      <c r="G420" s="798"/>
      <c r="H420" s="798"/>
      <c r="I420" s="798"/>
      <c r="J420" s="798"/>
      <c r="K420" s="798"/>
      <c r="L420" s="798"/>
      <c r="M420" s="798"/>
      <c r="N420" s="798"/>
      <c r="O420" s="798"/>
      <c r="P420" s="798"/>
      <c r="Q420" s="798"/>
    </row>
    <row r="421" spans="1:17" ht="12.75" customHeight="1" x14ac:dyDescent="0.3">
      <c r="A421" s="782"/>
      <c r="B421" s="782"/>
      <c r="C421" s="798"/>
      <c r="D421" s="782"/>
      <c r="E421" s="798"/>
      <c r="F421" s="798"/>
      <c r="G421" s="798"/>
      <c r="H421" s="798"/>
      <c r="I421" s="798"/>
      <c r="J421" s="798"/>
      <c r="K421" s="798"/>
      <c r="L421" s="798"/>
      <c r="M421" s="798"/>
      <c r="N421" s="798"/>
      <c r="O421" s="798"/>
      <c r="P421" s="798"/>
      <c r="Q421" s="798"/>
    </row>
    <row r="422" spans="1:17" ht="12.75" customHeight="1" x14ac:dyDescent="0.3">
      <c r="A422" s="782"/>
      <c r="B422" s="782"/>
      <c r="C422" s="798"/>
      <c r="D422" s="782"/>
      <c r="E422" s="798"/>
      <c r="F422" s="798"/>
      <c r="G422" s="798"/>
      <c r="H422" s="798"/>
      <c r="I422" s="798"/>
      <c r="J422" s="798"/>
      <c r="K422" s="798"/>
      <c r="L422" s="798"/>
      <c r="M422" s="798"/>
      <c r="N422" s="798"/>
      <c r="O422" s="798"/>
      <c r="P422" s="798"/>
      <c r="Q422" s="798"/>
    </row>
    <row r="423" spans="1:17" ht="12.75" customHeight="1" x14ac:dyDescent="0.3">
      <c r="A423" s="782"/>
      <c r="B423" s="782"/>
      <c r="C423" s="798"/>
      <c r="D423" s="782"/>
      <c r="E423" s="798"/>
      <c r="F423" s="798"/>
      <c r="G423" s="798"/>
      <c r="H423" s="798"/>
      <c r="I423" s="798"/>
      <c r="J423" s="798"/>
      <c r="K423" s="798"/>
      <c r="L423" s="798"/>
      <c r="M423" s="798"/>
      <c r="N423" s="798"/>
      <c r="O423" s="798"/>
      <c r="P423" s="798"/>
      <c r="Q423" s="798"/>
    </row>
    <row r="424" spans="1:17" ht="12.75" customHeight="1" x14ac:dyDescent="0.3">
      <c r="A424" s="782"/>
      <c r="B424" s="782"/>
      <c r="C424" s="798"/>
      <c r="D424" s="782"/>
      <c r="E424" s="798"/>
      <c r="F424" s="798"/>
      <c r="G424" s="798"/>
      <c r="H424" s="798"/>
      <c r="I424" s="798"/>
      <c r="J424" s="798"/>
      <c r="K424" s="798"/>
      <c r="L424" s="798"/>
      <c r="M424" s="798"/>
      <c r="N424" s="798"/>
      <c r="O424" s="798"/>
      <c r="P424" s="798"/>
      <c r="Q424" s="798"/>
    </row>
    <row r="425" spans="1:17" ht="12.75" customHeight="1" x14ac:dyDescent="0.3">
      <c r="A425" s="782"/>
      <c r="B425" s="782"/>
      <c r="C425" s="798"/>
      <c r="D425" s="782"/>
      <c r="E425" s="798"/>
      <c r="F425" s="798"/>
      <c r="G425" s="798"/>
      <c r="H425" s="798"/>
      <c r="I425" s="798"/>
      <c r="J425" s="798"/>
      <c r="K425" s="798"/>
      <c r="L425" s="798"/>
      <c r="M425" s="798"/>
      <c r="N425" s="798"/>
      <c r="O425" s="798"/>
      <c r="P425" s="798"/>
      <c r="Q425" s="798"/>
    </row>
    <row r="426" spans="1:17" ht="12.75" customHeight="1" x14ac:dyDescent="0.3">
      <c r="A426" s="782"/>
      <c r="B426" s="782"/>
      <c r="C426" s="798"/>
      <c r="D426" s="782"/>
      <c r="E426" s="798"/>
      <c r="F426" s="798"/>
      <c r="G426" s="798"/>
      <c r="H426" s="798"/>
      <c r="I426" s="798"/>
      <c r="J426" s="798"/>
      <c r="K426" s="798"/>
      <c r="L426" s="798"/>
      <c r="M426" s="798"/>
      <c r="N426" s="798"/>
      <c r="O426" s="798"/>
      <c r="P426" s="798"/>
      <c r="Q426" s="798"/>
    </row>
    <row r="427" spans="1:17" ht="12.75" customHeight="1" x14ac:dyDescent="0.3">
      <c r="A427" s="782"/>
      <c r="B427" s="782"/>
      <c r="C427" s="798"/>
      <c r="D427" s="782"/>
      <c r="E427" s="798"/>
      <c r="F427" s="798"/>
      <c r="G427" s="798"/>
      <c r="H427" s="798"/>
      <c r="I427" s="798"/>
      <c r="J427" s="798"/>
      <c r="K427" s="798"/>
      <c r="L427" s="798"/>
      <c r="M427" s="798"/>
      <c r="N427" s="798"/>
      <c r="O427" s="798"/>
      <c r="P427" s="798"/>
      <c r="Q427" s="798"/>
    </row>
    <row r="428" spans="1:17" ht="12.75" customHeight="1" x14ac:dyDescent="0.3">
      <c r="A428" s="782"/>
      <c r="B428" s="782"/>
      <c r="C428" s="798"/>
      <c r="D428" s="782"/>
      <c r="E428" s="798"/>
      <c r="F428" s="798"/>
      <c r="G428" s="798"/>
      <c r="H428" s="798"/>
      <c r="I428" s="798"/>
      <c r="J428" s="798"/>
      <c r="K428" s="798"/>
      <c r="L428" s="798"/>
      <c r="M428" s="798"/>
      <c r="N428" s="798"/>
      <c r="O428" s="798"/>
      <c r="P428" s="798"/>
      <c r="Q428" s="798"/>
    </row>
    <row r="429" spans="1:17" ht="12.75" customHeight="1" x14ac:dyDescent="0.3">
      <c r="A429" s="782"/>
      <c r="B429" s="782"/>
      <c r="C429" s="798"/>
      <c r="D429" s="782"/>
      <c r="E429" s="798"/>
      <c r="F429" s="798"/>
      <c r="G429" s="798"/>
      <c r="H429" s="798"/>
      <c r="I429" s="798"/>
      <c r="J429" s="798"/>
      <c r="K429" s="798"/>
      <c r="L429" s="798"/>
      <c r="M429" s="798"/>
      <c r="N429" s="798"/>
      <c r="O429" s="798"/>
      <c r="P429" s="798"/>
      <c r="Q429" s="798"/>
    </row>
    <row r="430" spans="1:17" ht="12.75" customHeight="1" x14ac:dyDescent="0.3">
      <c r="A430" s="782"/>
      <c r="B430" s="782"/>
      <c r="C430" s="798"/>
      <c r="D430" s="782"/>
      <c r="E430" s="798"/>
      <c r="F430" s="798"/>
      <c r="G430" s="798"/>
      <c r="H430" s="798"/>
      <c r="I430" s="798"/>
      <c r="J430" s="798"/>
      <c r="K430" s="798"/>
      <c r="L430" s="798"/>
      <c r="M430" s="798"/>
      <c r="N430" s="798"/>
      <c r="O430" s="798"/>
      <c r="P430" s="798"/>
      <c r="Q430" s="798"/>
    </row>
    <row r="431" spans="1:17" ht="12.75" customHeight="1" x14ac:dyDescent="0.3">
      <c r="A431" s="782"/>
      <c r="B431" s="782"/>
      <c r="C431" s="798"/>
      <c r="D431" s="782"/>
      <c r="E431" s="798"/>
      <c r="F431" s="798"/>
      <c r="G431" s="798"/>
      <c r="H431" s="798"/>
      <c r="I431" s="798"/>
      <c r="J431" s="798"/>
      <c r="K431" s="798"/>
      <c r="L431" s="798"/>
      <c r="M431" s="798"/>
      <c r="N431" s="798"/>
      <c r="O431" s="798"/>
      <c r="P431" s="798"/>
      <c r="Q431" s="798"/>
    </row>
    <row r="432" spans="1:17" ht="12.75" customHeight="1" x14ac:dyDescent="0.3">
      <c r="A432" s="782"/>
      <c r="B432" s="782"/>
      <c r="C432" s="798"/>
      <c r="D432" s="782"/>
      <c r="E432" s="798"/>
      <c r="F432" s="798"/>
      <c r="G432" s="798"/>
      <c r="H432" s="798"/>
      <c r="I432" s="798"/>
      <c r="J432" s="798"/>
      <c r="K432" s="798"/>
      <c r="L432" s="798"/>
      <c r="M432" s="798"/>
      <c r="N432" s="798"/>
      <c r="O432" s="798"/>
      <c r="P432" s="798"/>
      <c r="Q432" s="798"/>
    </row>
    <row r="433" spans="1:17" ht="12.75" customHeight="1" x14ac:dyDescent="0.3">
      <c r="A433" s="782"/>
      <c r="B433" s="782"/>
      <c r="C433" s="798"/>
      <c r="D433" s="782"/>
      <c r="E433" s="798"/>
      <c r="F433" s="798"/>
      <c r="G433" s="798"/>
      <c r="H433" s="798"/>
      <c r="I433" s="798"/>
      <c r="J433" s="798"/>
      <c r="K433" s="798"/>
      <c r="L433" s="798"/>
      <c r="M433" s="798"/>
      <c r="N433" s="798"/>
      <c r="O433" s="798"/>
      <c r="P433" s="798"/>
      <c r="Q433" s="798"/>
    </row>
    <row r="434" spans="1:17" ht="12.75" customHeight="1" x14ac:dyDescent="0.3">
      <c r="A434" s="782"/>
      <c r="B434" s="782"/>
      <c r="C434" s="798"/>
      <c r="D434" s="782"/>
      <c r="E434" s="798"/>
      <c r="F434" s="798"/>
      <c r="G434" s="798"/>
      <c r="H434" s="798"/>
      <c r="I434" s="798"/>
      <c r="J434" s="798"/>
      <c r="K434" s="798"/>
      <c r="L434" s="798"/>
      <c r="M434" s="798"/>
      <c r="N434" s="798"/>
      <c r="O434" s="798"/>
      <c r="P434" s="798"/>
      <c r="Q434" s="798"/>
    </row>
    <row r="435" spans="1:17" ht="12.75" customHeight="1" x14ac:dyDescent="0.3">
      <c r="A435" s="782"/>
      <c r="B435" s="782"/>
      <c r="C435" s="798"/>
      <c r="D435" s="782"/>
      <c r="E435" s="798"/>
      <c r="F435" s="798"/>
      <c r="G435" s="798"/>
      <c r="H435" s="798"/>
      <c r="I435" s="798"/>
      <c r="J435" s="798"/>
      <c r="K435" s="798"/>
      <c r="L435" s="798"/>
      <c r="M435" s="798"/>
      <c r="N435" s="798"/>
      <c r="O435" s="798"/>
      <c r="P435" s="798"/>
      <c r="Q435" s="798"/>
    </row>
    <row r="436" spans="1:17" ht="12.75" customHeight="1" x14ac:dyDescent="0.3">
      <c r="A436" s="782"/>
      <c r="B436" s="782"/>
      <c r="C436" s="798"/>
      <c r="D436" s="782"/>
      <c r="E436" s="798"/>
      <c r="F436" s="798"/>
      <c r="G436" s="798"/>
      <c r="H436" s="798"/>
      <c r="I436" s="798"/>
      <c r="J436" s="798"/>
      <c r="K436" s="798"/>
      <c r="L436" s="798"/>
      <c r="M436" s="798"/>
      <c r="N436" s="798"/>
      <c r="O436" s="798"/>
      <c r="P436" s="798"/>
      <c r="Q436" s="798"/>
    </row>
    <row r="437" spans="1:17" ht="12.75" customHeight="1" x14ac:dyDescent="0.3">
      <c r="A437" s="782"/>
      <c r="B437" s="782"/>
      <c r="C437" s="798"/>
      <c r="D437" s="782"/>
      <c r="E437" s="798"/>
      <c r="F437" s="798"/>
      <c r="G437" s="798"/>
      <c r="H437" s="798"/>
      <c r="I437" s="798"/>
      <c r="J437" s="798"/>
      <c r="K437" s="798"/>
      <c r="L437" s="798"/>
      <c r="M437" s="798"/>
      <c r="N437" s="798"/>
      <c r="O437" s="798"/>
      <c r="P437" s="798"/>
      <c r="Q437" s="798"/>
    </row>
    <row r="438" spans="1:17" ht="12.75" customHeight="1" x14ac:dyDescent="0.3">
      <c r="A438" s="782"/>
      <c r="B438" s="782"/>
      <c r="C438" s="798"/>
      <c r="D438" s="782"/>
      <c r="E438" s="798"/>
      <c r="F438" s="798"/>
      <c r="G438" s="798"/>
      <c r="H438" s="798"/>
      <c r="I438" s="798"/>
      <c r="J438" s="798"/>
      <c r="K438" s="798"/>
      <c r="L438" s="798"/>
      <c r="M438" s="798"/>
      <c r="N438" s="798"/>
      <c r="O438" s="798"/>
      <c r="P438" s="798"/>
      <c r="Q438" s="798"/>
    </row>
    <row r="439" spans="1:17" ht="12.75" customHeight="1" x14ac:dyDescent="0.3">
      <c r="A439" s="782"/>
      <c r="B439" s="782"/>
      <c r="C439" s="798"/>
      <c r="D439" s="782"/>
      <c r="E439" s="798"/>
      <c r="F439" s="798"/>
      <c r="G439" s="798"/>
      <c r="H439" s="798"/>
      <c r="I439" s="798"/>
      <c r="J439" s="798"/>
      <c r="K439" s="798"/>
      <c r="L439" s="798"/>
      <c r="M439" s="798"/>
      <c r="N439" s="798"/>
      <c r="O439" s="798"/>
      <c r="P439" s="798"/>
      <c r="Q439" s="798"/>
    </row>
    <row r="440" spans="1:17" ht="12.75" customHeight="1" x14ac:dyDescent="0.3">
      <c r="A440" s="782"/>
      <c r="B440" s="782"/>
      <c r="C440" s="798"/>
      <c r="D440" s="782"/>
      <c r="E440" s="798"/>
      <c r="F440" s="798"/>
      <c r="G440" s="798"/>
      <c r="H440" s="798"/>
      <c r="I440" s="798"/>
      <c r="J440" s="798"/>
      <c r="K440" s="798"/>
      <c r="L440" s="798"/>
      <c r="M440" s="798"/>
      <c r="N440" s="798"/>
      <c r="O440" s="798"/>
      <c r="P440" s="798"/>
      <c r="Q440" s="798"/>
    </row>
    <row r="441" spans="1:17" ht="12.75" customHeight="1" x14ac:dyDescent="0.3">
      <c r="A441" s="782"/>
      <c r="B441" s="782"/>
      <c r="C441" s="798"/>
      <c r="D441" s="782"/>
      <c r="E441" s="798"/>
      <c r="F441" s="798"/>
      <c r="G441" s="798"/>
      <c r="H441" s="798"/>
      <c r="I441" s="798"/>
      <c r="J441" s="798"/>
      <c r="K441" s="798"/>
      <c r="L441" s="798"/>
      <c r="M441" s="798"/>
      <c r="N441" s="798"/>
      <c r="O441" s="798"/>
      <c r="P441" s="798"/>
      <c r="Q441" s="798"/>
    </row>
    <row r="442" spans="1:17" ht="12.75" customHeight="1" x14ac:dyDescent="0.3">
      <c r="A442" s="782"/>
      <c r="B442" s="782"/>
      <c r="C442" s="798"/>
      <c r="D442" s="782"/>
      <c r="E442" s="798"/>
      <c r="F442" s="798"/>
      <c r="G442" s="798"/>
      <c r="H442" s="798"/>
      <c r="I442" s="798"/>
      <c r="J442" s="798"/>
      <c r="K442" s="798"/>
      <c r="L442" s="798"/>
      <c r="M442" s="798"/>
      <c r="N442" s="798"/>
      <c r="O442" s="798"/>
      <c r="P442" s="798"/>
      <c r="Q442" s="798"/>
    </row>
    <row r="443" spans="1:17" ht="12.75" customHeight="1" x14ac:dyDescent="0.3">
      <c r="A443" s="782"/>
      <c r="B443" s="782"/>
      <c r="C443" s="798"/>
      <c r="D443" s="782"/>
      <c r="E443" s="798"/>
      <c r="F443" s="798"/>
      <c r="G443" s="798"/>
      <c r="H443" s="798"/>
      <c r="I443" s="798"/>
      <c r="J443" s="798"/>
      <c r="K443" s="798"/>
      <c r="L443" s="798"/>
      <c r="M443" s="798"/>
      <c r="N443" s="798"/>
      <c r="O443" s="798"/>
      <c r="P443" s="798"/>
      <c r="Q443" s="798"/>
    </row>
    <row r="444" spans="1:17" ht="12.75" customHeight="1" x14ac:dyDescent="0.3">
      <c r="A444" s="782"/>
      <c r="B444" s="782"/>
      <c r="C444" s="798"/>
      <c r="D444" s="782"/>
      <c r="E444" s="798"/>
      <c r="F444" s="798"/>
      <c r="G444" s="798"/>
      <c r="H444" s="798"/>
      <c r="I444" s="798"/>
      <c r="J444" s="798"/>
      <c r="K444" s="798"/>
      <c r="L444" s="798"/>
      <c r="M444" s="798"/>
      <c r="N444" s="798"/>
      <c r="O444" s="798"/>
      <c r="P444" s="798"/>
      <c r="Q444" s="798"/>
    </row>
    <row r="445" spans="1:17" ht="12.75" customHeight="1" x14ac:dyDescent="0.3">
      <c r="A445" s="782"/>
      <c r="B445" s="782"/>
      <c r="C445" s="798"/>
      <c r="D445" s="782"/>
      <c r="E445" s="798"/>
      <c r="F445" s="798"/>
      <c r="G445" s="798"/>
      <c r="H445" s="798"/>
      <c r="I445" s="798"/>
      <c r="J445" s="798"/>
      <c r="K445" s="798"/>
      <c r="L445" s="798"/>
      <c r="M445" s="798"/>
      <c r="N445" s="798"/>
      <c r="O445" s="798"/>
      <c r="P445" s="798"/>
      <c r="Q445" s="798"/>
    </row>
    <row r="446" spans="1:17" ht="12.75" customHeight="1" x14ac:dyDescent="0.3">
      <c r="A446" s="782"/>
      <c r="B446" s="782"/>
      <c r="C446" s="798"/>
      <c r="D446" s="782"/>
      <c r="E446" s="798"/>
      <c r="F446" s="798"/>
      <c r="G446" s="798"/>
      <c r="H446" s="798"/>
      <c r="I446" s="798"/>
      <c r="J446" s="798"/>
      <c r="K446" s="798"/>
      <c r="L446" s="798"/>
      <c r="M446" s="798"/>
      <c r="N446" s="798"/>
      <c r="O446" s="798"/>
      <c r="P446" s="798"/>
      <c r="Q446" s="798"/>
    </row>
    <row r="447" spans="1:17" ht="12.75" customHeight="1" x14ac:dyDescent="0.3">
      <c r="A447" s="782"/>
      <c r="B447" s="782"/>
      <c r="C447" s="798"/>
      <c r="D447" s="782"/>
      <c r="E447" s="798"/>
      <c r="F447" s="798"/>
      <c r="G447" s="798"/>
      <c r="H447" s="798"/>
      <c r="I447" s="798"/>
      <c r="J447" s="798"/>
      <c r="K447" s="798"/>
      <c r="L447" s="798"/>
      <c r="M447" s="798"/>
      <c r="N447" s="798"/>
      <c r="O447" s="798"/>
      <c r="P447" s="798"/>
      <c r="Q447" s="798"/>
    </row>
    <row r="448" spans="1:17" ht="12.75" customHeight="1" x14ac:dyDescent="0.3">
      <c r="A448" s="782"/>
      <c r="B448" s="782"/>
      <c r="C448" s="798"/>
      <c r="D448" s="782"/>
      <c r="E448" s="798"/>
      <c r="F448" s="798"/>
      <c r="G448" s="798"/>
      <c r="H448" s="798"/>
      <c r="I448" s="798"/>
      <c r="J448" s="798"/>
      <c r="K448" s="798"/>
      <c r="L448" s="798"/>
      <c r="M448" s="798"/>
      <c r="N448" s="798"/>
      <c r="O448" s="798"/>
      <c r="P448" s="798"/>
      <c r="Q448" s="798"/>
    </row>
    <row r="449" spans="1:17" ht="12.75" customHeight="1" x14ac:dyDescent="0.3">
      <c r="A449" s="782"/>
      <c r="B449" s="782"/>
      <c r="C449" s="798"/>
      <c r="D449" s="782"/>
      <c r="E449" s="798"/>
      <c r="F449" s="798"/>
      <c r="G449" s="798"/>
      <c r="H449" s="798"/>
      <c r="I449" s="798"/>
      <c r="J449" s="798"/>
      <c r="K449" s="798"/>
      <c r="L449" s="798"/>
      <c r="M449" s="798"/>
      <c r="N449" s="798"/>
      <c r="O449" s="798"/>
      <c r="P449" s="798"/>
      <c r="Q449" s="798"/>
    </row>
    <row r="450" spans="1:17" ht="12.75" customHeight="1" x14ac:dyDescent="0.3">
      <c r="A450" s="782"/>
      <c r="B450" s="782"/>
      <c r="C450" s="798"/>
      <c r="D450" s="782"/>
      <c r="E450" s="798"/>
      <c r="F450" s="798"/>
      <c r="G450" s="798"/>
      <c r="H450" s="798"/>
      <c r="I450" s="798"/>
      <c r="J450" s="798"/>
      <c r="K450" s="798"/>
      <c r="L450" s="798"/>
      <c r="M450" s="798"/>
      <c r="N450" s="798"/>
      <c r="O450" s="798"/>
      <c r="P450" s="798"/>
      <c r="Q450" s="798"/>
    </row>
    <row r="451" spans="1:17" ht="12.75" customHeight="1" x14ac:dyDescent="0.3">
      <c r="A451" s="782"/>
      <c r="B451" s="782"/>
      <c r="C451" s="798"/>
      <c r="D451" s="782"/>
      <c r="E451" s="798"/>
      <c r="F451" s="798"/>
      <c r="G451" s="798"/>
      <c r="H451" s="798"/>
      <c r="I451" s="798"/>
      <c r="J451" s="798"/>
      <c r="K451" s="798"/>
      <c r="L451" s="798"/>
      <c r="M451" s="798"/>
      <c r="N451" s="798"/>
      <c r="O451" s="798"/>
      <c r="P451" s="798"/>
      <c r="Q451" s="798"/>
    </row>
    <row r="452" spans="1:17" ht="12.75" customHeight="1" x14ac:dyDescent="0.3">
      <c r="A452" s="782"/>
      <c r="B452" s="782"/>
      <c r="C452" s="798"/>
      <c r="D452" s="782"/>
      <c r="E452" s="798"/>
      <c r="F452" s="798"/>
      <c r="G452" s="798"/>
      <c r="H452" s="798"/>
      <c r="I452" s="798"/>
      <c r="J452" s="798"/>
      <c r="K452" s="798"/>
      <c r="L452" s="798"/>
      <c r="M452" s="798"/>
      <c r="N452" s="798"/>
      <c r="O452" s="798"/>
      <c r="P452" s="798"/>
      <c r="Q452" s="798"/>
    </row>
    <row r="453" spans="1:17" ht="12.75" customHeight="1" x14ac:dyDescent="0.3">
      <c r="A453" s="782"/>
      <c r="B453" s="782"/>
      <c r="C453" s="798"/>
      <c r="D453" s="782"/>
      <c r="E453" s="798"/>
      <c r="F453" s="798"/>
      <c r="G453" s="798"/>
      <c r="H453" s="798"/>
      <c r="I453" s="798"/>
      <c r="J453" s="798"/>
      <c r="K453" s="798"/>
      <c r="L453" s="798"/>
      <c r="M453" s="798"/>
      <c r="N453" s="798"/>
      <c r="O453" s="798"/>
      <c r="P453" s="798"/>
      <c r="Q453" s="798"/>
    </row>
    <row r="454" spans="1:17" ht="12.75" customHeight="1" x14ac:dyDescent="0.3">
      <c r="A454" s="782"/>
      <c r="B454" s="782"/>
      <c r="C454" s="798"/>
      <c r="D454" s="782"/>
      <c r="E454" s="798"/>
      <c r="F454" s="798"/>
      <c r="G454" s="798"/>
      <c r="H454" s="798"/>
      <c r="I454" s="798"/>
      <c r="J454" s="798"/>
      <c r="K454" s="798"/>
      <c r="L454" s="798"/>
      <c r="M454" s="798"/>
      <c r="N454" s="798"/>
      <c r="O454" s="798"/>
      <c r="P454" s="798"/>
      <c r="Q454" s="798"/>
    </row>
    <row r="455" spans="1:17" ht="12.75" customHeight="1" x14ac:dyDescent="0.3">
      <c r="A455" s="782"/>
      <c r="B455" s="782"/>
      <c r="C455" s="798"/>
      <c r="D455" s="782"/>
      <c r="E455" s="798"/>
      <c r="F455" s="798"/>
      <c r="G455" s="798"/>
      <c r="H455" s="798"/>
      <c r="I455" s="798"/>
      <c r="J455" s="798"/>
      <c r="K455" s="798"/>
      <c r="L455" s="798"/>
      <c r="M455" s="798"/>
      <c r="N455" s="798"/>
      <c r="O455" s="798"/>
      <c r="P455" s="798"/>
      <c r="Q455" s="798"/>
    </row>
    <row r="456" spans="1:17" ht="12.75" customHeight="1" x14ac:dyDescent="0.3">
      <c r="A456" s="782"/>
      <c r="B456" s="782"/>
      <c r="C456" s="798"/>
      <c r="D456" s="782"/>
      <c r="E456" s="798"/>
      <c r="F456" s="798"/>
      <c r="G456" s="798"/>
      <c r="H456" s="798"/>
      <c r="I456" s="798"/>
      <c r="J456" s="798"/>
      <c r="K456" s="798"/>
      <c r="L456" s="798"/>
      <c r="M456" s="798"/>
      <c r="N456" s="798"/>
      <c r="O456" s="798"/>
      <c r="P456" s="798"/>
      <c r="Q456" s="798"/>
    </row>
    <row r="457" spans="1:17" ht="12.75" customHeight="1" x14ac:dyDescent="0.3">
      <c r="A457" s="782"/>
      <c r="B457" s="782"/>
      <c r="C457" s="798"/>
      <c r="D457" s="782"/>
      <c r="E457" s="798"/>
      <c r="F457" s="798"/>
      <c r="G457" s="798"/>
      <c r="H457" s="798"/>
      <c r="I457" s="798"/>
      <c r="J457" s="798"/>
      <c r="K457" s="798"/>
      <c r="L457" s="798"/>
      <c r="M457" s="798"/>
      <c r="N457" s="798"/>
      <c r="O457" s="798"/>
      <c r="P457" s="798"/>
      <c r="Q457" s="798"/>
    </row>
    <row r="458" spans="1:17" ht="12.75" customHeight="1" x14ac:dyDescent="0.3">
      <c r="A458" s="782"/>
      <c r="B458" s="782"/>
      <c r="C458" s="798"/>
      <c r="D458" s="782"/>
      <c r="E458" s="798"/>
      <c r="F458" s="798"/>
      <c r="G458" s="798"/>
      <c r="H458" s="798"/>
      <c r="I458" s="798"/>
      <c r="J458" s="798"/>
      <c r="K458" s="798"/>
      <c r="L458" s="798"/>
      <c r="M458" s="798"/>
      <c r="N458" s="798"/>
      <c r="O458" s="798"/>
      <c r="P458" s="798"/>
      <c r="Q458" s="798"/>
    </row>
    <row r="459" spans="1:17" ht="12.75" customHeight="1" x14ac:dyDescent="0.3">
      <c r="A459" s="782"/>
      <c r="B459" s="782"/>
      <c r="C459" s="798"/>
      <c r="D459" s="782"/>
      <c r="E459" s="798"/>
      <c r="F459" s="798"/>
      <c r="G459" s="798"/>
      <c r="H459" s="798"/>
      <c r="I459" s="798"/>
      <c r="J459" s="798"/>
      <c r="K459" s="798"/>
      <c r="L459" s="798"/>
      <c r="M459" s="798"/>
      <c r="N459" s="798"/>
      <c r="O459" s="798"/>
      <c r="P459" s="798"/>
      <c r="Q459" s="798"/>
    </row>
    <row r="460" spans="1:17" ht="12.75" customHeight="1" x14ac:dyDescent="0.3">
      <c r="A460" s="782"/>
      <c r="B460" s="782"/>
      <c r="C460" s="798"/>
      <c r="D460" s="782"/>
      <c r="E460" s="798"/>
      <c r="F460" s="798"/>
      <c r="G460" s="798"/>
      <c r="H460" s="798"/>
      <c r="I460" s="798"/>
      <c r="J460" s="798"/>
      <c r="K460" s="798"/>
      <c r="L460" s="798"/>
      <c r="M460" s="798"/>
      <c r="N460" s="798"/>
      <c r="O460" s="798"/>
      <c r="P460" s="798"/>
      <c r="Q460" s="798"/>
    </row>
    <row r="461" spans="1:17" ht="12.75" customHeight="1" x14ac:dyDescent="0.3">
      <c r="A461" s="782"/>
      <c r="B461" s="782"/>
      <c r="C461" s="782"/>
      <c r="D461" s="782"/>
      <c r="E461" s="782"/>
      <c r="F461" s="782"/>
      <c r="G461" s="782"/>
      <c r="H461" s="782"/>
      <c r="I461" s="782"/>
      <c r="J461" s="782"/>
      <c r="K461" s="782"/>
      <c r="L461" s="782"/>
      <c r="M461" s="782"/>
      <c r="N461" s="782"/>
      <c r="O461" s="782"/>
      <c r="P461" s="782"/>
      <c r="Q461" s="782"/>
    </row>
    <row r="462" spans="1:17" ht="12.75" customHeight="1" x14ac:dyDescent="0.3">
      <c r="A462" s="782"/>
      <c r="B462" s="782"/>
      <c r="C462" s="782"/>
      <c r="D462" s="782"/>
      <c r="E462" s="782"/>
      <c r="F462" s="782"/>
      <c r="G462" s="782"/>
      <c r="H462" s="782"/>
      <c r="I462" s="782"/>
      <c r="J462" s="782"/>
      <c r="K462" s="782"/>
      <c r="L462" s="782"/>
      <c r="M462" s="782"/>
      <c r="N462" s="782"/>
      <c r="O462" s="782"/>
      <c r="P462" s="782"/>
      <c r="Q462" s="782"/>
    </row>
    <row r="463" spans="1:17" ht="12.75" customHeight="1" x14ac:dyDescent="0.3">
      <c r="A463" s="782"/>
      <c r="B463" s="782"/>
      <c r="C463" s="782"/>
      <c r="D463" s="782"/>
      <c r="E463" s="782"/>
      <c r="F463" s="782"/>
      <c r="G463" s="782"/>
      <c r="H463" s="782"/>
      <c r="I463" s="782"/>
      <c r="J463" s="782"/>
      <c r="K463" s="782"/>
      <c r="L463" s="782"/>
      <c r="M463" s="782"/>
      <c r="N463" s="782"/>
      <c r="O463" s="782"/>
      <c r="P463" s="782"/>
      <c r="Q463" s="782"/>
    </row>
    <row r="464" spans="1:17" ht="12.75" customHeight="1" x14ac:dyDescent="0.3">
      <c r="A464" s="782"/>
      <c r="B464" s="782"/>
      <c r="C464" s="782"/>
      <c r="D464" s="782"/>
      <c r="E464" s="782"/>
      <c r="F464" s="782"/>
      <c r="G464" s="782"/>
      <c r="H464" s="782"/>
      <c r="I464" s="782"/>
      <c r="J464" s="782"/>
      <c r="K464" s="782"/>
      <c r="L464" s="782"/>
      <c r="M464" s="782"/>
      <c r="N464" s="782"/>
      <c r="O464" s="782"/>
      <c r="P464" s="782"/>
      <c r="Q464" s="782"/>
    </row>
    <row r="465" spans="1:17" ht="12.75" customHeight="1" x14ac:dyDescent="0.3">
      <c r="A465" s="782"/>
      <c r="B465" s="796"/>
      <c r="C465" s="782"/>
      <c r="D465" s="782"/>
      <c r="E465" s="782"/>
      <c r="F465" s="782"/>
      <c r="G465" s="782"/>
      <c r="H465" s="782"/>
      <c r="I465" s="782"/>
      <c r="J465" s="782"/>
      <c r="K465" s="782"/>
      <c r="L465" s="782"/>
      <c r="M465" s="782"/>
      <c r="N465" s="782"/>
      <c r="O465" s="782"/>
      <c r="P465" s="782"/>
      <c r="Q465" s="782"/>
    </row>
    <row r="466" spans="1:17" ht="12.75" customHeight="1" x14ac:dyDescent="0.3">
      <c r="A466" s="782"/>
      <c r="B466" s="782"/>
      <c r="C466" s="782"/>
      <c r="D466" s="782"/>
      <c r="E466" s="782"/>
      <c r="F466" s="782"/>
      <c r="G466" s="782"/>
      <c r="H466" s="782"/>
      <c r="I466" s="782"/>
      <c r="J466" s="782"/>
      <c r="K466" s="782"/>
      <c r="L466" s="782"/>
      <c r="M466" s="782"/>
      <c r="N466" s="782"/>
      <c r="O466" s="782"/>
      <c r="P466" s="782"/>
      <c r="Q466" s="782"/>
    </row>
    <row r="467" spans="1:17" ht="12.75" customHeight="1" x14ac:dyDescent="0.3">
      <c r="A467" s="782"/>
      <c r="B467" s="782"/>
      <c r="C467" s="805"/>
      <c r="D467" s="782"/>
      <c r="E467" s="805"/>
      <c r="F467" s="805"/>
      <c r="G467" s="805"/>
      <c r="H467" s="805"/>
      <c r="I467" s="805"/>
      <c r="J467" s="805"/>
      <c r="K467" s="805"/>
      <c r="L467" s="805"/>
      <c r="M467" s="805"/>
      <c r="N467" s="805"/>
      <c r="O467" s="805"/>
      <c r="P467" s="805"/>
      <c r="Q467" s="805"/>
    </row>
    <row r="468" spans="1:17" ht="12.75" customHeight="1" x14ac:dyDescent="0.3">
      <c r="A468" s="782"/>
      <c r="B468" s="782"/>
      <c r="C468" s="805"/>
      <c r="D468" s="782"/>
      <c r="E468" s="805"/>
      <c r="F468" s="805"/>
      <c r="G468" s="805"/>
      <c r="H468" s="805"/>
      <c r="I468" s="805"/>
      <c r="J468" s="805"/>
      <c r="K468" s="805"/>
      <c r="L468" s="805"/>
      <c r="M468" s="805"/>
      <c r="N468" s="805"/>
      <c r="O468" s="805"/>
      <c r="P468" s="805"/>
      <c r="Q468" s="805"/>
    </row>
    <row r="469" spans="1:17" ht="12.75" customHeight="1" x14ac:dyDescent="0.3">
      <c r="A469" s="782"/>
      <c r="B469" s="782"/>
      <c r="C469" s="782"/>
      <c r="D469" s="782"/>
      <c r="E469" s="782"/>
      <c r="F469" s="782"/>
      <c r="G469" s="782"/>
      <c r="H469" s="782"/>
      <c r="I469" s="782"/>
      <c r="J469" s="782"/>
      <c r="K469" s="782"/>
      <c r="L469" s="782"/>
      <c r="M469" s="782"/>
      <c r="N469" s="782"/>
      <c r="O469" s="782"/>
      <c r="P469" s="782"/>
      <c r="Q469" s="782"/>
    </row>
    <row r="470" spans="1:17" ht="12.75" customHeight="1" x14ac:dyDescent="0.3">
      <c r="A470" s="782"/>
      <c r="B470" s="782"/>
      <c r="C470" s="782"/>
      <c r="D470" s="782"/>
      <c r="E470" s="782"/>
      <c r="F470" s="782"/>
      <c r="G470" s="782"/>
      <c r="H470" s="782"/>
      <c r="I470" s="782"/>
      <c r="J470" s="782"/>
      <c r="K470" s="782"/>
      <c r="L470" s="782"/>
      <c r="M470" s="782"/>
      <c r="N470" s="782"/>
      <c r="O470" s="782"/>
      <c r="P470" s="782"/>
      <c r="Q470" s="782"/>
    </row>
    <row r="471" spans="1:17" ht="12.75" customHeight="1" x14ac:dyDescent="0.3">
      <c r="A471" s="782"/>
      <c r="B471" s="782"/>
      <c r="C471" s="782"/>
      <c r="D471" s="782"/>
      <c r="E471" s="782"/>
      <c r="F471" s="782"/>
      <c r="G471" s="782"/>
      <c r="H471" s="782"/>
      <c r="I471" s="782"/>
      <c r="J471" s="782"/>
      <c r="K471" s="782"/>
      <c r="L471" s="782"/>
      <c r="M471" s="782"/>
      <c r="N471" s="782"/>
      <c r="O471" s="782"/>
      <c r="P471" s="782"/>
      <c r="Q471" s="782"/>
    </row>
    <row r="472" spans="1:17" ht="12.75" customHeight="1" x14ac:dyDescent="0.3">
      <c r="A472" s="782"/>
      <c r="B472" s="782"/>
      <c r="C472" s="782"/>
      <c r="D472" s="782"/>
      <c r="E472" s="782"/>
      <c r="F472" s="782"/>
      <c r="G472" s="782"/>
      <c r="H472" s="782"/>
      <c r="I472" s="782"/>
      <c r="J472" s="782"/>
      <c r="K472" s="782"/>
      <c r="L472" s="782"/>
      <c r="M472" s="782"/>
      <c r="N472" s="782"/>
      <c r="O472" s="782"/>
      <c r="P472" s="782"/>
      <c r="Q472" s="782"/>
    </row>
    <row r="473" spans="1:17" ht="12.75" customHeight="1" x14ac:dyDescent="0.3">
      <c r="A473" s="782"/>
      <c r="B473" s="782"/>
      <c r="C473" s="782"/>
      <c r="D473" s="782"/>
      <c r="E473" s="782"/>
      <c r="F473" s="782"/>
      <c r="G473" s="782"/>
      <c r="H473" s="782"/>
      <c r="I473" s="782"/>
      <c r="J473" s="782"/>
      <c r="K473" s="782"/>
      <c r="L473" s="782"/>
      <c r="M473" s="782"/>
      <c r="N473" s="782"/>
      <c r="O473" s="782"/>
      <c r="P473" s="782"/>
      <c r="Q473" s="782"/>
    </row>
    <row r="474" spans="1:17" ht="12.75" customHeight="1" x14ac:dyDescent="0.3">
      <c r="A474" s="782"/>
      <c r="B474" s="782"/>
      <c r="C474" s="782"/>
      <c r="D474" s="782"/>
      <c r="E474" s="782"/>
      <c r="F474" s="782"/>
      <c r="G474" s="782"/>
      <c r="H474" s="782"/>
      <c r="I474" s="782"/>
      <c r="J474" s="782"/>
      <c r="K474" s="782"/>
      <c r="L474" s="782"/>
      <c r="M474" s="782"/>
      <c r="N474" s="782"/>
      <c r="O474" s="782"/>
      <c r="P474" s="782"/>
      <c r="Q474" s="782"/>
    </row>
    <row r="475" spans="1:17" ht="12.75" customHeight="1" x14ac:dyDescent="0.3">
      <c r="A475" s="782"/>
      <c r="B475" s="782"/>
      <c r="C475" s="782"/>
      <c r="D475" s="782"/>
      <c r="E475" s="782"/>
      <c r="F475" s="782"/>
      <c r="G475" s="782"/>
      <c r="H475" s="782"/>
      <c r="I475" s="782"/>
      <c r="J475" s="782"/>
      <c r="K475" s="782"/>
      <c r="L475" s="782"/>
      <c r="M475" s="782"/>
      <c r="N475" s="782"/>
      <c r="O475" s="782"/>
      <c r="P475" s="782"/>
      <c r="Q475" s="782"/>
    </row>
    <row r="476" spans="1:17" ht="12.75" customHeight="1" x14ac:dyDescent="0.3">
      <c r="A476" s="782"/>
      <c r="B476" s="782"/>
      <c r="C476" s="782"/>
      <c r="D476" s="782"/>
      <c r="E476" s="782"/>
      <c r="F476" s="782"/>
      <c r="G476" s="782"/>
      <c r="H476" s="782"/>
      <c r="I476" s="782"/>
      <c r="J476" s="782"/>
      <c r="K476" s="782"/>
      <c r="L476" s="782"/>
      <c r="M476" s="782"/>
      <c r="N476" s="782"/>
      <c r="O476" s="782"/>
      <c r="P476" s="782"/>
      <c r="Q476" s="782"/>
    </row>
    <row r="477" spans="1:17" ht="12.75" customHeight="1" x14ac:dyDescent="0.3">
      <c r="A477" s="782"/>
      <c r="B477" s="782"/>
      <c r="C477" s="782"/>
      <c r="D477" s="782"/>
      <c r="E477" s="782"/>
      <c r="F477" s="782"/>
      <c r="G477" s="782"/>
      <c r="H477" s="782"/>
      <c r="I477" s="782"/>
      <c r="J477" s="782"/>
      <c r="K477" s="782"/>
      <c r="L477" s="782"/>
      <c r="M477" s="782"/>
      <c r="N477" s="782"/>
      <c r="O477" s="782"/>
      <c r="P477" s="782"/>
      <c r="Q477" s="782"/>
    </row>
    <row r="478" spans="1:17" ht="12.75" customHeight="1" x14ac:dyDescent="0.3">
      <c r="B478" s="782"/>
      <c r="C478" s="782"/>
      <c r="D478" s="782"/>
      <c r="E478" s="782"/>
      <c r="F478" s="782"/>
      <c r="G478" s="782"/>
      <c r="H478" s="782"/>
      <c r="I478" s="782"/>
      <c r="J478" s="782"/>
      <c r="K478" s="782"/>
      <c r="L478" s="782"/>
      <c r="M478" s="782"/>
      <c r="N478" s="782"/>
      <c r="O478" s="782"/>
      <c r="P478" s="782"/>
      <c r="Q478" s="782"/>
    </row>
    <row r="479" spans="1:17" ht="12.75" customHeight="1" x14ac:dyDescent="0.3">
      <c r="B479" s="782"/>
      <c r="C479" s="782"/>
      <c r="D479" s="782"/>
      <c r="E479" s="782"/>
      <c r="F479" s="782"/>
      <c r="G479" s="782"/>
      <c r="H479" s="782"/>
      <c r="I479" s="782"/>
      <c r="J479" s="782"/>
      <c r="K479" s="782"/>
      <c r="L479" s="782"/>
      <c r="M479" s="782"/>
      <c r="N479" s="782"/>
      <c r="O479" s="782"/>
      <c r="P479" s="782"/>
      <c r="Q479" s="782"/>
    </row>
    <row r="480" spans="1:17" ht="12.75" customHeight="1" x14ac:dyDescent="0.3">
      <c r="B480" s="782"/>
      <c r="C480" s="782"/>
      <c r="D480" s="782"/>
      <c r="E480" s="782"/>
      <c r="F480" s="782"/>
      <c r="G480" s="782"/>
      <c r="H480" s="782"/>
      <c r="I480" s="782"/>
      <c r="J480" s="782"/>
      <c r="K480" s="782"/>
      <c r="L480" s="782"/>
      <c r="M480" s="782"/>
      <c r="N480" s="782"/>
      <c r="O480" s="782"/>
      <c r="P480" s="782"/>
      <c r="Q480" s="782"/>
    </row>
    <row r="481" spans="2:17" ht="12.75" customHeight="1" x14ac:dyDescent="0.3">
      <c r="B481" s="782"/>
      <c r="C481" s="782"/>
      <c r="D481" s="782"/>
      <c r="E481" s="782"/>
      <c r="F481" s="782"/>
      <c r="G481" s="782"/>
      <c r="H481" s="782"/>
      <c r="I481" s="782"/>
      <c r="J481" s="782"/>
      <c r="K481" s="782"/>
      <c r="L481" s="782"/>
      <c r="M481" s="782"/>
      <c r="N481" s="782"/>
      <c r="O481" s="782"/>
      <c r="P481" s="782"/>
      <c r="Q481" s="782"/>
    </row>
    <row r="482" spans="2:17" ht="12.75" customHeight="1" x14ac:dyDescent="0.3">
      <c r="B482" s="782"/>
      <c r="C482" s="782"/>
      <c r="D482" s="782"/>
      <c r="E482" s="782"/>
      <c r="F482" s="782"/>
      <c r="G482" s="782"/>
      <c r="H482" s="782"/>
      <c r="I482" s="782"/>
      <c r="J482" s="782"/>
      <c r="K482" s="782"/>
      <c r="L482" s="782"/>
      <c r="M482" s="782"/>
      <c r="N482" s="782"/>
      <c r="O482" s="782"/>
      <c r="P482" s="782"/>
      <c r="Q482" s="782"/>
    </row>
    <row r="483" spans="2:17" ht="12.75" customHeight="1" x14ac:dyDescent="0.3">
      <c r="B483" s="782"/>
      <c r="C483" s="782"/>
      <c r="D483" s="782"/>
      <c r="E483" s="782"/>
      <c r="F483" s="782"/>
      <c r="G483" s="782"/>
      <c r="H483" s="782"/>
      <c r="I483" s="782"/>
      <c r="J483" s="782"/>
      <c r="K483" s="782"/>
      <c r="L483" s="782"/>
      <c r="M483" s="782"/>
      <c r="N483" s="782"/>
      <c r="O483" s="782"/>
      <c r="P483" s="782"/>
      <c r="Q483" s="782"/>
    </row>
    <row r="484" spans="2:17" ht="12.75" customHeight="1" x14ac:dyDescent="0.3">
      <c r="B484" s="782"/>
      <c r="C484" s="782"/>
      <c r="D484" s="782"/>
      <c r="E484" s="782"/>
      <c r="F484" s="782"/>
      <c r="G484" s="782"/>
      <c r="H484" s="782"/>
      <c r="I484" s="782"/>
      <c r="J484" s="782"/>
      <c r="K484" s="782"/>
      <c r="L484" s="782"/>
      <c r="M484" s="782"/>
      <c r="N484" s="782"/>
      <c r="O484" s="782"/>
      <c r="P484" s="782"/>
      <c r="Q484" s="782"/>
    </row>
    <row r="485" spans="2:17" ht="12.75" customHeight="1" x14ac:dyDescent="0.3">
      <c r="B485" s="782"/>
      <c r="C485" s="782"/>
      <c r="D485" s="782"/>
      <c r="E485" s="782"/>
      <c r="F485" s="782"/>
      <c r="G485" s="782"/>
      <c r="H485" s="782"/>
      <c r="I485" s="782"/>
      <c r="J485" s="782"/>
      <c r="K485" s="782"/>
      <c r="L485" s="782"/>
      <c r="M485" s="782"/>
      <c r="N485" s="782"/>
      <c r="O485" s="782"/>
      <c r="P485" s="782"/>
      <c r="Q485" s="782"/>
    </row>
    <row r="486" spans="2:17" ht="12.75" customHeight="1" x14ac:dyDescent="0.3">
      <c r="B486" s="782"/>
      <c r="C486" s="782"/>
      <c r="D486" s="782"/>
      <c r="E486" s="782"/>
      <c r="F486" s="782"/>
      <c r="G486" s="782"/>
      <c r="H486" s="782"/>
      <c r="I486" s="782"/>
      <c r="J486" s="782"/>
      <c r="K486" s="782"/>
      <c r="L486" s="782"/>
      <c r="M486" s="782"/>
      <c r="N486" s="782"/>
      <c r="O486" s="782"/>
      <c r="P486" s="782"/>
      <c r="Q486" s="782"/>
    </row>
    <row r="487" spans="2:17" ht="12.75" customHeight="1" x14ac:dyDescent="0.3">
      <c r="B487" s="782"/>
      <c r="C487" s="782"/>
      <c r="D487" s="782"/>
      <c r="E487" s="782"/>
      <c r="F487" s="782"/>
      <c r="G487" s="782"/>
      <c r="H487" s="782"/>
      <c r="I487" s="782"/>
      <c r="J487" s="782"/>
      <c r="K487" s="782"/>
      <c r="L487" s="782"/>
      <c r="M487" s="782"/>
      <c r="N487" s="782"/>
      <c r="O487" s="782"/>
      <c r="P487" s="782"/>
      <c r="Q487" s="782"/>
    </row>
    <row r="488" spans="2:17" ht="12.75" customHeight="1" x14ac:dyDescent="0.3">
      <c r="B488" s="782"/>
      <c r="C488" s="782"/>
      <c r="D488" s="782"/>
      <c r="E488" s="782"/>
      <c r="F488" s="782"/>
      <c r="G488" s="782"/>
      <c r="H488" s="782"/>
      <c r="I488" s="782"/>
      <c r="J488" s="782"/>
      <c r="K488" s="782"/>
      <c r="L488" s="782"/>
      <c r="M488" s="782"/>
      <c r="N488" s="782"/>
      <c r="O488" s="782"/>
      <c r="P488" s="782"/>
      <c r="Q488" s="782"/>
    </row>
    <row r="489" spans="2:17" ht="12.75" customHeight="1" x14ac:dyDescent="0.3">
      <c r="B489" s="782"/>
      <c r="C489" s="782"/>
      <c r="D489" s="782"/>
      <c r="E489" s="782"/>
      <c r="F489" s="782"/>
      <c r="G489" s="782"/>
      <c r="H489" s="782"/>
      <c r="I489" s="782"/>
      <c r="J489" s="782"/>
      <c r="K489" s="782"/>
      <c r="L489" s="782"/>
      <c r="M489" s="782"/>
      <c r="N489" s="782"/>
      <c r="O489" s="782"/>
      <c r="P489" s="782"/>
      <c r="Q489" s="782"/>
    </row>
    <row r="490" spans="2:17" ht="12.75" customHeight="1" x14ac:dyDescent="0.3">
      <c r="B490" s="782"/>
      <c r="C490" s="782"/>
      <c r="D490" s="782"/>
      <c r="E490" s="782"/>
      <c r="F490" s="782"/>
      <c r="G490" s="782"/>
      <c r="H490" s="782"/>
      <c r="I490" s="782"/>
      <c r="J490" s="782"/>
      <c r="K490" s="782"/>
      <c r="L490" s="782"/>
      <c r="M490" s="782"/>
      <c r="N490" s="782"/>
      <c r="O490" s="782"/>
      <c r="P490" s="782"/>
      <c r="Q490" s="782"/>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1D64D-1599-4C7D-8D50-2E1CBC8EAE69}">
  <sheetPr codeName="Sheet23">
    <tabColor rgb="FF00B0F0"/>
  </sheetPr>
  <dimension ref="A1:EK489"/>
  <sheetViews>
    <sheetView showGridLines="0" zoomScale="85" zoomScaleNormal="85" workbookViewId="0">
      <pane xSplit="4" ySplit="9" topLeftCell="E10" activePane="bottomRight" state="frozen"/>
      <selection pane="topRight" activeCell="I43" sqref="I43"/>
      <selection pane="bottomLeft" activeCell="I43" sqref="I43"/>
      <selection pane="bottomRight" activeCell="I43" sqref="I43"/>
    </sheetView>
  </sheetViews>
  <sheetFormatPr defaultColWidth="0" defaultRowHeight="12.75" customHeight="1" x14ac:dyDescent="0.3"/>
  <cols>
    <col min="1" max="1" width="3" customWidth="1"/>
    <col min="2" max="2" width="61.33203125" bestFit="1" customWidth="1"/>
    <col min="3" max="3" width="14.6640625" customWidth="1"/>
    <col min="4" max="4" width="4.6640625" customWidth="1"/>
    <col min="5" max="50" width="14.6640625" customWidth="1"/>
    <col min="51" max="141" width="0" hidden="1" customWidth="1"/>
    <col min="142" max="16384" width="9.33203125" hidden="1"/>
  </cols>
  <sheetData>
    <row r="1" spans="1:50" s="788" customFormat="1" ht="12.75" customHeight="1" x14ac:dyDescent="0.3">
      <c r="A1" s="786"/>
      <c r="B1" s="787" t="s">
        <v>0</v>
      </c>
      <c r="C1" s="786"/>
      <c r="D1" s="786"/>
      <c r="E1" s="786"/>
      <c r="F1" s="786"/>
      <c r="G1" s="786"/>
      <c r="H1" s="786"/>
      <c r="I1" s="786"/>
      <c r="J1" s="786"/>
      <c r="K1" s="786"/>
      <c r="L1" s="786"/>
      <c r="M1" s="786"/>
      <c r="N1" s="786"/>
      <c r="O1" s="786"/>
      <c r="P1" s="786"/>
      <c r="Q1" s="786"/>
      <c r="R1" s="786"/>
      <c r="S1" s="786"/>
      <c r="T1" s="786"/>
      <c r="U1" s="786"/>
      <c r="V1" s="786"/>
      <c r="W1" s="786"/>
      <c r="X1" s="786"/>
      <c r="Y1" s="786"/>
      <c r="Z1" s="786"/>
      <c r="AA1" s="786"/>
      <c r="AB1" s="786"/>
      <c r="AC1" s="786"/>
      <c r="AD1" s="786"/>
      <c r="AE1" s="786"/>
      <c r="AF1" s="786"/>
      <c r="AG1" s="786"/>
      <c r="AH1" s="786"/>
      <c r="AI1" s="786"/>
      <c r="AJ1" s="786"/>
      <c r="AK1" s="786"/>
      <c r="AL1" s="786"/>
      <c r="AM1" s="786"/>
      <c r="AN1" s="786"/>
      <c r="AO1" s="786"/>
      <c r="AP1" s="786"/>
      <c r="AQ1" s="786"/>
      <c r="AR1" s="786"/>
      <c r="AS1" s="786"/>
      <c r="AT1" s="786"/>
      <c r="AU1" s="786"/>
      <c r="AV1" s="786"/>
      <c r="AW1" s="786"/>
      <c r="AX1" s="786"/>
    </row>
    <row r="2" spans="1:50" s="788" customFormat="1" ht="12.75" customHeight="1" x14ac:dyDescent="0.3">
      <c r="A2" s="786"/>
      <c r="B2" s="789" t="str">
        <f>'General Inputs'!B7</f>
        <v>Emblem Meridian</v>
      </c>
      <c r="D2" s="786"/>
      <c r="E2" s="786"/>
      <c r="F2" s="786"/>
      <c r="G2" s="786"/>
      <c r="H2" s="786"/>
      <c r="I2" s="786"/>
      <c r="J2" s="786"/>
      <c r="K2" s="786"/>
      <c r="L2" s="786"/>
      <c r="M2" s="786"/>
      <c r="N2" s="786"/>
      <c r="O2" s="786"/>
      <c r="P2" s="786"/>
      <c r="Q2" s="786"/>
      <c r="R2" s="786"/>
      <c r="S2" s="786"/>
      <c r="T2" s="786"/>
      <c r="U2" s="786"/>
      <c r="V2" s="786"/>
      <c r="W2" s="786"/>
      <c r="X2" s="786"/>
      <c r="Y2" s="786"/>
      <c r="Z2" s="786"/>
      <c r="AA2" s="786"/>
      <c r="AB2" s="786"/>
      <c r="AC2" s="786"/>
      <c r="AD2" s="786"/>
      <c r="AE2" s="786"/>
      <c r="AF2" s="786"/>
      <c r="AG2" s="786"/>
      <c r="AH2" s="786"/>
      <c r="AI2" s="786"/>
      <c r="AJ2" s="786"/>
      <c r="AK2" s="786"/>
      <c r="AL2" s="786"/>
      <c r="AM2" s="786"/>
      <c r="AN2" s="786"/>
      <c r="AO2" s="786"/>
      <c r="AP2" s="786"/>
      <c r="AQ2" s="786"/>
      <c r="AR2" s="786"/>
      <c r="AS2" s="786"/>
      <c r="AT2" s="786"/>
      <c r="AU2" s="786"/>
      <c r="AV2" s="786"/>
      <c r="AW2" s="786"/>
      <c r="AX2" s="786"/>
    </row>
    <row r="3" spans="1:50" ht="12.75" customHeight="1" x14ac:dyDescent="0.3">
      <c r="A3" s="782"/>
      <c r="B3" s="782"/>
      <c r="C3" s="782"/>
      <c r="D3" s="782"/>
      <c r="E3" s="782"/>
      <c r="F3" s="782"/>
      <c r="G3" s="782"/>
      <c r="H3" s="782"/>
      <c r="I3" s="782"/>
      <c r="J3" s="782"/>
      <c r="K3" s="782"/>
      <c r="L3" s="782"/>
      <c r="M3" s="782"/>
      <c r="N3" s="782"/>
      <c r="O3" s="782"/>
      <c r="P3" s="782"/>
      <c r="Q3" s="782"/>
      <c r="R3" s="782"/>
      <c r="S3" s="782"/>
      <c r="T3" s="782"/>
      <c r="U3" s="782"/>
      <c r="V3" s="782"/>
      <c r="W3" s="782"/>
      <c r="X3" s="782"/>
      <c r="Y3" s="782"/>
      <c r="Z3" s="782"/>
      <c r="AA3" s="782"/>
      <c r="AB3" s="782"/>
      <c r="AC3" s="782"/>
      <c r="AD3" s="782"/>
      <c r="AE3" s="782"/>
      <c r="AF3" s="782"/>
      <c r="AG3" s="782"/>
      <c r="AH3" s="782"/>
      <c r="AI3" s="782"/>
      <c r="AJ3" s="782"/>
      <c r="AK3" s="782"/>
      <c r="AL3" s="782"/>
      <c r="AM3" s="782"/>
      <c r="AN3" s="782"/>
      <c r="AO3" s="782"/>
      <c r="AP3" s="782"/>
      <c r="AQ3" s="782"/>
      <c r="AR3" s="782"/>
      <c r="AS3" s="782"/>
      <c r="AT3" s="782"/>
      <c r="AU3" s="782"/>
      <c r="AV3" s="782"/>
      <c r="AW3" s="782"/>
      <c r="AX3" s="782"/>
    </row>
    <row r="4" spans="1:50" ht="12.75" customHeight="1" x14ac:dyDescent="0.3">
      <c r="A4" s="782"/>
      <c r="B4" s="782" t="s">
        <v>1</v>
      </c>
      <c r="C4" s="782"/>
      <c r="D4" s="782"/>
      <c r="E4" s="790">
        <f>'Venture Assumptions'!$F$6</f>
        <v>45169</v>
      </c>
      <c r="F4" s="790">
        <f>EOMONTH(E4,3)</f>
        <v>45260</v>
      </c>
      <c r="G4" s="790">
        <f t="shared" ref="G4:AW4" si="0">EOMONTH(F4,3)</f>
        <v>45351</v>
      </c>
      <c r="H4" s="790">
        <f t="shared" si="0"/>
        <v>45443</v>
      </c>
      <c r="I4" s="790">
        <f t="shared" si="0"/>
        <v>45535</v>
      </c>
      <c r="J4" s="790">
        <f t="shared" si="0"/>
        <v>45626</v>
      </c>
      <c r="K4" s="790">
        <f t="shared" si="0"/>
        <v>45716</v>
      </c>
      <c r="L4" s="790">
        <f t="shared" si="0"/>
        <v>45808</v>
      </c>
      <c r="M4" s="790">
        <f t="shared" si="0"/>
        <v>45900</v>
      </c>
      <c r="N4" s="790">
        <f t="shared" si="0"/>
        <v>45991</v>
      </c>
      <c r="O4" s="790">
        <f t="shared" si="0"/>
        <v>46081</v>
      </c>
      <c r="P4" s="790">
        <f t="shared" si="0"/>
        <v>46173</v>
      </c>
      <c r="Q4" s="790">
        <f t="shared" si="0"/>
        <v>46265</v>
      </c>
      <c r="R4" s="790">
        <f t="shared" si="0"/>
        <v>46356</v>
      </c>
      <c r="S4" s="790">
        <f t="shared" si="0"/>
        <v>46446</v>
      </c>
      <c r="T4" s="790">
        <f t="shared" si="0"/>
        <v>46538</v>
      </c>
      <c r="U4" s="790">
        <f t="shared" si="0"/>
        <v>46630</v>
      </c>
      <c r="V4" s="790">
        <f t="shared" si="0"/>
        <v>46721</v>
      </c>
      <c r="W4" s="790">
        <f t="shared" si="0"/>
        <v>46812</v>
      </c>
      <c r="X4" s="790">
        <f t="shared" si="0"/>
        <v>46904</v>
      </c>
      <c r="Y4" s="790">
        <f t="shared" si="0"/>
        <v>46996</v>
      </c>
      <c r="Z4" s="790">
        <f t="shared" si="0"/>
        <v>47087</v>
      </c>
      <c r="AA4" s="790">
        <f t="shared" si="0"/>
        <v>47177</v>
      </c>
      <c r="AB4" s="790">
        <f t="shared" si="0"/>
        <v>47269</v>
      </c>
      <c r="AC4" s="790">
        <f t="shared" si="0"/>
        <v>47361</v>
      </c>
      <c r="AD4" s="790">
        <f t="shared" si="0"/>
        <v>47452</v>
      </c>
      <c r="AE4" s="790">
        <f t="shared" si="0"/>
        <v>47542</v>
      </c>
      <c r="AF4" s="790">
        <f t="shared" si="0"/>
        <v>47634</v>
      </c>
      <c r="AG4" s="790">
        <f t="shared" si="0"/>
        <v>47726</v>
      </c>
      <c r="AH4" s="790">
        <f t="shared" si="0"/>
        <v>47817</v>
      </c>
      <c r="AI4" s="790">
        <f t="shared" si="0"/>
        <v>47907</v>
      </c>
      <c r="AJ4" s="790">
        <f t="shared" si="0"/>
        <v>47999</v>
      </c>
      <c r="AK4" s="790">
        <f t="shared" si="0"/>
        <v>48091</v>
      </c>
      <c r="AL4" s="790">
        <f t="shared" si="0"/>
        <v>48182</v>
      </c>
      <c r="AM4" s="790">
        <f t="shared" si="0"/>
        <v>48273</v>
      </c>
      <c r="AN4" s="790">
        <f t="shared" si="0"/>
        <v>48365</v>
      </c>
      <c r="AO4" s="790">
        <f t="shared" si="0"/>
        <v>48457</v>
      </c>
      <c r="AP4" s="790">
        <f t="shared" si="0"/>
        <v>48548</v>
      </c>
      <c r="AQ4" s="790">
        <f t="shared" si="0"/>
        <v>48638</v>
      </c>
      <c r="AR4" s="790">
        <f t="shared" si="0"/>
        <v>48730</v>
      </c>
      <c r="AS4" s="790">
        <f t="shared" si="0"/>
        <v>48822</v>
      </c>
      <c r="AT4" s="790">
        <f t="shared" si="0"/>
        <v>48913</v>
      </c>
      <c r="AU4" s="790">
        <f t="shared" si="0"/>
        <v>49003</v>
      </c>
      <c r="AV4" s="790">
        <f t="shared" si="0"/>
        <v>49095</v>
      </c>
      <c r="AW4" s="790">
        <f t="shared" si="0"/>
        <v>49187</v>
      </c>
      <c r="AX4" s="790"/>
    </row>
    <row r="5" spans="1:50" ht="12.75" customHeight="1" x14ac:dyDescent="0.3">
      <c r="A5" s="782"/>
      <c r="B5" s="782" t="s">
        <v>2</v>
      </c>
      <c r="C5" s="782"/>
      <c r="D5" s="782"/>
      <c r="E5" s="782">
        <f>IF(E4='Venture Assumptions'!$F$6,0,D5+1)</f>
        <v>0</v>
      </c>
      <c r="F5" s="782">
        <f>IF(F4='Venture Assumptions'!$F$6,0,E5+3)</f>
        <v>3</v>
      </c>
      <c r="G5" s="782">
        <f>IF(G4='Venture Assumptions'!$F$6,0,F5+3)</f>
        <v>6</v>
      </c>
      <c r="H5" s="782">
        <f>IF(H4='Venture Assumptions'!$F$6,0,G5+3)</f>
        <v>9</v>
      </c>
      <c r="I5" s="782">
        <f>IF(I4='Venture Assumptions'!$F$6,0,H5+3)</f>
        <v>12</v>
      </c>
      <c r="J5" s="782">
        <f>IF(J4='Venture Assumptions'!$F$6,0,I5+3)</f>
        <v>15</v>
      </c>
      <c r="K5" s="782">
        <f>IF(K4='Venture Assumptions'!$F$6,0,J5+3)</f>
        <v>18</v>
      </c>
      <c r="L5" s="782">
        <f>IF(L4='Venture Assumptions'!$F$6,0,K5+3)</f>
        <v>21</v>
      </c>
      <c r="M5" s="782">
        <f>IF(M4='Venture Assumptions'!$F$6,0,L5+3)</f>
        <v>24</v>
      </c>
      <c r="N5" s="782">
        <f>IF(N4='Venture Assumptions'!$F$6,0,M5+3)</f>
        <v>27</v>
      </c>
      <c r="O5" s="782">
        <f>IF(O4='Venture Assumptions'!$F$6,0,N5+3)</f>
        <v>30</v>
      </c>
      <c r="P5" s="782">
        <f>IF(P4='Venture Assumptions'!$F$6,0,O5+3)</f>
        <v>33</v>
      </c>
      <c r="Q5" s="782">
        <f>IF(Q4='Venture Assumptions'!$F$6,0,P5+3)</f>
        <v>36</v>
      </c>
      <c r="R5" s="782">
        <f>IF(R4='Venture Assumptions'!$F$6,0,Q5+3)</f>
        <v>39</v>
      </c>
      <c r="S5" s="782">
        <f>IF(S4='Venture Assumptions'!$F$6,0,R5+3)</f>
        <v>42</v>
      </c>
      <c r="T5" s="782">
        <f>IF(T4='Venture Assumptions'!$F$6,0,S5+3)</f>
        <v>45</v>
      </c>
      <c r="U5" s="782">
        <f>IF(U4='Venture Assumptions'!$F$6,0,T5+3)</f>
        <v>48</v>
      </c>
      <c r="V5" s="782">
        <f>IF(V4='Venture Assumptions'!$F$6,0,U5+3)</f>
        <v>51</v>
      </c>
      <c r="W5" s="782">
        <f>IF(W4='Venture Assumptions'!$F$6,0,V5+3)</f>
        <v>54</v>
      </c>
      <c r="X5" s="782">
        <f>IF(X4='Venture Assumptions'!$F$6,0,W5+3)</f>
        <v>57</v>
      </c>
      <c r="Y5" s="782">
        <f>IF(Y4='Venture Assumptions'!$F$6,0,X5+3)</f>
        <v>60</v>
      </c>
      <c r="Z5" s="782">
        <f>IF(Z4='Venture Assumptions'!$F$6,0,Y5+3)</f>
        <v>63</v>
      </c>
      <c r="AA5" s="782">
        <f>IF(AA4='Venture Assumptions'!$F$6,0,Z5+3)</f>
        <v>66</v>
      </c>
      <c r="AB5" s="782">
        <f>IF(AB4='Venture Assumptions'!$F$6,0,AA5+3)</f>
        <v>69</v>
      </c>
      <c r="AC5" s="782">
        <f>IF(AC4='Venture Assumptions'!$F$6,0,AB5+3)</f>
        <v>72</v>
      </c>
      <c r="AD5" s="782">
        <f>IF(AD4='Venture Assumptions'!$F$6,0,AC5+3)</f>
        <v>75</v>
      </c>
      <c r="AE5" s="782">
        <f>IF(AE4='Venture Assumptions'!$F$6,0,AD5+3)</f>
        <v>78</v>
      </c>
      <c r="AF5" s="782">
        <f>IF(AF4='Venture Assumptions'!$F$6,0,AE5+3)</f>
        <v>81</v>
      </c>
      <c r="AG5" s="782">
        <f>IF(AG4='Venture Assumptions'!$F$6,0,AF5+3)</f>
        <v>84</v>
      </c>
      <c r="AH5" s="782">
        <f>IF(AH4='Venture Assumptions'!$F$6,0,AG5+3)</f>
        <v>87</v>
      </c>
      <c r="AI5" s="782">
        <f>IF(AI4='Venture Assumptions'!$F$6,0,AH5+3)</f>
        <v>90</v>
      </c>
      <c r="AJ5" s="782">
        <f>IF(AJ4='Venture Assumptions'!$F$6,0,AI5+3)</f>
        <v>93</v>
      </c>
      <c r="AK5" s="782">
        <f>IF(AK4='Venture Assumptions'!$F$6,0,AJ5+3)</f>
        <v>96</v>
      </c>
      <c r="AL5" s="782">
        <f>IF(AL4='Venture Assumptions'!$F$6,0,AK5+3)</f>
        <v>99</v>
      </c>
      <c r="AM5" s="782">
        <f>IF(AM4='Venture Assumptions'!$F$6,0,AL5+3)</f>
        <v>102</v>
      </c>
      <c r="AN5" s="782">
        <f>IF(AN4='Venture Assumptions'!$F$6,0,AM5+3)</f>
        <v>105</v>
      </c>
      <c r="AO5" s="782">
        <f>IF(AO4='Venture Assumptions'!$F$6,0,AN5+3)</f>
        <v>108</v>
      </c>
      <c r="AP5" s="782">
        <f>IF(AP4='Venture Assumptions'!$F$6,0,AO5+3)</f>
        <v>111</v>
      </c>
      <c r="AQ5" s="782">
        <f>IF(AQ4='Venture Assumptions'!$F$6,0,AP5+3)</f>
        <v>114</v>
      </c>
      <c r="AR5" s="782">
        <f>IF(AR4='Venture Assumptions'!$F$6,0,AQ5+3)</f>
        <v>117</v>
      </c>
      <c r="AS5" s="782">
        <f>IF(AS4='Venture Assumptions'!$F$6,0,AR5+3)</f>
        <v>120</v>
      </c>
      <c r="AT5" s="782">
        <f>IF(AT4='Venture Assumptions'!$F$6,0,AS5+3)</f>
        <v>123</v>
      </c>
      <c r="AU5" s="782">
        <f>IF(AU4='Venture Assumptions'!$F$6,0,AT5+3)</f>
        <v>126</v>
      </c>
      <c r="AV5" s="782">
        <f>IF(AV4='Venture Assumptions'!$F$6,0,AU5+3)</f>
        <v>129</v>
      </c>
      <c r="AW5" s="782">
        <f>IF(AW4='Venture Assumptions'!$F$6,0,AV5+3)</f>
        <v>132</v>
      </c>
      <c r="AX5" s="782"/>
    </row>
    <row r="6" spans="1:50" ht="12.75" customHeight="1" x14ac:dyDescent="0.3">
      <c r="A6" s="782"/>
      <c r="B6" s="782" t="s">
        <v>3</v>
      </c>
      <c r="C6" s="782"/>
      <c r="D6" s="782"/>
      <c r="E6" s="782">
        <f>YEAR(E4)</f>
        <v>2023</v>
      </c>
      <c r="F6" s="782">
        <f t="shared" ref="F6:AW6" si="1">YEAR(F4)</f>
        <v>2023</v>
      </c>
      <c r="G6" s="782">
        <f t="shared" si="1"/>
        <v>2024</v>
      </c>
      <c r="H6" s="782">
        <f t="shared" si="1"/>
        <v>2024</v>
      </c>
      <c r="I6" s="782">
        <f t="shared" si="1"/>
        <v>2024</v>
      </c>
      <c r="J6" s="782">
        <f t="shared" si="1"/>
        <v>2024</v>
      </c>
      <c r="K6" s="782">
        <f t="shared" si="1"/>
        <v>2025</v>
      </c>
      <c r="L6" s="782">
        <f t="shared" si="1"/>
        <v>2025</v>
      </c>
      <c r="M6" s="782">
        <f t="shared" si="1"/>
        <v>2025</v>
      </c>
      <c r="N6" s="782">
        <f t="shared" si="1"/>
        <v>2025</v>
      </c>
      <c r="O6" s="782">
        <f t="shared" si="1"/>
        <v>2026</v>
      </c>
      <c r="P6" s="782">
        <f t="shared" si="1"/>
        <v>2026</v>
      </c>
      <c r="Q6" s="782">
        <f t="shared" si="1"/>
        <v>2026</v>
      </c>
      <c r="R6" s="782">
        <f t="shared" si="1"/>
        <v>2026</v>
      </c>
      <c r="S6" s="782">
        <f t="shared" si="1"/>
        <v>2027</v>
      </c>
      <c r="T6" s="782">
        <f t="shared" si="1"/>
        <v>2027</v>
      </c>
      <c r="U6" s="782">
        <f t="shared" si="1"/>
        <v>2027</v>
      </c>
      <c r="V6" s="782">
        <f t="shared" si="1"/>
        <v>2027</v>
      </c>
      <c r="W6" s="782">
        <f t="shared" si="1"/>
        <v>2028</v>
      </c>
      <c r="X6" s="782">
        <f t="shared" si="1"/>
        <v>2028</v>
      </c>
      <c r="Y6" s="782">
        <f t="shared" si="1"/>
        <v>2028</v>
      </c>
      <c r="Z6" s="782">
        <f t="shared" si="1"/>
        <v>2028</v>
      </c>
      <c r="AA6" s="782">
        <f t="shared" si="1"/>
        <v>2029</v>
      </c>
      <c r="AB6" s="782">
        <f t="shared" si="1"/>
        <v>2029</v>
      </c>
      <c r="AC6" s="782">
        <f t="shared" si="1"/>
        <v>2029</v>
      </c>
      <c r="AD6" s="782">
        <f t="shared" si="1"/>
        <v>2029</v>
      </c>
      <c r="AE6" s="782">
        <f t="shared" si="1"/>
        <v>2030</v>
      </c>
      <c r="AF6" s="782">
        <f t="shared" si="1"/>
        <v>2030</v>
      </c>
      <c r="AG6" s="782">
        <f t="shared" si="1"/>
        <v>2030</v>
      </c>
      <c r="AH6" s="782">
        <f t="shared" si="1"/>
        <v>2030</v>
      </c>
      <c r="AI6" s="782">
        <f t="shared" si="1"/>
        <v>2031</v>
      </c>
      <c r="AJ6" s="782">
        <f t="shared" si="1"/>
        <v>2031</v>
      </c>
      <c r="AK6" s="782">
        <f t="shared" si="1"/>
        <v>2031</v>
      </c>
      <c r="AL6" s="782">
        <f t="shared" si="1"/>
        <v>2031</v>
      </c>
      <c r="AM6" s="782">
        <f t="shared" si="1"/>
        <v>2032</v>
      </c>
      <c r="AN6" s="782">
        <f t="shared" si="1"/>
        <v>2032</v>
      </c>
      <c r="AO6" s="782">
        <f t="shared" si="1"/>
        <v>2032</v>
      </c>
      <c r="AP6" s="782">
        <f t="shared" si="1"/>
        <v>2032</v>
      </c>
      <c r="AQ6" s="782">
        <f t="shared" si="1"/>
        <v>2033</v>
      </c>
      <c r="AR6" s="782">
        <f t="shared" si="1"/>
        <v>2033</v>
      </c>
      <c r="AS6" s="782">
        <f t="shared" si="1"/>
        <v>2033</v>
      </c>
      <c r="AT6" s="782">
        <f t="shared" si="1"/>
        <v>2033</v>
      </c>
      <c r="AU6" s="782">
        <f t="shared" si="1"/>
        <v>2034</v>
      </c>
      <c r="AV6" s="782">
        <f t="shared" si="1"/>
        <v>2034</v>
      </c>
      <c r="AW6" s="782">
        <f t="shared" si="1"/>
        <v>2034</v>
      </c>
      <c r="AX6" s="782"/>
    </row>
    <row r="7" spans="1:50" ht="12.75" hidden="1" customHeight="1" x14ac:dyDescent="0.3">
      <c r="A7" s="782"/>
      <c r="B7" s="782" t="s">
        <v>4</v>
      </c>
      <c r="C7" s="782"/>
      <c r="D7" s="782"/>
      <c r="E7" s="782">
        <f>IF(E5=0,0,INT((E5+11)/12))</f>
        <v>0</v>
      </c>
      <c r="F7" s="782">
        <f t="shared" ref="F7:AW7" si="2">IF(F5=0,0,INT((F5+11)/12))</f>
        <v>1</v>
      </c>
      <c r="G7" s="782">
        <f t="shared" si="2"/>
        <v>1</v>
      </c>
      <c r="H7" s="782">
        <f t="shared" si="2"/>
        <v>1</v>
      </c>
      <c r="I7" s="782">
        <f t="shared" si="2"/>
        <v>1</v>
      </c>
      <c r="J7" s="782">
        <f t="shared" si="2"/>
        <v>2</v>
      </c>
      <c r="K7" s="782">
        <f t="shared" si="2"/>
        <v>2</v>
      </c>
      <c r="L7" s="782">
        <f t="shared" si="2"/>
        <v>2</v>
      </c>
      <c r="M7" s="782">
        <f t="shared" si="2"/>
        <v>2</v>
      </c>
      <c r="N7" s="782">
        <f t="shared" si="2"/>
        <v>3</v>
      </c>
      <c r="O7" s="782">
        <f t="shared" si="2"/>
        <v>3</v>
      </c>
      <c r="P7" s="782">
        <f t="shared" si="2"/>
        <v>3</v>
      </c>
      <c r="Q7" s="782">
        <f t="shared" si="2"/>
        <v>3</v>
      </c>
      <c r="R7" s="782">
        <f t="shared" si="2"/>
        <v>4</v>
      </c>
      <c r="S7" s="782">
        <f t="shared" si="2"/>
        <v>4</v>
      </c>
      <c r="T7" s="782">
        <f t="shared" si="2"/>
        <v>4</v>
      </c>
      <c r="U7" s="782">
        <f t="shared" si="2"/>
        <v>4</v>
      </c>
      <c r="V7" s="782">
        <f t="shared" si="2"/>
        <v>5</v>
      </c>
      <c r="W7" s="782">
        <f t="shared" si="2"/>
        <v>5</v>
      </c>
      <c r="X7" s="782">
        <f t="shared" si="2"/>
        <v>5</v>
      </c>
      <c r="Y7" s="782">
        <f t="shared" si="2"/>
        <v>5</v>
      </c>
      <c r="Z7" s="782">
        <f t="shared" si="2"/>
        <v>6</v>
      </c>
      <c r="AA7" s="782">
        <f t="shared" si="2"/>
        <v>6</v>
      </c>
      <c r="AB7" s="782">
        <f t="shared" si="2"/>
        <v>6</v>
      </c>
      <c r="AC7" s="782">
        <f t="shared" si="2"/>
        <v>6</v>
      </c>
      <c r="AD7" s="782">
        <f t="shared" si="2"/>
        <v>7</v>
      </c>
      <c r="AE7" s="782">
        <f t="shared" si="2"/>
        <v>7</v>
      </c>
      <c r="AF7" s="782">
        <f t="shared" si="2"/>
        <v>7</v>
      </c>
      <c r="AG7" s="782">
        <f t="shared" si="2"/>
        <v>7</v>
      </c>
      <c r="AH7" s="782">
        <f t="shared" si="2"/>
        <v>8</v>
      </c>
      <c r="AI7" s="782">
        <f t="shared" si="2"/>
        <v>8</v>
      </c>
      <c r="AJ7" s="782">
        <f t="shared" si="2"/>
        <v>8</v>
      </c>
      <c r="AK7" s="782">
        <f t="shared" si="2"/>
        <v>8</v>
      </c>
      <c r="AL7" s="782">
        <f t="shared" si="2"/>
        <v>9</v>
      </c>
      <c r="AM7" s="782">
        <f t="shared" si="2"/>
        <v>9</v>
      </c>
      <c r="AN7" s="782">
        <f t="shared" si="2"/>
        <v>9</v>
      </c>
      <c r="AO7" s="782">
        <f t="shared" si="2"/>
        <v>9</v>
      </c>
      <c r="AP7" s="782">
        <f t="shared" si="2"/>
        <v>10</v>
      </c>
      <c r="AQ7" s="782">
        <f t="shared" si="2"/>
        <v>10</v>
      </c>
      <c r="AR7" s="782">
        <f t="shared" si="2"/>
        <v>10</v>
      </c>
      <c r="AS7" s="782">
        <f t="shared" si="2"/>
        <v>10</v>
      </c>
      <c r="AT7" s="782">
        <f t="shared" si="2"/>
        <v>11</v>
      </c>
      <c r="AU7" s="782">
        <f t="shared" si="2"/>
        <v>11</v>
      </c>
      <c r="AV7" s="782">
        <f t="shared" si="2"/>
        <v>11</v>
      </c>
      <c r="AW7" s="782">
        <f t="shared" si="2"/>
        <v>11</v>
      </c>
      <c r="AX7" s="782"/>
    </row>
    <row r="8" spans="1:50" ht="12.75" hidden="1" customHeight="1" x14ac:dyDescent="0.3">
      <c r="A8" s="782"/>
      <c r="B8" s="782" t="s">
        <v>215</v>
      </c>
      <c r="C8" s="782"/>
      <c r="D8" s="782"/>
      <c r="E8" s="848">
        <v>0</v>
      </c>
      <c r="F8" s="782">
        <f>+IF(E8=4,1,E8+1)</f>
        <v>1</v>
      </c>
      <c r="G8" s="782">
        <f t="shared" ref="G8:AW8" si="3">+IF(F8=4,1,F8+1)</f>
        <v>2</v>
      </c>
      <c r="H8" s="782">
        <f t="shared" si="3"/>
        <v>3</v>
      </c>
      <c r="I8" s="782">
        <f t="shared" si="3"/>
        <v>4</v>
      </c>
      <c r="J8" s="782">
        <f t="shared" si="3"/>
        <v>1</v>
      </c>
      <c r="K8" s="782">
        <f t="shared" si="3"/>
        <v>2</v>
      </c>
      <c r="L8" s="782">
        <f t="shared" si="3"/>
        <v>3</v>
      </c>
      <c r="M8" s="782">
        <f t="shared" si="3"/>
        <v>4</v>
      </c>
      <c r="N8" s="782">
        <f t="shared" si="3"/>
        <v>1</v>
      </c>
      <c r="O8" s="782">
        <f t="shared" si="3"/>
        <v>2</v>
      </c>
      <c r="P8" s="782">
        <f t="shared" si="3"/>
        <v>3</v>
      </c>
      <c r="Q8" s="782">
        <f t="shared" si="3"/>
        <v>4</v>
      </c>
      <c r="R8" s="782">
        <f t="shared" si="3"/>
        <v>1</v>
      </c>
      <c r="S8" s="782">
        <f t="shared" si="3"/>
        <v>2</v>
      </c>
      <c r="T8" s="782">
        <f t="shared" si="3"/>
        <v>3</v>
      </c>
      <c r="U8" s="782">
        <f t="shared" si="3"/>
        <v>4</v>
      </c>
      <c r="V8" s="782">
        <f t="shared" si="3"/>
        <v>1</v>
      </c>
      <c r="W8" s="782">
        <f t="shared" si="3"/>
        <v>2</v>
      </c>
      <c r="X8" s="782">
        <f t="shared" si="3"/>
        <v>3</v>
      </c>
      <c r="Y8" s="782">
        <f t="shared" si="3"/>
        <v>4</v>
      </c>
      <c r="Z8" s="782">
        <f t="shared" si="3"/>
        <v>1</v>
      </c>
      <c r="AA8" s="782">
        <f t="shared" si="3"/>
        <v>2</v>
      </c>
      <c r="AB8" s="782">
        <f t="shared" si="3"/>
        <v>3</v>
      </c>
      <c r="AC8" s="782">
        <f t="shared" si="3"/>
        <v>4</v>
      </c>
      <c r="AD8" s="782">
        <f t="shared" si="3"/>
        <v>1</v>
      </c>
      <c r="AE8" s="782">
        <f t="shared" si="3"/>
        <v>2</v>
      </c>
      <c r="AF8" s="782">
        <f t="shared" si="3"/>
        <v>3</v>
      </c>
      <c r="AG8" s="782">
        <f t="shared" si="3"/>
        <v>4</v>
      </c>
      <c r="AH8" s="782">
        <f t="shared" si="3"/>
        <v>1</v>
      </c>
      <c r="AI8" s="782">
        <f t="shared" si="3"/>
        <v>2</v>
      </c>
      <c r="AJ8" s="782">
        <f t="shared" si="3"/>
        <v>3</v>
      </c>
      <c r="AK8" s="782">
        <f t="shared" si="3"/>
        <v>4</v>
      </c>
      <c r="AL8" s="782">
        <f t="shared" si="3"/>
        <v>1</v>
      </c>
      <c r="AM8" s="782">
        <f t="shared" si="3"/>
        <v>2</v>
      </c>
      <c r="AN8" s="782">
        <f t="shared" si="3"/>
        <v>3</v>
      </c>
      <c r="AO8" s="782">
        <f t="shared" si="3"/>
        <v>4</v>
      </c>
      <c r="AP8" s="782">
        <f t="shared" si="3"/>
        <v>1</v>
      </c>
      <c r="AQ8" s="782">
        <f t="shared" si="3"/>
        <v>2</v>
      </c>
      <c r="AR8" s="782">
        <f t="shared" si="3"/>
        <v>3</v>
      </c>
      <c r="AS8" s="782">
        <f t="shared" si="3"/>
        <v>4</v>
      </c>
      <c r="AT8" s="782">
        <f t="shared" si="3"/>
        <v>1</v>
      </c>
      <c r="AU8" s="782">
        <f t="shared" si="3"/>
        <v>2</v>
      </c>
      <c r="AV8" s="782">
        <f t="shared" si="3"/>
        <v>3</v>
      </c>
      <c r="AW8" s="782">
        <f t="shared" si="3"/>
        <v>4</v>
      </c>
      <c r="AX8" s="782"/>
    </row>
    <row r="9" spans="1:50" ht="12.75" customHeight="1" x14ac:dyDescent="0.3">
      <c r="A9" s="782"/>
      <c r="B9" s="782" t="s">
        <v>216</v>
      </c>
      <c r="C9" s="782"/>
      <c r="D9" s="782"/>
      <c r="E9" s="782">
        <f>IF(E4='Venture Assumptions'!$F$6,0,D9+1)</f>
        <v>0</v>
      </c>
      <c r="F9" s="782">
        <f>IF(F4='Venture Assumptions'!$F$6,0,E9+1)</f>
        <v>1</v>
      </c>
      <c r="G9" s="782">
        <f>IF(G4='Venture Assumptions'!$F$6,0,F9+1)</f>
        <v>2</v>
      </c>
      <c r="H9" s="782">
        <f>IF(H4='Venture Assumptions'!$F$6,0,G9+1)</f>
        <v>3</v>
      </c>
      <c r="I9" s="782">
        <f>IF(I4='Venture Assumptions'!$F$6,0,H9+1)</f>
        <v>4</v>
      </c>
      <c r="J9" s="782">
        <f>IF(J4='Venture Assumptions'!$F$6,0,I9+1)</f>
        <v>5</v>
      </c>
      <c r="K9" s="782">
        <f>IF(K4='Venture Assumptions'!$F$6,0,J9+1)</f>
        <v>6</v>
      </c>
      <c r="L9" s="782">
        <f>IF(L4='Venture Assumptions'!$F$6,0,K9+1)</f>
        <v>7</v>
      </c>
      <c r="M9" s="782">
        <f>IF(M4='Venture Assumptions'!$F$6,0,L9+1)</f>
        <v>8</v>
      </c>
      <c r="N9" s="782">
        <f>IF(N4='Venture Assumptions'!$F$6,0,M9+1)</f>
        <v>9</v>
      </c>
      <c r="O9" s="782">
        <f>IF(O4='Venture Assumptions'!$F$6,0,N9+1)</f>
        <v>10</v>
      </c>
      <c r="P9" s="782">
        <f>IF(P4='Venture Assumptions'!$F$6,0,O9+1)</f>
        <v>11</v>
      </c>
      <c r="Q9" s="782">
        <f>IF(Q4='Venture Assumptions'!$F$6,0,P9+1)</f>
        <v>12</v>
      </c>
      <c r="R9" s="782">
        <f>IF(R4='Venture Assumptions'!$F$6,0,Q9+1)</f>
        <v>13</v>
      </c>
      <c r="S9" s="782">
        <f>IF(S4='Venture Assumptions'!$F$6,0,R9+1)</f>
        <v>14</v>
      </c>
      <c r="T9" s="782">
        <f>IF(T4='Venture Assumptions'!$F$6,0,S9+1)</f>
        <v>15</v>
      </c>
      <c r="U9" s="782">
        <f>IF(U4='Venture Assumptions'!$F$6,0,T9+1)</f>
        <v>16</v>
      </c>
      <c r="V9" s="782">
        <f>IF(V4='Venture Assumptions'!$F$6,0,U9+1)</f>
        <v>17</v>
      </c>
      <c r="W9" s="782">
        <f>IF(W4='Venture Assumptions'!$F$6,0,V9+1)</f>
        <v>18</v>
      </c>
      <c r="X9" s="782">
        <f>IF(X4='Venture Assumptions'!$F$6,0,W9+1)</f>
        <v>19</v>
      </c>
      <c r="Y9" s="782">
        <f>IF(Y4='Venture Assumptions'!$F$6,0,X9+1)</f>
        <v>20</v>
      </c>
      <c r="Z9" s="782">
        <f>IF(Z4='Venture Assumptions'!$F$6,0,Y9+1)</f>
        <v>21</v>
      </c>
      <c r="AA9" s="782">
        <f>IF(AA4='Venture Assumptions'!$F$6,0,Z9+1)</f>
        <v>22</v>
      </c>
      <c r="AB9" s="782">
        <f>IF(AB4='Venture Assumptions'!$F$6,0,AA9+1)</f>
        <v>23</v>
      </c>
      <c r="AC9" s="782">
        <f>IF(AC4='Venture Assumptions'!$F$6,0,AB9+1)</f>
        <v>24</v>
      </c>
      <c r="AD9" s="782">
        <f>IF(AD4='Venture Assumptions'!$F$6,0,AC9+1)</f>
        <v>25</v>
      </c>
      <c r="AE9" s="782">
        <f>IF(AE4='Venture Assumptions'!$F$6,0,AD9+1)</f>
        <v>26</v>
      </c>
      <c r="AF9" s="782">
        <f>IF(AF4='Venture Assumptions'!$F$6,0,AE9+1)</f>
        <v>27</v>
      </c>
      <c r="AG9" s="782">
        <f>IF(AG4='Venture Assumptions'!$F$6,0,AF9+1)</f>
        <v>28</v>
      </c>
      <c r="AH9" s="782">
        <f>IF(AH4='Venture Assumptions'!$F$6,0,AG9+1)</f>
        <v>29</v>
      </c>
      <c r="AI9" s="782">
        <f>IF(AI4='Venture Assumptions'!$F$6,0,AH9+1)</f>
        <v>30</v>
      </c>
      <c r="AJ9" s="782">
        <f>IF(AJ4='Venture Assumptions'!$F$6,0,AI9+1)</f>
        <v>31</v>
      </c>
      <c r="AK9" s="782">
        <f>IF(AK4='Venture Assumptions'!$F$6,0,AJ9+1)</f>
        <v>32</v>
      </c>
      <c r="AL9" s="782">
        <f>IF(AL4='Venture Assumptions'!$F$6,0,AK9+1)</f>
        <v>33</v>
      </c>
      <c r="AM9" s="782">
        <f>IF(AM4='Venture Assumptions'!$F$6,0,AL9+1)</f>
        <v>34</v>
      </c>
      <c r="AN9" s="782">
        <f>IF(AN4='Venture Assumptions'!$F$6,0,AM9+1)</f>
        <v>35</v>
      </c>
      <c r="AO9" s="782">
        <f>IF(AO4='Venture Assumptions'!$F$6,0,AN9+1)</f>
        <v>36</v>
      </c>
      <c r="AP9" s="782">
        <f>IF(AP4='Venture Assumptions'!$F$6,0,AO9+1)</f>
        <v>37</v>
      </c>
      <c r="AQ9" s="782">
        <f>IF(AQ4='Venture Assumptions'!$F$6,0,AP9+1)</f>
        <v>38</v>
      </c>
      <c r="AR9" s="782">
        <f>IF(AR4='Venture Assumptions'!$F$6,0,AQ9+1)</f>
        <v>39</v>
      </c>
      <c r="AS9" s="782">
        <f>IF(AS4='Venture Assumptions'!$F$6,0,AR9+1)</f>
        <v>40</v>
      </c>
      <c r="AT9" s="782">
        <f>IF(AT4='Venture Assumptions'!$F$6,0,AS9+1)</f>
        <v>41</v>
      </c>
      <c r="AU9" s="782">
        <f>IF(AU4='Venture Assumptions'!$F$6,0,AT9+1)</f>
        <v>42</v>
      </c>
      <c r="AV9" s="782">
        <f>IF(AV4='Venture Assumptions'!$F$6,0,AU9+1)</f>
        <v>43</v>
      </c>
      <c r="AW9" s="782">
        <f>IF(AW4='Venture Assumptions'!$F$6,0,AV9+1)</f>
        <v>44</v>
      </c>
      <c r="AX9" s="782"/>
    </row>
    <row r="10" spans="1:50" ht="12.75" customHeight="1" x14ac:dyDescent="0.3">
      <c r="A10" s="782"/>
      <c r="B10" s="782"/>
      <c r="C10" s="782"/>
      <c r="D10" s="782"/>
      <c r="E10" s="782"/>
      <c r="F10" s="782"/>
      <c r="G10" s="782"/>
      <c r="H10" s="782"/>
      <c r="I10" s="782"/>
      <c r="J10" s="782"/>
      <c r="K10" s="782"/>
      <c r="L10" s="782"/>
      <c r="M10" s="782"/>
      <c r="N10" s="782"/>
      <c r="O10" s="782"/>
      <c r="P10" s="782"/>
      <c r="Q10" s="782"/>
      <c r="R10" s="782"/>
      <c r="S10" s="782"/>
      <c r="T10" s="782"/>
      <c r="U10" s="782"/>
      <c r="V10" s="782"/>
      <c r="W10" s="782"/>
      <c r="X10" s="782"/>
      <c r="Y10" s="782"/>
      <c r="Z10" s="782"/>
      <c r="AA10" s="782"/>
      <c r="AB10" s="782"/>
      <c r="AC10" s="782"/>
      <c r="AD10" s="782"/>
      <c r="AE10" s="782"/>
      <c r="AF10" s="782"/>
      <c r="AG10" s="782"/>
      <c r="AH10" s="782"/>
      <c r="AI10" s="782"/>
      <c r="AJ10" s="782"/>
      <c r="AK10" s="782"/>
      <c r="AL10" s="782"/>
      <c r="AM10" s="782"/>
      <c r="AN10" s="782"/>
      <c r="AO10" s="782"/>
      <c r="AP10" s="782"/>
      <c r="AQ10" s="782"/>
      <c r="AR10" s="782"/>
      <c r="AS10" s="782"/>
      <c r="AT10" s="782"/>
      <c r="AU10" s="782"/>
      <c r="AV10" s="782"/>
      <c r="AW10" s="782"/>
      <c r="AX10" s="782"/>
    </row>
    <row r="11" spans="1:50" s="795" customFormat="1" ht="12.75" customHeight="1" x14ac:dyDescent="0.3">
      <c r="A11" s="1146"/>
      <c r="B11" s="793" t="s">
        <v>5</v>
      </c>
      <c r="C11" s="794"/>
      <c r="D11" s="794"/>
      <c r="E11" s="794"/>
      <c r="F11" s="794"/>
      <c r="G11" s="794"/>
      <c r="H11" s="794"/>
      <c r="I11" s="794"/>
      <c r="J11" s="794"/>
      <c r="K11" s="794"/>
      <c r="L11" s="794"/>
      <c r="M11" s="794"/>
      <c r="N11" s="794"/>
      <c r="O11" s="794"/>
      <c r="P11" s="794"/>
      <c r="Q11" s="794"/>
      <c r="R11" s="794"/>
      <c r="S11" s="794"/>
      <c r="T11" s="794"/>
      <c r="U11" s="794"/>
      <c r="V11" s="794"/>
      <c r="W11" s="794"/>
      <c r="X11" s="794"/>
      <c r="Y11" s="794"/>
      <c r="Z11" s="794"/>
      <c r="AA11" s="794"/>
      <c r="AB11" s="794"/>
      <c r="AC11" s="794"/>
      <c r="AD11" s="794"/>
      <c r="AE11" s="794"/>
      <c r="AF11" s="794"/>
      <c r="AG11" s="794"/>
      <c r="AH11" s="794"/>
      <c r="AI11" s="794"/>
      <c r="AJ11" s="794"/>
      <c r="AK11" s="794"/>
      <c r="AL11" s="794"/>
      <c r="AM11" s="794"/>
      <c r="AN11" s="794"/>
      <c r="AO11" s="794"/>
      <c r="AP11" s="794"/>
      <c r="AQ11" s="794"/>
      <c r="AR11" s="794"/>
      <c r="AS11" s="794"/>
      <c r="AT11" s="794"/>
      <c r="AU11" s="794"/>
      <c r="AV11" s="794"/>
      <c r="AW11" s="794"/>
      <c r="AX11" s="794"/>
    </row>
    <row r="12" spans="1:50" ht="12.75" customHeight="1" x14ac:dyDescent="0.3">
      <c r="A12" s="782"/>
      <c r="B12" s="782"/>
      <c r="C12" s="782"/>
      <c r="D12" s="782"/>
      <c r="E12" s="782"/>
      <c r="F12" s="782"/>
      <c r="G12" s="782"/>
      <c r="H12" s="782"/>
      <c r="I12" s="782"/>
      <c r="J12" s="782"/>
      <c r="K12" s="782"/>
      <c r="L12" s="782"/>
      <c r="M12" s="782"/>
      <c r="N12" s="782"/>
      <c r="O12" s="782"/>
      <c r="P12" s="782"/>
      <c r="Q12" s="782"/>
      <c r="R12" s="782"/>
      <c r="S12" s="782"/>
      <c r="T12" s="782"/>
      <c r="U12" s="782"/>
      <c r="V12" s="782"/>
      <c r="W12" s="782"/>
      <c r="X12" s="782"/>
      <c r="Y12" s="782"/>
      <c r="Z12" s="782"/>
      <c r="AA12" s="782"/>
      <c r="AB12" s="782"/>
      <c r="AC12" s="782"/>
      <c r="AD12" s="782"/>
      <c r="AE12" s="782"/>
      <c r="AF12" s="782"/>
      <c r="AG12" s="782"/>
      <c r="AH12" s="782"/>
      <c r="AI12" s="782"/>
      <c r="AJ12" s="782"/>
      <c r="AK12" s="782"/>
      <c r="AL12" s="782"/>
      <c r="AM12" s="782"/>
      <c r="AN12" s="782"/>
      <c r="AO12" s="782"/>
      <c r="AP12" s="782"/>
      <c r="AQ12" s="782"/>
      <c r="AR12" s="782"/>
      <c r="AS12" s="782"/>
      <c r="AT12" s="782"/>
      <c r="AU12" s="782"/>
      <c r="AV12" s="782"/>
      <c r="AW12" s="782"/>
      <c r="AX12" s="782"/>
    </row>
    <row r="13" spans="1:50" ht="12.75" customHeight="1" x14ac:dyDescent="0.3">
      <c r="A13" s="782"/>
      <c r="B13" s="796" t="s">
        <v>6</v>
      </c>
      <c r="C13" s="782"/>
      <c r="D13" s="782"/>
      <c r="E13" s="797"/>
      <c r="F13" s="782"/>
      <c r="G13" s="782"/>
      <c r="H13" s="782"/>
      <c r="I13" s="782"/>
      <c r="J13" s="782"/>
      <c r="K13" s="782"/>
      <c r="L13" s="782"/>
      <c r="M13" s="782"/>
      <c r="N13" s="782"/>
      <c r="O13" s="782"/>
      <c r="P13" s="782"/>
      <c r="Q13" s="782"/>
      <c r="R13" s="782"/>
      <c r="S13" s="782"/>
      <c r="T13" s="782"/>
      <c r="U13" s="782"/>
      <c r="V13" s="782"/>
      <c r="W13" s="782"/>
      <c r="X13" s="782"/>
      <c r="Y13" s="782"/>
      <c r="Z13" s="782"/>
      <c r="AA13" s="782"/>
      <c r="AB13" s="782"/>
      <c r="AC13" s="782"/>
      <c r="AD13" s="782"/>
      <c r="AE13" s="782"/>
      <c r="AF13" s="782"/>
      <c r="AG13" s="782"/>
      <c r="AH13" s="782"/>
      <c r="AI13" s="782"/>
      <c r="AJ13" s="782"/>
      <c r="AK13" s="782"/>
      <c r="AL13" s="782"/>
      <c r="AM13" s="782"/>
      <c r="AN13" s="782"/>
      <c r="AO13" s="782"/>
      <c r="AP13" s="782"/>
      <c r="AQ13" s="782"/>
      <c r="AR13" s="782"/>
      <c r="AS13" s="782"/>
      <c r="AT13" s="782"/>
      <c r="AU13" s="782"/>
      <c r="AV13" s="782"/>
      <c r="AW13" s="782"/>
      <c r="AX13" s="782"/>
    </row>
    <row r="14" spans="1:50" ht="12.75" customHeight="1" x14ac:dyDescent="0.3">
      <c r="A14" s="782"/>
      <c r="B14" s="782"/>
      <c r="C14" s="782"/>
      <c r="D14" s="782"/>
      <c r="E14" s="782"/>
      <c r="F14" s="782"/>
      <c r="G14" s="782"/>
      <c r="H14" s="782"/>
      <c r="I14" s="782"/>
      <c r="J14" s="782"/>
      <c r="K14" s="782"/>
      <c r="L14" s="782"/>
      <c r="M14" s="782"/>
      <c r="N14" s="782"/>
      <c r="O14" s="782"/>
      <c r="P14" s="782"/>
      <c r="Q14" s="782"/>
      <c r="R14" s="782"/>
      <c r="S14" s="782"/>
      <c r="T14" s="782"/>
      <c r="U14" s="782"/>
      <c r="V14" s="782"/>
      <c r="W14" s="782"/>
      <c r="X14" s="782"/>
      <c r="Y14" s="782"/>
      <c r="Z14" s="782"/>
      <c r="AA14" s="782"/>
      <c r="AB14" s="782"/>
      <c r="AC14" s="782"/>
      <c r="AD14" s="782"/>
      <c r="AE14" s="782"/>
      <c r="AF14" s="782"/>
      <c r="AG14" s="782"/>
      <c r="AH14" s="782"/>
      <c r="AI14" s="782"/>
      <c r="AJ14" s="782"/>
      <c r="AK14" s="782"/>
      <c r="AL14" s="782"/>
      <c r="AM14" s="782"/>
      <c r="AN14" s="782"/>
      <c r="AO14" s="782"/>
      <c r="AP14" s="782"/>
      <c r="AQ14" s="782"/>
      <c r="AR14" s="782"/>
      <c r="AS14" s="782"/>
      <c r="AT14" s="782"/>
      <c r="AU14" s="782"/>
      <c r="AV14" s="782"/>
      <c r="AW14" s="782"/>
      <c r="AX14" s="782"/>
    </row>
    <row r="15" spans="1:50" ht="12.75" customHeight="1" x14ac:dyDescent="0.3">
      <c r="A15" s="782"/>
      <c r="B15" s="782" t="s">
        <v>7</v>
      </c>
      <c r="C15" s="798">
        <f t="shared" ref="C15:C20" si="4">SUM(E15:AX15)</f>
        <v>-75647698.216711134</v>
      </c>
      <c r="D15" s="782"/>
      <c r="E15" s="798">
        <f>SUMIF('Venture Summary - Mthly'!$E$8:$EG$8,E$9,'Venture Summary - Mthly'!$E18:$EG18)</f>
        <v>-1050423.5</v>
      </c>
      <c r="F15" s="798">
        <f>SUMIF('Venture Summary - Mthly'!$E$8:$EG$8,F$9,'Venture Summary - Mthly'!$E18:$EG18)</f>
        <v>-16393217.907827348</v>
      </c>
      <c r="G15" s="798">
        <f>SUMIF('Venture Summary - Mthly'!$E$8:$EG$8,G$9,'Venture Summary - Mthly'!$E18:$EG18)</f>
        <v>-5300073.7950608227</v>
      </c>
      <c r="H15" s="798">
        <f>SUMIF('Venture Summary - Mthly'!$E$8:$EG$8,H$9,'Venture Summary - Mthly'!$E18:$EG18)</f>
        <v>-9412512.0937692411</v>
      </c>
      <c r="I15" s="798">
        <f>SUMIF('Venture Summary - Mthly'!$E$8:$EG$8,I$9,'Venture Summary - Mthly'!$E18:$EG18)</f>
        <v>-11761088.223250981</v>
      </c>
      <c r="J15" s="798">
        <f>SUMIF('Venture Summary - Mthly'!$E$8:$EG$8,J$9,'Venture Summary - Mthly'!$E18:$EG18)</f>
        <v>-11202358.640429664</v>
      </c>
      <c r="K15" s="798">
        <f>SUMIF('Venture Summary - Mthly'!$E$8:$EG$8,K$9,'Venture Summary - Mthly'!$E18:$EG18)</f>
        <v>-9049733.3559533283</v>
      </c>
      <c r="L15" s="798">
        <f>SUMIF('Venture Summary - Mthly'!$E$8:$EG$8,L$9,'Venture Summary - Mthly'!$E18:$EG18)</f>
        <v>-6936877.9161111657</v>
      </c>
      <c r="M15" s="798">
        <f>SUMIF('Venture Summary - Mthly'!$E$8:$EG$8,M$9,'Venture Summary - Mthly'!$E18:$EG18)</f>
        <v>-3866708.5000912389</v>
      </c>
      <c r="N15" s="798">
        <f>SUMIF('Venture Summary - Mthly'!$E$8:$EG$8,N$9,'Venture Summary - Mthly'!$E18:$EG18)</f>
        <v>-674704.28421734134</v>
      </c>
      <c r="O15" s="798">
        <f>SUMIF('Venture Summary - Mthly'!$E$8:$EG$8,O$9,'Venture Summary - Mthly'!$E18:$EG18)</f>
        <v>0</v>
      </c>
      <c r="P15" s="798">
        <f>SUMIF('Venture Summary - Mthly'!$E$8:$EG$8,P$9,'Venture Summary - Mthly'!$E18:$EG18)</f>
        <v>0</v>
      </c>
      <c r="Q15" s="798">
        <f>SUMIF('Venture Summary - Mthly'!$E$8:$EG$8,Q$9,'Venture Summary - Mthly'!$E18:$EG18)</f>
        <v>0</v>
      </c>
      <c r="R15" s="798">
        <f>SUMIF('Venture Summary - Mthly'!$E$8:$EG$8,R$9,'Venture Summary - Mthly'!$E18:$EG18)</f>
        <v>0</v>
      </c>
      <c r="S15" s="798">
        <f>SUMIF('Venture Summary - Mthly'!$E$8:$EG$8,S$9,'Venture Summary - Mthly'!$E18:$EG18)</f>
        <v>0</v>
      </c>
      <c r="T15" s="798">
        <f>SUMIF('Venture Summary - Mthly'!$E$8:$EG$8,T$9,'Venture Summary - Mthly'!$E18:$EG18)</f>
        <v>0</v>
      </c>
      <c r="U15" s="798">
        <f>SUMIF('Venture Summary - Mthly'!$E$8:$EG$8,U$9,'Venture Summary - Mthly'!$E18:$EG18)</f>
        <v>0</v>
      </c>
      <c r="V15" s="798">
        <f>SUMIF('Venture Summary - Mthly'!$E$8:$EG$8,V$9,'Venture Summary - Mthly'!$E18:$EG18)</f>
        <v>0</v>
      </c>
      <c r="W15" s="798">
        <f>SUMIF('Venture Summary - Mthly'!$E$8:$EG$8,W$9,'Venture Summary - Mthly'!$E18:$EG18)</f>
        <v>0</v>
      </c>
      <c r="X15" s="798">
        <f>SUMIF('Venture Summary - Mthly'!$E$8:$EG$8,X$9,'Venture Summary - Mthly'!$E18:$EG18)</f>
        <v>0</v>
      </c>
      <c r="Y15" s="798">
        <f>SUMIF('Venture Summary - Mthly'!$E$8:$EG$8,Y$9,'Venture Summary - Mthly'!$E18:$EG18)</f>
        <v>0</v>
      </c>
      <c r="Z15" s="798">
        <f>SUMIF('Venture Summary - Mthly'!$E$8:$EG$8,Z$9,'Venture Summary - Mthly'!$E18:$EG18)</f>
        <v>0</v>
      </c>
      <c r="AA15" s="798">
        <f>SUMIF('Venture Summary - Mthly'!$E$8:$EG$8,AA$9,'Venture Summary - Mthly'!$E18:$EG18)</f>
        <v>0</v>
      </c>
      <c r="AB15" s="798">
        <f>SUMIF('Venture Summary - Mthly'!$E$8:$EG$8,AB$9,'Venture Summary - Mthly'!$E18:$EG18)</f>
        <v>0</v>
      </c>
      <c r="AC15" s="798">
        <f>SUMIF('Venture Summary - Mthly'!$E$8:$EG$8,AC$9,'Venture Summary - Mthly'!$E18:$EG18)</f>
        <v>0</v>
      </c>
      <c r="AD15" s="798">
        <f>SUMIF('Venture Summary - Mthly'!$E$8:$EG$8,AD$9,'Venture Summary - Mthly'!$E18:$EG18)</f>
        <v>0</v>
      </c>
      <c r="AE15" s="798">
        <f>SUMIF('Venture Summary - Mthly'!$E$8:$EG$8,AE$9,'Venture Summary - Mthly'!$E18:$EG18)</f>
        <v>0</v>
      </c>
      <c r="AF15" s="798">
        <f>SUMIF('Venture Summary - Mthly'!$E$8:$EG$8,AF$9,'Venture Summary - Mthly'!$E18:$EG18)</f>
        <v>0</v>
      </c>
      <c r="AG15" s="798">
        <f>SUMIF('Venture Summary - Mthly'!$E$8:$EG$8,AG$9,'Venture Summary - Mthly'!$E18:$EG18)</f>
        <v>0</v>
      </c>
      <c r="AH15" s="798">
        <f>SUMIF('Venture Summary - Mthly'!$E$8:$EG$8,AH$9,'Venture Summary - Mthly'!$E18:$EG18)</f>
        <v>0</v>
      </c>
      <c r="AI15" s="798">
        <f>SUMIF('Venture Summary - Mthly'!$E$8:$EG$8,AI$9,'Venture Summary - Mthly'!$E18:$EG18)</f>
        <v>0</v>
      </c>
      <c r="AJ15" s="798">
        <f>SUMIF('Venture Summary - Mthly'!$E$8:$EG$8,AJ$9,'Venture Summary - Mthly'!$E18:$EG18)</f>
        <v>0</v>
      </c>
      <c r="AK15" s="798">
        <f>SUMIF('Venture Summary - Mthly'!$E$8:$EG$8,AK$9,'Venture Summary - Mthly'!$E18:$EG18)</f>
        <v>0</v>
      </c>
      <c r="AL15" s="798">
        <f>SUMIF('Venture Summary - Mthly'!$E$8:$EG$8,AL$9,'Venture Summary - Mthly'!$E18:$EG18)</f>
        <v>0</v>
      </c>
      <c r="AM15" s="798">
        <f>SUMIF('Venture Summary - Mthly'!$E$8:$EG$8,AM$9,'Venture Summary - Mthly'!$E18:$EG18)</f>
        <v>0</v>
      </c>
      <c r="AN15" s="798">
        <f>SUMIF('Venture Summary - Mthly'!$E$8:$EG$8,AN$9,'Venture Summary - Mthly'!$E18:$EG18)</f>
        <v>0</v>
      </c>
      <c r="AO15" s="798">
        <f>SUMIF('Venture Summary - Mthly'!$E$8:$EG$8,AO$9,'Venture Summary - Mthly'!$E18:$EG18)</f>
        <v>0</v>
      </c>
      <c r="AP15" s="798">
        <f>SUMIF('Venture Summary - Mthly'!$E$8:$EG$8,AP$9,'Venture Summary - Mthly'!$E18:$EG18)</f>
        <v>0</v>
      </c>
      <c r="AQ15" s="798">
        <f>SUMIF('Venture Summary - Mthly'!$E$8:$EG$8,AQ$9,'Venture Summary - Mthly'!$E18:$EG18)</f>
        <v>0</v>
      </c>
      <c r="AR15" s="798">
        <f>SUMIF('Venture Summary - Mthly'!$E$8:$EG$8,AR$9,'Venture Summary - Mthly'!$E18:$EG18)</f>
        <v>0</v>
      </c>
      <c r="AS15" s="798">
        <f>SUMIF('Venture Summary - Mthly'!$E$8:$EG$8,AS$9,'Venture Summary - Mthly'!$E18:$EG18)</f>
        <v>0</v>
      </c>
      <c r="AT15" s="798">
        <f>SUMIF('Venture Summary - Mthly'!$E$8:$EG$8,AT$9,'Venture Summary - Mthly'!$E18:$EG18)</f>
        <v>0</v>
      </c>
      <c r="AU15" s="798">
        <f>SUMIF('Venture Summary - Mthly'!$E$8:$EG$8,AU$9,'Venture Summary - Mthly'!$E18:$EG18)</f>
        <v>0</v>
      </c>
      <c r="AV15" s="798">
        <f>SUMIF('Venture Summary - Mthly'!$E$8:$EG$8,AV$9,'Venture Summary - Mthly'!$E18:$EG18)</f>
        <v>0</v>
      </c>
      <c r="AW15" s="798">
        <f>SUMIF('Venture Summary - Mthly'!$E$8:$EG$8,AW$9,'Venture Summary - Mthly'!$E18:$EG18)</f>
        <v>0</v>
      </c>
      <c r="AX15" s="798"/>
    </row>
    <row r="16" spans="1:50" ht="12.75" customHeight="1" x14ac:dyDescent="0.3">
      <c r="A16" s="782"/>
      <c r="B16" s="782" t="s">
        <v>8</v>
      </c>
      <c r="C16" s="798">
        <f t="shared" si="4"/>
        <v>37413661.974816918</v>
      </c>
      <c r="D16" s="782"/>
      <c r="E16" s="798">
        <f>SUMIF('Venture Summary - Mthly'!$E$8:$EG$8,E$9,'Venture Summary - Mthly'!$E19:$EG19)</f>
        <v>0</v>
      </c>
      <c r="F16" s="798">
        <f>SUMIF('Venture Summary - Mthly'!$E$8:$EG$8,F$9,'Venture Summary - Mthly'!$E19:$EG19)</f>
        <v>0</v>
      </c>
      <c r="G16" s="798">
        <f>SUMIF('Venture Summary - Mthly'!$E$8:$EG$8,G$9,'Venture Summary - Mthly'!$E19:$EG19)</f>
        <v>0</v>
      </c>
      <c r="H16" s="798">
        <f>SUMIF('Venture Summary - Mthly'!$E$8:$EG$8,H$9,'Venture Summary - Mthly'!$E19:$EG19)</f>
        <v>0</v>
      </c>
      <c r="I16" s="798">
        <f>SUMIF('Venture Summary - Mthly'!$E$8:$EG$8,I$9,'Venture Summary - Mthly'!$E19:$EG19)</f>
        <v>0</v>
      </c>
      <c r="J16" s="798">
        <f>SUMIF('Venture Summary - Mthly'!$E$8:$EG$8,J$9,'Venture Summary - Mthly'!$E19:$EG19)</f>
        <v>-161974.56213397888</v>
      </c>
      <c r="K16" s="798">
        <f>SUMIF('Venture Summary - Mthly'!$E$8:$EG$8,K$9,'Venture Summary - Mthly'!$E19:$EG19)</f>
        <v>-167105.97191032965</v>
      </c>
      <c r="L16" s="798">
        <f>SUMIF('Venture Summary - Mthly'!$E$8:$EG$8,L$9,'Venture Summary - Mthly'!$E19:$EG19)</f>
        <v>177656.80540940692</v>
      </c>
      <c r="M16" s="798">
        <f>SUMIF('Venture Summary - Mthly'!$E$8:$EG$8,M$9,'Venture Summary - Mthly'!$E19:$EG19)</f>
        <v>638027.36189662945</v>
      </c>
      <c r="N16" s="798">
        <f>SUMIF('Venture Summary - Mthly'!$E$8:$EG$8,N$9,'Venture Summary - Mthly'!$E19:$EG19)</f>
        <v>1127110.1671177624</v>
      </c>
      <c r="O16" s="798">
        <f>SUMIF('Venture Summary - Mthly'!$E$8:$EG$8,O$9,'Venture Summary - Mthly'!$E19:$EG19)</f>
        <v>1370295.1106206644</v>
      </c>
      <c r="P16" s="798">
        <f>SUMIF('Venture Summary - Mthly'!$E$8:$EG$8,P$9,'Venture Summary - Mthly'!$E19:$EG19)</f>
        <v>1390339.2306506212</v>
      </c>
      <c r="Q16" s="798">
        <f>SUMIF('Venture Summary - Mthly'!$E$8:$EG$8,Q$9,'Venture Summary - Mthly'!$E19:$EG19)</f>
        <v>1415305.9955073735</v>
      </c>
      <c r="R16" s="798">
        <f>SUMIF('Venture Summary - Mthly'!$E$8:$EG$8,R$9,'Venture Summary - Mthly'!$E19:$EG19)</f>
        <v>1439534.9424936878</v>
      </c>
      <c r="S16" s="798">
        <f>SUMIF('Venture Summary - Mthly'!$E$8:$EG$8,S$9,'Venture Summary - Mthly'!$E19:$EG19)</f>
        <v>1441207.397731672</v>
      </c>
      <c r="T16" s="798">
        <f>SUMIF('Venture Summary - Mthly'!$E$8:$EG$8,T$9,'Venture Summary - Mthly'!$E19:$EG19)</f>
        <v>1461763.1758116088</v>
      </c>
      <c r="U16" s="798">
        <f>SUMIF('Venture Summary - Mthly'!$E$8:$EG$8,U$9,'Venture Summary - Mthly'!$E19:$EG19)</f>
        <v>1482676.9195883549</v>
      </c>
      <c r="V16" s="798">
        <f>SUMIF('Venture Summary - Mthly'!$E$8:$EG$8,V$9,'Venture Summary - Mthly'!$E19:$EG19)</f>
        <v>1501118.8158762024</v>
      </c>
      <c r="W16" s="798">
        <f>SUMIF('Venture Summary - Mthly'!$E$8:$EG$8,W$9,'Venture Summary - Mthly'!$E19:$EG19)</f>
        <v>1500924.8497949294</v>
      </c>
      <c r="X16" s="798">
        <f>SUMIF('Venture Summary - Mthly'!$E$8:$EG$8,X$9,'Venture Summary - Mthly'!$E19:$EG19)</f>
        <v>1517440.3654109142</v>
      </c>
      <c r="Y16" s="798">
        <f>SUMIF('Venture Summary - Mthly'!$E$8:$EG$8,Y$9,'Venture Summary - Mthly'!$E19:$EG19)</f>
        <v>1537074.8274641787</v>
      </c>
      <c r="Z16" s="798">
        <f>SUMIF('Venture Summary - Mthly'!$E$8:$EG$8,Z$9,'Venture Summary - Mthly'!$E19:$EG19)</f>
        <v>1557785.017608972</v>
      </c>
      <c r="AA16" s="798">
        <f>SUMIF('Venture Summary - Mthly'!$E$8:$EG$8,AA$9,'Venture Summary - Mthly'!$E19:$EG19)</f>
        <v>1560438.9650751748</v>
      </c>
      <c r="AB16" s="798">
        <f>SUMIF('Venture Summary - Mthly'!$E$8:$EG$8,AB$9,'Venture Summary - Mthly'!$E19:$EG19)</f>
        <v>1580540.6650120413</v>
      </c>
      <c r="AC16" s="798">
        <f>SUMIF('Venture Summary - Mthly'!$E$8:$EG$8,AC$9,'Venture Summary - Mthly'!$E19:$EG19)</f>
        <v>1603121.9808628024</v>
      </c>
      <c r="AD16" s="798">
        <f>SUMIF('Venture Summary - Mthly'!$E$8:$EG$8,AD$9,'Venture Summary - Mthly'!$E19:$EG19)</f>
        <v>1625562.840396252</v>
      </c>
      <c r="AE16" s="798">
        <f>SUMIF('Venture Summary - Mthly'!$E$8:$EG$8,AE$9,'Venture Summary - Mthly'!$E19:$EG19)</f>
        <v>1628616.4261077703</v>
      </c>
      <c r="AF16" s="798">
        <f>SUMIF('Venture Summary - Mthly'!$E$8:$EG$8,AF$9,'Venture Summary - Mthly'!$E19:$EG19)</f>
        <v>1649540.5697009424</v>
      </c>
      <c r="AG16" s="798">
        <f>SUMIF('Venture Summary - Mthly'!$E$8:$EG$8,AG$9,'Venture Summary - Mthly'!$E19:$EG19)</f>
        <v>1673048.939487732</v>
      </c>
      <c r="AH16" s="798">
        <f>SUMIF('Venture Summary - Mthly'!$E$8:$EG$8,AH$9,'Venture Summary - Mthly'!$E19:$EG19)</f>
        <v>1696410.712331648</v>
      </c>
      <c r="AI16" s="798">
        <f>SUMIF('Venture Summary - Mthly'!$E$8:$EG$8,AI$9,'Venture Summary - Mthly'!$E19:$EG19)</f>
        <v>1699721.857353711</v>
      </c>
      <c r="AJ16" s="798">
        <f>SUMIF('Venture Summary - Mthly'!$E$8:$EG$8,AJ$9,'Venture Summary - Mthly'!$E19:$EG19)</f>
        <v>1721502.391552879</v>
      </c>
      <c r="AK16" s="798">
        <f>SUMIF('Venture Summary - Mthly'!$E$8:$EG$8,AK$9,'Venture Summary - Mthly'!$E19:$EG19)</f>
        <v>1745976.1779972864</v>
      </c>
      <c r="AL16" s="798">
        <f>SUMIF('Venture Summary - Mthly'!$E$8:$EG$8,AL$9,'Venture Summary - Mthly'!$E19:$EG19)</f>
        <v>0</v>
      </c>
      <c r="AM16" s="798">
        <f>SUMIF('Venture Summary - Mthly'!$E$8:$EG$8,AM$9,'Venture Summary - Mthly'!$E19:$EG19)</f>
        <v>0</v>
      </c>
      <c r="AN16" s="798">
        <f>SUMIF('Venture Summary - Mthly'!$E$8:$EG$8,AN$9,'Venture Summary - Mthly'!$E19:$EG19)</f>
        <v>0</v>
      </c>
      <c r="AO16" s="798">
        <f>SUMIF('Venture Summary - Mthly'!$E$8:$EG$8,AO$9,'Venture Summary - Mthly'!$E19:$EG19)</f>
        <v>0</v>
      </c>
      <c r="AP16" s="798">
        <f>SUMIF('Venture Summary - Mthly'!$E$8:$EG$8,AP$9,'Venture Summary - Mthly'!$E19:$EG19)</f>
        <v>0</v>
      </c>
      <c r="AQ16" s="798">
        <f>SUMIF('Venture Summary - Mthly'!$E$8:$EG$8,AQ$9,'Venture Summary - Mthly'!$E19:$EG19)</f>
        <v>0</v>
      </c>
      <c r="AR16" s="798">
        <f>SUMIF('Venture Summary - Mthly'!$E$8:$EG$8,AR$9,'Venture Summary - Mthly'!$E19:$EG19)</f>
        <v>0</v>
      </c>
      <c r="AS16" s="798">
        <f>SUMIF('Venture Summary - Mthly'!$E$8:$EG$8,AS$9,'Venture Summary - Mthly'!$E19:$EG19)</f>
        <v>0</v>
      </c>
      <c r="AT16" s="798">
        <f>SUMIF('Venture Summary - Mthly'!$E$8:$EG$8,AT$9,'Venture Summary - Mthly'!$E19:$EG19)</f>
        <v>0</v>
      </c>
      <c r="AU16" s="798">
        <f>SUMIF('Venture Summary - Mthly'!$E$8:$EG$8,AU$9,'Venture Summary - Mthly'!$E19:$EG19)</f>
        <v>0</v>
      </c>
      <c r="AV16" s="798">
        <f>SUMIF('Venture Summary - Mthly'!$E$8:$EG$8,AV$9,'Venture Summary - Mthly'!$E19:$EG19)</f>
        <v>0</v>
      </c>
      <c r="AW16" s="798">
        <f>SUMIF('Venture Summary - Mthly'!$E$8:$EG$8,AW$9,'Venture Summary - Mthly'!$E19:$EG19)</f>
        <v>0</v>
      </c>
      <c r="AX16" s="798"/>
    </row>
    <row r="17" spans="1:50" ht="12.75" customHeight="1" x14ac:dyDescent="0.3">
      <c r="A17" s="782"/>
      <c r="B17" s="782" t="s">
        <v>9</v>
      </c>
      <c r="C17" s="798">
        <f t="shared" si="4"/>
        <v>-71428.57142857142</v>
      </c>
      <c r="D17" s="782"/>
      <c r="E17" s="798">
        <f>SUMIF('Venture Summary - Mthly'!$E$8:$EG$8,E$9,'Venture Summary - Mthly'!$E20:$EG20)</f>
        <v>-71428.57142857142</v>
      </c>
      <c r="F17" s="798">
        <f>SUMIF('Venture Summary - Mthly'!$E$8:$EG$8,F$9,'Venture Summary - Mthly'!$E20:$EG20)</f>
        <v>0</v>
      </c>
      <c r="G17" s="798">
        <f>SUMIF('Venture Summary - Mthly'!$E$8:$EG$8,G$9,'Venture Summary - Mthly'!$E20:$EG20)</f>
        <v>0</v>
      </c>
      <c r="H17" s="798">
        <f>SUMIF('Venture Summary - Mthly'!$E$8:$EG$8,H$9,'Venture Summary - Mthly'!$E20:$EG20)</f>
        <v>0</v>
      </c>
      <c r="I17" s="798">
        <f>SUMIF('Venture Summary - Mthly'!$E$8:$EG$8,I$9,'Venture Summary - Mthly'!$E20:$EG20)</f>
        <v>0</v>
      </c>
      <c r="J17" s="798">
        <f>SUMIF('Venture Summary - Mthly'!$E$8:$EG$8,J$9,'Venture Summary - Mthly'!$E20:$EG20)</f>
        <v>0</v>
      </c>
      <c r="K17" s="798">
        <f>SUMIF('Venture Summary - Mthly'!$E$8:$EG$8,K$9,'Venture Summary - Mthly'!$E20:$EG20)</f>
        <v>0</v>
      </c>
      <c r="L17" s="798">
        <f>SUMIF('Venture Summary - Mthly'!$E$8:$EG$8,L$9,'Venture Summary - Mthly'!$E20:$EG20)</f>
        <v>0</v>
      </c>
      <c r="M17" s="798">
        <f>SUMIF('Venture Summary - Mthly'!$E$8:$EG$8,M$9,'Venture Summary - Mthly'!$E20:$EG20)</f>
        <v>0</v>
      </c>
      <c r="N17" s="798">
        <f>SUMIF('Venture Summary - Mthly'!$E$8:$EG$8,N$9,'Venture Summary - Mthly'!$E20:$EG20)</f>
        <v>0</v>
      </c>
      <c r="O17" s="798">
        <f>SUMIF('Venture Summary - Mthly'!$E$8:$EG$8,O$9,'Venture Summary - Mthly'!$E20:$EG20)</f>
        <v>0</v>
      </c>
      <c r="P17" s="798">
        <f>SUMIF('Venture Summary - Mthly'!$E$8:$EG$8,P$9,'Venture Summary - Mthly'!$E20:$EG20)</f>
        <v>0</v>
      </c>
      <c r="Q17" s="798">
        <f>SUMIF('Venture Summary - Mthly'!$E$8:$EG$8,Q$9,'Venture Summary - Mthly'!$E20:$EG20)</f>
        <v>0</v>
      </c>
      <c r="R17" s="798">
        <f>SUMIF('Venture Summary - Mthly'!$E$8:$EG$8,R$9,'Venture Summary - Mthly'!$E20:$EG20)</f>
        <v>0</v>
      </c>
      <c r="S17" s="798">
        <f>SUMIF('Venture Summary - Mthly'!$E$8:$EG$8,S$9,'Venture Summary - Mthly'!$E20:$EG20)</f>
        <v>0</v>
      </c>
      <c r="T17" s="798">
        <f>SUMIF('Venture Summary - Mthly'!$E$8:$EG$8,T$9,'Venture Summary - Mthly'!$E20:$EG20)</f>
        <v>0</v>
      </c>
      <c r="U17" s="798">
        <f>SUMIF('Venture Summary - Mthly'!$E$8:$EG$8,U$9,'Venture Summary - Mthly'!$E20:$EG20)</f>
        <v>0</v>
      </c>
      <c r="V17" s="798">
        <f>SUMIF('Venture Summary - Mthly'!$E$8:$EG$8,V$9,'Venture Summary - Mthly'!$E20:$EG20)</f>
        <v>0</v>
      </c>
      <c r="W17" s="798">
        <f>SUMIF('Venture Summary - Mthly'!$E$8:$EG$8,W$9,'Venture Summary - Mthly'!$E20:$EG20)</f>
        <v>0</v>
      </c>
      <c r="X17" s="798">
        <f>SUMIF('Venture Summary - Mthly'!$E$8:$EG$8,X$9,'Venture Summary - Mthly'!$E20:$EG20)</f>
        <v>0</v>
      </c>
      <c r="Y17" s="798">
        <f>SUMIF('Venture Summary - Mthly'!$E$8:$EG$8,Y$9,'Venture Summary - Mthly'!$E20:$EG20)</f>
        <v>0</v>
      </c>
      <c r="Z17" s="798">
        <f>SUMIF('Venture Summary - Mthly'!$E$8:$EG$8,Z$9,'Venture Summary - Mthly'!$E20:$EG20)</f>
        <v>0</v>
      </c>
      <c r="AA17" s="798">
        <f>SUMIF('Venture Summary - Mthly'!$E$8:$EG$8,AA$9,'Venture Summary - Mthly'!$E20:$EG20)</f>
        <v>0</v>
      </c>
      <c r="AB17" s="798">
        <f>SUMIF('Venture Summary - Mthly'!$E$8:$EG$8,AB$9,'Venture Summary - Mthly'!$E20:$EG20)</f>
        <v>0</v>
      </c>
      <c r="AC17" s="798">
        <f>SUMIF('Venture Summary - Mthly'!$E$8:$EG$8,AC$9,'Venture Summary - Mthly'!$E20:$EG20)</f>
        <v>0</v>
      </c>
      <c r="AD17" s="798">
        <f>SUMIF('Venture Summary - Mthly'!$E$8:$EG$8,AD$9,'Venture Summary - Mthly'!$E20:$EG20)</f>
        <v>0</v>
      </c>
      <c r="AE17" s="798">
        <f>SUMIF('Venture Summary - Mthly'!$E$8:$EG$8,AE$9,'Venture Summary - Mthly'!$E20:$EG20)</f>
        <v>0</v>
      </c>
      <c r="AF17" s="798">
        <f>SUMIF('Venture Summary - Mthly'!$E$8:$EG$8,AF$9,'Venture Summary - Mthly'!$E20:$EG20)</f>
        <v>0</v>
      </c>
      <c r="AG17" s="798">
        <f>SUMIF('Venture Summary - Mthly'!$E$8:$EG$8,AG$9,'Venture Summary - Mthly'!$E20:$EG20)</f>
        <v>0</v>
      </c>
      <c r="AH17" s="798">
        <f>SUMIF('Venture Summary - Mthly'!$E$8:$EG$8,AH$9,'Venture Summary - Mthly'!$E20:$EG20)</f>
        <v>0</v>
      </c>
      <c r="AI17" s="798">
        <f>SUMIF('Venture Summary - Mthly'!$E$8:$EG$8,AI$9,'Venture Summary - Mthly'!$E20:$EG20)</f>
        <v>0</v>
      </c>
      <c r="AJ17" s="798">
        <f>SUMIF('Venture Summary - Mthly'!$E$8:$EG$8,AJ$9,'Venture Summary - Mthly'!$E20:$EG20)</f>
        <v>0</v>
      </c>
      <c r="AK17" s="798">
        <f>SUMIF('Venture Summary - Mthly'!$E$8:$EG$8,AK$9,'Venture Summary - Mthly'!$E20:$EG20)</f>
        <v>0</v>
      </c>
      <c r="AL17" s="798">
        <f>SUMIF('Venture Summary - Mthly'!$E$8:$EG$8,AL$9,'Venture Summary - Mthly'!$E20:$EG20)</f>
        <v>0</v>
      </c>
      <c r="AM17" s="798">
        <f>SUMIF('Venture Summary - Mthly'!$E$8:$EG$8,AM$9,'Venture Summary - Mthly'!$E20:$EG20)</f>
        <v>0</v>
      </c>
      <c r="AN17" s="798">
        <f>SUMIF('Venture Summary - Mthly'!$E$8:$EG$8,AN$9,'Venture Summary - Mthly'!$E20:$EG20)</f>
        <v>0</v>
      </c>
      <c r="AO17" s="798">
        <f>SUMIF('Venture Summary - Mthly'!$E$8:$EG$8,AO$9,'Venture Summary - Mthly'!$E20:$EG20)</f>
        <v>0</v>
      </c>
      <c r="AP17" s="798">
        <f>SUMIF('Venture Summary - Mthly'!$E$8:$EG$8,AP$9,'Venture Summary - Mthly'!$E20:$EG20)</f>
        <v>0</v>
      </c>
      <c r="AQ17" s="798">
        <f>SUMIF('Venture Summary - Mthly'!$E$8:$EG$8,AQ$9,'Venture Summary - Mthly'!$E20:$EG20)</f>
        <v>0</v>
      </c>
      <c r="AR17" s="798">
        <f>SUMIF('Venture Summary - Mthly'!$E$8:$EG$8,AR$9,'Venture Summary - Mthly'!$E20:$EG20)</f>
        <v>0</v>
      </c>
      <c r="AS17" s="798">
        <f>SUMIF('Venture Summary - Mthly'!$E$8:$EG$8,AS$9,'Venture Summary - Mthly'!$E20:$EG20)</f>
        <v>0</v>
      </c>
      <c r="AT17" s="798">
        <f>SUMIF('Venture Summary - Mthly'!$E$8:$EG$8,AT$9,'Venture Summary - Mthly'!$E20:$EG20)</f>
        <v>0</v>
      </c>
      <c r="AU17" s="798">
        <f>SUMIF('Venture Summary - Mthly'!$E$8:$EG$8,AU$9,'Venture Summary - Mthly'!$E20:$EG20)</f>
        <v>0</v>
      </c>
      <c r="AV17" s="798">
        <f>SUMIF('Venture Summary - Mthly'!$E$8:$EG$8,AV$9,'Venture Summary - Mthly'!$E20:$EG20)</f>
        <v>0</v>
      </c>
      <c r="AW17" s="798">
        <f>SUMIF('Venture Summary - Mthly'!$E$8:$EG$8,AW$9,'Venture Summary - Mthly'!$E20:$EG20)</f>
        <v>0</v>
      </c>
      <c r="AX17" s="798"/>
    </row>
    <row r="18" spans="1:50" ht="12.75" customHeight="1" x14ac:dyDescent="0.3">
      <c r="A18" s="782"/>
      <c r="B18" s="782" t="s">
        <v>10</v>
      </c>
      <c r="C18" s="798">
        <f t="shared" si="4"/>
        <v>-800000</v>
      </c>
      <c r="D18" s="782"/>
      <c r="E18" s="798">
        <f>SUMIF('Venture Summary - Mthly'!$E$8:$EG$8,E$9,'Venture Summary - Mthly'!$E21:$EG21)</f>
        <v>0</v>
      </c>
      <c r="F18" s="798">
        <f>SUMIF('Venture Summary - Mthly'!$E$8:$EG$8,F$9,'Venture Summary - Mthly'!$E21:$EG21)</f>
        <v>-25000</v>
      </c>
      <c r="G18" s="798">
        <f>SUMIF('Venture Summary - Mthly'!$E$8:$EG$8,G$9,'Venture Summary - Mthly'!$E21:$EG21)</f>
        <v>-25000</v>
      </c>
      <c r="H18" s="798">
        <f>SUMIF('Venture Summary - Mthly'!$E$8:$EG$8,H$9,'Venture Summary - Mthly'!$E21:$EG21)</f>
        <v>-25000</v>
      </c>
      <c r="I18" s="798">
        <f>SUMIF('Venture Summary - Mthly'!$E$8:$EG$8,I$9,'Venture Summary - Mthly'!$E21:$EG21)</f>
        <v>-25000</v>
      </c>
      <c r="J18" s="798">
        <f>SUMIF('Venture Summary - Mthly'!$E$8:$EG$8,J$9,'Venture Summary - Mthly'!$E21:$EG21)</f>
        <v>-25000</v>
      </c>
      <c r="K18" s="798">
        <f>SUMIF('Venture Summary - Mthly'!$E$8:$EG$8,K$9,'Venture Summary - Mthly'!$E21:$EG21)</f>
        <v>-25000</v>
      </c>
      <c r="L18" s="798">
        <f>SUMIF('Venture Summary - Mthly'!$E$8:$EG$8,L$9,'Venture Summary - Mthly'!$E21:$EG21)</f>
        <v>-25000</v>
      </c>
      <c r="M18" s="798">
        <f>SUMIF('Venture Summary - Mthly'!$E$8:$EG$8,M$9,'Venture Summary - Mthly'!$E21:$EG21)</f>
        <v>-25000</v>
      </c>
      <c r="N18" s="798">
        <f>SUMIF('Venture Summary - Mthly'!$E$8:$EG$8,N$9,'Venture Summary - Mthly'!$E21:$EG21)</f>
        <v>-25000</v>
      </c>
      <c r="O18" s="798">
        <f>SUMIF('Venture Summary - Mthly'!$E$8:$EG$8,O$9,'Venture Summary - Mthly'!$E21:$EG21)</f>
        <v>-25000</v>
      </c>
      <c r="P18" s="798">
        <f>SUMIF('Venture Summary - Mthly'!$E$8:$EG$8,P$9,'Venture Summary - Mthly'!$E21:$EG21)</f>
        <v>-25000</v>
      </c>
      <c r="Q18" s="798">
        <f>SUMIF('Venture Summary - Mthly'!$E$8:$EG$8,Q$9,'Venture Summary - Mthly'!$E21:$EG21)</f>
        <v>-25000</v>
      </c>
      <c r="R18" s="798">
        <f>SUMIF('Venture Summary - Mthly'!$E$8:$EG$8,R$9,'Venture Summary - Mthly'!$E21:$EG21)</f>
        <v>-25000</v>
      </c>
      <c r="S18" s="798">
        <f>SUMIF('Venture Summary - Mthly'!$E$8:$EG$8,S$9,'Venture Summary - Mthly'!$E21:$EG21)</f>
        <v>-25000</v>
      </c>
      <c r="T18" s="798">
        <f>SUMIF('Venture Summary - Mthly'!$E$8:$EG$8,T$9,'Venture Summary - Mthly'!$E21:$EG21)</f>
        <v>-25000</v>
      </c>
      <c r="U18" s="798">
        <f>SUMIF('Venture Summary - Mthly'!$E$8:$EG$8,U$9,'Venture Summary - Mthly'!$E21:$EG21)</f>
        <v>-25000</v>
      </c>
      <c r="V18" s="798">
        <f>SUMIF('Venture Summary - Mthly'!$E$8:$EG$8,V$9,'Venture Summary - Mthly'!$E21:$EG21)</f>
        <v>-25000</v>
      </c>
      <c r="W18" s="798">
        <f>SUMIF('Venture Summary - Mthly'!$E$8:$EG$8,W$9,'Venture Summary - Mthly'!$E21:$EG21)</f>
        <v>-25000</v>
      </c>
      <c r="X18" s="798">
        <f>SUMIF('Venture Summary - Mthly'!$E$8:$EG$8,X$9,'Venture Summary - Mthly'!$E21:$EG21)</f>
        <v>-25000</v>
      </c>
      <c r="Y18" s="798">
        <f>SUMIF('Venture Summary - Mthly'!$E$8:$EG$8,Y$9,'Venture Summary - Mthly'!$E21:$EG21)</f>
        <v>-25000</v>
      </c>
      <c r="Z18" s="798">
        <f>SUMIF('Venture Summary - Mthly'!$E$8:$EG$8,Z$9,'Venture Summary - Mthly'!$E21:$EG21)</f>
        <v>-25000</v>
      </c>
      <c r="AA18" s="798">
        <f>SUMIF('Venture Summary - Mthly'!$E$8:$EG$8,AA$9,'Venture Summary - Mthly'!$E21:$EG21)</f>
        <v>-25000</v>
      </c>
      <c r="AB18" s="798">
        <f>SUMIF('Venture Summary - Mthly'!$E$8:$EG$8,AB$9,'Venture Summary - Mthly'!$E21:$EG21)</f>
        <v>-25000</v>
      </c>
      <c r="AC18" s="798">
        <f>SUMIF('Venture Summary - Mthly'!$E$8:$EG$8,AC$9,'Venture Summary - Mthly'!$E21:$EG21)</f>
        <v>-25000</v>
      </c>
      <c r="AD18" s="798">
        <f>SUMIF('Venture Summary - Mthly'!$E$8:$EG$8,AD$9,'Venture Summary - Mthly'!$E21:$EG21)</f>
        <v>-25000</v>
      </c>
      <c r="AE18" s="798">
        <f>SUMIF('Venture Summary - Mthly'!$E$8:$EG$8,AE$9,'Venture Summary - Mthly'!$E21:$EG21)</f>
        <v>-25000</v>
      </c>
      <c r="AF18" s="798">
        <f>SUMIF('Venture Summary - Mthly'!$E$8:$EG$8,AF$9,'Venture Summary - Mthly'!$E21:$EG21)</f>
        <v>-25000</v>
      </c>
      <c r="AG18" s="798">
        <f>SUMIF('Venture Summary - Mthly'!$E$8:$EG$8,AG$9,'Venture Summary - Mthly'!$E21:$EG21)</f>
        <v>-25000</v>
      </c>
      <c r="AH18" s="798">
        <f>SUMIF('Venture Summary - Mthly'!$E$8:$EG$8,AH$9,'Venture Summary - Mthly'!$E21:$EG21)</f>
        <v>-25000</v>
      </c>
      <c r="AI18" s="798">
        <f>SUMIF('Venture Summary - Mthly'!$E$8:$EG$8,AI$9,'Venture Summary - Mthly'!$E21:$EG21)</f>
        <v>-25000</v>
      </c>
      <c r="AJ18" s="798">
        <f>SUMIF('Venture Summary - Mthly'!$E$8:$EG$8,AJ$9,'Venture Summary - Mthly'!$E21:$EG21)</f>
        <v>-25000</v>
      </c>
      <c r="AK18" s="798">
        <f>SUMIF('Venture Summary - Mthly'!$E$8:$EG$8,AK$9,'Venture Summary - Mthly'!$E21:$EG21)</f>
        <v>-25000</v>
      </c>
      <c r="AL18" s="798">
        <f>SUMIF('Venture Summary - Mthly'!$E$8:$EG$8,AL$9,'Venture Summary - Mthly'!$E21:$EG21)</f>
        <v>0</v>
      </c>
      <c r="AM18" s="798">
        <f>SUMIF('Venture Summary - Mthly'!$E$8:$EG$8,AM$9,'Venture Summary - Mthly'!$E21:$EG21)</f>
        <v>0</v>
      </c>
      <c r="AN18" s="798">
        <f>SUMIF('Venture Summary - Mthly'!$E$8:$EG$8,AN$9,'Venture Summary - Mthly'!$E21:$EG21)</f>
        <v>0</v>
      </c>
      <c r="AO18" s="798">
        <f>SUMIF('Venture Summary - Mthly'!$E$8:$EG$8,AO$9,'Venture Summary - Mthly'!$E21:$EG21)</f>
        <v>0</v>
      </c>
      <c r="AP18" s="798">
        <f>SUMIF('Venture Summary - Mthly'!$E$8:$EG$8,AP$9,'Venture Summary - Mthly'!$E21:$EG21)</f>
        <v>0</v>
      </c>
      <c r="AQ18" s="798">
        <f>SUMIF('Venture Summary - Mthly'!$E$8:$EG$8,AQ$9,'Venture Summary - Mthly'!$E21:$EG21)</f>
        <v>0</v>
      </c>
      <c r="AR18" s="798">
        <f>SUMIF('Venture Summary - Mthly'!$E$8:$EG$8,AR$9,'Venture Summary - Mthly'!$E21:$EG21)</f>
        <v>0</v>
      </c>
      <c r="AS18" s="798">
        <f>SUMIF('Venture Summary - Mthly'!$E$8:$EG$8,AS$9,'Venture Summary - Mthly'!$E21:$EG21)</f>
        <v>0</v>
      </c>
      <c r="AT18" s="798">
        <f>SUMIF('Venture Summary - Mthly'!$E$8:$EG$8,AT$9,'Venture Summary - Mthly'!$E21:$EG21)</f>
        <v>0</v>
      </c>
      <c r="AU18" s="798">
        <f>SUMIF('Venture Summary - Mthly'!$E$8:$EG$8,AU$9,'Venture Summary - Mthly'!$E21:$EG21)</f>
        <v>0</v>
      </c>
      <c r="AV18" s="798">
        <f>SUMIF('Venture Summary - Mthly'!$E$8:$EG$8,AV$9,'Venture Summary - Mthly'!$E21:$EG21)</f>
        <v>0</v>
      </c>
      <c r="AW18" s="798">
        <f>SUMIF('Venture Summary - Mthly'!$E$8:$EG$8,AW$9,'Venture Summary - Mthly'!$E21:$EG21)</f>
        <v>0</v>
      </c>
      <c r="AX18" s="798"/>
    </row>
    <row r="19" spans="1:50" ht="12.75" customHeight="1" x14ac:dyDescent="0.3">
      <c r="A19" s="782"/>
      <c r="B19" s="781" t="s">
        <v>11</v>
      </c>
      <c r="C19" s="799">
        <f t="shared" si="4"/>
        <v>129660985.44941077</v>
      </c>
      <c r="D19" s="781"/>
      <c r="E19" s="799">
        <f>SUMIF('Venture Summary - Mthly'!$E$8:$EG$8,E$9,'Venture Summary - Mthly'!$E22:$EG22)</f>
        <v>0</v>
      </c>
      <c r="F19" s="799">
        <f>SUMIF('Venture Summary - Mthly'!$E$8:$EG$8,F$9,'Venture Summary - Mthly'!$E22:$EG22)</f>
        <v>0</v>
      </c>
      <c r="G19" s="799">
        <f>SUMIF('Venture Summary - Mthly'!$E$8:$EG$8,G$9,'Venture Summary - Mthly'!$E22:$EG22)</f>
        <v>0</v>
      </c>
      <c r="H19" s="799">
        <f>SUMIF('Venture Summary - Mthly'!$E$8:$EG$8,H$9,'Venture Summary - Mthly'!$E22:$EG22)</f>
        <v>0</v>
      </c>
      <c r="I19" s="799">
        <f>SUMIF('Venture Summary - Mthly'!$E$8:$EG$8,I$9,'Venture Summary - Mthly'!$E22:$EG22)</f>
        <v>0</v>
      </c>
      <c r="J19" s="799">
        <f>SUMIF('Venture Summary - Mthly'!$E$8:$EG$8,J$9,'Venture Summary - Mthly'!$E22:$EG22)</f>
        <v>0</v>
      </c>
      <c r="K19" s="799">
        <f>SUMIF('Venture Summary - Mthly'!$E$8:$EG$8,K$9,'Venture Summary - Mthly'!$E22:$EG22)</f>
        <v>0</v>
      </c>
      <c r="L19" s="799">
        <f>SUMIF('Venture Summary - Mthly'!$E$8:$EG$8,L$9,'Venture Summary - Mthly'!$E22:$EG22)</f>
        <v>0</v>
      </c>
      <c r="M19" s="799">
        <f>SUMIF('Venture Summary - Mthly'!$E$8:$EG$8,M$9,'Venture Summary - Mthly'!$E22:$EG22)</f>
        <v>0</v>
      </c>
      <c r="N19" s="799">
        <f>SUMIF('Venture Summary - Mthly'!$E$8:$EG$8,N$9,'Venture Summary - Mthly'!$E22:$EG22)</f>
        <v>0</v>
      </c>
      <c r="O19" s="799">
        <f>SUMIF('Venture Summary - Mthly'!$E$8:$EG$8,O$9,'Venture Summary - Mthly'!$E22:$EG22)</f>
        <v>0</v>
      </c>
      <c r="P19" s="799">
        <f>SUMIF('Venture Summary - Mthly'!$E$8:$EG$8,P$9,'Venture Summary - Mthly'!$E22:$EG22)</f>
        <v>0</v>
      </c>
      <c r="Q19" s="799">
        <f>SUMIF('Venture Summary - Mthly'!$E$8:$EG$8,Q$9,'Venture Summary - Mthly'!$E22:$EG22)</f>
        <v>0</v>
      </c>
      <c r="R19" s="799">
        <f>SUMIF('Venture Summary - Mthly'!$E$8:$EG$8,R$9,'Venture Summary - Mthly'!$E22:$EG22)</f>
        <v>0</v>
      </c>
      <c r="S19" s="799">
        <f>SUMIF('Venture Summary - Mthly'!$E$8:$EG$8,S$9,'Venture Summary - Mthly'!$E22:$EG22)</f>
        <v>0</v>
      </c>
      <c r="T19" s="799">
        <f>SUMIF('Venture Summary - Mthly'!$E$8:$EG$8,T$9,'Venture Summary - Mthly'!$E22:$EG22)</f>
        <v>0</v>
      </c>
      <c r="U19" s="799">
        <f>SUMIF('Venture Summary - Mthly'!$E$8:$EG$8,U$9,'Venture Summary - Mthly'!$E22:$EG22)</f>
        <v>0</v>
      </c>
      <c r="V19" s="799">
        <f>SUMIF('Venture Summary - Mthly'!$E$8:$EG$8,V$9,'Venture Summary - Mthly'!$E22:$EG22)</f>
        <v>0</v>
      </c>
      <c r="W19" s="799">
        <f>SUMIF('Venture Summary - Mthly'!$E$8:$EG$8,W$9,'Venture Summary - Mthly'!$E22:$EG22)</f>
        <v>0</v>
      </c>
      <c r="X19" s="799">
        <f>SUMIF('Venture Summary - Mthly'!$E$8:$EG$8,X$9,'Venture Summary - Mthly'!$E22:$EG22)</f>
        <v>0</v>
      </c>
      <c r="Y19" s="799">
        <f>SUMIF('Venture Summary - Mthly'!$E$8:$EG$8,Y$9,'Venture Summary - Mthly'!$E22:$EG22)</f>
        <v>0</v>
      </c>
      <c r="Z19" s="799">
        <f>SUMIF('Venture Summary - Mthly'!$E$8:$EG$8,Z$9,'Venture Summary - Mthly'!$E22:$EG22)</f>
        <v>0</v>
      </c>
      <c r="AA19" s="799">
        <f>SUMIF('Venture Summary - Mthly'!$E$8:$EG$8,AA$9,'Venture Summary - Mthly'!$E22:$EG22)</f>
        <v>0</v>
      </c>
      <c r="AB19" s="799">
        <f>SUMIF('Venture Summary - Mthly'!$E$8:$EG$8,AB$9,'Venture Summary - Mthly'!$E22:$EG22)</f>
        <v>0</v>
      </c>
      <c r="AC19" s="799">
        <f>SUMIF('Venture Summary - Mthly'!$E$8:$EG$8,AC$9,'Venture Summary - Mthly'!$E22:$EG22)</f>
        <v>0</v>
      </c>
      <c r="AD19" s="799">
        <f>SUMIF('Venture Summary - Mthly'!$E$8:$EG$8,AD$9,'Venture Summary - Mthly'!$E22:$EG22)</f>
        <v>0</v>
      </c>
      <c r="AE19" s="799">
        <f>SUMIF('Venture Summary - Mthly'!$E$8:$EG$8,AE$9,'Venture Summary - Mthly'!$E22:$EG22)</f>
        <v>0</v>
      </c>
      <c r="AF19" s="799">
        <f>SUMIF('Venture Summary - Mthly'!$E$8:$EG$8,AF$9,'Venture Summary - Mthly'!$E22:$EG22)</f>
        <v>0</v>
      </c>
      <c r="AG19" s="799">
        <f>SUMIF('Venture Summary - Mthly'!$E$8:$EG$8,AG$9,'Venture Summary - Mthly'!$E22:$EG22)</f>
        <v>0</v>
      </c>
      <c r="AH19" s="799">
        <f>SUMIF('Venture Summary - Mthly'!$E$8:$EG$8,AH$9,'Venture Summary - Mthly'!$E22:$EG22)</f>
        <v>0</v>
      </c>
      <c r="AI19" s="799">
        <f>SUMIF('Venture Summary - Mthly'!$E$8:$EG$8,AI$9,'Venture Summary - Mthly'!$E22:$EG22)</f>
        <v>0</v>
      </c>
      <c r="AJ19" s="799">
        <f>SUMIF('Venture Summary - Mthly'!$E$8:$EG$8,AJ$9,'Venture Summary - Mthly'!$E22:$EG22)</f>
        <v>0</v>
      </c>
      <c r="AK19" s="799">
        <f>SUMIF('Venture Summary - Mthly'!$E$8:$EG$8,AK$9,'Venture Summary - Mthly'!$E22:$EG22)</f>
        <v>129660985.44941077</v>
      </c>
      <c r="AL19" s="799">
        <f>SUMIF('Venture Summary - Mthly'!$E$8:$EG$8,AL$9,'Venture Summary - Mthly'!$E22:$EG22)</f>
        <v>0</v>
      </c>
      <c r="AM19" s="799">
        <f>SUMIF('Venture Summary - Mthly'!$E$8:$EG$8,AM$9,'Venture Summary - Mthly'!$E22:$EG22)</f>
        <v>0</v>
      </c>
      <c r="AN19" s="799">
        <f>SUMIF('Venture Summary - Mthly'!$E$8:$EG$8,AN$9,'Venture Summary - Mthly'!$E22:$EG22)</f>
        <v>0</v>
      </c>
      <c r="AO19" s="799">
        <f>SUMIF('Venture Summary - Mthly'!$E$8:$EG$8,AO$9,'Venture Summary - Mthly'!$E22:$EG22)</f>
        <v>0</v>
      </c>
      <c r="AP19" s="799">
        <f>SUMIF('Venture Summary - Mthly'!$E$8:$EG$8,AP$9,'Venture Summary - Mthly'!$E22:$EG22)</f>
        <v>0</v>
      </c>
      <c r="AQ19" s="799">
        <f>SUMIF('Venture Summary - Mthly'!$E$8:$EG$8,AQ$9,'Venture Summary - Mthly'!$E22:$EG22)</f>
        <v>0</v>
      </c>
      <c r="AR19" s="799">
        <f>SUMIF('Venture Summary - Mthly'!$E$8:$EG$8,AR$9,'Venture Summary - Mthly'!$E22:$EG22)</f>
        <v>0</v>
      </c>
      <c r="AS19" s="799">
        <f>SUMIF('Venture Summary - Mthly'!$E$8:$EG$8,AS$9,'Venture Summary - Mthly'!$E22:$EG22)</f>
        <v>0</v>
      </c>
      <c r="AT19" s="799">
        <f>SUMIF('Venture Summary - Mthly'!$E$8:$EG$8,AT$9,'Venture Summary - Mthly'!$E22:$EG22)</f>
        <v>0</v>
      </c>
      <c r="AU19" s="799">
        <f>SUMIF('Venture Summary - Mthly'!$E$8:$EG$8,AU$9,'Venture Summary - Mthly'!$E22:$EG22)</f>
        <v>0</v>
      </c>
      <c r="AV19" s="799">
        <f>SUMIF('Venture Summary - Mthly'!$E$8:$EG$8,AV$9,'Venture Summary - Mthly'!$E22:$EG22)</f>
        <v>0</v>
      </c>
      <c r="AW19" s="799">
        <f>SUMIF('Venture Summary - Mthly'!$E$8:$EG$8,AW$9,'Venture Summary - Mthly'!$E22:$EG22)</f>
        <v>0</v>
      </c>
      <c r="AX19" s="798"/>
    </row>
    <row r="20" spans="1:50" ht="12.75" customHeight="1" x14ac:dyDescent="0.3">
      <c r="A20" s="782"/>
      <c r="B20" s="782" t="s">
        <v>12</v>
      </c>
      <c r="C20" s="798">
        <f t="shared" si="4"/>
        <v>90555520.636087984</v>
      </c>
      <c r="D20" s="782"/>
      <c r="E20" s="798">
        <f>SUM(E15:E19)</f>
        <v>-1121852.0714285714</v>
      </c>
      <c r="F20" s="798">
        <f t="shared" ref="F20:AW20" si="5">SUM(F15:F19)</f>
        <v>-16418217.907827348</v>
      </c>
      <c r="G20" s="798">
        <f t="shared" si="5"/>
        <v>-5325073.7950608227</v>
      </c>
      <c r="H20" s="798">
        <f t="shared" si="5"/>
        <v>-9437512.0937692411</v>
      </c>
      <c r="I20" s="798">
        <f t="shared" si="5"/>
        <v>-11786088.223250981</v>
      </c>
      <c r="J20" s="798">
        <f t="shared" si="5"/>
        <v>-11389333.202563643</v>
      </c>
      <c r="K20" s="798">
        <f t="shared" si="5"/>
        <v>-9241839.3278636578</v>
      </c>
      <c r="L20" s="798">
        <f t="shared" si="5"/>
        <v>-6784221.1107017584</v>
      </c>
      <c r="M20" s="798">
        <f t="shared" si="5"/>
        <v>-3253681.1381946094</v>
      </c>
      <c r="N20" s="798">
        <f t="shared" si="5"/>
        <v>427405.88290042104</v>
      </c>
      <c r="O20" s="798">
        <f t="shared" si="5"/>
        <v>1345295.1106206644</v>
      </c>
      <c r="P20" s="798">
        <f t="shared" si="5"/>
        <v>1365339.2306506212</v>
      </c>
      <c r="Q20" s="798">
        <f t="shared" si="5"/>
        <v>1390305.9955073735</v>
      </c>
      <c r="R20" s="798">
        <f t="shared" si="5"/>
        <v>1414534.9424936878</v>
      </c>
      <c r="S20" s="798">
        <f t="shared" si="5"/>
        <v>1416207.397731672</v>
      </c>
      <c r="T20" s="798">
        <f t="shared" si="5"/>
        <v>1436763.1758116088</v>
      </c>
      <c r="U20" s="798">
        <f t="shared" si="5"/>
        <v>1457676.9195883549</v>
      </c>
      <c r="V20" s="798">
        <f t="shared" si="5"/>
        <v>1476118.8158762024</v>
      </c>
      <c r="W20" s="798">
        <f t="shared" si="5"/>
        <v>1475924.8497949294</v>
      </c>
      <c r="X20" s="798">
        <f t="shared" si="5"/>
        <v>1492440.3654109142</v>
      </c>
      <c r="Y20" s="798">
        <f t="shared" si="5"/>
        <v>1512074.8274641787</v>
      </c>
      <c r="Z20" s="798">
        <f t="shared" si="5"/>
        <v>1532785.017608972</v>
      </c>
      <c r="AA20" s="798">
        <f t="shared" si="5"/>
        <v>1535438.9650751748</v>
      </c>
      <c r="AB20" s="798">
        <f t="shared" si="5"/>
        <v>1555540.6650120413</v>
      </c>
      <c r="AC20" s="798">
        <f t="shared" si="5"/>
        <v>1578121.9808628024</v>
      </c>
      <c r="AD20" s="798">
        <f t="shared" si="5"/>
        <v>1600562.840396252</v>
      </c>
      <c r="AE20" s="798">
        <f t="shared" si="5"/>
        <v>1603616.4261077703</v>
      </c>
      <c r="AF20" s="798">
        <f t="shared" si="5"/>
        <v>1624540.5697009424</v>
      </c>
      <c r="AG20" s="798">
        <f t="shared" si="5"/>
        <v>1648048.939487732</v>
      </c>
      <c r="AH20" s="798">
        <f t="shared" si="5"/>
        <v>1671410.712331648</v>
      </c>
      <c r="AI20" s="798">
        <f t="shared" si="5"/>
        <v>1674721.857353711</v>
      </c>
      <c r="AJ20" s="798">
        <f t="shared" si="5"/>
        <v>1696502.391552879</v>
      </c>
      <c r="AK20" s="798">
        <f t="shared" si="5"/>
        <v>131381961.62740806</v>
      </c>
      <c r="AL20" s="798">
        <f t="shared" si="5"/>
        <v>0</v>
      </c>
      <c r="AM20" s="798">
        <f t="shared" si="5"/>
        <v>0</v>
      </c>
      <c r="AN20" s="798">
        <f t="shared" si="5"/>
        <v>0</v>
      </c>
      <c r="AO20" s="798">
        <f t="shared" si="5"/>
        <v>0</v>
      </c>
      <c r="AP20" s="798">
        <f t="shared" si="5"/>
        <v>0</v>
      </c>
      <c r="AQ20" s="798">
        <f t="shared" si="5"/>
        <v>0</v>
      </c>
      <c r="AR20" s="798">
        <f t="shared" si="5"/>
        <v>0</v>
      </c>
      <c r="AS20" s="798">
        <f t="shared" si="5"/>
        <v>0</v>
      </c>
      <c r="AT20" s="798">
        <f t="shared" si="5"/>
        <v>0</v>
      </c>
      <c r="AU20" s="798">
        <f t="shared" si="5"/>
        <v>0</v>
      </c>
      <c r="AV20" s="798">
        <f t="shared" si="5"/>
        <v>0</v>
      </c>
      <c r="AW20" s="798">
        <f t="shared" si="5"/>
        <v>0</v>
      </c>
      <c r="AX20" s="798"/>
    </row>
    <row r="21" spans="1:50" ht="12.75" customHeight="1" x14ac:dyDescent="0.3">
      <c r="A21" s="782"/>
      <c r="B21" s="800" t="s">
        <v>13</v>
      </c>
      <c r="C21" s="801">
        <f>'Venture Summary - Mthly'!C24</f>
        <v>0.13132647871971129</v>
      </c>
      <c r="D21" s="782"/>
      <c r="E21" s="798"/>
      <c r="F21" s="798"/>
      <c r="G21" s="798"/>
      <c r="H21" s="798"/>
      <c r="I21" s="798"/>
      <c r="J21" s="798"/>
      <c r="K21" s="798"/>
      <c r="L21" s="798"/>
      <c r="M21" s="798"/>
      <c r="N21" s="798"/>
      <c r="O21" s="798"/>
      <c r="P21" s="798"/>
      <c r="Q21" s="798"/>
      <c r="R21" s="798"/>
      <c r="S21" s="798"/>
      <c r="T21" s="798"/>
      <c r="U21" s="798"/>
      <c r="V21" s="798"/>
      <c r="W21" s="798"/>
      <c r="X21" s="798"/>
      <c r="Y21" s="798"/>
      <c r="Z21" s="798"/>
      <c r="AA21" s="798"/>
      <c r="AB21" s="798"/>
      <c r="AC21" s="798"/>
      <c r="AD21" s="798"/>
      <c r="AE21" s="798"/>
      <c r="AF21" s="798"/>
      <c r="AG21" s="798"/>
      <c r="AH21" s="798"/>
      <c r="AI21" s="798"/>
      <c r="AJ21" s="798"/>
      <c r="AK21" s="798"/>
      <c r="AL21" s="798"/>
      <c r="AM21" s="798"/>
      <c r="AN21" s="798"/>
      <c r="AO21" s="798"/>
      <c r="AP21" s="798"/>
      <c r="AQ21" s="798"/>
      <c r="AR21" s="798"/>
      <c r="AS21" s="798"/>
      <c r="AT21" s="798"/>
      <c r="AU21" s="798"/>
      <c r="AV21" s="798"/>
      <c r="AW21" s="798"/>
      <c r="AX21" s="798"/>
    </row>
    <row r="22" spans="1:50" ht="12.75" customHeight="1" x14ac:dyDescent="0.3">
      <c r="A22" s="782"/>
      <c r="B22" s="782"/>
      <c r="C22" s="782"/>
      <c r="D22" s="782"/>
      <c r="E22" s="782"/>
      <c r="F22" s="782"/>
      <c r="G22" s="782"/>
      <c r="H22" s="782"/>
      <c r="I22" s="782"/>
      <c r="J22" s="782"/>
      <c r="K22" s="782"/>
      <c r="L22" s="782"/>
      <c r="M22" s="782"/>
      <c r="N22" s="782"/>
      <c r="O22" s="782"/>
      <c r="P22" s="782"/>
      <c r="Q22" s="782"/>
      <c r="R22" s="782"/>
      <c r="S22" s="782"/>
      <c r="T22" s="782"/>
      <c r="U22" s="782"/>
      <c r="V22" s="782"/>
      <c r="W22" s="782"/>
      <c r="X22" s="782"/>
      <c r="Y22" s="782"/>
      <c r="Z22" s="782"/>
      <c r="AA22" s="782"/>
      <c r="AB22" s="782"/>
      <c r="AC22" s="782"/>
      <c r="AD22" s="782"/>
      <c r="AE22" s="782"/>
      <c r="AF22" s="782"/>
      <c r="AG22" s="782"/>
      <c r="AH22" s="782"/>
      <c r="AI22" s="782"/>
      <c r="AJ22" s="782"/>
      <c r="AK22" s="782"/>
      <c r="AL22" s="782"/>
      <c r="AM22" s="782"/>
      <c r="AN22" s="782"/>
      <c r="AO22" s="782"/>
      <c r="AP22" s="782"/>
      <c r="AQ22" s="782"/>
      <c r="AR22" s="782"/>
      <c r="AS22" s="782"/>
      <c r="AT22" s="782"/>
      <c r="AU22" s="782"/>
      <c r="AV22" s="782"/>
      <c r="AW22" s="782"/>
      <c r="AX22" s="782"/>
    </row>
    <row r="23" spans="1:50" ht="12.75" customHeight="1" x14ac:dyDescent="0.3">
      <c r="A23" s="782"/>
      <c r="B23" s="782" t="s">
        <v>14</v>
      </c>
      <c r="C23" s="798">
        <f t="shared" ref="C23:C31" si="6">SUM(E23:AX23)</f>
        <v>-1470019.5694877617</v>
      </c>
      <c r="D23" s="782"/>
      <c r="E23" s="798">
        <f>SUMIF('Venture Summary - Mthly'!$E$8:$EG$8,E$9,'Venture Summary - Mthly'!$E26:$EG26)</f>
        <v>-821583.45041148621</v>
      </c>
      <c r="F23" s="798">
        <f>SUMIF('Venture Summary - Mthly'!$E$8:$EG$8,F$9,'Venture Summary - Mthly'!$E26:$EG26)</f>
        <v>-9000</v>
      </c>
      <c r="G23" s="798">
        <f>SUMIF('Venture Summary - Mthly'!$E$8:$EG$8,G$9,'Venture Summary - Mthly'!$E26:$EG26)</f>
        <v>-9000</v>
      </c>
      <c r="H23" s="798">
        <f>SUMIF('Venture Summary - Mthly'!$E$8:$EG$8,H$9,'Venture Summary - Mthly'!$E26:$EG26)</f>
        <v>-9000</v>
      </c>
      <c r="I23" s="798">
        <f>SUMIF('Venture Summary - Mthly'!$E$8:$EG$8,I$9,'Venture Summary - Mthly'!$E26:$EG26)</f>
        <v>-9000</v>
      </c>
      <c r="J23" s="798">
        <f>SUMIF('Venture Summary - Mthly'!$E$8:$EG$8,J$9,'Venture Summary - Mthly'!$E26:$EG26)</f>
        <v>-9000</v>
      </c>
      <c r="K23" s="798">
        <f>SUMIF('Venture Summary - Mthly'!$E$8:$EG$8,K$9,'Venture Summary - Mthly'!$E26:$EG26)</f>
        <v>-9000</v>
      </c>
      <c r="L23" s="798">
        <f>SUMIF('Venture Summary - Mthly'!$E$8:$EG$8,L$9,'Venture Summary - Mthly'!$E26:$EG26)</f>
        <v>-9000</v>
      </c>
      <c r="M23" s="798">
        <f>SUMIF('Venture Summary - Mthly'!$E$8:$EG$8,M$9,'Venture Summary - Mthly'!$E26:$EG26)</f>
        <v>-9000</v>
      </c>
      <c r="N23" s="798">
        <f>SUMIF('Venture Summary - Mthly'!$E$8:$EG$8,N$9,'Venture Summary - Mthly'!$E26:$EG26)</f>
        <v>-3000</v>
      </c>
      <c r="O23" s="798">
        <f>SUMIF('Venture Summary - Mthly'!$E$8:$EG$8,O$9,'Venture Summary - Mthly'!$E26:$EG26)</f>
        <v>0</v>
      </c>
      <c r="P23" s="798">
        <f>SUMIF('Venture Summary - Mthly'!$E$8:$EG$8,P$9,'Venture Summary - Mthly'!$E26:$EG26)</f>
        <v>-573436.1190762755</v>
      </c>
      <c r="Q23" s="798">
        <f>SUMIF('Venture Summary - Mthly'!$E$8:$EG$8,Q$9,'Venture Summary - Mthly'!$E26:$EG26)</f>
        <v>0</v>
      </c>
      <c r="R23" s="798">
        <f>SUMIF('Venture Summary - Mthly'!$E$8:$EG$8,R$9,'Venture Summary - Mthly'!$E26:$EG26)</f>
        <v>0</v>
      </c>
      <c r="S23" s="798">
        <f>SUMIF('Venture Summary - Mthly'!$E$8:$EG$8,S$9,'Venture Summary - Mthly'!$E26:$EG26)</f>
        <v>0</v>
      </c>
      <c r="T23" s="798">
        <f>SUMIF('Venture Summary - Mthly'!$E$8:$EG$8,T$9,'Venture Summary - Mthly'!$E26:$EG26)</f>
        <v>0</v>
      </c>
      <c r="U23" s="798">
        <f>SUMIF('Venture Summary - Mthly'!$E$8:$EG$8,U$9,'Venture Summary - Mthly'!$E26:$EG26)</f>
        <v>0</v>
      </c>
      <c r="V23" s="798">
        <f>SUMIF('Venture Summary - Mthly'!$E$8:$EG$8,V$9,'Venture Summary - Mthly'!$E26:$EG26)</f>
        <v>0</v>
      </c>
      <c r="W23" s="798">
        <f>SUMIF('Venture Summary - Mthly'!$E$8:$EG$8,W$9,'Venture Summary - Mthly'!$E26:$EG26)</f>
        <v>0</v>
      </c>
      <c r="X23" s="798">
        <f>SUMIF('Venture Summary - Mthly'!$E$8:$EG$8,X$9,'Venture Summary - Mthly'!$E26:$EG26)</f>
        <v>0</v>
      </c>
      <c r="Y23" s="798">
        <f>SUMIF('Venture Summary - Mthly'!$E$8:$EG$8,Y$9,'Venture Summary - Mthly'!$E26:$EG26)</f>
        <v>0</v>
      </c>
      <c r="Z23" s="798">
        <f>SUMIF('Venture Summary - Mthly'!$E$8:$EG$8,Z$9,'Venture Summary - Mthly'!$E26:$EG26)</f>
        <v>0</v>
      </c>
      <c r="AA23" s="798">
        <f>SUMIF('Venture Summary - Mthly'!$E$8:$EG$8,AA$9,'Venture Summary - Mthly'!$E26:$EG26)</f>
        <v>0</v>
      </c>
      <c r="AB23" s="798">
        <f>SUMIF('Venture Summary - Mthly'!$E$8:$EG$8,AB$9,'Venture Summary - Mthly'!$E26:$EG26)</f>
        <v>0</v>
      </c>
      <c r="AC23" s="798">
        <f>SUMIF('Venture Summary - Mthly'!$E$8:$EG$8,AC$9,'Venture Summary - Mthly'!$E26:$EG26)</f>
        <v>0</v>
      </c>
      <c r="AD23" s="798">
        <f>SUMIF('Venture Summary - Mthly'!$E$8:$EG$8,AD$9,'Venture Summary - Mthly'!$E26:$EG26)</f>
        <v>0</v>
      </c>
      <c r="AE23" s="798">
        <f>SUMIF('Venture Summary - Mthly'!$E$8:$EG$8,AE$9,'Venture Summary - Mthly'!$E26:$EG26)</f>
        <v>0</v>
      </c>
      <c r="AF23" s="798">
        <f>SUMIF('Venture Summary - Mthly'!$E$8:$EG$8,AF$9,'Venture Summary - Mthly'!$E26:$EG26)</f>
        <v>0</v>
      </c>
      <c r="AG23" s="798">
        <f>SUMIF('Venture Summary - Mthly'!$E$8:$EG$8,AG$9,'Venture Summary - Mthly'!$E26:$EG26)</f>
        <v>0</v>
      </c>
      <c r="AH23" s="798">
        <f>SUMIF('Venture Summary - Mthly'!$E$8:$EG$8,AH$9,'Venture Summary - Mthly'!$E26:$EG26)</f>
        <v>0</v>
      </c>
      <c r="AI23" s="798">
        <f>SUMIF('Venture Summary - Mthly'!$E$8:$EG$8,AI$9,'Venture Summary - Mthly'!$E26:$EG26)</f>
        <v>0</v>
      </c>
      <c r="AJ23" s="798">
        <f>SUMIF('Venture Summary - Mthly'!$E$8:$EG$8,AJ$9,'Venture Summary - Mthly'!$E26:$EG26)</f>
        <v>0</v>
      </c>
      <c r="AK23" s="798">
        <f>SUMIF('Venture Summary - Mthly'!$E$8:$EG$8,AK$9,'Venture Summary - Mthly'!$E26:$EG26)</f>
        <v>0</v>
      </c>
      <c r="AL23" s="798">
        <f>SUMIF('Venture Summary - Mthly'!$E$8:$EG$8,AL$9,'Venture Summary - Mthly'!$E26:$EG26)</f>
        <v>0</v>
      </c>
      <c r="AM23" s="798">
        <f>SUMIF('Venture Summary - Mthly'!$E$8:$EG$8,AM$9,'Venture Summary - Mthly'!$E26:$EG26)</f>
        <v>0</v>
      </c>
      <c r="AN23" s="798">
        <f>SUMIF('Venture Summary - Mthly'!$E$8:$EG$8,AN$9,'Venture Summary - Mthly'!$E26:$EG26)</f>
        <v>0</v>
      </c>
      <c r="AO23" s="798">
        <f>SUMIF('Venture Summary - Mthly'!$E$8:$EG$8,AO$9,'Venture Summary - Mthly'!$E26:$EG26)</f>
        <v>0</v>
      </c>
      <c r="AP23" s="798">
        <f>SUMIF('Venture Summary - Mthly'!$E$8:$EG$8,AP$9,'Venture Summary - Mthly'!$E26:$EG26)</f>
        <v>0</v>
      </c>
      <c r="AQ23" s="798">
        <f>SUMIF('Venture Summary - Mthly'!$E$8:$EG$8,AQ$9,'Venture Summary - Mthly'!$E26:$EG26)</f>
        <v>0</v>
      </c>
      <c r="AR23" s="798">
        <f>SUMIF('Venture Summary - Mthly'!$E$8:$EG$8,AR$9,'Venture Summary - Mthly'!$E26:$EG26)</f>
        <v>0</v>
      </c>
      <c r="AS23" s="798">
        <f>SUMIF('Venture Summary - Mthly'!$E$8:$EG$8,AS$9,'Venture Summary - Mthly'!$E26:$EG26)</f>
        <v>0</v>
      </c>
      <c r="AT23" s="798">
        <f>SUMIF('Venture Summary - Mthly'!$E$8:$EG$8,AT$9,'Venture Summary - Mthly'!$E26:$EG26)</f>
        <v>0</v>
      </c>
      <c r="AU23" s="798">
        <f>SUMIF('Venture Summary - Mthly'!$E$8:$EG$8,AU$9,'Venture Summary - Mthly'!$E26:$EG26)</f>
        <v>0</v>
      </c>
      <c r="AV23" s="798">
        <f>SUMIF('Venture Summary - Mthly'!$E$8:$EG$8,AV$9,'Venture Summary - Mthly'!$E26:$EG26)</f>
        <v>0</v>
      </c>
      <c r="AW23" s="798">
        <f>SUMIF('Venture Summary - Mthly'!$E$8:$EG$8,AW$9,'Venture Summary - Mthly'!$E26:$EG26)</f>
        <v>0</v>
      </c>
      <c r="AX23" s="798"/>
    </row>
    <row r="24" spans="1:50" ht="12.75" customHeight="1" x14ac:dyDescent="0.3">
      <c r="A24" s="782"/>
      <c r="B24" s="782" t="s">
        <v>15</v>
      </c>
      <c r="C24" s="798">
        <f t="shared" si="6"/>
        <v>-3015435.9515204169</v>
      </c>
      <c r="D24" s="782"/>
      <c r="E24" s="798">
        <f>SUMIF('Venture Summary - Mthly'!$E$8:$EG$8,E$9,'Venture Summary - Mthly'!$E27:$EG27)</f>
        <v>0</v>
      </c>
      <c r="F24" s="798">
        <f>SUMIF('Venture Summary - Mthly'!$E$8:$EG$8,F$9,'Venture Summary - Mthly'!$E27:$EG27)</f>
        <v>0</v>
      </c>
      <c r="G24" s="798">
        <f>SUMIF('Venture Summary - Mthly'!$E$8:$EG$8,G$9,'Venture Summary - Mthly'!$E27:$EG27)</f>
        <v>0</v>
      </c>
      <c r="H24" s="798">
        <f>SUMIF('Venture Summary - Mthly'!$E$8:$EG$8,H$9,'Venture Summary - Mthly'!$E27:$EG27)</f>
        <v>0</v>
      </c>
      <c r="I24" s="798">
        <f>SUMIF('Venture Summary - Mthly'!$E$8:$EG$8,I$9,'Venture Summary - Mthly'!$E27:$EG27)</f>
        <v>-40131.847345416674</v>
      </c>
      <c r="J24" s="798">
        <f>SUMIF('Venture Summary - Mthly'!$E$8:$EG$8,J$9,'Venture Summary - Mthly'!$E27:$EG27)</f>
        <v>-222969.23460500001</v>
      </c>
      <c r="K24" s="798">
        <f>SUMIF('Venture Summary - Mthly'!$E$8:$EG$8,K$9,'Venture Summary - Mthly'!$E27:$EG27)</f>
        <v>-400657.47015125002</v>
      </c>
      <c r="L24" s="798">
        <f>SUMIF('Venture Summary - Mthly'!$E$8:$EG$8,L$9,'Venture Summary - Mthly'!$E27:$EG27)</f>
        <v>-546850.22897375003</v>
      </c>
      <c r="M24" s="798">
        <f>SUMIF('Venture Summary - Mthly'!$E$8:$EG$8,M$9,'Venture Summary - Mthly'!$E27:$EG27)</f>
        <v>-647224.49775208347</v>
      </c>
      <c r="N24" s="798">
        <f>SUMIF('Venture Summary - Mthly'!$E$8:$EG$8,N$9,'Venture Summary - Mthly'!$E27:$EG27)</f>
        <v>-693093.2443337501</v>
      </c>
      <c r="O24" s="798">
        <f>SUMIF('Venture Summary - Mthly'!$E$8:$EG$8,O$9,'Venture Summary - Mthly'!$E27:$EG27)</f>
        <v>-464509.42835916678</v>
      </c>
      <c r="P24" s="798">
        <f>SUMIF('Venture Summary - Mthly'!$E$8:$EG$8,P$9,'Venture Summary - Mthly'!$E27:$EG27)</f>
        <v>0</v>
      </c>
      <c r="Q24" s="798">
        <f>SUMIF('Venture Summary - Mthly'!$E$8:$EG$8,Q$9,'Venture Summary - Mthly'!$E27:$EG27)</f>
        <v>0</v>
      </c>
      <c r="R24" s="798">
        <f>SUMIF('Venture Summary - Mthly'!$E$8:$EG$8,R$9,'Venture Summary - Mthly'!$E27:$EG27)</f>
        <v>0</v>
      </c>
      <c r="S24" s="798">
        <f>SUMIF('Venture Summary - Mthly'!$E$8:$EG$8,S$9,'Venture Summary - Mthly'!$E27:$EG27)</f>
        <v>0</v>
      </c>
      <c r="T24" s="798">
        <f>SUMIF('Venture Summary - Mthly'!$E$8:$EG$8,T$9,'Venture Summary - Mthly'!$E27:$EG27)</f>
        <v>0</v>
      </c>
      <c r="U24" s="798">
        <f>SUMIF('Venture Summary - Mthly'!$E$8:$EG$8,U$9,'Venture Summary - Mthly'!$E27:$EG27)</f>
        <v>0</v>
      </c>
      <c r="V24" s="798">
        <f>SUMIF('Venture Summary - Mthly'!$E$8:$EG$8,V$9,'Venture Summary - Mthly'!$E27:$EG27)</f>
        <v>0</v>
      </c>
      <c r="W24" s="798">
        <f>SUMIF('Venture Summary - Mthly'!$E$8:$EG$8,W$9,'Venture Summary - Mthly'!$E27:$EG27)</f>
        <v>0</v>
      </c>
      <c r="X24" s="798">
        <f>SUMIF('Venture Summary - Mthly'!$E$8:$EG$8,X$9,'Venture Summary - Mthly'!$E27:$EG27)</f>
        <v>0</v>
      </c>
      <c r="Y24" s="798">
        <f>SUMIF('Venture Summary - Mthly'!$E$8:$EG$8,Y$9,'Venture Summary - Mthly'!$E27:$EG27)</f>
        <v>0</v>
      </c>
      <c r="Z24" s="798">
        <f>SUMIF('Venture Summary - Mthly'!$E$8:$EG$8,Z$9,'Venture Summary - Mthly'!$E27:$EG27)</f>
        <v>0</v>
      </c>
      <c r="AA24" s="798">
        <f>SUMIF('Venture Summary - Mthly'!$E$8:$EG$8,AA$9,'Venture Summary - Mthly'!$E27:$EG27)</f>
        <v>0</v>
      </c>
      <c r="AB24" s="798">
        <f>SUMIF('Venture Summary - Mthly'!$E$8:$EG$8,AB$9,'Venture Summary - Mthly'!$E27:$EG27)</f>
        <v>0</v>
      </c>
      <c r="AC24" s="798">
        <f>SUMIF('Venture Summary - Mthly'!$E$8:$EG$8,AC$9,'Venture Summary - Mthly'!$E27:$EG27)</f>
        <v>0</v>
      </c>
      <c r="AD24" s="798">
        <f>SUMIF('Venture Summary - Mthly'!$E$8:$EG$8,AD$9,'Venture Summary - Mthly'!$E27:$EG27)</f>
        <v>0</v>
      </c>
      <c r="AE24" s="798">
        <f>SUMIF('Venture Summary - Mthly'!$E$8:$EG$8,AE$9,'Venture Summary - Mthly'!$E27:$EG27)</f>
        <v>0</v>
      </c>
      <c r="AF24" s="798">
        <f>SUMIF('Venture Summary - Mthly'!$E$8:$EG$8,AF$9,'Venture Summary - Mthly'!$E27:$EG27)</f>
        <v>0</v>
      </c>
      <c r="AG24" s="798">
        <f>SUMIF('Venture Summary - Mthly'!$E$8:$EG$8,AG$9,'Venture Summary - Mthly'!$E27:$EG27)</f>
        <v>0</v>
      </c>
      <c r="AH24" s="798">
        <f>SUMIF('Venture Summary - Mthly'!$E$8:$EG$8,AH$9,'Venture Summary - Mthly'!$E27:$EG27)</f>
        <v>0</v>
      </c>
      <c r="AI24" s="798">
        <f>SUMIF('Venture Summary - Mthly'!$E$8:$EG$8,AI$9,'Venture Summary - Mthly'!$E27:$EG27)</f>
        <v>0</v>
      </c>
      <c r="AJ24" s="798">
        <f>SUMIF('Venture Summary - Mthly'!$E$8:$EG$8,AJ$9,'Venture Summary - Mthly'!$E27:$EG27)</f>
        <v>0</v>
      </c>
      <c r="AK24" s="798">
        <f>SUMIF('Venture Summary - Mthly'!$E$8:$EG$8,AK$9,'Venture Summary - Mthly'!$E27:$EG27)</f>
        <v>0</v>
      </c>
      <c r="AL24" s="798">
        <f>SUMIF('Venture Summary - Mthly'!$E$8:$EG$8,AL$9,'Venture Summary - Mthly'!$E27:$EG27)</f>
        <v>0</v>
      </c>
      <c r="AM24" s="798">
        <f>SUMIF('Venture Summary - Mthly'!$E$8:$EG$8,AM$9,'Venture Summary - Mthly'!$E27:$EG27)</f>
        <v>0</v>
      </c>
      <c r="AN24" s="798">
        <f>SUMIF('Venture Summary - Mthly'!$E$8:$EG$8,AN$9,'Venture Summary - Mthly'!$E27:$EG27)</f>
        <v>0</v>
      </c>
      <c r="AO24" s="798">
        <f>SUMIF('Venture Summary - Mthly'!$E$8:$EG$8,AO$9,'Venture Summary - Mthly'!$E27:$EG27)</f>
        <v>0</v>
      </c>
      <c r="AP24" s="798">
        <f>SUMIF('Venture Summary - Mthly'!$E$8:$EG$8,AP$9,'Venture Summary - Mthly'!$E27:$EG27)</f>
        <v>0</v>
      </c>
      <c r="AQ24" s="798">
        <f>SUMIF('Venture Summary - Mthly'!$E$8:$EG$8,AQ$9,'Venture Summary - Mthly'!$E27:$EG27)</f>
        <v>0</v>
      </c>
      <c r="AR24" s="798">
        <f>SUMIF('Venture Summary - Mthly'!$E$8:$EG$8,AR$9,'Venture Summary - Mthly'!$E27:$EG27)</f>
        <v>0</v>
      </c>
      <c r="AS24" s="798">
        <f>SUMIF('Venture Summary - Mthly'!$E$8:$EG$8,AS$9,'Venture Summary - Mthly'!$E27:$EG27)</f>
        <v>0</v>
      </c>
      <c r="AT24" s="798">
        <f>SUMIF('Venture Summary - Mthly'!$E$8:$EG$8,AT$9,'Venture Summary - Mthly'!$E27:$EG27)</f>
        <v>0</v>
      </c>
      <c r="AU24" s="798">
        <f>SUMIF('Venture Summary - Mthly'!$E$8:$EG$8,AU$9,'Venture Summary - Mthly'!$E27:$EG27)</f>
        <v>0</v>
      </c>
      <c r="AV24" s="798">
        <f>SUMIF('Venture Summary - Mthly'!$E$8:$EG$8,AV$9,'Venture Summary - Mthly'!$E27:$EG27)</f>
        <v>0</v>
      </c>
      <c r="AW24" s="798">
        <f>SUMIF('Venture Summary - Mthly'!$E$8:$EG$8,AW$9,'Venture Summary - Mthly'!$E27:$EG27)</f>
        <v>0</v>
      </c>
      <c r="AX24" s="798"/>
    </row>
    <row r="25" spans="1:50" ht="12.75" customHeight="1" x14ac:dyDescent="0.3">
      <c r="A25" s="782"/>
      <c r="B25" s="782" t="s">
        <v>16</v>
      </c>
      <c r="C25" s="798">
        <f t="shared" si="6"/>
        <v>42877793.386999995</v>
      </c>
      <c r="D25" s="782"/>
      <c r="E25" s="798">
        <f>SUMIF('Venture Summary - Mthly'!$E$8:$EG$8,E$9,'Venture Summary - Mthly'!$E28:$EG28)</f>
        <v>0</v>
      </c>
      <c r="F25" s="798">
        <f>SUMIF('Venture Summary - Mthly'!$E$8:$EG$8,F$9,'Venture Summary - Mthly'!$E28:$EG28)</f>
        <v>0</v>
      </c>
      <c r="G25" s="798">
        <f>SUMIF('Venture Summary - Mthly'!$E$8:$EG$8,G$9,'Venture Summary - Mthly'!$E28:$EG28)</f>
        <v>0</v>
      </c>
      <c r="H25" s="798">
        <f>SUMIF('Venture Summary - Mthly'!$E$8:$EG$8,H$9,'Venture Summary - Mthly'!$E28:$EG28)</f>
        <v>0</v>
      </c>
      <c r="I25" s="798">
        <f>SUMIF('Venture Summary - Mthly'!$E$8:$EG$8,I$9,'Venture Summary - Mthly'!$E28:$EG28)</f>
        <v>9733199.8629999999</v>
      </c>
      <c r="J25" s="798">
        <f>SUMIF('Venture Summary - Mthly'!$E$8:$EG$8,J$9,'Venture Summary - Mthly'!$E28:$EG28)</f>
        <v>11596302.436999999</v>
      </c>
      <c r="K25" s="798">
        <f>SUMIF('Venture Summary - Mthly'!$E$8:$EG$8,K$9,'Venture Summary - Mthly'!$E28:$EG28)</f>
        <v>9626496.7980000004</v>
      </c>
      <c r="L25" s="798">
        <f>SUMIF('Venture Summary - Mthly'!$E$8:$EG$8,L$9,'Venture Summary - Mthly'!$E28:$EG28)</f>
        <v>7315071.3399999999</v>
      </c>
      <c r="M25" s="798">
        <f>SUMIF('Venture Summary - Mthly'!$E$8:$EG$8,M$9,'Venture Summary - Mthly'!$E28:$EG28)</f>
        <v>3929018.665</v>
      </c>
      <c r="N25" s="798">
        <f>SUMIF('Venture Summary - Mthly'!$E$8:$EG$8,N$9,'Venture Summary - Mthly'!$E28:$EG28)</f>
        <v>677704.28399999999</v>
      </c>
      <c r="O25" s="798">
        <f>SUMIF('Venture Summary - Mthly'!$E$8:$EG$8,O$9,'Venture Summary - Mthly'!$E28:$EG28)</f>
        <v>0</v>
      </c>
      <c r="P25" s="798">
        <f>SUMIF('Venture Summary - Mthly'!$E$8:$EG$8,P$9,'Venture Summary - Mthly'!$E28:$EG28)</f>
        <v>0</v>
      </c>
      <c r="Q25" s="798">
        <f>SUMIF('Venture Summary - Mthly'!$E$8:$EG$8,Q$9,'Venture Summary - Mthly'!$E28:$EG28)</f>
        <v>0</v>
      </c>
      <c r="R25" s="798">
        <f>SUMIF('Venture Summary - Mthly'!$E$8:$EG$8,R$9,'Venture Summary - Mthly'!$E28:$EG28)</f>
        <v>0</v>
      </c>
      <c r="S25" s="798">
        <f>SUMIF('Venture Summary - Mthly'!$E$8:$EG$8,S$9,'Venture Summary - Mthly'!$E28:$EG28)</f>
        <v>0</v>
      </c>
      <c r="T25" s="798">
        <f>SUMIF('Venture Summary - Mthly'!$E$8:$EG$8,T$9,'Venture Summary - Mthly'!$E28:$EG28)</f>
        <v>0</v>
      </c>
      <c r="U25" s="798">
        <f>SUMIF('Venture Summary - Mthly'!$E$8:$EG$8,U$9,'Venture Summary - Mthly'!$E28:$EG28)</f>
        <v>0</v>
      </c>
      <c r="V25" s="798">
        <f>SUMIF('Venture Summary - Mthly'!$E$8:$EG$8,V$9,'Venture Summary - Mthly'!$E28:$EG28)</f>
        <v>0</v>
      </c>
      <c r="W25" s="798">
        <f>SUMIF('Venture Summary - Mthly'!$E$8:$EG$8,W$9,'Venture Summary - Mthly'!$E28:$EG28)</f>
        <v>0</v>
      </c>
      <c r="X25" s="798">
        <f>SUMIF('Venture Summary - Mthly'!$E$8:$EG$8,X$9,'Venture Summary - Mthly'!$E28:$EG28)</f>
        <v>0</v>
      </c>
      <c r="Y25" s="798">
        <f>SUMIF('Venture Summary - Mthly'!$E$8:$EG$8,Y$9,'Venture Summary - Mthly'!$E28:$EG28)</f>
        <v>0</v>
      </c>
      <c r="Z25" s="798">
        <f>SUMIF('Venture Summary - Mthly'!$E$8:$EG$8,Z$9,'Venture Summary - Mthly'!$E28:$EG28)</f>
        <v>0</v>
      </c>
      <c r="AA25" s="798">
        <f>SUMIF('Venture Summary - Mthly'!$E$8:$EG$8,AA$9,'Venture Summary - Mthly'!$E28:$EG28)</f>
        <v>0</v>
      </c>
      <c r="AB25" s="798">
        <f>SUMIF('Venture Summary - Mthly'!$E$8:$EG$8,AB$9,'Venture Summary - Mthly'!$E28:$EG28)</f>
        <v>0</v>
      </c>
      <c r="AC25" s="798">
        <f>SUMIF('Venture Summary - Mthly'!$E$8:$EG$8,AC$9,'Venture Summary - Mthly'!$E28:$EG28)</f>
        <v>0</v>
      </c>
      <c r="AD25" s="798">
        <f>SUMIF('Venture Summary - Mthly'!$E$8:$EG$8,AD$9,'Venture Summary - Mthly'!$E28:$EG28)</f>
        <v>0</v>
      </c>
      <c r="AE25" s="798">
        <f>SUMIF('Venture Summary - Mthly'!$E$8:$EG$8,AE$9,'Venture Summary - Mthly'!$E28:$EG28)</f>
        <v>0</v>
      </c>
      <c r="AF25" s="798">
        <f>SUMIF('Venture Summary - Mthly'!$E$8:$EG$8,AF$9,'Venture Summary - Mthly'!$E28:$EG28)</f>
        <v>0</v>
      </c>
      <c r="AG25" s="798">
        <f>SUMIF('Venture Summary - Mthly'!$E$8:$EG$8,AG$9,'Venture Summary - Mthly'!$E28:$EG28)</f>
        <v>0</v>
      </c>
      <c r="AH25" s="798">
        <f>SUMIF('Venture Summary - Mthly'!$E$8:$EG$8,AH$9,'Venture Summary - Mthly'!$E28:$EG28)</f>
        <v>0</v>
      </c>
      <c r="AI25" s="798">
        <f>SUMIF('Venture Summary - Mthly'!$E$8:$EG$8,AI$9,'Venture Summary - Mthly'!$E28:$EG28)</f>
        <v>0</v>
      </c>
      <c r="AJ25" s="798">
        <f>SUMIF('Venture Summary - Mthly'!$E$8:$EG$8,AJ$9,'Venture Summary - Mthly'!$E28:$EG28)</f>
        <v>0</v>
      </c>
      <c r="AK25" s="798">
        <f>SUMIF('Venture Summary - Mthly'!$E$8:$EG$8,AK$9,'Venture Summary - Mthly'!$E28:$EG28)</f>
        <v>0</v>
      </c>
      <c r="AL25" s="798">
        <f>SUMIF('Venture Summary - Mthly'!$E$8:$EG$8,AL$9,'Venture Summary - Mthly'!$E28:$EG28)</f>
        <v>0</v>
      </c>
      <c r="AM25" s="798">
        <f>SUMIF('Venture Summary - Mthly'!$E$8:$EG$8,AM$9,'Venture Summary - Mthly'!$E28:$EG28)</f>
        <v>0</v>
      </c>
      <c r="AN25" s="798">
        <f>SUMIF('Venture Summary - Mthly'!$E$8:$EG$8,AN$9,'Venture Summary - Mthly'!$E28:$EG28)</f>
        <v>0</v>
      </c>
      <c r="AO25" s="798">
        <f>SUMIF('Venture Summary - Mthly'!$E$8:$EG$8,AO$9,'Venture Summary - Mthly'!$E28:$EG28)</f>
        <v>0</v>
      </c>
      <c r="AP25" s="798">
        <f>SUMIF('Venture Summary - Mthly'!$E$8:$EG$8,AP$9,'Venture Summary - Mthly'!$E28:$EG28)</f>
        <v>0</v>
      </c>
      <c r="AQ25" s="798">
        <f>SUMIF('Venture Summary - Mthly'!$E$8:$EG$8,AQ$9,'Venture Summary - Mthly'!$E28:$EG28)</f>
        <v>0</v>
      </c>
      <c r="AR25" s="798">
        <f>SUMIF('Venture Summary - Mthly'!$E$8:$EG$8,AR$9,'Venture Summary - Mthly'!$E28:$EG28)</f>
        <v>0</v>
      </c>
      <c r="AS25" s="798">
        <f>SUMIF('Venture Summary - Mthly'!$E$8:$EG$8,AS$9,'Venture Summary - Mthly'!$E28:$EG28)</f>
        <v>0</v>
      </c>
      <c r="AT25" s="798">
        <f>SUMIF('Venture Summary - Mthly'!$E$8:$EG$8,AT$9,'Venture Summary - Mthly'!$E28:$EG28)</f>
        <v>0</v>
      </c>
      <c r="AU25" s="798">
        <f>SUMIF('Venture Summary - Mthly'!$E$8:$EG$8,AU$9,'Venture Summary - Mthly'!$E28:$EG28)</f>
        <v>0</v>
      </c>
      <c r="AV25" s="798">
        <f>SUMIF('Venture Summary - Mthly'!$E$8:$EG$8,AV$9,'Venture Summary - Mthly'!$E28:$EG28)</f>
        <v>0</v>
      </c>
      <c r="AW25" s="798">
        <f>SUMIF('Venture Summary - Mthly'!$E$8:$EG$8,AW$9,'Venture Summary - Mthly'!$E28:$EG28)</f>
        <v>0</v>
      </c>
      <c r="AX25" s="798"/>
    </row>
    <row r="26" spans="1:50" ht="12.75" customHeight="1" x14ac:dyDescent="0.3">
      <c r="A26" s="782"/>
      <c r="B26" s="782" t="s">
        <v>17</v>
      </c>
      <c r="C26" s="798">
        <f t="shared" si="6"/>
        <v>-42877793.387000009</v>
      </c>
      <c r="D26" s="782"/>
      <c r="E26" s="798">
        <f>SUMIF('Venture Summary - Mthly'!$E$8:$EG$8,E$9,'Venture Summary - Mthly'!$E29:$EG29)</f>
        <v>0</v>
      </c>
      <c r="F26" s="798">
        <f>SUMIF('Venture Summary - Mthly'!$E$8:$EG$8,F$9,'Venture Summary - Mthly'!$E29:$EG29)</f>
        <v>0</v>
      </c>
      <c r="G26" s="798">
        <f>SUMIF('Venture Summary - Mthly'!$E$8:$EG$8,G$9,'Venture Summary - Mthly'!$E29:$EG29)</f>
        <v>0</v>
      </c>
      <c r="H26" s="798">
        <f>SUMIF('Venture Summary - Mthly'!$E$8:$EG$8,H$9,'Venture Summary - Mthly'!$E29:$EG29)</f>
        <v>0</v>
      </c>
      <c r="I26" s="798">
        <f>SUMIF('Venture Summary - Mthly'!$E$8:$EG$8,I$9,'Venture Summary - Mthly'!$E29:$EG29)</f>
        <v>0</v>
      </c>
      <c r="J26" s="798">
        <f>SUMIF('Venture Summary - Mthly'!$E$8:$EG$8,J$9,'Venture Summary - Mthly'!$E29:$EG29)</f>
        <v>0</v>
      </c>
      <c r="K26" s="798">
        <f>SUMIF('Venture Summary - Mthly'!$E$8:$EG$8,K$9,'Venture Summary - Mthly'!$E29:$EG29)</f>
        <v>0</v>
      </c>
      <c r="L26" s="798">
        <f>SUMIF('Venture Summary - Mthly'!$E$8:$EG$8,L$9,'Venture Summary - Mthly'!$E29:$EG29)</f>
        <v>0</v>
      </c>
      <c r="M26" s="798">
        <f>SUMIF('Venture Summary - Mthly'!$E$8:$EG$8,M$9,'Venture Summary - Mthly'!$E29:$EG29)</f>
        <v>0</v>
      </c>
      <c r="N26" s="798">
        <f>SUMIF('Venture Summary - Mthly'!$E$8:$EG$8,N$9,'Venture Summary - Mthly'!$E29:$EG29)</f>
        <v>0</v>
      </c>
      <c r="O26" s="798">
        <f>SUMIF('Venture Summary - Mthly'!$E$8:$EG$8,O$9,'Venture Summary - Mthly'!$E29:$EG29)</f>
        <v>0</v>
      </c>
      <c r="P26" s="798">
        <f>SUMIF('Venture Summary - Mthly'!$E$8:$EG$8,P$9,'Venture Summary - Mthly'!$E29:$EG29)</f>
        <v>-42877793.387000009</v>
      </c>
      <c r="Q26" s="798">
        <f>SUMIF('Venture Summary - Mthly'!$E$8:$EG$8,Q$9,'Venture Summary - Mthly'!$E29:$EG29)</f>
        <v>0</v>
      </c>
      <c r="R26" s="798">
        <f>SUMIF('Venture Summary - Mthly'!$E$8:$EG$8,R$9,'Venture Summary - Mthly'!$E29:$EG29)</f>
        <v>0</v>
      </c>
      <c r="S26" s="798">
        <f>SUMIF('Venture Summary - Mthly'!$E$8:$EG$8,S$9,'Venture Summary - Mthly'!$E29:$EG29)</f>
        <v>0</v>
      </c>
      <c r="T26" s="798">
        <f>SUMIF('Venture Summary - Mthly'!$E$8:$EG$8,T$9,'Venture Summary - Mthly'!$E29:$EG29)</f>
        <v>0</v>
      </c>
      <c r="U26" s="798">
        <f>SUMIF('Venture Summary - Mthly'!$E$8:$EG$8,U$9,'Venture Summary - Mthly'!$E29:$EG29)</f>
        <v>0</v>
      </c>
      <c r="V26" s="798">
        <f>SUMIF('Venture Summary - Mthly'!$E$8:$EG$8,V$9,'Venture Summary - Mthly'!$E29:$EG29)</f>
        <v>0</v>
      </c>
      <c r="W26" s="798">
        <f>SUMIF('Venture Summary - Mthly'!$E$8:$EG$8,W$9,'Venture Summary - Mthly'!$E29:$EG29)</f>
        <v>0</v>
      </c>
      <c r="X26" s="798">
        <f>SUMIF('Venture Summary - Mthly'!$E$8:$EG$8,X$9,'Venture Summary - Mthly'!$E29:$EG29)</f>
        <v>0</v>
      </c>
      <c r="Y26" s="798">
        <f>SUMIF('Venture Summary - Mthly'!$E$8:$EG$8,Y$9,'Venture Summary - Mthly'!$E29:$EG29)</f>
        <v>0</v>
      </c>
      <c r="Z26" s="798">
        <f>SUMIF('Venture Summary - Mthly'!$E$8:$EG$8,Z$9,'Venture Summary - Mthly'!$E29:$EG29)</f>
        <v>0</v>
      </c>
      <c r="AA26" s="798">
        <f>SUMIF('Venture Summary - Mthly'!$E$8:$EG$8,AA$9,'Venture Summary - Mthly'!$E29:$EG29)</f>
        <v>0</v>
      </c>
      <c r="AB26" s="798">
        <f>SUMIF('Venture Summary - Mthly'!$E$8:$EG$8,AB$9,'Venture Summary - Mthly'!$E29:$EG29)</f>
        <v>0</v>
      </c>
      <c r="AC26" s="798">
        <f>SUMIF('Venture Summary - Mthly'!$E$8:$EG$8,AC$9,'Venture Summary - Mthly'!$E29:$EG29)</f>
        <v>0</v>
      </c>
      <c r="AD26" s="798">
        <f>SUMIF('Venture Summary - Mthly'!$E$8:$EG$8,AD$9,'Venture Summary - Mthly'!$E29:$EG29)</f>
        <v>0</v>
      </c>
      <c r="AE26" s="798">
        <f>SUMIF('Venture Summary - Mthly'!$E$8:$EG$8,AE$9,'Venture Summary - Mthly'!$E29:$EG29)</f>
        <v>0</v>
      </c>
      <c r="AF26" s="798">
        <f>SUMIF('Venture Summary - Mthly'!$E$8:$EG$8,AF$9,'Venture Summary - Mthly'!$E29:$EG29)</f>
        <v>0</v>
      </c>
      <c r="AG26" s="798">
        <f>SUMIF('Venture Summary - Mthly'!$E$8:$EG$8,AG$9,'Venture Summary - Mthly'!$E29:$EG29)</f>
        <v>0</v>
      </c>
      <c r="AH26" s="798">
        <f>SUMIF('Venture Summary - Mthly'!$E$8:$EG$8,AH$9,'Venture Summary - Mthly'!$E29:$EG29)</f>
        <v>0</v>
      </c>
      <c r="AI26" s="798">
        <f>SUMIF('Venture Summary - Mthly'!$E$8:$EG$8,AI$9,'Venture Summary - Mthly'!$E29:$EG29)</f>
        <v>0</v>
      </c>
      <c r="AJ26" s="798">
        <f>SUMIF('Venture Summary - Mthly'!$E$8:$EG$8,AJ$9,'Venture Summary - Mthly'!$E29:$EG29)</f>
        <v>0</v>
      </c>
      <c r="AK26" s="798">
        <f>SUMIF('Venture Summary - Mthly'!$E$8:$EG$8,AK$9,'Venture Summary - Mthly'!$E29:$EG29)</f>
        <v>0</v>
      </c>
      <c r="AL26" s="798">
        <f>SUMIF('Venture Summary - Mthly'!$E$8:$EG$8,AL$9,'Venture Summary - Mthly'!$E29:$EG29)</f>
        <v>0</v>
      </c>
      <c r="AM26" s="798">
        <f>SUMIF('Venture Summary - Mthly'!$E$8:$EG$8,AM$9,'Venture Summary - Mthly'!$E29:$EG29)</f>
        <v>0</v>
      </c>
      <c r="AN26" s="798">
        <f>SUMIF('Venture Summary - Mthly'!$E$8:$EG$8,AN$9,'Venture Summary - Mthly'!$E29:$EG29)</f>
        <v>0</v>
      </c>
      <c r="AO26" s="798">
        <f>SUMIF('Venture Summary - Mthly'!$E$8:$EG$8,AO$9,'Venture Summary - Mthly'!$E29:$EG29)</f>
        <v>0</v>
      </c>
      <c r="AP26" s="798">
        <f>SUMIF('Venture Summary - Mthly'!$E$8:$EG$8,AP$9,'Venture Summary - Mthly'!$E29:$EG29)</f>
        <v>0</v>
      </c>
      <c r="AQ26" s="798">
        <f>SUMIF('Venture Summary - Mthly'!$E$8:$EG$8,AQ$9,'Venture Summary - Mthly'!$E29:$EG29)</f>
        <v>0</v>
      </c>
      <c r="AR26" s="798">
        <f>SUMIF('Venture Summary - Mthly'!$E$8:$EG$8,AR$9,'Venture Summary - Mthly'!$E29:$EG29)</f>
        <v>0</v>
      </c>
      <c r="AS26" s="798">
        <f>SUMIF('Venture Summary - Mthly'!$E$8:$EG$8,AS$9,'Venture Summary - Mthly'!$E29:$EG29)</f>
        <v>0</v>
      </c>
      <c r="AT26" s="798">
        <f>SUMIF('Venture Summary - Mthly'!$E$8:$EG$8,AT$9,'Venture Summary - Mthly'!$E29:$EG29)</f>
        <v>0</v>
      </c>
      <c r="AU26" s="798">
        <f>SUMIF('Venture Summary - Mthly'!$E$8:$EG$8,AU$9,'Venture Summary - Mthly'!$E29:$EG29)</f>
        <v>0</v>
      </c>
      <c r="AV26" s="798">
        <f>SUMIF('Venture Summary - Mthly'!$E$8:$EG$8,AV$9,'Venture Summary - Mthly'!$E29:$EG29)</f>
        <v>0</v>
      </c>
      <c r="AW26" s="798">
        <f>SUMIF('Venture Summary - Mthly'!$E$8:$EG$8,AW$9,'Venture Summary - Mthly'!$E29:$EG29)</f>
        <v>0</v>
      </c>
      <c r="AX26" s="798"/>
    </row>
    <row r="27" spans="1:50" ht="12.75" customHeight="1" x14ac:dyDescent="0.3">
      <c r="A27" s="782"/>
      <c r="B27" s="782" t="s">
        <v>18</v>
      </c>
      <c r="C27" s="798">
        <f t="shared" si="6"/>
        <v>57343611.907627545</v>
      </c>
      <c r="D27" s="782"/>
      <c r="E27" s="798">
        <f>SUMIF('Venture Summary - Mthly'!$E$8:$EG$8,E$9,'Venture Summary - Mthly'!$E30:$EG30)</f>
        <v>0</v>
      </c>
      <c r="F27" s="798">
        <f>SUMIF('Venture Summary - Mthly'!$E$8:$EG$8,F$9,'Venture Summary - Mthly'!$E30:$EG30)</f>
        <v>0</v>
      </c>
      <c r="G27" s="798">
        <f>SUMIF('Venture Summary - Mthly'!$E$8:$EG$8,G$9,'Venture Summary - Mthly'!$E30:$EG30)</f>
        <v>0</v>
      </c>
      <c r="H27" s="798">
        <f>SUMIF('Venture Summary - Mthly'!$E$8:$EG$8,H$9,'Venture Summary - Mthly'!$E30:$EG30)</f>
        <v>0</v>
      </c>
      <c r="I27" s="798">
        <f>SUMIF('Venture Summary - Mthly'!$E$8:$EG$8,I$9,'Venture Summary - Mthly'!$E30:$EG30)</f>
        <v>0</v>
      </c>
      <c r="J27" s="798">
        <f>SUMIF('Venture Summary - Mthly'!$E$8:$EG$8,J$9,'Venture Summary - Mthly'!$E30:$EG30)</f>
        <v>0</v>
      </c>
      <c r="K27" s="798">
        <f>SUMIF('Venture Summary - Mthly'!$E$8:$EG$8,K$9,'Venture Summary - Mthly'!$E30:$EG30)</f>
        <v>0</v>
      </c>
      <c r="L27" s="798">
        <f>SUMIF('Venture Summary - Mthly'!$E$8:$EG$8,L$9,'Venture Summary - Mthly'!$E30:$EG30)</f>
        <v>0</v>
      </c>
      <c r="M27" s="798">
        <f>SUMIF('Venture Summary - Mthly'!$E$8:$EG$8,M$9,'Venture Summary - Mthly'!$E30:$EG30)</f>
        <v>0</v>
      </c>
      <c r="N27" s="798">
        <f>SUMIF('Venture Summary - Mthly'!$E$8:$EG$8,N$9,'Venture Summary - Mthly'!$E30:$EG30)</f>
        <v>0</v>
      </c>
      <c r="O27" s="798">
        <f>SUMIF('Venture Summary - Mthly'!$E$8:$EG$8,O$9,'Venture Summary - Mthly'!$E30:$EG30)</f>
        <v>0</v>
      </c>
      <c r="P27" s="798">
        <f>SUMIF('Venture Summary - Mthly'!$E$8:$EG$8,P$9,'Venture Summary - Mthly'!$E30:$EG30)</f>
        <v>57343611.907627545</v>
      </c>
      <c r="Q27" s="798">
        <f>SUMIF('Venture Summary - Mthly'!$E$8:$EG$8,Q$9,'Venture Summary - Mthly'!$E30:$EG30)</f>
        <v>0</v>
      </c>
      <c r="R27" s="798">
        <f>SUMIF('Venture Summary - Mthly'!$E$8:$EG$8,R$9,'Venture Summary - Mthly'!$E30:$EG30)</f>
        <v>0</v>
      </c>
      <c r="S27" s="798">
        <f>SUMIF('Venture Summary - Mthly'!$E$8:$EG$8,S$9,'Venture Summary - Mthly'!$E30:$EG30)</f>
        <v>0</v>
      </c>
      <c r="T27" s="798">
        <f>SUMIF('Venture Summary - Mthly'!$E$8:$EG$8,T$9,'Venture Summary - Mthly'!$E30:$EG30)</f>
        <v>0</v>
      </c>
      <c r="U27" s="798">
        <f>SUMIF('Venture Summary - Mthly'!$E$8:$EG$8,U$9,'Venture Summary - Mthly'!$E30:$EG30)</f>
        <v>0</v>
      </c>
      <c r="V27" s="798">
        <f>SUMIF('Venture Summary - Mthly'!$E$8:$EG$8,V$9,'Venture Summary - Mthly'!$E30:$EG30)</f>
        <v>0</v>
      </c>
      <c r="W27" s="798">
        <f>SUMIF('Venture Summary - Mthly'!$E$8:$EG$8,W$9,'Venture Summary - Mthly'!$E30:$EG30)</f>
        <v>0</v>
      </c>
      <c r="X27" s="798">
        <f>SUMIF('Venture Summary - Mthly'!$E$8:$EG$8,X$9,'Venture Summary - Mthly'!$E30:$EG30)</f>
        <v>0</v>
      </c>
      <c r="Y27" s="798">
        <f>SUMIF('Venture Summary - Mthly'!$E$8:$EG$8,Y$9,'Venture Summary - Mthly'!$E30:$EG30)</f>
        <v>0</v>
      </c>
      <c r="Z27" s="798">
        <f>SUMIF('Venture Summary - Mthly'!$E$8:$EG$8,Z$9,'Venture Summary - Mthly'!$E30:$EG30)</f>
        <v>0</v>
      </c>
      <c r="AA27" s="798">
        <f>SUMIF('Venture Summary - Mthly'!$E$8:$EG$8,AA$9,'Venture Summary - Mthly'!$E30:$EG30)</f>
        <v>0</v>
      </c>
      <c r="AB27" s="798">
        <f>SUMIF('Venture Summary - Mthly'!$E$8:$EG$8,AB$9,'Venture Summary - Mthly'!$E30:$EG30)</f>
        <v>0</v>
      </c>
      <c r="AC27" s="798">
        <f>SUMIF('Venture Summary - Mthly'!$E$8:$EG$8,AC$9,'Venture Summary - Mthly'!$E30:$EG30)</f>
        <v>0</v>
      </c>
      <c r="AD27" s="798">
        <f>SUMIF('Venture Summary - Mthly'!$E$8:$EG$8,AD$9,'Venture Summary - Mthly'!$E30:$EG30)</f>
        <v>0</v>
      </c>
      <c r="AE27" s="798">
        <f>SUMIF('Venture Summary - Mthly'!$E$8:$EG$8,AE$9,'Venture Summary - Mthly'!$E30:$EG30)</f>
        <v>0</v>
      </c>
      <c r="AF27" s="798">
        <f>SUMIF('Venture Summary - Mthly'!$E$8:$EG$8,AF$9,'Venture Summary - Mthly'!$E30:$EG30)</f>
        <v>0</v>
      </c>
      <c r="AG27" s="798">
        <f>SUMIF('Venture Summary - Mthly'!$E$8:$EG$8,AG$9,'Venture Summary - Mthly'!$E30:$EG30)</f>
        <v>0</v>
      </c>
      <c r="AH27" s="798">
        <f>SUMIF('Venture Summary - Mthly'!$E$8:$EG$8,AH$9,'Venture Summary - Mthly'!$E30:$EG30)</f>
        <v>0</v>
      </c>
      <c r="AI27" s="798">
        <f>SUMIF('Venture Summary - Mthly'!$E$8:$EG$8,AI$9,'Venture Summary - Mthly'!$E30:$EG30)</f>
        <v>0</v>
      </c>
      <c r="AJ27" s="798">
        <f>SUMIF('Venture Summary - Mthly'!$E$8:$EG$8,AJ$9,'Venture Summary - Mthly'!$E30:$EG30)</f>
        <v>0</v>
      </c>
      <c r="AK27" s="798">
        <f>SUMIF('Venture Summary - Mthly'!$E$8:$EG$8,AK$9,'Venture Summary - Mthly'!$E30:$EG30)</f>
        <v>0</v>
      </c>
      <c r="AL27" s="798">
        <f>SUMIF('Venture Summary - Mthly'!$E$8:$EG$8,AL$9,'Venture Summary - Mthly'!$E30:$EG30)</f>
        <v>0</v>
      </c>
      <c r="AM27" s="798">
        <f>SUMIF('Venture Summary - Mthly'!$E$8:$EG$8,AM$9,'Venture Summary - Mthly'!$E30:$EG30)</f>
        <v>0</v>
      </c>
      <c r="AN27" s="798">
        <f>SUMIF('Venture Summary - Mthly'!$E$8:$EG$8,AN$9,'Venture Summary - Mthly'!$E30:$EG30)</f>
        <v>0</v>
      </c>
      <c r="AO27" s="798">
        <f>SUMIF('Venture Summary - Mthly'!$E$8:$EG$8,AO$9,'Venture Summary - Mthly'!$E30:$EG30)</f>
        <v>0</v>
      </c>
      <c r="AP27" s="798">
        <f>SUMIF('Venture Summary - Mthly'!$E$8:$EG$8,AP$9,'Venture Summary - Mthly'!$E30:$EG30)</f>
        <v>0</v>
      </c>
      <c r="AQ27" s="798">
        <f>SUMIF('Venture Summary - Mthly'!$E$8:$EG$8,AQ$9,'Venture Summary - Mthly'!$E30:$EG30)</f>
        <v>0</v>
      </c>
      <c r="AR27" s="798">
        <f>SUMIF('Venture Summary - Mthly'!$E$8:$EG$8,AR$9,'Venture Summary - Mthly'!$E30:$EG30)</f>
        <v>0</v>
      </c>
      <c r="AS27" s="798">
        <f>SUMIF('Venture Summary - Mthly'!$E$8:$EG$8,AS$9,'Venture Summary - Mthly'!$E30:$EG30)</f>
        <v>0</v>
      </c>
      <c r="AT27" s="798">
        <f>SUMIF('Venture Summary - Mthly'!$E$8:$EG$8,AT$9,'Venture Summary - Mthly'!$E30:$EG30)</f>
        <v>0</v>
      </c>
      <c r="AU27" s="798">
        <f>SUMIF('Venture Summary - Mthly'!$E$8:$EG$8,AU$9,'Venture Summary - Mthly'!$E30:$EG30)</f>
        <v>0</v>
      </c>
      <c r="AV27" s="798">
        <f>SUMIF('Venture Summary - Mthly'!$E$8:$EG$8,AV$9,'Venture Summary - Mthly'!$E30:$EG30)</f>
        <v>0</v>
      </c>
      <c r="AW27" s="798">
        <f>SUMIF('Venture Summary - Mthly'!$E$8:$EG$8,AW$9,'Venture Summary - Mthly'!$E30:$EG30)</f>
        <v>0</v>
      </c>
      <c r="AX27" s="798"/>
    </row>
    <row r="28" spans="1:50" ht="12.75" customHeight="1" x14ac:dyDescent="0.3">
      <c r="A28" s="782"/>
      <c r="B28" s="782" t="s">
        <v>19</v>
      </c>
      <c r="C28" s="798">
        <f t="shared" si="6"/>
        <v>0</v>
      </c>
      <c r="D28" s="782"/>
      <c r="E28" s="798">
        <f>SUMIF('Venture Summary - Mthly'!$E$8:$EG$8,E$9,'Venture Summary - Mthly'!$E31:$EG31)</f>
        <v>0</v>
      </c>
      <c r="F28" s="798">
        <f>SUMIF('Venture Summary - Mthly'!$E$8:$EG$8,F$9,'Venture Summary - Mthly'!$E31:$EG31)</f>
        <v>0</v>
      </c>
      <c r="G28" s="798">
        <f>SUMIF('Venture Summary - Mthly'!$E$8:$EG$8,G$9,'Venture Summary - Mthly'!$E31:$EG31)</f>
        <v>0</v>
      </c>
      <c r="H28" s="798">
        <f>SUMIF('Venture Summary - Mthly'!$E$8:$EG$8,H$9,'Venture Summary - Mthly'!$E31:$EG31)</f>
        <v>0</v>
      </c>
      <c r="I28" s="798">
        <f>SUMIF('Venture Summary - Mthly'!$E$8:$EG$8,I$9,'Venture Summary - Mthly'!$E31:$EG31)</f>
        <v>0</v>
      </c>
      <c r="J28" s="798">
        <f>SUMIF('Venture Summary - Mthly'!$E$8:$EG$8,J$9,'Venture Summary - Mthly'!$E31:$EG31)</f>
        <v>0</v>
      </c>
      <c r="K28" s="798">
        <f>SUMIF('Venture Summary - Mthly'!$E$8:$EG$8,K$9,'Venture Summary - Mthly'!$E31:$EG31)</f>
        <v>0</v>
      </c>
      <c r="L28" s="798">
        <f>SUMIF('Venture Summary - Mthly'!$E$8:$EG$8,L$9,'Venture Summary - Mthly'!$E31:$EG31)</f>
        <v>0</v>
      </c>
      <c r="M28" s="798">
        <f>SUMIF('Venture Summary - Mthly'!$E$8:$EG$8,M$9,'Venture Summary - Mthly'!$E31:$EG31)</f>
        <v>0</v>
      </c>
      <c r="N28" s="798">
        <f>SUMIF('Venture Summary - Mthly'!$E$8:$EG$8,N$9,'Venture Summary - Mthly'!$E31:$EG31)</f>
        <v>0</v>
      </c>
      <c r="O28" s="798">
        <f>SUMIF('Venture Summary - Mthly'!$E$8:$EG$8,O$9,'Venture Summary - Mthly'!$E31:$EG31)</f>
        <v>0</v>
      </c>
      <c r="P28" s="798">
        <f>SUMIF('Venture Summary - Mthly'!$E$8:$EG$8,P$9,'Venture Summary - Mthly'!$E31:$EG31)</f>
        <v>0</v>
      </c>
      <c r="Q28" s="798">
        <f>SUMIF('Venture Summary - Mthly'!$E$8:$EG$8,Q$9,'Venture Summary - Mthly'!$E31:$EG31)</f>
        <v>0</v>
      </c>
      <c r="R28" s="798">
        <f>SUMIF('Venture Summary - Mthly'!$E$8:$EG$8,R$9,'Venture Summary - Mthly'!$E31:$EG31)</f>
        <v>0</v>
      </c>
      <c r="S28" s="798">
        <f>SUMIF('Venture Summary - Mthly'!$E$8:$EG$8,S$9,'Venture Summary - Mthly'!$E31:$EG31)</f>
        <v>0</v>
      </c>
      <c r="T28" s="798">
        <f>SUMIF('Venture Summary - Mthly'!$E$8:$EG$8,T$9,'Venture Summary - Mthly'!$E31:$EG31)</f>
        <v>0</v>
      </c>
      <c r="U28" s="798">
        <f>SUMIF('Venture Summary - Mthly'!$E$8:$EG$8,U$9,'Venture Summary - Mthly'!$E31:$EG31)</f>
        <v>0</v>
      </c>
      <c r="V28" s="798">
        <f>SUMIF('Venture Summary - Mthly'!$E$8:$EG$8,V$9,'Venture Summary - Mthly'!$E31:$EG31)</f>
        <v>0</v>
      </c>
      <c r="W28" s="798">
        <f>SUMIF('Venture Summary - Mthly'!$E$8:$EG$8,W$9,'Venture Summary - Mthly'!$E31:$EG31)</f>
        <v>0</v>
      </c>
      <c r="X28" s="798">
        <f>SUMIF('Venture Summary - Mthly'!$E$8:$EG$8,X$9,'Venture Summary - Mthly'!$E31:$EG31)</f>
        <v>0</v>
      </c>
      <c r="Y28" s="798">
        <f>SUMIF('Venture Summary - Mthly'!$E$8:$EG$8,Y$9,'Venture Summary - Mthly'!$E31:$EG31)</f>
        <v>0</v>
      </c>
      <c r="Z28" s="798">
        <f>SUMIF('Venture Summary - Mthly'!$E$8:$EG$8,Z$9,'Venture Summary - Mthly'!$E31:$EG31)</f>
        <v>0</v>
      </c>
      <c r="AA28" s="798">
        <f>SUMIF('Venture Summary - Mthly'!$E$8:$EG$8,AA$9,'Venture Summary - Mthly'!$E31:$EG31)</f>
        <v>0</v>
      </c>
      <c r="AB28" s="798">
        <f>SUMIF('Venture Summary - Mthly'!$E$8:$EG$8,AB$9,'Venture Summary - Mthly'!$E31:$EG31)</f>
        <v>0</v>
      </c>
      <c r="AC28" s="798">
        <f>SUMIF('Venture Summary - Mthly'!$E$8:$EG$8,AC$9,'Venture Summary - Mthly'!$E31:$EG31)</f>
        <v>0</v>
      </c>
      <c r="AD28" s="798">
        <f>SUMIF('Venture Summary - Mthly'!$E$8:$EG$8,AD$9,'Venture Summary - Mthly'!$E31:$EG31)</f>
        <v>0</v>
      </c>
      <c r="AE28" s="798">
        <f>SUMIF('Venture Summary - Mthly'!$E$8:$EG$8,AE$9,'Venture Summary - Mthly'!$E31:$EG31)</f>
        <v>0</v>
      </c>
      <c r="AF28" s="798">
        <f>SUMIF('Venture Summary - Mthly'!$E$8:$EG$8,AF$9,'Venture Summary - Mthly'!$E31:$EG31)</f>
        <v>0</v>
      </c>
      <c r="AG28" s="798">
        <f>SUMIF('Venture Summary - Mthly'!$E$8:$EG$8,AG$9,'Venture Summary - Mthly'!$E31:$EG31)</f>
        <v>0</v>
      </c>
      <c r="AH28" s="798">
        <f>SUMIF('Venture Summary - Mthly'!$E$8:$EG$8,AH$9,'Venture Summary - Mthly'!$E31:$EG31)</f>
        <v>0</v>
      </c>
      <c r="AI28" s="798">
        <f>SUMIF('Venture Summary - Mthly'!$E$8:$EG$8,AI$9,'Venture Summary - Mthly'!$E31:$EG31)</f>
        <v>0</v>
      </c>
      <c r="AJ28" s="798">
        <f>SUMIF('Venture Summary - Mthly'!$E$8:$EG$8,AJ$9,'Venture Summary - Mthly'!$E31:$EG31)</f>
        <v>0</v>
      </c>
      <c r="AK28" s="798">
        <f>SUMIF('Venture Summary - Mthly'!$E$8:$EG$8,AK$9,'Venture Summary - Mthly'!$E31:$EG31)</f>
        <v>0</v>
      </c>
      <c r="AL28" s="798">
        <f>SUMIF('Venture Summary - Mthly'!$E$8:$EG$8,AL$9,'Venture Summary - Mthly'!$E31:$EG31)</f>
        <v>0</v>
      </c>
      <c r="AM28" s="798">
        <f>SUMIF('Venture Summary - Mthly'!$E$8:$EG$8,AM$9,'Venture Summary - Mthly'!$E31:$EG31)</f>
        <v>0</v>
      </c>
      <c r="AN28" s="798">
        <f>SUMIF('Venture Summary - Mthly'!$E$8:$EG$8,AN$9,'Venture Summary - Mthly'!$E31:$EG31)</f>
        <v>0</v>
      </c>
      <c r="AO28" s="798">
        <f>SUMIF('Venture Summary - Mthly'!$E$8:$EG$8,AO$9,'Venture Summary - Mthly'!$E31:$EG31)</f>
        <v>0</v>
      </c>
      <c r="AP28" s="798">
        <f>SUMIF('Venture Summary - Mthly'!$E$8:$EG$8,AP$9,'Venture Summary - Mthly'!$E31:$EG31)</f>
        <v>0</v>
      </c>
      <c r="AQ28" s="798">
        <f>SUMIF('Venture Summary - Mthly'!$E$8:$EG$8,AQ$9,'Venture Summary - Mthly'!$E31:$EG31)</f>
        <v>0</v>
      </c>
      <c r="AR28" s="798">
        <f>SUMIF('Venture Summary - Mthly'!$E$8:$EG$8,AR$9,'Venture Summary - Mthly'!$E31:$EG31)</f>
        <v>0</v>
      </c>
      <c r="AS28" s="798">
        <f>SUMIF('Venture Summary - Mthly'!$E$8:$EG$8,AS$9,'Venture Summary - Mthly'!$E31:$EG31)</f>
        <v>0</v>
      </c>
      <c r="AT28" s="798">
        <f>SUMIF('Venture Summary - Mthly'!$E$8:$EG$8,AT$9,'Venture Summary - Mthly'!$E31:$EG31)</f>
        <v>0</v>
      </c>
      <c r="AU28" s="798">
        <f>SUMIF('Venture Summary - Mthly'!$E$8:$EG$8,AU$9,'Venture Summary - Mthly'!$E31:$EG31)</f>
        <v>0</v>
      </c>
      <c r="AV28" s="798">
        <f>SUMIF('Venture Summary - Mthly'!$E$8:$EG$8,AV$9,'Venture Summary - Mthly'!$E31:$EG31)</f>
        <v>0</v>
      </c>
      <c r="AW28" s="798">
        <f>SUMIF('Venture Summary - Mthly'!$E$8:$EG$8,AW$9,'Venture Summary - Mthly'!$E31:$EG31)</f>
        <v>0</v>
      </c>
      <c r="AX28" s="798"/>
    </row>
    <row r="29" spans="1:50" ht="12.75" customHeight="1" x14ac:dyDescent="0.3">
      <c r="A29" s="782"/>
      <c r="B29" s="782" t="s">
        <v>20</v>
      </c>
      <c r="C29" s="798">
        <f t="shared" si="6"/>
        <v>-14404145.697984423</v>
      </c>
      <c r="D29" s="782"/>
      <c r="E29" s="798">
        <f>SUMIF('Venture Summary - Mthly'!$E$8:$EG$8,E$9,'Venture Summary - Mthly'!$E32:$EG32)</f>
        <v>0</v>
      </c>
      <c r="F29" s="798">
        <f>SUMIF('Venture Summary - Mthly'!$E$8:$EG$8,F$9,'Venture Summary - Mthly'!$E32:$EG32)</f>
        <v>0</v>
      </c>
      <c r="G29" s="798">
        <f>SUMIF('Venture Summary - Mthly'!$E$8:$EG$8,G$9,'Venture Summary - Mthly'!$E32:$EG32)</f>
        <v>0</v>
      </c>
      <c r="H29" s="798">
        <f>SUMIF('Venture Summary - Mthly'!$E$8:$EG$8,H$9,'Venture Summary - Mthly'!$E32:$EG32)</f>
        <v>0</v>
      </c>
      <c r="I29" s="798">
        <f>SUMIF('Venture Summary - Mthly'!$E$8:$EG$8,I$9,'Venture Summary - Mthly'!$E32:$EG32)</f>
        <v>0</v>
      </c>
      <c r="J29" s="798">
        <f>SUMIF('Venture Summary - Mthly'!$E$8:$EG$8,J$9,'Venture Summary - Mthly'!$E32:$EG32)</f>
        <v>0</v>
      </c>
      <c r="K29" s="798">
        <f>SUMIF('Venture Summary - Mthly'!$E$8:$EG$8,K$9,'Venture Summary - Mthly'!$E32:$EG32)</f>
        <v>0</v>
      </c>
      <c r="L29" s="798">
        <f>SUMIF('Venture Summary - Mthly'!$E$8:$EG$8,L$9,'Venture Summary - Mthly'!$E32:$EG32)</f>
        <v>0</v>
      </c>
      <c r="M29" s="798">
        <f>SUMIF('Venture Summary - Mthly'!$E$8:$EG$8,M$9,'Venture Summary - Mthly'!$E32:$EG32)</f>
        <v>0</v>
      </c>
      <c r="N29" s="798">
        <f>SUMIF('Venture Summary - Mthly'!$E$8:$EG$8,N$9,'Venture Summary - Mthly'!$E32:$EG32)</f>
        <v>0</v>
      </c>
      <c r="O29" s="798">
        <f>SUMIF('Venture Summary - Mthly'!$E$8:$EG$8,O$9,'Venture Summary - Mthly'!$E32:$EG32)</f>
        <v>0</v>
      </c>
      <c r="P29" s="798">
        <f>SUMIF('Venture Summary - Mthly'!$E$8:$EG$8,P$9,'Venture Summary - Mthly'!$E32:$EG32)</f>
        <v>0</v>
      </c>
      <c r="Q29" s="798">
        <f>SUMIF('Venture Summary - Mthly'!$E$8:$EG$8,Q$9,'Venture Summary - Mthly'!$E32:$EG32)</f>
        <v>-661856.6235938092</v>
      </c>
      <c r="R29" s="798">
        <f>SUMIF('Venture Summary - Mthly'!$E$8:$EG$8,R$9,'Venture Summary - Mthly'!$E32:$EG32)</f>
        <v>-663151.63349605643</v>
      </c>
      <c r="S29" s="798">
        <f>SUMIF('Venture Summary - Mthly'!$E$8:$EG$8,S$9,'Venture Summary - Mthly'!$E32:$EG32)</f>
        <v>-664592.39174523554</v>
      </c>
      <c r="T29" s="798">
        <f>SUMIF('Venture Summary - Mthly'!$E$8:$EG$8,T$9,'Venture Summary - Mthly'!$E32:$EG32)</f>
        <v>-666401.58270092122</v>
      </c>
      <c r="U29" s="798">
        <f>SUMIF('Venture Summary - Mthly'!$E$8:$EG$8,U$9,'Venture Summary - Mthly'!$E32:$EG32)</f>
        <v>-668698.67222125432</v>
      </c>
      <c r="V29" s="798">
        <f>SUMIF('Venture Summary - Mthly'!$E$8:$EG$8,V$9,'Venture Summary - Mthly'!$E32:$EG32)</f>
        <v>-671457.3778174438</v>
      </c>
      <c r="W29" s="798">
        <f>SUMIF('Venture Summary - Mthly'!$E$8:$EG$8,W$9,'Venture Summary - Mthly'!$E32:$EG32)</f>
        <v>-674680.08880665246</v>
      </c>
      <c r="X29" s="798">
        <f>SUMIF('Venture Summary - Mthly'!$E$8:$EG$8,X$9,'Venture Summary - Mthly'!$E32:$EG32)</f>
        <v>-678037.07942041149</v>
      </c>
      <c r="Y29" s="798">
        <f>SUMIF('Venture Summary - Mthly'!$E$8:$EG$8,Y$9,'Venture Summary - Mthly'!$E32:$EG32)</f>
        <v>-681233.50792082911</v>
      </c>
      <c r="Z29" s="798">
        <f>SUMIF('Venture Summary - Mthly'!$E$8:$EG$8,Z$9,'Venture Summary - Mthly'!$E32:$EG32)</f>
        <v>-684245.00327284471</v>
      </c>
      <c r="AA29" s="798">
        <f>SUMIF('Venture Summary - Mthly'!$E$8:$EG$8,AA$9,'Venture Summary - Mthly'!$E32:$EG32)</f>
        <v>-687134.16558612394</v>
      </c>
      <c r="AB29" s="798">
        <f>SUMIF('Venture Summary - Mthly'!$E$8:$EG$8,AB$9,'Venture Summary - Mthly'!$E32:$EG32)</f>
        <v>-689800.6435398286</v>
      </c>
      <c r="AC29" s="798">
        <f>SUMIF('Venture Summary - Mthly'!$E$8:$EG$8,AC$9,'Venture Summary - Mthly'!$E32:$EG32)</f>
        <v>-692374.89385104866</v>
      </c>
      <c r="AD29" s="798">
        <f>SUMIF('Venture Summary - Mthly'!$E$8:$EG$8,AD$9,'Venture Summary - Mthly'!$E32:$EG32)</f>
        <v>-694813.90881085303</v>
      </c>
      <c r="AE29" s="798">
        <f>SUMIF('Venture Summary - Mthly'!$E$8:$EG$8,AE$9,'Venture Summary - Mthly'!$E32:$EG32)</f>
        <v>-697050.30967525044</v>
      </c>
      <c r="AF29" s="798">
        <f>SUMIF('Venture Summary - Mthly'!$E$8:$EG$8,AF$9,'Venture Summary - Mthly'!$E32:$EG32)</f>
        <v>-699217.42034192628</v>
      </c>
      <c r="AG29" s="798">
        <f>SUMIF('Venture Summary - Mthly'!$E$8:$EG$8,AG$9,'Venture Summary - Mthly'!$E32:$EG32)</f>
        <v>-701478.67010481702</v>
      </c>
      <c r="AH29" s="798">
        <f>SUMIF('Venture Summary - Mthly'!$E$8:$EG$8,AH$9,'Venture Summary - Mthly'!$E32:$EG32)</f>
        <v>-703678.7533483397</v>
      </c>
      <c r="AI29" s="798">
        <f>SUMIF('Venture Summary - Mthly'!$E$8:$EG$8,AI$9,'Venture Summary - Mthly'!$E32:$EG32)</f>
        <v>-705853.50982993643</v>
      </c>
      <c r="AJ29" s="798">
        <f>SUMIF('Venture Summary - Mthly'!$E$8:$EG$8,AJ$9,'Venture Summary - Mthly'!$E32:$EG32)</f>
        <v>-708087.52137717104</v>
      </c>
      <c r="AK29" s="798">
        <f>SUMIF('Venture Summary - Mthly'!$E$8:$EG$8,AK$9,'Venture Summary - Mthly'!$E32:$EG32)</f>
        <v>-710301.94052367064</v>
      </c>
      <c r="AL29" s="798">
        <f>SUMIF('Venture Summary - Mthly'!$E$8:$EG$8,AL$9,'Venture Summary - Mthly'!$E32:$EG32)</f>
        <v>0</v>
      </c>
      <c r="AM29" s="798">
        <f>SUMIF('Venture Summary - Mthly'!$E$8:$EG$8,AM$9,'Venture Summary - Mthly'!$E32:$EG32)</f>
        <v>0</v>
      </c>
      <c r="AN29" s="798">
        <f>SUMIF('Venture Summary - Mthly'!$E$8:$EG$8,AN$9,'Venture Summary - Mthly'!$E32:$EG32)</f>
        <v>0</v>
      </c>
      <c r="AO29" s="798">
        <f>SUMIF('Venture Summary - Mthly'!$E$8:$EG$8,AO$9,'Venture Summary - Mthly'!$E32:$EG32)</f>
        <v>0</v>
      </c>
      <c r="AP29" s="798">
        <f>SUMIF('Venture Summary - Mthly'!$E$8:$EG$8,AP$9,'Venture Summary - Mthly'!$E32:$EG32)</f>
        <v>0</v>
      </c>
      <c r="AQ29" s="798">
        <f>SUMIF('Venture Summary - Mthly'!$E$8:$EG$8,AQ$9,'Venture Summary - Mthly'!$E32:$EG32)</f>
        <v>0</v>
      </c>
      <c r="AR29" s="798">
        <f>SUMIF('Venture Summary - Mthly'!$E$8:$EG$8,AR$9,'Venture Summary - Mthly'!$E32:$EG32)</f>
        <v>0</v>
      </c>
      <c r="AS29" s="798">
        <f>SUMIF('Venture Summary - Mthly'!$E$8:$EG$8,AS$9,'Venture Summary - Mthly'!$E32:$EG32)</f>
        <v>0</v>
      </c>
      <c r="AT29" s="798">
        <f>SUMIF('Venture Summary - Mthly'!$E$8:$EG$8,AT$9,'Venture Summary - Mthly'!$E32:$EG32)</f>
        <v>0</v>
      </c>
      <c r="AU29" s="798">
        <f>SUMIF('Venture Summary - Mthly'!$E$8:$EG$8,AU$9,'Venture Summary - Mthly'!$E32:$EG32)</f>
        <v>0</v>
      </c>
      <c r="AV29" s="798">
        <f>SUMIF('Venture Summary - Mthly'!$E$8:$EG$8,AV$9,'Venture Summary - Mthly'!$E32:$EG32)</f>
        <v>0</v>
      </c>
      <c r="AW29" s="798">
        <f>SUMIF('Venture Summary - Mthly'!$E$8:$EG$8,AW$9,'Venture Summary - Mthly'!$E32:$EG32)</f>
        <v>0</v>
      </c>
      <c r="AX29" s="798"/>
    </row>
    <row r="30" spans="1:50" ht="12.75" customHeight="1" x14ac:dyDescent="0.3">
      <c r="A30" s="782"/>
      <c r="B30" s="781" t="s">
        <v>21</v>
      </c>
      <c r="C30" s="799">
        <f t="shared" si="6"/>
        <v>-57343611.907627545</v>
      </c>
      <c r="D30" s="781"/>
      <c r="E30" s="799">
        <f>SUMIF('Venture Summary - Mthly'!$E$8:$EG$8,E$9,'Venture Summary - Mthly'!$E33:$EG33)</f>
        <v>0</v>
      </c>
      <c r="F30" s="799">
        <f>SUMIF('Venture Summary - Mthly'!$E$8:$EG$8,F$9,'Venture Summary - Mthly'!$E33:$EG33)</f>
        <v>0</v>
      </c>
      <c r="G30" s="799">
        <f>SUMIF('Venture Summary - Mthly'!$E$8:$EG$8,G$9,'Venture Summary - Mthly'!$E33:$EG33)</f>
        <v>0</v>
      </c>
      <c r="H30" s="799">
        <f>SUMIF('Venture Summary - Mthly'!$E$8:$EG$8,H$9,'Venture Summary - Mthly'!$E33:$EG33)</f>
        <v>0</v>
      </c>
      <c r="I30" s="799">
        <f>SUMIF('Venture Summary - Mthly'!$E$8:$EG$8,I$9,'Venture Summary - Mthly'!$E33:$EG33)</f>
        <v>0</v>
      </c>
      <c r="J30" s="799">
        <f>SUMIF('Venture Summary - Mthly'!$E$8:$EG$8,J$9,'Venture Summary - Mthly'!$E33:$EG33)</f>
        <v>0</v>
      </c>
      <c r="K30" s="799">
        <f>SUMIF('Venture Summary - Mthly'!$E$8:$EG$8,K$9,'Venture Summary - Mthly'!$E33:$EG33)</f>
        <v>0</v>
      </c>
      <c r="L30" s="799">
        <f>SUMIF('Venture Summary - Mthly'!$E$8:$EG$8,L$9,'Venture Summary - Mthly'!$E33:$EG33)</f>
        <v>0</v>
      </c>
      <c r="M30" s="799">
        <f>SUMIF('Venture Summary - Mthly'!$E$8:$EG$8,M$9,'Venture Summary - Mthly'!$E33:$EG33)</f>
        <v>0</v>
      </c>
      <c r="N30" s="799">
        <f>SUMIF('Venture Summary - Mthly'!$E$8:$EG$8,N$9,'Venture Summary - Mthly'!$E33:$EG33)</f>
        <v>0</v>
      </c>
      <c r="O30" s="799">
        <f>SUMIF('Venture Summary - Mthly'!$E$8:$EG$8,O$9,'Venture Summary - Mthly'!$E33:$EG33)</f>
        <v>0</v>
      </c>
      <c r="P30" s="799">
        <f>SUMIF('Venture Summary - Mthly'!$E$8:$EG$8,P$9,'Venture Summary - Mthly'!$E33:$EG33)</f>
        <v>0</v>
      </c>
      <c r="Q30" s="799">
        <f>SUMIF('Venture Summary - Mthly'!$E$8:$EG$8,Q$9,'Venture Summary - Mthly'!$E33:$EG33)</f>
        <v>0</v>
      </c>
      <c r="R30" s="799">
        <f>SUMIF('Venture Summary - Mthly'!$E$8:$EG$8,R$9,'Venture Summary - Mthly'!$E33:$EG33)</f>
        <v>0</v>
      </c>
      <c r="S30" s="799">
        <f>SUMIF('Venture Summary - Mthly'!$E$8:$EG$8,S$9,'Venture Summary - Mthly'!$E33:$EG33)</f>
        <v>0</v>
      </c>
      <c r="T30" s="799">
        <f>SUMIF('Venture Summary - Mthly'!$E$8:$EG$8,T$9,'Venture Summary - Mthly'!$E33:$EG33)</f>
        <v>0</v>
      </c>
      <c r="U30" s="799">
        <f>SUMIF('Venture Summary - Mthly'!$E$8:$EG$8,U$9,'Venture Summary - Mthly'!$E33:$EG33)</f>
        <v>0</v>
      </c>
      <c r="V30" s="799">
        <f>SUMIF('Venture Summary - Mthly'!$E$8:$EG$8,V$9,'Venture Summary - Mthly'!$E33:$EG33)</f>
        <v>0</v>
      </c>
      <c r="W30" s="799">
        <f>SUMIF('Venture Summary - Mthly'!$E$8:$EG$8,W$9,'Venture Summary - Mthly'!$E33:$EG33)</f>
        <v>0</v>
      </c>
      <c r="X30" s="799">
        <f>SUMIF('Venture Summary - Mthly'!$E$8:$EG$8,X$9,'Venture Summary - Mthly'!$E33:$EG33)</f>
        <v>0</v>
      </c>
      <c r="Y30" s="799">
        <f>SUMIF('Venture Summary - Mthly'!$E$8:$EG$8,Y$9,'Venture Summary - Mthly'!$E33:$EG33)</f>
        <v>0</v>
      </c>
      <c r="Z30" s="799">
        <f>SUMIF('Venture Summary - Mthly'!$E$8:$EG$8,Z$9,'Venture Summary - Mthly'!$E33:$EG33)</f>
        <v>0</v>
      </c>
      <c r="AA30" s="799">
        <f>SUMIF('Venture Summary - Mthly'!$E$8:$EG$8,AA$9,'Venture Summary - Mthly'!$E33:$EG33)</f>
        <v>0</v>
      </c>
      <c r="AB30" s="799">
        <f>SUMIF('Venture Summary - Mthly'!$E$8:$EG$8,AB$9,'Venture Summary - Mthly'!$E33:$EG33)</f>
        <v>0</v>
      </c>
      <c r="AC30" s="799">
        <f>SUMIF('Venture Summary - Mthly'!$E$8:$EG$8,AC$9,'Venture Summary - Mthly'!$E33:$EG33)</f>
        <v>0</v>
      </c>
      <c r="AD30" s="799">
        <f>SUMIF('Venture Summary - Mthly'!$E$8:$EG$8,AD$9,'Venture Summary - Mthly'!$E33:$EG33)</f>
        <v>0</v>
      </c>
      <c r="AE30" s="799">
        <f>SUMIF('Venture Summary - Mthly'!$E$8:$EG$8,AE$9,'Venture Summary - Mthly'!$E33:$EG33)</f>
        <v>0</v>
      </c>
      <c r="AF30" s="799">
        <f>SUMIF('Venture Summary - Mthly'!$E$8:$EG$8,AF$9,'Venture Summary - Mthly'!$E33:$EG33)</f>
        <v>0</v>
      </c>
      <c r="AG30" s="799">
        <f>SUMIF('Venture Summary - Mthly'!$E$8:$EG$8,AG$9,'Venture Summary - Mthly'!$E33:$EG33)</f>
        <v>0</v>
      </c>
      <c r="AH30" s="799">
        <f>SUMIF('Venture Summary - Mthly'!$E$8:$EG$8,AH$9,'Venture Summary - Mthly'!$E33:$EG33)</f>
        <v>0</v>
      </c>
      <c r="AI30" s="799">
        <f>SUMIF('Venture Summary - Mthly'!$E$8:$EG$8,AI$9,'Venture Summary - Mthly'!$E33:$EG33)</f>
        <v>0</v>
      </c>
      <c r="AJ30" s="799">
        <f>SUMIF('Venture Summary - Mthly'!$E$8:$EG$8,AJ$9,'Venture Summary - Mthly'!$E33:$EG33)</f>
        <v>0</v>
      </c>
      <c r="AK30" s="799">
        <f>SUMIF('Venture Summary - Mthly'!$E$8:$EG$8,AK$9,'Venture Summary - Mthly'!$E33:$EG33)</f>
        <v>-57343611.907627545</v>
      </c>
      <c r="AL30" s="799">
        <f>SUMIF('Venture Summary - Mthly'!$E$8:$EG$8,AL$9,'Venture Summary - Mthly'!$E33:$EG33)</f>
        <v>0</v>
      </c>
      <c r="AM30" s="799">
        <f>SUMIF('Venture Summary - Mthly'!$E$8:$EG$8,AM$9,'Venture Summary - Mthly'!$E33:$EG33)</f>
        <v>0</v>
      </c>
      <c r="AN30" s="799">
        <f>SUMIF('Venture Summary - Mthly'!$E$8:$EG$8,AN$9,'Venture Summary - Mthly'!$E33:$EG33)</f>
        <v>0</v>
      </c>
      <c r="AO30" s="799">
        <f>SUMIF('Venture Summary - Mthly'!$E$8:$EG$8,AO$9,'Venture Summary - Mthly'!$E33:$EG33)</f>
        <v>0</v>
      </c>
      <c r="AP30" s="799">
        <f>SUMIF('Venture Summary - Mthly'!$E$8:$EG$8,AP$9,'Venture Summary - Mthly'!$E33:$EG33)</f>
        <v>0</v>
      </c>
      <c r="AQ30" s="799">
        <f>SUMIF('Venture Summary - Mthly'!$E$8:$EG$8,AQ$9,'Venture Summary - Mthly'!$E33:$EG33)</f>
        <v>0</v>
      </c>
      <c r="AR30" s="799">
        <f>SUMIF('Venture Summary - Mthly'!$E$8:$EG$8,AR$9,'Venture Summary - Mthly'!$E33:$EG33)</f>
        <v>0</v>
      </c>
      <c r="AS30" s="799">
        <f>SUMIF('Venture Summary - Mthly'!$E$8:$EG$8,AS$9,'Venture Summary - Mthly'!$E33:$EG33)</f>
        <v>0</v>
      </c>
      <c r="AT30" s="799">
        <f>SUMIF('Venture Summary - Mthly'!$E$8:$EG$8,AT$9,'Venture Summary - Mthly'!$E33:$EG33)</f>
        <v>0</v>
      </c>
      <c r="AU30" s="799">
        <f>SUMIF('Venture Summary - Mthly'!$E$8:$EG$8,AU$9,'Venture Summary - Mthly'!$E33:$EG33)</f>
        <v>0</v>
      </c>
      <c r="AV30" s="799">
        <f>SUMIF('Venture Summary - Mthly'!$E$8:$EG$8,AV$9,'Venture Summary - Mthly'!$E33:$EG33)</f>
        <v>0</v>
      </c>
      <c r="AW30" s="799">
        <f>SUMIF('Venture Summary - Mthly'!$E$8:$EG$8,AW$9,'Venture Summary - Mthly'!$E33:$EG33)</f>
        <v>0</v>
      </c>
      <c r="AX30" s="798"/>
    </row>
    <row r="31" spans="1:50" ht="12.75" customHeight="1" x14ac:dyDescent="0.3">
      <c r="A31" s="782"/>
      <c r="B31" s="782" t="s">
        <v>22</v>
      </c>
      <c r="C31" s="798">
        <f t="shared" si="6"/>
        <v>71665919.417095363</v>
      </c>
      <c r="D31" s="782"/>
      <c r="E31" s="798">
        <f>SUM(E23:E30,E20)</f>
        <v>-1943435.5218400576</v>
      </c>
      <c r="F31" s="798">
        <f t="shared" ref="F31:AW31" si="7">SUM(F23:F30,F20)</f>
        <v>-16427217.907827348</v>
      </c>
      <c r="G31" s="798">
        <f t="shared" si="7"/>
        <v>-5334073.7950608227</v>
      </c>
      <c r="H31" s="798">
        <f t="shared" si="7"/>
        <v>-9446512.0937692411</v>
      </c>
      <c r="I31" s="798">
        <f t="shared" si="7"/>
        <v>-2102020.2075963989</v>
      </c>
      <c r="J31" s="798">
        <f t="shared" si="7"/>
        <v>-25000.000168643892</v>
      </c>
      <c r="K31" s="798">
        <f t="shared" si="7"/>
        <v>-25000.000014906749</v>
      </c>
      <c r="L31" s="798">
        <f t="shared" si="7"/>
        <v>-24999.999675508589</v>
      </c>
      <c r="M31" s="798">
        <f t="shared" si="7"/>
        <v>19113.029053307138</v>
      </c>
      <c r="N31" s="798">
        <f t="shared" si="7"/>
        <v>409016.92256667092</v>
      </c>
      <c r="O31" s="798">
        <f t="shared" si="7"/>
        <v>880785.68226149771</v>
      </c>
      <c r="P31" s="798">
        <f t="shared" si="7"/>
        <v>15257721.632201882</v>
      </c>
      <c r="Q31" s="798">
        <f t="shared" si="7"/>
        <v>728449.37191356428</v>
      </c>
      <c r="R31" s="798">
        <f t="shared" si="7"/>
        <v>751383.30899763142</v>
      </c>
      <c r="S31" s="798">
        <f t="shared" si="7"/>
        <v>751615.0059864365</v>
      </c>
      <c r="T31" s="798">
        <f t="shared" si="7"/>
        <v>770361.59311068757</v>
      </c>
      <c r="U31" s="798">
        <f t="shared" si="7"/>
        <v>788978.24736710056</v>
      </c>
      <c r="V31" s="798">
        <f t="shared" si="7"/>
        <v>804661.43805875862</v>
      </c>
      <c r="W31" s="798">
        <f t="shared" si="7"/>
        <v>801244.76098827692</v>
      </c>
      <c r="X31" s="798">
        <f t="shared" si="7"/>
        <v>814403.28599050269</v>
      </c>
      <c r="Y31" s="798">
        <f t="shared" si="7"/>
        <v>830841.31954334956</v>
      </c>
      <c r="Z31" s="798">
        <f t="shared" si="7"/>
        <v>848540.01433612732</v>
      </c>
      <c r="AA31" s="798">
        <f t="shared" si="7"/>
        <v>848304.79948905087</v>
      </c>
      <c r="AB31" s="798">
        <f t="shared" si="7"/>
        <v>865740.02147221274</v>
      </c>
      <c r="AC31" s="798">
        <f t="shared" si="7"/>
        <v>885747.0870117537</v>
      </c>
      <c r="AD31" s="798">
        <f t="shared" si="7"/>
        <v>905748.93158539897</v>
      </c>
      <c r="AE31" s="798">
        <f t="shared" si="7"/>
        <v>906566.11643251986</v>
      </c>
      <c r="AF31" s="798">
        <f t="shared" si="7"/>
        <v>925323.1493590161</v>
      </c>
      <c r="AG31" s="798">
        <f t="shared" si="7"/>
        <v>946570.26938291499</v>
      </c>
      <c r="AH31" s="798">
        <f t="shared" si="7"/>
        <v>967731.95898330829</v>
      </c>
      <c r="AI31" s="798">
        <f t="shared" si="7"/>
        <v>968868.3475237746</v>
      </c>
      <c r="AJ31" s="798">
        <f t="shared" si="7"/>
        <v>988414.87017570797</v>
      </c>
      <c r="AK31" s="798">
        <f t="shared" si="7"/>
        <v>73328047.77925685</v>
      </c>
      <c r="AL31" s="798">
        <f t="shared" si="7"/>
        <v>0</v>
      </c>
      <c r="AM31" s="798">
        <f t="shared" si="7"/>
        <v>0</v>
      </c>
      <c r="AN31" s="798">
        <f t="shared" si="7"/>
        <v>0</v>
      </c>
      <c r="AO31" s="798">
        <f t="shared" si="7"/>
        <v>0</v>
      </c>
      <c r="AP31" s="798">
        <f t="shared" si="7"/>
        <v>0</v>
      </c>
      <c r="AQ31" s="798">
        <f t="shared" si="7"/>
        <v>0</v>
      </c>
      <c r="AR31" s="798">
        <f t="shared" si="7"/>
        <v>0</v>
      </c>
      <c r="AS31" s="798">
        <f t="shared" si="7"/>
        <v>0</v>
      </c>
      <c r="AT31" s="798">
        <f t="shared" si="7"/>
        <v>0</v>
      </c>
      <c r="AU31" s="798">
        <f t="shared" si="7"/>
        <v>0</v>
      </c>
      <c r="AV31" s="798">
        <f t="shared" si="7"/>
        <v>0</v>
      </c>
      <c r="AW31" s="798">
        <f t="shared" si="7"/>
        <v>0</v>
      </c>
      <c r="AX31" s="798"/>
    </row>
    <row r="32" spans="1:50" ht="12.75" customHeight="1" x14ac:dyDescent="0.3">
      <c r="A32" s="782"/>
      <c r="B32" s="800" t="s">
        <v>23</v>
      </c>
      <c r="C32" s="801">
        <f>'Venture Summary - Mthly'!C35</f>
        <v>0.20314757227897645</v>
      </c>
      <c r="D32" s="782"/>
      <c r="E32" s="782"/>
      <c r="F32" s="782"/>
      <c r="G32" s="782"/>
      <c r="H32" s="782"/>
      <c r="I32" s="782"/>
      <c r="J32" s="782"/>
      <c r="K32" s="782"/>
      <c r="L32" s="782"/>
      <c r="M32" s="782"/>
      <c r="N32" s="782"/>
      <c r="O32" s="782"/>
      <c r="P32" s="782"/>
      <c r="Q32" s="782"/>
      <c r="R32" s="782"/>
      <c r="S32" s="782"/>
      <c r="T32" s="782"/>
      <c r="U32" s="782"/>
      <c r="V32" s="782"/>
      <c r="W32" s="782"/>
      <c r="X32" s="782"/>
      <c r="Y32" s="782"/>
      <c r="Z32" s="782"/>
      <c r="AA32" s="782"/>
      <c r="AB32" s="782"/>
      <c r="AC32" s="782"/>
      <c r="AD32" s="782"/>
      <c r="AE32" s="782"/>
      <c r="AF32" s="782"/>
      <c r="AG32" s="782"/>
      <c r="AH32" s="782"/>
      <c r="AI32" s="782"/>
      <c r="AJ32" s="782"/>
      <c r="AK32" s="782"/>
      <c r="AL32" s="782"/>
      <c r="AM32" s="782"/>
      <c r="AN32" s="782"/>
      <c r="AO32" s="782"/>
      <c r="AP32" s="782"/>
      <c r="AQ32" s="782"/>
      <c r="AR32" s="782"/>
      <c r="AS32" s="782"/>
      <c r="AT32" s="782"/>
      <c r="AU32" s="782"/>
      <c r="AV32" s="782"/>
      <c r="AW32" s="782"/>
      <c r="AX32" s="782"/>
    </row>
    <row r="33" spans="1:50" ht="12.75" customHeight="1" x14ac:dyDescent="0.3">
      <c r="A33" s="782"/>
      <c r="B33" s="782"/>
      <c r="C33" s="782"/>
      <c r="D33" s="782"/>
      <c r="E33" s="782"/>
      <c r="F33" s="782"/>
      <c r="G33" s="782"/>
      <c r="H33" s="782"/>
      <c r="I33" s="782"/>
      <c r="J33" s="782"/>
      <c r="K33" s="782"/>
      <c r="L33" s="782"/>
      <c r="M33" s="782"/>
      <c r="N33" s="782"/>
      <c r="O33" s="782"/>
      <c r="P33" s="782"/>
      <c r="Q33" s="782"/>
      <c r="R33" s="782"/>
      <c r="S33" s="782"/>
      <c r="T33" s="782"/>
      <c r="U33" s="782"/>
      <c r="V33" s="782"/>
      <c r="W33" s="782"/>
      <c r="X33" s="782"/>
      <c r="Y33" s="782"/>
      <c r="Z33" s="782"/>
      <c r="AA33" s="782"/>
      <c r="AB33" s="782"/>
      <c r="AC33" s="782"/>
      <c r="AD33" s="782"/>
      <c r="AE33" s="782"/>
      <c r="AF33" s="782"/>
      <c r="AG33" s="782"/>
      <c r="AH33" s="782"/>
      <c r="AI33" s="782"/>
      <c r="AJ33" s="782"/>
      <c r="AK33" s="782"/>
      <c r="AL33" s="782"/>
      <c r="AM33" s="782"/>
      <c r="AN33" s="782"/>
      <c r="AO33" s="782"/>
      <c r="AP33" s="782"/>
      <c r="AQ33" s="782"/>
      <c r="AR33" s="782"/>
      <c r="AS33" s="782"/>
      <c r="AT33" s="782"/>
      <c r="AU33" s="782"/>
      <c r="AV33" s="782"/>
      <c r="AW33" s="782"/>
      <c r="AX33" s="782"/>
    </row>
    <row r="34" spans="1:50" ht="12.75" customHeight="1" x14ac:dyDescent="0.3">
      <c r="A34" s="782"/>
      <c r="B34" s="781" t="s">
        <v>24</v>
      </c>
      <c r="C34" s="799">
        <f>SUM(E34:AX34)</f>
        <v>-3022291.0014259885</v>
      </c>
      <c r="D34" s="781"/>
      <c r="E34" s="799">
        <f>SUMIF('Venture Summary - Mthly'!$E$8:$EG$8,E$9,'Venture Summary - Mthly'!$E37:$EG37)</f>
        <v>0</v>
      </c>
      <c r="F34" s="799">
        <f>SUMIF('Venture Summary - Mthly'!$E$8:$EG$8,F$9,'Venture Summary - Mthly'!$E37:$EG37)</f>
        <v>-12057.98117720588</v>
      </c>
      <c r="G34" s="799">
        <f>SUMIF('Venture Summary - Mthly'!$E$8:$EG$8,G$9,'Venture Summary - Mthly'!$E37:$EG37)</f>
        <v>-19339.650841703678</v>
      </c>
      <c r="H34" s="799">
        <f>SUMIF('Venture Summary - Mthly'!$E$8:$EG$8,H$9,'Venture Summary - Mthly'!$E37:$EG37)</f>
        <v>-25638.182348544109</v>
      </c>
      <c r="I34" s="799">
        <f>SUMIF('Venture Summary - Mthly'!$E$8:$EG$8,I$9,'Venture Summary - Mthly'!$E37:$EG37)</f>
        <v>-35795.918039641241</v>
      </c>
      <c r="J34" s="799">
        <f>SUMIF('Venture Summary - Mthly'!$E$8:$EG$8,J$9,'Venture Summary - Mthly'!$E37:$EG37)</f>
        <v>-47420.822135929848</v>
      </c>
      <c r="K34" s="799">
        <f>SUMIF('Venture Summary - Mthly'!$E$8:$EG$8,K$9,'Venture Summary - Mthly'!$E37:$EG37)</f>
        <v>-58036.515287854127</v>
      </c>
      <c r="L34" s="799">
        <f>SUMIF('Venture Summary - Mthly'!$E$8:$EG$8,L$9,'Venture Summary - Mthly'!$E37:$EG37)</f>
        <v>-66714.025257056273</v>
      </c>
      <c r="M34" s="799">
        <f>SUMIF('Venture Summary - Mthly'!$E$8:$EG$8,M$9,'Venture Summary - Mthly'!$E37:$EG37)</f>
        <v>-72571.935838606922</v>
      </c>
      <c r="N34" s="799">
        <f>SUMIF('Venture Summary - Mthly'!$E$8:$EG$8,N$9,'Venture Summary - Mthly'!$E37:$EG37)</f>
        <v>-75111.10127240271</v>
      </c>
      <c r="O34" s="799">
        <f>SUMIF('Venture Summary - Mthly'!$E$8:$EG$8,O$9,'Venture Summary - Mthly'!$E37:$EG37)</f>
        <v>-75301.561867479162</v>
      </c>
      <c r="P34" s="799">
        <f>SUMIF('Venture Summary - Mthly'!$E$8:$EG$8,P$9,'Venture Summary - Mthly'!$E37:$EG37)</f>
        <v>-84954.745431427044</v>
      </c>
      <c r="Q34" s="799">
        <f>SUMIF('Venture Summary - Mthly'!$E$8:$EG$8,Q$9,'Venture Summary - Mthly'!$E37:$EG37)</f>
        <v>-105102.51898663165</v>
      </c>
      <c r="R34" s="799">
        <f>SUMIF('Venture Summary - Mthly'!$E$8:$EG$8,R$9,'Venture Summary - Mthly'!$E37:$EG37)</f>
        <v>-106296.69570221074</v>
      </c>
      <c r="S34" s="799">
        <f>SUMIF('Venture Summary - Mthly'!$E$8:$EG$8,S$9,'Venture Summary - Mthly'!$E37:$EG37)</f>
        <v>-107399.45991264915</v>
      </c>
      <c r="T34" s="799">
        <f>SUMIF('Venture Summary - Mthly'!$E$8:$EG$8,T$9,'Venture Summary - Mthly'!$E37:$EG37)</f>
        <v>-108459.49363629546</v>
      </c>
      <c r="U34" s="799">
        <f>SUMIF('Venture Summary - Mthly'!$E$8:$EG$8,U$9,'Venture Summary - Mthly'!$E37:$EG37)</f>
        <v>-109459.14447606722</v>
      </c>
      <c r="V34" s="799">
        <f>SUMIF('Venture Summary - Mthly'!$E$8:$EG$8,V$9,'Venture Summary - Mthly'!$E37:$EG37)</f>
        <v>-110456.62796629471</v>
      </c>
      <c r="W34" s="799">
        <f>SUMIF('Venture Summary - Mthly'!$E$8:$EG$8,W$9,'Venture Summary - Mthly'!$E37:$EG37)</f>
        <v>-111506.14487300673</v>
      </c>
      <c r="X34" s="799">
        <f>SUMIF('Venture Summary - Mthly'!$E$8:$EG$8,X$9,'Venture Summary - Mthly'!$E37:$EG37)</f>
        <v>-112609.27216550763</v>
      </c>
      <c r="Y34" s="799">
        <f>SUMIF('Venture Summary - Mthly'!$E$8:$EG$8,Y$9,'Venture Summary - Mthly'!$E37:$EG37)</f>
        <v>-113776.02764974919</v>
      </c>
      <c r="Z34" s="799">
        <f>SUMIF('Venture Summary - Mthly'!$E$8:$EG$8,Z$9,'Venture Summary - Mthly'!$E37:$EG37)</f>
        <v>-114988.31918288197</v>
      </c>
      <c r="AA34" s="799">
        <f>SUMIF('Venture Summary - Mthly'!$E$8:$EG$8,AA$9,'Venture Summary - Mthly'!$E37:$EG37)</f>
        <v>-116224.42884953564</v>
      </c>
      <c r="AB34" s="799">
        <f>SUMIF('Venture Summary - Mthly'!$E$8:$EG$8,AB$9,'Venture Summary - Mthly'!$E37:$EG37)</f>
        <v>-117468.61132962009</v>
      </c>
      <c r="AC34" s="799">
        <f>SUMIF('Venture Summary - Mthly'!$E$8:$EG$8,AC$9,'Venture Summary - Mthly'!$E37:$EG37)</f>
        <v>-118728.75851133368</v>
      </c>
      <c r="AD34" s="799">
        <f>SUMIF('Venture Summary - Mthly'!$E$8:$EG$8,AD$9,'Venture Summary - Mthly'!$E37:$EG37)</f>
        <v>-120005.43802332866</v>
      </c>
      <c r="AE34" s="799">
        <f>SUMIF('Venture Summary - Mthly'!$E$8:$EG$8,AE$9,'Venture Summary - Mthly'!$E37:$EG37)</f>
        <v>-121295.81563724173</v>
      </c>
      <c r="AF34" s="799">
        <f>SUMIF('Venture Summary - Mthly'!$E$8:$EG$8,AF$9,'Venture Summary - Mthly'!$E37:$EG37)</f>
        <v>-122593.4231073109</v>
      </c>
      <c r="AG34" s="799">
        <f>SUMIF('Venture Summary - Mthly'!$E$8:$EG$8,AG$9,'Venture Summary - Mthly'!$E37:$EG37)</f>
        <v>-123907.65520179246</v>
      </c>
      <c r="AH34" s="799">
        <f>SUMIF('Venture Summary - Mthly'!$E$8:$EG$8,AH$9,'Venture Summary - Mthly'!$E37:$EG37)</f>
        <v>-125239.10343226959</v>
      </c>
      <c r="AI34" s="799">
        <f>SUMIF('Venture Summary - Mthly'!$E$8:$EG$8,AI$9,'Venture Summary - Mthly'!$E37:$EG37)</f>
        <v>-126584.82857090383</v>
      </c>
      <c r="AJ34" s="799">
        <f>SUMIF('Venture Summary - Mthly'!$E$8:$EG$8,AJ$9,'Venture Summary - Mthly'!$E37:$EG37)</f>
        <v>-127938.10376316879</v>
      </c>
      <c r="AK34" s="799">
        <f>SUMIF('Venture Summary - Mthly'!$E$8:$EG$8,AK$9,'Venture Summary - Mthly'!$E37:$EG37)</f>
        <v>-129308.69095033838</v>
      </c>
      <c r="AL34" s="799">
        <f>SUMIF('Venture Summary - Mthly'!$E$8:$EG$8,AL$9,'Venture Summary - Mthly'!$E37:$EG37)</f>
        <v>0</v>
      </c>
      <c r="AM34" s="799">
        <f>SUMIF('Venture Summary - Mthly'!$E$8:$EG$8,AM$9,'Venture Summary - Mthly'!$E37:$EG37)</f>
        <v>0</v>
      </c>
      <c r="AN34" s="799">
        <f>SUMIF('Venture Summary - Mthly'!$E$8:$EG$8,AN$9,'Venture Summary - Mthly'!$E37:$EG37)</f>
        <v>0</v>
      </c>
      <c r="AO34" s="799">
        <f>SUMIF('Venture Summary - Mthly'!$E$8:$EG$8,AO$9,'Venture Summary - Mthly'!$E37:$EG37)</f>
        <v>0</v>
      </c>
      <c r="AP34" s="799">
        <f>SUMIF('Venture Summary - Mthly'!$E$8:$EG$8,AP$9,'Venture Summary - Mthly'!$E37:$EG37)</f>
        <v>0</v>
      </c>
      <c r="AQ34" s="799">
        <f>SUMIF('Venture Summary - Mthly'!$E$8:$EG$8,AQ$9,'Venture Summary - Mthly'!$E37:$EG37)</f>
        <v>0</v>
      </c>
      <c r="AR34" s="799">
        <f>SUMIF('Venture Summary - Mthly'!$E$8:$EG$8,AR$9,'Venture Summary - Mthly'!$E37:$EG37)</f>
        <v>0</v>
      </c>
      <c r="AS34" s="799">
        <f>SUMIF('Venture Summary - Mthly'!$E$8:$EG$8,AS$9,'Venture Summary - Mthly'!$E37:$EG37)</f>
        <v>0</v>
      </c>
      <c r="AT34" s="799">
        <f>SUMIF('Venture Summary - Mthly'!$E$8:$EG$8,AT$9,'Venture Summary - Mthly'!$E37:$EG37)</f>
        <v>0</v>
      </c>
      <c r="AU34" s="799">
        <f>SUMIF('Venture Summary - Mthly'!$E$8:$EG$8,AU$9,'Venture Summary - Mthly'!$E37:$EG37)</f>
        <v>0</v>
      </c>
      <c r="AV34" s="799">
        <f>SUMIF('Venture Summary - Mthly'!$E$8:$EG$8,AV$9,'Venture Summary - Mthly'!$E37:$EG37)</f>
        <v>0</v>
      </c>
      <c r="AW34" s="799">
        <f>SUMIF('Venture Summary - Mthly'!$E$8:$EG$8,AW$9,'Venture Summary - Mthly'!$E37:$EG37)</f>
        <v>0</v>
      </c>
      <c r="AX34" s="798"/>
    </row>
    <row r="35" spans="1:50" ht="12.75" customHeight="1" x14ac:dyDescent="0.3">
      <c r="A35" s="782"/>
      <c r="B35" s="782" t="s">
        <v>25</v>
      </c>
      <c r="C35" s="798">
        <f>SUM(E35:AX35)</f>
        <v>68643628.415669397</v>
      </c>
      <c r="D35" s="782"/>
      <c r="E35" s="798">
        <f>SUM(E31,E34)</f>
        <v>-1943435.5218400576</v>
      </c>
      <c r="F35" s="798">
        <f t="shared" ref="F35:AW35" si="8">SUM(F31,F34)</f>
        <v>-16439275.889004553</v>
      </c>
      <c r="G35" s="798">
        <f t="shared" si="8"/>
        <v>-5353413.4459025264</v>
      </c>
      <c r="H35" s="798">
        <f t="shared" si="8"/>
        <v>-9472150.2761177849</v>
      </c>
      <c r="I35" s="798">
        <f t="shared" si="8"/>
        <v>-2137816.1256360402</v>
      </c>
      <c r="J35" s="798">
        <f t="shared" si="8"/>
        <v>-72420.82230457374</v>
      </c>
      <c r="K35" s="798">
        <f t="shared" si="8"/>
        <v>-83036.515302760876</v>
      </c>
      <c r="L35" s="798">
        <f t="shared" si="8"/>
        <v>-91714.024932564862</v>
      </c>
      <c r="M35" s="798">
        <f t="shared" si="8"/>
        <v>-53458.906785299783</v>
      </c>
      <c r="N35" s="798">
        <f t="shared" si="8"/>
        <v>333905.82129426824</v>
      </c>
      <c r="O35" s="798">
        <f t="shared" si="8"/>
        <v>805484.1203940186</v>
      </c>
      <c r="P35" s="798">
        <f t="shared" si="8"/>
        <v>15172766.886770455</v>
      </c>
      <c r="Q35" s="798">
        <f t="shared" si="8"/>
        <v>623346.85292693262</v>
      </c>
      <c r="R35" s="798">
        <f t="shared" si="8"/>
        <v>645086.61329542066</v>
      </c>
      <c r="S35" s="798">
        <f t="shared" si="8"/>
        <v>644215.54607378738</v>
      </c>
      <c r="T35" s="798">
        <f t="shared" si="8"/>
        <v>661902.09947439213</v>
      </c>
      <c r="U35" s="798">
        <f t="shared" si="8"/>
        <v>679519.10289103328</v>
      </c>
      <c r="V35" s="798">
        <f t="shared" si="8"/>
        <v>694204.81009246386</v>
      </c>
      <c r="W35" s="798">
        <f t="shared" si="8"/>
        <v>689738.61611527018</v>
      </c>
      <c r="X35" s="798">
        <f t="shared" si="8"/>
        <v>701794.01382499503</v>
      </c>
      <c r="Y35" s="798">
        <f t="shared" si="8"/>
        <v>717065.29189360037</v>
      </c>
      <c r="Z35" s="798">
        <f t="shared" si="8"/>
        <v>733551.69515324535</v>
      </c>
      <c r="AA35" s="798">
        <f t="shared" si="8"/>
        <v>732080.37063951523</v>
      </c>
      <c r="AB35" s="798">
        <f t="shared" si="8"/>
        <v>748271.41014259262</v>
      </c>
      <c r="AC35" s="798">
        <f t="shared" si="8"/>
        <v>767018.32850041997</v>
      </c>
      <c r="AD35" s="798">
        <f t="shared" si="8"/>
        <v>785743.4935620703</v>
      </c>
      <c r="AE35" s="798">
        <f t="shared" si="8"/>
        <v>785270.30079527816</v>
      </c>
      <c r="AF35" s="798">
        <f t="shared" si="8"/>
        <v>802729.7262517052</v>
      </c>
      <c r="AG35" s="798">
        <f t="shared" si="8"/>
        <v>822662.61418112251</v>
      </c>
      <c r="AH35" s="798">
        <f t="shared" si="8"/>
        <v>842492.85555103864</v>
      </c>
      <c r="AI35" s="798">
        <f t="shared" si="8"/>
        <v>842283.51895287074</v>
      </c>
      <c r="AJ35" s="798">
        <f t="shared" si="8"/>
        <v>860476.76641253917</v>
      </c>
      <c r="AK35" s="798">
        <f t="shared" si="8"/>
        <v>73198739.088306516</v>
      </c>
      <c r="AL35" s="798">
        <f t="shared" si="8"/>
        <v>0</v>
      </c>
      <c r="AM35" s="798">
        <f t="shared" si="8"/>
        <v>0</v>
      </c>
      <c r="AN35" s="798">
        <f t="shared" si="8"/>
        <v>0</v>
      </c>
      <c r="AO35" s="798">
        <f t="shared" si="8"/>
        <v>0</v>
      </c>
      <c r="AP35" s="798">
        <f t="shared" si="8"/>
        <v>0</v>
      </c>
      <c r="AQ35" s="798">
        <f t="shared" si="8"/>
        <v>0</v>
      </c>
      <c r="AR35" s="798">
        <f t="shared" si="8"/>
        <v>0</v>
      </c>
      <c r="AS35" s="798">
        <f t="shared" si="8"/>
        <v>0</v>
      </c>
      <c r="AT35" s="798">
        <f t="shared" si="8"/>
        <v>0</v>
      </c>
      <c r="AU35" s="798">
        <f t="shared" si="8"/>
        <v>0</v>
      </c>
      <c r="AV35" s="798">
        <f t="shared" si="8"/>
        <v>0</v>
      </c>
      <c r="AW35" s="798">
        <f t="shared" si="8"/>
        <v>0</v>
      </c>
      <c r="AX35" s="798"/>
    </row>
    <row r="36" spans="1:50" ht="12.75" customHeight="1" x14ac:dyDescent="0.3">
      <c r="A36" s="782"/>
      <c r="B36" s="800" t="s">
        <v>26</v>
      </c>
      <c r="C36" s="801">
        <f>'Venture Summary - Mthly'!C39</f>
        <v>0.194367915391922</v>
      </c>
      <c r="D36" s="782"/>
    </row>
    <row r="37" spans="1:50" ht="12.75" customHeight="1" x14ac:dyDescent="0.3">
      <c r="A37" s="782"/>
      <c r="B37" s="796"/>
      <c r="C37" s="823"/>
      <c r="D37" s="782"/>
      <c r="E37" s="798"/>
      <c r="F37" s="798"/>
      <c r="G37" s="798"/>
      <c r="H37" s="798"/>
      <c r="I37" s="798"/>
      <c r="J37" s="798"/>
      <c r="K37" s="798"/>
      <c r="L37" s="798"/>
      <c r="M37" s="798"/>
      <c r="N37" s="798"/>
      <c r="O37" s="798"/>
      <c r="P37" s="798"/>
      <c r="Q37" s="798"/>
      <c r="R37" s="798"/>
      <c r="S37" s="798"/>
      <c r="T37" s="798"/>
      <c r="U37" s="798"/>
      <c r="V37" s="798"/>
      <c r="W37" s="798"/>
      <c r="X37" s="798"/>
      <c r="Y37" s="798"/>
      <c r="Z37" s="798"/>
      <c r="AA37" s="798"/>
      <c r="AB37" s="798"/>
      <c r="AC37" s="798"/>
      <c r="AD37" s="798"/>
      <c r="AE37" s="798"/>
      <c r="AF37" s="798"/>
      <c r="AG37" s="798"/>
      <c r="AH37" s="798"/>
      <c r="AI37" s="798"/>
      <c r="AJ37" s="798"/>
      <c r="AK37" s="798"/>
      <c r="AL37" s="798"/>
      <c r="AM37" s="798"/>
      <c r="AN37" s="798"/>
      <c r="AO37" s="798"/>
      <c r="AP37" s="798"/>
      <c r="AQ37" s="798"/>
      <c r="AR37" s="798"/>
      <c r="AS37" s="798"/>
      <c r="AT37" s="798"/>
      <c r="AU37" s="798"/>
      <c r="AV37" s="798"/>
      <c r="AW37" s="798"/>
      <c r="AX37" s="798"/>
    </row>
    <row r="38" spans="1:50" s="337" customFormat="1" ht="12.75" customHeight="1" x14ac:dyDescent="0.3">
      <c r="A38" s="803"/>
      <c r="B38" s="803" t="s">
        <v>27</v>
      </c>
      <c r="C38" s="802">
        <f>SUM(E38:AX38)</f>
        <v>87533229.634662002</v>
      </c>
      <c r="D38" s="803"/>
      <c r="E38" s="802">
        <f>SUMIF('Venture Summary - Mthly'!$E$8:$EG$8,E$9,'Venture Summary - Mthly'!$E41:$EG41)</f>
        <v>-1121852.0714285714</v>
      </c>
      <c r="F38" s="802">
        <f>SUMIF('Venture Summary - Mthly'!$E$8:$EG$8,F$9,'Venture Summary - Mthly'!$E41:$EG41)</f>
        <v>-16430275.889004555</v>
      </c>
      <c r="G38" s="802">
        <f>SUMIF('Venture Summary - Mthly'!$E$8:$EG$8,G$9,'Venture Summary - Mthly'!$E41:$EG41)</f>
        <v>-5344413.4459025264</v>
      </c>
      <c r="H38" s="802">
        <f>SUMIF('Venture Summary - Mthly'!$E$8:$EG$8,H$9,'Venture Summary - Mthly'!$E41:$EG41)</f>
        <v>-9463150.2761177868</v>
      </c>
      <c r="I38" s="802">
        <f>SUMIF('Venture Summary - Mthly'!$E$8:$EG$8,I$9,'Venture Summary - Mthly'!$E41:$EG41)</f>
        <v>-11821884.141290624</v>
      </c>
      <c r="J38" s="802">
        <f>SUMIF('Venture Summary - Mthly'!$E$8:$EG$8,J$9,'Venture Summary - Mthly'!$E41:$EG41)</f>
        <v>-11436754.024699572</v>
      </c>
      <c r="K38" s="802">
        <f>SUMIF('Venture Summary - Mthly'!$E$8:$EG$8,K$9,'Venture Summary - Mthly'!$E41:$EG41)</f>
        <v>-9299875.8431515135</v>
      </c>
      <c r="L38" s="802">
        <f>SUMIF('Venture Summary - Mthly'!$E$8:$EG$8,L$9,'Venture Summary - Mthly'!$E41:$EG41)</f>
        <v>-6850935.135958815</v>
      </c>
      <c r="M38" s="802">
        <f>SUMIF('Venture Summary - Mthly'!$E$8:$EG$8,M$9,'Venture Summary - Mthly'!$E41:$EG41)</f>
        <v>-3326253.0740332166</v>
      </c>
      <c r="N38" s="802">
        <f>SUMIF('Venture Summary - Mthly'!$E$8:$EG$8,N$9,'Venture Summary - Mthly'!$E41:$EG41)</f>
        <v>352294.78162801836</v>
      </c>
      <c r="O38" s="802">
        <f>SUMIF('Venture Summary - Mthly'!$E$8:$EG$8,O$9,'Venture Summary - Mthly'!$E41:$EG41)</f>
        <v>1269993.5487531852</v>
      </c>
      <c r="P38" s="802">
        <f>SUMIF('Venture Summary - Mthly'!$E$8:$EG$8,P$9,'Venture Summary - Mthly'!$E41:$EG41)</f>
        <v>1280384.4852191943</v>
      </c>
      <c r="Q38" s="802">
        <f>SUMIF('Venture Summary - Mthly'!$E$8:$EG$8,Q$9,'Venture Summary - Mthly'!$E41:$EG41)</f>
        <v>1285203.4765207418</v>
      </c>
      <c r="R38" s="802">
        <f>SUMIF('Venture Summary - Mthly'!$E$8:$EG$8,R$9,'Venture Summary - Mthly'!$E41:$EG41)</f>
        <v>1308238.2467914771</v>
      </c>
      <c r="S38" s="802">
        <f>SUMIF('Venture Summary - Mthly'!$E$8:$EG$8,S$9,'Venture Summary - Mthly'!$E41:$EG41)</f>
        <v>1308807.9378190227</v>
      </c>
      <c r="T38" s="802">
        <f>SUMIF('Venture Summary - Mthly'!$E$8:$EG$8,T$9,'Venture Summary - Mthly'!$E41:$EG41)</f>
        <v>1328303.6821753134</v>
      </c>
      <c r="U38" s="802">
        <f>SUMIF('Venture Summary - Mthly'!$E$8:$EG$8,U$9,'Venture Summary - Mthly'!$E41:$EG41)</f>
        <v>1348217.7751122878</v>
      </c>
      <c r="V38" s="802">
        <f>SUMIF('Venture Summary - Mthly'!$E$8:$EG$8,V$9,'Venture Summary - Mthly'!$E41:$EG41)</f>
        <v>1365662.1879099079</v>
      </c>
      <c r="W38" s="802">
        <f>SUMIF('Venture Summary - Mthly'!$E$8:$EG$8,W$9,'Venture Summary - Mthly'!$E41:$EG41)</f>
        <v>1364418.7049219226</v>
      </c>
      <c r="X38" s="802">
        <f>SUMIF('Venture Summary - Mthly'!$E$8:$EG$8,X$9,'Venture Summary - Mthly'!$E41:$EG41)</f>
        <v>1379831.0932454066</v>
      </c>
      <c r="Y38" s="802">
        <f>SUMIF('Venture Summary - Mthly'!$E$8:$EG$8,Y$9,'Venture Summary - Mthly'!$E41:$EG41)</f>
        <v>1398298.7998144296</v>
      </c>
      <c r="Z38" s="802">
        <f>SUMIF('Venture Summary - Mthly'!$E$8:$EG$8,Z$9,'Venture Summary - Mthly'!$E41:$EG41)</f>
        <v>1417796.6984260902</v>
      </c>
      <c r="AA38" s="802">
        <f>SUMIF('Venture Summary - Mthly'!$E$8:$EG$8,AA$9,'Venture Summary - Mthly'!$E41:$EG41)</f>
        <v>1419214.5362256391</v>
      </c>
      <c r="AB38" s="802">
        <f>SUMIF('Venture Summary - Mthly'!$E$8:$EG$8,AB$9,'Venture Summary - Mthly'!$E41:$EG41)</f>
        <v>1438072.0536824213</v>
      </c>
      <c r="AC38" s="802">
        <f>SUMIF('Venture Summary - Mthly'!$E$8:$EG$8,AC$9,'Venture Summary - Mthly'!$E41:$EG41)</f>
        <v>1459393.2223514684</v>
      </c>
      <c r="AD38" s="802">
        <f>SUMIF('Venture Summary - Mthly'!$E$8:$EG$8,AD$9,'Venture Summary - Mthly'!$E41:$EG41)</f>
        <v>1480557.402372923</v>
      </c>
      <c r="AE38" s="802">
        <f>SUMIF('Venture Summary - Mthly'!$E$8:$EG$8,AE$9,'Venture Summary - Mthly'!$E41:$EG41)</f>
        <v>1482320.6104705287</v>
      </c>
      <c r="AF38" s="802">
        <f>SUMIF('Venture Summary - Mthly'!$E$8:$EG$8,AF$9,'Venture Summary - Mthly'!$E41:$EG41)</f>
        <v>1501947.1465936312</v>
      </c>
      <c r="AG38" s="802">
        <f>SUMIF('Venture Summary - Mthly'!$E$8:$EG$8,AG$9,'Venture Summary - Mthly'!$E41:$EG41)</f>
        <v>1524141.2842859393</v>
      </c>
      <c r="AH38" s="802">
        <f>SUMIF('Venture Summary - Mthly'!$E$8:$EG$8,AH$9,'Venture Summary - Mthly'!$E41:$EG41)</f>
        <v>1546171.6088993782</v>
      </c>
      <c r="AI38" s="802">
        <f>SUMIF('Venture Summary - Mthly'!$E$8:$EG$8,AI$9,'Venture Summary - Mthly'!$E41:$EG41)</f>
        <v>1548137.0287828071</v>
      </c>
      <c r="AJ38" s="802">
        <f>SUMIF('Venture Summary - Mthly'!$E$8:$EG$8,AJ$9,'Venture Summary - Mthly'!$E41:$EG41)</f>
        <v>1568564.2877897101</v>
      </c>
      <c r="AK38" s="802">
        <f>SUMIF('Venture Summary - Mthly'!$E$8:$EG$8,AK$9,'Venture Summary - Mthly'!$E41:$EG41)</f>
        <v>131252652.93645772</v>
      </c>
      <c r="AL38" s="802">
        <f>SUMIF('Venture Summary - Mthly'!$E$8:$EG$8,AL$9,'Venture Summary - Mthly'!$E41:$EG41)</f>
        <v>0</v>
      </c>
      <c r="AM38" s="802">
        <f>SUMIF('Venture Summary - Mthly'!$E$8:$EG$8,AM$9,'Venture Summary - Mthly'!$E41:$EG41)</f>
        <v>0</v>
      </c>
      <c r="AN38" s="802">
        <f>SUMIF('Venture Summary - Mthly'!$E$8:$EG$8,AN$9,'Venture Summary - Mthly'!$E41:$EG41)</f>
        <v>0</v>
      </c>
      <c r="AO38" s="802">
        <f>SUMIF('Venture Summary - Mthly'!$E$8:$EG$8,AO$9,'Venture Summary - Mthly'!$E41:$EG41)</f>
        <v>0</v>
      </c>
      <c r="AP38" s="802">
        <f>SUMIF('Venture Summary - Mthly'!$E$8:$EG$8,AP$9,'Venture Summary - Mthly'!$E41:$EG41)</f>
        <v>0</v>
      </c>
      <c r="AQ38" s="802">
        <f>SUMIF('Venture Summary - Mthly'!$E$8:$EG$8,AQ$9,'Venture Summary - Mthly'!$E41:$EG41)</f>
        <v>0</v>
      </c>
      <c r="AR38" s="802">
        <f>SUMIF('Venture Summary - Mthly'!$E$8:$EG$8,AR$9,'Venture Summary - Mthly'!$E41:$EG41)</f>
        <v>0</v>
      </c>
      <c r="AS38" s="802">
        <f>SUMIF('Venture Summary - Mthly'!$E$8:$EG$8,AS$9,'Venture Summary - Mthly'!$E41:$EG41)</f>
        <v>0</v>
      </c>
      <c r="AT38" s="802">
        <f>SUMIF('Venture Summary - Mthly'!$E$8:$EG$8,AT$9,'Venture Summary - Mthly'!$E41:$EG41)</f>
        <v>0</v>
      </c>
      <c r="AU38" s="802">
        <f>SUMIF('Venture Summary - Mthly'!$E$8:$EG$8,AU$9,'Venture Summary - Mthly'!$E41:$EG41)</f>
        <v>0</v>
      </c>
      <c r="AV38" s="802">
        <f>SUMIF('Venture Summary - Mthly'!$E$8:$EG$8,AV$9,'Venture Summary - Mthly'!$E41:$EG41)</f>
        <v>0</v>
      </c>
      <c r="AW38" s="802">
        <f>SUMIF('Venture Summary - Mthly'!$E$8:$EG$8,AW$9,'Venture Summary - Mthly'!$E41:$EG41)</f>
        <v>0</v>
      </c>
      <c r="AX38" s="802"/>
    </row>
    <row r="39" spans="1:50" ht="12.75" customHeight="1" x14ac:dyDescent="0.3">
      <c r="A39" s="782"/>
      <c r="B39" s="782"/>
      <c r="C39" s="782"/>
      <c r="D39" s="782"/>
      <c r="E39" s="782"/>
      <c r="F39" s="782"/>
      <c r="G39" s="782"/>
      <c r="H39" s="782"/>
      <c r="I39" s="782"/>
      <c r="J39" s="782"/>
      <c r="K39" s="782"/>
      <c r="L39" s="782"/>
      <c r="M39" s="782"/>
      <c r="N39" s="782"/>
      <c r="O39" s="782"/>
      <c r="P39" s="782"/>
      <c r="Q39" s="782"/>
      <c r="R39" s="782"/>
      <c r="S39" s="782"/>
      <c r="T39" s="782"/>
      <c r="U39" s="782"/>
      <c r="V39" s="782"/>
      <c r="W39" s="782"/>
      <c r="X39" s="782"/>
      <c r="Y39" s="782"/>
      <c r="Z39" s="782"/>
      <c r="AA39" s="782"/>
      <c r="AB39" s="782"/>
      <c r="AC39" s="782"/>
      <c r="AD39" s="782"/>
      <c r="AE39" s="782"/>
      <c r="AF39" s="782"/>
      <c r="AG39" s="782"/>
      <c r="AH39" s="782"/>
      <c r="AI39" s="782"/>
      <c r="AJ39" s="782"/>
      <c r="AK39" s="782"/>
      <c r="AL39" s="782"/>
      <c r="AM39" s="782"/>
      <c r="AN39" s="782"/>
      <c r="AO39" s="782"/>
      <c r="AP39" s="782"/>
      <c r="AQ39" s="782"/>
      <c r="AR39" s="782"/>
      <c r="AS39" s="782"/>
      <c r="AT39" s="782"/>
      <c r="AU39" s="782"/>
      <c r="AV39" s="782"/>
      <c r="AW39" s="782"/>
      <c r="AX39" s="782"/>
    </row>
    <row r="40" spans="1:50" s="795" customFormat="1" ht="12.75" customHeight="1" x14ac:dyDescent="0.3">
      <c r="A40" s="1146"/>
      <c r="B40" s="793" t="s">
        <v>28</v>
      </c>
      <c r="C40" s="794"/>
      <c r="D40" s="794"/>
      <c r="E40" s="794"/>
      <c r="F40" s="794"/>
      <c r="G40" s="794"/>
      <c r="H40" s="794"/>
      <c r="I40" s="794"/>
      <c r="J40" s="794"/>
      <c r="K40" s="794"/>
      <c r="L40" s="794"/>
      <c r="M40" s="794"/>
      <c r="N40" s="794"/>
      <c r="O40" s="794"/>
      <c r="P40" s="794"/>
      <c r="Q40" s="794"/>
      <c r="R40" s="794"/>
      <c r="S40" s="794"/>
      <c r="T40" s="794"/>
      <c r="U40" s="794"/>
      <c r="V40" s="794"/>
      <c r="W40" s="794"/>
      <c r="X40" s="794"/>
      <c r="Y40" s="794"/>
      <c r="Z40" s="794"/>
      <c r="AA40" s="794"/>
      <c r="AB40" s="794"/>
      <c r="AC40" s="794"/>
      <c r="AD40" s="794"/>
      <c r="AE40" s="794"/>
      <c r="AF40" s="794"/>
      <c r="AG40" s="794"/>
      <c r="AH40" s="794"/>
      <c r="AI40" s="794"/>
      <c r="AJ40" s="794"/>
      <c r="AK40" s="794"/>
      <c r="AL40" s="794"/>
      <c r="AM40" s="794"/>
      <c r="AN40" s="794"/>
      <c r="AO40" s="794"/>
      <c r="AP40" s="794"/>
      <c r="AQ40" s="794"/>
      <c r="AR40" s="794"/>
      <c r="AS40" s="794"/>
      <c r="AT40" s="794"/>
      <c r="AU40" s="794"/>
      <c r="AV40" s="794"/>
      <c r="AW40" s="794"/>
      <c r="AX40" s="794"/>
    </row>
    <row r="41" spans="1:50" ht="12.75" customHeight="1" x14ac:dyDescent="0.3">
      <c r="A41" s="782"/>
      <c r="B41" s="782"/>
      <c r="C41" s="782"/>
      <c r="D41" s="782"/>
      <c r="E41" s="782"/>
      <c r="F41" s="782"/>
      <c r="G41" s="782"/>
      <c r="H41" s="782"/>
      <c r="I41" s="782"/>
      <c r="J41" s="782"/>
      <c r="K41" s="782"/>
      <c r="L41" s="782"/>
      <c r="M41" s="782"/>
      <c r="N41" s="782"/>
      <c r="O41" s="782"/>
      <c r="P41" s="782"/>
      <c r="Q41" s="782"/>
      <c r="R41" s="782"/>
      <c r="S41" s="782"/>
      <c r="T41" s="782"/>
      <c r="U41" s="782"/>
      <c r="V41" s="782"/>
      <c r="W41" s="782"/>
      <c r="X41" s="782"/>
      <c r="Y41" s="782"/>
      <c r="Z41" s="782"/>
      <c r="AA41" s="782"/>
      <c r="AB41" s="782"/>
      <c r="AC41" s="782"/>
      <c r="AD41" s="782"/>
      <c r="AE41" s="782"/>
      <c r="AF41" s="782"/>
      <c r="AG41" s="782"/>
      <c r="AH41" s="782"/>
      <c r="AI41" s="782"/>
      <c r="AJ41" s="782"/>
      <c r="AK41" s="782"/>
      <c r="AL41" s="782"/>
      <c r="AM41" s="782"/>
      <c r="AN41" s="782"/>
      <c r="AO41" s="782"/>
      <c r="AP41" s="782"/>
      <c r="AQ41" s="782"/>
      <c r="AR41" s="782"/>
      <c r="AS41" s="782"/>
      <c r="AT41" s="782"/>
      <c r="AU41" s="782"/>
      <c r="AV41" s="782"/>
      <c r="AW41" s="782"/>
      <c r="AX41" s="782"/>
    </row>
    <row r="42" spans="1:50" ht="12.75" customHeight="1" x14ac:dyDescent="0.3">
      <c r="A42" s="782"/>
      <c r="B42" s="782" t="s">
        <v>7</v>
      </c>
      <c r="C42" s="798">
        <f t="shared" ref="C42:C47" si="9">SUM(E42:AX42)</f>
        <v>-75647698.216711134</v>
      </c>
      <c r="D42" s="782"/>
      <c r="E42" s="798">
        <f>SUMIF('Venture Summary - Mthly'!$E$8:$EG$8,E$9,'Venture Summary - Mthly'!$E45:$EG45)</f>
        <v>-1050423.5</v>
      </c>
      <c r="F42" s="798">
        <f>SUMIF('Venture Summary - Mthly'!$E$8:$EG$8,F$9,'Venture Summary - Mthly'!$E45:$EG45)</f>
        <v>-16393217.907827348</v>
      </c>
      <c r="G42" s="798">
        <f>SUMIF('Venture Summary - Mthly'!$E$8:$EG$8,G$9,'Venture Summary - Mthly'!$E45:$EG45)</f>
        <v>-5300073.7950608227</v>
      </c>
      <c r="H42" s="798">
        <f>SUMIF('Venture Summary - Mthly'!$E$8:$EG$8,H$9,'Venture Summary - Mthly'!$E45:$EG45)</f>
        <v>-9412512.0937692411</v>
      </c>
      <c r="I42" s="798">
        <f>SUMIF('Venture Summary - Mthly'!$E$8:$EG$8,I$9,'Venture Summary - Mthly'!$E45:$EG45)</f>
        <v>-11761088.223250981</v>
      </c>
      <c r="J42" s="798">
        <f>SUMIF('Venture Summary - Mthly'!$E$8:$EG$8,J$9,'Venture Summary - Mthly'!$E45:$EG45)</f>
        <v>-11202358.640429664</v>
      </c>
      <c r="K42" s="798">
        <f>SUMIF('Venture Summary - Mthly'!$E$8:$EG$8,K$9,'Venture Summary - Mthly'!$E45:$EG45)</f>
        <v>-9049733.3559533283</v>
      </c>
      <c r="L42" s="798">
        <f>SUMIF('Venture Summary - Mthly'!$E$8:$EG$8,L$9,'Venture Summary - Mthly'!$E45:$EG45)</f>
        <v>-6936877.9161111657</v>
      </c>
      <c r="M42" s="798">
        <f>SUMIF('Venture Summary - Mthly'!$E$8:$EG$8,M$9,'Venture Summary - Mthly'!$E45:$EG45)</f>
        <v>-3866708.5000912389</v>
      </c>
      <c r="N42" s="798">
        <f>SUMIF('Venture Summary - Mthly'!$E$8:$EG$8,N$9,'Venture Summary - Mthly'!$E45:$EG45)</f>
        <v>-674704.28421734134</v>
      </c>
      <c r="O42" s="798">
        <f>SUMIF('Venture Summary - Mthly'!$E$8:$EG$8,O$9,'Venture Summary - Mthly'!$E45:$EG45)</f>
        <v>0</v>
      </c>
      <c r="P42" s="798">
        <f>SUMIF('Venture Summary - Mthly'!$E$8:$EG$8,P$9,'Venture Summary - Mthly'!$E45:$EG45)</f>
        <v>0</v>
      </c>
      <c r="Q42" s="798">
        <f>SUMIF('Venture Summary - Mthly'!$E$8:$EG$8,Q$9,'Venture Summary - Mthly'!$E45:$EG45)</f>
        <v>0</v>
      </c>
      <c r="R42" s="798">
        <f>SUMIF('Venture Summary - Mthly'!$E$8:$EG$8,R$9,'Venture Summary - Mthly'!$E45:$EG45)</f>
        <v>0</v>
      </c>
      <c r="S42" s="798">
        <f>SUMIF('Venture Summary - Mthly'!$E$8:$EG$8,S$9,'Venture Summary - Mthly'!$E45:$EG45)</f>
        <v>0</v>
      </c>
      <c r="T42" s="798">
        <f>SUMIF('Venture Summary - Mthly'!$E$8:$EG$8,T$9,'Venture Summary - Mthly'!$E45:$EG45)</f>
        <v>0</v>
      </c>
      <c r="U42" s="798">
        <f>SUMIF('Venture Summary - Mthly'!$E$8:$EG$8,U$9,'Venture Summary - Mthly'!$E45:$EG45)</f>
        <v>0</v>
      </c>
      <c r="V42" s="798">
        <f>SUMIF('Venture Summary - Mthly'!$E$8:$EG$8,V$9,'Venture Summary - Mthly'!$E45:$EG45)</f>
        <v>0</v>
      </c>
      <c r="W42" s="798">
        <f>SUMIF('Venture Summary - Mthly'!$E$8:$EG$8,W$9,'Venture Summary - Mthly'!$E45:$EG45)</f>
        <v>0</v>
      </c>
      <c r="X42" s="798">
        <f>SUMIF('Venture Summary - Mthly'!$E$8:$EG$8,X$9,'Venture Summary - Mthly'!$E45:$EG45)</f>
        <v>0</v>
      </c>
      <c r="Y42" s="798">
        <f>SUMIF('Venture Summary - Mthly'!$E$8:$EG$8,Y$9,'Venture Summary - Mthly'!$E45:$EG45)</f>
        <v>0</v>
      </c>
      <c r="Z42" s="798">
        <f>SUMIF('Venture Summary - Mthly'!$E$8:$EG$8,Z$9,'Venture Summary - Mthly'!$E45:$EG45)</f>
        <v>0</v>
      </c>
      <c r="AA42" s="798">
        <f>SUMIF('Venture Summary - Mthly'!$E$8:$EG$8,AA$9,'Venture Summary - Mthly'!$E45:$EG45)</f>
        <v>0</v>
      </c>
      <c r="AB42" s="798">
        <f>SUMIF('Venture Summary - Mthly'!$E$8:$EG$8,AB$9,'Venture Summary - Mthly'!$E45:$EG45)</f>
        <v>0</v>
      </c>
      <c r="AC42" s="798">
        <f>SUMIF('Venture Summary - Mthly'!$E$8:$EG$8,AC$9,'Venture Summary - Mthly'!$E45:$EG45)</f>
        <v>0</v>
      </c>
      <c r="AD42" s="798">
        <f>SUMIF('Venture Summary - Mthly'!$E$8:$EG$8,AD$9,'Venture Summary - Mthly'!$E45:$EG45)</f>
        <v>0</v>
      </c>
      <c r="AE42" s="798">
        <f>SUMIF('Venture Summary - Mthly'!$E$8:$EG$8,AE$9,'Venture Summary - Mthly'!$E45:$EG45)</f>
        <v>0</v>
      </c>
      <c r="AF42" s="798">
        <f>SUMIF('Venture Summary - Mthly'!$E$8:$EG$8,AF$9,'Venture Summary - Mthly'!$E45:$EG45)</f>
        <v>0</v>
      </c>
      <c r="AG42" s="798">
        <f>SUMIF('Venture Summary - Mthly'!$E$8:$EG$8,AG$9,'Venture Summary - Mthly'!$E45:$EG45)</f>
        <v>0</v>
      </c>
      <c r="AH42" s="798">
        <f>SUMIF('Venture Summary - Mthly'!$E$8:$EG$8,AH$9,'Venture Summary - Mthly'!$E45:$EG45)</f>
        <v>0</v>
      </c>
      <c r="AI42" s="798">
        <f>SUMIF('Venture Summary - Mthly'!$E$8:$EG$8,AI$9,'Venture Summary - Mthly'!$E45:$EG45)</f>
        <v>0</v>
      </c>
      <c r="AJ42" s="798">
        <f>SUMIF('Venture Summary - Mthly'!$E$8:$EG$8,AJ$9,'Venture Summary - Mthly'!$E45:$EG45)</f>
        <v>0</v>
      </c>
      <c r="AK42" s="798">
        <f>SUMIF('Venture Summary - Mthly'!$E$8:$EG$8,AK$9,'Venture Summary - Mthly'!$E45:$EG45)</f>
        <v>0</v>
      </c>
      <c r="AL42" s="798">
        <f>SUMIF('Venture Summary - Mthly'!$E$8:$EG$8,AL$9,'Venture Summary - Mthly'!$E45:$EG45)</f>
        <v>0</v>
      </c>
      <c r="AM42" s="798">
        <f>SUMIF('Venture Summary - Mthly'!$E$8:$EG$8,AM$9,'Venture Summary - Mthly'!$E45:$EG45)</f>
        <v>0</v>
      </c>
      <c r="AN42" s="798">
        <f>SUMIF('Venture Summary - Mthly'!$E$8:$EG$8,AN$9,'Venture Summary - Mthly'!$E45:$EG45)</f>
        <v>0</v>
      </c>
      <c r="AO42" s="798">
        <f>SUMIF('Venture Summary - Mthly'!$E$8:$EG$8,AO$9,'Venture Summary - Mthly'!$E45:$EG45)</f>
        <v>0</v>
      </c>
      <c r="AP42" s="798">
        <f>SUMIF('Venture Summary - Mthly'!$E$8:$EG$8,AP$9,'Venture Summary - Mthly'!$E45:$EG45)</f>
        <v>0</v>
      </c>
      <c r="AQ42" s="798">
        <f>SUMIF('Venture Summary - Mthly'!$E$8:$EG$8,AQ$9,'Venture Summary - Mthly'!$E45:$EG45)</f>
        <v>0</v>
      </c>
      <c r="AR42" s="798">
        <f>SUMIF('Venture Summary - Mthly'!$E$8:$EG$8,AR$9,'Venture Summary - Mthly'!$E45:$EG45)</f>
        <v>0</v>
      </c>
      <c r="AS42" s="798">
        <f>SUMIF('Venture Summary - Mthly'!$E$8:$EG$8,AS$9,'Venture Summary - Mthly'!$E45:$EG45)</f>
        <v>0</v>
      </c>
      <c r="AT42" s="798">
        <f>SUMIF('Venture Summary - Mthly'!$E$8:$EG$8,AT$9,'Venture Summary - Mthly'!$E45:$EG45)</f>
        <v>0</v>
      </c>
      <c r="AU42" s="798">
        <f>SUMIF('Venture Summary - Mthly'!$E$8:$EG$8,AU$9,'Venture Summary - Mthly'!$E45:$EG45)</f>
        <v>0</v>
      </c>
      <c r="AV42" s="798">
        <f>SUMIF('Venture Summary - Mthly'!$E$8:$EG$8,AV$9,'Venture Summary - Mthly'!$E45:$EG45)</f>
        <v>0</v>
      </c>
      <c r="AW42" s="798">
        <f>SUMIF('Venture Summary - Mthly'!$E$8:$EG$8,AW$9,'Venture Summary - Mthly'!$E45:$EG45)</f>
        <v>0</v>
      </c>
      <c r="AX42" s="798"/>
    </row>
    <row r="43" spans="1:50" ht="12.75" customHeight="1" x14ac:dyDescent="0.3">
      <c r="A43" s="782"/>
      <c r="B43" s="782" t="s">
        <v>8</v>
      </c>
      <c r="C43" s="798">
        <f t="shared" si="9"/>
        <v>3908113.1813995633</v>
      </c>
      <c r="D43" s="782"/>
      <c r="E43" s="798">
        <f>SUMIF('Venture Summary - Mthly'!$E$8:$EG$8,E$9,'Venture Summary - Mthly'!$E46:$EG46)</f>
        <v>0</v>
      </c>
      <c r="F43" s="798">
        <f>SUMIF('Venture Summary - Mthly'!$E$8:$EG$8,F$9,'Venture Summary - Mthly'!$E46:$EG46)</f>
        <v>0</v>
      </c>
      <c r="G43" s="798">
        <f>SUMIF('Venture Summary - Mthly'!$E$8:$EG$8,G$9,'Venture Summary - Mthly'!$E46:$EG46)</f>
        <v>0</v>
      </c>
      <c r="H43" s="798">
        <f>SUMIF('Venture Summary - Mthly'!$E$8:$EG$8,H$9,'Venture Summary - Mthly'!$E46:$EG46)</f>
        <v>0</v>
      </c>
      <c r="I43" s="798">
        <f>SUMIF('Venture Summary - Mthly'!$E$8:$EG$8,I$9,'Venture Summary - Mthly'!$E46:$EG46)</f>
        <v>0</v>
      </c>
      <c r="J43" s="798">
        <f>SUMIF('Venture Summary - Mthly'!$E$8:$EG$8,J$9,'Venture Summary - Mthly'!$E46:$EG46)</f>
        <v>-161974.56213397888</v>
      </c>
      <c r="K43" s="798">
        <f>SUMIF('Venture Summary - Mthly'!$E$8:$EG$8,K$9,'Venture Summary - Mthly'!$E46:$EG46)</f>
        <v>-167105.97191032965</v>
      </c>
      <c r="L43" s="798">
        <f>SUMIF('Venture Summary - Mthly'!$E$8:$EG$8,L$9,'Venture Summary - Mthly'!$E46:$EG46)</f>
        <v>177656.80540940692</v>
      </c>
      <c r="M43" s="798">
        <f>SUMIF('Venture Summary - Mthly'!$E$8:$EG$8,M$9,'Venture Summary - Mthly'!$E46:$EG46)</f>
        <v>638027.36189662945</v>
      </c>
      <c r="N43" s="798">
        <f>SUMIF('Venture Summary - Mthly'!$E$8:$EG$8,N$9,'Venture Summary - Mthly'!$E46:$EG46)</f>
        <v>1127110.1671177624</v>
      </c>
      <c r="O43" s="798">
        <f>SUMIF('Venture Summary - Mthly'!$E$8:$EG$8,O$9,'Venture Summary - Mthly'!$E46:$EG46)</f>
        <v>1370295.1106206644</v>
      </c>
      <c r="P43" s="798">
        <f>SUMIF('Venture Summary - Mthly'!$E$8:$EG$8,P$9,'Venture Summary - Mthly'!$E46:$EG46)</f>
        <v>924104.27039940865</v>
      </c>
      <c r="Q43" s="798">
        <f>SUMIF('Venture Summary - Mthly'!$E$8:$EG$8,Q$9,'Venture Summary - Mthly'!$E46:$EG46)</f>
        <v>0</v>
      </c>
      <c r="R43" s="798">
        <f>SUMIF('Venture Summary - Mthly'!$E$8:$EG$8,R$9,'Venture Summary - Mthly'!$E46:$EG46)</f>
        <v>0</v>
      </c>
      <c r="S43" s="798">
        <f>SUMIF('Venture Summary - Mthly'!$E$8:$EG$8,S$9,'Venture Summary - Mthly'!$E46:$EG46)</f>
        <v>0</v>
      </c>
      <c r="T43" s="798">
        <f>SUMIF('Venture Summary - Mthly'!$E$8:$EG$8,T$9,'Venture Summary - Mthly'!$E46:$EG46)</f>
        <v>0</v>
      </c>
      <c r="U43" s="798">
        <f>SUMIF('Venture Summary - Mthly'!$E$8:$EG$8,U$9,'Venture Summary - Mthly'!$E46:$EG46)</f>
        <v>0</v>
      </c>
      <c r="V43" s="798">
        <f>SUMIF('Venture Summary - Mthly'!$E$8:$EG$8,V$9,'Venture Summary - Mthly'!$E46:$EG46)</f>
        <v>0</v>
      </c>
      <c r="W43" s="798">
        <f>SUMIF('Venture Summary - Mthly'!$E$8:$EG$8,W$9,'Venture Summary - Mthly'!$E46:$EG46)</f>
        <v>0</v>
      </c>
      <c r="X43" s="798">
        <f>SUMIF('Venture Summary - Mthly'!$E$8:$EG$8,X$9,'Venture Summary - Mthly'!$E46:$EG46)</f>
        <v>0</v>
      </c>
      <c r="Y43" s="798">
        <f>SUMIF('Venture Summary - Mthly'!$E$8:$EG$8,Y$9,'Venture Summary - Mthly'!$E46:$EG46)</f>
        <v>0</v>
      </c>
      <c r="Z43" s="798">
        <f>SUMIF('Venture Summary - Mthly'!$E$8:$EG$8,Z$9,'Venture Summary - Mthly'!$E46:$EG46)</f>
        <v>0</v>
      </c>
      <c r="AA43" s="798">
        <f>SUMIF('Venture Summary - Mthly'!$E$8:$EG$8,AA$9,'Venture Summary - Mthly'!$E46:$EG46)</f>
        <v>0</v>
      </c>
      <c r="AB43" s="798">
        <f>SUMIF('Venture Summary - Mthly'!$E$8:$EG$8,AB$9,'Venture Summary - Mthly'!$E46:$EG46)</f>
        <v>0</v>
      </c>
      <c r="AC43" s="798">
        <f>SUMIF('Venture Summary - Mthly'!$E$8:$EG$8,AC$9,'Venture Summary - Mthly'!$E46:$EG46)</f>
        <v>0</v>
      </c>
      <c r="AD43" s="798">
        <f>SUMIF('Venture Summary - Mthly'!$E$8:$EG$8,AD$9,'Venture Summary - Mthly'!$E46:$EG46)</f>
        <v>0</v>
      </c>
      <c r="AE43" s="798">
        <f>SUMIF('Venture Summary - Mthly'!$E$8:$EG$8,AE$9,'Venture Summary - Mthly'!$E46:$EG46)</f>
        <v>0</v>
      </c>
      <c r="AF43" s="798">
        <f>SUMIF('Venture Summary - Mthly'!$E$8:$EG$8,AF$9,'Venture Summary - Mthly'!$E46:$EG46)</f>
        <v>0</v>
      </c>
      <c r="AG43" s="798">
        <f>SUMIF('Venture Summary - Mthly'!$E$8:$EG$8,AG$9,'Venture Summary - Mthly'!$E46:$EG46)</f>
        <v>0</v>
      </c>
      <c r="AH43" s="798">
        <f>SUMIF('Venture Summary - Mthly'!$E$8:$EG$8,AH$9,'Venture Summary - Mthly'!$E46:$EG46)</f>
        <v>0</v>
      </c>
      <c r="AI43" s="798">
        <f>SUMIF('Venture Summary - Mthly'!$E$8:$EG$8,AI$9,'Venture Summary - Mthly'!$E46:$EG46)</f>
        <v>0</v>
      </c>
      <c r="AJ43" s="798">
        <f>SUMIF('Venture Summary - Mthly'!$E$8:$EG$8,AJ$9,'Venture Summary - Mthly'!$E46:$EG46)</f>
        <v>0</v>
      </c>
      <c r="AK43" s="798">
        <f>SUMIF('Venture Summary - Mthly'!$E$8:$EG$8,AK$9,'Venture Summary - Mthly'!$E46:$EG46)</f>
        <v>0</v>
      </c>
      <c r="AL43" s="798">
        <f>SUMIF('Venture Summary - Mthly'!$E$8:$EG$8,AL$9,'Venture Summary - Mthly'!$E46:$EG46)</f>
        <v>0</v>
      </c>
      <c r="AM43" s="798">
        <f>SUMIF('Venture Summary - Mthly'!$E$8:$EG$8,AM$9,'Venture Summary - Mthly'!$E46:$EG46)</f>
        <v>0</v>
      </c>
      <c r="AN43" s="798">
        <f>SUMIF('Venture Summary - Mthly'!$E$8:$EG$8,AN$9,'Venture Summary - Mthly'!$E46:$EG46)</f>
        <v>0</v>
      </c>
      <c r="AO43" s="798">
        <f>SUMIF('Venture Summary - Mthly'!$E$8:$EG$8,AO$9,'Venture Summary - Mthly'!$E46:$EG46)</f>
        <v>0</v>
      </c>
      <c r="AP43" s="798">
        <f>SUMIF('Venture Summary - Mthly'!$E$8:$EG$8,AP$9,'Venture Summary - Mthly'!$E46:$EG46)</f>
        <v>0</v>
      </c>
      <c r="AQ43" s="798">
        <f>SUMIF('Venture Summary - Mthly'!$E$8:$EG$8,AQ$9,'Venture Summary - Mthly'!$E46:$EG46)</f>
        <v>0</v>
      </c>
      <c r="AR43" s="798">
        <f>SUMIF('Venture Summary - Mthly'!$E$8:$EG$8,AR$9,'Venture Summary - Mthly'!$E46:$EG46)</f>
        <v>0</v>
      </c>
      <c r="AS43" s="798">
        <f>SUMIF('Venture Summary - Mthly'!$E$8:$EG$8,AS$9,'Venture Summary - Mthly'!$E46:$EG46)</f>
        <v>0</v>
      </c>
      <c r="AT43" s="798">
        <f>SUMIF('Venture Summary - Mthly'!$E$8:$EG$8,AT$9,'Venture Summary - Mthly'!$E46:$EG46)</f>
        <v>0</v>
      </c>
      <c r="AU43" s="798">
        <f>SUMIF('Venture Summary - Mthly'!$E$8:$EG$8,AU$9,'Venture Summary - Mthly'!$E46:$EG46)</f>
        <v>0</v>
      </c>
      <c r="AV43" s="798">
        <f>SUMIF('Venture Summary - Mthly'!$E$8:$EG$8,AV$9,'Venture Summary - Mthly'!$E46:$EG46)</f>
        <v>0</v>
      </c>
      <c r="AW43" s="798">
        <f>SUMIF('Venture Summary - Mthly'!$E$8:$EG$8,AW$9,'Venture Summary - Mthly'!$E46:$EG46)</f>
        <v>0</v>
      </c>
      <c r="AX43" s="798"/>
    </row>
    <row r="44" spans="1:50" ht="12.75" customHeight="1" x14ac:dyDescent="0.3">
      <c r="A44" s="782"/>
      <c r="B44" s="782" t="s">
        <v>9</v>
      </c>
      <c r="C44" s="798">
        <f t="shared" si="9"/>
        <v>-71428.57142857142</v>
      </c>
      <c r="D44" s="782"/>
      <c r="E44" s="798">
        <f>SUMIF('Venture Summary - Mthly'!$E$8:$EG$8,E$9,'Venture Summary - Mthly'!$E47:$EG47)</f>
        <v>-71428.57142857142</v>
      </c>
      <c r="F44" s="798">
        <f>SUMIF('Venture Summary - Mthly'!$E$8:$EG$8,F$9,'Venture Summary - Mthly'!$E47:$EG47)</f>
        <v>0</v>
      </c>
      <c r="G44" s="798">
        <f>SUMIF('Venture Summary - Mthly'!$E$8:$EG$8,G$9,'Venture Summary - Mthly'!$E47:$EG47)</f>
        <v>0</v>
      </c>
      <c r="H44" s="798">
        <f>SUMIF('Venture Summary - Mthly'!$E$8:$EG$8,H$9,'Venture Summary - Mthly'!$E47:$EG47)</f>
        <v>0</v>
      </c>
      <c r="I44" s="798">
        <f>SUMIF('Venture Summary - Mthly'!$E$8:$EG$8,I$9,'Venture Summary - Mthly'!$E47:$EG47)</f>
        <v>0</v>
      </c>
      <c r="J44" s="798">
        <f>SUMIF('Venture Summary - Mthly'!$E$8:$EG$8,J$9,'Venture Summary - Mthly'!$E47:$EG47)</f>
        <v>0</v>
      </c>
      <c r="K44" s="798">
        <f>SUMIF('Venture Summary - Mthly'!$E$8:$EG$8,K$9,'Venture Summary - Mthly'!$E47:$EG47)</f>
        <v>0</v>
      </c>
      <c r="L44" s="798">
        <f>SUMIF('Venture Summary - Mthly'!$E$8:$EG$8,L$9,'Venture Summary - Mthly'!$E47:$EG47)</f>
        <v>0</v>
      </c>
      <c r="M44" s="798">
        <f>SUMIF('Venture Summary - Mthly'!$E$8:$EG$8,M$9,'Venture Summary - Mthly'!$E47:$EG47)</f>
        <v>0</v>
      </c>
      <c r="N44" s="798">
        <f>SUMIF('Venture Summary - Mthly'!$E$8:$EG$8,N$9,'Venture Summary - Mthly'!$E47:$EG47)</f>
        <v>0</v>
      </c>
      <c r="O44" s="798">
        <f>SUMIF('Venture Summary - Mthly'!$E$8:$EG$8,O$9,'Venture Summary - Mthly'!$E47:$EG47)</f>
        <v>0</v>
      </c>
      <c r="P44" s="798">
        <f>SUMIF('Venture Summary - Mthly'!$E$8:$EG$8,P$9,'Venture Summary - Mthly'!$E47:$EG47)</f>
        <v>0</v>
      </c>
      <c r="Q44" s="798">
        <f>SUMIF('Venture Summary - Mthly'!$E$8:$EG$8,Q$9,'Venture Summary - Mthly'!$E47:$EG47)</f>
        <v>0</v>
      </c>
      <c r="R44" s="798">
        <f>SUMIF('Venture Summary - Mthly'!$E$8:$EG$8,R$9,'Venture Summary - Mthly'!$E47:$EG47)</f>
        <v>0</v>
      </c>
      <c r="S44" s="798">
        <f>SUMIF('Venture Summary - Mthly'!$E$8:$EG$8,S$9,'Venture Summary - Mthly'!$E47:$EG47)</f>
        <v>0</v>
      </c>
      <c r="T44" s="798">
        <f>SUMIF('Venture Summary - Mthly'!$E$8:$EG$8,T$9,'Venture Summary - Mthly'!$E47:$EG47)</f>
        <v>0</v>
      </c>
      <c r="U44" s="798">
        <f>SUMIF('Venture Summary - Mthly'!$E$8:$EG$8,U$9,'Venture Summary - Mthly'!$E47:$EG47)</f>
        <v>0</v>
      </c>
      <c r="V44" s="798">
        <f>SUMIF('Venture Summary - Mthly'!$E$8:$EG$8,V$9,'Venture Summary - Mthly'!$E47:$EG47)</f>
        <v>0</v>
      </c>
      <c r="W44" s="798">
        <f>SUMIF('Venture Summary - Mthly'!$E$8:$EG$8,W$9,'Venture Summary - Mthly'!$E47:$EG47)</f>
        <v>0</v>
      </c>
      <c r="X44" s="798">
        <f>SUMIF('Venture Summary - Mthly'!$E$8:$EG$8,X$9,'Venture Summary - Mthly'!$E47:$EG47)</f>
        <v>0</v>
      </c>
      <c r="Y44" s="798">
        <f>SUMIF('Venture Summary - Mthly'!$E$8:$EG$8,Y$9,'Venture Summary - Mthly'!$E47:$EG47)</f>
        <v>0</v>
      </c>
      <c r="Z44" s="798">
        <f>SUMIF('Venture Summary - Mthly'!$E$8:$EG$8,Z$9,'Venture Summary - Mthly'!$E47:$EG47)</f>
        <v>0</v>
      </c>
      <c r="AA44" s="798">
        <f>SUMIF('Venture Summary - Mthly'!$E$8:$EG$8,AA$9,'Venture Summary - Mthly'!$E47:$EG47)</f>
        <v>0</v>
      </c>
      <c r="AB44" s="798">
        <f>SUMIF('Venture Summary - Mthly'!$E$8:$EG$8,AB$9,'Venture Summary - Mthly'!$E47:$EG47)</f>
        <v>0</v>
      </c>
      <c r="AC44" s="798">
        <f>SUMIF('Venture Summary - Mthly'!$E$8:$EG$8,AC$9,'Venture Summary - Mthly'!$E47:$EG47)</f>
        <v>0</v>
      </c>
      <c r="AD44" s="798">
        <f>SUMIF('Venture Summary - Mthly'!$E$8:$EG$8,AD$9,'Venture Summary - Mthly'!$E47:$EG47)</f>
        <v>0</v>
      </c>
      <c r="AE44" s="798">
        <f>SUMIF('Venture Summary - Mthly'!$E$8:$EG$8,AE$9,'Venture Summary - Mthly'!$E47:$EG47)</f>
        <v>0</v>
      </c>
      <c r="AF44" s="798">
        <f>SUMIF('Venture Summary - Mthly'!$E$8:$EG$8,AF$9,'Venture Summary - Mthly'!$E47:$EG47)</f>
        <v>0</v>
      </c>
      <c r="AG44" s="798">
        <f>SUMIF('Venture Summary - Mthly'!$E$8:$EG$8,AG$9,'Venture Summary - Mthly'!$E47:$EG47)</f>
        <v>0</v>
      </c>
      <c r="AH44" s="798">
        <f>SUMIF('Venture Summary - Mthly'!$E$8:$EG$8,AH$9,'Venture Summary - Mthly'!$E47:$EG47)</f>
        <v>0</v>
      </c>
      <c r="AI44" s="798">
        <f>SUMIF('Venture Summary - Mthly'!$E$8:$EG$8,AI$9,'Venture Summary - Mthly'!$E47:$EG47)</f>
        <v>0</v>
      </c>
      <c r="AJ44" s="798">
        <f>SUMIF('Venture Summary - Mthly'!$E$8:$EG$8,AJ$9,'Venture Summary - Mthly'!$E47:$EG47)</f>
        <v>0</v>
      </c>
      <c r="AK44" s="798">
        <f>SUMIF('Venture Summary - Mthly'!$E$8:$EG$8,AK$9,'Venture Summary - Mthly'!$E47:$EG47)</f>
        <v>0</v>
      </c>
      <c r="AL44" s="798">
        <f>SUMIF('Venture Summary - Mthly'!$E$8:$EG$8,AL$9,'Venture Summary - Mthly'!$E47:$EG47)</f>
        <v>0</v>
      </c>
      <c r="AM44" s="798">
        <f>SUMIF('Venture Summary - Mthly'!$E$8:$EG$8,AM$9,'Venture Summary - Mthly'!$E47:$EG47)</f>
        <v>0</v>
      </c>
      <c r="AN44" s="798">
        <f>SUMIF('Venture Summary - Mthly'!$E$8:$EG$8,AN$9,'Venture Summary - Mthly'!$E47:$EG47)</f>
        <v>0</v>
      </c>
      <c r="AO44" s="798">
        <f>SUMIF('Venture Summary - Mthly'!$E$8:$EG$8,AO$9,'Venture Summary - Mthly'!$E47:$EG47)</f>
        <v>0</v>
      </c>
      <c r="AP44" s="798">
        <f>SUMIF('Venture Summary - Mthly'!$E$8:$EG$8,AP$9,'Venture Summary - Mthly'!$E47:$EG47)</f>
        <v>0</v>
      </c>
      <c r="AQ44" s="798">
        <f>SUMIF('Venture Summary - Mthly'!$E$8:$EG$8,AQ$9,'Venture Summary - Mthly'!$E47:$EG47)</f>
        <v>0</v>
      </c>
      <c r="AR44" s="798">
        <f>SUMIF('Venture Summary - Mthly'!$E$8:$EG$8,AR$9,'Venture Summary - Mthly'!$E47:$EG47)</f>
        <v>0</v>
      </c>
      <c r="AS44" s="798">
        <f>SUMIF('Venture Summary - Mthly'!$E$8:$EG$8,AS$9,'Venture Summary - Mthly'!$E47:$EG47)</f>
        <v>0</v>
      </c>
      <c r="AT44" s="798">
        <f>SUMIF('Venture Summary - Mthly'!$E$8:$EG$8,AT$9,'Venture Summary - Mthly'!$E47:$EG47)</f>
        <v>0</v>
      </c>
      <c r="AU44" s="798">
        <f>SUMIF('Venture Summary - Mthly'!$E$8:$EG$8,AU$9,'Venture Summary - Mthly'!$E47:$EG47)</f>
        <v>0</v>
      </c>
      <c r="AV44" s="798">
        <f>SUMIF('Venture Summary - Mthly'!$E$8:$EG$8,AV$9,'Venture Summary - Mthly'!$E47:$EG47)</f>
        <v>0</v>
      </c>
      <c r="AW44" s="798">
        <f>SUMIF('Venture Summary - Mthly'!$E$8:$EG$8,AW$9,'Venture Summary - Mthly'!$E47:$EG47)</f>
        <v>0</v>
      </c>
      <c r="AX44" s="798"/>
    </row>
    <row r="45" spans="1:50" ht="12.75" customHeight="1" x14ac:dyDescent="0.3">
      <c r="A45" s="782"/>
      <c r="B45" s="782" t="s">
        <v>10</v>
      </c>
      <c r="C45" s="798">
        <f t="shared" si="9"/>
        <v>-266666.66666666669</v>
      </c>
      <c r="D45" s="782"/>
      <c r="E45" s="798">
        <f>SUMIF('Venture Summary - Mthly'!$E$8:$EG$8,E$9,'Venture Summary - Mthly'!$E48:$EG48)</f>
        <v>0</v>
      </c>
      <c r="F45" s="798">
        <f>SUMIF('Venture Summary - Mthly'!$E$8:$EG$8,F$9,'Venture Summary - Mthly'!$E48:$EG48)</f>
        <v>-25000</v>
      </c>
      <c r="G45" s="798">
        <f>SUMIF('Venture Summary - Mthly'!$E$8:$EG$8,G$9,'Venture Summary - Mthly'!$E48:$EG48)</f>
        <v>-25000</v>
      </c>
      <c r="H45" s="798">
        <f>SUMIF('Venture Summary - Mthly'!$E$8:$EG$8,H$9,'Venture Summary - Mthly'!$E48:$EG48)</f>
        <v>-25000</v>
      </c>
      <c r="I45" s="798">
        <f>SUMIF('Venture Summary - Mthly'!$E$8:$EG$8,I$9,'Venture Summary - Mthly'!$E48:$EG48)</f>
        <v>-25000</v>
      </c>
      <c r="J45" s="798">
        <f>SUMIF('Venture Summary - Mthly'!$E$8:$EG$8,J$9,'Venture Summary - Mthly'!$E48:$EG48)</f>
        <v>-25000</v>
      </c>
      <c r="K45" s="798">
        <f>SUMIF('Venture Summary - Mthly'!$E$8:$EG$8,K$9,'Venture Summary - Mthly'!$E48:$EG48)</f>
        <v>-25000</v>
      </c>
      <c r="L45" s="798">
        <f>SUMIF('Venture Summary - Mthly'!$E$8:$EG$8,L$9,'Venture Summary - Mthly'!$E48:$EG48)</f>
        <v>-25000</v>
      </c>
      <c r="M45" s="798">
        <f>SUMIF('Venture Summary - Mthly'!$E$8:$EG$8,M$9,'Venture Summary - Mthly'!$E48:$EG48)</f>
        <v>-25000</v>
      </c>
      <c r="N45" s="798">
        <f>SUMIF('Venture Summary - Mthly'!$E$8:$EG$8,N$9,'Venture Summary - Mthly'!$E48:$EG48)</f>
        <v>-25000</v>
      </c>
      <c r="O45" s="798">
        <f>SUMIF('Venture Summary - Mthly'!$E$8:$EG$8,O$9,'Venture Summary - Mthly'!$E48:$EG48)</f>
        <v>-25000</v>
      </c>
      <c r="P45" s="798">
        <f>SUMIF('Venture Summary - Mthly'!$E$8:$EG$8,P$9,'Venture Summary - Mthly'!$E48:$EG48)</f>
        <v>-16666.666666666668</v>
      </c>
      <c r="Q45" s="798">
        <f>SUMIF('Venture Summary - Mthly'!$E$8:$EG$8,Q$9,'Venture Summary - Mthly'!$E48:$EG48)</f>
        <v>0</v>
      </c>
      <c r="R45" s="798">
        <f>SUMIF('Venture Summary - Mthly'!$E$8:$EG$8,R$9,'Venture Summary - Mthly'!$E48:$EG48)</f>
        <v>0</v>
      </c>
      <c r="S45" s="798">
        <f>SUMIF('Venture Summary - Mthly'!$E$8:$EG$8,S$9,'Venture Summary - Mthly'!$E48:$EG48)</f>
        <v>0</v>
      </c>
      <c r="T45" s="798">
        <f>SUMIF('Venture Summary - Mthly'!$E$8:$EG$8,T$9,'Venture Summary - Mthly'!$E48:$EG48)</f>
        <v>0</v>
      </c>
      <c r="U45" s="798">
        <f>SUMIF('Venture Summary - Mthly'!$E$8:$EG$8,U$9,'Venture Summary - Mthly'!$E48:$EG48)</f>
        <v>0</v>
      </c>
      <c r="V45" s="798">
        <f>SUMIF('Venture Summary - Mthly'!$E$8:$EG$8,V$9,'Venture Summary - Mthly'!$E48:$EG48)</f>
        <v>0</v>
      </c>
      <c r="W45" s="798">
        <f>SUMIF('Venture Summary - Mthly'!$E$8:$EG$8,W$9,'Venture Summary - Mthly'!$E48:$EG48)</f>
        <v>0</v>
      </c>
      <c r="X45" s="798">
        <f>SUMIF('Venture Summary - Mthly'!$E$8:$EG$8,X$9,'Venture Summary - Mthly'!$E48:$EG48)</f>
        <v>0</v>
      </c>
      <c r="Y45" s="798">
        <f>SUMIF('Venture Summary - Mthly'!$E$8:$EG$8,Y$9,'Venture Summary - Mthly'!$E48:$EG48)</f>
        <v>0</v>
      </c>
      <c r="Z45" s="798">
        <f>SUMIF('Venture Summary - Mthly'!$E$8:$EG$8,Z$9,'Venture Summary - Mthly'!$E48:$EG48)</f>
        <v>0</v>
      </c>
      <c r="AA45" s="798">
        <f>SUMIF('Venture Summary - Mthly'!$E$8:$EG$8,AA$9,'Venture Summary - Mthly'!$E48:$EG48)</f>
        <v>0</v>
      </c>
      <c r="AB45" s="798">
        <f>SUMIF('Venture Summary - Mthly'!$E$8:$EG$8,AB$9,'Venture Summary - Mthly'!$E48:$EG48)</f>
        <v>0</v>
      </c>
      <c r="AC45" s="798">
        <f>SUMIF('Venture Summary - Mthly'!$E$8:$EG$8,AC$9,'Venture Summary - Mthly'!$E48:$EG48)</f>
        <v>0</v>
      </c>
      <c r="AD45" s="798">
        <f>SUMIF('Venture Summary - Mthly'!$E$8:$EG$8,AD$9,'Venture Summary - Mthly'!$E48:$EG48)</f>
        <v>0</v>
      </c>
      <c r="AE45" s="798">
        <f>SUMIF('Venture Summary - Mthly'!$E$8:$EG$8,AE$9,'Venture Summary - Mthly'!$E48:$EG48)</f>
        <v>0</v>
      </c>
      <c r="AF45" s="798">
        <f>SUMIF('Venture Summary - Mthly'!$E$8:$EG$8,AF$9,'Venture Summary - Mthly'!$E48:$EG48)</f>
        <v>0</v>
      </c>
      <c r="AG45" s="798">
        <f>SUMIF('Venture Summary - Mthly'!$E$8:$EG$8,AG$9,'Venture Summary - Mthly'!$E48:$EG48)</f>
        <v>0</v>
      </c>
      <c r="AH45" s="798">
        <f>SUMIF('Venture Summary - Mthly'!$E$8:$EG$8,AH$9,'Venture Summary - Mthly'!$E48:$EG48)</f>
        <v>0</v>
      </c>
      <c r="AI45" s="798">
        <f>SUMIF('Venture Summary - Mthly'!$E$8:$EG$8,AI$9,'Venture Summary - Mthly'!$E48:$EG48)</f>
        <v>0</v>
      </c>
      <c r="AJ45" s="798">
        <f>SUMIF('Venture Summary - Mthly'!$E$8:$EG$8,AJ$9,'Venture Summary - Mthly'!$E48:$EG48)</f>
        <v>0</v>
      </c>
      <c r="AK45" s="798">
        <f>SUMIF('Venture Summary - Mthly'!$E$8:$EG$8,AK$9,'Venture Summary - Mthly'!$E48:$EG48)</f>
        <v>0</v>
      </c>
      <c r="AL45" s="798">
        <f>SUMIF('Venture Summary - Mthly'!$E$8:$EG$8,AL$9,'Venture Summary - Mthly'!$E48:$EG48)</f>
        <v>0</v>
      </c>
      <c r="AM45" s="798">
        <f>SUMIF('Venture Summary - Mthly'!$E$8:$EG$8,AM$9,'Venture Summary - Mthly'!$E48:$EG48)</f>
        <v>0</v>
      </c>
      <c r="AN45" s="798">
        <f>SUMIF('Venture Summary - Mthly'!$E$8:$EG$8,AN$9,'Venture Summary - Mthly'!$E48:$EG48)</f>
        <v>0</v>
      </c>
      <c r="AO45" s="798">
        <f>SUMIF('Venture Summary - Mthly'!$E$8:$EG$8,AO$9,'Venture Summary - Mthly'!$E48:$EG48)</f>
        <v>0</v>
      </c>
      <c r="AP45" s="798">
        <f>SUMIF('Venture Summary - Mthly'!$E$8:$EG$8,AP$9,'Venture Summary - Mthly'!$E48:$EG48)</f>
        <v>0</v>
      </c>
      <c r="AQ45" s="798">
        <f>SUMIF('Venture Summary - Mthly'!$E$8:$EG$8,AQ$9,'Venture Summary - Mthly'!$E48:$EG48)</f>
        <v>0</v>
      </c>
      <c r="AR45" s="798">
        <f>SUMIF('Venture Summary - Mthly'!$E$8:$EG$8,AR$9,'Venture Summary - Mthly'!$E48:$EG48)</f>
        <v>0</v>
      </c>
      <c r="AS45" s="798">
        <f>SUMIF('Venture Summary - Mthly'!$E$8:$EG$8,AS$9,'Venture Summary - Mthly'!$E48:$EG48)</f>
        <v>0</v>
      </c>
      <c r="AT45" s="798">
        <f>SUMIF('Venture Summary - Mthly'!$E$8:$EG$8,AT$9,'Venture Summary - Mthly'!$E48:$EG48)</f>
        <v>0</v>
      </c>
      <c r="AU45" s="798">
        <f>SUMIF('Venture Summary - Mthly'!$E$8:$EG$8,AU$9,'Venture Summary - Mthly'!$E48:$EG48)</f>
        <v>0</v>
      </c>
      <c r="AV45" s="798">
        <f>SUMIF('Venture Summary - Mthly'!$E$8:$EG$8,AV$9,'Venture Summary - Mthly'!$E48:$EG48)</f>
        <v>0</v>
      </c>
      <c r="AW45" s="798">
        <f>SUMIF('Venture Summary - Mthly'!$E$8:$EG$8,AW$9,'Venture Summary - Mthly'!$E48:$EG48)</f>
        <v>0</v>
      </c>
      <c r="AX45" s="798"/>
    </row>
    <row r="46" spans="1:50" ht="12.75" customHeight="1" x14ac:dyDescent="0.3">
      <c r="A46" s="782"/>
      <c r="B46" s="781" t="s">
        <v>29</v>
      </c>
      <c r="C46" s="799">
        <f t="shared" si="9"/>
        <v>103794068.10908552</v>
      </c>
      <c r="D46" s="781"/>
      <c r="E46" s="799">
        <f>SUMIF('Venture Summary - Mthly'!$E$8:$EG$8,E$9,'Venture Summary - Mthly'!$E49:$EG49)</f>
        <v>0</v>
      </c>
      <c r="F46" s="799">
        <f>SUMIF('Venture Summary - Mthly'!$E$8:$EG$8,F$9,'Venture Summary - Mthly'!$E49:$EG49)</f>
        <v>0</v>
      </c>
      <c r="G46" s="799">
        <f>SUMIF('Venture Summary - Mthly'!$E$8:$EG$8,G$9,'Venture Summary - Mthly'!$E49:$EG49)</f>
        <v>0</v>
      </c>
      <c r="H46" s="799">
        <f>SUMIF('Venture Summary - Mthly'!$E$8:$EG$8,H$9,'Venture Summary - Mthly'!$E49:$EG49)</f>
        <v>0</v>
      </c>
      <c r="I46" s="799">
        <f>SUMIF('Venture Summary - Mthly'!$E$8:$EG$8,I$9,'Venture Summary - Mthly'!$E49:$EG49)</f>
        <v>0</v>
      </c>
      <c r="J46" s="799">
        <f>SUMIF('Venture Summary - Mthly'!$E$8:$EG$8,J$9,'Venture Summary - Mthly'!$E49:$EG49)</f>
        <v>0</v>
      </c>
      <c r="K46" s="799">
        <f>SUMIF('Venture Summary - Mthly'!$E$8:$EG$8,K$9,'Venture Summary - Mthly'!$E49:$EG49)</f>
        <v>0</v>
      </c>
      <c r="L46" s="799">
        <f>SUMIF('Venture Summary - Mthly'!$E$8:$EG$8,L$9,'Venture Summary - Mthly'!$E49:$EG49)</f>
        <v>0</v>
      </c>
      <c r="M46" s="799">
        <f>SUMIF('Venture Summary - Mthly'!$E$8:$EG$8,M$9,'Venture Summary - Mthly'!$E49:$EG49)</f>
        <v>0</v>
      </c>
      <c r="N46" s="799">
        <f>SUMIF('Venture Summary - Mthly'!$E$8:$EG$8,N$9,'Venture Summary - Mthly'!$E49:$EG49)</f>
        <v>0</v>
      </c>
      <c r="O46" s="799">
        <f>SUMIF('Venture Summary - Mthly'!$E$8:$EG$8,O$9,'Venture Summary - Mthly'!$E49:$EG49)</f>
        <v>0</v>
      </c>
      <c r="P46" s="799">
        <f>SUMIF('Venture Summary - Mthly'!$E$8:$EG$8,P$9,'Venture Summary - Mthly'!$E49:$EG49)</f>
        <v>103794068.10908552</v>
      </c>
      <c r="Q46" s="799">
        <f>SUMIF('Venture Summary - Mthly'!$E$8:$EG$8,Q$9,'Venture Summary - Mthly'!$E49:$EG49)</f>
        <v>0</v>
      </c>
      <c r="R46" s="799">
        <f>SUMIF('Venture Summary - Mthly'!$E$8:$EG$8,R$9,'Venture Summary - Mthly'!$E49:$EG49)</f>
        <v>0</v>
      </c>
      <c r="S46" s="799">
        <f>SUMIF('Venture Summary - Mthly'!$E$8:$EG$8,S$9,'Venture Summary - Mthly'!$E49:$EG49)</f>
        <v>0</v>
      </c>
      <c r="T46" s="799">
        <f>SUMIF('Venture Summary - Mthly'!$E$8:$EG$8,T$9,'Venture Summary - Mthly'!$E49:$EG49)</f>
        <v>0</v>
      </c>
      <c r="U46" s="799">
        <f>SUMIF('Venture Summary - Mthly'!$E$8:$EG$8,U$9,'Venture Summary - Mthly'!$E49:$EG49)</f>
        <v>0</v>
      </c>
      <c r="V46" s="799">
        <f>SUMIF('Venture Summary - Mthly'!$E$8:$EG$8,V$9,'Venture Summary - Mthly'!$E49:$EG49)</f>
        <v>0</v>
      </c>
      <c r="W46" s="799">
        <f>SUMIF('Venture Summary - Mthly'!$E$8:$EG$8,W$9,'Venture Summary - Mthly'!$E49:$EG49)</f>
        <v>0</v>
      </c>
      <c r="X46" s="799">
        <f>SUMIF('Venture Summary - Mthly'!$E$8:$EG$8,X$9,'Venture Summary - Mthly'!$E49:$EG49)</f>
        <v>0</v>
      </c>
      <c r="Y46" s="799">
        <f>SUMIF('Venture Summary - Mthly'!$E$8:$EG$8,Y$9,'Venture Summary - Mthly'!$E49:$EG49)</f>
        <v>0</v>
      </c>
      <c r="Z46" s="799">
        <f>SUMIF('Venture Summary - Mthly'!$E$8:$EG$8,Z$9,'Venture Summary - Mthly'!$E49:$EG49)</f>
        <v>0</v>
      </c>
      <c r="AA46" s="799">
        <f>SUMIF('Venture Summary - Mthly'!$E$8:$EG$8,AA$9,'Venture Summary - Mthly'!$E49:$EG49)</f>
        <v>0</v>
      </c>
      <c r="AB46" s="799">
        <f>SUMIF('Venture Summary - Mthly'!$E$8:$EG$8,AB$9,'Venture Summary - Mthly'!$E49:$EG49)</f>
        <v>0</v>
      </c>
      <c r="AC46" s="799">
        <f>SUMIF('Venture Summary - Mthly'!$E$8:$EG$8,AC$9,'Venture Summary - Mthly'!$E49:$EG49)</f>
        <v>0</v>
      </c>
      <c r="AD46" s="799">
        <f>SUMIF('Venture Summary - Mthly'!$E$8:$EG$8,AD$9,'Venture Summary - Mthly'!$E49:$EG49)</f>
        <v>0</v>
      </c>
      <c r="AE46" s="799">
        <f>SUMIF('Venture Summary - Mthly'!$E$8:$EG$8,AE$9,'Venture Summary - Mthly'!$E49:$EG49)</f>
        <v>0</v>
      </c>
      <c r="AF46" s="799">
        <f>SUMIF('Venture Summary - Mthly'!$E$8:$EG$8,AF$9,'Venture Summary - Mthly'!$E49:$EG49)</f>
        <v>0</v>
      </c>
      <c r="AG46" s="799">
        <f>SUMIF('Venture Summary - Mthly'!$E$8:$EG$8,AG$9,'Venture Summary - Mthly'!$E49:$EG49)</f>
        <v>0</v>
      </c>
      <c r="AH46" s="799">
        <f>SUMIF('Venture Summary - Mthly'!$E$8:$EG$8,AH$9,'Venture Summary - Mthly'!$E49:$EG49)</f>
        <v>0</v>
      </c>
      <c r="AI46" s="799">
        <f>SUMIF('Venture Summary - Mthly'!$E$8:$EG$8,AI$9,'Venture Summary - Mthly'!$E49:$EG49)</f>
        <v>0</v>
      </c>
      <c r="AJ46" s="799">
        <f>SUMIF('Venture Summary - Mthly'!$E$8:$EG$8,AJ$9,'Venture Summary - Mthly'!$E49:$EG49)</f>
        <v>0</v>
      </c>
      <c r="AK46" s="799">
        <f>SUMIF('Venture Summary - Mthly'!$E$8:$EG$8,AK$9,'Venture Summary - Mthly'!$E49:$EG49)</f>
        <v>0</v>
      </c>
      <c r="AL46" s="799">
        <f>SUMIF('Venture Summary - Mthly'!$E$8:$EG$8,AL$9,'Venture Summary - Mthly'!$E49:$EG49)</f>
        <v>0</v>
      </c>
      <c r="AM46" s="799">
        <f>SUMIF('Venture Summary - Mthly'!$E$8:$EG$8,AM$9,'Venture Summary - Mthly'!$E49:$EG49)</f>
        <v>0</v>
      </c>
      <c r="AN46" s="799">
        <f>SUMIF('Venture Summary - Mthly'!$E$8:$EG$8,AN$9,'Venture Summary - Mthly'!$E49:$EG49)</f>
        <v>0</v>
      </c>
      <c r="AO46" s="799">
        <f>SUMIF('Venture Summary - Mthly'!$E$8:$EG$8,AO$9,'Venture Summary - Mthly'!$E49:$EG49)</f>
        <v>0</v>
      </c>
      <c r="AP46" s="799">
        <f>SUMIF('Venture Summary - Mthly'!$E$8:$EG$8,AP$9,'Venture Summary - Mthly'!$E49:$EG49)</f>
        <v>0</v>
      </c>
      <c r="AQ46" s="799">
        <f>SUMIF('Venture Summary - Mthly'!$E$8:$EG$8,AQ$9,'Venture Summary - Mthly'!$E49:$EG49)</f>
        <v>0</v>
      </c>
      <c r="AR46" s="799">
        <f>SUMIF('Venture Summary - Mthly'!$E$8:$EG$8,AR$9,'Venture Summary - Mthly'!$E49:$EG49)</f>
        <v>0</v>
      </c>
      <c r="AS46" s="799">
        <f>SUMIF('Venture Summary - Mthly'!$E$8:$EG$8,AS$9,'Venture Summary - Mthly'!$E49:$EG49)</f>
        <v>0</v>
      </c>
      <c r="AT46" s="799">
        <f>SUMIF('Venture Summary - Mthly'!$E$8:$EG$8,AT$9,'Venture Summary - Mthly'!$E49:$EG49)</f>
        <v>0</v>
      </c>
      <c r="AU46" s="799">
        <f>SUMIF('Venture Summary - Mthly'!$E$8:$EG$8,AU$9,'Venture Summary - Mthly'!$E49:$EG49)</f>
        <v>0</v>
      </c>
      <c r="AV46" s="799">
        <f>SUMIF('Venture Summary - Mthly'!$E$8:$EG$8,AV$9,'Venture Summary - Mthly'!$E49:$EG49)</f>
        <v>0</v>
      </c>
      <c r="AW46" s="799">
        <f>SUMIF('Venture Summary - Mthly'!$E$8:$EG$8,AW$9,'Venture Summary - Mthly'!$E49:$EG49)</f>
        <v>0</v>
      </c>
      <c r="AX46" s="798"/>
    </row>
    <row r="47" spans="1:50" ht="12.75" customHeight="1" x14ac:dyDescent="0.3">
      <c r="A47" s="782"/>
      <c r="B47" s="782" t="s">
        <v>30</v>
      </c>
      <c r="C47" s="798">
        <f t="shared" si="9"/>
        <v>31716387.835678697</v>
      </c>
      <c r="D47" s="782"/>
      <c r="E47" s="798">
        <f>SUM(E42:E46)</f>
        <v>-1121852.0714285714</v>
      </c>
      <c r="F47" s="798">
        <f t="shared" ref="F47:AW47" si="10">SUM(F42:F46)</f>
        <v>-16418217.907827348</v>
      </c>
      <c r="G47" s="798">
        <f t="shared" si="10"/>
        <v>-5325073.7950608227</v>
      </c>
      <c r="H47" s="798">
        <f t="shared" si="10"/>
        <v>-9437512.0937692411</v>
      </c>
      <c r="I47" s="798">
        <f t="shared" si="10"/>
        <v>-11786088.223250981</v>
      </c>
      <c r="J47" s="798">
        <f t="shared" si="10"/>
        <v>-11389333.202563643</v>
      </c>
      <c r="K47" s="798">
        <f t="shared" si="10"/>
        <v>-9241839.3278636578</v>
      </c>
      <c r="L47" s="798">
        <f t="shared" si="10"/>
        <v>-6784221.1107017584</v>
      </c>
      <c r="M47" s="798">
        <f t="shared" si="10"/>
        <v>-3253681.1381946094</v>
      </c>
      <c r="N47" s="798">
        <f t="shared" si="10"/>
        <v>427405.88290042104</v>
      </c>
      <c r="O47" s="798">
        <f t="shared" si="10"/>
        <v>1345295.1106206644</v>
      </c>
      <c r="P47" s="798">
        <f t="shared" si="10"/>
        <v>104701505.71281825</v>
      </c>
      <c r="Q47" s="798">
        <f t="shared" si="10"/>
        <v>0</v>
      </c>
      <c r="R47" s="798">
        <f t="shared" si="10"/>
        <v>0</v>
      </c>
      <c r="S47" s="798">
        <f t="shared" si="10"/>
        <v>0</v>
      </c>
      <c r="T47" s="798">
        <f t="shared" si="10"/>
        <v>0</v>
      </c>
      <c r="U47" s="798">
        <f t="shared" si="10"/>
        <v>0</v>
      </c>
      <c r="V47" s="798">
        <f t="shared" si="10"/>
        <v>0</v>
      </c>
      <c r="W47" s="798">
        <f t="shared" si="10"/>
        <v>0</v>
      </c>
      <c r="X47" s="798">
        <f t="shared" si="10"/>
        <v>0</v>
      </c>
      <c r="Y47" s="798">
        <f t="shared" si="10"/>
        <v>0</v>
      </c>
      <c r="Z47" s="798">
        <f t="shared" si="10"/>
        <v>0</v>
      </c>
      <c r="AA47" s="798">
        <f t="shared" si="10"/>
        <v>0</v>
      </c>
      <c r="AB47" s="798">
        <f t="shared" si="10"/>
        <v>0</v>
      </c>
      <c r="AC47" s="798">
        <f t="shared" si="10"/>
        <v>0</v>
      </c>
      <c r="AD47" s="798">
        <f t="shared" si="10"/>
        <v>0</v>
      </c>
      <c r="AE47" s="798">
        <f t="shared" si="10"/>
        <v>0</v>
      </c>
      <c r="AF47" s="798">
        <f t="shared" si="10"/>
        <v>0</v>
      </c>
      <c r="AG47" s="798">
        <f t="shared" si="10"/>
        <v>0</v>
      </c>
      <c r="AH47" s="798">
        <f t="shared" si="10"/>
        <v>0</v>
      </c>
      <c r="AI47" s="798">
        <f t="shared" si="10"/>
        <v>0</v>
      </c>
      <c r="AJ47" s="798">
        <f t="shared" si="10"/>
        <v>0</v>
      </c>
      <c r="AK47" s="798">
        <f t="shared" si="10"/>
        <v>0</v>
      </c>
      <c r="AL47" s="798">
        <f t="shared" si="10"/>
        <v>0</v>
      </c>
      <c r="AM47" s="798">
        <f t="shared" si="10"/>
        <v>0</v>
      </c>
      <c r="AN47" s="798">
        <f t="shared" si="10"/>
        <v>0</v>
      </c>
      <c r="AO47" s="798">
        <f t="shared" si="10"/>
        <v>0</v>
      </c>
      <c r="AP47" s="798">
        <f t="shared" si="10"/>
        <v>0</v>
      </c>
      <c r="AQ47" s="798">
        <f t="shared" si="10"/>
        <v>0</v>
      </c>
      <c r="AR47" s="798">
        <f t="shared" si="10"/>
        <v>0</v>
      </c>
      <c r="AS47" s="798">
        <f t="shared" si="10"/>
        <v>0</v>
      </c>
      <c r="AT47" s="798">
        <f t="shared" si="10"/>
        <v>0</v>
      </c>
      <c r="AU47" s="798">
        <f t="shared" si="10"/>
        <v>0</v>
      </c>
      <c r="AV47" s="798">
        <f t="shared" si="10"/>
        <v>0</v>
      </c>
      <c r="AW47" s="798">
        <f t="shared" si="10"/>
        <v>0</v>
      </c>
      <c r="AX47" s="798"/>
    </row>
    <row r="48" spans="1:50" ht="12.75" customHeight="1" x14ac:dyDescent="0.3">
      <c r="A48" s="782"/>
      <c r="B48" s="800" t="s">
        <v>31</v>
      </c>
      <c r="C48" s="801">
        <f>'Venture Summary - Mthly'!C51</f>
        <v>0.21382752060890195</v>
      </c>
      <c r="D48" s="782"/>
      <c r="E48" s="798"/>
      <c r="F48" s="798"/>
      <c r="G48" s="798"/>
      <c r="H48" s="798"/>
      <c r="I48" s="798"/>
      <c r="J48" s="798"/>
      <c r="K48" s="798"/>
      <c r="L48" s="798"/>
      <c r="M48" s="798"/>
      <c r="N48" s="798"/>
      <c r="O48" s="798"/>
      <c r="P48" s="798"/>
      <c r="Q48" s="798"/>
      <c r="R48" s="798"/>
      <c r="S48" s="798"/>
      <c r="T48" s="798"/>
      <c r="U48" s="798"/>
      <c r="V48" s="798"/>
      <c r="W48" s="798"/>
      <c r="X48" s="798"/>
      <c r="Y48" s="798"/>
      <c r="Z48" s="798"/>
      <c r="AA48" s="798"/>
      <c r="AB48" s="798"/>
      <c r="AC48" s="798"/>
      <c r="AD48" s="798"/>
      <c r="AE48" s="798"/>
      <c r="AF48" s="798"/>
      <c r="AG48" s="798"/>
      <c r="AH48" s="798"/>
      <c r="AI48" s="798"/>
      <c r="AJ48" s="798"/>
      <c r="AK48" s="798"/>
      <c r="AL48" s="798"/>
      <c r="AM48" s="798"/>
      <c r="AN48" s="798"/>
      <c r="AO48" s="798"/>
      <c r="AP48" s="798"/>
      <c r="AQ48" s="798"/>
      <c r="AR48" s="798"/>
      <c r="AS48" s="798"/>
      <c r="AT48" s="798"/>
      <c r="AU48" s="798"/>
      <c r="AV48" s="798"/>
      <c r="AW48" s="798"/>
      <c r="AX48" s="798"/>
    </row>
    <row r="49" spans="1:50" ht="12.75" customHeight="1" x14ac:dyDescent="0.3">
      <c r="A49" s="782"/>
      <c r="B49" s="782"/>
      <c r="C49" s="782"/>
      <c r="D49" s="782"/>
      <c r="E49" s="782"/>
      <c r="F49" s="782"/>
      <c r="G49" s="782"/>
      <c r="H49" s="782"/>
      <c r="I49" s="782"/>
      <c r="J49" s="782"/>
      <c r="K49" s="782"/>
      <c r="L49" s="782"/>
      <c r="M49" s="782"/>
      <c r="N49" s="782"/>
      <c r="O49" s="782"/>
      <c r="P49" s="782"/>
      <c r="Q49" s="782"/>
      <c r="R49" s="782"/>
      <c r="S49" s="782"/>
      <c r="T49" s="782"/>
      <c r="U49" s="782"/>
      <c r="V49" s="782"/>
      <c r="W49" s="782"/>
      <c r="X49" s="782"/>
      <c r="Y49" s="782"/>
      <c r="Z49" s="782"/>
      <c r="AA49" s="782"/>
      <c r="AB49" s="782"/>
      <c r="AC49" s="782"/>
      <c r="AD49" s="782"/>
      <c r="AE49" s="782"/>
      <c r="AF49" s="782"/>
      <c r="AG49" s="782"/>
      <c r="AH49" s="782"/>
      <c r="AI49" s="782"/>
      <c r="AJ49" s="782"/>
      <c r="AK49" s="782"/>
      <c r="AL49" s="782"/>
      <c r="AM49" s="782"/>
      <c r="AN49" s="782"/>
      <c r="AO49" s="782"/>
      <c r="AP49" s="782"/>
      <c r="AQ49" s="782"/>
      <c r="AR49" s="782"/>
      <c r="AS49" s="782"/>
      <c r="AT49" s="782"/>
      <c r="AU49" s="782"/>
      <c r="AV49" s="782"/>
      <c r="AW49" s="782"/>
      <c r="AX49" s="782"/>
    </row>
    <row r="50" spans="1:50" ht="12.75" customHeight="1" x14ac:dyDescent="0.3">
      <c r="A50" s="782"/>
      <c r="B50" s="782" t="s">
        <v>14</v>
      </c>
      <c r="C50" s="804">
        <f>SUM(E50:AX50)</f>
        <v>-896583.45041148621</v>
      </c>
      <c r="D50" s="782"/>
      <c r="E50" s="798">
        <f>SUMIF('Venture Summary - Mthly'!$E$8:$EG$8,E$9,'Venture Summary - Mthly'!$E53:$EG53)</f>
        <v>-821583.45041148621</v>
      </c>
      <c r="F50" s="798">
        <f>SUMIF('Venture Summary - Mthly'!$E$8:$EG$8,F$9,'Venture Summary - Mthly'!$E53:$EG53)</f>
        <v>-9000</v>
      </c>
      <c r="G50" s="798">
        <f>SUMIF('Venture Summary - Mthly'!$E$8:$EG$8,G$9,'Venture Summary - Mthly'!$E53:$EG53)</f>
        <v>-9000</v>
      </c>
      <c r="H50" s="798">
        <f>SUMIF('Venture Summary - Mthly'!$E$8:$EG$8,H$9,'Venture Summary - Mthly'!$E53:$EG53)</f>
        <v>-9000</v>
      </c>
      <c r="I50" s="798">
        <f>SUMIF('Venture Summary - Mthly'!$E$8:$EG$8,I$9,'Venture Summary - Mthly'!$E53:$EG53)</f>
        <v>-9000</v>
      </c>
      <c r="J50" s="798">
        <f>SUMIF('Venture Summary - Mthly'!$E$8:$EG$8,J$9,'Venture Summary - Mthly'!$E53:$EG53)</f>
        <v>-9000</v>
      </c>
      <c r="K50" s="798">
        <f>SUMIF('Venture Summary - Mthly'!$E$8:$EG$8,K$9,'Venture Summary - Mthly'!$E53:$EG53)</f>
        <v>-9000</v>
      </c>
      <c r="L50" s="798">
        <f>SUMIF('Venture Summary - Mthly'!$E$8:$EG$8,L$9,'Venture Summary - Mthly'!$E53:$EG53)</f>
        <v>-9000</v>
      </c>
      <c r="M50" s="798">
        <f>SUMIF('Venture Summary - Mthly'!$E$8:$EG$8,M$9,'Venture Summary - Mthly'!$E53:$EG53)</f>
        <v>-9000</v>
      </c>
      <c r="N50" s="798">
        <f>SUMIF('Venture Summary - Mthly'!$E$8:$EG$8,N$9,'Venture Summary - Mthly'!$E53:$EG53)</f>
        <v>-3000</v>
      </c>
      <c r="O50" s="798">
        <f>SUMIF('Venture Summary - Mthly'!$E$8:$EG$8,O$9,'Venture Summary - Mthly'!$E53:$EG53)</f>
        <v>0</v>
      </c>
      <c r="P50" s="798">
        <f>SUMIF('Venture Summary - Mthly'!$E$8:$EG$8,P$9,'Venture Summary - Mthly'!$E53:$EG53)</f>
        <v>0</v>
      </c>
      <c r="Q50" s="798">
        <f>SUMIF('Venture Summary - Mthly'!$E$8:$EG$8,Q$9,'Venture Summary - Mthly'!$E53:$EG53)</f>
        <v>0</v>
      </c>
      <c r="R50" s="798">
        <f>SUMIF('Venture Summary - Mthly'!$E$8:$EG$8,R$9,'Venture Summary - Mthly'!$E53:$EG53)</f>
        <v>0</v>
      </c>
      <c r="S50" s="798">
        <f>SUMIF('Venture Summary - Mthly'!$E$8:$EG$8,S$9,'Venture Summary - Mthly'!$E53:$EG53)</f>
        <v>0</v>
      </c>
      <c r="T50" s="798">
        <f>SUMIF('Venture Summary - Mthly'!$E$8:$EG$8,T$9,'Venture Summary - Mthly'!$E53:$EG53)</f>
        <v>0</v>
      </c>
      <c r="U50" s="798">
        <f>SUMIF('Venture Summary - Mthly'!$E$8:$EG$8,U$9,'Venture Summary - Mthly'!$E53:$EG53)</f>
        <v>0</v>
      </c>
      <c r="V50" s="798">
        <f>SUMIF('Venture Summary - Mthly'!$E$8:$EG$8,V$9,'Venture Summary - Mthly'!$E53:$EG53)</f>
        <v>0</v>
      </c>
      <c r="W50" s="798">
        <f>SUMIF('Venture Summary - Mthly'!$E$8:$EG$8,W$9,'Venture Summary - Mthly'!$E53:$EG53)</f>
        <v>0</v>
      </c>
      <c r="X50" s="798">
        <f>SUMIF('Venture Summary - Mthly'!$E$8:$EG$8,X$9,'Venture Summary - Mthly'!$E53:$EG53)</f>
        <v>0</v>
      </c>
      <c r="Y50" s="798">
        <f>SUMIF('Venture Summary - Mthly'!$E$8:$EG$8,Y$9,'Venture Summary - Mthly'!$E53:$EG53)</f>
        <v>0</v>
      </c>
      <c r="Z50" s="798">
        <f>SUMIF('Venture Summary - Mthly'!$E$8:$EG$8,Z$9,'Venture Summary - Mthly'!$E53:$EG53)</f>
        <v>0</v>
      </c>
      <c r="AA50" s="798">
        <f>SUMIF('Venture Summary - Mthly'!$E$8:$EG$8,AA$9,'Venture Summary - Mthly'!$E53:$EG53)</f>
        <v>0</v>
      </c>
      <c r="AB50" s="798">
        <f>SUMIF('Venture Summary - Mthly'!$E$8:$EG$8,AB$9,'Venture Summary - Mthly'!$E53:$EG53)</f>
        <v>0</v>
      </c>
      <c r="AC50" s="798">
        <f>SUMIF('Venture Summary - Mthly'!$E$8:$EG$8,AC$9,'Venture Summary - Mthly'!$E53:$EG53)</f>
        <v>0</v>
      </c>
      <c r="AD50" s="798">
        <f>SUMIF('Venture Summary - Mthly'!$E$8:$EG$8,AD$9,'Venture Summary - Mthly'!$E53:$EG53)</f>
        <v>0</v>
      </c>
      <c r="AE50" s="798">
        <f>SUMIF('Venture Summary - Mthly'!$E$8:$EG$8,AE$9,'Venture Summary - Mthly'!$E53:$EG53)</f>
        <v>0</v>
      </c>
      <c r="AF50" s="798">
        <f>SUMIF('Venture Summary - Mthly'!$E$8:$EG$8,AF$9,'Venture Summary - Mthly'!$E53:$EG53)</f>
        <v>0</v>
      </c>
      <c r="AG50" s="798">
        <f>SUMIF('Venture Summary - Mthly'!$E$8:$EG$8,AG$9,'Venture Summary - Mthly'!$E53:$EG53)</f>
        <v>0</v>
      </c>
      <c r="AH50" s="798">
        <f>SUMIF('Venture Summary - Mthly'!$E$8:$EG$8,AH$9,'Venture Summary - Mthly'!$E53:$EG53)</f>
        <v>0</v>
      </c>
      <c r="AI50" s="798">
        <f>SUMIF('Venture Summary - Mthly'!$E$8:$EG$8,AI$9,'Venture Summary - Mthly'!$E53:$EG53)</f>
        <v>0</v>
      </c>
      <c r="AJ50" s="798">
        <f>SUMIF('Venture Summary - Mthly'!$E$8:$EG$8,AJ$9,'Venture Summary - Mthly'!$E53:$EG53)</f>
        <v>0</v>
      </c>
      <c r="AK50" s="798">
        <f>SUMIF('Venture Summary - Mthly'!$E$8:$EG$8,AK$9,'Venture Summary - Mthly'!$E53:$EG53)</f>
        <v>0</v>
      </c>
      <c r="AL50" s="798">
        <f>SUMIF('Venture Summary - Mthly'!$E$8:$EG$8,AL$9,'Venture Summary - Mthly'!$E53:$EG53)</f>
        <v>0</v>
      </c>
      <c r="AM50" s="798">
        <f>SUMIF('Venture Summary - Mthly'!$E$8:$EG$8,AM$9,'Venture Summary - Mthly'!$E53:$EG53)</f>
        <v>0</v>
      </c>
      <c r="AN50" s="798">
        <f>SUMIF('Venture Summary - Mthly'!$E$8:$EG$8,AN$9,'Venture Summary - Mthly'!$E53:$EG53)</f>
        <v>0</v>
      </c>
      <c r="AO50" s="798">
        <f>SUMIF('Venture Summary - Mthly'!$E$8:$EG$8,AO$9,'Venture Summary - Mthly'!$E53:$EG53)</f>
        <v>0</v>
      </c>
      <c r="AP50" s="798">
        <f>SUMIF('Venture Summary - Mthly'!$E$8:$EG$8,AP$9,'Venture Summary - Mthly'!$E53:$EG53)</f>
        <v>0</v>
      </c>
      <c r="AQ50" s="798">
        <f>SUMIF('Venture Summary - Mthly'!$E$8:$EG$8,AQ$9,'Venture Summary - Mthly'!$E53:$EG53)</f>
        <v>0</v>
      </c>
      <c r="AR50" s="798">
        <f>SUMIF('Venture Summary - Mthly'!$E$8:$EG$8,AR$9,'Venture Summary - Mthly'!$E53:$EG53)</f>
        <v>0</v>
      </c>
      <c r="AS50" s="798">
        <f>SUMIF('Venture Summary - Mthly'!$E$8:$EG$8,AS$9,'Venture Summary - Mthly'!$E53:$EG53)</f>
        <v>0</v>
      </c>
      <c r="AT50" s="798">
        <f>SUMIF('Venture Summary - Mthly'!$E$8:$EG$8,AT$9,'Venture Summary - Mthly'!$E53:$EG53)</f>
        <v>0</v>
      </c>
      <c r="AU50" s="798">
        <f>SUMIF('Venture Summary - Mthly'!$E$8:$EG$8,AU$9,'Venture Summary - Mthly'!$E53:$EG53)</f>
        <v>0</v>
      </c>
      <c r="AV50" s="798">
        <f>SUMIF('Venture Summary - Mthly'!$E$8:$EG$8,AV$9,'Venture Summary - Mthly'!$E53:$EG53)</f>
        <v>0</v>
      </c>
      <c r="AW50" s="798">
        <f>SUMIF('Venture Summary - Mthly'!$E$8:$EG$8,AW$9,'Venture Summary - Mthly'!$E53:$EG53)</f>
        <v>0</v>
      </c>
      <c r="AX50" s="798"/>
    </row>
    <row r="51" spans="1:50" ht="12.75" customHeight="1" x14ac:dyDescent="0.3">
      <c r="A51" s="782"/>
      <c r="B51" s="782" t="s">
        <v>15</v>
      </c>
      <c r="C51" s="804">
        <f>SUM(E51:AX51)</f>
        <v>-3015435.9515204169</v>
      </c>
      <c r="D51" s="782"/>
      <c r="E51" s="798">
        <f>SUMIF('Venture Summary - Mthly'!$E$8:$EG$8,E$9,'Venture Summary - Mthly'!$E54:$EG54)</f>
        <v>0</v>
      </c>
      <c r="F51" s="798">
        <f>SUMIF('Venture Summary - Mthly'!$E$8:$EG$8,F$9,'Venture Summary - Mthly'!$E54:$EG54)</f>
        <v>0</v>
      </c>
      <c r="G51" s="798">
        <f>SUMIF('Venture Summary - Mthly'!$E$8:$EG$8,G$9,'Venture Summary - Mthly'!$E54:$EG54)</f>
        <v>0</v>
      </c>
      <c r="H51" s="798">
        <f>SUMIF('Venture Summary - Mthly'!$E$8:$EG$8,H$9,'Venture Summary - Mthly'!$E54:$EG54)</f>
        <v>0</v>
      </c>
      <c r="I51" s="798">
        <f>SUMIF('Venture Summary - Mthly'!$E$8:$EG$8,I$9,'Venture Summary - Mthly'!$E54:$EG54)</f>
        <v>-40131.847345416674</v>
      </c>
      <c r="J51" s="798">
        <f>SUMIF('Venture Summary - Mthly'!$E$8:$EG$8,J$9,'Venture Summary - Mthly'!$E54:$EG54)</f>
        <v>-222969.23460500001</v>
      </c>
      <c r="K51" s="798">
        <f>SUMIF('Venture Summary - Mthly'!$E$8:$EG$8,K$9,'Venture Summary - Mthly'!$E54:$EG54)</f>
        <v>-400657.47015125002</v>
      </c>
      <c r="L51" s="798">
        <f>SUMIF('Venture Summary - Mthly'!$E$8:$EG$8,L$9,'Venture Summary - Mthly'!$E54:$EG54)</f>
        <v>-546850.22897375003</v>
      </c>
      <c r="M51" s="798">
        <f>SUMIF('Venture Summary - Mthly'!$E$8:$EG$8,M$9,'Venture Summary - Mthly'!$E54:$EG54)</f>
        <v>-647224.49775208347</v>
      </c>
      <c r="N51" s="798">
        <f>SUMIF('Venture Summary - Mthly'!$E$8:$EG$8,N$9,'Venture Summary - Mthly'!$E54:$EG54)</f>
        <v>-693093.2443337501</v>
      </c>
      <c r="O51" s="798">
        <f>SUMIF('Venture Summary - Mthly'!$E$8:$EG$8,O$9,'Venture Summary - Mthly'!$E54:$EG54)</f>
        <v>-464509.42835916678</v>
      </c>
      <c r="P51" s="798">
        <f>SUMIF('Venture Summary - Mthly'!$E$8:$EG$8,P$9,'Venture Summary - Mthly'!$E54:$EG54)</f>
        <v>0</v>
      </c>
      <c r="Q51" s="798">
        <f>SUMIF('Venture Summary - Mthly'!$E$8:$EG$8,Q$9,'Venture Summary - Mthly'!$E54:$EG54)</f>
        <v>0</v>
      </c>
      <c r="R51" s="798">
        <f>SUMIF('Venture Summary - Mthly'!$E$8:$EG$8,R$9,'Venture Summary - Mthly'!$E54:$EG54)</f>
        <v>0</v>
      </c>
      <c r="S51" s="798">
        <f>SUMIF('Venture Summary - Mthly'!$E$8:$EG$8,S$9,'Venture Summary - Mthly'!$E54:$EG54)</f>
        <v>0</v>
      </c>
      <c r="T51" s="798">
        <f>SUMIF('Venture Summary - Mthly'!$E$8:$EG$8,T$9,'Venture Summary - Mthly'!$E54:$EG54)</f>
        <v>0</v>
      </c>
      <c r="U51" s="798">
        <f>SUMIF('Venture Summary - Mthly'!$E$8:$EG$8,U$9,'Venture Summary - Mthly'!$E54:$EG54)</f>
        <v>0</v>
      </c>
      <c r="V51" s="798">
        <f>SUMIF('Venture Summary - Mthly'!$E$8:$EG$8,V$9,'Venture Summary - Mthly'!$E54:$EG54)</f>
        <v>0</v>
      </c>
      <c r="W51" s="798">
        <f>SUMIF('Venture Summary - Mthly'!$E$8:$EG$8,W$9,'Venture Summary - Mthly'!$E54:$EG54)</f>
        <v>0</v>
      </c>
      <c r="X51" s="798">
        <f>SUMIF('Venture Summary - Mthly'!$E$8:$EG$8,X$9,'Venture Summary - Mthly'!$E54:$EG54)</f>
        <v>0</v>
      </c>
      <c r="Y51" s="798">
        <f>SUMIF('Venture Summary - Mthly'!$E$8:$EG$8,Y$9,'Venture Summary - Mthly'!$E54:$EG54)</f>
        <v>0</v>
      </c>
      <c r="Z51" s="798">
        <f>SUMIF('Venture Summary - Mthly'!$E$8:$EG$8,Z$9,'Venture Summary - Mthly'!$E54:$EG54)</f>
        <v>0</v>
      </c>
      <c r="AA51" s="798">
        <f>SUMIF('Venture Summary - Mthly'!$E$8:$EG$8,AA$9,'Venture Summary - Mthly'!$E54:$EG54)</f>
        <v>0</v>
      </c>
      <c r="AB51" s="798">
        <f>SUMIF('Venture Summary - Mthly'!$E$8:$EG$8,AB$9,'Venture Summary - Mthly'!$E54:$EG54)</f>
        <v>0</v>
      </c>
      <c r="AC51" s="798">
        <f>SUMIF('Venture Summary - Mthly'!$E$8:$EG$8,AC$9,'Venture Summary - Mthly'!$E54:$EG54)</f>
        <v>0</v>
      </c>
      <c r="AD51" s="798">
        <f>SUMIF('Venture Summary - Mthly'!$E$8:$EG$8,AD$9,'Venture Summary - Mthly'!$E54:$EG54)</f>
        <v>0</v>
      </c>
      <c r="AE51" s="798">
        <f>SUMIF('Venture Summary - Mthly'!$E$8:$EG$8,AE$9,'Venture Summary - Mthly'!$E54:$EG54)</f>
        <v>0</v>
      </c>
      <c r="AF51" s="798">
        <f>SUMIF('Venture Summary - Mthly'!$E$8:$EG$8,AF$9,'Venture Summary - Mthly'!$E54:$EG54)</f>
        <v>0</v>
      </c>
      <c r="AG51" s="798">
        <f>SUMIF('Venture Summary - Mthly'!$E$8:$EG$8,AG$9,'Venture Summary - Mthly'!$E54:$EG54)</f>
        <v>0</v>
      </c>
      <c r="AH51" s="798">
        <f>SUMIF('Venture Summary - Mthly'!$E$8:$EG$8,AH$9,'Venture Summary - Mthly'!$E54:$EG54)</f>
        <v>0</v>
      </c>
      <c r="AI51" s="798">
        <f>SUMIF('Venture Summary - Mthly'!$E$8:$EG$8,AI$9,'Venture Summary - Mthly'!$E54:$EG54)</f>
        <v>0</v>
      </c>
      <c r="AJ51" s="798">
        <f>SUMIF('Venture Summary - Mthly'!$E$8:$EG$8,AJ$9,'Venture Summary - Mthly'!$E54:$EG54)</f>
        <v>0</v>
      </c>
      <c r="AK51" s="798">
        <f>SUMIF('Venture Summary - Mthly'!$E$8:$EG$8,AK$9,'Venture Summary - Mthly'!$E54:$EG54)</f>
        <v>0</v>
      </c>
      <c r="AL51" s="798">
        <f>SUMIF('Venture Summary - Mthly'!$E$8:$EG$8,AL$9,'Venture Summary - Mthly'!$E54:$EG54)</f>
        <v>0</v>
      </c>
      <c r="AM51" s="798">
        <f>SUMIF('Venture Summary - Mthly'!$E$8:$EG$8,AM$9,'Venture Summary - Mthly'!$E54:$EG54)</f>
        <v>0</v>
      </c>
      <c r="AN51" s="798">
        <f>SUMIF('Venture Summary - Mthly'!$E$8:$EG$8,AN$9,'Venture Summary - Mthly'!$E54:$EG54)</f>
        <v>0</v>
      </c>
      <c r="AO51" s="798">
        <f>SUMIF('Venture Summary - Mthly'!$E$8:$EG$8,AO$9,'Venture Summary - Mthly'!$E54:$EG54)</f>
        <v>0</v>
      </c>
      <c r="AP51" s="798">
        <f>SUMIF('Venture Summary - Mthly'!$E$8:$EG$8,AP$9,'Venture Summary - Mthly'!$E54:$EG54)</f>
        <v>0</v>
      </c>
      <c r="AQ51" s="798">
        <f>SUMIF('Venture Summary - Mthly'!$E$8:$EG$8,AQ$9,'Venture Summary - Mthly'!$E54:$EG54)</f>
        <v>0</v>
      </c>
      <c r="AR51" s="798">
        <f>SUMIF('Venture Summary - Mthly'!$E$8:$EG$8,AR$9,'Venture Summary - Mthly'!$E54:$EG54)</f>
        <v>0</v>
      </c>
      <c r="AS51" s="798">
        <f>SUMIF('Venture Summary - Mthly'!$E$8:$EG$8,AS$9,'Venture Summary - Mthly'!$E54:$EG54)</f>
        <v>0</v>
      </c>
      <c r="AT51" s="798">
        <f>SUMIF('Venture Summary - Mthly'!$E$8:$EG$8,AT$9,'Venture Summary - Mthly'!$E54:$EG54)</f>
        <v>0</v>
      </c>
      <c r="AU51" s="798">
        <f>SUMIF('Venture Summary - Mthly'!$E$8:$EG$8,AU$9,'Venture Summary - Mthly'!$E54:$EG54)</f>
        <v>0</v>
      </c>
      <c r="AV51" s="798">
        <f>SUMIF('Venture Summary - Mthly'!$E$8:$EG$8,AV$9,'Venture Summary - Mthly'!$E54:$EG54)</f>
        <v>0</v>
      </c>
      <c r="AW51" s="798">
        <f>SUMIF('Venture Summary - Mthly'!$E$8:$EG$8,AW$9,'Venture Summary - Mthly'!$E54:$EG54)</f>
        <v>0</v>
      </c>
      <c r="AX51" s="798"/>
    </row>
    <row r="52" spans="1:50" ht="12.75" customHeight="1" x14ac:dyDescent="0.3">
      <c r="A52" s="782"/>
      <c r="B52" s="782" t="s">
        <v>16</v>
      </c>
      <c r="C52" s="804">
        <f>SUM(E52:AX52)</f>
        <v>42877793.386999995</v>
      </c>
      <c r="D52" s="782"/>
      <c r="E52" s="798">
        <f>SUMIF('Venture Summary - Mthly'!$E$8:$EG$8,E$9,'Venture Summary - Mthly'!$E55:$EG55)</f>
        <v>0</v>
      </c>
      <c r="F52" s="798">
        <f>SUMIF('Venture Summary - Mthly'!$E$8:$EG$8,F$9,'Venture Summary - Mthly'!$E55:$EG55)</f>
        <v>0</v>
      </c>
      <c r="G52" s="798">
        <f>SUMIF('Venture Summary - Mthly'!$E$8:$EG$8,G$9,'Venture Summary - Mthly'!$E55:$EG55)</f>
        <v>0</v>
      </c>
      <c r="H52" s="798">
        <f>SUMIF('Venture Summary - Mthly'!$E$8:$EG$8,H$9,'Venture Summary - Mthly'!$E55:$EG55)</f>
        <v>0</v>
      </c>
      <c r="I52" s="798">
        <f>SUMIF('Venture Summary - Mthly'!$E$8:$EG$8,I$9,'Venture Summary - Mthly'!$E55:$EG55)</f>
        <v>9733199.8629999999</v>
      </c>
      <c r="J52" s="798">
        <f>SUMIF('Venture Summary - Mthly'!$E$8:$EG$8,J$9,'Venture Summary - Mthly'!$E55:$EG55)</f>
        <v>11596302.436999999</v>
      </c>
      <c r="K52" s="798">
        <f>SUMIF('Venture Summary - Mthly'!$E$8:$EG$8,K$9,'Venture Summary - Mthly'!$E55:$EG55)</f>
        <v>9626496.7980000004</v>
      </c>
      <c r="L52" s="798">
        <f>SUMIF('Venture Summary - Mthly'!$E$8:$EG$8,L$9,'Venture Summary - Mthly'!$E55:$EG55)</f>
        <v>7315071.3399999999</v>
      </c>
      <c r="M52" s="798">
        <f>SUMIF('Venture Summary - Mthly'!$E$8:$EG$8,M$9,'Venture Summary - Mthly'!$E55:$EG55)</f>
        <v>3929018.665</v>
      </c>
      <c r="N52" s="798">
        <f>SUMIF('Venture Summary - Mthly'!$E$8:$EG$8,N$9,'Venture Summary - Mthly'!$E55:$EG55)</f>
        <v>677704.28399999999</v>
      </c>
      <c r="O52" s="798">
        <f>SUMIF('Venture Summary - Mthly'!$E$8:$EG$8,O$9,'Venture Summary - Mthly'!$E55:$EG55)</f>
        <v>0</v>
      </c>
      <c r="P52" s="798">
        <f>SUMIF('Venture Summary - Mthly'!$E$8:$EG$8,P$9,'Venture Summary - Mthly'!$E55:$EG55)</f>
        <v>0</v>
      </c>
      <c r="Q52" s="798">
        <f>SUMIF('Venture Summary - Mthly'!$E$8:$EG$8,Q$9,'Venture Summary - Mthly'!$E55:$EG55)</f>
        <v>0</v>
      </c>
      <c r="R52" s="798">
        <f>SUMIF('Venture Summary - Mthly'!$E$8:$EG$8,R$9,'Venture Summary - Mthly'!$E55:$EG55)</f>
        <v>0</v>
      </c>
      <c r="S52" s="798">
        <f>SUMIF('Venture Summary - Mthly'!$E$8:$EG$8,S$9,'Venture Summary - Mthly'!$E55:$EG55)</f>
        <v>0</v>
      </c>
      <c r="T52" s="798">
        <f>SUMIF('Venture Summary - Mthly'!$E$8:$EG$8,T$9,'Venture Summary - Mthly'!$E55:$EG55)</f>
        <v>0</v>
      </c>
      <c r="U52" s="798">
        <f>SUMIF('Venture Summary - Mthly'!$E$8:$EG$8,U$9,'Venture Summary - Mthly'!$E55:$EG55)</f>
        <v>0</v>
      </c>
      <c r="V52" s="798">
        <f>SUMIF('Venture Summary - Mthly'!$E$8:$EG$8,V$9,'Venture Summary - Mthly'!$E55:$EG55)</f>
        <v>0</v>
      </c>
      <c r="W52" s="798">
        <f>SUMIF('Venture Summary - Mthly'!$E$8:$EG$8,W$9,'Venture Summary - Mthly'!$E55:$EG55)</f>
        <v>0</v>
      </c>
      <c r="X52" s="798">
        <f>SUMIF('Venture Summary - Mthly'!$E$8:$EG$8,X$9,'Venture Summary - Mthly'!$E55:$EG55)</f>
        <v>0</v>
      </c>
      <c r="Y52" s="798">
        <f>SUMIF('Venture Summary - Mthly'!$E$8:$EG$8,Y$9,'Venture Summary - Mthly'!$E55:$EG55)</f>
        <v>0</v>
      </c>
      <c r="Z52" s="798">
        <f>SUMIF('Venture Summary - Mthly'!$E$8:$EG$8,Z$9,'Venture Summary - Mthly'!$E55:$EG55)</f>
        <v>0</v>
      </c>
      <c r="AA52" s="798">
        <f>SUMIF('Venture Summary - Mthly'!$E$8:$EG$8,AA$9,'Venture Summary - Mthly'!$E55:$EG55)</f>
        <v>0</v>
      </c>
      <c r="AB52" s="798">
        <f>SUMIF('Venture Summary - Mthly'!$E$8:$EG$8,AB$9,'Venture Summary - Mthly'!$E55:$EG55)</f>
        <v>0</v>
      </c>
      <c r="AC52" s="798">
        <f>SUMIF('Venture Summary - Mthly'!$E$8:$EG$8,AC$9,'Venture Summary - Mthly'!$E55:$EG55)</f>
        <v>0</v>
      </c>
      <c r="AD52" s="798">
        <f>SUMIF('Venture Summary - Mthly'!$E$8:$EG$8,AD$9,'Venture Summary - Mthly'!$E55:$EG55)</f>
        <v>0</v>
      </c>
      <c r="AE52" s="798">
        <f>SUMIF('Venture Summary - Mthly'!$E$8:$EG$8,AE$9,'Venture Summary - Mthly'!$E55:$EG55)</f>
        <v>0</v>
      </c>
      <c r="AF52" s="798">
        <f>SUMIF('Venture Summary - Mthly'!$E$8:$EG$8,AF$9,'Venture Summary - Mthly'!$E55:$EG55)</f>
        <v>0</v>
      </c>
      <c r="AG52" s="798">
        <f>SUMIF('Venture Summary - Mthly'!$E$8:$EG$8,AG$9,'Venture Summary - Mthly'!$E55:$EG55)</f>
        <v>0</v>
      </c>
      <c r="AH52" s="798">
        <f>SUMIF('Venture Summary - Mthly'!$E$8:$EG$8,AH$9,'Venture Summary - Mthly'!$E55:$EG55)</f>
        <v>0</v>
      </c>
      <c r="AI52" s="798">
        <f>SUMIF('Venture Summary - Mthly'!$E$8:$EG$8,AI$9,'Venture Summary - Mthly'!$E55:$EG55)</f>
        <v>0</v>
      </c>
      <c r="AJ52" s="798">
        <f>SUMIF('Venture Summary - Mthly'!$E$8:$EG$8,AJ$9,'Venture Summary - Mthly'!$E55:$EG55)</f>
        <v>0</v>
      </c>
      <c r="AK52" s="798">
        <f>SUMIF('Venture Summary - Mthly'!$E$8:$EG$8,AK$9,'Venture Summary - Mthly'!$E55:$EG55)</f>
        <v>0</v>
      </c>
      <c r="AL52" s="798">
        <f>SUMIF('Venture Summary - Mthly'!$E$8:$EG$8,AL$9,'Venture Summary - Mthly'!$E55:$EG55)</f>
        <v>0</v>
      </c>
      <c r="AM52" s="798">
        <f>SUMIF('Venture Summary - Mthly'!$E$8:$EG$8,AM$9,'Venture Summary - Mthly'!$E55:$EG55)</f>
        <v>0</v>
      </c>
      <c r="AN52" s="798">
        <f>SUMIF('Venture Summary - Mthly'!$E$8:$EG$8,AN$9,'Venture Summary - Mthly'!$E55:$EG55)</f>
        <v>0</v>
      </c>
      <c r="AO52" s="798">
        <f>SUMIF('Venture Summary - Mthly'!$E$8:$EG$8,AO$9,'Venture Summary - Mthly'!$E55:$EG55)</f>
        <v>0</v>
      </c>
      <c r="AP52" s="798">
        <f>SUMIF('Venture Summary - Mthly'!$E$8:$EG$8,AP$9,'Venture Summary - Mthly'!$E55:$EG55)</f>
        <v>0</v>
      </c>
      <c r="AQ52" s="798">
        <f>SUMIF('Venture Summary - Mthly'!$E$8:$EG$8,AQ$9,'Venture Summary - Mthly'!$E55:$EG55)</f>
        <v>0</v>
      </c>
      <c r="AR52" s="798">
        <f>SUMIF('Venture Summary - Mthly'!$E$8:$EG$8,AR$9,'Venture Summary - Mthly'!$E55:$EG55)</f>
        <v>0</v>
      </c>
      <c r="AS52" s="798">
        <f>SUMIF('Venture Summary - Mthly'!$E$8:$EG$8,AS$9,'Venture Summary - Mthly'!$E55:$EG55)</f>
        <v>0</v>
      </c>
      <c r="AT52" s="798">
        <f>SUMIF('Venture Summary - Mthly'!$E$8:$EG$8,AT$9,'Venture Summary - Mthly'!$E55:$EG55)</f>
        <v>0</v>
      </c>
      <c r="AU52" s="798">
        <f>SUMIF('Venture Summary - Mthly'!$E$8:$EG$8,AU$9,'Venture Summary - Mthly'!$E55:$EG55)</f>
        <v>0</v>
      </c>
      <c r="AV52" s="798">
        <f>SUMIF('Venture Summary - Mthly'!$E$8:$EG$8,AV$9,'Venture Summary - Mthly'!$E55:$EG55)</f>
        <v>0</v>
      </c>
      <c r="AW52" s="798">
        <f>SUMIF('Venture Summary - Mthly'!$E$8:$EG$8,AW$9,'Venture Summary - Mthly'!$E55:$EG55)</f>
        <v>0</v>
      </c>
      <c r="AX52" s="798"/>
    </row>
    <row r="53" spans="1:50" ht="12.75" customHeight="1" x14ac:dyDescent="0.3">
      <c r="A53" s="782"/>
      <c r="B53" s="781" t="s">
        <v>32</v>
      </c>
      <c r="C53" s="799">
        <f>SUM(E53:AX53)</f>
        <v>-42877793.387000009</v>
      </c>
      <c r="D53" s="781"/>
      <c r="E53" s="799">
        <f>SUMIF('Venture Summary - Mthly'!$E$8:$EG$8,E$9,'Venture Summary - Mthly'!$E56:$EG56)</f>
        <v>0</v>
      </c>
      <c r="F53" s="799">
        <f>SUMIF('Venture Summary - Mthly'!$E$8:$EG$8,F$9,'Venture Summary - Mthly'!$E56:$EG56)</f>
        <v>0</v>
      </c>
      <c r="G53" s="799">
        <f>SUMIF('Venture Summary - Mthly'!$E$8:$EG$8,G$9,'Venture Summary - Mthly'!$E56:$EG56)</f>
        <v>0</v>
      </c>
      <c r="H53" s="799">
        <f>SUMIF('Venture Summary - Mthly'!$E$8:$EG$8,H$9,'Venture Summary - Mthly'!$E56:$EG56)</f>
        <v>0</v>
      </c>
      <c r="I53" s="799">
        <f>SUMIF('Venture Summary - Mthly'!$E$8:$EG$8,I$9,'Venture Summary - Mthly'!$E56:$EG56)</f>
        <v>0</v>
      </c>
      <c r="J53" s="799">
        <f>SUMIF('Venture Summary - Mthly'!$E$8:$EG$8,J$9,'Venture Summary - Mthly'!$E56:$EG56)</f>
        <v>0</v>
      </c>
      <c r="K53" s="799">
        <f>SUMIF('Venture Summary - Mthly'!$E$8:$EG$8,K$9,'Venture Summary - Mthly'!$E56:$EG56)</f>
        <v>0</v>
      </c>
      <c r="L53" s="799">
        <f>SUMIF('Venture Summary - Mthly'!$E$8:$EG$8,L$9,'Venture Summary - Mthly'!$E56:$EG56)</f>
        <v>0</v>
      </c>
      <c r="M53" s="799">
        <f>SUMIF('Venture Summary - Mthly'!$E$8:$EG$8,M$9,'Venture Summary - Mthly'!$E56:$EG56)</f>
        <v>0</v>
      </c>
      <c r="N53" s="799">
        <f>SUMIF('Venture Summary - Mthly'!$E$8:$EG$8,N$9,'Venture Summary - Mthly'!$E56:$EG56)</f>
        <v>0</v>
      </c>
      <c r="O53" s="799">
        <f>SUMIF('Venture Summary - Mthly'!$E$8:$EG$8,O$9,'Venture Summary - Mthly'!$E56:$EG56)</f>
        <v>0</v>
      </c>
      <c r="P53" s="799">
        <f>SUMIF('Venture Summary - Mthly'!$E$8:$EG$8,P$9,'Venture Summary - Mthly'!$E56:$EG56)</f>
        <v>-42877793.387000009</v>
      </c>
      <c r="Q53" s="799">
        <f>SUMIF('Venture Summary - Mthly'!$E$8:$EG$8,Q$9,'Venture Summary - Mthly'!$E56:$EG56)</f>
        <v>0</v>
      </c>
      <c r="R53" s="799">
        <f>SUMIF('Venture Summary - Mthly'!$E$8:$EG$8,R$9,'Venture Summary - Mthly'!$E56:$EG56)</f>
        <v>0</v>
      </c>
      <c r="S53" s="799">
        <f>SUMIF('Venture Summary - Mthly'!$E$8:$EG$8,S$9,'Venture Summary - Mthly'!$E56:$EG56)</f>
        <v>0</v>
      </c>
      <c r="T53" s="799">
        <f>SUMIF('Venture Summary - Mthly'!$E$8:$EG$8,T$9,'Venture Summary - Mthly'!$E56:$EG56)</f>
        <v>0</v>
      </c>
      <c r="U53" s="799">
        <f>SUMIF('Venture Summary - Mthly'!$E$8:$EG$8,U$9,'Venture Summary - Mthly'!$E56:$EG56)</f>
        <v>0</v>
      </c>
      <c r="V53" s="799">
        <f>SUMIF('Venture Summary - Mthly'!$E$8:$EG$8,V$9,'Venture Summary - Mthly'!$E56:$EG56)</f>
        <v>0</v>
      </c>
      <c r="W53" s="799">
        <f>SUMIF('Venture Summary - Mthly'!$E$8:$EG$8,W$9,'Venture Summary - Mthly'!$E56:$EG56)</f>
        <v>0</v>
      </c>
      <c r="X53" s="799">
        <f>SUMIF('Venture Summary - Mthly'!$E$8:$EG$8,X$9,'Venture Summary - Mthly'!$E56:$EG56)</f>
        <v>0</v>
      </c>
      <c r="Y53" s="799">
        <f>SUMIF('Venture Summary - Mthly'!$E$8:$EG$8,Y$9,'Venture Summary - Mthly'!$E56:$EG56)</f>
        <v>0</v>
      </c>
      <c r="Z53" s="799">
        <f>SUMIF('Venture Summary - Mthly'!$E$8:$EG$8,Z$9,'Venture Summary - Mthly'!$E56:$EG56)</f>
        <v>0</v>
      </c>
      <c r="AA53" s="799">
        <f>SUMIF('Venture Summary - Mthly'!$E$8:$EG$8,AA$9,'Venture Summary - Mthly'!$E56:$EG56)</f>
        <v>0</v>
      </c>
      <c r="AB53" s="799">
        <f>SUMIF('Venture Summary - Mthly'!$E$8:$EG$8,AB$9,'Venture Summary - Mthly'!$E56:$EG56)</f>
        <v>0</v>
      </c>
      <c r="AC53" s="799">
        <f>SUMIF('Venture Summary - Mthly'!$E$8:$EG$8,AC$9,'Venture Summary - Mthly'!$E56:$EG56)</f>
        <v>0</v>
      </c>
      <c r="AD53" s="799">
        <f>SUMIF('Venture Summary - Mthly'!$E$8:$EG$8,AD$9,'Venture Summary - Mthly'!$E56:$EG56)</f>
        <v>0</v>
      </c>
      <c r="AE53" s="799">
        <f>SUMIF('Venture Summary - Mthly'!$E$8:$EG$8,AE$9,'Venture Summary - Mthly'!$E56:$EG56)</f>
        <v>0</v>
      </c>
      <c r="AF53" s="799">
        <f>SUMIF('Venture Summary - Mthly'!$E$8:$EG$8,AF$9,'Venture Summary - Mthly'!$E56:$EG56)</f>
        <v>0</v>
      </c>
      <c r="AG53" s="799">
        <f>SUMIF('Venture Summary - Mthly'!$E$8:$EG$8,AG$9,'Venture Summary - Mthly'!$E56:$EG56)</f>
        <v>0</v>
      </c>
      <c r="AH53" s="799">
        <f>SUMIF('Venture Summary - Mthly'!$E$8:$EG$8,AH$9,'Venture Summary - Mthly'!$E56:$EG56)</f>
        <v>0</v>
      </c>
      <c r="AI53" s="799">
        <f>SUMIF('Venture Summary - Mthly'!$E$8:$EG$8,AI$9,'Venture Summary - Mthly'!$E56:$EG56)</f>
        <v>0</v>
      </c>
      <c r="AJ53" s="799">
        <f>SUMIF('Venture Summary - Mthly'!$E$8:$EG$8,AJ$9,'Venture Summary - Mthly'!$E56:$EG56)</f>
        <v>0</v>
      </c>
      <c r="AK53" s="799">
        <f>SUMIF('Venture Summary - Mthly'!$E$8:$EG$8,AK$9,'Venture Summary - Mthly'!$E56:$EG56)</f>
        <v>0</v>
      </c>
      <c r="AL53" s="799">
        <f>SUMIF('Venture Summary - Mthly'!$E$8:$EG$8,AL$9,'Venture Summary - Mthly'!$E56:$EG56)</f>
        <v>0</v>
      </c>
      <c r="AM53" s="799">
        <f>SUMIF('Venture Summary - Mthly'!$E$8:$EG$8,AM$9,'Venture Summary - Mthly'!$E56:$EG56)</f>
        <v>0</v>
      </c>
      <c r="AN53" s="799">
        <f>SUMIF('Venture Summary - Mthly'!$E$8:$EG$8,AN$9,'Venture Summary - Mthly'!$E56:$EG56)</f>
        <v>0</v>
      </c>
      <c r="AO53" s="799">
        <f>SUMIF('Venture Summary - Mthly'!$E$8:$EG$8,AO$9,'Venture Summary - Mthly'!$E56:$EG56)</f>
        <v>0</v>
      </c>
      <c r="AP53" s="799">
        <f>SUMIF('Venture Summary - Mthly'!$E$8:$EG$8,AP$9,'Venture Summary - Mthly'!$E56:$EG56)</f>
        <v>0</v>
      </c>
      <c r="AQ53" s="799">
        <f>SUMIF('Venture Summary - Mthly'!$E$8:$EG$8,AQ$9,'Venture Summary - Mthly'!$E56:$EG56)</f>
        <v>0</v>
      </c>
      <c r="AR53" s="799">
        <f>SUMIF('Venture Summary - Mthly'!$E$8:$EG$8,AR$9,'Venture Summary - Mthly'!$E56:$EG56)</f>
        <v>0</v>
      </c>
      <c r="AS53" s="799">
        <f>SUMIF('Venture Summary - Mthly'!$E$8:$EG$8,AS$9,'Venture Summary - Mthly'!$E56:$EG56)</f>
        <v>0</v>
      </c>
      <c r="AT53" s="799">
        <f>SUMIF('Venture Summary - Mthly'!$E$8:$EG$8,AT$9,'Venture Summary - Mthly'!$E56:$EG56)</f>
        <v>0</v>
      </c>
      <c r="AU53" s="799">
        <f>SUMIF('Venture Summary - Mthly'!$E$8:$EG$8,AU$9,'Venture Summary - Mthly'!$E56:$EG56)</f>
        <v>0</v>
      </c>
      <c r="AV53" s="799">
        <f>SUMIF('Venture Summary - Mthly'!$E$8:$EG$8,AV$9,'Venture Summary - Mthly'!$E56:$EG56)</f>
        <v>0</v>
      </c>
      <c r="AW53" s="799">
        <f>SUMIF('Venture Summary - Mthly'!$E$8:$EG$8,AW$9,'Venture Summary - Mthly'!$E56:$EG56)</f>
        <v>0</v>
      </c>
      <c r="AX53" s="798"/>
    </row>
    <row r="54" spans="1:50" ht="12.75" customHeight="1" x14ac:dyDescent="0.3">
      <c r="A54" s="782"/>
      <c r="B54" s="782" t="s">
        <v>33</v>
      </c>
      <c r="C54" s="798">
        <f>SUM(E54:AX54)</f>
        <v>27804368.433746785</v>
      </c>
      <c r="D54" s="782"/>
      <c r="E54" s="798">
        <f>SUM(E50:E53,E47)</f>
        <v>-1943435.5218400576</v>
      </c>
      <c r="F54" s="798">
        <f t="shared" ref="F54:AW54" si="11">SUM(F50:F53,F47)</f>
        <v>-16427217.907827348</v>
      </c>
      <c r="G54" s="798">
        <f t="shared" si="11"/>
        <v>-5334073.7950608227</v>
      </c>
      <c r="H54" s="798">
        <f t="shared" si="11"/>
        <v>-9446512.0937692411</v>
      </c>
      <c r="I54" s="798">
        <f t="shared" si="11"/>
        <v>-2102020.2075963989</v>
      </c>
      <c r="J54" s="798">
        <f t="shared" si="11"/>
        <v>-25000.000168643892</v>
      </c>
      <c r="K54" s="798">
        <f t="shared" si="11"/>
        <v>-25000.000014906749</v>
      </c>
      <c r="L54" s="798">
        <f t="shared" si="11"/>
        <v>-24999.999675508589</v>
      </c>
      <c r="M54" s="798">
        <f t="shared" si="11"/>
        <v>19113.029053307138</v>
      </c>
      <c r="N54" s="798">
        <f t="shared" si="11"/>
        <v>409016.92256667092</v>
      </c>
      <c r="O54" s="798">
        <f t="shared" si="11"/>
        <v>880785.68226149771</v>
      </c>
      <c r="P54" s="798">
        <f t="shared" si="11"/>
        <v>61823712.325818241</v>
      </c>
      <c r="Q54" s="798">
        <f t="shared" si="11"/>
        <v>0</v>
      </c>
      <c r="R54" s="798">
        <f t="shared" si="11"/>
        <v>0</v>
      </c>
      <c r="S54" s="798">
        <f t="shared" si="11"/>
        <v>0</v>
      </c>
      <c r="T54" s="798">
        <f t="shared" si="11"/>
        <v>0</v>
      </c>
      <c r="U54" s="798">
        <f t="shared" si="11"/>
        <v>0</v>
      </c>
      <c r="V54" s="798">
        <f t="shared" si="11"/>
        <v>0</v>
      </c>
      <c r="W54" s="798">
        <f t="shared" si="11"/>
        <v>0</v>
      </c>
      <c r="X54" s="798">
        <f t="shared" si="11"/>
        <v>0</v>
      </c>
      <c r="Y54" s="798">
        <f t="shared" si="11"/>
        <v>0</v>
      </c>
      <c r="Z54" s="798">
        <f t="shared" si="11"/>
        <v>0</v>
      </c>
      <c r="AA54" s="798">
        <f t="shared" si="11"/>
        <v>0</v>
      </c>
      <c r="AB54" s="798">
        <f t="shared" si="11"/>
        <v>0</v>
      </c>
      <c r="AC54" s="798">
        <f t="shared" si="11"/>
        <v>0</v>
      </c>
      <c r="AD54" s="798">
        <f t="shared" si="11"/>
        <v>0</v>
      </c>
      <c r="AE54" s="798">
        <f t="shared" si="11"/>
        <v>0</v>
      </c>
      <c r="AF54" s="798">
        <f t="shared" si="11"/>
        <v>0</v>
      </c>
      <c r="AG54" s="798">
        <f t="shared" si="11"/>
        <v>0</v>
      </c>
      <c r="AH54" s="798">
        <f t="shared" si="11"/>
        <v>0</v>
      </c>
      <c r="AI54" s="798">
        <f t="shared" si="11"/>
        <v>0</v>
      </c>
      <c r="AJ54" s="798">
        <f t="shared" si="11"/>
        <v>0</v>
      </c>
      <c r="AK54" s="798">
        <f t="shared" si="11"/>
        <v>0</v>
      </c>
      <c r="AL54" s="798">
        <f t="shared" si="11"/>
        <v>0</v>
      </c>
      <c r="AM54" s="798">
        <f t="shared" si="11"/>
        <v>0</v>
      </c>
      <c r="AN54" s="798">
        <f t="shared" si="11"/>
        <v>0</v>
      </c>
      <c r="AO54" s="798">
        <f t="shared" si="11"/>
        <v>0</v>
      </c>
      <c r="AP54" s="798">
        <f t="shared" si="11"/>
        <v>0</v>
      </c>
      <c r="AQ54" s="798">
        <f t="shared" si="11"/>
        <v>0</v>
      </c>
      <c r="AR54" s="798">
        <f t="shared" si="11"/>
        <v>0</v>
      </c>
      <c r="AS54" s="798">
        <f t="shared" si="11"/>
        <v>0</v>
      </c>
      <c r="AT54" s="798">
        <f t="shared" si="11"/>
        <v>0</v>
      </c>
      <c r="AU54" s="798">
        <f t="shared" si="11"/>
        <v>0</v>
      </c>
      <c r="AV54" s="798">
        <f t="shared" si="11"/>
        <v>0</v>
      </c>
      <c r="AW54" s="798">
        <f t="shared" si="11"/>
        <v>0</v>
      </c>
      <c r="AX54" s="798"/>
    </row>
    <row r="55" spans="1:50" ht="12.75" customHeight="1" x14ac:dyDescent="0.3">
      <c r="A55" s="782"/>
      <c r="B55" s="800" t="s">
        <v>34</v>
      </c>
      <c r="C55" s="801">
        <f>'Venture Summary - Mthly'!C58</f>
        <v>0.28323593735694885</v>
      </c>
      <c r="D55" s="782"/>
      <c r="E55" s="805"/>
      <c r="F55" s="805"/>
      <c r="G55" s="805"/>
      <c r="H55" s="805"/>
      <c r="I55" s="805"/>
      <c r="J55" s="805"/>
      <c r="K55" s="805"/>
      <c r="L55" s="805"/>
      <c r="M55" s="805"/>
      <c r="N55" s="805"/>
      <c r="O55" s="805"/>
      <c r="P55" s="805"/>
      <c r="Q55" s="805"/>
      <c r="R55" s="805"/>
      <c r="S55" s="805"/>
      <c r="T55" s="805"/>
      <c r="U55" s="805"/>
      <c r="V55" s="805"/>
      <c r="W55" s="805"/>
      <c r="X55" s="805"/>
      <c r="Y55" s="805"/>
      <c r="Z55" s="805"/>
      <c r="AA55" s="805"/>
      <c r="AB55" s="805"/>
      <c r="AC55" s="805"/>
      <c r="AD55" s="805"/>
      <c r="AE55" s="805"/>
      <c r="AF55" s="805"/>
      <c r="AG55" s="805"/>
      <c r="AH55" s="805"/>
      <c r="AI55" s="805"/>
      <c r="AJ55" s="805"/>
      <c r="AK55" s="805"/>
      <c r="AL55" s="805"/>
      <c r="AM55" s="805"/>
      <c r="AN55" s="805"/>
      <c r="AO55" s="805"/>
      <c r="AP55" s="805"/>
      <c r="AQ55" s="805"/>
      <c r="AR55" s="805"/>
      <c r="AS55" s="805"/>
      <c r="AT55" s="805"/>
      <c r="AU55" s="805"/>
      <c r="AV55" s="805"/>
      <c r="AW55" s="805"/>
      <c r="AX55" s="805"/>
    </row>
    <row r="56" spans="1:50" ht="12.75" customHeight="1" x14ac:dyDescent="0.3">
      <c r="A56" s="782"/>
      <c r="B56" s="782"/>
      <c r="C56" s="782"/>
      <c r="D56" s="782"/>
      <c r="E56" s="805"/>
      <c r="F56" s="805"/>
      <c r="G56" s="805"/>
      <c r="H56" s="805"/>
      <c r="I56" s="805"/>
      <c r="J56" s="805"/>
      <c r="K56" s="805"/>
      <c r="L56" s="805"/>
      <c r="M56" s="805"/>
      <c r="N56" s="805"/>
      <c r="O56" s="805"/>
      <c r="P56" s="805"/>
      <c r="Q56" s="805"/>
      <c r="R56" s="805"/>
      <c r="S56" s="805"/>
      <c r="T56" s="805"/>
      <c r="U56" s="805"/>
      <c r="V56" s="805"/>
      <c r="W56" s="805"/>
      <c r="X56" s="805"/>
      <c r="Y56" s="805"/>
      <c r="Z56" s="805"/>
      <c r="AA56" s="805"/>
      <c r="AB56" s="805"/>
      <c r="AC56" s="805"/>
      <c r="AD56" s="805"/>
      <c r="AE56" s="805"/>
      <c r="AF56" s="805"/>
      <c r="AG56" s="805"/>
      <c r="AH56" s="805"/>
      <c r="AI56" s="805"/>
      <c r="AJ56" s="805"/>
      <c r="AK56" s="805"/>
      <c r="AL56" s="805"/>
      <c r="AM56" s="805"/>
      <c r="AN56" s="805"/>
      <c r="AO56" s="805"/>
      <c r="AP56" s="805"/>
      <c r="AQ56" s="805"/>
      <c r="AR56" s="805"/>
      <c r="AS56" s="805"/>
      <c r="AT56" s="805"/>
      <c r="AU56" s="805"/>
      <c r="AV56" s="805"/>
      <c r="AW56" s="805"/>
      <c r="AX56" s="805"/>
    </row>
    <row r="57" spans="1:50" ht="12.75" customHeight="1" x14ac:dyDescent="0.3">
      <c r="A57" s="782"/>
      <c r="B57" s="781" t="s">
        <v>24</v>
      </c>
      <c r="C57" s="799">
        <f>SUM(E57:AX57)</f>
        <v>-538188.73531141004</v>
      </c>
      <c r="D57" s="781"/>
      <c r="E57" s="799">
        <f>SUMIF('Venture Summary - Mthly'!$E$8:$EG$8,E$9,'Venture Summary - Mthly'!$E60:$EG60)</f>
        <v>0</v>
      </c>
      <c r="F57" s="799">
        <f>SUMIF('Venture Summary - Mthly'!$E$8:$EG$8,F$9,'Venture Summary - Mthly'!$E60:$EG60)</f>
        <v>-12057.98117720588</v>
      </c>
      <c r="G57" s="799">
        <f>SUMIF('Venture Summary - Mthly'!$E$8:$EG$8,G$9,'Venture Summary - Mthly'!$E60:$EG60)</f>
        <v>-19339.650841703678</v>
      </c>
      <c r="H57" s="799">
        <f>SUMIF('Venture Summary - Mthly'!$E$8:$EG$8,H$9,'Venture Summary - Mthly'!$E60:$EG60)</f>
        <v>-25638.182348544109</v>
      </c>
      <c r="I57" s="799">
        <f>SUMIF('Venture Summary - Mthly'!$E$8:$EG$8,I$9,'Venture Summary - Mthly'!$E60:$EG60)</f>
        <v>-35795.918039641241</v>
      </c>
      <c r="J57" s="799">
        <f>SUMIF('Venture Summary - Mthly'!$E$8:$EG$8,J$9,'Venture Summary - Mthly'!$E60:$EG60)</f>
        <v>-47420.822135929848</v>
      </c>
      <c r="K57" s="799">
        <f>SUMIF('Venture Summary - Mthly'!$E$8:$EG$8,K$9,'Venture Summary - Mthly'!$E60:$EG60)</f>
        <v>-58036.515287854127</v>
      </c>
      <c r="L57" s="799">
        <f>SUMIF('Venture Summary - Mthly'!$E$8:$EG$8,L$9,'Venture Summary - Mthly'!$E60:$EG60)</f>
        <v>-66714.025257056273</v>
      </c>
      <c r="M57" s="799">
        <f>SUMIF('Venture Summary - Mthly'!$E$8:$EG$8,M$9,'Venture Summary - Mthly'!$E60:$EG60)</f>
        <v>-72571.935838606922</v>
      </c>
      <c r="N57" s="799">
        <f>SUMIF('Venture Summary - Mthly'!$E$8:$EG$8,N$9,'Venture Summary - Mthly'!$E60:$EG60)</f>
        <v>-75111.10127240271</v>
      </c>
      <c r="O57" s="799">
        <f>SUMIF('Venture Summary - Mthly'!$E$8:$EG$8,O$9,'Venture Summary - Mthly'!$E60:$EG60)</f>
        <v>-75301.561867479162</v>
      </c>
      <c r="P57" s="799">
        <f>SUMIF('Venture Summary - Mthly'!$E$8:$EG$8,P$9,'Venture Summary - Mthly'!$E60:$EG60)</f>
        <v>-50201.041244986111</v>
      </c>
      <c r="Q57" s="799">
        <f>SUMIF('Venture Summary - Mthly'!$E$8:$EG$8,Q$9,'Venture Summary - Mthly'!$E60:$EG60)</f>
        <v>0</v>
      </c>
      <c r="R57" s="799">
        <f>SUMIF('Venture Summary - Mthly'!$E$8:$EG$8,R$9,'Venture Summary - Mthly'!$E60:$EG60)</f>
        <v>0</v>
      </c>
      <c r="S57" s="799">
        <f>SUMIF('Venture Summary - Mthly'!$E$8:$EG$8,S$9,'Venture Summary - Mthly'!$E60:$EG60)</f>
        <v>0</v>
      </c>
      <c r="T57" s="799">
        <f>SUMIF('Venture Summary - Mthly'!$E$8:$EG$8,T$9,'Venture Summary - Mthly'!$E60:$EG60)</f>
        <v>0</v>
      </c>
      <c r="U57" s="799">
        <f>SUMIF('Venture Summary - Mthly'!$E$8:$EG$8,U$9,'Venture Summary - Mthly'!$E60:$EG60)</f>
        <v>0</v>
      </c>
      <c r="V57" s="799">
        <f>SUMIF('Venture Summary - Mthly'!$E$8:$EG$8,V$9,'Venture Summary - Mthly'!$E60:$EG60)</f>
        <v>0</v>
      </c>
      <c r="W57" s="799">
        <f>SUMIF('Venture Summary - Mthly'!$E$8:$EG$8,W$9,'Venture Summary - Mthly'!$E60:$EG60)</f>
        <v>0</v>
      </c>
      <c r="X57" s="799">
        <f>SUMIF('Venture Summary - Mthly'!$E$8:$EG$8,X$9,'Venture Summary - Mthly'!$E60:$EG60)</f>
        <v>0</v>
      </c>
      <c r="Y57" s="799">
        <f>SUMIF('Venture Summary - Mthly'!$E$8:$EG$8,Y$9,'Venture Summary - Mthly'!$E60:$EG60)</f>
        <v>0</v>
      </c>
      <c r="Z57" s="799">
        <f>SUMIF('Venture Summary - Mthly'!$E$8:$EG$8,Z$9,'Venture Summary - Mthly'!$E60:$EG60)</f>
        <v>0</v>
      </c>
      <c r="AA57" s="799">
        <f>SUMIF('Venture Summary - Mthly'!$E$8:$EG$8,AA$9,'Venture Summary - Mthly'!$E60:$EG60)</f>
        <v>0</v>
      </c>
      <c r="AB57" s="799">
        <f>SUMIF('Venture Summary - Mthly'!$E$8:$EG$8,AB$9,'Venture Summary - Mthly'!$E60:$EG60)</f>
        <v>0</v>
      </c>
      <c r="AC57" s="799">
        <f>SUMIF('Venture Summary - Mthly'!$E$8:$EG$8,AC$9,'Venture Summary - Mthly'!$E60:$EG60)</f>
        <v>0</v>
      </c>
      <c r="AD57" s="799">
        <f>SUMIF('Venture Summary - Mthly'!$E$8:$EG$8,AD$9,'Venture Summary - Mthly'!$E60:$EG60)</f>
        <v>0</v>
      </c>
      <c r="AE57" s="799">
        <f>SUMIF('Venture Summary - Mthly'!$E$8:$EG$8,AE$9,'Venture Summary - Mthly'!$E60:$EG60)</f>
        <v>0</v>
      </c>
      <c r="AF57" s="799">
        <f>SUMIF('Venture Summary - Mthly'!$E$8:$EG$8,AF$9,'Venture Summary - Mthly'!$E60:$EG60)</f>
        <v>0</v>
      </c>
      <c r="AG57" s="799">
        <f>SUMIF('Venture Summary - Mthly'!$E$8:$EG$8,AG$9,'Venture Summary - Mthly'!$E60:$EG60)</f>
        <v>0</v>
      </c>
      <c r="AH57" s="799">
        <f>SUMIF('Venture Summary - Mthly'!$E$8:$EG$8,AH$9,'Venture Summary - Mthly'!$E60:$EG60)</f>
        <v>0</v>
      </c>
      <c r="AI57" s="799">
        <f>SUMIF('Venture Summary - Mthly'!$E$8:$EG$8,AI$9,'Venture Summary - Mthly'!$E60:$EG60)</f>
        <v>0</v>
      </c>
      <c r="AJ57" s="799">
        <f>SUMIF('Venture Summary - Mthly'!$E$8:$EG$8,AJ$9,'Venture Summary - Mthly'!$E60:$EG60)</f>
        <v>0</v>
      </c>
      <c r="AK57" s="799">
        <f>SUMIF('Venture Summary - Mthly'!$E$8:$EG$8,AK$9,'Venture Summary - Mthly'!$E60:$EG60)</f>
        <v>0</v>
      </c>
      <c r="AL57" s="799">
        <f>SUMIF('Venture Summary - Mthly'!$E$8:$EG$8,AL$9,'Venture Summary - Mthly'!$E60:$EG60)</f>
        <v>0</v>
      </c>
      <c r="AM57" s="799">
        <f>SUMIF('Venture Summary - Mthly'!$E$8:$EG$8,AM$9,'Venture Summary - Mthly'!$E60:$EG60)</f>
        <v>0</v>
      </c>
      <c r="AN57" s="799">
        <f>SUMIF('Venture Summary - Mthly'!$E$8:$EG$8,AN$9,'Venture Summary - Mthly'!$E60:$EG60)</f>
        <v>0</v>
      </c>
      <c r="AO57" s="799">
        <f>SUMIF('Venture Summary - Mthly'!$E$8:$EG$8,AO$9,'Venture Summary - Mthly'!$E60:$EG60)</f>
        <v>0</v>
      </c>
      <c r="AP57" s="799">
        <f>SUMIF('Venture Summary - Mthly'!$E$8:$EG$8,AP$9,'Venture Summary - Mthly'!$E60:$EG60)</f>
        <v>0</v>
      </c>
      <c r="AQ57" s="799">
        <f>SUMIF('Venture Summary - Mthly'!$E$8:$EG$8,AQ$9,'Venture Summary - Mthly'!$E60:$EG60)</f>
        <v>0</v>
      </c>
      <c r="AR57" s="799">
        <f>SUMIF('Venture Summary - Mthly'!$E$8:$EG$8,AR$9,'Venture Summary - Mthly'!$E60:$EG60)</f>
        <v>0</v>
      </c>
      <c r="AS57" s="799">
        <f>SUMIF('Venture Summary - Mthly'!$E$8:$EG$8,AS$9,'Venture Summary - Mthly'!$E60:$EG60)</f>
        <v>0</v>
      </c>
      <c r="AT57" s="799">
        <f>SUMIF('Venture Summary - Mthly'!$E$8:$EG$8,AT$9,'Venture Summary - Mthly'!$E60:$EG60)</f>
        <v>0</v>
      </c>
      <c r="AU57" s="799">
        <f>SUMIF('Venture Summary - Mthly'!$E$8:$EG$8,AU$9,'Venture Summary - Mthly'!$E60:$EG60)</f>
        <v>0</v>
      </c>
      <c r="AV57" s="799">
        <f>SUMIF('Venture Summary - Mthly'!$E$8:$EG$8,AV$9,'Venture Summary - Mthly'!$E60:$EG60)</f>
        <v>0</v>
      </c>
      <c r="AW57" s="799">
        <f>SUMIF('Venture Summary - Mthly'!$E$8:$EG$8,AW$9,'Venture Summary - Mthly'!$E60:$EG60)</f>
        <v>0</v>
      </c>
      <c r="AX57" s="798"/>
    </row>
    <row r="58" spans="1:50" ht="12.75" customHeight="1" x14ac:dyDescent="0.3">
      <c r="A58" s="782"/>
      <c r="B58" s="782" t="s">
        <v>35</v>
      </c>
      <c r="C58" s="798">
        <f>SUM(E58:AX58)</f>
        <v>27266179.698435381</v>
      </c>
      <c r="D58" s="782"/>
      <c r="E58" s="798">
        <f>SUM(E54,E57)</f>
        <v>-1943435.5218400576</v>
      </c>
      <c r="F58" s="798">
        <f t="shared" ref="F58:AW58" si="12">SUM(F54,F57)</f>
        <v>-16439275.889004553</v>
      </c>
      <c r="G58" s="798">
        <f t="shared" si="12"/>
        <v>-5353413.4459025264</v>
      </c>
      <c r="H58" s="798">
        <f t="shared" si="12"/>
        <v>-9472150.2761177849</v>
      </c>
      <c r="I58" s="798">
        <f t="shared" si="12"/>
        <v>-2137816.1256360402</v>
      </c>
      <c r="J58" s="798">
        <f t="shared" si="12"/>
        <v>-72420.82230457374</v>
      </c>
      <c r="K58" s="798">
        <f t="shared" si="12"/>
        <v>-83036.515302760876</v>
      </c>
      <c r="L58" s="798">
        <f t="shared" si="12"/>
        <v>-91714.024932564862</v>
      </c>
      <c r="M58" s="798">
        <f t="shared" si="12"/>
        <v>-53458.906785299783</v>
      </c>
      <c r="N58" s="798">
        <f t="shared" si="12"/>
        <v>333905.82129426824</v>
      </c>
      <c r="O58" s="798">
        <f t="shared" si="12"/>
        <v>805484.1203940186</v>
      </c>
      <c r="P58" s="798">
        <f t="shared" si="12"/>
        <v>61773511.284573257</v>
      </c>
      <c r="Q58" s="798">
        <f t="shared" si="12"/>
        <v>0</v>
      </c>
      <c r="R58" s="798">
        <f t="shared" si="12"/>
        <v>0</v>
      </c>
      <c r="S58" s="798">
        <f t="shared" si="12"/>
        <v>0</v>
      </c>
      <c r="T58" s="798">
        <f t="shared" si="12"/>
        <v>0</v>
      </c>
      <c r="U58" s="798">
        <f t="shared" si="12"/>
        <v>0</v>
      </c>
      <c r="V58" s="798">
        <f t="shared" si="12"/>
        <v>0</v>
      </c>
      <c r="W58" s="798">
        <f t="shared" si="12"/>
        <v>0</v>
      </c>
      <c r="X58" s="798">
        <f t="shared" si="12"/>
        <v>0</v>
      </c>
      <c r="Y58" s="798">
        <f t="shared" si="12"/>
        <v>0</v>
      </c>
      <c r="Z58" s="798">
        <f t="shared" si="12"/>
        <v>0</v>
      </c>
      <c r="AA58" s="798">
        <f t="shared" si="12"/>
        <v>0</v>
      </c>
      <c r="AB58" s="798">
        <f t="shared" si="12"/>
        <v>0</v>
      </c>
      <c r="AC58" s="798">
        <f t="shared" si="12"/>
        <v>0</v>
      </c>
      <c r="AD58" s="798">
        <f t="shared" si="12"/>
        <v>0</v>
      </c>
      <c r="AE58" s="798">
        <f t="shared" si="12"/>
        <v>0</v>
      </c>
      <c r="AF58" s="798">
        <f t="shared" si="12"/>
        <v>0</v>
      </c>
      <c r="AG58" s="798">
        <f t="shared" si="12"/>
        <v>0</v>
      </c>
      <c r="AH58" s="798">
        <f t="shared" si="12"/>
        <v>0</v>
      </c>
      <c r="AI58" s="798">
        <f t="shared" si="12"/>
        <v>0</v>
      </c>
      <c r="AJ58" s="798">
        <f t="shared" si="12"/>
        <v>0</v>
      </c>
      <c r="AK58" s="798">
        <f t="shared" si="12"/>
        <v>0</v>
      </c>
      <c r="AL58" s="798">
        <f t="shared" si="12"/>
        <v>0</v>
      </c>
      <c r="AM58" s="798">
        <f t="shared" si="12"/>
        <v>0</v>
      </c>
      <c r="AN58" s="798">
        <f t="shared" si="12"/>
        <v>0</v>
      </c>
      <c r="AO58" s="798">
        <f t="shared" si="12"/>
        <v>0</v>
      </c>
      <c r="AP58" s="798">
        <f t="shared" si="12"/>
        <v>0</v>
      </c>
      <c r="AQ58" s="798">
        <f t="shared" si="12"/>
        <v>0</v>
      </c>
      <c r="AR58" s="798">
        <f t="shared" si="12"/>
        <v>0</v>
      </c>
      <c r="AS58" s="798">
        <f t="shared" si="12"/>
        <v>0</v>
      </c>
      <c r="AT58" s="798">
        <f t="shared" si="12"/>
        <v>0</v>
      </c>
      <c r="AU58" s="798">
        <f t="shared" si="12"/>
        <v>0</v>
      </c>
      <c r="AV58" s="798">
        <f t="shared" si="12"/>
        <v>0</v>
      </c>
      <c r="AW58" s="798">
        <f t="shared" si="12"/>
        <v>0</v>
      </c>
      <c r="AX58" s="798"/>
    </row>
    <row r="59" spans="1:50" ht="12.75" customHeight="1" x14ac:dyDescent="0.3">
      <c r="A59" s="782"/>
      <c r="B59" s="800" t="s">
        <v>36</v>
      </c>
      <c r="C59" s="801">
        <f>'Venture Summary - Mthly'!C62</f>
        <v>0.27725512385368345</v>
      </c>
      <c r="D59" s="782"/>
      <c r="E59" s="782"/>
      <c r="F59" s="782"/>
      <c r="G59" s="782"/>
      <c r="H59" s="782"/>
      <c r="I59" s="782"/>
      <c r="J59" s="782"/>
      <c r="K59" s="782"/>
      <c r="L59" s="782"/>
      <c r="M59" s="782"/>
      <c r="N59" s="782"/>
      <c r="O59" s="782"/>
      <c r="P59" s="782"/>
      <c r="Q59" s="782"/>
      <c r="R59" s="782"/>
      <c r="S59" s="782"/>
      <c r="T59" s="782"/>
      <c r="U59" s="782"/>
      <c r="V59" s="782"/>
      <c r="W59" s="782"/>
      <c r="X59" s="782"/>
      <c r="Y59" s="782"/>
      <c r="Z59" s="782"/>
      <c r="AA59" s="782"/>
      <c r="AB59" s="782"/>
      <c r="AC59" s="782"/>
      <c r="AD59" s="782"/>
      <c r="AE59" s="782"/>
      <c r="AF59" s="782"/>
      <c r="AG59" s="782"/>
      <c r="AH59" s="782"/>
      <c r="AI59" s="782"/>
      <c r="AJ59" s="782"/>
      <c r="AK59" s="782"/>
      <c r="AL59" s="782"/>
      <c r="AM59" s="782"/>
      <c r="AN59" s="782"/>
      <c r="AO59" s="782"/>
      <c r="AP59" s="782"/>
      <c r="AQ59" s="782"/>
      <c r="AR59" s="782"/>
      <c r="AS59" s="782"/>
      <c r="AT59" s="782"/>
      <c r="AU59" s="782"/>
      <c r="AV59" s="782"/>
      <c r="AW59" s="782"/>
      <c r="AX59" s="782"/>
    </row>
    <row r="60" spans="1:50" ht="12.75" customHeight="1" x14ac:dyDescent="0.3">
      <c r="A60" s="782"/>
      <c r="B60" s="782"/>
      <c r="C60" s="782"/>
      <c r="D60" s="782"/>
      <c r="E60" s="782"/>
      <c r="F60" s="782"/>
      <c r="G60" s="782"/>
      <c r="H60" s="782"/>
      <c r="I60" s="782"/>
      <c r="J60" s="782"/>
      <c r="K60" s="782"/>
      <c r="L60" s="782"/>
      <c r="M60" s="782"/>
      <c r="N60" s="782"/>
      <c r="O60" s="782"/>
      <c r="P60" s="782"/>
      <c r="Q60" s="782"/>
      <c r="R60" s="782"/>
      <c r="S60" s="782"/>
      <c r="T60" s="782"/>
      <c r="U60" s="782"/>
      <c r="V60" s="782"/>
      <c r="W60" s="782"/>
      <c r="X60" s="782"/>
      <c r="Y60" s="782"/>
      <c r="Z60" s="782"/>
      <c r="AA60" s="782"/>
      <c r="AB60" s="782"/>
      <c r="AC60" s="782"/>
      <c r="AD60" s="782"/>
      <c r="AE60" s="782"/>
      <c r="AF60" s="782"/>
      <c r="AG60" s="782"/>
      <c r="AH60" s="782"/>
      <c r="AI60" s="782"/>
      <c r="AJ60" s="782"/>
      <c r="AK60" s="782"/>
      <c r="AL60" s="782"/>
      <c r="AM60" s="782"/>
      <c r="AN60" s="782"/>
      <c r="AO60" s="782"/>
      <c r="AP60" s="782"/>
      <c r="AQ60" s="782"/>
      <c r="AR60" s="782"/>
      <c r="AS60" s="782"/>
      <c r="AT60" s="782"/>
      <c r="AU60" s="782"/>
      <c r="AV60" s="782"/>
      <c r="AW60" s="782"/>
      <c r="AX60" s="782"/>
    </row>
    <row r="61" spans="1:50" ht="12.75" customHeight="1" x14ac:dyDescent="0.3">
      <c r="A61" s="782"/>
      <c r="B61" s="781" t="s">
        <v>37</v>
      </c>
      <c r="C61" s="799">
        <f>SUM(E61:AX61)</f>
        <v>-6868726.7816661661</v>
      </c>
      <c r="D61" s="781"/>
      <c r="E61" s="799">
        <f>SUMIF('Venture Summary - Mthly'!$E$8:$EG$8,E$9,'Venture Summary - Mthly'!$E64:$EG64)</f>
        <v>0</v>
      </c>
      <c r="F61" s="799">
        <f>SUMIF('Venture Summary - Mthly'!$E$8:$EG$8,F$9,'Venture Summary - Mthly'!$E64:$EG64)</f>
        <v>0</v>
      </c>
      <c r="G61" s="799">
        <f>SUMIF('Venture Summary - Mthly'!$E$8:$EG$8,G$9,'Venture Summary - Mthly'!$E64:$EG64)</f>
        <v>0</v>
      </c>
      <c r="H61" s="799">
        <f>SUMIF('Venture Summary - Mthly'!$E$8:$EG$8,H$9,'Venture Summary - Mthly'!$E64:$EG64)</f>
        <v>0</v>
      </c>
      <c r="I61" s="799">
        <f>SUMIF('Venture Summary - Mthly'!$E$8:$EG$8,I$9,'Venture Summary - Mthly'!$E64:$EG64)</f>
        <v>0</v>
      </c>
      <c r="J61" s="799">
        <f>SUMIF('Venture Summary - Mthly'!$E$8:$EG$8,J$9,'Venture Summary - Mthly'!$E64:$EG64)</f>
        <v>0</v>
      </c>
      <c r="K61" s="799">
        <f>SUMIF('Venture Summary - Mthly'!$E$8:$EG$8,K$9,'Venture Summary - Mthly'!$E64:$EG64)</f>
        <v>0</v>
      </c>
      <c r="L61" s="799">
        <f>SUMIF('Venture Summary - Mthly'!$E$8:$EG$8,L$9,'Venture Summary - Mthly'!$E64:$EG64)</f>
        <v>0</v>
      </c>
      <c r="M61" s="799">
        <f>SUMIF('Venture Summary - Mthly'!$E$8:$EG$8,M$9,'Venture Summary - Mthly'!$E64:$EG64)</f>
        <v>0</v>
      </c>
      <c r="N61" s="799">
        <f>SUMIF('Venture Summary - Mthly'!$E$8:$EG$8,N$9,'Venture Summary - Mthly'!$E64:$EG64)</f>
        <v>0</v>
      </c>
      <c r="O61" s="799">
        <f>SUMIF('Venture Summary - Mthly'!$E$8:$EG$8,O$9,'Venture Summary - Mthly'!$E64:$EG64)</f>
        <v>0</v>
      </c>
      <c r="P61" s="799">
        <f>SUMIF('Venture Summary - Mthly'!$E$8:$EG$8,P$9,'Venture Summary - Mthly'!$E64:$EG64)</f>
        <v>-6868726.7816661661</v>
      </c>
      <c r="Q61" s="799">
        <f>SUMIF('Venture Summary - Mthly'!$E$8:$EG$8,Q$9,'Venture Summary - Mthly'!$E64:$EG64)</f>
        <v>0</v>
      </c>
      <c r="R61" s="799">
        <f>SUMIF('Venture Summary - Mthly'!$E$8:$EG$8,R$9,'Venture Summary - Mthly'!$E64:$EG64)</f>
        <v>0</v>
      </c>
      <c r="S61" s="799">
        <f>SUMIF('Venture Summary - Mthly'!$E$8:$EG$8,S$9,'Venture Summary - Mthly'!$E64:$EG64)</f>
        <v>0</v>
      </c>
      <c r="T61" s="799">
        <f>SUMIF('Venture Summary - Mthly'!$E$8:$EG$8,T$9,'Venture Summary - Mthly'!$E64:$EG64)</f>
        <v>0</v>
      </c>
      <c r="U61" s="799">
        <f>SUMIF('Venture Summary - Mthly'!$E$8:$EG$8,U$9,'Venture Summary - Mthly'!$E64:$EG64)</f>
        <v>0</v>
      </c>
      <c r="V61" s="799">
        <f>SUMIF('Venture Summary - Mthly'!$E$8:$EG$8,V$9,'Venture Summary - Mthly'!$E64:$EG64)</f>
        <v>0</v>
      </c>
      <c r="W61" s="799">
        <f>SUMIF('Venture Summary - Mthly'!$E$8:$EG$8,W$9,'Venture Summary - Mthly'!$E64:$EG64)</f>
        <v>0</v>
      </c>
      <c r="X61" s="799">
        <f>SUMIF('Venture Summary - Mthly'!$E$8:$EG$8,X$9,'Venture Summary - Mthly'!$E64:$EG64)</f>
        <v>0</v>
      </c>
      <c r="Y61" s="799">
        <f>SUMIF('Venture Summary - Mthly'!$E$8:$EG$8,Y$9,'Venture Summary - Mthly'!$E64:$EG64)</f>
        <v>0</v>
      </c>
      <c r="Z61" s="799">
        <f>SUMIF('Venture Summary - Mthly'!$E$8:$EG$8,Z$9,'Venture Summary - Mthly'!$E64:$EG64)</f>
        <v>0</v>
      </c>
      <c r="AA61" s="799">
        <f>SUMIF('Venture Summary - Mthly'!$E$8:$EG$8,AA$9,'Venture Summary - Mthly'!$E64:$EG64)</f>
        <v>0</v>
      </c>
      <c r="AB61" s="799">
        <f>SUMIF('Venture Summary - Mthly'!$E$8:$EG$8,AB$9,'Venture Summary - Mthly'!$E64:$EG64)</f>
        <v>0</v>
      </c>
      <c r="AC61" s="799">
        <f>SUMIF('Venture Summary - Mthly'!$E$8:$EG$8,AC$9,'Venture Summary - Mthly'!$E64:$EG64)</f>
        <v>0</v>
      </c>
      <c r="AD61" s="799">
        <f>SUMIF('Venture Summary - Mthly'!$E$8:$EG$8,AD$9,'Venture Summary - Mthly'!$E64:$EG64)</f>
        <v>0</v>
      </c>
      <c r="AE61" s="799">
        <f>SUMIF('Venture Summary - Mthly'!$E$8:$EG$8,AE$9,'Venture Summary - Mthly'!$E64:$EG64)</f>
        <v>0</v>
      </c>
      <c r="AF61" s="799">
        <f>SUMIF('Venture Summary - Mthly'!$E$8:$EG$8,AF$9,'Venture Summary - Mthly'!$E64:$EG64)</f>
        <v>0</v>
      </c>
      <c r="AG61" s="799">
        <f>SUMIF('Venture Summary - Mthly'!$E$8:$EG$8,AG$9,'Venture Summary - Mthly'!$E64:$EG64)</f>
        <v>0</v>
      </c>
      <c r="AH61" s="799">
        <f>SUMIF('Venture Summary - Mthly'!$E$8:$EG$8,AH$9,'Venture Summary - Mthly'!$E64:$EG64)</f>
        <v>0</v>
      </c>
      <c r="AI61" s="799">
        <f>SUMIF('Venture Summary - Mthly'!$E$8:$EG$8,AI$9,'Venture Summary - Mthly'!$E64:$EG64)</f>
        <v>0</v>
      </c>
      <c r="AJ61" s="799">
        <f>SUMIF('Venture Summary - Mthly'!$E$8:$EG$8,AJ$9,'Venture Summary - Mthly'!$E64:$EG64)</f>
        <v>0</v>
      </c>
      <c r="AK61" s="799">
        <f>SUMIF('Venture Summary - Mthly'!$E$8:$EG$8,AK$9,'Venture Summary - Mthly'!$E64:$EG64)</f>
        <v>0</v>
      </c>
      <c r="AL61" s="799">
        <f>SUMIF('Venture Summary - Mthly'!$E$8:$EG$8,AL$9,'Venture Summary - Mthly'!$E64:$EG64)</f>
        <v>0</v>
      </c>
      <c r="AM61" s="799">
        <f>SUMIF('Venture Summary - Mthly'!$E$8:$EG$8,AM$9,'Venture Summary - Mthly'!$E64:$EG64)</f>
        <v>0</v>
      </c>
      <c r="AN61" s="799">
        <f>SUMIF('Venture Summary - Mthly'!$E$8:$EG$8,AN$9,'Venture Summary - Mthly'!$E64:$EG64)</f>
        <v>0</v>
      </c>
      <c r="AO61" s="799">
        <f>SUMIF('Venture Summary - Mthly'!$E$8:$EG$8,AO$9,'Venture Summary - Mthly'!$E64:$EG64)</f>
        <v>0</v>
      </c>
      <c r="AP61" s="799">
        <f>SUMIF('Venture Summary - Mthly'!$E$8:$EG$8,AP$9,'Venture Summary - Mthly'!$E64:$EG64)</f>
        <v>0</v>
      </c>
      <c r="AQ61" s="799">
        <f>SUMIF('Venture Summary - Mthly'!$E$8:$EG$8,AQ$9,'Venture Summary - Mthly'!$E64:$EG64)</f>
        <v>0</v>
      </c>
      <c r="AR61" s="799">
        <f>SUMIF('Venture Summary - Mthly'!$E$8:$EG$8,AR$9,'Venture Summary - Mthly'!$E64:$EG64)</f>
        <v>0</v>
      </c>
      <c r="AS61" s="799">
        <f>SUMIF('Venture Summary - Mthly'!$E$8:$EG$8,AS$9,'Venture Summary - Mthly'!$E64:$EG64)</f>
        <v>0</v>
      </c>
      <c r="AT61" s="799">
        <f>SUMIF('Venture Summary - Mthly'!$E$8:$EG$8,AT$9,'Venture Summary - Mthly'!$E64:$EG64)</f>
        <v>0</v>
      </c>
      <c r="AU61" s="799">
        <f>SUMIF('Venture Summary - Mthly'!$E$8:$EG$8,AU$9,'Venture Summary - Mthly'!$E64:$EG64)</f>
        <v>0</v>
      </c>
      <c r="AV61" s="799">
        <f>SUMIF('Venture Summary - Mthly'!$E$8:$EG$8,AV$9,'Venture Summary - Mthly'!$E64:$EG64)</f>
        <v>0</v>
      </c>
      <c r="AW61" s="799">
        <f>SUMIF('Venture Summary - Mthly'!$E$8:$EG$8,AW$9,'Venture Summary - Mthly'!$E64:$EG64)</f>
        <v>0</v>
      </c>
      <c r="AX61" s="798"/>
    </row>
    <row r="62" spans="1:50" ht="12.75" customHeight="1" x14ac:dyDescent="0.3">
      <c r="A62" s="782"/>
      <c r="B62" s="782" t="s">
        <v>38</v>
      </c>
      <c r="C62" s="798">
        <f>SUM(E62:AX62)</f>
        <v>20397452.916769214</v>
      </c>
      <c r="D62" s="782"/>
      <c r="E62" s="798">
        <f t="shared" ref="E62:AW62" si="13">SUM(E61,E58)</f>
        <v>-1943435.5218400576</v>
      </c>
      <c r="F62" s="798">
        <f t="shared" si="13"/>
        <v>-16439275.889004553</v>
      </c>
      <c r="G62" s="798">
        <f t="shared" si="13"/>
        <v>-5353413.4459025264</v>
      </c>
      <c r="H62" s="798">
        <f t="shared" si="13"/>
        <v>-9472150.2761177849</v>
      </c>
      <c r="I62" s="798">
        <f t="shared" si="13"/>
        <v>-2137816.1256360402</v>
      </c>
      <c r="J62" s="798">
        <f t="shared" si="13"/>
        <v>-72420.82230457374</v>
      </c>
      <c r="K62" s="798">
        <f t="shared" si="13"/>
        <v>-83036.515302760876</v>
      </c>
      <c r="L62" s="798">
        <f t="shared" si="13"/>
        <v>-91714.024932564862</v>
      </c>
      <c r="M62" s="798">
        <f t="shared" si="13"/>
        <v>-53458.906785299783</v>
      </c>
      <c r="N62" s="798">
        <f t="shared" si="13"/>
        <v>333905.82129426824</v>
      </c>
      <c r="O62" s="798">
        <f t="shared" si="13"/>
        <v>805484.1203940186</v>
      </c>
      <c r="P62" s="798">
        <f t="shared" si="13"/>
        <v>54904784.50290709</v>
      </c>
      <c r="Q62" s="798">
        <f t="shared" si="13"/>
        <v>0</v>
      </c>
      <c r="R62" s="798">
        <f t="shared" si="13"/>
        <v>0</v>
      </c>
      <c r="S62" s="798">
        <f t="shared" si="13"/>
        <v>0</v>
      </c>
      <c r="T62" s="798">
        <f t="shared" si="13"/>
        <v>0</v>
      </c>
      <c r="U62" s="798">
        <f t="shared" si="13"/>
        <v>0</v>
      </c>
      <c r="V62" s="798">
        <f t="shared" si="13"/>
        <v>0</v>
      </c>
      <c r="W62" s="798">
        <f t="shared" si="13"/>
        <v>0</v>
      </c>
      <c r="X62" s="798">
        <f t="shared" si="13"/>
        <v>0</v>
      </c>
      <c r="Y62" s="798">
        <f t="shared" si="13"/>
        <v>0</v>
      </c>
      <c r="Z62" s="798">
        <f t="shared" si="13"/>
        <v>0</v>
      </c>
      <c r="AA62" s="798">
        <f t="shared" si="13"/>
        <v>0</v>
      </c>
      <c r="AB62" s="798">
        <f t="shared" si="13"/>
        <v>0</v>
      </c>
      <c r="AC62" s="798">
        <f t="shared" si="13"/>
        <v>0</v>
      </c>
      <c r="AD62" s="798">
        <f t="shared" si="13"/>
        <v>0</v>
      </c>
      <c r="AE62" s="798">
        <f t="shared" si="13"/>
        <v>0</v>
      </c>
      <c r="AF62" s="798">
        <f t="shared" si="13"/>
        <v>0</v>
      </c>
      <c r="AG62" s="798">
        <f t="shared" si="13"/>
        <v>0</v>
      </c>
      <c r="AH62" s="798">
        <f t="shared" si="13"/>
        <v>0</v>
      </c>
      <c r="AI62" s="798">
        <f t="shared" si="13"/>
        <v>0</v>
      </c>
      <c r="AJ62" s="798">
        <f t="shared" si="13"/>
        <v>0</v>
      </c>
      <c r="AK62" s="798">
        <f t="shared" si="13"/>
        <v>0</v>
      </c>
      <c r="AL62" s="798">
        <f t="shared" si="13"/>
        <v>0</v>
      </c>
      <c r="AM62" s="798">
        <f t="shared" si="13"/>
        <v>0</v>
      </c>
      <c r="AN62" s="798">
        <f t="shared" si="13"/>
        <v>0</v>
      </c>
      <c r="AO62" s="798">
        <f t="shared" si="13"/>
        <v>0</v>
      </c>
      <c r="AP62" s="798">
        <f t="shared" si="13"/>
        <v>0</v>
      </c>
      <c r="AQ62" s="798">
        <f t="shared" si="13"/>
        <v>0</v>
      </c>
      <c r="AR62" s="798">
        <f t="shared" si="13"/>
        <v>0</v>
      </c>
      <c r="AS62" s="798">
        <f t="shared" si="13"/>
        <v>0</v>
      </c>
      <c r="AT62" s="798">
        <f t="shared" si="13"/>
        <v>0</v>
      </c>
      <c r="AU62" s="798">
        <f t="shared" si="13"/>
        <v>0</v>
      </c>
      <c r="AV62" s="798">
        <f t="shared" si="13"/>
        <v>0</v>
      </c>
      <c r="AW62" s="798">
        <f t="shared" si="13"/>
        <v>0</v>
      </c>
      <c r="AX62" s="798"/>
    </row>
    <row r="63" spans="1:50" ht="12.75" customHeight="1" x14ac:dyDescent="0.3">
      <c r="A63" s="782"/>
      <c r="B63" s="800" t="s">
        <v>39</v>
      </c>
      <c r="C63" s="801">
        <f>'Venture Summary - Mthly'!C66</f>
        <v>0.21550791859626769</v>
      </c>
      <c r="D63" s="782"/>
      <c r="E63" s="782"/>
      <c r="F63" s="782"/>
      <c r="G63" s="782"/>
      <c r="H63" s="782"/>
      <c r="I63" s="782"/>
      <c r="J63" s="782"/>
      <c r="K63" s="782"/>
      <c r="L63" s="782"/>
      <c r="M63" s="782"/>
      <c r="N63" s="782"/>
      <c r="O63" s="782"/>
      <c r="P63" s="782"/>
      <c r="Q63" s="782"/>
      <c r="R63" s="782"/>
      <c r="S63" s="782"/>
      <c r="T63" s="782"/>
      <c r="U63" s="782"/>
      <c r="V63" s="782"/>
      <c r="W63" s="782"/>
      <c r="X63" s="782"/>
      <c r="Y63" s="782"/>
      <c r="Z63" s="782"/>
      <c r="AA63" s="782"/>
      <c r="AB63" s="782"/>
      <c r="AC63" s="782"/>
      <c r="AD63" s="782"/>
      <c r="AE63" s="782"/>
      <c r="AF63" s="782"/>
      <c r="AG63" s="782"/>
      <c r="AH63" s="782"/>
      <c r="AI63" s="782"/>
      <c r="AJ63" s="782"/>
      <c r="AK63" s="782"/>
      <c r="AL63" s="782"/>
      <c r="AM63" s="782"/>
      <c r="AN63" s="782"/>
      <c r="AO63" s="782"/>
      <c r="AP63" s="782"/>
      <c r="AQ63" s="782"/>
      <c r="AR63" s="782"/>
      <c r="AS63" s="782"/>
      <c r="AT63" s="782"/>
      <c r="AU63" s="782"/>
      <c r="AV63" s="782"/>
      <c r="AW63" s="782"/>
      <c r="AX63" s="782"/>
    </row>
    <row r="64" spans="1:50" ht="12.75" customHeight="1" x14ac:dyDescent="0.3">
      <c r="A64" s="782"/>
      <c r="B64" s="782"/>
      <c r="C64" s="806"/>
      <c r="D64" s="782"/>
      <c r="E64" s="782"/>
      <c r="F64" s="782"/>
      <c r="G64" s="782"/>
      <c r="H64" s="782"/>
      <c r="I64" s="782"/>
      <c r="J64" s="782"/>
      <c r="K64" s="782"/>
      <c r="L64" s="782"/>
      <c r="M64" s="782"/>
      <c r="N64" s="782"/>
      <c r="O64" s="782"/>
      <c r="P64" s="782"/>
      <c r="Q64" s="782"/>
      <c r="R64" s="782"/>
      <c r="S64" s="782"/>
      <c r="T64" s="782"/>
      <c r="U64" s="782"/>
      <c r="V64" s="782"/>
      <c r="W64" s="782"/>
      <c r="X64" s="782"/>
      <c r="Y64" s="782"/>
      <c r="Z64" s="782"/>
      <c r="AA64" s="782"/>
      <c r="AB64" s="782"/>
      <c r="AC64" s="782"/>
      <c r="AD64" s="782"/>
      <c r="AE64" s="782"/>
      <c r="AF64" s="782"/>
      <c r="AG64" s="782"/>
      <c r="AH64" s="782"/>
      <c r="AI64" s="782"/>
      <c r="AJ64" s="782"/>
      <c r="AK64" s="782"/>
      <c r="AL64" s="782"/>
      <c r="AM64" s="782"/>
      <c r="AN64" s="782"/>
      <c r="AO64" s="782"/>
      <c r="AP64" s="782"/>
      <c r="AQ64" s="782"/>
      <c r="AR64" s="782"/>
      <c r="AS64" s="782"/>
      <c r="AT64" s="782"/>
      <c r="AU64" s="782"/>
      <c r="AV64" s="782"/>
      <c r="AW64" s="782"/>
      <c r="AX64" s="782"/>
    </row>
    <row r="65" spans="1:50" ht="12.75" customHeight="1" x14ac:dyDescent="0.3">
      <c r="A65" s="782"/>
      <c r="B65" s="793" t="s">
        <v>40</v>
      </c>
      <c r="C65" s="794"/>
      <c r="D65" s="794"/>
      <c r="E65" s="794"/>
      <c r="F65" s="794"/>
      <c r="G65" s="794"/>
      <c r="H65" s="794"/>
      <c r="I65" s="794"/>
      <c r="J65" s="794"/>
      <c r="K65" s="794"/>
      <c r="L65" s="794"/>
      <c r="M65" s="794"/>
      <c r="N65" s="794"/>
      <c r="O65" s="794"/>
      <c r="P65" s="794"/>
      <c r="Q65" s="794"/>
      <c r="R65" s="794"/>
      <c r="S65" s="794"/>
      <c r="T65" s="794"/>
      <c r="U65" s="794"/>
      <c r="V65" s="794"/>
      <c r="W65" s="794"/>
      <c r="X65" s="794"/>
      <c r="Y65" s="794"/>
      <c r="Z65" s="794"/>
      <c r="AA65" s="794"/>
      <c r="AB65" s="794"/>
      <c r="AC65" s="794"/>
      <c r="AD65" s="794"/>
      <c r="AE65" s="794"/>
      <c r="AF65" s="794"/>
      <c r="AG65" s="794"/>
      <c r="AH65" s="794"/>
      <c r="AI65" s="794"/>
      <c r="AJ65" s="794"/>
      <c r="AK65" s="794"/>
      <c r="AL65" s="794"/>
      <c r="AM65" s="794"/>
      <c r="AN65" s="794"/>
      <c r="AO65" s="794"/>
      <c r="AP65" s="794"/>
      <c r="AQ65" s="794"/>
      <c r="AR65" s="794"/>
      <c r="AS65" s="794"/>
      <c r="AT65" s="794"/>
      <c r="AU65" s="794"/>
      <c r="AV65" s="794"/>
      <c r="AW65" s="794"/>
      <c r="AX65" s="794"/>
    </row>
    <row r="66" spans="1:50" ht="12.75" customHeight="1" x14ac:dyDescent="0.3">
      <c r="A66" s="782"/>
      <c r="B66" s="807"/>
      <c r="C66" s="782"/>
      <c r="D66" s="782"/>
      <c r="E66" s="782"/>
      <c r="F66" s="782"/>
      <c r="G66" s="782"/>
      <c r="H66" s="782"/>
      <c r="I66" s="782"/>
      <c r="J66" s="782"/>
      <c r="K66" s="782"/>
      <c r="L66" s="782"/>
      <c r="M66" s="782"/>
      <c r="N66" s="782"/>
      <c r="O66" s="782"/>
      <c r="P66" s="782"/>
      <c r="Q66" s="782"/>
      <c r="R66" s="782"/>
      <c r="S66" s="782"/>
      <c r="T66" s="782"/>
      <c r="U66" s="782"/>
      <c r="V66" s="782"/>
      <c r="W66" s="782"/>
      <c r="X66" s="782"/>
      <c r="Y66" s="782"/>
      <c r="Z66" s="782"/>
      <c r="AA66" s="782"/>
      <c r="AB66" s="782"/>
      <c r="AC66" s="782"/>
      <c r="AD66" s="782"/>
      <c r="AE66" s="782"/>
      <c r="AF66" s="782"/>
      <c r="AG66" s="782"/>
      <c r="AH66" s="782"/>
      <c r="AI66" s="782"/>
      <c r="AJ66" s="782"/>
      <c r="AK66" s="782"/>
      <c r="AL66" s="782"/>
      <c r="AM66" s="782"/>
      <c r="AN66" s="782"/>
      <c r="AO66" s="782"/>
      <c r="AP66" s="782"/>
      <c r="AQ66" s="782"/>
      <c r="AR66" s="782"/>
      <c r="AS66" s="782"/>
      <c r="AT66" s="782"/>
      <c r="AU66" s="782"/>
      <c r="AV66" s="782"/>
      <c r="AW66" s="782"/>
      <c r="AX66" s="782"/>
    </row>
    <row r="67" spans="1:50" ht="12.75" customHeight="1" x14ac:dyDescent="0.3">
      <c r="A67" s="782"/>
      <c r="B67" s="782" t="s">
        <v>41</v>
      </c>
      <c r="C67" s="808">
        <f>+'Venture Assumptions'!F32</f>
        <v>0.1</v>
      </c>
      <c r="D67" s="782"/>
      <c r="E67" s="782"/>
      <c r="F67" s="782"/>
      <c r="G67" s="782"/>
      <c r="H67" s="782"/>
      <c r="I67" s="782"/>
      <c r="J67" s="782"/>
      <c r="K67" s="782"/>
      <c r="L67" s="782"/>
      <c r="M67" s="782"/>
      <c r="N67" s="782"/>
      <c r="O67" s="782"/>
      <c r="P67" s="782"/>
      <c r="Q67" s="782"/>
      <c r="R67" s="782"/>
      <c r="S67" s="782"/>
      <c r="T67" s="782"/>
      <c r="U67" s="782"/>
      <c r="V67" s="782"/>
      <c r="W67" s="782"/>
      <c r="X67" s="782"/>
      <c r="Y67" s="782"/>
      <c r="Z67" s="782"/>
      <c r="AA67" s="782"/>
      <c r="AB67" s="782"/>
      <c r="AC67" s="782"/>
      <c r="AD67" s="782"/>
      <c r="AE67" s="782"/>
      <c r="AF67" s="782"/>
      <c r="AG67" s="782"/>
      <c r="AH67" s="782"/>
      <c r="AI67" s="782"/>
      <c r="AJ67" s="782"/>
      <c r="AK67" s="782"/>
      <c r="AL67" s="782"/>
      <c r="AM67" s="782"/>
      <c r="AN67" s="782"/>
      <c r="AO67" s="782"/>
      <c r="AP67" s="782"/>
      <c r="AQ67" s="782"/>
      <c r="AR67" s="782"/>
      <c r="AS67" s="782"/>
      <c r="AT67" s="782"/>
      <c r="AU67" s="782"/>
      <c r="AV67" s="782"/>
      <c r="AW67" s="782"/>
      <c r="AX67" s="782"/>
    </row>
    <row r="68" spans="1:50" ht="12.75" customHeight="1" x14ac:dyDescent="0.3">
      <c r="A68" s="782"/>
      <c r="B68" s="782" t="s">
        <v>42</v>
      </c>
      <c r="C68" s="808">
        <f>(1+C67)^(1/365)-1</f>
        <v>2.6115787606784124E-4</v>
      </c>
      <c r="D68" s="782"/>
      <c r="E68" s="782"/>
      <c r="F68" s="782"/>
      <c r="G68" s="782"/>
      <c r="H68" s="782"/>
      <c r="I68" s="782"/>
      <c r="J68" s="782"/>
      <c r="K68" s="782"/>
      <c r="L68" s="782"/>
      <c r="M68" s="782"/>
      <c r="N68" s="782"/>
      <c r="O68" s="782"/>
      <c r="P68" s="782"/>
      <c r="Q68" s="782"/>
      <c r="R68" s="782"/>
      <c r="S68" s="782"/>
      <c r="T68" s="782"/>
      <c r="U68" s="782"/>
      <c r="V68" s="782"/>
      <c r="W68" s="782"/>
      <c r="X68" s="782"/>
      <c r="Y68" s="782"/>
      <c r="Z68" s="782"/>
      <c r="AA68" s="782"/>
      <c r="AB68" s="782"/>
      <c r="AC68" s="782"/>
      <c r="AD68" s="782"/>
      <c r="AE68" s="782"/>
      <c r="AF68" s="782"/>
      <c r="AG68" s="782"/>
      <c r="AH68" s="782"/>
      <c r="AI68" s="782"/>
      <c r="AJ68" s="782"/>
      <c r="AK68" s="782"/>
      <c r="AL68" s="782"/>
      <c r="AM68" s="782"/>
      <c r="AN68" s="782"/>
      <c r="AO68" s="782"/>
      <c r="AP68" s="782"/>
      <c r="AQ68" s="782"/>
      <c r="AR68" s="782"/>
      <c r="AS68" s="782"/>
      <c r="AT68" s="782"/>
      <c r="AU68" s="782"/>
      <c r="AV68" s="782"/>
      <c r="AW68" s="782"/>
      <c r="AX68" s="782"/>
    </row>
    <row r="69" spans="1:50" ht="12.75" customHeight="1" x14ac:dyDescent="0.3">
      <c r="A69" s="782"/>
      <c r="B69" s="782" t="s">
        <v>43</v>
      </c>
      <c r="C69" s="808">
        <f>+'Venture Assumptions'!F35</f>
        <v>0.14000000000000001</v>
      </c>
      <c r="D69" s="782"/>
      <c r="E69" s="782"/>
      <c r="F69" s="782"/>
      <c r="G69" s="782"/>
      <c r="H69" s="782"/>
      <c r="I69" s="782"/>
      <c r="J69" s="782"/>
      <c r="K69" s="782"/>
      <c r="L69" s="782"/>
      <c r="M69" s="782"/>
      <c r="N69" s="782"/>
      <c r="O69" s="782"/>
      <c r="P69" s="782"/>
      <c r="Q69" s="782"/>
      <c r="R69" s="782"/>
      <c r="S69" s="782"/>
      <c r="T69" s="782"/>
      <c r="U69" s="782"/>
      <c r="V69" s="782"/>
      <c r="W69" s="782"/>
      <c r="X69" s="782"/>
      <c r="Y69" s="782"/>
      <c r="Z69" s="782"/>
      <c r="AA69" s="782"/>
      <c r="AB69" s="782"/>
      <c r="AC69" s="782"/>
      <c r="AD69" s="782"/>
      <c r="AE69" s="782"/>
      <c r="AF69" s="782"/>
      <c r="AG69" s="782"/>
      <c r="AH69" s="782"/>
      <c r="AI69" s="782"/>
      <c r="AJ69" s="782"/>
      <c r="AK69" s="782"/>
      <c r="AL69" s="782"/>
      <c r="AM69" s="782"/>
      <c r="AN69" s="782"/>
      <c r="AO69" s="782"/>
      <c r="AP69" s="782"/>
      <c r="AQ69" s="782"/>
      <c r="AR69" s="782"/>
      <c r="AS69" s="782"/>
      <c r="AT69" s="782"/>
      <c r="AU69" s="782"/>
      <c r="AV69" s="782"/>
      <c r="AW69" s="782"/>
      <c r="AX69" s="782"/>
    </row>
    <row r="70" spans="1:50" ht="12.75" customHeight="1" x14ac:dyDescent="0.3">
      <c r="A70" s="782"/>
      <c r="B70" s="782" t="s">
        <v>44</v>
      </c>
      <c r="C70" s="808">
        <f>(1+C69)^(1/365)-1</f>
        <v>3.5904598242364472E-4</v>
      </c>
      <c r="D70" s="782"/>
      <c r="E70" s="782"/>
      <c r="F70" s="782"/>
      <c r="G70" s="782"/>
      <c r="H70" s="782"/>
      <c r="I70" s="782"/>
      <c r="J70" s="782"/>
      <c r="K70" s="782"/>
      <c r="L70" s="782"/>
      <c r="M70" s="782"/>
      <c r="N70" s="782"/>
      <c r="O70" s="782"/>
      <c r="P70" s="782"/>
      <c r="Q70" s="782"/>
      <c r="R70" s="782"/>
      <c r="S70" s="782"/>
      <c r="T70" s="782"/>
      <c r="U70" s="782"/>
      <c r="V70" s="782"/>
      <c r="W70" s="782"/>
      <c r="X70" s="782"/>
      <c r="Y70" s="782"/>
      <c r="Z70" s="782"/>
      <c r="AA70" s="782"/>
      <c r="AB70" s="782"/>
      <c r="AC70" s="782"/>
      <c r="AD70" s="782"/>
      <c r="AE70" s="782"/>
      <c r="AF70" s="782"/>
      <c r="AG70" s="782"/>
      <c r="AH70" s="782"/>
      <c r="AI70" s="782"/>
      <c r="AJ70" s="782"/>
      <c r="AK70" s="782"/>
      <c r="AL70" s="782"/>
      <c r="AM70" s="782"/>
      <c r="AN70" s="782"/>
      <c r="AO70" s="782"/>
      <c r="AP70" s="782"/>
      <c r="AQ70" s="782"/>
      <c r="AR70" s="782"/>
      <c r="AS70" s="782"/>
      <c r="AT70" s="782"/>
      <c r="AU70" s="782"/>
      <c r="AV70" s="782"/>
      <c r="AW70" s="782"/>
      <c r="AX70" s="782"/>
    </row>
    <row r="71" spans="1:50" ht="12.75" customHeight="1" x14ac:dyDescent="0.3">
      <c r="A71" s="782"/>
      <c r="B71" s="782" t="s">
        <v>45</v>
      </c>
      <c r="C71" s="808">
        <f>+'Venture Assumptions'!F38</f>
        <v>0.18</v>
      </c>
      <c r="D71" s="782"/>
      <c r="E71" s="782"/>
      <c r="F71" s="782"/>
      <c r="G71" s="782"/>
      <c r="H71" s="782"/>
      <c r="I71" s="782"/>
      <c r="J71" s="782"/>
      <c r="K71" s="782"/>
      <c r="L71" s="782"/>
      <c r="M71" s="782"/>
      <c r="N71" s="782"/>
      <c r="O71" s="782"/>
      <c r="P71" s="782"/>
      <c r="Q71" s="782"/>
      <c r="R71" s="782"/>
      <c r="S71" s="782"/>
      <c r="T71" s="782"/>
      <c r="U71" s="782"/>
      <c r="V71" s="782"/>
      <c r="W71" s="782"/>
      <c r="X71" s="782"/>
      <c r="Y71" s="782"/>
      <c r="Z71" s="782"/>
      <c r="AA71" s="782"/>
      <c r="AB71" s="782"/>
      <c r="AC71" s="782"/>
      <c r="AD71" s="782"/>
      <c r="AE71" s="782"/>
      <c r="AF71" s="782"/>
      <c r="AG71" s="782"/>
      <c r="AH71" s="782"/>
      <c r="AI71" s="782"/>
      <c r="AJ71" s="782"/>
      <c r="AK71" s="782"/>
      <c r="AL71" s="782"/>
      <c r="AM71" s="782"/>
      <c r="AN71" s="782"/>
      <c r="AO71" s="782"/>
      <c r="AP71" s="782"/>
      <c r="AQ71" s="782"/>
      <c r="AR71" s="782"/>
      <c r="AS71" s="782"/>
      <c r="AT71" s="782"/>
      <c r="AU71" s="782"/>
      <c r="AV71" s="782"/>
      <c r="AW71" s="782"/>
      <c r="AX71" s="782"/>
    </row>
    <row r="72" spans="1:50" ht="12.75" customHeight="1" x14ac:dyDescent="0.3">
      <c r="A72" s="782"/>
      <c r="B72" s="782" t="s">
        <v>46</v>
      </c>
      <c r="C72" s="808">
        <f>(1+C71)^(1/365)-1</f>
        <v>4.5356704544685655E-4</v>
      </c>
      <c r="D72" s="782"/>
      <c r="E72" s="782"/>
      <c r="F72" s="782"/>
      <c r="G72" s="782"/>
      <c r="H72" s="782"/>
      <c r="I72" s="782"/>
      <c r="J72" s="782"/>
      <c r="K72" s="782"/>
      <c r="L72" s="782"/>
      <c r="M72" s="782"/>
      <c r="N72" s="782"/>
      <c r="O72" s="782"/>
      <c r="P72" s="782"/>
      <c r="Q72" s="782"/>
      <c r="R72" s="782"/>
      <c r="S72" s="782"/>
      <c r="T72" s="782"/>
      <c r="U72" s="782"/>
      <c r="V72" s="782"/>
      <c r="W72" s="782"/>
      <c r="X72" s="782"/>
      <c r="Y72" s="782"/>
      <c r="Z72" s="782"/>
      <c r="AA72" s="782"/>
      <c r="AB72" s="782"/>
      <c r="AC72" s="782"/>
      <c r="AD72" s="782"/>
      <c r="AE72" s="782"/>
      <c r="AF72" s="782"/>
      <c r="AG72" s="782"/>
      <c r="AH72" s="782"/>
      <c r="AI72" s="782"/>
      <c r="AJ72" s="782"/>
      <c r="AK72" s="782"/>
      <c r="AL72" s="782"/>
      <c r="AM72" s="782"/>
      <c r="AN72" s="782"/>
      <c r="AO72" s="782"/>
      <c r="AP72" s="782"/>
      <c r="AQ72" s="782"/>
      <c r="AR72" s="782"/>
      <c r="AS72" s="782"/>
      <c r="AT72" s="782"/>
      <c r="AU72" s="782"/>
      <c r="AV72" s="782"/>
      <c r="AW72" s="782"/>
      <c r="AX72" s="782"/>
    </row>
    <row r="73" spans="1:50" ht="12.75" customHeight="1" x14ac:dyDescent="0.3">
      <c r="A73" s="782"/>
      <c r="B73" s="782"/>
      <c r="C73" s="782"/>
      <c r="D73" s="782"/>
      <c r="E73" s="782"/>
      <c r="F73" s="782"/>
      <c r="G73" s="782"/>
      <c r="H73" s="782"/>
      <c r="I73" s="782"/>
      <c r="J73" s="782"/>
      <c r="K73" s="782"/>
      <c r="L73" s="782"/>
      <c r="M73" s="782"/>
      <c r="N73" s="782"/>
      <c r="O73" s="782"/>
      <c r="P73" s="782"/>
      <c r="Q73" s="782"/>
      <c r="R73" s="782"/>
      <c r="S73" s="782"/>
      <c r="T73" s="782"/>
      <c r="U73" s="782"/>
      <c r="V73" s="782"/>
      <c r="W73" s="782"/>
      <c r="X73" s="782"/>
      <c r="Y73" s="782"/>
      <c r="Z73" s="782"/>
      <c r="AA73" s="782"/>
      <c r="AB73" s="782"/>
      <c r="AC73" s="782"/>
      <c r="AD73" s="782"/>
      <c r="AE73" s="782"/>
      <c r="AF73" s="782"/>
      <c r="AG73" s="782"/>
      <c r="AH73" s="782"/>
      <c r="AI73" s="782"/>
      <c r="AJ73" s="782"/>
      <c r="AK73" s="782"/>
      <c r="AL73" s="782"/>
      <c r="AM73" s="782"/>
      <c r="AN73" s="782"/>
      <c r="AO73" s="782"/>
      <c r="AP73" s="782"/>
      <c r="AQ73" s="782"/>
      <c r="AR73" s="782"/>
      <c r="AS73" s="782"/>
      <c r="AT73" s="782"/>
      <c r="AU73" s="782"/>
      <c r="AV73" s="782"/>
      <c r="AW73" s="782"/>
      <c r="AX73" s="782"/>
    </row>
    <row r="74" spans="1:50" ht="12.75" customHeight="1" x14ac:dyDescent="0.3">
      <c r="A74" s="782"/>
      <c r="B74" s="782" t="s">
        <v>47</v>
      </c>
      <c r="C74" s="798">
        <f>SUM(E74:AX74)</f>
        <v>-33650095.02365011</v>
      </c>
      <c r="D74" s="782"/>
      <c r="E74" s="798">
        <f>SUMIF('Venture Summary - Mthly'!$E$8:$EG$8,E$9,'Venture Summary - Mthly'!$E77:$EG77)</f>
        <v>-1943435.5218400576</v>
      </c>
      <c r="F74" s="798">
        <f>SUMIF('Venture Summary - Mthly'!$E$8:$EG$8,F$9,'Venture Summary - Mthly'!$E77:$EG77)</f>
        <v>-16439275.889004555</v>
      </c>
      <c r="G74" s="798">
        <f>SUMIF('Venture Summary - Mthly'!$E$8:$EG$8,G$9,'Venture Summary - Mthly'!$E77:$EG77)</f>
        <v>-5353413.4459025264</v>
      </c>
      <c r="H74" s="798">
        <f>SUMIF('Venture Summary - Mthly'!$E$8:$EG$8,H$9,'Venture Summary - Mthly'!$E77:$EG77)</f>
        <v>-9472150.2761177868</v>
      </c>
      <c r="I74" s="798">
        <f>SUMIF('Venture Summary - Mthly'!$E$8:$EG$8,I$9,'Venture Summary - Mthly'!$E77:$EG77)</f>
        <v>-2137816.1256360402</v>
      </c>
      <c r="J74" s="798">
        <f>SUMIF('Venture Summary - Mthly'!$E$8:$EG$8,J$9,'Venture Summary - Mthly'!$E77:$EG77)</f>
        <v>-72420.822304572444</v>
      </c>
      <c r="K74" s="798">
        <f>SUMIF('Venture Summary - Mthly'!$E$8:$EG$8,K$9,'Venture Summary - Mthly'!$E77:$EG77)</f>
        <v>-83036.515302762389</v>
      </c>
      <c r="L74" s="798">
        <f>SUMIF('Venture Summary - Mthly'!$E$8:$EG$8,L$9,'Venture Summary - Mthly'!$E77:$EG77)</f>
        <v>-91714.024932564469</v>
      </c>
      <c r="M74" s="798">
        <f>SUMIF('Venture Summary - Mthly'!$E$8:$EG$8,M$9,'Venture Summary - Mthly'!$E77:$EG77)</f>
        <v>-53458.906785300234</v>
      </c>
      <c r="N74" s="798">
        <f>SUMIF('Venture Summary - Mthly'!$E$8:$EG$8,N$9,'Venture Summary - Mthly'!$E77:$EG77)</f>
        <v>333905.82129426819</v>
      </c>
      <c r="O74" s="798">
        <f>SUMIF('Venture Summary - Mthly'!$E$8:$EG$8,O$9,'Venture Summary - Mthly'!$E77:$EG77)</f>
        <v>805484.12039401848</v>
      </c>
      <c r="P74" s="798">
        <f>SUMIF('Venture Summary - Mthly'!$E$8:$EG$8,P$9,'Venture Summary - Mthly'!$E77:$EG77)</f>
        <v>857236.5624877559</v>
      </c>
      <c r="Q74" s="798">
        <f>SUMIF('Venture Summary - Mthly'!$E$8:$EG$8,Q$9,'Venture Summary - Mthly'!$E77:$EG77)</f>
        <v>0</v>
      </c>
      <c r="R74" s="798">
        <f>SUMIF('Venture Summary - Mthly'!$E$8:$EG$8,R$9,'Venture Summary - Mthly'!$E77:$EG77)</f>
        <v>0</v>
      </c>
      <c r="S74" s="798">
        <f>SUMIF('Venture Summary - Mthly'!$E$8:$EG$8,S$9,'Venture Summary - Mthly'!$E77:$EG77)</f>
        <v>0</v>
      </c>
      <c r="T74" s="798">
        <f>SUMIF('Venture Summary - Mthly'!$E$8:$EG$8,T$9,'Venture Summary - Mthly'!$E77:$EG77)</f>
        <v>0</v>
      </c>
      <c r="U74" s="798">
        <f>SUMIF('Venture Summary - Mthly'!$E$8:$EG$8,U$9,'Venture Summary - Mthly'!$E77:$EG77)</f>
        <v>0</v>
      </c>
      <c r="V74" s="798">
        <f>SUMIF('Venture Summary - Mthly'!$E$8:$EG$8,V$9,'Venture Summary - Mthly'!$E77:$EG77)</f>
        <v>0</v>
      </c>
      <c r="W74" s="798">
        <f>SUMIF('Venture Summary - Mthly'!$E$8:$EG$8,W$9,'Venture Summary - Mthly'!$E77:$EG77)</f>
        <v>0</v>
      </c>
      <c r="X74" s="798">
        <f>SUMIF('Venture Summary - Mthly'!$E$8:$EG$8,X$9,'Venture Summary - Mthly'!$E77:$EG77)</f>
        <v>0</v>
      </c>
      <c r="Y74" s="798">
        <f>SUMIF('Venture Summary - Mthly'!$E$8:$EG$8,Y$9,'Venture Summary - Mthly'!$E77:$EG77)</f>
        <v>0</v>
      </c>
      <c r="Z74" s="798">
        <f>SUMIF('Venture Summary - Mthly'!$E$8:$EG$8,Z$9,'Venture Summary - Mthly'!$E77:$EG77)</f>
        <v>0</v>
      </c>
      <c r="AA74" s="798">
        <f>SUMIF('Venture Summary - Mthly'!$E$8:$EG$8,AA$9,'Venture Summary - Mthly'!$E77:$EG77)</f>
        <v>0</v>
      </c>
      <c r="AB74" s="798">
        <f>SUMIF('Venture Summary - Mthly'!$E$8:$EG$8,AB$9,'Venture Summary - Mthly'!$E77:$EG77)</f>
        <v>0</v>
      </c>
      <c r="AC74" s="798">
        <f>SUMIF('Venture Summary - Mthly'!$E$8:$EG$8,AC$9,'Venture Summary - Mthly'!$E77:$EG77)</f>
        <v>0</v>
      </c>
      <c r="AD74" s="798">
        <f>SUMIF('Venture Summary - Mthly'!$E$8:$EG$8,AD$9,'Venture Summary - Mthly'!$E77:$EG77)</f>
        <v>0</v>
      </c>
      <c r="AE74" s="798">
        <f>SUMIF('Venture Summary - Mthly'!$E$8:$EG$8,AE$9,'Venture Summary - Mthly'!$E77:$EG77)</f>
        <v>0</v>
      </c>
      <c r="AF74" s="798">
        <f>SUMIF('Venture Summary - Mthly'!$E$8:$EG$8,AF$9,'Venture Summary - Mthly'!$E77:$EG77)</f>
        <v>0</v>
      </c>
      <c r="AG74" s="798">
        <f>SUMIF('Venture Summary - Mthly'!$E$8:$EG$8,AG$9,'Venture Summary - Mthly'!$E77:$EG77)</f>
        <v>0</v>
      </c>
      <c r="AH74" s="798">
        <f>SUMIF('Venture Summary - Mthly'!$E$8:$EG$8,AH$9,'Venture Summary - Mthly'!$E77:$EG77)</f>
        <v>0</v>
      </c>
      <c r="AI74" s="798">
        <f>SUMIF('Venture Summary - Mthly'!$E$8:$EG$8,AI$9,'Venture Summary - Mthly'!$E77:$EG77)</f>
        <v>0</v>
      </c>
      <c r="AJ74" s="798">
        <f>SUMIF('Venture Summary - Mthly'!$E$8:$EG$8,AJ$9,'Venture Summary - Mthly'!$E77:$EG77)</f>
        <v>0</v>
      </c>
      <c r="AK74" s="798">
        <f>SUMIF('Venture Summary - Mthly'!$E$8:$EG$8,AK$9,'Venture Summary - Mthly'!$E77:$EG77)</f>
        <v>0</v>
      </c>
      <c r="AL74" s="798">
        <f>SUMIF('Venture Summary - Mthly'!$E$8:$EG$8,AL$9,'Venture Summary - Mthly'!$E77:$EG77)</f>
        <v>0</v>
      </c>
      <c r="AM74" s="798">
        <f>SUMIF('Venture Summary - Mthly'!$E$8:$EG$8,AM$9,'Venture Summary - Mthly'!$E77:$EG77)</f>
        <v>0</v>
      </c>
      <c r="AN74" s="798">
        <f>SUMIF('Venture Summary - Mthly'!$E$8:$EG$8,AN$9,'Venture Summary - Mthly'!$E77:$EG77)</f>
        <v>0</v>
      </c>
      <c r="AO74" s="798">
        <f>SUMIF('Venture Summary - Mthly'!$E$8:$EG$8,AO$9,'Venture Summary - Mthly'!$E77:$EG77)</f>
        <v>0</v>
      </c>
      <c r="AP74" s="798">
        <f>SUMIF('Venture Summary - Mthly'!$E$8:$EG$8,AP$9,'Venture Summary - Mthly'!$E77:$EG77)</f>
        <v>0</v>
      </c>
      <c r="AQ74" s="798">
        <f>SUMIF('Venture Summary - Mthly'!$E$8:$EG$8,AQ$9,'Venture Summary - Mthly'!$E77:$EG77)</f>
        <v>0</v>
      </c>
      <c r="AR74" s="798">
        <f>SUMIF('Venture Summary - Mthly'!$E$8:$EG$8,AR$9,'Venture Summary - Mthly'!$E77:$EG77)</f>
        <v>0</v>
      </c>
      <c r="AS74" s="798">
        <f>SUMIF('Venture Summary - Mthly'!$E$8:$EG$8,AS$9,'Venture Summary - Mthly'!$E77:$EG77)</f>
        <v>0</v>
      </c>
      <c r="AT74" s="798">
        <f>SUMIF('Venture Summary - Mthly'!$E$8:$EG$8,AT$9,'Venture Summary - Mthly'!$E77:$EG77)</f>
        <v>0</v>
      </c>
      <c r="AU74" s="798">
        <f>SUMIF('Venture Summary - Mthly'!$E$8:$EG$8,AU$9,'Venture Summary - Mthly'!$E77:$EG77)</f>
        <v>0</v>
      </c>
      <c r="AV74" s="798">
        <f>SUMIF('Venture Summary - Mthly'!$E$8:$EG$8,AV$9,'Venture Summary - Mthly'!$E77:$EG77)</f>
        <v>0</v>
      </c>
      <c r="AW74" s="798">
        <f>SUMIF('Venture Summary - Mthly'!$E$8:$EG$8,AW$9,'Venture Summary - Mthly'!$E77:$EG77)</f>
        <v>0</v>
      </c>
      <c r="AX74" s="798"/>
    </row>
    <row r="75" spans="1:50" ht="12.75" customHeight="1" x14ac:dyDescent="0.3">
      <c r="A75" s="782"/>
      <c r="B75" s="781" t="s">
        <v>48</v>
      </c>
      <c r="C75" s="799">
        <f>SUM(E75:AX75)</f>
        <v>60916274.722085506</v>
      </c>
      <c r="D75" s="781"/>
      <c r="E75" s="799">
        <f>SUMIF('Venture Summary - Mthly'!$E$8:$EG$8,E$9,'Venture Summary - Mthly'!$E78:$EG78)</f>
        <v>0</v>
      </c>
      <c r="F75" s="799">
        <f>SUMIF('Venture Summary - Mthly'!$E$8:$EG$8,F$9,'Venture Summary - Mthly'!$E78:$EG78)</f>
        <v>0</v>
      </c>
      <c r="G75" s="799">
        <f>SUMIF('Venture Summary - Mthly'!$E$8:$EG$8,G$9,'Venture Summary - Mthly'!$E78:$EG78)</f>
        <v>0</v>
      </c>
      <c r="H75" s="799">
        <f>SUMIF('Venture Summary - Mthly'!$E$8:$EG$8,H$9,'Venture Summary - Mthly'!$E78:$EG78)</f>
        <v>0</v>
      </c>
      <c r="I75" s="799">
        <f>SUMIF('Venture Summary - Mthly'!$E$8:$EG$8,I$9,'Venture Summary - Mthly'!$E78:$EG78)</f>
        <v>0</v>
      </c>
      <c r="J75" s="799">
        <f>SUMIF('Venture Summary - Mthly'!$E$8:$EG$8,J$9,'Venture Summary - Mthly'!$E78:$EG78)</f>
        <v>0</v>
      </c>
      <c r="K75" s="799">
        <f>SUMIF('Venture Summary - Mthly'!$E$8:$EG$8,K$9,'Venture Summary - Mthly'!$E78:$EG78)</f>
        <v>0</v>
      </c>
      <c r="L75" s="799">
        <f>SUMIF('Venture Summary - Mthly'!$E$8:$EG$8,L$9,'Venture Summary - Mthly'!$E78:$EG78)</f>
        <v>0</v>
      </c>
      <c r="M75" s="799">
        <f>SUMIF('Venture Summary - Mthly'!$E$8:$EG$8,M$9,'Venture Summary - Mthly'!$E78:$EG78)</f>
        <v>0</v>
      </c>
      <c r="N75" s="799">
        <f>SUMIF('Venture Summary - Mthly'!$E$8:$EG$8,N$9,'Venture Summary - Mthly'!$E78:$EG78)</f>
        <v>0</v>
      </c>
      <c r="O75" s="799">
        <f>SUMIF('Venture Summary - Mthly'!$E$8:$EG$8,O$9,'Venture Summary - Mthly'!$E78:$EG78)</f>
        <v>0</v>
      </c>
      <c r="P75" s="799">
        <f>SUMIF('Venture Summary - Mthly'!$E$8:$EG$8,P$9,'Venture Summary - Mthly'!$E78:$EG78)</f>
        <v>60916274.722085506</v>
      </c>
      <c r="Q75" s="799">
        <f>SUMIF('Venture Summary - Mthly'!$E$8:$EG$8,Q$9,'Venture Summary - Mthly'!$E78:$EG78)</f>
        <v>0</v>
      </c>
      <c r="R75" s="799">
        <f>SUMIF('Venture Summary - Mthly'!$E$8:$EG$8,R$9,'Venture Summary - Mthly'!$E78:$EG78)</f>
        <v>0</v>
      </c>
      <c r="S75" s="799">
        <f>SUMIF('Venture Summary - Mthly'!$E$8:$EG$8,S$9,'Venture Summary - Mthly'!$E78:$EG78)</f>
        <v>0</v>
      </c>
      <c r="T75" s="799">
        <f>SUMIF('Venture Summary - Mthly'!$E$8:$EG$8,T$9,'Venture Summary - Mthly'!$E78:$EG78)</f>
        <v>0</v>
      </c>
      <c r="U75" s="799">
        <f>SUMIF('Venture Summary - Mthly'!$E$8:$EG$8,U$9,'Venture Summary - Mthly'!$E78:$EG78)</f>
        <v>0</v>
      </c>
      <c r="V75" s="799">
        <f>SUMIF('Venture Summary - Mthly'!$E$8:$EG$8,V$9,'Venture Summary - Mthly'!$E78:$EG78)</f>
        <v>0</v>
      </c>
      <c r="W75" s="799">
        <f>SUMIF('Venture Summary - Mthly'!$E$8:$EG$8,W$9,'Venture Summary - Mthly'!$E78:$EG78)</f>
        <v>0</v>
      </c>
      <c r="X75" s="799">
        <f>SUMIF('Venture Summary - Mthly'!$E$8:$EG$8,X$9,'Venture Summary - Mthly'!$E78:$EG78)</f>
        <v>0</v>
      </c>
      <c r="Y75" s="799">
        <f>SUMIF('Venture Summary - Mthly'!$E$8:$EG$8,Y$9,'Venture Summary - Mthly'!$E78:$EG78)</f>
        <v>0</v>
      </c>
      <c r="Z75" s="799">
        <f>SUMIF('Venture Summary - Mthly'!$E$8:$EG$8,Z$9,'Venture Summary - Mthly'!$E78:$EG78)</f>
        <v>0</v>
      </c>
      <c r="AA75" s="799">
        <f>SUMIF('Venture Summary - Mthly'!$E$8:$EG$8,AA$9,'Venture Summary - Mthly'!$E78:$EG78)</f>
        <v>0</v>
      </c>
      <c r="AB75" s="799">
        <f>SUMIF('Venture Summary - Mthly'!$E$8:$EG$8,AB$9,'Venture Summary - Mthly'!$E78:$EG78)</f>
        <v>0</v>
      </c>
      <c r="AC75" s="799">
        <f>SUMIF('Venture Summary - Mthly'!$E$8:$EG$8,AC$9,'Venture Summary - Mthly'!$E78:$EG78)</f>
        <v>0</v>
      </c>
      <c r="AD75" s="799">
        <f>SUMIF('Venture Summary - Mthly'!$E$8:$EG$8,AD$9,'Venture Summary - Mthly'!$E78:$EG78)</f>
        <v>0</v>
      </c>
      <c r="AE75" s="799">
        <f>SUMIF('Venture Summary - Mthly'!$E$8:$EG$8,AE$9,'Venture Summary - Mthly'!$E78:$EG78)</f>
        <v>0</v>
      </c>
      <c r="AF75" s="799">
        <f>SUMIF('Venture Summary - Mthly'!$E$8:$EG$8,AF$9,'Venture Summary - Mthly'!$E78:$EG78)</f>
        <v>0</v>
      </c>
      <c r="AG75" s="799">
        <f>SUMIF('Venture Summary - Mthly'!$E$8:$EG$8,AG$9,'Venture Summary - Mthly'!$E78:$EG78)</f>
        <v>0</v>
      </c>
      <c r="AH75" s="799">
        <f>SUMIF('Venture Summary - Mthly'!$E$8:$EG$8,AH$9,'Venture Summary - Mthly'!$E78:$EG78)</f>
        <v>0</v>
      </c>
      <c r="AI75" s="799">
        <f>SUMIF('Venture Summary - Mthly'!$E$8:$EG$8,AI$9,'Venture Summary - Mthly'!$E78:$EG78)</f>
        <v>0</v>
      </c>
      <c r="AJ75" s="799">
        <f>SUMIF('Venture Summary - Mthly'!$E$8:$EG$8,AJ$9,'Venture Summary - Mthly'!$E78:$EG78)</f>
        <v>0</v>
      </c>
      <c r="AK75" s="799">
        <f>SUMIF('Venture Summary - Mthly'!$E$8:$EG$8,AK$9,'Venture Summary - Mthly'!$E78:$EG78)</f>
        <v>0</v>
      </c>
      <c r="AL75" s="799">
        <f>SUMIF('Venture Summary - Mthly'!$E$8:$EG$8,AL$9,'Venture Summary - Mthly'!$E78:$EG78)</f>
        <v>0</v>
      </c>
      <c r="AM75" s="799">
        <f>SUMIF('Venture Summary - Mthly'!$E$8:$EG$8,AM$9,'Venture Summary - Mthly'!$E78:$EG78)</f>
        <v>0</v>
      </c>
      <c r="AN75" s="799">
        <f>SUMIF('Venture Summary - Mthly'!$E$8:$EG$8,AN$9,'Venture Summary - Mthly'!$E78:$EG78)</f>
        <v>0</v>
      </c>
      <c r="AO75" s="799">
        <f>SUMIF('Venture Summary - Mthly'!$E$8:$EG$8,AO$9,'Venture Summary - Mthly'!$E78:$EG78)</f>
        <v>0</v>
      </c>
      <c r="AP75" s="799">
        <f>SUMIF('Venture Summary - Mthly'!$E$8:$EG$8,AP$9,'Venture Summary - Mthly'!$E78:$EG78)</f>
        <v>0</v>
      </c>
      <c r="AQ75" s="799">
        <f>SUMIF('Venture Summary - Mthly'!$E$8:$EG$8,AQ$9,'Venture Summary - Mthly'!$E78:$EG78)</f>
        <v>0</v>
      </c>
      <c r="AR75" s="799">
        <f>SUMIF('Venture Summary - Mthly'!$E$8:$EG$8,AR$9,'Venture Summary - Mthly'!$E78:$EG78)</f>
        <v>0</v>
      </c>
      <c r="AS75" s="799">
        <f>SUMIF('Venture Summary - Mthly'!$E$8:$EG$8,AS$9,'Venture Summary - Mthly'!$E78:$EG78)</f>
        <v>0</v>
      </c>
      <c r="AT75" s="799">
        <f>SUMIF('Venture Summary - Mthly'!$E$8:$EG$8,AT$9,'Venture Summary - Mthly'!$E78:$EG78)</f>
        <v>0</v>
      </c>
      <c r="AU75" s="799">
        <f>SUMIF('Venture Summary - Mthly'!$E$8:$EG$8,AU$9,'Venture Summary - Mthly'!$E78:$EG78)</f>
        <v>0</v>
      </c>
      <c r="AV75" s="799">
        <f>SUMIF('Venture Summary - Mthly'!$E$8:$EG$8,AV$9,'Venture Summary - Mthly'!$E78:$EG78)</f>
        <v>0</v>
      </c>
      <c r="AW75" s="799">
        <f>SUMIF('Venture Summary - Mthly'!$E$8:$EG$8,AW$9,'Venture Summary - Mthly'!$E78:$EG78)</f>
        <v>0</v>
      </c>
      <c r="AX75" s="798"/>
    </row>
    <row r="76" spans="1:50" ht="12.75" customHeight="1" x14ac:dyDescent="0.3">
      <c r="A76" s="782"/>
      <c r="B76" s="782" t="s">
        <v>49</v>
      </c>
      <c r="C76" s="798">
        <f>SUM(E76:AX76)</f>
        <v>27266179.698435396</v>
      </c>
      <c r="D76" s="782"/>
      <c r="E76" s="798">
        <f>SUM(E74:E75)</f>
        <v>-1943435.5218400576</v>
      </c>
      <c r="F76" s="798">
        <f t="shared" ref="F76:AW76" si="14">SUM(F74:F75)</f>
        <v>-16439275.889004555</v>
      </c>
      <c r="G76" s="798">
        <f t="shared" si="14"/>
        <v>-5353413.4459025264</v>
      </c>
      <c r="H76" s="798">
        <f t="shared" si="14"/>
        <v>-9472150.2761177868</v>
      </c>
      <c r="I76" s="798">
        <f t="shared" si="14"/>
        <v>-2137816.1256360402</v>
      </c>
      <c r="J76" s="798">
        <f t="shared" si="14"/>
        <v>-72420.822304572444</v>
      </c>
      <c r="K76" s="798">
        <f t="shared" si="14"/>
        <v>-83036.515302762389</v>
      </c>
      <c r="L76" s="798">
        <f t="shared" si="14"/>
        <v>-91714.024932564469</v>
      </c>
      <c r="M76" s="798">
        <f t="shared" si="14"/>
        <v>-53458.906785300234</v>
      </c>
      <c r="N76" s="798">
        <f t="shared" si="14"/>
        <v>333905.82129426819</v>
      </c>
      <c r="O76" s="798">
        <f t="shared" si="14"/>
        <v>805484.12039401848</v>
      </c>
      <c r="P76" s="798">
        <f t="shared" si="14"/>
        <v>61773511.284573264</v>
      </c>
      <c r="Q76" s="798">
        <f t="shared" si="14"/>
        <v>0</v>
      </c>
      <c r="R76" s="798">
        <f t="shared" si="14"/>
        <v>0</v>
      </c>
      <c r="S76" s="798">
        <f t="shared" si="14"/>
        <v>0</v>
      </c>
      <c r="T76" s="798">
        <f t="shared" si="14"/>
        <v>0</v>
      </c>
      <c r="U76" s="798">
        <f t="shared" si="14"/>
        <v>0</v>
      </c>
      <c r="V76" s="798">
        <f t="shared" si="14"/>
        <v>0</v>
      </c>
      <c r="W76" s="798">
        <f t="shared" si="14"/>
        <v>0</v>
      </c>
      <c r="X76" s="798">
        <f t="shared" si="14"/>
        <v>0</v>
      </c>
      <c r="Y76" s="798">
        <f t="shared" si="14"/>
        <v>0</v>
      </c>
      <c r="Z76" s="798">
        <f t="shared" si="14"/>
        <v>0</v>
      </c>
      <c r="AA76" s="798">
        <f t="shared" si="14"/>
        <v>0</v>
      </c>
      <c r="AB76" s="798">
        <f t="shared" si="14"/>
        <v>0</v>
      </c>
      <c r="AC76" s="798">
        <f t="shared" si="14"/>
        <v>0</v>
      </c>
      <c r="AD76" s="798">
        <f t="shared" si="14"/>
        <v>0</v>
      </c>
      <c r="AE76" s="798">
        <f t="shared" si="14"/>
        <v>0</v>
      </c>
      <c r="AF76" s="798">
        <f t="shared" si="14"/>
        <v>0</v>
      </c>
      <c r="AG76" s="798">
        <f t="shared" si="14"/>
        <v>0</v>
      </c>
      <c r="AH76" s="798">
        <f t="shared" si="14"/>
        <v>0</v>
      </c>
      <c r="AI76" s="798">
        <f t="shared" si="14"/>
        <v>0</v>
      </c>
      <c r="AJ76" s="798">
        <f t="shared" si="14"/>
        <v>0</v>
      </c>
      <c r="AK76" s="798">
        <f t="shared" si="14"/>
        <v>0</v>
      </c>
      <c r="AL76" s="798">
        <f t="shared" si="14"/>
        <v>0</v>
      </c>
      <c r="AM76" s="798">
        <f t="shared" si="14"/>
        <v>0</v>
      </c>
      <c r="AN76" s="798">
        <f t="shared" si="14"/>
        <v>0</v>
      </c>
      <c r="AO76" s="798">
        <f t="shared" si="14"/>
        <v>0</v>
      </c>
      <c r="AP76" s="798">
        <f t="shared" si="14"/>
        <v>0</v>
      </c>
      <c r="AQ76" s="798">
        <f t="shared" si="14"/>
        <v>0</v>
      </c>
      <c r="AR76" s="798">
        <f t="shared" si="14"/>
        <v>0</v>
      </c>
      <c r="AS76" s="798">
        <f t="shared" si="14"/>
        <v>0</v>
      </c>
      <c r="AT76" s="798">
        <f t="shared" si="14"/>
        <v>0</v>
      </c>
      <c r="AU76" s="798">
        <f t="shared" si="14"/>
        <v>0</v>
      </c>
      <c r="AV76" s="798">
        <f t="shared" si="14"/>
        <v>0</v>
      </c>
      <c r="AW76" s="798">
        <f t="shared" si="14"/>
        <v>0</v>
      </c>
      <c r="AX76" s="798"/>
    </row>
    <row r="77" spans="1:50" ht="12.75" customHeight="1" x14ac:dyDescent="0.3">
      <c r="A77" s="782"/>
      <c r="B77" s="782" t="s">
        <v>50</v>
      </c>
      <c r="C77" s="806">
        <f>'Venture Summary - Mthly'!C80</f>
        <v>0.27725512385368345</v>
      </c>
      <c r="D77" s="782"/>
      <c r="E77" s="782"/>
      <c r="F77" s="782"/>
      <c r="G77" s="782"/>
      <c r="H77" s="782"/>
      <c r="I77" s="782"/>
      <c r="J77" s="782"/>
      <c r="K77" s="782"/>
      <c r="L77" s="782"/>
      <c r="M77" s="782"/>
      <c r="N77" s="782"/>
      <c r="O77" s="782"/>
      <c r="P77" s="782"/>
      <c r="Q77" s="782"/>
      <c r="R77" s="782"/>
      <c r="S77" s="782"/>
      <c r="T77" s="782"/>
      <c r="U77" s="782"/>
      <c r="V77" s="782"/>
      <c r="W77" s="782"/>
      <c r="X77" s="782"/>
      <c r="Y77" s="782"/>
      <c r="Z77" s="782"/>
      <c r="AA77" s="782"/>
      <c r="AB77" s="782"/>
      <c r="AC77" s="782"/>
      <c r="AD77" s="782"/>
      <c r="AE77" s="782"/>
      <c r="AF77" s="782"/>
      <c r="AG77" s="782"/>
      <c r="AH77" s="782"/>
      <c r="AI77" s="782"/>
      <c r="AJ77" s="782"/>
      <c r="AK77" s="782"/>
      <c r="AL77" s="782"/>
      <c r="AM77" s="782"/>
      <c r="AN77" s="782"/>
      <c r="AO77" s="782"/>
      <c r="AP77" s="782"/>
      <c r="AQ77" s="782"/>
      <c r="AR77" s="782"/>
      <c r="AS77" s="782"/>
      <c r="AT77" s="782"/>
      <c r="AU77" s="782"/>
      <c r="AV77" s="782"/>
      <c r="AW77" s="782"/>
      <c r="AX77" s="782"/>
    </row>
    <row r="78" spans="1:50" ht="12.75" customHeight="1" x14ac:dyDescent="0.3">
      <c r="A78" s="782"/>
      <c r="B78" s="782"/>
      <c r="C78" s="782"/>
      <c r="D78" s="782"/>
      <c r="E78" s="782"/>
      <c r="F78" s="782"/>
      <c r="G78" s="782"/>
      <c r="H78" s="782"/>
      <c r="I78" s="782"/>
      <c r="J78" s="782"/>
      <c r="K78" s="782"/>
      <c r="L78" s="782"/>
      <c r="M78" s="782"/>
      <c r="N78" s="782"/>
      <c r="O78" s="782"/>
      <c r="P78" s="782"/>
      <c r="Q78" s="782"/>
      <c r="R78" s="782"/>
      <c r="S78" s="782"/>
      <c r="T78" s="782"/>
      <c r="U78" s="782"/>
      <c r="V78" s="782"/>
      <c r="W78" s="782"/>
      <c r="X78" s="782"/>
      <c r="Y78" s="782"/>
      <c r="Z78" s="782"/>
      <c r="AA78" s="782"/>
      <c r="AB78" s="782"/>
      <c r="AC78" s="782"/>
      <c r="AD78" s="782"/>
      <c r="AE78" s="782"/>
      <c r="AF78" s="782"/>
      <c r="AG78" s="782"/>
      <c r="AH78" s="782"/>
      <c r="AI78" s="782"/>
      <c r="AJ78" s="782"/>
      <c r="AK78" s="782"/>
      <c r="AL78" s="782"/>
      <c r="AM78" s="782"/>
      <c r="AN78" s="782"/>
      <c r="AO78" s="782"/>
      <c r="AP78" s="782"/>
      <c r="AQ78" s="782"/>
      <c r="AR78" s="782"/>
      <c r="AS78" s="782"/>
      <c r="AT78" s="782"/>
      <c r="AU78" s="782"/>
      <c r="AV78" s="782"/>
      <c r="AW78" s="782"/>
      <c r="AX78" s="782"/>
    </row>
    <row r="79" spans="1:50" ht="12.75" customHeight="1" x14ac:dyDescent="0.3">
      <c r="A79" s="782"/>
      <c r="B79" s="782" t="s">
        <v>51</v>
      </c>
      <c r="C79" s="806">
        <f>+'Venture Assumptions'!$F$31</f>
        <v>1</v>
      </c>
      <c r="D79" s="782"/>
      <c r="E79" s="798">
        <f>SUMIF('Venture Summary - Mthly'!$E$8:$EG$8,E$9,'Venture Summary - Mthly'!$E82:$EG82)</f>
        <v>0</v>
      </c>
      <c r="F79" s="798">
        <f>SUMIF('Venture Summary - Mthly'!$E$8:$EG$8,F$9,'Venture Summary - Mthly'!$E82:$EG82)</f>
        <v>0</v>
      </c>
      <c r="G79" s="798">
        <f>SUMIF('Venture Summary - Mthly'!$E$8:$EG$8,G$9,'Venture Summary - Mthly'!$E82:$EG82)</f>
        <v>0</v>
      </c>
      <c r="H79" s="798">
        <f>SUMIF('Venture Summary - Mthly'!$E$8:$EG$8,H$9,'Venture Summary - Mthly'!$E82:$EG82)</f>
        <v>0</v>
      </c>
      <c r="I79" s="798">
        <f>SUMIF('Venture Summary - Mthly'!$E$8:$EG$8,I$9,'Venture Summary - Mthly'!$E82:$EG82)</f>
        <v>0</v>
      </c>
      <c r="J79" s="798">
        <f>SUMIF('Venture Summary - Mthly'!$E$8:$EG$8,J$9,'Venture Summary - Mthly'!$E82:$EG82)</f>
        <v>0</v>
      </c>
      <c r="K79" s="798">
        <f>SUMIF('Venture Summary - Mthly'!$E$8:$EG$8,K$9,'Venture Summary - Mthly'!$E82:$EG82)</f>
        <v>0</v>
      </c>
      <c r="L79" s="798">
        <f>SUMIF('Venture Summary - Mthly'!$E$8:$EG$8,L$9,'Venture Summary - Mthly'!$E82:$EG82)</f>
        <v>0</v>
      </c>
      <c r="M79" s="798">
        <f>SUMIF('Venture Summary - Mthly'!$E$8:$EG$8,M$9,'Venture Summary - Mthly'!$E82:$EG82)</f>
        <v>0</v>
      </c>
      <c r="N79" s="798">
        <f>SUMIF('Venture Summary - Mthly'!$E$8:$EG$8,N$9,'Venture Summary - Mthly'!$E82:$EG82)</f>
        <v>0</v>
      </c>
      <c r="O79" s="798">
        <f>SUMIF('Venture Summary - Mthly'!$E$8:$EG$8,O$9,'Venture Summary - Mthly'!$E82:$EG82)</f>
        <v>0</v>
      </c>
      <c r="P79" s="798">
        <f>SUMIF('Venture Summary - Mthly'!$E$8:$EG$8,P$9,'Venture Summary - Mthly'!$E82:$EG82)</f>
        <v>42438726.661692351</v>
      </c>
      <c r="Q79" s="798">
        <f>SUMIF('Venture Summary - Mthly'!$E$8:$EG$8,Q$9,'Venture Summary - Mthly'!$E82:$EG82)</f>
        <v>0</v>
      </c>
      <c r="R79" s="798">
        <f>SUMIF('Venture Summary - Mthly'!$E$8:$EG$8,R$9,'Venture Summary - Mthly'!$E82:$EG82)</f>
        <v>0</v>
      </c>
      <c r="S79" s="798">
        <f>SUMIF('Venture Summary - Mthly'!$E$8:$EG$8,S$9,'Venture Summary - Mthly'!$E82:$EG82)</f>
        <v>0</v>
      </c>
      <c r="T79" s="798">
        <f>SUMIF('Venture Summary - Mthly'!$E$8:$EG$8,T$9,'Venture Summary - Mthly'!$E82:$EG82)</f>
        <v>0</v>
      </c>
      <c r="U79" s="798">
        <f>SUMIF('Venture Summary - Mthly'!$E$8:$EG$8,U$9,'Venture Summary - Mthly'!$E82:$EG82)</f>
        <v>0</v>
      </c>
      <c r="V79" s="798">
        <f>SUMIF('Venture Summary - Mthly'!$E$8:$EG$8,V$9,'Venture Summary - Mthly'!$E82:$EG82)</f>
        <v>0</v>
      </c>
      <c r="W79" s="798">
        <f>SUMIF('Venture Summary - Mthly'!$E$8:$EG$8,W$9,'Venture Summary - Mthly'!$E82:$EG82)</f>
        <v>0</v>
      </c>
      <c r="X79" s="798">
        <f>SUMIF('Venture Summary - Mthly'!$E$8:$EG$8,X$9,'Venture Summary - Mthly'!$E82:$EG82)</f>
        <v>0</v>
      </c>
      <c r="Y79" s="798">
        <f>SUMIF('Venture Summary - Mthly'!$E$8:$EG$8,Y$9,'Venture Summary - Mthly'!$E82:$EG82)</f>
        <v>0</v>
      </c>
      <c r="Z79" s="798">
        <f>SUMIF('Venture Summary - Mthly'!$E$8:$EG$8,Z$9,'Venture Summary - Mthly'!$E82:$EG82)</f>
        <v>0</v>
      </c>
      <c r="AA79" s="798">
        <f>SUMIF('Venture Summary - Mthly'!$E$8:$EG$8,AA$9,'Venture Summary - Mthly'!$E82:$EG82)</f>
        <v>0</v>
      </c>
      <c r="AB79" s="798">
        <f>SUMIF('Venture Summary - Mthly'!$E$8:$EG$8,AB$9,'Venture Summary - Mthly'!$E82:$EG82)</f>
        <v>0</v>
      </c>
      <c r="AC79" s="798">
        <f>SUMIF('Venture Summary - Mthly'!$E$8:$EG$8,AC$9,'Venture Summary - Mthly'!$E82:$EG82)</f>
        <v>0</v>
      </c>
      <c r="AD79" s="798">
        <f>SUMIF('Venture Summary - Mthly'!$E$8:$EG$8,AD$9,'Venture Summary - Mthly'!$E82:$EG82)</f>
        <v>0</v>
      </c>
      <c r="AE79" s="798">
        <f>SUMIF('Venture Summary - Mthly'!$E$8:$EG$8,AE$9,'Venture Summary - Mthly'!$E82:$EG82)</f>
        <v>0</v>
      </c>
      <c r="AF79" s="798">
        <f>SUMIF('Venture Summary - Mthly'!$E$8:$EG$8,AF$9,'Venture Summary - Mthly'!$E82:$EG82)</f>
        <v>0</v>
      </c>
      <c r="AG79" s="798">
        <f>SUMIF('Venture Summary - Mthly'!$E$8:$EG$8,AG$9,'Venture Summary - Mthly'!$E82:$EG82)</f>
        <v>0</v>
      </c>
      <c r="AH79" s="798">
        <f>SUMIF('Venture Summary - Mthly'!$E$8:$EG$8,AH$9,'Venture Summary - Mthly'!$E82:$EG82)</f>
        <v>0</v>
      </c>
      <c r="AI79" s="798">
        <f>SUMIF('Venture Summary - Mthly'!$E$8:$EG$8,AI$9,'Venture Summary - Mthly'!$E82:$EG82)</f>
        <v>0</v>
      </c>
      <c r="AJ79" s="798">
        <f>SUMIF('Venture Summary - Mthly'!$E$8:$EG$8,AJ$9,'Venture Summary - Mthly'!$E82:$EG82)</f>
        <v>0</v>
      </c>
      <c r="AK79" s="798">
        <f>SUMIF('Venture Summary - Mthly'!$E$8:$EG$8,AK$9,'Venture Summary - Mthly'!$E82:$EG82)</f>
        <v>0</v>
      </c>
      <c r="AL79" s="798">
        <f>SUMIF('Venture Summary - Mthly'!$E$8:$EG$8,AL$9,'Venture Summary - Mthly'!$E82:$EG82)</f>
        <v>0</v>
      </c>
      <c r="AM79" s="798">
        <f>SUMIF('Venture Summary - Mthly'!$E$8:$EG$8,AM$9,'Venture Summary - Mthly'!$E82:$EG82)</f>
        <v>0</v>
      </c>
      <c r="AN79" s="798">
        <f>SUMIF('Venture Summary - Mthly'!$E$8:$EG$8,AN$9,'Venture Summary - Mthly'!$E82:$EG82)</f>
        <v>0</v>
      </c>
      <c r="AO79" s="798">
        <f>SUMIF('Venture Summary - Mthly'!$E$8:$EG$8,AO$9,'Venture Summary - Mthly'!$E82:$EG82)</f>
        <v>0</v>
      </c>
      <c r="AP79" s="798">
        <f>SUMIF('Venture Summary - Mthly'!$E$8:$EG$8,AP$9,'Venture Summary - Mthly'!$E82:$EG82)</f>
        <v>0</v>
      </c>
      <c r="AQ79" s="798">
        <f>SUMIF('Venture Summary - Mthly'!$E$8:$EG$8,AQ$9,'Venture Summary - Mthly'!$E82:$EG82)</f>
        <v>0</v>
      </c>
      <c r="AR79" s="798">
        <f>SUMIF('Venture Summary - Mthly'!$E$8:$EG$8,AR$9,'Venture Summary - Mthly'!$E82:$EG82)</f>
        <v>0</v>
      </c>
      <c r="AS79" s="798">
        <f>SUMIF('Venture Summary - Mthly'!$E$8:$EG$8,AS$9,'Venture Summary - Mthly'!$E82:$EG82)</f>
        <v>0</v>
      </c>
      <c r="AT79" s="798">
        <f>SUMIF('Venture Summary - Mthly'!$E$8:$EG$8,AT$9,'Venture Summary - Mthly'!$E82:$EG82)</f>
        <v>0</v>
      </c>
      <c r="AU79" s="798">
        <f>SUMIF('Venture Summary - Mthly'!$E$8:$EG$8,AU$9,'Venture Summary - Mthly'!$E82:$EG82)</f>
        <v>0</v>
      </c>
      <c r="AV79" s="798">
        <f>SUMIF('Venture Summary - Mthly'!$E$8:$EG$8,AV$9,'Venture Summary - Mthly'!$E82:$EG82)</f>
        <v>0</v>
      </c>
      <c r="AW79" s="798">
        <f>SUMIF('Venture Summary - Mthly'!$E$8:$EG$8,AW$9,'Venture Summary - Mthly'!$E82:$EG82)</f>
        <v>0</v>
      </c>
      <c r="AX79" s="798"/>
    </row>
    <row r="80" spans="1:50" ht="12.75" customHeight="1" x14ac:dyDescent="0.3">
      <c r="A80" s="782"/>
      <c r="B80" s="782" t="s">
        <v>52</v>
      </c>
      <c r="C80" s="806">
        <f>+'Venture Assumptions'!F30</f>
        <v>0</v>
      </c>
      <c r="D80" s="782"/>
      <c r="E80" s="798">
        <f>SUMIF('Venture Summary - Mthly'!$E$8:$EG$8,E$9,'Venture Summary - Mthly'!$E83:$EG83)</f>
        <v>0</v>
      </c>
      <c r="F80" s="798">
        <f>SUMIF('Venture Summary - Mthly'!$E$8:$EG$8,F$9,'Venture Summary - Mthly'!$E83:$EG83)</f>
        <v>0</v>
      </c>
      <c r="G80" s="798">
        <f>SUMIF('Venture Summary - Mthly'!$E$8:$EG$8,G$9,'Venture Summary - Mthly'!$E83:$EG83)</f>
        <v>0</v>
      </c>
      <c r="H80" s="798">
        <f>SUMIF('Venture Summary - Mthly'!$E$8:$EG$8,H$9,'Venture Summary - Mthly'!$E83:$EG83)</f>
        <v>0</v>
      </c>
      <c r="I80" s="798">
        <f>SUMIF('Venture Summary - Mthly'!$E$8:$EG$8,I$9,'Venture Summary - Mthly'!$E83:$EG83)</f>
        <v>0</v>
      </c>
      <c r="J80" s="798">
        <f>SUMIF('Venture Summary - Mthly'!$E$8:$EG$8,J$9,'Venture Summary - Mthly'!$E83:$EG83)</f>
        <v>0</v>
      </c>
      <c r="K80" s="798">
        <f>SUMIF('Venture Summary - Mthly'!$E$8:$EG$8,K$9,'Venture Summary - Mthly'!$E83:$EG83)</f>
        <v>0</v>
      </c>
      <c r="L80" s="798">
        <f>SUMIF('Venture Summary - Mthly'!$E$8:$EG$8,L$9,'Venture Summary - Mthly'!$E83:$EG83)</f>
        <v>0</v>
      </c>
      <c r="M80" s="798">
        <f>SUMIF('Venture Summary - Mthly'!$E$8:$EG$8,M$9,'Venture Summary - Mthly'!$E83:$EG83)</f>
        <v>0</v>
      </c>
      <c r="N80" s="798">
        <f>SUMIF('Venture Summary - Mthly'!$E$8:$EG$8,N$9,'Venture Summary - Mthly'!$E83:$EG83)</f>
        <v>0</v>
      </c>
      <c r="O80" s="798">
        <f>SUMIF('Venture Summary - Mthly'!$E$8:$EG$8,O$9,'Venture Summary - Mthly'!$E83:$EG83)</f>
        <v>0</v>
      </c>
      <c r="P80" s="798">
        <f>SUMIF('Venture Summary - Mthly'!$E$8:$EG$8,P$9,'Venture Summary - Mthly'!$E83:$EG83)</f>
        <v>0</v>
      </c>
      <c r="Q80" s="798">
        <f>SUMIF('Venture Summary - Mthly'!$E$8:$EG$8,Q$9,'Venture Summary - Mthly'!$E83:$EG83)</f>
        <v>0</v>
      </c>
      <c r="R80" s="798">
        <f>SUMIF('Venture Summary - Mthly'!$E$8:$EG$8,R$9,'Venture Summary - Mthly'!$E83:$EG83)</f>
        <v>0</v>
      </c>
      <c r="S80" s="798">
        <f>SUMIF('Venture Summary - Mthly'!$E$8:$EG$8,S$9,'Venture Summary - Mthly'!$E83:$EG83)</f>
        <v>0</v>
      </c>
      <c r="T80" s="798">
        <f>SUMIF('Venture Summary - Mthly'!$E$8:$EG$8,T$9,'Venture Summary - Mthly'!$E83:$EG83)</f>
        <v>0</v>
      </c>
      <c r="U80" s="798">
        <f>SUMIF('Venture Summary - Mthly'!$E$8:$EG$8,U$9,'Venture Summary - Mthly'!$E83:$EG83)</f>
        <v>0</v>
      </c>
      <c r="V80" s="798">
        <f>SUMIF('Venture Summary - Mthly'!$E$8:$EG$8,V$9,'Venture Summary - Mthly'!$E83:$EG83)</f>
        <v>0</v>
      </c>
      <c r="W80" s="798">
        <f>SUMIF('Venture Summary - Mthly'!$E$8:$EG$8,W$9,'Venture Summary - Mthly'!$E83:$EG83)</f>
        <v>0</v>
      </c>
      <c r="X80" s="798">
        <f>SUMIF('Venture Summary - Mthly'!$E$8:$EG$8,X$9,'Venture Summary - Mthly'!$E83:$EG83)</f>
        <v>0</v>
      </c>
      <c r="Y80" s="798">
        <f>SUMIF('Venture Summary - Mthly'!$E$8:$EG$8,Y$9,'Venture Summary - Mthly'!$E83:$EG83)</f>
        <v>0</v>
      </c>
      <c r="Z80" s="798">
        <f>SUMIF('Venture Summary - Mthly'!$E$8:$EG$8,Z$9,'Venture Summary - Mthly'!$E83:$EG83)</f>
        <v>0</v>
      </c>
      <c r="AA80" s="798">
        <f>SUMIF('Venture Summary - Mthly'!$E$8:$EG$8,AA$9,'Venture Summary - Mthly'!$E83:$EG83)</f>
        <v>0</v>
      </c>
      <c r="AB80" s="798">
        <f>SUMIF('Venture Summary - Mthly'!$E$8:$EG$8,AB$9,'Venture Summary - Mthly'!$E83:$EG83)</f>
        <v>0</v>
      </c>
      <c r="AC80" s="798">
        <f>SUMIF('Venture Summary - Mthly'!$E$8:$EG$8,AC$9,'Venture Summary - Mthly'!$E83:$EG83)</f>
        <v>0</v>
      </c>
      <c r="AD80" s="798">
        <f>SUMIF('Venture Summary - Mthly'!$E$8:$EG$8,AD$9,'Venture Summary - Mthly'!$E83:$EG83)</f>
        <v>0</v>
      </c>
      <c r="AE80" s="798">
        <f>SUMIF('Venture Summary - Mthly'!$E$8:$EG$8,AE$9,'Venture Summary - Mthly'!$E83:$EG83)</f>
        <v>0</v>
      </c>
      <c r="AF80" s="798">
        <f>SUMIF('Venture Summary - Mthly'!$E$8:$EG$8,AF$9,'Venture Summary - Mthly'!$E83:$EG83)</f>
        <v>0</v>
      </c>
      <c r="AG80" s="798">
        <f>SUMIF('Venture Summary - Mthly'!$E$8:$EG$8,AG$9,'Venture Summary - Mthly'!$E83:$EG83)</f>
        <v>0</v>
      </c>
      <c r="AH80" s="798">
        <f>SUMIF('Venture Summary - Mthly'!$E$8:$EG$8,AH$9,'Venture Summary - Mthly'!$E83:$EG83)</f>
        <v>0</v>
      </c>
      <c r="AI80" s="798">
        <f>SUMIF('Venture Summary - Mthly'!$E$8:$EG$8,AI$9,'Venture Summary - Mthly'!$E83:$EG83)</f>
        <v>0</v>
      </c>
      <c r="AJ80" s="798">
        <f>SUMIF('Venture Summary - Mthly'!$E$8:$EG$8,AJ$9,'Venture Summary - Mthly'!$E83:$EG83)</f>
        <v>0</v>
      </c>
      <c r="AK80" s="798">
        <f>SUMIF('Venture Summary - Mthly'!$E$8:$EG$8,AK$9,'Venture Summary - Mthly'!$E83:$EG83)</f>
        <v>0</v>
      </c>
      <c r="AL80" s="798">
        <f>SUMIF('Venture Summary - Mthly'!$E$8:$EG$8,AL$9,'Venture Summary - Mthly'!$E83:$EG83)</f>
        <v>0</v>
      </c>
      <c r="AM80" s="798">
        <f>SUMIF('Venture Summary - Mthly'!$E$8:$EG$8,AM$9,'Venture Summary - Mthly'!$E83:$EG83)</f>
        <v>0</v>
      </c>
      <c r="AN80" s="798">
        <f>SUMIF('Venture Summary - Mthly'!$E$8:$EG$8,AN$9,'Venture Summary - Mthly'!$E83:$EG83)</f>
        <v>0</v>
      </c>
      <c r="AO80" s="798">
        <f>SUMIF('Venture Summary - Mthly'!$E$8:$EG$8,AO$9,'Venture Summary - Mthly'!$E83:$EG83)</f>
        <v>0</v>
      </c>
      <c r="AP80" s="798">
        <f>SUMIF('Venture Summary - Mthly'!$E$8:$EG$8,AP$9,'Venture Summary - Mthly'!$E83:$EG83)</f>
        <v>0</v>
      </c>
      <c r="AQ80" s="798">
        <f>SUMIF('Venture Summary - Mthly'!$E$8:$EG$8,AQ$9,'Venture Summary - Mthly'!$E83:$EG83)</f>
        <v>0</v>
      </c>
      <c r="AR80" s="798">
        <f>SUMIF('Venture Summary - Mthly'!$E$8:$EG$8,AR$9,'Venture Summary - Mthly'!$E83:$EG83)</f>
        <v>0</v>
      </c>
      <c r="AS80" s="798">
        <f>SUMIF('Venture Summary - Mthly'!$E$8:$EG$8,AS$9,'Venture Summary - Mthly'!$E83:$EG83)</f>
        <v>0</v>
      </c>
      <c r="AT80" s="798">
        <f>SUMIF('Venture Summary - Mthly'!$E$8:$EG$8,AT$9,'Venture Summary - Mthly'!$E83:$EG83)</f>
        <v>0</v>
      </c>
      <c r="AU80" s="798">
        <f>SUMIF('Venture Summary - Mthly'!$E$8:$EG$8,AU$9,'Venture Summary - Mthly'!$E83:$EG83)</f>
        <v>0</v>
      </c>
      <c r="AV80" s="798">
        <f>SUMIF('Venture Summary - Mthly'!$E$8:$EG$8,AV$9,'Venture Summary - Mthly'!$E83:$EG83)</f>
        <v>0</v>
      </c>
      <c r="AW80" s="798">
        <f>SUMIF('Venture Summary - Mthly'!$E$8:$EG$8,AW$9,'Venture Summary - Mthly'!$E83:$EG83)</f>
        <v>0</v>
      </c>
      <c r="AX80" s="798"/>
    </row>
    <row r="81" spans="1:50" ht="12.75" customHeight="1" x14ac:dyDescent="0.3">
      <c r="A81" s="782"/>
      <c r="B81" s="782"/>
      <c r="C81" s="782"/>
      <c r="D81" s="782"/>
      <c r="E81" s="782"/>
      <c r="F81" s="782"/>
      <c r="G81" s="782"/>
      <c r="H81" s="782"/>
      <c r="I81" s="782"/>
      <c r="J81" s="782"/>
      <c r="K81" s="782"/>
      <c r="L81" s="782"/>
      <c r="M81" s="782"/>
      <c r="N81" s="782"/>
      <c r="O81" s="782"/>
      <c r="P81" s="782"/>
      <c r="Q81" s="782"/>
      <c r="R81" s="782"/>
      <c r="S81" s="782"/>
      <c r="T81" s="782"/>
      <c r="U81" s="782"/>
      <c r="V81" s="782"/>
      <c r="W81" s="782"/>
      <c r="X81" s="782"/>
      <c r="Y81" s="782"/>
      <c r="Z81" s="782"/>
      <c r="AA81" s="782"/>
      <c r="AB81" s="782"/>
      <c r="AC81" s="782"/>
      <c r="AD81" s="782"/>
      <c r="AE81" s="782"/>
      <c r="AF81" s="782"/>
      <c r="AG81" s="782"/>
      <c r="AH81" s="782"/>
      <c r="AI81" s="782"/>
      <c r="AJ81" s="782"/>
      <c r="AK81" s="782"/>
      <c r="AL81" s="782"/>
      <c r="AM81" s="782"/>
      <c r="AN81" s="782"/>
      <c r="AO81" s="782"/>
      <c r="AP81" s="782"/>
      <c r="AQ81" s="782"/>
      <c r="AR81" s="782"/>
      <c r="AS81" s="782"/>
      <c r="AT81" s="782"/>
      <c r="AU81" s="782"/>
      <c r="AV81" s="782"/>
      <c r="AW81" s="782"/>
      <c r="AX81" s="782"/>
    </row>
    <row r="82" spans="1:50" ht="12.75" customHeight="1" x14ac:dyDescent="0.3">
      <c r="A82" s="782"/>
      <c r="B82" s="782" t="s">
        <v>53</v>
      </c>
      <c r="C82" s="798">
        <f>SUM(E82:AX82)</f>
        <v>8788631.6380422413</v>
      </c>
      <c r="D82" s="782"/>
      <c r="E82" s="798">
        <f>SUMIF('Venture Summary - Mthly'!$E$8:$EG$8,E$9,'Venture Summary - Mthly'!$E85:$EG85)</f>
        <v>-1943435.5218400576</v>
      </c>
      <c r="F82" s="798">
        <f>SUMIF('Venture Summary - Mthly'!$E$8:$EG$8,F$9,'Venture Summary - Mthly'!$E85:$EG85)</f>
        <v>-16439275.889004555</v>
      </c>
      <c r="G82" s="798">
        <f>SUMIF('Venture Summary - Mthly'!$E$8:$EG$8,G$9,'Venture Summary - Mthly'!$E85:$EG85)</f>
        <v>-5353413.4459025264</v>
      </c>
      <c r="H82" s="798">
        <f>SUMIF('Venture Summary - Mthly'!$E$8:$EG$8,H$9,'Venture Summary - Mthly'!$E85:$EG85)</f>
        <v>-9472150.2761177868</v>
      </c>
      <c r="I82" s="798">
        <f>SUMIF('Venture Summary - Mthly'!$E$8:$EG$8,I$9,'Venture Summary - Mthly'!$E85:$EG85)</f>
        <v>-2137816.1256360402</v>
      </c>
      <c r="J82" s="798">
        <f>SUMIF('Venture Summary - Mthly'!$E$8:$EG$8,J$9,'Venture Summary - Mthly'!$E85:$EG85)</f>
        <v>-72420.822304572444</v>
      </c>
      <c r="K82" s="798">
        <f>SUMIF('Venture Summary - Mthly'!$E$8:$EG$8,K$9,'Venture Summary - Mthly'!$E85:$EG85)</f>
        <v>-83036.515302762389</v>
      </c>
      <c r="L82" s="798">
        <f>SUMIF('Venture Summary - Mthly'!$E$8:$EG$8,L$9,'Venture Summary - Mthly'!$E85:$EG85)</f>
        <v>-91714.024932564469</v>
      </c>
      <c r="M82" s="798">
        <f>SUMIF('Venture Summary - Mthly'!$E$8:$EG$8,M$9,'Venture Summary - Mthly'!$E85:$EG85)</f>
        <v>-53458.906785300234</v>
      </c>
      <c r="N82" s="798">
        <f>SUMIF('Venture Summary - Mthly'!$E$8:$EG$8,N$9,'Venture Summary - Mthly'!$E85:$EG85)</f>
        <v>333905.82129426819</v>
      </c>
      <c r="O82" s="798">
        <f>SUMIF('Venture Summary - Mthly'!$E$8:$EG$8,O$9,'Venture Summary - Mthly'!$E85:$EG85)</f>
        <v>805484.12039401848</v>
      </c>
      <c r="P82" s="798">
        <f>SUMIF('Venture Summary - Mthly'!$E$8:$EG$8,P$9,'Venture Summary - Mthly'!$E85:$EG85)</f>
        <v>43295963.22418011</v>
      </c>
      <c r="Q82" s="798">
        <f>SUMIF('Venture Summary - Mthly'!$E$8:$EG$8,Q$9,'Venture Summary - Mthly'!$E85:$EG85)</f>
        <v>0</v>
      </c>
      <c r="R82" s="798">
        <f>SUMIF('Venture Summary - Mthly'!$E$8:$EG$8,R$9,'Venture Summary - Mthly'!$E85:$EG85)</f>
        <v>0</v>
      </c>
      <c r="S82" s="798">
        <f>SUMIF('Venture Summary - Mthly'!$E$8:$EG$8,S$9,'Venture Summary - Mthly'!$E85:$EG85)</f>
        <v>0</v>
      </c>
      <c r="T82" s="798">
        <f>SUMIF('Venture Summary - Mthly'!$E$8:$EG$8,T$9,'Venture Summary - Mthly'!$E85:$EG85)</f>
        <v>0</v>
      </c>
      <c r="U82" s="798">
        <f>SUMIF('Venture Summary - Mthly'!$E$8:$EG$8,U$9,'Venture Summary - Mthly'!$E85:$EG85)</f>
        <v>0</v>
      </c>
      <c r="V82" s="798">
        <f>SUMIF('Venture Summary - Mthly'!$E$8:$EG$8,V$9,'Venture Summary - Mthly'!$E85:$EG85)</f>
        <v>0</v>
      </c>
      <c r="W82" s="798">
        <f>SUMIF('Venture Summary - Mthly'!$E$8:$EG$8,W$9,'Venture Summary - Mthly'!$E85:$EG85)</f>
        <v>0</v>
      </c>
      <c r="X82" s="798">
        <f>SUMIF('Venture Summary - Mthly'!$E$8:$EG$8,X$9,'Venture Summary - Mthly'!$E85:$EG85)</f>
        <v>0</v>
      </c>
      <c r="Y82" s="798">
        <f>SUMIF('Venture Summary - Mthly'!$E$8:$EG$8,Y$9,'Venture Summary - Mthly'!$E85:$EG85)</f>
        <v>0</v>
      </c>
      <c r="Z82" s="798">
        <f>SUMIF('Venture Summary - Mthly'!$E$8:$EG$8,Z$9,'Venture Summary - Mthly'!$E85:$EG85)</f>
        <v>0</v>
      </c>
      <c r="AA82" s="798">
        <f>SUMIF('Venture Summary - Mthly'!$E$8:$EG$8,AA$9,'Venture Summary - Mthly'!$E85:$EG85)</f>
        <v>0</v>
      </c>
      <c r="AB82" s="798">
        <f>SUMIF('Venture Summary - Mthly'!$E$8:$EG$8,AB$9,'Venture Summary - Mthly'!$E85:$EG85)</f>
        <v>0</v>
      </c>
      <c r="AC82" s="798">
        <f>SUMIF('Venture Summary - Mthly'!$E$8:$EG$8,AC$9,'Venture Summary - Mthly'!$E85:$EG85)</f>
        <v>0</v>
      </c>
      <c r="AD82" s="798">
        <f>SUMIF('Venture Summary - Mthly'!$E$8:$EG$8,AD$9,'Venture Summary - Mthly'!$E85:$EG85)</f>
        <v>0</v>
      </c>
      <c r="AE82" s="798">
        <f>SUMIF('Venture Summary - Mthly'!$E$8:$EG$8,AE$9,'Venture Summary - Mthly'!$E85:$EG85)</f>
        <v>0</v>
      </c>
      <c r="AF82" s="798">
        <f>SUMIF('Venture Summary - Mthly'!$E$8:$EG$8,AF$9,'Venture Summary - Mthly'!$E85:$EG85)</f>
        <v>0</v>
      </c>
      <c r="AG82" s="798">
        <f>SUMIF('Venture Summary - Mthly'!$E$8:$EG$8,AG$9,'Venture Summary - Mthly'!$E85:$EG85)</f>
        <v>0</v>
      </c>
      <c r="AH82" s="798">
        <f>SUMIF('Venture Summary - Mthly'!$E$8:$EG$8,AH$9,'Venture Summary - Mthly'!$E85:$EG85)</f>
        <v>0</v>
      </c>
      <c r="AI82" s="798">
        <f>SUMIF('Venture Summary - Mthly'!$E$8:$EG$8,AI$9,'Venture Summary - Mthly'!$E85:$EG85)</f>
        <v>0</v>
      </c>
      <c r="AJ82" s="798">
        <f>SUMIF('Venture Summary - Mthly'!$E$8:$EG$8,AJ$9,'Venture Summary - Mthly'!$E85:$EG85)</f>
        <v>0</v>
      </c>
      <c r="AK82" s="798">
        <f>SUMIF('Venture Summary - Mthly'!$E$8:$EG$8,AK$9,'Venture Summary - Mthly'!$E85:$EG85)</f>
        <v>0</v>
      </c>
      <c r="AL82" s="798">
        <f>SUMIF('Venture Summary - Mthly'!$E$8:$EG$8,AL$9,'Venture Summary - Mthly'!$E85:$EG85)</f>
        <v>0</v>
      </c>
      <c r="AM82" s="798">
        <f>SUMIF('Venture Summary - Mthly'!$E$8:$EG$8,AM$9,'Venture Summary - Mthly'!$E85:$EG85)</f>
        <v>0</v>
      </c>
      <c r="AN82" s="798">
        <f>SUMIF('Venture Summary - Mthly'!$E$8:$EG$8,AN$9,'Venture Summary - Mthly'!$E85:$EG85)</f>
        <v>0</v>
      </c>
      <c r="AO82" s="798">
        <f>SUMIF('Venture Summary - Mthly'!$E$8:$EG$8,AO$9,'Venture Summary - Mthly'!$E85:$EG85)</f>
        <v>0</v>
      </c>
      <c r="AP82" s="798">
        <f>SUMIF('Venture Summary - Mthly'!$E$8:$EG$8,AP$9,'Venture Summary - Mthly'!$E85:$EG85)</f>
        <v>0</v>
      </c>
      <c r="AQ82" s="798">
        <f>SUMIF('Venture Summary - Mthly'!$E$8:$EG$8,AQ$9,'Venture Summary - Mthly'!$E85:$EG85)</f>
        <v>0</v>
      </c>
      <c r="AR82" s="798">
        <f>SUMIF('Venture Summary - Mthly'!$E$8:$EG$8,AR$9,'Venture Summary - Mthly'!$E85:$EG85)</f>
        <v>0</v>
      </c>
      <c r="AS82" s="798">
        <f>SUMIF('Venture Summary - Mthly'!$E$8:$EG$8,AS$9,'Venture Summary - Mthly'!$E85:$EG85)</f>
        <v>0</v>
      </c>
      <c r="AT82" s="798">
        <f>SUMIF('Venture Summary - Mthly'!$E$8:$EG$8,AT$9,'Venture Summary - Mthly'!$E85:$EG85)</f>
        <v>0</v>
      </c>
      <c r="AU82" s="798">
        <f>SUMIF('Venture Summary - Mthly'!$E$8:$EG$8,AU$9,'Venture Summary - Mthly'!$E85:$EG85)</f>
        <v>0</v>
      </c>
      <c r="AV82" s="798">
        <f>SUMIF('Venture Summary - Mthly'!$E$8:$EG$8,AV$9,'Venture Summary - Mthly'!$E85:$EG85)</f>
        <v>0</v>
      </c>
      <c r="AW82" s="798">
        <f>SUMIF('Venture Summary - Mthly'!$E$8:$EG$8,AW$9,'Venture Summary - Mthly'!$E85:$EG85)</f>
        <v>0</v>
      </c>
      <c r="AX82" s="798"/>
    </row>
    <row r="83" spans="1:50" ht="12.75" customHeight="1" x14ac:dyDescent="0.3">
      <c r="A83" s="782"/>
      <c r="B83" s="782" t="s">
        <v>54</v>
      </c>
      <c r="C83" s="806">
        <f>'Venture Summary - Mthly'!C86</f>
        <v>0.10000000596046449</v>
      </c>
      <c r="D83" s="782"/>
      <c r="E83" s="782"/>
      <c r="F83" s="782"/>
      <c r="G83" s="782"/>
      <c r="H83" s="782"/>
      <c r="I83" s="782"/>
      <c r="J83" s="782"/>
      <c r="K83" s="782"/>
      <c r="L83" s="782"/>
      <c r="M83" s="782"/>
      <c r="N83" s="782"/>
      <c r="O83" s="782"/>
      <c r="P83" s="782"/>
      <c r="Q83" s="782"/>
      <c r="R83" s="782"/>
      <c r="S83" s="782"/>
      <c r="T83" s="782"/>
      <c r="U83" s="782"/>
      <c r="V83" s="782"/>
      <c r="W83" s="782"/>
      <c r="X83" s="782"/>
      <c r="Y83" s="782"/>
      <c r="Z83" s="782"/>
      <c r="AA83" s="782"/>
      <c r="AB83" s="782"/>
      <c r="AC83" s="782"/>
      <c r="AD83" s="782"/>
      <c r="AE83" s="782"/>
      <c r="AF83" s="782"/>
      <c r="AG83" s="782"/>
      <c r="AH83" s="782"/>
      <c r="AI83" s="782"/>
      <c r="AJ83" s="782"/>
      <c r="AK83" s="782"/>
      <c r="AL83" s="782"/>
      <c r="AM83" s="782"/>
      <c r="AN83" s="782"/>
      <c r="AO83" s="782"/>
      <c r="AP83" s="782"/>
      <c r="AQ83" s="782"/>
      <c r="AR83" s="782"/>
      <c r="AS83" s="782"/>
      <c r="AT83" s="782"/>
      <c r="AU83" s="782"/>
      <c r="AV83" s="782"/>
      <c r="AW83" s="782"/>
      <c r="AX83" s="782"/>
    </row>
    <row r="84" spans="1:50" ht="12.75" customHeight="1" x14ac:dyDescent="0.3">
      <c r="A84" s="782"/>
      <c r="B84" s="782"/>
      <c r="C84" s="782"/>
      <c r="D84" s="782"/>
      <c r="E84" s="782"/>
      <c r="F84" s="782"/>
      <c r="G84" s="782"/>
      <c r="H84" s="782"/>
      <c r="I84" s="782"/>
      <c r="J84" s="782"/>
      <c r="K84" s="782"/>
      <c r="L84" s="782"/>
      <c r="M84" s="782"/>
      <c r="N84" s="782"/>
      <c r="O84" s="782"/>
      <c r="P84" s="782"/>
      <c r="Q84" s="782"/>
      <c r="R84" s="782"/>
      <c r="S84" s="782"/>
      <c r="T84" s="782"/>
      <c r="U84" s="782"/>
      <c r="V84" s="782"/>
      <c r="W84" s="782"/>
      <c r="X84" s="782"/>
      <c r="Y84" s="782"/>
      <c r="Z84" s="782"/>
      <c r="AA84" s="782"/>
      <c r="AB84" s="782"/>
      <c r="AC84" s="782"/>
      <c r="AD84" s="782"/>
      <c r="AE84" s="782"/>
      <c r="AF84" s="782"/>
      <c r="AG84" s="782"/>
      <c r="AH84" s="782"/>
      <c r="AI84" s="782"/>
      <c r="AJ84" s="782"/>
      <c r="AK84" s="782"/>
      <c r="AL84" s="782"/>
      <c r="AM84" s="782"/>
      <c r="AN84" s="782"/>
      <c r="AO84" s="782"/>
      <c r="AP84" s="782"/>
      <c r="AQ84" s="782"/>
      <c r="AR84" s="782"/>
      <c r="AS84" s="782"/>
      <c r="AT84" s="782"/>
      <c r="AU84" s="782"/>
      <c r="AV84" s="782"/>
      <c r="AW84" s="782"/>
      <c r="AX84" s="782"/>
    </row>
    <row r="85" spans="1:50" ht="12.75" customHeight="1" x14ac:dyDescent="0.3">
      <c r="A85" s="782"/>
      <c r="B85" s="782" t="s">
        <v>55</v>
      </c>
      <c r="C85" s="798">
        <f>SUM(E85:AX85)</f>
        <v>42438726.661692351</v>
      </c>
      <c r="D85" s="782"/>
      <c r="E85" s="798">
        <f>SUMIF('Venture Summary - Mthly'!$E$8:$EG$8,E$9,'Venture Summary - Mthly'!$E88:$EG88)</f>
        <v>0</v>
      </c>
      <c r="F85" s="798">
        <f>SUMIF('Venture Summary - Mthly'!$E$8:$EG$8,F$9,'Venture Summary - Mthly'!$E88:$EG88)</f>
        <v>0</v>
      </c>
      <c r="G85" s="798">
        <f>SUMIF('Venture Summary - Mthly'!$E$8:$EG$8,G$9,'Venture Summary - Mthly'!$E88:$EG88)</f>
        <v>0</v>
      </c>
      <c r="H85" s="798">
        <f>SUMIF('Venture Summary - Mthly'!$E$8:$EG$8,H$9,'Venture Summary - Mthly'!$E88:$EG88)</f>
        <v>0</v>
      </c>
      <c r="I85" s="798">
        <f>SUMIF('Venture Summary - Mthly'!$E$8:$EG$8,I$9,'Venture Summary - Mthly'!$E88:$EG88)</f>
        <v>0</v>
      </c>
      <c r="J85" s="798">
        <f>SUMIF('Venture Summary - Mthly'!$E$8:$EG$8,J$9,'Venture Summary - Mthly'!$E88:$EG88)</f>
        <v>0</v>
      </c>
      <c r="K85" s="798">
        <f>SUMIF('Venture Summary - Mthly'!$E$8:$EG$8,K$9,'Venture Summary - Mthly'!$E88:$EG88)</f>
        <v>0</v>
      </c>
      <c r="L85" s="798">
        <f>SUMIF('Venture Summary - Mthly'!$E$8:$EG$8,L$9,'Venture Summary - Mthly'!$E88:$EG88)</f>
        <v>0</v>
      </c>
      <c r="M85" s="798">
        <f>SUMIF('Venture Summary - Mthly'!$E$8:$EG$8,M$9,'Venture Summary - Mthly'!$E88:$EG88)</f>
        <v>0</v>
      </c>
      <c r="N85" s="798">
        <f>SUMIF('Venture Summary - Mthly'!$E$8:$EG$8,N$9,'Venture Summary - Mthly'!$E88:$EG88)</f>
        <v>0</v>
      </c>
      <c r="O85" s="798">
        <f>SUMIF('Venture Summary - Mthly'!$E$8:$EG$8,O$9,'Venture Summary - Mthly'!$E88:$EG88)</f>
        <v>0</v>
      </c>
      <c r="P85" s="798">
        <f>SUMIF('Venture Summary - Mthly'!$E$8:$EG$8,P$9,'Venture Summary - Mthly'!$E88:$EG88)</f>
        <v>42438726.661692351</v>
      </c>
      <c r="Q85" s="798">
        <f>SUMIF('Venture Summary - Mthly'!$E$8:$EG$8,Q$9,'Venture Summary - Mthly'!$E88:$EG88)</f>
        <v>0</v>
      </c>
      <c r="R85" s="798">
        <f>SUMIF('Venture Summary - Mthly'!$E$8:$EG$8,R$9,'Venture Summary - Mthly'!$E88:$EG88)</f>
        <v>0</v>
      </c>
      <c r="S85" s="798">
        <f>SUMIF('Venture Summary - Mthly'!$E$8:$EG$8,S$9,'Venture Summary - Mthly'!$E88:$EG88)</f>
        <v>0</v>
      </c>
      <c r="T85" s="798">
        <f>SUMIF('Venture Summary - Mthly'!$E$8:$EG$8,T$9,'Venture Summary - Mthly'!$E88:$EG88)</f>
        <v>0</v>
      </c>
      <c r="U85" s="798">
        <f>SUMIF('Venture Summary - Mthly'!$E$8:$EG$8,U$9,'Venture Summary - Mthly'!$E88:$EG88)</f>
        <v>0</v>
      </c>
      <c r="V85" s="798">
        <f>SUMIF('Venture Summary - Mthly'!$E$8:$EG$8,V$9,'Venture Summary - Mthly'!$E88:$EG88)</f>
        <v>0</v>
      </c>
      <c r="W85" s="798">
        <f>SUMIF('Venture Summary - Mthly'!$E$8:$EG$8,W$9,'Venture Summary - Mthly'!$E88:$EG88)</f>
        <v>0</v>
      </c>
      <c r="X85" s="798">
        <f>SUMIF('Venture Summary - Mthly'!$E$8:$EG$8,X$9,'Venture Summary - Mthly'!$E88:$EG88)</f>
        <v>0</v>
      </c>
      <c r="Y85" s="798">
        <f>SUMIF('Venture Summary - Mthly'!$E$8:$EG$8,Y$9,'Venture Summary - Mthly'!$E88:$EG88)</f>
        <v>0</v>
      </c>
      <c r="Z85" s="798">
        <f>SUMIF('Venture Summary - Mthly'!$E$8:$EG$8,Z$9,'Venture Summary - Mthly'!$E88:$EG88)</f>
        <v>0</v>
      </c>
      <c r="AA85" s="798">
        <f>SUMIF('Venture Summary - Mthly'!$E$8:$EG$8,AA$9,'Venture Summary - Mthly'!$E88:$EG88)</f>
        <v>0</v>
      </c>
      <c r="AB85" s="798">
        <f>SUMIF('Venture Summary - Mthly'!$E$8:$EG$8,AB$9,'Venture Summary - Mthly'!$E88:$EG88)</f>
        <v>0</v>
      </c>
      <c r="AC85" s="798">
        <f>SUMIF('Venture Summary - Mthly'!$E$8:$EG$8,AC$9,'Venture Summary - Mthly'!$E88:$EG88)</f>
        <v>0</v>
      </c>
      <c r="AD85" s="798">
        <f>SUMIF('Venture Summary - Mthly'!$E$8:$EG$8,AD$9,'Venture Summary - Mthly'!$E88:$EG88)</f>
        <v>0</v>
      </c>
      <c r="AE85" s="798">
        <f>SUMIF('Venture Summary - Mthly'!$E$8:$EG$8,AE$9,'Venture Summary - Mthly'!$E88:$EG88)</f>
        <v>0</v>
      </c>
      <c r="AF85" s="798">
        <f>SUMIF('Venture Summary - Mthly'!$E$8:$EG$8,AF$9,'Venture Summary - Mthly'!$E88:$EG88)</f>
        <v>0</v>
      </c>
      <c r="AG85" s="798">
        <f>SUMIF('Venture Summary - Mthly'!$E$8:$EG$8,AG$9,'Venture Summary - Mthly'!$E88:$EG88)</f>
        <v>0</v>
      </c>
      <c r="AH85" s="798">
        <f>SUMIF('Venture Summary - Mthly'!$E$8:$EG$8,AH$9,'Venture Summary - Mthly'!$E88:$EG88)</f>
        <v>0</v>
      </c>
      <c r="AI85" s="798">
        <f>SUMIF('Venture Summary - Mthly'!$E$8:$EG$8,AI$9,'Venture Summary - Mthly'!$E88:$EG88)</f>
        <v>0</v>
      </c>
      <c r="AJ85" s="798">
        <f>SUMIF('Venture Summary - Mthly'!$E$8:$EG$8,AJ$9,'Venture Summary - Mthly'!$E88:$EG88)</f>
        <v>0</v>
      </c>
      <c r="AK85" s="798">
        <f>SUMIF('Venture Summary - Mthly'!$E$8:$EG$8,AK$9,'Venture Summary - Mthly'!$E88:$EG88)</f>
        <v>0</v>
      </c>
      <c r="AL85" s="798">
        <f>SUMIF('Venture Summary - Mthly'!$E$8:$EG$8,AL$9,'Venture Summary - Mthly'!$E88:$EG88)</f>
        <v>0</v>
      </c>
      <c r="AM85" s="798">
        <f>SUMIF('Venture Summary - Mthly'!$E$8:$EG$8,AM$9,'Venture Summary - Mthly'!$E88:$EG88)</f>
        <v>0</v>
      </c>
      <c r="AN85" s="798">
        <f>SUMIF('Venture Summary - Mthly'!$E$8:$EG$8,AN$9,'Venture Summary - Mthly'!$E88:$EG88)</f>
        <v>0</v>
      </c>
      <c r="AO85" s="798">
        <f>SUMIF('Venture Summary - Mthly'!$E$8:$EG$8,AO$9,'Venture Summary - Mthly'!$E88:$EG88)</f>
        <v>0</v>
      </c>
      <c r="AP85" s="798">
        <f>SUMIF('Venture Summary - Mthly'!$E$8:$EG$8,AP$9,'Venture Summary - Mthly'!$E88:$EG88)</f>
        <v>0</v>
      </c>
      <c r="AQ85" s="798">
        <f>SUMIF('Venture Summary - Mthly'!$E$8:$EG$8,AQ$9,'Venture Summary - Mthly'!$E88:$EG88)</f>
        <v>0</v>
      </c>
      <c r="AR85" s="798">
        <f>SUMIF('Venture Summary - Mthly'!$E$8:$EG$8,AR$9,'Venture Summary - Mthly'!$E88:$EG88)</f>
        <v>0</v>
      </c>
      <c r="AS85" s="798">
        <f>SUMIF('Venture Summary - Mthly'!$E$8:$EG$8,AS$9,'Venture Summary - Mthly'!$E88:$EG88)</f>
        <v>0</v>
      </c>
      <c r="AT85" s="798">
        <f>SUMIF('Venture Summary - Mthly'!$E$8:$EG$8,AT$9,'Venture Summary - Mthly'!$E88:$EG88)</f>
        <v>0</v>
      </c>
      <c r="AU85" s="798">
        <f>SUMIF('Venture Summary - Mthly'!$E$8:$EG$8,AU$9,'Venture Summary - Mthly'!$E88:$EG88)</f>
        <v>0</v>
      </c>
      <c r="AV85" s="798">
        <f>SUMIF('Venture Summary - Mthly'!$E$8:$EG$8,AV$9,'Venture Summary - Mthly'!$E88:$EG88)</f>
        <v>0</v>
      </c>
      <c r="AW85" s="798">
        <f>SUMIF('Venture Summary - Mthly'!$E$8:$EG$8,AW$9,'Venture Summary - Mthly'!$E88:$EG88)</f>
        <v>0</v>
      </c>
      <c r="AX85" s="798"/>
    </row>
    <row r="86" spans="1:50" ht="12.75" customHeight="1" x14ac:dyDescent="0.3">
      <c r="A86" s="782"/>
      <c r="B86" s="782"/>
      <c r="C86" s="782"/>
      <c r="D86" s="782"/>
      <c r="E86" s="782"/>
      <c r="F86" s="782"/>
      <c r="G86" s="782"/>
      <c r="H86" s="782"/>
      <c r="I86" s="782"/>
      <c r="J86" s="782"/>
      <c r="K86" s="782"/>
      <c r="L86" s="782"/>
      <c r="M86" s="782"/>
      <c r="N86" s="782"/>
      <c r="O86" s="782"/>
      <c r="P86" s="782"/>
      <c r="Q86" s="782"/>
      <c r="R86" s="782"/>
      <c r="S86" s="782"/>
      <c r="T86" s="782"/>
      <c r="U86" s="782"/>
      <c r="V86" s="782"/>
      <c r="W86" s="782"/>
      <c r="X86" s="782"/>
      <c r="Y86" s="782"/>
      <c r="Z86" s="782"/>
      <c r="AA86" s="782"/>
      <c r="AB86" s="782"/>
      <c r="AC86" s="782"/>
      <c r="AD86" s="782"/>
      <c r="AE86" s="782"/>
      <c r="AF86" s="782"/>
      <c r="AG86" s="782"/>
      <c r="AH86" s="782"/>
      <c r="AI86" s="782"/>
      <c r="AJ86" s="782"/>
      <c r="AK86" s="782"/>
      <c r="AL86" s="782"/>
      <c r="AM86" s="782"/>
      <c r="AN86" s="782"/>
      <c r="AO86" s="782"/>
      <c r="AP86" s="782"/>
      <c r="AQ86" s="782"/>
      <c r="AR86" s="782"/>
      <c r="AS86" s="782"/>
      <c r="AT86" s="782"/>
      <c r="AU86" s="782"/>
      <c r="AV86" s="782"/>
      <c r="AW86" s="782"/>
      <c r="AX86" s="782"/>
    </row>
    <row r="87" spans="1:50" ht="12.75" customHeight="1" x14ac:dyDescent="0.3">
      <c r="A87" s="782"/>
      <c r="B87" s="782" t="s">
        <v>56</v>
      </c>
      <c r="C87" s="806">
        <f>+'Venture Assumptions'!F34</f>
        <v>0.8</v>
      </c>
      <c r="D87" s="782"/>
      <c r="E87" s="798">
        <f>SUMIF('Venture Summary - Mthly'!$E$8:$EG$8,E$9,'Venture Summary - Mthly'!$E90:$EG90)</f>
        <v>0</v>
      </c>
      <c r="F87" s="798">
        <f>SUMIF('Venture Summary - Mthly'!$E$8:$EG$8,F$9,'Venture Summary - Mthly'!$E90:$EG90)</f>
        <v>0</v>
      </c>
      <c r="G87" s="798">
        <f>SUMIF('Venture Summary - Mthly'!$E$8:$EG$8,G$9,'Venture Summary - Mthly'!$E90:$EG90)</f>
        <v>0</v>
      </c>
      <c r="H87" s="798">
        <f>SUMIF('Venture Summary - Mthly'!$E$8:$EG$8,H$9,'Venture Summary - Mthly'!$E90:$EG90)</f>
        <v>0</v>
      </c>
      <c r="I87" s="798">
        <f>SUMIF('Venture Summary - Mthly'!$E$8:$EG$8,I$9,'Venture Summary - Mthly'!$E90:$EG90)</f>
        <v>0</v>
      </c>
      <c r="J87" s="798">
        <f>SUMIF('Venture Summary - Mthly'!$E$8:$EG$8,J$9,'Venture Summary - Mthly'!$E90:$EG90)</f>
        <v>0</v>
      </c>
      <c r="K87" s="798">
        <f>SUMIF('Venture Summary - Mthly'!$E$8:$EG$8,K$9,'Venture Summary - Mthly'!$E90:$EG90)</f>
        <v>0</v>
      </c>
      <c r="L87" s="798">
        <f>SUMIF('Venture Summary - Mthly'!$E$8:$EG$8,L$9,'Venture Summary - Mthly'!$E90:$EG90)</f>
        <v>0</v>
      </c>
      <c r="M87" s="798">
        <f>SUMIF('Venture Summary - Mthly'!$E$8:$EG$8,M$9,'Venture Summary - Mthly'!$E90:$EG90)</f>
        <v>0</v>
      </c>
      <c r="N87" s="798">
        <f>SUMIF('Venture Summary - Mthly'!$E$8:$EG$8,N$9,'Venture Summary - Mthly'!$E90:$EG90)</f>
        <v>0</v>
      </c>
      <c r="O87" s="798">
        <f>SUMIF('Venture Summary - Mthly'!$E$8:$EG$8,O$9,'Venture Summary - Mthly'!$E90:$EG90)</f>
        <v>0</v>
      </c>
      <c r="P87" s="798">
        <f>SUMIF('Venture Summary - Mthly'!$E$8:$EG$8,P$9,'Venture Summary - Mthly'!$E90:$EG90)</f>
        <v>3840143.816019203</v>
      </c>
      <c r="Q87" s="798">
        <f>SUMIF('Venture Summary - Mthly'!$E$8:$EG$8,Q$9,'Venture Summary - Mthly'!$E90:$EG90)</f>
        <v>0</v>
      </c>
      <c r="R87" s="798">
        <f>SUMIF('Venture Summary - Mthly'!$E$8:$EG$8,R$9,'Venture Summary - Mthly'!$E90:$EG90)</f>
        <v>0</v>
      </c>
      <c r="S87" s="798">
        <f>SUMIF('Venture Summary - Mthly'!$E$8:$EG$8,S$9,'Venture Summary - Mthly'!$E90:$EG90)</f>
        <v>0</v>
      </c>
      <c r="T87" s="798">
        <f>SUMIF('Venture Summary - Mthly'!$E$8:$EG$8,T$9,'Venture Summary - Mthly'!$E90:$EG90)</f>
        <v>0</v>
      </c>
      <c r="U87" s="798">
        <f>SUMIF('Venture Summary - Mthly'!$E$8:$EG$8,U$9,'Venture Summary - Mthly'!$E90:$EG90)</f>
        <v>0</v>
      </c>
      <c r="V87" s="798">
        <f>SUMIF('Venture Summary - Mthly'!$E$8:$EG$8,V$9,'Venture Summary - Mthly'!$E90:$EG90)</f>
        <v>0</v>
      </c>
      <c r="W87" s="798">
        <f>SUMIF('Venture Summary - Mthly'!$E$8:$EG$8,W$9,'Venture Summary - Mthly'!$E90:$EG90)</f>
        <v>0</v>
      </c>
      <c r="X87" s="798">
        <f>SUMIF('Venture Summary - Mthly'!$E$8:$EG$8,X$9,'Venture Summary - Mthly'!$E90:$EG90)</f>
        <v>0</v>
      </c>
      <c r="Y87" s="798">
        <f>SUMIF('Venture Summary - Mthly'!$E$8:$EG$8,Y$9,'Venture Summary - Mthly'!$E90:$EG90)</f>
        <v>0</v>
      </c>
      <c r="Z87" s="798">
        <f>SUMIF('Venture Summary - Mthly'!$E$8:$EG$8,Z$9,'Venture Summary - Mthly'!$E90:$EG90)</f>
        <v>0</v>
      </c>
      <c r="AA87" s="798">
        <f>SUMIF('Venture Summary - Mthly'!$E$8:$EG$8,AA$9,'Venture Summary - Mthly'!$E90:$EG90)</f>
        <v>0</v>
      </c>
      <c r="AB87" s="798">
        <f>SUMIF('Venture Summary - Mthly'!$E$8:$EG$8,AB$9,'Venture Summary - Mthly'!$E90:$EG90)</f>
        <v>0</v>
      </c>
      <c r="AC87" s="798">
        <f>SUMIF('Venture Summary - Mthly'!$E$8:$EG$8,AC$9,'Venture Summary - Mthly'!$E90:$EG90)</f>
        <v>0</v>
      </c>
      <c r="AD87" s="798">
        <f>SUMIF('Venture Summary - Mthly'!$E$8:$EG$8,AD$9,'Venture Summary - Mthly'!$E90:$EG90)</f>
        <v>0</v>
      </c>
      <c r="AE87" s="798">
        <f>SUMIF('Venture Summary - Mthly'!$E$8:$EG$8,AE$9,'Venture Summary - Mthly'!$E90:$EG90)</f>
        <v>0</v>
      </c>
      <c r="AF87" s="798">
        <f>SUMIF('Venture Summary - Mthly'!$E$8:$EG$8,AF$9,'Venture Summary - Mthly'!$E90:$EG90)</f>
        <v>0</v>
      </c>
      <c r="AG87" s="798">
        <f>SUMIF('Venture Summary - Mthly'!$E$8:$EG$8,AG$9,'Venture Summary - Mthly'!$E90:$EG90)</f>
        <v>0</v>
      </c>
      <c r="AH87" s="798">
        <f>SUMIF('Venture Summary - Mthly'!$E$8:$EG$8,AH$9,'Venture Summary - Mthly'!$E90:$EG90)</f>
        <v>0</v>
      </c>
      <c r="AI87" s="798">
        <f>SUMIF('Venture Summary - Mthly'!$E$8:$EG$8,AI$9,'Venture Summary - Mthly'!$E90:$EG90)</f>
        <v>0</v>
      </c>
      <c r="AJ87" s="798">
        <f>SUMIF('Venture Summary - Mthly'!$E$8:$EG$8,AJ$9,'Venture Summary - Mthly'!$E90:$EG90)</f>
        <v>0</v>
      </c>
      <c r="AK87" s="798">
        <f>SUMIF('Venture Summary - Mthly'!$E$8:$EG$8,AK$9,'Venture Summary - Mthly'!$E90:$EG90)</f>
        <v>0</v>
      </c>
      <c r="AL87" s="798">
        <f>SUMIF('Venture Summary - Mthly'!$E$8:$EG$8,AL$9,'Venture Summary - Mthly'!$E90:$EG90)</f>
        <v>0</v>
      </c>
      <c r="AM87" s="798">
        <f>SUMIF('Venture Summary - Mthly'!$E$8:$EG$8,AM$9,'Venture Summary - Mthly'!$E90:$EG90)</f>
        <v>0</v>
      </c>
      <c r="AN87" s="798">
        <f>SUMIF('Venture Summary - Mthly'!$E$8:$EG$8,AN$9,'Venture Summary - Mthly'!$E90:$EG90)</f>
        <v>0</v>
      </c>
      <c r="AO87" s="798">
        <f>SUMIF('Venture Summary - Mthly'!$E$8:$EG$8,AO$9,'Venture Summary - Mthly'!$E90:$EG90)</f>
        <v>0</v>
      </c>
      <c r="AP87" s="798">
        <f>SUMIF('Venture Summary - Mthly'!$E$8:$EG$8,AP$9,'Venture Summary - Mthly'!$E90:$EG90)</f>
        <v>0</v>
      </c>
      <c r="AQ87" s="798">
        <f>SUMIF('Venture Summary - Mthly'!$E$8:$EG$8,AQ$9,'Venture Summary - Mthly'!$E90:$EG90)</f>
        <v>0</v>
      </c>
      <c r="AR87" s="798">
        <f>SUMIF('Venture Summary - Mthly'!$E$8:$EG$8,AR$9,'Venture Summary - Mthly'!$E90:$EG90)</f>
        <v>0</v>
      </c>
      <c r="AS87" s="798">
        <f>SUMIF('Venture Summary - Mthly'!$E$8:$EG$8,AS$9,'Venture Summary - Mthly'!$E90:$EG90)</f>
        <v>0</v>
      </c>
      <c r="AT87" s="798">
        <f>SUMIF('Venture Summary - Mthly'!$E$8:$EG$8,AT$9,'Venture Summary - Mthly'!$E90:$EG90)</f>
        <v>0</v>
      </c>
      <c r="AU87" s="798">
        <f>SUMIF('Venture Summary - Mthly'!$E$8:$EG$8,AU$9,'Venture Summary - Mthly'!$E90:$EG90)</f>
        <v>0</v>
      </c>
      <c r="AV87" s="798">
        <f>SUMIF('Venture Summary - Mthly'!$E$8:$EG$8,AV$9,'Venture Summary - Mthly'!$E90:$EG90)</f>
        <v>0</v>
      </c>
      <c r="AW87" s="798">
        <f>SUMIF('Venture Summary - Mthly'!$E$8:$EG$8,AW$9,'Venture Summary - Mthly'!$E90:$EG90)</f>
        <v>0</v>
      </c>
      <c r="AX87" s="798"/>
    </row>
    <row r="88" spans="1:50" ht="12.75" customHeight="1" x14ac:dyDescent="0.3">
      <c r="A88" s="782"/>
      <c r="B88" s="782" t="s">
        <v>57</v>
      </c>
      <c r="C88" s="806">
        <f>+'Venture Assumptions'!F33</f>
        <v>0.2</v>
      </c>
      <c r="D88" s="782"/>
      <c r="E88" s="798">
        <f>SUMIF('Venture Summary - Mthly'!$E$8:$EG$8,E$9,'Venture Summary - Mthly'!$E91:$EG91)</f>
        <v>0</v>
      </c>
      <c r="F88" s="798">
        <f>SUMIF('Venture Summary - Mthly'!$E$8:$EG$8,F$9,'Venture Summary - Mthly'!$E91:$EG91)</f>
        <v>0</v>
      </c>
      <c r="G88" s="798">
        <f>SUMIF('Venture Summary - Mthly'!$E$8:$EG$8,G$9,'Venture Summary - Mthly'!$E91:$EG91)</f>
        <v>0</v>
      </c>
      <c r="H88" s="798">
        <f>SUMIF('Venture Summary - Mthly'!$E$8:$EG$8,H$9,'Venture Summary - Mthly'!$E91:$EG91)</f>
        <v>0</v>
      </c>
      <c r="I88" s="798">
        <f>SUMIF('Venture Summary - Mthly'!$E$8:$EG$8,I$9,'Venture Summary - Mthly'!$E91:$EG91)</f>
        <v>0</v>
      </c>
      <c r="J88" s="798">
        <f>SUMIF('Venture Summary - Mthly'!$E$8:$EG$8,J$9,'Venture Summary - Mthly'!$E91:$EG91)</f>
        <v>0</v>
      </c>
      <c r="K88" s="798">
        <f>SUMIF('Venture Summary - Mthly'!$E$8:$EG$8,K$9,'Venture Summary - Mthly'!$E91:$EG91)</f>
        <v>0</v>
      </c>
      <c r="L88" s="798">
        <f>SUMIF('Venture Summary - Mthly'!$E$8:$EG$8,L$9,'Venture Summary - Mthly'!$E91:$EG91)</f>
        <v>0</v>
      </c>
      <c r="M88" s="798">
        <f>SUMIF('Venture Summary - Mthly'!$E$8:$EG$8,M$9,'Venture Summary - Mthly'!$E91:$EG91)</f>
        <v>0</v>
      </c>
      <c r="N88" s="798">
        <f>SUMIF('Venture Summary - Mthly'!$E$8:$EG$8,N$9,'Venture Summary - Mthly'!$E91:$EG91)</f>
        <v>0</v>
      </c>
      <c r="O88" s="798">
        <f>SUMIF('Venture Summary - Mthly'!$E$8:$EG$8,O$9,'Venture Summary - Mthly'!$E91:$EG91)</f>
        <v>0</v>
      </c>
      <c r="P88" s="798">
        <f>SUMIF('Venture Summary - Mthly'!$E$8:$EG$8,P$9,'Venture Summary - Mthly'!$E91:$EG91)</f>
        <v>960035.95400480076</v>
      </c>
      <c r="Q88" s="798">
        <f>SUMIF('Venture Summary - Mthly'!$E$8:$EG$8,Q$9,'Venture Summary - Mthly'!$E91:$EG91)</f>
        <v>0</v>
      </c>
      <c r="R88" s="798">
        <f>SUMIF('Venture Summary - Mthly'!$E$8:$EG$8,R$9,'Venture Summary - Mthly'!$E91:$EG91)</f>
        <v>0</v>
      </c>
      <c r="S88" s="798">
        <f>SUMIF('Venture Summary - Mthly'!$E$8:$EG$8,S$9,'Venture Summary - Mthly'!$E91:$EG91)</f>
        <v>0</v>
      </c>
      <c r="T88" s="798">
        <f>SUMIF('Venture Summary - Mthly'!$E$8:$EG$8,T$9,'Venture Summary - Mthly'!$E91:$EG91)</f>
        <v>0</v>
      </c>
      <c r="U88" s="798">
        <f>SUMIF('Venture Summary - Mthly'!$E$8:$EG$8,U$9,'Venture Summary - Mthly'!$E91:$EG91)</f>
        <v>0</v>
      </c>
      <c r="V88" s="798">
        <f>SUMIF('Venture Summary - Mthly'!$E$8:$EG$8,V$9,'Venture Summary - Mthly'!$E91:$EG91)</f>
        <v>0</v>
      </c>
      <c r="W88" s="798">
        <f>SUMIF('Venture Summary - Mthly'!$E$8:$EG$8,W$9,'Venture Summary - Mthly'!$E91:$EG91)</f>
        <v>0</v>
      </c>
      <c r="X88" s="798">
        <f>SUMIF('Venture Summary - Mthly'!$E$8:$EG$8,X$9,'Venture Summary - Mthly'!$E91:$EG91)</f>
        <v>0</v>
      </c>
      <c r="Y88" s="798">
        <f>SUMIF('Venture Summary - Mthly'!$E$8:$EG$8,Y$9,'Venture Summary - Mthly'!$E91:$EG91)</f>
        <v>0</v>
      </c>
      <c r="Z88" s="798">
        <f>SUMIF('Venture Summary - Mthly'!$E$8:$EG$8,Z$9,'Venture Summary - Mthly'!$E91:$EG91)</f>
        <v>0</v>
      </c>
      <c r="AA88" s="798">
        <f>SUMIF('Venture Summary - Mthly'!$E$8:$EG$8,AA$9,'Venture Summary - Mthly'!$E91:$EG91)</f>
        <v>0</v>
      </c>
      <c r="AB88" s="798">
        <f>SUMIF('Venture Summary - Mthly'!$E$8:$EG$8,AB$9,'Venture Summary - Mthly'!$E91:$EG91)</f>
        <v>0</v>
      </c>
      <c r="AC88" s="798">
        <f>SUMIF('Venture Summary - Mthly'!$E$8:$EG$8,AC$9,'Venture Summary - Mthly'!$E91:$EG91)</f>
        <v>0</v>
      </c>
      <c r="AD88" s="798">
        <f>SUMIF('Venture Summary - Mthly'!$E$8:$EG$8,AD$9,'Venture Summary - Mthly'!$E91:$EG91)</f>
        <v>0</v>
      </c>
      <c r="AE88" s="798">
        <f>SUMIF('Venture Summary - Mthly'!$E$8:$EG$8,AE$9,'Venture Summary - Mthly'!$E91:$EG91)</f>
        <v>0</v>
      </c>
      <c r="AF88" s="798">
        <f>SUMIF('Venture Summary - Mthly'!$E$8:$EG$8,AF$9,'Venture Summary - Mthly'!$E91:$EG91)</f>
        <v>0</v>
      </c>
      <c r="AG88" s="798">
        <f>SUMIF('Venture Summary - Mthly'!$E$8:$EG$8,AG$9,'Venture Summary - Mthly'!$E91:$EG91)</f>
        <v>0</v>
      </c>
      <c r="AH88" s="798">
        <f>SUMIF('Venture Summary - Mthly'!$E$8:$EG$8,AH$9,'Venture Summary - Mthly'!$E91:$EG91)</f>
        <v>0</v>
      </c>
      <c r="AI88" s="798">
        <f>SUMIF('Venture Summary - Mthly'!$E$8:$EG$8,AI$9,'Venture Summary - Mthly'!$E91:$EG91)</f>
        <v>0</v>
      </c>
      <c r="AJ88" s="798">
        <f>SUMIF('Venture Summary - Mthly'!$E$8:$EG$8,AJ$9,'Venture Summary - Mthly'!$E91:$EG91)</f>
        <v>0</v>
      </c>
      <c r="AK88" s="798">
        <f>SUMIF('Venture Summary - Mthly'!$E$8:$EG$8,AK$9,'Venture Summary - Mthly'!$E91:$EG91)</f>
        <v>0</v>
      </c>
      <c r="AL88" s="798">
        <f>SUMIF('Venture Summary - Mthly'!$E$8:$EG$8,AL$9,'Venture Summary - Mthly'!$E91:$EG91)</f>
        <v>0</v>
      </c>
      <c r="AM88" s="798">
        <f>SUMIF('Venture Summary - Mthly'!$E$8:$EG$8,AM$9,'Venture Summary - Mthly'!$E91:$EG91)</f>
        <v>0</v>
      </c>
      <c r="AN88" s="798">
        <f>SUMIF('Venture Summary - Mthly'!$E$8:$EG$8,AN$9,'Venture Summary - Mthly'!$E91:$EG91)</f>
        <v>0</v>
      </c>
      <c r="AO88" s="798">
        <f>SUMIF('Venture Summary - Mthly'!$E$8:$EG$8,AO$9,'Venture Summary - Mthly'!$E91:$EG91)</f>
        <v>0</v>
      </c>
      <c r="AP88" s="798">
        <f>SUMIF('Venture Summary - Mthly'!$E$8:$EG$8,AP$9,'Venture Summary - Mthly'!$E91:$EG91)</f>
        <v>0</v>
      </c>
      <c r="AQ88" s="798">
        <f>SUMIF('Venture Summary - Mthly'!$E$8:$EG$8,AQ$9,'Venture Summary - Mthly'!$E91:$EG91)</f>
        <v>0</v>
      </c>
      <c r="AR88" s="798">
        <f>SUMIF('Venture Summary - Mthly'!$E$8:$EG$8,AR$9,'Venture Summary - Mthly'!$E91:$EG91)</f>
        <v>0</v>
      </c>
      <c r="AS88" s="798">
        <f>SUMIF('Venture Summary - Mthly'!$E$8:$EG$8,AS$9,'Venture Summary - Mthly'!$E91:$EG91)</f>
        <v>0</v>
      </c>
      <c r="AT88" s="798">
        <f>SUMIF('Venture Summary - Mthly'!$E$8:$EG$8,AT$9,'Venture Summary - Mthly'!$E91:$EG91)</f>
        <v>0</v>
      </c>
      <c r="AU88" s="798">
        <f>SUMIF('Venture Summary - Mthly'!$E$8:$EG$8,AU$9,'Venture Summary - Mthly'!$E91:$EG91)</f>
        <v>0</v>
      </c>
      <c r="AV88" s="798">
        <f>SUMIF('Venture Summary - Mthly'!$E$8:$EG$8,AV$9,'Venture Summary - Mthly'!$E91:$EG91)</f>
        <v>0</v>
      </c>
      <c r="AW88" s="798">
        <f>SUMIF('Venture Summary - Mthly'!$E$8:$EG$8,AW$9,'Venture Summary - Mthly'!$E91:$EG91)</f>
        <v>0</v>
      </c>
      <c r="AX88" s="798"/>
    </row>
    <row r="89" spans="1:50" ht="12.75" customHeight="1" x14ac:dyDescent="0.3">
      <c r="A89" s="782"/>
      <c r="B89" s="782"/>
      <c r="C89" s="808"/>
      <c r="D89" s="782"/>
      <c r="E89" s="798"/>
      <c r="F89" s="798"/>
      <c r="G89" s="798"/>
      <c r="H89" s="798"/>
      <c r="I89" s="798"/>
      <c r="J89" s="798"/>
      <c r="K89" s="798"/>
      <c r="L89" s="798"/>
      <c r="M89" s="798"/>
      <c r="N89" s="798"/>
      <c r="O89" s="798"/>
      <c r="P89" s="798"/>
      <c r="Q89" s="798"/>
      <c r="R89" s="798"/>
      <c r="S89" s="798"/>
      <c r="T89" s="798"/>
      <c r="U89" s="798"/>
      <c r="V89" s="798"/>
      <c r="W89" s="798"/>
      <c r="X89" s="798"/>
      <c r="Y89" s="798"/>
      <c r="Z89" s="798"/>
      <c r="AA89" s="798"/>
      <c r="AB89" s="798"/>
      <c r="AC89" s="798"/>
      <c r="AD89" s="798"/>
      <c r="AE89" s="798"/>
      <c r="AF89" s="798"/>
      <c r="AG89" s="798"/>
      <c r="AH89" s="798"/>
      <c r="AI89" s="798"/>
      <c r="AJ89" s="798"/>
      <c r="AK89" s="782"/>
      <c r="AL89" s="782"/>
      <c r="AM89" s="782"/>
      <c r="AN89" s="782"/>
      <c r="AO89" s="782"/>
      <c r="AP89" s="782"/>
      <c r="AQ89" s="782"/>
      <c r="AR89" s="782"/>
      <c r="AS89" s="782"/>
      <c r="AT89" s="782"/>
      <c r="AU89" s="782"/>
      <c r="AV89" s="782"/>
      <c r="AW89" s="782"/>
      <c r="AX89" s="782"/>
    </row>
    <row r="90" spans="1:50" ht="12.75" customHeight="1" x14ac:dyDescent="0.3">
      <c r="A90" s="782"/>
      <c r="B90" s="782" t="s">
        <v>58</v>
      </c>
      <c r="C90" s="798">
        <f>SUM(E90:AX90)</f>
        <v>12628775.454061441</v>
      </c>
      <c r="D90" s="782"/>
      <c r="E90" s="798">
        <f>SUMIF('Venture Summary - Mthly'!$E$8:$EG$8,E$9,'Venture Summary - Mthly'!$E93:$EG93)</f>
        <v>-1943435.5218400576</v>
      </c>
      <c r="F90" s="798">
        <f>SUMIF('Venture Summary - Mthly'!$E$8:$EG$8,F$9,'Venture Summary - Mthly'!$E93:$EG93)</f>
        <v>-16439275.889004555</v>
      </c>
      <c r="G90" s="798">
        <f>SUMIF('Venture Summary - Mthly'!$E$8:$EG$8,G$9,'Venture Summary - Mthly'!$E93:$EG93)</f>
        <v>-5353413.4459025264</v>
      </c>
      <c r="H90" s="798">
        <f>SUMIF('Venture Summary - Mthly'!$E$8:$EG$8,H$9,'Venture Summary - Mthly'!$E93:$EG93)</f>
        <v>-9472150.2761177868</v>
      </c>
      <c r="I90" s="798">
        <f>SUMIF('Venture Summary - Mthly'!$E$8:$EG$8,I$9,'Venture Summary - Mthly'!$E93:$EG93)</f>
        <v>-2137816.1256360402</v>
      </c>
      <c r="J90" s="798">
        <f>SUMIF('Venture Summary - Mthly'!$E$8:$EG$8,J$9,'Venture Summary - Mthly'!$E93:$EG93)</f>
        <v>-72420.822304572444</v>
      </c>
      <c r="K90" s="798">
        <f>SUMIF('Venture Summary - Mthly'!$E$8:$EG$8,K$9,'Venture Summary - Mthly'!$E93:$EG93)</f>
        <v>-83036.515302762389</v>
      </c>
      <c r="L90" s="798">
        <f>SUMIF('Venture Summary - Mthly'!$E$8:$EG$8,L$9,'Venture Summary - Mthly'!$E93:$EG93)</f>
        <v>-91714.024932564469</v>
      </c>
      <c r="M90" s="798">
        <f>SUMIF('Venture Summary - Mthly'!$E$8:$EG$8,M$9,'Venture Summary - Mthly'!$E93:$EG93)</f>
        <v>-53458.906785300234</v>
      </c>
      <c r="N90" s="798">
        <f>SUMIF('Venture Summary - Mthly'!$E$8:$EG$8,N$9,'Venture Summary - Mthly'!$E93:$EG93)</f>
        <v>333905.82129426819</v>
      </c>
      <c r="O90" s="798">
        <f>SUMIF('Venture Summary - Mthly'!$E$8:$EG$8,O$9,'Venture Summary - Mthly'!$E93:$EG93)</f>
        <v>805484.12039401848</v>
      </c>
      <c r="P90" s="798">
        <f>SUMIF('Venture Summary - Mthly'!$E$8:$EG$8,P$9,'Venture Summary - Mthly'!$E93:$EG93)</f>
        <v>47136107.04019931</v>
      </c>
      <c r="Q90" s="798">
        <f>SUMIF('Venture Summary - Mthly'!$E$8:$EG$8,Q$9,'Venture Summary - Mthly'!$E93:$EG93)</f>
        <v>0</v>
      </c>
      <c r="R90" s="798">
        <f>SUMIF('Venture Summary - Mthly'!$E$8:$EG$8,R$9,'Venture Summary - Mthly'!$E93:$EG93)</f>
        <v>0</v>
      </c>
      <c r="S90" s="798">
        <f>SUMIF('Venture Summary - Mthly'!$E$8:$EG$8,S$9,'Venture Summary - Mthly'!$E93:$EG93)</f>
        <v>0</v>
      </c>
      <c r="T90" s="798">
        <f>SUMIF('Venture Summary - Mthly'!$E$8:$EG$8,T$9,'Venture Summary - Mthly'!$E93:$EG93)</f>
        <v>0</v>
      </c>
      <c r="U90" s="798">
        <f>SUMIF('Venture Summary - Mthly'!$E$8:$EG$8,U$9,'Venture Summary - Mthly'!$E93:$EG93)</f>
        <v>0</v>
      </c>
      <c r="V90" s="798">
        <f>SUMIF('Venture Summary - Mthly'!$E$8:$EG$8,V$9,'Venture Summary - Mthly'!$E93:$EG93)</f>
        <v>0</v>
      </c>
      <c r="W90" s="798">
        <f>SUMIF('Venture Summary - Mthly'!$E$8:$EG$8,W$9,'Venture Summary - Mthly'!$E93:$EG93)</f>
        <v>0</v>
      </c>
      <c r="X90" s="798">
        <f>SUMIF('Venture Summary - Mthly'!$E$8:$EG$8,X$9,'Venture Summary - Mthly'!$E93:$EG93)</f>
        <v>0</v>
      </c>
      <c r="Y90" s="798">
        <f>SUMIF('Venture Summary - Mthly'!$E$8:$EG$8,Y$9,'Venture Summary - Mthly'!$E93:$EG93)</f>
        <v>0</v>
      </c>
      <c r="Z90" s="798">
        <f>SUMIF('Venture Summary - Mthly'!$E$8:$EG$8,Z$9,'Venture Summary - Mthly'!$E93:$EG93)</f>
        <v>0</v>
      </c>
      <c r="AA90" s="798">
        <f>SUMIF('Venture Summary - Mthly'!$E$8:$EG$8,AA$9,'Venture Summary - Mthly'!$E93:$EG93)</f>
        <v>0</v>
      </c>
      <c r="AB90" s="798">
        <f>SUMIF('Venture Summary - Mthly'!$E$8:$EG$8,AB$9,'Venture Summary - Mthly'!$E93:$EG93)</f>
        <v>0</v>
      </c>
      <c r="AC90" s="798">
        <f>SUMIF('Venture Summary - Mthly'!$E$8:$EG$8,AC$9,'Venture Summary - Mthly'!$E93:$EG93)</f>
        <v>0</v>
      </c>
      <c r="AD90" s="798">
        <f>SUMIF('Venture Summary - Mthly'!$E$8:$EG$8,AD$9,'Venture Summary - Mthly'!$E93:$EG93)</f>
        <v>0</v>
      </c>
      <c r="AE90" s="798">
        <f>SUMIF('Venture Summary - Mthly'!$E$8:$EG$8,AE$9,'Venture Summary - Mthly'!$E93:$EG93)</f>
        <v>0</v>
      </c>
      <c r="AF90" s="798">
        <f>SUMIF('Venture Summary - Mthly'!$E$8:$EG$8,AF$9,'Venture Summary - Mthly'!$E93:$EG93)</f>
        <v>0</v>
      </c>
      <c r="AG90" s="798">
        <f>SUMIF('Venture Summary - Mthly'!$E$8:$EG$8,AG$9,'Venture Summary - Mthly'!$E93:$EG93)</f>
        <v>0</v>
      </c>
      <c r="AH90" s="798">
        <f>SUMIF('Venture Summary - Mthly'!$E$8:$EG$8,AH$9,'Venture Summary - Mthly'!$E93:$EG93)</f>
        <v>0</v>
      </c>
      <c r="AI90" s="798">
        <f>SUMIF('Venture Summary - Mthly'!$E$8:$EG$8,AI$9,'Venture Summary - Mthly'!$E93:$EG93)</f>
        <v>0</v>
      </c>
      <c r="AJ90" s="798">
        <f>SUMIF('Venture Summary - Mthly'!$E$8:$EG$8,AJ$9,'Venture Summary - Mthly'!$E93:$EG93)</f>
        <v>0</v>
      </c>
      <c r="AK90" s="798">
        <f>SUMIF('Venture Summary - Mthly'!$E$8:$EG$8,AK$9,'Venture Summary - Mthly'!$E93:$EG93)</f>
        <v>0</v>
      </c>
      <c r="AL90" s="798">
        <f>SUMIF('Venture Summary - Mthly'!$E$8:$EG$8,AL$9,'Venture Summary - Mthly'!$E93:$EG93)</f>
        <v>0</v>
      </c>
      <c r="AM90" s="798">
        <f>SUMIF('Venture Summary - Mthly'!$E$8:$EG$8,AM$9,'Venture Summary - Mthly'!$E93:$EG93)</f>
        <v>0</v>
      </c>
      <c r="AN90" s="798">
        <f>SUMIF('Venture Summary - Mthly'!$E$8:$EG$8,AN$9,'Venture Summary - Mthly'!$E93:$EG93)</f>
        <v>0</v>
      </c>
      <c r="AO90" s="798">
        <f>SUMIF('Venture Summary - Mthly'!$E$8:$EG$8,AO$9,'Venture Summary - Mthly'!$E93:$EG93)</f>
        <v>0</v>
      </c>
      <c r="AP90" s="798">
        <f>SUMIF('Venture Summary - Mthly'!$E$8:$EG$8,AP$9,'Venture Summary - Mthly'!$E93:$EG93)</f>
        <v>0</v>
      </c>
      <c r="AQ90" s="798">
        <f>SUMIF('Venture Summary - Mthly'!$E$8:$EG$8,AQ$9,'Venture Summary - Mthly'!$E93:$EG93)</f>
        <v>0</v>
      </c>
      <c r="AR90" s="798">
        <f>SUMIF('Venture Summary - Mthly'!$E$8:$EG$8,AR$9,'Venture Summary - Mthly'!$E93:$EG93)</f>
        <v>0</v>
      </c>
      <c r="AS90" s="798">
        <f>SUMIF('Venture Summary - Mthly'!$E$8:$EG$8,AS$9,'Venture Summary - Mthly'!$E93:$EG93)</f>
        <v>0</v>
      </c>
      <c r="AT90" s="798">
        <f>SUMIF('Venture Summary - Mthly'!$E$8:$EG$8,AT$9,'Venture Summary - Mthly'!$E93:$EG93)</f>
        <v>0</v>
      </c>
      <c r="AU90" s="798">
        <f>SUMIF('Venture Summary - Mthly'!$E$8:$EG$8,AU$9,'Venture Summary - Mthly'!$E93:$EG93)</f>
        <v>0</v>
      </c>
      <c r="AV90" s="798">
        <f>SUMIF('Venture Summary - Mthly'!$E$8:$EG$8,AV$9,'Venture Summary - Mthly'!$E93:$EG93)</f>
        <v>0</v>
      </c>
      <c r="AW90" s="798">
        <f>SUMIF('Venture Summary - Mthly'!$E$8:$EG$8,AW$9,'Venture Summary - Mthly'!$E93:$EG93)</f>
        <v>0</v>
      </c>
      <c r="AX90" s="798"/>
    </row>
    <row r="91" spans="1:50" ht="12.75" customHeight="1" x14ac:dyDescent="0.3">
      <c r="A91" s="782"/>
      <c r="B91" s="782" t="s">
        <v>59</v>
      </c>
      <c r="C91" s="806">
        <f>'Venture Summary - Mthly'!C94</f>
        <v>0.14000000357627859</v>
      </c>
      <c r="D91" s="782"/>
      <c r="E91" s="782"/>
      <c r="F91" s="782"/>
      <c r="G91" s="782"/>
      <c r="H91" s="782"/>
      <c r="I91" s="782"/>
      <c r="J91" s="782"/>
      <c r="K91" s="782"/>
      <c r="L91" s="782"/>
      <c r="M91" s="782"/>
      <c r="N91" s="782"/>
      <c r="O91" s="782"/>
      <c r="P91" s="782"/>
      <c r="Q91" s="782"/>
      <c r="R91" s="782"/>
      <c r="S91" s="782"/>
      <c r="T91" s="782"/>
      <c r="U91" s="782"/>
      <c r="V91" s="782"/>
      <c r="W91" s="782"/>
      <c r="X91" s="782"/>
      <c r="Y91" s="782"/>
      <c r="Z91" s="782"/>
      <c r="AA91" s="782"/>
      <c r="AB91" s="782"/>
      <c r="AC91" s="782"/>
      <c r="AD91" s="782"/>
      <c r="AE91" s="782"/>
      <c r="AF91" s="782"/>
      <c r="AG91" s="782"/>
      <c r="AH91" s="782"/>
      <c r="AI91" s="782"/>
      <c r="AJ91" s="782"/>
      <c r="AK91" s="782"/>
      <c r="AL91" s="782"/>
      <c r="AM91" s="782"/>
      <c r="AN91" s="782"/>
      <c r="AO91" s="782"/>
      <c r="AP91" s="782"/>
      <c r="AQ91" s="782"/>
      <c r="AR91" s="782"/>
      <c r="AS91" s="782"/>
      <c r="AT91" s="782"/>
      <c r="AU91" s="782"/>
      <c r="AV91" s="782"/>
      <c r="AW91" s="782"/>
      <c r="AX91" s="782"/>
    </row>
    <row r="92" spans="1:50" ht="12.75" customHeight="1" x14ac:dyDescent="0.3">
      <c r="A92" s="782"/>
      <c r="B92" s="782"/>
      <c r="C92" s="782"/>
      <c r="D92" s="782"/>
      <c r="E92" s="782"/>
      <c r="F92" s="782"/>
      <c r="G92" s="782"/>
      <c r="H92" s="782"/>
      <c r="I92" s="782"/>
      <c r="J92" s="782"/>
      <c r="K92" s="782"/>
      <c r="L92" s="782"/>
      <c r="M92" s="782"/>
      <c r="N92" s="782"/>
      <c r="O92" s="782"/>
      <c r="P92" s="782"/>
      <c r="Q92" s="782"/>
      <c r="R92" s="782"/>
      <c r="S92" s="782"/>
      <c r="T92" s="782"/>
      <c r="U92" s="782"/>
      <c r="V92" s="782"/>
      <c r="W92" s="782"/>
      <c r="X92" s="782"/>
      <c r="Y92" s="782"/>
      <c r="Z92" s="782"/>
      <c r="AA92" s="782"/>
      <c r="AB92" s="782"/>
      <c r="AC92" s="782"/>
      <c r="AD92" s="782"/>
      <c r="AE92" s="782"/>
      <c r="AF92" s="782"/>
      <c r="AG92" s="782"/>
      <c r="AH92" s="782"/>
      <c r="AI92" s="782"/>
      <c r="AJ92" s="782"/>
      <c r="AK92" s="782"/>
      <c r="AL92" s="782"/>
      <c r="AM92" s="782"/>
      <c r="AN92" s="782"/>
      <c r="AO92" s="782"/>
      <c r="AP92" s="782"/>
      <c r="AQ92" s="782"/>
      <c r="AR92" s="782"/>
      <c r="AS92" s="782"/>
      <c r="AT92" s="782"/>
      <c r="AU92" s="782"/>
      <c r="AV92" s="782"/>
      <c r="AW92" s="782"/>
      <c r="AX92" s="782"/>
    </row>
    <row r="93" spans="1:50" ht="12.75" customHeight="1" x14ac:dyDescent="0.3">
      <c r="A93" s="782"/>
      <c r="B93" s="782" t="s">
        <v>60</v>
      </c>
      <c r="C93" s="798">
        <f>SUM(E93:AX93)</f>
        <v>4800179.7700240035</v>
      </c>
      <c r="D93" s="782"/>
      <c r="E93" s="798">
        <f>SUM(E87:E88)</f>
        <v>0</v>
      </c>
      <c r="F93" s="798">
        <f t="shared" ref="F93:AW93" si="15">SUM(F87:F88)</f>
        <v>0</v>
      </c>
      <c r="G93" s="798">
        <f t="shared" si="15"/>
        <v>0</v>
      </c>
      <c r="H93" s="798">
        <f t="shared" si="15"/>
        <v>0</v>
      </c>
      <c r="I93" s="798">
        <f t="shared" si="15"/>
        <v>0</v>
      </c>
      <c r="J93" s="798">
        <f t="shared" si="15"/>
        <v>0</v>
      </c>
      <c r="K93" s="798">
        <f t="shared" si="15"/>
        <v>0</v>
      </c>
      <c r="L93" s="798">
        <f t="shared" si="15"/>
        <v>0</v>
      </c>
      <c r="M93" s="798">
        <f t="shared" si="15"/>
        <v>0</v>
      </c>
      <c r="N93" s="798">
        <f t="shared" si="15"/>
        <v>0</v>
      </c>
      <c r="O93" s="798">
        <f t="shared" si="15"/>
        <v>0</v>
      </c>
      <c r="P93" s="798">
        <f t="shared" si="15"/>
        <v>4800179.7700240035</v>
      </c>
      <c r="Q93" s="798">
        <f t="shared" si="15"/>
        <v>0</v>
      </c>
      <c r="R93" s="798">
        <f t="shared" si="15"/>
        <v>0</v>
      </c>
      <c r="S93" s="798">
        <f t="shared" si="15"/>
        <v>0</v>
      </c>
      <c r="T93" s="798">
        <f t="shared" si="15"/>
        <v>0</v>
      </c>
      <c r="U93" s="798">
        <f t="shared" si="15"/>
        <v>0</v>
      </c>
      <c r="V93" s="798">
        <f t="shared" si="15"/>
        <v>0</v>
      </c>
      <c r="W93" s="798">
        <f t="shared" si="15"/>
        <v>0</v>
      </c>
      <c r="X93" s="798">
        <f t="shared" si="15"/>
        <v>0</v>
      </c>
      <c r="Y93" s="798">
        <f t="shared" si="15"/>
        <v>0</v>
      </c>
      <c r="Z93" s="798">
        <f t="shared" si="15"/>
        <v>0</v>
      </c>
      <c r="AA93" s="798">
        <f t="shared" si="15"/>
        <v>0</v>
      </c>
      <c r="AB93" s="798">
        <f t="shared" si="15"/>
        <v>0</v>
      </c>
      <c r="AC93" s="798">
        <f t="shared" si="15"/>
        <v>0</v>
      </c>
      <c r="AD93" s="798">
        <f t="shared" si="15"/>
        <v>0</v>
      </c>
      <c r="AE93" s="798">
        <f t="shared" si="15"/>
        <v>0</v>
      </c>
      <c r="AF93" s="798">
        <f t="shared" si="15"/>
        <v>0</v>
      </c>
      <c r="AG93" s="798">
        <f t="shared" si="15"/>
        <v>0</v>
      </c>
      <c r="AH93" s="798">
        <f t="shared" si="15"/>
        <v>0</v>
      </c>
      <c r="AI93" s="798">
        <f t="shared" si="15"/>
        <v>0</v>
      </c>
      <c r="AJ93" s="798">
        <f t="shared" si="15"/>
        <v>0</v>
      </c>
      <c r="AK93" s="798">
        <f t="shared" si="15"/>
        <v>0</v>
      </c>
      <c r="AL93" s="798">
        <f t="shared" si="15"/>
        <v>0</v>
      </c>
      <c r="AM93" s="798">
        <f t="shared" si="15"/>
        <v>0</v>
      </c>
      <c r="AN93" s="798">
        <f t="shared" si="15"/>
        <v>0</v>
      </c>
      <c r="AO93" s="798">
        <f t="shared" si="15"/>
        <v>0</v>
      </c>
      <c r="AP93" s="798">
        <f t="shared" si="15"/>
        <v>0</v>
      </c>
      <c r="AQ93" s="798">
        <f t="shared" si="15"/>
        <v>0</v>
      </c>
      <c r="AR93" s="798">
        <f t="shared" si="15"/>
        <v>0</v>
      </c>
      <c r="AS93" s="798">
        <f t="shared" si="15"/>
        <v>0</v>
      </c>
      <c r="AT93" s="798">
        <f t="shared" si="15"/>
        <v>0</v>
      </c>
      <c r="AU93" s="798">
        <f t="shared" si="15"/>
        <v>0</v>
      </c>
      <c r="AV93" s="798">
        <f t="shared" si="15"/>
        <v>0</v>
      </c>
      <c r="AW93" s="798">
        <f t="shared" si="15"/>
        <v>0</v>
      </c>
      <c r="AX93" s="798"/>
    </row>
    <row r="94" spans="1:50" ht="12.75" customHeight="1" x14ac:dyDescent="0.3">
      <c r="A94" s="782"/>
      <c r="B94" s="782"/>
      <c r="C94" s="782"/>
      <c r="D94" s="782"/>
      <c r="E94" s="782"/>
      <c r="F94" s="782"/>
      <c r="G94" s="782"/>
      <c r="H94" s="782"/>
      <c r="I94" s="782"/>
      <c r="J94" s="782"/>
      <c r="K94" s="782"/>
      <c r="L94" s="782"/>
      <c r="M94" s="782"/>
      <c r="N94" s="782"/>
      <c r="O94" s="782"/>
      <c r="P94" s="782"/>
      <c r="Q94" s="782"/>
      <c r="R94" s="782"/>
      <c r="S94" s="782"/>
      <c r="T94" s="782"/>
      <c r="U94" s="782"/>
      <c r="V94" s="782"/>
      <c r="W94" s="782"/>
      <c r="X94" s="782"/>
      <c r="Y94" s="782"/>
      <c r="Z94" s="782"/>
      <c r="AA94" s="782"/>
      <c r="AB94" s="782"/>
      <c r="AC94" s="782"/>
      <c r="AD94" s="782"/>
      <c r="AE94" s="782"/>
      <c r="AF94" s="782"/>
      <c r="AG94" s="782"/>
      <c r="AH94" s="782"/>
      <c r="AI94" s="782"/>
      <c r="AJ94" s="782"/>
      <c r="AK94" s="782"/>
      <c r="AL94" s="782"/>
      <c r="AM94" s="782"/>
      <c r="AN94" s="782"/>
      <c r="AO94" s="782"/>
      <c r="AP94" s="782"/>
      <c r="AQ94" s="782"/>
      <c r="AR94" s="782"/>
      <c r="AS94" s="782"/>
      <c r="AT94" s="782"/>
      <c r="AU94" s="782"/>
      <c r="AV94" s="782"/>
      <c r="AW94" s="782"/>
      <c r="AX94" s="782"/>
    </row>
    <row r="95" spans="1:50" ht="12.75" customHeight="1" x14ac:dyDescent="0.3">
      <c r="A95" s="782"/>
      <c r="B95" s="782" t="s">
        <v>61</v>
      </c>
      <c r="C95" s="806">
        <f>+'Venture Assumptions'!F37</f>
        <v>0.65</v>
      </c>
      <c r="D95" s="782"/>
      <c r="E95" s="798">
        <f>SUMIF('Venture Summary - Mthly'!$E$8:$EG$8,E$9,'Venture Summary - Mthly'!$E98:$EG98)</f>
        <v>0</v>
      </c>
      <c r="F95" s="798">
        <f>SUMIF('Venture Summary - Mthly'!$E$8:$EG$8,F$9,'Venture Summary - Mthly'!$E98:$EG98)</f>
        <v>0</v>
      </c>
      <c r="G95" s="798">
        <f>SUMIF('Venture Summary - Mthly'!$E$8:$EG$8,G$9,'Venture Summary - Mthly'!$E98:$EG98)</f>
        <v>0</v>
      </c>
      <c r="H95" s="798">
        <f>SUMIF('Venture Summary - Mthly'!$E$8:$EG$8,H$9,'Venture Summary - Mthly'!$E98:$EG98)</f>
        <v>0</v>
      </c>
      <c r="I95" s="798">
        <f>SUMIF('Venture Summary - Mthly'!$E$8:$EG$8,I$9,'Venture Summary - Mthly'!$E98:$EG98)</f>
        <v>0</v>
      </c>
      <c r="J95" s="798">
        <f>SUMIF('Venture Summary - Mthly'!$E$8:$EG$8,J$9,'Venture Summary - Mthly'!$E98:$EG98)</f>
        <v>0</v>
      </c>
      <c r="K95" s="798">
        <f>SUMIF('Venture Summary - Mthly'!$E$8:$EG$8,K$9,'Venture Summary - Mthly'!$E98:$EG98)</f>
        <v>0</v>
      </c>
      <c r="L95" s="798">
        <f>SUMIF('Venture Summary - Mthly'!$E$8:$EG$8,L$9,'Venture Summary - Mthly'!$E98:$EG98)</f>
        <v>0</v>
      </c>
      <c r="M95" s="798">
        <f>SUMIF('Venture Summary - Mthly'!$E$8:$EG$8,M$9,'Venture Summary - Mthly'!$E98:$EG98)</f>
        <v>0</v>
      </c>
      <c r="N95" s="798">
        <f>SUMIF('Venture Summary - Mthly'!$E$8:$EG$8,N$9,'Venture Summary - Mthly'!$E98:$EG98)</f>
        <v>0</v>
      </c>
      <c r="O95" s="798">
        <f>SUMIF('Venture Summary - Mthly'!$E$8:$EG$8,O$9,'Venture Summary - Mthly'!$E98:$EG98)</f>
        <v>0</v>
      </c>
      <c r="P95" s="798">
        <f>SUMIF('Venture Summary - Mthly'!$E$8:$EG$8,P$9,'Venture Summary - Mthly'!$E98:$EG98)</f>
        <v>4029971.0426005777</v>
      </c>
      <c r="Q95" s="798">
        <f>SUMIF('Venture Summary - Mthly'!$E$8:$EG$8,Q$9,'Venture Summary - Mthly'!$E98:$EG98)</f>
        <v>0</v>
      </c>
      <c r="R95" s="798">
        <f>SUMIF('Venture Summary - Mthly'!$E$8:$EG$8,R$9,'Venture Summary - Mthly'!$E98:$EG98)</f>
        <v>0</v>
      </c>
      <c r="S95" s="798">
        <f>SUMIF('Venture Summary - Mthly'!$E$8:$EG$8,S$9,'Venture Summary - Mthly'!$E98:$EG98)</f>
        <v>0</v>
      </c>
      <c r="T95" s="798">
        <f>SUMIF('Venture Summary - Mthly'!$E$8:$EG$8,T$9,'Venture Summary - Mthly'!$E98:$EG98)</f>
        <v>0</v>
      </c>
      <c r="U95" s="798">
        <f>SUMIF('Venture Summary - Mthly'!$E$8:$EG$8,U$9,'Venture Summary - Mthly'!$E98:$EG98)</f>
        <v>0</v>
      </c>
      <c r="V95" s="798">
        <f>SUMIF('Venture Summary - Mthly'!$E$8:$EG$8,V$9,'Venture Summary - Mthly'!$E98:$EG98)</f>
        <v>0</v>
      </c>
      <c r="W95" s="798">
        <f>SUMIF('Venture Summary - Mthly'!$E$8:$EG$8,W$9,'Venture Summary - Mthly'!$E98:$EG98)</f>
        <v>0</v>
      </c>
      <c r="X95" s="798">
        <f>SUMIF('Venture Summary - Mthly'!$E$8:$EG$8,X$9,'Venture Summary - Mthly'!$E98:$EG98)</f>
        <v>0</v>
      </c>
      <c r="Y95" s="798">
        <f>SUMIF('Venture Summary - Mthly'!$E$8:$EG$8,Y$9,'Venture Summary - Mthly'!$E98:$EG98)</f>
        <v>0</v>
      </c>
      <c r="Z95" s="798">
        <f>SUMIF('Venture Summary - Mthly'!$E$8:$EG$8,Z$9,'Venture Summary - Mthly'!$E98:$EG98)</f>
        <v>0</v>
      </c>
      <c r="AA95" s="798">
        <f>SUMIF('Venture Summary - Mthly'!$E$8:$EG$8,AA$9,'Venture Summary - Mthly'!$E98:$EG98)</f>
        <v>0</v>
      </c>
      <c r="AB95" s="798">
        <f>SUMIF('Venture Summary - Mthly'!$E$8:$EG$8,AB$9,'Venture Summary - Mthly'!$E98:$EG98)</f>
        <v>0</v>
      </c>
      <c r="AC95" s="798">
        <f>SUMIF('Venture Summary - Mthly'!$E$8:$EG$8,AC$9,'Venture Summary - Mthly'!$E98:$EG98)</f>
        <v>0</v>
      </c>
      <c r="AD95" s="798">
        <f>SUMIF('Venture Summary - Mthly'!$E$8:$EG$8,AD$9,'Venture Summary - Mthly'!$E98:$EG98)</f>
        <v>0</v>
      </c>
      <c r="AE95" s="798">
        <f>SUMIF('Venture Summary - Mthly'!$E$8:$EG$8,AE$9,'Venture Summary - Mthly'!$E98:$EG98)</f>
        <v>0</v>
      </c>
      <c r="AF95" s="798">
        <f>SUMIF('Venture Summary - Mthly'!$E$8:$EG$8,AF$9,'Venture Summary - Mthly'!$E98:$EG98)</f>
        <v>0</v>
      </c>
      <c r="AG95" s="798">
        <f>SUMIF('Venture Summary - Mthly'!$E$8:$EG$8,AG$9,'Venture Summary - Mthly'!$E98:$EG98)</f>
        <v>0</v>
      </c>
      <c r="AH95" s="798">
        <f>SUMIF('Venture Summary - Mthly'!$E$8:$EG$8,AH$9,'Venture Summary - Mthly'!$E98:$EG98)</f>
        <v>0</v>
      </c>
      <c r="AI95" s="798">
        <f>SUMIF('Venture Summary - Mthly'!$E$8:$EG$8,AI$9,'Venture Summary - Mthly'!$E98:$EG98)</f>
        <v>0</v>
      </c>
      <c r="AJ95" s="798">
        <f>SUMIF('Venture Summary - Mthly'!$E$8:$EG$8,AJ$9,'Venture Summary - Mthly'!$E98:$EG98)</f>
        <v>0</v>
      </c>
      <c r="AK95" s="798">
        <f>SUMIF('Venture Summary - Mthly'!$E$8:$EG$8,AK$9,'Venture Summary - Mthly'!$E98:$EG98)</f>
        <v>0</v>
      </c>
      <c r="AL95" s="798">
        <f>SUMIF('Venture Summary - Mthly'!$E$8:$EG$8,AL$9,'Venture Summary - Mthly'!$E98:$EG98)</f>
        <v>0</v>
      </c>
      <c r="AM95" s="798">
        <f>SUMIF('Venture Summary - Mthly'!$E$8:$EG$8,AM$9,'Venture Summary - Mthly'!$E98:$EG98)</f>
        <v>0</v>
      </c>
      <c r="AN95" s="798">
        <f>SUMIF('Venture Summary - Mthly'!$E$8:$EG$8,AN$9,'Venture Summary - Mthly'!$E98:$EG98)</f>
        <v>0</v>
      </c>
      <c r="AO95" s="798">
        <f>SUMIF('Venture Summary - Mthly'!$E$8:$EG$8,AO$9,'Venture Summary - Mthly'!$E98:$EG98)</f>
        <v>0</v>
      </c>
      <c r="AP95" s="798">
        <f>SUMIF('Venture Summary - Mthly'!$E$8:$EG$8,AP$9,'Venture Summary - Mthly'!$E98:$EG98)</f>
        <v>0</v>
      </c>
      <c r="AQ95" s="798">
        <f>SUMIF('Venture Summary - Mthly'!$E$8:$EG$8,AQ$9,'Venture Summary - Mthly'!$E98:$EG98)</f>
        <v>0</v>
      </c>
      <c r="AR95" s="798">
        <f>SUMIF('Venture Summary - Mthly'!$E$8:$EG$8,AR$9,'Venture Summary - Mthly'!$E98:$EG98)</f>
        <v>0</v>
      </c>
      <c r="AS95" s="798">
        <f>SUMIF('Venture Summary - Mthly'!$E$8:$EG$8,AS$9,'Venture Summary - Mthly'!$E98:$EG98)</f>
        <v>0</v>
      </c>
      <c r="AT95" s="798">
        <f>SUMIF('Venture Summary - Mthly'!$E$8:$EG$8,AT$9,'Venture Summary - Mthly'!$E98:$EG98)</f>
        <v>0</v>
      </c>
      <c r="AU95" s="798">
        <f>SUMIF('Venture Summary - Mthly'!$E$8:$EG$8,AU$9,'Venture Summary - Mthly'!$E98:$EG98)</f>
        <v>0</v>
      </c>
      <c r="AV95" s="798">
        <f>SUMIF('Venture Summary - Mthly'!$E$8:$EG$8,AV$9,'Venture Summary - Mthly'!$E98:$EG98)</f>
        <v>0</v>
      </c>
      <c r="AW95" s="798">
        <f>SUMIF('Venture Summary - Mthly'!$E$8:$EG$8,AW$9,'Venture Summary - Mthly'!$E98:$EG98)</f>
        <v>0</v>
      </c>
      <c r="AX95" s="798"/>
    </row>
    <row r="96" spans="1:50" ht="12.75" customHeight="1" x14ac:dyDescent="0.3">
      <c r="A96" s="782"/>
      <c r="B96" s="782" t="s">
        <v>62</v>
      </c>
      <c r="C96" s="806">
        <f>+'Venture Assumptions'!F36</f>
        <v>0.35</v>
      </c>
      <c r="D96" s="782"/>
      <c r="E96" s="798">
        <f>SUMIF('Venture Summary - Mthly'!$E$8:$EG$8,E$9,'Venture Summary - Mthly'!$E99:$EG99)</f>
        <v>0</v>
      </c>
      <c r="F96" s="798">
        <f>SUMIF('Venture Summary - Mthly'!$E$8:$EG$8,F$9,'Venture Summary - Mthly'!$E99:$EG99)</f>
        <v>0</v>
      </c>
      <c r="G96" s="798">
        <f>SUMIF('Venture Summary - Mthly'!$E$8:$EG$8,G$9,'Venture Summary - Mthly'!$E99:$EG99)</f>
        <v>0</v>
      </c>
      <c r="H96" s="798">
        <f>SUMIF('Venture Summary - Mthly'!$E$8:$EG$8,H$9,'Venture Summary - Mthly'!$E99:$EG99)</f>
        <v>0</v>
      </c>
      <c r="I96" s="798">
        <f>SUMIF('Venture Summary - Mthly'!$E$8:$EG$8,I$9,'Venture Summary - Mthly'!$E99:$EG99)</f>
        <v>0</v>
      </c>
      <c r="J96" s="798">
        <f>SUMIF('Venture Summary - Mthly'!$E$8:$EG$8,J$9,'Venture Summary - Mthly'!$E99:$EG99)</f>
        <v>0</v>
      </c>
      <c r="K96" s="798">
        <f>SUMIF('Venture Summary - Mthly'!$E$8:$EG$8,K$9,'Venture Summary - Mthly'!$E99:$EG99)</f>
        <v>0</v>
      </c>
      <c r="L96" s="798">
        <f>SUMIF('Venture Summary - Mthly'!$E$8:$EG$8,L$9,'Venture Summary - Mthly'!$E99:$EG99)</f>
        <v>0</v>
      </c>
      <c r="M96" s="798">
        <f>SUMIF('Venture Summary - Mthly'!$E$8:$EG$8,M$9,'Venture Summary - Mthly'!$E99:$EG99)</f>
        <v>0</v>
      </c>
      <c r="N96" s="798">
        <f>SUMIF('Venture Summary - Mthly'!$E$8:$EG$8,N$9,'Venture Summary - Mthly'!$E99:$EG99)</f>
        <v>0</v>
      </c>
      <c r="O96" s="798">
        <f>SUMIF('Venture Summary - Mthly'!$E$8:$EG$8,O$9,'Venture Summary - Mthly'!$E99:$EG99)</f>
        <v>0</v>
      </c>
      <c r="P96" s="798">
        <f>SUMIF('Venture Summary - Mthly'!$E$8:$EG$8,P$9,'Venture Summary - Mthly'!$E99:$EG99)</f>
        <v>2169984.4075541571</v>
      </c>
      <c r="Q96" s="798">
        <f>SUMIF('Venture Summary - Mthly'!$E$8:$EG$8,Q$9,'Venture Summary - Mthly'!$E99:$EG99)</f>
        <v>0</v>
      </c>
      <c r="R96" s="798">
        <f>SUMIF('Venture Summary - Mthly'!$E$8:$EG$8,R$9,'Venture Summary - Mthly'!$E99:$EG99)</f>
        <v>0</v>
      </c>
      <c r="S96" s="798">
        <f>SUMIF('Venture Summary - Mthly'!$E$8:$EG$8,S$9,'Venture Summary - Mthly'!$E99:$EG99)</f>
        <v>0</v>
      </c>
      <c r="T96" s="798">
        <f>SUMIF('Venture Summary - Mthly'!$E$8:$EG$8,T$9,'Venture Summary - Mthly'!$E99:$EG99)</f>
        <v>0</v>
      </c>
      <c r="U96" s="798">
        <f>SUMIF('Venture Summary - Mthly'!$E$8:$EG$8,U$9,'Venture Summary - Mthly'!$E99:$EG99)</f>
        <v>0</v>
      </c>
      <c r="V96" s="798">
        <f>SUMIF('Venture Summary - Mthly'!$E$8:$EG$8,V$9,'Venture Summary - Mthly'!$E99:$EG99)</f>
        <v>0</v>
      </c>
      <c r="W96" s="798">
        <f>SUMIF('Venture Summary - Mthly'!$E$8:$EG$8,W$9,'Venture Summary - Mthly'!$E99:$EG99)</f>
        <v>0</v>
      </c>
      <c r="X96" s="798">
        <f>SUMIF('Venture Summary - Mthly'!$E$8:$EG$8,X$9,'Venture Summary - Mthly'!$E99:$EG99)</f>
        <v>0</v>
      </c>
      <c r="Y96" s="798">
        <f>SUMIF('Venture Summary - Mthly'!$E$8:$EG$8,Y$9,'Venture Summary - Mthly'!$E99:$EG99)</f>
        <v>0</v>
      </c>
      <c r="Z96" s="798">
        <f>SUMIF('Venture Summary - Mthly'!$E$8:$EG$8,Z$9,'Venture Summary - Mthly'!$E99:$EG99)</f>
        <v>0</v>
      </c>
      <c r="AA96" s="798">
        <f>SUMIF('Venture Summary - Mthly'!$E$8:$EG$8,AA$9,'Venture Summary - Mthly'!$E99:$EG99)</f>
        <v>0</v>
      </c>
      <c r="AB96" s="798">
        <f>SUMIF('Venture Summary - Mthly'!$E$8:$EG$8,AB$9,'Venture Summary - Mthly'!$E99:$EG99)</f>
        <v>0</v>
      </c>
      <c r="AC96" s="798">
        <f>SUMIF('Venture Summary - Mthly'!$E$8:$EG$8,AC$9,'Venture Summary - Mthly'!$E99:$EG99)</f>
        <v>0</v>
      </c>
      <c r="AD96" s="798">
        <f>SUMIF('Venture Summary - Mthly'!$E$8:$EG$8,AD$9,'Venture Summary - Mthly'!$E99:$EG99)</f>
        <v>0</v>
      </c>
      <c r="AE96" s="798">
        <f>SUMIF('Venture Summary - Mthly'!$E$8:$EG$8,AE$9,'Venture Summary - Mthly'!$E99:$EG99)</f>
        <v>0</v>
      </c>
      <c r="AF96" s="798">
        <f>SUMIF('Venture Summary - Mthly'!$E$8:$EG$8,AF$9,'Venture Summary - Mthly'!$E99:$EG99)</f>
        <v>0</v>
      </c>
      <c r="AG96" s="798">
        <f>SUMIF('Venture Summary - Mthly'!$E$8:$EG$8,AG$9,'Venture Summary - Mthly'!$E99:$EG99)</f>
        <v>0</v>
      </c>
      <c r="AH96" s="798">
        <f>SUMIF('Venture Summary - Mthly'!$E$8:$EG$8,AH$9,'Venture Summary - Mthly'!$E99:$EG99)</f>
        <v>0</v>
      </c>
      <c r="AI96" s="798">
        <f>SUMIF('Venture Summary - Mthly'!$E$8:$EG$8,AI$9,'Venture Summary - Mthly'!$E99:$EG99)</f>
        <v>0</v>
      </c>
      <c r="AJ96" s="798">
        <f>SUMIF('Venture Summary - Mthly'!$E$8:$EG$8,AJ$9,'Venture Summary - Mthly'!$E99:$EG99)</f>
        <v>0</v>
      </c>
      <c r="AK96" s="798">
        <f>SUMIF('Venture Summary - Mthly'!$E$8:$EG$8,AK$9,'Venture Summary - Mthly'!$E99:$EG99)</f>
        <v>0</v>
      </c>
      <c r="AL96" s="798">
        <f>SUMIF('Venture Summary - Mthly'!$E$8:$EG$8,AL$9,'Venture Summary - Mthly'!$E99:$EG99)</f>
        <v>0</v>
      </c>
      <c r="AM96" s="798">
        <f>SUMIF('Venture Summary - Mthly'!$E$8:$EG$8,AM$9,'Venture Summary - Mthly'!$E99:$EG99)</f>
        <v>0</v>
      </c>
      <c r="AN96" s="798">
        <f>SUMIF('Venture Summary - Mthly'!$E$8:$EG$8,AN$9,'Venture Summary - Mthly'!$E99:$EG99)</f>
        <v>0</v>
      </c>
      <c r="AO96" s="798">
        <f>SUMIF('Venture Summary - Mthly'!$E$8:$EG$8,AO$9,'Venture Summary - Mthly'!$E99:$EG99)</f>
        <v>0</v>
      </c>
      <c r="AP96" s="798">
        <f>SUMIF('Venture Summary - Mthly'!$E$8:$EG$8,AP$9,'Venture Summary - Mthly'!$E99:$EG99)</f>
        <v>0</v>
      </c>
      <c r="AQ96" s="798">
        <f>SUMIF('Venture Summary - Mthly'!$E$8:$EG$8,AQ$9,'Venture Summary - Mthly'!$E99:$EG99)</f>
        <v>0</v>
      </c>
      <c r="AR96" s="798">
        <f>SUMIF('Venture Summary - Mthly'!$E$8:$EG$8,AR$9,'Venture Summary - Mthly'!$E99:$EG99)</f>
        <v>0</v>
      </c>
      <c r="AS96" s="798">
        <f>SUMIF('Venture Summary - Mthly'!$E$8:$EG$8,AS$9,'Venture Summary - Mthly'!$E99:$EG99)</f>
        <v>0</v>
      </c>
      <c r="AT96" s="798">
        <f>SUMIF('Venture Summary - Mthly'!$E$8:$EG$8,AT$9,'Venture Summary - Mthly'!$E99:$EG99)</f>
        <v>0</v>
      </c>
      <c r="AU96" s="798">
        <f>SUMIF('Venture Summary - Mthly'!$E$8:$EG$8,AU$9,'Venture Summary - Mthly'!$E99:$EG99)</f>
        <v>0</v>
      </c>
      <c r="AV96" s="798">
        <f>SUMIF('Venture Summary - Mthly'!$E$8:$EG$8,AV$9,'Venture Summary - Mthly'!$E99:$EG99)</f>
        <v>0</v>
      </c>
      <c r="AW96" s="798">
        <f>SUMIF('Venture Summary - Mthly'!$E$8:$EG$8,AW$9,'Venture Summary - Mthly'!$E99:$EG99)</f>
        <v>0</v>
      </c>
      <c r="AX96" s="798"/>
    </row>
    <row r="97" spans="1:50" ht="12.75" customHeight="1" x14ac:dyDescent="0.3">
      <c r="A97" s="782"/>
      <c r="B97" s="782"/>
      <c r="C97" s="782"/>
      <c r="D97" s="782"/>
      <c r="E97" s="782"/>
      <c r="F97" s="782"/>
      <c r="G97" s="782"/>
      <c r="H97" s="782"/>
      <c r="I97" s="782"/>
      <c r="J97" s="782"/>
      <c r="K97" s="782"/>
      <c r="L97" s="782"/>
      <c r="M97" s="782"/>
      <c r="N97" s="782"/>
      <c r="O97" s="782"/>
      <c r="P97" s="782"/>
      <c r="Q97" s="782"/>
      <c r="R97" s="782"/>
      <c r="S97" s="782"/>
      <c r="T97" s="782"/>
      <c r="U97" s="782"/>
      <c r="V97" s="782"/>
      <c r="W97" s="782"/>
      <c r="X97" s="782"/>
      <c r="Y97" s="782"/>
      <c r="Z97" s="782"/>
      <c r="AA97" s="782"/>
      <c r="AB97" s="782"/>
      <c r="AC97" s="782"/>
      <c r="AD97" s="782"/>
      <c r="AE97" s="782"/>
      <c r="AF97" s="782"/>
      <c r="AG97" s="782"/>
      <c r="AH97" s="782"/>
      <c r="AI97" s="782"/>
      <c r="AJ97" s="782"/>
      <c r="AK97" s="782"/>
      <c r="AL97" s="782"/>
      <c r="AM97" s="782"/>
      <c r="AN97" s="782"/>
      <c r="AO97" s="782"/>
      <c r="AP97" s="782"/>
      <c r="AQ97" s="782"/>
      <c r="AR97" s="782"/>
      <c r="AS97" s="782"/>
      <c r="AT97" s="782"/>
      <c r="AU97" s="782"/>
      <c r="AV97" s="782"/>
      <c r="AW97" s="782"/>
      <c r="AX97" s="782"/>
    </row>
    <row r="98" spans="1:50" ht="12.75" customHeight="1" x14ac:dyDescent="0.3">
      <c r="A98" s="782"/>
      <c r="B98" s="782" t="s">
        <v>63</v>
      </c>
      <c r="C98" s="798">
        <f>SUM(E98:AX98)</f>
        <v>16658746.496662021</v>
      </c>
      <c r="D98" s="782"/>
      <c r="E98" s="798">
        <f>E90+E95</f>
        <v>-1943435.5218400576</v>
      </c>
      <c r="F98" s="798">
        <f t="shared" ref="F98:AW98" si="16">F90+F95</f>
        <v>-16439275.889004555</v>
      </c>
      <c r="G98" s="798">
        <f t="shared" si="16"/>
        <v>-5353413.4459025264</v>
      </c>
      <c r="H98" s="798">
        <f t="shared" si="16"/>
        <v>-9472150.2761177868</v>
      </c>
      <c r="I98" s="798">
        <f t="shared" si="16"/>
        <v>-2137816.1256360402</v>
      </c>
      <c r="J98" s="798">
        <f t="shared" si="16"/>
        <v>-72420.822304572444</v>
      </c>
      <c r="K98" s="798">
        <f t="shared" si="16"/>
        <v>-83036.515302762389</v>
      </c>
      <c r="L98" s="798">
        <f t="shared" si="16"/>
        <v>-91714.024932564469</v>
      </c>
      <c r="M98" s="798">
        <f t="shared" si="16"/>
        <v>-53458.906785300234</v>
      </c>
      <c r="N98" s="798">
        <f t="shared" si="16"/>
        <v>333905.82129426819</v>
      </c>
      <c r="O98" s="798">
        <f t="shared" si="16"/>
        <v>805484.12039401848</v>
      </c>
      <c r="P98" s="798">
        <f t="shared" si="16"/>
        <v>51166078.082799889</v>
      </c>
      <c r="Q98" s="798">
        <f t="shared" si="16"/>
        <v>0</v>
      </c>
      <c r="R98" s="798">
        <f t="shared" si="16"/>
        <v>0</v>
      </c>
      <c r="S98" s="798">
        <f t="shared" si="16"/>
        <v>0</v>
      </c>
      <c r="T98" s="798">
        <f t="shared" si="16"/>
        <v>0</v>
      </c>
      <c r="U98" s="798">
        <f t="shared" si="16"/>
        <v>0</v>
      </c>
      <c r="V98" s="798">
        <f t="shared" si="16"/>
        <v>0</v>
      </c>
      <c r="W98" s="798">
        <f t="shared" si="16"/>
        <v>0</v>
      </c>
      <c r="X98" s="798">
        <f t="shared" si="16"/>
        <v>0</v>
      </c>
      <c r="Y98" s="798">
        <f t="shared" si="16"/>
        <v>0</v>
      </c>
      <c r="Z98" s="798">
        <f t="shared" si="16"/>
        <v>0</v>
      </c>
      <c r="AA98" s="798">
        <f t="shared" si="16"/>
        <v>0</v>
      </c>
      <c r="AB98" s="798">
        <f t="shared" si="16"/>
        <v>0</v>
      </c>
      <c r="AC98" s="798">
        <f t="shared" si="16"/>
        <v>0</v>
      </c>
      <c r="AD98" s="798">
        <f t="shared" si="16"/>
        <v>0</v>
      </c>
      <c r="AE98" s="798">
        <f t="shared" si="16"/>
        <v>0</v>
      </c>
      <c r="AF98" s="798">
        <f t="shared" si="16"/>
        <v>0</v>
      </c>
      <c r="AG98" s="798">
        <f t="shared" si="16"/>
        <v>0</v>
      </c>
      <c r="AH98" s="798">
        <f t="shared" si="16"/>
        <v>0</v>
      </c>
      <c r="AI98" s="798">
        <f t="shared" si="16"/>
        <v>0</v>
      </c>
      <c r="AJ98" s="798">
        <f t="shared" si="16"/>
        <v>0</v>
      </c>
      <c r="AK98" s="798">
        <f t="shared" si="16"/>
        <v>0</v>
      </c>
      <c r="AL98" s="798">
        <f t="shared" si="16"/>
        <v>0</v>
      </c>
      <c r="AM98" s="798">
        <f t="shared" si="16"/>
        <v>0</v>
      </c>
      <c r="AN98" s="798">
        <f t="shared" si="16"/>
        <v>0</v>
      </c>
      <c r="AO98" s="798">
        <f t="shared" si="16"/>
        <v>0</v>
      </c>
      <c r="AP98" s="798">
        <f t="shared" si="16"/>
        <v>0</v>
      </c>
      <c r="AQ98" s="798">
        <f t="shared" si="16"/>
        <v>0</v>
      </c>
      <c r="AR98" s="798">
        <f t="shared" si="16"/>
        <v>0</v>
      </c>
      <c r="AS98" s="798">
        <f t="shared" si="16"/>
        <v>0</v>
      </c>
      <c r="AT98" s="798">
        <f t="shared" si="16"/>
        <v>0</v>
      </c>
      <c r="AU98" s="798">
        <f t="shared" si="16"/>
        <v>0</v>
      </c>
      <c r="AV98" s="798">
        <f t="shared" si="16"/>
        <v>0</v>
      </c>
      <c r="AW98" s="798">
        <f t="shared" si="16"/>
        <v>0</v>
      </c>
      <c r="AX98" s="798"/>
    </row>
    <row r="99" spans="1:50" ht="12.75" customHeight="1" x14ac:dyDescent="0.3">
      <c r="A99" s="782"/>
      <c r="B99" s="782" t="s">
        <v>64</v>
      </c>
      <c r="C99" s="806">
        <f>'Venture Summary - Mthly'!C102</f>
        <v>0.18000000119209297</v>
      </c>
      <c r="D99" s="782"/>
      <c r="E99" s="782"/>
      <c r="F99" s="782"/>
      <c r="G99" s="782"/>
      <c r="H99" s="782"/>
      <c r="I99" s="782"/>
      <c r="J99" s="782"/>
      <c r="K99" s="782"/>
      <c r="L99" s="782"/>
      <c r="M99" s="782"/>
      <c r="N99" s="782"/>
      <c r="O99" s="782"/>
      <c r="P99" s="782"/>
      <c r="Q99" s="782"/>
      <c r="R99" s="782"/>
      <c r="S99" s="782"/>
      <c r="T99" s="782"/>
      <c r="U99" s="782"/>
      <c r="V99" s="782"/>
      <c r="W99" s="782"/>
      <c r="X99" s="782"/>
      <c r="Y99" s="782"/>
      <c r="Z99" s="782"/>
      <c r="AA99" s="782"/>
      <c r="AB99" s="782"/>
      <c r="AC99" s="782"/>
      <c r="AD99" s="782"/>
      <c r="AE99" s="782"/>
      <c r="AF99" s="782"/>
      <c r="AG99" s="782"/>
      <c r="AH99" s="782"/>
      <c r="AI99" s="782"/>
      <c r="AJ99" s="782"/>
      <c r="AK99" s="782"/>
      <c r="AL99" s="782"/>
      <c r="AM99" s="782"/>
      <c r="AN99" s="782"/>
      <c r="AO99" s="782"/>
      <c r="AP99" s="782"/>
      <c r="AQ99" s="782"/>
      <c r="AR99" s="782"/>
      <c r="AS99" s="782"/>
      <c r="AT99" s="782"/>
      <c r="AU99" s="782"/>
      <c r="AV99" s="782"/>
      <c r="AW99" s="782"/>
      <c r="AX99" s="782"/>
    </row>
    <row r="100" spans="1:50" ht="12.75" customHeight="1" x14ac:dyDescent="0.3">
      <c r="A100" s="782"/>
      <c r="B100" s="782"/>
      <c r="C100" s="782"/>
      <c r="D100" s="782"/>
      <c r="E100" s="782"/>
      <c r="F100" s="782"/>
      <c r="G100" s="782"/>
      <c r="H100" s="782"/>
      <c r="I100" s="782"/>
      <c r="J100" s="782"/>
      <c r="K100" s="782"/>
      <c r="L100" s="782"/>
      <c r="M100" s="782"/>
      <c r="N100" s="782"/>
      <c r="O100" s="782"/>
      <c r="P100" s="782"/>
      <c r="Q100" s="782"/>
      <c r="R100" s="782"/>
      <c r="S100" s="782"/>
      <c r="T100" s="782"/>
      <c r="U100" s="782"/>
      <c r="V100" s="782"/>
      <c r="W100" s="782"/>
      <c r="X100" s="782"/>
      <c r="Y100" s="782"/>
      <c r="Z100" s="782"/>
      <c r="AA100" s="782"/>
      <c r="AB100" s="782"/>
      <c r="AC100" s="782"/>
      <c r="AD100" s="782"/>
      <c r="AE100" s="782"/>
      <c r="AF100" s="782"/>
      <c r="AG100" s="782"/>
      <c r="AH100" s="782"/>
      <c r="AI100" s="782"/>
      <c r="AJ100" s="782"/>
      <c r="AK100" s="782"/>
      <c r="AL100" s="782"/>
      <c r="AM100" s="782"/>
      <c r="AN100" s="782"/>
      <c r="AO100" s="782"/>
      <c r="AP100" s="782"/>
      <c r="AQ100" s="782"/>
      <c r="AR100" s="782"/>
      <c r="AS100" s="782"/>
      <c r="AT100" s="782"/>
      <c r="AU100" s="782"/>
      <c r="AV100" s="782"/>
      <c r="AW100" s="782"/>
      <c r="AX100" s="782"/>
    </row>
    <row r="101" spans="1:50" ht="12.75" customHeight="1" x14ac:dyDescent="0.3">
      <c r="A101" s="782"/>
      <c r="B101" s="782" t="s">
        <v>65</v>
      </c>
      <c r="C101" s="798">
        <f>SUM(E101:AX101)</f>
        <v>6199955.4501547348</v>
      </c>
      <c r="D101" s="782"/>
      <c r="E101" s="798">
        <f>SUM(E95:E96)</f>
        <v>0</v>
      </c>
      <c r="F101" s="798">
        <f t="shared" ref="F101:AW101" si="17">SUM(F95:F96)</f>
        <v>0</v>
      </c>
      <c r="G101" s="798">
        <f t="shared" si="17"/>
        <v>0</v>
      </c>
      <c r="H101" s="798">
        <f t="shared" si="17"/>
        <v>0</v>
      </c>
      <c r="I101" s="798">
        <f t="shared" si="17"/>
        <v>0</v>
      </c>
      <c r="J101" s="798">
        <f t="shared" si="17"/>
        <v>0</v>
      </c>
      <c r="K101" s="798">
        <f t="shared" si="17"/>
        <v>0</v>
      </c>
      <c r="L101" s="798">
        <f t="shared" si="17"/>
        <v>0</v>
      </c>
      <c r="M101" s="798">
        <f t="shared" si="17"/>
        <v>0</v>
      </c>
      <c r="N101" s="798">
        <f t="shared" si="17"/>
        <v>0</v>
      </c>
      <c r="O101" s="798">
        <f t="shared" si="17"/>
        <v>0</v>
      </c>
      <c r="P101" s="798">
        <f t="shared" si="17"/>
        <v>6199955.4501547348</v>
      </c>
      <c r="Q101" s="798">
        <f t="shared" si="17"/>
        <v>0</v>
      </c>
      <c r="R101" s="798">
        <f t="shared" si="17"/>
        <v>0</v>
      </c>
      <c r="S101" s="798">
        <f t="shared" si="17"/>
        <v>0</v>
      </c>
      <c r="T101" s="798">
        <f t="shared" si="17"/>
        <v>0</v>
      </c>
      <c r="U101" s="798">
        <f t="shared" si="17"/>
        <v>0</v>
      </c>
      <c r="V101" s="798">
        <f t="shared" si="17"/>
        <v>0</v>
      </c>
      <c r="W101" s="798">
        <f t="shared" si="17"/>
        <v>0</v>
      </c>
      <c r="X101" s="798">
        <f t="shared" si="17"/>
        <v>0</v>
      </c>
      <c r="Y101" s="798">
        <f t="shared" si="17"/>
        <v>0</v>
      </c>
      <c r="Z101" s="798">
        <f t="shared" si="17"/>
        <v>0</v>
      </c>
      <c r="AA101" s="798">
        <f t="shared" si="17"/>
        <v>0</v>
      </c>
      <c r="AB101" s="798">
        <f t="shared" si="17"/>
        <v>0</v>
      </c>
      <c r="AC101" s="798">
        <f t="shared" si="17"/>
        <v>0</v>
      </c>
      <c r="AD101" s="798">
        <f t="shared" si="17"/>
        <v>0</v>
      </c>
      <c r="AE101" s="798">
        <f t="shared" si="17"/>
        <v>0</v>
      </c>
      <c r="AF101" s="798">
        <f t="shared" si="17"/>
        <v>0</v>
      </c>
      <c r="AG101" s="798">
        <f t="shared" si="17"/>
        <v>0</v>
      </c>
      <c r="AH101" s="798">
        <f t="shared" si="17"/>
        <v>0</v>
      </c>
      <c r="AI101" s="798">
        <f t="shared" si="17"/>
        <v>0</v>
      </c>
      <c r="AJ101" s="798">
        <f t="shared" si="17"/>
        <v>0</v>
      </c>
      <c r="AK101" s="798">
        <f t="shared" si="17"/>
        <v>0</v>
      </c>
      <c r="AL101" s="798">
        <f t="shared" si="17"/>
        <v>0</v>
      </c>
      <c r="AM101" s="798">
        <f t="shared" si="17"/>
        <v>0</v>
      </c>
      <c r="AN101" s="798">
        <f t="shared" si="17"/>
        <v>0</v>
      </c>
      <c r="AO101" s="798">
        <f t="shared" si="17"/>
        <v>0</v>
      </c>
      <c r="AP101" s="798">
        <f t="shared" si="17"/>
        <v>0</v>
      </c>
      <c r="AQ101" s="798">
        <f t="shared" si="17"/>
        <v>0</v>
      </c>
      <c r="AR101" s="798">
        <f t="shared" si="17"/>
        <v>0</v>
      </c>
      <c r="AS101" s="798">
        <f t="shared" si="17"/>
        <v>0</v>
      </c>
      <c r="AT101" s="798">
        <f t="shared" si="17"/>
        <v>0</v>
      </c>
      <c r="AU101" s="798">
        <f t="shared" si="17"/>
        <v>0</v>
      </c>
      <c r="AV101" s="798">
        <f t="shared" si="17"/>
        <v>0</v>
      </c>
      <c r="AW101" s="798">
        <f t="shared" si="17"/>
        <v>0</v>
      </c>
      <c r="AX101" s="798"/>
    </row>
    <row r="102" spans="1:50" ht="12.75" customHeight="1" x14ac:dyDescent="0.3">
      <c r="A102" s="782"/>
      <c r="B102" s="782"/>
      <c r="C102" s="782"/>
      <c r="D102" s="782"/>
      <c r="E102" s="782"/>
      <c r="F102" s="782"/>
      <c r="G102" s="782"/>
      <c r="H102" s="782"/>
      <c r="I102" s="782"/>
      <c r="J102" s="782"/>
      <c r="K102" s="782"/>
      <c r="L102" s="782"/>
      <c r="M102" s="782"/>
      <c r="N102" s="782"/>
      <c r="O102" s="782"/>
      <c r="P102" s="782"/>
      <c r="Q102" s="782"/>
      <c r="R102" s="782"/>
      <c r="S102" s="782"/>
      <c r="T102" s="782"/>
      <c r="U102" s="782"/>
      <c r="V102" s="782"/>
      <c r="W102" s="782"/>
      <c r="X102" s="782"/>
      <c r="Y102" s="782"/>
      <c r="Z102" s="782"/>
      <c r="AA102" s="782"/>
      <c r="AB102" s="782"/>
      <c r="AC102" s="782"/>
      <c r="AD102" s="782"/>
      <c r="AE102" s="782"/>
      <c r="AF102" s="782"/>
      <c r="AG102" s="782"/>
      <c r="AH102" s="782"/>
      <c r="AI102" s="782"/>
      <c r="AJ102" s="782"/>
      <c r="AK102" s="782"/>
      <c r="AL102" s="782"/>
      <c r="AM102" s="782"/>
      <c r="AN102" s="782"/>
      <c r="AO102" s="782"/>
      <c r="AP102" s="782"/>
      <c r="AQ102" s="782"/>
      <c r="AR102" s="782"/>
      <c r="AS102" s="782"/>
      <c r="AT102" s="782"/>
      <c r="AU102" s="782"/>
      <c r="AV102" s="782"/>
      <c r="AW102" s="782"/>
      <c r="AX102" s="782"/>
    </row>
    <row r="103" spans="1:50" ht="12.75" customHeight="1" x14ac:dyDescent="0.3">
      <c r="A103" s="782"/>
      <c r="B103" s="782" t="s">
        <v>66</v>
      </c>
      <c r="C103" s="798">
        <f>SUM(E103:AX103)</f>
        <v>7477412.8402144164</v>
      </c>
      <c r="D103" s="782"/>
      <c r="E103" s="798">
        <f>E75-E85-E93-E101</f>
        <v>0</v>
      </c>
      <c r="F103" s="798">
        <f t="shared" ref="F103:AW103" si="18">F75-F85-F93-F101</f>
        <v>0</v>
      </c>
      <c r="G103" s="798">
        <f t="shared" si="18"/>
        <v>0</v>
      </c>
      <c r="H103" s="798">
        <f t="shared" si="18"/>
        <v>0</v>
      </c>
      <c r="I103" s="798">
        <f t="shared" si="18"/>
        <v>0</v>
      </c>
      <c r="J103" s="798">
        <f t="shared" si="18"/>
        <v>0</v>
      </c>
      <c r="K103" s="798">
        <f t="shared" si="18"/>
        <v>0</v>
      </c>
      <c r="L103" s="798">
        <f t="shared" si="18"/>
        <v>0</v>
      </c>
      <c r="M103" s="798">
        <f t="shared" si="18"/>
        <v>0</v>
      </c>
      <c r="N103" s="798">
        <f t="shared" si="18"/>
        <v>0</v>
      </c>
      <c r="O103" s="798">
        <f t="shared" si="18"/>
        <v>0</v>
      </c>
      <c r="P103" s="798">
        <f t="shared" si="18"/>
        <v>7477412.8402144164</v>
      </c>
      <c r="Q103" s="798">
        <f t="shared" si="18"/>
        <v>0</v>
      </c>
      <c r="R103" s="798">
        <f t="shared" si="18"/>
        <v>0</v>
      </c>
      <c r="S103" s="798">
        <f t="shared" si="18"/>
        <v>0</v>
      </c>
      <c r="T103" s="798">
        <f t="shared" si="18"/>
        <v>0</v>
      </c>
      <c r="U103" s="798">
        <f t="shared" si="18"/>
        <v>0</v>
      </c>
      <c r="V103" s="798">
        <f t="shared" si="18"/>
        <v>0</v>
      </c>
      <c r="W103" s="798">
        <f t="shared" si="18"/>
        <v>0</v>
      </c>
      <c r="X103" s="798">
        <f t="shared" si="18"/>
        <v>0</v>
      </c>
      <c r="Y103" s="798">
        <f t="shared" si="18"/>
        <v>0</v>
      </c>
      <c r="Z103" s="798">
        <f t="shared" si="18"/>
        <v>0</v>
      </c>
      <c r="AA103" s="798">
        <f t="shared" si="18"/>
        <v>0</v>
      </c>
      <c r="AB103" s="798">
        <f t="shared" si="18"/>
        <v>0</v>
      </c>
      <c r="AC103" s="798">
        <f t="shared" si="18"/>
        <v>0</v>
      </c>
      <c r="AD103" s="798">
        <f t="shared" si="18"/>
        <v>0</v>
      </c>
      <c r="AE103" s="798">
        <f t="shared" si="18"/>
        <v>0</v>
      </c>
      <c r="AF103" s="798">
        <f t="shared" si="18"/>
        <v>0</v>
      </c>
      <c r="AG103" s="798">
        <f t="shared" si="18"/>
        <v>0</v>
      </c>
      <c r="AH103" s="798">
        <f t="shared" si="18"/>
        <v>0</v>
      </c>
      <c r="AI103" s="798">
        <f t="shared" si="18"/>
        <v>0</v>
      </c>
      <c r="AJ103" s="798">
        <f t="shared" si="18"/>
        <v>0</v>
      </c>
      <c r="AK103" s="798">
        <f t="shared" si="18"/>
        <v>0</v>
      </c>
      <c r="AL103" s="798">
        <f t="shared" si="18"/>
        <v>0</v>
      </c>
      <c r="AM103" s="798">
        <f t="shared" si="18"/>
        <v>0</v>
      </c>
      <c r="AN103" s="798">
        <f t="shared" si="18"/>
        <v>0</v>
      </c>
      <c r="AO103" s="798">
        <f t="shared" si="18"/>
        <v>0</v>
      </c>
      <c r="AP103" s="798">
        <f t="shared" si="18"/>
        <v>0</v>
      </c>
      <c r="AQ103" s="798">
        <f t="shared" si="18"/>
        <v>0</v>
      </c>
      <c r="AR103" s="798">
        <f t="shared" si="18"/>
        <v>0</v>
      </c>
      <c r="AS103" s="798">
        <f t="shared" si="18"/>
        <v>0</v>
      </c>
      <c r="AT103" s="798">
        <f t="shared" si="18"/>
        <v>0</v>
      </c>
      <c r="AU103" s="798">
        <f t="shared" si="18"/>
        <v>0</v>
      </c>
      <c r="AV103" s="798">
        <f t="shared" si="18"/>
        <v>0</v>
      </c>
      <c r="AW103" s="798">
        <f t="shared" si="18"/>
        <v>0</v>
      </c>
      <c r="AX103" s="798"/>
    </row>
    <row r="104" spans="1:50" ht="12.75" customHeight="1" x14ac:dyDescent="0.3">
      <c r="A104" s="782"/>
      <c r="B104" s="782" t="s">
        <v>67</v>
      </c>
      <c r="C104" s="806">
        <f>+'Venture Assumptions'!F40</f>
        <v>0.5</v>
      </c>
      <c r="D104" s="782"/>
      <c r="E104" s="798">
        <f>SUMIF('Venture Summary - Mthly'!$E$8:$EG$8,E$9,'Venture Summary - Mthly'!$E107:$EG107)</f>
        <v>0</v>
      </c>
      <c r="F104" s="798">
        <f>SUMIF('Venture Summary - Mthly'!$E$8:$EG$8,F$9,'Venture Summary - Mthly'!$E107:$EG107)</f>
        <v>0</v>
      </c>
      <c r="G104" s="798">
        <f>SUMIF('Venture Summary - Mthly'!$E$8:$EG$8,G$9,'Venture Summary - Mthly'!$E107:$EG107)</f>
        <v>0</v>
      </c>
      <c r="H104" s="798">
        <f>SUMIF('Venture Summary - Mthly'!$E$8:$EG$8,H$9,'Venture Summary - Mthly'!$E107:$EG107)</f>
        <v>0</v>
      </c>
      <c r="I104" s="798">
        <f>SUMIF('Venture Summary - Mthly'!$E$8:$EG$8,I$9,'Venture Summary - Mthly'!$E107:$EG107)</f>
        <v>0</v>
      </c>
      <c r="J104" s="798">
        <f>SUMIF('Venture Summary - Mthly'!$E$8:$EG$8,J$9,'Venture Summary - Mthly'!$E107:$EG107)</f>
        <v>0</v>
      </c>
      <c r="K104" s="798">
        <f>SUMIF('Venture Summary - Mthly'!$E$8:$EG$8,K$9,'Venture Summary - Mthly'!$E107:$EG107)</f>
        <v>0</v>
      </c>
      <c r="L104" s="798">
        <f>SUMIF('Venture Summary - Mthly'!$E$8:$EG$8,L$9,'Venture Summary - Mthly'!$E107:$EG107)</f>
        <v>0</v>
      </c>
      <c r="M104" s="798">
        <f>SUMIF('Venture Summary - Mthly'!$E$8:$EG$8,M$9,'Venture Summary - Mthly'!$E107:$EG107)</f>
        <v>0</v>
      </c>
      <c r="N104" s="798">
        <f>SUMIF('Venture Summary - Mthly'!$E$8:$EG$8,N$9,'Venture Summary - Mthly'!$E107:$EG107)</f>
        <v>0</v>
      </c>
      <c r="O104" s="798">
        <f>SUMIF('Venture Summary - Mthly'!$E$8:$EG$8,O$9,'Venture Summary - Mthly'!$E107:$EG107)</f>
        <v>0</v>
      </c>
      <c r="P104" s="798">
        <f>SUMIF('Venture Summary - Mthly'!$E$8:$EG$8,P$9,'Venture Summary - Mthly'!$E107:$EG107)</f>
        <v>3738706.4201072082</v>
      </c>
      <c r="Q104" s="798">
        <f>SUMIF('Venture Summary - Mthly'!$E$8:$EG$8,Q$9,'Venture Summary - Mthly'!$E107:$EG107)</f>
        <v>0</v>
      </c>
      <c r="R104" s="798">
        <f>SUMIF('Venture Summary - Mthly'!$E$8:$EG$8,R$9,'Venture Summary - Mthly'!$E107:$EG107)</f>
        <v>0</v>
      </c>
      <c r="S104" s="798">
        <f>SUMIF('Venture Summary - Mthly'!$E$8:$EG$8,S$9,'Venture Summary - Mthly'!$E107:$EG107)</f>
        <v>0</v>
      </c>
      <c r="T104" s="798">
        <f>SUMIF('Venture Summary - Mthly'!$E$8:$EG$8,T$9,'Venture Summary - Mthly'!$E107:$EG107)</f>
        <v>0</v>
      </c>
      <c r="U104" s="798">
        <f>SUMIF('Venture Summary - Mthly'!$E$8:$EG$8,U$9,'Venture Summary - Mthly'!$E107:$EG107)</f>
        <v>0</v>
      </c>
      <c r="V104" s="798">
        <f>SUMIF('Venture Summary - Mthly'!$E$8:$EG$8,V$9,'Venture Summary - Mthly'!$E107:$EG107)</f>
        <v>0</v>
      </c>
      <c r="W104" s="798">
        <f>SUMIF('Venture Summary - Mthly'!$E$8:$EG$8,W$9,'Venture Summary - Mthly'!$E107:$EG107)</f>
        <v>0</v>
      </c>
      <c r="X104" s="798">
        <f>SUMIF('Venture Summary - Mthly'!$E$8:$EG$8,X$9,'Venture Summary - Mthly'!$E107:$EG107)</f>
        <v>0</v>
      </c>
      <c r="Y104" s="798">
        <f>SUMIF('Venture Summary - Mthly'!$E$8:$EG$8,Y$9,'Venture Summary - Mthly'!$E107:$EG107)</f>
        <v>0</v>
      </c>
      <c r="Z104" s="798">
        <f>SUMIF('Venture Summary - Mthly'!$E$8:$EG$8,Z$9,'Venture Summary - Mthly'!$E107:$EG107)</f>
        <v>0</v>
      </c>
      <c r="AA104" s="798">
        <f>SUMIF('Venture Summary - Mthly'!$E$8:$EG$8,AA$9,'Venture Summary - Mthly'!$E107:$EG107)</f>
        <v>0</v>
      </c>
      <c r="AB104" s="798">
        <f>SUMIF('Venture Summary - Mthly'!$E$8:$EG$8,AB$9,'Venture Summary - Mthly'!$E107:$EG107)</f>
        <v>0</v>
      </c>
      <c r="AC104" s="798">
        <f>SUMIF('Venture Summary - Mthly'!$E$8:$EG$8,AC$9,'Venture Summary - Mthly'!$E107:$EG107)</f>
        <v>0</v>
      </c>
      <c r="AD104" s="798">
        <f>SUMIF('Venture Summary - Mthly'!$E$8:$EG$8,AD$9,'Venture Summary - Mthly'!$E107:$EG107)</f>
        <v>0</v>
      </c>
      <c r="AE104" s="798">
        <f>SUMIF('Venture Summary - Mthly'!$E$8:$EG$8,AE$9,'Venture Summary - Mthly'!$E107:$EG107)</f>
        <v>0</v>
      </c>
      <c r="AF104" s="798">
        <f>SUMIF('Venture Summary - Mthly'!$E$8:$EG$8,AF$9,'Venture Summary - Mthly'!$E107:$EG107)</f>
        <v>0</v>
      </c>
      <c r="AG104" s="798">
        <f>SUMIF('Venture Summary - Mthly'!$E$8:$EG$8,AG$9,'Venture Summary - Mthly'!$E107:$EG107)</f>
        <v>0</v>
      </c>
      <c r="AH104" s="798">
        <f>SUMIF('Venture Summary - Mthly'!$E$8:$EG$8,AH$9,'Venture Summary - Mthly'!$E107:$EG107)</f>
        <v>0</v>
      </c>
      <c r="AI104" s="798">
        <f>SUMIF('Venture Summary - Mthly'!$E$8:$EG$8,AI$9,'Venture Summary - Mthly'!$E107:$EG107)</f>
        <v>0</v>
      </c>
      <c r="AJ104" s="798">
        <f>SUMIF('Venture Summary - Mthly'!$E$8:$EG$8,AJ$9,'Venture Summary - Mthly'!$E107:$EG107)</f>
        <v>0</v>
      </c>
      <c r="AK104" s="798">
        <f>SUMIF('Venture Summary - Mthly'!$E$8:$EG$8,AK$9,'Venture Summary - Mthly'!$E107:$EG107)</f>
        <v>0</v>
      </c>
      <c r="AL104" s="798">
        <f>SUMIF('Venture Summary - Mthly'!$E$8:$EG$8,AL$9,'Venture Summary - Mthly'!$E107:$EG107)</f>
        <v>0</v>
      </c>
      <c r="AM104" s="798">
        <f>SUMIF('Venture Summary - Mthly'!$E$8:$EG$8,AM$9,'Venture Summary - Mthly'!$E107:$EG107)</f>
        <v>0</v>
      </c>
      <c r="AN104" s="798">
        <f>SUMIF('Venture Summary - Mthly'!$E$8:$EG$8,AN$9,'Venture Summary - Mthly'!$E107:$EG107)</f>
        <v>0</v>
      </c>
      <c r="AO104" s="798">
        <f>SUMIF('Venture Summary - Mthly'!$E$8:$EG$8,AO$9,'Venture Summary - Mthly'!$E107:$EG107)</f>
        <v>0</v>
      </c>
      <c r="AP104" s="798">
        <f>SUMIF('Venture Summary - Mthly'!$E$8:$EG$8,AP$9,'Venture Summary - Mthly'!$E107:$EG107)</f>
        <v>0</v>
      </c>
      <c r="AQ104" s="798">
        <f>SUMIF('Venture Summary - Mthly'!$E$8:$EG$8,AQ$9,'Venture Summary - Mthly'!$E107:$EG107)</f>
        <v>0</v>
      </c>
      <c r="AR104" s="798">
        <f>SUMIF('Venture Summary - Mthly'!$E$8:$EG$8,AR$9,'Venture Summary - Mthly'!$E107:$EG107)</f>
        <v>0</v>
      </c>
      <c r="AS104" s="798">
        <f>SUMIF('Venture Summary - Mthly'!$E$8:$EG$8,AS$9,'Venture Summary - Mthly'!$E107:$EG107)</f>
        <v>0</v>
      </c>
      <c r="AT104" s="798">
        <f>SUMIF('Venture Summary - Mthly'!$E$8:$EG$8,AT$9,'Venture Summary - Mthly'!$E107:$EG107)</f>
        <v>0</v>
      </c>
      <c r="AU104" s="798">
        <f>SUMIF('Venture Summary - Mthly'!$E$8:$EG$8,AU$9,'Venture Summary - Mthly'!$E107:$EG107)</f>
        <v>0</v>
      </c>
      <c r="AV104" s="798">
        <f>SUMIF('Venture Summary - Mthly'!$E$8:$EG$8,AV$9,'Venture Summary - Mthly'!$E107:$EG107)</f>
        <v>0</v>
      </c>
      <c r="AW104" s="798">
        <f>SUMIF('Venture Summary - Mthly'!$E$8:$EG$8,AW$9,'Venture Summary - Mthly'!$E107:$EG107)</f>
        <v>0</v>
      </c>
      <c r="AX104" s="798"/>
    </row>
    <row r="105" spans="1:50" ht="12.75" customHeight="1" x14ac:dyDescent="0.3">
      <c r="A105" s="782"/>
      <c r="B105" s="782" t="s">
        <v>68</v>
      </c>
      <c r="C105" s="806">
        <f>+'Venture Assumptions'!F39</f>
        <v>0.5</v>
      </c>
      <c r="D105" s="782"/>
      <c r="E105" s="798">
        <f>SUMIF('Venture Summary - Mthly'!$E$8:$EG$8,E$9,'Venture Summary - Mthly'!$E108:$EG108)</f>
        <v>0</v>
      </c>
      <c r="F105" s="798">
        <f>SUMIF('Venture Summary - Mthly'!$E$8:$EG$8,F$9,'Venture Summary - Mthly'!$E108:$EG108)</f>
        <v>0</v>
      </c>
      <c r="G105" s="798">
        <f>SUMIF('Venture Summary - Mthly'!$E$8:$EG$8,G$9,'Venture Summary - Mthly'!$E108:$EG108)</f>
        <v>0</v>
      </c>
      <c r="H105" s="798">
        <f>SUMIF('Venture Summary - Mthly'!$E$8:$EG$8,H$9,'Venture Summary - Mthly'!$E108:$EG108)</f>
        <v>0</v>
      </c>
      <c r="I105" s="798">
        <f>SUMIF('Venture Summary - Mthly'!$E$8:$EG$8,I$9,'Venture Summary - Mthly'!$E108:$EG108)</f>
        <v>0</v>
      </c>
      <c r="J105" s="798">
        <f>SUMIF('Venture Summary - Mthly'!$E$8:$EG$8,J$9,'Venture Summary - Mthly'!$E108:$EG108)</f>
        <v>0</v>
      </c>
      <c r="K105" s="798">
        <f>SUMIF('Venture Summary - Mthly'!$E$8:$EG$8,K$9,'Venture Summary - Mthly'!$E108:$EG108)</f>
        <v>0</v>
      </c>
      <c r="L105" s="798">
        <f>SUMIF('Venture Summary - Mthly'!$E$8:$EG$8,L$9,'Venture Summary - Mthly'!$E108:$EG108)</f>
        <v>0</v>
      </c>
      <c r="M105" s="798">
        <f>SUMIF('Venture Summary - Mthly'!$E$8:$EG$8,M$9,'Venture Summary - Mthly'!$E108:$EG108)</f>
        <v>0</v>
      </c>
      <c r="N105" s="798">
        <f>SUMIF('Venture Summary - Mthly'!$E$8:$EG$8,N$9,'Venture Summary - Mthly'!$E108:$EG108)</f>
        <v>0</v>
      </c>
      <c r="O105" s="798">
        <f>SUMIF('Venture Summary - Mthly'!$E$8:$EG$8,O$9,'Venture Summary - Mthly'!$E108:$EG108)</f>
        <v>0</v>
      </c>
      <c r="P105" s="798">
        <f>SUMIF('Venture Summary - Mthly'!$E$8:$EG$8,P$9,'Venture Summary - Mthly'!$E108:$EG108)</f>
        <v>3738706.4201072082</v>
      </c>
      <c r="Q105" s="798">
        <f>SUMIF('Venture Summary - Mthly'!$E$8:$EG$8,Q$9,'Venture Summary - Mthly'!$E108:$EG108)</f>
        <v>0</v>
      </c>
      <c r="R105" s="798">
        <f>SUMIF('Venture Summary - Mthly'!$E$8:$EG$8,R$9,'Venture Summary - Mthly'!$E108:$EG108)</f>
        <v>0</v>
      </c>
      <c r="S105" s="798">
        <f>SUMIF('Venture Summary - Mthly'!$E$8:$EG$8,S$9,'Venture Summary - Mthly'!$E108:$EG108)</f>
        <v>0</v>
      </c>
      <c r="T105" s="798">
        <f>SUMIF('Venture Summary - Mthly'!$E$8:$EG$8,T$9,'Venture Summary - Mthly'!$E108:$EG108)</f>
        <v>0</v>
      </c>
      <c r="U105" s="798">
        <f>SUMIF('Venture Summary - Mthly'!$E$8:$EG$8,U$9,'Venture Summary - Mthly'!$E108:$EG108)</f>
        <v>0</v>
      </c>
      <c r="V105" s="798">
        <f>SUMIF('Venture Summary - Mthly'!$E$8:$EG$8,V$9,'Venture Summary - Mthly'!$E108:$EG108)</f>
        <v>0</v>
      </c>
      <c r="W105" s="798">
        <f>SUMIF('Venture Summary - Mthly'!$E$8:$EG$8,W$9,'Venture Summary - Mthly'!$E108:$EG108)</f>
        <v>0</v>
      </c>
      <c r="X105" s="798">
        <f>SUMIF('Venture Summary - Mthly'!$E$8:$EG$8,X$9,'Venture Summary - Mthly'!$E108:$EG108)</f>
        <v>0</v>
      </c>
      <c r="Y105" s="798">
        <f>SUMIF('Venture Summary - Mthly'!$E$8:$EG$8,Y$9,'Venture Summary - Mthly'!$E108:$EG108)</f>
        <v>0</v>
      </c>
      <c r="Z105" s="798">
        <f>SUMIF('Venture Summary - Mthly'!$E$8:$EG$8,Z$9,'Venture Summary - Mthly'!$E108:$EG108)</f>
        <v>0</v>
      </c>
      <c r="AA105" s="798">
        <f>SUMIF('Venture Summary - Mthly'!$E$8:$EG$8,AA$9,'Venture Summary - Mthly'!$E108:$EG108)</f>
        <v>0</v>
      </c>
      <c r="AB105" s="798">
        <f>SUMIF('Venture Summary - Mthly'!$E$8:$EG$8,AB$9,'Venture Summary - Mthly'!$E108:$EG108)</f>
        <v>0</v>
      </c>
      <c r="AC105" s="798">
        <f>SUMIF('Venture Summary - Mthly'!$E$8:$EG$8,AC$9,'Venture Summary - Mthly'!$E108:$EG108)</f>
        <v>0</v>
      </c>
      <c r="AD105" s="798">
        <f>SUMIF('Venture Summary - Mthly'!$E$8:$EG$8,AD$9,'Venture Summary - Mthly'!$E108:$EG108)</f>
        <v>0</v>
      </c>
      <c r="AE105" s="798">
        <f>SUMIF('Venture Summary - Mthly'!$E$8:$EG$8,AE$9,'Venture Summary - Mthly'!$E108:$EG108)</f>
        <v>0</v>
      </c>
      <c r="AF105" s="798">
        <f>SUMIF('Venture Summary - Mthly'!$E$8:$EG$8,AF$9,'Venture Summary - Mthly'!$E108:$EG108)</f>
        <v>0</v>
      </c>
      <c r="AG105" s="798">
        <f>SUMIF('Venture Summary - Mthly'!$E$8:$EG$8,AG$9,'Venture Summary - Mthly'!$E108:$EG108)</f>
        <v>0</v>
      </c>
      <c r="AH105" s="798">
        <f>SUMIF('Venture Summary - Mthly'!$E$8:$EG$8,AH$9,'Venture Summary - Mthly'!$E108:$EG108)</f>
        <v>0</v>
      </c>
      <c r="AI105" s="798">
        <f>SUMIF('Venture Summary - Mthly'!$E$8:$EG$8,AI$9,'Venture Summary - Mthly'!$E108:$EG108)</f>
        <v>0</v>
      </c>
      <c r="AJ105" s="798">
        <f>SUMIF('Venture Summary - Mthly'!$E$8:$EG$8,AJ$9,'Venture Summary - Mthly'!$E108:$EG108)</f>
        <v>0</v>
      </c>
      <c r="AK105" s="798">
        <f>SUMIF('Venture Summary - Mthly'!$E$8:$EG$8,AK$9,'Venture Summary - Mthly'!$E108:$EG108)</f>
        <v>0</v>
      </c>
      <c r="AL105" s="798">
        <f>SUMIF('Venture Summary - Mthly'!$E$8:$EG$8,AL$9,'Venture Summary - Mthly'!$E108:$EG108)</f>
        <v>0</v>
      </c>
      <c r="AM105" s="798">
        <f>SUMIF('Venture Summary - Mthly'!$E$8:$EG$8,AM$9,'Venture Summary - Mthly'!$E108:$EG108)</f>
        <v>0</v>
      </c>
      <c r="AN105" s="798">
        <f>SUMIF('Venture Summary - Mthly'!$E$8:$EG$8,AN$9,'Venture Summary - Mthly'!$E108:$EG108)</f>
        <v>0</v>
      </c>
      <c r="AO105" s="798">
        <f>SUMIF('Venture Summary - Mthly'!$E$8:$EG$8,AO$9,'Venture Summary - Mthly'!$E108:$EG108)</f>
        <v>0</v>
      </c>
      <c r="AP105" s="798">
        <f>SUMIF('Venture Summary - Mthly'!$E$8:$EG$8,AP$9,'Venture Summary - Mthly'!$E108:$EG108)</f>
        <v>0</v>
      </c>
      <c r="AQ105" s="798">
        <f>SUMIF('Venture Summary - Mthly'!$E$8:$EG$8,AQ$9,'Venture Summary - Mthly'!$E108:$EG108)</f>
        <v>0</v>
      </c>
      <c r="AR105" s="798">
        <f>SUMIF('Venture Summary - Mthly'!$E$8:$EG$8,AR$9,'Venture Summary - Mthly'!$E108:$EG108)</f>
        <v>0</v>
      </c>
      <c r="AS105" s="798">
        <f>SUMIF('Venture Summary - Mthly'!$E$8:$EG$8,AS$9,'Venture Summary - Mthly'!$E108:$EG108)</f>
        <v>0</v>
      </c>
      <c r="AT105" s="798">
        <f>SUMIF('Venture Summary - Mthly'!$E$8:$EG$8,AT$9,'Venture Summary - Mthly'!$E108:$EG108)</f>
        <v>0</v>
      </c>
      <c r="AU105" s="798">
        <f>SUMIF('Venture Summary - Mthly'!$E$8:$EG$8,AU$9,'Venture Summary - Mthly'!$E108:$EG108)</f>
        <v>0</v>
      </c>
      <c r="AV105" s="798">
        <f>SUMIF('Venture Summary - Mthly'!$E$8:$EG$8,AV$9,'Venture Summary - Mthly'!$E108:$EG108)</f>
        <v>0</v>
      </c>
      <c r="AW105" s="798">
        <f>SUMIF('Venture Summary - Mthly'!$E$8:$EG$8,AW$9,'Venture Summary - Mthly'!$E108:$EG108)</f>
        <v>0</v>
      </c>
      <c r="AX105" s="798"/>
    </row>
    <row r="106" spans="1:50" ht="12.75" customHeight="1" x14ac:dyDescent="0.3">
      <c r="A106" s="782"/>
      <c r="B106" s="782"/>
      <c r="C106" s="782"/>
      <c r="D106" s="782"/>
      <c r="E106" s="798"/>
      <c r="F106" s="798"/>
      <c r="G106" s="798"/>
      <c r="H106" s="798"/>
      <c r="I106" s="798"/>
      <c r="J106" s="798"/>
      <c r="K106" s="798"/>
      <c r="L106" s="798"/>
      <c r="M106" s="798"/>
      <c r="N106" s="798"/>
      <c r="O106" s="798"/>
      <c r="P106" s="798"/>
      <c r="Q106" s="798"/>
      <c r="R106" s="798"/>
      <c r="S106" s="798"/>
      <c r="T106" s="798"/>
      <c r="U106" s="798"/>
      <c r="V106" s="798"/>
      <c r="W106" s="798"/>
      <c r="X106" s="798"/>
      <c r="Y106" s="798"/>
      <c r="Z106" s="798"/>
      <c r="AA106" s="798"/>
      <c r="AB106" s="798"/>
      <c r="AC106" s="798"/>
      <c r="AD106" s="798"/>
      <c r="AE106" s="798"/>
      <c r="AF106" s="798"/>
      <c r="AG106" s="798"/>
      <c r="AH106" s="798"/>
      <c r="AI106" s="798"/>
      <c r="AJ106" s="798"/>
      <c r="AK106" s="798"/>
      <c r="AL106" s="798"/>
      <c r="AM106" s="798"/>
      <c r="AN106" s="798"/>
      <c r="AO106" s="798"/>
      <c r="AP106" s="798"/>
      <c r="AQ106" s="798"/>
      <c r="AR106" s="798"/>
      <c r="AS106" s="798"/>
      <c r="AT106" s="798"/>
      <c r="AU106" s="798"/>
      <c r="AV106" s="798"/>
      <c r="AW106" s="798"/>
      <c r="AX106" s="798"/>
    </row>
    <row r="107" spans="1:50" ht="12.75" customHeight="1" x14ac:dyDescent="0.3">
      <c r="A107" s="782"/>
      <c r="B107" s="782" t="s">
        <v>69</v>
      </c>
      <c r="C107" s="798">
        <f>SUM(E107:AX107)</f>
        <v>6868726.7816661661</v>
      </c>
      <c r="D107" s="782"/>
      <c r="E107" s="798">
        <f>SUM(E105,E96,E80,E88)</f>
        <v>0</v>
      </c>
      <c r="F107" s="798">
        <f t="shared" ref="F107:AW107" si="19">SUM(F105,F96,F80,F88)</f>
        <v>0</v>
      </c>
      <c r="G107" s="798">
        <f t="shared" si="19"/>
        <v>0</v>
      </c>
      <c r="H107" s="798">
        <f t="shared" si="19"/>
        <v>0</v>
      </c>
      <c r="I107" s="798">
        <f t="shared" si="19"/>
        <v>0</v>
      </c>
      <c r="J107" s="798">
        <f t="shared" si="19"/>
        <v>0</v>
      </c>
      <c r="K107" s="798">
        <f t="shared" si="19"/>
        <v>0</v>
      </c>
      <c r="L107" s="798">
        <f t="shared" si="19"/>
        <v>0</v>
      </c>
      <c r="M107" s="798">
        <f t="shared" si="19"/>
        <v>0</v>
      </c>
      <c r="N107" s="798">
        <f t="shared" si="19"/>
        <v>0</v>
      </c>
      <c r="O107" s="798">
        <f t="shared" si="19"/>
        <v>0</v>
      </c>
      <c r="P107" s="798">
        <f t="shared" si="19"/>
        <v>6868726.7816661661</v>
      </c>
      <c r="Q107" s="798">
        <f t="shared" si="19"/>
        <v>0</v>
      </c>
      <c r="R107" s="798">
        <f t="shared" si="19"/>
        <v>0</v>
      </c>
      <c r="S107" s="798">
        <f t="shared" si="19"/>
        <v>0</v>
      </c>
      <c r="T107" s="798">
        <f t="shared" si="19"/>
        <v>0</v>
      </c>
      <c r="U107" s="798">
        <f t="shared" si="19"/>
        <v>0</v>
      </c>
      <c r="V107" s="798">
        <f t="shared" si="19"/>
        <v>0</v>
      </c>
      <c r="W107" s="798">
        <f t="shared" si="19"/>
        <v>0</v>
      </c>
      <c r="X107" s="798">
        <f t="shared" si="19"/>
        <v>0</v>
      </c>
      <c r="Y107" s="798">
        <f t="shared" si="19"/>
        <v>0</v>
      </c>
      <c r="Z107" s="798">
        <f t="shared" si="19"/>
        <v>0</v>
      </c>
      <c r="AA107" s="798">
        <f t="shared" si="19"/>
        <v>0</v>
      </c>
      <c r="AB107" s="798">
        <f t="shared" si="19"/>
        <v>0</v>
      </c>
      <c r="AC107" s="798">
        <f t="shared" si="19"/>
        <v>0</v>
      </c>
      <c r="AD107" s="798">
        <f t="shared" si="19"/>
        <v>0</v>
      </c>
      <c r="AE107" s="798">
        <f t="shared" si="19"/>
        <v>0</v>
      </c>
      <c r="AF107" s="798">
        <f t="shared" si="19"/>
        <v>0</v>
      </c>
      <c r="AG107" s="798">
        <f t="shared" si="19"/>
        <v>0</v>
      </c>
      <c r="AH107" s="798">
        <f t="shared" si="19"/>
        <v>0</v>
      </c>
      <c r="AI107" s="798">
        <f t="shared" si="19"/>
        <v>0</v>
      </c>
      <c r="AJ107" s="798">
        <f t="shared" si="19"/>
        <v>0</v>
      </c>
      <c r="AK107" s="798">
        <f t="shared" si="19"/>
        <v>0</v>
      </c>
      <c r="AL107" s="798">
        <f t="shared" si="19"/>
        <v>0</v>
      </c>
      <c r="AM107" s="798">
        <f t="shared" si="19"/>
        <v>0</v>
      </c>
      <c r="AN107" s="798">
        <f t="shared" si="19"/>
        <v>0</v>
      </c>
      <c r="AO107" s="798">
        <f t="shared" si="19"/>
        <v>0</v>
      </c>
      <c r="AP107" s="798">
        <f t="shared" si="19"/>
        <v>0</v>
      </c>
      <c r="AQ107" s="798">
        <f t="shared" si="19"/>
        <v>0</v>
      </c>
      <c r="AR107" s="798">
        <f t="shared" si="19"/>
        <v>0</v>
      </c>
      <c r="AS107" s="798">
        <f t="shared" si="19"/>
        <v>0</v>
      </c>
      <c r="AT107" s="798">
        <f t="shared" si="19"/>
        <v>0</v>
      </c>
      <c r="AU107" s="798">
        <f t="shared" si="19"/>
        <v>0</v>
      </c>
      <c r="AV107" s="798">
        <f t="shared" si="19"/>
        <v>0</v>
      </c>
      <c r="AW107" s="798">
        <f t="shared" si="19"/>
        <v>0</v>
      </c>
      <c r="AX107" s="798"/>
    </row>
    <row r="108" spans="1:50" ht="12.75" customHeight="1" x14ac:dyDescent="0.3">
      <c r="A108" s="782"/>
      <c r="B108" s="782"/>
      <c r="C108" s="782"/>
      <c r="D108" s="782"/>
      <c r="E108" s="782"/>
      <c r="F108" s="782"/>
      <c r="G108" s="782"/>
      <c r="H108" s="782"/>
      <c r="I108" s="782"/>
      <c r="J108" s="782"/>
      <c r="K108" s="782"/>
      <c r="L108" s="782"/>
      <c r="M108" s="782"/>
      <c r="N108" s="782"/>
      <c r="O108" s="782"/>
      <c r="P108" s="782"/>
      <c r="Q108" s="782"/>
      <c r="R108" s="782"/>
      <c r="S108" s="782"/>
      <c r="T108" s="782"/>
      <c r="U108" s="782"/>
      <c r="V108" s="782"/>
      <c r="W108" s="782"/>
      <c r="X108" s="782"/>
      <c r="Y108" s="782"/>
      <c r="Z108" s="782"/>
      <c r="AA108" s="782"/>
      <c r="AB108" s="782"/>
      <c r="AC108" s="782"/>
      <c r="AD108" s="782"/>
      <c r="AE108" s="782"/>
      <c r="AF108" s="782"/>
      <c r="AG108" s="782"/>
      <c r="AH108" s="782"/>
      <c r="AI108" s="782"/>
      <c r="AJ108" s="782"/>
      <c r="AK108" s="782"/>
      <c r="AL108" s="782"/>
      <c r="AM108" s="782"/>
      <c r="AN108" s="782"/>
      <c r="AO108" s="782"/>
      <c r="AP108" s="782"/>
      <c r="AQ108" s="782"/>
      <c r="AR108" s="782"/>
      <c r="AS108" s="782"/>
      <c r="AT108" s="782"/>
      <c r="AU108" s="782"/>
      <c r="AV108" s="782"/>
      <c r="AW108" s="782"/>
      <c r="AX108" s="782"/>
    </row>
    <row r="109" spans="1:50" ht="12.75" customHeight="1" x14ac:dyDescent="0.3">
      <c r="A109" s="782"/>
      <c r="B109" s="793" t="s">
        <v>70</v>
      </c>
      <c r="C109" s="794"/>
      <c r="D109" s="794"/>
      <c r="E109" s="794"/>
      <c r="F109" s="794"/>
      <c r="G109" s="794"/>
      <c r="H109" s="794"/>
      <c r="I109" s="794"/>
      <c r="J109" s="794"/>
      <c r="K109" s="794"/>
      <c r="L109" s="794"/>
      <c r="M109" s="794"/>
      <c r="N109" s="794"/>
      <c r="O109" s="794"/>
      <c r="P109" s="794"/>
      <c r="Q109" s="794"/>
      <c r="R109" s="794"/>
      <c r="S109" s="794"/>
      <c r="T109" s="794"/>
      <c r="U109" s="794"/>
      <c r="V109" s="794"/>
      <c r="W109" s="794"/>
      <c r="X109" s="794"/>
      <c r="Y109" s="794"/>
      <c r="Z109" s="794"/>
      <c r="AA109" s="794"/>
      <c r="AB109" s="794"/>
      <c r="AC109" s="794"/>
      <c r="AD109" s="794"/>
      <c r="AE109" s="794"/>
      <c r="AF109" s="794"/>
      <c r="AG109" s="794"/>
      <c r="AH109" s="794"/>
      <c r="AI109" s="794"/>
      <c r="AJ109" s="794"/>
      <c r="AK109" s="794"/>
      <c r="AL109" s="794"/>
      <c r="AM109" s="794"/>
      <c r="AN109" s="794"/>
      <c r="AO109" s="794"/>
      <c r="AP109" s="794"/>
      <c r="AQ109" s="794"/>
      <c r="AR109" s="794"/>
      <c r="AS109" s="794"/>
      <c r="AT109" s="794"/>
      <c r="AU109" s="794"/>
      <c r="AV109" s="794"/>
      <c r="AW109" s="794"/>
      <c r="AX109" s="794"/>
    </row>
    <row r="110" spans="1:50" ht="12.75" customHeight="1" x14ac:dyDescent="0.3">
      <c r="A110" s="782"/>
      <c r="B110" s="782"/>
      <c r="C110" s="782"/>
      <c r="D110" s="782"/>
      <c r="E110" s="782"/>
      <c r="F110" s="782"/>
      <c r="G110" s="782"/>
      <c r="H110" s="782"/>
      <c r="I110" s="782"/>
      <c r="J110" s="782"/>
      <c r="K110" s="782"/>
      <c r="L110" s="782"/>
      <c r="M110" s="782"/>
      <c r="N110" s="782"/>
      <c r="O110" s="782"/>
      <c r="P110" s="782"/>
      <c r="Q110" s="782"/>
      <c r="R110" s="782"/>
      <c r="S110" s="782"/>
      <c r="T110" s="782"/>
      <c r="U110" s="782"/>
      <c r="V110" s="782"/>
      <c r="W110" s="782"/>
      <c r="X110" s="782"/>
      <c r="Y110" s="782"/>
      <c r="Z110" s="782"/>
      <c r="AA110" s="782"/>
      <c r="AB110" s="782"/>
      <c r="AC110" s="782"/>
      <c r="AD110" s="782"/>
      <c r="AE110" s="782"/>
      <c r="AF110" s="782"/>
      <c r="AG110" s="782"/>
      <c r="AH110" s="782"/>
      <c r="AI110" s="782"/>
      <c r="AJ110" s="782"/>
      <c r="AK110" s="782"/>
      <c r="AL110" s="782"/>
      <c r="AM110" s="782"/>
      <c r="AN110" s="782"/>
      <c r="AO110" s="782"/>
      <c r="AP110" s="782"/>
      <c r="AQ110" s="782"/>
      <c r="AR110" s="782"/>
      <c r="AS110" s="782"/>
      <c r="AT110" s="782"/>
      <c r="AU110" s="782"/>
      <c r="AV110" s="782"/>
      <c r="AW110" s="782"/>
      <c r="AX110" s="782"/>
    </row>
    <row r="111" spans="1:50" ht="12.75" customHeight="1" x14ac:dyDescent="0.3">
      <c r="A111" s="782"/>
      <c r="B111" s="782" t="s">
        <v>71</v>
      </c>
      <c r="C111" s="798">
        <f t="shared" ref="C111:C117" si="20">SUM(E111:AX111)</f>
        <v>-104261112.5593228</v>
      </c>
      <c r="D111" s="782"/>
      <c r="E111" s="798">
        <f>SUMIF('Venture Summary - Mthly'!$E$8:$EG$8,E$9,'Venture Summary - Mthly'!$E114:$EG114)</f>
        <v>0</v>
      </c>
      <c r="F111" s="798">
        <f>SUMIF('Venture Summary - Mthly'!$E$8:$EG$8,F$9,'Venture Summary - Mthly'!$E114:$EG114)</f>
        <v>0</v>
      </c>
      <c r="G111" s="798">
        <f>SUMIF('Venture Summary - Mthly'!$E$8:$EG$8,G$9,'Venture Summary - Mthly'!$E114:$EG114)</f>
        <v>0</v>
      </c>
      <c r="H111" s="798">
        <f>SUMIF('Venture Summary - Mthly'!$E$8:$EG$8,H$9,'Venture Summary - Mthly'!$E114:$EG114)</f>
        <v>0</v>
      </c>
      <c r="I111" s="798">
        <f>SUMIF('Venture Summary - Mthly'!$E$8:$EG$8,I$9,'Venture Summary - Mthly'!$E114:$EG114)</f>
        <v>0</v>
      </c>
      <c r="J111" s="798">
        <f>SUMIF('Venture Summary - Mthly'!$E$8:$EG$8,J$9,'Venture Summary - Mthly'!$E114:$EG114)</f>
        <v>0</v>
      </c>
      <c r="K111" s="798">
        <f>SUMIF('Venture Summary - Mthly'!$E$8:$EG$8,K$9,'Venture Summary - Mthly'!$E114:$EG114)</f>
        <v>0</v>
      </c>
      <c r="L111" s="798">
        <f>SUMIF('Venture Summary - Mthly'!$E$8:$EG$8,L$9,'Venture Summary - Mthly'!$E114:$EG114)</f>
        <v>0</v>
      </c>
      <c r="M111" s="798">
        <f>SUMIF('Venture Summary - Mthly'!$E$8:$EG$8,M$9,'Venture Summary - Mthly'!$E114:$EG114)</f>
        <v>0</v>
      </c>
      <c r="N111" s="798">
        <f>SUMIF('Venture Summary - Mthly'!$E$8:$EG$8,N$9,'Venture Summary - Mthly'!$E114:$EG114)</f>
        <v>0</v>
      </c>
      <c r="O111" s="798">
        <f>SUMIF('Venture Summary - Mthly'!$E$8:$EG$8,O$9,'Venture Summary - Mthly'!$E114:$EG114)</f>
        <v>0</v>
      </c>
      <c r="P111" s="798">
        <f>SUMIF('Venture Summary - Mthly'!$E$8:$EG$8,P$9,'Venture Summary - Mthly'!$E114:$EG114)</f>
        <v>-104261112.5593228</v>
      </c>
      <c r="Q111" s="798">
        <f>SUMIF('Venture Summary - Mthly'!$E$8:$EG$8,Q$9,'Venture Summary - Mthly'!$E114:$EG114)</f>
        <v>0</v>
      </c>
      <c r="R111" s="798">
        <f>SUMIF('Venture Summary - Mthly'!$E$8:$EG$8,R$9,'Venture Summary - Mthly'!$E114:$EG114)</f>
        <v>0</v>
      </c>
      <c r="S111" s="798">
        <f>SUMIF('Venture Summary - Mthly'!$E$8:$EG$8,S$9,'Venture Summary - Mthly'!$E114:$EG114)</f>
        <v>0</v>
      </c>
      <c r="T111" s="798">
        <f>SUMIF('Venture Summary - Mthly'!$E$8:$EG$8,T$9,'Venture Summary - Mthly'!$E114:$EG114)</f>
        <v>0</v>
      </c>
      <c r="U111" s="798">
        <f>SUMIF('Venture Summary - Mthly'!$E$8:$EG$8,U$9,'Venture Summary - Mthly'!$E114:$EG114)</f>
        <v>0</v>
      </c>
      <c r="V111" s="798">
        <f>SUMIF('Venture Summary - Mthly'!$E$8:$EG$8,V$9,'Venture Summary - Mthly'!$E114:$EG114)</f>
        <v>0</v>
      </c>
      <c r="W111" s="798">
        <f>SUMIF('Venture Summary - Mthly'!$E$8:$EG$8,W$9,'Venture Summary - Mthly'!$E114:$EG114)</f>
        <v>0</v>
      </c>
      <c r="X111" s="798">
        <f>SUMIF('Venture Summary - Mthly'!$E$8:$EG$8,X$9,'Venture Summary - Mthly'!$E114:$EG114)</f>
        <v>0</v>
      </c>
      <c r="Y111" s="798">
        <f>SUMIF('Venture Summary - Mthly'!$E$8:$EG$8,Y$9,'Venture Summary - Mthly'!$E114:$EG114)</f>
        <v>0</v>
      </c>
      <c r="Z111" s="798">
        <f>SUMIF('Venture Summary - Mthly'!$E$8:$EG$8,Z$9,'Venture Summary - Mthly'!$E114:$EG114)</f>
        <v>0</v>
      </c>
      <c r="AA111" s="798">
        <f>SUMIF('Venture Summary - Mthly'!$E$8:$EG$8,AA$9,'Venture Summary - Mthly'!$E114:$EG114)</f>
        <v>0</v>
      </c>
      <c r="AB111" s="798">
        <f>SUMIF('Venture Summary - Mthly'!$E$8:$EG$8,AB$9,'Venture Summary - Mthly'!$E114:$EG114)</f>
        <v>0</v>
      </c>
      <c r="AC111" s="798">
        <f>SUMIF('Venture Summary - Mthly'!$E$8:$EG$8,AC$9,'Venture Summary - Mthly'!$E114:$EG114)</f>
        <v>0</v>
      </c>
      <c r="AD111" s="798">
        <f>SUMIF('Venture Summary - Mthly'!$E$8:$EG$8,AD$9,'Venture Summary - Mthly'!$E114:$EG114)</f>
        <v>0</v>
      </c>
      <c r="AE111" s="798">
        <f>SUMIF('Venture Summary - Mthly'!$E$8:$EG$8,AE$9,'Venture Summary - Mthly'!$E114:$EG114)</f>
        <v>0</v>
      </c>
      <c r="AF111" s="798">
        <f>SUMIF('Venture Summary - Mthly'!$E$8:$EG$8,AF$9,'Venture Summary - Mthly'!$E114:$EG114)</f>
        <v>0</v>
      </c>
      <c r="AG111" s="798">
        <f>SUMIF('Venture Summary - Mthly'!$E$8:$EG$8,AG$9,'Venture Summary - Mthly'!$E114:$EG114)</f>
        <v>0</v>
      </c>
      <c r="AH111" s="798">
        <f>SUMIF('Venture Summary - Mthly'!$E$8:$EG$8,AH$9,'Venture Summary - Mthly'!$E114:$EG114)</f>
        <v>0</v>
      </c>
      <c r="AI111" s="798">
        <f>SUMIF('Venture Summary - Mthly'!$E$8:$EG$8,AI$9,'Venture Summary - Mthly'!$E114:$EG114)</f>
        <v>0</v>
      </c>
      <c r="AJ111" s="798">
        <f>SUMIF('Venture Summary - Mthly'!$E$8:$EG$8,AJ$9,'Venture Summary - Mthly'!$E114:$EG114)</f>
        <v>0</v>
      </c>
      <c r="AK111" s="798">
        <f>SUMIF('Venture Summary - Mthly'!$E$8:$EG$8,AK$9,'Venture Summary - Mthly'!$E114:$EG114)</f>
        <v>0</v>
      </c>
      <c r="AL111" s="798">
        <f>SUMIF('Venture Summary - Mthly'!$E$8:$EG$8,AL$9,'Venture Summary - Mthly'!$E114:$EG114)</f>
        <v>0</v>
      </c>
      <c r="AM111" s="798">
        <f>SUMIF('Venture Summary - Mthly'!$E$8:$EG$8,AM$9,'Venture Summary - Mthly'!$E114:$EG114)</f>
        <v>0</v>
      </c>
      <c r="AN111" s="798">
        <f>SUMIF('Venture Summary - Mthly'!$E$8:$EG$8,AN$9,'Venture Summary - Mthly'!$E114:$EG114)</f>
        <v>0</v>
      </c>
      <c r="AO111" s="798">
        <f>SUMIF('Venture Summary - Mthly'!$E$8:$EG$8,AO$9,'Venture Summary - Mthly'!$E114:$EG114)</f>
        <v>0</v>
      </c>
      <c r="AP111" s="798">
        <f>SUMIF('Venture Summary - Mthly'!$E$8:$EG$8,AP$9,'Venture Summary - Mthly'!$E114:$EG114)</f>
        <v>0</v>
      </c>
      <c r="AQ111" s="798">
        <f>SUMIF('Venture Summary - Mthly'!$E$8:$EG$8,AQ$9,'Venture Summary - Mthly'!$E114:$EG114)</f>
        <v>0</v>
      </c>
      <c r="AR111" s="798">
        <f>SUMIF('Venture Summary - Mthly'!$E$8:$EG$8,AR$9,'Venture Summary - Mthly'!$E114:$EG114)</f>
        <v>0</v>
      </c>
      <c r="AS111" s="798">
        <f>SUMIF('Venture Summary - Mthly'!$E$8:$EG$8,AS$9,'Venture Summary - Mthly'!$E114:$EG114)</f>
        <v>0</v>
      </c>
      <c r="AT111" s="798">
        <f>SUMIF('Venture Summary - Mthly'!$E$8:$EG$8,AT$9,'Venture Summary - Mthly'!$E114:$EG114)</f>
        <v>0</v>
      </c>
      <c r="AU111" s="798">
        <f>SUMIF('Venture Summary - Mthly'!$E$8:$EG$8,AU$9,'Venture Summary - Mthly'!$E114:$EG114)</f>
        <v>0</v>
      </c>
      <c r="AV111" s="798">
        <f>SUMIF('Venture Summary - Mthly'!$E$8:$EG$8,AV$9,'Venture Summary - Mthly'!$E114:$EG114)</f>
        <v>0</v>
      </c>
      <c r="AW111" s="798">
        <f>SUMIF('Venture Summary - Mthly'!$E$8:$EG$8,AW$9,'Venture Summary - Mthly'!$E114:$EG114)</f>
        <v>0</v>
      </c>
      <c r="AX111" s="798"/>
    </row>
    <row r="112" spans="1:50" ht="12.75" customHeight="1" x14ac:dyDescent="0.3">
      <c r="A112" s="782"/>
      <c r="B112" s="782" t="s">
        <v>72</v>
      </c>
      <c r="C112" s="798">
        <f t="shared" si="20"/>
        <v>0</v>
      </c>
      <c r="D112" s="782"/>
      <c r="E112" s="798">
        <f>SUMIF('Venture Summary - Mthly'!$E$8:$EG$8,E$9,'Venture Summary - Mthly'!$E115:$EG115)</f>
        <v>0</v>
      </c>
      <c r="F112" s="798">
        <f>SUMIF('Venture Summary - Mthly'!$E$8:$EG$8,F$9,'Venture Summary - Mthly'!$E115:$EG115)</f>
        <v>0</v>
      </c>
      <c r="G112" s="798">
        <f>SUMIF('Venture Summary - Mthly'!$E$8:$EG$8,G$9,'Venture Summary - Mthly'!$E115:$EG115)</f>
        <v>0</v>
      </c>
      <c r="H112" s="798">
        <f>SUMIF('Venture Summary - Mthly'!$E$8:$EG$8,H$9,'Venture Summary - Mthly'!$E115:$EG115)</f>
        <v>0</v>
      </c>
      <c r="I112" s="798">
        <f>SUMIF('Venture Summary - Mthly'!$E$8:$EG$8,I$9,'Venture Summary - Mthly'!$E115:$EG115)</f>
        <v>0</v>
      </c>
      <c r="J112" s="798">
        <f>SUMIF('Venture Summary - Mthly'!$E$8:$EG$8,J$9,'Venture Summary - Mthly'!$E115:$EG115)</f>
        <v>0</v>
      </c>
      <c r="K112" s="798">
        <f>SUMIF('Venture Summary - Mthly'!$E$8:$EG$8,K$9,'Venture Summary - Mthly'!$E115:$EG115)</f>
        <v>0</v>
      </c>
      <c r="L112" s="798">
        <f>SUMIF('Venture Summary - Mthly'!$E$8:$EG$8,L$9,'Venture Summary - Mthly'!$E115:$EG115)</f>
        <v>0</v>
      </c>
      <c r="M112" s="798">
        <f>SUMIF('Venture Summary - Mthly'!$E$8:$EG$8,M$9,'Venture Summary - Mthly'!$E115:$EG115)</f>
        <v>0</v>
      </c>
      <c r="N112" s="798">
        <f>SUMIF('Venture Summary - Mthly'!$E$8:$EG$8,N$9,'Venture Summary - Mthly'!$E115:$EG115)</f>
        <v>0</v>
      </c>
      <c r="O112" s="798">
        <f>SUMIF('Venture Summary - Mthly'!$E$8:$EG$8,O$9,'Venture Summary - Mthly'!$E115:$EG115)</f>
        <v>0</v>
      </c>
      <c r="P112" s="798">
        <f>SUMIF('Venture Summary - Mthly'!$E$8:$EG$8,P$9,'Venture Summary - Mthly'!$E115:$EG115)</f>
        <v>0</v>
      </c>
      <c r="Q112" s="798">
        <f>SUMIF('Venture Summary - Mthly'!$E$8:$EG$8,Q$9,'Venture Summary - Mthly'!$E115:$EG115)</f>
        <v>0</v>
      </c>
      <c r="R112" s="798">
        <f>SUMIF('Venture Summary - Mthly'!$E$8:$EG$8,R$9,'Venture Summary - Mthly'!$E115:$EG115)</f>
        <v>0</v>
      </c>
      <c r="S112" s="798">
        <f>SUMIF('Venture Summary - Mthly'!$E$8:$EG$8,S$9,'Venture Summary - Mthly'!$E115:$EG115)</f>
        <v>0</v>
      </c>
      <c r="T112" s="798">
        <f>SUMIF('Venture Summary - Mthly'!$E$8:$EG$8,T$9,'Venture Summary - Mthly'!$E115:$EG115)</f>
        <v>0</v>
      </c>
      <c r="U112" s="798">
        <f>SUMIF('Venture Summary - Mthly'!$E$8:$EG$8,U$9,'Venture Summary - Mthly'!$E115:$EG115)</f>
        <v>0</v>
      </c>
      <c r="V112" s="798">
        <f>SUMIF('Venture Summary - Mthly'!$E$8:$EG$8,V$9,'Venture Summary - Mthly'!$E115:$EG115)</f>
        <v>0</v>
      </c>
      <c r="W112" s="798">
        <f>SUMIF('Venture Summary - Mthly'!$E$8:$EG$8,W$9,'Venture Summary - Mthly'!$E115:$EG115)</f>
        <v>0</v>
      </c>
      <c r="X112" s="798">
        <f>SUMIF('Venture Summary - Mthly'!$E$8:$EG$8,X$9,'Venture Summary - Mthly'!$E115:$EG115)</f>
        <v>0</v>
      </c>
      <c r="Y112" s="798">
        <f>SUMIF('Venture Summary - Mthly'!$E$8:$EG$8,Y$9,'Venture Summary - Mthly'!$E115:$EG115)</f>
        <v>0</v>
      </c>
      <c r="Z112" s="798">
        <f>SUMIF('Venture Summary - Mthly'!$E$8:$EG$8,Z$9,'Venture Summary - Mthly'!$E115:$EG115)</f>
        <v>0</v>
      </c>
      <c r="AA112" s="798">
        <f>SUMIF('Venture Summary - Mthly'!$E$8:$EG$8,AA$9,'Venture Summary - Mthly'!$E115:$EG115)</f>
        <v>0</v>
      </c>
      <c r="AB112" s="798">
        <f>SUMIF('Venture Summary - Mthly'!$E$8:$EG$8,AB$9,'Venture Summary - Mthly'!$E115:$EG115)</f>
        <v>0</v>
      </c>
      <c r="AC112" s="798">
        <f>SUMIF('Venture Summary - Mthly'!$E$8:$EG$8,AC$9,'Venture Summary - Mthly'!$E115:$EG115)</f>
        <v>0</v>
      </c>
      <c r="AD112" s="798">
        <f>SUMIF('Venture Summary - Mthly'!$E$8:$EG$8,AD$9,'Venture Summary - Mthly'!$E115:$EG115)</f>
        <v>0</v>
      </c>
      <c r="AE112" s="798">
        <f>SUMIF('Venture Summary - Mthly'!$E$8:$EG$8,AE$9,'Venture Summary - Mthly'!$E115:$EG115)</f>
        <v>0</v>
      </c>
      <c r="AF112" s="798">
        <f>SUMIF('Venture Summary - Mthly'!$E$8:$EG$8,AF$9,'Venture Summary - Mthly'!$E115:$EG115)</f>
        <v>0</v>
      </c>
      <c r="AG112" s="798">
        <f>SUMIF('Venture Summary - Mthly'!$E$8:$EG$8,AG$9,'Venture Summary - Mthly'!$E115:$EG115)</f>
        <v>0</v>
      </c>
      <c r="AH112" s="798">
        <f>SUMIF('Venture Summary - Mthly'!$E$8:$EG$8,AH$9,'Venture Summary - Mthly'!$E115:$EG115)</f>
        <v>0</v>
      </c>
      <c r="AI112" s="798">
        <f>SUMIF('Venture Summary - Mthly'!$E$8:$EG$8,AI$9,'Venture Summary - Mthly'!$E115:$EG115)</f>
        <v>0</v>
      </c>
      <c r="AJ112" s="798">
        <f>SUMIF('Venture Summary - Mthly'!$E$8:$EG$8,AJ$9,'Venture Summary - Mthly'!$E115:$EG115)</f>
        <v>0</v>
      </c>
      <c r="AK112" s="798">
        <f>SUMIF('Venture Summary - Mthly'!$E$8:$EG$8,AK$9,'Venture Summary - Mthly'!$E115:$EG115)</f>
        <v>0</v>
      </c>
      <c r="AL112" s="798">
        <f>SUMIF('Venture Summary - Mthly'!$E$8:$EG$8,AL$9,'Venture Summary - Mthly'!$E115:$EG115)</f>
        <v>0</v>
      </c>
      <c r="AM112" s="798">
        <f>SUMIF('Venture Summary - Mthly'!$E$8:$EG$8,AM$9,'Venture Summary - Mthly'!$E115:$EG115)</f>
        <v>0</v>
      </c>
      <c r="AN112" s="798">
        <f>SUMIF('Venture Summary - Mthly'!$E$8:$EG$8,AN$9,'Venture Summary - Mthly'!$E115:$EG115)</f>
        <v>0</v>
      </c>
      <c r="AO112" s="798">
        <f>SUMIF('Venture Summary - Mthly'!$E$8:$EG$8,AO$9,'Venture Summary - Mthly'!$E115:$EG115)</f>
        <v>0</v>
      </c>
      <c r="AP112" s="798">
        <f>SUMIF('Venture Summary - Mthly'!$E$8:$EG$8,AP$9,'Venture Summary - Mthly'!$E115:$EG115)</f>
        <v>0</v>
      </c>
      <c r="AQ112" s="798">
        <f>SUMIF('Venture Summary - Mthly'!$E$8:$EG$8,AQ$9,'Venture Summary - Mthly'!$E115:$EG115)</f>
        <v>0</v>
      </c>
      <c r="AR112" s="798">
        <f>SUMIF('Venture Summary - Mthly'!$E$8:$EG$8,AR$9,'Venture Summary - Mthly'!$E115:$EG115)</f>
        <v>0</v>
      </c>
      <c r="AS112" s="798">
        <f>SUMIF('Venture Summary - Mthly'!$E$8:$EG$8,AS$9,'Venture Summary - Mthly'!$E115:$EG115)</f>
        <v>0</v>
      </c>
      <c r="AT112" s="798">
        <f>SUMIF('Venture Summary - Mthly'!$E$8:$EG$8,AT$9,'Venture Summary - Mthly'!$E115:$EG115)</f>
        <v>0</v>
      </c>
      <c r="AU112" s="798">
        <f>SUMIF('Venture Summary - Mthly'!$E$8:$EG$8,AU$9,'Venture Summary - Mthly'!$E115:$EG115)</f>
        <v>0</v>
      </c>
      <c r="AV112" s="798">
        <f>SUMIF('Venture Summary - Mthly'!$E$8:$EG$8,AV$9,'Venture Summary - Mthly'!$E115:$EG115)</f>
        <v>0</v>
      </c>
      <c r="AW112" s="798">
        <f>SUMIF('Venture Summary - Mthly'!$E$8:$EG$8,AW$9,'Venture Summary - Mthly'!$E115:$EG115)</f>
        <v>0</v>
      </c>
      <c r="AX112" s="798"/>
    </row>
    <row r="113" spans="1:50" ht="12.75" customHeight="1" x14ac:dyDescent="0.3">
      <c r="A113" s="782"/>
      <c r="B113" s="782" t="s">
        <v>8</v>
      </c>
      <c r="C113" s="798">
        <f t="shared" si="20"/>
        <v>33505548.793417353</v>
      </c>
      <c r="D113" s="782"/>
      <c r="E113" s="798">
        <f>SUMIF('Venture Summary - Mthly'!$E$8:$EG$8,E$9,'Venture Summary - Mthly'!$E116:$EG116)</f>
        <v>0</v>
      </c>
      <c r="F113" s="798">
        <f>SUMIF('Venture Summary - Mthly'!$E$8:$EG$8,F$9,'Venture Summary - Mthly'!$E116:$EG116)</f>
        <v>0</v>
      </c>
      <c r="G113" s="798">
        <f>SUMIF('Venture Summary - Mthly'!$E$8:$EG$8,G$9,'Venture Summary - Mthly'!$E116:$EG116)</f>
        <v>0</v>
      </c>
      <c r="H113" s="798">
        <f>SUMIF('Venture Summary - Mthly'!$E$8:$EG$8,H$9,'Venture Summary - Mthly'!$E116:$EG116)</f>
        <v>0</v>
      </c>
      <c r="I113" s="798">
        <f>SUMIF('Venture Summary - Mthly'!$E$8:$EG$8,I$9,'Venture Summary - Mthly'!$E116:$EG116)</f>
        <v>0</v>
      </c>
      <c r="J113" s="798">
        <f>SUMIF('Venture Summary - Mthly'!$E$8:$EG$8,J$9,'Venture Summary - Mthly'!$E116:$EG116)</f>
        <v>0</v>
      </c>
      <c r="K113" s="798">
        <f>SUMIF('Venture Summary - Mthly'!$E$8:$EG$8,K$9,'Venture Summary - Mthly'!$E116:$EG116)</f>
        <v>0</v>
      </c>
      <c r="L113" s="798">
        <f>SUMIF('Venture Summary - Mthly'!$E$8:$EG$8,L$9,'Venture Summary - Mthly'!$E116:$EG116)</f>
        <v>0</v>
      </c>
      <c r="M113" s="798">
        <f>SUMIF('Venture Summary - Mthly'!$E$8:$EG$8,M$9,'Venture Summary - Mthly'!$E116:$EG116)</f>
        <v>0</v>
      </c>
      <c r="N113" s="798">
        <f>SUMIF('Venture Summary - Mthly'!$E$8:$EG$8,N$9,'Venture Summary - Mthly'!$E116:$EG116)</f>
        <v>0</v>
      </c>
      <c r="O113" s="798">
        <f>SUMIF('Venture Summary - Mthly'!$E$8:$EG$8,O$9,'Venture Summary - Mthly'!$E116:$EG116)</f>
        <v>0</v>
      </c>
      <c r="P113" s="798">
        <f>SUMIF('Venture Summary - Mthly'!$E$8:$EG$8,P$9,'Venture Summary - Mthly'!$E116:$EG116)</f>
        <v>466234.96025121264</v>
      </c>
      <c r="Q113" s="798">
        <f>SUMIF('Venture Summary - Mthly'!$E$8:$EG$8,Q$9,'Venture Summary - Mthly'!$E116:$EG116)</f>
        <v>1415305.9955073735</v>
      </c>
      <c r="R113" s="798">
        <f>SUMIF('Venture Summary - Mthly'!$E$8:$EG$8,R$9,'Venture Summary - Mthly'!$E116:$EG116)</f>
        <v>1439534.9424936878</v>
      </c>
      <c r="S113" s="798">
        <f>SUMIF('Venture Summary - Mthly'!$E$8:$EG$8,S$9,'Venture Summary - Mthly'!$E116:$EG116)</f>
        <v>1441207.397731672</v>
      </c>
      <c r="T113" s="798">
        <f>SUMIF('Venture Summary - Mthly'!$E$8:$EG$8,T$9,'Venture Summary - Mthly'!$E116:$EG116)</f>
        <v>1461763.1758116088</v>
      </c>
      <c r="U113" s="798">
        <f>SUMIF('Venture Summary - Mthly'!$E$8:$EG$8,U$9,'Venture Summary - Mthly'!$E116:$EG116)</f>
        <v>1482676.9195883549</v>
      </c>
      <c r="V113" s="798">
        <f>SUMIF('Venture Summary - Mthly'!$E$8:$EG$8,V$9,'Venture Summary - Mthly'!$E116:$EG116)</f>
        <v>1501118.8158762024</v>
      </c>
      <c r="W113" s="798">
        <f>SUMIF('Venture Summary - Mthly'!$E$8:$EG$8,W$9,'Venture Summary - Mthly'!$E116:$EG116)</f>
        <v>1500924.8497949294</v>
      </c>
      <c r="X113" s="798">
        <f>SUMIF('Venture Summary - Mthly'!$E$8:$EG$8,X$9,'Venture Summary - Mthly'!$E116:$EG116)</f>
        <v>1517440.3654109142</v>
      </c>
      <c r="Y113" s="798">
        <f>SUMIF('Venture Summary - Mthly'!$E$8:$EG$8,Y$9,'Venture Summary - Mthly'!$E116:$EG116)</f>
        <v>1537074.8274641787</v>
      </c>
      <c r="Z113" s="798">
        <f>SUMIF('Venture Summary - Mthly'!$E$8:$EG$8,Z$9,'Venture Summary - Mthly'!$E116:$EG116)</f>
        <v>1557785.017608972</v>
      </c>
      <c r="AA113" s="798">
        <f>SUMIF('Venture Summary - Mthly'!$E$8:$EG$8,AA$9,'Venture Summary - Mthly'!$E116:$EG116)</f>
        <v>1560438.9650751748</v>
      </c>
      <c r="AB113" s="798">
        <f>SUMIF('Venture Summary - Mthly'!$E$8:$EG$8,AB$9,'Venture Summary - Mthly'!$E116:$EG116)</f>
        <v>1580540.6650120413</v>
      </c>
      <c r="AC113" s="798">
        <f>SUMIF('Venture Summary - Mthly'!$E$8:$EG$8,AC$9,'Venture Summary - Mthly'!$E116:$EG116)</f>
        <v>1603121.9808628024</v>
      </c>
      <c r="AD113" s="798">
        <f>SUMIF('Venture Summary - Mthly'!$E$8:$EG$8,AD$9,'Venture Summary - Mthly'!$E116:$EG116)</f>
        <v>1625562.840396252</v>
      </c>
      <c r="AE113" s="798">
        <f>SUMIF('Venture Summary - Mthly'!$E$8:$EG$8,AE$9,'Venture Summary - Mthly'!$E116:$EG116)</f>
        <v>1628616.4261077703</v>
      </c>
      <c r="AF113" s="798">
        <f>SUMIF('Venture Summary - Mthly'!$E$8:$EG$8,AF$9,'Venture Summary - Mthly'!$E116:$EG116)</f>
        <v>1649540.5697009424</v>
      </c>
      <c r="AG113" s="798">
        <f>SUMIF('Venture Summary - Mthly'!$E$8:$EG$8,AG$9,'Venture Summary - Mthly'!$E116:$EG116)</f>
        <v>1673048.939487732</v>
      </c>
      <c r="AH113" s="798">
        <f>SUMIF('Venture Summary - Mthly'!$E$8:$EG$8,AH$9,'Venture Summary - Mthly'!$E116:$EG116)</f>
        <v>1696410.712331648</v>
      </c>
      <c r="AI113" s="798">
        <f>SUMIF('Venture Summary - Mthly'!$E$8:$EG$8,AI$9,'Venture Summary - Mthly'!$E116:$EG116)</f>
        <v>1699721.857353711</v>
      </c>
      <c r="AJ113" s="798">
        <f>SUMIF('Venture Summary - Mthly'!$E$8:$EG$8,AJ$9,'Venture Summary - Mthly'!$E116:$EG116)</f>
        <v>1721502.391552879</v>
      </c>
      <c r="AK113" s="798">
        <f>SUMIF('Venture Summary - Mthly'!$E$8:$EG$8,AK$9,'Venture Summary - Mthly'!$E116:$EG116)</f>
        <v>1745976.1779972864</v>
      </c>
      <c r="AL113" s="798">
        <f>SUMIF('Venture Summary - Mthly'!$E$8:$EG$8,AL$9,'Venture Summary - Mthly'!$E116:$EG116)</f>
        <v>0</v>
      </c>
      <c r="AM113" s="798">
        <f>SUMIF('Venture Summary - Mthly'!$E$8:$EG$8,AM$9,'Venture Summary - Mthly'!$E116:$EG116)</f>
        <v>0</v>
      </c>
      <c r="AN113" s="798">
        <f>SUMIF('Venture Summary - Mthly'!$E$8:$EG$8,AN$9,'Venture Summary - Mthly'!$E116:$EG116)</f>
        <v>0</v>
      </c>
      <c r="AO113" s="798">
        <f>SUMIF('Venture Summary - Mthly'!$E$8:$EG$8,AO$9,'Venture Summary - Mthly'!$E116:$EG116)</f>
        <v>0</v>
      </c>
      <c r="AP113" s="798">
        <f>SUMIF('Venture Summary - Mthly'!$E$8:$EG$8,AP$9,'Venture Summary - Mthly'!$E116:$EG116)</f>
        <v>0</v>
      </c>
      <c r="AQ113" s="798">
        <f>SUMIF('Venture Summary - Mthly'!$E$8:$EG$8,AQ$9,'Venture Summary - Mthly'!$E116:$EG116)</f>
        <v>0</v>
      </c>
      <c r="AR113" s="798">
        <f>SUMIF('Venture Summary - Mthly'!$E$8:$EG$8,AR$9,'Venture Summary - Mthly'!$E116:$EG116)</f>
        <v>0</v>
      </c>
      <c r="AS113" s="798">
        <f>SUMIF('Venture Summary - Mthly'!$E$8:$EG$8,AS$9,'Venture Summary - Mthly'!$E116:$EG116)</f>
        <v>0</v>
      </c>
      <c r="AT113" s="798">
        <f>SUMIF('Venture Summary - Mthly'!$E$8:$EG$8,AT$9,'Venture Summary - Mthly'!$E116:$EG116)</f>
        <v>0</v>
      </c>
      <c r="AU113" s="798">
        <f>SUMIF('Venture Summary - Mthly'!$E$8:$EG$8,AU$9,'Venture Summary - Mthly'!$E116:$EG116)</f>
        <v>0</v>
      </c>
      <c r="AV113" s="798">
        <f>SUMIF('Venture Summary - Mthly'!$E$8:$EG$8,AV$9,'Venture Summary - Mthly'!$E116:$EG116)</f>
        <v>0</v>
      </c>
      <c r="AW113" s="798">
        <f>SUMIF('Venture Summary - Mthly'!$E$8:$EG$8,AW$9,'Venture Summary - Mthly'!$E116:$EG116)</f>
        <v>0</v>
      </c>
      <c r="AX113" s="798"/>
    </row>
    <row r="114" spans="1:50" ht="12.75" customHeight="1" x14ac:dyDescent="0.3">
      <c r="A114" s="782"/>
      <c r="B114" s="782" t="s">
        <v>9</v>
      </c>
      <c r="C114" s="798">
        <f t="shared" si="20"/>
        <v>0</v>
      </c>
      <c r="D114" s="782"/>
      <c r="E114" s="798">
        <f>SUMIF('Venture Summary - Mthly'!$E$8:$EG$8,E$9,'Venture Summary - Mthly'!$E117:$EG117)</f>
        <v>0</v>
      </c>
      <c r="F114" s="798">
        <f>SUMIF('Venture Summary - Mthly'!$E$8:$EG$8,F$9,'Venture Summary - Mthly'!$E117:$EG117)</f>
        <v>0</v>
      </c>
      <c r="G114" s="798">
        <f>SUMIF('Venture Summary - Mthly'!$E$8:$EG$8,G$9,'Venture Summary - Mthly'!$E117:$EG117)</f>
        <v>0</v>
      </c>
      <c r="H114" s="798">
        <f>SUMIF('Venture Summary - Mthly'!$E$8:$EG$8,H$9,'Venture Summary - Mthly'!$E117:$EG117)</f>
        <v>0</v>
      </c>
      <c r="I114" s="798">
        <f>SUMIF('Venture Summary - Mthly'!$E$8:$EG$8,I$9,'Venture Summary - Mthly'!$E117:$EG117)</f>
        <v>0</v>
      </c>
      <c r="J114" s="798">
        <f>SUMIF('Venture Summary - Mthly'!$E$8:$EG$8,J$9,'Venture Summary - Mthly'!$E117:$EG117)</f>
        <v>0</v>
      </c>
      <c r="K114" s="798">
        <f>SUMIF('Venture Summary - Mthly'!$E$8:$EG$8,K$9,'Venture Summary - Mthly'!$E117:$EG117)</f>
        <v>0</v>
      </c>
      <c r="L114" s="798">
        <f>SUMIF('Venture Summary - Mthly'!$E$8:$EG$8,L$9,'Venture Summary - Mthly'!$E117:$EG117)</f>
        <v>0</v>
      </c>
      <c r="M114" s="798">
        <f>SUMIF('Venture Summary - Mthly'!$E$8:$EG$8,M$9,'Venture Summary - Mthly'!$E117:$EG117)</f>
        <v>0</v>
      </c>
      <c r="N114" s="798">
        <f>SUMIF('Venture Summary - Mthly'!$E$8:$EG$8,N$9,'Venture Summary - Mthly'!$E117:$EG117)</f>
        <v>0</v>
      </c>
      <c r="O114" s="798">
        <f>SUMIF('Venture Summary - Mthly'!$E$8:$EG$8,O$9,'Venture Summary - Mthly'!$E117:$EG117)</f>
        <v>0</v>
      </c>
      <c r="P114" s="798">
        <f>SUMIF('Venture Summary - Mthly'!$E$8:$EG$8,P$9,'Venture Summary - Mthly'!$E117:$EG117)</f>
        <v>0</v>
      </c>
      <c r="Q114" s="798">
        <f>SUMIF('Venture Summary - Mthly'!$E$8:$EG$8,Q$9,'Venture Summary - Mthly'!$E117:$EG117)</f>
        <v>0</v>
      </c>
      <c r="R114" s="798">
        <f>SUMIF('Venture Summary - Mthly'!$E$8:$EG$8,R$9,'Venture Summary - Mthly'!$E117:$EG117)</f>
        <v>0</v>
      </c>
      <c r="S114" s="798">
        <f>SUMIF('Venture Summary - Mthly'!$E$8:$EG$8,S$9,'Venture Summary - Mthly'!$E117:$EG117)</f>
        <v>0</v>
      </c>
      <c r="T114" s="798">
        <f>SUMIF('Venture Summary - Mthly'!$E$8:$EG$8,T$9,'Venture Summary - Mthly'!$E117:$EG117)</f>
        <v>0</v>
      </c>
      <c r="U114" s="798">
        <f>SUMIF('Venture Summary - Mthly'!$E$8:$EG$8,U$9,'Venture Summary - Mthly'!$E117:$EG117)</f>
        <v>0</v>
      </c>
      <c r="V114" s="798">
        <f>SUMIF('Venture Summary - Mthly'!$E$8:$EG$8,V$9,'Venture Summary - Mthly'!$E117:$EG117)</f>
        <v>0</v>
      </c>
      <c r="W114" s="798">
        <f>SUMIF('Venture Summary - Mthly'!$E$8:$EG$8,W$9,'Venture Summary - Mthly'!$E117:$EG117)</f>
        <v>0</v>
      </c>
      <c r="X114" s="798">
        <f>SUMIF('Venture Summary - Mthly'!$E$8:$EG$8,X$9,'Venture Summary - Mthly'!$E117:$EG117)</f>
        <v>0</v>
      </c>
      <c r="Y114" s="798">
        <f>SUMIF('Venture Summary - Mthly'!$E$8:$EG$8,Y$9,'Venture Summary - Mthly'!$E117:$EG117)</f>
        <v>0</v>
      </c>
      <c r="Z114" s="798">
        <f>SUMIF('Venture Summary - Mthly'!$E$8:$EG$8,Z$9,'Venture Summary - Mthly'!$E117:$EG117)</f>
        <v>0</v>
      </c>
      <c r="AA114" s="798">
        <f>SUMIF('Venture Summary - Mthly'!$E$8:$EG$8,AA$9,'Venture Summary - Mthly'!$E117:$EG117)</f>
        <v>0</v>
      </c>
      <c r="AB114" s="798">
        <f>SUMIF('Venture Summary - Mthly'!$E$8:$EG$8,AB$9,'Venture Summary - Mthly'!$E117:$EG117)</f>
        <v>0</v>
      </c>
      <c r="AC114" s="798">
        <f>SUMIF('Venture Summary - Mthly'!$E$8:$EG$8,AC$9,'Venture Summary - Mthly'!$E117:$EG117)</f>
        <v>0</v>
      </c>
      <c r="AD114" s="798">
        <f>SUMIF('Venture Summary - Mthly'!$E$8:$EG$8,AD$9,'Venture Summary - Mthly'!$E117:$EG117)</f>
        <v>0</v>
      </c>
      <c r="AE114" s="798">
        <f>SUMIF('Venture Summary - Mthly'!$E$8:$EG$8,AE$9,'Venture Summary - Mthly'!$E117:$EG117)</f>
        <v>0</v>
      </c>
      <c r="AF114" s="798">
        <f>SUMIF('Venture Summary - Mthly'!$E$8:$EG$8,AF$9,'Venture Summary - Mthly'!$E117:$EG117)</f>
        <v>0</v>
      </c>
      <c r="AG114" s="798">
        <f>SUMIF('Venture Summary - Mthly'!$E$8:$EG$8,AG$9,'Venture Summary - Mthly'!$E117:$EG117)</f>
        <v>0</v>
      </c>
      <c r="AH114" s="798">
        <f>SUMIF('Venture Summary - Mthly'!$E$8:$EG$8,AH$9,'Venture Summary - Mthly'!$E117:$EG117)</f>
        <v>0</v>
      </c>
      <c r="AI114" s="798">
        <f>SUMIF('Venture Summary - Mthly'!$E$8:$EG$8,AI$9,'Venture Summary - Mthly'!$E117:$EG117)</f>
        <v>0</v>
      </c>
      <c r="AJ114" s="798">
        <f>SUMIF('Venture Summary - Mthly'!$E$8:$EG$8,AJ$9,'Venture Summary - Mthly'!$E117:$EG117)</f>
        <v>0</v>
      </c>
      <c r="AK114" s="798">
        <f>SUMIF('Venture Summary - Mthly'!$E$8:$EG$8,AK$9,'Venture Summary - Mthly'!$E117:$EG117)</f>
        <v>0</v>
      </c>
      <c r="AL114" s="798">
        <f>SUMIF('Venture Summary - Mthly'!$E$8:$EG$8,AL$9,'Venture Summary - Mthly'!$E117:$EG117)</f>
        <v>0</v>
      </c>
      <c r="AM114" s="798">
        <f>SUMIF('Venture Summary - Mthly'!$E$8:$EG$8,AM$9,'Venture Summary - Mthly'!$E117:$EG117)</f>
        <v>0</v>
      </c>
      <c r="AN114" s="798">
        <f>SUMIF('Venture Summary - Mthly'!$E$8:$EG$8,AN$9,'Venture Summary - Mthly'!$E117:$EG117)</f>
        <v>0</v>
      </c>
      <c r="AO114" s="798">
        <f>SUMIF('Venture Summary - Mthly'!$E$8:$EG$8,AO$9,'Venture Summary - Mthly'!$E117:$EG117)</f>
        <v>0</v>
      </c>
      <c r="AP114" s="798">
        <f>SUMIF('Venture Summary - Mthly'!$E$8:$EG$8,AP$9,'Venture Summary - Mthly'!$E117:$EG117)</f>
        <v>0</v>
      </c>
      <c r="AQ114" s="798">
        <f>SUMIF('Venture Summary - Mthly'!$E$8:$EG$8,AQ$9,'Venture Summary - Mthly'!$E117:$EG117)</f>
        <v>0</v>
      </c>
      <c r="AR114" s="798">
        <f>SUMIF('Venture Summary - Mthly'!$E$8:$EG$8,AR$9,'Venture Summary - Mthly'!$E117:$EG117)</f>
        <v>0</v>
      </c>
      <c r="AS114" s="798">
        <f>SUMIF('Venture Summary - Mthly'!$E$8:$EG$8,AS$9,'Venture Summary - Mthly'!$E117:$EG117)</f>
        <v>0</v>
      </c>
      <c r="AT114" s="798">
        <f>SUMIF('Venture Summary - Mthly'!$E$8:$EG$8,AT$9,'Venture Summary - Mthly'!$E117:$EG117)</f>
        <v>0</v>
      </c>
      <c r="AU114" s="798">
        <f>SUMIF('Venture Summary - Mthly'!$E$8:$EG$8,AU$9,'Venture Summary - Mthly'!$E117:$EG117)</f>
        <v>0</v>
      </c>
      <c r="AV114" s="798">
        <f>SUMIF('Venture Summary - Mthly'!$E$8:$EG$8,AV$9,'Venture Summary - Mthly'!$E117:$EG117)</f>
        <v>0</v>
      </c>
      <c r="AW114" s="798">
        <f>SUMIF('Venture Summary - Mthly'!$E$8:$EG$8,AW$9,'Venture Summary - Mthly'!$E117:$EG117)</f>
        <v>0</v>
      </c>
      <c r="AX114" s="798"/>
    </row>
    <row r="115" spans="1:50" ht="12.75" customHeight="1" x14ac:dyDescent="0.3">
      <c r="A115" s="782"/>
      <c r="B115" s="782" t="s">
        <v>10</v>
      </c>
      <c r="C115" s="798">
        <f t="shared" si="20"/>
        <v>-533333.33333333337</v>
      </c>
      <c r="D115" s="782"/>
      <c r="E115" s="798">
        <f>SUMIF('Venture Summary - Mthly'!$E$8:$EG$8,E$9,'Venture Summary - Mthly'!$E118:$EG118)</f>
        <v>0</v>
      </c>
      <c r="F115" s="798">
        <f>SUMIF('Venture Summary - Mthly'!$E$8:$EG$8,F$9,'Venture Summary - Mthly'!$E118:$EG118)</f>
        <v>0</v>
      </c>
      <c r="G115" s="798">
        <f>SUMIF('Venture Summary - Mthly'!$E$8:$EG$8,G$9,'Venture Summary - Mthly'!$E118:$EG118)</f>
        <v>0</v>
      </c>
      <c r="H115" s="798">
        <f>SUMIF('Venture Summary - Mthly'!$E$8:$EG$8,H$9,'Venture Summary - Mthly'!$E118:$EG118)</f>
        <v>0</v>
      </c>
      <c r="I115" s="798">
        <f>SUMIF('Venture Summary - Mthly'!$E$8:$EG$8,I$9,'Venture Summary - Mthly'!$E118:$EG118)</f>
        <v>0</v>
      </c>
      <c r="J115" s="798">
        <f>SUMIF('Venture Summary - Mthly'!$E$8:$EG$8,J$9,'Venture Summary - Mthly'!$E118:$EG118)</f>
        <v>0</v>
      </c>
      <c r="K115" s="798">
        <f>SUMIF('Venture Summary - Mthly'!$E$8:$EG$8,K$9,'Venture Summary - Mthly'!$E118:$EG118)</f>
        <v>0</v>
      </c>
      <c r="L115" s="798">
        <f>SUMIF('Venture Summary - Mthly'!$E$8:$EG$8,L$9,'Venture Summary - Mthly'!$E118:$EG118)</f>
        <v>0</v>
      </c>
      <c r="M115" s="798">
        <f>SUMIF('Venture Summary - Mthly'!$E$8:$EG$8,M$9,'Venture Summary - Mthly'!$E118:$EG118)</f>
        <v>0</v>
      </c>
      <c r="N115" s="798">
        <f>SUMIF('Venture Summary - Mthly'!$E$8:$EG$8,N$9,'Venture Summary - Mthly'!$E118:$EG118)</f>
        <v>0</v>
      </c>
      <c r="O115" s="798">
        <f>SUMIF('Venture Summary - Mthly'!$E$8:$EG$8,O$9,'Venture Summary - Mthly'!$E118:$EG118)</f>
        <v>0</v>
      </c>
      <c r="P115" s="798">
        <f>SUMIF('Venture Summary - Mthly'!$E$8:$EG$8,P$9,'Venture Summary - Mthly'!$E118:$EG118)</f>
        <v>-8333.3333333333339</v>
      </c>
      <c r="Q115" s="798">
        <f>SUMIF('Venture Summary - Mthly'!$E$8:$EG$8,Q$9,'Venture Summary - Mthly'!$E118:$EG118)</f>
        <v>-25000</v>
      </c>
      <c r="R115" s="798">
        <f>SUMIF('Venture Summary - Mthly'!$E$8:$EG$8,R$9,'Venture Summary - Mthly'!$E118:$EG118)</f>
        <v>-25000</v>
      </c>
      <c r="S115" s="798">
        <f>SUMIF('Venture Summary - Mthly'!$E$8:$EG$8,S$9,'Venture Summary - Mthly'!$E118:$EG118)</f>
        <v>-25000</v>
      </c>
      <c r="T115" s="798">
        <f>SUMIF('Venture Summary - Mthly'!$E$8:$EG$8,T$9,'Venture Summary - Mthly'!$E118:$EG118)</f>
        <v>-25000</v>
      </c>
      <c r="U115" s="798">
        <f>SUMIF('Venture Summary - Mthly'!$E$8:$EG$8,U$9,'Venture Summary - Mthly'!$E118:$EG118)</f>
        <v>-25000</v>
      </c>
      <c r="V115" s="798">
        <f>SUMIF('Venture Summary - Mthly'!$E$8:$EG$8,V$9,'Venture Summary - Mthly'!$E118:$EG118)</f>
        <v>-25000</v>
      </c>
      <c r="W115" s="798">
        <f>SUMIF('Venture Summary - Mthly'!$E$8:$EG$8,W$9,'Venture Summary - Mthly'!$E118:$EG118)</f>
        <v>-25000</v>
      </c>
      <c r="X115" s="798">
        <f>SUMIF('Venture Summary - Mthly'!$E$8:$EG$8,X$9,'Venture Summary - Mthly'!$E118:$EG118)</f>
        <v>-25000</v>
      </c>
      <c r="Y115" s="798">
        <f>SUMIF('Venture Summary - Mthly'!$E$8:$EG$8,Y$9,'Venture Summary - Mthly'!$E118:$EG118)</f>
        <v>-25000</v>
      </c>
      <c r="Z115" s="798">
        <f>SUMIF('Venture Summary - Mthly'!$E$8:$EG$8,Z$9,'Venture Summary - Mthly'!$E118:$EG118)</f>
        <v>-25000</v>
      </c>
      <c r="AA115" s="798">
        <f>SUMIF('Venture Summary - Mthly'!$E$8:$EG$8,AA$9,'Venture Summary - Mthly'!$E118:$EG118)</f>
        <v>-25000</v>
      </c>
      <c r="AB115" s="798">
        <f>SUMIF('Venture Summary - Mthly'!$E$8:$EG$8,AB$9,'Venture Summary - Mthly'!$E118:$EG118)</f>
        <v>-25000</v>
      </c>
      <c r="AC115" s="798">
        <f>SUMIF('Venture Summary - Mthly'!$E$8:$EG$8,AC$9,'Venture Summary - Mthly'!$E118:$EG118)</f>
        <v>-25000</v>
      </c>
      <c r="AD115" s="798">
        <f>SUMIF('Venture Summary - Mthly'!$E$8:$EG$8,AD$9,'Venture Summary - Mthly'!$E118:$EG118)</f>
        <v>-25000</v>
      </c>
      <c r="AE115" s="798">
        <f>SUMIF('Venture Summary - Mthly'!$E$8:$EG$8,AE$9,'Venture Summary - Mthly'!$E118:$EG118)</f>
        <v>-25000</v>
      </c>
      <c r="AF115" s="798">
        <f>SUMIF('Venture Summary - Mthly'!$E$8:$EG$8,AF$9,'Venture Summary - Mthly'!$E118:$EG118)</f>
        <v>-25000</v>
      </c>
      <c r="AG115" s="798">
        <f>SUMIF('Venture Summary - Mthly'!$E$8:$EG$8,AG$9,'Venture Summary - Mthly'!$E118:$EG118)</f>
        <v>-25000</v>
      </c>
      <c r="AH115" s="798">
        <f>SUMIF('Venture Summary - Mthly'!$E$8:$EG$8,AH$9,'Venture Summary - Mthly'!$E118:$EG118)</f>
        <v>-25000</v>
      </c>
      <c r="AI115" s="798">
        <f>SUMIF('Venture Summary - Mthly'!$E$8:$EG$8,AI$9,'Venture Summary - Mthly'!$E118:$EG118)</f>
        <v>-25000</v>
      </c>
      <c r="AJ115" s="798">
        <f>SUMIF('Venture Summary - Mthly'!$E$8:$EG$8,AJ$9,'Venture Summary - Mthly'!$E118:$EG118)</f>
        <v>-25000</v>
      </c>
      <c r="AK115" s="798">
        <f>SUMIF('Venture Summary - Mthly'!$E$8:$EG$8,AK$9,'Venture Summary - Mthly'!$E118:$EG118)</f>
        <v>-25000</v>
      </c>
      <c r="AL115" s="798">
        <f>SUMIF('Venture Summary - Mthly'!$E$8:$EG$8,AL$9,'Venture Summary - Mthly'!$E118:$EG118)</f>
        <v>0</v>
      </c>
      <c r="AM115" s="798">
        <f>SUMIF('Venture Summary - Mthly'!$E$8:$EG$8,AM$9,'Venture Summary - Mthly'!$E118:$EG118)</f>
        <v>0</v>
      </c>
      <c r="AN115" s="798">
        <f>SUMIF('Venture Summary - Mthly'!$E$8:$EG$8,AN$9,'Venture Summary - Mthly'!$E118:$EG118)</f>
        <v>0</v>
      </c>
      <c r="AO115" s="798">
        <f>SUMIF('Venture Summary - Mthly'!$E$8:$EG$8,AO$9,'Venture Summary - Mthly'!$E118:$EG118)</f>
        <v>0</v>
      </c>
      <c r="AP115" s="798">
        <f>SUMIF('Venture Summary - Mthly'!$E$8:$EG$8,AP$9,'Venture Summary - Mthly'!$E118:$EG118)</f>
        <v>0</v>
      </c>
      <c r="AQ115" s="798">
        <f>SUMIF('Venture Summary - Mthly'!$E$8:$EG$8,AQ$9,'Venture Summary - Mthly'!$E118:$EG118)</f>
        <v>0</v>
      </c>
      <c r="AR115" s="798">
        <f>SUMIF('Venture Summary - Mthly'!$E$8:$EG$8,AR$9,'Venture Summary - Mthly'!$E118:$EG118)</f>
        <v>0</v>
      </c>
      <c r="AS115" s="798">
        <f>SUMIF('Venture Summary - Mthly'!$E$8:$EG$8,AS$9,'Venture Summary - Mthly'!$E118:$EG118)</f>
        <v>0</v>
      </c>
      <c r="AT115" s="798">
        <f>SUMIF('Venture Summary - Mthly'!$E$8:$EG$8,AT$9,'Venture Summary - Mthly'!$E118:$EG118)</f>
        <v>0</v>
      </c>
      <c r="AU115" s="798">
        <f>SUMIF('Venture Summary - Mthly'!$E$8:$EG$8,AU$9,'Venture Summary - Mthly'!$E118:$EG118)</f>
        <v>0</v>
      </c>
      <c r="AV115" s="798">
        <f>SUMIF('Venture Summary - Mthly'!$E$8:$EG$8,AV$9,'Venture Summary - Mthly'!$E118:$EG118)</f>
        <v>0</v>
      </c>
      <c r="AW115" s="798">
        <f>SUMIF('Venture Summary - Mthly'!$E$8:$EG$8,AW$9,'Venture Summary - Mthly'!$E118:$EG118)</f>
        <v>0</v>
      </c>
      <c r="AX115" s="798"/>
    </row>
    <row r="116" spans="1:50" ht="12.75" customHeight="1" x14ac:dyDescent="0.3">
      <c r="A116" s="782"/>
      <c r="B116" s="781" t="s">
        <v>11</v>
      </c>
      <c r="C116" s="799">
        <f t="shared" si="20"/>
        <v>129660985.44941077</v>
      </c>
      <c r="D116" s="781"/>
      <c r="E116" s="799">
        <f>SUMIF('Venture Summary - Mthly'!$E$8:$EG$8,E$9,'Venture Summary - Mthly'!$E119:$EG119)</f>
        <v>0</v>
      </c>
      <c r="F116" s="799">
        <f>SUMIF('Venture Summary - Mthly'!$E$8:$EG$8,F$9,'Venture Summary - Mthly'!$E119:$EG119)</f>
        <v>0</v>
      </c>
      <c r="G116" s="799">
        <f>SUMIF('Venture Summary - Mthly'!$E$8:$EG$8,G$9,'Venture Summary - Mthly'!$E119:$EG119)</f>
        <v>0</v>
      </c>
      <c r="H116" s="799">
        <f>SUMIF('Venture Summary - Mthly'!$E$8:$EG$8,H$9,'Venture Summary - Mthly'!$E119:$EG119)</f>
        <v>0</v>
      </c>
      <c r="I116" s="799">
        <f>SUMIF('Venture Summary - Mthly'!$E$8:$EG$8,I$9,'Venture Summary - Mthly'!$E119:$EG119)</f>
        <v>0</v>
      </c>
      <c r="J116" s="799">
        <f>SUMIF('Venture Summary - Mthly'!$E$8:$EG$8,J$9,'Venture Summary - Mthly'!$E119:$EG119)</f>
        <v>0</v>
      </c>
      <c r="K116" s="799">
        <f>SUMIF('Venture Summary - Mthly'!$E$8:$EG$8,K$9,'Venture Summary - Mthly'!$E119:$EG119)</f>
        <v>0</v>
      </c>
      <c r="L116" s="799">
        <f>SUMIF('Venture Summary - Mthly'!$E$8:$EG$8,L$9,'Venture Summary - Mthly'!$E119:$EG119)</f>
        <v>0</v>
      </c>
      <c r="M116" s="799">
        <f>SUMIF('Venture Summary - Mthly'!$E$8:$EG$8,M$9,'Venture Summary - Mthly'!$E119:$EG119)</f>
        <v>0</v>
      </c>
      <c r="N116" s="799">
        <f>SUMIF('Venture Summary - Mthly'!$E$8:$EG$8,N$9,'Venture Summary - Mthly'!$E119:$EG119)</f>
        <v>0</v>
      </c>
      <c r="O116" s="799">
        <f>SUMIF('Venture Summary - Mthly'!$E$8:$EG$8,O$9,'Venture Summary - Mthly'!$E119:$EG119)</f>
        <v>0</v>
      </c>
      <c r="P116" s="799">
        <f>SUMIF('Venture Summary - Mthly'!$E$8:$EG$8,P$9,'Venture Summary - Mthly'!$E119:$EG119)</f>
        <v>0</v>
      </c>
      <c r="Q116" s="799">
        <f>SUMIF('Venture Summary - Mthly'!$E$8:$EG$8,Q$9,'Venture Summary - Mthly'!$E119:$EG119)</f>
        <v>0</v>
      </c>
      <c r="R116" s="799">
        <f>SUMIF('Venture Summary - Mthly'!$E$8:$EG$8,R$9,'Venture Summary - Mthly'!$E119:$EG119)</f>
        <v>0</v>
      </c>
      <c r="S116" s="799">
        <f>SUMIF('Venture Summary - Mthly'!$E$8:$EG$8,S$9,'Venture Summary - Mthly'!$E119:$EG119)</f>
        <v>0</v>
      </c>
      <c r="T116" s="799">
        <f>SUMIF('Venture Summary - Mthly'!$E$8:$EG$8,T$9,'Venture Summary - Mthly'!$E119:$EG119)</f>
        <v>0</v>
      </c>
      <c r="U116" s="799">
        <f>SUMIF('Venture Summary - Mthly'!$E$8:$EG$8,U$9,'Venture Summary - Mthly'!$E119:$EG119)</f>
        <v>0</v>
      </c>
      <c r="V116" s="799">
        <f>SUMIF('Venture Summary - Mthly'!$E$8:$EG$8,V$9,'Venture Summary - Mthly'!$E119:$EG119)</f>
        <v>0</v>
      </c>
      <c r="W116" s="799">
        <f>SUMIF('Venture Summary - Mthly'!$E$8:$EG$8,W$9,'Venture Summary - Mthly'!$E119:$EG119)</f>
        <v>0</v>
      </c>
      <c r="X116" s="799">
        <f>SUMIF('Venture Summary - Mthly'!$E$8:$EG$8,X$9,'Venture Summary - Mthly'!$E119:$EG119)</f>
        <v>0</v>
      </c>
      <c r="Y116" s="799">
        <f>SUMIF('Venture Summary - Mthly'!$E$8:$EG$8,Y$9,'Venture Summary - Mthly'!$E119:$EG119)</f>
        <v>0</v>
      </c>
      <c r="Z116" s="799">
        <f>SUMIF('Venture Summary - Mthly'!$E$8:$EG$8,Z$9,'Venture Summary - Mthly'!$E119:$EG119)</f>
        <v>0</v>
      </c>
      <c r="AA116" s="799">
        <f>SUMIF('Venture Summary - Mthly'!$E$8:$EG$8,AA$9,'Venture Summary - Mthly'!$E119:$EG119)</f>
        <v>0</v>
      </c>
      <c r="AB116" s="799">
        <f>SUMIF('Venture Summary - Mthly'!$E$8:$EG$8,AB$9,'Venture Summary - Mthly'!$E119:$EG119)</f>
        <v>0</v>
      </c>
      <c r="AC116" s="799">
        <f>SUMIF('Venture Summary - Mthly'!$E$8:$EG$8,AC$9,'Venture Summary - Mthly'!$E119:$EG119)</f>
        <v>0</v>
      </c>
      <c r="AD116" s="799">
        <f>SUMIF('Venture Summary - Mthly'!$E$8:$EG$8,AD$9,'Venture Summary - Mthly'!$E119:$EG119)</f>
        <v>0</v>
      </c>
      <c r="AE116" s="799">
        <f>SUMIF('Venture Summary - Mthly'!$E$8:$EG$8,AE$9,'Venture Summary - Mthly'!$E119:$EG119)</f>
        <v>0</v>
      </c>
      <c r="AF116" s="799">
        <f>SUMIF('Venture Summary - Mthly'!$E$8:$EG$8,AF$9,'Venture Summary - Mthly'!$E119:$EG119)</f>
        <v>0</v>
      </c>
      <c r="AG116" s="799">
        <f>SUMIF('Venture Summary - Mthly'!$E$8:$EG$8,AG$9,'Venture Summary - Mthly'!$E119:$EG119)</f>
        <v>0</v>
      </c>
      <c r="AH116" s="799">
        <f>SUMIF('Venture Summary - Mthly'!$E$8:$EG$8,AH$9,'Venture Summary - Mthly'!$E119:$EG119)</f>
        <v>0</v>
      </c>
      <c r="AI116" s="799">
        <f>SUMIF('Venture Summary - Mthly'!$E$8:$EG$8,AI$9,'Venture Summary - Mthly'!$E119:$EG119)</f>
        <v>0</v>
      </c>
      <c r="AJ116" s="799">
        <f>SUMIF('Venture Summary - Mthly'!$E$8:$EG$8,AJ$9,'Venture Summary - Mthly'!$E119:$EG119)</f>
        <v>0</v>
      </c>
      <c r="AK116" s="799">
        <f>SUMIF('Venture Summary - Mthly'!$E$8:$EG$8,AK$9,'Venture Summary - Mthly'!$E119:$EG119)</f>
        <v>129660985.44941077</v>
      </c>
      <c r="AL116" s="799">
        <f>SUMIF('Venture Summary - Mthly'!$E$8:$EG$8,AL$9,'Venture Summary - Mthly'!$E119:$EG119)</f>
        <v>0</v>
      </c>
      <c r="AM116" s="799">
        <f>SUMIF('Venture Summary - Mthly'!$E$8:$EG$8,AM$9,'Venture Summary - Mthly'!$E119:$EG119)</f>
        <v>0</v>
      </c>
      <c r="AN116" s="799">
        <f>SUMIF('Venture Summary - Mthly'!$E$8:$EG$8,AN$9,'Venture Summary - Mthly'!$E119:$EG119)</f>
        <v>0</v>
      </c>
      <c r="AO116" s="799">
        <f>SUMIF('Venture Summary - Mthly'!$E$8:$EG$8,AO$9,'Venture Summary - Mthly'!$E119:$EG119)</f>
        <v>0</v>
      </c>
      <c r="AP116" s="799">
        <f>SUMIF('Venture Summary - Mthly'!$E$8:$EG$8,AP$9,'Venture Summary - Mthly'!$E119:$EG119)</f>
        <v>0</v>
      </c>
      <c r="AQ116" s="799">
        <f>SUMIF('Venture Summary - Mthly'!$E$8:$EG$8,AQ$9,'Venture Summary - Mthly'!$E119:$EG119)</f>
        <v>0</v>
      </c>
      <c r="AR116" s="799">
        <f>SUMIF('Venture Summary - Mthly'!$E$8:$EG$8,AR$9,'Venture Summary - Mthly'!$E119:$EG119)</f>
        <v>0</v>
      </c>
      <c r="AS116" s="799">
        <f>SUMIF('Venture Summary - Mthly'!$E$8:$EG$8,AS$9,'Venture Summary - Mthly'!$E119:$EG119)</f>
        <v>0</v>
      </c>
      <c r="AT116" s="799">
        <f>SUMIF('Venture Summary - Mthly'!$E$8:$EG$8,AT$9,'Venture Summary - Mthly'!$E119:$EG119)</f>
        <v>0</v>
      </c>
      <c r="AU116" s="799">
        <f>SUMIF('Venture Summary - Mthly'!$E$8:$EG$8,AU$9,'Venture Summary - Mthly'!$E119:$EG119)</f>
        <v>0</v>
      </c>
      <c r="AV116" s="799">
        <f>SUMIF('Venture Summary - Mthly'!$E$8:$EG$8,AV$9,'Venture Summary - Mthly'!$E119:$EG119)</f>
        <v>0</v>
      </c>
      <c r="AW116" s="799">
        <f>SUMIF('Venture Summary - Mthly'!$E$8:$EG$8,AW$9,'Venture Summary - Mthly'!$E119:$EG119)</f>
        <v>0</v>
      </c>
      <c r="AX116" s="798"/>
    </row>
    <row r="117" spans="1:50" ht="12.75" customHeight="1" x14ac:dyDescent="0.3">
      <c r="A117" s="782"/>
      <c r="B117" s="782" t="s">
        <v>12</v>
      </c>
      <c r="C117" s="798">
        <f t="shared" si="20"/>
        <v>58372088.350171983</v>
      </c>
      <c r="D117" s="782"/>
      <c r="E117" s="798">
        <f>SUM(E111:E116)</f>
        <v>0</v>
      </c>
      <c r="F117" s="798">
        <f t="shared" ref="F117:AW117" si="21">SUM(F111:F116)</f>
        <v>0</v>
      </c>
      <c r="G117" s="798">
        <f t="shared" si="21"/>
        <v>0</v>
      </c>
      <c r="H117" s="798">
        <f t="shared" si="21"/>
        <v>0</v>
      </c>
      <c r="I117" s="798">
        <f t="shared" si="21"/>
        <v>0</v>
      </c>
      <c r="J117" s="798">
        <f t="shared" si="21"/>
        <v>0</v>
      </c>
      <c r="K117" s="798">
        <f t="shared" si="21"/>
        <v>0</v>
      </c>
      <c r="L117" s="798">
        <f t="shared" si="21"/>
        <v>0</v>
      </c>
      <c r="M117" s="798">
        <f t="shared" si="21"/>
        <v>0</v>
      </c>
      <c r="N117" s="798">
        <f t="shared" si="21"/>
        <v>0</v>
      </c>
      <c r="O117" s="798">
        <f t="shared" si="21"/>
        <v>0</v>
      </c>
      <c r="P117" s="798">
        <f t="shared" si="21"/>
        <v>-103803210.93240492</v>
      </c>
      <c r="Q117" s="798">
        <f t="shared" si="21"/>
        <v>1390305.9955073735</v>
      </c>
      <c r="R117" s="798">
        <f t="shared" si="21"/>
        <v>1414534.9424936878</v>
      </c>
      <c r="S117" s="798">
        <f t="shared" si="21"/>
        <v>1416207.397731672</v>
      </c>
      <c r="T117" s="798">
        <f t="shared" si="21"/>
        <v>1436763.1758116088</v>
      </c>
      <c r="U117" s="798">
        <f t="shared" si="21"/>
        <v>1457676.9195883549</v>
      </c>
      <c r="V117" s="798">
        <f t="shared" si="21"/>
        <v>1476118.8158762024</v>
      </c>
      <c r="W117" s="798">
        <f t="shared" si="21"/>
        <v>1475924.8497949294</v>
      </c>
      <c r="X117" s="798">
        <f t="shared" si="21"/>
        <v>1492440.3654109142</v>
      </c>
      <c r="Y117" s="798">
        <f t="shared" si="21"/>
        <v>1512074.8274641787</v>
      </c>
      <c r="Z117" s="798">
        <f t="shared" si="21"/>
        <v>1532785.017608972</v>
      </c>
      <c r="AA117" s="798">
        <f t="shared" si="21"/>
        <v>1535438.9650751748</v>
      </c>
      <c r="AB117" s="798">
        <f t="shared" si="21"/>
        <v>1555540.6650120413</v>
      </c>
      <c r="AC117" s="798">
        <f t="shared" si="21"/>
        <v>1578121.9808628024</v>
      </c>
      <c r="AD117" s="798">
        <f t="shared" si="21"/>
        <v>1600562.840396252</v>
      </c>
      <c r="AE117" s="798">
        <f t="shared" si="21"/>
        <v>1603616.4261077703</v>
      </c>
      <c r="AF117" s="798">
        <f t="shared" si="21"/>
        <v>1624540.5697009424</v>
      </c>
      <c r="AG117" s="798">
        <f t="shared" si="21"/>
        <v>1648048.939487732</v>
      </c>
      <c r="AH117" s="798">
        <f t="shared" si="21"/>
        <v>1671410.712331648</v>
      </c>
      <c r="AI117" s="798">
        <f t="shared" si="21"/>
        <v>1674721.857353711</v>
      </c>
      <c r="AJ117" s="798">
        <f t="shared" si="21"/>
        <v>1696502.391552879</v>
      </c>
      <c r="AK117" s="798">
        <f t="shared" si="21"/>
        <v>131381961.62740806</v>
      </c>
      <c r="AL117" s="798">
        <f t="shared" si="21"/>
        <v>0</v>
      </c>
      <c r="AM117" s="798">
        <f t="shared" si="21"/>
        <v>0</v>
      </c>
      <c r="AN117" s="798">
        <f t="shared" si="21"/>
        <v>0</v>
      </c>
      <c r="AO117" s="798">
        <f t="shared" si="21"/>
        <v>0</v>
      </c>
      <c r="AP117" s="798">
        <f t="shared" si="21"/>
        <v>0</v>
      </c>
      <c r="AQ117" s="798">
        <f t="shared" si="21"/>
        <v>0</v>
      </c>
      <c r="AR117" s="798">
        <f t="shared" si="21"/>
        <v>0</v>
      </c>
      <c r="AS117" s="798">
        <f t="shared" si="21"/>
        <v>0</v>
      </c>
      <c r="AT117" s="798">
        <f t="shared" si="21"/>
        <v>0</v>
      </c>
      <c r="AU117" s="798">
        <f t="shared" si="21"/>
        <v>0</v>
      </c>
      <c r="AV117" s="798">
        <f t="shared" si="21"/>
        <v>0</v>
      </c>
      <c r="AW117" s="798">
        <f t="shared" si="21"/>
        <v>0</v>
      </c>
      <c r="AX117" s="798"/>
    </row>
    <row r="118" spans="1:50" ht="12.75" customHeight="1" x14ac:dyDescent="0.3">
      <c r="A118" s="782"/>
      <c r="B118" s="800" t="s">
        <v>73</v>
      </c>
      <c r="C118" s="801">
        <f>'Venture Summary - Mthly'!C121</f>
        <v>9.813267588615418E-2</v>
      </c>
      <c r="D118" s="782"/>
      <c r="E118" s="798"/>
      <c r="F118" s="798"/>
      <c r="G118" s="798"/>
      <c r="H118" s="798"/>
      <c r="I118" s="798"/>
      <c r="J118" s="798"/>
      <c r="K118" s="798"/>
      <c r="L118" s="798"/>
      <c r="M118" s="798"/>
      <c r="N118" s="798"/>
      <c r="O118" s="798"/>
      <c r="P118" s="798"/>
      <c r="Q118" s="798"/>
      <c r="R118" s="798"/>
      <c r="S118" s="798"/>
      <c r="T118" s="798"/>
      <c r="U118" s="798"/>
      <c r="V118" s="798"/>
      <c r="W118" s="798"/>
      <c r="X118" s="798"/>
      <c r="Y118" s="798"/>
      <c r="Z118" s="798"/>
      <c r="AA118" s="798"/>
      <c r="AB118" s="798"/>
      <c r="AC118" s="798"/>
      <c r="AD118" s="798"/>
      <c r="AE118" s="798"/>
      <c r="AF118" s="798"/>
      <c r="AG118" s="798"/>
      <c r="AH118" s="798"/>
      <c r="AI118" s="798"/>
      <c r="AJ118" s="806"/>
      <c r="AK118" s="798"/>
      <c r="AL118" s="798"/>
      <c r="AM118" s="798"/>
      <c r="AN118" s="798"/>
      <c r="AO118" s="798"/>
      <c r="AP118" s="798"/>
      <c r="AQ118" s="798"/>
      <c r="AR118" s="798"/>
      <c r="AS118" s="798"/>
      <c r="AT118" s="798"/>
      <c r="AU118" s="798"/>
      <c r="AV118" s="798"/>
      <c r="AW118" s="798"/>
      <c r="AX118" s="798"/>
    </row>
    <row r="119" spans="1:50" ht="12.75" customHeight="1" x14ac:dyDescent="0.3">
      <c r="A119" s="782"/>
      <c r="B119" s="782"/>
      <c r="C119" s="782"/>
      <c r="D119" s="782"/>
      <c r="E119" s="782"/>
      <c r="F119" s="782"/>
      <c r="G119" s="782"/>
      <c r="H119" s="782"/>
      <c r="I119" s="782"/>
      <c r="J119" s="782"/>
      <c r="K119" s="782"/>
      <c r="L119" s="782"/>
      <c r="M119" s="782"/>
      <c r="N119" s="782"/>
      <c r="O119" s="782"/>
      <c r="P119" s="782"/>
      <c r="Q119" s="782"/>
      <c r="R119" s="782"/>
      <c r="S119" s="782"/>
      <c r="T119" s="782"/>
      <c r="U119" s="782"/>
      <c r="V119" s="782"/>
      <c r="W119" s="782"/>
      <c r="X119" s="782"/>
      <c r="Y119" s="782"/>
      <c r="Z119" s="782"/>
      <c r="AA119" s="782"/>
      <c r="AB119" s="782"/>
      <c r="AC119" s="782"/>
      <c r="AD119" s="782"/>
      <c r="AE119" s="782"/>
      <c r="AF119" s="782"/>
      <c r="AG119" s="782"/>
      <c r="AH119" s="782"/>
      <c r="AI119" s="782"/>
      <c r="AJ119" s="782"/>
      <c r="AK119" s="782"/>
      <c r="AL119" s="782"/>
      <c r="AM119" s="782"/>
      <c r="AN119" s="782"/>
      <c r="AO119" s="782"/>
      <c r="AP119" s="782"/>
      <c r="AQ119" s="782"/>
      <c r="AR119" s="782"/>
      <c r="AS119" s="782"/>
      <c r="AT119" s="782"/>
      <c r="AU119" s="782"/>
      <c r="AV119" s="782"/>
      <c r="AW119" s="782"/>
      <c r="AX119" s="782"/>
    </row>
    <row r="120" spans="1:50" ht="12.75" customHeight="1" x14ac:dyDescent="0.3">
      <c r="A120" s="782"/>
      <c r="B120" s="782" t="s">
        <v>14</v>
      </c>
      <c r="C120" s="798">
        <f t="shared" ref="C120:C128" si="22">SUM(E120:AX120)</f>
        <v>-573436.1190762755</v>
      </c>
      <c r="D120" s="782"/>
      <c r="E120" s="798">
        <f>SUMIF('Venture Summary - Mthly'!$E$8:$EG$8,E$9,'Venture Summary - Mthly'!$E123:$EG123)</f>
        <v>0</v>
      </c>
      <c r="F120" s="798">
        <f>SUMIF('Venture Summary - Mthly'!$E$8:$EG$8,F$9,'Venture Summary - Mthly'!$E123:$EG123)</f>
        <v>0</v>
      </c>
      <c r="G120" s="798">
        <f>SUMIF('Venture Summary - Mthly'!$E$8:$EG$8,G$9,'Venture Summary - Mthly'!$E123:$EG123)</f>
        <v>0</v>
      </c>
      <c r="H120" s="798">
        <f>SUMIF('Venture Summary - Mthly'!$E$8:$EG$8,H$9,'Venture Summary - Mthly'!$E123:$EG123)</f>
        <v>0</v>
      </c>
      <c r="I120" s="798">
        <f>SUMIF('Venture Summary - Mthly'!$E$8:$EG$8,I$9,'Venture Summary - Mthly'!$E123:$EG123)</f>
        <v>0</v>
      </c>
      <c r="J120" s="798">
        <f>SUMIF('Venture Summary - Mthly'!$E$8:$EG$8,J$9,'Venture Summary - Mthly'!$E123:$EG123)</f>
        <v>0</v>
      </c>
      <c r="K120" s="798">
        <f>SUMIF('Venture Summary - Mthly'!$E$8:$EG$8,K$9,'Venture Summary - Mthly'!$E123:$EG123)</f>
        <v>0</v>
      </c>
      <c r="L120" s="798">
        <f>SUMIF('Venture Summary - Mthly'!$E$8:$EG$8,L$9,'Venture Summary - Mthly'!$E123:$EG123)</f>
        <v>0</v>
      </c>
      <c r="M120" s="798">
        <f>SUMIF('Venture Summary - Mthly'!$E$8:$EG$8,M$9,'Venture Summary - Mthly'!$E123:$EG123)</f>
        <v>0</v>
      </c>
      <c r="N120" s="798">
        <f>SUMIF('Venture Summary - Mthly'!$E$8:$EG$8,N$9,'Venture Summary - Mthly'!$E123:$EG123)</f>
        <v>0</v>
      </c>
      <c r="O120" s="798">
        <f>SUMIF('Venture Summary - Mthly'!$E$8:$EG$8,O$9,'Venture Summary - Mthly'!$E123:$EG123)</f>
        <v>0</v>
      </c>
      <c r="P120" s="798">
        <f>SUMIF('Venture Summary - Mthly'!$E$8:$EG$8,P$9,'Venture Summary - Mthly'!$E123:$EG123)</f>
        <v>-573436.1190762755</v>
      </c>
      <c r="Q120" s="798">
        <f>SUMIF('Venture Summary - Mthly'!$E$8:$EG$8,Q$9,'Venture Summary - Mthly'!$E123:$EG123)</f>
        <v>0</v>
      </c>
      <c r="R120" s="798">
        <f>SUMIF('Venture Summary - Mthly'!$E$8:$EG$8,R$9,'Venture Summary - Mthly'!$E123:$EG123)</f>
        <v>0</v>
      </c>
      <c r="S120" s="798">
        <f>SUMIF('Venture Summary - Mthly'!$E$8:$EG$8,S$9,'Venture Summary - Mthly'!$E123:$EG123)</f>
        <v>0</v>
      </c>
      <c r="T120" s="798">
        <f>SUMIF('Venture Summary - Mthly'!$E$8:$EG$8,T$9,'Venture Summary - Mthly'!$E123:$EG123)</f>
        <v>0</v>
      </c>
      <c r="U120" s="798">
        <f>SUMIF('Venture Summary - Mthly'!$E$8:$EG$8,U$9,'Venture Summary - Mthly'!$E123:$EG123)</f>
        <v>0</v>
      </c>
      <c r="V120" s="798">
        <f>SUMIF('Venture Summary - Mthly'!$E$8:$EG$8,V$9,'Venture Summary - Mthly'!$E123:$EG123)</f>
        <v>0</v>
      </c>
      <c r="W120" s="798">
        <f>SUMIF('Venture Summary - Mthly'!$E$8:$EG$8,W$9,'Venture Summary - Mthly'!$E123:$EG123)</f>
        <v>0</v>
      </c>
      <c r="X120" s="798">
        <f>SUMIF('Venture Summary - Mthly'!$E$8:$EG$8,X$9,'Venture Summary - Mthly'!$E123:$EG123)</f>
        <v>0</v>
      </c>
      <c r="Y120" s="798">
        <f>SUMIF('Venture Summary - Mthly'!$E$8:$EG$8,Y$9,'Venture Summary - Mthly'!$E123:$EG123)</f>
        <v>0</v>
      </c>
      <c r="Z120" s="798">
        <f>SUMIF('Venture Summary - Mthly'!$E$8:$EG$8,Z$9,'Venture Summary - Mthly'!$E123:$EG123)</f>
        <v>0</v>
      </c>
      <c r="AA120" s="798">
        <f>SUMIF('Venture Summary - Mthly'!$E$8:$EG$8,AA$9,'Venture Summary - Mthly'!$E123:$EG123)</f>
        <v>0</v>
      </c>
      <c r="AB120" s="798">
        <f>SUMIF('Venture Summary - Mthly'!$E$8:$EG$8,AB$9,'Venture Summary - Mthly'!$E123:$EG123)</f>
        <v>0</v>
      </c>
      <c r="AC120" s="798">
        <f>SUMIF('Venture Summary - Mthly'!$E$8:$EG$8,AC$9,'Venture Summary - Mthly'!$E123:$EG123)</f>
        <v>0</v>
      </c>
      <c r="AD120" s="798">
        <f>SUMIF('Venture Summary - Mthly'!$E$8:$EG$8,AD$9,'Venture Summary - Mthly'!$E123:$EG123)</f>
        <v>0</v>
      </c>
      <c r="AE120" s="798">
        <f>SUMIF('Venture Summary - Mthly'!$E$8:$EG$8,AE$9,'Venture Summary - Mthly'!$E123:$EG123)</f>
        <v>0</v>
      </c>
      <c r="AF120" s="798">
        <f>SUMIF('Venture Summary - Mthly'!$E$8:$EG$8,AF$9,'Venture Summary - Mthly'!$E123:$EG123)</f>
        <v>0</v>
      </c>
      <c r="AG120" s="798">
        <f>SUMIF('Venture Summary - Mthly'!$E$8:$EG$8,AG$9,'Venture Summary - Mthly'!$E123:$EG123)</f>
        <v>0</v>
      </c>
      <c r="AH120" s="798">
        <f>SUMIF('Venture Summary - Mthly'!$E$8:$EG$8,AH$9,'Venture Summary - Mthly'!$E123:$EG123)</f>
        <v>0</v>
      </c>
      <c r="AI120" s="798">
        <f>SUMIF('Venture Summary - Mthly'!$E$8:$EG$8,AI$9,'Venture Summary - Mthly'!$E123:$EG123)</f>
        <v>0</v>
      </c>
      <c r="AJ120" s="798">
        <f>SUMIF('Venture Summary - Mthly'!$E$8:$EG$8,AJ$9,'Venture Summary - Mthly'!$E123:$EG123)</f>
        <v>0</v>
      </c>
      <c r="AK120" s="798">
        <f>SUMIF('Venture Summary - Mthly'!$E$8:$EG$8,AK$9,'Venture Summary - Mthly'!$E123:$EG123)</f>
        <v>0</v>
      </c>
      <c r="AL120" s="798">
        <f>SUMIF('Venture Summary - Mthly'!$E$8:$EG$8,AL$9,'Venture Summary - Mthly'!$E123:$EG123)</f>
        <v>0</v>
      </c>
      <c r="AM120" s="798">
        <f>SUMIF('Venture Summary - Mthly'!$E$8:$EG$8,AM$9,'Venture Summary - Mthly'!$E123:$EG123)</f>
        <v>0</v>
      </c>
      <c r="AN120" s="798">
        <f>SUMIF('Venture Summary - Mthly'!$E$8:$EG$8,AN$9,'Venture Summary - Mthly'!$E123:$EG123)</f>
        <v>0</v>
      </c>
      <c r="AO120" s="798">
        <f>SUMIF('Venture Summary - Mthly'!$E$8:$EG$8,AO$9,'Venture Summary - Mthly'!$E123:$EG123)</f>
        <v>0</v>
      </c>
      <c r="AP120" s="798">
        <f>SUMIF('Venture Summary - Mthly'!$E$8:$EG$8,AP$9,'Venture Summary - Mthly'!$E123:$EG123)</f>
        <v>0</v>
      </c>
      <c r="AQ120" s="798">
        <f>SUMIF('Venture Summary - Mthly'!$E$8:$EG$8,AQ$9,'Venture Summary - Mthly'!$E123:$EG123)</f>
        <v>0</v>
      </c>
      <c r="AR120" s="798">
        <f>SUMIF('Venture Summary - Mthly'!$E$8:$EG$8,AR$9,'Venture Summary - Mthly'!$E123:$EG123)</f>
        <v>0</v>
      </c>
      <c r="AS120" s="798">
        <f>SUMIF('Venture Summary - Mthly'!$E$8:$EG$8,AS$9,'Venture Summary - Mthly'!$E123:$EG123)</f>
        <v>0</v>
      </c>
      <c r="AT120" s="798">
        <f>SUMIF('Venture Summary - Mthly'!$E$8:$EG$8,AT$9,'Venture Summary - Mthly'!$E123:$EG123)</f>
        <v>0</v>
      </c>
      <c r="AU120" s="798">
        <f>SUMIF('Venture Summary - Mthly'!$E$8:$EG$8,AU$9,'Venture Summary - Mthly'!$E123:$EG123)</f>
        <v>0</v>
      </c>
      <c r="AV120" s="798">
        <f>SUMIF('Venture Summary - Mthly'!$E$8:$EG$8,AV$9,'Venture Summary - Mthly'!$E123:$EG123)</f>
        <v>0</v>
      </c>
      <c r="AW120" s="798">
        <f>SUMIF('Venture Summary - Mthly'!$E$8:$EG$8,AW$9,'Venture Summary - Mthly'!$E123:$EG123)</f>
        <v>0</v>
      </c>
      <c r="AX120" s="798"/>
    </row>
    <row r="121" spans="1:50" ht="12.75" customHeight="1" x14ac:dyDescent="0.3">
      <c r="A121" s="782"/>
      <c r="B121" s="782" t="s">
        <v>74</v>
      </c>
      <c r="C121" s="798">
        <f t="shared" si="22"/>
        <v>42877793.387000009</v>
      </c>
      <c r="D121" s="782"/>
      <c r="E121" s="798">
        <f>SUMIF('Venture Summary - Mthly'!$E$8:$EG$8,E$9,'Venture Summary - Mthly'!$E124:$EG124)</f>
        <v>0</v>
      </c>
      <c r="F121" s="798">
        <f>SUMIF('Venture Summary - Mthly'!$E$8:$EG$8,F$9,'Venture Summary - Mthly'!$E124:$EG124)</f>
        <v>0</v>
      </c>
      <c r="G121" s="798">
        <f>SUMIF('Venture Summary - Mthly'!$E$8:$EG$8,G$9,'Venture Summary - Mthly'!$E124:$EG124)</f>
        <v>0</v>
      </c>
      <c r="H121" s="798">
        <f>SUMIF('Venture Summary - Mthly'!$E$8:$EG$8,H$9,'Venture Summary - Mthly'!$E124:$EG124)</f>
        <v>0</v>
      </c>
      <c r="I121" s="798">
        <f>SUMIF('Venture Summary - Mthly'!$E$8:$EG$8,I$9,'Venture Summary - Mthly'!$E124:$EG124)</f>
        <v>0</v>
      </c>
      <c r="J121" s="798">
        <f>SUMIF('Venture Summary - Mthly'!$E$8:$EG$8,J$9,'Venture Summary - Mthly'!$E124:$EG124)</f>
        <v>0</v>
      </c>
      <c r="K121" s="798">
        <f>SUMIF('Venture Summary - Mthly'!$E$8:$EG$8,K$9,'Venture Summary - Mthly'!$E124:$EG124)</f>
        <v>0</v>
      </c>
      <c r="L121" s="798">
        <f>SUMIF('Venture Summary - Mthly'!$E$8:$EG$8,L$9,'Venture Summary - Mthly'!$E124:$EG124)</f>
        <v>0</v>
      </c>
      <c r="M121" s="798">
        <f>SUMIF('Venture Summary - Mthly'!$E$8:$EG$8,M$9,'Venture Summary - Mthly'!$E124:$EG124)</f>
        <v>0</v>
      </c>
      <c r="N121" s="798">
        <f>SUMIF('Venture Summary - Mthly'!$E$8:$EG$8,N$9,'Venture Summary - Mthly'!$E124:$EG124)</f>
        <v>0</v>
      </c>
      <c r="O121" s="798">
        <f>SUMIF('Venture Summary - Mthly'!$E$8:$EG$8,O$9,'Venture Summary - Mthly'!$E124:$EG124)</f>
        <v>0</v>
      </c>
      <c r="P121" s="798">
        <f>SUMIF('Venture Summary - Mthly'!$E$8:$EG$8,P$9,'Venture Summary - Mthly'!$E124:$EG124)</f>
        <v>42877793.387000009</v>
      </c>
      <c r="Q121" s="798">
        <f>SUMIF('Venture Summary - Mthly'!$E$8:$EG$8,Q$9,'Venture Summary - Mthly'!$E124:$EG124)</f>
        <v>0</v>
      </c>
      <c r="R121" s="798">
        <f>SUMIF('Venture Summary - Mthly'!$E$8:$EG$8,R$9,'Venture Summary - Mthly'!$E124:$EG124)</f>
        <v>0</v>
      </c>
      <c r="S121" s="798">
        <f>SUMIF('Venture Summary - Mthly'!$E$8:$EG$8,S$9,'Venture Summary - Mthly'!$E124:$EG124)</f>
        <v>0</v>
      </c>
      <c r="T121" s="798">
        <f>SUMIF('Venture Summary - Mthly'!$E$8:$EG$8,T$9,'Venture Summary - Mthly'!$E124:$EG124)</f>
        <v>0</v>
      </c>
      <c r="U121" s="798">
        <f>SUMIF('Venture Summary - Mthly'!$E$8:$EG$8,U$9,'Venture Summary - Mthly'!$E124:$EG124)</f>
        <v>0</v>
      </c>
      <c r="V121" s="798">
        <f>SUMIF('Venture Summary - Mthly'!$E$8:$EG$8,V$9,'Venture Summary - Mthly'!$E124:$EG124)</f>
        <v>0</v>
      </c>
      <c r="W121" s="798">
        <f>SUMIF('Venture Summary - Mthly'!$E$8:$EG$8,W$9,'Venture Summary - Mthly'!$E124:$EG124)</f>
        <v>0</v>
      </c>
      <c r="X121" s="798">
        <f>SUMIF('Venture Summary - Mthly'!$E$8:$EG$8,X$9,'Venture Summary - Mthly'!$E124:$EG124)</f>
        <v>0</v>
      </c>
      <c r="Y121" s="798">
        <f>SUMIF('Venture Summary - Mthly'!$E$8:$EG$8,Y$9,'Venture Summary - Mthly'!$E124:$EG124)</f>
        <v>0</v>
      </c>
      <c r="Z121" s="798">
        <f>SUMIF('Venture Summary - Mthly'!$E$8:$EG$8,Z$9,'Venture Summary - Mthly'!$E124:$EG124)</f>
        <v>0</v>
      </c>
      <c r="AA121" s="798">
        <f>SUMIF('Venture Summary - Mthly'!$E$8:$EG$8,AA$9,'Venture Summary - Mthly'!$E124:$EG124)</f>
        <v>0</v>
      </c>
      <c r="AB121" s="798">
        <f>SUMIF('Venture Summary - Mthly'!$E$8:$EG$8,AB$9,'Venture Summary - Mthly'!$E124:$EG124)</f>
        <v>0</v>
      </c>
      <c r="AC121" s="798">
        <f>SUMIF('Venture Summary - Mthly'!$E$8:$EG$8,AC$9,'Venture Summary - Mthly'!$E124:$EG124)</f>
        <v>0</v>
      </c>
      <c r="AD121" s="798">
        <f>SUMIF('Venture Summary - Mthly'!$E$8:$EG$8,AD$9,'Venture Summary - Mthly'!$E124:$EG124)</f>
        <v>0</v>
      </c>
      <c r="AE121" s="798">
        <f>SUMIF('Venture Summary - Mthly'!$E$8:$EG$8,AE$9,'Venture Summary - Mthly'!$E124:$EG124)</f>
        <v>0</v>
      </c>
      <c r="AF121" s="798">
        <f>SUMIF('Venture Summary - Mthly'!$E$8:$EG$8,AF$9,'Venture Summary - Mthly'!$E124:$EG124)</f>
        <v>0</v>
      </c>
      <c r="AG121" s="798">
        <f>SUMIF('Venture Summary - Mthly'!$E$8:$EG$8,AG$9,'Venture Summary - Mthly'!$E124:$EG124)</f>
        <v>0</v>
      </c>
      <c r="AH121" s="798">
        <f>SUMIF('Venture Summary - Mthly'!$E$8:$EG$8,AH$9,'Venture Summary - Mthly'!$E124:$EG124)</f>
        <v>0</v>
      </c>
      <c r="AI121" s="798">
        <f>SUMIF('Venture Summary - Mthly'!$E$8:$EG$8,AI$9,'Venture Summary - Mthly'!$E124:$EG124)</f>
        <v>0</v>
      </c>
      <c r="AJ121" s="798">
        <f>SUMIF('Venture Summary - Mthly'!$E$8:$EG$8,AJ$9,'Venture Summary - Mthly'!$E124:$EG124)</f>
        <v>0</v>
      </c>
      <c r="AK121" s="798">
        <f>SUMIF('Venture Summary - Mthly'!$E$8:$EG$8,AK$9,'Venture Summary - Mthly'!$E124:$EG124)</f>
        <v>0</v>
      </c>
      <c r="AL121" s="798">
        <f>SUMIF('Venture Summary - Mthly'!$E$8:$EG$8,AL$9,'Venture Summary - Mthly'!$E124:$EG124)</f>
        <v>0</v>
      </c>
      <c r="AM121" s="798">
        <f>SUMIF('Venture Summary - Mthly'!$E$8:$EG$8,AM$9,'Venture Summary - Mthly'!$E124:$EG124)</f>
        <v>0</v>
      </c>
      <c r="AN121" s="798">
        <f>SUMIF('Venture Summary - Mthly'!$E$8:$EG$8,AN$9,'Venture Summary - Mthly'!$E124:$EG124)</f>
        <v>0</v>
      </c>
      <c r="AO121" s="798">
        <f>SUMIF('Venture Summary - Mthly'!$E$8:$EG$8,AO$9,'Venture Summary - Mthly'!$E124:$EG124)</f>
        <v>0</v>
      </c>
      <c r="AP121" s="798">
        <f>SUMIF('Venture Summary - Mthly'!$E$8:$EG$8,AP$9,'Venture Summary - Mthly'!$E124:$EG124)</f>
        <v>0</v>
      </c>
      <c r="AQ121" s="798">
        <f>SUMIF('Venture Summary - Mthly'!$E$8:$EG$8,AQ$9,'Venture Summary - Mthly'!$E124:$EG124)</f>
        <v>0</v>
      </c>
      <c r="AR121" s="798">
        <f>SUMIF('Venture Summary - Mthly'!$E$8:$EG$8,AR$9,'Venture Summary - Mthly'!$E124:$EG124)</f>
        <v>0</v>
      </c>
      <c r="AS121" s="798">
        <f>SUMIF('Venture Summary - Mthly'!$E$8:$EG$8,AS$9,'Venture Summary - Mthly'!$E124:$EG124)</f>
        <v>0</v>
      </c>
      <c r="AT121" s="798">
        <f>SUMIF('Venture Summary - Mthly'!$E$8:$EG$8,AT$9,'Venture Summary - Mthly'!$E124:$EG124)</f>
        <v>0</v>
      </c>
      <c r="AU121" s="798">
        <f>SUMIF('Venture Summary - Mthly'!$E$8:$EG$8,AU$9,'Venture Summary - Mthly'!$E124:$EG124)</f>
        <v>0</v>
      </c>
      <c r="AV121" s="798">
        <f>SUMIF('Venture Summary - Mthly'!$E$8:$EG$8,AV$9,'Venture Summary - Mthly'!$E124:$EG124)</f>
        <v>0</v>
      </c>
      <c r="AW121" s="798">
        <f>SUMIF('Venture Summary - Mthly'!$E$8:$EG$8,AW$9,'Venture Summary - Mthly'!$E124:$EG124)</f>
        <v>0</v>
      </c>
      <c r="AX121" s="798"/>
    </row>
    <row r="122" spans="1:50" ht="12.75" customHeight="1" x14ac:dyDescent="0.3">
      <c r="A122" s="782"/>
      <c r="B122" s="782" t="s">
        <v>15</v>
      </c>
      <c r="C122" s="798">
        <f t="shared" si="22"/>
        <v>0</v>
      </c>
      <c r="D122" s="782"/>
      <c r="E122" s="798">
        <f>SUMIF('Venture Summary - Mthly'!$E$8:$EG$8,E$9,'Venture Summary - Mthly'!$E125:$EG125)</f>
        <v>0</v>
      </c>
      <c r="F122" s="798">
        <f>SUMIF('Venture Summary - Mthly'!$E$8:$EG$8,F$9,'Venture Summary - Mthly'!$E125:$EG125)</f>
        <v>0</v>
      </c>
      <c r="G122" s="798">
        <f>SUMIF('Venture Summary - Mthly'!$E$8:$EG$8,G$9,'Venture Summary - Mthly'!$E125:$EG125)</f>
        <v>0</v>
      </c>
      <c r="H122" s="798">
        <f>SUMIF('Venture Summary - Mthly'!$E$8:$EG$8,H$9,'Venture Summary - Mthly'!$E125:$EG125)</f>
        <v>0</v>
      </c>
      <c r="I122" s="798">
        <f>SUMIF('Venture Summary - Mthly'!$E$8:$EG$8,I$9,'Venture Summary - Mthly'!$E125:$EG125)</f>
        <v>0</v>
      </c>
      <c r="J122" s="798">
        <f>SUMIF('Venture Summary - Mthly'!$E$8:$EG$8,J$9,'Venture Summary - Mthly'!$E125:$EG125)</f>
        <v>0</v>
      </c>
      <c r="K122" s="798">
        <f>SUMIF('Venture Summary - Mthly'!$E$8:$EG$8,K$9,'Venture Summary - Mthly'!$E125:$EG125)</f>
        <v>0</v>
      </c>
      <c r="L122" s="798">
        <f>SUMIF('Venture Summary - Mthly'!$E$8:$EG$8,L$9,'Venture Summary - Mthly'!$E125:$EG125)</f>
        <v>0</v>
      </c>
      <c r="M122" s="798">
        <f>SUMIF('Venture Summary - Mthly'!$E$8:$EG$8,M$9,'Venture Summary - Mthly'!$E125:$EG125)</f>
        <v>0</v>
      </c>
      <c r="N122" s="798">
        <f>SUMIF('Venture Summary - Mthly'!$E$8:$EG$8,N$9,'Venture Summary - Mthly'!$E125:$EG125)</f>
        <v>0</v>
      </c>
      <c r="O122" s="798">
        <f>SUMIF('Venture Summary - Mthly'!$E$8:$EG$8,O$9,'Venture Summary - Mthly'!$E125:$EG125)</f>
        <v>0</v>
      </c>
      <c r="P122" s="798">
        <f>SUMIF('Venture Summary - Mthly'!$E$8:$EG$8,P$9,'Venture Summary - Mthly'!$E125:$EG125)</f>
        <v>0</v>
      </c>
      <c r="Q122" s="798">
        <f>SUMIF('Venture Summary - Mthly'!$E$8:$EG$8,Q$9,'Venture Summary - Mthly'!$E125:$EG125)</f>
        <v>0</v>
      </c>
      <c r="R122" s="798">
        <f>SUMIF('Venture Summary - Mthly'!$E$8:$EG$8,R$9,'Venture Summary - Mthly'!$E125:$EG125)</f>
        <v>0</v>
      </c>
      <c r="S122" s="798">
        <f>SUMIF('Venture Summary - Mthly'!$E$8:$EG$8,S$9,'Venture Summary - Mthly'!$E125:$EG125)</f>
        <v>0</v>
      </c>
      <c r="T122" s="798">
        <f>SUMIF('Venture Summary - Mthly'!$E$8:$EG$8,T$9,'Venture Summary - Mthly'!$E125:$EG125)</f>
        <v>0</v>
      </c>
      <c r="U122" s="798">
        <f>SUMIF('Venture Summary - Mthly'!$E$8:$EG$8,U$9,'Venture Summary - Mthly'!$E125:$EG125)</f>
        <v>0</v>
      </c>
      <c r="V122" s="798">
        <f>SUMIF('Venture Summary - Mthly'!$E$8:$EG$8,V$9,'Venture Summary - Mthly'!$E125:$EG125)</f>
        <v>0</v>
      </c>
      <c r="W122" s="798">
        <f>SUMIF('Venture Summary - Mthly'!$E$8:$EG$8,W$9,'Venture Summary - Mthly'!$E125:$EG125)</f>
        <v>0</v>
      </c>
      <c r="X122" s="798">
        <f>SUMIF('Venture Summary - Mthly'!$E$8:$EG$8,X$9,'Venture Summary - Mthly'!$E125:$EG125)</f>
        <v>0</v>
      </c>
      <c r="Y122" s="798">
        <f>SUMIF('Venture Summary - Mthly'!$E$8:$EG$8,Y$9,'Venture Summary - Mthly'!$E125:$EG125)</f>
        <v>0</v>
      </c>
      <c r="Z122" s="798">
        <f>SUMIF('Venture Summary - Mthly'!$E$8:$EG$8,Z$9,'Venture Summary - Mthly'!$E125:$EG125)</f>
        <v>0</v>
      </c>
      <c r="AA122" s="798">
        <f>SUMIF('Venture Summary - Mthly'!$E$8:$EG$8,AA$9,'Venture Summary - Mthly'!$E125:$EG125)</f>
        <v>0</v>
      </c>
      <c r="AB122" s="798">
        <f>SUMIF('Venture Summary - Mthly'!$E$8:$EG$8,AB$9,'Venture Summary - Mthly'!$E125:$EG125)</f>
        <v>0</v>
      </c>
      <c r="AC122" s="798">
        <f>SUMIF('Venture Summary - Mthly'!$E$8:$EG$8,AC$9,'Venture Summary - Mthly'!$E125:$EG125)</f>
        <v>0</v>
      </c>
      <c r="AD122" s="798">
        <f>SUMIF('Venture Summary - Mthly'!$E$8:$EG$8,AD$9,'Venture Summary - Mthly'!$E125:$EG125)</f>
        <v>0</v>
      </c>
      <c r="AE122" s="798">
        <f>SUMIF('Venture Summary - Mthly'!$E$8:$EG$8,AE$9,'Venture Summary - Mthly'!$E125:$EG125)</f>
        <v>0</v>
      </c>
      <c r="AF122" s="798">
        <f>SUMIF('Venture Summary - Mthly'!$E$8:$EG$8,AF$9,'Venture Summary - Mthly'!$E125:$EG125)</f>
        <v>0</v>
      </c>
      <c r="AG122" s="798">
        <f>SUMIF('Venture Summary - Mthly'!$E$8:$EG$8,AG$9,'Venture Summary - Mthly'!$E125:$EG125)</f>
        <v>0</v>
      </c>
      <c r="AH122" s="798">
        <f>SUMIF('Venture Summary - Mthly'!$E$8:$EG$8,AH$9,'Venture Summary - Mthly'!$E125:$EG125)</f>
        <v>0</v>
      </c>
      <c r="AI122" s="798">
        <f>SUMIF('Venture Summary - Mthly'!$E$8:$EG$8,AI$9,'Venture Summary - Mthly'!$E125:$EG125)</f>
        <v>0</v>
      </c>
      <c r="AJ122" s="798">
        <f>SUMIF('Venture Summary - Mthly'!$E$8:$EG$8,AJ$9,'Venture Summary - Mthly'!$E125:$EG125)</f>
        <v>0</v>
      </c>
      <c r="AK122" s="798">
        <f>SUMIF('Venture Summary - Mthly'!$E$8:$EG$8,AK$9,'Venture Summary - Mthly'!$E125:$EG125)</f>
        <v>0</v>
      </c>
      <c r="AL122" s="798">
        <f>SUMIF('Venture Summary - Mthly'!$E$8:$EG$8,AL$9,'Venture Summary - Mthly'!$E125:$EG125)</f>
        <v>0</v>
      </c>
      <c r="AM122" s="798">
        <f>SUMIF('Venture Summary - Mthly'!$E$8:$EG$8,AM$9,'Venture Summary - Mthly'!$E125:$EG125)</f>
        <v>0</v>
      </c>
      <c r="AN122" s="798">
        <f>SUMIF('Venture Summary - Mthly'!$E$8:$EG$8,AN$9,'Venture Summary - Mthly'!$E125:$EG125)</f>
        <v>0</v>
      </c>
      <c r="AO122" s="798">
        <f>SUMIF('Venture Summary - Mthly'!$E$8:$EG$8,AO$9,'Venture Summary - Mthly'!$E125:$EG125)</f>
        <v>0</v>
      </c>
      <c r="AP122" s="798">
        <f>SUMIF('Venture Summary - Mthly'!$E$8:$EG$8,AP$9,'Venture Summary - Mthly'!$E125:$EG125)</f>
        <v>0</v>
      </c>
      <c r="AQ122" s="798">
        <f>SUMIF('Venture Summary - Mthly'!$E$8:$EG$8,AQ$9,'Venture Summary - Mthly'!$E125:$EG125)</f>
        <v>0</v>
      </c>
      <c r="AR122" s="798">
        <f>SUMIF('Venture Summary - Mthly'!$E$8:$EG$8,AR$9,'Venture Summary - Mthly'!$E125:$EG125)</f>
        <v>0</v>
      </c>
      <c r="AS122" s="798">
        <f>SUMIF('Venture Summary - Mthly'!$E$8:$EG$8,AS$9,'Venture Summary - Mthly'!$E125:$EG125)</f>
        <v>0</v>
      </c>
      <c r="AT122" s="798">
        <f>SUMIF('Venture Summary - Mthly'!$E$8:$EG$8,AT$9,'Venture Summary - Mthly'!$E125:$EG125)</f>
        <v>0</v>
      </c>
      <c r="AU122" s="798">
        <f>SUMIF('Venture Summary - Mthly'!$E$8:$EG$8,AU$9,'Venture Summary - Mthly'!$E125:$EG125)</f>
        <v>0</v>
      </c>
      <c r="AV122" s="798">
        <f>SUMIF('Venture Summary - Mthly'!$E$8:$EG$8,AV$9,'Venture Summary - Mthly'!$E125:$EG125)</f>
        <v>0</v>
      </c>
      <c r="AW122" s="798">
        <f>SUMIF('Venture Summary - Mthly'!$E$8:$EG$8,AW$9,'Venture Summary - Mthly'!$E125:$EG125)</f>
        <v>0</v>
      </c>
      <c r="AX122" s="798"/>
    </row>
    <row r="123" spans="1:50" ht="12.75" customHeight="1" x14ac:dyDescent="0.3">
      <c r="A123" s="782"/>
      <c r="B123" s="782" t="s">
        <v>17</v>
      </c>
      <c r="C123" s="798">
        <f t="shared" si="22"/>
        <v>-42877793.387000009</v>
      </c>
      <c r="D123" s="782"/>
      <c r="E123" s="798">
        <f>SUMIF('Venture Summary - Mthly'!$E$8:$EG$8,E$9,'Venture Summary - Mthly'!$E126:$EG126)</f>
        <v>0</v>
      </c>
      <c r="F123" s="798">
        <f>SUMIF('Venture Summary - Mthly'!$E$8:$EG$8,F$9,'Venture Summary - Mthly'!$E126:$EG126)</f>
        <v>0</v>
      </c>
      <c r="G123" s="798">
        <f>SUMIF('Venture Summary - Mthly'!$E$8:$EG$8,G$9,'Venture Summary - Mthly'!$E126:$EG126)</f>
        <v>0</v>
      </c>
      <c r="H123" s="798">
        <f>SUMIF('Venture Summary - Mthly'!$E$8:$EG$8,H$9,'Venture Summary - Mthly'!$E126:$EG126)</f>
        <v>0</v>
      </c>
      <c r="I123" s="798">
        <f>SUMIF('Venture Summary - Mthly'!$E$8:$EG$8,I$9,'Venture Summary - Mthly'!$E126:$EG126)</f>
        <v>0</v>
      </c>
      <c r="J123" s="798">
        <f>SUMIF('Venture Summary - Mthly'!$E$8:$EG$8,J$9,'Venture Summary - Mthly'!$E126:$EG126)</f>
        <v>0</v>
      </c>
      <c r="K123" s="798">
        <f>SUMIF('Venture Summary - Mthly'!$E$8:$EG$8,K$9,'Venture Summary - Mthly'!$E126:$EG126)</f>
        <v>0</v>
      </c>
      <c r="L123" s="798">
        <f>SUMIF('Venture Summary - Mthly'!$E$8:$EG$8,L$9,'Venture Summary - Mthly'!$E126:$EG126)</f>
        <v>0</v>
      </c>
      <c r="M123" s="798">
        <f>SUMIF('Venture Summary - Mthly'!$E$8:$EG$8,M$9,'Venture Summary - Mthly'!$E126:$EG126)</f>
        <v>0</v>
      </c>
      <c r="N123" s="798">
        <f>SUMIF('Venture Summary - Mthly'!$E$8:$EG$8,N$9,'Venture Summary - Mthly'!$E126:$EG126)</f>
        <v>0</v>
      </c>
      <c r="O123" s="798">
        <f>SUMIF('Venture Summary - Mthly'!$E$8:$EG$8,O$9,'Venture Summary - Mthly'!$E126:$EG126)</f>
        <v>0</v>
      </c>
      <c r="P123" s="798">
        <f>SUMIF('Venture Summary - Mthly'!$E$8:$EG$8,P$9,'Venture Summary - Mthly'!$E126:$EG126)</f>
        <v>-42877793.387000009</v>
      </c>
      <c r="Q123" s="798">
        <f>SUMIF('Venture Summary - Mthly'!$E$8:$EG$8,Q$9,'Venture Summary - Mthly'!$E126:$EG126)</f>
        <v>0</v>
      </c>
      <c r="R123" s="798">
        <f>SUMIF('Venture Summary - Mthly'!$E$8:$EG$8,R$9,'Venture Summary - Mthly'!$E126:$EG126)</f>
        <v>0</v>
      </c>
      <c r="S123" s="798">
        <f>SUMIF('Venture Summary - Mthly'!$E$8:$EG$8,S$9,'Venture Summary - Mthly'!$E126:$EG126)</f>
        <v>0</v>
      </c>
      <c r="T123" s="798">
        <f>SUMIF('Venture Summary - Mthly'!$E$8:$EG$8,T$9,'Venture Summary - Mthly'!$E126:$EG126)</f>
        <v>0</v>
      </c>
      <c r="U123" s="798">
        <f>SUMIF('Venture Summary - Mthly'!$E$8:$EG$8,U$9,'Venture Summary - Mthly'!$E126:$EG126)</f>
        <v>0</v>
      </c>
      <c r="V123" s="798">
        <f>SUMIF('Venture Summary - Mthly'!$E$8:$EG$8,V$9,'Venture Summary - Mthly'!$E126:$EG126)</f>
        <v>0</v>
      </c>
      <c r="W123" s="798">
        <f>SUMIF('Venture Summary - Mthly'!$E$8:$EG$8,W$9,'Venture Summary - Mthly'!$E126:$EG126)</f>
        <v>0</v>
      </c>
      <c r="X123" s="798">
        <f>SUMIF('Venture Summary - Mthly'!$E$8:$EG$8,X$9,'Venture Summary - Mthly'!$E126:$EG126)</f>
        <v>0</v>
      </c>
      <c r="Y123" s="798">
        <f>SUMIF('Venture Summary - Mthly'!$E$8:$EG$8,Y$9,'Venture Summary - Mthly'!$E126:$EG126)</f>
        <v>0</v>
      </c>
      <c r="Z123" s="798">
        <f>SUMIF('Venture Summary - Mthly'!$E$8:$EG$8,Z$9,'Venture Summary - Mthly'!$E126:$EG126)</f>
        <v>0</v>
      </c>
      <c r="AA123" s="798">
        <f>SUMIF('Venture Summary - Mthly'!$E$8:$EG$8,AA$9,'Venture Summary - Mthly'!$E126:$EG126)</f>
        <v>0</v>
      </c>
      <c r="AB123" s="798">
        <f>SUMIF('Venture Summary - Mthly'!$E$8:$EG$8,AB$9,'Venture Summary - Mthly'!$E126:$EG126)</f>
        <v>0</v>
      </c>
      <c r="AC123" s="798">
        <f>SUMIF('Venture Summary - Mthly'!$E$8:$EG$8,AC$9,'Venture Summary - Mthly'!$E126:$EG126)</f>
        <v>0</v>
      </c>
      <c r="AD123" s="798">
        <f>SUMIF('Venture Summary - Mthly'!$E$8:$EG$8,AD$9,'Venture Summary - Mthly'!$E126:$EG126)</f>
        <v>0</v>
      </c>
      <c r="AE123" s="798">
        <f>SUMIF('Venture Summary - Mthly'!$E$8:$EG$8,AE$9,'Venture Summary - Mthly'!$E126:$EG126)</f>
        <v>0</v>
      </c>
      <c r="AF123" s="798">
        <f>SUMIF('Venture Summary - Mthly'!$E$8:$EG$8,AF$9,'Venture Summary - Mthly'!$E126:$EG126)</f>
        <v>0</v>
      </c>
      <c r="AG123" s="798">
        <f>SUMIF('Venture Summary - Mthly'!$E$8:$EG$8,AG$9,'Venture Summary - Mthly'!$E126:$EG126)</f>
        <v>0</v>
      </c>
      <c r="AH123" s="798">
        <f>SUMIF('Venture Summary - Mthly'!$E$8:$EG$8,AH$9,'Venture Summary - Mthly'!$E126:$EG126)</f>
        <v>0</v>
      </c>
      <c r="AI123" s="798">
        <f>SUMIF('Venture Summary - Mthly'!$E$8:$EG$8,AI$9,'Venture Summary - Mthly'!$E126:$EG126)</f>
        <v>0</v>
      </c>
      <c r="AJ123" s="798">
        <f>SUMIF('Venture Summary - Mthly'!$E$8:$EG$8,AJ$9,'Venture Summary - Mthly'!$E126:$EG126)</f>
        <v>0</v>
      </c>
      <c r="AK123" s="798">
        <f>SUMIF('Venture Summary - Mthly'!$E$8:$EG$8,AK$9,'Venture Summary - Mthly'!$E126:$EG126)</f>
        <v>0</v>
      </c>
      <c r="AL123" s="798">
        <f>SUMIF('Venture Summary - Mthly'!$E$8:$EG$8,AL$9,'Venture Summary - Mthly'!$E126:$EG126)</f>
        <v>0</v>
      </c>
      <c r="AM123" s="798">
        <f>SUMIF('Venture Summary - Mthly'!$E$8:$EG$8,AM$9,'Venture Summary - Mthly'!$E126:$EG126)</f>
        <v>0</v>
      </c>
      <c r="AN123" s="798">
        <f>SUMIF('Venture Summary - Mthly'!$E$8:$EG$8,AN$9,'Venture Summary - Mthly'!$E126:$EG126)</f>
        <v>0</v>
      </c>
      <c r="AO123" s="798">
        <f>SUMIF('Venture Summary - Mthly'!$E$8:$EG$8,AO$9,'Venture Summary - Mthly'!$E126:$EG126)</f>
        <v>0</v>
      </c>
      <c r="AP123" s="798">
        <f>SUMIF('Venture Summary - Mthly'!$E$8:$EG$8,AP$9,'Venture Summary - Mthly'!$E126:$EG126)</f>
        <v>0</v>
      </c>
      <c r="AQ123" s="798">
        <f>SUMIF('Venture Summary - Mthly'!$E$8:$EG$8,AQ$9,'Venture Summary - Mthly'!$E126:$EG126)</f>
        <v>0</v>
      </c>
      <c r="AR123" s="798">
        <f>SUMIF('Venture Summary - Mthly'!$E$8:$EG$8,AR$9,'Venture Summary - Mthly'!$E126:$EG126)</f>
        <v>0</v>
      </c>
      <c r="AS123" s="798">
        <f>SUMIF('Venture Summary - Mthly'!$E$8:$EG$8,AS$9,'Venture Summary - Mthly'!$E126:$EG126)</f>
        <v>0</v>
      </c>
      <c r="AT123" s="798">
        <f>SUMIF('Venture Summary - Mthly'!$E$8:$EG$8,AT$9,'Venture Summary - Mthly'!$E126:$EG126)</f>
        <v>0</v>
      </c>
      <c r="AU123" s="798">
        <f>SUMIF('Venture Summary - Mthly'!$E$8:$EG$8,AU$9,'Venture Summary - Mthly'!$E126:$EG126)</f>
        <v>0</v>
      </c>
      <c r="AV123" s="798">
        <f>SUMIF('Venture Summary - Mthly'!$E$8:$EG$8,AV$9,'Venture Summary - Mthly'!$E126:$EG126)</f>
        <v>0</v>
      </c>
      <c r="AW123" s="798">
        <f>SUMIF('Venture Summary - Mthly'!$E$8:$EG$8,AW$9,'Venture Summary - Mthly'!$E126:$EG126)</f>
        <v>0</v>
      </c>
      <c r="AX123" s="798"/>
    </row>
    <row r="124" spans="1:50" ht="12.75" customHeight="1" x14ac:dyDescent="0.3">
      <c r="A124" s="782"/>
      <c r="B124" s="782" t="s">
        <v>18</v>
      </c>
      <c r="C124" s="798">
        <f t="shared" si="22"/>
        <v>57343611.907627545</v>
      </c>
      <c r="D124" s="782"/>
      <c r="E124" s="798">
        <f>SUMIF('Venture Summary - Mthly'!$E$8:$EG$8,E$9,'Venture Summary - Mthly'!$E127:$EG127)</f>
        <v>0</v>
      </c>
      <c r="F124" s="798">
        <f>SUMIF('Venture Summary - Mthly'!$E$8:$EG$8,F$9,'Venture Summary - Mthly'!$E127:$EG127)</f>
        <v>0</v>
      </c>
      <c r="G124" s="798">
        <f>SUMIF('Venture Summary - Mthly'!$E$8:$EG$8,G$9,'Venture Summary - Mthly'!$E127:$EG127)</f>
        <v>0</v>
      </c>
      <c r="H124" s="798">
        <f>SUMIF('Venture Summary - Mthly'!$E$8:$EG$8,H$9,'Venture Summary - Mthly'!$E127:$EG127)</f>
        <v>0</v>
      </c>
      <c r="I124" s="798">
        <f>SUMIF('Venture Summary - Mthly'!$E$8:$EG$8,I$9,'Venture Summary - Mthly'!$E127:$EG127)</f>
        <v>0</v>
      </c>
      <c r="J124" s="798">
        <f>SUMIF('Venture Summary - Mthly'!$E$8:$EG$8,J$9,'Venture Summary - Mthly'!$E127:$EG127)</f>
        <v>0</v>
      </c>
      <c r="K124" s="798">
        <f>SUMIF('Venture Summary - Mthly'!$E$8:$EG$8,K$9,'Venture Summary - Mthly'!$E127:$EG127)</f>
        <v>0</v>
      </c>
      <c r="L124" s="798">
        <f>SUMIF('Venture Summary - Mthly'!$E$8:$EG$8,L$9,'Venture Summary - Mthly'!$E127:$EG127)</f>
        <v>0</v>
      </c>
      <c r="M124" s="798">
        <f>SUMIF('Venture Summary - Mthly'!$E$8:$EG$8,M$9,'Venture Summary - Mthly'!$E127:$EG127)</f>
        <v>0</v>
      </c>
      <c r="N124" s="798">
        <f>SUMIF('Venture Summary - Mthly'!$E$8:$EG$8,N$9,'Venture Summary - Mthly'!$E127:$EG127)</f>
        <v>0</v>
      </c>
      <c r="O124" s="798">
        <f>SUMIF('Venture Summary - Mthly'!$E$8:$EG$8,O$9,'Venture Summary - Mthly'!$E127:$EG127)</f>
        <v>0</v>
      </c>
      <c r="P124" s="798">
        <f>SUMIF('Venture Summary - Mthly'!$E$8:$EG$8,P$9,'Venture Summary - Mthly'!$E127:$EG127)</f>
        <v>57343611.907627545</v>
      </c>
      <c r="Q124" s="798">
        <f>SUMIF('Venture Summary - Mthly'!$E$8:$EG$8,Q$9,'Venture Summary - Mthly'!$E127:$EG127)</f>
        <v>0</v>
      </c>
      <c r="R124" s="798">
        <f>SUMIF('Venture Summary - Mthly'!$E$8:$EG$8,R$9,'Venture Summary - Mthly'!$E127:$EG127)</f>
        <v>0</v>
      </c>
      <c r="S124" s="798">
        <f>SUMIF('Venture Summary - Mthly'!$E$8:$EG$8,S$9,'Venture Summary - Mthly'!$E127:$EG127)</f>
        <v>0</v>
      </c>
      <c r="T124" s="798">
        <f>SUMIF('Venture Summary - Mthly'!$E$8:$EG$8,T$9,'Venture Summary - Mthly'!$E127:$EG127)</f>
        <v>0</v>
      </c>
      <c r="U124" s="798">
        <f>SUMIF('Venture Summary - Mthly'!$E$8:$EG$8,U$9,'Venture Summary - Mthly'!$E127:$EG127)</f>
        <v>0</v>
      </c>
      <c r="V124" s="798">
        <f>SUMIF('Venture Summary - Mthly'!$E$8:$EG$8,V$9,'Venture Summary - Mthly'!$E127:$EG127)</f>
        <v>0</v>
      </c>
      <c r="W124" s="798">
        <f>SUMIF('Venture Summary - Mthly'!$E$8:$EG$8,W$9,'Venture Summary - Mthly'!$E127:$EG127)</f>
        <v>0</v>
      </c>
      <c r="X124" s="798">
        <f>SUMIF('Venture Summary - Mthly'!$E$8:$EG$8,X$9,'Venture Summary - Mthly'!$E127:$EG127)</f>
        <v>0</v>
      </c>
      <c r="Y124" s="798">
        <f>SUMIF('Venture Summary - Mthly'!$E$8:$EG$8,Y$9,'Venture Summary - Mthly'!$E127:$EG127)</f>
        <v>0</v>
      </c>
      <c r="Z124" s="798">
        <f>SUMIF('Venture Summary - Mthly'!$E$8:$EG$8,Z$9,'Venture Summary - Mthly'!$E127:$EG127)</f>
        <v>0</v>
      </c>
      <c r="AA124" s="798">
        <f>SUMIF('Venture Summary - Mthly'!$E$8:$EG$8,AA$9,'Venture Summary - Mthly'!$E127:$EG127)</f>
        <v>0</v>
      </c>
      <c r="AB124" s="798">
        <f>SUMIF('Venture Summary - Mthly'!$E$8:$EG$8,AB$9,'Venture Summary - Mthly'!$E127:$EG127)</f>
        <v>0</v>
      </c>
      <c r="AC124" s="798">
        <f>SUMIF('Venture Summary - Mthly'!$E$8:$EG$8,AC$9,'Venture Summary - Mthly'!$E127:$EG127)</f>
        <v>0</v>
      </c>
      <c r="AD124" s="798">
        <f>SUMIF('Venture Summary - Mthly'!$E$8:$EG$8,AD$9,'Venture Summary - Mthly'!$E127:$EG127)</f>
        <v>0</v>
      </c>
      <c r="AE124" s="798">
        <f>SUMIF('Venture Summary - Mthly'!$E$8:$EG$8,AE$9,'Venture Summary - Mthly'!$E127:$EG127)</f>
        <v>0</v>
      </c>
      <c r="AF124" s="798">
        <f>SUMIF('Venture Summary - Mthly'!$E$8:$EG$8,AF$9,'Venture Summary - Mthly'!$E127:$EG127)</f>
        <v>0</v>
      </c>
      <c r="AG124" s="798">
        <f>SUMIF('Venture Summary - Mthly'!$E$8:$EG$8,AG$9,'Venture Summary - Mthly'!$E127:$EG127)</f>
        <v>0</v>
      </c>
      <c r="AH124" s="798">
        <f>SUMIF('Venture Summary - Mthly'!$E$8:$EG$8,AH$9,'Venture Summary - Mthly'!$E127:$EG127)</f>
        <v>0</v>
      </c>
      <c r="AI124" s="798">
        <f>SUMIF('Venture Summary - Mthly'!$E$8:$EG$8,AI$9,'Venture Summary - Mthly'!$E127:$EG127)</f>
        <v>0</v>
      </c>
      <c r="AJ124" s="798">
        <f>SUMIF('Venture Summary - Mthly'!$E$8:$EG$8,AJ$9,'Venture Summary - Mthly'!$E127:$EG127)</f>
        <v>0</v>
      </c>
      <c r="AK124" s="798">
        <f>SUMIF('Venture Summary - Mthly'!$E$8:$EG$8,AK$9,'Venture Summary - Mthly'!$E127:$EG127)</f>
        <v>0</v>
      </c>
      <c r="AL124" s="798">
        <f>SUMIF('Venture Summary - Mthly'!$E$8:$EG$8,AL$9,'Venture Summary - Mthly'!$E127:$EG127)</f>
        <v>0</v>
      </c>
      <c r="AM124" s="798">
        <f>SUMIF('Venture Summary - Mthly'!$E$8:$EG$8,AM$9,'Venture Summary - Mthly'!$E127:$EG127)</f>
        <v>0</v>
      </c>
      <c r="AN124" s="798">
        <f>SUMIF('Venture Summary - Mthly'!$E$8:$EG$8,AN$9,'Venture Summary - Mthly'!$E127:$EG127)</f>
        <v>0</v>
      </c>
      <c r="AO124" s="798">
        <f>SUMIF('Venture Summary - Mthly'!$E$8:$EG$8,AO$9,'Venture Summary - Mthly'!$E127:$EG127)</f>
        <v>0</v>
      </c>
      <c r="AP124" s="798">
        <f>SUMIF('Venture Summary - Mthly'!$E$8:$EG$8,AP$9,'Venture Summary - Mthly'!$E127:$EG127)</f>
        <v>0</v>
      </c>
      <c r="AQ124" s="798">
        <f>SUMIF('Venture Summary - Mthly'!$E$8:$EG$8,AQ$9,'Venture Summary - Mthly'!$E127:$EG127)</f>
        <v>0</v>
      </c>
      <c r="AR124" s="798">
        <f>SUMIF('Venture Summary - Mthly'!$E$8:$EG$8,AR$9,'Venture Summary - Mthly'!$E127:$EG127)</f>
        <v>0</v>
      </c>
      <c r="AS124" s="798">
        <f>SUMIF('Venture Summary - Mthly'!$E$8:$EG$8,AS$9,'Venture Summary - Mthly'!$E127:$EG127)</f>
        <v>0</v>
      </c>
      <c r="AT124" s="798">
        <f>SUMIF('Venture Summary - Mthly'!$E$8:$EG$8,AT$9,'Venture Summary - Mthly'!$E127:$EG127)</f>
        <v>0</v>
      </c>
      <c r="AU124" s="798">
        <f>SUMIF('Venture Summary - Mthly'!$E$8:$EG$8,AU$9,'Venture Summary - Mthly'!$E127:$EG127)</f>
        <v>0</v>
      </c>
      <c r="AV124" s="798">
        <f>SUMIF('Venture Summary - Mthly'!$E$8:$EG$8,AV$9,'Venture Summary - Mthly'!$E127:$EG127)</f>
        <v>0</v>
      </c>
      <c r="AW124" s="798">
        <f>SUMIF('Venture Summary - Mthly'!$E$8:$EG$8,AW$9,'Venture Summary - Mthly'!$E127:$EG127)</f>
        <v>0</v>
      </c>
      <c r="AX124" s="798"/>
    </row>
    <row r="125" spans="1:50" ht="12.75" customHeight="1" x14ac:dyDescent="0.3">
      <c r="A125" s="782"/>
      <c r="B125" s="782" t="s">
        <v>19</v>
      </c>
      <c r="C125" s="798">
        <f t="shared" si="22"/>
        <v>0</v>
      </c>
      <c r="D125" s="782"/>
      <c r="E125" s="798">
        <f>SUMIF('Venture Summary - Mthly'!$E$8:$EG$8,E$9,'Venture Summary - Mthly'!$E128:$EG128)</f>
        <v>0</v>
      </c>
      <c r="F125" s="798">
        <f>SUMIF('Venture Summary - Mthly'!$E$8:$EG$8,F$9,'Venture Summary - Mthly'!$E128:$EG128)</f>
        <v>0</v>
      </c>
      <c r="G125" s="798">
        <f>SUMIF('Venture Summary - Mthly'!$E$8:$EG$8,G$9,'Venture Summary - Mthly'!$E128:$EG128)</f>
        <v>0</v>
      </c>
      <c r="H125" s="798">
        <f>SUMIF('Venture Summary - Mthly'!$E$8:$EG$8,H$9,'Venture Summary - Mthly'!$E128:$EG128)</f>
        <v>0</v>
      </c>
      <c r="I125" s="798">
        <f>SUMIF('Venture Summary - Mthly'!$E$8:$EG$8,I$9,'Venture Summary - Mthly'!$E128:$EG128)</f>
        <v>0</v>
      </c>
      <c r="J125" s="798">
        <f>SUMIF('Venture Summary - Mthly'!$E$8:$EG$8,J$9,'Venture Summary - Mthly'!$E128:$EG128)</f>
        <v>0</v>
      </c>
      <c r="K125" s="798">
        <f>SUMIF('Venture Summary - Mthly'!$E$8:$EG$8,K$9,'Venture Summary - Mthly'!$E128:$EG128)</f>
        <v>0</v>
      </c>
      <c r="L125" s="798">
        <f>SUMIF('Venture Summary - Mthly'!$E$8:$EG$8,L$9,'Venture Summary - Mthly'!$E128:$EG128)</f>
        <v>0</v>
      </c>
      <c r="M125" s="798">
        <f>SUMIF('Venture Summary - Mthly'!$E$8:$EG$8,M$9,'Venture Summary - Mthly'!$E128:$EG128)</f>
        <v>0</v>
      </c>
      <c r="N125" s="798">
        <f>SUMIF('Venture Summary - Mthly'!$E$8:$EG$8,N$9,'Venture Summary - Mthly'!$E128:$EG128)</f>
        <v>0</v>
      </c>
      <c r="O125" s="798">
        <f>SUMIF('Venture Summary - Mthly'!$E$8:$EG$8,O$9,'Venture Summary - Mthly'!$E128:$EG128)</f>
        <v>0</v>
      </c>
      <c r="P125" s="798">
        <f>SUMIF('Venture Summary - Mthly'!$E$8:$EG$8,P$9,'Venture Summary - Mthly'!$E128:$EG128)</f>
        <v>0</v>
      </c>
      <c r="Q125" s="798">
        <f>SUMIF('Venture Summary - Mthly'!$E$8:$EG$8,Q$9,'Venture Summary - Mthly'!$E128:$EG128)</f>
        <v>0</v>
      </c>
      <c r="R125" s="798">
        <f>SUMIF('Venture Summary - Mthly'!$E$8:$EG$8,R$9,'Venture Summary - Mthly'!$E128:$EG128)</f>
        <v>0</v>
      </c>
      <c r="S125" s="798">
        <f>SUMIF('Venture Summary - Mthly'!$E$8:$EG$8,S$9,'Venture Summary - Mthly'!$E128:$EG128)</f>
        <v>0</v>
      </c>
      <c r="T125" s="798">
        <f>SUMIF('Venture Summary - Mthly'!$E$8:$EG$8,T$9,'Venture Summary - Mthly'!$E128:$EG128)</f>
        <v>0</v>
      </c>
      <c r="U125" s="798">
        <f>SUMIF('Venture Summary - Mthly'!$E$8:$EG$8,U$9,'Venture Summary - Mthly'!$E128:$EG128)</f>
        <v>0</v>
      </c>
      <c r="V125" s="798">
        <f>SUMIF('Venture Summary - Mthly'!$E$8:$EG$8,V$9,'Venture Summary - Mthly'!$E128:$EG128)</f>
        <v>0</v>
      </c>
      <c r="W125" s="798">
        <f>SUMIF('Venture Summary - Mthly'!$E$8:$EG$8,W$9,'Venture Summary - Mthly'!$E128:$EG128)</f>
        <v>0</v>
      </c>
      <c r="X125" s="798">
        <f>SUMIF('Venture Summary - Mthly'!$E$8:$EG$8,X$9,'Venture Summary - Mthly'!$E128:$EG128)</f>
        <v>0</v>
      </c>
      <c r="Y125" s="798">
        <f>SUMIF('Venture Summary - Mthly'!$E$8:$EG$8,Y$9,'Venture Summary - Mthly'!$E128:$EG128)</f>
        <v>0</v>
      </c>
      <c r="Z125" s="798">
        <f>SUMIF('Venture Summary - Mthly'!$E$8:$EG$8,Z$9,'Venture Summary - Mthly'!$E128:$EG128)</f>
        <v>0</v>
      </c>
      <c r="AA125" s="798">
        <f>SUMIF('Venture Summary - Mthly'!$E$8:$EG$8,AA$9,'Venture Summary - Mthly'!$E128:$EG128)</f>
        <v>0</v>
      </c>
      <c r="AB125" s="798">
        <f>SUMIF('Venture Summary - Mthly'!$E$8:$EG$8,AB$9,'Venture Summary - Mthly'!$E128:$EG128)</f>
        <v>0</v>
      </c>
      <c r="AC125" s="798">
        <f>SUMIF('Venture Summary - Mthly'!$E$8:$EG$8,AC$9,'Venture Summary - Mthly'!$E128:$EG128)</f>
        <v>0</v>
      </c>
      <c r="AD125" s="798">
        <f>SUMIF('Venture Summary - Mthly'!$E$8:$EG$8,AD$9,'Venture Summary - Mthly'!$E128:$EG128)</f>
        <v>0</v>
      </c>
      <c r="AE125" s="798">
        <f>SUMIF('Venture Summary - Mthly'!$E$8:$EG$8,AE$9,'Venture Summary - Mthly'!$E128:$EG128)</f>
        <v>0</v>
      </c>
      <c r="AF125" s="798">
        <f>SUMIF('Venture Summary - Mthly'!$E$8:$EG$8,AF$9,'Venture Summary - Mthly'!$E128:$EG128)</f>
        <v>0</v>
      </c>
      <c r="AG125" s="798">
        <f>SUMIF('Venture Summary - Mthly'!$E$8:$EG$8,AG$9,'Venture Summary - Mthly'!$E128:$EG128)</f>
        <v>0</v>
      </c>
      <c r="AH125" s="798">
        <f>SUMIF('Venture Summary - Mthly'!$E$8:$EG$8,AH$9,'Venture Summary - Mthly'!$E128:$EG128)</f>
        <v>0</v>
      </c>
      <c r="AI125" s="798">
        <f>SUMIF('Venture Summary - Mthly'!$E$8:$EG$8,AI$9,'Venture Summary - Mthly'!$E128:$EG128)</f>
        <v>0</v>
      </c>
      <c r="AJ125" s="798">
        <f>SUMIF('Venture Summary - Mthly'!$E$8:$EG$8,AJ$9,'Venture Summary - Mthly'!$E128:$EG128)</f>
        <v>0</v>
      </c>
      <c r="AK125" s="798">
        <f>SUMIF('Venture Summary - Mthly'!$E$8:$EG$8,AK$9,'Venture Summary - Mthly'!$E128:$EG128)</f>
        <v>0</v>
      </c>
      <c r="AL125" s="798">
        <f>SUMIF('Venture Summary - Mthly'!$E$8:$EG$8,AL$9,'Venture Summary - Mthly'!$E128:$EG128)</f>
        <v>0</v>
      </c>
      <c r="AM125" s="798">
        <f>SUMIF('Venture Summary - Mthly'!$E$8:$EG$8,AM$9,'Venture Summary - Mthly'!$E128:$EG128)</f>
        <v>0</v>
      </c>
      <c r="AN125" s="798">
        <f>SUMIF('Venture Summary - Mthly'!$E$8:$EG$8,AN$9,'Venture Summary - Mthly'!$E128:$EG128)</f>
        <v>0</v>
      </c>
      <c r="AO125" s="798">
        <f>SUMIF('Venture Summary - Mthly'!$E$8:$EG$8,AO$9,'Venture Summary - Mthly'!$E128:$EG128)</f>
        <v>0</v>
      </c>
      <c r="AP125" s="798">
        <f>SUMIF('Venture Summary - Mthly'!$E$8:$EG$8,AP$9,'Venture Summary - Mthly'!$E128:$EG128)</f>
        <v>0</v>
      </c>
      <c r="AQ125" s="798">
        <f>SUMIF('Venture Summary - Mthly'!$E$8:$EG$8,AQ$9,'Venture Summary - Mthly'!$E128:$EG128)</f>
        <v>0</v>
      </c>
      <c r="AR125" s="798">
        <f>SUMIF('Venture Summary - Mthly'!$E$8:$EG$8,AR$9,'Venture Summary - Mthly'!$E128:$EG128)</f>
        <v>0</v>
      </c>
      <c r="AS125" s="798">
        <f>SUMIF('Venture Summary - Mthly'!$E$8:$EG$8,AS$9,'Venture Summary - Mthly'!$E128:$EG128)</f>
        <v>0</v>
      </c>
      <c r="AT125" s="798">
        <f>SUMIF('Venture Summary - Mthly'!$E$8:$EG$8,AT$9,'Venture Summary - Mthly'!$E128:$EG128)</f>
        <v>0</v>
      </c>
      <c r="AU125" s="798">
        <f>SUMIF('Venture Summary - Mthly'!$E$8:$EG$8,AU$9,'Venture Summary - Mthly'!$E128:$EG128)</f>
        <v>0</v>
      </c>
      <c r="AV125" s="798">
        <f>SUMIF('Venture Summary - Mthly'!$E$8:$EG$8,AV$9,'Venture Summary - Mthly'!$E128:$EG128)</f>
        <v>0</v>
      </c>
      <c r="AW125" s="798">
        <f>SUMIF('Venture Summary - Mthly'!$E$8:$EG$8,AW$9,'Venture Summary - Mthly'!$E128:$EG128)</f>
        <v>0</v>
      </c>
      <c r="AX125" s="798"/>
    </row>
    <row r="126" spans="1:50" ht="12.75" customHeight="1" x14ac:dyDescent="0.3">
      <c r="A126" s="782"/>
      <c r="B126" s="782" t="s">
        <v>20</v>
      </c>
      <c r="C126" s="798">
        <f t="shared" si="22"/>
        <v>-14404145.697984423</v>
      </c>
      <c r="D126" s="782"/>
      <c r="E126" s="798">
        <f>SUMIF('Venture Summary - Mthly'!$E$8:$EG$8,E$9,'Venture Summary - Mthly'!$E129:$EG129)</f>
        <v>0</v>
      </c>
      <c r="F126" s="798">
        <f>SUMIF('Venture Summary - Mthly'!$E$8:$EG$8,F$9,'Venture Summary - Mthly'!$E129:$EG129)</f>
        <v>0</v>
      </c>
      <c r="G126" s="798">
        <f>SUMIF('Venture Summary - Mthly'!$E$8:$EG$8,G$9,'Venture Summary - Mthly'!$E129:$EG129)</f>
        <v>0</v>
      </c>
      <c r="H126" s="798">
        <f>SUMIF('Venture Summary - Mthly'!$E$8:$EG$8,H$9,'Venture Summary - Mthly'!$E129:$EG129)</f>
        <v>0</v>
      </c>
      <c r="I126" s="798">
        <f>SUMIF('Venture Summary - Mthly'!$E$8:$EG$8,I$9,'Venture Summary - Mthly'!$E129:$EG129)</f>
        <v>0</v>
      </c>
      <c r="J126" s="798">
        <f>SUMIF('Venture Summary - Mthly'!$E$8:$EG$8,J$9,'Venture Summary - Mthly'!$E129:$EG129)</f>
        <v>0</v>
      </c>
      <c r="K126" s="798">
        <f>SUMIF('Venture Summary - Mthly'!$E$8:$EG$8,K$9,'Venture Summary - Mthly'!$E129:$EG129)</f>
        <v>0</v>
      </c>
      <c r="L126" s="798">
        <f>SUMIF('Venture Summary - Mthly'!$E$8:$EG$8,L$9,'Venture Summary - Mthly'!$E129:$EG129)</f>
        <v>0</v>
      </c>
      <c r="M126" s="798">
        <f>SUMIF('Venture Summary - Mthly'!$E$8:$EG$8,M$9,'Venture Summary - Mthly'!$E129:$EG129)</f>
        <v>0</v>
      </c>
      <c r="N126" s="798">
        <f>SUMIF('Venture Summary - Mthly'!$E$8:$EG$8,N$9,'Venture Summary - Mthly'!$E129:$EG129)</f>
        <v>0</v>
      </c>
      <c r="O126" s="798">
        <f>SUMIF('Venture Summary - Mthly'!$E$8:$EG$8,O$9,'Venture Summary - Mthly'!$E129:$EG129)</f>
        <v>0</v>
      </c>
      <c r="P126" s="798">
        <f>SUMIF('Venture Summary - Mthly'!$E$8:$EG$8,P$9,'Venture Summary - Mthly'!$E129:$EG129)</f>
        <v>0</v>
      </c>
      <c r="Q126" s="798">
        <f>SUMIF('Venture Summary - Mthly'!$E$8:$EG$8,Q$9,'Venture Summary - Mthly'!$E129:$EG129)</f>
        <v>-661856.6235938092</v>
      </c>
      <c r="R126" s="798">
        <f>SUMIF('Venture Summary - Mthly'!$E$8:$EG$8,R$9,'Venture Summary - Mthly'!$E129:$EG129)</f>
        <v>-663151.63349605643</v>
      </c>
      <c r="S126" s="798">
        <f>SUMIF('Venture Summary - Mthly'!$E$8:$EG$8,S$9,'Venture Summary - Mthly'!$E129:$EG129)</f>
        <v>-664592.39174523554</v>
      </c>
      <c r="T126" s="798">
        <f>SUMIF('Venture Summary - Mthly'!$E$8:$EG$8,T$9,'Venture Summary - Mthly'!$E129:$EG129)</f>
        <v>-666401.58270092122</v>
      </c>
      <c r="U126" s="798">
        <f>SUMIF('Venture Summary - Mthly'!$E$8:$EG$8,U$9,'Venture Summary - Mthly'!$E129:$EG129)</f>
        <v>-668698.67222125432</v>
      </c>
      <c r="V126" s="798">
        <f>SUMIF('Venture Summary - Mthly'!$E$8:$EG$8,V$9,'Venture Summary - Mthly'!$E129:$EG129)</f>
        <v>-671457.3778174438</v>
      </c>
      <c r="W126" s="798">
        <f>SUMIF('Venture Summary - Mthly'!$E$8:$EG$8,W$9,'Venture Summary - Mthly'!$E129:$EG129)</f>
        <v>-674680.08880665246</v>
      </c>
      <c r="X126" s="798">
        <f>SUMIF('Venture Summary - Mthly'!$E$8:$EG$8,X$9,'Venture Summary - Mthly'!$E129:$EG129)</f>
        <v>-678037.07942041149</v>
      </c>
      <c r="Y126" s="798">
        <f>SUMIF('Venture Summary - Mthly'!$E$8:$EG$8,Y$9,'Venture Summary - Mthly'!$E129:$EG129)</f>
        <v>-681233.50792082911</v>
      </c>
      <c r="Z126" s="798">
        <f>SUMIF('Venture Summary - Mthly'!$E$8:$EG$8,Z$9,'Venture Summary - Mthly'!$E129:$EG129)</f>
        <v>-684245.00327284471</v>
      </c>
      <c r="AA126" s="798">
        <f>SUMIF('Venture Summary - Mthly'!$E$8:$EG$8,AA$9,'Venture Summary - Mthly'!$E129:$EG129)</f>
        <v>-687134.16558612394</v>
      </c>
      <c r="AB126" s="798">
        <f>SUMIF('Venture Summary - Mthly'!$E$8:$EG$8,AB$9,'Venture Summary - Mthly'!$E129:$EG129)</f>
        <v>-689800.6435398286</v>
      </c>
      <c r="AC126" s="798">
        <f>SUMIF('Venture Summary - Mthly'!$E$8:$EG$8,AC$9,'Venture Summary - Mthly'!$E129:$EG129)</f>
        <v>-692374.89385104866</v>
      </c>
      <c r="AD126" s="798">
        <f>SUMIF('Venture Summary - Mthly'!$E$8:$EG$8,AD$9,'Venture Summary - Mthly'!$E129:$EG129)</f>
        <v>-694813.90881085303</v>
      </c>
      <c r="AE126" s="798">
        <f>SUMIF('Venture Summary - Mthly'!$E$8:$EG$8,AE$9,'Venture Summary - Mthly'!$E129:$EG129)</f>
        <v>-697050.30967525044</v>
      </c>
      <c r="AF126" s="798">
        <f>SUMIF('Venture Summary - Mthly'!$E$8:$EG$8,AF$9,'Venture Summary - Mthly'!$E129:$EG129)</f>
        <v>-699217.42034192628</v>
      </c>
      <c r="AG126" s="798">
        <f>SUMIF('Venture Summary - Mthly'!$E$8:$EG$8,AG$9,'Venture Summary - Mthly'!$E129:$EG129)</f>
        <v>-701478.67010481702</v>
      </c>
      <c r="AH126" s="798">
        <f>SUMIF('Venture Summary - Mthly'!$E$8:$EG$8,AH$9,'Venture Summary - Mthly'!$E129:$EG129)</f>
        <v>-703678.7533483397</v>
      </c>
      <c r="AI126" s="798">
        <f>SUMIF('Venture Summary - Mthly'!$E$8:$EG$8,AI$9,'Venture Summary - Mthly'!$E129:$EG129)</f>
        <v>-705853.50982993643</v>
      </c>
      <c r="AJ126" s="798">
        <f>SUMIF('Venture Summary - Mthly'!$E$8:$EG$8,AJ$9,'Venture Summary - Mthly'!$E129:$EG129)</f>
        <v>-708087.52137717104</v>
      </c>
      <c r="AK126" s="798">
        <f>SUMIF('Venture Summary - Mthly'!$E$8:$EG$8,AK$9,'Venture Summary - Mthly'!$E129:$EG129)</f>
        <v>-710301.94052367064</v>
      </c>
      <c r="AL126" s="798">
        <f>SUMIF('Venture Summary - Mthly'!$E$8:$EG$8,AL$9,'Venture Summary - Mthly'!$E129:$EG129)</f>
        <v>0</v>
      </c>
      <c r="AM126" s="798">
        <f>SUMIF('Venture Summary - Mthly'!$E$8:$EG$8,AM$9,'Venture Summary - Mthly'!$E129:$EG129)</f>
        <v>0</v>
      </c>
      <c r="AN126" s="798">
        <f>SUMIF('Venture Summary - Mthly'!$E$8:$EG$8,AN$9,'Venture Summary - Mthly'!$E129:$EG129)</f>
        <v>0</v>
      </c>
      <c r="AO126" s="798">
        <f>SUMIF('Venture Summary - Mthly'!$E$8:$EG$8,AO$9,'Venture Summary - Mthly'!$E129:$EG129)</f>
        <v>0</v>
      </c>
      <c r="AP126" s="798">
        <f>SUMIF('Venture Summary - Mthly'!$E$8:$EG$8,AP$9,'Venture Summary - Mthly'!$E129:$EG129)</f>
        <v>0</v>
      </c>
      <c r="AQ126" s="798">
        <f>SUMIF('Venture Summary - Mthly'!$E$8:$EG$8,AQ$9,'Venture Summary - Mthly'!$E129:$EG129)</f>
        <v>0</v>
      </c>
      <c r="AR126" s="798">
        <f>SUMIF('Venture Summary - Mthly'!$E$8:$EG$8,AR$9,'Venture Summary - Mthly'!$E129:$EG129)</f>
        <v>0</v>
      </c>
      <c r="AS126" s="798">
        <f>SUMIF('Venture Summary - Mthly'!$E$8:$EG$8,AS$9,'Venture Summary - Mthly'!$E129:$EG129)</f>
        <v>0</v>
      </c>
      <c r="AT126" s="798">
        <f>SUMIF('Venture Summary - Mthly'!$E$8:$EG$8,AT$9,'Venture Summary - Mthly'!$E129:$EG129)</f>
        <v>0</v>
      </c>
      <c r="AU126" s="798">
        <f>SUMIF('Venture Summary - Mthly'!$E$8:$EG$8,AU$9,'Venture Summary - Mthly'!$E129:$EG129)</f>
        <v>0</v>
      </c>
      <c r="AV126" s="798">
        <f>SUMIF('Venture Summary - Mthly'!$E$8:$EG$8,AV$9,'Venture Summary - Mthly'!$E129:$EG129)</f>
        <v>0</v>
      </c>
      <c r="AW126" s="798">
        <f>SUMIF('Venture Summary - Mthly'!$E$8:$EG$8,AW$9,'Venture Summary - Mthly'!$E129:$EG129)</f>
        <v>0</v>
      </c>
      <c r="AX126" s="798"/>
    </row>
    <row r="127" spans="1:50" ht="12.75" customHeight="1" x14ac:dyDescent="0.3">
      <c r="A127" s="782"/>
      <c r="B127" s="781" t="s">
        <v>21</v>
      </c>
      <c r="C127" s="799">
        <f t="shared" si="22"/>
        <v>-57343611.907627545</v>
      </c>
      <c r="D127" s="781"/>
      <c r="E127" s="799">
        <f>SUMIF('Venture Summary - Mthly'!$E$8:$EG$8,E$9,'Venture Summary - Mthly'!$E130:$EG130)</f>
        <v>0</v>
      </c>
      <c r="F127" s="799">
        <f>SUMIF('Venture Summary - Mthly'!$E$8:$EG$8,F$9,'Venture Summary - Mthly'!$E130:$EG130)</f>
        <v>0</v>
      </c>
      <c r="G127" s="799">
        <f>SUMIF('Venture Summary - Mthly'!$E$8:$EG$8,G$9,'Venture Summary - Mthly'!$E130:$EG130)</f>
        <v>0</v>
      </c>
      <c r="H127" s="799">
        <f>SUMIF('Venture Summary - Mthly'!$E$8:$EG$8,H$9,'Venture Summary - Mthly'!$E130:$EG130)</f>
        <v>0</v>
      </c>
      <c r="I127" s="799">
        <f>SUMIF('Venture Summary - Mthly'!$E$8:$EG$8,I$9,'Venture Summary - Mthly'!$E130:$EG130)</f>
        <v>0</v>
      </c>
      <c r="J127" s="799">
        <f>SUMIF('Venture Summary - Mthly'!$E$8:$EG$8,J$9,'Venture Summary - Mthly'!$E130:$EG130)</f>
        <v>0</v>
      </c>
      <c r="K127" s="799">
        <f>SUMIF('Venture Summary - Mthly'!$E$8:$EG$8,K$9,'Venture Summary - Mthly'!$E130:$EG130)</f>
        <v>0</v>
      </c>
      <c r="L127" s="799">
        <f>SUMIF('Venture Summary - Mthly'!$E$8:$EG$8,L$9,'Venture Summary - Mthly'!$E130:$EG130)</f>
        <v>0</v>
      </c>
      <c r="M127" s="799">
        <f>SUMIF('Venture Summary - Mthly'!$E$8:$EG$8,M$9,'Venture Summary - Mthly'!$E130:$EG130)</f>
        <v>0</v>
      </c>
      <c r="N127" s="799">
        <f>SUMIF('Venture Summary - Mthly'!$E$8:$EG$8,N$9,'Venture Summary - Mthly'!$E130:$EG130)</f>
        <v>0</v>
      </c>
      <c r="O127" s="799">
        <f>SUMIF('Venture Summary - Mthly'!$E$8:$EG$8,O$9,'Venture Summary - Mthly'!$E130:$EG130)</f>
        <v>0</v>
      </c>
      <c r="P127" s="799">
        <f>SUMIF('Venture Summary - Mthly'!$E$8:$EG$8,P$9,'Venture Summary - Mthly'!$E130:$EG130)</f>
        <v>0</v>
      </c>
      <c r="Q127" s="799">
        <f>SUMIF('Venture Summary - Mthly'!$E$8:$EG$8,Q$9,'Venture Summary - Mthly'!$E130:$EG130)</f>
        <v>0</v>
      </c>
      <c r="R127" s="799">
        <f>SUMIF('Venture Summary - Mthly'!$E$8:$EG$8,R$9,'Venture Summary - Mthly'!$E130:$EG130)</f>
        <v>0</v>
      </c>
      <c r="S127" s="799">
        <f>SUMIF('Venture Summary - Mthly'!$E$8:$EG$8,S$9,'Venture Summary - Mthly'!$E130:$EG130)</f>
        <v>0</v>
      </c>
      <c r="T127" s="799">
        <f>SUMIF('Venture Summary - Mthly'!$E$8:$EG$8,T$9,'Venture Summary - Mthly'!$E130:$EG130)</f>
        <v>0</v>
      </c>
      <c r="U127" s="799">
        <f>SUMIF('Venture Summary - Mthly'!$E$8:$EG$8,U$9,'Venture Summary - Mthly'!$E130:$EG130)</f>
        <v>0</v>
      </c>
      <c r="V127" s="799">
        <f>SUMIF('Venture Summary - Mthly'!$E$8:$EG$8,V$9,'Venture Summary - Mthly'!$E130:$EG130)</f>
        <v>0</v>
      </c>
      <c r="W127" s="799">
        <f>SUMIF('Venture Summary - Mthly'!$E$8:$EG$8,W$9,'Venture Summary - Mthly'!$E130:$EG130)</f>
        <v>0</v>
      </c>
      <c r="X127" s="799">
        <f>SUMIF('Venture Summary - Mthly'!$E$8:$EG$8,X$9,'Venture Summary - Mthly'!$E130:$EG130)</f>
        <v>0</v>
      </c>
      <c r="Y127" s="799">
        <f>SUMIF('Venture Summary - Mthly'!$E$8:$EG$8,Y$9,'Venture Summary - Mthly'!$E130:$EG130)</f>
        <v>0</v>
      </c>
      <c r="Z127" s="799">
        <f>SUMIF('Venture Summary - Mthly'!$E$8:$EG$8,Z$9,'Venture Summary - Mthly'!$E130:$EG130)</f>
        <v>0</v>
      </c>
      <c r="AA127" s="799">
        <f>SUMIF('Venture Summary - Mthly'!$E$8:$EG$8,AA$9,'Venture Summary - Mthly'!$E130:$EG130)</f>
        <v>0</v>
      </c>
      <c r="AB127" s="799">
        <f>SUMIF('Venture Summary - Mthly'!$E$8:$EG$8,AB$9,'Venture Summary - Mthly'!$E130:$EG130)</f>
        <v>0</v>
      </c>
      <c r="AC127" s="799">
        <f>SUMIF('Venture Summary - Mthly'!$E$8:$EG$8,AC$9,'Venture Summary - Mthly'!$E130:$EG130)</f>
        <v>0</v>
      </c>
      <c r="AD127" s="799">
        <f>SUMIF('Venture Summary - Mthly'!$E$8:$EG$8,AD$9,'Venture Summary - Mthly'!$E130:$EG130)</f>
        <v>0</v>
      </c>
      <c r="AE127" s="799">
        <f>SUMIF('Venture Summary - Mthly'!$E$8:$EG$8,AE$9,'Venture Summary - Mthly'!$E130:$EG130)</f>
        <v>0</v>
      </c>
      <c r="AF127" s="799">
        <f>SUMIF('Venture Summary - Mthly'!$E$8:$EG$8,AF$9,'Venture Summary - Mthly'!$E130:$EG130)</f>
        <v>0</v>
      </c>
      <c r="AG127" s="799">
        <f>SUMIF('Venture Summary - Mthly'!$E$8:$EG$8,AG$9,'Venture Summary - Mthly'!$E130:$EG130)</f>
        <v>0</v>
      </c>
      <c r="AH127" s="799">
        <f>SUMIF('Venture Summary - Mthly'!$E$8:$EG$8,AH$9,'Venture Summary - Mthly'!$E130:$EG130)</f>
        <v>0</v>
      </c>
      <c r="AI127" s="799">
        <f>SUMIF('Venture Summary - Mthly'!$E$8:$EG$8,AI$9,'Venture Summary - Mthly'!$E130:$EG130)</f>
        <v>0</v>
      </c>
      <c r="AJ127" s="799">
        <f>SUMIF('Venture Summary - Mthly'!$E$8:$EG$8,AJ$9,'Venture Summary - Mthly'!$E130:$EG130)</f>
        <v>0</v>
      </c>
      <c r="AK127" s="799">
        <f>SUMIF('Venture Summary - Mthly'!$E$8:$EG$8,AK$9,'Venture Summary - Mthly'!$E130:$EG130)</f>
        <v>-57343611.907627545</v>
      </c>
      <c r="AL127" s="799">
        <f>SUMIF('Venture Summary - Mthly'!$E$8:$EG$8,AL$9,'Venture Summary - Mthly'!$E130:$EG130)</f>
        <v>0</v>
      </c>
      <c r="AM127" s="799">
        <f>SUMIF('Venture Summary - Mthly'!$E$8:$EG$8,AM$9,'Venture Summary - Mthly'!$E130:$EG130)</f>
        <v>0</v>
      </c>
      <c r="AN127" s="799">
        <f>SUMIF('Venture Summary - Mthly'!$E$8:$EG$8,AN$9,'Venture Summary - Mthly'!$E130:$EG130)</f>
        <v>0</v>
      </c>
      <c r="AO127" s="799">
        <f>SUMIF('Venture Summary - Mthly'!$E$8:$EG$8,AO$9,'Venture Summary - Mthly'!$E130:$EG130)</f>
        <v>0</v>
      </c>
      <c r="AP127" s="799">
        <f>SUMIF('Venture Summary - Mthly'!$E$8:$EG$8,AP$9,'Venture Summary - Mthly'!$E130:$EG130)</f>
        <v>0</v>
      </c>
      <c r="AQ127" s="799">
        <f>SUMIF('Venture Summary - Mthly'!$E$8:$EG$8,AQ$9,'Venture Summary - Mthly'!$E130:$EG130)</f>
        <v>0</v>
      </c>
      <c r="AR127" s="799">
        <f>SUMIF('Venture Summary - Mthly'!$E$8:$EG$8,AR$9,'Venture Summary - Mthly'!$E130:$EG130)</f>
        <v>0</v>
      </c>
      <c r="AS127" s="799">
        <f>SUMIF('Venture Summary - Mthly'!$E$8:$EG$8,AS$9,'Venture Summary - Mthly'!$E130:$EG130)</f>
        <v>0</v>
      </c>
      <c r="AT127" s="799">
        <f>SUMIF('Venture Summary - Mthly'!$E$8:$EG$8,AT$9,'Venture Summary - Mthly'!$E130:$EG130)</f>
        <v>0</v>
      </c>
      <c r="AU127" s="799">
        <f>SUMIF('Venture Summary - Mthly'!$E$8:$EG$8,AU$9,'Venture Summary - Mthly'!$E130:$EG130)</f>
        <v>0</v>
      </c>
      <c r="AV127" s="799">
        <f>SUMIF('Venture Summary - Mthly'!$E$8:$EG$8,AV$9,'Venture Summary - Mthly'!$E130:$EG130)</f>
        <v>0</v>
      </c>
      <c r="AW127" s="799">
        <f>SUMIF('Venture Summary - Mthly'!$E$8:$EG$8,AW$9,'Venture Summary - Mthly'!$E130:$EG130)</f>
        <v>0</v>
      </c>
      <c r="AX127" s="798"/>
    </row>
    <row r="128" spans="1:50" ht="12.75" customHeight="1" x14ac:dyDescent="0.3">
      <c r="A128" s="782"/>
      <c r="B128" s="782" t="s">
        <v>22</v>
      </c>
      <c r="C128" s="798">
        <f t="shared" si="22"/>
        <v>43394506.533111304</v>
      </c>
      <c r="D128" s="782"/>
      <c r="E128" s="798">
        <f>SUM(E120:E127,E117)</f>
        <v>0</v>
      </c>
      <c r="F128" s="798">
        <f t="shared" ref="F128:AW128" si="23">SUM(F120:F127,F117)</f>
        <v>0</v>
      </c>
      <c r="G128" s="798">
        <f t="shared" si="23"/>
        <v>0</v>
      </c>
      <c r="H128" s="798">
        <f t="shared" si="23"/>
        <v>0</v>
      </c>
      <c r="I128" s="798">
        <f t="shared" si="23"/>
        <v>0</v>
      </c>
      <c r="J128" s="798">
        <f t="shared" si="23"/>
        <v>0</v>
      </c>
      <c r="K128" s="798">
        <f t="shared" si="23"/>
        <v>0</v>
      </c>
      <c r="L128" s="798">
        <f t="shared" si="23"/>
        <v>0</v>
      </c>
      <c r="M128" s="798">
        <f t="shared" si="23"/>
        <v>0</v>
      </c>
      <c r="N128" s="798">
        <f t="shared" si="23"/>
        <v>0</v>
      </c>
      <c r="O128" s="798">
        <f t="shared" si="23"/>
        <v>0</v>
      </c>
      <c r="P128" s="798">
        <f t="shared" si="23"/>
        <v>-47033035.143853649</v>
      </c>
      <c r="Q128" s="798">
        <f t="shared" si="23"/>
        <v>728449.37191356428</v>
      </c>
      <c r="R128" s="798">
        <f t="shared" si="23"/>
        <v>751383.30899763142</v>
      </c>
      <c r="S128" s="798">
        <f t="shared" si="23"/>
        <v>751615.0059864365</v>
      </c>
      <c r="T128" s="798">
        <f t="shared" si="23"/>
        <v>770361.59311068757</v>
      </c>
      <c r="U128" s="798">
        <f t="shared" si="23"/>
        <v>788978.24736710056</v>
      </c>
      <c r="V128" s="798">
        <f t="shared" si="23"/>
        <v>804661.43805875862</v>
      </c>
      <c r="W128" s="798">
        <f t="shared" si="23"/>
        <v>801244.76098827692</v>
      </c>
      <c r="X128" s="798">
        <f t="shared" si="23"/>
        <v>814403.28599050269</v>
      </c>
      <c r="Y128" s="798">
        <f t="shared" si="23"/>
        <v>830841.31954334956</v>
      </c>
      <c r="Z128" s="798">
        <f t="shared" si="23"/>
        <v>848540.01433612732</v>
      </c>
      <c r="AA128" s="798">
        <f t="shared" si="23"/>
        <v>848304.79948905087</v>
      </c>
      <c r="AB128" s="798">
        <f t="shared" si="23"/>
        <v>865740.02147221274</v>
      </c>
      <c r="AC128" s="798">
        <f t="shared" si="23"/>
        <v>885747.0870117537</v>
      </c>
      <c r="AD128" s="798">
        <f t="shared" si="23"/>
        <v>905748.93158539897</v>
      </c>
      <c r="AE128" s="798">
        <f t="shared" si="23"/>
        <v>906566.11643251986</v>
      </c>
      <c r="AF128" s="798">
        <f t="shared" si="23"/>
        <v>925323.1493590161</v>
      </c>
      <c r="AG128" s="798">
        <f t="shared" si="23"/>
        <v>946570.26938291499</v>
      </c>
      <c r="AH128" s="798">
        <f t="shared" si="23"/>
        <v>967731.95898330829</v>
      </c>
      <c r="AI128" s="798">
        <f t="shared" si="23"/>
        <v>968868.3475237746</v>
      </c>
      <c r="AJ128" s="798">
        <f t="shared" si="23"/>
        <v>988414.87017570797</v>
      </c>
      <c r="AK128" s="798">
        <f t="shared" si="23"/>
        <v>73328047.77925685</v>
      </c>
      <c r="AL128" s="798">
        <f t="shared" si="23"/>
        <v>0</v>
      </c>
      <c r="AM128" s="798">
        <f t="shared" si="23"/>
        <v>0</v>
      </c>
      <c r="AN128" s="798">
        <f t="shared" si="23"/>
        <v>0</v>
      </c>
      <c r="AO128" s="798">
        <f t="shared" si="23"/>
        <v>0</v>
      </c>
      <c r="AP128" s="798">
        <f t="shared" si="23"/>
        <v>0</v>
      </c>
      <c r="AQ128" s="798">
        <f t="shared" si="23"/>
        <v>0</v>
      </c>
      <c r="AR128" s="798">
        <f t="shared" si="23"/>
        <v>0</v>
      </c>
      <c r="AS128" s="798">
        <f t="shared" si="23"/>
        <v>0</v>
      </c>
      <c r="AT128" s="798">
        <f t="shared" si="23"/>
        <v>0</v>
      </c>
      <c r="AU128" s="798">
        <f t="shared" si="23"/>
        <v>0</v>
      </c>
      <c r="AV128" s="798">
        <f t="shared" si="23"/>
        <v>0</v>
      </c>
      <c r="AW128" s="798">
        <f t="shared" si="23"/>
        <v>0</v>
      </c>
      <c r="AX128" s="798"/>
    </row>
    <row r="129" spans="1:50" ht="12.75" customHeight="1" x14ac:dyDescent="0.3">
      <c r="A129" s="782"/>
      <c r="B129" s="800" t="s">
        <v>75</v>
      </c>
      <c r="C129" s="801">
        <f>'Venture Summary - Mthly'!C132</f>
        <v>0.14702246785163881</v>
      </c>
      <c r="D129" s="782"/>
      <c r="E129" s="782"/>
      <c r="F129" s="782"/>
      <c r="G129" s="782"/>
      <c r="H129" s="782"/>
      <c r="I129" s="782"/>
      <c r="J129" s="782"/>
      <c r="K129" s="782"/>
      <c r="L129" s="782"/>
      <c r="M129" s="782"/>
      <c r="N129" s="782"/>
      <c r="O129" s="782"/>
      <c r="P129" s="782"/>
      <c r="Q129" s="782"/>
      <c r="R129" s="782"/>
      <c r="S129" s="782"/>
      <c r="T129" s="782"/>
      <c r="U129" s="782"/>
      <c r="V129" s="782"/>
      <c r="W129" s="782"/>
      <c r="X129" s="782"/>
      <c r="Y129" s="782"/>
      <c r="Z129" s="782"/>
      <c r="AA129" s="782"/>
      <c r="AB129" s="782"/>
      <c r="AC129" s="782"/>
      <c r="AD129" s="782"/>
      <c r="AE129" s="782"/>
      <c r="AF129" s="782"/>
      <c r="AG129" s="782"/>
      <c r="AH129" s="782"/>
      <c r="AI129" s="782"/>
      <c r="AJ129" s="782"/>
      <c r="AK129" s="782"/>
      <c r="AL129" s="782"/>
      <c r="AM129" s="782"/>
      <c r="AN129" s="782"/>
      <c r="AO129" s="782"/>
      <c r="AP129" s="782"/>
      <c r="AQ129" s="782"/>
      <c r="AR129" s="782"/>
      <c r="AS129" s="782"/>
      <c r="AT129" s="782"/>
      <c r="AU129" s="782"/>
      <c r="AV129" s="782"/>
      <c r="AW129" s="782"/>
      <c r="AX129" s="782"/>
    </row>
    <row r="130" spans="1:50" ht="12.75" customHeight="1" x14ac:dyDescent="0.3">
      <c r="A130" s="782"/>
      <c r="B130" s="782"/>
      <c r="C130" s="782"/>
      <c r="D130" s="782"/>
      <c r="E130" s="782"/>
      <c r="F130" s="782"/>
      <c r="G130" s="782"/>
      <c r="H130" s="782"/>
      <c r="I130" s="782"/>
      <c r="J130" s="782"/>
      <c r="K130" s="782"/>
      <c r="L130" s="782"/>
      <c r="M130" s="782"/>
      <c r="N130" s="782"/>
      <c r="O130" s="782"/>
      <c r="P130" s="782"/>
      <c r="Q130" s="782"/>
      <c r="R130" s="782"/>
      <c r="S130" s="782"/>
      <c r="T130" s="782"/>
      <c r="U130" s="782"/>
      <c r="V130" s="782"/>
      <c r="W130" s="782"/>
      <c r="X130" s="782"/>
      <c r="Y130" s="782"/>
      <c r="Z130" s="782"/>
      <c r="AA130" s="782"/>
      <c r="AB130" s="782"/>
      <c r="AC130" s="782"/>
      <c r="AD130" s="782"/>
      <c r="AE130" s="782"/>
      <c r="AF130" s="782"/>
      <c r="AG130" s="782"/>
      <c r="AH130" s="782"/>
      <c r="AI130" s="782"/>
      <c r="AJ130" s="782"/>
      <c r="AK130" s="782"/>
      <c r="AL130" s="782"/>
      <c r="AM130" s="782"/>
      <c r="AN130" s="782"/>
      <c r="AO130" s="782"/>
      <c r="AP130" s="782"/>
      <c r="AQ130" s="782"/>
      <c r="AR130" s="782"/>
      <c r="AS130" s="782"/>
      <c r="AT130" s="782"/>
      <c r="AU130" s="782"/>
      <c r="AV130" s="782"/>
      <c r="AW130" s="782"/>
      <c r="AX130" s="782"/>
    </row>
    <row r="131" spans="1:50" ht="12.75" customHeight="1" x14ac:dyDescent="0.3">
      <c r="A131" s="782"/>
      <c r="B131" s="781" t="s">
        <v>24</v>
      </c>
      <c r="C131" s="799">
        <f>SUM(E131:AX131)</f>
        <v>-2484102.2661145786</v>
      </c>
      <c r="D131" s="781"/>
      <c r="E131" s="799">
        <f>SUMIF('Venture Summary - Mthly'!$E$8:$EG$8,E$9,'Venture Summary - Mthly'!$E134:$EG134)</f>
        <v>0</v>
      </c>
      <c r="F131" s="799">
        <f>SUMIF('Venture Summary - Mthly'!$E$8:$EG$8,F$9,'Venture Summary - Mthly'!$E134:$EG134)</f>
        <v>0</v>
      </c>
      <c r="G131" s="799">
        <f>SUMIF('Venture Summary - Mthly'!$E$8:$EG$8,G$9,'Venture Summary - Mthly'!$E134:$EG134)</f>
        <v>0</v>
      </c>
      <c r="H131" s="799">
        <f>SUMIF('Venture Summary - Mthly'!$E$8:$EG$8,H$9,'Venture Summary - Mthly'!$E134:$EG134)</f>
        <v>0</v>
      </c>
      <c r="I131" s="799">
        <f>SUMIF('Venture Summary - Mthly'!$E$8:$EG$8,I$9,'Venture Summary - Mthly'!$E134:$EG134)</f>
        <v>0</v>
      </c>
      <c r="J131" s="799">
        <f>SUMIF('Venture Summary - Mthly'!$E$8:$EG$8,J$9,'Venture Summary - Mthly'!$E134:$EG134)</f>
        <v>0</v>
      </c>
      <c r="K131" s="799">
        <f>SUMIF('Venture Summary - Mthly'!$E$8:$EG$8,K$9,'Venture Summary - Mthly'!$E134:$EG134)</f>
        <v>0</v>
      </c>
      <c r="L131" s="799">
        <f>SUMIF('Venture Summary - Mthly'!$E$8:$EG$8,L$9,'Venture Summary - Mthly'!$E134:$EG134)</f>
        <v>0</v>
      </c>
      <c r="M131" s="799">
        <f>SUMIF('Venture Summary - Mthly'!$E$8:$EG$8,M$9,'Venture Summary - Mthly'!$E134:$EG134)</f>
        <v>0</v>
      </c>
      <c r="N131" s="799">
        <f>SUMIF('Venture Summary - Mthly'!$E$8:$EG$8,N$9,'Venture Summary - Mthly'!$E134:$EG134)</f>
        <v>0</v>
      </c>
      <c r="O131" s="799">
        <f>SUMIF('Venture Summary - Mthly'!$E$8:$EG$8,O$9,'Venture Summary - Mthly'!$E134:$EG134)</f>
        <v>0</v>
      </c>
      <c r="P131" s="799">
        <f>SUMIF('Venture Summary - Mthly'!$E$8:$EG$8,P$9,'Venture Summary - Mthly'!$E134:$EG134)</f>
        <v>-34753.704186440933</v>
      </c>
      <c r="Q131" s="799">
        <f>SUMIF('Venture Summary - Mthly'!$E$8:$EG$8,Q$9,'Venture Summary - Mthly'!$E134:$EG134)</f>
        <v>-105102.51898663165</v>
      </c>
      <c r="R131" s="799">
        <f>SUMIF('Venture Summary - Mthly'!$E$8:$EG$8,R$9,'Venture Summary - Mthly'!$E134:$EG134)</f>
        <v>-106296.69570221074</v>
      </c>
      <c r="S131" s="799">
        <f>SUMIF('Venture Summary - Mthly'!$E$8:$EG$8,S$9,'Venture Summary - Mthly'!$E134:$EG134)</f>
        <v>-107399.45991264915</v>
      </c>
      <c r="T131" s="799">
        <f>SUMIF('Venture Summary - Mthly'!$E$8:$EG$8,T$9,'Venture Summary - Mthly'!$E134:$EG134)</f>
        <v>-108459.49363629546</v>
      </c>
      <c r="U131" s="799">
        <f>SUMIF('Venture Summary - Mthly'!$E$8:$EG$8,U$9,'Venture Summary - Mthly'!$E134:$EG134)</f>
        <v>-109459.14447606722</v>
      </c>
      <c r="V131" s="799">
        <f>SUMIF('Venture Summary - Mthly'!$E$8:$EG$8,V$9,'Venture Summary - Mthly'!$E134:$EG134)</f>
        <v>-110456.62796629471</v>
      </c>
      <c r="W131" s="799">
        <f>SUMIF('Venture Summary - Mthly'!$E$8:$EG$8,W$9,'Venture Summary - Mthly'!$E134:$EG134)</f>
        <v>-111506.14487300673</v>
      </c>
      <c r="X131" s="799">
        <f>SUMIF('Venture Summary - Mthly'!$E$8:$EG$8,X$9,'Venture Summary - Mthly'!$E134:$EG134)</f>
        <v>-112609.27216550763</v>
      </c>
      <c r="Y131" s="799">
        <f>SUMIF('Venture Summary - Mthly'!$E$8:$EG$8,Y$9,'Venture Summary - Mthly'!$E134:$EG134)</f>
        <v>-113776.02764974919</v>
      </c>
      <c r="Z131" s="799">
        <f>SUMIF('Venture Summary - Mthly'!$E$8:$EG$8,Z$9,'Venture Summary - Mthly'!$E134:$EG134)</f>
        <v>-114988.31918288197</v>
      </c>
      <c r="AA131" s="799">
        <f>SUMIF('Venture Summary - Mthly'!$E$8:$EG$8,AA$9,'Venture Summary - Mthly'!$E134:$EG134)</f>
        <v>-116224.42884953564</v>
      </c>
      <c r="AB131" s="799">
        <f>SUMIF('Venture Summary - Mthly'!$E$8:$EG$8,AB$9,'Venture Summary - Mthly'!$E134:$EG134)</f>
        <v>-117468.61132962009</v>
      </c>
      <c r="AC131" s="799">
        <f>SUMIF('Venture Summary - Mthly'!$E$8:$EG$8,AC$9,'Venture Summary - Mthly'!$E134:$EG134)</f>
        <v>-118728.75851133368</v>
      </c>
      <c r="AD131" s="799">
        <f>SUMIF('Venture Summary - Mthly'!$E$8:$EG$8,AD$9,'Venture Summary - Mthly'!$E134:$EG134)</f>
        <v>-120005.43802332866</v>
      </c>
      <c r="AE131" s="799">
        <f>SUMIF('Venture Summary - Mthly'!$E$8:$EG$8,AE$9,'Venture Summary - Mthly'!$E134:$EG134)</f>
        <v>-121295.81563724173</v>
      </c>
      <c r="AF131" s="799">
        <f>SUMIF('Venture Summary - Mthly'!$E$8:$EG$8,AF$9,'Venture Summary - Mthly'!$E134:$EG134)</f>
        <v>-122593.4231073109</v>
      </c>
      <c r="AG131" s="799">
        <f>SUMIF('Venture Summary - Mthly'!$E$8:$EG$8,AG$9,'Venture Summary - Mthly'!$E134:$EG134)</f>
        <v>-123907.65520179246</v>
      </c>
      <c r="AH131" s="799">
        <f>SUMIF('Venture Summary - Mthly'!$E$8:$EG$8,AH$9,'Venture Summary - Mthly'!$E134:$EG134)</f>
        <v>-125239.10343226959</v>
      </c>
      <c r="AI131" s="799">
        <f>SUMIF('Venture Summary - Mthly'!$E$8:$EG$8,AI$9,'Venture Summary - Mthly'!$E134:$EG134)</f>
        <v>-126584.82857090383</v>
      </c>
      <c r="AJ131" s="799">
        <f>SUMIF('Venture Summary - Mthly'!$E$8:$EG$8,AJ$9,'Venture Summary - Mthly'!$E134:$EG134)</f>
        <v>-127938.10376316879</v>
      </c>
      <c r="AK131" s="799">
        <f>SUMIF('Venture Summary - Mthly'!$E$8:$EG$8,AK$9,'Venture Summary - Mthly'!$E134:$EG134)</f>
        <v>-129308.69095033838</v>
      </c>
      <c r="AL131" s="799">
        <f>SUMIF('Venture Summary - Mthly'!$E$8:$EG$8,AL$9,'Venture Summary - Mthly'!$E134:$EG134)</f>
        <v>0</v>
      </c>
      <c r="AM131" s="799">
        <f>SUMIF('Venture Summary - Mthly'!$E$8:$EG$8,AM$9,'Venture Summary - Mthly'!$E134:$EG134)</f>
        <v>0</v>
      </c>
      <c r="AN131" s="799">
        <f>SUMIF('Venture Summary - Mthly'!$E$8:$EG$8,AN$9,'Venture Summary - Mthly'!$E134:$EG134)</f>
        <v>0</v>
      </c>
      <c r="AO131" s="799">
        <f>SUMIF('Venture Summary - Mthly'!$E$8:$EG$8,AO$9,'Venture Summary - Mthly'!$E134:$EG134)</f>
        <v>0</v>
      </c>
      <c r="AP131" s="799">
        <f>SUMIF('Venture Summary - Mthly'!$E$8:$EG$8,AP$9,'Venture Summary - Mthly'!$E134:$EG134)</f>
        <v>0</v>
      </c>
      <c r="AQ131" s="799">
        <f>SUMIF('Venture Summary - Mthly'!$E$8:$EG$8,AQ$9,'Venture Summary - Mthly'!$E134:$EG134)</f>
        <v>0</v>
      </c>
      <c r="AR131" s="799">
        <f>SUMIF('Venture Summary - Mthly'!$E$8:$EG$8,AR$9,'Venture Summary - Mthly'!$E134:$EG134)</f>
        <v>0</v>
      </c>
      <c r="AS131" s="799">
        <f>SUMIF('Venture Summary - Mthly'!$E$8:$EG$8,AS$9,'Venture Summary - Mthly'!$E134:$EG134)</f>
        <v>0</v>
      </c>
      <c r="AT131" s="799">
        <f>SUMIF('Venture Summary - Mthly'!$E$8:$EG$8,AT$9,'Venture Summary - Mthly'!$E134:$EG134)</f>
        <v>0</v>
      </c>
      <c r="AU131" s="799">
        <f>SUMIF('Venture Summary - Mthly'!$E$8:$EG$8,AU$9,'Venture Summary - Mthly'!$E134:$EG134)</f>
        <v>0</v>
      </c>
      <c r="AV131" s="799">
        <f>SUMIF('Venture Summary - Mthly'!$E$8:$EG$8,AV$9,'Venture Summary - Mthly'!$E134:$EG134)</f>
        <v>0</v>
      </c>
      <c r="AW131" s="799">
        <f>SUMIF('Venture Summary - Mthly'!$E$8:$EG$8,AW$9,'Venture Summary - Mthly'!$E134:$EG134)</f>
        <v>0</v>
      </c>
      <c r="AX131" s="798"/>
    </row>
    <row r="132" spans="1:50" ht="12.75" customHeight="1" x14ac:dyDescent="0.3">
      <c r="A132" s="782"/>
      <c r="B132" s="782" t="s">
        <v>25</v>
      </c>
      <c r="C132" s="798">
        <f>SUM(E132:AX132)</f>
        <v>40910404.266996726</v>
      </c>
      <c r="D132" s="782"/>
      <c r="E132" s="798">
        <f>SUM(E131,E128)</f>
        <v>0</v>
      </c>
      <c r="F132" s="798">
        <f t="shared" ref="F132:AW132" si="24">SUM(F131,F128)</f>
        <v>0</v>
      </c>
      <c r="G132" s="798">
        <f t="shared" si="24"/>
        <v>0</v>
      </c>
      <c r="H132" s="798">
        <f t="shared" si="24"/>
        <v>0</v>
      </c>
      <c r="I132" s="798">
        <f t="shared" si="24"/>
        <v>0</v>
      </c>
      <c r="J132" s="798">
        <f t="shared" si="24"/>
        <v>0</v>
      </c>
      <c r="K132" s="798">
        <f t="shared" si="24"/>
        <v>0</v>
      </c>
      <c r="L132" s="798">
        <f t="shared" si="24"/>
        <v>0</v>
      </c>
      <c r="M132" s="798">
        <f t="shared" si="24"/>
        <v>0</v>
      </c>
      <c r="N132" s="798">
        <f t="shared" si="24"/>
        <v>0</v>
      </c>
      <c r="O132" s="798">
        <f t="shared" si="24"/>
        <v>0</v>
      </c>
      <c r="P132" s="798">
        <f t="shared" si="24"/>
        <v>-47067788.848040089</v>
      </c>
      <c r="Q132" s="798">
        <f t="shared" si="24"/>
        <v>623346.85292693262</v>
      </c>
      <c r="R132" s="798">
        <f t="shared" si="24"/>
        <v>645086.61329542066</v>
      </c>
      <c r="S132" s="798">
        <f t="shared" si="24"/>
        <v>644215.54607378738</v>
      </c>
      <c r="T132" s="798">
        <f t="shared" si="24"/>
        <v>661902.09947439213</v>
      </c>
      <c r="U132" s="798">
        <f t="shared" si="24"/>
        <v>679519.10289103328</v>
      </c>
      <c r="V132" s="798">
        <f t="shared" si="24"/>
        <v>694204.81009246386</v>
      </c>
      <c r="W132" s="798">
        <f t="shared" si="24"/>
        <v>689738.61611527018</v>
      </c>
      <c r="X132" s="798">
        <f t="shared" si="24"/>
        <v>701794.01382499503</v>
      </c>
      <c r="Y132" s="798">
        <f t="shared" si="24"/>
        <v>717065.29189360037</v>
      </c>
      <c r="Z132" s="798">
        <f t="shared" si="24"/>
        <v>733551.69515324535</v>
      </c>
      <c r="AA132" s="798">
        <f t="shared" si="24"/>
        <v>732080.37063951523</v>
      </c>
      <c r="AB132" s="798">
        <f t="shared" si="24"/>
        <v>748271.41014259262</v>
      </c>
      <c r="AC132" s="798">
        <f t="shared" si="24"/>
        <v>767018.32850041997</v>
      </c>
      <c r="AD132" s="798">
        <f t="shared" si="24"/>
        <v>785743.4935620703</v>
      </c>
      <c r="AE132" s="798">
        <f t="shared" si="24"/>
        <v>785270.30079527816</v>
      </c>
      <c r="AF132" s="798">
        <f t="shared" si="24"/>
        <v>802729.7262517052</v>
      </c>
      <c r="AG132" s="798">
        <f t="shared" si="24"/>
        <v>822662.61418112251</v>
      </c>
      <c r="AH132" s="798">
        <f t="shared" si="24"/>
        <v>842492.85555103864</v>
      </c>
      <c r="AI132" s="798">
        <f t="shared" si="24"/>
        <v>842283.51895287074</v>
      </c>
      <c r="AJ132" s="798">
        <f t="shared" si="24"/>
        <v>860476.76641253917</v>
      </c>
      <c r="AK132" s="798">
        <f t="shared" si="24"/>
        <v>73198739.088306516</v>
      </c>
      <c r="AL132" s="798">
        <f t="shared" si="24"/>
        <v>0</v>
      </c>
      <c r="AM132" s="798">
        <f t="shared" si="24"/>
        <v>0</v>
      </c>
      <c r="AN132" s="798">
        <f t="shared" si="24"/>
        <v>0</v>
      </c>
      <c r="AO132" s="798">
        <f t="shared" si="24"/>
        <v>0</v>
      </c>
      <c r="AP132" s="798">
        <f t="shared" si="24"/>
        <v>0</v>
      </c>
      <c r="AQ132" s="798">
        <f t="shared" si="24"/>
        <v>0</v>
      </c>
      <c r="AR132" s="798">
        <f t="shared" si="24"/>
        <v>0</v>
      </c>
      <c r="AS132" s="798">
        <f t="shared" si="24"/>
        <v>0</v>
      </c>
      <c r="AT132" s="798">
        <f t="shared" si="24"/>
        <v>0</v>
      </c>
      <c r="AU132" s="798">
        <f t="shared" si="24"/>
        <v>0</v>
      </c>
      <c r="AV132" s="798">
        <f t="shared" si="24"/>
        <v>0</v>
      </c>
      <c r="AW132" s="798">
        <f t="shared" si="24"/>
        <v>0</v>
      </c>
      <c r="AX132" s="798"/>
    </row>
    <row r="133" spans="1:50" ht="12.75" customHeight="1" x14ac:dyDescent="0.3">
      <c r="A133" s="782"/>
      <c r="B133" s="800" t="s">
        <v>76</v>
      </c>
      <c r="C133" s="1147">
        <f>'Venture Summary - Mthly'!C136</f>
        <v>0.13801112771034243</v>
      </c>
      <c r="D133" s="782"/>
      <c r="E133" s="782"/>
      <c r="F133" s="782"/>
      <c r="G133" s="782"/>
      <c r="H133" s="782"/>
      <c r="I133" s="782"/>
      <c r="J133" s="782"/>
      <c r="K133" s="782"/>
      <c r="L133" s="782"/>
      <c r="M133" s="782"/>
      <c r="N133" s="782"/>
      <c r="O133" s="782"/>
      <c r="P133" s="782"/>
      <c r="Q133" s="782"/>
      <c r="R133" s="782"/>
      <c r="S133" s="782"/>
      <c r="T133" s="782"/>
      <c r="U133" s="782"/>
      <c r="V133" s="782"/>
      <c r="W133" s="782"/>
      <c r="X133" s="782"/>
      <c r="Y133" s="782"/>
      <c r="Z133" s="782"/>
      <c r="AA133" s="782"/>
      <c r="AB133" s="782"/>
      <c r="AC133" s="782"/>
      <c r="AD133" s="782"/>
      <c r="AE133" s="782"/>
      <c r="AF133" s="782"/>
      <c r="AG133" s="782"/>
      <c r="AH133" s="782"/>
      <c r="AI133" s="782"/>
      <c r="AJ133" s="782"/>
      <c r="AK133" s="782"/>
      <c r="AL133" s="782"/>
      <c r="AM133" s="782"/>
      <c r="AN133" s="782"/>
      <c r="AO133" s="782"/>
      <c r="AP133" s="782"/>
      <c r="AQ133" s="782"/>
      <c r="AR133" s="782"/>
      <c r="AS133" s="782"/>
      <c r="AT133" s="782"/>
      <c r="AU133" s="782"/>
      <c r="AV133" s="782"/>
      <c r="AW133" s="782"/>
      <c r="AX133" s="782"/>
    </row>
    <row r="134" spans="1:50" ht="12.75" customHeight="1" x14ac:dyDescent="0.3">
      <c r="A134" s="782"/>
      <c r="B134" s="782"/>
      <c r="C134" s="782"/>
      <c r="D134" s="782"/>
      <c r="E134" s="782"/>
      <c r="F134" s="782"/>
      <c r="G134" s="782"/>
      <c r="H134" s="782"/>
      <c r="I134" s="782"/>
      <c r="J134" s="782"/>
      <c r="K134" s="782"/>
      <c r="L134" s="782"/>
      <c r="M134" s="782"/>
      <c r="N134" s="782"/>
      <c r="O134" s="782"/>
      <c r="P134" s="782"/>
      <c r="Q134" s="782"/>
      <c r="R134" s="782"/>
      <c r="S134" s="782"/>
      <c r="T134" s="782"/>
      <c r="U134" s="782"/>
      <c r="V134" s="782"/>
      <c r="W134" s="782"/>
      <c r="X134" s="782"/>
      <c r="Y134" s="782"/>
      <c r="Z134" s="782"/>
      <c r="AA134" s="782"/>
      <c r="AB134" s="782"/>
      <c r="AC134" s="782"/>
      <c r="AD134" s="782"/>
      <c r="AE134" s="809"/>
      <c r="AF134" s="782"/>
      <c r="AG134" s="798"/>
      <c r="AH134" s="782"/>
      <c r="AI134" s="782"/>
      <c r="AJ134" s="782"/>
      <c r="AK134" s="782"/>
      <c r="AL134" s="782"/>
      <c r="AM134" s="782"/>
      <c r="AN134" s="782"/>
      <c r="AO134" s="782"/>
      <c r="AP134" s="782"/>
      <c r="AQ134" s="782"/>
      <c r="AR134" s="782"/>
      <c r="AS134" s="782"/>
      <c r="AT134" s="782"/>
      <c r="AU134" s="782"/>
      <c r="AV134" s="782"/>
      <c r="AW134" s="782"/>
      <c r="AX134" s="782"/>
    </row>
    <row r="135" spans="1:50" ht="12.75" customHeight="1" x14ac:dyDescent="0.3">
      <c r="A135" s="782"/>
      <c r="B135" s="793" t="s">
        <v>77</v>
      </c>
      <c r="C135" s="794"/>
      <c r="D135" s="794"/>
      <c r="E135" s="794"/>
      <c r="F135" s="794"/>
      <c r="G135" s="794"/>
      <c r="H135" s="794"/>
      <c r="I135" s="794"/>
      <c r="J135" s="794"/>
      <c r="K135" s="794"/>
      <c r="L135" s="794"/>
      <c r="M135" s="794"/>
      <c r="N135" s="794"/>
      <c r="O135" s="794"/>
      <c r="P135" s="794"/>
      <c r="Q135" s="794"/>
      <c r="R135" s="794"/>
      <c r="S135" s="794"/>
      <c r="T135" s="794"/>
      <c r="U135" s="794"/>
      <c r="V135" s="794"/>
      <c r="W135" s="794"/>
      <c r="X135" s="794"/>
      <c r="Y135" s="794"/>
      <c r="Z135" s="794"/>
      <c r="AA135" s="794"/>
      <c r="AB135" s="794"/>
      <c r="AC135" s="794"/>
      <c r="AD135" s="794"/>
      <c r="AE135" s="794"/>
      <c r="AF135" s="794"/>
      <c r="AG135" s="794"/>
      <c r="AH135" s="794"/>
      <c r="AI135" s="794"/>
      <c r="AJ135" s="794"/>
      <c r="AK135" s="794"/>
      <c r="AL135" s="794"/>
      <c r="AM135" s="794"/>
      <c r="AN135" s="794"/>
      <c r="AO135" s="794"/>
      <c r="AP135" s="794"/>
      <c r="AQ135" s="794"/>
      <c r="AR135" s="794"/>
      <c r="AS135" s="794"/>
      <c r="AT135" s="794"/>
      <c r="AU135" s="794"/>
      <c r="AV135" s="794"/>
      <c r="AW135" s="794"/>
      <c r="AX135" s="794"/>
    </row>
    <row r="136" spans="1:50" ht="12.75" customHeight="1" x14ac:dyDescent="0.3">
      <c r="A136" s="782"/>
      <c r="B136" s="782"/>
      <c r="C136" s="798"/>
      <c r="D136" s="782"/>
      <c r="E136" s="798"/>
      <c r="F136" s="798"/>
      <c r="G136" s="798"/>
      <c r="H136" s="798"/>
      <c r="I136" s="798"/>
      <c r="J136" s="798"/>
      <c r="K136" s="798"/>
      <c r="L136" s="798"/>
      <c r="M136" s="798"/>
      <c r="N136" s="798"/>
      <c r="O136" s="798"/>
      <c r="P136" s="798"/>
      <c r="Q136" s="798"/>
      <c r="R136" s="798"/>
      <c r="S136" s="798"/>
      <c r="T136" s="798"/>
      <c r="U136" s="798"/>
      <c r="V136" s="798"/>
      <c r="W136" s="798"/>
      <c r="X136" s="798"/>
      <c r="Y136" s="798"/>
      <c r="Z136" s="798"/>
      <c r="AA136" s="798"/>
      <c r="AB136" s="798"/>
      <c r="AC136" s="798"/>
      <c r="AD136" s="798"/>
      <c r="AE136" s="798"/>
      <c r="AF136" s="809"/>
      <c r="AG136" s="809"/>
      <c r="AH136" s="798"/>
      <c r="AI136" s="798"/>
      <c r="AJ136" s="798"/>
      <c r="AK136" s="798"/>
      <c r="AL136" s="798"/>
      <c r="AM136" s="798"/>
      <c r="AN136" s="798"/>
      <c r="AO136" s="798"/>
      <c r="AP136" s="798"/>
      <c r="AQ136" s="798"/>
      <c r="AR136" s="798"/>
      <c r="AS136" s="798"/>
      <c r="AT136" s="798"/>
      <c r="AU136" s="798"/>
      <c r="AV136" s="798"/>
      <c r="AW136" s="798"/>
      <c r="AX136" s="798"/>
    </row>
    <row r="137" spans="1:50" ht="12.75" customHeight="1" x14ac:dyDescent="0.3">
      <c r="A137" s="782"/>
      <c r="B137" s="782" t="s">
        <v>78</v>
      </c>
      <c r="C137" s="792">
        <f>INDEX($E$4:$AX$4,MATCH(1,INDEX(ISNUMBER(E82:AX82)*(E82:AX82&lt;=0),0),0))</f>
        <v>45169</v>
      </c>
      <c r="D137" s="782"/>
      <c r="E137" s="798"/>
      <c r="F137" s="798"/>
      <c r="G137" s="798"/>
      <c r="H137" s="798"/>
      <c r="I137" s="798"/>
      <c r="J137" s="798"/>
      <c r="K137" s="798"/>
      <c r="L137" s="798"/>
      <c r="M137" s="798"/>
      <c r="N137" s="798"/>
      <c r="O137" s="798"/>
      <c r="P137" s="798"/>
      <c r="Q137" s="798"/>
      <c r="R137" s="798"/>
      <c r="S137" s="798"/>
      <c r="T137" s="798"/>
      <c r="U137" s="798"/>
      <c r="V137" s="798"/>
      <c r="W137" s="798"/>
      <c r="X137" s="798"/>
      <c r="Y137" s="798"/>
      <c r="Z137" s="798"/>
      <c r="AA137" s="798"/>
      <c r="AB137" s="798"/>
      <c r="AC137" s="798"/>
      <c r="AD137" s="798"/>
      <c r="AE137" s="798"/>
      <c r="AF137" s="798"/>
      <c r="AG137" s="798"/>
      <c r="AH137" s="798"/>
      <c r="AI137" s="798"/>
      <c r="AJ137" s="798"/>
      <c r="AK137" s="798"/>
      <c r="AL137" s="798"/>
      <c r="AM137" s="798"/>
      <c r="AN137" s="798"/>
      <c r="AO137" s="798"/>
      <c r="AP137" s="798"/>
      <c r="AQ137" s="798"/>
      <c r="AR137" s="798"/>
      <c r="AS137" s="798"/>
      <c r="AT137" s="798"/>
      <c r="AU137" s="798"/>
      <c r="AV137" s="798"/>
      <c r="AW137" s="798"/>
      <c r="AX137" s="798"/>
    </row>
    <row r="138" spans="1:50" ht="12.75" customHeight="1" x14ac:dyDescent="0.3">
      <c r="A138" s="782"/>
      <c r="B138" s="782" t="s">
        <v>79</v>
      </c>
      <c r="C138" s="810">
        <f>MATCH(C137,$E$4:$AX$4)-1</f>
        <v>0</v>
      </c>
      <c r="D138" s="782"/>
      <c r="E138" s="798"/>
      <c r="F138" s="798"/>
      <c r="G138" s="798"/>
      <c r="H138" s="798"/>
      <c r="I138" s="798"/>
      <c r="J138" s="798"/>
      <c r="K138" s="798"/>
      <c r="L138" s="798"/>
      <c r="M138" s="798"/>
      <c r="N138" s="798"/>
      <c r="O138" s="798"/>
      <c r="P138" s="798"/>
      <c r="Q138" s="798"/>
      <c r="R138" s="798"/>
      <c r="S138" s="798"/>
      <c r="T138" s="798"/>
      <c r="U138" s="798"/>
      <c r="V138" s="798"/>
      <c r="W138" s="798"/>
      <c r="X138" s="798"/>
      <c r="Y138" s="798"/>
      <c r="Z138" s="798"/>
      <c r="AA138" s="798"/>
      <c r="AB138" s="798"/>
      <c r="AC138" s="798"/>
      <c r="AD138" s="798"/>
      <c r="AE138" s="798"/>
      <c r="AF138" s="798"/>
      <c r="AG138" s="798"/>
      <c r="AH138" s="798"/>
      <c r="AI138" s="798"/>
      <c r="AJ138" s="798"/>
      <c r="AK138" s="798"/>
      <c r="AL138" s="798"/>
      <c r="AM138" s="798"/>
      <c r="AN138" s="798"/>
      <c r="AO138" s="798"/>
      <c r="AP138" s="798"/>
      <c r="AQ138" s="798"/>
      <c r="AR138" s="798"/>
      <c r="AS138" s="798"/>
      <c r="AT138" s="798"/>
      <c r="AU138" s="798"/>
      <c r="AV138" s="798"/>
      <c r="AW138" s="798"/>
      <c r="AX138" s="798"/>
    </row>
    <row r="139" spans="1:50" ht="12.75" customHeight="1" x14ac:dyDescent="0.3">
      <c r="A139" s="782"/>
      <c r="B139" s="782" t="s">
        <v>80</v>
      </c>
      <c r="C139" s="797">
        <f t="array" ref="C139">INDEX($E$4:$AX$4,1,MATCH(TRUE,$E$141:$AX$141&lt;0,0))</f>
        <v>45169</v>
      </c>
      <c r="D139" s="782"/>
      <c r="E139" s="798"/>
      <c r="F139" s="798"/>
      <c r="G139" s="798"/>
      <c r="H139" s="798"/>
      <c r="I139" s="798"/>
      <c r="J139" s="798"/>
      <c r="K139" s="798"/>
      <c r="L139" s="798"/>
      <c r="M139" s="798"/>
      <c r="N139" s="798"/>
      <c r="O139" s="798"/>
      <c r="P139" s="798"/>
      <c r="Q139" s="798"/>
      <c r="R139" s="798"/>
      <c r="S139" s="798"/>
      <c r="T139" s="798"/>
      <c r="U139" s="798"/>
      <c r="V139" s="798"/>
      <c r="W139" s="798"/>
      <c r="X139" s="798"/>
      <c r="Y139" s="798"/>
      <c r="Z139" s="798"/>
      <c r="AA139" s="798"/>
      <c r="AB139" s="798"/>
      <c r="AC139" s="798"/>
      <c r="AD139" s="798"/>
      <c r="AE139" s="798"/>
      <c r="AF139" s="798"/>
      <c r="AG139" s="798"/>
      <c r="AH139" s="798"/>
      <c r="AI139" s="798"/>
      <c r="AJ139" s="798"/>
      <c r="AK139" s="798"/>
      <c r="AL139" s="798"/>
      <c r="AM139" s="798"/>
      <c r="AN139" s="798"/>
      <c r="AO139" s="798"/>
      <c r="AP139" s="798"/>
      <c r="AQ139" s="798"/>
      <c r="AR139" s="798"/>
      <c r="AS139" s="798"/>
      <c r="AT139" s="798"/>
      <c r="AU139" s="798"/>
      <c r="AV139" s="798"/>
      <c r="AW139" s="798"/>
      <c r="AX139" s="798"/>
    </row>
    <row r="140" spans="1:50" ht="12.75" customHeight="1" x14ac:dyDescent="0.3">
      <c r="A140" s="782"/>
      <c r="B140" s="782"/>
      <c r="C140" s="798"/>
      <c r="D140" s="782"/>
      <c r="E140" s="798"/>
      <c r="F140" s="798"/>
      <c r="G140" s="798"/>
      <c r="H140" s="798"/>
      <c r="I140" s="798"/>
      <c r="J140" s="798"/>
      <c r="K140" s="798"/>
      <c r="L140" s="798"/>
      <c r="M140" s="798"/>
      <c r="N140" s="798"/>
      <c r="O140" s="798"/>
      <c r="P140" s="798"/>
      <c r="Q140" s="798"/>
      <c r="R140" s="798"/>
      <c r="S140" s="798"/>
      <c r="T140" s="798"/>
      <c r="U140" s="798"/>
      <c r="V140" s="798"/>
      <c r="W140" s="798"/>
      <c r="X140" s="798"/>
      <c r="Y140" s="798"/>
      <c r="Z140" s="798"/>
      <c r="AA140" s="798"/>
      <c r="AB140" s="798"/>
      <c r="AC140" s="798"/>
      <c r="AD140" s="798"/>
      <c r="AE140" s="798"/>
      <c r="AF140" s="798"/>
      <c r="AG140" s="798"/>
      <c r="AH140" s="798"/>
      <c r="AI140" s="798"/>
      <c r="AJ140" s="798"/>
      <c r="AK140" s="798"/>
      <c r="AL140" s="798"/>
      <c r="AM140" s="798"/>
      <c r="AN140" s="798"/>
      <c r="AO140" s="798"/>
      <c r="AP140" s="798"/>
      <c r="AQ140" s="798"/>
      <c r="AR140" s="798"/>
      <c r="AS140" s="798"/>
      <c r="AT140" s="798"/>
      <c r="AU140" s="798"/>
      <c r="AV140" s="798"/>
      <c r="AW140" s="798"/>
      <c r="AX140" s="798"/>
    </row>
    <row r="141" spans="1:50" ht="12.75" customHeight="1" x14ac:dyDescent="0.3">
      <c r="A141" s="782"/>
      <c r="B141" s="782" t="s">
        <v>81</v>
      </c>
      <c r="C141" s="798">
        <f t="shared" ref="C141:C146" si="25">SUM(E141:AX141)</f>
        <v>-77959624.342178494</v>
      </c>
      <c r="D141" s="782"/>
      <c r="E141" s="1148">
        <f>SUMIF('Venture Summary - Mthly'!$E$8:$EG$8,E$9,'Venture Summary - Mthly'!$E144:$EG144)</f>
        <v>-1872006.9504114862</v>
      </c>
      <c r="F141" s="1148">
        <f>SUMIF('Venture Summary - Mthly'!$E$8:$EG$8,F$9,'Venture Summary - Mthly'!$E144:$EG144)</f>
        <v>-16402217.907827348</v>
      </c>
      <c r="G141" s="1148">
        <f>SUMIF('Venture Summary - Mthly'!$E$8:$EG$8,G$9,'Venture Summary - Mthly'!$E144:$EG144)</f>
        <v>-5309073.7950608227</v>
      </c>
      <c r="H141" s="1148">
        <f>SUMIF('Venture Summary - Mthly'!$E$8:$EG$8,H$9,'Venture Summary - Mthly'!$E144:$EG144)</f>
        <v>-9421512.0937692411</v>
      </c>
      <c r="I141" s="1148">
        <f>SUMIF('Venture Summary - Mthly'!$E$8:$EG$8,I$9,'Venture Summary - Mthly'!$E144:$EG144)</f>
        <v>-11810220.070596399</v>
      </c>
      <c r="J141" s="1148">
        <f>SUMIF('Venture Summary - Mthly'!$E$8:$EG$8,J$9,'Venture Summary - Mthly'!$E144:$EG144)</f>
        <v>-11596302.437168643</v>
      </c>
      <c r="K141" s="1148">
        <f>SUMIF('Venture Summary - Mthly'!$E$8:$EG$8,K$9,'Venture Summary - Mthly'!$E144:$EG144)</f>
        <v>-9626496.798014909</v>
      </c>
      <c r="L141" s="1148">
        <f>SUMIF('Venture Summary - Mthly'!$E$8:$EG$8,L$9,'Venture Summary - Mthly'!$E144:$EG144)</f>
        <v>-7315071.3396755075</v>
      </c>
      <c r="M141" s="1148">
        <f>SUMIF('Venture Summary - Mthly'!$E$8:$EG$8,M$9,'Venture Summary - Mthly'!$E144:$EG144)</f>
        <v>-3929018.6654367838</v>
      </c>
      <c r="N141" s="1148">
        <f>SUMIF('Venture Summary - Mthly'!$E$8:$EG$8,N$9,'Venture Summary - Mthly'!$E144:$EG144)</f>
        <v>-677704.28421734134</v>
      </c>
      <c r="O141" s="1148">
        <f>SUMIF('Venture Summary - Mthly'!$E$8:$EG$8,O$9,'Venture Summary - Mthly'!$E144:$EG144)</f>
        <v>0</v>
      </c>
      <c r="P141" s="1148">
        <f>SUMIF('Venture Summary - Mthly'!$E$8:$EG$8,P$9,'Venture Summary - Mthly'!$E144:$EG144)</f>
        <v>0</v>
      </c>
      <c r="Q141" s="1148">
        <f>SUMIF('Venture Summary - Mthly'!$E$8:$EG$8,Q$9,'Venture Summary - Mthly'!$E144:$EG144)</f>
        <v>0</v>
      </c>
      <c r="R141" s="1148">
        <f>SUMIF('Venture Summary - Mthly'!$E$8:$EG$8,R$9,'Venture Summary - Mthly'!$E144:$EG144)</f>
        <v>0</v>
      </c>
      <c r="S141" s="1148">
        <f>SUMIF('Venture Summary - Mthly'!$E$8:$EG$8,S$9,'Venture Summary - Mthly'!$E144:$EG144)</f>
        <v>0</v>
      </c>
      <c r="T141" s="1148">
        <f>SUMIF('Venture Summary - Mthly'!$E$8:$EG$8,T$9,'Venture Summary - Mthly'!$E144:$EG144)</f>
        <v>0</v>
      </c>
      <c r="U141" s="1148">
        <f>SUMIF('Venture Summary - Mthly'!$E$8:$EG$8,U$9,'Venture Summary - Mthly'!$E144:$EG144)</f>
        <v>0</v>
      </c>
      <c r="V141" s="1148">
        <f>SUMIF('Venture Summary - Mthly'!$E$8:$EG$8,V$9,'Venture Summary - Mthly'!$E144:$EG144)</f>
        <v>0</v>
      </c>
      <c r="W141" s="1148">
        <f>SUMIF('Venture Summary - Mthly'!$E$8:$EG$8,W$9,'Venture Summary - Mthly'!$E144:$EG144)</f>
        <v>0</v>
      </c>
      <c r="X141" s="1148">
        <f>SUMIF('Venture Summary - Mthly'!$E$8:$EG$8,X$9,'Venture Summary - Mthly'!$E144:$EG144)</f>
        <v>0</v>
      </c>
      <c r="Y141" s="1148">
        <f>SUMIF('Venture Summary - Mthly'!$E$8:$EG$8,Y$9,'Venture Summary - Mthly'!$E144:$EG144)</f>
        <v>0</v>
      </c>
      <c r="Z141" s="1148">
        <f>SUMIF('Venture Summary - Mthly'!$E$8:$EG$8,Z$9,'Venture Summary - Mthly'!$E144:$EG144)</f>
        <v>0</v>
      </c>
      <c r="AA141" s="1148">
        <f>SUMIF('Venture Summary - Mthly'!$E$8:$EG$8,AA$9,'Venture Summary - Mthly'!$E144:$EG144)</f>
        <v>0</v>
      </c>
      <c r="AB141" s="1148">
        <f>SUMIF('Venture Summary - Mthly'!$E$8:$EG$8,AB$9,'Venture Summary - Mthly'!$E144:$EG144)</f>
        <v>0</v>
      </c>
      <c r="AC141" s="1148">
        <f>SUMIF('Venture Summary - Mthly'!$E$8:$EG$8,AC$9,'Venture Summary - Mthly'!$E144:$EG144)</f>
        <v>0</v>
      </c>
      <c r="AD141" s="1148">
        <f>SUMIF('Venture Summary - Mthly'!$E$8:$EG$8,AD$9,'Venture Summary - Mthly'!$E144:$EG144)</f>
        <v>0</v>
      </c>
      <c r="AE141" s="1148">
        <f>SUMIF('Venture Summary - Mthly'!$E$8:$EG$8,AE$9,'Venture Summary - Mthly'!$E144:$EG144)</f>
        <v>0</v>
      </c>
      <c r="AF141" s="1148">
        <f>SUMIF('Venture Summary - Mthly'!$E$8:$EG$8,AF$9,'Venture Summary - Mthly'!$E144:$EG144)</f>
        <v>0</v>
      </c>
      <c r="AG141" s="1148">
        <f>SUMIF('Venture Summary - Mthly'!$E$8:$EG$8,AG$9,'Venture Summary - Mthly'!$E144:$EG144)</f>
        <v>0</v>
      </c>
      <c r="AH141" s="1148">
        <f>SUMIF('Venture Summary - Mthly'!$E$8:$EG$8,AH$9,'Venture Summary - Mthly'!$E144:$EG144)</f>
        <v>0</v>
      </c>
      <c r="AI141" s="1148">
        <f>SUMIF('Venture Summary - Mthly'!$E$8:$EG$8,AI$9,'Venture Summary - Mthly'!$E144:$EG144)</f>
        <v>0</v>
      </c>
      <c r="AJ141" s="1148">
        <f>SUMIF('Venture Summary - Mthly'!$E$8:$EG$8,AJ$9,'Venture Summary - Mthly'!$E144:$EG144)</f>
        <v>0</v>
      </c>
      <c r="AK141" s="1148">
        <f>SUMIF('Venture Summary - Mthly'!$E$8:$EG$8,AK$9,'Venture Summary - Mthly'!$E144:$EG144)</f>
        <v>0</v>
      </c>
      <c r="AL141" s="1148">
        <f>SUMIF('Venture Summary - Mthly'!$E$8:$EG$8,AL$9,'Venture Summary - Mthly'!$E144:$EG144)</f>
        <v>0</v>
      </c>
      <c r="AM141" s="1148">
        <f>SUMIF('Venture Summary - Mthly'!$E$8:$EG$8,AM$9,'Venture Summary - Mthly'!$E144:$EG144)</f>
        <v>0</v>
      </c>
      <c r="AN141" s="1148">
        <f>SUMIF('Venture Summary - Mthly'!$E$8:$EG$8,AN$9,'Venture Summary - Mthly'!$E144:$EG144)</f>
        <v>0</v>
      </c>
      <c r="AO141" s="1148">
        <f>SUMIF('Venture Summary - Mthly'!$E$8:$EG$8,AO$9,'Venture Summary - Mthly'!$E144:$EG144)</f>
        <v>0</v>
      </c>
      <c r="AP141" s="1148">
        <f>SUMIF('Venture Summary - Mthly'!$E$8:$EG$8,AP$9,'Venture Summary - Mthly'!$E144:$EG144)</f>
        <v>0</v>
      </c>
      <c r="AQ141" s="1148">
        <f>SUMIF('Venture Summary - Mthly'!$E$8:$EG$8,AQ$9,'Venture Summary - Mthly'!$E144:$EG144)</f>
        <v>0</v>
      </c>
      <c r="AR141" s="1148">
        <f>SUMIF('Venture Summary - Mthly'!$E$8:$EG$8,AR$9,'Venture Summary - Mthly'!$E144:$EG144)</f>
        <v>0</v>
      </c>
      <c r="AS141" s="1148">
        <f>SUMIF('Venture Summary - Mthly'!$E$8:$EG$8,AS$9,'Venture Summary - Mthly'!$E144:$EG144)</f>
        <v>0</v>
      </c>
      <c r="AT141" s="1148">
        <f>SUMIF('Venture Summary - Mthly'!$E$8:$EG$8,AT$9,'Venture Summary - Mthly'!$E144:$EG144)</f>
        <v>0</v>
      </c>
      <c r="AU141" s="1148">
        <f>SUMIF('Venture Summary - Mthly'!$E$8:$EG$8,AU$9,'Venture Summary - Mthly'!$E144:$EG144)</f>
        <v>0</v>
      </c>
      <c r="AV141" s="1148">
        <f>SUMIF('Venture Summary - Mthly'!$E$8:$EG$8,AV$9,'Venture Summary - Mthly'!$E144:$EG144)</f>
        <v>0</v>
      </c>
      <c r="AW141" s="1148">
        <f>SUMIF('Venture Summary - Mthly'!$E$8:$EG$8,AW$9,'Venture Summary - Mthly'!$E144:$EG144)</f>
        <v>0</v>
      </c>
      <c r="AX141" s="1148"/>
    </row>
    <row r="142" spans="1:50" ht="12.75" customHeight="1" x14ac:dyDescent="0.3">
      <c r="A142" s="782"/>
      <c r="B142" s="782" t="s">
        <v>82</v>
      </c>
      <c r="C142" s="798">
        <f t="shared" si="25"/>
        <v>9092959.6243421789</v>
      </c>
      <c r="D142" s="782"/>
      <c r="E142" s="1149">
        <f>SUMIF('Venture Summary - Mthly'!$E$8:$EG$8,E$9,'Venture Summary - Mthly'!$E145:$EG145)</f>
        <v>0</v>
      </c>
      <c r="F142" s="1149">
        <f>SUMIF('Venture Summary - Mthly'!$E$8:$EG$8,F$9,'Venture Summary - Mthly'!$E145:$EG145)</f>
        <v>9092959.6243421789</v>
      </c>
      <c r="G142" s="1149">
        <f>SUMIF('Venture Summary - Mthly'!$E$8:$EG$8,G$9,'Venture Summary - Mthly'!$E145:$EG145)</f>
        <v>0</v>
      </c>
      <c r="H142" s="1149">
        <f>SUMIF('Venture Summary - Mthly'!$E$8:$EG$8,H$9,'Venture Summary - Mthly'!$E145:$EG145)</f>
        <v>0</v>
      </c>
      <c r="I142" s="1149">
        <f>SUMIF('Venture Summary - Mthly'!$E$8:$EG$8,I$9,'Venture Summary - Mthly'!$E145:$EG145)</f>
        <v>0</v>
      </c>
      <c r="J142" s="1149">
        <f>SUMIF('Venture Summary - Mthly'!$E$8:$EG$8,J$9,'Venture Summary - Mthly'!$E145:$EG145)</f>
        <v>0</v>
      </c>
      <c r="K142" s="1149">
        <f>SUMIF('Venture Summary - Mthly'!$E$8:$EG$8,K$9,'Venture Summary - Mthly'!$E145:$EG145)</f>
        <v>0</v>
      </c>
      <c r="L142" s="1149">
        <f>SUMIF('Venture Summary - Mthly'!$E$8:$EG$8,L$9,'Venture Summary - Mthly'!$E145:$EG145)</f>
        <v>0</v>
      </c>
      <c r="M142" s="1149">
        <f>SUMIF('Venture Summary - Mthly'!$E$8:$EG$8,M$9,'Venture Summary - Mthly'!$E145:$EG145)</f>
        <v>0</v>
      </c>
      <c r="N142" s="1149">
        <f>SUMIF('Venture Summary - Mthly'!$E$8:$EG$8,N$9,'Venture Summary - Mthly'!$E145:$EG145)</f>
        <v>0</v>
      </c>
      <c r="O142" s="1149">
        <f>SUMIF('Venture Summary - Mthly'!$E$8:$EG$8,O$9,'Venture Summary - Mthly'!$E145:$EG145)</f>
        <v>0</v>
      </c>
      <c r="P142" s="1149">
        <f>SUMIF('Venture Summary - Mthly'!$E$8:$EG$8,P$9,'Venture Summary - Mthly'!$E145:$EG145)</f>
        <v>0</v>
      </c>
      <c r="Q142" s="1149">
        <f>SUMIF('Venture Summary - Mthly'!$E$8:$EG$8,Q$9,'Venture Summary - Mthly'!$E145:$EG145)</f>
        <v>0</v>
      </c>
      <c r="R142" s="1149">
        <f>SUMIF('Venture Summary - Mthly'!$E$8:$EG$8,R$9,'Venture Summary - Mthly'!$E145:$EG145)</f>
        <v>0</v>
      </c>
      <c r="S142" s="1149">
        <f>SUMIF('Venture Summary - Mthly'!$E$8:$EG$8,S$9,'Venture Summary - Mthly'!$E145:$EG145)</f>
        <v>0</v>
      </c>
      <c r="T142" s="1149">
        <f>SUMIF('Venture Summary - Mthly'!$E$8:$EG$8,T$9,'Venture Summary - Mthly'!$E145:$EG145)</f>
        <v>0</v>
      </c>
      <c r="U142" s="1149">
        <f>SUMIF('Venture Summary - Mthly'!$E$8:$EG$8,U$9,'Venture Summary - Mthly'!$E145:$EG145)</f>
        <v>0</v>
      </c>
      <c r="V142" s="1149">
        <f>SUMIF('Venture Summary - Mthly'!$E$8:$EG$8,V$9,'Venture Summary - Mthly'!$E145:$EG145)</f>
        <v>0</v>
      </c>
      <c r="W142" s="1149">
        <f>SUMIF('Venture Summary - Mthly'!$E$8:$EG$8,W$9,'Venture Summary - Mthly'!$E145:$EG145)</f>
        <v>0</v>
      </c>
      <c r="X142" s="1149">
        <f>SUMIF('Venture Summary - Mthly'!$E$8:$EG$8,X$9,'Venture Summary - Mthly'!$E145:$EG145)</f>
        <v>0</v>
      </c>
      <c r="Y142" s="1149">
        <f>SUMIF('Venture Summary - Mthly'!$E$8:$EG$8,Y$9,'Venture Summary - Mthly'!$E145:$EG145)</f>
        <v>0</v>
      </c>
      <c r="Z142" s="1149">
        <f>SUMIF('Venture Summary - Mthly'!$E$8:$EG$8,Z$9,'Venture Summary - Mthly'!$E145:$EG145)</f>
        <v>0</v>
      </c>
      <c r="AA142" s="1149">
        <f>SUMIF('Venture Summary - Mthly'!$E$8:$EG$8,AA$9,'Venture Summary - Mthly'!$E145:$EG145)</f>
        <v>0</v>
      </c>
      <c r="AB142" s="1149">
        <f>SUMIF('Venture Summary - Mthly'!$E$8:$EG$8,AB$9,'Venture Summary - Mthly'!$E145:$EG145)</f>
        <v>0</v>
      </c>
      <c r="AC142" s="1149">
        <f>SUMIF('Venture Summary - Mthly'!$E$8:$EG$8,AC$9,'Venture Summary - Mthly'!$E145:$EG145)</f>
        <v>0</v>
      </c>
      <c r="AD142" s="1149">
        <f>SUMIF('Venture Summary - Mthly'!$E$8:$EG$8,AD$9,'Venture Summary - Mthly'!$E145:$EG145)</f>
        <v>0</v>
      </c>
      <c r="AE142" s="1149">
        <f>SUMIF('Venture Summary - Mthly'!$E$8:$EG$8,AE$9,'Venture Summary - Mthly'!$E145:$EG145)</f>
        <v>0</v>
      </c>
      <c r="AF142" s="1149">
        <f>SUMIF('Venture Summary - Mthly'!$E$8:$EG$8,AF$9,'Venture Summary - Mthly'!$E145:$EG145)</f>
        <v>0</v>
      </c>
      <c r="AG142" s="1149">
        <f>SUMIF('Venture Summary - Mthly'!$E$8:$EG$8,AG$9,'Venture Summary - Mthly'!$E145:$EG145)</f>
        <v>0</v>
      </c>
      <c r="AH142" s="1149">
        <f>SUMIF('Venture Summary - Mthly'!$E$8:$EG$8,AH$9,'Venture Summary - Mthly'!$E145:$EG145)</f>
        <v>0</v>
      </c>
      <c r="AI142" s="1149">
        <f>SUMIF('Venture Summary - Mthly'!$E$8:$EG$8,AI$9,'Venture Summary - Mthly'!$E145:$EG145)</f>
        <v>0</v>
      </c>
      <c r="AJ142" s="1149">
        <f>SUMIF('Venture Summary - Mthly'!$E$8:$EG$8,AJ$9,'Venture Summary - Mthly'!$E145:$EG145)</f>
        <v>0</v>
      </c>
      <c r="AK142" s="1149">
        <f>SUMIF('Venture Summary - Mthly'!$E$8:$EG$8,AK$9,'Venture Summary - Mthly'!$E145:$EG145)</f>
        <v>0</v>
      </c>
      <c r="AL142" s="1149">
        <f>SUMIF('Venture Summary - Mthly'!$E$8:$EG$8,AL$9,'Venture Summary - Mthly'!$E145:$EG145)</f>
        <v>0</v>
      </c>
      <c r="AM142" s="1149">
        <f>SUMIF('Venture Summary - Mthly'!$E$8:$EG$8,AM$9,'Venture Summary - Mthly'!$E145:$EG145)</f>
        <v>0</v>
      </c>
      <c r="AN142" s="1149">
        <f>SUMIF('Venture Summary - Mthly'!$E$8:$EG$8,AN$9,'Venture Summary - Mthly'!$E145:$EG145)</f>
        <v>0</v>
      </c>
      <c r="AO142" s="1149">
        <f>SUMIF('Venture Summary - Mthly'!$E$8:$EG$8,AO$9,'Venture Summary - Mthly'!$E145:$EG145)</f>
        <v>0</v>
      </c>
      <c r="AP142" s="1149">
        <f>SUMIF('Venture Summary - Mthly'!$E$8:$EG$8,AP$9,'Venture Summary - Mthly'!$E145:$EG145)</f>
        <v>0</v>
      </c>
      <c r="AQ142" s="1149">
        <f>SUMIF('Venture Summary - Mthly'!$E$8:$EG$8,AQ$9,'Venture Summary - Mthly'!$E145:$EG145)</f>
        <v>0</v>
      </c>
      <c r="AR142" s="1149">
        <f>SUMIF('Venture Summary - Mthly'!$E$8:$EG$8,AR$9,'Venture Summary - Mthly'!$E145:$EG145)</f>
        <v>0</v>
      </c>
      <c r="AS142" s="1149">
        <f>SUMIF('Venture Summary - Mthly'!$E$8:$EG$8,AS$9,'Venture Summary - Mthly'!$E145:$EG145)</f>
        <v>0</v>
      </c>
      <c r="AT142" s="1149">
        <f>SUMIF('Venture Summary - Mthly'!$E$8:$EG$8,AT$9,'Venture Summary - Mthly'!$E145:$EG145)</f>
        <v>0</v>
      </c>
      <c r="AU142" s="1149">
        <f>SUMIF('Venture Summary - Mthly'!$E$8:$EG$8,AU$9,'Venture Summary - Mthly'!$E145:$EG145)</f>
        <v>0</v>
      </c>
      <c r="AV142" s="1149">
        <f>SUMIF('Venture Summary - Mthly'!$E$8:$EG$8,AV$9,'Venture Summary - Mthly'!$E145:$EG145)</f>
        <v>0</v>
      </c>
      <c r="AW142" s="1149">
        <f>SUMIF('Venture Summary - Mthly'!$E$8:$EG$8,AW$9,'Venture Summary - Mthly'!$E145:$EG145)</f>
        <v>0</v>
      </c>
      <c r="AX142" s="1149"/>
    </row>
    <row r="143" spans="1:50" ht="12.75" customHeight="1" x14ac:dyDescent="0.3">
      <c r="A143" s="782"/>
      <c r="B143" s="782" t="s">
        <v>83</v>
      </c>
      <c r="C143" s="798">
        <f t="shared" si="25"/>
        <v>896583.45041148621</v>
      </c>
      <c r="D143" s="782"/>
      <c r="E143" s="798">
        <f>SUMIF('Venture Summary - Mthly'!$E$8:$EG$8,E$9,'Venture Summary - Mthly'!$E146:$EG146)</f>
        <v>821583.45041148621</v>
      </c>
      <c r="F143" s="798">
        <f>SUMIF('Venture Summary - Mthly'!$E$8:$EG$8,F$9,'Venture Summary - Mthly'!$E146:$EG146)</f>
        <v>9000</v>
      </c>
      <c r="G143" s="798">
        <f>SUMIF('Venture Summary - Mthly'!$E$8:$EG$8,G$9,'Venture Summary - Mthly'!$E146:$EG146)</f>
        <v>9000</v>
      </c>
      <c r="H143" s="798">
        <f>SUMIF('Venture Summary - Mthly'!$E$8:$EG$8,H$9,'Venture Summary - Mthly'!$E146:$EG146)</f>
        <v>9000</v>
      </c>
      <c r="I143" s="798">
        <f>SUMIF('Venture Summary - Mthly'!$E$8:$EG$8,I$9,'Venture Summary - Mthly'!$E146:$EG146)</f>
        <v>9000</v>
      </c>
      <c r="J143" s="798">
        <f>SUMIF('Venture Summary - Mthly'!$E$8:$EG$8,J$9,'Venture Summary - Mthly'!$E146:$EG146)</f>
        <v>9000</v>
      </c>
      <c r="K143" s="798">
        <f>SUMIF('Venture Summary - Mthly'!$E$8:$EG$8,K$9,'Venture Summary - Mthly'!$E146:$EG146)</f>
        <v>9000</v>
      </c>
      <c r="L143" s="798">
        <f>SUMIF('Venture Summary - Mthly'!$E$8:$EG$8,L$9,'Venture Summary - Mthly'!$E146:$EG146)</f>
        <v>9000</v>
      </c>
      <c r="M143" s="798">
        <f>SUMIF('Venture Summary - Mthly'!$E$8:$EG$8,M$9,'Venture Summary - Mthly'!$E146:$EG146)</f>
        <v>9000</v>
      </c>
      <c r="N143" s="798">
        <f>SUMIF('Venture Summary - Mthly'!$E$8:$EG$8,N$9,'Venture Summary - Mthly'!$E146:$EG146)</f>
        <v>3000</v>
      </c>
      <c r="O143" s="798">
        <f>SUMIF('Venture Summary - Mthly'!$E$8:$EG$8,O$9,'Venture Summary - Mthly'!$E146:$EG146)</f>
        <v>0</v>
      </c>
      <c r="P143" s="798">
        <f>SUMIF('Venture Summary - Mthly'!$E$8:$EG$8,P$9,'Venture Summary - Mthly'!$E146:$EG146)</f>
        <v>0</v>
      </c>
      <c r="Q143" s="798">
        <f>SUMIF('Venture Summary - Mthly'!$E$8:$EG$8,Q$9,'Venture Summary - Mthly'!$E146:$EG146)</f>
        <v>0</v>
      </c>
      <c r="R143" s="798">
        <f>SUMIF('Venture Summary - Mthly'!$E$8:$EG$8,R$9,'Venture Summary - Mthly'!$E146:$EG146)</f>
        <v>0</v>
      </c>
      <c r="S143" s="798">
        <f>SUMIF('Venture Summary - Mthly'!$E$8:$EG$8,S$9,'Venture Summary - Mthly'!$E146:$EG146)</f>
        <v>0</v>
      </c>
      <c r="T143" s="798">
        <f>SUMIF('Venture Summary - Mthly'!$E$8:$EG$8,T$9,'Venture Summary - Mthly'!$E146:$EG146)</f>
        <v>0</v>
      </c>
      <c r="U143" s="798">
        <f>SUMIF('Venture Summary - Mthly'!$E$8:$EG$8,U$9,'Venture Summary - Mthly'!$E146:$EG146)</f>
        <v>0</v>
      </c>
      <c r="V143" s="798">
        <f>SUMIF('Venture Summary - Mthly'!$E$8:$EG$8,V$9,'Venture Summary - Mthly'!$E146:$EG146)</f>
        <v>0</v>
      </c>
      <c r="W143" s="798">
        <f>SUMIF('Venture Summary - Mthly'!$E$8:$EG$8,W$9,'Venture Summary - Mthly'!$E146:$EG146)</f>
        <v>0</v>
      </c>
      <c r="X143" s="798">
        <f>SUMIF('Venture Summary - Mthly'!$E$8:$EG$8,X$9,'Venture Summary - Mthly'!$E146:$EG146)</f>
        <v>0</v>
      </c>
      <c r="Y143" s="798">
        <f>SUMIF('Venture Summary - Mthly'!$E$8:$EG$8,Y$9,'Venture Summary - Mthly'!$E146:$EG146)</f>
        <v>0</v>
      </c>
      <c r="Z143" s="798">
        <f>SUMIF('Venture Summary - Mthly'!$E$8:$EG$8,Z$9,'Venture Summary - Mthly'!$E146:$EG146)</f>
        <v>0</v>
      </c>
      <c r="AA143" s="798">
        <f>SUMIF('Venture Summary - Mthly'!$E$8:$EG$8,AA$9,'Venture Summary - Mthly'!$E146:$EG146)</f>
        <v>0</v>
      </c>
      <c r="AB143" s="798">
        <f>SUMIF('Venture Summary - Mthly'!$E$8:$EG$8,AB$9,'Venture Summary - Mthly'!$E146:$EG146)</f>
        <v>0</v>
      </c>
      <c r="AC143" s="798">
        <f>SUMIF('Venture Summary - Mthly'!$E$8:$EG$8,AC$9,'Venture Summary - Mthly'!$E146:$EG146)</f>
        <v>0</v>
      </c>
      <c r="AD143" s="798">
        <f>SUMIF('Venture Summary - Mthly'!$E$8:$EG$8,AD$9,'Venture Summary - Mthly'!$E146:$EG146)</f>
        <v>0</v>
      </c>
      <c r="AE143" s="798">
        <f>SUMIF('Venture Summary - Mthly'!$E$8:$EG$8,AE$9,'Venture Summary - Mthly'!$E146:$EG146)</f>
        <v>0</v>
      </c>
      <c r="AF143" s="798">
        <f>SUMIF('Venture Summary - Mthly'!$E$8:$EG$8,AF$9,'Venture Summary - Mthly'!$E146:$EG146)</f>
        <v>0</v>
      </c>
      <c r="AG143" s="798">
        <f>SUMIF('Venture Summary - Mthly'!$E$8:$EG$8,AG$9,'Venture Summary - Mthly'!$E146:$EG146)</f>
        <v>0</v>
      </c>
      <c r="AH143" s="798">
        <f>SUMIF('Venture Summary - Mthly'!$E$8:$EG$8,AH$9,'Venture Summary - Mthly'!$E146:$EG146)</f>
        <v>0</v>
      </c>
      <c r="AI143" s="798">
        <f>SUMIF('Venture Summary - Mthly'!$E$8:$EG$8,AI$9,'Venture Summary - Mthly'!$E146:$EG146)</f>
        <v>0</v>
      </c>
      <c r="AJ143" s="798">
        <f>SUMIF('Venture Summary - Mthly'!$E$8:$EG$8,AJ$9,'Venture Summary - Mthly'!$E146:$EG146)</f>
        <v>0</v>
      </c>
      <c r="AK143" s="798">
        <f>SUMIF('Venture Summary - Mthly'!$E$8:$EG$8,AK$9,'Venture Summary - Mthly'!$E146:$EG146)</f>
        <v>0</v>
      </c>
      <c r="AL143" s="798">
        <f>SUMIF('Venture Summary - Mthly'!$E$8:$EG$8,AL$9,'Venture Summary - Mthly'!$E146:$EG146)</f>
        <v>0</v>
      </c>
      <c r="AM143" s="798">
        <f>SUMIF('Venture Summary - Mthly'!$E$8:$EG$8,AM$9,'Venture Summary - Mthly'!$E146:$EG146)</f>
        <v>0</v>
      </c>
      <c r="AN143" s="798">
        <f>SUMIF('Venture Summary - Mthly'!$E$8:$EG$8,AN$9,'Venture Summary - Mthly'!$E146:$EG146)</f>
        <v>0</v>
      </c>
      <c r="AO143" s="798">
        <f>SUMIF('Venture Summary - Mthly'!$E$8:$EG$8,AO$9,'Venture Summary - Mthly'!$E146:$EG146)</f>
        <v>0</v>
      </c>
      <c r="AP143" s="798">
        <f>SUMIF('Venture Summary - Mthly'!$E$8:$EG$8,AP$9,'Venture Summary - Mthly'!$E146:$EG146)</f>
        <v>0</v>
      </c>
      <c r="AQ143" s="798">
        <f>SUMIF('Venture Summary - Mthly'!$E$8:$EG$8,AQ$9,'Venture Summary - Mthly'!$E146:$EG146)</f>
        <v>0</v>
      </c>
      <c r="AR143" s="798">
        <f>SUMIF('Venture Summary - Mthly'!$E$8:$EG$8,AR$9,'Venture Summary - Mthly'!$E146:$EG146)</f>
        <v>0</v>
      </c>
      <c r="AS143" s="798">
        <f>SUMIF('Venture Summary - Mthly'!$E$8:$EG$8,AS$9,'Venture Summary - Mthly'!$E146:$EG146)</f>
        <v>0</v>
      </c>
      <c r="AT143" s="798">
        <f>SUMIF('Venture Summary - Mthly'!$E$8:$EG$8,AT$9,'Venture Summary - Mthly'!$E146:$EG146)</f>
        <v>0</v>
      </c>
      <c r="AU143" s="798">
        <f>SUMIF('Venture Summary - Mthly'!$E$8:$EG$8,AU$9,'Venture Summary - Mthly'!$E146:$EG146)</f>
        <v>0</v>
      </c>
      <c r="AV143" s="798">
        <f>SUMIF('Venture Summary - Mthly'!$E$8:$EG$8,AV$9,'Venture Summary - Mthly'!$E146:$EG146)</f>
        <v>0</v>
      </c>
      <c r="AW143" s="798">
        <f>SUMIF('Venture Summary - Mthly'!$E$8:$EG$8,AW$9,'Venture Summary - Mthly'!$E146:$EG146)</f>
        <v>0</v>
      </c>
      <c r="AX143" s="798"/>
    </row>
    <row r="144" spans="1:50" ht="12.75" customHeight="1" x14ac:dyDescent="0.3">
      <c r="A144" s="782"/>
      <c r="B144" s="782" t="s">
        <v>84</v>
      </c>
      <c r="C144" s="798">
        <f t="shared" si="25"/>
        <v>1086262.1410115552</v>
      </c>
      <c r="D144" s="782"/>
      <c r="E144" s="798">
        <f>SUMIF('Venture Summary - Mthly'!$E$8:$EG$8,E$9,'Venture Summary - Mthly'!$E147:$EG147)</f>
        <v>0</v>
      </c>
      <c r="F144" s="798">
        <f>SUMIF('Venture Summary - Mthly'!$E$8:$EG$8,F$9,'Venture Summary - Mthly'!$E147:$EG147)</f>
        <v>0</v>
      </c>
      <c r="G144" s="798">
        <f>SUMIF('Venture Summary - Mthly'!$E$8:$EG$8,G$9,'Venture Summary - Mthly'!$E147:$EG147)</f>
        <v>0</v>
      </c>
      <c r="H144" s="798">
        <f>SUMIF('Venture Summary - Mthly'!$E$8:$EG$8,H$9,'Venture Summary - Mthly'!$E147:$EG147)</f>
        <v>0</v>
      </c>
      <c r="I144" s="798">
        <f>SUMIF('Venture Summary - Mthly'!$E$8:$EG$8,I$9,'Venture Summary - Mthly'!$E147:$EG147)</f>
        <v>40131.847345416674</v>
      </c>
      <c r="J144" s="798">
        <f>SUMIF('Venture Summary - Mthly'!$E$8:$EG$8,J$9,'Venture Summary - Mthly'!$E147:$EG147)</f>
        <v>222969.23460500001</v>
      </c>
      <c r="K144" s="798">
        <f>SUMIF('Venture Summary - Mthly'!$E$8:$EG$8,K$9,'Venture Summary - Mthly'!$E147:$EG147)</f>
        <v>400657.47015125002</v>
      </c>
      <c r="L144" s="798">
        <f>SUMIF('Venture Summary - Mthly'!$E$8:$EG$8,L$9,'Venture Summary - Mthly'!$E147:$EG147)</f>
        <v>369193.42356434313</v>
      </c>
      <c r="M144" s="798">
        <f>SUMIF('Venture Summary - Mthly'!$E$8:$EG$8,M$9,'Venture Summary - Mthly'!$E147:$EG147)</f>
        <v>53310.165345545422</v>
      </c>
      <c r="N144" s="798">
        <f>SUMIF('Venture Summary - Mthly'!$E$8:$EG$8,N$9,'Venture Summary - Mthly'!$E147:$EG147)</f>
        <v>0</v>
      </c>
      <c r="O144" s="798">
        <f>SUMIF('Venture Summary - Mthly'!$E$8:$EG$8,O$9,'Venture Summary - Mthly'!$E147:$EG147)</f>
        <v>0</v>
      </c>
      <c r="P144" s="798">
        <f>SUMIF('Venture Summary - Mthly'!$E$8:$EG$8,P$9,'Venture Summary - Mthly'!$E147:$EG147)</f>
        <v>0</v>
      </c>
      <c r="Q144" s="798">
        <f>SUMIF('Venture Summary - Mthly'!$E$8:$EG$8,Q$9,'Venture Summary - Mthly'!$E147:$EG147)</f>
        <v>0</v>
      </c>
      <c r="R144" s="798">
        <f>SUMIF('Venture Summary - Mthly'!$E$8:$EG$8,R$9,'Venture Summary - Mthly'!$E147:$EG147)</f>
        <v>0</v>
      </c>
      <c r="S144" s="798">
        <f>SUMIF('Venture Summary - Mthly'!$E$8:$EG$8,S$9,'Venture Summary - Mthly'!$E147:$EG147)</f>
        <v>0</v>
      </c>
      <c r="T144" s="798">
        <f>SUMIF('Venture Summary - Mthly'!$E$8:$EG$8,T$9,'Venture Summary - Mthly'!$E147:$EG147)</f>
        <v>0</v>
      </c>
      <c r="U144" s="798">
        <f>SUMIF('Venture Summary - Mthly'!$E$8:$EG$8,U$9,'Venture Summary - Mthly'!$E147:$EG147)</f>
        <v>0</v>
      </c>
      <c r="V144" s="798">
        <f>SUMIF('Venture Summary - Mthly'!$E$8:$EG$8,V$9,'Venture Summary - Mthly'!$E147:$EG147)</f>
        <v>0</v>
      </c>
      <c r="W144" s="798">
        <f>SUMIF('Venture Summary - Mthly'!$E$8:$EG$8,W$9,'Venture Summary - Mthly'!$E147:$EG147)</f>
        <v>0</v>
      </c>
      <c r="X144" s="798">
        <f>SUMIF('Venture Summary - Mthly'!$E$8:$EG$8,X$9,'Venture Summary - Mthly'!$E147:$EG147)</f>
        <v>0</v>
      </c>
      <c r="Y144" s="798">
        <f>SUMIF('Venture Summary - Mthly'!$E$8:$EG$8,Y$9,'Venture Summary - Mthly'!$E147:$EG147)</f>
        <v>0</v>
      </c>
      <c r="Z144" s="798">
        <f>SUMIF('Venture Summary - Mthly'!$E$8:$EG$8,Z$9,'Venture Summary - Mthly'!$E147:$EG147)</f>
        <v>0</v>
      </c>
      <c r="AA144" s="798">
        <f>SUMIF('Venture Summary - Mthly'!$E$8:$EG$8,AA$9,'Venture Summary - Mthly'!$E147:$EG147)</f>
        <v>0</v>
      </c>
      <c r="AB144" s="798">
        <f>SUMIF('Venture Summary - Mthly'!$E$8:$EG$8,AB$9,'Venture Summary - Mthly'!$E147:$EG147)</f>
        <v>0</v>
      </c>
      <c r="AC144" s="798">
        <f>SUMIF('Venture Summary - Mthly'!$E$8:$EG$8,AC$9,'Venture Summary - Mthly'!$E147:$EG147)</f>
        <v>0</v>
      </c>
      <c r="AD144" s="798">
        <f>SUMIF('Venture Summary - Mthly'!$E$8:$EG$8,AD$9,'Venture Summary - Mthly'!$E147:$EG147)</f>
        <v>0</v>
      </c>
      <c r="AE144" s="798">
        <f>SUMIF('Venture Summary - Mthly'!$E$8:$EG$8,AE$9,'Venture Summary - Mthly'!$E147:$EG147)</f>
        <v>0</v>
      </c>
      <c r="AF144" s="798">
        <f>SUMIF('Venture Summary - Mthly'!$E$8:$EG$8,AF$9,'Venture Summary - Mthly'!$E147:$EG147)</f>
        <v>0</v>
      </c>
      <c r="AG144" s="798">
        <f>SUMIF('Venture Summary - Mthly'!$E$8:$EG$8,AG$9,'Venture Summary - Mthly'!$E147:$EG147)</f>
        <v>0</v>
      </c>
      <c r="AH144" s="798">
        <f>SUMIF('Venture Summary - Mthly'!$E$8:$EG$8,AH$9,'Venture Summary - Mthly'!$E147:$EG147)</f>
        <v>0</v>
      </c>
      <c r="AI144" s="798">
        <f>SUMIF('Venture Summary - Mthly'!$E$8:$EG$8,AI$9,'Venture Summary - Mthly'!$E147:$EG147)</f>
        <v>0</v>
      </c>
      <c r="AJ144" s="798">
        <f>SUMIF('Venture Summary - Mthly'!$E$8:$EG$8,AJ$9,'Venture Summary - Mthly'!$E147:$EG147)</f>
        <v>0</v>
      </c>
      <c r="AK144" s="798">
        <f>SUMIF('Venture Summary - Mthly'!$E$8:$EG$8,AK$9,'Venture Summary - Mthly'!$E147:$EG147)</f>
        <v>0</v>
      </c>
      <c r="AL144" s="798">
        <f>SUMIF('Venture Summary - Mthly'!$E$8:$EG$8,AL$9,'Venture Summary - Mthly'!$E147:$EG147)</f>
        <v>0</v>
      </c>
      <c r="AM144" s="798">
        <f>SUMIF('Venture Summary - Mthly'!$E$8:$EG$8,AM$9,'Venture Summary - Mthly'!$E147:$EG147)</f>
        <v>0</v>
      </c>
      <c r="AN144" s="798">
        <f>SUMIF('Venture Summary - Mthly'!$E$8:$EG$8,AN$9,'Venture Summary - Mthly'!$E147:$EG147)</f>
        <v>0</v>
      </c>
      <c r="AO144" s="798">
        <f>SUMIF('Venture Summary - Mthly'!$E$8:$EG$8,AO$9,'Venture Summary - Mthly'!$E147:$EG147)</f>
        <v>0</v>
      </c>
      <c r="AP144" s="798">
        <f>SUMIF('Venture Summary - Mthly'!$E$8:$EG$8,AP$9,'Venture Summary - Mthly'!$E147:$EG147)</f>
        <v>0</v>
      </c>
      <c r="AQ144" s="798">
        <f>SUMIF('Venture Summary - Mthly'!$E$8:$EG$8,AQ$9,'Venture Summary - Mthly'!$E147:$EG147)</f>
        <v>0</v>
      </c>
      <c r="AR144" s="798">
        <f>SUMIF('Venture Summary - Mthly'!$E$8:$EG$8,AR$9,'Venture Summary - Mthly'!$E147:$EG147)</f>
        <v>0</v>
      </c>
      <c r="AS144" s="798">
        <f>SUMIF('Venture Summary - Mthly'!$E$8:$EG$8,AS$9,'Venture Summary - Mthly'!$E147:$EG147)</f>
        <v>0</v>
      </c>
      <c r="AT144" s="798">
        <f>SUMIF('Venture Summary - Mthly'!$E$8:$EG$8,AT$9,'Venture Summary - Mthly'!$E147:$EG147)</f>
        <v>0</v>
      </c>
      <c r="AU144" s="798">
        <f>SUMIF('Venture Summary - Mthly'!$E$8:$EG$8,AU$9,'Venture Summary - Mthly'!$E147:$EG147)</f>
        <v>0</v>
      </c>
      <c r="AV144" s="798">
        <f>SUMIF('Venture Summary - Mthly'!$E$8:$EG$8,AV$9,'Venture Summary - Mthly'!$E147:$EG147)</f>
        <v>0</v>
      </c>
      <c r="AW144" s="798">
        <f>SUMIF('Venture Summary - Mthly'!$E$8:$EG$8,AW$9,'Venture Summary - Mthly'!$E147:$EG147)</f>
        <v>0</v>
      </c>
      <c r="AX144" s="798"/>
    </row>
    <row r="145" spans="1:50" ht="12.75" customHeight="1" x14ac:dyDescent="0.3">
      <c r="A145" s="782"/>
      <c r="B145" s="782" t="s">
        <v>85</v>
      </c>
      <c r="C145" s="798">
        <f t="shared" si="25"/>
        <v>329080.53404430853</v>
      </c>
      <c r="D145" s="782"/>
      <c r="E145" s="798">
        <f>SUMIF('Venture Summary - Mthly'!$E$8:$EG$8,E$9,'Venture Summary - Mthly'!$E148:$EG148)</f>
        <v>0</v>
      </c>
      <c r="F145" s="798">
        <f>SUMIF('Venture Summary - Mthly'!$E$8:$EG$8,F$9,'Venture Summary - Mthly'!$E148:$EG148)</f>
        <v>0</v>
      </c>
      <c r="G145" s="798">
        <f>SUMIF('Venture Summary - Mthly'!$E$8:$EG$8,G$9,'Venture Summary - Mthly'!$E148:$EG148)</f>
        <v>0</v>
      </c>
      <c r="H145" s="798">
        <f>SUMIF('Venture Summary - Mthly'!$E$8:$EG$8,H$9,'Venture Summary - Mthly'!$E148:$EG148)</f>
        <v>0</v>
      </c>
      <c r="I145" s="798">
        <f>SUMIF('Venture Summary - Mthly'!$E$8:$EG$8,I$9,'Venture Summary - Mthly'!$E148:$EG148)</f>
        <v>0</v>
      </c>
      <c r="J145" s="798">
        <f>SUMIF('Venture Summary - Mthly'!$E$8:$EG$8,J$9,'Venture Summary - Mthly'!$E148:$EG148)</f>
        <v>161974.56213397888</v>
      </c>
      <c r="K145" s="798">
        <f>SUMIF('Venture Summary - Mthly'!$E$8:$EG$8,K$9,'Venture Summary - Mthly'!$E148:$EG148)</f>
        <v>167105.97191032965</v>
      </c>
      <c r="L145" s="798">
        <f>SUMIF('Venture Summary - Mthly'!$E$8:$EG$8,L$9,'Venture Summary - Mthly'!$E148:$EG148)</f>
        <v>0</v>
      </c>
      <c r="M145" s="798">
        <f>SUMIF('Venture Summary - Mthly'!$E$8:$EG$8,M$9,'Venture Summary - Mthly'!$E148:$EG148)</f>
        <v>0</v>
      </c>
      <c r="N145" s="798">
        <f>SUMIF('Venture Summary - Mthly'!$E$8:$EG$8,N$9,'Venture Summary - Mthly'!$E148:$EG148)</f>
        <v>0</v>
      </c>
      <c r="O145" s="798">
        <f>SUMIF('Venture Summary - Mthly'!$E$8:$EG$8,O$9,'Venture Summary - Mthly'!$E148:$EG148)</f>
        <v>0</v>
      </c>
      <c r="P145" s="798">
        <f>SUMIF('Venture Summary - Mthly'!$E$8:$EG$8,P$9,'Venture Summary - Mthly'!$E148:$EG148)</f>
        <v>0</v>
      </c>
      <c r="Q145" s="798">
        <f>SUMIF('Venture Summary - Mthly'!$E$8:$EG$8,Q$9,'Venture Summary - Mthly'!$E148:$EG148)</f>
        <v>0</v>
      </c>
      <c r="R145" s="798">
        <f>SUMIF('Venture Summary - Mthly'!$E$8:$EG$8,R$9,'Venture Summary - Mthly'!$E148:$EG148)</f>
        <v>0</v>
      </c>
      <c r="S145" s="798">
        <f>SUMIF('Venture Summary - Mthly'!$E$8:$EG$8,S$9,'Venture Summary - Mthly'!$E148:$EG148)</f>
        <v>0</v>
      </c>
      <c r="T145" s="798">
        <f>SUMIF('Venture Summary - Mthly'!$E$8:$EG$8,T$9,'Venture Summary - Mthly'!$E148:$EG148)</f>
        <v>0</v>
      </c>
      <c r="U145" s="798">
        <f>SUMIF('Venture Summary - Mthly'!$E$8:$EG$8,U$9,'Venture Summary - Mthly'!$E148:$EG148)</f>
        <v>0</v>
      </c>
      <c r="V145" s="798">
        <f>SUMIF('Venture Summary - Mthly'!$E$8:$EG$8,V$9,'Venture Summary - Mthly'!$E148:$EG148)</f>
        <v>0</v>
      </c>
      <c r="W145" s="798">
        <f>SUMIF('Venture Summary - Mthly'!$E$8:$EG$8,W$9,'Venture Summary - Mthly'!$E148:$EG148)</f>
        <v>0</v>
      </c>
      <c r="X145" s="798">
        <f>SUMIF('Venture Summary - Mthly'!$E$8:$EG$8,X$9,'Venture Summary - Mthly'!$E148:$EG148)</f>
        <v>0</v>
      </c>
      <c r="Y145" s="798">
        <f>SUMIF('Venture Summary - Mthly'!$E$8:$EG$8,Y$9,'Venture Summary - Mthly'!$E148:$EG148)</f>
        <v>0</v>
      </c>
      <c r="Z145" s="798">
        <f>SUMIF('Venture Summary - Mthly'!$E$8:$EG$8,Z$9,'Venture Summary - Mthly'!$E148:$EG148)</f>
        <v>0</v>
      </c>
      <c r="AA145" s="798">
        <f>SUMIF('Venture Summary - Mthly'!$E$8:$EG$8,AA$9,'Venture Summary - Mthly'!$E148:$EG148)</f>
        <v>0</v>
      </c>
      <c r="AB145" s="798">
        <f>SUMIF('Venture Summary - Mthly'!$E$8:$EG$8,AB$9,'Venture Summary - Mthly'!$E148:$EG148)</f>
        <v>0</v>
      </c>
      <c r="AC145" s="798">
        <f>SUMIF('Venture Summary - Mthly'!$E$8:$EG$8,AC$9,'Venture Summary - Mthly'!$E148:$EG148)</f>
        <v>0</v>
      </c>
      <c r="AD145" s="798">
        <f>SUMIF('Venture Summary - Mthly'!$E$8:$EG$8,AD$9,'Venture Summary - Mthly'!$E148:$EG148)</f>
        <v>0</v>
      </c>
      <c r="AE145" s="798">
        <f>SUMIF('Venture Summary - Mthly'!$E$8:$EG$8,AE$9,'Venture Summary - Mthly'!$E148:$EG148)</f>
        <v>0</v>
      </c>
      <c r="AF145" s="798">
        <f>SUMIF('Venture Summary - Mthly'!$E$8:$EG$8,AF$9,'Venture Summary - Mthly'!$E148:$EG148)</f>
        <v>0</v>
      </c>
      <c r="AG145" s="798">
        <f>SUMIF('Venture Summary - Mthly'!$E$8:$EG$8,AG$9,'Venture Summary - Mthly'!$E148:$EG148)</f>
        <v>0</v>
      </c>
      <c r="AH145" s="798">
        <f>SUMIF('Venture Summary - Mthly'!$E$8:$EG$8,AH$9,'Venture Summary - Mthly'!$E148:$EG148)</f>
        <v>0</v>
      </c>
      <c r="AI145" s="798">
        <f>SUMIF('Venture Summary - Mthly'!$E$8:$EG$8,AI$9,'Venture Summary - Mthly'!$E148:$EG148)</f>
        <v>0</v>
      </c>
      <c r="AJ145" s="798">
        <f>SUMIF('Venture Summary - Mthly'!$E$8:$EG$8,AJ$9,'Venture Summary - Mthly'!$E148:$EG148)</f>
        <v>0</v>
      </c>
      <c r="AK145" s="798">
        <f>SUMIF('Venture Summary - Mthly'!$E$8:$EG$8,AK$9,'Venture Summary - Mthly'!$E148:$EG148)</f>
        <v>0</v>
      </c>
      <c r="AL145" s="798">
        <f>SUMIF('Venture Summary - Mthly'!$E$8:$EG$8,AL$9,'Venture Summary - Mthly'!$E148:$EG148)</f>
        <v>0</v>
      </c>
      <c r="AM145" s="798">
        <f>SUMIF('Venture Summary - Mthly'!$E$8:$EG$8,AM$9,'Venture Summary - Mthly'!$E148:$EG148)</f>
        <v>0</v>
      </c>
      <c r="AN145" s="798">
        <f>SUMIF('Venture Summary - Mthly'!$E$8:$EG$8,AN$9,'Venture Summary - Mthly'!$E148:$EG148)</f>
        <v>0</v>
      </c>
      <c r="AO145" s="798">
        <f>SUMIF('Venture Summary - Mthly'!$E$8:$EG$8,AO$9,'Venture Summary - Mthly'!$E148:$EG148)</f>
        <v>0</v>
      </c>
      <c r="AP145" s="798">
        <f>SUMIF('Venture Summary - Mthly'!$E$8:$EG$8,AP$9,'Venture Summary - Mthly'!$E148:$EG148)</f>
        <v>0</v>
      </c>
      <c r="AQ145" s="798">
        <f>SUMIF('Venture Summary - Mthly'!$E$8:$EG$8,AQ$9,'Venture Summary - Mthly'!$E148:$EG148)</f>
        <v>0</v>
      </c>
      <c r="AR145" s="798">
        <f>SUMIF('Venture Summary - Mthly'!$E$8:$EG$8,AR$9,'Venture Summary - Mthly'!$E148:$EG148)</f>
        <v>0</v>
      </c>
      <c r="AS145" s="798">
        <f>SUMIF('Venture Summary - Mthly'!$E$8:$EG$8,AS$9,'Venture Summary - Mthly'!$E148:$EG148)</f>
        <v>0</v>
      </c>
      <c r="AT145" s="798">
        <f>SUMIF('Venture Summary - Mthly'!$E$8:$EG$8,AT$9,'Venture Summary - Mthly'!$E148:$EG148)</f>
        <v>0</v>
      </c>
      <c r="AU145" s="798">
        <f>SUMIF('Venture Summary - Mthly'!$E$8:$EG$8,AU$9,'Venture Summary - Mthly'!$E148:$EG148)</f>
        <v>0</v>
      </c>
      <c r="AV145" s="798">
        <f>SUMIF('Venture Summary - Mthly'!$E$8:$EG$8,AV$9,'Venture Summary - Mthly'!$E148:$EG148)</f>
        <v>0</v>
      </c>
      <c r="AW145" s="798">
        <f>SUMIF('Venture Summary - Mthly'!$E$8:$EG$8,AW$9,'Venture Summary - Mthly'!$E148:$EG148)</f>
        <v>0</v>
      </c>
      <c r="AX145" s="798"/>
    </row>
    <row r="146" spans="1:50" ht="12.75" customHeight="1" x14ac:dyDescent="0.3">
      <c r="A146" s="782"/>
      <c r="B146" s="781" t="s">
        <v>86</v>
      </c>
      <c r="C146" s="799">
        <f t="shared" si="25"/>
        <v>2658062.4746991722</v>
      </c>
      <c r="D146" s="781"/>
      <c r="E146" s="799">
        <f>SUMIF('Venture Summary - Mthly'!$E$8:$EG$8,E$9,'Venture Summary - Mthly'!$E149:$EG149)</f>
        <v>0</v>
      </c>
      <c r="F146" s="799">
        <f>SUMIF('Venture Summary - Mthly'!$E$8:$EG$8,F$9,'Venture Summary - Mthly'!$E149:$EG149)</f>
        <v>318967.49696390069</v>
      </c>
      <c r="G146" s="799">
        <f>SUMIF('Venture Summary - Mthly'!$E$8:$EG$8,G$9,'Venture Summary - Mthly'!$E149:$EG149)</f>
        <v>318967.49696390069</v>
      </c>
      <c r="H146" s="799">
        <f>SUMIF('Venture Summary - Mthly'!$E$8:$EG$8,H$9,'Venture Summary - Mthly'!$E149:$EG149)</f>
        <v>318967.49696390069</v>
      </c>
      <c r="I146" s="799">
        <f>SUMIF('Venture Summary - Mthly'!$E$8:$EG$8,I$9,'Venture Summary - Mthly'!$E149:$EG149)</f>
        <v>318967.49696390069</v>
      </c>
      <c r="J146" s="799">
        <f>SUMIF('Venture Summary - Mthly'!$E$8:$EG$8,J$9,'Venture Summary - Mthly'!$E149:$EG149)</f>
        <v>318967.49696390069</v>
      </c>
      <c r="K146" s="799">
        <f>SUMIF('Venture Summary - Mthly'!$E$8:$EG$8,K$9,'Venture Summary - Mthly'!$E149:$EG149)</f>
        <v>318967.49696390069</v>
      </c>
      <c r="L146" s="799">
        <f>SUMIF('Venture Summary - Mthly'!$E$8:$EG$8,L$9,'Venture Summary - Mthly'!$E149:$EG149)</f>
        <v>318967.49696390069</v>
      </c>
      <c r="M146" s="799">
        <f>SUMIF('Venture Summary - Mthly'!$E$8:$EG$8,M$9,'Venture Summary - Mthly'!$E149:$EG149)</f>
        <v>318967.49696390069</v>
      </c>
      <c r="N146" s="799">
        <f>SUMIF('Venture Summary - Mthly'!$E$8:$EG$8,N$9,'Venture Summary - Mthly'!$E149:$EG149)</f>
        <v>106322.4989879669</v>
      </c>
      <c r="O146" s="799">
        <f>SUMIF('Venture Summary - Mthly'!$E$8:$EG$8,O$9,'Venture Summary - Mthly'!$E149:$EG149)</f>
        <v>0</v>
      </c>
      <c r="P146" s="799">
        <f>SUMIF('Venture Summary - Mthly'!$E$8:$EG$8,P$9,'Venture Summary - Mthly'!$E149:$EG149)</f>
        <v>0</v>
      </c>
      <c r="Q146" s="799">
        <f>SUMIF('Venture Summary - Mthly'!$E$8:$EG$8,Q$9,'Venture Summary - Mthly'!$E149:$EG149)</f>
        <v>0</v>
      </c>
      <c r="R146" s="799">
        <f>SUMIF('Venture Summary - Mthly'!$E$8:$EG$8,R$9,'Venture Summary - Mthly'!$E149:$EG149)</f>
        <v>0</v>
      </c>
      <c r="S146" s="799">
        <f>SUMIF('Venture Summary - Mthly'!$E$8:$EG$8,S$9,'Venture Summary - Mthly'!$E149:$EG149)</f>
        <v>0</v>
      </c>
      <c r="T146" s="799">
        <f>SUMIF('Venture Summary - Mthly'!$E$8:$EG$8,T$9,'Venture Summary - Mthly'!$E149:$EG149)</f>
        <v>0</v>
      </c>
      <c r="U146" s="799">
        <f>SUMIF('Venture Summary - Mthly'!$E$8:$EG$8,U$9,'Venture Summary - Mthly'!$E149:$EG149)</f>
        <v>0</v>
      </c>
      <c r="V146" s="799">
        <f>SUMIF('Venture Summary - Mthly'!$E$8:$EG$8,V$9,'Venture Summary - Mthly'!$E149:$EG149)</f>
        <v>0</v>
      </c>
      <c r="W146" s="799">
        <f>SUMIF('Venture Summary - Mthly'!$E$8:$EG$8,W$9,'Venture Summary - Mthly'!$E149:$EG149)</f>
        <v>0</v>
      </c>
      <c r="X146" s="799">
        <f>SUMIF('Venture Summary - Mthly'!$E$8:$EG$8,X$9,'Venture Summary - Mthly'!$E149:$EG149)</f>
        <v>0</v>
      </c>
      <c r="Y146" s="799">
        <f>SUMIF('Venture Summary - Mthly'!$E$8:$EG$8,Y$9,'Venture Summary - Mthly'!$E149:$EG149)</f>
        <v>0</v>
      </c>
      <c r="Z146" s="799">
        <f>SUMIF('Venture Summary - Mthly'!$E$8:$EG$8,Z$9,'Venture Summary - Mthly'!$E149:$EG149)</f>
        <v>0</v>
      </c>
      <c r="AA146" s="799">
        <f>SUMIF('Venture Summary - Mthly'!$E$8:$EG$8,AA$9,'Venture Summary - Mthly'!$E149:$EG149)</f>
        <v>0</v>
      </c>
      <c r="AB146" s="799">
        <f>SUMIF('Venture Summary - Mthly'!$E$8:$EG$8,AB$9,'Venture Summary - Mthly'!$E149:$EG149)</f>
        <v>0</v>
      </c>
      <c r="AC146" s="799">
        <f>SUMIF('Venture Summary - Mthly'!$E$8:$EG$8,AC$9,'Venture Summary - Mthly'!$E149:$EG149)</f>
        <v>0</v>
      </c>
      <c r="AD146" s="799">
        <f>SUMIF('Venture Summary - Mthly'!$E$8:$EG$8,AD$9,'Venture Summary - Mthly'!$E149:$EG149)</f>
        <v>0</v>
      </c>
      <c r="AE146" s="799">
        <f>SUMIF('Venture Summary - Mthly'!$E$8:$EG$8,AE$9,'Venture Summary - Mthly'!$E149:$EG149)</f>
        <v>0</v>
      </c>
      <c r="AF146" s="799">
        <f>SUMIF('Venture Summary - Mthly'!$E$8:$EG$8,AF$9,'Venture Summary - Mthly'!$E149:$EG149)</f>
        <v>0</v>
      </c>
      <c r="AG146" s="799">
        <f>SUMIF('Venture Summary - Mthly'!$E$8:$EG$8,AG$9,'Venture Summary - Mthly'!$E149:$EG149)</f>
        <v>0</v>
      </c>
      <c r="AH146" s="799">
        <f>SUMIF('Venture Summary - Mthly'!$E$8:$EG$8,AH$9,'Venture Summary - Mthly'!$E149:$EG149)</f>
        <v>0</v>
      </c>
      <c r="AI146" s="799">
        <f>SUMIF('Venture Summary - Mthly'!$E$8:$EG$8,AI$9,'Venture Summary - Mthly'!$E149:$EG149)</f>
        <v>0</v>
      </c>
      <c r="AJ146" s="799">
        <f>SUMIF('Venture Summary - Mthly'!$E$8:$EG$8,AJ$9,'Venture Summary - Mthly'!$E149:$EG149)</f>
        <v>0</v>
      </c>
      <c r="AK146" s="799">
        <f>SUMIF('Venture Summary - Mthly'!$E$8:$EG$8,AK$9,'Venture Summary - Mthly'!$E149:$EG149)</f>
        <v>0</v>
      </c>
      <c r="AL146" s="799">
        <f>SUMIF('Venture Summary - Mthly'!$E$8:$EG$8,AL$9,'Venture Summary - Mthly'!$E149:$EG149)</f>
        <v>0</v>
      </c>
      <c r="AM146" s="799">
        <f>SUMIF('Venture Summary - Mthly'!$E$8:$EG$8,AM$9,'Venture Summary - Mthly'!$E149:$EG149)</f>
        <v>0</v>
      </c>
      <c r="AN146" s="799">
        <f>SUMIF('Venture Summary - Mthly'!$E$8:$EG$8,AN$9,'Venture Summary - Mthly'!$E149:$EG149)</f>
        <v>0</v>
      </c>
      <c r="AO146" s="799">
        <f>SUMIF('Venture Summary - Mthly'!$E$8:$EG$8,AO$9,'Venture Summary - Mthly'!$E149:$EG149)</f>
        <v>0</v>
      </c>
      <c r="AP146" s="799">
        <f>SUMIF('Venture Summary - Mthly'!$E$8:$EG$8,AP$9,'Venture Summary - Mthly'!$E149:$EG149)</f>
        <v>0</v>
      </c>
      <c r="AQ146" s="799">
        <f>SUMIF('Venture Summary - Mthly'!$E$8:$EG$8,AQ$9,'Venture Summary - Mthly'!$E149:$EG149)</f>
        <v>0</v>
      </c>
      <c r="AR146" s="799">
        <f>SUMIF('Venture Summary - Mthly'!$E$8:$EG$8,AR$9,'Venture Summary - Mthly'!$E149:$EG149)</f>
        <v>0</v>
      </c>
      <c r="AS146" s="799">
        <f>SUMIF('Venture Summary - Mthly'!$E$8:$EG$8,AS$9,'Venture Summary - Mthly'!$E149:$EG149)</f>
        <v>0</v>
      </c>
      <c r="AT146" s="799">
        <f>SUMIF('Venture Summary - Mthly'!$E$8:$EG$8,AT$9,'Venture Summary - Mthly'!$E149:$EG149)</f>
        <v>0</v>
      </c>
      <c r="AU146" s="799">
        <f>SUMIF('Venture Summary - Mthly'!$E$8:$EG$8,AU$9,'Venture Summary - Mthly'!$E149:$EG149)</f>
        <v>0</v>
      </c>
      <c r="AV146" s="799">
        <f>SUMIF('Venture Summary - Mthly'!$E$8:$EG$8,AV$9,'Venture Summary - Mthly'!$E149:$EG149)</f>
        <v>0</v>
      </c>
      <c r="AW146" s="799">
        <f>SUMIF('Venture Summary - Mthly'!$E$8:$EG$8,AW$9,'Venture Summary - Mthly'!$E149:$EG149)</f>
        <v>0</v>
      </c>
      <c r="AX146" s="798"/>
    </row>
    <row r="147" spans="1:50" ht="12.75" customHeight="1" x14ac:dyDescent="0.3">
      <c r="A147" s="782"/>
      <c r="B147" s="782" t="s">
        <v>87</v>
      </c>
      <c r="C147" s="798">
        <f>SUM(C141:C146)</f>
        <v>-63896676.117669798</v>
      </c>
      <c r="D147" s="782"/>
      <c r="E147" s="798">
        <f>SUM(E141:E146)</f>
        <v>-1050423.5</v>
      </c>
      <c r="F147" s="798">
        <f>SUM(F141:F146)</f>
        <v>-6981290.7865212681</v>
      </c>
      <c r="G147" s="798">
        <f>SUM(G141:G146)</f>
        <v>-4981106.2980969222</v>
      </c>
      <c r="H147" s="798">
        <f t="shared" ref="H147:AW147" si="26">SUM(H141:H146)</f>
        <v>-9093544.5968053397</v>
      </c>
      <c r="I147" s="798">
        <f t="shared" si="26"/>
        <v>-11442120.72628708</v>
      </c>
      <c r="J147" s="798">
        <f t="shared" si="26"/>
        <v>-10883391.143465763</v>
      </c>
      <c r="K147" s="798">
        <f t="shared" si="26"/>
        <v>-8730765.8589894287</v>
      </c>
      <c r="L147" s="798">
        <f t="shared" si="26"/>
        <v>-6617910.4191472642</v>
      </c>
      <c r="M147" s="798">
        <f t="shared" si="26"/>
        <v>-3547741.0031273379</v>
      </c>
      <c r="N147" s="798">
        <f t="shared" si="26"/>
        <v>-568381.78522937442</v>
      </c>
      <c r="O147" s="798">
        <f t="shared" si="26"/>
        <v>0</v>
      </c>
      <c r="P147" s="798">
        <f t="shared" si="26"/>
        <v>0</v>
      </c>
      <c r="Q147" s="798">
        <f t="shared" si="26"/>
        <v>0</v>
      </c>
      <c r="R147" s="798">
        <f t="shared" si="26"/>
        <v>0</v>
      </c>
      <c r="S147" s="798">
        <f t="shared" si="26"/>
        <v>0</v>
      </c>
      <c r="T147" s="798">
        <f t="shared" si="26"/>
        <v>0</v>
      </c>
      <c r="U147" s="798">
        <f t="shared" si="26"/>
        <v>0</v>
      </c>
      <c r="V147" s="798">
        <f t="shared" si="26"/>
        <v>0</v>
      </c>
      <c r="W147" s="798">
        <f t="shared" si="26"/>
        <v>0</v>
      </c>
      <c r="X147" s="798">
        <f t="shared" si="26"/>
        <v>0</v>
      </c>
      <c r="Y147" s="798">
        <f t="shared" si="26"/>
        <v>0</v>
      </c>
      <c r="Z147" s="798">
        <f t="shared" si="26"/>
        <v>0</v>
      </c>
      <c r="AA147" s="798">
        <f t="shared" si="26"/>
        <v>0</v>
      </c>
      <c r="AB147" s="798">
        <f t="shared" si="26"/>
        <v>0</v>
      </c>
      <c r="AC147" s="798">
        <f t="shared" si="26"/>
        <v>0</v>
      </c>
      <c r="AD147" s="798">
        <f t="shared" si="26"/>
        <v>0</v>
      </c>
      <c r="AE147" s="798">
        <f t="shared" si="26"/>
        <v>0</v>
      </c>
      <c r="AF147" s="798">
        <f t="shared" si="26"/>
        <v>0</v>
      </c>
      <c r="AG147" s="798">
        <f t="shared" si="26"/>
        <v>0</v>
      </c>
      <c r="AH147" s="798">
        <f t="shared" si="26"/>
        <v>0</v>
      </c>
      <c r="AI147" s="798">
        <f t="shared" si="26"/>
        <v>0</v>
      </c>
      <c r="AJ147" s="798">
        <f t="shared" si="26"/>
        <v>0</v>
      </c>
      <c r="AK147" s="798">
        <f t="shared" si="26"/>
        <v>0</v>
      </c>
      <c r="AL147" s="798">
        <f t="shared" si="26"/>
        <v>0</v>
      </c>
      <c r="AM147" s="798">
        <f t="shared" si="26"/>
        <v>0</v>
      </c>
      <c r="AN147" s="798">
        <f t="shared" si="26"/>
        <v>0</v>
      </c>
      <c r="AO147" s="798">
        <f t="shared" si="26"/>
        <v>0</v>
      </c>
      <c r="AP147" s="798">
        <f t="shared" si="26"/>
        <v>0</v>
      </c>
      <c r="AQ147" s="798">
        <f t="shared" si="26"/>
        <v>0</v>
      </c>
      <c r="AR147" s="798">
        <f t="shared" si="26"/>
        <v>0</v>
      </c>
      <c r="AS147" s="798">
        <f t="shared" si="26"/>
        <v>0</v>
      </c>
      <c r="AT147" s="798">
        <f t="shared" si="26"/>
        <v>0</v>
      </c>
      <c r="AU147" s="798">
        <f t="shared" si="26"/>
        <v>0</v>
      </c>
      <c r="AV147" s="798">
        <f t="shared" si="26"/>
        <v>0</v>
      </c>
      <c r="AW147" s="798">
        <f t="shared" si="26"/>
        <v>0</v>
      </c>
      <c r="AX147" s="798"/>
    </row>
    <row r="148" spans="1:50" ht="12.75" customHeight="1" x14ac:dyDescent="0.3">
      <c r="A148" s="782"/>
      <c r="B148" s="782"/>
      <c r="C148" s="798"/>
      <c r="D148" s="782"/>
      <c r="E148" s="798"/>
      <c r="F148" s="798"/>
      <c r="G148" s="798"/>
      <c r="H148" s="798"/>
      <c r="I148" s="798"/>
      <c r="J148" s="798"/>
      <c r="K148" s="798"/>
      <c r="L148" s="798"/>
      <c r="M148" s="798"/>
      <c r="N148" s="798"/>
      <c r="O148" s="798"/>
      <c r="P148" s="798"/>
      <c r="Q148" s="798"/>
      <c r="R148" s="798"/>
      <c r="S148" s="798"/>
      <c r="T148" s="798"/>
      <c r="U148" s="798"/>
      <c r="V148" s="798"/>
      <c r="W148" s="798"/>
      <c r="X148" s="798"/>
      <c r="Y148" s="798"/>
      <c r="Z148" s="798"/>
      <c r="AA148" s="798"/>
      <c r="AB148" s="798"/>
      <c r="AC148" s="798"/>
      <c r="AD148" s="798"/>
      <c r="AE148" s="798"/>
      <c r="AF148" s="798"/>
      <c r="AG148" s="798"/>
      <c r="AH148" s="798"/>
      <c r="AI148" s="798"/>
      <c r="AJ148" s="798"/>
      <c r="AK148" s="798"/>
      <c r="AL148" s="798"/>
      <c r="AM148" s="798"/>
      <c r="AN148" s="798"/>
      <c r="AO148" s="798"/>
      <c r="AP148" s="798"/>
      <c r="AQ148" s="798"/>
      <c r="AR148" s="798"/>
      <c r="AS148" s="798"/>
      <c r="AT148" s="798"/>
      <c r="AU148" s="798"/>
      <c r="AV148" s="798"/>
      <c r="AW148" s="798"/>
      <c r="AX148" s="798"/>
    </row>
    <row r="149" spans="1:50" ht="12.75" customHeight="1" x14ac:dyDescent="0.3">
      <c r="A149" s="782"/>
      <c r="B149" s="782" t="s">
        <v>88</v>
      </c>
      <c r="C149" s="798"/>
      <c r="D149" s="782"/>
      <c r="E149" s="798">
        <f>-SUM($E$141:E141,$E$146:E146)</f>
        <v>1872006.9504114862</v>
      </c>
      <c r="F149" s="798">
        <f>-SUM($E$141:F141,$E$146:F146)</f>
        <v>17955257.361274935</v>
      </c>
      <c r="G149" s="798">
        <f>-SUM($E$141:G141,$E$146:G146)</f>
        <v>22945363.65937186</v>
      </c>
      <c r="H149" s="798">
        <f>-SUM($E$141:H141,$E$146:H146)</f>
        <v>32047908.256177202</v>
      </c>
      <c r="I149" s="798">
        <f>-SUM($E$141:I141,$E$146:I146)</f>
        <v>43539160.829809688</v>
      </c>
      <c r="J149" s="798">
        <f>-SUM($E$141:J141,$E$146:J146)</f>
        <v>54816495.770014428</v>
      </c>
      <c r="K149" s="798">
        <f>-SUM($E$141:K141,$E$146:K146)</f>
        <v>64124025.071065433</v>
      </c>
      <c r="L149" s="798">
        <f>-SUM($E$141:L141,$E$146:L146)</f>
        <v>71120128.913777038</v>
      </c>
      <c r="M149" s="798">
        <f>-SUM($E$141:M141,$E$146:M146)</f>
        <v>74730180.082249925</v>
      </c>
      <c r="N149" s="798">
        <f>-SUM($E$141:N141,$E$146:N146)</f>
        <v>75301561.867479295</v>
      </c>
      <c r="O149" s="798">
        <f>-SUM($E$141:O141,$E$146:O146)</f>
        <v>75301561.867479295</v>
      </c>
      <c r="P149" s="798">
        <f>-SUM($E$141:P141,$E$146:P146)</f>
        <v>75301561.867479295</v>
      </c>
      <c r="Q149" s="798">
        <f>-SUM($E$141:Q141,$E$146:Q146)</f>
        <v>75301561.867479295</v>
      </c>
      <c r="R149" s="798">
        <f>-SUM($E$141:R141,$E$146:R146)</f>
        <v>75301561.867479295</v>
      </c>
      <c r="S149" s="798">
        <f>-SUM($E$141:S141,$E$146:S146)</f>
        <v>75301561.867479295</v>
      </c>
      <c r="T149" s="798">
        <f>-SUM($E$141:T141,$E$146:T146)</f>
        <v>75301561.867479295</v>
      </c>
      <c r="U149" s="798">
        <f>-SUM($E$141:U141,$E$146:U146)</f>
        <v>75301561.867479295</v>
      </c>
      <c r="V149" s="798">
        <f>-SUM($E$141:V141,$E$146:V146)</f>
        <v>75301561.867479295</v>
      </c>
      <c r="W149" s="798">
        <f>-SUM($E$141:W141,$E$146:W146)</f>
        <v>75301561.867479295</v>
      </c>
      <c r="X149" s="798">
        <f>-SUM($E$141:X141,$E$146:X146)</f>
        <v>75301561.867479295</v>
      </c>
      <c r="Y149" s="798">
        <f>-SUM($E$141:Y141,$E$146:Y146)</f>
        <v>75301561.867479295</v>
      </c>
      <c r="Z149" s="798">
        <f>-SUM($E$141:Z141,$E$146:Z146)</f>
        <v>75301561.867479295</v>
      </c>
      <c r="AA149" s="798">
        <f>-SUM($E$141:AA141,$E$146:AA146)</f>
        <v>75301561.867479295</v>
      </c>
      <c r="AB149" s="798">
        <f>-SUM($E$141:AB141,$E$146:AB146)</f>
        <v>75301561.867479295</v>
      </c>
      <c r="AC149" s="798">
        <f>-SUM($E$141:AC141,$E$146:AC146)</f>
        <v>75301561.867479295</v>
      </c>
      <c r="AD149" s="798">
        <f>-SUM($E$141:AD141,$E$146:AD146)</f>
        <v>75301561.867479295</v>
      </c>
      <c r="AE149" s="798">
        <f>-SUM($E$141:AE141,$E$146:AE146)</f>
        <v>75301561.867479295</v>
      </c>
      <c r="AF149" s="798">
        <f>-SUM($E$141:AF141,$E$146:AF146)</f>
        <v>75301561.867479295</v>
      </c>
      <c r="AG149" s="798">
        <f>-SUM($E$141:AG141,$E$146:AG146)</f>
        <v>75301561.867479295</v>
      </c>
      <c r="AH149" s="798">
        <f>-SUM($E$141:AH141,$E$146:AH146)</f>
        <v>75301561.867479295</v>
      </c>
      <c r="AI149" s="798">
        <f>-SUM($E$141:AI141,$E$146:AI146)</f>
        <v>75301561.867479295</v>
      </c>
      <c r="AJ149" s="798">
        <f>-SUM($E$141:AJ141,$E$146:AJ146)</f>
        <v>75301561.867479295</v>
      </c>
      <c r="AK149" s="798">
        <f>-SUM($E$141:AK141,$E$146:AK146)</f>
        <v>75301561.867479295</v>
      </c>
      <c r="AL149" s="798">
        <f>-SUM($E$141:AL141,$E$146:AL146)</f>
        <v>75301561.867479295</v>
      </c>
      <c r="AM149" s="798">
        <f>-SUM($E$141:AM141,$E$146:AM146)</f>
        <v>75301561.867479295</v>
      </c>
      <c r="AN149" s="798">
        <f>-SUM($E$141:AN141,$E$146:AN146)</f>
        <v>75301561.867479295</v>
      </c>
      <c r="AO149" s="798">
        <f>-SUM($E$141:AO141,$E$146:AO146)</f>
        <v>75301561.867479295</v>
      </c>
      <c r="AP149" s="798">
        <f>-SUM($E$141:AP141,$E$146:AP146)</f>
        <v>75301561.867479295</v>
      </c>
      <c r="AQ149" s="798">
        <f>-SUM($E$141:AQ141,$E$146:AQ146)</f>
        <v>75301561.867479295</v>
      </c>
      <c r="AR149" s="798">
        <f>-SUM($E$141:AR141,$E$146:AR146)</f>
        <v>75301561.867479295</v>
      </c>
      <c r="AS149" s="798">
        <f>-SUM($E$141:AS141,$E$146:AS146)</f>
        <v>75301561.867479295</v>
      </c>
      <c r="AT149" s="798">
        <f>-SUM($E$141:AT141,$E$146:AT146)</f>
        <v>75301561.867479295</v>
      </c>
      <c r="AU149" s="798">
        <f>-SUM($E$141:AU141,$E$146:AU146)</f>
        <v>75301561.867479295</v>
      </c>
      <c r="AV149" s="798">
        <f>-SUM($E$141:AV141,$E$146:AV146)</f>
        <v>75301561.867479295</v>
      </c>
      <c r="AW149" s="798">
        <f>-SUM($E$141:AW141,$E$146:AW146)</f>
        <v>75301561.867479295</v>
      </c>
      <c r="AX149" s="798"/>
    </row>
    <row r="150" spans="1:50" ht="12.75" customHeight="1" x14ac:dyDescent="0.3">
      <c r="A150" s="782"/>
      <c r="B150" s="782"/>
      <c r="C150" s="798"/>
      <c r="D150" s="782"/>
      <c r="E150" s="798"/>
      <c r="F150" s="798"/>
      <c r="G150" s="798"/>
      <c r="H150" s="798"/>
      <c r="I150" s="798"/>
      <c r="J150" s="798"/>
      <c r="K150" s="798"/>
      <c r="L150" s="798"/>
      <c r="M150" s="798"/>
      <c r="N150" s="798"/>
      <c r="O150" s="798"/>
      <c r="P150" s="798"/>
      <c r="Q150" s="798"/>
      <c r="R150" s="798"/>
      <c r="S150" s="798"/>
      <c r="T150" s="798"/>
      <c r="U150" s="798"/>
      <c r="V150" s="798"/>
      <c r="W150" s="798"/>
      <c r="X150" s="798"/>
      <c r="Y150" s="798"/>
      <c r="Z150" s="798"/>
      <c r="AA150" s="798"/>
      <c r="AB150" s="798"/>
      <c r="AC150" s="798"/>
      <c r="AD150" s="798"/>
      <c r="AE150" s="798"/>
      <c r="AF150" s="798"/>
      <c r="AG150" s="798"/>
      <c r="AH150" s="798"/>
      <c r="AI150" s="798"/>
      <c r="AJ150" s="798"/>
      <c r="AK150" s="798"/>
      <c r="AL150" s="798"/>
      <c r="AM150" s="798"/>
      <c r="AN150" s="798"/>
      <c r="AO150" s="798"/>
      <c r="AP150" s="798"/>
      <c r="AQ150" s="798"/>
      <c r="AR150" s="798"/>
      <c r="AS150" s="798"/>
      <c r="AT150" s="798"/>
      <c r="AU150" s="798"/>
      <c r="AV150" s="798"/>
      <c r="AW150" s="798"/>
      <c r="AX150" s="798"/>
    </row>
    <row r="151" spans="1:50" ht="12.75" customHeight="1" x14ac:dyDescent="0.3">
      <c r="A151" s="782"/>
      <c r="B151" s="793" t="s">
        <v>89</v>
      </c>
      <c r="C151" s="794"/>
      <c r="D151" s="794"/>
      <c r="E151" s="794"/>
      <c r="F151" s="794"/>
      <c r="G151" s="794"/>
      <c r="H151" s="794"/>
      <c r="I151" s="794"/>
      <c r="J151" s="794"/>
      <c r="K151" s="794"/>
      <c r="L151" s="794"/>
      <c r="M151" s="794"/>
      <c r="N151" s="794"/>
      <c r="O151" s="794"/>
      <c r="P151" s="794"/>
      <c r="Q151" s="794"/>
      <c r="R151" s="794"/>
      <c r="S151" s="794"/>
      <c r="T151" s="794"/>
      <c r="U151" s="794"/>
      <c r="V151" s="794"/>
      <c r="W151" s="794"/>
      <c r="X151" s="794"/>
      <c r="Y151" s="794"/>
      <c r="Z151" s="794"/>
      <c r="AA151" s="794"/>
      <c r="AB151" s="794"/>
      <c r="AC151" s="794"/>
      <c r="AD151" s="794"/>
      <c r="AE151" s="794"/>
      <c r="AF151" s="794"/>
      <c r="AG151" s="794"/>
      <c r="AH151" s="794"/>
      <c r="AI151" s="794"/>
      <c r="AJ151" s="794"/>
      <c r="AK151" s="794"/>
      <c r="AL151" s="794"/>
      <c r="AM151" s="794"/>
      <c r="AN151" s="794"/>
      <c r="AO151" s="794"/>
      <c r="AP151" s="794"/>
      <c r="AQ151" s="794"/>
      <c r="AR151" s="794"/>
      <c r="AS151" s="794"/>
      <c r="AT151" s="794"/>
      <c r="AU151" s="794"/>
      <c r="AV151" s="794"/>
      <c r="AW151" s="794"/>
      <c r="AX151" s="794"/>
    </row>
    <row r="152" spans="1:50" ht="12.75" customHeight="1" x14ac:dyDescent="0.3">
      <c r="A152" s="782"/>
      <c r="B152" s="782"/>
      <c r="C152" s="782"/>
      <c r="D152" s="782"/>
      <c r="E152" s="782"/>
      <c r="F152" s="782"/>
      <c r="G152" s="782"/>
      <c r="H152" s="782"/>
      <c r="I152" s="782"/>
      <c r="J152" s="782"/>
      <c r="K152" s="782"/>
      <c r="L152" s="782"/>
      <c r="M152" s="782"/>
      <c r="N152" s="782"/>
      <c r="O152" s="782"/>
      <c r="P152" s="782"/>
      <c r="Q152" s="782"/>
      <c r="R152" s="782"/>
      <c r="S152" s="782"/>
      <c r="T152" s="782"/>
      <c r="U152" s="782"/>
      <c r="V152" s="782"/>
      <c r="W152" s="782"/>
      <c r="X152" s="782"/>
      <c r="Y152" s="782"/>
      <c r="Z152" s="782"/>
      <c r="AA152" s="782"/>
      <c r="AB152" s="782"/>
      <c r="AC152" s="782"/>
      <c r="AD152" s="782"/>
      <c r="AE152" s="782"/>
      <c r="AF152" s="782"/>
      <c r="AG152" s="782"/>
      <c r="AH152" s="782"/>
      <c r="AI152" s="782"/>
      <c r="AJ152" s="782"/>
      <c r="AK152" s="782"/>
      <c r="AL152" s="782"/>
      <c r="AM152" s="782"/>
      <c r="AN152" s="782"/>
      <c r="AO152" s="782"/>
      <c r="AP152" s="782"/>
      <c r="AQ152" s="782"/>
      <c r="AR152" s="782"/>
      <c r="AS152" s="782"/>
      <c r="AT152" s="782"/>
      <c r="AU152" s="782"/>
      <c r="AV152" s="782"/>
      <c r="AW152" s="782"/>
      <c r="AX152" s="782"/>
    </row>
    <row r="153" spans="1:50" ht="12.75" customHeight="1" x14ac:dyDescent="0.3">
      <c r="A153" s="782"/>
      <c r="B153" s="782" t="s">
        <v>90</v>
      </c>
      <c r="C153" s="1150">
        <f>+MAX(E153:AX153)</f>
        <v>256</v>
      </c>
      <c r="D153" s="782"/>
      <c r="E153" s="798">
        <f>INDEX('Venture Summary - Mthly'!$E156:$EG156,MATCH(E$9,'Venture Summary - Mthly'!$E$8:$EG$8,0))</f>
        <v>0</v>
      </c>
      <c r="F153" s="798">
        <f>INDEX('Venture Summary - Mthly'!$E156:$EG156,MATCH(F$9,'Venture Summary - Mthly'!$E$8:$EG$8,0))</f>
        <v>0</v>
      </c>
      <c r="G153" s="798">
        <f>INDEX('Venture Summary - Mthly'!$E156:$EG156,MATCH(G$9,'Venture Summary - Mthly'!$E$8:$EG$8,0))</f>
        <v>0</v>
      </c>
      <c r="H153" s="798">
        <f>INDEX('Venture Summary - Mthly'!$E156:$EG156,MATCH(H$9,'Venture Summary - Mthly'!$E$8:$EG$8,0))</f>
        <v>0</v>
      </c>
      <c r="I153" s="798">
        <f>INDEX('Venture Summary - Mthly'!$E156:$EG156,MATCH(I$9,'Venture Summary - Mthly'!$E$8:$EG$8,0))</f>
        <v>0</v>
      </c>
      <c r="J153" s="798">
        <f>INDEX('Venture Summary - Mthly'!$E156:$EG156,MATCH(J$9,'Venture Summary - Mthly'!$E$8:$EG$8,0))</f>
        <v>0</v>
      </c>
      <c r="K153" s="798">
        <f>INDEX('Venture Summary - Mthly'!$E156:$EG156,MATCH(K$9,'Venture Summary - Mthly'!$E$8:$EG$8,0))</f>
        <v>64</v>
      </c>
      <c r="L153" s="798">
        <f>INDEX('Venture Summary - Mthly'!$E156:$EG156,MATCH(L$9,'Venture Summary - Mthly'!$E$8:$EG$8,0))</f>
        <v>127.99999999999999</v>
      </c>
      <c r="M153" s="798">
        <f>INDEX('Venture Summary - Mthly'!$E156:$EG156,MATCH(M$9,'Venture Summary - Mthly'!$E$8:$EG$8,0))</f>
        <v>192</v>
      </c>
      <c r="N153" s="798">
        <f>INDEX('Venture Summary - Mthly'!$E156:$EG156,MATCH(N$9,'Venture Summary - Mthly'!$E$8:$EG$8,0))</f>
        <v>256</v>
      </c>
      <c r="O153" s="798">
        <f>INDEX('Venture Summary - Mthly'!$E156:$EG156,MATCH(O$9,'Venture Summary - Mthly'!$E$8:$EG$8,0))</f>
        <v>256</v>
      </c>
      <c r="P153" s="798">
        <f>INDEX('Venture Summary - Mthly'!$E156:$EG156,MATCH(P$9,'Venture Summary - Mthly'!$E$8:$EG$8,0))</f>
        <v>256</v>
      </c>
      <c r="Q153" s="798">
        <f>INDEX('Venture Summary - Mthly'!$E156:$EG156,MATCH(Q$9,'Venture Summary - Mthly'!$E$8:$EG$8,0))</f>
        <v>256</v>
      </c>
      <c r="R153" s="798">
        <f>INDEX('Venture Summary - Mthly'!$E156:$EG156,MATCH(R$9,'Venture Summary - Mthly'!$E$8:$EG$8,0))</f>
        <v>256</v>
      </c>
      <c r="S153" s="798">
        <f>INDEX('Venture Summary - Mthly'!$E156:$EG156,MATCH(S$9,'Venture Summary - Mthly'!$E$8:$EG$8,0))</f>
        <v>256</v>
      </c>
      <c r="T153" s="798">
        <f>INDEX('Venture Summary - Mthly'!$E156:$EG156,MATCH(T$9,'Venture Summary - Mthly'!$E$8:$EG$8,0))</f>
        <v>256</v>
      </c>
      <c r="U153" s="798">
        <f>INDEX('Venture Summary - Mthly'!$E156:$EG156,MATCH(U$9,'Venture Summary - Mthly'!$E$8:$EG$8,0))</f>
        <v>256</v>
      </c>
      <c r="V153" s="798">
        <f>INDEX('Venture Summary - Mthly'!$E156:$EG156,MATCH(V$9,'Venture Summary - Mthly'!$E$8:$EG$8,0))</f>
        <v>256</v>
      </c>
      <c r="W153" s="798">
        <f>INDEX('Venture Summary - Mthly'!$E156:$EG156,MATCH(W$9,'Venture Summary - Mthly'!$E$8:$EG$8,0))</f>
        <v>256</v>
      </c>
      <c r="X153" s="798">
        <f>INDEX('Venture Summary - Mthly'!$E156:$EG156,MATCH(X$9,'Venture Summary - Mthly'!$E$8:$EG$8,0))</f>
        <v>256</v>
      </c>
      <c r="Y153" s="798">
        <f>INDEX('Venture Summary - Mthly'!$E156:$EG156,MATCH(Y$9,'Venture Summary - Mthly'!$E$8:$EG$8,0))</f>
        <v>256</v>
      </c>
      <c r="Z153" s="798">
        <f>INDEX('Venture Summary - Mthly'!$E156:$EG156,MATCH(Z$9,'Venture Summary - Mthly'!$E$8:$EG$8,0))</f>
        <v>256</v>
      </c>
      <c r="AA153" s="798">
        <f>INDEX('Venture Summary - Mthly'!$E156:$EG156,MATCH(AA$9,'Venture Summary - Mthly'!$E$8:$EG$8,0))</f>
        <v>256</v>
      </c>
      <c r="AB153" s="798">
        <f>INDEX('Venture Summary - Mthly'!$E156:$EG156,MATCH(AB$9,'Venture Summary - Mthly'!$E$8:$EG$8,0))</f>
        <v>256</v>
      </c>
      <c r="AC153" s="798">
        <f>INDEX('Venture Summary - Mthly'!$E156:$EG156,MATCH(AC$9,'Venture Summary - Mthly'!$E$8:$EG$8,0))</f>
        <v>256</v>
      </c>
      <c r="AD153" s="798">
        <f>INDEX('Venture Summary - Mthly'!$E156:$EG156,MATCH(AD$9,'Venture Summary - Mthly'!$E$8:$EG$8,0))</f>
        <v>256</v>
      </c>
      <c r="AE153" s="798">
        <f>INDEX('Venture Summary - Mthly'!$E156:$EG156,MATCH(AE$9,'Venture Summary - Mthly'!$E$8:$EG$8,0))</f>
        <v>256</v>
      </c>
      <c r="AF153" s="798">
        <f>INDEX('Venture Summary - Mthly'!$E156:$EG156,MATCH(AF$9,'Venture Summary - Mthly'!$E$8:$EG$8,0))</f>
        <v>256</v>
      </c>
      <c r="AG153" s="798">
        <f>INDEX('Venture Summary - Mthly'!$E156:$EG156,MATCH(AG$9,'Venture Summary - Mthly'!$E$8:$EG$8,0))</f>
        <v>256</v>
      </c>
      <c r="AH153" s="798">
        <f>INDEX('Venture Summary - Mthly'!$E156:$EG156,MATCH(AH$9,'Venture Summary - Mthly'!$E$8:$EG$8,0))</f>
        <v>256</v>
      </c>
      <c r="AI153" s="798">
        <f>INDEX('Venture Summary - Mthly'!$E156:$EG156,MATCH(AI$9,'Venture Summary - Mthly'!$E$8:$EG$8,0))</f>
        <v>256</v>
      </c>
      <c r="AJ153" s="798">
        <f>INDEX('Venture Summary - Mthly'!$E156:$EG156,MATCH(AJ$9,'Venture Summary - Mthly'!$E$8:$EG$8,0))</f>
        <v>256</v>
      </c>
      <c r="AK153" s="798">
        <f>INDEX('Venture Summary - Mthly'!$E156:$EG156,MATCH(AK$9,'Venture Summary - Mthly'!$E$8:$EG$8,0))</f>
        <v>256</v>
      </c>
      <c r="AL153" s="798">
        <f>INDEX('Venture Summary - Mthly'!$E156:$EG156,MATCH(AL$9,'Venture Summary - Mthly'!$E$8:$EG$8,0))</f>
        <v>256</v>
      </c>
      <c r="AM153" s="798">
        <f>INDEX('Venture Summary - Mthly'!$E156:$EG156,MATCH(AM$9,'Venture Summary - Mthly'!$E$8:$EG$8,0))</f>
        <v>256</v>
      </c>
      <c r="AN153" s="798">
        <f>INDEX('Venture Summary - Mthly'!$E156:$EG156,MATCH(AN$9,'Venture Summary - Mthly'!$E$8:$EG$8,0))</f>
        <v>256</v>
      </c>
      <c r="AO153" s="798">
        <f>INDEX('Venture Summary - Mthly'!$E156:$EG156,MATCH(AO$9,'Venture Summary - Mthly'!$E$8:$EG$8,0))</f>
        <v>256</v>
      </c>
      <c r="AP153" s="798">
        <f>INDEX('Venture Summary - Mthly'!$E156:$EG156,MATCH(AP$9,'Venture Summary - Mthly'!$E$8:$EG$8,0))</f>
        <v>256</v>
      </c>
      <c r="AQ153" s="798">
        <f>INDEX('Venture Summary - Mthly'!$E156:$EG156,MATCH(AQ$9,'Venture Summary - Mthly'!$E$8:$EG$8,0))</f>
        <v>256</v>
      </c>
      <c r="AR153" s="798">
        <f>INDEX('Venture Summary - Mthly'!$E156:$EG156,MATCH(AR$9,'Venture Summary - Mthly'!$E$8:$EG$8,0))</f>
        <v>256</v>
      </c>
      <c r="AS153" s="798">
        <f>INDEX('Venture Summary - Mthly'!$E156:$EG156,MATCH(AS$9,'Venture Summary - Mthly'!$E$8:$EG$8,0))</f>
        <v>256</v>
      </c>
      <c r="AT153" s="798">
        <f>INDEX('Venture Summary - Mthly'!$E156:$EG156,MATCH(AT$9,'Venture Summary - Mthly'!$E$8:$EG$8,0))</f>
        <v>256</v>
      </c>
      <c r="AU153" s="798">
        <f>INDEX('Venture Summary - Mthly'!$E156:$EG156,MATCH(AU$9,'Venture Summary - Mthly'!$E$8:$EG$8,0))</f>
        <v>256</v>
      </c>
      <c r="AV153" s="798">
        <f>INDEX('Venture Summary - Mthly'!$E156:$EG156,MATCH(AV$9,'Venture Summary - Mthly'!$E$8:$EG$8,0))</f>
        <v>256</v>
      </c>
      <c r="AW153" s="798">
        <f>INDEX('Venture Summary - Mthly'!$E156:$EG156,MATCH(AW$9,'Venture Summary - Mthly'!$E$8:$EG$8,0))</f>
        <v>256</v>
      </c>
      <c r="AX153" s="798"/>
    </row>
    <row r="154" spans="1:50" ht="12.75" customHeight="1" x14ac:dyDescent="0.3">
      <c r="A154" s="782"/>
      <c r="B154" s="782" t="s">
        <v>91</v>
      </c>
      <c r="C154" s="782"/>
      <c r="D154" s="782"/>
      <c r="E154" s="798">
        <f>INDEX('Venture Summary - Mthly'!$E157:$EG157,MATCH(E$9,'Venture Summary - Mthly'!$E$8:$EG$8,0))</f>
        <v>0</v>
      </c>
      <c r="F154" s="798">
        <f>INDEX('Venture Summary - Mthly'!$E157:$EG157,MATCH(F$9,'Venture Summary - Mthly'!$E$8:$EG$8,0))</f>
        <v>0</v>
      </c>
      <c r="G154" s="798">
        <f>INDEX('Venture Summary - Mthly'!$E157:$EG157,MATCH(G$9,'Venture Summary - Mthly'!$E$8:$EG$8,0))</f>
        <v>0</v>
      </c>
      <c r="H154" s="798">
        <f>INDEX('Venture Summary - Mthly'!$E157:$EG157,MATCH(H$9,'Venture Summary - Mthly'!$E$8:$EG$8,0))</f>
        <v>0</v>
      </c>
      <c r="I154" s="798">
        <f>INDEX('Venture Summary - Mthly'!$E157:$EG157,MATCH(I$9,'Venture Summary - Mthly'!$E$8:$EG$8,0))</f>
        <v>0</v>
      </c>
      <c r="J154" s="798">
        <f>INDEX('Venture Summary - Mthly'!$E157:$EG157,MATCH(J$9,'Venture Summary - Mthly'!$E$8:$EG$8,0))</f>
        <v>0</v>
      </c>
      <c r="K154" s="798">
        <f>INDEX('Venture Summary - Mthly'!$E157:$EG157,MATCH(K$9,'Venture Summary - Mthly'!$E$8:$EG$8,0))</f>
        <v>43.2</v>
      </c>
      <c r="L154" s="798">
        <f>INDEX('Venture Summary - Mthly'!$E157:$EG157,MATCH(L$9,'Venture Summary - Mthly'!$E$8:$EG$8,0))</f>
        <v>93.6</v>
      </c>
      <c r="M154" s="798">
        <f>INDEX('Venture Summary - Mthly'!$E157:$EG157,MATCH(M$9,'Venture Summary - Mthly'!$E$8:$EG$8,0))</f>
        <v>158.39999999999998</v>
      </c>
      <c r="N154" s="798">
        <f>INDEX('Venture Summary - Mthly'!$E157:$EG157,MATCH(N$9,'Venture Summary - Mthly'!$E$8:$EG$8,0))</f>
        <v>215.99999999999997</v>
      </c>
      <c r="O154" s="798">
        <f>INDEX('Venture Summary - Mthly'!$E157:$EG157,MATCH(O$9,'Venture Summary - Mthly'!$E$8:$EG$8,0))</f>
        <v>240.98</v>
      </c>
      <c r="P154" s="798">
        <f>INDEX('Venture Summary - Mthly'!$E157:$EG157,MATCH(P$9,'Venture Summary - Mthly'!$E$8:$EG$8,0))</f>
        <v>240.98</v>
      </c>
      <c r="Q154" s="798">
        <f>INDEX('Venture Summary - Mthly'!$E157:$EG157,MATCH(Q$9,'Venture Summary - Mthly'!$E$8:$EG$8,0))</f>
        <v>240.98</v>
      </c>
      <c r="R154" s="798">
        <f>INDEX('Venture Summary - Mthly'!$E157:$EG157,MATCH(R$9,'Venture Summary - Mthly'!$E$8:$EG$8,0))</f>
        <v>240.98</v>
      </c>
      <c r="S154" s="798">
        <f>INDEX('Venture Summary - Mthly'!$E157:$EG157,MATCH(S$9,'Venture Summary - Mthly'!$E$8:$EG$8,0))</f>
        <v>240.98</v>
      </c>
      <c r="T154" s="798">
        <f>INDEX('Venture Summary - Mthly'!$E157:$EG157,MATCH(T$9,'Venture Summary - Mthly'!$E$8:$EG$8,0))</f>
        <v>240.98</v>
      </c>
      <c r="U154" s="798">
        <f>INDEX('Venture Summary - Mthly'!$E157:$EG157,MATCH(U$9,'Venture Summary - Mthly'!$E$8:$EG$8,0))</f>
        <v>240.98</v>
      </c>
      <c r="V154" s="798">
        <f>INDEX('Venture Summary - Mthly'!$E157:$EG157,MATCH(V$9,'Venture Summary - Mthly'!$E$8:$EG$8,0))</f>
        <v>240.98</v>
      </c>
      <c r="W154" s="798">
        <f>INDEX('Venture Summary - Mthly'!$E157:$EG157,MATCH(W$9,'Venture Summary - Mthly'!$E$8:$EG$8,0))</f>
        <v>240.98</v>
      </c>
      <c r="X154" s="798">
        <f>INDEX('Venture Summary - Mthly'!$E157:$EG157,MATCH(X$9,'Venture Summary - Mthly'!$E$8:$EG$8,0))</f>
        <v>240.98</v>
      </c>
      <c r="Y154" s="798">
        <f>INDEX('Venture Summary - Mthly'!$E157:$EG157,MATCH(Y$9,'Venture Summary - Mthly'!$E$8:$EG$8,0))</f>
        <v>240.98</v>
      </c>
      <c r="Z154" s="798">
        <f>INDEX('Venture Summary - Mthly'!$E157:$EG157,MATCH(Z$9,'Venture Summary - Mthly'!$E$8:$EG$8,0))</f>
        <v>240.98</v>
      </c>
      <c r="AA154" s="798">
        <f>INDEX('Venture Summary - Mthly'!$E157:$EG157,MATCH(AA$9,'Venture Summary - Mthly'!$E$8:$EG$8,0))</f>
        <v>240.98</v>
      </c>
      <c r="AB154" s="798">
        <f>INDEX('Venture Summary - Mthly'!$E157:$EG157,MATCH(AB$9,'Venture Summary - Mthly'!$E$8:$EG$8,0))</f>
        <v>240.98</v>
      </c>
      <c r="AC154" s="798">
        <f>INDEX('Venture Summary - Mthly'!$E157:$EG157,MATCH(AC$9,'Venture Summary - Mthly'!$E$8:$EG$8,0))</f>
        <v>240.98</v>
      </c>
      <c r="AD154" s="798">
        <f>INDEX('Venture Summary - Mthly'!$E157:$EG157,MATCH(AD$9,'Venture Summary - Mthly'!$E$8:$EG$8,0))</f>
        <v>240.98</v>
      </c>
      <c r="AE154" s="798">
        <f>INDEX('Venture Summary - Mthly'!$E157:$EG157,MATCH(AE$9,'Venture Summary - Mthly'!$E$8:$EG$8,0))</f>
        <v>240.98</v>
      </c>
      <c r="AF154" s="798">
        <f>INDEX('Venture Summary - Mthly'!$E157:$EG157,MATCH(AF$9,'Venture Summary - Mthly'!$E$8:$EG$8,0))</f>
        <v>240.98</v>
      </c>
      <c r="AG154" s="798">
        <f>INDEX('Venture Summary - Mthly'!$E157:$EG157,MATCH(AG$9,'Venture Summary - Mthly'!$E$8:$EG$8,0))</f>
        <v>240.98</v>
      </c>
      <c r="AH154" s="798">
        <f>INDEX('Venture Summary - Mthly'!$E157:$EG157,MATCH(AH$9,'Venture Summary - Mthly'!$E$8:$EG$8,0))</f>
        <v>240.98</v>
      </c>
      <c r="AI154" s="798">
        <f>INDEX('Venture Summary - Mthly'!$E157:$EG157,MATCH(AI$9,'Venture Summary - Mthly'!$E$8:$EG$8,0))</f>
        <v>240.98</v>
      </c>
      <c r="AJ154" s="798">
        <f>INDEX('Venture Summary - Mthly'!$E157:$EG157,MATCH(AJ$9,'Venture Summary - Mthly'!$E$8:$EG$8,0))</f>
        <v>240.98</v>
      </c>
      <c r="AK154" s="798">
        <f>INDEX('Venture Summary - Mthly'!$E157:$EG157,MATCH(AK$9,'Venture Summary - Mthly'!$E$8:$EG$8,0))</f>
        <v>240.98</v>
      </c>
      <c r="AL154" s="798">
        <f>INDEX('Venture Summary - Mthly'!$E157:$EG157,MATCH(AL$9,'Venture Summary - Mthly'!$E$8:$EG$8,0))</f>
        <v>240.98</v>
      </c>
      <c r="AM154" s="798">
        <f>INDEX('Venture Summary - Mthly'!$E157:$EG157,MATCH(AM$9,'Venture Summary - Mthly'!$E$8:$EG$8,0))</f>
        <v>240.98</v>
      </c>
      <c r="AN154" s="798">
        <f>INDEX('Venture Summary - Mthly'!$E157:$EG157,MATCH(AN$9,'Venture Summary - Mthly'!$E$8:$EG$8,0))</f>
        <v>240.98</v>
      </c>
      <c r="AO154" s="798">
        <f>INDEX('Venture Summary - Mthly'!$E157:$EG157,MATCH(AO$9,'Venture Summary - Mthly'!$E$8:$EG$8,0))</f>
        <v>240.98</v>
      </c>
      <c r="AP154" s="798">
        <f>INDEX('Venture Summary - Mthly'!$E157:$EG157,MATCH(AP$9,'Venture Summary - Mthly'!$E$8:$EG$8,0))</f>
        <v>240.98</v>
      </c>
      <c r="AQ154" s="798">
        <f>INDEX('Venture Summary - Mthly'!$E157:$EG157,MATCH(AQ$9,'Venture Summary - Mthly'!$E$8:$EG$8,0))</f>
        <v>240.98</v>
      </c>
      <c r="AR154" s="798">
        <f>INDEX('Venture Summary - Mthly'!$E157:$EG157,MATCH(AR$9,'Venture Summary - Mthly'!$E$8:$EG$8,0))</f>
        <v>240.98</v>
      </c>
      <c r="AS154" s="798">
        <f>INDEX('Venture Summary - Mthly'!$E157:$EG157,MATCH(AS$9,'Venture Summary - Mthly'!$E$8:$EG$8,0))</f>
        <v>240.98</v>
      </c>
      <c r="AT154" s="798">
        <f>INDEX('Venture Summary - Mthly'!$E157:$EG157,MATCH(AT$9,'Venture Summary - Mthly'!$E$8:$EG$8,0))</f>
        <v>240.98</v>
      </c>
      <c r="AU154" s="798">
        <f>INDEX('Venture Summary - Mthly'!$E157:$EG157,MATCH(AU$9,'Venture Summary - Mthly'!$E$8:$EG$8,0))</f>
        <v>240.98</v>
      </c>
      <c r="AV154" s="798">
        <f>INDEX('Venture Summary - Mthly'!$E157:$EG157,MATCH(AV$9,'Venture Summary - Mthly'!$E$8:$EG$8,0))</f>
        <v>240.98</v>
      </c>
      <c r="AW154" s="798">
        <f>INDEX('Venture Summary - Mthly'!$E157:$EG157,MATCH(AW$9,'Venture Summary - Mthly'!$E$8:$EG$8,0))</f>
        <v>240.98</v>
      </c>
      <c r="AX154" s="798"/>
    </row>
    <row r="155" spans="1:50" ht="12.75" customHeight="1" x14ac:dyDescent="0.3">
      <c r="A155" s="782"/>
      <c r="B155" s="782" t="s">
        <v>92</v>
      </c>
      <c r="C155" s="782"/>
      <c r="D155" s="782"/>
      <c r="E155" s="806">
        <f>INDEX('Venture Summary - Mthly'!$E158:$EG158,MATCH(E$9,'Venture Summary - Mthly'!$E$8:$EG$8,0))</f>
        <v>0</v>
      </c>
      <c r="F155" s="806">
        <f>INDEX('Venture Summary - Mthly'!$E158:$EG158,MATCH(F$9,'Venture Summary - Mthly'!$E$8:$EG$8,0))</f>
        <v>0</v>
      </c>
      <c r="G155" s="806">
        <f>INDEX('Venture Summary - Mthly'!$E158:$EG158,MATCH(G$9,'Venture Summary - Mthly'!$E$8:$EG$8,0))</f>
        <v>0</v>
      </c>
      <c r="H155" s="806">
        <f>INDEX('Venture Summary - Mthly'!$E158:$EG158,MATCH(H$9,'Venture Summary - Mthly'!$E$8:$EG$8,0))</f>
        <v>0</v>
      </c>
      <c r="I155" s="806">
        <f>INDEX('Venture Summary - Mthly'!$E158:$EG158,MATCH(I$9,'Venture Summary - Mthly'!$E$8:$EG$8,0))</f>
        <v>0</v>
      </c>
      <c r="J155" s="806">
        <f>INDEX('Venture Summary - Mthly'!$E158:$EG158,MATCH(J$9,'Venture Summary - Mthly'!$E$8:$EG$8,0))</f>
        <v>0</v>
      </c>
      <c r="K155" s="806">
        <f>INDEX('Venture Summary - Mthly'!$E158:$EG158,MATCH(K$9,'Venture Summary - Mthly'!$E$8:$EG$8,0))</f>
        <v>0.16875000000000001</v>
      </c>
      <c r="L155" s="806">
        <f>INDEX('Venture Summary - Mthly'!$E158:$EG158,MATCH(L$9,'Venture Summary - Mthly'!$E$8:$EG$8,0))</f>
        <v>0.36562499999999998</v>
      </c>
      <c r="M155" s="806">
        <f>INDEX('Venture Summary - Mthly'!$E158:$EG158,MATCH(M$9,'Venture Summary - Mthly'!$E$8:$EG$8,0))</f>
        <v>0.61874999999999991</v>
      </c>
      <c r="N155" s="806">
        <f>INDEX('Venture Summary - Mthly'!$E158:$EG158,MATCH(N$9,'Venture Summary - Mthly'!$E$8:$EG$8,0))</f>
        <v>0.84374999999999989</v>
      </c>
      <c r="O155" s="806">
        <f>INDEX('Venture Summary - Mthly'!$E158:$EG158,MATCH(O$9,'Venture Summary - Mthly'!$E$8:$EG$8,0))</f>
        <v>0.94132812499999996</v>
      </c>
      <c r="P155" s="806">
        <f>INDEX('Venture Summary - Mthly'!$E158:$EG158,MATCH(P$9,'Venture Summary - Mthly'!$E$8:$EG$8,0))</f>
        <v>0.94132812499999996</v>
      </c>
      <c r="Q155" s="806">
        <f>INDEX('Venture Summary - Mthly'!$E158:$EG158,MATCH(Q$9,'Venture Summary - Mthly'!$E$8:$EG$8,0))</f>
        <v>0.94132812499999996</v>
      </c>
      <c r="R155" s="806">
        <f>INDEX('Venture Summary - Mthly'!$E158:$EG158,MATCH(R$9,'Venture Summary - Mthly'!$E$8:$EG$8,0))</f>
        <v>0.94132812499999996</v>
      </c>
      <c r="S155" s="806">
        <f>INDEX('Venture Summary - Mthly'!$E158:$EG158,MATCH(S$9,'Venture Summary - Mthly'!$E$8:$EG$8,0))</f>
        <v>0.94132812499999996</v>
      </c>
      <c r="T155" s="806">
        <f>INDEX('Venture Summary - Mthly'!$E158:$EG158,MATCH(T$9,'Venture Summary - Mthly'!$E$8:$EG$8,0))</f>
        <v>0.94132812499999996</v>
      </c>
      <c r="U155" s="806">
        <f>INDEX('Venture Summary - Mthly'!$E158:$EG158,MATCH(U$9,'Venture Summary - Mthly'!$E$8:$EG$8,0))</f>
        <v>0.94132812499999996</v>
      </c>
      <c r="V155" s="806">
        <f>INDEX('Venture Summary - Mthly'!$E158:$EG158,MATCH(V$9,'Venture Summary - Mthly'!$E$8:$EG$8,0))</f>
        <v>0.94132812499999996</v>
      </c>
      <c r="W155" s="806">
        <f>INDEX('Venture Summary - Mthly'!$E158:$EG158,MATCH(W$9,'Venture Summary - Mthly'!$E$8:$EG$8,0))</f>
        <v>0.94132812499999996</v>
      </c>
      <c r="X155" s="806">
        <f>INDEX('Venture Summary - Mthly'!$E158:$EG158,MATCH(X$9,'Venture Summary - Mthly'!$E$8:$EG$8,0))</f>
        <v>0.94132812499999996</v>
      </c>
      <c r="Y155" s="806">
        <f>INDEX('Venture Summary - Mthly'!$E158:$EG158,MATCH(Y$9,'Venture Summary - Mthly'!$E$8:$EG$8,0))</f>
        <v>0.94132812499999996</v>
      </c>
      <c r="Z155" s="806">
        <f>INDEX('Venture Summary - Mthly'!$E158:$EG158,MATCH(Z$9,'Venture Summary - Mthly'!$E$8:$EG$8,0))</f>
        <v>0.94132812499999996</v>
      </c>
      <c r="AA155" s="806">
        <f>INDEX('Venture Summary - Mthly'!$E158:$EG158,MATCH(AA$9,'Venture Summary - Mthly'!$E$8:$EG$8,0))</f>
        <v>0.94132812499999996</v>
      </c>
      <c r="AB155" s="806">
        <f>INDEX('Venture Summary - Mthly'!$E158:$EG158,MATCH(AB$9,'Venture Summary - Mthly'!$E$8:$EG$8,0))</f>
        <v>0.94132812499999996</v>
      </c>
      <c r="AC155" s="806">
        <f>INDEX('Venture Summary - Mthly'!$E158:$EG158,MATCH(AC$9,'Venture Summary - Mthly'!$E$8:$EG$8,0))</f>
        <v>0.94132812499999996</v>
      </c>
      <c r="AD155" s="806">
        <f>INDEX('Venture Summary - Mthly'!$E158:$EG158,MATCH(AD$9,'Venture Summary - Mthly'!$E$8:$EG$8,0))</f>
        <v>0.94132812499999996</v>
      </c>
      <c r="AE155" s="806">
        <f>INDEX('Venture Summary - Mthly'!$E158:$EG158,MATCH(AE$9,'Venture Summary - Mthly'!$E$8:$EG$8,0))</f>
        <v>0.94132812499999996</v>
      </c>
      <c r="AF155" s="806">
        <f>INDEX('Venture Summary - Mthly'!$E158:$EG158,MATCH(AF$9,'Venture Summary - Mthly'!$E$8:$EG$8,0))</f>
        <v>0.94132812499999996</v>
      </c>
      <c r="AG155" s="806">
        <f>INDEX('Venture Summary - Mthly'!$E158:$EG158,MATCH(AG$9,'Venture Summary - Mthly'!$E$8:$EG$8,0))</f>
        <v>0.94132812499999996</v>
      </c>
      <c r="AH155" s="806">
        <f>INDEX('Venture Summary - Mthly'!$E158:$EG158,MATCH(AH$9,'Venture Summary - Mthly'!$E$8:$EG$8,0))</f>
        <v>0.94132812499999996</v>
      </c>
      <c r="AI155" s="806">
        <f>INDEX('Venture Summary - Mthly'!$E158:$EG158,MATCH(AI$9,'Venture Summary - Mthly'!$E$8:$EG$8,0))</f>
        <v>0.94132812499999996</v>
      </c>
      <c r="AJ155" s="806">
        <f>INDEX('Venture Summary - Mthly'!$E158:$EG158,MATCH(AJ$9,'Venture Summary - Mthly'!$E$8:$EG$8,0))</f>
        <v>0.94132812499999996</v>
      </c>
      <c r="AK155" s="806">
        <f>INDEX('Venture Summary - Mthly'!$E158:$EG158,MATCH(AK$9,'Venture Summary - Mthly'!$E$8:$EG$8,0))</f>
        <v>0.94132812499999996</v>
      </c>
      <c r="AL155" s="806">
        <f>INDEX('Venture Summary - Mthly'!$E158:$EG158,MATCH(AL$9,'Venture Summary - Mthly'!$E$8:$EG$8,0))</f>
        <v>0.94132812499999996</v>
      </c>
      <c r="AM155" s="806">
        <f>INDEX('Venture Summary - Mthly'!$E158:$EG158,MATCH(AM$9,'Venture Summary - Mthly'!$E$8:$EG$8,0))</f>
        <v>0.94132812499999996</v>
      </c>
      <c r="AN155" s="806">
        <f>INDEX('Venture Summary - Mthly'!$E158:$EG158,MATCH(AN$9,'Venture Summary - Mthly'!$E$8:$EG$8,0))</f>
        <v>0.94132812499999996</v>
      </c>
      <c r="AO155" s="806">
        <f>INDEX('Venture Summary - Mthly'!$E158:$EG158,MATCH(AO$9,'Venture Summary - Mthly'!$E$8:$EG$8,0))</f>
        <v>0.94132812499999996</v>
      </c>
      <c r="AP155" s="806">
        <f>INDEX('Venture Summary - Mthly'!$E158:$EG158,MATCH(AP$9,'Venture Summary - Mthly'!$E$8:$EG$8,0))</f>
        <v>0.94132812499999996</v>
      </c>
      <c r="AQ155" s="806">
        <f>INDEX('Venture Summary - Mthly'!$E158:$EG158,MATCH(AQ$9,'Venture Summary - Mthly'!$E$8:$EG$8,0))</f>
        <v>0.94132812499999996</v>
      </c>
      <c r="AR155" s="806">
        <f>INDEX('Venture Summary - Mthly'!$E158:$EG158,MATCH(AR$9,'Venture Summary - Mthly'!$E$8:$EG$8,0))</f>
        <v>0.94132812499999996</v>
      </c>
      <c r="AS155" s="806">
        <f>INDEX('Venture Summary - Mthly'!$E158:$EG158,MATCH(AS$9,'Venture Summary - Mthly'!$E$8:$EG$8,0))</f>
        <v>0.94132812499999996</v>
      </c>
      <c r="AT155" s="806">
        <f>INDEX('Venture Summary - Mthly'!$E158:$EG158,MATCH(AT$9,'Venture Summary - Mthly'!$E$8:$EG$8,0))</f>
        <v>0.94132812499999996</v>
      </c>
      <c r="AU155" s="806">
        <f>INDEX('Venture Summary - Mthly'!$E158:$EG158,MATCH(AU$9,'Venture Summary - Mthly'!$E$8:$EG$8,0))</f>
        <v>0.94132812499999996</v>
      </c>
      <c r="AV155" s="806">
        <f>INDEX('Venture Summary - Mthly'!$E158:$EG158,MATCH(AV$9,'Venture Summary - Mthly'!$E$8:$EG$8,0))</f>
        <v>0.94132812499999996</v>
      </c>
      <c r="AW155" s="806">
        <f>INDEX('Venture Summary - Mthly'!$E158:$EG158,MATCH(AW$9,'Venture Summary - Mthly'!$E$8:$EG$8,0))</f>
        <v>0.94132812499999996</v>
      </c>
      <c r="AX155" s="806"/>
    </row>
    <row r="156" spans="1:50" ht="12.75" customHeight="1" x14ac:dyDescent="0.3">
      <c r="A156" s="782"/>
      <c r="B156" s="782" t="s">
        <v>93</v>
      </c>
      <c r="C156" s="782"/>
      <c r="D156" s="782"/>
      <c r="E156" s="782">
        <f>INDEX('Venture Summary - Mthly'!$E159:$EG159,MATCH(E$9,'Venture Summary - Mthly'!$E$8:$EG$8,0))</f>
        <v>0</v>
      </c>
      <c r="F156" s="782">
        <f>INDEX('Venture Summary - Mthly'!$E159:$EG159,MATCH(F$9,'Venture Summary - Mthly'!$E$8:$EG$8,0))</f>
        <v>0</v>
      </c>
      <c r="G156" s="782">
        <f>INDEX('Venture Summary - Mthly'!$E159:$EG159,MATCH(G$9,'Venture Summary - Mthly'!$E$8:$EG$8,0))</f>
        <v>0</v>
      </c>
      <c r="H156" s="782">
        <f>INDEX('Venture Summary - Mthly'!$E159:$EG159,MATCH(H$9,'Venture Summary - Mthly'!$E$8:$EG$8,0))</f>
        <v>0</v>
      </c>
      <c r="I156" s="782">
        <f>INDEX('Venture Summary - Mthly'!$E159:$EG159,MATCH(I$9,'Venture Summary - Mthly'!$E$8:$EG$8,0))</f>
        <v>0</v>
      </c>
      <c r="J156" s="782">
        <f>INDEX('Venture Summary - Mthly'!$E159:$EG159,MATCH(J$9,'Venture Summary - Mthly'!$E$8:$EG$8,0))</f>
        <v>0</v>
      </c>
      <c r="K156" s="782">
        <f>INDEX('Venture Summary - Mthly'!$E159:$EG159,MATCH(K$9,'Venture Summary - Mthly'!$E$8:$EG$8,0))</f>
        <v>0</v>
      </c>
      <c r="L156" s="782">
        <f>INDEX('Venture Summary - Mthly'!$E159:$EG159,MATCH(L$9,'Venture Summary - Mthly'!$E$8:$EG$8,0))</f>
        <v>0</v>
      </c>
      <c r="M156" s="782">
        <f>INDEX('Venture Summary - Mthly'!$E159:$EG159,MATCH(M$9,'Venture Summary - Mthly'!$E$8:$EG$8,0))</f>
        <v>0</v>
      </c>
      <c r="N156" s="782">
        <f>INDEX('Venture Summary - Mthly'!$E159:$EG159,MATCH(N$9,'Venture Summary - Mthly'!$E$8:$EG$8,0))</f>
        <v>0</v>
      </c>
      <c r="O156" s="782">
        <f>INDEX('Venture Summary - Mthly'!$E159:$EG159,MATCH(O$9,'Venture Summary - Mthly'!$E$8:$EG$8,0))</f>
        <v>1</v>
      </c>
      <c r="P156" s="782">
        <f>INDEX('Venture Summary - Mthly'!$E159:$EG159,MATCH(P$9,'Venture Summary - Mthly'!$E$8:$EG$8,0))</f>
        <v>1</v>
      </c>
      <c r="Q156" s="782">
        <f>INDEX('Venture Summary - Mthly'!$E159:$EG159,MATCH(Q$9,'Venture Summary - Mthly'!$E$8:$EG$8,0))</f>
        <v>1</v>
      </c>
      <c r="R156" s="782">
        <f>INDEX('Venture Summary - Mthly'!$E159:$EG159,MATCH(R$9,'Venture Summary - Mthly'!$E$8:$EG$8,0))</f>
        <v>1</v>
      </c>
      <c r="S156" s="782">
        <f>INDEX('Venture Summary - Mthly'!$E159:$EG159,MATCH(S$9,'Venture Summary - Mthly'!$E$8:$EG$8,0))</f>
        <v>1</v>
      </c>
      <c r="T156" s="782">
        <f>INDEX('Venture Summary - Mthly'!$E159:$EG159,MATCH(T$9,'Venture Summary - Mthly'!$E$8:$EG$8,0))</f>
        <v>1</v>
      </c>
      <c r="U156" s="782">
        <f>INDEX('Venture Summary - Mthly'!$E159:$EG159,MATCH(U$9,'Venture Summary - Mthly'!$E$8:$EG$8,0))</f>
        <v>1</v>
      </c>
      <c r="V156" s="782">
        <f>INDEX('Venture Summary - Mthly'!$E159:$EG159,MATCH(V$9,'Venture Summary - Mthly'!$E$8:$EG$8,0))</f>
        <v>1</v>
      </c>
      <c r="W156" s="782">
        <f>INDEX('Venture Summary - Mthly'!$E159:$EG159,MATCH(W$9,'Venture Summary - Mthly'!$E$8:$EG$8,0))</f>
        <v>1</v>
      </c>
      <c r="X156" s="782">
        <f>INDEX('Venture Summary - Mthly'!$E159:$EG159,MATCH(X$9,'Venture Summary - Mthly'!$E$8:$EG$8,0))</f>
        <v>1</v>
      </c>
      <c r="Y156" s="782">
        <f>INDEX('Venture Summary - Mthly'!$E159:$EG159,MATCH(Y$9,'Venture Summary - Mthly'!$E$8:$EG$8,0))</f>
        <v>1</v>
      </c>
      <c r="Z156" s="782">
        <f>INDEX('Venture Summary - Mthly'!$E159:$EG159,MATCH(Z$9,'Venture Summary - Mthly'!$E$8:$EG$8,0))</f>
        <v>1</v>
      </c>
      <c r="AA156" s="782">
        <f>INDEX('Venture Summary - Mthly'!$E159:$EG159,MATCH(AA$9,'Venture Summary - Mthly'!$E$8:$EG$8,0))</f>
        <v>1</v>
      </c>
      <c r="AB156" s="782">
        <f>INDEX('Venture Summary - Mthly'!$E159:$EG159,MATCH(AB$9,'Venture Summary - Mthly'!$E$8:$EG$8,0))</f>
        <v>1</v>
      </c>
      <c r="AC156" s="782">
        <f>INDEX('Venture Summary - Mthly'!$E159:$EG159,MATCH(AC$9,'Venture Summary - Mthly'!$E$8:$EG$8,0))</f>
        <v>1</v>
      </c>
      <c r="AD156" s="782">
        <f>INDEX('Venture Summary - Mthly'!$E159:$EG159,MATCH(AD$9,'Venture Summary - Mthly'!$E$8:$EG$8,0))</f>
        <v>1</v>
      </c>
      <c r="AE156" s="782">
        <f>INDEX('Venture Summary - Mthly'!$E159:$EG159,MATCH(AE$9,'Venture Summary - Mthly'!$E$8:$EG$8,0))</f>
        <v>1</v>
      </c>
      <c r="AF156" s="782">
        <f>INDEX('Venture Summary - Mthly'!$E159:$EG159,MATCH(AF$9,'Venture Summary - Mthly'!$E$8:$EG$8,0))</f>
        <v>1</v>
      </c>
      <c r="AG156" s="782">
        <f>INDEX('Venture Summary - Mthly'!$E159:$EG159,MATCH(AG$9,'Venture Summary - Mthly'!$E$8:$EG$8,0))</f>
        <v>1</v>
      </c>
      <c r="AH156" s="782">
        <f>INDEX('Venture Summary - Mthly'!$E159:$EG159,MATCH(AH$9,'Venture Summary - Mthly'!$E$8:$EG$8,0))</f>
        <v>1</v>
      </c>
      <c r="AI156" s="782">
        <f>INDEX('Venture Summary - Mthly'!$E159:$EG159,MATCH(AI$9,'Venture Summary - Mthly'!$E$8:$EG$8,0))</f>
        <v>1</v>
      </c>
      <c r="AJ156" s="782">
        <f>INDEX('Venture Summary - Mthly'!$E159:$EG159,MATCH(AJ$9,'Venture Summary - Mthly'!$E$8:$EG$8,0))</f>
        <v>1</v>
      </c>
      <c r="AK156" s="782">
        <f>INDEX('Venture Summary - Mthly'!$E159:$EG159,MATCH(AK$9,'Venture Summary - Mthly'!$E$8:$EG$8,0))</f>
        <v>1</v>
      </c>
      <c r="AL156" s="782">
        <f>INDEX('Venture Summary - Mthly'!$E159:$EG159,MATCH(AL$9,'Venture Summary - Mthly'!$E$8:$EG$8,0))</f>
        <v>1</v>
      </c>
      <c r="AM156" s="782">
        <f>INDEX('Venture Summary - Mthly'!$E159:$EG159,MATCH(AM$9,'Venture Summary - Mthly'!$E$8:$EG$8,0))</f>
        <v>1</v>
      </c>
      <c r="AN156" s="782">
        <f>INDEX('Venture Summary - Mthly'!$E159:$EG159,MATCH(AN$9,'Venture Summary - Mthly'!$E$8:$EG$8,0))</f>
        <v>1</v>
      </c>
      <c r="AO156" s="782">
        <f>INDEX('Venture Summary - Mthly'!$E159:$EG159,MATCH(AO$9,'Venture Summary - Mthly'!$E$8:$EG$8,0))</f>
        <v>1</v>
      </c>
      <c r="AP156" s="782">
        <f>INDEX('Venture Summary - Mthly'!$E159:$EG159,MATCH(AP$9,'Venture Summary - Mthly'!$E$8:$EG$8,0))</f>
        <v>1</v>
      </c>
      <c r="AQ156" s="782">
        <f>INDEX('Venture Summary - Mthly'!$E159:$EG159,MATCH(AQ$9,'Venture Summary - Mthly'!$E$8:$EG$8,0))</f>
        <v>1</v>
      </c>
      <c r="AR156" s="782">
        <f>INDEX('Venture Summary - Mthly'!$E159:$EG159,MATCH(AR$9,'Venture Summary - Mthly'!$E$8:$EG$8,0))</f>
        <v>1</v>
      </c>
      <c r="AS156" s="782">
        <f>INDEX('Venture Summary - Mthly'!$E159:$EG159,MATCH(AS$9,'Venture Summary - Mthly'!$E$8:$EG$8,0))</f>
        <v>1</v>
      </c>
      <c r="AT156" s="782">
        <f>INDEX('Venture Summary - Mthly'!$E159:$EG159,MATCH(AT$9,'Venture Summary - Mthly'!$E$8:$EG$8,0))</f>
        <v>1</v>
      </c>
      <c r="AU156" s="782">
        <f>INDEX('Venture Summary - Mthly'!$E159:$EG159,MATCH(AU$9,'Venture Summary - Mthly'!$E$8:$EG$8,0))</f>
        <v>1</v>
      </c>
      <c r="AV156" s="782">
        <f>INDEX('Venture Summary - Mthly'!$E159:$EG159,MATCH(AV$9,'Venture Summary - Mthly'!$E$8:$EG$8,0))</f>
        <v>1</v>
      </c>
      <c r="AW156" s="782">
        <f>INDEX('Venture Summary - Mthly'!$E159:$EG159,MATCH(AW$9,'Venture Summary - Mthly'!$E$8:$EG$8,0))</f>
        <v>1</v>
      </c>
      <c r="AX156" s="782"/>
    </row>
    <row r="157" spans="1:50" ht="12.75" customHeight="1" x14ac:dyDescent="0.3">
      <c r="A157" s="782"/>
      <c r="B157" s="782" t="s">
        <v>94</v>
      </c>
      <c r="C157" s="782"/>
      <c r="D157" s="782"/>
      <c r="E157" s="782">
        <f>INDEX('Venture Summary - Mthly'!$E160:$EG160,MATCH(E$9,'Venture Summary - Mthly'!$E$8:$EG$8,0))</f>
        <v>0</v>
      </c>
      <c r="F157" s="782">
        <f>INDEX('Venture Summary - Mthly'!$E160:$EG160,MATCH(F$9,'Venture Summary - Mthly'!$E$8:$EG$8,0))</f>
        <v>0</v>
      </c>
      <c r="G157" s="782">
        <f>INDEX('Venture Summary - Mthly'!$E160:$EG160,MATCH(G$9,'Venture Summary - Mthly'!$E$8:$EG$8,0))</f>
        <v>0</v>
      </c>
      <c r="H157" s="782">
        <f>INDEX('Venture Summary - Mthly'!$E160:$EG160,MATCH(H$9,'Venture Summary - Mthly'!$E$8:$EG$8,0))</f>
        <v>0</v>
      </c>
      <c r="I157" s="782">
        <f>INDEX('Venture Summary - Mthly'!$E160:$EG160,MATCH(I$9,'Venture Summary - Mthly'!$E$8:$EG$8,0))</f>
        <v>0</v>
      </c>
      <c r="J157" s="782">
        <f>INDEX('Venture Summary - Mthly'!$E160:$EG160,MATCH(J$9,'Venture Summary - Mthly'!$E$8:$EG$8,0))</f>
        <v>0</v>
      </c>
      <c r="K157" s="782">
        <f>INDEX('Venture Summary - Mthly'!$E160:$EG160,MATCH(K$9,'Venture Summary - Mthly'!$E$8:$EG$8,0))</f>
        <v>0</v>
      </c>
      <c r="L157" s="782">
        <f>INDEX('Venture Summary - Mthly'!$E160:$EG160,MATCH(L$9,'Venture Summary - Mthly'!$E$8:$EG$8,0))</f>
        <v>0</v>
      </c>
      <c r="M157" s="782">
        <f>INDEX('Venture Summary - Mthly'!$E160:$EG160,MATCH(M$9,'Venture Summary - Mthly'!$E$8:$EG$8,0))</f>
        <v>0</v>
      </c>
      <c r="N157" s="782">
        <f>INDEX('Venture Summary - Mthly'!$E160:$EG160,MATCH(N$9,'Venture Summary - Mthly'!$E$8:$EG$8,0))</f>
        <v>0</v>
      </c>
      <c r="O157" s="782">
        <f>INDEX('Venture Summary - Mthly'!$E160:$EG160,MATCH(O$9,'Venture Summary - Mthly'!$E$8:$EG$8,0))</f>
        <v>2</v>
      </c>
      <c r="P157" s="782">
        <f>INDEX('Venture Summary - Mthly'!$E160:$EG160,MATCH(P$9,'Venture Summary - Mthly'!$E$8:$EG$8,0))</f>
        <v>5</v>
      </c>
      <c r="Q157" s="782">
        <f>INDEX('Venture Summary - Mthly'!$E160:$EG160,MATCH(Q$9,'Venture Summary - Mthly'!$E$8:$EG$8,0))</f>
        <v>8</v>
      </c>
      <c r="R157" s="782">
        <f>INDEX('Venture Summary - Mthly'!$E160:$EG160,MATCH(R$9,'Venture Summary - Mthly'!$E$8:$EG$8,0))</f>
        <v>11</v>
      </c>
      <c r="S157" s="782">
        <f>INDEX('Venture Summary - Mthly'!$E160:$EG160,MATCH(S$9,'Venture Summary - Mthly'!$E$8:$EG$8,0))</f>
        <v>14</v>
      </c>
      <c r="T157" s="782">
        <f>INDEX('Venture Summary - Mthly'!$E160:$EG160,MATCH(T$9,'Venture Summary - Mthly'!$E$8:$EG$8,0))</f>
        <v>17</v>
      </c>
      <c r="U157" s="782">
        <f>INDEX('Venture Summary - Mthly'!$E160:$EG160,MATCH(U$9,'Venture Summary - Mthly'!$E$8:$EG$8,0))</f>
        <v>20</v>
      </c>
      <c r="V157" s="782">
        <f>INDEX('Venture Summary - Mthly'!$E160:$EG160,MATCH(V$9,'Venture Summary - Mthly'!$E$8:$EG$8,0))</f>
        <v>23</v>
      </c>
      <c r="W157" s="782">
        <f>INDEX('Venture Summary - Mthly'!$E160:$EG160,MATCH(W$9,'Venture Summary - Mthly'!$E$8:$EG$8,0))</f>
        <v>26</v>
      </c>
      <c r="X157" s="782">
        <f>INDEX('Venture Summary - Mthly'!$E160:$EG160,MATCH(X$9,'Venture Summary - Mthly'!$E$8:$EG$8,0))</f>
        <v>29</v>
      </c>
      <c r="Y157" s="782">
        <f>INDEX('Venture Summary - Mthly'!$E160:$EG160,MATCH(Y$9,'Venture Summary - Mthly'!$E$8:$EG$8,0))</f>
        <v>32</v>
      </c>
      <c r="Z157" s="782">
        <f>INDEX('Venture Summary - Mthly'!$E160:$EG160,MATCH(Z$9,'Venture Summary - Mthly'!$E$8:$EG$8,0))</f>
        <v>35</v>
      </c>
      <c r="AA157" s="782">
        <f>INDEX('Venture Summary - Mthly'!$E160:$EG160,MATCH(AA$9,'Venture Summary - Mthly'!$E$8:$EG$8,0))</f>
        <v>38</v>
      </c>
      <c r="AB157" s="782">
        <f>INDEX('Venture Summary - Mthly'!$E160:$EG160,MATCH(AB$9,'Venture Summary - Mthly'!$E$8:$EG$8,0))</f>
        <v>41</v>
      </c>
      <c r="AC157" s="782">
        <f>INDEX('Venture Summary - Mthly'!$E160:$EG160,MATCH(AC$9,'Venture Summary - Mthly'!$E$8:$EG$8,0))</f>
        <v>44</v>
      </c>
      <c r="AD157" s="782">
        <f>INDEX('Venture Summary - Mthly'!$E160:$EG160,MATCH(AD$9,'Venture Summary - Mthly'!$E$8:$EG$8,0))</f>
        <v>47</v>
      </c>
      <c r="AE157" s="782">
        <f>INDEX('Venture Summary - Mthly'!$E160:$EG160,MATCH(AE$9,'Venture Summary - Mthly'!$E$8:$EG$8,0))</f>
        <v>50</v>
      </c>
      <c r="AF157" s="782">
        <f>INDEX('Venture Summary - Mthly'!$E160:$EG160,MATCH(AF$9,'Venture Summary - Mthly'!$E$8:$EG$8,0))</f>
        <v>53</v>
      </c>
      <c r="AG157" s="782">
        <f>INDEX('Venture Summary - Mthly'!$E160:$EG160,MATCH(AG$9,'Venture Summary - Mthly'!$E$8:$EG$8,0))</f>
        <v>56</v>
      </c>
      <c r="AH157" s="782">
        <f>INDEX('Venture Summary - Mthly'!$E160:$EG160,MATCH(AH$9,'Venture Summary - Mthly'!$E$8:$EG$8,0))</f>
        <v>59</v>
      </c>
      <c r="AI157" s="782">
        <f>INDEX('Venture Summary - Mthly'!$E160:$EG160,MATCH(AI$9,'Venture Summary - Mthly'!$E$8:$EG$8,0))</f>
        <v>62</v>
      </c>
      <c r="AJ157" s="782">
        <f>INDEX('Venture Summary - Mthly'!$E160:$EG160,MATCH(AJ$9,'Venture Summary - Mthly'!$E$8:$EG$8,0))</f>
        <v>65</v>
      </c>
      <c r="AK157" s="782">
        <f>INDEX('Venture Summary - Mthly'!$E160:$EG160,MATCH(AK$9,'Venture Summary - Mthly'!$E$8:$EG$8,0))</f>
        <v>68</v>
      </c>
      <c r="AL157" s="782">
        <f>INDEX('Venture Summary - Mthly'!$E160:$EG160,MATCH(AL$9,'Venture Summary - Mthly'!$E$8:$EG$8,0))</f>
        <v>71</v>
      </c>
      <c r="AM157" s="782">
        <f>INDEX('Venture Summary - Mthly'!$E160:$EG160,MATCH(AM$9,'Venture Summary - Mthly'!$E$8:$EG$8,0))</f>
        <v>74</v>
      </c>
      <c r="AN157" s="782">
        <f>INDEX('Venture Summary - Mthly'!$E160:$EG160,MATCH(AN$9,'Venture Summary - Mthly'!$E$8:$EG$8,0))</f>
        <v>77</v>
      </c>
      <c r="AO157" s="782">
        <f>INDEX('Venture Summary - Mthly'!$E160:$EG160,MATCH(AO$9,'Venture Summary - Mthly'!$E$8:$EG$8,0))</f>
        <v>80</v>
      </c>
      <c r="AP157" s="782">
        <f>INDEX('Venture Summary - Mthly'!$E160:$EG160,MATCH(AP$9,'Venture Summary - Mthly'!$E$8:$EG$8,0))</f>
        <v>83</v>
      </c>
      <c r="AQ157" s="782">
        <f>INDEX('Venture Summary - Mthly'!$E160:$EG160,MATCH(AQ$9,'Venture Summary - Mthly'!$E$8:$EG$8,0))</f>
        <v>86</v>
      </c>
      <c r="AR157" s="782">
        <f>INDEX('Venture Summary - Mthly'!$E160:$EG160,MATCH(AR$9,'Venture Summary - Mthly'!$E$8:$EG$8,0))</f>
        <v>89</v>
      </c>
      <c r="AS157" s="782">
        <f>INDEX('Venture Summary - Mthly'!$E160:$EG160,MATCH(AS$9,'Venture Summary - Mthly'!$E$8:$EG$8,0))</f>
        <v>92</v>
      </c>
      <c r="AT157" s="782">
        <f>INDEX('Venture Summary - Mthly'!$E160:$EG160,MATCH(AT$9,'Venture Summary - Mthly'!$E$8:$EG$8,0))</f>
        <v>95</v>
      </c>
      <c r="AU157" s="782">
        <f>INDEX('Venture Summary - Mthly'!$E160:$EG160,MATCH(AU$9,'Venture Summary - Mthly'!$E$8:$EG$8,0))</f>
        <v>98</v>
      </c>
      <c r="AV157" s="782">
        <f>INDEX('Venture Summary - Mthly'!$E160:$EG160,MATCH(AV$9,'Venture Summary - Mthly'!$E$8:$EG$8,0))</f>
        <v>101</v>
      </c>
      <c r="AW157" s="782">
        <f>INDEX('Venture Summary - Mthly'!$E160:$EG160,MATCH(AW$9,'Venture Summary - Mthly'!$E$8:$EG$8,0))</f>
        <v>104</v>
      </c>
      <c r="AX157" s="782"/>
    </row>
    <row r="158" spans="1:50" ht="12.75" customHeight="1" x14ac:dyDescent="0.3">
      <c r="A158" s="782"/>
      <c r="B158" s="782"/>
      <c r="C158" s="782"/>
      <c r="D158" s="782"/>
      <c r="E158" s="782"/>
      <c r="F158" s="782"/>
      <c r="G158" s="782"/>
      <c r="H158" s="782"/>
      <c r="I158" s="782"/>
      <c r="J158" s="782"/>
      <c r="K158" s="782"/>
      <c r="L158" s="782"/>
      <c r="M158" s="782"/>
      <c r="N158" s="782"/>
      <c r="O158" s="782"/>
      <c r="P158" s="782"/>
      <c r="Q158" s="782"/>
      <c r="R158" s="782"/>
      <c r="S158" s="782"/>
      <c r="T158" s="782"/>
      <c r="U158" s="782"/>
      <c r="V158" s="782"/>
      <c r="W158" s="782"/>
      <c r="X158" s="782"/>
      <c r="Y158" s="782"/>
      <c r="Z158" s="782"/>
      <c r="AA158" s="782"/>
      <c r="AB158" s="782"/>
      <c r="AC158" s="782"/>
      <c r="AD158" s="782"/>
      <c r="AE158" s="782"/>
      <c r="AF158" s="782"/>
      <c r="AG158" s="782"/>
      <c r="AH158" s="782"/>
      <c r="AI158" s="782"/>
      <c r="AJ158" s="782"/>
      <c r="AK158" s="782"/>
      <c r="AL158" s="782"/>
      <c r="AM158" s="782"/>
      <c r="AN158" s="782"/>
      <c r="AO158" s="782"/>
      <c r="AP158" s="782"/>
      <c r="AQ158" s="782"/>
      <c r="AR158" s="782"/>
      <c r="AS158" s="782"/>
      <c r="AT158" s="782"/>
      <c r="AU158" s="782"/>
      <c r="AV158" s="782"/>
      <c r="AW158" s="782"/>
      <c r="AX158" s="782"/>
    </row>
    <row r="159" spans="1:50" ht="12.75" customHeight="1" x14ac:dyDescent="0.3">
      <c r="A159" s="782"/>
      <c r="B159" s="782" t="s">
        <v>95</v>
      </c>
      <c r="C159" s="798"/>
      <c r="D159" s="782"/>
      <c r="E159" s="798">
        <f>SUMIF('Venture Summary - Mthly'!$E$8:$EG$8,E$9,'Venture Summary - Mthly'!$E162:$EG162)</f>
        <v>0</v>
      </c>
      <c r="F159" s="1149">
        <f>SUMIF('Venture Summary - Mthly'!$E$8:$EG$8,F$9,'Venture Summary - Mthly'!$E162:$EG162)</f>
        <v>0</v>
      </c>
      <c r="G159" s="1149">
        <f>SUMIF('Venture Summary - Mthly'!$E$8:$EG$8,G$9,'Venture Summary - Mthly'!$E162:$EG162)</f>
        <v>0</v>
      </c>
      <c r="H159" s="1149">
        <f>SUMIF('Venture Summary - Mthly'!$E$8:$EG$8,H$9,'Venture Summary - Mthly'!$E162:$EG162)</f>
        <v>0</v>
      </c>
      <c r="I159" s="1149">
        <f>SUMIF('Venture Summary - Mthly'!$E$8:$EG$8,I$9,'Venture Summary - Mthly'!$E162:$EG162)</f>
        <v>0</v>
      </c>
      <c r="J159" s="1149">
        <f>SUMIF('Venture Summary - Mthly'!$E$8:$EG$8,J$9,'Venture Summary - Mthly'!$E162:$EG162)</f>
        <v>42039.052179259306</v>
      </c>
      <c r="K159" s="1149">
        <f>SUMIF('Venture Summary - Mthly'!$E$8:$EG$8,K$9,'Venture Summary - Mthly'!$E162:$EG162)</f>
        <v>244772.76171095559</v>
      </c>
      <c r="L159" s="1149">
        <f>SUMIF('Venture Summary - Mthly'!$E$8:$EG$8,L$9,'Venture Summary - Mthly'!$E162:$EG162)</f>
        <v>621699.14588026446</v>
      </c>
      <c r="M159" s="1149">
        <f>SUMIF('Venture Summary - Mthly'!$E$8:$EG$8,M$9,'Venture Summary - Mthly'!$E162:$EG162)</f>
        <v>1096151.6629235831</v>
      </c>
      <c r="N159" s="1149">
        <f>SUMIF('Venture Summary - Mthly'!$E$8:$EG$8,N$9,'Venture Summary - Mthly'!$E162:$EG162)</f>
        <v>1614962.5764807253</v>
      </c>
      <c r="O159" s="1149">
        <f>SUMIF('Venture Summary - Mthly'!$E$8:$EG$8,O$9,'Venture Summary - Mthly'!$E162:$EG162)</f>
        <v>1911860.0753255186</v>
      </c>
      <c r="P159" s="1149">
        <f>SUMIF('Venture Summary - Mthly'!$E$8:$EG$8,P$9,'Venture Summary - Mthly'!$E162:$EG162)</f>
        <v>1935209.9056215957</v>
      </c>
      <c r="Q159" s="1149">
        <f>SUMIF('Venture Summary - Mthly'!$E$8:$EG$8,Q$9,'Venture Summary - Mthly'!$E162:$EG162)</f>
        <v>1960948.8384636079</v>
      </c>
      <c r="R159" s="1149">
        <f>SUMIF('Venture Summary - Mthly'!$E$8:$EG$8,R$9,'Venture Summary - Mthly'!$E162:$EG162)</f>
        <v>1985927.1343257879</v>
      </c>
      <c r="S159" s="1149">
        <f>SUMIF('Venture Summary - Mthly'!$E$8:$EG$8,S$9,'Venture Summary - Mthly'!$E162:$EG162)</f>
        <v>2007572.481307287</v>
      </c>
      <c r="T159" s="1149">
        <f>SUMIF('Venture Summary - Mthly'!$E$8:$EG$8,T$9,'Venture Summary - Mthly'!$E162:$EG162)</f>
        <v>2028764.0051010363</v>
      </c>
      <c r="U159" s="1149">
        <f>SUMIF('Venture Summary - Mthly'!$E$8:$EG$8,U$9,'Venture Summary - Mthly'!$E162:$EG162)</f>
        <v>2050324.5656956199</v>
      </c>
      <c r="V159" s="1149">
        <f>SUMIF('Venture Summary - Mthly'!$E$8:$EG$8,V$9,'Venture Summary - Mthly'!$E162:$EG162)</f>
        <v>2069336.8299098958</v>
      </c>
      <c r="W159" s="1149">
        <f>SUMIF('Venture Summary - Mthly'!$E$8:$EG$8,W$9,'Venture Summary - Mthly'!$E162:$EG162)</f>
        <v>2085133.398149916</v>
      </c>
      <c r="X159" s="1149">
        <f>SUMIF('Venture Summary - Mthly'!$E$8:$EG$8,X$9,'Venture Summary - Mthly'!$E162:$EG162)</f>
        <v>2102159.7029086631</v>
      </c>
      <c r="Y159" s="1149">
        <f>SUMIF('Venture Summary - Mthly'!$E$8:$EG$8,Y$9,'Venture Summary - Mthly'!$E162:$EG162)</f>
        <v>2122401.4163656365</v>
      </c>
      <c r="Z159" s="1149">
        <f>SUMIF('Venture Summary - Mthly'!$E$8:$EG$8,Z$9,'Venture Summary - Mthly'!$E162:$EG162)</f>
        <v>2143752.1278551146</v>
      </c>
      <c r="AA159" s="1149">
        <f>SUMIF('Venture Summary - Mthly'!$E$8:$EG$8,AA$9,'Venture Summary - Mthly'!$E162:$EG162)</f>
        <v>2163304.627510983</v>
      </c>
      <c r="AB159" s="1149">
        <f>SUMIF('Venture Summary - Mthly'!$E$8:$EG$8,AB$9,'Venture Summary - Mthly'!$E162:$EG162)</f>
        <v>2184028.029507753</v>
      </c>
      <c r="AC159" s="1149">
        <f>SUMIF('Venture Summary - Mthly'!$E$8:$EG$8,AC$9,'Venture Summary - Mthly'!$E162:$EG162)</f>
        <v>2207307.7365703927</v>
      </c>
      <c r="AD159" s="1149">
        <f>SUMIF('Venture Summary - Mthly'!$E$8:$EG$8,AD$9,'Venture Summary - Mthly'!$E162:$EG162)</f>
        <v>2230442.643305908</v>
      </c>
      <c r="AE159" s="1149">
        <f>SUMIF('Venture Summary - Mthly'!$E$8:$EG$8,AE$9,'Venture Summary - Mthly'!$E162:$EG162)</f>
        <v>2250959.4592000665</v>
      </c>
      <c r="AF159" s="1149">
        <f>SUMIF('Venture Summary - Mthly'!$E$8:$EG$8,AF$9,'Venture Summary - Mthly'!$E162:$EG162)</f>
        <v>2272530.7412548834</v>
      </c>
      <c r="AG159" s="1149">
        <f>SUMIF('Venture Summary - Mthly'!$E$8:$EG$8,AG$9,'Venture Summary - Mthly'!$E162:$EG162)</f>
        <v>2296766.1740247691</v>
      </c>
      <c r="AH159" s="1149">
        <f>SUMIF('Venture Summary - Mthly'!$E$8:$EG$8,AH$9,'Venture Summary - Mthly'!$E162:$EG162)</f>
        <v>2320850.4759257138</v>
      </c>
      <c r="AI159" s="1149">
        <f>SUMIF('Venture Summary - Mthly'!$E$8:$EG$8,AI$9,'Venture Summary - Mthly'!$E162:$EG162)</f>
        <v>2342205.8098849095</v>
      </c>
      <c r="AJ159" s="1149">
        <f>SUMIF('Venture Summary - Mthly'!$E$8:$EG$8,AJ$9,'Venture Summary - Mthly'!$E162:$EG162)</f>
        <v>2364659.9688531244</v>
      </c>
      <c r="AK159" s="1149">
        <f>SUMIF('Venture Summary - Mthly'!$E$8:$EG$8,AK$9,'Venture Summary - Mthly'!$E162:$EG162)</f>
        <v>2389890.6765277712</v>
      </c>
      <c r="AL159" s="1149">
        <f>SUMIF('Venture Summary - Mthly'!$E$8:$EG$8,AL$9,'Venture Summary - Mthly'!$E162:$EG162)</f>
        <v>2414963.6489054929</v>
      </c>
      <c r="AM159" s="1149">
        <f>SUMIF('Venture Summary - Mthly'!$E$8:$EG$8,AM$9,'Venture Summary - Mthly'!$E162:$EG162)</f>
        <v>2437192.0831669434</v>
      </c>
      <c r="AN159" s="1149">
        <f>SUMIF('Venture Summary - Mthly'!$E$8:$EG$8,AN$9,'Venture Summary - Mthly'!$E162:$EG162)</f>
        <v>2460565.5699261217</v>
      </c>
      <c r="AO159" s="1149">
        <f>SUMIF('Venture Summary - Mthly'!$E$8:$EG$8,AO$9,'Venture Summary - Mthly'!$E162:$EG162)</f>
        <v>2486832.747963435</v>
      </c>
      <c r="AP159" s="1149">
        <f>SUMIF('Venture Summary - Mthly'!$E$8:$EG$8,AP$9,'Venture Summary - Mthly'!$E162:$EG162)</f>
        <v>2512935.3006237103</v>
      </c>
      <c r="AQ159" s="1149">
        <f>SUMIF('Venture Summary - Mthly'!$E$8:$EG$8,AQ$9,'Venture Summary - Mthly'!$E162:$EG162)</f>
        <v>2536072.8533543916</v>
      </c>
      <c r="AR159" s="1149">
        <f>SUMIF('Venture Summary - Mthly'!$E$8:$EG$8,AR$9,'Venture Summary - Mthly'!$E162:$EG162)</f>
        <v>2560403.6335068266</v>
      </c>
      <c r="AS159" s="1149">
        <f>SUMIF('Venture Summary - Mthly'!$E$8:$EG$8,AS$9,'Venture Summary - Mthly'!$E162:$EG162)</f>
        <v>2587750.1924478174</v>
      </c>
      <c r="AT159" s="1149">
        <f>SUMIF('Venture Summary - Mthly'!$E$8:$EG$8,AT$9,'Venture Summary - Mthly'!$E162:$EG162)</f>
        <v>2614924.9380105603</v>
      </c>
      <c r="AU159" s="1149">
        <f>SUMIF('Venture Summary - Mthly'!$E$8:$EG$8,AU$9,'Venture Summary - Mthly'!$E162:$EG162)</f>
        <v>2639009.1232279572</v>
      </c>
      <c r="AV159" s="1149">
        <f>SUMIF('Venture Summary - Mthly'!$E$8:$EG$8,AV$9,'Venture Summary - Mthly'!$E162:$EG162)</f>
        <v>2664336.7403462967</v>
      </c>
      <c r="AW159" s="1149">
        <f>SUMIF('Venture Summary - Mthly'!$E$8:$EG$8,AW$9,'Venture Summary - Mthly'!$E162:$EG162)</f>
        <v>2692807.3775239866</v>
      </c>
      <c r="AX159" s="1149"/>
    </row>
    <row r="160" spans="1:50" ht="12.75" customHeight="1" x14ac:dyDescent="0.3">
      <c r="A160" s="782"/>
      <c r="B160" s="782" t="s">
        <v>96</v>
      </c>
      <c r="C160" s="798"/>
      <c r="D160" s="782"/>
      <c r="E160" s="838">
        <f>SUMIF('Venture Summary - Mthly'!$E$8:$EG$8,E$9,'Venture Summary - Mthly'!$E163:$EG163)</f>
        <v>0</v>
      </c>
      <c r="F160" s="1151">
        <f>SUMIF('Venture Summary - Mthly'!$E$8:$EG$8,F$9,'Venture Summary - Mthly'!$E163:$EG163)</f>
        <v>0</v>
      </c>
      <c r="G160" s="1151">
        <f>SUMIF('Venture Summary - Mthly'!$E$8:$EG$8,G$9,'Venture Summary - Mthly'!$E163:$EG163)</f>
        <v>0</v>
      </c>
      <c r="H160" s="1151">
        <f>SUMIF('Venture Summary - Mthly'!$E$8:$EG$8,H$9,'Venture Summary - Mthly'!$E163:$EG163)</f>
        <v>0</v>
      </c>
      <c r="I160" s="1151">
        <f>SUMIF('Venture Summary - Mthly'!$E$8:$EG$8,I$9,'Venture Summary - Mthly'!$E163:$EG163)</f>
        <v>0</v>
      </c>
      <c r="J160" s="1151">
        <f>SUMIF('Venture Summary - Mthly'!$E$8:$EG$8,J$9,'Venture Summary - Mthly'!$E163:$EG163)</f>
        <v>-184013.61431323818</v>
      </c>
      <c r="K160" s="1151">
        <f>SUMIF('Venture Summary - Mthly'!$E$8:$EG$8,K$9,'Venture Summary - Mthly'!$E163:$EG163)</f>
        <v>-381878.73362128518</v>
      </c>
      <c r="L160" s="1151">
        <f>SUMIF('Venture Summary - Mthly'!$E$8:$EG$8,L$9,'Venture Summary - Mthly'!$E163:$EG163)</f>
        <v>-414042.34047085745</v>
      </c>
      <c r="M160" s="1151">
        <f>SUMIF('Venture Summary - Mthly'!$E$8:$EG$8,M$9,'Venture Summary - Mthly'!$E163:$EG163)</f>
        <v>-424502.0629757499</v>
      </c>
      <c r="N160" s="1151">
        <f>SUMIF('Venture Summary - Mthly'!$E$8:$EG$8,N$9,'Venture Summary - Mthly'!$E163:$EG163)</f>
        <v>-430193.06739690027</v>
      </c>
      <c r="O160" s="1151">
        <f>SUMIF('Venture Summary - Mthly'!$E$8:$EG$8,O$9,'Venture Summary - Mthly'!$E163:$EG163)</f>
        <v>-469978.9945274035</v>
      </c>
      <c r="P160" s="1151">
        <f>SUMIF('Venture Summary - Mthly'!$E$8:$EG$8,P$9,'Venture Summary - Mthly'!$E163:$EG163)</f>
        <v>-472584.20988464123</v>
      </c>
      <c r="Q160" s="1151">
        <f>SUMIF('Venture Summary - Mthly'!$E$8:$EG$8,Q$9,'Venture Summary - Mthly'!$E163:$EG163)</f>
        <v>-472584.20988464123</v>
      </c>
      <c r="R160" s="1151">
        <f>SUMIF('Venture Summary - Mthly'!$E$8:$EG$8,R$9,'Venture Summary - Mthly'!$E163:$EG163)</f>
        <v>-472584.20988464123</v>
      </c>
      <c r="S160" s="1151">
        <f>SUMIF('Venture Summary - Mthly'!$E$8:$EG$8,S$9,'Venture Summary - Mthly'!$E163:$EG163)</f>
        <v>-491480.8361811809</v>
      </c>
      <c r="T160" s="1151">
        <f>SUMIF('Venture Summary - Mthly'!$E$8:$EG$8,T$9,'Venture Summary - Mthly'!$E163:$EG163)</f>
        <v>-491480.8361811809</v>
      </c>
      <c r="U160" s="1151">
        <f>SUMIF('Venture Summary - Mthly'!$E$8:$EG$8,U$9,'Venture Summary - Mthly'!$E163:$EG163)</f>
        <v>-491480.8361811809</v>
      </c>
      <c r="V160" s="1151">
        <f>SUMIF('Venture Summary - Mthly'!$E$8:$EG$8,V$9,'Venture Summary - Mthly'!$E163:$EG163)</f>
        <v>-491480.8361811809</v>
      </c>
      <c r="W160" s="1151">
        <f>SUMIF('Venture Summary - Mthly'!$E$8:$EG$8,W$9,'Venture Summary - Mthly'!$E163:$EG163)</f>
        <v>-506557.76126661676</v>
      </c>
      <c r="X160" s="1151">
        <f>SUMIF('Venture Summary - Mthly'!$E$8:$EG$8,X$9,'Venture Summary - Mthly'!$E163:$EG163)</f>
        <v>-506557.76126661676</v>
      </c>
      <c r="Y160" s="1151">
        <f>SUMIF('Venture Summary - Mthly'!$E$8:$EG$8,Y$9,'Venture Summary - Mthly'!$E163:$EG163)</f>
        <v>-506557.76126661676</v>
      </c>
      <c r="Z160" s="1151">
        <f>SUMIF('Venture Summary - Mthly'!$E$8:$EG$8,Z$9,'Venture Summary - Mthly'!$E163:$EG163)</f>
        <v>-506557.76126661676</v>
      </c>
      <c r="AA160" s="1151">
        <f>SUMIF('Venture Summary - Mthly'!$E$8:$EG$8,AA$9,'Venture Summary - Mthly'!$E163:$EG163)</f>
        <v>-522416.83491229045</v>
      </c>
      <c r="AB160" s="1151">
        <f>SUMIF('Venture Summary - Mthly'!$E$8:$EG$8,AB$9,'Venture Summary - Mthly'!$E163:$EG163)</f>
        <v>-522416.83491229056</v>
      </c>
      <c r="AC160" s="1151">
        <f>SUMIF('Venture Summary - Mthly'!$E$8:$EG$8,AC$9,'Venture Summary - Mthly'!$E163:$EG163)</f>
        <v>-522416.83491229045</v>
      </c>
      <c r="AD160" s="1151">
        <f>SUMIF('Venture Summary - Mthly'!$E$8:$EG$8,AD$9,'Venture Summary - Mthly'!$E163:$EG163)</f>
        <v>-522416.83491229045</v>
      </c>
      <c r="AE160" s="1151">
        <f>SUMIF('Venture Summary - Mthly'!$E$8:$EG$8,AE$9,'Venture Summary - Mthly'!$E163:$EG163)</f>
        <v>-538798.06995716039</v>
      </c>
      <c r="AF160" s="1151">
        <f>SUMIF('Venture Summary - Mthly'!$E$8:$EG$8,AF$9,'Venture Summary - Mthly'!$E163:$EG163)</f>
        <v>-538798.06995716039</v>
      </c>
      <c r="AG160" s="1151">
        <f>SUMIF('Venture Summary - Mthly'!$E$8:$EG$8,AG$9,'Venture Summary - Mthly'!$E163:$EG163)</f>
        <v>-538798.06995716039</v>
      </c>
      <c r="AH160" s="1151">
        <f>SUMIF('Venture Summary - Mthly'!$E$8:$EG$8,AH$9,'Venture Summary - Mthly'!$E163:$EG163)</f>
        <v>-538798.06995716039</v>
      </c>
      <c r="AI160" s="1151">
        <f>SUMIF('Venture Summary - Mthly'!$E$8:$EG$8,AI$9,'Venture Summary - Mthly'!$E163:$EG163)</f>
        <v>-555721.11349474359</v>
      </c>
      <c r="AJ160" s="1151">
        <f>SUMIF('Venture Summary - Mthly'!$E$8:$EG$8,AJ$9,'Venture Summary - Mthly'!$E163:$EG163)</f>
        <v>-555721.11349474359</v>
      </c>
      <c r="AK160" s="1151">
        <f>SUMIF('Venture Summary - Mthly'!$E$8:$EG$8,AK$9,'Venture Summary - Mthly'!$E163:$EG163)</f>
        <v>-555721.11349474359</v>
      </c>
      <c r="AL160" s="1151">
        <f>SUMIF('Venture Summary - Mthly'!$E$8:$EG$8,AL$9,'Venture Summary - Mthly'!$E163:$EG163)</f>
        <v>-555721.11349474359</v>
      </c>
      <c r="AM160" s="1151">
        <f>SUMIF('Venture Summary - Mthly'!$E$8:$EG$8,AM$9,'Venture Summary - Mthly'!$E163:$EG163)</f>
        <v>-573206.57852739166</v>
      </c>
      <c r="AN160" s="1151">
        <f>SUMIF('Venture Summary - Mthly'!$E$8:$EG$8,AN$9,'Venture Summary - Mthly'!$E163:$EG163)</f>
        <v>-573206.57852739166</v>
      </c>
      <c r="AO160" s="1151">
        <f>SUMIF('Venture Summary - Mthly'!$E$8:$EG$8,AO$9,'Venture Summary - Mthly'!$E163:$EG163)</f>
        <v>-573206.57852739166</v>
      </c>
      <c r="AP160" s="1151">
        <f>SUMIF('Venture Summary - Mthly'!$E$8:$EG$8,AP$9,'Venture Summary - Mthly'!$E163:$EG163)</f>
        <v>-573206.57852739166</v>
      </c>
      <c r="AQ160" s="1151">
        <f>SUMIF('Venture Summary - Mthly'!$E$8:$EG$8,AQ$9,'Venture Summary - Mthly'!$E163:$EG163)</f>
        <v>-591276.10987414059</v>
      </c>
      <c r="AR160" s="1151">
        <f>SUMIF('Venture Summary - Mthly'!$E$8:$EG$8,AR$9,'Venture Summary - Mthly'!$E163:$EG163)</f>
        <v>-591276.10987414059</v>
      </c>
      <c r="AS160" s="1151">
        <f>SUMIF('Venture Summary - Mthly'!$E$8:$EG$8,AS$9,'Venture Summary - Mthly'!$E163:$EG163)</f>
        <v>-591276.10987414059</v>
      </c>
      <c r="AT160" s="1151">
        <f>SUMIF('Venture Summary - Mthly'!$E$8:$EG$8,AT$9,'Venture Summary - Mthly'!$E163:$EG163)</f>
        <v>-591276.10987414059</v>
      </c>
      <c r="AU160" s="1151">
        <f>SUMIF('Venture Summary - Mthly'!$E$8:$EG$8,AU$9,'Venture Summary - Mthly'!$E163:$EG163)</f>
        <v>-609952.45572506508</v>
      </c>
      <c r="AV160" s="1151">
        <f>SUMIF('Venture Summary - Mthly'!$E$8:$EG$8,AV$9,'Venture Summary - Mthly'!$E163:$EG163)</f>
        <v>-609952.45572506508</v>
      </c>
      <c r="AW160" s="1151">
        <f>SUMIF('Venture Summary - Mthly'!$E$8:$EG$8,AW$9,'Venture Summary - Mthly'!$E163:$EG163)</f>
        <v>-609952.45572506508</v>
      </c>
      <c r="AX160" s="1151"/>
    </row>
    <row r="161" spans="1:50" ht="12.75" customHeight="1" x14ac:dyDescent="0.3">
      <c r="A161" s="782"/>
      <c r="B161" s="782" t="s">
        <v>97</v>
      </c>
      <c r="C161" s="798"/>
      <c r="D161" s="782"/>
      <c r="E161" s="798">
        <f>SUMIF('Venture Summary - Mthly'!$E$8:$EG$8,E$9,'Venture Summary - Mthly'!$E164:$EG164)</f>
        <v>0</v>
      </c>
      <c r="F161" s="798">
        <f>SUMIF('Venture Summary - Mthly'!$E$8:$EG$8,F$9,'Venture Summary - Mthly'!$E164:$EG164)</f>
        <v>0</v>
      </c>
      <c r="G161" s="798">
        <f>SUMIF('Venture Summary - Mthly'!$E$8:$EG$8,G$9,'Venture Summary - Mthly'!$E164:$EG164)</f>
        <v>0</v>
      </c>
      <c r="H161" s="798">
        <f>SUMIF('Venture Summary - Mthly'!$E$8:$EG$8,H$9,'Venture Summary - Mthly'!$E164:$EG164)</f>
        <v>0</v>
      </c>
      <c r="I161" s="798">
        <f>SUMIF('Venture Summary - Mthly'!$E$8:$EG$8,I$9,'Venture Summary - Mthly'!$E164:$EG164)</f>
        <v>0</v>
      </c>
      <c r="J161" s="798">
        <f>SUMIF('Venture Summary - Mthly'!$E$8:$EG$8,J$9,'Venture Summary - Mthly'!$E164:$EG164)</f>
        <v>-20000</v>
      </c>
      <c r="K161" s="798">
        <f>SUMIF('Venture Summary - Mthly'!$E$8:$EG$8,K$9,'Venture Summary - Mthly'!$E164:$EG164)</f>
        <v>-30000</v>
      </c>
      <c r="L161" s="798">
        <f>SUMIF('Venture Summary - Mthly'!$E$8:$EG$8,L$9,'Venture Summary - Mthly'!$E164:$EG164)</f>
        <v>-30000</v>
      </c>
      <c r="M161" s="798">
        <f>SUMIF('Venture Summary - Mthly'!$E$8:$EG$8,M$9,'Venture Summary - Mthly'!$E164:$EG164)</f>
        <v>-33622.238051203887</v>
      </c>
      <c r="N161" s="798">
        <f>SUMIF('Venture Summary - Mthly'!$E$8:$EG$8,N$9,'Venture Summary - Mthly'!$E164:$EG164)</f>
        <v>-48448.877294421764</v>
      </c>
      <c r="O161" s="798">
        <f>SUMIF('Venture Summary - Mthly'!$E$8:$EG$8,O$9,'Venture Summary - Mthly'!$E164:$EG164)</f>
        <v>-57355.802259765551</v>
      </c>
      <c r="P161" s="798">
        <f>SUMIF('Venture Summary - Mthly'!$E$8:$EG$8,P$9,'Venture Summary - Mthly'!$E164:$EG164)</f>
        <v>-58056.297168647863</v>
      </c>
      <c r="Q161" s="798">
        <f>SUMIF('Venture Summary - Mthly'!$E$8:$EG$8,Q$9,'Venture Summary - Mthly'!$E164:$EG164)</f>
        <v>-58828.465153908241</v>
      </c>
      <c r="R161" s="798">
        <f>SUMIF('Venture Summary - Mthly'!$E$8:$EG$8,R$9,'Venture Summary - Mthly'!$E164:$EG164)</f>
        <v>-59577.814029773639</v>
      </c>
      <c r="S161" s="798">
        <f>SUMIF('Venture Summary - Mthly'!$E$8:$EG$8,S$9,'Venture Summary - Mthly'!$E164:$EG164)</f>
        <v>-60227.174439218608</v>
      </c>
      <c r="T161" s="798">
        <f>SUMIF('Venture Summary - Mthly'!$E$8:$EG$8,T$9,'Venture Summary - Mthly'!$E164:$EG164)</f>
        <v>-60862.920153031082</v>
      </c>
      <c r="U161" s="798">
        <f>SUMIF('Venture Summary - Mthly'!$E$8:$EG$8,U$9,'Venture Summary - Mthly'!$E164:$EG164)</f>
        <v>-61509.736970868602</v>
      </c>
      <c r="V161" s="798">
        <f>SUMIF('Venture Summary - Mthly'!$E$8:$EG$8,V$9,'Venture Summary - Mthly'!$E164:$EG164)</f>
        <v>-62080.104897296871</v>
      </c>
      <c r="W161" s="798">
        <f>SUMIF('Venture Summary - Mthly'!$E$8:$EG$8,W$9,'Venture Summary - Mthly'!$E164:$EG164)</f>
        <v>-62554.001944497475</v>
      </c>
      <c r="X161" s="798">
        <f>SUMIF('Venture Summary - Mthly'!$E$8:$EG$8,X$9,'Venture Summary - Mthly'!$E164:$EG164)</f>
        <v>-63064.791087259888</v>
      </c>
      <c r="Y161" s="798">
        <f>SUMIF('Venture Summary - Mthly'!$E$8:$EG$8,Y$9,'Venture Summary - Mthly'!$E164:$EG164)</f>
        <v>-63672.042490969106</v>
      </c>
      <c r="Z161" s="798">
        <f>SUMIF('Venture Summary - Mthly'!$E$8:$EG$8,Z$9,'Venture Summary - Mthly'!$E164:$EG164)</f>
        <v>-64312.563835653425</v>
      </c>
      <c r="AA161" s="798">
        <f>SUMIF('Venture Summary - Mthly'!$E$8:$EG$8,AA$9,'Venture Summary - Mthly'!$E164:$EG164)</f>
        <v>-64899.138825329494</v>
      </c>
      <c r="AB161" s="798">
        <f>SUMIF('Venture Summary - Mthly'!$E$8:$EG$8,AB$9,'Venture Summary - Mthly'!$E164:$EG164)</f>
        <v>-65520.840885232581</v>
      </c>
      <c r="AC161" s="798">
        <f>SUMIF('Venture Summary - Mthly'!$E$8:$EG$8,AC$9,'Venture Summary - Mthly'!$E164:$EG164)</f>
        <v>-66219.232097111788</v>
      </c>
      <c r="AD161" s="798">
        <f>SUMIF('Venture Summary - Mthly'!$E$8:$EG$8,AD$9,'Venture Summary - Mthly'!$E164:$EG164)</f>
        <v>-66913.279299177244</v>
      </c>
      <c r="AE161" s="798">
        <f>SUMIF('Venture Summary - Mthly'!$E$8:$EG$8,AE$9,'Venture Summary - Mthly'!$E164:$EG164)</f>
        <v>-67528.78377600199</v>
      </c>
      <c r="AF161" s="798">
        <f>SUMIF('Venture Summary - Mthly'!$E$8:$EG$8,AF$9,'Venture Summary - Mthly'!$E164:$EG164)</f>
        <v>-68175.922237646504</v>
      </c>
      <c r="AG161" s="798">
        <f>SUMIF('Venture Summary - Mthly'!$E$8:$EG$8,AG$9,'Venture Summary - Mthly'!$E164:$EG164)</f>
        <v>-68902.985220743067</v>
      </c>
      <c r="AH161" s="798">
        <f>SUMIF('Venture Summary - Mthly'!$E$8:$EG$8,AH$9,'Venture Summary - Mthly'!$E164:$EG164)</f>
        <v>-69625.514277771406</v>
      </c>
      <c r="AI161" s="798">
        <f>SUMIF('Venture Summary - Mthly'!$E$8:$EG$8,AI$9,'Venture Summary - Mthly'!$E164:$EG164)</f>
        <v>-70266.174296547295</v>
      </c>
      <c r="AJ161" s="798">
        <f>SUMIF('Venture Summary - Mthly'!$E$8:$EG$8,AJ$9,'Venture Summary - Mthly'!$E164:$EG164)</f>
        <v>-70939.799065593732</v>
      </c>
      <c r="AK161" s="798">
        <f>SUMIF('Venture Summary - Mthly'!$E$8:$EG$8,AK$9,'Venture Summary - Mthly'!$E164:$EG164)</f>
        <v>-71696.720295833133</v>
      </c>
      <c r="AL161" s="798">
        <f>SUMIF('Venture Summary - Mthly'!$E$8:$EG$8,AL$9,'Venture Summary - Mthly'!$E164:$EG164)</f>
        <v>-72448.909467164791</v>
      </c>
      <c r="AM161" s="798">
        <f>SUMIF('Venture Summary - Mthly'!$E$8:$EG$8,AM$9,'Venture Summary - Mthly'!$E164:$EG164)</f>
        <v>-73115.762495008297</v>
      </c>
      <c r="AN161" s="798">
        <f>SUMIF('Venture Summary - Mthly'!$E$8:$EG$8,AN$9,'Venture Summary - Mthly'!$E164:$EG164)</f>
        <v>-73816.96709778365</v>
      </c>
      <c r="AO161" s="798">
        <f>SUMIF('Venture Summary - Mthly'!$E$8:$EG$8,AO$9,'Venture Summary - Mthly'!$E164:$EG164)</f>
        <v>-74604.982438903055</v>
      </c>
      <c r="AP161" s="798">
        <f>SUMIF('Venture Summary - Mthly'!$E$8:$EG$8,AP$9,'Venture Summary - Mthly'!$E164:$EG164)</f>
        <v>-75388.059018711298</v>
      </c>
      <c r="AQ161" s="798">
        <f>SUMIF('Venture Summary - Mthly'!$E$8:$EG$8,AQ$9,'Venture Summary - Mthly'!$E164:$EG164)</f>
        <v>-76082.185600631739</v>
      </c>
      <c r="AR161" s="798">
        <f>SUMIF('Venture Summary - Mthly'!$E$8:$EG$8,AR$9,'Venture Summary - Mthly'!$E164:$EG164)</f>
        <v>-76812.109005204795</v>
      </c>
      <c r="AS161" s="798">
        <f>SUMIF('Venture Summary - Mthly'!$E$8:$EG$8,AS$9,'Venture Summary - Mthly'!$E164:$EG164)</f>
        <v>-77632.505773434517</v>
      </c>
      <c r="AT161" s="798">
        <f>SUMIF('Venture Summary - Mthly'!$E$8:$EG$8,AT$9,'Venture Summary - Mthly'!$E164:$EG164)</f>
        <v>-78447.748140316806</v>
      </c>
      <c r="AU161" s="798">
        <f>SUMIF('Venture Summary - Mthly'!$E$8:$EG$8,AU$9,'Venture Summary - Mthly'!$E164:$EG164)</f>
        <v>-79170.273696838703</v>
      </c>
      <c r="AV161" s="798">
        <f>SUMIF('Venture Summary - Mthly'!$E$8:$EG$8,AV$9,'Venture Summary - Mthly'!$E164:$EG164)</f>
        <v>-79930.102210388897</v>
      </c>
      <c r="AW161" s="798">
        <f>SUMIF('Venture Summary - Mthly'!$E$8:$EG$8,AW$9,'Venture Summary - Mthly'!$E164:$EG164)</f>
        <v>-80784.221325719598</v>
      </c>
      <c r="AX161" s="798"/>
    </row>
    <row r="162" spans="1:50" ht="12.75" customHeight="1" x14ac:dyDescent="0.3">
      <c r="A162" s="782"/>
      <c r="B162" s="781" t="s">
        <v>98</v>
      </c>
      <c r="C162" s="799"/>
      <c r="D162" s="781"/>
      <c r="E162" s="799">
        <f>SUMIF('Venture Summary - Mthly'!$E$8:$EG$8,E$9,'Venture Summary - Mthly'!$E165:$EG165)</f>
        <v>0</v>
      </c>
      <c r="F162" s="799">
        <f>SUMIF('Venture Summary - Mthly'!$E$8:$EG$8,F$9,'Venture Summary - Mthly'!$E165:$EG165)</f>
        <v>0</v>
      </c>
      <c r="G162" s="799">
        <f>SUMIF('Venture Summary - Mthly'!$E$8:$EG$8,G$9,'Venture Summary - Mthly'!$E165:$EG165)</f>
        <v>0</v>
      </c>
      <c r="H162" s="799">
        <f>SUMIF('Venture Summary - Mthly'!$E$8:$EG$8,H$9,'Venture Summary - Mthly'!$E165:$EG165)</f>
        <v>0</v>
      </c>
      <c r="I162" s="799">
        <f>SUMIF('Venture Summary - Mthly'!$E$8:$EG$8,I$9,'Venture Summary - Mthly'!$E165:$EG165)</f>
        <v>0</v>
      </c>
      <c r="J162" s="799">
        <f>SUMIF('Venture Summary - Mthly'!$E$8:$EG$8,J$9,'Venture Summary - Mthly'!$E165:$EG165)</f>
        <v>0</v>
      </c>
      <c r="K162" s="799">
        <f>SUMIF('Venture Summary - Mthly'!$E$8:$EG$8,K$9,'Venture Summary - Mthly'!$E165:$EG165)</f>
        <v>0</v>
      </c>
      <c r="L162" s="799">
        <f>SUMIF('Venture Summary - Mthly'!$E$8:$EG$8,L$9,'Venture Summary - Mthly'!$E165:$EG165)</f>
        <v>0</v>
      </c>
      <c r="M162" s="799">
        <f>SUMIF('Venture Summary - Mthly'!$E$8:$EG$8,M$9,'Venture Summary - Mthly'!$E165:$EG165)</f>
        <v>0</v>
      </c>
      <c r="N162" s="799">
        <f>SUMIF('Venture Summary - Mthly'!$E$8:$EG$8,N$9,'Venture Summary - Mthly'!$E165:$EG165)</f>
        <v>-9210.4646716408679</v>
      </c>
      <c r="O162" s="799">
        <f>SUMIF('Venture Summary - Mthly'!$E$8:$EG$8,O$9,'Venture Summary - Mthly'!$E165:$EG165)</f>
        <v>-14230.167917685158</v>
      </c>
      <c r="P162" s="799">
        <f>SUMIF('Venture Summary - Mthly'!$E$8:$EG$8,P$9,'Venture Summary - Mthly'!$E165:$EG165)</f>
        <v>-14230.167917685158</v>
      </c>
      <c r="Q162" s="799">
        <f>SUMIF('Venture Summary - Mthly'!$E$8:$EG$8,Q$9,'Venture Summary - Mthly'!$E165:$EG165)</f>
        <v>-14230.167917685158</v>
      </c>
      <c r="R162" s="799">
        <f>SUMIF('Venture Summary - Mthly'!$E$8:$EG$8,R$9,'Venture Summary - Mthly'!$E165:$EG165)</f>
        <v>-14230.167917685158</v>
      </c>
      <c r="S162" s="799">
        <f>SUMIF('Venture Summary - Mthly'!$E$8:$EG$8,S$9,'Venture Summary - Mthly'!$E165:$EG165)</f>
        <v>-14657.072955215728</v>
      </c>
      <c r="T162" s="799">
        <f>SUMIF('Venture Summary - Mthly'!$E$8:$EG$8,T$9,'Venture Summary - Mthly'!$E165:$EG165)</f>
        <v>-14657.072955215728</v>
      </c>
      <c r="U162" s="799">
        <f>SUMIF('Venture Summary - Mthly'!$E$8:$EG$8,U$9,'Venture Summary - Mthly'!$E165:$EG165)</f>
        <v>-14657.072955215728</v>
      </c>
      <c r="V162" s="799">
        <f>SUMIF('Venture Summary - Mthly'!$E$8:$EG$8,V$9,'Venture Summary - Mthly'!$E165:$EG165)</f>
        <v>-14657.072955215728</v>
      </c>
      <c r="W162" s="799">
        <f>SUMIF('Venture Summary - Mthly'!$E$8:$EG$8,W$9,'Venture Summary - Mthly'!$E165:$EG165)</f>
        <v>-15096.785143872215</v>
      </c>
      <c r="X162" s="799">
        <f>SUMIF('Venture Summary - Mthly'!$E$8:$EG$8,X$9,'Venture Summary - Mthly'!$E165:$EG165)</f>
        <v>-15096.785143872215</v>
      </c>
      <c r="Y162" s="799">
        <f>SUMIF('Venture Summary - Mthly'!$E$8:$EG$8,Y$9,'Venture Summary - Mthly'!$E165:$EG165)</f>
        <v>-15096.785143872215</v>
      </c>
      <c r="Z162" s="799">
        <f>SUMIF('Venture Summary - Mthly'!$E$8:$EG$8,Z$9,'Venture Summary - Mthly'!$E165:$EG165)</f>
        <v>-15096.785143872215</v>
      </c>
      <c r="AA162" s="799">
        <f>SUMIF('Venture Summary - Mthly'!$E$8:$EG$8,AA$9,'Venture Summary - Mthly'!$E165:$EG165)</f>
        <v>-15549.688698188396</v>
      </c>
      <c r="AB162" s="799">
        <f>SUMIF('Venture Summary - Mthly'!$E$8:$EG$8,AB$9,'Venture Summary - Mthly'!$E165:$EG165)</f>
        <v>-15549.688698188396</v>
      </c>
      <c r="AC162" s="799">
        <f>SUMIF('Venture Summary - Mthly'!$E$8:$EG$8,AC$9,'Venture Summary - Mthly'!$E165:$EG165)</f>
        <v>-15549.688698188396</v>
      </c>
      <c r="AD162" s="799">
        <f>SUMIF('Venture Summary - Mthly'!$E$8:$EG$8,AD$9,'Venture Summary - Mthly'!$E165:$EG165)</f>
        <v>-15549.688698188396</v>
      </c>
      <c r="AE162" s="799">
        <f>SUMIF('Venture Summary - Mthly'!$E$8:$EG$8,AE$9,'Venture Summary - Mthly'!$E165:$EG165)</f>
        <v>-16016.179359134068</v>
      </c>
      <c r="AF162" s="799">
        <f>SUMIF('Venture Summary - Mthly'!$E$8:$EG$8,AF$9,'Venture Summary - Mthly'!$E165:$EG165)</f>
        <v>-16016.179359134068</v>
      </c>
      <c r="AG162" s="799">
        <f>SUMIF('Venture Summary - Mthly'!$E$8:$EG$8,AG$9,'Venture Summary - Mthly'!$E165:$EG165)</f>
        <v>-16016.179359134068</v>
      </c>
      <c r="AH162" s="799">
        <f>SUMIF('Venture Summary - Mthly'!$E$8:$EG$8,AH$9,'Venture Summary - Mthly'!$E165:$EG165)</f>
        <v>-16016.179359134068</v>
      </c>
      <c r="AI162" s="799">
        <f>SUMIF('Venture Summary - Mthly'!$E$8:$EG$8,AI$9,'Venture Summary - Mthly'!$E165:$EG165)</f>
        <v>-16496.664739908101</v>
      </c>
      <c r="AJ162" s="799">
        <f>SUMIF('Venture Summary - Mthly'!$E$8:$EG$8,AJ$9,'Venture Summary - Mthly'!$E165:$EG165)</f>
        <v>-16496.664739908101</v>
      </c>
      <c r="AK162" s="799">
        <f>SUMIF('Venture Summary - Mthly'!$E$8:$EG$8,AK$9,'Venture Summary - Mthly'!$E165:$EG165)</f>
        <v>-16496.664739908101</v>
      </c>
      <c r="AL162" s="799">
        <f>SUMIF('Venture Summary - Mthly'!$E$8:$EG$8,AL$9,'Venture Summary - Mthly'!$E165:$EG165)</f>
        <v>-16496.664739908101</v>
      </c>
      <c r="AM162" s="799">
        <f>SUMIF('Venture Summary - Mthly'!$E$8:$EG$8,AM$9,'Venture Summary - Mthly'!$E165:$EG165)</f>
        <v>-16991.564682105363</v>
      </c>
      <c r="AN162" s="799">
        <f>SUMIF('Venture Summary - Mthly'!$E$8:$EG$8,AN$9,'Venture Summary - Mthly'!$E165:$EG165)</f>
        <v>-16991.564682105363</v>
      </c>
      <c r="AO162" s="799">
        <f>SUMIF('Venture Summary - Mthly'!$E$8:$EG$8,AO$9,'Venture Summary - Mthly'!$E165:$EG165)</f>
        <v>-16991.564682105363</v>
      </c>
      <c r="AP162" s="799">
        <f>SUMIF('Venture Summary - Mthly'!$E$8:$EG$8,AP$9,'Venture Summary - Mthly'!$E165:$EG165)</f>
        <v>-16991.564682105363</v>
      </c>
      <c r="AQ162" s="799">
        <f>SUMIF('Venture Summary - Mthly'!$E$8:$EG$8,AQ$9,'Venture Summary - Mthly'!$E165:$EG165)</f>
        <v>-17501.311622568544</v>
      </c>
      <c r="AR162" s="799">
        <f>SUMIF('Venture Summary - Mthly'!$E$8:$EG$8,AR$9,'Venture Summary - Mthly'!$E165:$EG165)</f>
        <v>-17501.311622568544</v>
      </c>
      <c r="AS162" s="799">
        <f>SUMIF('Venture Summary - Mthly'!$E$8:$EG$8,AS$9,'Venture Summary - Mthly'!$E165:$EG165)</f>
        <v>-17501.311622568544</v>
      </c>
      <c r="AT162" s="799">
        <f>SUMIF('Venture Summary - Mthly'!$E$8:$EG$8,AT$9,'Venture Summary - Mthly'!$E165:$EG165)</f>
        <v>-17501.311622568544</v>
      </c>
      <c r="AU162" s="799">
        <f>SUMIF('Venture Summary - Mthly'!$E$8:$EG$8,AU$9,'Venture Summary - Mthly'!$E165:$EG165)</f>
        <v>-18026.350971245622</v>
      </c>
      <c r="AV162" s="799">
        <f>SUMIF('Venture Summary - Mthly'!$E$8:$EG$8,AV$9,'Venture Summary - Mthly'!$E165:$EG165)</f>
        <v>-18026.350971245622</v>
      </c>
      <c r="AW162" s="799">
        <f>SUMIF('Venture Summary - Mthly'!$E$8:$EG$8,AW$9,'Venture Summary - Mthly'!$E165:$EG165)</f>
        <v>-18026.350971245622</v>
      </c>
      <c r="AX162" s="798"/>
    </row>
    <row r="163" spans="1:50" ht="12.75" customHeight="1" x14ac:dyDescent="0.3">
      <c r="A163" s="782"/>
      <c r="B163" s="782" t="s">
        <v>8</v>
      </c>
      <c r="C163" s="798"/>
      <c r="D163" s="782"/>
      <c r="E163" s="798">
        <f>SUM(E159:E162)</f>
        <v>0</v>
      </c>
      <c r="F163" s="798">
        <f t="shared" ref="F163:AW163" si="27">SUM(F159:F162)</f>
        <v>0</v>
      </c>
      <c r="G163" s="798">
        <f t="shared" si="27"/>
        <v>0</v>
      </c>
      <c r="H163" s="798">
        <f t="shared" si="27"/>
        <v>0</v>
      </c>
      <c r="I163" s="798">
        <f t="shared" si="27"/>
        <v>0</v>
      </c>
      <c r="J163" s="798">
        <f t="shared" si="27"/>
        <v>-161974.56213397888</v>
      </c>
      <c r="K163" s="798">
        <f t="shared" si="27"/>
        <v>-167105.97191032959</v>
      </c>
      <c r="L163" s="798">
        <f t="shared" si="27"/>
        <v>177656.80540940701</v>
      </c>
      <c r="M163" s="798">
        <f t="shared" si="27"/>
        <v>638027.36189662933</v>
      </c>
      <c r="N163" s="798">
        <f t="shared" si="27"/>
        <v>1127110.1671177626</v>
      </c>
      <c r="O163" s="798">
        <f t="shared" si="27"/>
        <v>1370295.1106206644</v>
      </c>
      <c r="P163" s="798">
        <f t="shared" si="27"/>
        <v>1390339.2306506215</v>
      </c>
      <c r="Q163" s="798">
        <f t="shared" si="27"/>
        <v>1415305.9955073735</v>
      </c>
      <c r="R163" s="798">
        <f t="shared" si="27"/>
        <v>1439534.9424936878</v>
      </c>
      <c r="S163" s="798">
        <f t="shared" si="27"/>
        <v>1441207.3977316718</v>
      </c>
      <c r="T163" s="798">
        <f t="shared" si="27"/>
        <v>1461763.1758116083</v>
      </c>
      <c r="U163" s="798">
        <f t="shared" si="27"/>
        <v>1482676.9195883546</v>
      </c>
      <c r="V163" s="798">
        <f t="shared" si="27"/>
        <v>1501118.8158762022</v>
      </c>
      <c r="W163" s="798">
        <f t="shared" si="27"/>
        <v>1500924.8497949296</v>
      </c>
      <c r="X163" s="798">
        <f t="shared" si="27"/>
        <v>1517440.3654109142</v>
      </c>
      <c r="Y163" s="798">
        <f t="shared" si="27"/>
        <v>1537074.8274641784</v>
      </c>
      <c r="Z163" s="798">
        <f t="shared" si="27"/>
        <v>1557785.0176089723</v>
      </c>
      <c r="AA163" s="798">
        <f t="shared" si="27"/>
        <v>1560438.9650751748</v>
      </c>
      <c r="AB163" s="798">
        <f t="shared" si="27"/>
        <v>1580540.6650120413</v>
      </c>
      <c r="AC163" s="798">
        <f t="shared" si="27"/>
        <v>1603121.9808628021</v>
      </c>
      <c r="AD163" s="798">
        <f t="shared" si="27"/>
        <v>1625562.840396252</v>
      </c>
      <c r="AE163" s="798">
        <f t="shared" si="27"/>
        <v>1628616.4261077701</v>
      </c>
      <c r="AF163" s="798">
        <f t="shared" si="27"/>
        <v>1649540.5697009424</v>
      </c>
      <c r="AG163" s="798">
        <f t="shared" si="27"/>
        <v>1673048.9394877315</v>
      </c>
      <c r="AH163" s="798">
        <f t="shared" si="27"/>
        <v>1696410.712331648</v>
      </c>
      <c r="AI163" s="798">
        <f t="shared" si="27"/>
        <v>1699721.8573537106</v>
      </c>
      <c r="AJ163" s="798">
        <f t="shared" si="27"/>
        <v>1721502.391552879</v>
      </c>
      <c r="AK163" s="798">
        <f t="shared" si="27"/>
        <v>1745976.1779972862</v>
      </c>
      <c r="AL163" s="798">
        <f t="shared" si="27"/>
        <v>1770296.9612036762</v>
      </c>
      <c r="AM163" s="798">
        <f t="shared" si="27"/>
        <v>1773878.1774624381</v>
      </c>
      <c r="AN163" s="798">
        <f t="shared" si="27"/>
        <v>1796550.4596188411</v>
      </c>
      <c r="AO163" s="798">
        <f t="shared" si="27"/>
        <v>1822029.622315035</v>
      </c>
      <c r="AP163" s="798">
        <f t="shared" si="27"/>
        <v>1847349.098395502</v>
      </c>
      <c r="AQ163" s="798">
        <f t="shared" si="27"/>
        <v>1851213.2462570509</v>
      </c>
      <c r="AR163" s="798">
        <f t="shared" si="27"/>
        <v>1874814.1030049126</v>
      </c>
      <c r="AS163" s="798">
        <f t="shared" si="27"/>
        <v>1901340.2651776739</v>
      </c>
      <c r="AT163" s="798">
        <f t="shared" si="27"/>
        <v>1927699.7683735343</v>
      </c>
      <c r="AU163" s="798">
        <f t="shared" si="27"/>
        <v>1931860.0428348079</v>
      </c>
      <c r="AV163" s="798">
        <f t="shared" si="27"/>
        <v>1956427.8314395971</v>
      </c>
      <c r="AW163" s="798">
        <f t="shared" si="27"/>
        <v>1984044.3495019565</v>
      </c>
      <c r="AX163" s="798"/>
    </row>
    <row r="164" spans="1:50" ht="12.75" customHeight="1" x14ac:dyDescent="0.3">
      <c r="A164" s="782"/>
      <c r="B164" s="782"/>
      <c r="C164" s="798"/>
      <c r="D164" s="782"/>
      <c r="E164" s="798"/>
      <c r="F164" s="798"/>
      <c r="G164" s="798"/>
      <c r="H164" s="798"/>
      <c r="I164" s="798"/>
      <c r="J164" s="798"/>
      <c r="K164" s="798"/>
      <c r="L164" s="798"/>
      <c r="M164" s="798"/>
      <c r="N164" s="798"/>
      <c r="O164" s="798"/>
      <c r="P164" s="798"/>
      <c r="Q164" s="798"/>
      <c r="R164" s="798"/>
      <c r="S164" s="798"/>
      <c r="T164" s="798"/>
      <c r="U164" s="798"/>
      <c r="V164" s="798"/>
      <c r="W164" s="798"/>
      <c r="X164" s="798"/>
      <c r="Y164" s="798"/>
      <c r="Z164" s="798"/>
      <c r="AA164" s="798"/>
      <c r="AB164" s="798"/>
      <c r="AC164" s="798"/>
      <c r="AD164" s="798"/>
      <c r="AE164" s="798"/>
      <c r="AF164" s="798"/>
      <c r="AG164" s="798"/>
      <c r="AH164" s="798"/>
      <c r="AI164" s="798"/>
      <c r="AJ164" s="798"/>
      <c r="AK164" s="798"/>
      <c r="AL164" s="798"/>
      <c r="AM164" s="798"/>
      <c r="AN164" s="798"/>
      <c r="AO164" s="798"/>
      <c r="AP164" s="798"/>
      <c r="AQ164" s="798"/>
      <c r="AR164" s="798"/>
      <c r="AS164" s="798"/>
      <c r="AT164" s="798"/>
      <c r="AU164" s="798"/>
      <c r="AV164" s="798"/>
      <c r="AW164" s="798"/>
      <c r="AX164" s="798"/>
    </row>
    <row r="165" spans="1:50" ht="12.75" customHeight="1" x14ac:dyDescent="0.3">
      <c r="A165" s="782"/>
      <c r="B165" s="793" t="s">
        <v>99</v>
      </c>
      <c r="C165" s="794"/>
      <c r="D165" s="794"/>
      <c r="E165" s="794"/>
      <c r="F165" s="794"/>
      <c r="G165" s="794"/>
      <c r="H165" s="794"/>
      <c r="I165" s="794"/>
      <c r="J165" s="794"/>
      <c r="K165" s="794"/>
      <c r="L165" s="794"/>
      <c r="M165" s="794"/>
      <c r="N165" s="794"/>
      <c r="O165" s="794"/>
      <c r="P165" s="794"/>
      <c r="Q165" s="794"/>
      <c r="R165" s="794"/>
      <c r="S165" s="794"/>
      <c r="T165" s="794"/>
      <c r="U165" s="794"/>
      <c r="V165" s="794"/>
      <c r="W165" s="794"/>
      <c r="X165" s="794"/>
      <c r="Y165" s="794"/>
      <c r="Z165" s="794"/>
      <c r="AA165" s="794"/>
      <c r="AB165" s="794"/>
      <c r="AC165" s="794"/>
      <c r="AD165" s="794"/>
      <c r="AE165" s="794"/>
      <c r="AF165" s="794"/>
      <c r="AG165" s="794"/>
      <c r="AH165" s="794"/>
      <c r="AI165" s="794"/>
      <c r="AJ165" s="794"/>
      <c r="AK165" s="794"/>
      <c r="AL165" s="794"/>
      <c r="AM165" s="794"/>
      <c r="AN165" s="794"/>
      <c r="AO165" s="794"/>
      <c r="AP165" s="794"/>
      <c r="AQ165" s="794"/>
      <c r="AR165" s="794"/>
      <c r="AS165" s="794"/>
      <c r="AT165" s="794"/>
      <c r="AU165" s="794"/>
      <c r="AV165" s="794"/>
      <c r="AW165" s="794"/>
      <c r="AX165" s="794"/>
    </row>
    <row r="166" spans="1:50" ht="12.75" customHeight="1" x14ac:dyDescent="0.3">
      <c r="A166" s="782"/>
      <c r="B166" s="782"/>
      <c r="C166" s="782"/>
      <c r="D166" s="782"/>
      <c r="E166" s="782"/>
      <c r="F166" s="782"/>
      <c r="G166" s="782"/>
      <c r="H166" s="782"/>
      <c r="I166" s="782"/>
      <c r="J166" s="782"/>
      <c r="K166" s="782"/>
      <c r="L166" s="782"/>
      <c r="M166" s="782"/>
      <c r="N166" s="782"/>
      <c r="O166" s="782"/>
      <c r="P166" s="782"/>
      <c r="Q166" s="782"/>
      <c r="R166" s="782"/>
      <c r="S166" s="782"/>
      <c r="T166" s="782"/>
      <c r="U166" s="782"/>
      <c r="V166" s="782"/>
      <c r="W166" s="782"/>
      <c r="X166" s="782"/>
      <c r="Y166" s="782"/>
      <c r="Z166" s="782"/>
      <c r="AA166" s="782"/>
      <c r="AB166" s="782"/>
      <c r="AC166" s="782"/>
      <c r="AD166" s="782"/>
      <c r="AE166" s="782"/>
      <c r="AF166" s="782"/>
      <c r="AG166" s="782"/>
      <c r="AH166" s="782"/>
      <c r="AI166" s="782"/>
      <c r="AJ166" s="782"/>
      <c r="AK166" s="782"/>
      <c r="AL166" s="782"/>
      <c r="AM166" s="782"/>
      <c r="AN166" s="782"/>
      <c r="AO166" s="782"/>
      <c r="AP166" s="782"/>
      <c r="AQ166" s="782"/>
      <c r="AR166" s="782"/>
      <c r="AS166" s="782"/>
      <c r="AT166" s="782"/>
      <c r="AU166" s="782"/>
      <c r="AV166" s="782"/>
      <c r="AW166" s="782"/>
      <c r="AX166" s="782"/>
    </row>
    <row r="167" spans="1:50" ht="12.75" customHeight="1" x14ac:dyDescent="0.3">
      <c r="A167" s="782"/>
      <c r="B167" s="781" t="s">
        <v>100</v>
      </c>
      <c r="C167" s="799"/>
      <c r="D167" s="781"/>
      <c r="E167" s="799">
        <v>0</v>
      </c>
      <c r="F167" s="799">
        <f>E170</f>
        <v>0</v>
      </c>
      <c r="G167" s="799">
        <f t="shared" ref="G167:AW167" si="28">F170</f>
        <v>0</v>
      </c>
      <c r="H167" s="799">
        <f t="shared" si="28"/>
        <v>0</v>
      </c>
      <c r="I167" s="799">
        <f t="shared" si="28"/>
        <v>0</v>
      </c>
      <c r="J167" s="799">
        <f t="shared" si="28"/>
        <v>9733199.8629999999</v>
      </c>
      <c r="K167" s="799">
        <f t="shared" si="28"/>
        <v>21329502.299999997</v>
      </c>
      <c r="L167" s="799">
        <f t="shared" si="28"/>
        <v>30955999.097999997</v>
      </c>
      <c r="M167" s="799">
        <f t="shared" si="28"/>
        <v>38271070.437999994</v>
      </c>
      <c r="N167" s="799">
        <f t="shared" si="28"/>
        <v>42200089.102999993</v>
      </c>
      <c r="O167" s="799">
        <f t="shared" si="28"/>
        <v>42877793.386999995</v>
      </c>
      <c r="P167" s="799">
        <f t="shared" si="28"/>
        <v>42877793.386999995</v>
      </c>
      <c r="Q167" s="799">
        <f t="shared" si="28"/>
        <v>0</v>
      </c>
      <c r="R167" s="799">
        <f t="shared" si="28"/>
        <v>0</v>
      </c>
      <c r="S167" s="799">
        <f t="shared" si="28"/>
        <v>0</v>
      </c>
      <c r="T167" s="799">
        <f t="shared" si="28"/>
        <v>0</v>
      </c>
      <c r="U167" s="799">
        <f t="shared" si="28"/>
        <v>0</v>
      </c>
      <c r="V167" s="799">
        <f t="shared" si="28"/>
        <v>0</v>
      </c>
      <c r="W167" s="799">
        <f t="shared" si="28"/>
        <v>0</v>
      </c>
      <c r="X167" s="799">
        <f t="shared" si="28"/>
        <v>0</v>
      </c>
      <c r="Y167" s="799">
        <f t="shared" si="28"/>
        <v>0</v>
      </c>
      <c r="Z167" s="799">
        <f t="shared" si="28"/>
        <v>0</v>
      </c>
      <c r="AA167" s="799">
        <f t="shared" si="28"/>
        <v>0</v>
      </c>
      <c r="AB167" s="799">
        <f t="shared" si="28"/>
        <v>0</v>
      </c>
      <c r="AC167" s="799">
        <f t="shared" si="28"/>
        <v>0</v>
      </c>
      <c r="AD167" s="799">
        <f t="shared" si="28"/>
        <v>0</v>
      </c>
      <c r="AE167" s="799">
        <f t="shared" si="28"/>
        <v>0</v>
      </c>
      <c r="AF167" s="799">
        <f t="shared" si="28"/>
        <v>0</v>
      </c>
      <c r="AG167" s="799">
        <f t="shared" si="28"/>
        <v>0</v>
      </c>
      <c r="AH167" s="799">
        <f t="shared" si="28"/>
        <v>0</v>
      </c>
      <c r="AI167" s="799">
        <f t="shared" si="28"/>
        <v>0</v>
      </c>
      <c r="AJ167" s="799">
        <f t="shared" si="28"/>
        <v>0</v>
      </c>
      <c r="AK167" s="799">
        <f t="shared" si="28"/>
        <v>0</v>
      </c>
      <c r="AL167" s="799">
        <f t="shared" si="28"/>
        <v>0</v>
      </c>
      <c r="AM167" s="799">
        <f t="shared" si="28"/>
        <v>0</v>
      </c>
      <c r="AN167" s="799">
        <f t="shared" si="28"/>
        <v>0</v>
      </c>
      <c r="AO167" s="799">
        <f t="shared" si="28"/>
        <v>0</v>
      </c>
      <c r="AP167" s="799">
        <f t="shared" si="28"/>
        <v>0</v>
      </c>
      <c r="AQ167" s="799">
        <f t="shared" si="28"/>
        <v>0</v>
      </c>
      <c r="AR167" s="799">
        <f t="shared" si="28"/>
        <v>0</v>
      </c>
      <c r="AS167" s="799">
        <f t="shared" si="28"/>
        <v>0</v>
      </c>
      <c r="AT167" s="799">
        <f t="shared" si="28"/>
        <v>0</v>
      </c>
      <c r="AU167" s="799">
        <f t="shared" si="28"/>
        <v>0</v>
      </c>
      <c r="AV167" s="799">
        <f t="shared" si="28"/>
        <v>0</v>
      </c>
      <c r="AW167" s="799">
        <f t="shared" si="28"/>
        <v>0</v>
      </c>
      <c r="AX167" s="798"/>
    </row>
    <row r="168" spans="1:50" ht="12.75" customHeight="1" x14ac:dyDescent="0.3">
      <c r="A168" s="782"/>
      <c r="B168" s="782" t="s">
        <v>101</v>
      </c>
      <c r="C168" s="798">
        <f>SUM(E168:AX168)</f>
        <v>42877793.386999995</v>
      </c>
      <c r="D168" s="782"/>
      <c r="E168" s="798">
        <f>SUMIF('Venture Summary - Mthly'!$E$8:$EG$8,E$9,'Venture Summary - Mthly'!$E171:$EG171)</f>
        <v>0</v>
      </c>
      <c r="F168" s="798">
        <f>SUMIF('Venture Summary - Mthly'!$E$8:$EG$8,F$9,'Venture Summary - Mthly'!$E171:$EG171)</f>
        <v>0</v>
      </c>
      <c r="G168" s="798">
        <f>SUMIF('Venture Summary - Mthly'!$E$8:$EG$8,G$9,'Venture Summary - Mthly'!$E171:$EG171)</f>
        <v>0</v>
      </c>
      <c r="H168" s="798">
        <f>SUMIF('Venture Summary - Mthly'!$E$8:$EG$8,H$9,'Venture Summary - Mthly'!$E171:$EG171)</f>
        <v>0</v>
      </c>
      <c r="I168" s="798">
        <f>SUMIF('Venture Summary - Mthly'!$E$8:$EG$8,I$9,'Venture Summary - Mthly'!$E171:$EG171)</f>
        <v>9733199.8629999999</v>
      </c>
      <c r="J168" s="798">
        <f>SUMIF('Venture Summary - Mthly'!$E$8:$EG$8,J$9,'Venture Summary - Mthly'!$E171:$EG171)</f>
        <v>11596302.436999999</v>
      </c>
      <c r="K168" s="798">
        <f>SUMIF('Venture Summary - Mthly'!$E$8:$EG$8,K$9,'Venture Summary - Mthly'!$E171:$EG171)</f>
        <v>9626496.7980000004</v>
      </c>
      <c r="L168" s="798">
        <f>SUMIF('Venture Summary - Mthly'!$E$8:$EG$8,L$9,'Venture Summary - Mthly'!$E171:$EG171)</f>
        <v>7315071.3399999999</v>
      </c>
      <c r="M168" s="798">
        <f>SUMIF('Venture Summary - Mthly'!$E$8:$EG$8,M$9,'Venture Summary - Mthly'!$E171:$EG171)</f>
        <v>3929018.665</v>
      </c>
      <c r="N168" s="798">
        <f>SUMIF('Venture Summary - Mthly'!$E$8:$EG$8,N$9,'Venture Summary - Mthly'!$E171:$EG171)</f>
        <v>677704.28399999999</v>
      </c>
      <c r="O168" s="798">
        <f>SUMIF('Venture Summary - Mthly'!$E$8:$EG$8,O$9,'Venture Summary - Mthly'!$E171:$EG171)</f>
        <v>0</v>
      </c>
      <c r="P168" s="798">
        <f>SUMIF('Venture Summary - Mthly'!$E$8:$EG$8,P$9,'Venture Summary - Mthly'!$E171:$EG171)</f>
        <v>0</v>
      </c>
      <c r="Q168" s="798">
        <f>SUMIF('Venture Summary - Mthly'!$E$8:$EG$8,Q$9,'Venture Summary - Mthly'!$E171:$EG171)</f>
        <v>0</v>
      </c>
      <c r="R168" s="798">
        <f>SUMIF('Venture Summary - Mthly'!$E$8:$EG$8,R$9,'Venture Summary - Mthly'!$E171:$EG171)</f>
        <v>0</v>
      </c>
      <c r="S168" s="798">
        <f>SUMIF('Venture Summary - Mthly'!$E$8:$EG$8,S$9,'Venture Summary - Mthly'!$E171:$EG171)</f>
        <v>0</v>
      </c>
      <c r="T168" s="798">
        <f>SUMIF('Venture Summary - Mthly'!$E$8:$EG$8,T$9,'Venture Summary - Mthly'!$E171:$EG171)</f>
        <v>0</v>
      </c>
      <c r="U168" s="798">
        <f>SUMIF('Venture Summary - Mthly'!$E$8:$EG$8,U$9,'Venture Summary - Mthly'!$E171:$EG171)</f>
        <v>0</v>
      </c>
      <c r="V168" s="798">
        <f>SUMIF('Venture Summary - Mthly'!$E$8:$EG$8,V$9,'Venture Summary - Mthly'!$E171:$EG171)</f>
        <v>0</v>
      </c>
      <c r="W168" s="798">
        <f>SUMIF('Venture Summary - Mthly'!$E$8:$EG$8,W$9,'Venture Summary - Mthly'!$E171:$EG171)</f>
        <v>0</v>
      </c>
      <c r="X168" s="798">
        <f>SUMIF('Venture Summary - Mthly'!$E$8:$EG$8,X$9,'Venture Summary - Mthly'!$E171:$EG171)</f>
        <v>0</v>
      </c>
      <c r="Y168" s="798">
        <f>SUMIF('Venture Summary - Mthly'!$E$8:$EG$8,Y$9,'Venture Summary - Mthly'!$E171:$EG171)</f>
        <v>0</v>
      </c>
      <c r="Z168" s="798">
        <f>SUMIF('Venture Summary - Mthly'!$E$8:$EG$8,Z$9,'Venture Summary - Mthly'!$E171:$EG171)</f>
        <v>0</v>
      </c>
      <c r="AA168" s="798">
        <f>SUMIF('Venture Summary - Mthly'!$E$8:$EG$8,AA$9,'Venture Summary - Mthly'!$E171:$EG171)</f>
        <v>0</v>
      </c>
      <c r="AB168" s="798">
        <f>SUMIF('Venture Summary - Mthly'!$E$8:$EG$8,AB$9,'Venture Summary - Mthly'!$E171:$EG171)</f>
        <v>0</v>
      </c>
      <c r="AC168" s="798">
        <f>SUMIF('Venture Summary - Mthly'!$E$8:$EG$8,AC$9,'Venture Summary - Mthly'!$E171:$EG171)</f>
        <v>0</v>
      </c>
      <c r="AD168" s="798">
        <f>SUMIF('Venture Summary - Mthly'!$E$8:$EG$8,AD$9,'Venture Summary - Mthly'!$E171:$EG171)</f>
        <v>0</v>
      </c>
      <c r="AE168" s="798">
        <f>SUMIF('Venture Summary - Mthly'!$E$8:$EG$8,AE$9,'Venture Summary - Mthly'!$E171:$EG171)</f>
        <v>0</v>
      </c>
      <c r="AF168" s="798">
        <f>SUMIF('Venture Summary - Mthly'!$E$8:$EG$8,AF$9,'Venture Summary - Mthly'!$E171:$EG171)</f>
        <v>0</v>
      </c>
      <c r="AG168" s="798">
        <f>SUMIF('Venture Summary - Mthly'!$E$8:$EG$8,AG$9,'Venture Summary - Mthly'!$E171:$EG171)</f>
        <v>0</v>
      </c>
      <c r="AH168" s="798">
        <f>SUMIF('Venture Summary - Mthly'!$E$8:$EG$8,AH$9,'Venture Summary - Mthly'!$E171:$EG171)</f>
        <v>0</v>
      </c>
      <c r="AI168" s="798">
        <f>SUMIF('Venture Summary - Mthly'!$E$8:$EG$8,AI$9,'Venture Summary - Mthly'!$E171:$EG171)</f>
        <v>0</v>
      </c>
      <c r="AJ168" s="798">
        <f>SUMIF('Venture Summary - Mthly'!$E$8:$EG$8,AJ$9,'Venture Summary - Mthly'!$E171:$EG171)</f>
        <v>0</v>
      </c>
      <c r="AK168" s="798">
        <f>SUMIF('Venture Summary - Mthly'!$E$8:$EG$8,AK$9,'Venture Summary - Mthly'!$E171:$EG171)</f>
        <v>0</v>
      </c>
      <c r="AL168" s="798">
        <f>SUMIF('Venture Summary - Mthly'!$E$8:$EG$8,AL$9,'Venture Summary - Mthly'!$E171:$EG171)</f>
        <v>0</v>
      </c>
      <c r="AM168" s="798">
        <f>SUMIF('Venture Summary - Mthly'!$E$8:$EG$8,AM$9,'Venture Summary - Mthly'!$E171:$EG171)</f>
        <v>0</v>
      </c>
      <c r="AN168" s="798">
        <f>SUMIF('Venture Summary - Mthly'!$E$8:$EG$8,AN$9,'Venture Summary - Mthly'!$E171:$EG171)</f>
        <v>0</v>
      </c>
      <c r="AO168" s="798">
        <f>SUMIF('Venture Summary - Mthly'!$E$8:$EG$8,AO$9,'Venture Summary - Mthly'!$E171:$EG171)</f>
        <v>0</v>
      </c>
      <c r="AP168" s="798">
        <f>SUMIF('Venture Summary - Mthly'!$E$8:$EG$8,AP$9,'Venture Summary - Mthly'!$E171:$EG171)</f>
        <v>0</v>
      </c>
      <c r="AQ168" s="798">
        <f>SUMIF('Venture Summary - Mthly'!$E$8:$EG$8,AQ$9,'Venture Summary - Mthly'!$E171:$EG171)</f>
        <v>0</v>
      </c>
      <c r="AR168" s="798">
        <f>SUMIF('Venture Summary - Mthly'!$E$8:$EG$8,AR$9,'Venture Summary - Mthly'!$E171:$EG171)</f>
        <v>0</v>
      </c>
      <c r="AS168" s="798">
        <f>SUMIF('Venture Summary - Mthly'!$E$8:$EG$8,AS$9,'Venture Summary - Mthly'!$E171:$EG171)</f>
        <v>0</v>
      </c>
      <c r="AT168" s="798">
        <f>SUMIF('Venture Summary - Mthly'!$E$8:$EG$8,AT$9,'Venture Summary - Mthly'!$E171:$EG171)</f>
        <v>0</v>
      </c>
      <c r="AU168" s="798">
        <f>SUMIF('Venture Summary - Mthly'!$E$8:$EG$8,AU$9,'Venture Summary - Mthly'!$E171:$EG171)</f>
        <v>0</v>
      </c>
      <c r="AV168" s="798">
        <f>SUMIF('Venture Summary - Mthly'!$E$8:$EG$8,AV$9,'Venture Summary - Mthly'!$E171:$EG171)</f>
        <v>0</v>
      </c>
      <c r="AW168" s="798">
        <f>SUMIF('Venture Summary - Mthly'!$E$8:$EG$8,AW$9,'Venture Summary - Mthly'!$E171:$EG171)</f>
        <v>0</v>
      </c>
      <c r="AX168" s="798"/>
    </row>
    <row r="169" spans="1:50" ht="12.75" customHeight="1" x14ac:dyDescent="0.3">
      <c r="A169" s="782"/>
      <c r="B169" s="781" t="s">
        <v>102</v>
      </c>
      <c r="C169" s="799"/>
      <c r="D169" s="781"/>
      <c r="E169" s="799">
        <f>SUMIF('Venture Summary - Mthly'!$E$8:$EG$8,E$9,'Venture Summary - Mthly'!$E172:$EG172)</f>
        <v>0</v>
      </c>
      <c r="F169" s="799">
        <f>SUMIF('Venture Summary - Mthly'!$E$8:$EG$8,F$9,'Venture Summary - Mthly'!$E172:$EG172)</f>
        <v>0</v>
      </c>
      <c r="G169" s="799">
        <f>SUMIF('Venture Summary - Mthly'!$E$8:$EG$8,G$9,'Venture Summary - Mthly'!$E172:$EG172)</f>
        <v>0</v>
      </c>
      <c r="H169" s="799">
        <f>SUMIF('Venture Summary - Mthly'!$E$8:$EG$8,H$9,'Venture Summary - Mthly'!$E172:$EG172)</f>
        <v>0</v>
      </c>
      <c r="I169" s="799">
        <f>SUMIF('Venture Summary - Mthly'!$E$8:$EG$8,I$9,'Venture Summary - Mthly'!$E172:$EG172)</f>
        <v>0</v>
      </c>
      <c r="J169" s="799">
        <f>SUMIF('Venture Summary - Mthly'!$E$8:$EG$8,J$9,'Venture Summary - Mthly'!$E172:$EG172)</f>
        <v>0</v>
      </c>
      <c r="K169" s="799">
        <f>SUMIF('Venture Summary - Mthly'!$E$8:$EG$8,K$9,'Venture Summary - Mthly'!$E172:$EG172)</f>
        <v>0</v>
      </c>
      <c r="L169" s="799">
        <f>SUMIF('Venture Summary - Mthly'!$E$8:$EG$8,L$9,'Venture Summary - Mthly'!$E172:$EG172)</f>
        <v>0</v>
      </c>
      <c r="M169" s="799">
        <f>SUMIF('Venture Summary - Mthly'!$E$8:$EG$8,M$9,'Venture Summary - Mthly'!$E172:$EG172)</f>
        <v>0</v>
      </c>
      <c r="N169" s="799">
        <f>SUMIF('Venture Summary - Mthly'!$E$8:$EG$8,N$9,'Venture Summary - Mthly'!$E172:$EG172)</f>
        <v>0</v>
      </c>
      <c r="O169" s="799">
        <f>SUMIF('Venture Summary - Mthly'!$E$8:$EG$8,O$9,'Venture Summary - Mthly'!$E172:$EG172)</f>
        <v>0</v>
      </c>
      <c r="P169" s="799">
        <f>SUMIF('Venture Summary - Mthly'!$E$8:$EG$8,P$9,'Venture Summary - Mthly'!$E172:$EG172)</f>
        <v>-42877793.387000009</v>
      </c>
      <c r="Q169" s="799">
        <f>SUMIF('Venture Summary - Mthly'!$E$8:$EG$8,Q$9,'Venture Summary - Mthly'!$E172:$EG172)</f>
        <v>0</v>
      </c>
      <c r="R169" s="799">
        <f>SUMIF('Venture Summary - Mthly'!$E$8:$EG$8,R$9,'Venture Summary - Mthly'!$E172:$EG172)</f>
        <v>0</v>
      </c>
      <c r="S169" s="799">
        <f>SUMIF('Venture Summary - Mthly'!$E$8:$EG$8,S$9,'Venture Summary - Mthly'!$E172:$EG172)</f>
        <v>0</v>
      </c>
      <c r="T169" s="799">
        <f>SUMIF('Venture Summary - Mthly'!$E$8:$EG$8,T$9,'Venture Summary - Mthly'!$E172:$EG172)</f>
        <v>0</v>
      </c>
      <c r="U169" s="799">
        <f>SUMIF('Venture Summary - Mthly'!$E$8:$EG$8,U$9,'Venture Summary - Mthly'!$E172:$EG172)</f>
        <v>0</v>
      </c>
      <c r="V169" s="799">
        <f>SUMIF('Venture Summary - Mthly'!$E$8:$EG$8,V$9,'Venture Summary - Mthly'!$E172:$EG172)</f>
        <v>0</v>
      </c>
      <c r="W169" s="799">
        <f>SUMIF('Venture Summary - Mthly'!$E$8:$EG$8,W$9,'Venture Summary - Mthly'!$E172:$EG172)</f>
        <v>0</v>
      </c>
      <c r="X169" s="799">
        <f>SUMIF('Venture Summary - Mthly'!$E$8:$EG$8,X$9,'Venture Summary - Mthly'!$E172:$EG172)</f>
        <v>0</v>
      </c>
      <c r="Y169" s="799">
        <f>SUMIF('Venture Summary - Mthly'!$E$8:$EG$8,Y$9,'Venture Summary - Mthly'!$E172:$EG172)</f>
        <v>0</v>
      </c>
      <c r="Z169" s="799">
        <f>SUMIF('Venture Summary - Mthly'!$E$8:$EG$8,Z$9,'Venture Summary - Mthly'!$E172:$EG172)</f>
        <v>0</v>
      </c>
      <c r="AA169" s="799">
        <f>SUMIF('Venture Summary - Mthly'!$E$8:$EG$8,AA$9,'Venture Summary - Mthly'!$E172:$EG172)</f>
        <v>0</v>
      </c>
      <c r="AB169" s="799">
        <f>SUMIF('Venture Summary - Mthly'!$E$8:$EG$8,AB$9,'Venture Summary - Mthly'!$E172:$EG172)</f>
        <v>0</v>
      </c>
      <c r="AC169" s="799">
        <f>SUMIF('Venture Summary - Mthly'!$E$8:$EG$8,AC$9,'Venture Summary - Mthly'!$E172:$EG172)</f>
        <v>0</v>
      </c>
      <c r="AD169" s="799">
        <f>SUMIF('Venture Summary - Mthly'!$E$8:$EG$8,AD$9,'Venture Summary - Mthly'!$E172:$EG172)</f>
        <v>0</v>
      </c>
      <c r="AE169" s="799">
        <f>SUMIF('Venture Summary - Mthly'!$E$8:$EG$8,AE$9,'Venture Summary - Mthly'!$E172:$EG172)</f>
        <v>0</v>
      </c>
      <c r="AF169" s="799">
        <f>SUMIF('Venture Summary - Mthly'!$E$8:$EG$8,AF$9,'Venture Summary - Mthly'!$E172:$EG172)</f>
        <v>0</v>
      </c>
      <c r="AG169" s="799">
        <f>SUMIF('Venture Summary - Mthly'!$E$8:$EG$8,AG$9,'Venture Summary - Mthly'!$E172:$EG172)</f>
        <v>0</v>
      </c>
      <c r="AH169" s="799">
        <f>SUMIF('Venture Summary - Mthly'!$E$8:$EG$8,AH$9,'Venture Summary - Mthly'!$E172:$EG172)</f>
        <v>0</v>
      </c>
      <c r="AI169" s="799">
        <f>SUMIF('Venture Summary - Mthly'!$E$8:$EG$8,AI$9,'Venture Summary - Mthly'!$E172:$EG172)</f>
        <v>0</v>
      </c>
      <c r="AJ169" s="799">
        <f>SUMIF('Venture Summary - Mthly'!$E$8:$EG$8,AJ$9,'Venture Summary - Mthly'!$E172:$EG172)</f>
        <v>0</v>
      </c>
      <c r="AK169" s="799">
        <f>SUMIF('Venture Summary - Mthly'!$E$8:$EG$8,AK$9,'Venture Summary - Mthly'!$E172:$EG172)</f>
        <v>0</v>
      </c>
      <c r="AL169" s="799">
        <f>SUMIF('Venture Summary - Mthly'!$E$8:$EG$8,AL$9,'Venture Summary - Mthly'!$E172:$EG172)</f>
        <v>0</v>
      </c>
      <c r="AM169" s="799">
        <f>SUMIF('Venture Summary - Mthly'!$E$8:$EG$8,AM$9,'Venture Summary - Mthly'!$E172:$EG172)</f>
        <v>0</v>
      </c>
      <c r="AN169" s="799">
        <f>SUMIF('Venture Summary - Mthly'!$E$8:$EG$8,AN$9,'Venture Summary - Mthly'!$E172:$EG172)</f>
        <v>0</v>
      </c>
      <c r="AO169" s="799">
        <f>SUMIF('Venture Summary - Mthly'!$E$8:$EG$8,AO$9,'Venture Summary - Mthly'!$E172:$EG172)</f>
        <v>0</v>
      </c>
      <c r="AP169" s="799">
        <f>SUMIF('Venture Summary - Mthly'!$E$8:$EG$8,AP$9,'Venture Summary - Mthly'!$E172:$EG172)</f>
        <v>0</v>
      </c>
      <c r="AQ169" s="799">
        <f>SUMIF('Venture Summary - Mthly'!$E$8:$EG$8,AQ$9,'Venture Summary - Mthly'!$E172:$EG172)</f>
        <v>0</v>
      </c>
      <c r="AR169" s="799">
        <f>SUMIF('Venture Summary - Mthly'!$E$8:$EG$8,AR$9,'Venture Summary - Mthly'!$E172:$EG172)</f>
        <v>0</v>
      </c>
      <c r="AS169" s="799">
        <f>SUMIF('Venture Summary - Mthly'!$E$8:$EG$8,AS$9,'Venture Summary - Mthly'!$E172:$EG172)</f>
        <v>0</v>
      </c>
      <c r="AT169" s="799">
        <f>SUMIF('Venture Summary - Mthly'!$E$8:$EG$8,AT$9,'Venture Summary - Mthly'!$E172:$EG172)</f>
        <v>0</v>
      </c>
      <c r="AU169" s="799">
        <f>SUMIF('Venture Summary - Mthly'!$E$8:$EG$8,AU$9,'Venture Summary - Mthly'!$E172:$EG172)</f>
        <v>0</v>
      </c>
      <c r="AV169" s="799">
        <f>SUMIF('Venture Summary - Mthly'!$E$8:$EG$8,AV$9,'Venture Summary - Mthly'!$E172:$EG172)</f>
        <v>0</v>
      </c>
      <c r="AW169" s="799">
        <f>SUMIF('Venture Summary - Mthly'!$E$8:$EG$8,AW$9,'Venture Summary - Mthly'!$E172:$EG172)</f>
        <v>0</v>
      </c>
      <c r="AX169" s="798"/>
    </row>
    <row r="170" spans="1:50" ht="12.75" customHeight="1" x14ac:dyDescent="0.3">
      <c r="A170" s="782"/>
      <c r="B170" s="782" t="s">
        <v>103</v>
      </c>
      <c r="C170" s="798"/>
      <c r="D170" s="782"/>
      <c r="E170" s="798">
        <f>SUM(E167:E169)</f>
        <v>0</v>
      </c>
      <c r="F170" s="798">
        <f>SUM(F167:F169)</f>
        <v>0</v>
      </c>
      <c r="G170" s="798">
        <f t="shared" ref="G170:AW170" si="29">SUM(G167:G169)</f>
        <v>0</v>
      </c>
      <c r="H170" s="798">
        <f t="shared" si="29"/>
        <v>0</v>
      </c>
      <c r="I170" s="798">
        <f t="shared" si="29"/>
        <v>9733199.8629999999</v>
      </c>
      <c r="J170" s="798">
        <f t="shared" si="29"/>
        <v>21329502.299999997</v>
      </c>
      <c r="K170" s="798">
        <f t="shared" si="29"/>
        <v>30955999.097999997</v>
      </c>
      <c r="L170" s="798">
        <f t="shared" si="29"/>
        <v>38271070.437999994</v>
      </c>
      <c r="M170" s="798">
        <f t="shared" si="29"/>
        <v>42200089.102999993</v>
      </c>
      <c r="N170" s="798">
        <f t="shared" si="29"/>
        <v>42877793.386999995</v>
      </c>
      <c r="O170" s="798">
        <f t="shared" si="29"/>
        <v>42877793.386999995</v>
      </c>
      <c r="P170" s="798">
        <f t="shared" si="29"/>
        <v>0</v>
      </c>
      <c r="Q170" s="798">
        <f t="shared" si="29"/>
        <v>0</v>
      </c>
      <c r="R170" s="798">
        <f t="shared" si="29"/>
        <v>0</v>
      </c>
      <c r="S170" s="798">
        <f t="shared" si="29"/>
        <v>0</v>
      </c>
      <c r="T170" s="798">
        <f t="shared" si="29"/>
        <v>0</v>
      </c>
      <c r="U170" s="798">
        <f t="shared" si="29"/>
        <v>0</v>
      </c>
      <c r="V170" s="798">
        <f t="shared" si="29"/>
        <v>0</v>
      </c>
      <c r="W170" s="798">
        <f t="shared" si="29"/>
        <v>0</v>
      </c>
      <c r="X170" s="798">
        <f t="shared" si="29"/>
        <v>0</v>
      </c>
      <c r="Y170" s="798">
        <f t="shared" si="29"/>
        <v>0</v>
      </c>
      <c r="Z170" s="798">
        <f t="shared" si="29"/>
        <v>0</v>
      </c>
      <c r="AA170" s="798">
        <f t="shared" si="29"/>
        <v>0</v>
      </c>
      <c r="AB170" s="798">
        <f t="shared" si="29"/>
        <v>0</v>
      </c>
      <c r="AC170" s="798">
        <f t="shared" si="29"/>
        <v>0</v>
      </c>
      <c r="AD170" s="798">
        <f t="shared" si="29"/>
        <v>0</v>
      </c>
      <c r="AE170" s="798">
        <f t="shared" si="29"/>
        <v>0</v>
      </c>
      <c r="AF170" s="798">
        <f t="shared" si="29"/>
        <v>0</v>
      </c>
      <c r="AG170" s="798">
        <f t="shared" si="29"/>
        <v>0</v>
      </c>
      <c r="AH170" s="798">
        <f t="shared" si="29"/>
        <v>0</v>
      </c>
      <c r="AI170" s="798">
        <f t="shared" si="29"/>
        <v>0</v>
      </c>
      <c r="AJ170" s="798">
        <f t="shared" si="29"/>
        <v>0</v>
      </c>
      <c r="AK170" s="798">
        <f t="shared" si="29"/>
        <v>0</v>
      </c>
      <c r="AL170" s="798">
        <f t="shared" si="29"/>
        <v>0</v>
      </c>
      <c r="AM170" s="798">
        <f t="shared" si="29"/>
        <v>0</v>
      </c>
      <c r="AN170" s="798">
        <f t="shared" si="29"/>
        <v>0</v>
      </c>
      <c r="AO170" s="798">
        <f t="shared" si="29"/>
        <v>0</v>
      </c>
      <c r="AP170" s="798">
        <f t="shared" si="29"/>
        <v>0</v>
      </c>
      <c r="AQ170" s="798">
        <f t="shared" si="29"/>
        <v>0</v>
      </c>
      <c r="AR170" s="798">
        <f t="shared" si="29"/>
        <v>0</v>
      </c>
      <c r="AS170" s="798">
        <f t="shared" si="29"/>
        <v>0</v>
      </c>
      <c r="AT170" s="798">
        <f t="shared" si="29"/>
        <v>0</v>
      </c>
      <c r="AU170" s="798">
        <f t="shared" si="29"/>
        <v>0</v>
      </c>
      <c r="AV170" s="798">
        <f t="shared" si="29"/>
        <v>0</v>
      </c>
      <c r="AW170" s="798">
        <f t="shared" si="29"/>
        <v>0</v>
      </c>
      <c r="AX170" s="798"/>
    </row>
    <row r="171" spans="1:50" ht="12.75" customHeight="1" x14ac:dyDescent="0.3">
      <c r="A171" s="782"/>
      <c r="B171" s="782" t="s">
        <v>104</v>
      </c>
      <c r="C171" s="798">
        <f>SUM(E171:AX171)</f>
        <v>-3015435.9515204169</v>
      </c>
      <c r="D171" s="782"/>
      <c r="E171" s="798">
        <f>SUMIF('Venture Summary - Mthly'!$E$8:$EG$8,E$9,'Venture Summary - Mthly'!$E174:$EG174)</f>
        <v>0</v>
      </c>
      <c r="F171" s="798">
        <f>SUMIF('Venture Summary - Mthly'!$E$8:$EG$8,F$9,'Venture Summary - Mthly'!$E174:$EG174)</f>
        <v>0</v>
      </c>
      <c r="G171" s="798">
        <f>SUMIF('Venture Summary - Mthly'!$E$8:$EG$8,G$9,'Venture Summary - Mthly'!$E174:$EG174)</f>
        <v>0</v>
      </c>
      <c r="H171" s="798">
        <f>SUMIF('Venture Summary - Mthly'!$E$8:$EG$8,H$9,'Venture Summary - Mthly'!$E174:$EG174)</f>
        <v>0</v>
      </c>
      <c r="I171" s="798">
        <f>SUMIF('Venture Summary - Mthly'!$E$8:$EG$8,I$9,'Venture Summary - Mthly'!$E174:$EG174)</f>
        <v>-40131.847345416674</v>
      </c>
      <c r="J171" s="798">
        <f>SUMIF('Venture Summary - Mthly'!$E$8:$EG$8,J$9,'Venture Summary - Mthly'!$E174:$EG174)</f>
        <v>-222969.23460500001</v>
      </c>
      <c r="K171" s="798">
        <f>SUMIF('Venture Summary - Mthly'!$E$8:$EG$8,K$9,'Venture Summary - Mthly'!$E174:$EG174)</f>
        <v>-400657.47015125002</v>
      </c>
      <c r="L171" s="798">
        <f>SUMIF('Venture Summary - Mthly'!$E$8:$EG$8,L$9,'Venture Summary - Mthly'!$E174:$EG174)</f>
        <v>-546850.22897375003</v>
      </c>
      <c r="M171" s="798">
        <f>SUMIF('Venture Summary - Mthly'!$E$8:$EG$8,M$9,'Venture Summary - Mthly'!$E174:$EG174)</f>
        <v>-647224.49775208347</v>
      </c>
      <c r="N171" s="798">
        <f>SUMIF('Venture Summary - Mthly'!$E$8:$EG$8,N$9,'Venture Summary - Mthly'!$E174:$EG174)</f>
        <v>-693093.2443337501</v>
      </c>
      <c r="O171" s="798">
        <f>SUMIF('Venture Summary - Mthly'!$E$8:$EG$8,O$9,'Venture Summary - Mthly'!$E174:$EG174)</f>
        <v>-464509.42835916678</v>
      </c>
      <c r="P171" s="798">
        <f>SUMIF('Venture Summary - Mthly'!$E$8:$EG$8,P$9,'Venture Summary - Mthly'!$E174:$EG174)</f>
        <v>0</v>
      </c>
      <c r="Q171" s="798">
        <f>SUMIF('Venture Summary - Mthly'!$E$8:$EG$8,Q$9,'Venture Summary - Mthly'!$E174:$EG174)</f>
        <v>0</v>
      </c>
      <c r="R171" s="798">
        <f>SUMIF('Venture Summary - Mthly'!$E$8:$EG$8,R$9,'Venture Summary - Mthly'!$E174:$EG174)</f>
        <v>0</v>
      </c>
      <c r="S171" s="798">
        <f>SUMIF('Venture Summary - Mthly'!$E$8:$EG$8,S$9,'Venture Summary - Mthly'!$E174:$EG174)</f>
        <v>0</v>
      </c>
      <c r="T171" s="798">
        <f>SUMIF('Venture Summary - Mthly'!$E$8:$EG$8,T$9,'Venture Summary - Mthly'!$E174:$EG174)</f>
        <v>0</v>
      </c>
      <c r="U171" s="798">
        <f>SUMIF('Venture Summary - Mthly'!$E$8:$EG$8,U$9,'Venture Summary - Mthly'!$E174:$EG174)</f>
        <v>0</v>
      </c>
      <c r="V171" s="798">
        <f>SUMIF('Venture Summary - Mthly'!$E$8:$EG$8,V$9,'Venture Summary - Mthly'!$E174:$EG174)</f>
        <v>0</v>
      </c>
      <c r="W171" s="798">
        <f>SUMIF('Venture Summary - Mthly'!$E$8:$EG$8,W$9,'Venture Summary - Mthly'!$E174:$EG174)</f>
        <v>0</v>
      </c>
      <c r="X171" s="798">
        <f>SUMIF('Venture Summary - Mthly'!$E$8:$EG$8,X$9,'Venture Summary - Mthly'!$E174:$EG174)</f>
        <v>0</v>
      </c>
      <c r="Y171" s="798">
        <f>SUMIF('Venture Summary - Mthly'!$E$8:$EG$8,Y$9,'Venture Summary - Mthly'!$E174:$EG174)</f>
        <v>0</v>
      </c>
      <c r="Z171" s="798">
        <f>SUMIF('Venture Summary - Mthly'!$E$8:$EG$8,Z$9,'Venture Summary - Mthly'!$E174:$EG174)</f>
        <v>0</v>
      </c>
      <c r="AA171" s="798">
        <f>SUMIF('Venture Summary - Mthly'!$E$8:$EG$8,AA$9,'Venture Summary - Mthly'!$E174:$EG174)</f>
        <v>0</v>
      </c>
      <c r="AB171" s="798">
        <f>SUMIF('Venture Summary - Mthly'!$E$8:$EG$8,AB$9,'Venture Summary - Mthly'!$E174:$EG174)</f>
        <v>0</v>
      </c>
      <c r="AC171" s="798">
        <f>SUMIF('Venture Summary - Mthly'!$E$8:$EG$8,AC$9,'Venture Summary - Mthly'!$E174:$EG174)</f>
        <v>0</v>
      </c>
      <c r="AD171" s="798">
        <f>SUMIF('Venture Summary - Mthly'!$E$8:$EG$8,AD$9,'Venture Summary - Mthly'!$E174:$EG174)</f>
        <v>0</v>
      </c>
      <c r="AE171" s="798">
        <f>SUMIF('Venture Summary - Mthly'!$E$8:$EG$8,AE$9,'Venture Summary - Mthly'!$E174:$EG174)</f>
        <v>0</v>
      </c>
      <c r="AF171" s="798">
        <f>SUMIF('Venture Summary - Mthly'!$E$8:$EG$8,AF$9,'Venture Summary - Mthly'!$E174:$EG174)</f>
        <v>0</v>
      </c>
      <c r="AG171" s="798">
        <f>SUMIF('Venture Summary - Mthly'!$E$8:$EG$8,AG$9,'Venture Summary - Mthly'!$E174:$EG174)</f>
        <v>0</v>
      </c>
      <c r="AH171" s="798">
        <f>SUMIF('Venture Summary - Mthly'!$E$8:$EG$8,AH$9,'Venture Summary - Mthly'!$E174:$EG174)</f>
        <v>0</v>
      </c>
      <c r="AI171" s="798">
        <f>SUMIF('Venture Summary - Mthly'!$E$8:$EG$8,AI$9,'Venture Summary - Mthly'!$E174:$EG174)</f>
        <v>0</v>
      </c>
      <c r="AJ171" s="798">
        <f>SUMIF('Venture Summary - Mthly'!$E$8:$EG$8,AJ$9,'Venture Summary - Mthly'!$E174:$EG174)</f>
        <v>0</v>
      </c>
      <c r="AK171" s="798">
        <f>SUMIF('Venture Summary - Mthly'!$E$8:$EG$8,AK$9,'Venture Summary - Mthly'!$E174:$EG174)</f>
        <v>0</v>
      </c>
      <c r="AL171" s="798">
        <f>SUMIF('Venture Summary - Mthly'!$E$8:$EG$8,AL$9,'Venture Summary - Mthly'!$E174:$EG174)</f>
        <v>0</v>
      </c>
      <c r="AM171" s="798">
        <f>SUMIF('Venture Summary - Mthly'!$E$8:$EG$8,AM$9,'Venture Summary - Mthly'!$E174:$EG174)</f>
        <v>0</v>
      </c>
      <c r="AN171" s="798">
        <f>SUMIF('Venture Summary - Mthly'!$E$8:$EG$8,AN$9,'Venture Summary - Mthly'!$E174:$EG174)</f>
        <v>0</v>
      </c>
      <c r="AO171" s="798">
        <f>SUMIF('Venture Summary - Mthly'!$E$8:$EG$8,AO$9,'Venture Summary - Mthly'!$E174:$EG174)</f>
        <v>0</v>
      </c>
      <c r="AP171" s="798">
        <f>SUMIF('Venture Summary - Mthly'!$E$8:$EG$8,AP$9,'Venture Summary - Mthly'!$E174:$EG174)</f>
        <v>0</v>
      </c>
      <c r="AQ171" s="798">
        <f>SUMIF('Venture Summary - Mthly'!$E$8:$EG$8,AQ$9,'Venture Summary - Mthly'!$E174:$EG174)</f>
        <v>0</v>
      </c>
      <c r="AR171" s="798">
        <f>SUMIF('Venture Summary - Mthly'!$E$8:$EG$8,AR$9,'Venture Summary - Mthly'!$E174:$EG174)</f>
        <v>0</v>
      </c>
      <c r="AS171" s="798">
        <f>SUMIF('Venture Summary - Mthly'!$E$8:$EG$8,AS$9,'Venture Summary - Mthly'!$E174:$EG174)</f>
        <v>0</v>
      </c>
      <c r="AT171" s="798">
        <f>SUMIF('Venture Summary - Mthly'!$E$8:$EG$8,AT$9,'Venture Summary - Mthly'!$E174:$EG174)</f>
        <v>0</v>
      </c>
      <c r="AU171" s="798">
        <f>SUMIF('Venture Summary - Mthly'!$E$8:$EG$8,AU$9,'Venture Summary - Mthly'!$E174:$EG174)</f>
        <v>0</v>
      </c>
      <c r="AV171" s="798">
        <f>SUMIF('Venture Summary - Mthly'!$E$8:$EG$8,AV$9,'Venture Summary - Mthly'!$E174:$EG174)</f>
        <v>0</v>
      </c>
      <c r="AW171" s="798">
        <f>SUMIF('Venture Summary - Mthly'!$E$8:$EG$8,AW$9,'Venture Summary - Mthly'!$E174:$EG174)</f>
        <v>0</v>
      </c>
      <c r="AX171" s="798"/>
    </row>
    <row r="172" spans="1:50" ht="12.75" customHeight="1" x14ac:dyDescent="0.3">
      <c r="A172" s="782"/>
      <c r="B172" s="782"/>
      <c r="C172" s="798"/>
      <c r="D172" s="782"/>
      <c r="E172" s="798"/>
      <c r="F172" s="808"/>
      <c r="G172" s="808"/>
      <c r="H172" s="808"/>
      <c r="I172" s="808"/>
      <c r="J172" s="808"/>
      <c r="K172" s="808"/>
      <c r="L172" s="808"/>
      <c r="M172" s="808"/>
      <c r="N172" s="808"/>
      <c r="O172" s="808"/>
      <c r="P172" s="808"/>
      <c r="Q172" s="808"/>
      <c r="R172" s="808"/>
      <c r="S172" s="808"/>
      <c r="T172" s="808"/>
      <c r="U172" s="808"/>
      <c r="V172" s="808"/>
      <c r="W172" s="808"/>
      <c r="X172" s="808"/>
      <c r="Y172" s="808"/>
      <c r="Z172" s="808"/>
      <c r="AA172" s="808"/>
      <c r="AB172" s="808"/>
      <c r="AC172" s="808"/>
      <c r="AD172" s="808"/>
      <c r="AE172" s="808"/>
      <c r="AF172" s="808"/>
      <c r="AG172" s="808"/>
      <c r="AH172" s="808"/>
      <c r="AI172" s="808"/>
      <c r="AJ172" s="808"/>
      <c r="AK172" s="808"/>
      <c r="AL172" s="808"/>
      <c r="AM172" s="808"/>
      <c r="AN172" s="808"/>
      <c r="AO172" s="808"/>
      <c r="AP172" s="808"/>
      <c r="AQ172" s="808"/>
      <c r="AR172" s="808"/>
      <c r="AS172" s="808"/>
      <c r="AT172" s="808"/>
      <c r="AU172" s="808"/>
      <c r="AV172" s="808"/>
      <c r="AW172" s="808"/>
      <c r="AX172" s="808"/>
    </row>
    <row r="173" spans="1:50" ht="12.75" customHeight="1" x14ac:dyDescent="0.3">
      <c r="A173" s="782"/>
      <c r="B173" s="782" t="s">
        <v>105</v>
      </c>
      <c r="C173" s="798"/>
      <c r="D173" s="782"/>
      <c r="E173" s="798">
        <f>IF(E169&lt;0,1,0)</f>
        <v>0</v>
      </c>
      <c r="F173" s="798">
        <f t="shared" ref="F173:AW173" si="30">IF(F169&lt;0,1,0)</f>
        <v>0</v>
      </c>
      <c r="G173" s="798">
        <f t="shared" si="30"/>
        <v>0</v>
      </c>
      <c r="H173" s="798">
        <f t="shared" si="30"/>
        <v>0</v>
      </c>
      <c r="I173" s="798">
        <f t="shared" si="30"/>
        <v>0</v>
      </c>
      <c r="J173" s="798">
        <f t="shared" si="30"/>
        <v>0</v>
      </c>
      <c r="K173" s="798">
        <f t="shared" si="30"/>
        <v>0</v>
      </c>
      <c r="L173" s="798">
        <f t="shared" si="30"/>
        <v>0</v>
      </c>
      <c r="M173" s="798">
        <f t="shared" si="30"/>
        <v>0</v>
      </c>
      <c r="N173" s="798">
        <f t="shared" si="30"/>
        <v>0</v>
      </c>
      <c r="O173" s="798">
        <f t="shared" si="30"/>
        <v>0</v>
      </c>
      <c r="P173" s="798">
        <f t="shared" si="30"/>
        <v>1</v>
      </c>
      <c r="Q173" s="798">
        <f t="shared" si="30"/>
        <v>0</v>
      </c>
      <c r="R173" s="798">
        <f t="shared" si="30"/>
        <v>0</v>
      </c>
      <c r="S173" s="798">
        <f t="shared" si="30"/>
        <v>0</v>
      </c>
      <c r="T173" s="798">
        <f t="shared" si="30"/>
        <v>0</v>
      </c>
      <c r="U173" s="798">
        <f t="shared" si="30"/>
        <v>0</v>
      </c>
      <c r="V173" s="798">
        <f t="shared" si="30"/>
        <v>0</v>
      </c>
      <c r="W173" s="798">
        <f t="shared" si="30"/>
        <v>0</v>
      </c>
      <c r="X173" s="798">
        <f t="shared" si="30"/>
        <v>0</v>
      </c>
      <c r="Y173" s="798">
        <f t="shared" si="30"/>
        <v>0</v>
      </c>
      <c r="Z173" s="798">
        <f t="shared" si="30"/>
        <v>0</v>
      </c>
      <c r="AA173" s="798">
        <f t="shared" si="30"/>
        <v>0</v>
      </c>
      <c r="AB173" s="798">
        <f t="shared" si="30"/>
        <v>0</v>
      </c>
      <c r="AC173" s="798">
        <f t="shared" si="30"/>
        <v>0</v>
      </c>
      <c r="AD173" s="798">
        <f t="shared" si="30"/>
        <v>0</v>
      </c>
      <c r="AE173" s="798">
        <f t="shared" si="30"/>
        <v>0</v>
      </c>
      <c r="AF173" s="798">
        <f t="shared" si="30"/>
        <v>0</v>
      </c>
      <c r="AG173" s="798">
        <f t="shared" si="30"/>
        <v>0</v>
      </c>
      <c r="AH173" s="798">
        <f t="shared" si="30"/>
        <v>0</v>
      </c>
      <c r="AI173" s="798">
        <f t="shared" si="30"/>
        <v>0</v>
      </c>
      <c r="AJ173" s="798">
        <f t="shared" si="30"/>
        <v>0</v>
      </c>
      <c r="AK173" s="798">
        <f t="shared" si="30"/>
        <v>0</v>
      </c>
      <c r="AL173" s="798">
        <f t="shared" si="30"/>
        <v>0</v>
      </c>
      <c r="AM173" s="798">
        <f t="shared" si="30"/>
        <v>0</v>
      </c>
      <c r="AN173" s="798">
        <f t="shared" si="30"/>
        <v>0</v>
      </c>
      <c r="AO173" s="798">
        <f t="shared" si="30"/>
        <v>0</v>
      </c>
      <c r="AP173" s="798">
        <f t="shared" si="30"/>
        <v>0</v>
      </c>
      <c r="AQ173" s="798">
        <f t="shared" si="30"/>
        <v>0</v>
      </c>
      <c r="AR173" s="798">
        <f t="shared" si="30"/>
        <v>0</v>
      </c>
      <c r="AS173" s="798">
        <f t="shared" si="30"/>
        <v>0</v>
      </c>
      <c r="AT173" s="798">
        <f t="shared" si="30"/>
        <v>0</v>
      </c>
      <c r="AU173" s="798">
        <f t="shared" si="30"/>
        <v>0</v>
      </c>
      <c r="AV173" s="798">
        <f t="shared" si="30"/>
        <v>0</v>
      </c>
      <c r="AW173" s="798">
        <f t="shared" si="30"/>
        <v>0</v>
      </c>
      <c r="AX173" s="798"/>
    </row>
    <row r="174" spans="1:50" ht="12.75" customHeight="1" x14ac:dyDescent="0.3">
      <c r="A174" s="782"/>
      <c r="B174" s="782"/>
      <c r="C174" s="798"/>
      <c r="D174" s="782"/>
      <c r="E174" s="798"/>
      <c r="F174" s="808"/>
      <c r="G174" s="808"/>
      <c r="H174" s="808"/>
      <c r="I174" s="808"/>
      <c r="J174" s="808"/>
      <c r="K174" s="808"/>
      <c r="L174" s="808"/>
      <c r="M174" s="808"/>
      <c r="N174" s="808"/>
      <c r="O174" s="808"/>
      <c r="P174" s="808"/>
      <c r="Q174" s="808"/>
      <c r="R174" s="808"/>
      <c r="S174" s="808"/>
      <c r="T174" s="808"/>
      <c r="U174" s="808"/>
      <c r="V174" s="808"/>
      <c r="W174" s="808"/>
      <c r="X174" s="808"/>
      <c r="Y174" s="808"/>
      <c r="Z174" s="808"/>
      <c r="AA174" s="808"/>
      <c r="AB174" s="808"/>
      <c r="AC174" s="808"/>
      <c r="AD174" s="808"/>
      <c r="AE174" s="808"/>
      <c r="AF174" s="808"/>
      <c r="AG174" s="808"/>
      <c r="AH174" s="808"/>
      <c r="AI174" s="808"/>
      <c r="AJ174" s="808"/>
      <c r="AK174" s="808"/>
      <c r="AL174" s="808"/>
      <c r="AM174" s="808"/>
      <c r="AN174" s="808"/>
      <c r="AO174" s="808"/>
      <c r="AP174" s="808"/>
      <c r="AQ174" s="808"/>
      <c r="AR174" s="808"/>
      <c r="AS174" s="808"/>
      <c r="AT174" s="808"/>
      <c r="AU174" s="808"/>
      <c r="AV174" s="808"/>
      <c r="AW174" s="808"/>
      <c r="AX174" s="808"/>
    </row>
    <row r="175" spans="1:50" ht="12.75" customHeight="1" x14ac:dyDescent="0.3">
      <c r="A175" s="782"/>
      <c r="B175" s="781" t="s">
        <v>106</v>
      </c>
      <c r="C175" s="799"/>
      <c r="D175" s="781"/>
      <c r="E175" s="799">
        <v>0</v>
      </c>
      <c r="F175" s="799">
        <f>E178</f>
        <v>0</v>
      </c>
      <c r="G175" s="799">
        <f t="shared" ref="G175:AW175" si="31">F178</f>
        <v>0</v>
      </c>
      <c r="H175" s="799">
        <f t="shared" si="31"/>
        <v>0</v>
      </c>
      <c r="I175" s="799">
        <f t="shared" si="31"/>
        <v>0</v>
      </c>
      <c r="J175" s="799">
        <f t="shared" si="31"/>
        <v>0</v>
      </c>
      <c r="K175" s="799">
        <f t="shared" si="31"/>
        <v>0</v>
      </c>
      <c r="L175" s="799">
        <f t="shared" si="31"/>
        <v>0</v>
      </c>
      <c r="M175" s="799">
        <f t="shared" si="31"/>
        <v>0</v>
      </c>
      <c r="N175" s="799">
        <f t="shared" si="31"/>
        <v>0</v>
      </c>
      <c r="O175" s="799">
        <f t="shared" si="31"/>
        <v>0</v>
      </c>
      <c r="P175" s="799">
        <f t="shared" si="31"/>
        <v>0</v>
      </c>
      <c r="Q175" s="799">
        <f t="shared" si="31"/>
        <v>57343611.907627545</v>
      </c>
      <c r="R175" s="799">
        <f t="shared" si="31"/>
        <v>57343611.907627545</v>
      </c>
      <c r="S175" s="799">
        <f t="shared" si="31"/>
        <v>57343611.907627545</v>
      </c>
      <c r="T175" s="799">
        <f t="shared" si="31"/>
        <v>57343611.907627545</v>
      </c>
      <c r="U175" s="799">
        <f t="shared" si="31"/>
        <v>57343611.907627545</v>
      </c>
      <c r="V175" s="799">
        <f t="shared" si="31"/>
        <v>57343611.907627545</v>
      </c>
      <c r="W175" s="799">
        <f t="shared" si="31"/>
        <v>57343611.907627545</v>
      </c>
      <c r="X175" s="799">
        <f t="shared" si="31"/>
        <v>57343611.907627545</v>
      </c>
      <c r="Y175" s="799">
        <f t="shared" si="31"/>
        <v>57343611.907627545</v>
      </c>
      <c r="Z175" s="799">
        <f t="shared" si="31"/>
        <v>57343611.907627545</v>
      </c>
      <c r="AA175" s="799">
        <f t="shared" si="31"/>
        <v>57343611.907627545</v>
      </c>
      <c r="AB175" s="799">
        <f t="shared" si="31"/>
        <v>57343611.907627545</v>
      </c>
      <c r="AC175" s="799">
        <f t="shared" si="31"/>
        <v>57343611.907627545</v>
      </c>
      <c r="AD175" s="799">
        <f t="shared" si="31"/>
        <v>57343611.907627545</v>
      </c>
      <c r="AE175" s="799">
        <f t="shared" si="31"/>
        <v>57343611.907627545</v>
      </c>
      <c r="AF175" s="799">
        <f t="shared" si="31"/>
        <v>57343611.907627545</v>
      </c>
      <c r="AG175" s="799">
        <f t="shared" si="31"/>
        <v>57343611.907627545</v>
      </c>
      <c r="AH175" s="799">
        <f t="shared" si="31"/>
        <v>57343611.907627545</v>
      </c>
      <c r="AI175" s="799">
        <f t="shared" si="31"/>
        <v>57343611.907627545</v>
      </c>
      <c r="AJ175" s="799">
        <f t="shared" si="31"/>
        <v>57343611.907627545</v>
      </c>
      <c r="AK175" s="799">
        <f t="shared" si="31"/>
        <v>57343611.907627545</v>
      </c>
      <c r="AL175" s="799">
        <f t="shared" si="31"/>
        <v>57343611.907627545</v>
      </c>
      <c r="AM175" s="799">
        <f t="shared" si="31"/>
        <v>57343611.907627545</v>
      </c>
      <c r="AN175" s="799">
        <f t="shared" si="31"/>
        <v>57343611.907627545</v>
      </c>
      <c r="AO175" s="799">
        <f t="shared" si="31"/>
        <v>57343611.907627545</v>
      </c>
      <c r="AP175" s="799">
        <f t="shared" si="31"/>
        <v>57343611.907627545</v>
      </c>
      <c r="AQ175" s="799">
        <f t="shared" si="31"/>
        <v>57343611.907627545</v>
      </c>
      <c r="AR175" s="799">
        <f t="shared" si="31"/>
        <v>57343611.907627545</v>
      </c>
      <c r="AS175" s="799">
        <f t="shared" si="31"/>
        <v>57343611.907627545</v>
      </c>
      <c r="AT175" s="799">
        <f t="shared" si="31"/>
        <v>57343611.907627545</v>
      </c>
      <c r="AU175" s="799">
        <f t="shared" si="31"/>
        <v>57343611.907627545</v>
      </c>
      <c r="AV175" s="799">
        <f t="shared" si="31"/>
        <v>57343611.907627545</v>
      </c>
      <c r="AW175" s="799">
        <f t="shared" si="31"/>
        <v>57343611.907627545</v>
      </c>
      <c r="AX175" s="798"/>
    </row>
    <row r="176" spans="1:50" ht="12.75" customHeight="1" x14ac:dyDescent="0.3">
      <c r="A176" s="782"/>
      <c r="B176" s="782" t="s">
        <v>101</v>
      </c>
      <c r="C176" s="798"/>
      <c r="D176" s="782"/>
      <c r="E176" s="798">
        <f>SUMIF('Venture Summary - Mthly'!$E$8:$EG$8,E$9,'Venture Summary - Mthly'!$E179:$EG179)</f>
        <v>0</v>
      </c>
      <c r="F176" s="798">
        <f>SUMIF('Venture Summary - Mthly'!$E$8:$EG$8,F$9,'Venture Summary - Mthly'!$E179:$EG179)</f>
        <v>0</v>
      </c>
      <c r="G176" s="798">
        <f>SUMIF('Venture Summary - Mthly'!$E$8:$EG$8,G$9,'Venture Summary - Mthly'!$E179:$EG179)</f>
        <v>0</v>
      </c>
      <c r="H176" s="798">
        <f>SUMIF('Venture Summary - Mthly'!$E$8:$EG$8,H$9,'Venture Summary - Mthly'!$E179:$EG179)</f>
        <v>0</v>
      </c>
      <c r="I176" s="798">
        <f>SUMIF('Venture Summary - Mthly'!$E$8:$EG$8,I$9,'Venture Summary - Mthly'!$E179:$EG179)</f>
        <v>0</v>
      </c>
      <c r="J176" s="798">
        <f>SUMIF('Venture Summary - Mthly'!$E$8:$EG$8,J$9,'Venture Summary - Mthly'!$E179:$EG179)</f>
        <v>0</v>
      </c>
      <c r="K176" s="798">
        <f>SUMIF('Venture Summary - Mthly'!$E$8:$EG$8,K$9,'Venture Summary - Mthly'!$E179:$EG179)</f>
        <v>0</v>
      </c>
      <c r="L176" s="798">
        <f>SUMIF('Venture Summary - Mthly'!$E$8:$EG$8,L$9,'Venture Summary - Mthly'!$E179:$EG179)</f>
        <v>0</v>
      </c>
      <c r="M176" s="798">
        <f>SUMIF('Venture Summary - Mthly'!$E$8:$EG$8,M$9,'Venture Summary - Mthly'!$E179:$EG179)</f>
        <v>0</v>
      </c>
      <c r="N176" s="798">
        <f>SUMIF('Venture Summary - Mthly'!$E$8:$EG$8,N$9,'Venture Summary - Mthly'!$E179:$EG179)</f>
        <v>0</v>
      </c>
      <c r="O176" s="798">
        <f>SUMIF('Venture Summary - Mthly'!$E$8:$EG$8,O$9,'Venture Summary - Mthly'!$E179:$EG179)</f>
        <v>0</v>
      </c>
      <c r="P176" s="798">
        <f>SUMIF('Venture Summary - Mthly'!$E$8:$EG$8,P$9,'Venture Summary - Mthly'!$E179:$EG179)</f>
        <v>57343611.907627545</v>
      </c>
      <c r="Q176" s="798">
        <f>SUMIF('Venture Summary - Mthly'!$E$8:$EG$8,Q$9,'Venture Summary - Mthly'!$E179:$EG179)</f>
        <v>0</v>
      </c>
      <c r="R176" s="798">
        <f>SUMIF('Venture Summary - Mthly'!$E$8:$EG$8,R$9,'Venture Summary - Mthly'!$E179:$EG179)</f>
        <v>0</v>
      </c>
      <c r="S176" s="798">
        <f>SUMIF('Venture Summary - Mthly'!$E$8:$EG$8,S$9,'Venture Summary - Mthly'!$E179:$EG179)</f>
        <v>0</v>
      </c>
      <c r="T176" s="798">
        <f>SUMIF('Venture Summary - Mthly'!$E$8:$EG$8,T$9,'Venture Summary - Mthly'!$E179:$EG179)</f>
        <v>0</v>
      </c>
      <c r="U176" s="798">
        <f>SUMIF('Venture Summary - Mthly'!$E$8:$EG$8,U$9,'Venture Summary - Mthly'!$E179:$EG179)</f>
        <v>0</v>
      </c>
      <c r="V176" s="798">
        <f>SUMIF('Venture Summary - Mthly'!$E$8:$EG$8,V$9,'Venture Summary - Mthly'!$E179:$EG179)</f>
        <v>0</v>
      </c>
      <c r="W176" s="798">
        <f>SUMIF('Venture Summary - Mthly'!$E$8:$EG$8,W$9,'Venture Summary - Mthly'!$E179:$EG179)</f>
        <v>0</v>
      </c>
      <c r="X176" s="798">
        <f>SUMIF('Venture Summary - Mthly'!$E$8:$EG$8,X$9,'Venture Summary - Mthly'!$E179:$EG179)</f>
        <v>0</v>
      </c>
      <c r="Y176" s="798">
        <f>SUMIF('Venture Summary - Mthly'!$E$8:$EG$8,Y$9,'Venture Summary - Mthly'!$E179:$EG179)</f>
        <v>0</v>
      </c>
      <c r="Z176" s="798">
        <f>SUMIF('Venture Summary - Mthly'!$E$8:$EG$8,Z$9,'Venture Summary - Mthly'!$E179:$EG179)</f>
        <v>0</v>
      </c>
      <c r="AA176" s="798">
        <f>SUMIF('Venture Summary - Mthly'!$E$8:$EG$8,AA$9,'Venture Summary - Mthly'!$E179:$EG179)</f>
        <v>0</v>
      </c>
      <c r="AB176" s="798">
        <f>SUMIF('Venture Summary - Mthly'!$E$8:$EG$8,AB$9,'Venture Summary - Mthly'!$E179:$EG179)</f>
        <v>0</v>
      </c>
      <c r="AC176" s="798">
        <f>SUMIF('Venture Summary - Mthly'!$E$8:$EG$8,AC$9,'Venture Summary - Mthly'!$E179:$EG179)</f>
        <v>0</v>
      </c>
      <c r="AD176" s="798">
        <f>SUMIF('Venture Summary - Mthly'!$E$8:$EG$8,AD$9,'Venture Summary - Mthly'!$E179:$EG179)</f>
        <v>0</v>
      </c>
      <c r="AE176" s="798">
        <f>SUMIF('Venture Summary - Mthly'!$E$8:$EG$8,AE$9,'Venture Summary - Mthly'!$E179:$EG179)</f>
        <v>0</v>
      </c>
      <c r="AF176" s="798">
        <f>SUMIF('Venture Summary - Mthly'!$E$8:$EG$8,AF$9,'Venture Summary - Mthly'!$E179:$EG179)</f>
        <v>0</v>
      </c>
      <c r="AG176" s="798">
        <f>SUMIF('Venture Summary - Mthly'!$E$8:$EG$8,AG$9,'Venture Summary - Mthly'!$E179:$EG179)</f>
        <v>0</v>
      </c>
      <c r="AH176" s="798">
        <f>SUMIF('Venture Summary - Mthly'!$E$8:$EG$8,AH$9,'Venture Summary - Mthly'!$E179:$EG179)</f>
        <v>0</v>
      </c>
      <c r="AI176" s="798">
        <f>SUMIF('Venture Summary - Mthly'!$E$8:$EG$8,AI$9,'Venture Summary - Mthly'!$E179:$EG179)</f>
        <v>0</v>
      </c>
      <c r="AJ176" s="798">
        <f>SUMIF('Venture Summary - Mthly'!$E$8:$EG$8,AJ$9,'Venture Summary - Mthly'!$E179:$EG179)</f>
        <v>0</v>
      </c>
      <c r="AK176" s="798">
        <f>SUMIF('Venture Summary - Mthly'!$E$8:$EG$8,AK$9,'Venture Summary - Mthly'!$E179:$EG179)</f>
        <v>0</v>
      </c>
      <c r="AL176" s="798">
        <f>SUMIF('Venture Summary - Mthly'!$E$8:$EG$8,AL$9,'Venture Summary - Mthly'!$E179:$EG179)</f>
        <v>0</v>
      </c>
      <c r="AM176" s="798">
        <f>SUMIF('Venture Summary - Mthly'!$E$8:$EG$8,AM$9,'Venture Summary - Mthly'!$E179:$EG179)</f>
        <v>0</v>
      </c>
      <c r="AN176" s="798">
        <f>SUMIF('Venture Summary - Mthly'!$E$8:$EG$8,AN$9,'Venture Summary - Mthly'!$E179:$EG179)</f>
        <v>0</v>
      </c>
      <c r="AO176" s="798">
        <f>SUMIF('Venture Summary - Mthly'!$E$8:$EG$8,AO$9,'Venture Summary - Mthly'!$E179:$EG179)</f>
        <v>0</v>
      </c>
      <c r="AP176" s="798">
        <f>SUMIF('Venture Summary - Mthly'!$E$8:$EG$8,AP$9,'Venture Summary - Mthly'!$E179:$EG179)</f>
        <v>0</v>
      </c>
      <c r="AQ176" s="798">
        <f>SUMIF('Venture Summary - Mthly'!$E$8:$EG$8,AQ$9,'Venture Summary - Mthly'!$E179:$EG179)</f>
        <v>0</v>
      </c>
      <c r="AR176" s="798">
        <f>SUMIF('Venture Summary - Mthly'!$E$8:$EG$8,AR$9,'Venture Summary - Mthly'!$E179:$EG179)</f>
        <v>0</v>
      </c>
      <c r="AS176" s="798">
        <f>SUMIF('Venture Summary - Mthly'!$E$8:$EG$8,AS$9,'Venture Summary - Mthly'!$E179:$EG179)</f>
        <v>0</v>
      </c>
      <c r="AT176" s="798">
        <f>SUMIF('Venture Summary - Mthly'!$E$8:$EG$8,AT$9,'Venture Summary - Mthly'!$E179:$EG179)</f>
        <v>0</v>
      </c>
      <c r="AU176" s="798">
        <f>SUMIF('Venture Summary - Mthly'!$E$8:$EG$8,AU$9,'Venture Summary - Mthly'!$E179:$EG179)</f>
        <v>0</v>
      </c>
      <c r="AV176" s="798">
        <f>SUMIF('Venture Summary - Mthly'!$E$8:$EG$8,AV$9,'Venture Summary - Mthly'!$E179:$EG179)</f>
        <v>0</v>
      </c>
      <c r="AW176" s="798">
        <f>SUMIF('Venture Summary - Mthly'!$E$8:$EG$8,AW$9,'Venture Summary - Mthly'!$E179:$EG179)</f>
        <v>0</v>
      </c>
      <c r="AX176" s="798"/>
    </row>
    <row r="177" spans="1:50" ht="12.75" customHeight="1" x14ac:dyDescent="0.3">
      <c r="A177" s="782"/>
      <c r="B177" s="781" t="s">
        <v>107</v>
      </c>
      <c r="C177" s="799"/>
      <c r="D177" s="781"/>
      <c r="E177" s="799">
        <f>SUMIF('Venture Summary - Mthly'!$E$8:$EG$8,E$9,'Venture Summary - Mthly'!$E180:$EG180)</f>
        <v>0</v>
      </c>
      <c r="F177" s="799">
        <f>SUMIF('Venture Summary - Mthly'!$E$8:$EG$8,F$9,'Venture Summary - Mthly'!$E180:$EG180)</f>
        <v>0</v>
      </c>
      <c r="G177" s="799">
        <f>SUMIF('Venture Summary - Mthly'!$E$8:$EG$8,G$9,'Venture Summary - Mthly'!$E180:$EG180)</f>
        <v>0</v>
      </c>
      <c r="H177" s="799">
        <f>SUMIF('Venture Summary - Mthly'!$E$8:$EG$8,H$9,'Venture Summary - Mthly'!$E180:$EG180)</f>
        <v>0</v>
      </c>
      <c r="I177" s="799">
        <f>SUMIF('Venture Summary - Mthly'!$E$8:$EG$8,I$9,'Venture Summary - Mthly'!$E180:$EG180)</f>
        <v>0</v>
      </c>
      <c r="J177" s="799">
        <f>SUMIF('Venture Summary - Mthly'!$E$8:$EG$8,J$9,'Venture Summary - Mthly'!$E180:$EG180)</f>
        <v>0</v>
      </c>
      <c r="K177" s="799">
        <f>SUMIF('Venture Summary - Mthly'!$E$8:$EG$8,K$9,'Venture Summary - Mthly'!$E180:$EG180)</f>
        <v>0</v>
      </c>
      <c r="L177" s="799">
        <f>SUMIF('Venture Summary - Mthly'!$E$8:$EG$8,L$9,'Venture Summary - Mthly'!$E180:$EG180)</f>
        <v>0</v>
      </c>
      <c r="M177" s="799">
        <f>SUMIF('Venture Summary - Mthly'!$E$8:$EG$8,M$9,'Venture Summary - Mthly'!$E180:$EG180)</f>
        <v>0</v>
      </c>
      <c r="N177" s="799">
        <f>SUMIF('Venture Summary - Mthly'!$E$8:$EG$8,N$9,'Venture Summary - Mthly'!$E180:$EG180)</f>
        <v>0</v>
      </c>
      <c r="O177" s="799">
        <f>SUMIF('Venture Summary - Mthly'!$E$8:$EG$8,O$9,'Venture Summary - Mthly'!$E180:$EG180)</f>
        <v>0</v>
      </c>
      <c r="P177" s="799">
        <f>SUMIF('Venture Summary - Mthly'!$E$8:$EG$8,P$9,'Venture Summary - Mthly'!$E180:$EG180)</f>
        <v>0</v>
      </c>
      <c r="Q177" s="799">
        <f>SUMIF('Venture Summary - Mthly'!$E$8:$EG$8,Q$9,'Venture Summary - Mthly'!$E180:$EG180)</f>
        <v>0</v>
      </c>
      <c r="R177" s="799">
        <f>SUMIF('Venture Summary - Mthly'!$E$8:$EG$8,R$9,'Venture Summary - Mthly'!$E180:$EG180)</f>
        <v>0</v>
      </c>
      <c r="S177" s="799">
        <f>SUMIF('Venture Summary - Mthly'!$E$8:$EG$8,S$9,'Venture Summary - Mthly'!$E180:$EG180)</f>
        <v>0</v>
      </c>
      <c r="T177" s="799">
        <f>SUMIF('Venture Summary - Mthly'!$E$8:$EG$8,T$9,'Venture Summary - Mthly'!$E180:$EG180)</f>
        <v>0</v>
      </c>
      <c r="U177" s="799">
        <f>SUMIF('Venture Summary - Mthly'!$E$8:$EG$8,U$9,'Venture Summary - Mthly'!$E180:$EG180)</f>
        <v>0</v>
      </c>
      <c r="V177" s="799">
        <f>SUMIF('Venture Summary - Mthly'!$E$8:$EG$8,V$9,'Venture Summary - Mthly'!$E180:$EG180)</f>
        <v>0</v>
      </c>
      <c r="W177" s="799">
        <f>SUMIF('Venture Summary - Mthly'!$E$8:$EG$8,W$9,'Venture Summary - Mthly'!$E180:$EG180)</f>
        <v>0</v>
      </c>
      <c r="X177" s="799">
        <f>SUMIF('Venture Summary - Mthly'!$E$8:$EG$8,X$9,'Venture Summary - Mthly'!$E180:$EG180)</f>
        <v>0</v>
      </c>
      <c r="Y177" s="799">
        <f>SUMIF('Venture Summary - Mthly'!$E$8:$EG$8,Y$9,'Venture Summary - Mthly'!$E180:$EG180)</f>
        <v>0</v>
      </c>
      <c r="Z177" s="799">
        <f>SUMIF('Venture Summary - Mthly'!$E$8:$EG$8,Z$9,'Venture Summary - Mthly'!$E180:$EG180)</f>
        <v>0</v>
      </c>
      <c r="AA177" s="799">
        <f>SUMIF('Venture Summary - Mthly'!$E$8:$EG$8,AA$9,'Venture Summary - Mthly'!$E180:$EG180)</f>
        <v>0</v>
      </c>
      <c r="AB177" s="799">
        <f>SUMIF('Venture Summary - Mthly'!$E$8:$EG$8,AB$9,'Venture Summary - Mthly'!$E180:$EG180)</f>
        <v>0</v>
      </c>
      <c r="AC177" s="799">
        <f>SUMIF('Venture Summary - Mthly'!$E$8:$EG$8,AC$9,'Venture Summary - Mthly'!$E180:$EG180)</f>
        <v>0</v>
      </c>
      <c r="AD177" s="799">
        <f>SUMIF('Venture Summary - Mthly'!$E$8:$EG$8,AD$9,'Venture Summary - Mthly'!$E180:$EG180)</f>
        <v>0</v>
      </c>
      <c r="AE177" s="799">
        <f>SUMIF('Venture Summary - Mthly'!$E$8:$EG$8,AE$9,'Venture Summary - Mthly'!$E180:$EG180)</f>
        <v>0</v>
      </c>
      <c r="AF177" s="799">
        <f>SUMIF('Venture Summary - Mthly'!$E$8:$EG$8,AF$9,'Venture Summary - Mthly'!$E180:$EG180)</f>
        <v>0</v>
      </c>
      <c r="AG177" s="799">
        <f>SUMIF('Venture Summary - Mthly'!$E$8:$EG$8,AG$9,'Venture Summary - Mthly'!$E180:$EG180)</f>
        <v>0</v>
      </c>
      <c r="AH177" s="799">
        <f>SUMIF('Venture Summary - Mthly'!$E$8:$EG$8,AH$9,'Venture Summary - Mthly'!$E180:$EG180)</f>
        <v>0</v>
      </c>
      <c r="AI177" s="799">
        <f>SUMIF('Venture Summary - Mthly'!$E$8:$EG$8,AI$9,'Venture Summary - Mthly'!$E180:$EG180)</f>
        <v>0</v>
      </c>
      <c r="AJ177" s="799">
        <f>SUMIF('Venture Summary - Mthly'!$E$8:$EG$8,AJ$9,'Venture Summary - Mthly'!$E180:$EG180)</f>
        <v>0</v>
      </c>
      <c r="AK177" s="799">
        <f>SUMIF('Venture Summary - Mthly'!$E$8:$EG$8,AK$9,'Venture Summary - Mthly'!$E180:$EG180)</f>
        <v>0</v>
      </c>
      <c r="AL177" s="799">
        <f>SUMIF('Venture Summary - Mthly'!$E$8:$EG$8,AL$9,'Venture Summary - Mthly'!$E180:$EG180)</f>
        <v>0</v>
      </c>
      <c r="AM177" s="799">
        <f>SUMIF('Venture Summary - Mthly'!$E$8:$EG$8,AM$9,'Venture Summary - Mthly'!$E180:$EG180)</f>
        <v>0</v>
      </c>
      <c r="AN177" s="799">
        <f>SUMIF('Venture Summary - Mthly'!$E$8:$EG$8,AN$9,'Venture Summary - Mthly'!$E180:$EG180)</f>
        <v>0</v>
      </c>
      <c r="AO177" s="799">
        <f>SUMIF('Venture Summary - Mthly'!$E$8:$EG$8,AO$9,'Venture Summary - Mthly'!$E180:$EG180)</f>
        <v>0</v>
      </c>
      <c r="AP177" s="799">
        <f>SUMIF('Venture Summary - Mthly'!$E$8:$EG$8,AP$9,'Venture Summary - Mthly'!$E180:$EG180)</f>
        <v>0</v>
      </c>
      <c r="AQ177" s="799">
        <f>SUMIF('Venture Summary - Mthly'!$E$8:$EG$8,AQ$9,'Venture Summary - Mthly'!$E180:$EG180)</f>
        <v>0</v>
      </c>
      <c r="AR177" s="799">
        <f>SUMIF('Venture Summary - Mthly'!$E$8:$EG$8,AR$9,'Venture Summary - Mthly'!$E180:$EG180)</f>
        <v>0</v>
      </c>
      <c r="AS177" s="799">
        <f>SUMIF('Venture Summary - Mthly'!$E$8:$EG$8,AS$9,'Venture Summary - Mthly'!$E180:$EG180)</f>
        <v>0</v>
      </c>
      <c r="AT177" s="799">
        <f>SUMIF('Venture Summary - Mthly'!$E$8:$EG$8,AT$9,'Venture Summary - Mthly'!$E180:$EG180)</f>
        <v>0</v>
      </c>
      <c r="AU177" s="799">
        <f>SUMIF('Venture Summary - Mthly'!$E$8:$EG$8,AU$9,'Venture Summary - Mthly'!$E180:$EG180)</f>
        <v>0</v>
      </c>
      <c r="AV177" s="799">
        <f>SUMIF('Venture Summary - Mthly'!$E$8:$EG$8,AV$9,'Venture Summary - Mthly'!$E180:$EG180)</f>
        <v>0</v>
      </c>
      <c r="AW177" s="799">
        <f>SUMIF('Venture Summary - Mthly'!$E$8:$EG$8,AW$9,'Venture Summary - Mthly'!$E180:$EG180)</f>
        <v>0</v>
      </c>
      <c r="AX177" s="798"/>
    </row>
    <row r="178" spans="1:50" ht="12.75" customHeight="1" x14ac:dyDescent="0.3">
      <c r="A178" s="782"/>
      <c r="B178" s="782" t="s">
        <v>108</v>
      </c>
      <c r="C178" s="798"/>
      <c r="D178" s="782"/>
      <c r="E178" s="798">
        <f>SUM(E175:E177)</f>
        <v>0</v>
      </c>
      <c r="F178" s="798">
        <f t="shared" ref="F178:AW178" si="32">SUM(F175:F177)</f>
        <v>0</v>
      </c>
      <c r="G178" s="798">
        <f t="shared" si="32"/>
        <v>0</v>
      </c>
      <c r="H178" s="798">
        <f t="shared" si="32"/>
        <v>0</v>
      </c>
      <c r="I178" s="798">
        <f t="shared" si="32"/>
        <v>0</v>
      </c>
      <c r="J178" s="798">
        <f t="shared" si="32"/>
        <v>0</v>
      </c>
      <c r="K178" s="798">
        <f t="shared" si="32"/>
        <v>0</v>
      </c>
      <c r="L178" s="798">
        <f t="shared" si="32"/>
        <v>0</v>
      </c>
      <c r="M178" s="798">
        <f t="shared" si="32"/>
        <v>0</v>
      </c>
      <c r="N178" s="798">
        <f t="shared" si="32"/>
        <v>0</v>
      </c>
      <c r="O178" s="798">
        <f t="shared" si="32"/>
        <v>0</v>
      </c>
      <c r="P178" s="798">
        <f t="shared" si="32"/>
        <v>57343611.907627545</v>
      </c>
      <c r="Q178" s="798">
        <f t="shared" si="32"/>
        <v>57343611.907627545</v>
      </c>
      <c r="R178" s="798">
        <f t="shared" si="32"/>
        <v>57343611.907627545</v>
      </c>
      <c r="S178" s="798">
        <f t="shared" si="32"/>
        <v>57343611.907627545</v>
      </c>
      <c r="T178" s="798">
        <f t="shared" si="32"/>
        <v>57343611.907627545</v>
      </c>
      <c r="U178" s="798">
        <f t="shared" si="32"/>
        <v>57343611.907627545</v>
      </c>
      <c r="V178" s="798">
        <f t="shared" si="32"/>
        <v>57343611.907627545</v>
      </c>
      <c r="W178" s="798">
        <f t="shared" si="32"/>
        <v>57343611.907627545</v>
      </c>
      <c r="X178" s="798">
        <f t="shared" si="32"/>
        <v>57343611.907627545</v>
      </c>
      <c r="Y178" s="798">
        <f t="shared" si="32"/>
        <v>57343611.907627545</v>
      </c>
      <c r="Z178" s="798">
        <f t="shared" si="32"/>
        <v>57343611.907627545</v>
      </c>
      <c r="AA178" s="798">
        <f t="shared" si="32"/>
        <v>57343611.907627545</v>
      </c>
      <c r="AB178" s="798">
        <f t="shared" si="32"/>
        <v>57343611.907627545</v>
      </c>
      <c r="AC178" s="798">
        <f t="shared" si="32"/>
        <v>57343611.907627545</v>
      </c>
      <c r="AD178" s="798">
        <f t="shared" si="32"/>
        <v>57343611.907627545</v>
      </c>
      <c r="AE178" s="798">
        <f t="shared" si="32"/>
        <v>57343611.907627545</v>
      </c>
      <c r="AF178" s="798">
        <f t="shared" si="32"/>
        <v>57343611.907627545</v>
      </c>
      <c r="AG178" s="798">
        <f t="shared" si="32"/>
        <v>57343611.907627545</v>
      </c>
      <c r="AH178" s="798">
        <f t="shared" si="32"/>
        <v>57343611.907627545</v>
      </c>
      <c r="AI178" s="798">
        <f t="shared" si="32"/>
        <v>57343611.907627545</v>
      </c>
      <c r="AJ178" s="798">
        <f t="shared" si="32"/>
        <v>57343611.907627545</v>
      </c>
      <c r="AK178" s="798">
        <f t="shared" si="32"/>
        <v>57343611.907627545</v>
      </c>
      <c r="AL178" s="798">
        <f t="shared" si="32"/>
        <v>57343611.907627545</v>
      </c>
      <c r="AM178" s="798">
        <f t="shared" si="32"/>
        <v>57343611.907627545</v>
      </c>
      <c r="AN178" s="798">
        <f t="shared" si="32"/>
        <v>57343611.907627545</v>
      </c>
      <c r="AO178" s="798">
        <f t="shared" si="32"/>
        <v>57343611.907627545</v>
      </c>
      <c r="AP178" s="798">
        <f t="shared" si="32"/>
        <v>57343611.907627545</v>
      </c>
      <c r="AQ178" s="798">
        <f t="shared" si="32"/>
        <v>57343611.907627545</v>
      </c>
      <c r="AR178" s="798">
        <f t="shared" si="32"/>
        <v>57343611.907627545</v>
      </c>
      <c r="AS178" s="798">
        <f t="shared" si="32"/>
        <v>57343611.907627545</v>
      </c>
      <c r="AT178" s="798">
        <f t="shared" si="32"/>
        <v>57343611.907627545</v>
      </c>
      <c r="AU178" s="798">
        <f t="shared" si="32"/>
        <v>57343611.907627545</v>
      </c>
      <c r="AV178" s="798">
        <f t="shared" si="32"/>
        <v>57343611.907627545</v>
      </c>
      <c r="AW178" s="798">
        <f t="shared" si="32"/>
        <v>57343611.907627545</v>
      </c>
      <c r="AX178" s="798"/>
    </row>
    <row r="179" spans="1:50" ht="12.75" customHeight="1" x14ac:dyDescent="0.3">
      <c r="A179" s="782"/>
      <c r="B179" s="782" t="s">
        <v>109</v>
      </c>
      <c r="C179" s="798"/>
      <c r="D179" s="782"/>
      <c r="E179" s="798">
        <f>E176*-'Venture Assumptions'!$F$67</f>
        <v>0</v>
      </c>
      <c r="F179" s="798">
        <f>F176*-'Venture Assumptions'!$F$67</f>
        <v>0</v>
      </c>
      <c r="G179" s="798">
        <f>G176*-'Venture Assumptions'!$F$67</f>
        <v>0</v>
      </c>
      <c r="H179" s="798">
        <f>H176*-'Venture Assumptions'!$F$67</f>
        <v>0</v>
      </c>
      <c r="I179" s="798">
        <f>I176*-'Venture Assumptions'!$F$67</f>
        <v>0</v>
      </c>
      <c r="J179" s="798">
        <f>J176*-'Venture Assumptions'!$F$67</f>
        <v>0</v>
      </c>
      <c r="K179" s="798">
        <f>K176*-'Venture Assumptions'!$F$67</f>
        <v>0</v>
      </c>
      <c r="L179" s="798">
        <f>L176*-'Venture Assumptions'!$F$67</f>
        <v>0</v>
      </c>
      <c r="M179" s="798">
        <f>M176*-'Venture Assumptions'!$F$67</f>
        <v>0</v>
      </c>
      <c r="N179" s="798">
        <f>N176*-'Venture Assumptions'!$F$67</f>
        <v>0</v>
      </c>
      <c r="O179" s="798">
        <f>O176*-'Venture Assumptions'!$F$67</f>
        <v>0</v>
      </c>
      <c r="P179" s="798">
        <f>P176*-'Venture Assumptions'!$F$67</f>
        <v>-573436.1190762755</v>
      </c>
      <c r="Q179" s="798">
        <f>Q176*-'Venture Assumptions'!$F$67</f>
        <v>0</v>
      </c>
      <c r="R179" s="798">
        <f>R176*-'Venture Assumptions'!$F$67</f>
        <v>0</v>
      </c>
      <c r="S179" s="798">
        <f>S176*-'Venture Assumptions'!$F$67</f>
        <v>0</v>
      </c>
      <c r="T179" s="798">
        <f>T176*-'Venture Assumptions'!$F$67</f>
        <v>0</v>
      </c>
      <c r="U179" s="798">
        <f>U176*-'Venture Assumptions'!$F$67</f>
        <v>0</v>
      </c>
      <c r="V179" s="798">
        <f>V176*-'Venture Assumptions'!$F$67</f>
        <v>0</v>
      </c>
      <c r="W179" s="798">
        <f>W176*-'Venture Assumptions'!$F$67</f>
        <v>0</v>
      </c>
      <c r="X179" s="798">
        <f>X176*-'Venture Assumptions'!$F$67</f>
        <v>0</v>
      </c>
      <c r="Y179" s="798">
        <f>Y176*-'Venture Assumptions'!$F$67</f>
        <v>0</v>
      </c>
      <c r="Z179" s="798">
        <f>Z176*-'Venture Assumptions'!$F$67</f>
        <v>0</v>
      </c>
      <c r="AA179" s="798">
        <f>AA176*-'Venture Assumptions'!$F$67</f>
        <v>0</v>
      </c>
      <c r="AB179" s="798">
        <f>AB176*-'Venture Assumptions'!$F$67</f>
        <v>0</v>
      </c>
      <c r="AC179" s="798">
        <f>AC176*-'Venture Assumptions'!$F$67</f>
        <v>0</v>
      </c>
      <c r="AD179" s="798">
        <f>AD176*-'Venture Assumptions'!$F$67</f>
        <v>0</v>
      </c>
      <c r="AE179" s="798">
        <f>AE176*-'Venture Assumptions'!$F$67</f>
        <v>0</v>
      </c>
      <c r="AF179" s="798">
        <f>AF176*-'Venture Assumptions'!$F$67</f>
        <v>0</v>
      </c>
      <c r="AG179" s="798">
        <f>AG176*-'Venture Assumptions'!$F$67</f>
        <v>0</v>
      </c>
      <c r="AH179" s="798">
        <f>AH176*-'Venture Assumptions'!$F$67</f>
        <v>0</v>
      </c>
      <c r="AI179" s="798">
        <f>AI176*-'Venture Assumptions'!$F$67</f>
        <v>0</v>
      </c>
      <c r="AJ179" s="798">
        <f>AJ176*-'Venture Assumptions'!$F$67</f>
        <v>0</v>
      </c>
      <c r="AK179" s="798">
        <f>AK176*-'Venture Assumptions'!$F$67</f>
        <v>0</v>
      </c>
      <c r="AL179" s="798">
        <f>AL176*-'Venture Assumptions'!$F$67</f>
        <v>0</v>
      </c>
      <c r="AM179" s="798">
        <f>AM176*-'Venture Assumptions'!$F$67</f>
        <v>0</v>
      </c>
      <c r="AN179" s="798">
        <f>AN176*-'Venture Assumptions'!$F$67</f>
        <v>0</v>
      </c>
      <c r="AO179" s="798">
        <f>AO176*-'Venture Assumptions'!$F$67</f>
        <v>0</v>
      </c>
      <c r="AP179" s="798">
        <f>AP176*-'Venture Assumptions'!$F$67</f>
        <v>0</v>
      </c>
      <c r="AQ179" s="798">
        <f>AQ176*-'Venture Assumptions'!$F$67</f>
        <v>0</v>
      </c>
      <c r="AR179" s="798">
        <f>AR176*-'Venture Assumptions'!$F$67</f>
        <v>0</v>
      </c>
      <c r="AS179" s="798">
        <f>AS176*-'Venture Assumptions'!$F$67</f>
        <v>0</v>
      </c>
      <c r="AT179" s="798">
        <f>AT176*-'Venture Assumptions'!$F$67</f>
        <v>0</v>
      </c>
      <c r="AU179" s="798">
        <f>AU176*-'Venture Assumptions'!$F$67</f>
        <v>0</v>
      </c>
      <c r="AV179" s="798">
        <f>AV176*-'Venture Assumptions'!$F$67</f>
        <v>0</v>
      </c>
      <c r="AW179" s="798">
        <f>AW176*-'Venture Assumptions'!$F$67</f>
        <v>0</v>
      </c>
      <c r="AX179" s="798"/>
    </row>
    <row r="180" spans="1:50" ht="12.75" customHeight="1" x14ac:dyDescent="0.3">
      <c r="A180" s="782"/>
      <c r="B180" s="782" t="s">
        <v>20</v>
      </c>
      <c r="C180" s="798"/>
      <c r="D180" s="782"/>
      <c r="E180" s="798">
        <f>SUMIF('Venture Summary - Mthly'!$E$8:$EG$8,E$9,'Venture Summary - Mthly'!$E183:$EG183)</f>
        <v>0</v>
      </c>
      <c r="F180" s="798">
        <f>SUMIF('Venture Summary - Mthly'!$E$8:$EG$8,F$9,'Venture Summary - Mthly'!$E183:$EG183)</f>
        <v>0</v>
      </c>
      <c r="G180" s="798">
        <f>SUMIF('Venture Summary - Mthly'!$E$8:$EG$8,G$9,'Venture Summary - Mthly'!$E183:$EG183)</f>
        <v>0</v>
      </c>
      <c r="H180" s="798">
        <f>SUMIF('Venture Summary - Mthly'!$E$8:$EG$8,H$9,'Venture Summary - Mthly'!$E183:$EG183)</f>
        <v>0</v>
      </c>
      <c r="I180" s="798">
        <f>SUMIF('Venture Summary - Mthly'!$E$8:$EG$8,I$9,'Venture Summary - Mthly'!$E183:$EG183)</f>
        <v>0</v>
      </c>
      <c r="J180" s="798">
        <f>SUMIF('Venture Summary - Mthly'!$E$8:$EG$8,J$9,'Venture Summary - Mthly'!$E183:$EG183)</f>
        <v>0</v>
      </c>
      <c r="K180" s="798">
        <f>SUMIF('Venture Summary - Mthly'!$E$8:$EG$8,K$9,'Venture Summary - Mthly'!$E183:$EG183)</f>
        <v>0</v>
      </c>
      <c r="L180" s="798">
        <f>SUMIF('Venture Summary - Mthly'!$E$8:$EG$8,L$9,'Venture Summary - Mthly'!$E183:$EG183)</f>
        <v>0</v>
      </c>
      <c r="M180" s="798">
        <f>SUMIF('Venture Summary - Mthly'!$E$8:$EG$8,M$9,'Venture Summary - Mthly'!$E183:$EG183)</f>
        <v>0</v>
      </c>
      <c r="N180" s="798">
        <f>SUMIF('Venture Summary - Mthly'!$E$8:$EG$8,N$9,'Venture Summary - Mthly'!$E183:$EG183)</f>
        <v>0</v>
      </c>
      <c r="O180" s="798">
        <f>SUMIF('Venture Summary - Mthly'!$E$8:$EG$8,O$9,'Venture Summary - Mthly'!$E183:$EG183)</f>
        <v>0</v>
      </c>
      <c r="P180" s="798">
        <f>SUMIF('Venture Summary - Mthly'!$E$8:$EG$8,P$9,'Venture Summary - Mthly'!$E183:$EG183)</f>
        <v>0</v>
      </c>
      <c r="Q180" s="798">
        <f>SUMIF('Venture Summary - Mthly'!$E$8:$EG$8,Q$9,'Venture Summary - Mthly'!$E183:$EG183)</f>
        <v>-661856.6235938092</v>
      </c>
      <c r="R180" s="798">
        <f>SUMIF('Venture Summary - Mthly'!$E$8:$EG$8,R$9,'Venture Summary - Mthly'!$E183:$EG183)</f>
        <v>-663151.63349605643</v>
      </c>
      <c r="S180" s="798">
        <f>SUMIF('Venture Summary - Mthly'!$E$8:$EG$8,S$9,'Venture Summary - Mthly'!$E183:$EG183)</f>
        <v>-664592.39174523554</v>
      </c>
      <c r="T180" s="798">
        <f>SUMIF('Venture Summary - Mthly'!$E$8:$EG$8,T$9,'Venture Summary - Mthly'!$E183:$EG183)</f>
        <v>-666401.58270092122</v>
      </c>
      <c r="U180" s="798">
        <f>SUMIF('Venture Summary - Mthly'!$E$8:$EG$8,U$9,'Venture Summary - Mthly'!$E183:$EG183)</f>
        <v>-668698.67222125432</v>
      </c>
      <c r="V180" s="798">
        <f>SUMIF('Venture Summary - Mthly'!$E$8:$EG$8,V$9,'Venture Summary - Mthly'!$E183:$EG183)</f>
        <v>-671457.3778174438</v>
      </c>
      <c r="W180" s="798">
        <f>SUMIF('Venture Summary - Mthly'!$E$8:$EG$8,W$9,'Venture Summary - Mthly'!$E183:$EG183)</f>
        <v>-674680.08880665246</v>
      </c>
      <c r="X180" s="798">
        <f>SUMIF('Venture Summary - Mthly'!$E$8:$EG$8,X$9,'Venture Summary - Mthly'!$E183:$EG183)</f>
        <v>-678037.07942041149</v>
      </c>
      <c r="Y180" s="798">
        <f>SUMIF('Venture Summary - Mthly'!$E$8:$EG$8,Y$9,'Venture Summary - Mthly'!$E183:$EG183)</f>
        <v>-681233.50792082911</v>
      </c>
      <c r="Z180" s="798">
        <f>SUMIF('Venture Summary - Mthly'!$E$8:$EG$8,Z$9,'Venture Summary - Mthly'!$E183:$EG183)</f>
        <v>-684245.00327284471</v>
      </c>
      <c r="AA180" s="798">
        <f>SUMIF('Venture Summary - Mthly'!$E$8:$EG$8,AA$9,'Venture Summary - Mthly'!$E183:$EG183)</f>
        <v>-687134.16558612394</v>
      </c>
      <c r="AB180" s="798">
        <f>SUMIF('Venture Summary - Mthly'!$E$8:$EG$8,AB$9,'Venture Summary - Mthly'!$E183:$EG183)</f>
        <v>-689800.6435398286</v>
      </c>
      <c r="AC180" s="798">
        <f>SUMIF('Venture Summary - Mthly'!$E$8:$EG$8,AC$9,'Venture Summary - Mthly'!$E183:$EG183)</f>
        <v>-692374.89385104866</v>
      </c>
      <c r="AD180" s="798">
        <f>SUMIF('Venture Summary - Mthly'!$E$8:$EG$8,AD$9,'Venture Summary - Mthly'!$E183:$EG183)</f>
        <v>-694813.90881085303</v>
      </c>
      <c r="AE180" s="798">
        <f>SUMIF('Venture Summary - Mthly'!$E$8:$EG$8,AE$9,'Venture Summary - Mthly'!$E183:$EG183)</f>
        <v>-697050.30967525044</v>
      </c>
      <c r="AF180" s="798">
        <f>SUMIF('Venture Summary - Mthly'!$E$8:$EG$8,AF$9,'Venture Summary - Mthly'!$E183:$EG183)</f>
        <v>-699217.42034192628</v>
      </c>
      <c r="AG180" s="798">
        <f>SUMIF('Venture Summary - Mthly'!$E$8:$EG$8,AG$9,'Venture Summary - Mthly'!$E183:$EG183)</f>
        <v>-701478.67010481702</v>
      </c>
      <c r="AH180" s="798">
        <f>SUMIF('Venture Summary - Mthly'!$E$8:$EG$8,AH$9,'Venture Summary - Mthly'!$E183:$EG183)</f>
        <v>-703678.7533483397</v>
      </c>
      <c r="AI180" s="798">
        <f>SUMIF('Venture Summary - Mthly'!$E$8:$EG$8,AI$9,'Venture Summary - Mthly'!$E183:$EG183)</f>
        <v>-705853.50982993643</v>
      </c>
      <c r="AJ180" s="798">
        <f>SUMIF('Venture Summary - Mthly'!$E$8:$EG$8,AJ$9,'Venture Summary - Mthly'!$E183:$EG183)</f>
        <v>-708087.52137717104</v>
      </c>
      <c r="AK180" s="798">
        <f>SUMIF('Venture Summary - Mthly'!$E$8:$EG$8,AK$9,'Venture Summary - Mthly'!$E183:$EG183)</f>
        <v>-710301.94052367064</v>
      </c>
      <c r="AL180" s="798">
        <f>SUMIF('Venture Summary - Mthly'!$E$8:$EG$8,AL$9,'Venture Summary - Mthly'!$E183:$EG183)</f>
        <v>-712529.26198284933</v>
      </c>
      <c r="AM180" s="798">
        <f>SUMIF('Venture Summary - Mthly'!$E$8:$EG$8,AM$9,'Venture Summary - Mthly'!$E183:$EG183)</f>
        <v>-714761.83993978635</v>
      </c>
      <c r="AN180" s="798">
        <f>SUMIF('Venture Summary - Mthly'!$E$8:$EG$8,AN$9,'Venture Summary - Mthly'!$E183:$EG183)</f>
        <v>-716984.38276463957</v>
      </c>
      <c r="AO180" s="798">
        <f>SUMIF('Venture Summary - Mthly'!$E$8:$EG$8,AO$9,'Venture Summary - Mthly'!$E183:$EG183)</f>
        <v>-719212.18208725075</v>
      </c>
      <c r="AP180" s="798">
        <f>SUMIF('Venture Summary - Mthly'!$E$8:$EG$8,AP$9,'Venture Summary - Mthly'!$E183:$EG183)</f>
        <v>-721417.52182853175</v>
      </c>
      <c r="AQ180" s="798">
        <f>SUMIF('Venture Summary - Mthly'!$E$8:$EG$8,AQ$9,'Venture Summary - Mthly'!$E183:$EG183)</f>
        <v>-240971.23741196273</v>
      </c>
      <c r="AR180" s="798">
        <f>SUMIF('Venture Summary - Mthly'!$E$8:$EG$8,AR$9,'Venture Summary - Mthly'!$E183:$EG183)</f>
        <v>0</v>
      </c>
      <c r="AS180" s="798">
        <f>SUMIF('Venture Summary - Mthly'!$E$8:$EG$8,AS$9,'Venture Summary - Mthly'!$E183:$EG183)</f>
        <v>0</v>
      </c>
      <c r="AT180" s="798">
        <f>SUMIF('Venture Summary - Mthly'!$E$8:$EG$8,AT$9,'Venture Summary - Mthly'!$E183:$EG183)</f>
        <v>0</v>
      </c>
      <c r="AU180" s="798">
        <f>SUMIF('Venture Summary - Mthly'!$E$8:$EG$8,AU$9,'Venture Summary - Mthly'!$E183:$EG183)</f>
        <v>0</v>
      </c>
      <c r="AV180" s="798">
        <f>SUMIF('Venture Summary - Mthly'!$E$8:$EG$8,AV$9,'Venture Summary - Mthly'!$E183:$EG183)</f>
        <v>0</v>
      </c>
      <c r="AW180" s="798">
        <f>SUMIF('Venture Summary - Mthly'!$E$8:$EG$8,AW$9,'Venture Summary - Mthly'!$E183:$EG183)</f>
        <v>0</v>
      </c>
      <c r="AX180" s="798"/>
    </row>
    <row r="181" spans="1:50" ht="12.75" customHeight="1" x14ac:dyDescent="0.3">
      <c r="A181" s="782"/>
      <c r="B181" s="782" t="s">
        <v>110</v>
      </c>
      <c r="C181" s="798"/>
      <c r="D181" s="782"/>
      <c r="E181" s="798">
        <f>SUMIF('Venture Summary - Mthly'!$E$8:$EG$8,E$9,'Venture Summary - Mthly'!$E184:$EG184)</f>
        <v>0</v>
      </c>
      <c r="F181" s="798">
        <f>SUMIF('Venture Summary - Mthly'!$E$8:$EG$8,F$9,'Venture Summary - Mthly'!$E184:$EG184)</f>
        <v>0</v>
      </c>
      <c r="G181" s="798">
        <f>SUMIF('Venture Summary - Mthly'!$E$8:$EG$8,G$9,'Venture Summary - Mthly'!$E184:$EG184)</f>
        <v>0</v>
      </c>
      <c r="H181" s="798">
        <f>SUMIF('Venture Summary - Mthly'!$E$8:$EG$8,H$9,'Venture Summary - Mthly'!$E184:$EG184)</f>
        <v>0</v>
      </c>
      <c r="I181" s="798">
        <f>SUMIF('Venture Summary - Mthly'!$E$8:$EG$8,I$9,'Venture Summary - Mthly'!$E184:$EG184)</f>
        <v>0</v>
      </c>
      <c r="J181" s="798">
        <f>SUMIF('Venture Summary - Mthly'!$E$8:$EG$8,J$9,'Venture Summary - Mthly'!$E184:$EG184)</f>
        <v>0</v>
      </c>
      <c r="K181" s="798">
        <f>SUMIF('Venture Summary - Mthly'!$E$8:$EG$8,K$9,'Venture Summary - Mthly'!$E184:$EG184)</f>
        <v>0</v>
      </c>
      <c r="L181" s="798">
        <f>SUMIF('Venture Summary - Mthly'!$E$8:$EG$8,L$9,'Venture Summary - Mthly'!$E184:$EG184)</f>
        <v>0</v>
      </c>
      <c r="M181" s="798">
        <f>SUMIF('Venture Summary - Mthly'!$E$8:$EG$8,M$9,'Venture Summary - Mthly'!$E184:$EG184)</f>
        <v>0</v>
      </c>
      <c r="N181" s="798">
        <f>SUMIF('Venture Summary - Mthly'!$E$8:$EG$8,N$9,'Venture Summary - Mthly'!$E184:$EG184)</f>
        <v>0</v>
      </c>
      <c r="O181" s="798">
        <f>SUMIF('Venture Summary - Mthly'!$E$8:$EG$8,O$9,'Venture Summary - Mthly'!$E184:$EG184)</f>
        <v>0</v>
      </c>
      <c r="P181" s="798">
        <f>SUMIF('Venture Summary - Mthly'!$E$8:$EG$8,P$9,'Venture Summary - Mthly'!$E184:$EG184)</f>
        <v>0</v>
      </c>
      <c r="Q181" s="798">
        <f>SUMIF('Venture Summary - Mthly'!$E$8:$EG$8,Q$9,'Venture Summary - Mthly'!$E184:$EG184)</f>
        <v>0</v>
      </c>
      <c r="R181" s="798">
        <f>SUMIF('Venture Summary - Mthly'!$E$8:$EG$8,R$9,'Venture Summary - Mthly'!$E184:$EG184)</f>
        <v>0</v>
      </c>
      <c r="S181" s="798">
        <f>SUMIF('Venture Summary - Mthly'!$E$8:$EG$8,S$9,'Venture Summary - Mthly'!$E184:$EG184)</f>
        <v>0</v>
      </c>
      <c r="T181" s="798">
        <f>SUMIF('Venture Summary - Mthly'!$E$8:$EG$8,T$9,'Venture Summary - Mthly'!$E184:$EG184)</f>
        <v>0</v>
      </c>
      <c r="U181" s="798">
        <f>SUMIF('Venture Summary - Mthly'!$E$8:$EG$8,U$9,'Venture Summary - Mthly'!$E184:$EG184)</f>
        <v>0</v>
      </c>
      <c r="V181" s="798">
        <f>SUMIF('Venture Summary - Mthly'!$E$8:$EG$8,V$9,'Venture Summary - Mthly'!$E184:$EG184)</f>
        <v>0</v>
      </c>
      <c r="W181" s="798">
        <f>SUMIF('Venture Summary - Mthly'!$E$8:$EG$8,W$9,'Venture Summary - Mthly'!$E184:$EG184)</f>
        <v>0</v>
      </c>
      <c r="X181" s="798">
        <f>SUMIF('Venture Summary - Mthly'!$E$8:$EG$8,X$9,'Venture Summary - Mthly'!$E184:$EG184)</f>
        <v>0</v>
      </c>
      <c r="Y181" s="798">
        <f>SUMIF('Venture Summary - Mthly'!$E$8:$EG$8,Y$9,'Venture Summary - Mthly'!$E184:$EG184)</f>
        <v>0</v>
      </c>
      <c r="Z181" s="798">
        <f>SUMIF('Venture Summary - Mthly'!$E$8:$EG$8,Z$9,'Venture Summary - Mthly'!$E184:$EG184)</f>
        <v>0</v>
      </c>
      <c r="AA181" s="798">
        <f>SUMIF('Venture Summary - Mthly'!$E$8:$EG$8,AA$9,'Venture Summary - Mthly'!$E184:$EG184)</f>
        <v>0</v>
      </c>
      <c r="AB181" s="798">
        <f>SUMIF('Venture Summary - Mthly'!$E$8:$EG$8,AB$9,'Venture Summary - Mthly'!$E184:$EG184)</f>
        <v>0</v>
      </c>
      <c r="AC181" s="798">
        <f>SUMIF('Venture Summary - Mthly'!$E$8:$EG$8,AC$9,'Venture Summary - Mthly'!$E184:$EG184)</f>
        <v>0</v>
      </c>
      <c r="AD181" s="798">
        <f>SUMIF('Venture Summary - Mthly'!$E$8:$EG$8,AD$9,'Venture Summary - Mthly'!$E184:$EG184)</f>
        <v>0</v>
      </c>
      <c r="AE181" s="798">
        <f>SUMIF('Venture Summary - Mthly'!$E$8:$EG$8,AE$9,'Venture Summary - Mthly'!$E184:$EG184)</f>
        <v>0</v>
      </c>
      <c r="AF181" s="798">
        <f>SUMIF('Venture Summary - Mthly'!$E$8:$EG$8,AF$9,'Venture Summary - Mthly'!$E184:$EG184)</f>
        <v>0</v>
      </c>
      <c r="AG181" s="798">
        <f>SUMIF('Venture Summary - Mthly'!$E$8:$EG$8,AG$9,'Venture Summary - Mthly'!$E184:$EG184)</f>
        <v>0</v>
      </c>
      <c r="AH181" s="798">
        <f>SUMIF('Venture Summary - Mthly'!$E$8:$EG$8,AH$9,'Venture Summary - Mthly'!$E184:$EG184)</f>
        <v>0</v>
      </c>
      <c r="AI181" s="798">
        <f>SUMIF('Venture Summary - Mthly'!$E$8:$EG$8,AI$9,'Venture Summary - Mthly'!$E184:$EG184)</f>
        <v>0</v>
      </c>
      <c r="AJ181" s="798">
        <f>SUMIF('Venture Summary - Mthly'!$E$8:$EG$8,AJ$9,'Venture Summary - Mthly'!$E184:$EG184)</f>
        <v>0</v>
      </c>
      <c r="AK181" s="798">
        <f>SUMIF('Venture Summary - Mthly'!$E$8:$EG$8,AK$9,'Venture Summary - Mthly'!$E184:$EG184)</f>
        <v>0</v>
      </c>
      <c r="AL181" s="798">
        <f>SUMIF('Venture Summary - Mthly'!$E$8:$EG$8,AL$9,'Venture Summary - Mthly'!$E184:$EG184)</f>
        <v>0</v>
      </c>
      <c r="AM181" s="798">
        <f>SUMIF('Venture Summary - Mthly'!$E$8:$EG$8,AM$9,'Venture Summary - Mthly'!$E184:$EG184)</f>
        <v>0</v>
      </c>
      <c r="AN181" s="798">
        <f>SUMIF('Venture Summary - Mthly'!$E$8:$EG$8,AN$9,'Venture Summary - Mthly'!$E184:$EG184)</f>
        <v>0</v>
      </c>
      <c r="AO181" s="798">
        <f>SUMIF('Venture Summary - Mthly'!$E$8:$EG$8,AO$9,'Venture Summary - Mthly'!$E184:$EG184)</f>
        <v>0</v>
      </c>
      <c r="AP181" s="798">
        <f>SUMIF('Venture Summary - Mthly'!$E$8:$EG$8,AP$9,'Venture Summary - Mthly'!$E184:$EG184)</f>
        <v>0</v>
      </c>
      <c r="AQ181" s="798">
        <f>SUMIF('Venture Summary - Mthly'!$E$8:$EG$8,AQ$9,'Venture Summary - Mthly'!$E184:$EG184)</f>
        <v>0</v>
      </c>
      <c r="AR181" s="798">
        <f>SUMIF('Venture Summary - Mthly'!$E$8:$EG$8,AR$9,'Venture Summary - Mthly'!$E184:$EG184)</f>
        <v>0</v>
      </c>
      <c r="AS181" s="798">
        <f>SUMIF('Venture Summary - Mthly'!$E$8:$EG$8,AS$9,'Venture Summary - Mthly'!$E184:$EG184)</f>
        <v>0</v>
      </c>
      <c r="AT181" s="798">
        <f>SUMIF('Venture Summary - Mthly'!$E$8:$EG$8,AT$9,'Venture Summary - Mthly'!$E184:$EG184)</f>
        <v>0</v>
      </c>
      <c r="AU181" s="798">
        <f>SUMIF('Venture Summary - Mthly'!$E$8:$EG$8,AU$9,'Venture Summary - Mthly'!$E184:$EG184)</f>
        <v>0</v>
      </c>
      <c r="AV181" s="798">
        <f>SUMIF('Venture Summary - Mthly'!$E$8:$EG$8,AV$9,'Venture Summary - Mthly'!$E184:$EG184)</f>
        <v>0</v>
      </c>
      <c r="AW181" s="798">
        <f>SUMIF('Venture Summary - Mthly'!$E$8:$EG$8,AW$9,'Venture Summary - Mthly'!$E184:$EG184)</f>
        <v>0</v>
      </c>
      <c r="AX181" s="798"/>
    </row>
    <row r="182" spans="1:50" ht="12.75" customHeight="1" x14ac:dyDescent="0.3">
      <c r="A182" s="782"/>
      <c r="B182" s="782" t="s">
        <v>111</v>
      </c>
      <c r="C182" s="798"/>
      <c r="D182" s="782"/>
      <c r="E182" s="811">
        <f>IFERROR(E163/SUM(-E180,-181),0)*(E175&gt;0)</f>
        <v>0</v>
      </c>
      <c r="F182" s="811">
        <f t="shared" ref="F182:AW182" si="33">IFERROR(F163/SUM(-F180,-181),0)*(F175&gt;0)</f>
        <v>0</v>
      </c>
      <c r="G182" s="811">
        <f t="shared" si="33"/>
        <v>0</v>
      </c>
      <c r="H182" s="811">
        <f t="shared" si="33"/>
        <v>0</v>
      </c>
      <c r="I182" s="811">
        <f t="shared" si="33"/>
        <v>0</v>
      </c>
      <c r="J182" s="811">
        <f t="shared" si="33"/>
        <v>0</v>
      </c>
      <c r="K182" s="811">
        <f t="shared" si="33"/>
        <v>0</v>
      </c>
      <c r="L182" s="811">
        <f t="shared" si="33"/>
        <v>0</v>
      </c>
      <c r="M182" s="811">
        <f t="shared" si="33"/>
        <v>0</v>
      </c>
      <c r="N182" s="811">
        <f t="shared" si="33"/>
        <v>0</v>
      </c>
      <c r="O182" s="811">
        <f t="shared" si="33"/>
        <v>0</v>
      </c>
      <c r="P182" s="811">
        <f t="shared" si="33"/>
        <v>0</v>
      </c>
      <c r="Q182" s="811">
        <f t="shared" si="33"/>
        <v>2.1389725494500071</v>
      </c>
      <c r="R182" s="811">
        <f t="shared" si="33"/>
        <v>2.1713404331388846</v>
      </c>
      <c r="S182" s="811">
        <f t="shared" si="33"/>
        <v>2.1691491380754258</v>
      </c>
      <c r="T182" s="811">
        <f t="shared" si="33"/>
        <v>2.194112901594067</v>
      </c>
      <c r="U182" s="811">
        <f t="shared" si="33"/>
        <v>2.2178574796114652</v>
      </c>
      <c r="V182" s="811">
        <f t="shared" si="33"/>
        <v>2.2362157607226827</v>
      </c>
      <c r="W182" s="811">
        <f t="shared" si="33"/>
        <v>2.2252437026274099</v>
      </c>
      <c r="X182" s="811">
        <f t="shared" si="33"/>
        <v>2.2385878234040093</v>
      </c>
      <c r="Y182" s="811">
        <f t="shared" si="33"/>
        <v>2.2569108983339361</v>
      </c>
      <c r="Z182" s="811">
        <f t="shared" si="33"/>
        <v>2.2772503890803861</v>
      </c>
      <c r="AA182" s="811">
        <f t="shared" si="33"/>
        <v>2.2715361734213322</v>
      </c>
      <c r="AB182" s="811">
        <f t="shared" si="33"/>
        <v>2.2919020358803892</v>
      </c>
      <c r="AC182" s="811">
        <f t="shared" si="33"/>
        <v>2.3160013330134541</v>
      </c>
      <c r="AD182" s="811">
        <f t="shared" si="33"/>
        <v>2.3401753930418652</v>
      </c>
      <c r="AE182" s="811">
        <f t="shared" si="33"/>
        <v>2.3370471385326543</v>
      </c>
      <c r="AF182" s="811">
        <f t="shared" si="33"/>
        <v>2.3597348030794834</v>
      </c>
      <c r="AG182" s="811">
        <f t="shared" si="33"/>
        <v>2.385647366028858</v>
      </c>
      <c r="AH182" s="811">
        <f t="shared" si="33"/>
        <v>2.4113946409316585</v>
      </c>
      <c r="AI182" s="811">
        <f t="shared" si="33"/>
        <v>2.408655337535162</v>
      </c>
      <c r="AJ182" s="811">
        <f t="shared" si="33"/>
        <v>2.431821631200465</v>
      </c>
      <c r="AK182" s="811">
        <f t="shared" si="33"/>
        <v>2.4587025651007219</v>
      </c>
      <c r="AL182" s="811">
        <f t="shared" si="33"/>
        <v>2.4851565669241404</v>
      </c>
      <c r="AM182" s="811">
        <f t="shared" si="33"/>
        <v>2.4824037789928886</v>
      </c>
      <c r="AN182" s="811">
        <f t="shared" si="33"/>
        <v>2.5063364694091206</v>
      </c>
      <c r="AO182" s="811">
        <f t="shared" si="33"/>
        <v>2.534006407101745</v>
      </c>
      <c r="AP182" s="811">
        <f t="shared" si="33"/>
        <v>2.5613637724722631</v>
      </c>
      <c r="AQ182" s="811">
        <f t="shared" si="33"/>
        <v>7.6880743428557308</v>
      </c>
      <c r="AR182" s="811">
        <f t="shared" si="33"/>
        <v>-10358.088966877971</v>
      </c>
      <c r="AS182" s="811">
        <f t="shared" si="33"/>
        <v>-10504.642349047923</v>
      </c>
      <c r="AT182" s="811">
        <f t="shared" si="33"/>
        <v>-10650.274963389693</v>
      </c>
      <c r="AU182" s="811">
        <f t="shared" si="33"/>
        <v>-10673.259905164685</v>
      </c>
      <c r="AV182" s="811">
        <f t="shared" si="33"/>
        <v>-10808.993543865177</v>
      </c>
      <c r="AW182" s="811">
        <f t="shared" si="33"/>
        <v>-10961.570991723516</v>
      </c>
      <c r="AX182" s="811"/>
    </row>
    <row r="183" spans="1:50" ht="12.75" customHeight="1" x14ac:dyDescent="0.3">
      <c r="A183" s="782"/>
      <c r="B183" s="782"/>
      <c r="C183" s="798"/>
      <c r="D183" s="782"/>
      <c r="E183" s="798"/>
      <c r="F183" s="798"/>
      <c r="G183" s="798"/>
      <c r="H183" s="798"/>
      <c r="I183" s="798"/>
      <c r="J183" s="798"/>
      <c r="K183" s="798"/>
      <c r="L183" s="798"/>
      <c r="M183" s="798"/>
      <c r="N183" s="798"/>
      <c r="O183" s="798"/>
      <c r="P183" s="798"/>
      <c r="Q183" s="798"/>
      <c r="R183" s="798"/>
      <c r="S183" s="798"/>
      <c r="T183" s="798"/>
      <c r="U183" s="798"/>
      <c r="V183" s="798"/>
      <c r="W183" s="798"/>
      <c r="X183" s="798"/>
      <c r="Y183" s="798"/>
      <c r="Z183" s="798"/>
      <c r="AA183" s="798"/>
      <c r="AB183" s="798"/>
      <c r="AC183" s="798"/>
      <c r="AD183" s="798"/>
      <c r="AE183" s="798"/>
      <c r="AF183" s="798"/>
      <c r="AG183" s="798"/>
      <c r="AH183" s="798"/>
      <c r="AI183" s="798"/>
      <c r="AJ183" s="798"/>
      <c r="AK183" s="798"/>
      <c r="AL183" s="798"/>
      <c r="AM183" s="798"/>
      <c r="AN183" s="798"/>
      <c r="AO183" s="798"/>
      <c r="AP183" s="798"/>
      <c r="AQ183" s="798"/>
      <c r="AR183" s="798"/>
      <c r="AS183" s="798"/>
      <c r="AT183" s="798"/>
      <c r="AU183" s="798"/>
      <c r="AV183" s="798"/>
      <c r="AW183" s="798"/>
      <c r="AX183" s="798"/>
    </row>
    <row r="184" spans="1:50" ht="12.75" customHeight="1" x14ac:dyDescent="0.3">
      <c r="A184" s="782"/>
      <c r="B184" s="793" t="s">
        <v>112</v>
      </c>
      <c r="C184" s="794"/>
      <c r="D184" s="794"/>
      <c r="E184" s="794"/>
      <c r="F184" s="794"/>
      <c r="G184" s="794"/>
      <c r="H184" s="794"/>
      <c r="I184" s="794"/>
      <c r="J184" s="794"/>
      <c r="K184" s="794"/>
      <c r="L184" s="794"/>
      <c r="M184" s="794"/>
      <c r="N184" s="794"/>
      <c r="O184" s="794"/>
      <c r="P184" s="794"/>
      <c r="Q184" s="794"/>
      <c r="R184" s="794"/>
      <c r="S184" s="794"/>
      <c r="T184" s="794"/>
      <c r="U184" s="794"/>
      <c r="V184" s="794"/>
      <c r="W184" s="794"/>
      <c r="X184" s="794"/>
      <c r="Y184" s="794"/>
      <c r="Z184" s="794"/>
      <c r="AA184" s="794"/>
      <c r="AB184" s="794"/>
      <c r="AC184" s="794"/>
      <c r="AD184" s="794"/>
      <c r="AE184" s="794"/>
      <c r="AF184" s="794"/>
      <c r="AG184" s="794"/>
      <c r="AH184" s="794"/>
      <c r="AI184" s="794"/>
      <c r="AJ184" s="794"/>
      <c r="AK184" s="794"/>
      <c r="AL184" s="794"/>
      <c r="AM184" s="794"/>
      <c r="AN184" s="794"/>
      <c r="AO184" s="794"/>
      <c r="AP184" s="794"/>
      <c r="AQ184" s="794"/>
      <c r="AR184" s="794"/>
      <c r="AS184" s="794"/>
      <c r="AT184" s="794"/>
      <c r="AU184" s="794"/>
      <c r="AV184" s="794"/>
      <c r="AW184" s="794"/>
      <c r="AX184" s="794"/>
    </row>
    <row r="185" spans="1:50" ht="12.75" customHeight="1" x14ac:dyDescent="0.3">
      <c r="A185" s="782"/>
      <c r="B185" s="782"/>
      <c r="C185" s="798"/>
      <c r="D185" s="782"/>
      <c r="E185" s="798"/>
      <c r="F185" s="798"/>
      <c r="G185" s="798"/>
      <c r="H185" s="798"/>
      <c r="I185" s="798"/>
      <c r="J185" s="798"/>
      <c r="K185" s="798"/>
      <c r="L185" s="798"/>
      <c r="M185" s="798"/>
      <c r="N185" s="798"/>
      <c r="O185" s="798"/>
      <c r="P185" s="798"/>
      <c r="Q185" s="798"/>
      <c r="R185" s="798"/>
      <c r="S185" s="798"/>
      <c r="T185" s="798"/>
      <c r="U185" s="798"/>
      <c r="V185" s="798"/>
      <c r="W185" s="798"/>
      <c r="X185" s="798"/>
      <c r="Y185" s="798"/>
      <c r="Z185" s="798"/>
      <c r="AA185" s="798"/>
      <c r="AB185" s="798"/>
      <c r="AC185" s="798"/>
      <c r="AD185" s="798"/>
      <c r="AE185" s="798"/>
      <c r="AF185" s="798"/>
      <c r="AG185" s="798"/>
      <c r="AH185" s="809"/>
      <c r="AI185" s="798"/>
      <c r="AJ185" s="798"/>
      <c r="AK185" s="798"/>
      <c r="AL185" s="798"/>
      <c r="AM185" s="798"/>
      <c r="AN185" s="798"/>
      <c r="AO185" s="798"/>
      <c r="AP185" s="798"/>
      <c r="AQ185" s="798"/>
      <c r="AR185" s="798"/>
      <c r="AS185" s="798"/>
      <c r="AT185" s="798"/>
      <c r="AU185" s="798"/>
      <c r="AV185" s="798"/>
      <c r="AW185" s="798"/>
      <c r="AX185" s="798"/>
    </row>
    <row r="186" spans="1:50" ht="12.75" customHeight="1" x14ac:dyDescent="0.3">
      <c r="A186" s="782"/>
      <c r="B186" s="782" t="s">
        <v>113</v>
      </c>
      <c r="C186" s="798">
        <f t="shared" ref="C186:C192" si="34">SUM(E186:AX186)</f>
        <v>222948805.02453673</v>
      </c>
      <c r="D186" s="782"/>
      <c r="E186" s="798">
        <f>INDEX('Venture Summary - Mthly'!$E189:$EG189,MATCH(E$9,'Venture Summary - Mthly'!$E$8:$EG$8,0))</f>
        <v>0</v>
      </c>
      <c r="F186" s="798">
        <f>INDEX('Venture Summary - Mthly'!$E189:$EG189,MATCH(F$9,'Venture Summary - Mthly'!$E$8:$EG$8,0))</f>
        <v>0</v>
      </c>
      <c r="G186" s="798">
        <f>INDEX('Venture Summary - Mthly'!$E189:$EG189,MATCH(G$9,'Venture Summary - Mthly'!$E$8:$EG$8,0))</f>
        <v>0</v>
      </c>
      <c r="H186" s="798">
        <f>INDEX('Venture Summary - Mthly'!$E189:$EG189,MATCH(H$9,'Venture Summary - Mthly'!$E$8:$EG$8,0))</f>
        <v>0</v>
      </c>
      <c r="I186" s="798">
        <f>INDEX('Venture Summary - Mthly'!$E189:$EG189,MATCH(I$9,'Venture Summary - Mthly'!$E$8:$EG$8,0))</f>
        <v>0</v>
      </c>
      <c r="J186" s="798">
        <f>INDEX('Venture Summary - Mthly'!$E189:$EG189,MATCH(J$9,'Venture Summary - Mthly'!$E$8:$EG$8,0))</f>
        <v>799517.8716226744</v>
      </c>
      <c r="K186" s="798">
        <f>INDEX('Venture Summary - Mthly'!$E189:$EG189,MATCH(K$9,'Venture Summary - Mthly'!$E$8:$EG$8,0))</f>
        <v>2317746.8141580438</v>
      </c>
      <c r="L186" s="798">
        <f>INDEX('Venture Summary - Mthly'!$E189:$EG189,MATCH(L$9,'Venture Summary - Mthly'!$E$8:$EG$8,0))</f>
        <v>3755533.9131818605</v>
      </c>
      <c r="M186" s="798">
        <f>INDEX('Venture Summary - Mthly'!$E189:$EG189,MATCH(M$9,'Venture Summary - Mthly'!$E$8:$EG$8,0))</f>
        <v>4836905.6686216881</v>
      </c>
      <c r="N186" s="798">
        <f>INDEX('Venture Summary - Mthly'!$E189:$EG189,MATCH(N$9,'Venture Summary - Mthly'!$E$8:$EG$8,0))</f>
        <v>5466564.1907352023</v>
      </c>
      <c r="O186" s="798">
        <f>INDEX('Venture Summary - Mthly'!$E189:$EG189,MATCH(O$9,'Venture Summary - Mthly'!$E$8:$EG$8,0))</f>
        <v>5638571.1358792642</v>
      </c>
      <c r="P186" s="798">
        <f>INDEX('Venture Summary - Mthly'!$E189:$EG189,MATCH(P$9,'Venture Summary - Mthly'!$E$8:$EG$8,0))</f>
        <v>5710530.25354339</v>
      </c>
      <c r="Q186" s="1149">
        <f>INDEX('Venture Summary - Mthly'!$E189:$EG189,MATCH(Q$9,'Venture Summary - Mthly'!$E$8:$EG$8,0))</f>
        <v>5780811.8388658734</v>
      </c>
      <c r="R186" s="1149">
        <f>INDEX('Venture Summary - Mthly'!$E189:$EG189,MATCH(R$9,'Venture Summary - Mthly'!$E$8:$EG$8,0))</f>
        <v>5846634.0700764991</v>
      </c>
      <c r="S186" s="1149">
        <f>INDEX('Venture Summary - Mthly'!$E189:$EG189,MATCH(S$9,'Venture Summary - Mthly'!$E$8:$EG$8,0))</f>
        <v>5907129.0772375735</v>
      </c>
      <c r="T186" s="1149">
        <f>INDEX('Venture Summary - Mthly'!$E189:$EG189,MATCH(T$9,'Venture Summary - Mthly'!$E$8:$EG$8,0))</f>
        <v>5965409.0414280528</v>
      </c>
      <c r="U186" s="1149">
        <f>INDEX('Venture Summary - Mthly'!$E189:$EG189,MATCH(U$9,'Venture Summary - Mthly'!$E$8:$EG$8,0))</f>
        <v>6020255.3932064222</v>
      </c>
      <c r="V186" s="1149">
        <f>INDEX('Venture Summary - Mthly'!$E189:$EG189,MATCH(V$9,'Venture Summary - Mthly'!$E$8:$EG$8,0))</f>
        <v>6074955.5537554631</v>
      </c>
      <c r="W186" s="1149">
        <f>INDEX('Venture Summary - Mthly'!$E189:$EG189,MATCH(W$9,'Venture Summary - Mthly'!$E$8:$EG$8,0))</f>
        <v>6132722.2028710609</v>
      </c>
      <c r="X186" s="1149">
        <f>INDEX('Venture Summary - Mthly'!$E189:$EG189,MATCH(X$9,'Venture Summary - Mthly'!$E$8:$EG$8,0))</f>
        <v>6193371.3183819875</v>
      </c>
      <c r="Y186" s="1149">
        <f>INDEX('Venture Summary - Mthly'!$E189:$EG189,MATCH(Y$9,'Venture Summary - Mthly'!$E$8:$EG$8,0))</f>
        <v>6257587.1871975362</v>
      </c>
      <c r="Z186" s="1149">
        <f>INDEX('Venture Summary - Mthly'!$E189:$EG189,MATCH(Z$9,'Venture Summary - Mthly'!$E$8:$EG$8,0))</f>
        <v>6324286.2516319863</v>
      </c>
      <c r="AA186" s="1149">
        <f>INDEX('Venture Summary - Mthly'!$E189:$EG189,MATCH(AA$9,'Venture Summary - Mthly'!$E$8:$EG$8,0))</f>
        <v>6392320.2761016544</v>
      </c>
      <c r="AB186" s="1149">
        <f>INDEX('Venture Summary - Mthly'!$E189:$EG189,MATCH(AB$9,'Venture Summary - Mthly'!$E$8:$EG$8,0))</f>
        <v>6460739.5629424378</v>
      </c>
      <c r="AC186" s="1149">
        <f>INDEX('Venture Summary - Mthly'!$E189:$EG189,MATCH(AC$9,'Venture Summary - Mthly'!$E$8:$EG$8,0))</f>
        <v>6530047.2449410474</v>
      </c>
      <c r="AD186" s="1149">
        <f>INDEX('Venture Summary - Mthly'!$E189:$EG189,MATCH(AD$9,'Venture Summary - Mthly'!$E$8:$EG$8,0))</f>
        <v>6600253.4658503877</v>
      </c>
      <c r="AE186" s="1149">
        <f>INDEX('Venture Summary - Mthly'!$E189:$EG189,MATCH(AE$9,'Venture Summary - Mthly'!$E$8:$EG$8,0))</f>
        <v>6671245.5942205051</v>
      </c>
      <c r="AF186" s="1149">
        <f>INDEX('Venture Summary - Mthly'!$E189:$EG189,MATCH(AF$9,'Venture Summary - Mthly'!$E$8:$EG$8,0))</f>
        <v>6742602.8013541242</v>
      </c>
      <c r="AG186" s="1149">
        <f>INDEX('Venture Summary - Mthly'!$E189:$EG189,MATCH(AG$9,'Venture Summary - Mthly'!$E$8:$EG$8,0))</f>
        <v>6814885.1363229128</v>
      </c>
      <c r="AH186" s="1149">
        <f>INDEX('Venture Summary - Mthly'!$E189:$EG189,MATCH(AH$9,'Venture Summary - Mthly'!$E$8:$EG$8,0))</f>
        <v>6888103.1655743783</v>
      </c>
      <c r="AI186" s="1149">
        <f>INDEX('Venture Summary - Mthly'!$E189:$EG189,MATCH(AI$9,'Venture Summary - Mthly'!$E$8:$EG$8,0))</f>
        <v>6962140.3108945778</v>
      </c>
      <c r="AJ186" s="1149">
        <f>INDEX('Venture Summary - Mthly'!$E189:$EG189,MATCH(AJ$9,'Venture Summary - Mthly'!$E$8:$EG$8,0))</f>
        <v>7036558.7694023363</v>
      </c>
      <c r="AK186" s="1149">
        <f>INDEX('Venture Summary - Mthly'!$E189:$EG189,MATCH(AK$9,'Venture Summary - Mthly'!$E$8:$EG$8,0))</f>
        <v>7111940.6165152695</v>
      </c>
      <c r="AL186" s="1149">
        <f>INDEX('Venture Summary - Mthly'!$E189:$EG189,MATCH(AL$9,'Venture Summary - Mthly'!$E$8:$EG$8,0))</f>
        <v>7188296.8590602893</v>
      </c>
      <c r="AM186" s="1149">
        <f>INDEX('Venture Summary - Mthly'!$E189:$EG189,MATCH(AM$9,'Venture Summary - Mthly'!$E$8:$EG$8,0))</f>
        <v>7265506.7532602996</v>
      </c>
      <c r="AN186" s="1149">
        <f>INDEX('Venture Summary - Mthly'!$E189:$EG189,MATCH(AN$9,'Venture Summary - Mthly'!$E$8:$EG$8,0))</f>
        <v>7343114.7525858646</v>
      </c>
      <c r="AO186" s="1149">
        <f>INDEX('Venture Summary - Mthly'!$E189:$EG189,MATCH(AO$9,'Venture Summary - Mthly'!$E$8:$EG$8,0))</f>
        <v>7421725.9932336556</v>
      </c>
      <c r="AP186" s="1149">
        <f>INDEX('Venture Summary - Mthly'!$E189:$EG189,MATCH(AP$9,'Venture Summary - Mthly'!$E$8:$EG$8,0))</f>
        <v>7501351.9408368412</v>
      </c>
      <c r="AQ186" s="1149">
        <f>INDEX('Venture Summary - Mthly'!$E189:$EG189,MATCH(AQ$9,'Venture Summary - Mthly'!$E$8:$EG$8,0))</f>
        <v>7581867.4487401694</v>
      </c>
      <c r="AR186" s="1149">
        <f>INDEX('Venture Summary - Mthly'!$E189:$EG189,MATCH(AR$9,'Venture Summary - Mthly'!$E$8:$EG$8,0))</f>
        <v>7662798.4155093012</v>
      </c>
      <c r="AS186" s="1149">
        <f>INDEX('Venture Summary - Mthly'!$E189:$EG189,MATCH(AS$9,'Venture Summary - Mthly'!$E$8:$EG$8,0))</f>
        <v>7744774.1347961025</v>
      </c>
      <c r="AT186" s="1149">
        <f>INDEX('Venture Summary - Mthly'!$E189:$EG189,MATCH(AT$9,'Venture Summary - Mthly'!$E$8:$EG$8,0))</f>
        <v>0</v>
      </c>
      <c r="AU186" s="1149">
        <f>INDEX('Venture Summary - Mthly'!$E189:$EG189,MATCH(AU$9,'Venture Summary - Mthly'!$E$8:$EG$8,0))</f>
        <v>0</v>
      </c>
      <c r="AV186" s="1149">
        <f>INDEX('Venture Summary - Mthly'!$E189:$EG189,MATCH(AV$9,'Venture Summary - Mthly'!$E$8:$EG$8,0))</f>
        <v>0</v>
      </c>
      <c r="AW186" s="1149">
        <f>INDEX('Venture Summary - Mthly'!$E189:$EG189,MATCH(AW$9,'Venture Summary - Mthly'!$E$8:$EG$8,0))</f>
        <v>0</v>
      </c>
      <c r="AX186" s="1149"/>
    </row>
    <row r="187" spans="1:50" ht="12.75" customHeight="1" x14ac:dyDescent="0.3">
      <c r="A187" s="782"/>
      <c r="B187" s="782" t="s">
        <v>114</v>
      </c>
      <c r="C187" s="798">
        <f t="shared" si="34"/>
        <v>0</v>
      </c>
      <c r="D187" s="782"/>
      <c r="E187" s="798">
        <f>INDEX('Venture Summary - Mthly'!$E190:$EG190,MATCH(E$9,'Venture Summary - Mthly'!$E$8:$EG$8,0))</f>
        <v>0</v>
      </c>
      <c r="F187" s="798">
        <f>INDEX('Venture Summary - Mthly'!$E190:$EG190,MATCH(F$9,'Venture Summary - Mthly'!$E$8:$EG$8,0))</f>
        <v>0</v>
      </c>
      <c r="G187" s="798">
        <f>INDEX('Venture Summary - Mthly'!$E190:$EG190,MATCH(G$9,'Venture Summary - Mthly'!$E$8:$EG$8,0))</f>
        <v>0</v>
      </c>
      <c r="H187" s="798">
        <f>INDEX('Venture Summary - Mthly'!$E190:$EG190,MATCH(H$9,'Venture Summary - Mthly'!$E$8:$EG$8,0))</f>
        <v>0</v>
      </c>
      <c r="I187" s="798">
        <f>INDEX('Venture Summary - Mthly'!$E190:$EG190,MATCH(I$9,'Venture Summary - Mthly'!$E$8:$EG$8,0))</f>
        <v>0</v>
      </c>
      <c r="J187" s="798">
        <f>INDEX('Venture Summary - Mthly'!$E190:$EG190,MATCH(J$9,'Venture Summary - Mthly'!$E$8:$EG$8,0))</f>
        <v>0</v>
      </c>
      <c r="K187" s="798">
        <f>INDEX('Venture Summary - Mthly'!$E190:$EG190,MATCH(K$9,'Venture Summary - Mthly'!$E$8:$EG$8,0))</f>
        <v>0</v>
      </c>
      <c r="L187" s="798">
        <f>INDEX('Venture Summary - Mthly'!$E190:$EG190,MATCH(L$9,'Venture Summary - Mthly'!$E$8:$EG$8,0))</f>
        <v>0</v>
      </c>
      <c r="M187" s="798">
        <f>INDEX('Venture Summary - Mthly'!$E190:$EG190,MATCH(M$9,'Venture Summary - Mthly'!$E$8:$EG$8,0))</f>
        <v>0</v>
      </c>
      <c r="N187" s="798">
        <f>INDEX('Venture Summary - Mthly'!$E190:$EG190,MATCH(N$9,'Venture Summary - Mthly'!$E$8:$EG$8,0))</f>
        <v>0</v>
      </c>
      <c r="O187" s="798">
        <f>INDEX('Venture Summary - Mthly'!$E190:$EG190,MATCH(O$9,'Venture Summary - Mthly'!$E$8:$EG$8,0))</f>
        <v>0</v>
      </c>
      <c r="P187" s="798">
        <f>INDEX('Venture Summary - Mthly'!$E190:$EG190,MATCH(P$9,'Venture Summary - Mthly'!$E$8:$EG$8,0))</f>
        <v>0</v>
      </c>
      <c r="Q187" s="798">
        <f>INDEX('Venture Summary - Mthly'!$E190:$EG190,MATCH(Q$9,'Venture Summary - Mthly'!$E$8:$EG$8,0))</f>
        <v>0</v>
      </c>
      <c r="R187" s="798">
        <f>INDEX('Venture Summary - Mthly'!$E190:$EG190,MATCH(R$9,'Venture Summary - Mthly'!$E$8:$EG$8,0))</f>
        <v>0</v>
      </c>
      <c r="S187" s="798">
        <f>INDEX('Venture Summary - Mthly'!$E190:$EG190,MATCH(S$9,'Venture Summary - Mthly'!$E$8:$EG$8,0))</f>
        <v>0</v>
      </c>
      <c r="T187" s="798">
        <f>INDEX('Venture Summary - Mthly'!$E190:$EG190,MATCH(T$9,'Venture Summary - Mthly'!$E$8:$EG$8,0))</f>
        <v>0</v>
      </c>
      <c r="U187" s="798">
        <f>INDEX('Venture Summary - Mthly'!$E190:$EG190,MATCH(U$9,'Venture Summary - Mthly'!$E$8:$EG$8,0))</f>
        <v>0</v>
      </c>
      <c r="V187" s="798">
        <f>INDEX('Venture Summary - Mthly'!$E190:$EG190,MATCH(V$9,'Venture Summary - Mthly'!$E$8:$EG$8,0))</f>
        <v>0</v>
      </c>
      <c r="W187" s="798">
        <f>INDEX('Venture Summary - Mthly'!$E190:$EG190,MATCH(W$9,'Venture Summary - Mthly'!$E$8:$EG$8,0))</f>
        <v>0</v>
      </c>
      <c r="X187" s="798">
        <f>INDEX('Venture Summary - Mthly'!$E190:$EG190,MATCH(X$9,'Venture Summary - Mthly'!$E$8:$EG$8,0))</f>
        <v>0</v>
      </c>
      <c r="Y187" s="798">
        <f>INDEX('Venture Summary - Mthly'!$E190:$EG190,MATCH(Y$9,'Venture Summary - Mthly'!$E$8:$EG$8,0))</f>
        <v>0</v>
      </c>
      <c r="Z187" s="798">
        <f>INDEX('Venture Summary - Mthly'!$E190:$EG190,MATCH(Z$9,'Venture Summary - Mthly'!$E$8:$EG$8,0))</f>
        <v>0</v>
      </c>
      <c r="AA187" s="798">
        <f>INDEX('Venture Summary - Mthly'!$E190:$EG190,MATCH(AA$9,'Venture Summary - Mthly'!$E$8:$EG$8,0))</f>
        <v>0</v>
      </c>
      <c r="AB187" s="798">
        <f>INDEX('Venture Summary - Mthly'!$E190:$EG190,MATCH(AB$9,'Venture Summary - Mthly'!$E$8:$EG$8,0))</f>
        <v>0</v>
      </c>
      <c r="AC187" s="798">
        <f>INDEX('Venture Summary - Mthly'!$E190:$EG190,MATCH(AC$9,'Venture Summary - Mthly'!$E$8:$EG$8,0))</f>
        <v>0</v>
      </c>
      <c r="AD187" s="798">
        <f>INDEX('Venture Summary - Mthly'!$E190:$EG190,MATCH(AD$9,'Venture Summary - Mthly'!$E$8:$EG$8,0))</f>
        <v>0</v>
      </c>
      <c r="AE187" s="798">
        <f>INDEX('Venture Summary - Mthly'!$E190:$EG190,MATCH(AE$9,'Venture Summary - Mthly'!$E$8:$EG$8,0))</f>
        <v>0</v>
      </c>
      <c r="AF187" s="798">
        <f>INDEX('Venture Summary - Mthly'!$E190:$EG190,MATCH(AF$9,'Venture Summary - Mthly'!$E$8:$EG$8,0))</f>
        <v>0</v>
      </c>
      <c r="AG187" s="798">
        <f>INDEX('Venture Summary - Mthly'!$E190:$EG190,MATCH(AG$9,'Venture Summary - Mthly'!$E$8:$EG$8,0))</f>
        <v>0</v>
      </c>
      <c r="AH187" s="798">
        <f>INDEX('Venture Summary - Mthly'!$E190:$EG190,MATCH(AH$9,'Venture Summary - Mthly'!$E$8:$EG$8,0))</f>
        <v>0</v>
      </c>
      <c r="AI187" s="798">
        <f>INDEX('Venture Summary - Mthly'!$E190:$EG190,MATCH(AI$9,'Venture Summary - Mthly'!$E$8:$EG$8,0))</f>
        <v>0</v>
      </c>
      <c r="AJ187" s="798">
        <f>INDEX('Venture Summary - Mthly'!$E190:$EG190,MATCH(AJ$9,'Venture Summary - Mthly'!$E$8:$EG$8,0))</f>
        <v>0</v>
      </c>
      <c r="AK187" s="798">
        <f>INDEX('Venture Summary - Mthly'!$E190:$EG190,MATCH(AK$9,'Venture Summary - Mthly'!$E$8:$EG$8,0))</f>
        <v>0</v>
      </c>
      <c r="AL187" s="798">
        <f>INDEX('Venture Summary - Mthly'!$E190:$EG190,MATCH(AL$9,'Venture Summary - Mthly'!$E$8:$EG$8,0))</f>
        <v>0</v>
      </c>
      <c r="AM187" s="798">
        <f>INDEX('Venture Summary - Mthly'!$E190:$EG190,MATCH(AM$9,'Venture Summary - Mthly'!$E$8:$EG$8,0))</f>
        <v>0</v>
      </c>
      <c r="AN187" s="798">
        <f>INDEX('Venture Summary - Mthly'!$E190:$EG190,MATCH(AN$9,'Venture Summary - Mthly'!$E$8:$EG$8,0))</f>
        <v>0</v>
      </c>
      <c r="AO187" s="798">
        <f>INDEX('Venture Summary - Mthly'!$E190:$EG190,MATCH(AO$9,'Venture Summary - Mthly'!$E$8:$EG$8,0))</f>
        <v>0</v>
      </c>
      <c r="AP187" s="798">
        <f>INDEX('Venture Summary - Mthly'!$E190:$EG190,MATCH(AP$9,'Venture Summary - Mthly'!$E$8:$EG$8,0))</f>
        <v>0</v>
      </c>
      <c r="AQ187" s="798">
        <f>INDEX('Venture Summary - Mthly'!$E190:$EG190,MATCH(AQ$9,'Venture Summary - Mthly'!$E$8:$EG$8,0))</f>
        <v>0</v>
      </c>
      <c r="AR187" s="798">
        <f>INDEX('Venture Summary - Mthly'!$E190:$EG190,MATCH(AR$9,'Venture Summary - Mthly'!$E$8:$EG$8,0))</f>
        <v>0</v>
      </c>
      <c r="AS187" s="798">
        <f>INDEX('Venture Summary - Mthly'!$E190:$EG190,MATCH(AS$9,'Venture Summary - Mthly'!$E$8:$EG$8,0))</f>
        <v>0</v>
      </c>
      <c r="AT187" s="798">
        <f>INDEX('Venture Summary - Mthly'!$E190:$EG190,MATCH(AT$9,'Venture Summary - Mthly'!$E$8:$EG$8,0))</f>
        <v>0</v>
      </c>
      <c r="AU187" s="798">
        <f>INDEX('Venture Summary - Mthly'!$E190:$EG190,MATCH(AU$9,'Venture Summary - Mthly'!$E$8:$EG$8,0))</f>
        <v>0</v>
      </c>
      <c r="AV187" s="798">
        <f>INDEX('Venture Summary - Mthly'!$E190:$EG190,MATCH(AV$9,'Venture Summary - Mthly'!$E$8:$EG$8,0))</f>
        <v>0</v>
      </c>
      <c r="AW187" s="798">
        <f>INDEX('Venture Summary - Mthly'!$E190:$EG190,MATCH(AW$9,'Venture Summary - Mthly'!$E$8:$EG$8,0))</f>
        <v>0</v>
      </c>
      <c r="AX187" s="798"/>
    </row>
    <row r="188" spans="1:50" ht="12.75" customHeight="1" x14ac:dyDescent="0.3">
      <c r="A188" s="782"/>
      <c r="B188" s="782" t="s">
        <v>115</v>
      </c>
      <c r="C188" s="798">
        <f t="shared" si="34"/>
        <v>0</v>
      </c>
      <c r="D188" s="782"/>
      <c r="E188" s="798">
        <f>INDEX('Venture Summary - Mthly'!$E191:$EG191,MATCH(E$9,'Venture Summary - Mthly'!$E$8:$EG$8,0))</f>
        <v>0</v>
      </c>
      <c r="F188" s="798">
        <f>INDEX('Venture Summary - Mthly'!$E191:$EG191,MATCH(F$9,'Venture Summary - Mthly'!$E$8:$EG$8,0))</f>
        <v>0</v>
      </c>
      <c r="G188" s="798">
        <f>INDEX('Venture Summary - Mthly'!$E191:$EG191,MATCH(G$9,'Venture Summary - Mthly'!$E$8:$EG$8,0))</f>
        <v>0</v>
      </c>
      <c r="H188" s="798">
        <f>INDEX('Venture Summary - Mthly'!$E191:$EG191,MATCH(H$9,'Venture Summary - Mthly'!$E$8:$EG$8,0))</f>
        <v>0</v>
      </c>
      <c r="I188" s="798">
        <f>INDEX('Venture Summary - Mthly'!$E191:$EG191,MATCH(I$9,'Venture Summary - Mthly'!$E$8:$EG$8,0))</f>
        <v>0</v>
      </c>
      <c r="J188" s="798">
        <f>INDEX('Venture Summary - Mthly'!$E191:$EG191,MATCH(J$9,'Venture Summary - Mthly'!$E$8:$EG$8,0))</f>
        <v>0</v>
      </c>
      <c r="K188" s="798">
        <f>INDEX('Venture Summary - Mthly'!$E191:$EG191,MATCH(K$9,'Venture Summary - Mthly'!$E$8:$EG$8,0))</f>
        <v>0</v>
      </c>
      <c r="L188" s="798">
        <f>INDEX('Venture Summary - Mthly'!$E191:$EG191,MATCH(L$9,'Venture Summary - Mthly'!$E$8:$EG$8,0))</f>
        <v>0</v>
      </c>
      <c r="M188" s="798">
        <f>INDEX('Venture Summary - Mthly'!$E191:$EG191,MATCH(M$9,'Venture Summary - Mthly'!$E$8:$EG$8,0))</f>
        <v>0</v>
      </c>
      <c r="N188" s="798">
        <f>INDEX('Venture Summary - Mthly'!$E191:$EG191,MATCH(N$9,'Venture Summary - Mthly'!$E$8:$EG$8,0))</f>
        <v>0</v>
      </c>
      <c r="O188" s="798">
        <f>INDEX('Venture Summary - Mthly'!$E191:$EG191,MATCH(O$9,'Venture Summary - Mthly'!$E$8:$EG$8,0))</f>
        <v>0</v>
      </c>
      <c r="P188" s="798">
        <f>INDEX('Venture Summary - Mthly'!$E191:$EG191,MATCH(P$9,'Venture Summary - Mthly'!$E$8:$EG$8,0))</f>
        <v>0</v>
      </c>
      <c r="Q188" s="798">
        <f>INDEX('Venture Summary - Mthly'!$E191:$EG191,MATCH(Q$9,'Venture Summary - Mthly'!$E$8:$EG$8,0))</f>
        <v>0</v>
      </c>
      <c r="R188" s="798">
        <f>INDEX('Venture Summary - Mthly'!$E191:$EG191,MATCH(R$9,'Venture Summary - Mthly'!$E$8:$EG$8,0))</f>
        <v>0</v>
      </c>
      <c r="S188" s="798">
        <f>INDEX('Venture Summary - Mthly'!$E191:$EG191,MATCH(S$9,'Venture Summary - Mthly'!$E$8:$EG$8,0))</f>
        <v>0</v>
      </c>
      <c r="T188" s="798">
        <f>INDEX('Venture Summary - Mthly'!$E191:$EG191,MATCH(T$9,'Venture Summary - Mthly'!$E$8:$EG$8,0))</f>
        <v>0</v>
      </c>
      <c r="U188" s="798">
        <f>INDEX('Venture Summary - Mthly'!$E191:$EG191,MATCH(U$9,'Venture Summary - Mthly'!$E$8:$EG$8,0))</f>
        <v>0</v>
      </c>
      <c r="V188" s="798">
        <f>INDEX('Venture Summary - Mthly'!$E191:$EG191,MATCH(V$9,'Venture Summary - Mthly'!$E$8:$EG$8,0))</f>
        <v>0</v>
      </c>
      <c r="W188" s="798">
        <f>INDEX('Venture Summary - Mthly'!$E191:$EG191,MATCH(W$9,'Venture Summary - Mthly'!$E$8:$EG$8,0))</f>
        <v>0</v>
      </c>
      <c r="X188" s="798">
        <f>INDEX('Venture Summary - Mthly'!$E191:$EG191,MATCH(X$9,'Venture Summary - Mthly'!$E$8:$EG$8,0))</f>
        <v>0</v>
      </c>
      <c r="Y188" s="798">
        <f>INDEX('Venture Summary - Mthly'!$E191:$EG191,MATCH(Y$9,'Venture Summary - Mthly'!$E$8:$EG$8,0))</f>
        <v>0</v>
      </c>
      <c r="Z188" s="798">
        <f>INDEX('Venture Summary - Mthly'!$E191:$EG191,MATCH(Z$9,'Venture Summary - Mthly'!$E$8:$EG$8,0))</f>
        <v>0</v>
      </c>
      <c r="AA188" s="798">
        <f>INDEX('Venture Summary - Mthly'!$E191:$EG191,MATCH(AA$9,'Venture Summary - Mthly'!$E$8:$EG$8,0))</f>
        <v>0</v>
      </c>
      <c r="AB188" s="798">
        <f>INDEX('Venture Summary - Mthly'!$E191:$EG191,MATCH(AB$9,'Venture Summary - Mthly'!$E$8:$EG$8,0))</f>
        <v>0</v>
      </c>
      <c r="AC188" s="798">
        <f>INDEX('Venture Summary - Mthly'!$E191:$EG191,MATCH(AC$9,'Venture Summary - Mthly'!$E$8:$EG$8,0))</f>
        <v>0</v>
      </c>
      <c r="AD188" s="798">
        <f>INDEX('Venture Summary - Mthly'!$E191:$EG191,MATCH(AD$9,'Venture Summary - Mthly'!$E$8:$EG$8,0))</f>
        <v>0</v>
      </c>
      <c r="AE188" s="798">
        <f>INDEX('Venture Summary - Mthly'!$E191:$EG191,MATCH(AE$9,'Venture Summary - Mthly'!$E$8:$EG$8,0))</f>
        <v>0</v>
      </c>
      <c r="AF188" s="798">
        <f>INDEX('Venture Summary - Mthly'!$E191:$EG191,MATCH(AF$9,'Venture Summary - Mthly'!$E$8:$EG$8,0))</f>
        <v>0</v>
      </c>
      <c r="AG188" s="798">
        <f>INDEX('Venture Summary - Mthly'!$E191:$EG191,MATCH(AG$9,'Venture Summary - Mthly'!$E$8:$EG$8,0))</f>
        <v>0</v>
      </c>
      <c r="AH188" s="798">
        <f>INDEX('Venture Summary - Mthly'!$E191:$EG191,MATCH(AH$9,'Venture Summary - Mthly'!$E$8:$EG$8,0))</f>
        <v>0</v>
      </c>
      <c r="AI188" s="798">
        <f>INDEX('Venture Summary - Mthly'!$E191:$EG191,MATCH(AI$9,'Venture Summary - Mthly'!$E$8:$EG$8,0))</f>
        <v>0</v>
      </c>
      <c r="AJ188" s="798">
        <f>INDEX('Venture Summary - Mthly'!$E191:$EG191,MATCH(AJ$9,'Venture Summary - Mthly'!$E$8:$EG$8,0))</f>
        <v>0</v>
      </c>
      <c r="AK188" s="798">
        <f>INDEX('Venture Summary - Mthly'!$E191:$EG191,MATCH(AK$9,'Venture Summary - Mthly'!$E$8:$EG$8,0))</f>
        <v>0</v>
      </c>
      <c r="AL188" s="798">
        <f>INDEX('Venture Summary - Mthly'!$E191:$EG191,MATCH(AL$9,'Venture Summary - Mthly'!$E$8:$EG$8,0))</f>
        <v>0</v>
      </c>
      <c r="AM188" s="798">
        <f>INDEX('Venture Summary - Mthly'!$E191:$EG191,MATCH(AM$9,'Venture Summary - Mthly'!$E$8:$EG$8,0))</f>
        <v>0</v>
      </c>
      <c r="AN188" s="798">
        <f>INDEX('Venture Summary - Mthly'!$E191:$EG191,MATCH(AN$9,'Venture Summary - Mthly'!$E$8:$EG$8,0))</f>
        <v>0</v>
      </c>
      <c r="AO188" s="798">
        <f>INDEX('Venture Summary - Mthly'!$E191:$EG191,MATCH(AO$9,'Venture Summary - Mthly'!$E$8:$EG$8,0))</f>
        <v>0</v>
      </c>
      <c r="AP188" s="798">
        <f>INDEX('Venture Summary - Mthly'!$E191:$EG191,MATCH(AP$9,'Venture Summary - Mthly'!$E$8:$EG$8,0))</f>
        <v>0</v>
      </c>
      <c r="AQ188" s="798">
        <f>INDEX('Venture Summary - Mthly'!$E191:$EG191,MATCH(AQ$9,'Venture Summary - Mthly'!$E$8:$EG$8,0))</f>
        <v>0</v>
      </c>
      <c r="AR188" s="798">
        <f>INDEX('Venture Summary - Mthly'!$E191:$EG191,MATCH(AR$9,'Venture Summary - Mthly'!$E$8:$EG$8,0))</f>
        <v>0</v>
      </c>
      <c r="AS188" s="798">
        <f>INDEX('Venture Summary - Mthly'!$E191:$EG191,MATCH(AS$9,'Venture Summary - Mthly'!$E$8:$EG$8,0))</f>
        <v>0</v>
      </c>
      <c r="AT188" s="798">
        <f>INDEX('Venture Summary - Mthly'!$E191:$EG191,MATCH(AT$9,'Venture Summary - Mthly'!$E$8:$EG$8,0))</f>
        <v>0</v>
      </c>
      <c r="AU188" s="798">
        <f>INDEX('Venture Summary - Mthly'!$E191:$EG191,MATCH(AU$9,'Venture Summary - Mthly'!$E$8:$EG$8,0))</f>
        <v>0</v>
      </c>
      <c r="AV188" s="798">
        <f>INDEX('Venture Summary - Mthly'!$E191:$EG191,MATCH(AV$9,'Venture Summary - Mthly'!$E$8:$EG$8,0))</f>
        <v>0</v>
      </c>
      <c r="AW188" s="798">
        <f>INDEX('Venture Summary - Mthly'!$E191:$EG191,MATCH(AW$9,'Venture Summary - Mthly'!$E$8:$EG$8,0))</f>
        <v>0</v>
      </c>
      <c r="AX188" s="798"/>
    </row>
    <row r="189" spans="1:50" ht="12.75" customHeight="1" x14ac:dyDescent="0.3">
      <c r="A189" s="782"/>
      <c r="B189" s="782" t="s">
        <v>116</v>
      </c>
      <c r="C189" s="798">
        <f t="shared" si="34"/>
        <v>4053614636.8097587</v>
      </c>
      <c r="D189" s="782"/>
      <c r="E189" s="798">
        <f>SUM(E186:E188)/'General Inputs'!$H$46</f>
        <v>0</v>
      </c>
      <c r="F189" s="798">
        <f>SUM(F186:F188)/'General Inputs'!$H$46</f>
        <v>0</v>
      </c>
      <c r="G189" s="798">
        <f>SUM(G186:G188)/'General Inputs'!$H$46</f>
        <v>0</v>
      </c>
      <c r="H189" s="798">
        <f>SUM(H186:H188)/'General Inputs'!$H$46</f>
        <v>0</v>
      </c>
      <c r="I189" s="798">
        <f>SUM(I186:I188)/'General Inputs'!$H$46</f>
        <v>0</v>
      </c>
      <c r="J189" s="798">
        <f>SUM(J186:J188)/'General Inputs'!$H$46</f>
        <v>14536688.574957717</v>
      </c>
      <c r="K189" s="798">
        <f>SUM(K186:K188)/'General Inputs'!$H$46</f>
        <v>42140851.166509889</v>
      </c>
      <c r="L189" s="798">
        <f>SUM(L186:L188)/'General Inputs'!$H$46</f>
        <v>68282434.785124734</v>
      </c>
      <c r="M189" s="798">
        <f>SUM(M186:M188)/'General Inputs'!$H$46</f>
        <v>87943739.429485232</v>
      </c>
      <c r="N189" s="798">
        <f>SUM(N186:N188)/'General Inputs'!$H$46</f>
        <v>99392076.195185497</v>
      </c>
      <c r="O189" s="798">
        <f>SUM(O186:O188)/'General Inputs'!$H$46</f>
        <v>102519475.19780481</v>
      </c>
      <c r="P189" s="798">
        <f>SUM(P186:P188)/'General Inputs'!$H$46</f>
        <v>103827822.79169799</v>
      </c>
      <c r="Q189" s="812">
        <f>SUM(Q186:Q188)/'General Inputs'!$H$46</f>
        <v>105105669.79756133</v>
      </c>
      <c r="R189" s="812">
        <f>SUM(R186:R188)/'General Inputs'!$H$46</f>
        <v>106302437.63775453</v>
      </c>
      <c r="S189" s="812">
        <f>SUM(S186:S188)/'General Inputs'!$H$46</f>
        <v>107402346.85886498</v>
      </c>
      <c r="T189" s="812">
        <f>SUM(T186:T188)/'General Inputs'!$H$46</f>
        <v>108461982.57141913</v>
      </c>
      <c r="U189" s="812">
        <f>SUM(U186:U188)/'General Inputs'!$H$46</f>
        <v>109459188.96738949</v>
      </c>
      <c r="V189" s="812">
        <f>SUM(V186:V188)/'General Inputs'!$H$46</f>
        <v>110453737.34100842</v>
      </c>
      <c r="W189" s="812">
        <f>SUM(W186:W188)/'General Inputs'!$H$46</f>
        <v>111504040.05220111</v>
      </c>
      <c r="X189" s="812">
        <f>SUM(X186:X188)/'General Inputs'!$H$46</f>
        <v>112606751.24330886</v>
      </c>
      <c r="Y189" s="812">
        <f>SUM(Y186:Y188)/'General Inputs'!$H$46</f>
        <v>113774312.49450065</v>
      </c>
      <c r="Z189" s="812">
        <f>SUM(Z186:Z188)/'General Inputs'!$H$46</f>
        <v>114987022.75694521</v>
      </c>
      <c r="AA189" s="812">
        <f>SUM(AA186:AA188)/'General Inputs'!$H$46</f>
        <v>116224005.02003008</v>
      </c>
      <c r="AB189" s="812">
        <f>SUM(AB186:AB188)/'General Inputs'!$H$46</f>
        <v>117467992.05349886</v>
      </c>
      <c r="AC189" s="812">
        <f>SUM(AC186:AC188)/'General Inputs'!$H$46</f>
        <v>118728131.72620086</v>
      </c>
      <c r="AD189" s="812">
        <f>SUM(AD186:AD188)/'General Inputs'!$H$46</f>
        <v>120004608.47000705</v>
      </c>
      <c r="AE189" s="812">
        <f>SUM(AE186:AE188)/'General Inputs'!$H$46</f>
        <v>121295374.44037282</v>
      </c>
      <c r="AF189" s="812">
        <f>SUM(AF186:AF188)/'General Inputs'!$H$46</f>
        <v>122592778.20643862</v>
      </c>
      <c r="AG189" s="812">
        <f>SUM(AG186:AG188)/'General Inputs'!$H$46</f>
        <v>123907002.47859842</v>
      </c>
      <c r="AH189" s="812">
        <f>SUM(AH186:AH188)/'General Inputs'!$H$46</f>
        <v>125238239.3740796</v>
      </c>
      <c r="AI189" s="812">
        <f>SUM(AI186:AI188)/'General Inputs'!$H$46</f>
        <v>126584369.28899232</v>
      </c>
      <c r="AJ189" s="812">
        <f>SUM(AJ186:AJ188)/'General Inputs'!$H$46</f>
        <v>127937432.17095158</v>
      </c>
      <c r="AK189" s="812">
        <f>SUM(AK186:AK188)/'General Inputs'!$H$46</f>
        <v>129308011.20936854</v>
      </c>
      <c r="AL189" s="812">
        <f>SUM(AL186:AL188)/'General Inputs'!$H$46</f>
        <v>130696306.52836889</v>
      </c>
      <c r="AM189" s="812">
        <f>SUM(AM186:AM188)/'General Inputs'!$H$46</f>
        <v>132100122.78655089</v>
      </c>
      <c r="AN189" s="812">
        <f>SUM(AN186:AN188)/'General Inputs'!$H$46</f>
        <v>133511177.31974299</v>
      </c>
      <c r="AO189" s="812">
        <f>SUM(AO186:AO188)/'General Inputs'!$H$46</f>
        <v>134940472.60424829</v>
      </c>
      <c r="AP189" s="812">
        <f>SUM(AP186:AP188)/'General Inputs'!$H$46</f>
        <v>136388217.10612437</v>
      </c>
      <c r="AQ189" s="812">
        <f>SUM(AQ186:AQ188)/'General Inputs'!$H$46</f>
        <v>137852135.43163943</v>
      </c>
      <c r="AR189" s="812">
        <f>SUM(AR186:AR188)/'General Inputs'!$H$46</f>
        <v>139323607.55471456</v>
      </c>
      <c r="AS189" s="812">
        <f>SUM(AS186:AS188)/'General Inputs'!$H$46</f>
        <v>140814075.17811096</v>
      </c>
      <c r="AT189" s="812">
        <f>SUM(AT186:AT188)/'General Inputs'!$H$46</f>
        <v>0</v>
      </c>
      <c r="AU189" s="812">
        <f>SUM(AU186:AU188)/'General Inputs'!$H$46</f>
        <v>0</v>
      </c>
      <c r="AV189" s="812">
        <f>SUM(AV186:AV188)/'General Inputs'!$H$46</f>
        <v>0</v>
      </c>
      <c r="AW189" s="812">
        <f>SUM(AW186:AW188)/'General Inputs'!$H$46</f>
        <v>0</v>
      </c>
      <c r="AX189" s="812"/>
    </row>
    <row r="190" spans="1:50" ht="12.75" customHeight="1" x14ac:dyDescent="0.3">
      <c r="A190" s="782"/>
      <c r="B190" s="782" t="s">
        <v>117</v>
      </c>
      <c r="C190" s="798">
        <f t="shared" si="34"/>
        <v>0</v>
      </c>
      <c r="D190" s="782"/>
      <c r="E190" s="798">
        <f>INDEX('Venture Summary - Mthly'!$E193:$EG193,MATCH(E$9,'Venture Summary - Mthly'!$E$8:$EG$8,0))</f>
        <v>0</v>
      </c>
      <c r="F190" s="798">
        <f>INDEX('Venture Summary - Mthly'!$E193:$EG193,MATCH(F$9,'Venture Summary - Mthly'!$E$8:$EG$8,0))</f>
        <v>0</v>
      </c>
      <c r="G190" s="798">
        <f>INDEX('Venture Summary - Mthly'!$E193:$EG193,MATCH(G$9,'Venture Summary - Mthly'!$E$8:$EG$8,0))</f>
        <v>0</v>
      </c>
      <c r="H190" s="798">
        <f>INDEX('Venture Summary - Mthly'!$E193:$EG193,MATCH(H$9,'Venture Summary - Mthly'!$E$8:$EG$8,0))</f>
        <v>0</v>
      </c>
      <c r="I190" s="798">
        <f>INDEX('Venture Summary - Mthly'!$E193:$EG193,MATCH(I$9,'Venture Summary - Mthly'!$E$8:$EG$8,0))</f>
        <v>0</v>
      </c>
      <c r="J190" s="798">
        <f>INDEX('Venture Summary - Mthly'!$E193:$EG193,MATCH(J$9,'Venture Summary - Mthly'!$E$8:$EG$8,0))</f>
        <v>0</v>
      </c>
      <c r="K190" s="798">
        <f>INDEX('Venture Summary - Mthly'!$E193:$EG193,MATCH(K$9,'Venture Summary - Mthly'!$E$8:$EG$8,0))</f>
        <v>0</v>
      </c>
      <c r="L190" s="798">
        <f>INDEX('Venture Summary - Mthly'!$E193:$EG193,MATCH(L$9,'Venture Summary - Mthly'!$E$8:$EG$8,0))</f>
        <v>0</v>
      </c>
      <c r="M190" s="798">
        <f>INDEX('Venture Summary - Mthly'!$E193:$EG193,MATCH(M$9,'Venture Summary - Mthly'!$E$8:$EG$8,0))</f>
        <v>0</v>
      </c>
      <c r="N190" s="798">
        <f>INDEX('Venture Summary - Mthly'!$E193:$EG193,MATCH(N$9,'Venture Summary - Mthly'!$E$8:$EG$8,0))</f>
        <v>0</v>
      </c>
      <c r="O190" s="798">
        <f>INDEX('Venture Summary - Mthly'!$E193:$EG193,MATCH(O$9,'Venture Summary - Mthly'!$E$8:$EG$8,0))</f>
        <v>0</v>
      </c>
      <c r="P190" s="798">
        <f>INDEX('Venture Summary - Mthly'!$E193:$EG193,MATCH(P$9,'Venture Summary - Mthly'!$E$8:$EG$8,0))</f>
        <v>0</v>
      </c>
      <c r="Q190" s="798">
        <f>INDEX('Venture Summary - Mthly'!$E193:$EG193,MATCH(Q$9,'Venture Summary - Mthly'!$E$8:$EG$8,0))</f>
        <v>0</v>
      </c>
      <c r="R190" s="798">
        <f>INDEX('Venture Summary - Mthly'!$E193:$EG193,MATCH(R$9,'Venture Summary - Mthly'!$E$8:$EG$8,0))</f>
        <v>0</v>
      </c>
      <c r="S190" s="798">
        <f>INDEX('Venture Summary - Mthly'!$E193:$EG193,MATCH(S$9,'Venture Summary - Mthly'!$E$8:$EG$8,0))</f>
        <v>0</v>
      </c>
      <c r="T190" s="798">
        <f>INDEX('Venture Summary - Mthly'!$E193:$EG193,MATCH(T$9,'Venture Summary - Mthly'!$E$8:$EG$8,0))</f>
        <v>0</v>
      </c>
      <c r="U190" s="798">
        <f>INDEX('Venture Summary - Mthly'!$E193:$EG193,MATCH(U$9,'Venture Summary - Mthly'!$E$8:$EG$8,0))</f>
        <v>0</v>
      </c>
      <c r="V190" s="798">
        <f>INDEX('Venture Summary - Mthly'!$E193:$EG193,MATCH(V$9,'Venture Summary - Mthly'!$E$8:$EG$8,0))</f>
        <v>0</v>
      </c>
      <c r="W190" s="798">
        <f>INDEX('Venture Summary - Mthly'!$E193:$EG193,MATCH(W$9,'Venture Summary - Mthly'!$E$8:$EG$8,0))</f>
        <v>0</v>
      </c>
      <c r="X190" s="798">
        <f>INDEX('Venture Summary - Mthly'!$E193:$EG193,MATCH(X$9,'Venture Summary - Mthly'!$E$8:$EG$8,0))</f>
        <v>0</v>
      </c>
      <c r="Y190" s="798">
        <f>INDEX('Venture Summary - Mthly'!$E193:$EG193,MATCH(Y$9,'Venture Summary - Mthly'!$E$8:$EG$8,0))</f>
        <v>0</v>
      </c>
      <c r="Z190" s="798">
        <f>INDEX('Venture Summary - Mthly'!$E193:$EG193,MATCH(Z$9,'Venture Summary - Mthly'!$E$8:$EG$8,0))</f>
        <v>0</v>
      </c>
      <c r="AA190" s="798">
        <f>INDEX('Venture Summary - Mthly'!$E193:$EG193,MATCH(AA$9,'Venture Summary - Mthly'!$E$8:$EG$8,0))</f>
        <v>0</v>
      </c>
      <c r="AB190" s="798">
        <f>INDEX('Venture Summary - Mthly'!$E193:$EG193,MATCH(AB$9,'Venture Summary - Mthly'!$E$8:$EG$8,0))</f>
        <v>0</v>
      </c>
      <c r="AC190" s="798">
        <f>INDEX('Venture Summary - Mthly'!$E193:$EG193,MATCH(AC$9,'Venture Summary - Mthly'!$E$8:$EG$8,0))</f>
        <v>0</v>
      </c>
      <c r="AD190" s="798">
        <f>INDEX('Venture Summary - Mthly'!$E193:$EG193,MATCH(AD$9,'Venture Summary - Mthly'!$E$8:$EG$8,0))</f>
        <v>0</v>
      </c>
      <c r="AE190" s="798">
        <f>INDEX('Venture Summary - Mthly'!$E193:$EG193,MATCH(AE$9,'Venture Summary - Mthly'!$E$8:$EG$8,0))</f>
        <v>0</v>
      </c>
      <c r="AF190" s="798">
        <f>INDEX('Venture Summary - Mthly'!$E193:$EG193,MATCH(AF$9,'Venture Summary - Mthly'!$E$8:$EG$8,0))</f>
        <v>0</v>
      </c>
      <c r="AG190" s="798">
        <f>INDEX('Venture Summary - Mthly'!$E193:$EG193,MATCH(AG$9,'Venture Summary - Mthly'!$E$8:$EG$8,0))</f>
        <v>0</v>
      </c>
      <c r="AH190" s="798">
        <f>INDEX('Venture Summary - Mthly'!$E193:$EG193,MATCH(AH$9,'Venture Summary - Mthly'!$E$8:$EG$8,0))</f>
        <v>0</v>
      </c>
      <c r="AI190" s="798">
        <f>INDEX('Venture Summary - Mthly'!$E193:$EG193,MATCH(AI$9,'Venture Summary - Mthly'!$E$8:$EG$8,0))</f>
        <v>0</v>
      </c>
      <c r="AJ190" s="798">
        <f>INDEX('Venture Summary - Mthly'!$E193:$EG193,MATCH(AJ$9,'Venture Summary - Mthly'!$E$8:$EG$8,0))</f>
        <v>0</v>
      </c>
      <c r="AK190" s="798">
        <f>INDEX('Venture Summary - Mthly'!$E193:$EG193,MATCH(AK$9,'Venture Summary - Mthly'!$E$8:$EG$8,0))</f>
        <v>0</v>
      </c>
      <c r="AL190" s="798">
        <f>INDEX('Venture Summary - Mthly'!$E193:$EG193,MATCH(AL$9,'Venture Summary - Mthly'!$E$8:$EG$8,0))</f>
        <v>0</v>
      </c>
      <c r="AM190" s="798">
        <f>INDEX('Venture Summary - Mthly'!$E193:$EG193,MATCH(AM$9,'Venture Summary - Mthly'!$E$8:$EG$8,0))</f>
        <v>0</v>
      </c>
      <c r="AN190" s="798">
        <f>INDEX('Venture Summary - Mthly'!$E193:$EG193,MATCH(AN$9,'Venture Summary - Mthly'!$E$8:$EG$8,0))</f>
        <v>0</v>
      </c>
      <c r="AO190" s="798">
        <f>INDEX('Venture Summary - Mthly'!$E193:$EG193,MATCH(AO$9,'Venture Summary - Mthly'!$E$8:$EG$8,0))</f>
        <v>0</v>
      </c>
      <c r="AP190" s="798">
        <f>INDEX('Venture Summary - Mthly'!$E193:$EG193,MATCH(AP$9,'Venture Summary - Mthly'!$E$8:$EG$8,0))</f>
        <v>0</v>
      </c>
      <c r="AQ190" s="798">
        <f>INDEX('Venture Summary - Mthly'!$E193:$EG193,MATCH(AQ$9,'Venture Summary - Mthly'!$E$8:$EG$8,0))</f>
        <v>0</v>
      </c>
      <c r="AR190" s="798">
        <f>INDEX('Venture Summary - Mthly'!$E193:$EG193,MATCH(AR$9,'Venture Summary - Mthly'!$E$8:$EG$8,0))</f>
        <v>0</v>
      </c>
      <c r="AS190" s="798">
        <f>INDEX('Venture Summary - Mthly'!$E193:$EG193,MATCH(AS$9,'Venture Summary - Mthly'!$E$8:$EG$8,0))</f>
        <v>0</v>
      </c>
      <c r="AT190" s="798">
        <f>INDEX('Venture Summary - Mthly'!$E193:$EG193,MATCH(AT$9,'Venture Summary - Mthly'!$E$8:$EG$8,0))</f>
        <v>0</v>
      </c>
      <c r="AU190" s="798">
        <f>INDEX('Venture Summary - Mthly'!$E193:$EG193,MATCH(AU$9,'Venture Summary - Mthly'!$E$8:$EG$8,0))</f>
        <v>0</v>
      </c>
      <c r="AV190" s="798">
        <f>INDEX('Venture Summary - Mthly'!$E193:$EG193,MATCH(AV$9,'Venture Summary - Mthly'!$E$8:$EG$8,0))</f>
        <v>0</v>
      </c>
      <c r="AW190" s="798">
        <f>INDEX('Venture Summary - Mthly'!$E193:$EG193,MATCH(AW$9,'Venture Summary - Mthly'!$E$8:$EG$8,0))</f>
        <v>0</v>
      </c>
      <c r="AX190" s="798"/>
    </row>
    <row r="191" spans="1:50" ht="12.75" customHeight="1" x14ac:dyDescent="0.3">
      <c r="A191" s="782"/>
      <c r="B191" s="782" t="s">
        <v>118</v>
      </c>
      <c r="C191" s="798">
        <f t="shared" si="34"/>
        <v>0</v>
      </c>
      <c r="D191" s="782"/>
      <c r="E191" s="798">
        <f>E190/'General Inputs'!$H$47</f>
        <v>0</v>
      </c>
      <c r="F191" s="798">
        <f>F190/'General Inputs'!$H$47</f>
        <v>0</v>
      </c>
      <c r="G191" s="798">
        <f>G190/'General Inputs'!$H$47</f>
        <v>0</v>
      </c>
      <c r="H191" s="798">
        <f>H190/'General Inputs'!$H$47</f>
        <v>0</v>
      </c>
      <c r="I191" s="798">
        <f>I190/'General Inputs'!$H$47</f>
        <v>0</v>
      </c>
      <c r="J191" s="798">
        <f>J190/'General Inputs'!$H$47</f>
        <v>0</v>
      </c>
      <c r="K191" s="798">
        <f>K190/'General Inputs'!$H$47</f>
        <v>0</v>
      </c>
      <c r="L191" s="798">
        <f>L190/'General Inputs'!$H$47</f>
        <v>0</v>
      </c>
      <c r="M191" s="798">
        <f>M190/'General Inputs'!$H$47</f>
        <v>0</v>
      </c>
      <c r="N191" s="798">
        <f>N190/'General Inputs'!$H$47</f>
        <v>0</v>
      </c>
      <c r="O191" s="798">
        <f>O190/'General Inputs'!$H$47</f>
        <v>0</v>
      </c>
      <c r="P191" s="798">
        <f>P190/'General Inputs'!$H$47</f>
        <v>0</v>
      </c>
      <c r="Q191" s="798">
        <f>Q190/'General Inputs'!$H$47</f>
        <v>0</v>
      </c>
      <c r="R191" s="798">
        <f>R190/'General Inputs'!$H$47</f>
        <v>0</v>
      </c>
      <c r="S191" s="798">
        <f>S190/'General Inputs'!$H$47</f>
        <v>0</v>
      </c>
      <c r="T191" s="798">
        <f>T190/'General Inputs'!$H$47</f>
        <v>0</v>
      </c>
      <c r="U191" s="798">
        <f>U190/'General Inputs'!$H$47</f>
        <v>0</v>
      </c>
      <c r="V191" s="798">
        <f>V190/'General Inputs'!$H$47</f>
        <v>0</v>
      </c>
      <c r="W191" s="798">
        <f>W190/'General Inputs'!$H$47</f>
        <v>0</v>
      </c>
      <c r="X191" s="798">
        <f>X190/'General Inputs'!$H$47</f>
        <v>0</v>
      </c>
      <c r="Y191" s="798">
        <f>Y190/'General Inputs'!$H$47</f>
        <v>0</v>
      </c>
      <c r="Z191" s="798">
        <f>Z190/'General Inputs'!$H$47</f>
        <v>0</v>
      </c>
      <c r="AA191" s="798">
        <f>AA190/'General Inputs'!$H$47</f>
        <v>0</v>
      </c>
      <c r="AB191" s="798">
        <f>AB190/'General Inputs'!$H$47</f>
        <v>0</v>
      </c>
      <c r="AC191" s="798">
        <f>AC190/'General Inputs'!$H$47</f>
        <v>0</v>
      </c>
      <c r="AD191" s="798">
        <f>AD190/'General Inputs'!$H$47</f>
        <v>0</v>
      </c>
      <c r="AE191" s="798">
        <f>AE190/'General Inputs'!$H$47</f>
        <v>0</v>
      </c>
      <c r="AF191" s="798">
        <f>AF190/'General Inputs'!$H$47</f>
        <v>0</v>
      </c>
      <c r="AG191" s="798">
        <f>AG190/'General Inputs'!$H$47</f>
        <v>0</v>
      </c>
      <c r="AH191" s="798">
        <f>AH190/'General Inputs'!$H$47</f>
        <v>0</v>
      </c>
      <c r="AI191" s="798">
        <f>AI190/'General Inputs'!$H$47</f>
        <v>0</v>
      </c>
      <c r="AJ191" s="798">
        <f>AJ190/'General Inputs'!$H$47</f>
        <v>0</v>
      </c>
      <c r="AK191" s="798">
        <f>AK190/'General Inputs'!$H$47</f>
        <v>0</v>
      </c>
      <c r="AL191" s="798">
        <f>AL190/'General Inputs'!$H$47</f>
        <v>0</v>
      </c>
      <c r="AM191" s="798">
        <f>AM190/'General Inputs'!$H$47</f>
        <v>0</v>
      </c>
      <c r="AN191" s="798">
        <f>AN190/'General Inputs'!$H$47</f>
        <v>0</v>
      </c>
      <c r="AO191" s="798">
        <f>AO190/'General Inputs'!$H$47</f>
        <v>0</v>
      </c>
      <c r="AP191" s="798">
        <f>AP190/'General Inputs'!$H$47</f>
        <v>0</v>
      </c>
      <c r="AQ191" s="798">
        <f>AQ190/'General Inputs'!$H$47</f>
        <v>0</v>
      </c>
      <c r="AR191" s="798">
        <f>AR190/'General Inputs'!$H$47</f>
        <v>0</v>
      </c>
      <c r="AS191" s="798">
        <f>AS190/'General Inputs'!$H$47</f>
        <v>0</v>
      </c>
      <c r="AT191" s="798">
        <f>AT190/'General Inputs'!$H$47</f>
        <v>0</v>
      </c>
      <c r="AU191" s="798">
        <f>AU190/'General Inputs'!$H$47</f>
        <v>0</v>
      </c>
      <c r="AV191" s="798">
        <f>AV190/'General Inputs'!$H$47</f>
        <v>0</v>
      </c>
      <c r="AW191" s="798">
        <f>AW190/'General Inputs'!$H$47</f>
        <v>0</v>
      </c>
      <c r="AX191" s="798"/>
    </row>
    <row r="192" spans="1:50" ht="12.75" customHeight="1" x14ac:dyDescent="0.3">
      <c r="A192" s="782"/>
      <c r="B192" s="781" t="s">
        <v>119</v>
      </c>
      <c r="C192" s="799">
        <f t="shared" si="34"/>
        <v>27572480.093833879</v>
      </c>
      <c r="D192" s="781"/>
      <c r="E192" s="799">
        <f>INDEX('Venture Summary - Mthly'!$E162:$EG162,MATCH(E$9,'Venture Summary - Mthly'!$E$8:$EG$8,0))</f>
        <v>0</v>
      </c>
      <c r="F192" s="799">
        <f>INDEX('Venture Summary - Mthly'!$E162:$EG162,MATCH(F$9,'Venture Summary - Mthly'!$E$8:$EG$8,0))</f>
        <v>0</v>
      </c>
      <c r="G192" s="799">
        <f>INDEX('Venture Summary - Mthly'!$E162:$EG162,MATCH(G$9,'Venture Summary - Mthly'!$E$8:$EG$8,0))</f>
        <v>0</v>
      </c>
      <c r="H192" s="799">
        <f>INDEX('Venture Summary - Mthly'!$E162:$EG162,MATCH(H$9,'Venture Summary - Mthly'!$E$8:$EG$8,0))</f>
        <v>0</v>
      </c>
      <c r="I192" s="799">
        <f>INDEX('Venture Summary - Mthly'!$E162:$EG162,MATCH(I$9,'Venture Summary - Mthly'!$E$8:$EG$8,0))</f>
        <v>0</v>
      </c>
      <c r="J192" s="799">
        <f>INDEX('Venture Summary - Mthly'!$E162:$EG162,MATCH(J$9,'Venture Summary - Mthly'!$E$8:$EG$8,0))</f>
        <v>0</v>
      </c>
      <c r="K192" s="799">
        <f>INDEX('Venture Summary - Mthly'!$E162:$EG162,MATCH(K$9,'Venture Summary - Mthly'!$E$8:$EG$8,0))</f>
        <v>44789.741448419154</v>
      </c>
      <c r="L192" s="799">
        <f>INDEX('Venture Summary - Mthly'!$E162:$EG162,MATCH(L$9,'Venture Summary - Mthly'!$E$8:$EG$8,0))</f>
        <v>164671.35556270971</v>
      </c>
      <c r="M192" s="799">
        <f>INDEX('Venture Summary - Mthly'!$E162:$EG162,MATCH(M$9,'Venture Summary - Mthly'!$E$8:$EG$8,0))</f>
        <v>308743.72788345348</v>
      </c>
      <c r="N192" s="799">
        <f>INDEX('Venture Summary - Mthly'!$E162:$EG162,MATCH(N$9,'Venture Summary - Mthly'!$E$8:$EG$8,0))</f>
        <v>469772.77697801485</v>
      </c>
      <c r="O192" s="799">
        <f>INDEX('Venture Summary - Mthly'!$E162:$EG162,MATCH(O$9,'Venture Summary - Mthly'!$E$8:$EG$8,0))</f>
        <v>635273.24064903962</v>
      </c>
      <c r="P192" s="799">
        <f>INDEX('Venture Summary - Mthly'!$E162:$EG162,MATCH(P$9,'Venture Summary - Mthly'!$E$8:$EG$8,0))</f>
        <v>642191.52807245043</v>
      </c>
      <c r="Q192" s="799">
        <f>INDEX('Venture Summary - Mthly'!$E162:$EG162,MATCH(Q$9,'Venture Summary - Mthly'!$E$8:$EG$8,0))</f>
        <v>650804.77489989228</v>
      </c>
      <c r="R192" s="799">
        <f>INDEX('Venture Summary - Mthly'!$E162:$EG162,MATCH(R$9,'Venture Summary - Mthly'!$E$8:$EG$8,0))</f>
        <v>658452.97367749491</v>
      </c>
      <c r="S192" s="799">
        <f>INDEX('Venture Summary - Mthly'!$E162:$EG162,MATCH(S$9,'Venture Summary - Mthly'!$E$8:$EG$8,0))</f>
        <v>667290.50114044489</v>
      </c>
      <c r="T192" s="799">
        <f>INDEX('Venture Summary - Mthly'!$E162:$EG162,MATCH(T$9,'Venture Summary - Mthly'!$E$8:$EG$8,0))</f>
        <v>673721.28505326726</v>
      </c>
      <c r="U192" s="799">
        <f>INDEX('Venture Summary - Mthly'!$E162:$EG162,MATCH(U$9,'Venture Summary - Mthly'!$E$8:$EG$8,0))</f>
        <v>681156.84132555104</v>
      </c>
      <c r="V192" s="799">
        <f>INDEX('Venture Summary - Mthly'!$E162:$EG162,MATCH(V$9,'Venture Summary - Mthly'!$E$8:$EG$8,0))</f>
        <v>687208.44951515831</v>
      </c>
      <c r="W192" s="799">
        <f>INDEX('Venture Summary - Mthly'!$E162:$EG162,MATCH(W$9,'Venture Summary - Mthly'!$E$8:$EG$8,0))</f>
        <v>693615.2234646033</v>
      </c>
      <c r="X192" s="799">
        <f>INDEX('Venture Summary - Mthly'!$E162:$EG162,MATCH(X$9,'Venture Summary - Mthly'!$E$8:$EG$8,0))</f>
        <v>698564.06111682858</v>
      </c>
      <c r="Y192" s="799">
        <f>INDEX('Venture Summary - Mthly'!$E162:$EG162,MATCH(Y$9,'Venture Summary - Mthly'!$E$8:$EG$8,0))</f>
        <v>705143.08355309663</v>
      </c>
      <c r="Z192" s="799">
        <f>INDEX('Venture Summary - Mthly'!$E162:$EG162,MATCH(Z$9,'Venture Summary - Mthly'!$E$8:$EG$8,0))</f>
        <v>711506.29243674176</v>
      </c>
      <c r="AA192" s="799">
        <f>INDEX('Venture Summary - Mthly'!$E162:$EG162,MATCH(AA$9,'Venture Summary - Mthly'!$E$8:$EG$8,0))</f>
        <v>719320.86091346561</v>
      </c>
      <c r="AB192" s="799">
        <f>INDEX('Venture Summary - Mthly'!$E162:$EG162,MATCH(AB$9,'Venture Summary - Mthly'!$E$8:$EG$8,0))</f>
        <v>725439.80189629027</v>
      </c>
      <c r="AC192" s="799">
        <f>INDEX('Venture Summary - Mthly'!$E162:$EG162,MATCH(AC$9,'Venture Summary - Mthly'!$E$8:$EG$8,0))</f>
        <v>733168.89568763215</v>
      </c>
      <c r="AD192" s="799">
        <f>INDEX('Venture Summary - Mthly'!$E162:$EG162,MATCH(AD$9,'Venture Summary - Mthly'!$E$8:$EG$8,0))</f>
        <v>740204.17780408775</v>
      </c>
      <c r="AE192" s="799">
        <f>INDEX('Venture Summary - Mthly'!$E162:$EG162,MATCH(AE$9,'Venture Summary - Mthly'!$E$8:$EG$8,0))</f>
        <v>748466.97774231934</v>
      </c>
      <c r="AF192" s="799">
        <f>INDEX('Venture Summary - Mthly'!$E162:$EG162,MATCH(AF$9,'Venture Summary - Mthly'!$E$8:$EG$8,0))</f>
        <v>754835.22368203895</v>
      </c>
      <c r="AG192" s="799">
        <f>INDEX('Venture Summary - Mthly'!$E162:$EG162,MATCH(AG$9,'Venture Summary - Mthly'!$E$8:$EG$8,0))</f>
        <v>762881.61366895633</v>
      </c>
      <c r="AH192" s="799">
        <f>INDEX('Venture Summary - Mthly'!$E162:$EG162,MATCH(AH$9,'Venture Summary - Mthly'!$E$8:$EG$8,0))</f>
        <v>770204.79504769284</v>
      </c>
      <c r="AI192" s="799">
        <f>INDEX('Venture Summary - Mthly'!$E162:$EG162,MATCH(AI$9,'Venture Summary - Mthly'!$E$8:$EG$8,0))</f>
        <v>778807.3106274032</v>
      </c>
      <c r="AJ192" s="799">
        <f>INDEX('Venture Summary - Mthly'!$E162:$EG162,MATCH(AJ$9,'Venture Summary - Mthly'!$E$8:$EG$8,0))</f>
        <v>785435.11933792627</v>
      </c>
      <c r="AK192" s="799">
        <f>INDEX('Venture Summary - Mthly'!$E162:$EG162,MATCH(AK$9,'Venture Summary - Mthly'!$E$8:$EG$8,0))</f>
        <v>793811.93521850475</v>
      </c>
      <c r="AL192" s="799">
        <f>INDEX('Venture Summary - Mthly'!$E162:$EG162,MATCH(AL$9,'Venture Summary - Mthly'!$E$8:$EG$8,0))</f>
        <v>801434.90086725261</v>
      </c>
      <c r="AM192" s="799">
        <f>INDEX('Venture Summary - Mthly'!$E162:$EG162,MATCH(AM$9,'Venture Summary - Mthly'!$E$8:$EG$8,0))</f>
        <v>810391.20524455723</v>
      </c>
      <c r="AN192" s="799">
        <f>INDEX('Venture Summary - Mthly'!$E162:$EG162,MATCH(AN$9,'Venture Summary - Mthly'!$E$8:$EG$8,0))</f>
        <v>817289.25972727779</v>
      </c>
      <c r="AO192" s="799">
        <f>INDEX('Venture Summary - Mthly'!$E162:$EG162,MATCH(AO$9,'Venture Summary - Mthly'!$E$8:$EG$8,0))</f>
        <v>826010.1777181353</v>
      </c>
      <c r="AP192" s="799">
        <f>INDEX('Venture Summary - Mthly'!$E162:$EG162,MATCH(AP$9,'Venture Summary - Mthly'!$E$8:$EG$8,0))</f>
        <v>833945.30648778158</v>
      </c>
      <c r="AQ192" s="799">
        <f>INDEX('Venture Summary - Mthly'!$E162:$EG162,MATCH(AQ$9,'Venture Summary - Mthly'!$E$8:$EG$8,0))</f>
        <v>843270.05909083306</v>
      </c>
      <c r="AR192" s="799">
        <f>INDEX('Venture Summary - Mthly'!$E162:$EG162,MATCH(AR$9,'Venture Summary - Mthly'!$E$8:$EG$8,0))</f>
        <v>850449.48525494861</v>
      </c>
      <c r="AS192" s="799">
        <f>INDEX('Venture Summary - Mthly'!$E162:$EG162,MATCH(AS$9,'Venture Summary - Mthly'!$E$8:$EG$8,0))</f>
        <v>859528.75093829888</v>
      </c>
      <c r="AT192" s="799">
        <f>INDEX('Venture Summary - Mthly'!$E162:$EG162,MATCH(AT$9,'Venture Summary - Mthly'!$E$8:$EG$8,0))</f>
        <v>867788.93614149897</v>
      </c>
      <c r="AU192" s="799">
        <f>INDEX('Venture Summary - Mthly'!$E162:$EG162,MATCH(AU$9,'Venture Summary - Mthly'!$E$8:$EG$8,0))</f>
        <v>877497.40719413129</v>
      </c>
      <c r="AV192" s="799">
        <f>INDEX('Venture Summary - Mthly'!$E162:$EG162,MATCH(AV$9,'Venture Summary - Mthly'!$E$8:$EG$8,0))</f>
        <v>884969.79231842747</v>
      </c>
      <c r="AW192" s="799">
        <f>INDEX('Venture Summary - Mthly'!$E162:$EG162,MATCH(AW$9,'Venture Summary - Mthly'!$E$8:$EG$8,0))</f>
        <v>894422.24444725737</v>
      </c>
      <c r="AX192" s="798"/>
    </row>
    <row r="193" spans="1:50" ht="12.75" customHeight="1" x14ac:dyDescent="0.3">
      <c r="A193" s="782"/>
      <c r="B193" s="796" t="s">
        <v>120</v>
      </c>
      <c r="C193" s="813"/>
      <c r="D193" s="796"/>
      <c r="E193" s="813">
        <f>E189+E191+E192</f>
        <v>0</v>
      </c>
      <c r="F193" s="813">
        <f t="shared" ref="F193:AW193" si="35">F189+F191+F192</f>
        <v>0</v>
      </c>
      <c r="G193" s="813">
        <f t="shared" si="35"/>
        <v>0</v>
      </c>
      <c r="H193" s="813">
        <f t="shared" si="35"/>
        <v>0</v>
      </c>
      <c r="I193" s="813">
        <f t="shared" si="35"/>
        <v>0</v>
      </c>
      <c r="J193" s="813">
        <f t="shared" si="35"/>
        <v>14536688.574957717</v>
      </c>
      <c r="K193" s="813">
        <f t="shared" si="35"/>
        <v>42185640.907958306</v>
      </c>
      <c r="L193" s="813">
        <f t="shared" si="35"/>
        <v>68447106.140687451</v>
      </c>
      <c r="M193" s="813">
        <f t="shared" si="35"/>
        <v>88252483.15736869</v>
      </c>
      <c r="N193" s="813">
        <f t="shared" si="35"/>
        <v>99861848.972163513</v>
      </c>
      <c r="O193" s="813">
        <f t="shared" si="35"/>
        <v>103154748.43845385</v>
      </c>
      <c r="P193" s="813">
        <f t="shared" si="35"/>
        <v>104470014.31977044</v>
      </c>
      <c r="Q193" s="813">
        <f t="shared" si="35"/>
        <v>105756474.57246122</v>
      </c>
      <c r="R193" s="813">
        <f t="shared" si="35"/>
        <v>106960890.61143203</v>
      </c>
      <c r="S193" s="813">
        <f t="shared" si="35"/>
        <v>108069637.36000542</v>
      </c>
      <c r="T193" s="813">
        <f t="shared" si="35"/>
        <v>109135703.8564724</v>
      </c>
      <c r="U193" s="813">
        <f t="shared" si="35"/>
        <v>110140345.80871505</v>
      </c>
      <c r="V193" s="813">
        <f t="shared" si="35"/>
        <v>111140945.79052359</v>
      </c>
      <c r="W193" s="813">
        <f t="shared" si="35"/>
        <v>112197655.27566572</v>
      </c>
      <c r="X193" s="813">
        <f t="shared" si="35"/>
        <v>113305315.30442569</v>
      </c>
      <c r="Y193" s="813">
        <f t="shared" si="35"/>
        <v>114479455.57805374</v>
      </c>
      <c r="Z193" s="813">
        <f t="shared" si="35"/>
        <v>115698529.04938196</v>
      </c>
      <c r="AA193" s="813">
        <f t="shared" si="35"/>
        <v>116943325.88094355</v>
      </c>
      <c r="AB193" s="813">
        <f t="shared" si="35"/>
        <v>118193431.85539515</v>
      </c>
      <c r="AC193" s="813">
        <f t="shared" si="35"/>
        <v>119461300.62188849</v>
      </c>
      <c r="AD193" s="813">
        <f t="shared" si="35"/>
        <v>120744812.64781113</v>
      </c>
      <c r="AE193" s="813">
        <f t="shared" si="35"/>
        <v>122043841.41811514</v>
      </c>
      <c r="AF193" s="813">
        <f t="shared" si="35"/>
        <v>123347613.43012066</v>
      </c>
      <c r="AG193" s="813">
        <f t="shared" si="35"/>
        <v>124669884.09226738</v>
      </c>
      <c r="AH193" s="813">
        <f t="shared" si="35"/>
        <v>126008444.16912729</v>
      </c>
      <c r="AI193" s="813">
        <f t="shared" si="35"/>
        <v>127363176.59961972</v>
      </c>
      <c r="AJ193" s="813">
        <f t="shared" si="35"/>
        <v>128722867.29028951</v>
      </c>
      <c r="AK193" s="813">
        <f t="shared" si="35"/>
        <v>130101823.14458704</v>
      </c>
      <c r="AL193" s="813">
        <f t="shared" si="35"/>
        <v>131497741.42923614</v>
      </c>
      <c r="AM193" s="813">
        <f t="shared" si="35"/>
        <v>132910513.99179545</v>
      </c>
      <c r="AN193" s="813">
        <f t="shared" si="35"/>
        <v>134328466.57947028</v>
      </c>
      <c r="AO193" s="813">
        <f t="shared" si="35"/>
        <v>135766482.78196642</v>
      </c>
      <c r="AP193" s="813">
        <f t="shared" si="35"/>
        <v>137222162.41261214</v>
      </c>
      <c r="AQ193" s="813">
        <f t="shared" si="35"/>
        <v>138695405.49073026</v>
      </c>
      <c r="AR193" s="813">
        <f t="shared" si="35"/>
        <v>140174057.0399695</v>
      </c>
      <c r="AS193" s="813">
        <f t="shared" si="35"/>
        <v>141673603.92904925</v>
      </c>
      <c r="AT193" s="813">
        <f t="shared" si="35"/>
        <v>867788.93614149897</v>
      </c>
      <c r="AU193" s="813">
        <f t="shared" si="35"/>
        <v>877497.40719413129</v>
      </c>
      <c r="AV193" s="813">
        <f t="shared" si="35"/>
        <v>884969.79231842747</v>
      </c>
      <c r="AW193" s="813">
        <f t="shared" si="35"/>
        <v>894422.24444725737</v>
      </c>
      <c r="AX193" s="813"/>
    </row>
    <row r="194" spans="1:50" ht="12.75" customHeight="1" x14ac:dyDescent="0.3">
      <c r="A194" s="782"/>
      <c r="B194" s="781" t="s">
        <v>121</v>
      </c>
      <c r="C194" s="799"/>
      <c r="D194" s="781"/>
      <c r="E194" s="799">
        <f>-E170-E178</f>
        <v>0</v>
      </c>
      <c r="F194" s="799">
        <f t="shared" ref="F194:AW194" si="36">-F170-F178</f>
        <v>0</v>
      </c>
      <c r="G194" s="799">
        <f t="shared" si="36"/>
        <v>0</v>
      </c>
      <c r="H194" s="799">
        <f t="shared" si="36"/>
        <v>0</v>
      </c>
      <c r="I194" s="799">
        <f t="shared" si="36"/>
        <v>-9733199.8629999999</v>
      </c>
      <c r="J194" s="799">
        <f t="shared" si="36"/>
        <v>-21329502.299999997</v>
      </c>
      <c r="K194" s="799">
        <f t="shared" si="36"/>
        <v>-30955999.097999997</v>
      </c>
      <c r="L194" s="799">
        <f t="shared" si="36"/>
        <v>-38271070.437999994</v>
      </c>
      <c r="M194" s="799">
        <f t="shared" si="36"/>
        <v>-42200089.102999993</v>
      </c>
      <c r="N194" s="799">
        <f t="shared" si="36"/>
        <v>-42877793.386999995</v>
      </c>
      <c r="O194" s="799">
        <f t="shared" si="36"/>
        <v>-42877793.386999995</v>
      </c>
      <c r="P194" s="799">
        <f t="shared" si="36"/>
        <v>-57343611.907627545</v>
      </c>
      <c r="Q194" s="799">
        <f t="shared" si="36"/>
        <v>-57343611.907627545</v>
      </c>
      <c r="R194" s="799">
        <f t="shared" si="36"/>
        <v>-57343611.907627545</v>
      </c>
      <c r="S194" s="799">
        <f t="shared" si="36"/>
        <v>-57343611.907627545</v>
      </c>
      <c r="T194" s="799">
        <f t="shared" si="36"/>
        <v>-57343611.907627545</v>
      </c>
      <c r="U194" s="799">
        <f t="shared" si="36"/>
        <v>-57343611.907627545</v>
      </c>
      <c r="V194" s="799">
        <f t="shared" si="36"/>
        <v>-57343611.907627545</v>
      </c>
      <c r="W194" s="799">
        <f t="shared" si="36"/>
        <v>-57343611.907627545</v>
      </c>
      <c r="X194" s="799">
        <f t="shared" si="36"/>
        <v>-57343611.907627545</v>
      </c>
      <c r="Y194" s="799">
        <f t="shared" si="36"/>
        <v>-57343611.907627545</v>
      </c>
      <c r="Z194" s="799">
        <f t="shared" si="36"/>
        <v>-57343611.907627545</v>
      </c>
      <c r="AA194" s="799">
        <f t="shared" si="36"/>
        <v>-57343611.907627545</v>
      </c>
      <c r="AB194" s="799">
        <f t="shared" si="36"/>
        <v>-57343611.907627545</v>
      </c>
      <c r="AC194" s="799">
        <f t="shared" si="36"/>
        <v>-57343611.907627545</v>
      </c>
      <c r="AD194" s="799">
        <f t="shared" si="36"/>
        <v>-57343611.907627545</v>
      </c>
      <c r="AE194" s="799">
        <f t="shared" si="36"/>
        <v>-57343611.907627545</v>
      </c>
      <c r="AF194" s="799">
        <f t="shared" si="36"/>
        <v>-57343611.907627545</v>
      </c>
      <c r="AG194" s="799">
        <f t="shared" si="36"/>
        <v>-57343611.907627545</v>
      </c>
      <c r="AH194" s="799">
        <f t="shared" si="36"/>
        <v>-57343611.907627545</v>
      </c>
      <c r="AI194" s="799">
        <f t="shared" si="36"/>
        <v>-57343611.907627545</v>
      </c>
      <c r="AJ194" s="799">
        <f t="shared" si="36"/>
        <v>-57343611.907627545</v>
      </c>
      <c r="AK194" s="799">
        <f t="shared" si="36"/>
        <v>-57343611.907627545</v>
      </c>
      <c r="AL194" s="799">
        <f t="shared" si="36"/>
        <v>-57343611.907627545</v>
      </c>
      <c r="AM194" s="799">
        <f t="shared" si="36"/>
        <v>-57343611.907627545</v>
      </c>
      <c r="AN194" s="799">
        <f t="shared" si="36"/>
        <v>-57343611.907627545</v>
      </c>
      <c r="AO194" s="799">
        <f t="shared" si="36"/>
        <v>-57343611.907627545</v>
      </c>
      <c r="AP194" s="799">
        <f t="shared" si="36"/>
        <v>-57343611.907627545</v>
      </c>
      <c r="AQ194" s="799">
        <f t="shared" si="36"/>
        <v>-57343611.907627545</v>
      </c>
      <c r="AR194" s="799">
        <f t="shared" si="36"/>
        <v>-57343611.907627545</v>
      </c>
      <c r="AS194" s="799">
        <f t="shared" si="36"/>
        <v>-57343611.907627545</v>
      </c>
      <c r="AT194" s="799">
        <f t="shared" si="36"/>
        <v>-57343611.907627545</v>
      </c>
      <c r="AU194" s="799">
        <f t="shared" si="36"/>
        <v>-57343611.907627545</v>
      </c>
      <c r="AV194" s="799">
        <f t="shared" si="36"/>
        <v>-57343611.907627545</v>
      </c>
      <c r="AW194" s="799">
        <f t="shared" si="36"/>
        <v>-57343611.907627545</v>
      </c>
      <c r="AX194" s="798"/>
    </row>
    <row r="195" spans="1:50" ht="12.75" customHeight="1" x14ac:dyDescent="0.3">
      <c r="A195" s="782"/>
      <c r="B195" s="796" t="s">
        <v>122</v>
      </c>
      <c r="C195" s="813"/>
      <c r="D195" s="796"/>
      <c r="E195" s="813">
        <f>E193+E194</f>
        <v>0</v>
      </c>
      <c r="F195" s="813">
        <f t="shared" ref="F195:AW195" si="37">F193+F194</f>
        <v>0</v>
      </c>
      <c r="G195" s="813">
        <f t="shared" si="37"/>
        <v>0</v>
      </c>
      <c r="H195" s="813">
        <f t="shared" si="37"/>
        <v>0</v>
      </c>
      <c r="I195" s="813">
        <f t="shared" si="37"/>
        <v>-9733199.8629999999</v>
      </c>
      <c r="J195" s="813">
        <f t="shared" si="37"/>
        <v>-6792813.7250422798</v>
      </c>
      <c r="K195" s="813">
        <f t="shared" si="37"/>
        <v>11229641.809958309</v>
      </c>
      <c r="L195" s="813">
        <f t="shared" si="37"/>
        <v>30176035.702687457</v>
      </c>
      <c r="M195" s="813">
        <f t="shared" si="37"/>
        <v>46052394.054368697</v>
      </c>
      <c r="N195" s="813">
        <f t="shared" si="37"/>
        <v>56984055.585163519</v>
      </c>
      <c r="O195" s="813">
        <f t="shared" si="37"/>
        <v>60276955.051453859</v>
      </c>
      <c r="P195" s="813">
        <f t="shared" si="37"/>
        <v>47126402.412142895</v>
      </c>
      <c r="Q195" s="813">
        <f t="shared" si="37"/>
        <v>48412862.664833672</v>
      </c>
      <c r="R195" s="813">
        <f t="shared" si="37"/>
        <v>49617278.703804485</v>
      </c>
      <c r="S195" s="813">
        <f t="shared" si="37"/>
        <v>50726025.452377878</v>
      </c>
      <c r="T195" s="813">
        <f t="shared" si="37"/>
        <v>51792091.948844858</v>
      </c>
      <c r="U195" s="813">
        <f t="shared" si="37"/>
        <v>52796733.9010875</v>
      </c>
      <c r="V195" s="813">
        <f t="shared" si="37"/>
        <v>53797333.882896043</v>
      </c>
      <c r="W195" s="813">
        <f t="shared" si="37"/>
        <v>54854043.36803817</v>
      </c>
      <c r="X195" s="813">
        <f t="shared" si="37"/>
        <v>55961703.396798141</v>
      </c>
      <c r="Y195" s="813">
        <f t="shared" si="37"/>
        <v>57135843.670426197</v>
      </c>
      <c r="Z195" s="813">
        <f t="shared" si="37"/>
        <v>58354917.141754411</v>
      </c>
      <c r="AA195" s="813">
        <f t="shared" si="37"/>
        <v>59599713.973316006</v>
      </c>
      <c r="AB195" s="813">
        <f t="shared" si="37"/>
        <v>60849819.947767608</v>
      </c>
      <c r="AC195" s="813">
        <f t="shared" si="37"/>
        <v>62117688.714260943</v>
      </c>
      <c r="AD195" s="813">
        <f t="shared" si="37"/>
        <v>63401200.740183584</v>
      </c>
      <c r="AE195" s="813">
        <f t="shared" si="37"/>
        <v>64700229.510487594</v>
      </c>
      <c r="AF195" s="813">
        <f t="shared" si="37"/>
        <v>66004001.522493117</v>
      </c>
      <c r="AG195" s="813">
        <f t="shared" si="37"/>
        <v>67326272.184639841</v>
      </c>
      <c r="AH195" s="813">
        <f t="shared" si="37"/>
        <v>68664832.261499733</v>
      </c>
      <c r="AI195" s="813">
        <f t="shared" si="37"/>
        <v>70019564.691992164</v>
      </c>
      <c r="AJ195" s="813">
        <f t="shared" si="37"/>
        <v>71379255.382661968</v>
      </c>
      <c r="AK195" s="813">
        <f t="shared" si="37"/>
        <v>72758211.236959487</v>
      </c>
      <c r="AL195" s="813">
        <f t="shared" si="37"/>
        <v>74154129.521608591</v>
      </c>
      <c r="AM195" s="813">
        <f t="shared" si="37"/>
        <v>75566902.084167898</v>
      </c>
      <c r="AN195" s="813">
        <f t="shared" si="37"/>
        <v>76984854.671842724</v>
      </c>
      <c r="AO195" s="813">
        <f t="shared" si="37"/>
        <v>78422870.874338865</v>
      </c>
      <c r="AP195" s="813">
        <f t="shared" si="37"/>
        <v>79878550.504984587</v>
      </c>
      <c r="AQ195" s="813">
        <f t="shared" si="37"/>
        <v>81351793.583102703</v>
      </c>
      <c r="AR195" s="813">
        <f t="shared" si="37"/>
        <v>82830445.132341951</v>
      </c>
      <c r="AS195" s="813">
        <f t="shared" si="37"/>
        <v>84329992.021421701</v>
      </c>
      <c r="AT195" s="813">
        <f t="shared" si="37"/>
        <v>-56475822.971486047</v>
      </c>
      <c r="AU195" s="813">
        <f t="shared" si="37"/>
        <v>-56466114.500433415</v>
      </c>
      <c r="AV195" s="813">
        <f t="shared" si="37"/>
        <v>-56458642.115309119</v>
      </c>
      <c r="AW195" s="813">
        <f t="shared" si="37"/>
        <v>-56449189.663180292</v>
      </c>
      <c r="AX195" s="813"/>
    </row>
    <row r="196" spans="1:50" ht="12.75" customHeight="1" x14ac:dyDescent="0.3">
      <c r="A196" s="782"/>
      <c r="B196" s="782" t="s">
        <v>123</v>
      </c>
      <c r="C196" s="798"/>
      <c r="D196" s="782"/>
      <c r="E196" s="798">
        <f>SUM(E189,E191)*-'General Inputs'!$H$50</f>
        <v>0</v>
      </c>
      <c r="F196" s="798">
        <f>SUM(F189,F191)*-'General Inputs'!$H$50</f>
        <v>0</v>
      </c>
      <c r="G196" s="798">
        <f>SUM(G189,G191)*-'General Inputs'!$H$50</f>
        <v>0</v>
      </c>
      <c r="H196" s="798">
        <f>SUM(H189,H191)*-'General Inputs'!$H$50</f>
        <v>0</v>
      </c>
      <c r="I196" s="798">
        <f>SUM(I189,I191)*-'General Inputs'!$H$50</f>
        <v>0</v>
      </c>
      <c r="J196" s="798">
        <f>SUM(J189,J191)*-'General Inputs'!$H$50</f>
        <v>0</v>
      </c>
      <c r="K196" s="798">
        <f>SUM(K189,K191)*-'General Inputs'!$H$50</f>
        <v>0</v>
      </c>
      <c r="L196" s="798">
        <f>SUM(L189,L191)*-'General Inputs'!$H$50</f>
        <v>0</v>
      </c>
      <c r="M196" s="798">
        <f>SUM(M189,M191)*-'General Inputs'!$H$50</f>
        <v>0</v>
      </c>
      <c r="N196" s="798">
        <f>SUM(N189,N191)*-'General Inputs'!$H$50</f>
        <v>0</v>
      </c>
      <c r="O196" s="798">
        <f>SUM(O189,O191)*-'General Inputs'!$H$50</f>
        <v>0</v>
      </c>
      <c r="P196" s="798">
        <f>SUM(P189,P191)*-'General Inputs'!$H$50</f>
        <v>0</v>
      </c>
      <c r="Q196" s="798">
        <f>SUM(Q189,Q191)*-'General Inputs'!$H$50</f>
        <v>0</v>
      </c>
      <c r="R196" s="798">
        <f>SUM(R189,R191)*-'General Inputs'!$H$50</f>
        <v>0</v>
      </c>
      <c r="S196" s="798">
        <f>SUM(S189,S191)*-'General Inputs'!$H$50</f>
        <v>0</v>
      </c>
      <c r="T196" s="798">
        <f>SUM(T189,T191)*-'General Inputs'!$H$50</f>
        <v>0</v>
      </c>
      <c r="U196" s="798">
        <f>SUM(U189,U191)*-'General Inputs'!$H$50</f>
        <v>0</v>
      </c>
      <c r="V196" s="798">
        <f>SUM(V189,V191)*-'General Inputs'!$H$50</f>
        <v>0</v>
      </c>
      <c r="W196" s="798">
        <f>SUM(W189,W191)*-'General Inputs'!$H$50</f>
        <v>0</v>
      </c>
      <c r="X196" s="798">
        <f>SUM(X189,X191)*-'General Inputs'!$H$50</f>
        <v>0</v>
      </c>
      <c r="Y196" s="798">
        <f>SUM(Y189,Y191)*-'General Inputs'!$H$50</f>
        <v>0</v>
      </c>
      <c r="Z196" s="798">
        <f>SUM(Z189,Z191)*-'General Inputs'!$H$50</f>
        <v>0</v>
      </c>
      <c r="AA196" s="798">
        <f>SUM(AA189,AA191)*-'General Inputs'!$H$50</f>
        <v>0</v>
      </c>
      <c r="AB196" s="798">
        <f>SUM(AB189,AB191)*-'General Inputs'!$H$50</f>
        <v>0</v>
      </c>
      <c r="AC196" s="798">
        <f>SUM(AC189,AC191)*-'General Inputs'!$H$50</f>
        <v>0</v>
      </c>
      <c r="AD196" s="798">
        <f>SUM(AD189,AD191)*-'General Inputs'!$H$50</f>
        <v>0</v>
      </c>
      <c r="AE196" s="798">
        <f>SUM(AE189,AE191)*-'General Inputs'!$H$50</f>
        <v>0</v>
      </c>
      <c r="AF196" s="798">
        <f>SUM(AF189,AF191)*-'General Inputs'!$H$50</f>
        <v>0</v>
      </c>
      <c r="AG196" s="798">
        <f>SUM(AG189,AG191)*-'General Inputs'!$H$50</f>
        <v>0</v>
      </c>
      <c r="AH196" s="798">
        <f>SUM(AH189,AH191)*-'General Inputs'!$H$50</f>
        <v>0</v>
      </c>
      <c r="AI196" s="798">
        <f>SUM(AI189,AI191)*-'General Inputs'!$H$50</f>
        <v>0</v>
      </c>
      <c r="AJ196" s="798">
        <f>SUM(AJ189,AJ191)*-'General Inputs'!$H$50</f>
        <v>0</v>
      </c>
      <c r="AK196" s="798">
        <f>SUM(AK189,AK191)*-'General Inputs'!$H$50</f>
        <v>0</v>
      </c>
      <c r="AL196" s="798">
        <f>SUM(AL189,AL191)*-'General Inputs'!$H$50</f>
        <v>0</v>
      </c>
      <c r="AM196" s="798">
        <f>SUM(AM189,AM191)*-'General Inputs'!$H$50</f>
        <v>0</v>
      </c>
      <c r="AN196" s="798">
        <f>SUM(AN189,AN191)*-'General Inputs'!$H$50</f>
        <v>0</v>
      </c>
      <c r="AO196" s="798">
        <f>SUM(AO189,AO191)*-'General Inputs'!$H$50</f>
        <v>0</v>
      </c>
      <c r="AP196" s="798">
        <f>SUM(AP189,AP191)*-'General Inputs'!$H$50</f>
        <v>0</v>
      </c>
      <c r="AQ196" s="798">
        <f>SUM(AQ189,AQ191)*-'General Inputs'!$H$50</f>
        <v>0</v>
      </c>
      <c r="AR196" s="798">
        <f>SUM(AR189,AR191)*-'General Inputs'!$H$50</f>
        <v>0</v>
      </c>
      <c r="AS196" s="798">
        <f>SUM(AS189,AS191)*-'General Inputs'!$H$50</f>
        <v>0</v>
      </c>
      <c r="AT196" s="798">
        <f>SUM(AT189,AT191)*-'General Inputs'!$H$50</f>
        <v>0</v>
      </c>
      <c r="AU196" s="798">
        <f>SUM(AU189,AU191)*-'General Inputs'!$H$50</f>
        <v>0</v>
      </c>
      <c r="AV196" s="798">
        <f>SUM(AV189,AV191)*-'General Inputs'!$H$50</f>
        <v>0</v>
      </c>
      <c r="AW196" s="798">
        <f>SUM(AW189,AW191)*-'General Inputs'!$H$50</f>
        <v>0</v>
      </c>
      <c r="AX196" s="798"/>
    </row>
    <row r="197" spans="1:50" ht="12.75" customHeight="1" x14ac:dyDescent="0.3">
      <c r="A197" s="782"/>
      <c r="B197" s="782" t="s">
        <v>124</v>
      </c>
      <c r="C197" s="798"/>
      <c r="D197" s="782"/>
      <c r="E197" s="798">
        <f>SUM(E189,E191)*-'General Inputs'!$H$51</f>
        <v>0</v>
      </c>
      <c r="F197" s="798">
        <f>SUM(F189,F191)*-'General Inputs'!$H$51</f>
        <v>0</v>
      </c>
      <c r="G197" s="798">
        <f>SUM(G189,G191)*-'General Inputs'!$H$51</f>
        <v>0</v>
      </c>
      <c r="H197" s="798">
        <f>SUM(H189,H191)*-'General Inputs'!$H$51</f>
        <v>0</v>
      </c>
      <c r="I197" s="798">
        <f>SUM(I189,I191)*-'General Inputs'!$H$51</f>
        <v>0</v>
      </c>
      <c r="J197" s="798">
        <f>SUM(J189,J191)*-'General Inputs'!$H$51</f>
        <v>-14536.688574957718</v>
      </c>
      <c r="K197" s="798">
        <f>SUM(K189,K191)*-'General Inputs'!$H$51</f>
        <v>-42140.851166509892</v>
      </c>
      <c r="L197" s="798">
        <f>SUM(L189,L191)*-'General Inputs'!$H$51</f>
        <v>-68282.434785124729</v>
      </c>
      <c r="M197" s="798">
        <f>SUM(M189,M191)*-'General Inputs'!$H$51</f>
        <v>-87943.739429485227</v>
      </c>
      <c r="N197" s="798">
        <f>SUM(N189,N191)*-'General Inputs'!$H$51</f>
        <v>-99392.076195185495</v>
      </c>
      <c r="O197" s="798">
        <f>SUM(O189,O191)*-'General Inputs'!$H$51</f>
        <v>-102519.47519780482</v>
      </c>
      <c r="P197" s="798">
        <f>SUM(P189,P191)*-'General Inputs'!$H$51</f>
        <v>-103827.822791698</v>
      </c>
      <c r="Q197" s="798">
        <f>SUM(Q189,Q191)*-'General Inputs'!$H$51</f>
        <v>-105105.66979756134</v>
      </c>
      <c r="R197" s="798">
        <f>SUM(R189,R191)*-'General Inputs'!$H$51</f>
        <v>-106302.43763775453</v>
      </c>
      <c r="S197" s="798">
        <f>SUM(S189,S191)*-'General Inputs'!$H$51</f>
        <v>-107402.34685886498</v>
      </c>
      <c r="T197" s="798">
        <f>SUM(T189,T191)*-'General Inputs'!$H$51</f>
        <v>-108461.98257141914</v>
      </c>
      <c r="U197" s="798">
        <f>SUM(U189,U191)*-'General Inputs'!$H$51</f>
        <v>-109459.18896738949</v>
      </c>
      <c r="V197" s="798">
        <f>SUM(V189,V191)*-'General Inputs'!$H$51</f>
        <v>-110453.73734100843</v>
      </c>
      <c r="W197" s="798">
        <f>SUM(W189,W191)*-'General Inputs'!$H$51</f>
        <v>-111504.0400522011</v>
      </c>
      <c r="X197" s="798">
        <f>SUM(X189,X191)*-'General Inputs'!$H$51</f>
        <v>-112606.75124330886</v>
      </c>
      <c r="Y197" s="798">
        <f>SUM(Y189,Y191)*-'General Inputs'!$H$51</f>
        <v>-113774.31249450066</v>
      </c>
      <c r="Z197" s="798">
        <f>SUM(Z189,Z191)*-'General Inputs'!$H$51</f>
        <v>-114987.02275694521</v>
      </c>
      <c r="AA197" s="798">
        <f>SUM(AA189,AA191)*-'General Inputs'!$H$51</f>
        <v>-116224.00502003009</v>
      </c>
      <c r="AB197" s="798">
        <f>SUM(AB189,AB191)*-'General Inputs'!$H$51</f>
        <v>-117467.99205349886</v>
      </c>
      <c r="AC197" s="798">
        <f>SUM(AC189,AC191)*-'General Inputs'!$H$51</f>
        <v>-118728.13172620087</v>
      </c>
      <c r="AD197" s="798">
        <f>SUM(AD189,AD191)*-'General Inputs'!$H$51</f>
        <v>-120004.60847000705</v>
      </c>
      <c r="AE197" s="798">
        <f>SUM(AE189,AE191)*-'General Inputs'!$H$51</f>
        <v>-121295.37444037283</v>
      </c>
      <c r="AF197" s="798">
        <f>SUM(AF189,AF191)*-'General Inputs'!$H$51</f>
        <v>-122592.77820643861</v>
      </c>
      <c r="AG197" s="798">
        <f>SUM(AG189,AG191)*-'General Inputs'!$H$51</f>
        <v>-123907.00247859841</v>
      </c>
      <c r="AH197" s="798">
        <f>SUM(AH189,AH191)*-'General Inputs'!$H$51</f>
        <v>-125238.2393740796</v>
      </c>
      <c r="AI197" s="798">
        <f>SUM(AI189,AI191)*-'General Inputs'!$H$51</f>
        <v>-126584.36928899231</v>
      </c>
      <c r="AJ197" s="798">
        <f>SUM(AJ189,AJ191)*-'General Inputs'!$H$51</f>
        <v>-127937.43217095158</v>
      </c>
      <c r="AK197" s="798">
        <f>SUM(AK189,AK191)*-'General Inputs'!$H$51</f>
        <v>-129308.01120936855</v>
      </c>
      <c r="AL197" s="798">
        <f>SUM(AL189,AL191)*-'General Inputs'!$H$51</f>
        <v>-130696.30652836889</v>
      </c>
      <c r="AM197" s="798">
        <f>SUM(AM189,AM191)*-'General Inputs'!$H$51</f>
        <v>-132100.1227865509</v>
      </c>
      <c r="AN197" s="798">
        <f>SUM(AN189,AN191)*-'General Inputs'!$H$51</f>
        <v>-133511.177319743</v>
      </c>
      <c r="AO197" s="798">
        <f>SUM(AO189,AO191)*-'General Inputs'!$H$51</f>
        <v>-134940.47260424829</v>
      </c>
      <c r="AP197" s="798">
        <f>SUM(AP189,AP191)*-'General Inputs'!$H$51</f>
        <v>-136388.21710612439</v>
      </c>
      <c r="AQ197" s="798">
        <f>SUM(AQ189,AQ191)*-'General Inputs'!$H$51</f>
        <v>-137852.13543163944</v>
      </c>
      <c r="AR197" s="798">
        <f>SUM(AR189,AR191)*-'General Inputs'!$H$51</f>
        <v>-139323.60755471457</v>
      </c>
      <c r="AS197" s="798">
        <f>SUM(AS189,AS191)*-'General Inputs'!$H$51</f>
        <v>-140814.07517811097</v>
      </c>
      <c r="AT197" s="798">
        <f>SUM(AT189,AT191)*-'General Inputs'!$H$51</f>
        <v>0</v>
      </c>
      <c r="AU197" s="798">
        <f>SUM(AU189,AU191)*-'General Inputs'!$H$51</f>
        <v>0</v>
      </c>
      <c r="AV197" s="798">
        <f>SUM(AV189,AV191)*-'General Inputs'!$H$51</f>
        <v>0</v>
      </c>
      <c r="AW197" s="798">
        <f>SUM(AW189,AW191)*-'General Inputs'!$H$51</f>
        <v>0</v>
      </c>
      <c r="AX197" s="798"/>
    </row>
    <row r="198" spans="1:50" ht="12.75" customHeight="1" x14ac:dyDescent="0.3">
      <c r="A198" s="782"/>
      <c r="B198" s="782" t="s">
        <v>125</v>
      </c>
      <c r="C198" s="798"/>
      <c r="D198" s="782"/>
      <c r="E198" s="798">
        <f>IF(E193=0,0,-'General Inputs'!$H$52)</f>
        <v>0</v>
      </c>
      <c r="F198" s="798">
        <f>IF(F193=0,0,-'General Inputs'!$H$52)</f>
        <v>0</v>
      </c>
      <c r="G198" s="798">
        <f>IF(G193=0,0,-'General Inputs'!$H$52)</f>
        <v>0</v>
      </c>
      <c r="H198" s="798">
        <f>IF(H193=0,0,-'General Inputs'!$H$52)</f>
        <v>0</v>
      </c>
      <c r="I198" s="798">
        <f>IF(I193=0,0,-'General Inputs'!$H$52)</f>
        <v>0</v>
      </c>
      <c r="J198" s="798">
        <f>IF(J193=0,0,-'General Inputs'!$H$52)</f>
        <v>-50000</v>
      </c>
      <c r="K198" s="798">
        <f>IF(K193=0,0,-'General Inputs'!$H$52)</f>
        <v>-50000</v>
      </c>
      <c r="L198" s="798">
        <f>IF(L193=0,0,-'General Inputs'!$H$52)</f>
        <v>-50000</v>
      </c>
      <c r="M198" s="798">
        <f>IF(M193=0,0,-'General Inputs'!$H$52)</f>
        <v>-50000</v>
      </c>
      <c r="N198" s="798">
        <f>IF(N193=0,0,-'General Inputs'!$H$52)</f>
        <v>-50000</v>
      </c>
      <c r="O198" s="798">
        <f>IF(O193=0,0,-'General Inputs'!$H$52)</f>
        <v>-50000</v>
      </c>
      <c r="P198" s="798">
        <f>IF(P193=0,0,-'General Inputs'!$H$52)</f>
        <v>-50000</v>
      </c>
      <c r="Q198" s="798">
        <f>IF(Q193=0,0,-'General Inputs'!$H$52)</f>
        <v>-50000</v>
      </c>
      <c r="R198" s="798">
        <f>IF(R193=0,0,-'General Inputs'!$H$52)</f>
        <v>-50000</v>
      </c>
      <c r="S198" s="798">
        <f>IF(S193=0,0,-'General Inputs'!$H$52)</f>
        <v>-50000</v>
      </c>
      <c r="T198" s="798">
        <f>IF(T193=0,0,-'General Inputs'!$H$52)</f>
        <v>-50000</v>
      </c>
      <c r="U198" s="798">
        <f>IF(U193=0,0,-'General Inputs'!$H$52)</f>
        <v>-50000</v>
      </c>
      <c r="V198" s="798">
        <f>IF(V193=0,0,-'General Inputs'!$H$52)</f>
        <v>-50000</v>
      </c>
      <c r="W198" s="798">
        <f>IF(W193=0,0,-'General Inputs'!$H$52)</f>
        <v>-50000</v>
      </c>
      <c r="X198" s="798">
        <f>IF(X193=0,0,-'General Inputs'!$H$52)</f>
        <v>-50000</v>
      </c>
      <c r="Y198" s="798">
        <f>IF(Y193=0,0,-'General Inputs'!$H$52)</f>
        <v>-50000</v>
      </c>
      <c r="Z198" s="798">
        <f>IF(Z193=0,0,-'General Inputs'!$H$52)</f>
        <v>-50000</v>
      </c>
      <c r="AA198" s="798">
        <f>IF(AA193=0,0,-'General Inputs'!$H$52)</f>
        <v>-50000</v>
      </c>
      <c r="AB198" s="798">
        <f>IF(AB193=0,0,-'General Inputs'!$H$52)</f>
        <v>-50000</v>
      </c>
      <c r="AC198" s="798">
        <f>IF(AC193=0,0,-'General Inputs'!$H$52)</f>
        <v>-50000</v>
      </c>
      <c r="AD198" s="798">
        <f>IF(AD193=0,0,-'General Inputs'!$H$52)</f>
        <v>-50000</v>
      </c>
      <c r="AE198" s="798">
        <f>IF(AE193=0,0,-'General Inputs'!$H$52)</f>
        <v>-50000</v>
      </c>
      <c r="AF198" s="798">
        <f>IF(AF193=0,0,-'General Inputs'!$H$52)</f>
        <v>-50000</v>
      </c>
      <c r="AG198" s="798">
        <f>IF(AG193=0,0,-'General Inputs'!$H$52)</f>
        <v>-50000</v>
      </c>
      <c r="AH198" s="798">
        <f>IF(AH193=0,0,-'General Inputs'!$H$52)</f>
        <v>-50000</v>
      </c>
      <c r="AI198" s="798">
        <f>IF(AI193=0,0,-'General Inputs'!$H$52)</f>
        <v>-50000</v>
      </c>
      <c r="AJ198" s="798">
        <f>IF(AJ193=0,0,-'General Inputs'!$H$52)</f>
        <v>-50000</v>
      </c>
      <c r="AK198" s="798">
        <f>IF(AK193=0,0,-'General Inputs'!$H$52)</f>
        <v>-50000</v>
      </c>
      <c r="AL198" s="798">
        <f>IF(AL193=0,0,-'General Inputs'!$H$52)</f>
        <v>-50000</v>
      </c>
      <c r="AM198" s="798">
        <f>IF(AM193=0,0,-'General Inputs'!$H$52)</f>
        <v>-50000</v>
      </c>
      <c r="AN198" s="798">
        <f>IF(AN193=0,0,-'General Inputs'!$H$52)</f>
        <v>-50000</v>
      </c>
      <c r="AO198" s="798">
        <f>IF(AO193=0,0,-'General Inputs'!$H$52)</f>
        <v>-50000</v>
      </c>
      <c r="AP198" s="798">
        <f>IF(AP193=0,0,-'General Inputs'!$H$52)</f>
        <v>-50000</v>
      </c>
      <c r="AQ198" s="798">
        <f>IF(AQ193=0,0,-'General Inputs'!$H$52)</f>
        <v>-50000</v>
      </c>
      <c r="AR198" s="798">
        <f>IF(AR193=0,0,-'General Inputs'!$H$52)</f>
        <v>-50000</v>
      </c>
      <c r="AS198" s="798">
        <f>IF(AS193=0,0,-'General Inputs'!$H$52)</f>
        <v>-50000</v>
      </c>
      <c r="AT198" s="798">
        <f>IF(AT193=0,0,-'General Inputs'!$H$52)</f>
        <v>-50000</v>
      </c>
      <c r="AU198" s="798">
        <f>IF(AU193=0,0,-'General Inputs'!$H$52)</f>
        <v>-50000</v>
      </c>
      <c r="AV198" s="798">
        <f>IF(AV193=0,0,-'General Inputs'!$H$52)</f>
        <v>-50000</v>
      </c>
      <c r="AW198" s="798">
        <f>IF(AW193=0,0,-'General Inputs'!$H$52)</f>
        <v>-50000</v>
      </c>
      <c r="AX198" s="798"/>
    </row>
    <row r="199" spans="1:50" ht="12.75" customHeight="1" x14ac:dyDescent="0.3">
      <c r="A199" s="782"/>
      <c r="B199" s="781" t="s">
        <v>126</v>
      </c>
      <c r="C199" s="799"/>
      <c r="D199" s="781"/>
      <c r="E199" s="799">
        <f>SUM(E189,E191)*-'General Inputs'!$H$53</f>
        <v>0</v>
      </c>
      <c r="F199" s="799">
        <f>SUM(F189,F191)*-'General Inputs'!$H$53</f>
        <v>0</v>
      </c>
      <c r="G199" s="799">
        <f>SUM(G189,G191)*-'General Inputs'!$H$53</f>
        <v>0</v>
      </c>
      <c r="H199" s="799">
        <f>SUM(H189,H191)*-'General Inputs'!$H$53</f>
        <v>0</v>
      </c>
      <c r="I199" s="799">
        <f>SUM(I189,I191)*-'General Inputs'!$H$53</f>
        <v>0</v>
      </c>
      <c r="J199" s="799">
        <f>SUM(J189,J191)*-'General Inputs'!$H$53</f>
        <v>-43610.065724873151</v>
      </c>
      <c r="K199" s="799">
        <f>SUM(K189,K191)*-'General Inputs'!$H$53</f>
        <v>-126422.55349952968</v>
      </c>
      <c r="L199" s="799">
        <f>SUM(L189,L191)*-'General Inputs'!$H$53</f>
        <v>-204847.30435537422</v>
      </c>
      <c r="M199" s="799">
        <f>SUM(M189,M191)*-'General Inputs'!$H$53</f>
        <v>-263831.21828845568</v>
      </c>
      <c r="N199" s="799">
        <f>SUM(N189,N191)*-'General Inputs'!$H$53</f>
        <v>-298176.2285855565</v>
      </c>
      <c r="O199" s="799">
        <f>SUM(O189,O191)*-'General Inputs'!$H$53</f>
        <v>-307558.42559341446</v>
      </c>
      <c r="P199" s="799">
        <f>SUM(P189,P191)*-'General Inputs'!$H$53</f>
        <v>-311483.468375094</v>
      </c>
      <c r="Q199" s="799">
        <f>SUM(Q189,Q191)*-'General Inputs'!$H$53</f>
        <v>-315317.00939268398</v>
      </c>
      <c r="R199" s="799">
        <f>SUM(R189,R191)*-'General Inputs'!$H$53</f>
        <v>-318907.31291326362</v>
      </c>
      <c r="S199" s="799">
        <f>SUM(S189,S191)*-'General Inputs'!$H$53</f>
        <v>-322207.04057659494</v>
      </c>
      <c r="T199" s="799">
        <f>SUM(T189,T191)*-'General Inputs'!$H$53</f>
        <v>-325385.9477142574</v>
      </c>
      <c r="U199" s="799">
        <f>SUM(U189,U191)*-'General Inputs'!$H$53</f>
        <v>-328377.5669021685</v>
      </c>
      <c r="V199" s="799">
        <f>SUM(V189,V191)*-'General Inputs'!$H$53</f>
        <v>-331361.21202302526</v>
      </c>
      <c r="W199" s="799">
        <f>SUM(W189,W191)*-'General Inputs'!$H$53</f>
        <v>-334512.12015660334</v>
      </c>
      <c r="X199" s="799">
        <f>SUM(X189,X191)*-'General Inputs'!$H$53</f>
        <v>-337820.2537299266</v>
      </c>
      <c r="Y199" s="799">
        <f>SUM(Y189,Y191)*-'General Inputs'!$H$53</f>
        <v>-341322.93748350197</v>
      </c>
      <c r="Z199" s="799">
        <f>SUM(Z189,Z191)*-'General Inputs'!$H$53</f>
        <v>-344961.06827083562</v>
      </c>
      <c r="AA199" s="799">
        <f>SUM(AA189,AA191)*-'General Inputs'!$H$53</f>
        <v>-348672.01506009023</v>
      </c>
      <c r="AB199" s="799">
        <f>SUM(AB189,AB191)*-'General Inputs'!$H$53</f>
        <v>-352403.97616049659</v>
      </c>
      <c r="AC199" s="799">
        <f>SUM(AC189,AC191)*-'General Inputs'!$H$53</f>
        <v>-356184.3951786026</v>
      </c>
      <c r="AD199" s="799">
        <f>SUM(AD189,AD191)*-'General Inputs'!$H$53</f>
        <v>-360013.82541002112</v>
      </c>
      <c r="AE199" s="799">
        <f>SUM(AE189,AE191)*-'General Inputs'!$H$53</f>
        <v>-363886.12332111847</v>
      </c>
      <c r="AF199" s="799">
        <f>SUM(AF189,AF191)*-'General Inputs'!$H$53</f>
        <v>-367778.33461931586</v>
      </c>
      <c r="AG199" s="799">
        <f>SUM(AG189,AG191)*-'General Inputs'!$H$53</f>
        <v>-371721.00743579527</v>
      </c>
      <c r="AH199" s="799">
        <f>SUM(AH189,AH191)*-'General Inputs'!$H$53</f>
        <v>-375714.71812223882</v>
      </c>
      <c r="AI199" s="799">
        <f>SUM(AI189,AI191)*-'General Inputs'!$H$53</f>
        <v>-379753.10786697693</v>
      </c>
      <c r="AJ199" s="799">
        <f>SUM(AJ189,AJ191)*-'General Inputs'!$H$53</f>
        <v>-383812.29651285475</v>
      </c>
      <c r="AK199" s="799">
        <f>SUM(AK189,AK191)*-'General Inputs'!$H$53</f>
        <v>-387924.03362810565</v>
      </c>
      <c r="AL199" s="799">
        <f>SUM(AL189,AL191)*-'General Inputs'!$H$53</f>
        <v>-392088.91958510666</v>
      </c>
      <c r="AM199" s="799">
        <f>SUM(AM189,AM191)*-'General Inputs'!$H$53</f>
        <v>-396300.3683596527</v>
      </c>
      <c r="AN199" s="799">
        <f>SUM(AN189,AN191)*-'General Inputs'!$H$53</f>
        <v>-400533.53195922897</v>
      </c>
      <c r="AO199" s="799">
        <f>SUM(AO189,AO191)*-'General Inputs'!$H$53</f>
        <v>-404821.41781274485</v>
      </c>
      <c r="AP199" s="799">
        <f>SUM(AP189,AP191)*-'General Inputs'!$H$53</f>
        <v>-409164.6513183731</v>
      </c>
      <c r="AQ199" s="799">
        <f>SUM(AQ189,AQ191)*-'General Inputs'!$H$53</f>
        <v>-413556.40629491833</v>
      </c>
      <c r="AR199" s="799">
        <f>SUM(AR189,AR191)*-'General Inputs'!$H$53</f>
        <v>-417970.82266414369</v>
      </c>
      <c r="AS199" s="799">
        <f>SUM(AS189,AS191)*-'General Inputs'!$H$53</f>
        <v>-422442.22553433286</v>
      </c>
      <c r="AT199" s="799">
        <f>SUM(AT189,AT191)*-'General Inputs'!$H$53</f>
        <v>0</v>
      </c>
      <c r="AU199" s="799">
        <f>SUM(AU189,AU191)*-'General Inputs'!$H$53</f>
        <v>0</v>
      </c>
      <c r="AV199" s="799">
        <f>SUM(AV189,AV191)*-'General Inputs'!$H$53</f>
        <v>0</v>
      </c>
      <c r="AW199" s="799">
        <f>SUM(AW189,AW191)*-'General Inputs'!$H$53</f>
        <v>0</v>
      </c>
      <c r="AX199" s="798"/>
    </row>
    <row r="200" spans="1:50" s="814" customFormat="1" ht="12.75" customHeight="1" x14ac:dyDescent="0.3">
      <c r="A200" s="796"/>
      <c r="B200" s="796" t="s">
        <v>127</v>
      </c>
      <c r="C200" s="813"/>
      <c r="D200" s="796"/>
      <c r="E200" s="813">
        <f>SUM(E195:E199)</f>
        <v>0</v>
      </c>
      <c r="F200" s="813">
        <f t="shared" ref="F200:AW200" si="38">SUM(F195:F199)</f>
        <v>0</v>
      </c>
      <c r="G200" s="813">
        <f t="shared" si="38"/>
        <v>0</v>
      </c>
      <c r="H200" s="813">
        <f t="shared" si="38"/>
        <v>0</v>
      </c>
      <c r="I200" s="813">
        <f t="shared" si="38"/>
        <v>-9733199.8629999999</v>
      </c>
      <c r="J200" s="813">
        <f t="shared" si="38"/>
        <v>-6900960.4793421105</v>
      </c>
      <c r="K200" s="813">
        <f t="shared" si="38"/>
        <v>11011078.405292271</v>
      </c>
      <c r="L200" s="813">
        <f t="shared" si="38"/>
        <v>29852905.963546958</v>
      </c>
      <c r="M200" s="813">
        <f t="shared" si="38"/>
        <v>45650619.096650749</v>
      </c>
      <c r="N200" s="813">
        <f t="shared" si="38"/>
        <v>56536487.280382775</v>
      </c>
      <c r="O200" s="813">
        <f t="shared" si="38"/>
        <v>59816877.150662638</v>
      </c>
      <c r="P200" s="813">
        <f t="shared" si="38"/>
        <v>46661091.120976105</v>
      </c>
      <c r="Q200" s="813">
        <f t="shared" si="38"/>
        <v>47942439.985643424</v>
      </c>
      <c r="R200" s="813">
        <f t="shared" si="38"/>
        <v>49142068.95325347</v>
      </c>
      <c r="S200" s="813">
        <f t="shared" si="38"/>
        <v>50246416.06494242</v>
      </c>
      <c r="T200" s="813">
        <f t="shared" si="38"/>
        <v>51308244.018559188</v>
      </c>
      <c r="U200" s="813">
        <f t="shared" si="38"/>
        <v>52308897.14521794</v>
      </c>
      <c r="V200" s="813">
        <f t="shared" si="38"/>
        <v>53305518.933532007</v>
      </c>
      <c r="W200" s="813">
        <f t="shared" si="38"/>
        <v>54358027.207829371</v>
      </c>
      <c r="X200" s="813">
        <f t="shared" si="38"/>
        <v>55461276.391824909</v>
      </c>
      <c r="Y200" s="813">
        <f t="shared" si="38"/>
        <v>56630746.420448191</v>
      </c>
      <c r="Z200" s="813">
        <f t="shared" si="38"/>
        <v>57844969.050726637</v>
      </c>
      <c r="AA200" s="813">
        <f t="shared" si="38"/>
        <v>59084817.953235887</v>
      </c>
      <c r="AB200" s="813">
        <f t="shared" si="38"/>
        <v>60329947.97955361</v>
      </c>
      <c r="AC200" s="813">
        <f t="shared" si="38"/>
        <v>61592776.187356144</v>
      </c>
      <c r="AD200" s="813">
        <f t="shared" si="38"/>
        <v>62871182.306303553</v>
      </c>
      <c r="AE200" s="813">
        <f t="shared" si="38"/>
        <v>64165048.012726106</v>
      </c>
      <c r="AF200" s="813">
        <f t="shared" si="38"/>
        <v>65463630.409667365</v>
      </c>
      <c r="AG200" s="813">
        <f t="shared" si="38"/>
        <v>66780644.174725443</v>
      </c>
      <c r="AH200" s="813">
        <f t="shared" si="38"/>
        <v>68113879.304003403</v>
      </c>
      <c r="AI200" s="813">
        <f t="shared" si="38"/>
        <v>69463227.214836195</v>
      </c>
      <c r="AJ200" s="813">
        <f t="shared" si="38"/>
        <v>70817505.653978154</v>
      </c>
      <c r="AK200" s="813">
        <f t="shared" si="38"/>
        <v>72190979.192122012</v>
      </c>
      <c r="AL200" s="813">
        <f t="shared" si="38"/>
        <v>73581344.295495108</v>
      </c>
      <c r="AM200" s="813">
        <f t="shared" si="38"/>
        <v>74988501.593021691</v>
      </c>
      <c r="AN200" s="813">
        <f t="shared" si="38"/>
        <v>76400809.962563738</v>
      </c>
      <c r="AO200" s="813">
        <f t="shared" si="38"/>
        <v>77833108.983921871</v>
      </c>
      <c r="AP200" s="813">
        <f t="shared" si="38"/>
        <v>79282997.636560097</v>
      </c>
      <c r="AQ200" s="813">
        <f t="shared" si="38"/>
        <v>80750385.041376159</v>
      </c>
      <c r="AR200" s="813">
        <f t="shared" si="38"/>
        <v>82223150.702123091</v>
      </c>
      <c r="AS200" s="813">
        <f t="shared" si="38"/>
        <v>83716735.720709249</v>
      </c>
      <c r="AT200" s="813">
        <f t="shared" si="38"/>
        <v>-56525822.971486047</v>
      </c>
      <c r="AU200" s="813">
        <f t="shared" si="38"/>
        <v>-56516114.500433415</v>
      </c>
      <c r="AV200" s="813">
        <f t="shared" si="38"/>
        <v>-56508642.115309119</v>
      </c>
      <c r="AW200" s="813">
        <f t="shared" si="38"/>
        <v>-56499189.663180292</v>
      </c>
      <c r="AX200" s="813"/>
    </row>
    <row r="201" spans="1:50" ht="12.75" customHeight="1" x14ac:dyDescent="0.3">
      <c r="A201" s="782"/>
      <c r="B201" s="782"/>
      <c r="C201" s="798"/>
      <c r="D201" s="782"/>
      <c r="E201" s="798"/>
      <c r="F201" s="798"/>
      <c r="G201" s="798"/>
      <c r="H201" s="798"/>
      <c r="I201" s="798"/>
      <c r="J201" s="798"/>
      <c r="K201" s="798"/>
      <c r="L201" s="798"/>
      <c r="M201" s="798"/>
      <c r="N201" s="798"/>
      <c r="O201" s="798"/>
      <c r="P201" s="798"/>
      <c r="Q201" s="798"/>
      <c r="R201" s="798"/>
      <c r="S201" s="798"/>
      <c r="T201" s="798"/>
      <c r="U201" s="798"/>
      <c r="V201" s="798"/>
      <c r="W201" s="798"/>
      <c r="X201" s="798"/>
      <c r="Y201" s="798"/>
      <c r="Z201" s="798"/>
      <c r="AA201" s="798"/>
      <c r="AB201" s="798"/>
      <c r="AC201" s="798"/>
      <c r="AD201" s="798"/>
      <c r="AE201" s="798"/>
      <c r="AF201" s="798"/>
      <c r="AG201" s="798"/>
      <c r="AH201" s="798"/>
      <c r="AI201" s="798"/>
      <c r="AJ201" s="798"/>
      <c r="AK201" s="798"/>
      <c r="AL201" s="798"/>
      <c r="AM201" s="798"/>
      <c r="AN201" s="798"/>
      <c r="AO201" s="798"/>
      <c r="AP201" s="798"/>
      <c r="AQ201" s="798"/>
      <c r="AR201" s="798"/>
      <c r="AS201" s="798"/>
      <c r="AT201" s="798"/>
      <c r="AU201" s="798"/>
      <c r="AV201" s="798"/>
      <c r="AW201" s="798"/>
      <c r="AX201" s="798"/>
    </row>
    <row r="202" spans="1:50" ht="12.75" customHeight="1" x14ac:dyDescent="0.3">
      <c r="A202" s="782"/>
      <c r="B202" s="793" t="s">
        <v>128</v>
      </c>
      <c r="C202" s="794"/>
      <c r="D202" s="794"/>
      <c r="E202" s="794"/>
      <c r="F202" s="794"/>
      <c r="G202" s="794"/>
      <c r="H202" s="794"/>
      <c r="I202" s="794"/>
      <c r="J202" s="794"/>
      <c r="K202" s="794"/>
      <c r="L202" s="794"/>
      <c r="M202" s="794"/>
      <c r="N202" s="794"/>
      <c r="O202" s="794"/>
      <c r="P202" s="794"/>
      <c r="Q202" s="794"/>
      <c r="R202" s="794"/>
      <c r="S202" s="794"/>
      <c r="T202" s="794"/>
      <c r="U202" s="794"/>
      <c r="V202" s="794"/>
      <c r="W202" s="794"/>
      <c r="X202" s="794"/>
      <c r="Y202" s="794"/>
      <c r="Z202" s="794"/>
      <c r="AA202" s="794"/>
      <c r="AB202" s="794"/>
      <c r="AC202" s="794"/>
      <c r="AD202" s="794"/>
      <c r="AE202" s="794"/>
      <c r="AF202" s="794"/>
      <c r="AG202" s="794"/>
      <c r="AH202" s="794"/>
      <c r="AI202" s="794"/>
      <c r="AJ202" s="794"/>
      <c r="AK202" s="794"/>
      <c r="AL202" s="794"/>
      <c r="AM202" s="794"/>
      <c r="AN202" s="794"/>
      <c r="AO202" s="794"/>
      <c r="AP202" s="794"/>
      <c r="AQ202" s="794"/>
      <c r="AR202" s="794"/>
      <c r="AS202" s="794"/>
      <c r="AT202" s="794"/>
      <c r="AU202" s="794"/>
      <c r="AV202" s="794"/>
      <c r="AW202" s="794"/>
      <c r="AX202" s="794"/>
    </row>
    <row r="203" spans="1:50" ht="12.75" customHeight="1" x14ac:dyDescent="0.3">
      <c r="A203" s="782"/>
      <c r="B203" s="782"/>
      <c r="C203" s="798"/>
      <c r="D203" s="782"/>
      <c r="E203" s="798"/>
      <c r="F203" s="798"/>
      <c r="G203" s="798"/>
      <c r="H203" s="798"/>
      <c r="I203" s="798"/>
      <c r="J203" s="798"/>
      <c r="K203" s="798"/>
      <c r="L203" s="798"/>
      <c r="M203" s="798"/>
      <c r="N203" s="798"/>
      <c r="O203" s="798"/>
      <c r="P203" s="798"/>
      <c r="Q203" s="798"/>
      <c r="R203" s="798"/>
      <c r="S203" s="798"/>
      <c r="T203" s="798"/>
      <c r="U203" s="798"/>
      <c r="V203" s="798"/>
      <c r="W203" s="798"/>
      <c r="X203" s="798"/>
      <c r="Y203" s="798"/>
      <c r="Z203" s="798"/>
      <c r="AA203" s="798"/>
      <c r="AB203" s="798"/>
      <c r="AC203" s="798"/>
      <c r="AD203" s="798"/>
      <c r="AE203" s="798"/>
      <c r="AF203" s="798"/>
      <c r="AG203" s="798"/>
      <c r="AH203" s="798"/>
      <c r="AI203" s="798"/>
      <c r="AJ203" s="798"/>
      <c r="AK203" s="798"/>
      <c r="AL203" s="798"/>
      <c r="AM203" s="798"/>
      <c r="AN203" s="798"/>
      <c r="AO203" s="798"/>
      <c r="AP203" s="798"/>
      <c r="AQ203" s="798"/>
      <c r="AR203" s="798"/>
      <c r="AS203" s="798"/>
      <c r="AT203" s="798"/>
      <c r="AU203" s="798"/>
      <c r="AV203" s="798"/>
      <c r="AW203" s="798"/>
      <c r="AX203" s="798"/>
    </row>
    <row r="204" spans="1:50" ht="12.75" customHeight="1" x14ac:dyDescent="0.3">
      <c r="A204" s="782"/>
      <c r="B204" s="796" t="s">
        <v>129</v>
      </c>
      <c r="C204" s="782"/>
      <c r="D204" s="782"/>
      <c r="E204" s="782"/>
      <c r="F204" s="798"/>
      <c r="G204" s="798"/>
      <c r="H204" s="798"/>
      <c r="I204" s="798"/>
      <c r="J204" s="798"/>
      <c r="K204" s="798"/>
      <c r="L204" s="798"/>
      <c r="M204" s="798"/>
      <c r="N204" s="798"/>
      <c r="O204" s="798"/>
      <c r="P204" s="798"/>
      <c r="Q204" s="798"/>
      <c r="R204" s="798"/>
      <c r="S204" s="798"/>
      <c r="T204" s="798"/>
      <c r="U204" s="798"/>
      <c r="V204" s="798"/>
      <c r="W204" s="798"/>
      <c r="X204" s="798"/>
      <c r="Y204" s="798"/>
      <c r="Z204" s="798"/>
      <c r="AA204" s="798"/>
      <c r="AB204" s="798"/>
      <c r="AC204" s="798"/>
      <c r="AD204" s="798"/>
      <c r="AE204" s="798"/>
      <c r="AF204" s="798"/>
      <c r="AG204" s="798"/>
      <c r="AH204" s="798"/>
      <c r="AI204" s="798"/>
      <c r="AJ204" s="798"/>
      <c r="AK204" s="798"/>
      <c r="AL204" s="798"/>
      <c r="AM204" s="798"/>
      <c r="AN204" s="798"/>
      <c r="AO204" s="798"/>
      <c r="AP204" s="798"/>
      <c r="AQ204" s="798"/>
      <c r="AR204" s="798"/>
      <c r="AS204" s="798"/>
      <c r="AT204" s="798"/>
      <c r="AU204" s="798"/>
      <c r="AV204" s="798"/>
      <c r="AW204" s="798"/>
      <c r="AX204" s="798"/>
    </row>
    <row r="205" spans="1:50" ht="12.75" customHeight="1" x14ac:dyDescent="0.3">
      <c r="A205" s="782"/>
      <c r="B205" s="815" t="s">
        <v>41</v>
      </c>
      <c r="C205" s="808">
        <f>'Venture Summary - Mthly'!C208</f>
        <v>0.1</v>
      </c>
      <c r="D205" s="782"/>
      <c r="E205" s="782"/>
      <c r="F205" s="798"/>
      <c r="G205" s="798"/>
      <c r="H205" s="798"/>
      <c r="I205" s="798"/>
      <c r="J205" s="798"/>
      <c r="K205" s="798"/>
      <c r="L205" s="798"/>
      <c r="M205" s="798"/>
      <c r="N205" s="798"/>
      <c r="O205" s="798"/>
      <c r="P205" s="798"/>
      <c r="Q205" s="798"/>
      <c r="R205" s="798"/>
      <c r="S205" s="798"/>
      <c r="T205" s="798"/>
      <c r="U205" s="798"/>
      <c r="V205" s="798"/>
      <c r="W205" s="798"/>
      <c r="X205" s="798"/>
      <c r="Y205" s="798"/>
      <c r="Z205" s="798"/>
      <c r="AA205" s="798"/>
      <c r="AB205" s="798"/>
      <c r="AC205" s="798"/>
      <c r="AD205" s="798"/>
      <c r="AE205" s="798"/>
      <c r="AF205" s="798"/>
      <c r="AG205" s="798"/>
      <c r="AH205" s="798"/>
      <c r="AI205" s="798"/>
      <c r="AJ205" s="798"/>
      <c r="AK205" s="798"/>
      <c r="AL205" s="798"/>
      <c r="AM205" s="798"/>
      <c r="AN205" s="798"/>
      <c r="AO205" s="798"/>
      <c r="AP205" s="798"/>
      <c r="AQ205" s="798"/>
      <c r="AR205" s="798"/>
      <c r="AS205" s="798"/>
      <c r="AT205" s="798"/>
      <c r="AU205" s="798"/>
      <c r="AV205" s="798"/>
      <c r="AW205" s="798"/>
      <c r="AX205" s="798"/>
    </row>
    <row r="206" spans="1:50" ht="12.75" customHeight="1" x14ac:dyDescent="0.3">
      <c r="A206" s="782"/>
      <c r="B206" s="782" t="s">
        <v>42</v>
      </c>
      <c r="C206" s="808">
        <f>'Venture Summary - Mthly'!C209</f>
        <v>2.6115787606784124E-4</v>
      </c>
      <c r="D206" s="782"/>
      <c r="E206" s="782"/>
      <c r="F206" s="798"/>
      <c r="G206" s="798"/>
      <c r="H206" s="798"/>
      <c r="I206" s="798"/>
      <c r="J206" s="798"/>
      <c r="K206" s="798"/>
      <c r="L206" s="798"/>
      <c r="M206" s="798"/>
      <c r="N206" s="798"/>
      <c r="O206" s="798"/>
      <c r="P206" s="798"/>
      <c r="Q206" s="798"/>
      <c r="R206" s="798"/>
      <c r="S206" s="798"/>
      <c r="T206" s="798"/>
      <c r="U206" s="798"/>
      <c r="V206" s="798"/>
      <c r="W206" s="798"/>
      <c r="X206" s="798"/>
      <c r="Y206" s="798"/>
      <c r="Z206" s="798"/>
      <c r="AA206" s="798"/>
      <c r="AB206" s="798"/>
      <c r="AC206" s="798"/>
      <c r="AD206" s="798"/>
      <c r="AE206" s="798"/>
      <c r="AF206" s="798"/>
      <c r="AG206" s="798"/>
      <c r="AH206" s="798"/>
      <c r="AI206" s="798"/>
      <c r="AJ206" s="798"/>
      <c r="AK206" s="798"/>
      <c r="AL206" s="798"/>
      <c r="AM206" s="798"/>
      <c r="AN206" s="798"/>
      <c r="AO206" s="798"/>
      <c r="AP206" s="798"/>
      <c r="AQ206" s="798"/>
      <c r="AR206" s="798"/>
      <c r="AS206" s="798"/>
      <c r="AT206" s="798"/>
      <c r="AU206" s="798"/>
      <c r="AV206" s="798"/>
      <c r="AW206" s="798"/>
      <c r="AX206" s="798"/>
    </row>
    <row r="207" spans="1:50" ht="12.75" customHeight="1" x14ac:dyDescent="0.3">
      <c r="A207" s="782"/>
      <c r="B207" s="782" t="s">
        <v>130</v>
      </c>
      <c r="C207" s="792">
        <f>'Venture Summary - Mthly'!C210</f>
        <v>46142</v>
      </c>
      <c r="D207" s="782">
        <f>'Venture Summary - Mthly'!D210</f>
        <v>32</v>
      </c>
      <c r="E207" s="798"/>
      <c r="F207" s="798"/>
      <c r="G207" s="798"/>
      <c r="H207" s="798"/>
      <c r="I207" s="798"/>
      <c r="J207" s="798"/>
      <c r="K207" s="798"/>
      <c r="L207" s="798"/>
      <c r="M207" s="798"/>
      <c r="N207" s="798"/>
      <c r="O207" s="798"/>
      <c r="P207" s="798"/>
      <c r="Q207" s="798"/>
      <c r="R207" s="798"/>
      <c r="S207" s="798"/>
      <c r="T207" s="798"/>
      <c r="U207" s="798"/>
      <c r="V207" s="798"/>
      <c r="W207" s="798"/>
      <c r="X207" s="798"/>
      <c r="Y207" s="798"/>
      <c r="Z207" s="798"/>
      <c r="AA207" s="798"/>
      <c r="AB207" s="798"/>
      <c r="AC207" s="798"/>
      <c r="AD207" s="798"/>
      <c r="AE207" s="798"/>
      <c r="AF207" s="798"/>
      <c r="AG207" s="798"/>
      <c r="AH207" s="798"/>
      <c r="AI207" s="798"/>
      <c r="AJ207" s="798"/>
      <c r="AK207" s="798"/>
      <c r="AL207" s="798"/>
      <c r="AM207" s="798"/>
      <c r="AN207" s="798"/>
      <c r="AO207" s="798"/>
      <c r="AP207" s="798"/>
      <c r="AQ207" s="798"/>
      <c r="AR207" s="798"/>
      <c r="AS207" s="798"/>
      <c r="AT207" s="798"/>
      <c r="AU207" s="798"/>
      <c r="AV207" s="798"/>
      <c r="AW207" s="798"/>
      <c r="AX207" s="798"/>
    </row>
    <row r="208" spans="1:50" ht="12.75" customHeight="1" x14ac:dyDescent="0.3">
      <c r="A208" s="782"/>
      <c r="B208" s="782"/>
      <c r="C208" s="798"/>
      <c r="D208" s="782"/>
      <c r="E208" s="798"/>
      <c r="F208" s="798"/>
      <c r="G208" s="798"/>
      <c r="H208" s="798"/>
      <c r="I208" s="798"/>
      <c r="J208" s="798"/>
      <c r="K208" s="798"/>
      <c r="L208" s="798"/>
      <c r="M208" s="798"/>
      <c r="N208" s="798"/>
      <c r="O208" s="798"/>
      <c r="P208" s="798"/>
      <c r="Q208" s="798"/>
      <c r="R208" s="798"/>
      <c r="S208" s="798"/>
      <c r="T208" s="798"/>
      <c r="U208" s="798"/>
      <c r="V208" s="798"/>
      <c r="W208" s="798"/>
      <c r="X208" s="798"/>
      <c r="Y208" s="798"/>
      <c r="Z208" s="798"/>
      <c r="AA208" s="798"/>
      <c r="AB208" s="798"/>
      <c r="AC208" s="798"/>
      <c r="AD208" s="798"/>
      <c r="AE208" s="798"/>
      <c r="AF208" s="798"/>
      <c r="AG208" s="798"/>
      <c r="AH208" s="798"/>
      <c r="AI208" s="798"/>
      <c r="AJ208" s="798"/>
      <c r="AK208" s="798"/>
      <c r="AL208" s="798"/>
      <c r="AM208" s="798"/>
      <c r="AN208" s="798"/>
      <c r="AO208" s="798"/>
      <c r="AP208" s="798"/>
      <c r="AQ208" s="798"/>
      <c r="AR208" s="798"/>
      <c r="AS208" s="798"/>
      <c r="AT208" s="798"/>
      <c r="AU208" s="798"/>
      <c r="AV208" s="798"/>
      <c r="AW208" s="798"/>
      <c r="AX208" s="798"/>
    </row>
    <row r="209" spans="1:50" s="273" customFormat="1" ht="12.75" customHeight="1" x14ac:dyDescent="0.3">
      <c r="A209" s="796"/>
      <c r="B209" s="796" t="s">
        <v>131</v>
      </c>
      <c r="C209" s="813">
        <f>SUM('Venture Summary - Qrtly'!E209:AX209)</f>
        <v>6868726.7816661661</v>
      </c>
      <c r="D209" s="796"/>
      <c r="E209" s="816">
        <f t="shared" ref="E209:AW209" si="39">SUM(E215)</f>
        <v>0</v>
      </c>
      <c r="F209" s="816">
        <f t="shared" si="39"/>
        <v>0</v>
      </c>
      <c r="G209" s="816">
        <f t="shared" si="39"/>
        <v>0</v>
      </c>
      <c r="H209" s="816">
        <f t="shared" si="39"/>
        <v>0</v>
      </c>
      <c r="I209" s="816">
        <f t="shared" si="39"/>
        <v>0</v>
      </c>
      <c r="J209" s="816">
        <f t="shared" si="39"/>
        <v>0</v>
      </c>
      <c r="K209" s="816">
        <f t="shared" si="39"/>
        <v>0</v>
      </c>
      <c r="L209" s="816">
        <f t="shared" si="39"/>
        <v>0</v>
      </c>
      <c r="M209" s="816">
        <f t="shared" si="39"/>
        <v>0</v>
      </c>
      <c r="N209" s="816">
        <f t="shared" si="39"/>
        <v>0</v>
      </c>
      <c r="O209" s="816">
        <f t="shared" si="39"/>
        <v>0</v>
      </c>
      <c r="P209" s="816">
        <f t="shared" si="39"/>
        <v>6868726.7816661661</v>
      </c>
      <c r="Q209" s="816">
        <f t="shared" si="39"/>
        <v>0</v>
      </c>
      <c r="R209" s="816">
        <f t="shared" si="39"/>
        <v>0</v>
      </c>
      <c r="S209" s="816">
        <f t="shared" si="39"/>
        <v>0</v>
      </c>
      <c r="T209" s="816">
        <f t="shared" si="39"/>
        <v>0</v>
      </c>
      <c r="U209" s="816">
        <f t="shared" si="39"/>
        <v>0</v>
      </c>
      <c r="V209" s="816">
        <f t="shared" si="39"/>
        <v>0</v>
      </c>
      <c r="W209" s="816">
        <f t="shared" si="39"/>
        <v>0</v>
      </c>
      <c r="X209" s="816">
        <f t="shared" si="39"/>
        <v>0</v>
      </c>
      <c r="Y209" s="816">
        <f t="shared" si="39"/>
        <v>0</v>
      </c>
      <c r="Z209" s="816">
        <f t="shared" si="39"/>
        <v>0</v>
      </c>
      <c r="AA209" s="816">
        <f t="shared" si="39"/>
        <v>0</v>
      </c>
      <c r="AB209" s="816">
        <f t="shared" si="39"/>
        <v>0</v>
      </c>
      <c r="AC209" s="816">
        <f t="shared" si="39"/>
        <v>0</v>
      </c>
      <c r="AD209" s="816">
        <f t="shared" si="39"/>
        <v>0</v>
      </c>
      <c r="AE209" s="816">
        <f t="shared" si="39"/>
        <v>0</v>
      </c>
      <c r="AF209" s="816">
        <f t="shared" si="39"/>
        <v>0</v>
      </c>
      <c r="AG209" s="816">
        <f t="shared" si="39"/>
        <v>0</v>
      </c>
      <c r="AH209" s="816">
        <f t="shared" si="39"/>
        <v>0</v>
      </c>
      <c r="AI209" s="816">
        <f t="shared" si="39"/>
        <v>0</v>
      </c>
      <c r="AJ209" s="816">
        <f t="shared" si="39"/>
        <v>0</v>
      </c>
      <c r="AK209" s="816">
        <f t="shared" si="39"/>
        <v>0</v>
      </c>
      <c r="AL209" s="816">
        <f t="shared" si="39"/>
        <v>0</v>
      </c>
      <c r="AM209" s="816">
        <f t="shared" si="39"/>
        <v>0</v>
      </c>
      <c r="AN209" s="816">
        <f t="shared" si="39"/>
        <v>0</v>
      </c>
      <c r="AO209" s="816">
        <f t="shared" si="39"/>
        <v>0</v>
      </c>
      <c r="AP209" s="816">
        <f t="shared" si="39"/>
        <v>0</v>
      </c>
      <c r="AQ209" s="816">
        <f t="shared" si="39"/>
        <v>0</v>
      </c>
      <c r="AR209" s="816">
        <f t="shared" si="39"/>
        <v>0</v>
      </c>
      <c r="AS209" s="816">
        <f t="shared" si="39"/>
        <v>0</v>
      </c>
      <c r="AT209" s="816">
        <f t="shared" si="39"/>
        <v>0</v>
      </c>
      <c r="AU209" s="816">
        <f t="shared" si="39"/>
        <v>0</v>
      </c>
      <c r="AV209" s="816">
        <f t="shared" si="39"/>
        <v>0</v>
      </c>
      <c r="AW209" s="816">
        <f t="shared" si="39"/>
        <v>0</v>
      </c>
      <c r="AX209" s="816"/>
    </row>
    <row r="210" spans="1:50" ht="12.75" customHeight="1" x14ac:dyDescent="0.3">
      <c r="A210" s="782"/>
      <c r="B210" s="782"/>
      <c r="C210" s="798"/>
      <c r="D210" s="782"/>
      <c r="E210" s="805"/>
      <c r="F210" s="805"/>
      <c r="G210" s="805"/>
      <c r="H210" s="805"/>
      <c r="I210" s="805"/>
      <c r="J210" s="805"/>
      <c r="K210" s="805"/>
      <c r="L210" s="805"/>
      <c r="M210" s="805"/>
      <c r="N210" s="805"/>
      <c r="O210" s="805"/>
      <c r="P210" s="805"/>
      <c r="Q210" s="805"/>
      <c r="R210" s="805"/>
      <c r="S210" s="805"/>
      <c r="T210" s="805"/>
      <c r="U210" s="805"/>
      <c r="V210" s="805"/>
      <c r="W210" s="805"/>
      <c r="X210" s="805"/>
      <c r="Y210" s="805"/>
      <c r="Z210" s="805"/>
      <c r="AA210" s="805"/>
      <c r="AB210" s="805"/>
      <c r="AC210" s="805"/>
      <c r="AD210" s="805"/>
      <c r="AE210" s="805"/>
      <c r="AF210" s="805"/>
      <c r="AG210" s="805"/>
      <c r="AH210" s="805"/>
      <c r="AI210" s="805"/>
      <c r="AJ210" s="805"/>
      <c r="AK210" s="805"/>
      <c r="AL210" s="805"/>
      <c r="AM210" s="805"/>
      <c r="AN210" s="805"/>
      <c r="AO210" s="805"/>
      <c r="AP210" s="805"/>
      <c r="AQ210" s="805"/>
      <c r="AR210" s="805"/>
      <c r="AS210" s="805"/>
      <c r="AT210" s="805"/>
      <c r="AU210" s="805"/>
      <c r="AV210" s="805"/>
      <c r="AW210" s="805"/>
      <c r="AX210" s="805"/>
    </row>
    <row r="211" spans="1:50" ht="12.75" customHeight="1" x14ac:dyDescent="0.3">
      <c r="A211" s="782"/>
      <c r="B211" s="817" t="s">
        <v>132</v>
      </c>
      <c r="C211" s="818"/>
      <c r="D211" s="819"/>
      <c r="E211" s="819"/>
      <c r="F211" s="819"/>
      <c r="G211" s="819"/>
      <c r="H211" s="819"/>
      <c r="I211" s="819"/>
      <c r="J211" s="819"/>
      <c r="K211" s="819"/>
      <c r="L211" s="819"/>
      <c r="M211" s="819"/>
      <c r="N211" s="819"/>
      <c r="O211" s="819"/>
      <c r="P211" s="819"/>
      <c r="Q211" s="819"/>
      <c r="R211" s="819"/>
      <c r="S211" s="819"/>
      <c r="T211" s="819"/>
      <c r="U211" s="819"/>
      <c r="V211" s="819"/>
      <c r="W211" s="819"/>
      <c r="X211" s="819"/>
      <c r="Y211" s="819"/>
      <c r="Z211" s="819"/>
      <c r="AA211" s="819"/>
      <c r="AB211" s="819"/>
      <c r="AC211" s="819"/>
      <c r="AD211" s="819"/>
      <c r="AE211" s="819"/>
      <c r="AF211" s="819"/>
      <c r="AG211" s="819"/>
      <c r="AH211" s="819"/>
      <c r="AI211" s="819"/>
      <c r="AJ211" s="819"/>
      <c r="AK211" s="819"/>
      <c r="AL211" s="819"/>
      <c r="AM211" s="819"/>
      <c r="AN211" s="819"/>
      <c r="AO211" s="819"/>
      <c r="AP211" s="819"/>
      <c r="AQ211" s="819"/>
      <c r="AR211" s="819"/>
      <c r="AS211" s="819"/>
      <c r="AT211" s="819"/>
      <c r="AU211" s="819"/>
      <c r="AV211" s="819"/>
      <c r="AW211" s="819"/>
      <c r="AX211" s="819"/>
    </row>
    <row r="212" spans="1:50" ht="12.75" customHeight="1" x14ac:dyDescent="0.3">
      <c r="A212" s="782"/>
      <c r="B212" s="782"/>
      <c r="C212" s="782"/>
      <c r="D212" s="782"/>
      <c r="E212" s="782"/>
      <c r="F212" s="782"/>
      <c r="G212" s="782"/>
      <c r="H212" s="782"/>
      <c r="I212" s="782"/>
      <c r="J212" s="782"/>
      <c r="K212" s="782"/>
      <c r="L212" s="782"/>
      <c r="M212" s="782"/>
      <c r="N212" s="782"/>
      <c r="O212" s="782"/>
      <c r="P212" s="782"/>
      <c r="Q212" s="782"/>
      <c r="R212" s="782"/>
      <c r="S212" s="782"/>
      <c r="T212" s="782"/>
      <c r="U212" s="782"/>
      <c r="V212" s="782"/>
      <c r="W212" s="782"/>
      <c r="X212" s="782"/>
      <c r="Y212" s="782"/>
      <c r="Z212" s="782"/>
      <c r="AA212" s="782"/>
      <c r="AB212" s="782"/>
      <c r="AC212" s="782"/>
      <c r="AD212" s="782"/>
      <c r="AE212" s="782"/>
      <c r="AF212" s="782"/>
      <c r="AG212" s="782"/>
      <c r="AH212" s="782"/>
      <c r="AI212" s="782"/>
      <c r="AJ212" s="782"/>
      <c r="AK212" s="782"/>
      <c r="AL212" s="782"/>
      <c r="AM212" s="782"/>
      <c r="AN212" s="782"/>
      <c r="AO212" s="782"/>
      <c r="AP212" s="782"/>
      <c r="AQ212" s="782"/>
      <c r="AR212" s="782"/>
      <c r="AS212" s="782"/>
      <c r="AT212" s="782"/>
      <c r="AU212" s="782"/>
      <c r="AV212" s="782"/>
      <c r="AW212" s="782"/>
      <c r="AX212" s="782"/>
    </row>
    <row r="213" spans="1:50" ht="12.75" customHeight="1" x14ac:dyDescent="0.3">
      <c r="A213" s="782"/>
      <c r="B213" s="782" t="s">
        <v>47</v>
      </c>
      <c r="C213" s="798">
        <f>SUM('Venture Summary - Qrtly'!E213:AX213)</f>
        <v>35646721.52782616</v>
      </c>
      <c r="D213" s="782"/>
      <c r="E213" s="798">
        <f>IF('Venture Summary - Qrtly'!E74&lt;0,-'Venture Summary - Qrtly'!E74,0)</f>
        <v>1943435.5218400576</v>
      </c>
      <c r="F213" s="798">
        <f>IF('Venture Summary - Qrtly'!F74&lt;0,-'Venture Summary - Qrtly'!F74,0)</f>
        <v>16439275.889004555</v>
      </c>
      <c r="G213" s="798">
        <f>IF('Venture Summary - Qrtly'!G74&lt;0,-'Venture Summary - Qrtly'!G74,0)</f>
        <v>5353413.4459025264</v>
      </c>
      <c r="H213" s="798">
        <f>IF('Venture Summary - Qrtly'!H74&lt;0,-'Venture Summary - Qrtly'!H74,0)</f>
        <v>9472150.2761177868</v>
      </c>
      <c r="I213" s="798">
        <f>IF('Venture Summary - Qrtly'!I74&lt;0,-'Venture Summary - Qrtly'!I74,0)</f>
        <v>2137816.1256360402</v>
      </c>
      <c r="J213" s="798">
        <f>IF('Venture Summary - Qrtly'!J74&lt;0,-'Venture Summary - Qrtly'!J74,0)</f>
        <v>72420.822304572444</v>
      </c>
      <c r="K213" s="798">
        <f>IF('Venture Summary - Qrtly'!K74&lt;0,-'Venture Summary - Qrtly'!K74,0)</f>
        <v>83036.515302762389</v>
      </c>
      <c r="L213" s="798">
        <f>IF('Venture Summary - Qrtly'!L74&lt;0,-'Venture Summary - Qrtly'!L74,0)</f>
        <v>91714.024932564469</v>
      </c>
      <c r="M213" s="798">
        <f>IF('Venture Summary - Qrtly'!M74&lt;0,-'Venture Summary - Qrtly'!M74,0)</f>
        <v>53458.906785300234</v>
      </c>
      <c r="N213" s="798">
        <f>IF('Venture Summary - Qrtly'!N74&lt;0,-'Venture Summary - Qrtly'!N74,0)</f>
        <v>0</v>
      </c>
      <c r="O213" s="798">
        <f>IF('Venture Summary - Qrtly'!O74&lt;0,-'Venture Summary - Qrtly'!O74,0)</f>
        <v>0</v>
      </c>
      <c r="P213" s="798">
        <f>IF('Venture Summary - Qrtly'!P74&lt;0,-'Venture Summary - Qrtly'!P74,0)</f>
        <v>0</v>
      </c>
      <c r="Q213" s="798">
        <f>IF('Venture Summary - Qrtly'!Q74&lt;0,-'Venture Summary - Qrtly'!Q74,0)</f>
        <v>0</v>
      </c>
      <c r="R213" s="798">
        <f>IF('Venture Summary - Qrtly'!R74&lt;0,-'Venture Summary - Qrtly'!R74,0)</f>
        <v>0</v>
      </c>
      <c r="S213" s="798">
        <f>IF('Venture Summary - Qrtly'!S74&lt;0,-'Venture Summary - Qrtly'!S74,0)</f>
        <v>0</v>
      </c>
      <c r="T213" s="798">
        <f>IF('Venture Summary - Qrtly'!T74&lt;0,-'Venture Summary - Qrtly'!T74,0)</f>
        <v>0</v>
      </c>
      <c r="U213" s="798">
        <f>IF('Venture Summary - Qrtly'!U74&lt;0,-'Venture Summary - Qrtly'!U74,0)</f>
        <v>0</v>
      </c>
      <c r="V213" s="798">
        <f>IF('Venture Summary - Qrtly'!V74&lt;0,-'Venture Summary - Qrtly'!V74,0)</f>
        <v>0</v>
      </c>
      <c r="W213" s="798">
        <f>IF('Venture Summary - Qrtly'!W74&lt;0,-'Venture Summary - Qrtly'!W74,0)</f>
        <v>0</v>
      </c>
      <c r="X213" s="798">
        <f>IF('Venture Summary - Qrtly'!X74&lt;0,-'Venture Summary - Qrtly'!X74,0)</f>
        <v>0</v>
      </c>
      <c r="Y213" s="798">
        <f>IF('Venture Summary - Qrtly'!Y74&lt;0,-'Venture Summary - Qrtly'!Y74,0)</f>
        <v>0</v>
      </c>
      <c r="Z213" s="798">
        <f>IF('Venture Summary - Qrtly'!Z74&lt;0,-'Venture Summary - Qrtly'!Z74,0)</f>
        <v>0</v>
      </c>
      <c r="AA213" s="798">
        <f>IF('Venture Summary - Qrtly'!AA74&lt;0,-'Venture Summary - Qrtly'!AA74,0)</f>
        <v>0</v>
      </c>
      <c r="AB213" s="798">
        <f>IF('Venture Summary - Qrtly'!AB74&lt;0,-'Venture Summary - Qrtly'!AB74,0)</f>
        <v>0</v>
      </c>
      <c r="AC213" s="798">
        <f>IF('Venture Summary - Qrtly'!AC74&lt;0,-'Venture Summary - Qrtly'!AC74,0)</f>
        <v>0</v>
      </c>
      <c r="AD213" s="798">
        <f>IF('Venture Summary - Qrtly'!AD74&lt;0,-'Venture Summary - Qrtly'!AD74,0)</f>
        <v>0</v>
      </c>
      <c r="AE213" s="798">
        <f>IF('Venture Summary - Qrtly'!AE74&lt;0,-'Venture Summary - Qrtly'!AE74,0)</f>
        <v>0</v>
      </c>
      <c r="AF213" s="798">
        <f>IF('Venture Summary - Qrtly'!AF74&lt;0,-'Venture Summary - Qrtly'!AF74,0)</f>
        <v>0</v>
      </c>
      <c r="AG213" s="798">
        <f>IF('Venture Summary - Qrtly'!AG74&lt;0,-'Venture Summary - Qrtly'!AG74,0)</f>
        <v>0</v>
      </c>
      <c r="AH213" s="798">
        <f>IF('Venture Summary - Qrtly'!AH74&lt;0,-'Venture Summary - Qrtly'!AH74,0)</f>
        <v>0</v>
      </c>
      <c r="AI213" s="798">
        <f>IF('Venture Summary - Qrtly'!AI74&lt;0,-'Venture Summary - Qrtly'!AI74,0)</f>
        <v>0</v>
      </c>
      <c r="AJ213" s="798">
        <f>IF('Venture Summary - Qrtly'!AJ74&lt;0,-'Venture Summary - Qrtly'!AJ74,0)</f>
        <v>0</v>
      </c>
      <c r="AK213" s="798">
        <f>IF('Venture Summary - Qrtly'!AK74&lt;0,-'Venture Summary - Qrtly'!AK74,0)</f>
        <v>0</v>
      </c>
      <c r="AL213" s="798">
        <f>IF('Venture Summary - Qrtly'!AL74&lt;0,-'Venture Summary - Qrtly'!AL74,0)</f>
        <v>0</v>
      </c>
      <c r="AM213" s="798">
        <f>IF('Venture Summary - Qrtly'!AM74&lt;0,-'Venture Summary - Qrtly'!AM74,0)</f>
        <v>0</v>
      </c>
      <c r="AN213" s="798">
        <f>IF('Venture Summary - Qrtly'!AN74&lt;0,-'Venture Summary - Qrtly'!AN74,0)</f>
        <v>0</v>
      </c>
      <c r="AO213" s="798">
        <f>IF('Venture Summary - Qrtly'!AO74&lt;0,-'Venture Summary - Qrtly'!AO74,0)</f>
        <v>0</v>
      </c>
      <c r="AP213" s="798">
        <f>IF('Venture Summary - Qrtly'!AP74&lt;0,-'Venture Summary - Qrtly'!AP74,0)</f>
        <v>0</v>
      </c>
      <c r="AQ213" s="798">
        <f>IF('Venture Summary - Qrtly'!AQ74&lt;0,-'Venture Summary - Qrtly'!AQ74,0)</f>
        <v>0</v>
      </c>
      <c r="AR213" s="798">
        <f>IF('Venture Summary - Qrtly'!AR74&lt;0,-'Venture Summary - Qrtly'!AR74,0)</f>
        <v>0</v>
      </c>
      <c r="AS213" s="798">
        <f>IF('Venture Summary - Qrtly'!AS74&lt;0,-'Venture Summary - Qrtly'!AS74,0)</f>
        <v>0</v>
      </c>
      <c r="AT213" s="798">
        <f>IF('Venture Summary - Qrtly'!AT74&lt;0,-'Venture Summary - Qrtly'!AT74,0)</f>
        <v>0</v>
      </c>
      <c r="AU213" s="798">
        <f>IF('Venture Summary - Qrtly'!AU74&lt;0,-'Venture Summary - Qrtly'!AU74,0)</f>
        <v>0</v>
      </c>
      <c r="AV213" s="798">
        <f>IF('Venture Summary - Qrtly'!AV74&lt;0,-'Venture Summary - Qrtly'!AV74,0)</f>
        <v>0</v>
      </c>
      <c r="AW213" s="798">
        <f>IF('Venture Summary - Qrtly'!AW74&lt;0,-'Venture Summary - Qrtly'!AW74,0)</f>
        <v>0</v>
      </c>
      <c r="AX213" s="798"/>
    </row>
    <row r="214" spans="1:50" ht="12.75" customHeight="1" x14ac:dyDescent="0.3">
      <c r="A214" s="782"/>
      <c r="B214" s="782" t="s">
        <v>133</v>
      </c>
      <c r="C214" s="798">
        <f>SUM('Venture Summary - Qrtly'!E214:AX214)</f>
        <v>6868726.7816661661</v>
      </c>
      <c r="D214" s="782"/>
      <c r="E214" s="798">
        <f>+'Venture Summary - Qrtly'!E107</f>
        <v>0</v>
      </c>
      <c r="F214" s="798">
        <f>+'Venture Summary - Qrtly'!F107</f>
        <v>0</v>
      </c>
      <c r="G214" s="798">
        <f>+'Venture Summary - Qrtly'!G107</f>
        <v>0</v>
      </c>
      <c r="H214" s="798">
        <f>+'Venture Summary - Qrtly'!H107</f>
        <v>0</v>
      </c>
      <c r="I214" s="798">
        <f>+'Venture Summary - Qrtly'!I107</f>
        <v>0</v>
      </c>
      <c r="J214" s="798">
        <f>+'Venture Summary - Qrtly'!J107</f>
        <v>0</v>
      </c>
      <c r="K214" s="798">
        <f>+'Venture Summary - Qrtly'!K107</f>
        <v>0</v>
      </c>
      <c r="L214" s="798">
        <f>+'Venture Summary - Qrtly'!L107</f>
        <v>0</v>
      </c>
      <c r="M214" s="798">
        <f>+'Venture Summary - Qrtly'!M107</f>
        <v>0</v>
      </c>
      <c r="N214" s="798">
        <f>+'Venture Summary - Qrtly'!N107</f>
        <v>0</v>
      </c>
      <c r="O214" s="798">
        <f>+'Venture Summary - Qrtly'!O107</f>
        <v>0</v>
      </c>
      <c r="P214" s="798">
        <f>+'Venture Summary - Qrtly'!P107</f>
        <v>6868726.7816661661</v>
      </c>
      <c r="Q214" s="798">
        <f>+'Venture Summary - Qrtly'!Q107</f>
        <v>0</v>
      </c>
      <c r="R214" s="798">
        <f>+'Venture Summary - Qrtly'!R107</f>
        <v>0</v>
      </c>
      <c r="S214" s="798">
        <f>+'Venture Summary - Qrtly'!S107</f>
        <v>0</v>
      </c>
      <c r="T214" s="798">
        <f>+'Venture Summary - Qrtly'!T107</f>
        <v>0</v>
      </c>
      <c r="U214" s="798">
        <f>+'Venture Summary - Qrtly'!U107</f>
        <v>0</v>
      </c>
      <c r="V214" s="798">
        <f>+'Venture Summary - Qrtly'!V107</f>
        <v>0</v>
      </c>
      <c r="W214" s="798">
        <f>+'Venture Summary - Qrtly'!W107</f>
        <v>0</v>
      </c>
      <c r="X214" s="798">
        <f>+'Venture Summary - Qrtly'!X107</f>
        <v>0</v>
      </c>
      <c r="Y214" s="798">
        <f>+'Venture Summary - Qrtly'!Y107</f>
        <v>0</v>
      </c>
      <c r="Z214" s="798">
        <f>+'Venture Summary - Qrtly'!Z107</f>
        <v>0</v>
      </c>
      <c r="AA214" s="798">
        <f>+'Venture Summary - Qrtly'!AA107</f>
        <v>0</v>
      </c>
      <c r="AB214" s="798">
        <f>+'Venture Summary - Qrtly'!AB107</f>
        <v>0</v>
      </c>
      <c r="AC214" s="798">
        <f>+'Venture Summary - Qrtly'!AC107</f>
        <v>0</v>
      </c>
      <c r="AD214" s="798">
        <f>+'Venture Summary - Qrtly'!AD107</f>
        <v>0</v>
      </c>
      <c r="AE214" s="798">
        <f>+'Venture Summary - Qrtly'!AE107</f>
        <v>0</v>
      </c>
      <c r="AF214" s="798">
        <f>+'Venture Summary - Qrtly'!AF107</f>
        <v>0</v>
      </c>
      <c r="AG214" s="798">
        <f>+'Venture Summary - Qrtly'!AG107</f>
        <v>0</v>
      </c>
      <c r="AH214" s="798">
        <f>+'Venture Summary - Qrtly'!AH107</f>
        <v>0</v>
      </c>
      <c r="AI214" s="798">
        <f>+'Venture Summary - Qrtly'!AI107</f>
        <v>0</v>
      </c>
      <c r="AJ214" s="798">
        <f>+'Venture Summary - Qrtly'!AJ107</f>
        <v>0</v>
      </c>
      <c r="AK214" s="798">
        <f>+'Venture Summary - Qrtly'!AK107</f>
        <v>0</v>
      </c>
      <c r="AL214" s="798">
        <f>+'Venture Summary - Qrtly'!AL107</f>
        <v>0</v>
      </c>
      <c r="AM214" s="798">
        <f>+'Venture Summary - Qrtly'!AM107</f>
        <v>0</v>
      </c>
      <c r="AN214" s="798">
        <f>+'Venture Summary - Qrtly'!AN107</f>
        <v>0</v>
      </c>
      <c r="AO214" s="798">
        <f>+'Venture Summary - Qrtly'!AO107</f>
        <v>0</v>
      </c>
      <c r="AP214" s="798">
        <f>+'Venture Summary - Qrtly'!AP107</f>
        <v>0</v>
      </c>
      <c r="AQ214" s="798">
        <f>+'Venture Summary - Qrtly'!AQ107</f>
        <v>0</v>
      </c>
      <c r="AR214" s="798">
        <f>+'Venture Summary - Qrtly'!AR107</f>
        <v>0</v>
      </c>
      <c r="AS214" s="798">
        <f>+'Venture Summary - Qrtly'!AS107</f>
        <v>0</v>
      </c>
      <c r="AT214" s="798">
        <f>+'Venture Summary - Qrtly'!AT107</f>
        <v>0</v>
      </c>
      <c r="AU214" s="798">
        <f>+'Venture Summary - Qrtly'!AU107</f>
        <v>0</v>
      </c>
      <c r="AV214" s="798">
        <f>+'Venture Summary - Qrtly'!AV107</f>
        <v>0</v>
      </c>
      <c r="AW214" s="798">
        <f>+'Venture Summary - Qrtly'!AW107</f>
        <v>0</v>
      </c>
      <c r="AX214" s="798"/>
    </row>
    <row r="215" spans="1:50" ht="12.75" customHeight="1" x14ac:dyDescent="0.3">
      <c r="A215" s="782"/>
      <c r="B215" s="782" t="s">
        <v>134</v>
      </c>
      <c r="C215" s="798">
        <f>SUM('Venture Summary - Qrtly'!E215:AX215)</f>
        <v>6868726.7816661661</v>
      </c>
      <c r="D215" s="782"/>
      <c r="E215" s="798">
        <f>+E214</f>
        <v>0</v>
      </c>
      <c r="F215" s="798">
        <f t="shared" ref="F215:AW215" si="40">+F214</f>
        <v>0</v>
      </c>
      <c r="G215" s="798">
        <f t="shared" si="40"/>
        <v>0</v>
      </c>
      <c r="H215" s="798">
        <f t="shared" si="40"/>
        <v>0</v>
      </c>
      <c r="I215" s="798">
        <f t="shared" si="40"/>
        <v>0</v>
      </c>
      <c r="J215" s="798">
        <f t="shared" si="40"/>
        <v>0</v>
      </c>
      <c r="K215" s="798">
        <f t="shared" si="40"/>
        <v>0</v>
      </c>
      <c r="L215" s="798">
        <f t="shared" si="40"/>
        <v>0</v>
      </c>
      <c r="M215" s="798">
        <f t="shared" si="40"/>
        <v>0</v>
      </c>
      <c r="N215" s="798">
        <f t="shared" si="40"/>
        <v>0</v>
      </c>
      <c r="O215" s="798">
        <f t="shared" si="40"/>
        <v>0</v>
      </c>
      <c r="P215" s="798">
        <f t="shared" si="40"/>
        <v>6868726.7816661661</v>
      </c>
      <c r="Q215" s="798">
        <f t="shared" si="40"/>
        <v>0</v>
      </c>
      <c r="R215" s="798">
        <f t="shared" si="40"/>
        <v>0</v>
      </c>
      <c r="S215" s="798">
        <f t="shared" si="40"/>
        <v>0</v>
      </c>
      <c r="T215" s="798">
        <f t="shared" si="40"/>
        <v>0</v>
      </c>
      <c r="U215" s="798">
        <f t="shared" si="40"/>
        <v>0</v>
      </c>
      <c r="V215" s="798">
        <f t="shared" si="40"/>
        <v>0</v>
      </c>
      <c r="W215" s="798">
        <f t="shared" si="40"/>
        <v>0</v>
      </c>
      <c r="X215" s="798">
        <f t="shared" si="40"/>
        <v>0</v>
      </c>
      <c r="Y215" s="798">
        <f t="shared" si="40"/>
        <v>0</v>
      </c>
      <c r="Z215" s="798">
        <f t="shared" si="40"/>
        <v>0</v>
      </c>
      <c r="AA215" s="798">
        <f t="shared" si="40"/>
        <v>0</v>
      </c>
      <c r="AB215" s="798">
        <f t="shared" si="40"/>
        <v>0</v>
      </c>
      <c r="AC215" s="798">
        <f t="shared" si="40"/>
        <v>0</v>
      </c>
      <c r="AD215" s="798">
        <f t="shared" si="40"/>
        <v>0</v>
      </c>
      <c r="AE215" s="798">
        <f t="shared" si="40"/>
        <v>0</v>
      </c>
      <c r="AF215" s="798">
        <f t="shared" si="40"/>
        <v>0</v>
      </c>
      <c r="AG215" s="798">
        <f t="shared" si="40"/>
        <v>0</v>
      </c>
      <c r="AH215" s="798">
        <f t="shared" si="40"/>
        <v>0</v>
      </c>
      <c r="AI215" s="798">
        <f t="shared" si="40"/>
        <v>0</v>
      </c>
      <c r="AJ215" s="798">
        <f t="shared" si="40"/>
        <v>0</v>
      </c>
      <c r="AK215" s="798">
        <f t="shared" si="40"/>
        <v>0</v>
      </c>
      <c r="AL215" s="798">
        <f t="shared" si="40"/>
        <v>0</v>
      </c>
      <c r="AM215" s="798">
        <f t="shared" si="40"/>
        <v>0</v>
      </c>
      <c r="AN215" s="798">
        <f t="shared" si="40"/>
        <v>0</v>
      </c>
      <c r="AO215" s="798">
        <f t="shared" si="40"/>
        <v>0</v>
      </c>
      <c r="AP215" s="798">
        <f t="shared" si="40"/>
        <v>0</v>
      </c>
      <c r="AQ215" s="798">
        <f t="shared" si="40"/>
        <v>0</v>
      </c>
      <c r="AR215" s="798">
        <f t="shared" si="40"/>
        <v>0</v>
      </c>
      <c r="AS215" s="798">
        <f t="shared" si="40"/>
        <v>0</v>
      </c>
      <c r="AT215" s="798">
        <f t="shared" si="40"/>
        <v>0</v>
      </c>
      <c r="AU215" s="798">
        <f t="shared" si="40"/>
        <v>0</v>
      </c>
      <c r="AV215" s="798">
        <f t="shared" si="40"/>
        <v>0</v>
      </c>
      <c r="AW215" s="798">
        <f t="shared" si="40"/>
        <v>0</v>
      </c>
      <c r="AX215" s="798"/>
    </row>
    <row r="216" spans="1:50" ht="12.75" customHeight="1" x14ac:dyDescent="0.3">
      <c r="A216" s="782"/>
      <c r="B216" s="782"/>
      <c r="C216" s="782"/>
      <c r="D216" s="782"/>
      <c r="E216" s="782"/>
      <c r="F216" s="782"/>
      <c r="G216" s="782"/>
      <c r="H216" s="782"/>
      <c r="I216" s="782"/>
      <c r="J216" s="782"/>
      <c r="K216" s="782"/>
      <c r="L216" s="782"/>
      <c r="M216" s="782"/>
      <c r="N216" s="782"/>
      <c r="O216" s="782"/>
      <c r="P216" s="782"/>
      <c r="Q216" s="782"/>
      <c r="R216" s="782"/>
      <c r="S216" s="782"/>
      <c r="T216" s="782"/>
      <c r="U216" s="782"/>
      <c r="V216" s="782"/>
      <c r="W216" s="782"/>
      <c r="X216" s="782"/>
      <c r="Y216" s="782"/>
      <c r="Z216" s="782"/>
      <c r="AA216" s="782"/>
      <c r="AB216" s="782"/>
      <c r="AC216" s="782"/>
      <c r="AD216" s="782"/>
      <c r="AE216" s="782"/>
      <c r="AF216" s="782"/>
      <c r="AG216" s="782"/>
      <c r="AH216" s="782"/>
      <c r="AI216" s="782"/>
      <c r="AJ216" s="782"/>
      <c r="AK216" s="782"/>
      <c r="AL216" s="782"/>
      <c r="AM216" s="782"/>
      <c r="AN216" s="782"/>
      <c r="AO216" s="782"/>
      <c r="AP216" s="782"/>
      <c r="AQ216" s="782"/>
      <c r="AR216" s="782"/>
      <c r="AS216" s="782"/>
      <c r="AT216" s="782"/>
      <c r="AU216" s="782"/>
      <c r="AV216" s="782"/>
      <c r="AW216" s="782"/>
      <c r="AX216" s="782"/>
    </row>
    <row r="217" spans="1:50" ht="12.75" customHeight="1" x14ac:dyDescent="0.3">
      <c r="A217" s="782"/>
      <c r="B217" s="782" t="s">
        <v>48</v>
      </c>
      <c r="C217" s="798">
        <f>SUM('Venture Summary - Qrtly'!E217:AX217)</f>
        <v>60916274.722085506</v>
      </c>
      <c r="D217" s="782"/>
      <c r="E217" s="798">
        <f>+'Venture Summary - Qrtly'!E75</f>
        <v>0</v>
      </c>
      <c r="F217" s="798">
        <f>+'Venture Summary - Qrtly'!F75</f>
        <v>0</v>
      </c>
      <c r="G217" s="798">
        <f>+'Venture Summary - Qrtly'!G75</f>
        <v>0</v>
      </c>
      <c r="H217" s="798">
        <f>+'Venture Summary - Qrtly'!H75</f>
        <v>0</v>
      </c>
      <c r="I217" s="798">
        <f>+'Venture Summary - Qrtly'!I75</f>
        <v>0</v>
      </c>
      <c r="J217" s="798">
        <f>+'Venture Summary - Qrtly'!J75</f>
        <v>0</v>
      </c>
      <c r="K217" s="798">
        <f>+'Venture Summary - Qrtly'!K75</f>
        <v>0</v>
      </c>
      <c r="L217" s="798">
        <f>+'Venture Summary - Qrtly'!L75</f>
        <v>0</v>
      </c>
      <c r="M217" s="798">
        <f>+'Venture Summary - Qrtly'!M75</f>
        <v>0</v>
      </c>
      <c r="N217" s="798">
        <f>+'Venture Summary - Qrtly'!N75</f>
        <v>0</v>
      </c>
      <c r="O217" s="798">
        <f>+'Venture Summary - Qrtly'!O75</f>
        <v>0</v>
      </c>
      <c r="P217" s="798">
        <f>+'Venture Summary - Qrtly'!P75</f>
        <v>60916274.722085506</v>
      </c>
      <c r="Q217" s="798">
        <f>+'Venture Summary - Qrtly'!Q75</f>
        <v>0</v>
      </c>
      <c r="R217" s="798">
        <f>+'Venture Summary - Qrtly'!R75</f>
        <v>0</v>
      </c>
      <c r="S217" s="798">
        <f>+'Venture Summary - Qrtly'!S75</f>
        <v>0</v>
      </c>
      <c r="T217" s="798">
        <f>+'Venture Summary - Qrtly'!T75</f>
        <v>0</v>
      </c>
      <c r="U217" s="798">
        <f>+'Venture Summary - Qrtly'!U75</f>
        <v>0</v>
      </c>
      <c r="V217" s="798">
        <f>+'Venture Summary - Qrtly'!V75</f>
        <v>0</v>
      </c>
      <c r="W217" s="798">
        <f>+'Venture Summary - Qrtly'!W75</f>
        <v>0</v>
      </c>
      <c r="X217" s="798">
        <f>+'Venture Summary - Qrtly'!X75</f>
        <v>0</v>
      </c>
      <c r="Y217" s="798">
        <f>+'Venture Summary - Qrtly'!Y75</f>
        <v>0</v>
      </c>
      <c r="Z217" s="798">
        <f>+'Venture Summary - Qrtly'!Z75</f>
        <v>0</v>
      </c>
      <c r="AA217" s="798">
        <f>+'Venture Summary - Qrtly'!AA75</f>
        <v>0</v>
      </c>
      <c r="AB217" s="798">
        <f>+'Venture Summary - Qrtly'!AB75</f>
        <v>0</v>
      </c>
      <c r="AC217" s="798">
        <f>+'Venture Summary - Qrtly'!AC75</f>
        <v>0</v>
      </c>
      <c r="AD217" s="798">
        <f>+'Venture Summary - Qrtly'!AD75</f>
        <v>0</v>
      </c>
      <c r="AE217" s="798">
        <f>+'Venture Summary - Qrtly'!AE75</f>
        <v>0</v>
      </c>
      <c r="AF217" s="798">
        <f>+'Venture Summary - Qrtly'!AF75</f>
        <v>0</v>
      </c>
      <c r="AG217" s="798">
        <f>+'Venture Summary - Qrtly'!AG75</f>
        <v>0</v>
      </c>
      <c r="AH217" s="798">
        <f>+'Venture Summary - Qrtly'!AH75</f>
        <v>0</v>
      </c>
      <c r="AI217" s="798">
        <f>+'Venture Summary - Qrtly'!AI75</f>
        <v>0</v>
      </c>
      <c r="AJ217" s="798">
        <f>+'Venture Summary - Qrtly'!AJ75</f>
        <v>0</v>
      </c>
      <c r="AK217" s="798">
        <f>+'Venture Summary - Qrtly'!AK75</f>
        <v>0</v>
      </c>
      <c r="AL217" s="798">
        <f>+'Venture Summary - Qrtly'!AL75</f>
        <v>0</v>
      </c>
      <c r="AM217" s="798">
        <f>+'Venture Summary - Qrtly'!AM75</f>
        <v>0</v>
      </c>
      <c r="AN217" s="798">
        <f>+'Venture Summary - Qrtly'!AN75</f>
        <v>0</v>
      </c>
      <c r="AO217" s="798">
        <f>+'Venture Summary - Qrtly'!AO75</f>
        <v>0</v>
      </c>
      <c r="AP217" s="798">
        <f>+'Venture Summary - Qrtly'!AP75</f>
        <v>0</v>
      </c>
      <c r="AQ217" s="798">
        <f>+'Venture Summary - Qrtly'!AQ75</f>
        <v>0</v>
      </c>
      <c r="AR217" s="798">
        <f>+'Venture Summary - Qrtly'!AR75</f>
        <v>0</v>
      </c>
      <c r="AS217" s="798">
        <f>+'Venture Summary - Qrtly'!AS75</f>
        <v>0</v>
      </c>
      <c r="AT217" s="798">
        <f>+'Venture Summary - Qrtly'!AT75</f>
        <v>0</v>
      </c>
      <c r="AU217" s="798">
        <f>+'Venture Summary - Qrtly'!AU75</f>
        <v>0</v>
      </c>
      <c r="AV217" s="798">
        <f>+'Venture Summary - Qrtly'!AV75</f>
        <v>0</v>
      </c>
      <c r="AW217" s="798">
        <f>+'Venture Summary - Qrtly'!AW75</f>
        <v>0</v>
      </c>
      <c r="AX217" s="798"/>
    </row>
    <row r="218" spans="1:50" ht="12.75" customHeight="1" x14ac:dyDescent="0.3">
      <c r="A218" s="782"/>
      <c r="B218" s="782" t="s">
        <v>135</v>
      </c>
      <c r="C218" s="798">
        <f>SUM('Venture Summary - Qrtly'!E218:AX218)</f>
        <v>54047547.940419339</v>
      </c>
      <c r="D218" s="782"/>
      <c r="E218" s="798">
        <f>E217-E214-SUM($E213:E213)*(E$4=$C$207)</f>
        <v>0</v>
      </c>
      <c r="F218" s="798">
        <f>F217-F214-SUM($E213:F213)*(F$4=$C$207)</f>
        <v>0</v>
      </c>
      <c r="G218" s="798">
        <f>G217-G214-SUM($E213:G213)*(G$4=$C$207)</f>
        <v>0</v>
      </c>
      <c r="H218" s="798">
        <f>H217-H214-SUM($E213:H213)*(H$4=$C$207)</f>
        <v>0</v>
      </c>
      <c r="I218" s="798">
        <f>I217-I214-SUM($E213:I213)*(I$4=$C$207)</f>
        <v>0</v>
      </c>
      <c r="J218" s="798">
        <f>J217-J214-SUM($E213:J213)*(J$4=$C$207)</f>
        <v>0</v>
      </c>
      <c r="K218" s="798">
        <f>K217-K214-SUM($E213:K213)*(K$4=$C$207)</f>
        <v>0</v>
      </c>
      <c r="L218" s="798">
        <f>L217-L214-SUM($E213:L213)*(L$4=$C$207)</f>
        <v>0</v>
      </c>
      <c r="M218" s="798">
        <f>M217-M214-SUM($E213:M213)*(M$4=$C$207)</f>
        <v>0</v>
      </c>
      <c r="N218" s="798">
        <f>N217-N214-SUM($E213:N213)*(N$4=$C$207)</f>
        <v>0</v>
      </c>
      <c r="O218" s="798">
        <f>O217-O214-SUM($E213:O213)*(O$4=$C$207)</f>
        <v>0</v>
      </c>
      <c r="P218" s="798">
        <f>P217-P214-SUM($E213:P213)*(P$4=$C$207)</f>
        <v>54047547.940419339</v>
      </c>
      <c r="Q218" s="798">
        <f>Q217-Q214-SUM($E213:Q213)*(Q$4=$C$207)</f>
        <v>0</v>
      </c>
      <c r="R218" s="798">
        <f>R217-R214-SUM($E213:R213)*(R$4=$C$207)</f>
        <v>0</v>
      </c>
      <c r="S218" s="798">
        <f>S217-S214-SUM($E213:S213)*(S$4=$C$207)</f>
        <v>0</v>
      </c>
      <c r="T218" s="798">
        <f>T217-T214-SUM($E213:T213)*(T$4=$C$207)</f>
        <v>0</v>
      </c>
      <c r="U218" s="798">
        <f>U217-U214-SUM($E213:U213)*(U$4=$C$207)</f>
        <v>0</v>
      </c>
      <c r="V218" s="798">
        <f>V217-V214-SUM($E213:V213)*(V$4=$C$207)</f>
        <v>0</v>
      </c>
      <c r="W218" s="798">
        <f>W217-W214-SUM($E213:W213)*(W$4=$C$207)</f>
        <v>0</v>
      </c>
      <c r="X218" s="798">
        <f>X217-X214-SUM($E213:X213)*(X$4=$C$207)</f>
        <v>0</v>
      </c>
      <c r="Y218" s="798">
        <f>Y217-Y214-SUM($E213:Y213)*(Y$4=$C$207)</f>
        <v>0</v>
      </c>
      <c r="Z218" s="798">
        <f>Z217-Z214-SUM($E213:Z213)*(Z$4=$C$207)</f>
        <v>0</v>
      </c>
      <c r="AA218" s="798">
        <f>AA217-AA214-SUM($E213:AA213)*(AA$4=$C$207)</f>
        <v>0</v>
      </c>
      <c r="AB218" s="798">
        <f>AB217-AB214-SUM($E213:AB213)*(AB$4=$C$207)</f>
        <v>0</v>
      </c>
      <c r="AC218" s="798">
        <f>AC217-AC214-SUM($E213:AC213)*(AC$4=$C$207)</f>
        <v>0</v>
      </c>
      <c r="AD218" s="798">
        <f>AD217-AD214-SUM($E213:AD213)*(AD$4=$C$207)</f>
        <v>0</v>
      </c>
      <c r="AE218" s="798">
        <f>AE217-AE214-SUM($E213:AE213)*(AE$4=$C$207)</f>
        <v>0</v>
      </c>
      <c r="AF218" s="798">
        <f>AF217-AF214-SUM($E213:AF213)*(AF$4=$C$207)</f>
        <v>0</v>
      </c>
      <c r="AG218" s="798">
        <f>AG217-AG214-SUM($E213:AG213)*(AG$4=$C$207)</f>
        <v>0</v>
      </c>
      <c r="AH218" s="798">
        <f>AH217-AH214-SUM($E213:AH213)*(AH$4=$C$207)</f>
        <v>0</v>
      </c>
      <c r="AI218" s="798">
        <f>AI217-AI214-SUM($E213:AI213)*(AI$4=$C$207)</f>
        <v>0</v>
      </c>
      <c r="AJ218" s="798">
        <f>AJ217-AJ214-SUM($E213:AJ213)*(AJ$4=$C$207)</f>
        <v>0</v>
      </c>
      <c r="AK218" s="798">
        <f>AK217-AK214-SUM($E213:AK213)*(AK$4=$C$207)</f>
        <v>0</v>
      </c>
      <c r="AL218" s="798">
        <f>AL217-AL214-SUM($E213:AL213)*(AL$4=$C$207)</f>
        <v>0</v>
      </c>
      <c r="AM218" s="798">
        <f>AM217-AM214-SUM($E213:AM213)*(AM$4=$C$207)</f>
        <v>0</v>
      </c>
      <c r="AN218" s="798">
        <f>AN217-AN214-SUM($E213:AN213)*(AN$4=$C$207)</f>
        <v>0</v>
      </c>
      <c r="AO218" s="798">
        <f>AO217-AO214-SUM($E213:AO213)*(AO$4=$C$207)</f>
        <v>0</v>
      </c>
      <c r="AP218" s="798">
        <f>AP217-AP214-SUM($E213:AP213)*(AP$4=$C$207)</f>
        <v>0</v>
      </c>
      <c r="AQ218" s="798">
        <f>AQ217-AQ214-SUM($E213:AQ213)*(AQ$4=$C$207)</f>
        <v>0</v>
      </c>
      <c r="AR218" s="798">
        <f>AR217-AR214-SUM($E213:AR213)*(AR$4=$C$207)</f>
        <v>0</v>
      </c>
      <c r="AS218" s="798">
        <f>AS217-AS214-SUM($E213:AS213)*(AS$4=$C$207)</f>
        <v>0</v>
      </c>
      <c r="AT218" s="798">
        <f>AT217-AT214-SUM($E213:AT213)*(AT$4=$C$207)</f>
        <v>0</v>
      </c>
      <c r="AU218" s="798">
        <f>AU217-AU214-SUM($E213:AU213)*(AU$4=$C$207)</f>
        <v>0</v>
      </c>
      <c r="AV218" s="798">
        <f>AV217-AV214-SUM($E213:AV213)*(AV$4=$C$207)</f>
        <v>0</v>
      </c>
      <c r="AW218" s="798">
        <f>AW217-AW214-SUM($E213:AW213)*(AW$4=$C$207)</f>
        <v>0</v>
      </c>
      <c r="AX218" s="798"/>
    </row>
    <row r="219" spans="1:50" ht="12.75" customHeight="1" x14ac:dyDescent="0.3">
      <c r="A219" s="782"/>
      <c r="B219" s="782"/>
      <c r="C219" s="782"/>
      <c r="D219" s="782"/>
      <c r="E219" s="782"/>
      <c r="F219" s="782"/>
      <c r="G219" s="782"/>
      <c r="H219" s="782"/>
      <c r="I219" s="782"/>
      <c r="J219" s="782"/>
      <c r="K219" s="782"/>
      <c r="L219" s="782"/>
      <c r="M219" s="782"/>
      <c r="N219" s="782"/>
      <c r="O219" s="782"/>
      <c r="P219" s="782"/>
      <c r="Q219" s="782"/>
      <c r="R219" s="782"/>
      <c r="S219" s="782"/>
      <c r="T219" s="782"/>
      <c r="U219" s="782"/>
      <c r="V219" s="782"/>
      <c r="W219" s="782"/>
      <c r="X219" s="782"/>
      <c r="Y219" s="782"/>
      <c r="Z219" s="782"/>
      <c r="AA219" s="782"/>
      <c r="AB219" s="782"/>
      <c r="AC219" s="782"/>
      <c r="AD219" s="782"/>
      <c r="AE219" s="782"/>
      <c r="AF219" s="782"/>
      <c r="AG219" s="782"/>
      <c r="AH219" s="782"/>
      <c r="AI219" s="782"/>
      <c r="AJ219" s="782"/>
      <c r="AK219" s="782"/>
      <c r="AL219" s="782"/>
      <c r="AM219" s="782"/>
      <c r="AN219" s="782"/>
      <c r="AO219" s="782"/>
      <c r="AP219" s="782"/>
      <c r="AQ219" s="782"/>
      <c r="AR219" s="782"/>
      <c r="AS219" s="782"/>
      <c r="AT219" s="782"/>
      <c r="AU219" s="782"/>
      <c r="AV219" s="782"/>
      <c r="AW219" s="782"/>
      <c r="AX219" s="782"/>
    </row>
    <row r="220" spans="1:50" ht="12.75" customHeight="1" x14ac:dyDescent="0.3">
      <c r="A220" s="782"/>
      <c r="B220" s="796" t="s">
        <v>136</v>
      </c>
      <c r="C220" s="798"/>
      <c r="D220" s="782"/>
      <c r="E220" s="782"/>
      <c r="F220" s="782"/>
      <c r="G220" s="782"/>
      <c r="H220" s="782"/>
      <c r="I220" s="782"/>
      <c r="J220" s="782"/>
      <c r="K220" s="782"/>
      <c r="L220" s="782"/>
      <c r="M220" s="782"/>
      <c r="N220" s="782"/>
      <c r="O220" s="782"/>
      <c r="P220" s="782"/>
      <c r="Q220" s="782"/>
      <c r="R220" s="782"/>
      <c r="S220" s="782"/>
      <c r="T220" s="782"/>
      <c r="U220" s="782"/>
      <c r="V220" s="782"/>
      <c r="W220" s="782"/>
      <c r="X220" s="782"/>
      <c r="Y220" s="782"/>
      <c r="Z220" s="782"/>
      <c r="AA220" s="782"/>
      <c r="AB220" s="782"/>
      <c r="AC220" s="782"/>
      <c r="AD220" s="782"/>
      <c r="AE220" s="782"/>
      <c r="AF220" s="782"/>
      <c r="AG220" s="782"/>
      <c r="AH220" s="782"/>
      <c r="AI220" s="782"/>
      <c r="AJ220" s="782"/>
      <c r="AK220" s="782"/>
      <c r="AL220" s="782"/>
      <c r="AM220" s="782"/>
      <c r="AN220" s="782"/>
      <c r="AO220" s="782"/>
      <c r="AP220" s="782"/>
      <c r="AQ220" s="782"/>
      <c r="AR220" s="782"/>
      <c r="AS220" s="782"/>
      <c r="AT220" s="782"/>
      <c r="AU220" s="782"/>
      <c r="AV220" s="782"/>
      <c r="AW220" s="782"/>
      <c r="AX220" s="782"/>
    </row>
    <row r="221" spans="1:50" ht="12.75" customHeight="1" x14ac:dyDescent="0.3">
      <c r="A221" s="782"/>
      <c r="B221" s="782" t="s">
        <v>137</v>
      </c>
      <c r="C221" s="798"/>
      <c r="D221" s="782"/>
      <c r="E221" s="782">
        <f>IF(E4&lt;=$C$207,1,0)</f>
        <v>1</v>
      </c>
      <c r="F221" s="782">
        <f t="shared" ref="F221:AW221" si="41">IF(F4&lt;=$C$207,1,0)</f>
        <v>1</v>
      </c>
      <c r="G221" s="782">
        <f t="shared" si="41"/>
        <v>1</v>
      </c>
      <c r="H221" s="782">
        <f t="shared" si="41"/>
        <v>1</v>
      </c>
      <c r="I221" s="782">
        <f t="shared" si="41"/>
        <v>1</v>
      </c>
      <c r="J221" s="782">
        <f t="shared" si="41"/>
        <v>1</v>
      </c>
      <c r="K221" s="782">
        <f t="shared" si="41"/>
        <v>1</v>
      </c>
      <c r="L221" s="782">
        <f t="shared" si="41"/>
        <v>1</v>
      </c>
      <c r="M221" s="782">
        <f t="shared" si="41"/>
        <v>1</v>
      </c>
      <c r="N221" s="782">
        <f t="shared" si="41"/>
        <v>1</v>
      </c>
      <c r="O221" s="782">
        <f t="shared" si="41"/>
        <v>1</v>
      </c>
      <c r="P221" s="782">
        <f t="shared" si="41"/>
        <v>0</v>
      </c>
      <c r="Q221" s="782">
        <f t="shared" si="41"/>
        <v>0</v>
      </c>
      <c r="R221" s="782">
        <f t="shared" si="41"/>
        <v>0</v>
      </c>
      <c r="S221" s="782">
        <f t="shared" si="41"/>
        <v>0</v>
      </c>
      <c r="T221" s="782">
        <f t="shared" si="41"/>
        <v>0</v>
      </c>
      <c r="U221" s="782">
        <f t="shared" si="41"/>
        <v>0</v>
      </c>
      <c r="V221" s="782">
        <f t="shared" si="41"/>
        <v>0</v>
      </c>
      <c r="W221" s="782">
        <f t="shared" si="41"/>
        <v>0</v>
      </c>
      <c r="X221" s="782">
        <f t="shared" si="41"/>
        <v>0</v>
      </c>
      <c r="Y221" s="782">
        <f t="shared" si="41"/>
        <v>0</v>
      </c>
      <c r="Z221" s="782">
        <f t="shared" si="41"/>
        <v>0</v>
      </c>
      <c r="AA221" s="782">
        <f t="shared" si="41"/>
        <v>0</v>
      </c>
      <c r="AB221" s="782">
        <f t="shared" si="41"/>
        <v>0</v>
      </c>
      <c r="AC221" s="782">
        <f t="shared" si="41"/>
        <v>0</v>
      </c>
      <c r="AD221" s="782">
        <f t="shared" si="41"/>
        <v>0</v>
      </c>
      <c r="AE221" s="782">
        <f t="shared" si="41"/>
        <v>0</v>
      </c>
      <c r="AF221" s="782">
        <f t="shared" si="41"/>
        <v>0</v>
      </c>
      <c r="AG221" s="782">
        <f t="shared" si="41"/>
        <v>0</v>
      </c>
      <c r="AH221" s="782">
        <f t="shared" si="41"/>
        <v>0</v>
      </c>
      <c r="AI221" s="782">
        <f t="shared" si="41"/>
        <v>0</v>
      </c>
      <c r="AJ221" s="782">
        <f t="shared" si="41"/>
        <v>0</v>
      </c>
      <c r="AK221" s="782">
        <f t="shared" si="41"/>
        <v>0</v>
      </c>
      <c r="AL221" s="782">
        <f t="shared" si="41"/>
        <v>0</v>
      </c>
      <c r="AM221" s="782">
        <f t="shared" si="41"/>
        <v>0</v>
      </c>
      <c r="AN221" s="782">
        <f t="shared" si="41"/>
        <v>0</v>
      </c>
      <c r="AO221" s="782">
        <f t="shared" si="41"/>
        <v>0</v>
      </c>
      <c r="AP221" s="782">
        <f t="shared" si="41"/>
        <v>0</v>
      </c>
      <c r="AQ221" s="782">
        <f t="shared" si="41"/>
        <v>0</v>
      </c>
      <c r="AR221" s="782">
        <f t="shared" si="41"/>
        <v>0</v>
      </c>
      <c r="AS221" s="782">
        <f t="shared" si="41"/>
        <v>0</v>
      </c>
      <c r="AT221" s="782">
        <f t="shared" si="41"/>
        <v>0</v>
      </c>
      <c r="AU221" s="782">
        <f t="shared" si="41"/>
        <v>0</v>
      </c>
      <c r="AV221" s="782">
        <f t="shared" si="41"/>
        <v>0</v>
      </c>
      <c r="AW221" s="782">
        <f t="shared" si="41"/>
        <v>0</v>
      </c>
      <c r="AX221" s="782"/>
    </row>
    <row r="222" spans="1:50" ht="12.75" customHeight="1" x14ac:dyDescent="0.3">
      <c r="A222" s="782"/>
      <c r="B222" s="782" t="s">
        <v>138</v>
      </c>
      <c r="C222" s="798"/>
      <c r="D222" s="782"/>
      <c r="E222" s="782">
        <f>IF(E4=$C$207,1,0)</f>
        <v>0</v>
      </c>
      <c r="F222" s="782">
        <f t="shared" ref="F222:AW222" si="42">IF(F4=$C$207,1,0)</f>
        <v>0</v>
      </c>
      <c r="G222" s="782">
        <f t="shared" si="42"/>
        <v>0</v>
      </c>
      <c r="H222" s="782">
        <f t="shared" si="42"/>
        <v>0</v>
      </c>
      <c r="I222" s="782">
        <f t="shared" si="42"/>
        <v>0</v>
      </c>
      <c r="J222" s="782">
        <f t="shared" si="42"/>
        <v>0</v>
      </c>
      <c r="K222" s="782">
        <f t="shared" si="42"/>
        <v>0</v>
      </c>
      <c r="L222" s="782">
        <f t="shared" si="42"/>
        <v>0</v>
      </c>
      <c r="M222" s="782">
        <f t="shared" si="42"/>
        <v>0</v>
      </c>
      <c r="N222" s="782">
        <f t="shared" si="42"/>
        <v>0</v>
      </c>
      <c r="O222" s="782">
        <f t="shared" si="42"/>
        <v>0</v>
      </c>
      <c r="P222" s="782">
        <f t="shared" si="42"/>
        <v>0</v>
      </c>
      <c r="Q222" s="782">
        <f t="shared" si="42"/>
        <v>0</v>
      </c>
      <c r="R222" s="782">
        <f t="shared" si="42"/>
        <v>0</v>
      </c>
      <c r="S222" s="782">
        <f t="shared" si="42"/>
        <v>0</v>
      </c>
      <c r="T222" s="782">
        <f t="shared" si="42"/>
        <v>0</v>
      </c>
      <c r="U222" s="782">
        <f t="shared" si="42"/>
        <v>0</v>
      </c>
      <c r="V222" s="782">
        <f t="shared" si="42"/>
        <v>0</v>
      </c>
      <c r="W222" s="782">
        <f t="shared" si="42"/>
        <v>0</v>
      </c>
      <c r="X222" s="782">
        <f t="shared" si="42"/>
        <v>0</v>
      </c>
      <c r="Y222" s="782">
        <f t="shared" si="42"/>
        <v>0</v>
      </c>
      <c r="Z222" s="782">
        <f t="shared" si="42"/>
        <v>0</v>
      </c>
      <c r="AA222" s="782">
        <f t="shared" si="42"/>
        <v>0</v>
      </c>
      <c r="AB222" s="782">
        <f t="shared" si="42"/>
        <v>0</v>
      </c>
      <c r="AC222" s="782">
        <f t="shared" si="42"/>
        <v>0</v>
      </c>
      <c r="AD222" s="782">
        <f t="shared" si="42"/>
        <v>0</v>
      </c>
      <c r="AE222" s="782">
        <f t="shared" si="42"/>
        <v>0</v>
      </c>
      <c r="AF222" s="782">
        <f t="shared" si="42"/>
        <v>0</v>
      </c>
      <c r="AG222" s="782">
        <f t="shared" si="42"/>
        <v>0</v>
      </c>
      <c r="AH222" s="782">
        <f t="shared" si="42"/>
        <v>0</v>
      </c>
      <c r="AI222" s="782">
        <f t="shared" si="42"/>
        <v>0</v>
      </c>
      <c r="AJ222" s="782">
        <f t="shared" si="42"/>
        <v>0</v>
      </c>
      <c r="AK222" s="782">
        <f t="shared" si="42"/>
        <v>0</v>
      </c>
      <c r="AL222" s="782">
        <f t="shared" si="42"/>
        <v>0</v>
      </c>
      <c r="AM222" s="782">
        <f t="shared" si="42"/>
        <v>0</v>
      </c>
      <c r="AN222" s="782">
        <f t="shared" si="42"/>
        <v>0</v>
      </c>
      <c r="AO222" s="782">
        <f t="shared" si="42"/>
        <v>0</v>
      </c>
      <c r="AP222" s="782">
        <f t="shared" si="42"/>
        <v>0</v>
      </c>
      <c r="AQ222" s="782">
        <f t="shared" si="42"/>
        <v>0</v>
      </c>
      <c r="AR222" s="782">
        <f t="shared" si="42"/>
        <v>0</v>
      </c>
      <c r="AS222" s="782">
        <f t="shared" si="42"/>
        <v>0</v>
      </c>
      <c r="AT222" s="782">
        <f t="shared" si="42"/>
        <v>0</v>
      </c>
      <c r="AU222" s="782">
        <f t="shared" si="42"/>
        <v>0</v>
      </c>
      <c r="AV222" s="782">
        <f t="shared" si="42"/>
        <v>0</v>
      </c>
      <c r="AW222" s="782">
        <f t="shared" si="42"/>
        <v>0</v>
      </c>
      <c r="AX222" s="782"/>
    </row>
    <row r="223" spans="1:50" ht="12.75" customHeight="1" x14ac:dyDescent="0.3">
      <c r="A223" s="782"/>
      <c r="B223" s="782"/>
      <c r="C223" s="798"/>
      <c r="D223" s="782"/>
      <c r="E223" s="782"/>
      <c r="F223" s="782"/>
      <c r="G223" s="782"/>
      <c r="H223" s="782"/>
      <c r="I223" s="782"/>
      <c r="J223" s="782"/>
      <c r="K223" s="782"/>
      <c r="L223" s="782"/>
      <c r="M223" s="782"/>
      <c r="N223" s="782"/>
      <c r="O223" s="782"/>
      <c r="P223" s="782"/>
      <c r="Q223" s="782"/>
      <c r="R223" s="782"/>
      <c r="S223" s="782"/>
      <c r="T223" s="782"/>
      <c r="U223" s="782"/>
      <c r="V223" s="782"/>
      <c r="W223" s="782"/>
      <c r="X223" s="782"/>
      <c r="Y223" s="782"/>
      <c r="Z223" s="782"/>
      <c r="AA223" s="782"/>
      <c r="AB223" s="782"/>
      <c r="AC223" s="782"/>
      <c r="AD223" s="782"/>
      <c r="AE223" s="782"/>
      <c r="AF223" s="782"/>
      <c r="AG223" s="782"/>
      <c r="AH223" s="782"/>
      <c r="AI223" s="782"/>
      <c r="AJ223" s="782"/>
      <c r="AK223" s="782"/>
      <c r="AL223" s="782"/>
      <c r="AM223" s="782"/>
      <c r="AN223" s="782"/>
      <c r="AO223" s="782"/>
      <c r="AP223" s="782"/>
      <c r="AQ223" s="782"/>
      <c r="AR223" s="782"/>
      <c r="AS223" s="782"/>
      <c r="AT223" s="782"/>
      <c r="AU223" s="782"/>
      <c r="AV223" s="782"/>
      <c r="AW223" s="782"/>
      <c r="AX223" s="782"/>
    </row>
    <row r="224" spans="1:50" ht="12.75" customHeight="1" x14ac:dyDescent="0.3">
      <c r="A224" s="782"/>
      <c r="B224" s="782" t="s">
        <v>139</v>
      </c>
      <c r="C224" s="804">
        <f>SUM(E224:AX224)</f>
        <v>-33650095.02365011</v>
      </c>
      <c r="D224" s="782"/>
      <c r="E224" s="798">
        <f>+'Venture Summary - Qrtly'!E74</f>
        <v>-1943435.5218400576</v>
      </c>
      <c r="F224" s="798">
        <f>+'Venture Summary - Qrtly'!F74</f>
        <v>-16439275.889004555</v>
      </c>
      <c r="G224" s="798">
        <f>+'Venture Summary - Qrtly'!G74</f>
        <v>-5353413.4459025264</v>
      </c>
      <c r="H224" s="798">
        <f>+'Venture Summary - Qrtly'!H74</f>
        <v>-9472150.2761177868</v>
      </c>
      <c r="I224" s="798">
        <f>+'Venture Summary - Qrtly'!I74</f>
        <v>-2137816.1256360402</v>
      </c>
      <c r="J224" s="798">
        <f>+'Venture Summary - Qrtly'!J74</f>
        <v>-72420.822304572444</v>
      </c>
      <c r="K224" s="798">
        <f>+'Venture Summary - Qrtly'!K74</f>
        <v>-83036.515302762389</v>
      </c>
      <c r="L224" s="798">
        <f>+'Venture Summary - Qrtly'!L74</f>
        <v>-91714.024932564469</v>
      </c>
      <c r="M224" s="798">
        <f>+'Venture Summary - Qrtly'!M74</f>
        <v>-53458.906785300234</v>
      </c>
      <c r="N224" s="798">
        <f>+'Venture Summary - Qrtly'!N74</f>
        <v>333905.82129426819</v>
      </c>
      <c r="O224" s="798">
        <f>+'Venture Summary - Qrtly'!O74</f>
        <v>805484.12039401848</v>
      </c>
      <c r="P224" s="798">
        <f>+'Venture Summary - Qrtly'!P74</f>
        <v>857236.5624877559</v>
      </c>
      <c r="Q224" s="798">
        <f>+'Venture Summary - Qrtly'!Q74</f>
        <v>0</v>
      </c>
      <c r="R224" s="798">
        <f>+'Venture Summary - Qrtly'!R74</f>
        <v>0</v>
      </c>
      <c r="S224" s="798">
        <f>+'Venture Summary - Qrtly'!S74</f>
        <v>0</v>
      </c>
      <c r="T224" s="798">
        <f>+'Venture Summary - Qrtly'!T74</f>
        <v>0</v>
      </c>
      <c r="U224" s="798">
        <f>+'Venture Summary - Qrtly'!U74</f>
        <v>0</v>
      </c>
      <c r="V224" s="798">
        <f>+'Venture Summary - Qrtly'!V74</f>
        <v>0</v>
      </c>
      <c r="W224" s="798">
        <f>+'Venture Summary - Qrtly'!W74</f>
        <v>0</v>
      </c>
      <c r="X224" s="798">
        <f>+'Venture Summary - Qrtly'!X74</f>
        <v>0</v>
      </c>
      <c r="Y224" s="798">
        <f>+'Venture Summary - Qrtly'!Y74</f>
        <v>0</v>
      </c>
      <c r="Z224" s="798">
        <f>+'Venture Summary - Qrtly'!Z74</f>
        <v>0</v>
      </c>
      <c r="AA224" s="798">
        <f>+'Venture Summary - Qrtly'!AA74</f>
        <v>0</v>
      </c>
      <c r="AB224" s="798">
        <f>+'Venture Summary - Qrtly'!AB74</f>
        <v>0</v>
      </c>
      <c r="AC224" s="798">
        <f>+'Venture Summary - Qrtly'!AC74</f>
        <v>0</v>
      </c>
      <c r="AD224" s="798">
        <f>+'Venture Summary - Qrtly'!AD74</f>
        <v>0</v>
      </c>
      <c r="AE224" s="798">
        <f>+'Venture Summary - Qrtly'!AE74</f>
        <v>0</v>
      </c>
      <c r="AF224" s="798">
        <f>+'Venture Summary - Qrtly'!AF74</f>
        <v>0</v>
      </c>
      <c r="AG224" s="798">
        <f>+'Venture Summary - Qrtly'!AG74</f>
        <v>0</v>
      </c>
      <c r="AH224" s="798">
        <f>+'Venture Summary - Qrtly'!AH74</f>
        <v>0</v>
      </c>
      <c r="AI224" s="798">
        <f>+'Venture Summary - Qrtly'!AI74</f>
        <v>0</v>
      </c>
      <c r="AJ224" s="798">
        <f>+'Venture Summary - Qrtly'!AJ74</f>
        <v>0</v>
      </c>
      <c r="AK224" s="798">
        <f>+'Venture Summary - Qrtly'!AK74</f>
        <v>0</v>
      </c>
      <c r="AL224" s="798">
        <f>+'Venture Summary - Qrtly'!AL74</f>
        <v>0</v>
      </c>
      <c r="AM224" s="798">
        <f>+'Venture Summary - Qrtly'!AM74</f>
        <v>0</v>
      </c>
      <c r="AN224" s="798">
        <f>+'Venture Summary - Qrtly'!AN74</f>
        <v>0</v>
      </c>
      <c r="AO224" s="798">
        <f>+'Venture Summary - Qrtly'!AO74</f>
        <v>0</v>
      </c>
      <c r="AP224" s="798">
        <f>+'Venture Summary - Qrtly'!AP74</f>
        <v>0</v>
      </c>
      <c r="AQ224" s="798">
        <f>+'Venture Summary - Qrtly'!AQ74</f>
        <v>0</v>
      </c>
      <c r="AR224" s="798">
        <f>+'Venture Summary - Qrtly'!AR74</f>
        <v>0</v>
      </c>
      <c r="AS224" s="798">
        <f>+'Venture Summary - Qrtly'!AS74</f>
        <v>0</v>
      </c>
      <c r="AT224" s="798">
        <f>+'Venture Summary - Qrtly'!AT74</f>
        <v>0</v>
      </c>
      <c r="AU224" s="798">
        <f>+'Venture Summary - Qrtly'!AU74</f>
        <v>0</v>
      </c>
      <c r="AV224" s="798">
        <f>+'Venture Summary - Qrtly'!AV74</f>
        <v>0</v>
      </c>
      <c r="AW224" s="798">
        <f>+'Venture Summary - Qrtly'!AW74</f>
        <v>0</v>
      </c>
      <c r="AX224" s="798"/>
    </row>
    <row r="225" spans="1:50" ht="12.75" customHeight="1" x14ac:dyDescent="0.3">
      <c r="A225" s="782"/>
      <c r="B225" s="781" t="s">
        <v>140</v>
      </c>
      <c r="C225" s="804">
        <f>SUM(E225:AX225)</f>
        <v>54047547.940419339</v>
      </c>
      <c r="D225" s="782"/>
      <c r="E225" s="799">
        <f t="shared" ref="E225:AW225" si="43">E217-E214</f>
        <v>0</v>
      </c>
      <c r="F225" s="799">
        <f t="shared" si="43"/>
        <v>0</v>
      </c>
      <c r="G225" s="799">
        <f t="shared" si="43"/>
        <v>0</v>
      </c>
      <c r="H225" s="799">
        <f t="shared" si="43"/>
        <v>0</v>
      </c>
      <c r="I225" s="799">
        <f t="shared" si="43"/>
        <v>0</v>
      </c>
      <c r="J225" s="799">
        <f t="shared" si="43"/>
        <v>0</v>
      </c>
      <c r="K225" s="799">
        <f t="shared" si="43"/>
        <v>0</v>
      </c>
      <c r="L225" s="799">
        <f t="shared" si="43"/>
        <v>0</v>
      </c>
      <c r="M225" s="799">
        <f t="shared" si="43"/>
        <v>0</v>
      </c>
      <c r="N225" s="799">
        <f t="shared" si="43"/>
        <v>0</v>
      </c>
      <c r="O225" s="799">
        <f t="shared" si="43"/>
        <v>0</v>
      </c>
      <c r="P225" s="799">
        <f t="shared" si="43"/>
        <v>54047547.940419339</v>
      </c>
      <c r="Q225" s="799">
        <f t="shared" si="43"/>
        <v>0</v>
      </c>
      <c r="R225" s="799">
        <f t="shared" si="43"/>
        <v>0</v>
      </c>
      <c r="S225" s="799">
        <f t="shared" si="43"/>
        <v>0</v>
      </c>
      <c r="T225" s="799">
        <f t="shared" si="43"/>
        <v>0</v>
      </c>
      <c r="U225" s="799">
        <f t="shared" si="43"/>
        <v>0</v>
      </c>
      <c r="V225" s="799">
        <f t="shared" si="43"/>
        <v>0</v>
      </c>
      <c r="W225" s="799">
        <f t="shared" si="43"/>
        <v>0</v>
      </c>
      <c r="X225" s="799">
        <f t="shared" si="43"/>
        <v>0</v>
      </c>
      <c r="Y225" s="799">
        <f t="shared" si="43"/>
        <v>0</v>
      </c>
      <c r="Z225" s="799">
        <f t="shared" si="43"/>
        <v>0</v>
      </c>
      <c r="AA225" s="799">
        <f t="shared" si="43"/>
        <v>0</v>
      </c>
      <c r="AB225" s="799">
        <f t="shared" si="43"/>
        <v>0</v>
      </c>
      <c r="AC225" s="799">
        <f t="shared" si="43"/>
        <v>0</v>
      </c>
      <c r="AD225" s="799">
        <f t="shared" si="43"/>
        <v>0</v>
      </c>
      <c r="AE225" s="799">
        <f t="shared" si="43"/>
        <v>0</v>
      </c>
      <c r="AF225" s="799">
        <f t="shared" si="43"/>
        <v>0</v>
      </c>
      <c r="AG225" s="799">
        <f t="shared" si="43"/>
        <v>0</v>
      </c>
      <c r="AH225" s="799">
        <f t="shared" si="43"/>
        <v>0</v>
      </c>
      <c r="AI225" s="799">
        <f t="shared" si="43"/>
        <v>0</v>
      </c>
      <c r="AJ225" s="799">
        <f t="shared" si="43"/>
        <v>0</v>
      </c>
      <c r="AK225" s="799">
        <f t="shared" si="43"/>
        <v>0</v>
      </c>
      <c r="AL225" s="799">
        <f t="shared" si="43"/>
        <v>0</v>
      </c>
      <c r="AM225" s="799">
        <f t="shared" si="43"/>
        <v>0</v>
      </c>
      <c r="AN225" s="799">
        <f t="shared" si="43"/>
        <v>0</v>
      </c>
      <c r="AO225" s="799">
        <f t="shared" si="43"/>
        <v>0</v>
      </c>
      <c r="AP225" s="799">
        <f t="shared" si="43"/>
        <v>0</v>
      </c>
      <c r="AQ225" s="799">
        <f t="shared" si="43"/>
        <v>0</v>
      </c>
      <c r="AR225" s="799">
        <f t="shared" si="43"/>
        <v>0</v>
      </c>
      <c r="AS225" s="799">
        <f t="shared" si="43"/>
        <v>0</v>
      </c>
      <c r="AT225" s="799">
        <f t="shared" si="43"/>
        <v>0</v>
      </c>
      <c r="AU225" s="799">
        <f t="shared" si="43"/>
        <v>0</v>
      </c>
      <c r="AV225" s="799">
        <f t="shared" si="43"/>
        <v>0</v>
      </c>
      <c r="AW225" s="799">
        <f t="shared" si="43"/>
        <v>0</v>
      </c>
      <c r="AX225" s="798"/>
    </row>
    <row r="226" spans="1:50" ht="12.75" customHeight="1" x14ac:dyDescent="0.3">
      <c r="A226" s="782"/>
      <c r="B226" s="782" t="s">
        <v>141</v>
      </c>
      <c r="C226" s="820">
        <f>SUM(E226:AX226)</f>
        <v>20397452.916769229</v>
      </c>
      <c r="D226" s="821"/>
      <c r="E226" s="798">
        <f t="shared" ref="E226:AW226" si="44">SUM(E224:E225)</f>
        <v>-1943435.5218400576</v>
      </c>
      <c r="F226" s="798">
        <f t="shared" si="44"/>
        <v>-16439275.889004555</v>
      </c>
      <c r="G226" s="798">
        <f t="shared" si="44"/>
        <v>-5353413.4459025264</v>
      </c>
      <c r="H226" s="798">
        <f t="shared" si="44"/>
        <v>-9472150.2761177868</v>
      </c>
      <c r="I226" s="798">
        <f t="shared" si="44"/>
        <v>-2137816.1256360402</v>
      </c>
      <c r="J226" s="798">
        <f t="shared" si="44"/>
        <v>-72420.822304572444</v>
      </c>
      <c r="K226" s="798">
        <f t="shared" si="44"/>
        <v>-83036.515302762389</v>
      </c>
      <c r="L226" s="798">
        <f t="shared" si="44"/>
        <v>-91714.024932564469</v>
      </c>
      <c r="M226" s="798">
        <f t="shared" si="44"/>
        <v>-53458.906785300234</v>
      </c>
      <c r="N226" s="798">
        <f t="shared" si="44"/>
        <v>333905.82129426819</v>
      </c>
      <c r="O226" s="798">
        <f t="shared" si="44"/>
        <v>805484.12039401848</v>
      </c>
      <c r="P226" s="798">
        <f t="shared" si="44"/>
        <v>54904784.502907097</v>
      </c>
      <c r="Q226" s="798">
        <f t="shared" si="44"/>
        <v>0</v>
      </c>
      <c r="R226" s="798">
        <f t="shared" si="44"/>
        <v>0</v>
      </c>
      <c r="S226" s="798">
        <f t="shared" si="44"/>
        <v>0</v>
      </c>
      <c r="T226" s="798">
        <f t="shared" si="44"/>
        <v>0</v>
      </c>
      <c r="U226" s="798">
        <f t="shared" si="44"/>
        <v>0</v>
      </c>
      <c r="V226" s="798">
        <f t="shared" si="44"/>
        <v>0</v>
      </c>
      <c r="W226" s="798">
        <f t="shared" si="44"/>
        <v>0</v>
      </c>
      <c r="X226" s="798">
        <f t="shared" si="44"/>
        <v>0</v>
      </c>
      <c r="Y226" s="798">
        <f t="shared" si="44"/>
        <v>0</v>
      </c>
      <c r="Z226" s="798">
        <f t="shared" si="44"/>
        <v>0</v>
      </c>
      <c r="AA226" s="798">
        <f t="shared" si="44"/>
        <v>0</v>
      </c>
      <c r="AB226" s="798">
        <f t="shared" si="44"/>
        <v>0</v>
      </c>
      <c r="AC226" s="798">
        <f t="shared" si="44"/>
        <v>0</v>
      </c>
      <c r="AD226" s="798">
        <f t="shared" si="44"/>
        <v>0</v>
      </c>
      <c r="AE226" s="798">
        <f t="shared" si="44"/>
        <v>0</v>
      </c>
      <c r="AF226" s="798">
        <f t="shared" si="44"/>
        <v>0</v>
      </c>
      <c r="AG226" s="798">
        <f t="shared" si="44"/>
        <v>0</v>
      </c>
      <c r="AH226" s="798">
        <f t="shared" si="44"/>
        <v>0</v>
      </c>
      <c r="AI226" s="798">
        <f t="shared" si="44"/>
        <v>0</v>
      </c>
      <c r="AJ226" s="798">
        <f t="shared" si="44"/>
        <v>0</v>
      </c>
      <c r="AK226" s="798">
        <f t="shared" si="44"/>
        <v>0</v>
      </c>
      <c r="AL226" s="798">
        <f t="shared" si="44"/>
        <v>0</v>
      </c>
      <c r="AM226" s="798">
        <f t="shared" si="44"/>
        <v>0</v>
      </c>
      <c r="AN226" s="798">
        <f t="shared" si="44"/>
        <v>0</v>
      </c>
      <c r="AO226" s="798">
        <f t="shared" si="44"/>
        <v>0</v>
      </c>
      <c r="AP226" s="798">
        <f t="shared" si="44"/>
        <v>0</v>
      </c>
      <c r="AQ226" s="798">
        <f t="shared" si="44"/>
        <v>0</v>
      </c>
      <c r="AR226" s="798">
        <f t="shared" si="44"/>
        <v>0</v>
      </c>
      <c r="AS226" s="798">
        <f t="shared" si="44"/>
        <v>0</v>
      </c>
      <c r="AT226" s="798">
        <f t="shared" si="44"/>
        <v>0</v>
      </c>
      <c r="AU226" s="798">
        <f t="shared" si="44"/>
        <v>0</v>
      </c>
      <c r="AV226" s="798">
        <f t="shared" si="44"/>
        <v>0</v>
      </c>
      <c r="AW226" s="798">
        <f t="shared" si="44"/>
        <v>0</v>
      </c>
      <c r="AX226" s="798"/>
    </row>
    <row r="227" spans="1:50" ht="12.75" customHeight="1" x14ac:dyDescent="0.3">
      <c r="A227" s="782"/>
      <c r="B227" s="800" t="s">
        <v>142</v>
      </c>
      <c r="C227" s="801">
        <f>'Venture Summary - Mthly'!C230</f>
        <v>0.21550791859626769</v>
      </c>
      <c r="D227" s="782"/>
      <c r="E227" s="782"/>
      <c r="F227" s="782"/>
      <c r="G227" s="782"/>
      <c r="H227" s="782"/>
      <c r="I227" s="782"/>
      <c r="J227" s="782"/>
      <c r="K227" s="782"/>
      <c r="L227" s="782"/>
      <c r="M227" s="782"/>
      <c r="N227" s="782"/>
      <c r="O227" s="782"/>
      <c r="P227" s="782"/>
      <c r="Q227" s="782"/>
      <c r="R227" s="782"/>
      <c r="S227" s="782"/>
      <c r="T227" s="782"/>
      <c r="U227" s="782"/>
      <c r="V227" s="782"/>
      <c r="W227" s="782"/>
      <c r="X227" s="782"/>
      <c r="Y227" s="782"/>
      <c r="Z227" s="782"/>
      <c r="AA227" s="782"/>
      <c r="AB227" s="782"/>
      <c r="AC227" s="782"/>
      <c r="AD227" s="782"/>
      <c r="AE227" s="782"/>
      <c r="AF227" s="782"/>
      <c r="AG227" s="782"/>
      <c r="AH227" s="782"/>
      <c r="AI227" s="782"/>
      <c r="AJ227" s="782"/>
      <c r="AK227" s="782"/>
      <c r="AL227" s="782"/>
      <c r="AM227" s="782"/>
      <c r="AN227" s="782"/>
      <c r="AO227" s="782"/>
      <c r="AP227" s="782"/>
      <c r="AQ227" s="782"/>
      <c r="AR227" s="782"/>
      <c r="AS227" s="782"/>
      <c r="AT227" s="782"/>
      <c r="AU227" s="782"/>
      <c r="AV227" s="782"/>
      <c r="AW227" s="782"/>
      <c r="AX227" s="782"/>
    </row>
    <row r="228" spans="1:50" ht="12.75" customHeight="1" x14ac:dyDescent="0.3">
      <c r="A228" s="782"/>
      <c r="B228" s="782"/>
      <c r="C228" s="798"/>
      <c r="D228" s="782"/>
      <c r="E228" s="782"/>
      <c r="F228" s="782"/>
      <c r="G228" s="782"/>
      <c r="H228" s="782"/>
      <c r="I228" s="782"/>
      <c r="J228" s="782"/>
      <c r="K228" s="782"/>
      <c r="L228" s="782"/>
      <c r="M228" s="782"/>
      <c r="N228" s="782"/>
      <c r="O228" s="782"/>
      <c r="P228" s="782"/>
      <c r="Q228" s="782"/>
      <c r="R228" s="782"/>
      <c r="S228" s="782"/>
      <c r="T228" s="782"/>
      <c r="U228" s="782"/>
      <c r="V228" s="782"/>
      <c r="W228" s="782"/>
      <c r="X228" s="782"/>
      <c r="Y228" s="782"/>
      <c r="Z228" s="782"/>
      <c r="AA228" s="782"/>
      <c r="AB228" s="782"/>
      <c r="AC228" s="782"/>
      <c r="AD228" s="782"/>
      <c r="AE228" s="782"/>
      <c r="AF228" s="782"/>
      <c r="AG228" s="782"/>
      <c r="AH228" s="782"/>
      <c r="AI228" s="782"/>
      <c r="AJ228" s="782"/>
      <c r="AK228" s="782"/>
      <c r="AL228" s="782"/>
      <c r="AM228" s="782"/>
      <c r="AN228" s="782"/>
      <c r="AO228" s="782"/>
      <c r="AP228" s="782"/>
      <c r="AQ228" s="782"/>
      <c r="AR228" s="782"/>
      <c r="AS228" s="782"/>
      <c r="AT228" s="782"/>
      <c r="AU228" s="782"/>
      <c r="AV228" s="782"/>
      <c r="AW228" s="782"/>
      <c r="AX228" s="782"/>
    </row>
    <row r="229" spans="1:50" ht="12.75" customHeight="1" x14ac:dyDescent="0.3">
      <c r="A229" s="782"/>
      <c r="B229" s="793" t="s">
        <v>143</v>
      </c>
      <c r="C229" s="794"/>
      <c r="D229" s="794"/>
      <c r="E229" s="794"/>
      <c r="F229" s="794"/>
      <c r="G229" s="794"/>
      <c r="H229" s="794"/>
      <c r="I229" s="794"/>
      <c r="J229" s="794"/>
      <c r="K229" s="794"/>
      <c r="L229" s="794"/>
      <c r="M229" s="794"/>
      <c r="N229" s="794"/>
      <c r="O229" s="794"/>
      <c r="P229" s="794"/>
      <c r="Q229" s="794"/>
      <c r="R229" s="794"/>
      <c r="S229" s="794"/>
      <c r="T229" s="794"/>
      <c r="U229" s="794"/>
      <c r="V229" s="794"/>
      <c r="W229" s="794"/>
      <c r="X229" s="794"/>
      <c r="Y229" s="794"/>
      <c r="Z229" s="794"/>
      <c r="AA229" s="794"/>
      <c r="AB229" s="794"/>
      <c r="AC229" s="794"/>
      <c r="AD229" s="794"/>
      <c r="AE229" s="794"/>
      <c r="AF229" s="794"/>
      <c r="AG229" s="794"/>
      <c r="AH229" s="794"/>
      <c r="AI229" s="794"/>
      <c r="AJ229" s="794"/>
      <c r="AK229" s="794"/>
      <c r="AL229" s="794"/>
      <c r="AM229" s="794"/>
      <c r="AN229" s="794"/>
      <c r="AO229" s="794"/>
      <c r="AP229" s="794"/>
      <c r="AQ229" s="794"/>
      <c r="AR229" s="794"/>
      <c r="AS229" s="794"/>
      <c r="AT229" s="794"/>
      <c r="AU229" s="794"/>
      <c r="AV229" s="794"/>
      <c r="AW229" s="794"/>
      <c r="AX229" s="794"/>
    </row>
    <row r="230" spans="1:50" ht="12.75" customHeight="1" x14ac:dyDescent="0.3">
      <c r="A230" s="782"/>
      <c r="B230" s="782"/>
      <c r="C230" s="798"/>
      <c r="D230" s="782"/>
      <c r="E230" s="798"/>
      <c r="F230" s="798"/>
      <c r="G230" s="798"/>
      <c r="H230" s="798"/>
      <c r="I230" s="798"/>
      <c r="J230" s="798"/>
      <c r="K230" s="798"/>
      <c r="L230" s="798"/>
      <c r="M230" s="798"/>
      <c r="N230" s="798"/>
      <c r="O230" s="798"/>
      <c r="P230" s="798"/>
      <c r="Q230" s="798"/>
      <c r="R230" s="798"/>
      <c r="S230" s="798"/>
      <c r="T230" s="798"/>
      <c r="U230" s="798"/>
      <c r="V230" s="798"/>
      <c r="W230" s="798"/>
      <c r="X230" s="798"/>
      <c r="Y230" s="798"/>
      <c r="Z230" s="798"/>
      <c r="AA230" s="798"/>
      <c r="AB230" s="798"/>
      <c r="AC230" s="798"/>
      <c r="AD230" s="798"/>
      <c r="AE230" s="798"/>
      <c r="AF230" s="798"/>
      <c r="AG230" s="798"/>
      <c r="AH230" s="798"/>
      <c r="AI230" s="798"/>
      <c r="AJ230" s="798"/>
      <c r="AK230" s="798"/>
      <c r="AL230" s="798"/>
      <c r="AM230" s="798"/>
      <c r="AN230" s="798"/>
      <c r="AO230" s="798"/>
      <c r="AP230" s="798"/>
      <c r="AQ230" s="798"/>
      <c r="AR230" s="798"/>
      <c r="AS230" s="798"/>
      <c r="AT230" s="798"/>
      <c r="AU230" s="798"/>
      <c r="AV230" s="798"/>
      <c r="AW230" s="798"/>
      <c r="AX230" s="798"/>
    </row>
    <row r="231" spans="1:50" ht="12.75" customHeight="1" x14ac:dyDescent="0.3">
      <c r="A231" s="782"/>
      <c r="B231" s="782" t="s">
        <v>41</v>
      </c>
      <c r="C231" s="808">
        <f>+'Venture Assumptions'!F44</f>
        <v>8.2500000000000004E-2</v>
      </c>
      <c r="D231" s="782"/>
      <c r="E231" s="782"/>
      <c r="F231" s="798"/>
      <c r="G231" s="798"/>
      <c r="H231" s="798"/>
      <c r="I231" s="798"/>
      <c r="J231" s="798"/>
      <c r="K231" s="798"/>
      <c r="L231" s="798"/>
      <c r="M231" s="798"/>
      <c r="N231" s="798"/>
      <c r="O231" s="798"/>
      <c r="P231" s="798"/>
      <c r="Q231" s="798"/>
      <c r="R231" s="798"/>
      <c r="S231" s="798"/>
      <c r="T231" s="798"/>
      <c r="U231" s="798"/>
      <c r="V231" s="798"/>
      <c r="W231" s="798"/>
      <c r="X231" s="798"/>
      <c r="Y231" s="798"/>
      <c r="Z231" s="798"/>
      <c r="AA231" s="798"/>
      <c r="AB231" s="798"/>
      <c r="AC231" s="798"/>
      <c r="AD231" s="798"/>
      <c r="AE231" s="798"/>
      <c r="AF231" s="798"/>
      <c r="AG231" s="798"/>
      <c r="AH231" s="798"/>
      <c r="AI231" s="798"/>
      <c r="AJ231" s="798"/>
      <c r="AK231" s="798"/>
      <c r="AL231" s="798"/>
      <c r="AM231" s="798"/>
      <c r="AN231" s="798"/>
      <c r="AO231" s="798"/>
      <c r="AP231" s="798"/>
      <c r="AQ231" s="798"/>
      <c r="AR231" s="798"/>
      <c r="AS231" s="798"/>
      <c r="AT231" s="798"/>
      <c r="AU231" s="798"/>
      <c r="AV231" s="798"/>
      <c r="AW231" s="798"/>
      <c r="AX231" s="798"/>
    </row>
    <row r="232" spans="1:50" ht="12.75" customHeight="1" x14ac:dyDescent="0.3">
      <c r="A232" s="782"/>
      <c r="B232" s="791" t="s">
        <v>42</v>
      </c>
      <c r="C232" s="808">
        <f>(1+C231)^(1/365)-1</f>
        <v>2.1721038373123669E-4</v>
      </c>
      <c r="D232" s="782"/>
      <c r="E232" s="782"/>
      <c r="F232" s="798"/>
      <c r="G232" s="798"/>
      <c r="H232" s="798"/>
      <c r="I232" s="798"/>
      <c r="J232" s="798"/>
      <c r="K232" s="798"/>
      <c r="L232" s="798"/>
      <c r="M232" s="798"/>
      <c r="N232" s="798"/>
      <c r="O232" s="798"/>
      <c r="P232" s="798"/>
      <c r="Q232" s="798"/>
      <c r="R232" s="798"/>
      <c r="S232" s="798"/>
      <c r="T232" s="798"/>
      <c r="U232" s="798"/>
      <c r="V232" s="798"/>
      <c r="W232" s="798"/>
      <c r="X232" s="798"/>
      <c r="Y232" s="798"/>
      <c r="Z232" s="798"/>
      <c r="AA232" s="798"/>
      <c r="AB232" s="798"/>
      <c r="AC232" s="798"/>
      <c r="AD232" s="798"/>
      <c r="AE232" s="798"/>
      <c r="AF232" s="798"/>
      <c r="AG232" s="798"/>
      <c r="AH232" s="798"/>
      <c r="AI232" s="798"/>
      <c r="AJ232" s="798"/>
      <c r="AK232" s="798"/>
      <c r="AL232" s="798"/>
      <c r="AM232" s="798"/>
      <c r="AN232" s="798"/>
      <c r="AO232" s="798"/>
      <c r="AP232" s="798"/>
      <c r="AQ232" s="798"/>
      <c r="AR232" s="798"/>
      <c r="AS232" s="798"/>
      <c r="AT232" s="798"/>
      <c r="AU232" s="798"/>
      <c r="AV232" s="798"/>
      <c r="AW232" s="798"/>
      <c r="AX232" s="798"/>
    </row>
    <row r="233" spans="1:50" ht="12.75" customHeight="1" x14ac:dyDescent="0.3">
      <c r="A233" s="782"/>
      <c r="B233" s="782" t="s">
        <v>43</v>
      </c>
      <c r="C233" s="808">
        <f>+'Venture Assumptions'!F47</f>
        <v>0.1</v>
      </c>
      <c r="D233" s="782"/>
      <c r="E233" s="782"/>
      <c r="F233" s="798"/>
      <c r="G233" s="798"/>
      <c r="H233" s="798"/>
      <c r="I233" s="798"/>
      <c r="J233" s="798"/>
      <c r="K233" s="798"/>
      <c r="L233" s="798"/>
      <c r="M233" s="798"/>
      <c r="N233" s="798"/>
      <c r="O233" s="798"/>
      <c r="P233" s="798"/>
      <c r="Q233" s="798"/>
      <c r="R233" s="798"/>
      <c r="S233" s="798"/>
      <c r="T233" s="798"/>
      <c r="U233" s="798"/>
      <c r="V233" s="798"/>
      <c r="W233" s="798"/>
      <c r="X233" s="798"/>
      <c r="Y233" s="798"/>
      <c r="Z233" s="798"/>
      <c r="AA233" s="798"/>
      <c r="AB233" s="798"/>
      <c r="AC233" s="798"/>
      <c r="AD233" s="798"/>
      <c r="AE233" s="798"/>
      <c r="AF233" s="798"/>
      <c r="AG233" s="798"/>
      <c r="AH233" s="798"/>
      <c r="AI233" s="798"/>
      <c r="AJ233" s="798"/>
      <c r="AK233" s="798"/>
      <c r="AL233" s="798"/>
      <c r="AM233" s="798"/>
      <c r="AN233" s="798"/>
      <c r="AO233" s="798"/>
      <c r="AP233" s="798"/>
      <c r="AQ233" s="798"/>
      <c r="AR233" s="798"/>
      <c r="AS233" s="798"/>
      <c r="AT233" s="798"/>
      <c r="AU233" s="798"/>
      <c r="AV233" s="798"/>
      <c r="AW233" s="798"/>
      <c r="AX233" s="798"/>
    </row>
    <row r="234" spans="1:50" ht="12.75" customHeight="1" x14ac:dyDescent="0.3">
      <c r="A234" s="782"/>
      <c r="B234" s="782" t="s">
        <v>44</v>
      </c>
      <c r="C234" s="808">
        <f>(1+C233)^(1/365)-1</f>
        <v>2.6115787606784124E-4</v>
      </c>
      <c r="D234" s="782"/>
      <c r="E234" s="782"/>
      <c r="F234" s="798"/>
      <c r="G234" s="798"/>
      <c r="H234" s="798"/>
      <c r="I234" s="798"/>
      <c r="J234" s="798"/>
      <c r="K234" s="798"/>
      <c r="L234" s="798"/>
      <c r="M234" s="798"/>
      <c r="N234" s="798"/>
      <c r="O234" s="798"/>
      <c r="P234" s="798"/>
      <c r="Q234" s="798"/>
      <c r="R234" s="798"/>
      <c r="S234" s="798"/>
      <c r="T234" s="798"/>
      <c r="U234" s="798"/>
      <c r="V234" s="798"/>
      <c r="W234" s="798"/>
      <c r="X234" s="798"/>
      <c r="Y234" s="798"/>
      <c r="Z234" s="798"/>
      <c r="AA234" s="798"/>
      <c r="AB234" s="798"/>
      <c r="AC234" s="798"/>
      <c r="AD234" s="798"/>
      <c r="AE234" s="798"/>
      <c r="AF234" s="798"/>
      <c r="AG234" s="798"/>
      <c r="AH234" s="798"/>
      <c r="AI234" s="798"/>
      <c r="AJ234" s="798"/>
      <c r="AK234" s="798"/>
      <c r="AL234" s="798"/>
      <c r="AM234" s="798"/>
      <c r="AN234" s="798"/>
      <c r="AO234" s="798"/>
      <c r="AP234" s="798"/>
      <c r="AQ234" s="798"/>
      <c r="AR234" s="798"/>
      <c r="AS234" s="798"/>
      <c r="AT234" s="798"/>
      <c r="AU234" s="798"/>
      <c r="AV234" s="798"/>
      <c r="AW234" s="798"/>
      <c r="AX234" s="798"/>
    </row>
    <row r="235" spans="1:50" ht="12.75" customHeight="1" x14ac:dyDescent="0.3">
      <c r="A235" s="782"/>
      <c r="B235" s="782" t="s">
        <v>45</v>
      </c>
      <c r="C235" s="808">
        <f>+'Venture Assumptions'!F50</f>
        <v>0.1</v>
      </c>
      <c r="D235" s="782"/>
      <c r="E235" s="782"/>
      <c r="F235" s="798"/>
      <c r="G235" s="798"/>
      <c r="H235" s="798"/>
      <c r="I235" s="798"/>
      <c r="J235" s="798"/>
      <c r="K235" s="798"/>
      <c r="L235" s="798"/>
      <c r="M235" s="798"/>
      <c r="N235" s="798"/>
      <c r="O235" s="798"/>
      <c r="P235" s="798"/>
      <c r="Q235" s="798"/>
      <c r="R235" s="798"/>
      <c r="S235" s="798"/>
      <c r="T235" s="798"/>
      <c r="U235" s="798"/>
      <c r="V235" s="798"/>
      <c r="W235" s="798"/>
      <c r="X235" s="798"/>
      <c r="Y235" s="798"/>
      <c r="Z235" s="798"/>
      <c r="AA235" s="798"/>
      <c r="AB235" s="798"/>
      <c r="AC235" s="798"/>
      <c r="AD235" s="798"/>
      <c r="AE235" s="798"/>
      <c r="AF235" s="798"/>
      <c r="AG235" s="798"/>
      <c r="AH235" s="798"/>
      <c r="AI235" s="798"/>
      <c r="AJ235" s="798"/>
      <c r="AK235" s="798"/>
      <c r="AL235" s="798"/>
      <c r="AM235" s="798"/>
      <c r="AN235" s="798"/>
      <c r="AO235" s="798"/>
      <c r="AP235" s="798"/>
      <c r="AQ235" s="798"/>
      <c r="AR235" s="798"/>
      <c r="AS235" s="798"/>
      <c r="AT235" s="798"/>
      <c r="AU235" s="798"/>
      <c r="AV235" s="798"/>
      <c r="AW235" s="798"/>
      <c r="AX235" s="798"/>
    </row>
    <row r="236" spans="1:50" ht="12.75" customHeight="1" x14ac:dyDescent="0.3">
      <c r="A236" s="782"/>
      <c r="B236" s="782" t="s">
        <v>46</v>
      </c>
      <c r="C236" s="808">
        <f>(1+C235)^(1/365)-1</f>
        <v>2.6115787606784124E-4</v>
      </c>
      <c r="D236" s="782"/>
      <c r="E236" s="782"/>
      <c r="F236" s="798"/>
      <c r="G236" s="798"/>
      <c r="H236" s="798"/>
      <c r="I236" s="798"/>
      <c r="J236" s="798"/>
      <c r="K236" s="798"/>
      <c r="L236" s="798"/>
      <c r="M236" s="798"/>
      <c r="N236" s="798"/>
      <c r="O236" s="798"/>
      <c r="P236" s="798"/>
      <c r="Q236" s="798"/>
      <c r="R236" s="798"/>
      <c r="S236" s="798"/>
      <c r="T236" s="798"/>
      <c r="U236" s="798"/>
      <c r="V236" s="798"/>
      <c r="W236" s="798"/>
      <c r="X236" s="798"/>
      <c r="Y236" s="798"/>
      <c r="Z236" s="798"/>
      <c r="AA236" s="798"/>
      <c r="AB236" s="798"/>
      <c r="AC236" s="798"/>
      <c r="AD236" s="798"/>
      <c r="AE236" s="798"/>
      <c r="AF236" s="798"/>
      <c r="AG236" s="798"/>
      <c r="AH236" s="798"/>
      <c r="AI236" s="798"/>
      <c r="AJ236" s="798"/>
      <c r="AK236" s="798"/>
      <c r="AL236" s="798"/>
      <c r="AM236" s="798"/>
      <c r="AN236" s="798"/>
      <c r="AO236" s="798"/>
      <c r="AP236" s="798"/>
      <c r="AQ236" s="798"/>
      <c r="AR236" s="798"/>
      <c r="AS236" s="798"/>
      <c r="AT236" s="798"/>
      <c r="AU236" s="798"/>
      <c r="AV236" s="798"/>
      <c r="AW236" s="798"/>
      <c r="AX236" s="798"/>
    </row>
    <row r="237" spans="1:50" ht="12.75" customHeight="1" x14ac:dyDescent="0.3">
      <c r="A237" s="782"/>
      <c r="B237" s="782"/>
      <c r="C237" s="798"/>
      <c r="D237" s="782"/>
      <c r="E237" s="798"/>
      <c r="F237" s="798"/>
      <c r="G237" s="798"/>
      <c r="H237" s="798"/>
      <c r="I237" s="798"/>
      <c r="J237" s="798"/>
      <c r="K237" s="798"/>
      <c r="L237" s="798"/>
      <c r="M237" s="798"/>
      <c r="N237" s="798"/>
      <c r="O237" s="798"/>
      <c r="P237" s="798"/>
      <c r="Q237" s="798"/>
      <c r="R237" s="798"/>
      <c r="S237" s="798"/>
      <c r="T237" s="798"/>
      <c r="U237" s="798"/>
      <c r="V237" s="798"/>
      <c r="W237" s="798"/>
      <c r="X237" s="798"/>
      <c r="Y237" s="798"/>
      <c r="Z237" s="798"/>
      <c r="AA237" s="798"/>
      <c r="AB237" s="798"/>
      <c r="AC237" s="798"/>
      <c r="AD237" s="798"/>
      <c r="AE237" s="798"/>
      <c r="AF237" s="798"/>
      <c r="AG237" s="798"/>
      <c r="AH237" s="798"/>
      <c r="AI237" s="798"/>
      <c r="AJ237" s="798"/>
      <c r="AK237" s="798"/>
      <c r="AL237" s="798"/>
      <c r="AM237" s="798"/>
      <c r="AN237" s="798"/>
      <c r="AO237" s="798"/>
      <c r="AP237" s="798"/>
      <c r="AQ237" s="798"/>
      <c r="AR237" s="798"/>
      <c r="AS237" s="798"/>
      <c r="AT237" s="798"/>
      <c r="AU237" s="798"/>
      <c r="AV237" s="798"/>
      <c r="AW237" s="798"/>
      <c r="AX237" s="798"/>
    </row>
    <row r="238" spans="1:50" ht="12.75" customHeight="1" x14ac:dyDescent="0.3">
      <c r="A238" s="782"/>
      <c r="B238" s="796" t="s">
        <v>144</v>
      </c>
      <c r="C238" s="782"/>
      <c r="D238" s="782"/>
      <c r="E238" s="782"/>
      <c r="F238" s="782"/>
      <c r="G238" s="782"/>
      <c r="H238" s="782"/>
      <c r="I238" s="782"/>
      <c r="J238" s="782"/>
      <c r="K238" s="782"/>
      <c r="L238" s="782"/>
      <c r="M238" s="782"/>
      <c r="N238" s="782"/>
      <c r="O238" s="782"/>
      <c r="P238" s="782"/>
      <c r="Q238" s="782"/>
      <c r="R238" s="782"/>
      <c r="S238" s="782"/>
      <c r="T238" s="782"/>
      <c r="U238" s="782"/>
      <c r="V238" s="782"/>
      <c r="W238" s="782"/>
      <c r="X238" s="782"/>
      <c r="Y238" s="782"/>
      <c r="Z238" s="782"/>
      <c r="AA238" s="782"/>
      <c r="AB238" s="782"/>
      <c r="AC238" s="782"/>
      <c r="AD238" s="782"/>
      <c r="AE238" s="782"/>
      <c r="AF238" s="782"/>
      <c r="AG238" s="782"/>
      <c r="AH238" s="782"/>
      <c r="AI238" s="782"/>
      <c r="AJ238" s="782"/>
      <c r="AK238" s="782"/>
      <c r="AL238" s="782"/>
      <c r="AM238" s="782"/>
      <c r="AN238" s="782"/>
      <c r="AO238" s="782"/>
      <c r="AP238" s="782"/>
      <c r="AQ238" s="782"/>
      <c r="AR238" s="782"/>
      <c r="AS238" s="782"/>
      <c r="AT238" s="782"/>
      <c r="AU238" s="782"/>
      <c r="AV238" s="782"/>
      <c r="AW238" s="782"/>
      <c r="AX238" s="782"/>
    </row>
    <row r="239" spans="1:50" ht="12.75" customHeight="1" x14ac:dyDescent="0.3">
      <c r="A239" s="782"/>
      <c r="B239" s="782"/>
      <c r="C239" s="782"/>
      <c r="D239" s="782"/>
      <c r="E239" s="782"/>
      <c r="F239" s="782"/>
      <c r="G239" s="782"/>
      <c r="H239" s="782"/>
      <c r="I239" s="782"/>
      <c r="J239" s="782"/>
      <c r="K239" s="782"/>
      <c r="L239" s="782"/>
      <c r="M239" s="782"/>
      <c r="N239" s="782"/>
      <c r="O239" s="782"/>
      <c r="P239" s="782"/>
      <c r="Q239" s="782"/>
      <c r="R239" s="782"/>
      <c r="S239" s="782"/>
      <c r="T239" s="782"/>
      <c r="U239" s="782"/>
      <c r="V239" s="782"/>
      <c r="W239" s="782"/>
      <c r="X239" s="782"/>
      <c r="Y239" s="782"/>
      <c r="Z239" s="782"/>
      <c r="AA239" s="782"/>
      <c r="AB239" s="782"/>
      <c r="AC239" s="782"/>
      <c r="AD239" s="782"/>
      <c r="AE239" s="782"/>
      <c r="AF239" s="782"/>
      <c r="AG239" s="782"/>
      <c r="AH239" s="782"/>
      <c r="AI239" s="782"/>
      <c r="AJ239" s="782"/>
      <c r="AK239" s="782"/>
      <c r="AL239" s="782"/>
      <c r="AM239" s="782"/>
      <c r="AN239" s="782"/>
      <c r="AO239" s="782"/>
      <c r="AP239" s="782"/>
      <c r="AQ239" s="782"/>
      <c r="AR239" s="782"/>
      <c r="AS239" s="782"/>
      <c r="AT239" s="782"/>
      <c r="AU239" s="782"/>
      <c r="AV239" s="782"/>
      <c r="AW239" s="782"/>
      <c r="AX239" s="782"/>
    </row>
    <row r="240" spans="1:50" ht="12.75" customHeight="1" x14ac:dyDescent="0.3">
      <c r="A240" s="782"/>
      <c r="B240" s="782" t="s">
        <v>145</v>
      </c>
      <c r="C240" s="782"/>
      <c r="D240" s="782"/>
      <c r="E240" s="798">
        <f t="shared" ref="E240:AW240" si="45">E279</f>
        <v>0</v>
      </c>
      <c r="F240" s="798">
        <f t="shared" si="45"/>
        <v>0</v>
      </c>
      <c r="G240" s="798">
        <f t="shared" si="45"/>
        <v>0</v>
      </c>
      <c r="H240" s="798">
        <f t="shared" si="45"/>
        <v>0</v>
      </c>
      <c r="I240" s="798">
        <f t="shared" si="45"/>
        <v>0</v>
      </c>
      <c r="J240" s="798">
        <f t="shared" si="45"/>
        <v>0</v>
      </c>
      <c r="K240" s="798">
        <f t="shared" si="45"/>
        <v>0</v>
      </c>
      <c r="L240" s="798">
        <f t="shared" si="45"/>
        <v>0</v>
      </c>
      <c r="M240" s="798">
        <f t="shared" si="45"/>
        <v>0</v>
      </c>
      <c r="N240" s="798">
        <f t="shared" si="45"/>
        <v>0</v>
      </c>
      <c r="O240" s="798">
        <f t="shared" si="45"/>
        <v>0</v>
      </c>
      <c r="P240" s="798">
        <f t="shared" si="45"/>
        <v>-46600744.397802807</v>
      </c>
      <c r="Q240" s="798">
        <f t="shared" si="45"/>
        <v>623346.85292693274</v>
      </c>
      <c r="R240" s="798">
        <f t="shared" si="45"/>
        <v>645086.61329542077</v>
      </c>
      <c r="S240" s="798">
        <f t="shared" si="45"/>
        <v>644215.54607378726</v>
      </c>
      <c r="T240" s="798">
        <f t="shared" si="45"/>
        <v>661902.09947439213</v>
      </c>
      <c r="U240" s="798">
        <f t="shared" si="45"/>
        <v>679519.10289103352</v>
      </c>
      <c r="V240" s="798">
        <f t="shared" si="45"/>
        <v>694204.81009246409</v>
      </c>
      <c r="W240" s="798">
        <f t="shared" si="45"/>
        <v>689738.6161152703</v>
      </c>
      <c r="X240" s="798">
        <f t="shared" si="45"/>
        <v>701794.01382499537</v>
      </c>
      <c r="Y240" s="798">
        <f t="shared" si="45"/>
        <v>717065.29189360049</v>
      </c>
      <c r="Z240" s="798">
        <f t="shared" si="45"/>
        <v>733551.69515324559</v>
      </c>
      <c r="AA240" s="798">
        <f t="shared" si="45"/>
        <v>732080.37063951511</v>
      </c>
      <c r="AB240" s="798">
        <f t="shared" si="45"/>
        <v>748271.4101425925</v>
      </c>
      <c r="AC240" s="798">
        <f t="shared" si="45"/>
        <v>767018.32850041986</v>
      </c>
      <c r="AD240" s="798">
        <f t="shared" si="45"/>
        <v>785743.49356206995</v>
      </c>
      <c r="AE240" s="798">
        <f t="shared" si="45"/>
        <v>785270.30079527816</v>
      </c>
      <c r="AF240" s="798">
        <f t="shared" si="45"/>
        <v>802729.72625170508</v>
      </c>
      <c r="AG240" s="798">
        <f t="shared" si="45"/>
        <v>822662.61418112239</v>
      </c>
      <c r="AH240" s="798">
        <f t="shared" si="45"/>
        <v>842492.85555103875</v>
      </c>
      <c r="AI240" s="798">
        <f t="shared" si="45"/>
        <v>842283.51895287074</v>
      </c>
      <c r="AJ240" s="798">
        <f t="shared" si="45"/>
        <v>860476.76641253906</v>
      </c>
      <c r="AK240" s="798">
        <f t="shared" si="45"/>
        <v>53057051.624760687</v>
      </c>
      <c r="AL240" s="798">
        <f t="shared" si="45"/>
        <v>0</v>
      </c>
      <c r="AM240" s="798">
        <f t="shared" si="45"/>
        <v>0</v>
      </c>
      <c r="AN240" s="798">
        <f t="shared" si="45"/>
        <v>0</v>
      </c>
      <c r="AO240" s="798">
        <f t="shared" si="45"/>
        <v>0</v>
      </c>
      <c r="AP240" s="798">
        <f t="shared" si="45"/>
        <v>0</v>
      </c>
      <c r="AQ240" s="798">
        <f t="shared" si="45"/>
        <v>0</v>
      </c>
      <c r="AR240" s="798">
        <f t="shared" si="45"/>
        <v>0</v>
      </c>
      <c r="AS240" s="798">
        <f t="shared" si="45"/>
        <v>0</v>
      </c>
      <c r="AT240" s="798">
        <f t="shared" si="45"/>
        <v>0</v>
      </c>
      <c r="AU240" s="798">
        <f t="shared" si="45"/>
        <v>0</v>
      </c>
      <c r="AV240" s="798">
        <f t="shared" si="45"/>
        <v>0</v>
      </c>
      <c r="AW240" s="798">
        <f t="shared" si="45"/>
        <v>0</v>
      </c>
      <c r="AX240" s="798"/>
    </row>
    <row r="241" spans="1:50" ht="12.75" customHeight="1" x14ac:dyDescent="0.3">
      <c r="A241" s="782"/>
      <c r="B241" s="782" t="s">
        <v>146</v>
      </c>
      <c r="C241" s="782"/>
      <c r="D241" s="782"/>
      <c r="E241" s="798">
        <f t="shared" ref="E241:AW241" si="46">E300</f>
        <v>0</v>
      </c>
      <c r="F241" s="798">
        <f t="shared" si="46"/>
        <v>0</v>
      </c>
      <c r="G241" s="798">
        <f t="shared" si="46"/>
        <v>0</v>
      </c>
      <c r="H241" s="798">
        <f t="shared" si="46"/>
        <v>0</v>
      </c>
      <c r="I241" s="798">
        <f t="shared" si="46"/>
        <v>0</v>
      </c>
      <c r="J241" s="798">
        <f t="shared" si="46"/>
        <v>0</v>
      </c>
      <c r="K241" s="798">
        <f t="shared" si="46"/>
        <v>0</v>
      </c>
      <c r="L241" s="798">
        <f t="shared" si="46"/>
        <v>0</v>
      </c>
      <c r="M241" s="798">
        <f t="shared" si="46"/>
        <v>0</v>
      </c>
      <c r="N241" s="798">
        <f t="shared" si="46"/>
        <v>0</v>
      </c>
      <c r="O241" s="798">
        <f t="shared" si="46"/>
        <v>0</v>
      </c>
      <c r="P241" s="798">
        <f t="shared" si="46"/>
        <v>0</v>
      </c>
      <c r="Q241" s="798">
        <f t="shared" si="46"/>
        <v>0</v>
      </c>
      <c r="R241" s="798">
        <f t="shared" si="46"/>
        <v>0</v>
      </c>
      <c r="S241" s="798">
        <f t="shared" si="46"/>
        <v>0</v>
      </c>
      <c r="T241" s="798">
        <f t="shared" si="46"/>
        <v>0</v>
      </c>
      <c r="U241" s="798">
        <f t="shared" si="46"/>
        <v>0</v>
      </c>
      <c r="V241" s="798">
        <f t="shared" si="46"/>
        <v>0</v>
      </c>
      <c r="W241" s="798">
        <f t="shared" si="46"/>
        <v>0</v>
      </c>
      <c r="X241" s="798">
        <f t="shared" si="46"/>
        <v>0</v>
      </c>
      <c r="Y241" s="798">
        <f t="shared" si="46"/>
        <v>0</v>
      </c>
      <c r="Z241" s="798">
        <f t="shared" si="46"/>
        <v>0</v>
      </c>
      <c r="AA241" s="798">
        <f t="shared" si="46"/>
        <v>0</v>
      </c>
      <c r="AB241" s="798">
        <f t="shared" si="46"/>
        <v>0</v>
      </c>
      <c r="AC241" s="798">
        <f t="shared" si="46"/>
        <v>0</v>
      </c>
      <c r="AD241" s="798">
        <f t="shared" si="46"/>
        <v>0</v>
      </c>
      <c r="AE241" s="798">
        <f t="shared" si="46"/>
        <v>0</v>
      </c>
      <c r="AF241" s="798">
        <f t="shared" si="46"/>
        <v>0</v>
      </c>
      <c r="AG241" s="798">
        <f t="shared" si="46"/>
        <v>0</v>
      </c>
      <c r="AH241" s="798">
        <f t="shared" si="46"/>
        <v>0</v>
      </c>
      <c r="AI241" s="798">
        <f t="shared" si="46"/>
        <v>0</v>
      </c>
      <c r="AJ241" s="798">
        <f t="shared" si="46"/>
        <v>0</v>
      </c>
      <c r="AK241" s="798">
        <f t="shared" si="46"/>
        <v>5582134.9825772569</v>
      </c>
      <c r="AL241" s="798">
        <f t="shared" si="46"/>
        <v>0</v>
      </c>
      <c r="AM241" s="798">
        <f t="shared" si="46"/>
        <v>0</v>
      </c>
      <c r="AN241" s="798">
        <f t="shared" si="46"/>
        <v>0</v>
      </c>
      <c r="AO241" s="798">
        <f t="shared" si="46"/>
        <v>0</v>
      </c>
      <c r="AP241" s="798">
        <f t="shared" si="46"/>
        <v>0</v>
      </c>
      <c r="AQ241" s="798">
        <f t="shared" si="46"/>
        <v>0</v>
      </c>
      <c r="AR241" s="798">
        <f t="shared" si="46"/>
        <v>0</v>
      </c>
      <c r="AS241" s="798">
        <f t="shared" si="46"/>
        <v>0</v>
      </c>
      <c r="AT241" s="798">
        <f t="shared" si="46"/>
        <v>0</v>
      </c>
      <c r="AU241" s="798">
        <f t="shared" si="46"/>
        <v>0</v>
      </c>
      <c r="AV241" s="798">
        <f t="shared" si="46"/>
        <v>0</v>
      </c>
      <c r="AW241" s="798">
        <f t="shared" si="46"/>
        <v>0</v>
      </c>
      <c r="AX241" s="798"/>
    </row>
    <row r="242" spans="1:50" ht="12.75" customHeight="1" x14ac:dyDescent="0.3">
      <c r="A242" s="782"/>
      <c r="B242" s="782" t="s">
        <v>147</v>
      </c>
      <c r="C242" s="782"/>
      <c r="D242" s="782"/>
      <c r="E242" s="798">
        <f t="shared" ref="E242:AW242" si="47">E323</f>
        <v>0</v>
      </c>
      <c r="F242" s="798">
        <f t="shared" si="47"/>
        <v>0</v>
      </c>
      <c r="G242" s="798">
        <f t="shared" si="47"/>
        <v>0</v>
      </c>
      <c r="H242" s="798">
        <f t="shared" si="47"/>
        <v>0</v>
      </c>
      <c r="I242" s="798">
        <f t="shared" si="47"/>
        <v>0</v>
      </c>
      <c r="J242" s="798">
        <f t="shared" si="47"/>
        <v>0</v>
      </c>
      <c r="K242" s="798">
        <f t="shared" si="47"/>
        <v>0</v>
      </c>
      <c r="L242" s="798">
        <f t="shared" si="47"/>
        <v>0</v>
      </c>
      <c r="M242" s="798">
        <f t="shared" si="47"/>
        <v>0</v>
      </c>
      <c r="N242" s="798">
        <f t="shared" si="47"/>
        <v>0</v>
      </c>
      <c r="O242" s="798">
        <f t="shared" si="47"/>
        <v>0</v>
      </c>
      <c r="P242" s="798">
        <f t="shared" si="47"/>
        <v>0</v>
      </c>
      <c r="Q242" s="798">
        <f t="shared" si="47"/>
        <v>0</v>
      </c>
      <c r="R242" s="798">
        <f t="shared" si="47"/>
        <v>0</v>
      </c>
      <c r="S242" s="798">
        <f t="shared" si="47"/>
        <v>0</v>
      </c>
      <c r="T242" s="798">
        <f t="shared" si="47"/>
        <v>0</v>
      </c>
      <c r="U242" s="798">
        <f t="shared" si="47"/>
        <v>0</v>
      </c>
      <c r="V242" s="798">
        <f t="shared" si="47"/>
        <v>0</v>
      </c>
      <c r="W242" s="798">
        <f t="shared" si="47"/>
        <v>0</v>
      </c>
      <c r="X242" s="798">
        <f t="shared" si="47"/>
        <v>0</v>
      </c>
      <c r="Y242" s="798">
        <f t="shared" si="47"/>
        <v>0</v>
      </c>
      <c r="Z242" s="798">
        <f t="shared" si="47"/>
        <v>0</v>
      </c>
      <c r="AA242" s="798">
        <f t="shared" si="47"/>
        <v>0</v>
      </c>
      <c r="AB242" s="798">
        <f t="shared" si="47"/>
        <v>0</v>
      </c>
      <c r="AC242" s="798">
        <f t="shared" si="47"/>
        <v>0</v>
      </c>
      <c r="AD242" s="798">
        <f t="shared" si="47"/>
        <v>0</v>
      </c>
      <c r="AE242" s="798">
        <f t="shared" si="47"/>
        <v>0</v>
      </c>
      <c r="AF242" s="798">
        <f t="shared" si="47"/>
        <v>0</v>
      </c>
      <c r="AG242" s="798">
        <f t="shared" si="47"/>
        <v>0</v>
      </c>
      <c r="AH242" s="798">
        <f t="shared" si="47"/>
        <v>0</v>
      </c>
      <c r="AI242" s="798">
        <f t="shared" si="47"/>
        <v>0</v>
      </c>
      <c r="AJ242" s="798">
        <f t="shared" si="47"/>
        <v>0</v>
      </c>
      <c r="AK242" s="798">
        <f t="shared" si="47"/>
        <v>-753298.49245852255</v>
      </c>
      <c r="AL242" s="798">
        <f t="shared" si="47"/>
        <v>0</v>
      </c>
      <c r="AM242" s="798">
        <f t="shared" si="47"/>
        <v>0</v>
      </c>
      <c r="AN242" s="798">
        <f t="shared" si="47"/>
        <v>0</v>
      </c>
      <c r="AO242" s="798">
        <f t="shared" si="47"/>
        <v>0</v>
      </c>
      <c r="AP242" s="798">
        <f t="shared" si="47"/>
        <v>0</v>
      </c>
      <c r="AQ242" s="798">
        <f t="shared" si="47"/>
        <v>0</v>
      </c>
      <c r="AR242" s="798">
        <f t="shared" si="47"/>
        <v>0</v>
      </c>
      <c r="AS242" s="798">
        <f t="shared" si="47"/>
        <v>0</v>
      </c>
      <c r="AT242" s="798">
        <f t="shared" si="47"/>
        <v>0</v>
      </c>
      <c r="AU242" s="798">
        <f t="shared" si="47"/>
        <v>0</v>
      </c>
      <c r="AV242" s="798">
        <f t="shared" si="47"/>
        <v>0</v>
      </c>
      <c r="AW242" s="798">
        <f t="shared" si="47"/>
        <v>0</v>
      </c>
      <c r="AX242" s="798"/>
    </row>
    <row r="243" spans="1:50" ht="12.75" customHeight="1" x14ac:dyDescent="0.3">
      <c r="A243" s="782"/>
      <c r="B243" s="781" t="s">
        <v>148</v>
      </c>
      <c r="C243" s="781"/>
      <c r="D243" s="781"/>
      <c r="E243" s="799">
        <f t="shared" ref="E243:AW243" si="48">E330</f>
        <v>0</v>
      </c>
      <c r="F243" s="799">
        <f t="shared" si="48"/>
        <v>0</v>
      </c>
      <c r="G243" s="799">
        <f t="shared" si="48"/>
        <v>0</v>
      </c>
      <c r="H243" s="799">
        <f t="shared" si="48"/>
        <v>0</v>
      </c>
      <c r="I243" s="799">
        <f t="shared" si="48"/>
        <v>0</v>
      </c>
      <c r="J243" s="799">
        <f t="shared" si="48"/>
        <v>0</v>
      </c>
      <c r="K243" s="799">
        <f t="shared" si="48"/>
        <v>0</v>
      </c>
      <c r="L243" s="799">
        <f t="shared" si="48"/>
        <v>0</v>
      </c>
      <c r="M243" s="799">
        <f t="shared" si="48"/>
        <v>0</v>
      </c>
      <c r="N243" s="799">
        <f t="shared" si="48"/>
        <v>0</v>
      </c>
      <c r="O243" s="799">
        <f t="shared" si="48"/>
        <v>0</v>
      </c>
      <c r="P243" s="799">
        <f t="shared" si="48"/>
        <v>0</v>
      </c>
      <c r="Q243" s="799">
        <f t="shared" si="48"/>
        <v>0</v>
      </c>
      <c r="R243" s="799">
        <f t="shared" si="48"/>
        <v>0</v>
      </c>
      <c r="S243" s="799">
        <f t="shared" si="48"/>
        <v>0</v>
      </c>
      <c r="T243" s="799">
        <f t="shared" si="48"/>
        <v>0</v>
      </c>
      <c r="U243" s="799">
        <f t="shared" si="48"/>
        <v>0</v>
      </c>
      <c r="V243" s="799">
        <f t="shared" si="48"/>
        <v>0</v>
      </c>
      <c r="W243" s="799">
        <f t="shared" si="48"/>
        <v>0</v>
      </c>
      <c r="X243" s="799">
        <f t="shared" si="48"/>
        <v>0</v>
      </c>
      <c r="Y243" s="799">
        <f t="shared" si="48"/>
        <v>0</v>
      </c>
      <c r="Z243" s="799">
        <f t="shared" si="48"/>
        <v>0</v>
      </c>
      <c r="AA243" s="799">
        <f t="shared" si="48"/>
        <v>0</v>
      </c>
      <c r="AB243" s="799">
        <f t="shared" si="48"/>
        <v>0</v>
      </c>
      <c r="AC243" s="799">
        <f t="shared" si="48"/>
        <v>0</v>
      </c>
      <c r="AD243" s="799">
        <f t="shared" si="48"/>
        <v>0</v>
      </c>
      <c r="AE243" s="799">
        <f t="shared" si="48"/>
        <v>0</v>
      </c>
      <c r="AF243" s="799">
        <f t="shared" si="48"/>
        <v>0</v>
      </c>
      <c r="AG243" s="799">
        <f t="shared" si="48"/>
        <v>0</v>
      </c>
      <c r="AH243" s="799">
        <f t="shared" si="48"/>
        <v>0</v>
      </c>
      <c r="AI243" s="799">
        <f t="shared" si="48"/>
        <v>0</v>
      </c>
      <c r="AJ243" s="799">
        <f t="shared" si="48"/>
        <v>0</v>
      </c>
      <c r="AK243" s="799">
        <f t="shared" si="48"/>
        <v>9576703.8864983413</v>
      </c>
      <c r="AL243" s="799">
        <f t="shared" si="48"/>
        <v>0</v>
      </c>
      <c r="AM243" s="799">
        <f t="shared" si="48"/>
        <v>0</v>
      </c>
      <c r="AN243" s="799">
        <f t="shared" si="48"/>
        <v>0</v>
      </c>
      <c r="AO243" s="799">
        <f t="shared" si="48"/>
        <v>0</v>
      </c>
      <c r="AP243" s="799">
        <f t="shared" si="48"/>
        <v>0</v>
      </c>
      <c r="AQ243" s="799">
        <f t="shared" si="48"/>
        <v>0</v>
      </c>
      <c r="AR243" s="799">
        <f t="shared" si="48"/>
        <v>0</v>
      </c>
      <c r="AS243" s="799">
        <f t="shared" si="48"/>
        <v>0</v>
      </c>
      <c r="AT243" s="799">
        <f t="shared" si="48"/>
        <v>0</v>
      </c>
      <c r="AU243" s="799">
        <f t="shared" si="48"/>
        <v>0</v>
      </c>
      <c r="AV243" s="799">
        <f t="shared" si="48"/>
        <v>0</v>
      </c>
      <c r="AW243" s="799">
        <f t="shared" si="48"/>
        <v>0</v>
      </c>
      <c r="AX243" s="798"/>
    </row>
    <row r="244" spans="1:50" ht="12.75" customHeight="1" x14ac:dyDescent="0.3">
      <c r="A244" s="782"/>
      <c r="B244" s="796" t="s">
        <v>149</v>
      </c>
      <c r="C244" s="813">
        <f>SUM(E244:AX244)</f>
        <v>35641301.63030526</v>
      </c>
      <c r="D244" s="796"/>
      <c r="E244" s="813">
        <f t="shared" ref="E244:AW244" si="49">SUM(E240:E243)</f>
        <v>0</v>
      </c>
      <c r="F244" s="813">
        <f t="shared" si="49"/>
        <v>0</v>
      </c>
      <c r="G244" s="813">
        <f t="shared" si="49"/>
        <v>0</v>
      </c>
      <c r="H244" s="813">
        <f t="shared" si="49"/>
        <v>0</v>
      </c>
      <c r="I244" s="813">
        <f t="shared" si="49"/>
        <v>0</v>
      </c>
      <c r="J244" s="813">
        <f t="shared" si="49"/>
        <v>0</v>
      </c>
      <c r="K244" s="813">
        <f t="shared" si="49"/>
        <v>0</v>
      </c>
      <c r="L244" s="813">
        <f t="shared" si="49"/>
        <v>0</v>
      </c>
      <c r="M244" s="813">
        <f t="shared" si="49"/>
        <v>0</v>
      </c>
      <c r="N244" s="813">
        <f t="shared" si="49"/>
        <v>0</v>
      </c>
      <c r="O244" s="813">
        <f t="shared" si="49"/>
        <v>0</v>
      </c>
      <c r="P244" s="813">
        <f t="shared" si="49"/>
        <v>-46600744.397802807</v>
      </c>
      <c r="Q244" s="813">
        <f t="shared" si="49"/>
        <v>623346.85292693274</v>
      </c>
      <c r="R244" s="813">
        <f t="shared" si="49"/>
        <v>645086.61329542077</v>
      </c>
      <c r="S244" s="813">
        <f t="shared" si="49"/>
        <v>644215.54607378726</v>
      </c>
      <c r="T244" s="813">
        <f t="shared" si="49"/>
        <v>661902.09947439213</v>
      </c>
      <c r="U244" s="813">
        <f t="shared" si="49"/>
        <v>679519.10289103352</v>
      </c>
      <c r="V244" s="813">
        <f t="shared" si="49"/>
        <v>694204.81009246409</v>
      </c>
      <c r="W244" s="813">
        <f t="shared" si="49"/>
        <v>689738.6161152703</v>
      </c>
      <c r="X244" s="813">
        <f t="shared" si="49"/>
        <v>701794.01382499537</v>
      </c>
      <c r="Y244" s="813">
        <f t="shared" si="49"/>
        <v>717065.29189360049</v>
      </c>
      <c r="Z244" s="813">
        <f t="shared" si="49"/>
        <v>733551.69515324559</v>
      </c>
      <c r="AA244" s="813">
        <f t="shared" si="49"/>
        <v>732080.37063951511</v>
      </c>
      <c r="AB244" s="813">
        <f t="shared" si="49"/>
        <v>748271.4101425925</v>
      </c>
      <c r="AC244" s="813">
        <f t="shared" si="49"/>
        <v>767018.32850041986</v>
      </c>
      <c r="AD244" s="813">
        <f t="shared" si="49"/>
        <v>785743.49356206995</v>
      </c>
      <c r="AE244" s="813">
        <f t="shared" si="49"/>
        <v>785270.30079527816</v>
      </c>
      <c r="AF244" s="813">
        <f t="shared" si="49"/>
        <v>802729.72625170508</v>
      </c>
      <c r="AG244" s="813">
        <f t="shared" si="49"/>
        <v>822662.61418112239</v>
      </c>
      <c r="AH244" s="813">
        <f t="shared" si="49"/>
        <v>842492.85555103875</v>
      </c>
      <c r="AI244" s="813">
        <f t="shared" si="49"/>
        <v>842283.51895287074</v>
      </c>
      <c r="AJ244" s="813">
        <f t="shared" si="49"/>
        <v>860476.76641253906</v>
      </c>
      <c r="AK244" s="813">
        <f t="shared" si="49"/>
        <v>67462592.001377761</v>
      </c>
      <c r="AL244" s="813">
        <f t="shared" si="49"/>
        <v>0</v>
      </c>
      <c r="AM244" s="813">
        <f t="shared" si="49"/>
        <v>0</v>
      </c>
      <c r="AN244" s="813">
        <f t="shared" si="49"/>
        <v>0</v>
      </c>
      <c r="AO244" s="813">
        <f t="shared" si="49"/>
        <v>0</v>
      </c>
      <c r="AP244" s="813">
        <f t="shared" si="49"/>
        <v>0</v>
      </c>
      <c r="AQ244" s="813">
        <f t="shared" si="49"/>
        <v>0</v>
      </c>
      <c r="AR244" s="813">
        <f t="shared" si="49"/>
        <v>0</v>
      </c>
      <c r="AS244" s="813">
        <f t="shared" si="49"/>
        <v>0</v>
      </c>
      <c r="AT244" s="813">
        <f t="shared" si="49"/>
        <v>0</v>
      </c>
      <c r="AU244" s="813">
        <f t="shared" si="49"/>
        <v>0</v>
      </c>
      <c r="AV244" s="813">
        <f t="shared" si="49"/>
        <v>0</v>
      </c>
      <c r="AW244" s="813">
        <f t="shared" si="49"/>
        <v>0</v>
      </c>
      <c r="AX244" s="813"/>
    </row>
    <row r="245" spans="1:50" ht="12.75" customHeight="1" x14ac:dyDescent="0.3">
      <c r="A245" s="782"/>
      <c r="B245" s="800" t="s">
        <v>150</v>
      </c>
      <c r="C245" s="801">
        <f>'Venture Summary - Mthly'!C248</f>
        <v>0.12527844309806824</v>
      </c>
      <c r="D245" s="796"/>
      <c r="E245" s="813"/>
      <c r="F245" s="813"/>
      <c r="G245" s="813"/>
      <c r="H245" s="813"/>
      <c r="I245" s="813"/>
      <c r="J245" s="813"/>
      <c r="K245" s="813"/>
      <c r="L245" s="813"/>
      <c r="M245" s="813"/>
      <c r="N245" s="813"/>
      <c r="O245" s="813"/>
      <c r="P245" s="813"/>
      <c r="Q245" s="813"/>
      <c r="R245" s="813"/>
      <c r="S245" s="813"/>
      <c r="T245" s="813"/>
      <c r="U245" s="813"/>
      <c r="V245" s="813"/>
      <c r="W245" s="813"/>
      <c r="X245" s="813"/>
      <c r="Y245" s="813"/>
      <c r="Z245" s="813"/>
      <c r="AA245" s="813"/>
      <c r="AB245" s="813"/>
      <c r="AC245" s="813"/>
      <c r="AD245" s="813"/>
      <c r="AE245" s="813"/>
      <c r="AF245" s="813"/>
      <c r="AG245" s="813"/>
      <c r="AH245" s="813"/>
      <c r="AI245" s="813"/>
      <c r="AJ245" s="813"/>
      <c r="AK245" s="813"/>
      <c r="AL245" s="813"/>
      <c r="AM245" s="813"/>
      <c r="AN245" s="813"/>
      <c r="AO245" s="813"/>
      <c r="AP245" s="813"/>
      <c r="AQ245" s="813"/>
      <c r="AR245" s="813"/>
      <c r="AS245" s="813"/>
      <c r="AT245" s="813"/>
      <c r="AU245" s="813"/>
      <c r="AV245" s="813"/>
      <c r="AW245" s="813"/>
      <c r="AX245" s="813"/>
    </row>
    <row r="246" spans="1:50" ht="12.75" customHeight="1" x14ac:dyDescent="0.3">
      <c r="A246" s="782"/>
      <c r="B246" s="796"/>
      <c r="C246" s="796"/>
      <c r="D246" s="796"/>
      <c r="E246" s="813"/>
      <c r="F246" s="813"/>
      <c r="G246" s="813"/>
      <c r="H246" s="813"/>
      <c r="I246" s="813"/>
      <c r="J246" s="813"/>
      <c r="K246" s="813"/>
      <c r="L246" s="813"/>
      <c r="M246" s="813"/>
      <c r="N246" s="813"/>
      <c r="O246" s="813"/>
      <c r="P246" s="813"/>
      <c r="Q246" s="813"/>
      <c r="R246" s="813"/>
      <c r="S246" s="813"/>
      <c r="T246" s="813"/>
      <c r="U246" s="813"/>
      <c r="V246" s="813"/>
      <c r="W246" s="813"/>
      <c r="X246" s="813"/>
      <c r="Y246" s="813"/>
      <c r="Z246" s="813"/>
      <c r="AA246" s="813"/>
      <c r="AB246" s="813"/>
      <c r="AC246" s="813"/>
      <c r="AD246" s="813"/>
      <c r="AE246" s="813"/>
      <c r="AF246" s="813"/>
      <c r="AG246" s="813"/>
      <c r="AH246" s="813"/>
      <c r="AI246" s="813"/>
      <c r="AJ246" s="813"/>
      <c r="AK246" s="813"/>
      <c r="AL246" s="813"/>
      <c r="AM246" s="813"/>
      <c r="AN246" s="813"/>
      <c r="AO246" s="813"/>
      <c r="AP246" s="813"/>
      <c r="AQ246" s="813"/>
      <c r="AR246" s="813"/>
      <c r="AS246" s="813"/>
      <c r="AT246" s="813"/>
      <c r="AU246" s="813"/>
      <c r="AV246" s="813"/>
      <c r="AW246" s="813"/>
      <c r="AX246" s="813"/>
    </row>
    <row r="247" spans="1:50" ht="12.75" customHeight="1" x14ac:dyDescent="0.3">
      <c r="A247" s="782"/>
      <c r="B247" s="796" t="s">
        <v>151</v>
      </c>
      <c r="C247" s="813">
        <f>SUM(E247:AX247)</f>
        <v>5736147.0869287392</v>
      </c>
      <c r="D247" s="782"/>
      <c r="E247" s="813">
        <f t="shared" ref="E247:AW247" si="50">E299+E322+E329</f>
        <v>0</v>
      </c>
      <c r="F247" s="813">
        <f t="shared" si="50"/>
        <v>0</v>
      </c>
      <c r="G247" s="813">
        <f t="shared" si="50"/>
        <v>0</v>
      </c>
      <c r="H247" s="813">
        <f t="shared" si="50"/>
        <v>0</v>
      </c>
      <c r="I247" s="813">
        <f t="shared" si="50"/>
        <v>0</v>
      </c>
      <c r="J247" s="813">
        <f t="shared" si="50"/>
        <v>0</v>
      </c>
      <c r="K247" s="813">
        <f t="shared" si="50"/>
        <v>0</v>
      </c>
      <c r="L247" s="813">
        <f t="shared" si="50"/>
        <v>0</v>
      </c>
      <c r="M247" s="813">
        <f t="shared" si="50"/>
        <v>0</v>
      </c>
      <c r="N247" s="813">
        <f t="shared" si="50"/>
        <v>0</v>
      </c>
      <c r="O247" s="813">
        <f t="shared" si="50"/>
        <v>0</v>
      </c>
      <c r="P247" s="813">
        <f t="shared" si="50"/>
        <v>0</v>
      </c>
      <c r="Q247" s="813">
        <f t="shared" si="50"/>
        <v>0</v>
      </c>
      <c r="R247" s="813">
        <f t="shared" si="50"/>
        <v>0</v>
      </c>
      <c r="S247" s="813">
        <f t="shared" si="50"/>
        <v>0</v>
      </c>
      <c r="T247" s="813">
        <f t="shared" si="50"/>
        <v>0</v>
      </c>
      <c r="U247" s="813">
        <f t="shared" si="50"/>
        <v>0</v>
      </c>
      <c r="V247" s="813">
        <f t="shared" si="50"/>
        <v>0</v>
      </c>
      <c r="W247" s="813">
        <f t="shared" si="50"/>
        <v>0</v>
      </c>
      <c r="X247" s="813">
        <f t="shared" si="50"/>
        <v>0</v>
      </c>
      <c r="Y247" s="813">
        <f t="shared" si="50"/>
        <v>0</v>
      </c>
      <c r="Z247" s="813">
        <f t="shared" si="50"/>
        <v>0</v>
      </c>
      <c r="AA247" s="813">
        <f t="shared" si="50"/>
        <v>0</v>
      </c>
      <c r="AB247" s="813">
        <f t="shared" si="50"/>
        <v>0</v>
      </c>
      <c r="AC247" s="813">
        <f t="shared" si="50"/>
        <v>0</v>
      </c>
      <c r="AD247" s="813">
        <f t="shared" si="50"/>
        <v>0</v>
      </c>
      <c r="AE247" s="813">
        <f t="shared" si="50"/>
        <v>0</v>
      </c>
      <c r="AF247" s="813">
        <f t="shared" si="50"/>
        <v>0</v>
      </c>
      <c r="AG247" s="813">
        <f t="shared" si="50"/>
        <v>0</v>
      </c>
      <c r="AH247" s="813">
        <f t="shared" si="50"/>
        <v>0</v>
      </c>
      <c r="AI247" s="813">
        <f t="shared" si="50"/>
        <v>0</v>
      </c>
      <c r="AJ247" s="813">
        <f t="shared" si="50"/>
        <v>0</v>
      </c>
      <c r="AK247" s="813">
        <f t="shared" si="50"/>
        <v>5736147.0869287392</v>
      </c>
      <c r="AL247" s="813">
        <f t="shared" si="50"/>
        <v>0</v>
      </c>
      <c r="AM247" s="813">
        <f t="shared" si="50"/>
        <v>0</v>
      </c>
      <c r="AN247" s="813">
        <f t="shared" si="50"/>
        <v>0</v>
      </c>
      <c r="AO247" s="813">
        <f t="shared" si="50"/>
        <v>0</v>
      </c>
      <c r="AP247" s="813">
        <f t="shared" si="50"/>
        <v>0</v>
      </c>
      <c r="AQ247" s="813">
        <f t="shared" si="50"/>
        <v>0</v>
      </c>
      <c r="AR247" s="813">
        <f t="shared" si="50"/>
        <v>0</v>
      </c>
      <c r="AS247" s="813">
        <f t="shared" si="50"/>
        <v>0</v>
      </c>
      <c r="AT247" s="813">
        <f t="shared" si="50"/>
        <v>0</v>
      </c>
      <c r="AU247" s="813">
        <f t="shared" si="50"/>
        <v>0</v>
      </c>
      <c r="AV247" s="813">
        <f t="shared" si="50"/>
        <v>0</v>
      </c>
      <c r="AW247" s="813">
        <f t="shared" si="50"/>
        <v>0</v>
      </c>
      <c r="AX247" s="813"/>
    </row>
    <row r="248" spans="1:50" ht="12.75" customHeight="1" x14ac:dyDescent="0.3">
      <c r="A248" s="782"/>
      <c r="B248" s="782"/>
      <c r="C248" s="782"/>
      <c r="D248" s="782"/>
      <c r="E248" s="782"/>
      <c r="F248" s="782"/>
      <c r="G248" s="782"/>
      <c r="H248" s="782"/>
      <c r="I248" s="782"/>
      <c r="J248" s="782"/>
      <c r="K248" s="782"/>
      <c r="L248" s="782"/>
      <c r="M248" s="782"/>
      <c r="N248" s="782"/>
      <c r="O248" s="782"/>
      <c r="P248" s="782"/>
      <c r="Q248" s="782"/>
      <c r="R248" s="782"/>
      <c r="S248" s="782"/>
      <c r="T248" s="782"/>
      <c r="U248" s="782"/>
      <c r="V248" s="782"/>
      <c r="W248" s="782"/>
      <c r="X248" s="782"/>
      <c r="Y248" s="782"/>
      <c r="Z248" s="782"/>
      <c r="AA248" s="782"/>
      <c r="AB248" s="782"/>
      <c r="AC248" s="782"/>
      <c r="AD248" s="782"/>
      <c r="AE248" s="782"/>
      <c r="AF248" s="782"/>
      <c r="AG248" s="782"/>
      <c r="AH248" s="782"/>
      <c r="AI248" s="782"/>
      <c r="AJ248" s="782"/>
      <c r="AK248" s="782"/>
      <c r="AL248" s="782"/>
      <c r="AM248" s="782"/>
      <c r="AN248" s="782"/>
      <c r="AO248" s="782"/>
      <c r="AP248" s="782"/>
      <c r="AQ248" s="782"/>
      <c r="AR248" s="782"/>
      <c r="AS248" s="782"/>
      <c r="AT248" s="782"/>
      <c r="AU248" s="782"/>
      <c r="AV248" s="782"/>
      <c r="AW248" s="782"/>
      <c r="AX248" s="782"/>
    </row>
    <row r="249" spans="1:50" ht="12.75" customHeight="1" x14ac:dyDescent="0.3">
      <c r="A249" s="782"/>
      <c r="B249" s="796" t="s">
        <v>70</v>
      </c>
      <c r="C249" s="782"/>
      <c r="D249" s="782"/>
      <c r="E249" s="782"/>
      <c r="F249" s="782"/>
      <c r="G249" s="782"/>
      <c r="H249" s="782"/>
      <c r="I249" s="782"/>
      <c r="J249" s="782"/>
      <c r="K249" s="782"/>
      <c r="L249" s="782"/>
      <c r="M249" s="782"/>
      <c r="N249" s="782"/>
      <c r="O249" s="782"/>
      <c r="P249" s="782"/>
      <c r="Q249" s="782"/>
      <c r="R249" s="782"/>
      <c r="S249" s="782"/>
      <c r="T249" s="782"/>
      <c r="U249" s="782"/>
      <c r="V249" s="782"/>
      <c r="W249" s="782"/>
      <c r="X249" s="782"/>
      <c r="Y249" s="782"/>
      <c r="Z249" s="782"/>
      <c r="AA249" s="782"/>
      <c r="AB249" s="782"/>
      <c r="AC249" s="782"/>
      <c r="AD249" s="782"/>
      <c r="AE249" s="782"/>
      <c r="AF249" s="782"/>
      <c r="AG249" s="782"/>
      <c r="AH249" s="782"/>
      <c r="AI249" s="782"/>
      <c r="AJ249" s="782"/>
      <c r="AK249" s="782"/>
      <c r="AL249" s="782"/>
      <c r="AM249" s="782"/>
      <c r="AN249" s="782"/>
      <c r="AO249" s="782"/>
      <c r="AP249" s="782"/>
      <c r="AQ249" s="782"/>
      <c r="AR249" s="782"/>
      <c r="AS249" s="782"/>
      <c r="AT249" s="782"/>
      <c r="AU249" s="782"/>
      <c r="AV249" s="782"/>
      <c r="AW249" s="782"/>
      <c r="AX249" s="782"/>
    </row>
    <row r="250" spans="1:50" ht="12.75" customHeight="1" x14ac:dyDescent="0.3">
      <c r="A250" s="782"/>
      <c r="B250" s="782"/>
      <c r="C250" s="782"/>
      <c r="D250" s="782"/>
      <c r="E250" s="782"/>
      <c r="F250" s="782"/>
      <c r="G250" s="782"/>
      <c r="H250" s="782"/>
      <c r="I250" s="782"/>
      <c r="J250" s="782"/>
      <c r="K250" s="782"/>
      <c r="L250" s="782"/>
      <c r="M250" s="782"/>
      <c r="N250" s="782"/>
      <c r="O250" s="782"/>
      <c r="P250" s="782"/>
      <c r="Q250" s="782"/>
      <c r="R250" s="782"/>
      <c r="S250" s="782"/>
      <c r="T250" s="782"/>
      <c r="U250" s="782"/>
      <c r="V250" s="782"/>
      <c r="W250" s="782"/>
      <c r="X250" s="782"/>
      <c r="Y250" s="782"/>
      <c r="Z250" s="782"/>
      <c r="AA250" s="782"/>
      <c r="AB250" s="782"/>
      <c r="AC250" s="782"/>
      <c r="AD250" s="782"/>
      <c r="AE250" s="782"/>
      <c r="AF250" s="782"/>
      <c r="AG250" s="782"/>
      <c r="AH250" s="782"/>
      <c r="AI250" s="782"/>
      <c r="AJ250" s="782"/>
      <c r="AK250" s="782"/>
      <c r="AL250" s="782"/>
      <c r="AM250" s="782"/>
      <c r="AN250" s="782"/>
      <c r="AO250" s="782"/>
      <c r="AP250" s="782"/>
      <c r="AQ250" s="782"/>
      <c r="AR250" s="782"/>
      <c r="AS250" s="782"/>
      <c r="AT250" s="782"/>
      <c r="AU250" s="782"/>
      <c r="AV250" s="782"/>
      <c r="AW250" s="782"/>
      <c r="AX250" s="782"/>
    </row>
    <row r="251" spans="1:50" ht="12.75" customHeight="1" x14ac:dyDescent="0.3">
      <c r="A251" s="782"/>
      <c r="B251" s="782" t="s">
        <v>152</v>
      </c>
      <c r="C251" s="798">
        <f>SUM(E251:AX251)</f>
        <v>-103794068.10908552</v>
      </c>
      <c r="D251" s="782"/>
      <c r="E251" s="798">
        <f>-E46</f>
        <v>0</v>
      </c>
      <c r="F251" s="798">
        <f t="shared" ref="F251:AW251" si="51">-F46</f>
        <v>0</v>
      </c>
      <c r="G251" s="798">
        <f t="shared" si="51"/>
        <v>0</v>
      </c>
      <c r="H251" s="798">
        <f t="shared" si="51"/>
        <v>0</v>
      </c>
      <c r="I251" s="798">
        <f t="shared" si="51"/>
        <v>0</v>
      </c>
      <c r="J251" s="798">
        <f t="shared" si="51"/>
        <v>0</v>
      </c>
      <c r="K251" s="798">
        <f t="shared" si="51"/>
        <v>0</v>
      </c>
      <c r="L251" s="798">
        <f t="shared" si="51"/>
        <v>0</v>
      </c>
      <c r="M251" s="798">
        <f t="shared" si="51"/>
        <v>0</v>
      </c>
      <c r="N251" s="798">
        <f t="shared" si="51"/>
        <v>0</v>
      </c>
      <c r="O251" s="798">
        <f t="shared" si="51"/>
        <v>0</v>
      </c>
      <c r="P251" s="798">
        <f t="shared" si="51"/>
        <v>-103794068.10908552</v>
      </c>
      <c r="Q251" s="798">
        <f t="shared" si="51"/>
        <v>0</v>
      </c>
      <c r="R251" s="798">
        <f t="shared" si="51"/>
        <v>0</v>
      </c>
      <c r="S251" s="798">
        <f t="shared" si="51"/>
        <v>0</v>
      </c>
      <c r="T251" s="798">
        <f t="shared" si="51"/>
        <v>0</v>
      </c>
      <c r="U251" s="798">
        <f t="shared" si="51"/>
        <v>0</v>
      </c>
      <c r="V251" s="798">
        <f t="shared" si="51"/>
        <v>0</v>
      </c>
      <c r="W251" s="798">
        <f t="shared" si="51"/>
        <v>0</v>
      </c>
      <c r="X251" s="798">
        <f t="shared" si="51"/>
        <v>0</v>
      </c>
      <c r="Y251" s="798">
        <f t="shared" si="51"/>
        <v>0</v>
      </c>
      <c r="Z251" s="798">
        <f t="shared" si="51"/>
        <v>0</v>
      </c>
      <c r="AA251" s="798">
        <f t="shared" si="51"/>
        <v>0</v>
      </c>
      <c r="AB251" s="798">
        <f t="shared" si="51"/>
        <v>0</v>
      </c>
      <c r="AC251" s="798">
        <f t="shared" si="51"/>
        <v>0</v>
      </c>
      <c r="AD251" s="798">
        <f t="shared" si="51"/>
        <v>0</v>
      </c>
      <c r="AE251" s="798">
        <f t="shared" si="51"/>
        <v>0</v>
      </c>
      <c r="AF251" s="798">
        <f t="shared" si="51"/>
        <v>0</v>
      </c>
      <c r="AG251" s="798">
        <f t="shared" si="51"/>
        <v>0</v>
      </c>
      <c r="AH251" s="798">
        <f t="shared" si="51"/>
        <v>0</v>
      </c>
      <c r="AI251" s="798">
        <f t="shared" si="51"/>
        <v>0</v>
      </c>
      <c r="AJ251" s="798">
        <f t="shared" si="51"/>
        <v>0</v>
      </c>
      <c r="AK251" s="798">
        <f t="shared" si="51"/>
        <v>0</v>
      </c>
      <c r="AL251" s="798">
        <f t="shared" si="51"/>
        <v>0</v>
      </c>
      <c r="AM251" s="798">
        <f t="shared" si="51"/>
        <v>0</v>
      </c>
      <c r="AN251" s="798">
        <f t="shared" si="51"/>
        <v>0</v>
      </c>
      <c r="AO251" s="798">
        <f t="shared" si="51"/>
        <v>0</v>
      </c>
      <c r="AP251" s="798">
        <f t="shared" si="51"/>
        <v>0</v>
      </c>
      <c r="AQ251" s="798">
        <f t="shared" si="51"/>
        <v>0</v>
      </c>
      <c r="AR251" s="798">
        <f t="shared" si="51"/>
        <v>0</v>
      </c>
      <c r="AS251" s="798">
        <f t="shared" si="51"/>
        <v>0</v>
      </c>
      <c r="AT251" s="798">
        <f t="shared" si="51"/>
        <v>0</v>
      </c>
      <c r="AU251" s="798">
        <f t="shared" si="51"/>
        <v>0</v>
      </c>
      <c r="AV251" s="798">
        <f t="shared" si="51"/>
        <v>0</v>
      </c>
      <c r="AW251" s="798">
        <f t="shared" si="51"/>
        <v>0</v>
      </c>
      <c r="AX251" s="798"/>
    </row>
    <row r="252" spans="1:50" ht="12.75" customHeight="1" x14ac:dyDescent="0.3">
      <c r="A252" s="782"/>
      <c r="B252" s="821" t="s">
        <v>152</v>
      </c>
      <c r="C252" s="822">
        <f>SUM(E252:AX252)</f>
        <v>-103794068.10908552</v>
      </c>
      <c r="D252" s="821"/>
      <c r="E252" s="822">
        <f t="shared" ref="E252:AW252" si="52">SUM(E251:E251)</f>
        <v>0</v>
      </c>
      <c r="F252" s="822">
        <f t="shared" si="52"/>
        <v>0</v>
      </c>
      <c r="G252" s="822">
        <f t="shared" si="52"/>
        <v>0</v>
      </c>
      <c r="H252" s="822">
        <f t="shared" si="52"/>
        <v>0</v>
      </c>
      <c r="I252" s="822">
        <f t="shared" si="52"/>
        <v>0</v>
      </c>
      <c r="J252" s="822">
        <f t="shared" si="52"/>
        <v>0</v>
      </c>
      <c r="K252" s="822">
        <f t="shared" si="52"/>
        <v>0</v>
      </c>
      <c r="L252" s="822">
        <f t="shared" si="52"/>
        <v>0</v>
      </c>
      <c r="M252" s="822">
        <f t="shared" si="52"/>
        <v>0</v>
      </c>
      <c r="N252" s="822">
        <f t="shared" si="52"/>
        <v>0</v>
      </c>
      <c r="O252" s="822">
        <f t="shared" si="52"/>
        <v>0</v>
      </c>
      <c r="P252" s="822">
        <f t="shared" si="52"/>
        <v>-103794068.10908552</v>
      </c>
      <c r="Q252" s="822">
        <f t="shared" si="52"/>
        <v>0</v>
      </c>
      <c r="R252" s="822">
        <f t="shared" si="52"/>
        <v>0</v>
      </c>
      <c r="S252" s="822">
        <f t="shared" si="52"/>
        <v>0</v>
      </c>
      <c r="T252" s="822">
        <f t="shared" si="52"/>
        <v>0</v>
      </c>
      <c r="U252" s="822">
        <f t="shared" si="52"/>
        <v>0</v>
      </c>
      <c r="V252" s="822">
        <f t="shared" si="52"/>
        <v>0</v>
      </c>
      <c r="W252" s="822">
        <f t="shared" si="52"/>
        <v>0</v>
      </c>
      <c r="X252" s="822">
        <f t="shared" si="52"/>
        <v>0</v>
      </c>
      <c r="Y252" s="822">
        <f t="shared" si="52"/>
        <v>0</v>
      </c>
      <c r="Z252" s="822">
        <f t="shared" si="52"/>
        <v>0</v>
      </c>
      <c r="AA252" s="822">
        <f t="shared" si="52"/>
        <v>0</v>
      </c>
      <c r="AB252" s="822">
        <f t="shared" si="52"/>
        <v>0</v>
      </c>
      <c r="AC252" s="822">
        <f t="shared" si="52"/>
        <v>0</v>
      </c>
      <c r="AD252" s="822">
        <f t="shared" si="52"/>
        <v>0</v>
      </c>
      <c r="AE252" s="822">
        <f t="shared" si="52"/>
        <v>0</v>
      </c>
      <c r="AF252" s="822">
        <f t="shared" si="52"/>
        <v>0</v>
      </c>
      <c r="AG252" s="822">
        <f t="shared" si="52"/>
        <v>0</v>
      </c>
      <c r="AH252" s="822">
        <f t="shared" si="52"/>
        <v>0</v>
      </c>
      <c r="AI252" s="822">
        <f t="shared" si="52"/>
        <v>0</v>
      </c>
      <c r="AJ252" s="822">
        <f t="shared" si="52"/>
        <v>0</v>
      </c>
      <c r="AK252" s="822">
        <f t="shared" si="52"/>
        <v>0</v>
      </c>
      <c r="AL252" s="822">
        <f t="shared" si="52"/>
        <v>0</v>
      </c>
      <c r="AM252" s="822">
        <f t="shared" si="52"/>
        <v>0</v>
      </c>
      <c r="AN252" s="822">
        <f t="shared" si="52"/>
        <v>0</v>
      </c>
      <c r="AO252" s="822">
        <f t="shared" si="52"/>
        <v>0</v>
      </c>
      <c r="AP252" s="822">
        <f t="shared" si="52"/>
        <v>0</v>
      </c>
      <c r="AQ252" s="822">
        <f t="shared" si="52"/>
        <v>0</v>
      </c>
      <c r="AR252" s="822">
        <f t="shared" si="52"/>
        <v>0</v>
      </c>
      <c r="AS252" s="822">
        <f t="shared" si="52"/>
        <v>0</v>
      </c>
      <c r="AT252" s="822">
        <f t="shared" si="52"/>
        <v>0</v>
      </c>
      <c r="AU252" s="822">
        <f t="shared" si="52"/>
        <v>0</v>
      </c>
      <c r="AV252" s="822">
        <f t="shared" si="52"/>
        <v>0</v>
      </c>
      <c r="AW252" s="822">
        <f t="shared" si="52"/>
        <v>0</v>
      </c>
      <c r="AX252" s="798"/>
    </row>
    <row r="253" spans="1:50" ht="12.75" customHeight="1" x14ac:dyDescent="0.3">
      <c r="A253" s="782"/>
      <c r="B253" s="782"/>
      <c r="C253" s="798"/>
      <c r="D253" s="782"/>
      <c r="E253" s="798"/>
      <c r="F253" s="782"/>
      <c r="G253" s="782"/>
      <c r="H253" s="782"/>
      <c r="I253" s="782"/>
      <c r="J253" s="782"/>
      <c r="K253" s="782"/>
      <c r="L253" s="782"/>
      <c r="M253" s="782"/>
      <c r="N253" s="782"/>
      <c r="O253" s="782"/>
      <c r="P253" s="782"/>
      <c r="Q253" s="782"/>
      <c r="R253" s="782"/>
      <c r="S253" s="782"/>
      <c r="T253" s="782"/>
      <c r="U253" s="782"/>
      <c r="V253" s="782"/>
      <c r="W253" s="782"/>
      <c r="X253" s="782"/>
      <c r="Y253" s="782"/>
      <c r="Z253" s="782"/>
      <c r="AA253" s="782"/>
      <c r="AB253" s="782"/>
      <c r="AC253" s="782"/>
      <c r="AD253" s="782"/>
      <c r="AE253" s="782"/>
      <c r="AF253" s="782"/>
      <c r="AG253" s="782"/>
      <c r="AH253" s="782"/>
      <c r="AI253" s="782"/>
      <c r="AJ253" s="782"/>
      <c r="AK253" s="782"/>
      <c r="AL253" s="782"/>
      <c r="AM253" s="782"/>
      <c r="AN253" s="782"/>
      <c r="AO253" s="782"/>
      <c r="AP253" s="782"/>
      <c r="AQ253" s="782"/>
      <c r="AR253" s="782"/>
      <c r="AS253" s="782"/>
      <c r="AT253" s="782"/>
      <c r="AU253" s="782"/>
      <c r="AV253" s="782"/>
      <c r="AW253" s="782"/>
      <c r="AX253" s="782"/>
    </row>
    <row r="254" spans="1:50" ht="12.75" customHeight="1" x14ac:dyDescent="0.3">
      <c r="A254" s="782"/>
      <c r="B254" s="782" t="s">
        <v>153</v>
      </c>
      <c r="C254" s="798">
        <f>SUM(E254:AX254)</f>
        <v>102293723.43931949</v>
      </c>
      <c r="D254" s="782"/>
      <c r="E254" s="798">
        <f>SUMIF('Venture Summary - Mthly'!$E$8:$EG$8,E$9,'Venture Summary - Mthly'!$E257:$EG257)</f>
        <v>0</v>
      </c>
      <c r="F254" s="798">
        <f>SUMIF('Venture Summary - Mthly'!$E$8:$EG$8,F$9,'Venture Summary - Mthly'!$E257:$EG257)</f>
        <v>0</v>
      </c>
      <c r="G254" s="798">
        <f>SUMIF('Venture Summary - Mthly'!$E$8:$EG$8,G$9,'Venture Summary - Mthly'!$E257:$EG257)</f>
        <v>0</v>
      </c>
      <c r="H254" s="798">
        <f>SUMIF('Venture Summary - Mthly'!$E$8:$EG$8,H$9,'Venture Summary - Mthly'!$E257:$EG257)</f>
        <v>0</v>
      </c>
      <c r="I254" s="798">
        <f>SUMIF('Venture Summary - Mthly'!$E$8:$EG$8,I$9,'Venture Summary - Mthly'!$E257:$EG257)</f>
        <v>0</v>
      </c>
      <c r="J254" s="798">
        <f>SUMIF('Venture Summary - Mthly'!$E$8:$EG$8,J$9,'Venture Summary - Mthly'!$E257:$EG257)</f>
        <v>0</v>
      </c>
      <c r="K254" s="798">
        <f>SUMIF('Venture Summary - Mthly'!$E$8:$EG$8,K$9,'Venture Summary - Mthly'!$E257:$EG257)</f>
        <v>0</v>
      </c>
      <c r="L254" s="798">
        <f>SUMIF('Venture Summary - Mthly'!$E$8:$EG$8,L$9,'Venture Summary - Mthly'!$E257:$EG257)</f>
        <v>0</v>
      </c>
      <c r="M254" s="798">
        <f>SUMIF('Venture Summary - Mthly'!$E$8:$EG$8,M$9,'Venture Summary - Mthly'!$E257:$EG257)</f>
        <v>0</v>
      </c>
      <c r="N254" s="798">
        <f>SUMIF('Venture Summary - Mthly'!$E$8:$EG$8,N$9,'Venture Summary - Mthly'!$E257:$EG257)</f>
        <v>0</v>
      </c>
      <c r="O254" s="798">
        <f>SUMIF('Venture Summary - Mthly'!$E$8:$EG$8,O$9,'Venture Summary - Mthly'!$E257:$EG257)</f>
        <v>0</v>
      </c>
      <c r="P254" s="798">
        <f>SUMIF('Venture Summary - Mthly'!$E$8:$EG$8,P$9,'Venture Summary - Mthly'!$E257:$EG257)</f>
        <v>14315530.3242827</v>
      </c>
      <c r="Q254" s="798">
        <f>SUMIF('Venture Summary - Mthly'!$E$8:$EG$8,Q$9,'Venture Summary - Mthly'!$E257:$EG257)</f>
        <v>623346.85292693274</v>
      </c>
      <c r="R254" s="798">
        <f>SUMIF('Venture Summary - Mthly'!$E$8:$EG$8,R$9,'Venture Summary - Mthly'!$E257:$EG257)</f>
        <v>645086.61329542077</v>
      </c>
      <c r="S254" s="798">
        <f>SUMIF('Venture Summary - Mthly'!$E$8:$EG$8,S$9,'Venture Summary - Mthly'!$E257:$EG257)</f>
        <v>644215.54607378726</v>
      </c>
      <c r="T254" s="798">
        <f>SUMIF('Venture Summary - Mthly'!$E$8:$EG$8,T$9,'Venture Summary - Mthly'!$E257:$EG257)</f>
        <v>661902.09947439213</v>
      </c>
      <c r="U254" s="798">
        <f>SUMIF('Venture Summary - Mthly'!$E$8:$EG$8,U$9,'Venture Summary - Mthly'!$E257:$EG257)</f>
        <v>679519.10289103352</v>
      </c>
      <c r="V254" s="798">
        <f>SUMIF('Venture Summary - Mthly'!$E$8:$EG$8,V$9,'Venture Summary - Mthly'!$E257:$EG257)</f>
        <v>694204.81009246409</v>
      </c>
      <c r="W254" s="798">
        <f>SUMIF('Venture Summary - Mthly'!$E$8:$EG$8,W$9,'Venture Summary - Mthly'!$E257:$EG257)</f>
        <v>689738.6161152703</v>
      </c>
      <c r="X254" s="798">
        <f>SUMIF('Venture Summary - Mthly'!$E$8:$EG$8,X$9,'Venture Summary - Mthly'!$E257:$EG257)</f>
        <v>701794.01382499537</v>
      </c>
      <c r="Y254" s="798">
        <f>SUMIF('Venture Summary - Mthly'!$E$8:$EG$8,Y$9,'Venture Summary - Mthly'!$E257:$EG257)</f>
        <v>717065.29189360049</v>
      </c>
      <c r="Z254" s="798">
        <f>SUMIF('Venture Summary - Mthly'!$E$8:$EG$8,Z$9,'Venture Summary - Mthly'!$E257:$EG257)</f>
        <v>733551.69515324559</v>
      </c>
      <c r="AA254" s="798">
        <f>SUMIF('Venture Summary - Mthly'!$E$8:$EG$8,AA$9,'Venture Summary - Mthly'!$E257:$EG257)</f>
        <v>732080.37063951511</v>
      </c>
      <c r="AB254" s="798">
        <f>SUMIF('Venture Summary - Mthly'!$E$8:$EG$8,AB$9,'Venture Summary - Mthly'!$E257:$EG257)</f>
        <v>748271.4101425925</v>
      </c>
      <c r="AC254" s="798">
        <f>SUMIF('Venture Summary - Mthly'!$E$8:$EG$8,AC$9,'Venture Summary - Mthly'!$E257:$EG257)</f>
        <v>767018.32850041986</v>
      </c>
      <c r="AD254" s="798">
        <f>SUMIF('Venture Summary - Mthly'!$E$8:$EG$8,AD$9,'Venture Summary - Mthly'!$E257:$EG257)</f>
        <v>785743.49356206995</v>
      </c>
      <c r="AE254" s="798">
        <f>SUMIF('Venture Summary - Mthly'!$E$8:$EG$8,AE$9,'Venture Summary - Mthly'!$E257:$EG257)</f>
        <v>785270.30079527816</v>
      </c>
      <c r="AF254" s="798">
        <f>SUMIF('Venture Summary - Mthly'!$E$8:$EG$8,AF$9,'Venture Summary - Mthly'!$E257:$EG257)</f>
        <v>802729.72625170508</v>
      </c>
      <c r="AG254" s="798">
        <f>SUMIF('Venture Summary - Mthly'!$E$8:$EG$8,AG$9,'Venture Summary - Mthly'!$E257:$EG257)</f>
        <v>822662.61418112239</v>
      </c>
      <c r="AH254" s="798">
        <f>SUMIF('Venture Summary - Mthly'!$E$8:$EG$8,AH$9,'Venture Summary - Mthly'!$E257:$EG257)</f>
        <v>842492.85555103875</v>
      </c>
      <c r="AI254" s="798">
        <f>SUMIF('Venture Summary - Mthly'!$E$8:$EG$8,AI$9,'Venture Summary - Mthly'!$E257:$EG257)</f>
        <v>842283.51895287074</v>
      </c>
      <c r="AJ254" s="798">
        <f>SUMIF('Venture Summary - Mthly'!$E$8:$EG$8,AJ$9,'Venture Summary - Mthly'!$E257:$EG257)</f>
        <v>860476.76641253906</v>
      </c>
      <c r="AK254" s="798">
        <f>SUMIF('Venture Summary - Mthly'!$E$8:$EG$8,AK$9,'Venture Summary - Mthly'!$E257:$EG257)</f>
        <v>73198739.088306502</v>
      </c>
      <c r="AL254" s="798">
        <f>SUMIF('Venture Summary - Mthly'!$E$8:$EG$8,AL$9,'Venture Summary - Mthly'!$E257:$EG257)</f>
        <v>0</v>
      </c>
      <c r="AM254" s="798">
        <f>SUMIF('Venture Summary - Mthly'!$E$8:$EG$8,AM$9,'Venture Summary - Mthly'!$E257:$EG257)</f>
        <v>0</v>
      </c>
      <c r="AN254" s="798">
        <f>SUMIF('Venture Summary - Mthly'!$E$8:$EG$8,AN$9,'Venture Summary - Mthly'!$E257:$EG257)</f>
        <v>0</v>
      </c>
      <c r="AO254" s="798">
        <f>SUMIF('Venture Summary - Mthly'!$E$8:$EG$8,AO$9,'Venture Summary - Mthly'!$E257:$EG257)</f>
        <v>0</v>
      </c>
      <c r="AP254" s="798">
        <f>SUMIF('Venture Summary - Mthly'!$E$8:$EG$8,AP$9,'Venture Summary - Mthly'!$E257:$EG257)</f>
        <v>0</v>
      </c>
      <c r="AQ254" s="798">
        <f>SUMIF('Venture Summary - Mthly'!$E$8:$EG$8,AQ$9,'Venture Summary - Mthly'!$E257:$EG257)</f>
        <v>0</v>
      </c>
      <c r="AR254" s="798">
        <f>SUMIF('Venture Summary - Mthly'!$E$8:$EG$8,AR$9,'Venture Summary - Mthly'!$E257:$EG257)</f>
        <v>0</v>
      </c>
      <c r="AS254" s="798">
        <f>SUMIF('Venture Summary - Mthly'!$E$8:$EG$8,AS$9,'Venture Summary - Mthly'!$E257:$EG257)</f>
        <v>0</v>
      </c>
      <c r="AT254" s="798">
        <f>SUMIF('Venture Summary - Mthly'!$E$8:$EG$8,AT$9,'Venture Summary - Mthly'!$E257:$EG257)</f>
        <v>0</v>
      </c>
      <c r="AU254" s="798">
        <f>SUMIF('Venture Summary - Mthly'!$E$8:$EG$8,AU$9,'Venture Summary - Mthly'!$E257:$EG257)</f>
        <v>0</v>
      </c>
      <c r="AV254" s="798">
        <f>SUMIF('Venture Summary - Mthly'!$E$8:$EG$8,AV$9,'Venture Summary - Mthly'!$E257:$EG257)</f>
        <v>0</v>
      </c>
      <c r="AW254" s="798">
        <f>SUMIF('Venture Summary - Mthly'!$E$8:$EG$8,AW$9,'Venture Summary - Mthly'!$E257:$EG257)</f>
        <v>0</v>
      </c>
      <c r="AX254" s="798"/>
    </row>
    <row r="255" spans="1:50" ht="12.75" customHeight="1" x14ac:dyDescent="0.3">
      <c r="A255" s="782"/>
      <c r="B255" s="821" t="s">
        <v>153</v>
      </c>
      <c r="C255" s="822">
        <f>SUM(E255:AX255)</f>
        <v>102293723.43931949</v>
      </c>
      <c r="D255" s="821"/>
      <c r="E255" s="822">
        <f t="shared" ref="E255:AW255" si="53">SUM(E254:E254)</f>
        <v>0</v>
      </c>
      <c r="F255" s="822">
        <f t="shared" si="53"/>
        <v>0</v>
      </c>
      <c r="G255" s="822">
        <f t="shared" si="53"/>
        <v>0</v>
      </c>
      <c r="H255" s="822">
        <f t="shared" si="53"/>
        <v>0</v>
      </c>
      <c r="I255" s="822">
        <f t="shared" si="53"/>
        <v>0</v>
      </c>
      <c r="J255" s="822">
        <f t="shared" si="53"/>
        <v>0</v>
      </c>
      <c r="K255" s="822">
        <f t="shared" si="53"/>
        <v>0</v>
      </c>
      <c r="L255" s="822">
        <f t="shared" si="53"/>
        <v>0</v>
      </c>
      <c r="M255" s="822">
        <f t="shared" si="53"/>
        <v>0</v>
      </c>
      <c r="N255" s="822">
        <f t="shared" si="53"/>
        <v>0</v>
      </c>
      <c r="O255" s="822">
        <f t="shared" si="53"/>
        <v>0</v>
      </c>
      <c r="P255" s="822">
        <f t="shared" si="53"/>
        <v>14315530.3242827</v>
      </c>
      <c r="Q255" s="822">
        <f t="shared" si="53"/>
        <v>623346.85292693274</v>
      </c>
      <c r="R255" s="822">
        <f t="shared" si="53"/>
        <v>645086.61329542077</v>
      </c>
      <c r="S255" s="822">
        <f t="shared" si="53"/>
        <v>644215.54607378726</v>
      </c>
      <c r="T255" s="822">
        <f t="shared" si="53"/>
        <v>661902.09947439213</v>
      </c>
      <c r="U255" s="822">
        <f t="shared" si="53"/>
        <v>679519.10289103352</v>
      </c>
      <c r="V255" s="822">
        <f t="shared" si="53"/>
        <v>694204.81009246409</v>
      </c>
      <c r="W255" s="822">
        <f t="shared" si="53"/>
        <v>689738.6161152703</v>
      </c>
      <c r="X255" s="822">
        <f t="shared" si="53"/>
        <v>701794.01382499537</v>
      </c>
      <c r="Y255" s="822">
        <f t="shared" si="53"/>
        <v>717065.29189360049</v>
      </c>
      <c r="Z255" s="822">
        <f t="shared" si="53"/>
        <v>733551.69515324559</v>
      </c>
      <c r="AA255" s="822">
        <f t="shared" si="53"/>
        <v>732080.37063951511</v>
      </c>
      <c r="AB255" s="822">
        <f t="shared" si="53"/>
        <v>748271.4101425925</v>
      </c>
      <c r="AC255" s="822">
        <f t="shared" si="53"/>
        <v>767018.32850041986</v>
      </c>
      <c r="AD255" s="822">
        <f t="shared" si="53"/>
        <v>785743.49356206995</v>
      </c>
      <c r="AE255" s="822">
        <f t="shared" si="53"/>
        <v>785270.30079527816</v>
      </c>
      <c r="AF255" s="822">
        <f t="shared" si="53"/>
        <v>802729.72625170508</v>
      </c>
      <c r="AG255" s="822">
        <f t="shared" si="53"/>
        <v>822662.61418112239</v>
      </c>
      <c r="AH255" s="822">
        <f t="shared" si="53"/>
        <v>842492.85555103875</v>
      </c>
      <c r="AI255" s="822">
        <f t="shared" si="53"/>
        <v>842283.51895287074</v>
      </c>
      <c r="AJ255" s="822">
        <f t="shared" si="53"/>
        <v>860476.76641253906</v>
      </c>
      <c r="AK255" s="822">
        <f t="shared" si="53"/>
        <v>73198739.088306502</v>
      </c>
      <c r="AL255" s="822">
        <f t="shared" si="53"/>
        <v>0</v>
      </c>
      <c r="AM255" s="822">
        <f t="shared" si="53"/>
        <v>0</v>
      </c>
      <c r="AN255" s="822">
        <f t="shared" si="53"/>
        <v>0</v>
      </c>
      <c r="AO255" s="822">
        <f t="shared" si="53"/>
        <v>0</v>
      </c>
      <c r="AP255" s="822">
        <f t="shared" si="53"/>
        <v>0</v>
      </c>
      <c r="AQ255" s="822">
        <f t="shared" si="53"/>
        <v>0</v>
      </c>
      <c r="AR255" s="822">
        <f t="shared" si="53"/>
        <v>0</v>
      </c>
      <c r="AS255" s="822">
        <f t="shared" si="53"/>
        <v>0</v>
      </c>
      <c r="AT255" s="822">
        <f t="shared" si="53"/>
        <v>0</v>
      </c>
      <c r="AU255" s="822">
        <f t="shared" si="53"/>
        <v>0</v>
      </c>
      <c r="AV255" s="822">
        <f t="shared" si="53"/>
        <v>0</v>
      </c>
      <c r="AW255" s="822">
        <f t="shared" si="53"/>
        <v>0</v>
      </c>
      <c r="AX255" s="798"/>
    </row>
    <row r="256" spans="1:50" ht="12.75" hidden="1" customHeight="1" x14ac:dyDescent="0.3">
      <c r="A256" s="782"/>
      <c r="B256" s="782"/>
      <c r="C256" s="798"/>
      <c r="D256" s="782"/>
      <c r="E256" s="782"/>
      <c r="F256" s="782"/>
      <c r="G256" s="782"/>
      <c r="H256" s="782"/>
      <c r="I256" s="782"/>
      <c r="J256" s="782"/>
      <c r="K256" s="782"/>
      <c r="L256" s="782"/>
      <c r="M256" s="782"/>
      <c r="N256" s="782"/>
      <c r="O256" s="782"/>
      <c r="P256" s="782"/>
      <c r="Q256" s="782"/>
      <c r="R256" s="782"/>
      <c r="S256" s="782"/>
      <c r="T256" s="782"/>
      <c r="U256" s="782"/>
      <c r="V256" s="782"/>
      <c r="W256" s="782"/>
      <c r="X256" s="782"/>
      <c r="Y256" s="782"/>
      <c r="Z256" s="782"/>
      <c r="AA256" s="782"/>
      <c r="AB256" s="782"/>
      <c r="AC256" s="782"/>
      <c r="AD256" s="782"/>
      <c r="AE256" s="782"/>
      <c r="AF256" s="782"/>
      <c r="AG256" s="782"/>
      <c r="AH256" s="782"/>
      <c r="AI256" s="782"/>
      <c r="AJ256" s="782"/>
      <c r="AK256" s="782"/>
      <c r="AL256" s="782"/>
      <c r="AM256" s="782"/>
      <c r="AN256" s="782"/>
      <c r="AO256" s="782"/>
      <c r="AP256" s="782"/>
      <c r="AQ256" s="782"/>
      <c r="AR256" s="782"/>
      <c r="AS256" s="782"/>
      <c r="AT256" s="782"/>
      <c r="AU256" s="782"/>
      <c r="AV256" s="782"/>
      <c r="AW256" s="782"/>
      <c r="AX256" s="782"/>
    </row>
    <row r="257" spans="1:50" ht="12.75" hidden="1" customHeight="1" x14ac:dyDescent="0.3">
      <c r="A257" s="782"/>
      <c r="B257" s="782"/>
      <c r="C257" s="798"/>
      <c r="D257" s="782"/>
      <c r="E257" s="1152"/>
      <c r="F257" s="798"/>
      <c r="G257" s="798"/>
      <c r="H257" s="798"/>
      <c r="I257" s="798"/>
      <c r="J257" s="798"/>
      <c r="K257" s="798"/>
      <c r="L257" s="798"/>
      <c r="M257" s="798"/>
      <c r="N257" s="798"/>
      <c r="O257" s="798"/>
      <c r="P257" s="798"/>
      <c r="Q257" s="798"/>
      <c r="R257" s="798"/>
      <c r="S257" s="798"/>
      <c r="T257" s="798"/>
      <c r="U257" s="798"/>
      <c r="V257" s="798"/>
      <c r="W257" s="798"/>
      <c r="X257" s="798"/>
      <c r="Y257" s="798"/>
      <c r="Z257" s="798"/>
      <c r="AA257" s="798"/>
      <c r="AB257" s="798"/>
      <c r="AC257" s="798"/>
      <c r="AD257" s="798"/>
      <c r="AE257" s="798"/>
      <c r="AF257" s="798"/>
      <c r="AG257" s="798"/>
      <c r="AH257" s="798"/>
      <c r="AI257" s="798"/>
      <c r="AJ257" s="798"/>
      <c r="AK257" s="798"/>
      <c r="AL257" s="798"/>
      <c r="AM257" s="798"/>
      <c r="AN257" s="798"/>
      <c r="AO257" s="798"/>
      <c r="AP257" s="798"/>
      <c r="AQ257" s="798"/>
      <c r="AR257" s="798"/>
      <c r="AS257" s="798"/>
      <c r="AT257" s="798"/>
      <c r="AU257" s="798"/>
      <c r="AV257" s="798"/>
      <c r="AW257" s="798"/>
      <c r="AX257" s="798"/>
    </row>
    <row r="258" spans="1:50" ht="12.75" hidden="1" customHeight="1" x14ac:dyDescent="0.3">
      <c r="A258" s="782"/>
      <c r="B258" s="782"/>
      <c r="C258" s="798"/>
      <c r="D258" s="782"/>
      <c r="E258" s="798"/>
      <c r="F258" s="798"/>
      <c r="G258" s="798"/>
      <c r="H258" s="798"/>
      <c r="I258" s="798"/>
      <c r="J258" s="798"/>
      <c r="K258" s="798"/>
      <c r="L258" s="798"/>
      <c r="M258" s="798"/>
      <c r="N258" s="798"/>
      <c r="O258" s="798"/>
      <c r="P258" s="798"/>
      <c r="Q258" s="798"/>
      <c r="R258" s="798"/>
      <c r="S258" s="798"/>
      <c r="T258" s="798"/>
      <c r="U258" s="798"/>
      <c r="V258" s="798"/>
      <c r="W258" s="798"/>
      <c r="X258" s="798"/>
      <c r="Y258" s="798"/>
      <c r="Z258" s="798"/>
      <c r="AA258" s="798"/>
      <c r="AB258" s="798"/>
      <c r="AC258" s="798"/>
      <c r="AD258" s="798"/>
      <c r="AE258" s="798"/>
      <c r="AF258" s="798"/>
      <c r="AG258" s="798"/>
      <c r="AH258" s="798"/>
      <c r="AI258" s="798"/>
      <c r="AJ258" s="798"/>
      <c r="AK258" s="798"/>
      <c r="AL258" s="798"/>
      <c r="AM258" s="798"/>
      <c r="AN258" s="798"/>
      <c r="AO258" s="798"/>
      <c r="AP258" s="798"/>
      <c r="AQ258" s="798"/>
      <c r="AR258" s="798"/>
      <c r="AS258" s="798"/>
      <c r="AT258" s="798"/>
      <c r="AU258" s="798"/>
      <c r="AV258" s="798"/>
      <c r="AW258" s="798"/>
      <c r="AX258" s="798"/>
    </row>
    <row r="259" spans="1:50" ht="12.75" hidden="1" customHeight="1" x14ac:dyDescent="0.3">
      <c r="A259" s="782"/>
      <c r="B259" s="782"/>
      <c r="C259" s="798"/>
      <c r="D259" s="782"/>
      <c r="E259" s="798"/>
      <c r="F259" s="798"/>
      <c r="G259" s="798"/>
      <c r="H259" s="798"/>
      <c r="I259" s="798"/>
      <c r="J259" s="798"/>
      <c r="K259" s="798"/>
      <c r="L259" s="798"/>
      <c r="M259" s="798"/>
      <c r="N259" s="798"/>
      <c r="O259" s="798"/>
      <c r="P259" s="798"/>
      <c r="Q259" s="798"/>
      <c r="R259" s="798"/>
      <c r="S259" s="798"/>
      <c r="T259" s="798"/>
      <c r="U259" s="798"/>
      <c r="V259" s="798"/>
      <c r="W259" s="798"/>
      <c r="X259" s="798"/>
      <c r="Y259" s="798"/>
      <c r="Z259" s="798"/>
      <c r="AA259" s="798"/>
      <c r="AB259" s="798"/>
      <c r="AC259" s="798"/>
      <c r="AD259" s="798"/>
      <c r="AE259" s="798"/>
      <c r="AF259" s="798"/>
      <c r="AG259" s="798"/>
      <c r="AH259" s="798"/>
      <c r="AI259" s="798"/>
      <c r="AJ259" s="798"/>
      <c r="AK259" s="798"/>
      <c r="AL259" s="798"/>
      <c r="AM259" s="798"/>
      <c r="AN259" s="798"/>
      <c r="AO259" s="798"/>
      <c r="AP259" s="798"/>
      <c r="AQ259" s="798"/>
      <c r="AR259" s="798"/>
      <c r="AS259" s="798"/>
      <c r="AT259" s="798"/>
      <c r="AU259" s="798"/>
      <c r="AV259" s="798"/>
      <c r="AW259" s="798"/>
      <c r="AX259" s="798"/>
    </row>
    <row r="260" spans="1:50" ht="12.75" hidden="1" customHeight="1" x14ac:dyDescent="0.3">
      <c r="A260" s="782"/>
      <c r="B260" s="782"/>
      <c r="C260" s="782"/>
      <c r="D260" s="782"/>
      <c r="E260" s="798"/>
      <c r="F260" s="798"/>
      <c r="G260" s="798"/>
      <c r="H260" s="798"/>
      <c r="I260" s="798"/>
      <c r="J260" s="798"/>
      <c r="K260" s="798"/>
      <c r="L260" s="798"/>
      <c r="M260" s="798"/>
      <c r="N260" s="798"/>
      <c r="O260" s="798"/>
      <c r="P260" s="798"/>
      <c r="Q260" s="798"/>
      <c r="R260" s="798"/>
      <c r="S260" s="798"/>
      <c r="T260" s="798"/>
      <c r="U260" s="798"/>
      <c r="V260" s="798"/>
      <c r="W260" s="798"/>
      <c r="X260" s="798"/>
      <c r="Y260" s="798"/>
      <c r="Z260" s="798"/>
      <c r="AA260" s="798"/>
      <c r="AB260" s="798"/>
      <c r="AC260" s="798"/>
      <c r="AD260" s="798"/>
      <c r="AE260" s="798"/>
      <c r="AF260" s="798"/>
      <c r="AG260" s="798"/>
      <c r="AH260" s="798"/>
      <c r="AI260" s="798"/>
      <c r="AJ260" s="798"/>
      <c r="AK260" s="798"/>
      <c r="AL260" s="798"/>
      <c r="AM260" s="798"/>
      <c r="AN260" s="798"/>
      <c r="AO260" s="798"/>
      <c r="AP260" s="798"/>
      <c r="AQ260" s="798"/>
      <c r="AR260" s="798"/>
      <c r="AS260" s="798"/>
      <c r="AT260" s="798"/>
      <c r="AU260" s="798"/>
      <c r="AV260" s="798"/>
      <c r="AW260" s="798"/>
      <c r="AX260" s="798"/>
    </row>
    <row r="261" spans="1:50" ht="12.75" customHeight="1" x14ac:dyDescent="0.3">
      <c r="A261" s="782"/>
      <c r="B261" s="782"/>
      <c r="C261" s="782"/>
      <c r="D261" s="782"/>
      <c r="E261" s="782"/>
      <c r="F261" s="782"/>
      <c r="G261" s="782"/>
      <c r="H261" s="782"/>
      <c r="I261" s="782"/>
      <c r="J261" s="782"/>
      <c r="K261" s="782"/>
      <c r="L261" s="782"/>
      <c r="M261" s="782"/>
      <c r="N261" s="782"/>
      <c r="O261" s="782"/>
      <c r="P261" s="782"/>
      <c r="Q261" s="782"/>
      <c r="R261" s="782"/>
      <c r="S261" s="782"/>
      <c r="T261" s="782"/>
      <c r="U261" s="782"/>
      <c r="V261" s="782"/>
      <c r="W261" s="782"/>
      <c r="X261" s="782"/>
      <c r="Y261" s="782"/>
      <c r="Z261" s="782"/>
      <c r="AA261" s="782"/>
      <c r="AB261" s="782"/>
      <c r="AC261" s="782"/>
      <c r="AD261" s="782"/>
      <c r="AE261" s="782"/>
      <c r="AF261" s="782"/>
      <c r="AG261" s="782"/>
      <c r="AH261" s="782"/>
      <c r="AI261" s="782"/>
      <c r="AJ261" s="782"/>
      <c r="AK261" s="782"/>
      <c r="AL261" s="782"/>
      <c r="AM261" s="782"/>
      <c r="AN261" s="782"/>
      <c r="AO261" s="782"/>
      <c r="AP261" s="782"/>
      <c r="AQ261" s="782"/>
      <c r="AR261" s="782"/>
      <c r="AS261" s="782"/>
      <c r="AT261" s="782"/>
      <c r="AU261" s="782"/>
      <c r="AV261" s="782"/>
      <c r="AW261" s="782"/>
      <c r="AX261" s="782"/>
    </row>
    <row r="262" spans="1:50" ht="12.75" customHeight="1" x14ac:dyDescent="0.3">
      <c r="A262" s="782"/>
      <c r="B262" s="796" t="s">
        <v>154</v>
      </c>
      <c r="C262" s="816">
        <f>SUM(E262:AX262)</f>
        <v>-1500344.6697660089</v>
      </c>
      <c r="D262" s="796"/>
      <c r="E262" s="813">
        <f>E252+E255</f>
        <v>0</v>
      </c>
      <c r="F262" s="813">
        <f t="shared" ref="F262:AW262" si="54">F252+F255</f>
        <v>0</v>
      </c>
      <c r="G262" s="813">
        <f t="shared" si="54"/>
        <v>0</v>
      </c>
      <c r="H262" s="813">
        <f t="shared" si="54"/>
        <v>0</v>
      </c>
      <c r="I262" s="813">
        <f t="shared" si="54"/>
        <v>0</v>
      </c>
      <c r="J262" s="813">
        <f t="shared" si="54"/>
        <v>0</v>
      </c>
      <c r="K262" s="813">
        <f t="shared" si="54"/>
        <v>0</v>
      </c>
      <c r="L262" s="813">
        <f t="shared" si="54"/>
        <v>0</v>
      </c>
      <c r="M262" s="813">
        <f t="shared" si="54"/>
        <v>0</v>
      </c>
      <c r="N262" s="813">
        <f t="shared" si="54"/>
        <v>0</v>
      </c>
      <c r="O262" s="813">
        <f t="shared" si="54"/>
        <v>0</v>
      </c>
      <c r="P262" s="813">
        <f t="shared" si="54"/>
        <v>-89478537.784802809</v>
      </c>
      <c r="Q262" s="813">
        <f t="shared" si="54"/>
        <v>623346.85292693274</v>
      </c>
      <c r="R262" s="813">
        <f t="shared" si="54"/>
        <v>645086.61329542077</v>
      </c>
      <c r="S262" s="813">
        <f t="shared" si="54"/>
        <v>644215.54607378726</v>
      </c>
      <c r="T262" s="813">
        <f t="shared" si="54"/>
        <v>661902.09947439213</v>
      </c>
      <c r="U262" s="813">
        <f t="shared" si="54"/>
        <v>679519.10289103352</v>
      </c>
      <c r="V262" s="813">
        <f t="shared" si="54"/>
        <v>694204.81009246409</v>
      </c>
      <c r="W262" s="813">
        <f t="shared" si="54"/>
        <v>689738.6161152703</v>
      </c>
      <c r="X262" s="813">
        <f t="shared" si="54"/>
        <v>701794.01382499537</v>
      </c>
      <c r="Y262" s="813">
        <f t="shared" si="54"/>
        <v>717065.29189360049</v>
      </c>
      <c r="Z262" s="813">
        <f t="shared" si="54"/>
        <v>733551.69515324559</v>
      </c>
      <c r="AA262" s="813">
        <f t="shared" si="54"/>
        <v>732080.37063951511</v>
      </c>
      <c r="AB262" s="813">
        <f t="shared" si="54"/>
        <v>748271.4101425925</v>
      </c>
      <c r="AC262" s="813">
        <f t="shared" si="54"/>
        <v>767018.32850041986</v>
      </c>
      <c r="AD262" s="813">
        <f t="shared" si="54"/>
        <v>785743.49356206995</v>
      </c>
      <c r="AE262" s="813">
        <f t="shared" si="54"/>
        <v>785270.30079527816</v>
      </c>
      <c r="AF262" s="813">
        <f t="shared" si="54"/>
        <v>802729.72625170508</v>
      </c>
      <c r="AG262" s="813">
        <f t="shared" si="54"/>
        <v>822662.61418112239</v>
      </c>
      <c r="AH262" s="813">
        <f t="shared" si="54"/>
        <v>842492.85555103875</v>
      </c>
      <c r="AI262" s="813">
        <f t="shared" si="54"/>
        <v>842283.51895287074</v>
      </c>
      <c r="AJ262" s="813">
        <f t="shared" si="54"/>
        <v>860476.76641253906</v>
      </c>
      <c r="AK262" s="813">
        <f t="shared" si="54"/>
        <v>73198739.088306502</v>
      </c>
      <c r="AL262" s="813">
        <f t="shared" si="54"/>
        <v>0</v>
      </c>
      <c r="AM262" s="813">
        <f t="shared" si="54"/>
        <v>0</v>
      </c>
      <c r="AN262" s="813">
        <f t="shared" si="54"/>
        <v>0</v>
      </c>
      <c r="AO262" s="813">
        <f t="shared" si="54"/>
        <v>0</v>
      </c>
      <c r="AP262" s="813">
        <f t="shared" si="54"/>
        <v>0</v>
      </c>
      <c r="AQ262" s="813">
        <f t="shared" si="54"/>
        <v>0</v>
      </c>
      <c r="AR262" s="813">
        <f t="shared" si="54"/>
        <v>0</v>
      </c>
      <c r="AS262" s="813">
        <f t="shared" si="54"/>
        <v>0</v>
      </c>
      <c r="AT262" s="813">
        <f t="shared" si="54"/>
        <v>0</v>
      </c>
      <c r="AU262" s="813">
        <f t="shared" si="54"/>
        <v>0</v>
      </c>
      <c r="AV262" s="813">
        <f t="shared" si="54"/>
        <v>0</v>
      </c>
      <c r="AW262" s="813">
        <f t="shared" si="54"/>
        <v>0</v>
      </c>
      <c r="AX262" s="813"/>
    </row>
    <row r="263" spans="1:50" ht="12.75" customHeight="1" x14ac:dyDescent="0.3">
      <c r="A263" s="782"/>
      <c r="B263" s="796" t="s">
        <v>142</v>
      </c>
      <c r="C263" s="823">
        <f>'Venture Summary - Mthly'!C266</f>
        <v>0.14040511250495913</v>
      </c>
      <c r="D263" s="796"/>
      <c r="E263" s="813"/>
      <c r="F263" s="813"/>
      <c r="G263" s="813"/>
      <c r="H263" s="813"/>
      <c r="I263" s="813"/>
      <c r="J263" s="813"/>
      <c r="K263" s="813"/>
      <c r="L263" s="813"/>
      <c r="M263" s="813"/>
      <c r="N263" s="813"/>
      <c r="O263" s="813"/>
      <c r="P263" s="813"/>
      <c r="Q263" s="813"/>
      <c r="R263" s="813"/>
      <c r="S263" s="813"/>
      <c r="T263" s="813"/>
      <c r="U263" s="813"/>
      <c r="V263" s="813"/>
      <c r="W263" s="813"/>
      <c r="X263" s="813"/>
      <c r="Y263" s="813"/>
      <c r="Z263" s="813"/>
      <c r="AA263" s="813"/>
      <c r="AB263" s="813"/>
      <c r="AC263" s="813"/>
      <c r="AD263" s="813"/>
      <c r="AE263" s="813"/>
      <c r="AF263" s="813"/>
      <c r="AG263" s="813"/>
      <c r="AH263" s="813"/>
      <c r="AI263" s="813"/>
      <c r="AJ263" s="813"/>
      <c r="AK263" s="813"/>
      <c r="AL263" s="813"/>
      <c r="AM263" s="813"/>
      <c r="AN263" s="813"/>
      <c r="AO263" s="813"/>
      <c r="AP263" s="813"/>
      <c r="AQ263" s="813"/>
      <c r="AR263" s="813"/>
      <c r="AS263" s="813"/>
      <c r="AT263" s="813"/>
      <c r="AU263" s="813"/>
      <c r="AV263" s="813"/>
      <c r="AW263" s="813"/>
      <c r="AX263" s="813"/>
    </row>
    <row r="264" spans="1:50" ht="12.75" customHeight="1" x14ac:dyDescent="0.3">
      <c r="A264" s="782"/>
      <c r="B264" s="796"/>
      <c r="C264" s="813"/>
      <c r="D264" s="796"/>
      <c r="E264" s="798"/>
      <c r="F264" s="813"/>
      <c r="G264" s="813"/>
      <c r="H264" s="813"/>
      <c r="I264" s="813"/>
      <c r="J264" s="813"/>
      <c r="K264" s="813"/>
      <c r="L264" s="813"/>
      <c r="M264" s="813"/>
      <c r="N264" s="813"/>
      <c r="O264" s="813"/>
      <c r="P264" s="813"/>
      <c r="Q264" s="813"/>
      <c r="R264" s="813"/>
      <c r="S264" s="813"/>
      <c r="T264" s="813"/>
      <c r="U264" s="813"/>
      <c r="V264" s="813"/>
      <c r="W264" s="813"/>
      <c r="X264" s="813"/>
      <c r="Y264" s="813"/>
      <c r="Z264" s="813"/>
      <c r="AA264" s="813"/>
      <c r="AB264" s="813"/>
      <c r="AC264" s="813"/>
      <c r="AD264" s="813"/>
      <c r="AE264" s="813"/>
      <c r="AF264" s="813"/>
      <c r="AG264" s="813"/>
      <c r="AH264" s="813"/>
      <c r="AI264" s="813"/>
      <c r="AJ264" s="813"/>
      <c r="AK264" s="813"/>
      <c r="AL264" s="813"/>
      <c r="AM264" s="813"/>
      <c r="AN264" s="813"/>
      <c r="AO264" s="813"/>
      <c r="AP264" s="813"/>
      <c r="AQ264" s="813"/>
      <c r="AR264" s="813"/>
      <c r="AS264" s="813"/>
      <c r="AT264" s="813"/>
      <c r="AU264" s="813"/>
      <c r="AV264" s="813"/>
      <c r="AW264" s="813"/>
      <c r="AX264" s="813"/>
    </row>
    <row r="265" spans="1:50" ht="12.75" customHeight="1" x14ac:dyDescent="0.3">
      <c r="A265" s="782"/>
      <c r="B265" s="796" t="s">
        <v>155</v>
      </c>
      <c r="C265" s="798"/>
      <c r="D265" s="782"/>
      <c r="E265" s="798"/>
      <c r="F265" s="798"/>
      <c r="G265" s="798"/>
      <c r="H265" s="798"/>
      <c r="I265" s="798"/>
      <c r="J265" s="798"/>
      <c r="K265" s="798"/>
      <c r="L265" s="798"/>
      <c r="M265" s="798"/>
      <c r="N265" s="798"/>
      <c r="O265" s="798"/>
      <c r="P265" s="798"/>
      <c r="Q265" s="798"/>
      <c r="R265" s="798"/>
      <c r="S265" s="798"/>
      <c r="T265" s="798"/>
      <c r="U265" s="798"/>
      <c r="V265" s="798"/>
      <c r="W265" s="798"/>
      <c r="X265" s="798"/>
      <c r="Y265" s="798"/>
      <c r="Z265" s="798"/>
      <c r="AA265" s="798"/>
      <c r="AB265" s="798"/>
      <c r="AC265" s="798"/>
      <c r="AD265" s="798"/>
      <c r="AE265" s="798"/>
      <c r="AF265" s="798"/>
      <c r="AG265" s="798"/>
      <c r="AH265" s="798"/>
      <c r="AI265" s="798"/>
      <c r="AJ265" s="798"/>
      <c r="AK265" s="798"/>
      <c r="AL265" s="798"/>
      <c r="AM265" s="798"/>
      <c r="AN265" s="798"/>
      <c r="AO265" s="798"/>
      <c r="AP265" s="798"/>
      <c r="AQ265" s="798"/>
      <c r="AR265" s="798"/>
      <c r="AS265" s="798"/>
      <c r="AT265" s="798"/>
      <c r="AU265" s="798"/>
      <c r="AV265" s="798"/>
      <c r="AW265" s="798"/>
      <c r="AX265" s="798"/>
    </row>
    <row r="266" spans="1:50" ht="12.75" customHeight="1" x14ac:dyDescent="0.3">
      <c r="A266" s="782"/>
      <c r="B266" s="782"/>
      <c r="C266" s="782"/>
      <c r="D266" s="782"/>
      <c r="E266" s="798"/>
      <c r="F266" s="782"/>
      <c r="G266" s="782"/>
      <c r="H266" s="782"/>
      <c r="I266" s="782"/>
      <c r="J266" s="782"/>
      <c r="K266" s="782"/>
      <c r="L266" s="782"/>
      <c r="M266" s="782"/>
      <c r="N266" s="782"/>
      <c r="O266" s="782"/>
      <c r="P266" s="782"/>
      <c r="Q266" s="782"/>
      <c r="R266" s="782"/>
      <c r="S266" s="782"/>
      <c r="T266" s="782"/>
      <c r="U266" s="782"/>
      <c r="V266" s="782"/>
      <c r="W266" s="782"/>
      <c r="X266" s="782"/>
      <c r="Y266" s="782"/>
      <c r="Z266" s="782"/>
      <c r="AA266" s="782"/>
      <c r="AB266" s="782"/>
      <c r="AC266" s="782"/>
      <c r="AD266" s="782"/>
      <c r="AE266" s="782"/>
      <c r="AF266" s="782"/>
      <c r="AG266" s="782"/>
      <c r="AH266" s="782"/>
      <c r="AI266" s="782"/>
      <c r="AJ266" s="782"/>
      <c r="AK266" s="782"/>
      <c r="AL266" s="782"/>
      <c r="AM266" s="782"/>
      <c r="AN266" s="782"/>
      <c r="AO266" s="782"/>
      <c r="AP266" s="782"/>
      <c r="AQ266" s="782"/>
      <c r="AR266" s="782"/>
      <c r="AS266" s="782"/>
      <c r="AT266" s="782"/>
      <c r="AU266" s="782"/>
      <c r="AV266" s="782"/>
      <c r="AW266" s="782"/>
      <c r="AX266" s="782"/>
    </row>
    <row r="267" spans="1:50" ht="12.75" customHeight="1" x14ac:dyDescent="0.3">
      <c r="A267" s="782"/>
      <c r="B267" s="781" t="s">
        <v>156</v>
      </c>
      <c r="C267" s="799"/>
      <c r="D267" s="781"/>
      <c r="E267" s="799">
        <v>0</v>
      </c>
      <c r="F267" s="799">
        <f t="shared" ref="F267:AW267" si="55">E271</f>
        <v>0</v>
      </c>
      <c r="G267" s="799">
        <f t="shared" si="55"/>
        <v>0</v>
      </c>
      <c r="H267" s="799">
        <f t="shared" si="55"/>
        <v>0</v>
      </c>
      <c r="I267" s="799">
        <f t="shared" si="55"/>
        <v>0</v>
      </c>
      <c r="J267" s="799">
        <f t="shared" si="55"/>
        <v>0</v>
      </c>
      <c r="K267" s="799">
        <f t="shared" si="55"/>
        <v>0</v>
      </c>
      <c r="L267" s="799">
        <f t="shared" si="55"/>
        <v>0</v>
      </c>
      <c r="M267" s="799">
        <f t="shared" si="55"/>
        <v>0</v>
      </c>
      <c r="N267" s="799">
        <f t="shared" si="55"/>
        <v>0</v>
      </c>
      <c r="O267" s="799">
        <f t="shared" si="55"/>
        <v>0</v>
      </c>
      <c r="P267" s="799">
        <f t="shared" si="55"/>
        <v>0</v>
      </c>
      <c r="Q267" s="799">
        <f t="shared" si="55"/>
        <v>-47012264.711641699</v>
      </c>
      <c r="R267" s="799">
        <f t="shared" si="55"/>
        <v>-47333539.382965691</v>
      </c>
      <c r="S267" s="799">
        <f t="shared" si="55"/>
        <v>-47629026.10833697</v>
      </c>
      <c r="T267" s="799">
        <f t="shared" si="55"/>
        <v>-47920905.413526639</v>
      </c>
      <c r="U267" s="799">
        <f t="shared" si="55"/>
        <v>-48221744.976487204</v>
      </c>
      <c r="V267" s="799">
        <f t="shared" si="55"/>
        <v>-48510867.979531109</v>
      </c>
      <c r="W267" s="799">
        <f t="shared" si="55"/>
        <v>-48780396.940727569</v>
      </c>
      <c r="X267" s="799">
        <f t="shared" si="55"/>
        <v>-49059887.790193804</v>
      </c>
      <c r="Y267" s="799">
        <f t="shared" si="55"/>
        <v>-49343548.750189334</v>
      </c>
      <c r="Z267" s="799">
        <f t="shared" si="55"/>
        <v>-49617511.141926706</v>
      </c>
      <c r="AA267" s="799">
        <f t="shared" si="55"/>
        <v>-49869528.137252629</v>
      </c>
      <c r="AB267" s="799">
        <f t="shared" si="55"/>
        <v>-50117208.49290657</v>
      </c>
      <c r="AC267" s="799">
        <f t="shared" si="55"/>
        <v>-50375425.793731399</v>
      </c>
      <c r="AD267" s="799">
        <f t="shared" si="55"/>
        <v>-50619926.863422804</v>
      </c>
      <c r="AE267" s="799">
        <f t="shared" si="55"/>
        <v>-50839418.596914187</v>
      </c>
      <c r="AF267" s="799">
        <f t="shared" si="55"/>
        <v>-51052718.630212516</v>
      </c>
      <c r="AG267" s="799">
        <f t="shared" si="55"/>
        <v>-51274995.553353406</v>
      </c>
      <c r="AH267" s="799">
        <f t="shared" si="55"/>
        <v>-51481632.774805129</v>
      </c>
      <c r="AI267" s="799">
        <f t="shared" si="55"/>
        <v>-51661201.132272907</v>
      </c>
      <c r="AJ267" s="799">
        <f t="shared" si="55"/>
        <v>-51833349.032706767</v>
      </c>
      <c r="AK267" s="799">
        <f t="shared" si="55"/>
        <v>-52013248.417188369</v>
      </c>
      <c r="AL267" s="799">
        <f t="shared" si="55"/>
        <v>20141687.463545822</v>
      </c>
      <c r="AM267" s="799">
        <f t="shared" si="55"/>
        <v>20543727.618523061</v>
      </c>
      <c r="AN267" s="799">
        <f t="shared" si="55"/>
        <v>20953792.735982057</v>
      </c>
      <c r="AO267" s="799">
        <f t="shared" si="55"/>
        <v>21376685.228645138</v>
      </c>
      <c r="AP267" s="799">
        <f t="shared" si="55"/>
        <v>21808112.599103574</v>
      </c>
      <c r="AQ267" s="799">
        <f t="shared" si="55"/>
        <v>22243415.598664723</v>
      </c>
      <c r="AR267" s="799">
        <f t="shared" si="55"/>
        <v>22682480.636700656</v>
      </c>
      <c r="AS267" s="799">
        <f t="shared" si="55"/>
        <v>23140261.760008443</v>
      </c>
      <c r="AT267" s="799">
        <f t="shared" si="55"/>
        <v>23607281.888529703</v>
      </c>
      <c r="AU267" s="799">
        <f t="shared" si="55"/>
        <v>23607281.888529703</v>
      </c>
      <c r="AV267" s="799">
        <f t="shared" si="55"/>
        <v>23607281.888529703</v>
      </c>
      <c r="AW267" s="799">
        <f t="shared" si="55"/>
        <v>23607281.888529703</v>
      </c>
      <c r="AX267" s="798"/>
    </row>
    <row r="268" spans="1:50" ht="12.75" customHeight="1" x14ac:dyDescent="0.3">
      <c r="A268" s="782"/>
      <c r="B268" s="782" t="s">
        <v>155</v>
      </c>
      <c r="C268" s="798"/>
      <c r="D268" s="782"/>
      <c r="E268" s="798">
        <f>SUMIF('Venture Summary - Mthly'!$E$8:$EG$8,E$9,'Venture Summary - Mthly'!$E271:$EG271)</f>
        <v>0</v>
      </c>
      <c r="F268" s="798">
        <f>SUMIF('Venture Summary - Mthly'!$E$8:$EG$8,F$9,'Venture Summary - Mthly'!$E271:$EG271)</f>
        <v>0</v>
      </c>
      <c r="G268" s="798">
        <f>SUMIF('Venture Summary - Mthly'!$E$8:$EG$8,G$9,'Venture Summary - Mthly'!$E271:$EG271)</f>
        <v>0</v>
      </c>
      <c r="H268" s="798">
        <f>SUMIF('Venture Summary - Mthly'!$E$8:$EG$8,H$9,'Venture Summary - Mthly'!$E271:$EG271)</f>
        <v>0</v>
      </c>
      <c r="I268" s="798">
        <f>SUMIF('Venture Summary - Mthly'!$E$8:$EG$8,I$9,'Venture Summary - Mthly'!$E271:$EG271)</f>
        <v>0</v>
      </c>
      <c r="J268" s="798">
        <f>SUMIF('Venture Summary - Mthly'!$E$8:$EG$8,J$9,'Venture Summary - Mthly'!$E271:$EG271)</f>
        <v>0</v>
      </c>
      <c r="K268" s="798">
        <f>SUMIF('Venture Summary - Mthly'!$E$8:$EG$8,K$9,'Venture Summary - Mthly'!$E271:$EG271)</f>
        <v>0</v>
      </c>
      <c r="L268" s="798">
        <f>SUMIF('Venture Summary - Mthly'!$E$8:$EG$8,L$9,'Venture Summary - Mthly'!$E271:$EG271)</f>
        <v>0</v>
      </c>
      <c r="M268" s="798">
        <f>SUMIF('Venture Summary - Mthly'!$E$8:$EG$8,M$9,'Venture Summary - Mthly'!$E271:$EG271)</f>
        <v>0</v>
      </c>
      <c r="N268" s="798">
        <f>SUMIF('Venture Summary - Mthly'!$E$8:$EG$8,N$9,'Venture Summary - Mthly'!$E271:$EG271)</f>
        <v>0</v>
      </c>
      <c r="O268" s="798">
        <f>SUMIF('Venture Summary - Mthly'!$E$8:$EG$8,O$9,'Venture Summary - Mthly'!$E271:$EG271)</f>
        <v>0</v>
      </c>
      <c r="P268" s="798">
        <f>SUMIF('Venture Summary - Mthly'!$E$8:$EG$8,P$9,'Venture Summary - Mthly'!$E271:$EG271)</f>
        <v>-411520.31383889494</v>
      </c>
      <c r="Q268" s="798">
        <f>SUMIF('Venture Summary - Mthly'!$E$8:$EG$8,Q$9,'Venture Summary - Mthly'!$E271:$EG271)</f>
        <v>-944621.52425092575</v>
      </c>
      <c r="R268" s="798">
        <f>SUMIF('Venture Summary - Mthly'!$E$8:$EG$8,R$9,'Venture Summary - Mthly'!$E271:$EG271)</f>
        <v>-940573.33866669878</v>
      </c>
      <c r="S268" s="798">
        <f>SUMIF('Venture Summary - Mthly'!$E$8:$EG$8,S$9,'Venture Summary - Mthly'!$E271:$EG271)</f>
        <v>-936094.85126345325</v>
      </c>
      <c r="T268" s="798">
        <f>SUMIF('Venture Summary - Mthly'!$E$8:$EG$8,T$9,'Venture Summary - Mthly'!$E271:$EG271)</f>
        <v>-962741.66243496095</v>
      </c>
      <c r="U268" s="798">
        <f>SUMIF('Venture Summary - Mthly'!$E$8:$EG$8,U$9,'Venture Summary - Mthly'!$E271:$EG271)</f>
        <v>-968642.10593493772</v>
      </c>
      <c r="V268" s="798">
        <f>SUMIF('Venture Summary - Mthly'!$E$8:$EG$8,V$9,'Venture Summary - Mthly'!$E271:$EG271)</f>
        <v>-963733.77128892438</v>
      </c>
      <c r="W268" s="798">
        <f>SUMIF('Venture Summary - Mthly'!$E$8:$EG$8,W$9,'Venture Summary - Mthly'!$E271:$EG271)</f>
        <v>-969229.465581503</v>
      </c>
      <c r="X268" s="798">
        <f>SUMIF('Venture Summary - Mthly'!$E$8:$EG$8,X$9,'Venture Summary - Mthly'!$E271:$EG271)</f>
        <v>-985454.97382052289</v>
      </c>
      <c r="Y268" s="798">
        <f>SUMIF('Venture Summary - Mthly'!$E$8:$EG$8,Y$9,'Venture Summary - Mthly'!$E271:$EG271)</f>
        <v>-991027.68363097333</v>
      </c>
      <c r="Z268" s="798">
        <f>SUMIF('Venture Summary - Mthly'!$E$8:$EG$8,Z$9,'Venture Summary - Mthly'!$E271:$EG271)</f>
        <v>-985568.6904791689</v>
      </c>
      <c r="AA268" s="798">
        <f>SUMIF('Venture Summary - Mthly'!$E$8:$EG$8,AA$9,'Venture Summary - Mthly'!$E271:$EG271)</f>
        <v>-979760.72629346</v>
      </c>
      <c r="AB268" s="798">
        <f>SUMIF('Venture Summary - Mthly'!$E$8:$EG$8,AB$9,'Venture Summary - Mthly'!$E271:$EG271)</f>
        <v>-1006488.7109674199</v>
      </c>
      <c r="AC268" s="798">
        <f>SUMIF('Venture Summary - Mthly'!$E$8:$EG$8,AC$9,'Venture Summary - Mthly'!$E271:$EG271)</f>
        <v>-1011519.3981918209</v>
      </c>
      <c r="AD268" s="798">
        <f>SUMIF('Venture Summary - Mthly'!$E$8:$EG$8,AD$9,'Venture Summary - Mthly'!$E271:$EG271)</f>
        <v>-1005235.2270534531</v>
      </c>
      <c r="AE268" s="798">
        <f>SUMIF('Venture Summary - Mthly'!$E$8:$EG$8,AE$9,'Venture Summary - Mthly'!$E271:$EG271)</f>
        <v>-998570.33409361157</v>
      </c>
      <c r="AF268" s="798">
        <f>SUMIF('Venture Summary - Mthly'!$E$8:$EG$8,AF$9,'Venture Summary - Mthly'!$E271:$EG271)</f>
        <v>-1025006.6493925944</v>
      </c>
      <c r="AG268" s="798">
        <f>SUMIF('Venture Summary - Mthly'!$E$8:$EG$8,AG$9,'Venture Summary - Mthly'!$E271:$EG271)</f>
        <v>-1029299.8356328432</v>
      </c>
      <c r="AH268" s="798">
        <f>SUMIF('Venture Summary - Mthly'!$E$8:$EG$8,AH$9,'Venture Summary - Mthly'!$E271:$EG271)</f>
        <v>-1022061.2130188185</v>
      </c>
      <c r="AI268" s="798">
        <f>SUMIF('Venture Summary - Mthly'!$E$8:$EG$8,AI$9,'Venture Summary - Mthly'!$E271:$EG271)</f>
        <v>-1014431.4193867319</v>
      </c>
      <c r="AJ268" s="798">
        <f>SUMIF('Venture Summary - Mthly'!$E$8:$EG$8,AJ$9,'Venture Summary - Mthly'!$E271:$EG271)</f>
        <v>-1040376.1508941443</v>
      </c>
      <c r="AK268" s="798">
        <f>SUMIF('Venture Summary - Mthly'!$E$8:$EG$8,AK$9,'Venture Summary - Mthly'!$E271:$EG271)</f>
        <v>-1043803.2075723148</v>
      </c>
      <c r="AL268" s="798">
        <f>SUMIF('Venture Summary - Mthly'!$E$8:$EG$8,AL$9,'Venture Summary - Mthly'!$E271:$EG271)</f>
        <v>402040.15497724013</v>
      </c>
      <c r="AM268" s="798">
        <f>SUMIF('Venture Summary - Mthly'!$E$8:$EG$8,AM$9,'Venture Summary - Mthly'!$E271:$EG271)</f>
        <v>410065.1174589952</v>
      </c>
      <c r="AN268" s="798">
        <f>SUMIF('Venture Summary - Mthly'!$E$8:$EG$8,AN$9,'Venture Summary - Mthly'!$E271:$EG271)</f>
        <v>422892.49266308243</v>
      </c>
      <c r="AO268" s="798">
        <f>SUMIF('Venture Summary - Mthly'!$E$8:$EG$8,AO$9,'Venture Summary - Mthly'!$E271:$EG271)</f>
        <v>431427.37045843701</v>
      </c>
      <c r="AP268" s="798">
        <f>SUMIF('Venture Summary - Mthly'!$E$8:$EG$8,AP$9,'Venture Summary - Mthly'!$E271:$EG271)</f>
        <v>435302.99956114998</v>
      </c>
      <c r="AQ268" s="798">
        <f>SUMIF('Venture Summary - Mthly'!$E$8:$EG$8,AQ$9,'Venture Summary - Mthly'!$E271:$EG271)</f>
        <v>439065.03803593363</v>
      </c>
      <c r="AR268" s="798">
        <f>SUMIF('Venture Summary - Mthly'!$E$8:$EG$8,AR$9,'Venture Summary - Mthly'!$E271:$EG271)</f>
        <v>457781.12330778857</v>
      </c>
      <c r="AS268" s="798">
        <f>SUMIF('Venture Summary - Mthly'!$E$8:$EG$8,AS$9,'Venture Summary - Mthly'!$E271:$EG271)</f>
        <v>467020.12852125987</v>
      </c>
      <c r="AT268" s="798">
        <f>SUMIF('Venture Summary - Mthly'!$E$8:$EG$8,AT$9,'Venture Summary - Mthly'!$E271:$EG271)</f>
        <v>0</v>
      </c>
      <c r="AU268" s="798">
        <f>SUMIF('Venture Summary - Mthly'!$E$8:$EG$8,AU$9,'Venture Summary - Mthly'!$E271:$EG271)</f>
        <v>0</v>
      </c>
      <c r="AV268" s="798">
        <f>SUMIF('Venture Summary - Mthly'!$E$8:$EG$8,AV$9,'Venture Summary - Mthly'!$E271:$EG271)</f>
        <v>0</v>
      </c>
      <c r="AW268" s="798">
        <f>SUMIF('Venture Summary - Mthly'!$E$8:$EG$8,AW$9,'Venture Summary - Mthly'!$E271:$EG271)</f>
        <v>0</v>
      </c>
      <c r="AX268" s="798"/>
    </row>
    <row r="269" spans="1:50" ht="12.75" customHeight="1" x14ac:dyDescent="0.3">
      <c r="A269" s="782"/>
      <c r="B269" s="782" t="s">
        <v>157</v>
      </c>
      <c r="C269" s="798"/>
      <c r="D269" s="782"/>
      <c r="E269" s="798">
        <f>SUMIF('Venture Summary - Mthly'!$E$8:$EG$8,E$9,'Venture Summary - Mthly'!$E272:$EG272)</f>
        <v>0</v>
      </c>
      <c r="F269" s="798">
        <f>SUMIF('Venture Summary - Mthly'!$E$8:$EG$8,F$9,'Venture Summary - Mthly'!$E272:$EG272)</f>
        <v>0</v>
      </c>
      <c r="G269" s="798">
        <f>SUMIF('Venture Summary - Mthly'!$E$8:$EG$8,G$9,'Venture Summary - Mthly'!$E272:$EG272)</f>
        <v>0</v>
      </c>
      <c r="H269" s="798">
        <f>SUMIF('Venture Summary - Mthly'!$E$8:$EG$8,H$9,'Venture Summary - Mthly'!$E272:$EG272)</f>
        <v>0</v>
      </c>
      <c r="I269" s="798">
        <f>SUMIF('Venture Summary - Mthly'!$E$8:$EG$8,I$9,'Venture Summary - Mthly'!$E272:$EG272)</f>
        <v>0</v>
      </c>
      <c r="J269" s="798">
        <f>SUMIF('Venture Summary - Mthly'!$E$8:$EG$8,J$9,'Venture Summary - Mthly'!$E272:$EG272)</f>
        <v>0</v>
      </c>
      <c r="K269" s="798">
        <f>SUMIF('Venture Summary - Mthly'!$E$8:$EG$8,K$9,'Venture Summary - Mthly'!$E272:$EG272)</f>
        <v>0</v>
      </c>
      <c r="L269" s="798">
        <f>SUMIF('Venture Summary - Mthly'!$E$8:$EG$8,L$9,'Venture Summary - Mthly'!$E272:$EG272)</f>
        <v>0</v>
      </c>
      <c r="M269" s="798">
        <f>SUMIF('Venture Summary - Mthly'!$E$8:$EG$8,M$9,'Venture Summary - Mthly'!$E272:$EG272)</f>
        <v>0</v>
      </c>
      <c r="N269" s="798">
        <f>SUMIF('Venture Summary - Mthly'!$E$8:$EG$8,N$9,'Venture Summary - Mthly'!$E272:$EG272)</f>
        <v>0</v>
      </c>
      <c r="O269" s="798">
        <f>SUMIF('Venture Summary - Mthly'!$E$8:$EG$8,O$9,'Venture Summary - Mthly'!$E272:$EG272)</f>
        <v>0</v>
      </c>
      <c r="P269" s="798">
        <f>SUMIF('Venture Summary - Mthly'!$E$8:$EG$8,P$9,'Venture Summary - Mthly'!$E272:$EG272)</f>
        <v>-60916274.722085506</v>
      </c>
      <c r="Q269" s="798">
        <f>SUMIF('Venture Summary - Mthly'!$E$8:$EG$8,Q$9,'Venture Summary - Mthly'!$E272:$EG272)</f>
        <v>0</v>
      </c>
      <c r="R269" s="798">
        <f>SUMIF('Venture Summary - Mthly'!$E$8:$EG$8,R$9,'Venture Summary - Mthly'!$E272:$EG272)</f>
        <v>0</v>
      </c>
      <c r="S269" s="798">
        <f>SUMIF('Venture Summary - Mthly'!$E$8:$EG$8,S$9,'Venture Summary - Mthly'!$E272:$EG272)</f>
        <v>0</v>
      </c>
      <c r="T269" s="798">
        <f>SUMIF('Venture Summary - Mthly'!$E$8:$EG$8,T$9,'Venture Summary - Mthly'!$E272:$EG272)</f>
        <v>0</v>
      </c>
      <c r="U269" s="798">
        <f>SUMIF('Venture Summary - Mthly'!$E$8:$EG$8,U$9,'Venture Summary - Mthly'!$E272:$EG272)</f>
        <v>0</v>
      </c>
      <c r="V269" s="798">
        <f>SUMIF('Venture Summary - Mthly'!$E$8:$EG$8,V$9,'Venture Summary - Mthly'!$E272:$EG272)</f>
        <v>0</v>
      </c>
      <c r="W269" s="798">
        <f>SUMIF('Venture Summary - Mthly'!$E$8:$EG$8,W$9,'Venture Summary - Mthly'!$E272:$EG272)</f>
        <v>0</v>
      </c>
      <c r="X269" s="798">
        <f>SUMIF('Venture Summary - Mthly'!$E$8:$EG$8,X$9,'Venture Summary - Mthly'!$E272:$EG272)</f>
        <v>0</v>
      </c>
      <c r="Y269" s="798">
        <f>SUMIF('Venture Summary - Mthly'!$E$8:$EG$8,Y$9,'Venture Summary - Mthly'!$E272:$EG272)</f>
        <v>0</v>
      </c>
      <c r="Z269" s="798">
        <f>SUMIF('Venture Summary - Mthly'!$E$8:$EG$8,Z$9,'Venture Summary - Mthly'!$E272:$EG272)</f>
        <v>0</v>
      </c>
      <c r="AA269" s="798">
        <f>SUMIF('Venture Summary - Mthly'!$E$8:$EG$8,AA$9,'Venture Summary - Mthly'!$E272:$EG272)</f>
        <v>0</v>
      </c>
      <c r="AB269" s="798">
        <f>SUMIF('Venture Summary - Mthly'!$E$8:$EG$8,AB$9,'Venture Summary - Mthly'!$E272:$EG272)</f>
        <v>0</v>
      </c>
      <c r="AC269" s="798">
        <f>SUMIF('Venture Summary - Mthly'!$E$8:$EG$8,AC$9,'Venture Summary - Mthly'!$E272:$EG272)</f>
        <v>0</v>
      </c>
      <c r="AD269" s="798">
        <f>SUMIF('Venture Summary - Mthly'!$E$8:$EG$8,AD$9,'Venture Summary - Mthly'!$E272:$EG272)</f>
        <v>0</v>
      </c>
      <c r="AE269" s="798">
        <f>SUMIF('Venture Summary - Mthly'!$E$8:$EG$8,AE$9,'Venture Summary - Mthly'!$E272:$EG272)</f>
        <v>0</v>
      </c>
      <c r="AF269" s="798">
        <f>SUMIF('Venture Summary - Mthly'!$E$8:$EG$8,AF$9,'Venture Summary - Mthly'!$E272:$EG272)</f>
        <v>0</v>
      </c>
      <c r="AG269" s="798">
        <f>SUMIF('Venture Summary - Mthly'!$E$8:$EG$8,AG$9,'Venture Summary - Mthly'!$E272:$EG272)</f>
        <v>0</v>
      </c>
      <c r="AH269" s="798">
        <f>SUMIF('Venture Summary - Mthly'!$E$8:$EG$8,AH$9,'Venture Summary - Mthly'!$E272:$EG272)</f>
        <v>0</v>
      </c>
      <c r="AI269" s="798">
        <f>SUMIF('Venture Summary - Mthly'!$E$8:$EG$8,AI$9,'Venture Summary - Mthly'!$E272:$EG272)</f>
        <v>0</v>
      </c>
      <c r="AJ269" s="798">
        <f>SUMIF('Venture Summary - Mthly'!$E$8:$EG$8,AJ$9,'Venture Summary - Mthly'!$E272:$EG272)</f>
        <v>0</v>
      </c>
      <c r="AK269" s="798">
        <f>SUMIF('Venture Summary - Mthly'!$E$8:$EG$8,AK$9,'Venture Summary - Mthly'!$E272:$EG272)</f>
        <v>0</v>
      </c>
      <c r="AL269" s="798">
        <f>SUMIF('Venture Summary - Mthly'!$E$8:$EG$8,AL$9,'Venture Summary - Mthly'!$E272:$EG272)</f>
        <v>0</v>
      </c>
      <c r="AM269" s="798">
        <f>SUMIF('Venture Summary - Mthly'!$E$8:$EG$8,AM$9,'Venture Summary - Mthly'!$E272:$EG272)</f>
        <v>0</v>
      </c>
      <c r="AN269" s="798">
        <f>SUMIF('Venture Summary - Mthly'!$E$8:$EG$8,AN$9,'Venture Summary - Mthly'!$E272:$EG272)</f>
        <v>0</v>
      </c>
      <c r="AO269" s="798">
        <f>SUMIF('Venture Summary - Mthly'!$E$8:$EG$8,AO$9,'Venture Summary - Mthly'!$E272:$EG272)</f>
        <v>0</v>
      </c>
      <c r="AP269" s="798">
        <f>SUMIF('Venture Summary - Mthly'!$E$8:$EG$8,AP$9,'Venture Summary - Mthly'!$E272:$EG272)</f>
        <v>0</v>
      </c>
      <c r="AQ269" s="798">
        <f>SUMIF('Venture Summary - Mthly'!$E$8:$EG$8,AQ$9,'Venture Summary - Mthly'!$E272:$EG272)</f>
        <v>0</v>
      </c>
      <c r="AR269" s="798">
        <f>SUMIF('Venture Summary - Mthly'!$E$8:$EG$8,AR$9,'Venture Summary - Mthly'!$E272:$EG272)</f>
        <v>0</v>
      </c>
      <c r="AS269" s="798">
        <f>SUMIF('Venture Summary - Mthly'!$E$8:$EG$8,AS$9,'Venture Summary - Mthly'!$E272:$EG272)</f>
        <v>0</v>
      </c>
      <c r="AT269" s="798">
        <f>SUMIF('Venture Summary - Mthly'!$E$8:$EG$8,AT$9,'Venture Summary - Mthly'!$E272:$EG272)</f>
        <v>0</v>
      </c>
      <c r="AU269" s="798">
        <f>SUMIF('Venture Summary - Mthly'!$E$8:$EG$8,AU$9,'Venture Summary - Mthly'!$E272:$EG272)</f>
        <v>0</v>
      </c>
      <c r="AV269" s="798">
        <f>SUMIF('Venture Summary - Mthly'!$E$8:$EG$8,AV$9,'Venture Summary - Mthly'!$E272:$EG272)</f>
        <v>0</v>
      </c>
      <c r="AW269" s="798">
        <f>SUMIF('Venture Summary - Mthly'!$E$8:$EG$8,AW$9,'Venture Summary - Mthly'!$E272:$EG272)</f>
        <v>0</v>
      </c>
      <c r="AX269" s="798"/>
    </row>
    <row r="270" spans="1:50" ht="12.75" customHeight="1" x14ac:dyDescent="0.3">
      <c r="A270" s="782"/>
      <c r="B270" s="781" t="s">
        <v>158</v>
      </c>
      <c r="C270" s="799"/>
      <c r="D270" s="781"/>
      <c r="E270" s="799">
        <f>SUMIF('Venture Summary - Mthly'!$E$8:$EG$8,E$9,'Venture Summary - Mthly'!$E273:$EG273)</f>
        <v>0</v>
      </c>
      <c r="F270" s="799">
        <f>SUMIF('Venture Summary - Mthly'!$E$8:$EG$8,F$9,'Venture Summary - Mthly'!$E273:$EG273)</f>
        <v>0</v>
      </c>
      <c r="G270" s="799">
        <f>SUMIF('Venture Summary - Mthly'!$E$8:$EG$8,G$9,'Venture Summary - Mthly'!$E273:$EG273)</f>
        <v>0</v>
      </c>
      <c r="H270" s="799">
        <f>SUMIF('Venture Summary - Mthly'!$E$8:$EG$8,H$9,'Venture Summary - Mthly'!$E273:$EG273)</f>
        <v>0</v>
      </c>
      <c r="I270" s="799">
        <f>SUMIF('Venture Summary - Mthly'!$E$8:$EG$8,I$9,'Venture Summary - Mthly'!$E273:$EG273)</f>
        <v>0</v>
      </c>
      <c r="J270" s="799">
        <f>SUMIF('Venture Summary - Mthly'!$E$8:$EG$8,J$9,'Venture Summary - Mthly'!$E273:$EG273)</f>
        <v>0</v>
      </c>
      <c r="K270" s="799">
        <f>SUMIF('Venture Summary - Mthly'!$E$8:$EG$8,K$9,'Venture Summary - Mthly'!$E273:$EG273)</f>
        <v>0</v>
      </c>
      <c r="L270" s="799">
        <f>SUMIF('Venture Summary - Mthly'!$E$8:$EG$8,L$9,'Venture Summary - Mthly'!$E273:$EG273)</f>
        <v>0</v>
      </c>
      <c r="M270" s="799">
        <f>SUMIF('Venture Summary - Mthly'!$E$8:$EG$8,M$9,'Venture Summary - Mthly'!$E273:$EG273)</f>
        <v>0</v>
      </c>
      <c r="N270" s="799">
        <f>SUMIF('Venture Summary - Mthly'!$E$8:$EG$8,N$9,'Venture Summary - Mthly'!$E273:$EG273)</f>
        <v>0</v>
      </c>
      <c r="O270" s="799">
        <f>SUMIF('Venture Summary - Mthly'!$E$8:$EG$8,O$9,'Venture Summary - Mthly'!$E273:$EG273)</f>
        <v>0</v>
      </c>
      <c r="P270" s="799">
        <f>SUMIF('Venture Summary - Mthly'!$E$8:$EG$8,P$9,'Venture Summary - Mthly'!$E273:$EG273)</f>
        <v>14315530.3242827</v>
      </c>
      <c r="Q270" s="799">
        <f>SUMIF('Venture Summary - Mthly'!$E$8:$EG$8,Q$9,'Venture Summary - Mthly'!$E273:$EG273)</f>
        <v>623346.85292693274</v>
      </c>
      <c r="R270" s="799">
        <f>SUMIF('Venture Summary - Mthly'!$E$8:$EG$8,R$9,'Venture Summary - Mthly'!$E273:$EG273)</f>
        <v>645086.61329542077</v>
      </c>
      <c r="S270" s="799">
        <f>SUMIF('Venture Summary - Mthly'!$E$8:$EG$8,S$9,'Venture Summary - Mthly'!$E273:$EG273)</f>
        <v>644215.54607378726</v>
      </c>
      <c r="T270" s="799">
        <f>SUMIF('Venture Summary - Mthly'!$E$8:$EG$8,T$9,'Venture Summary - Mthly'!$E273:$EG273)</f>
        <v>661902.09947439213</v>
      </c>
      <c r="U270" s="799">
        <f>SUMIF('Venture Summary - Mthly'!$E$8:$EG$8,U$9,'Venture Summary - Mthly'!$E273:$EG273)</f>
        <v>679519.10289103352</v>
      </c>
      <c r="V270" s="799">
        <f>SUMIF('Venture Summary - Mthly'!$E$8:$EG$8,V$9,'Venture Summary - Mthly'!$E273:$EG273)</f>
        <v>694204.81009246409</v>
      </c>
      <c r="W270" s="799">
        <f>SUMIF('Venture Summary - Mthly'!$E$8:$EG$8,W$9,'Venture Summary - Mthly'!$E273:$EG273)</f>
        <v>689738.6161152703</v>
      </c>
      <c r="X270" s="799">
        <f>SUMIF('Venture Summary - Mthly'!$E$8:$EG$8,X$9,'Venture Summary - Mthly'!$E273:$EG273)</f>
        <v>701794.01382499537</v>
      </c>
      <c r="Y270" s="799">
        <f>SUMIF('Venture Summary - Mthly'!$E$8:$EG$8,Y$9,'Venture Summary - Mthly'!$E273:$EG273)</f>
        <v>717065.29189360049</v>
      </c>
      <c r="Z270" s="799">
        <f>SUMIF('Venture Summary - Mthly'!$E$8:$EG$8,Z$9,'Venture Summary - Mthly'!$E273:$EG273)</f>
        <v>733551.69515324559</v>
      </c>
      <c r="AA270" s="799">
        <f>SUMIF('Venture Summary - Mthly'!$E$8:$EG$8,AA$9,'Venture Summary - Mthly'!$E273:$EG273)</f>
        <v>732080.37063951511</v>
      </c>
      <c r="AB270" s="799">
        <f>SUMIF('Venture Summary - Mthly'!$E$8:$EG$8,AB$9,'Venture Summary - Mthly'!$E273:$EG273)</f>
        <v>748271.4101425925</v>
      </c>
      <c r="AC270" s="799">
        <f>SUMIF('Venture Summary - Mthly'!$E$8:$EG$8,AC$9,'Venture Summary - Mthly'!$E273:$EG273)</f>
        <v>767018.32850041986</v>
      </c>
      <c r="AD270" s="799">
        <f>SUMIF('Venture Summary - Mthly'!$E$8:$EG$8,AD$9,'Venture Summary - Mthly'!$E273:$EG273)</f>
        <v>785743.49356206995</v>
      </c>
      <c r="AE270" s="799">
        <f>SUMIF('Venture Summary - Mthly'!$E$8:$EG$8,AE$9,'Venture Summary - Mthly'!$E273:$EG273)</f>
        <v>785270.30079527816</v>
      </c>
      <c r="AF270" s="799">
        <f>SUMIF('Venture Summary - Mthly'!$E$8:$EG$8,AF$9,'Venture Summary - Mthly'!$E273:$EG273)</f>
        <v>802729.72625170508</v>
      </c>
      <c r="AG270" s="799">
        <f>SUMIF('Venture Summary - Mthly'!$E$8:$EG$8,AG$9,'Venture Summary - Mthly'!$E273:$EG273)</f>
        <v>822662.61418112239</v>
      </c>
      <c r="AH270" s="799">
        <f>SUMIF('Venture Summary - Mthly'!$E$8:$EG$8,AH$9,'Venture Summary - Mthly'!$E273:$EG273)</f>
        <v>842492.85555103875</v>
      </c>
      <c r="AI270" s="799">
        <f>SUMIF('Venture Summary - Mthly'!$E$8:$EG$8,AI$9,'Venture Summary - Mthly'!$E273:$EG273)</f>
        <v>842283.51895287074</v>
      </c>
      <c r="AJ270" s="799">
        <f>SUMIF('Venture Summary - Mthly'!$E$8:$EG$8,AJ$9,'Venture Summary - Mthly'!$E273:$EG273)</f>
        <v>860476.76641253906</v>
      </c>
      <c r="AK270" s="799">
        <f>SUMIF('Venture Summary - Mthly'!$E$8:$EG$8,AK$9,'Venture Summary - Mthly'!$E273:$EG273)</f>
        <v>73198739.088306502</v>
      </c>
      <c r="AL270" s="799">
        <f>SUMIF('Venture Summary - Mthly'!$E$8:$EG$8,AL$9,'Venture Summary - Mthly'!$E273:$EG273)</f>
        <v>0</v>
      </c>
      <c r="AM270" s="799">
        <f>SUMIF('Venture Summary - Mthly'!$E$8:$EG$8,AM$9,'Venture Summary - Mthly'!$E273:$EG273)</f>
        <v>0</v>
      </c>
      <c r="AN270" s="799">
        <f>SUMIF('Venture Summary - Mthly'!$E$8:$EG$8,AN$9,'Venture Summary - Mthly'!$E273:$EG273)</f>
        <v>0</v>
      </c>
      <c r="AO270" s="799">
        <f>SUMIF('Venture Summary - Mthly'!$E$8:$EG$8,AO$9,'Venture Summary - Mthly'!$E273:$EG273)</f>
        <v>0</v>
      </c>
      <c r="AP270" s="799">
        <f>SUMIF('Venture Summary - Mthly'!$E$8:$EG$8,AP$9,'Venture Summary - Mthly'!$E273:$EG273)</f>
        <v>0</v>
      </c>
      <c r="AQ270" s="799">
        <f>SUMIF('Venture Summary - Mthly'!$E$8:$EG$8,AQ$9,'Venture Summary - Mthly'!$E273:$EG273)</f>
        <v>0</v>
      </c>
      <c r="AR270" s="799">
        <f>SUMIF('Venture Summary - Mthly'!$E$8:$EG$8,AR$9,'Venture Summary - Mthly'!$E273:$EG273)</f>
        <v>0</v>
      </c>
      <c r="AS270" s="799">
        <f>SUMIF('Venture Summary - Mthly'!$E$8:$EG$8,AS$9,'Venture Summary - Mthly'!$E273:$EG273)</f>
        <v>0</v>
      </c>
      <c r="AT270" s="799">
        <f>SUMIF('Venture Summary - Mthly'!$E$8:$EG$8,AT$9,'Venture Summary - Mthly'!$E273:$EG273)</f>
        <v>0</v>
      </c>
      <c r="AU270" s="799">
        <f>SUMIF('Venture Summary - Mthly'!$E$8:$EG$8,AU$9,'Venture Summary - Mthly'!$E273:$EG273)</f>
        <v>0</v>
      </c>
      <c r="AV270" s="799">
        <f>SUMIF('Venture Summary - Mthly'!$E$8:$EG$8,AV$9,'Venture Summary - Mthly'!$E273:$EG273)</f>
        <v>0</v>
      </c>
      <c r="AW270" s="799">
        <f>SUMIF('Venture Summary - Mthly'!$E$8:$EG$8,AW$9,'Venture Summary - Mthly'!$E273:$EG273)</f>
        <v>0</v>
      </c>
      <c r="AX270" s="798"/>
    </row>
    <row r="271" spans="1:50" ht="12.75" customHeight="1" x14ac:dyDescent="0.3">
      <c r="A271" s="782"/>
      <c r="B271" s="782" t="s">
        <v>159</v>
      </c>
      <c r="C271" s="798"/>
      <c r="D271" s="782"/>
      <c r="E271" s="798">
        <f t="shared" ref="E271:AJ271" si="56">SUM(E267:E270)</f>
        <v>0</v>
      </c>
      <c r="F271" s="798">
        <f t="shared" si="56"/>
        <v>0</v>
      </c>
      <c r="G271" s="798">
        <f t="shared" si="56"/>
        <v>0</v>
      </c>
      <c r="H271" s="798">
        <f>SUM(H267:H270)</f>
        <v>0</v>
      </c>
      <c r="I271" s="798">
        <f>SUM(I267:I270)</f>
        <v>0</v>
      </c>
      <c r="J271" s="798">
        <f>SUM(J267:J270)</f>
        <v>0</v>
      </c>
      <c r="K271" s="798">
        <f t="shared" si="56"/>
        <v>0</v>
      </c>
      <c r="L271" s="798">
        <f t="shared" si="56"/>
        <v>0</v>
      </c>
      <c r="M271" s="798">
        <f t="shared" si="56"/>
        <v>0</v>
      </c>
      <c r="N271" s="798">
        <f t="shared" si="56"/>
        <v>0</v>
      </c>
      <c r="O271" s="798">
        <f t="shared" si="56"/>
        <v>0</v>
      </c>
      <c r="P271" s="798">
        <f t="shared" si="56"/>
        <v>-47012264.711641699</v>
      </c>
      <c r="Q271" s="798">
        <f t="shared" si="56"/>
        <v>-47333539.382965691</v>
      </c>
      <c r="R271" s="798">
        <f t="shared" si="56"/>
        <v>-47629026.10833697</v>
      </c>
      <c r="S271" s="798">
        <f t="shared" si="56"/>
        <v>-47920905.413526639</v>
      </c>
      <c r="T271" s="798">
        <f t="shared" si="56"/>
        <v>-48221744.976487204</v>
      </c>
      <c r="U271" s="798">
        <f t="shared" si="56"/>
        <v>-48510867.979531109</v>
      </c>
      <c r="V271" s="798">
        <f t="shared" si="56"/>
        <v>-48780396.940727569</v>
      </c>
      <c r="W271" s="798">
        <f t="shared" si="56"/>
        <v>-49059887.790193804</v>
      </c>
      <c r="X271" s="798">
        <f t="shared" si="56"/>
        <v>-49343548.750189334</v>
      </c>
      <c r="Y271" s="798">
        <f t="shared" si="56"/>
        <v>-49617511.141926706</v>
      </c>
      <c r="Z271" s="798">
        <f t="shared" si="56"/>
        <v>-49869528.137252629</v>
      </c>
      <c r="AA271" s="798">
        <f t="shared" si="56"/>
        <v>-50117208.49290657</v>
      </c>
      <c r="AB271" s="798">
        <f t="shared" si="56"/>
        <v>-50375425.793731399</v>
      </c>
      <c r="AC271" s="798">
        <f t="shared" si="56"/>
        <v>-50619926.863422804</v>
      </c>
      <c r="AD271" s="798">
        <f t="shared" si="56"/>
        <v>-50839418.596914187</v>
      </c>
      <c r="AE271" s="798">
        <f t="shared" si="56"/>
        <v>-51052718.630212516</v>
      </c>
      <c r="AF271" s="798">
        <f t="shared" si="56"/>
        <v>-51274995.553353406</v>
      </c>
      <c r="AG271" s="798">
        <f t="shared" si="56"/>
        <v>-51481632.774805129</v>
      </c>
      <c r="AH271" s="798">
        <f t="shared" si="56"/>
        <v>-51661201.132272907</v>
      </c>
      <c r="AI271" s="798">
        <f t="shared" si="56"/>
        <v>-51833349.032706767</v>
      </c>
      <c r="AJ271" s="798">
        <f t="shared" si="56"/>
        <v>-52013248.417188369</v>
      </c>
      <c r="AK271" s="798">
        <f t="shared" ref="AK271:AW271" si="57">SUM(AK267:AK270)</f>
        <v>20141687.463545822</v>
      </c>
      <c r="AL271" s="798">
        <f t="shared" si="57"/>
        <v>20543727.618523061</v>
      </c>
      <c r="AM271" s="798">
        <f t="shared" si="57"/>
        <v>20953792.735982057</v>
      </c>
      <c r="AN271" s="798">
        <f t="shared" si="57"/>
        <v>21376685.228645138</v>
      </c>
      <c r="AO271" s="798">
        <f t="shared" si="57"/>
        <v>21808112.599103574</v>
      </c>
      <c r="AP271" s="798">
        <f t="shared" si="57"/>
        <v>22243415.598664723</v>
      </c>
      <c r="AQ271" s="798">
        <f t="shared" si="57"/>
        <v>22682480.636700656</v>
      </c>
      <c r="AR271" s="798">
        <f t="shared" si="57"/>
        <v>23140261.760008443</v>
      </c>
      <c r="AS271" s="798">
        <f t="shared" si="57"/>
        <v>23607281.888529703</v>
      </c>
      <c r="AT271" s="798">
        <f t="shared" si="57"/>
        <v>23607281.888529703</v>
      </c>
      <c r="AU271" s="798">
        <f t="shared" si="57"/>
        <v>23607281.888529703</v>
      </c>
      <c r="AV271" s="798">
        <f t="shared" si="57"/>
        <v>23607281.888529703</v>
      </c>
      <c r="AW271" s="798">
        <f t="shared" si="57"/>
        <v>23607281.888529703</v>
      </c>
      <c r="AX271" s="798"/>
    </row>
    <row r="272" spans="1:50" ht="12.75" customHeight="1" x14ac:dyDescent="0.3">
      <c r="A272" s="782"/>
      <c r="B272" s="782"/>
      <c r="C272" s="798"/>
      <c r="D272" s="782"/>
      <c r="E272" s="798"/>
      <c r="F272" s="798"/>
      <c r="G272" s="798"/>
      <c r="H272" s="798"/>
      <c r="I272" s="798"/>
      <c r="J272" s="798"/>
      <c r="K272" s="798"/>
      <c r="L272" s="798"/>
      <c r="M272" s="798"/>
      <c r="N272" s="798"/>
      <c r="O272" s="798"/>
      <c r="P272" s="798"/>
      <c r="Q272" s="798"/>
      <c r="R272" s="798"/>
      <c r="S272" s="798"/>
      <c r="T272" s="798"/>
      <c r="U272" s="798"/>
      <c r="V272" s="798"/>
      <c r="W272" s="798"/>
      <c r="X272" s="798"/>
      <c r="Y272" s="798"/>
      <c r="Z272" s="798"/>
      <c r="AA272" s="798"/>
      <c r="AB272" s="798"/>
      <c r="AC272" s="798"/>
      <c r="AD272" s="798"/>
      <c r="AE272" s="798"/>
      <c r="AF272" s="798"/>
      <c r="AG272" s="798"/>
      <c r="AH272" s="798"/>
      <c r="AI272" s="798"/>
      <c r="AJ272" s="798"/>
      <c r="AK272" s="798"/>
      <c r="AL272" s="798"/>
      <c r="AM272" s="798"/>
      <c r="AN272" s="798"/>
      <c r="AO272" s="798"/>
      <c r="AP272" s="798"/>
      <c r="AQ272" s="798"/>
      <c r="AR272" s="798"/>
      <c r="AS272" s="798"/>
      <c r="AT272" s="798"/>
      <c r="AU272" s="798"/>
      <c r="AV272" s="798"/>
      <c r="AW272" s="798"/>
      <c r="AX272" s="798"/>
    </row>
    <row r="273" spans="1:50" ht="12.75" customHeight="1" x14ac:dyDescent="0.3">
      <c r="A273" s="782"/>
      <c r="B273" s="781" t="s">
        <v>160</v>
      </c>
      <c r="C273" s="799"/>
      <c r="D273" s="781"/>
      <c r="E273" s="799">
        <f>SUMIF('Venture Summary - Mthly'!$E$8:$EG$8,E$9,'Venture Summary - Mthly'!$E276:$EG276)</f>
        <v>0</v>
      </c>
      <c r="F273" s="799">
        <f>SUMIF('Venture Summary - Mthly'!$E$8:$EG$8,F$9,'Venture Summary - Mthly'!$E276:$EG276)</f>
        <v>0</v>
      </c>
      <c r="G273" s="799">
        <f>SUMIF('Venture Summary - Mthly'!$E$8:$EG$8,G$9,'Venture Summary - Mthly'!$E276:$EG276)</f>
        <v>0</v>
      </c>
      <c r="H273" s="799">
        <f>SUMIF('Venture Summary - Mthly'!$E$8:$EG$8,H$9,'Venture Summary - Mthly'!$E276:$EG276)</f>
        <v>0</v>
      </c>
      <c r="I273" s="799">
        <f>SUMIF('Venture Summary - Mthly'!$E$8:$EG$8,I$9,'Venture Summary - Mthly'!$E276:$EG276)</f>
        <v>0</v>
      </c>
      <c r="J273" s="799">
        <f>SUMIF('Venture Summary - Mthly'!$E$8:$EG$8,J$9,'Venture Summary - Mthly'!$E276:$EG276)</f>
        <v>0</v>
      </c>
      <c r="K273" s="799">
        <f>SUMIF('Venture Summary - Mthly'!$E$8:$EG$8,K$9,'Venture Summary - Mthly'!$E276:$EG276)</f>
        <v>0</v>
      </c>
      <c r="L273" s="799">
        <f>SUMIF('Venture Summary - Mthly'!$E$8:$EG$8,L$9,'Venture Summary - Mthly'!$E276:$EG276)</f>
        <v>0</v>
      </c>
      <c r="M273" s="799">
        <f>SUMIF('Venture Summary - Mthly'!$E$8:$EG$8,M$9,'Venture Summary - Mthly'!$E276:$EG276)</f>
        <v>0</v>
      </c>
      <c r="N273" s="799">
        <f>SUMIF('Venture Summary - Mthly'!$E$8:$EG$8,N$9,'Venture Summary - Mthly'!$E276:$EG276)</f>
        <v>0</v>
      </c>
      <c r="O273" s="799">
        <f>SUMIF('Venture Summary - Mthly'!$E$8:$EG$8,O$9,'Venture Summary - Mthly'!$E276:$EG276)</f>
        <v>0</v>
      </c>
      <c r="P273" s="799">
        <f>SUMIF('Venture Summary - Mthly'!$E$8:$EG$8,P$9,'Venture Summary - Mthly'!$E276:$EG276)</f>
        <v>14315530.3242827</v>
      </c>
      <c r="Q273" s="799">
        <f>SUMIF('Venture Summary - Mthly'!$E$8:$EG$8,Q$9,'Venture Summary - Mthly'!$E276:$EG276)</f>
        <v>623346.85292693274</v>
      </c>
      <c r="R273" s="799">
        <f>SUMIF('Venture Summary - Mthly'!$E$8:$EG$8,R$9,'Venture Summary - Mthly'!$E276:$EG276)</f>
        <v>645086.61329542077</v>
      </c>
      <c r="S273" s="799">
        <f>SUMIF('Venture Summary - Mthly'!$E$8:$EG$8,S$9,'Venture Summary - Mthly'!$E276:$EG276)</f>
        <v>644215.54607378726</v>
      </c>
      <c r="T273" s="799">
        <f>SUMIF('Venture Summary - Mthly'!$E$8:$EG$8,T$9,'Venture Summary - Mthly'!$E276:$EG276)</f>
        <v>661902.09947439213</v>
      </c>
      <c r="U273" s="799">
        <f>SUMIF('Venture Summary - Mthly'!$E$8:$EG$8,U$9,'Venture Summary - Mthly'!$E276:$EG276)</f>
        <v>679519.10289103352</v>
      </c>
      <c r="V273" s="799">
        <f>SUMIF('Venture Summary - Mthly'!$E$8:$EG$8,V$9,'Venture Summary - Mthly'!$E276:$EG276)</f>
        <v>694204.81009246409</v>
      </c>
      <c r="W273" s="799">
        <f>SUMIF('Venture Summary - Mthly'!$E$8:$EG$8,W$9,'Venture Summary - Mthly'!$E276:$EG276)</f>
        <v>689738.6161152703</v>
      </c>
      <c r="X273" s="799">
        <f>SUMIF('Venture Summary - Mthly'!$E$8:$EG$8,X$9,'Venture Summary - Mthly'!$E276:$EG276)</f>
        <v>701794.01382499537</v>
      </c>
      <c r="Y273" s="799">
        <f>SUMIF('Venture Summary - Mthly'!$E$8:$EG$8,Y$9,'Venture Summary - Mthly'!$E276:$EG276)</f>
        <v>717065.29189360049</v>
      </c>
      <c r="Z273" s="799">
        <f>SUMIF('Venture Summary - Mthly'!$E$8:$EG$8,Z$9,'Venture Summary - Mthly'!$E276:$EG276)</f>
        <v>733551.69515324559</v>
      </c>
      <c r="AA273" s="799">
        <f>SUMIF('Venture Summary - Mthly'!$E$8:$EG$8,AA$9,'Venture Summary - Mthly'!$E276:$EG276)</f>
        <v>732080.37063951511</v>
      </c>
      <c r="AB273" s="799">
        <f>SUMIF('Venture Summary - Mthly'!$E$8:$EG$8,AB$9,'Venture Summary - Mthly'!$E276:$EG276)</f>
        <v>748271.4101425925</v>
      </c>
      <c r="AC273" s="799">
        <f>SUMIF('Venture Summary - Mthly'!$E$8:$EG$8,AC$9,'Venture Summary - Mthly'!$E276:$EG276)</f>
        <v>767018.32850041986</v>
      </c>
      <c r="AD273" s="799">
        <f>SUMIF('Venture Summary - Mthly'!$E$8:$EG$8,AD$9,'Venture Summary - Mthly'!$E276:$EG276)</f>
        <v>785743.49356206995</v>
      </c>
      <c r="AE273" s="799">
        <f>SUMIF('Venture Summary - Mthly'!$E$8:$EG$8,AE$9,'Venture Summary - Mthly'!$E276:$EG276)</f>
        <v>785270.30079527816</v>
      </c>
      <c r="AF273" s="799">
        <f>SUMIF('Venture Summary - Mthly'!$E$8:$EG$8,AF$9,'Venture Summary - Mthly'!$E276:$EG276)</f>
        <v>802729.72625170508</v>
      </c>
      <c r="AG273" s="799">
        <f>SUMIF('Venture Summary - Mthly'!$E$8:$EG$8,AG$9,'Venture Summary - Mthly'!$E276:$EG276)</f>
        <v>822662.61418112239</v>
      </c>
      <c r="AH273" s="799">
        <f>SUMIF('Venture Summary - Mthly'!$E$8:$EG$8,AH$9,'Venture Summary - Mthly'!$E276:$EG276)</f>
        <v>842492.85555103875</v>
      </c>
      <c r="AI273" s="799">
        <f>SUMIF('Venture Summary - Mthly'!$E$8:$EG$8,AI$9,'Venture Summary - Mthly'!$E276:$EG276)</f>
        <v>842283.51895287074</v>
      </c>
      <c r="AJ273" s="799">
        <f>SUMIF('Venture Summary - Mthly'!$E$8:$EG$8,AJ$9,'Venture Summary - Mthly'!$E276:$EG276)</f>
        <v>860476.76641253906</v>
      </c>
      <c r="AK273" s="799">
        <f>SUMIF('Venture Summary - Mthly'!$E$8:$EG$8,AK$9,'Venture Summary - Mthly'!$E276:$EG276)</f>
        <v>53057051.624760687</v>
      </c>
      <c r="AL273" s="799">
        <f>SUMIF('Venture Summary - Mthly'!$E$8:$EG$8,AL$9,'Venture Summary - Mthly'!$E276:$EG276)</f>
        <v>0</v>
      </c>
      <c r="AM273" s="799">
        <f>SUMIF('Venture Summary - Mthly'!$E$8:$EG$8,AM$9,'Venture Summary - Mthly'!$E276:$EG276)</f>
        <v>0</v>
      </c>
      <c r="AN273" s="799">
        <f>SUMIF('Venture Summary - Mthly'!$E$8:$EG$8,AN$9,'Venture Summary - Mthly'!$E276:$EG276)</f>
        <v>0</v>
      </c>
      <c r="AO273" s="799">
        <f>SUMIF('Venture Summary - Mthly'!$E$8:$EG$8,AO$9,'Venture Summary - Mthly'!$E276:$EG276)</f>
        <v>0</v>
      </c>
      <c r="AP273" s="799">
        <f>SUMIF('Venture Summary - Mthly'!$E$8:$EG$8,AP$9,'Venture Summary - Mthly'!$E276:$EG276)</f>
        <v>0</v>
      </c>
      <c r="AQ273" s="799">
        <f>SUMIF('Venture Summary - Mthly'!$E$8:$EG$8,AQ$9,'Venture Summary - Mthly'!$E276:$EG276)</f>
        <v>0</v>
      </c>
      <c r="AR273" s="799">
        <f>SUMIF('Venture Summary - Mthly'!$E$8:$EG$8,AR$9,'Venture Summary - Mthly'!$E276:$EG276)</f>
        <v>0</v>
      </c>
      <c r="AS273" s="799">
        <f>SUMIF('Venture Summary - Mthly'!$E$8:$EG$8,AS$9,'Venture Summary - Mthly'!$E276:$EG276)</f>
        <v>0</v>
      </c>
      <c r="AT273" s="799">
        <f>SUMIF('Venture Summary - Mthly'!$E$8:$EG$8,AT$9,'Venture Summary - Mthly'!$E276:$EG276)</f>
        <v>0</v>
      </c>
      <c r="AU273" s="799">
        <f>SUMIF('Venture Summary - Mthly'!$E$8:$EG$8,AU$9,'Venture Summary - Mthly'!$E276:$EG276)</f>
        <v>0</v>
      </c>
      <c r="AV273" s="799">
        <f>SUMIF('Venture Summary - Mthly'!$E$8:$EG$8,AV$9,'Venture Summary - Mthly'!$E276:$EG276)</f>
        <v>0</v>
      </c>
      <c r="AW273" s="799">
        <f>SUMIF('Venture Summary - Mthly'!$E$8:$EG$8,AW$9,'Venture Summary - Mthly'!$E276:$EG276)</f>
        <v>0</v>
      </c>
      <c r="AX273" s="798"/>
    </row>
    <row r="274" spans="1:50" ht="12.75" customHeight="1" x14ac:dyDescent="0.3">
      <c r="A274" s="782"/>
      <c r="B274" s="782" t="s">
        <v>161</v>
      </c>
      <c r="C274" s="798"/>
      <c r="D274" s="782"/>
      <c r="E274" s="798">
        <f t="shared" ref="E274:AW274" si="58">E269+E273</f>
        <v>0</v>
      </c>
      <c r="F274" s="798">
        <f t="shared" si="58"/>
        <v>0</v>
      </c>
      <c r="G274" s="798">
        <f t="shared" si="58"/>
        <v>0</v>
      </c>
      <c r="H274" s="798">
        <f t="shared" si="58"/>
        <v>0</v>
      </c>
      <c r="I274" s="798">
        <f t="shared" si="58"/>
        <v>0</v>
      </c>
      <c r="J274" s="798">
        <f t="shared" si="58"/>
        <v>0</v>
      </c>
      <c r="K274" s="798">
        <f t="shared" si="58"/>
        <v>0</v>
      </c>
      <c r="L274" s="798">
        <f t="shared" si="58"/>
        <v>0</v>
      </c>
      <c r="M274" s="798">
        <f t="shared" si="58"/>
        <v>0</v>
      </c>
      <c r="N274" s="798">
        <f t="shared" si="58"/>
        <v>0</v>
      </c>
      <c r="O274" s="798">
        <f t="shared" si="58"/>
        <v>0</v>
      </c>
      <c r="P274" s="798">
        <f t="shared" si="58"/>
        <v>-46600744.397802807</v>
      </c>
      <c r="Q274" s="798">
        <f t="shared" si="58"/>
        <v>623346.85292693274</v>
      </c>
      <c r="R274" s="798">
        <f t="shared" si="58"/>
        <v>645086.61329542077</v>
      </c>
      <c r="S274" s="798">
        <f t="shared" si="58"/>
        <v>644215.54607378726</v>
      </c>
      <c r="T274" s="798">
        <f t="shared" si="58"/>
        <v>661902.09947439213</v>
      </c>
      <c r="U274" s="798">
        <f t="shared" si="58"/>
        <v>679519.10289103352</v>
      </c>
      <c r="V274" s="798">
        <f t="shared" si="58"/>
        <v>694204.81009246409</v>
      </c>
      <c r="W274" s="798">
        <f t="shared" si="58"/>
        <v>689738.6161152703</v>
      </c>
      <c r="X274" s="798">
        <f t="shared" si="58"/>
        <v>701794.01382499537</v>
      </c>
      <c r="Y274" s="798">
        <f t="shared" si="58"/>
        <v>717065.29189360049</v>
      </c>
      <c r="Z274" s="798">
        <f t="shared" si="58"/>
        <v>733551.69515324559</v>
      </c>
      <c r="AA274" s="798">
        <f t="shared" si="58"/>
        <v>732080.37063951511</v>
      </c>
      <c r="AB274" s="798">
        <f t="shared" si="58"/>
        <v>748271.4101425925</v>
      </c>
      <c r="AC274" s="798">
        <f t="shared" si="58"/>
        <v>767018.32850041986</v>
      </c>
      <c r="AD274" s="798">
        <f t="shared" si="58"/>
        <v>785743.49356206995</v>
      </c>
      <c r="AE274" s="798">
        <f t="shared" si="58"/>
        <v>785270.30079527816</v>
      </c>
      <c r="AF274" s="798">
        <f t="shared" si="58"/>
        <v>802729.72625170508</v>
      </c>
      <c r="AG274" s="798">
        <f t="shared" si="58"/>
        <v>822662.61418112239</v>
      </c>
      <c r="AH274" s="798">
        <f t="shared" si="58"/>
        <v>842492.85555103875</v>
      </c>
      <c r="AI274" s="798">
        <f t="shared" si="58"/>
        <v>842283.51895287074</v>
      </c>
      <c r="AJ274" s="798">
        <f t="shared" si="58"/>
        <v>860476.76641253906</v>
      </c>
      <c r="AK274" s="798">
        <f t="shared" si="58"/>
        <v>53057051.624760687</v>
      </c>
      <c r="AL274" s="798">
        <f t="shared" si="58"/>
        <v>0</v>
      </c>
      <c r="AM274" s="798">
        <f t="shared" si="58"/>
        <v>0</v>
      </c>
      <c r="AN274" s="798">
        <f t="shared" si="58"/>
        <v>0</v>
      </c>
      <c r="AO274" s="798">
        <f t="shared" si="58"/>
        <v>0</v>
      </c>
      <c r="AP274" s="798">
        <f t="shared" si="58"/>
        <v>0</v>
      </c>
      <c r="AQ274" s="798">
        <f t="shared" si="58"/>
        <v>0</v>
      </c>
      <c r="AR274" s="798">
        <f t="shared" si="58"/>
        <v>0</v>
      </c>
      <c r="AS274" s="798">
        <f t="shared" si="58"/>
        <v>0</v>
      </c>
      <c r="AT274" s="798">
        <f t="shared" si="58"/>
        <v>0</v>
      </c>
      <c r="AU274" s="798">
        <f t="shared" si="58"/>
        <v>0</v>
      </c>
      <c r="AV274" s="798">
        <f t="shared" si="58"/>
        <v>0</v>
      </c>
      <c r="AW274" s="798">
        <f t="shared" si="58"/>
        <v>0</v>
      </c>
      <c r="AX274" s="798"/>
    </row>
    <row r="275" spans="1:50" ht="12.75" customHeight="1" x14ac:dyDescent="0.3">
      <c r="A275" s="782"/>
      <c r="B275" s="782"/>
      <c r="C275" s="798"/>
      <c r="D275" s="782"/>
      <c r="E275" s="798"/>
      <c r="F275" s="798"/>
      <c r="G275" s="798"/>
      <c r="H275" s="798"/>
      <c r="I275" s="798"/>
      <c r="J275" s="798"/>
      <c r="K275" s="798"/>
      <c r="L275" s="798"/>
      <c r="M275" s="798"/>
      <c r="N275" s="798"/>
      <c r="O275" s="798"/>
      <c r="P275" s="798"/>
      <c r="Q275" s="798"/>
      <c r="R275" s="798"/>
      <c r="S275" s="798"/>
      <c r="T275" s="798"/>
      <c r="U275" s="798"/>
      <c r="V275" s="798"/>
      <c r="W275" s="798"/>
      <c r="X275" s="798"/>
      <c r="Y275" s="798"/>
      <c r="Z275" s="798"/>
      <c r="AA275" s="798"/>
      <c r="AB275" s="798"/>
      <c r="AC275" s="798"/>
      <c r="AD275" s="798"/>
      <c r="AE275" s="798"/>
      <c r="AF275" s="798"/>
      <c r="AG275" s="798"/>
      <c r="AH275" s="798"/>
      <c r="AI275" s="798"/>
      <c r="AJ275" s="798"/>
      <c r="AK275" s="798"/>
      <c r="AL275" s="798"/>
      <c r="AM275" s="798"/>
      <c r="AN275" s="798"/>
      <c r="AO275" s="798"/>
      <c r="AP275" s="798"/>
      <c r="AQ275" s="798"/>
      <c r="AR275" s="798"/>
      <c r="AS275" s="798"/>
      <c r="AT275" s="798"/>
      <c r="AU275" s="798"/>
      <c r="AV275" s="798"/>
      <c r="AW275" s="798"/>
      <c r="AX275" s="798"/>
    </row>
    <row r="276" spans="1:50" ht="12.75" customHeight="1" x14ac:dyDescent="0.3">
      <c r="A276" s="782"/>
      <c r="B276" s="796" t="s">
        <v>142</v>
      </c>
      <c r="C276" s="824">
        <f>'Venture Summary - Mthly'!C279</f>
        <v>8.2500001788139307E-2</v>
      </c>
      <c r="D276" s="782"/>
      <c r="E276" s="798"/>
      <c r="F276" s="798"/>
      <c r="G276" s="798"/>
      <c r="H276" s="798"/>
      <c r="I276" s="798"/>
      <c r="J276" s="798"/>
      <c r="K276" s="798"/>
      <c r="L276" s="798"/>
      <c r="M276" s="798"/>
      <c r="N276" s="798"/>
      <c r="O276" s="798"/>
      <c r="P276" s="798"/>
      <c r="Q276" s="798"/>
      <c r="R276" s="798"/>
      <c r="S276" s="798"/>
      <c r="T276" s="798"/>
      <c r="U276" s="798"/>
      <c r="V276" s="798"/>
      <c r="W276" s="798"/>
      <c r="X276" s="798"/>
      <c r="Y276" s="798"/>
      <c r="Z276" s="798"/>
      <c r="AA276" s="798"/>
      <c r="AB276" s="798"/>
      <c r="AC276" s="798"/>
      <c r="AD276" s="798"/>
      <c r="AE276" s="798"/>
      <c r="AF276" s="798"/>
      <c r="AG276" s="798"/>
      <c r="AH276" s="798"/>
      <c r="AI276" s="798"/>
      <c r="AJ276" s="798"/>
      <c r="AK276" s="798"/>
      <c r="AL276" s="798"/>
      <c r="AM276" s="798"/>
      <c r="AN276" s="798"/>
      <c r="AO276" s="798"/>
      <c r="AP276" s="798"/>
      <c r="AQ276" s="798"/>
      <c r="AR276" s="798"/>
      <c r="AS276" s="798"/>
      <c r="AT276" s="798"/>
      <c r="AU276" s="798"/>
      <c r="AV276" s="798"/>
      <c r="AW276" s="798"/>
      <c r="AX276" s="798"/>
    </row>
    <row r="277" spans="1:50" ht="12.75" customHeight="1" x14ac:dyDescent="0.3">
      <c r="A277" s="782"/>
      <c r="B277" s="782"/>
      <c r="C277" s="798"/>
      <c r="D277" s="782"/>
      <c r="E277" s="798"/>
      <c r="F277" s="798"/>
      <c r="G277" s="798"/>
      <c r="H277" s="798"/>
      <c r="I277" s="798"/>
      <c r="J277" s="798"/>
      <c r="K277" s="798"/>
      <c r="L277" s="798"/>
      <c r="M277" s="798"/>
      <c r="N277" s="798"/>
      <c r="O277" s="798"/>
      <c r="P277" s="798"/>
      <c r="Q277" s="798"/>
      <c r="R277" s="798"/>
      <c r="S277" s="798"/>
      <c r="T277" s="798"/>
      <c r="U277" s="798"/>
      <c r="V277" s="798"/>
      <c r="W277" s="798"/>
      <c r="X277" s="798"/>
      <c r="Y277" s="798"/>
      <c r="Z277" s="798"/>
      <c r="AA277" s="798"/>
      <c r="AB277" s="798"/>
      <c r="AC277" s="798"/>
      <c r="AD277" s="798"/>
      <c r="AE277" s="798"/>
      <c r="AF277" s="798"/>
      <c r="AG277" s="798"/>
      <c r="AH277" s="798"/>
      <c r="AI277" s="798"/>
      <c r="AJ277" s="798"/>
      <c r="AK277" s="798"/>
      <c r="AL277" s="798"/>
      <c r="AM277" s="798"/>
      <c r="AN277" s="798"/>
      <c r="AO277" s="798"/>
      <c r="AP277" s="798"/>
      <c r="AQ277" s="798"/>
      <c r="AR277" s="798"/>
      <c r="AS277" s="798"/>
      <c r="AT277" s="798"/>
      <c r="AU277" s="798"/>
      <c r="AV277" s="798"/>
      <c r="AW277" s="798"/>
      <c r="AX277" s="798"/>
    </row>
    <row r="278" spans="1:50" ht="12.75" customHeight="1" x14ac:dyDescent="0.3">
      <c r="A278" s="782"/>
      <c r="B278" s="782" t="s">
        <v>162</v>
      </c>
      <c r="C278" s="798"/>
      <c r="D278" s="782"/>
      <c r="E278" s="798">
        <f t="shared" ref="E278:AW278" si="59">E262</f>
        <v>0</v>
      </c>
      <c r="F278" s="798">
        <f t="shared" si="59"/>
        <v>0</v>
      </c>
      <c r="G278" s="798">
        <f t="shared" si="59"/>
        <v>0</v>
      </c>
      <c r="H278" s="798">
        <f t="shared" si="59"/>
        <v>0</v>
      </c>
      <c r="I278" s="798">
        <f t="shared" si="59"/>
        <v>0</v>
      </c>
      <c r="J278" s="798">
        <f t="shared" si="59"/>
        <v>0</v>
      </c>
      <c r="K278" s="798">
        <f t="shared" si="59"/>
        <v>0</v>
      </c>
      <c r="L278" s="798">
        <f t="shared" si="59"/>
        <v>0</v>
      </c>
      <c r="M278" s="798">
        <f t="shared" si="59"/>
        <v>0</v>
      </c>
      <c r="N278" s="798">
        <f t="shared" si="59"/>
        <v>0</v>
      </c>
      <c r="O278" s="798">
        <f t="shared" si="59"/>
        <v>0</v>
      </c>
      <c r="P278" s="798">
        <f t="shared" si="59"/>
        <v>-89478537.784802809</v>
      </c>
      <c r="Q278" s="798">
        <f t="shared" si="59"/>
        <v>623346.85292693274</v>
      </c>
      <c r="R278" s="798">
        <f t="shared" si="59"/>
        <v>645086.61329542077</v>
      </c>
      <c r="S278" s="798">
        <f t="shared" si="59"/>
        <v>644215.54607378726</v>
      </c>
      <c r="T278" s="798">
        <f t="shared" si="59"/>
        <v>661902.09947439213</v>
      </c>
      <c r="U278" s="798">
        <f t="shared" si="59"/>
        <v>679519.10289103352</v>
      </c>
      <c r="V278" s="798">
        <f t="shared" si="59"/>
        <v>694204.81009246409</v>
      </c>
      <c r="W278" s="798">
        <f t="shared" si="59"/>
        <v>689738.6161152703</v>
      </c>
      <c r="X278" s="798">
        <f t="shared" si="59"/>
        <v>701794.01382499537</v>
      </c>
      <c r="Y278" s="798">
        <f t="shared" si="59"/>
        <v>717065.29189360049</v>
      </c>
      <c r="Z278" s="798">
        <f t="shared" si="59"/>
        <v>733551.69515324559</v>
      </c>
      <c r="AA278" s="798">
        <f t="shared" si="59"/>
        <v>732080.37063951511</v>
      </c>
      <c r="AB278" s="798">
        <f t="shared" si="59"/>
        <v>748271.4101425925</v>
      </c>
      <c r="AC278" s="798">
        <f t="shared" si="59"/>
        <v>767018.32850041986</v>
      </c>
      <c r="AD278" s="798">
        <f t="shared" si="59"/>
        <v>785743.49356206995</v>
      </c>
      <c r="AE278" s="798">
        <f t="shared" si="59"/>
        <v>785270.30079527816</v>
      </c>
      <c r="AF278" s="798">
        <f t="shared" si="59"/>
        <v>802729.72625170508</v>
      </c>
      <c r="AG278" s="798">
        <f t="shared" si="59"/>
        <v>822662.61418112239</v>
      </c>
      <c r="AH278" s="798">
        <f t="shared" si="59"/>
        <v>842492.85555103875</v>
      </c>
      <c r="AI278" s="798">
        <f t="shared" si="59"/>
        <v>842283.51895287074</v>
      </c>
      <c r="AJ278" s="798">
        <f t="shared" si="59"/>
        <v>860476.76641253906</v>
      </c>
      <c r="AK278" s="798">
        <f t="shared" si="59"/>
        <v>73198739.088306502</v>
      </c>
      <c r="AL278" s="798">
        <f t="shared" si="59"/>
        <v>0</v>
      </c>
      <c r="AM278" s="798">
        <f t="shared" si="59"/>
        <v>0</v>
      </c>
      <c r="AN278" s="798">
        <f t="shared" si="59"/>
        <v>0</v>
      </c>
      <c r="AO278" s="798">
        <f t="shared" si="59"/>
        <v>0</v>
      </c>
      <c r="AP278" s="798">
        <f t="shared" si="59"/>
        <v>0</v>
      </c>
      <c r="AQ278" s="798">
        <f t="shared" si="59"/>
        <v>0</v>
      </c>
      <c r="AR278" s="798">
        <f t="shared" si="59"/>
        <v>0</v>
      </c>
      <c r="AS278" s="798">
        <f t="shared" si="59"/>
        <v>0</v>
      </c>
      <c r="AT278" s="798">
        <f t="shared" si="59"/>
        <v>0</v>
      </c>
      <c r="AU278" s="798">
        <f t="shared" si="59"/>
        <v>0</v>
      </c>
      <c r="AV278" s="798">
        <f t="shared" si="59"/>
        <v>0</v>
      </c>
      <c r="AW278" s="798">
        <f t="shared" si="59"/>
        <v>0</v>
      </c>
      <c r="AX278" s="798"/>
    </row>
    <row r="279" spans="1:50" ht="12.75" customHeight="1" x14ac:dyDescent="0.3">
      <c r="A279" s="782"/>
      <c r="B279" s="781" t="s">
        <v>163</v>
      </c>
      <c r="C279" s="799"/>
      <c r="D279" s="781"/>
      <c r="E279" s="799">
        <f t="shared" ref="E279:AW279" si="60">E274</f>
        <v>0</v>
      </c>
      <c r="F279" s="799">
        <f t="shared" si="60"/>
        <v>0</v>
      </c>
      <c r="G279" s="799">
        <f t="shared" si="60"/>
        <v>0</v>
      </c>
      <c r="H279" s="799">
        <f t="shared" si="60"/>
        <v>0</v>
      </c>
      <c r="I279" s="799">
        <f t="shared" si="60"/>
        <v>0</v>
      </c>
      <c r="J279" s="799">
        <f t="shared" si="60"/>
        <v>0</v>
      </c>
      <c r="K279" s="799">
        <f t="shared" si="60"/>
        <v>0</v>
      </c>
      <c r="L279" s="799">
        <f t="shared" si="60"/>
        <v>0</v>
      </c>
      <c r="M279" s="799">
        <f t="shared" si="60"/>
        <v>0</v>
      </c>
      <c r="N279" s="799">
        <f t="shared" si="60"/>
        <v>0</v>
      </c>
      <c r="O279" s="799">
        <f t="shared" si="60"/>
        <v>0</v>
      </c>
      <c r="P279" s="799">
        <f t="shared" si="60"/>
        <v>-46600744.397802807</v>
      </c>
      <c r="Q279" s="799">
        <f t="shared" si="60"/>
        <v>623346.85292693274</v>
      </c>
      <c r="R279" s="799">
        <f t="shared" si="60"/>
        <v>645086.61329542077</v>
      </c>
      <c r="S279" s="799">
        <f t="shared" si="60"/>
        <v>644215.54607378726</v>
      </c>
      <c r="T279" s="799">
        <f t="shared" si="60"/>
        <v>661902.09947439213</v>
      </c>
      <c r="U279" s="799">
        <f t="shared" si="60"/>
        <v>679519.10289103352</v>
      </c>
      <c r="V279" s="799">
        <f t="shared" si="60"/>
        <v>694204.81009246409</v>
      </c>
      <c r="W279" s="799">
        <f t="shared" si="60"/>
        <v>689738.6161152703</v>
      </c>
      <c r="X279" s="799">
        <f t="shared" si="60"/>
        <v>701794.01382499537</v>
      </c>
      <c r="Y279" s="799">
        <f t="shared" si="60"/>
        <v>717065.29189360049</v>
      </c>
      <c r="Z279" s="799">
        <f t="shared" si="60"/>
        <v>733551.69515324559</v>
      </c>
      <c r="AA279" s="799">
        <f t="shared" si="60"/>
        <v>732080.37063951511</v>
      </c>
      <c r="AB279" s="799">
        <f t="shared" si="60"/>
        <v>748271.4101425925</v>
      </c>
      <c r="AC279" s="799">
        <f t="shared" si="60"/>
        <v>767018.32850041986</v>
      </c>
      <c r="AD279" s="799">
        <f t="shared" si="60"/>
        <v>785743.49356206995</v>
      </c>
      <c r="AE279" s="799">
        <f t="shared" si="60"/>
        <v>785270.30079527816</v>
      </c>
      <c r="AF279" s="799">
        <f t="shared" si="60"/>
        <v>802729.72625170508</v>
      </c>
      <c r="AG279" s="799">
        <f t="shared" si="60"/>
        <v>822662.61418112239</v>
      </c>
      <c r="AH279" s="799">
        <f t="shared" si="60"/>
        <v>842492.85555103875</v>
      </c>
      <c r="AI279" s="799">
        <f t="shared" si="60"/>
        <v>842283.51895287074</v>
      </c>
      <c r="AJ279" s="799">
        <f t="shared" si="60"/>
        <v>860476.76641253906</v>
      </c>
      <c r="AK279" s="799">
        <f t="shared" si="60"/>
        <v>53057051.624760687</v>
      </c>
      <c r="AL279" s="799">
        <f t="shared" si="60"/>
        <v>0</v>
      </c>
      <c r="AM279" s="799">
        <f t="shared" si="60"/>
        <v>0</v>
      </c>
      <c r="AN279" s="799">
        <f t="shared" si="60"/>
        <v>0</v>
      </c>
      <c r="AO279" s="799">
        <f t="shared" si="60"/>
        <v>0</v>
      </c>
      <c r="AP279" s="799">
        <f t="shared" si="60"/>
        <v>0</v>
      </c>
      <c r="AQ279" s="799">
        <f t="shared" si="60"/>
        <v>0</v>
      </c>
      <c r="AR279" s="799">
        <f t="shared" si="60"/>
        <v>0</v>
      </c>
      <c r="AS279" s="799">
        <f t="shared" si="60"/>
        <v>0</v>
      </c>
      <c r="AT279" s="799">
        <f t="shared" si="60"/>
        <v>0</v>
      </c>
      <c r="AU279" s="799">
        <f t="shared" si="60"/>
        <v>0</v>
      </c>
      <c r="AV279" s="799">
        <f t="shared" si="60"/>
        <v>0</v>
      </c>
      <c r="AW279" s="799">
        <f t="shared" si="60"/>
        <v>0</v>
      </c>
      <c r="AX279" s="798"/>
    </row>
    <row r="280" spans="1:50" ht="12.75" customHeight="1" x14ac:dyDescent="0.3">
      <c r="A280" s="782"/>
      <c r="B280" s="782" t="s">
        <v>164</v>
      </c>
      <c r="C280" s="798"/>
      <c r="D280" s="782"/>
      <c r="E280" s="798">
        <f t="shared" ref="E280:AW280" si="61">E278-E279</f>
        <v>0</v>
      </c>
      <c r="F280" s="798">
        <f t="shared" si="61"/>
        <v>0</v>
      </c>
      <c r="G280" s="798">
        <f t="shared" si="61"/>
        <v>0</v>
      </c>
      <c r="H280" s="798">
        <f t="shared" si="61"/>
        <v>0</v>
      </c>
      <c r="I280" s="798">
        <f t="shared" si="61"/>
        <v>0</v>
      </c>
      <c r="J280" s="798">
        <f t="shared" si="61"/>
        <v>0</v>
      </c>
      <c r="K280" s="798">
        <f t="shared" si="61"/>
        <v>0</v>
      </c>
      <c r="L280" s="798">
        <f t="shared" si="61"/>
        <v>0</v>
      </c>
      <c r="M280" s="798">
        <f t="shared" si="61"/>
        <v>0</v>
      </c>
      <c r="N280" s="798">
        <f t="shared" si="61"/>
        <v>0</v>
      </c>
      <c r="O280" s="798">
        <f t="shared" si="61"/>
        <v>0</v>
      </c>
      <c r="P280" s="798">
        <f t="shared" si="61"/>
        <v>-42877793.387000002</v>
      </c>
      <c r="Q280" s="798">
        <f t="shared" si="61"/>
        <v>0</v>
      </c>
      <c r="R280" s="798">
        <f t="shared" si="61"/>
        <v>0</v>
      </c>
      <c r="S280" s="798">
        <f t="shared" si="61"/>
        <v>0</v>
      </c>
      <c r="T280" s="798">
        <f t="shared" si="61"/>
        <v>0</v>
      </c>
      <c r="U280" s="798">
        <f t="shared" si="61"/>
        <v>0</v>
      </c>
      <c r="V280" s="798">
        <f t="shared" si="61"/>
        <v>0</v>
      </c>
      <c r="W280" s="798">
        <f t="shared" si="61"/>
        <v>0</v>
      </c>
      <c r="X280" s="798">
        <f t="shared" si="61"/>
        <v>0</v>
      </c>
      <c r="Y280" s="798">
        <f t="shared" si="61"/>
        <v>0</v>
      </c>
      <c r="Z280" s="798">
        <f t="shared" si="61"/>
        <v>0</v>
      </c>
      <c r="AA280" s="798">
        <f t="shared" si="61"/>
        <v>0</v>
      </c>
      <c r="AB280" s="798">
        <f t="shared" si="61"/>
        <v>0</v>
      </c>
      <c r="AC280" s="798">
        <f t="shared" si="61"/>
        <v>0</v>
      </c>
      <c r="AD280" s="798">
        <f t="shared" si="61"/>
        <v>0</v>
      </c>
      <c r="AE280" s="798">
        <f t="shared" si="61"/>
        <v>0</v>
      </c>
      <c r="AF280" s="798">
        <f t="shared" si="61"/>
        <v>0</v>
      </c>
      <c r="AG280" s="798">
        <f t="shared" si="61"/>
        <v>0</v>
      </c>
      <c r="AH280" s="798">
        <f t="shared" si="61"/>
        <v>0</v>
      </c>
      <c r="AI280" s="798">
        <f t="shared" si="61"/>
        <v>0</v>
      </c>
      <c r="AJ280" s="798">
        <f t="shared" si="61"/>
        <v>0</v>
      </c>
      <c r="AK280" s="798">
        <f t="shared" si="61"/>
        <v>20141687.463545814</v>
      </c>
      <c r="AL280" s="798">
        <f t="shared" si="61"/>
        <v>0</v>
      </c>
      <c r="AM280" s="798">
        <f t="shared" si="61"/>
        <v>0</v>
      </c>
      <c r="AN280" s="798">
        <f t="shared" si="61"/>
        <v>0</v>
      </c>
      <c r="AO280" s="798">
        <f t="shared" si="61"/>
        <v>0</v>
      </c>
      <c r="AP280" s="798">
        <f t="shared" si="61"/>
        <v>0</v>
      </c>
      <c r="AQ280" s="798">
        <f t="shared" si="61"/>
        <v>0</v>
      </c>
      <c r="AR280" s="798">
        <f t="shared" si="61"/>
        <v>0</v>
      </c>
      <c r="AS280" s="798">
        <f t="shared" si="61"/>
        <v>0</v>
      </c>
      <c r="AT280" s="798">
        <f t="shared" si="61"/>
        <v>0</v>
      </c>
      <c r="AU280" s="798">
        <f t="shared" si="61"/>
        <v>0</v>
      </c>
      <c r="AV280" s="798">
        <f t="shared" si="61"/>
        <v>0</v>
      </c>
      <c r="AW280" s="798">
        <f t="shared" si="61"/>
        <v>0</v>
      </c>
      <c r="AX280" s="798"/>
    </row>
    <row r="281" spans="1:50" ht="12.75" customHeight="1" x14ac:dyDescent="0.3">
      <c r="A281" s="782"/>
      <c r="B281" s="782"/>
      <c r="C281" s="798"/>
      <c r="D281" s="782"/>
      <c r="E281" s="798"/>
      <c r="F281" s="798"/>
      <c r="G281" s="798"/>
      <c r="H281" s="798"/>
      <c r="I281" s="798"/>
      <c r="J281" s="798"/>
      <c r="K281" s="798"/>
      <c r="L281" s="798"/>
      <c r="M281" s="798"/>
      <c r="N281" s="798"/>
      <c r="O281" s="798"/>
      <c r="P281" s="798"/>
      <c r="Q281" s="798"/>
      <c r="R281" s="798"/>
      <c r="S281" s="798"/>
      <c r="T281" s="798"/>
      <c r="U281" s="798"/>
      <c r="V281" s="798"/>
      <c r="W281" s="798"/>
      <c r="X281" s="798"/>
      <c r="Y281" s="798"/>
      <c r="Z281" s="798"/>
      <c r="AA281" s="798"/>
      <c r="AB281" s="798"/>
      <c r="AC281" s="798"/>
      <c r="AD281" s="798"/>
      <c r="AE281" s="798"/>
      <c r="AF281" s="798"/>
      <c r="AG281" s="798"/>
      <c r="AH281" s="798"/>
      <c r="AI281" s="798"/>
      <c r="AJ281" s="798"/>
      <c r="AK281" s="798"/>
      <c r="AL281" s="798"/>
      <c r="AM281" s="798"/>
      <c r="AN281" s="798"/>
      <c r="AO281" s="798"/>
      <c r="AP281" s="798"/>
      <c r="AQ281" s="798"/>
      <c r="AR281" s="798"/>
      <c r="AS281" s="798"/>
      <c r="AT281" s="798"/>
      <c r="AU281" s="798"/>
      <c r="AV281" s="798"/>
      <c r="AW281" s="798"/>
      <c r="AX281" s="798"/>
    </row>
    <row r="282" spans="1:50" ht="12.75" customHeight="1" x14ac:dyDescent="0.3">
      <c r="A282" s="782"/>
      <c r="B282" s="796" t="s">
        <v>165</v>
      </c>
      <c r="C282" s="798"/>
      <c r="D282" s="782"/>
      <c r="E282" s="798"/>
      <c r="F282" s="798"/>
      <c r="G282" s="798"/>
      <c r="H282" s="798"/>
      <c r="I282" s="798"/>
      <c r="J282" s="798"/>
      <c r="K282" s="798"/>
      <c r="L282" s="798"/>
      <c r="M282" s="798"/>
      <c r="N282" s="798"/>
      <c r="O282" s="798"/>
      <c r="P282" s="798"/>
      <c r="Q282" s="798"/>
      <c r="R282" s="798"/>
      <c r="S282" s="798"/>
      <c r="T282" s="798"/>
      <c r="U282" s="798"/>
      <c r="V282" s="798"/>
      <c r="W282" s="798"/>
      <c r="X282" s="798"/>
      <c r="Y282" s="798"/>
      <c r="Z282" s="798"/>
      <c r="AA282" s="798"/>
      <c r="AB282" s="798"/>
      <c r="AC282" s="798"/>
      <c r="AD282" s="798"/>
      <c r="AE282" s="798"/>
      <c r="AF282" s="798"/>
      <c r="AG282" s="798"/>
      <c r="AH282" s="798"/>
      <c r="AI282" s="798"/>
      <c r="AJ282" s="798"/>
      <c r="AK282" s="798"/>
      <c r="AL282" s="798"/>
      <c r="AM282" s="798"/>
      <c r="AN282" s="798"/>
      <c r="AO282" s="798"/>
      <c r="AP282" s="798"/>
      <c r="AQ282" s="798"/>
      <c r="AR282" s="798"/>
      <c r="AS282" s="798"/>
      <c r="AT282" s="798"/>
      <c r="AU282" s="798"/>
      <c r="AV282" s="798"/>
      <c r="AW282" s="798"/>
      <c r="AX282" s="798"/>
    </row>
    <row r="283" spans="1:50" ht="12.75" customHeight="1" x14ac:dyDescent="0.3">
      <c r="A283" s="782"/>
      <c r="B283" s="796"/>
      <c r="C283" s="798"/>
      <c r="D283" s="782"/>
      <c r="E283" s="798"/>
      <c r="F283" s="798"/>
      <c r="G283" s="798"/>
      <c r="H283" s="798"/>
      <c r="I283" s="798"/>
      <c r="J283" s="798"/>
      <c r="K283" s="798"/>
      <c r="L283" s="798"/>
      <c r="M283" s="798"/>
      <c r="N283" s="798"/>
      <c r="O283" s="798"/>
      <c r="P283" s="798"/>
      <c r="Q283" s="798"/>
      <c r="R283" s="798"/>
      <c r="S283" s="798"/>
      <c r="T283" s="798"/>
      <c r="U283" s="798"/>
      <c r="V283" s="798"/>
      <c r="W283" s="798"/>
      <c r="X283" s="798"/>
      <c r="Y283" s="798"/>
      <c r="Z283" s="798"/>
      <c r="AA283" s="798"/>
      <c r="AB283" s="798"/>
      <c r="AC283" s="798"/>
      <c r="AD283" s="798"/>
      <c r="AE283" s="798"/>
      <c r="AF283" s="798"/>
      <c r="AG283" s="798"/>
      <c r="AH283" s="798"/>
      <c r="AI283" s="798"/>
      <c r="AJ283" s="798"/>
      <c r="AK283" s="798"/>
      <c r="AL283" s="798"/>
      <c r="AM283" s="798"/>
      <c r="AN283" s="798"/>
      <c r="AO283" s="798"/>
      <c r="AP283" s="798"/>
      <c r="AQ283" s="798"/>
      <c r="AR283" s="798"/>
      <c r="AS283" s="798"/>
      <c r="AT283" s="798"/>
      <c r="AU283" s="798"/>
      <c r="AV283" s="798"/>
      <c r="AW283" s="798"/>
      <c r="AX283" s="798"/>
    </row>
    <row r="284" spans="1:50" ht="12.75" customHeight="1" x14ac:dyDescent="0.3">
      <c r="A284" s="782"/>
      <c r="B284" s="781" t="s">
        <v>156</v>
      </c>
      <c r="C284" s="799"/>
      <c r="D284" s="781"/>
      <c r="E284" s="799">
        <v>0</v>
      </c>
      <c r="F284" s="799">
        <f t="shared" ref="F284:AW284" si="62">E288</f>
        <v>0</v>
      </c>
      <c r="G284" s="799">
        <f t="shared" si="62"/>
        <v>0</v>
      </c>
      <c r="H284" s="799">
        <f t="shared" si="62"/>
        <v>0</v>
      </c>
      <c r="I284" s="799">
        <f t="shared" si="62"/>
        <v>0</v>
      </c>
      <c r="J284" s="799">
        <f t="shared" si="62"/>
        <v>0</v>
      </c>
      <c r="K284" s="799">
        <f t="shared" si="62"/>
        <v>0</v>
      </c>
      <c r="L284" s="799">
        <f t="shared" si="62"/>
        <v>0</v>
      </c>
      <c r="M284" s="799">
        <f t="shared" si="62"/>
        <v>0</v>
      </c>
      <c r="N284" s="799">
        <f t="shared" si="62"/>
        <v>0</v>
      </c>
      <c r="O284" s="799">
        <f t="shared" si="62"/>
        <v>0</v>
      </c>
      <c r="P284" s="799">
        <f t="shared" si="62"/>
        <v>0</v>
      </c>
      <c r="Q284" s="799">
        <f t="shared" si="62"/>
        <v>-47095852.931763403</v>
      </c>
      <c r="R284" s="799">
        <f t="shared" si="62"/>
        <v>-47612567.991190918</v>
      </c>
      <c r="S284" s="799">
        <f t="shared" si="62"/>
        <v>-48107318.603760406</v>
      </c>
      <c r="T284" s="799">
        <f t="shared" si="62"/>
        <v>-48602183.704566158</v>
      </c>
      <c r="U284" s="799">
        <f t="shared" si="62"/>
        <v>-49116706.328650199</v>
      </c>
      <c r="V284" s="799">
        <f t="shared" si="62"/>
        <v>-49625916.100554526</v>
      </c>
      <c r="W284" s="799">
        <f t="shared" si="62"/>
        <v>-50119554.223455273</v>
      </c>
      <c r="X284" s="799">
        <f t="shared" si="62"/>
        <v>-50629668.378490977</v>
      </c>
      <c r="Y284" s="799">
        <f t="shared" si="62"/>
        <v>-51153266.349080734</v>
      </c>
      <c r="Z284" s="799">
        <f t="shared" si="62"/>
        <v>-51674140.679685593</v>
      </c>
      <c r="AA284" s="799">
        <f t="shared" si="62"/>
        <v>-52177379.102594092</v>
      </c>
      <c r="AB284" s="799">
        <f t="shared" si="62"/>
        <v>-52680489.691003092</v>
      </c>
      <c r="AC284" s="799">
        <f t="shared" si="62"/>
        <v>-53207107.068861246</v>
      </c>
      <c r="AD284" s="799">
        <f t="shared" si="62"/>
        <v>-53727564.251854703</v>
      </c>
      <c r="AE284" s="799">
        <f t="shared" si="62"/>
        <v>-54227577.231115267</v>
      </c>
      <c r="AF284" s="799">
        <f t="shared" si="62"/>
        <v>-54725847.114314161</v>
      </c>
      <c r="AG284" s="799">
        <f t="shared" si="62"/>
        <v>-55247301.038337506</v>
      </c>
      <c r="AH284" s="799">
        <f t="shared" si="62"/>
        <v>-55761268.623741202</v>
      </c>
      <c r="AI284" s="799">
        <f t="shared" si="62"/>
        <v>-56252986.016436361</v>
      </c>
      <c r="AJ284" s="799">
        <f t="shared" si="62"/>
        <v>-56741972.332615249</v>
      </c>
      <c r="AK284" s="799">
        <f t="shared" si="62"/>
        <v>-57254236.078221165</v>
      </c>
      <c r="AL284" s="799">
        <f t="shared" si="62"/>
        <v>14559552.480968557</v>
      </c>
      <c r="AM284" s="799">
        <f t="shared" si="62"/>
        <v>14909663.653999077</v>
      </c>
      <c r="AN284" s="799">
        <f t="shared" si="62"/>
        <v>15268193.893044241</v>
      </c>
      <c r="AO284" s="799">
        <f t="shared" si="62"/>
        <v>15639428.943666626</v>
      </c>
      <c r="AP284" s="799">
        <f t="shared" si="62"/>
        <v>16019690.305048229</v>
      </c>
      <c r="AQ284" s="799">
        <f t="shared" si="62"/>
        <v>16404913.173101174</v>
      </c>
      <c r="AR284" s="799">
        <f t="shared" si="62"/>
        <v>16795013.282348815</v>
      </c>
      <c r="AS284" s="799">
        <f t="shared" si="62"/>
        <v>17203371.838033441</v>
      </c>
      <c r="AT284" s="799">
        <f t="shared" si="62"/>
        <v>17621659.33555321</v>
      </c>
      <c r="AU284" s="799">
        <f t="shared" si="62"/>
        <v>17621659.33555321</v>
      </c>
      <c r="AV284" s="799">
        <f t="shared" si="62"/>
        <v>17621659.33555321</v>
      </c>
      <c r="AW284" s="799">
        <f t="shared" si="62"/>
        <v>17621659.33555321</v>
      </c>
      <c r="AX284" s="798"/>
    </row>
    <row r="285" spans="1:50" ht="12.75" customHeight="1" x14ac:dyDescent="0.3">
      <c r="A285" s="782"/>
      <c r="B285" s="782" t="s">
        <v>166</v>
      </c>
      <c r="C285" s="798"/>
      <c r="D285" s="782"/>
      <c r="E285" s="798">
        <f>SUMIF('Venture Summary - Mthly'!$E$8:$EG$8,E$9,'Venture Summary - Mthly'!$E288:$EG288)</f>
        <v>0</v>
      </c>
      <c r="F285" s="798">
        <f>SUMIF('Venture Summary - Mthly'!$E$8:$EG$8,F$9,'Venture Summary - Mthly'!$E288:$EG288)</f>
        <v>0</v>
      </c>
      <c r="G285" s="798">
        <f>SUMIF('Venture Summary - Mthly'!$E$8:$EG$8,G$9,'Venture Summary - Mthly'!$E288:$EG288)</f>
        <v>0</v>
      </c>
      <c r="H285" s="798">
        <f>SUMIF('Venture Summary - Mthly'!$E$8:$EG$8,H$9,'Venture Summary - Mthly'!$E288:$EG288)</f>
        <v>0</v>
      </c>
      <c r="I285" s="798">
        <f>SUMIF('Venture Summary - Mthly'!$E$8:$EG$8,I$9,'Venture Summary - Mthly'!$E288:$EG288)</f>
        <v>0</v>
      </c>
      <c r="J285" s="798">
        <f>SUMIF('Venture Summary - Mthly'!$E$8:$EG$8,J$9,'Venture Summary - Mthly'!$E288:$EG288)</f>
        <v>0</v>
      </c>
      <c r="K285" s="798">
        <f>SUMIF('Venture Summary - Mthly'!$E$8:$EG$8,K$9,'Venture Summary - Mthly'!$E288:$EG288)</f>
        <v>0</v>
      </c>
      <c r="L285" s="798">
        <f>SUMIF('Venture Summary - Mthly'!$E$8:$EG$8,L$9,'Venture Summary - Mthly'!$E288:$EG288)</f>
        <v>0</v>
      </c>
      <c r="M285" s="798">
        <f>SUMIF('Venture Summary - Mthly'!$E$8:$EG$8,M$9,'Venture Summary - Mthly'!$E288:$EG288)</f>
        <v>0</v>
      </c>
      <c r="N285" s="798">
        <f>SUMIF('Venture Summary - Mthly'!$E$8:$EG$8,N$9,'Venture Summary - Mthly'!$E288:$EG288)</f>
        <v>0</v>
      </c>
      <c r="O285" s="798">
        <f>SUMIF('Venture Summary - Mthly'!$E$8:$EG$8,O$9,'Venture Summary - Mthly'!$E288:$EG288)</f>
        <v>0</v>
      </c>
      <c r="P285" s="798">
        <f>SUMIF('Venture Summary - Mthly'!$E$8:$EG$8,P$9,'Venture Summary - Mthly'!$E288:$EG288)</f>
        <v>-495108.53396059613</v>
      </c>
      <c r="Q285" s="798">
        <f>SUMIF('Venture Summary - Mthly'!$E$8:$EG$8,Q$9,'Venture Summary - Mthly'!$E288:$EG288)</f>
        <v>-1140061.9123544469</v>
      </c>
      <c r="R285" s="798">
        <f>SUMIF('Venture Summary - Mthly'!$E$8:$EG$8,R$9,'Venture Summary - Mthly'!$E288:$EG288)</f>
        <v>-1139837.2258649103</v>
      </c>
      <c r="S285" s="798">
        <f>SUMIF('Venture Summary - Mthly'!$E$8:$EG$8,S$9,'Venture Summary - Mthly'!$E288:$EG288)</f>
        <v>-1139080.646879537</v>
      </c>
      <c r="T285" s="798">
        <f>SUMIF('Venture Summary - Mthly'!$E$8:$EG$8,T$9,'Venture Summary - Mthly'!$E288:$EG288)</f>
        <v>-1176424.7235584329</v>
      </c>
      <c r="U285" s="798">
        <f>SUMIF('Venture Summary - Mthly'!$E$8:$EG$8,U$9,'Venture Summary - Mthly'!$E288:$EG288)</f>
        <v>-1188728.8747953628</v>
      </c>
      <c r="V285" s="798">
        <f>SUMIF('Venture Summary - Mthly'!$E$8:$EG$8,V$9,'Venture Summary - Mthly'!$E288:$EG288)</f>
        <v>-1187842.9329932104</v>
      </c>
      <c r="W285" s="798">
        <f>SUMIF('Venture Summary - Mthly'!$E$8:$EG$8,W$9,'Venture Summary - Mthly'!$E288:$EG288)</f>
        <v>-1199852.7711509783</v>
      </c>
      <c r="X285" s="798">
        <f>SUMIF('Venture Summary - Mthly'!$E$8:$EG$8,X$9,'Venture Summary - Mthly'!$E288:$EG288)</f>
        <v>-1225391.9844147521</v>
      </c>
      <c r="Y285" s="798">
        <f>SUMIF('Venture Summary - Mthly'!$E$8:$EG$8,Y$9,'Venture Summary - Mthly'!$E288:$EG288)</f>
        <v>-1237939.6224984617</v>
      </c>
      <c r="Z285" s="798">
        <f>SUMIF('Venture Summary - Mthly'!$E$8:$EG$8,Z$9,'Venture Summary - Mthly'!$E288:$EG288)</f>
        <v>-1236790.1180617411</v>
      </c>
      <c r="AA285" s="798">
        <f>SUMIF('Venture Summary - Mthly'!$E$8:$EG$8,AA$9,'Venture Summary - Mthly'!$E288:$EG288)</f>
        <v>-1235190.9590485205</v>
      </c>
      <c r="AB285" s="798">
        <f>SUMIF('Venture Summary - Mthly'!$E$8:$EG$8,AB$9,'Venture Summary - Mthly'!$E288:$EG288)</f>
        <v>-1274888.7880007445</v>
      </c>
      <c r="AC285" s="798">
        <f>SUMIF('Venture Summary - Mthly'!$E$8:$EG$8,AC$9,'Venture Summary - Mthly'!$E288:$EG288)</f>
        <v>-1287475.5114938729</v>
      </c>
      <c r="AD285" s="798">
        <f>SUMIF('Venture Summary - Mthly'!$E$8:$EG$8,AD$9,'Venture Summary - Mthly'!$E288:$EG288)</f>
        <v>-1285756.472822635</v>
      </c>
      <c r="AE285" s="798">
        <f>SUMIF('Venture Summary - Mthly'!$E$8:$EG$8,AE$9,'Venture Summary - Mthly'!$E288:$EG288)</f>
        <v>-1283540.1839941756</v>
      </c>
      <c r="AF285" s="798">
        <f>SUMIF('Venture Summary - Mthly'!$E$8:$EG$8,AF$9,'Venture Summary - Mthly'!$E288:$EG288)</f>
        <v>-1324183.6502750502</v>
      </c>
      <c r="AG285" s="798">
        <f>SUMIF('Venture Summary - Mthly'!$E$8:$EG$8,AG$9,'Venture Summary - Mthly'!$E288:$EG288)</f>
        <v>-1336630.1995848222</v>
      </c>
      <c r="AH285" s="798">
        <f>SUMIF('Venture Summary - Mthly'!$E$8:$EG$8,AH$9,'Venture Summary - Mthly'!$E288:$EG288)</f>
        <v>-1334210.2482462013</v>
      </c>
      <c r="AI285" s="798">
        <f>SUMIF('Venture Summary - Mthly'!$E$8:$EG$8,AI$9,'Venture Summary - Mthly'!$E288:$EG288)</f>
        <v>-1331269.8351317591</v>
      </c>
      <c r="AJ285" s="798">
        <f>SUMIF('Venture Summary - Mthly'!$E$8:$EG$8,AJ$9,'Venture Summary - Mthly'!$E288:$EG288)</f>
        <v>-1372740.5120184598</v>
      </c>
      <c r="AK285" s="798">
        <f>SUMIF('Venture Summary - Mthly'!$E$8:$EG$8,AK$9,'Venture Summary - Mthly'!$E288:$EG288)</f>
        <v>-1384950.5291167819</v>
      </c>
      <c r="AL285" s="798">
        <f>SUMIF('Venture Summary - Mthly'!$E$8:$EG$8,AL$9,'Venture Summary - Mthly'!$E288:$EG288)</f>
        <v>350111.17303051922</v>
      </c>
      <c r="AM285" s="798">
        <f>SUMIF('Venture Summary - Mthly'!$E$8:$EG$8,AM$9,'Venture Summary - Mthly'!$E288:$EG288)</f>
        <v>358530.23904516292</v>
      </c>
      <c r="AN285" s="798">
        <f>SUMIF('Venture Summary - Mthly'!$E$8:$EG$8,AN$9,'Venture Summary - Mthly'!$E288:$EG288)</f>
        <v>371235.05062238569</v>
      </c>
      <c r="AO285" s="798">
        <f>SUMIF('Venture Summary - Mthly'!$E$8:$EG$8,AO$9,'Venture Summary - Mthly'!$E288:$EG288)</f>
        <v>380261.36138160329</v>
      </c>
      <c r="AP285" s="798">
        <f>SUMIF('Venture Summary - Mthly'!$E$8:$EG$8,AP$9,'Venture Summary - Mthly'!$E288:$EG288)</f>
        <v>385222.86805294448</v>
      </c>
      <c r="AQ285" s="798">
        <f>SUMIF('Venture Summary - Mthly'!$E$8:$EG$8,AQ$9,'Venture Summary - Mthly'!$E288:$EG288)</f>
        <v>390100.10924764205</v>
      </c>
      <c r="AR285" s="798">
        <f>SUMIF('Venture Summary - Mthly'!$E$8:$EG$8,AR$9,'Venture Summary - Mthly'!$E288:$EG288)</f>
        <v>408358.55568462791</v>
      </c>
      <c r="AS285" s="798">
        <f>SUMIF('Venture Summary - Mthly'!$E$8:$EG$8,AS$9,'Venture Summary - Mthly'!$E288:$EG288)</f>
        <v>418287.49751976732</v>
      </c>
      <c r="AT285" s="798">
        <f>SUMIF('Venture Summary - Mthly'!$E$8:$EG$8,AT$9,'Venture Summary - Mthly'!$E288:$EG288)</f>
        <v>0</v>
      </c>
      <c r="AU285" s="798">
        <f>SUMIF('Venture Summary - Mthly'!$E$8:$EG$8,AU$9,'Venture Summary - Mthly'!$E288:$EG288)</f>
        <v>0</v>
      </c>
      <c r="AV285" s="798">
        <f>SUMIF('Venture Summary - Mthly'!$E$8:$EG$8,AV$9,'Venture Summary - Mthly'!$E288:$EG288)</f>
        <v>0</v>
      </c>
      <c r="AW285" s="798">
        <f>SUMIF('Venture Summary - Mthly'!$E$8:$EG$8,AW$9,'Venture Summary - Mthly'!$E288:$EG288)</f>
        <v>0</v>
      </c>
      <c r="AX285" s="798"/>
    </row>
    <row r="286" spans="1:50" ht="12.75" customHeight="1" x14ac:dyDescent="0.3">
      <c r="A286" s="782"/>
      <c r="B286" s="782" t="s">
        <v>157</v>
      </c>
      <c r="C286" s="798"/>
      <c r="D286" s="782"/>
      <c r="E286" s="798">
        <f>SUMIF('Venture Summary - Mthly'!$E$8:$EG$8,E$9,'Venture Summary - Mthly'!$E289:$EG289)</f>
        <v>0</v>
      </c>
      <c r="F286" s="798">
        <f>SUMIF('Venture Summary - Mthly'!$E$8:$EG$8,F$9,'Venture Summary - Mthly'!$E289:$EG289)</f>
        <v>0</v>
      </c>
      <c r="G286" s="798">
        <f>SUMIF('Venture Summary - Mthly'!$E$8:$EG$8,G$9,'Venture Summary - Mthly'!$E289:$EG289)</f>
        <v>0</v>
      </c>
      <c r="H286" s="798">
        <f>SUMIF('Venture Summary - Mthly'!$E$8:$EG$8,H$9,'Venture Summary - Mthly'!$E289:$EG289)</f>
        <v>0</v>
      </c>
      <c r="I286" s="798">
        <f>SUMIF('Venture Summary - Mthly'!$E$8:$EG$8,I$9,'Venture Summary - Mthly'!$E289:$EG289)</f>
        <v>0</v>
      </c>
      <c r="J286" s="798">
        <f>SUMIF('Venture Summary - Mthly'!$E$8:$EG$8,J$9,'Venture Summary - Mthly'!$E289:$EG289)</f>
        <v>0</v>
      </c>
      <c r="K286" s="798">
        <f>SUMIF('Venture Summary - Mthly'!$E$8:$EG$8,K$9,'Venture Summary - Mthly'!$E289:$EG289)</f>
        <v>0</v>
      </c>
      <c r="L286" s="798">
        <f>SUMIF('Venture Summary - Mthly'!$E$8:$EG$8,L$9,'Venture Summary - Mthly'!$E289:$EG289)</f>
        <v>0</v>
      </c>
      <c r="M286" s="798">
        <f>SUMIF('Venture Summary - Mthly'!$E$8:$EG$8,M$9,'Venture Summary - Mthly'!$E289:$EG289)</f>
        <v>0</v>
      </c>
      <c r="N286" s="798">
        <f>SUMIF('Venture Summary - Mthly'!$E$8:$EG$8,N$9,'Venture Summary - Mthly'!$E289:$EG289)</f>
        <v>0</v>
      </c>
      <c r="O286" s="798">
        <f>SUMIF('Venture Summary - Mthly'!$E$8:$EG$8,O$9,'Venture Summary - Mthly'!$E289:$EG289)</f>
        <v>0</v>
      </c>
      <c r="P286" s="798">
        <f>SUMIF('Venture Summary - Mthly'!$E$8:$EG$8,P$9,'Venture Summary - Mthly'!$E289:$EG289)</f>
        <v>-60916274.722085506</v>
      </c>
      <c r="Q286" s="798">
        <f>SUMIF('Venture Summary - Mthly'!$E$8:$EG$8,Q$9,'Venture Summary - Mthly'!$E289:$EG289)</f>
        <v>0</v>
      </c>
      <c r="R286" s="798">
        <f>SUMIF('Venture Summary - Mthly'!$E$8:$EG$8,R$9,'Venture Summary - Mthly'!$E289:$EG289)</f>
        <v>0</v>
      </c>
      <c r="S286" s="798">
        <f>SUMIF('Venture Summary - Mthly'!$E$8:$EG$8,S$9,'Venture Summary - Mthly'!$E289:$EG289)</f>
        <v>0</v>
      </c>
      <c r="T286" s="798">
        <f>SUMIF('Venture Summary - Mthly'!$E$8:$EG$8,T$9,'Venture Summary - Mthly'!$E289:$EG289)</f>
        <v>0</v>
      </c>
      <c r="U286" s="798">
        <f>SUMIF('Venture Summary - Mthly'!$E$8:$EG$8,U$9,'Venture Summary - Mthly'!$E289:$EG289)</f>
        <v>0</v>
      </c>
      <c r="V286" s="798">
        <f>SUMIF('Venture Summary - Mthly'!$E$8:$EG$8,V$9,'Venture Summary - Mthly'!$E289:$EG289)</f>
        <v>0</v>
      </c>
      <c r="W286" s="798">
        <f>SUMIF('Venture Summary - Mthly'!$E$8:$EG$8,W$9,'Venture Summary - Mthly'!$E289:$EG289)</f>
        <v>0</v>
      </c>
      <c r="X286" s="798">
        <f>SUMIF('Venture Summary - Mthly'!$E$8:$EG$8,X$9,'Venture Summary - Mthly'!$E289:$EG289)</f>
        <v>0</v>
      </c>
      <c r="Y286" s="798">
        <f>SUMIF('Venture Summary - Mthly'!$E$8:$EG$8,Y$9,'Venture Summary - Mthly'!$E289:$EG289)</f>
        <v>0</v>
      </c>
      <c r="Z286" s="798">
        <f>SUMIF('Venture Summary - Mthly'!$E$8:$EG$8,Z$9,'Venture Summary - Mthly'!$E289:$EG289)</f>
        <v>0</v>
      </c>
      <c r="AA286" s="798">
        <f>SUMIF('Venture Summary - Mthly'!$E$8:$EG$8,AA$9,'Venture Summary - Mthly'!$E289:$EG289)</f>
        <v>0</v>
      </c>
      <c r="AB286" s="798">
        <f>SUMIF('Venture Summary - Mthly'!$E$8:$EG$8,AB$9,'Venture Summary - Mthly'!$E289:$EG289)</f>
        <v>0</v>
      </c>
      <c r="AC286" s="798">
        <f>SUMIF('Venture Summary - Mthly'!$E$8:$EG$8,AC$9,'Venture Summary - Mthly'!$E289:$EG289)</f>
        <v>0</v>
      </c>
      <c r="AD286" s="798">
        <f>SUMIF('Venture Summary - Mthly'!$E$8:$EG$8,AD$9,'Venture Summary - Mthly'!$E289:$EG289)</f>
        <v>0</v>
      </c>
      <c r="AE286" s="798">
        <f>SUMIF('Venture Summary - Mthly'!$E$8:$EG$8,AE$9,'Venture Summary - Mthly'!$E289:$EG289)</f>
        <v>0</v>
      </c>
      <c r="AF286" s="798">
        <f>SUMIF('Venture Summary - Mthly'!$E$8:$EG$8,AF$9,'Venture Summary - Mthly'!$E289:$EG289)</f>
        <v>0</v>
      </c>
      <c r="AG286" s="798">
        <f>SUMIF('Venture Summary - Mthly'!$E$8:$EG$8,AG$9,'Venture Summary - Mthly'!$E289:$EG289)</f>
        <v>0</v>
      </c>
      <c r="AH286" s="798">
        <f>SUMIF('Venture Summary - Mthly'!$E$8:$EG$8,AH$9,'Venture Summary - Mthly'!$E289:$EG289)</f>
        <v>0</v>
      </c>
      <c r="AI286" s="798">
        <f>SUMIF('Venture Summary - Mthly'!$E$8:$EG$8,AI$9,'Venture Summary - Mthly'!$E289:$EG289)</f>
        <v>0</v>
      </c>
      <c r="AJ286" s="798">
        <f>SUMIF('Venture Summary - Mthly'!$E$8:$EG$8,AJ$9,'Venture Summary - Mthly'!$E289:$EG289)</f>
        <v>0</v>
      </c>
      <c r="AK286" s="798">
        <f>SUMIF('Venture Summary - Mthly'!$E$8:$EG$8,AK$9,'Venture Summary - Mthly'!$E289:$EG289)</f>
        <v>0</v>
      </c>
      <c r="AL286" s="798">
        <f>SUMIF('Venture Summary - Mthly'!$E$8:$EG$8,AL$9,'Venture Summary - Mthly'!$E289:$EG289)</f>
        <v>0</v>
      </c>
      <c r="AM286" s="798">
        <f>SUMIF('Venture Summary - Mthly'!$E$8:$EG$8,AM$9,'Venture Summary - Mthly'!$E289:$EG289)</f>
        <v>0</v>
      </c>
      <c r="AN286" s="798">
        <f>SUMIF('Venture Summary - Mthly'!$E$8:$EG$8,AN$9,'Venture Summary - Mthly'!$E289:$EG289)</f>
        <v>0</v>
      </c>
      <c r="AO286" s="798">
        <f>SUMIF('Venture Summary - Mthly'!$E$8:$EG$8,AO$9,'Venture Summary - Mthly'!$E289:$EG289)</f>
        <v>0</v>
      </c>
      <c r="AP286" s="798">
        <f>SUMIF('Venture Summary - Mthly'!$E$8:$EG$8,AP$9,'Venture Summary - Mthly'!$E289:$EG289)</f>
        <v>0</v>
      </c>
      <c r="AQ286" s="798">
        <f>SUMIF('Venture Summary - Mthly'!$E$8:$EG$8,AQ$9,'Venture Summary - Mthly'!$E289:$EG289)</f>
        <v>0</v>
      </c>
      <c r="AR286" s="798">
        <f>SUMIF('Venture Summary - Mthly'!$E$8:$EG$8,AR$9,'Venture Summary - Mthly'!$E289:$EG289)</f>
        <v>0</v>
      </c>
      <c r="AS286" s="798">
        <f>SUMIF('Venture Summary - Mthly'!$E$8:$EG$8,AS$9,'Venture Summary - Mthly'!$E289:$EG289)</f>
        <v>0</v>
      </c>
      <c r="AT286" s="798">
        <f>SUMIF('Venture Summary - Mthly'!$E$8:$EG$8,AT$9,'Venture Summary - Mthly'!$E289:$EG289)</f>
        <v>0</v>
      </c>
      <c r="AU286" s="798">
        <f>SUMIF('Venture Summary - Mthly'!$E$8:$EG$8,AU$9,'Venture Summary - Mthly'!$E289:$EG289)</f>
        <v>0</v>
      </c>
      <c r="AV286" s="798">
        <f>SUMIF('Venture Summary - Mthly'!$E$8:$EG$8,AV$9,'Venture Summary - Mthly'!$E289:$EG289)</f>
        <v>0</v>
      </c>
      <c r="AW286" s="798">
        <f>SUMIF('Venture Summary - Mthly'!$E$8:$EG$8,AW$9,'Venture Summary - Mthly'!$E289:$EG289)</f>
        <v>0</v>
      </c>
      <c r="AX286" s="798"/>
    </row>
    <row r="287" spans="1:50" ht="12.75" customHeight="1" x14ac:dyDescent="0.3">
      <c r="A287" s="782"/>
      <c r="B287" s="781" t="s">
        <v>158</v>
      </c>
      <c r="C287" s="799"/>
      <c r="D287" s="781"/>
      <c r="E287" s="799">
        <f>SUMIF('Venture Summary - Mthly'!$E$8:$EG$8,E$9,'Venture Summary - Mthly'!$E290:$EG290)</f>
        <v>0</v>
      </c>
      <c r="F287" s="799">
        <f>SUMIF('Venture Summary - Mthly'!$E$8:$EG$8,F$9,'Venture Summary - Mthly'!$E290:$EG290)</f>
        <v>0</v>
      </c>
      <c r="G287" s="799">
        <f>SUMIF('Venture Summary - Mthly'!$E$8:$EG$8,G$9,'Venture Summary - Mthly'!$E290:$EG290)</f>
        <v>0</v>
      </c>
      <c r="H287" s="799">
        <f>SUMIF('Venture Summary - Mthly'!$E$8:$EG$8,H$9,'Venture Summary - Mthly'!$E290:$EG290)</f>
        <v>0</v>
      </c>
      <c r="I287" s="799">
        <f>SUMIF('Venture Summary - Mthly'!$E$8:$EG$8,I$9,'Venture Summary - Mthly'!$E290:$EG290)</f>
        <v>0</v>
      </c>
      <c r="J287" s="799">
        <f>SUMIF('Venture Summary - Mthly'!$E$8:$EG$8,J$9,'Venture Summary - Mthly'!$E290:$EG290)</f>
        <v>0</v>
      </c>
      <c r="K287" s="799">
        <f>SUMIF('Venture Summary - Mthly'!$E$8:$EG$8,K$9,'Venture Summary - Mthly'!$E290:$EG290)</f>
        <v>0</v>
      </c>
      <c r="L287" s="799">
        <f>SUMIF('Venture Summary - Mthly'!$E$8:$EG$8,L$9,'Venture Summary - Mthly'!$E290:$EG290)</f>
        <v>0</v>
      </c>
      <c r="M287" s="799">
        <f>SUMIF('Venture Summary - Mthly'!$E$8:$EG$8,M$9,'Venture Summary - Mthly'!$E290:$EG290)</f>
        <v>0</v>
      </c>
      <c r="N287" s="799">
        <f>SUMIF('Venture Summary - Mthly'!$E$8:$EG$8,N$9,'Venture Summary - Mthly'!$E290:$EG290)</f>
        <v>0</v>
      </c>
      <c r="O287" s="799">
        <f>SUMIF('Venture Summary - Mthly'!$E$8:$EG$8,O$9,'Venture Summary - Mthly'!$E290:$EG290)</f>
        <v>0</v>
      </c>
      <c r="P287" s="799">
        <f>SUMIF('Venture Summary - Mthly'!$E$8:$EG$8,P$9,'Venture Summary - Mthly'!$E290:$EG290)</f>
        <v>14315530.3242827</v>
      </c>
      <c r="Q287" s="799">
        <f>SUMIF('Venture Summary - Mthly'!$E$8:$EG$8,Q$9,'Venture Summary - Mthly'!$E290:$EG290)</f>
        <v>623346.85292693274</v>
      </c>
      <c r="R287" s="799">
        <f>SUMIF('Venture Summary - Mthly'!$E$8:$EG$8,R$9,'Venture Summary - Mthly'!$E290:$EG290)</f>
        <v>645086.61329542077</v>
      </c>
      <c r="S287" s="799">
        <f>SUMIF('Venture Summary - Mthly'!$E$8:$EG$8,S$9,'Venture Summary - Mthly'!$E290:$EG290)</f>
        <v>644215.54607378726</v>
      </c>
      <c r="T287" s="799">
        <f>SUMIF('Venture Summary - Mthly'!$E$8:$EG$8,T$9,'Venture Summary - Mthly'!$E290:$EG290)</f>
        <v>661902.09947439213</v>
      </c>
      <c r="U287" s="799">
        <f>SUMIF('Venture Summary - Mthly'!$E$8:$EG$8,U$9,'Venture Summary - Mthly'!$E290:$EG290)</f>
        <v>679519.10289103352</v>
      </c>
      <c r="V287" s="799">
        <f>SUMIF('Venture Summary - Mthly'!$E$8:$EG$8,V$9,'Venture Summary - Mthly'!$E290:$EG290)</f>
        <v>694204.81009246409</v>
      </c>
      <c r="W287" s="799">
        <f>SUMIF('Venture Summary - Mthly'!$E$8:$EG$8,W$9,'Venture Summary - Mthly'!$E290:$EG290)</f>
        <v>689738.6161152703</v>
      </c>
      <c r="X287" s="799">
        <f>SUMIF('Venture Summary - Mthly'!$E$8:$EG$8,X$9,'Venture Summary - Mthly'!$E290:$EG290)</f>
        <v>701794.01382499537</v>
      </c>
      <c r="Y287" s="799">
        <f>SUMIF('Venture Summary - Mthly'!$E$8:$EG$8,Y$9,'Venture Summary - Mthly'!$E290:$EG290)</f>
        <v>717065.29189360049</v>
      </c>
      <c r="Z287" s="799">
        <f>SUMIF('Venture Summary - Mthly'!$E$8:$EG$8,Z$9,'Venture Summary - Mthly'!$E290:$EG290)</f>
        <v>733551.69515324559</v>
      </c>
      <c r="AA287" s="799">
        <f>SUMIF('Venture Summary - Mthly'!$E$8:$EG$8,AA$9,'Venture Summary - Mthly'!$E290:$EG290)</f>
        <v>732080.37063951511</v>
      </c>
      <c r="AB287" s="799">
        <f>SUMIF('Venture Summary - Mthly'!$E$8:$EG$8,AB$9,'Venture Summary - Mthly'!$E290:$EG290)</f>
        <v>748271.4101425925</v>
      </c>
      <c r="AC287" s="799">
        <f>SUMIF('Venture Summary - Mthly'!$E$8:$EG$8,AC$9,'Venture Summary - Mthly'!$E290:$EG290)</f>
        <v>767018.32850041986</v>
      </c>
      <c r="AD287" s="799">
        <f>SUMIF('Venture Summary - Mthly'!$E$8:$EG$8,AD$9,'Venture Summary - Mthly'!$E290:$EG290)</f>
        <v>785743.49356206995</v>
      </c>
      <c r="AE287" s="799">
        <f>SUMIF('Venture Summary - Mthly'!$E$8:$EG$8,AE$9,'Venture Summary - Mthly'!$E290:$EG290)</f>
        <v>785270.30079527816</v>
      </c>
      <c r="AF287" s="799">
        <f>SUMIF('Venture Summary - Mthly'!$E$8:$EG$8,AF$9,'Venture Summary - Mthly'!$E290:$EG290)</f>
        <v>802729.72625170508</v>
      </c>
      <c r="AG287" s="799">
        <f>SUMIF('Venture Summary - Mthly'!$E$8:$EG$8,AG$9,'Venture Summary - Mthly'!$E290:$EG290)</f>
        <v>822662.61418112239</v>
      </c>
      <c r="AH287" s="799">
        <f>SUMIF('Venture Summary - Mthly'!$E$8:$EG$8,AH$9,'Venture Summary - Mthly'!$E290:$EG290)</f>
        <v>842492.85555103875</v>
      </c>
      <c r="AI287" s="799">
        <f>SUMIF('Venture Summary - Mthly'!$E$8:$EG$8,AI$9,'Venture Summary - Mthly'!$E290:$EG290)</f>
        <v>842283.51895287074</v>
      </c>
      <c r="AJ287" s="799">
        <f>SUMIF('Venture Summary - Mthly'!$E$8:$EG$8,AJ$9,'Venture Summary - Mthly'!$E290:$EG290)</f>
        <v>860476.76641253906</v>
      </c>
      <c r="AK287" s="799">
        <f>SUMIF('Venture Summary - Mthly'!$E$8:$EG$8,AK$9,'Venture Summary - Mthly'!$E290:$EG290)</f>
        <v>73198739.088306502</v>
      </c>
      <c r="AL287" s="799">
        <f>SUMIF('Venture Summary - Mthly'!$E$8:$EG$8,AL$9,'Venture Summary - Mthly'!$E290:$EG290)</f>
        <v>0</v>
      </c>
      <c r="AM287" s="799">
        <f>SUMIF('Venture Summary - Mthly'!$E$8:$EG$8,AM$9,'Venture Summary - Mthly'!$E290:$EG290)</f>
        <v>0</v>
      </c>
      <c r="AN287" s="799">
        <f>SUMIF('Venture Summary - Mthly'!$E$8:$EG$8,AN$9,'Venture Summary - Mthly'!$E290:$EG290)</f>
        <v>0</v>
      </c>
      <c r="AO287" s="799">
        <f>SUMIF('Venture Summary - Mthly'!$E$8:$EG$8,AO$9,'Venture Summary - Mthly'!$E290:$EG290)</f>
        <v>0</v>
      </c>
      <c r="AP287" s="799">
        <f>SUMIF('Venture Summary - Mthly'!$E$8:$EG$8,AP$9,'Venture Summary - Mthly'!$E290:$EG290)</f>
        <v>0</v>
      </c>
      <c r="AQ287" s="799">
        <f>SUMIF('Venture Summary - Mthly'!$E$8:$EG$8,AQ$9,'Venture Summary - Mthly'!$E290:$EG290)</f>
        <v>0</v>
      </c>
      <c r="AR287" s="799">
        <f>SUMIF('Venture Summary - Mthly'!$E$8:$EG$8,AR$9,'Venture Summary - Mthly'!$E290:$EG290)</f>
        <v>0</v>
      </c>
      <c r="AS287" s="799">
        <f>SUMIF('Venture Summary - Mthly'!$E$8:$EG$8,AS$9,'Venture Summary - Mthly'!$E290:$EG290)</f>
        <v>0</v>
      </c>
      <c r="AT287" s="799">
        <f>SUMIF('Venture Summary - Mthly'!$E$8:$EG$8,AT$9,'Venture Summary - Mthly'!$E290:$EG290)</f>
        <v>0</v>
      </c>
      <c r="AU287" s="799">
        <f>SUMIF('Venture Summary - Mthly'!$E$8:$EG$8,AU$9,'Venture Summary - Mthly'!$E290:$EG290)</f>
        <v>0</v>
      </c>
      <c r="AV287" s="799">
        <f>SUMIF('Venture Summary - Mthly'!$E$8:$EG$8,AV$9,'Venture Summary - Mthly'!$E290:$EG290)</f>
        <v>0</v>
      </c>
      <c r="AW287" s="799">
        <f>SUMIF('Venture Summary - Mthly'!$E$8:$EG$8,AW$9,'Venture Summary - Mthly'!$E290:$EG290)</f>
        <v>0</v>
      </c>
      <c r="AX287" s="798"/>
    </row>
    <row r="288" spans="1:50" ht="12.75" customHeight="1" x14ac:dyDescent="0.3">
      <c r="A288" s="782"/>
      <c r="B288" s="782" t="s">
        <v>159</v>
      </c>
      <c r="C288" s="798"/>
      <c r="D288" s="782"/>
      <c r="E288" s="798">
        <f t="shared" ref="E288:AJ288" si="63">SUM(E284:E287)</f>
        <v>0</v>
      </c>
      <c r="F288" s="798">
        <f t="shared" si="63"/>
        <v>0</v>
      </c>
      <c r="G288" s="798">
        <f t="shared" si="63"/>
        <v>0</v>
      </c>
      <c r="H288" s="798">
        <f>SUM(H284:H287)</f>
        <v>0</v>
      </c>
      <c r="I288" s="798">
        <f>SUM(I284:I287)</f>
        <v>0</v>
      </c>
      <c r="J288" s="798">
        <f>SUM(J284:J287)</f>
        <v>0</v>
      </c>
      <c r="K288" s="798">
        <f t="shared" si="63"/>
        <v>0</v>
      </c>
      <c r="L288" s="798">
        <f t="shared" si="63"/>
        <v>0</v>
      </c>
      <c r="M288" s="798">
        <f t="shared" si="63"/>
        <v>0</v>
      </c>
      <c r="N288" s="798">
        <f t="shared" si="63"/>
        <v>0</v>
      </c>
      <c r="O288" s="798">
        <f t="shared" si="63"/>
        <v>0</v>
      </c>
      <c r="P288" s="798">
        <f t="shared" si="63"/>
        <v>-47095852.931763403</v>
      </c>
      <c r="Q288" s="798">
        <f t="shared" si="63"/>
        <v>-47612567.991190918</v>
      </c>
      <c r="R288" s="798">
        <f t="shared" si="63"/>
        <v>-48107318.603760406</v>
      </c>
      <c r="S288" s="798">
        <f t="shared" si="63"/>
        <v>-48602183.704566158</v>
      </c>
      <c r="T288" s="798">
        <f t="shared" si="63"/>
        <v>-49116706.328650199</v>
      </c>
      <c r="U288" s="798">
        <f t="shared" si="63"/>
        <v>-49625916.100554526</v>
      </c>
      <c r="V288" s="798">
        <f t="shared" si="63"/>
        <v>-50119554.223455273</v>
      </c>
      <c r="W288" s="798">
        <f t="shared" si="63"/>
        <v>-50629668.378490977</v>
      </c>
      <c r="X288" s="798">
        <f t="shared" si="63"/>
        <v>-51153266.349080734</v>
      </c>
      <c r="Y288" s="798">
        <f t="shared" si="63"/>
        <v>-51674140.679685593</v>
      </c>
      <c r="Z288" s="798">
        <f t="shared" si="63"/>
        <v>-52177379.102594092</v>
      </c>
      <c r="AA288" s="798">
        <f t="shared" si="63"/>
        <v>-52680489.691003092</v>
      </c>
      <c r="AB288" s="798">
        <f t="shared" si="63"/>
        <v>-53207107.068861246</v>
      </c>
      <c r="AC288" s="798">
        <f t="shared" si="63"/>
        <v>-53727564.251854703</v>
      </c>
      <c r="AD288" s="798">
        <f t="shared" si="63"/>
        <v>-54227577.231115267</v>
      </c>
      <c r="AE288" s="798">
        <f t="shared" si="63"/>
        <v>-54725847.114314161</v>
      </c>
      <c r="AF288" s="798">
        <f t="shared" si="63"/>
        <v>-55247301.038337506</v>
      </c>
      <c r="AG288" s="798">
        <f t="shared" si="63"/>
        <v>-55761268.623741202</v>
      </c>
      <c r="AH288" s="798">
        <f t="shared" si="63"/>
        <v>-56252986.016436361</v>
      </c>
      <c r="AI288" s="798">
        <f t="shared" si="63"/>
        <v>-56741972.332615249</v>
      </c>
      <c r="AJ288" s="798">
        <f t="shared" si="63"/>
        <v>-57254236.078221165</v>
      </c>
      <c r="AK288" s="798">
        <f t="shared" ref="AK288:AW288" si="64">SUM(AK284:AK287)</f>
        <v>14559552.480968557</v>
      </c>
      <c r="AL288" s="798">
        <f t="shared" si="64"/>
        <v>14909663.653999077</v>
      </c>
      <c r="AM288" s="798">
        <f t="shared" si="64"/>
        <v>15268193.893044241</v>
      </c>
      <c r="AN288" s="798">
        <f t="shared" si="64"/>
        <v>15639428.943666626</v>
      </c>
      <c r="AO288" s="798">
        <f t="shared" si="64"/>
        <v>16019690.305048229</v>
      </c>
      <c r="AP288" s="798">
        <f t="shared" si="64"/>
        <v>16404913.173101174</v>
      </c>
      <c r="AQ288" s="798">
        <f t="shared" si="64"/>
        <v>16795013.282348815</v>
      </c>
      <c r="AR288" s="798">
        <f t="shared" si="64"/>
        <v>17203371.838033441</v>
      </c>
      <c r="AS288" s="798">
        <f t="shared" si="64"/>
        <v>17621659.33555321</v>
      </c>
      <c r="AT288" s="798">
        <f t="shared" si="64"/>
        <v>17621659.33555321</v>
      </c>
      <c r="AU288" s="798">
        <f t="shared" si="64"/>
        <v>17621659.33555321</v>
      </c>
      <c r="AV288" s="798">
        <f t="shared" si="64"/>
        <v>17621659.33555321</v>
      </c>
      <c r="AW288" s="798">
        <f t="shared" si="64"/>
        <v>17621659.33555321</v>
      </c>
      <c r="AX288" s="798"/>
    </row>
    <row r="289" spans="1:50" ht="12.75" customHeight="1" x14ac:dyDescent="0.3">
      <c r="A289" s="782"/>
      <c r="B289" s="782"/>
      <c r="C289" s="798"/>
      <c r="D289" s="782"/>
      <c r="E289" s="798"/>
      <c r="F289" s="798"/>
      <c r="G289" s="798"/>
      <c r="H289" s="798"/>
      <c r="I289" s="798"/>
      <c r="J289" s="798"/>
      <c r="K289" s="798"/>
      <c r="L289" s="798"/>
      <c r="M289" s="798"/>
      <c r="N289" s="798"/>
      <c r="O289" s="798"/>
      <c r="P289" s="798"/>
      <c r="Q289" s="798"/>
      <c r="R289" s="798"/>
      <c r="S289" s="798"/>
      <c r="T289" s="798"/>
      <c r="U289" s="798"/>
      <c r="V289" s="798"/>
      <c r="W289" s="798"/>
      <c r="X289" s="798"/>
      <c r="Y289" s="798"/>
      <c r="Z289" s="798"/>
      <c r="AA289" s="798"/>
      <c r="AB289" s="798"/>
      <c r="AC289" s="798"/>
      <c r="AD289" s="798"/>
      <c r="AE289" s="798"/>
      <c r="AF289" s="798"/>
      <c r="AG289" s="798"/>
      <c r="AH289" s="798"/>
      <c r="AI289" s="798"/>
      <c r="AJ289" s="798"/>
      <c r="AK289" s="798"/>
      <c r="AL289" s="798"/>
      <c r="AM289" s="798"/>
      <c r="AN289" s="798"/>
      <c r="AO289" s="798"/>
      <c r="AP289" s="798"/>
      <c r="AQ289" s="798"/>
      <c r="AR289" s="798"/>
      <c r="AS289" s="798"/>
      <c r="AT289" s="798"/>
      <c r="AU289" s="798"/>
      <c r="AV289" s="798"/>
      <c r="AW289" s="798"/>
      <c r="AX289" s="798"/>
    </row>
    <row r="290" spans="1:50" ht="12.75" customHeight="1" x14ac:dyDescent="0.3">
      <c r="A290" s="782"/>
      <c r="B290" s="781" t="s">
        <v>167</v>
      </c>
      <c r="C290" s="799"/>
      <c r="D290" s="781"/>
      <c r="E290" s="799">
        <f>SUMIF('Venture Summary - Mthly'!$E$8:$EG$8,E$9,'Venture Summary - Mthly'!$E293:$EG293)</f>
        <v>0</v>
      </c>
      <c r="F290" s="799">
        <f>SUMIF('Venture Summary - Mthly'!$E$8:$EG$8,F$9,'Venture Summary - Mthly'!$E293:$EG293)</f>
        <v>0</v>
      </c>
      <c r="G290" s="799">
        <f>SUMIF('Venture Summary - Mthly'!$E$8:$EG$8,G$9,'Venture Summary - Mthly'!$E293:$EG293)</f>
        <v>0</v>
      </c>
      <c r="H290" s="799">
        <f>SUMIF('Venture Summary - Mthly'!$E$8:$EG$8,H$9,'Venture Summary - Mthly'!$E293:$EG293)</f>
        <v>0</v>
      </c>
      <c r="I290" s="799">
        <f>SUMIF('Venture Summary - Mthly'!$E$8:$EG$8,I$9,'Venture Summary - Mthly'!$E293:$EG293)</f>
        <v>0</v>
      </c>
      <c r="J290" s="799">
        <f>SUMIF('Venture Summary - Mthly'!$E$8:$EG$8,J$9,'Venture Summary - Mthly'!$E293:$EG293)</f>
        <v>0</v>
      </c>
      <c r="K290" s="799">
        <f>SUMIF('Venture Summary - Mthly'!$E$8:$EG$8,K$9,'Venture Summary - Mthly'!$E293:$EG293)</f>
        <v>0</v>
      </c>
      <c r="L290" s="799">
        <f>SUMIF('Venture Summary - Mthly'!$E$8:$EG$8,L$9,'Venture Summary - Mthly'!$E293:$EG293)</f>
        <v>0</v>
      </c>
      <c r="M290" s="799">
        <f>SUMIF('Venture Summary - Mthly'!$E$8:$EG$8,M$9,'Venture Summary - Mthly'!$E293:$EG293)</f>
        <v>0</v>
      </c>
      <c r="N290" s="799">
        <f>SUMIF('Venture Summary - Mthly'!$E$8:$EG$8,N$9,'Venture Summary - Mthly'!$E293:$EG293)</f>
        <v>0</v>
      </c>
      <c r="O290" s="799">
        <f>SUMIF('Venture Summary - Mthly'!$E$8:$EG$8,O$9,'Venture Summary - Mthly'!$E293:$EG293)</f>
        <v>0</v>
      </c>
      <c r="P290" s="799">
        <f>SUMIF('Venture Summary - Mthly'!$E$8:$EG$8,P$9,'Venture Summary - Mthly'!$E293:$EG293)</f>
        <v>14315530.3242827</v>
      </c>
      <c r="Q290" s="799">
        <f>SUMIF('Venture Summary - Mthly'!$E$8:$EG$8,Q$9,'Venture Summary - Mthly'!$E293:$EG293)</f>
        <v>623346.85292693274</v>
      </c>
      <c r="R290" s="799">
        <f>SUMIF('Venture Summary - Mthly'!$E$8:$EG$8,R$9,'Venture Summary - Mthly'!$E293:$EG293)</f>
        <v>645086.61329542077</v>
      </c>
      <c r="S290" s="799">
        <f>SUMIF('Venture Summary - Mthly'!$E$8:$EG$8,S$9,'Venture Summary - Mthly'!$E293:$EG293)</f>
        <v>644215.54607378726</v>
      </c>
      <c r="T290" s="799">
        <f>SUMIF('Venture Summary - Mthly'!$E$8:$EG$8,T$9,'Venture Summary - Mthly'!$E293:$EG293)</f>
        <v>661902.09947439213</v>
      </c>
      <c r="U290" s="799">
        <f>SUMIF('Venture Summary - Mthly'!$E$8:$EG$8,U$9,'Venture Summary - Mthly'!$E293:$EG293)</f>
        <v>679519.10289103352</v>
      </c>
      <c r="V290" s="799">
        <f>SUMIF('Venture Summary - Mthly'!$E$8:$EG$8,V$9,'Venture Summary - Mthly'!$E293:$EG293)</f>
        <v>694204.81009246409</v>
      </c>
      <c r="W290" s="799">
        <f>SUMIF('Venture Summary - Mthly'!$E$8:$EG$8,W$9,'Venture Summary - Mthly'!$E293:$EG293)</f>
        <v>689738.6161152703</v>
      </c>
      <c r="X290" s="799">
        <f>SUMIF('Venture Summary - Mthly'!$E$8:$EG$8,X$9,'Venture Summary - Mthly'!$E293:$EG293)</f>
        <v>701794.01382499537</v>
      </c>
      <c r="Y290" s="799">
        <f>SUMIF('Venture Summary - Mthly'!$E$8:$EG$8,Y$9,'Venture Summary - Mthly'!$E293:$EG293)</f>
        <v>717065.29189360049</v>
      </c>
      <c r="Z290" s="799">
        <f>SUMIF('Venture Summary - Mthly'!$E$8:$EG$8,Z$9,'Venture Summary - Mthly'!$E293:$EG293)</f>
        <v>733551.69515324559</v>
      </c>
      <c r="AA290" s="799">
        <f>SUMIF('Venture Summary - Mthly'!$E$8:$EG$8,AA$9,'Venture Summary - Mthly'!$E293:$EG293)</f>
        <v>732080.37063951511</v>
      </c>
      <c r="AB290" s="799">
        <f>SUMIF('Venture Summary - Mthly'!$E$8:$EG$8,AB$9,'Venture Summary - Mthly'!$E293:$EG293)</f>
        <v>748271.4101425925</v>
      </c>
      <c r="AC290" s="799">
        <f>SUMIF('Venture Summary - Mthly'!$E$8:$EG$8,AC$9,'Venture Summary - Mthly'!$E293:$EG293)</f>
        <v>767018.32850041986</v>
      </c>
      <c r="AD290" s="799">
        <f>SUMIF('Venture Summary - Mthly'!$E$8:$EG$8,AD$9,'Venture Summary - Mthly'!$E293:$EG293)</f>
        <v>785743.49356206995</v>
      </c>
      <c r="AE290" s="799">
        <f>SUMIF('Venture Summary - Mthly'!$E$8:$EG$8,AE$9,'Venture Summary - Mthly'!$E293:$EG293)</f>
        <v>785270.30079527816</v>
      </c>
      <c r="AF290" s="799">
        <f>SUMIF('Venture Summary - Mthly'!$E$8:$EG$8,AF$9,'Venture Summary - Mthly'!$E293:$EG293)</f>
        <v>802729.72625170508</v>
      </c>
      <c r="AG290" s="799">
        <f>SUMIF('Venture Summary - Mthly'!$E$8:$EG$8,AG$9,'Venture Summary - Mthly'!$E293:$EG293)</f>
        <v>822662.61418112239</v>
      </c>
      <c r="AH290" s="799">
        <f>SUMIF('Venture Summary - Mthly'!$E$8:$EG$8,AH$9,'Venture Summary - Mthly'!$E293:$EG293)</f>
        <v>842492.85555103875</v>
      </c>
      <c r="AI290" s="799">
        <f>SUMIF('Venture Summary - Mthly'!$E$8:$EG$8,AI$9,'Venture Summary - Mthly'!$E293:$EG293)</f>
        <v>842283.51895287074</v>
      </c>
      <c r="AJ290" s="799">
        <f>SUMIF('Venture Summary - Mthly'!$E$8:$EG$8,AJ$9,'Venture Summary - Mthly'!$E293:$EG293)</f>
        <v>860476.76641253906</v>
      </c>
      <c r="AK290" s="799">
        <f>SUMIF('Venture Summary - Mthly'!$E$8:$EG$8,AK$9,'Venture Summary - Mthly'!$E293:$EG293)</f>
        <v>58639186.607337944</v>
      </c>
      <c r="AL290" s="799">
        <f>SUMIF('Venture Summary - Mthly'!$E$8:$EG$8,AL$9,'Venture Summary - Mthly'!$E293:$EG293)</f>
        <v>0</v>
      </c>
      <c r="AM290" s="799">
        <f>SUMIF('Venture Summary - Mthly'!$E$8:$EG$8,AM$9,'Venture Summary - Mthly'!$E293:$EG293)</f>
        <v>0</v>
      </c>
      <c r="AN290" s="799">
        <f>SUMIF('Venture Summary - Mthly'!$E$8:$EG$8,AN$9,'Venture Summary - Mthly'!$E293:$EG293)</f>
        <v>0</v>
      </c>
      <c r="AO290" s="799">
        <f>SUMIF('Venture Summary - Mthly'!$E$8:$EG$8,AO$9,'Venture Summary - Mthly'!$E293:$EG293)</f>
        <v>0</v>
      </c>
      <c r="AP290" s="799">
        <f>SUMIF('Venture Summary - Mthly'!$E$8:$EG$8,AP$9,'Venture Summary - Mthly'!$E293:$EG293)</f>
        <v>0</v>
      </c>
      <c r="AQ290" s="799">
        <f>SUMIF('Venture Summary - Mthly'!$E$8:$EG$8,AQ$9,'Venture Summary - Mthly'!$E293:$EG293)</f>
        <v>0</v>
      </c>
      <c r="AR290" s="799">
        <f>SUMIF('Venture Summary - Mthly'!$E$8:$EG$8,AR$9,'Venture Summary - Mthly'!$E293:$EG293)</f>
        <v>0</v>
      </c>
      <c r="AS290" s="799">
        <f>SUMIF('Venture Summary - Mthly'!$E$8:$EG$8,AS$9,'Venture Summary - Mthly'!$E293:$EG293)</f>
        <v>0</v>
      </c>
      <c r="AT290" s="799">
        <f>SUMIF('Venture Summary - Mthly'!$E$8:$EG$8,AT$9,'Venture Summary - Mthly'!$E293:$EG293)</f>
        <v>0</v>
      </c>
      <c r="AU290" s="799">
        <f>SUMIF('Venture Summary - Mthly'!$E$8:$EG$8,AU$9,'Venture Summary - Mthly'!$E293:$EG293)</f>
        <v>0</v>
      </c>
      <c r="AV290" s="799">
        <f>SUMIF('Venture Summary - Mthly'!$E$8:$EG$8,AV$9,'Venture Summary - Mthly'!$E293:$EG293)</f>
        <v>0</v>
      </c>
      <c r="AW290" s="799">
        <f>SUMIF('Venture Summary - Mthly'!$E$8:$EG$8,AW$9,'Venture Summary - Mthly'!$E293:$EG293)</f>
        <v>0</v>
      </c>
      <c r="AX290" s="798"/>
    </row>
    <row r="291" spans="1:50" ht="12.75" customHeight="1" x14ac:dyDescent="0.3">
      <c r="A291" s="782"/>
      <c r="B291" s="782" t="s">
        <v>161</v>
      </c>
      <c r="C291" s="798"/>
      <c r="D291" s="782"/>
      <c r="E291" s="798">
        <f t="shared" ref="E291:AW291" si="65">E286+E290</f>
        <v>0</v>
      </c>
      <c r="F291" s="798">
        <f t="shared" si="65"/>
        <v>0</v>
      </c>
      <c r="G291" s="798">
        <f t="shared" si="65"/>
        <v>0</v>
      </c>
      <c r="H291" s="798">
        <f t="shared" si="65"/>
        <v>0</v>
      </c>
      <c r="I291" s="798">
        <f t="shared" si="65"/>
        <v>0</v>
      </c>
      <c r="J291" s="798">
        <f t="shared" si="65"/>
        <v>0</v>
      </c>
      <c r="K291" s="798">
        <f t="shared" si="65"/>
        <v>0</v>
      </c>
      <c r="L291" s="798">
        <f t="shared" si="65"/>
        <v>0</v>
      </c>
      <c r="M291" s="798">
        <f t="shared" si="65"/>
        <v>0</v>
      </c>
      <c r="N291" s="798">
        <f t="shared" si="65"/>
        <v>0</v>
      </c>
      <c r="O291" s="798">
        <f t="shared" si="65"/>
        <v>0</v>
      </c>
      <c r="P291" s="798">
        <f t="shared" si="65"/>
        <v>-46600744.397802807</v>
      </c>
      <c r="Q291" s="798">
        <f t="shared" si="65"/>
        <v>623346.85292693274</v>
      </c>
      <c r="R291" s="798">
        <f t="shared" si="65"/>
        <v>645086.61329542077</v>
      </c>
      <c r="S291" s="798">
        <f t="shared" si="65"/>
        <v>644215.54607378726</v>
      </c>
      <c r="T291" s="798">
        <f t="shared" si="65"/>
        <v>661902.09947439213</v>
      </c>
      <c r="U291" s="798">
        <f t="shared" si="65"/>
        <v>679519.10289103352</v>
      </c>
      <c r="V291" s="798">
        <f t="shared" si="65"/>
        <v>694204.81009246409</v>
      </c>
      <c r="W291" s="798">
        <f t="shared" si="65"/>
        <v>689738.6161152703</v>
      </c>
      <c r="X291" s="798">
        <f t="shared" si="65"/>
        <v>701794.01382499537</v>
      </c>
      <c r="Y291" s="798">
        <f t="shared" si="65"/>
        <v>717065.29189360049</v>
      </c>
      <c r="Z291" s="798">
        <f t="shared" si="65"/>
        <v>733551.69515324559</v>
      </c>
      <c r="AA291" s="798">
        <f t="shared" si="65"/>
        <v>732080.37063951511</v>
      </c>
      <c r="AB291" s="798">
        <f t="shared" si="65"/>
        <v>748271.4101425925</v>
      </c>
      <c r="AC291" s="798">
        <f t="shared" si="65"/>
        <v>767018.32850041986</v>
      </c>
      <c r="AD291" s="798">
        <f t="shared" si="65"/>
        <v>785743.49356206995</v>
      </c>
      <c r="AE291" s="798">
        <f t="shared" si="65"/>
        <v>785270.30079527816</v>
      </c>
      <c r="AF291" s="798">
        <f t="shared" si="65"/>
        <v>802729.72625170508</v>
      </c>
      <c r="AG291" s="798">
        <f t="shared" si="65"/>
        <v>822662.61418112239</v>
      </c>
      <c r="AH291" s="798">
        <f t="shared" si="65"/>
        <v>842492.85555103875</v>
      </c>
      <c r="AI291" s="798">
        <f t="shared" si="65"/>
        <v>842283.51895287074</v>
      </c>
      <c r="AJ291" s="798">
        <f t="shared" si="65"/>
        <v>860476.76641253906</v>
      </c>
      <c r="AK291" s="798">
        <f t="shared" si="65"/>
        <v>58639186.607337944</v>
      </c>
      <c r="AL291" s="798">
        <f t="shared" si="65"/>
        <v>0</v>
      </c>
      <c r="AM291" s="798">
        <f t="shared" si="65"/>
        <v>0</v>
      </c>
      <c r="AN291" s="798">
        <f t="shared" si="65"/>
        <v>0</v>
      </c>
      <c r="AO291" s="798">
        <f t="shared" si="65"/>
        <v>0</v>
      </c>
      <c r="AP291" s="798">
        <f t="shared" si="65"/>
        <v>0</v>
      </c>
      <c r="AQ291" s="798">
        <f t="shared" si="65"/>
        <v>0</v>
      </c>
      <c r="AR291" s="798">
        <f t="shared" si="65"/>
        <v>0</v>
      </c>
      <c r="AS291" s="798">
        <f t="shared" si="65"/>
        <v>0</v>
      </c>
      <c r="AT291" s="798">
        <f t="shared" si="65"/>
        <v>0</v>
      </c>
      <c r="AU291" s="798">
        <f t="shared" si="65"/>
        <v>0</v>
      </c>
      <c r="AV291" s="798">
        <f t="shared" si="65"/>
        <v>0</v>
      </c>
      <c r="AW291" s="798">
        <f t="shared" si="65"/>
        <v>0</v>
      </c>
      <c r="AX291" s="798"/>
    </row>
    <row r="292" spans="1:50" ht="12.75" customHeight="1" x14ac:dyDescent="0.3">
      <c r="A292" s="782"/>
      <c r="B292" s="782"/>
      <c r="C292" s="798"/>
      <c r="D292" s="782"/>
      <c r="E292" s="798"/>
      <c r="F292" s="798"/>
      <c r="G292" s="798"/>
      <c r="H292" s="798"/>
      <c r="I292" s="798"/>
      <c r="J292" s="798"/>
      <c r="K292" s="798"/>
      <c r="L292" s="798"/>
      <c r="M292" s="798"/>
      <c r="N292" s="798"/>
      <c r="O292" s="798"/>
      <c r="P292" s="798"/>
      <c r="Q292" s="798"/>
      <c r="R292" s="798"/>
      <c r="S292" s="798"/>
      <c r="T292" s="798"/>
      <c r="U292" s="798"/>
      <c r="V292" s="798"/>
      <c r="W292" s="798"/>
      <c r="X292" s="798"/>
      <c r="Y292" s="798"/>
      <c r="Z292" s="798"/>
      <c r="AA292" s="798"/>
      <c r="AB292" s="798"/>
      <c r="AC292" s="798"/>
      <c r="AD292" s="798"/>
      <c r="AE292" s="798"/>
      <c r="AF292" s="798"/>
      <c r="AG292" s="798"/>
      <c r="AH292" s="798"/>
      <c r="AI292" s="798"/>
      <c r="AJ292" s="798"/>
      <c r="AK292" s="798"/>
      <c r="AL292" s="798"/>
      <c r="AM292" s="798"/>
      <c r="AN292" s="798"/>
      <c r="AO292" s="798"/>
      <c r="AP292" s="798"/>
      <c r="AQ292" s="798"/>
      <c r="AR292" s="798"/>
      <c r="AS292" s="798"/>
      <c r="AT292" s="798"/>
      <c r="AU292" s="798"/>
      <c r="AV292" s="798"/>
      <c r="AW292" s="798"/>
      <c r="AX292" s="798"/>
    </row>
    <row r="293" spans="1:50" ht="12.75" customHeight="1" x14ac:dyDescent="0.3">
      <c r="A293" s="782"/>
      <c r="B293" s="796" t="s">
        <v>168</v>
      </c>
      <c r="C293" s="824">
        <f>'Venture Summary - Mthly'!C296</f>
        <v>0.10000000596046449</v>
      </c>
      <c r="D293" s="782"/>
      <c r="E293" s="798"/>
      <c r="F293" s="798"/>
      <c r="G293" s="798"/>
      <c r="H293" s="798"/>
      <c r="I293" s="798"/>
      <c r="J293" s="798"/>
      <c r="K293" s="798"/>
      <c r="L293" s="798"/>
      <c r="M293" s="798"/>
      <c r="N293" s="798"/>
      <c r="O293" s="798"/>
      <c r="P293" s="798"/>
      <c r="Q293" s="798"/>
      <c r="R293" s="798"/>
      <c r="S293" s="798"/>
      <c r="T293" s="798"/>
      <c r="U293" s="798"/>
      <c r="V293" s="798"/>
      <c r="W293" s="798"/>
      <c r="X293" s="798"/>
      <c r="Y293" s="798"/>
      <c r="Z293" s="798"/>
      <c r="AA293" s="798"/>
      <c r="AB293" s="798"/>
      <c r="AC293" s="798"/>
      <c r="AD293" s="798"/>
      <c r="AE293" s="798"/>
      <c r="AF293" s="798"/>
      <c r="AG293" s="798"/>
      <c r="AH293" s="798"/>
      <c r="AI293" s="798"/>
      <c r="AJ293" s="798"/>
      <c r="AK293" s="798"/>
      <c r="AL293" s="798"/>
      <c r="AM293" s="798"/>
      <c r="AN293" s="798"/>
      <c r="AO293" s="798"/>
      <c r="AP293" s="798"/>
      <c r="AQ293" s="798"/>
      <c r="AR293" s="798"/>
      <c r="AS293" s="798"/>
      <c r="AT293" s="798"/>
      <c r="AU293" s="798"/>
      <c r="AV293" s="798"/>
      <c r="AW293" s="798"/>
      <c r="AX293" s="798"/>
    </row>
    <row r="294" spans="1:50" ht="12.75" customHeight="1" x14ac:dyDescent="0.3">
      <c r="A294" s="782"/>
      <c r="B294" s="782"/>
      <c r="C294" s="798"/>
      <c r="D294" s="782"/>
      <c r="E294" s="798"/>
      <c r="F294" s="798"/>
      <c r="G294" s="798"/>
      <c r="H294" s="798"/>
      <c r="I294" s="798"/>
      <c r="J294" s="798"/>
      <c r="K294" s="798"/>
      <c r="L294" s="798"/>
      <c r="M294" s="798"/>
      <c r="N294" s="798"/>
      <c r="O294" s="798"/>
      <c r="P294" s="798"/>
      <c r="Q294" s="798"/>
      <c r="R294" s="798"/>
      <c r="S294" s="798"/>
      <c r="T294" s="798"/>
      <c r="U294" s="798"/>
      <c r="V294" s="798"/>
      <c r="W294" s="798"/>
      <c r="X294" s="798"/>
      <c r="Y294" s="798"/>
      <c r="Z294" s="798"/>
      <c r="AA294" s="798"/>
      <c r="AB294" s="798"/>
      <c r="AC294" s="798"/>
      <c r="AD294" s="798"/>
      <c r="AE294" s="798"/>
      <c r="AF294" s="798"/>
      <c r="AG294" s="798"/>
      <c r="AH294" s="798"/>
      <c r="AI294" s="798"/>
      <c r="AJ294" s="798"/>
      <c r="AK294" s="798"/>
      <c r="AL294" s="798"/>
      <c r="AM294" s="798"/>
      <c r="AN294" s="798"/>
      <c r="AO294" s="798"/>
      <c r="AP294" s="798"/>
      <c r="AQ294" s="798"/>
      <c r="AR294" s="798"/>
      <c r="AS294" s="798"/>
      <c r="AT294" s="798"/>
      <c r="AU294" s="798"/>
      <c r="AV294" s="798"/>
      <c r="AW294" s="798"/>
      <c r="AX294" s="798"/>
    </row>
    <row r="295" spans="1:50" ht="12.75" customHeight="1" x14ac:dyDescent="0.3">
      <c r="A295" s="782"/>
      <c r="B295" s="781" t="s">
        <v>163</v>
      </c>
      <c r="C295" s="799"/>
      <c r="D295" s="781"/>
      <c r="E295" s="799">
        <f t="shared" ref="E295:AW295" si="66">E279</f>
        <v>0</v>
      </c>
      <c r="F295" s="799">
        <f t="shared" si="66"/>
        <v>0</v>
      </c>
      <c r="G295" s="799">
        <f t="shared" si="66"/>
        <v>0</v>
      </c>
      <c r="H295" s="799">
        <f t="shared" si="66"/>
        <v>0</v>
      </c>
      <c r="I295" s="799">
        <f t="shared" si="66"/>
        <v>0</v>
      </c>
      <c r="J295" s="799">
        <f t="shared" si="66"/>
        <v>0</v>
      </c>
      <c r="K295" s="799">
        <f t="shared" si="66"/>
        <v>0</v>
      </c>
      <c r="L295" s="799">
        <f t="shared" si="66"/>
        <v>0</v>
      </c>
      <c r="M295" s="799">
        <f t="shared" si="66"/>
        <v>0</v>
      </c>
      <c r="N295" s="799">
        <f t="shared" si="66"/>
        <v>0</v>
      </c>
      <c r="O295" s="799">
        <f t="shared" si="66"/>
        <v>0</v>
      </c>
      <c r="P295" s="799">
        <f t="shared" si="66"/>
        <v>-46600744.397802807</v>
      </c>
      <c r="Q295" s="799">
        <f t="shared" si="66"/>
        <v>623346.85292693274</v>
      </c>
      <c r="R295" s="799">
        <f t="shared" si="66"/>
        <v>645086.61329542077</v>
      </c>
      <c r="S295" s="799">
        <f t="shared" si="66"/>
        <v>644215.54607378726</v>
      </c>
      <c r="T295" s="799">
        <f t="shared" si="66"/>
        <v>661902.09947439213</v>
      </c>
      <c r="U295" s="799">
        <f t="shared" si="66"/>
        <v>679519.10289103352</v>
      </c>
      <c r="V295" s="799">
        <f t="shared" si="66"/>
        <v>694204.81009246409</v>
      </c>
      <c r="W295" s="799">
        <f t="shared" si="66"/>
        <v>689738.6161152703</v>
      </c>
      <c r="X295" s="799">
        <f t="shared" si="66"/>
        <v>701794.01382499537</v>
      </c>
      <c r="Y295" s="799">
        <f t="shared" si="66"/>
        <v>717065.29189360049</v>
      </c>
      <c r="Z295" s="799">
        <f t="shared" si="66"/>
        <v>733551.69515324559</v>
      </c>
      <c r="AA295" s="799">
        <f t="shared" si="66"/>
        <v>732080.37063951511</v>
      </c>
      <c r="AB295" s="799">
        <f t="shared" si="66"/>
        <v>748271.4101425925</v>
      </c>
      <c r="AC295" s="799">
        <f t="shared" si="66"/>
        <v>767018.32850041986</v>
      </c>
      <c r="AD295" s="799">
        <f t="shared" si="66"/>
        <v>785743.49356206995</v>
      </c>
      <c r="AE295" s="799">
        <f t="shared" si="66"/>
        <v>785270.30079527816</v>
      </c>
      <c r="AF295" s="799">
        <f t="shared" si="66"/>
        <v>802729.72625170508</v>
      </c>
      <c r="AG295" s="799">
        <f t="shared" si="66"/>
        <v>822662.61418112239</v>
      </c>
      <c r="AH295" s="799">
        <f t="shared" si="66"/>
        <v>842492.85555103875</v>
      </c>
      <c r="AI295" s="799">
        <f t="shared" si="66"/>
        <v>842283.51895287074</v>
      </c>
      <c r="AJ295" s="799">
        <f t="shared" si="66"/>
        <v>860476.76641253906</v>
      </c>
      <c r="AK295" s="799">
        <f t="shared" si="66"/>
        <v>53057051.624760687</v>
      </c>
      <c r="AL295" s="799">
        <f t="shared" si="66"/>
        <v>0</v>
      </c>
      <c r="AM295" s="799">
        <f t="shared" si="66"/>
        <v>0</v>
      </c>
      <c r="AN295" s="799">
        <f t="shared" si="66"/>
        <v>0</v>
      </c>
      <c r="AO295" s="799">
        <f t="shared" si="66"/>
        <v>0</v>
      </c>
      <c r="AP295" s="799">
        <f t="shared" si="66"/>
        <v>0</v>
      </c>
      <c r="AQ295" s="799">
        <f t="shared" si="66"/>
        <v>0</v>
      </c>
      <c r="AR295" s="799">
        <f t="shared" si="66"/>
        <v>0</v>
      </c>
      <c r="AS295" s="799">
        <f t="shared" si="66"/>
        <v>0</v>
      </c>
      <c r="AT295" s="799">
        <f t="shared" si="66"/>
        <v>0</v>
      </c>
      <c r="AU295" s="799">
        <f t="shared" si="66"/>
        <v>0</v>
      </c>
      <c r="AV295" s="799">
        <f t="shared" si="66"/>
        <v>0</v>
      </c>
      <c r="AW295" s="799">
        <f t="shared" si="66"/>
        <v>0</v>
      </c>
      <c r="AX295" s="798"/>
    </row>
    <row r="296" spans="1:50" ht="12.75" customHeight="1" x14ac:dyDescent="0.3">
      <c r="A296" s="782"/>
      <c r="B296" s="782" t="s">
        <v>169</v>
      </c>
      <c r="C296" s="798"/>
      <c r="D296" s="782"/>
      <c r="E296" s="798">
        <f t="shared" ref="E296:AW296" si="67">E291-E295</f>
        <v>0</v>
      </c>
      <c r="F296" s="798">
        <f t="shared" si="67"/>
        <v>0</v>
      </c>
      <c r="G296" s="798">
        <f t="shared" si="67"/>
        <v>0</v>
      </c>
      <c r="H296" s="798">
        <f t="shared" si="67"/>
        <v>0</v>
      </c>
      <c r="I296" s="798">
        <f t="shared" si="67"/>
        <v>0</v>
      </c>
      <c r="J296" s="798">
        <f t="shared" si="67"/>
        <v>0</v>
      </c>
      <c r="K296" s="798">
        <f t="shared" si="67"/>
        <v>0</v>
      </c>
      <c r="L296" s="798">
        <f t="shared" si="67"/>
        <v>0</v>
      </c>
      <c r="M296" s="798">
        <f t="shared" si="67"/>
        <v>0</v>
      </c>
      <c r="N296" s="798">
        <f t="shared" si="67"/>
        <v>0</v>
      </c>
      <c r="O296" s="798">
        <f t="shared" si="67"/>
        <v>0</v>
      </c>
      <c r="P296" s="798">
        <f t="shared" si="67"/>
        <v>0</v>
      </c>
      <c r="Q296" s="798">
        <f t="shared" si="67"/>
        <v>0</v>
      </c>
      <c r="R296" s="798">
        <f t="shared" si="67"/>
        <v>0</v>
      </c>
      <c r="S296" s="798">
        <f t="shared" si="67"/>
        <v>0</v>
      </c>
      <c r="T296" s="798">
        <f t="shared" si="67"/>
        <v>0</v>
      </c>
      <c r="U296" s="798">
        <f t="shared" si="67"/>
        <v>0</v>
      </c>
      <c r="V296" s="798">
        <f t="shared" si="67"/>
        <v>0</v>
      </c>
      <c r="W296" s="798">
        <f t="shared" si="67"/>
        <v>0</v>
      </c>
      <c r="X296" s="798">
        <f t="shared" si="67"/>
        <v>0</v>
      </c>
      <c r="Y296" s="798">
        <f t="shared" si="67"/>
        <v>0</v>
      </c>
      <c r="Z296" s="798">
        <f t="shared" si="67"/>
        <v>0</v>
      </c>
      <c r="AA296" s="798">
        <f t="shared" si="67"/>
        <v>0</v>
      </c>
      <c r="AB296" s="798">
        <f t="shared" si="67"/>
        <v>0</v>
      </c>
      <c r="AC296" s="798">
        <f t="shared" si="67"/>
        <v>0</v>
      </c>
      <c r="AD296" s="798">
        <f t="shared" si="67"/>
        <v>0</v>
      </c>
      <c r="AE296" s="798">
        <f t="shared" si="67"/>
        <v>0</v>
      </c>
      <c r="AF296" s="798">
        <f t="shared" si="67"/>
        <v>0</v>
      </c>
      <c r="AG296" s="798">
        <f t="shared" si="67"/>
        <v>0</v>
      </c>
      <c r="AH296" s="798">
        <f t="shared" si="67"/>
        <v>0</v>
      </c>
      <c r="AI296" s="798">
        <f t="shared" si="67"/>
        <v>0</v>
      </c>
      <c r="AJ296" s="798">
        <f t="shared" si="67"/>
        <v>0</v>
      </c>
      <c r="AK296" s="798">
        <f t="shared" si="67"/>
        <v>5582134.9825772569</v>
      </c>
      <c r="AL296" s="798">
        <f t="shared" si="67"/>
        <v>0</v>
      </c>
      <c r="AM296" s="798">
        <f t="shared" si="67"/>
        <v>0</v>
      </c>
      <c r="AN296" s="798">
        <f t="shared" si="67"/>
        <v>0</v>
      </c>
      <c r="AO296" s="798">
        <f t="shared" si="67"/>
        <v>0</v>
      </c>
      <c r="AP296" s="798">
        <f t="shared" si="67"/>
        <v>0</v>
      </c>
      <c r="AQ296" s="798">
        <f t="shared" si="67"/>
        <v>0</v>
      </c>
      <c r="AR296" s="798">
        <f t="shared" si="67"/>
        <v>0</v>
      </c>
      <c r="AS296" s="798">
        <f t="shared" si="67"/>
        <v>0</v>
      </c>
      <c r="AT296" s="798">
        <f t="shared" si="67"/>
        <v>0</v>
      </c>
      <c r="AU296" s="798">
        <f t="shared" si="67"/>
        <v>0</v>
      </c>
      <c r="AV296" s="798">
        <f t="shared" si="67"/>
        <v>0</v>
      </c>
      <c r="AW296" s="798">
        <f t="shared" si="67"/>
        <v>0</v>
      </c>
      <c r="AX296" s="798"/>
    </row>
    <row r="297" spans="1:50" ht="12.75" customHeight="1" x14ac:dyDescent="0.3">
      <c r="A297" s="782"/>
      <c r="B297" s="782" t="s">
        <v>170</v>
      </c>
      <c r="C297" s="798"/>
      <c r="D297" s="782"/>
      <c r="E297" s="798">
        <f>SUMIF('Venture Summary - Mthly'!$E$8:$EG$8,E$9,'Venture Summary - Mthly'!$E300:$EG300)</f>
        <v>0</v>
      </c>
      <c r="F297" s="798">
        <f>SUMIF('Venture Summary - Mthly'!$E$8:$EG$8,F$9,'Venture Summary - Mthly'!$E300:$EG300)</f>
        <v>0</v>
      </c>
      <c r="G297" s="798">
        <f>SUMIF('Venture Summary - Mthly'!$E$8:$EG$8,G$9,'Venture Summary - Mthly'!$E300:$EG300)</f>
        <v>0</v>
      </c>
      <c r="H297" s="798">
        <f>SUMIF('Venture Summary - Mthly'!$E$8:$EG$8,H$9,'Venture Summary - Mthly'!$E300:$EG300)</f>
        <v>0</v>
      </c>
      <c r="I297" s="798">
        <f>SUMIF('Venture Summary - Mthly'!$E$8:$EG$8,I$9,'Venture Summary - Mthly'!$E300:$EG300)</f>
        <v>0</v>
      </c>
      <c r="J297" s="798">
        <f>SUMIF('Venture Summary - Mthly'!$E$8:$EG$8,J$9,'Venture Summary - Mthly'!$E300:$EG300)</f>
        <v>0</v>
      </c>
      <c r="K297" s="798">
        <f>SUMIF('Venture Summary - Mthly'!$E$8:$EG$8,K$9,'Venture Summary - Mthly'!$E300:$EG300)</f>
        <v>0</v>
      </c>
      <c r="L297" s="798">
        <f>SUMIF('Venture Summary - Mthly'!$E$8:$EG$8,L$9,'Venture Summary - Mthly'!$E300:$EG300)</f>
        <v>0</v>
      </c>
      <c r="M297" s="798">
        <f>SUMIF('Venture Summary - Mthly'!$E$8:$EG$8,M$9,'Venture Summary - Mthly'!$E300:$EG300)</f>
        <v>0</v>
      </c>
      <c r="N297" s="798">
        <f>SUMIF('Venture Summary - Mthly'!$E$8:$EG$8,N$9,'Venture Summary - Mthly'!$E300:$EG300)</f>
        <v>0</v>
      </c>
      <c r="O297" s="798">
        <f>SUMIF('Venture Summary - Mthly'!$E$8:$EG$8,O$9,'Venture Summary - Mthly'!$E300:$EG300)</f>
        <v>0</v>
      </c>
      <c r="P297" s="798">
        <f>SUMIF('Venture Summary - Mthly'!$E$8:$EG$8,P$9,'Venture Summary - Mthly'!$E300:$EG300)</f>
        <v>0</v>
      </c>
      <c r="Q297" s="798">
        <f>SUMIF('Venture Summary - Mthly'!$E$8:$EG$8,Q$9,'Venture Summary - Mthly'!$E300:$EG300)</f>
        <v>0</v>
      </c>
      <c r="R297" s="798">
        <f>SUMIF('Venture Summary - Mthly'!$E$8:$EG$8,R$9,'Venture Summary - Mthly'!$E300:$EG300)</f>
        <v>0</v>
      </c>
      <c r="S297" s="798">
        <f>SUMIF('Venture Summary - Mthly'!$E$8:$EG$8,S$9,'Venture Summary - Mthly'!$E300:$EG300)</f>
        <v>0</v>
      </c>
      <c r="T297" s="798">
        <f>SUMIF('Venture Summary - Mthly'!$E$8:$EG$8,T$9,'Venture Summary - Mthly'!$E300:$EG300)</f>
        <v>0</v>
      </c>
      <c r="U297" s="798">
        <f>SUMIF('Venture Summary - Mthly'!$E$8:$EG$8,U$9,'Venture Summary - Mthly'!$E300:$EG300)</f>
        <v>0</v>
      </c>
      <c r="V297" s="798">
        <f>SUMIF('Venture Summary - Mthly'!$E$8:$EG$8,V$9,'Venture Summary - Mthly'!$E300:$EG300)</f>
        <v>0</v>
      </c>
      <c r="W297" s="798">
        <f>SUMIF('Venture Summary - Mthly'!$E$8:$EG$8,W$9,'Venture Summary - Mthly'!$E300:$EG300)</f>
        <v>0</v>
      </c>
      <c r="X297" s="798">
        <f>SUMIF('Venture Summary - Mthly'!$E$8:$EG$8,X$9,'Venture Summary - Mthly'!$E300:$EG300)</f>
        <v>0</v>
      </c>
      <c r="Y297" s="798">
        <f>SUMIF('Venture Summary - Mthly'!$E$8:$EG$8,Y$9,'Venture Summary - Mthly'!$E300:$EG300)</f>
        <v>0</v>
      </c>
      <c r="Z297" s="798">
        <f>SUMIF('Venture Summary - Mthly'!$E$8:$EG$8,Z$9,'Venture Summary - Mthly'!$E300:$EG300)</f>
        <v>0</v>
      </c>
      <c r="AA297" s="798">
        <f>SUMIF('Venture Summary - Mthly'!$E$8:$EG$8,AA$9,'Venture Summary - Mthly'!$E300:$EG300)</f>
        <v>0</v>
      </c>
      <c r="AB297" s="798">
        <f>SUMIF('Venture Summary - Mthly'!$E$8:$EG$8,AB$9,'Venture Summary - Mthly'!$E300:$EG300)</f>
        <v>0</v>
      </c>
      <c r="AC297" s="798">
        <f>SUMIF('Venture Summary - Mthly'!$E$8:$EG$8,AC$9,'Venture Summary - Mthly'!$E300:$EG300)</f>
        <v>0</v>
      </c>
      <c r="AD297" s="798">
        <f>SUMIF('Venture Summary - Mthly'!$E$8:$EG$8,AD$9,'Venture Summary - Mthly'!$E300:$EG300)</f>
        <v>0</v>
      </c>
      <c r="AE297" s="798">
        <f>SUMIF('Venture Summary - Mthly'!$E$8:$EG$8,AE$9,'Venture Summary - Mthly'!$E300:$EG300)</f>
        <v>0</v>
      </c>
      <c r="AF297" s="798">
        <f>SUMIF('Venture Summary - Mthly'!$E$8:$EG$8,AF$9,'Venture Summary - Mthly'!$E300:$EG300)</f>
        <v>0</v>
      </c>
      <c r="AG297" s="798">
        <f>SUMIF('Venture Summary - Mthly'!$E$8:$EG$8,AG$9,'Venture Summary - Mthly'!$E300:$EG300)</f>
        <v>0</v>
      </c>
      <c r="AH297" s="798">
        <f>SUMIF('Venture Summary - Mthly'!$E$8:$EG$8,AH$9,'Venture Summary - Mthly'!$E300:$EG300)</f>
        <v>0</v>
      </c>
      <c r="AI297" s="798">
        <f>SUMIF('Venture Summary - Mthly'!$E$8:$EG$8,AI$9,'Venture Summary - Mthly'!$E300:$EG300)</f>
        <v>0</v>
      </c>
      <c r="AJ297" s="798">
        <f>SUMIF('Venture Summary - Mthly'!$E$8:$EG$8,AJ$9,'Venture Summary - Mthly'!$E300:$EG300)</f>
        <v>0</v>
      </c>
      <c r="AK297" s="798">
        <f>SUMIF('Venture Summary - Mthly'!$E$8:$EG$8,AK$9,'Venture Summary - Mthly'!$E300:$EG300)</f>
        <v>6567217.6265614787</v>
      </c>
      <c r="AL297" s="798">
        <f>SUMIF('Venture Summary - Mthly'!$E$8:$EG$8,AL$9,'Venture Summary - Mthly'!$E300:$EG300)</f>
        <v>0</v>
      </c>
      <c r="AM297" s="798">
        <f>SUMIF('Venture Summary - Mthly'!$E$8:$EG$8,AM$9,'Venture Summary - Mthly'!$E300:$EG300)</f>
        <v>0</v>
      </c>
      <c r="AN297" s="798">
        <f>SUMIF('Venture Summary - Mthly'!$E$8:$EG$8,AN$9,'Venture Summary - Mthly'!$E300:$EG300)</f>
        <v>0</v>
      </c>
      <c r="AO297" s="798">
        <f>SUMIF('Venture Summary - Mthly'!$E$8:$EG$8,AO$9,'Venture Summary - Mthly'!$E300:$EG300)</f>
        <v>0</v>
      </c>
      <c r="AP297" s="798">
        <f>SUMIF('Venture Summary - Mthly'!$E$8:$EG$8,AP$9,'Venture Summary - Mthly'!$E300:$EG300)</f>
        <v>0</v>
      </c>
      <c r="AQ297" s="798">
        <f>SUMIF('Venture Summary - Mthly'!$E$8:$EG$8,AQ$9,'Venture Summary - Mthly'!$E300:$EG300)</f>
        <v>0</v>
      </c>
      <c r="AR297" s="798">
        <f>SUMIF('Venture Summary - Mthly'!$E$8:$EG$8,AR$9,'Venture Summary - Mthly'!$E300:$EG300)</f>
        <v>0</v>
      </c>
      <c r="AS297" s="798">
        <f>SUMIF('Venture Summary - Mthly'!$E$8:$EG$8,AS$9,'Venture Summary - Mthly'!$E300:$EG300)</f>
        <v>0</v>
      </c>
      <c r="AT297" s="798">
        <f>SUMIF('Venture Summary - Mthly'!$E$8:$EG$8,AT$9,'Venture Summary - Mthly'!$E300:$EG300)</f>
        <v>0</v>
      </c>
      <c r="AU297" s="798">
        <f>SUMIF('Venture Summary - Mthly'!$E$8:$EG$8,AU$9,'Venture Summary - Mthly'!$E300:$EG300)</f>
        <v>0</v>
      </c>
      <c r="AV297" s="798">
        <f>SUMIF('Venture Summary - Mthly'!$E$8:$EG$8,AV$9,'Venture Summary - Mthly'!$E300:$EG300)</f>
        <v>0</v>
      </c>
      <c r="AW297" s="798">
        <f>SUMIF('Venture Summary - Mthly'!$E$8:$EG$8,AW$9,'Venture Summary - Mthly'!$E300:$EG300)</f>
        <v>0</v>
      </c>
      <c r="AX297" s="798"/>
    </row>
    <row r="298" spans="1:50" ht="12.75" customHeight="1" x14ac:dyDescent="0.3">
      <c r="A298" s="782"/>
      <c r="B298" s="782"/>
      <c r="C298" s="798"/>
      <c r="D298" s="782"/>
      <c r="E298" s="798"/>
      <c r="F298" s="798"/>
      <c r="G298" s="798"/>
      <c r="H298" s="798"/>
      <c r="I298" s="798"/>
      <c r="J298" s="798"/>
      <c r="K298" s="798"/>
      <c r="L298" s="798"/>
      <c r="M298" s="798"/>
      <c r="N298" s="798"/>
      <c r="O298" s="798"/>
      <c r="P298" s="798"/>
      <c r="Q298" s="798"/>
      <c r="R298" s="798"/>
      <c r="S298" s="798"/>
      <c r="T298" s="798"/>
      <c r="U298" s="798"/>
      <c r="V298" s="798"/>
      <c r="W298" s="798"/>
      <c r="X298" s="798"/>
      <c r="Y298" s="798"/>
      <c r="Z298" s="798"/>
      <c r="AA298" s="798"/>
      <c r="AB298" s="798"/>
      <c r="AC298" s="798"/>
      <c r="AD298" s="798"/>
      <c r="AE298" s="798"/>
      <c r="AF298" s="798"/>
      <c r="AG298" s="798"/>
      <c r="AH298" s="798"/>
      <c r="AI298" s="798"/>
      <c r="AJ298" s="798"/>
      <c r="AK298" s="798"/>
      <c r="AL298" s="798"/>
      <c r="AM298" s="798"/>
      <c r="AN298" s="798"/>
      <c r="AO298" s="798"/>
      <c r="AP298" s="798"/>
      <c r="AQ298" s="798"/>
      <c r="AR298" s="798"/>
      <c r="AS298" s="798"/>
      <c r="AT298" s="798"/>
      <c r="AU298" s="798"/>
      <c r="AV298" s="798"/>
      <c r="AW298" s="798"/>
      <c r="AX298" s="798"/>
    </row>
    <row r="299" spans="1:50" ht="12.75" customHeight="1" x14ac:dyDescent="0.3">
      <c r="A299" s="782"/>
      <c r="B299" s="782" t="s">
        <v>171</v>
      </c>
      <c r="C299" s="798"/>
      <c r="D299" s="782"/>
      <c r="E299" s="798">
        <f>SUMIF('Venture Summary - Mthly'!$E$8:$EG$8,E$9,'Venture Summary - Mthly'!$E302:$EG302)</f>
        <v>0</v>
      </c>
      <c r="F299" s="798">
        <f>SUMIF('Venture Summary - Mthly'!$E$8:$EG$8,F$9,'Venture Summary - Mthly'!$E302:$EG302)</f>
        <v>0</v>
      </c>
      <c r="G299" s="798">
        <f>SUMIF('Venture Summary - Mthly'!$E$8:$EG$8,G$9,'Venture Summary - Mthly'!$E302:$EG302)</f>
        <v>0</v>
      </c>
      <c r="H299" s="798">
        <f>SUMIF('Venture Summary - Mthly'!$E$8:$EG$8,H$9,'Venture Summary - Mthly'!$E302:$EG302)</f>
        <v>0</v>
      </c>
      <c r="I299" s="798">
        <f>SUMIF('Venture Summary - Mthly'!$E$8:$EG$8,I$9,'Venture Summary - Mthly'!$E302:$EG302)</f>
        <v>0</v>
      </c>
      <c r="J299" s="798">
        <f>SUMIF('Venture Summary - Mthly'!$E$8:$EG$8,J$9,'Venture Summary - Mthly'!$E302:$EG302)</f>
        <v>0</v>
      </c>
      <c r="K299" s="798">
        <f>SUMIF('Venture Summary - Mthly'!$E$8:$EG$8,K$9,'Venture Summary - Mthly'!$E302:$EG302)</f>
        <v>0</v>
      </c>
      <c r="L299" s="798">
        <f>SUMIF('Venture Summary - Mthly'!$E$8:$EG$8,L$9,'Venture Summary - Mthly'!$E302:$EG302)</f>
        <v>0</v>
      </c>
      <c r="M299" s="798">
        <f>SUMIF('Venture Summary - Mthly'!$E$8:$EG$8,M$9,'Venture Summary - Mthly'!$E302:$EG302)</f>
        <v>0</v>
      </c>
      <c r="N299" s="798">
        <f>SUMIF('Venture Summary - Mthly'!$E$8:$EG$8,N$9,'Venture Summary - Mthly'!$E302:$EG302)</f>
        <v>0</v>
      </c>
      <c r="O299" s="798">
        <f>SUMIF('Venture Summary - Mthly'!$E$8:$EG$8,O$9,'Venture Summary - Mthly'!$E302:$EG302)</f>
        <v>0</v>
      </c>
      <c r="P299" s="798">
        <f>SUMIF('Venture Summary - Mthly'!$E$8:$EG$8,P$9,'Venture Summary - Mthly'!$E302:$EG302)</f>
        <v>0</v>
      </c>
      <c r="Q299" s="798">
        <f>SUMIF('Venture Summary - Mthly'!$E$8:$EG$8,Q$9,'Venture Summary - Mthly'!$E302:$EG302)</f>
        <v>0</v>
      </c>
      <c r="R299" s="798">
        <f>SUMIF('Venture Summary - Mthly'!$E$8:$EG$8,R$9,'Venture Summary - Mthly'!$E302:$EG302)</f>
        <v>0</v>
      </c>
      <c r="S299" s="798">
        <f>SUMIF('Venture Summary - Mthly'!$E$8:$EG$8,S$9,'Venture Summary - Mthly'!$E302:$EG302)</f>
        <v>0</v>
      </c>
      <c r="T299" s="798">
        <f>SUMIF('Venture Summary - Mthly'!$E$8:$EG$8,T$9,'Venture Summary - Mthly'!$E302:$EG302)</f>
        <v>0</v>
      </c>
      <c r="U299" s="798">
        <f>SUMIF('Venture Summary - Mthly'!$E$8:$EG$8,U$9,'Venture Summary - Mthly'!$E302:$EG302)</f>
        <v>0</v>
      </c>
      <c r="V299" s="798">
        <f>SUMIF('Venture Summary - Mthly'!$E$8:$EG$8,V$9,'Venture Summary - Mthly'!$E302:$EG302)</f>
        <v>0</v>
      </c>
      <c r="W299" s="798">
        <f>SUMIF('Venture Summary - Mthly'!$E$8:$EG$8,W$9,'Venture Summary - Mthly'!$E302:$EG302)</f>
        <v>0</v>
      </c>
      <c r="X299" s="798">
        <f>SUMIF('Venture Summary - Mthly'!$E$8:$EG$8,X$9,'Venture Summary - Mthly'!$E302:$EG302)</f>
        <v>0</v>
      </c>
      <c r="Y299" s="798">
        <f>SUMIF('Venture Summary - Mthly'!$E$8:$EG$8,Y$9,'Venture Summary - Mthly'!$E302:$EG302)</f>
        <v>0</v>
      </c>
      <c r="Z299" s="798">
        <f>SUMIF('Venture Summary - Mthly'!$E$8:$EG$8,Z$9,'Venture Summary - Mthly'!$E302:$EG302)</f>
        <v>0</v>
      </c>
      <c r="AA299" s="798">
        <f>SUMIF('Venture Summary - Mthly'!$E$8:$EG$8,AA$9,'Venture Summary - Mthly'!$E302:$EG302)</f>
        <v>0</v>
      </c>
      <c r="AB299" s="798">
        <f>SUMIF('Venture Summary - Mthly'!$E$8:$EG$8,AB$9,'Venture Summary - Mthly'!$E302:$EG302)</f>
        <v>0</v>
      </c>
      <c r="AC299" s="798">
        <f>SUMIF('Venture Summary - Mthly'!$E$8:$EG$8,AC$9,'Venture Summary - Mthly'!$E302:$EG302)</f>
        <v>0</v>
      </c>
      <c r="AD299" s="798">
        <f>SUMIF('Venture Summary - Mthly'!$E$8:$EG$8,AD$9,'Venture Summary - Mthly'!$E302:$EG302)</f>
        <v>0</v>
      </c>
      <c r="AE299" s="798">
        <f>SUMIF('Venture Summary - Mthly'!$E$8:$EG$8,AE$9,'Venture Summary - Mthly'!$E302:$EG302)</f>
        <v>0</v>
      </c>
      <c r="AF299" s="798">
        <f>SUMIF('Venture Summary - Mthly'!$E$8:$EG$8,AF$9,'Venture Summary - Mthly'!$E302:$EG302)</f>
        <v>0</v>
      </c>
      <c r="AG299" s="798">
        <f>SUMIF('Venture Summary - Mthly'!$E$8:$EG$8,AG$9,'Venture Summary - Mthly'!$E302:$EG302)</f>
        <v>0</v>
      </c>
      <c r="AH299" s="798">
        <f>SUMIF('Venture Summary - Mthly'!$E$8:$EG$8,AH$9,'Venture Summary - Mthly'!$E302:$EG302)</f>
        <v>0</v>
      </c>
      <c r="AI299" s="798">
        <f>SUMIF('Venture Summary - Mthly'!$E$8:$EG$8,AI$9,'Venture Summary - Mthly'!$E302:$EG302)</f>
        <v>0</v>
      </c>
      <c r="AJ299" s="798">
        <f>SUMIF('Venture Summary - Mthly'!$E$8:$EG$8,AJ$9,'Venture Summary - Mthly'!$E302:$EG302)</f>
        <v>0</v>
      </c>
      <c r="AK299" s="798">
        <f>SUMIF('Venture Summary - Mthly'!$E$8:$EG$8,AK$9,'Venture Summary - Mthly'!$E302:$EG302)</f>
        <v>985082.64398422174</v>
      </c>
      <c r="AL299" s="798">
        <f>SUMIF('Venture Summary - Mthly'!$E$8:$EG$8,AL$9,'Venture Summary - Mthly'!$E302:$EG302)</f>
        <v>0</v>
      </c>
      <c r="AM299" s="798">
        <f>SUMIF('Venture Summary - Mthly'!$E$8:$EG$8,AM$9,'Venture Summary - Mthly'!$E302:$EG302)</f>
        <v>0</v>
      </c>
      <c r="AN299" s="798">
        <f>SUMIF('Venture Summary - Mthly'!$E$8:$EG$8,AN$9,'Venture Summary - Mthly'!$E302:$EG302)</f>
        <v>0</v>
      </c>
      <c r="AO299" s="798">
        <f>SUMIF('Venture Summary - Mthly'!$E$8:$EG$8,AO$9,'Venture Summary - Mthly'!$E302:$EG302)</f>
        <v>0</v>
      </c>
      <c r="AP299" s="798">
        <f>SUMIF('Venture Summary - Mthly'!$E$8:$EG$8,AP$9,'Venture Summary - Mthly'!$E302:$EG302)</f>
        <v>0</v>
      </c>
      <c r="AQ299" s="798">
        <f>SUMIF('Venture Summary - Mthly'!$E$8:$EG$8,AQ$9,'Venture Summary - Mthly'!$E302:$EG302)</f>
        <v>0</v>
      </c>
      <c r="AR299" s="798">
        <f>SUMIF('Venture Summary - Mthly'!$E$8:$EG$8,AR$9,'Venture Summary - Mthly'!$E302:$EG302)</f>
        <v>0</v>
      </c>
      <c r="AS299" s="798">
        <f>SUMIF('Venture Summary - Mthly'!$E$8:$EG$8,AS$9,'Venture Summary - Mthly'!$E302:$EG302)</f>
        <v>0</v>
      </c>
      <c r="AT299" s="798">
        <f>SUMIF('Venture Summary - Mthly'!$E$8:$EG$8,AT$9,'Venture Summary - Mthly'!$E302:$EG302)</f>
        <v>0</v>
      </c>
      <c r="AU299" s="798">
        <f>SUMIF('Venture Summary - Mthly'!$E$8:$EG$8,AU$9,'Venture Summary - Mthly'!$E302:$EG302)</f>
        <v>0</v>
      </c>
      <c r="AV299" s="798">
        <f>SUMIF('Venture Summary - Mthly'!$E$8:$EG$8,AV$9,'Venture Summary - Mthly'!$E302:$EG302)</f>
        <v>0</v>
      </c>
      <c r="AW299" s="798">
        <f>SUMIF('Venture Summary - Mthly'!$E$8:$EG$8,AW$9,'Venture Summary - Mthly'!$E302:$EG302)</f>
        <v>0</v>
      </c>
      <c r="AX299" s="798"/>
    </row>
    <row r="300" spans="1:50" ht="12.75" customHeight="1" x14ac:dyDescent="0.3">
      <c r="A300" s="782"/>
      <c r="B300" s="781" t="s">
        <v>172</v>
      </c>
      <c r="C300" s="799"/>
      <c r="D300" s="781"/>
      <c r="E300" s="799">
        <f>SUMIF('Venture Summary - Mthly'!$E$8:$EG$8,E$9,'Venture Summary - Mthly'!$E303:$EG303)</f>
        <v>0</v>
      </c>
      <c r="F300" s="799">
        <f>SUMIF('Venture Summary - Mthly'!$E$8:$EG$8,F$9,'Venture Summary - Mthly'!$E303:$EG303)</f>
        <v>0</v>
      </c>
      <c r="G300" s="799">
        <f>SUMIF('Venture Summary - Mthly'!$E$8:$EG$8,G$9,'Venture Summary - Mthly'!$E303:$EG303)</f>
        <v>0</v>
      </c>
      <c r="H300" s="799">
        <f>SUMIF('Venture Summary - Mthly'!$E$8:$EG$8,H$9,'Venture Summary - Mthly'!$E303:$EG303)</f>
        <v>0</v>
      </c>
      <c r="I300" s="799">
        <f>SUMIF('Venture Summary - Mthly'!$E$8:$EG$8,I$9,'Venture Summary - Mthly'!$E303:$EG303)</f>
        <v>0</v>
      </c>
      <c r="J300" s="799">
        <f>SUMIF('Venture Summary - Mthly'!$E$8:$EG$8,J$9,'Venture Summary - Mthly'!$E303:$EG303)</f>
        <v>0</v>
      </c>
      <c r="K300" s="799">
        <f>SUMIF('Venture Summary - Mthly'!$E$8:$EG$8,K$9,'Venture Summary - Mthly'!$E303:$EG303)</f>
        <v>0</v>
      </c>
      <c r="L300" s="799">
        <f>SUMIF('Venture Summary - Mthly'!$E$8:$EG$8,L$9,'Venture Summary - Mthly'!$E303:$EG303)</f>
        <v>0</v>
      </c>
      <c r="M300" s="799">
        <f>SUMIF('Venture Summary - Mthly'!$E$8:$EG$8,M$9,'Venture Summary - Mthly'!$E303:$EG303)</f>
        <v>0</v>
      </c>
      <c r="N300" s="799">
        <f>SUMIF('Venture Summary - Mthly'!$E$8:$EG$8,N$9,'Venture Summary - Mthly'!$E303:$EG303)</f>
        <v>0</v>
      </c>
      <c r="O300" s="799">
        <f>SUMIF('Venture Summary - Mthly'!$E$8:$EG$8,O$9,'Venture Summary - Mthly'!$E303:$EG303)</f>
        <v>0</v>
      </c>
      <c r="P300" s="799">
        <f>SUMIF('Venture Summary - Mthly'!$E$8:$EG$8,P$9,'Venture Summary - Mthly'!$E303:$EG303)</f>
        <v>0</v>
      </c>
      <c r="Q300" s="799">
        <f>SUMIF('Venture Summary - Mthly'!$E$8:$EG$8,Q$9,'Venture Summary - Mthly'!$E303:$EG303)</f>
        <v>0</v>
      </c>
      <c r="R300" s="799">
        <f>SUMIF('Venture Summary - Mthly'!$E$8:$EG$8,R$9,'Venture Summary - Mthly'!$E303:$EG303)</f>
        <v>0</v>
      </c>
      <c r="S300" s="799">
        <f>SUMIF('Venture Summary - Mthly'!$E$8:$EG$8,S$9,'Venture Summary - Mthly'!$E303:$EG303)</f>
        <v>0</v>
      </c>
      <c r="T300" s="799">
        <f>SUMIF('Venture Summary - Mthly'!$E$8:$EG$8,T$9,'Venture Summary - Mthly'!$E303:$EG303)</f>
        <v>0</v>
      </c>
      <c r="U300" s="799">
        <f>SUMIF('Venture Summary - Mthly'!$E$8:$EG$8,U$9,'Venture Summary - Mthly'!$E303:$EG303)</f>
        <v>0</v>
      </c>
      <c r="V300" s="799">
        <f>SUMIF('Venture Summary - Mthly'!$E$8:$EG$8,V$9,'Venture Summary - Mthly'!$E303:$EG303)</f>
        <v>0</v>
      </c>
      <c r="W300" s="799">
        <f>SUMIF('Venture Summary - Mthly'!$E$8:$EG$8,W$9,'Venture Summary - Mthly'!$E303:$EG303)</f>
        <v>0</v>
      </c>
      <c r="X300" s="799">
        <f>SUMIF('Venture Summary - Mthly'!$E$8:$EG$8,X$9,'Venture Summary - Mthly'!$E303:$EG303)</f>
        <v>0</v>
      </c>
      <c r="Y300" s="799">
        <f>SUMIF('Venture Summary - Mthly'!$E$8:$EG$8,Y$9,'Venture Summary - Mthly'!$E303:$EG303)</f>
        <v>0</v>
      </c>
      <c r="Z300" s="799">
        <f>SUMIF('Venture Summary - Mthly'!$E$8:$EG$8,Z$9,'Venture Summary - Mthly'!$E303:$EG303)</f>
        <v>0</v>
      </c>
      <c r="AA300" s="799">
        <f>SUMIF('Venture Summary - Mthly'!$E$8:$EG$8,AA$9,'Venture Summary - Mthly'!$E303:$EG303)</f>
        <v>0</v>
      </c>
      <c r="AB300" s="799">
        <f>SUMIF('Venture Summary - Mthly'!$E$8:$EG$8,AB$9,'Venture Summary - Mthly'!$E303:$EG303)</f>
        <v>0</v>
      </c>
      <c r="AC300" s="799">
        <f>SUMIF('Venture Summary - Mthly'!$E$8:$EG$8,AC$9,'Venture Summary - Mthly'!$E303:$EG303)</f>
        <v>0</v>
      </c>
      <c r="AD300" s="799">
        <f>SUMIF('Venture Summary - Mthly'!$E$8:$EG$8,AD$9,'Venture Summary - Mthly'!$E303:$EG303)</f>
        <v>0</v>
      </c>
      <c r="AE300" s="799">
        <f>SUMIF('Venture Summary - Mthly'!$E$8:$EG$8,AE$9,'Venture Summary - Mthly'!$E303:$EG303)</f>
        <v>0</v>
      </c>
      <c r="AF300" s="799">
        <f>SUMIF('Venture Summary - Mthly'!$E$8:$EG$8,AF$9,'Venture Summary - Mthly'!$E303:$EG303)</f>
        <v>0</v>
      </c>
      <c r="AG300" s="799">
        <f>SUMIF('Venture Summary - Mthly'!$E$8:$EG$8,AG$9,'Venture Summary - Mthly'!$E303:$EG303)</f>
        <v>0</v>
      </c>
      <c r="AH300" s="799">
        <f>SUMIF('Venture Summary - Mthly'!$E$8:$EG$8,AH$9,'Venture Summary - Mthly'!$E303:$EG303)</f>
        <v>0</v>
      </c>
      <c r="AI300" s="799">
        <f>SUMIF('Venture Summary - Mthly'!$E$8:$EG$8,AI$9,'Venture Summary - Mthly'!$E303:$EG303)</f>
        <v>0</v>
      </c>
      <c r="AJ300" s="799">
        <f>SUMIF('Venture Summary - Mthly'!$E$8:$EG$8,AJ$9,'Venture Summary - Mthly'!$E303:$EG303)</f>
        <v>0</v>
      </c>
      <c r="AK300" s="799">
        <f>SUMIF('Venture Summary - Mthly'!$E$8:$EG$8,AK$9,'Venture Summary - Mthly'!$E303:$EG303)</f>
        <v>5582134.9825772569</v>
      </c>
      <c r="AL300" s="799">
        <f>SUMIF('Venture Summary - Mthly'!$E$8:$EG$8,AL$9,'Venture Summary - Mthly'!$E303:$EG303)</f>
        <v>0</v>
      </c>
      <c r="AM300" s="799">
        <f>SUMIF('Venture Summary - Mthly'!$E$8:$EG$8,AM$9,'Venture Summary - Mthly'!$E303:$EG303)</f>
        <v>0</v>
      </c>
      <c r="AN300" s="799">
        <f>SUMIF('Venture Summary - Mthly'!$E$8:$EG$8,AN$9,'Venture Summary - Mthly'!$E303:$EG303)</f>
        <v>0</v>
      </c>
      <c r="AO300" s="799">
        <f>SUMIF('Venture Summary - Mthly'!$E$8:$EG$8,AO$9,'Venture Summary - Mthly'!$E303:$EG303)</f>
        <v>0</v>
      </c>
      <c r="AP300" s="799">
        <f>SUMIF('Venture Summary - Mthly'!$E$8:$EG$8,AP$9,'Venture Summary - Mthly'!$E303:$EG303)</f>
        <v>0</v>
      </c>
      <c r="AQ300" s="799">
        <f>SUMIF('Venture Summary - Mthly'!$E$8:$EG$8,AQ$9,'Venture Summary - Mthly'!$E303:$EG303)</f>
        <v>0</v>
      </c>
      <c r="AR300" s="799">
        <f>SUMIF('Venture Summary - Mthly'!$E$8:$EG$8,AR$9,'Venture Summary - Mthly'!$E303:$EG303)</f>
        <v>0</v>
      </c>
      <c r="AS300" s="799">
        <f>SUMIF('Venture Summary - Mthly'!$E$8:$EG$8,AS$9,'Venture Summary - Mthly'!$E303:$EG303)</f>
        <v>0</v>
      </c>
      <c r="AT300" s="799">
        <f>SUMIF('Venture Summary - Mthly'!$E$8:$EG$8,AT$9,'Venture Summary - Mthly'!$E303:$EG303)</f>
        <v>0</v>
      </c>
      <c r="AU300" s="799">
        <f>SUMIF('Venture Summary - Mthly'!$E$8:$EG$8,AU$9,'Venture Summary - Mthly'!$E303:$EG303)</f>
        <v>0</v>
      </c>
      <c r="AV300" s="799">
        <f>SUMIF('Venture Summary - Mthly'!$E$8:$EG$8,AV$9,'Venture Summary - Mthly'!$E303:$EG303)</f>
        <v>0</v>
      </c>
      <c r="AW300" s="799">
        <f>SUMIF('Venture Summary - Mthly'!$E$8:$EG$8,AW$9,'Venture Summary - Mthly'!$E303:$EG303)</f>
        <v>0</v>
      </c>
      <c r="AX300" s="798"/>
    </row>
    <row r="301" spans="1:50" ht="12.75" customHeight="1" x14ac:dyDescent="0.3">
      <c r="A301" s="782"/>
      <c r="B301" s="782" t="s">
        <v>173</v>
      </c>
      <c r="C301" s="798"/>
      <c r="D301" s="782"/>
      <c r="E301" s="798">
        <f t="shared" ref="E301:AJ301" si="68">SUM(E299:E300)</f>
        <v>0</v>
      </c>
      <c r="F301" s="798">
        <f t="shared" si="68"/>
        <v>0</v>
      </c>
      <c r="G301" s="798">
        <f t="shared" si="68"/>
        <v>0</v>
      </c>
      <c r="H301" s="798">
        <f>SUM(H299:H300)</f>
        <v>0</v>
      </c>
      <c r="I301" s="798">
        <f>SUM(I299:I300)</f>
        <v>0</v>
      </c>
      <c r="J301" s="798">
        <f>SUM(J299:J300)</f>
        <v>0</v>
      </c>
      <c r="K301" s="798">
        <f t="shared" si="68"/>
        <v>0</v>
      </c>
      <c r="L301" s="798">
        <f t="shared" si="68"/>
        <v>0</v>
      </c>
      <c r="M301" s="798">
        <f t="shared" si="68"/>
        <v>0</v>
      </c>
      <c r="N301" s="798">
        <f t="shared" si="68"/>
        <v>0</v>
      </c>
      <c r="O301" s="798">
        <f t="shared" si="68"/>
        <v>0</v>
      </c>
      <c r="P301" s="798">
        <f t="shared" si="68"/>
        <v>0</v>
      </c>
      <c r="Q301" s="798">
        <f t="shared" si="68"/>
        <v>0</v>
      </c>
      <c r="R301" s="798">
        <f t="shared" si="68"/>
        <v>0</v>
      </c>
      <c r="S301" s="798">
        <f t="shared" si="68"/>
        <v>0</v>
      </c>
      <c r="T301" s="798">
        <f t="shared" si="68"/>
        <v>0</v>
      </c>
      <c r="U301" s="798">
        <f t="shared" si="68"/>
        <v>0</v>
      </c>
      <c r="V301" s="798">
        <f t="shared" si="68"/>
        <v>0</v>
      </c>
      <c r="W301" s="798">
        <f t="shared" si="68"/>
        <v>0</v>
      </c>
      <c r="X301" s="798">
        <f t="shared" si="68"/>
        <v>0</v>
      </c>
      <c r="Y301" s="798">
        <f t="shared" si="68"/>
        <v>0</v>
      </c>
      <c r="Z301" s="798">
        <f t="shared" si="68"/>
        <v>0</v>
      </c>
      <c r="AA301" s="798">
        <f t="shared" si="68"/>
        <v>0</v>
      </c>
      <c r="AB301" s="798">
        <f t="shared" si="68"/>
        <v>0</v>
      </c>
      <c r="AC301" s="798">
        <f t="shared" si="68"/>
        <v>0</v>
      </c>
      <c r="AD301" s="798">
        <f t="shared" si="68"/>
        <v>0</v>
      </c>
      <c r="AE301" s="798">
        <f t="shared" si="68"/>
        <v>0</v>
      </c>
      <c r="AF301" s="798">
        <f t="shared" si="68"/>
        <v>0</v>
      </c>
      <c r="AG301" s="798">
        <f t="shared" si="68"/>
        <v>0</v>
      </c>
      <c r="AH301" s="798">
        <f t="shared" si="68"/>
        <v>0</v>
      </c>
      <c r="AI301" s="798">
        <f t="shared" si="68"/>
        <v>0</v>
      </c>
      <c r="AJ301" s="798">
        <f t="shared" si="68"/>
        <v>0</v>
      </c>
      <c r="AK301" s="798">
        <f t="shared" ref="AK301:AW301" si="69">SUM(AK299:AK300)</f>
        <v>6567217.6265614787</v>
      </c>
      <c r="AL301" s="798">
        <f t="shared" si="69"/>
        <v>0</v>
      </c>
      <c r="AM301" s="798">
        <f t="shared" si="69"/>
        <v>0</v>
      </c>
      <c r="AN301" s="798">
        <f t="shared" si="69"/>
        <v>0</v>
      </c>
      <c r="AO301" s="798">
        <f t="shared" si="69"/>
        <v>0</v>
      </c>
      <c r="AP301" s="798">
        <f t="shared" si="69"/>
        <v>0</v>
      </c>
      <c r="AQ301" s="798">
        <f t="shared" si="69"/>
        <v>0</v>
      </c>
      <c r="AR301" s="798">
        <f t="shared" si="69"/>
        <v>0</v>
      </c>
      <c r="AS301" s="798">
        <f t="shared" si="69"/>
        <v>0</v>
      </c>
      <c r="AT301" s="798">
        <f t="shared" si="69"/>
        <v>0</v>
      </c>
      <c r="AU301" s="798">
        <f t="shared" si="69"/>
        <v>0</v>
      </c>
      <c r="AV301" s="798">
        <f t="shared" si="69"/>
        <v>0</v>
      </c>
      <c r="AW301" s="798">
        <f t="shared" si="69"/>
        <v>0</v>
      </c>
      <c r="AX301" s="798"/>
    </row>
    <row r="302" spans="1:50" ht="12.75" customHeight="1" x14ac:dyDescent="0.3">
      <c r="A302" s="782"/>
      <c r="B302" s="782" t="s">
        <v>174</v>
      </c>
      <c r="C302" s="798"/>
      <c r="D302" s="782"/>
      <c r="E302" s="798">
        <f>SUMIF('Venture Summary - Mthly'!$E$8:$EG$8,E$9,'Venture Summary - Mthly'!$E305:$EG305)</f>
        <v>0</v>
      </c>
      <c r="F302" s="798">
        <f>SUMIF('Venture Summary - Mthly'!$E$8:$EG$8,F$9,'Venture Summary - Mthly'!$E305:$EG305)</f>
        <v>0</v>
      </c>
      <c r="G302" s="798">
        <f>SUMIF('Venture Summary - Mthly'!$E$8:$EG$8,G$9,'Venture Summary - Mthly'!$E305:$EG305)</f>
        <v>0</v>
      </c>
      <c r="H302" s="798">
        <f>SUMIF('Venture Summary - Mthly'!$E$8:$EG$8,H$9,'Venture Summary - Mthly'!$E305:$EG305)</f>
        <v>0</v>
      </c>
      <c r="I302" s="798">
        <f>SUMIF('Venture Summary - Mthly'!$E$8:$EG$8,I$9,'Venture Summary - Mthly'!$E305:$EG305)</f>
        <v>0</v>
      </c>
      <c r="J302" s="798">
        <f>SUMIF('Venture Summary - Mthly'!$E$8:$EG$8,J$9,'Venture Summary - Mthly'!$E305:$EG305)</f>
        <v>0</v>
      </c>
      <c r="K302" s="798">
        <f>SUMIF('Venture Summary - Mthly'!$E$8:$EG$8,K$9,'Venture Summary - Mthly'!$E305:$EG305)</f>
        <v>0</v>
      </c>
      <c r="L302" s="798">
        <f>SUMIF('Venture Summary - Mthly'!$E$8:$EG$8,L$9,'Venture Summary - Mthly'!$E305:$EG305)</f>
        <v>0</v>
      </c>
      <c r="M302" s="798">
        <f>SUMIF('Venture Summary - Mthly'!$E$8:$EG$8,M$9,'Venture Summary - Mthly'!$E305:$EG305)</f>
        <v>0</v>
      </c>
      <c r="N302" s="798">
        <f>SUMIF('Venture Summary - Mthly'!$E$8:$EG$8,N$9,'Venture Summary - Mthly'!$E305:$EG305)</f>
        <v>0</v>
      </c>
      <c r="O302" s="798">
        <f>SUMIF('Venture Summary - Mthly'!$E$8:$EG$8,O$9,'Venture Summary - Mthly'!$E305:$EG305)</f>
        <v>0</v>
      </c>
      <c r="P302" s="798">
        <f>SUMIF('Venture Summary - Mthly'!$E$8:$EG$8,P$9,'Venture Summary - Mthly'!$E305:$EG305)</f>
        <v>0</v>
      </c>
      <c r="Q302" s="798">
        <f>SUMIF('Venture Summary - Mthly'!$E$8:$EG$8,Q$9,'Venture Summary - Mthly'!$E305:$EG305)</f>
        <v>0</v>
      </c>
      <c r="R302" s="798">
        <f>SUMIF('Venture Summary - Mthly'!$E$8:$EG$8,R$9,'Venture Summary - Mthly'!$E305:$EG305)</f>
        <v>0</v>
      </c>
      <c r="S302" s="798">
        <f>SUMIF('Venture Summary - Mthly'!$E$8:$EG$8,S$9,'Venture Summary - Mthly'!$E305:$EG305)</f>
        <v>0</v>
      </c>
      <c r="T302" s="798">
        <f>SUMIF('Venture Summary - Mthly'!$E$8:$EG$8,T$9,'Venture Summary - Mthly'!$E305:$EG305)</f>
        <v>0</v>
      </c>
      <c r="U302" s="798">
        <f>SUMIF('Venture Summary - Mthly'!$E$8:$EG$8,U$9,'Venture Summary - Mthly'!$E305:$EG305)</f>
        <v>0</v>
      </c>
      <c r="V302" s="798">
        <f>SUMIF('Venture Summary - Mthly'!$E$8:$EG$8,V$9,'Venture Summary - Mthly'!$E305:$EG305)</f>
        <v>0</v>
      </c>
      <c r="W302" s="798">
        <f>SUMIF('Venture Summary - Mthly'!$E$8:$EG$8,W$9,'Venture Summary - Mthly'!$E305:$EG305)</f>
        <v>0</v>
      </c>
      <c r="X302" s="798">
        <f>SUMIF('Venture Summary - Mthly'!$E$8:$EG$8,X$9,'Venture Summary - Mthly'!$E305:$EG305)</f>
        <v>0</v>
      </c>
      <c r="Y302" s="798">
        <f>SUMIF('Venture Summary - Mthly'!$E$8:$EG$8,Y$9,'Venture Summary - Mthly'!$E305:$EG305)</f>
        <v>0</v>
      </c>
      <c r="Z302" s="798">
        <f>SUMIF('Venture Summary - Mthly'!$E$8:$EG$8,Z$9,'Venture Summary - Mthly'!$E305:$EG305)</f>
        <v>0</v>
      </c>
      <c r="AA302" s="798">
        <f>SUMIF('Venture Summary - Mthly'!$E$8:$EG$8,AA$9,'Venture Summary - Mthly'!$E305:$EG305)</f>
        <v>0</v>
      </c>
      <c r="AB302" s="798">
        <f>SUMIF('Venture Summary - Mthly'!$E$8:$EG$8,AB$9,'Venture Summary - Mthly'!$E305:$EG305)</f>
        <v>0</v>
      </c>
      <c r="AC302" s="798">
        <f>SUMIF('Venture Summary - Mthly'!$E$8:$EG$8,AC$9,'Venture Summary - Mthly'!$E305:$EG305)</f>
        <v>0</v>
      </c>
      <c r="AD302" s="798">
        <f>SUMIF('Venture Summary - Mthly'!$E$8:$EG$8,AD$9,'Venture Summary - Mthly'!$E305:$EG305)</f>
        <v>0</v>
      </c>
      <c r="AE302" s="798">
        <f>SUMIF('Venture Summary - Mthly'!$E$8:$EG$8,AE$9,'Venture Summary - Mthly'!$E305:$EG305)</f>
        <v>0</v>
      </c>
      <c r="AF302" s="798">
        <f>SUMIF('Venture Summary - Mthly'!$E$8:$EG$8,AF$9,'Venture Summary - Mthly'!$E305:$EG305)</f>
        <v>0</v>
      </c>
      <c r="AG302" s="798">
        <f>SUMIF('Venture Summary - Mthly'!$E$8:$EG$8,AG$9,'Venture Summary - Mthly'!$E305:$EG305)</f>
        <v>0</v>
      </c>
      <c r="AH302" s="798">
        <f>SUMIF('Venture Summary - Mthly'!$E$8:$EG$8,AH$9,'Venture Summary - Mthly'!$E305:$EG305)</f>
        <v>0</v>
      </c>
      <c r="AI302" s="798">
        <f>SUMIF('Venture Summary - Mthly'!$E$8:$EG$8,AI$9,'Venture Summary - Mthly'!$E305:$EG305)</f>
        <v>0</v>
      </c>
      <c r="AJ302" s="798">
        <f>SUMIF('Venture Summary - Mthly'!$E$8:$EG$8,AJ$9,'Venture Summary - Mthly'!$E305:$EG305)</f>
        <v>0</v>
      </c>
      <c r="AK302" s="798">
        <f>SUMIF('Venture Summary - Mthly'!$E$8:$EG$8,AK$9,'Venture Summary - Mthly'!$E305:$EG305)</f>
        <v>13574469.836984336</v>
      </c>
      <c r="AL302" s="798">
        <f>SUMIF('Venture Summary - Mthly'!$E$8:$EG$8,AL$9,'Venture Summary - Mthly'!$E305:$EG305)</f>
        <v>0</v>
      </c>
      <c r="AM302" s="798">
        <f>SUMIF('Venture Summary - Mthly'!$E$8:$EG$8,AM$9,'Venture Summary - Mthly'!$E305:$EG305)</f>
        <v>0</v>
      </c>
      <c r="AN302" s="798">
        <f>SUMIF('Venture Summary - Mthly'!$E$8:$EG$8,AN$9,'Venture Summary - Mthly'!$E305:$EG305)</f>
        <v>0</v>
      </c>
      <c r="AO302" s="798">
        <f>SUMIF('Venture Summary - Mthly'!$E$8:$EG$8,AO$9,'Venture Summary - Mthly'!$E305:$EG305)</f>
        <v>0</v>
      </c>
      <c r="AP302" s="798">
        <f>SUMIF('Venture Summary - Mthly'!$E$8:$EG$8,AP$9,'Venture Summary - Mthly'!$E305:$EG305)</f>
        <v>0</v>
      </c>
      <c r="AQ302" s="798">
        <f>SUMIF('Venture Summary - Mthly'!$E$8:$EG$8,AQ$9,'Venture Summary - Mthly'!$E305:$EG305)</f>
        <v>0</v>
      </c>
      <c r="AR302" s="798">
        <f>SUMIF('Venture Summary - Mthly'!$E$8:$EG$8,AR$9,'Venture Summary - Mthly'!$E305:$EG305)</f>
        <v>0</v>
      </c>
      <c r="AS302" s="798">
        <f>SUMIF('Venture Summary - Mthly'!$E$8:$EG$8,AS$9,'Venture Summary - Mthly'!$E305:$EG305)</f>
        <v>0</v>
      </c>
      <c r="AT302" s="798">
        <f>SUMIF('Venture Summary - Mthly'!$E$8:$EG$8,AT$9,'Venture Summary - Mthly'!$E305:$EG305)</f>
        <v>0</v>
      </c>
      <c r="AU302" s="798">
        <f>SUMIF('Venture Summary - Mthly'!$E$8:$EG$8,AU$9,'Venture Summary - Mthly'!$E305:$EG305)</f>
        <v>0</v>
      </c>
      <c r="AV302" s="798">
        <f>SUMIF('Venture Summary - Mthly'!$E$8:$EG$8,AV$9,'Venture Summary - Mthly'!$E305:$EG305)</f>
        <v>0</v>
      </c>
      <c r="AW302" s="798">
        <f>SUMIF('Venture Summary - Mthly'!$E$8:$EG$8,AW$9,'Venture Summary - Mthly'!$E305:$EG305)</f>
        <v>0</v>
      </c>
      <c r="AX302" s="798"/>
    </row>
    <row r="303" spans="1:50" ht="12.75" customHeight="1" x14ac:dyDescent="0.3">
      <c r="A303" s="782"/>
      <c r="B303" s="782"/>
      <c r="C303" s="798"/>
      <c r="D303" s="782"/>
      <c r="E303" s="798"/>
      <c r="F303" s="798"/>
      <c r="G303" s="798"/>
      <c r="H303" s="798"/>
      <c r="I303" s="798"/>
      <c r="J303" s="798"/>
      <c r="K303" s="798"/>
      <c r="L303" s="798"/>
      <c r="M303" s="798"/>
      <c r="N303" s="798"/>
      <c r="O303" s="798"/>
      <c r="P303" s="798"/>
      <c r="Q303" s="798"/>
      <c r="R303" s="798"/>
      <c r="S303" s="798"/>
      <c r="T303" s="798"/>
      <c r="U303" s="798"/>
      <c r="V303" s="798"/>
      <c r="W303" s="798"/>
      <c r="X303" s="798"/>
      <c r="Y303" s="798"/>
      <c r="Z303" s="798"/>
      <c r="AA303" s="798"/>
      <c r="AB303" s="798"/>
      <c r="AC303" s="798"/>
      <c r="AD303" s="798"/>
      <c r="AE303" s="798"/>
      <c r="AF303" s="798"/>
      <c r="AG303" s="798"/>
      <c r="AH303" s="798"/>
      <c r="AI303" s="798"/>
      <c r="AJ303" s="798"/>
      <c r="AK303" s="798"/>
      <c r="AL303" s="798"/>
      <c r="AM303" s="798"/>
      <c r="AN303" s="798"/>
      <c r="AO303" s="798"/>
      <c r="AP303" s="798"/>
      <c r="AQ303" s="798"/>
      <c r="AR303" s="798"/>
      <c r="AS303" s="798"/>
      <c r="AT303" s="798"/>
      <c r="AU303" s="798"/>
      <c r="AV303" s="798"/>
      <c r="AW303" s="798"/>
      <c r="AX303" s="798"/>
    </row>
    <row r="304" spans="1:50" ht="12.75" customHeight="1" x14ac:dyDescent="0.3">
      <c r="A304" s="782"/>
      <c r="B304" s="796" t="s">
        <v>175</v>
      </c>
      <c r="C304" s="798"/>
      <c r="D304" s="782"/>
      <c r="E304" s="798"/>
      <c r="F304" s="798"/>
      <c r="G304" s="798"/>
      <c r="H304" s="798"/>
      <c r="I304" s="798"/>
      <c r="J304" s="798"/>
      <c r="K304" s="798"/>
      <c r="L304" s="798"/>
      <c r="M304" s="798"/>
      <c r="N304" s="798"/>
      <c r="O304" s="798"/>
      <c r="P304" s="798"/>
      <c r="Q304" s="798"/>
      <c r="R304" s="798"/>
      <c r="S304" s="798"/>
      <c r="T304" s="798"/>
      <c r="U304" s="798"/>
      <c r="V304" s="798"/>
      <c r="W304" s="798"/>
      <c r="X304" s="798"/>
      <c r="Y304" s="798"/>
      <c r="Z304" s="798"/>
      <c r="AA304" s="798"/>
      <c r="AB304" s="798"/>
      <c r="AC304" s="798"/>
      <c r="AD304" s="798"/>
      <c r="AE304" s="798"/>
      <c r="AF304" s="798"/>
      <c r="AG304" s="798"/>
      <c r="AH304" s="798"/>
      <c r="AI304" s="798"/>
      <c r="AJ304" s="798"/>
      <c r="AK304" s="798"/>
      <c r="AL304" s="798"/>
      <c r="AM304" s="798"/>
      <c r="AN304" s="798"/>
      <c r="AO304" s="798"/>
      <c r="AP304" s="798"/>
      <c r="AQ304" s="798"/>
      <c r="AR304" s="798"/>
      <c r="AS304" s="798"/>
      <c r="AT304" s="798"/>
      <c r="AU304" s="798"/>
      <c r="AV304" s="798"/>
      <c r="AW304" s="798"/>
      <c r="AX304" s="798"/>
    </row>
    <row r="305" spans="1:50" ht="12.75" customHeight="1" x14ac:dyDescent="0.3">
      <c r="A305" s="782"/>
      <c r="B305" s="782"/>
      <c r="C305" s="798"/>
      <c r="D305" s="782"/>
      <c r="E305" s="798"/>
      <c r="F305" s="798"/>
      <c r="G305" s="798"/>
      <c r="H305" s="798"/>
      <c r="I305" s="798"/>
      <c r="J305" s="798"/>
      <c r="K305" s="798"/>
      <c r="L305" s="798"/>
      <c r="M305" s="798"/>
      <c r="N305" s="798"/>
      <c r="O305" s="798"/>
      <c r="P305" s="798"/>
      <c r="Q305" s="798"/>
      <c r="R305" s="798"/>
      <c r="S305" s="798"/>
      <c r="T305" s="798"/>
      <c r="U305" s="798"/>
      <c r="V305" s="798"/>
      <c r="W305" s="798"/>
      <c r="X305" s="798"/>
      <c r="Y305" s="798"/>
      <c r="Z305" s="798"/>
      <c r="AA305" s="798"/>
      <c r="AB305" s="798"/>
      <c r="AC305" s="798"/>
      <c r="AD305" s="798"/>
      <c r="AE305" s="798"/>
      <c r="AF305" s="798"/>
      <c r="AG305" s="798"/>
      <c r="AH305" s="798"/>
      <c r="AI305" s="798"/>
      <c r="AJ305" s="798"/>
      <c r="AK305" s="798"/>
      <c r="AL305" s="798"/>
      <c r="AM305" s="798"/>
      <c r="AN305" s="798"/>
      <c r="AO305" s="798"/>
      <c r="AP305" s="798"/>
      <c r="AQ305" s="798"/>
      <c r="AR305" s="798"/>
      <c r="AS305" s="798"/>
      <c r="AT305" s="798"/>
      <c r="AU305" s="798"/>
      <c r="AV305" s="798"/>
      <c r="AW305" s="798"/>
      <c r="AX305" s="798"/>
    </row>
    <row r="306" spans="1:50" ht="12.75" customHeight="1" x14ac:dyDescent="0.3">
      <c r="A306" s="782"/>
      <c r="B306" s="781" t="s">
        <v>156</v>
      </c>
      <c r="C306" s="799"/>
      <c r="D306" s="781"/>
      <c r="E306" s="799">
        <v>0</v>
      </c>
      <c r="F306" s="799">
        <f t="shared" ref="F306:AW306" si="70">E310</f>
        <v>0</v>
      </c>
      <c r="G306" s="799">
        <f t="shared" si="70"/>
        <v>0</v>
      </c>
      <c r="H306" s="799">
        <f t="shared" si="70"/>
        <v>0</v>
      </c>
      <c r="I306" s="799">
        <f t="shared" si="70"/>
        <v>0</v>
      </c>
      <c r="J306" s="799">
        <f t="shared" si="70"/>
        <v>0</v>
      </c>
      <c r="K306" s="799">
        <f t="shared" si="70"/>
        <v>0</v>
      </c>
      <c r="L306" s="799">
        <f t="shared" si="70"/>
        <v>0</v>
      </c>
      <c r="M306" s="799">
        <f t="shared" si="70"/>
        <v>0</v>
      </c>
      <c r="N306" s="799">
        <f t="shared" si="70"/>
        <v>0</v>
      </c>
      <c r="O306" s="799">
        <f t="shared" si="70"/>
        <v>0</v>
      </c>
      <c r="P306" s="799">
        <f t="shared" si="70"/>
        <v>0</v>
      </c>
      <c r="Q306" s="799">
        <f t="shared" si="70"/>
        <v>-47095852.931763403</v>
      </c>
      <c r="R306" s="799">
        <f t="shared" si="70"/>
        <v>-47612567.991190918</v>
      </c>
      <c r="S306" s="799">
        <f t="shared" si="70"/>
        <v>-48107318.603760406</v>
      </c>
      <c r="T306" s="799">
        <f t="shared" si="70"/>
        <v>-48602183.704566158</v>
      </c>
      <c r="U306" s="799">
        <f t="shared" si="70"/>
        <v>-49116706.328650199</v>
      </c>
      <c r="V306" s="799">
        <f t="shared" si="70"/>
        <v>-49625916.100554526</v>
      </c>
      <c r="W306" s="799">
        <f t="shared" si="70"/>
        <v>-50119554.223455273</v>
      </c>
      <c r="X306" s="799">
        <f t="shared" si="70"/>
        <v>-50629668.378490977</v>
      </c>
      <c r="Y306" s="799">
        <f t="shared" si="70"/>
        <v>-51153266.349080734</v>
      </c>
      <c r="Z306" s="799">
        <f t="shared" si="70"/>
        <v>-51674140.679685593</v>
      </c>
      <c r="AA306" s="799">
        <f t="shared" si="70"/>
        <v>-52177379.102594092</v>
      </c>
      <c r="AB306" s="799">
        <f t="shared" si="70"/>
        <v>-52680489.691003092</v>
      </c>
      <c r="AC306" s="799">
        <f t="shared" si="70"/>
        <v>-53207107.068861246</v>
      </c>
      <c r="AD306" s="799">
        <f t="shared" si="70"/>
        <v>-53727564.251854703</v>
      </c>
      <c r="AE306" s="799">
        <f t="shared" si="70"/>
        <v>-54227577.231115267</v>
      </c>
      <c r="AF306" s="799">
        <f t="shared" si="70"/>
        <v>-54725847.114314161</v>
      </c>
      <c r="AG306" s="799">
        <f t="shared" si="70"/>
        <v>-55247301.038337506</v>
      </c>
      <c r="AH306" s="799">
        <f t="shared" si="70"/>
        <v>-55761268.623741202</v>
      </c>
      <c r="AI306" s="799">
        <f t="shared" si="70"/>
        <v>-56252986.016436361</v>
      </c>
      <c r="AJ306" s="799">
        <f t="shared" si="70"/>
        <v>-56741972.332615249</v>
      </c>
      <c r="AK306" s="799">
        <f t="shared" si="70"/>
        <v>-57254236.078221165</v>
      </c>
      <c r="AL306" s="799">
        <f t="shared" si="70"/>
        <v>14559552.480968557</v>
      </c>
      <c r="AM306" s="799">
        <f t="shared" si="70"/>
        <v>14909663.653999077</v>
      </c>
      <c r="AN306" s="799">
        <f t="shared" si="70"/>
        <v>15268193.893044241</v>
      </c>
      <c r="AO306" s="799">
        <f t="shared" si="70"/>
        <v>15639428.943666626</v>
      </c>
      <c r="AP306" s="799">
        <f t="shared" si="70"/>
        <v>16019690.305048229</v>
      </c>
      <c r="AQ306" s="799">
        <f t="shared" si="70"/>
        <v>16404913.173101174</v>
      </c>
      <c r="AR306" s="799">
        <f t="shared" si="70"/>
        <v>16795013.282348815</v>
      </c>
      <c r="AS306" s="799">
        <f t="shared" si="70"/>
        <v>17203371.838033441</v>
      </c>
      <c r="AT306" s="799">
        <f t="shared" si="70"/>
        <v>17621659.33555321</v>
      </c>
      <c r="AU306" s="799">
        <f t="shared" si="70"/>
        <v>17621659.33555321</v>
      </c>
      <c r="AV306" s="799">
        <f t="shared" si="70"/>
        <v>17621659.33555321</v>
      </c>
      <c r="AW306" s="799">
        <f t="shared" si="70"/>
        <v>17621659.33555321</v>
      </c>
      <c r="AX306" s="798"/>
    </row>
    <row r="307" spans="1:50" ht="12.75" customHeight="1" x14ac:dyDescent="0.3">
      <c r="A307" s="782"/>
      <c r="B307" s="782" t="s">
        <v>176</v>
      </c>
      <c r="C307" s="798"/>
      <c r="D307" s="782"/>
      <c r="E307" s="798">
        <f>SUMIF('Venture Summary - Mthly'!$E$8:$EG$8,E$9,'Venture Summary - Mthly'!$E310:$EG310)</f>
        <v>0</v>
      </c>
      <c r="F307" s="798">
        <f>SUMIF('Venture Summary - Mthly'!$E$8:$EG$8,F$9,'Venture Summary - Mthly'!$E310:$EG310)</f>
        <v>0</v>
      </c>
      <c r="G307" s="798">
        <f>SUMIF('Venture Summary - Mthly'!$E$8:$EG$8,G$9,'Venture Summary - Mthly'!$E310:$EG310)</f>
        <v>0</v>
      </c>
      <c r="H307" s="798">
        <f>SUMIF('Venture Summary - Mthly'!$E$8:$EG$8,H$9,'Venture Summary - Mthly'!$E310:$EG310)</f>
        <v>0</v>
      </c>
      <c r="I307" s="798">
        <f>SUMIF('Venture Summary - Mthly'!$E$8:$EG$8,I$9,'Venture Summary - Mthly'!$E310:$EG310)</f>
        <v>0</v>
      </c>
      <c r="J307" s="798">
        <f>SUMIF('Venture Summary - Mthly'!$E$8:$EG$8,J$9,'Venture Summary - Mthly'!$E310:$EG310)</f>
        <v>0</v>
      </c>
      <c r="K307" s="798">
        <f>SUMIF('Venture Summary - Mthly'!$E$8:$EG$8,K$9,'Venture Summary - Mthly'!$E310:$EG310)</f>
        <v>0</v>
      </c>
      <c r="L307" s="798">
        <f>SUMIF('Venture Summary - Mthly'!$E$8:$EG$8,L$9,'Venture Summary - Mthly'!$E310:$EG310)</f>
        <v>0</v>
      </c>
      <c r="M307" s="798">
        <f>SUMIF('Venture Summary - Mthly'!$E$8:$EG$8,M$9,'Venture Summary - Mthly'!$E310:$EG310)</f>
        <v>0</v>
      </c>
      <c r="N307" s="798">
        <f>SUMIF('Venture Summary - Mthly'!$E$8:$EG$8,N$9,'Venture Summary - Mthly'!$E310:$EG310)</f>
        <v>0</v>
      </c>
      <c r="O307" s="798">
        <f>SUMIF('Venture Summary - Mthly'!$E$8:$EG$8,O$9,'Venture Summary - Mthly'!$E310:$EG310)</f>
        <v>0</v>
      </c>
      <c r="P307" s="798">
        <f>SUMIF('Venture Summary - Mthly'!$E$8:$EG$8,P$9,'Venture Summary - Mthly'!$E310:$EG310)</f>
        <v>-495108.53396059613</v>
      </c>
      <c r="Q307" s="798">
        <f>SUMIF('Venture Summary - Mthly'!$E$8:$EG$8,Q$9,'Venture Summary - Mthly'!$E310:$EG310)</f>
        <v>-1140061.9123544469</v>
      </c>
      <c r="R307" s="798">
        <f>SUMIF('Venture Summary - Mthly'!$E$8:$EG$8,R$9,'Venture Summary - Mthly'!$E310:$EG310)</f>
        <v>-1139837.2258649103</v>
      </c>
      <c r="S307" s="798">
        <f>SUMIF('Venture Summary - Mthly'!$E$8:$EG$8,S$9,'Venture Summary - Mthly'!$E310:$EG310)</f>
        <v>-1139080.646879537</v>
      </c>
      <c r="T307" s="798">
        <f>SUMIF('Venture Summary - Mthly'!$E$8:$EG$8,T$9,'Venture Summary - Mthly'!$E310:$EG310)</f>
        <v>-1176424.7235584329</v>
      </c>
      <c r="U307" s="798">
        <f>SUMIF('Venture Summary - Mthly'!$E$8:$EG$8,U$9,'Venture Summary - Mthly'!$E310:$EG310)</f>
        <v>-1188728.8747953628</v>
      </c>
      <c r="V307" s="798">
        <f>SUMIF('Venture Summary - Mthly'!$E$8:$EG$8,V$9,'Venture Summary - Mthly'!$E310:$EG310)</f>
        <v>-1187842.9329932104</v>
      </c>
      <c r="W307" s="798">
        <f>SUMIF('Venture Summary - Mthly'!$E$8:$EG$8,W$9,'Venture Summary - Mthly'!$E310:$EG310)</f>
        <v>-1199852.7711509783</v>
      </c>
      <c r="X307" s="798">
        <f>SUMIF('Venture Summary - Mthly'!$E$8:$EG$8,X$9,'Venture Summary - Mthly'!$E310:$EG310)</f>
        <v>-1225391.9844147521</v>
      </c>
      <c r="Y307" s="798">
        <f>SUMIF('Venture Summary - Mthly'!$E$8:$EG$8,Y$9,'Venture Summary - Mthly'!$E310:$EG310)</f>
        <v>-1237939.6224984617</v>
      </c>
      <c r="Z307" s="798">
        <f>SUMIF('Venture Summary - Mthly'!$E$8:$EG$8,Z$9,'Venture Summary - Mthly'!$E310:$EG310)</f>
        <v>-1236790.1180617411</v>
      </c>
      <c r="AA307" s="798">
        <f>SUMIF('Venture Summary - Mthly'!$E$8:$EG$8,AA$9,'Venture Summary - Mthly'!$E310:$EG310)</f>
        <v>-1235190.9590485205</v>
      </c>
      <c r="AB307" s="798">
        <f>SUMIF('Venture Summary - Mthly'!$E$8:$EG$8,AB$9,'Venture Summary - Mthly'!$E310:$EG310)</f>
        <v>-1274888.7880007445</v>
      </c>
      <c r="AC307" s="798">
        <f>SUMIF('Venture Summary - Mthly'!$E$8:$EG$8,AC$9,'Venture Summary - Mthly'!$E310:$EG310)</f>
        <v>-1287475.5114938729</v>
      </c>
      <c r="AD307" s="798">
        <f>SUMIF('Venture Summary - Mthly'!$E$8:$EG$8,AD$9,'Venture Summary - Mthly'!$E310:$EG310)</f>
        <v>-1285756.472822635</v>
      </c>
      <c r="AE307" s="798">
        <f>SUMIF('Venture Summary - Mthly'!$E$8:$EG$8,AE$9,'Venture Summary - Mthly'!$E310:$EG310)</f>
        <v>-1283540.1839941756</v>
      </c>
      <c r="AF307" s="798">
        <f>SUMIF('Venture Summary - Mthly'!$E$8:$EG$8,AF$9,'Venture Summary - Mthly'!$E310:$EG310)</f>
        <v>-1324183.6502750502</v>
      </c>
      <c r="AG307" s="798">
        <f>SUMIF('Venture Summary - Mthly'!$E$8:$EG$8,AG$9,'Venture Summary - Mthly'!$E310:$EG310)</f>
        <v>-1336630.1995848222</v>
      </c>
      <c r="AH307" s="798">
        <f>SUMIF('Venture Summary - Mthly'!$E$8:$EG$8,AH$9,'Venture Summary - Mthly'!$E310:$EG310)</f>
        <v>-1334210.2482462013</v>
      </c>
      <c r="AI307" s="798">
        <f>SUMIF('Venture Summary - Mthly'!$E$8:$EG$8,AI$9,'Venture Summary - Mthly'!$E310:$EG310)</f>
        <v>-1331269.8351317591</v>
      </c>
      <c r="AJ307" s="798">
        <f>SUMIF('Venture Summary - Mthly'!$E$8:$EG$8,AJ$9,'Venture Summary - Mthly'!$E310:$EG310)</f>
        <v>-1372740.5120184598</v>
      </c>
      <c r="AK307" s="798">
        <f>SUMIF('Venture Summary - Mthly'!$E$8:$EG$8,AK$9,'Venture Summary - Mthly'!$E310:$EG310)</f>
        <v>-1384950.5291167819</v>
      </c>
      <c r="AL307" s="798">
        <f>SUMIF('Venture Summary - Mthly'!$E$8:$EG$8,AL$9,'Venture Summary - Mthly'!$E310:$EG310)</f>
        <v>350111.17303051922</v>
      </c>
      <c r="AM307" s="798">
        <f>SUMIF('Venture Summary - Mthly'!$E$8:$EG$8,AM$9,'Venture Summary - Mthly'!$E310:$EG310)</f>
        <v>358530.23904516292</v>
      </c>
      <c r="AN307" s="798">
        <f>SUMIF('Venture Summary - Mthly'!$E$8:$EG$8,AN$9,'Venture Summary - Mthly'!$E310:$EG310)</f>
        <v>371235.05062238569</v>
      </c>
      <c r="AO307" s="798">
        <f>SUMIF('Venture Summary - Mthly'!$E$8:$EG$8,AO$9,'Venture Summary - Mthly'!$E310:$EG310)</f>
        <v>380261.36138160329</v>
      </c>
      <c r="AP307" s="798">
        <f>SUMIF('Venture Summary - Mthly'!$E$8:$EG$8,AP$9,'Venture Summary - Mthly'!$E310:$EG310)</f>
        <v>385222.86805294448</v>
      </c>
      <c r="AQ307" s="798">
        <f>SUMIF('Venture Summary - Mthly'!$E$8:$EG$8,AQ$9,'Venture Summary - Mthly'!$E310:$EG310)</f>
        <v>390100.10924764205</v>
      </c>
      <c r="AR307" s="798">
        <f>SUMIF('Venture Summary - Mthly'!$E$8:$EG$8,AR$9,'Venture Summary - Mthly'!$E310:$EG310)</f>
        <v>408358.55568462791</v>
      </c>
      <c r="AS307" s="798">
        <f>SUMIF('Venture Summary - Mthly'!$E$8:$EG$8,AS$9,'Venture Summary - Mthly'!$E310:$EG310)</f>
        <v>418287.49751976732</v>
      </c>
      <c r="AT307" s="798">
        <f>SUMIF('Venture Summary - Mthly'!$E$8:$EG$8,AT$9,'Venture Summary - Mthly'!$E310:$EG310)</f>
        <v>0</v>
      </c>
      <c r="AU307" s="798">
        <f>SUMIF('Venture Summary - Mthly'!$E$8:$EG$8,AU$9,'Venture Summary - Mthly'!$E310:$EG310)</f>
        <v>0</v>
      </c>
      <c r="AV307" s="798">
        <f>SUMIF('Venture Summary - Mthly'!$E$8:$EG$8,AV$9,'Venture Summary - Mthly'!$E310:$EG310)</f>
        <v>0</v>
      </c>
      <c r="AW307" s="798">
        <f>SUMIF('Venture Summary - Mthly'!$E$8:$EG$8,AW$9,'Venture Summary - Mthly'!$E310:$EG310)</f>
        <v>0</v>
      </c>
      <c r="AX307" s="798"/>
    </row>
    <row r="308" spans="1:50" ht="12.75" customHeight="1" x14ac:dyDescent="0.3">
      <c r="A308" s="782"/>
      <c r="B308" s="782" t="s">
        <v>157</v>
      </c>
      <c r="C308" s="798"/>
      <c r="D308" s="782"/>
      <c r="E308" s="798">
        <f>SUMIF('Venture Summary - Mthly'!$E$8:$EG$8,E$9,'Venture Summary - Mthly'!$E311:$EG311)</f>
        <v>0</v>
      </c>
      <c r="F308" s="798">
        <f>SUMIF('Venture Summary - Mthly'!$E$8:$EG$8,F$9,'Venture Summary - Mthly'!$E311:$EG311)</f>
        <v>0</v>
      </c>
      <c r="G308" s="798">
        <f>SUMIF('Venture Summary - Mthly'!$E$8:$EG$8,G$9,'Venture Summary - Mthly'!$E311:$EG311)</f>
        <v>0</v>
      </c>
      <c r="H308" s="798">
        <f>SUMIF('Venture Summary - Mthly'!$E$8:$EG$8,H$9,'Venture Summary - Mthly'!$E311:$EG311)</f>
        <v>0</v>
      </c>
      <c r="I308" s="798">
        <f>SUMIF('Venture Summary - Mthly'!$E$8:$EG$8,I$9,'Venture Summary - Mthly'!$E311:$EG311)</f>
        <v>0</v>
      </c>
      <c r="J308" s="798">
        <f>SUMIF('Venture Summary - Mthly'!$E$8:$EG$8,J$9,'Venture Summary - Mthly'!$E311:$EG311)</f>
        <v>0</v>
      </c>
      <c r="K308" s="798">
        <f>SUMIF('Venture Summary - Mthly'!$E$8:$EG$8,K$9,'Venture Summary - Mthly'!$E311:$EG311)</f>
        <v>0</v>
      </c>
      <c r="L308" s="798">
        <f>SUMIF('Venture Summary - Mthly'!$E$8:$EG$8,L$9,'Venture Summary - Mthly'!$E311:$EG311)</f>
        <v>0</v>
      </c>
      <c r="M308" s="798">
        <f>SUMIF('Venture Summary - Mthly'!$E$8:$EG$8,M$9,'Venture Summary - Mthly'!$E311:$EG311)</f>
        <v>0</v>
      </c>
      <c r="N308" s="798">
        <f>SUMIF('Venture Summary - Mthly'!$E$8:$EG$8,N$9,'Venture Summary - Mthly'!$E311:$EG311)</f>
        <v>0</v>
      </c>
      <c r="O308" s="798">
        <f>SUMIF('Venture Summary - Mthly'!$E$8:$EG$8,O$9,'Venture Summary - Mthly'!$E311:$EG311)</f>
        <v>0</v>
      </c>
      <c r="P308" s="798">
        <f>SUMIF('Venture Summary - Mthly'!$E$8:$EG$8,P$9,'Venture Summary - Mthly'!$E311:$EG311)</f>
        <v>-60916274.722085506</v>
      </c>
      <c r="Q308" s="798">
        <f>SUMIF('Venture Summary - Mthly'!$E$8:$EG$8,Q$9,'Venture Summary - Mthly'!$E311:$EG311)</f>
        <v>0</v>
      </c>
      <c r="R308" s="798">
        <f>SUMIF('Venture Summary - Mthly'!$E$8:$EG$8,R$9,'Venture Summary - Mthly'!$E311:$EG311)</f>
        <v>0</v>
      </c>
      <c r="S308" s="798">
        <f>SUMIF('Venture Summary - Mthly'!$E$8:$EG$8,S$9,'Venture Summary - Mthly'!$E311:$EG311)</f>
        <v>0</v>
      </c>
      <c r="T308" s="798">
        <f>SUMIF('Venture Summary - Mthly'!$E$8:$EG$8,T$9,'Venture Summary - Mthly'!$E311:$EG311)</f>
        <v>0</v>
      </c>
      <c r="U308" s="798">
        <f>SUMIF('Venture Summary - Mthly'!$E$8:$EG$8,U$9,'Venture Summary - Mthly'!$E311:$EG311)</f>
        <v>0</v>
      </c>
      <c r="V308" s="798">
        <f>SUMIF('Venture Summary - Mthly'!$E$8:$EG$8,V$9,'Venture Summary - Mthly'!$E311:$EG311)</f>
        <v>0</v>
      </c>
      <c r="W308" s="798">
        <f>SUMIF('Venture Summary - Mthly'!$E$8:$EG$8,W$9,'Venture Summary - Mthly'!$E311:$EG311)</f>
        <v>0</v>
      </c>
      <c r="X308" s="798">
        <f>SUMIF('Venture Summary - Mthly'!$E$8:$EG$8,X$9,'Venture Summary - Mthly'!$E311:$EG311)</f>
        <v>0</v>
      </c>
      <c r="Y308" s="798">
        <f>SUMIF('Venture Summary - Mthly'!$E$8:$EG$8,Y$9,'Venture Summary - Mthly'!$E311:$EG311)</f>
        <v>0</v>
      </c>
      <c r="Z308" s="798">
        <f>SUMIF('Venture Summary - Mthly'!$E$8:$EG$8,Z$9,'Venture Summary - Mthly'!$E311:$EG311)</f>
        <v>0</v>
      </c>
      <c r="AA308" s="798">
        <f>SUMIF('Venture Summary - Mthly'!$E$8:$EG$8,AA$9,'Venture Summary - Mthly'!$E311:$EG311)</f>
        <v>0</v>
      </c>
      <c r="AB308" s="798">
        <f>SUMIF('Venture Summary - Mthly'!$E$8:$EG$8,AB$9,'Venture Summary - Mthly'!$E311:$EG311)</f>
        <v>0</v>
      </c>
      <c r="AC308" s="798">
        <f>SUMIF('Venture Summary - Mthly'!$E$8:$EG$8,AC$9,'Venture Summary - Mthly'!$E311:$EG311)</f>
        <v>0</v>
      </c>
      <c r="AD308" s="798">
        <f>SUMIF('Venture Summary - Mthly'!$E$8:$EG$8,AD$9,'Venture Summary - Mthly'!$E311:$EG311)</f>
        <v>0</v>
      </c>
      <c r="AE308" s="798">
        <f>SUMIF('Venture Summary - Mthly'!$E$8:$EG$8,AE$9,'Venture Summary - Mthly'!$E311:$EG311)</f>
        <v>0</v>
      </c>
      <c r="AF308" s="798">
        <f>SUMIF('Venture Summary - Mthly'!$E$8:$EG$8,AF$9,'Venture Summary - Mthly'!$E311:$EG311)</f>
        <v>0</v>
      </c>
      <c r="AG308" s="798">
        <f>SUMIF('Venture Summary - Mthly'!$E$8:$EG$8,AG$9,'Venture Summary - Mthly'!$E311:$EG311)</f>
        <v>0</v>
      </c>
      <c r="AH308" s="798">
        <f>SUMIF('Venture Summary - Mthly'!$E$8:$EG$8,AH$9,'Venture Summary - Mthly'!$E311:$EG311)</f>
        <v>0</v>
      </c>
      <c r="AI308" s="798">
        <f>SUMIF('Venture Summary - Mthly'!$E$8:$EG$8,AI$9,'Venture Summary - Mthly'!$E311:$EG311)</f>
        <v>0</v>
      </c>
      <c r="AJ308" s="798">
        <f>SUMIF('Venture Summary - Mthly'!$E$8:$EG$8,AJ$9,'Venture Summary - Mthly'!$E311:$EG311)</f>
        <v>0</v>
      </c>
      <c r="AK308" s="798">
        <f>SUMIF('Venture Summary - Mthly'!$E$8:$EG$8,AK$9,'Venture Summary - Mthly'!$E311:$EG311)</f>
        <v>0</v>
      </c>
      <c r="AL308" s="798">
        <f>SUMIF('Venture Summary - Mthly'!$E$8:$EG$8,AL$9,'Venture Summary - Mthly'!$E311:$EG311)</f>
        <v>0</v>
      </c>
      <c r="AM308" s="798">
        <f>SUMIF('Venture Summary - Mthly'!$E$8:$EG$8,AM$9,'Venture Summary - Mthly'!$E311:$EG311)</f>
        <v>0</v>
      </c>
      <c r="AN308" s="798">
        <f>SUMIF('Venture Summary - Mthly'!$E$8:$EG$8,AN$9,'Venture Summary - Mthly'!$E311:$EG311)</f>
        <v>0</v>
      </c>
      <c r="AO308" s="798">
        <f>SUMIF('Venture Summary - Mthly'!$E$8:$EG$8,AO$9,'Venture Summary - Mthly'!$E311:$EG311)</f>
        <v>0</v>
      </c>
      <c r="AP308" s="798">
        <f>SUMIF('Venture Summary - Mthly'!$E$8:$EG$8,AP$9,'Venture Summary - Mthly'!$E311:$EG311)</f>
        <v>0</v>
      </c>
      <c r="AQ308" s="798">
        <f>SUMIF('Venture Summary - Mthly'!$E$8:$EG$8,AQ$9,'Venture Summary - Mthly'!$E311:$EG311)</f>
        <v>0</v>
      </c>
      <c r="AR308" s="798">
        <f>SUMIF('Venture Summary - Mthly'!$E$8:$EG$8,AR$9,'Venture Summary - Mthly'!$E311:$EG311)</f>
        <v>0</v>
      </c>
      <c r="AS308" s="798">
        <f>SUMIF('Venture Summary - Mthly'!$E$8:$EG$8,AS$9,'Venture Summary - Mthly'!$E311:$EG311)</f>
        <v>0</v>
      </c>
      <c r="AT308" s="798">
        <f>SUMIF('Venture Summary - Mthly'!$E$8:$EG$8,AT$9,'Venture Summary - Mthly'!$E311:$EG311)</f>
        <v>0</v>
      </c>
      <c r="AU308" s="798">
        <f>SUMIF('Venture Summary - Mthly'!$E$8:$EG$8,AU$9,'Venture Summary - Mthly'!$E311:$EG311)</f>
        <v>0</v>
      </c>
      <c r="AV308" s="798">
        <f>SUMIF('Venture Summary - Mthly'!$E$8:$EG$8,AV$9,'Venture Summary - Mthly'!$E311:$EG311)</f>
        <v>0</v>
      </c>
      <c r="AW308" s="798">
        <f>SUMIF('Venture Summary - Mthly'!$E$8:$EG$8,AW$9,'Venture Summary - Mthly'!$E311:$EG311)</f>
        <v>0</v>
      </c>
      <c r="AX308" s="798"/>
    </row>
    <row r="309" spans="1:50" ht="12.75" customHeight="1" x14ac:dyDescent="0.3">
      <c r="A309" s="782"/>
      <c r="B309" s="781" t="s">
        <v>158</v>
      </c>
      <c r="C309" s="799"/>
      <c r="D309" s="781"/>
      <c r="E309" s="799">
        <f>SUMIF('Venture Summary - Mthly'!$E$8:$EG$8,E$9,'Venture Summary - Mthly'!$E312:$EG312)</f>
        <v>0</v>
      </c>
      <c r="F309" s="799">
        <f>SUMIF('Venture Summary - Mthly'!$E$8:$EG$8,F$9,'Venture Summary - Mthly'!$E312:$EG312)</f>
        <v>0</v>
      </c>
      <c r="G309" s="799">
        <f>SUMIF('Venture Summary - Mthly'!$E$8:$EG$8,G$9,'Venture Summary - Mthly'!$E312:$EG312)</f>
        <v>0</v>
      </c>
      <c r="H309" s="799">
        <f>SUMIF('Venture Summary - Mthly'!$E$8:$EG$8,H$9,'Venture Summary - Mthly'!$E312:$EG312)</f>
        <v>0</v>
      </c>
      <c r="I309" s="799">
        <f>SUMIF('Venture Summary - Mthly'!$E$8:$EG$8,I$9,'Venture Summary - Mthly'!$E312:$EG312)</f>
        <v>0</v>
      </c>
      <c r="J309" s="799">
        <f>SUMIF('Venture Summary - Mthly'!$E$8:$EG$8,J$9,'Venture Summary - Mthly'!$E312:$EG312)</f>
        <v>0</v>
      </c>
      <c r="K309" s="799">
        <f>SUMIF('Venture Summary - Mthly'!$E$8:$EG$8,K$9,'Venture Summary - Mthly'!$E312:$EG312)</f>
        <v>0</v>
      </c>
      <c r="L309" s="799">
        <f>SUMIF('Venture Summary - Mthly'!$E$8:$EG$8,L$9,'Venture Summary - Mthly'!$E312:$EG312)</f>
        <v>0</v>
      </c>
      <c r="M309" s="799">
        <f>SUMIF('Venture Summary - Mthly'!$E$8:$EG$8,M$9,'Venture Summary - Mthly'!$E312:$EG312)</f>
        <v>0</v>
      </c>
      <c r="N309" s="799">
        <f>SUMIF('Venture Summary - Mthly'!$E$8:$EG$8,N$9,'Venture Summary - Mthly'!$E312:$EG312)</f>
        <v>0</v>
      </c>
      <c r="O309" s="799">
        <f>SUMIF('Venture Summary - Mthly'!$E$8:$EG$8,O$9,'Venture Summary - Mthly'!$E312:$EG312)</f>
        <v>0</v>
      </c>
      <c r="P309" s="799">
        <f>SUMIF('Venture Summary - Mthly'!$E$8:$EG$8,P$9,'Venture Summary - Mthly'!$E312:$EG312)</f>
        <v>14315530.3242827</v>
      </c>
      <c r="Q309" s="799">
        <f>SUMIF('Venture Summary - Mthly'!$E$8:$EG$8,Q$9,'Venture Summary - Mthly'!$E312:$EG312)</f>
        <v>623346.85292693274</v>
      </c>
      <c r="R309" s="799">
        <f>SUMIF('Venture Summary - Mthly'!$E$8:$EG$8,R$9,'Venture Summary - Mthly'!$E312:$EG312)</f>
        <v>645086.61329542077</v>
      </c>
      <c r="S309" s="799">
        <f>SUMIF('Venture Summary - Mthly'!$E$8:$EG$8,S$9,'Venture Summary - Mthly'!$E312:$EG312)</f>
        <v>644215.54607378726</v>
      </c>
      <c r="T309" s="799">
        <f>SUMIF('Venture Summary - Mthly'!$E$8:$EG$8,T$9,'Venture Summary - Mthly'!$E312:$EG312)</f>
        <v>661902.09947439213</v>
      </c>
      <c r="U309" s="799">
        <f>SUMIF('Venture Summary - Mthly'!$E$8:$EG$8,U$9,'Venture Summary - Mthly'!$E312:$EG312)</f>
        <v>679519.10289103352</v>
      </c>
      <c r="V309" s="799">
        <f>SUMIF('Venture Summary - Mthly'!$E$8:$EG$8,V$9,'Venture Summary - Mthly'!$E312:$EG312)</f>
        <v>694204.81009246409</v>
      </c>
      <c r="W309" s="799">
        <f>SUMIF('Venture Summary - Mthly'!$E$8:$EG$8,W$9,'Venture Summary - Mthly'!$E312:$EG312)</f>
        <v>689738.6161152703</v>
      </c>
      <c r="X309" s="799">
        <f>SUMIF('Venture Summary - Mthly'!$E$8:$EG$8,X$9,'Venture Summary - Mthly'!$E312:$EG312)</f>
        <v>701794.01382499537</v>
      </c>
      <c r="Y309" s="799">
        <f>SUMIF('Venture Summary - Mthly'!$E$8:$EG$8,Y$9,'Venture Summary - Mthly'!$E312:$EG312)</f>
        <v>717065.29189360049</v>
      </c>
      <c r="Z309" s="799">
        <f>SUMIF('Venture Summary - Mthly'!$E$8:$EG$8,Z$9,'Venture Summary - Mthly'!$E312:$EG312)</f>
        <v>733551.69515324559</v>
      </c>
      <c r="AA309" s="799">
        <f>SUMIF('Venture Summary - Mthly'!$E$8:$EG$8,AA$9,'Venture Summary - Mthly'!$E312:$EG312)</f>
        <v>732080.37063951511</v>
      </c>
      <c r="AB309" s="799">
        <f>SUMIF('Venture Summary - Mthly'!$E$8:$EG$8,AB$9,'Venture Summary - Mthly'!$E312:$EG312)</f>
        <v>748271.4101425925</v>
      </c>
      <c r="AC309" s="799">
        <f>SUMIF('Venture Summary - Mthly'!$E$8:$EG$8,AC$9,'Venture Summary - Mthly'!$E312:$EG312)</f>
        <v>767018.32850041986</v>
      </c>
      <c r="AD309" s="799">
        <f>SUMIF('Venture Summary - Mthly'!$E$8:$EG$8,AD$9,'Venture Summary - Mthly'!$E312:$EG312)</f>
        <v>785743.49356206995</v>
      </c>
      <c r="AE309" s="799">
        <f>SUMIF('Venture Summary - Mthly'!$E$8:$EG$8,AE$9,'Venture Summary - Mthly'!$E312:$EG312)</f>
        <v>785270.30079527816</v>
      </c>
      <c r="AF309" s="799">
        <f>SUMIF('Venture Summary - Mthly'!$E$8:$EG$8,AF$9,'Venture Summary - Mthly'!$E312:$EG312)</f>
        <v>802729.72625170508</v>
      </c>
      <c r="AG309" s="799">
        <f>SUMIF('Venture Summary - Mthly'!$E$8:$EG$8,AG$9,'Venture Summary - Mthly'!$E312:$EG312)</f>
        <v>822662.61418112239</v>
      </c>
      <c r="AH309" s="799">
        <f>SUMIF('Venture Summary - Mthly'!$E$8:$EG$8,AH$9,'Venture Summary - Mthly'!$E312:$EG312)</f>
        <v>842492.85555103875</v>
      </c>
      <c r="AI309" s="799">
        <f>SUMIF('Venture Summary - Mthly'!$E$8:$EG$8,AI$9,'Venture Summary - Mthly'!$E312:$EG312)</f>
        <v>842283.51895287074</v>
      </c>
      <c r="AJ309" s="799">
        <f>SUMIF('Venture Summary - Mthly'!$E$8:$EG$8,AJ$9,'Venture Summary - Mthly'!$E312:$EG312)</f>
        <v>860476.76641253906</v>
      </c>
      <c r="AK309" s="799">
        <f>SUMIF('Venture Summary - Mthly'!$E$8:$EG$8,AK$9,'Venture Summary - Mthly'!$E312:$EG312)</f>
        <v>73198739.088306502</v>
      </c>
      <c r="AL309" s="799">
        <f>SUMIF('Venture Summary - Mthly'!$E$8:$EG$8,AL$9,'Venture Summary - Mthly'!$E312:$EG312)</f>
        <v>0</v>
      </c>
      <c r="AM309" s="799">
        <f>SUMIF('Venture Summary - Mthly'!$E$8:$EG$8,AM$9,'Venture Summary - Mthly'!$E312:$EG312)</f>
        <v>0</v>
      </c>
      <c r="AN309" s="799">
        <f>SUMIF('Venture Summary - Mthly'!$E$8:$EG$8,AN$9,'Venture Summary - Mthly'!$E312:$EG312)</f>
        <v>0</v>
      </c>
      <c r="AO309" s="799">
        <f>SUMIF('Venture Summary - Mthly'!$E$8:$EG$8,AO$9,'Venture Summary - Mthly'!$E312:$EG312)</f>
        <v>0</v>
      </c>
      <c r="AP309" s="799">
        <f>SUMIF('Venture Summary - Mthly'!$E$8:$EG$8,AP$9,'Venture Summary - Mthly'!$E312:$EG312)</f>
        <v>0</v>
      </c>
      <c r="AQ309" s="799">
        <f>SUMIF('Venture Summary - Mthly'!$E$8:$EG$8,AQ$9,'Venture Summary - Mthly'!$E312:$EG312)</f>
        <v>0</v>
      </c>
      <c r="AR309" s="799">
        <f>SUMIF('Venture Summary - Mthly'!$E$8:$EG$8,AR$9,'Venture Summary - Mthly'!$E312:$EG312)</f>
        <v>0</v>
      </c>
      <c r="AS309" s="799">
        <f>SUMIF('Venture Summary - Mthly'!$E$8:$EG$8,AS$9,'Venture Summary - Mthly'!$E312:$EG312)</f>
        <v>0</v>
      </c>
      <c r="AT309" s="799">
        <f>SUMIF('Venture Summary - Mthly'!$E$8:$EG$8,AT$9,'Venture Summary - Mthly'!$E312:$EG312)</f>
        <v>0</v>
      </c>
      <c r="AU309" s="799">
        <f>SUMIF('Venture Summary - Mthly'!$E$8:$EG$8,AU$9,'Venture Summary - Mthly'!$E312:$EG312)</f>
        <v>0</v>
      </c>
      <c r="AV309" s="799">
        <f>SUMIF('Venture Summary - Mthly'!$E$8:$EG$8,AV$9,'Venture Summary - Mthly'!$E312:$EG312)</f>
        <v>0</v>
      </c>
      <c r="AW309" s="799">
        <f>SUMIF('Venture Summary - Mthly'!$E$8:$EG$8,AW$9,'Venture Summary - Mthly'!$E312:$EG312)</f>
        <v>0</v>
      </c>
      <c r="AX309" s="798"/>
    </row>
    <row r="310" spans="1:50" ht="12.75" customHeight="1" x14ac:dyDescent="0.3">
      <c r="A310" s="782"/>
      <c r="B310" s="782" t="s">
        <v>159</v>
      </c>
      <c r="C310" s="798"/>
      <c r="D310" s="782"/>
      <c r="E310" s="798">
        <f t="shared" ref="E310:AJ310" si="71">SUM(E306:E309)</f>
        <v>0</v>
      </c>
      <c r="F310" s="798">
        <f t="shared" si="71"/>
        <v>0</v>
      </c>
      <c r="G310" s="798">
        <f t="shared" si="71"/>
        <v>0</v>
      </c>
      <c r="H310" s="798">
        <f>SUM(H306:H309)</f>
        <v>0</v>
      </c>
      <c r="I310" s="798">
        <f>SUM(I306:I309)</f>
        <v>0</v>
      </c>
      <c r="J310" s="798">
        <f>SUM(J306:J309)</f>
        <v>0</v>
      </c>
      <c r="K310" s="798">
        <f t="shared" si="71"/>
        <v>0</v>
      </c>
      <c r="L310" s="798">
        <f t="shared" si="71"/>
        <v>0</v>
      </c>
      <c r="M310" s="798">
        <f t="shared" si="71"/>
        <v>0</v>
      </c>
      <c r="N310" s="798">
        <f t="shared" si="71"/>
        <v>0</v>
      </c>
      <c r="O310" s="798">
        <f t="shared" si="71"/>
        <v>0</v>
      </c>
      <c r="P310" s="798">
        <f t="shared" si="71"/>
        <v>-47095852.931763403</v>
      </c>
      <c r="Q310" s="798">
        <f t="shared" si="71"/>
        <v>-47612567.991190918</v>
      </c>
      <c r="R310" s="798">
        <f t="shared" si="71"/>
        <v>-48107318.603760406</v>
      </c>
      <c r="S310" s="798">
        <f t="shared" si="71"/>
        <v>-48602183.704566158</v>
      </c>
      <c r="T310" s="798">
        <f t="shared" si="71"/>
        <v>-49116706.328650199</v>
      </c>
      <c r="U310" s="798">
        <f t="shared" si="71"/>
        <v>-49625916.100554526</v>
      </c>
      <c r="V310" s="798">
        <f t="shared" si="71"/>
        <v>-50119554.223455273</v>
      </c>
      <c r="W310" s="798">
        <f t="shared" si="71"/>
        <v>-50629668.378490977</v>
      </c>
      <c r="X310" s="798">
        <f t="shared" si="71"/>
        <v>-51153266.349080734</v>
      </c>
      <c r="Y310" s="798">
        <f t="shared" si="71"/>
        <v>-51674140.679685593</v>
      </c>
      <c r="Z310" s="798">
        <f t="shared" si="71"/>
        <v>-52177379.102594092</v>
      </c>
      <c r="AA310" s="798">
        <f t="shared" si="71"/>
        <v>-52680489.691003092</v>
      </c>
      <c r="AB310" s="798">
        <f t="shared" si="71"/>
        <v>-53207107.068861246</v>
      </c>
      <c r="AC310" s="798">
        <f t="shared" si="71"/>
        <v>-53727564.251854703</v>
      </c>
      <c r="AD310" s="798">
        <f t="shared" si="71"/>
        <v>-54227577.231115267</v>
      </c>
      <c r="AE310" s="798">
        <f t="shared" si="71"/>
        <v>-54725847.114314161</v>
      </c>
      <c r="AF310" s="798">
        <f t="shared" si="71"/>
        <v>-55247301.038337506</v>
      </c>
      <c r="AG310" s="798">
        <f t="shared" si="71"/>
        <v>-55761268.623741202</v>
      </c>
      <c r="AH310" s="798">
        <f t="shared" si="71"/>
        <v>-56252986.016436361</v>
      </c>
      <c r="AI310" s="798">
        <f t="shared" si="71"/>
        <v>-56741972.332615249</v>
      </c>
      <c r="AJ310" s="798">
        <f t="shared" si="71"/>
        <v>-57254236.078221165</v>
      </c>
      <c r="AK310" s="798">
        <f t="shared" ref="AK310:AW310" si="72">SUM(AK306:AK309)</f>
        <v>14559552.480968557</v>
      </c>
      <c r="AL310" s="798">
        <f t="shared" si="72"/>
        <v>14909663.653999077</v>
      </c>
      <c r="AM310" s="798">
        <f t="shared" si="72"/>
        <v>15268193.893044241</v>
      </c>
      <c r="AN310" s="798">
        <f t="shared" si="72"/>
        <v>15639428.943666626</v>
      </c>
      <c r="AO310" s="798">
        <f t="shared" si="72"/>
        <v>16019690.305048229</v>
      </c>
      <c r="AP310" s="798">
        <f t="shared" si="72"/>
        <v>16404913.173101174</v>
      </c>
      <c r="AQ310" s="798">
        <f t="shared" si="72"/>
        <v>16795013.282348815</v>
      </c>
      <c r="AR310" s="798">
        <f t="shared" si="72"/>
        <v>17203371.838033441</v>
      </c>
      <c r="AS310" s="798">
        <f t="shared" si="72"/>
        <v>17621659.33555321</v>
      </c>
      <c r="AT310" s="798">
        <f t="shared" si="72"/>
        <v>17621659.33555321</v>
      </c>
      <c r="AU310" s="798">
        <f t="shared" si="72"/>
        <v>17621659.33555321</v>
      </c>
      <c r="AV310" s="798">
        <f t="shared" si="72"/>
        <v>17621659.33555321</v>
      </c>
      <c r="AW310" s="798">
        <f t="shared" si="72"/>
        <v>17621659.33555321</v>
      </c>
      <c r="AX310" s="798"/>
    </row>
    <row r="311" spans="1:50" ht="12.75" customHeight="1" x14ac:dyDescent="0.3">
      <c r="A311" s="782"/>
      <c r="B311" s="782"/>
      <c r="C311" s="798"/>
      <c r="D311" s="782"/>
      <c r="E311" s="798"/>
      <c r="F311" s="798"/>
      <c r="G311" s="798"/>
      <c r="H311" s="798"/>
      <c r="I311" s="798"/>
      <c r="J311" s="798"/>
      <c r="K311" s="798"/>
      <c r="L311" s="798"/>
      <c r="M311" s="798"/>
      <c r="N311" s="798"/>
      <c r="O311" s="798"/>
      <c r="P311" s="798"/>
      <c r="Q311" s="798"/>
      <c r="R311" s="798"/>
      <c r="S311" s="798"/>
      <c r="T311" s="798"/>
      <c r="U311" s="798"/>
      <c r="V311" s="798"/>
      <c r="W311" s="798"/>
      <c r="X311" s="798"/>
      <c r="Y311" s="798"/>
      <c r="Z311" s="798"/>
      <c r="AA311" s="798"/>
      <c r="AB311" s="798"/>
      <c r="AC311" s="798"/>
      <c r="AD311" s="798"/>
      <c r="AE311" s="798"/>
      <c r="AF311" s="798"/>
      <c r="AG311" s="798"/>
      <c r="AH311" s="798"/>
      <c r="AI311" s="798"/>
      <c r="AJ311" s="798"/>
      <c r="AK311" s="798"/>
      <c r="AL311" s="798"/>
      <c r="AM311" s="798"/>
      <c r="AN311" s="798"/>
      <c r="AO311" s="798"/>
      <c r="AP311" s="798"/>
      <c r="AQ311" s="798"/>
      <c r="AR311" s="798"/>
      <c r="AS311" s="798"/>
      <c r="AT311" s="798"/>
      <c r="AU311" s="798"/>
      <c r="AV311" s="798"/>
      <c r="AW311" s="798"/>
      <c r="AX311" s="798"/>
    </row>
    <row r="312" spans="1:50" ht="12.75" customHeight="1" x14ac:dyDescent="0.3">
      <c r="A312" s="782"/>
      <c r="B312" s="781" t="s">
        <v>167</v>
      </c>
      <c r="C312" s="799"/>
      <c r="D312" s="781"/>
      <c r="E312" s="799">
        <f>SUMIF('Venture Summary - Mthly'!$E$8:$EG$8,E$9,'Venture Summary - Mthly'!$E315:$EG315)</f>
        <v>0</v>
      </c>
      <c r="F312" s="799">
        <f>SUMIF('Venture Summary - Mthly'!$E$8:$EG$8,F$9,'Venture Summary - Mthly'!$E315:$EG315)</f>
        <v>0</v>
      </c>
      <c r="G312" s="799">
        <f>SUMIF('Venture Summary - Mthly'!$E$8:$EG$8,G$9,'Venture Summary - Mthly'!$E315:$EG315)</f>
        <v>0</v>
      </c>
      <c r="H312" s="799">
        <f>SUMIF('Venture Summary - Mthly'!$E$8:$EG$8,H$9,'Venture Summary - Mthly'!$E315:$EG315)</f>
        <v>0</v>
      </c>
      <c r="I312" s="799">
        <f>SUMIF('Venture Summary - Mthly'!$E$8:$EG$8,I$9,'Venture Summary - Mthly'!$E315:$EG315)</f>
        <v>0</v>
      </c>
      <c r="J312" s="799">
        <f>SUMIF('Venture Summary - Mthly'!$E$8:$EG$8,J$9,'Venture Summary - Mthly'!$E315:$EG315)</f>
        <v>0</v>
      </c>
      <c r="K312" s="799">
        <f>SUMIF('Venture Summary - Mthly'!$E$8:$EG$8,K$9,'Venture Summary - Mthly'!$E315:$EG315)</f>
        <v>0</v>
      </c>
      <c r="L312" s="799">
        <f>SUMIF('Venture Summary - Mthly'!$E$8:$EG$8,L$9,'Venture Summary - Mthly'!$E315:$EG315)</f>
        <v>0</v>
      </c>
      <c r="M312" s="799">
        <f>SUMIF('Venture Summary - Mthly'!$E$8:$EG$8,M$9,'Venture Summary - Mthly'!$E315:$EG315)</f>
        <v>0</v>
      </c>
      <c r="N312" s="799">
        <f>SUMIF('Venture Summary - Mthly'!$E$8:$EG$8,N$9,'Venture Summary - Mthly'!$E315:$EG315)</f>
        <v>0</v>
      </c>
      <c r="O312" s="799">
        <f>SUMIF('Venture Summary - Mthly'!$E$8:$EG$8,O$9,'Venture Summary - Mthly'!$E315:$EG315)</f>
        <v>0</v>
      </c>
      <c r="P312" s="799">
        <f>SUMIF('Venture Summary - Mthly'!$E$8:$EG$8,P$9,'Venture Summary - Mthly'!$E315:$EG315)</f>
        <v>14315530.3242827</v>
      </c>
      <c r="Q312" s="799">
        <f>SUMIF('Venture Summary - Mthly'!$E$8:$EG$8,Q$9,'Venture Summary - Mthly'!$E315:$EG315)</f>
        <v>623346.85292693274</v>
      </c>
      <c r="R312" s="799">
        <f>SUMIF('Venture Summary - Mthly'!$E$8:$EG$8,R$9,'Venture Summary - Mthly'!$E315:$EG315)</f>
        <v>645086.61329542077</v>
      </c>
      <c r="S312" s="799">
        <f>SUMIF('Venture Summary - Mthly'!$E$8:$EG$8,S$9,'Venture Summary - Mthly'!$E315:$EG315)</f>
        <v>644215.54607378726</v>
      </c>
      <c r="T312" s="799">
        <f>SUMIF('Venture Summary - Mthly'!$E$8:$EG$8,T$9,'Venture Summary - Mthly'!$E315:$EG315)</f>
        <v>661902.09947439213</v>
      </c>
      <c r="U312" s="799">
        <f>SUMIF('Venture Summary - Mthly'!$E$8:$EG$8,U$9,'Venture Summary - Mthly'!$E315:$EG315)</f>
        <v>679519.10289103352</v>
      </c>
      <c r="V312" s="799">
        <f>SUMIF('Venture Summary - Mthly'!$E$8:$EG$8,V$9,'Venture Summary - Mthly'!$E315:$EG315)</f>
        <v>694204.81009246409</v>
      </c>
      <c r="W312" s="799">
        <f>SUMIF('Venture Summary - Mthly'!$E$8:$EG$8,W$9,'Venture Summary - Mthly'!$E315:$EG315)</f>
        <v>689738.6161152703</v>
      </c>
      <c r="X312" s="799">
        <f>SUMIF('Venture Summary - Mthly'!$E$8:$EG$8,X$9,'Venture Summary - Mthly'!$E315:$EG315)</f>
        <v>701794.01382499537</v>
      </c>
      <c r="Y312" s="799">
        <f>SUMIF('Venture Summary - Mthly'!$E$8:$EG$8,Y$9,'Venture Summary - Mthly'!$E315:$EG315)</f>
        <v>717065.29189360049</v>
      </c>
      <c r="Z312" s="799">
        <f>SUMIF('Venture Summary - Mthly'!$E$8:$EG$8,Z$9,'Venture Summary - Mthly'!$E315:$EG315)</f>
        <v>733551.69515324559</v>
      </c>
      <c r="AA312" s="799">
        <f>SUMIF('Venture Summary - Mthly'!$E$8:$EG$8,AA$9,'Venture Summary - Mthly'!$E315:$EG315)</f>
        <v>732080.37063951511</v>
      </c>
      <c r="AB312" s="799">
        <f>SUMIF('Venture Summary - Mthly'!$E$8:$EG$8,AB$9,'Venture Summary - Mthly'!$E315:$EG315)</f>
        <v>748271.4101425925</v>
      </c>
      <c r="AC312" s="799">
        <f>SUMIF('Venture Summary - Mthly'!$E$8:$EG$8,AC$9,'Venture Summary - Mthly'!$E315:$EG315)</f>
        <v>767018.32850041986</v>
      </c>
      <c r="AD312" s="799">
        <f>SUMIF('Venture Summary - Mthly'!$E$8:$EG$8,AD$9,'Venture Summary - Mthly'!$E315:$EG315)</f>
        <v>785743.49356206995</v>
      </c>
      <c r="AE312" s="799">
        <f>SUMIF('Venture Summary - Mthly'!$E$8:$EG$8,AE$9,'Venture Summary - Mthly'!$E315:$EG315)</f>
        <v>785270.30079527816</v>
      </c>
      <c r="AF312" s="799">
        <f>SUMIF('Venture Summary - Mthly'!$E$8:$EG$8,AF$9,'Venture Summary - Mthly'!$E315:$EG315)</f>
        <v>802729.72625170508</v>
      </c>
      <c r="AG312" s="799">
        <f>SUMIF('Venture Summary - Mthly'!$E$8:$EG$8,AG$9,'Venture Summary - Mthly'!$E315:$EG315)</f>
        <v>822662.61418112239</v>
      </c>
      <c r="AH312" s="799">
        <f>SUMIF('Venture Summary - Mthly'!$E$8:$EG$8,AH$9,'Venture Summary - Mthly'!$E315:$EG315)</f>
        <v>842492.85555103875</v>
      </c>
      <c r="AI312" s="799">
        <f>SUMIF('Venture Summary - Mthly'!$E$8:$EG$8,AI$9,'Venture Summary - Mthly'!$E315:$EG315)</f>
        <v>842283.51895287074</v>
      </c>
      <c r="AJ312" s="799">
        <f>SUMIF('Venture Summary - Mthly'!$E$8:$EG$8,AJ$9,'Venture Summary - Mthly'!$E315:$EG315)</f>
        <v>860476.76641253906</v>
      </c>
      <c r="AK312" s="799">
        <f>SUMIF('Venture Summary - Mthly'!$E$8:$EG$8,AK$9,'Venture Summary - Mthly'!$E315:$EG315)</f>
        <v>58639186.607337944</v>
      </c>
      <c r="AL312" s="799">
        <f>SUMIF('Venture Summary - Mthly'!$E$8:$EG$8,AL$9,'Venture Summary - Mthly'!$E315:$EG315)</f>
        <v>0</v>
      </c>
      <c r="AM312" s="799">
        <f>SUMIF('Venture Summary - Mthly'!$E$8:$EG$8,AM$9,'Venture Summary - Mthly'!$E315:$EG315)</f>
        <v>0</v>
      </c>
      <c r="AN312" s="799">
        <f>SUMIF('Venture Summary - Mthly'!$E$8:$EG$8,AN$9,'Venture Summary - Mthly'!$E315:$EG315)</f>
        <v>0</v>
      </c>
      <c r="AO312" s="799">
        <f>SUMIF('Venture Summary - Mthly'!$E$8:$EG$8,AO$9,'Venture Summary - Mthly'!$E315:$EG315)</f>
        <v>0</v>
      </c>
      <c r="AP312" s="799">
        <f>SUMIF('Venture Summary - Mthly'!$E$8:$EG$8,AP$9,'Venture Summary - Mthly'!$E315:$EG315)</f>
        <v>0</v>
      </c>
      <c r="AQ312" s="799">
        <f>SUMIF('Venture Summary - Mthly'!$E$8:$EG$8,AQ$9,'Venture Summary - Mthly'!$E315:$EG315)</f>
        <v>0</v>
      </c>
      <c r="AR312" s="799">
        <f>SUMIF('Venture Summary - Mthly'!$E$8:$EG$8,AR$9,'Venture Summary - Mthly'!$E315:$EG315)</f>
        <v>0</v>
      </c>
      <c r="AS312" s="799">
        <f>SUMIF('Venture Summary - Mthly'!$E$8:$EG$8,AS$9,'Venture Summary - Mthly'!$E315:$EG315)</f>
        <v>0</v>
      </c>
      <c r="AT312" s="799">
        <f>SUMIF('Venture Summary - Mthly'!$E$8:$EG$8,AT$9,'Venture Summary - Mthly'!$E315:$EG315)</f>
        <v>0</v>
      </c>
      <c r="AU312" s="799">
        <f>SUMIF('Venture Summary - Mthly'!$E$8:$EG$8,AU$9,'Venture Summary - Mthly'!$E315:$EG315)</f>
        <v>0</v>
      </c>
      <c r="AV312" s="799">
        <f>SUMIF('Venture Summary - Mthly'!$E$8:$EG$8,AV$9,'Venture Summary - Mthly'!$E315:$EG315)</f>
        <v>0</v>
      </c>
      <c r="AW312" s="799">
        <f>SUMIF('Venture Summary - Mthly'!$E$8:$EG$8,AW$9,'Venture Summary - Mthly'!$E315:$EG315)</f>
        <v>0</v>
      </c>
      <c r="AX312" s="798"/>
    </row>
    <row r="313" spans="1:50" ht="12.75" customHeight="1" x14ac:dyDescent="0.3">
      <c r="A313" s="782"/>
      <c r="B313" s="782" t="s">
        <v>161</v>
      </c>
      <c r="C313" s="798"/>
      <c r="D313" s="782"/>
      <c r="E313" s="798">
        <f>SUMIF('Venture Summary - Mthly'!$E$8:$EG$8,E$9,'Venture Summary - Mthly'!$E316:$EG316)</f>
        <v>0</v>
      </c>
      <c r="F313" s="798">
        <f>SUMIF('Venture Summary - Mthly'!$E$8:$EG$8,F$9,'Venture Summary - Mthly'!$E316:$EG316)</f>
        <v>0</v>
      </c>
      <c r="G313" s="798">
        <f>SUMIF('Venture Summary - Mthly'!$E$8:$EG$8,G$9,'Venture Summary - Mthly'!$E316:$EG316)</f>
        <v>0</v>
      </c>
      <c r="H313" s="798">
        <f>SUMIF('Venture Summary - Mthly'!$E$8:$EG$8,H$9,'Venture Summary - Mthly'!$E316:$EG316)</f>
        <v>0</v>
      </c>
      <c r="I313" s="798">
        <f>SUMIF('Venture Summary - Mthly'!$E$8:$EG$8,I$9,'Venture Summary - Mthly'!$E316:$EG316)</f>
        <v>0</v>
      </c>
      <c r="J313" s="798">
        <f>SUMIF('Venture Summary - Mthly'!$E$8:$EG$8,J$9,'Venture Summary - Mthly'!$E316:$EG316)</f>
        <v>0</v>
      </c>
      <c r="K313" s="798">
        <f>SUMIF('Venture Summary - Mthly'!$E$8:$EG$8,K$9,'Venture Summary - Mthly'!$E316:$EG316)</f>
        <v>0</v>
      </c>
      <c r="L313" s="798">
        <f>SUMIF('Venture Summary - Mthly'!$E$8:$EG$8,L$9,'Venture Summary - Mthly'!$E316:$EG316)</f>
        <v>0</v>
      </c>
      <c r="M313" s="798">
        <f>SUMIF('Venture Summary - Mthly'!$E$8:$EG$8,M$9,'Venture Summary - Mthly'!$E316:$EG316)</f>
        <v>0</v>
      </c>
      <c r="N313" s="798">
        <f>SUMIF('Venture Summary - Mthly'!$E$8:$EG$8,N$9,'Venture Summary - Mthly'!$E316:$EG316)</f>
        <v>0</v>
      </c>
      <c r="O313" s="798">
        <f>SUMIF('Venture Summary - Mthly'!$E$8:$EG$8,O$9,'Venture Summary - Mthly'!$E316:$EG316)</f>
        <v>0</v>
      </c>
      <c r="P313" s="798">
        <f>SUMIF('Venture Summary - Mthly'!$E$8:$EG$8,P$9,'Venture Summary - Mthly'!$E316:$EG316)</f>
        <v>-46600744.397802807</v>
      </c>
      <c r="Q313" s="798">
        <f>SUMIF('Venture Summary - Mthly'!$E$8:$EG$8,Q$9,'Venture Summary - Mthly'!$E316:$EG316)</f>
        <v>623346.85292693274</v>
      </c>
      <c r="R313" s="798">
        <f>SUMIF('Venture Summary - Mthly'!$E$8:$EG$8,R$9,'Venture Summary - Mthly'!$E316:$EG316)</f>
        <v>645086.61329542077</v>
      </c>
      <c r="S313" s="798">
        <f>SUMIF('Venture Summary - Mthly'!$E$8:$EG$8,S$9,'Venture Summary - Mthly'!$E316:$EG316)</f>
        <v>644215.54607378726</v>
      </c>
      <c r="T313" s="798">
        <f>SUMIF('Venture Summary - Mthly'!$E$8:$EG$8,T$9,'Venture Summary - Mthly'!$E316:$EG316)</f>
        <v>661902.09947439213</v>
      </c>
      <c r="U313" s="798">
        <f>SUMIF('Venture Summary - Mthly'!$E$8:$EG$8,U$9,'Venture Summary - Mthly'!$E316:$EG316)</f>
        <v>679519.10289103352</v>
      </c>
      <c r="V313" s="798">
        <f>SUMIF('Venture Summary - Mthly'!$E$8:$EG$8,V$9,'Venture Summary - Mthly'!$E316:$EG316)</f>
        <v>694204.81009246409</v>
      </c>
      <c r="W313" s="798">
        <f>SUMIF('Venture Summary - Mthly'!$E$8:$EG$8,W$9,'Venture Summary - Mthly'!$E316:$EG316)</f>
        <v>689738.6161152703</v>
      </c>
      <c r="X313" s="798">
        <f>SUMIF('Venture Summary - Mthly'!$E$8:$EG$8,X$9,'Venture Summary - Mthly'!$E316:$EG316)</f>
        <v>701794.01382499537</v>
      </c>
      <c r="Y313" s="798">
        <f>SUMIF('Venture Summary - Mthly'!$E$8:$EG$8,Y$9,'Venture Summary - Mthly'!$E316:$EG316)</f>
        <v>717065.29189360049</v>
      </c>
      <c r="Z313" s="798">
        <f>SUMIF('Venture Summary - Mthly'!$E$8:$EG$8,Z$9,'Venture Summary - Mthly'!$E316:$EG316)</f>
        <v>733551.69515324559</v>
      </c>
      <c r="AA313" s="798">
        <f>SUMIF('Venture Summary - Mthly'!$E$8:$EG$8,AA$9,'Venture Summary - Mthly'!$E316:$EG316)</f>
        <v>732080.37063951511</v>
      </c>
      <c r="AB313" s="798">
        <f>SUMIF('Venture Summary - Mthly'!$E$8:$EG$8,AB$9,'Venture Summary - Mthly'!$E316:$EG316)</f>
        <v>748271.4101425925</v>
      </c>
      <c r="AC313" s="798">
        <f>SUMIF('Venture Summary - Mthly'!$E$8:$EG$8,AC$9,'Venture Summary - Mthly'!$E316:$EG316)</f>
        <v>767018.32850041986</v>
      </c>
      <c r="AD313" s="798">
        <f>SUMIF('Venture Summary - Mthly'!$E$8:$EG$8,AD$9,'Venture Summary - Mthly'!$E316:$EG316)</f>
        <v>785743.49356206995</v>
      </c>
      <c r="AE313" s="798">
        <f>SUMIF('Venture Summary - Mthly'!$E$8:$EG$8,AE$9,'Venture Summary - Mthly'!$E316:$EG316)</f>
        <v>785270.30079527816</v>
      </c>
      <c r="AF313" s="798">
        <f>SUMIF('Venture Summary - Mthly'!$E$8:$EG$8,AF$9,'Venture Summary - Mthly'!$E316:$EG316)</f>
        <v>802729.72625170508</v>
      </c>
      <c r="AG313" s="798">
        <f>SUMIF('Venture Summary - Mthly'!$E$8:$EG$8,AG$9,'Venture Summary - Mthly'!$E316:$EG316)</f>
        <v>822662.61418112239</v>
      </c>
      <c r="AH313" s="798">
        <f>SUMIF('Venture Summary - Mthly'!$E$8:$EG$8,AH$9,'Venture Summary - Mthly'!$E316:$EG316)</f>
        <v>842492.85555103875</v>
      </c>
      <c r="AI313" s="798">
        <f>SUMIF('Venture Summary - Mthly'!$E$8:$EG$8,AI$9,'Venture Summary - Mthly'!$E316:$EG316)</f>
        <v>842283.51895287074</v>
      </c>
      <c r="AJ313" s="798">
        <f>SUMIF('Venture Summary - Mthly'!$E$8:$EG$8,AJ$9,'Venture Summary - Mthly'!$E316:$EG316)</f>
        <v>860476.76641253906</v>
      </c>
      <c r="AK313" s="798">
        <f>SUMIF('Venture Summary - Mthly'!$E$8:$EG$8,AK$9,'Venture Summary - Mthly'!$E316:$EG316)</f>
        <v>58639186.607337944</v>
      </c>
      <c r="AL313" s="798">
        <f>SUMIF('Venture Summary - Mthly'!$E$8:$EG$8,AL$9,'Venture Summary - Mthly'!$E316:$EG316)</f>
        <v>0</v>
      </c>
      <c r="AM313" s="798">
        <f>SUMIF('Venture Summary - Mthly'!$E$8:$EG$8,AM$9,'Venture Summary - Mthly'!$E316:$EG316)</f>
        <v>0</v>
      </c>
      <c r="AN313" s="798">
        <f>SUMIF('Venture Summary - Mthly'!$E$8:$EG$8,AN$9,'Venture Summary - Mthly'!$E316:$EG316)</f>
        <v>0</v>
      </c>
      <c r="AO313" s="798">
        <f>SUMIF('Venture Summary - Mthly'!$E$8:$EG$8,AO$9,'Venture Summary - Mthly'!$E316:$EG316)</f>
        <v>0</v>
      </c>
      <c r="AP313" s="798">
        <f>SUMIF('Venture Summary - Mthly'!$E$8:$EG$8,AP$9,'Venture Summary - Mthly'!$E316:$EG316)</f>
        <v>0</v>
      </c>
      <c r="AQ313" s="798">
        <f>SUMIF('Venture Summary - Mthly'!$E$8:$EG$8,AQ$9,'Venture Summary - Mthly'!$E316:$EG316)</f>
        <v>0</v>
      </c>
      <c r="AR313" s="798">
        <f>SUMIF('Venture Summary - Mthly'!$E$8:$EG$8,AR$9,'Venture Summary - Mthly'!$E316:$EG316)</f>
        <v>0</v>
      </c>
      <c r="AS313" s="798">
        <f>SUMIF('Venture Summary - Mthly'!$E$8:$EG$8,AS$9,'Venture Summary - Mthly'!$E316:$EG316)</f>
        <v>0</v>
      </c>
      <c r="AT313" s="798">
        <f>SUMIF('Venture Summary - Mthly'!$E$8:$EG$8,AT$9,'Venture Summary - Mthly'!$E316:$EG316)</f>
        <v>0</v>
      </c>
      <c r="AU313" s="798">
        <f>SUMIF('Venture Summary - Mthly'!$E$8:$EG$8,AU$9,'Venture Summary - Mthly'!$E316:$EG316)</f>
        <v>0</v>
      </c>
      <c r="AV313" s="798">
        <f>SUMIF('Venture Summary - Mthly'!$E$8:$EG$8,AV$9,'Venture Summary - Mthly'!$E316:$EG316)</f>
        <v>0</v>
      </c>
      <c r="AW313" s="798">
        <f>SUMIF('Venture Summary - Mthly'!$E$8:$EG$8,AW$9,'Venture Summary - Mthly'!$E316:$EG316)</f>
        <v>0</v>
      </c>
      <c r="AX313" s="798"/>
    </row>
    <row r="314" spans="1:50" ht="12.75" customHeight="1" x14ac:dyDescent="0.3">
      <c r="A314" s="782"/>
      <c r="B314" s="782"/>
      <c r="C314" s="798"/>
      <c r="D314" s="782"/>
      <c r="E314" s="798"/>
      <c r="F314" s="798"/>
      <c r="G314" s="798"/>
      <c r="H314" s="798"/>
      <c r="I314" s="798"/>
      <c r="J314" s="798"/>
      <c r="K314" s="798"/>
      <c r="L314" s="798"/>
      <c r="M314" s="798"/>
      <c r="N314" s="798"/>
      <c r="O314" s="798"/>
      <c r="P314" s="798"/>
      <c r="Q314" s="798"/>
      <c r="R314" s="798"/>
      <c r="S314" s="798"/>
      <c r="T314" s="798"/>
      <c r="U314" s="798"/>
      <c r="V314" s="798"/>
      <c r="W314" s="798"/>
      <c r="X314" s="798"/>
      <c r="Y314" s="798"/>
      <c r="Z314" s="798"/>
      <c r="AA314" s="798"/>
      <c r="AB314" s="798"/>
      <c r="AC314" s="798"/>
      <c r="AD314" s="798"/>
      <c r="AE314" s="798"/>
      <c r="AF314" s="798"/>
      <c r="AG314" s="798"/>
      <c r="AH314" s="798"/>
      <c r="AI314" s="798"/>
      <c r="AJ314" s="798"/>
      <c r="AK314" s="798"/>
      <c r="AL314" s="798"/>
      <c r="AM314" s="798"/>
      <c r="AN314" s="798"/>
      <c r="AO314" s="798"/>
      <c r="AP314" s="798"/>
      <c r="AQ314" s="798"/>
      <c r="AR314" s="798"/>
      <c r="AS314" s="798"/>
      <c r="AT314" s="798"/>
      <c r="AU314" s="798"/>
      <c r="AV314" s="798"/>
      <c r="AW314" s="798"/>
      <c r="AX314" s="798"/>
    </row>
    <row r="315" spans="1:50" ht="12.75" customHeight="1" x14ac:dyDescent="0.3">
      <c r="A315" s="782"/>
      <c r="B315" s="796" t="s">
        <v>168</v>
      </c>
      <c r="C315" s="824">
        <f>'Venture Summary - Mthly'!C318</f>
        <v>0.10000000596046449</v>
      </c>
      <c r="D315" s="782"/>
      <c r="E315" s="798"/>
      <c r="F315" s="798"/>
      <c r="G315" s="798"/>
      <c r="H315" s="798"/>
      <c r="I315" s="798"/>
      <c r="J315" s="798"/>
      <c r="K315" s="798"/>
      <c r="L315" s="798"/>
      <c r="M315" s="798"/>
      <c r="N315" s="798"/>
      <c r="O315" s="798"/>
      <c r="P315" s="798"/>
      <c r="Q315" s="798"/>
      <c r="R315" s="798"/>
      <c r="S315" s="798"/>
      <c r="T315" s="798"/>
      <c r="U315" s="798"/>
      <c r="V315" s="798"/>
      <c r="W315" s="798"/>
      <c r="X315" s="798"/>
      <c r="Y315" s="798"/>
      <c r="Z315" s="798"/>
      <c r="AA315" s="798"/>
      <c r="AB315" s="798"/>
      <c r="AC315" s="798"/>
      <c r="AD315" s="798"/>
      <c r="AE315" s="798"/>
      <c r="AF315" s="798"/>
      <c r="AG315" s="798"/>
      <c r="AH315" s="798"/>
      <c r="AI315" s="798"/>
      <c r="AJ315" s="798"/>
      <c r="AK315" s="798"/>
      <c r="AL315" s="798"/>
      <c r="AM315" s="798"/>
      <c r="AN315" s="798"/>
      <c r="AO315" s="798"/>
      <c r="AP315" s="798"/>
      <c r="AQ315" s="798"/>
      <c r="AR315" s="798"/>
      <c r="AS315" s="798"/>
      <c r="AT315" s="798"/>
      <c r="AU315" s="798"/>
      <c r="AV315" s="798"/>
      <c r="AW315" s="798"/>
      <c r="AX315" s="798"/>
    </row>
    <row r="316" spans="1:50" ht="12.75" customHeight="1" x14ac:dyDescent="0.3">
      <c r="A316" s="782"/>
      <c r="B316" s="782"/>
      <c r="C316" s="798"/>
      <c r="D316" s="782"/>
      <c r="E316" s="798"/>
      <c r="F316" s="798"/>
      <c r="G316" s="798"/>
      <c r="H316" s="798"/>
      <c r="I316" s="798"/>
      <c r="J316" s="798"/>
      <c r="K316" s="798"/>
      <c r="L316" s="798"/>
      <c r="M316" s="798"/>
      <c r="N316" s="798"/>
      <c r="O316" s="798"/>
      <c r="P316" s="798"/>
      <c r="Q316" s="798"/>
      <c r="R316" s="798"/>
      <c r="S316" s="798"/>
      <c r="T316" s="798"/>
      <c r="U316" s="798"/>
      <c r="V316" s="798"/>
      <c r="W316" s="798"/>
      <c r="X316" s="798"/>
      <c r="Y316" s="798"/>
      <c r="Z316" s="798"/>
      <c r="AA316" s="798"/>
      <c r="AB316" s="798"/>
      <c r="AC316" s="798"/>
      <c r="AD316" s="798"/>
      <c r="AE316" s="798"/>
      <c r="AF316" s="798"/>
      <c r="AG316" s="798"/>
      <c r="AH316" s="798"/>
      <c r="AI316" s="798"/>
      <c r="AJ316" s="798"/>
      <c r="AK316" s="798"/>
      <c r="AL316" s="798"/>
      <c r="AM316" s="798"/>
      <c r="AN316" s="798"/>
      <c r="AO316" s="798"/>
      <c r="AP316" s="798"/>
      <c r="AQ316" s="798"/>
      <c r="AR316" s="798"/>
      <c r="AS316" s="798"/>
      <c r="AT316" s="798"/>
      <c r="AU316" s="798"/>
      <c r="AV316" s="798"/>
      <c r="AW316" s="798"/>
      <c r="AX316" s="798"/>
    </row>
    <row r="317" spans="1:50" ht="12.75" customHeight="1" x14ac:dyDescent="0.3">
      <c r="A317" s="782"/>
      <c r="B317" s="782" t="s">
        <v>163</v>
      </c>
      <c r="C317" s="798"/>
      <c r="D317" s="782"/>
      <c r="E317" s="798">
        <f t="shared" ref="E317:AW317" si="73">E279</f>
        <v>0</v>
      </c>
      <c r="F317" s="798">
        <f t="shared" si="73"/>
        <v>0</v>
      </c>
      <c r="G317" s="798">
        <f t="shared" si="73"/>
        <v>0</v>
      </c>
      <c r="H317" s="798">
        <f t="shared" si="73"/>
        <v>0</v>
      </c>
      <c r="I317" s="798">
        <f t="shared" si="73"/>
        <v>0</v>
      </c>
      <c r="J317" s="798">
        <f t="shared" si="73"/>
        <v>0</v>
      </c>
      <c r="K317" s="798">
        <f t="shared" si="73"/>
        <v>0</v>
      </c>
      <c r="L317" s="798">
        <f t="shared" si="73"/>
        <v>0</v>
      </c>
      <c r="M317" s="798">
        <f t="shared" si="73"/>
        <v>0</v>
      </c>
      <c r="N317" s="798">
        <f t="shared" si="73"/>
        <v>0</v>
      </c>
      <c r="O317" s="798">
        <f t="shared" si="73"/>
        <v>0</v>
      </c>
      <c r="P317" s="798">
        <f t="shared" si="73"/>
        <v>-46600744.397802807</v>
      </c>
      <c r="Q317" s="798">
        <f t="shared" si="73"/>
        <v>623346.85292693274</v>
      </c>
      <c r="R317" s="798">
        <f t="shared" si="73"/>
        <v>645086.61329542077</v>
      </c>
      <c r="S317" s="798">
        <f t="shared" si="73"/>
        <v>644215.54607378726</v>
      </c>
      <c r="T317" s="798">
        <f t="shared" si="73"/>
        <v>661902.09947439213</v>
      </c>
      <c r="U317" s="798">
        <f t="shared" si="73"/>
        <v>679519.10289103352</v>
      </c>
      <c r="V317" s="798">
        <f t="shared" si="73"/>
        <v>694204.81009246409</v>
      </c>
      <c r="W317" s="798">
        <f t="shared" si="73"/>
        <v>689738.6161152703</v>
      </c>
      <c r="X317" s="798">
        <f t="shared" si="73"/>
        <v>701794.01382499537</v>
      </c>
      <c r="Y317" s="798">
        <f t="shared" si="73"/>
        <v>717065.29189360049</v>
      </c>
      <c r="Z317" s="798">
        <f t="shared" si="73"/>
        <v>733551.69515324559</v>
      </c>
      <c r="AA317" s="798">
        <f t="shared" si="73"/>
        <v>732080.37063951511</v>
      </c>
      <c r="AB317" s="798">
        <f t="shared" si="73"/>
        <v>748271.4101425925</v>
      </c>
      <c r="AC317" s="798">
        <f t="shared" si="73"/>
        <v>767018.32850041986</v>
      </c>
      <c r="AD317" s="798">
        <f t="shared" si="73"/>
        <v>785743.49356206995</v>
      </c>
      <c r="AE317" s="798">
        <f t="shared" si="73"/>
        <v>785270.30079527816</v>
      </c>
      <c r="AF317" s="798">
        <f t="shared" si="73"/>
        <v>802729.72625170508</v>
      </c>
      <c r="AG317" s="798">
        <f t="shared" si="73"/>
        <v>822662.61418112239</v>
      </c>
      <c r="AH317" s="798">
        <f t="shared" si="73"/>
        <v>842492.85555103875</v>
      </c>
      <c r="AI317" s="798">
        <f t="shared" si="73"/>
        <v>842283.51895287074</v>
      </c>
      <c r="AJ317" s="798">
        <f t="shared" si="73"/>
        <v>860476.76641253906</v>
      </c>
      <c r="AK317" s="798">
        <f t="shared" si="73"/>
        <v>53057051.624760687</v>
      </c>
      <c r="AL317" s="798">
        <f t="shared" si="73"/>
        <v>0</v>
      </c>
      <c r="AM317" s="798">
        <f t="shared" si="73"/>
        <v>0</v>
      </c>
      <c r="AN317" s="798">
        <f t="shared" si="73"/>
        <v>0</v>
      </c>
      <c r="AO317" s="798">
        <f t="shared" si="73"/>
        <v>0</v>
      </c>
      <c r="AP317" s="798">
        <f t="shared" si="73"/>
        <v>0</v>
      </c>
      <c r="AQ317" s="798">
        <f t="shared" si="73"/>
        <v>0</v>
      </c>
      <c r="AR317" s="798">
        <f t="shared" si="73"/>
        <v>0</v>
      </c>
      <c r="AS317" s="798">
        <f t="shared" si="73"/>
        <v>0</v>
      </c>
      <c r="AT317" s="798">
        <f t="shared" si="73"/>
        <v>0</v>
      </c>
      <c r="AU317" s="798">
        <f t="shared" si="73"/>
        <v>0</v>
      </c>
      <c r="AV317" s="798">
        <f t="shared" si="73"/>
        <v>0</v>
      </c>
      <c r="AW317" s="798">
        <f t="shared" si="73"/>
        <v>0</v>
      </c>
      <c r="AX317" s="798"/>
    </row>
    <row r="318" spans="1:50" ht="12.75" customHeight="1" x14ac:dyDescent="0.3">
      <c r="A318" s="782"/>
      <c r="B318" s="781" t="s">
        <v>177</v>
      </c>
      <c r="C318" s="799"/>
      <c r="D318" s="781"/>
      <c r="E318" s="799">
        <f t="shared" ref="E318:AW318" si="74">E301</f>
        <v>0</v>
      </c>
      <c r="F318" s="799">
        <f t="shared" si="74"/>
        <v>0</v>
      </c>
      <c r="G318" s="799">
        <f t="shared" si="74"/>
        <v>0</v>
      </c>
      <c r="H318" s="799">
        <f t="shared" si="74"/>
        <v>0</v>
      </c>
      <c r="I318" s="799">
        <f t="shared" si="74"/>
        <v>0</v>
      </c>
      <c r="J318" s="799">
        <f t="shared" si="74"/>
        <v>0</v>
      </c>
      <c r="K318" s="799">
        <f t="shared" si="74"/>
        <v>0</v>
      </c>
      <c r="L318" s="799">
        <f t="shared" si="74"/>
        <v>0</v>
      </c>
      <c r="M318" s="799">
        <f t="shared" si="74"/>
        <v>0</v>
      </c>
      <c r="N318" s="799">
        <f t="shared" si="74"/>
        <v>0</v>
      </c>
      <c r="O318" s="799">
        <f t="shared" si="74"/>
        <v>0</v>
      </c>
      <c r="P318" s="799">
        <f t="shared" si="74"/>
        <v>0</v>
      </c>
      <c r="Q318" s="799">
        <f t="shared" si="74"/>
        <v>0</v>
      </c>
      <c r="R318" s="799">
        <f t="shared" si="74"/>
        <v>0</v>
      </c>
      <c r="S318" s="799">
        <f t="shared" si="74"/>
        <v>0</v>
      </c>
      <c r="T318" s="799">
        <f t="shared" si="74"/>
        <v>0</v>
      </c>
      <c r="U318" s="799">
        <f t="shared" si="74"/>
        <v>0</v>
      </c>
      <c r="V318" s="799">
        <f t="shared" si="74"/>
        <v>0</v>
      </c>
      <c r="W318" s="799">
        <f t="shared" si="74"/>
        <v>0</v>
      </c>
      <c r="X318" s="799">
        <f t="shared" si="74"/>
        <v>0</v>
      </c>
      <c r="Y318" s="799">
        <f t="shared" si="74"/>
        <v>0</v>
      </c>
      <c r="Z318" s="799">
        <f t="shared" si="74"/>
        <v>0</v>
      </c>
      <c r="AA318" s="799">
        <f t="shared" si="74"/>
        <v>0</v>
      </c>
      <c r="AB318" s="799">
        <f t="shared" si="74"/>
        <v>0</v>
      </c>
      <c r="AC318" s="799">
        <f t="shared" si="74"/>
        <v>0</v>
      </c>
      <c r="AD318" s="799">
        <f t="shared" si="74"/>
        <v>0</v>
      </c>
      <c r="AE318" s="799">
        <f t="shared" si="74"/>
        <v>0</v>
      </c>
      <c r="AF318" s="799">
        <f t="shared" si="74"/>
        <v>0</v>
      </c>
      <c r="AG318" s="799">
        <f t="shared" si="74"/>
        <v>0</v>
      </c>
      <c r="AH318" s="799">
        <f t="shared" si="74"/>
        <v>0</v>
      </c>
      <c r="AI318" s="799">
        <f t="shared" si="74"/>
        <v>0</v>
      </c>
      <c r="AJ318" s="799">
        <f t="shared" si="74"/>
        <v>0</v>
      </c>
      <c r="AK318" s="799">
        <f t="shared" si="74"/>
        <v>6567217.6265614787</v>
      </c>
      <c r="AL318" s="799">
        <f t="shared" si="74"/>
        <v>0</v>
      </c>
      <c r="AM318" s="799">
        <f t="shared" si="74"/>
        <v>0</v>
      </c>
      <c r="AN318" s="799">
        <f t="shared" si="74"/>
        <v>0</v>
      </c>
      <c r="AO318" s="799">
        <f t="shared" si="74"/>
        <v>0</v>
      </c>
      <c r="AP318" s="799">
        <f t="shared" si="74"/>
        <v>0</v>
      </c>
      <c r="AQ318" s="799">
        <f t="shared" si="74"/>
        <v>0</v>
      </c>
      <c r="AR318" s="799">
        <f t="shared" si="74"/>
        <v>0</v>
      </c>
      <c r="AS318" s="799">
        <f t="shared" si="74"/>
        <v>0</v>
      </c>
      <c r="AT318" s="799">
        <f t="shared" si="74"/>
        <v>0</v>
      </c>
      <c r="AU318" s="799">
        <f t="shared" si="74"/>
        <v>0</v>
      </c>
      <c r="AV318" s="799">
        <f t="shared" si="74"/>
        <v>0</v>
      </c>
      <c r="AW318" s="799">
        <f t="shared" si="74"/>
        <v>0</v>
      </c>
      <c r="AX318" s="798"/>
    </row>
    <row r="319" spans="1:50" ht="12.75" customHeight="1" x14ac:dyDescent="0.3">
      <c r="A319" s="782"/>
      <c r="B319" s="782" t="s">
        <v>169</v>
      </c>
      <c r="C319" s="798"/>
      <c r="D319" s="782"/>
      <c r="E319" s="798">
        <f t="shared" ref="E319:AW319" si="75">E313-E317-E318</f>
        <v>0</v>
      </c>
      <c r="F319" s="798">
        <f t="shared" si="75"/>
        <v>0</v>
      </c>
      <c r="G319" s="798">
        <f t="shared" si="75"/>
        <v>0</v>
      </c>
      <c r="H319" s="798">
        <f t="shared" si="75"/>
        <v>0</v>
      </c>
      <c r="I319" s="798">
        <f t="shared" si="75"/>
        <v>0</v>
      </c>
      <c r="J319" s="798">
        <f t="shared" si="75"/>
        <v>0</v>
      </c>
      <c r="K319" s="798">
        <f t="shared" si="75"/>
        <v>0</v>
      </c>
      <c r="L319" s="798">
        <f t="shared" si="75"/>
        <v>0</v>
      </c>
      <c r="M319" s="798">
        <f t="shared" si="75"/>
        <v>0</v>
      </c>
      <c r="N319" s="798">
        <f t="shared" si="75"/>
        <v>0</v>
      </c>
      <c r="O319" s="798">
        <f t="shared" si="75"/>
        <v>0</v>
      </c>
      <c r="P319" s="798">
        <f t="shared" si="75"/>
        <v>0</v>
      </c>
      <c r="Q319" s="798">
        <f t="shared" si="75"/>
        <v>0</v>
      </c>
      <c r="R319" s="798">
        <f t="shared" si="75"/>
        <v>0</v>
      </c>
      <c r="S319" s="798">
        <f t="shared" si="75"/>
        <v>0</v>
      </c>
      <c r="T319" s="798">
        <f t="shared" si="75"/>
        <v>0</v>
      </c>
      <c r="U319" s="798">
        <f t="shared" si="75"/>
        <v>0</v>
      </c>
      <c r="V319" s="798">
        <f t="shared" si="75"/>
        <v>0</v>
      </c>
      <c r="W319" s="798">
        <f t="shared" si="75"/>
        <v>0</v>
      </c>
      <c r="X319" s="798">
        <f t="shared" si="75"/>
        <v>0</v>
      </c>
      <c r="Y319" s="798">
        <f t="shared" si="75"/>
        <v>0</v>
      </c>
      <c r="Z319" s="798">
        <f t="shared" si="75"/>
        <v>0</v>
      </c>
      <c r="AA319" s="798">
        <f t="shared" si="75"/>
        <v>0</v>
      </c>
      <c r="AB319" s="798">
        <f t="shared" si="75"/>
        <v>0</v>
      </c>
      <c r="AC319" s="798">
        <f t="shared" si="75"/>
        <v>0</v>
      </c>
      <c r="AD319" s="798">
        <f t="shared" si="75"/>
        <v>0</v>
      </c>
      <c r="AE319" s="798">
        <f t="shared" si="75"/>
        <v>0</v>
      </c>
      <c r="AF319" s="798">
        <f t="shared" si="75"/>
        <v>0</v>
      </c>
      <c r="AG319" s="798">
        <f t="shared" si="75"/>
        <v>0</v>
      </c>
      <c r="AH319" s="798">
        <f t="shared" si="75"/>
        <v>0</v>
      </c>
      <c r="AI319" s="798">
        <f t="shared" si="75"/>
        <v>0</v>
      </c>
      <c r="AJ319" s="798">
        <f t="shared" si="75"/>
        <v>0</v>
      </c>
      <c r="AK319" s="798">
        <f t="shared" si="75"/>
        <v>-985082.64398422185</v>
      </c>
      <c r="AL319" s="798">
        <f t="shared" si="75"/>
        <v>0</v>
      </c>
      <c r="AM319" s="798">
        <f t="shared" si="75"/>
        <v>0</v>
      </c>
      <c r="AN319" s="798">
        <f t="shared" si="75"/>
        <v>0</v>
      </c>
      <c r="AO319" s="798">
        <f t="shared" si="75"/>
        <v>0</v>
      </c>
      <c r="AP319" s="798">
        <f t="shared" si="75"/>
        <v>0</v>
      </c>
      <c r="AQ319" s="798">
        <f t="shared" si="75"/>
        <v>0</v>
      </c>
      <c r="AR319" s="798">
        <f t="shared" si="75"/>
        <v>0</v>
      </c>
      <c r="AS319" s="798">
        <f t="shared" si="75"/>
        <v>0</v>
      </c>
      <c r="AT319" s="798">
        <f t="shared" si="75"/>
        <v>0</v>
      </c>
      <c r="AU319" s="798">
        <f t="shared" si="75"/>
        <v>0</v>
      </c>
      <c r="AV319" s="798">
        <f t="shared" si="75"/>
        <v>0</v>
      </c>
      <c r="AW319" s="798">
        <f t="shared" si="75"/>
        <v>0</v>
      </c>
      <c r="AX319" s="798"/>
    </row>
    <row r="320" spans="1:50" ht="12.75" customHeight="1" x14ac:dyDescent="0.3">
      <c r="A320" s="782"/>
      <c r="B320" s="782" t="s">
        <v>170</v>
      </c>
      <c r="C320" s="798"/>
      <c r="D320" s="782"/>
      <c r="E320" s="798">
        <f>SUMIF('Venture Summary - Mthly'!$E$8:$EG$8,E$9,'Venture Summary - Mthly'!$E323:$EG323)</f>
        <v>0</v>
      </c>
      <c r="F320" s="798">
        <f>SUMIF('Venture Summary - Mthly'!$E$8:$EG$8,F$9,'Venture Summary - Mthly'!$E323:$EG323)</f>
        <v>0</v>
      </c>
      <c r="G320" s="798">
        <f>SUMIF('Venture Summary - Mthly'!$E$8:$EG$8,G$9,'Venture Summary - Mthly'!$E323:$EG323)</f>
        <v>0</v>
      </c>
      <c r="H320" s="798">
        <f>SUMIF('Venture Summary - Mthly'!$E$8:$EG$8,H$9,'Venture Summary - Mthly'!$E323:$EG323)</f>
        <v>0</v>
      </c>
      <c r="I320" s="798">
        <f>SUMIF('Venture Summary - Mthly'!$E$8:$EG$8,I$9,'Venture Summary - Mthly'!$E323:$EG323)</f>
        <v>0</v>
      </c>
      <c r="J320" s="798">
        <f>SUMIF('Venture Summary - Mthly'!$E$8:$EG$8,J$9,'Venture Summary - Mthly'!$E323:$EG323)</f>
        <v>0</v>
      </c>
      <c r="K320" s="798">
        <f>SUMIF('Venture Summary - Mthly'!$E$8:$EG$8,K$9,'Venture Summary - Mthly'!$E323:$EG323)</f>
        <v>0</v>
      </c>
      <c r="L320" s="798">
        <f>SUMIF('Venture Summary - Mthly'!$E$8:$EG$8,L$9,'Venture Summary - Mthly'!$E323:$EG323)</f>
        <v>0</v>
      </c>
      <c r="M320" s="798">
        <f>SUMIF('Venture Summary - Mthly'!$E$8:$EG$8,M$9,'Venture Summary - Mthly'!$E323:$EG323)</f>
        <v>0</v>
      </c>
      <c r="N320" s="798">
        <f>SUMIF('Venture Summary - Mthly'!$E$8:$EG$8,N$9,'Venture Summary - Mthly'!$E323:$EG323)</f>
        <v>0</v>
      </c>
      <c r="O320" s="798">
        <f>SUMIF('Venture Summary - Mthly'!$E$8:$EG$8,O$9,'Venture Summary - Mthly'!$E323:$EG323)</f>
        <v>0</v>
      </c>
      <c r="P320" s="798">
        <f>SUMIF('Venture Summary - Mthly'!$E$8:$EG$8,P$9,'Venture Summary - Mthly'!$E323:$EG323)</f>
        <v>0</v>
      </c>
      <c r="Q320" s="798">
        <f>SUMIF('Venture Summary - Mthly'!$E$8:$EG$8,Q$9,'Venture Summary - Mthly'!$E323:$EG323)</f>
        <v>0</v>
      </c>
      <c r="R320" s="798">
        <f>SUMIF('Venture Summary - Mthly'!$E$8:$EG$8,R$9,'Venture Summary - Mthly'!$E323:$EG323)</f>
        <v>0</v>
      </c>
      <c r="S320" s="798">
        <f>SUMIF('Venture Summary - Mthly'!$E$8:$EG$8,S$9,'Venture Summary - Mthly'!$E323:$EG323)</f>
        <v>0</v>
      </c>
      <c r="T320" s="798">
        <f>SUMIF('Venture Summary - Mthly'!$E$8:$EG$8,T$9,'Venture Summary - Mthly'!$E323:$EG323)</f>
        <v>0</v>
      </c>
      <c r="U320" s="798">
        <f>SUMIF('Venture Summary - Mthly'!$E$8:$EG$8,U$9,'Venture Summary - Mthly'!$E323:$EG323)</f>
        <v>0</v>
      </c>
      <c r="V320" s="798">
        <f>SUMIF('Venture Summary - Mthly'!$E$8:$EG$8,V$9,'Venture Summary - Mthly'!$E323:$EG323)</f>
        <v>0</v>
      </c>
      <c r="W320" s="798">
        <f>SUMIF('Venture Summary - Mthly'!$E$8:$EG$8,W$9,'Venture Summary - Mthly'!$E323:$EG323)</f>
        <v>0</v>
      </c>
      <c r="X320" s="798">
        <f>SUMIF('Venture Summary - Mthly'!$E$8:$EG$8,X$9,'Venture Summary - Mthly'!$E323:$EG323)</f>
        <v>0</v>
      </c>
      <c r="Y320" s="798">
        <f>SUMIF('Venture Summary - Mthly'!$E$8:$EG$8,Y$9,'Venture Summary - Mthly'!$E323:$EG323)</f>
        <v>0</v>
      </c>
      <c r="Z320" s="798">
        <f>SUMIF('Venture Summary - Mthly'!$E$8:$EG$8,Z$9,'Venture Summary - Mthly'!$E323:$EG323)</f>
        <v>0</v>
      </c>
      <c r="AA320" s="798">
        <f>SUMIF('Venture Summary - Mthly'!$E$8:$EG$8,AA$9,'Venture Summary - Mthly'!$E323:$EG323)</f>
        <v>0</v>
      </c>
      <c r="AB320" s="798">
        <f>SUMIF('Venture Summary - Mthly'!$E$8:$EG$8,AB$9,'Venture Summary - Mthly'!$E323:$EG323)</f>
        <v>0</v>
      </c>
      <c r="AC320" s="798">
        <f>SUMIF('Venture Summary - Mthly'!$E$8:$EG$8,AC$9,'Venture Summary - Mthly'!$E323:$EG323)</f>
        <v>0</v>
      </c>
      <c r="AD320" s="798">
        <f>SUMIF('Venture Summary - Mthly'!$E$8:$EG$8,AD$9,'Venture Summary - Mthly'!$E323:$EG323)</f>
        <v>0</v>
      </c>
      <c r="AE320" s="798">
        <f>SUMIF('Venture Summary - Mthly'!$E$8:$EG$8,AE$9,'Venture Summary - Mthly'!$E323:$EG323)</f>
        <v>0</v>
      </c>
      <c r="AF320" s="798">
        <f>SUMIF('Venture Summary - Mthly'!$E$8:$EG$8,AF$9,'Venture Summary - Mthly'!$E323:$EG323)</f>
        <v>0</v>
      </c>
      <c r="AG320" s="798">
        <f>SUMIF('Venture Summary - Mthly'!$E$8:$EG$8,AG$9,'Venture Summary - Mthly'!$E323:$EG323)</f>
        <v>0</v>
      </c>
      <c r="AH320" s="798">
        <f>SUMIF('Venture Summary - Mthly'!$E$8:$EG$8,AH$9,'Venture Summary - Mthly'!$E323:$EG323)</f>
        <v>0</v>
      </c>
      <c r="AI320" s="798">
        <f>SUMIF('Venture Summary - Mthly'!$E$8:$EG$8,AI$9,'Venture Summary - Mthly'!$E323:$EG323)</f>
        <v>0</v>
      </c>
      <c r="AJ320" s="798">
        <f>SUMIF('Venture Summary - Mthly'!$E$8:$EG$8,AJ$9,'Venture Summary - Mthly'!$E323:$EG323)</f>
        <v>0</v>
      </c>
      <c r="AK320" s="798">
        <f>SUMIF('Venture Summary - Mthly'!$E$8:$EG$8,AK$9,'Venture Summary - Mthly'!$E323:$EG323)</f>
        <v>-1158920.7576284963</v>
      </c>
      <c r="AL320" s="798">
        <f>SUMIF('Venture Summary - Mthly'!$E$8:$EG$8,AL$9,'Venture Summary - Mthly'!$E323:$EG323)</f>
        <v>0</v>
      </c>
      <c r="AM320" s="798">
        <f>SUMIF('Venture Summary - Mthly'!$E$8:$EG$8,AM$9,'Venture Summary - Mthly'!$E323:$EG323)</f>
        <v>0</v>
      </c>
      <c r="AN320" s="798">
        <f>SUMIF('Venture Summary - Mthly'!$E$8:$EG$8,AN$9,'Venture Summary - Mthly'!$E323:$EG323)</f>
        <v>0</v>
      </c>
      <c r="AO320" s="798">
        <f>SUMIF('Venture Summary - Mthly'!$E$8:$EG$8,AO$9,'Venture Summary - Mthly'!$E323:$EG323)</f>
        <v>0</v>
      </c>
      <c r="AP320" s="798">
        <f>SUMIF('Venture Summary - Mthly'!$E$8:$EG$8,AP$9,'Venture Summary - Mthly'!$E323:$EG323)</f>
        <v>0</v>
      </c>
      <c r="AQ320" s="798">
        <f>SUMIF('Venture Summary - Mthly'!$E$8:$EG$8,AQ$9,'Venture Summary - Mthly'!$E323:$EG323)</f>
        <v>0</v>
      </c>
      <c r="AR320" s="798">
        <f>SUMIF('Venture Summary - Mthly'!$E$8:$EG$8,AR$9,'Venture Summary - Mthly'!$E323:$EG323)</f>
        <v>0</v>
      </c>
      <c r="AS320" s="798">
        <f>SUMIF('Venture Summary - Mthly'!$E$8:$EG$8,AS$9,'Venture Summary - Mthly'!$E323:$EG323)</f>
        <v>0</v>
      </c>
      <c r="AT320" s="798">
        <f>SUMIF('Venture Summary - Mthly'!$E$8:$EG$8,AT$9,'Venture Summary - Mthly'!$E323:$EG323)</f>
        <v>0</v>
      </c>
      <c r="AU320" s="798">
        <f>SUMIF('Venture Summary - Mthly'!$E$8:$EG$8,AU$9,'Venture Summary - Mthly'!$E323:$EG323)</f>
        <v>0</v>
      </c>
      <c r="AV320" s="798">
        <f>SUMIF('Venture Summary - Mthly'!$E$8:$EG$8,AV$9,'Venture Summary - Mthly'!$E323:$EG323)</f>
        <v>0</v>
      </c>
      <c r="AW320" s="798">
        <f>SUMIF('Venture Summary - Mthly'!$E$8:$EG$8,AW$9,'Venture Summary - Mthly'!$E323:$EG323)</f>
        <v>0</v>
      </c>
      <c r="AX320" s="798"/>
    </row>
    <row r="321" spans="1:50" ht="12.75" customHeight="1" x14ac:dyDescent="0.3">
      <c r="A321" s="782"/>
      <c r="B321" s="782"/>
      <c r="C321" s="798"/>
      <c r="D321" s="782"/>
      <c r="E321" s="798"/>
      <c r="F321" s="798"/>
      <c r="G321" s="798"/>
      <c r="H321" s="798"/>
      <c r="I321" s="798"/>
      <c r="J321" s="798"/>
      <c r="K321" s="798"/>
      <c r="L321" s="798"/>
      <c r="M321" s="798"/>
      <c r="N321" s="798"/>
      <c r="O321" s="798"/>
      <c r="P321" s="798"/>
      <c r="Q321" s="798"/>
      <c r="R321" s="798"/>
      <c r="S321" s="798"/>
      <c r="T321" s="798"/>
      <c r="U321" s="798"/>
      <c r="V321" s="798"/>
      <c r="W321" s="798"/>
      <c r="X321" s="798"/>
      <c r="Y321" s="798"/>
      <c r="Z321" s="798"/>
      <c r="AA321" s="798"/>
      <c r="AB321" s="798"/>
      <c r="AC321" s="798"/>
      <c r="AD321" s="798"/>
      <c r="AE321" s="798"/>
      <c r="AF321" s="798"/>
      <c r="AG321" s="798"/>
      <c r="AH321" s="798"/>
      <c r="AI321" s="798"/>
      <c r="AJ321" s="798"/>
      <c r="AK321" s="798"/>
      <c r="AL321" s="798"/>
      <c r="AM321" s="798"/>
      <c r="AN321" s="798"/>
      <c r="AO321" s="798"/>
      <c r="AP321" s="798"/>
      <c r="AQ321" s="798"/>
      <c r="AR321" s="798"/>
      <c r="AS321" s="798"/>
      <c r="AT321" s="798"/>
      <c r="AU321" s="798"/>
      <c r="AV321" s="798"/>
      <c r="AW321" s="798"/>
      <c r="AX321" s="798"/>
    </row>
    <row r="322" spans="1:50" ht="12.75" customHeight="1" x14ac:dyDescent="0.3">
      <c r="A322" s="782"/>
      <c r="B322" s="782" t="s">
        <v>178</v>
      </c>
      <c r="C322" s="798"/>
      <c r="D322" s="782"/>
      <c r="E322" s="798">
        <f>SUMIF('Venture Summary - Mthly'!$E$8:$EG$8,E$9,'Venture Summary - Mthly'!$E325:$EG325)</f>
        <v>0</v>
      </c>
      <c r="F322" s="798">
        <f>SUMIF('Venture Summary - Mthly'!$E$8:$EG$8,F$9,'Venture Summary - Mthly'!$E325:$EG325)</f>
        <v>0</v>
      </c>
      <c r="G322" s="798">
        <f>SUMIF('Venture Summary - Mthly'!$E$8:$EG$8,G$9,'Venture Summary - Mthly'!$E325:$EG325)</f>
        <v>0</v>
      </c>
      <c r="H322" s="798">
        <f>SUMIF('Venture Summary - Mthly'!$E$8:$EG$8,H$9,'Venture Summary - Mthly'!$E325:$EG325)</f>
        <v>0</v>
      </c>
      <c r="I322" s="798">
        <f>SUMIF('Venture Summary - Mthly'!$E$8:$EG$8,I$9,'Venture Summary - Mthly'!$E325:$EG325)</f>
        <v>0</v>
      </c>
      <c r="J322" s="798">
        <f>SUMIF('Venture Summary - Mthly'!$E$8:$EG$8,J$9,'Venture Summary - Mthly'!$E325:$EG325)</f>
        <v>0</v>
      </c>
      <c r="K322" s="798">
        <f>SUMIF('Venture Summary - Mthly'!$E$8:$EG$8,K$9,'Venture Summary - Mthly'!$E325:$EG325)</f>
        <v>0</v>
      </c>
      <c r="L322" s="798">
        <f>SUMIF('Venture Summary - Mthly'!$E$8:$EG$8,L$9,'Venture Summary - Mthly'!$E325:$EG325)</f>
        <v>0</v>
      </c>
      <c r="M322" s="798">
        <f>SUMIF('Venture Summary - Mthly'!$E$8:$EG$8,M$9,'Venture Summary - Mthly'!$E325:$EG325)</f>
        <v>0</v>
      </c>
      <c r="N322" s="798">
        <f>SUMIF('Venture Summary - Mthly'!$E$8:$EG$8,N$9,'Venture Summary - Mthly'!$E325:$EG325)</f>
        <v>0</v>
      </c>
      <c r="O322" s="798">
        <f>SUMIF('Venture Summary - Mthly'!$E$8:$EG$8,O$9,'Venture Summary - Mthly'!$E325:$EG325)</f>
        <v>0</v>
      </c>
      <c r="P322" s="798">
        <f>SUMIF('Venture Summary - Mthly'!$E$8:$EG$8,P$9,'Venture Summary - Mthly'!$E325:$EG325)</f>
        <v>0</v>
      </c>
      <c r="Q322" s="798">
        <f>SUMIF('Venture Summary - Mthly'!$E$8:$EG$8,Q$9,'Venture Summary - Mthly'!$E325:$EG325)</f>
        <v>0</v>
      </c>
      <c r="R322" s="798">
        <f>SUMIF('Venture Summary - Mthly'!$E$8:$EG$8,R$9,'Venture Summary - Mthly'!$E325:$EG325)</f>
        <v>0</v>
      </c>
      <c r="S322" s="798">
        <f>SUMIF('Venture Summary - Mthly'!$E$8:$EG$8,S$9,'Venture Summary - Mthly'!$E325:$EG325)</f>
        <v>0</v>
      </c>
      <c r="T322" s="798">
        <f>SUMIF('Venture Summary - Mthly'!$E$8:$EG$8,T$9,'Venture Summary - Mthly'!$E325:$EG325)</f>
        <v>0</v>
      </c>
      <c r="U322" s="798">
        <f>SUMIF('Venture Summary - Mthly'!$E$8:$EG$8,U$9,'Venture Summary - Mthly'!$E325:$EG325)</f>
        <v>0</v>
      </c>
      <c r="V322" s="798">
        <f>SUMIF('Venture Summary - Mthly'!$E$8:$EG$8,V$9,'Venture Summary - Mthly'!$E325:$EG325)</f>
        <v>0</v>
      </c>
      <c r="W322" s="798">
        <f>SUMIF('Venture Summary - Mthly'!$E$8:$EG$8,W$9,'Venture Summary - Mthly'!$E325:$EG325)</f>
        <v>0</v>
      </c>
      <c r="X322" s="798">
        <f>SUMIF('Venture Summary - Mthly'!$E$8:$EG$8,X$9,'Venture Summary - Mthly'!$E325:$EG325)</f>
        <v>0</v>
      </c>
      <c r="Y322" s="798">
        <f>SUMIF('Venture Summary - Mthly'!$E$8:$EG$8,Y$9,'Venture Summary - Mthly'!$E325:$EG325)</f>
        <v>0</v>
      </c>
      <c r="Z322" s="798">
        <f>SUMIF('Venture Summary - Mthly'!$E$8:$EG$8,Z$9,'Venture Summary - Mthly'!$E325:$EG325)</f>
        <v>0</v>
      </c>
      <c r="AA322" s="798">
        <f>SUMIF('Venture Summary - Mthly'!$E$8:$EG$8,AA$9,'Venture Summary - Mthly'!$E325:$EG325)</f>
        <v>0</v>
      </c>
      <c r="AB322" s="798">
        <f>SUMIF('Venture Summary - Mthly'!$E$8:$EG$8,AB$9,'Venture Summary - Mthly'!$E325:$EG325)</f>
        <v>0</v>
      </c>
      <c r="AC322" s="798">
        <f>SUMIF('Venture Summary - Mthly'!$E$8:$EG$8,AC$9,'Venture Summary - Mthly'!$E325:$EG325)</f>
        <v>0</v>
      </c>
      <c r="AD322" s="798">
        <f>SUMIF('Venture Summary - Mthly'!$E$8:$EG$8,AD$9,'Venture Summary - Mthly'!$E325:$EG325)</f>
        <v>0</v>
      </c>
      <c r="AE322" s="798">
        <f>SUMIF('Venture Summary - Mthly'!$E$8:$EG$8,AE$9,'Venture Summary - Mthly'!$E325:$EG325)</f>
        <v>0</v>
      </c>
      <c r="AF322" s="798">
        <f>SUMIF('Venture Summary - Mthly'!$E$8:$EG$8,AF$9,'Venture Summary - Mthly'!$E325:$EG325)</f>
        <v>0</v>
      </c>
      <c r="AG322" s="798">
        <f>SUMIF('Venture Summary - Mthly'!$E$8:$EG$8,AG$9,'Venture Summary - Mthly'!$E325:$EG325)</f>
        <v>0</v>
      </c>
      <c r="AH322" s="798">
        <f>SUMIF('Venture Summary - Mthly'!$E$8:$EG$8,AH$9,'Venture Summary - Mthly'!$E325:$EG325)</f>
        <v>0</v>
      </c>
      <c r="AI322" s="798">
        <f>SUMIF('Venture Summary - Mthly'!$E$8:$EG$8,AI$9,'Venture Summary - Mthly'!$E325:$EG325)</f>
        <v>0</v>
      </c>
      <c r="AJ322" s="798">
        <f>SUMIF('Venture Summary - Mthly'!$E$8:$EG$8,AJ$9,'Venture Summary - Mthly'!$E325:$EG325)</f>
        <v>0</v>
      </c>
      <c r="AK322" s="798">
        <f>SUMIF('Venture Summary - Mthly'!$E$8:$EG$8,AK$9,'Venture Summary - Mthly'!$E325:$EG325)</f>
        <v>-405622.26516997366</v>
      </c>
      <c r="AL322" s="798">
        <f>SUMIF('Venture Summary - Mthly'!$E$8:$EG$8,AL$9,'Venture Summary - Mthly'!$E325:$EG325)</f>
        <v>0</v>
      </c>
      <c r="AM322" s="798">
        <f>SUMIF('Venture Summary - Mthly'!$E$8:$EG$8,AM$9,'Venture Summary - Mthly'!$E325:$EG325)</f>
        <v>0</v>
      </c>
      <c r="AN322" s="798">
        <f>SUMIF('Venture Summary - Mthly'!$E$8:$EG$8,AN$9,'Venture Summary - Mthly'!$E325:$EG325)</f>
        <v>0</v>
      </c>
      <c r="AO322" s="798">
        <f>SUMIF('Venture Summary - Mthly'!$E$8:$EG$8,AO$9,'Venture Summary - Mthly'!$E325:$EG325)</f>
        <v>0</v>
      </c>
      <c r="AP322" s="798">
        <f>SUMIF('Venture Summary - Mthly'!$E$8:$EG$8,AP$9,'Venture Summary - Mthly'!$E325:$EG325)</f>
        <v>0</v>
      </c>
      <c r="AQ322" s="798">
        <f>SUMIF('Venture Summary - Mthly'!$E$8:$EG$8,AQ$9,'Venture Summary - Mthly'!$E325:$EG325)</f>
        <v>0</v>
      </c>
      <c r="AR322" s="798">
        <f>SUMIF('Venture Summary - Mthly'!$E$8:$EG$8,AR$9,'Venture Summary - Mthly'!$E325:$EG325)</f>
        <v>0</v>
      </c>
      <c r="AS322" s="798">
        <f>SUMIF('Venture Summary - Mthly'!$E$8:$EG$8,AS$9,'Venture Summary - Mthly'!$E325:$EG325)</f>
        <v>0</v>
      </c>
      <c r="AT322" s="798">
        <f>SUMIF('Venture Summary - Mthly'!$E$8:$EG$8,AT$9,'Venture Summary - Mthly'!$E325:$EG325)</f>
        <v>0</v>
      </c>
      <c r="AU322" s="798">
        <f>SUMIF('Venture Summary - Mthly'!$E$8:$EG$8,AU$9,'Venture Summary - Mthly'!$E325:$EG325)</f>
        <v>0</v>
      </c>
      <c r="AV322" s="798">
        <f>SUMIF('Venture Summary - Mthly'!$E$8:$EG$8,AV$9,'Venture Summary - Mthly'!$E325:$EG325)</f>
        <v>0</v>
      </c>
      <c r="AW322" s="798">
        <f>SUMIF('Venture Summary - Mthly'!$E$8:$EG$8,AW$9,'Venture Summary - Mthly'!$E325:$EG325)</f>
        <v>0</v>
      </c>
      <c r="AX322" s="798"/>
    </row>
    <row r="323" spans="1:50" ht="12.75" customHeight="1" x14ac:dyDescent="0.3">
      <c r="A323" s="782"/>
      <c r="B323" s="781" t="s">
        <v>172</v>
      </c>
      <c r="C323" s="799"/>
      <c r="D323" s="781"/>
      <c r="E323" s="799">
        <f>SUMIF('Venture Summary - Mthly'!$E$8:$EG$8,E$9,'Venture Summary - Mthly'!$E326:$EG326)</f>
        <v>0</v>
      </c>
      <c r="F323" s="799">
        <f>SUMIF('Venture Summary - Mthly'!$E$8:$EG$8,F$9,'Venture Summary - Mthly'!$E326:$EG326)</f>
        <v>0</v>
      </c>
      <c r="G323" s="799">
        <f>SUMIF('Venture Summary - Mthly'!$E$8:$EG$8,G$9,'Venture Summary - Mthly'!$E326:$EG326)</f>
        <v>0</v>
      </c>
      <c r="H323" s="799">
        <f>SUMIF('Venture Summary - Mthly'!$E$8:$EG$8,H$9,'Venture Summary - Mthly'!$E326:$EG326)</f>
        <v>0</v>
      </c>
      <c r="I323" s="799">
        <f>SUMIF('Venture Summary - Mthly'!$E$8:$EG$8,I$9,'Venture Summary - Mthly'!$E326:$EG326)</f>
        <v>0</v>
      </c>
      <c r="J323" s="799">
        <f>SUMIF('Venture Summary - Mthly'!$E$8:$EG$8,J$9,'Venture Summary - Mthly'!$E326:$EG326)</f>
        <v>0</v>
      </c>
      <c r="K323" s="799">
        <f>SUMIF('Venture Summary - Mthly'!$E$8:$EG$8,K$9,'Venture Summary - Mthly'!$E326:$EG326)</f>
        <v>0</v>
      </c>
      <c r="L323" s="799">
        <f>SUMIF('Venture Summary - Mthly'!$E$8:$EG$8,L$9,'Venture Summary - Mthly'!$E326:$EG326)</f>
        <v>0</v>
      </c>
      <c r="M323" s="799">
        <f>SUMIF('Venture Summary - Mthly'!$E$8:$EG$8,M$9,'Venture Summary - Mthly'!$E326:$EG326)</f>
        <v>0</v>
      </c>
      <c r="N323" s="799">
        <f>SUMIF('Venture Summary - Mthly'!$E$8:$EG$8,N$9,'Venture Summary - Mthly'!$E326:$EG326)</f>
        <v>0</v>
      </c>
      <c r="O323" s="799">
        <f>SUMIF('Venture Summary - Mthly'!$E$8:$EG$8,O$9,'Venture Summary - Mthly'!$E326:$EG326)</f>
        <v>0</v>
      </c>
      <c r="P323" s="799">
        <f>SUMIF('Venture Summary - Mthly'!$E$8:$EG$8,P$9,'Venture Summary - Mthly'!$E326:$EG326)</f>
        <v>0</v>
      </c>
      <c r="Q323" s="799">
        <f>SUMIF('Venture Summary - Mthly'!$E$8:$EG$8,Q$9,'Venture Summary - Mthly'!$E326:$EG326)</f>
        <v>0</v>
      </c>
      <c r="R323" s="799">
        <f>SUMIF('Venture Summary - Mthly'!$E$8:$EG$8,R$9,'Venture Summary - Mthly'!$E326:$EG326)</f>
        <v>0</v>
      </c>
      <c r="S323" s="799">
        <f>SUMIF('Venture Summary - Mthly'!$E$8:$EG$8,S$9,'Venture Summary - Mthly'!$E326:$EG326)</f>
        <v>0</v>
      </c>
      <c r="T323" s="799">
        <f>SUMIF('Venture Summary - Mthly'!$E$8:$EG$8,T$9,'Venture Summary - Mthly'!$E326:$EG326)</f>
        <v>0</v>
      </c>
      <c r="U323" s="799">
        <f>SUMIF('Venture Summary - Mthly'!$E$8:$EG$8,U$9,'Venture Summary - Mthly'!$E326:$EG326)</f>
        <v>0</v>
      </c>
      <c r="V323" s="799">
        <f>SUMIF('Venture Summary - Mthly'!$E$8:$EG$8,V$9,'Venture Summary - Mthly'!$E326:$EG326)</f>
        <v>0</v>
      </c>
      <c r="W323" s="799">
        <f>SUMIF('Venture Summary - Mthly'!$E$8:$EG$8,W$9,'Venture Summary - Mthly'!$E326:$EG326)</f>
        <v>0</v>
      </c>
      <c r="X323" s="799">
        <f>SUMIF('Venture Summary - Mthly'!$E$8:$EG$8,X$9,'Venture Summary - Mthly'!$E326:$EG326)</f>
        <v>0</v>
      </c>
      <c r="Y323" s="799">
        <f>SUMIF('Venture Summary - Mthly'!$E$8:$EG$8,Y$9,'Venture Summary - Mthly'!$E326:$EG326)</f>
        <v>0</v>
      </c>
      <c r="Z323" s="799">
        <f>SUMIF('Venture Summary - Mthly'!$E$8:$EG$8,Z$9,'Venture Summary - Mthly'!$E326:$EG326)</f>
        <v>0</v>
      </c>
      <c r="AA323" s="799">
        <f>SUMIF('Venture Summary - Mthly'!$E$8:$EG$8,AA$9,'Venture Summary - Mthly'!$E326:$EG326)</f>
        <v>0</v>
      </c>
      <c r="AB323" s="799">
        <f>SUMIF('Venture Summary - Mthly'!$E$8:$EG$8,AB$9,'Venture Summary - Mthly'!$E326:$EG326)</f>
        <v>0</v>
      </c>
      <c r="AC323" s="799">
        <f>SUMIF('Venture Summary - Mthly'!$E$8:$EG$8,AC$9,'Venture Summary - Mthly'!$E326:$EG326)</f>
        <v>0</v>
      </c>
      <c r="AD323" s="799">
        <f>SUMIF('Venture Summary - Mthly'!$E$8:$EG$8,AD$9,'Venture Summary - Mthly'!$E326:$EG326)</f>
        <v>0</v>
      </c>
      <c r="AE323" s="799">
        <f>SUMIF('Venture Summary - Mthly'!$E$8:$EG$8,AE$9,'Venture Summary - Mthly'!$E326:$EG326)</f>
        <v>0</v>
      </c>
      <c r="AF323" s="799">
        <f>SUMIF('Venture Summary - Mthly'!$E$8:$EG$8,AF$9,'Venture Summary - Mthly'!$E326:$EG326)</f>
        <v>0</v>
      </c>
      <c r="AG323" s="799">
        <f>SUMIF('Venture Summary - Mthly'!$E$8:$EG$8,AG$9,'Venture Summary - Mthly'!$E326:$EG326)</f>
        <v>0</v>
      </c>
      <c r="AH323" s="799">
        <f>SUMIF('Venture Summary - Mthly'!$E$8:$EG$8,AH$9,'Venture Summary - Mthly'!$E326:$EG326)</f>
        <v>0</v>
      </c>
      <c r="AI323" s="799">
        <f>SUMIF('Venture Summary - Mthly'!$E$8:$EG$8,AI$9,'Venture Summary - Mthly'!$E326:$EG326)</f>
        <v>0</v>
      </c>
      <c r="AJ323" s="799">
        <f>SUMIF('Venture Summary - Mthly'!$E$8:$EG$8,AJ$9,'Venture Summary - Mthly'!$E326:$EG326)</f>
        <v>0</v>
      </c>
      <c r="AK323" s="799">
        <f>SUMIF('Venture Summary - Mthly'!$E$8:$EG$8,AK$9,'Venture Summary - Mthly'!$E326:$EG326)</f>
        <v>-753298.49245852255</v>
      </c>
      <c r="AL323" s="799">
        <f>SUMIF('Venture Summary - Mthly'!$E$8:$EG$8,AL$9,'Venture Summary - Mthly'!$E326:$EG326)</f>
        <v>0</v>
      </c>
      <c r="AM323" s="799">
        <f>SUMIF('Venture Summary - Mthly'!$E$8:$EG$8,AM$9,'Venture Summary - Mthly'!$E326:$EG326)</f>
        <v>0</v>
      </c>
      <c r="AN323" s="799">
        <f>SUMIF('Venture Summary - Mthly'!$E$8:$EG$8,AN$9,'Venture Summary - Mthly'!$E326:$EG326)</f>
        <v>0</v>
      </c>
      <c r="AO323" s="799">
        <f>SUMIF('Venture Summary - Mthly'!$E$8:$EG$8,AO$9,'Venture Summary - Mthly'!$E326:$EG326)</f>
        <v>0</v>
      </c>
      <c r="AP323" s="799">
        <f>SUMIF('Venture Summary - Mthly'!$E$8:$EG$8,AP$9,'Venture Summary - Mthly'!$E326:$EG326)</f>
        <v>0</v>
      </c>
      <c r="AQ323" s="799">
        <f>SUMIF('Venture Summary - Mthly'!$E$8:$EG$8,AQ$9,'Venture Summary - Mthly'!$E326:$EG326)</f>
        <v>0</v>
      </c>
      <c r="AR323" s="799">
        <f>SUMIF('Venture Summary - Mthly'!$E$8:$EG$8,AR$9,'Venture Summary - Mthly'!$E326:$EG326)</f>
        <v>0</v>
      </c>
      <c r="AS323" s="799">
        <f>SUMIF('Venture Summary - Mthly'!$E$8:$EG$8,AS$9,'Venture Summary - Mthly'!$E326:$EG326)</f>
        <v>0</v>
      </c>
      <c r="AT323" s="799">
        <f>SUMIF('Venture Summary - Mthly'!$E$8:$EG$8,AT$9,'Venture Summary - Mthly'!$E326:$EG326)</f>
        <v>0</v>
      </c>
      <c r="AU323" s="799">
        <f>SUMIF('Venture Summary - Mthly'!$E$8:$EG$8,AU$9,'Venture Summary - Mthly'!$E326:$EG326)</f>
        <v>0</v>
      </c>
      <c r="AV323" s="799">
        <f>SUMIF('Venture Summary - Mthly'!$E$8:$EG$8,AV$9,'Venture Summary - Mthly'!$E326:$EG326)</f>
        <v>0</v>
      </c>
      <c r="AW323" s="799">
        <f>SUMIF('Venture Summary - Mthly'!$E$8:$EG$8,AW$9,'Venture Summary - Mthly'!$E326:$EG326)</f>
        <v>0</v>
      </c>
      <c r="AX323" s="798"/>
    </row>
    <row r="324" spans="1:50" ht="12.75" customHeight="1" x14ac:dyDescent="0.3">
      <c r="A324" s="782"/>
      <c r="B324" s="782" t="s">
        <v>173</v>
      </c>
      <c r="C324" s="798"/>
      <c r="D324" s="782"/>
      <c r="E324" s="798">
        <f t="shared" ref="E324:AJ324" si="76">SUM(E322:E323)</f>
        <v>0</v>
      </c>
      <c r="F324" s="798">
        <f t="shared" si="76"/>
        <v>0</v>
      </c>
      <c r="G324" s="798">
        <f t="shared" si="76"/>
        <v>0</v>
      </c>
      <c r="H324" s="798">
        <f>SUM(H322:H323)</f>
        <v>0</v>
      </c>
      <c r="I324" s="798">
        <f>SUM(I322:I323)</f>
        <v>0</v>
      </c>
      <c r="J324" s="798">
        <f>SUM(J322:J323)</f>
        <v>0</v>
      </c>
      <c r="K324" s="798">
        <f t="shared" si="76"/>
        <v>0</v>
      </c>
      <c r="L324" s="798">
        <f t="shared" si="76"/>
        <v>0</v>
      </c>
      <c r="M324" s="798">
        <f t="shared" si="76"/>
        <v>0</v>
      </c>
      <c r="N324" s="798">
        <f t="shared" si="76"/>
        <v>0</v>
      </c>
      <c r="O324" s="798">
        <f t="shared" si="76"/>
        <v>0</v>
      </c>
      <c r="P324" s="798">
        <f t="shared" si="76"/>
        <v>0</v>
      </c>
      <c r="Q324" s="798">
        <f t="shared" si="76"/>
        <v>0</v>
      </c>
      <c r="R324" s="798">
        <f t="shared" si="76"/>
        <v>0</v>
      </c>
      <c r="S324" s="798">
        <f t="shared" si="76"/>
        <v>0</v>
      </c>
      <c r="T324" s="798">
        <f t="shared" si="76"/>
        <v>0</v>
      </c>
      <c r="U324" s="798">
        <f t="shared" si="76"/>
        <v>0</v>
      </c>
      <c r="V324" s="798">
        <f t="shared" si="76"/>
        <v>0</v>
      </c>
      <c r="W324" s="798">
        <f t="shared" si="76"/>
        <v>0</v>
      </c>
      <c r="X324" s="798">
        <f t="shared" si="76"/>
        <v>0</v>
      </c>
      <c r="Y324" s="798">
        <f t="shared" si="76"/>
        <v>0</v>
      </c>
      <c r="Z324" s="798">
        <f t="shared" si="76"/>
        <v>0</v>
      </c>
      <c r="AA324" s="798">
        <f t="shared" si="76"/>
        <v>0</v>
      </c>
      <c r="AB324" s="798">
        <f t="shared" si="76"/>
        <v>0</v>
      </c>
      <c r="AC324" s="798">
        <f t="shared" si="76"/>
        <v>0</v>
      </c>
      <c r="AD324" s="798">
        <f t="shared" si="76"/>
        <v>0</v>
      </c>
      <c r="AE324" s="798">
        <f t="shared" si="76"/>
        <v>0</v>
      </c>
      <c r="AF324" s="798">
        <f t="shared" si="76"/>
        <v>0</v>
      </c>
      <c r="AG324" s="798">
        <f t="shared" si="76"/>
        <v>0</v>
      </c>
      <c r="AH324" s="798">
        <f t="shared" si="76"/>
        <v>0</v>
      </c>
      <c r="AI324" s="798">
        <f t="shared" si="76"/>
        <v>0</v>
      </c>
      <c r="AJ324" s="798">
        <f t="shared" si="76"/>
        <v>0</v>
      </c>
      <c r="AK324" s="798">
        <f t="shared" ref="AK324:AW324" si="77">SUM(AK322:AK323)</f>
        <v>-1158920.7576284963</v>
      </c>
      <c r="AL324" s="798">
        <f t="shared" si="77"/>
        <v>0</v>
      </c>
      <c r="AM324" s="798">
        <f t="shared" si="77"/>
        <v>0</v>
      </c>
      <c r="AN324" s="798">
        <f t="shared" si="77"/>
        <v>0</v>
      </c>
      <c r="AO324" s="798">
        <f t="shared" si="77"/>
        <v>0</v>
      </c>
      <c r="AP324" s="798">
        <f t="shared" si="77"/>
        <v>0</v>
      </c>
      <c r="AQ324" s="798">
        <f t="shared" si="77"/>
        <v>0</v>
      </c>
      <c r="AR324" s="798">
        <f t="shared" si="77"/>
        <v>0</v>
      </c>
      <c r="AS324" s="798">
        <f t="shared" si="77"/>
        <v>0</v>
      </c>
      <c r="AT324" s="798">
        <f t="shared" si="77"/>
        <v>0</v>
      </c>
      <c r="AU324" s="798">
        <f t="shared" si="77"/>
        <v>0</v>
      </c>
      <c r="AV324" s="798">
        <f t="shared" si="77"/>
        <v>0</v>
      </c>
      <c r="AW324" s="798">
        <f t="shared" si="77"/>
        <v>0</v>
      </c>
      <c r="AX324" s="798"/>
    </row>
    <row r="325" spans="1:50" ht="12.75" customHeight="1" x14ac:dyDescent="0.3">
      <c r="A325" s="782"/>
      <c r="B325" s="782" t="s">
        <v>179</v>
      </c>
      <c r="C325" s="798"/>
      <c r="D325" s="782"/>
      <c r="E325" s="798">
        <f t="shared" ref="E325:AW325" si="78">E302-E324</f>
        <v>0</v>
      </c>
      <c r="F325" s="798">
        <f t="shared" si="78"/>
        <v>0</v>
      </c>
      <c r="G325" s="798">
        <f t="shared" si="78"/>
        <v>0</v>
      </c>
      <c r="H325" s="798">
        <f t="shared" si="78"/>
        <v>0</v>
      </c>
      <c r="I325" s="798">
        <f t="shared" si="78"/>
        <v>0</v>
      </c>
      <c r="J325" s="798">
        <f t="shared" si="78"/>
        <v>0</v>
      </c>
      <c r="K325" s="798">
        <f t="shared" si="78"/>
        <v>0</v>
      </c>
      <c r="L325" s="798">
        <f t="shared" si="78"/>
        <v>0</v>
      </c>
      <c r="M325" s="798">
        <f t="shared" si="78"/>
        <v>0</v>
      </c>
      <c r="N325" s="798">
        <f t="shared" si="78"/>
        <v>0</v>
      </c>
      <c r="O325" s="798">
        <f t="shared" si="78"/>
        <v>0</v>
      </c>
      <c r="P325" s="798">
        <f t="shared" si="78"/>
        <v>0</v>
      </c>
      <c r="Q325" s="798">
        <f t="shared" si="78"/>
        <v>0</v>
      </c>
      <c r="R325" s="798">
        <f t="shared" si="78"/>
        <v>0</v>
      </c>
      <c r="S325" s="798">
        <f t="shared" si="78"/>
        <v>0</v>
      </c>
      <c r="T325" s="798">
        <f t="shared" si="78"/>
        <v>0</v>
      </c>
      <c r="U325" s="798">
        <f t="shared" si="78"/>
        <v>0</v>
      </c>
      <c r="V325" s="798">
        <f t="shared" si="78"/>
        <v>0</v>
      </c>
      <c r="W325" s="798">
        <f t="shared" si="78"/>
        <v>0</v>
      </c>
      <c r="X325" s="798">
        <f t="shared" si="78"/>
        <v>0</v>
      </c>
      <c r="Y325" s="798">
        <f t="shared" si="78"/>
        <v>0</v>
      </c>
      <c r="Z325" s="798">
        <f t="shared" si="78"/>
        <v>0</v>
      </c>
      <c r="AA325" s="798">
        <f t="shared" si="78"/>
        <v>0</v>
      </c>
      <c r="AB325" s="798">
        <f t="shared" si="78"/>
        <v>0</v>
      </c>
      <c r="AC325" s="798">
        <f t="shared" si="78"/>
        <v>0</v>
      </c>
      <c r="AD325" s="798">
        <f t="shared" si="78"/>
        <v>0</v>
      </c>
      <c r="AE325" s="798">
        <f t="shared" si="78"/>
        <v>0</v>
      </c>
      <c r="AF325" s="798">
        <f t="shared" si="78"/>
        <v>0</v>
      </c>
      <c r="AG325" s="798">
        <f t="shared" si="78"/>
        <v>0</v>
      </c>
      <c r="AH325" s="798">
        <f t="shared" si="78"/>
        <v>0</v>
      </c>
      <c r="AI325" s="798">
        <f t="shared" si="78"/>
        <v>0</v>
      </c>
      <c r="AJ325" s="798">
        <f t="shared" si="78"/>
        <v>0</v>
      </c>
      <c r="AK325" s="798">
        <f t="shared" si="78"/>
        <v>14733390.594612833</v>
      </c>
      <c r="AL325" s="798">
        <f t="shared" si="78"/>
        <v>0</v>
      </c>
      <c r="AM325" s="798">
        <f t="shared" si="78"/>
        <v>0</v>
      </c>
      <c r="AN325" s="798">
        <f t="shared" si="78"/>
        <v>0</v>
      </c>
      <c r="AO325" s="798">
        <f t="shared" si="78"/>
        <v>0</v>
      </c>
      <c r="AP325" s="798">
        <f t="shared" si="78"/>
        <v>0</v>
      </c>
      <c r="AQ325" s="798">
        <f t="shared" si="78"/>
        <v>0</v>
      </c>
      <c r="AR325" s="798">
        <f t="shared" si="78"/>
        <v>0</v>
      </c>
      <c r="AS325" s="798">
        <f t="shared" si="78"/>
        <v>0</v>
      </c>
      <c r="AT325" s="798">
        <f t="shared" si="78"/>
        <v>0</v>
      </c>
      <c r="AU325" s="798">
        <f t="shared" si="78"/>
        <v>0</v>
      </c>
      <c r="AV325" s="798">
        <f t="shared" si="78"/>
        <v>0</v>
      </c>
      <c r="AW325" s="798">
        <f t="shared" si="78"/>
        <v>0</v>
      </c>
      <c r="AX325" s="798"/>
    </row>
    <row r="326" spans="1:50" ht="12.75" customHeight="1" x14ac:dyDescent="0.3">
      <c r="A326" s="782"/>
      <c r="B326" s="782"/>
      <c r="C326" s="798"/>
      <c r="D326" s="782"/>
      <c r="E326" s="798"/>
      <c r="F326" s="798"/>
      <c r="G326" s="798"/>
      <c r="H326" s="798"/>
      <c r="I326" s="798"/>
      <c r="J326" s="798"/>
      <c r="K326" s="798"/>
      <c r="L326" s="798"/>
      <c r="M326" s="798"/>
      <c r="N326" s="798"/>
      <c r="O326" s="798"/>
      <c r="P326" s="798"/>
      <c r="Q326" s="798"/>
      <c r="R326" s="798"/>
      <c r="S326" s="798"/>
      <c r="T326" s="798"/>
      <c r="U326" s="798"/>
      <c r="V326" s="798"/>
      <c r="W326" s="798"/>
      <c r="X326" s="798"/>
      <c r="Y326" s="798"/>
      <c r="Z326" s="798"/>
      <c r="AA326" s="798"/>
      <c r="AB326" s="798"/>
      <c r="AC326" s="798"/>
      <c r="AD326" s="798"/>
      <c r="AE326" s="798"/>
      <c r="AF326" s="798"/>
      <c r="AG326" s="798"/>
      <c r="AH326" s="798"/>
      <c r="AI326" s="798"/>
      <c r="AJ326" s="798"/>
      <c r="AK326" s="798"/>
      <c r="AL326" s="798"/>
      <c r="AM326" s="798"/>
      <c r="AN326" s="798"/>
      <c r="AO326" s="798"/>
      <c r="AP326" s="798"/>
      <c r="AQ326" s="798"/>
      <c r="AR326" s="798"/>
      <c r="AS326" s="798"/>
      <c r="AT326" s="798"/>
      <c r="AU326" s="798"/>
      <c r="AV326" s="798"/>
      <c r="AW326" s="798"/>
      <c r="AX326" s="798"/>
    </row>
    <row r="327" spans="1:50" ht="12.75" customHeight="1" x14ac:dyDescent="0.3">
      <c r="A327" s="782"/>
      <c r="B327" s="796" t="s">
        <v>148</v>
      </c>
      <c r="C327" s="798"/>
      <c r="D327" s="782"/>
      <c r="E327" s="798"/>
      <c r="F327" s="798"/>
      <c r="G327" s="798"/>
      <c r="H327" s="798"/>
      <c r="I327" s="798"/>
      <c r="J327" s="798"/>
      <c r="K327" s="798"/>
      <c r="L327" s="798"/>
      <c r="M327" s="798"/>
      <c r="N327" s="798"/>
      <c r="O327" s="798"/>
      <c r="P327" s="798"/>
      <c r="Q327" s="798"/>
      <c r="R327" s="798"/>
      <c r="S327" s="798"/>
      <c r="T327" s="798"/>
      <c r="U327" s="798"/>
      <c r="V327" s="798"/>
      <c r="W327" s="798"/>
      <c r="X327" s="798"/>
      <c r="Y327" s="798"/>
      <c r="Z327" s="798"/>
      <c r="AA327" s="798"/>
      <c r="AB327" s="798"/>
      <c r="AC327" s="798"/>
      <c r="AD327" s="798"/>
      <c r="AE327" s="798"/>
      <c r="AF327" s="798"/>
      <c r="AG327" s="798"/>
      <c r="AH327" s="798"/>
      <c r="AI327" s="798"/>
      <c r="AJ327" s="798"/>
      <c r="AK327" s="798"/>
      <c r="AL327" s="798"/>
      <c r="AM327" s="798"/>
      <c r="AN327" s="798"/>
      <c r="AO327" s="798"/>
      <c r="AP327" s="798"/>
      <c r="AQ327" s="798"/>
      <c r="AR327" s="798"/>
      <c r="AS327" s="798"/>
      <c r="AT327" s="798"/>
      <c r="AU327" s="798"/>
      <c r="AV327" s="798"/>
      <c r="AW327" s="798"/>
      <c r="AX327" s="798"/>
    </row>
    <row r="328" spans="1:50" ht="12.75" customHeight="1" x14ac:dyDescent="0.3">
      <c r="A328" s="782"/>
      <c r="B328" s="782"/>
      <c r="C328" s="798"/>
      <c r="D328" s="782"/>
      <c r="E328" s="798"/>
      <c r="F328" s="798"/>
      <c r="G328" s="798"/>
      <c r="H328" s="798"/>
      <c r="I328" s="798"/>
      <c r="J328" s="798"/>
      <c r="K328" s="798"/>
      <c r="L328" s="798"/>
      <c r="M328" s="798"/>
      <c r="N328" s="798"/>
      <c r="O328" s="798"/>
      <c r="P328" s="798"/>
      <c r="Q328" s="798"/>
      <c r="R328" s="798"/>
      <c r="S328" s="798"/>
      <c r="T328" s="798"/>
      <c r="U328" s="798"/>
      <c r="V328" s="798"/>
      <c r="W328" s="798"/>
      <c r="X328" s="798"/>
      <c r="Y328" s="798"/>
      <c r="Z328" s="798"/>
      <c r="AA328" s="798"/>
      <c r="AB328" s="798"/>
      <c r="AC328" s="798"/>
      <c r="AD328" s="798"/>
      <c r="AE328" s="798"/>
      <c r="AF328" s="798"/>
      <c r="AG328" s="798"/>
      <c r="AH328" s="798"/>
      <c r="AI328" s="798"/>
      <c r="AJ328" s="798"/>
      <c r="AK328" s="798"/>
      <c r="AL328" s="798"/>
      <c r="AM328" s="798"/>
      <c r="AN328" s="798"/>
      <c r="AO328" s="798"/>
      <c r="AP328" s="798"/>
      <c r="AQ328" s="798"/>
      <c r="AR328" s="798"/>
      <c r="AS328" s="798"/>
      <c r="AT328" s="798"/>
      <c r="AU328" s="798"/>
      <c r="AV328" s="798"/>
      <c r="AW328" s="798"/>
      <c r="AX328" s="798"/>
    </row>
    <row r="329" spans="1:50" ht="12.75" customHeight="1" x14ac:dyDescent="0.3">
      <c r="A329" s="782"/>
      <c r="B329" s="782" t="s">
        <v>180</v>
      </c>
      <c r="C329" s="798"/>
      <c r="D329" s="782"/>
      <c r="E329" s="798">
        <f>SUMIF('Venture Summary - Mthly'!$E$8:$EG$8,E$9,'Venture Summary - Mthly'!$E332:$EG332)</f>
        <v>0</v>
      </c>
      <c r="F329" s="798">
        <f>SUMIF('Venture Summary - Mthly'!$E$8:$EG$8,F$9,'Venture Summary - Mthly'!$E332:$EG332)</f>
        <v>0</v>
      </c>
      <c r="G329" s="798">
        <f>SUMIF('Venture Summary - Mthly'!$E$8:$EG$8,G$9,'Venture Summary - Mthly'!$E332:$EG332)</f>
        <v>0</v>
      </c>
      <c r="H329" s="798">
        <f>SUMIF('Venture Summary - Mthly'!$E$8:$EG$8,H$9,'Venture Summary - Mthly'!$E332:$EG332)</f>
        <v>0</v>
      </c>
      <c r="I329" s="798">
        <f>SUMIF('Venture Summary - Mthly'!$E$8:$EG$8,I$9,'Venture Summary - Mthly'!$E332:$EG332)</f>
        <v>0</v>
      </c>
      <c r="J329" s="798">
        <f>SUMIF('Venture Summary - Mthly'!$E$8:$EG$8,J$9,'Venture Summary - Mthly'!$E332:$EG332)</f>
        <v>0</v>
      </c>
      <c r="K329" s="798">
        <f>SUMIF('Venture Summary - Mthly'!$E$8:$EG$8,K$9,'Venture Summary - Mthly'!$E332:$EG332)</f>
        <v>0</v>
      </c>
      <c r="L329" s="798">
        <f>SUMIF('Venture Summary - Mthly'!$E$8:$EG$8,L$9,'Venture Summary - Mthly'!$E332:$EG332)</f>
        <v>0</v>
      </c>
      <c r="M329" s="798">
        <f>SUMIF('Venture Summary - Mthly'!$E$8:$EG$8,M$9,'Venture Summary - Mthly'!$E332:$EG332)</f>
        <v>0</v>
      </c>
      <c r="N329" s="798">
        <f>SUMIF('Venture Summary - Mthly'!$E$8:$EG$8,N$9,'Venture Summary - Mthly'!$E332:$EG332)</f>
        <v>0</v>
      </c>
      <c r="O329" s="798">
        <f>SUMIF('Venture Summary - Mthly'!$E$8:$EG$8,O$9,'Venture Summary - Mthly'!$E332:$EG332)</f>
        <v>0</v>
      </c>
      <c r="P329" s="798">
        <f>SUMIF('Venture Summary - Mthly'!$E$8:$EG$8,P$9,'Venture Summary - Mthly'!$E332:$EG332)</f>
        <v>0</v>
      </c>
      <c r="Q329" s="798">
        <f>SUMIF('Venture Summary - Mthly'!$E$8:$EG$8,Q$9,'Venture Summary - Mthly'!$E332:$EG332)</f>
        <v>0</v>
      </c>
      <c r="R329" s="798">
        <f>SUMIF('Venture Summary - Mthly'!$E$8:$EG$8,R$9,'Venture Summary - Mthly'!$E332:$EG332)</f>
        <v>0</v>
      </c>
      <c r="S329" s="798">
        <f>SUMIF('Venture Summary - Mthly'!$E$8:$EG$8,S$9,'Venture Summary - Mthly'!$E332:$EG332)</f>
        <v>0</v>
      </c>
      <c r="T329" s="798">
        <f>SUMIF('Venture Summary - Mthly'!$E$8:$EG$8,T$9,'Venture Summary - Mthly'!$E332:$EG332)</f>
        <v>0</v>
      </c>
      <c r="U329" s="798">
        <f>SUMIF('Venture Summary - Mthly'!$E$8:$EG$8,U$9,'Venture Summary - Mthly'!$E332:$EG332)</f>
        <v>0</v>
      </c>
      <c r="V329" s="798">
        <f>SUMIF('Venture Summary - Mthly'!$E$8:$EG$8,V$9,'Venture Summary - Mthly'!$E332:$EG332)</f>
        <v>0</v>
      </c>
      <c r="W329" s="798">
        <f>SUMIF('Venture Summary - Mthly'!$E$8:$EG$8,W$9,'Venture Summary - Mthly'!$E332:$EG332)</f>
        <v>0</v>
      </c>
      <c r="X329" s="798">
        <f>SUMIF('Venture Summary - Mthly'!$E$8:$EG$8,X$9,'Venture Summary - Mthly'!$E332:$EG332)</f>
        <v>0</v>
      </c>
      <c r="Y329" s="798">
        <f>SUMIF('Venture Summary - Mthly'!$E$8:$EG$8,Y$9,'Venture Summary - Mthly'!$E332:$EG332)</f>
        <v>0</v>
      </c>
      <c r="Z329" s="798">
        <f>SUMIF('Venture Summary - Mthly'!$E$8:$EG$8,Z$9,'Venture Summary - Mthly'!$E332:$EG332)</f>
        <v>0</v>
      </c>
      <c r="AA329" s="798">
        <f>SUMIF('Venture Summary - Mthly'!$E$8:$EG$8,AA$9,'Venture Summary - Mthly'!$E332:$EG332)</f>
        <v>0</v>
      </c>
      <c r="AB329" s="798">
        <f>SUMIF('Venture Summary - Mthly'!$E$8:$EG$8,AB$9,'Venture Summary - Mthly'!$E332:$EG332)</f>
        <v>0</v>
      </c>
      <c r="AC329" s="798">
        <f>SUMIF('Venture Summary - Mthly'!$E$8:$EG$8,AC$9,'Venture Summary - Mthly'!$E332:$EG332)</f>
        <v>0</v>
      </c>
      <c r="AD329" s="798">
        <f>SUMIF('Venture Summary - Mthly'!$E$8:$EG$8,AD$9,'Venture Summary - Mthly'!$E332:$EG332)</f>
        <v>0</v>
      </c>
      <c r="AE329" s="798">
        <f>SUMIF('Venture Summary - Mthly'!$E$8:$EG$8,AE$9,'Venture Summary - Mthly'!$E332:$EG332)</f>
        <v>0</v>
      </c>
      <c r="AF329" s="798">
        <f>SUMIF('Venture Summary - Mthly'!$E$8:$EG$8,AF$9,'Venture Summary - Mthly'!$E332:$EG332)</f>
        <v>0</v>
      </c>
      <c r="AG329" s="798">
        <f>SUMIF('Venture Summary - Mthly'!$E$8:$EG$8,AG$9,'Venture Summary - Mthly'!$E332:$EG332)</f>
        <v>0</v>
      </c>
      <c r="AH329" s="798">
        <f>SUMIF('Venture Summary - Mthly'!$E$8:$EG$8,AH$9,'Venture Summary - Mthly'!$E332:$EG332)</f>
        <v>0</v>
      </c>
      <c r="AI329" s="798">
        <f>SUMIF('Venture Summary - Mthly'!$E$8:$EG$8,AI$9,'Venture Summary - Mthly'!$E332:$EG332)</f>
        <v>0</v>
      </c>
      <c r="AJ329" s="798">
        <f>SUMIF('Venture Summary - Mthly'!$E$8:$EG$8,AJ$9,'Venture Summary - Mthly'!$E332:$EG332)</f>
        <v>0</v>
      </c>
      <c r="AK329" s="798">
        <f>SUMIF('Venture Summary - Mthly'!$E$8:$EG$8,AK$9,'Venture Summary - Mthly'!$E332:$EG332)</f>
        <v>5156686.7081144908</v>
      </c>
      <c r="AL329" s="798">
        <f>SUMIF('Venture Summary - Mthly'!$E$8:$EG$8,AL$9,'Venture Summary - Mthly'!$E332:$EG332)</f>
        <v>0</v>
      </c>
      <c r="AM329" s="798">
        <f>SUMIF('Venture Summary - Mthly'!$E$8:$EG$8,AM$9,'Venture Summary - Mthly'!$E332:$EG332)</f>
        <v>0</v>
      </c>
      <c r="AN329" s="798">
        <f>SUMIF('Venture Summary - Mthly'!$E$8:$EG$8,AN$9,'Venture Summary - Mthly'!$E332:$EG332)</f>
        <v>0</v>
      </c>
      <c r="AO329" s="798">
        <f>SUMIF('Venture Summary - Mthly'!$E$8:$EG$8,AO$9,'Venture Summary - Mthly'!$E332:$EG332)</f>
        <v>0</v>
      </c>
      <c r="AP329" s="798">
        <f>SUMIF('Venture Summary - Mthly'!$E$8:$EG$8,AP$9,'Venture Summary - Mthly'!$E332:$EG332)</f>
        <v>0</v>
      </c>
      <c r="AQ329" s="798">
        <f>SUMIF('Venture Summary - Mthly'!$E$8:$EG$8,AQ$9,'Venture Summary - Mthly'!$E332:$EG332)</f>
        <v>0</v>
      </c>
      <c r="AR329" s="798">
        <f>SUMIF('Venture Summary - Mthly'!$E$8:$EG$8,AR$9,'Venture Summary - Mthly'!$E332:$EG332)</f>
        <v>0</v>
      </c>
      <c r="AS329" s="798">
        <f>SUMIF('Venture Summary - Mthly'!$E$8:$EG$8,AS$9,'Venture Summary - Mthly'!$E332:$EG332)</f>
        <v>0</v>
      </c>
      <c r="AT329" s="798">
        <f>SUMIF('Venture Summary - Mthly'!$E$8:$EG$8,AT$9,'Venture Summary - Mthly'!$E332:$EG332)</f>
        <v>0</v>
      </c>
      <c r="AU329" s="798">
        <f>SUMIF('Venture Summary - Mthly'!$E$8:$EG$8,AU$9,'Venture Summary - Mthly'!$E332:$EG332)</f>
        <v>0</v>
      </c>
      <c r="AV329" s="798">
        <f>SUMIF('Venture Summary - Mthly'!$E$8:$EG$8,AV$9,'Venture Summary - Mthly'!$E332:$EG332)</f>
        <v>0</v>
      </c>
      <c r="AW329" s="798">
        <f>SUMIF('Venture Summary - Mthly'!$E$8:$EG$8,AW$9,'Venture Summary - Mthly'!$E332:$EG332)</f>
        <v>0</v>
      </c>
      <c r="AX329" s="798"/>
    </row>
    <row r="330" spans="1:50" ht="12.75" customHeight="1" x14ac:dyDescent="0.3">
      <c r="A330" s="782"/>
      <c r="B330" s="781" t="s">
        <v>172</v>
      </c>
      <c r="C330" s="799"/>
      <c r="D330" s="781"/>
      <c r="E330" s="799">
        <f>SUMIF('Venture Summary - Mthly'!$E$8:$EG$8,E$9,'Venture Summary - Mthly'!$E333:$EG333)</f>
        <v>0</v>
      </c>
      <c r="F330" s="799">
        <f>SUMIF('Venture Summary - Mthly'!$E$8:$EG$8,F$9,'Venture Summary - Mthly'!$E333:$EG333)</f>
        <v>0</v>
      </c>
      <c r="G330" s="799">
        <f>SUMIF('Venture Summary - Mthly'!$E$8:$EG$8,G$9,'Venture Summary - Mthly'!$E333:$EG333)</f>
        <v>0</v>
      </c>
      <c r="H330" s="799">
        <f>SUMIF('Venture Summary - Mthly'!$E$8:$EG$8,H$9,'Venture Summary - Mthly'!$E333:$EG333)</f>
        <v>0</v>
      </c>
      <c r="I330" s="799">
        <f>SUMIF('Venture Summary - Mthly'!$E$8:$EG$8,I$9,'Venture Summary - Mthly'!$E333:$EG333)</f>
        <v>0</v>
      </c>
      <c r="J330" s="799">
        <f>SUMIF('Venture Summary - Mthly'!$E$8:$EG$8,J$9,'Venture Summary - Mthly'!$E333:$EG333)</f>
        <v>0</v>
      </c>
      <c r="K330" s="799">
        <f>SUMIF('Venture Summary - Mthly'!$E$8:$EG$8,K$9,'Venture Summary - Mthly'!$E333:$EG333)</f>
        <v>0</v>
      </c>
      <c r="L330" s="799">
        <f>SUMIF('Venture Summary - Mthly'!$E$8:$EG$8,L$9,'Venture Summary - Mthly'!$E333:$EG333)</f>
        <v>0</v>
      </c>
      <c r="M330" s="799">
        <f>SUMIF('Venture Summary - Mthly'!$E$8:$EG$8,M$9,'Venture Summary - Mthly'!$E333:$EG333)</f>
        <v>0</v>
      </c>
      <c r="N330" s="799">
        <f>SUMIF('Venture Summary - Mthly'!$E$8:$EG$8,N$9,'Venture Summary - Mthly'!$E333:$EG333)</f>
        <v>0</v>
      </c>
      <c r="O330" s="799">
        <f>SUMIF('Venture Summary - Mthly'!$E$8:$EG$8,O$9,'Venture Summary - Mthly'!$E333:$EG333)</f>
        <v>0</v>
      </c>
      <c r="P330" s="799">
        <f>SUMIF('Venture Summary - Mthly'!$E$8:$EG$8,P$9,'Venture Summary - Mthly'!$E333:$EG333)</f>
        <v>0</v>
      </c>
      <c r="Q330" s="799">
        <f>SUMIF('Venture Summary - Mthly'!$E$8:$EG$8,Q$9,'Venture Summary - Mthly'!$E333:$EG333)</f>
        <v>0</v>
      </c>
      <c r="R330" s="799">
        <f>SUMIF('Venture Summary - Mthly'!$E$8:$EG$8,R$9,'Venture Summary - Mthly'!$E333:$EG333)</f>
        <v>0</v>
      </c>
      <c r="S330" s="799">
        <f>SUMIF('Venture Summary - Mthly'!$E$8:$EG$8,S$9,'Venture Summary - Mthly'!$E333:$EG333)</f>
        <v>0</v>
      </c>
      <c r="T330" s="799">
        <f>SUMIF('Venture Summary - Mthly'!$E$8:$EG$8,T$9,'Venture Summary - Mthly'!$E333:$EG333)</f>
        <v>0</v>
      </c>
      <c r="U330" s="799">
        <f>SUMIF('Venture Summary - Mthly'!$E$8:$EG$8,U$9,'Venture Summary - Mthly'!$E333:$EG333)</f>
        <v>0</v>
      </c>
      <c r="V330" s="799">
        <f>SUMIF('Venture Summary - Mthly'!$E$8:$EG$8,V$9,'Venture Summary - Mthly'!$E333:$EG333)</f>
        <v>0</v>
      </c>
      <c r="W330" s="799">
        <f>SUMIF('Venture Summary - Mthly'!$E$8:$EG$8,W$9,'Venture Summary - Mthly'!$E333:$EG333)</f>
        <v>0</v>
      </c>
      <c r="X330" s="799">
        <f>SUMIF('Venture Summary - Mthly'!$E$8:$EG$8,X$9,'Venture Summary - Mthly'!$E333:$EG333)</f>
        <v>0</v>
      </c>
      <c r="Y330" s="799">
        <f>SUMIF('Venture Summary - Mthly'!$E$8:$EG$8,Y$9,'Venture Summary - Mthly'!$E333:$EG333)</f>
        <v>0</v>
      </c>
      <c r="Z330" s="799">
        <f>SUMIF('Venture Summary - Mthly'!$E$8:$EG$8,Z$9,'Venture Summary - Mthly'!$E333:$EG333)</f>
        <v>0</v>
      </c>
      <c r="AA330" s="799">
        <f>SUMIF('Venture Summary - Mthly'!$E$8:$EG$8,AA$9,'Venture Summary - Mthly'!$E333:$EG333)</f>
        <v>0</v>
      </c>
      <c r="AB330" s="799">
        <f>SUMIF('Venture Summary - Mthly'!$E$8:$EG$8,AB$9,'Venture Summary - Mthly'!$E333:$EG333)</f>
        <v>0</v>
      </c>
      <c r="AC330" s="799">
        <f>SUMIF('Venture Summary - Mthly'!$E$8:$EG$8,AC$9,'Venture Summary - Mthly'!$E333:$EG333)</f>
        <v>0</v>
      </c>
      <c r="AD330" s="799">
        <f>SUMIF('Venture Summary - Mthly'!$E$8:$EG$8,AD$9,'Venture Summary - Mthly'!$E333:$EG333)</f>
        <v>0</v>
      </c>
      <c r="AE330" s="799">
        <f>SUMIF('Venture Summary - Mthly'!$E$8:$EG$8,AE$9,'Venture Summary - Mthly'!$E333:$EG333)</f>
        <v>0</v>
      </c>
      <c r="AF330" s="799">
        <f>SUMIF('Venture Summary - Mthly'!$E$8:$EG$8,AF$9,'Venture Summary - Mthly'!$E333:$EG333)</f>
        <v>0</v>
      </c>
      <c r="AG330" s="799">
        <f>SUMIF('Venture Summary - Mthly'!$E$8:$EG$8,AG$9,'Venture Summary - Mthly'!$E333:$EG333)</f>
        <v>0</v>
      </c>
      <c r="AH330" s="799">
        <f>SUMIF('Venture Summary - Mthly'!$E$8:$EG$8,AH$9,'Venture Summary - Mthly'!$E333:$EG333)</f>
        <v>0</v>
      </c>
      <c r="AI330" s="799">
        <f>SUMIF('Venture Summary - Mthly'!$E$8:$EG$8,AI$9,'Venture Summary - Mthly'!$E333:$EG333)</f>
        <v>0</v>
      </c>
      <c r="AJ330" s="799">
        <f>SUMIF('Venture Summary - Mthly'!$E$8:$EG$8,AJ$9,'Venture Summary - Mthly'!$E333:$EG333)</f>
        <v>0</v>
      </c>
      <c r="AK330" s="799">
        <f>SUMIF('Venture Summary - Mthly'!$E$8:$EG$8,AK$9,'Venture Summary - Mthly'!$E333:$EG333)</f>
        <v>9576703.8864983413</v>
      </c>
      <c r="AL330" s="799">
        <f>SUMIF('Venture Summary - Mthly'!$E$8:$EG$8,AL$9,'Venture Summary - Mthly'!$E333:$EG333)</f>
        <v>0</v>
      </c>
      <c r="AM330" s="799">
        <f>SUMIF('Venture Summary - Mthly'!$E$8:$EG$8,AM$9,'Venture Summary - Mthly'!$E333:$EG333)</f>
        <v>0</v>
      </c>
      <c r="AN330" s="799">
        <f>SUMIF('Venture Summary - Mthly'!$E$8:$EG$8,AN$9,'Venture Summary - Mthly'!$E333:$EG333)</f>
        <v>0</v>
      </c>
      <c r="AO330" s="799">
        <f>SUMIF('Venture Summary - Mthly'!$E$8:$EG$8,AO$9,'Venture Summary - Mthly'!$E333:$EG333)</f>
        <v>0</v>
      </c>
      <c r="AP330" s="799">
        <f>SUMIF('Venture Summary - Mthly'!$E$8:$EG$8,AP$9,'Venture Summary - Mthly'!$E333:$EG333)</f>
        <v>0</v>
      </c>
      <c r="AQ330" s="799">
        <f>SUMIF('Venture Summary - Mthly'!$E$8:$EG$8,AQ$9,'Venture Summary - Mthly'!$E333:$EG333)</f>
        <v>0</v>
      </c>
      <c r="AR330" s="799">
        <f>SUMIF('Venture Summary - Mthly'!$E$8:$EG$8,AR$9,'Venture Summary - Mthly'!$E333:$EG333)</f>
        <v>0</v>
      </c>
      <c r="AS330" s="799">
        <f>SUMIF('Venture Summary - Mthly'!$E$8:$EG$8,AS$9,'Venture Summary - Mthly'!$E333:$EG333)</f>
        <v>0</v>
      </c>
      <c r="AT330" s="799">
        <f>SUMIF('Venture Summary - Mthly'!$E$8:$EG$8,AT$9,'Venture Summary - Mthly'!$E333:$EG333)</f>
        <v>0</v>
      </c>
      <c r="AU330" s="799">
        <f>SUMIF('Venture Summary - Mthly'!$E$8:$EG$8,AU$9,'Venture Summary - Mthly'!$E333:$EG333)</f>
        <v>0</v>
      </c>
      <c r="AV330" s="799">
        <f>SUMIF('Venture Summary - Mthly'!$E$8:$EG$8,AV$9,'Venture Summary - Mthly'!$E333:$EG333)</f>
        <v>0</v>
      </c>
      <c r="AW330" s="799">
        <f>SUMIF('Venture Summary - Mthly'!$E$8:$EG$8,AW$9,'Venture Summary - Mthly'!$E333:$EG333)</f>
        <v>0</v>
      </c>
      <c r="AX330" s="798"/>
    </row>
    <row r="331" spans="1:50" ht="12.75" customHeight="1" x14ac:dyDescent="0.3">
      <c r="A331" s="782"/>
      <c r="B331" s="782" t="s">
        <v>173</v>
      </c>
      <c r="C331" s="798"/>
      <c r="D331" s="782"/>
      <c r="E331" s="798">
        <f t="shared" ref="E331:AJ331" si="79">SUM(E329:E330)</f>
        <v>0</v>
      </c>
      <c r="F331" s="798">
        <f t="shared" si="79"/>
        <v>0</v>
      </c>
      <c r="G331" s="798">
        <f t="shared" si="79"/>
        <v>0</v>
      </c>
      <c r="H331" s="798">
        <f>SUM(H329:H330)</f>
        <v>0</v>
      </c>
      <c r="I331" s="798">
        <f>SUM(I329:I330)</f>
        <v>0</v>
      </c>
      <c r="J331" s="798">
        <f>SUM(J329:J330)</f>
        <v>0</v>
      </c>
      <c r="K331" s="798">
        <f t="shared" si="79"/>
        <v>0</v>
      </c>
      <c r="L331" s="798">
        <f t="shared" si="79"/>
        <v>0</v>
      </c>
      <c r="M331" s="798">
        <f t="shared" si="79"/>
        <v>0</v>
      </c>
      <c r="N331" s="798">
        <f t="shared" si="79"/>
        <v>0</v>
      </c>
      <c r="O331" s="798">
        <f t="shared" si="79"/>
        <v>0</v>
      </c>
      <c r="P331" s="798">
        <f t="shared" si="79"/>
        <v>0</v>
      </c>
      <c r="Q331" s="798">
        <f t="shared" si="79"/>
        <v>0</v>
      </c>
      <c r="R331" s="798">
        <f t="shared" si="79"/>
        <v>0</v>
      </c>
      <c r="S331" s="798">
        <f t="shared" si="79"/>
        <v>0</v>
      </c>
      <c r="T331" s="798">
        <f t="shared" si="79"/>
        <v>0</v>
      </c>
      <c r="U331" s="798">
        <f t="shared" si="79"/>
        <v>0</v>
      </c>
      <c r="V331" s="798">
        <f t="shared" si="79"/>
        <v>0</v>
      </c>
      <c r="W331" s="798">
        <f t="shared" si="79"/>
        <v>0</v>
      </c>
      <c r="X331" s="798">
        <f t="shared" si="79"/>
        <v>0</v>
      </c>
      <c r="Y331" s="798">
        <f t="shared" si="79"/>
        <v>0</v>
      </c>
      <c r="Z331" s="798">
        <f t="shared" si="79"/>
        <v>0</v>
      </c>
      <c r="AA331" s="798">
        <f t="shared" si="79"/>
        <v>0</v>
      </c>
      <c r="AB331" s="798">
        <f t="shared" si="79"/>
        <v>0</v>
      </c>
      <c r="AC331" s="798">
        <f t="shared" si="79"/>
        <v>0</v>
      </c>
      <c r="AD331" s="798">
        <f t="shared" si="79"/>
        <v>0</v>
      </c>
      <c r="AE331" s="798">
        <f t="shared" si="79"/>
        <v>0</v>
      </c>
      <c r="AF331" s="798">
        <f t="shared" si="79"/>
        <v>0</v>
      </c>
      <c r="AG331" s="798">
        <f t="shared" si="79"/>
        <v>0</v>
      </c>
      <c r="AH331" s="798">
        <f t="shared" si="79"/>
        <v>0</v>
      </c>
      <c r="AI331" s="798">
        <f t="shared" si="79"/>
        <v>0</v>
      </c>
      <c r="AJ331" s="798">
        <f t="shared" si="79"/>
        <v>0</v>
      </c>
      <c r="AK331" s="798">
        <f t="shared" ref="AK331:AW331" si="80">SUM(AK329:AK330)</f>
        <v>14733390.594612833</v>
      </c>
      <c r="AL331" s="798">
        <f t="shared" si="80"/>
        <v>0</v>
      </c>
      <c r="AM331" s="798">
        <f t="shared" si="80"/>
        <v>0</v>
      </c>
      <c r="AN331" s="798">
        <f t="shared" si="80"/>
        <v>0</v>
      </c>
      <c r="AO331" s="798">
        <f t="shared" si="80"/>
        <v>0</v>
      </c>
      <c r="AP331" s="798">
        <f t="shared" si="80"/>
        <v>0</v>
      </c>
      <c r="AQ331" s="798">
        <f t="shared" si="80"/>
        <v>0</v>
      </c>
      <c r="AR331" s="798">
        <f t="shared" si="80"/>
        <v>0</v>
      </c>
      <c r="AS331" s="798">
        <f t="shared" si="80"/>
        <v>0</v>
      </c>
      <c r="AT331" s="798">
        <f t="shared" si="80"/>
        <v>0</v>
      </c>
      <c r="AU331" s="798">
        <f t="shared" si="80"/>
        <v>0</v>
      </c>
      <c r="AV331" s="798">
        <f t="shared" si="80"/>
        <v>0</v>
      </c>
      <c r="AW331" s="798">
        <f t="shared" si="80"/>
        <v>0</v>
      </c>
      <c r="AX331" s="798"/>
    </row>
    <row r="332" spans="1:50" ht="12.75" customHeight="1" x14ac:dyDescent="0.3">
      <c r="A332" s="782"/>
      <c r="B332" s="782"/>
      <c r="C332" s="798"/>
      <c r="D332" s="782"/>
      <c r="E332" s="798"/>
      <c r="F332" s="798"/>
      <c r="G332" s="798"/>
      <c r="H332" s="798"/>
      <c r="I332" s="798"/>
      <c r="J332" s="798"/>
      <c r="K332" s="798"/>
      <c r="L332" s="798"/>
      <c r="M332" s="798"/>
      <c r="N332" s="798"/>
      <c r="O332" s="798"/>
      <c r="P332" s="798"/>
      <c r="Q332" s="798"/>
      <c r="R332" s="798"/>
      <c r="S332" s="798"/>
      <c r="T332" s="798"/>
      <c r="U332" s="798"/>
      <c r="V332" s="798"/>
      <c r="W332" s="798"/>
      <c r="X332" s="798"/>
      <c r="Y332" s="798"/>
      <c r="Z332" s="798"/>
      <c r="AA332" s="798"/>
      <c r="AB332" s="798"/>
      <c r="AC332" s="798"/>
      <c r="AD332" s="798"/>
      <c r="AE332" s="798"/>
      <c r="AF332" s="798"/>
      <c r="AG332" s="798"/>
      <c r="AH332" s="798"/>
      <c r="AI332" s="798"/>
      <c r="AJ332" s="798"/>
      <c r="AK332" s="798"/>
      <c r="AL332" s="798"/>
      <c r="AM332" s="798"/>
      <c r="AN332" s="798"/>
      <c r="AO332" s="798"/>
      <c r="AP332" s="798"/>
      <c r="AQ332" s="798"/>
      <c r="AR332" s="798"/>
      <c r="AS332" s="798"/>
      <c r="AT332" s="798"/>
      <c r="AU332" s="798"/>
      <c r="AV332" s="798"/>
      <c r="AW332" s="798"/>
      <c r="AX332" s="798"/>
    </row>
    <row r="333" spans="1:50" ht="12.75" customHeight="1" x14ac:dyDescent="0.3">
      <c r="A333" s="782"/>
      <c r="B333" s="796" t="s">
        <v>181</v>
      </c>
      <c r="C333" s="798"/>
      <c r="D333" s="782"/>
      <c r="E333" s="798"/>
      <c r="F333" s="798"/>
      <c r="G333" s="798"/>
      <c r="H333" s="798"/>
      <c r="I333" s="798"/>
      <c r="J333" s="798"/>
      <c r="K333" s="798"/>
      <c r="L333" s="798"/>
      <c r="M333" s="798"/>
      <c r="N333" s="798"/>
      <c r="O333" s="798"/>
      <c r="P333" s="798"/>
      <c r="Q333" s="798"/>
      <c r="R333" s="798"/>
      <c r="S333" s="798"/>
      <c r="T333" s="798"/>
      <c r="U333" s="798"/>
      <c r="V333" s="798"/>
      <c r="W333" s="798"/>
      <c r="X333" s="798"/>
      <c r="Y333" s="798"/>
      <c r="Z333" s="798"/>
      <c r="AA333" s="798"/>
      <c r="AB333" s="798"/>
      <c r="AC333" s="798"/>
      <c r="AD333" s="798"/>
      <c r="AE333" s="798"/>
      <c r="AF333" s="798"/>
      <c r="AG333" s="798"/>
      <c r="AH333" s="798"/>
      <c r="AI333" s="798"/>
      <c r="AJ333" s="798"/>
      <c r="AK333" s="798"/>
      <c r="AL333" s="798"/>
      <c r="AM333" s="798"/>
      <c r="AN333" s="798"/>
      <c r="AO333" s="798"/>
      <c r="AP333" s="798"/>
      <c r="AQ333" s="798"/>
      <c r="AR333" s="798"/>
      <c r="AS333" s="798"/>
      <c r="AT333" s="798"/>
      <c r="AU333" s="798"/>
      <c r="AV333" s="798"/>
      <c r="AW333" s="798"/>
      <c r="AX333" s="798"/>
    </row>
    <row r="334" spans="1:50" ht="12.75" customHeight="1" x14ac:dyDescent="0.3">
      <c r="A334" s="782"/>
      <c r="B334" s="782" t="s">
        <v>182</v>
      </c>
      <c r="C334" s="804">
        <f>SUM(E334:AX334)</f>
        <v>68643628.415669397</v>
      </c>
      <c r="D334" s="782"/>
      <c r="E334" s="805">
        <f>+'Venture Summary - Qrtly'!E35</f>
        <v>-1943435.5218400576</v>
      </c>
      <c r="F334" s="805">
        <f>+'Venture Summary - Qrtly'!F35</f>
        <v>-16439275.889004553</v>
      </c>
      <c r="G334" s="805">
        <f>+'Venture Summary - Qrtly'!G35</f>
        <v>-5353413.4459025264</v>
      </c>
      <c r="H334" s="805">
        <f>+'Venture Summary - Qrtly'!H35</f>
        <v>-9472150.2761177849</v>
      </c>
      <c r="I334" s="805">
        <f>+'Venture Summary - Qrtly'!I35</f>
        <v>-2137816.1256360402</v>
      </c>
      <c r="J334" s="805">
        <f>+'Venture Summary - Qrtly'!J35</f>
        <v>-72420.82230457374</v>
      </c>
      <c r="K334" s="805">
        <f>+'Venture Summary - Qrtly'!K35</f>
        <v>-83036.515302760876</v>
      </c>
      <c r="L334" s="805">
        <f>+'Venture Summary - Qrtly'!L35</f>
        <v>-91714.024932564862</v>
      </c>
      <c r="M334" s="805">
        <f>+'Venture Summary - Qrtly'!M35</f>
        <v>-53458.906785299783</v>
      </c>
      <c r="N334" s="805">
        <f>+'Venture Summary - Qrtly'!N35</f>
        <v>333905.82129426824</v>
      </c>
      <c r="O334" s="805">
        <f>+'Venture Summary - Qrtly'!O35</f>
        <v>805484.1203940186</v>
      </c>
      <c r="P334" s="805">
        <f>+'Venture Summary - Qrtly'!P35</f>
        <v>15172766.886770455</v>
      </c>
      <c r="Q334" s="805">
        <f>+'Venture Summary - Qrtly'!Q35</f>
        <v>623346.85292693262</v>
      </c>
      <c r="R334" s="805">
        <f>+'Venture Summary - Qrtly'!R35</f>
        <v>645086.61329542066</v>
      </c>
      <c r="S334" s="805">
        <f>+'Venture Summary - Qrtly'!S35</f>
        <v>644215.54607378738</v>
      </c>
      <c r="T334" s="805">
        <f>+'Venture Summary - Qrtly'!T35</f>
        <v>661902.09947439213</v>
      </c>
      <c r="U334" s="805">
        <f>+'Venture Summary - Qrtly'!U35</f>
        <v>679519.10289103328</v>
      </c>
      <c r="V334" s="805">
        <f>+'Venture Summary - Qrtly'!V35</f>
        <v>694204.81009246386</v>
      </c>
      <c r="W334" s="805">
        <f>+'Venture Summary - Qrtly'!W35</f>
        <v>689738.61611527018</v>
      </c>
      <c r="X334" s="805">
        <f>+'Venture Summary - Qrtly'!X35</f>
        <v>701794.01382499503</v>
      </c>
      <c r="Y334" s="805">
        <f>+'Venture Summary - Qrtly'!Y35</f>
        <v>717065.29189360037</v>
      </c>
      <c r="Z334" s="805">
        <f>+'Venture Summary - Qrtly'!Z35</f>
        <v>733551.69515324535</v>
      </c>
      <c r="AA334" s="805">
        <f>+'Venture Summary - Qrtly'!AA35</f>
        <v>732080.37063951523</v>
      </c>
      <c r="AB334" s="805">
        <f>+'Venture Summary - Qrtly'!AB35</f>
        <v>748271.41014259262</v>
      </c>
      <c r="AC334" s="805">
        <f>+'Venture Summary - Qrtly'!AC35</f>
        <v>767018.32850041997</v>
      </c>
      <c r="AD334" s="805">
        <f>+'Venture Summary - Qrtly'!AD35</f>
        <v>785743.4935620703</v>
      </c>
      <c r="AE334" s="805">
        <f>+'Venture Summary - Qrtly'!AE35</f>
        <v>785270.30079527816</v>
      </c>
      <c r="AF334" s="805">
        <f>+'Venture Summary - Qrtly'!AF35</f>
        <v>802729.7262517052</v>
      </c>
      <c r="AG334" s="805">
        <f>+'Venture Summary - Qrtly'!AG35</f>
        <v>822662.61418112251</v>
      </c>
      <c r="AH334" s="805">
        <f>+'Venture Summary - Qrtly'!AH35</f>
        <v>842492.85555103864</v>
      </c>
      <c r="AI334" s="805">
        <f>+'Venture Summary - Qrtly'!AI35</f>
        <v>842283.51895287074</v>
      </c>
      <c r="AJ334" s="805">
        <f>+'Venture Summary - Qrtly'!AJ35</f>
        <v>860476.76641253917</v>
      </c>
      <c r="AK334" s="805">
        <f>+'Venture Summary - Qrtly'!AK35</f>
        <v>73198739.088306516</v>
      </c>
      <c r="AL334" s="805">
        <f>+'Venture Summary - Qrtly'!AL35</f>
        <v>0</v>
      </c>
      <c r="AM334" s="805">
        <f>+'Venture Summary - Qrtly'!AM35</f>
        <v>0</v>
      </c>
      <c r="AN334" s="805">
        <f>+'Venture Summary - Qrtly'!AN35</f>
        <v>0</v>
      </c>
      <c r="AO334" s="805">
        <f>+'Venture Summary - Qrtly'!AO35</f>
        <v>0</v>
      </c>
      <c r="AP334" s="805">
        <f>+'Venture Summary - Qrtly'!AP35</f>
        <v>0</v>
      </c>
      <c r="AQ334" s="805">
        <f>+'Venture Summary - Qrtly'!AQ35</f>
        <v>0</v>
      </c>
      <c r="AR334" s="805">
        <f>+'Venture Summary - Qrtly'!AR35</f>
        <v>0</v>
      </c>
      <c r="AS334" s="805">
        <f>+'Venture Summary - Qrtly'!AS35</f>
        <v>0</v>
      </c>
      <c r="AT334" s="805">
        <f>+'Venture Summary - Qrtly'!AT35</f>
        <v>0</v>
      </c>
      <c r="AU334" s="805">
        <f>+'Venture Summary - Qrtly'!AU35</f>
        <v>0</v>
      </c>
      <c r="AV334" s="805">
        <f>+'Venture Summary - Qrtly'!AV35</f>
        <v>0</v>
      </c>
      <c r="AW334" s="805">
        <f>+'Venture Summary - Qrtly'!AW35</f>
        <v>0</v>
      </c>
      <c r="AX334" s="805"/>
    </row>
    <row r="335" spans="1:50" ht="12.75" customHeight="1" x14ac:dyDescent="0.3">
      <c r="A335" s="782"/>
      <c r="B335" s="782" t="s">
        <v>183</v>
      </c>
      <c r="C335" s="804">
        <f>SUM(E335:AX335)</f>
        <v>-6868726.7816661661</v>
      </c>
      <c r="D335" s="782"/>
      <c r="E335" s="805">
        <f>+E259</f>
        <v>0</v>
      </c>
      <c r="F335" s="805">
        <f>-'Venture Summary - Qrtly'!F209</f>
        <v>0</v>
      </c>
      <c r="G335" s="805">
        <f>-'Venture Summary - Qrtly'!G209</f>
        <v>0</v>
      </c>
      <c r="H335" s="805">
        <f>-'Venture Summary - Qrtly'!H209</f>
        <v>0</v>
      </c>
      <c r="I335" s="805">
        <f>-'Venture Summary - Qrtly'!I209</f>
        <v>0</v>
      </c>
      <c r="J335" s="805">
        <f>-'Venture Summary - Qrtly'!J209</f>
        <v>0</v>
      </c>
      <c r="K335" s="805">
        <f>-'Venture Summary - Qrtly'!K209</f>
        <v>0</v>
      </c>
      <c r="L335" s="805">
        <f>-'Venture Summary - Qrtly'!L209</f>
        <v>0</v>
      </c>
      <c r="M335" s="805">
        <f>-'Venture Summary - Qrtly'!M209</f>
        <v>0</v>
      </c>
      <c r="N335" s="805">
        <f>-'Venture Summary - Qrtly'!N209</f>
        <v>0</v>
      </c>
      <c r="O335" s="805">
        <f>-'Venture Summary - Qrtly'!O209</f>
        <v>0</v>
      </c>
      <c r="P335" s="805">
        <f>-'Venture Summary - Qrtly'!P209</f>
        <v>-6868726.7816661661</v>
      </c>
      <c r="Q335" s="805">
        <f>-'Venture Summary - Qrtly'!Q209</f>
        <v>0</v>
      </c>
      <c r="R335" s="805">
        <f>-'Venture Summary - Qrtly'!R209</f>
        <v>0</v>
      </c>
      <c r="S335" s="805">
        <f>-'Venture Summary - Qrtly'!S209</f>
        <v>0</v>
      </c>
      <c r="T335" s="805">
        <f>-'Venture Summary - Qrtly'!T209</f>
        <v>0</v>
      </c>
      <c r="U335" s="805">
        <f>-'Venture Summary - Qrtly'!U209</f>
        <v>0</v>
      </c>
      <c r="V335" s="805">
        <f>-'Venture Summary - Qrtly'!V209</f>
        <v>0</v>
      </c>
      <c r="W335" s="805">
        <f>-'Venture Summary - Qrtly'!W209</f>
        <v>0</v>
      </c>
      <c r="X335" s="805">
        <f>-'Venture Summary - Qrtly'!X209</f>
        <v>0</v>
      </c>
      <c r="Y335" s="805">
        <f>-'Venture Summary - Qrtly'!Y209</f>
        <v>0</v>
      </c>
      <c r="Z335" s="805">
        <f>-'Venture Summary - Qrtly'!Z209</f>
        <v>0</v>
      </c>
      <c r="AA335" s="805">
        <f>-'Venture Summary - Qrtly'!AA209</f>
        <v>0</v>
      </c>
      <c r="AB335" s="805">
        <f>-'Venture Summary - Qrtly'!AB209</f>
        <v>0</v>
      </c>
      <c r="AC335" s="805">
        <f>-'Venture Summary - Qrtly'!AC209</f>
        <v>0</v>
      </c>
      <c r="AD335" s="805">
        <f>-'Venture Summary - Qrtly'!AD209</f>
        <v>0</v>
      </c>
      <c r="AE335" s="805">
        <f>-'Venture Summary - Qrtly'!AE209</f>
        <v>0</v>
      </c>
      <c r="AF335" s="805">
        <f>-'Venture Summary - Qrtly'!AF209</f>
        <v>0</v>
      </c>
      <c r="AG335" s="805">
        <f>-'Venture Summary - Qrtly'!AG209</f>
        <v>0</v>
      </c>
      <c r="AH335" s="805">
        <f>-'Venture Summary - Qrtly'!AH209</f>
        <v>0</v>
      </c>
      <c r="AI335" s="805">
        <f>-'Venture Summary - Qrtly'!AI209</f>
        <v>0</v>
      </c>
      <c r="AJ335" s="805">
        <f>-'Venture Summary - Qrtly'!AJ209</f>
        <v>0</v>
      </c>
      <c r="AK335" s="805">
        <f>-'Venture Summary - Qrtly'!AK209</f>
        <v>0</v>
      </c>
      <c r="AL335" s="805">
        <f>-'Venture Summary - Qrtly'!AL209</f>
        <v>0</v>
      </c>
      <c r="AM335" s="805">
        <f>-'Venture Summary - Qrtly'!AM209</f>
        <v>0</v>
      </c>
      <c r="AN335" s="805">
        <f>-'Venture Summary - Qrtly'!AN209</f>
        <v>0</v>
      </c>
      <c r="AO335" s="805">
        <f>-'Venture Summary - Qrtly'!AO209</f>
        <v>0</v>
      </c>
      <c r="AP335" s="805">
        <f>-'Venture Summary - Qrtly'!AP209</f>
        <v>0</v>
      </c>
      <c r="AQ335" s="805">
        <f>-'Venture Summary - Qrtly'!AQ209</f>
        <v>0</v>
      </c>
      <c r="AR335" s="805">
        <f>-'Venture Summary - Qrtly'!AR209</f>
        <v>0</v>
      </c>
      <c r="AS335" s="805">
        <f>-'Venture Summary - Qrtly'!AS209</f>
        <v>0</v>
      </c>
      <c r="AT335" s="805">
        <f>-'Venture Summary - Qrtly'!AT209</f>
        <v>0</v>
      </c>
      <c r="AU335" s="805">
        <f>-'Venture Summary - Qrtly'!AU209</f>
        <v>0</v>
      </c>
      <c r="AV335" s="805">
        <f>-'Venture Summary - Qrtly'!AV209</f>
        <v>0</v>
      </c>
      <c r="AW335" s="805">
        <f>-'Venture Summary - Qrtly'!AW209</f>
        <v>0</v>
      </c>
      <c r="AX335" s="805"/>
    </row>
    <row r="336" spans="1:50" ht="12.75" customHeight="1" x14ac:dyDescent="0.3">
      <c r="A336" s="782"/>
      <c r="B336" s="782" t="s">
        <v>184</v>
      </c>
      <c r="C336" s="804">
        <f>SUM(E336:AX336)</f>
        <v>-5736147.0869287392</v>
      </c>
      <c r="D336" s="782"/>
      <c r="E336" s="805">
        <f t="shared" ref="E336:AW336" si="81">-E247</f>
        <v>0</v>
      </c>
      <c r="F336" s="805">
        <f t="shared" si="81"/>
        <v>0</v>
      </c>
      <c r="G336" s="805">
        <f t="shared" si="81"/>
        <v>0</v>
      </c>
      <c r="H336" s="805">
        <f t="shared" si="81"/>
        <v>0</v>
      </c>
      <c r="I336" s="805">
        <f t="shared" si="81"/>
        <v>0</v>
      </c>
      <c r="J336" s="805">
        <f t="shared" si="81"/>
        <v>0</v>
      </c>
      <c r="K336" s="805">
        <f t="shared" si="81"/>
        <v>0</v>
      </c>
      <c r="L336" s="805">
        <f t="shared" si="81"/>
        <v>0</v>
      </c>
      <c r="M336" s="805">
        <f t="shared" si="81"/>
        <v>0</v>
      </c>
      <c r="N336" s="805">
        <f t="shared" si="81"/>
        <v>0</v>
      </c>
      <c r="O336" s="805">
        <f t="shared" si="81"/>
        <v>0</v>
      </c>
      <c r="P336" s="805">
        <f t="shared" si="81"/>
        <v>0</v>
      </c>
      <c r="Q336" s="805">
        <f t="shared" si="81"/>
        <v>0</v>
      </c>
      <c r="R336" s="805">
        <f t="shared" si="81"/>
        <v>0</v>
      </c>
      <c r="S336" s="805">
        <f t="shared" si="81"/>
        <v>0</v>
      </c>
      <c r="T336" s="805">
        <f t="shared" si="81"/>
        <v>0</v>
      </c>
      <c r="U336" s="805">
        <f t="shared" si="81"/>
        <v>0</v>
      </c>
      <c r="V336" s="805">
        <f t="shared" si="81"/>
        <v>0</v>
      </c>
      <c r="W336" s="805">
        <f t="shared" si="81"/>
        <v>0</v>
      </c>
      <c r="X336" s="805">
        <f t="shared" si="81"/>
        <v>0</v>
      </c>
      <c r="Y336" s="805">
        <f t="shared" si="81"/>
        <v>0</v>
      </c>
      <c r="Z336" s="805">
        <f t="shared" si="81"/>
        <v>0</v>
      </c>
      <c r="AA336" s="805">
        <f t="shared" si="81"/>
        <v>0</v>
      </c>
      <c r="AB336" s="805">
        <f t="shared" si="81"/>
        <v>0</v>
      </c>
      <c r="AC336" s="805">
        <f t="shared" si="81"/>
        <v>0</v>
      </c>
      <c r="AD336" s="805">
        <f t="shared" si="81"/>
        <v>0</v>
      </c>
      <c r="AE336" s="805">
        <f t="shared" si="81"/>
        <v>0</v>
      </c>
      <c r="AF336" s="805">
        <f t="shared" si="81"/>
        <v>0</v>
      </c>
      <c r="AG336" s="805">
        <f t="shared" si="81"/>
        <v>0</v>
      </c>
      <c r="AH336" s="805">
        <f t="shared" si="81"/>
        <v>0</v>
      </c>
      <c r="AI336" s="805">
        <f t="shared" si="81"/>
        <v>0</v>
      </c>
      <c r="AJ336" s="805">
        <f t="shared" si="81"/>
        <v>0</v>
      </c>
      <c r="AK336" s="805">
        <f t="shared" si="81"/>
        <v>-5736147.0869287392</v>
      </c>
      <c r="AL336" s="805">
        <f t="shared" si="81"/>
        <v>0</v>
      </c>
      <c r="AM336" s="805">
        <f t="shared" si="81"/>
        <v>0</v>
      </c>
      <c r="AN336" s="805">
        <f t="shared" si="81"/>
        <v>0</v>
      </c>
      <c r="AO336" s="805">
        <f t="shared" si="81"/>
        <v>0</v>
      </c>
      <c r="AP336" s="805">
        <f t="shared" si="81"/>
        <v>0</v>
      </c>
      <c r="AQ336" s="805">
        <f t="shared" si="81"/>
        <v>0</v>
      </c>
      <c r="AR336" s="805">
        <f t="shared" si="81"/>
        <v>0</v>
      </c>
      <c r="AS336" s="805">
        <f t="shared" si="81"/>
        <v>0</v>
      </c>
      <c r="AT336" s="805">
        <f t="shared" si="81"/>
        <v>0</v>
      </c>
      <c r="AU336" s="805">
        <f t="shared" si="81"/>
        <v>0</v>
      </c>
      <c r="AV336" s="805">
        <f t="shared" si="81"/>
        <v>0</v>
      </c>
      <c r="AW336" s="805">
        <f t="shared" si="81"/>
        <v>0</v>
      </c>
      <c r="AX336" s="805"/>
    </row>
    <row r="337" spans="1:50" ht="12.75" customHeight="1" thickBot="1" x14ac:dyDescent="0.35">
      <c r="A337" s="782"/>
      <c r="B337" s="825" t="s">
        <v>185</v>
      </c>
      <c r="C337" s="820">
        <f>SUM(E337:AX337)</f>
        <v>56038754.547074482</v>
      </c>
      <c r="D337" s="821"/>
      <c r="E337" s="826">
        <f t="shared" ref="E337:AW337" si="82">SUM(E334:E336)</f>
        <v>-1943435.5218400576</v>
      </c>
      <c r="F337" s="826">
        <f t="shared" si="82"/>
        <v>-16439275.889004553</v>
      </c>
      <c r="G337" s="826">
        <f t="shared" si="82"/>
        <v>-5353413.4459025264</v>
      </c>
      <c r="H337" s="826">
        <f t="shared" si="82"/>
        <v>-9472150.2761177849</v>
      </c>
      <c r="I337" s="826">
        <f t="shared" si="82"/>
        <v>-2137816.1256360402</v>
      </c>
      <c r="J337" s="826">
        <f t="shared" si="82"/>
        <v>-72420.82230457374</v>
      </c>
      <c r="K337" s="826">
        <f t="shared" si="82"/>
        <v>-83036.515302760876</v>
      </c>
      <c r="L337" s="826">
        <f t="shared" si="82"/>
        <v>-91714.024932564862</v>
      </c>
      <c r="M337" s="826">
        <f t="shared" si="82"/>
        <v>-53458.906785299783</v>
      </c>
      <c r="N337" s="826">
        <f t="shared" si="82"/>
        <v>333905.82129426824</v>
      </c>
      <c r="O337" s="826">
        <f t="shared" si="82"/>
        <v>805484.1203940186</v>
      </c>
      <c r="P337" s="826">
        <f t="shared" si="82"/>
        <v>8304040.105104289</v>
      </c>
      <c r="Q337" s="826">
        <f t="shared" si="82"/>
        <v>623346.85292693262</v>
      </c>
      <c r="R337" s="826">
        <f t="shared" si="82"/>
        <v>645086.61329542066</v>
      </c>
      <c r="S337" s="826">
        <f t="shared" si="82"/>
        <v>644215.54607378738</v>
      </c>
      <c r="T337" s="826">
        <f t="shared" si="82"/>
        <v>661902.09947439213</v>
      </c>
      <c r="U337" s="826">
        <f t="shared" si="82"/>
        <v>679519.10289103328</v>
      </c>
      <c r="V337" s="826">
        <f t="shared" si="82"/>
        <v>694204.81009246386</v>
      </c>
      <c r="W337" s="826">
        <f t="shared" si="82"/>
        <v>689738.61611527018</v>
      </c>
      <c r="X337" s="826">
        <f t="shared" si="82"/>
        <v>701794.01382499503</v>
      </c>
      <c r="Y337" s="826">
        <f t="shared" si="82"/>
        <v>717065.29189360037</v>
      </c>
      <c r="Z337" s="826">
        <f t="shared" si="82"/>
        <v>733551.69515324535</v>
      </c>
      <c r="AA337" s="826">
        <f t="shared" si="82"/>
        <v>732080.37063951523</v>
      </c>
      <c r="AB337" s="826">
        <f t="shared" si="82"/>
        <v>748271.41014259262</v>
      </c>
      <c r="AC337" s="826">
        <f t="shared" si="82"/>
        <v>767018.32850041997</v>
      </c>
      <c r="AD337" s="826">
        <f t="shared" si="82"/>
        <v>785743.4935620703</v>
      </c>
      <c r="AE337" s="826">
        <f t="shared" si="82"/>
        <v>785270.30079527816</v>
      </c>
      <c r="AF337" s="826">
        <f t="shared" si="82"/>
        <v>802729.7262517052</v>
      </c>
      <c r="AG337" s="826">
        <f t="shared" si="82"/>
        <v>822662.61418112251</v>
      </c>
      <c r="AH337" s="826">
        <f t="shared" si="82"/>
        <v>842492.85555103864</v>
      </c>
      <c r="AI337" s="826">
        <f t="shared" si="82"/>
        <v>842283.51895287074</v>
      </c>
      <c r="AJ337" s="826">
        <f t="shared" si="82"/>
        <v>860476.76641253917</v>
      </c>
      <c r="AK337" s="826">
        <f t="shared" si="82"/>
        <v>67462592.001377776</v>
      </c>
      <c r="AL337" s="826">
        <f t="shared" si="82"/>
        <v>0</v>
      </c>
      <c r="AM337" s="826">
        <f t="shared" si="82"/>
        <v>0</v>
      </c>
      <c r="AN337" s="826">
        <f t="shared" si="82"/>
        <v>0</v>
      </c>
      <c r="AO337" s="826">
        <f t="shared" si="82"/>
        <v>0</v>
      </c>
      <c r="AP337" s="826">
        <f t="shared" si="82"/>
        <v>0</v>
      </c>
      <c r="AQ337" s="826">
        <f t="shared" si="82"/>
        <v>0</v>
      </c>
      <c r="AR337" s="826">
        <f t="shared" si="82"/>
        <v>0</v>
      </c>
      <c r="AS337" s="826">
        <f t="shared" si="82"/>
        <v>0</v>
      </c>
      <c r="AT337" s="826">
        <f t="shared" si="82"/>
        <v>0</v>
      </c>
      <c r="AU337" s="826">
        <f t="shared" si="82"/>
        <v>0</v>
      </c>
      <c r="AV337" s="826">
        <f t="shared" si="82"/>
        <v>0</v>
      </c>
      <c r="AW337" s="826">
        <f t="shared" si="82"/>
        <v>0</v>
      </c>
      <c r="AX337" s="805"/>
    </row>
    <row r="338" spans="1:50" ht="12.75" customHeight="1" thickBot="1" x14ac:dyDescent="0.35">
      <c r="A338" s="782"/>
      <c r="B338" s="827" t="s">
        <v>186</v>
      </c>
      <c r="C338" s="828">
        <f>'Venture Summary - Mthly'!C341</f>
        <v>0.15838249325752266</v>
      </c>
      <c r="D338" s="782"/>
      <c r="E338" s="782"/>
      <c r="F338" s="782"/>
      <c r="G338" s="782"/>
      <c r="H338" s="782"/>
      <c r="I338" s="782"/>
      <c r="J338" s="782"/>
      <c r="K338" s="782"/>
      <c r="L338" s="782"/>
      <c r="M338" s="782"/>
      <c r="N338" s="782"/>
      <c r="O338" s="782"/>
      <c r="P338" s="782"/>
      <c r="Q338" s="782"/>
      <c r="R338" s="782"/>
      <c r="S338" s="782"/>
      <c r="T338" s="782"/>
      <c r="U338" s="782"/>
      <c r="V338" s="782"/>
      <c r="W338" s="782"/>
      <c r="X338" s="782"/>
      <c r="Y338" s="782"/>
      <c r="Z338" s="782"/>
      <c r="AA338" s="782"/>
      <c r="AB338" s="782"/>
      <c r="AC338" s="782"/>
      <c r="AD338" s="782"/>
      <c r="AE338" s="782"/>
      <c r="AF338" s="782"/>
      <c r="AG338" s="782"/>
      <c r="AH338" s="782"/>
      <c r="AI338" s="782"/>
      <c r="AJ338" s="782"/>
      <c r="AK338" s="782"/>
      <c r="AL338" s="782"/>
      <c r="AM338" s="782"/>
      <c r="AN338" s="782"/>
      <c r="AO338" s="782"/>
      <c r="AP338" s="782"/>
      <c r="AQ338" s="782"/>
      <c r="AR338" s="782"/>
      <c r="AS338" s="782"/>
      <c r="AT338" s="782"/>
      <c r="AU338" s="782"/>
      <c r="AV338" s="782"/>
      <c r="AW338" s="782"/>
      <c r="AX338" s="782"/>
    </row>
    <row r="339" spans="1:50" ht="12.75" customHeight="1" x14ac:dyDescent="0.3">
      <c r="A339" s="782"/>
      <c r="B339" s="782"/>
      <c r="C339" s="849"/>
      <c r="D339" s="782"/>
      <c r="E339" s="798"/>
      <c r="F339" s="798"/>
      <c r="G339" s="798"/>
      <c r="H339" s="798"/>
      <c r="I339" s="798"/>
      <c r="J339" s="798"/>
      <c r="K339" s="798"/>
      <c r="L339" s="798"/>
      <c r="M339" s="798"/>
      <c r="N339" s="798"/>
      <c r="O339" s="798"/>
      <c r="P339" s="798"/>
      <c r="Q339" s="798"/>
      <c r="R339" s="798"/>
      <c r="S339" s="798"/>
      <c r="T339" s="798"/>
      <c r="U339" s="798"/>
      <c r="V339" s="798"/>
      <c r="W339" s="798"/>
      <c r="X339" s="798"/>
      <c r="Y339" s="798"/>
      <c r="Z339" s="798"/>
      <c r="AA339" s="798"/>
      <c r="AB339" s="798"/>
      <c r="AC339" s="798"/>
      <c r="AD339" s="798"/>
      <c r="AE339" s="798"/>
      <c r="AF339" s="798"/>
      <c r="AG339" s="798"/>
      <c r="AH339" s="798"/>
      <c r="AI339" s="798"/>
      <c r="AJ339" s="798"/>
      <c r="AK339" s="798"/>
      <c r="AL339" s="798"/>
      <c r="AM339" s="798"/>
      <c r="AN339" s="798"/>
      <c r="AO339" s="798"/>
      <c r="AP339" s="798"/>
      <c r="AQ339" s="798"/>
      <c r="AR339" s="798"/>
      <c r="AS339" s="798"/>
      <c r="AT339" s="798"/>
      <c r="AU339" s="798"/>
      <c r="AV339" s="798"/>
      <c r="AW339" s="798"/>
      <c r="AX339" s="798"/>
    </row>
    <row r="340" spans="1:50" ht="12.75" customHeight="1" x14ac:dyDescent="0.3">
      <c r="A340" s="782"/>
      <c r="B340" s="787" t="s">
        <v>187</v>
      </c>
      <c r="C340" s="786"/>
      <c r="D340" s="786"/>
      <c r="E340" s="786"/>
      <c r="F340" s="786"/>
      <c r="G340" s="786"/>
      <c r="H340" s="786"/>
      <c r="I340" s="786"/>
      <c r="J340" s="786"/>
      <c r="K340" s="786"/>
      <c r="L340" s="786"/>
      <c r="M340" s="786"/>
      <c r="N340" s="786"/>
      <c r="O340" s="786"/>
      <c r="P340" s="786"/>
      <c r="Q340" s="786"/>
      <c r="R340" s="786"/>
      <c r="S340" s="786"/>
      <c r="T340" s="786"/>
      <c r="U340" s="786"/>
      <c r="V340" s="786"/>
      <c r="W340" s="786"/>
      <c r="X340" s="786"/>
      <c r="Y340" s="786"/>
      <c r="Z340" s="786"/>
      <c r="AA340" s="786"/>
      <c r="AB340" s="786"/>
      <c r="AC340" s="786"/>
      <c r="AD340" s="786"/>
      <c r="AE340" s="786"/>
      <c r="AF340" s="786"/>
      <c r="AG340" s="786"/>
      <c r="AH340" s="786"/>
      <c r="AI340" s="786"/>
      <c r="AJ340" s="786"/>
      <c r="AK340" s="786"/>
      <c r="AL340" s="786"/>
      <c r="AM340" s="786"/>
      <c r="AN340" s="786"/>
      <c r="AO340" s="786"/>
      <c r="AP340" s="786"/>
      <c r="AQ340" s="786"/>
      <c r="AR340" s="786"/>
      <c r="AS340" s="786"/>
      <c r="AT340" s="786"/>
      <c r="AU340" s="786"/>
      <c r="AV340" s="786"/>
      <c r="AW340" s="786"/>
      <c r="AX340" s="786"/>
    </row>
    <row r="341" spans="1:50" ht="12.75" customHeight="1" x14ac:dyDescent="0.3">
      <c r="A341" s="782"/>
      <c r="B341" s="782"/>
      <c r="C341" s="798"/>
      <c r="D341" s="782"/>
      <c r="E341" s="798"/>
      <c r="F341" s="798"/>
      <c r="G341" s="798"/>
      <c r="H341" s="798"/>
      <c r="I341" s="798"/>
      <c r="J341" s="798"/>
      <c r="K341" s="798"/>
      <c r="L341" s="798"/>
      <c r="M341" s="798"/>
      <c r="N341" s="798"/>
      <c r="O341" s="798"/>
      <c r="P341" s="798"/>
      <c r="Q341" s="798"/>
      <c r="R341" s="798"/>
      <c r="S341" s="798"/>
      <c r="T341" s="798"/>
      <c r="U341" s="798"/>
      <c r="V341" s="798"/>
      <c r="W341" s="798"/>
      <c r="X341" s="798"/>
      <c r="Y341" s="798"/>
      <c r="Z341" s="798"/>
      <c r="AA341" s="798"/>
      <c r="AB341" s="798"/>
      <c r="AC341" s="798"/>
      <c r="AD341" s="798"/>
      <c r="AE341" s="798"/>
      <c r="AF341" s="798"/>
      <c r="AG341" s="798"/>
      <c r="AH341" s="798"/>
      <c r="AI341" s="798"/>
      <c r="AJ341" s="798"/>
      <c r="AK341" s="798"/>
      <c r="AL341" s="798"/>
      <c r="AM341" s="798"/>
      <c r="AN341" s="798"/>
      <c r="AO341" s="798"/>
      <c r="AP341" s="798"/>
      <c r="AQ341" s="798"/>
      <c r="AR341" s="798"/>
      <c r="AS341" s="798"/>
      <c r="AT341" s="798"/>
      <c r="AU341" s="798"/>
      <c r="AV341" s="798"/>
      <c r="AW341" s="798"/>
      <c r="AX341" s="798"/>
    </row>
    <row r="342" spans="1:50" ht="12.75" customHeight="1" x14ac:dyDescent="0.3">
      <c r="A342" s="782"/>
      <c r="B342" s="782" t="s">
        <v>188</v>
      </c>
      <c r="C342" s="798">
        <f>SUM(E342:AX342)</f>
        <v>71665919.417095363</v>
      </c>
      <c r="D342" s="782"/>
      <c r="E342" s="798">
        <f>E31</f>
        <v>-1943435.5218400576</v>
      </c>
      <c r="F342" s="798">
        <f t="shared" ref="F342:AW342" si="83">F31</f>
        <v>-16427217.907827348</v>
      </c>
      <c r="G342" s="798">
        <f t="shared" si="83"/>
        <v>-5334073.7950608227</v>
      </c>
      <c r="H342" s="798">
        <f t="shared" si="83"/>
        <v>-9446512.0937692411</v>
      </c>
      <c r="I342" s="798">
        <f t="shared" si="83"/>
        <v>-2102020.2075963989</v>
      </c>
      <c r="J342" s="798">
        <f t="shared" si="83"/>
        <v>-25000.000168643892</v>
      </c>
      <c r="K342" s="798">
        <f t="shared" si="83"/>
        <v>-25000.000014906749</v>
      </c>
      <c r="L342" s="798">
        <f t="shared" si="83"/>
        <v>-24999.999675508589</v>
      </c>
      <c r="M342" s="798">
        <f t="shared" si="83"/>
        <v>19113.029053307138</v>
      </c>
      <c r="N342" s="798">
        <f t="shared" si="83"/>
        <v>409016.92256667092</v>
      </c>
      <c r="O342" s="798">
        <f t="shared" si="83"/>
        <v>880785.68226149771</v>
      </c>
      <c r="P342" s="798">
        <f t="shared" si="83"/>
        <v>15257721.632201882</v>
      </c>
      <c r="Q342" s="798">
        <f t="shared" si="83"/>
        <v>728449.37191356428</v>
      </c>
      <c r="R342" s="798">
        <f t="shared" si="83"/>
        <v>751383.30899763142</v>
      </c>
      <c r="S342" s="798">
        <f t="shared" si="83"/>
        <v>751615.0059864365</v>
      </c>
      <c r="T342" s="798">
        <f t="shared" si="83"/>
        <v>770361.59311068757</v>
      </c>
      <c r="U342" s="798">
        <f t="shared" si="83"/>
        <v>788978.24736710056</v>
      </c>
      <c r="V342" s="798">
        <f t="shared" si="83"/>
        <v>804661.43805875862</v>
      </c>
      <c r="W342" s="798">
        <f t="shared" si="83"/>
        <v>801244.76098827692</v>
      </c>
      <c r="X342" s="798">
        <f t="shared" si="83"/>
        <v>814403.28599050269</v>
      </c>
      <c r="Y342" s="798">
        <f t="shared" si="83"/>
        <v>830841.31954334956</v>
      </c>
      <c r="Z342" s="798">
        <f t="shared" si="83"/>
        <v>848540.01433612732</v>
      </c>
      <c r="AA342" s="798">
        <f t="shared" si="83"/>
        <v>848304.79948905087</v>
      </c>
      <c r="AB342" s="798">
        <f t="shared" si="83"/>
        <v>865740.02147221274</v>
      </c>
      <c r="AC342" s="798">
        <f t="shared" si="83"/>
        <v>885747.0870117537</v>
      </c>
      <c r="AD342" s="798">
        <f t="shared" si="83"/>
        <v>905748.93158539897</v>
      </c>
      <c r="AE342" s="798">
        <f t="shared" si="83"/>
        <v>906566.11643251986</v>
      </c>
      <c r="AF342" s="798">
        <f t="shared" si="83"/>
        <v>925323.1493590161</v>
      </c>
      <c r="AG342" s="798">
        <f t="shared" si="83"/>
        <v>946570.26938291499</v>
      </c>
      <c r="AH342" s="798">
        <f t="shared" si="83"/>
        <v>967731.95898330829</v>
      </c>
      <c r="AI342" s="798">
        <f t="shared" si="83"/>
        <v>968868.3475237746</v>
      </c>
      <c r="AJ342" s="798">
        <f t="shared" si="83"/>
        <v>988414.87017570797</v>
      </c>
      <c r="AK342" s="798">
        <f t="shared" si="83"/>
        <v>73328047.77925685</v>
      </c>
      <c r="AL342" s="798">
        <f t="shared" si="83"/>
        <v>0</v>
      </c>
      <c r="AM342" s="798">
        <f t="shared" si="83"/>
        <v>0</v>
      </c>
      <c r="AN342" s="798">
        <f t="shared" si="83"/>
        <v>0</v>
      </c>
      <c r="AO342" s="798">
        <f t="shared" si="83"/>
        <v>0</v>
      </c>
      <c r="AP342" s="798">
        <f t="shared" si="83"/>
        <v>0</v>
      </c>
      <c r="AQ342" s="798">
        <f t="shared" si="83"/>
        <v>0</v>
      </c>
      <c r="AR342" s="798">
        <f t="shared" si="83"/>
        <v>0</v>
      </c>
      <c r="AS342" s="798">
        <f t="shared" si="83"/>
        <v>0</v>
      </c>
      <c r="AT342" s="798">
        <f t="shared" si="83"/>
        <v>0</v>
      </c>
      <c r="AU342" s="798">
        <f t="shared" si="83"/>
        <v>0</v>
      </c>
      <c r="AV342" s="798">
        <f t="shared" si="83"/>
        <v>0</v>
      </c>
      <c r="AW342" s="798">
        <f t="shared" si="83"/>
        <v>0</v>
      </c>
      <c r="AX342" s="798"/>
    </row>
    <row r="343" spans="1:50" ht="12.75" customHeight="1" x14ac:dyDescent="0.3">
      <c r="A343" s="782"/>
      <c r="B343" s="796" t="s">
        <v>189</v>
      </c>
      <c r="C343" s="823">
        <f>'Venture Summary - Mthly'!C346</f>
        <v>0.20314757227897645</v>
      </c>
      <c r="D343" s="782"/>
      <c r="E343" s="798"/>
      <c r="F343" s="798"/>
      <c r="G343" s="798"/>
      <c r="H343" s="798"/>
      <c r="I343" s="798"/>
      <c r="J343" s="798"/>
      <c r="K343" s="798"/>
      <c r="L343" s="798"/>
      <c r="M343" s="798"/>
      <c r="N343" s="798"/>
      <c r="O343" s="798"/>
      <c r="P343" s="798"/>
      <c r="Q343" s="798"/>
      <c r="R343" s="798"/>
      <c r="S343" s="798"/>
      <c r="T343" s="798"/>
      <c r="U343" s="798"/>
      <c r="V343" s="798"/>
      <c r="W343" s="798"/>
      <c r="X343" s="798"/>
      <c r="Y343" s="798"/>
      <c r="Z343" s="798"/>
      <c r="AA343" s="798"/>
      <c r="AB343" s="798"/>
      <c r="AC343" s="798"/>
      <c r="AD343" s="798"/>
      <c r="AE343" s="798"/>
      <c r="AF343" s="798"/>
      <c r="AG343" s="798"/>
      <c r="AH343" s="798"/>
      <c r="AI343" s="798"/>
      <c r="AJ343" s="798"/>
      <c r="AK343" s="798"/>
      <c r="AL343" s="798"/>
      <c r="AM343" s="798"/>
      <c r="AN343" s="798"/>
      <c r="AO343" s="798"/>
      <c r="AP343" s="798"/>
      <c r="AQ343" s="798"/>
      <c r="AR343" s="798"/>
      <c r="AS343" s="798"/>
      <c r="AT343" s="798"/>
      <c r="AU343" s="798"/>
      <c r="AV343" s="798"/>
      <c r="AW343" s="798"/>
      <c r="AX343" s="798"/>
    </row>
    <row r="344" spans="1:50" ht="12.75" customHeight="1" x14ac:dyDescent="0.3">
      <c r="A344" s="782"/>
      <c r="B344" s="782"/>
      <c r="C344" s="798"/>
      <c r="D344" s="782"/>
      <c r="E344" s="798"/>
      <c r="F344" s="798"/>
      <c r="G344" s="798"/>
      <c r="H344" s="798"/>
      <c r="I344" s="798"/>
      <c r="J344" s="798"/>
      <c r="K344" s="798"/>
      <c r="L344" s="798"/>
      <c r="M344" s="798"/>
      <c r="N344" s="798"/>
      <c r="O344" s="798"/>
      <c r="P344" s="798"/>
      <c r="Q344" s="798"/>
      <c r="R344" s="798"/>
      <c r="S344" s="798"/>
      <c r="T344" s="798"/>
      <c r="U344" s="798"/>
      <c r="V344" s="798"/>
      <c r="W344" s="798"/>
      <c r="X344" s="798"/>
      <c r="Y344" s="798"/>
      <c r="Z344" s="798"/>
      <c r="AA344" s="798"/>
      <c r="AB344" s="798"/>
      <c r="AC344" s="798"/>
      <c r="AD344" s="798"/>
      <c r="AE344" s="798"/>
      <c r="AF344" s="798"/>
      <c r="AG344" s="798"/>
      <c r="AH344" s="798"/>
      <c r="AI344" s="798"/>
      <c r="AJ344" s="798"/>
      <c r="AK344" s="798"/>
      <c r="AL344" s="798"/>
      <c r="AM344" s="798"/>
      <c r="AN344" s="798"/>
      <c r="AO344" s="798"/>
      <c r="AP344" s="798"/>
      <c r="AQ344" s="798"/>
      <c r="AR344" s="798"/>
      <c r="AS344" s="798"/>
      <c r="AT344" s="798"/>
      <c r="AU344" s="798"/>
      <c r="AV344" s="798"/>
      <c r="AW344" s="798"/>
      <c r="AX344" s="798"/>
    </row>
    <row r="345" spans="1:50" ht="12.75" customHeight="1" x14ac:dyDescent="0.3">
      <c r="A345" s="782"/>
      <c r="B345" s="782" t="s">
        <v>190</v>
      </c>
      <c r="C345" s="798">
        <f>SUM(E345:AX345)</f>
        <v>-3022291.0014259885</v>
      </c>
      <c r="D345" s="782"/>
      <c r="E345" s="798">
        <f>E34</f>
        <v>0</v>
      </c>
      <c r="F345" s="798">
        <f t="shared" ref="F345:AW345" si="84">F34</f>
        <v>-12057.98117720588</v>
      </c>
      <c r="G345" s="798">
        <f t="shared" si="84"/>
        <v>-19339.650841703678</v>
      </c>
      <c r="H345" s="798">
        <f t="shared" si="84"/>
        <v>-25638.182348544109</v>
      </c>
      <c r="I345" s="798">
        <f t="shared" si="84"/>
        <v>-35795.918039641241</v>
      </c>
      <c r="J345" s="798">
        <f t="shared" si="84"/>
        <v>-47420.822135929848</v>
      </c>
      <c r="K345" s="798">
        <f t="shared" si="84"/>
        <v>-58036.515287854127</v>
      </c>
      <c r="L345" s="798">
        <f t="shared" si="84"/>
        <v>-66714.025257056273</v>
      </c>
      <c r="M345" s="798">
        <f t="shared" si="84"/>
        <v>-72571.935838606922</v>
      </c>
      <c r="N345" s="798">
        <f t="shared" si="84"/>
        <v>-75111.10127240271</v>
      </c>
      <c r="O345" s="798">
        <f t="shared" si="84"/>
        <v>-75301.561867479162</v>
      </c>
      <c r="P345" s="798">
        <f t="shared" si="84"/>
        <v>-84954.745431427044</v>
      </c>
      <c r="Q345" s="798">
        <f t="shared" si="84"/>
        <v>-105102.51898663165</v>
      </c>
      <c r="R345" s="798">
        <f t="shared" si="84"/>
        <v>-106296.69570221074</v>
      </c>
      <c r="S345" s="798">
        <f t="shared" si="84"/>
        <v>-107399.45991264915</v>
      </c>
      <c r="T345" s="798">
        <f t="shared" si="84"/>
        <v>-108459.49363629546</v>
      </c>
      <c r="U345" s="798">
        <f t="shared" si="84"/>
        <v>-109459.14447606722</v>
      </c>
      <c r="V345" s="798">
        <f t="shared" si="84"/>
        <v>-110456.62796629471</v>
      </c>
      <c r="W345" s="798">
        <f t="shared" si="84"/>
        <v>-111506.14487300673</v>
      </c>
      <c r="X345" s="798">
        <f t="shared" si="84"/>
        <v>-112609.27216550763</v>
      </c>
      <c r="Y345" s="798">
        <f t="shared" si="84"/>
        <v>-113776.02764974919</v>
      </c>
      <c r="Z345" s="798">
        <f t="shared" si="84"/>
        <v>-114988.31918288197</v>
      </c>
      <c r="AA345" s="798">
        <f t="shared" si="84"/>
        <v>-116224.42884953564</v>
      </c>
      <c r="AB345" s="798">
        <f t="shared" si="84"/>
        <v>-117468.61132962009</v>
      </c>
      <c r="AC345" s="798">
        <f t="shared" si="84"/>
        <v>-118728.75851133368</v>
      </c>
      <c r="AD345" s="798">
        <f t="shared" si="84"/>
        <v>-120005.43802332866</v>
      </c>
      <c r="AE345" s="798">
        <f t="shared" si="84"/>
        <v>-121295.81563724173</v>
      </c>
      <c r="AF345" s="798">
        <f t="shared" si="84"/>
        <v>-122593.4231073109</v>
      </c>
      <c r="AG345" s="798">
        <f t="shared" si="84"/>
        <v>-123907.65520179246</v>
      </c>
      <c r="AH345" s="798">
        <f t="shared" si="84"/>
        <v>-125239.10343226959</v>
      </c>
      <c r="AI345" s="798">
        <f t="shared" si="84"/>
        <v>-126584.82857090383</v>
      </c>
      <c r="AJ345" s="798">
        <f t="shared" si="84"/>
        <v>-127938.10376316879</v>
      </c>
      <c r="AK345" s="798">
        <f t="shared" si="84"/>
        <v>-129308.69095033838</v>
      </c>
      <c r="AL345" s="798">
        <f t="shared" si="84"/>
        <v>0</v>
      </c>
      <c r="AM345" s="798">
        <f t="shared" si="84"/>
        <v>0</v>
      </c>
      <c r="AN345" s="798">
        <f t="shared" si="84"/>
        <v>0</v>
      </c>
      <c r="AO345" s="798">
        <f t="shared" si="84"/>
        <v>0</v>
      </c>
      <c r="AP345" s="798">
        <f t="shared" si="84"/>
        <v>0</v>
      </c>
      <c r="AQ345" s="798">
        <f t="shared" si="84"/>
        <v>0</v>
      </c>
      <c r="AR345" s="798">
        <f t="shared" si="84"/>
        <v>0</v>
      </c>
      <c r="AS345" s="798">
        <f t="shared" si="84"/>
        <v>0</v>
      </c>
      <c r="AT345" s="798">
        <f t="shared" si="84"/>
        <v>0</v>
      </c>
      <c r="AU345" s="798">
        <f t="shared" si="84"/>
        <v>0</v>
      </c>
      <c r="AV345" s="798">
        <f t="shared" si="84"/>
        <v>0</v>
      </c>
      <c r="AW345" s="798">
        <f t="shared" si="84"/>
        <v>0</v>
      </c>
      <c r="AX345" s="798"/>
    </row>
    <row r="346" spans="1:50" ht="12.75" customHeight="1" x14ac:dyDescent="0.3">
      <c r="A346" s="782"/>
      <c r="B346" s="782" t="s">
        <v>191</v>
      </c>
      <c r="C346" s="798">
        <f>SUM(E346:AX346)</f>
        <v>-6868726.7816661661</v>
      </c>
      <c r="D346" s="782"/>
      <c r="E346" s="798">
        <f>-E215</f>
        <v>0</v>
      </c>
      <c r="F346" s="798">
        <f t="shared" ref="F346:AW346" si="85">-F215</f>
        <v>0</v>
      </c>
      <c r="G346" s="798">
        <f t="shared" si="85"/>
        <v>0</v>
      </c>
      <c r="H346" s="798">
        <f t="shared" si="85"/>
        <v>0</v>
      </c>
      <c r="I346" s="798">
        <f t="shared" si="85"/>
        <v>0</v>
      </c>
      <c r="J346" s="798">
        <f t="shared" si="85"/>
        <v>0</v>
      </c>
      <c r="K346" s="798">
        <f t="shared" si="85"/>
        <v>0</v>
      </c>
      <c r="L346" s="798">
        <f t="shared" si="85"/>
        <v>0</v>
      </c>
      <c r="M346" s="798">
        <f t="shared" si="85"/>
        <v>0</v>
      </c>
      <c r="N346" s="798">
        <f t="shared" si="85"/>
        <v>0</v>
      </c>
      <c r="O346" s="798">
        <f t="shared" si="85"/>
        <v>0</v>
      </c>
      <c r="P346" s="798">
        <f t="shared" si="85"/>
        <v>-6868726.7816661661</v>
      </c>
      <c r="Q346" s="798">
        <f t="shared" si="85"/>
        <v>0</v>
      </c>
      <c r="R346" s="798">
        <f t="shared" si="85"/>
        <v>0</v>
      </c>
      <c r="S346" s="798">
        <f t="shared" si="85"/>
        <v>0</v>
      </c>
      <c r="T346" s="798">
        <f t="shared" si="85"/>
        <v>0</v>
      </c>
      <c r="U346" s="798">
        <f t="shared" si="85"/>
        <v>0</v>
      </c>
      <c r="V346" s="798">
        <f t="shared" si="85"/>
        <v>0</v>
      </c>
      <c r="W346" s="798">
        <f t="shared" si="85"/>
        <v>0</v>
      </c>
      <c r="X346" s="798">
        <f t="shared" si="85"/>
        <v>0</v>
      </c>
      <c r="Y346" s="798">
        <f t="shared" si="85"/>
        <v>0</v>
      </c>
      <c r="Z346" s="798">
        <f t="shared" si="85"/>
        <v>0</v>
      </c>
      <c r="AA346" s="798">
        <f t="shared" si="85"/>
        <v>0</v>
      </c>
      <c r="AB346" s="798">
        <f t="shared" si="85"/>
        <v>0</v>
      </c>
      <c r="AC346" s="798">
        <f t="shared" si="85"/>
        <v>0</v>
      </c>
      <c r="AD346" s="798">
        <f t="shared" si="85"/>
        <v>0</v>
      </c>
      <c r="AE346" s="798">
        <f t="shared" si="85"/>
        <v>0</v>
      </c>
      <c r="AF346" s="798">
        <f t="shared" si="85"/>
        <v>0</v>
      </c>
      <c r="AG346" s="798">
        <f t="shared" si="85"/>
        <v>0</v>
      </c>
      <c r="AH346" s="798">
        <f t="shared" si="85"/>
        <v>0</v>
      </c>
      <c r="AI346" s="798">
        <f t="shared" si="85"/>
        <v>0</v>
      </c>
      <c r="AJ346" s="798">
        <f t="shared" si="85"/>
        <v>0</v>
      </c>
      <c r="AK346" s="798">
        <f t="shared" si="85"/>
        <v>0</v>
      </c>
      <c r="AL346" s="798">
        <f t="shared" si="85"/>
        <v>0</v>
      </c>
      <c r="AM346" s="798">
        <f t="shared" si="85"/>
        <v>0</v>
      </c>
      <c r="AN346" s="798">
        <f t="shared" si="85"/>
        <v>0</v>
      </c>
      <c r="AO346" s="798">
        <f t="shared" si="85"/>
        <v>0</v>
      </c>
      <c r="AP346" s="798">
        <f t="shared" si="85"/>
        <v>0</v>
      </c>
      <c r="AQ346" s="798">
        <f t="shared" si="85"/>
        <v>0</v>
      </c>
      <c r="AR346" s="798">
        <f t="shared" si="85"/>
        <v>0</v>
      </c>
      <c r="AS346" s="798">
        <f t="shared" si="85"/>
        <v>0</v>
      </c>
      <c r="AT346" s="798">
        <f t="shared" si="85"/>
        <v>0</v>
      </c>
      <c r="AU346" s="798">
        <f t="shared" si="85"/>
        <v>0</v>
      </c>
      <c r="AV346" s="798">
        <f t="shared" si="85"/>
        <v>0</v>
      </c>
      <c r="AW346" s="798">
        <f t="shared" si="85"/>
        <v>0</v>
      </c>
      <c r="AX346" s="798"/>
    </row>
    <row r="347" spans="1:50" ht="12.75" customHeight="1" x14ac:dyDescent="0.3">
      <c r="A347" s="782"/>
      <c r="B347" s="782" t="s">
        <v>192</v>
      </c>
      <c r="C347" s="798">
        <f>SUM(E347:AX347)</f>
        <v>-5736147.0869287392</v>
      </c>
      <c r="D347" s="782"/>
      <c r="E347" s="798">
        <f>-E247</f>
        <v>0</v>
      </c>
      <c r="F347" s="798">
        <f t="shared" ref="F347:AW347" si="86">-F247</f>
        <v>0</v>
      </c>
      <c r="G347" s="798">
        <f t="shared" si="86"/>
        <v>0</v>
      </c>
      <c r="H347" s="798">
        <f t="shared" si="86"/>
        <v>0</v>
      </c>
      <c r="I347" s="798">
        <f t="shared" si="86"/>
        <v>0</v>
      </c>
      <c r="J347" s="798">
        <f t="shared" si="86"/>
        <v>0</v>
      </c>
      <c r="K347" s="798">
        <f t="shared" si="86"/>
        <v>0</v>
      </c>
      <c r="L347" s="798">
        <f t="shared" si="86"/>
        <v>0</v>
      </c>
      <c r="M347" s="798">
        <f t="shared" si="86"/>
        <v>0</v>
      </c>
      <c r="N347" s="798">
        <f t="shared" si="86"/>
        <v>0</v>
      </c>
      <c r="O347" s="798">
        <f t="shared" si="86"/>
        <v>0</v>
      </c>
      <c r="P347" s="798">
        <f t="shared" si="86"/>
        <v>0</v>
      </c>
      <c r="Q347" s="798">
        <f t="shared" si="86"/>
        <v>0</v>
      </c>
      <c r="R347" s="798">
        <f t="shared" si="86"/>
        <v>0</v>
      </c>
      <c r="S347" s="798">
        <f t="shared" si="86"/>
        <v>0</v>
      </c>
      <c r="T347" s="798">
        <f t="shared" si="86"/>
        <v>0</v>
      </c>
      <c r="U347" s="798">
        <f t="shared" si="86"/>
        <v>0</v>
      </c>
      <c r="V347" s="798">
        <f t="shared" si="86"/>
        <v>0</v>
      </c>
      <c r="W347" s="798">
        <f t="shared" si="86"/>
        <v>0</v>
      </c>
      <c r="X347" s="798">
        <f t="shared" si="86"/>
        <v>0</v>
      </c>
      <c r="Y347" s="798">
        <f t="shared" si="86"/>
        <v>0</v>
      </c>
      <c r="Z347" s="798">
        <f t="shared" si="86"/>
        <v>0</v>
      </c>
      <c r="AA347" s="798">
        <f t="shared" si="86"/>
        <v>0</v>
      </c>
      <c r="AB347" s="798">
        <f t="shared" si="86"/>
        <v>0</v>
      </c>
      <c r="AC347" s="798">
        <f t="shared" si="86"/>
        <v>0</v>
      </c>
      <c r="AD347" s="798">
        <f t="shared" si="86"/>
        <v>0</v>
      </c>
      <c r="AE347" s="798">
        <f t="shared" si="86"/>
        <v>0</v>
      </c>
      <c r="AF347" s="798">
        <f t="shared" si="86"/>
        <v>0</v>
      </c>
      <c r="AG347" s="798">
        <f t="shared" si="86"/>
        <v>0</v>
      </c>
      <c r="AH347" s="798">
        <f t="shared" si="86"/>
        <v>0</v>
      </c>
      <c r="AI347" s="798">
        <f t="shared" si="86"/>
        <v>0</v>
      </c>
      <c r="AJ347" s="798">
        <f t="shared" si="86"/>
        <v>0</v>
      </c>
      <c r="AK347" s="798">
        <f t="shared" si="86"/>
        <v>-5736147.0869287392</v>
      </c>
      <c r="AL347" s="798">
        <f t="shared" si="86"/>
        <v>0</v>
      </c>
      <c r="AM347" s="798">
        <f t="shared" si="86"/>
        <v>0</v>
      </c>
      <c r="AN347" s="798">
        <f t="shared" si="86"/>
        <v>0</v>
      </c>
      <c r="AO347" s="798">
        <f t="shared" si="86"/>
        <v>0</v>
      </c>
      <c r="AP347" s="798">
        <f t="shared" si="86"/>
        <v>0</v>
      </c>
      <c r="AQ347" s="798">
        <f t="shared" si="86"/>
        <v>0</v>
      </c>
      <c r="AR347" s="798">
        <f t="shared" si="86"/>
        <v>0</v>
      </c>
      <c r="AS347" s="798">
        <f t="shared" si="86"/>
        <v>0</v>
      </c>
      <c r="AT347" s="798">
        <f t="shared" si="86"/>
        <v>0</v>
      </c>
      <c r="AU347" s="798">
        <f t="shared" si="86"/>
        <v>0</v>
      </c>
      <c r="AV347" s="798">
        <f t="shared" si="86"/>
        <v>0</v>
      </c>
      <c r="AW347" s="798">
        <f t="shared" si="86"/>
        <v>0</v>
      </c>
      <c r="AX347" s="798"/>
    </row>
    <row r="348" spans="1:50" ht="12.75" customHeight="1" x14ac:dyDescent="0.3">
      <c r="A348" s="782"/>
      <c r="B348" s="821" t="s">
        <v>193</v>
      </c>
      <c r="C348" s="822">
        <f>SUM(E348:AX348)</f>
        <v>56038754.547074482</v>
      </c>
      <c r="D348" s="821"/>
      <c r="E348" s="822">
        <f>E342+SUM(E345:E347)</f>
        <v>-1943435.5218400576</v>
      </c>
      <c r="F348" s="822">
        <f t="shared" ref="F348:AW348" si="87">F342+SUM(F345:F347)</f>
        <v>-16439275.889004553</v>
      </c>
      <c r="G348" s="822">
        <f t="shared" si="87"/>
        <v>-5353413.4459025264</v>
      </c>
      <c r="H348" s="822">
        <f t="shared" si="87"/>
        <v>-9472150.2761177849</v>
      </c>
      <c r="I348" s="822">
        <f t="shared" si="87"/>
        <v>-2137816.1256360402</v>
      </c>
      <c r="J348" s="822">
        <f t="shared" si="87"/>
        <v>-72420.82230457374</v>
      </c>
      <c r="K348" s="822">
        <f t="shared" si="87"/>
        <v>-83036.515302760876</v>
      </c>
      <c r="L348" s="822">
        <f t="shared" si="87"/>
        <v>-91714.024932564862</v>
      </c>
      <c r="M348" s="822">
        <f t="shared" si="87"/>
        <v>-53458.906785299783</v>
      </c>
      <c r="N348" s="822">
        <f t="shared" si="87"/>
        <v>333905.82129426824</v>
      </c>
      <c r="O348" s="822">
        <f t="shared" si="87"/>
        <v>805484.1203940186</v>
      </c>
      <c r="P348" s="822">
        <f t="shared" si="87"/>
        <v>8304040.105104289</v>
      </c>
      <c r="Q348" s="822">
        <f t="shared" si="87"/>
        <v>623346.85292693262</v>
      </c>
      <c r="R348" s="822">
        <f t="shared" si="87"/>
        <v>645086.61329542066</v>
      </c>
      <c r="S348" s="822">
        <f t="shared" si="87"/>
        <v>644215.54607378738</v>
      </c>
      <c r="T348" s="822">
        <f t="shared" si="87"/>
        <v>661902.09947439213</v>
      </c>
      <c r="U348" s="822">
        <f t="shared" si="87"/>
        <v>679519.10289103328</v>
      </c>
      <c r="V348" s="822">
        <f t="shared" si="87"/>
        <v>694204.81009246386</v>
      </c>
      <c r="W348" s="822">
        <f t="shared" si="87"/>
        <v>689738.61611527018</v>
      </c>
      <c r="X348" s="822">
        <f t="shared" si="87"/>
        <v>701794.01382499503</v>
      </c>
      <c r="Y348" s="822">
        <f t="shared" si="87"/>
        <v>717065.29189360037</v>
      </c>
      <c r="Z348" s="822">
        <f t="shared" si="87"/>
        <v>733551.69515324535</v>
      </c>
      <c r="AA348" s="822">
        <f t="shared" si="87"/>
        <v>732080.37063951523</v>
      </c>
      <c r="AB348" s="822">
        <f t="shared" si="87"/>
        <v>748271.41014259262</v>
      </c>
      <c r="AC348" s="822">
        <f t="shared" si="87"/>
        <v>767018.32850041997</v>
      </c>
      <c r="AD348" s="822">
        <f t="shared" si="87"/>
        <v>785743.4935620703</v>
      </c>
      <c r="AE348" s="822">
        <f t="shared" si="87"/>
        <v>785270.30079527816</v>
      </c>
      <c r="AF348" s="822">
        <f t="shared" si="87"/>
        <v>802729.7262517052</v>
      </c>
      <c r="AG348" s="822">
        <f t="shared" si="87"/>
        <v>822662.61418112251</v>
      </c>
      <c r="AH348" s="822">
        <f t="shared" si="87"/>
        <v>842492.85555103864</v>
      </c>
      <c r="AI348" s="822">
        <f t="shared" si="87"/>
        <v>842283.51895287074</v>
      </c>
      <c r="AJ348" s="822">
        <f t="shared" si="87"/>
        <v>860476.76641253917</v>
      </c>
      <c r="AK348" s="822">
        <f t="shared" si="87"/>
        <v>67462592.001377776</v>
      </c>
      <c r="AL348" s="822">
        <f t="shared" si="87"/>
        <v>0</v>
      </c>
      <c r="AM348" s="822">
        <f t="shared" si="87"/>
        <v>0</v>
      </c>
      <c r="AN348" s="822">
        <f t="shared" si="87"/>
        <v>0</v>
      </c>
      <c r="AO348" s="822">
        <f t="shared" si="87"/>
        <v>0</v>
      </c>
      <c r="AP348" s="822">
        <f t="shared" si="87"/>
        <v>0</v>
      </c>
      <c r="AQ348" s="822">
        <f t="shared" si="87"/>
        <v>0</v>
      </c>
      <c r="AR348" s="822">
        <f t="shared" si="87"/>
        <v>0</v>
      </c>
      <c r="AS348" s="822">
        <f t="shared" si="87"/>
        <v>0</v>
      </c>
      <c r="AT348" s="822">
        <f t="shared" si="87"/>
        <v>0</v>
      </c>
      <c r="AU348" s="822">
        <f t="shared" si="87"/>
        <v>0</v>
      </c>
      <c r="AV348" s="822">
        <f t="shared" si="87"/>
        <v>0</v>
      </c>
      <c r="AW348" s="822">
        <f t="shared" si="87"/>
        <v>0</v>
      </c>
      <c r="AX348" s="798"/>
    </row>
    <row r="349" spans="1:50" ht="12.75" customHeight="1" x14ac:dyDescent="0.3">
      <c r="A349" s="782"/>
      <c r="B349" s="782"/>
      <c r="C349" s="798"/>
      <c r="D349" s="782"/>
      <c r="E349" s="798"/>
      <c r="F349" s="798"/>
      <c r="G349" s="798"/>
      <c r="H349" s="798"/>
      <c r="I349" s="798"/>
      <c r="J349" s="798"/>
      <c r="K349" s="798"/>
      <c r="L349" s="798"/>
      <c r="M349" s="798"/>
      <c r="N349" s="798"/>
      <c r="O349" s="798"/>
      <c r="P349" s="798"/>
      <c r="Q349" s="798"/>
      <c r="R349" s="798"/>
      <c r="S349" s="798"/>
      <c r="T349" s="798"/>
      <c r="U349" s="798"/>
      <c r="V349" s="798"/>
      <c r="W349" s="798"/>
      <c r="X349" s="798"/>
      <c r="Y349" s="798"/>
      <c r="Z349" s="798"/>
      <c r="AA349" s="798"/>
      <c r="AB349" s="798"/>
      <c r="AC349" s="798"/>
      <c r="AD349" s="798"/>
      <c r="AE349" s="798"/>
      <c r="AF349" s="798"/>
      <c r="AG349" s="798"/>
      <c r="AH349" s="798"/>
      <c r="AI349" s="798"/>
      <c r="AJ349" s="798"/>
      <c r="AK349" s="798"/>
      <c r="AL349" s="798"/>
      <c r="AM349" s="798"/>
      <c r="AN349" s="798"/>
      <c r="AO349" s="798"/>
      <c r="AP349" s="798"/>
      <c r="AQ349" s="798"/>
      <c r="AR349" s="798"/>
      <c r="AS349" s="798"/>
      <c r="AT349" s="798"/>
      <c r="AU349" s="798"/>
      <c r="AV349" s="798"/>
      <c r="AW349" s="798"/>
      <c r="AX349" s="798"/>
    </row>
    <row r="350" spans="1:50" ht="12.75" customHeight="1" x14ac:dyDescent="0.3">
      <c r="A350" s="782"/>
      <c r="B350" s="782" t="s">
        <v>194</v>
      </c>
      <c r="C350" s="798">
        <f>SUM(E350:AX350)</f>
        <v>13953649.88222155</v>
      </c>
      <c r="D350" s="782"/>
      <c r="E350" s="798">
        <f>E348*'Venture Assumptions'!$F$11</f>
        <v>-483915.44493817433</v>
      </c>
      <c r="F350" s="798">
        <f>F348*'Venture Assumptions'!$F$11</f>
        <v>-4093379.6963621336</v>
      </c>
      <c r="G350" s="798">
        <f>G348*'Venture Assumptions'!$F$11</f>
        <v>-1332999.9480297291</v>
      </c>
      <c r="H350" s="798">
        <f>H348*'Venture Assumptions'!$F$11</f>
        <v>-2358565.4187533283</v>
      </c>
      <c r="I350" s="798">
        <f>I348*'Venture Assumptions'!$F$11</f>
        <v>-532316.21528337407</v>
      </c>
      <c r="J350" s="798">
        <f>J348*'Venture Assumptions'!$F$11</f>
        <v>-18032.78475383886</v>
      </c>
      <c r="K350" s="798">
        <f>K348*'Venture Assumptions'!$F$11</f>
        <v>-20676.092310387459</v>
      </c>
      <c r="L350" s="798">
        <f>L348*'Venture Assumptions'!$F$11</f>
        <v>-22836.792208208652</v>
      </c>
      <c r="M350" s="798">
        <f>M348*'Venture Assumptions'!$F$11</f>
        <v>-13311.267789539646</v>
      </c>
      <c r="N350" s="798">
        <f>N348*'Venture Assumptions'!$F$11</f>
        <v>83142.549502272799</v>
      </c>
      <c r="O350" s="798">
        <f>O348*'Venture Assumptions'!$F$11</f>
        <v>200565.54597811063</v>
      </c>
      <c r="P350" s="798">
        <f>P348*'Venture Assumptions'!$F$11</f>
        <v>2067705.986170968</v>
      </c>
      <c r="Q350" s="798">
        <f>Q348*'Venture Assumptions'!$F$11</f>
        <v>155213.36637880621</v>
      </c>
      <c r="R350" s="798">
        <f>R348*'Venture Assumptions'!$F$11</f>
        <v>160626.56671055974</v>
      </c>
      <c r="S350" s="798">
        <f>S348*'Venture Assumptions'!$F$11</f>
        <v>160409.67097237305</v>
      </c>
      <c r="T350" s="798">
        <f>T348*'Venture Assumptions'!$F$11</f>
        <v>164813.62276912364</v>
      </c>
      <c r="U350" s="798">
        <f>U348*'Venture Assumptions'!$F$11</f>
        <v>169200.25661986729</v>
      </c>
      <c r="V350" s="798">
        <f>V348*'Venture Assumptions'!$F$11</f>
        <v>172856.99771302351</v>
      </c>
      <c r="W350" s="798">
        <f>W348*'Venture Assumptions'!$F$11</f>
        <v>171744.91541270228</v>
      </c>
      <c r="X350" s="798">
        <f>X348*'Venture Assumptions'!$F$11</f>
        <v>174746.70944242377</v>
      </c>
      <c r="Y350" s="798">
        <f>Y348*'Venture Assumptions'!$F$11</f>
        <v>178549.25768150648</v>
      </c>
      <c r="Z350" s="798">
        <f>Z348*'Venture Assumptions'!$F$11</f>
        <v>182654.3720931581</v>
      </c>
      <c r="AA350" s="798">
        <f>AA348*'Venture Assumptions'!$F$11</f>
        <v>182288.0122892393</v>
      </c>
      <c r="AB350" s="798">
        <f>AB348*'Venture Assumptions'!$F$11</f>
        <v>186319.58112550556</v>
      </c>
      <c r="AC350" s="798">
        <f>AC348*'Venture Assumptions'!$F$11</f>
        <v>190987.56379660458</v>
      </c>
      <c r="AD350" s="798">
        <f>AD348*'Venture Assumptions'!$F$11</f>
        <v>195650.12989695551</v>
      </c>
      <c r="AE350" s="798">
        <f>AE348*'Venture Assumptions'!$F$11</f>
        <v>195532.30489802427</v>
      </c>
      <c r="AF350" s="798">
        <f>AF348*'Venture Assumptions'!$F$11</f>
        <v>199879.70183667459</v>
      </c>
      <c r="AG350" s="798">
        <f>AG348*'Venture Assumptions'!$F$11</f>
        <v>204842.99093109951</v>
      </c>
      <c r="AH350" s="798">
        <f>AH348*'Venture Assumptions'!$F$11</f>
        <v>209780.72103220862</v>
      </c>
      <c r="AI350" s="798">
        <f>AI348*'Venture Assumptions'!$F$11</f>
        <v>209728.59621926481</v>
      </c>
      <c r="AJ350" s="798">
        <f>AJ348*'Venture Assumptions'!$F$11</f>
        <v>214258.71483672224</v>
      </c>
      <c r="AK350" s="798">
        <f>AK348*'Venture Assumptions'!$F$11</f>
        <v>16798185.408343066</v>
      </c>
      <c r="AL350" s="798">
        <f>AL348*'Venture Assumptions'!$F$11</f>
        <v>0</v>
      </c>
      <c r="AM350" s="798">
        <f>AM348*'Venture Assumptions'!$F$11</f>
        <v>0</v>
      </c>
      <c r="AN350" s="798">
        <f>AN348*'Venture Assumptions'!$F$11</f>
        <v>0</v>
      </c>
      <c r="AO350" s="798">
        <f>AO348*'Venture Assumptions'!$F$11</f>
        <v>0</v>
      </c>
      <c r="AP350" s="798">
        <f>AP348*'Venture Assumptions'!$F$11</f>
        <v>0</v>
      </c>
      <c r="AQ350" s="798">
        <f>AQ348*'Venture Assumptions'!$F$11</f>
        <v>0</v>
      </c>
      <c r="AR350" s="798">
        <f>AR348*'Venture Assumptions'!$F$11</f>
        <v>0</v>
      </c>
      <c r="AS350" s="798">
        <f>AS348*'Venture Assumptions'!$F$11</f>
        <v>0</v>
      </c>
      <c r="AT350" s="798">
        <f>AT348*'Venture Assumptions'!$F$11</f>
        <v>0</v>
      </c>
      <c r="AU350" s="798">
        <f>AU348*'Venture Assumptions'!$F$11</f>
        <v>0</v>
      </c>
      <c r="AV350" s="798">
        <f>AV348*'Venture Assumptions'!$F$11</f>
        <v>0</v>
      </c>
      <c r="AW350" s="798">
        <f>AW348*'Venture Assumptions'!$F$11</f>
        <v>0</v>
      </c>
      <c r="AX350" s="798"/>
    </row>
    <row r="351" spans="1:50" ht="12.75" customHeight="1" x14ac:dyDescent="0.3">
      <c r="A351" s="782"/>
      <c r="B351" s="829" t="s">
        <v>195</v>
      </c>
      <c r="C351" s="830">
        <f>'Venture Summary - Mthly'!C354</f>
        <v>0.15838249325752266</v>
      </c>
      <c r="D351" s="782"/>
      <c r="E351" s="798"/>
      <c r="F351" s="798"/>
      <c r="G351" s="798"/>
      <c r="H351" s="798"/>
      <c r="I351" s="798"/>
      <c r="J351" s="798"/>
      <c r="K351" s="798"/>
      <c r="L351" s="798"/>
      <c r="M351" s="798"/>
      <c r="N351" s="798"/>
      <c r="O351" s="798"/>
      <c r="P351" s="798"/>
      <c r="Q351" s="798"/>
      <c r="R351" s="798"/>
      <c r="S351" s="798"/>
      <c r="T351" s="798"/>
      <c r="U351" s="798"/>
      <c r="V351" s="798"/>
      <c r="W351" s="798"/>
      <c r="X351" s="798"/>
      <c r="Y351" s="798"/>
      <c r="Z351" s="798"/>
      <c r="AA351" s="798"/>
      <c r="AB351" s="798"/>
      <c r="AC351" s="798"/>
      <c r="AD351" s="798"/>
      <c r="AE351" s="798"/>
      <c r="AF351" s="798"/>
      <c r="AG351" s="798"/>
      <c r="AH351" s="798"/>
      <c r="AI351" s="798"/>
      <c r="AJ351" s="798"/>
      <c r="AK351" s="798"/>
      <c r="AL351" s="798"/>
      <c r="AM351" s="798"/>
      <c r="AN351" s="798"/>
      <c r="AO351" s="798"/>
      <c r="AP351" s="798"/>
      <c r="AQ351" s="798"/>
      <c r="AR351" s="798"/>
      <c r="AS351" s="798"/>
      <c r="AT351" s="798"/>
      <c r="AU351" s="798"/>
      <c r="AV351" s="798"/>
      <c r="AW351" s="798"/>
      <c r="AX351" s="798"/>
    </row>
    <row r="352" spans="1:50" ht="12.75" customHeight="1" x14ac:dyDescent="0.3">
      <c r="A352" s="782"/>
      <c r="B352" s="831" t="s">
        <v>196</v>
      </c>
      <c r="C352" s="832">
        <f>'Venture Summary - Mthly'!C355</f>
        <v>2.3311944189841349</v>
      </c>
      <c r="D352" s="782"/>
      <c r="E352" s="798"/>
      <c r="F352" s="798"/>
      <c r="G352" s="798"/>
      <c r="H352" s="798"/>
      <c r="I352" s="798"/>
      <c r="J352" s="798"/>
      <c r="K352" s="798"/>
      <c r="L352" s="798"/>
      <c r="M352" s="798"/>
      <c r="N352" s="798"/>
      <c r="O352" s="798"/>
      <c r="P352" s="798"/>
      <c r="Q352" s="798"/>
      <c r="R352" s="798"/>
      <c r="S352" s="798"/>
      <c r="T352" s="798"/>
      <c r="U352" s="798"/>
      <c r="V352" s="798"/>
      <c r="W352" s="798"/>
      <c r="X352" s="798"/>
      <c r="Y352" s="798"/>
      <c r="Z352" s="798"/>
      <c r="AA352" s="798"/>
      <c r="AB352" s="798"/>
      <c r="AC352" s="798"/>
      <c r="AD352" s="798"/>
      <c r="AE352" s="798"/>
      <c r="AF352" s="798"/>
      <c r="AG352" s="798"/>
      <c r="AH352" s="798"/>
      <c r="AI352" s="798"/>
      <c r="AJ352" s="798"/>
      <c r="AK352" s="798"/>
      <c r="AL352" s="798"/>
      <c r="AM352" s="798"/>
      <c r="AN352" s="798"/>
      <c r="AO352" s="798"/>
      <c r="AP352" s="798"/>
      <c r="AQ352" s="798"/>
      <c r="AR352" s="798"/>
      <c r="AS352" s="798"/>
      <c r="AT352" s="798"/>
      <c r="AU352" s="798"/>
      <c r="AV352" s="798"/>
      <c r="AW352" s="798"/>
      <c r="AX352" s="798"/>
    </row>
    <row r="353" spans="1:50" ht="12.75" customHeight="1" x14ac:dyDescent="0.3">
      <c r="A353" s="782"/>
      <c r="B353" s="782"/>
      <c r="C353" s="798"/>
      <c r="D353" s="782"/>
      <c r="E353" s="798"/>
      <c r="F353" s="798"/>
      <c r="G353" s="798"/>
      <c r="H353" s="798"/>
      <c r="I353" s="798"/>
      <c r="J353" s="798"/>
      <c r="K353" s="798"/>
      <c r="L353" s="798"/>
      <c r="M353" s="798"/>
      <c r="N353" s="798"/>
      <c r="O353" s="798"/>
      <c r="P353" s="798"/>
      <c r="Q353" s="798"/>
      <c r="R353" s="798"/>
      <c r="S353" s="798"/>
      <c r="T353" s="798"/>
      <c r="U353" s="798"/>
      <c r="V353" s="798"/>
      <c r="W353" s="798"/>
      <c r="X353" s="798"/>
      <c r="Y353" s="798"/>
      <c r="Z353" s="798"/>
      <c r="AA353" s="798"/>
      <c r="AB353" s="798"/>
      <c r="AC353" s="798"/>
      <c r="AD353" s="798"/>
      <c r="AE353" s="798"/>
      <c r="AF353" s="798"/>
      <c r="AG353" s="798"/>
      <c r="AH353" s="798"/>
      <c r="AI353" s="798"/>
      <c r="AJ353" s="798"/>
      <c r="AK353" s="798"/>
      <c r="AL353" s="798"/>
      <c r="AM353" s="798"/>
      <c r="AN353" s="798"/>
      <c r="AO353" s="798"/>
      <c r="AP353" s="798"/>
      <c r="AQ353" s="798"/>
      <c r="AR353" s="798"/>
      <c r="AS353" s="798"/>
      <c r="AT353" s="798"/>
      <c r="AU353" s="798"/>
      <c r="AV353" s="798"/>
      <c r="AW353" s="798"/>
      <c r="AX353" s="798"/>
    </row>
    <row r="354" spans="1:50" s="273" customFormat="1" ht="12.75" customHeight="1" x14ac:dyDescent="0.3">
      <c r="A354" s="796"/>
      <c r="B354" s="796" t="s">
        <v>197</v>
      </c>
      <c r="C354" s="813">
        <f>SUM(E354:AX354)</f>
        <v>42085104.664852932</v>
      </c>
      <c r="D354" s="796"/>
      <c r="E354" s="813">
        <f>E348*'Venture Assumptions'!$F$12</f>
        <v>-1459520.0769018831</v>
      </c>
      <c r="F354" s="813">
        <f>F348*'Venture Assumptions'!$F$12</f>
        <v>-12345896.192642419</v>
      </c>
      <c r="G354" s="813">
        <f>G348*'Venture Assumptions'!$F$12</f>
        <v>-4020413.4978727973</v>
      </c>
      <c r="H354" s="813">
        <f>H348*'Venture Assumptions'!$F$12</f>
        <v>-7113584.8573644562</v>
      </c>
      <c r="I354" s="813">
        <f>I348*'Venture Assumptions'!$F$12</f>
        <v>-1605499.9103526662</v>
      </c>
      <c r="J354" s="813">
        <f>J348*'Venture Assumptions'!$F$12</f>
        <v>-54388.03755073488</v>
      </c>
      <c r="K354" s="813">
        <f>K348*'Venture Assumptions'!$F$12</f>
        <v>-62360.422992373416</v>
      </c>
      <c r="L354" s="813">
        <f>L348*'Venture Assumptions'!$F$12</f>
        <v>-68877.232724356218</v>
      </c>
      <c r="M354" s="813">
        <f>M348*'Venture Assumptions'!$F$12</f>
        <v>-40147.638995760135</v>
      </c>
      <c r="N354" s="813">
        <f>N348*'Venture Assumptions'!$F$12</f>
        <v>250763.27179199544</v>
      </c>
      <c r="O354" s="813">
        <f>O348*'Venture Assumptions'!$F$12</f>
        <v>604918.57441590796</v>
      </c>
      <c r="P354" s="813">
        <f>P348*'Venture Assumptions'!$F$12</f>
        <v>6236334.118933321</v>
      </c>
      <c r="Q354" s="813">
        <f>Q348*'Venture Assumptions'!$F$12</f>
        <v>468133.48654812638</v>
      </c>
      <c r="R354" s="813">
        <f>R348*'Venture Assumptions'!$F$12</f>
        <v>484460.04658486089</v>
      </c>
      <c r="S354" s="813">
        <f>S348*'Venture Assumptions'!$F$12</f>
        <v>483805.87510141433</v>
      </c>
      <c r="T354" s="813">
        <f>T348*'Venture Assumptions'!$F$12</f>
        <v>497088.47670526849</v>
      </c>
      <c r="U354" s="813">
        <f>U348*'Venture Assumptions'!$F$12</f>
        <v>510318.846271166</v>
      </c>
      <c r="V354" s="813">
        <f>V348*'Venture Assumptions'!$F$12</f>
        <v>521347.81237944035</v>
      </c>
      <c r="W354" s="813">
        <f>W348*'Venture Assumptions'!$F$12</f>
        <v>517993.70070256793</v>
      </c>
      <c r="X354" s="813">
        <f>X348*'Venture Assumptions'!$F$12</f>
        <v>527047.30438257125</v>
      </c>
      <c r="Y354" s="813">
        <f>Y348*'Venture Assumptions'!$F$12</f>
        <v>538516.03421209392</v>
      </c>
      <c r="Z354" s="813">
        <f>Z348*'Venture Assumptions'!$F$12</f>
        <v>550897.32306008728</v>
      </c>
      <c r="AA354" s="813">
        <f>AA348*'Venture Assumptions'!$F$12</f>
        <v>549792.3583502759</v>
      </c>
      <c r="AB354" s="813">
        <f>AB348*'Venture Assumptions'!$F$12</f>
        <v>561951.829017087</v>
      </c>
      <c r="AC354" s="813">
        <f>AC348*'Venture Assumptions'!$F$12</f>
        <v>576030.76470381545</v>
      </c>
      <c r="AD354" s="813">
        <f>AD348*'Venture Assumptions'!$F$12</f>
        <v>590093.36366511486</v>
      </c>
      <c r="AE354" s="813">
        <f>AE348*'Venture Assumptions'!$F$12</f>
        <v>589737.99589725386</v>
      </c>
      <c r="AF354" s="813">
        <f>AF348*'Venture Assumptions'!$F$12</f>
        <v>602850.02441503061</v>
      </c>
      <c r="AG354" s="813">
        <f>AG348*'Venture Assumptions'!$F$12</f>
        <v>617819.623250023</v>
      </c>
      <c r="AH354" s="813">
        <f>AH348*'Venture Assumptions'!$F$12</f>
        <v>632712.13451882999</v>
      </c>
      <c r="AI354" s="813">
        <f>AI348*'Venture Assumptions'!$F$12</f>
        <v>632554.92273360596</v>
      </c>
      <c r="AJ354" s="813">
        <f>AJ348*'Venture Assumptions'!$F$12</f>
        <v>646218.05157581693</v>
      </c>
      <c r="AK354" s="813">
        <f>AK348*'Venture Assumptions'!$F$12</f>
        <v>50664406.593034707</v>
      </c>
      <c r="AL354" s="813">
        <f>AL348*'Venture Assumptions'!$F$12</f>
        <v>0</v>
      </c>
      <c r="AM354" s="813">
        <f>AM348*'Venture Assumptions'!$F$12</f>
        <v>0</v>
      </c>
      <c r="AN354" s="813">
        <f>AN348*'Venture Assumptions'!$F$12</f>
        <v>0</v>
      </c>
      <c r="AO354" s="813">
        <f>AO348*'Venture Assumptions'!$F$12</f>
        <v>0</v>
      </c>
      <c r="AP354" s="813">
        <f>AP348*'Venture Assumptions'!$F$12</f>
        <v>0</v>
      </c>
      <c r="AQ354" s="813">
        <f>AQ348*'Venture Assumptions'!$F$12</f>
        <v>0</v>
      </c>
      <c r="AR354" s="813">
        <f>AR348*'Venture Assumptions'!$F$12</f>
        <v>0</v>
      </c>
      <c r="AS354" s="813">
        <f>AS348*'Venture Assumptions'!$F$12</f>
        <v>0</v>
      </c>
      <c r="AT354" s="813">
        <f>AT348*'Venture Assumptions'!$F$12</f>
        <v>0</v>
      </c>
      <c r="AU354" s="813">
        <f>AU348*'Venture Assumptions'!$F$12</f>
        <v>0</v>
      </c>
      <c r="AV354" s="813">
        <f>AV348*'Venture Assumptions'!$F$12</f>
        <v>0</v>
      </c>
      <c r="AW354" s="813">
        <f>AW348*'Venture Assumptions'!$F$12</f>
        <v>0</v>
      </c>
      <c r="AX354" s="813"/>
    </row>
    <row r="355" spans="1:50" s="273" customFormat="1" ht="12.75" customHeight="1" x14ac:dyDescent="0.3">
      <c r="A355" s="796"/>
      <c r="B355" s="833" t="s">
        <v>198</v>
      </c>
      <c r="C355" s="834">
        <f>'Venture Summary - Mthly'!C358</f>
        <v>0.15838249325752266</v>
      </c>
      <c r="D355" s="796"/>
      <c r="E355" s="813"/>
      <c r="F355" s="813"/>
      <c r="G355" s="813"/>
      <c r="H355" s="813"/>
      <c r="I355" s="813"/>
      <c r="J355" s="813"/>
      <c r="K355" s="813"/>
      <c r="L355" s="813"/>
      <c r="M355" s="813"/>
      <c r="N355" s="813"/>
      <c r="O355" s="813"/>
      <c r="P355" s="813"/>
      <c r="Q355" s="813"/>
      <c r="R355" s="813"/>
      <c r="S355" s="813"/>
      <c r="T355" s="813"/>
      <c r="U355" s="813"/>
      <c r="V355" s="813"/>
      <c r="W355" s="813"/>
      <c r="X355" s="813"/>
      <c r="Y355" s="813"/>
      <c r="Z355" s="813"/>
      <c r="AA355" s="813"/>
      <c r="AB355" s="813"/>
      <c r="AC355" s="813"/>
      <c r="AD355" s="813"/>
      <c r="AE355" s="813"/>
      <c r="AF355" s="813"/>
      <c r="AG355" s="813"/>
      <c r="AH355" s="813"/>
      <c r="AI355" s="813"/>
      <c r="AJ355" s="813"/>
      <c r="AK355" s="813"/>
      <c r="AL355" s="813"/>
      <c r="AM355" s="813"/>
      <c r="AN355" s="813"/>
      <c r="AO355" s="813"/>
      <c r="AP355" s="813"/>
      <c r="AQ355" s="813"/>
      <c r="AR355" s="813"/>
      <c r="AS355" s="813"/>
      <c r="AT355" s="813"/>
      <c r="AU355" s="813"/>
      <c r="AV355" s="813"/>
      <c r="AW355" s="813"/>
      <c r="AX355" s="813"/>
    </row>
    <row r="356" spans="1:50" s="273" customFormat="1" ht="12.75" customHeight="1" x14ac:dyDescent="0.3">
      <c r="A356" s="796"/>
      <c r="B356" s="835" t="s">
        <v>199</v>
      </c>
      <c r="C356" s="836">
        <f>'Venture Summary - Mthly'!C359</f>
        <v>2.3311944189841349</v>
      </c>
      <c r="D356" s="796"/>
      <c r="E356" s="813"/>
      <c r="F356" s="813"/>
      <c r="G356" s="813"/>
      <c r="H356" s="813"/>
      <c r="I356" s="813"/>
      <c r="J356" s="813"/>
      <c r="K356" s="813"/>
      <c r="L356" s="813"/>
      <c r="M356" s="813"/>
      <c r="N356" s="813"/>
      <c r="O356" s="813"/>
      <c r="P356" s="813"/>
      <c r="Q356" s="813"/>
      <c r="R356" s="813"/>
      <c r="S356" s="813"/>
      <c r="T356" s="813"/>
      <c r="U356" s="813"/>
      <c r="V356" s="813"/>
      <c r="W356" s="813"/>
      <c r="X356" s="813"/>
      <c r="Y356" s="813"/>
      <c r="Z356" s="813"/>
      <c r="AA356" s="813"/>
      <c r="AB356" s="813"/>
      <c r="AC356" s="813"/>
      <c r="AD356" s="813"/>
      <c r="AE356" s="813"/>
      <c r="AF356" s="813"/>
      <c r="AG356" s="813"/>
      <c r="AH356" s="813"/>
      <c r="AI356" s="813"/>
      <c r="AJ356" s="813"/>
      <c r="AK356" s="813"/>
      <c r="AL356" s="813"/>
      <c r="AM356" s="813"/>
      <c r="AN356" s="813"/>
      <c r="AO356" s="813"/>
      <c r="AP356" s="813"/>
      <c r="AQ356" s="813"/>
      <c r="AR356" s="813"/>
      <c r="AS356" s="813"/>
      <c r="AT356" s="813"/>
      <c r="AU356" s="813"/>
      <c r="AV356" s="813"/>
      <c r="AW356" s="813"/>
      <c r="AX356" s="813"/>
    </row>
    <row r="357" spans="1:50" ht="12.75" customHeight="1" x14ac:dyDescent="0.3">
      <c r="A357" s="782"/>
      <c r="B357" s="782"/>
      <c r="C357" s="798"/>
      <c r="D357" s="782"/>
      <c r="E357" s="798"/>
      <c r="F357" s="798"/>
      <c r="G357" s="798"/>
      <c r="H357" s="798"/>
      <c r="I357" s="798"/>
      <c r="J357" s="798"/>
      <c r="K357" s="798"/>
      <c r="L357" s="798"/>
      <c r="M357" s="798"/>
      <c r="N357" s="798"/>
      <c r="O357" s="798"/>
      <c r="P357" s="798"/>
      <c r="Q357" s="798"/>
      <c r="R357" s="798"/>
      <c r="S357" s="798"/>
      <c r="T357" s="798"/>
      <c r="U357" s="798"/>
      <c r="V357" s="798"/>
      <c r="W357" s="798"/>
      <c r="X357" s="798"/>
      <c r="Y357" s="798"/>
      <c r="Z357" s="798"/>
      <c r="AA357" s="798"/>
      <c r="AB357" s="798"/>
      <c r="AC357" s="798"/>
      <c r="AD357" s="798"/>
      <c r="AE357" s="798"/>
      <c r="AF357" s="798"/>
      <c r="AG357" s="798"/>
      <c r="AH357" s="798"/>
      <c r="AI357" s="798"/>
      <c r="AJ357" s="798"/>
      <c r="AK357" s="798"/>
      <c r="AL357" s="798"/>
      <c r="AM357" s="798"/>
      <c r="AN357" s="798"/>
      <c r="AO357" s="798"/>
      <c r="AP357" s="798"/>
      <c r="AQ357" s="798"/>
      <c r="AR357" s="798"/>
      <c r="AS357" s="798"/>
      <c r="AT357" s="798"/>
      <c r="AU357" s="798"/>
      <c r="AV357" s="798"/>
      <c r="AW357" s="798"/>
      <c r="AX357" s="798"/>
    </row>
    <row r="358" spans="1:50" ht="12.75" customHeight="1" x14ac:dyDescent="0.3">
      <c r="A358" s="782"/>
      <c r="B358" s="796" t="s">
        <v>200</v>
      </c>
      <c r="C358" s="798"/>
      <c r="D358" s="782"/>
      <c r="E358" s="798"/>
      <c r="F358" s="798"/>
      <c r="G358" s="798"/>
      <c r="H358" s="798"/>
      <c r="I358" s="798"/>
      <c r="J358" s="798"/>
      <c r="K358" s="798"/>
      <c r="L358" s="798"/>
      <c r="M358" s="798"/>
      <c r="N358" s="798"/>
      <c r="O358" s="798"/>
      <c r="P358" s="798"/>
      <c r="Q358" s="798"/>
      <c r="R358" s="798"/>
      <c r="S358" s="798"/>
      <c r="T358" s="798"/>
      <c r="U358" s="798"/>
      <c r="V358" s="798"/>
      <c r="W358" s="798"/>
      <c r="X358" s="798"/>
      <c r="Y358" s="798"/>
      <c r="Z358" s="798"/>
      <c r="AA358" s="798"/>
      <c r="AB358" s="798"/>
      <c r="AC358" s="798"/>
      <c r="AD358" s="798"/>
      <c r="AE358" s="798"/>
      <c r="AF358" s="798"/>
      <c r="AG358" s="798"/>
      <c r="AH358" s="798"/>
      <c r="AI358" s="798"/>
      <c r="AJ358" s="798"/>
      <c r="AK358" s="798"/>
      <c r="AL358" s="798"/>
      <c r="AM358" s="798"/>
      <c r="AN358" s="798"/>
      <c r="AO358" s="798"/>
      <c r="AP358" s="798"/>
      <c r="AQ358" s="798"/>
      <c r="AR358" s="798"/>
      <c r="AS358" s="798"/>
      <c r="AT358" s="798"/>
      <c r="AU358" s="798"/>
      <c r="AV358" s="798"/>
      <c r="AW358" s="798"/>
      <c r="AX358" s="798"/>
    </row>
    <row r="359" spans="1:50" ht="12.75" customHeight="1" x14ac:dyDescent="0.3">
      <c r="A359" s="782"/>
      <c r="B359" s="782" t="s">
        <v>191</v>
      </c>
      <c r="C359" s="798">
        <f>SUM(E359:AX359)</f>
        <v>6868726.7816661661</v>
      </c>
      <c r="D359" s="782"/>
      <c r="E359" s="798">
        <f>E215</f>
        <v>0</v>
      </c>
      <c r="F359" s="798">
        <f t="shared" ref="F359:AW359" si="88">F215</f>
        <v>0</v>
      </c>
      <c r="G359" s="798">
        <f t="shared" si="88"/>
        <v>0</v>
      </c>
      <c r="H359" s="798">
        <f t="shared" si="88"/>
        <v>0</v>
      </c>
      <c r="I359" s="798">
        <f t="shared" si="88"/>
        <v>0</v>
      </c>
      <c r="J359" s="798">
        <f t="shared" si="88"/>
        <v>0</v>
      </c>
      <c r="K359" s="798">
        <f t="shared" si="88"/>
        <v>0</v>
      </c>
      <c r="L359" s="798">
        <f t="shared" si="88"/>
        <v>0</v>
      </c>
      <c r="M359" s="798">
        <f t="shared" si="88"/>
        <v>0</v>
      </c>
      <c r="N359" s="798">
        <f t="shared" si="88"/>
        <v>0</v>
      </c>
      <c r="O359" s="798">
        <f t="shared" si="88"/>
        <v>0</v>
      </c>
      <c r="P359" s="798">
        <f t="shared" si="88"/>
        <v>6868726.7816661661</v>
      </c>
      <c r="Q359" s="798">
        <f t="shared" si="88"/>
        <v>0</v>
      </c>
      <c r="R359" s="798">
        <f t="shared" si="88"/>
        <v>0</v>
      </c>
      <c r="S359" s="798">
        <f t="shared" si="88"/>
        <v>0</v>
      </c>
      <c r="T359" s="798">
        <f t="shared" si="88"/>
        <v>0</v>
      </c>
      <c r="U359" s="798">
        <f t="shared" si="88"/>
        <v>0</v>
      </c>
      <c r="V359" s="798">
        <f t="shared" si="88"/>
        <v>0</v>
      </c>
      <c r="W359" s="798">
        <f t="shared" si="88"/>
        <v>0</v>
      </c>
      <c r="X359" s="798">
        <f t="shared" si="88"/>
        <v>0</v>
      </c>
      <c r="Y359" s="798">
        <f t="shared" si="88"/>
        <v>0</v>
      </c>
      <c r="Z359" s="798">
        <f t="shared" si="88"/>
        <v>0</v>
      </c>
      <c r="AA359" s="798">
        <f t="shared" si="88"/>
        <v>0</v>
      </c>
      <c r="AB359" s="798">
        <f t="shared" si="88"/>
        <v>0</v>
      </c>
      <c r="AC359" s="798">
        <f t="shared" si="88"/>
        <v>0</v>
      </c>
      <c r="AD359" s="798">
        <f t="shared" si="88"/>
        <v>0</v>
      </c>
      <c r="AE359" s="798">
        <f t="shared" si="88"/>
        <v>0</v>
      </c>
      <c r="AF359" s="798">
        <f t="shared" si="88"/>
        <v>0</v>
      </c>
      <c r="AG359" s="798">
        <f t="shared" si="88"/>
        <v>0</v>
      </c>
      <c r="AH359" s="798">
        <f t="shared" si="88"/>
        <v>0</v>
      </c>
      <c r="AI359" s="798">
        <f t="shared" si="88"/>
        <v>0</v>
      </c>
      <c r="AJ359" s="798">
        <f t="shared" si="88"/>
        <v>0</v>
      </c>
      <c r="AK359" s="798">
        <f t="shared" si="88"/>
        <v>0</v>
      </c>
      <c r="AL359" s="798">
        <f t="shared" si="88"/>
        <v>0</v>
      </c>
      <c r="AM359" s="798">
        <f t="shared" si="88"/>
        <v>0</v>
      </c>
      <c r="AN359" s="798">
        <f t="shared" si="88"/>
        <v>0</v>
      </c>
      <c r="AO359" s="798">
        <f t="shared" si="88"/>
        <v>0</v>
      </c>
      <c r="AP359" s="798">
        <f t="shared" si="88"/>
        <v>0</v>
      </c>
      <c r="AQ359" s="798">
        <f t="shared" si="88"/>
        <v>0</v>
      </c>
      <c r="AR359" s="798">
        <f t="shared" si="88"/>
        <v>0</v>
      </c>
      <c r="AS359" s="798">
        <f t="shared" si="88"/>
        <v>0</v>
      </c>
      <c r="AT359" s="798">
        <f t="shared" si="88"/>
        <v>0</v>
      </c>
      <c r="AU359" s="798">
        <f t="shared" si="88"/>
        <v>0</v>
      </c>
      <c r="AV359" s="798">
        <f t="shared" si="88"/>
        <v>0</v>
      </c>
      <c r="AW359" s="798">
        <f t="shared" si="88"/>
        <v>0</v>
      </c>
      <c r="AX359" s="798"/>
    </row>
    <row r="360" spans="1:50" ht="12.75" customHeight="1" x14ac:dyDescent="0.3">
      <c r="A360" s="782"/>
      <c r="B360" s="782" t="s">
        <v>192</v>
      </c>
      <c r="C360" s="798">
        <f>SUM(E360:AX360)</f>
        <v>5736147.0869287392</v>
      </c>
      <c r="D360" s="782"/>
      <c r="E360" s="798">
        <f>E247</f>
        <v>0</v>
      </c>
      <c r="F360" s="798">
        <f t="shared" ref="F360:AW360" si="89">F247</f>
        <v>0</v>
      </c>
      <c r="G360" s="798">
        <f t="shared" si="89"/>
        <v>0</v>
      </c>
      <c r="H360" s="798">
        <f t="shared" si="89"/>
        <v>0</v>
      </c>
      <c r="I360" s="798">
        <f t="shared" si="89"/>
        <v>0</v>
      </c>
      <c r="J360" s="798">
        <f t="shared" si="89"/>
        <v>0</v>
      </c>
      <c r="K360" s="798">
        <f t="shared" si="89"/>
        <v>0</v>
      </c>
      <c r="L360" s="798">
        <f t="shared" si="89"/>
        <v>0</v>
      </c>
      <c r="M360" s="798">
        <f t="shared" si="89"/>
        <v>0</v>
      </c>
      <c r="N360" s="798">
        <f t="shared" si="89"/>
        <v>0</v>
      </c>
      <c r="O360" s="798">
        <f t="shared" si="89"/>
        <v>0</v>
      </c>
      <c r="P360" s="798">
        <f t="shared" si="89"/>
        <v>0</v>
      </c>
      <c r="Q360" s="798">
        <f t="shared" si="89"/>
        <v>0</v>
      </c>
      <c r="R360" s="798">
        <f t="shared" si="89"/>
        <v>0</v>
      </c>
      <c r="S360" s="798">
        <f t="shared" si="89"/>
        <v>0</v>
      </c>
      <c r="T360" s="798">
        <f t="shared" si="89"/>
        <v>0</v>
      </c>
      <c r="U360" s="798">
        <f t="shared" si="89"/>
        <v>0</v>
      </c>
      <c r="V360" s="798">
        <f t="shared" si="89"/>
        <v>0</v>
      </c>
      <c r="W360" s="798">
        <f t="shared" si="89"/>
        <v>0</v>
      </c>
      <c r="X360" s="798">
        <f t="shared" si="89"/>
        <v>0</v>
      </c>
      <c r="Y360" s="798">
        <f t="shared" si="89"/>
        <v>0</v>
      </c>
      <c r="Z360" s="798">
        <f t="shared" si="89"/>
        <v>0</v>
      </c>
      <c r="AA360" s="798">
        <f t="shared" si="89"/>
        <v>0</v>
      </c>
      <c r="AB360" s="798">
        <f t="shared" si="89"/>
        <v>0</v>
      </c>
      <c r="AC360" s="798">
        <f t="shared" si="89"/>
        <v>0</v>
      </c>
      <c r="AD360" s="798">
        <f t="shared" si="89"/>
        <v>0</v>
      </c>
      <c r="AE360" s="798">
        <f t="shared" si="89"/>
        <v>0</v>
      </c>
      <c r="AF360" s="798">
        <f t="shared" si="89"/>
        <v>0</v>
      </c>
      <c r="AG360" s="798">
        <f t="shared" si="89"/>
        <v>0</v>
      </c>
      <c r="AH360" s="798">
        <f t="shared" si="89"/>
        <v>0</v>
      </c>
      <c r="AI360" s="798">
        <f t="shared" si="89"/>
        <v>0</v>
      </c>
      <c r="AJ360" s="798">
        <f t="shared" si="89"/>
        <v>0</v>
      </c>
      <c r="AK360" s="798">
        <f t="shared" si="89"/>
        <v>5736147.0869287392</v>
      </c>
      <c r="AL360" s="798">
        <f t="shared" si="89"/>
        <v>0</v>
      </c>
      <c r="AM360" s="798">
        <f t="shared" si="89"/>
        <v>0</v>
      </c>
      <c r="AN360" s="798">
        <f t="shared" si="89"/>
        <v>0</v>
      </c>
      <c r="AO360" s="798">
        <f t="shared" si="89"/>
        <v>0</v>
      </c>
      <c r="AP360" s="798">
        <f t="shared" si="89"/>
        <v>0</v>
      </c>
      <c r="AQ360" s="798">
        <f t="shared" si="89"/>
        <v>0</v>
      </c>
      <c r="AR360" s="798">
        <f t="shared" si="89"/>
        <v>0</v>
      </c>
      <c r="AS360" s="798">
        <f t="shared" si="89"/>
        <v>0</v>
      </c>
      <c r="AT360" s="798">
        <f t="shared" si="89"/>
        <v>0</v>
      </c>
      <c r="AU360" s="798">
        <f t="shared" si="89"/>
        <v>0</v>
      </c>
      <c r="AV360" s="798">
        <f t="shared" si="89"/>
        <v>0</v>
      </c>
      <c r="AW360" s="798">
        <f t="shared" si="89"/>
        <v>0</v>
      </c>
      <c r="AX360" s="798"/>
    </row>
    <row r="361" spans="1:50" ht="12.75" customHeight="1" x14ac:dyDescent="0.3">
      <c r="A361" s="782"/>
      <c r="B361" s="821" t="s">
        <v>201</v>
      </c>
      <c r="C361" s="822">
        <f>SUM(E361:AX361)</f>
        <v>12604873.868594905</v>
      </c>
      <c r="D361" s="821"/>
      <c r="E361" s="822">
        <f>SUM(E359:E360)</f>
        <v>0</v>
      </c>
      <c r="F361" s="822">
        <f t="shared" ref="F361:AW361" si="90">SUM(F359:F360)</f>
        <v>0</v>
      </c>
      <c r="G361" s="822">
        <f t="shared" si="90"/>
        <v>0</v>
      </c>
      <c r="H361" s="822">
        <f t="shared" si="90"/>
        <v>0</v>
      </c>
      <c r="I361" s="822">
        <f t="shared" si="90"/>
        <v>0</v>
      </c>
      <c r="J361" s="822">
        <f t="shared" si="90"/>
        <v>0</v>
      </c>
      <c r="K361" s="822">
        <f t="shared" si="90"/>
        <v>0</v>
      </c>
      <c r="L361" s="822">
        <f t="shared" si="90"/>
        <v>0</v>
      </c>
      <c r="M361" s="822">
        <f t="shared" si="90"/>
        <v>0</v>
      </c>
      <c r="N361" s="822">
        <f t="shared" si="90"/>
        <v>0</v>
      </c>
      <c r="O361" s="822">
        <f t="shared" si="90"/>
        <v>0</v>
      </c>
      <c r="P361" s="822">
        <f t="shared" si="90"/>
        <v>6868726.7816661661</v>
      </c>
      <c r="Q361" s="822">
        <f t="shared" si="90"/>
        <v>0</v>
      </c>
      <c r="R361" s="822">
        <f t="shared" si="90"/>
        <v>0</v>
      </c>
      <c r="S361" s="822">
        <f t="shared" si="90"/>
        <v>0</v>
      </c>
      <c r="T361" s="822">
        <f t="shared" si="90"/>
        <v>0</v>
      </c>
      <c r="U361" s="822">
        <f t="shared" si="90"/>
        <v>0</v>
      </c>
      <c r="V361" s="822">
        <f t="shared" si="90"/>
        <v>0</v>
      </c>
      <c r="W361" s="822">
        <f t="shared" si="90"/>
        <v>0</v>
      </c>
      <c r="X361" s="822">
        <f t="shared" si="90"/>
        <v>0</v>
      </c>
      <c r="Y361" s="822">
        <f t="shared" si="90"/>
        <v>0</v>
      </c>
      <c r="Z361" s="822">
        <f t="shared" si="90"/>
        <v>0</v>
      </c>
      <c r="AA361" s="822">
        <f t="shared" si="90"/>
        <v>0</v>
      </c>
      <c r="AB361" s="822">
        <f t="shared" si="90"/>
        <v>0</v>
      </c>
      <c r="AC361" s="822">
        <f t="shared" si="90"/>
        <v>0</v>
      </c>
      <c r="AD361" s="822">
        <f t="shared" si="90"/>
        <v>0</v>
      </c>
      <c r="AE361" s="822">
        <f t="shared" si="90"/>
        <v>0</v>
      </c>
      <c r="AF361" s="822">
        <f t="shared" si="90"/>
        <v>0</v>
      </c>
      <c r="AG361" s="822">
        <f t="shared" si="90"/>
        <v>0</v>
      </c>
      <c r="AH361" s="822">
        <f t="shared" si="90"/>
        <v>0</v>
      </c>
      <c r="AI361" s="822">
        <f t="shared" si="90"/>
        <v>0</v>
      </c>
      <c r="AJ361" s="822">
        <f t="shared" si="90"/>
        <v>0</v>
      </c>
      <c r="AK361" s="822">
        <f t="shared" si="90"/>
        <v>5736147.0869287392</v>
      </c>
      <c r="AL361" s="822">
        <f t="shared" si="90"/>
        <v>0</v>
      </c>
      <c r="AM361" s="822">
        <f t="shared" si="90"/>
        <v>0</v>
      </c>
      <c r="AN361" s="822">
        <f t="shared" si="90"/>
        <v>0</v>
      </c>
      <c r="AO361" s="822">
        <f t="shared" si="90"/>
        <v>0</v>
      </c>
      <c r="AP361" s="822">
        <f t="shared" si="90"/>
        <v>0</v>
      </c>
      <c r="AQ361" s="822">
        <f t="shared" si="90"/>
        <v>0</v>
      </c>
      <c r="AR361" s="822">
        <f t="shared" si="90"/>
        <v>0</v>
      </c>
      <c r="AS361" s="822">
        <f t="shared" si="90"/>
        <v>0</v>
      </c>
      <c r="AT361" s="822">
        <f t="shared" si="90"/>
        <v>0</v>
      </c>
      <c r="AU361" s="822">
        <f t="shared" si="90"/>
        <v>0</v>
      </c>
      <c r="AV361" s="822">
        <f t="shared" si="90"/>
        <v>0</v>
      </c>
      <c r="AW361" s="822">
        <f t="shared" si="90"/>
        <v>0</v>
      </c>
      <c r="AX361" s="798"/>
    </row>
    <row r="362" spans="1:50" ht="12.75" customHeight="1" x14ac:dyDescent="0.3">
      <c r="A362" s="782"/>
      <c r="B362" s="782"/>
      <c r="C362" s="798"/>
      <c r="D362" s="782"/>
      <c r="E362" s="798"/>
      <c r="F362" s="798"/>
      <c r="G362" s="798"/>
      <c r="H362" s="798"/>
      <c r="I362" s="798"/>
      <c r="J362" s="798"/>
      <c r="K362" s="798"/>
      <c r="L362" s="798"/>
      <c r="M362" s="798"/>
      <c r="N362" s="798"/>
      <c r="O362" s="798"/>
      <c r="P362" s="798"/>
      <c r="Q362" s="798"/>
      <c r="R362" s="798"/>
      <c r="S362" s="798"/>
      <c r="T362" s="798"/>
      <c r="U362" s="798"/>
      <c r="V362" s="798"/>
      <c r="W362" s="798"/>
      <c r="X362" s="798"/>
      <c r="Y362" s="798"/>
      <c r="Z362" s="798"/>
      <c r="AA362" s="798"/>
      <c r="AB362" s="798"/>
      <c r="AC362" s="798"/>
      <c r="AD362" s="798"/>
      <c r="AE362" s="798"/>
      <c r="AF362" s="798"/>
      <c r="AG362" s="798"/>
      <c r="AH362" s="798"/>
      <c r="AI362" s="798"/>
      <c r="AJ362" s="798"/>
      <c r="AK362" s="798"/>
      <c r="AL362" s="798"/>
      <c r="AM362" s="798"/>
      <c r="AN362" s="798"/>
      <c r="AO362" s="798"/>
      <c r="AP362" s="798"/>
      <c r="AQ362" s="798"/>
      <c r="AR362" s="798"/>
      <c r="AS362" s="798"/>
      <c r="AT362" s="798"/>
      <c r="AU362" s="798"/>
      <c r="AV362" s="798"/>
      <c r="AW362" s="798"/>
      <c r="AX362" s="798"/>
    </row>
    <row r="363" spans="1:50" ht="12.75" customHeight="1" x14ac:dyDescent="0.3">
      <c r="A363" s="782"/>
      <c r="B363" s="782" t="s">
        <v>202</v>
      </c>
      <c r="C363" s="798">
        <f>SUM(E363:AX363)</f>
        <v>54689978.533447839</v>
      </c>
      <c r="D363" s="782"/>
      <c r="E363" s="798">
        <f>E361+E354</f>
        <v>-1459520.0769018831</v>
      </c>
      <c r="F363" s="798">
        <f t="shared" ref="F363:AW363" si="91">F361+F354</f>
        <v>-12345896.192642419</v>
      </c>
      <c r="G363" s="798">
        <f t="shared" si="91"/>
        <v>-4020413.4978727973</v>
      </c>
      <c r="H363" s="798">
        <f t="shared" si="91"/>
        <v>-7113584.8573644562</v>
      </c>
      <c r="I363" s="798">
        <f t="shared" si="91"/>
        <v>-1605499.9103526662</v>
      </c>
      <c r="J363" s="798">
        <f t="shared" si="91"/>
        <v>-54388.03755073488</v>
      </c>
      <c r="K363" s="798">
        <f t="shared" si="91"/>
        <v>-62360.422992373416</v>
      </c>
      <c r="L363" s="798">
        <f t="shared" si="91"/>
        <v>-68877.232724356218</v>
      </c>
      <c r="M363" s="798">
        <f t="shared" si="91"/>
        <v>-40147.638995760135</v>
      </c>
      <c r="N363" s="798">
        <f t="shared" si="91"/>
        <v>250763.27179199544</v>
      </c>
      <c r="O363" s="798">
        <f t="shared" si="91"/>
        <v>604918.57441590796</v>
      </c>
      <c r="P363" s="798">
        <f t="shared" si="91"/>
        <v>13105060.900599487</v>
      </c>
      <c r="Q363" s="798">
        <f t="shared" si="91"/>
        <v>468133.48654812638</v>
      </c>
      <c r="R363" s="798">
        <f t="shared" si="91"/>
        <v>484460.04658486089</v>
      </c>
      <c r="S363" s="798">
        <f t="shared" si="91"/>
        <v>483805.87510141433</v>
      </c>
      <c r="T363" s="798">
        <f t="shared" si="91"/>
        <v>497088.47670526849</v>
      </c>
      <c r="U363" s="798">
        <f t="shared" si="91"/>
        <v>510318.846271166</v>
      </c>
      <c r="V363" s="798">
        <f t="shared" si="91"/>
        <v>521347.81237944035</v>
      </c>
      <c r="W363" s="798">
        <f t="shared" si="91"/>
        <v>517993.70070256793</v>
      </c>
      <c r="X363" s="798">
        <f t="shared" si="91"/>
        <v>527047.30438257125</v>
      </c>
      <c r="Y363" s="798">
        <f t="shared" si="91"/>
        <v>538516.03421209392</v>
      </c>
      <c r="Z363" s="798">
        <f t="shared" si="91"/>
        <v>550897.32306008728</v>
      </c>
      <c r="AA363" s="798">
        <f t="shared" si="91"/>
        <v>549792.3583502759</v>
      </c>
      <c r="AB363" s="798">
        <f t="shared" si="91"/>
        <v>561951.829017087</v>
      </c>
      <c r="AC363" s="798">
        <f t="shared" si="91"/>
        <v>576030.76470381545</v>
      </c>
      <c r="AD363" s="798">
        <f t="shared" si="91"/>
        <v>590093.36366511486</v>
      </c>
      <c r="AE363" s="798">
        <f t="shared" si="91"/>
        <v>589737.99589725386</v>
      </c>
      <c r="AF363" s="798">
        <f t="shared" si="91"/>
        <v>602850.02441503061</v>
      </c>
      <c r="AG363" s="798">
        <f t="shared" si="91"/>
        <v>617819.623250023</v>
      </c>
      <c r="AH363" s="798">
        <f t="shared" si="91"/>
        <v>632712.13451882999</v>
      </c>
      <c r="AI363" s="798">
        <f t="shared" si="91"/>
        <v>632554.92273360596</v>
      </c>
      <c r="AJ363" s="798">
        <f t="shared" si="91"/>
        <v>646218.05157581693</v>
      </c>
      <c r="AK363" s="798">
        <f t="shared" si="91"/>
        <v>56400553.679963447</v>
      </c>
      <c r="AL363" s="798">
        <f t="shared" si="91"/>
        <v>0</v>
      </c>
      <c r="AM363" s="798">
        <f t="shared" si="91"/>
        <v>0</v>
      </c>
      <c r="AN363" s="798">
        <f t="shared" si="91"/>
        <v>0</v>
      </c>
      <c r="AO363" s="798">
        <f t="shared" si="91"/>
        <v>0</v>
      </c>
      <c r="AP363" s="798">
        <f t="shared" si="91"/>
        <v>0</v>
      </c>
      <c r="AQ363" s="798">
        <f t="shared" si="91"/>
        <v>0</v>
      </c>
      <c r="AR363" s="798">
        <f t="shared" si="91"/>
        <v>0</v>
      </c>
      <c r="AS363" s="798">
        <f t="shared" si="91"/>
        <v>0</v>
      </c>
      <c r="AT363" s="798">
        <f t="shared" si="91"/>
        <v>0</v>
      </c>
      <c r="AU363" s="798">
        <f t="shared" si="91"/>
        <v>0</v>
      </c>
      <c r="AV363" s="798">
        <f t="shared" si="91"/>
        <v>0</v>
      </c>
      <c r="AW363" s="798">
        <f t="shared" si="91"/>
        <v>0</v>
      </c>
      <c r="AX363" s="798"/>
    </row>
    <row r="364" spans="1:50" ht="12.75" customHeight="1" x14ac:dyDescent="0.3">
      <c r="A364" s="782"/>
      <c r="B364" s="833" t="s">
        <v>203</v>
      </c>
      <c r="C364" s="834">
        <f>'Venture Summary - Mthly'!C367</f>
        <v>0.20637730956077577</v>
      </c>
      <c r="D364" s="782"/>
      <c r="E364" s="798"/>
      <c r="F364" s="798"/>
      <c r="G364" s="798"/>
      <c r="H364" s="798"/>
      <c r="I364" s="798"/>
      <c r="J364" s="798"/>
      <c r="K364" s="798"/>
      <c r="L364" s="798"/>
      <c r="M364" s="798"/>
      <c r="N364" s="798"/>
      <c r="O364" s="798"/>
      <c r="P364" s="798"/>
      <c r="Q364" s="798"/>
      <c r="R364" s="798"/>
      <c r="S364" s="798"/>
      <c r="T364" s="798"/>
      <c r="U364" s="798"/>
      <c r="V364" s="798"/>
      <c r="W364" s="798"/>
      <c r="X364" s="798"/>
      <c r="Y364" s="798"/>
      <c r="Z364" s="798"/>
      <c r="AA364" s="798"/>
      <c r="AB364" s="798"/>
      <c r="AC364" s="798"/>
      <c r="AD364" s="798"/>
      <c r="AE364" s="798"/>
      <c r="AF364" s="798"/>
      <c r="AG364" s="798"/>
      <c r="AH364" s="798"/>
      <c r="AI364" s="798"/>
      <c r="AJ364" s="798"/>
      <c r="AK364" s="798"/>
      <c r="AL364" s="798"/>
      <c r="AM364" s="798"/>
      <c r="AN364" s="798"/>
      <c r="AO364" s="798"/>
      <c r="AP364" s="798"/>
      <c r="AQ364" s="798"/>
      <c r="AR364" s="798"/>
      <c r="AS364" s="798"/>
      <c r="AT364" s="798"/>
      <c r="AU364" s="798"/>
      <c r="AV364" s="798"/>
      <c r="AW364" s="798"/>
      <c r="AX364" s="798"/>
    </row>
    <row r="365" spans="1:50" ht="12.75" customHeight="1" x14ac:dyDescent="0.3">
      <c r="A365" s="782"/>
      <c r="B365" s="835" t="s">
        <v>204</v>
      </c>
      <c r="C365" s="836">
        <f>'Venture Summary - Mthly'!C368</f>
        <v>3.0422656084204585</v>
      </c>
      <c r="D365" s="782"/>
      <c r="E365" s="798"/>
      <c r="F365" s="798"/>
      <c r="G365" s="798"/>
      <c r="H365" s="798"/>
      <c r="I365" s="798"/>
      <c r="J365" s="798"/>
      <c r="K365" s="798"/>
      <c r="L365" s="798"/>
      <c r="M365" s="798"/>
      <c r="N365" s="798"/>
      <c r="O365" s="798"/>
      <c r="P365" s="798"/>
      <c r="Q365" s="798"/>
      <c r="R365" s="798"/>
      <c r="S365" s="798"/>
      <c r="T365" s="798"/>
      <c r="U365" s="798"/>
      <c r="V365" s="798"/>
      <c r="W365" s="798"/>
      <c r="X365" s="798"/>
      <c r="Y365" s="798"/>
      <c r="Z365" s="798"/>
      <c r="AA365" s="798"/>
      <c r="AB365" s="798"/>
      <c r="AC365" s="798"/>
      <c r="AD365" s="798"/>
      <c r="AE365" s="798"/>
      <c r="AF365" s="798"/>
      <c r="AG365" s="798"/>
      <c r="AH365" s="798"/>
      <c r="AI365" s="798"/>
      <c r="AJ365" s="798"/>
      <c r="AK365" s="798"/>
      <c r="AL365" s="798"/>
      <c r="AM365" s="798"/>
      <c r="AN365" s="798"/>
      <c r="AO365" s="798"/>
      <c r="AP365" s="798"/>
      <c r="AQ365" s="798"/>
      <c r="AR365" s="798"/>
      <c r="AS365" s="798"/>
      <c r="AT365" s="798"/>
      <c r="AU365" s="798"/>
      <c r="AV365" s="798"/>
      <c r="AW365" s="798"/>
      <c r="AX365" s="798"/>
    </row>
    <row r="366" spans="1:50" ht="12.75" customHeight="1" x14ac:dyDescent="0.3">
      <c r="A366" s="782"/>
      <c r="B366" s="782"/>
      <c r="C366" s="798"/>
      <c r="D366" s="782"/>
      <c r="E366" s="798"/>
      <c r="F366" s="798"/>
      <c r="G366" s="798"/>
      <c r="H366" s="798"/>
      <c r="I366" s="798"/>
      <c r="J366" s="798"/>
      <c r="K366" s="798"/>
      <c r="L366" s="798"/>
      <c r="M366" s="798"/>
      <c r="N366" s="798"/>
      <c r="O366" s="798"/>
      <c r="P366" s="798"/>
      <c r="Q366" s="798"/>
      <c r="R366" s="798"/>
      <c r="S366" s="798"/>
      <c r="T366" s="798"/>
      <c r="U366" s="798"/>
      <c r="V366" s="798"/>
      <c r="W366" s="798"/>
      <c r="X366" s="798"/>
      <c r="Y366" s="798"/>
      <c r="Z366" s="798"/>
      <c r="AA366" s="798"/>
      <c r="AB366" s="798"/>
      <c r="AC366" s="798"/>
      <c r="AD366" s="798"/>
      <c r="AE366" s="798"/>
      <c r="AF366" s="798"/>
      <c r="AG366" s="798"/>
      <c r="AH366" s="798"/>
      <c r="AI366" s="798"/>
      <c r="AJ366" s="798"/>
      <c r="AK366" s="798"/>
      <c r="AL366" s="798"/>
      <c r="AM366" s="798"/>
      <c r="AN366" s="798"/>
      <c r="AO366" s="798"/>
      <c r="AP366" s="798"/>
      <c r="AQ366" s="798"/>
      <c r="AR366" s="798"/>
      <c r="AS366" s="798"/>
      <c r="AT366" s="798"/>
      <c r="AU366" s="798"/>
      <c r="AV366" s="798"/>
      <c r="AW366" s="798"/>
      <c r="AX366" s="798"/>
    </row>
    <row r="367" spans="1:50" ht="12.75" customHeight="1" x14ac:dyDescent="0.3">
      <c r="A367" s="782"/>
      <c r="B367" s="796" t="s">
        <v>205</v>
      </c>
      <c r="C367" s="798"/>
      <c r="D367" s="782"/>
      <c r="E367" s="798"/>
      <c r="F367" s="798"/>
      <c r="G367" s="798"/>
      <c r="H367" s="798"/>
      <c r="I367" s="798"/>
      <c r="J367" s="798"/>
      <c r="K367" s="798"/>
      <c r="L367" s="798"/>
      <c r="M367" s="798"/>
      <c r="N367" s="798"/>
      <c r="O367" s="798"/>
      <c r="P367" s="798"/>
      <c r="Q367" s="798"/>
      <c r="R367" s="798"/>
      <c r="S367" s="798"/>
      <c r="T367" s="798"/>
      <c r="U367" s="798"/>
      <c r="V367" s="798"/>
      <c r="W367" s="798"/>
      <c r="X367" s="798"/>
      <c r="Y367" s="798"/>
      <c r="Z367" s="798"/>
      <c r="AA367" s="798"/>
      <c r="AB367" s="798"/>
      <c r="AC367" s="798"/>
      <c r="AD367" s="798"/>
      <c r="AE367" s="798"/>
      <c r="AF367" s="798"/>
      <c r="AG367" s="798"/>
      <c r="AH367" s="798"/>
      <c r="AI367" s="798"/>
      <c r="AJ367" s="798"/>
      <c r="AK367" s="798"/>
      <c r="AL367" s="798"/>
      <c r="AM367" s="798"/>
      <c r="AN367" s="798"/>
      <c r="AO367" s="798"/>
      <c r="AP367" s="798"/>
      <c r="AQ367" s="798"/>
      <c r="AR367" s="798"/>
      <c r="AS367" s="798"/>
      <c r="AT367" s="798"/>
      <c r="AU367" s="798"/>
      <c r="AV367" s="798"/>
      <c r="AW367" s="798"/>
      <c r="AX367" s="798"/>
    </row>
    <row r="368" spans="1:50" ht="12.75" customHeight="1" x14ac:dyDescent="0.3">
      <c r="A368" s="782"/>
      <c r="B368" s="782" t="s">
        <v>206</v>
      </c>
      <c r="C368" s="798">
        <f>SUM(E368:AX368)</f>
        <v>2658062.4746991722</v>
      </c>
      <c r="D368" s="782"/>
      <c r="E368" s="798">
        <f>E146</f>
        <v>0</v>
      </c>
      <c r="F368" s="798">
        <f t="shared" ref="F368:AW368" si="92">F146</f>
        <v>318967.49696390069</v>
      </c>
      <c r="G368" s="798">
        <f t="shared" si="92"/>
        <v>318967.49696390069</v>
      </c>
      <c r="H368" s="798">
        <f t="shared" si="92"/>
        <v>318967.49696390069</v>
      </c>
      <c r="I368" s="798">
        <f t="shared" si="92"/>
        <v>318967.49696390069</v>
      </c>
      <c r="J368" s="798">
        <f t="shared" si="92"/>
        <v>318967.49696390069</v>
      </c>
      <c r="K368" s="798">
        <f t="shared" si="92"/>
        <v>318967.49696390069</v>
      </c>
      <c r="L368" s="798">
        <f t="shared" si="92"/>
        <v>318967.49696390069</v>
      </c>
      <c r="M368" s="798">
        <f t="shared" si="92"/>
        <v>318967.49696390069</v>
      </c>
      <c r="N368" s="798">
        <f t="shared" si="92"/>
        <v>106322.4989879669</v>
      </c>
      <c r="O368" s="798">
        <f t="shared" si="92"/>
        <v>0</v>
      </c>
      <c r="P368" s="798">
        <f t="shared" si="92"/>
        <v>0</v>
      </c>
      <c r="Q368" s="798">
        <f t="shared" si="92"/>
        <v>0</v>
      </c>
      <c r="R368" s="798">
        <f t="shared" si="92"/>
        <v>0</v>
      </c>
      <c r="S368" s="798">
        <f t="shared" si="92"/>
        <v>0</v>
      </c>
      <c r="T368" s="798">
        <f t="shared" si="92"/>
        <v>0</v>
      </c>
      <c r="U368" s="798">
        <f t="shared" si="92"/>
        <v>0</v>
      </c>
      <c r="V368" s="798">
        <f t="shared" si="92"/>
        <v>0</v>
      </c>
      <c r="W368" s="798">
        <f t="shared" si="92"/>
        <v>0</v>
      </c>
      <c r="X368" s="798">
        <f t="shared" si="92"/>
        <v>0</v>
      </c>
      <c r="Y368" s="798">
        <f t="shared" si="92"/>
        <v>0</v>
      </c>
      <c r="Z368" s="798">
        <f t="shared" si="92"/>
        <v>0</v>
      </c>
      <c r="AA368" s="798">
        <f t="shared" si="92"/>
        <v>0</v>
      </c>
      <c r="AB368" s="798">
        <f t="shared" si="92"/>
        <v>0</v>
      </c>
      <c r="AC368" s="798">
        <f t="shared" si="92"/>
        <v>0</v>
      </c>
      <c r="AD368" s="798">
        <f t="shared" si="92"/>
        <v>0</v>
      </c>
      <c r="AE368" s="798">
        <f t="shared" si="92"/>
        <v>0</v>
      </c>
      <c r="AF368" s="798">
        <f t="shared" si="92"/>
        <v>0</v>
      </c>
      <c r="AG368" s="798">
        <f t="shared" si="92"/>
        <v>0</v>
      </c>
      <c r="AH368" s="798">
        <f t="shared" si="92"/>
        <v>0</v>
      </c>
      <c r="AI368" s="798">
        <f t="shared" si="92"/>
        <v>0</v>
      </c>
      <c r="AJ368" s="798">
        <f t="shared" si="92"/>
        <v>0</v>
      </c>
      <c r="AK368" s="798">
        <f t="shared" si="92"/>
        <v>0</v>
      </c>
      <c r="AL368" s="798">
        <f t="shared" si="92"/>
        <v>0</v>
      </c>
      <c r="AM368" s="798">
        <f t="shared" si="92"/>
        <v>0</v>
      </c>
      <c r="AN368" s="798">
        <f t="shared" si="92"/>
        <v>0</v>
      </c>
      <c r="AO368" s="798">
        <f t="shared" si="92"/>
        <v>0</v>
      </c>
      <c r="AP368" s="798">
        <f t="shared" si="92"/>
        <v>0</v>
      </c>
      <c r="AQ368" s="798">
        <f t="shared" si="92"/>
        <v>0</v>
      </c>
      <c r="AR368" s="798">
        <f t="shared" si="92"/>
        <v>0</v>
      </c>
      <c r="AS368" s="798">
        <f t="shared" si="92"/>
        <v>0</v>
      </c>
      <c r="AT368" s="798">
        <f t="shared" si="92"/>
        <v>0</v>
      </c>
      <c r="AU368" s="798">
        <f t="shared" si="92"/>
        <v>0</v>
      </c>
      <c r="AV368" s="798">
        <f t="shared" si="92"/>
        <v>0</v>
      </c>
      <c r="AW368" s="798">
        <f t="shared" si="92"/>
        <v>0</v>
      </c>
      <c r="AX368" s="798"/>
    </row>
    <row r="369" spans="1:50" ht="12.75" customHeight="1" x14ac:dyDescent="0.3">
      <c r="A369" s="782"/>
      <c r="B369" s="782" t="s">
        <v>207</v>
      </c>
      <c r="C369" s="798">
        <f>SUM(E369:AX369)</f>
        <v>1644861.2200535042</v>
      </c>
      <c r="D369" s="782"/>
      <c r="E369" s="798">
        <f>-E161*IF(E4&gt;'Venture Assumptions'!$F$8,0,1)</f>
        <v>0</v>
      </c>
      <c r="F369" s="798">
        <f>-F161*IF(F4&gt;'Venture Assumptions'!$F$8,0,1)</f>
        <v>0</v>
      </c>
      <c r="G369" s="798">
        <f>-G161*IF(G4&gt;'Venture Assumptions'!$F$8,0,1)</f>
        <v>0</v>
      </c>
      <c r="H369" s="798">
        <f>-H161*IF(H4&gt;'Venture Assumptions'!$F$8,0,1)</f>
        <v>0</v>
      </c>
      <c r="I369" s="798">
        <f>-I161*IF(I4&gt;'Venture Assumptions'!$F$8,0,1)</f>
        <v>0</v>
      </c>
      <c r="J369" s="798">
        <f>-J161*IF(J4&gt;'Venture Assumptions'!$F$8,0,1)</f>
        <v>20000</v>
      </c>
      <c r="K369" s="798">
        <f>-K161*IF(K4&gt;'Venture Assumptions'!$F$8,0,1)</f>
        <v>30000</v>
      </c>
      <c r="L369" s="798">
        <f>-L161*IF(L4&gt;'Venture Assumptions'!$F$8,0,1)</f>
        <v>30000</v>
      </c>
      <c r="M369" s="798">
        <f>-M161*IF(M4&gt;'Venture Assumptions'!$F$8,0,1)</f>
        <v>33622.238051203887</v>
      </c>
      <c r="N369" s="798">
        <f>-N161*IF(N4&gt;'Venture Assumptions'!$F$8,0,1)</f>
        <v>48448.877294421764</v>
      </c>
      <c r="O369" s="798">
        <f>-O161*IF(O4&gt;'Venture Assumptions'!$F$8,0,1)</f>
        <v>57355.802259765551</v>
      </c>
      <c r="P369" s="798">
        <f>-P161*IF(P4&gt;'Venture Assumptions'!$F$8,0,1)</f>
        <v>58056.297168647863</v>
      </c>
      <c r="Q369" s="798">
        <f>-Q161*IF(Q4&gt;'Venture Assumptions'!$F$8,0,1)</f>
        <v>58828.465153908241</v>
      </c>
      <c r="R369" s="798">
        <f>-R161*IF(R4&gt;'Venture Assumptions'!$F$8,0,1)</f>
        <v>59577.814029773639</v>
      </c>
      <c r="S369" s="798">
        <f>-S161*IF(S4&gt;'Venture Assumptions'!$F$8,0,1)</f>
        <v>60227.174439218608</v>
      </c>
      <c r="T369" s="798">
        <f>-T161*IF(T4&gt;'Venture Assumptions'!$F$8,0,1)</f>
        <v>60862.920153031082</v>
      </c>
      <c r="U369" s="798">
        <f>-U161*IF(U4&gt;'Venture Assumptions'!$F$8,0,1)</f>
        <v>61509.736970868602</v>
      </c>
      <c r="V369" s="798">
        <f>-V161*IF(V4&gt;'Venture Assumptions'!$F$8,0,1)</f>
        <v>62080.104897296871</v>
      </c>
      <c r="W369" s="798">
        <f>-W161*IF(W4&gt;'Venture Assumptions'!$F$8,0,1)</f>
        <v>62554.001944497475</v>
      </c>
      <c r="X369" s="798">
        <f>-X161*IF(X4&gt;'Venture Assumptions'!$F$8,0,1)</f>
        <v>63064.791087259888</v>
      </c>
      <c r="Y369" s="798">
        <f>-Y161*IF(Y4&gt;'Venture Assumptions'!$F$8,0,1)</f>
        <v>63672.042490969106</v>
      </c>
      <c r="Z369" s="798">
        <f>-Z161*IF(Z4&gt;'Venture Assumptions'!$F$8,0,1)</f>
        <v>64312.563835653425</v>
      </c>
      <c r="AA369" s="798">
        <f>-AA161*IF(AA4&gt;'Venture Assumptions'!$F$8,0,1)</f>
        <v>64899.138825329494</v>
      </c>
      <c r="AB369" s="798">
        <f>-AB161*IF(AB4&gt;'Venture Assumptions'!$F$8,0,1)</f>
        <v>65520.840885232581</v>
      </c>
      <c r="AC369" s="798">
        <f>-AC161*IF(AC4&gt;'Venture Assumptions'!$F$8,0,1)</f>
        <v>66219.232097111788</v>
      </c>
      <c r="AD369" s="798">
        <f>-AD161*IF(AD4&gt;'Venture Assumptions'!$F$8,0,1)</f>
        <v>66913.279299177244</v>
      </c>
      <c r="AE369" s="798">
        <f>-AE161*IF(AE4&gt;'Venture Assumptions'!$F$8,0,1)</f>
        <v>67528.78377600199</v>
      </c>
      <c r="AF369" s="798">
        <f>-AF161*IF(AF4&gt;'Venture Assumptions'!$F$8,0,1)</f>
        <v>68175.922237646504</v>
      </c>
      <c r="AG369" s="798">
        <f>-AG161*IF(AG4&gt;'Venture Assumptions'!$F$8,0,1)</f>
        <v>68902.985220743067</v>
      </c>
      <c r="AH369" s="798">
        <f>-AH161*IF(AH4&gt;'Venture Assumptions'!$F$8,0,1)</f>
        <v>69625.514277771406</v>
      </c>
      <c r="AI369" s="798">
        <f>-AI161*IF(AI4&gt;'Venture Assumptions'!$F$8,0,1)</f>
        <v>70266.174296547295</v>
      </c>
      <c r="AJ369" s="798">
        <f>-AJ161*IF(AJ4&gt;'Venture Assumptions'!$F$8,0,1)</f>
        <v>70939.799065593732</v>
      </c>
      <c r="AK369" s="798">
        <f>-AK161*IF(AK4&gt;'Venture Assumptions'!$F$8,0,1)</f>
        <v>71696.720295833133</v>
      </c>
      <c r="AL369" s="798">
        <f>-AL161*IF(AL4&gt;'Venture Assumptions'!$F$8,0,1)</f>
        <v>0</v>
      </c>
      <c r="AM369" s="798">
        <f>-AM161*IF(AM4&gt;'Venture Assumptions'!$F$8,0,1)</f>
        <v>0</v>
      </c>
      <c r="AN369" s="798">
        <f>-AN161*IF(AN4&gt;'Venture Assumptions'!$F$8,0,1)</f>
        <v>0</v>
      </c>
      <c r="AO369" s="798">
        <f>-AO161*IF(AO4&gt;'Venture Assumptions'!$F$8,0,1)</f>
        <v>0</v>
      </c>
      <c r="AP369" s="798">
        <f>-AP161*IF(AP4&gt;'Venture Assumptions'!$F$8,0,1)</f>
        <v>0</v>
      </c>
      <c r="AQ369" s="798">
        <f>-AQ161*IF(AQ4&gt;'Venture Assumptions'!$F$8,0,1)</f>
        <v>0</v>
      </c>
      <c r="AR369" s="798">
        <f>-AR161*IF(AR4&gt;'Venture Assumptions'!$F$8,0,1)</f>
        <v>0</v>
      </c>
      <c r="AS369" s="798">
        <f>-AS161*IF(AS4&gt;'Venture Assumptions'!$F$8,0,1)</f>
        <v>0</v>
      </c>
      <c r="AT369" s="798">
        <f>-AT161*IF(AT4&gt;'Venture Assumptions'!$F$8,0,1)</f>
        <v>0</v>
      </c>
      <c r="AU369" s="798">
        <f>-AU161*IF(AU4&gt;'Venture Assumptions'!$F$8,0,1)</f>
        <v>0</v>
      </c>
      <c r="AV369" s="798">
        <f>-AV161*IF(AV4&gt;'Venture Assumptions'!$F$8,0,1)</f>
        <v>0</v>
      </c>
      <c r="AW369" s="798">
        <f>-AW161*IF(AW4&gt;'Venture Assumptions'!$F$8,0,1)</f>
        <v>0</v>
      </c>
      <c r="AX369" s="798"/>
    </row>
    <row r="370" spans="1:50" ht="12.75" customHeight="1" x14ac:dyDescent="0.3">
      <c r="A370" s="782"/>
      <c r="B370" s="782" t="s">
        <v>208</v>
      </c>
      <c r="C370" s="798">
        <f>SUM(E370:AX370)</f>
        <v>3022291.0014259885</v>
      </c>
      <c r="D370" s="782"/>
      <c r="E370" s="798">
        <f>-E34</f>
        <v>0</v>
      </c>
      <c r="F370" s="798">
        <f t="shared" ref="F370:AW370" si="93">-F34</f>
        <v>12057.98117720588</v>
      </c>
      <c r="G370" s="798">
        <f t="shared" si="93"/>
        <v>19339.650841703678</v>
      </c>
      <c r="H370" s="798">
        <f t="shared" si="93"/>
        <v>25638.182348544109</v>
      </c>
      <c r="I370" s="798">
        <f t="shared" si="93"/>
        <v>35795.918039641241</v>
      </c>
      <c r="J370" s="798">
        <f t="shared" si="93"/>
        <v>47420.822135929848</v>
      </c>
      <c r="K370" s="798">
        <f t="shared" si="93"/>
        <v>58036.515287854127</v>
      </c>
      <c r="L370" s="798">
        <f t="shared" si="93"/>
        <v>66714.025257056273</v>
      </c>
      <c r="M370" s="798">
        <f t="shared" si="93"/>
        <v>72571.935838606922</v>
      </c>
      <c r="N370" s="798">
        <f t="shared" si="93"/>
        <v>75111.10127240271</v>
      </c>
      <c r="O370" s="798">
        <f t="shared" si="93"/>
        <v>75301.561867479162</v>
      </c>
      <c r="P370" s="798">
        <f t="shared" si="93"/>
        <v>84954.745431427044</v>
      </c>
      <c r="Q370" s="798">
        <f t="shared" si="93"/>
        <v>105102.51898663165</v>
      </c>
      <c r="R370" s="798">
        <f t="shared" si="93"/>
        <v>106296.69570221074</v>
      </c>
      <c r="S370" s="798">
        <f t="shared" si="93"/>
        <v>107399.45991264915</v>
      </c>
      <c r="T370" s="798">
        <f t="shared" si="93"/>
        <v>108459.49363629546</v>
      </c>
      <c r="U370" s="798">
        <f t="shared" si="93"/>
        <v>109459.14447606722</v>
      </c>
      <c r="V370" s="798">
        <f t="shared" si="93"/>
        <v>110456.62796629471</v>
      </c>
      <c r="W370" s="798">
        <f t="shared" si="93"/>
        <v>111506.14487300673</v>
      </c>
      <c r="X370" s="798">
        <f t="shared" si="93"/>
        <v>112609.27216550763</v>
      </c>
      <c r="Y370" s="798">
        <f t="shared" si="93"/>
        <v>113776.02764974919</v>
      </c>
      <c r="Z370" s="798">
        <f t="shared" si="93"/>
        <v>114988.31918288197</v>
      </c>
      <c r="AA370" s="798">
        <f t="shared" si="93"/>
        <v>116224.42884953564</v>
      </c>
      <c r="AB370" s="798">
        <f t="shared" si="93"/>
        <v>117468.61132962009</v>
      </c>
      <c r="AC370" s="798">
        <f t="shared" si="93"/>
        <v>118728.75851133368</v>
      </c>
      <c r="AD370" s="798">
        <f t="shared" si="93"/>
        <v>120005.43802332866</v>
      </c>
      <c r="AE370" s="798">
        <f t="shared" si="93"/>
        <v>121295.81563724173</v>
      </c>
      <c r="AF370" s="798">
        <f t="shared" si="93"/>
        <v>122593.4231073109</v>
      </c>
      <c r="AG370" s="798">
        <f t="shared" si="93"/>
        <v>123907.65520179246</v>
      </c>
      <c r="AH370" s="798">
        <f t="shared" si="93"/>
        <v>125239.10343226959</v>
      </c>
      <c r="AI370" s="798">
        <f t="shared" si="93"/>
        <v>126584.82857090383</v>
      </c>
      <c r="AJ370" s="798">
        <f t="shared" si="93"/>
        <v>127938.10376316879</v>
      </c>
      <c r="AK370" s="798">
        <f t="shared" si="93"/>
        <v>129308.69095033838</v>
      </c>
      <c r="AL370" s="798">
        <f t="shared" si="93"/>
        <v>0</v>
      </c>
      <c r="AM370" s="798">
        <f t="shared" si="93"/>
        <v>0</v>
      </c>
      <c r="AN370" s="798">
        <f t="shared" si="93"/>
        <v>0</v>
      </c>
      <c r="AO370" s="798">
        <f t="shared" si="93"/>
        <v>0</v>
      </c>
      <c r="AP370" s="798">
        <f t="shared" si="93"/>
        <v>0</v>
      </c>
      <c r="AQ370" s="798">
        <f t="shared" si="93"/>
        <v>0</v>
      </c>
      <c r="AR370" s="798">
        <f t="shared" si="93"/>
        <v>0</v>
      </c>
      <c r="AS370" s="798">
        <f t="shared" si="93"/>
        <v>0</v>
      </c>
      <c r="AT370" s="798">
        <f t="shared" si="93"/>
        <v>0</v>
      </c>
      <c r="AU370" s="798">
        <f t="shared" si="93"/>
        <v>0</v>
      </c>
      <c r="AV370" s="798">
        <f t="shared" si="93"/>
        <v>0</v>
      </c>
      <c r="AW370" s="798">
        <f t="shared" si="93"/>
        <v>0</v>
      </c>
      <c r="AX370" s="798"/>
    </row>
    <row r="371" spans="1:50" ht="12.75" customHeight="1" x14ac:dyDescent="0.3">
      <c r="A371" s="782"/>
      <c r="B371" s="837" t="s">
        <v>209</v>
      </c>
      <c r="C371" s="822">
        <f>SUM(E371:AX371)</f>
        <v>7325214.6961786663</v>
      </c>
      <c r="D371" s="837"/>
      <c r="E371" s="822">
        <f>SUM(E368:E370)</f>
        <v>0</v>
      </c>
      <c r="F371" s="822">
        <f t="shared" ref="F371:AW371" si="94">SUM(F368:F370)</f>
        <v>331025.47814110655</v>
      </c>
      <c r="G371" s="822">
        <f t="shared" si="94"/>
        <v>338307.14780560439</v>
      </c>
      <c r="H371" s="822">
        <f t="shared" si="94"/>
        <v>344605.67931244482</v>
      </c>
      <c r="I371" s="822">
        <f t="shared" si="94"/>
        <v>354763.41500354192</v>
      </c>
      <c r="J371" s="822">
        <f t="shared" si="94"/>
        <v>386388.31909983052</v>
      </c>
      <c r="K371" s="822">
        <f t="shared" si="94"/>
        <v>407004.01225175482</v>
      </c>
      <c r="L371" s="822">
        <f t="shared" si="94"/>
        <v>415681.52222095698</v>
      </c>
      <c r="M371" s="822">
        <f t="shared" si="94"/>
        <v>425161.67085371149</v>
      </c>
      <c r="N371" s="822">
        <f t="shared" si="94"/>
        <v>229882.47755479137</v>
      </c>
      <c r="O371" s="822">
        <f t="shared" si="94"/>
        <v>132657.36412724471</v>
      </c>
      <c r="P371" s="822">
        <f t="shared" si="94"/>
        <v>143011.0426000749</v>
      </c>
      <c r="Q371" s="822">
        <f t="shared" si="94"/>
        <v>163930.98414053989</v>
      </c>
      <c r="R371" s="822">
        <f t="shared" si="94"/>
        <v>165874.50973198438</v>
      </c>
      <c r="S371" s="822">
        <f t="shared" si="94"/>
        <v>167626.63435186777</v>
      </c>
      <c r="T371" s="822">
        <f t="shared" si="94"/>
        <v>169322.41378932656</v>
      </c>
      <c r="U371" s="822">
        <f t="shared" si="94"/>
        <v>170968.88144693582</v>
      </c>
      <c r="V371" s="822">
        <f t="shared" si="94"/>
        <v>172536.73286359158</v>
      </c>
      <c r="W371" s="822">
        <f t="shared" si="94"/>
        <v>174060.1468175042</v>
      </c>
      <c r="X371" s="822">
        <f t="shared" si="94"/>
        <v>175674.06325276752</v>
      </c>
      <c r="Y371" s="822">
        <f t="shared" si="94"/>
        <v>177448.07014071831</v>
      </c>
      <c r="Z371" s="822">
        <f t="shared" si="94"/>
        <v>179300.88301853539</v>
      </c>
      <c r="AA371" s="822">
        <f t="shared" si="94"/>
        <v>181123.56767486513</v>
      </c>
      <c r="AB371" s="822">
        <f t="shared" si="94"/>
        <v>182989.45221485267</v>
      </c>
      <c r="AC371" s="822">
        <f t="shared" si="94"/>
        <v>184947.99060844549</v>
      </c>
      <c r="AD371" s="822">
        <f t="shared" si="94"/>
        <v>186918.71732250589</v>
      </c>
      <c r="AE371" s="822">
        <f t="shared" si="94"/>
        <v>188824.5994132437</v>
      </c>
      <c r="AF371" s="822">
        <f t="shared" si="94"/>
        <v>190769.3453449574</v>
      </c>
      <c r="AG371" s="822">
        <f t="shared" si="94"/>
        <v>192810.64042253554</v>
      </c>
      <c r="AH371" s="822">
        <f t="shared" si="94"/>
        <v>194864.617710041</v>
      </c>
      <c r="AI371" s="822">
        <f t="shared" si="94"/>
        <v>196851.00286745111</v>
      </c>
      <c r="AJ371" s="822">
        <f t="shared" si="94"/>
        <v>198877.90282876254</v>
      </c>
      <c r="AK371" s="822">
        <f t="shared" si="94"/>
        <v>201005.41124617151</v>
      </c>
      <c r="AL371" s="822">
        <f t="shared" si="94"/>
        <v>0</v>
      </c>
      <c r="AM371" s="822">
        <f t="shared" si="94"/>
        <v>0</v>
      </c>
      <c r="AN371" s="822">
        <f t="shared" si="94"/>
        <v>0</v>
      </c>
      <c r="AO371" s="822">
        <f t="shared" si="94"/>
        <v>0</v>
      </c>
      <c r="AP371" s="822">
        <f t="shared" si="94"/>
        <v>0</v>
      </c>
      <c r="AQ371" s="822">
        <f t="shared" si="94"/>
        <v>0</v>
      </c>
      <c r="AR371" s="822">
        <f t="shared" si="94"/>
        <v>0</v>
      </c>
      <c r="AS371" s="822">
        <f t="shared" si="94"/>
        <v>0</v>
      </c>
      <c r="AT371" s="822">
        <f t="shared" si="94"/>
        <v>0</v>
      </c>
      <c r="AU371" s="822">
        <f t="shared" si="94"/>
        <v>0</v>
      </c>
      <c r="AV371" s="822">
        <f t="shared" si="94"/>
        <v>0</v>
      </c>
      <c r="AW371" s="822">
        <f t="shared" si="94"/>
        <v>0</v>
      </c>
      <c r="AX371" s="798"/>
    </row>
    <row r="372" spans="1:50" ht="12.75" customHeight="1" x14ac:dyDescent="0.3">
      <c r="A372" s="782"/>
      <c r="B372" s="782"/>
      <c r="C372" s="798"/>
      <c r="D372" s="782"/>
      <c r="E372" s="798"/>
      <c r="F372" s="798"/>
      <c r="G372" s="798"/>
      <c r="H372" s="798"/>
      <c r="I372" s="798"/>
      <c r="J372" s="798"/>
      <c r="K372" s="798"/>
      <c r="L372" s="798"/>
      <c r="M372" s="798"/>
      <c r="N372" s="798"/>
      <c r="O372" s="798"/>
      <c r="P372" s="798"/>
      <c r="Q372" s="798"/>
      <c r="R372" s="798"/>
      <c r="S372" s="798"/>
      <c r="T372" s="798"/>
      <c r="U372" s="798"/>
      <c r="V372" s="798"/>
      <c r="W372" s="798"/>
      <c r="X372" s="798"/>
      <c r="Y372" s="798"/>
      <c r="Z372" s="798"/>
      <c r="AA372" s="798"/>
      <c r="AB372" s="798"/>
      <c r="AC372" s="798"/>
      <c r="AD372" s="798"/>
      <c r="AE372" s="798"/>
      <c r="AF372" s="798"/>
      <c r="AG372" s="798"/>
      <c r="AH372" s="798"/>
      <c r="AI372" s="798"/>
      <c r="AJ372" s="798"/>
      <c r="AK372" s="798"/>
      <c r="AL372" s="798"/>
      <c r="AM372" s="798"/>
      <c r="AN372" s="798"/>
      <c r="AO372" s="798"/>
      <c r="AP372" s="798"/>
      <c r="AQ372" s="798"/>
      <c r="AR372" s="798"/>
      <c r="AS372" s="798"/>
      <c r="AT372" s="798"/>
      <c r="AU372" s="798"/>
      <c r="AV372" s="798"/>
      <c r="AW372" s="798"/>
      <c r="AX372" s="798"/>
    </row>
    <row r="373" spans="1:50" ht="12.75" customHeight="1" x14ac:dyDescent="0.3">
      <c r="A373" s="782"/>
      <c r="B373" s="782" t="s">
        <v>210</v>
      </c>
      <c r="C373" s="798">
        <f>SUM(E373:AX373)</f>
        <v>19930088.564773571</v>
      </c>
      <c r="D373" s="782"/>
      <c r="E373" s="798">
        <f>E371+E361</f>
        <v>0</v>
      </c>
      <c r="F373" s="798">
        <f t="shared" ref="F373:AW373" si="95">F371+F361</f>
        <v>331025.47814110655</v>
      </c>
      <c r="G373" s="798">
        <f t="shared" si="95"/>
        <v>338307.14780560439</v>
      </c>
      <c r="H373" s="798">
        <f t="shared" si="95"/>
        <v>344605.67931244482</v>
      </c>
      <c r="I373" s="798">
        <f t="shared" si="95"/>
        <v>354763.41500354192</v>
      </c>
      <c r="J373" s="798">
        <f t="shared" si="95"/>
        <v>386388.31909983052</v>
      </c>
      <c r="K373" s="798">
        <f t="shared" si="95"/>
        <v>407004.01225175482</v>
      </c>
      <c r="L373" s="798">
        <f t="shared" si="95"/>
        <v>415681.52222095698</v>
      </c>
      <c r="M373" s="798">
        <f t="shared" si="95"/>
        <v>425161.67085371149</v>
      </c>
      <c r="N373" s="798">
        <f t="shared" si="95"/>
        <v>229882.47755479137</v>
      </c>
      <c r="O373" s="798">
        <f t="shared" si="95"/>
        <v>132657.36412724471</v>
      </c>
      <c r="P373" s="798">
        <f t="shared" si="95"/>
        <v>7011737.8242662409</v>
      </c>
      <c r="Q373" s="798">
        <f t="shared" si="95"/>
        <v>163930.98414053989</v>
      </c>
      <c r="R373" s="798">
        <f t="shared" si="95"/>
        <v>165874.50973198438</v>
      </c>
      <c r="S373" s="798">
        <f t="shared" si="95"/>
        <v>167626.63435186777</v>
      </c>
      <c r="T373" s="798">
        <f t="shared" si="95"/>
        <v>169322.41378932656</v>
      </c>
      <c r="U373" s="798">
        <f t="shared" si="95"/>
        <v>170968.88144693582</v>
      </c>
      <c r="V373" s="798">
        <f t="shared" si="95"/>
        <v>172536.73286359158</v>
      </c>
      <c r="W373" s="798">
        <f t="shared" si="95"/>
        <v>174060.1468175042</v>
      </c>
      <c r="X373" s="798">
        <f t="shared" si="95"/>
        <v>175674.06325276752</v>
      </c>
      <c r="Y373" s="798">
        <f t="shared" si="95"/>
        <v>177448.07014071831</v>
      </c>
      <c r="Z373" s="798">
        <f t="shared" si="95"/>
        <v>179300.88301853539</v>
      </c>
      <c r="AA373" s="798">
        <f t="shared" si="95"/>
        <v>181123.56767486513</v>
      </c>
      <c r="AB373" s="798">
        <f t="shared" si="95"/>
        <v>182989.45221485267</v>
      </c>
      <c r="AC373" s="798">
        <f t="shared" si="95"/>
        <v>184947.99060844549</v>
      </c>
      <c r="AD373" s="798">
        <f t="shared" si="95"/>
        <v>186918.71732250589</v>
      </c>
      <c r="AE373" s="798">
        <f t="shared" si="95"/>
        <v>188824.5994132437</v>
      </c>
      <c r="AF373" s="798">
        <f t="shared" si="95"/>
        <v>190769.3453449574</v>
      </c>
      <c r="AG373" s="798">
        <f t="shared" si="95"/>
        <v>192810.64042253554</v>
      </c>
      <c r="AH373" s="798">
        <f t="shared" si="95"/>
        <v>194864.617710041</v>
      </c>
      <c r="AI373" s="798">
        <f t="shared" si="95"/>
        <v>196851.00286745111</v>
      </c>
      <c r="AJ373" s="798">
        <f t="shared" si="95"/>
        <v>198877.90282876254</v>
      </c>
      <c r="AK373" s="798">
        <f t="shared" si="95"/>
        <v>5937152.4981749104</v>
      </c>
      <c r="AL373" s="798">
        <f t="shared" si="95"/>
        <v>0</v>
      </c>
      <c r="AM373" s="798">
        <f t="shared" si="95"/>
        <v>0</v>
      </c>
      <c r="AN373" s="798">
        <f t="shared" si="95"/>
        <v>0</v>
      </c>
      <c r="AO373" s="798">
        <f t="shared" si="95"/>
        <v>0</v>
      </c>
      <c r="AP373" s="798">
        <f t="shared" si="95"/>
        <v>0</v>
      </c>
      <c r="AQ373" s="798">
        <f t="shared" si="95"/>
        <v>0</v>
      </c>
      <c r="AR373" s="798">
        <f t="shared" si="95"/>
        <v>0</v>
      </c>
      <c r="AS373" s="798">
        <f t="shared" si="95"/>
        <v>0</v>
      </c>
      <c r="AT373" s="798">
        <f t="shared" si="95"/>
        <v>0</v>
      </c>
      <c r="AU373" s="798">
        <f t="shared" si="95"/>
        <v>0</v>
      </c>
      <c r="AV373" s="798">
        <f t="shared" si="95"/>
        <v>0</v>
      </c>
      <c r="AW373" s="798">
        <f t="shared" si="95"/>
        <v>0</v>
      </c>
      <c r="AX373" s="798"/>
    </row>
    <row r="374" spans="1:50" ht="12.75" customHeight="1" x14ac:dyDescent="0.3">
      <c r="A374" s="782"/>
      <c r="B374" s="782"/>
      <c r="C374" s="798"/>
      <c r="D374" s="782"/>
      <c r="E374" s="798"/>
      <c r="F374" s="798"/>
      <c r="G374" s="798"/>
      <c r="H374" s="798"/>
      <c r="I374" s="798"/>
      <c r="J374" s="798"/>
      <c r="K374" s="798"/>
      <c r="L374" s="798"/>
      <c r="M374" s="798"/>
      <c r="N374" s="798"/>
      <c r="O374" s="798"/>
      <c r="P374" s="798"/>
      <c r="Q374" s="798"/>
      <c r="R374" s="798"/>
      <c r="S374" s="798"/>
      <c r="T374" s="798"/>
      <c r="U374" s="798"/>
      <c r="V374" s="798"/>
      <c r="W374" s="798"/>
      <c r="X374" s="798"/>
      <c r="Y374" s="798"/>
      <c r="Z374" s="798"/>
      <c r="AA374" s="798"/>
      <c r="AB374" s="798"/>
      <c r="AC374" s="798"/>
      <c r="AD374" s="798"/>
      <c r="AE374" s="798"/>
      <c r="AF374" s="798"/>
      <c r="AG374" s="798"/>
      <c r="AH374" s="798"/>
      <c r="AI374" s="798"/>
      <c r="AJ374" s="798"/>
      <c r="AK374" s="798"/>
      <c r="AL374" s="798"/>
      <c r="AM374" s="798"/>
      <c r="AN374" s="798"/>
      <c r="AO374" s="798"/>
      <c r="AP374" s="798"/>
      <c r="AQ374" s="798"/>
      <c r="AR374" s="798"/>
      <c r="AS374" s="798"/>
      <c r="AT374" s="798"/>
      <c r="AU374" s="798"/>
      <c r="AV374" s="798"/>
      <c r="AW374" s="798"/>
      <c r="AX374" s="798"/>
    </row>
    <row r="375" spans="1:50" ht="12.75" customHeight="1" x14ac:dyDescent="0.3">
      <c r="A375" s="782"/>
      <c r="B375" s="796" t="s">
        <v>211</v>
      </c>
      <c r="C375" s="798"/>
      <c r="D375" s="782"/>
      <c r="E375" s="798"/>
      <c r="F375" s="798"/>
      <c r="G375" s="798"/>
      <c r="H375" s="798"/>
      <c r="I375" s="798"/>
      <c r="J375" s="798"/>
      <c r="K375" s="798"/>
      <c r="L375" s="798"/>
      <c r="M375" s="798"/>
      <c r="N375" s="798"/>
      <c r="O375" s="798"/>
      <c r="P375" s="798"/>
      <c r="Q375" s="798"/>
      <c r="R375" s="798"/>
      <c r="S375" s="798"/>
      <c r="T375" s="798"/>
      <c r="U375" s="798"/>
      <c r="V375" s="798"/>
      <c r="W375" s="798"/>
      <c r="X375" s="798"/>
      <c r="Y375" s="798"/>
      <c r="Z375" s="798"/>
      <c r="AA375" s="798"/>
      <c r="AB375" s="798"/>
      <c r="AC375" s="798"/>
      <c r="AD375" s="798"/>
      <c r="AE375" s="798"/>
      <c r="AF375" s="798"/>
      <c r="AG375" s="798"/>
      <c r="AH375" s="798"/>
      <c r="AI375" s="798"/>
      <c r="AJ375" s="798"/>
      <c r="AK375" s="798"/>
      <c r="AL375" s="798"/>
      <c r="AM375" s="798"/>
      <c r="AN375" s="798"/>
      <c r="AO375" s="798"/>
      <c r="AP375" s="798"/>
      <c r="AQ375" s="798"/>
      <c r="AR375" s="798"/>
      <c r="AS375" s="798"/>
      <c r="AT375" s="798"/>
      <c r="AU375" s="798"/>
      <c r="AV375" s="798"/>
      <c r="AW375" s="798"/>
      <c r="AX375" s="798"/>
    </row>
    <row r="376" spans="1:50" ht="12.75" customHeight="1" x14ac:dyDescent="0.3">
      <c r="A376" s="782"/>
      <c r="B376" s="782"/>
      <c r="C376" s="798"/>
      <c r="D376" s="782"/>
      <c r="E376" s="798"/>
      <c r="F376" s="798"/>
      <c r="G376" s="798"/>
      <c r="H376" s="798"/>
      <c r="I376" s="798"/>
      <c r="J376" s="798"/>
      <c r="K376" s="798"/>
      <c r="L376" s="798"/>
      <c r="M376" s="798"/>
      <c r="N376" s="798"/>
      <c r="O376" s="798"/>
      <c r="P376" s="798"/>
      <c r="Q376" s="798"/>
      <c r="R376" s="798"/>
      <c r="S376" s="798"/>
      <c r="T376" s="798"/>
      <c r="U376" s="798"/>
      <c r="V376" s="798"/>
      <c r="W376" s="798"/>
      <c r="X376" s="798"/>
      <c r="Y376" s="798"/>
      <c r="Z376" s="798"/>
      <c r="AA376" s="798"/>
      <c r="AB376" s="798"/>
      <c r="AC376" s="798"/>
      <c r="AD376" s="798"/>
      <c r="AE376" s="798"/>
      <c r="AF376" s="798"/>
      <c r="AG376" s="798"/>
      <c r="AH376" s="798"/>
      <c r="AI376" s="798"/>
      <c r="AJ376" s="798"/>
      <c r="AK376" s="798"/>
      <c r="AL376" s="798"/>
      <c r="AM376" s="798"/>
      <c r="AN376" s="798"/>
      <c r="AO376" s="798"/>
      <c r="AP376" s="798"/>
      <c r="AQ376" s="798"/>
      <c r="AR376" s="798"/>
      <c r="AS376" s="798"/>
      <c r="AT376" s="798"/>
      <c r="AU376" s="798"/>
      <c r="AV376" s="798"/>
      <c r="AW376" s="798"/>
      <c r="AX376" s="798"/>
    </row>
    <row r="377" spans="1:50" s="182" customFormat="1" ht="12.75" customHeight="1" x14ac:dyDescent="0.3">
      <c r="A377" s="487"/>
      <c r="B377" s="487" t="s">
        <v>217</v>
      </c>
      <c r="C377" s="838">
        <f>SUM(E377:AX377)</f>
        <v>42085104.664852932</v>
      </c>
      <c r="D377" s="487"/>
      <c r="E377" s="838">
        <f>E354</f>
        <v>-1459520.0769018831</v>
      </c>
      <c r="F377" s="838">
        <f t="shared" ref="F377:AW377" si="96">F354</f>
        <v>-12345896.192642419</v>
      </c>
      <c r="G377" s="838">
        <f t="shared" si="96"/>
        <v>-4020413.4978727973</v>
      </c>
      <c r="H377" s="838">
        <f t="shared" si="96"/>
        <v>-7113584.8573644562</v>
      </c>
      <c r="I377" s="838">
        <f t="shared" si="96"/>
        <v>-1605499.9103526662</v>
      </c>
      <c r="J377" s="838">
        <f t="shared" si="96"/>
        <v>-54388.03755073488</v>
      </c>
      <c r="K377" s="838">
        <f t="shared" si="96"/>
        <v>-62360.422992373416</v>
      </c>
      <c r="L377" s="838">
        <f t="shared" si="96"/>
        <v>-68877.232724356218</v>
      </c>
      <c r="M377" s="838">
        <f t="shared" si="96"/>
        <v>-40147.638995760135</v>
      </c>
      <c r="N377" s="838">
        <f t="shared" si="96"/>
        <v>250763.27179199544</v>
      </c>
      <c r="O377" s="838">
        <f t="shared" si="96"/>
        <v>604918.57441590796</v>
      </c>
      <c r="P377" s="838">
        <f t="shared" si="96"/>
        <v>6236334.118933321</v>
      </c>
      <c r="Q377" s="838">
        <f t="shared" si="96"/>
        <v>468133.48654812638</v>
      </c>
      <c r="R377" s="838">
        <f t="shared" si="96"/>
        <v>484460.04658486089</v>
      </c>
      <c r="S377" s="838">
        <f t="shared" si="96"/>
        <v>483805.87510141433</v>
      </c>
      <c r="T377" s="838">
        <f t="shared" si="96"/>
        <v>497088.47670526849</v>
      </c>
      <c r="U377" s="838">
        <f t="shared" si="96"/>
        <v>510318.846271166</v>
      </c>
      <c r="V377" s="838">
        <f t="shared" si="96"/>
        <v>521347.81237944035</v>
      </c>
      <c r="W377" s="838">
        <f t="shared" si="96"/>
        <v>517993.70070256793</v>
      </c>
      <c r="X377" s="838">
        <f t="shared" si="96"/>
        <v>527047.30438257125</v>
      </c>
      <c r="Y377" s="838">
        <f t="shared" si="96"/>
        <v>538516.03421209392</v>
      </c>
      <c r="Z377" s="838">
        <f t="shared" si="96"/>
        <v>550897.32306008728</v>
      </c>
      <c r="AA377" s="838">
        <f t="shared" si="96"/>
        <v>549792.3583502759</v>
      </c>
      <c r="AB377" s="838">
        <f t="shared" si="96"/>
        <v>561951.829017087</v>
      </c>
      <c r="AC377" s="838">
        <f t="shared" si="96"/>
        <v>576030.76470381545</v>
      </c>
      <c r="AD377" s="838">
        <f t="shared" si="96"/>
        <v>590093.36366511486</v>
      </c>
      <c r="AE377" s="838">
        <f t="shared" si="96"/>
        <v>589737.99589725386</v>
      </c>
      <c r="AF377" s="838">
        <f t="shared" si="96"/>
        <v>602850.02441503061</v>
      </c>
      <c r="AG377" s="838">
        <f t="shared" si="96"/>
        <v>617819.623250023</v>
      </c>
      <c r="AH377" s="838">
        <f t="shared" si="96"/>
        <v>632712.13451882999</v>
      </c>
      <c r="AI377" s="838">
        <f t="shared" si="96"/>
        <v>632554.92273360596</v>
      </c>
      <c r="AJ377" s="838">
        <f t="shared" si="96"/>
        <v>646218.05157581693</v>
      </c>
      <c r="AK377" s="838">
        <f t="shared" si="96"/>
        <v>50664406.593034707</v>
      </c>
      <c r="AL377" s="838">
        <f t="shared" si="96"/>
        <v>0</v>
      </c>
      <c r="AM377" s="838">
        <f t="shared" si="96"/>
        <v>0</v>
      </c>
      <c r="AN377" s="838">
        <f t="shared" si="96"/>
        <v>0</v>
      </c>
      <c r="AO377" s="838">
        <f t="shared" si="96"/>
        <v>0</v>
      </c>
      <c r="AP377" s="838">
        <f t="shared" si="96"/>
        <v>0</v>
      </c>
      <c r="AQ377" s="838">
        <f t="shared" si="96"/>
        <v>0</v>
      </c>
      <c r="AR377" s="838">
        <f t="shared" si="96"/>
        <v>0</v>
      </c>
      <c r="AS377" s="838">
        <f t="shared" si="96"/>
        <v>0</v>
      </c>
      <c r="AT377" s="838">
        <f t="shared" si="96"/>
        <v>0</v>
      </c>
      <c r="AU377" s="838">
        <f t="shared" si="96"/>
        <v>0</v>
      </c>
      <c r="AV377" s="838">
        <f t="shared" si="96"/>
        <v>0</v>
      </c>
      <c r="AW377" s="838">
        <f t="shared" si="96"/>
        <v>0</v>
      </c>
      <c r="AX377" s="838"/>
    </row>
    <row r="378" spans="1:50" s="182" customFormat="1" ht="12.75" customHeight="1" x14ac:dyDescent="0.3">
      <c r="A378" s="487"/>
      <c r="B378" s="487" t="s">
        <v>210</v>
      </c>
      <c r="C378" s="838">
        <f>SUM(E378:AX378)</f>
        <v>19930088.564773571</v>
      </c>
      <c r="D378" s="487"/>
      <c r="E378" s="838">
        <f>E373</f>
        <v>0</v>
      </c>
      <c r="F378" s="838">
        <f t="shared" ref="F378:AW378" si="97">F373</f>
        <v>331025.47814110655</v>
      </c>
      <c r="G378" s="838">
        <f t="shared" si="97"/>
        <v>338307.14780560439</v>
      </c>
      <c r="H378" s="838">
        <f t="shared" si="97"/>
        <v>344605.67931244482</v>
      </c>
      <c r="I378" s="838">
        <f t="shared" si="97"/>
        <v>354763.41500354192</v>
      </c>
      <c r="J378" s="838">
        <f t="shared" si="97"/>
        <v>386388.31909983052</v>
      </c>
      <c r="K378" s="838">
        <f t="shared" si="97"/>
        <v>407004.01225175482</v>
      </c>
      <c r="L378" s="838">
        <f t="shared" si="97"/>
        <v>415681.52222095698</v>
      </c>
      <c r="M378" s="838">
        <f t="shared" si="97"/>
        <v>425161.67085371149</v>
      </c>
      <c r="N378" s="838">
        <f t="shared" si="97"/>
        <v>229882.47755479137</v>
      </c>
      <c r="O378" s="838">
        <f t="shared" si="97"/>
        <v>132657.36412724471</v>
      </c>
      <c r="P378" s="838">
        <f t="shared" si="97"/>
        <v>7011737.8242662409</v>
      </c>
      <c r="Q378" s="838">
        <f t="shared" si="97"/>
        <v>163930.98414053989</v>
      </c>
      <c r="R378" s="838">
        <f t="shared" si="97"/>
        <v>165874.50973198438</v>
      </c>
      <c r="S378" s="838">
        <f t="shared" si="97"/>
        <v>167626.63435186777</v>
      </c>
      <c r="T378" s="838">
        <f t="shared" si="97"/>
        <v>169322.41378932656</v>
      </c>
      <c r="U378" s="838">
        <f t="shared" si="97"/>
        <v>170968.88144693582</v>
      </c>
      <c r="V378" s="838">
        <f t="shared" si="97"/>
        <v>172536.73286359158</v>
      </c>
      <c r="W378" s="838">
        <f t="shared" si="97"/>
        <v>174060.1468175042</v>
      </c>
      <c r="X378" s="838">
        <f t="shared" si="97"/>
        <v>175674.06325276752</v>
      </c>
      <c r="Y378" s="838">
        <f t="shared" si="97"/>
        <v>177448.07014071831</v>
      </c>
      <c r="Z378" s="838">
        <f t="shared" si="97"/>
        <v>179300.88301853539</v>
      </c>
      <c r="AA378" s="838">
        <f t="shared" si="97"/>
        <v>181123.56767486513</v>
      </c>
      <c r="AB378" s="838">
        <f t="shared" si="97"/>
        <v>182989.45221485267</v>
      </c>
      <c r="AC378" s="838">
        <f t="shared" si="97"/>
        <v>184947.99060844549</v>
      </c>
      <c r="AD378" s="838">
        <f t="shared" si="97"/>
        <v>186918.71732250589</v>
      </c>
      <c r="AE378" s="838">
        <f t="shared" si="97"/>
        <v>188824.5994132437</v>
      </c>
      <c r="AF378" s="838">
        <f t="shared" si="97"/>
        <v>190769.3453449574</v>
      </c>
      <c r="AG378" s="838">
        <f t="shared" si="97"/>
        <v>192810.64042253554</v>
      </c>
      <c r="AH378" s="838">
        <f t="shared" si="97"/>
        <v>194864.617710041</v>
      </c>
      <c r="AI378" s="838">
        <f t="shared" si="97"/>
        <v>196851.00286745111</v>
      </c>
      <c r="AJ378" s="838">
        <f t="shared" si="97"/>
        <v>198877.90282876254</v>
      </c>
      <c r="AK378" s="838">
        <f t="shared" si="97"/>
        <v>5937152.4981749104</v>
      </c>
      <c r="AL378" s="838">
        <f t="shared" si="97"/>
        <v>0</v>
      </c>
      <c r="AM378" s="838">
        <f t="shared" si="97"/>
        <v>0</v>
      </c>
      <c r="AN378" s="838">
        <f t="shared" si="97"/>
        <v>0</v>
      </c>
      <c r="AO378" s="838">
        <f t="shared" si="97"/>
        <v>0</v>
      </c>
      <c r="AP378" s="838">
        <f t="shared" si="97"/>
        <v>0</v>
      </c>
      <c r="AQ378" s="838">
        <f t="shared" si="97"/>
        <v>0</v>
      </c>
      <c r="AR378" s="838">
        <f t="shared" si="97"/>
        <v>0</v>
      </c>
      <c r="AS378" s="838">
        <f t="shared" si="97"/>
        <v>0</v>
      </c>
      <c r="AT378" s="838">
        <f t="shared" si="97"/>
        <v>0</v>
      </c>
      <c r="AU378" s="838">
        <f t="shared" si="97"/>
        <v>0</v>
      </c>
      <c r="AV378" s="838">
        <f t="shared" si="97"/>
        <v>0</v>
      </c>
      <c r="AW378" s="838">
        <f t="shared" si="97"/>
        <v>0</v>
      </c>
      <c r="AX378" s="838"/>
    </row>
    <row r="379" spans="1:50" s="208" customFormat="1" ht="12.75" customHeight="1" x14ac:dyDescent="0.3">
      <c r="A379" s="841"/>
      <c r="B379" s="839" t="s">
        <v>213</v>
      </c>
      <c r="C379" s="840">
        <f>SUM(E379:AX379)</f>
        <v>62015193.229626507</v>
      </c>
      <c r="D379" s="839"/>
      <c r="E379" s="840">
        <f>SUM(E377:E378)</f>
        <v>-1459520.0769018831</v>
      </c>
      <c r="F379" s="840">
        <f t="shared" ref="F379:AW379" si="98">SUM(F377:F378)</f>
        <v>-12014870.714501312</v>
      </c>
      <c r="G379" s="840">
        <f t="shared" si="98"/>
        <v>-3682106.3500671927</v>
      </c>
      <c r="H379" s="840">
        <f t="shared" si="98"/>
        <v>-6768979.1780520109</v>
      </c>
      <c r="I379" s="840">
        <f t="shared" si="98"/>
        <v>-1250736.4953491243</v>
      </c>
      <c r="J379" s="840">
        <f t="shared" si="98"/>
        <v>332000.28154909564</v>
      </c>
      <c r="K379" s="840">
        <f t="shared" si="98"/>
        <v>344643.58925938141</v>
      </c>
      <c r="L379" s="840">
        <f t="shared" si="98"/>
        <v>346804.28949660074</v>
      </c>
      <c r="M379" s="840">
        <f t="shared" si="98"/>
        <v>385014.03185795137</v>
      </c>
      <c r="N379" s="840">
        <f t="shared" si="98"/>
        <v>480645.74934678682</v>
      </c>
      <c r="O379" s="840">
        <f t="shared" si="98"/>
        <v>737575.93854315265</v>
      </c>
      <c r="P379" s="840">
        <f t="shared" si="98"/>
        <v>13248071.943199562</v>
      </c>
      <c r="Q379" s="840">
        <f t="shared" si="98"/>
        <v>632064.47068866622</v>
      </c>
      <c r="R379" s="840">
        <f t="shared" si="98"/>
        <v>650334.55631684524</v>
      </c>
      <c r="S379" s="840">
        <f t="shared" si="98"/>
        <v>651432.50945328211</v>
      </c>
      <c r="T379" s="840">
        <f t="shared" si="98"/>
        <v>666410.89049459505</v>
      </c>
      <c r="U379" s="840">
        <f t="shared" si="98"/>
        <v>681287.72771810181</v>
      </c>
      <c r="V379" s="840">
        <f t="shared" si="98"/>
        <v>693884.54524303193</v>
      </c>
      <c r="W379" s="840">
        <f t="shared" si="98"/>
        <v>692053.84752007213</v>
      </c>
      <c r="X379" s="840">
        <f t="shared" si="98"/>
        <v>702721.3676353388</v>
      </c>
      <c r="Y379" s="840">
        <f t="shared" si="98"/>
        <v>715964.10435281228</v>
      </c>
      <c r="Z379" s="840">
        <f t="shared" si="98"/>
        <v>730198.20607862272</v>
      </c>
      <c r="AA379" s="840">
        <f t="shared" si="98"/>
        <v>730915.92602514103</v>
      </c>
      <c r="AB379" s="840">
        <f t="shared" si="98"/>
        <v>744941.28123193968</v>
      </c>
      <c r="AC379" s="840">
        <f t="shared" si="98"/>
        <v>760978.75531226094</v>
      </c>
      <c r="AD379" s="840">
        <f t="shared" si="98"/>
        <v>777012.08098762075</v>
      </c>
      <c r="AE379" s="840">
        <f t="shared" si="98"/>
        <v>778562.59531049756</v>
      </c>
      <c r="AF379" s="840">
        <f t="shared" si="98"/>
        <v>793619.36975998804</v>
      </c>
      <c r="AG379" s="840">
        <f t="shared" si="98"/>
        <v>810630.26367255859</v>
      </c>
      <c r="AH379" s="840">
        <f t="shared" si="98"/>
        <v>827576.75222887099</v>
      </c>
      <c r="AI379" s="840">
        <f t="shared" si="98"/>
        <v>829405.92560105701</v>
      </c>
      <c r="AJ379" s="840">
        <f t="shared" si="98"/>
        <v>845095.95440457948</v>
      </c>
      <c r="AK379" s="840">
        <f t="shared" si="98"/>
        <v>56601559.09120962</v>
      </c>
      <c r="AL379" s="840">
        <f t="shared" si="98"/>
        <v>0</v>
      </c>
      <c r="AM379" s="840">
        <f t="shared" si="98"/>
        <v>0</v>
      </c>
      <c r="AN379" s="840">
        <f t="shared" si="98"/>
        <v>0</v>
      </c>
      <c r="AO379" s="840">
        <f t="shared" si="98"/>
        <v>0</v>
      </c>
      <c r="AP379" s="840">
        <f t="shared" si="98"/>
        <v>0</v>
      </c>
      <c r="AQ379" s="840">
        <f t="shared" si="98"/>
        <v>0</v>
      </c>
      <c r="AR379" s="840">
        <f t="shared" si="98"/>
        <v>0</v>
      </c>
      <c r="AS379" s="840">
        <f t="shared" si="98"/>
        <v>0</v>
      </c>
      <c r="AT379" s="840">
        <f t="shared" si="98"/>
        <v>0</v>
      </c>
      <c r="AU379" s="840">
        <f t="shared" si="98"/>
        <v>0</v>
      </c>
      <c r="AV379" s="840">
        <f t="shared" si="98"/>
        <v>0</v>
      </c>
      <c r="AW379" s="840">
        <f t="shared" si="98"/>
        <v>0</v>
      </c>
      <c r="AX379" s="844"/>
    </row>
    <row r="380" spans="1:50" s="208" customFormat="1" ht="12.75" customHeight="1" x14ac:dyDescent="0.3">
      <c r="A380" s="841"/>
      <c r="B380" s="842" t="s">
        <v>214</v>
      </c>
      <c r="C380" s="843">
        <f>'Venture Summary - Mthly'!C383</f>
        <v>0.24556238055229185</v>
      </c>
      <c r="D380" s="841"/>
      <c r="E380" s="844"/>
      <c r="F380" s="844"/>
      <c r="G380" s="844"/>
      <c r="H380" s="844"/>
      <c r="I380" s="844"/>
      <c r="J380" s="844"/>
      <c r="K380" s="844"/>
      <c r="L380" s="844"/>
      <c r="M380" s="844"/>
      <c r="N380" s="844"/>
      <c r="O380" s="844"/>
      <c r="P380" s="844"/>
      <c r="Q380" s="844"/>
      <c r="R380" s="844"/>
      <c r="S380" s="844"/>
      <c r="T380" s="844"/>
      <c r="U380" s="844"/>
      <c r="V380" s="844"/>
      <c r="W380" s="844"/>
      <c r="X380" s="844"/>
      <c r="Y380" s="844"/>
      <c r="Z380" s="844"/>
      <c r="AA380" s="844"/>
      <c r="AB380" s="844"/>
      <c r="AC380" s="844"/>
      <c r="AD380" s="844"/>
      <c r="AE380" s="844"/>
      <c r="AF380" s="844"/>
      <c r="AG380" s="844"/>
      <c r="AH380" s="844"/>
      <c r="AI380" s="844"/>
      <c r="AJ380" s="844"/>
      <c r="AK380" s="844"/>
      <c r="AL380" s="844"/>
      <c r="AM380" s="844"/>
      <c r="AN380" s="844"/>
      <c r="AO380" s="844"/>
      <c r="AP380" s="844"/>
      <c r="AQ380" s="844"/>
      <c r="AR380" s="844"/>
      <c r="AS380" s="844"/>
      <c r="AT380" s="844"/>
      <c r="AU380" s="844"/>
      <c r="AV380" s="844"/>
      <c r="AW380" s="844"/>
      <c r="AX380" s="844"/>
    </row>
    <row r="381" spans="1:50" s="208" customFormat="1" ht="12.75" customHeight="1" x14ac:dyDescent="0.3">
      <c r="A381" s="841"/>
      <c r="B381" s="845" t="s">
        <v>204</v>
      </c>
      <c r="C381" s="846">
        <f>'Venture Summary - Mthly'!C384</f>
        <v>3.4432172837586199</v>
      </c>
      <c r="D381" s="841"/>
      <c r="E381" s="844"/>
      <c r="F381" s="844"/>
      <c r="G381" s="844"/>
      <c r="H381" s="844"/>
      <c r="I381" s="844"/>
      <c r="J381" s="844"/>
      <c r="K381" s="844"/>
      <c r="L381" s="844"/>
      <c r="M381" s="844"/>
      <c r="N381" s="844"/>
      <c r="O381" s="844"/>
      <c r="P381" s="844"/>
      <c r="Q381" s="844"/>
      <c r="R381" s="844"/>
      <c r="S381" s="844"/>
      <c r="T381" s="844"/>
      <c r="U381" s="844"/>
      <c r="V381" s="844"/>
      <c r="W381" s="844"/>
      <c r="X381" s="844"/>
      <c r="Y381" s="844"/>
      <c r="Z381" s="844"/>
      <c r="AA381" s="844"/>
      <c r="AB381" s="844"/>
      <c r="AC381" s="844"/>
      <c r="AD381" s="844"/>
      <c r="AE381" s="844"/>
      <c r="AF381" s="844"/>
      <c r="AG381" s="844"/>
      <c r="AH381" s="844"/>
      <c r="AI381" s="844"/>
      <c r="AJ381" s="844"/>
      <c r="AK381" s="844"/>
      <c r="AL381" s="844"/>
      <c r="AM381" s="844"/>
      <c r="AN381" s="844"/>
      <c r="AO381" s="844"/>
      <c r="AP381" s="844"/>
      <c r="AQ381" s="844"/>
      <c r="AR381" s="844"/>
      <c r="AS381" s="844"/>
      <c r="AT381" s="844"/>
      <c r="AU381" s="844"/>
      <c r="AV381" s="844"/>
      <c r="AW381" s="844"/>
      <c r="AX381" s="844"/>
    </row>
    <row r="382" spans="1:50" ht="12.75" customHeight="1" x14ac:dyDescent="0.3">
      <c r="A382" s="782"/>
      <c r="B382" s="847"/>
      <c r="C382" s="798"/>
      <c r="D382" s="782"/>
      <c r="E382" s="798"/>
      <c r="F382" s="798"/>
      <c r="G382" s="798"/>
      <c r="H382" s="798"/>
      <c r="I382" s="798"/>
      <c r="J382" s="798"/>
      <c r="K382" s="798"/>
      <c r="L382" s="798"/>
      <c r="M382" s="798"/>
      <c r="N382" s="798"/>
      <c r="O382" s="798"/>
      <c r="P382" s="798"/>
      <c r="Q382" s="798"/>
      <c r="R382" s="798"/>
      <c r="S382" s="798"/>
      <c r="T382" s="798"/>
      <c r="U382" s="798"/>
      <c r="V382" s="798"/>
      <c r="W382" s="798"/>
      <c r="X382" s="798"/>
      <c r="Y382" s="798"/>
      <c r="Z382" s="798"/>
      <c r="AA382" s="798"/>
      <c r="AB382" s="798"/>
      <c r="AC382" s="798"/>
      <c r="AD382" s="798"/>
      <c r="AE382" s="798"/>
      <c r="AF382" s="798"/>
      <c r="AG382" s="798"/>
      <c r="AH382" s="798"/>
      <c r="AI382" s="798"/>
      <c r="AJ382" s="798"/>
      <c r="AK382" s="798"/>
      <c r="AL382" s="798"/>
      <c r="AM382" s="798"/>
      <c r="AN382" s="798"/>
      <c r="AO382" s="798"/>
      <c r="AP382" s="798"/>
      <c r="AQ382" s="798"/>
      <c r="AR382" s="798"/>
      <c r="AS382" s="798"/>
      <c r="AT382" s="798"/>
      <c r="AU382" s="798"/>
      <c r="AV382" s="798"/>
      <c r="AW382" s="798"/>
      <c r="AX382" s="798"/>
    </row>
    <row r="383" spans="1:50" ht="12.75" customHeight="1" x14ac:dyDescent="0.3">
      <c r="A383" s="782"/>
      <c r="C383" s="798"/>
      <c r="D383" s="782"/>
      <c r="E383" s="798"/>
      <c r="F383" s="798"/>
      <c r="G383" s="798"/>
      <c r="H383" s="798"/>
      <c r="I383" s="798"/>
      <c r="J383" s="798"/>
      <c r="K383" s="798"/>
      <c r="L383" s="798"/>
      <c r="M383" s="798"/>
      <c r="N383" s="798"/>
      <c r="O383" s="798"/>
      <c r="P383" s="798"/>
      <c r="Q383" s="798"/>
      <c r="R383" s="798"/>
      <c r="S383" s="798"/>
      <c r="T383" s="798"/>
      <c r="U383" s="798"/>
      <c r="V383" s="798"/>
      <c r="W383" s="798"/>
      <c r="X383" s="798"/>
      <c r="Y383" s="798"/>
      <c r="Z383" s="798"/>
      <c r="AA383" s="798"/>
      <c r="AB383" s="798"/>
      <c r="AC383" s="798"/>
      <c r="AD383" s="798"/>
      <c r="AE383" s="798"/>
      <c r="AF383" s="798"/>
      <c r="AG383" s="798"/>
      <c r="AH383" s="798"/>
      <c r="AI383" s="798"/>
      <c r="AJ383" s="798"/>
      <c r="AK383" s="798"/>
      <c r="AL383" s="798"/>
      <c r="AM383" s="798"/>
      <c r="AN383" s="798"/>
      <c r="AO383" s="798"/>
      <c r="AP383" s="798"/>
      <c r="AQ383" s="798"/>
      <c r="AR383" s="798"/>
      <c r="AS383" s="798"/>
      <c r="AT383" s="798"/>
      <c r="AU383" s="798"/>
      <c r="AV383" s="798"/>
      <c r="AW383" s="798"/>
      <c r="AX383" s="798"/>
    </row>
    <row r="384" spans="1:50" ht="12.75" customHeight="1" x14ac:dyDescent="0.3">
      <c r="A384" s="782"/>
      <c r="B384" s="782"/>
      <c r="C384" s="798"/>
      <c r="D384" s="782"/>
      <c r="E384" s="798"/>
      <c r="F384" s="798"/>
      <c r="G384" s="798"/>
      <c r="H384" s="798"/>
      <c r="I384" s="798"/>
      <c r="J384" s="798"/>
      <c r="K384" s="798"/>
      <c r="L384" s="798"/>
      <c r="M384" s="798"/>
      <c r="N384" s="798"/>
      <c r="O384" s="798"/>
      <c r="P384" s="798"/>
      <c r="Q384" s="798"/>
      <c r="R384" s="798"/>
      <c r="S384" s="798"/>
      <c r="T384" s="798"/>
      <c r="U384" s="798"/>
      <c r="V384" s="798"/>
      <c r="W384" s="798"/>
      <c r="X384" s="798"/>
      <c r="Y384" s="798"/>
      <c r="Z384" s="798"/>
      <c r="AA384" s="798"/>
      <c r="AB384" s="798"/>
      <c r="AC384" s="798"/>
      <c r="AD384" s="798"/>
      <c r="AE384" s="798"/>
      <c r="AF384" s="798"/>
      <c r="AG384" s="798"/>
      <c r="AH384" s="798"/>
      <c r="AI384" s="798"/>
      <c r="AJ384" s="798"/>
      <c r="AK384" s="798"/>
      <c r="AL384" s="798"/>
      <c r="AM384" s="798"/>
      <c r="AN384" s="798"/>
      <c r="AO384" s="798"/>
      <c r="AP384" s="798"/>
      <c r="AQ384" s="798"/>
      <c r="AR384" s="798"/>
      <c r="AS384" s="798"/>
      <c r="AT384" s="798"/>
      <c r="AU384" s="798"/>
      <c r="AV384" s="798"/>
      <c r="AW384" s="798"/>
      <c r="AX384" s="798"/>
    </row>
    <row r="385" spans="1:50" ht="12.75" customHeight="1" x14ac:dyDescent="0.3">
      <c r="A385" s="782"/>
      <c r="B385" s="782"/>
      <c r="C385" s="798"/>
      <c r="D385" s="782"/>
      <c r="E385" s="798"/>
      <c r="F385" s="798"/>
      <c r="G385" s="798"/>
      <c r="H385" s="798"/>
      <c r="I385" s="798"/>
      <c r="J385" s="798"/>
      <c r="K385" s="798"/>
      <c r="L385" s="798"/>
      <c r="M385" s="798"/>
      <c r="N385" s="798"/>
      <c r="O385" s="798"/>
      <c r="P385" s="798"/>
      <c r="Q385" s="798"/>
      <c r="R385" s="798"/>
      <c r="S385" s="798"/>
      <c r="T385" s="798"/>
      <c r="U385" s="798"/>
      <c r="V385" s="798"/>
      <c r="W385" s="798"/>
      <c r="X385" s="798"/>
      <c r="Y385" s="798"/>
      <c r="Z385" s="798"/>
      <c r="AA385" s="798"/>
      <c r="AB385" s="798"/>
      <c r="AC385" s="798"/>
      <c r="AD385" s="798"/>
      <c r="AE385" s="798"/>
      <c r="AF385" s="798"/>
      <c r="AG385" s="798"/>
      <c r="AH385" s="798"/>
      <c r="AI385" s="798"/>
      <c r="AJ385" s="798"/>
      <c r="AK385" s="798"/>
      <c r="AL385" s="798"/>
      <c r="AM385" s="798"/>
      <c r="AN385" s="798"/>
      <c r="AO385" s="798"/>
      <c r="AP385" s="798"/>
      <c r="AQ385" s="798"/>
      <c r="AR385" s="798"/>
      <c r="AS385" s="798"/>
      <c r="AT385" s="798"/>
      <c r="AU385" s="798"/>
      <c r="AV385" s="798"/>
      <c r="AW385" s="798"/>
      <c r="AX385" s="798"/>
    </row>
    <row r="386" spans="1:50" ht="12.75" customHeight="1" x14ac:dyDescent="0.3">
      <c r="A386" s="782"/>
      <c r="B386" s="782"/>
      <c r="C386" s="798"/>
      <c r="D386" s="782"/>
      <c r="E386" s="798"/>
      <c r="F386" s="798"/>
      <c r="G386" s="798"/>
      <c r="H386" s="798"/>
      <c r="I386" s="798"/>
      <c r="J386" s="798"/>
      <c r="K386" s="798"/>
      <c r="L386" s="798"/>
      <c r="M386" s="798"/>
      <c r="N386" s="798"/>
      <c r="O386" s="798"/>
      <c r="P386" s="798"/>
      <c r="Q386" s="798"/>
      <c r="R386" s="798"/>
      <c r="S386" s="798"/>
      <c r="T386" s="798"/>
      <c r="U386" s="798"/>
      <c r="V386" s="798"/>
      <c r="W386" s="798"/>
      <c r="X386" s="798"/>
      <c r="Y386" s="798"/>
      <c r="Z386" s="798"/>
      <c r="AA386" s="798"/>
      <c r="AB386" s="798"/>
      <c r="AC386" s="798"/>
      <c r="AD386" s="798"/>
      <c r="AE386" s="798"/>
      <c r="AF386" s="798"/>
      <c r="AG386" s="798"/>
      <c r="AH386" s="798"/>
      <c r="AI386" s="798"/>
      <c r="AJ386" s="798"/>
      <c r="AK386" s="798"/>
      <c r="AL386" s="798"/>
      <c r="AM386" s="798"/>
      <c r="AN386" s="798"/>
      <c r="AO386" s="798"/>
      <c r="AP386" s="798"/>
      <c r="AQ386" s="798"/>
      <c r="AR386" s="798"/>
      <c r="AS386" s="798"/>
      <c r="AT386" s="798"/>
      <c r="AU386" s="798"/>
      <c r="AV386" s="798"/>
      <c r="AW386" s="798"/>
      <c r="AX386" s="798"/>
    </row>
    <row r="387" spans="1:50" ht="12.75" customHeight="1" x14ac:dyDescent="0.3">
      <c r="A387" s="782"/>
      <c r="B387" s="782"/>
      <c r="C387" s="798"/>
      <c r="D387" s="782"/>
      <c r="E387" s="798"/>
      <c r="F387" s="798"/>
      <c r="G387" s="798"/>
      <c r="H387" s="798"/>
      <c r="I387" s="798"/>
      <c r="J387" s="798"/>
      <c r="K387" s="798"/>
      <c r="L387" s="798"/>
      <c r="M387" s="798"/>
      <c r="N387" s="798"/>
      <c r="O387" s="798"/>
      <c r="P387" s="798"/>
      <c r="Q387" s="798"/>
      <c r="R387" s="798"/>
      <c r="S387" s="798"/>
      <c r="T387" s="798"/>
      <c r="U387" s="798"/>
      <c r="V387" s="798"/>
      <c r="W387" s="798"/>
      <c r="X387" s="798"/>
      <c r="Y387" s="798"/>
      <c r="Z387" s="798"/>
      <c r="AA387" s="798"/>
      <c r="AB387" s="798"/>
      <c r="AC387" s="798"/>
      <c r="AD387" s="798"/>
      <c r="AE387" s="798"/>
      <c r="AF387" s="798"/>
      <c r="AG387" s="798"/>
      <c r="AH387" s="798"/>
      <c r="AI387" s="798"/>
      <c r="AJ387" s="798"/>
      <c r="AK387" s="798"/>
      <c r="AL387" s="798"/>
      <c r="AM387" s="798"/>
      <c r="AN387" s="798"/>
      <c r="AO387" s="798"/>
      <c r="AP387" s="798"/>
      <c r="AQ387" s="798"/>
      <c r="AR387" s="798"/>
      <c r="AS387" s="798"/>
      <c r="AT387" s="798"/>
      <c r="AU387" s="798"/>
      <c r="AV387" s="798"/>
      <c r="AW387" s="798"/>
      <c r="AX387" s="798"/>
    </row>
    <row r="388" spans="1:50" ht="12.75" customHeight="1" x14ac:dyDescent="0.3">
      <c r="A388" s="782"/>
      <c r="B388" s="782"/>
      <c r="C388" s="798"/>
      <c r="D388" s="782"/>
      <c r="E388" s="798"/>
      <c r="F388" s="798"/>
      <c r="G388" s="798"/>
      <c r="H388" s="798"/>
      <c r="I388" s="798"/>
      <c r="J388" s="798"/>
      <c r="K388" s="798"/>
      <c r="L388" s="798"/>
      <c r="M388" s="798"/>
      <c r="N388" s="798"/>
      <c r="O388" s="798"/>
      <c r="P388" s="798"/>
      <c r="Q388" s="798"/>
      <c r="R388" s="798"/>
      <c r="S388" s="798"/>
      <c r="T388" s="798"/>
      <c r="U388" s="798"/>
      <c r="V388" s="798"/>
      <c r="W388" s="798"/>
      <c r="X388" s="798"/>
      <c r="Y388" s="798"/>
      <c r="Z388" s="798"/>
      <c r="AA388" s="798"/>
      <c r="AB388" s="798"/>
      <c r="AC388" s="798"/>
      <c r="AD388" s="798"/>
      <c r="AE388" s="798"/>
      <c r="AF388" s="798"/>
      <c r="AG388" s="798"/>
      <c r="AH388" s="798"/>
      <c r="AI388" s="798"/>
      <c r="AJ388" s="798"/>
      <c r="AK388" s="798"/>
      <c r="AL388" s="798"/>
      <c r="AM388" s="798"/>
      <c r="AN388" s="798"/>
      <c r="AO388" s="798"/>
      <c r="AP388" s="798"/>
      <c r="AQ388" s="798"/>
      <c r="AR388" s="798"/>
      <c r="AS388" s="798"/>
      <c r="AT388" s="798"/>
      <c r="AU388" s="798"/>
      <c r="AV388" s="798"/>
      <c r="AW388" s="798"/>
      <c r="AX388" s="798"/>
    </row>
    <row r="389" spans="1:50" ht="12.75" customHeight="1" x14ac:dyDescent="0.3">
      <c r="A389" s="782"/>
      <c r="B389" s="782"/>
      <c r="C389" s="798"/>
      <c r="D389" s="782"/>
      <c r="E389" s="798"/>
      <c r="F389" s="798"/>
      <c r="G389" s="798"/>
      <c r="H389" s="798"/>
      <c r="I389" s="798"/>
      <c r="J389" s="798"/>
      <c r="K389" s="798"/>
      <c r="L389" s="798"/>
      <c r="M389" s="798"/>
      <c r="N389" s="798"/>
      <c r="O389" s="798"/>
      <c r="P389" s="798"/>
      <c r="Q389" s="798"/>
      <c r="R389" s="798"/>
      <c r="S389" s="798"/>
      <c r="T389" s="798"/>
      <c r="U389" s="798"/>
      <c r="V389" s="798"/>
      <c r="W389" s="798"/>
      <c r="X389" s="798"/>
      <c r="Y389" s="798"/>
      <c r="Z389" s="798"/>
      <c r="AA389" s="798"/>
      <c r="AB389" s="798"/>
      <c r="AC389" s="798"/>
      <c r="AD389" s="798"/>
      <c r="AE389" s="798"/>
      <c r="AF389" s="798"/>
      <c r="AG389" s="798"/>
      <c r="AH389" s="798"/>
      <c r="AI389" s="798"/>
      <c r="AJ389" s="798"/>
      <c r="AK389" s="798"/>
      <c r="AL389" s="798"/>
      <c r="AM389" s="798"/>
      <c r="AN389" s="798"/>
      <c r="AO389" s="798"/>
      <c r="AP389" s="798"/>
      <c r="AQ389" s="798"/>
      <c r="AR389" s="798"/>
      <c r="AS389" s="798"/>
      <c r="AT389" s="798"/>
      <c r="AU389" s="798"/>
      <c r="AV389" s="798"/>
      <c r="AW389" s="798"/>
      <c r="AX389" s="798"/>
    </row>
    <row r="390" spans="1:50" ht="12.75" customHeight="1" x14ac:dyDescent="0.3">
      <c r="A390" s="782"/>
      <c r="B390" s="782"/>
      <c r="C390" s="798"/>
      <c r="D390" s="782"/>
      <c r="E390" s="798"/>
      <c r="F390" s="798"/>
      <c r="G390" s="798"/>
      <c r="H390" s="798"/>
      <c r="I390" s="798"/>
      <c r="J390" s="798"/>
      <c r="K390" s="798"/>
      <c r="L390" s="798"/>
      <c r="M390" s="798"/>
      <c r="N390" s="798"/>
      <c r="O390" s="798"/>
      <c r="P390" s="798"/>
      <c r="Q390" s="798"/>
      <c r="R390" s="798"/>
      <c r="S390" s="798"/>
      <c r="T390" s="798"/>
      <c r="U390" s="798"/>
      <c r="V390" s="798"/>
      <c r="W390" s="798"/>
      <c r="X390" s="798"/>
      <c r="Y390" s="798"/>
      <c r="Z390" s="798"/>
      <c r="AA390" s="798"/>
      <c r="AB390" s="798"/>
      <c r="AC390" s="798"/>
      <c r="AD390" s="798"/>
      <c r="AE390" s="798"/>
      <c r="AF390" s="798"/>
      <c r="AG390" s="798"/>
      <c r="AH390" s="798"/>
      <c r="AI390" s="798"/>
      <c r="AJ390" s="798"/>
      <c r="AK390" s="798"/>
      <c r="AL390" s="798"/>
      <c r="AM390" s="798"/>
      <c r="AN390" s="798"/>
      <c r="AO390" s="798"/>
      <c r="AP390" s="798"/>
      <c r="AQ390" s="798"/>
      <c r="AR390" s="798"/>
      <c r="AS390" s="798"/>
      <c r="AT390" s="798"/>
      <c r="AU390" s="798"/>
      <c r="AV390" s="798"/>
      <c r="AW390" s="798"/>
      <c r="AX390" s="798"/>
    </row>
    <row r="391" spans="1:50" ht="12.75" customHeight="1" x14ac:dyDescent="0.3">
      <c r="A391" s="782"/>
      <c r="B391" s="782"/>
      <c r="C391" s="798"/>
      <c r="D391" s="782"/>
      <c r="E391" s="798"/>
      <c r="F391" s="798"/>
      <c r="G391" s="798"/>
      <c r="H391" s="798"/>
      <c r="I391" s="798"/>
      <c r="J391" s="798"/>
      <c r="K391" s="798"/>
      <c r="L391" s="798"/>
      <c r="M391" s="798"/>
      <c r="N391" s="798"/>
      <c r="O391" s="798"/>
      <c r="P391" s="798"/>
      <c r="Q391" s="798"/>
      <c r="R391" s="798"/>
      <c r="S391" s="798"/>
      <c r="T391" s="798"/>
      <c r="U391" s="798"/>
      <c r="V391" s="798"/>
      <c r="W391" s="798"/>
      <c r="X391" s="798"/>
      <c r="Y391" s="798"/>
      <c r="Z391" s="798"/>
      <c r="AA391" s="798"/>
      <c r="AB391" s="798"/>
      <c r="AC391" s="798"/>
      <c r="AD391" s="798"/>
      <c r="AE391" s="798"/>
      <c r="AF391" s="798"/>
      <c r="AG391" s="798"/>
      <c r="AH391" s="798"/>
      <c r="AI391" s="798"/>
      <c r="AJ391" s="798"/>
      <c r="AK391" s="798"/>
      <c r="AL391" s="798"/>
      <c r="AM391" s="798"/>
      <c r="AN391" s="798"/>
      <c r="AO391" s="798"/>
      <c r="AP391" s="798"/>
      <c r="AQ391" s="798"/>
      <c r="AR391" s="798"/>
      <c r="AS391" s="798"/>
      <c r="AT391" s="798"/>
      <c r="AU391" s="798"/>
      <c r="AV391" s="798"/>
      <c r="AW391" s="798"/>
      <c r="AX391" s="798"/>
    </row>
    <row r="392" spans="1:50" ht="12.75" customHeight="1" x14ac:dyDescent="0.3">
      <c r="A392" s="782"/>
      <c r="B392" s="782"/>
      <c r="C392" s="798"/>
      <c r="D392" s="782"/>
      <c r="E392" s="798"/>
      <c r="F392" s="798"/>
      <c r="G392" s="798"/>
      <c r="H392" s="798"/>
      <c r="I392" s="798"/>
      <c r="J392" s="798"/>
      <c r="K392" s="798"/>
      <c r="L392" s="798"/>
      <c r="M392" s="798"/>
      <c r="N392" s="798"/>
      <c r="O392" s="798"/>
      <c r="P392" s="798"/>
      <c r="Q392" s="798"/>
      <c r="R392" s="798"/>
      <c r="S392" s="798"/>
      <c r="T392" s="798"/>
      <c r="U392" s="798"/>
      <c r="V392" s="798"/>
      <c r="W392" s="798"/>
      <c r="X392" s="798"/>
      <c r="Y392" s="798"/>
      <c r="Z392" s="798"/>
      <c r="AA392" s="798"/>
      <c r="AB392" s="798"/>
      <c r="AC392" s="798"/>
      <c r="AD392" s="798"/>
      <c r="AE392" s="798"/>
      <c r="AF392" s="798"/>
      <c r="AG392" s="798"/>
      <c r="AH392" s="798"/>
      <c r="AI392" s="798"/>
      <c r="AJ392" s="798"/>
      <c r="AK392" s="798"/>
      <c r="AL392" s="798"/>
      <c r="AM392" s="798"/>
      <c r="AN392" s="798"/>
      <c r="AO392" s="798"/>
      <c r="AP392" s="798"/>
      <c r="AQ392" s="798"/>
      <c r="AR392" s="798"/>
      <c r="AS392" s="798"/>
      <c r="AT392" s="798"/>
      <c r="AU392" s="798"/>
      <c r="AV392" s="798"/>
      <c r="AW392" s="798"/>
      <c r="AX392" s="798"/>
    </row>
    <row r="393" spans="1:50" ht="12.75" customHeight="1" x14ac:dyDescent="0.3">
      <c r="A393" s="782"/>
      <c r="B393" s="782"/>
      <c r="C393" s="798"/>
      <c r="D393" s="782"/>
      <c r="E393" s="798"/>
      <c r="F393" s="798"/>
      <c r="G393" s="798"/>
      <c r="H393" s="798"/>
      <c r="I393" s="798"/>
      <c r="J393" s="798"/>
      <c r="K393" s="798"/>
      <c r="L393" s="798"/>
      <c r="M393" s="798"/>
      <c r="N393" s="798"/>
      <c r="O393" s="798"/>
      <c r="P393" s="798"/>
      <c r="Q393" s="798"/>
      <c r="R393" s="798"/>
      <c r="S393" s="798"/>
      <c r="T393" s="798"/>
      <c r="U393" s="798"/>
      <c r="V393" s="798"/>
      <c r="W393" s="798"/>
      <c r="X393" s="798"/>
      <c r="Y393" s="798"/>
      <c r="Z393" s="798"/>
      <c r="AA393" s="798"/>
      <c r="AB393" s="798"/>
      <c r="AC393" s="798"/>
      <c r="AD393" s="798"/>
      <c r="AE393" s="798"/>
      <c r="AF393" s="798"/>
      <c r="AG393" s="798"/>
      <c r="AH393" s="798"/>
      <c r="AI393" s="798"/>
      <c r="AJ393" s="798"/>
      <c r="AK393" s="798"/>
      <c r="AL393" s="798"/>
      <c r="AM393" s="798"/>
      <c r="AN393" s="798"/>
      <c r="AO393" s="798"/>
      <c r="AP393" s="798"/>
      <c r="AQ393" s="798"/>
      <c r="AR393" s="798"/>
      <c r="AS393" s="798"/>
      <c r="AT393" s="798"/>
      <c r="AU393" s="798"/>
      <c r="AV393" s="798"/>
      <c r="AW393" s="798"/>
      <c r="AX393" s="798"/>
    </row>
    <row r="394" spans="1:50" ht="12.75" customHeight="1" x14ac:dyDescent="0.3">
      <c r="A394" s="782"/>
      <c r="B394" s="782"/>
      <c r="C394" s="798"/>
      <c r="D394" s="782"/>
      <c r="E394" s="798"/>
      <c r="F394" s="798"/>
      <c r="G394" s="798"/>
      <c r="H394" s="798"/>
      <c r="I394" s="798"/>
      <c r="J394" s="798"/>
      <c r="K394" s="798"/>
      <c r="L394" s="798"/>
      <c r="M394" s="798"/>
      <c r="N394" s="798"/>
      <c r="O394" s="798"/>
      <c r="P394" s="798"/>
      <c r="Q394" s="798"/>
      <c r="R394" s="798"/>
      <c r="S394" s="798"/>
      <c r="T394" s="798"/>
      <c r="U394" s="798"/>
      <c r="V394" s="798"/>
      <c r="W394" s="798"/>
      <c r="X394" s="798"/>
      <c r="Y394" s="798"/>
      <c r="Z394" s="798"/>
      <c r="AA394" s="798"/>
      <c r="AB394" s="798"/>
      <c r="AC394" s="798"/>
      <c r="AD394" s="798"/>
      <c r="AE394" s="798"/>
      <c r="AF394" s="798"/>
      <c r="AG394" s="798"/>
      <c r="AH394" s="798"/>
      <c r="AI394" s="798"/>
      <c r="AJ394" s="798"/>
      <c r="AK394" s="798"/>
      <c r="AL394" s="798"/>
      <c r="AM394" s="798"/>
      <c r="AN394" s="798"/>
      <c r="AO394" s="798"/>
      <c r="AP394" s="798"/>
      <c r="AQ394" s="798"/>
      <c r="AR394" s="798"/>
      <c r="AS394" s="798"/>
      <c r="AT394" s="798"/>
      <c r="AU394" s="798"/>
      <c r="AV394" s="798"/>
      <c r="AW394" s="798"/>
      <c r="AX394" s="798"/>
    </row>
    <row r="395" spans="1:50" ht="12.75" customHeight="1" x14ac:dyDescent="0.3">
      <c r="A395" s="782"/>
      <c r="B395" s="782"/>
      <c r="C395" s="798"/>
      <c r="D395" s="782"/>
      <c r="E395" s="798"/>
      <c r="F395" s="798"/>
      <c r="G395" s="798"/>
      <c r="H395" s="798"/>
      <c r="I395" s="798"/>
      <c r="J395" s="798"/>
      <c r="K395" s="798"/>
      <c r="L395" s="798"/>
      <c r="M395" s="798"/>
      <c r="N395" s="798"/>
      <c r="O395" s="798"/>
      <c r="P395" s="798"/>
      <c r="Q395" s="798"/>
      <c r="R395" s="798"/>
      <c r="S395" s="798"/>
      <c r="T395" s="798"/>
      <c r="U395" s="798"/>
      <c r="V395" s="798"/>
      <c r="W395" s="798"/>
      <c r="X395" s="798"/>
      <c r="Y395" s="798"/>
      <c r="Z395" s="798"/>
      <c r="AA395" s="798"/>
      <c r="AB395" s="798"/>
      <c r="AC395" s="798"/>
      <c r="AD395" s="798"/>
      <c r="AE395" s="798"/>
      <c r="AF395" s="798"/>
      <c r="AG395" s="798"/>
      <c r="AH395" s="798"/>
      <c r="AI395" s="798"/>
      <c r="AJ395" s="798"/>
      <c r="AK395" s="798"/>
      <c r="AL395" s="798"/>
      <c r="AM395" s="798"/>
      <c r="AN395" s="798"/>
      <c r="AO395" s="798"/>
      <c r="AP395" s="798"/>
      <c r="AQ395" s="798"/>
      <c r="AR395" s="798"/>
      <c r="AS395" s="798"/>
      <c r="AT395" s="798"/>
      <c r="AU395" s="798"/>
      <c r="AV395" s="798"/>
      <c r="AW395" s="798"/>
      <c r="AX395" s="798"/>
    </row>
    <row r="396" spans="1:50" ht="12.75" customHeight="1" x14ac:dyDescent="0.3">
      <c r="A396" s="782"/>
      <c r="B396" s="782"/>
      <c r="C396" s="798"/>
      <c r="D396" s="782"/>
      <c r="E396" s="798"/>
      <c r="F396" s="798"/>
      <c r="G396" s="798"/>
      <c r="H396" s="798"/>
      <c r="I396" s="798"/>
      <c r="J396" s="798"/>
      <c r="K396" s="798"/>
      <c r="L396" s="798"/>
      <c r="M396" s="798"/>
      <c r="N396" s="798"/>
      <c r="O396" s="798"/>
      <c r="P396" s="798"/>
      <c r="Q396" s="798"/>
      <c r="R396" s="798"/>
      <c r="S396" s="798"/>
      <c r="T396" s="798"/>
      <c r="U396" s="798"/>
      <c r="V396" s="798"/>
      <c r="W396" s="798"/>
      <c r="X396" s="798"/>
      <c r="Y396" s="798"/>
      <c r="Z396" s="798"/>
      <c r="AA396" s="798"/>
      <c r="AB396" s="798"/>
      <c r="AC396" s="798"/>
      <c r="AD396" s="798"/>
      <c r="AE396" s="798"/>
      <c r="AF396" s="798"/>
      <c r="AG396" s="798"/>
      <c r="AH396" s="798"/>
      <c r="AI396" s="798"/>
      <c r="AJ396" s="798"/>
      <c r="AK396" s="798"/>
      <c r="AL396" s="798"/>
      <c r="AM396" s="798"/>
      <c r="AN396" s="798"/>
      <c r="AO396" s="798"/>
      <c r="AP396" s="798"/>
      <c r="AQ396" s="798"/>
      <c r="AR396" s="798"/>
      <c r="AS396" s="798"/>
      <c r="AT396" s="798"/>
      <c r="AU396" s="798"/>
      <c r="AV396" s="798"/>
      <c r="AW396" s="798"/>
      <c r="AX396" s="798"/>
    </row>
    <row r="397" spans="1:50" ht="12.75" customHeight="1" x14ac:dyDescent="0.3">
      <c r="A397" s="782"/>
      <c r="B397" s="782"/>
      <c r="C397" s="798"/>
      <c r="D397" s="782"/>
      <c r="E397" s="798"/>
      <c r="F397" s="798"/>
      <c r="G397" s="798"/>
      <c r="H397" s="798"/>
      <c r="I397" s="798"/>
      <c r="J397" s="798"/>
      <c r="K397" s="798"/>
      <c r="L397" s="798"/>
      <c r="M397" s="798"/>
      <c r="N397" s="798"/>
      <c r="O397" s="798"/>
      <c r="P397" s="798"/>
      <c r="Q397" s="798"/>
      <c r="R397" s="798"/>
      <c r="S397" s="798"/>
      <c r="T397" s="798"/>
      <c r="U397" s="798"/>
      <c r="V397" s="798"/>
      <c r="W397" s="798"/>
      <c r="X397" s="798"/>
      <c r="Y397" s="798"/>
      <c r="Z397" s="798"/>
      <c r="AA397" s="798"/>
      <c r="AB397" s="798"/>
      <c r="AC397" s="798"/>
      <c r="AD397" s="798"/>
      <c r="AE397" s="798"/>
      <c r="AF397" s="798"/>
      <c r="AG397" s="798"/>
      <c r="AH397" s="798"/>
      <c r="AI397" s="798"/>
      <c r="AJ397" s="798"/>
      <c r="AK397" s="798"/>
      <c r="AL397" s="798"/>
      <c r="AM397" s="798"/>
      <c r="AN397" s="798"/>
      <c r="AO397" s="798"/>
      <c r="AP397" s="798"/>
      <c r="AQ397" s="798"/>
      <c r="AR397" s="798"/>
      <c r="AS397" s="798"/>
      <c r="AT397" s="798"/>
      <c r="AU397" s="798"/>
      <c r="AV397" s="798"/>
      <c r="AW397" s="798"/>
      <c r="AX397" s="798"/>
    </row>
    <row r="398" spans="1:50" ht="12.75" customHeight="1" x14ac:dyDescent="0.3">
      <c r="A398" s="782"/>
      <c r="B398" s="782"/>
      <c r="C398" s="798"/>
      <c r="D398" s="782"/>
      <c r="E398" s="798"/>
      <c r="F398" s="798"/>
      <c r="G398" s="798"/>
      <c r="H398" s="798"/>
      <c r="I398" s="798"/>
      <c r="J398" s="798"/>
      <c r="K398" s="798"/>
      <c r="L398" s="798"/>
      <c r="M398" s="798"/>
      <c r="N398" s="798"/>
      <c r="O398" s="798"/>
      <c r="P398" s="798"/>
      <c r="Q398" s="798"/>
      <c r="R398" s="798"/>
      <c r="S398" s="798"/>
      <c r="T398" s="798"/>
      <c r="U398" s="798"/>
      <c r="V398" s="798"/>
      <c r="W398" s="798"/>
      <c r="X398" s="798"/>
      <c r="Y398" s="798"/>
      <c r="Z398" s="798"/>
      <c r="AA398" s="798"/>
      <c r="AB398" s="798"/>
      <c r="AC398" s="798"/>
      <c r="AD398" s="798"/>
      <c r="AE398" s="798"/>
      <c r="AF398" s="798"/>
      <c r="AG398" s="798"/>
      <c r="AH398" s="798"/>
      <c r="AI398" s="798"/>
      <c r="AJ398" s="798"/>
      <c r="AK398" s="798"/>
      <c r="AL398" s="798"/>
      <c r="AM398" s="798"/>
      <c r="AN398" s="798"/>
      <c r="AO398" s="798"/>
      <c r="AP398" s="798"/>
      <c r="AQ398" s="798"/>
      <c r="AR398" s="798"/>
      <c r="AS398" s="798"/>
      <c r="AT398" s="798"/>
      <c r="AU398" s="798"/>
      <c r="AV398" s="798"/>
      <c r="AW398" s="798"/>
      <c r="AX398" s="798"/>
    </row>
    <row r="399" spans="1:50" ht="12.75" customHeight="1" x14ac:dyDescent="0.3">
      <c r="A399" s="782"/>
      <c r="B399" s="782"/>
      <c r="C399" s="798"/>
      <c r="D399" s="782"/>
      <c r="E399" s="798"/>
      <c r="F399" s="798"/>
      <c r="G399" s="798"/>
      <c r="H399" s="798"/>
      <c r="I399" s="798"/>
      <c r="J399" s="798"/>
      <c r="K399" s="798"/>
      <c r="L399" s="798"/>
      <c r="M399" s="798"/>
      <c r="N399" s="798"/>
      <c r="O399" s="798"/>
      <c r="P399" s="798"/>
      <c r="Q399" s="798"/>
      <c r="R399" s="798"/>
      <c r="S399" s="798"/>
      <c r="T399" s="798"/>
      <c r="U399" s="798"/>
      <c r="V399" s="798"/>
      <c r="W399" s="798"/>
      <c r="X399" s="798"/>
      <c r="Y399" s="798"/>
      <c r="Z399" s="798"/>
      <c r="AA399" s="798"/>
      <c r="AB399" s="798"/>
      <c r="AC399" s="798"/>
      <c r="AD399" s="798"/>
      <c r="AE399" s="798"/>
      <c r="AF399" s="798"/>
      <c r="AG399" s="798"/>
      <c r="AH399" s="798"/>
      <c r="AI399" s="798"/>
      <c r="AJ399" s="798"/>
      <c r="AK399" s="798"/>
      <c r="AL399" s="798"/>
      <c r="AM399" s="798"/>
      <c r="AN399" s="798"/>
      <c r="AO399" s="798"/>
      <c r="AP399" s="798"/>
      <c r="AQ399" s="798"/>
      <c r="AR399" s="798"/>
      <c r="AS399" s="798"/>
      <c r="AT399" s="798"/>
      <c r="AU399" s="798"/>
      <c r="AV399" s="798"/>
      <c r="AW399" s="798"/>
      <c r="AX399" s="798"/>
    </row>
    <row r="400" spans="1:50" ht="12.75" customHeight="1" x14ac:dyDescent="0.3">
      <c r="A400" s="782"/>
      <c r="B400" s="782"/>
      <c r="C400" s="798"/>
      <c r="D400" s="782"/>
      <c r="E400" s="798"/>
      <c r="F400" s="798"/>
      <c r="G400" s="798"/>
      <c r="H400" s="798"/>
      <c r="I400" s="798"/>
      <c r="J400" s="798"/>
      <c r="K400" s="798"/>
      <c r="L400" s="798"/>
      <c r="M400" s="798"/>
      <c r="N400" s="798"/>
      <c r="O400" s="798"/>
      <c r="P400" s="798"/>
      <c r="Q400" s="798"/>
      <c r="R400" s="798"/>
      <c r="S400" s="798"/>
      <c r="T400" s="798"/>
      <c r="U400" s="798"/>
      <c r="V400" s="798"/>
      <c r="W400" s="798"/>
      <c r="X400" s="798"/>
      <c r="Y400" s="798"/>
      <c r="Z400" s="798"/>
      <c r="AA400" s="798"/>
      <c r="AB400" s="798"/>
      <c r="AC400" s="798"/>
      <c r="AD400" s="798"/>
      <c r="AE400" s="798"/>
      <c r="AF400" s="798"/>
      <c r="AG400" s="798"/>
      <c r="AH400" s="798"/>
      <c r="AI400" s="798"/>
      <c r="AJ400" s="798"/>
      <c r="AK400" s="798"/>
      <c r="AL400" s="798"/>
      <c r="AM400" s="798"/>
      <c r="AN400" s="798"/>
      <c r="AO400" s="798"/>
      <c r="AP400" s="798"/>
      <c r="AQ400" s="798"/>
      <c r="AR400" s="798"/>
      <c r="AS400" s="798"/>
      <c r="AT400" s="798"/>
      <c r="AU400" s="798"/>
      <c r="AV400" s="798"/>
      <c r="AW400" s="798"/>
      <c r="AX400" s="798"/>
    </row>
    <row r="401" spans="1:50" ht="12.75" customHeight="1" x14ac:dyDescent="0.3">
      <c r="A401" s="782"/>
      <c r="B401" s="782"/>
      <c r="C401" s="798"/>
      <c r="D401" s="782"/>
      <c r="E401" s="798"/>
      <c r="F401" s="798"/>
      <c r="G401" s="798"/>
      <c r="H401" s="798"/>
      <c r="I401" s="798"/>
      <c r="J401" s="798"/>
      <c r="K401" s="798"/>
      <c r="L401" s="798"/>
      <c r="M401" s="798"/>
      <c r="N401" s="798"/>
      <c r="O401" s="798"/>
      <c r="P401" s="798"/>
      <c r="Q401" s="798"/>
      <c r="R401" s="798"/>
      <c r="S401" s="798"/>
      <c r="T401" s="798"/>
      <c r="U401" s="798"/>
      <c r="V401" s="798"/>
      <c r="W401" s="798"/>
      <c r="X401" s="798"/>
      <c r="Y401" s="798"/>
      <c r="Z401" s="798"/>
      <c r="AA401" s="798"/>
      <c r="AB401" s="798"/>
      <c r="AC401" s="798"/>
      <c r="AD401" s="798"/>
      <c r="AE401" s="798"/>
      <c r="AF401" s="798"/>
      <c r="AG401" s="798"/>
      <c r="AH401" s="798"/>
      <c r="AI401" s="798"/>
      <c r="AJ401" s="798"/>
      <c r="AK401" s="798"/>
      <c r="AL401" s="798"/>
      <c r="AM401" s="798"/>
      <c r="AN401" s="798"/>
      <c r="AO401" s="798"/>
      <c r="AP401" s="798"/>
      <c r="AQ401" s="798"/>
      <c r="AR401" s="798"/>
      <c r="AS401" s="798"/>
      <c r="AT401" s="798"/>
      <c r="AU401" s="798"/>
      <c r="AV401" s="798"/>
      <c r="AW401" s="798"/>
      <c r="AX401" s="798"/>
    </row>
    <row r="402" spans="1:50" ht="12.75" customHeight="1" x14ac:dyDescent="0.3">
      <c r="A402" s="782"/>
      <c r="B402" s="782"/>
      <c r="C402" s="798"/>
      <c r="D402" s="782"/>
      <c r="E402" s="798"/>
      <c r="F402" s="798"/>
      <c r="G402" s="798"/>
      <c r="H402" s="798"/>
      <c r="I402" s="798"/>
      <c r="J402" s="798"/>
      <c r="K402" s="798"/>
      <c r="L402" s="798"/>
      <c r="M402" s="798"/>
      <c r="N402" s="798"/>
      <c r="O402" s="798"/>
      <c r="P402" s="798"/>
      <c r="Q402" s="798"/>
      <c r="R402" s="798"/>
      <c r="S402" s="798"/>
      <c r="T402" s="798"/>
      <c r="U402" s="798"/>
      <c r="V402" s="798"/>
      <c r="W402" s="798"/>
      <c r="X402" s="798"/>
      <c r="Y402" s="798"/>
      <c r="Z402" s="798"/>
      <c r="AA402" s="798"/>
      <c r="AB402" s="798"/>
      <c r="AC402" s="798"/>
      <c r="AD402" s="798"/>
      <c r="AE402" s="798"/>
      <c r="AF402" s="798"/>
      <c r="AG402" s="798"/>
      <c r="AH402" s="798"/>
      <c r="AI402" s="798"/>
      <c r="AJ402" s="798"/>
      <c r="AK402" s="798"/>
      <c r="AL402" s="798"/>
      <c r="AM402" s="798"/>
      <c r="AN402" s="798"/>
      <c r="AO402" s="798"/>
      <c r="AP402" s="798"/>
      <c r="AQ402" s="798"/>
      <c r="AR402" s="798"/>
      <c r="AS402" s="798"/>
      <c r="AT402" s="798"/>
      <c r="AU402" s="798"/>
      <c r="AV402" s="798"/>
      <c r="AW402" s="798"/>
      <c r="AX402" s="798"/>
    </row>
    <row r="403" spans="1:50" ht="12.75" customHeight="1" x14ac:dyDescent="0.3">
      <c r="A403" s="782"/>
      <c r="B403" s="782"/>
      <c r="C403" s="798"/>
      <c r="D403" s="782"/>
      <c r="E403" s="798"/>
      <c r="F403" s="798"/>
      <c r="G403" s="798"/>
      <c r="H403" s="798"/>
      <c r="I403" s="798"/>
      <c r="J403" s="798"/>
      <c r="K403" s="798"/>
      <c r="L403" s="798"/>
      <c r="M403" s="798"/>
      <c r="N403" s="798"/>
      <c r="O403" s="798"/>
      <c r="P403" s="798"/>
      <c r="Q403" s="798"/>
      <c r="R403" s="798"/>
      <c r="S403" s="798"/>
      <c r="T403" s="798"/>
      <c r="U403" s="798"/>
      <c r="V403" s="798"/>
      <c r="W403" s="798"/>
      <c r="X403" s="798"/>
      <c r="Y403" s="798"/>
      <c r="Z403" s="798"/>
      <c r="AA403" s="798"/>
      <c r="AB403" s="798"/>
      <c r="AC403" s="798"/>
      <c r="AD403" s="798"/>
      <c r="AE403" s="798"/>
      <c r="AF403" s="798"/>
      <c r="AG403" s="798"/>
      <c r="AH403" s="798"/>
      <c r="AI403" s="798"/>
      <c r="AJ403" s="798"/>
      <c r="AK403" s="798"/>
      <c r="AL403" s="798"/>
      <c r="AM403" s="798"/>
      <c r="AN403" s="798"/>
      <c r="AO403" s="798"/>
      <c r="AP403" s="798"/>
      <c r="AQ403" s="798"/>
      <c r="AR403" s="798"/>
      <c r="AS403" s="798"/>
      <c r="AT403" s="798"/>
      <c r="AU403" s="798"/>
      <c r="AV403" s="798"/>
      <c r="AW403" s="798"/>
      <c r="AX403" s="798"/>
    </row>
    <row r="404" spans="1:50" ht="12.75" customHeight="1" x14ac:dyDescent="0.3">
      <c r="A404" s="782"/>
      <c r="B404" s="782"/>
      <c r="C404" s="798"/>
      <c r="D404" s="782"/>
      <c r="E404" s="798"/>
      <c r="F404" s="798"/>
      <c r="G404" s="798"/>
      <c r="H404" s="798"/>
      <c r="I404" s="798"/>
      <c r="J404" s="798"/>
      <c r="K404" s="798"/>
      <c r="L404" s="798"/>
      <c r="M404" s="798"/>
      <c r="N404" s="798"/>
      <c r="O404" s="798"/>
      <c r="P404" s="798"/>
      <c r="Q404" s="798"/>
      <c r="R404" s="798"/>
      <c r="S404" s="798"/>
      <c r="T404" s="798"/>
      <c r="U404" s="798"/>
      <c r="V404" s="798"/>
      <c r="W404" s="798"/>
      <c r="X404" s="798"/>
      <c r="Y404" s="798"/>
      <c r="Z404" s="798"/>
      <c r="AA404" s="798"/>
      <c r="AB404" s="798"/>
      <c r="AC404" s="798"/>
      <c r="AD404" s="798"/>
      <c r="AE404" s="798"/>
      <c r="AF404" s="798"/>
      <c r="AG404" s="798"/>
      <c r="AH404" s="798"/>
      <c r="AI404" s="798"/>
      <c r="AJ404" s="798"/>
      <c r="AK404" s="798"/>
      <c r="AL404" s="798"/>
      <c r="AM404" s="798"/>
      <c r="AN404" s="798"/>
      <c r="AO404" s="798"/>
      <c r="AP404" s="798"/>
      <c r="AQ404" s="798"/>
      <c r="AR404" s="798"/>
      <c r="AS404" s="798"/>
      <c r="AT404" s="798"/>
      <c r="AU404" s="798"/>
      <c r="AV404" s="798"/>
      <c r="AW404" s="798"/>
      <c r="AX404" s="798"/>
    </row>
    <row r="405" spans="1:50" ht="12.75" customHeight="1" x14ac:dyDescent="0.3">
      <c r="A405" s="782"/>
      <c r="B405" s="782"/>
      <c r="C405" s="798"/>
      <c r="D405" s="782"/>
      <c r="E405" s="798"/>
      <c r="F405" s="798"/>
      <c r="G405" s="798"/>
      <c r="H405" s="798"/>
      <c r="I405" s="798"/>
      <c r="J405" s="798"/>
      <c r="K405" s="798"/>
      <c r="L405" s="798"/>
      <c r="M405" s="798"/>
      <c r="N405" s="798"/>
      <c r="O405" s="798"/>
      <c r="P405" s="798"/>
      <c r="Q405" s="798"/>
      <c r="R405" s="798"/>
      <c r="S405" s="798"/>
      <c r="T405" s="798"/>
      <c r="U405" s="798"/>
      <c r="V405" s="798"/>
      <c r="W405" s="798"/>
      <c r="X405" s="798"/>
      <c r="Y405" s="798"/>
      <c r="Z405" s="798"/>
      <c r="AA405" s="798"/>
      <c r="AB405" s="798"/>
      <c r="AC405" s="798"/>
      <c r="AD405" s="798"/>
      <c r="AE405" s="798"/>
      <c r="AF405" s="798"/>
      <c r="AG405" s="798"/>
      <c r="AH405" s="798"/>
      <c r="AI405" s="798"/>
      <c r="AJ405" s="798"/>
      <c r="AK405" s="798"/>
      <c r="AL405" s="798"/>
      <c r="AM405" s="798"/>
      <c r="AN405" s="798"/>
      <c r="AO405" s="798"/>
      <c r="AP405" s="798"/>
      <c r="AQ405" s="798"/>
      <c r="AR405" s="798"/>
      <c r="AS405" s="798"/>
      <c r="AT405" s="798"/>
      <c r="AU405" s="798"/>
      <c r="AV405" s="798"/>
      <c r="AW405" s="798"/>
      <c r="AX405" s="798"/>
    </row>
    <row r="406" spans="1:50" ht="12.75" customHeight="1" x14ac:dyDescent="0.3">
      <c r="A406" s="782"/>
      <c r="B406" s="782"/>
      <c r="C406" s="798"/>
      <c r="D406" s="782"/>
      <c r="E406" s="798"/>
      <c r="F406" s="798"/>
      <c r="G406" s="798"/>
      <c r="H406" s="798"/>
      <c r="I406" s="798"/>
      <c r="J406" s="798"/>
      <c r="K406" s="798"/>
      <c r="L406" s="798"/>
      <c r="M406" s="798"/>
      <c r="N406" s="798"/>
      <c r="O406" s="798"/>
      <c r="P406" s="798"/>
      <c r="Q406" s="798"/>
      <c r="R406" s="798"/>
      <c r="S406" s="798"/>
      <c r="T406" s="798"/>
      <c r="U406" s="798"/>
      <c r="V406" s="798"/>
      <c r="W406" s="798"/>
      <c r="X406" s="798"/>
      <c r="Y406" s="798"/>
      <c r="Z406" s="798"/>
      <c r="AA406" s="798"/>
      <c r="AB406" s="798"/>
      <c r="AC406" s="798"/>
      <c r="AD406" s="798"/>
      <c r="AE406" s="798"/>
      <c r="AF406" s="798"/>
      <c r="AG406" s="798"/>
      <c r="AH406" s="798"/>
      <c r="AI406" s="798"/>
      <c r="AJ406" s="798"/>
      <c r="AK406" s="798"/>
      <c r="AL406" s="798"/>
      <c r="AM406" s="798"/>
      <c r="AN406" s="798"/>
      <c r="AO406" s="798"/>
      <c r="AP406" s="798"/>
      <c r="AQ406" s="798"/>
      <c r="AR406" s="798"/>
      <c r="AS406" s="798"/>
      <c r="AT406" s="798"/>
      <c r="AU406" s="798"/>
      <c r="AV406" s="798"/>
      <c r="AW406" s="798"/>
      <c r="AX406" s="798"/>
    </row>
    <row r="407" spans="1:50" ht="12.75" customHeight="1" x14ac:dyDescent="0.3">
      <c r="A407" s="782"/>
      <c r="B407" s="782"/>
      <c r="C407" s="798"/>
      <c r="D407" s="782"/>
      <c r="E407" s="798"/>
      <c r="F407" s="798"/>
      <c r="G407" s="798"/>
      <c r="H407" s="798"/>
      <c r="I407" s="798"/>
      <c r="J407" s="798"/>
      <c r="K407" s="798"/>
      <c r="L407" s="798"/>
      <c r="M407" s="798"/>
      <c r="N407" s="798"/>
      <c r="O407" s="798"/>
      <c r="P407" s="798"/>
      <c r="Q407" s="798"/>
      <c r="R407" s="798"/>
      <c r="S407" s="798"/>
      <c r="T407" s="798"/>
      <c r="U407" s="798"/>
      <c r="V407" s="798"/>
      <c r="W407" s="798"/>
      <c r="X407" s="798"/>
      <c r="Y407" s="798"/>
      <c r="Z407" s="798"/>
      <c r="AA407" s="798"/>
      <c r="AB407" s="798"/>
      <c r="AC407" s="798"/>
      <c r="AD407" s="798"/>
      <c r="AE407" s="798"/>
      <c r="AF407" s="798"/>
      <c r="AG407" s="798"/>
      <c r="AH407" s="798"/>
      <c r="AI407" s="798"/>
      <c r="AJ407" s="798"/>
      <c r="AK407" s="798"/>
      <c r="AL407" s="798"/>
      <c r="AM407" s="798"/>
      <c r="AN407" s="798"/>
      <c r="AO407" s="798"/>
      <c r="AP407" s="798"/>
      <c r="AQ407" s="798"/>
      <c r="AR407" s="798"/>
      <c r="AS407" s="798"/>
      <c r="AT407" s="798"/>
      <c r="AU407" s="798"/>
      <c r="AV407" s="798"/>
      <c r="AW407" s="798"/>
      <c r="AX407" s="798"/>
    </row>
    <row r="408" spans="1:50" ht="12.75" customHeight="1" x14ac:dyDescent="0.3">
      <c r="A408" s="782"/>
      <c r="B408" s="782"/>
      <c r="C408" s="798"/>
      <c r="D408" s="782"/>
      <c r="E408" s="798"/>
      <c r="F408" s="798"/>
      <c r="G408" s="798"/>
      <c r="H408" s="798"/>
      <c r="I408" s="798"/>
      <c r="J408" s="798"/>
      <c r="K408" s="798"/>
      <c r="L408" s="798"/>
      <c r="M408" s="798"/>
      <c r="N408" s="798"/>
      <c r="O408" s="798"/>
      <c r="P408" s="798"/>
      <c r="Q408" s="798"/>
      <c r="R408" s="798"/>
      <c r="S408" s="798"/>
      <c r="T408" s="798"/>
      <c r="U408" s="798"/>
      <c r="V408" s="798"/>
      <c r="W408" s="798"/>
      <c r="X408" s="798"/>
      <c r="Y408" s="798"/>
      <c r="Z408" s="798"/>
      <c r="AA408" s="798"/>
      <c r="AB408" s="798"/>
      <c r="AC408" s="798"/>
      <c r="AD408" s="798"/>
      <c r="AE408" s="798"/>
      <c r="AF408" s="798"/>
      <c r="AG408" s="798"/>
      <c r="AH408" s="798"/>
      <c r="AI408" s="798"/>
      <c r="AJ408" s="798"/>
      <c r="AK408" s="798"/>
      <c r="AL408" s="798"/>
      <c r="AM408" s="798"/>
      <c r="AN408" s="798"/>
      <c r="AO408" s="798"/>
      <c r="AP408" s="798"/>
      <c r="AQ408" s="798"/>
      <c r="AR408" s="798"/>
      <c r="AS408" s="798"/>
      <c r="AT408" s="798"/>
      <c r="AU408" s="798"/>
      <c r="AV408" s="798"/>
      <c r="AW408" s="798"/>
      <c r="AX408" s="798"/>
    </row>
    <row r="409" spans="1:50" ht="12.75" customHeight="1" x14ac:dyDescent="0.3">
      <c r="A409" s="782"/>
      <c r="B409" s="782"/>
      <c r="C409" s="798"/>
      <c r="D409" s="782"/>
      <c r="E409" s="798"/>
      <c r="F409" s="798"/>
      <c r="G409" s="798"/>
      <c r="H409" s="798"/>
      <c r="I409" s="798"/>
      <c r="J409" s="798"/>
      <c r="K409" s="798"/>
      <c r="L409" s="798"/>
      <c r="M409" s="798"/>
      <c r="N409" s="798"/>
      <c r="O409" s="798"/>
      <c r="P409" s="798"/>
      <c r="Q409" s="798"/>
      <c r="R409" s="798"/>
      <c r="S409" s="798"/>
      <c r="T409" s="798"/>
      <c r="U409" s="798"/>
      <c r="V409" s="798"/>
      <c r="W409" s="798"/>
      <c r="X409" s="798"/>
      <c r="Y409" s="798"/>
      <c r="Z409" s="798"/>
      <c r="AA409" s="798"/>
      <c r="AB409" s="798"/>
      <c r="AC409" s="798"/>
      <c r="AD409" s="798"/>
      <c r="AE409" s="798"/>
      <c r="AF409" s="798"/>
      <c r="AG409" s="798"/>
      <c r="AH409" s="798"/>
      <c r="AI409" s="798"/>
      <c r="AJ409" s="798"/>
      <c r="AK409" s="798"/>
      <c r="AL409" s="798"/>
      <c r="AM409" s="798"/>
      <c r="AN409" s="798"/>
      <c r="AO409" s="798"/>
      <c r="AP409" s="798"/>
      <c r="AQ409" s="798"/>
      <c r="AR409" s="798"/>
      <c r="AS409" s="798"/>
      <c r="AT409" s="798"/>
      <c r="AU409" s="798"/>
      <c r="AV409" s="798"/>
      <c r="AW409" s="798"/>
      <c r="AX409" s="798"/>
    </row>
    <row r="410" spans="1:50" ht="12.75" customHeight="1" x14ac:dyDescent="0.3">
      <c r="A410" s="782"/>
      <c r="B410" s="782"/>
      <c r="C410" s="798"/>
      <c r="D410" s="782"/>
      <c r="E410" s="798"/>
      <c r="F410" s="798"/>
      <c r="G410" s="798"/>
      <c r="H410" s="798"/>
      <c r="I410" s="798"/>
      <c r="J410" s="798"/>
      <c r="K410" s="798"/>
      <c r="L410" s="798"/>
      <c r="M410" s="798"/>
      <c r="N410" s="798"/>
      <c r="O410" s="798"/>
      <c r="P410" s="798"/>
      <c r="Q410" s="798"/>
      <c r="R410" s="798"/>
      <c r="S410" s="798"/>
      <c r="T410" s="798"/>
      <c r="U410" s="798"/>
      <c r="V410" s="798"/>
      <c r="W410" s="798"/>
      <c r="X410" s="798"/>
      <c r="Y410" s="798"/>
      <c r="Z410" s="798"/>
      <c r="AA410" s="798"/>
      <c r="AB410" s="798"/>
      <c r="AC410" s="798"/>
      <c r="AD410" s="798"/>
      <c r="AE410" s="798"/>
      <c r="AF410" s="798"/>
      <c r="AG410" s="798"/>
      <c r="AH410" s="798"/>
      <c r="AI410" s="798"/>
      <c r="AJ410" s="798"/>
      <c r="AK410" s="798"/>
      <c r="AL410" s="798"/>
      <c r="AM410" s="798"/>
      <c r="AN410" s="798"/>
      <c r="AO410" s="798"/>
      <c r="AP410" s="798"/>
      <c r="AQ410" s="798"/>
      <c r="AR410" s="798"/>
      <c r="AS410" s="798"/>
      <c r="AT410" s="798"/>
      <c r="AU410" s="798"/>
      <c r="AV410" s="798"/>
      <c r="AW410" s="798"/>
      <c r="AX410" s="798"/>
    </row>
    <row r="411" spans="1:50" ht="12.75" customHeight="1" x14ac:dyDescent="0.3">
      <c r="A411" s="782"/>
      <c r="B411" s="782"/>
      <c r="C411" s="798"/>
      <c r="D411" s="782"/>
      <c r="E411" s="798"/>
      <c r="F411" s="798"/>
      <c r="G411" s="798"/>
      <c r="H411" s="798"/>
      <c r="I411" s="798"/>
      <c r="J411" s="798"/>
      <c r="K411" s="798"/>
      <c r="L411" s="798"/>
      <c r="M411" s="798"/>
      <c r="N411" s="798"/>
      <c r="O411" s="798"/>
      <c r="P411" s="798"/>
      <c r="Q411" s="798"/>
      <c r="R411" s="798"/>
      <c r="S411" s="798"/>
      <c r="T411" s="798"/>
      <c r="U411" s="798"/>
      <c r="V411" s="798"/>
      <c r="W411" s="798"/>
      <c r="X411" s="798"/>
      <c r="Y411" s="798"/>
      <c r="Z411" s="798"/>
      <c r="AA411" s="798"/>
      <c r="AB411" s="798"/>
      <c r="AC411" s="798"/>
      <c r="AD411" s="798"/>
      <c r="AE411" s="798"/>
      <c r="AF411" s="798"/>
      <c r="AG411" s="798"/>
      <c r="AH411" s="798"/>
      <c r="AI411" s="798"/>
      <c r="AJ411" s="798"/>
      <c r="AK411" s="798"/>
      <c r="AL411" s="798"/>
      <c r="AM411" s="798"/>
      <c r="AN411" s="798"/>
      <c r="AO411" s="798"/>
      <c r="AP411" s="798"/>
      <c r="AQ411" s="798"/>
      <c r="AR411" s="798"/>
      <c r="AS411" s="798"/>
      <c r="AT411" s="798"/>
      <c r="AU411" s="798"/>
      <c r="AV411" s="798"/>
      <c r="AW411" s="798"/>
      <c r="AX411" s="798"/>
    </row>
    <row r="412" spans="1:50" ht="12.75" customHeight="1" x14ac:dyDescent="0.3">
      <c r="A412" s="782"/>
      <c r="B412" s="782"/>
      <c r="C412" s="798"/>
      <c r="D412" s="782"/>
      <c r="E412" s="798"/>
      <c r="F412" s="798"/>
      <c r="G412" s="798"/>
      <c r="H412" s="798"/>
      <c r="I412" s="798"/>
      <c r="J412" s="798"/>
      <c r="K412" s="798"/>
      <c r="L412" s="798"/>
      <c r="M412" s="798"/>
      <c r="N412" s="798"/>
      <c r="O412" s="798"/>
      <c r="P412" s="798"/>
      <c r="Q412" s="798"/>
      <c r="R412" s="798"/>
      <c r="S412" s="798"/>
      <c r="T412" s="798"/>
      <c r="U412" s="798"/>
      <c r="V412" s="798"/>
      <c r="W412" s="798"/>
      <c r="X412" s="798"/>
      <c r="Y412" s="798"/>
      <c r="Z412" s="798"/>
      <c r="AA412" s="798"/>
      <c r="AB412" s="798"/>
      <c r="AC412" s="798"/>
      <c r="AD412" s="798"/>
      <c r="AE412" s="798"/>
      <c r="AF412" s="798"/>
      <c r="AG412" s="798"/>
      <c r="AH412" s="798"/>
      <c r="AI412" s="798"/>
      <c r="AJ412" s="798"/>
      <c r="AK412" s="798"/>
      <c r="AL412" s="798"/>
      <c r="AM412" s="798"/>
      <c r="AN412" s="798"/>
      <c r="AO412" s="798"/>
      <c r="AP412" s="798"/>
      <c r="AQ412" s="798"/>
      <c r="AR412" s="798"/>
      <c r="AS412" s="798"/>
      <c r="AT412" s="798"/>
      <c r="AU412" s="798"/>
      <c r="AV412" s="798"/>
      <c r="AW412" s="798"/>
      <c r="AX412" s="798"/>
    </row>
    <row r="413" spans="1:50" ht="12.75" customHeight="1" x14ac:dyDescent="0.3">
      <c r="A413" s="782"/>
      <c r="B413" s="782"/>
      <c r="C413" s="798"/>
      <c r="D413" s="782"/>
      <c r="E413" s="798"/>
      <c r="F413" s="798"/>
      <c r="G413" s="798"/>
      <c r="H413" s="798"/>
      <c r="I413" s="798"/>
      <c r="J413" s="798"/>
      <c r="K413" s="798"/>
      <c r="L413" s="798"/>
      <c r="M413" s="798"/>
      <c r="N413" s="798"/>
      <c r="O413" s="798"/>
      <c r="P413" s="798"/>
      <c r="Q413" s="798"/>
      <c r="R413" s="798"/>
      <c r="S413" s="798"/>
      <c r="T413" s="798"/>
      <c r="U413" s="798"/>
      <c r="V413" s="798"/>
      <c r="W413" s="798"/>
      <c r="X413" s="798"/>
      <c r="Y413" s="798"/>
      <c r="Z413" s="798"/>
      <c r="AA413" s="798"/>
      <c r="AB413" s="798"/>
      <c r="AC413" s="798"/>
      <c r="AD413" s="798"/>
      <c r="AE413" s="798"/>
      <c r="AF413" s="798"/>
      <c r="AG413" s="798"/>
      <c r="AH413" s="798"/>
      <c r="AI413" s="798"/>
      <c r="AJ413" s="798"/>
      <c r="AK413" s="798"/>
      <c r="AL413" s="798"/>
      <c r="AM413" s="798"/>
      <c r="AN413" s="798"/>
      <c r="AO413" s="798"/>
      <c r="AP413" s="798"/>
      <c r="AQ413" s="798"/>
      <c r="AR413" s="798"/>
      <c r="AS413" s="798"/>
      <c r="AT413" s="798"/>
      <c r="AU413" s="798"/>
      <c r="AV413" s="798"/>
      <c r="AW413" s="798"/>
      <c r="AX413" s="798"/>
    </row>
    <row r="414" spans="1:50" ht="12.75" customHeight="1" x14ac:dyDescent="0.3">
      <c r="A414" s="782"/>
      <c r="B414" s="782"/>
      <c r="C414" s="798"/>
      <c r="D414" s="782"/>
      <c r="E414" s="798"/>
      <c r="F414" s="798"/>
      <c r="G414" s="798"/>
      <c r="H414" s="798"/>
      <c r="I414" s="798"/>
      <c r="J414" s="798"/>
      <c r="K414" s="798"/>
      <c r="L414" s="798"/>
      <c r="M414" s="798"/>
      <c r="N414" s="798"/>
      <c r="O414" s="798"/>
      <c r="P414" s="798"/>
      <c r="Q414" s="798"/>
      <c r="R414" s="798"/>
      <c r="S414" s="798"/>
      <c r="T414" s="798"/>
      <c r="U414" s="798"/>
      <c r="V414" s="798"/>
      <c r="W414" s="798"/>
      <c r="X414" s="798"/>
      <c r="Y414" s="798"/>
      <c r="Z414" s="798"/>
      <c r="AA414" s="798"/>
      <c r="AB414" s="798"/>
      <c r="AC414" s="798"/>
      <c r="AD414" s="798"/>
      <c r="AE414" s="798"/>
      <c r="AF414" s="798"/>
      <c r="AG414" s="798"/>
      <c r="AH414" s="798"/>
      <c r="AI414" s="798"/>
      <c r="AJ414" s="798"/>
      <c r="AK414" s="798"/>
      <c r="AL414" s="798"/>
      <c r="AM414" s="798"/>
      <c r="AN414" s="798"/>
      <c r="AO414" s="798"/>
      <c r="AP414" s="798"/>
      <c r="AQ414" s="798"/>
      <c r="AR414" s="798"/>
      <c r="AS414" s="798"/>
      <c r="AT414" s="798"/>
      <c r="AU414" s="798"/>
      <c r="AV414" s="798"/>
      <c r="AW414" s="798"/>
      <c r="AX414" s="798"/>
    </row>
    <row r="415" spans="1:50" ht="12.75" customHeight="1" x14ac:dyDescent="0.3">
      <c r="A415" s="782"/>
      <c r="B415" s="782"/>
      <c r="C415" s="798"/>
      <c r="D415" s="782"/>
      <c r="E415" s="798"/>
      <c r="F415" s="798"/>
      <c r="G415" s="798"/>
      <c r="H415" s="798"/>
      <c r="I415" s="798"/>
      <c r="J415" s="798"/>
      <c r="K415" s="798"/>
      <c r="L415" s="798"/>
      <c r="M415" s="798"/>
      <c r="N415" s="798"/>
      <c r="O415" s="798"/>
      <c r="P415" s="798"/>
      <c r="Q415" s="798"/>
      <c r="R415" s="798"/>
      <c r="S415" s="798"/>
      <c r="T415" s="798"/>
      <c r="U415" s="798"/>
      <c r="V415" s="798"/>
      <c r="W415" s="798"/>
      <c r="X415" s="798"/>
      <c r="Y415" s="798"/>
      <c r="Z415" s="798"/>
      <c r="AA415" s="798"/>
      <c r="AB415" s="798"/>
      <c r="AC415" s="798"/>
      <c r="AD415" s="798"/>
      <c r="AE415" s="798"/>
      <c r="AF415" s="798"/>
      <c r="AG415" s="798"/>
      <c r="AH415" s="798"/>
      <c r="AI415" s="798"/>
      <c r="AJ415" s="798"/>
      <c r="AK415" s="798"/>
      <c r="AL415" s="798"/>
      <c r="AM415" s="798"/>
      <c r="AN415" s="798"/>
      <c r="AO415" s="798"/>
      <c r="AP415" s="798"/>
      <c r="AQ415" s="798"/>
      <c r="AR415" s="798"/>
      <c r="AS415" s="798"/>
      <c r="AT415" s="798"/>
      <c r="AU415" s="798"/>
      <c r="AV415" s="798"/>
      <c r="AW415" s="798"/>
      <c r="AX415" s="798"/>
    </row>
    <row r="416" spans="1:50" ht="12.75" customHeight="1" x14ac:dyDescent="0.3">
      <c r="A416" s="782"/>
      <c r="B416" s="782"/>
      <c r="C416" s="798"/>
      <c r="D416" s="782"/>
      <c r="E416" s="798"/>
      <c r="F416" s="798"/>
      <c r="G416" s="798"/>
      <c r="H416" s="798"/>
      <c r="I416" s="798"/>
      <c r="J416" s="798"/>
      <c r="K416" s="798"/>
      <c r="L416" s="798"/>
      <c r="M416" s="798"/>
      <c r="N416" s="798"/>
      <c r="O416" s="798"/>
      <c r="P416" s="798"/>
      <c r="Q416" s="798"/>
      <c r="R416" s="798"/>
      <c r="S416" s="798"/>
      <c r="T416" s="798"/>
      <c r="U416" s="798"/>
      <c r="V416" s="798"/>
      <c r="W416" s="798"/>
      <c r="X416" s="798"/>
      <c r="Y416" s="798"/>
      <c r="Z416" s="798"/>
      <c r="AA416" s="798"/>
      <c r="AB416" s="798"/>
      <c r="AC416" s="798"/>
      <c r="AD416" s="798"/>
      <c r="AE416" s="798"/>
      <c r="AF416" s="798"/>
      <c r="AG416" s="798"/>
      <c r="AH416" s="798"/>
      <c r="AI416" s="798"/>
      <c r="AJ416" s="798"/>
      <c r="AK416" s="798"/>
      <c r="AL416" s="798"/>
      <c r="AM416" s="798"/>
      <c r="AN416" s="798"/>
      <c r="AO416" s="798"/>
      <c r="AP416" s="798"/>
      <c r="AQ416" s="798"/>
      <c r="AR416" s="798"/>
      <c r="AS416" s="798"/>
      <c r="AT416" s="798"/>
      <c r="AU416" s="798"/>
      <c r="AV416" s="798"/>
      <c r="AW416" s="798"/>
      <c r="AX416" s="798"/>
    </row>
    <row r="417" spans="1:50" ht="12.75" customHeight="1" x14ac:dyDescent="0.3">
      <c r="A417" s="782"/>
      <c r="B417" s="782"/>
      <c r="C417" s="798"/>
      <c r="D417" s="782"/>
      <c r="E417" s="798"/>
      <c r="F417" s="798"/>
      <c r="G417" s="798"/>
      <c r="H417" s="798"/>
      <c r="I417" s="798"/>
      <c r="J417" s="798"/>
      <c r="K417" s="798"/>
      <c r="L417" s="798"/>
      <c r="M417" s="798"/>
      <c r="N417" s="798"/>
      <c r="O417" s="798"/>
      <c r="P417" s="798"/>
      <c r="Q417" s="798"/>
      <c r="R417" s="798"/>
      <c r="S417" s="798"/>
      <c r="T417" s="798"/>
      <c r="U417" s="798"/>
      <c r="V417" s="798"/>
      <c r="W417" s="798"/>
      <c r="X417" s="798"/>
      <c r="Y417" s="798"/>
      <c r="Z417" s="798"/>
      <c r="AA417" s="798"/>
      <c r="AB417" s="798"/>
      <c r="AC417" s="798"/>
      <c r="AD417" s="798"/>
      <c r="AE417" s="798"/>
      <c r="AF417" s="798"/>
      <c r="AG417" s="798"/>
      <c r="AH417" s="798"/>
      <c r="AI417" s="798"/>
      <c r="AJ417" s="798"/>
      <c r="AK417" s="798"/>
      <c r="AL417" s="798"/>
      <c r="AM417" s="798"/>
      <c r="AN417" s="798"/>
      <c r="AO417" s="798"/>
      <c r="AP417" s="798"/>
      <c r="AQ417" s="798"/>
      <c r="AR417" s="798"/>
      <c r="AS417" s="798"/>
      <c r="AT417" s="798"/>
      <c r="AU417" s="798"/>
      <c r="AV417" s="798"/>
      <c r="AW417" s="798"/>
      <c r="AX417" s="798"/>
    </row>
    <row r="418" spans="1:50" ht="12.75" customHeight="1" x14ac:dyDescent="0.3">
      <c r="A418" s="782"/>
      <c r="B418" s="782"/>
      <c r="C418" s="798"/>
      <c r="D418" s="782"/>
      <c r="E418" s="798"/>
      <c r="F418" s="798"/>
      <c r="G418" s="798"/>
      <c r="H418" s="798"/>
      <c r="I418" s="798"/>
      <c r="J418" s="798"/>
      <c r="K418" s="798"/>
      <c r="L418" s="798"/>
      <c r="M418" s="798"/>
      <c r="N418" s="798"/>
      <c r="O418" s="798"/>
      <c r="P418" s="798"/>
      <c r="Q418" s="798"/>
      <c r="R418" s="798"/>
      <c r="S418" s="798"/>
      <c r="T418" s="798"/>
      <c r="U418" s="798"/>
      <c r="V418" s="798"/>
      <c r="W418" s="798"/>
      <c r="X418" s="798"/>
      <c r="Y418" s="798"/>
      <c r="Z418" s="798"/>
      <c r="AA418" s="798"/>
      <c r="AB418" s="798"/>
      <c r="AC418" s="798"/>
      <c r="AD418" s="798"/>
      <c r="AE418" s="798"/>
      <c r="AF418" s="798"/>
      <c r="AG418" s="798"/>
      <c r="AH418" s="798"/>
      <c r="AI418" s="798"/>
      <c r="AJ418" s="798"/>
      <c r="AK418" s="798"/>
      <c r="AL418" s="798"/>
      <c r="AM418" s="798"/>
      <c r="AN418" s="798"/>
      <c r="AO418" s="798"/>
      <c r="AP418" s="798"/>
      <c r="AQ418" s="798"/>
      <c r="AR418" s="798"/>
      <c r="AS418" s="798"/>
      <c r="AT418" s="798"/>
      <c r="AU418" s="798"/>
      <c r="AV418" s="798"/>
      <c r="AW418" s="798"/>
      <c r="AX418" s="798"/>
    </row>
    <row r="419" spans="1:50" ht="12.75" customHeight="1" x14ac:dyDescent="0.3">
      <c r="A419" s="782"/>
      <c r="B419" s="782"/>
      <c r="C419" s="798"/>
      <c r="D419" s="782"/>
      <c r="E419" s="798"/>
      <c r="F419" s="798"/>
      <c r="G419" s="798"/>
      <c r="H419" s="798"/>
      <c r="I419" s="798"/>
      <c r="J419" s="798"/>
      <c r="K419" s="798"/>
      <c r="L419" s="798"/>
      <c r="M419" s="798"/>
      <c r="N419" s="798"/>
      <c r="O419" s="798"/>
      <c r="P419" s="798"/>
      <c r="Q419" s="798"/>
      <c r="R419" s="798"/>
      <c r="S419" s="798"/>
      <c r="T419" s="798"/>
      <c r="U419" s="798"/>
      <c r="V419" s="798"/>
      <c r="W419" s="798"/>
      <c r="X419" s="798"/>
      <c r="Y419" s="798"/>
      <c r="Z419" s="798"/>
      <c r="AA419" s="798"/>
      <c r="AB419" s="798"/>
      <c r="AC419" s="798"/>
      <c r="AD419" s="798"/>
      <c r="AE419" s="798"/>
      <c r="AF419" s="798"/>
      <c r="AG419" s="798"/>
      <c r="AH419" s="798"/>
      <c r="AI419" s="798"/>
      <c r="AJ419" s="798"/>
      <c r="AK419" s="798"/>
      <c r="AL419" s="798"/>
      <c r="AM419" s="798"/>
      <c r="AN419" s="798"/>
      <c r="AO419" s="798"/>
      <c r="AP419" s="798"/>
      <c r="AQ419" s="798"/>
      <c r="AR419" s="798"/>
      <c r="AS419" s="798"/>
      <c r="AT419" s="798"/>
      <c r="AU419" s="798"/>
      <c r="AV419" s="798"/>
      <c r="AW419" s="798"/>
      <c r="AX419" s="798"/>
    </row>
    <row r="420" spans="1:50" ht="12.75" customHeight="1" x14ac:dyDescent="0.3">
      <c r="A420" s="782"/>
      <c r="B420" s="782"/>
      <c r="C420" s="798"/>
      <c r="D420" s="782"/>
      <c r="E420" s="798"/>
      <c r="F420" s="798"/>
      <c r="G420" s="798"/>
      <c r="H420" s="798"/>
      <c r="I420" s="798"/>
      <c r="J420" s="798"/>
      <c r="K420" s="798"/>
      <c r="L420" s="798"/>
      <c r="M420" s="798"/>
      <c r="N420" s="798"/>
      <c r="O420" s="798"/>
      <c r="P420" s="798"/>
      <c r="Q420" s="798"/>
      <c r="R420" s="798"/>
      <c r="S420" s="798"/>
      <c r="T420" s="798"/>
      <c r="U420" s="798"/>
      <c r="V420" s="798"/>
      <c r="W420" s="798"/>
      <c r="X420" s="798"/>
      <c r="Y420" s="798"/>
      <c r="Z420" s="798"/>
      <c r="AA420" s="798"/>
      <c r="AB420" s="798"/>
      <c r="AC420" s="798"/>
      <c r="AD420" s="798"/>
      <c r="AE420" s="798"/>
      <c r="AF420" s="798"/>
      <c r="AG420" s="798"/>
      <c r="AH420" s="798"/>
      <c r="AI420" s="798"/>
      <c r="AJ420" s="798"/>
      <c r="AK420" s="798"/>
      <c r="AL420" s="798"/>
      <c r="AM420" s="798"/>
      <c r="AN420" s="798"/>
      <c r="AO420" s="798"/>
      <c r="AP420" s="798"/>
      <c r="AQ420" s="798"/>
      <c r="AR420" s="798"/>
      <c r="AS420" s="798"/>
      <c r="AT420" s="798"/>
      <c r="AU420" s="798"/>
      <c r="AV420" s="798"/>
      <c r="AW420" s="798"/>
      <c r="AX420" s="798"/>
    </row>
    <row r="421" spans="1:50" ht="12.75" customHeight="1" x14ac:dyDescent="0.3">
      <c r="A421" s="782"/>
      <c r="B421" s="782"/>
      <c r="C421" s="798"/>
      <c r="D421" s="782"/>
      <c r="E421" s="798"/>
      <c r="F421" s="798"/>
      <c r="G421" s="798"/>
      <c r="H421" s="798"/>
      <c r="I421" s="798"/>
      <c r="J421" s="798"/>
      <c r="K421" s="798"/>
      <c r="L421" s="798"/>
      <c r="M421" s="798"/>
      <c r="N421" s="798"/>
      <c r="O421" s="798"/>
      <c r="P421" s="798"/>
      <c r="Q421" s="798"/>
      <c r="R421" s="798"/>
      <c r="S421" s="798"/>
      <c r="T421" s="798"/>
      <c r="U421" s="798"/>
      <c r="V421" s="798"/>
      <c r="W421" s="798"/>
      <c r="X421" s="798"/>
      <c r="Y421" s="798"/>
      <c r="Z421" s="798"/>
      <c r="AA421" s="798"/>
      <c r="AB421" s="798"/>
      <c r="AC421" s="798"/>
      <c r="AD421" s="798"/>
      <c r="AE421" s="798"/>
      <c r="AF421" s="798"/>
      <c r="AG421" s="798"/>
      <c r="AH421" s="798"/>
      <c r="AI421" s="798"/>
      <c r="AJ421" s="798"/>
      <c r="AK421" s="798"/>
      <c r="AL421" s="798"/>
      <c r="AM421" s="798"/>
      <c r="AN421" s="798"/>
      <c r="AO421" s="798"/>
      <c r="AP421" s="798"/>
      <c r="AQ421" s="798"/>
      <c r="AR421" s="798"/>
      <c r="AS421" s="798"/>
      <c r="AT421" s="798"/>
      <c r="AU421" s="798"/>
      <c r="AV421" s="798"/>
      <c r="AW421" s="798"/>
      <c r="AX421" s="798"/>
    </row>
    <row r="422" spans="1:50" ht="12.75" customHeight="1" x14ac:dyDescent="0.3">
      <c r="A422" s="782"/>
      <c r="B422" s="782"/>
      <c r="C422" s="798"/>
      <c r="D422" s="782"/>
      <c r="E422" s="798"/>
      <c r="F422" s="798"/>
      <c r="G422" s="798"/>
      <c r="H422" s="798"/>
      <c r="I422" s="798"/>
      <c r="J422" s="798"/>
      <c r="K422" s="798"/>
      <c r="L422" s="798"/>
      <c r="M422" s="798"/>
      <c r="N422" s="798"/>
      <c r="O422" s="798"/>
      <c r="P422" s="798"/>
      <c r="Q422" s="798"/>
      <c r="R422" s="798"/>
      <c r="S422" s="798"/>
      <c r="T422" s="798"/>
      <c r="U422" s="798"/>
      <c r="V422" s="798"/>
      <c r="W422" s="798"/>
      <c r="X422" s="798"/>
      <c r="Y422" s="798"/>
      <c r="Z422" s="798"/>
      <c r="AA422" s="798"/>
      <c r="AB422" s="798"/>
      <c r="AC422" s="798"/>
      <c r="AD422" s="798"/>
      <c r="AE422" s="798"/>
      <c r="AF422" s="798"/>
      <c r="AG422" s="798"/>
      <c r="AH422" s="798"/>
      <c r="AI422" s="798"/>
      <c r="AJ422" s="798"/>
      <c r="AK422" s="798"/>
      <c r="AL422" s="798"/>
      <c r="AM422" s="798"/>
      <c r="AN422" s="798"/>
      <c r="AO422" s="798"/>
      <c r="AP422" s="798"/>
      <c r="AQ422" s="798"/>
      <c r="AR422" s="798"/>
      <c r="AS422" s="798"/>
      <c r="AT422" s="798"/>
      <c r="AU422" s="798"/>
      <c r="AV422" s="798"/>
      <c r="AW422" s="798"/>
      <c r="AX422" s="798"/>
    </row>
    <row r="423" spans="1:50" ht="12.75" customHeight="1" x14ac:dyDescent="0.3">
      <c r="A423" s="782"/>
      <c r="B423" s="782"/>
      <c r="C423" s="798"/>
      <c r="D423" s="782"/>
      <c r="E423" s="798"/>
      <c r="F423" s="798"/>
      <c r="G423" s="798"/>
      <c r="H423" s="798"/>
      <c r="I423" s="798"/>
      <c r="J423" s="798"/>
      <c r="K423" s="798"/>
      <c r="L423" s="798"/>
      <c r="M423" s="798"/>
      <c r="N423" s="798"/>
      <c r="O423" s="798"/>
      <c r="P423" s="798"/>
      <c r="Q423" s="798"/>
      <c r="R423" s="798"/>
      <c r="S423" s="798"/>
      <c r="T423" s="798"/>
      <c r="U423" s="798"/>
      <c r="V423" s="798"/>
      <c r="W423" s="798"/>
      <c r="X423" s="798"/>
      <c r="Y423" s="798"/>
      <c r="Z423" s="798"/>
      <c r="AA423" s="798"/>
      <c r="AB423" s="798"/>
      <c r="AC423" s="798"/>
      <c r="AD423" s="798"/>
      <c r="AE423" s="798"/>
      <c r="AF423" s="798"/>
      <c r="AG423" s="798"/>
      <c r="AH423" s="798"/>
      <c r="AI423" s="798"/>
      <c r="AJ423" s="798"/>
      <c r="AK423" s="798"/>
      <c r="AL423" s="798"/>
      <c r="AM423" s="798"/>
      <c r="AN423" s="798"/>
      <c r="AO423" s="798"/>
      <c r="AP423" s="798"/>
      <c r="AQ423" s="798"/>
      <c r="AR423" s="798"/>
      <c r="AS423" s="798"/>
      <c r="AT423" s="798"/>
      <c r="AU423" s="798"/>
      <c r="AV423" s="798"/>
      <c r="AW423" s="798"/>
      <c r="AX423" s="798"/>
    </row>
    <row r="424" spans="1:50" ht="12.75" customHeight="1" x14ac:dyDescent="0.3">
      <c r="A424" s="782"/>
      <c r="B424" s="782"/>
      <c r="C424" s="798"/>
      <c r="D424" s="782"/>
      <c r="E424" s="798"/>
      <c r="F424" s="798"/>
      <c r="G424" s="798"/>
      <c r="H424" s="798"/>
      <c r="I424" s="798"/>
      <c r="J424" s="798"/>
      <c r="K424" s="798"/>
      <c r="L424" s="798"/>
      <c r="M424" s="798"/>
      <c r="N424" s="798"/>
      <c r="O424" s="798"/>
      <c r="P424" s="798"/>
      <c r="Q424" s="798"/>
      <c r="R424" s="798"/>
      <c r="S424" s="798"/>
      <c r="T424" s="798"/>
      <c r="U424" s="798"/>
      <c r="V424" s="798"/>
      <c r="W424" s="798"/>
      <c r="X424" s="798"/>
      <c r="Y424" s="798"/>
      <c r="Z424" s="798"/>
      <c r="AA424" s="798"/>
      <c r="AB424" s="798"/>
      <c r="AC424" s="798"/>
      <c r="AD424" s="798"/>
      <c r="AE424" s="798"/>
      <c r="AF424" s="798"/>
      <c r="AG424" s="798"/>
      <c r="AH424" s="798"/>
      <c r="AI424" s="798"/>
      <c r="AJ424" s="798"/>
      <c r="AK424" s="798"/>
      <c r="AL424" s="798"/>
      <c r="AM424" s="798"/>
      <c r="AN424" s="798"/>
      <c r="AO424" s="798"/>
      <c r="AP424" s="798"/>
      <c r="AQ424" s="798"/>
      <c r="AR424" s="798"/>
      <c r="AS424" s="798"/>
      <c r="AT424" s="798"/>
      <c r="AU424" s="798"/>
      <c r="AV424" s="798"/>
      <c r="AW424" s="798"/>
      <c r="AX424" s="798"/>
    </row>
    <row r="425" spans="1:50" ht="12.75" customHeight="1" x14ac:dyDescent="0.3">
      <c r="A425" s="782"/>
      <c r="B425" s="782"/>
      <c r="C425" s="798"/>
      <c r="D425" s="782"/>
      <c r="E425" s="798"/>
      <c r="F425" s="798"/>
      <c r="G425" s="798"/>
      <c r="H425" s="798"/>
      <c r="I425" s="798"/>
      <c r="J425" s="798"/>
      <c r="K425" s="798"/>
      <c r="L425" s="798"/>
      <c r="M425" s="798"/>
      <c r="N425" s="798"/>
      <c r="O425" s="798"/>
      <c r="P425" s="798"/>
      <c r="Q425" s="798"/>
      <c r="R425" s="798"/>
      <c r="S425" s="798"/>
      <c r="T425" s="798"/>
      <c r="U425" s="798"/>
      <c r="V425" s="798"/>
      <c r="W425" s="798"/>
      <c r="X425" s="798"/>
      <c r="Y425" s="798"/>
      <c r="Z425" s="798"/>
      <c r="AA425" s="798"/>
      <c r="AB425" s="798"/>
      <c r="AC425" s="798"/>
      <c r="AD425" s="798"/>
      <c r="AE425" s="798"/>
      <c r="AF425" s="798"/>
      <c r="AG425" s="798"/>
      <c r="AH425" s="798"/>
      <c r="AI425" s="798"/>
      <c r="AJ425" s="798"/>
      <c r="AK425" s="798"/>
      <c r="AL425" s="798"/>
      <c r="AM425" s="798"/>
      <c r="AN425" s="798"/>
      <c r="AO425" s="798"/>
      <c r="AP425" s="798"/>
      <c r="AQ425" s="798"/>
      <c r="AR425" s="798"/>
      <c r="AS425" s="798"/>
      <c r="AT425" s="798"/>
      <c r="AU425" s="798"/>
      <c r="AV425" s="798"/>
      <c r="AW425" s="798"/>
      <c r="AX425" s="798"/>
    </row>
    <row r="426" spans="1:50" ht="12.75" customHeight="1" x14ac:dyDescent="0.3">
      <c r="A426" s="782"/>
      <c r="B426" s="782"/>
      <c r="C426" s="798"/>
      <c r="D426" s="782"/>
      <c r="E426" s="798"/>
      <c r="F426" s="798"/>
      <c r="G426" s="798"/>
      <c r="H426" s="798"/>
      <c r="I426" s="798"/>
      <c r="J426" s="798"/>
      <c r="K426" s="798"/>
      <c r="L426" s="798"/>
      <c r="M426" s="798"/>
      <c r="N426" s="798"/>
      <c r="O426" s="798"/>
      <c r="P426" s="798"/>
      <c r="Q426" s="798"/>
      <c r="R426" s="798"/>
      <c r="S426" s="798"/>
      <c r="T426" s="798"/>
      <c r="U426" s="798"/>
      <c r="V426" s="798"/>
      <c r="W426" s="798"/>
      <c r="X426" s="798"/>
      <c r="Y426" s="798"/>
      <c r="Z426" s="798"/>
      <c r="AA426" s="798"/>
      <c r="AB426" s="798"/>
      <c r="AC426" s="798"/>
      <c r="AD426" s="798"/>
      <c r="AE426" s="798"/>
      <c r="AF426" s="798"/>
      <c r="AG426" s="798"/>
      <c r="AH426" s="798"/>
      <c r="AI426" s="798"/>
      <c r="AJ426" s="798"/>
      <c r="AK426" s="798"/>
      <c r="AL426" s="798"/>
      <c r="AM426" s="798"/>
      <c r="AN426" s="798"/>
      <c r="AO426" s="798"/>
      <c r="AP426" s="798"/>
      <c r="AQ426" s="798"/>
      <c r="AR426" s="798"/>
      <c r="AS426" s="798"/>
      <c r="AT426" s="798"/>
      <c r="AU426" s="798"/>
      <c r="AV426" s="798"/>
      <c r="AW426" s="798"/>
      <c r="AX426" s="798"/>
    </row>
    <row r="427" spans="1:50" ht="12.75" customHeight="1" x14ac:dyDescent="0.3">
      <c r="A427" s="782"/>
      <c r="B427" s="782"/>
      <c r="C427" s="798"/>
      <c r="D427" s="782"/>
      <c r="E427" s="798"/>
      <c r="F427" s="798"/>
      <c r="G427" s="798"/>
      <c r="H427" s="798"/>
      <c r="I427" s="798"/>
      <c r="J427" s="798"/>
      <c r="K427" s="798"/>
      <c r="L427" s="798"/>
      <c r="M427" s="798"/>
      <c r="N427" s="798"/>
      <c r="O427" s="798"/>
      <c r="P427" s="798"/>
      <c r="Q427" s="798"/>
      <c r="R427" s="798"/>
      <c r="S427" s="798"/>
      <c r="T427" s="798"/>
      <c r="U427" s="798"/>
      <c r="V427" s="798"/>
      <c r="W427" s="798"/>
      <c r="X427" s="798"/>
      <c r="Y427" s="798"/>
      <c r="Z427" s="798"/>
      <c r="AA427" s="798"/>
      <c r="AB427" s="798"/>
      <c r="AC427" s="798"/>
      <c r="AD427" s="798"/>
      <c r="AE427" s="798"/>
      <c r="AF427" s="798"/>
      <c r="AG427" s="798"/>
      <c r="AH427" s="798"/>
      <c r="AI427" s="798"/>
      <c r="AJ427" s="798"/>
      <c r="AK427" s="798"/>
      <c r="AL427" s="798"/>
      <c r="AM427" s="798"/>
      <c r="AN427" s="798"/>
      <c r="AO427" s="798"/>
      <c r="AP427" s="798"/>
      <c r="AQ427" s="798"/>
      <c r="AR427" s="798"/>
      <c r="AS427" s="798"/>
      <c r="AT427" s="798"/>
      <c r="AU427" s="798"/>
      <c r="AV427" s="798"/>
      <c r="AW427" s="798"/>
      <c r="AX427" s="798"/>
    </row>
    <row r="428" spans="1:50" ht="12.75" customHeight="1" x14ac:dyDescent="0.3">
      <c r="A428" s="782"/>
      <c r="B428" s="782"/>
      <c r="C428" s="798"/>
      <c r="D428" s="782"/>
      <c r="E428" s="798"/>
      <c r="F428" s="798"/>
      <c r="G428" s="798"/>
      <c r="H428" s="798"/>
      <c r="I428" s="798"/>
      <c r="J428" s="798"/>
      <c r="K428" s="798"/>
      <c r="L428" s="798"/>
      <c r="M428" s="798"/>
      <c r="N428" s="798"/>
      <c r="O428" s="798"/>
      <c r="P428" s="798"/>
      <c r="Q428" s="798"/>
      <c r="R428" s="798"/>
      <c r="S428" s="798"/>
      <c r="T428" s="798"/>
      <c r="U428" s="798"/>
      <c r="V428" s="798"/>
      <c r="W428" s="798"/>
      <c r="X428" s="798"/>
      <c r="Y428" s="798"/>
      <c r="Z428" s="798"/>
      <c r="AA428" s="798"/>
      <c r="AB428" s="798"/>
      <c r="AC428" s="798"/>
      <c r="AD428" s="798"/>
      <c r="AE428" s="798"/>
      <c r="AF428" s="798"/>
      <c r="AG428" s="798"/>
      <c r="AH428" s="798"/>
      <c r="AI428" s="798"/>
      <c r="AJ428" s="798"/>
      <c r="AK428" s="798"/>
      <c r="AL428" s="798"/>
      <c r="AM428" s="798"/>
      <c r="AN428" s="798"/>
      <c r="AO428" s="798"/>
      <c r="AP428" s="798"/>
      <c r="AQ428" s="798"/>
      <c r="AR428" s="798"/>
      <c r="AS428" s="798"/>
      <c r="AT428" s="798"/>
      <c r="AU428" s="798"/>
      <c r="AV428" s="798"/>
      <c r="AW428" s="798"/>
      <c r="AX428" s="798"/>
    </row>
    <row r="429" spans="1:50" ht="12.75" customHeight="1" x14ac:dyDescent="0.3">
      <c r="A429" s="782"/>
      <c r="B429" s="782"/>
      <c r="C429" s="798"/>
      <c r="D429" s="782"/>
      <c r="E429" s="798"/>
      <c r="F429" s="798"/>
      <c r="G429" s="798"/>
      <c r="H429" s="798"/>
      <c r="I429" s="798"/>
      <c r="J429" s="798"/>
      <c r="K429" s="798"/>
      <c r="L429" s="798"/>
      <c r="M429" s="798"/>
      <c r="N429" s="798"/>
      <c r="O429" s="798"/>
      <c r="P429" s="798"/>
      <c r="Q429" s="798"/>
      <c r="R429" s="798"/>
      <c r="S429" s="798"/>
      <c r="T429" s="798"/>
      <c r="U429" s="798"/>
      <c r="V429" s="798"/>
      <c r="W429" s="798"/>
      <c r="X429" s="798"/>
      <c r="Y429" s="798"/>
      <c r="Z429" s="798"/>
      <c r="AA429" s="798"/>
      <c r="AB429" s="798"/>
      <c r="AC429" s="798"/>
      <c r="AD429" s="798"/>
      <c r="AE429" s="798"/>
      <c r="AF429" s="798"/>
      <c r="AG429" s="798"/>
      <c r="AH429" s="798"/>
      <c r="AI429" s="798"/>
      <c r="AJ429" s="798"/>
      <c r="AK429" s="798"/>
      <c r="AL429" s="798"/>
      <c r="AM429" s="798"/>
      <c r="AN429" s="798"/>
      <c r="AO429" s="798"/>
      <c r="AP429" s="798"/>
      <c r="AQ429" s="798"/>
      <c r="AR429" s="798"/>
      <c r="AS429" s="798"/>
      <c r="AT429" s="798"/>
      <c r="AU429" s="798"/>
      <c r="AV429" s="798"/>
      <c r="AW429" s="798"/>
      <c r="AX429" s="798"/>
    </row>
    <row r="430" spans="1:50" ht="12.75" customHeight="1" x14ac:dyDescent="0.3">
      <c r="A430" s="782"/>
      <c r="B430" s="782"/>
      <c r="C430" s="798"/>
      <c r="D430" s="782"/>
      <c r="E430" s="798"/>
      <c r="F430" s="798"/>
      <c r="G430" s="798"/>
      <c r="H430" s="798"/>
      <c r="I430" s="798"/>
      <c r="J430" s="798"/>
      <c r="K430" s="798"/>
      <c r="L430" s="798"/>
      <c r="M430" s="798"/>
      <c r="N430" s="798"/>
      <c r="O430" s="798"/>
      <c r="P430" s="798"/>
      <c r="Q430" s="798"/>
      <c r="R430" s="798"/>
      <c r="S430" s="798"/>
      <c r="T430" s="798"/>
      <c r="U430" s="798"/>
      <c r="V430" s="798"/>
      <c r="W430" s="798"/>
      <c r="X430" s="798"/>
      <c r="Y430" s="798"/>
      <c r="Z430" s="798"/>
      <c r="AA430" s="798"/>
      <c r="AB430" s="798"/>
      <c r="AC430" s="798"/>
      <c r="AD430" s="798"/>
      <c r="AE430" s="798"/>
      <c r="AF430" s="798"/>
      <c r="AG430" s="798"/>
      <c r="AH430" s="798"/>
      <c r="AI430" s="798"/>
      <c r="AJ430" s="798"/>
      <c r="AK430" s="798"/>
      <c r="AL430" s="798"/>
      <c r="AM430" s="798"/>
      <c r="AN430" s="798"/>
      <c r="AO430" s="798"/>
      <c r="AP430" s="798"/>
      <c r="AQ430" s="798"/>
      <c r="AR430" s="798"/>
      <c r="AS430" s="798"/>
      <c r="AT430" s="798"/>
      <c r="AU430" s="798"/>
      <c r="AV430" s="798"/>
      <c r="AW430" s="798"/>
      <c r="AX430" s="798"/>
    </row>
    <row r="431" spans="1:50" ht="12.75" customHeight="1" x14ac:dyDescent="0.3">
      <c r="A431" s="782"/>
      <c r="B431" s="782"/>
      <c r="C431" s="798"/>
      <c r="D431" s="782"/>
      <c r="E431" s="798"/>
      <c r="F431" s="798"/>
      <c r="G431" s="798"/>
      <c r="H431" s="798"/>
      <c r="I431" s="798"/>
      <c r="J431" s="798"/>
      <c r="K431" s="798"/>
      <c r="L431" s="798"/>
      <c r="M431" s="798"/>
      <c r="N431" s="798"/>
      <c r="O431" s="798"/>
      <c r="P431" s="798"/>
      <c r="Q431" s="798"/>
      <c r="R431" s="798"/>
      <c r="S431" s="798"/>
      <c r="T431" s="798"/>
      <c r="U431" s="798"/>
      <c r="V431" s="798"/>
      <c r="W431" s="798"/>
      <c r="X431" s="798"/>
      <c r="Y431" s="798"/>
      <c r="Z431" s="798"/>
      <c r="AA431" s="798"/>
      <c r="AB431" s="798"/>
      <c r="AC431" s="798"/>
      <c r="AD431" s="798"/>
      <c r="AE431" s="798"/>
      <c r="AF431" s="798"/>
      <c r="AG431" s="798"/>
      <c r="AH431" s="798"/>
      <c r="AI431" s="798"/>
      <c r="AJ431" s="798"/>
      <c r="AK431" s="798"/>
      <c r="AL431" s="798"/>
      <c r="AM431" s="798"/>
      <c r="AN431" s="798"/>
      <c r="AO431" s="798"/>
      <c r="AP431" s="798"/>
      <c r="AQ431" s="798"/>
      <c r="AR431" s="798"/>
      <c r="AS431" s="798"/>
      <c r="AT431" s="798"/>
      <c r="AU431" s="798"/>
      <c r="AV431" s="798"/>
      <c r="AW431" s="798"/>
      <c r="AX431" s="798"/>
    </row>
    <row r="432" spans="1:50" ht="12.75" customHeight="1" x14ac:dyDescent="0.3">
      <c r="A432" s="782"/>
      <c r="B432" s="782"/>
      <c r="C432" s="798"/>
      <c r="D432" s="782"/>
      <c r="E432" s="798"/>
      <c r="F432" s="798"/>
      <c r="G432" s="798"/>
      <c r="H432" s="798"/>
      <c r="I432" s="798"/>
      <c r="J432" s="798"/>
      <c r="K432" s="798"/>
      <c r="L432" s="798"/>
      <c r="M432" s="798"/>
      <c r="N432" s="798"/>
      <c r="O432" s="798"/>
      <c r="P432" s="798"/>
      <c r="Q432" s="798"/>
      <c r="R432" s="798"/>
      <c r="S432" s="798"/>
      <c r="T432" s="798"/>
      <c r="U432" s="798"/>
      <c r="V432" s="798"/>
      <c r="W432" s="798"/>
      <c r="X432" s="798"/>
      <c r="Y432" s="798"/>
      <c r="Z432" s="798"/>
      <c r="AA432" s="798"/>
      <c r="AB432" s="798"/>
      <c r="AC432" s="798"/>
      <c r="AD432" s="798"/>
      <c r="AE432" s="798"/>
      <c r="AF432" s="798"/>
      <c r="AG432" s="798"/>
      <c r="AH432" s="798"/>
      <c r="AI432" s="798"/>
      <c r="AJ432" s="798"/>
      <c r="AK432" s="798"/>
      <c r="AL432" s="798"/>
      <c r="AM432" s="798"/>
      <c r="AN432" s="798"/>
      <c r="AO432" s="798"/>
      <c r="AP432" s="798"/>
      <c r="AQ432" s="798"/>
      <c r="AR432" s="798"/>
      <c r="AS432" s="798"/>
      <c r="AT432" s="798"/>
      <c r="AU432" s="798"/>
      <c r="AV432" s="798"/>
      <c r="AW432" s="798"/>
      <c r="AX432" s="798"/>
    </row>
    <row r="433" spans="1:50" ht="12.75" customHeight="1" x14ac:dyDescent="0.3">
      <c r="A433" s="782"/>
      <c r="B433" s="782"/>
      <c r="C433" s="798"/>
      <c r="D433" s="782"/>
      <c r="E433" s="798"/>
      <c r="F433" s="798"/>
      <c r="G433" s="798"/>
      <c r="H433" s="798"/>
      <c r="I433" s="798"/>
      <c r="J433" s="798"/>
      <c r="K433" s="798"/>
      <c r="L433" s="798"/>
      <c r="M433" s="798"/>
      <c r="N433" s="798"/>
      <c r="O433" s="798"/>
      <c r="P433" s="798"/>
      <c r="Q433" s="798"/>
      <c r="R433" s="798"/>
      <c r="S433" s="798"/>
      <c r="T433" s="798"/>
      <c r="U433" s="798"/>
      <c r="V433" s="798"/>
      <c r="W433" s="798"/>
      <c r="X433" s="798"/>
      <c r="Y433" s="798"/>
      <c r="Z433" s="798"/>
      <c r="AA433" s="798"/>
      <c r="AB433" s="798"/>
      <c r="AC433" s="798"/>
      <c r="AD433" s="798"/>
      <c r="AE433" s="798"/>
      <c r="AF433" s="798"/>
      <c r="AG433" s="798"/>
      <c r="AH433" s="798"/>
      <c r="AI433" s="798"/>
      <c r="AJ433" s="798"/>
      <c r="AK433" s="798"/>
      <c r="AL433" s="798"/>
      <c r="AM433" s="798"/>
      <c r="AN433" s="798"/>
      <c r="AO433" s="798"/>
      <c r="AP433" s="798"/>
      <c r="AQ433" s="798"/>
      <c r="AR433" s="798"/>
      <c r="AS433" s="798"/>
      <c r="AT433" s="798"/>
      <c r="AU433" s="798"/>
      <c r="AV433" s="798"/>
      <c r="AW433" s="798"/>
      <c r="AX433" s="798"/>
    </row>
    <row r="434" spans="1:50" ht="12.75" customHeight="1" x14ac:dyDescent="0.3">
      <c r="A434" s="782"/>
      <c r="B434" s="782"/>
      <c r="C434" s="798"/>
      <c r="D434" s="782"/>
      <c r="E434" s="798"/>
      <c r="F434" s="798"/>
      <c r="G434" s="798"/>
      <c r="H434" s="798"/>
      <c r="I434" s="798"/>
      <c r="J434" s="798"/>
      <c r="K434" s="798"/>
      <c r="L434" s="798"/>
      <c r="M434" s="798"/>
      <c r="N434" s="798"/>
      <c r="O434" s="798"/>
      <c r="P434" s="798"/>
      <c r="Q434" s="798"/>
      <c r="R434" s="798"/>
      <c r="S434" s="798"/>
      <c r="T434" s="798"/>
      <c r="U434" s="798"/>
      <c r="V434" s="798"/>
      <c r="W434" s="798"/>
      <c r="X434" s="798"/>
      <c r="Y434" s="798"/>
      <c r="Z434" s="798"/>
      <c r="AA434" s="798"/>
      <c r="AB434" s="798"/>
      <c r="AC434" s="798"/>
      <c r="AD434" s="798"/>
      <c r="AE434" s="798"/>
      <c r="AF434" s="798"/>
      <c r="AG434" s="798"/>
      <c r="AH434" s="798"/>
      <c r="AI434" s="798"/>
      <c r="AJ434" s="798"/>
      <c r="AK434" s="798"/>
      <c r="AL434" s="798"/>
      <c r="AM434" s="798"/>
      <c r="AN434" s="798"/>
      <c r="AO434" s="798"/>
      <c r="AP434" s="798"/>
      <c r="AQ434" s="798"/>
      <c r="AR434" s="798"/>
      <c r="AS434" s="798"/>
      <c r="AT434" s="798"/>
      <c r="AU434" s="798"/>
      <c r="AV434" s="798"/>
      <c r="AW434" s="798"/>
      <c r="AX434" s="798"/>
    </row>
    <row r="435" spans="1:50" ht="12.75" customHeight="1" x14ac:dyDescent="0.3">
      <c r="A435" s="782"/>
      <c r="B435" s="782"/>
      <c r="C435" s="798"/>
      <c r="D435" s="782"/>
      <c r="E435" s="798"/>
      <c r="F435" s="798"/>
      <c r="G435" s="798"/>
      <c r="H435" s="798"/>
      <c r="I435" s="798"/>
      <c r="J435" s="798"/>
      <c r="K435" s="798"/>
      <c r="L435" s="798"/>
      <c r="M435" s="798"/>
      <c r="N435" s="798"/>
      <c r="O435" s="798"/>
      <c r="P435" s="798"/>
      <c r="Q435" s="798"/>
      <c r="R435" s="798"/>
      <c r="S435" s="798"/>
      <c r="T435" s="798"/>
      <c r="U435" s="798"/>
      <c r="V435" s="798"/>
      <c r="W435" s="798"/>
      <c r="X435" s="798"/>
      <c r="Y435" s="798"/>
      <c r="Z435" s="798"/>
      <c r="AA435" s="798"/>
      <c r="AB435" s="798"/>
      <c r="AC435" s="798"/>
      <c r="AD435" s="798"/>
      <c r="AE435" s="798"/>
      <c r="AF435" s="798"/>
      <c r="AG435" s="798"/>
      <c r="AH435" s="798"/>
      <c r="AI435" s="798"/>
      <c r="AJ435" s="798"/>
      <c r="AK435" s="798"/>
      <c r="AL435" s="798"/>
      <c r="AM435" s="798"/>
      <c r="AN435" s="798"/>
      <c r="AO435" s="798"/>
      <c r="AP435" s="798"/>
      <c r="AQ435" s="798"/>
      <c r="AR435" s="798"/>
      <c r="AS435" s="798"/>
      <c r="AT435" s="798"/>
      <c r="AU435" s="798"/>
      <c r="AV435" s="798"/>
      <c r="AW435" s="798"/>
      <c r="AX435" s="798"/>
    </row>
    <row r="436" spans="1:50" ht="12.75" customHeight="1" x14ac:dyDescent="0.3">
      <c r="A436" s="782"/>
      <c r="B436" s="782"/>
      <c r="C436" s="798"/>
      <c r="D436" s="782"/>
      <c r="E436" s="798"/>
      <c r="F436" s="798"/>
      <c r="G436" s="798"/>
      <c r="H436" s="798"/>
      <c r="I436" s="798"/>
      <c r="J436" s="798"/>
      <c r="K436" s="798"/>
      <c r="L436" s="798"/>
      <c r="M436" s="798"/>
      <c r="N436" s="798"/>
      <c r="O436" s="798"/>
      <c r="P436" s="798"/>
      <c r="Q436" s="798"/>
      <c r="R436" s="798"/>
      <c r="S436" s="798"/>
      <c r="T436" s="798"/>
      <c r="U436" s="798"/>
      <c r="V436" s="798"/>
      <c r="W436" s="798"/>
      <c r="X436" s="798"/>
      <c r="Y436" s="798"/>
      <c r="Z436" s="798"/>
      <c r="AA436" s="798"/>
      <c r="AB436" s="798"/>
      <c r="AC436" s="798"/>
      <c r="AD436" s="798"/>
      <c r="AE436" s="798"/>
      <c r="AF436" s="798"/>
      <c r="AG436" s="798"/>
      <c r="AH436" s="798"/>
      <c r="AI436" s="798"/>
      <c r="AJ436" s="798"/>
      <c r="AK436" s="798"/>
      <c r="AL436" s="798"/>
      <c r="AM436" s="798"/>
      <c r="AN436" s="798"/>
      <c r="AO436" s="798"/>
      <c r="AP436" s="798"/>
      <c r="AQ436" s="798"/>
      <c r="AR436" s="798"/>
      <c r="AS436" s="798"/>
      <c r="AT436" s="798"/>
      <c r="AU436" s="798"/>
      <c r="AV436" s="798"/>
      <c r="AW436" s="798"/>
      <c r="AX436" s="798"/>
    </row>
    <row r="437" spans="1:50" ht="12.75" customHeight="1" x14ac:dyDescent="0.3">
      <c r="A437" s="782"/>
      <c r="B437" s="782"/>
      <c r="C437" s="798"/>
      <c r="D437" s="782"/>
      <c r="E437" s="798"/>
      <c r="F437" s="798"/>
      <c r="G437" s="798"/>
      <c r="H437" s="798"/>
      <c r="I437" s="798"/>
      <c r="J437" s="798"/>
      <c r="K437" s="798"/>
      <c r="L437" s="798"/>
      <c r="M437" s="798"/>
      <c r="N437" s="798"/>
      <c r="O437" s="798"/>
      <c r="P437" s="798"/>
      <c r="Q437" s="798"/>
      <c r="R437" s="798"/>
      <c r="S437" s="798"/>
      <c r="T437" s="798"/>
      <c r="U437" s="798"/>
      <c r="V437" s="798"/>
      <c r="W437" s="798"/>
      <c r="X437" s="798"/>
      <c r="Y437" s="798"/>
      <c r="Z437" s="798"/>
      <c r="AA437" s="798"/>
      <c r="AB437" s="798"/>
      <c r="AC437" s="798"/>
      <c r="AD437" s="798"/>
      <c r="AE437" s="798"/>
      <c r="AF437" s="798"/>
      <c r="AG437" s="798"/>
      <c r="AH437" s="798"/>
      <c r="AI437" s="798"/>
      <c r="AJ437" s="798"/>
      <c r="AK437" s="798"/>
      <c r="AL437" s="798"/>
      <c r="AM437" s="798"/>
      <c r="AN437" s="798"/>
      <c r="AO437" s="798"/>
      <c r="AP437" s="798"/>
      <c r="AQ437" s="798"/>
      <c r="AR437" s="798"/>
      <c r="AS437" s="798"/>
      <c r="AT437" s="798"/>
      <c r="AU437" s="798"/>
      <c r="AV437" s="798"/>
      <c r="AW437" s="798"/>
      <c r="AX437" s="798"/>
    </row>
    <row r="438" spans="1:50" ht="12.75" customHeight="1" x14ac:dyDescent="0.3">
      <c r="A438" s="782"/>
      <c r="B438" s="782"/>
      <c r="C438" s="798"/>
      <c r="D438" s="782"/>
      <c r="E438" s="798"/>
      <c r="F438" s="798"/>
      <c r="G438" s="798"/>
      <c r="H438" s="798"/>
      <c r="I438" s="798"/>
      <c r="J438" s="798"/>
      <c r="K438" s="798"/>
      <c r="L438" s="798"/>
      <c r="M438" s="798"/>
      <c r="N438" s="798"/>
      <c r="O438" s="798"/>
      <c r="P438" s="798"/>
      <c r="Q438" s="798"/>
      <c r="R438" s="798"/>
      <c r="S438" s="798"/>
      <c r="T438" s="798"/>
      <c r="U438" s="798"/>
      <c r="V438" s="798"/>
      <c r="W438" s="798"/>
      <c r="X438" s="798"/>
      <c r="Y438" s="798"/>
      <c r="Z438" s="798"/>
      <c r="AA438" s="798"/>
      <c r="AB438" s="798"/>
      <c r="AC438" s="798"/>
      <c r="AD438" s="798"/>
      <c r="AE438" s="798"/>
      <c r="AF438" s="798"/>
      <c r="AG438" s="798"/>
      <c r="AH438" s="798"/>
      <c r="AI438" s="798"/>
      <c r="AJ438" s="798"/>
      <c r="AK438" s="798"/>
      <c r="AL438" s="798"/>
      <c r="AM438" s="798"/>
      <c r="AN438" s="798"/>
      <c r="AO438" s="798"/>
      <c r="AP438" s="798"/>
      <c r="AQ438" s="798"/>
      <c r="AR438" s="798"/>
      <c r="AS438" s="798"/>
      <c r="AT438" s="798"/>
      <c r="AU438" s="798"/>
      <c r="AV438" s="798"/>
      <c r="AW438" s="798"/>
      <c r="AX438" s="798"/>
    </row>
    <row r="439" spans="1:50" ht="12.75" customHeight="1" x14ac:dyDescent="0.3">
      <c r="A439" s="782"/>
      <c r="B439" s="782"/>
      <c r="C439" s="798"/>
      <c r="D439" s="782"/>
      <c r="E439" s="798"/>
      <c r="F439" s="798"/>
      <c r="G439" s="798"/>
      <c r="H439" s="798"/>
      <c r="I439" s="798"/>
      <c r="J439" s="798"/>
      <c r="K439" s="798"/>
      <c r="L439" s="798"/>
      <c r="M439" s="798"/>
      <c r="N439" s="798"/>
      <c r="O439" s="798"/>
      <c r="P439" s="798"/>
      <c r="Q439" s="798"/>
      <c r="R439" s="798"/>
      <c r="S439" s="798"/>
      <c r="T439" s="798"/>
      <c r="U439" s="798"/>
      <c r="V439" s="798"/>
      <c r="W439" s="798"/>
      <c r="X439" s="798"/>
      <c r="Y439" s="798"/>
      <c r="Z439" s="798"/>
      <c r="AA439" s="798"/>
      <c r="AB439" s="798"/>
      <c r="AC439" s="798"/>
      <c r="AD439" s="798"/>
      <c r="AE439" s="798"/>
      <c r="AF439" s="798"/>
      <c r="AG439" s="798"/>
      <c r="AH439" s="798"/>
      <c r="AI439" s="798"/>
      <c r="AJ439" s="798"/>
      <c r="AK439" s="798"/>
      <c r="AL439" s="798"/>
      <c r="AM439" s="798"/>
      <c r="AN439" s="798"/>
      <c r="AO439" s="798"/>
      <c r="AP439" s="798"/>
      <c r="AQ439" s="798"/>
      <c r="AR439" s="798"/>
      <c r="AS439" s="798"/>
      <c r="AT439" s="798"/>
      <c r="AU439" s="798"/>
      <c r="AV439" s="798"/>
      <c r="AW439" s="798"/>
      <c r="AX439" s="798"/>
    </row>
    <row r="440" spans="1:50" ht="12.75" customHeight="1" x14ac:dyDescent="0.3">
      <c r="A440" s="782"/>
      <c r="B440" s="782"/>
      <c r="C440" s="798"/>
      <c r="D440" s="782"/>
      <c r="E440" s="798"/>
      <c r="F440" s="798"/>
      <c r="G440" s="798"/>
      <c r="H440" s="798"/>
      <c r="I440" s="798"/>
      <c r="J440" s="798"/>
      <c r="K440" s="798"/>
      <c r="L440" s="798"/>
      <c r="M440" s="798"/>
      <c r="N440" s="798"/>
      <c r="O440" s="798"/>
      <c r="P440" s="798"/>
      <c r="Q440" s="798"/>
      <c r="R440" s="798"/>
      <c r="S440" s="798"/>
      <c r="T440" s="798"/>
      <c r="U440" s="798"/>
      <c r="V440" s="798"/>
      <c r="W440" s="798"/>
      <c r="X440" s="798"/>
      <c r="Y440" s="798"/>
      <c r="Z440" s="798"/>
      <c r="AA440" s="798"/>
      <c r="AB440" s="798"/>
      <c r="AC440" s="798"/>
      <c r="AD440" s="798"/>
      <c r="AE440" s="798"/>
      <c r="AF440" s="798"/>
      <c r="AG440" s="798"/>
      <c r="AH440" s="798"/>
      <c r="AI440" s="798"/>
      <c r="AJ440" s="798"/>
      <c r="AK440" s="798"/>
      <c r="AL440" s="798"/>
      <c r="AM440" s="798"/>
      <c r="AN440" s="798"/>
      <c r="AO440" s="798"/>
      <c r="AP440" s="798"/>
      <c r="AQ440" s="798"/>
      <c r="AR440" s="798"/>
      <c r="AS440" s="798"/>
      <c r="AT440" s="798"/>
      <c r="AU440" s="798"/>
      <c r="AV440" s="798"/>
      <c r="AW440" s="798"/>
      <c r="AX440" s="798"/>
    </row>
    <row r="441" spans="1:50" ht="12.75" customHeight="1" x14ac:dyDescent="0.3">
      <c r="A441" s="782"/>
      <c r="B441" s="782"/>
      <c r="C441" s="798"/>
      <c r="D441" s="782"/>
      <c r="E441" s="798"/>
      <c r="F441" s="798"/>
      <c r="G441" s="798"/>
      <c r="H441" s="798"/>
      <c r="I441" s="798"/>
      <c r="J441" s="798"/>
      <c r="K441" s="798"/>
      <c r="L441" s="798"/>
      <c r="M441" s="798"/>
      <c r="N441" s="798"/>
      <c r="O441" s="798"/>
      <c r="P441" s="798"/>
      <c r="Q441" s="798"/>
      <c r="R441" s="798"/>
      <c r="S441" s="798"/>
      <c r="T441" s="798"/>
      <c r="U441" s="798"/>
      <c r="V441" s="798"/>
      <c r="W441" s="798"/>
      <c r="X441" s="798"/>
      <c r="Y441" s="798"/>
      <c r="Z441" s="798"/>
      <c r="AA441" s="798"/>
      <c r="AB441" s="798"/>
      <c r="AC441" s="798"/>
      <c r="AD441" s="798"/>
      <c r="AE441" s="798"/>
      <c r="AF441" s="798"/>
      <c r="AG441" s="798"/>
      <c r="AH441" s="798"/>
      <c r="AI441" s="798"/>
      <c r="AJ441" s="798"/>
      <c r="AK441" s="798"/>
      <c r="AL441" s="798"/>
      <c r="AM441" s="798"/>
      <c r="AN441" s="798"/>
      <c r="AO441" s="798"/>
      <c r="AP441" s="798"/>
      <c r="AQ441" s="798"/>
      <c r="AR441" s="798"/>
      <c r="AS441" s="798"/>
      <c r="AT441" s="798"/>
      <c r="AU441" s="798"/>
      <c r="AV441" s="798"/>
      <c r="AW441" s="798"/>
      <c r="AX441" s="798"/>
    </row>
    <row r="442" spans="1:50" ht="12.75" customHeight="1" x14ac:dyDescent="0.3">
      <c r="A442" s="782"/>
      <c r="B442" s="782"/>
      <c r="C442" s="798"/>
      <c r="D442" s="782"/>
      <c r="E442" s="798"/>
      <c r="F442" s="798"/>
      <c r="G442" s="798"/>
      <c r="H442" s="798"/>
      <c r="I442" s="798"/>
      <c r="J442" s="798"/>
      <c r="K442" s="798"/>
      <c r="L442" s="798"/>
      <c r="M442" s="798"/>
      <c r="N442" s="798"/>
      <c r="O442" s="798"/>
      <c r="P442" s="798"/>
      <c r="Q442" s="798"/>
      <c r="R442" s="798"/>
      <c r="S442" s="798"/>
      <c r="T442" s="798"/>
      <c r="U442" s="798"/>
      <c r="V442" s="798"/>
      <c r="W442" s="798"/>
      <c r="X442" s="798"/>
      <c r="Y442" s="798"/>
      <c r="Z442" s="798"/>
      <c r="AA442" s="798"/>
      <c r="AB442" s="798"/>
      <c r="AC442" s="798"/>
      <c r="AD442" s="798"/>
      <c r="AE442" s="798"/>
      <c r="AF442" s="798"/>
      <c r="AG442" s="798"/>
      <c r="AH442" s="798"/>
      <c r="AI442" s="798"/>
      <c r="AJ442" s="798"/>
      <c r="AK442" s="798"/>
      <c r="AL442" s="798"/>
      <c r="AM442" s="798"/>
      <c r="AN442" s="798"/>
      <c r="AO442" s="798"/>
      <c r="AP442" s="798"/>
      <c r="AQ442" s="798"/>
      <c r="AR442" s="798"/>
      <c r="AS442" s="798"/>
      <c r="AT442" s="798"/>
      <c r="AU442" s="798"/>
      <c r="AV442" s="798"/>
      <c r="AW442" s="798"/>
      <c r="AX442" s="798"/>
    </row>
    <row r="443" spans="1:50" ht="12.75" customHeight="1" x14ac:dyDescent="0.3">
      <c r="A443" s="782"/>
      <c r="B443" s="782"/>
      <c r="C443" s="798"/>
      <c r="D443" s="782"/>
      <c r="E443" s="798"/>
      <c r="F443" s="798"/>
      <c r="G443" s="798"/>
      <c r="H443" s="798"/>
      <c r="I443" s="798"/>
      <c r="J443" s="798"/>
      <c r="K443" s="798"/>
      <c r="L443" s="798"/>
      <c r="M443" s="798"/>
      <c r="N443" s="798"/>
      <c r="O443" s="798"/>
      <c r="P443" s="798"/>
      <c r="Q443" s="798"/>
      <c r="R443" s="798"/>
      <c r="S443" s="798"/>
      <c r="T443" s="798"/>
      <c r="U443" s="798"/>
      <c r="V443" s="798"/>
      <c r="W443" s="798"/>
      <c r="X443" s="798"/>
      <c r="Y443" s="798"/>
      <c r="Z443" s="798"/>
      <c r="AA443" s="798"/>
      <c r="AB443" s="798"/>
      <c r="AC443" s="798"/>
      <c r="AD443" s="798"/>
      <c r="AE443" s="798"/>
      <c r="AF443" s="798"/>
      <c r="AG443" s="798"/>
      <c r="AH443" s="798"/>
      <c r="AI443" s="798"/>
      <c r="AJ443" s="798"/>
      <c r="AK443" s="798"/>
      <c r="AL443" s="798"/>
      <c r="AM443" s="798"/>
      <c r="AN443" s="798"/>
      <c r="AO443" s="798"/>
      <c r="AP443" s="798"/>
      <c r="AQ443" s="798"/>
      <c r="AR443" s="798"/>
      <c r="AS443" s="798"/>
      <c r="AT443" s="798"/>
      <c r="AU443" s="798"/>
      <c r="AV443" s="798"/>
      <c r="AW443" s="798"/>
      <c r="AX443" s="798"/>
    </row>
    <row r="444" spans="1:50" ht="12.75" customHeight="1" x14ac:dyDescent="0.3">
      <c r="A444" s="782"/>
      <c r="B444" s="782"/>
      <c r="C444" s="798"/>
      <c r="D444" s="782"/>
      <c r="E444" s="798"/>
      <c r="F444" s="798"/>
      <c r="G444" s="798"/>
      <c r="H444" s="798"/>
      <c r="I444" s="798"/>
      <c r="J444" s="798"/>
      <c r="K444" s="798"/>
      <c r="L444" s="798"/>
      <c r="M444" s="798"/>
      <c r="N444" s="798"/>
      <c r="O444" s="798"/>
      <c r="P444" s="798"/>
      <c r="Q444" s="798"/>
      <c r="R444" s="798"/>
      <c r="S444" s="798"/>
      <c r="T444" s="798"/>
      <c r="U444" s="798"/>
      <c r="V444" s="798"/>
      <c r="W444" s="798"/>
      <c r="X444" s="798"/>
      <c r="Y444" s="798"/>
      <c r="Z444" s="798"/>
      <c r="AA444" s="798"/>
      <c r="AB444" s="798"/>
      <c r="AC444" s="798"/>
      <c r="AD444" s="798"/>
      <c r="AE444" s="798"/>
      <c r="AF444" s="798"/>
      <c r="AG444" s="798"/>
      <c r="AH444" s="798"/>
      <c r="AI444" s="798"/>
      <c r="AJ444" s="798"/>
      <c r="AK444" s="798"/>
      <c r="AL444" s="798"/>
      <c r="AM444" s="798"/>
      <c r="AN444" s="798"/>
      <c r="AO444" s="798"/>
      <c r="AP444" s="798"/>
      <c r="AQ444" s="798"/>
      <c r="AR444" s="798"/>
      <c r="AS444" s="798"/>
      <c r="AT444" s="798"/>
      <c r="AU444" s="798"/>
      <c r="AV444" s="798"/>
      <c r="AW444" s="798"/>
      <c r="AX444" s="798"/>
    </row>
    <row r="445" spans="1:50" ht="12.75" customHeight="1" x14ac:dyDescent="0.3">
      <c r="A445" s="782"/>
      <c r="B445" s="782"/>
      <c r="C445" s="798"/>
      <c r="D445" s="782"/>
      <c r="E445" s="798"/>
      <c r="F445" s="798"/>
      <c r="G445" s="798"/>
      <c r="H445" s="798"/>
      <c r="I445" s="798"/>
      <c r="J445" s="798"/>
      <c r="K445" s="798"/>
      <c r="L445" s="798"/>
      <c r="M445" s="798"/>
      <c r="N445" s="798"/>
      <c r="O445" s="798"/>
      <c r="P445" s="798"/>
      <c r="Q445" s="798"/>
      <c r="R445" s="798"/>
      <c r="S445" s="798"/>
      <c r="T445" s="798"/>
      <c r="U445" s="798"/>
      <c r="V445" s="798"/>
      <c r="W445" s="798"/>
      <c r="X445" s="798"/>
      <c r="Y445" s="798"/>
      <c r="Z445" s="798"/>
      <c r="AA445" s="798"/>
      <c r="AB445" s="798"/>
      <c r="AC445" s="798"/>
      <c r="AD445" s="798"/>
      <c r="AE445" s="798"/>
      <c r="AF445" s="798"/>
      <c r="AG445" s="798"/>
      <c r="AH445" s="798"/>
      <c r="AI445" s="798"/>
      <c r="AJ445" s="798"/>
      <c r="AK445" s="798"/>
      <c r="AL445" s="798"/>
      <c r="AM445" s="798"/>
      <c r="AN445" s="798"/>
      <c r="AO445" s="798"/>
      <c r="AP445" s="798"/>
      <c r="AQ445" s="798"/>
      <c r="AR445" s="798"/>
      <c r="AS445" s="798"/>
      <c r="AT445" s="798"/>
      <c r="AU445" s="798"/>
      <c r="AV445" s="798"/>
      <c r="AW445" s="798"/>
      <c r="AX445" s="798"/>
    </row>
    <row r="446" spans="1:50" ht="12.75" customHeight="1" x14ac:dyDescent="0.3">
      <c r="A446" s="782"/>
      <c r="B446" s="782"/>
      <c r="C446" s="798"/>
      <c r="D446" s="782"/>
      <c r="E446" s="798"/>
      <c r="F446" s="798"/>
      <c r="G446" s="798"/>
      <c r="H446" s="798"/>
      <c r="I446" s="798"/>
      <c r="J446" s="798"/>
      <c r="K446" s="798"/>
      <c r="L446" s="798"/>
      <c r="M446" s="798"/>
      <c r="N446" s="798"/>
      <c r="O446" s="798"/>
      <c r="P446" s="798"/>
      <c r="Q446" s="798"/>
      <c r="R446" s="798"/>
      <c r="S446" s="798"/>
      <c r="T446" s="798"/>
      <c r="U446" s="798"/>
      <c r="V446" s="798"/>
      <c r="W446" s="798"/>
      <c r="X446" s="798"/>
      <c r="Y446" s="798"/>
      <c r="Z446" s="798"/>
      <c r="AA446" s="798"/>
      <c r="AB446" s="798"/>
      <c r="AC446" s="798"/>
      <c r="AD446" s="798"/>
      <c r="AE446" s="798"/>
      <c r="AF446" s="798"/>
      <c r="AG446" s="798"/>
      <c r="AH446" s="798"/>
      <c r="AI446" s="798"/>
      <c r="AJ446" s="798"/>
      <c r="AK446" s="798"/>
      <c r="AL446" s="798"/>
      <c r="AM446" s="798"/>
      <c r="AN446" s="798"/>
      <c r="AO446" s="798"/>
      <c r="AP446" s="798"/>
      <c r="AQ446" s="798"/>
      <c r="AR446" s="798"/>
      <c r="AS446" s="798"/>
      <c r="AT446" s="798"/>
      <c r="AU446" s="798"/>
      <c r="AV446" s="798"/>
      <c r="AW446" s="798"/>
      <c r="AX446" s="798"/>
    </row>
    <row r="447" spans="1:50" ht="12.75" customHeight="1" x14ac:dyDescent="0.3">
      <c r="A447" s="782"/>
      <c r="B447" s="782"/>
      <c r="C447" s="798"/>
      <c r="D447" s="782"/>
      <c r="E447" s="798"/>
      <c r="F447" s="798"/>
      <c r="G447" s="798"/>
      <c r="H447" s="798"/>
      <c r="I447" s="798"/>
      <c r="J447" s="798"/>
      <c r="K447" s="798"/>
      <c r="L447" s="798"/>
      <c r="M447" s="798"/>
      <c r="N447" s="798"/>
      <c r="O447" s="798"/>
      <c r="P447" s="798"/>
      <c r="Q447" s="798"/>
      <c r="R447" s="798"/>
      <c r="S447" s="798"/>
      <c r="T447" s="798"/>
      <c r="U447" s="798"/>
      <c r="V447" s="798"/>
      <c r="W447" s="798"/>
      <c r="X447" s="798"/>
      <c r="Y447" s="798"/>
      <c r="Z447" s="798"/>
      <c r="AA447" s="798"/>
      <c r="AB447" s="798"/>
      <c r="AC447" s="798"/>
      <c r="AD447" s="798"/>
      <c r="AE447" s="798"/>
      <c r="AF447" s="798"/>
      <c r="AG447" s="798"/>
      <c r="AH447" s="798"/>
      <c r="AI447" s="798"/>
      <c r="AJ447" s="798"/>
      <c r="AK447" s="798"/>
      <c r="AL447" s="798"/>
      <c r="AM447" s="798"/>
      <c r="AN447" s="798"/>
      <c r="AO447" s="798"/>
      <c r="AP447" s="798"/>
      <c r="AQ447" s="798"/>
      <c r="AR447" s="798"/>
      <c r="AS447" s="798"/>
      <c r="AT447" s="798"/>
      <c r="AU447" s="798"/>
      <c r="AV447" s="798"/>
      <c r="AW447" s="798"/>
      <c r="AX447" s="798"/>
    </row>
    <row r="448" spans="1:50" ht="12.75" customHeight="1" x14ac:dyDescent="0.3">
      <c r="A448" s="782"/>
      <c r="B448" s="782"/>
      <c r="C448" s="798"/>
      <c r="D448" s="782"/>
      <c r="E448" s="798"/>
      <c r="F448" s="798"/>
      <c r="G448" s="798"/>
      <c r="H448" s="798"/>
      <c r="I448" s="798"/>
      <c r="J448" s="798"/>
      <c r="K448" s="798"/>
      <c r="L448" s="798"/>
      <c r="M448" s="798"/>
      <c r="N448" s="798"/>
      <c r="O448" s="798"/>
      <c r="P448" s="798"/>
      <c r="Q448" s="798"/>
      <c r="R448" s="798"/>
      <c r="S448" s="798"/>
      <c r="T448" s="798"/>
      <c r="U448" s="798"/>
      <c r="V448" s="798"/>
      <c r="W448" s="798"/>
      <c r="X448" s="798"/>
      <c r="Y448" s="798"/>
      <c r="Z448" s="798"/>
      <c r="AA448" s="798"/>
      <c r="AB448" s="798"/>
      <c r="AC448" s="798"/>
      <c r="AD448" s="798"/>
      <c r="AE448" s="798"/>
      <c r="AF448" s="798"/>
      <c r="AG448" s="798"/>
      <c r="AH448" s="798"/>
      <c r="AI448" s="798"/>
      <c r="AJ448" s="798"/>
      <c r="AK448" s="798"/>
      <c r="AL448" s="798"/>
      <c r="AM448" s="798"/>
      <c r="AN448" s="798"/>
      <c r="AO448" s="798"/>
      <c r="AP448" s="798"/>
      <c r="AQ448" s="798"/>
      <c r="AR448" s="798"/>
      <c r="AS448" s="798"/>
      <c r="AT448" s="798"/>
      <c r="AU448" s="798"/>
      <c r="AV448" s="798"/>
      <c r="AW448" s="798"/>
      <c r="AX448" s="798"/>
    </row>
    <row r="449" spans="1:50" ht="12.75" customHeight="1" x14ac:dyDescent="0.3">
      <c r="A449" s="782"/>
      <c r="B449" s="782"/>
      <c r="C449" s="798"/>
      <c r="D449" s="782"/>
      <c r="E449" s="798"/>
      <c r="F449" s="798"/>
      <c r="G449" s="798"/>
      <c r="H449" s="798"/>
      <c r="I449" s="798"/>
      <c r="J449" s="798"/>
      <c r="K449" s="798"/>
      <c r="L449" s="798"/>
      <c r="M449" s="798"/>
      <c r="N449" s="798"/>
      <c r="O449" s="798"/>
      <c r="P449" s="798"/>
      <c r="Q449" s="798"/>
      <c r="R449" s="798"/>
      <c r="S449" s="798"/>
      <c r="T449" s="798"/>
      <c r="U449" s="798"/>
      <c r="V449" s="798"/>
      <c r="W449" s="798"/>
      <c r="X449" s="798"/>
      <c r="Y449" s="798"/>
      <c r="Z449" s="798"/>
      <c r="AA449" s="798"/>
      <c r="AB449" s="798"/>
      <c r="AC449" s="798"/>
      <c r="AD449" s="798"/>
      <c r="AE449" s="798"/>
      <c r="AF449" s="798"/>
      <c r="AG449" s="798"/>
      <c r="AH449" s="798"/>
      <c r="AI449" s="798"/>
      <c r="AJ449" s="798"/>
      <c r="AK449" s="798"/>
      <c r="AL449" s="798"/>
      <c r="AM449" s="798"/>
      <c r="AN449" s="798"/>
      <c r="AO449" s="798"/>
      <c r="AP449" s="798"/>
      <c r="AQ449" s="798"/>
      <c r="AR449" s="798"/>
      <c r="AS449" s="798"/>
      <c r="AT449" s="798"/>
      <c r="AU449" s="798"/>
      <c r="AV449" s="798"/>
      <c r="AW449" s="798"/>
      <c r="AX449" s="798"/>
    </row>
    <row r="450" spans="1:50" ht="12.75" customHeight="1" x14ac:dyDescent="0.3">
      <c r="A450" s="782"/>
      <c r="B450" s="782"/>
      <c r="C450" s="798"/>
      <c r="D450" s="782"/>
      <c r="E450" s="798"/>
      <c r="F450" s="798"/>
      <c r="G450" s="798"/>
      <c r="H450" s="798"/>
      <c r="I450" s="798"/>
      <c r="J450" s="798"/>
      <c r="K450" s="798"/>
      <c r="L450" s="798"/>
      <c r="M450" s="798"/>
      <c r="N450" s="798"/>
      <c r="O450" s="798"/>
      <c r="P450" s="798"/>
      <c r="Q450" s="798"/>
      <c r="R450" s="798"/>
      <c r="S450" s="798"/>
      <c r="T450" s="798"/>
      <c r="U450" s="798"/>
      <c r="V450" s="798"/>
      <c r="W450" s="798"/>
      <c r="X450" s="798"/>
      <c r="Y450" s="798"/>
      <c r="Z450" s="798"/>
      <c r="AA450" s="798"/>
      <c r="AB450" s="798"/>
      <c r="AC450" s="798"/>
      <c r="AD450" s="798"/>
      <c r="AE450" s="798"/>
      <c r="AF450" s="798"/>
      <c r="AG450" s="798"/>
      <c r="AH450" s="798"/>
      <c r="AI450" s="798"/>
      <c r="AJ450" s="798"/>
      <c r="AK450" s="798"/>
      <c r="AL450" s="798"/>
      <c r="AM450" s="798"/>
      <c r="AN450" s="798"/>
      <c r="AO450" s="798"/>
      <c r="AP450" s="798"/>
      <c r="AQ450" s="798"/>
      <c r="AR450" s="798"/>
      <c r="AS450" s="798"/>
      <c r="AT450" s="798"/>
      <c r="AU450" s="798"/>
      <c r="AV450" s="798"/>
      <c r="AW450" s="798"/>
      <c r="AX450" s="798"/>
    </row>
    <row r="451" spans="1:50" ht="12.75" customHeight="1" x14ac:dyDescent="0.3">
      <c r="A451" s="782"/>
      <c r="B451" s="782"/>
      <c r="C451" s="798"/>
      <c r="D451" s="782"/>
      <c r="E451" s="798"/>
      <c r="F451" s="798"/>
      <c r="G451" s="798"/>
      <c r="H451" s="798"/>
      <c r="I451" s="798"/>
      <c r="J451" s="798"/>
      <c r="K451" s="798"/>
      <c r="L451" s="798"/>
      <c r="M451" s="798"/>
      <c r="N451" s="798"/>
      <c r="O451" s="798"/>
      <c r="P451" s="798"/>
      <c r="Q451" s="798"/>
      <c r="R451" s="798"/>
      <c r="S451" s="798"/>
      <c r="T451" s="798"/>
      <c r="U451" s="798"/>
      <c r="V451" s="798"/>
      <c r="W451" s="798"/>
      <c r="X451" s="798"/>
      <c r="Y451" s="798"/>
      <c r="Z451" s="798"/>
      <c r="AA451" s="798"/>
      <c r="AB451" s="798"/>
      <c r="AC451" s="798"/>
      <c r="AD451" s="798"/>
      <c r="AE451" s="798"/>
      <c r="AF451" s="798"/>
      <c r="AG451" s="798"/>
      <c r="AH451" s="798"/>
      <c r="AI451" s="798"/>
      <c r="AJ451" s="798"/>
      <c r="AK451" s="798"/>
      <c r="AL451" s="798"/>
      <c r="AM451" s="798"/>
      <c r="AN451" s="798"/>
      <c r="AO451" s="798"/>
      <c r="AP451" s="798"/>
      <c r="AQ451" s="798"/>
      <c r="AR451" s="798"/>
      <c r="AS451" s="798"/>
      <c r="AT451" s="798"/>
      <c r="AU451" s="798"/>
      <c r="AV451" s="798"/>
      <c r="AW451" s="798"/>
      <c r="AX451" s="798"/>
    </row>
    <row r="452" spans="1:50" ht="12.75" customHeight="1" x14ac:dyDescent="0.3">
      <c r="A452" s="782"/>
      <c r="B452" s="782"/>
      <c r="C452" s="798"/>
      <c r="D452" s="782"/>
      <c r="E452" s="798"/>
      <c r="F452" s="798"/>
      <c r="G452" s="798"/>
      <c r="H452" s="798"/>
      <c r="I452" s="798"/>
      <c r="J452" s="798"/>
      <c r="K452" s="798"/>
      <c r="L452" s="798"/>
      <c r="M452" s="798"/>
      <c r="N452" s="798"/>
      <c r="O452" s="798"/>
      <c r="P452" s="798"/>
      <c r="Q452" s="798"/>
      <c r="R452" s="798"/>
      <c r="S452" s="798"/>
      <c r="T452" s="798"/>
      <c r="U452" s="798"/>
      <c r="V452" s="798"/>
      <c r="W452" s="798"/>
      <c r="X452" s="798"/>
      <c r="Y452" s="798"/>
      <c r="Z452" s="798"/>
      <c r="AA452" s="798"/>
      <c r="AB452" s="798"/>
      <c r="AC452" s="798"/>
      <c r="AD452" s="798"/>
      <c r="AE452" s="798"/>
      <c r="AF452" s="798"/>
      <c r="AG452" s="798"/>
      <c r="AH452" s="798"/>
      <c r="AI452" s="798"/>
      <c r="AJ452" s="798"/>
      <c r="AK452" s="798"/>
      <c r="AL452" s="798"/>
      <c r="AM452" s="798"/>
      <c r="AN452" s="798"/>
      <c r="AO452" s="798"/>
      <c r="AP452" s="798"/>
      <c r="AQ452" s="798"/>
      <c r="AR452" s="798"/>
      <c r="AS452" s="798"/>
      <c r="AT452" s="798"/>
      <c r="AU452" s="798"/>
      <c r="AV452" s="798"/>
      <c r="AW452" s="798"/>
      <c r="AX452" s="798"/>
    </row>
    <row r="453" spans="1:50" ht="12.75" customHeight="1" x14ac:dyDescent="0.3">
      <c r="A453" s="782"/>
      <c r="B453" s="782"/>
      <c r="C453" s="798"/>
      <c r="D453" s="782"/>
      <c r="E453" s="798"/>
      <c r="F453" s="798"/>
      <c r="G453" s="798"/>
      <c r="H453" s="798"/>
      <c r="I453" s="798"/>
      <c r="J453" s="798"/>
      <c r="K453" s="798"/>
      <c r="L453" s="798"/>
      <c r="M453" s="798"/>
      <c r="N453" s="798"/>
      <c r="O453" s="798"/>
      <c r="P453" s="798"/>
      <c r="Q453" s="798"/>
      <c r="R453" s="798"/>
      <c r="S453" s="798"/>
      <c r="T453" s="798"/>
      <c r="U453" s="798"/>
      <c r="V453" s="798"/>
      <c r="W453" s="798"/>
      <c r="X453" s="798"/>
      <c r="Y453" s="798"/>
      <c r="Z453" s="798"/>
      <c r="AA453" s="798"/>
      <c r="AB453" s="798"/>
      <c r="AC453" s="798"/>
      <c r="AD453" s="798"/>
      <c r="AE453" s="798"/>
      <c r="AF453" s="798"/>
      <c r="AG453" s="798"/>
      <c r="AH453" s="798"/>
      <c r="AI453" s="798"/>
      <c r="AJ453" s="798"/>
      <c r="AK453" s="798"/>
      <c r="AL453" s="798"/>
      <c r="AM453" s="798"/>
      <c r="AN453" s="798"/>
      <c r="AO453" s="798"/>
      <c r="AP453" s="798"/>
      <c r="AQ453" s="798"/>
      <c r="AR453" s="798"/>
      <c r="AS453" s="798"/>
      <c r="AT453" s="798"/>
      <c r="AU453" s="798"/>
      <c r="AV453" s="798"/>
      <c r="AW453" s="798"/>
      <c r="AX453" s="798"/>
    </row>
    <row r="454" spans="1:50" ht="12.75" customHeight="1" x14ac:dyDescent="0.3">
      <c r="A454" s="782"/>
      <c r="B454" s="782"/>
      <c r="C454" s="798"/>
      <c r="D454" s="782"/>
      <c r="E454" s="798"/>
      <c r="F454" s="798"/>
      <c r="G454" s="798"/>
      <c r="H454" s="798"/>
      <c r="I454" s="798"/>
      <c r="J454" s="798"/>
      <c r="K454" s="798"/>
      <c r="L454" s="798"/>
      <c r="M454" s="798"/>
      <c r="N454" s="798"/>
      <c r="O454" s="798"/>
      <c r="P454" s="798"/>
      <c r="Q454" s="798"/>
      <c r="R454" s="798"/>
      <c r="S454" s="798"/>
      <c r="T454" s="798"/>
      <c r="U454" s="798"/>
      <c r="V454" s="798"/>
      <c r="W454" s="798"/>
      <c r="X454" s="798"/>
      <c r="Y454" s="798"/>
      <c r="Z454" s="798"/>
      <c r="AA454" s="798"/>
      <c r="AB454" s="798"/>
      <c r="AC454" s="798"/>
      <c r="AD454" s="798"/>
      <c r="AE454" s="798"/>
      <c r="AF454" s="798"/>
      <c r="AG454" s="798"/>
      <c r="AH454" s="798"/>
      <c r="AI454" s="798"/>
      <c r="AJ454" s="798"/>
      <c r="AK454" s="798"/>
      <c r="AL454" s="798"/>
      <c r="AM454" s="798"/>
      <c r="AN454" s="798"/>
      <c r="AO454" s="798"/>
      <c r="AP454" s="798"/>
      <c r="AQ454" s="798"/>
      <c r="AR454" s="798"/>
      <c r="AS454" s="798"/>
      <c r="AT454" s="798"/>
      <c r="AU454" s="798"/>
      <c r="AV454" s="798"/>
      <c r="AW454" s="798"/>
      <c r="AX454" s="798"/>
    </row>
    <row r="455" spans="1:50" ht="12.75" customHeight="1" x14ac:dyDescent="0.3">
      <c r="A455" s="782"/>
      <c r="B455" s="782"/>
      <c r="C455" s="798"/>
      <c r="D455" s="782"/>
      <c r="E455" s="798"/>
      <c r="F455" s="798"/>
      <c r="G455" s="798"/>
      <c r="H455" s="798"/>
      <c r="I455" s="798"/>
      <c r="J455" s="798"/>
      <c r="K455" s="798"/>
      <c r="L455" s="798"/>
      <c r="M455" s="798"/>
      <c r="N455" s="798"/>
      <c r="O455" s="798"/>
      <c r="P455" s="798"/>
      <c r="Q455" s="798"/>
      <c r="R455" s="798"/>
      <c r="S455" s="798"/>
      <c r="T455" s="798"/>
      <c r="U455" s="798"/>
      <c r="V455" s="798"/>
      <c r="W455" s="798"/>
      <c r="X455" s="798"/>
      <c r="Y455" s="798"/>
      <c r="Z455" s="798"/>
      <c r="AA455" s="798"/>
      <c r="AB455" s="798"/>
      <c r="AC455" s="798"/>
      <c r="AD455" s="798"/>
      <c r="AE455" s="798"/>
      <c r="AF455" s="798"/>
      <c r="AG455" s="798"/>
      <c r="AH455" s="798"/>
      <c r="AI455" s="798"/>
      <c r="AJ455" s="798"/>
      <c r="AK455" s="798"/>
      <c r="AL455" s="798"/>
      <c r="AM455" s="798"/>
      <c r="AN455" s="798"/>
      <c r="AO455" s="798"/>
      <c r="AP455" s="798"/>
      <c r="AQ455" s="798"/>
      <c r="AR455" s="798"/>
      <c r="AS455" s="798"/>
      <c r="AT455" s="798"/>
      <c r="AU455" s="798"/>
      <c r="AV455" s="798"/>
      <c r="AW455" s="798"/>
      <c r="AX455" s="798"/>
    </row>
    <row r="456" spans="1:50" ht="12.75" customHeight="1" x14ac:dyDescent="0.3">
      <c r="A456" s="782"/>
      <c r="B456" s="782"/>
      <c r="C456" s="798"/>
      <c r="D456" s="782"/>
      <c r="E456" s="798"/>
      <c r="F456" s="798"/>
      <c r="G456" s="798"/>
      <c r="H456" s="798"/>
      <c r="I456" s="798"/>
      <c r="J456" s="798"/>
      <c r="K456" s="798"/>
      <c r="L456" s="798"/>
      <c r="M456" s="798"/>
      <c r="N456" s="798"/>
      <c r="O456" s="798"/>
      <c r="P456" s="798"/>
      <c r="Q456" s="798"/>
      <c r="R456" s="798"/>
      <c r="S456" s="798"/>
      <c r="T456" s="798"/>
      <c r="U456" s="798"/>
      <c r="V456" s="798"/>
      <c r="W456" s="798"/>
      <c r="X456" s="798"/>
      <c r="Y456" s="798"/>
      <c r="Z456" s="798"/>
      <c r="AA456" s="798"/>
      <c r="AB456" s="798"/>
      <c r="AC456" s="798"/>
      <c r="AD456" s="798"/>
      <c r="AE456" s="798"/>
      <c r="AF456" s="798"/>
      <c r="AG456" s="798"/>
      <c r="AH456" s="798"/>
      <c r="AI456" s="798"/>
      <c r="AJ456" s="798"/>
      <c r="AK456" s="798"/>
      <c r="AL456" s="798"/>
      <c r="AM456" s="798"/>
      <c r="AN456" s="798"/>
      <c r="AO456" s="798"/>
      <c r="AP456" s="798"/>
      <c r="AQ456" s="798"/>
      <c r="AR456" s="798"/>
      <c r="AS456" s="798"/>
      <c r="AT456" s="798"/>
      <c r="AU456" s="798"/>
      <c r="AV456" s="798"/>
      <c r="AW456" s="798"/>
      <c r="AX456" s="798"/>
    </row>
    <row r="457" spans="1:50" ht="12.75" customHeight="1" x14ac:dyDescent="0.3">
      <c r="A457" s="782"/>
      <c r="B457" s="782"/>
      <c r="C457" s="798"/>
      <c r="D457" s="782"/>
      <c r="E457" s="798"/>
      <c r="F457" s="798"/>
      <c r="G457" s="798"/>
      <c r="H457" s="798"/>
      <c r="I457" s="798"/>
      <c r="J457" s="798"/>
      <c r="K457" s="798"/>
      <c r="L457" s="798"/>
      <c r="M457" s="798"/>
      <c r="N457" s="798"/>
      <c r="O457" s="798"/>
      <c r="P457" s="798"/>
      <c r="Q457" s="798"/>
      <c r="R457" s="798"/>
      <c r="S457" s="798"/>
      <c r="T457" s="798"/>
      <c r="U457" s="798"/>
      <c r="V457" s="798"/>
      <c r="W457" s="798"/>
      <c r="X457" s="798"/>
      <c r="Y457" s="798"/>
      <c r="Z457" s="798"/>
      <c r="AA457" s="798"/>
      <c r="AB457" s="798"/>
      <c r="AC457" s="798"/>
      <c r="AD457" s="798"/>
      <c r="AE457" s="798"/>
      <c r="AF457" s="798"/>
      <c r="AG457" s="798"/>
      <c r="AH457" s="798"/>
      <c r="AI457" s="798"/>
      <c r="AJ457" s="798"/>
      <c r="AK457" s="798"/>
      <c r="AL457" s="798"/>
      <c r="AM457" s="798"/>
      <c r="AN457" s="798"/>
      <c r="AO457" s="798"/>
      <c r="AP457" s="798"/>
      <c r="AQ457" s="798"/>
      <c r="AR457" s="798"/>
      <c r="AS457" s="798"/>
      <c r="AT457" s="798"/>
      <c r="AU457" s="798"/>
      <c r="AV457" s="798"/>
      <c r="AW457" s="798"/>
      <c r="AX457" s="798"/>
    </row>
    <row r="458" spans="1:50" ht="12.75" customHeight="1" x14ac:dyDescent="0.3">
      <c r="A458" s="782"/>
      <c r="B458" s="782"/>
      <c r="C458" s="798"/>
      <c r="D458" s="782"/>
      <c r="E458" s="798"/>
      <c r="F458" s="798"/>
      <c r="G458" s="798"/>
      <c r="H458" s="798"/>
      <c r="I458" s="798"/>
      <c r="J458" s="798"/>
      <c r="K458" s="798"/>
      <c r="L458" s="798"/>
      <c r="M458" s="798"/>
      <c r="N458" s="798"/>
      <c r="O458" s="798"/>
      <c r="P458" s="798"/>
      <c r="Q458" s="798"/>
      <c r="R458" s="798"/>
      <c r="S458" s="798"/>
      <c r="T458" s="798"/>
      <c r="U458" s="798"/>
      <c r="V458" s="798"/>
      <c r="W458" s="798"/>
      <c r="X458" s="798"/>
      <c r="Y458" s="798"/>
      <c r="Z458" s="798"/>
      <c r="AA458" s="798"/>
      <c r="AB458" s="798"/>
      <c r="AC458" s="798"/>
      <c r="AD458" s="798"/>
      <c r="AE458" s="798"/>
      <c r="AF458" s="798"/>
      <c r="AG458" s="798"/>
      <c r="AH458" s="798"/>
      <c r="AI458" s="798"/>
      <c r="AJ458" s="798"/>
      <c r="AK458" s="798"/>
      <c r="AL458" s="798"/>
      <c r="AM458" s="798"/>
      <c r="AN458" s="798"/>
      <c r="AO458" s="798"/>
      <c r="AP458" s="798"/>
      <c r="AQ458" s="798"/>
      <c r="AR458" s="798"/>
      <c r="AS458" s="798"/>
      <c r="AT458" s="798"/>
      <c r="AU458" s="798"/>
      <c r="AV458" s="798"/>
      <c r="AW458" s="798"/>
      <c r="AX458" s="798"/>
    </row>
    <row r="459" spans="1:50" ht="12.75" customHeight="1" x14ac:dyDescent="0.3">
      <c r="A459" s="782"/>
      <c r="B459" s="782"/>
      <c r="C459" s="798"/>
      <c r="D459" s="782"/>
      <c r="E459" s="798"/>
      <c r="F459" s="798"/>
      <c r="G459" s="798"/>
      <c r="H459" s="798"/>
      <c r="I459" s="798"/>
      <c r="J459" s="798"/>
      <c r="K459" s="798"/>
      <c r="L459" s="798"/>
      <c r="M459" s="798"/>
      <c r="N459" s="798"/>
      <c r="O459" s="798"/>
      <c r="P459" s="798"/>
      <c r="Q459" s="798"/>
      <c r="R459" s="798"/>
      <c r="S459" s="798"/>
      <c r="T459" s="798"/>
      <c r="U459" s="798"/>
      <c r="V459" s="798"/>
      <c r="W459" s="798"/>
      <c r="X459" s="798"/>
      <c r="Y459" s="798"/>
      <c r="Z459" s="798"/>
      <c r="AA459" s="798"/>
      <c r="AB459" s="798"/>
      <c r="AC459" s="798"/>
      <c r="AD459" s="798"/>
      <c r="AE459" s="798"/>
      <c r="AF459" s="798"/>
      <c r="AG459" s="798"/>
      <c r="AH459" s="798"/>
      <c r="AI459" s="798"/>
      <c r="AJ459" s="798"/>
      <c r="AK459" s="798"/>
      <c r="AL459" s="798"/>
      <c r="AM459" s="798"/>
      <c r="AN459" s="798"/>
      <c r="AO459" s="798"/>
      <c r="AP459" s="798"/>
      <c r="AQ459" s="798"/>
      <c r="AR459" s="798"/>
      <c r="AS459" s="798"/>
      <c r="AT459" s="798"/>
      <c r="AU459" s="798"/>
      <c r="AV459" s="798"/>
      <c r="AW459" s="798"/>
      <c r="AX459" s="798"/>
    </row>
    <row r="460" spans="1:50" ht="12.75" customHeight="1" x14ac:dyDescent="0.3">
      <c r="A460" s="782"/>
      <c r="B460" s="782"/>
      <c r="C460" s="782"/>
      <c r="D460" s="782"/>
      <c r="E460" s="782"/>
      <c r="F460" s="782"/>
      <c r="G460" s="782"/>
      <c r="H460" s="782"/>
      <c r="I460" s="782"/>
      <c r="J460" s="782"/>
      <c r="K460" s="782"/>
      <c r="L460" s="782"/>
      <c r="M460" s="782"/>
      <c r="N460" s="782"/>
      <c r="O460" s="782"/>
      <c r="P460" s="782"/>
      <c r="Q460" s="782"/>
      <c r="R460" s="782"/>
      <c r="S460" s="782"/>
      <c r="T460" s="782"/>
      <c r="U460" s="782"/>
      <c r="V460" s="782"/>
      <c r="W460" s="782"/>
      <c r="X460" s="782"/>
      <c r="Y460" s="782"/>
      <c r="Z460" s="782"/>
      <c r="AA460" s="782"/>
      <c r="AB460" s="782"/>
      <c r="AC460" s="782"/>
      <c r="AD460" s="782"/>
      <c r="AE460" s="782"/>
      <c r="AF460" s="782"/>
      <c r="AG460" s="782"/>
      <c r="AH460" s="782"/>
      <c r="AI460" s="782"/>
      <c r="AJ460" s="782"/>
      <c r="AK460" s="782"/>
      <c r="AL460" s="782"/>
      <c r="AM460" s="782"/>
      <c r="AN460" s="782"/>
      <c r="AO460" s="782"/>
      <c r="AP460" s="782"/>
      <c r="AQ460" s="782"/>
      <c r="AR460" s="782"/>
      <c r="AS460" s="782"/>
      <c r="AT460" s="782"/>
      <c r="AU460" s="782"/>
      <c r="AV460" s="782"/>
      <c r="AW460" s="782"/>
      <c r="AX460" s="782"/>
    </row>
    <row r="461" spans="1:50" ht="12.75" customHeight="1" x14ac:dyDescent="0.3">
      <c r="A461" s="782"/>
      <c r="B461" s="782"/>
      <c r="C461" s="782"/>
      <c r="D461" s="782"/>
      <c r="E461" s="782"/>
      <c r="F461" s="782"/>
      <c r="G461" s="782"/>
      <c r="H461" s="782"/>
      <c r="I461" s="782"/>
      <c r="J461" s="782"/>
      <c r="K461" s="782"/>
      <c r="L461" s="782"/>
      <c r="M461" s="782"/>
      <c r="N461" s="782"/>
      <c r="O461" s="782"/>
      <c r="P461" s="782"/>
      <c r="Q461" s="782"/>
      <c r="R461" s="782"/>
      <c r="S461" s="782"/>
      <c r="T461" s="782"/>
      <c r="U461" s="782"/>
      <c r="V461" s="782"/>
      <c r="W461" s="782"/>
      <c r="X461" s="782"/>
      <c r="Y461" s="782"/>
      <c r="Z461" s="782"/>
      <c r="AA461" s="782"/>
      <c r="AB461" s="782"/>
      <c r="AC461" s="782"/>
      <c r="AD461" s="782"/>
      <c r="AE461" s="782"/>
      <c r="AF461" s="782"/>
      <c r="AG461" s="782"/>
      <c r="AH461" s="782"/>
      <c r="AI461" s="782"/>
      <c r="AJ461" s="782"/>
      <c r="AK461" s="782"/>
      <c r="AL461" s="782"/>
      <c r="AM461" s="782"/>
      <c r="AN461" s="782"/>
      <c r="AO461" s="782"/>
      <c r="AP461" s="782"/>
      <c r="AQ461" s="782"/>
      <c r="AR461" s="782"/>
      <c r="AS461" s="782"/>
      <c r="AT461" s="782"/>
      <c r="AU461" s="782"/>
      <c r="AV461" s="782"/>
      <c r="AW461" s="782"/>
      <c r="AX461" s="782"/>
    </row>
    <row r="462" spans="1:50" ht="12.75" customHeight="1" x14ac:dyDescent="0.3">
      <c r="A462" s="782"/>
      <c r="B462" s="782"/>
      <c r="C462" s="782"/>
      <c r="D462" s="782"/>
      <c r="E462" s="782"/>
      <c r="F462" s="782"/>
      <c r="G462" s="782"/>
      <c r="H462" s="782"/>
      <c r="I462" s="782"/>
      <c r="J462" s="782"/>
      <c r="K462" s="782"/>
      <c r="L462" s="782"/>
      <c r="M462" s="782"/>
      <c r="N462" s="782"/>
      <c r="O462" s="782"/>
      <c r="P462" s="782"/>
      <c r="Q462" s="782"/>
      <c r="R462" s="782"/>
      <c r="S462" s="782"/>
      <c r="T462" s="782"/>
      <c r="U462" s="782"/>
      <c r="V462" s="782"/>
      <c r="W462" s="782"/>
      <c r="X462" s="782"/>
      <c r="Y462" s="782"/>
      <c r="Z462" s="782"/>
      <c r="AA462" s="782"/>
      <c r="AB462" s="782"/>
      <c r="AC462" s="782"/>
      <c r="AD462" s="782"/>
      <c r="AE462" s="782"/>
      <c r="AF462" s="782"/>
      <c r="AG462" s="782"/>
      <c r="AH462" s="782"/>
      <c r="AI462" s="782"/>
      <c r="AJ462" s="782"/>
      <c r="AK462" s="782"/>
      <c r="AL462" s="782"/>
      <c r="AM462" s="782"/>
      <c r="AN462" s="782"/>
      <c r="AO462" s="782"/>
      <c r="AP462" s="782"/>
      <c r="AQ462" s="782"/>
      <c r="AR462" s="782"/>
      <c r="AS462" s="782"/>
      <c r="AT462" s="782"/>
      <c r="AU462" s="782"/>
      <c r="AV462" s="782"/>
      <c r="AW462" s="782"/>
      <c r="AX462" s="782"/>
    </row>
    <row r="463" spans="1:50" ht="12.75" customHeight="1" x14ac:dyDescent="0.3">
      <c r="A463" s="782"/>
      <c r="B463" s="782"/>
      <c r="C463" s="782"/>
      <c r="D463" s="782"/>
      <c r="E463" s="782"/>
      <c r="F463" s="782"/>
      <c r="G463" s="782"/>
      <c r="H463" s="782"/>
      <c r="I463" s="782"/>
      <c r="J463" s="782"/>
      <c r="K463" s="782"/>
      <c r="L463" s="782"/>
      <c r="M463" s="782"/>
      <c r="N463" s="782"/>
      <c r="O463" s="782"/>
      <c r="P463" s="782"/>
      <c r="Q463" s="782"/>
      <c r="R463" s="782"/>
      <c r="S463" s="782"/>
      <c r="T463" s="782"/>
      <c r="U463" s="782"/>
      <c r="V463" s="782"/>
      <c r="W463" s="782"/>
      <c r="X463" s="782"/>
      <c r="Y463" s="782"/>
      <c r="Z463" s="782"/>
      <c r="AA463" s="782"/>
      <c r="AB463" s="782"/>
      <c r="AC463" s="782"/>
      <c r="AD463" s="782"/>
      <c r="AE463" s="782"/>
      <c r="AF463" s="782"/>
      <c r="AG463" s="782"/>
      <c r="AH463" s="782"/>
      <c r="AI463" s="782"/>
      <c r="AJ463" s="782"/>
      <c r="AK463" s="782"/>
      <c r="AL463" s="782"/>
      <c r="AM463" s="782"/>
      <c r="AN463" s="782"/>
      <c r="AO463" s="782"/>
      <c r="AP463" s="782"/>
      <c r="AQ463" s="782"/>
      <c r="AR463" s="782"/>
      <c r="AS463" s="782"/>
      <c r="AT463" s="782"/>
      <c r="AU463" s="782"/>
      <c r="AV463" s="782"/>
      <c r="AW463" s="782"/>
      <c r="AX463" s="782"/>
    </row>
    <row r="464" spans="1:50" ht="12.75" customHeight="1" x14ac:dyDescent="0.3">
      <c r="A464" s="782"/>
      <c r="B464" s="796"/>
      <c r="C464" s="782"/>
      <c r="D464" s="782"/>
      <c r="E464" s="782"/>
      <c r="F464" s="782"/>
      <c r="G464" s="782"/>
      <c r="H464" s="782"/>
      <c r="I464" s="782"/>
      <c r="J464" s="782"/>
      <c r="K464" s="782"/>
      <c r="L464" s="782"/>
      <c r="M464" s="782"/>
      <c r="N464" s="782"/>
      <c r="O464" s="782"/>
      <c r="P464" s="782"/>
      <c r="Q464" s="782"/>
      <c r="R464" s="782"/>
      <c r="S464" s="782"/>
      <c r="T464" s="782"/>
      <c r="U464" s="782"/>
      <c r="V464" s="782"/>
      <c r="W464" s="782"/>
      <c r="X464" s="782"/>
      <c r="Y464" s="782"/>
      <c r="Z464" s="782"/>
      <c r="AA464" s="782"/>
      <c r="AB464" s="782"/>
      <c r="AC464" s="782"/>
      <c r="AD464" s="782"/>
      <c r="AE464" s="782"/>
      <c r="AF464" s="782"/>
      <c r="AG464" s="782"/>
      <c r="AH464" s="782"/>
      <c r="AI464" s="782"/>
      <c r="AJ464" s="782"/>
      <c r="AK464" s="782"/>
      <c r="AL464" s="782"/>
      <c r="AM464" s="782"/>
      <c r="AN464" s="782"/>
      <c r="AO464" s="782"/>
      <c r="AP464" s="782"/>
      <c r="AQ464" s="782"/>
      <c r="AR464" s="782"/>
      <c r="AS464" s="782"/>
      <c r="AT464" s="782"/>
      <c r="AU464" s="782"/>
      <c r="AV464" s="782"/>
      <c r="AW464" s="782"/>
      <c r="AX464" s="782"/>
    </row>
    <row r="465" spans="1:50" ht="12.75" customHeight="1" x14ac:dyDescent="0.3">
      <c r="A465" s="782"/>
      <c r="B465" s="782"/>
      <c r="C465" s="782"/>
      <c r="D465" s="782"/>
      <c r="E465" s="782"/>
      <c r="F465" s="782"/>
      <c r="G465" s="782"/>
      <c r="H465" s="782"/>
      <c r="I465" s="782"/>
      <c r="J465" s="782"/>
      <c r="K465" s="782"/>
      <c r="L465" s="782"/>
      <c r="M465" s="782"/>
      <c r="N465" s="782"/>
      <c r="O465" s="782"/>
      <c r="P465" s="782"/>
      <c r="Q465" s="782"/>
      <c r="R465" s="782"/>
      <c r="S465" s="782"/>
      <c r="T465" s="782"/>
      <c r="U465" s="782"/>
      <c r="V465" s="782"/>
      <c r="W465" s="782"/>
      <c r="X465" s="782"/>
      <c r="Y465" s="782"/>
      <c r="Z465" s="782"/>
      <c r="AA465" s="782"/>
      <c r="AB465" s="782"/>
      <c r="AC465" s="782"/>
      <c r="AD465" s="782"/>
      <c r="AE465" s="782"/>
      <c r="AF465" s="782"/>
      <c r="AG465" s="782"/>
      <c r="AH465" s="782"/>
      <c r="AI465" s="782"/>
      <c r="AJ465" s="782"/>
      <c r="AK465" s="782"/>
      <c r="AL465" s="782"/>
      <c r="AM465" s="782"/>
      <c r="AN465" s="782"/>
      <c r="AO465" s="782"/>
      <c r="AP465" s="782"/>
      <c r="AQ465" s="782"/>
      <c r="AR465" s="782"/>
      <c r="AS465" s="782"/>
      <c r="AT465" s="782"/>
      <c r="AU465" s="782"/>
      <c r="AV465" s="782"/>
      <c r="AW465" s="782"/>
      <c r="AX465" s="782"/>
    </row>
    <row r="466" spans="1:50" ht="12.75" customHeight="1" x14ac:dyDescent="0.3">
      <c r="A466" s="782"/>
      <c r="B466" s="782"/>
      <c r="C466" s="805"/>
      <c r="D466" s="782"/>
      <c r="E466" s="805"/>
      <c r="F466" s="805"/>
      <c r="G466" s="805"/>
      <c r="H466" s="805"/>
      <c r="I466" s="805"/>
      <c r="J466" s="805"/>
      <c r="K466" s="805"/>
      <c r="L466" s="805"/>
      <c r="M466" s="805"/>
      <c r="N466" s="805"/>
      <c r="O466" s="805"/>
      <c r="P466" s="805"/>
      <c r="Q466" s="805"/>
      <c r="R466" s="805"/>
      <c r="S466" s="805"/>
      <c r="T466" s="805"/>
      <c r="U466" s="805"/>
      <c r="V466" s="805"/>
      <c r="W466" s="805"/>
      <c r="X466" s="805"/>
      <c r="Y466" s="805"/>
      <c r="Z466" s="805"/>
      <c r="AA466" s="805"/>
      <c r="AB466" s="805"/>
      <c r="AC466" s="805"/>
      <c r="AD466" s="805"/>
      <c r="AE466" s="805"/>
      <c r="AF466" s="805"/>
      <c r="AG466" s="805"/>
      <c r="AH466" s="805"/>
      <c r="AI466" s="805"/>
      <c r="AJ466" s="805"/>
      <c r="AK466" s="805"/>
      <c r="AL466" s="805"/>
      <c r="AM466" s="805"/>
      <c r="AN466" s="805"/>
      <c r="AO466" s="805"/>
      <c r="AP466" s="805"/>
      <c r="AQ466" s="805"/>
      <c r="AR466" s="805"/>
      <c r="AS466" s="805"/>
      <c r="AT466" s="805"/>
      <c r="AU466" s="805"/>
      <c r="AV466" s="805"/>
      <c r="AW466" s="805"/>
      <c r="AX466" s="805"/>
    </row>
    <row r="467" spans="1:50" ht="12.75" customHeight="1" x14ac:dyDescent="0.3">
      <c r="A467" s="782"/>
      <c r="B467" s="782"/>
      <c r="C467" s="805"/>
      <c r="D467" s="782"/>
      <c r="E467" s="805"/>
      <c r="F467" s="805"/>
      <c r="G467" s="805"/>
      <c r="H467" s="805"/>
      <c r="I467" s="805"/>
      <c r="J467" s="805"/>
      <c r="K467" s="805"/>
      <c r="L467" s="805"/>
      <c r="M467" s="805"/>
      <c r="N467" s="805"/>
      <c r="O467" s="805"/>
      <c r="P467" s="805"/>
      <c r="Q467" s="805"/>
      <c r="R467" s="805"/>
      <c r="S467" s="805"/>
      <c r="T467" s="805"/>
      <c r="U467" s="805"/>
      <c r="V467" s="805"/>
      <c r="W467" s="805"/>
      <c r="X467" s="805"/>
      <c r="Y467" s="805"/>
      <c r="Z467" s="805"/>
      <c r="AA467" s="805"/>
      <c r="AB467" s="805"/>
      <c r="AC467" s="805"/>
      <c r="AD467" s="805"/>
      <c r="AE467" s="805"/>
      <c r="AF467" s="805"/>
      <c r="AG467" s="805"/>
      <c r="AH467" s="805"/>
      <c r="AI467" s="805"/>
      <c r="AJ467" s="805"/>
      <c r="AK467" s="805"/>
      <c r="AL467" s="805"/>
      <c r="AM467" s="805"/>
      <c r="AN467" s="805"/>
      <c r="AO467" s="805"/>
      <c r="AP467" s="805"/>
      <c r="AQ467" s="805"/>
      <c r="AR467" s="805"/>
      <c r="AS467" s="805"/>
      <c r="AT467" s="805"/>
      <c r="AU467" s="805"/>
      <c r="AV467" s="805"/>
      <c r="AW467" s="805"/>
      <c r="AX467" s="805"/>
    </row>
    <row r="468" spans="1:50" ht="12.75" customHeight="1" x14ac:dyDescent="0.3">
      <c r="A468" s="782"/>
      <c r="B468" s="782"/>
      <c r="C468" s="782"/>
      <c r="D468" s="782"/>
      <c r="E468" s="782"/>
      <c r="F468" s="782"/>
      <c r="G468" s="782"/>
      <c r="H468" s="782"/>
      <c r="I468" s="782"/>
      <c r="J468" s="782"/>
      <c r="K468" s="782"/>
      <c r="L468" s="782"/>
      <c r="M468" s="782"/>
      <c r="N468" s="782"/>
      <c r="O468" s="782"/>
      <c r="P468" s="782"/>
      <c r="Q468" s="782"/>
      <c r="R468" s="782"/>
      <c r="S468" s="782"/>
      <c r="T468" s="782"/>
      <c r="U468" s="782"/>
      <c r="V468" s="782"/>
      <c r="W468" s="782"/>
      <c r="X468" s="782"/>
      <c r="Y468" s="782"/>
      <c r="Z468" s="782"/>
      <c r="AA468" s="782"/>
      <c r="AB468" s="782"/>
      <c r="AC468" s="782"/>
      <c r="AD468" s="782"/>
      <c r="AE468" s="782"/>
      <c r="AF468" s="782"/>
      <c r="AG468" s="782"/>
      <c r="AH468" s="782"/>
      <c r="AI468" s="782"/>
      <c r="AJ468" s="782"/>
      <c r="AK468" s="782"/>
      <c r="AL468" s="782"/>
      <c r="AM468" s="782"/>
      <c r="AN468" s="782"/>
      <c r="AO468" s="782"/>
      <c r="AP468" s="782"/>
      <c r="AQ468" s="782"/>
      <c r="AR468" s="782"/>
      <c r="AS468" s="782"/>
      <c r="AT468" s="782"/>
      <c r="AU468" s="782"/>
      <c r="AV468" s="782"/>
      <c r="AW468" s="782"/>
      <c r="AX468" s="782"/>
    </row>
    <row r="469" spans="1:50" ht="12.75" customHeight="1" x14ac:dyDescent="0.3">
      <c r="A469" s="782"/>
      <c r="B469" s="782"/>
      <c r="C469" s="782"/>
      <c r="D469" s="782"/>
      <c r="E469" s="782"/>
      <c r="F469" s="782"/>
      <c r="G469" s="782"/>
      <c r="H469" s="782"/>
      <c r="I469" s="782"/>
      <c r="J469" s="782"/>
      <c r="K469" s="782"/>
      <c r="L469" s="782"/>
      <c r="M469" s="782"/>
      <c r="N469" s="782"/>
      <c r="O469" s="782"/>
      <c r="P469" s="782"/>
      <c r="Q469" s="782"/>
      <c r="R469" s="782"/>
      <c r="S469" s="782"/>
      <c r="T469" s="782"/>
      <c r="U469" s="782"/>
      <c r="V469" s="782"/>
      <c r="W469" s="782"/>
      <c r="X469" s="782"/>
      <c r="Y469" s="782"/>
      <c r="Z469" s="782"/>
      <c r="AA469" s="782"/>
      <c r="AB469" s="782"/>
      <c r="AC469" s="782"/>
      <c r="AD469" s="782"/>
      <c r="AE469" s="782"/>
      <c r="AF469" s="782"/>
      <c r="AG469" s="782"/>
      <c r="AH469" s="782"/>
      <c r="AI469" s="782"/>
      <c r="AJ469" s="782"/>
      <c r="AK469" s="782"/>
      <c r="AL469" s="782"/>
      <c r="AM469" s="782"/>
      <c r="AN469" s="782"/>
      <c r="AO469" s="782"/>
      <c r="AP469" s="782"/>
      <c r="AQ469" s="782"/>
      <c r="AR469" s="782"/>
      <c r="AS469" s="782"/>
      <c r="AT469" s="782"/>
      <c r="AU469" s="782"/>
      <c r="AV469" s="782"/>
      <c r="AW469" s="782"/>
      <c r="AX469" s="782"/>
    </row>
    <row r="470" spans="1:50" ht="12.75" customHeight="1" x14ac:dyDescent="0.3">
      <c r="A470" s="782"/>
      <c r="B470" s="782"/>
      <c r="C470" s="782"/>
      <c r="D470" s="782"/>
      <c r="E470" s="782"/>
      <c r="F470" s="782"/>
      <c r="G470" s="782"/>
      <c r="H470" s="782"/>
      <c r="I470" s="782"/>
      <c r="J470" s="782"/>
      <c r="K470" s="782"/>
      <c r="L470" s="782"/>
      <c r="M470" s="782"/>
      <c r="N470" s="782"/>
      <c r="O470" s="782"/>
      <c r="P470" s="782"/>
      <c r="Q470" s="782"/>
      <c r="R470" s="782"/>
      <c r="S470" s="782"/>
      <c r="T470" s="782"/>
      <c r="U470" s="782"/>
      <c r="V470" s="782"/>
      <c r="W470" s="782"/>
      <c r="X470" s="782"/>
      <c r="Y470" s="782"/>
      <c r="Z470" s="782"/>
      <c r="AA470" s="782"/>
      <c r="AB470" s="782"/>
      <c r="AC470" s="782"/>
      <c r="AD470" s="782"/>
      <c r="AE470" s="782"/>
      <c r="AF470" s="782"/>
      <c r="AG470" s="782"/>
      <c r="AH470" s="782"/>
      <c r="AI470" s="782"/>
      <c r="AJ470" s="782"/>
      <c r="AK470" s="782"/>
      <c r="AL470" s="782"/>
      <c r="AM470" s="782"/>
      <c r="AN470" s="782"/>
      <c r="AO470" s="782"/>
      <c r="AP470" s="782"/>
      <c r="AQ470" s="782"/>
      <c r="AR470" s="782"/>
      <c r="AS470" s="782"/>
      <c r="AT470" s="782"/>
      <c r="AU470" s="782"/>
      <c r="AV470" s="782"/>
      <c r="AW470" s="782"/>
      <c r="AX470" s="782"/>
    </row>
    <row r="471" spans="1:50" ht="12.75" customHeight="1" x14ac:dyDescent="0.3">
      <c r="A471" s="782"/>
      <c r="B471" s="782"/>
      <c r="C471" s="782"/>
      <c r="D471" s="782"/>
      <c r="E471" s="782"/>
      <c r="F471" s="782"/>
      <c r="G471" s="782"/>
      <c r="H471" s="782"/>
      <c r="I471" s="782"/>
      <c r="J471" s="782"/>
      <c r="K471" s="782"/>
      <c r="L471" s="782"/>
      <c r="M471" s="782"/>
      <c r="N471" s="782"/>
      <c r="O471" s="782"/>
      <c r="P471" s="782"/>
      <c r="Q471" s="782"/>
      <c r="R471" s="782"/>
      <c r="S471" s="782"/>
      <c r="T471" s="782"/>
      <c r="U471" s="782"/>
      <c r="V471" s="782"/>
      <c r="W471" s="782"/>
      <c r="X471" s="782"/>
      <c r="Y471" s="782"/>
      <c r="Z471" s="782"/>
      <c r="AA471" s="782"/>
      <c r="AB471" s="782"/>
      <c r="AC471" s="782"/>
      <c r="AD471" s="782"/>
      <c r="AE471" s="782"/>
      <c r="AF471" s="782"/>
      <c r="AG471" s="782"/>
      <c r="AH471" s="782"/>
      <c r="AI471" s="782"/>
      <c r="AJ471" s="782"/>
      <c r="AK471" s="782"/>
      <c r="AL471" s="782"/>
      <c r="AM471" s="782"/>
      <c r="AN471" s="782"/>
      <c r="AO471" s="782"/>
      <c r="AP471" s="782"/>
      <c r="AQ471" s="782"/>
      <c r="AR471" s="782"/>
      <c r="AS471" s="782"/>
      <c r="AT471" s="782"/>
      <c r="AU471" s="782"/>
      <c r="AV471" s="782"/>
      <c r="AW471" s="782"/>
      <c r="AX471" s="782"/>
    </row>
    <row r="472" spans="1:50" ht="12.75" customHeight="1" x14ac:dyDescent="0.3">
      <c r="A472" s="782"/>
      <c r="B472" s="782"/>
      <c r="C472" s="782"/>
      <c r="D472" s="782"/>
      <c r="E472" s="782"/>
      <c r="F472" s="782"/>
      <c r="G472" s="782"/>
      <c r="H472" s="782"/>
      <c r="I472" s="782"/>
      <c r="J472" s="782"/>
      <c r="K472" s="782"/>
      <c r="L472" s="782"/>
      <c r="M472" s="782"/>
      <c r="N472" s="782"/>
      <c r="O472" s="782"/>
      <c r="P472" s="782"/>
      <c r="Q472" s="782"/>
      <c r="R472" s="782"/>
      <c r="S472" s="782"/>
      <c r="T472" s="782"/>
      <c r="U472" s="782"/>
      <c r="V472" s="782"/>
      <c r="W472" s="782"/>
      <c r="X472" s="782"/>
      <c r="Y472" s="782"/>
      <c r="Z472" s="782"/>
      <c r="AA472" s="782"/>
      <c r="AB472" s="782"/>
      <c r="AC472" s="782"/>
      <c r="AD472" s="782"/>
      <c r="AE472" s="782"/>
      <c r="AF472" s="782"/>
      <c r="AG472" s="782"/>
      <c r="AH472" s="782"/>
      <c r="AI472" s="782"/>
      <c r="AJ472" s="782"/>
      <c r="AK472" s="782"/>
      <c r="AL472" s="782"/>
      <c r="AM472" s="782"/>
      <c r="AN472" s="782"/>
      <c r="AO472" s="782"/>
      <c r="AP472" s="782"/>
      <c r="AQ472" s="782"/>
      <c r="AR472" s="782"/>
      <c r="AS472" s="782"/>
      <c r="AT472" s="782"/>
      <c r="AU472" s="782"/>
      <c r="AV472" s="782"/>
      <c r="AW472" s="782"/>
      <c r="AX472" s="782"/>
    </row>
    <row r="473" spans="1:50" ht="12.75" customHeight="1" x14ac:dyDescent="0.3">
      <c r="A473" s="782"/>
      <c r="B473" s="782"/>
      <c r="C473" s="782"/>
      <c r="D473" s="782"/>
      <c r="E473" s="782"/>
      <c r="F473" s="782"/>
      <c r="G473" s="782"/>
      <c r="H473" s="782"/>
      <c r="I473" s="782"/>
      <c r="J473" s="782"/>
      <c r="K473" s="782"/>
      <c r="L473" s="782"/>
      <c r="M473" s="782"/>
      <c r="N473" s="782"/>
      <c r="O473" s="782"/>
      <c r="P473" s="782"/>
      <c r="Q473" s="782"/>
      <c r="R473" s="782"/>
      <c r="S473" s="782"/>
      <c r="T473" s="782"/>
      <c r="U473" s="782"/>
      <c r="V473" s="782"/>
      <c r="W473" s="782"/>
      <c r="X473" s="782"/>
      <c r="Y473" s="782"/>
      <c r="Z473" s="782"/>
      <c r="AA473" s="782"/>
      <c r="AB473" s="782"/>
      <c r="AC473" s="782"/>
      <c r="AD473" s="782"/>
      <c r="AE473" s="782"/>
      <c r="AF473" s="782"/>
      <c r="AG473" s="782"/>
      <c r="AH473" s="782"/>
      <c r="AI473" s="782"/>
      <c r="AJ473" s="782"/>
      <c r="AK473" s="782"/>
      <c r="AL473" s="782"/>
      <c r="AM473" s="782"/>
      <c r="AN473" s="782"/>
      <c r="AO473" s="782"/>
      <c r="AP473" s="782"/>
      <c r="AQ473" s="782"/>
      <c r="AR473" s="782"/>
      <c r="AS473" s="782"/>
      <c r="AT473" s="782"/>
      <c r="AU473" s="782"/>
      <c r="AV473" s="782"/>
      <c r="AW473" s="782"/>
      <c r="AX473" s="782"/>
    </row>
    <row r="474" spans="1:50" ht="12.75" customHeight="1" x14ac:dyDescent="0.3">
      <c r="A474" s="782"/>
      <c r="B474" s="782"/>
      <c r="C474" s="782"/>
      <c r="D474" s="782"/>
      <c r="E474" s="782"/>
      <c r="F474" s="782"/>
      <c r="G474" s="782"/>
      <c r="H474" s="782"/>
      <c r="I474" s="782"/>
      <c r="J474" s="782"/>
      <c r="K474" s="782"/>
      <c r="L474" s="782"/>
      <c r="M474" s="782"/>
      <c r="N474" s="782"/>
      <c r="O474" s="782"/>
      <c r="P474" s="782"/>
      <c r="Q474" s="782"/>
      <c r="R474" s="782"/>
      <c r="S474" s="782"/>
      <c r="T474" s="782"/>
      <c r="U474" s="782"/>
      <c r="V474" s="782"/>
      <c r="W474" s="782"/>
      <c r="X474" s="782"/>
      <c r="Y474" s="782"/>
      <c r="Z474" s="782"/>
      <c r="AA474" s="782"/>
      <c r="AB474" s="782"/>
      <c r="AC474" s="782"/>
      <c r="AD474" s="782"/>
      <c r="AE474" s="782"/>
      <c r="AF474" s="782"/>
      <c r="AG474" s="782"/>
      <c r="AH474" s="782"/>
      <c r="AI474" s="782"/>
      <c r="AJ474" s="782"/>
      <c r="AK474" s="782"/>
      <c r="AL474" s="782"/>
      <c r="AM474" s="782"/>
      <c r="AN474" s="782"/>
      <c r="AO474" s="782"/>
      <c r="AP474" s="782"/>
      <c r="AQ474" s="782"/>
      <c r="AR474" s="782"/>
      <c r="AS474" s="782"/>
      <c r="AT474" s="782"/>
      <c r="AU474" s="782"/>
      <c r="AV474" s="782"/>
      <c r="AW474" s="782"/>
      <c r="AX474" s="782"/>
    </row>
    <row r="475" spans="1:50" ht="12.75" customHeight="1" x14ac:dyDescent="0.3">
      <c r="A475" s="782"/>
      <c r="B475" s="782"/>
      <c r="C475" s="782"/>
      <c r="D475" s="782"/>
      <c r="E475" s="782"/>
      <c r="F475" s="782"/>
      <c r="G475" s="782"/>
      <c r="H475" s="782"/>
      <c r="I475" s="782"/>
      <c r="J475" s="782"/>
      <c r="K475" s="782"/>
      <c r="L475" s="782"/>
      <c r="M475" s="782"/>
      <c r="N475" s="782"/>
      <c r="O475" s="782"/>
      <c r="P475" s="782"/>
      <c r="Q475" s="782"/>
      <c r="R475" s="782"/>
      <c r="S475" s="782"/>
      <c r="T475" s="782"/>
      <c r="U475" s="782"/>
      <c r="V475" s="782"/>
      <c r="W475" s="782"/>
      <c r="X475" s="782"/>
      <c r="Y475" s="782"/>
      <c r="Z475" s="782"/>
      <c r="AA475" s="782"/>
      <c r="AB475" s="782"/>
      <c r="AC475" s="782"/>
      <c r="AD475" s="782"/>
      <c r="AE475" s="782"/>
      <c r="AF475" s="782"/>
      <c r="AG475" s="782"/>
      <c r="AH475" s="782"/>
      <c r="AI475" s="782"/>
      <c r="AJ475" s="782"/>
      <c r="AK475" s="782"/>
      <c r="AL475" s="782"/>
      <c r="AM475" s="782"/>
      <c r="AN475" s="782"/>
      <c r="AO475" s="782"/>
      <c r="AP475" s="782"/>
      <c r="AQ475" s="782"/>
      <c r="AR475" s="782"/>
      <c r="AS475" s="782"/>
      <c r="AT475" s="782"/>
      <c r="AU475" s="782"/>
      <c r="AV475" s="782"/>
      <c r="AW475" s="782"/>
      <c r="AX475" s="782"/>
    </row>
    <row r="476" spans="1:50" ht="12.75" customHeight="1" x14ac:dyDescent="0.3">
      <c r="A476" s="782"/>
      <c r="B476" s="782"/>
      <c r="C476" s="782"/>
      <c r="D476" s="782"/>
      <c r="E476" s="782"/>
      <c r="F476" s="782"/>
      <c r="G476" s="782"/>
      <c r="H476" s="782"/>
      <c r="I476" s="782"/>
      <c r="J476" s="782"/>
      <c r="K476" s="782"/>
      <c r="L476" s="782"/>
      <c r="M476" s="782"/>
      <c r="N476" s="782"/>
      <c r="O476" s="782"/>
      <c r="P476" s="782"/>
      <c r="Q476" s="782"/>
      <c r="R476" s="782"/>
      <c r="S476" s="782"/>
      <c r="T476" s="782"/>
      <c r="U476" s="782"/>
      <c r="V476" s="782"/>
      <c r="W476" s="782"/>
      <c r="X476" s="782"/>
      <c r="Y476" s="782"/>
      <c r="Z476" s="782"/>
      <c r="AA476" s="782"/>
      <c r="AB476" s="782"/>
      <c r="AC476" s="782"/>
      <c r="AD476" s="782"/>
      <c r="AE476" s="782"/>
      <c r="AF476" s="782"/>
      <c r="AG476" s="782"/>
      <c r="AH476" s="782"/>
      <c r="AI476" s="782"/>
      <c r="AJ476" s="782"/>
      <c r="AK476" s="782"/>
      <c r="AL476" s="782"/>
      <c r="AM476" s="782"/>
      <c r="AN476" s="782"/>
      <c r="AO476" s="782"/>
      <c r="AP476" s="782"/>
      <c r="AQ476" s="782"/>
      <c r="AR476" s="782"/>
      <c r="AS476" s="782"/>
      <c r="AT476" s="782"/>
      <c r="AU476" s="782"/>
      <c r="AV476" s="782"/>
      <c r="AW476" s="782"/>
      <c r="AX476" s="782"/>
    </row>
    <row r="477" spans="1:50" ht="12.75" customHeight="1" x14ac:dyDescent="0.3">
      <c r="B477" s="782"/>
      <c r="C477" s="782"/>
      <c r="D477" s="782"/>
      <c r="E477" s="782"/>
      <c r="F477" s="782"/>
      <c r="G477" s="782"/>
      <c r="H477" s="782"/>
      <c r="I477" s="782"/>
      <c r="J477" s="782"/>
      <c r="K477" s="782"/>
      <c r="L477" s="782"/>
      <c r="M477" s="782"/>
      <c r="N477" s="782"/>
      <c r="O477" s="782"/>
      <c r="P477" s="782"/>
      <c r="Q477" s="782"/>
      <c r="R477" s="782"/>
      <c r="S477" s="782"/>
      <c r="T477" s="782"/>
      <c r="U477" s="782"/>
      <c r="V477" s="782"/>
      <c r="W477" s="782"/>
      <c r="X477" s="782"/>
      <c r="Y477" s="782"/>
      <c r="Z477" s="782"/>
      <c r="AA477" s="782"/>
      <c r="AB477" s="782"/>
      <c r="AC477" s="782"/>
      <c r="AD477" s="782"/>
      <c r="AE477" s="782"/>
      <c r="AF477" s="782"/>
      <c r="AG477" s="782"/>
      <c r="AH477" s="782"/>
      <c r="AI477" s="782"/>
      <c r="AJ477" s="782"/>
      <c r="AK477" s="782"/>
      <c r="AL477" s="782"/>
      <c r="AM477" s="782"/>
      <c r="AN477" s="782"/>
      <c r="AO477" s="782"/>
      <c r="AP477" s="782"/>
      <c r="AQ477" s="782"/>
      <c r="AR477" s="782"/>
      <c r="AS477" s="782"/>
      <c r="AT477" s="782"/>
      <c r="AU477" s="782"/>
      <c r="AV477" s="782"/>
      <c r="AW477" s="782"/>
      <c r="AX477" s="782"/>
    </row>
    <row r="478" spans="1:50" ht="12.75" customHeight="1" x14ac:dyDescent="0.3">
      <c r="B478" s="782"/>
      <c r="C478" s="782"/>
      <c r="D478" s="782"/>
      <c r="E478" s="782"/>
      <c r="F478" s="782"/>
      <c r="G478" s="782"/>
      <c r="H478" s="782"/>
      <c r="I478" s="782"/>
      <c r="J478" s="782"/>
      <c r="K478" s="782"/>
      <c r="L478" s="782"/>
      <c r="M478" s="782"/>
      <c r="N478" s="782"/>
      <c r="O478" s="782"/>
      <c r="P478" s="782"/>
      <c r="Q478" s="782"/>
      <c r="R478" s="782"/>
      <c r="S478" s="782"/>
      <c r="T478" s="782"/>
      <c r="U478" s="782"/>
      <c r="V478" s="782"/>
      <c r="W478" s="782"/>
      <c r="X478" s="782"/>
      <c r="Y478" s="782"/>
      <c r="Z478" s="782"/>
      <c r="AA478" s="782"/>
      <c r="AB478" s="782"/>
      <c r="AC478" s="782"/>
      <c r="AD478" s="782"/>
      <c r="AE478" s="782"/>
      <c r="AF478" s="782"/>
      <c r="AG478" s="782"/>
      <c r="AH478" s="782"/>
      <c r="AI478" s="782"/>
      <c r="AJ478" s="782"/>
      <c r="AK478" s="782"/>
      <c r="AL478" s="782"/>
      <c r="AM478" s="782"/>
      <c r="AN478" s="782"/>
      <c r="AO478" s="782"/>
      <c r="AP478" s="782"/>
      <c r="AQ478" s="782"/>
      <c r="AR478" s="782"/>
      <c r="AS478" s="782"/>
      <c r="AT478" s="782"/>
      <c r="AU478" s="782"/>
      <c r="AV478" s="782"/>
      <c r="AW478" s="782"/>
      <c r="AX478" s="782"/>
    </row>
    <row r="479" spans="1:50" ht="12.75" customHeight="1" x14ac:dyDescent="0.3">
      <c r="B479" s="782"/>
      <c r="C479" s="782"/>
      <c r="D479" s="782"/>
      <c r="E479" s="782"/>
      <c r="F479" s="782"/>
      <c r="G479" s="782"/>
      <c r="H479" s="782"/>
      <c r="I479" s="782"/>
      <c r="J479" s="782"/>
      <c r="K479" s="782"/>
      <c r="L479" s="782"/>
      <c r="M479" s="782"/>
      <c r="N479" s="782"/>
      <c r="O479" s="782"/>
      <c r="P479" s="782"/>
      <c r="Q479" s="782"/>
      <c r="R479" s="782"/>
      <c r="S479" s="782"/>
      <c r="T479" s="782"/>
      <c r="U479" s="782"/>
      <c r="V479" s="782"/>
      <c r="W479" s="782"/>
      <c r="X479" s="782"/>
      <c r="Y479" s="782"/>
      <c r="Z479" s="782"/>
      <c r="AA479" s="782"/>
      <c r="AB479" s="782"/>
      <c r="AC479" s="782"/>
      <c r="AD479" s="782"/>
      <c r="AE479" s="782"/>
      <c r="AF479" s="782"/>
      <c r="AG479" s="782"/>
      <c r="AH479" s="782"/>
      <c r="AI479" s="782"/>
      <c r="AJ479" s="782"/>
      <c r="AK479" s="782"/>
      <c r="AL479" s="782"/>
      <c r="AM479" s="782"/>
      <c r="AN479" s="782"/>
      <c r="AO479" s="782"/>
      <c r="AP479" s="782"/>
      <c r="AQ479" s="782"/>
      <c r="AR479" s="782"/>
      <c r="AS479" s="782"/>
      <c r="AT479" s="782"/>
      <c r="AU479" s="782"/>
      <c r="AV479" s="782"/>
      <c r="AW479" s="782"/>
      <c r="AX479" s="782"/>
    </row>
    <row r="480" spans="1:50" ht="12.75" customHeight="1" x14ac:dyDescent="0.3">
      <c r="B480" s="782"/>
      <c r="C480" s="782"/>
      <c r="D480" s="782"/>
      <c r="E480" s="782"/>
      <c r="F480" s="782"/>
      <c r="G480" s="782"/>
      <c r="H480" s="782"/>
      <c r="I480" s="782"/>
      <c r="J480" s="782"/>
      <c r="K480" s="782"/>
      <c r="L480" s="782"/>
      <c r="M480" s="782"/>
      <c r="N480" s="782"/>
      <c r="O480" s="782"/>
      <c r="P480" s="782"/>
      <c r="Q480" s="782"/>
      <c r="R480" s="782"/>
      <c r="S480" s="782"/>
      <c r="T480" s="782"/>
      <c r="U480" s="782"/>
      <c r="V480" s="782"/>
      <c r="W480" s="782"/>
      <c r="X480" s="782"/>
      <c r="Y480" s="782"/>
      <c r="Z480" s="782"/>
      <c r="AA480" s="782"/>
      <c r="AB480" s="782"/>
      <c r="AC480" s="782"/>
      <c r="AD480" s="782"/>
      <c r="AE480" s="782"/>
      <c r="AF480" s="782"/>
      <c r="AG480" s="782"/>
      <c r="AH480" s="782"/>
      <c r="AI480" s="782"/>
      <c r="AJ480" s="782"/>
      <c r="AK480" s="782"/>
      <c r="AL480" s="782"/>
      <c r="AM480" s="782"/>
      <c r="AN480" s="782"/>
      <c r="AO480" s="782"/>
      <c r="AP480" s="782"/>
      <c r="AQ480" s="782"/>
      <c r="AR480" s="782"/>
      <c r="AS480" s="782"/>
      <c r="AT480" s="782"/>
      <c r="AU480" s="782"/>
      <c r="AV480" s="782"/>
      <c r="AW480" s="782"/>
      <c r="AX480" s="782"/>
    </row>
    <row r="481" spans="2:50" ht="12.75" customHeight="1" x14ac:dyDescent="0.3">
      <c r="B481" s="782"/>
      <c r="C481" s="782"/>
      <c r="D481" s="782"/>
      <c r="E481" s="782"/>
      <c r="F481" s="782"/>
      <c r="G481" s="782"/>
      <c r="H481" s="782"/>
      <c r="I481" s="782"/>
      <c r="J481" s="782"/>
      <c r="K481" s="782"/>
      <c r="L481" s="782"/>
      <c r="M481" s="782"/>
      <c r="N481" s="782"/>
      <c r="O481" s="782"/>
      <c r="P481" s="782"/>
      <c r="Q481" s="782"/>
      <c r="R481" s="782"/>
      <c r="S481" s="782"/>
      <c r="T481" s="782"/>
      <c r="U481" s="782"/>
      <c r="V481" s="782"/>
      <c r="W481" s="782"/>
      <c r="X481" s="782"/>
      <c r="Y481" s="782"/>
      <c r="Z481" s="782"/>
      <c r="AA481" s="782"/>
      <c r="AB481" s="782"/>
      <c r="AC481" s="782"/>
      <c r="AD481" s="782"/>
      <c r="AE481" s="782"/>
      <c r="AF481" s="782"/>
      <c r="AG481" s="782"/>
      <c r="AH481" s="782"/>
      <c r="AI481" s="782"/>
      <c r="AJ481" s="782"/>
      <c r="AK481" s="782"/>
      <c r="AL481" s="782"/>
      <c r="AM481" s="782"/>
      <c r="AN481" s="782"/>
      <c r="AO481" s="782"/>
      <c r="AP481" s="782"/>
      <c r="AQ481" s="782"/>
      <c r="AR481" s="782"/>
      <c r="AS481" s="782"/>
      <c r="AT481" s="782"/>
      <c r="AU481" s="782"/>
      <c r="AV481" s="782"/>
      <c r="AW481" s="782"/>
      <c r="AX481" s="782"/>
    </row>
    <row r="482" spans="2:50" ht="12.75" customHeight="1" x14ac:dyDescent="0.3">
      <c r="B482" s="782"/>
      <c r="C482" s="782"/>
      <c r="D482" s="782"/>
      <c r="E482" s="782"/>
      <c r="F482" s="782"/>
      <c r="G482" s="782"/>
      <c r="H482" s="782"/>
      <c r="I482" s="782"/>
      <c r="J482" s="782"/>
      <c r="K482" s="782"/>
      <c r="L482" s="782"/>
      <c r="M482" s="782"/>
      <c r="N482" s="782"/>
      <c r="O482" s="782"/>
      <c r="P482" s="782"/>
      <c r="Q482" s="782"/>
      <c r="R482" s="782"/>
      <c r="S482" s="782"/>
      <c r="T482" s="782"/>
      <c r="U482" s="782"/>
      <c r="V482" s="782"/>
      <c r="W482" s="782"/>
      <c r="X482" s="782"/>
      <c r="Y482" s="782"/>
      <c r="Z482" s="782"/>
      <c r="AA482" s="782"/>
      <c r="AB482" s="782"/>
      <c r="AC482" s="782"/>
      <c r="AD482" s="782"/>
      <c r="AE482" s="782"/>
      <c r="AF482" s="782"/>
      <c r="AG482" s="782"/>
      <c r="AH482" s="782"/>
      <c r="AI482" s="782"/>
      <c r="AJ482" s="782"/>
      <c r="AK482" s="782"/>
      <c r="AL482" s="782"/>
      <c r="AM482" s="782"/>
      <c r="AN482" s="782"/>
      <c r="AO482" s="782"/>
      <c r="AP482" s="782"/>
      <c r="AQ482" s="782"/>
      <c r="AR482" s="782"/>
      <c r="AS482" s="782"/>
      <c r="AT482" s="782"/>
      <c r="AU482" s="782"/>
      <c r="AV482" s="782"/>
      <c r="AW482" s="782"/>
      <c r="AX482" s="782"/>
    </row>
    <row r="483" spans="2:50" ht="12.75" customHeight="1" x14ac:dyDescent="0.3">
      <c r="B483" s="782"/>
      <c r="C483" s="782"/>
      <c r="D483" s="782"/>
      <c r="E483" s="782"/>
      <c r="F483" s="782"/>
      <c r="G483" s="782"/>
      <c r="H483" s="782"/>
      <c r="I483" s="782"/>
      <c r="J483" s="782"/>
      <c r="K483" s="782"/>
      <c r="L483" s="782"/>
      <c r="M483" s="782"/>
      <c r="N483" s="782"/>
      <c r="O483" s="782"/>
      <c r="P483" s="782"/>
      <c r="Q483" s="782"/>
      <c r="R483" s="782"/>
      <c r="S483" s="782"/>
      <c r="T483" s="782"/>
      <c r="U483" s="782"/>
      <c r="V483" s="782"/>
      <c r="W483" s="782"/>
      <c r="X483" s="782"/>
      <c r="Y483" s="782"/>
      <c r="Z483" s="782"/>
      <c r="AA483" s="782"/>
      <c r="AB483" s="782"/>
      <c r="AC483" s="782"/>
      <c r="AD483" s="782"/>
      <c r="AE483" s="782"/>
      <c r="AF483" s="782"/>
      <c r="AG483" s="782"/>
      <c r="AH483" s="782"/>
      <c r="AI483" s="782"/>
      <c r="AJ483" s="782"/>
      <c r="AK483" s="782"/>
      <c r="AL483" s="782"/>
      <c r="AM483" s="782"/>
      <c r="AN483" s="782"/>
      <c r="AO483" s="782"/>
      <c r="AP483" s="782"/>
      <c r="AQ483" s="782"/>
      <c r="AR483" s="782"/>
      <c r="AS483" s="782"/>
      <c r="AT483" s="782"/>
      <c r="AU483" s="782"/>
      <c r="AV483" s="782"/>
      <c r="AW483" s="782"/>
      <c r="AX483" s="782"/>
    </row>
    <row r="484" spans="2:50" ht="12.75" customHeight="1" x14ac:dyDescent="0.3">
      <c r="B484" s="782"/>
      <c r="C484" s="782"/>
      <c r="D484" s="782"/>
      <c r="E484" s="782"/>
      <c r="F484" s="782"/>
      <c r="G484" s="782"/>
      <c r="H484" s="782"/>
      <c r="I484" s="782"/>
      <c r="J484" s="782"/>
      <c r="K484" s="782"/>
      <c r="L484" s="782"/>
      <c r="M484" s="782"/>
      <c r="N484" s="782"/>
      <c r="O484" s="782"/>
      <c r="P484" s="782"/>
      <c r="Q484" s="782"/>
      <c r="R484" s="782"/>
      <c r="S484" s="782"/>
      <c r="T484" s="782"/>
      <c r="U484" s="782"/>
      <c r="V484" s="782"/>
      <c r="W484" s="782"/>
      <c r="X484" s="782"/>
      <c r="Y484" s="782"/>
      <c r="Z484" s="782"/>
      <c r="AA484" s="782"/>
      <c r="AB484" s="782"/>
      <c r="AC484" s="782"/>
      <c r="AD484" s="782"/>
      <c r="AE484" s="782"/>
      <c r="AF484" s="782"/>
      <c r="AG484" s="782"/>
      <c r="AH484" s="782"/>
      <c r="AI484" s="782"/>
      <c r="AJ484" s="782"/>
      <c r="AK484" s="782"/>
      <c r="AL484" s="782"/>
      <c r="AM484" s="782"/>
      <c r="AN484" s="782"/>
      <c r="AO484" s="782"/>
      <c r="AP484" s="782"/>
      <c r="AQ484" s="782"/>
      <c r="AR484" s="782"/>
      <c r="AS484" s="782"/>
      <c r="AT484" s="782"/>
      <c r="AU484" s="782"/>
      <c r="AV484" s="782"/>
      <c r="AW484" s="782"/>
      <c r="AX484" s="782"/>
    </row>
    <row r="485" spans="2:50" ht="12.75" customHeight="1" x14ac:dyDescent="0.3">
      <c r="B485" s="782"/>
      <c r="C485" s="782"/>
      <c r="D485" s="782"/>
      <c r="E485" s="782"/>
      <c r="F485" s="782"/>
      <c r="G485" s="782"/>
      <c r="H485" s="782"/>
      <c r="I485" s="782"/>
      <c r="J485" s="782"/>
      <c r="K485" s="782"/>
      <c r="L485" s="782"/>
      <c r="M485" s="782"/>
      <c r="N485" s="782"/>
      <c r="O485" s="782"/>
      <c r="P485" s="782"/>
      <c r="Q485" s="782"/>
      <c r="R485" s="782"/>
      <c r="S485" s="782"/>
      <c r="T485" s="782"/>
      <c r="U485" s="782"/>
      <c r="V485" s="782"/>
      <c r="W485" s="782"/>
      <c r="X485" s="782"/>
      <c r="Y485" s="782"/>
      <c r="Z485" s="782"/>
      <c r="AA485" s="782"/>
      <c r="AB485" s="782"/>
      <c r="AC485" s="782"/>
      <c r="AD485" s="782"/>
      <c r="AE485" s="782"/>
      <c r="AF485" s="782"/>
      <c r="AG485" s="782"/>
      <c r="AH485" s="782"/>
      <c r="AI485" s="782"/>
      <c r="AJ485" s="782"/>
      <c r="AK485" s="782"/>
      <c r="AL485" s="782"/>
      <c r="AM485" s="782"/>
      <c r="AN485" s="782"/>
      <c r="AO485" s="782"/>
      <c r="AP485" s="782"/>
      <c r="AQ485" s="782"/>
      <c r="AR485" s="782"/>
      <c r="AS485" s="782"/>
      <c r="AT485" s="782"/>
      <c r="AU485" s="782"/>
      <c r="AV485" s="782"/>
      <c r="AW485" s="782"/>
      <c r="AX485" s="782"/>
    </row>
    <row r="486" spans="2:50" ht="12.75" customHeight="1" x14ac:dyDescent="0.3">
      <c r="B486" s="782"/>
      <c r="C486" s="782"/>
      <c r="D486" s="782"/>
      <c r="E486" s="782"/>
      <c r="F486" s="782"/>
      <c r="G486" s="782"/>
      <c r="H486" s="782"/>
      <c r="I486" s="782"/>
      <c r="J486" s="782"/>
      <c r="K486" s="782"/>
      <c r="L486" s="782"/>
      <c r="M486" s="782"/>
      <c r="N486" s="782"/>
      <c r="O486" s="782"/>
      <c r="P486" s="782"/>
      <c r="Q486" s="782"/>
      <c r="R486" s="782"/>
      <c r="S486" s="782"/>
      <c r="T486" s="782"/>
      <c r="U486" s="782"/>
      <c r="V486" s="782"/>
      <c r="W486" s="782"/>
      <c r="X486" s="782"/>
      <c r="Y486" s="782"/>
      <c r="Z486" s="782"/>
      <c r="AA486" s="782"/>
      <c r="AB486" s="782"/>
      <c r="AC486" s="782"/>
      <c r="AD486" s="782"/>
      <c r="AE486" s="782"/>
      <c r="AF486" s="782"/>
      <c r="AG486" s="782"/>
      <c r="AH486" s="782"/>
      <c r="AI486" s="782"/>
      <c r="AJ486" s="782"/>
      <c r="AK486" s="782"/>
      <c r="AL486" s="782"/>
      <c r="AM486" s="782"/>
      <c r="AN486" s="782"/>
      <c r="AO486" s="782"/>
      <c r="AP486" s="782"/>
      <c r="AQ486" s="782"/>
      <c r="AR486" s="782"/>
      <c r="AS486" s="782"/>
      <c r="AT486" s="782"/>
      <c r="AU486" s="782"/>
      <c r="AV486" s="782"/>
      <c r="AW486" s="782"/>
      <c r="AX486" s="782"/>
    </row>
    <row r="487" spans="2:50" ht="12.75" customHeight="1" x14ac:dyDescent="0.3">
      <c r="B487" s="782"/>
      <c r="C487" s="782"/>
      <c r="D487" s="782"/>
      <c r="E487" s="782"/>
      <c r="F487" s="782"/>
      <c r="G487" s="782"/>
      <c r="H487" s="782"/>
      <c r="I487" s="782"/>
      <c r="J487" s="782"/>
      <c r="K487" s="782"/>
      <c r="L487" s="782"/>
      <c r="M487" s="782"/>
      <c r="N487" s="782"/>
      <c r="O487" s="782"/>
      <c r="P487" s="782"/>
      <c r="Q487" s="782"/>
      <c r="R487" s="782"/>
      <c r="S487" s="782"/>
      <c r="T487" s="782"/>
      <c r="U487" s="782"/>
      <c r="V487" s="782"/>
      <c r="W487" s="782"/>
      <c r="X487" s="782"/>
      <c r="Y487" s="782"/>
      <c r="Z487" s="782"/>
      <c r="AA487" s="782"/>
      <c r="AB487" s="782"/>
      <c r="AC487" s="782"/>
      <c r="AD487" s="782"/>
      <c r="AE487" s="782"/>
      <c r="AF487" s="782"/>
      <c r="AG487" s="782"/>
      <c r="AH487" s="782"/>
      <c r="AI487" s="782"/>
      <c r="AJ487" s="782"/>
      <c r="AK487" s="782"/>
      <c r="AL487" s="782"/>
      <c r="AM487" s="782"/>
      <c r="AN487" s="782"/>
      <c r="AO487" s="782"/>
      <c r="AP487" s="782"/>
      <c r="AQ487" s="782"/>
      <c r="AR487" s="782"/>
      <c r="AS487" s="782"/>
      <c r="AT487" s="782"/>
      <c r="AU487" s="782"/>
      <c r="AV487" s="782"/>
      <c r="AW487" s="782"/>
      <c r="AX487" s="782"/>
    </row>
    <row r="488" spans="2:50" ht="12.75" customHeight="1" x14ac:dyDescent="0.3">
      <c r="B488" s="782"/>
      <c r="C488" s="782"/>
      <c r="D488" s="782"/>
      <c r="E488" s="782"/>
      <c r="F488" s="782"/>
      <c r="G488" s="782"/>
      <c r="H488" s="782"/>
      <c r="I488" s="782"/>
      <c r="J488" s="782"/>
      <c r="K488" s="782"/>
      <c r="L488" s="782"/>
      <c r="M488" s="782"/>
      <c r="N488" s="782"/>
      <c r="O488" s="782"/>
      <c r="P488" s="782"/>
      <c r="Q488" s="782"/>
      <c r="R488" s="782"/>
      <c r="S488" s="782"/>
      <c r="T488" s="782"/>
      <c r="U488" s="782"/>
      <c r="V488" s="782"/>
      <c r="W488" s="782"/>
      <c r="X488" s="782"/>
      <c r="Y488" s="782"/>
      <c r="Z488" s="782"/>
      <c r="AA488" s="782"/>
      <c r="AB488" s="782"/>
      <c r="AC488" s="782"/>
      <c r="AD488" s="782"/>
      <c r="AE488" s="782"/>
      <c r="AF488" s="782"/>
      <c r="AG488" s="782"/>
      <c r="AH488" s="782"/>
      <c r="AI488" s="782"/>
      <c r="AJ488" s="782"/>
      <c r="AK488" s="782"/>
      <c r="AL488" s="782"/>
      <c r="AM488" s="782"/>
      <c r="AN488" s="782"/>
      <c r="AO488" s="782"/>
      <c r="AP488" s="782"/>
      <c r="AQ488" s="782"/>
      <c r="AR488" s="782"/>
      <c r="AS488" s="782"/>
      <c r="AT488" s="782"/>
      <c r="AU488" s="782"/>
      <c r="AV488" s="782"/>
      <c r="AW488" s="782"/>
      <c r="AX488" s="782"/>
    </row>
    <row r="489" spans="2:50" ht="12.75" customHeight="1" x14ac:dyDescent="0.3">
      <c r="B489" s="782"/>
      <c r="C489" s="782"/>
      <c r="D489" s="782"/>
      <c r="E489" s="782"/>
      <c r="F489" s="782"/>
      <c r="G489" s="782"/>
      <c r="H489" s="782"/>
      <c r="I489" s="782"/>
      <c r="J489" s="782"/>
      <c r="K489" s="782"/>
      <c r="L489" s="782"/>
      <c r="M489" s="782"/>
      <c r="N489" s="782"/>
      <c r="O489" s="782"/>
      <c r="P489" s="782"/>
      <c r="Q489" s="782"/>
      <c r="R489" s="782"/>
      <c r="S489" s="782"/>
      <c r="T489" s="782"/>
      <c r="U489" s="782"/>
      <c r="V489" s="782"/>
      <c r="W489" s="782"/>
      <c r="X489" s="782"/>
      <c r="Y489" s="782"/>
      <c r="Z489" s="782"/>
      <c r="AA489" s="782"/>
      <c r="AB489" s="782"/>
      <c r="AC489" s="782"/>
      <c r="AD489" s="782"/>
      <c r="AE489" s="782"/>
      <c r="AF489" s="782"/>
      <c r="AG489" s="782"/>
      <c r="AH489" s="782"/>
      <c r="AI489" s="782"/>
      <c r="AJ489" s="782"/>
      <c r="AK489" s="782"/>
      <c r="AL489" s="782"/>
      <c r="AM489" s="782"/>
      <c r="AN489" s="782"/>
      <c r="AO489" s="782"/>
      <c r="AP489" s="782"/>
      <c r="AQ489" s="782"/>
      <c r="AR489" s="782"/>
      <c r="AS489" s="782"/>
      <c r="AT489" s="782"/>
      <c r="AU489" s="782"/>
      <c r="AV489" s="782"/>
      <c r="AW489" s="782"/>
      <c r="AX489" s="782"/>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E1FCF2-3026-4177-AFE4-FC6482054E7A}">
  <sheetPr codeName="Sheet28">
    <tabColor rgb="FF00B0F0"/>
  </sheetPr>
  <dimension ref="A1:S72"/>
  <sheetViews>
    <sheetView showGridLines="0" view="pageBreakPreview" topLeftCell="A17" zoomScale="85" zoomScaleNormal="85" zoomScaleSheetLayoutView="85" workbookViewId="0">
      <selection activeCell="N31" sqref="N31"/>
    </sheetView>
  </sheetViews>
  <sheetFormatPr defaultRowHeight="14.4" x14ac:dyDescent="0.3"/>
  <cols>
    <col min="1" max="1" width="3.6640625" customWidth="1"/>
    <col min="2" max="2" width="14.6640625" customWidth="1"/>
    <col min="3" max="3" width="8.6640625" customWidth="1"/>
    <col min="4" max="9" width="14.6640625" customWidth="1"/>
    <col min="10" max="10" width="0.6640625" customWidth="1"/>
    <col min="11" max="12" width="14.6640625" customWidth="1"/>
    <col min="13" max="13" width="0.6640625" customWidth="1"/>
    <col min="14" max="15" width="14.6640625" customWidth="1"/>
    <col min="16" max="16" width="34.33203125" bestFit="1" customWidth="1"/>
    <col min="17" max="19" width="12.44140625" bestFit="1" customWidth="1"/>
  </cols>
  <sheetData>
    <row r="1" spans="2:15" ht="21.6" customHeight="1" thickBot="1" x14ac:dyDescent="0.45">
      <c r="B1" s="1425" t="s">
        <v>218</v>
      </c>
      <c r="C1" s="1426"/>
      <c r="D1" s="1426"/>
      <c r="E1" s="1426"/>
      <c r="F1" s="1426"/>
      <c r="G1" s="1426"/>
      <c r="H1" s="1426"/>
      <c r="I1" s="1426"/>
    </row>
    <row r="2" spans="2:15" ht="18" customHeight="1" thickBot="1" x14ac:dyDescent="0.35">
      <c r="B2" s="1427" t="s">
        <v>219</v>
      </c>
      <c r="C2" s="1428"/>
      <c r="D2" s="1429"/>
      <c r="E2" s="1428"/>
      <c r="F2" s="1429"/>
      <c r="G2" s="1428"/>
      <c r="H2" s="1428"/>
      <c r="I2" s="1430"/>
      <c r="K2" s="1427" t="s">
        <v>220</v>
      </c>
      <c r="L2" s="1428"/>
      <c r="M2" s="1429"/>
      <c r="N2" s="1428"/>
      <c r="O2" s="1430"/>
    </row>
    <row r="3" spans="2:15" ht="16.2" customHeight="1" thickBot="1" x14ac:dyDescent="0.35">
      <c r="B3" s="81"/>
      <c r="C3" s="81"/>
      <c r="D3" s="81"/>
      <c r="E3" s="81"/>
      <c r="F3" s="81"/>
      <c r="G3" s="81"/>
      <c r="H3" s="81"/>
      <c r="I3" s="81"/>
    </row>
    <row r="4" spans="2:15" ht="16.2" customHeight="1" thickTop="1" x14ac:dyDescent="0.3">
      <c r="B4" s="1174" t="str">
        <f>Summary!A6</f>
        <v>LAND</v>
      </c>
      <c r="C4" s="1175"/>
      <c r="D4" s="1176"/>
      <c r="E4" s="1176"/>
      <c r="F4" s="1177" t="str">
        <f>Summary!D6</f>
        <v>Total</v>
      </c>
      <c r="G4" s="1177" t="str">
        <f>Summary!E6</f>
        <v>Per Home</v>
      </c>
      <c r="H4" s="1178" t="str">
        <f>Summary!F6</f>
        <v>Per/NRSF</v>
      </c>
      <c r="I4" s="1179" t="str">
        <f>Summary!G6</f>
        <v>% of Total</v>
      </c>
      <c r="K4" s="1431" t="s">
        <v>221</v>
      </c>
      <c r="L4" s="1432"/>
      <c r="M4" s="1432"/>
      <c r="N4" s="1432"/>
      <c r="O4" s="1432"/>
    </row>
    <row r="5" spans="2:15" ht="16.2" customHeight="1" x14ac:dyDescent="0.3">
      <c r="B5" s="1180" t="str">
        <f>Summary!A7</f>
        <v>Purchase Price</v>
      </c>
      <c r="C5" s="850"/>
      <c r="D5" s="82"/>
      <c r="E5" s="82"/>
      <c r="F5" s="87">
        <f>Summary!D7</f>
        <v>8850000</v>
      </c>
      <c r="G5" s="87">
        <f>Summary!E7</f>
        <v>34570.3125</v>
      </c>
      <c r="H5" s="1181">
        <f>Summary!F7</f>
        <v>36.816706880772109</v>
      </c>
      <c r="I5" s="1182">
        <f ca="1">Summary!G7</f>
        <v>0.113520300728436</v>
      </c>
      <c r="K5" s="85" t="s">
        <v>222</v>
      </c>
      <c r="L5" s="850"/>
      <c r="M5" s="82"/>
      <c r="N5" s="85" t="s">
        <v>223</v>
      </c>
      <c r="O5" s="1183"/>
    </row>
    <row r="6" spans="2:15" ht="16.2" customHeight="1" x14ac:dyDescent="0.3">
      <c r="B6" s="1180" t="str">
        <f>Summary!A8</f>
        <v>Acquisition Costs</v>
      </c>
      <c r="C6" s="850"/>
      <c r="D6" s="82"/>
      <c r="E6" s="82"/>
      <c r="F6" s="88">
        <f ca="1">Summary!D8</f>
        <v>242959.62434217893</v>
      </c>
      <c r="G6" s="88">
        <f ca="1">Summary!E8</f>
        <v>949.06103258663643</v>
      </c>
      <c r="H6" s="1184">
        <f ca="1">Summary!F8</f>
        <v>1.0107314433071759</v>
      </c>
      <c r="I6" s="1182">
        <f ca="1">Summary!G8</f>
        <v>3.1164801830725411E-3</v>
      </c>
      <c r="K6" s="110" t="str">
        <f>'Finance Summary'!Q31</f>
        <v>Cnstr. Start:</v>
      </c>
      <c r="L6" s="927">
        <f>Summary!R31</f>
        <v>46661</v>
      </c>
      <c r="N6" s="110" t="str">
        <f>'Finance Summary'!L8</f>
        <v>Constr. Period:</v>
      </c>
      <c r="O6" s="1433">
        <f>'Finance Summary'!N8</f>
        <v>25</v>
      </c>
    </row>
    <row r="7" spans="2:15" ht="16.2" customHeight="1" x14ac:dyDescent="0.3">
      <c r="B7" s="85" t="str">
        <f>Summary!A9</f>
        <v>SOFT COSTS</v>
      </c>
      <c r="C7" s="850"/>
      <c r="D7" s="82"/>
      <c r="E7" s="82"/>
      <c r="F7" s="88"/>
      <c r="G7" s="88"/>
      <c r="H7" s="88"/>
      <c r="I7" s="1182"/>
      <c r="K7" s="110" t="str">
        <f>'Finance Summary'!Q32</f>
        <v>First Homes:</v>
      </c>
      <c r="L7" s="927">
        <f>Summary!R32</f>
        <v>47058</v>
      </c>
      <c r="N7" s="110" t="s">
        <v>224</v>
      </c>
      <c r="O7" s="1433">
        <f>+Summary!N7</f>
        <v>14</v>
      </c>
    </row>
    <row r="8" spans="2:15" ht="16.2" customHeight="1" x14ac:dyDescent="0.3">
      <c r="B8" s="1180" t="str">
        <f>Summary!A10</f>
        <v>Ad Valorem Taxes</v>
      </c>
      <c r="C8" s="850"/>
      <c r="D8" s="82"/>
      <c r="E8" s="82"/>
      <c r="F8" s="88">
        <f ca="1">Summary!D10</f>
        <v>83335.391794650437</v>
      </c>
      <c r="G8" s="88">
        <f ca="1">Summary!E10</f>
        <v>325.52887419785327</v>
      </c>
      <c r="H8" s="1184">
        <f ca="1">Summary!F10</f>
        <v>0.34668188615796003</v>
      </c>
      <c r="I8" s="1182">
        <f ca="1">Summary!G10</f>
        <v>1.068955789587656E-3</v>
      </c>
      <c r="K8" s="110" t="str">
        <f>'Finance Summary'!Q33</f>
        <v>Final Homes:</v>
      </c>
      <c r="L8" s="927">
        <f>Summary!R33</f>
        <v>47392</v>
      </c>
      <c r="N8" s="110" t="str">
        <f>'Finance Summary'!L9</f>
        <v>Delivery:</v>
      </c>
      <c r="O8" s="1434">
        <f>'Finance Summary'!N9</f>
        <v>21.333333333333332</v>
      </c>
    </row>
    <row r="9" spans="2:15" ht="16.2" customHeight="1" x14ac:dyDescent="0.3">
      <c r="B9" s="1185" t="str">
        <f>Summary!A11</f>
        <v>Architectural &amp; Engineering</v>
      </c>
      <c r="C9" s="850"/>
      <c r="D9" s="82"/>
      <c r="E9" s="82"/>
      <c r="F9" s="88">
        <f>Summary!D11</f>
        <v>1500605.0000000002</v>
      </c>
      <c r="G9" s="88">
        <f>Summary!E11</f>
        <v>5861.7382812500009</v>
      </c>
      <c r="H9" s="1184">
        <f>Summary!F11</f>
        <v>6.2426366586238462</v>
      </c>
      <c r="I9" s="1182">
        <f ca="1">Summary!G11</f>
        <v>1.9248489364360986E-2</v>
      </c>
      <c r="K9" s="110" t="s">
        <v>225</v>
      </c>
      <c r="L9" s="927">
        <f>LOOKUP(1,'Venture Summary - Mthly'!$E$160:$EG$160,'Venture Summary - Mthly'!$E$4:$EG$4)</f>
        <v>45991</v>
      </c>
      <c r="N9" s="110" t="str">
        <f>'Finance Summary'!L10</f>
        <v>Absorption:</v>
      </c>
      <c r="O9" s="1434">
        <f>'Finance Summary'!N10</f>
        <v>18</v>
      </c>
    </row>
    <row r="10" spans="2:15" ht="16.2" customHeight="1" thickBot="1" x14ac:dyDescent="0.35">
      <c r="B10" s="1185" t="str">
        <f>Summary!A12</f>
        <v>Construction Interest</v>
      </c>
      <c r="C10" s="82"/>
      <c r="D10" s="82"/>
      <c r="E10" s="82"/>
      <c r="F10" s="88">
        <f ca="1">Summary!D12</f>
        <v>1086262.1410115552</v>
      </c>
      <c r="G10" s="88">
        <f ca="1">Summary!E12</f>
        <v>4243.2114883263876</v>
      </c>
      <c r="H10" s="1184">
        <f ca="1">Summary!F12</f>
        <v>4.5189372702036579</v>
      </c>
      <c r="I10" s="1182">
        <f ca="1">Summary!G12</f>
        <v>1.3933650273169096E-2</v>
      </c>
    </row>
    <row r="11" spans="2:15" ht="16.2" customHeight="1" x14ac:dyDescent="0.3">
      <c r="B11" s="1185" t="str">
        <f>Summary!A13</f>
        <v>Financing</v>
      </c>
      <c r="C11" s="850"/>
      <c r="D11" s="82"/>
      <c r="E11" s="82"/>
      <c r="F11" s="88">
        <f ca="1">Summary!D13</f>
        <v>896583.45041148621</v>
      </c>
      <c r="G11" s="88">
        <f ca="1">Summary!E13</f>
        <v>3502.279103169868</v>
      </c>
      <c r="H11" s="1184">
        <f ca="1">Summary!F13</f>
        <v>3.7298587670001089</v>
      </c>
      <c r="I11" s="1182">
        <f ca="1">Summary!G13</f>
        <v>1.150061275919217E-2</v>
      </c>
      <c r="K11" s="1431" t="s">
        <v>226</v>
      </c>
      <c r="L11" s="1432"/>
      <c r="M11" s="1432"/>
      <c r="N11" s="1432"/>
      <c r="O11" s="1432"/>
    </row>
    <row r="12" spans="2:15" ht="16.2" customHeight="1" x14ac:dyDescent="0.3">
      <c r="B12" s="1185" t="str">
        <f>Summary!A14</f>
        <v>Furniture, Fixtures &amp; Equipment</v>
      </c>
      <c r="C12" s="850"/>
      <c r="D12" s="82"/>
      <c r="E12" s="82"/>
      <c r="F12" s="88">
        <f>Summary!D14</f>
        <v>625000</v>
      </c>
      <c r="G12" s="88">
        <f>Summary!E14</f>
        <v>2441.40625</v>
      </c>
      <c r="H12" s="1184">
        <f>Summary!F14</f>
        <v>2.6000499209584822</v>
      </c>
      <c r="I12" s="1182">
        <f ca="1">Summary!G14</f>
        <v>8.0169703904262712E-3</v>
      </c>
      <c r="K12" s="110" t="str">
        <f>'Finance Summary'!P10</f>
        <v>Product Type:</v>
      </c>
      <c r="L12" s="1435" t="str">
        <f>'Finance Summary'!S10</f>
        <v>Emblem West Coast</v>
      </c>
      <c r="N12" s="110" t="s">
        <v>227</v>
      </c>
      <c r="O12" s="151">
        <f>'General Inputs'!B14</f>
        <v>240380</v>
      </c>
    </row>
    <row r="13" spans="2:15" ht="16.2" customHeight="1" x14ac:dyDescent="0.3">
      <c r="B13" s="1185" t="str">
        <f>Summary!A15</f>
        <v>Insurance</v>
      </c>
      <c r="C13" s="850"/>
      <c r="D13" s="82"/>
      <c r="E13" s="82"/>
      <c r="F13" s="88">
        <f ca="1">Summary!D15</f>
        <v>1418022.6257534006</v>
      </c>
      <c r="G13" s="88">
        <f ca="1">Summary!E15</f>
        <v>5539.1508818492212</v>
      </c>
      <c r="H13" s="1184">
        <f ca="1">Summary!F15</f>
        <v>5.8990873856119501</v>
      </c>
      <c r="I13" s="1182">
        <f ca="1">Summary!G15</f>
        <v>1.818919264579124E-2</v>
      </c>
      <c r="K13" s="110" t="str">
        <f>'Finance Summary'!P11</f>
        <v>Buildings:</v>
      </c>
      <c r="L13" s="1435">
        <f>'Finance Summary'!S11</f>
        <v>6</v>
      </c>
      <c r="N13" s="110" t="s">
        <v>228</v>
      </c>
      <c r="O13" s="151">
        <f>'General Inputs'!B15</f>
        <v>0</v>
      </c>
    </row>
    <row r="14" spans="2:15" ht="16.2" customHeight="1" x14ac:dyDescent="0.3">
      <c r="B14" s="1185" t="str">
        <f>Summary!A16</f>
        <v>Start-Up Expenses &amp; Marketing</v>
      </c>
      <c r="C14" s="850"/>
      <c r="D14" s="82"/>
      <c r="E14" s="82"/>
      <c r="F14" s="88">
        <f>Summary!D16</f>
        <v>375000</v>
      </c>
      <c r="G14" s="88">
        <f>Summary!E16</f>
        <v>1464.84375</v>
      </c>
      <c r="H14" s="1184">
        <f>Summary!F16</f>
        <v>1.5600299525750894</v>
      </c>
      <c r="I14" s="1182">
        <f ca="1">Summary!G16</f>
        <v>4.8101822342557629E-3</v>
      </c>
      <c r="K14" s="110" t="str">
        <f>'Finance Summary'!P12</f>
        <v>Stories:</v>
      </c>
      <c r="L14" s="1435">
        <f>'Finance Summary'!S12</f>
        <v>3</v>
      </c>
      <c r="N14" s="1436" t="s">
        <v>229</v>
      </c>
      <c r="O14" s="110"/>
    </row>
    <row r="15" spans="2:15" ht="16.2" customHeight="1" x14ac:dyDescent="0.3">
      <c r="B15" s="1185" t="str">
        <f>Summary!A17</f>
        <v>Operating Deficits</v>
      </c>
      <c r="C15" s="850"/>
      <c r="D15" s="82"/>
      <c r="E15" s="82"/>
      <c r="F15" s="88">
        <f ca="1">Summary!D17</f>
        <v>329080.53404430853</v>
      </c>
      <c r="G15" s="88">
        <f ca="1">Summary!E17</f>
        <v>1285.4708361105802</v>
      </c>
      <c r="H15" s="1184">
        <f ca="1">Summary!F17</f>
        <v>1.3690013064494073</v>
      </c>
      <c r="I15" s="1182">
        <f ca="1">Summary!G17</f>
        <v>4.2211662359982177E-3</v>
      </c>
      <c r="K15" s="110" t="str">
        <f>'Finance Summary'!P13</f>
        <v>Constr. Type:</v>
      </c>
      <c r="L15" s="1435" t="str">
        <f>'Finance Summary'!S13</f>
        <v>V</v>
      </c>
      <c r="N15" s="110" t="s">
        <v>230</v>
      </c>
      <c r="O15" s="977">
        <f>SUM('Operating Inputs'!F49+'Operating Inputs'!F74)</f>
        <v>0</v>
      </c>
    </row>
    <row r="16" spans="2:15" ht="16.2" customHeight="1" x14ac:dyDescent="0.3">
      <c r="B16" s="1185" t="str">
        <f>Summary!A18</f>
        <v>Overhead &amp; Administration Fees</v>
      </c>
      <c r="C16" s="850"/>
      <c r="D16" s="82"/>
      <c r="E16" s="82"/>
      <c r="F16" s="88">
        <f ca="1">Summary!D18</f>
        <v>2658062.4746991713</v>
      </c>
      <c r="G16" s="88">
        <f ca="1">Summary!E18</f>
        <v>10383.056541793638</v>
      </c>
      <c r="H16" s="1184">
        <f ca="1">Summary!F18</f>
        <v>11.057752203590862</v>
      </c>
      <c r="I16" s="1182">
        <f ca="1">Summary!G18</f>
        <v>3.4095373048906294E-2</v>
      </c>
      <c r="K16" s="110" t="s">
        <v>231</v>
      </c>
      <c r="L16" s="1435">
        <f>'Finance Summary'!S8</f>
        <v>536</v>
      </c>
      <c r="N16" s="110" t="s">
        <v>232</v>
      </c>
      <c r="O16" s="977">
        <f>SUM('Operating Inputs'!F50+'Operating Inputs'!F75)</f>
        <v>0.4375</v>
      </c>
    </row>
    <row r="17" spans="2:19" ht="16.2" customHeight="1" x14ac:dyDescent="0.3">
      <c r="B17" s="1185" t="str">
        <f>Summary!A19</f>
        <v>Permits &amp; Fees</v>
      </c>
      <c r="C17" s="850"/>
      <c r="D17" s="82"/>
      <c r="E17" s="82"/>
      <c r="F17" s="88">
        <f>Summary!D19</f>
        <v>4459158.9889518414</v>
      </c>
      <c r="G17" s="88">
        <f>Summary!E19</f>
        <v>17418.58980059313</v>
      </c>
      <c r="H17" s="1184">
        <f>Summary!F19</f>
        <v>18.550457562824867</v>
      </c>
      <c r="I17" s="1182">
        <f ca="1">Summary!G19</f>
        <v>5.7198312929008094E-2</v>
      </c>
      <c r="K17" s="110" t="s">
        <v>233</v>
      </c>
      <c r="L17" s="151">
        <f>'Finance Summary'!M19</f>
        <v>256</v>
      </c>
      <c r="N17" s="110" t="s">
        <v>234</v>
      </c>
      <c r="O17" s="977">
        <f>SUM('Operating Inputs'!F51+'Operating Inputs'!F76)</f>
        <v>0.3515625</v>
      </c>
    </row>
    <row r="18" spans="2:19" ht="16.2" customHeight="1" x14ac:dyDescent="0.3">
      <c r="B18" s="1180" t="str">
        <f>Summary!A20</f>
        <v>Soft Cost Contingency (5.0%)</v>
      </c>
      <c r="C18" s="850"/>
      <c r="D18" s="82"/>
      <c r="E18" s="82"/>
      <c r="F18" s="88">
        <f ca="1">Summary!D20</f>
        <v>856477.57240587578</v>
      </c>
      <c r="G18" s="88">
        <f ca="1">Summary!E20</f>
        <v>3345.6155172104523</v>
      </c>
      <c r="H18" s="1184">
        <f ca="1">Summary!F20</f>
        <v>3.5630151110985762</v>
      </c>
      <c r="I18" s="1182">
        <f ca="1">Summary!G20</f>
        <v>1.0986168540867326E-2</v>
      </c>
      <c r="K18" s="110" t="s">
        <v>235</v>
      </c>
      <c r="L18" s="151">
        <f>'Finance Summary'!M22</f>
        <v>0</v>
      </c>
      <c r="N18" s="110" t="s">
        <v>236</v>
      </c>
      <c r="O18" s="977">
        <f>SUM('Operating Inputs'!F52+'Operating Inputs'!F77)</f>
        <v>0.2109375</v>
      </c>
    </row>
    <row r="19" spans="2:19" ht="16.2" customHeight="1" thickBot="1" x14ac:dyDescent="0.35">
      <c r="B19" s="90" t="str">
        <f>Summary!A21</f>
        <v>HARD COSTS</v>
      </c>
      <c r="C19" s="850"/>
      <c r="D19" s="82"/>
      <c r="E19" s="82"/>
      <c r="F19" s="88"/>
      <c r="G19" s="88"/>
      <c r="H19" s="1184"/>
      <c r="I19" s="1182"/>
    </row>
    <row r="20" spans="2:19" ht="16.2" customHeight="1" x14ac:dyDescent="0.3">
      <c r="B20" s="1185" t="str">
        <f>Summary!A22</f>
        <v>Hard Costs (Input/GMP = $208/$216)</v>
      </c>
      <c r="C20" s="850"/>
      <c r="D20" s="82"/>
      <c r="E20" s="82"/>
      <c r="F20" s="88">
        <f>Summary!D22</f>
        <v>51980072.894060962</v>
      </c>
      <c r="G20" s="88">
        <f>Summary!E22</f>
        <v>203047.15974242563</v>
      </c>
      <c r="H20" s="1184">
        <f>Summary!F22</f>
        <v>216.24125507139098</v>
      </c>
      <c r="I20" s="1182">
        <f ca="1">Summary!G22</f>
        <v>0.66675632845421751</v>
      </c>
      <c r="K20" s="1431" t="s">
        <v>237</v>
      </c>
      <c r="L20" s="1432"/>
      <c r="M20" s="1432"/>
      <c r="N20" s="1432"/>
      <c r="O20" s="1432"/>
    </row>
    <row r="21" spans="2:19" ht="16.2" customHeight="1" x14ac:dyDescent="0.3">
      <c r="B21" s="1180" t="str">
        <f>Summary!A23</f>
        <v>Hard Cost Contingency (5.0%)</v>
      </c>
      <c r="C21" s="850"/>
      <c r="D21" s="82"/>
      <c r="E21" s="82"/>
      <c r="F21" s="88">
        <f>Summary!D23</f>
        <v>2599003.6447030478</v>
      </c>
      <c r="G21" s="88">
        <f>Summary!E23</f>
        <v>10152.357987121281</v>
      </c>
      <c r="H21" s="1184">
        <f>Summary!F23</f>
        <v>10.812062753569547</v>
      </c>
      <c r="I21" s="1182">
        <f ca="1">Summary!G23</f>
        <v>3.3337816422710873E-2</v>
      </c>
      <c r="K21" s="110" t="s">
        <v>238</v>
      </c>
      <c r="L21" s="194">
        <f>Summary!S15</f>
        <v>5.5E-2</v>
      </c>
      <c r="M21" s="110"/>
      <c r="N21" s="110" t="s">
        <v>239</v>
      </c>
      <c r="O21" s="927">
        <f>'Venture Summary - Mthly'!C210</f>
        <v>46142</v>
      </c>
    </row>
    <row r="22" spans="2:19" s="182" customFormat="1" ht="16.2" customHeight="1" x14ac:dyDescent="0.3">
      <c r="B22" s="850" t="str">
        <f>Summary!A24</f>
        <v>Commercial (TI, Legal &amp; Commissions)</v>
      </c>
      <c r="C22" s="850"/>
      <c r="D22" s="82"/>
      <c r="E22" s="82"/>
      <c r="F22" s="88">
        <f>Summary!D24</f>
        <v>0</v>
      </c>
      <c r="G22" s="88">
        <f>Summary!E24</f>
        <v>0</v>
      </c>
      <c r="H22" s="1184">
        <f>Summary!F24</f>
        <v>0</v>
      </c>
      <c r="I22" s="1182">
        <f ca="1">Summary!G24</f>
        <v>0</v>
      </c>
      <c r="K22" s="110" t="s">
        <v>240</v>
      </c>
      <c r="L22" s="1437" t="str">
        <f>Summary!R15</f>
        <v>n/a</v>
      </c>
      <c r="M22" s="120"/>
      <c r="N22" s="120" t="s">
        <v>241</v>
      </c>
      <c r="O22" s="1438">
        <f>LOOKUP(O21,'Venture Summary - Mthly'!$E$4:$EG$4,'Venture Summary - Mthly'!$E$192:$EG$192)</f>
        <v>104261112.5593228</v>
      </c>
      <c r="P22"/>
      <c r="Q22"/>
      <c r="R22"/>
      <c r="S22"/>
    </row>
    <row r="23" spans="2:19" ht="16.2" customHeight="1" thickBot="1" x14ac:dyDescent="0.35">
      <c r="B23" s="1186" t="str">
        <f>Summary!A25</f>
        <v>TOTAL PROJECT COST</v>
      </c>
      <c r="C23" s="91"/>
      <c r="D23" s="92"/>
      <c r="E23" s="92"/>
      <c r="F23" s="1187">
        <f ca="1">Summary!D25</f>
        <v>77959624.342178479</v>
      </c>
      <c r="G23" s="1187">
        <f ca="1">Summary!E25</f>
        <v>304529.78258663468</v>
      </c>
      <c r="H23" s="1188">
        <f ca="1">Summary!F25</f>
        <v>324.31826417413464</v>
      </c>
      <c r="I23" s="1189">
        <f ca="1">Summary!G25</f>
        <v>1</v>
      </c>
      <c r="K23" s="110" t="s">
        <v>242</v>
      </c>
      <c r="L23" s="1435" t="str">
        <f>'General Inputs'!H48</f>
        <v>Next Year</v>
      </c>
      <c r="M23" s="110"/>
      <c r="N23" s="120" t="s">
        <v>243</v>
      </c>
      <c r="O23" s="768">
        <f>O22/SUM(L17:L18)</f>
        <v>407269.9709348547</v>
      </c>
    </row>
    <row r="24" spans="2:19" ht="16.2" customHeight="1" thickTop="1" thickBot="1" x14ac:dyDescent="0.35">
      <c r="B24" s="82"/>
      <c r="C24" s="82"/>
      <c r="D24" s="82"/>
      <c r="E24" s="82"/>
      <c r="F24" s="82"/>
      <c r="G24" s="82"/>
      <c r="H24" s="82"/>
      <c r="I24" s="82"/>
      <c r="K24" s="110"/>
      <c r="L24" s="110"/>
      <c r="M24" s="110"/>
      <c r="N24" s="110"/>
      <c r="O24" s="110"/>
      <c r="P24" s="198"/>
      <c r="R24" s="1439"/>
    </row>
    <row r="25" spans="2:19" ht="18" customHeight="1" thickBot="1" x14ac:dyDescent="0.35">
      <c r="B25" s="1427" t="s">
        <v>244</v>
      </c>
      <c r="C25" s="1428"/>
      <c r="D25" s="1429"/>
      <c r="E25" s="1428"/>
      <c r="F25" s="1429"/>
      <c r="G25" s="1428"/>
      <c r="H25" s="1428"/>
      <c r="I25" s="1430"/>
      <c r="K25" s="1431" t="s">
        <v>245</v>
      </c>
      <c r="L25" s="1432"/>
      <c r="M25" s="1432"/>
      <c r="N25" s="1432"/>
      <c r="O25" s="1432"/>
    </row>
    <row r="26" spans="2:19" ht="16.2" customHeight="1" thickBot="1" x14ac:dyDescent="0.35">
      <c r="B26" s="81"/>
      <c r="C26" s="81"/>
      <c r="D26" s="81"/>
      <c r="E26" s="1190"/>
      <c r="F26" s="81"/>
      <c r="G26" s="81"/>
      <c r="H26" s="81"/>
      <c r="I26" s="81"/>
      <c r="K26" s="110" t="s">
        <v>246</v>
      </c>
      <c r="L26" s="169">
        <f>'Operating Inputs'!H45</f>
        <v>2068.8063802083334</v>
      </c>
      <c r="M26" s="110"/>
      <c r="N26" s="110" t="s">
        <v>247</v>
      </c>
      <c r="O26" s="195">
        <f>+'Operating Inputs'!$C$11</f>
        <v>5.8671874999999998E-2</v>
      </c>
      <c r="Q26" s="353"/>
    </row>
    <row r="27" spans="2:19" s="182" customFormat="1" ht="16.2" customHeight="1" thickTop="1" x14ac:dyDescent="0.3">
      <c r="B27" s="1176"/>
      <c r="C27" s="1176"/>
      <c r="D27" s="1176"/>
      <c r="E27" s="1191" t="str">
        <f>Summary!B29</f>
        <v>Construction</v>
      </c>
      <c r="F27" s="1192" t="str">
        <f>Summary!D29</f>
        <v>LP</v>
      </c>
      <c r="G27" s="1193" t="str">
        <f>Summary!E29</f>
        <v>Quarterra</v>
      </c>
      <c r="H27" s="1194"/>
      <c r="I27" s="1191" t="str">
        <f>Summary!G29</f>
        <v>Total</v>
      </c>
      <c r="K27" s="120" t="s">
        <v>248</v>
      </c>
      <c r="L27" s="1440">
        <f>'Operating Inputs'!G45</f>
        <v>938.984375</v>
      </c>
      <c r="M27" s="120"/>
      <c r="N27" s="120" t="s">
        <v>249</v>
      </c>
      <c r="O27" s="1441">
        <f>'Operating Inputs'!K8</f>
        <v>1.5</v>
      </c>
    </row>
    <row r="28" spans="2:19" s="182" customFormat="1" ht="16.2" customHeight="1" x14ac:dyDescent="0.3">
      <c r="B28" s="1195" t="str">
        <f>Summary!A30</f>
        <v>Contribution</v>
      </c>
      <c r="E28" s="87">
        <f ca="1">Summary!B30</f>
        <v>42877793.388198167</v>
      </c>
      <c r="F28" s="1196">
        <f ca="1">Summary!D30</f>
        <v>31573647.858582281</v>
      </c>
      <c r="G28" s="1197">
        <f ca="1">Summary!E30</f>
        <v>3508183.0953980302</v>
      </c>
      <c r="H28" s="87"/>
      <c r="I28" s="87">
        <f ca="1">Summary!G30</f>
        <v>77959624.342178479</v>
      </c>
      <c r="K28" s="120" t="s">
        <v>250</v>
      </c>
      <c r="L28" s="1442">
        <f>L26/L27</f>
        <v>2.2032383448428878</v>
      </c>
      <c r="M28" s="120"/>
      <c r="N28" s="120" t="s">
        <v>251</v>
      </c>
      <c r="O28" s="1443">
        <f>'Operating Inputs'!K9</f>
        <v>0.9</v>
      </c>
      <c r="Q28" s="426"/>
    </row>
    <row r="29" spans="2:19" s="182" customFormat="1" ht="16.2" customHeight="1" x14ac:dyDescent="0.3">
      <c r="B29" s="82" t="str">
        <f>Summary!A31</f>
        <v>LTC</v>
      </c>
      <c r="E29" s="1198">
        <f ca="1">Summary!B31</f>
        <v>0.55000000000000004</v>
      </c>
      <c r="F29" s="1199"/>
      <c r="G29" s="1200"/>
      <c r="H29" s="1198"/>
      <c r="I29" s="1198">
        <f ca="1">Summary!G31</f>
        <v>0.55000000000000004</v>
      </c>
      <c r="K29" s="1444" t="s">
        <v>252</v>
      </c>
      <c r="L29" s="1445">
        <f>+'Venture Model Outputs'!G38</f>
        <v>0</v>
      </c>
      <c r="M29" s="1446"/>
      <c r="N29" s="1446" t="s">
        <v>253</v>
      </c>
      <c r="O29" s="1447">
        <f>+'Venture Model Outputs'!G42</f>
        <v>0</v>
      </c>
    </row>
    <row r="30" spans="2:19" s="182" customFormat="1" ht="16.2" customHeight="1" x14ac:dyDescent="0.3">
      <c r="B30" s="82" t="str">
        <f>Summary!A32</f>
        <v>Equity Contr. %</v>
      </c>
      <c r="C30" s="1198"/>
      <c r="E30" s="1198"/>
      <c r="F30" s="1199">
        <f>Summary!D32</f>
        <v>0.9</v>
      </c>
      <c r="G30" s="1200">
        <f>Summary!E32</f>
        <v>9.9999999999999978E-2</v>
      </c>
      <c r="H30" s="1198"/>
      <c r="I30" s="1198">
        <f>Summary!G32</f>
        <v>1</v>
      </c>
      <c r="K30" s="1448" t="s">
        <v>8</v>
      </c>
      <c r="L30" s="120"/>
      <c r="M30" s="120"/>
      <c r="N30" s="1449" t="s">
        <v>254</v>
      </c>
      <c r="O30" s="1449" t="s">
        <v>255</v>
      </c>
    </row>
    <row r="31" spans="2:19" ht="16.2" customHeight="1" thickBot="1" x14ac:dyDescent="0.35">
      <c r="B31" s="82"/>
      <c r="C31" s="1198"/>
      <c r="D31" s="1201"/>
      <c r="E31" s="1198"/>
      <c r="F31" s="1198"/>
      <c r="G31" s="1198"/>
      <c r="H31" s="1198"/>
      <c r="I31" s="1198"/>
      <c r="K31" s="182" t="s">
        <v>256</v>
      </c>
      <c r="L31" s="182"/>
      <c r="M31" s="182"/>
      <c r="N31" s="408">
        <f>'Finance Summary'!D42</f>
        <v>7432392.0800000001</v>
      </c>
      <c r="O31" s="408">
        <f>SUMPRODUCT(OperBgt!$G$183:$EH$183,OperBgt!$G$61:$EH$61)</f>
        <v>0</v>
      </c>
      <c r="P31" s="228"/>
      <c r="Q31" s="199"/>
    </row>
    <row r="32" spans="2:19" ht="18" customHeight="1" thickBot="1" x14ac:dyDescent="0.35">
      <c r="B32" s="1427" t="s">
        <v>257</v>
      </c>
      <c r="C32" s="1428"/>
      <c r="D32" s="1428"/>
      <c r="E32" s="1428"/>
      <c r="F32" s="1428"/>
      <c r="G32" s="1428"/>
      <c r="H32" s="1428"/>
      <c r="I32" s="1450"/>
      <c r="K32" s="120" t="str">
        <f>CONCATENATE("Vacancy &amp; Coll. Loss"," (",TEXT(O26,"0.0%"),")")</f>
        <v>Vacancy &amp; Coll. Loss (5.9%)</v>
      </c>
      <c r="N32" s="151">
        <f>'Finance Summary'!D44</f>
        <v>-436072.37906875001</v>
      </c>
      <c r="O32" s="151">
        <f>SUMPRODUCT(OperBgt!$G$183:$EH$183,OperBgt!$G$62:$EH$62)</f>
        <v>0</v>
      </c>
    </row>
    <row r="33" spans="2:15" ht="16.2" customHeight="1" thickBot="1" x14ac:dyDescent="0.35">
      <c r="K33" s="110" t="s">
        <v>258</v>
      </c>
      <c r="L33" s="110"/>
      <c r="M33" s="110"/>
      <c r="N33" s="169">
        <f>'Finance Summary'!D45</f>
        <v>6996319.7009312501</v>
      </c>
      <c r="O33" s="169">
        <f>SUMPRODUCT(OperBgt!$G$183:$EH$183,OperBgt!$G$64:$EH$64)</f>
        <v>0</v>
      </c>
    </row>
    <row r="34" spans="2:15" ht="16.2" customHeight="1" thickTop="1" x14ac:dyDescent="0.3">
      <c r="B34" s="1451" t="s">
        <v>259</v>
      </c>
      <c r="C34" s="1452"/>
      <c r="D34" s="1452"/>
      <c r="E34" s="1452"/>
      <c r="F34" s="1452"/>
      <c r="G34" s="1452"/>
      <c r="H34" s="1452"/>
      <c r="I34" s="1453"/>
      <c r="K34" s="110" t="s">
        <v>260</v>
      </c>
      <c r="L34" s="110"/>
      <c r="M34" s="110"/>
      <c r="N34" s="151">
        <f ca="1">'Finance Summary'!D46</f>
        <v>-1959829.6780901933</v>
      </c>
      <c r="O34" s="151">
        <f ca="1">-SUMPRODUCT(OperBgt!$G$183:$EH$183,OperBgt!$G$80:$EH$80)</f>
        <v>0</v>
      </c>
    </row>
    <row r="35" spans="2:15" ht="16.2" customHeight="1" x14ac:dyDescent="0.3">
      <c r="B35" s="110" t="s">
        <v>189</v>
      </c>
      <c r="I35" s="195">
        <f>'Venture Summary - Mthly'!C35</f>
        <v>0.20314757227897645</v>
      </c>
      <c r="K35" s="1454" t="s">
        <v>261</v>
      </c>
      <c r="L35" s="110"/>
      <c r="M35" s="110"/>
      <c r="N35" s="1455">
        <f ca="1">(N34)/SUM($L$17:$L$18)</f>
        <v>-7655.5846800398176</v>
      </c>
      <c r="O35" s="1455">
        <f ca="1">(O34)/SUM($L$17:$L$18)</f>
        <v>0</v>
      </c>
    </row>
    <row r="36" spans="2:15" ht="16.2" customHeight="1" x14ac:dyDescent="0.3">
      <c r="B36" s="110" t="s">
        <v>262</v>
      </c>
      <c r="I36" s="195">
        <f>'Venture Summary - Mthly'!C341</f>
        <v>0.15838249325752266</v>
      </c>
      <c r="K36" s="1454" t="s">
        <v>263</v>
      </c>
      <c r="L36" s="110"/>
      <c r="M36" s="110"/>
      <c r="N36" s="1456">
        <f ca="1">-N34/N33</f>
        <v>0.28012294490049228</v>
      </c>
      <c r="O36" s="1456" t="e">
        <f ca="1">-O34/O33</f>
        <v>#DIV/0!</v>
      </c>
    </row>
    <row r="37" spans="2:15" ht="16.2" customHeight="1" x14ac:dyDescent="0.3">
      <c r="B37" s="110" t="s">
        <v>264</v>
      </c>
      <c r="C37" s="110"/>
      <c r="E37" s="110"/>
      <c r="F37" s="110"/>
      <c r="G37" s="110"/>
      <c r="H37" s="110"/>
      <c r="I37" s="780">
        <f>'Venture Summary - Mthly'!C342</f>
        <v>2.3311944189841345</v>
      </c>
      <c r="K37" s="110" t="str">
        <f>+CONCATENATE("Commercial Income: ",TEXT('Operating Inputs'!E110,"$0"),"/NRSF")</f>
        <v>Commercial Income: $0/NRSF</v>
      </c>
      <c r="L37" s="110"/>
      <c r="M37" s="110"/>
      <c r="N37" s="151">
        <f>'Finance Summary'!D50</f>
        <v>0</v>
      </c>
      <c r="O37" s="151">
        <f>SUMPRODUCT(OperBgt!$G$183:$EH$183,OperBgt!$G$65:$EH$65)</f>
        <v>0</v>
      </c>
    </row>
    <row r="38" spans="2:15" ht="16.2" customHeight="1" x14ac:dyDescent="0.3">
      <c r="B38" s="110" t="s">
        <v>265</v>
      </c>
      <c r="E38" s="110"/>
      <c r="F38" s="110"/>
      <c r="G38" s="110"/>
      <c r="H38" s="110"/>
      <c r="I38" s="195">
        <f>'Venture Summary - Mthly'!C24</f>
        <v>0.13132647871971129</v>
      </c>
      <c r="K38" s="110" t="s">
        <v>266</v>
      </c>
      <c r="L38" s="110"/>
      <c r="M38" s="110"/>
      <c r="N38" s="1457">
        <f ca="1">N33+N34+N37</f>
        <v>5036490.0228410568</v>
      </c>
      <c r="O38" s="1457">
        <f ca="1">O33+O34+O37</f>
        <v>0</v>
      </c>
    </row>
    <row r="39" spans="2:15" ht="16.2" customHeight="1" x14ac:dyDescent="0.3">
      <c r="B39" s="1458" t="s">
        <v>267</v>
      </c>
      <c r="C39" s="1459"/>
      <c r="D39" s="1460"/>
      <c r="E39" s="1460"/>
      <c r="F39" s="1460"/>
      <c r="G39" s="1460"/>
      <c r="H39" s="1460"/>
      <c r="I39" s="1459"/>
      <c r="K39" s="1461" t="s">
        <v>268</v>
      </c>
      <c r="N39" s="1462">
        <f ca="1">'Finance Summary'!D51</f>
        <v>6.6452831626234915E-2</v>
      </c>
      <c r="O39" s="1463">
        <f ca="1">O38/F23</f>
        <v>0</v>
      </c>
    </row>
    <row r="40" spans="2:15" ht="16.2" customHeight="1" thickBot="1" x14ac:dyDescent="0.35">
      <c r="B40" s="110" t="s">
        <v>189</v>
      </c>
      <c r="I40" s="195">
        <f>+'Venture Summary - Mthly'!C58</f>
        <v>0.28323593735694885</v>
      </c>
    </row>
    <row r="41" spans="2:15" ht="16.2" customHeight="1" x14ac:dyDescent="0.3">
      <c r="B41" s="110" t="s">
        <v>262</v>
      </c>
      <c r="E41" s="110"/>
      <c r="F41" s="110"/>
      <c r="G41" s="110"/>
      <c r="H41" s="110"/>
      <c r="I41" s="195">
        <f>+'Venture Summary - Mthly'!C66</f>
        <v>0.21550791859626769</v>
      </c>
      <c r="K41" s="1431" t="s">
        <v>269</v>
      </c>
      <c r="L41" s="1432"/>
      <c r="M41" s="1432"/>
      <c r="N41" s="1432"/>
      <c r="O41" s="1432"/>
    </row>
    <row r="42" spans="2:15" ht="16.2" customHeight="1" x14ac:dyDescent="0.3">
      <c r="B42" s="110" t="s">
        <v>270</v>
      </c>
      <c r="E42" s="110"/>
      <c r="F42" s="110"/>
      <c r="G42" s="110"/>
      <c r="H42" s="110"/>
      <c r="I42" s="1464">
        <f>-'Venture Summary - Mthly'!$C$64/1000000</f>
        <v>6.8687267816661661</v>
      </c>
      <c r="K42" s="1436" t="s">
        <v>271</v>
      </c>
      <c r="L42" s="110"/>
      <c r="M42" s="110"/>
      <c r="N42" s="1436" t="s">
        <v>272</v>
      </c>
      <c r="O42" s="110"/>
    </row>
    <row r="43" spans="2:15" ht="16.2" customHeight="1" x14ac:dyDescent="0.3">
      <c r="B43" s="1458" t="s">
        <v>273</v>
      </c>
      <c r="C43" s="1459"/>
      <c r="D43" s="1460"/>
      <c r="E43" s="1460"/>
      <c r="F43" s="1460"/>
      <c r="G43" s="1460"/>
      <c r="H43" s="1460"/>
      <c r="I43" s="1459"/>
      <c r="K43" s="110" t="s">
        <v>274</v>
      </c>
      <c r="L43" s="195">
        <f ca="1">'QMV III Summary'!E29</f>
        <v>0.55000000000000004</v>
      </c>
      <c r="M43" s="110"/>
      <c r="N43" s="110" t="s">
        <v>275</v>
      </c>
      <c r="O43" s="195">
        <f>'Venture Assumptions'!F69</f>
        <v>0.55000000000000004</v>
      </c>
    </row>
    <row r="44" spans="2:15" ht="16.2" customHeight="1" x14ac:dyDescent="0.3">
      <c r="B44" s="110" t="s">
        <v>189</v>
      </c>
      <c r="C44" s="110"/>
      <c r="I44" s="195">
        <f>+'Venture Summary - Mthly'!C132</f>
        <v>0.14702246785163881</v>
      </c>
      <c r="K44" s="110" t="s">
        <v>276</v>
      </c>
      <c r="L44" s="194" t="str">
        <f>'Forward Curves'!G4</f>
        <v>Construction Loan Margin:</v>
      </c>
      <c r="M44" s="110"/>
      <c r="N44" s="110" t="s">
        <v>276</v>
      </c>
      <c r="O44" s="194">
        <f>'Venture Assumptions'!F68</f>
        <v>0.02</v>
      </c>
    </row>
    <row r="45" spans="2:15" x14ac:dyDescent="0.3">
      <c r="B45" s="110" t="s">
        <v>262</v>
      </c>
      <c r="I45" s="195">
        <f>+'Venture Summary - Mthly'!C445</f>
        <v>0.12290765643119811</v>
      </c>
      <c r="K45" s="110" t="s">
        <v>277</v>
      </c>
      <c r="L45" s="1465" t="s">
        <v>278</v>
      </c>
      <c r="M45" s="110"/>
      <c r="N45" s="110" t="s">
        <v>277</v>
      </c>
      <c r="O45" s="1465" t="s">
        <v>278</v>
      </c>
    </row>
    <row r="46" spans="2:15" ht="15" thickBot="1" x14ac:dyDescent="0.35"/>
    <row r="47" spans="2:15" ht="18" customHeight="1" thickBot="1" x14ac:dyDescent="0.35">
      <c r="B47" s="1427" t="s">
        <v>279</v>
      </c>
      <c r="C47" s="1428"/>
      <c r="D47" s="1428"/>
      <c r="E47" s="1428"/>
      <c r="F47" s="1428"/>
      <c r="G47" s="1428"/>
      <c r="H47" s="1428"/>
      <c r="I47" s="1428"/>
      <c r="J47" s="1428"/>
      <c r="K47" s="1428"/>
      <c r="L47" s="1428"/>
      <c r="M47" s="1428"/>
      <c r="N47" s="1428"/>
      <c r="O47" s="1450"/>
    </row>
    <row r="48" spans="2:15" x14ac:dyDescent="0.3">
      <c r="B48" s="1466"/>
      <c r="C48" s="1466"/>
      <c r="D48" s="1467" t="s">
        <v>173</v>
      </c>
      <c r="E48" s="1468">
        <f>+'Venture Summary - Mthly'!E451</f>
        <v>2023</v>
      </c>
      <c r="F48" s="1468">
        <f>+'Venture Summary - Mthly'!F451</f>
        <v>2024</v>
      </c>
      <c r="G48" s="1468">
        <f>+'Venture Summary - Mthly'!G451</f>
        <v>2025</v>
      </c>
      <c r="H48" s="1468">
        <f>+'Venture Summary - Mthly'!H451</f>
        <v>2026</v>
      </c>
      <c r="I48" s="1468">
        <f>+'Venture Summary - Mthly'!I451</f>
        <v>2027</v>
      </c>
      <c r="J48" s="1468"/>
      <c r="K48" s="1468">
        <f>+'Venture Summary - Mthly'!J451</f>
        <v>2028</v>
      </c>
      <c r="L48" s="1468">
        <f>+'Venture Summary - Mthly'!K451</f>
        <v>2029</v>
      </c>
      <c r="M48" s="1468"/>
      <c r="N48" s="1468">
        <f>+'Venture Summary - Mthly'!L451</f>
        <v>2030</v>
      </c>
      <c r="O48" s="1468">
        <f>+'Venture Summary - Mthly'!M451</f>
        <v>2031</v>
      </c>
    </row>
    <row r="49" spans="1:15" x14ac:dyDescent="0.3">
      <c r="B49" s="1466"/>
      <c r="C49" s="1466"/>
      <c r="D49" s="1469"/>
      <c r="E49" s="1470"/>
      <c r="F49" s="1470"/>
      <c r="G49" s="1470"/>
      <c r="H49" s="1470"/>
      <c r="I49" s="1470"/>
      <c r="J49" s="1470"/>
      <c r="K49" s="1470"/>
      <c r="L49" s="1470"/>
      <c r="M49" s="1470"/>
      <c r="N49" s="1470"/>
      <c r="O49" s="1470"/>
    </row>
    <row r="50" spans="1:15" x14ac:dyDescent="0.3">
      <c r="A50">
        <v>2</v>
      </c>
      <c r="B50" s="1466" t="s">
        <v>280</v>
      </c>
      <c r="C50" s="1466"/>
      <c r="D50" s="1471">
        <f>+SUM(E50:O50)</f>
        <v>-75647698.216711119</v>
      </c>
      <c r="E50" s="1472">
        <f>+HLOOKUP(E$48,'Venture Summary - Mthly'!$E$451:$M$479,$A50,FALSE)</f>
        <v>-18671992.833830711</v>
      </c>
      <c r="F50" s="1472">
        <f>+HLOOKUP(F$48,'Venture Summary - Mthly'!$E$451:$M$479,$A50,FALSE)</f>
        <v>-39681193.449526779</v>
      </c>
      <c r="G50" s="1472">
        <f>+HLOOKUP(G$48,'Venture Summary - Mthly'!$E$451:$M$479,$A50,FALSE)</f>
        <v>-17294511.933353636</v>
      </c>
      <c r="H50" s="1472">
        <f>+HLOOKUP(H$48,'Venture Summary - Mthly'!$E$451:$M$479,$A50,FALSE)</f>
        <v>0</v>
      </c>
      <c r="I50" s="1472">
        <f>+HLOOKUP(I$48,'Venture Summary - Mthly'!$E$451:$M$479,$A50,FALSE)</f>
        <v>0</v>
      </c>
      <c r="J50" s="1472"/>
      <c r="K50" s="1472">
        <f>+HLOOKUP(K$48,'Venture Summary - Mthly'!$E$451:$M$479,$A50,FALSE)</f>
        <v>0</v>
      </c>
      <c r="L50" s="1472">
        <f>+HLOOKUP(L$48,'Venture Summary - Mthly'!$E$451:$M$479,$A50,FALSE)</f>
        <v>0</v>
      </c>
      <c r="M50" s="1472"/>
      <c r="N50" s="1472">
        <f>+HLOOKUP(N$48,'Venture Summary - Mthly'!$E$451:$M$479,$A50,FALSE)</f>
        <v>0</v>
      </c>
      <c r="O50" s="1472">
        <f>+HLOOKUP(O$48,'Venture Summary - Mthly'!$E$451:$M$479,$A50,FALSE)</f>
        <v>0</v>
      </c>
    </row>
    <row r="51" spans="1:15" x14ac:dyDescent="0.3">
      <c r="A51">
        <f>+A50+1</f>
        <v>3</v>
      </c>
      <c r="B51" s="1466" t="s">
        <v>8</v>
      </c>
      <c r="C51" s="1466"/>
      <c r="D51" s="1471">
        <f>+SUM(E51:O51)</f>
        <v>37413661.974816911</v>
      </c>
      <c r="E51" s="1472">
        <f>+HLOOKUP(E$48,'Venture Summary - Mthly'!$E$451:$M$479,$A51,FALSE)</f>
        <v>0</v>
      </c>
      <c r="F51" s="1472">
        <f>+HLOOKUP(F$48,'Venture Summary - Mthly'!$E$451:$M$479,$A51,FALSE)</f>
        <v>-248569.72065803892</v>
      </c>
      <c r="G51" s="1472">
        <f>+HLOOKUP(G$48,'Venture Summary - Mthly'!$E$451:$M$479,$A51,FALSE)</f>
        <v>2317746.8141580438</v>
      </c>
      <c r="H51" s="1472">
        <f>+HLOOKUP(H$48,'Venture Summary - Mthly'!$E$451:$M$479,$A51,FALSE)</f>
        <v>5638571.1358792642</v>
      </c>
      <c r="I51" s="1472">
        <f>+HLOOKUP(I$48,'Venture Summary - Mthly'!$E$451:$M$479,$A51,FALSE)</f>
        <v>5907129.0772375735</v>
      </c>
      <c r="J51" s="1472"/>
      <c r="K51" s="1472">
        <f>+HLOOKUP(K$48,'Venture Summary - Mthly'!$E$451:$M$479,$A51,FALSE)</f>
        <v>6132722.2028710609</v>
      </c>
      <c r="L51" s="1472">
        <f>+HLOOKUP(L$48,'Venture Summary - Mthly'!$E$451:$M$479,$A51,FALSE)</f>
        <v>6392320.2761016544</v>
      </c>
      <c r="M51" s="1472"/>
      <c r="N51" s="1472">
        <f>+HLOOKUP(N$48,'Venture Summary - Mthly'!$E$451:$M$479,$A51,FALSE)</f>
        <v>6671245.5942205051</v>
      </c>
      <c r="O51" s="1472">
        <f>+HLOOKUP(O$48,'Venture Summary - Mthly'!$E$451:$M$479,$A51,FALSE)</f>
        <v>4602496.5950068459</v>
      </c>
    </row>
    <row r="52" spans="1:15" x14ac:dyDescent="0.3">
      <c r="A52">
        <f>+A51+1</f>
        <v>4</v>
      </c>
      <c r="B52" s="1466" t="s">
        <v>281</v>
      </c>
      <c r="C52" s="1466"/>
      <c r="D52" s="1471">
        <f>+SUM(E52:O52)</f>
        <v>-71428.57142857142</v>
      </c>
      <c r="E52" s="1472">
        <f>+HLOOKUP(E$48,'Venture Summary - Mthly'!$E$451:$M$479,$A52,FALSE)</f>
        <v>-71428.57142857142</v>
      </c>
      <c r="F52" s="1472">
        <f>+HLOOKUP(F$48,'Venture Summary - Mthly'!$E$451:$M$479,$A52,FALSE)</f>
        <v>0</v>
      </c>
      <c r="G52" s="1472">
        <f>+HLOOKUP(G$48,'Venture Summary - Mthly'!$E$451:$M$479,$A52,FALSE)</f>
        <v>0</v>
      </c>
      <c r="H52" s="1472">
        <f>+HLOOKUP(H$48,'Venture Summary - Mthly'!$E$451:$M$479,$A52,FALSE)</f>
        <v>0</v>
      </c>
      <c r="I52" s="1472">
        <f>+HLOOKUP(I$48,'Venture Summary - Mthly'!$E$451:$M$479,$A52,FALSE)</f>
        <v>0</v>
      </c>
      <c r="J52" s="1472"/>
      <c r="K52" s="1472">
        <f>+HLOOKUP(K$48,'Venture Summary - Mthly'!$E$451:$M$479,$A52,FALSE)</f>
        <v>0</v>
      </c>
      <c r="L52" s="1472">
        <f>+HLOOKUP(L$48,'Venture Summary - Mthly'!$E$451:$M$479,$A52,FALSE)</f>
        <v>0</v>
      </c>
      <c r="M52" s="1472"/>
      <c r="N52" s="1472">
        <f>+HLOOKUP(N$48,'Venture Summary - Mthly'!$E$451:$M$479,$A52,FALSE)</f>
        <v>0</v>
      </c>
      <c r="O52" s="1472">
        <f>+HLOOKUP(O$48,'Venture Summary - Mthly'!$E$451:$M$479,$A52,FALSE)</f>
        <v>0</v>
      </c>
    </row>
    <row r="53" spans="1:15" x14ac:dyDescent="0.3">
      <c r="A53">
        <f>+A52+1</f>
        <v>5</v>
      </c>
      <c r="B53" s="1466" t="s">
        <v>282</v>
      </c>
      <c r="C53" s="1466"/>
      <c r="D53" s="1471">
        <f>+SUM(E53:O53)</f>
        <v>-799999.99999999988</v>
      </c>
      <c r="E53" s="1472">
        <f>+HLOOKUP(E$48,'Venture Summary - Mthly'!$E$451:$M$479,$A53,FALSE)</f>
        <v>-33333.333333333336</v>
      </c>
      <c r="F53" s="1472">
        <f>+HLOOKUP(F$48,'Venture Summary - Mthly'!$E$451:$M$479,$A53,FALSE)</f>
        <v>-99999.999999999985</v>
      </c>
      <c r="G53" s="1472">
        <f>+HLOOKUP(G$48,'Venture Summary - Mthly'!$E$451:$M$479,$A53,FALSE)</f>
        <v>-99999.999999999985</v>
      </c>
      <c r="H53" s="1472">
        <f>+HLOOKUP(H$48,'Venture Summary - Mthly'!$E$451:$M$479,$A53,FALSE)</f>
        <v>-99999.999999999985</v>
      </c>
      <c r="I53" s="1472">
        <f>+HLOOKUP(I$48,'Venture Summary - Mthly'!$E$451:$M$479,$A53,FALSE)</f>
        <v>-99999.999999999985</v>
      </c>
      <c r="J53" s="1472"/>
      <c r="K53" s="1472">
        <f>+HLOOKUP(K$48,'Venture Summary - Mthly'!$E$451:$M$479,$A53,FALSE)</f>
        <v>-99999.999999999985</v>
      </c>
      <c r="L53" s="1472">
        <f>+HLOOKUP(L$48,'Venture Summary - Mthly'!$E$451:$M$479,$A53,FALSE)</f>
        <v>-99999.999999999985</v>
      </c>
      <c r="M53" s="1472"/>
      <c r="N53" s="1472">
        <f>+HLOOKUP(N$48,'Venture Summary - Mthly'!$E$451:$M$479,$A53,FALSE)</f>
        <v>-99999.999999999985</v>
      </c>
      <c r="O53" s="1472">
        <f>+HLOOKUP(O$48,'Venture Summary - Mthly'!$E$451:$M$479,$A53,FALSE)</f>
        <v>-66666.666666666672</v>
      </c>
    </row>
    <row r="54" spans="1:15" x14ac:dyDescent="0.3">
      <c r="A54">
        <f>+A53+1</f>
        <v>6</v>
      </c>
      <c r="B54" s="1466" t="s">
        <v>11</v>
      </c>
      <c r="C54" s="1466"/>
      <c r="D54" s="1471">
        <f>+SUM(E54:O54)</f>
        <v>129660985.44941077</v>
      </c>
      <c r="E54" s="1472">
        <f>+HLOOKUP(E$48,'Venture Summary - Mthly'!$E$451:$M$479,$A54,FALSE)</f>
        <v>0</v>
      </c>
      <c r="F54" s="1472">
        <f>+HLOOKUP(F$48,'Venture Summary - Mthly'!$E$451:$M$479,$A54,FALSE)</f>
        <v>0</v>
      </c>
      <c r="G54" s="1472">
        <f>+HLOOKUP(G$48,'Venture Summary - Mthly'!$E$451:$M$479,$A54,FALSE)</f>
        <v>0</v>
      </c>
      <c r="H54" s="1472">
        <f>+HLOOKUP(H$48,'Venture Summary - Mthly'!$E$451:$M$479,$A54,FALSE)</f>
        <v>0</v>
      </c>
      <c r="I54" s="1472">
        <f>+HLOOKUP(I$48,'Venture Summary - Mthly'!$E$451:$M$479,$A54,FALSE)</f>
        <v>0</v>
      </c>
      <c r="J54" s="1472"/>
      <c r="K54" s="1472">
        <f>+HLOOKUP(K$48,'Venture Summary - Mthly'!$E$451:$M$479,$A54,FALSE)</f>
        <v>0</v>
      </c>
      <c r="L54" s="1472">
        <f>+HLOOKUP(L$48,'Venture Summary - Mthly'!$E$451:$M$479,$A54,FALSE)</f>
        <v>0</v>
      </c>
      <c r="M54" s="1472"/>
      <c r="N54" s="1472">
        <f>+HLOOKUP(N$48,'Venture Summary - Mthly'!$E$451:$M$479,$A54,FALSE)</f>
        <v>0</v>
      </c>
      <c r="O54" s="1472">
        <f>+HLOOKUP(O$48,'Venture Summary - Mthly'!$E$451:$M$479,$A54,FALSE)</f>
        <v>129660985.44941077</v>
      </c>
    </row>
    <row r="55" spans="1:15" x14ac:dyDescent="0.3">
      <c r="B55" s="1473" t="s">
        <v>12</v>
      </c>
      <c r="C55" s="1473"/>
      <c r="D55" s="1474">
        <f>SUM(D50:D54)</f>
        <v>90555520.636087984</v>
      </c>
      <c r="E55" s="1475">
        <f>+SUM(E50:E54)</f>
        <v>-18776754.738592613</v>
      </c>
      <c r="F55" s="1475">
        <f t="shared" ref="F55:O55" si="0">+SUM(F50:F54)</f>
        <v>-40029763.170184821</v>
      </c>
      <c r="G55" s="1475">
        <f t="shared" si="0"/>
        <v>-15076765.119195592</v>
      </c>
      <c r="H55" s="1475">
        <f t="shared" si="0"/>
        <v>5538571.1358792642</v>
      </c>
      <c r="I55" s="1475">
        <f>+SUM(I50:I54)</f>
        <v>5807129.0772375735</v>
      </c>
      <c r="J55" s="1475"/>
      <c r="K55" s="1475">
        <f>+SUM(K50:K54)</f>
        <v>6032722.2028710609</v>
      </c>
      <c r="L55" s="1475">
        <f>+SUM(L50:L54)</f>
        <v>6292320.2761016544</v>
      </c>
      <c r="M55" s="1475"/>
      <c r="N55" s="1475">
        <f t="shared" si="0"/>
        <v>6571245.5942205051</v>
      </c>
      <c r="O55" s="1475">
        <f t="shared" si="0"/>
        <v>134196815.37775095</v>
      </c>
    </row>
    <row r="56" spans="1:15" x14ac:dyDescent="0.3">
      <c r="B56" s="1466"/>
      <c r="C56" s="1466"/>
      <c r="D56" s="1476"/>
      <c r="E56" s="1472"/>
      <c r="F56" s="1472"/>
      <c r="G56" s="1472"/>
      <c r="H56" s="1472"/>
      <c r="I56" s="1472"/>
      <c r="J56" s="1472"/>
      <c r="K56" s="1472"/>
      <c r="L56" s="1472"/>
      <c r="M56" s="1472"/>
      <c r="N56" s="1472"/>
      <c r="O56" s="1472"/>
    </row>
    <row r="57" spans="1:15" x14ac:dyDescent="0.3">
      <c r="A57">
        <v>10</v>
      </c>
      <c r="B57" s="1466" t="s">
        <v>14</v>
      </c>
      <c r="C57" s="1466"/>
      <c r="D57" s="1471">
        <f t="shared" ref="D57:D64" si="1">+SUM(E57:O57)</f>
        <v>-1470019.5694877617</v>
      </c>
      <c r="E57" s="1472">
        <f>+HLOOKUP(E$48,'Venture Summary - Mthly'!$E$451:$M$479,$A57,FALSE)</f>
        <v>-833583.45041148621</v>
      </c>
      <c r="F57" s="1472">
        <f>+HLOOKUP(F$48,'Venture Summary - Mthly'!$E$451:$M$479,$A57,FALSE)</f>
        <v>-36000</v>
      </c>
      <c r="G57" s="1472">
        <f>+HLOOKUP(G$48,'Venture Summary - Mthly'!$E$451:$M$479,$A57,FALSE)</f>
        <v>-27000</v>
      </c>
      <c r="H57" s="1472">
        <f>+HLOOKUP(H$48,'Venture Summary - Mthly'!$E$451:$M$479,$A57,FALSE)</f>
        <v>-573436.1190762755</v>
      </c>
      <c r="I57" s="1472">
        <f>+HLOOKUP(I$48,'Venture Summary - Mthly'!$E$451:$M$479,$A57,FALSE)</f>
        <v>0</v>
      </c>
      <c r="J57" s="1472"/>
      <c r="K57" s="1472">
        <f>+HLOOKUP(K$48,'Venture Summary - Mthly'!$E$451:$M$479,$A57,FALSE)</f>
        <v>0</v>
      </c>
      <c r="L57" s="1472">
        <f>+HLOOKUP(L$48,'Venture Summary - Mthly'!$E$451:$M$479,$A57,FALSE)</f>
        <v>0</v>
      </c>
      <c r="M57" s="1472"/>
      <c r="N57" s="1472">
        <f>+HLOOKUP(N$48,'Venture Summary - Mthly'!$E$451:$M$479,$A57,FALSE)</f>
        <v>0</v>
      </c>
      <c r="O57" s="1472">
        <f>+HLOOKUP(O$48,'Venture Summary - Mthly'!$E$451:$M$479,$A57,FALSE)</f>
        <v>0</v>
      </c>
    </row>
    <row r="58" spans="1:15" x14ac:dyDescent="0.3">
      <c r="A58">
        <f>+A57+1</f>
        <v>11</v>
      </c>
      <c r="B58" s="1466" t="s">
        <v>15</v>
      </c>
      <c r="C58" s="1466"/>
      <c r="D58" s="1471">
        <f t="shared" si="1"/>
        <v>-3015435.9515204169</v>
      </c>
      <c r="E58" s="1472">
        <f>+HLOOKUP(E$48,'Venture Summary - Mthly'!$E$451:$M$479,$A58,FALSE)</f>
        <v>0</v>
      </c>
      <c r="F58" s="1472">
        <f>+HLOOKUP(F$48,'Venture Summary - Mthly'!$E$451:$M$479,$A58,FALSE)</f>
        <v>-378635.8860754167</v>
      </c>
      <c r="G58" s="1472">
        <f>+HLOOKUP(G$48,'Venture Summary - Mthly'!$E$451:$M$479,$A58,FALSE)</f>
        <v>-2404545.3512654169</v>
      </c>
      <c r="H58" s="1472">
        <f>+HLOOKUP(H$48,'Venture Summary - Mthly'!$E$451:$M$479,$A58,FALSE)</f>
        <v>-232254.71417958339</v>
      </c>
      <c r="I58" s="1472">
        <f>+HLOOKUP(I$48,'Venture Summary - Mthly'!$E$451:$M$479,$A58,FALSE)</f>
        <v>0</v>
      </c>
      <c r="J58" s="1472"/>
      <c r="K58" s="1472">
        <f>+HLOOKUP(K$48,'Venture Summary - Mthly'!$E$451:$M$479,$A58,FALSE)</f>
        <v>0</v>
      </c>
      <c r="L58" s="1472">
        <f>+HLOOKUP(L$48,'Venture Summary - Mthly'!$E$451:$M$479,$A58,FALSE)</f>
        <v>0</v>
      </c>
      <c r="M58" s="1472"/>
      <c r="N58" s="1472">
        <f>+HLOOKUP(N$48,'Venture Summary - Mthly'!$E$451:$M$479,$A58,FALSE)</f>
        <v>0</v>
      </c>
      <c r="O58" s="1472">
        <f>+HLOOKUP(O$48,'Venture Summary - Mthly'!$E$451:$M$479,$A58,FALSE)</f>
        <v>0</v>
      </c>
    </row>
    <row r="59" spans="1:15" x14ac:dyDescent="0.3">
      <c r="A59">
        <f t="shared" ref="A59:A64" si="2">+A58+1</f>
        <v>12</v>
      </c>
      <c r="B59" s="1466" t="s">
        <v>283</v>
      </c>
      <c r="C59" s="1466"/>
      <c r="D59" s="1471">
        <f t="shared" si="1"/>
        <v>42877793.387000002</v>
      </c>
      <c r="E59" s="1472">
        <f>+HLOOKUP(E$48,'Venture Summary - Mthly'!$E$451:$M$479,$A59,FALSE)</f>
        <v>0</v>
      </c>
      <c r="F59" s="1472">
        <f>+HLOOKUP(F$48,'Venture Summary - Mthly'!$E$451:$M$479,$A59,FALSE)</f>
        <v>24768144.386</v>
      </c>
      <c r="G59" s="1472">
        <f>+HLOOKUP(G$48,'Venture Summary - Mthly'!$E$451:$M$479,$A59,FALSE)</f>
        <v>18109649.001000002</v>
      </c>
      <c r="H59" s="1472">
        <f>+HLOOKUP(H$48,'Venture Summary - Mthly'!$E$451:$M$479,$A59,FALSE)</f>
        <v>0</v>
      </c>
      <c r="I59" s="1472">
        <f>+HLOOKUP(I$48,'Venture Summary - Mthly'!$E$451:$M$479,$A59,FALSE)</f>
        <v>0</v>
      </c>
      <c r="J59" s="1472"/>
      <c r="K59" s="1472">
        <f>+HLOOKUP(K$48,'Venture Summary - Mthly'!$E$451:$M$479,$A59,FALSE)</f>
        <v>0</v>
      </c>
      <c r="L59" s="1472">
        <f>+HLOOKUP(L$48,'Venture Summary - Mthly'!$E$451:$M$479,$A59,FALSE)</f>
        <v>0</v>
      </c>
      <c r="M59" s="1472"/>
      <c r="N59" s="1472">
        <f>+HLOOKUP(N$48,'Venture Summary - Mthly'!$E$451:$M$479,$A59,FALSE)</f>
        <v>0</v>
      </c>
      <c r="O59" s="1472">
        <f>+HLOOKUP(O$48,'Venture Summary - Mthly'!$E$451:$M$479,$A59,FALSE)</f>
        <v>0</v>
      </c>
    </row>
    <row r="60" spans="1:15" x14ac:dyDescent="0.3">
      <c r="A60">
        <f t="shared" si="2"/>
        <v>13</v>
      </c>
      <c r="B60" s="1466" t="s">
        <v>284</v>
      </c>
      <c r="C60" s="1466"/>
      <c r="D60" s="1471">
        <f t="shared" si="1"/>
        <v>-42877793.387000009</v>
      </c>
      <c r="E60" s="1472">
        <f>+HLOOKUP(E$48,'Venture Summary - Mthly'!$E$451:$M$479,$A60,FALSE)</f>
        <v>0</v>
      </c>
      <c r="F60" s="1472">
        <f>+HLOOKUP(F$48,'Venture Summary - Mthly'!$E$451:$M$479,$A60,FALSE)</f>
        <v>0</v>
      </c>
      <c r="G60" s="1472">
        <f>+HLOOKUP(G$48,'Venture Summary - Mthly'!$E$451:$M$479,$A60,FALSE)</f>
        <v>0</v>
      </c>
      <c r="H60" s="1472">
        <f>+HLOOKUP(H$48,'Venture Summary - Mthly'!$E$451:$M$479,$A60,FALSE)</f>
        <v>-42877793.387000009</v>
      </c>
      <c r="I60" s="1472">
        <f>+HLOOKUP(I$48,'Venture Summary - Mthly'!$E$451:$M$479,$A60,FALSE)</f>
        <v>0</v>
      </c>
      <c r="J60" s="1472"/>
      <c r="K60" s="1472">
        <f>+HLOOKUP(K$48,'Venture Summary - Mthly'!$E$451:$M$479,$A60,FALSE)</f>
        <v>0</v>
      </c>
      <c r="L60" s="1472">
        <f>+HLOOKUP(L$48,'Venture Summary - Mthly'!$E$451:$M$479,$A60,FALSE)</f>
        <v>0</v>
      </c>
      <c r="M60" s="1472"/>
      <c r="N60" s="1472">
        <f>+HLOOKUP(N$48,'Venture Summary - Mthly'!$E$451:$M$479,$A60,FALSE)</f>
        <v>0</v>
      </c>
      <c r="O60" s="1472">
        <f>+HLOOKUP(O$48,'Venture Summary - Mthly'!$E$451:$M$479,$A60,FALSE)</f>
        <v>0</v>
      </c>
    </row>
    <row r="61" spans="1:15" x14ac:dyDescent="0.3">
      <c r="A61">
        <f t="shared" si="2"/>
        <v>14</v>
      </c>
      <c r="B61" s="1466" t="s">
        <v>18</v>
      </c>
      <c r="C61" s="1466"/>
      <c r="D61" s="1471">
        <f t="shared" si="1"/>
        <v>57343611.907627545</v>
      </c>
      <c r="E61" s="1472">
        <f>+HLOOKUP(E$48,'Venture Summary - Mthly'!$E$451:$M$479,$A61,FALSE)</f>
        <v>0</v>
      </c>
      <c r="F61" s="1472">
        <f>+HLOOKUP(F$48,'Venture Summary - Mthly'!$E$451:$M$479,$A61,FALSE)</f>
        <v>0</v>
      </c>
      <c r="G61" s="1472">
        <f>+HLOOKUP(G$48,'Venture Summary - Mthly'!$E$451:$M$479,$A61,FALSE)</f>
        <v>0</v>
      </c>
      <c r="H61" s="1472">
        <f>+HLOOKUP(H$48,'Venture Summary - Mthly'!$E$451:$M$479,$A61,FALSE)</f>
        <v>57343611.907627545</v>
      </c>
      <c r="I61" s="1472">
        <f>+HLOOKUP(I$48,'Venture Summary - Mthly'!$E$451:$M$479,$A61,FALSE)</f>
        <v>0</v>
      </c>
      <c r="J61" s="1472"/>
      <c r="K61" s="1472">
        <f>+HLOOKUP(K$48,'Venture Summary - Mthly'!$E$451:$M$479,$A61,FALSE)</f>
        <v>0</v>
      </c>
      <c r="L61" s="1472">
        <f>+HLOOKUP(L$48,'Venture Summary - Mthly'!$E$451:$M$479,$A61,FALSE)</f>
        <v>0</v>
      </c>
      <c r="M61" s="1472"/>
      <c r="N61" s="1472">
        <f>+HLOOKUP(N$48,'Venture Summary - Mthly'!$E$451:$M$479,$A61,FALSE)</f>
        <v>0</v>
      </c>
      <c r="O61" s="1472">
        <f>+HLOOKUP(O$48,'Venture Summary - Mthly'!$E$451:$M$479,$A61,FALSE)</f>
        <v>0</v>
      </c>
    </row>
    <row r="62" spans="1:15" x14ac:dyDescent="0.3">
      <c r="A62">
        <f t="shared" si="2"/>
        <v>15</v>
      </c>
      <c r="B62" s="1466" t="s">
        <v>285</v>
      </c>
      <c r="C62" s="1466"/>
      <c r="D62" s="1471">
        <f t="shared" si="1"/>
        <v>0</v>
      </c>
      <c r="E62" s="1472">
        <f>+HLOOKUP(E$48,'Venture Summary - Mthly'!$E$451:$M$479,$A62,FALSE)</f>
        <v>0</v>
      </c>
      <c r="F62" s="1472">
        <f>+HLOOKUP(F$48,'Venture Summary - Mthly'!$E$451:$M$479,$A62,FALSE)</f>
        <v>0</v>
      </c>
      <c r="G62" s="1472">
        <f>+HLOOKUP(G$48,'Venture Summary - Mthly'!$E$451:$M$479,$A62,FALSE)</f>
        <v>0</v>
      </c>
      <c r="H62" s="1472">
        <f>+HLOOKUP(H$48,'Venture Summary - Mthly'!$E$451:$M$479,$A62,FALSE)</f>
        <v>0</v>
      </c>
      <c r="I62" s="1472">
        <f>+HLOOKUP(I$48,'Venture Summary - Mthly'!$E$451:$M$479,$A62,FALSE)</f>
        <v>0</v>
      </c>
      <c r="J62" s="1472"/>
      <c r="K62" s="1472">
        <f>+HLOOKUP(K$48,'Venture Summary - Mthly'!$E$451:$M$479,$A62,FALSE)</f>
        <v>0</v>
      </c>
      <c r="L62" s="1472">
        <f>+HLOOKUP(L$48,'Venture Summary - Mthly'!$E$451:$M$479,$A62,FALSE)</f>
        <v>0</v>
      </c>
      <c r="M62" s="1472"/>
      <c r="N62" s="1472">
        <f>+HLOOKUP(N$48,'Venture Summary - Mthly'!$E$451:$M$479,$A62,FALSE)</f>
        <v>0</v>
      </c>
      <c r="O62" s="1472">
        <f>+HLOOKUP(O$48,'Venture Summary - Mthly'!$E$451:$M$479,$A62,FALSE)</f>
        <v>0</v>
      </c>
    </row>
    <row r="63" spans="1:15" x14ac:dyDescent="0.3">
      <c r="A63">
        <f t="shared" si="2"/>
        <v>16</v>
      </c>
      <c r="B63" s="1466" t="s">
        <v>20</v>
      </c>
      <c r="C63" s="1466"/>
      <c r="D63" s="1471">
        <f t="shared" si="1"/>
        <v>-14404145.697984423</v>
      </c>
      <c r="E63" s="1472">
        <f>+HLOOKUP(E$48,'Venture Summary - Mthly'!$E$451:$M$479,$A63,FALSE)</f>
        <v>0</v>
      </c>
      <c r="F63" s="1472">
        <f>+HLOOKUP(F$48,'Venture Summary - Mthly'!$E$451:$M$479,$A63,FALSE)</f>
        <v>0</v>
      </c>
      <c r="G63" s="1472">
        <f>+HLOOKUP(G$48,'Venture Summary - Mthly'!$E$451:$M$479,$A63,FALSE)</f>
        <v>0</v>
      </c>
      <c r="H63" s="1472">
        <f>+HLOOKUP(H$48,'Venture Summary - Mthly'!$E$451:$M$479,$A63,FALSE)</f>
        <v>-1546375.6250443407</v>
      </c>
      <c r="I63" s="1472">
        <f>+HLOOKUP(I$48,'Venture Summary - Mthly'!$E$451:$M$479,$A63,FALSE)</f>
        <v>-2674308.223910667</v>
      </c>
      <c r="J63" s="1472"/>
      <c r="K63" s="1472">
        <f>+HLOOKUP(K$48,'Venture Summary - Mthly'!$E$451:$M$479,$A63,FALSE)</f>
        <v>-2722418.5585743021</v>
      </c>
      <c r="L63" s="1472">
        <f>+HLOOKUP(L$48,'Venture Summary - Mthly'!$E$451:$M$479,$A63,FALSE)</f>
        <v>-2767493.5047142925</v>
      </c>
      <c r="M63" s="1472"/>
      <c r="N63" s="1472">
        <f>+HLOOKUP(N$48,'Venture Summary - Mthly'!$E$451:$M$479,$A63,FALSE)</f>
        <v>-2804358.7570828414</v>
      </c>
      <c r="O63" s="1472">
        <f>+HLOOKUP(O$48,'Venture Summary - Mthly'!$E$451:$M$479,$A63,FALSE)</f>
        <v>-1889191.0286579803</v>
      </c>
    </row>
    <row r="64" spans="1:15" x14ac:dyDescent="0.3">
      <c r="A64">
        <f t="shared" si="2"/>
        <v>17</v>
      </c>
      <c r="B64" s="1466" t="s">
        <v>286</v>
      </c>
      <c r="C64" s="1466"/>
      <c r="D64" s="1471">
        <f t="shared" si="1"/>
        <v>-57343611.907627545</v>
      </c>
      <c r="E64" s="1472">
        <f>+HLOOKUP(E$48,'Venture Summary - Mthly'!$E$451:$M$479,$A64,FALSE)</f>
        <v>0</v>
      </c>
      <c r="F64" s="1472">
        <f>+HLOOKUP(F$48,'Venture Summary - Mthly'!$E$451:$M$479,$A64,FALSE)</f>
        <v>0</v>
      </c>
      <c r="G64" s="1472">
        <f>+HLOOKUP(G$48,'Venture Summary - Mthly'!$E$451:$M$479,$A64,FALSE)</f>
        <v>0</v>
      </c>
      <c r="H64" s="1472">
        <f>+HLOOKUP(H$48,'Venture Summary - Mthly'!$E$451:$M$479,$A64,FALSE)</f>
        <v>0</v>
      </c>
      <c r="I64" s="1472">
        <f>+HLOOKUP(I$48,'Venture Summary - Mthly'!$E$451:$M$479,$A64,FALSE)</f>
        <v>0</v>
      </c>
      <c r="J64" s="1472"/>
      <c r="K64" s="1472">
        <f>+HLOOKUP(K$48,'Venture Summary - Mthly'!$E$451:$M$479,$A64,FALSE)</f>
        <v>0</v>
      </c>
      <c r="L64" s="1472">
        <f>+HLOOKUP(L$48,'Venture Summary - Mthly'!$E$451:$M$479,$A64,FALSE)</f>
        <v>0</v>
      </c>
      <c r="M64" s="1472"/>
      <c r="N64" s="1472">
        <f>+HLOOKUP(N$48,'Venture Summary - Mthly'!$E$451:$M$479,$A64,FALSE)</f>
        <v>0</v>
      </c>
      <c r="O64" s="1472">
        <f>+HLOOKUP(O$48,'Venture Summary - Mthly'!$E$451:$M$479,$A64,FALSE)</f>
        <v>-57343611.907627545</v>
      </c>
    </row>
    <row r="65" spans="1:15" x14ac:dyDescent="0.3">
      <c r="B65" s="1473" t="s">
        <v>22</v>
      </c>
      <c r="C65" s="1477"/>
      <c r="D65" s="1474">
        <f>+SUM(D57:D64,D55)</f>
        <v>71665919.417095363</v>
      </c>
      <c r="E65" s="1475">
        <f>+SUM(E57:E64,E55)</f>
        <v>-19610338.189004101</v>
      </c>
      <c r="F65" s="1475">
        <f t="shared" ref="F65:O65" si="3">+SUM(F57:F64,F55)</f>
        <v>-15676254.670260239</v>
      </c>
      <c r="G65" s="1475">
        <f t="shared" si="3"/>
        <v>601338.53053899296</v>
      </c>
      <c r="H65" s="1475">
        <f t="shared" si="3"/>
        <v>17652323.198206604</v>
      </c>
      <c r="I65" s="1475">
        <f t="shared" si="3"/>
        <v>3132820.8533269065</v>
      </c>
      <c r="J65" s="1475"/>
      <c r="K65" s="1475">
        <f t="shared" si="3"/>
        <v>3310303.6442967588</v>
      </c>
      <c r="L65" s="1475">
        <f t="shared" si="3"/>
        <v>3524826.7713873619</v>
      </c>
      <c r="M65" s="1475"/>
      <c r="N65" s="1475">
        <f t="shared" si="3"/>
        <v>3766886.8371376637</v>
      </c>
      <c r="O65" s="1475">
        <f t="shared" si="3"/>
        <v>74964012.441465423</v>
      </c>
    </row>
    <row r="66" spans="1:15" x14ac:dyDescent="0.3">
      <c r="B66" s="1478"/>
      <c r="C66" s="1478"/>
      <c r="D66" s="1479"/>
      <c r="E66" s="1472"/>
      <c r="F66" s="1472"/>
      <c r="G66" s="1472"/>
      <c r="H66" s="1472"/>
      <c r="I66" s="1472"/>
      <c r="J66" s="1472"/>
      <c r="K66" s="1472"/>
      <c r="L66" s="1472"/>
      <c r="M66" s="1472"/>
      <c r="N66" s="1472"/>
      <c r="O66" s="1472"/>
    </row>
    <row r="67" spans="1:15" x14ac:dyDescent="0.3">
      <c r="A67">
        <v>21</v>
      </c>
      <c r="B67" s="1478" t="s">
        <v>287</v>
      </c>
      <c r="C67" s="1478"/>
      <c r="D67" s="1471">
        <f>+SUM(E67:O67)</f>
        <v>-3022291.0014259894</v>
      </c>
      <c r="E67" s="1472">
        <f>+HLOOKUP(E$48,'Venture Summary - Mthly'!$E$451:$M$479,$A67,FALSE)</f>
        <v>-18043.066964297526</v>
      </c>
      <c r="F67" s="1472">
        <f>+HLOOKUP(F$48,'Venture Summary - Mthly'!$E$451:$M$479,$A67,FALSE)</f>
        <v>-140481.65283539874</v>
      </c>
      <c r="G67" s="1472">
        <f>+HLOOKUP(G$48,'Venture Summary - Mthly'!$E$451:$M$479,$A67,FALSE)</f>
        <v>-279261.93302174163</v>
      </c>
      <c r="H67" s="1472">
        <f>+HLOOKUP(H$48,'Venture Summary - Mthly'!$E$451:$M$479,$A67,FALSE)</f>
        <v>-382232.37293500005</v>
      </c>
      <c r="I67" s="1472">
        <f>+HLOOKUP(I$48,'Venture Summary - Mthly'!$E$451:$M$479,$A67,FALSE)</f>
        <v>-437147.20327173785</v>
      </c>
      <c r="J67" s="1472"/>
      <c r="K67" s="1472">
        <f>+HLOOKUP(K$48,'Venture Summary - Mthly'!$E$451:$M$479,$A67,FALSE)</f>
        <v>-454433.94199882599</v>
      </c>
      <c r="L67" s="1472">
        <f>+HLOOKUP(L$48,'Venture Summary - Mthly'!$E$451:$M$479,$A67,FALSE)</f>
        <v>-474111.79547916248</v>
      </c>
      <c r="M67" s="1472"/>
      <c r="N67" s="1472">
        <f>+HLOOKUP(N$48,'Venture Summary - Mthly'!$E$451:$M$479,$A67,FALSE)</f>
        <v>-494792.85035121744</v>
      </c>
      <c r="O67" s="1472">
        <f>+HLOOKUP(O$48,'Venture Summary - Mthly'!$E$451:$M$479,$A67,FALSE)</f>
        <v>-341786.18456860766</v>
      </c>
    </row>
    <row r="68" spans="1:15" x14ac:dyDescent="0.3">
      <c r="A68">
        <v>25</v>
      </c>
      <c r="B68" s="1478" t="s">
        <v>288</v>
      </c>
      <c r="C68" s="1478"/>
      <c r="D68" s="1471">
        <f>+SUM(E68:O68)</f>
        <v>-6868726.7816661661</v>
      </c>
      <c r="E68" s="1472">
        <f>+HLOOKUP(E$48,'Venture Summary - Mthly'!$E$451:$M$479,$A68,FALSE)</f>
        <v>0</v>
      </c>
      <c r="F68" s="1472">
        <f>+HLOOKUP(F$48,'Venture Summary - Mthly'!$E$451:$M$479,$A68,FALSE)</f>
        <v>0</v>
      </c>
      <c r="G68" s="1472">
        <f>+HLOOKUP(G$48,'Venture Summary - Mthly'!$E$451:$M$479,$A68,FALSE)</f>
        <v>0</v>
      </c>
      <c r="H68" s="1472">
        <f>+HLOOKUP(H$48,'Venture Summary - Mthly'!$E$451:$M$479,$A68,FALSE)</f>
        <v>-6868726.7816661661</v>
      </c>
      <c r="I68" s="1472">
        <f>+HLOOKUP(I$48,'Venture Summary - Mthly'!$E$451:$M$479,$A68,FALSE)</f>
        <v>0</v>
      </c>
      <c r="J68" s="1472"/>
      <c r="K68" s="1472">
        <f>+HLOOKUP(K$48,'Venture Summary - Mthly'!$E$451:$M$479,$A68,FALSE)</f>
        <v>0</v>
      </c>
      <c r="L68" s="1472">
        <f>+HLOOKUP(L$48,'Venture Summary - Mthly'!$E$451:$M$479,$A68,FALSE)</f>
        <v>0</v>
      </c>
      <c r="M68" s="1472"/>
      <c r="N68" s="1472">
        <f>+HLOOKUP(N$48,'Venture Summary - Mthly'!$E$451:$M$479,$A68,FALSE)</f>
        <v>0</v>
      </c>
      <c r="O68" s="1472">
        <f>+HLOOKUP(O$48,'Venture Summary - Mthly'!$E$451:$M$479,$A68,FALSE)</f>
        <v>0</v>
      </c>
    </row>
    <row r="69" spans="1:15" x14ac:dyDescent="0.3">
      <c r="A69">
        <v>26</v>
      </c>
      <c r="B69" s="1478" t="s">
        <v>289</v>
      </c>
      <c r="C69" s="1478"/>
      <c r="D69" s="1471">
        <f>+SUM(E69:O69)</f>
        <v>-5736147.0869287392</v>
      </c>
      <c r="E69" s="1472">
        <f>+HLOOKUP(E$48,'Venture Summary - Mthly'!$E$451:$M$479,$A69,FALSE)</f>
        <v>0</v>
      </c>
      <c r="F69" s="1472">
        <f>+HLOOKUP(F$48,'Venture Summary - Mthly'!$E$451:$M$479,$A69,FALSE)</f>
        <v>0</v>
      </c>
      <c r="G69" s="1472">
        <f>+HLOOKUP(G$48,'Venture Summary - Mthly'!$E$451:$M$479,$A69,FALSE)</f>
        <v>0</v>
      </c>
      <c r="H69" s="1472">
        <f>+HLOOKUP(H$48,'Venture Summary - Mthly'!$E$451:$M$479,$A69,FALSE)</f>
        <v>0</v>
      </c>
      <c r="I69" s="1472">
        <f>+HLOOKUP(I$48,'Venture Summary - Mthly'!$E$451:$M$479,$A69,FALSE)</f>
        <v>0</v>
      </c>
      <c r="J69" s="1472"/>
      <c r="K69" s="1472">
        <f>+HLOOKUP(K$48,'Venture Summary - Mthly'!$E$451:$M$479,$A69,FALSE)</f>
        <v>0</v>
      </c>
      <c r="L69" s="1472">
        <f>+HLOOKUP(L$48,'Venture Summary - Mthly'!$E$451:$M$479,$A69,FALSE)</f>
        <v>0</v>
      </c>
      <c r="M69" s="1472"/>
      <c r="N69" s="1472">
        <f>+HLOOKUP(N$48,'Venture Summary - Mthly'!$E$451:$M$479,$A69,FALSE)</f>
        <v>0</v>
      </c>
      <c r="O69" s="1472">
        <f>+HLOOKUP(O$48,'Venture Summary - Mthly'!$E$451:$M$479,$A69,FALSE)</f>
        <v>-5736147.0869287392</v>
      </c>
    </row>
    <row r="70" spans="1:15" x14ac:dyDescent="0.3">
      <c r="B70" s="1477" t="s">
        <v>290</v>
      </c>
      <c r="C70" s="1477"/>
      <c r="D70" s="1474">
        <f>+SUM(D67:D69,D65)</f>
        <v>56038754.547074467</v>
      </c>
      <c r="E70" s="1475">
        <f>+SUM(E67:E69,E65)</f>
        <v>-19628381.255968399</v>
      </c>
      <c r="F70" s="1475">
        <f t="shared" ref="F70:O70" si="4">+SUM(F67:F69,F65)</f>
        <v>-15816736.323095638</v>
      </c>
      <c r="G70" s="1475">
        <f t="shared" si="4"/>
        <v>322076.59751725133</v>
      </c>
      <c r="H70" s="1475">
        <f t="shared" si="4"/>
        <v>10401364.043605438</v>
      </c>
      <c r="I70" s="1475">
        <f t="shared" si="4"/>
        <v>2695673.6500551687</v>
      </c>
      <c r="J70" s="1475">
        <f t="shared" si="4"/>
        <v>0</v>
      </c>
      <c r="K70" s="1475">
        <f t="shared" si="4"/>
        <v>2855869.7022979329</v>
      </c>
      <c r="L70" s="1475">
        <f t="shared" si="4"/>
        <v>3050714.9759081993</v>
      </c>
      <c r="M70" s="1475">
        <f t="shared" si="4"/>
        <v>0</v>
      </c>
      <c r="N70" s="1475">
        <f t="shared" si="4"/>
        <v>3272093.9867864465</v>
      </c>
      <c r="O70" s="1475">
        <f t="shared" si="4"/>
        <v>68886079.169968069</v>
      </c>
    </row>
    <row r="71" spans="1:15" x14ac:dyDescent="0.3">
      <c r="B71" s="1480" t="s">
        <v>291</v>
      </c>
      <c r="D71" s="1481">
        <f>+D70-'Venture Summary - Mthly'!C477</f>
        <v>0</v>
      </c>
      <c r="E71" s="1482">
        <f>+E70-'Venture Summary - Mthly'!E477</f>
        <v>0</v>
      </c>
      <c r="F71" s="1482">
        <f>+F70-'Venture Summary - Mthly'!F477</f>
        <v>0</v>
      </c>
      <c r="G71" s="1482">
        <f>+G70-'Venture Summary - Mthly'!G477</f>
        <v>0</v>
      </c>
      <c r="H71" s="1482">
        <f>+H70-'Venture Summary - Mthly'!H477</f>
        <v>0</v>
      </c>
      <c r="I71" s="1482">
        <f>+I70-'Venture Summary - Mthly'!I477</f>
        <v>0</v>
      </c>
      <c r="J71" s="1482"/>
      <c r="K71" s="1482">
        <f>+K70-'Venture Summary - Mthly'!J477</f>
        <v>0</v>
      </c>
      <c r="L71" s="1482">
        <f>+L70-'Venture Summary - Mthly'!K477</f>
        <v>0</v>
      </c>
      <c r="M71" s="1482"/>
      <c r="N71" s="1482">
        <f>+N70-'Venture Summary - Mthly'!L477</f>
        <v>0</v>
      </c>
      <c r="O71" s="1482">
        <f>+O70-'Venture Summary - Mthly'!M477</f>
        <v>0</v>
      </c>
    </row>
    <row r="72" spans="1:15" x14ac:dyDescent="0.3">
      <c r="D72" s="1483"/>
      <c r="E72" s="1482"/>
      <c r="F72" s="1482"/>
      <c r="G72" s="1482"/>
      <c r="H72" s="1482"/>
      <c r="I72" s="1482"/>
      <c r="J72" s="1482"/>
      <c r="K72" s="1482"/>
      <c r="L72" s="1482"/>
      <c r="M72" s="1482"/>
      <c r="N72" s="1482"/>
      <c r="O72" s="1482"/>
    </row>
  </sheetData>
  <conditionalFormatting sqref="O15:O18">
    <cfRule type="dataBar" priority="1">
      <dataBar>
        <cfvo type="min"/>
        <cfvo type="max"/>
        <color rgb="FFFFB628"/>
      </dataBar>
      <extLst>
        <ext xmlns:x14="http://schemas.microsoft.com/office/spreadsheetml/2009/9/main" uri="{B025F937-C7B1-47D3-B67F-A62EFF666E3E}">
          <x14:id>{3C4B4B58-025B-4A56-B4CE-F07822AF3298}</x14:id>
        </ext>
      </extLst>
    </cfRule>
  </conditionalFormatting>
  <pageMargins left="0.25" right="0.25" top="0.75" bottom="0.75" header="0.3" footer="0.3"/>
  <pageSetup scale="58" orientation="portrait" r:id="rId1"/>
  <extLst>
    <ext xmlns:x14="http://schemas.microsoft.com/office/spreadsheetml/2009/9/main" uri="{78C0D931-6437-407d-A8EE-F0AAD7539E65}">
      <x14:conditionalFormattings>
        <x14:conditionalFormatting xmlns:xm="http://schemas.microsoft.com/office/excel/2006/main">
          <x14:cfRule type="dataBar" id="{3C4B4B58-025B-4A56-B4CE-F07822AF3298}">
            <x14:dataBar minLength="0" maxLength="100" border="1" negativeBarBorderColorSameAsPositive="0">
              <x14:cfvo type="autoMin"/>
              <x14:cfvo type="autoMax"/>
              <x14:borderColor theme="2" tint="-0.749992370372631"/>
              <x14:negativeFillColor rgb="FFFF0000"/>
              <x14:negativeBorderColor rgb="FFFF0000"/>
              <x14:axisColor rgb="FF000000"/>
            </x14:dataBar>
          </x14:cfRule>
          <xm:sqref>O15:O18</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8BC6FF-923B-49C2-A867-B3AB3B286D33}">
  <sheetPr codeName="Sheet27">
    <tabColor rgb="FF00B0F0"/>
  </sheetPr>
  <dimension ref="A1:FJ431"/>
  <sheetViews>
    <sheetView showGridLines="0" zoomScale="90" zoomScaleNormal="90" workbookViewId="0">
      <pane xSplit="4" ySplit="8" topLeftCell="E19" activePane="bottomRight" state="frozen"/>
      <selection pane="topRight"/>
      <selection pane="bottomLeft"/>
      <selection pane="bottomRight" activeCell="G39" sqref="G39"/>
    </sheetView>
  </sheetViews>
  <sheetFormatPr defaultColWidth="0" defaultRowHeight="12.75" customHeight="1" zeroHeight="1" x14ac:dyDescent="0.3"/>
  <cols>
    <col min="1" max="1" width="7.33203125" style="772" customWidth="1"/>
    <col min="2" max="2" width="42.6640625" style="773" customWidth="1"/>
    <col min="3" max="3" width="40.6640625" style="773" customWidth="1"/>
    <col min="4" max="4" width="4.6640625" style="773" customWidth="1"/>
    <col min="5" max="138" width="12.6640625" style="773" customWidth="1"/>
    <col min="139" max="139" width="0" style="773" hidden="1" customWidth="1"/>
    <col min="140" max="16384" width="9.33203125" style="773" hidden="1"/>
  </cols>
  <sheetData>
    <row r="1" spans="1:138" s="770" customFormat="1" ht="12.75" customHeight="1" x14ac:dyDescent="0.3">
      <c r="B1" s="771" t="s">
        <v>292</v>
      </c>
    </row>
    <row r="2" spans="1:138" s="770" customFormat="1" ht="12.75" customHeight="1" x14ac:dyDescent="0.3">
      <c r="B2" s="771" t="s">
        <v>293</v>
      </c>
    </row>
    <row r="3" spans="1:138" s="770" customFormat="1" ht="12.75" customHeight="1" x14ac:dyDescent="0.3">
      <c r="B3" s="771"/>
    </row>
    <row r="4" spans="1:138" ht="12.75" customHeight="1" x14ac:dyDescent="0.3">
      <c r="C4" s="773" t="s">
        <v>294</v>
      </c>
      <c r="D4" s="773">
        <f>IF(DevBdgt!E7=DevBdgt!F7,1,0)</f>
        <v>0</v>
      </c>
    </row>
    <row r="5" spans="1:138" ht="12.75" customHeight="1" x14ac:dyDescent="0.3">
      <c r="B5" s="773" t="s">
        <v>1</v>
      </c>
      <c r="E5" s="774">
        <f>DevBdgt!E7</f>
        <v>46631</v>
      </c>
      <c r="F5" s="774">
        <f>EOMONTH(E5,1)</f>
        <v>46691</v>
      </c>
      <c r="G5" s="774">
        <f t="shared" ref="G5:BR5" si="0">EOMONTH(F5,1)</f>
        <v>46721</v>
      </c>
      <c r="H5" s="774">
        <f t="shared" si="0"/>
        <v>46752</v>
      </c>
      <c r="I5" s="774">
        <f t="shared" si="0"/>
        <v>46783</v>
      </c>
      <c r="J5" s="774">
        <f t="shared" si="0"/>
        <v>46812</v>
      </c>
      <c r="K5" s="774">
        <f t="shared" si="0"/>
        <v>46843</v>
      </c>
      <c r="L5" s="774">
        <f t="shared" si="0"/>
        <v>46873</v>
      </c>
      <c r="M5" s="774">
        <f t="shared" si="0"/>
        <v>46904</v>
      </c>
      <c r="N5" s="774">
        <f t="shared" si="0"/>
        <v>46934</v>
      </c>
      <c r="O5" s="774">
        <f t="shared" si="0"/>
        <v>46965</v>
      </c>
      <c r="P5" s="774">
        <f t="shared" si="0"/>
        <v>46996</v>
      </c>
      <c r="Q5" s="774">
        <f t="shared" si="0"/>
        <v>47026</v>
      </c>
      <c r="R5" s="774">
        <f t="shared" si="0"/>
        <v>47057</v>
      </c>
      <c r="S5" s="774">
        <f t="shared" si="0"/>
        <v>47087</v>
      </c>
      <c r="T5" s="774">
        <f t="shared" si="0"/>
        <v>47118</v>
      </c>
      <c r="U5" s="774">
        <f t="shared" si="0"/>
        <v>47149</v>
      </c>
      <c r="V5" s="774">
        <f t="shared" si="0"/>
        <v>47177</v>
      </c>
      <c r="W5" s="774">
        <f t="shared" si="0"/>
        <v>47208</v>
      </c>
      <c r="X5" s="774">
        <f t="shared" si="0"/>
        <v>47238</v>
      </c>
      <c r="Y5" s="774">
        <f t="shared" si="0"/>
        <v>47269</v>
      </c>
      <c r="Z5" s="774">
        <f t="shared" si="0"/>
        <v>47299</v>
      </c>
      <c r="AA5" s="774">
        <f t="shared" si="0"/>
        <v>47330</v>
      </c>
      <c r="AB5" s="774">
        <f t="shared" si="0"/>
        <v>47361</v>
      </c>
      <c r="AC5" s="774">
        <f t="shared" si="0"/>
        <v>47391</v>
      </c>
      <c r="AD5" s="774">
        <f t="shared" si="0"/>
        <v>47422</v>
      </c>
      <c r="AE5" s="774">
        <f t="shared" si="0"/>
        <v>47452</v>
      </c>
      <c r="AF5" s="774">
        <f t="shared" si="0"/>
        <v>47483</v>
      </c>
      <c r="AG5" s="774">
        <f t="shared" si="0"/>
        <v>47514</v>
      </c>
      <c r="AH5" s="774">
        <f t="shared" si="0"/>
        <v>47542</v>
      </c>
      <c r="AI5" s="774">
        <f t="shared" si="0"/>
        <v>47573</v>
      </c>
      <c r="AJ5" s="774">
        <f t="shared" si="0"/>
        <v>47603</v>
      </c>
      <c r="AK5" s="774">
        <f t="shared" si="0"/>
        <v>47634</v>
      </c>
      <c r="AL5" s="774">
        <f t="shared" si="0"/>
        <v>47664</v>
      </c>
      <c r="AM5" s="774">
        <f t="shared" si="0"/>
        <v>47695</v>
      </c>
      <c r="AN5" s="774">
        <f t="shared" si="0"/>
        <v>47726</v>
      </c>
      <c r="AO5" s="774">
        <f t="shared" si="0"/>
        <v>47756</v>
      </c>
      <c r="AP5" s="774">
        <f t="shared" si="0"/>
        <v>47787</v>
      </c>
      <c r="AQ5" s="774">
        <f t="shared" si="0"/>
        <v>47817</v>
      </c>
      <c r="AR5" s="774">
        <f t="shared" si="0"/>
        <v>47848</v>
      </c>
      <c r="AS5" s="774">
        <f t="shared" si="0"/>
        <v>47879</v>
      </c>
      <c r="AT5" s="774">
        <f t="shared" si="0"/>
        <v>47907</v>
      </c>
      <c r="AU5" s="774">
        <f t="shared" si="0"/>
        <v>47938</v>
      </c>
      <c r="AV5" s="774">
        <f t="shared" si="0"/>
        <v>47968</v>
      </c>
      <c r="AW5" s="774">
        <f t="shared" si="0"/>
        <v>47999</v>
      </c>
      <c r="AX5" s="774">
        <f t="shared" si="0"/>
        <v>48029</v>
      </c>
      <c r="AY5" s="774">
        <f t="shared" si="0"/>
        <v>48060</v>
      </c>
      <c r="AZ5" s="774">
        <f t="shared" si="0"/>
        <v>48091</v>
      </c>
      <c r="BA5" s="774">
        <f t="shared" si="0"/>
        <v>48121</v>
      </c>
      <c r="BB5" s="774">
        <f t="shared" si="0"/>
        <v>48152</v>
      </c>
      <c r="BC5" s="774">
        <f t="shared" si="0"/>
        <v>48182</v>
      </c>
      <c r="BD5" s="774">
        <f t="shared" si="0"/>
        <v>48213</v>
      </c>
      <c r="BE5" s="774">
        <f t="shared" si="0"/>
        <v>48244</v>
      </c>
      <c r="BF5" s="774">
        <f t="shared" si="0"/>
        <v>48273</v>
      </c>
      <c r="BG5" s="774">
        <f t="shared" si="0"/>
        <v>48304</v>
      </c>
      <c r="BH5" s="774">
        <f t="shared" si="0"/>
        <v>48334</v>
      </c>
      <c r="BI5" s="774">
        <f t="shared" si="0"/>
        <v>48365</v>
      </c>
      <c r="BJ5" s="774">
        <f t="shared" si="0"/>
        <v>48395</v>
      </c>
      <c r="BK5" s="774">
        <f t="shared" si="0"/>
        <v>48426</v>
      </c>
      <c r="BL5" s="774">
        <f t="shared" si="0"/>
        <v>48457</v>
      </c>
      <c r="BM5" s="774">
        <f t="shared" si="0"/>
        <v>48487</v>
      </c>
      <c r="BN5" s="774">
        <f t="shared" si="0"/>
        <v>48518</v>
      </c>
      <c r="BO5" s="774">
        <f t="shared" si="0"/>
        <v>48548</v>
      </c>
      <c r="BP5" s="774">
        <f t="shared" si="0"/>
        <v>48579</v>
      </c>
      <c r="BQ5" s="774">
        <f t="shared" si="0"/>
        <v>48610</v>
      </c>
      <c r="BR5" s="774">
        <f t="shared" si="0"/>
        <v>48638</v>
      </c>
      <c r="BS5" s="774">
        <f t="shared" ref="BS5:ED5" si="1">EOMONTH(BR5,1)</f>
        <v>48669</v>
      </c>
      <c r="BT5" s="774">
        <f t="shared" si="1"/>
        <v>48699</v>
      </c>
      <c r="BU5" s="774">
        <f t="shared" si="1"/>
        <v>48730</v>
      </c>
      <c r="BV5" s="774">
        <f t="shared" si="1"/>
        <v>48760</v>
      </c>
      <c r="BW5" s="774">
        <f t="shared" si="1"/>
        <v>48791</v>
      </c>
      <c r="BX5" s="774">
        <f t="shared" si="1"/>
        <v>48822</v>
      </c>
      <c r="BY5" s="774">
        <f t="shared" si="1"/>
        <v>48852</v>
      </c>
      <c r="BZ5" s="774">
        <f t="shared" si="1"/>
        <v>48883</v>
      </c>
      <c r="CA5" s="774">
        <f t="shared" si="1"/>
        <v>48913</v>
      </c>
      <c r="CB5" s="774">
        <f t="shared" si="1"/>
        <v>48944</v>
      </c>
      <c r="CC5" s="774">
        <f t="shared" si="1"/>
        <v>48975</v>
      </c>
      <c r="CD5" s="774">
        <f t="shared" si="1"/>
        <v>49003</v>
      </c>
      <c r="CE5" s="774">
        <f t="shared" si="1"/>
        <v>49034</v>
      </c>
      <c r="CF5" s="774">
        <f t="shared" si="1"/>
        <v>49064</v>
      </c>
      <c r="CG5" s="774">
        <f t="shared" si="1"/>
        <v>49095</v>
      </c>
      <c r="CH5" s="774">
        <f t="shared" si="1"/>
        <v>49125</v>
      </c>
      <c r="CI5" s="774">
        <f t="shared" si="1"/>
        <v>49156</v>
      </c>
      <c r="CJ5" s="774">
        <f t="shared" si="1"/>
        <v>49187</v>
      </c>
      <c r="CK5" s="774">
        <f t="shared" si="1"/>
        <v>49217</v>
      </c>
      <c r="CL5" s="774">
        <f t="shared" si="1"/>
        <v>49248</v>
      </c>
      <c r="CM5" s="774">
        <f t="shared" si="1"/>
        <v>49278</v>
      </c>
      <c r="CN5" s="774">
        <f t="shared" si="1"/>
        <v>49309</v>
      </c>
      <c r="CO5" s="774">
        <f t="shared" si="1"/>
        <v>49340</v>
      </c>
      <c r="CP5" s="774">
        <f t="shared" si="1"/>
        <v>49368</v>
      </c>
      <c r="CQ5" s="774">
        <f t="shared" si="1"/>
        <v>49399</v>
      </c>
      <c r="CR5" s="774">
        <f t="shared" si="1"/>
        <v>49429</v>
      </c>
      <c r="CS5" s="774">
        <f t="shared" si="1"/>
        <v>49460</v>
      </c>
      <c r="CT5" s="774">
        <f t="shared" si="1"/>
        <v>49490</v>
      </c>
      <c r="CU5" s="774">
        <f t="shared" si="1"/>
        <v>49521</v>
      </c>
      <c r="CV5" s="774">
        <f t="shared" si="1"/>
        <v>49552</v>
      </c>
      <c r="CW5" s="774">
        <f t="shared" si="1"/>
        <v>49582</v>
      </c>
      <c r="CX5" s="774">
        <f t="shared" si="1"/>
        <v>49613</v>
      </c>
      <c r="CY5" s="774">
        <f t="shared" si="1"/>
        <v>49643</v>
      </c>
      <c r="CZ5" s="774">
        <f t="shared" si="1"/>
        <v>49674</v>
      </c>
      <c r="DA5" s="774">
        <f t="shared" si="1"/>
        <v>49705</v>
      </c>
      <c r="DB5" s="774">
        <f t="shared" si="1"/>
        <v>49734</v>
      </c>
      <c r="DC5" s="774">
        <f t="shared" si="1"/>
        <v>49765</v>
      </c>
      <c r="DD5" s="774">
        <f t="shared" si="1"/>
        <v>49795</v>
      </c>
      <c r="DE5" s="774">
        <f t="shared" si="1"/>
        <v>49826</v>
      </c>
      <c r="DF5" s="774">
        <f t="shared" si="1"/>
        <v>49856</v>
      </c>
      <c r="DG5" s="774">
        <f t="shared" si="1"/>
        <v>49887</v>
      </c>
      <c r="DH5" s="774">
        <f t="shared" si="1"/>
        <v>49918</v>
      </c>
      <c r="DI5" s="774">
        <f t="shared" si="1"/>
        <v>49948</v>
      </c>
      <c r="DJ5" s="774">
        <f t="shared" si="1"/>
        <v>49979</v>
      </c>
      <c r="DK5" s="774">
        <f t="shared" si="1"/>
        <v>50009</v>
      </c>
      <c r="DL5" s="774">
        <f t="shared" si="1"/>
        <v>50040</v>
      </c>
      <c r="DM5" s="774">
        <f t="shared" si="1"/>
        <v>50071</v>
      </c>
      <c r="DN5" s="774">
        <f t="shared" si="1"/>
        <v>50099</v>
      </c>
      <c r="DO5" s="774">
        <f t="shared" si="1"/>
        <v>50130</v>
      </c>
      <c r="DP5" s="774">
        <f t="shared" si="1"/>
        <v>50160</v>
      </c>
      <c r="DQ5" s="774">
        <f t="shared" si="1"/>
        <v>50191</v>
      </c>
      <c r="DR5" s="774">
        <f t="shared" si="1"/>
        <v>50221</v>
      </c>
      <c r="DS5" s="774">
        <f t="shared" si="1"/>
        <v>50252</v>
      </c>
      <c r="DT5" s="774">
        <f t="shared" si="1"/>
        <v>50283</v>
      </c>
      <c r="DU5" s="774">
        <f t="shared" si="1"/>
        <v>50313</v>
      </c>
      <c r="DV5" s="774">
        <f t="shared" si="1"/>
        <v>50344</v>
      </c>
      <c r="DW5" s="774">
        <f t="shared" si="1"/>
        <v>50374</v>
      </c>
      <c r="DX5" s="774">
        <f t="shared" si="1"/>
        <v>50405</v>
      </c>
      <c r="DY5" s="774">
        <f t="shared" si="1"/>
        <v>50436</v>
      </c>
      <c r="DZ5" s="774">
        <f t="shared" si="1"/>
        <v>50464</v>
      </c>
      <c r="EA5" s="774">
        <f t="shared" si="1"/>
        <v>50495</v>
      </c>
      <c r="EB5" s="774">
        <f t="shared" si="1"/>
        <v>50525</v>
      </c>
      <c r="EC5" s="774">
        <f t="shared" si="1"/>
        <v>50556</v>
      </c>
      <c r="ED5" s="774">
        <f t="shared" si="1"/>
        <v>50586</v>
      </c>
      <c r="EE5" s="774">
        <f>EOMONTH(ED5,1)</f>
        <v>50617</v>
      </c>
      <c r="EF5" s="774">
        <f>EOMONTH(EE5,1)</f>
        <v>50648</v>
      </c>
      <c r="EG5" s="774">
        <f>EOMONTH(EF5,1)</f>
        <v>50678</v>
      </c>
    </row>
    <row r="6" spans="1:138" ht="12.75" customHeight="1" x14ac:dyDescent="0.3">
      <c r="B6" s="773" t="s">
        <v>2</v>
      </c>
      <c r="E6" s="773">
        <f>IF(E5='Venture Summary - Mthly'!$C$142,0,'Venture Model Outputs'!D6+1)</f>
        <v>1</v>
      </c>
      <c r="F6" s="773">
        <f>IF(F5='Venture Summary - Mthly'!$C$142,0,'Venture Model Outputs'!E6+1)</f>
        <v>2</v>
      </c>
      <c r="G6" s="773">
        <f>IF(G5='Venture Summary - Mthly'!$C$142,0,'Venture Model Outputs'!F6+1)</f>
        <v>3</v>
      </c>
      <c r="H6" s="773">
        <f>IF(H5='Venture Summary - Mthly'!$C$142,0,'Venture Model Outputs'!G6+1)</f>
        <v>4</v>
      </c>
      <c r="I6" s="773">
        <f>IF(I5='Venture Summary - Mthly'!$C$142,0,'Venture Model Outputs'!H6+1)</f>
        <v>5</v>
      </c>
      <c r="J6" s="773">
        <f>IF(J5='Venture Summary - Mthly'!$C$142,0,'Venture Model Outputs'!I6+1)</f>
        <v>6</v>
      </c>
      <c r="K6" s="773">
        <f>IF(K5='Venture Summary - Mthly'!$C$142,0,'Venture Model Outputs'!J6+1)</f>
        <v>7</v>
      </c>
      <c r="L6" s="773">
        <f>IF(L5='Venture Summary - Mthly'!$C$142,0,'Venture Model Outputs'!K6+1)</f>
        <v>8</v>
      </c>
      <c r="M6" s="773">
        <f>IF(M5='Venture Summary - Mthly'!$C$142,0,'Venture Model Outputs'!L6+1)</f>
        <v>9</v>
      </c>
      <c r="N6" s="773">
        <f>IF(N5='Venture Summary - Mthly'!$C$142,0,'Venture Model Outputs'!M6+1)</f>
        <v>10</v>
      </c>
      <c r="O6" s="773">
        <f>IF(O5='Venture Summary - Mthly'!$C$142,0,'Venture Model Outputs'!N6+1)</f>
        <v>11</v>
      </c>
      <c r="P6" s="773">
        <f>IF(P5='Venture Summary - Mthly'!$C$142,0,'Venture Model Outputs'!O6+1)</f>
        <v>12</v>
      </c>
      <c r="Q6" s="773">
        <f>IF(Q5='Venture Summary - Mthly'!$C$142,0,'Venture Model Outputs'!P6+1)</f>
        <v>13</v>
      </c>
      <c r="R6" s="773">
        <f>IF(R5='Venture Summary - Mthly'!$C$142,0,'Venture Model Outputs'!Q6+1)</f>
        <v>14</v>
      </c>
      <c r="S6" s="773">
        <f>IF(S5='Venture Summary - Mthly'!$C$142,0,'Venture Model Outputs'!R6+1)</f>
        <v>15</v>
      </c>
      <c r="T6" s="773">
        <f>IF(T5='Venture Summary - Mthly'!$C$142,0,'Venture Model Outputs'!S6+1)</f>
        <v>16</v>
      </c>
      <c r="U6" s="773">
        <f>IF(U5='Venture Summary - Mthly'!$C$142,0,'Venture Model Outputs'!T6+1)</f>
        <v>17</v>
      </c>
      <c r="V6" s="773">
        <f>IF(V5='Venture Summary - Mthly'!$C$142,0,'Venture Model Outputs'!U6+1)</f>
        <v>18</v>
      </c>
      <c r="W6" s="773">
        <f>IF(W5='Venture Summary - Mthly'!$C$142,0,'Venture Model Outputs'!V6+1)</f>
        <v>19</v>
      </c>
      <c r="X6" s="773">
        <f>IF(X5='Venture Summary - Mthly'!$C$142,0,'Venture Model Outputs'!W6+1)</f>
        <v>20</v>
      </c>
      <c r="Y6" s="773">
        <f>IF(Y5='Venture Summary - Mthly'!$C$142,0,'Venture Model Outputs'!X6+1)</f>
        <v>21</v>
      </c>
      <c r="Z6" s="773">
        <f>IF(Z5='Venture Summary - Mthly'!$C$142,0,'Venture Model Outputs'!Y6+1)</f>
        <v>22</v>
      </c>
      <c r="AA6" s="773">
        <f>IF(AA5='Venture Summary - Mthly'!$C$142,0,'Venture Model Outputs'!Z6+1)</f>
        <v>23</v>
      </c>
      <c r="AB6" s="773">
        <f>IF(AB5='Venture Summary - Mthly'!$C$142,0,'Venture Model Outputs'!AA6+1)</f>
        <v>24</v>
      </c>
      <c r="AC6" s="773">
        <f>IF(AC5='Venture Summary - Mthly'!$C$142,0,'Venture Model Outputs'!AB6+1)</f>
        <v>25</v>
      </c>
      <c r="AD6" s="773">
        <f>IF(AD5='Venture Summary - Mthly'!$C$142,0,'Venture Model Outputs'!AC6+1)</f>
        <v>26</v>
      </c>
      <c r="AE6" s="773">
        <f>IF(AE5='Venture Summary - Mthly'!$C$142,0,'Venture Model Outputs'!AD6+1)</f>
        <v>27</v>
      </c>
      <c r="AF6" s="773">
        <f>IF(AF5='Venture Summary - Mthly'!$C$142,0,'Venture Model Outputs'!AE6+1)</f>
        <v>28</v>
      </c>
      <c r="AG6" s="773">
        <f>IF(AG5='Venture Summary - Mthly'!$C$142,0,'Venture Model Outputs'!AF6+1)</f>
        <v>29</v>
      </c>
      <c r="AH6" s="773">
        <f>IF(AH5='Venture Summary - Mthly'!$C$142,0,'Venture Model Outputs'!AG6+1)</f>
        <v>30</v>
      </c>
      <c r="AI6" s="773">
        <f>IF(AI5='Venture Summary - Mthly'!$C$142,0,'Venture Model Outputs'!AH6+1)</f>
        <v>31</v>
      </c>
      <c r="AJ6" s="773">
        <f>IF(AJ5='Venture Summary - Mthly'!$C$142,0,'Venture Model Outputs'!AI6+1)</f>
        <v>32</v>
      </c>
      <c r="AK6" s="773">
        <f>IF(AK5='Venture Summary - Mthly'!$C$142,0,'Venture Model Outputs'!AJ6+1)</f>
        <v>33</v>
      </c>
      <c r="AL6" s="773">
        <f>IF(AL5='Venture Summary - Mthly'!$C$142,0,'Venture Model Outputs'!AK6+1)</f>
        <v>34</v>
      </c>
      <c r="AM6" s="773">
        <f>IF(AM5='Venture Summary - Mthly'!$C$142,0,'Venture Model Outputs'!AL6+1)</f>
        <v>35</v>
      </c>
      <c r="AN6" s="773">
        <f>IF(AN5='Venture Summary - Mthly'!$C$142,0,'Venture Model Outputs'!AM6+1)</f>
        <v>36</v>
      </c>
      <c r="AO6" s="773">
        <f>IF(AO5='Venture Summary - Mthly'!$C$142,0,'Venture Model Outputs'!AN6+1)</f>
        <v>37</v>
      </c>
      <c r="AP6" s="773">
        <f>IF(AP5='Venture Summary - Mthly'!$C$142,0,'Venture Model Outputs'!AO6+1)</f>
        <v>38</v>
      </c>
      <c r="AQ6" s="773">
        <f>IF(AQ5='Venture Summary - Mthly'!$C$142,0,'Venture Model Outputs'!AP6+1)</f>
        <v>39</v>
      </c>
      <c r="AR6" s="773">
        <f>IF(AR5='Venture Summary - Mthly'!$C$142,0,'Venture Model Outputs'!AQ6+1)</f>
        <v>40</v>
      </c>
      <c r="AS6" s="773">
        <f>IF(AS5='Venture Summary - Mthly'!$C$142,0,'Venture Model Outputs'!AR6+1)</f>
        <v>41</v>
      </c>
      <c r="AT6" s="773">
        <f>IF(AT5='Venture Summary - Mthly'!$C$142,0,'Venture Model Outputs'!AS6+1)</f>
        <v>42</v>
      </c>
      <c r="AU6" s="773">
        <f>IF(AU5='Venture Summary - Mthly'!$C$142,0,'Venture Model Outputs'!AT6+1)</f>
        <v>43</v>
      </c>
      <c r="AV6" s="773">
        <f>IF(AV5='Venture Summary - Mthly'!$C$142,0,'Venture Model Outputs'!AU6+1)</f>
        <v>44</v>
      </c>
      <c r="AW6" s="773">
        <f>IF(AW5='Venture Summary - Mthly'!$C$142,0,'Venture Model Outputs'!AV6+1)</f>
        <v>45</v>
      </c>
      <c r="AX6" s="773">
        <f>IF(AX5='Venture Summary - Mthly'!$C$142,0,'Venture Model Outputs'!AW6+1)</f>
        <v>46</v>
      </c>
      <c r="AY6" s="773">
        <f>IF(AY5='Venture Summary - Mthly'!$C$142,0,'Venture Model Outputs'!AX6+1)</f>
        <v>47</v>
      </c>
      <c r="AZ6" s="773">
        <f>IF(AZ5='Venture Summary - Mthly'!$C$142,0,'Venture Model Outputs'!AY6+1)</f>
        <v>48</v>
      </c>
      <c r="BA6" s="773">
        <f>IF(BA5='Venture Summary - Mthly'!$C$142,0,'Venture Model Outputs'!AZ6+1)</f>
        <v>49</v>
      </c>
      <c r="BB6" s="773">
        <f>IF(BB5='Venture Summary - Mthly'!$C$142,0,'Venture Model Outputs'!BA6+1)</f>
        <v>50</v>
      </c>
      <c r="BC6" s="773">
        <f>IF(BC5='Venture Summary - Mthly'!$C$142,0,'Venture Model Outputs'!BB6+1)</f>
        <v>51</v>
      </c>
      <c r="BD6" s="773">
        <f>IF(BD5='Venture Summary - Mthly'!$C$142,0,'Venture Model Outputs'!BC6+1)</f>
        <v>52</v>
      </c>
      <c r="BE6" s="773">
        <f>IF(BE5='Venture Summary - Mthly'!$C$142,0,'Venture Model Outputs'!BD6+1)</f>
        <v>53</v>
      </c>
      <c r="BF6" s="773">
        <f>IF(BF5='Venture Summary - Mthly'!$C$142,0,'Venture Model Outputs'!BE6+1)</f>
        <v>54</v>
      </c>
      <c r="BG6" s="773">
        <f>IF(BG5='Venture Summary - Mthly'!$C$142,0,'Venture Model Outputs'!BF6+1)</f>
        <v>55</v>
      </c>
      <c r="BH6" s="773">
        <f>IF(BH5='Venture Summary - Mthly'!$C$142,0,'Venture Model Outputs'!BG6+1)</f>
        <v>56</v>
      </c>
      <c r="BI6" s="773">
        <f>IF(BI5='Venture Summary - Mthly'!$C$142,0,'Venture Model Outputs'!BH6+1)</f>
        <v>57</v>
      </c>
      <c r="BJ6" s="773">
        <f>IF(BJ5='Venture Summary - Mthly'!$C$142,0,'Venture Model Outputs'!BI6+1)</f>
        <v>58</v>
      </c>
      <c r="BK6" s="773">
        <f>IF(BK5='Venture Summary - Mthly'!$C$142,0,'Venture Model Outputs'!BJ6+1)</f>
        <v>59</v>
      </c>
      <c r="BL6" s="773">
        <f>IF(BL5='Venture Summary - Mthly'!$C$142,0,'Venture Model Outputs'!BK6+1)</f>
        <v>60</v>
      </c>
      <c r="BM6" s="773">
        <f>IF(BM5='Venture Summary - Mthly'!$C$142,0,'Venture Model Outputs'!BL6+1)</f>
        <v>61</v>
      </c>
      <c r="BN6" s="773">
        <f>IF(BN5='Venture Summary - Mthly'!$C$142,0,'Venture Model Outputs'!BM6+1)</f>
        <v>62</v>
      </c>
      <c r="BO6" s="773">
        <f>IF(BO5='Venture Summary - Mthly'!$C$142,0,'Venture Model Outputs'!BN6+1)</f>
        <v>63</v>
      </c>
      <c r="BP6" s="773">
        <f>IF(BP5='Venture Summary - Mthly'!$C$142,0,'Venture Model Outputs'!BO6+1)</f>
        <v>64</v>
      </c>
      <c r="BQ6" s="773">
        <f>IF(BQ5='Venture Summary - Mthly'!$C$142,0,'Venture Model Outputs'!BP6+1)</f>
        <v>65</v>
      </c>
      <c r="BR6" s="773">
        <f>IF(BR5='Venture Summary - Mthly'!$C$142,0,'Venture Model Outputs'!BQ6+1)</f>
        <v>66</v>
      </c>
      <c r="BS6" s="773">
        <f>IF(BS5='Venture Summary - Mthly'!$C$142,0,'Venture Model Outputs'!BR6+1)</f>
        <v>67</v>
      </c>
      <c r="BT6" s="773">
        <f>IF(BT5='Venture Summary - Mthly'!$C$142,0,'Venture Model Outputs'!BS6+1)</f>
        <v>68</v>
      </c>
      <c r="BU6" s="773">
        <f>IF(BU5='Venture Summary - Mthly'!$C$142,0,'Venture Model Outputs'!BT6+1)</f>
        <v>69</v>
      </c>
      <c r="BV6" s="773">
        <f>IF(BV5='Venture Summary - Mthly'!$C$142,0,'Venture Model Outputs'!BU6+1)</f>
        <v>70</v>
      </c>
      <c r="BW6" s="773">
        <f>IF(BW5='Venture Summary - Mthly'!$C$142,0,'Venture Model Outputs'!BV6+1)</f>
        <v>71</v>
      </c>
      <c r="BX6" s="773">
        <f>IF(BX5='Venture Summary - Mthly'!$C$142,0,'Venture Model Outputs'!BW6+1)</f>
        <v>72</v>
      </c>
      <c r="BY6" s="773">
        <f>IF(BY5='Venture Summary - Mthly'!$C$142,0,'Venture Model Outputs'!BX6+1)</f>
        <v>73</v>
      </c>
      <c r="BZ6" s="773">
        <f>IF(BZ5='Venture Summary - Mthly'!$C$142,0,'Venture Model Outputs'!BY6+1)</f>
        <v>74</v>
      </c>
      <c r="CA6" s="773">
        <f>IF(CA5='Venture Summary - Mthly'!$C$142,0,'Venture Model Outputs'!BZ6+1)</f>
        <v>75</v>
      </c>
      <c r="CB6" s="773">
        <f>IF(CB5='Venture Summary - Mthly'!$C$142,0,'Venture Model Outputs'!CA6+1)</f>
        <v>76</v>
      </c>
      <c r="CC6" s="773">
        <f>IF(CC5='Venture Summary - Mthly'!$C$142,0,'Venture Model Outputs'!CB6+1)</f>
        <v>77</v>
      </c>
      <c r="CD6" s="773">
        <f>IF(CD5='Venture Summary - Mthly'!$C$142,0,'Venture Model Outputs'!CC6+1)</f>
        <v>78</v>
      </c>
      <c r="CE6" s="773">
        <f>IF(CE5='Venture Summary - Mthly'!$C$142,0,'Venture Model Outputs'!CD6+1)</f>
        <v>79</v>
      </c>
      <c r="CF6" s="773">
        <f>IF(CF5='Venture Summary - Mthly'!$C$142,0,'Venture Model Outputs'!CE6+1)</f>
        <v>80</v>
      </c>
      <c r="CG6" s="773">
        <f>IF(CG5='Venture Summary - Mthly'!$C$142,0,'Venture Model Outputs'!CF6+1)</f>
        <v>81</v>
      </c>
      <c r="CH6" s="773">
        <f>IF(CH5='Venture Summary - Mthly'!$C$142,0,'Venture Model Outputs'!CG6+1)</f>
        <v>82</v>
      </c>
      <c r="CI6" s="773">
        <f>IF(CI5='Venture Summary - Mthly'!$C$142,0,'Venture Model Outputs'!CH6+1)</f>
        <v>83</v>
      </c>
      <c r="CJ6" s="773">
        <f>IF(CJ5='Venture Summary - Mthly'!$C$142,0,'Venture Model Outputs'!CI6+1)</f>
        <v>84</v>
      </c>
      <c r="CK6" s="773">
        <f>IF(CK5='Venture Summary - Mthly'!$C$142,0,'Venture Model Outputs'!CJ6+1)</f>
        <v>85</v>
      </c>
      <c r="CL6" s="773">
        <f>IF(CL5='Venture Summary - Mthly'!$C$142,0,'Venture Model Outputs'!CK6+1)</f>
        <v>86</v>
      </c>
      <c r="CM6" s="773">
        <f>IF(CM5='Venture Summary - Mthly'!$C$142,0,'Venture Model Outputs'!CL6+1)</f>
        <v>87</v>
      </c>
      <c r="CN6" s="773">
        <f>IF(CN5='Venture Summary - Mthly'!$C$142,0,'Venture Model Outputs'!CM6+1)</f>
        <v>88</v>
      </c>
      <c r="CO6" s="773">
        <f>IF(CO5='Venture Summary - Mthly'!$C$142,0,'Venture Model Outputs'!CN6+1)</f>
        <v>89</v>
      </c>
      <c r="CP6" s="773">
        <f>IF(CP5='Venture Summary - Mthly'!$C$142,0,'Venture Model Outputs'!CO6+1)</f>
        <v>90</v>
      </c>
      <c r="CQ6" s="773">
        <f>IF(CQ5='Venture Summary - Mthly'!$C$142,0,'Venture Model Outputs'!CP6+1)</f>
        <v>91</v>
      </c>
      <c r="CR6" s="773">
        <f>IF(CR5='Venture Summary - Mthly'!$C$142,0,'Venture Model Outputs'!CQ6+1)</f>
        <v>92</v>
      </c>
      <c r="CS6" s="773">
        <f>IF(CS5='Venture Summary - Mthly'!$C$142,0,'Venture Model Outputs'!CR6+1)</f>
        <v>93</v>
      </c>
      <c r="CT6" s="773">
        <f>IF(CT5='Venture Summary - Mthly'!$C$142,0,'Venture Model Outputs'!CS6+1)</f>
        <v>94</v>
      </c>
      <c r="CU6" s="773">
        <f>IF(CU5='Venture Summary - Mthly'!$C$142,0,'Venture Model Outputs'!CT6+1)</f>
        <v>95</v>
      </c>
      <c r="CV6" s="773">
        <f>IF(CV5='Venture Summary - Mthly'!$C$142,0,'Venture Model Outputs'!CU6+1)</f>
        <v>96</v>
      </c>
      <c r="CW6" s="773">
        <f>IF(CW5='Venture Summary - Mthly'!$C$142,0,'Venture Model Outputs'!CV6+1)</f>
        <v>97</v>
      </c>
      <c r="CX6" s="773">
        <f>IF(CX5='Venture Summary - Mthly'!$C$142,0,'Venture Model Outputs'!CW6+1)</f>
        <v>98</v>
      </c>
      <c r="CY6" s="773">
        <f>IF(CY5='Venture Summary - Mthly'!$C$142,0,'Venture Model Outputs'!CX6+1)</f>
        <v>99</v>
      </c>
      <c r="CZ6" s="773">
        <f>IF(CZ5='Venture Summary - Mthly'!$C$142,0,'Venture Model Outputs'!CY6+1)</f>
        <v>100</v>
      </c>
      <c r="DA6" s="773">
        <f>IF(DA5='Venture Summary - Mthly'!$C$142,0,'Venture Model Outputs'!CZ6+1)</f>
        <v>101</v>
      </c>
      <c r="DB6" s="773">
        <f>IF(DB5='Venture Summary - Mthly'!$C$142,0,'Venture Model Outputs'!DA6+1)</f>
        <v>102</v>
      </c>
      <c r="DC6" s="773">
        <f>IF(DC5='Venture Summary - Mthly'!$C$142,0,'Venture Model Outputs'!DB6+1)</f>
        <v>103</v>
      </c>
      <c r="DD6" s="773">
        <f>IF(DD5='Venture Summary - Mthly'!$C$142,0,'Venture Model Outputs'!DC6+1)</f>
        <v>104</v>
      </c>
      <c r="DE6" s="773">
        <f>IF(DE5='Venture Summary - Mthly'!$C$142,0,'Venture Model Outputs'!DD6+1)</f>
        <v>105</v>
      </c>
      <c r="DF6" s="773">
        <f>IF(DF5='Venture Summary - Mthly'!$C$142,0,'Venture Model Outputs'!DE6+1)</f>
        <v>106</v>
      </c>
      <c r="DG6" s="773">
        <f>IF(DG5='Venture Summary - Mthly'!$C$142,0,'Venture Model Outputs'!DF6+1)</f>
        <v>107</v>
      </c>
      <c r="DH6" s="773">
        <f>IF(DH5='Venture Summary - Mthly'!$C$142,0,'Venture Model Outputs'!DG6+1)</f>
        <v>108</v>
      </c>
      <c r="DI6" s="773">
        <f>IF(DI5='Venture Summary - Mthly'!$C$142,0,'Venture Model Outputs'!DH6+1)</f>
        <v>109</v>
      </c>
      <c r="DJ6" s="773">
        <f>IF(DJ5='Venture Summary - Mthly'!$C$142,0,'Venture Model Outputs'!DI6+1)</f>
        <v>110</v>
      </c>
      <c r="DK6" s="773">
        <f>IF(DK5='Venture Summary - Mthly'!$C$142,0,'Venture Model Outputs'!DJ6+1)</f>
        <v>111</v>
      </c>
      <c r="DL6" s="773">
        <f>IF(DL5='Venture Summary - Mthly'!$C$142,0,'Venture Model Outputs'!DK6+1)</f>
        <v>112</v>
      </c>
      <c r="DM6" s="773">
        <f>IF(DM5='Venture Summary - Mthly'!$C$142,0,'Venture Model Outputs'!DL6+1)</f>
        <v>113</v>
      </c>
      <c r="DN6" s="773">
        <f>IF(DN5='Venture Summary - Mthly'!$C$142,0,'Venture Model Outputs'!DM6+1)</f>
        <v>114</v>
      </c>
      <c r="DO6" s="773">
        <f>IF(DO5='Venture Summary - Mthly'!$C$142,0,'Venture Model Outputs'!DN6+1)</f>
        <v>115</v>
      </c>
      <c r="DP6" s="773">
        <f>IF(DP5='Venture Summary - Mthly'!$C$142,0,'Venture Model Outputs'!DO6+1)</f>
        <v>116</v>
      </c>
      <c r="DQ6" s="773">
        <f>IF(DQ5='Venture Summary - Mthly'!$C$142,0,'Venture Model Outputs'!DP6+1)</f>
        <v>117</v>
      </c>
      <c r="DR6" s="773">
        <f>IF(DR5='Venture Summary - Mthly'!$C$142,0,'Venture Model Outputs'!DQ6+1)</f>
        <v>118</v>
      </c>
      <c r="DS6" s="773">
        <f>IF(DS5='Venture Summary - Mthly'!$C$142,0,'Venture Model Outputs'!DR6+1)</f>
        <v>119</v>
      </c>
      <c r="DT6" s="773">
        <f>IF(DT5='Venture Summary - Mthly'!$C$142,0,'Venture Model Outputs'!DS6+1)</f>
        <v>120</v>
      </c>
      <c r="DU6" s="773">
        <f>IF(DU5='Venture Summary - Mthly'!$C$142,0,'Venture Model Outputs'!DT6+1)</f>
        <v>121</v>
      </c>
      <c r="DV6" s="773">
        <f>IF(DV5='Venture Summary - Mthly'!$C$142,0,'Venture Model Outputs'!DU6+1)</f>
        <v>122</v>
      </c>
      <c r="DW6" s="773">
        <f>IF(DW5='Venture Summary - Mthly'!$C$142,0,'Venture Model Outputs'!DV6+1)</f>
        <v>123</v>
      </c>
      <c r="DX6" s="773">
        <f>IF(DX5='Venture Summary - Mthly'!$C$142,0,'Venture Model Outputs'!DW6+1)</f>
        <v>124</v>
      </c>
      <c r="DY6" s="773">
        <f>IF(DY5='Venture Summary - Mthly'!$C$142,0,'Venture Model Outputs'!DX6+1)</f>
        <v>125</v>
      </c>
      <c r="DZ6" s="773">
        <f>IF(DZ5='Venture Summary - Mthly'!$C$142,0,'Venture Model Outputs'!DY6+1)</f>
        <v>126</v>
      </c>
      <c r="EA6" s="773">
        <f>IF(EA5='Venture Summary - Mthly'!$C$142,0,'Venture Model Outputs'!DZ6+1)</f>
        <v>127</v>
      </c>
      <c r="EB6" s="773">
        <f>IF(EB5='Venture Summary - Mthly'!$C$142,0,'Venture Model Outputs'!EA6+1)</f>
        <v>128</v>
      </c>
      <c r="EC6" s="773">
        <f>IF(EC5='Venture Summary - Mthly'!$C$142,0,'Venture Model Outputs'!EB6+1)</f>
        <v>129</v>
      </c>
      <c r="ED6" s="773">
        <f>IF(ED5='Venture Summary - Mthly'!$C$142,0,'Venture Model Outputs'!EC6+1)</f>
        <v>130</v>
      </c>
      <c r="EE6" s="773">
        <f>IF(EE5='Venture Summary - Mthly'!$C$142,0,'Venture Model Outputs'!ED6+1)</f>
        <v>131</v>
      </c>
      <c r="EF6" s="773">
        <f>IF(EF5='Venture Summary - Mthly'!$C$142,0,'Venture Model Outputs'!EE6+1)</f>
        <v>132</v>
      </c>
      <c r="EG6" s="773">
        <f>IF(EG5='Venture Summary - Mthly'!$C$142,0,'Venture Model Outputs'!EF6+1)</f>
        <v>133</v>
      </c>
    </row>
    <row r="7" spans="1:138" ht="12.75" customHeight="1" x14ac:dyDescent="0.3">
      <c r="B7" s="773" t="s">
        <v>3</v>
      </c>
      <c r="E7" s="773">
        <f>YEAR(E5)</f>
        <v>2027</v>
      </c>
      <c r="F7" s="773">
        <f t="shared" ref="F7:BQ7" si="2">YEAR(F5)</f>
        <v>2027</v>
      </c>
      <c r="G7" s="773">
        <f t="shared" si="2"/>
        <v>2027</v>
      </c>
      <c r="H7" s="773">
        <f t="shared" si="2"/>
        <v>2027</v>
      </c>
      <c r="I7" s="773">
        <f t="shared" si="2"/>
        <v>2028</v>
      </c>
      <c r="J7" s="773">
        <f t="shared" si="2"/>
        <v>2028</v>
      </c>
      <c r="K7" s="773">
        <f t="shared" si="2"/>
        <v>2028</v>
      </c>
      <c r="L7" s="773">
        <f t="shared" si="2"/>
        <v>2028</v>
      </c>
      <c r="M7" s="773">
        <f t="shared" si="2"/>
        <v>2028</v>
      </c>
      <c r="N7" s="773">
        <f t="shared" si="2"/>
        <v>2028</v>
      </c>
      <c r="O7" s="773">
        <f t="shared" si="2"/>
        <v>2028</v>
      </c>
      <c r="P7" s="773">
        <f t="shared" si="2"/>
        <v>2028</v>
      </c>
      <c r="Q7" s="773">
        <f t="shared" si="2"/>
        <v>2028</v>
      </c>
      <c r="R7" s="773">
        <f t="shared" si="2"/>
        <v>2028</v>
      </c>
      <c r="S7" s="773">
        <f t="shared" si="2"/>
        <v>2028</v>
      </c>
      <c r="T7" s="773">
        <f t="shared" si="2"/>
        <v>2028</v>
      </c>
      <c r="U7" s="773">
        <f t="shared" si="2"/>
        <v>2029</v>
      </c>
      <c r="V7" s="773">
        <f t="shared" si="2"/>
        <v>2029</v>
      </c>
      <c r="W7" s="773">
        <f t="shared" si="2"/>
        <v>2029</v>
      </c>
      <c r="X7" s="773">
        <f t="shared" si="2"/>
        <v>2029</v>
      </c>
      <c r="Y7" s="773">
        <f t="shared" si="2"/>
        <v>2029</v>
      </c>
      <c r="Z7" s="773">
        <f t="shared" si="2"/>
        <v>2029</v>
      </c>
      <c r="AA7" s="773">
        <f t="shared" si="2"/>
        <v>2029</v>
      </c>
      <c r="AB7" s="773">
        <f t="shared" si="2"/>
        <v>2029</v>
      </c>
      <c r="AC7" s="773">
        <f t="shared" si="2"/>
        <v>2029</v>
      </c>
      <c r="AD7" s="773">
        <f t="shared" si="2"/>
        <v>2029</v>
      </c>
      <c r="AE7" s="773">
        <f t="shared" si="2"/>
        <v>2029</v>
      </c>
      <c r="AF7" s="773">
        <f t="shared" si="2"/>
        <v>2029</v>
      </c>
      <c r="AG7" s="773">
        <f t="shared" si="2"/>
        <v>2030</v>
      </c>
      <c r="AH7" s="773">
        <f t="shared" si="2"/>
        <v>2030</v>
      </c>
      <c r="AI7" s="773">
        <f t="shared" si="2"/>
        <v>2030</v>
      </c>
      <c r="AJ7" s="773">
        <f t="shared" si="2"/>
        <v>2030</v>
      </c>
      <c r="AK7" s="773">
        <f t="shared" si="2"/>
        <v>2030</v>
      </c>
      <c r="AL7" s="773">
        <f t="shared" si="2"/>
        <v>2030</v>
      </c>
      <c r="AM7" s="773">
        <f t="shared" si="2"/>
        <v>2030</v>
      </c>
      <c r="AN7" s="773">
        <f t="shared" si="2"/>
        <v>2030</v>
      </c>
      <c r="AO7" s="773">
        <f t="shared" si="2"/>
        <v>2030</v>
      </c>
      <c r="AP7" s="773">
        <f t="shared" si="2"/>
        <v>2030</v>
      </c>
      <c r="AQ7" s="773">
        <f t="shared" si="2"/>
        <v>2030</v>
      </c>
      <c r="AR7" s="773">
        <f t="shared" si="2"/>
        <v>2030</v>
      </c>
      <c r="AS7" s="773">
        <f t="shared" si="2"/>
        <v>2031</v>
      </c>
      <c r="AT7" s="773">
        <f t="shared" si="2"/>
        <v>2031</v>
      </c>
      <c r="AU7" s="773">
        <f t="shared" si="2"/>
        <v>2031</v>
      </c>
      <c r="AV7" s="773">
        <f t="shared" si="2"/>
        <v>2031</v>
      </c>
      <c r="AW7" s="773">
        <f t="shared" si="2"/>
        <v>2031</v>
      </c>
      <c r="AX7" s="773">
        <f t="shared" si="2"/>
        <v>2031</v>
      </c>
      <c r="AY7" s="773">
        <f t="shared" si="2"/>
        <v>2031</v>
      </c>
      <c r="AZ7" s="773">
        <f t="shared" si="2"/>
        <v>2031</v>
      </c>
      <c r="BA7" s="773">
        <f t="shared" si="2"/>
        <v>2031</v>
      </c>
      <c r="BB7" s="773">
        <f t="shared" si="2"/>
        <v>2031</v>
      </c>
      <c r="BC7" s="773">
        <f t="shared" si="2"/>
        <v>2031</v>
      </c>
      <c r="BD7" s="773">
        <f t="shared" si="2"/>
        <v>2031</v>
      </c>
      <c r="BE7" s="773">
        <f t="shared" si="2"/>
        <v>2032</v>
      </c>
      <c r="BF7" s="773">
        <f t="shared" si="2"/>
        <v>2032</v>
      </c>
      <c r="BG7" s="773">
        <f t="shared" si="2"/>
        <v>2032</v>
      </c>
      <c r="BH7" s="773">
        <f t="shared" si="2"/>
        <v>2032</v>
      </c>
      <c r="BI7" s="773">
        <f t="shared" si="2"/>
        <v>2032</v>
      </c>
      <c r="BJ7" s="773">
        <f t="shared" si="2"/>
        <v>2032</v>
      </c>
      <c r="BK7" s="773">
        <f t="shared" si="2"/>
        <v>2032</v>
      </c>
      <c r="BL7" s="773">
        <f t="shared" si="2"/>
        <v>2032</v>
      </c>
      <c r="BM7" s="773">
        <f t="shared" si="2"/>
        <v>2032</v>
      </c>
      <c r="BN7" s="773">
        <f t="shared" si="2"/>
        <v>2032</v>
      </c>
      <c r="BO7" s="773">
        <f t="shared" si="2"/>
        <v>2032</v>
      </c>
      <c r="BP7" s="773">
        <f t="shared" si="2"/>
        <v>2032</v>
      </c>
      <c r="BQ7" s="773">
        <f t="shared" si="2"/>
        <v>2033</v>
      </c>
      <c r="BR7" s="773">
        <f t="shared" ref="BR7:EC7" si="3">YEAR(BR5)</f>
        <v>2033</v>
      </c>
      <c r="BS7" s="773">
        <f t="shared" si="3"/>
        <v>2033</v>
      </c>
      <c r="BT7" s="773">
        <f t="shared" si="3"/>
        <v>2033</v>
      </c>
      <c r="BU7" s="773">
        <f t="shared" si="3"/>
        <v>2033</v>
      </c>
      <c r="BV7" s="773">
        <f t="shared" si="3"/>
        <v>2033</v>
      </c>
      <c r="BW7" s="773">
        <f t="shared" si="3"/>
        <v>2033</v>
      </c>
      <c r="BX7" s="773">
        <f t="shared" si="3"/>
        <v>2033</v>
      </c>
      <c r="BY7" s="773">
        <f t="shared" si="3"/>
        <v>2033</v>
      </c>
      <c r="BZ7" s="773">
        <f t="shared" si="3"/>
        <v>2033</v>
      </c>
      <c r="CA7" s="773">
        <f t="shared" si="3"/>
        <v>2033</v>
      </c>
      <c r="CB7" s="773">
        <f t="shared" si="3"/>
        <v>2033</v>
      </c>
      <c r="CC7" s="773">
        <f t="shared" si="3"/>
        <v>2034</v>
      </c>
      <c r="CD7" s="773">
        <f t="shared" si="3"/>
        <v>2034</v>
      </c>
      <c r="CE7" s="773">
        <f t="shared" si="3"/>
        <v>2034</v>
      </c>
      <c r="CF7" s="773">
        <f t="shared" si="3"/>
        <v>2034</v>
      </c>
      <c r="CG7" s="773">
        <f t="shared" si="3"/>
        <v>2034</v>
      </c>
      <c r="CH7" s="773">
        <f t="shared" si="3"/>
        <v>2034</v>
      </c>
      <c r="CI7" s="773">
        <f t="shared" si="3"/>
        <v>2034</v>
      </c>
      <c r="CJ7" s="773">
        <f t="shared" si="3"/>
        <v>2034</v>
      </c>
      <c r="CK7" s="773">
        <f t="shared" si="3"/>
        <v>2034</v>
      </c>
      <c r="CL7" s="773">
        <f t="shared" si="3"/>
        <v>2034</v>
      </c>
      <c r="CM7" s="773">
        <f t="shared" si="3"/>
        <v>2034</v>
      </c>
      <c r="CN7" s="773">
        <f t="shared" si="3"/>
        <v>2034</v>
      </c>
      <c r="CO7" s="773">
        <f t="shared" si="3"/>
        <v>2035</v>
      </c>
      <c r="CP7" s="773">
        <f t="shared" si="3"/>
        <v>2035</v>
      </c>
      <c r="CQ7" s="773">
        <f t="shared" si="3"/>
        <v>2035</v>
      </c>
      <c r="CR7" s="773">
        <f t="shared" si="3"/>
        <v>2035</v>
      </c>
      <c r="CS7" s="773">
        <f t="shared" si="3"/>
        <v>2035</v>
      </c>
      <c r="CT7" s="773">
        <f t="shared" si="3"/>
        <v>2035</v>
      </c>
      <c r="CU7" s="773">
        <f t="shared" si="3"/>
        <v>2035</v>
      </c>
      <c r="CV7" s="773">
        <f t="shared" si="3"/>
        <v>2035</v>
      </c>
      <c r="CW7" s="773">
        <f t="shared" si="3"/>
        <v>2035</v>
      </c>
      <c r="CX7" s="773">
        <f t="shared" si="3"/>
        <v>2035</v>
      </c>
      <c r="CY7" s="773">
        <f t="shared" si="3"/>
        <v>2035</v>
      </c>
      <c r="CZ7" s="773">
        <f t="shared" si="3"/>
        <v>2035</v>
      </c>
      <c r="DA7" s="773">
        <f t="shared" si="3"/>
        <v>2036</v>
      </c>
      <c r="DB7" s="773">
        <f t="shared" si="3"/>
        <v>2036</v>
      </c>
      <c r="DC7" s="773">
        <f t="shared" si="3"/>
        <v>2036</v>
      </c>
      <c r="DD7" s="773">
        <f t="shared" si="3"/>
        <v>2036</v>
      </c>
      <c r="DE7" s="773">
        <f t="shared" si="3"/>
        <v>2036</v>
      </c>
      <c r="DF7" s="773">
        <f t="shared" si="3"/>
        <v>2036</v>
      </c>
      <c r="DG7" s="773">
        <f t="shared" si="3"/>
        <v>2036</v>
      </c>
      <c r="DH7" s="773">
        <f t="shared" si="3"/>
        <v>2036</v>
      </c>
      <c r="DI7" s="773">
        <f t="shared" si="3"/>
        <v>2036</v>
      </c>
      <c r="DJ7" s="773">
        <f t="shared" si="3"/>
        <v>2036</v>
      </c>
      <c r="DK7" s="773">
        <f t="shared" si="3"/>
        <v>2036</v>
      </c>
      <c r="DL7" s="773">
        <f t="shared" si="3"/>
        <v>2036</v>
      </c>
      <c r="DM7" s="773">
        <f t="shared" si="3"/>
        <v>2037</v>
      </c>
      <c r="DN7" s="773">
        <f t="shared" si="3"/>
        <v>2037</v>
      </c>
      <c r="DO7" s="773">
        <f t="shared" si="3"/>
        <v>2037</v>
      </c>
      <c r="DP7" s="773">
        <f t="shared" si="3"/>
        <v>2037</v>
      </c>
      <c r="DQ7" s="773">
        <f t="shared" si="3"/>
        <v>2037</v>
      </c>
      <c r="DR7" s="773">
        <f t="shared" si="3"/>
        <v>2037</v>
      </c>
      <c r="DS7" s="773">
        <f t="shared" si="3"/>
        <v>2037</v>
      </c>
      <c r="DT7" s="773">
        <f t="shared" si="3"/>
        <v>2037</v>
      </c>
      <c r="DU7" s="773">
        <f t="shared" si="3"/>
        <v>2037</v>
      </c>
      <c r="DV7" s="773">
        <f t="shared" si="3"/>
        <v>2037</v>
      </c>
      <c r="DW7" s="773">
        <f t="shared" si="3"/>
        <v>2037</v>
      </c>
      <c r="DX7" s="773">
        <f t="shared" si="3"/>
        <v>2037</v>
      </c>
      <c r="DY7" s="773">
        <f t="shared" si="3"/>
        <v>2038</v>
      </c>
      <c r="DZ7" s="773">
        <f t="shared" si="3"/>
        <v>2038</v>
      </c>
      <c r="EA7" s="773">
        <f t="shared" si="3"/>
        <v>2038</v>
      </c>
      <c r="EB7" s="773">
        <f t="shared" si="3"/>
        <v>2038</v>
      </c>
      <c r="EC7" s="773">
        <f t="shared" si="3"/>
        <v>2038</v>
      </c>
      <c r="ED7" s="773">
        <f>YEAR(ED5)</f>
        <v>2038</v>
      </c>
      <c r="EE7" s="773">
        <f>YEAR(EE5)</f>
        <v>2038</v>
      </c>
      <c r="EF7" s="773">
        <f>YEAR(EF5)</f>
        <v>2038</v>
      </c>
      <c r="EG7" s="773">
        <f>YEAR(EG5)</f>
        <v>2038</v>
      </c>
    </row>
    <row r="8" spans="1:138" ht="12.75" customHeight="1" x14ac:dyDescent="0.3">
      <c r="B8" s="773" t="s">
        <v>4</v>
      </c>
      <c r="E8" s="773">
        <f>IF(E6=0,0,INT((E6+11)/12))</f>
        <v>1</v>
      </c>
      <c r="F8" s="773">
        <f t="shared" ref="F8:BQ8" si="4">IF(F6=0,0,INT((F6+11)/12))</f>
        <v>1</v>
      </c>
      <c r="G8" s="773">
        <f t="shared" si="4"/>
        <v>1</v>
      </c>
      <c r="H8" s="773">
        <f t="shared" si="4"/>
        <v>1</v>
      </c>
      <c r="I8" s="773">
        <f t="shared" si="4"/>
        <v>1</v>
      </c>
      <c r="J8" s="773">
        <f t="shared" si="4"/>
        <v>1</v>
      </c>
      <c r="K8" s="773">
        <f t="shared" si="4"/>
        <v>1</v>
      </c>
      <c r="L8" s="773">
        <f t="shared" si="4"/>
        <v>1</v>
      </c>
      <c r="M8" s="773">
        <f t="shared" si="4"/>
        <v>1</v>
      </c>
      <c r="N8" s="773">
        <f t="shared" si="4"/>
        <v>1</v>
      </c>
      <c r="O8" s="773">
        <f t="shared" si="4"/>
        <v>1</v>
      </c>
      <c r="P8" s="773">
        <f t="shared" si="4"/>
        <v>1</v>
      </c>
      <c r="Q8" s="773">
        <f t="shared" si="4"/>
        <v>2</v>
      </c>
      <c r="R8" s="773">
        <f t="shared" si="4"/>
        <v>2</v>
      </c>
      <c r="S8" s="773">
        <f t="shared" si="4"/>
        <v>2</v>
      </c>
      <c r="T8" s="773">
        <f t="shared" si="4"/>
        <v>2</v>
      </c>
      <c r="U8" s="773">
        <f t="shared" si="4"/>
        <v>2</v>
      </c>
      <c r="V8" s="773">
        <f t="shared" si="4"/>
        <v>2</v>
      </c>
      <c r="W8" s="773">
        <f t="shared" si="4"/>
        <v>2</v>
      </c>
      <c r="X8" s="773">
        <f t="shared" si="4"/>
        <v>2</v>
      </c>
      <c r="Y8" s="773">
        <f t="shared" si="4"/>
        <v>2</v>
      </c>
      <c r="Z8" s="773">
        <f t="shared" si="4"/>
        <v>2</v>
      </c>
      <c r="AA8" s="773">
        <f t="shared" si="4"/>
        <v>2</v>
      </c>
      <c r="AB8" s="773">
        <f t="shared" si="4"/>
        <v>2</v>
      </c>
      <c r="AC8" s="773">
        <f t="shared" si="4"/>
        <v>3</v>
      </c>
      <c r="AD8" s="773">
        <f t="shared" si="4"/>
        <v>3</v>
      </c>
      <c r="AE8" s="773">
        <f t="shared" si="4"/>
        <v>3</v>
      </c>
      <c r="AF8" s="773">
        <f t="shared" si="4"/>
        <v>3</v>
      </c>
      <c r="AG8" s="773">
        <f t="shared" si="4"/>
        <v>3</v>
      </c>
      <c r="AH8" s="773">
        <f t="shared" si="4"/>
        <v>3</v>
      </c>
      <c r="AI8" s="773">
        <f t="shared" si="4"/>
        <v>3</v>
      </c>
      <c r="AJ8" s="773">
        <f t="shared" si="4"/>
        <v>3</v>
      </c>
      <c r="AK8" s="773">
        <f t="shared" si="4"/>
        <v>3</v>
      </c>
      <c r="AL8" s="773">
        <f t="shared" si="4"/>
        <v>3</v>
      </c>
      <c r="AM8" s="773">
        <f t="shared" si="4"/>
        <v>3</v>
      </c>
      <c r="AN8" s="773">
        <f t="shared" si="4"/>
        <v>3</v>
      </c>
      <c r="AO8" s="773">
        <f t="shared" si="4"/>
        <v>4</v>
      </c>
      <c r="AP8" s="773">
        <f t="shared" si="4"/>
        <v>4</v>
      </c>
      <c r="AQ8" s="773">
        <f t="shared" si="4"/>
        <v>4</v>
      </c>
      <c r="AR8" s="773">
        <f t="shared" si="4"/>
        <v>4</v>
      </c>
      <c r="AS8" s="773">
        <f t="shared" si="4"/>
        <v>4</v>
      </c>
      <c r="AT8" s="773">
        <f t="shared" si="4"/>
        <v>4</v>
      </c>
      <c r="AU8" s="773">
        <f t="shared" si="4"/>
        <v>4</v>
      </c>
      <c r="AV8" s="773">
        <f t="shared" si="4"/>
        <v>4</v>
      </c>
      <c r="AW8" s="773">
        <f t="shared" si="4"/>
        <v>4</v>
      </c>
      <c r="AX8" s="773">
        <f t="shared" si="4"/>
        <v>4</v>
      </c>
      <c r="AY8" s="773">
        <f t="shared" si="4"/>
        <v>4</v>
      </c>
      <c r="AZ8" s="773">
        <f t="shared" si="4"/>
        <v>4</v>
      </c>
      <c r="BA8" s="773">
        <f t="shared" si="4"/>
        <v>5</v>
      </c>
      <c r="BB8" s="773">
        <f t="shared" si="4"/>
        <v>5</v>
      </c>
      <c r="BC8" s="773">
        <f t="shared" si="4"/>
        <v>5</v>
      </c>
      <c r="BD8" s="773">
        <f t="shared" si="4"/>
        <v>5</v>
      </c>
      <c r="BE8" s="773">
        <f t="shared" si="4"/>
        <v>5</v>
      </c>
      <c r="BF8" s="773">
        <f t="shared" si="4"/>
        <v>5</v>
      </c>
      <c r="BG8" s="773">
        <f t="shared" si="4"/>
        <v>5</v>
      </c>
      <c r="BH8" s="773">
        <f t="shared" si="4"/>
        <v>5</v>
      </c>
      <c r="BI8" s="773">
        <f t="shared" si="4"/>
        <v>5</v>
      </c>
      <c r="BJ8" s="773">
        <f t="shared" si="4"/>
        <v>5</v>
      </c>
      <c r="BK8" s="773">
        <f t="shared" si="4"/>
        <v>5</v>
      </c>
      <c r="BL8" s="773">
        <f t="shared" si="4"/>
        <v>5</v>
      </c>
      <c r="BM8" s="773">
        <f t="shared" si="4"/>
        <v>6</v>
      </c>
      <c r="BN8" s="773">
        <f t="shared" si="4"/>
        <v>6</v>
      </c>
      <c r="BO8" s="773">
        <f t="shared" si="4"/>
        <v>6</v>
      </c>
      <c r="BP8" s="773">
        <f t="shared" si="4"/>
        <v>6</v>
      </c>
      <c r="BQ8" s="773">
        <f t="shared" si="4"/>
        <v>6</v>
      </c>
      <c r="BR8" s="773">
        <f t="shared" ref="BR8:EC8" si="5">IF(BR6=0,0,INT((BR6+11)/12))</f>
        <v>6</v>
      </c>
      <c r="BS8" s="773">
        <f t="shared" si="5"/>
        <v>6</v>
      </c>
      <c r="BT8" s="773">
        <f t="shared" si="5"/>
        <v>6</v>
      </c>
      <c r="BU8" s="773">
        <f t="shared" si="5"/>
        <v>6</v>
      </c>
      <c r="BV8" s="773">
        <f t="shared" si="5"/>
        <v>6</v>
      </c>
      <c r="BW8" s="773">
        <f t="shared" si="5"/>
        <v>6</v>
      </c>
      <c r="BX8" s="773">
        <f t="shared" si="5"/>
        <v>6</v>
      </c>
      <c r="BY8" s="773">
        <f t="shared" si="5"/>
        <v>7</v>
      </c>
      <c r="BZ8" s="773">
        <f t="shared" si="5"/>
        <v>7</v>
      </c>
      <c r="CA8" s="773">
        <f t="shared" si="5"/>
        <v>7</v>
      </c>
      <c r="CB8" s="773">
        <f t="shared" si="5"/>
        <v>7</v>
      </c>
      <c r="CC8" s="773">
        <f t="shared" si="5"/>
        <v>7</v>
      </c>
      <c r="CD8" s="773">
        <f t="shared" si="5"/>
        <v>7</v>
      </c>
      <c r="CE8" s="773">
        <f t="shared" si="5"/>
        <v>7</v>
      </c>
      <c r="CF8" s="773">
        <f t="shared" si="5"/>
        <v>7</v>
      </c>
      <c r="CG8" s="773">
        <f t="shared" si="5"/>
        <v>7</v>
      </c>
      <c r="CH8" s="773">
        <f t="shared" si="5"/>
        <v>7</v>
      </c>
      <c r="CI8" s="773">
        <f t="shared" si="5"/>
        <v>7</v>
      </c>
      <c r="CJ8" s="773">
        <f t="shared" si="5"/>
        <v>7</v>
      </c>
      <c r="CK8" s="773">
        <f t="shared" si="5"/>
        <v>8</v>
      </c>
      <c r="CL8" s="773">
        <f t="shared" si="5"/>
        <v>8</v>
      </c>
      <c r="CM8" s="773">
        <f t="shared" si="5"/>
        <v>8</v>
      </c>
      <c r="CN8" s="773">
        <f t="shared" si="5"/>
        <v>8</v>
      </c>
      <c r="CO8" s="773">
        <f t="shared" si="5"/>
        <v>8</v>
      </c>
      <c r="CP8" s="773">
        <f t="shared" si="5"/>
        <v>8</v>
      </c>
      <c r="CQ8" s="773">
        <f t="shared" si="5"/>
        <v>8</v>
      </c>
      <c r="CR8" s="773">
        <f t="shared" si="5"/>
        <v>8</v>
      </c>
      <c r="CS8" s="773">
        <f t="shared" si="5"/>
        <v>8</v>
      </c>
      <c r="CT8" s="773">
        <f t="shared" si="5"/>
        <v>8</v>
      </c>
      <c r="CU8" s="773">
        <f t="shared" si="5"/>
        <v>8</v>
      </c>
      <c r="CV8" s="773">
        <f t="shared" si="5"/>
        <v>8</v>
      </c>
      <c r="CW8" s="773">
        <f t="shared" si="5"/>
        <v>9</v>
      </c>
      <c r="CX8" s="773">
        <f t="shared" si="5"/>
        <v>9</v>
      </c>
      <c r="CY8" s="773">
        <f t="shared" si="5"/>
        <v>9</v>
      </c>
      <c r="CZ8" s="773">
        <f t="shared" si="5"/>
        <v>9</v>
      </c>
      <c r="DA8" s="773">
        <f t="shared" si="5"/>
        <v>9</v>
      </c>
      <c r="DB8" s="773">
        <f t="shared" si="5"/>
        <v>9</v>
      </c>
      <c r="DC8" s="773">
        <f t="shared" si="5"/>
        <v>9</v>
      </c>
      <c r="DD8" s="773">
        <f t="shared" si="5"/>
        <v>9</v>
      </c>
      <c r="DE8" s="773">
        <f t="shared" si="5"/>
        <v>9</v>
      </c>
      <c r="DF8" s="773">
        <f t="shared" si="5"/>
        <v>9</v>
      </c>
      <c r="DG8" s="773">
        <f t="shared" si="5"/>
        <v>9</v>
      </c>
      <c r="DH8" s="773">
        <f t="shared" si="5"/>
        <v>9</v>
      </c>
      <c r="DI8" s="773">
        <f t="shared" si="5"/>
        <v>10</v>
      </c>
      <c r="DJ8" s="773">
        <f t="shared" si="5"/>
        <v>10</v>
      </c>
      <c r="DK8" s="773">
        <f t="shared" si="5"/>
        <v>10</v>
      </c>
      <c r="DL8" s="773">
        <f t="shared" si="5"/>
        <v>10</v>
      </c>
      <c r="DM8" s="773">
        <f t="shared" si="5"/>
        <v>10</v>
      </c>
      <c r="DN8" s="773">
        <f t="shared" si="5"/>
        <v>10</v>
      </c>
      <c r="DO8" s="773">
        <f t="shared" si="5"/>
        <v>10</v>
      </c>
      <c r="DP8" s="773">
        <f t="shared" si="5"/>
        <v>10</v>
      </c>
      <c r="DQ8" s="773">
        <f t="shared" si="5"/>
        <v>10</v>
      </c>
      <c r="DR8" s="773">
        <f t="shared" si="5"/>
        <v>10</v>
      </c>
      <c r="DS8" s="773">
        <f t="shared" si="5"/>
        <v>10</v>
      </c>
      <c r="DT8" s="773">
        <f t="shared" si="5"/>
        <v>10</v>
      </c>
      <c r="DU8" s="773">
        <f t="shared" si="5"/>
        <v>11</v>
      </c>
      <c r="DV8" s="773">
        <f t="shared" si="5"/>
        <v>11</v>
      </c>
      <c r="DW8" s="773">
        <f t="shared" si="5"/>
        <v>11</v>
      </c>
      <c r="DX8" s="773">
        <f t="shared" si="5"/>
        <v>11</v>
      </c>
      <c r="DY8" s="773">
        <f t="shared" si="5"/>
        <v>11</v>
      </c>
      <c r="DZ8" s="773">
        <f t="shared" si="5"/>
        <v>11</v>
      </c>
      <c r="EA8" s="773">
        <f t="shared" si="5"/>
        <v>11</v>
      </c>
      <c r="EB8" s="773">
        <f t="shared" si="5"/>
        <v>11</v>
      </c>
      <c r="EC8" s="773">
        <f t="shared" si="5"/>
        <v>11</v>
      </c>
      <c r="ED8" s="773">
        <f>IF(ED6=0,0,INT((ED6+11)/12))</f>
        <v>11</v>
      </c>
      <c r="EE8" s="773">
        <f>IF(EE6=0,0,INT((EE6+11)/12))</f>
        <v>11</v>
      </c>
      <c r="EF8" s="773">
        <f>IF(EF6=0,0,INT((EF6+11)/12))</f>
        <v>11</v>
      </c>
      <c r="EG8" s="773">
        <f>IF(EG6=0,0,INT((EG6+11)/12))</f>
        <v>12</v>
      </c>
    </row>
    <row r="9" spans="1:138" ht="12.75" customHeight="1" x14ac:dyDescent="0.3">
      <c r="B9" s="775"/>
    </row>
    <row r="10" spans="1:138" ht="12.75" hidden="1" customHeight="1" x14ac:dyDescent="0.3">
      <c r="B10" s="776">
        <v>42118</v>
      </c>
      <c r="C10" s="777">
        <v>0.49901620370370375</v>
      </c>
    </row>
    <row r="11" spans="1:138" s="1155" customFormat="1" ht="12.75" customHeight="1" x14ac:dyDescent="0.3">
      <c r="A11" s="1153"/>
      <c r="B11" s="1154" t="str">
        <f>'Venture Summary - Mthly'!$B$2</f>
        <v>Emblem Meridian</v>
      </c>
      <c r="C11" s="1155" t="s">
        <v>295</v>
      </c>
      <c r="E11" s="1156"/>
    </row>
    <row r="12" spans="1:138" ht="12.75" customHeight="1" x14ac:dyDescent="0.3">
      <c r="A12" s="772">
        <v>48</v>
      </c>
      <c r="B12" s="1143" t="s">
        <v>81</v>
      </c>
      <c r="C12" s="1144" t="str">
        <f>$A$11&amp;" "&amp;B12</f>
        <v xml:space="preserve"> Total development cost</v>
      </c>
      <c r="D12" s="783"/>
      <c r="E12" s="1157">
        <f ca="1">IF(D4=0,-DevBdgt!E48,-SUM(DevBdgt!E48:F48))</f>
        <v>-1872006.9504114862</v>
      </c>
      <c r="F12" s="1158">
        <f ca="1">-OFFSET(DevBdgt!F48,0,$D$4)</f>
        <v>-15199690.31702359</v>
      </c>
      <c r="G12" s="1158">
        <f ca="1">-OFFSET(DevBdgt!G48,0,$D$4)</f>
        <v>-477509.54329989548</v>
      </c>
      <c r="H12" s="1158">
        <f ca="1">-OFFSET(DevBdgt!H48,0,$D$4)</f>
        <v>-725018.0475038616</v>
      </c>
      <c r="I12" s="1158">
        <f ca="1">-OFFSET(DevBdgt!I48,0,$D$4)</f>
        <v>-1231351.4260033614</v>
      </c>
      <c r="J12" s="1158">
        <f ca="1">-OFFSET(DevBdgt!J48,0,$D$4)</f>
        <v>-2009445.0862433794</v>
      </c>
      <c r="K12" s="1158">
        <f ca="1">-OFFSET(DevBdgt!K48,0,$D$4)</f>
        <v>-2068277.2828140815</v>
      </c>
      <c r="L12" s="1158">
        <f ca="1">-OFFSET(DevBdgt!L48,0,$D$4)</f>
        <v>-2635556.0946173389</v>
      </c>
      <c r="M12" s="1158">
        <f ca="1">-OFFSET(DevBdgt!M48,0,$D$4)</f>
        <v>-3126311.3752459437</v>
      </c>
      <c r="N12" s="1158">
        <f ca="1">-OFFSET(DevBdgt!N48,0,$D$4)</f>
        <v>-3659644.6239059591</v>
      </c>
      <c r="O12" s="1158">
        <f ca="1">-OFFSET(DevBdgt!O48,0,$D$4)</f>
        <v>-3788748.5469404557</v>
      </c>
      <c r="P12" s="1158">
        <f ca="1">-OFFSET(DevBdgt!P48,0,$D$4)</f>
        <v>-3985499.7534750709</v>
      </c>
      <c r="Q12" s="1158">
        <f ca="1">-OFFSET(DevBdgt!Q48,0,$D$4)</f>
        <v>-4035971.7701808717</v>
      </c>
      <c r="R12" s="1158">
        <f ca="1">-OFFSET(DevBdgt!R48,0,$D$4)</f>
        <v>-4074891.1252563251</v>
      </c>
      <c r="S12" s="1158">
        <f ca="1">-OFFSET(DevBdgt!S48,0,$D$4)</f>
        <v>-3814169.1648116568</v>
      </c>
      <c r="T12" s="1158">
        <f ca="1">-OFFSET(DevBdgt!T48,0,$D$4)</f>
        <v>-3707242.1471006605</v>
      </c>
      <c r="U12" s="1158">
        <f ca="1">-OFFSET(DevBdgt!U48,0,$D$4)</f>
        <v>-3438642.0856684977</v>
      </c>
      <c r="V12" s="1158">
        <f ca="1">-OFFSET(DevBdgt!V48,0,$D$4)</f>
        <v>-3101741.8791459082</v>
      </c>
      <c r="W12" s="1158">
        <f ca="1">-OFFSET(DevBdgt!W48,0,$D$4)</f>
        <v>-3086112.8332005022</v>
      </c>
      <c r="X12" s="1158">
        <f ca="1">-OFFSET(DevBdgt!X48,0,$D$4)</f>
        <v>-2840813.9058457017</v>
      </c>
      <c r="Y12" s="1158">
        <f ca="1">-OFFSET(DevBdgt!Y48,0,$D$4)</f>
        <v>-2407340.2432452017</v>
      </c>
      <c r="Z12" s="1158">
        <f ca="1">-OFFSET(DevBdgt!Z48,0,$D$4)</f>
        <v>-2066917.1905846046</v>
      </c>
      <c r="AA12" s="1158">
        <f ca="1">-OFFSET(DevBdgt!AA48,0,$D$4)</f>
        <v>-1736150.3462614249</v>
      </c>
      <c r="AB12" s="1158">
        <f ca="1">-OFFSET(DevBdgt!AB48,0,$D$4)</f>
        <v>-1202087.578931059</v>
      </c>
      <c r="AC12" s="1158">
        <f ca="1">-OFFSET(DevBdgt!AC48,0,$D$4)</f>
        <v>-990780.74024430034</v>
      </c>
      <c r="AD12" s="1158">
        <f ca="1">-OFFSET(DevBdgt!AD48,0,$D$4)</f>
        <v>-677704.28421734134</v>
      </c>
      <c r="AE12" s="1158">
        <f ca="1">-OFFSET(DevBdgt!AE48,0,$D$4)</f>
        <v>0</v>
      </c>
      <c r="AF12" s="1158">
        <f ca="1">-OFFSET(DevBdgt!AF48,0,$D$4)</f>
        <v>0</v>
      </c>
      <c r="AG12" s="1158">
        <f ca="1">-OFFSET(DevBdgt!AG48,0,$D$4)</f>
        <v>0</v>
      </c>
      <c r="AH12" s="1158">
        <f ca="1">-OFFSET(DevBdgt!AH48,0,$D$4)</f>
        <v>0</v>
      </c>
      <c r="AI12" s="1158">
        <f ca="1">-OFFSET(DevBdgt!AI48,0,$D$4)</f>
        <v>0</v>
      </c>
      <c r="AJ12" s="1158">
        <f ca="1">-OFFSET(DevBdgt!AJ48,0,$D$4)</f>
        <v>0</v>
      </c>
      <c r="AK12" s="1158">
        <f ca="1">-OFFSET(DevBdgt!AK48,0,$D$4)</f>
        <v>0</v>
      </c>
      <c r="AL12" s="1158">
        <f ca="1">-OFFSET(DevBdgt!AL48,0,$D$4)</f>
        <v>0</v>
      </c>
      <c r="AM12" s="1158">
        <f ca="1">-OFFSET(DevBdgt!AM48,0,$D$4)</f>
        <v>0</v>
      </c>
      <c r="AN12" s="1158">
        <f ca="1">-OFFSET(DevBdgt!AN48,0,$D$4)</f>
        <v>0</v>
      </c>
      <c r="AO12" s="1158">
        <f ca="1">-OFFSET(DevBdgt!AO48,0,$D$4)</f>
        <v>0</v>
      </c>
      <c r="AP12" s="1158">
        <f ca="1">-OFFSET(DevBdgt!AP48,0,$D$4)</f>
        <v>0</v>
      </c>
      <c r="AQ12" s="1158">
        <f ca="1">-OFFSET(DevBdgt!AQ48,0,$D$4)</f>
        <v>0</v>
      </c>
      <c r="AR12" s="1158">
        <f ca="1">-OFFSET(DevBdgt!AR48,0,$D$4)</f>
        <v>0</v>
      </c>
      <c r="AS12" s="1158">
        <f ca="1">-OFFSET(DevBdgt!AS48,0,$D$4)</f>
        <v>0</v>
      </c>
      <c r="AT12" s="1158">
        <f ca="1">-OFFSET(DevBdgt!AT48,0,$D$4)</f>
        <v>0</v>
      </c>
      <c r="AU12" s="1158">
        <f ca="1">-OFFSET(DevBdgt!AU48,0,$D$4)</f>
        <v>0</v>
      </c>
      <c r="AV12" s="1158">
        <f ca="1">-OFFSET(DevBdgt!AV48,0,$D$4)</f>
        <v>0</v>
      </c>
      <c r="AW12" s="1158">
        <f ca="1">-OFFSET(DevBdgt!AW48,0,$D$4)</f>
        <v>0</v>
      </c>
      <c r="AX12" s="1158">
        <f ca="1">-OFFSET(DevBdgt!AX48,0,$D$4)</f>
        <v>0</v>
      </c>
      <c r="AY12" s="1158">
        <f ca="1">-OFFSET(DevBdgt!AY48,0,$D$4)</f>
        <v>0</v>
      </c>
      <c r="AZ12" s="1158">
        <f ca="1">-OFFSET(DevBdgt!AZ48,0,$D$4)</f>
        <v>0</v>
      </c>
      <c r="BA12" s="1158">
        <f ca="1">-OFFSET(DevBdgt!BA48,0,$D$4)</f>
        <v>0</v>
      </c>
      <c r="BB12" s="1158">
        <f ca="1">-OFFSET(DevBdgt!BB48,0,$D$4)</f>
        <v>0</v>
      </c>
      <c r="BC12" s="1158">
        <f ca="1">-OFFSET(DevBdgt!BC48,0,$D$4)</f>
        <v>0</v>
      </c>
      <c r="BD12" s="1158">
        <f ca="1">-OFFSET(DevBdgt!BD48,0,$D$4)</f>
        <v>0</v>
      </c>
      <c r="BE12" s="1158">
        <f ca="1">-OFFSET(DevBdgt!BE48,0,$D$4)</f>
        <v>0</v>
      </c>
      <c r="BF12" s="1158">
        <f ca="1">-OFFSET(DevBdgt!BF48,0,$D$4)</f>
        <v>0</v>
      </c>
      <c r="BG12" s="1158">
        <f ca="1">-OFFSET(DevBdgt!BG48,0,$D$4)</f>
        <v>0</v>
      </c>
      <c r="BH12" s="1158">
        <f ca="1">-OFFSET(DevBdgt!BH48,0,$D$4)</f>
        <v>0</v>
      </c>
      <c r="BI12" s="1158">
        <f ca="1">-OFFSET(DevBdgt!BI48,0,$D$4)</f>
        <v>0</v>
      </c>
      <c r="BJ12" s="1158">
        <f ca="1">-OFFSET(DevBdgt!BJ48,0,$D$4)</f>
        <v>0</v>
      </c>
      <c r="BK12" s="1158">
        <f ca="1">-OFFSET(DevBdgt!BK48,0,$D$4)</f>
        <v>0</v>
      </c>
      <c r="BL12" s="1158">
        <f ca="1">-OFFSET(DevBdgt!BL48,0,$D$4)</f>
        <v>0</v>
      </c>
      <c r="BM12" s="1158">
        <f ca="1">-OFFSET(DevBdgt!BM48,0,$D$4)</f>
        <v>0</v>
      </c>
      <c r="BN12" s="1158">
        <f ca="1">-OFFSET(DevBdgt!BN48,0,$D$4)</f>
        <v>0</v>
      </c>
      <c r="BO12" s="1158">
        <f ca="1">-OFFSET(DevBdgt!BO48,0,$D$4)</f>
        <v>0</v>
      </c>
      <c r="BP12" s="1158">
        <f ca="1">-OFFSET(DevBdgt!BP48,0,$D$4)</f>
        <v>0</v>
      </c>
      <c r="BQ12" s="1158">
        <f ca="1">-OFFSET(DevBdgt!BQ48,0,$D$4)</f>
        <v>0</v>
      </c>
      <c r="BR12" s="1158">
        <f ca="1">-OFFSET(DevBdgt!BR48,0,$D$4)</f>
        <v>0</v>
      </c>
      <c r="BS12" s="1158">
        <f ca="1">-OFFSET(DevBdgt!BS48,0,$D$4)</f>
        <v>0</v>
      </c>
      <c r="BT12" s="1158">
        <f ca="1">-OFFSET(DevBdgt!BT48,0,$D$4)</f>
        <v>0</v>
      </c>
      <c r="BU12" s="1158">
        <f ca="1">-OFFSET(DevBdgt!BU48,0,$D$4)</f>
        <v>0</v>
      </c>
      <c r="BV12" s="1158">
        <f ca="1">-OFFSET(DevBdgt!BV48,0,$D$4)</f>
        <v>0</v>
      </c>
      <c r="BW12" s="1158">
        <f ca="1">-OFFSET(DevBdgt!BW48,0,$D$4)</f>
        <v>0</v>
      </c>
      <c r="BX12" s="1158">
        <f ca="1">-OFFSET(DevBdgt!BX48,0,$D$4)</f>
        <v>0</v>
      </c>
      <c r="BY12" s="1158">
        <f ca="1">-OFFSET(DevBdgt!BY48,0,$D$4)</f>
        <v>0</v>
      </c>
      <c r="BZ12" s="1158">
        <f ca="1">-OFFSET(DevBdgt!BZ48,0,$D$4)</f>
        <v>0</v>
      </c>
      <c r="CA12" s="1158">
        <f ca="1">-OFFSET(DevBdgt!CA48,0,$D$4)</f>
        <v>0</v>
      </c>
      <c r="CB12" s="1158">
        <f ca="1">-OFFSET(DevBdgt!CB48,0,$D$4)</f>
        <v>0</v>
      </c>
      <c r="CC12" s="1158">
        <f ca="1">-OFFSET(DevBdgt!CC48,0,$D$4)</f>
        <v>0</v>
      </c>
      <c r="CD12" s="1158">
        <f ca="1">-OFFSET(DevBdgt!CD48,0,$D$4)</f>
        <v>0</v>
      </c>
      <c r="CE12" s="1158">
        <f ca="1">-OFFSET(DevBdgt!CE48,0,$D$4)</f>
        <v>0</v>
      </c>
      <c r="CF12" s="1158">
        <f ca="1">-OFFSET(DevBdgt!CF48,0,$D$4)</f>
        <v>0</v>
      </c>
      <c r="CG12" s="1158">
        <f ca="1">-OFFSET(DevBdgt!CG48,0,$D$4)</f>
        <v>0</v>
      </c>
      <c r="CH12" s="1158">
        <f ca="1">-OFFSET(DevBdgt!CH48,0,$D$4)</f>
        <v>0</v>
      </c>
      <c r="CI12" s="1158">
        <f ca="1">-OFFSET(DevBdgt!CI48,0,$D$4)</f>
        <v>0</v>
      </c>
      <c r="CJ12" s="1158">
        <f ca="1">-OFFSET(DevBdgt!CJ48,0,$D$4)</f>
        <v>0</v>
      </c>
      <c r="CK12" s="1158">
        <f ca="1">-OFFSET(DevBdgt!CK48,0,$D$4)</f>
        <v>0</v>
      </c>
      <c r="CL12" s="1158">
        <f ca="1">-OFFSET(DevBdgt!CL48,0,$D$4)</f>
        <v>0</v>
      </c>
      <c r="CM12" s="1158">
        <f ca="1">-OFFSET(DevBdgt!CM48,0,$D$4)</f>
        <v>0</v>
      </c>
      <c r="CN12" s="1158">
        <f ca="1">-OFFSET(DevBdgt!CN48,0,$D$4)</f>
        <v>0</v>
      </c>
      <c r="CO12" s="1158">
        <f ca="1">-OFFSET(DevBdgt!CO48,0,$D$4)</f>
        <v>0</v>
      </c>
      <c r="CP12" s="1158">
        <f ca="1">-OFFSET(DevBdgt!CP48,0,$D$4)</f>
        <v>0</v>
      </c>
      <c r="CQ12" s="1158">
        <f ca="1">-OFFSET(DevBdgt!CQ48,0,$D$4)</f>
        <v>0</v>
      </c>
      <c r="CR12" s="1158">
        <f ca="1">-OFFSET(DevBdgt!CR48,0,$D$4)</f>
        <v>0</v>
      </c>
      <c r="CS12" s="1158">
        <f ca="1">-OFFSET(DevBdgt!CS48,0,$D$4)</f>
        <v>0</v>
      </c>
      <c r="CT12" s="1158">
        <f ca="1">-OFFSET(DevBdgt!CT48,0,$D$4)</f>
        <v>0</v>
      </c>
      <c r="CU12" s="1158">
        <f ca="1">-OFFSET(DevBdgt!CU48,0,$D$4)</f>
        <v>0</v>
      </c>
      <c r="CV12" s="1158">
        <f ca="1">-OFFSET(DevBdgt!CV48,0,$D$4)</f>
        <v>0</v>
      </c>
      <c r="CW12" s="1158">
        <f ca="1">-OFFSET(DevBdgt!CW48,0,$D$4)</f>
        <v>0</v>
      </c>
      <c r="CX12" s="1158">
        <f ca="1">-OFFSET(DevBdgt!CX48,0,$D$4)</f>
        <v>0</v>
      </c>
      <c r="CY12" s="1158">
        <f ca="1">-OFFSET(DevBdgt!CY48,0,$D$4)</f>
        <v>0</v>
      </c>
      <c r="CZ12" s="1158">
        <f ca="1">-OFFSET(DevBdgt!CZ48,0,$D$4)</f>
        <v>0</v>
      </c>
      <c r="DA12" s="1158">
        <f ca="1">-OFFSET(DevBdgt!DA48,0,$D$4)</f>
        <v>0</v>
      </c>
      <c r="DB12" s="1158">
        <f ca="1">-OFFSET(DevBdgt!DB48,0,$D$4)</f>
        <v>0</v>
      </c>
      <c r="DC12" s="1158">
        <f ca="1">-OFFSET(DevBdgt!DC48,0,$D$4)</f>
        <v>0</v>
      </c>
      <c r="DD12" s="1158">
        <f ca="1">-OFFSET(DevBdgt!DD48,0,$D$4)</f>
        <v>0</v>
      </c>
      <c r="DE12" s="1158">
        <f ca="1">-OFFSET(DevBdgt!DE48,0,$D$4)</f>
        <v>0</v>
      </c>
      <c r="DF12" s="1158">
        <f ca="1">-OFFSET(DevBdgt!DF48,0,$D$4)</f>
        <v>0</v>
      </c>
      <c r="DG12" s="1158">
        <f ca="1">-OFFSET(DevBdgt!DG48,0,$D$4)</f>
        <v>0</v>
      </c>
      <c r="DH12" s="1158">
        <f ca="1">-OFFSET(DevBdgt!DH48,0,$D$4)</f>
        <v>0</v>
      </c>
      <c r="DI12" s="1158">
        <f ca="1">-OFFSET(DevBdgt!DI48,0,$D$4)</f>
        <v>0</v>
      </c>
      <c r="DJ12" s="1158">
        <f ca="1">-OFFSET(DevBdgt!DJ48,0,$D$4)</f>
        <v>0</v>
      </c>
      <c r="DK12" s="1158">
        <f ca="1">-OFFSET(DevBdgt!DK48,0,$D$4)</f>
        <v>0</v>
      </c>
      <c r="DL12" s="1158">
        <f ca="1">-OFFSET(DevBdgt!DL48,0,$D$4)</f>
        <v>0</v>
      </c>
      <c r="DM12" s="1158">
        <f ca="1">-OFFSET(DevBdgt!DM48,0,$D$4)</f>
        <v>0</v>
      </c>
      <c r="DN12" s="1158">
        <f ca="1">-OFFSET(DevBdgt!DN48,0,$D$4)</f>
        <v>0</v>
      </c>
      <c r="DO12" s="1158">
        <f ca="1">-OFFSET(DevBdgt!DO48,0,$D$4)</f>
        <v>0</v>
      </c>
      <c r="DP12" s="1158">
        <f ca="1">-OFFSET(DevBdgt!DP48,0,$D$4)</f>
        <v>0</v>
      </c>
      <c r="DQ12" s="1158">
        <f ca="1">-OFFSET(DevBdgt!DQ48,0,$D$4)</f>
        <v>0</v>
      </c>
      <c r="DR12" s="1158">
        <f ca="1">-OFFSET(DevBdgt!DR48,0,$D$4)</f>
        <v>0</v>
      </c>
      <c r="DS12" s="1158">
        <f ca="1">-OFFSET(DevBdgt!DS48,0,$D$4)</f>
        <v>0</v>
      </c>
      <c r="DT12" s="1158">
        <f ca="1">-OFFSET(DevBdgt!DT48,0,$D$4)</f>
        <v>0</v>
      </c>
      <c r="DU12" s="1158">
        <f ca="1">-OFFSET(DevBdgt!DU48,0,$D$4)</f>
        <v>0</v>
      </c>
      <c r="DV12" s="1158">
        <f ca="1">-OFFSET(DevBdgt!DV48,0,$D$4)</f>
        <v>0</v>
      </c>
      <c r="DW12" s="1158">
        <f ca="1">-OFFSET(DevBdgt!DW48,0,$D$4)</f>
        <v>0</v>
      </c>
      <c r="DX12" s="1158">
        <f ca="1">-OFFSET(DevBdgt!DX48,0,$D$4)</f>
        <v>0</v>
      </c>
      <c r="DY12" s="1158">
        <f ca="1">-OFFSET(DevBdgt!DY48,0,$D$4)</f>
        <v>0</v>
      </c>
      <c r="DZ12" s="1158">
        <f ca="1">-OFFSET(DevBdgt!DZ48,0,$D$4)</f>
        <v>0</v>
      </c>
      <c r="EA12" s="1158">
        <f ca="1">-OFFSET(DevBdgt!EA48,0,$D$4)</f>
        <v>0</v>
      </c>
      <c r="EB12" s="1158">
        <f ca="1">-OFFSET(DevBdgt!EB48,0,$D$4)</f>
        <v>0</v>
      </c>
      <c r="EC12" s="1158">
        <f ca="1">-OFFSET(DevBdgt!EC48,0,$D$4)</f>
        <v>0</v>
      </c>
      <c r="ED12" s="1158">
        <f ca="1">-OFFSET(DevBdgt!ED48,0,$D$4)</f>
        <v>0</v>
      </c>
      <c r="EE12" s="1158">
        <f ca="1">-OFFSET(DevBdgt!EE48,0,$D$4)</f>
        <v>0</v>
      </c>
      <c r="EF12" s="1158">
        <f ca="1">-OFFSET(DevBdgt!EF48,0,$D$4)</f>
        <v>0</v>
      </c>
      <c r="EG12" s="1158">
        <f ca="1">-OFFSET(DevBdgt!EG48,0,$D$4)</f>
        <v>0</v>
      </c>
      <c r="EH12" s="778"/>
    </row>
    <row r="13" spans="1:138" ht="12.75" customHeight="1" x14ac:dyDescent="0.3">
      <c r="B13" s="1155" t="s">
        <v>296</v>
      </c>
      <c r="C13" s="1159" t="str">
        <f t="shared" ref="C13:C35" si="6">$A$11&amp;" "&amp;B13</f>
        <v xml:space="preserve"> Land cost</v>
      </c>
      <c r="E13" s="1160">
        <f>IF(D4=0,DevBdgt!E30+DevBdgt!E31,SUM(DevBdgt!E30:'DevBdgt'!F31))</f>
        <v>0</v>
      </c>
      <c r="F13" s="1161">
        <f ca="1">SUM(OFFSET(DevBdgt!F30:F31,0,$D$4))</f>
        <v>9092959.6243421789</v>
      </c>
      <c r="G13" s="1161">
        <f ca="1">SUM(OFFSET(DevBdgt!G30:G31,0,$D$4))</f>
        <v>0</v>
      </c>
      <c r="H13" s="1161">
        <f ca="1">SUM(OFFSET(DevBdgt!H30:H31,0,$D$4))</f>
        <v>0</v>
      </c>
      <c r="I13" s="1161">
        <f ca="1">SUM(OFFSET(DevBdgt!I30:I31,0,$D$4))</f>
        <v>0</v>
      </c>
      <c r="J13" s="1161">
        <f ca="1">SUM(OFFSET(DevBdgt!J30:J31,0,$D$4))</f>
        <v>0</v>
      </c>
      <c r="K13" s="1161">
        <f ca="1">SUM(OFFSET(DevBdgt!K30:K31,0,$D$4))</f>
        <v>0</v>
      </c>
      <c r="L13" s="1161">
        <f ca="1">SUM(OFFSET(DevBdgt!L30:L31,0,$D$4))</f>
        <v>0</v>
      </c>
      <c r="M13" s="1161">
        <f ca="1">SUM(OFFSET(DevBdgt!M30:M31,0,$D$4))</f>
        <v>0</v>
      </c>
      <c r="N13" s="1161">
        <f ca="1">SUM(OFFSET(DevBdgt!N30:N31,0,$D$4))</f>
        <v>0</v>
      </c>
      <c r="O13" s="1161">
        <f ca="1">SUM(OFFSET(DevBdgt!O30:O31,0,$D$4))</f>
        <v>0</v>
      </c>
      <c r="P13" s="1161">
        <f ca="1">SUM(OFFSET(DevBdgt!P30:P31,0,$D$4))</f>
        <v>0</v>
      </c>
      <c r="Q13" s="1161">
        <f ca="1">SUM(OFFSET(DevBdgt!Q30:Q31,0,$D$4))</f>
        <v>0</v>
      </c>
      <c r="R13" s="1161">
        <f ca="1">SUM(OFFSET(DevBdgt!R30:R31,0,$D$4))</f>
        <v>0</v>
      </c>
      <c r="S13" s="1161">
        <f ca="1">SUM(OFFSET(DevBdgt!S30:S31,0,$D$4))</f>
        <v>0</v>
      </c>
      <c r="T13" s="1161">
        <f ca="1">SUM(OFFSET(DevBdgt!T30:T31,0,$D$4))</f>
        <v>0</v>
      </c>
      <c r="U13" s="1161">
        <f ca="1">SUM(OFFSET(DevBdgt!U30:U31,0,$D$4))</f>
        <v>0</v>
      </c>
      <c r="V13" s="1161">
        <f ca="1">SUM(OFFSET(DevBdgt!V30:V31,0,$D$4))</f>
        <v>0</v>
      </c>
      <c r="W13" s="1161">
        <f ca="1">SUM(OFFSET(DevBdgt!W30:W31,0,$D$4))</f>
        <v>0</v>
      </c>
      <c r="X13" s="1161">
        <f ca="1">SUM(OFFSET(DevBdgt!X30:X31,0,$D$4))</f>
        <v>0</v>
      </c>
      <c r="Y13" s="1161">
        <f ca="1">SUM(OFFSET(DevBdgt!Y30:Y31,0,$D$4))</f>
        <v>0</v>
      </c>
      <c r="Z13" s="1161">
        <f ca="1">SUM(OFFSET(DevBdgt!Z30:Z31,0,$D$4))</f>
        <v>0</v>
      </c>
      <c r="AA13" s="1161">
        <f ca="1">SUM(OFFSET(DevBdgt!AA30:AA31,0,$D$4))</f>
        <v>0</v>
      </c>
      <c r="AB13" s="1161">
        <f ca="1">SUM(OFFSET(DevBdgt!AB30:AB31,0,$D$4))</f>
        <v>0</v>
      </c>
      <c r="AC13" s="1161">
        <f ca="1">SUM(OFFSET(DevBdgt!AC30:AC31,0,$D$4))</f>
        <v>0</v>
      </c>
      <c r="AD13" s="1161">
        <f ca="1">SUM(OFFSET(DevBdgt!AD30:AD31,0,$D$4))</f>
        <v>0</v>
      </c>
      <c r="AE13" s="1161">
        <f ca="1">SUM(OFFSET(DevBdgt!AE30:AE31,0,$D$4))</f>
        <v>0</v>
      </c>
      <c r="AF13" s="1161">
        <f ca="1">SUM(OFFSET(DevBdgt!AF30:AF31,0,$D$4))</f>
        <v>0</v>
      </c>
      <c r="AG13" s="1161">
        <f ca="1">SUM(OFFSET(DevBdgt!AG30:AG31,0,$D$4))</f>
        <v>0</v>
      </c>
      <c r="AH13" s="1161">
        <f ca="1">SUM(OFFSET(DevBdgt!AH30:AH31,0,$D$4))</f>
        <v>0</v>
      </c>
      <c r="AI13" s="1161">
        <f ca="1">SUM(OFFSET(DevBdgt!AI30:AI31,0,$D$4))</f>
        <v>0</v>
      </c>
      <c r="AJ13" s="1161">
        <f ca="1">SUM(OFFSET(DevBdgt!AJ30:AJ31,0,$D$4))</f>
        <v>0</v>
      </c>
      <c r="AK13" s="1161">
        <f ca="1">SUM(OFFSET(DevBdgt!AK30:AK31,0,$D$4))</f>
        <v>0</v>
      </c>
      <c r="AL13" s="1161">
        <f ca="1">SUM(OFFSET(DevBdgt!AL30:AL31,0,$D$4))</f>
        <v>0</v>
      </c>
      <c r="AM13" s="1161">
        <f ca="1">SUM(OFFSET(DevBdgt!AM30:AM31,0,$D$4))</f>
        <v>0</v>
      </c>
      <c r="AN13" s="1161">
        <f ca="1">SUM(OFFSET(DevBdgt!AN30:AN31,0,$D$4))</f>
        <v>0</v>
      </c>
      <c r="AO13" s="1161">
        <f ca="1">SUM(OFFSET(DevBdgt!AO30:AO31,0,$D$4))</f>
        <v>0</v>
      </c>
      <c r="AP13" s="1161">
        <f ca="1">SUM(OFFSET(DevBdgt!AP30:AP31,0,$D$4))</f>
        <v>0</v>
      </c>
      <c r="AQ13" s="1161">
        <f ca="1">SUM(OFFSET(DevBdgt!AQ30:AQ31,0,$D$4))</f>
        <v>0</v>
      </c>
      <c r="AR13" s="1161">
        <f ca="1">SUM(OFFSET(DevBdgt!AR30:AR31,0,$D$4))</f>
        <v>0</v>
      </c>
      <c r="AS13" s="1161">
        <f ca="1">SUM(OFFSET(DevBdgt!AS30:AS31,0,$D$4))</f>
        <v>0</v>
      </c>
      <c r="AT13" s="1161">
        <f ca="1">SUM(OFFSET(DevBdgt!AT30:AT31,0,$D$4))</f>
        <v>0</v>
      </c>
      <c r="AU13" s="1161">
        <f ca="1">SUM(OFFSET(DevBdgt!AU30:AU31,0,$D$4))</f>
        <v>0</v>
      </c>
      <c r="AV13" s="1161">
        <f ca="1">SUM(OFFSET(DevBdgt!AV30:AV31,0,$D$4))</f>
        <v>0</v>
      </c>
      <c r="AW13" s="1161">
        <f ca="1">SUM(OFFSET(DevBdgt!AW30:AW31,0,$D$4))</f>
        <v>0</v>
      </c>
      <c r="AX13" s="1161">
        <f ca="1">SUM(OFFSET(DevBdgt!AX30:AX31,0,$D$4))</f>
        <v>0</v>
      </c>
      <c r="AY13" s="1161">
        <f ca="1">SUM(OFFSET(DevBdgt!AY30:AY31,0,$D$4))</f>
        <v>0</v>
      </c>
      <c r="AZ13" s="1161">
        <f ca="1">SUM(OFFSET(DevBdgt!AZ30:AZ31,0,$D$4))</f>
        <v>0</v>
      </c>
      <c r="BA13" s="1161">
        <f ca="1">SUM(OFFSET(DevBdgt!BA30:BA31,0,$D$4))</f>
        <v>0</v>
      </c>
      <c r="BB13" s="1161">
        <f ca="1">SUM(OFFSET(DevBdgt!BB30:BB31,0,$D$4))</f>
        <v>0</v>
      </c>
      <c r="BC13" s="1161">
        <f ca="1">SUM(OFFSET(DevBdgt!BC30:BC31,0,$D$4))</f>
        <v>0</v>
      </c>
      <c r="BD13" s="1161">
        <f ca="1">SUM(OFFSET(DevBdgt!BD30:BD31,0,$D$4))</f>
        <v>0</v>
      </c>
      <c r="BE13" s="1161">
        <f ca="1">SUM(OFFSET(DevBdgt!BE30:BE31,0,$D$4))</f>
        <v>0</v>
      </c>
      <c r="BF13" s="1161">
        <f ca="1">SUM(OFFSET(DevBdgt!BF30:BF31,0,$D$4))</f>
        <v>0</v>
      </c>
      <c r="BG13" s="1161">
        <f ca="1">SUM(OFFSET(DevBdgt!BG30:BG31,0,$D$4))</f>
        <v>0</v>
      </c>
      <c r="BH13" s="1161">
        <f ca="1">SUM(OFFSET(DevBdgt!BH30:BH31,0,$D$4))</f>
        <v>0</v>
      </c>
      <c r="BI13" s="1161">
        <f ca="1">SUM(OFFSET(DevBdgt!BI30:BI31,0,$D$4))</f>
        <v>0</v>
      </c>
      <c r="BJ13" s="1161">
        <f ca="1">SUM(OFFSET(DevBdgt!BJ30:BJ31,0,$D$4))</f>
        <v>0</v>
      </c>
      <c r="BK13" s="1161">
        <f ca="1">SUM(OFFSET(DevBdgt!BK30:BK31,0,$D$4))</f>
        <v>0</v>
      </c>
      <c r="BL13" s="1161">
        <f ca="1">SUM(OFFSET(DevBdgt!BL30:BL31,0,$D$4))</f>
        <v>0</v>
      </c>
      <c r="BM13" s="1161">
        <f ca="1">SUM(OFFSET(DevBdgt!BM30:BM31,0,$D$4))</f>
        <v>0</v>
      </c>
      <c r="BN13" s="1161">
        <f ca="1">SUM(OFFSET(DevBdgt!BN30:BN31,0,$D$4))</f>
        <v>0</v>
      </c>
      <c r="BO13" s="1161">
        <f ca="1">SUM(OFFSET(DevBdgt!BO30:BO31,0,$D$4))</f>
        <v>0</v>
      </c>
      <c r="BP13" s="1161">
        <f ca="1">SUM(OFFSET(DevBdgt!BP30:BP31,0,$D$4))</f>
        <v>0</v>
      </c>
      <c r="BQ13" s="1161">
        <f ca="1">SUM(OFFSET(DevBdgt!BQ30:BQ31,0,$D$4))</f>
        <v>0</v>
      </c>
      <c r="BR13" s="1161">
        <f ca="1">SUM(OFFSET(DevBdgt!BR30:BR31,0,$D$4))</f>
        <v>0</v>
      </c>
      <c r="BS13" s="1161">
        <f ca="1">SUM(OFFSET(DevBdgt!BS30:BS31,0,$D$4))</f>
        <v>0</v>
      </c>
      <c r="BT13" s="1161">
        <f ca="1">SUM(OFFSET(DevBdgt!BT30:BT31,0,$D$4))</f>
        <v>0</v>
      </c>
      <c r="BU13" s="1161">
        <f ca="1">SUM(OFFSET(DevBdgt!BU30:BU31,0,$D$4))</f>
        <v>0</v>
      </c>
      <c r="BV13" s="1161">
        <f ca="1">SUM(OFFSET(DevBdgt!BV30:BV31,0,$D$4))</f>
        <v>0</v>
      </c>
      <c r="BW13" s="1161">
        <f ca="1">SUM(OFFSET(DevBdgt!BW30:BW31,0,$D$4))</f>
        <v>0</v>
      </c>
      <c r="BX13" s="1161">
        <f ca="1">SUM(OFFSET(DevBdgt!BX30:BX31,0,$D$4))</f>
        <v>0</v>
      </c>
      <c r="BY13" s="1161">
        <f ca="1">SUM(OFFSET(DevBdgt!BY30:BY31,0,$D$4))</f>
        <v>0</v>
      </c>
      <c r="BZ13" s="1161">
        <f ca="1">SUM(OFFSET(DevBdgt!BZ30:BZ31,0,$D$4))</f>
        <v>0</v>
      </c>
      <c r="CA13" s="1161">
        <f ca="1">SUM(OFFSET(DevBdgt!CA30:CA31,0,$D$4))</f>
        <v>0</v>
      </c>
      <c r="CB13" s="1161">
        <f ca="1">SUM(OFFSET(DevBdgt!CB30:CB31,0,$D$4))</f>
        <v>0</v>
      </c>
      <c r="CC13" s="1161">
        <f ca="1">SUM(OFFSET(DevBdgt!CC30:CC31,0,$D$4))</f>
        <v>0</v>
      </c>
      <c r="CD13" s="1161">
        <f ca="1">SUM(OFFSET(DevBdgt!CD30:CD31,0,$D$4))</f>
        <v>0</v>
      </c>
      <c r="CE13" s="1161">
        <f ca="1">SUM(OFFSET(DevBdgt!CE30:CE31,0,$D$4))</f>
        <v>0</v>
      </c>
      <c r="CF13" s="1161">
        <f ca="1">SUM(OFFSET(DevBdgt!CF30:CF31,0,$D$4))</f>
        <v>0</v>
      </c>
      <c r="CG13" s="1161">
        <f ca="1">SUM(OFFSET(DevBdgt!CG30:CG31,0,$D$4))</f>
        <v>0</v>
      </c>
      <c r="CH13" s="1161">
        <f ca="1">SUM(OFFSET(DevBdgt!CH30:CH31,0,$D$4))</f>
        <v>0</v>
      </c>
      <c r="CI13" s="1161">
        <f ca="1">SUM(OFFSET(DevBdgt!CI30:CI31,0,$D$4))</f>
        <v>0</v>
      </c>
      <c r="CJ13" s="1161">
        <f ca="1">SUM(OFFSET(DevBdgt!CJ30:CJ31,0,$D$4))</f>
        <v>0</v>
      </c>
      <c r="CK13" s="1161">
        <f ca="1">SUM(OFFSET(DevBdgt!CK30:CK31,0,$D$4))</f>
        <v>0</v>
      </c>
      <c r="CL13" s="1161">
        <f ca="1">SUM(OFFSET(DevBdgt!CL30:CL31,0,$D$4))</f>
        <v>0</v>
      </c>
      <c r="CM13" s="1161">
        <f ca="1">SUM(OFFSET(DevBdgt!CM30:CM31,0,$D$4))</f>
        <v>0</v>
      </c>
      <c r="CN13" s="1161">
        <f ca="1">SUM(OFFSET(DevBdgt!CN30:CN31,0,$D$4))</f>
        <v>0</v>
      </c>
      <c r="CO13" s="1161">
        <f ca="1">SUM(OFFSET(DevBdgt!CO30:CO31,0,$D$4))</f>
        <v>0</v>
      </c>
      <c r="CP13" s="1161">
        <f ca="1">SUM(OFFSET(DevBdgt!CP30:CP31,0,$D$4))</f>
        <v>0</v>
      </c>
      <c r="CQ13" s="1161">
        <f ca="1">SUM(OFFSET(DevBdgt!CQ30:CQ31,0,$D$4))</f>
        <v>0</v>
      </c>
      <c r="CR13" s="1161">
        <f ca="1">SUM(OFFSET(DevBdgt!CR30:CR31,0,$D$4))</f>
        <v>0</v>
      </c>
      <c r="CS13" s="1161">
        <f ca="1">SUM(OFFSET(DevBdgt!CS30:CS31,0,$D$4))</f>
        <v>0</v>
      </c>
      <c r="CT13" s="1161">
        <f ca="1">SUM(OFFSET(DevBdgt!CT30:CT31,0,$D$4))</f>
        <v>0</v>
      </c>
      <c r="CU13" s="1161">
        <f ca="1">SUM(OFFSET(DevBdgt!CU30:CU31,0,$D$4))</f>
        <v>0</v>
      </c>
      <c r="CV13" s="1161">
        <f ca="1">SUM(OFFSET(DevBdgt!CV30:CV31,0,$D$4))</f>
        <v>0</v>
      </c>
      <c r="CW13" s="1161">
        <f ca="1">SUM(OFFSET(DevBdgt!CW30:CW31,0,$D$4))</f>
        <v>0</v>
      </c>
      <c r="CX13" s="1161">
        <f ca="1">SUM(OFFSET(DevBdgt!CX30:CX31,0,$D$4))</f>
        <v>0</v>
      </c>
      <c r="CY13" s="1161">
        <f ca="1">SUM(OFFSET(DevBdgt!CY30:CY31,0,$D$4))</f>
        <v>0</v>
      </c>
      <c r="CZ13" s="1161">
        <f ca="1">SUM(OFFSET(DevBdgt!CZ30:CZ31,0,$D$4))</f>
        <v>0</v>
      </c>
      <c r="DA13" s="1161">
        <f ca="1">SUM(OFFSET(DevBdgt!DA30:DA31,0,$D$4))</f>
        <v>0</v>
      </c>
      <c r="DB13" s="1161">
        <f ca="1">SUM(OFFSET(DevBdgt!DB30:DB31,0,$D$4))</f>
        <v>0</v>
      </c>
      <c r="DC13" s="1161">
        <f ca="1">SUM(OFFSET(DevBdgt!DC30:DC31,0,$D$4))</f>
        <v>0</v>
      </c>
      <c r="DD13" s="1161">
        <f ca="1">SUM(OFFSET(DevBdgt!DD30:DD31,0,$D$4))</f>
        <v>0</v>
      </c>
      <c r="DE13" s="1161">
        <f ca="1">SUM(OFFSET(DevBdgt!DE30:DE31,0,$D$4))</f>
        <v>0</v>
      </c>
      <c r="DF13" s="1161">
        <f ca="1">SUM(OFFSET(DevBdgt!DF30:DF31,0,$D$4))</f>
        <v>0</v>
      </c>
      <c r="DG13" s="1161">
        <f ca="1">SUM(OFFSET(DevBdgt!DG30:DG31,0,$D$4))</f>
        <v>0</v>
      </c>
      <c r="DH13" s="1161">
        <f ca="1">SUM(OFFSET(DevBdgt!DH30:DH31,0,$D$4))</f>
        <v>0</v>
      </c>
      <c r="DI13" s="1161">
        <f ca="1">SUM(OFFSET(DevBdgt!DI30:DI31,0,$D$4))</f>
        <v>0</v>
      </c>
      <c r="DJ13" s="1161">
        <f ca="1">SUM(OFFSET(DevBdgt!DJ30:DJ31,0,$D$4))</f>
        <v>0</v>
      </c>
      <c r="DK13" s="1161">
        <f ca="1">SUM(OFFSET(DevBdgt!DK30:DK31,0,$D$4))</f>
        <v>0</v>
      </c>
      <c r="DL13" s="1161">
        <f ca="1">SUM(OFFSET(DevBdgt!DL30:DL31,0,$D$4))</f>
        <v>0</v>
      </c>
      <c r="DM13" s="1161">
        <f ca="1">SUM(OFFSET(DevBdgt!DM30:DM31,0,$D$4))</f>
        <v>0</v>
      </c>
      <c r="DN13" s="1161">
        <f ca="1">SUM(OFFSET(DevBdgt!DN30:DN31,0,$D$4))</f>
        <v>0</v>
      </c>
      <c r="DO13" s="1161">
        <f ca="1">SUM(OFFSET(DevBdgt!DO30:DO31,0,$D$4))</f>
        <v>0</v>
      </c>
      <c r="DP13" s="1161">
        <f ca="1">SUM(OFFSET(DevBdgt!DP30:DP31,0,$D$4))</f>
        <v>0</v>
      </c>
      <c r="DQ13" s="1161">
        <f ca="1">SUM(OFFSET(DevBdgt!DQ30:DQ31,0,$D$4))</f>
        <v>0</v>
      </c>
      <c r="DR13" s="1161">
        <f ca="1">SUM(OFFSET(DevBdgt!DR30:DR31,0,$D$4))</f>
        <v>0</v>
      </c>
      <c r="DS13" s="1161">
        <f ca="1">SUM(OFFSET(DevBdgt!DS30:DS31,0,$D$4))</f>
        <v>0</v>
      </c>
      <c r="DT13" s="1161">
        <f ca="1">SUM(OFFSET(DevBdgt!DT30:DT31,0,$D$4))</f>
        <v>0</v>
      </c>
      <c r="DU13" s="1161">
        <f ca="1">SUM(OFFSET(DevBdgt!DU30:DU31,0,$D$4))</f>
        <v>0</v>
      </c>
      <c r="DV13" s="1161">
        <f ca="1">SUM(OFFSET(DevBdgt!DV30:DV31,0,$D$4))</f>
        <v>0</v>
      </c>
      <c r="DW13" s="1161">
        <f ca="1">SUM(OFFSET(DevBdgt!DW30:DW31,0,$D$4))</f>
        <v>0</v>
      </c>
      <c r="DX13" s="1161">
        <f ca="1">SUM(OFFSET(DevBdgt!DX30:DX31,0,$D$4))</f>
        <v>0</v>
      </c>
      <c r="DY13" s="1161">
        <f ca="1">SUM(OFFSET(DevBdgt!DY30:DY31,0,$D$4))</f>
        <v>0</v>
      </c>
      <c r="DZ13" s="1161">
        <f ca="1">SUM(OFFSET(DevBdgt!DZ30:DZ31,0,$D$4))</f>
        <v>0</v>
      </c>
      <c r="EA13" s="1161">
        <f ca="1">SUM(OFFSET(DevBdgt!EA30:EA31,0,$D$4))</f>
        <v>0</v>
      </c>
      <c r="EB13" s="1161">
        <f ca="1">SUM(OFFSET(DevBdgt!EB30:EB31,0,$D$4))</f>
        <v>0</v>
      </c>
      <c r="EC13" s="1161">
        <f ca="1">SUM(OFFSET(DevBdgt!EC30:EC31,0,$D$4))</f>
        <v>0</v>
      </c>
      <c r="ED13" s="1161">
        <f ca="1">SUM(OFFSET(DevBdgt!ED30:ED31,0,$D$4))</f>
        <v>0</v>
      </c>
      <c r="EE13" s="1161">
        <f ca="1">SUM(OFFSET(DevBdgt!EE30:EE31,0,$D$4))</f>
        <v>0</v>
      </c>
      <c r="EF13" s="1161">
        <f ca="1">SUM(OFFSET(DevBdgt!EF30:EF31,0,$D$4))</f>
        <v>0</v>
      </c>
      <c r="EG13" s="1161">
        <f ca="1">SUM(OFFSET(DevBdgt!EG30:EG31,0,$D$4))</f>
        <v>0</v>
      </c>
      <c r="EH13" s="778"/>
    </row>
    <row r="14" spans="1:138" ht="12.75" customHeight="1" x14ac:dyDescent="0.3">
      <c r="B14" s="1155" t="s">
        <v>297</v>
      </c>
      <c r="C14" s="1159" t="str">
        <f t="shared" si="6"/>
        <v xml:space="preserve"> Financing cost</v>
      </c>
      <c r="E14" s="1160">
        <f ca="1">IF(D4=0,DevBdgt!E36,SUM(DevBdgt!E36:F36))</f>
        <v>821583.45041148621</v>
      </c>
      <c r="F14" s="1161">
        <f ca="1">OFFSET(DevBdgt!F36,0,$D$4)</f>
        <v>3000</v>
      </c>
      <c r="G14" s="1161">
        <f ca="1">OFFSET(DevBdgt!G36,0,$D$4)</f>
        <v>3000</v>
      </c>
      <c r="H14" s="1161">
        <f ca="1">OFFSET(DevBdgt!H36,0,$D$4)</f>
        <v>3000</v>
      </c>
      <c r="I14" s="1161">
        <f ca="1">OFFSET(DevBdgt!I36,0,$D$4)</f>
        <v>3000</v>
      </c>
      <c r="J14" s="1161">
        <f ca="1">OFFSET(DevBdgt!J36,0,$D$4)</f>
        <v>3000</v>
      </c>
      <c r="K14" s="1161">
        <f ca="1">OFFSET(DevBdgt!K36,0,$D$4)</f>
        <v>3000</v>
      </c>
      <c r="L14" s="1161">
        <f ca="1">OFFSET(DevBdgt!L36,0,$D$4)</f>
        <v>3000</v>
      </c>
      <c r="M14" s="1161">
        <f ca="1">OFFSET(DevBdgt!M36,0,$D$4)</f>
        <v>3000</v>
      </c>
      <c r="N14" s="1161">
        <f ca="1">OFFSET(DevBdgt!N36,0,$D$4)</f>
        <v>3000</v>
      </c>
      <c r="O14" s="1161">
        <f ca="1">OFFSET(DevBdgt!O36,0,$D$4)</f>
        <v>3000</v>
      </c>
      <c r="P14" s="1161">
        <f ca="1">OFFSET(DevBdgt!P36,0,$D$4)</f>
        <v>3000</v>
      </c>
      <c r="Q14" s="1161">
        <f ca="1">OFFSET(DevBdgt!Q36,0,$D$4)</f>
        <v>3000</v>
      </c>
      <c r="R14" s="1161">
        <f ca="1">OFFSET(DevBdgt!R36,0,$D$4)</f>
        <v>3000</v>
      </c>
      <c r="S14" s="1161">
        <f ca="1">OFFSET(DevBdgt!S36,0,$D$4)</f>
        <v>3000</v>
      </c>
      <c r="T14" s="1161">
        <f ca="1">OFFSET(DevBdgt!T36,0,$D$4)</f>
        <v>3000</v>
      </c>
      <c r="U14" s="1161">
        <f ca="1">OFFSET(DevBdgt!U36,0,$D$4)</f>
        <v>3000</v>
      </c>
      <c r="V14" s="1161">
        <f ca="1">OFFSET(DevBdgt!V36,0,$D$4)</f>
        <v>3000</v>
      </c>
      <c r="W14" s="1161">
        <f ca="1">OFFSET(DevBdgt!W36,0,$D$4)</f>
        <v>3000</v>
      </c>
      <c r="X14" s="1161">
        <f ca="1">OFFSET(DevBdgt!X36,0,$D$4)</f>
        <v>3000</v>
      </c>
      <c r="Y14" s="1161">
        <f ca="1">OFFSET(DevBdgt!Y36,0,$D$4)</f>
        <v>3000</v>
      </c>
      <c r="Z14" s="1161">
        <f ca="1">OFFSET(DevBdgt!Z36,0,$D$4)</f>
        <v>3000</v>
      </c>
      <c r="AA14" s="1161">
        <f ca="1">OFFSET(DevBdgt!AA36,0,$D$4)</f>
        <v>3000</v>
      </c>
      <c r="AB14" s="1161">
        <f ca="1">OFFSET(DevBdgt!AB36,0,$D$4)</f>
        <v>3000</v>
      </c>
      <c r="AC14" s="1161">
        <f ca="1">OFFSET(DevBdgt!AC36,0,$D$4)</f>
        <v>3000</v>
      </c>
      <c r="AD14" s="1161">
        <f ca="1">OFFSET(DevBdgt!AD36,0,$D$4)</f>
        <v>3000</v>
      </c>
      <c r="AE14" s="1161">
        <f ca="1">OFFSET(DevBdgt!AE36,0,$D$4)</f>
        <v>0</v>
      </c>
      <c r="AF14" s="1161">
        <f ca="1">OFFSET(DevBdgt!AF36,0,$D$4)</f>
        <v>0</v>
      </c>
      <c r="AG14" s="1161">
        <f ca="1">OFFSET(DevBdgt!AG36,0,$D$4)</f>
        <v>0</v>
      </c>
      <c r="AH14" s="1161">
        <f ca="1">OFFSET(DevBdgt!AH36,0,$D$4)</f>
        <v>0</v>
      </c>
      <c r="AI14" s="1161">
        <f ca="1">OFFSET(DevBdgt!AI36,0,$D$4)</f>
        <v>0</v>
      </c>
      <c r="AJ14" s="1161">
        <f ca="1">OFFSET(DevBdgt!AJ36,0,$D$4)</f>
        <v>0</v>
      </c>
      <c r="AK14" s="1161">
        <f ca="1">OFFSET(DevBdgt!AK36,0,$D$4)</f>
        <v>0</v>
      </c>
      <c r="AL14" s="1161">
        <f ca="1">OFFSET(DevBdgt!AL36,0,$D$4)</f>
        <v>0</v>
      </c>
      <c r="AM14" s="1161">
        <f ca="1">OFFSET(DevBdgt!AM36,0,$D$4)</f>
        <v>0</v>
      </c>
      <c r="AN14" s="1161">
        <f ca="1">OFFSET(DevBdgt!AN36,0,$D$4)</f>
        <v>0</v>
      </c>
      <c r="AO14" s="1161">
        <f ca="1">OFFSET(DevBdgt!AO36,0,$D$4)</f>
        <v>0</v>
      </c>
      <c r="AP14" s="1161">
        <f ca="1">OFFSET(DevBdgt!AP36,0,$D$4)</f>
        <v>0</v>
      </c>
      <c r="AQ14" s="1161">
        <f ca="1">OFFSET(DevBdgt!AQ36,0,$D$4)</f>
        <v>0</v>
      </c>
      <c r="AR14" s="1161">
        <f ca="1">OFFSET(DevBdgt!AR36,0,$D$4)</f>
        <v>0</v>
      </c>
      <c r="AS14" s="1161">
        <f ca="1">OFFSET(DevBdgt!AS36,0,$D$4)</f>
        <v>0</v>
      </c>
      <c r="AT14" s="1161">
        <f ca="1">OFFSET(DevBdgt!AT36,0,$D$4)</f>
        <v>0</v>
      </c>
      <c r="AU14" s="1161">
        <f ca="1">OFFSET(DevBdgt!AU36,0,$D$4)</f>
        <v>0</v>
      </c>
      <c r="AV14" s="1161">
        <f ca="1">OFFSET(DevBdgt!AV36,0,$D$4)</f>
        <v>0</v>
      </c>
      <c r="AW14" s="1161">
        <f ca="1">OFFSET(DevBdgt!AW36,0,$D$4)</f>
        <v>0</v>
      </c>
      <c r="AX14" s="1161">
        <f ca="1">OFFSET(DevBdgt!AX36,0,$D$4)</f>
        <v>0</v>
      </c>
      <c r="AY14" s="1161">
        <f ca="1">OFFSET(DevBdgt!AY36,0,$D$4)</f>
        <v>0</v>
      </c>
      <c r="AZ14" s="1161">
        <f ca="1">OFFSET(DevBdgt!AZ36,0,$D$4)</f>
        <v>0</v>
      </c>
      <c r="BA14" s="1161">
        <f ca="1">OFFSET(DevBdgt!BA36,0,$D$4)</f>
        <v>0</v>
      </c>
      <c r="BB14" s="1161">
        <f ca="1">OFFSET(DevBdgt!BB36,0,$D$4)</f>
        <v>0</v>
      </c>
      <c r="BC14" s="1161">
        <f ca="1">OFFSET(DevBdgt!BC36,0,$D$4)</f>
        <v>0</v>
      </c>
      <c r="BD14" s="1161">
        <f ca="1">OFFSET(DevBdgt!BD36,0,$D$4)</f>
        <v>0</v>
      </c>
      <c r="BE14" s="1161">
        <f ca="1">OFFSET(DevBdgt!BE36,0,$D$4)</f>
        <v>0</v>
      </c>
      <c r="BF14" s="1161">
        <f ca="1">OFFSET(DevBdgt!BF36,0,$D$4)</f>
        <v>0</v>
      </c>
      <c r="BG14" s="1161">
        <f ca="1">OFFSET(DevBdgt!BG36,0,$D$4)</f>
        <v>0</v>
      </c>
      <c r="BH14" s="1161">
        <f ca="1">OFFSET(DevBdgt!BH36,0,$D$4)</f>
        <v>0</v>
      </c>
      <c r="BI14" s="1161">
        <f ca="1">OFFSET(DevBdgt!BI36,0,$D$4)</f>
        <v>0</v>
      </c>
      <c r="BJ14" s="1161">
        <f ca="1">OFFSET(DevBdgt!BJ36,0,$D$4)</f>
        <v>0</v>
      </c>
      <c r="BK14" s="1161">
        <f ca="1">OFFSET(DevBdgt!BK36,0,$D$4)</f>
        <v>0</v>
      </c>
      <c r="BL14" s="1161">
        <f ca="1">OFFSET(DevBdgt!BL36,0,$D$4)</f>
        <v>0</v>
      </c>
      <c r="BM14" s="1161">
        <f ca="1">OFFSET(DevBdgt!BM36,0,$D$4)</f>
        <v>0</v>
      </c>
      <c r="BN14" s="1161">
        <f ca="1">OFFSET(DevBdgt!BN36,0,$D$4)</f>
        <v>0</v>
      </c>
      <c r="BO14" s="1161">
        <f ca="1">OFFSET(DevBdgt!BO36,0,$D$4)</f>
        <v>0</v>
      </c>
      <c r="BP14" s="1161">
        <f ca="1">OFFSET(DevBdgt!BP36,0,$D$4)</f>
        <v>0</v>
      </c>
      <c r="BQ14" s="1161">
        <f ca="1">OFFSET(DevBdgt!BQ36,0,$D$4)</f>
        <v>0</v>
      </c>
      <c r="BR14" s="1161">
        <f ca="1">OFFSET(DevBdgt!BR36,0,$D$4)</f>
        <v>0</v>
      </c>
      <c r="BS14" s="1161">
        <f ca="1">OFFSET(DevBdgt!BS36,0,$D$4)</f>
        <v>0</v>
      </c>
      <c r="BT14" s="1161">
        <f ca="1">OFFSET(DevBdgt!BT36,0,$D$4)</f>
        <v>0</v>
      </c>
      <c r="BU14" s="1161">
        <f ca="1">OFFSET(DevBdgt!BU36,0,$D$4)</f>
        <v>0</v>
      </c>
      <c r="BV14" s="1161">
        <f ca="1">OFFSET(DevBdgt!BV36,0,$D$4)</f>
        <v>0</v>
      </c>
      <c r="BW14" s="1161">
        <f ca="1">OFFSET(DevBdgt!BW36,0,$D$4)</f>
        <v>0</v>
      </c>
      <c r="BX14" s="1161">
        <f ca="1">OFFSET(DevBdgt!BX36,0,$D$4)</f>
        <v>0</v>
      </c>
      <c r="BY14" s="1161">
        <f ca="1">OFFSET(DevBdgt!BY36,0,$D$4)</f>
        <v>0</v>
      </c>
      <c r="BZ14" s="1161">
        <f ca="1">OFFSET(DevBdgt!BZ36,0,$D$4)</f>
        <v>0</v>
      </c>
      <c r="CA14" s="1161">
        <f ca="1">OFFSET(DevBdgt!CA36,0,$D$4)</f>
        <v>0</v>
      </c>
      <c r="CB14" s="1161">
        <f ca="1">OFFSET(DevBdgt!CB36,0,$D$4)</f>
        <v>0</v>
      </c>
      <c r="CC14" s="1161">
        <f ca="1">OFFSET(DevBdgt!CC36,0,$D$4)</f>
        <v>0</v>
      </c>
      <c r="CD14" s="1161">
        <f ca="1">OFFSET(DevBdgt!CD36,0,$D$4)</f>
        <v>0</v>
      </c>
      <c r="CE14" s="1161">
        <f ca="1">OFFSET(DevBdgt!CE36,0,$D$4)</f>
        <v>0</v>
      </c>
      <c r="CF14" s="1161">
        <f ca="1">OFFSET(DevBdgt!CF36,0,$D$4)</f>
        <v>0</v>
      </c>
      <c r="CG14" s="1161">
        <f ca="1">OFFSET(DevBdgt!CG36,0,$D$4)</f>
        <v>0</v>
      </c>
      <c r="CH14" s="1161">
        <f ca="1">OFFSET(DevBdgt!CH36,0,$D$4)</f>
        <v>0</v>
      </c>
      <c r="CI14" s="1161">
        <f ca="1">OFFSET(DevBdgt!CI36,0,$D$4)</f>
        <v>0</v>
      </c>
      <c r="CJ14" s="1161">
        <f ca="1">OFFSET(DevBdgt!CJ36,0,$D$4)</f>
        <v>0</v>
      </c>
      <c r="CK14" s="1161">
        <f ca="1">OFFSET(DevBdgt!CK36,0,$D$4)</f>
        <v>0</v>
      </c>
      <c r="CL14" s="1161">
        <f ca="1">OFFSET(DevBdgt!CL36,0,$D$4)</f>
        <v>0</v>
      </c>
      <c r="CM14" s="1161">
        <f ca="1">OFFSET(DevBdgt!CM36,0,$D$4)</f>
        <v>0</v>
      </c>
      <c r="CN14" s="1161">
        <f ca="1">OFFSET(DevBdgt!CN36,0,$D$4)</f>
        <v>0</v>
      </c>
      <c r="CO14" s="1161">
        <f ca="1">OFFSET(DevBdgt!CO36,0,$D$4)</f>
        <v>0</v>
      </c>
      <c r="CP14" s="1161">
        <f ca="1">OFFSET(DevBdgt!CP36,0,$D$4)</f>
        <v>0</v>
      </c>
      <c r="CQ14" s="1161">
        <f ca="1">OFFSET(DevBdgt!CQ36,0,$D$4)</f>
        <v>0</v>
      </c>
      <c r="CR14" s="1161">
        <f ca="1">OFFSET(DevBdgt!CR36,0,$D$4)</f>
        <v>0</v>
      </c>
      <c r="CS14" s="1161">
        <f ca="1">OFFSET(DevBdgt!CS36,0,$D$4)</f>
        <v>0</v>
      </c>
      <c r="CT14" s="1161">
        <f ca="1">OFFSET(DevBdgt!CT36,0,$D$4)</f>
        <v>0</v>
      </c>
      <c r="CU14" s="1161">
        <f ca="1">OFFSET(DevBdgt!CU36,0,$D$4)</f>
        <v>0</v>
      </c>
      <c r="CV14" s="1161">
        <f ca="1">OFFSET(DevBdgt!CV36,0,$D$4)</f>
        <v>0</v>
      </c>
      <c r="CW14" s="1161">
        <f ca="1">OFFSET(DevBdgt!CW36,0,$D$4)</f>
        <v>0</v>
      </c>
      <c r="CX14" s="1161">
        <f ca="1">OFFSET(DevBdgt!CX36,0,$D$4)</f>
        <v>0</v>
      </c>
      <c r="CY14" s="1161">
        <f ca="1">OFFSET(DevBdgt!CY36,0,$D$4)</f>
        <v>0</v>
      </c>
      <c r="CZ14" s="1161">
        <f ca="1">OFFSET(DevBdgt!CZ36,0,$D$4)</f>
        <v>0</v>
      </c>
      <c r="DA14" s="1161">
        <f ca="1">OFFSET(DevBdgt!DA36,0,$D$4)</f>
        <v>0</v>
      </c>
      <c r="DB14" s="1161">
        <f ca="1">OFFSET(DevBdgt!DB36,0,$D$4)</f>
        <v>0</v>
      </c>
      <c r="DC14" s="1161">
        <f ca="1">OFFSET(DevBdgt!DC36,0,$D$4)</f>
        <v>0</v>
      </c>
      <c r="DD14" s="1161">
        <f ca="1">OFFSET(DevBdgt!DD36,0,$D$4)</f>
        <v>0</v>
      </c>
      <c r="DE14" s="1161">
        <f ca="1">OFFSET(DevBdgt!DE36,0,$D$4)</f>
        <v>0</v>
      </c>
      <c r="DF14" s="1161">
        <f ca="1">OFFSET(DevBdgt!DF36,0,$D$4)</f>
        <v>0</v>
      </c>
      <c r="DG14" s="1161">
        <f ca="1">OFFSET(DevBdgt!DG36,0,$D$4)</f>
        <v>0</v>
      </c>
      <c r="DH14" s="1161">
        <f ca="1">OFFSET(DevBdgt!DH36,0,$D$4)</f>
        <v>0</v>
      </c>
      <c r="DI14" s="1161">
        <f ca="1">OFFSET(DevBdgt!DI36,0,$D$4)</f>
        <v>0</v>
      </c>
      <c r="DJ14" s="1161">
        <f ca="1">OFFSET(DevBdgt!DJ36,0,$D$4)</f>
        <v>0</v>
      </c>
      <c r="DK14" s="1161">
        <f ca="1">OFFSET(DevBdgt!DK36,0,$D$4)</f>
        <v>0</v>
      </c>
      <c r="DL14" s="1161">
        <f ca="1">OFFSET(DevBdgt!DL36,0,$D$4)</f>
        <v>0</v>
      </c>
      <c r="DM14" s="1161">
        <f ca="1">OFFSET(DevBdgt!DM36,0,$D$4)</f>
        <v>0</v>
      </c>
      <c r="DN14" s="1161">
        <f ca="1">OFFSET(DevBdgt!DN36,0,$D$4)</f>
        <v>0</v>
      </c>
      <c r="DO14" s="1161">
        <f ca="1">OFFSET(DevBdgt!DO36,0,$D$4)</f>
        <v>0</v>
      </c>
      <c r="DP14" s="1161">
        <f ca="1">OFFSET(DevBdgt!DP36,0,$D$4)</f>
        <v>0</v>
      </c>
      <c r="DQ14" s="1161">
        <f ca="1">OFFSET(DevBdgt!DQ36,0,$D$4)</f>
        <v>0</v>
      </c>
      <c r="DR14" s="1161">
        <f ca="1">OFFSET(DevBdgt!DR36,0,$D$4)</f>
        <v>0</v>
      </c>
      <c r="DS14" s="1161">
        <f ca="1">OFFSET(DevBdgt!DS36,0,$D$4)</f>
        <v>0</v>
      </c>
      <c r="DT14" s="1161">
        <f ca="1">OFFSET(DevBdgt!DT36,0,$D$4)</f>
        <v>0</v>
      </c>
      <c r="DU14" s="1161">
        <f ca="1">OFFSET(DevBdgt!DU36,0,$D$4)</f>
        <v>0</v>
      </c>
      <c r="DV14" s="1161">
        <f ca="1">OFFSET(DevBdgt!DV36,0,$D$4)</f>
        <v>0</v>
      </c>
      <c r="DW14" s="1161">
        <f ca="1">OFFSET(DevBdgt!DW36,0,$D$4)</f>
        <v>0</v>
      </c>
      <c r="DX14" s="1161">
        <f ca="1">OFFSET(DevBdgt!DX36,0,$D$4)</f>
        <v>0</v>
      </c>
      <c r="DY14" s="1161">
        <f ca="1">OFFSET(DevBdgt!DY36,0,$D$4)</f>
        <v>0</v>
      </c>
      <c r="DZ14" s="1161">
        <f ca="1">OFFSET(DevBdgt!DZ36,0,$D$4)</f>
        <v>0</v>
      </c>
      <c r="EA14" s="1161">
        <f ca="1">OFFSET(DevBdgt!EA36,0,$D$4)</f>
        <v>0</v>
      </c>
      <c r="EB14" s="1161">
        <f ca="1">OFFSET(DevBdgt!EB36,0,$D$4)</f>
        <v>0</v>
      </c>
      <c r="EC14" s="1161">
        <f ca="1">OFFSET(DevBdgt!EC36,0,$D$4)</f>
        <v>0</v>
      </c>
      <c r="ED14" s="1161">
        <f ca="1">OFFSET(DevBdgt!ED36,0,$D$4)</f>
        <v>0</v>
      </c>
      <c r="EE14" s="1161">
        <f ca="1">OFFSET(DevBdgt!EE36,0,$D$4)</f>
        <v>0</v>
      </c>
      <c r="EF14" s="1161">
        <f ca="1">OFFSET(DevBdgt!EF36,0,$D$4)</f>
        <v>0</v>
      </c>
      <c r="EG14" s="1161">
        <f ca="1">OFFSET(DevBdgt!EG36,0,$D$4)</f>
        <v>0</v>
      </c>
      <c r="EH14" s="778"/>
    </row>
    <row r="15" spans="1:138" ht="12.75" customHeight="1" x14ac:dyDescent="0.3">
      <c r="B15" s="1155" t="s">
        <v>298</v>
      </c>
      <c r="C15" s="1159" t="str">
        <f t="shared" si="6"/>
        <v xml:space="preserve"> Construction interest</v>
      </c>
      <c r="E15" s="1160">
        <f>IF(D4=0,DevBdgt!E35,SUM(DevBdgt!E35:F35))</f>
        <v>0</v>
      </c>
      <c r="F15" s="1161">
        <f ca="1">OFFSET(DevBdgt!F35,0,$D$4)</f>
        <v>0</v>
      </c>
      <c r="G15" s="1161">
        <f ca="1">OFFSET(DevBdgt!G35,0,$D$4)</f>
        <v>0</v>
      </c>
      <c r="H15" s="1161">
        <f ca="1">OFFSET(DevBdgt!H35,0,$D$4)</f>
        <v>0</v>
      </c>
      <c r="I15" s="1161">
        <f ca="1">OFFSET(DevBdgt!I35,0,$D$4)</f>
        <v>0</v>
      </c>
      <c r="J15" s="1161">
        <f ca="1">OFFSET(DevBdgt!J35,0,$D$4)</f>
        <v>0</v>
      </c>
      <c r="K15" s="1161">
        <f ca="1">OFFSET(DevBdgt!K35,0,$D$4)</f>
        <v>0</v>
      </c>
      <c r="L15" s="1161">
        <f ca="1">OFFSET(DevBdgt!L35,0,$D$4)</f>
        <v>0</v>
      </c>
      <c r="M15" s="1161">
        <f ca="1">OFFSET(DevBdgt!M35,0,$D$4)</f>
        <v>0</v>
      </c>
      <c r="N15" s="1161">
        <f ca="1">OFFSET(DevBdgt!N35,0,$D$4)</f>
        <v>0</v>
      </c>
      <c r="O15" s="1161">
        <f ca="1">OFFSET(DevBdgt!O35,0,$D$4)</f>
        <v>0</v>
      </c>
      <c r="P15" s="1161">
        <f ca="1">OFFSET(DevBdgt!P35,0,$D$4)</f>
        <v>9271.8618416666668</v>
      </c>
      <c r="Q15" s="1161">
        <f ca="1">OFFSET(DevBdgt!Q35,0,$D$4)</f>
        <v>30859.985503750006</v>
      </c>
      <c r="R15" s="1161">
        <f ca="1">OFFSET(DevBdgt!R35,0,$D$4)</f>
        <v>52721.499257916672</v>
      </c>
      <c r="S15" s="1161">
        <f ca="1">OFFSET(DevBdgt!S35,0,$D$4)</f>
        <v>74793.826184999998</v>
      </c>
      <c r="T15" s="1161">
        <f ca="1">OFFSET(DevBdgt!T35,0,$D$4)</f>
        <v>95453.90916208335</v>
      </c>
      <c r="U15" s="1161">
        <f ca="1">OFFSET(DevBdgt!U35,0,$D$4)</f>
        <v>115534.80412500001</v>
      </c>
      <c r="V15" s="1161">
        <f ca="1">OFFSET(DevBdgt!V35,0,$D$4)</f>
        <v>134160.78209083332</v>
      </c>
      <c r="W15" s="1161">
        <f ca="1">OFFSET(DevBdgt!W35,0,$D$4)</f>
        <v>150961.88393541667</v>
      </c>
      <c r="X15" s="1161">
        <f ca="1">OFFSET(DevBdgt!X35,0,$D$4)</f>
        <v>149468.47362206239</v>
      </c>
      <c r="Y15" s="1161">
        <f ca="1">OFFSET(DevBdgt!Y35,0,$D$4)</f>
        <v>126565.92720762049</v>
      </c>
      <c r="Z15" s="1161">
        <f ca="1">OFFSET(DevBdgt!Z35,0,$D$4)</f>
        <v>93159.022734660248</v>
      </c>
      <c r="AA15" s="1161">
        <f ca="1">OFFSET(DevBdgt!AA35,0,$D$4)</f>
        <v>49426.25748972423</v>
      </c>
      <c r="AB15" s="1161">
        <f ca="1">OFFSET(DevBdgt!AB35,0,$D$4)</f>
        <v>3883.9078558211913</v>
      </c>
      <c r="AC15" s="1161">
        <f ca="1">OFFSET(DevBdgt!AC35,0,$D$4)</f>
        <v>0</v>
      </c>
      <c r="AD15" s="1161">
        <f ca="1">OFFSET(DevBdgt!AD35,0,$D$4)</f>
        <v>0</v>
      </c>
      <c r="AE15" s="1161">
        <f ca="1">OFFSET(DevBdgt!AE35,0,$D$4)</f>
        <v>0</v>
      </c>
      <c r="AF15" s="1161">
        <f ca="1">OFFSET(DevBdgt!AF35,0,$D$4)</f>
        <v>0</v>
      </c>
      <c r="AG15" s="1161">
        <f ca="1">OFFSET(DevBdgt!AG35,0,$D$4)</f>
        <v>0</v>
      </c>
      <c r="AH15" s="1161">
        <f ca="1">OFFSET(DevBdgt!AH35,0,$D$4)</f>
        <v>0</v>
      </c>
      <c r="AI15" s="1161">
        <f ca="1">OFFSET(DevBdgt!AI35,0,$D$4)</f>
        <v>0</v>
      </c>
      <c r="AJ15" s="1161">
        <f ca="1">OFFSET(DevBdgt!AJ35,0,$D$4)</f>
        <v>0</v>
      </c>
      <c r="AK15" s="1161">
        <f ca="1">OFFSET(DevBdgt!AK35,0,$D$4)</f>
        <v>0</v>
      </c>
      <c r="AL15" s="1161">
        <f ca="1">OFFSET(DevBdgt!AL35,0,$D$4)</f>
        <v>0</v>
      </c>
      <c r="AM15" s="1161">
        <f ca="1">OFFSET(DevBdgt!AM35,0,$D$4)</f>
        <v>0</v>
      </c>
      <c r="AN15" s="1161">
        <f ca="1">OFFSET(DevBdgt!AN35,0,$D$4)</f>
        <v>0</v>
      </c>
      <c r="AO15" s="1161">
        <f ca="1">OFFSET(DevBdgt!AO35,0,$D$4)</f>
        <v>0</v>
      </c>
      <c r="AP15" s="1161">
        <f ca="1">OFFSET(DevBdgt!AP35,0,$D$4)</f>
        <v>0</v>
      </c>
      <c r="AQ15" s="1161">
        <f ca="1">OFFSET(DevBdgt!AQ35,0,$D$4)</f>
        <v>0</v>
      </c>
      <c r="AR15" s="1161">
        <f ca="1">OFFSET(DevBdgt!AR35,0,$D$4)</f>
        <v>0</v>
      </c>
      <c r="AS15" s="1161">
        <f ca="1">OFFSET(DevBdgt!AS35,0,$D$4)</f>
        <v>0</v>
      </c>
      <c r="AT15" s="1161">
        <f ca="1">OFFSET(DevBdgt!AT35,0,$D$4)</f>
        <v>0</v>
      </c>
      <c r="AU15" s="1161">
        <f ca="1">OFFSET(DevBdgt!AU35,0,$D$4)</f>
        <v>0</v>
      </c>
      <c r="AV15" s="1161">
        <f ca="1">OFFSET(DevBdgt!AV35,0,$D$4)</f>
        <v>0</v>
      </c>
      <c r="AW15" s="1161">
        <f ca="1">OFFSET(DevBdgt!AW35,0,$D$4)</f>
        <v>0</v>
      </c>
      <c r="AX15" s="1161">
        <f ca="1">OFFSET(DevBdgt!AX35,0,$D$4)</f>
        <v>0</v>
      </c>
      <c r="AY15" s="1161">
        <f ca="1">OFFSET(DevBdgt!AY35,0,$D$4)</f>
        <v>0</v>
      </c>
      <c r="AZ15" s="1161">
        <f ca="1">OFFSET(DevBdgt!AZ35,0,$D$4)</f>
        <v>0</v>
      </c>
      <c r="BA15" s="1161">
        <f ca="1">OFFSET(DevBdgt!BA35,0,$D$4)</f>
        <v>0</v>
      </c>
      <c r="BB15" s="1161">
        <f ca="1">OFFSET(DevBdgt!BB35,0,$D$4)</f>
        <v>0</v>
      </c>
      <c r="BC15" s="1161">
        <f ca="1">OFFSET(DevBdgt!BC35,0,$D$4)</f>
        <v>0</v>
      </c>
      <c r="BD15" s="1161">
        <f ca="1">OFFSET(DevBdgt!BD35,0,$D$4)</f>
        <v>0</v>
      </c>
      <c r="BE15" s="1161">
        <f ca="1">OFFSET(DevBdgt!BE35,0,$D$4)</f>
        <v>0</v>
      </c>
      <c r="BF15" s="1161">
        <f ca="1">OFFSET(DevBdgt!BF35,0,$D$4)</f>
        <v>0</v>
      </c>
      <c r="BG15" s="1161">
        <f ca="1">OFFSET(DevBdgt!BG35,0,$D$4)</f>
        <v>0</v>
      </c>
      <c r="BH15" s="1161">
        <f ca="1">OFFSET(DevBdgt!BH35,0,$D$4)</f>
        <v>0</v>
      </c>
      <c r="BI15" s="1161">
        <f ca="1">OFFSET(DevBdgt!BI35,0,$D$4)</f>
        <v>0</v>
      </c>
      <c r="BJ15" s="1161">
        <f ca="1">OFFSET(DevBdgt!BJ35,0,$D$4)</f>
        <v>0</v>
      </c>
      <c r="BK15" s="1161">
        <f ca="1">OFFSET(DevBdgt!BK35,0,$D$4)</f>
        <v>0</v>
      </c>
      <c r="BL15" s="1161">
        <f ca="1">OFFSET(DevBdgt!BL35,0,$D$4)</f>
        <v>0</v>
      </c>
      <c r="BM15" s="1161">
        <f ca="1">OFFSET(DevBdgt!BM35,0,$D$4)</f>
        <v>0</v>
      </c>
      <c r="BN15" s="1161">
        <f ca="1">OFFSET(DevBdgt!BN35,0,$D$4)</f>
        <v>0</v>
      </c>
      <c r="BO15" s="1161">
        <f ca="1">OFFSET(DevBdgt!BO35,0,$D$4)</f>
        <v>0</v>
      </c>
      <c r="BP15" s="1161">
        <f ca="1">OFFSET(DevBdgt!BP35,0,$D$4)</f>
        <v>0</v>
      </c>
      <c r="BQ15" s="1161">
        <f ca="1">OFFSET(DevBdgt!BQ35,0,$D$4)</f>
        <v>0</v>
      </c>
      <c r="BR15" s="1161">
        <f ca="1">OFFSET(DevBdgt!BR35,0,$D$4)</f>
        <v>0</v>
      </c>
      <c r="BS15" s="1161">
        <f ca="1">OFFSET(DevBdgt!BS35,0,$D$4)</f>
        <v>0</v>
      </c>
      <c r="BT15" s="1161">
        <f ca="1">OFFSET(DevBdgt!BT35,0,$D$4)</f>
        <v>0</v>
      </c>
      <c r="BU15" s="1161">
        <f ca="1">OFFSET(DevBdgt!BU35,0,$D$4)</f>
        <v>0</v>
      </c>
      <c r="BV15" s="1161">
        <f ca="1">OFFSET(DevBdgt!BV35,0,$D$4)</f>
        <v>0</v>
      </c>
      <c r="BW15" s="1161">
        <f ca="1">OFFSET(DevBdgt!BW35,0,$D$4)</f>
        <v>0</v>
      </c>
      <c r="BX15" s="1161">
        <f ca="1">OFFSET(DevBdgt!BX35,0,$D$4)</f>
        <v>0</v>
      </c>
      <c r="BY15" s="1161">
        <f ca="1">OFFSET(DevBdgt!BY35,0,$D$4)</f>
        <v>0</v>
      </c>
      <c r="BZ15" s="1161">
        <f ca="1">OFFSET(DevBdgt!BZ35,0,$D$4)</f>
        <v>0</v>
      </c>
      <c r="CA15" s="1161">
        <f ca="1">OFFSET(DevBdgt!CA35,0,$D$4)</f>
        <v>0</v>
      </c>
      <c r="CB15" s="1161">
        <f ca="1">OFFSET(DevBdgt!CB35,0,$D$4)</f>
        <v>0</v>
      </c>
      <c r="CC15" s="1161">
        <f ca="1">OFFSET(DevBdgt!CC35,0,$D$4)</f>
        <v>0</v>
      </c>
      <c r="CD15" s="1161">
        <f ca="1">OFFSET(DevBdgt!CD35,0,$D$4)</f>
        <v>0</v>
      </c>
      <c r="CE15" s="1161">
        <f ca="1">OFFSET(DevBdgt!CE35,0,$D$4)</f>
        <v>0</v>
      </c>
      <c r="CF15" s="1161">
        <f ca="1">OFFSET(DevBdgt!CF35,0,$D$4)</f>
        <v>0</v>
      </c>
      <c r="CG15" s="1161">
        <f ca="1">OFFSET(DevBdgt!CG35,0,$D$4)</f>
        <v>0</v>
      </c>
      <c r="CH15" s="1161">
        <f ca="1">OFFSET(DevBdgt!CH35,0,$D$4)</f>
        <v>0</v>
      </c>
      <c r="CI15" s="1161">
        <f ca="1">OFFSET(DevBdgt!CI35,0,$D$4)</f>
        <v>0</v>
      </c>
      <c r="CJ15" s="1161">
        <f ca="1">OFFSET(DevBdgt!CJ35,0,$D$4)</f>
        <v>0</v>
      </c>
      <c r="CK15" s="1161">
        <f ca="1">OFFSET(DevBdgt!CK35,0,$D$4)</f>
        <v>0</v>
      </c>
      <c r="CL15" s="1161">
        <f ca="1">OFFSET(DevBdgt!CL35,0,$D$4)</f>
        <v>0</v>
      </c>
      <c r="CM15" s="1161">
        <f ca="1">OFFSET(DevBdgt!CM35,0,$D$4)</f>
        <v>0</v>
      </c>
      <c r="CN15" s="1161">
        <f ca="1">OFFSET(DevBdgt!CN35,0,$D$4)</f>
        <v>0</v>
      </c>
      <c r="CO15" s="1161">
        <f ca="1">OFFSET(DevBdgt!CO35,0,$D$4)</f>
        <v>0</v>
      </c>
      <c r="CP15" s="1161">
        <f ca="1">OFFSET(DevBdgt!CP35,0,$D$4)</f>
        <v>0</v>
      </c>
      <c r="CQ15" s="1161">
        <f ca="1">OFFSET(DevBdgt!CQ35,0,$D$4)</f>
        <v>0</v>
      </c>
      <c r="CR15" s="1161">
        <f ca="1">OFFSET(DevBdgt!CR35,0,$D$4)</f>
        <v>0</v>
      </c>
      <c r="CS15" s="1161">
        <f ca="1">OFFSET(DevBdgt!CS35,0,$D$4)</f>
        <v>0</v>
      </c>
      <c r="CT15" s="1161">
        <f ca="1">OFFSET(DevBdgt!CT35,0,$D$4)</f>
        <v>0</v>
      </c>
      <c r="CU15" s="1161">
        <f ca="1">OFFSET(DevBdgt!CU35,0,$D$4)</f>
        <v>0</v>
      </c>
      <c r="CV15" s="1161">
        <f ca="1">OFFSET(DevBdgt!CV35,0,$D$4)</f>
        <v>0</v>
      </c>
      <c r="CW15" s="1161">
        <f ca="1">OFFSET(DevBdgt!CW35,0,$D$4)</f>
        <v>0</v>
      </c>
      <c r="CX15" s="1161">
        <f ca="1">OFFSET(DevBdgt!CX35,0,$D$4)</f>
        <v>0</v>
      </c>
      <c r="CY15" s="1161">
        <f ca="1">OFFSET(DevBdgt!CY35,0,$D$4)</f>
        <v>0</v>
      </c>
      <c r="CZ15" s="1161">
        <f ca="1">OFFSET(DevBdgt!CZ35,0,$D$4)</f>
        <v>0</v>
      </c>
      <c r="DA15" s="1161">
        <f ca="1">OFFSET(DevBdgt!DA35,0,$D$4)</f>
        <v>0</v>
      </c>
      <c r="DB15" s="1161">
        <f ca="1">OFFSET(DevBdgt!DB35,0,$D$4)</f>
        <v>0</v>
      </c>
      <c r="DC15" s="1161">
        <f ca="1">OFFSET(DevBdgt!DC35,0,$D$4)</f>
        <v>0</v>
      </c>
      <c r="DD15" s="1161">
        <f ca="1">OFFSET(DevBdgt!DD35,0,$D$4)</f>
        <v>0</v>
      </c>
      <c r="DE15" s="1161">
        <f ca="1">OFFSET(DevBdgt!DE35,0,$D$4)</f>
        <v>0</v>
      </c>
      <c r="DF15" s="1161">
        <f ca="1">OFFSET(DevBdgt!DF35,0,$D$4)</f>
        <v>0</v>
      </c>
      <c r="DG15" s="1161">
        <f ca="1">OFFSET(DevBdgt!DG35,0,$D$4)</f>
        <v>0</v>
      </c>
      <c r="DH15" s="1161">
        <f ca="1">OFFSET(DevBdgt!DH35,0,$D$4)</f>
        <v>0</v>
      </c>
      <c r="DI15" s="1161">
        <f ca="1">OFFSET(DevBdgt!DI35,0,$D$4)</f>
        <v>0</v>
      </c>
      <c r="DJ15" s="1161">
        <f ca="1">OFFSET(DevBdgt!DJ35,0,$D$4)</f>
        <v>0</v>
      </c>
      <c r="DK15" s="1161">
        <f ca="1">OFFSET(DevBdgt!DK35,0,$D$4)</f>
        <v>0</v>
      </c>
      <c r="DL15" s="1161">
        <f ca="1">OFFSET(DevBdgt!DL35,0,$D$4)</f>
        <v>0</v>
      </c>
      <c r="DM15" s="1161">
        <f ca="1">OFFSET(DevBdgt!DM35,0,$D$4)</f>
        <v>0</v>
      </c>
      <c r="DN15" s="1161">
        <f ca="1">OFFSET(DevBdgt!DN35,0,$D$4)</f>
        <v>0</v>
      </c>
      <c r="DO15" s="1161">
        <f ca="1">OFFSET(DevBdgt!DO35,0,$D$4)</f>
        <v>0</v>
      </c>
      <c r="DP15" s="1161">
        <f ca="1">OFFSET(DevBdgt!DP35,0,$D$4)</f>
        <v>0</v>
      </c>
      <c r="DQ15" s="1161">
        <f ca="1">OFFSET(DevBdgt!DQ35,0,$D$4)</f>
        <v>0</v>
      </c>
      <c r="DR15" s="1161">
        <f ca="1">OFFSET(DevBdgt!DR35,0,$D$4)</f>
        <v>0</v>
      </c>
      <c r="DS15" s="1161">
        <f ca="1">OFFSET(DevBdgt!DS35,0,$D$4)</f>
        <v>0</v>
      </c>
      <c r="DT15" s="1161">
        <f ca="1">OFFSET(DevBdgt!DT35,0,$D$4)</f>
        <v>0</v>
      </c>
      <c r="DU15" s="1161">
        <f ca="1">OFFSET(DevBdgt!DU35,0,$D$4)</f>
        <v>0</v>
      </c>
      <c r="DV15" s="1161">
        <f ca="1">OFFSET(DevBdgt!DV35,0,$D$4)</f>
        <v>0</v>
      </c>
      <c r="DW15" s="1161">
        <f ca="1">OFFSET(DevBdgt!DW35,0,$D$4)</f>
        <v>0</v>
      </c>
      <c r="DX15" s="1161">
        <f ca="1">OFFSET(DevBdgt!DX35,0,$D$4)</f>
        <v>0</v>
      </c>
      <c r="DY15" s="1161">
        <f ca="1">OFFSET(DevBdgt!DY35,0,$D$4)</f>
        <v>0</v>
      </c>
      <c r="DZ15" s="1161">
        <f ca="1">OFFSET(DevBdgt!DZ35,0,$D$4)</f>
        <v>0</v>
      </c>
      <c r="EA15" s="1161">
        <f ca="1">OFFSET(DevBdgt!EA35,0,$D$4)</f>
        <v>0</v>
      </c>
      <c r="EB15" s="1161">
        <f ca="1">OFFSET(DevBdgt!EB35,0,$D$4)</f>
        <v>0</v>
      </c>
      <c r="EC15" s="1161">
        <f ca="1">OFFSET(DevBdgt!EC35,0,$D$4)</f>
        <v>0</v>
      </c>
      <c r="ED15" s="1161">
        <f ca="1">OFFSET(DevBdgt!ED35,0,$D$4)</f>
        <v>0</v>
      </c>
      <c r="EE15" s="1161">
        <f ca="1">OFFSET(DevBdgt!EE35,0,$D$4)</f>
        <v>0</v>
      </c>
      <c r="EF15" s="1161">
        <f ca="1">OFFSET(DevBdgt!EF35,0,$D$4)</f>
        <v>0</v>
      </c>
      <c r="EG15" s="1161">
        <f ca="1">OFFSET(DevBdgt!EG35,0,$D$4)</f>
        <v>0</v>
      </c>
      <c r="EH15" s="778"/>
    </row>
    <row r="16" spans="1:138" ht="12.75" customHeight="1" x14ac:dyDescent="0.3">
      <c r="B16" s="1155" t="s">
        <v>299</v>
      </c>
      <c r="C16" s="1159" t="str">
        <f t="shared" si="6"/>
        <v xml:space="preserve"> Operating deficit</v>
      </c>
      <c r="E16" s="1160">
        <f>IF(D5=0,DevBdgt!E40,SUM(DevBdgt!E40:F40))</f>
        <v>0</v>
      </c>
      <c r="F16" s="1161">
        <f ca="1">OFFSET(DevBdgt!F40,0,$D$4)</f>
        <v>0</v>
      </c>
      <c r="G16" s="1161">
        <f ca="1">OFFSET(DevBdgt!G40,0,$D$4)</f>
        <v>0</v>
      </c>
      <c r="H16" s="1161">
        <f ca="1">OFFSET(DevBdgt!H40,0,$D$4)</f>
        <v>0</v>
      </c>
      <c r="I16" s="1161">
        <f ca="1">OFFSET(DevBdgt!I40,0,$D$4)</f>
        <v>0</v>
      </c>
      <c r="J16" s="1161">
        <f ca="1">OFFSET(DevBdgt!J40,0,$D$4)</f>
        <v>0</v>
      </c>
      <c r="K16" s="1161">
        <f ca="1">OFFSET(DevBdgt!K40,0,$D$4)</f>
        <v>0</v>
      </c>
      <c r="L16" s="1161">
        <f ca="1">OFFSET(DevBdgt!L40,0,$D$4)</f>
        <v>0</v>
      </c>
      <c r="M16" s="1161">
        <f ca="1">OFFSET(DevBdgt!M40,0,$D$4)</f>
        <v>0</v>
      </c>
      <c r="N16" s="1161">
        <f ca="1">OFFSET(DevBdgt!N40,0,$D$4)</f>
        <v>0</v>
      </c>
      <c r="O16" s="1161">
        <f ca="1">OFFSET(DevBdgt!O40,0,$D$4)</f>
        <v>0</v>
      </c>
      <c r="P16" s="1161">
        <f ca="1">OFFSET(DevBdgt!P40,0,$D$4)</f>
        <v>0</v>
      </c>
      <c r="Q16" s="1161">
        <f ca="1">OFFSET(DevBdgt!Q40,0,$D$4)</f>
        <v>0</v>
      </c>
      <c r="R16" s="1161">
        <f ca="1">OFFSET(DevBdgt!R40,0,$D$4)</f>
        <v>0</v>
      </c>
      <c r="S16" s="1161">
        <f ca="1">OFFSET(DevBdgt!S40,0,$D$4)</f>
        <v>79914.316796474115</v>
      </c>
      <c r="T16" s="1161">
        <f ca="1">OFFSET(DevBdgt!T40,0,$D$4)</f>
        <v>82060.245337504777</v>
      </c>
      <c r="U16" s="1161">
        <f ca="1">OFFSET(DevBdgt!U40,0,$D$4)</f>
        <v>86595.158524060025</v>
      </c>
      <c r="V16" s="1161">
        <f ca="1">OFFSET(DevBdgt!V40,0,$D$4)</f>
        <v>56402.494005308195</v>
      </c>
      <c r="W16" s="1161">
        <f ca="1">OFFSET(DevBdgt!W40,0,$D$4)</f>
        <v>24108.319380961417</v>
      </c>
      <c r="X16" s="1161">
        <f ca="1">OFFSET(DevBdgt!X40,0,$D$4)</f>
        <v>0</v>
      </c>
      <c r="Y16" s="1161">
        <f ca="1">OFFSET(DevBdgt!Y40,0,$D$4)</f>
        <v>0</v>
      </c>
      <c r="Z16" s="1161">
        <f ca="1">OFFSET(DevBdgt!Z40,0,$D$4)</f>
        <v>0</v>
      </c>
      <c r="AA16" s="1161">
        <f ca="1">OFFSET(DevBdgt!AA40,0,$D$4)</f>
        <v>0</v>
      </c>
      <c r="AB16" s="1161">
        <f ca="1">OFFSET(DevBdgt!AB40,0,$D$4)</f>
        <v>0</v>
      </c>
      <c r="AC16" s="1161">
        <f ca="1">OFFSET(DevBdgt!AC40,0,$D$4)</f>
        <v>0</v>
      </c>
      <c r="AD16" s="1161">
        <f ca="1">OFFSET(DevBdgt!AD40,0,$D$4)</f>
        <v>0</v>
      </c>
      <c r="AE16" s="1161">
        <f ca="1">OFFSET(DevBdgt!AE40,0,$D$4)</f>
        <v>0</v>
      </c>
      <c r="AF16" s="1161">
        <f ca="1">OFFSET(DevBdgt!AF40,0,$D$4)</f>
        <v>0</v>
      </c>
      <c r="AG16" s="1161">
        <f ca="1">OFFSET(DevBdgt!AG40,0,$D$4)</f>
        <v>0</v>
      </c>
      <c r="AH16" s="1161">
        <f ca="1">OFFSET(DevBdgt!AH40,0,$D$4)</f>
        <v>0</v>
      </c>
      <c r="AI16" s="1161">
        <f ca="1">OFFSET(DevBdgt!AI40,0,$D$4)</f>
        <v>0</v>
      </c>
      <c r="AJ16" s="1161">
        <f ca="1">OFFSET(DevBdgt!AJ40,0,$D$4)</f>
        <v>0</v>
      </c>
      <c r="AK16" s="1161">
        <f ca="1">OFFSET(DevBdgt!AK40,0,$D$4)</f>
        <v>0</v>
      </c>
      <c r="AL16" s="1161">
        <f ca="1">OFFSET(DevBdgt!AL40,0,$D$4)</f>
        <v>0</v>
      </c>
      <c r="AM16" s="1161">
        <f ca="1">OFFSET(DevBdgt!AM40,0,$D$4)</f>
        <v>0</v>
      </c>
      <c r="AN16" s="1161">
        <f ca="1">OFFSET(DevBdgt!AN40,0,$D$4)</f>
        <v>0</v>
      </c>
      <c r="AO16" s="1161">
        <f ca="1">OFFSET(DevBdgt!AO40,0,$D$4)</f>
        <v>0</v>
      </c>
      <c r="AP16" s="1161">
        <f ca="1">OFFSET(DevBdgt!AP40,0,$D$4)</f>
        <v>0</v>
      </c>
      <c r="AQ16" s="1161">
        <f ca="1">OFFSET(DevBdgt!AQ40,0,$D$4)</f>
        <v>0</v>
      </c>
      <c r="AR16" s="1161">
        <f ca="1">OFFSET(DevBdgt!AR40,0,$D$4)</f>
        <v>0</v>
      </c>
      <c r="AS16" s="1161">
        <f ca="1">OFFSET(DevBdgt!AS40,0,$D$4)</f>
        <v>0</v>
      </c>
      <c r="AT16" s="1161">
        <f ca="1">OFFSET(DevBdgt!AT40,0,$D$4)</f>
        <v>0</v>
      </c>
      <c r="AU16" s="1161">
        <f ca="1">OFFSET(DevBdgt!AU40,0,$D$4)</f>
        <v>0</v>
      </c>
      <c r="AV16" s="1161">
        <f ca="1">OFFSET(DevBdgt!AV40,0,$D$4)</f>
        <v>0</v>
      </c>
      <c r="AW16" s="1161">
        <f ca="1">OFFSET(DevBdgt!AW40,0,$D$4)</f>
        <v>0</v>
      </c>
      <c r="AX16" s="1161">
        <f ca="1">OFFSET(DevBdgt!AX40,0,$D$4)</f>
        <v>0</v>
      </c>
      <c r="AY16" s="1161">
        <f ca="1">OFFSET(DevBdgt!AY40,0,$D$4)</f>
        <v>0</v>
      </c>
      <c r="AZ16" s="1161">
        <f ca="1">OFFSET(DevBdgt!AZ40,0,$D$4)</f>
        <v>0</v>
      </c>
      <c r="BA16" s="1161">
        <f ca="1">OFFSET(DevBdgt!BA40,0,$D$4)</f>
        <v>0</v>
      </c>
      <c r="BB16" s="1161">
        <f ca="1">OFFSET(DevBdgt!BB40,0,$D$4)</f>
        <v>0</v>
      </c>
      <c r="BC16" s="1161">
        <f ca="1">OFFSET(DevBdgt!BC40,0,$D$4)</f>
        <v>0</v>
      </c>
      <c r="BD16" s="1161">
        <f ca="1">OFFSET(DevBdgt!BD40,0,$D$4)</f>
        <v>0</v>
      </c>
      <c r="BE16" s="1161">
        <f ca="1">OFFSET(DevBdgt!BE40,0,$D$4)</f>
        <v>0</v>
      </c>
      <c r="BF16" s="1161">
        <f ca="1">OFFSET(DevBdgt!BF40,0,$D$4)</f>
        <v>0</v>
      </c>
      <c r="BG16" s="1161">
        <f ca="1">OFFSET(DevBdgt!BG40,0,$D$4)</f>
        <v>0</v>
      </c>
      <c r="BH16" s="1161">
        <f ca="1">OFFSET(DevBdgt!BH40,0,$D$4)</f>
        <v>0</v>
      </c>
      <c r="BI16" s="1161">
        <f ca="1">OFFSET(DevBdgt!BI40,0,$D$4)</f>
        <v>0</v>
      </c>
      <c r="BJ16" s="1161">
        <f ca="1">OFFSET(DevBdgt!BJ40,0,$D$4)</f>
        <v>0</v>
      </c>
      <c r="BK16" s="1161">
        <f ca="1">OFFSET(DevBdgt!BK40,0,$D$4)</f>
        <v>0</v>
      </c>
      <c r="BL16" s="1161">
        <f ca="1">OFFSET(DevBdgt!BL40,0,$D$4)</f>
        <v>0</v>
      </c>
      <c r="BM16" s="1161">
        <f ca="1">OFFSET(DevBdgt!BM40,0,$D$4)</f>
        <v>0</v>
      </c>
      <c r="BN16" s="1161">
        <f ca="1">OFFSET(DevBdgt!BN40,0,$D$4)</f>
        <v>0</v>
      </c>
      <c r="BO16" s="1161">
        <f ca="1">OFFSET(DevBdgt!BO40,0,$D$4)</f>
        <v>0</v>
      </c>
      <c r="BP16" s="1161">
        <f ca="1">OFFSET(DevBdgt!BP40,0,$D$4)</f>
        <v>0</v>
      </c>
      <c r="BQ16" s="1161">
        <f ca="1">OFFSET(DevBdgt!BQ40,0,$D$4)</f>
        <v>0</v>
      </c>
      <c r="BR16" s="1161">
        <f ca="1">OFFSET(DevBdgt!BR40,0,$D$4)</f>
        <v>0</v>
      </c>
      <c r="BS16" s="1161">
        <f ca="1">OFFSET(DevBdgt!BS40,0,$D$4)</f>
        <v>0</v>
      </c>
      <c r="BT16" s="1161">
        <f ca="1">OFFSET(DevBdgt!BT40,0,$D$4)</f>
        <v>0</v>
      </c>
      <c r="BU16" s="1161">
        <f ca="1">OFFSET(DevBdgt!BU40,0,$D$4)</f>
        <v>0</v>
      </c>
      <c r="BV16" s="1161">
        <f ca="1">OFFSET(DevBdgt!BV40,0,$D$4)</f>
        <v>0</v>
      </c>
      <c r="BW16" s="1161">
        <f ca="1">OFFSET(DevBdgt!BW40,0,$D$4)</f>
        <v>0</v>
      </c>
      <c r="BX16" s="1161">
        <f ca="1">OFFSET(DevBdgt!BX40,0,$D$4)</f>
        <v>0</v>
      </c>
      <c r="BY16" s="1161">
        <f ca="1">OFFSET(DevBdgt!BY40,0,$D$4)</f>
        <v>0</v>
      </c>
      <c r="BZ16" s="1161">
        <f ca="1">OFFSET(DevBdgt!BZ40,0,$D$4)</f>
        <v>0</v>
      </c>
      <c r="CA16" s="1161">
        <f ca="1">OFFSET(DevBdgt!CA40,0,$D$4)</f>
        <v>0</v>
      </c>
      <c r="CB16" s="1161">
        <f ca="1">OFFSET(DevBdgt!CB40,0,$D$4)</f>
        <v>0</v>
      </c>
      <c r="CC16" s="1161">
        <f ca="1">OFFSET(DevBdgt!CC40,0,$D$4)</f>
        <v>0</v>
      </c>
      <c r="CD16" s="1161">
        <f ca="1">OFFSET(DevBdgt!CD40,0,$D$4)</f>
        <v>0</v>
      </c>
      <c r="CE16" s="1161">
        <f ca="1">OFFSET(DevBdgt!CE40,0,$D$4)</f>
        <v>0</v>
      </c>
      <c r="CF16" s="1161">
        <f ca="1">OFFSET(DevBdgt!CF40,0,$D$4)</f>
        <v>0</v>
      </c>
      <c r="CG16" s="1161">
        <f ca="1">OFFSET(DevBdgt!CG40,0,$D$4)</f>
        <v>0</v>
      </c>
      <c r="CH16" s="1161">
        <f ca="1">OFFSET(DevBdgt!CH40,0,$D$4)</f>
        <v>0</v>
      </c>
      <c r="CI16" s="1161">
        <f ca="1">OFFSET(DevBdgt!CI40,0,$D$4)</f>
        <v>0</v>
      </c>
      <c r="CJ16" s="1161">
        <f ca="1">OFFSET(DevBdgt!CJ40,0,$D$4)</f>
        <v>0</v>
      </c>
      <c r="CK16" s="1161">
        <f ca="1">OFFSET(DevBdgt!CK40,0,$D$4)</f>
        <v>0</v>
      </c>
      <c r="CL16" s="1161">
        <f ca="1">OFFSET(DevBdgt!CL40,0,$D$4)</f>
        <v>0</v>
      </c>
      <c r="CM16" s="1161">
        <f ca="1">OFFSET(DevBdgt!CM40,0,$D$4)</f>
        <v>0</v>
      </c>
      <c r="CN16" s="1161">
        <f ca="1">OFFSET(DevBdgt!CN40,0,$D$4)</f>
        <v>0</v>
      </c>
      <c r="CO16" s="1161">
        <f ca="1">OFFSET(DevBdgt!CO40,0,$D$4)</f>
        <v>0</v>
      </c>
      <c r="CP16" s="1161">
        <f ca="1">OFFSET(DevBdgt!CP40,0,$D$4)</f>
        <v>0</v>
      </c>
      <c r="CQ16" s="1161">
        <f ca="1">OFFSET(DevBdgt!CQ40,0,$D$4)</f>
        <v>0</v>
      </c>
      <c r="CR16" s="1161">
        <f ca="1">OFFSET(DevBdgt!CR40,0,$D$4)</f>
        <v>0</v>
      </c>
      <c r="CS16" s="1161">
        <f ca="1">OFFSET(DevBdgt!CS40,0,$D$4)</f>
        <v>0</v>
      </c>
      <c r="CT16" s="1161">
        <f ca="1">OFFSET(DevBdgt!CT40,0,$D$4)</f>
        <v>0</v>
      </c>
      <c r="CU16" s="1161">
        <f ca="1">OFFSET(DevBdgt!CU40,0,$D$4)</f>
        <v>0</v>
      </c>
      <c r="CV16" s="1161">
        <f ca="1">OFFSET(DevBdgt!CV40,0,$D$4)</f>
        <v>0</v>
      </c>
      <c r="CW16" s="1161">
        <f ca="1">OFFSET(DevBdgt!CW40,0,$D$4)</f>
        <v>0</v>
      </c>
      <c r="CX16" s="1161">
        <f ca="1">OFFSET(DevBdgt!CX40,0,$D$4)</f>
        <v>0</v>
      </c>
      <c r="CY16" s="1161">
        <f ca="1">OFFSET(DevBdgt!CY40,0,$D$4)</f>
        <v>0</v>
      </c>
      <c r="CZ16" s="1161">
        <f ca="1">OFFSET(DevBdgt!CZ40,0,$D$4)</f>
        <v>0</v>
      </c>
      <c r="DA16" s="1161">
        <f ca="1">OFFSET(DevBdgt!DA40,0,$D$4)</f>
        <v>0</v>
      </c>
      <c r="DB16" s="1161">
        <f ca="1">OFFSET(DevBdgt!DB40,0,$D$4)</f>
        <v>0</v>
      </c>
      <c r="DC16" s="1161">
        <f ca="1">OFFSET(DevBdgt!DC40,0,$D$4)</f>
        <v>0</v>
      </c>
      <c r="DD16" s="1161">
        <f ca="1">OFFSET(DevBdgt!DD40,0,$D$4)</f>
        <v>0</v>
      </c>
      <c r="DE16" s="1161">
        <f ca="1">OFFSET(DevBdgt!DE40,0,$D$4)</f>
        <v>0</v>
      </c>
      <c r="DF16" s="1161">
        <f ca="1">OFFSET(DevBdgt!DF40,0,$D$4)</f>
        <v>0</v>
      </c>
      <c r="DG16" s="1161">
        <f ca="1">OFFSET(DevBdgt!DG40,0,$D$4)</f>
        <v>0</v>
      </c>
      <c r="DH16" s="1161">
        <f ca="1">OFFSET(DevBdgt!DH40,0,$D$4)</f>
        <v>0</v>
      </c>
      <c r="DI16" s="1161">
        <f ca="1">OFFSET(DevBdgt!DI40,0,$D$4)</f>
        <v>0</v>
      </c>
      <c r="DJ16" s="1161">
        <f ca="1">OFFSET(DevBdgt!DJ40,0,$D$4)</f>
        <v>0</v>
      </c>
      <c r="DK16" s="1161">
        <f ca="1">OFFSET(DevBdgt!DK40,0,$D$4)</f>
        <v>0</v>
      </c>
      <c r="DL16" s="1161">
        <f ca="1">OFFSET(DevBdgt!DL40,0,$D$4)</f>
        <v>0</v>
      </c>
      <c r="DM16" s="1161">
        <f ca="1">OFFSET(DevBdgt!DM40,0,$D$4)</f>
        <v>0</v>
      </c>
      <c r="DN16" s="1161">
        <f ca="1">OFFSET(DevBdgt!DN40,0,$D$4)</f>
        <v>0</v>
      </c>
      <c r="DO16" s="1161">
        <f ca="1">OFFSET(DevBdgt!DO40,0,$D$4)</f>
        <v>0</v>
      </c>
      <c r="DP16" s="1161">
        <f ca="1">OFFSET(DevBdgt!DP40,0,$D$4)</f>
        <v>0</v>
      </c>
      <c r="DQ16" s="1161">
        <f ca="1">OFFSET(DevBdgt!DQ40,0,$D$4)</f>
        <v>0</v>
      </c>
      <c r="DR16" s="1161">
        <f ca="1">OFFSET(DevBdgt!DR40,0,$D$4)</f>
        <v>0</v>
      </c>
      <c r="DS16" s="1161">
        <f ca="1">OFFSET(DevBdgt!DS40,0,$D$4)</f>
        <v>0</v>
      </c>
      <c r="DT16" s="1161">
        <f ca="1">OFFSET(DevBdgt!DT40,0,$D$4)</f>
        <v>0</v>
      </c>
      <c r="DU16" s="1161">
        <f ca="1">OFFSET(DevBdgt!DU40,0,$D$4)</f>
        <v>0</v>
      </c>
      <c r="DV16" s="1161">
        <f ca="1">OFFSET(DevBdgt!DV40,0,$D$4)</f>
        <v>0</v>
      </c>
      <c r="DW16" s="1161">
        <f ca="1">OFFSET(DevBdgt!DW40,0,$D$4)</f>
        <v>0</v>
      </c>
      <c r="DX16" s="1161">
        <f ca="1">OFFSET(DevBdgt!DX40,0,$D$4)</f>
        <v>0</v>
      </c>
      <c r="DY16" s="1161">
        <f ca="1">OFFSET(DevBdgt!DY40,0,$D$4)</f>
        <v>0</v>
      </c>
      <c r="DZ16" s="1161">
        <f ca="1">OFFSET(DevBdgt!DZ40,0,$D$4)</f>
        <v>0</v>
      </c>
      <c r="EA16" s="1161">
        <f ca="1">OFFSET(DevBdgt!EA40,0,$D$4)</f>
        <v>0</v>
      </c>
      <c r="EB16" s="1161">
        <f ca="1">OFFSET(DevBdgt!EB40,0,$D$4)</f>
        <v>0</v>
      </c>
      <c r="EC16" s="1161">
        <f ca="1">OFFSET(DevBdgt!EC40,0,$D$4)</f>
        <v>0</v>
      </c>
      <c r="ED16" s="1161">
        <f ca="1">OFFSET(DevBdgt!ED40,0,$D$4)</f>
        <v>0</v>
      </c>
      <c r="EE16" s="1161">
        <f ca="1">OFFSET(DevBdgt!EE40,0,$D$4)</f>
        <v>0</v>
      </c>
      <c r="EF16" s="1161">
        <f ca="1">OFFSET(DevBdgt!EF40,0,$D$4)</f>
        <v>0</v>
      </c>
      <c r="EG16" s="1161">
        <f ca="1">OFFSET(DevBdgt!EG40,0,$D$4)</f>
        <v>0</v>
      </c>
      <c r="EH16" s="778"/>
    </row>
    <row r="17" spans="2:138" ht="12.75" customHeight="1" x14ac:dyDescent="0.3">
      <c r="B17" s="1155" t="s">
        <v>300</v>
      </c>
      <c r="C17" s="1159" t="str">
        <f t="shared" si="6"/>
        <v xml:space="preserve"> Development management fee</v>
      </c>
      <c r="E17" s="1160">
        <f>IF(D6=0,DevBdgt!E41,SUM(DevBdgt!E41:F41))</f>
        <v>0</v>
      </c>
      <c r="F17" s="1161">
        <f ca="1">OFFSET(DevBdgt!F41,0,$D$4)</f>
        <v>106322.4989879669</v>
      </c>
      <c r="G17" s="1161">
        <f ca="1">OFFSET(DevBdgt!G41,0,$D$4)</f>
        <v>106322.4989879669</v>
      </c>
      <c r="H17" s="1161">
        <f ca="1">OFFSET(DevBdgt!H41,0,$D$4)</f>
        <v>106322.4989879669</v>
      </c>
      <c r="I17" s="1161">
        <f ca="1">OFFSET(DevBdgt!I41,0,$D$4)</f>
        <v>106322.4989879669</v>
      </c>
      <c r="J17" s="1161">
        <f ca="1">OFFSET(DevBdgt!J41,0,$D$4)</f>
        <v>106322.4989879669</v>
      </c>
      <c r="K17" s="1161">
        <f ca="1">OFFSET(DevBdgt!K41,0,$D$4)</f>
        <v>106322.4989879669</v>
      </c>
      <c r="L17" s="1161">
        <f ca="1">OFFSET(DevBdgt!L41,0,$D$4)</f>
        <v>106322.4989879669</v>
      </c>
      <c r="M17" s="1161">
        <f ca="1">OFFSET(DevBdgt!M41,0,$D$4)</f>
        <v>106322.4989879669</v>
      </c>
      <c r="N17" s="1161">
        <f ca="1">OFFSET(DevBdgt!N41,0,$D$4)</f>
        <v>106322.4989879669</v>
      </c>
      <c r="O17" s="1161">
        <f ca="1">OFFSET(DevBdgt!O41,0,$D$4)</f>
        <v>106322.4989879669</v>
      </c>
      <c r="P17" s="1161">
        <f ca="1">OFFSET(DevBdgt!P41,0,$D$4)</f>
        <v>106322.4989879669</v>
      </c>
      <c r="Q17" s="1161">
        <f ca="1">OFFSET(DevBdgt!Q41,0,$D$4)</f>
        <v>106322.4989879669</v>
      </c>
      <c r="R17" s="1161">
        <f ca="1">OFFSET(DevBdgt!R41,0,$D$4)</f>
        <v>106322.4989879669</v>
      </c>
      <c r="S17" s="1161">
        <f ca="1">OFFSET(DevBdgt!S41,0,$D$4)</f>
        <v>106322.4989879669</v>
      </c>
      <c r="T17" s="1161">
        <f ca="1">OFFSET(DevBdgt!T41,0,$D$4)</f>
        <v>106322.4989879669</v>
      </c>
      <c r="U17" s="1161">
        <f ca="1">OFFSET(DevBdgt!U41,0,$D$4)</f>
        <v>106322.4989879669</v>
      </c>
      <c r="V17" s="1161">
        <f ca="1">OFFSET(DevBdgt!V41,0,$D$4)</f>
        <v>106322.4989879669</v>
      </c>
      <c r="W17" s="1161">
        <f ca="1">OFFSET(DevBdgt!W41,0,$D$4)</f>
        <v>106322.4989879669</v>
      </c>
      <c r="X17" s="1161">
        <f ca="1">OFFSET(DevBdgt!X41,0,$D$4)</f>
        <v>106322.4989879669</v>
      </c>
      <c r="Y17" s="1161">
        <f ca="1">OFFSET(DevBdgt!Y41,0,$D$4)</f>
        <v>106322.4989879669</v>
      </c>
      <c r="Z17" s="1161">
        <f ca="1">OFFSET(DevBdgt!Z41,0,$D$4)</f>
        <v>106322.4989879669</v>
      </c>
      <c r="AA17" s="1161">
        <f ca="1">OFFSET(DevBdgt!AA41,0,$D$4)</f>
        <v>106322.4989879669</v>
      </c>
      <c r="AB17" s="1161">
        <f ca="1">OFFSET(DevBdgt!AB41,0,$D$4)</f>
        <v>106322.4989879669</v>
      </c>
      <c r="AC17" s="1161">
        <f ca="1">OFFSET(DevBdgt!AC41,0,$D$4)</f>
        <v>106322.4989879669</v>
      </c>
      <c r="AD17" s="1161">
        <f ca="1">OFFSET(DevBdgt!AD41,0,$D$4)</f>
        <v>106322.4989879669</v>
      </c>
      <c r="AE17" s="1161">
        <f ca="1">OFFSET(DevBdgt!AE41,0,$D$4)</f>
        <v>0</v>
      </c>
      <c r="AF17" s="1161">
        <f ca="1">OFFSET(DevBdgt!AF41,0,$D$4)</f>
        <v>0</v>
      </c>
      <c r="AG17" s="1161">
        <f ca="1">OFFSET(DevBdgt!AG41,0,$D$4)</f>
        <v>0</v>
      </c>
      <c r="AH17" s="1161">
        <f ca="1">OFFSET(DevBdgt!AH41,0,$D$4)</f>
        <v>0</v>
      </c>
      <c r="AI17" s="1161">
        <f ca="1">OFFSET(DevBdgt!AI41,0,$D$4)</f>
        <v>0</v>
      </c>
      <c r="AJ17" s="1161">
        <f ca="1">OFFSET(DevBdgt!AJ41,0,$D$4)</f>
        <v>0</v>
      </c>
      <c r="AK17" s="1161">
        <f ca="1">OFFSET(DevBdgt!AK41,0,$D$4)</f>
        <v>0</v>
      </c>
      <c r="AL17" s="1161">
        <f ca="1">OFFSET(DevBdgt!AL41,0,$D$4)</f>
        <v>0</v>
      </c>
      <c r="AM17" s="1161">
        <f ca="1">OFFSET(DevBdgt!AM41,0,$D$4)</f>
        <v>0</v>
      </c>
      <c r="AN17" s="1161">
        <f ca="1">OFFSET(DevBdgt!AN41,0,$D$4)</f>
        <v>0</v>
      </c>
      <c r="AO17" s="1161">
        <f ca="1">OFFSET(DevBdgt!AO41,0,$D$4)</f>
        <v>0</v>
      </c>
      <c r="AP17" s="1161">
        <f ca="1">OFFSET(DevBdgt!AP41,0,$D$4)</f>
        <v>0</v>
      </c>
      <c r="AQ17" s="1161">
        <f ca="1">OFFSET(DevBdgt!AQ41,0,$D$4)</f>
        <v>0</v>
      </c>
      <c r="AR17" s="1161">
        <f ca="1">OFFSET(DevBdgt!AR41,0,$D$4)</f>
        <v>0</v>
      </c>
      <c r="AS17" s="1161">
        <f ca="1">OFFSET(DevBdgt!AS41,0,$D$4)</f>
        <v>0</v>
      </c>
      <c r="AT17" s="1161">
        <f ca="1">OFFSET(DevBdgt!AT41,0,$D$4)</f>
        <v>0</v>
      </c>
      <c r="AU17" s="1161">
        <f ca="1">OFFSET(DevBdgt!AU41,0,$D$4)</f>
        <v>0</v>
      </c>
      <c r="AV17" s="1161">
        <f ca="1">OFFSET(DevBdgt!AV41,0,$D$4)</f>
        <v>0</v>
      </c>
      <c r="AW17" s="1161">
        <f ca="1">OFFSET(DevBdgt!AW41,0,$D$4)</f>
        <v>0</v>
      </c>
      <c r="AX17" s="1161">
        <f ca="1">OFFSET(DevBdgt!AX41,0,$D$4)</f>
        <v>0</v>
      </c>
      <c r="AY17" s="1161">
        <f ca="1">OFFSET(DevBdgt!AY41,0,$D$4)</f>
        <v>0</v>
      </c>
      <c r="AZ17" s="1161">
        <f ca="1">OFFSET(DevBdgt!AZ41,0,$D$4)</f>
        <v>0</v>
      </c>
      <c r="BA17" s="1161">
        <f ca="1">OFFSET(DevBdgt!BA41,0,$D$4)</f>
        <v>0</v>
      </c>
      <c r="BB17" s="1161">
        <f ca="1">OFFSET(DevBdgt!BB41,0,$D$4)</f>
        <v>0</v>
      </c>
      <c r="BC17" s="1161">
        <f ca="1">OFFSET(DevBdgt!BC41,0,$D$4)</f>
        <v>0</v>
      </c>
      <c r="BD17" s="1161">
        <f ca="1">OFFSET(DevBdgt!BD41,0,$D$4)</f>
        <v>0</v>
      </c>
      <c r="BE17" s="1161">
        <f ca="1">OFFSET(DevBdgt!BE41,0,$D$4)</f>
        <v>0</v>
      </c>
      <c r="BF17" s="1161">
        <f ca="1">OFFSET(DevBdgt!BF41,0,$D$4)</f>
        <v>0</v>
      </c>
      <c r="BG17" s="1161">
        <f ca="1">OFFSET(DevBdgt!BG41,0,$D$4)</f>
        <v>0</v>
      </c>
      <c r="BH17" s="1161">
        <f ca="1">OFFSET(DevBdgt!BH41,0,$D$4)</f>
        <v>0</v>
      </c>
      <c r="BI17" s="1161">
        <f ca="1">OFFSET(DevBdgt!BI41,0,$D$4)</f>
        <v>0</v>
      </c>
      <c r="BJ17" s="1161">
        <f ca="1">OFFSET(DevBdgt!BJ41,0,$D$4)</f>
        <v>0</v>
      </c>
      <c r="BK17" s="1161">
        <f ca="1">OFFSET(DevBdgt!BK41,0,$D$4)</f>
        <v>0</v>
      </c>
      <c r="BL17" s="1161">
        <f ca="1">OFFSET(DevBdgt!BL41,0,$D$4)</f>
        <v>0</v>
      </c>
      <c r="BM17" s="1161">
        <f ca="1">OFFSET(DevBdgt!BM41,0,$D$4)</f>
        <v>0</v>
      </c>
      <c r="BN17" s="1161">
        <f ca="1">OFFSET(DevBdgt!BN41,0,$D$4)</f>
        <v>0</v>
      </c>
      <c r="BO17" s="1161">
        <f ca="1">OFFSET(DevBdgt!BO41,0,$D$4)</f>
        <v>0</v>
      </c>
      <c r="BP17" s="1161">
        <f ca="1">OFFSET(DevBdgt!BP41,0,$D$4)</f>
        <v>0</v>
      </c>
      <c r="BQ17" s="1161">
        <f ca="1">OFFSET(DevBdgt!BQ41,0,$D$4)</f>
        <v>0</v>
      </c>
      <c r="BR17" s="1161">
        <f ca="1">OFFSET(DevBdgt!BR41,0,$D$4)</f>
        <v>0</v>
      </c>
      <c r="BS17" s="1161">
        <f ca="1">OFFSET(DevBdgt!BS41,0,$D$4)</f>
        <v>0</v>
      </c>
      <c r="BT17" s="1161">
        <f ca="1">OFFSET(DevBdgt!BT41,0,$D$4)</f>
        <v>0</v>
      </c>
      <c r="BU17" s="1161">
        <f ca="1">OFFSET(DevBdgt!BU41,0,$D$4)</f>
        <v>0</v>
      </c>
      <c r="BV17" s="1161">
        <f ca="1">OFFSET(DevBdgt!BV41,0,$D$4)</f>
        <v>0</v>
      </c>
      <c r="BW17" s="1161">
        <f ca="1">OFFSET(DevBdgt!BW41,0,$D$4)</f>
        <v>0</v>
      </c>
      <c r="BX17" s="1161">
        <f ca="1">OFFSET(DevBdgt!BX41,0,$D$4)</f>
        <v>0</v>
      </c>
      <c r="BY17" s="1161">
        <f ca="1">OFFSET(DevBdgt!BY41,0,$D$4)</f>
        <v>0</v>
      </c>
      <c r="BZ17" s="1161">
        <f ca="1">OFFSET(DevBdgt!BZ41,0,$D$4)</f>
        <v>0</v>
      </c>
      <c r="CA17" s="1161">
        <f ca="1">OFFSET(DevBdgt!CA41,0,$D$4)</f>
        <v>0</v>
      </c>
      <c r="CB17" s="1161">
        <f ca="1">OFFSET(DevBdgt!CB41,0,$D$4)</f>
        <v>0</v>
      </c>
      <c r="CC17" s="1161">
        <f ca="1">OFFSET(DevBdgt!CC41,0,$D$4)</f>
        <v>0</v>
      </c>
      <c r="CD17" s="1161">
        <f ca="1">OFFSET(DevBdgt!CD41,0,$D$4)</f>
        <v>0</v>
      </c>
      <c r="CE17" s="1161">
        <f ca="1">OFFSET(DevBdgt!CE41,0,$D$4)</f>
        <v>0</v>
      </c>
      <c r="CF17" s="1161">
        <f ca="1">OFFSET(DevBdgt!CF41,0,$D$4)</f>
        <v>0</v>
      </c>
      <c r="CG17" s="1161">
        <f ca="1">OFFSET(DevBdgt!CG41,0,$D$4)</f>
        <v>0</v>
      </c>
      <c r="CH17" s="1161">
        <f ca="1">OFFSET(DevBdgt!CH41,0,$D$4)</f>
        <v>0</v>
      </c>
      <c r="CI17" s="1161">
        <f ca="1">OFFSET(DevBdgt!CI41,0,$D$4)</f>
        <v>0</v>
      </c>
      <c r="CJ17" s="1161">
        <f ca="1">OFFSET(DevBdgt!CJ41,0,$D$4)</f>
        <v>0</v>
      </c>
      <c r="CK17" s="1161">
        <f ca="1">OFFSET(DevBdgt!CK41,0,$D$4)</f>
        <v>0</v>
      </c>
      <c r="CL17" s="1161">
        <f ca="1">OFFSET(DevBdgt!CL41,0,$D$4)</f>
        <v>0</v>
      </c>
      <c r="CM17" s="1161">
        <f ca="1">OFFSET(DevBdgt!CM41,0,$D$4)</f>
        <v>0</v>
      </c>
      <c r="CN17" s="1161">
        <f ca="1">OFFSET(DevBdgt!CN41,0,$D$4)</f>
        <v>0</v>
      </c>
      <c r="CO17" s="1161">
        <f ca="1">OFFSET(DevBdgt!CO41,0,$D$4)</f>
        <v>0</v>
      </c>
      <c r="CP17" s="1161">
        <f ca="1">OFFSET(DevBdgt!CP41,0,$D$4)</f>
        <v>0</v>
      </c>
      <c r="CQ17" s="1161">
        <f ca="1">OFFSET(DevBdgt!CQ41,0,$D$4)</f>
        <v>0</v>
      </c>
      <c r="CR17" s="1161">
        <f ca="1">OFFSET(DevBdgt!CR41,0,$D$4)</f>
        <v>0</v>
      </c>
      <c r="CS17" s="1161">
        <f ca="1">OFFSET(DevBdgt!CS41,0,$D$4)</f>
        <v>0</v>
      </c>
      <c r="CT17" s="1161">
        <f ca="1">OFFSET(DevBdgt!CT41,0,$D$4)</f>
        <v>0</v>
      </c>
      <c r="CU17" s="1161">
        <f ca="1">OFFSET(DevBdgt!CU41,0,$D$4)</f>
        <v>0</v>
      </c>
      <c r="CV17" s="1161">
        <f ca="1">OFFSET(DevBdgt!CV41,0,$D$4)</f>
        <v>0</v>
      </c>
      <c r="CW17" s="1161">
        <f ca="1">OFFSET(DevBdgt!CW41,0,$D$4)</f>
        <v>0</v>
      </c>
      <c r="CX17" s="1161">
        <f ca="1">OFFSET(DevBdgt!CX41,0,$D$4)</f>
        <v>0</v>
      </c>
      <c r="CY17" s="1161">
        <f ca="1">OFFSET(DevBdgt!CY41,0,$D$4)</f>
        <v>0</v>
      </c>
      <c r="CZ17" s="1161">
        <f ca="1">OFFSET(DevBdgt!CZ41,0,$D$4)</f>
        <v>0</v>
      </c>
      <c r="DA17" s="1161">
        <f ca="1">OFFSET(DevBdgt!DA41,0,$D$4)</f>
        <v>0</v>
      </c>
      <c r="DB17" s="1161">
        <f ca="1">OFFSET(DevBdgt!DB41,0,$D$4)</f>
        <v>0</v>
      </c>
      <c r="DC17" s="1161">
        <f ca="1">OFFSET(DevBdgt!DC41,0,$D$4)</f>
        <v>0</v>
      </c>
      <c r="DD17" s="1161">
        <f ca="1">OFFSET(DevBdgt!DD41,0,$D$4)</f>
        <v>0</v>
      </c>
      <c r="DE17" s="1161">
        <f ca="1">OFFSET(DevBdgt!DE41,0,$D$4)</f>
        <v>0</v>
      </c>
      <c r="DF17" s="1161">
        <f ca="1">OFFSET(DevBdgt!DF41,0,$D$4)</f>
        <v>0</v>
      </c>
      <c r="DG17" s="1161">
        <f ca="1">OFFSET(DevBdgt!DG41,0,$D$4)</f>
        <v>0</v>
      </c>
      <c r="DH17" s="1161">
        <f ca="1">OFFSET(DevBdgt!DH41,0,$D$4)</f>
        <v>0</v>
      </c>
      <c r="DI17" s="1161">
        <f ca="1">OFFSET(DevBdgt!DI41,0,$D$4)</f>
        <v>0</v>
      </c>
      <c r="DJ17" s="1161">
        <f ca="1">OFFSET(DevBdgt!DJ41,0,$D$4)</f>
        <v>0</v>
      </c>
      <c r="DK17" s="1161">
        <f ca="1">OFFSET(DevBdgt!DK41,0,$D$4)</f>
        <v>0</v>
      </c>
      <c r="DL17" s="1161">
        <f ca="1">OFFSET(DevBdgt!DL41,0,$D$4)</f>
        <v>0</v>
      </c>
      <c r="DM17" s="1161">
        <f ca="1">OFFSET(DevBdgt!DM41,0,$D$4)</f>
        <v>0</v>
      </c>
      <c r="DN17" s="1161">
        <f ca="1">OFFSET(DevBdgt!DN41,0,$D$4)</f>
        <v>0</v>
      </c>
      <c r="DO17" s="1161">
        <f ca="1">OFFSET(DevBdgt!DO41,0,$D$4)</f>
        <v>0</v>
      </c>
      <c r="DP17" s="1161">
        <f ca="1">OFFSET(DevBdgt!DP41,0,$D$4)</f>
        <v>0</v>
      </c>
      <c r="DQ17" s="1161">
        <f ca="1">OFFSET(DevBdgt!DQ41,0,$D$4)</f>
        <v>0</v>
      </c>
      <c r="DR17" s="1161">
        <f ca="1">OFFSET(DevBdgt!DR41,0,$D$4)</f>
        <v>0</v>
      </c>
      <c r="DS17" s="1161">
        <f ca="1">OFFSET(DevBdgt!DS41,0,$D$4)</f>
        <v>0</v>
      </c>
      <c r="DT17" s="1161">
        <f ca="1">OFFSET(DevBdgt!DT41,0,$D$4)</f>
        <v>0</v>
      </c>
      <c r="DU17" s="1161">
        <f ca="1">OFFSET(DevBdgt!DU41,0,$D$4)</f>
        <v>0</v>
      </c>
      <c r="DV17" s="1161">
        <f ca="1">OFFSET(DevBdgt!DV41,0,$D$4)</f>
        <v>0</v>
      </c>
      <c r="DW17" s="1161">
        <f ca="1">OFFSET(DevBdgt!DW41,0,$D$4)</f>
        <v>0</v>
      </c>
      <c r="DX17" s="1161">
        <f ca="1">OFFSET(DevBdgt!DX41,0,$D$4)</f>
        <v>0</v>
      </c>
      <c r="DY17" s="1161">
        <f ca="1">OFFSET(DevBdgt!DY41,0,$D$4)</f>
        <v>0</v>
      </c>
      <c r="DZ17" s="1161">
        <f ca="1">OFFSET(DevBdgt!DZ41,0,$D$4)</f>
        <v>0</v>
      </c>
      <c r="EA17" s="1161">
        <f ca="1">OFFSET(DevBdgt!EA41,0,$D$4)</f>
        <v>0</v>
      </c>
      <c r="EB17" s="1161">
        <f ca="1">OFFSET(DevBdgt!EB41,0,$D$4)</f>
        <v>0</v>
      </c>
      <c r="EC17" s="1161">
        <f ca="1">OFFSET(DevBdgt!EC41,0,$D$4)</f>
        <v>0</v>
      </c>
      <c r="ED17" s="1161">
        <f ca="1">OFFSET(DevBdgt!ED41,0,$D$4)</f>
        <v>0</v>
      </c>
      <c r="EE17" s="1161">
        <f ca="1">OFFSET(DevBdgt!EE41,0,$D$4)</f>
        <v>0</v>
      </c>
      <c r="EF17" s="1161">
        <f ca="1">OFFSET(DevBdgt!EF41,0,$D$4)</f>
        <v>0</v>
      </c>
      <c r="EG17" s="1161">
        <f ca="1">OFFSET(DevBdgt!EG41,0,$D$4)</f>
        <v>0</v>
      </c>
      <c r="EH17" s="778"/>
    </row>
    <row r="18" spans="2:138" ht="12.75" customHeight="1" x14ac:dyDescent="0.3">
      <c r="B18" s="1519" t="s">
        <v>301</v>
      </c>
      <c r="C18" s="1159" t="str">
        <f t="shared" si="6"/>
        <v xml:space="preserve"> LP Equity Contributions</v>
      </c>
      <c r="E18" s="1160">
        <f ca="1">IF(D4=0,Waterfalls!E42,SUM(Waterfalls!E42:F42))</f>
        <v>1684806.2553703375</v>
      </c>
      <c r="F18" s="1161">
        <f ca="1">OFFSET(Waterfalls!F42,0,$D$4)</f>
        <v>13679721.285321232</v>
      </c>
      <c r="G18" s="1161">
        <f ca="1">OFFSET(Waterfalls!G42,0,$D$4)</f>
        <v>429758.58896990592</v>
      </c>
      <c r="H18" s="1161">
        <f ca="1">OFFSET(Waterfalls!H42,0,$D$4)</f>
        <v>652516.24275347544</v>
      </c>
      <c r="I18" s="1161">
        <f ca="1">OFFSET(Waterfalls!I42,0,$D$4)</f>
        <v>1108216.2834030252</v>
      </c>
      <c r="J18" s="1161">
        <f ca="1">OFFSET(Waterfalls!J42,0,$D$4)</f>
        <v>1808500.5776190415</v>
      </c>
      <c r="K18" s="1161">
        <f ca="1">OFFSET(Waterfalls!K42,0,$D$4)</f>
        <v>1861449.5545326734</v>
      </c>
      <c r="L18" s="1161">
        <f ca="1">OFFSET(Waterfalls!L42,0,$D$4)</f>
        <v>2372000.4851556052</v>
      </c>
      <c r="M18" s="1161">
        <f ca="1">OFFSET(Waterfalls!M42,0,$D$4)</f>
        <v>2813680.2377213496</v>
      </c>
      <c r="N18" s="1161">
        <f ca="1">OFFSET(Waterfalls!N42,0,$D$4)</f>
        <v>3293680.161515363</v>
      </c>
      <c r="O18" s="1161">
        <f ca="1">OFFSET(Waterfalls!O42,0,$D$4)</f>
        <v>1869318.1862202697</v>
      </c>
      <c r="P18" s="1161">
        <f ca="1">OFFSET(Waterfalls!P42,0,$D$4)</f>
        <v>0</v>
      </c>
      <c r="Q18" s="1161">
        <f ca="1">OFFSET(Waterfalls!Q42,0,$D$4)</f>
        <v>0</v>
      </c>
      <c r="R18" s="1161">
        <f ca="1">OFFSET(Waterfalls!R42,0,$D$4)</f>
        <v>0</v>
      </c>
      <c r="S18" s="1161">
        <f ca="1">OFFSET(Waterfalls!S42,0,$D$4)</f>
        <v>0</v>
      </c>
      <c r="T18" s="1161">
        <f ca="1">OFFSET(Waterfalls!T42,0,$D$4)</f>
        <v>0</v>
      </c>
      <c r="U18" s="1161">
        <f ca="1">OFFSET(Waterfalls!U42,0,$D$4)</f>
        <v>0</v>
      </c>
      <c r="V18" s="1161">
        <f ca="1">OFFSET(Waterfalls!V42,0,$D$4)</f>
        <v>0</v>
      </c>
      <c r="W18" s="1161">
        <f ca="1">OFFSET(Waterfalls!W42,0,$D$4)</f>
        <v>0</v>
      </c>
      <c r="X18" s="1161">
        <f ca="1">OFFSET(Waterfalls!X42,0,$D$4)</f>
        <v>0</v>
      </c>
      <c r="Y18" s="1161">
        <f ca="1">OFFSET(Waterfalls!Y42,0,$D$4)</f>
        <v>0</v>
      </c>
      <c r="Z18" s="1161">
        <f ca="1">OFFSET(Waterfalls!Z42,0,$D$4)</f>
        <v>0</v>
      </c>
      <c r="AA18" s="1161">
        <f ca="1">OFFSET(Waterfalls!AA42,0,$D$4)</f>
        <v>0</v>
      </c>
      <c r="AB18" s="1161">
        <f ca="1">OFFSET(Waterfalls!AB42,0,$D$4)</f>
        <v>0</v>
      </c>
      <c r="AC18" s="1161">
        <f ca="1">OFFSET(Waterfalls!AC42,0,$D$4)</f>
        <v>0</v>
      </c>
      <c r="AD18" s="1161">
        <f ca="1">OFFSET(Waterfalls!AD42,0,$D$4)</f>
        <v>0</v>
      </c>
      <c r="AE18" s="1161">
        <f ca="1">OFFSET(Waterfalls!AE42,0,$D$4)</f>
        <v>0</v>
      </c>
      <c r="AF18" s="1161">
        <f ca="1">OFFSET(Waterfalls!AF42,0,$D$4)</f>
        <v>0</v>
      </c>
      <c r="AG18" s="1161">
        <f ca="1">OFFSET(Waterfalls!AG42,0,$D$4)</f>
        <v>0</v>
      </c>
      <c r="AH18" s="1161">
        <f ca="1">OFFSET(Waterfalls!AH42,0,$D$4)</f>
        <v>0</v>
      </c>
      <c r="AI18" s="1161">
        <f ca="1">OFFSET(Waterfalls!AI42,0,$D$4)</f>
        <v>0</v>
      </c>
      <c r="AJ18" s="1161">
        <f ca="1">OFFSET(Waterfalls!AJ42,0,$D$4)</f>
        <v>0</v>
      </c>
      <c r="AK18" s="1161">
        <f ca="1">OFFSET(Waterfalls!AK42,0,$D$4)</f>
        <v>0</v>
      </c>
      <c r="AL18" s="1161">
        <f ca="1">OFFSET(Waterfalls!AL42,0,$D$4)</f>
        <v>0</v>
      </c>
      <c r="AM18" s="1161">
        <f ca="1">OFFSET(Waterfalls!AM42,0,$D$4)</f>
        <v>0</v>
      </c>
      <c r="AN18" s="1161">
        <f ca="1">OFFSET(Waterfalls!AN42,0,$D$4)</f>
        <v>0</v>
      </c>
      <c r="AO18" s="1161">
        <f ca="1">OFFSET(Waterfalls!AO42,0,$D$4)</f>
        <v>0</v>
      </c>
      <c r="AP18" s="1161">
        <f ca="1">OFFSET(Waterfalls!AP42,0,$D$4)</f>
        <v>0</v>
      </c>
      <c r="AQ18" s="1161">
        <f ca="1">OFFSET(Waterfalls!AQ42,0,$D$4)</f>
        <v>0</v>
      </c>
      <c r="AR18" s="1161">
        <f ca="1">OFFSET(Waterfalls!AR42,0,$D$4)</f>
        <v>0</v>
      </c>
      <c r="AS18" s="1161">
        <f ca="1">OFFSET(Waterfalls!AS42,0,$D$4)</f>
        <v>0</v>
      </c>
      <c r="AT18" s="1161">
        <f ca="1">OFFSET(Waterfalls!AT42,0,$D$4)</f>
        <v>0</v>
      </c>
      <c r="AU18" s="1161">
        <f ca="1">OFFSET(Waterfalls!AU42,0,$D$4)</f>
        <v>0</v>
      </c>
      <c r="AV18" s="1161">
        <f ca="1">OFFSET(Waterfalls!AV42,0,$D$4)</f>
        <v>0</v>
      </c>
      <c r="AW18" s="1161">
        <f ca="1">OFFSET(Waterfalls!AW42,0,$D$4)</f>
        <v>0</v>
      </c>
      <c r="AX18" s="1161">
        <f ca="1">OFFSET(Waterfalls!AX42,0,$D$4)</f>
        <v>0</v>
      </c>
      <c r="AY18" s="1161">
        <f ca="1">OFFSET(Waterfalls!AY42,0,$D$4)</f>
        <v>0</v>
      </c>
      <c r="AZ18" s="1161">
        <f ca="1">OFFSET(Waterfalls!AZ42,0,$D$4)</f>
        <v>0</v>
      </c>
      <c r="BA18" s="1161">
        <f ca="1">OFFSET(Waterfalls!BA42,0,$D$4)</f>
        <v>0</v>
      </c>
      <c r="BB18" s="1161">
        <f ca="1">OFFSET(Waterfalls!BB42,0,$D$4)</f>
        <v>0</v>
      </c>
      <c r="BC18" s="1161">
        <f ca="1">OFFSET(Waterfalls!BC42,0,$D$4)</f>
        <v>0</v>
      </c>
      <c r="BD18" s="1161">
        <f ca="1">OFFSET(Waterfalls!BD42,0,$D$4)</f>
        <v>0</v>
      </c>
      <c r="BE18" s="1161">
        <f ca="1">OFFSET(Waterfalls!BE42,0,$D$4)</f>
        <v>0</v>
      </c>
      <c r="BF18" s="1161">
        <f ca="1">OFFSET(Waterfalls!BF42,0,$D$4)</f>
        <v>0</v>
      </c>
      <c r="BG18" s="1161">
        <f ca="1">OFFSET(Waterfalls!BG42,0,$D$4)</f>
        <v>0</v>
      </c>
      <c r="BH18" s="1161">
        <f ca="1">OFFSET(Waterfalls!BH42,0,$D$4)</f>
        <v>0</v>
      </c>
      <c r="BI18" s="1161">
        <f ca="1">OFFSET(Waterfalls!BI42,0,$D$4)</f>
        <v>0</v>
      </c>
      <c r="BJ18" s="1161">
        <f ca="1">OFFSET(Waterfalls!BJ42,0,$D$4)</f>
        <v>0</v>
      </c>
      <c r="BK18" s="1161">
        <f ca="1">OFFSET(Waterfalls!BK42,0,$D$4)</f>
        <v>0</v>
      </c>
      <c r="BL18" s="1161">
        <f ca="1">OFFSET(Waterfalls!BL42,0,$D$4)</f>
        <v>0</v>
      </c>
      <c r="BM18" s="1161">
        <f ca="1">OFFSET(Waterfalls!BM42,0,$D$4)</f>
        <v>0</v>
      </c>
      <c r="BN18" s="1161">
        <f ca="1">OFFSET(Waterfalls!BN42,0,$D$4)</f>
        <v>0</v>
      </c>
      <c r="BO18" s="1161">
        <f ca="1">OFFSET(Waterfalls!BO42,0,$D$4)</f>
        <v>0</v>
      </c>
      <c r="BP18" s="1161">
        <f ca="1">OFFSET(Waterfalls!BP42,0,$D$4)</f>
        <v>0</v>
      </c>
      <c r="BQ18" s="1161">
        <f ca="1">OFFSET(Waterfalls!BQ42,0,$D$4)</f>
        <v>0</v>
      </c>
      <c r="BR18" s="1161">
        <f ca="1">OFFSET(Waterfalls!BR42,0,$D$4)</f>
        <v>0</v>
      </c>
      <c r="BS18" s="1161">
        <f ca="1">OFFSET(Waterfalls!BS42,0,$D$4)</f>
        <v>0</v>
      </c>
      <c r="BT18" s="1161">
        <f ca="1">OFFSET(Waterfalls!BT42,0,$D$4)</f>
        <v>0</v>
      </c>
      <c r="BU18" s="1161">
        <f ca="1">OFFSET(Waterfalls!BU42,0,$D$4)</f>
        <v>0</v>
      </c>
      <c r="BV18" s="1161">
        <f ca="1">OFFSET(Waterfalls!BV42,0,$D$4)</f>
        <v>0</v>
      </c>
      <c r="BW18" s="1161">
        <f ca="1">OFFSET(Waterfalls!BW42,0,$D$4)</f>
        <v>0</v>
      </c>
      <c r="BX18" s="1161">
        <f ca="1">OFFSET(Waterfalls!BX42,0,$D$4)</f>
        <v>0</v>
      </c>
      <c r="BY18" s="1161">
        <f ca="1">OFFSET(Waterfalls!BY42,0,$D$4)</f>
        <v>0</v>
      </c>
      <c r="BZ18" s="1161">
        <f ca="1">OFFSET(Waterfalls!BZ42,0,$D$4)</f>
        <v>0</v>
      </c>
      <c r="CA18" s="1161">
        <f ca="1">OFFSET(Waterfalls!CA42,0,$D$4)</f>
        <v>0</v>
      </c>
      <c r="CB18" s="1161">
        <f ca="1">OFFSET(Waterfalls!CB42,0,$D$4)</f>
        <v>0</v>
      </c>
      <c r="CC18" s="1161">
        <f ca="1">OFFSET(Waterfalls!CC42,0,$D$4)</f>
        <v>0</v>
      </c>
      <c r="CD18" s="1161">
        <f ca="1">OFFSET(Waterfalls!CD42,0,$D$4)</f>
        <v>0</v>
      </c>
      <c r="CE18" s="1161">
        <f ca="1">OFFSET(Waterfalls!CE42,0,$D$4)</f>
        <v>0</v>
      </c>
      <c r="CF18" s="1161">
        <f ca="1">OFFSET(Waterfalls!CF42,0,$D$4)</f>
        <v>0</v>
      </c>
      <c r="CG18" s="1161">
        <f ca="1">OFFSET(Waterfalls!CG42,0,$D$4)</f>
        <v>0</v>
      </c>
      <c r="CH18" s="1161">
        <f ca="1">OFFSET(Waterfalls!CH42,0,$D$4)</f>
        <v>0</v>
      </c>
      <c r="CI18" s="1161">
        <f ca="1">OFFSET(Waterfalls!CI42,0,$D$4)</f>
        <v>0</v>
      </c>
      <c r="CJ18" s="1161">
        <f ca="1">OFFSET(Waterfalls!CJ42,0,$D$4)</f>
        <v>0</v>
      </c>
      <c r="CK18" s="1161">
        <f ca="1">OFFSET(Waterfalls!CK42,0,$D$4)</f>
        <v>0</v>
      </c>
      <c r="CL18" s="1161">
        <f ca="1">OFFSET(Waterfalls!CL42,0,$D$4)</f>
        <v>0</v>
      </c>
      <c r="CM18" s="1161">
        <f ca="1">OFFSET(Waterfalls!CM42,0,$D$4)</f>
        <v>0</v>
      </c>
      <c r="CN18" s="1161">
        <f ca="1">OFFSET(Waterfalls!CN42,0,$D$4)</f>
        <v>0</v>
      </c>
      <c r="CO18" s="1161">
        <f ca="1">OFFSET(Waterfalls!CO42,0,$D$4)</f>
        <v>0</v>
      </c>
      <c r="CP18" s="1161">
        <f ca="1">OFFSET(Waterfalls!CP42,0,$D$4)</f>
        <v>0</v>
      </c>
      <c r="CQ18" s="1161">
        <f ca="1">OFFSET(Waterfalls!CQ42,0,$D$4)</f>
        <v>0</v>
      </c>
      <c r="CR18" s="1161">
        <f ca="1">OFFSET(Waterfalls!CR42,0,$D$4)</f>
        <v>0</v>
      </c>
      <c r="CS18" s="1161">
        <f ca="1">OFFSET(Waterfalls!CS42,0,$D$4)</f>
        <v>0</v>
      </c>
      <c r="CT18" s="1161">
        <f ca="1">OFFSET(Waterfalls!CT42,0,$D$4)</f>
        <v>0</v>
      </c>
      <c r="CU18" s="1161">
        <f ca="1">OFFSET(Waterfalls!CU42,0,$D$4)</f>
        <v>0</v>
      </c>
      <c r="CV18" s="1161">
        <f ca="1">OFFSET(Waterfalls!CV42,0,$D$4)</f>
        <v>0</v>
      </c>
      <c r="CW18" s="1161">
        <f ca="1">OFFSET(Waterfalls!CW42,0,$D$4)</f>
        <v>0</v>
      </c>
      <c r="CX18" s="1161">
        <f ca="1">OFFSET(Waterfalls!CX42,0,$D$4)</f>
        <v>0</v>
      </c>
      <c r="CY18" s="1161">
        <f ca="1">OFFSET(Waterfalls!CY42,0,$D$4)</f>
        <v>0</v>
      </c>
      <c r="CZ18" s="1161">
        <f ca="1">OFFSET(Waterfalls!CZ42,0,$D$4)</f>
        <v>0</v>
      </c>
      <c r="DA18" s="1161">
        <f ca="1">OFFSET(Waterfalls!DA42,0,$D$4)</f>
        <v>0</v>
      </c>
      <c r="DB18" s="1161">
        <f ca="1">OFFSET(Waterfalls!DB42,0,$D$4)</f>
        <v>0</v>
      </c>
      <c r="DC18" s="1161">
        <f ca="1">OFFSET(Waterfalls!DC42,0,$D$4)</f>
        <v>0</v>
      </c>
      <c r="DD18" s="1161">
        <f ca="1">OFFSET(Waterfalls!DD42,0,$D$4)</f>
        <v>0</v>
      </c>
      <c r="DE18" s="1161">
        <f ca="1">OFFSET(Waterfalls!DE42,0,$D$4)</f>
        <v>0</v>
      </c>
      <c r="DF18" s="1161">
        <f ca="1">OFFSET(Waterfalls!DF42,0,$D$4)</f>
        <v>0</v>
      </c>
      <c r="DG18" s="1161">
        <f ca="1">OFFSET(Waterfalls!DG42,0,$D$4)</f>
        <v>0</v>
      </c>
      <c r="DH18" s="1161">
        <f ca="1">OFFSET(Waterfalls!DH42,0,$D$4)</f>
        <v>0</v>
      </c>
      <c r="DI18" s="1161">
        <f ca="1">OFFSET(Waterfalls!DI42,0,$D$4)</f>
        <v>0</v>
      </c>
      <c r="DJ18" s="1161">
        <f ca="1">OFFSET(Waterfalls!DJ42,0,$D$4)</f>
        <v>0</v>
      </c>
      <c r="DK18" s="1161">
        <f ca="1">OFFSET(Waterfalls!DK42,0,$D$4)</f>
        <v>0</v>
      </c>
      <c r="DL18" s="1161">
        <f ca="1">OFFSET(Waterfalls!DL42,0,$D$4)</f>
        <v>0</v>
      </c>
      <c r="DM18" s="1161">
        <f ca="1">OFFSET(Waterfalls!DM42,0,$D$4)</f>
        <v>0</v>
      </c>
      <c r="DN18" s="1161">
        <f ca="1">OFFSET(Waterfalls!DN42,0,$D$4)</f>
        <v>0</v>
      </c>
      <c r="DO18" s="1161">
        <f ca="1">OFFSET(Waterfalls!DO42,0,$D$4)</f>
        <v>0</v>
      </c>
      <c r="DP18" s="1161">
        <f ca="1">OFFSET(Waterfalls!DP42,0,$D$4)</f>
        <v>0</v>
      </c>
      <c r="DQ18" s="1161">
        <f ca="1">OFFSET(Waterfalls!DQ42,0,$D$4)</f>
        <v>0</v>
      </c>
      <c r="DR18" s="1161">
        <f ca="1">OFFSET(Waterfalls!DR42,0,$D$4)</f>
        <v>0</v>
      </c>
      <c r="DS18" s="1161">
        <f ca="1">OFFSET(Waterfalls!DS42,0,$D$4)</f>
        <v>0</v>
      </c>
      <c r="DT18" s="1161">
        <f ca="1">OFFSET(Waterfalls!DT42,0,$D$4)</f>
        <v>0</v>
      </c>
      <c r="DU18" s="1161">
        <f ca="1">OFFSET(Waterfalls!DU42,0,$D$4)</f>
        <v>0</v>
      </c>
      <c r="DV18" s="1161">
        <f ca="1">OFFSET(Waterfalls!DV42,0,$D$4)</f>
        <v>0</v>
      </c>
      <c r="DW18" s="1161">
        <f ca="1">OFFSET(Waterfalls!DW42,0,$D$4)</f>
        <v>0</v>
      </c>
      <c r="DX18" s="1161">
        <f ca="1">OFFSET(Waterfalls!DX42,0,$D$4)</f>
        <v>0</v>
      </c>
      <c r="DY18" s="1161">
        <f ca="1">OFFSET(Waterfalls!DY42,0,$D$4)</f>
        <v>0</v>
      </c>
      <c r="DZ18" s="1161">
        <f ca="1">OFFSET(Waterfalls!DZ42,0,$D$4)</f>
        <v>0</v>
      </c>
      <c r="EA18" s="1161">
        <f ca="1">OFFSET(Waterfalls!EA42,0,$D$4)</f>
        <v>0</v>
      </c>
      <c r="EB18" s="1161">
        <f ca="1">OFFSET(Waterfalls!EB42,0,$D$4)</f>
        <v>0</v>
      </c>
      <c r="EC18" s="1161">
        <f ca="1">OFFSET(Waterfalls!EC42,0,$D$4)</f>
        <v>0</v>
      </c>
      <c r="ED18" s="1161">
        <f ca="1">OFFSET(Waterfalls!ED42,0,$D$4)</f>
        <v>0</v>
      </c>
      <c r="EE18" s="1161">
        <f ca="1">OFFSET(Waterfalls!EE42,0,$D$4)</f>
        <v>0</v>
      </c>
      <c r="EF18" s="1161">
        <f ca="1">OFFSET(Waterfalls!EF42,0,$D$4)</f>
        <v>0</v>
      </c>
      <c r="EG18" s="1161">
        <f ca="1">OFFSET(Waterfalls!EG42,0,$D$4)</f>
        <v>0</v>
      </c>
      <c r="EH18" s="778"/>
    </row>
    <row r="19" spans="2:138" ht="12.75" customHeight="1" x14ac:dyDescent="0.3">
      <c r="B19" s="1155" t="s">
        <v>302</v>
      </c>
      <c r="C19" s="1159" t="str">
        <f t="shared" si="6"/>
        <v xml:space="preserve"> Cumulative units complete</v>
      </c>
      <c r="E19" s="1162">
        <f>IF(D4=0,DevBdgt!E23,DevBdgt!F23)</f>
        <v>0</v>
      </c>
      <c r="F19" s="1163">
        <f ca="1">OFFSET(DevBdgt!F23,0,$D$4)</f>
        <v>0</v>
      </c>
      <c r="G19" s="1163">
        <f ca="1">OFFSET(DevBdgt!G23,0,$D$4)</f>
        <v>0</v>
      </c>
      <c r="H19" s="1163">
        <f ca="1">OFFSET(DevBdgt!H23,0,$D$4)</f>
        <v>0</v>
      </c>
      <c r="I19" s="1163">
        <f ca="1">OFFSET(DevBdgt!I23,0,$D$4)</f>
        <v>0</v>
      </c>
      <c r="J19" s="1163">
        <f ca="1">OFFSET(DevBdgt!J23,0,$D$4)</f>
        <v>0</v>
      </c>
      <c r="K19" s="1163">
        <f ca="1">OFFSET(DevBdgt!K23,0,$D$4)</f>
        <v>0</v>
      </c>
      <c r="L19" s="1163">
        <f ca="1">OFFSET(DevBdgt!L23,0,$D$4)</f>
        <v>0</v>
      </c>
      <c r="M19" s="1163">
        <f ca="1">OFFSET(DevBdgt!M23,0,$D$4)</f>
        <v>0</v>
      </c>
      <c r="N19" s="1163">
        <f ca="1">OFFSET(DevBdgt!N23,0,$D$4)</f>
        <v>0</v>
      </c>
      <c r="O19" s="1163">
        <f ca="1">OFFSET(DevBdgt!O23,0,$D$4)</f>
        <v>0</v>
      </c>
      <c r="P19" s="1163">
        <f ca="1">OFFSET(DevBdgt!P23,0,$D$4)</f>
        <v>0</v>
      </c>
      <c r="Q19" s="1163">
        <f ca="1">OFFSET(DevBdgt!Q23,0,$D$4)</f>
        <v>0</v>
      </c>
      <c r="R19" s="1163">
        <f ca="1">OFFSET(DevBdgt!R23,0,$D$4)</f>
        <v>0</v>
      </c>
      <c r="S19" s="1163">
        <f ca="1">OFFSET(DevBdgt!S23,0,$D$4)</f>
        <v>8.3333333333333329E-2</v>
      </c>
      <c r="T19" s="1163">
        <f ca="1">OFFSET(DevBdgt!T23,0,$D$4)</f>
        <v>0.16666666666666666</v>
      </c>
      <c r="U19" s="1163">
        <f ca="1">OFFSET(DevBdgt!U23,0,$D$4)</f>
        <v>0.25</v>
      </c>
      <c r="V19" s="1163">
        <f ca="1">OFFSET(DevBdgt!V23,0,$D$4)</f>
        <v>0.33333333333333331</v>
      </c>
      <c r="W19" s="1163">
        <f ca="1">OFFSET(DevBdgt!W23,0,$D$4)</f>
        <v>0.41666666666666663</v>
      </c>
      <c r="X19" s="1163">
        <f ca="1">OFFSET(DevBdgt!X23,0,$D$4)</f>
        <v>0.49999999999999994</v>
      </c>
      <c r="Y19" s="1163">
        <f ca="1">OFFSET(DevBdgt!Y23,0,$D$4)</f>
        <v>0.58333333333333326</v>
      </c>
      <c r="Z19" s="1163">
        <f ca="1">OFFSET(DevBdgt!Z23,0,$D$4)</f>
        <v>0.66666666666666663</v>
      </c>
      <c r="AA19" s="1163">
        <f ca="1">OFFSET(DevBdgt!AA23,0,$D$4)</f>
        <v>0.75</v>
      </c>
      <c r="AB19" s="1163">
        <f ca="1">OFFSET(DevBdgt!AB23,0,$D$4)</f>
        <v>0.83333333333333337</v>
      </c>
      <c r="AC19" s="1163">
        <f ca="1">OFFSET(DevBdgt!AC23,0,$D$4)</f>
        <v>0.91666666666666674</v>
      </c>
      <c r="AD19" s="1163">
        <f ca="1">OFFSET(DevBdgt!AD23,0,$D$4)</f>
        <v>1</v>
      </c>
      <c r="AE19" s="1163">
        <f ca="1">OFFSET(DevBdgt!AE23,0,$D$4)</f>
        <v>1</v>
      </c>
      <c r="AF19" s="1163">
        <f ca="1">OFFSET(DevBdgt!AF23,0,$D$4)</f>
        <v>1</v>
      </c>
      <c r="AG19" s="1163">
        <f ca="1">OFFSET(DevBdgt!AG23,0,$D$4)</f>
        <v>1</v>
      </c>
      <c r="AH19" s="1163">
        <f ca="1">OFFSET(DevBdgt!AH23,0,$D$4)</f>
        <v>1</v>
      </c>
      <c r="AI19" s="1163">
        <f ca="1">OFFSET(DevBdgt!AI23,0,$D$4)</f>
        <v>1</v>
      </c>
      <c r="AJ19" s="1163">
        <f ca="1">OFFSET(DevBdgt!AJ23,0,$D$4)</f>
        <v>1</v>
      </c>
      <c r="AK19" s="1163">
        <f ca="1">OFFSET(DevBdgt!AK23,0,$D$4)</f>
        <v>1</v>
      </c>
      <c r="AL19" s="1163">
        <f ca="1">OFFSET(DevBdgt!AL23,0,$D$4)</f>
        <v>1</v>
      </c>
      <c r="AM19" s="1163">
        <f ca="1">OFFSET(DevBdgt!AM23,0,$D$4)</f>
        <v>1</v>
      </c>
      <c r="AN19" s="1163">
        <f ca="1">OFFSET(DevBdgt!AN23,0,$D$4)</f>
        <v>1</v>
      </c>
      <c r="AO19" s="1163">
        <f ca="1">OFFSET(DevBdgt!AO23,0,$D$4)</f>
        <v>1</v>
      </c>
      <c r="AP19" s="1163">
        <f ca="1">OFFSET(DevBdgt!AP23,0,$D$4)</f>
        <v>1</v>
      </c>
      <c r="AQ19" s="1163">
        <f ca="1">OFFSET(DevBdgt!AQ23,0,$D$4)</f>
        <v>1</v>
      </c>
      <c r="AR19" s="1163">
        <f ca="1">OFFSET(DevBdgt!AR23,0,$D$4)</f>
        <v>1</v>
      </c>
      <c r="AS19" s="1163">
        <f ca="1">OFFSET(DevBdgt!AS23,0,$D$4)</f>
        <v>1</v>
      </c>
      <c r="AT19" s="1163">
        <f ca="1">OFFSET(DevBdgt!AT23,0,$D$4)</f>
        <v>1</v>
      </c>
      <c r="AU19" s="1163">
        <f ca="1">OFFSET(DevBdgt!AU23,0,$D$4)</f>
        <v>1</v>
      </c>
      <c r="AV19" s="1163">
        <f ca="1">OFFSET(DevBdgt!AV23,0,$D$4)</f>
        <v>1</v>
      </c>
      <c r="AW19" s="1163">
        <f ca="1">OFFSET(DevBdgt!AW23,0,$D$4)</f>
        <v>1</v>
      </c>
      <c r="AX19" s="1163">
        <f ca="1">OFFSET(DevBdgt!AX23,0,$D$4)</f>
        <v>1</v>
      </c>
      <c r="AY19" s="1163">
        <f ca="1">OFFSET(DevBdgt!AY23,0,$D$4)</f>
        <v>1</v>
      </c>
      <c r="AZ19" s="1163">
        <f ca="1">OFFSET(DevBdgt!AZ23,0,$D$4)</f>
        <v>1</v>
      </c>
      <c r="BA19" s="1163">
        <f ca="1">OFFSET(DevBdgt!BA23,0,$D$4)</f>
        <v>1</v>
      </c>
      <c r="BB19" s="1163">
        <f ca="1">OFFSET(DevBdgt!BB23,0,$D$4)</f>
        <v>1</v>
      </c>
      <c r="BC19" s="1163">
        <f ca="1">OFFSET(DevBdgt!BC23,0,$D$4)</f>
        <v>1</v>
      </c>
      <c r="BD19" s="1163">
        <f ca="1">OFFSET(DevBdgt!BD23,0,$D$4)</f>
        <v>1</v>
      </c>
      <c r="BE19" s="1163">
        <f ca="1">OFFSET(DevBdgt!BE23,0,$D$4)</f>
        <v>1</v>
      </c>
      <c r="BF19" s="1163">
        <f ca="1">OFFSET(DevBdgt!BF23,0,$D$4)</f>
        <v>1</v>
      </c>
      <c r="BG19" s="1163">
        <f ca="1">OFFSET(DevBdgt!BG23,0,$D$4)</f>
        <v>1</v>
      </c>
      <c r="BH19" s="1163">
        <f ca="1">OFFSET(DevBdgt!BH23,0,$D$4)</f>
        <v>1</v>
      </c>
      <c r="BI19" s="1163">
        <f ca="1">OFFSET(DevBdgt!BI23,0,$D$4)</f>
        <v>1</v>
      </c>
      <c r="BJ19" s="1163">
        <f ca="1">OFFSET(DevBdgt!BJ23,0,$D$4)</f>
        <v>1</v>
      </c>
      <c r="BK19" s="1163">
        <f ca="1">OFFSET(DevBdgt!BK23,0,$D$4)</f>
        <v>1</v>
      </c>
      <c r="BL19" s="1163">
        <f ca="1">OFFSET(DevBdgt!BL23,0,$D$4)</f>
        <v>1</v>
      </c>
      <c r="BM19" s="1163">
        <f ca="1">OFFSET(DevBdgt!BM23,0,$D$4)</f>
        <v>1</v>
      </c>
      <c r="BN19" s="1163">
        <f ca="1">OFFSET(DevBdgt!BN23,0,$D$4)</f>
        <v>1</v>
      </c>
      <c r="BO19" s="1163">
        <f ca="1">OFFSET(DevBdgt!BO23,0,$D$4)</f>
        <v>1</v>
      </c>
      <c r="BP19" s="1163">
        <f ca="1">OFFSET(DevBdgt!BP23,0,$D$4)</f>
        <v>1</v>
      </c>
      <c r="BQ19" s="1163">
        <f ca="1">OFFSET(DevBdgt!BQ23,0,$D$4)</f>
        <v>1</v>
      </c>
      <c r="BR19" s="1163">
        <f ca="1">OFFSET(DevBdgt!BR23,0,$D$4)</f>
        <v>1</v>
      </c>
      <c r="BS19" s="1163">
        <f ca="1">OFFSET(DevBdgt!BS23,0,$D$4)</f>
        <v>1</v>
      </c>
      <c r="BT19" s="1163">
        <f ca="1">OFFSET(DevBdgt!BT23,0,$D$4)</f>
        <v>1</v>
      </c>
      <c r="BU19" s="1163">
        <f ca="1">OFFSET(DevBdgt!BU23,0,$D$4)</f>
        <v>1</v>
      </c>
      <c r="BV19" s="1163">
        <f ca="1">OFFSET(DevBdgt!BV23,0,$D$4)</f>
        <v>1</v>
      </c>
      <c r="BW19" s="1163">
        <f ca="1">OFFSET(DevBdgt!BW23,0,$D$4)</f>
        <v>1</v>
      </c>
      <c r="BX19" s="1163">
        <f ca="1">OFFSET(DevBdgt!BX23,0,$D$4)</f>
        <v>1</v>
      </c>
      <c r="BY19" s="1163">
        <f ca="1">OFFSET(DevBdgt!BY23,0,$D$4)</f>
        <v>1</v>
      </c>
      <c r="BZ19" s="1163">
        <f ca="1">OFFSET(DevBdgt!BZ23,0,$D$4)</f>
        <v>1</v>
      </c>
      <c r="CA19" s="1163">
        <f ca="1">OFFSET(DevBdgt!CA23,0,$D$4)</f>
        <v>1</v>
      </c>
      <c r="CB19" s="1163">
        <f ca="1">OFFSET(DevBdgt!CB23,0,$D$4)</f>
        <v>1</v>
      </c>
      <c r="CC19" s="1163">
        <f ca="1">OFFSET(DevBdgt!CC23,0,$D$4)</f>
        <v>1</v>
      </c>
      <c r="CD19" s="1163">
        <f ca="1">OFFSET(DevBdgt!CD23,0,$D$4)</f>
        <v>1</v>
      </c>
      <c r="CE19" s="1163">
        <f ca="1">OFFSET(DevBdgt!CE23,0,$D$4)</f>
        <v>1</v>
      </c>
      <c r="CF19" s="1163">
        <f ca="1">OFFSET(DevBdgt!CF23,0,$D$4)</f>
        <v>1</v>
      </c>
      <c r="CG19" s="1163">
        <f ca="1">OFFSET(DevBdgt!CG23,0,$D$4)</f>
        <v>1</v>
      </c>
      <c r="CH19" s="1163">
        <f ca="1">OFFSET(DevBdgt!CH23,0,$D$4)</f>
        <v>1</v>
      </c>
      <c r="CI19" s="1163">
        <f ca="1">OFFSET(DevBdgt!CI23,0,$D$4)</f>
        <v>1</v>
      </c>
      <c r="CJ19" s="1163">
        <f ca="1">OFFSET(DevBdgt!CJ23,0,$D$4)</f>
        <v>1</v>
      </c>
      <c r="CK19" s="1163">
        <f ca="1">OFFSET(DevBdgt!CK23,0,$D$4)</f>
        <v>1</v>
      </c>
      <c r="CL19" s="1163">
        <f ca="1">OFFSET(DevBdgt!CL23,0,$D$4)</f>
        <v>1</v>
      </c>
      <c r="CM19" s="1163">
        <f ca="1">OFFSET(DevBdgt!CM23,0,$D$4)</f>
        <v>1</v>
      </c>
      <c r="CN19" s="1163">
        <f ca="1">OFFSET(DevBdgt!CN23,0,$D$4)</f>
        <v>1</v>
      </c>
      <c r="CO19" s="1163">
        <f ca="1">OFFSET(DevBdgt!CO23,0,$D$4)</f>
        <v>1</v>
      </c>
      <c r="CP19" s="1163">
        <f ca="1">OFFSET(DevBdgt!CP23,0,$D$4)</f>
        <v>1</v>
      </c>
      <c r="CQ19" s="1163">
        <f ca="1">OFFSET(DevBdgt!CQ23,0,$D$4)</f>
        <v>1</v>
      </c>
      <c r="CR19" s="1163">
        <f ca="1">OFFSET(DevBdgt!CR23,0,$D$4)</f>
        <v>1</v>
      </c>
      <c r="CS19" s="1163">
        <f ca="1">OFFSET(DevBdgt!CS23,0,$D$4)</f>
        <v>1</v>
      </c>
      <c r="CT19" s="1163">
        <f ca="1">OFFSET(DevBdgt!CT23,0,$D$4)</f>
        <v>1</v>
      </c>
      <c r="CU19" s="1163">
        <f ca="1">OFFSET(DevBdgt!CU23,0,$D$4)</f>
        <v>1</v>
      </c>
      <c r="CV19" s="1163">
        <f ca="1">OFFSET(DevBdgt!CV23,0,$D$4)</f>
        <v>1</v>
      </c>
      <c r="CW19" s="1163">
        <f ca="1">OFFSET(DevBdgt!CW23,0,$D$4)</f>
        <v>1</v>
      </c>
      <c r="CX19" s="1163">
        <f ca="1">OFFSET(DevBdgt!CX23,0,$D$4)</f>
        <v>1</v>
      </c>
      <c r="CY19" s="1163">
        <f ca="1">OFFSET(DevBdgt!CY23,0,$D$4)</f>
        <v>1</v>
      </c>
      <c r="CZ19" s="1163">
        <f ca="1">OFFSET(DevBdgt!CZ23,0,$D$4)</f>
        <v>1</v>
      </c>
      <c r="DA19" s="1163">
        <f ca="1">OFFSET(DevBdgt!DA23,0,$D$4)</f>
        <v>1</v>
      </c>
      <c r="DB19" s="1163">
        <f ca="1">OFFSET(DevBdgt!DB23,0,$D$4)</f>
        <v>1</v>
      </c>
      <c r="DC19" s="1163">
        <f ca="1">OFFSET(DevBdgt!DC23,0,$D$4)</f>
        <v>1</v>
      </c>
      <c r="DD19" s="1163">
        <f ca="1">OFFSET(DevBdgt!DD23,0,$D$4)</f>
        <v>1</v>
      </c>
      <c r="DE19" s="1163">
        <f ca="1">OFFSET(DevBdgt!DE23,0,$D$4)</f>
        <v>1</v>
      </c>
      <c r="DF19" s="1163">
        <f ca="1">OFFSET(DevBdgt!DF23,0,$D$4)</f>
        <v>1</v>
      </c>
      <c r="DG19" s="1163">
        <f ca="1">OFFSET(DevBdgt!DG23,0,$D$4)</f>
        <v>1</v>
      </c>
      <c r="DH19" s="1163">
        <f ca="1">OFFSET(DevBdgt!DH23,0,$D$4)</f>
        <v>1</v>
      </c>
      <c r="DI19" s="1163">
        <f ca="1">OFFSET(DevBdgt!DI23,0,$D$4)</f>
        <v>1</v>
      </c>
      <c r="DJ19" s="1163">
        <f ca="1">OFFSET(DevBdgt!DJ23,0,$D$4)</f>
        <v>1</v>
      </c>
      <c r="DK19" s="1163">
        <f ca="1">OFFSET(DevBdgt!DK23,0,$D$4)</f>
        <v>1</v>
      </c>
      <c r="DL19" s="1163">
        <f ca="1">OFFSET(DevBdgt!DL23,0,$D$4)</f>
        <v>1</v>
      </c>
      <c r="DM19" s="1163">
        <f ca="1">OFFSET(DevBdgt!DM23,0,$D$4)</f>
        <v>1</v>
      </c>
      <c r="DN19" s="1163">
        <f ca="1">OFFSET(DevBdgt!DN23,0,$D$4)</f>
        <v>1</v>
      </c>
      <c r="DO19" s="1163">
        <f ca="1">OFFSET(DevBdgt!DO23,0,$D$4)</f>
        <v>1</v>
      </c>
      <c r="DP19" s="1163">
        <f ca="1">OFFSET(DevBdgt!DP23,0,$D$4)</f>
        <v>1</v>
      </c>
      <c r="DQ19" s="1163">
        <f ca="1">OFFSET(DevBdgt!DQ23,0,$D$4)</f>
        <v>1</v>
      </c>
      <c r="DR19" s="1163">
        <f ca="1">OFFSET(DevBdgt!DR23,0,$D$4)</f>
        <v>1</v>
      </c>
      <c r="DS19" s="1163">
        <f ca="1">OFFSET(DevBdgt!DS23,0,$D$4)</f>
        <v>1</v>
      </c>
      <c r="DT19" s="1163">
        <f ca="1">OFFSET(DevBdgt!DT23,0,$D$4)</f>
        <v>1</v>
      </c>
      <c r="DU19" s="1163">
        <f ca="1">OFFSET(DevBdgt!DU23,0,$D$4)</f>
        <v>1</v>
      </c>
      <c r="DV19" s="1163">
        <f ca="1">OFFSET(DevBdgt!DV23,0,$D$4)</f>
        <v>1</v>
      </c>
      <c r="DW19" s="1163">
        <f ca="1">OFFSET(DevBdgt!DW23,0,$D$4)</f>
        <v>1</v>
      </c>
      <c r="DX19" s="1163">
        <f ca="1">OFFSET(DevBdgt!DX23,0,$D$4)</f>
        <v>1</v>
      </c>
      <c r="DY19" s="1163">
        <f ca="1">OFFSET(DevBdgt!DY23,0,$D$4)</f>
        <v>1</v>
      </c>
      <c r="DZ19" s="1163">
        <f ca="1">OFFSET(DevBdgt!DZ23,0,$D$4)</f>
        <v>1</v>
      </c>
      <c r="EA19" s="1163">
        <f ca="1">OFFSET(DevBdgt!EA23,0,$D$4)</f>
        <v>1</v>
      </c>
      <c r="EB19" s="1163">
        <f ca="1">OFFSET(DevBdgt!EB23,0,$D$4)</f>
        <v>1</v>
      </c>
      <c r="EC19" s="1163">
        <f ca="1">OFFSET(DevBdgt!EC23,0,$D$4)</f>
        <v>1</v>
      </c>
      <c r="ED19" s="1163">
        <f ca="1">OFFSET(DevBdgt!ED23,0,$D$4)</f>
        <v>1</v>
      </c>
      <c r="EE19" s="1163">
        <f ca="1">OFFSET(DevBdgt!EE23,0,$D$4)</f>
        <v>1</v>
      </c>
      <c r="EF19" s="1163">
        <f ca="1">OFFSET(DevBdgt!EF23,0,$D$4)</f>
        <v>1</v>
      </c>
      <c r="EG19" s="1163">
        <f ca="1">OFFSET(DevBdgt!EG23,0,$D$4)</f>
        <v>1</v>
      </c>
      <c r="EH19" s="778"/>
    </row>
    <row r="20" spans="2:138" ht="12.75" customHeight="1" x14ac:dyDescent="0.3">
      <c r="B20" s="1155" t="s">
        <v>303</v>
      </c>
      <c r="C20" s="1159" t="str">
        <f t="shared" si="6"/>
        <v xml:space="preserve"> Number of completed units (completion schedule)</v>
      </c>
      <c r="E20" s="1160"/>
      <c r="F20" s="1161">
        <f ca="1">OFFSET(OperBgt!G19,0,$D$4)</f>
        <v>0</v>
      </c>
      <c r="G20" s="1161">
        <f ca="1">OFFSET(OperBgt!H19,0,$D$4)</f>
        <v>0</v>
      </c>
      <c r="H20" s="1161">
        <f ca="1">OFFSET(OperBgt!I19,0,$D$4)</f>
        <v>0</v>
      </c>
      <c r="I20" s="1161">
        <f ca="1">OFFSET(OperBgt!J19,0,$D$4)</f>
        <v>0</v>
      </c>
      <c r="J20" s="1161">
        <f ca="1">OFFSET(OperBgt!K19,0,$D$4)</f>
        <v>0</v>
      </c>
      <c r="K20" s="1161">
        <f ca="1">OFFSET(OperBgt!L19,0,$D$4)</f>
        <v>0</v>
      </c>
      <c r="L20" s="1161">
        <f ca="1">OFFSET(OperBgt!M19,0,$D$4)</f>
        <v>0</v>
      </c>
      <c r="M20" s="1161">
        <f ca="1">OFFSET(OperBgt!N19,0,$D$4)</f>
        <v>0</v>
      </c>
      <c r="N20" s="1161">
        <f ca="1">OFFSET(OperBgt!O19,0,$D$4)</f>
        <v>0</v>
      </c>
      <c r="O20" s="1161">
        <f ca="1">OFFSET(OperBgt!P19,0,$D$4)</f>
        <v>0</v>
      </c>
      <c r="P20" s="1161">
        <f ca="1">OFFSET(OperBgt!Q19,0,$D$4)</f>
        <v>0</v>
      </c>
      <c r="Q20" s="1161">
        <f ca="1">OFFSET(OperBgt!R19,0,$D$4)</f>
        <v>0</v>
      </c>
      <c r="R20" s="1161">
        <f ca="1">OFFSET(OperBgt!S19,0,$D$4)</f>
        <v>0</v>
      </c>
      <c r="S20" s="1161">
        <f ca="1">OFFSET(OperBgt!T19,0,$D$4)</f>
        <v>21.333333333333332</v>
      </c>
      <c r="T20" s="1161">
        <f ca="1">OFFSET(OperBgt!U19,0,$D$4)</f>
        <v>42.666666666666664</v>
      </c>
      <c r="U20" s="1161">
        <f ca="1">OFFSET(OperBgt!V19,0,$D$4)</f>
        <v>64</v>
      </c>
      <c r="V20" s="1161">
        <f ca="1">OFFSET(OperBgt!W19,0,$D$4)</f>
        <v>85.333333333333329</v>
      </c>
      <c r="W20" s="1161">
        <f ca="1">OFFSET(OperBgt!X19,0,$D$4)</f>
        <v>106.66666666666666</v>
      </c>
      <c r="X20" s="1161">
        <f ca="1">OFFSET(OperBgt!Y19,0,$D$4)</f>
        <v>127.99999999999999</v>
      </c>
      <c r="Y20" s="1161">
        <f ca="1">OFFSET(OperBgt!Z19,0,$D$4)</f>
        <v>149.33333333333331</v>
      </c>
      <c r="Z20" s="1161">
        <f ca="1">OFFSET(OperBgt!AA19,0,$D$4)</f>
        <v>170.66666666666666</v>
      </c>
      <c r="AA20" s="1161">
        <f ca="1">OFFSET(OperBgt!AB19,0,$D$4)</f>
        <v>192</v>
      </c>
      <c r="AB20" s="1161">
        <f ca="1">OFFSET(OperBgt!AC19,0,$D$4)</f>
        <v>213.33333333333334</v>
      </c>
      <c r="AC20" s="1161">
        <f ca="1">OFFSET(OperBgt!AD19,0,$D$4)</f>
        <v>234.66666666666669</v>
      </c>
      <c r="AD20" s="1161">
        <f ca="1">OFFSET(OperBgt!AE19,0,$D$4)</f>
        <v>256</v>
      </c>
      <c r="AE20" s="1161">
        <f ca="1">OFFSET(OperBgt!AF19,0,$D$4)</f>
        <v>256</v>
      </c>
      <c r="AF20" s="1161">
        <f ca="1">OFFSET(OperBgt!AG19,0,$D$4)</f>
        <v>256</v>
      </c>
      <c r="AG20" s="1161">
        <f ca="1">OFFSET(OperBgt!AH19,0,$D$4)</f>
        <v>256</v>
      </c>
      <c r="AH20" s="1161">
        <f ca="1">OFFSET(OperBgt!AI19,0,$D$4)</f>
        <v>256</v>
      </c>
      <c r="AI20" s="1161">
        <f ca="1">OFFSET(OperBgt!AJ19,0,$D$4)</f>
        <v>256</v>
      </c>
      <c r="AJ20" s="1161">
        <f ca="1">OFFSET(OperBgt!AK19,0,$D$4)</f>
        <v>256</v>
      </c>
      <c r="AK20" s="1161">
        <f ca="1">OFFSET(OperBgt!AL19,0,$D$4)</f>
        <v>256</v>
      </c>
      <c r="AL20" s="1161">
        <f ca="1">OFFSET(OperBgt!AM19,0,$D$4)</f>
        <v>256</v>
      </c>
      <c r="AM20" s="1161">
        <f ca="1">OFFSET(OperBgt!AN19,0,$D$4)</f>
        <v>256</v>
      </c>
      <c r="AN20" s="1161">
        <f ca="1">OFFSET(OperBgt!AO19,0,$D$4)</f>
        <v>256</v>
      </c>
      <c r="AO20" s="1161">
        <f ca="1">OFFSET(OperBgt!AP19,0,$D$4)</f>
        <v>256</v>
      </c>
      <c r="AP20" s="1161">
        <f ca="1">OFFSET(OperBgt!AQ19,0,$D$4)</f>
        <v>256</v>
      </c>
      <c r="AQ20" s="1161">
        <f ca="1">OFFSET(OperBgt!AR19,0,$D$4)</f>
        <v>256</v>
      </c>
      <c r="AR20" s="1161">
        <f ca="1">OFFSET(OperBgt!AS19,0,$D$4)</f>
        <v>256</v>
      </c>
      <c r="AS20" s="1161">
        <f ca="1">OFFSET(OperBgt!AT19,0,$D$4)</f>
        <v>256</v>
      </c>
      <c r="AT20" s="1161">
        <f ca="1">OFFSET(OperBgt!AU19,0,$D$4)</f>
        <v>256</v>
      </c>
      <c r="AU20" s="1161">
        <f ca="1">OFFSET(OperBgt!AV19,0,$D$4)</f>
        <v>256</v>
      </c>
      <c r="AV20" s="1161">
        <f ca="1">OFFSET(OperBgt!AW19,0,$D$4)</f>
        <v>256</v>
      </c>
      <c r="AW20" s="1161">
        <f ca="1">OFFSET(OperBgt!AX19,0,$D$4)</f>
        <v>256</v>
      </c>
      <c r="AX20" s="1161">
        <f ca="1">OFFSET(OperBgt!AY19,0,$D$4)</f>
        <v>256</v>
      </c>
      <c r="AY20" s="1161">
        <f ca="1">OFFSET(OperBgt!AZ19,0,$D$4)</f>
        <v>256</v>
      </c>
      <c r="AZ20" s="1161">
        <f ca="1">OFFSET(OperBgt!BA19,0,$D$4)</f>
        <v>256</v>
      </c>
      <c r="BA20" s="1161">
        <f ca="1">OFFSET(OperBgt!BB19,0,$D$4)</f>
        <v>256</v>
      </c>
      <c r="BB20" s="1161">
        <f ca="1">OFFSET(OperBgt!BC19,0,$D$4)</f>
        <v>256</v>
      </c>
      <c r="BC20" s="1161">
        <f ca="1">OFFSET(OperBgt!BD19,0,$D$4)</f>
        <v>256</v>
      </c>
      <c r="BD20" s="1161">
        <f ca="1">OFFSET(OperBgt!BE19,0,$D$4)</f>
        <v>256</v>
      </c>
      <c r="BE20" s="1161">
        <f ca="1">OFFSET(OperBgt!BF19,0,$D$4)</f>
        <v>256</v>
      </c>
      <c r="BF20" s="1161">
        <f ca="1">OFFSET(OperBgt!BG19,0,$D$4)</f>
        <v>256</v>
      </c>
      <c r="BG20" s="1161">
        <f ca="1">OFFSET(OperBgt!BH19,0,$D$4)</f>
        <v>256</v>
      </c>
      <c r="BH20" s="1161">
        <f ca="1">OFFSET(OperBgt!BI19,0,$D$4)</f>
        <v>256</v>
      </c>
      <c r="BI20" s="1161">
        <f ca="1">OFFSET(OperBgt!BJ19,0,$D$4)</f>
        <v>256</v>
      </c>
      <c r="BJ20" s="1161">
        <f ca="1">OFFSET(OperBgt!BK19,0,$D$4)</f>
        <v>256</v>
      </c>
      <c r="BK20" s="1161">
        <f ca="1">OFFSET(OperBgt!BL19,0,$D$4)</f>
        <v>256</v>
      </c>
      <c r="BL20" s="1161">
        <f ca="1">OFFSET(OperBgt!BM19,0,$D$4)</f>
        <v>256</v>
      </c>
      <c r="BM20" s="1161">
        <f ca="1">OFFSET(OperBgt!BN19,0,$D$4)</f>
        <v>256</v>
      </c>
      <c r="BN20" s="1161">
        <f ca="1">OFFSET(OperBgt!BO19,0,$D$4)</f>
        <v>256</v>
      </c>
      <c r="BO20" s="1161">
        <f ca="1">OFFSET(OperBgt!BP19,0,$D$4)</f>
        <v>256</v>
      </c>
      <c r="BP20" s="1161">
        <f ca="1">OFFSET(OperBgt!BQ19,0,$D$4)</f>
        <v>256</v>
      </c>
      <c r="BQ20" s="1161">
        <f ca="1">OFFSET(OperBgt!BR19,0,$D$4)</f>
        <v>256</v>
      </c>
      <c r="BR20" s="1161">
        <f ca="1">OFFSET(OperBgt!BS19,0,$D$4)</f>
        <v>256</v>
      </c>
      <c r="BS20" s="1161">
        <f ca="1">OFFSET(OperBgt!BT19,0,$D$4)</f>
        <v>256</v>
      </c>
      <c r="BT20" s="1161">
        <f ca="1">OFFSET(OperBgt!BU19,0,$D$4)</f>
        <v>256</v>
      </c>
      <c r="BU20" s="1161">
        <f ca="1">OFFSET(OperBgt!BV19,0,$D$4)</f>
        <v>256</v>
      </c>
      <c r="BV20" s="1161">
        <f ca="1">OFFSET(OperBgt!BW19,0,$D$4)</f>
        <v>256</v>
      </c>
      <c r="BW20" s="1161">
        <f ca="1">OFFSET(OperBgt!BX19,0,$D$4)</f>
        <v>256</v>
      </c>
      <c r="BX20" s="1161">
        <f ca="1">OFFSET(OperBgt!BY19,0,$D$4)</f>
        <v>256</v>
      </c>
      <c r="BY20" s="1161">
        <f ca="1">OFFSET(OperBgt!BZ19,0,$D$4)</f>
        <v>256</v>
      </c>
      <c r="BZ20" s="1161">
        <f ca="1">OFFSET(OperBgt!CA19,0,$D$4)</f>
        <v>256</v>
      </c>
      <c r="CA20" s="1161">
        <f ca="1">OFFSET(OperBgt!CB19,0,$D$4)</f>
        <v>256</v>
      </c>
      <c r="CB20" s="1161">
        <f ca="1">OFFSET(OperBgt!CC19,0,$D$4)</f>
        <v>256</v>
      </c>
      <c r="CC20" s="1161">
        <f ca="1">OFFSET(OperBgt!CD19,0,$D$4)</f>
        <v>256</v>
      </c>
      <c r="CD20" s="1161">
        <f ca="1">OFFSET(OperBgt!CE19,0,$D$4)</f>
        <v>256</v>
      </c>
      <c r="CE20" s="1161">
        <f ca="1">OFFSET(OperBgt!CF19,0,$D$4)</f>
        <v>256</v>
      </c>
      <c r="CF20" s="1161">
        <f ca="1">OFFSET(OperBgt!CG19,0,$D$4)</f>
        <v>256</v>
      </c>
      <c r="CG20" s="1161">
        <f ca="1">OFFSET(OperBgt!CH19,0,$D$4)</f>
        <v>256</v>
      </c>
      <c r="CH20" s="1161">
        <f ca="1">OFFSET(OperBgt!CI19,0,$D$4)</f>
        <v>256</v>
      </c>
      <c r="CI20" s="1161">
        <f ca="1">OFFSET(OperBgt!CJ19,0,$D$4)</f>
        <v>256</v>
      </c>
      <c r="CJ20" s="1161">
        <f ca="1">OFFSET(OperBgt!CK19,0,$D$4)</f>
        <v>256</v>
      </c>
      <c r="CK20" s="1161">
        <f ca="1">OFFSET(OperBgt!CL19,0,$D$4)</f>
        <v>256</v>
      </c>
      <c r="CL20" s="1161">
        <f ca="1">OFFSET(OperBgt!CM19,0,$D$4)</f>
        <v>256</v>
      </c>
      <c r="CM20" s="1161">
        <f ca="1">OFFSET(OperBgt!CN19,0,$D$4)</f>
        <v>256</v>
      </c>
      <c r="CN20" s="1161">
        <f ca="1">OFFSET(OperBgt!CO19,0,$D$4)</f>
        <v>256</v>
      </c>
      <c r="CO20" s="1161">
        <f ca="1">OFFSET(OperBgt!CP19,0,$D$4)</f>
        <v>256</v>
      </c>
      <c r="CP20" s="1161">
        <f ca="1">OFFSET(OperBgt!CQ19,0,$D$4)</f>
        <v>256</v>
      </c>
      <c r="CQ20" s="1161">
        <f ca="1">OFFSET(OperBgt!CR19,0,$D$4)</f>
        <v>256</v>
      </c>
      <c r="CR20" s="1161">
        <f ca="1">OFFSET(OperBgt!CS19,0,$D$4)</f>
        <v>256</v>
      </c>
      <c r="CS20" s="1161">
        <f ca="1">OFFSET(OperBgt!CT19,0,$D$4)</f>
        <v>256</v>
      </c>
      <c r="CT20" s="1161">
        <f ca="1">OFFSET(OperBgt!CU19,0,$D$4)</f>
        <v>256</v>
      </c>
      <c r="CU20" s="1161">
        <f ca="1">OFFSET(OperBgt!CV19,0,$D$4)</f>
        <v>256</v>
      </c>
      <c r="CV20" s="1161">
        <f ca="1">OFFSET(OperBgt!CW19,0,$D$4)</f>
        <v>256</v>
      </c>
      <c r="CW20" s="1161">
        <f ca="1">OFFSET(OperBgt!CX19,0,$D$4)</f>
        <v>256</v>
      </c>
      <c r="CX20" s="1161">
        <f ca="1">OFFSET(OperBgt!CY19,0,$D$4)</f>
        <v>256</v>
      </c>
      <c r="CY20" s="1161">
        <f ca="1">OFFSET(OperBgt!CZ19,0,$D$4)</f>
        <v>256</v>
      </c>
      <c r="CZ20" s="1161">
        <f ca="1">OFFSET(OperBgt!DA19,0,$D$4)</f>
        <v>256</v>
      </c>
      <c r="DA20" s="1161">
        <f ca="1">OFFSET(OperBgt!DB19,0,$D$4)</f>
        <v>256</v>
      </c>
      <c r="DB20" s="1161">
        <f ca="1">OFFSET(OperBgt!DC19,0,$D$4)</f>
        <v>256</v>
      </c>
      <c r="DC20" s="1161">
        <f ca="1">OFFSET(OperBgt!DD19,0,$D$4)</f>
        <v>256</v>
      </c>
      <c r="DD20" s="1161">
        <f ca="1">OFFSET(OperBgt!DE19,0,$D$4)</f>
        <v>256</v>
      </c>
      <c r="DE20" s="1161">
        <f ca="1">OFFSET(OperBgt!DF19,0,$D$4)</f>
        <v>256</v>
      </c>
      <c r="DF20" s="1161">
        <f ca="1">OFFSET(OperBgt!DG19,0,$D$4)</f>
        <v>256</v>
      </c>
      <c r="DG20" s="1161">
        <f ca="1">OFFSET(OperBgt!DH19,0,$D$4)</f>
        <v>256</v>
      </c>
      <c r="DH20" s="1161">
        <f ca="1">OFFSET(OperBgt!DI19,0,$D$4)</f>
        <v>256</v>
      </c>
      <c r="DI20" s="1161">
        <f ca="1">OFFSET(OperBgt!DJ19,0,$D$4)</f>
        <v>256</v>
      </c>
      <c r="DJ20" s="1161">
        <f ca="1">OFFSET(OperBgt!DK19,0,$D$4)</f>
        <v>256</v>
      </c>
      <c r="DK20" s="1161">
        <f ca="1">OFFSET(OperBgt!DL19,0,$D$4)</f>
        <v>256</v>
      </c>
      <c r="DL20" s="1161">
        <f ca="1">OFFSET(OperBgt!DM19,0,$D$4)</f>
        <v>256</v>
      </c>
      <c r="DM20" s="1161">
        <f ca="1">OFFSET(OperBgt!DN19,0,$D$4)</f>
        <v>256</v>
      </c>
      <c r="DN20" s="1161">
        <f ca="1">OFFSET(OperBgt!DO19,0,$D$4)</f>
        <v>256</v>
      </c>
      <c r="DO20" s="1161">
        <f ca="1">OFFSET(OperBgt!DP19,0,$D$4)</f>
        <v>256</v>
      </c>
      <c r="DP20" s="1161">
        <f ca="1">OFFSET(OperBgt!DQ19,0,$D$4)</f>
        <v>256</v>
      </c>
      <c r="DQ20" s="1161">
        <f ca="1">OFFSET(OperBgt!DR19,0,$D$4)</f>
        <v>256</v>
      </c>
      <c r="DR20" s="1161">
        <f ca="1">OFFSET(OperBgt!DS19,0,$D$4)</f>
        <v>256</v>
      </c>
      <c r="DS20" s="1161">
        <f ca="1">OFFSET(OperBgt!DT19,0,$D$4)</f>
        <v>256</v>
      </c>
      <c r="DT20" s="1161">
        <f ca="1">OFFSET(OperBgt!DU19,0,$D$4)</f>
        <v>256</v>
      </c>
      <c r="DU20" s="1161">
        <f ca="1">OFFSET(OperBgt!DV19,0,$D$4)</f>
        <v>256</v>
      </c>
      <c r="DV20" s="1161">
        <f ca="1">OFFSET(OperBgt!DW19,0,$D$4)</f>
        <v>256</v>
      </c>
      <c r="DW20" s="1161">
        <f ca="1">OFFSET(OperBgt!DX19,0,$D$4)</f>
        <v>256</v>
      </c>
      <c r="DX20" s="1161">
        <f ca="1">OFFSET(OperBgt!DY19,0,$D$4)</f>
        <v>256</v>
      </c>
      <c r="DY20" s="1161">
        <f ca="1">OFFSET(OperBgt!DZ19,0,$D$4)</f>
        <v>256</v>
      </c>
      <c r="DZ20" s="1161">
        <f ca="1">OFFSET(OperBgt!EA19,0,$D$4)</f>
        <v>256</v>
      </c>
      <c r="EA20" s="1161">
        <f ca="1">OFFSET(OperBgt!EB19,0,$D$4)</f>
        <v>256</v>
      </c>
      <c r="EB20" s="1161">
        <f ca="1">OFFSET(OperBgt!EC19,0,$D$4)</f>
        <v>256</v>
      </c>
      <c r="EC20" s="1161">
        <f ca="1">OFFSET(OperBgt!ED19,0,$D$4)</f>
        <v>256</v>
      </c>
      <c r="ED20" s="1161">
        <f ca="1">OFFSET(OperBgt!EE19,0,$D$4)</f>
        <v>256</v>
      </c>
      <c r="EE20" s="1161">
        <f ca="1">OFFSET(OperBgt!EF19,0,$D$4)</f>
        <v>256</v>
      </c>
      <c r="EF20" s="1161">
        <f ca="1">OFFSET(OperBgt!EG19,0,$D$4)</f>
        <v>256</v>
      </c>
      <c r="EG20" s="1161">
        <f ca="1">OFFSET(OperBgt!EH19,0,$D$4)</f>
        <v>256</v>
      </c>
      <c r="EH20" s="778"/>
    </row>
    <row r="21" spans="2:138" ht="12.75" customHeight="1" x14ac:dyDescent="0.3">
      <c r="B21" s="1155" t="s">
        <v>304</v>
      </c>
      <c r="C21" s="1159" t="str">
        <f t="shared" si="6"/>
        <v xml:space="preserve"> Number of occupied units (absorption schedule)</v>
      </c>
      <c r="E21" s="1160"/>
      <c r="F21" s="1161">
        <f ca="1">OFFSET(OperBgt!G36,0,$D$4)</f>
        <v>0</v>
      </c>
      <c r="G21" s="1161">
        <f ca="1">OFFSET(OperBgt!H36,0,$D$4)</f>
        <v>0</v>
      </c>
      <c r="H21" s="1161">
        <f ca="1">OFFSET(OperBgt!I36,0,$D$4)</f>
        <v>0</v>
      </c>
      <c r="I21" s="1161">
        <f ca="1">OFFSET(OperBgt!J36,0,$D$4)</f>
        <v>0</v>
      </c>
      <c r="J21" s="1161">
        <f ca="1">OFFSET(OperBgt!K36,0,$D$4)</f>
        <v>0</v>
      </c>
      <c r="K21" s="1161">
        <f ca="1">OFFSET(OperBgt!L36,0,$D$4)</f>
        <v>0</v>
      </c>
      <c r="L21" s="1161">
        <f ca="1">OFFSET(OperBgt!M36,0,$D$4)</f>
        <v>0</v>
      </c>
      <c r="M21" s="1161">
        <f ca="1">OFFSET(OperBgt!N36,0,$D$4)</f>
        <v>0</v>
      </c>
      <c r="N21" s="1161">
        <f ca="1">OFFSET(OperBgt!O36,0,$D$4)</f>
        <v>0</v>
      </c>
      <c r="O21" s="1161">
        <f ca="1">OFFSET(OperBgt!P36,0,$D$4)</f>
        <v>0</v>
      </c>
      <c r="P21" s="1161">
        <f ca="1">OFFSET(OperBgt!Q36,0,$D$4)</f>
        <v>0</v>
      </c>
      <c r="Q21" s="1161">
        <f ca="1">OFFSET(OperBgt!R36,0,$D$4)</f>
        <v>0</v>
      </c>
      <c r="R21" s="1161">
        <f ca="1">OFFSET(OperBgt!S36,0,$D$4)</f>
        <v>0</v>
      </c>
      <c r="S21" s="1161">
        <f ca="1">OFFSET(OperBgt!T36,0,$D$4)</f>
        <v>14.4</v>
      </c>
      <c r="T21" s="1161">
        <f ca="1">OFFSET(OperBgt!U36,0,$D$4)</f>
        <v>28.8</v>
      </c>
      <c r="U21" s="1161">
        <f ca="1">OFFSET(OperBgt!V36,0,$D$4)</f>
        <v>43.2</v>
      </c>
      <c r="V21" s="1161">
        <f ca="1">OFFSET(OperBgt!W36,0,$D$4)</f>
        <v>57.6</v>
      </c>
      <c r="W21" s="1161">
        <f ca="1">OFFSET(OperBgt!X36,0,$D$4)</f>
        <v>72</v>
      </c>
      <c r="X21" s="1161">
        <f ca="1">OFFSET(OperBgt!Y36,0,$D$4)</f>
        <v>93.6</v>
      </c>
      <c r="Y21" s="1161">
        <f ca="1">OFFSET(OperBgt!Z36,0,$D$4)</f>
        <v>115.19999999999999</v>
      </c>
      <c r="Z21" s="1161">
        <f ca="1">OFFSET(OperBgt!AA36,0,$D$4)</f>
        <v>136.79999999999998</v>
      </c>
      <c r="AA21" s="1161">
        <f ca="1">OFFSET(OperBgt!AB36,0,$D$4)</f>
        <v>158.39999999999998</v>
      </c>
      <c r="AB21" s="1161">
        <f ca="1">OFFSET(OperBgt!AC36,0,$D$4)</f>
        <v>179.99999999999997</v>
      </c>
      <c r="AC21" s="1161">
        <f ca="1">OFFSET(OperBgt!AD36,0,$D$4)</f>
        <v>201.59999999999997</v>
      </c>
      <c r="AD21" s="1161">
        <f ca="1">OFFSET(OperBgt!AE36,0,$D$4)</f>
        <v>215.99999999999997</v>
      </c>
      <c r="AE21" s="1161">
        <f ca="1">OFFSET(OperBgt!AF36,0,$D$4)</f>
        <v>230.39999999999998</v>
      </c>
      <c r="AF21" s="1161">
        <f ca="1">OFFSET(OperBgt!AG36,0,$D$4)</f>
        <v>240.98</v>
      </c>
      <c r="AG21" s="1161">
        <f ca="1">OFFSET(OperBgt!AH36,0,$D$4)</f>
        <v>240.98</v>
      </c>
      <c r="AH21" s="1161">
        <f ca="1">OFFSET(OperBgt!AI36,0,$D$4)</f>
        <v>240.98</v>
      </c>
      <c r="AI21" s="1161">
        <f ca="1">OFFSET(OperBgt!AJ36,0,$D$4)</f>
        <v>240.98</v>
      </c>
      <c r="AJ21" s="1161">
        <f ca="1">OFFSET(OperBgt!AK36,0,$D$4)</f>
        <v>240.98</v>
      </c>
      <c r="AK21" s="1161">
        <f ca="1">OFFSET(OperBgt!AL36,0,$D$4)</f>
        <v>240.98</v>
      </c>
      <c r="AL21" s="1161">
        <f ca="1">OFFSET(OperBgt!AM36,0,$D$4)</f>
        <v>240.98</v>
      </c>
      <c r="AM21" s="1161">
        <f ca="1">OFFSET(OperBgt!AN36,0,$D$4)</f>
        <v>240.98</v>
      </c>
      <c r="AN21" s="1161">
        <f ca="1">OFFSET(OperBgt!AO36,0,$D$4)</f>
        <v>240.98</v>
      </c>
      <c r="AO21" s="1161">
        <f ca="1">OFFSET(OperBgt!AP36,0,$D$4)</f>
        <v>240.98</v>
      </c>
      <c r="AP21" s="1161">
        <f ca="1">OFFSET(OperBgt!AQ36,0,$D$4)</f>
        <v>240.98</v>
      </c>
      <c r="AQ21" s="1161">
        <f ca="1">OFFSET(OperBgt!AR36,0,$D$4)</f>
        <v>240.98</v>
      </c>
      <c r="AR21" s="1161">
        <f ca="1">OFFSET(OperBgt!AS36,0,$D$4)</f>
        <v>240.98</v>
      </c>
      <c r="AS21" s="1161">
        <f ca="1">OFFSET(OperBgt!AT36,0,$D$4)</f>
        <v>240.98</v>
      </c>
      <c r="AT21" s="1161">
        <f ca="1">OFFSET(OperBgt!AU36,0,$D$4)</f>
        <v>240.98</v>
      </c>
      <c r="AU21" s="1161">
        <f ca="1">OFFSET(OperBgt!AV36,0,$D$4)</f>
        <v>240.98</v>
      </c>
      <c r="AV21" s="1161">
        <f ca="1">OFFSET(OperBgt!AW36,0,$D$4)</f>
        <v>240.98</v>
      </c>
      <c r="AW21" s="1161">
        <f ca="1">OFFSET(OperBgt!AX36,0,$D$4)</f>
        <v>240.98</v>
      </c>
      <c r="AX21" s="1161">
        <f ca="1">OFFSET(OperBgt!AY36,0,$D$4)</f>
        <v>240.98</v>
      </c>
      <c r="AY21" s="1161">
        <f ca="1">OFFSET(OperBgt!AZ36,0,$D$4)</f>
        <v>240.98</v>
      </c>
      <c r="AZ21" s="1161">
        <f ca="1">OFFSET(OperBgt!BA36,0,$D$4)</f>
        <v>240.98</v>
      </c>
      <c r="BA21" s="1161">
        <f ca="1">OFFSET(OperBgt!BB36,0,$D$4)</f>
        <v>240.98</v>
      </c>
      <c r="BB21" s="1161">
        <f ca="1">OFFSET(OperBgt!BC36,0,$D$4)</f>
        <v>240.98</v>
      </c>
      <c r="BC21" s="1161">
        <f ca="1">OFFSET(OperBgt!BD36,0,$D$4)</f>
        <v>240.98</v>
      </c>
      <c r="BD21" s="1161">
        <f ca="1">OFFSET(OperBgt!BE36,0,$D$4)</f>
        <v>240.98</v>
      </c>
      <c r="BE21" s="1161">
        <f ca="1">OFFSET(OperBgt!BF36,0,$D$4)</f>
        <v>240.98</v>
      </c>
      <c r="BF21" s="1161">
        <f ca="1">OFFSET(OperBgt!BG36,0,$D$4)</f>
        <v>240.98</v>
      </c>
      <c r="BG21" s="1161">
        <f ca="1">OFFSET(OperBgt!BH36,0,$D$4)</f>
        <v>240.98</v>
      </c>
      <c r="BH21" s="1161">
        <f ca="1">OFFSET(OperBgt!BI36,0,$D$4)</f>
        <v>240.98</v>
      </c>
      <c r="BI21" s="1161">
        <f ca="1">OFFSET(OperBgt!BJ36,0,$D$4)</f>
        <v>240.98</v>
      </c>
      <c r="BJ21" s="1161">
        <f ca="1">OFFSET(OperBgt!BK36,0,$D$4)</f>
        <v>240.98</v>
      </c>
      <c r="BK21" s="1161">
        <f ca="1">OFFSET(OperBgt!BL36,0,$D$4)</f>
        <v>240.98</v>
      </c>
      <c r="BL21" s="1161">
        <f ca="1">OFFSET(OperBgt!BM36,0,$D$4)</f>
        <v>240.98</v>
      </c>
      <c r="BM21" s="1161">
        <f ca="1">OFFSET(OperBgt!BN36,0,$D$4)</f>
        <v>240.98</v>
      </c>
      <c r="BN21" s="1161">
        <f ca="1">OFFSET(OperBgt!BO36,0,$D$4)</f>
        <v>240.98</v>
      </c>
      <c r="BO21" s="1161">
        <f ca="1">OFFSET(OperBgt!BP36,0,$D$4)</f>
        <v>240.98</v>
      </c>
      <c r="BP21" s="1161">
        <f ca="1">OFFSET(OperBgt!BQ36,0,$D$4)</f>
        <v>240.98</v>
      </c>
      <c r="BQ21" s="1161">
        <f ca="1">OFFSET(OperBgt!BR36,0,$D$4)</f>
        <v>240.98</v>
      </c>
      <c r="BR21" s="1161">
        <f ca="1">OFFSET(OperBgt!BS36,0,$D$4)</f>
        <v>240.98</v>
      </c>
      <c r="BS21" s="1161">
        <f ca="1">OFFSET(OperBgt!BT36,0,$D$4)</f>
        <v>240.98</v>
      </c>
      <c r="BT21" s="1161">
        <f ca="1">OFFSET(OperBgt!BU36,0,$D$4)</f>
        <v>240.98</v>
      </c>
      <c r="BU21" s="1161">
        <f ca="1">OFFSET(OperBgt!BV36,0,$D$4)</f>
        <v>240.98</v>
      </c>
      <c r="BV21" s="1161">
        <f ca="1">OFFSET(OperBgt!BW36,0,$D$4)</f>
        <v>240.98</v>
      </c>
      <c r="BW21" s="1161">
        <f ca="1">OFFSET(OperBgt!BX36,0,$D$4)</f>
        <v>240.98</v>
      </c>
      <c r="BX21" s="1161">
        <f ca="1">OFFSET(OperBgt!BY36,0,$D$4)</f>
        <v>240.98</v>
      </c>
      <c r="BY21" s="1161">
        <f ca="1">OFFSET(OperBgt!BZ36,0,$D$4)</f>
        <v>240.98</v>
      </c>
      <c r="BZ21" s="1161">
        <f ca="1">OFFSET(OperBgt!CA36,0,$D$4)</f>
        <v>240.98</v>
      </c>
      <c r="CA21" s="1161">
        <f ca="1">OFFSET(OperBgt!CB36,0,$D$4)</f>
        <v>240.98</v>
      </c>
      <c r="CB21" s="1161">
        <f ca="1">OFFSET(OperBgt!CC36,0,$D$4)</f>
        <v>240.98</v>
      </c>
      <c r="CC21" s="1161">
        <f ca="1">OFFSET(OperBgt!CD36,0,$D$4)</f>
        <v>240.98</v>
      </c>
      <c r="CD21" s="1161">
        <f ca="1">OFFSET(OperBgt!CE36,0,$D$4)</f>
        <v>240.98</v>
      </c>
      <c r="CE21" s="1161">
        <f ca="1">OFFSET(OperBgt!CF36,0,$D$4)</f>
        <v>240.98</v>
      </c>
      <c r="CF21" s="1161">
        <f ca="1">OFFSET(OperBgt!CG36,0,$D$4)</f>
        <v>240.98</v>
      </c>
      <c r="CG21" s="1161">
        <f ca="1">OFFSET(OperBgt!CH36,0,$D$4)</f>
        <v>240.98</v>
      </c>
      <c r="CH21" s="1161">
        <f ca="1">OFFSET(OperBgt!CI36,0,$D$4)</f>
        <v>240.98</v>
      </c>
      <c r="CI21" s="1161">
        <f ca="1">OFFSET(OperBgt!CJ36,0,$D$4)</f>
        <v>240.98</v>
      </c>
      <c r="CJ21" s="1161">
        <f ca="1">OFFSET(OperBgt!CK36,0,$D$4)</f>
        <v>240.98</v>
      </c>
      <c r="CK21" s="1161">
        <f ca="1">OFFSET(OperBgt!CL36,0,$D$4)</f>
        <v>240.98</v>
      </c>
      <c r="CL21" s="1161">
        <f ca="1">OFFSET(OperBgt!CM36,0,$D$4)</f>
        <v>240.98</v>
      </c>
      <c r="CM21" s="1161">
        <f ca="1">OFFSET(OperBgt!CN36,0,$D$4)</f>
        <v>240.98</v>
      </c>
      <c r="CN21" s="1161">
        <f ca="1">OFFSET(OperBgt!CO36,0,$D$4)</f>
        <v>240.98</v>
      </c>
      <c r="CO21" s="1161">
        <f ca="1">OFFSET(OperBgt!CP36,0,$D$4)</f>
        <v>240.98</v>
      </c>
      <c r="CP21" s="1161">
        <f ca="1">OFFSET(OperBgt!CQ36,0,$D$4)</f>
        <v>240.98</v>
      </c>
      <c r="CQ21" s="1161">
        <f ca="1">OFFSET(OperBgt!CR36,0,$D$4)</f>
        <v>240.98</v>
      </c>
      <c r="CR21" s="1161">
        <f ca="1">OFFSET(OperBgt!CS36,0,$D$4)</f>
        <v>240.98</v>
      </c>
      <c r="CS21" s="1161">
        <f ca="1">OFFSET(OperBgt!CT36,0,$D$4)</f>
        <v>240.98</v>
      </c>
      <c r="CT21" s="1161">
        <f ca="1">OFFSET(OperBgt!CU36,0,$D$4)</f>
        <v>240.98</v>
      </c>
      <c r="CU21" s="1161">
        <f ca="1">OFFSET(OperBgt!CV36,0,$D$4)</f>
        <v>240.98</v>
      </c>
      <c r="CV21" s="1161">
        <f ca="1">OFFSET(OperBgt!CW36,0,$D$4)</f>
        <v>240.98</v>
      </c>
      <c r="CW21" s="1161">
        <f ca="1">OFFSET(OperBgt!CX36,0,$D$4)</f>
        <v>240.98</v>
      </c>
      <c r="CX21" s="1161">
        <f ca="1">OFFSET(OperBgt!CY36,0,$D$4)</f>
        <v>240.98</v>
      </c>
      <c r="CY21" s="1161">
        <f ca="1">OFFSET(OperBgt!CZ36,0,$D$4)</f>
        <v>240.98</v>
      </c>
      <c r="CZ21" s="1161">
        <f ca="1">OFFSET(OperBgt!DA36,0,$D$4)</f>
        <v>240.98</v>
      </c>
      <c r="DA21" s="1161">
        <f ca="1">OFFSET(OperBgt!DB36,0,$D$4)</f>
        <v>240.98</v>
      </c>
      <c r="DB21" s="1161">
        <f ca="1">OFFSET(OperBgt!DC36,0,$D$4)</f>
        <v>240.98</v>
      </c>
      <c r="DC21" s="1161">
        <f ca="1">OFFSET(OperBgt!DD36,0,$D$4)</f>
        <v>240.98</v>
      </c>
      <c r="DD21" s="1161">
        <f ca="1">OFFSET(OperBgt!DE36,0,$D$4)</f>
        <v>240.98</v>
      </c>
      <c r="DE21" s="1161">
        <f ca="1">OFFSET(OperBgt!DF36,0,$D$4)</f>
        <v>240.98</v>
      </c>
      <c r="DF21" s="1161">
        <f ca="1">OFFSET(OperBgt!DG36,0,$D$4)</f>
        <v>240.98</v>
      </c>
      <c r="DG21" s="1161">
        <f ca="1">OFFSET(OperBgt!DH36,0,$D$4)</f>
        <v>240.98</v>
      </c>
      <c r="DH21" s="1161">
        <f ca="1">OFFSET(OperBgt!DI36,0,$D$4)</f>
        <v>240.98</v>
      </c>
      <c r="DI21" s="1161">
        <f ca="1">OFFSET(OperBgt!DJ36,0,$D$4)</f>
        <v>240.98</v>
      </c>
      <c r="DJ21" s="1161">
        <f ca="1">OFFSET(OperBgt!DK36,0,$D$4)</f>
        <v>240.98</v>
      </c>
      <c r="DK21" s="1161">
        <f ca="1">OFFSET(OperBgt!DL36,0,$D$4)</f>
        <v>240.98</v>
      </c>
      <c r="DL21" s="1161">
        <f ca="1">OFFSET(OperBgt!DM36,0,$D$4)</f>
        <v>240.98</v>
      </c>
      <c r="DM21" s="1161">
        <f ca="1">OFFSET(OperBgt!DN36,0,$D$4)</f>
        <v>240.98</v>
      </c>
      <c r="DN21" s="1161">
        <f ca="1">OFFSET(OperBgt!DO36,0,$D$4)</f>
        <v>240.98</v>
      </c>
      <c r="DO21" s="1161">
        <f ca="1">OFFSET(OperBgt!DP36,0,$D$4)</f>
        <v>240.98</v>
      </c>
      <c r="DP21" s="1161">
        <f ca="1">OFFSET(OperBgt!DQ36,0,$D$4)</f>
        <v>240.98</v>
      </c>
      <c r="DQ21" s="1161">
        <f ca="1">OFFSET(OperBgt!DR36,0,$D$4)</f>
        <v>240.98</v>
      </c>
      <c r="DR21" s="1161">
        <f ca="1">OFFSET(OperBgt!DS36,0,$D$4)</f>
        <v>240.98</v>
      </c>
      <c r="DS21" s="1161">
        <f ca="1">OFFSET(OperBgt!DT36,0,$D$4)</f>
        <v>240.98</v>
      </c>
      <c r="DT21" s="1161">
        <f ca="1">OFFSET(OperBgt!DU36,0,$D$4)</f>
        <v>240.98</v>
      </c>
      <c r="DU21" s="1161">
        <f ca="1">OFFSET(OperBgt!DV36,0,$D$4)</f>
        <v>240.98</v>
      </c>
      <c r="DV21" s="1161">
        <f ca="1">OFFSET(OperBgt!DW36,0,$D$4)</f>
        <v>240.98</v>
      </c>
      <c r="DW21" s="1161">
        <f ca="1">OFFSET(OperBgt!DX36,0,$D$4)</f>
        <v>240.98</v>
      </c>
      <c r="DX21" s="1161">
        <f ca="1">OFFSET(OperBgt!DY36,0,$D$4)</f>
        <v>240.98</v>
      </c>
      <c r="DY21" s="1161">
        <f ca="1">OFFSET(OperBgt!DZ36,0,$D$4)</f>
        <v>240.98</v>
      </c>
      <c r="DZ21" s="1161">
        <f ca="1">OFFSET(OperBgt!EA36,0,$D$4)</f>
        <v>240.98</v>
      </c>
      <c r="EA21" s="1161">
        <f ca="1">OFFSET(OperBgt!EB36,0,$D$4)</f>
        <v>240.98</v>
      </c>
      <c r="EB21" s="1161">
        <f ca="1">OFFSET(OperBgt!EC36,0,$D$4)</f>
        <v>240.98</v>
      </c>
      <c r="EC21" s="1161">
        <f ca="1">OFFSET(OperBgt!ED36,0,$D$4)</f>
        <v>240.98</v>
      </c>
      <c r="ED21" s="1161">
        <f ca="1">OFFSET(OperBgt!EE36,0,$D$4)</f>
        <v>240.98</v>
      </c>
      <c r="EE21" s="1161">
        <f ca="1">OFFSET(OperBgt!EF36,0,$D$4)</f>
        <v>240.98</v>
      </c>
      <c r="EF21" s="1161">
        <f ca="1">OFFSET(OperBgt!EG36,0,$D$4)</f>
        <v>240.98</v>
      </c>
      <c r="EG21" s="1161">
        <f ca="1">OFFSET(OperBgt!EH36,0,$D$4)</f>
        <v>240.98</v>
      </c>
      <c r="EH21" s="778"/>
    </row>
    <row r="22" spans="2:138" ht="12.75" customHeight="1" x14ac:dyDescent="0.3">
      <c r="B22" s="1155" t="s">
        <v>95</v>
      </c>
      <c r="C22" s="1159" t="str">
        <f t="shared" si="6"/>
        <v xml:space="preserve"> Rental revenue</v>
      </c>
      <c r="E22" s="1160"/>
      <c r="F22" s="1161">
        <f ca="1">OFFSET(OperBgt!G66,0,$D$4)</f>
        <v>0</v>
      </c>
      <c r="G22" s="1161">
        <f ca="1">OFFSET(OperBgt!H66,0,$D$4)</f>
        <v>0</v>
      </c>
      <c r="H22" s="1161">
        <f ca="1">OFFSET(OperBgt!I66,0,$D$4)</f>
        <v>0</v>
      </c>
      <c r="I22" s="1161">
        <f ca="1">OFFSET(OperBgt!J66,0,$D$4)</f>
        <v>0</v>
      </c>
      <c r="J22" s="1161">
        <f ca="1">OFFSET(OperBgt!K66,0,$D$4)</f>
        <v>0</v>
      </c>
      <c r="K22" s="1161">
        <f ca="1">OFFSET(OperBgt!L66,0,$D$4)</f>
        <v>0</v>
      </c>
      <c r="L22" s="1161">
        <f ca="1">OFFSET(OperBgt!M66,0,$D$4)</f>
        <v>0</v>
      </c>
      <c r="M22" s="1161">
        <f ca="1">OFFSET(OperBgt!N66,0,$D$4)</f>
        <v>0</v>
      </c>
      <c r="N22" s="1161">
        <f ca="1">OFFSET(OperBgt!O66,0,$D$4)</f>
        <v>0</v>
      </c>
      <c r="O22" s="1161">
        <f ca="1">OFFSET(OperBgt!P66,0,$D$4)</f>
        <v>0</v>
      </c>
      <c r="P22" s="1161">
        <f ca="1">OFFSET(OperBgt!Q66,0,$D$4)</f>
        <v>0</v>
      </c>
      <c r="Q22" s="1161">
        <f ca="1">OFFSET(OperBgt!R66,0,$D$4)</f>
        <v>0</v>
      </c>
      <c r="R22" s="1161">
        <f ca="1">OFFSET(OperBgt!S66,0,$D$4)</f>
        <v>0</v>
      </c>
      <c r="S22" s="1161">
        <f ca="1">OFFSET(OperBgt!T66,0,$D$4)</f>
        <v>18311.022254397161</v>
      </c>
      <c r="T22" s="1161">
        <f ca="1">OFFSET(OperBgt!U66,0,$D$4)</f>
        <v>23728.029924862149</v>
      </c>
      <c r="U22" s="1161">
        <f ca="1">OFFSET(OperBgt!V66,0,$D$4)</f>
        <v>44789.741448419154</v>
      </c>
      <c r="V22" s="1161">
        <f ca="1">OFFSET(OperBgt!W66,0,$D$4)</f>
        <v>81554.146312186989</v>
      </c>
      <c r="W22" s="1161">
        <f ca="1">OFFSET(OperBgt!X66,0,$D$4)</f>
        <v>118428.87395034943</v>
      </c>
      <c r="X22" s="1161">
        <f ca="1">OFFSET(OperBgt!Y66,0,$D$4)</f>
        <v>164671.35556270971</v>
      </c>
      <c r="Y22" s="1161">
        <f ca="1">OFFSET(OperBgt!Z66,0,$D$4)</f>
        <v>204514.25672099867</v>
      </c>
      <c r="Z22" s="1161">
        <f ca="1">OFFSET(OperBgt!AA66,0,$D$4)</f>
        <v>252513.53359655599</v>
      </c>
      <c r="AA22" s="1161">
        <f ca="1">OFFSET(OperBgt!AB66,0,$D$4)</f>
        <v>308743.72788345348</v>
      </c>
      <c r="AB22" s="1161">
        <f ca="1">OFFSET(OperBgt!AC66,0,$D$4)</f>
        <v>365280.98871075135</v>
      </c>
      <c r="AC22" s="1161">
        <f ca="1">OFFSET(OperBgt!AD66,0,$D$4)</f>
        <v>422126.94632937829</v>
      </c>
      <c r="AD22" s="1161">
        <f ca="1">OFFSET(OperBgt!AE66,0,$D$4)</f>
        <v>469772.77697801485</v>
      </c>
      <c r="AE22" s="1161">
        <f ca="1">OFFSET(OperBgt!AF66,0,$D$4)</f>
        <v>526166.90593430062</v>
      </c>
      <c r="AF22" s="1161">
        <f ca="1">OFFSET(OperBgt!AG66,0,$D$4)</f>
        <v>619022.89356840984</v>
      </c>
      <c r="AG22" s="1161">
        <f ca="1">OFFSET(OperBgt!AH66,0,$D$4)</f>
        <v>635273.24064903962</v>
      </c>
      <c r="AH22" s="1161">
        <f ca="1">OFFSET(OperBgt!AI66,0,$D$4)</f>
        <v>637288.14041919704</v>
      </c>
      <c r="AI22" s="1161">
        <f ca="1">OFFSET(OperBgt!AJ66,0,$D$4)</f>
        <v>639298.69425728195</v>
      </c>
      <c r="AJ22" s="1161">
        <f ca="1">OFFSET(OperBgt!AK66,0,$D$4)</f>
        <v>642191.52807245043</v>
      </c>
      <c r="AK22" s="1161">
        <f ca="1">OFFSET(OperBgt!AL66,0,$D$4)</f>
        <v>645073.61515877931</v>
      </c>
      <c r="AL22" s="1161">
        <f ca="1">OFFSET(OperBgt!AM66,0,$D$4)</f>
        <v>647944.76239036571</v>
      </c>
      <c r="AM22" s="1161">
        <f ca="1">OFFSET(OperBgt!AN66,0,$D$4)</f>
        <v>650804.77489989228</v>
      </c>
      <c r="AN22" s="1161">
        <f ca="1">OFFSET(OperBgt!AO66,0,$D$4)</f>
        <v>653653.45606559224</v>
      </c>
      <c r="AO22" s="1161">
        <f ca="1">OFFSET(OperBgt!AP66,0,$D$4)</f>
        <v>656490.60749812354</v>
      </c>
      <c r="AP22" s="1161">
        <f ca="1">OFFSET(OperBgt!AQ66,0,$D$4)</f>
        <v>658452.97367749491</v>
      </c>
      <c r="AQ22" s="1161">
        <f ca="1">OFFSET(OperBgt!AR66,0,$D$4)</f>
        <v>662130.90919319598</v>
      </c>
      <c r="AR22" s="1161">
        <f ca="1">OFFSET(OperBgt!AS66,0,$D$4)</f>
        <v>665343.25145509688</v>
      </c>
      <c r="AS22" s="1161">
        <f ca="1">OFFSET(OperBgt!AT66,0,$D$4)</f>
        <v>667290.50114044489</v>
      </c>
      <c r="AT22" s="1161">
        <f ca="1">OFFSET(OperBgt!AU66,0,$D$4)</f>
        <v>669202.61018041417</v>
      </c>
      <c r="AU22" s="1161">
        <f ca="1">OFFSET(OperBgt!AV66,0,$D$4)</f>
        <v>671079.36998642795</v>
      </c>
      <c r="AV22" s="1161">
        <f ca="1">OFFSET(OperBgt!AW66,0,$D$4)</f>
        <v>673721.28505326726</v>
      </c>
      <c r="AW22" s="1161">
        <f ca="1">OFFSET(OperBgt!AX66,0,$D$4)</f>
        <v>676281.98044818302</v>
      </c>
      <c r="AX22" s="1161">
        <f ca="1">OFFSET(OperBgt!AY66,0,$D$4)</f>
        <v>678760.73959958612</v>
      </c>
      <c r="AY22" s="1161">
        <f ca="1">OFFSET(OperBgt!AZ66,0,$D$4)</f>
        <v>681156.84132555104</v>
      </c>
      <c r="AZ22" s="1161">
        <f ca="1">OFFSET(OperBgt!BA66,0,$D$4)</f>
        <v>683469.55980733258</v>
      </c>
      <c r="BA22" s="1161">
        <f ca="1">OFFSET(OperBgt!BB66,0,$D$4)</f>
        <v>685698.16456273641</v>
      </c>
      <c r="BB22" s="1161">
        <f ca="1">OFFSET(OperBgt!BC66,0,$D$4)</f>
        <v>687208.44951515831</v>
      </c>
      <c r="BC22" s="1161">
        <f ca="1">OFFSET(OperBgt!BD66,0,$D$4)</f>
        <v>689909.66403629631</v>
      </c>
      <c r="BD22" s="1161">
        <f ca="1">OFFSET(OperBgt!BE66,0,$D$4)</f>
        <v>692218.71635844116</v>
      </c>
      <c r="BE22" s="1161">
        <f ca="1">OFFSET(OperBgt!BF66,0,$D$4)</f>
        <v>693615.2234646033</v>
      </c>
      <c r="BF22" s="1161">
        <f ca="1">OFFSET(OperBgt!BG66,0,$D$4)</f>
        <v>695036.25402456161</v>
      </c>
      <c r="BG22" s="1161">
        <f ca="1">OFFSET(OperBgt!BH66,0,$D$4)</f>
        <v>696481.92066075082</v>
      </c>
      <c r="BH22" s="1161">
        <f ca="1">OFFSET(OperBgt!BI66,0,$D$4)</f>
        <v>698564.06111682858</v>
      </c>
      <c r="BI22" s="1161">
        <f ca="1">OFFSET(OperBgt!BJ66,0,$D$4)</f>
        <v>700701.38094946952</v>
      </c>
      <c r="BJ22" s="1161">
        <f ca="1">OFFSET(OperBgt!BK66,0,$D$4)</f>
        <v>702894.26084236486</v>
      </c>
      <c r="BK22" s="1161">
        <f ca="1">OFFSET(OperBgt!BL66,0,$D$4)</f>
        <v>705143.08355309663</v>
      </c>
      <c r="BL22" s="1161">
        <f ca="1">OFFSET(OperBgt!BM66,0,$D$4)</f>
        <v>707448.23392335244</v>
      </c>
      <c r="BM22" s="1161">
        <f ca="1">OFFSET(OperBgt!BN66,0,$D$4)</f>
        <v>709810.09888918768</v>
      </c>
      <c r="BN22" s="1161">
        <f ca="1">OFFSET(OperBgt!BO66,0,$D$4)</f>
        <v>711506.29243674176</v>
      </c>
      <c r="BO22" s="1161">
        <f ca="1">OFFSET(OperBgt!BP66,0,$D$4)</f>
        <v>714699.21125915123</v>
      </c>
      <c r="BP22" s="1161">
        <f ca="1">OFFSET(OperBgt!BQ66,0,$D$4)</f>
        <v>717546.62415922142</v>
      </c>
      <c r="BQ22" s="1161">
        <f ca="1">OFFSET(OperBgt!BR66,0,$D$4)</f>
        <v>719320.86091346561</v>
      </c>
      <c r="BR22" s="1161">
        <f ca="1">OFFSET(OperBgt!BS66,0,$D$4)</f>
        <v>721099.92800221231</v>
      </c>
      <c r="BS22" s="1161">
        <f ca="1">OFFSET(OperBgt!BT66,0,$D$4)</f>
        <v>722883.8385953051</v>
      </c>
      <c r="BT22" s="1161">
        <f ca="1">OFFSET(OperBgt!BU66,0,$D$4)</f>
        <v>725439.80189629027</v>
      </c>
      <c r="BU22" s="1161">
        <f ca="1">OFFSET(OperBgt!BV66,0,$D$4)</f>
        <v>728005.93839160947</v>
      </c>
      <c r="BV22" s="1161">
        <f ca="1">OFFSET(OperBgt!BW66,0,$D$4)</f>
        <v>730582.28921985312</v>
      </c>
      <c r="BW22" s="1161">
        <f ca="1">OFFSET(OperBgt!BX66,0,$D$4)</f>
        <v>733168.89568763215</v>
      </c>
      <c r="BX22" s="1161">
        <f ca="1">OFFSET(OperBgt!BY66,0,$D$4)</f>
        <v>735765.79927026923</v>
      </c>
      <c r="BY22" s="1161">
        <f ca="1">OFFSET(OperBgt!BZ66,0,$D$4)</f>
        <v>738373.04161249159</v>
      </c>
      <c r="BZ22" s="1161">
        <f ca="1">OFFSET(OperBgt!CA66,0,$D$4)</f>
        <v>740204.17780408775</v>
      </c>
      <c r="CA22" s="1161">
        <f ca="1">OFFSET(OperBgt!CB66,0,$D$4)</f>
        <v>743617.62268790847</v>
      </c>
      <c r="CB22" s="1161">
        <f ca="1">OFFSET(OperBgt!CC66,0,$D$4)</f>
        <v>746620.84281391185</v>
      </c>
      <c r="CC22" s="1161">
        <f ca="1">OFFSET(OperBgt!CD66,0,$D$4)</f>
        <v>748466.97774231934</v>
      </c>
      <c r="CD22" s="1161">
        <f ca="1">OFFSET(OperBgt!CE66,0,$D$4)</f>
        <v>750318.13954077766</v>
      </c>
      <c r="CE22" s="1161">
        <f ca="1">OFFSET(OperBgt!CF66,0,$D$4)</f>
        <v>752174.34191696974</v>
      </c>
      <c r="CF22" s="1161">
        <f ca="1">OFFSET(OperBgt!CG66,0,$D$4)</f>
        <v>754835.22368203895</v>
      </c>
      <c r="CG22" s="1161">
        <f ca="1">OFFSET(OperBgt!CH66,0,$D$4)</f>
        <v>757506.70096086839</v>
      </c>
      <c r="CH22" s="1161">
        <f ca="1">OFFSET(OperBgt!CI66,0,$D$4)</f>
        <v>760188.81661197601</v>
      </c>
      <c r="CI22" s="1161">
        <f ca="1">OFFSET(OperBgt!CJ66,0,$D$4)</f>
        <v>762881.61366895633</v>
      </c>
      <c r="CJ22" s="1161">
        <f ca="1">OFFSET(OperBgt!CK66,0,$D$4)</f>
        <v>765585.13534119935</v>
      </c>
      <c r="CK22" s="1161">
        <f ca="1">OFFSET(OperBgt!CL66,0,$D$4)</f>
        <v>768299.42501461343</v>
      </c>
      <c r="CL22" s="1161">
        <f ca="1">OFFSET(OperBgt!CM66,0,$D$4)</f>
        <v>770204.79504769284</v>
      </c>
      <c r="CM22" s="1161">
        <f ca="1">OFFSET(OperBgt!CN66,0,$D$4)</f>
        <v>773759.34951714787</v>
      </c>
      <c r="CN22" s="1161">
        <f ca="1">OFFSET(OperBgt!CO66,0,$D$4)</f>
        <v>776886.33136087318</v>
      </c>
      <c r="CO22" s="1161">
        <f ca="1">OFFSET(OperBgt!CP66,0,$D$4)</f>
        <v>778807.3106274032</v>
      </c>
      <c r="CP22" s="1161">
        <f ca="1">OFFSET(OperBgt!CQ66,0,$D$4)</f>
        <v>780733.52137778758</v>
      </c>
      <c r="CQ22" s="1161">
        <f ca="1">OFFSET(OperBgt!CR66,0,$D$4)</f>
        <v>782664.97787971911</v>
      </c>
      <c r="CR22" s="1161">
        <f ca="1">OFFSET(OperBgt!CS66,0,$D$4)</f>
        <v>785435.11933792627</v>
      </c>
      <c r="CS22" s="1161">
        <f ca="1">OFFSET(OperBgt!CT66,0,$D$4)</f>
        <v>788216.29624967033</v>
      </c>
      <c r="CT22" s="1161">
        <f ca="1">OFFSET(OperBgt!CU66,0,$D$4)</f>
        <v>791008.55326552794</v>
      </c>
      <c r="CU22" s="1161">
        <f ca="1">OFFSET(OperBgt!CV66,0,$D$4)</f>
        <v>793811.93521850475</v>
      </c>
      <c r="CV22" s="1161">
        <f ca="1">OFFSET(OperBgt!CW66,0,$D$4)</f>
        <v>796626.48712478438</v>
      </c>
      <c r="CW22" s="1161">
        <f ca="1">OFFSET(OperBgt!CX66,0,$D$4)</f>
        <v>799452.25418448215</v>
      </c>
      <c r="CX22" s="1161">
        <f ca="1">OFFSET(OperBgt!CY66,0,$D$4)</f>
        <v>801434.90086725261</v>
      </c>
      <c r="CY22" s="1161">
        <f ca="1">OFFSET(OperBgt!CZ66,0,$D$4)</f>
        <v>805136.43430717289</v>
      </c>
      <c r="CZ22" s="1161">
        <f ca="1">OFFSET(OperBgt!DA66,0,$D$4)</f>
        <v>808392.31373106746</v>
      </c>
      <c r="DA22" s="1161">
        <f ca="1">OFFSET(OperBgt!DB66,0,$D$4)</f>
        <v>810391.20524455723</v>
      </c>
      <c r="DB22" s="1161">
        <f ca="1">OFFSET(OperBgt!DC66,0,$D$4)</f>
        <v>812395.54126854998</v>
      </c>
      <c r="DC22" s="1161">
        <f ca="1">OFFSET(OperBgt!DD66,0,$D$4)</f>
        <v>814405.33665383596</v>
      </c>
      <c r="DD22" s="1161">
        <f ca="1">OFFSET(OperBgt!DE66,0,$D$4)</f>
        <v>817289.25972727779</v>
      </c>
      <c r="DE22" s="1161">
        <f ca="1">OFFSET(OperBgt!DF66,0,$D$4)</f>
        <v>820184.67655226053</v>
      </c>
      <c r="DF22" s="1161">
        <f ca="1">OFFSET(OperBgt!DG66,0,$D$4)</f>
        <v>823091.63364658353</v>
      </c>
      <c r="DG22" s="1161">
        <f ca="1">OFFSET(OperBgt!DH66,0,$D$4)</f>
        <v>826010.1777181353</v>
      </c>
      <c r="DH22" s="1161">
        <f ca="1">OFFSET(OperBgt!DI66,0,$D$4)</f>
        <v>828940.35566567641</v>
      </c>
      <c r="DI22" s="1161">
        <f ca="1">OFFSET(OperBgt!DJ66,0,$D$4)</f>
        <v>831882.21457962343</v>
      </c>
      <c r="DJ22" s="1161">
        <f ca="1">OFFSET(OperBgt!DK66,0,$D$4)</f>
        <v>833945.30648778158</v>
      </c>
      <c r="DK22" s="1161">
        <f ca="1">OFFSET(OperBgt!DL66,0,$D$4)</f>
        <v>837799.93352172116</v>
      </c>
      <c r="DL22" s="1161">
        <f ca="1">OFFSET(OperBgt!DM66,0,$D$4)</f>
        <v>841190.06061420753</v>
      </c>
      <c r="DM22" s="1161">
        <f ca="1">OFFSET(OperBgt!DN66,0,$D$4)</f>
        <v>843270.05909083306</v>
      </c>
      <c r="DN22" s="1161">
        <f ca="1">OFFSET(OperBgt!DO66,0,$D$4)</f>
        <v>845355.72386597854</v>
      </c>
      <c r="DO22" s="1161">
        <f ca="1">OFFSET(OperBgt!DP66,0,$D$4)</f>
        <v>847447.07039757981</v>
      </c>
      <c r="DP22" s="1161">
        <f ca="1">OFFSET(OperBgt!DQ66,0,$D$4)</f>
        <v>850449.48525494861</v>
      </c>
      <c r="DQ22" s="1161">
        <f ca="1">OFFSET(OperBgt!DR66,0,$D$4)</f>
        <v>853463.87128895021</v>
      </c>
      <c r="DR22" s="1161">
        <f ca="1">OFFSET(OperBgt!DS66,0,$D$4)</f>
        <v>856490.27696292778</v>
      </c>
      <c r="DS22" s="1161">
        <f ca="1">OFFSET(OperBgt!DT66,0,$D$4)</f>
        <v>859528.75093829888</v>
      </c>
      <c r="DT22" s="1161">
        <f ca="1">OFFSET(OperBgt!DU66,0,$D$4)</f>
        <v>862579.34207536897</v>
      </c>
      <c r="DU22" s="1161">
        <f ca="1">OFFSET(OperBgt!DV66,0,$D$4)</f>
        <v>865642.09943414945</v>
      </c>
      <c r="DV22" s="1161">
        <f ca="1">OFFSET(OperBgt!DW66,0,$D$4)</f>
        <v>867788.93614149897</v>
      </c>
      <c r="DW22" s="1161">
        <f ca="1">OFFSET(OperBgt!DX66,0,$D$4)</f>
        <v>871803.02691214182</v>
      </c>
      <c r="DX22" s="1161">
        <f ca="1">OFFSET(OperBgt!DY66,0,$D$4)</f>
        <v>875332.97495691932</v>
      </c>
      <c r="DY22" s="1161">
        <f ca="1">OFFSET(OperBgt!DZ66,0,$D$4)</f>
        <v>877497.40719413129</v>
      </c>
      <c r="DZ22" s="1161">
        <f ca="1">OFFSET(OperBgt!EA66,0,$D$4)</f>
        <v>879667.73664229328</v>
      </c>
      <c r="EA22" s="1161">
        <f ca="1">OFFSET(OperBgt!EB66,0,$D$4)</f>
        <v>881843.9793915326</v>
      </c>
      <c r="EB22" s="1161">
        <f ca="1">OFFSET(OperBgt!EC66,0,$D$4)</f>
        <v>884969.79231842747</v>
      </c>
      <c r="EC22" s="1161">
        <f ca="1">OFFSET(OperBgt!ED66,0,$D$4)</f>
        <v>888108.07377527899</v>
      </c>
      <c r="ED22" s="1161">
        <f ca="1">OFFSET(OperBgt!EE66,0,$D$4)</f>
        <v>891258.87425259012</v>
      </c>
      <c r="EE22" s="1161">
        <f ca="1">OFFSET(OperBgt!EF66,0,$D$4)</f>
        <v>894422.24444725737</v>
      </c>
      <c r="EF22" s="1161">
        <f ca="1">OFFSET(OperBgt!EG66,0,$D$4)</f>
        <v>897598.23526341922</v>
      </c>
      <c r="EG22" s="1161">
        <f ca="1">OFFSET(OperBgt!EH66,0,$D$4)</f>
        <v>900786.89781330992</v>
      </c>
      <c r="EH22" s="778"/>
    </row>
    <row r="23" spans="2:138" ht="12.75" customHeight="1" x14ac:dyDescent="0.3">
      <c r="B23" s="1155" t="s">
        <v>96</v>
      </c>
      <c r="C23" s="1159" t="str">
        <f t="shared" si="6"/>
        <v xml:space="preserve"> Operating expenses (ex. property management fee &amp; capital expenditure)</v>
      </c>
      <c r="E23" s="1160"/>
      <c r="F23" s="1161">
        <f ca="1">-(OFFSET(OperBgt!G80,0,$D$4)-OFFSET(OperBgt!G78,0,$D$4)-OFFSET(OperBgt!G77,0,$D$4))</f>
        <v>0</v>
      </c>
      <c r="G23" s="1161">
        <f ca="1">-(OFFSET(OperBgt!H80,0,$D$4)-OFFSET(OperBgt!H78,0,$D$4)-OFFSET(OperBgt!H77,0,$D$4))</f>
        <v>0</v>
      </c>
      <c r="H23" s="1161">
        <f ca="1">-(OFFSET(OperBgt!I80,0,$D$4)-OFFSET(OperBgt!I78,0,$D$4)-OFFSET(OperBgt!I77,0,$D$4))</f>
        <v>0</v>
      </c>
      <c r="I23" s="1161">
        <f ca="1">-(OFFSET(OperBgt!J80,0,$D$4)-OFFSET(OperBgt!J78,0,$D$4)-OFFSET(OperBgt!J77,0,$D$4))</f>
        <v>0</v>
      </c>
      <c r="J23" s="1161">
        <f ca="1">-(OFFSET(OperBgt!K80,0,$D$4)-OFFSET(OperBgt!K78,0,$D$4)-OFFSET(OperBgt!K77,0,$D$4))</f>
        <v>0</v>
      </c>
      <c r="K23" s="1161">
        <f ca="1">-(OFFSET(OperBgt!L80,0,$D$4)-OFFSET(OperBgt!L78,0,$D$4)-OFFSET(OperBgt!L77,0,$D$4))</f>
        <v>0</v>
      </c>
      <c r="L23" s="1161">
        <f ca="1">-(OFFSET(OperBgt!M80,0,$D$4)-OFFSET(OperBgt!M78,0,$D$4)-OFFSET(OperBgt!M77,0,$D$4))</f>
        <v>0</v>
      </c>
      <c r="M23" s="1161">
        <f ca="1">-(OFFSET(OperBgt!N80,0,$D$4)-OFFSET(OperBgt!N78,0,$D$4)-OFFSET(OperBgt!N77,0,$D$4))</f>
        <v>0</v>
      </c>
      <c r="N23" s="1161">
        <f ca="1">-(OFFSET(OperBgt!O80,0,$D$4)-OFFSET(OperBgt!O78,0,$D$4)-OFFSET(OperBgt!O77,0,$D$4))</f>
        <v>0</v>
      </c>
      <c r="O23" s="1161">
        <f ca="1">-(OFFSET(OperBgt!P80,0,$D$4)-OFFSET(OperBgt!P78,0,$D$4)-OFFSET(OperBgt!P77,0,$D$4))</f>
        <v>0</v>
      </c>
      <c r="P23" s="1161">
        <f ca="1">-(OFFSET(OperBgt!Q80,0,$D$4)-OFFSET(OperBgt!Q78,0,$D$4)-OFFSET(OperBgt!Q77,0,$D$4))</f>
        <v>0</v>
      </c>
      <c r="Q23" s="1161">
        <f ca="1">-(OFFSET(OperBgt!R80,0,$D$4)-OFFSET(OperBgt!R78,0,$D$4)-OFFSET(OperBgt!R77,0,$D$4))</f>
        <v>0</v>
      </c>
      <c r="R23" s="1161">
        <f ca="1">-(OFFSET(OperBgt!S80,0,$D$4)-OFFSET(OperBgt!S78,0,$D$4)-OFFSET(OperBgt!S77,0,$D$4))</f>
        <v>0</v>
      </c>
      <c r="S23" s="1161">
        <f ca="1">-(OFFSET(OperBgt!T80,0,$D$4)-OFFSET(OperBgt!T78,0,$D$4)-OFFSET(OperBgt!T77,0,$D$4))</f>
        <v>-88225.339050871276</v>
      </c>
      <c r="T23" s="1161">
        <f ca="1">-(OFFSET(OperBgt!U80,0,$D$4)-OFFSET(OperBgt!U78,0,$D$4)-OFFSET(OperBgt!U77,0,$D$4))</f>
        <v>-95788.275262366908</v>
      </c>
      <c r="U23" s="1161">
        <f ca="1">-(OFFSET(OperBgt!V80,0,$D$4)-OFFSET(OperBgt!V78,0,$D$4)-OFFSET(OperBgt!V77,0,$D$4))</f>
        <v>-121384.89997247918</v>
      </c>
      <c r="V23" s="1161">
        <f ca="1">-(OFFSET(OperBgt!W80,0,$D$4)-OFFSET(OperBgt!W78,0,$D$4)-OFFSET(OperBgt!W77,0,$D$4))</f>
        <v>-127956.64031749518</v>
      </c>
      <c r="W23" s="1161">
        <f ca="1">-(OFFSET(OperBgt!X80,0,$D$4)-OFFSET(OperBgt!X78,0,$D$4)-OFFSET(OperBgt!X77,0,$D$4))</f>
        <v>-132537.19333131085</v>
      </c>
      <c r="X23" s="1161">
        <f ca="1">-(OFFSET(OperBgt!Y80,0,$D$4)-OFFSET(OperBgt!Y78,0,$D$4)-OFFSET(OperBgt!Y77,0,$D$4))</f>
        <v>-136461.50073727209</v>
      </c>
      <c r="Y23" s="1161">
        <f ca="1">-(OFFSET(OperBgt!Z80,0,$D$4)-OFFSET(OperBgt!Z78,0,$D$4)-OFFSET(OperBgt!Z77,0,$D$4))</f>
        <v>-138014.11349028582</v>
      </c>
      <c r="Z23" s="1161">
        <f ca="1">-(OFFSET(OperBgt!AA80,0,$D$4)-OFFSET(OperBgt!AA78,0,$D$4)-OFFSET(OperBgt!AA77,0,$D$4))</f>
        <v>-139566.72624329955</v>
      </c>
      <c r="AA23" s="1161">
        <f ca="1">-(OFFSET(OperBgt!AB80,0,$D$4)-OFFSET(OperBgt!AB78,0,$D$4)-OFFSET(OperBgt!AB77,0,$D$4))</f>
        <v>-140868.35383401104</v>
      </c>
      <c r="AB23" s="1161">
        <f ca="1">-(OFFSET(OperBgt!AC80,0,$D$4)-OFFSET(OperBgt!AC78,0,$D$4)-OFFSET(OperBgt!AC77,0,$D$4))</f>
        <v>-141500.68765858331</v>
      </c>
      <c r="AC23" s="1161">
        <f ca="1">-(OFFSET(OperBgt!AD80,0,$D$4)-OFFSET(OperBgt!AD78,0,$D$4)-OFFSET(OperBgt!AD77,0,$D$4))</f>
        <v>-142133.02148315555</v>
      </c>
      <c r="AD23" s="1161">
        <f ca="1">-(OFFSET(OperBgt!AE80,0,$D$4)-OFFSET(OperBgt!AE78,0,$D$4)-OFFSET(OperBgt!AE77,0,$D$4))</f>
        <v>-142765.35530772782</v>
      </c>
      <c r="AE23" s="1161">
        <f ca="1">-(OFFSET(OperBgt!AF80,0,$D$4)-OFFSET(OperBgt!AF78,0,$D$4)-OFFSET(OperBgt!AF77,0,$D$4))</f>
        <v>-143397.68913230009</v>
      </c>
      <c r="AF23" s="1161">
        <f ca="1">-(OFFSET(OperBgt!AG80,0,$D$4)-OFFSET(OperBgt!AG78,0,$D$4)-OFFSET(OperBgt!AG77,0,$D$4))</f>
        <v>-144030.02295687236</v>
      </c>
      <c r="AG23" s="1161">
        <f ca="1">-(OFFSET(OperBgt!AH80,0,$D$4)-OFFSET(OperBgt!AH78,0,$D$4)-OFFSET(OperBgt!AH77,0,$D$4))</f>
        <v>-156008.36100315838</v>
      </c>
      <c r="AH23" s="1161">
        <f ca="1">-(OFFSET(OperBgt!AI80,0,$D$4)-OFFSET(OperBgt!AI78,0,$D$4)-OFFSET(OperBgt!AI77,0,$D$4))</f>
        <v>-156659.66484246781</v>
      </c>
      <c r="AI23" s="1161">
        <f ca="1">-(OFFSET(OperBgt!AJ80,0,$D$4)-OFFSET(OperBgt!AJ78,0,$D$4)-OFFSET(OperBgt!AJ77,0,$D$4))</f>
        <v>-157310.96868177727</v>
      </c>
      <c r="AJ23" s="1161">
        <f ca="1">-(OFFSET(OperBgt!AK80,0,$D$4)-OFFSET(OperBgt!AK78,0,$D$4)-OFFSET(OperBgt!AK77,0,$D$4))</f>
        <v>-157528.06996154707</v>
      </c>
      <c r="AK23" s="1161">
        <f ca="1">-(OFFSET(OperBgt!AL80,0,$D$4)-OFFSET(OperBgt!AL78,0,$D$4)-OFFSET(OperBgt!AL77,0,$D$4))</f>
        <v>-157528.06996154707</v>
      </c>
      <c r="AL23" s="1161">
        <f ca="1">-(OFFSET(OperBgt!AM80,0,$D$4)-OFFSET(OperBgt!AM78,0,$D$4)-OFFSET(OperBgt!AM77,0,$D$4))</f>
        <v>-157528.06996154707</v>
      </c>
      <c r="AM23" s="1161">
        <f ca="1">-(OFFSET(OperBgt!AN80,0,$D$4)-OFFSET(OperBgt!AN78,0,$D$4)-OFFSET(OperBgt!AN77,0,$D$4))</f>
        <v>-157528.06996154707</v>
      </c>
      <c r="AN23" s="1161">
        <f ca="1">-(OFFSET(OperBgt!AO80,0,$D$4)-OFFSET(OperBgt!AO78,0,$D$4)-OFFSET(OperBgt!AO77,0,$D$4))</f>
        <v>-157528.06996154707</v>
      </c>
      <c r="AO23" s="1161">
        <f ca="1">-(OFFSET(OperBgt!AP80,0,$D$4)-OFFSET(OperBgt!AP78,0,$D$4)-OFFSET(OperBgt!AP77,0,$D$4))</f>
        <v>-157528.06996154707</v>
      </c>
      <c r="AP23" s="1161">
        <f ca="1">-(OFFSET(OperBgt!AQ80,0,$D$4)-OFFSET(OperBgt!AQ78,0,$D$4)-OFFSET(OperBgt!AQ77,0,$D$4))</f>
        <v>-157528.06996154709</v>
      </c>
      <c r="AQ23" s="1161">
        <f ca="1">-(OFFSET(OperBgt!AR80,0,$D$4)-OFFSET(OperBgt!AR78,0,$D$4)-OFFSET(OperBgt!AR77,0,$D$4))</f>
        <v>-157528.06996154707</v>
      </c>
      <c r="AR23" s="1161">
        <f ca="1">-(OFFSET(OperBgt!AS80,0,$D$4)-OFFSET(OperBgt!AS78,0,$D$4)-OFFSET(OperBgt!AS77,0,$D$4))</f>
        <v>-157528.06996154707</v>
      </c>
      <c r="AS23" s="1161">
        <f ca="1">-(OFFSET(OperBgt!AT80,0,$D$4)-OFFSET(OperBgt!AT78,0,$D$4)-OFFSET(OperBgt!AT77,0,$D$4))</f>
        <v>-163826.94539372696</v>
      </c>
      <c r="AT23" s="1161">
        <f ca="1">-(OFFSET(OperBgt!AU80,0,$D$4)-OFFSET(OperBgt!AU78,0,$D$4)-OFFSET(OperBgt!AU77,0,$D$4))</f>
        <v>-163826.94539372696</v>
      </c>
      <c r="AU23" s="1161">
        <f ca="1">-(OFFSET(OperBgt!AV80,0,$D$4)-OFFSET(OperBgt!AV78,0,$D$4)-OFFSET(OperBgt!AV77,0,$D$4))</f>
        <v>-163826.94539372696</v>
      </c>
      <c r="AV23" s="1161">
        <f ca="1">-(OFFSET(OperBgt!AW80,0,$D$4)-OFFSET(OperBgt!AW78,0,$D$4)-OFFSET(OperBgt!AW77,0,$D$4))</f>
        <v>-163826.94539372696</v>
      </c>
      <c r="AW23" s="1161">
        <f ca="1">-(OFFSET(OperBgt!AX80,0,$D$4)-OFFSET(OperBgt!AX78,0,$D$4)-OFFSET(OperBgt!AX77,0,$D$4))</f>
        <v>-163826.94539372696</v>
      </c>
      <c r="AX23" s="1161">
        <f ca="1">-(OFFSET(OperBgt!AY80,0,$D$4)-OFFSET(OperBgt!AY78,0,$D$4)-OFFSET(OperBgt!AY77,0,$D$4))</f>
        <v>-163826.94539372696</v>
      </c>
      <c r="AY23" s="1161">
        <f ca="1">-(OFFSET(OperBgt!AZ80,0,$D$4)-OFFSET(OperBgt!AZ78,0,$D$4)-OFFSET(OperBgt!AZ77,0,$D$4))</f>
        <v>-163826.94539372696</v>
      </c>
      <c r="AZ23" s="1161">
        <f ca="1">-(OFFSET(OperBgt!BA80,0,$D$4)-OFFSET(OperBgt!BA78,0,$D$4)-OFFSET(OperBgt!BA77,0,$D$4))</f>
        <v>-163826.94539372696</v>
      </c>
      <c r="BA23" s="1161">
        <f ca="1">-(OFFSET(OperBgt!BB80,0,$D$4)-OFFSET(OperBgt!BB78,0,$D$4)-OFFSET(OperBgt!BB77,0,$D$4))</f>
        <v>-163826.94539372696</v>
      </c>
      <c r="BB23" s="1161">
        <f ca="1">-(OFFSET(OperBgt!BC80,0,$D$4)-OFFSET(OperBgt!BC78,0,$D$4)-OFFSET(OperBgt!BC77,0,$D$4))</f>
        <v>-163826.94539372696</v>
      </c>
      <c r="BC23" s="1161">
        <f ca="1">-(OFFSET(OperBgt!BD80,0,$D$4)-OFFSET(OperBgt!BD78,0,$D$4)-OFFSET(OperBgt!BD77,0,$D$4))</f>
        <v>-163826.94539372696</v>
      </c>
      <c r="BD23" s="1161">
        <f ca="1">-(OFFSET(OperBgt!BE80,0,$D$4)-OFFSET(OperBgt!BE78,0,$D$4)-OFFSET(OperBgt!BE77,0,$D$4))</f>
        <v>-163826.94539372696</v>
      </c>
      <c r="BE23" s="1161">
        <f ca="1">-(OFFSET(OperBgt!BF80,0,$D$4)-OFFSET(OperBgt!BF78,0,$D$4)-OFFSET(OperBgt!BF77,0,$D$4))</f>
        <v>-168852.58708887224</v>
      </c>
      <c r="BF23" s="1161">
        <f ca="1">-(OFFSET(OperBgt!BG80,0,$D$4)-OFFSET(OperBgt!BG78,0,$D$4)-OFFSET(OperBgt!BG77,0,$D$4))</f>
        <v>-168852.58708887224</v>
      </c>
      <c r="BG23" s="1161">
        <f ca="1">-(OFFSET(OperBgt!BH80,0,$D$4)-OFFSET(OperBgt!BH78,0,$D$4)-OFFSET(OperBgt!BH77,0,$D$4))</f>
        <v>-168852.58708887224</v>
      </c>
      <c r="BH23" s="1161">
        <f ca="1">-(OFFSET(OperBgt!BI80,0,$D$4)-OFFSET(OperBgt!BI78,0,$D$4)-OFFSET(OperBgt!BI77,0,$D$4))</f>
        <v>-168852.58708887224</v>
      </c>
      <c r="BI23" s="1161">
        <f ca="1">-(OFFSET(OperBgt!BJ80,0,$D$4)-OFFSET(OperBgt!BJ78,0,$D$4)-OFFSET(OperBgt!BJ77,0,$D$4))</f>
        <v>-168852.58708887224</v>
      </c>
      <c r="BJ23" s="1161">
        <f ca="1">-(OFFSET(OperBgt!BK80,0,$D$4)-OFFSET(OperBgt!BK78,0,$D$4)-OFFSET(OperBgt!BK77,0,$D$4))</f>
        <v>-168852.58708887224</v>
      </c>
      <c r="BK23" s="1161">
        <f ca="1">-(OFFSET(OperBgt!BL80,0,$D$4)-OFFSET(OperBgt!BL78,0,$D$4)-OFFSET(OperBgt!BL77,0,$D$4))</f>
        <v>-168852.58708887224</v>
      </c>
      <c r="BL23" s="1161">
        <f ca="1">-(OFFSET(OperBgt!BM80,0,$D$4)-OFFSET(OperBgt!BM78,0,$D$4)-OFFSET(OperBgt!BM77,0,$D$4))</f>
        <v>-168852.58708887227</v>
      </c>
      <c r="BM23" s="1161">
        <f ca="1">-(OFFSET(OperBgt!BN80,0,$D$4)-OFFSET(OperBgt!BN78,0,$D$4)-OFFSET(OperBgt!BN77,0,$D$4))</f>
        <v>-168852.58708887224</v>
      </c>
      <c r="BN23" s="1161">
        <f ca="1">-(OFFSET(OperBgt!BO80,0,$D$4)-OFFSET(OperBgt!BO78,0,$D$4)-OFFSET(OperBgt!BO77,0,$D$4))</f>
        <v>-168852.58708887224</v>
      </c>
      <c r="BO23" s="1161">
        <f ca="1">-(OFFSET(OperBgt!BP80,0,$D$4)-OFFSET(OperBgt!BP78,0,$D$4)-OFFSET(OperBgt!BP77,0,$D$4))</f>
        <v>-168852.58708887224</v>
      </c>
      <c r="BP23" s="1161">
        <f ca="1">-(OFFSET(OperBgt!BQ80,0,$D$4)-OFFSET(OperBgt!BQ78,0,$D$4)-OFFSET(OperBgt!BQ77,0,$D$4))</f>
        <v>-168852.58708887224</v>
      </c>
      <c r="BQ23" s="1161">
        <f ca="1">-(OFFSET(OperBgt!BR80,0,$D$4)-OFFSET(OperBgt!BR78,0,$D$4)-OFFSET(OperBgt!BR77,0,$D$4))</f>
        <v>-174138.94497076349</v>
      </c>
      <c r="BR23" s="1161">
        <f ca="1">-(OFFSET(OperBgt!BS80,0,$D$4)-OFFSET(OperBgt!BS78,0,$D$4)-OFFSET(OperBgt!BS77,0,$D$4))</f>
        <v>-174138.94497076346</v>
      </c>
      <c r="BS23" s="1161">
        <f ca="1">-(OFFSET(OperBgt!BT80,0,$D$4)-OFFSET(OperBgt!BT78,0,$D$4)-OFFSET(OperBgt!BT77,0,$D$4))</f>
        <v>-174138.94497076349</v>
      </c>
      <c r="BT23" s="1161">
        <f ca="1">-(OFFSET(OperBgt!BU80,0,$D$4)-OFFSET(OperBgt!BU78,0,$D$4)-OFFSET(OperBgt!BU77,0,$D$4))</f>
        <v>-174138.94497076352</v>
      </c>
      <c r="BU23" s="1161">
        <f ca="1">-(OFFSET(OperBgt!BV80,0,$D$4)-OFFSET(OperBgt!BV78,0,$D$4)-OFFSET(OperBgt!BV77,0,$D$4))</f>
        <v>-174138.94497076349</v>
      </c>
      <c r="BV23" s="1161">
        <f ca="1">-(OFFSET(OperBgt!BW80,0,$D$4)-OFFSET(OperBgt!BW78,0,$D$4)-OFFSET(OperBgt!BW77,0,$D$4))</f>
        <v>-174138.94497076349</v>
      </c>
      <c r="BW23" s="1161">
        <f ca="1">-(OFFSET(OperBgt!BX80,0,$D$4)-OFFSET(OperBgt!BX78,0,$D$4)-OFFSET(OperBgt!BX77,0,$D$4))</f>
        <v>-174138.94497076349</v>
      </c>
      <c r="BX23" s="1161">
        <f ca="1">-(OFFSET(OperBgt!BY80,0,$D$4)-OFFSET(OperBgt!BY78,0,$D$4)-OFFSET(OperBgt!BY77,0,$D$4))</f>
        <v>-174138.94497076349</v>
      </c>
      <c r="BY23" s="1161">
        <f ca="1">-(OFFSET(OperBgt!BZ80,0,$D$4)-OFFSET(OperBgt!BZ78,0,$D$4)-OFFSET(OperBgt!BZ77,0,$D$4))</f>
        <v>-174138.94497076349</v>
      </c>
      <c r="BZ23" s="1161">
        <f ca="1">-(OFFSET(OperBgt!CA80,0,$D$4)-OFFSET(OperBgt!CA78,0,$D$4)-OFFSET(OperBgt!CA77,0,$D$4))</f>
        <v>-174138.94497076349</v>
      </c>
      <c r="CA23" s="1161">
        <f ca="1">-(OFFSET(OperBgt!CB80,0,$D$4)-OFFSET(OperBgt!CB78,0,$D$4)-OFFSET(OperBgt!CB77,0,$D$4))</f>
        <v>-174138.94497076349</v>
      </c>
      <c r="CB23" s="1161">
        <f ca="1">-(OFFSET(OperBgt!CC80,0,$D$4)-OFFSET(OperBgt!CC78,0,$D$4)-OFFSET(OperBgt!CC77,0,$D$4))</f>
        <v>-174138.94497076349</v>
      </c>
      <c r="CC23" s="1161">
        <f ca="1">-(OFFSET(OperBgt!CD80,0,$D$4)-OFFSET(OperBgt!CD78,0,$D$4)-OFFSET(OperBgt!CD77,0,$D$4))</f>
        <v>-179599.35665238678</v>
      </c>
      <c r="CD23" s="1161">
        <f ca="1">-(OFFSET(OperBgt!CE80,0,$D$4)-OFFSET(OperBgt!CE78,0,$D$4)-OFFSET(OperBgt!CE77,0,$D$4))</f>
        <v>-179599.35665238678</v>
      </c>
      <c r="CE23" s="1161">
        <f ca="1">-(OFFSET(OperBgt!CF80,0,$D$4)-OFFSET(OperBgt!CF78,0,$D$4)-OFFSET(OperBgt!CF77,0,$D$4))</f>
        <v>-179599.35665238678</v>
      </c>
      <c r="CF23" s="1161">
        <f ca="1">-(OFFSET(OperBgt!CG80,0,$D$4)-OFFSET(OperBgt!CG78,0,$D$4)-OFFSET(OperBgt!CG77,0,$D$4))</f>
        <v>-179599.35665238678</v>
      </c>
      <c r="CG23" s="1161">
        <f ca="1">-(OFFSET(OperBgt!CH80,0,$D$4)-OFFSET(OperBgt!CH78,0,$D$4)-OFFSET(OperBgt!CH77,0,$D$4))</f>
        <v>-179599.35665238678</v>
      </c>
      <c r="CH23" s="1161">
        <f ca="1">-(OFFSET(OperBgt!CI80,0,$D$4)-OFFSET(OperBgt!CI78,0,$D$4)-OFFSET(OperBgt!CI77,0,$D$4))</f>
        <v>-179599.35665238678</v>
      </c>
      <c r="CI23" s="1161">
        <f ca="1">-(OFFSET(OperBgt!CJ80,0,$D$4)-OFFSET(OperBgt!CJ78,0,$D$4)-OFFSET(OperBgt!CJ77,0,$D$4))</f>
        <v>-179599.35665238678</v>
      </c>
      <c r="CJ23" s="1161">
        <f ca="1">-(OFFSET(OperBgt!CK80,0,$D$4)-OFFSET(OperBgt!CK78,0,$D$4)-OFFSET(OperBgt!CK77,0,$D$4))</f>
        <v>-179599.35665238678</v>
      </c>
      <c r="CK23" s="1161">
        <f ca="1">-(OFFSET(OperBgt!CL80,0,$D$4)-OFFSET(OperBgt!CL78,0,$D$4)-OFFSET(OperBgt!CL77,0,$D$4))</f>
        <v>-179599.35665238678</v>
      </c>
      <c r="CL23" s="1161">
        <f ca="1">-(OFFSET(OperBgt!CM80,0,$D$4)-OFFSET(OperBgt!CM78,0,$D$4)-OFFSET(OperBgt!CM77,0,$D$4))</f>
        <v>-179599.35665238678</v>
      </c>
      <c r="CM23" s="1161">
        <f ca="1">-(OFFSET(OperBgt!CN80,0,$D$4)-OFFSET(OperBgt!CN78,0,$D$4)-OFFSET(OperBgt!CN77,0,$D$4))</f>
        <v>-179599.35665238678</v>
      </c>
      <c r="CN23" s="1161">
        <f ca="1">-(OFFSET(OperBgt!CO80,0,$D$4)-OFFSET(OperBgt!CO78,0,$D$4)-OFFSET(OperBgt!CO77,0,$D$4))</f>
        <v>-179599.35665238678</v>
      </c>
      <c r="CO23" s="1161">
        <f ca="1">-(OFFSET(OperBgt!CP80,0,$D$4)-OFFSET(OperBgt!CP78,0,$D$4)-OFFSET(OperBgt!CP77,0,$D$4))</f>
        <v>-185240.37116491451</v>
      </c>
      <c r="CP23" s="1161">
        <f ca="1">-(OFFSET(OperBgt!CQ80,0,$D$4)-OFFSET(OperBgt!CQ78,0,$D$4)-OFFSET(OperBgt!CQ77,0,$D$4))</f>
        <v>-185240.37116491451</v>
      </c>
      <c r="CQ23" s="1161">
        <f ca="1">-(OFFSET(OperBgt!CR80,0,$D$4)-OFFSET(OperBgt!CR78,0,$D$4)-OFFSET(OperBgt!CR77,0,$D$4))</f>
        <v>-185240.37116491451</v>
      </c>
      <c r="CR23" s="1161">
        <f ca="1">-(OFFSET(OperBgt!CS80,0,$D$4)-OFFSET(OperBgt!CS78,0,$D$4)-OFFSET(OperBgt!CS77,0,$D$4))</f>
        <v>-185240.37116491451</v>
      </c>
      <c r="CS23" s="1161">
        <f ca="1">-(OFFSET(OperBgt!CT80,0,$D$4)-OFFSET(OperBgt!CT78,0,$D$4)-OFFSET(OperBgt!CT77,0,$D$4))</f>
        <v>-185240.37116491451</v>
      </c>
      <c r="CT23" s="1161">
        <f ca="1">-(OFFSET(OperBgt!CU80,0,$D$4)-OFFSET(OperBgt!CU78,0,$D$4)-OFFSET(OperBgt!CU77,0,$D$4))</f>
        <v>-185240.37116491451</v>
      </c>
      <c r="CU23" s="1161">
        <f ca="1">-(OFFSET(OperBgt!CV80,0,$D$4)-OFFSET(OperBgt!CV78,0,$D$4)-OFFSET(OperBgt!CV77,0,$D$4))</f>
        <v>-185240.37116491451</v>
      </c>
      <c r="CV23" s="1161">
        <f ca="1">-(OFFSET(OperBgt!CW80,0,$D$4)-OFFSET(OperBgt!CW78,0,$D$4)-OFFSET(OperBgt!CW77,0,$D$4))</f>
        <v>-185240.37116491451</v>
      </c>
      <c r="CW23" s="1161">
        <f ca="1">-(OFFSET(OperBgt!CX80,0,$D$4)-OFFSET(OperBgt!CX78,0,$D$4)-OFFSET(OperBgt!CX77,0,$D$4))</f>
        <v>-185240.37116491451</v>
      </c>
      <c r="CX23" s="1161">
        <f ca="1">-(OFFSET(OperBgt!CY80,0,$D$4)-OFFSET(OperBgt!CY78,0,$D$4)-OFFSET(OperBgt!CY77,0,$D$4))</f>
        <v>-185240.37116491451</v>
      </c>
      <c r="CY23" s="1161">
        <f ca="1">-(OFFSET(OperBgt!CZ80,0,$D$4)-OFFSET(OperBgt!CZ78,0,$D$4)-OFFSET(OperBgt!CZ77,0,$D$4))</f>
        <v>-185240.37116491451</v>
      </c>
      <c r="CZ23" s="1161">
        <f ca="1">-(OFFSET(OperBgt!DA80,0,$D$4)-OFFSET(OperBgt!DA78,0,$D$4)-OFFSET(OperBgt!DA77,0,$D$4))</f>
        <v>-185240.37116491451</v>
      </c>
      <c r="DA23" s="1161">
        <f ca="1">-(OFFSET(OperBgt!DB80,0,$D$4)-OFFSET(OperBgt!DB78,0,$D$4)-OFFSET(OperBgt!DB77,0,$D$4))</f>
        <v>-191068.85950913056</v>
      </c>
      <c r="DB23" s="1161">
        <f ca="1">-(OFFSET(OperBgt!DC80,0,$D$4)-OFFSET(OperBgt!DC78,0,$D$4)-OFFSET(OperBgt!DC77,0,$D$4))</f>
        <v>-191068.85950913056</v>
      </c>
      <c r="DC23" s="1161">
        <f ca="1">-(OFFSET(OperBgt!DD80,0,$D$4)-OFFSET(OperBgt!DD78,0,$D$4)-OFFSET(OperBgt!DD77,0,$D$4))</f>
        <v>-191068.85950913056</v>
      </c>
      <c r="DD23" s="1161">
        <f ca="1">-(OFFSET(OperBgt!DE80,0,$D$4)-OFFSET(OperBgt!DE78,0,$D$4)-OFFSET(OperBgt!DE77,0,$D$4))</f>
        <v>-191068.85950913056</v>
      </c>
      <c r="DE23" s="1161">
        <f ca="1">-(OFFSET(OperBgt!DF80,0,$D$4)-OFFSET(OperBgt!DF78,0,$D$4)-OFFSET(OperBgt!DF77,0,$D$4))</f>
        <v>-191068.85950913056</v>
      </c>
      <c r="DF23" s="1161">
        <f ca="1">-(OFFSET(OperBgt!DG80,0,$D$4)-OFFSET(OperBgt!DG78,0,$D$4)-OFFSET(OperBgt!DG77,0,$D$4))</f>
        <v>-191068.85950913059</v>
      </c>
      <c r="DG23" s="1161">
        <f ca="1">-(OFFSET(OperBgt!DH80,0,$D$4)-OFFSET(OperBgt!DH78,0,$D$4)-OFFSET(OperBgt!DH77,0,$D$4))</f>
        <v>-191068.85950913056</v>
      </c>
      <c r="DH23" s="1161">
        <f ca="1">-(OFFSET(OperBgt!DI80,0,$D$4)-OFFSET(OperBgt!DI78,0,$D$4)-OFFSET(OperBgt!DI77,0,$D$4))</f>
        <v>-191068.85950913056</v>
      </c>
      <c r="DI23" s="1161">
        <f ca="1">-(OFFSET(OperBgt!DJ80,0,$D$4)-OFFSET(OperBgt!DJ78,0,$D$4)-OFFSET(OperBgt!DJ77,0,$D$4))</f>
        <v>-191068.85950913056</v>
      </c>
      <c r="DJ23" s="1161">
        <f ca="1">-(OFFSET(OperBgt!DK80,0,$D$4)-OFFSET(OperBgt!DK78,0,$D$4)-OFFSET(OperBgt!DK77,0,$D$4))</f>
        <v>-191068.85950913056</v>
      </c>
      <c r="DK23" s="1161">
        <f ca="1">-(OFFSET(OperBgt!DL80,0,$D$4)-OFFSET(OperBgt!DL78,0,$D$4)-OFFSET(OperBgt!DL77,0,$D$4))</f>
        <v>-191068.85950913056</v>
      </c>
      <c r="DL23" s="1161">
        <f ca="1">-(OFFSET(OperBgt!DM80,0,$D$4)-OFFSET(OperBgt!DM78,0,$D$4)-OFFSET(OperBgt!DM77,0,$D$4))</f>
        <v>-191068.85950913056</v>
      </c>
      <c r="DM23" s="1161">
        <f ca="1">-(OFFSET(OperBgt!DN80,0,$D$4)-OFFSET(OperBgt!DN78,0,$D$4)-OFFSET(OperBgt!DN77,0,$D$4))</f>
        <v>-197092.03662471354</v>
      </c>
      <c r="DN23" s="1161">
        <f ca="1">-(OFFSET(OperBgt!DO80,0,$D$4)-OFFSET(OperBgt!DO78,0,$D$4)-OFFSET(OperBgt!DO77,0,$D$4))</f>
        <v>-197092.03662471354</v>
      </c>
      <c r="DO23" s="1161">
        <f ca="1">-(OFFSET(OperBgt!DP80,0,$D$4)-OFFSET(OperBgt!DP78,0,$D$4)-OFFSET(OperBgt!DP77,0,$D$4))</f>
        <v>-197092.03662471354</v>
      </c>
      <c r="DP23" s="1161">
        <f ca="1">-(OFFSET(OperBgt!DQ80,0,$D$4)-OFFSET(OperBgt!DQ78,0,$D$4)-OFFSET(OperBgt!DQ77,0,$D$4))</f>
        <v>-197092.03662471354</v>
      </c>
      <c r="DQ23" s="1161">
        <f ca="1">-(OFFSET(OperBgt!DR80,0,$D$4)-OFFSET(OperBgt!DR78,0,$D$4)-OFFSET(OperBgt!DR77,0,$D$4))</f>
        <v>-197092.03662471354</v>
      </c>
      <c r="DR23" s="1161">
        <f ca="1">-(OFFSET(OperBgt!DS80,0,$D$4)-OFFSET(OperBgt!DS78,0,$D$4)-OFFSET(OperBgt!DS77,0,$D$4))</f>
        <v>-197092.03662471354</v>
      </c>
      <c r="DS23" s="1161">
        <f ca="1">-(OFFSET(OperBgt!DT80,0,$D$4)-OFFSET(OperBgt!DT78,0,$D$4)-OFFSET(OperBgt!DT77,0,$D$4))</f>
        <v>-197092.03662471351</v>
      </c>
      <c r="DT23" s="1161">
        <f ca="1">-(OFFSET(OperBgt!DU80,0,$D$4)-OFFSET(OperBgt!DU78,0,$D$4)-OFFSET(OperBgt!DU77,0,$D$4))</f>
        <v>-197092.03662471351</v>
      </c>
      <c r="DU23" s="1161">
        <f ca="1">-(OFFSET(OperBgt!DV80,0,$D$4)-OFFSET(OperBgt!DV78,0,$D$4)-OFFSET(OperBgt!DV77,0,$D$4))</f>
        <v>-197092.03662471357</v>
      </c>
      <c r="DV23" s="1161">
        <f ca="1">-(OFFSET(OperBgt!DW80,0,$D$4)-OFFSET(OperBgt!DW78,0,$D$4)-OFFSET(OperBgt!DW77,0,$D$4))</f>
        <v>-197092.03662471354</v>
      </c>
      <c r="DW23" s="1161">
        <f ca="1">-(OFFSET(OperBgt!DX80,0,$D$4)-OFFSET(OperBgt!DX78,0,$D$4)-OFFSET(OperBgt!DX77,0,$D$4))</f>
        <v>-197092.03662471354</v>
      </c>
      <c r="DX23" s="1161">
        <f ca="1">-(OFFSET(OperBgt!DY80,0,$D$4)-OFFSET(OperBgt!DY78,0,$D$4)-OFFSET(OperBgt!DY77,0,$D$4))</f>
        <v>-197092.03662471354</v>
      </c>
      <c r="DY23" s="1161">
        <f ca="1">-(OFFSET(OperBgt!DZ80,0,$D$4)-OFFSET(OperBgt!DZ78,0,$D$4)-OFFSET(OperBgt!DZ77,0,$D$4))</f>
        <v>-203317.48524168835</v>
      </c>
      <c r="DZ23" s="1161">
        <f ca="1">-(OFFSET(OperBgt!EA80,0,$D$4)-OFFSET(OperBgt!EA78,0,$D$4)-OFFSET(OperBgt!EA77,0,$D$4))</f>
        <v>-203317.48524168835</v>
      </c>
      <c r="EA23" s="1161">
        <f ca="1">-(OFFSET(OperBgt!EB80,0,$D$4)-OFFSET(OperBgt!EB78,0,$D$4)-OFFSET(OperBgt!EB77,0,$D$4))</f>
        <v>-203317.48524168835</v>
      </c>
      <c r="EB23" s="1161">
        <f ca="1">-(OFFSET(OperBgt!EC80,0,$D$4)-OFFSET(OperBgt!EC78,0,$D$4)-OFFSET(OperBgt!EC77,0,$D$4))</f>
        <v>-203317.48524168835</v>
      </c>
      <c r="EC23" s="1161">
        <f ca="1">-(OFFSET(OperBgt!ED80,0,$D$4)-OFFSET(OperBgt!ED78,0,$D$4)-OFFSET(OperBgt!ED77,0,$D$4))</f>
        <v>-203317.48524168835</v>
      </c>
      <c r="ED23" s="1161">
        <f ca="1">-(OFFSET(OperBgt!EE80,0,$D$4)-OFFSET(OperBgt!EE78,0,$D$4)-OFFSET(OperBgt!EE77,0,$D$4))</f>
        <v>-203317.48524168835</v>
      </c>
      <c r="EE23" s="1161">
        <f ca="1">-(OFFSET(OperBgt!EF80,0,$D$4)-OFFSET(OperBgt!EF78,0,$D$4)-OFFSET(OperBgt!EF77,0,$D$4))</f>
        <v>-203317.48524168835</v>
      </c>
      <c r="EF23" s="1161">
        <f ca="1">-(OFFSET(OperBgt!EG80,0,$D$4)-OFFSET(OperBgt!EG78,0,$D$4)-OFFSET(OperBgt!EG77,0,$D$4))</f>
        <v>-203317.48524168835</v>
      </c>
      <c r="EG23" s="1161">
        <f ca="1">-(OFFSET(OperBgt!EH80,0,$D$4)-OFFSET(OperBgt!EH78,0,$D$4)-OFFSET(OperBgt!EH77,0,$D$4))</f>
        <v>-203317.48524168835</v>
      </c>
      <c r="EH23" s="778"/>
    </row>
    <row r="24" spans="2:138" ht="12.75" customHeight="1" x14ac:dyDescent="0.3">
      <c r="B24" s="1155" t="s">
        <v>97</v>
      </c>
      <c r="C24" s="1159" t="str">
        <f t="shared" si="6"/>
        <v xml:space="preserve"> Property management fee</v>
      </c>
      <c r="E24" s="1160"/>
      <c r="F24" s="1161">
        <f ca="1">-OFFSET(OperBgt!G77,0,$D$4)</f>
        <v>0</v>
      </c>
      <c r="G24" s="1161">
        <f ca="1">-OFFSET(OperBgt!H77,0,$D$4)</f>
        <v>0</v>
      </c>
      <c r="H24" s="1161">
        <f ca="1">-OFFSET(OperBgt!I77,0,$D$4)</f>
        <v>0</v>
      </c>
      <c r="I24" s="1161">
        <f ca="1">-OFFSET(OperBgt!J77,0,$D$4)</f>
        <v>0</v>
      </c>
      <c r="J24" s="1161">
        <f ca="1">-OFFSET(OperBgt!K77,0,$D$4)</f>
        <v>0</v>
      </c>
      <c r="K24" s="1161">
        <f ca="1">-OFFSET(OperBgt!L77,0,$D$4)</f>
        <v>0</v>
      </c>
      <c r="L24" s="1161">
        <f ca="1">-OFFSET(OperBgt!M77,0,$D$4)</f>
        <v>0</v>
      </c>
      <c r="M24" s="1161">
        <f ca="1">-OFFSET(OperBgt!N77,0,$D$4)</f>
        <v>0</v>
      </c>
      <c r="N24" s="1161">
        <f ca="1">-OFFSET(OperBgt!O77,0,$D$4)</f>
        <v>0</v>
      </c>
      <c r="O24" s="1161">
        <f ca="1">-OFFSET(OperBgt!P77,0,$D$4)</f>
        <v>0</v>
      </c>
      <c r="P24" s="1161">
        <f ca="1">-OFFSET(OperBgt!Q77,0,$D$4)</f>
        <v>0</v>
      </c>
      <c r="Q24" s="1161">
        <f ca="1">-OFFSET(OperBgt!R77,0,$D$4)</f>
        <v>0</v>
      </c>
      <c r="R24" s="1161">
        <f ca="1">-OFFSET(OperBgt!S77,0,$D$4)</f>
        <v>0</v>
      </c>
      <c r="S24" s="1161">
        <f ca="1">-OFFSET(OperBgt!T77,0,$D$4)</f>
        <v>-10000</v>
      </c>
      <c r="T24" s="1161">
        <f ca="1">-OFFSET(OperBgt!U77,0,$D$4)</f>
        <v>-10000</v>
      </c>
      <c r="U24" s="1161">
        <f ca="1">-OFFSET(OperBgt!V77,0,$D$4)</f>
        <v>-10000</v>
      </c>
      <c r="V24" s="1161">
        <f ca="1">-OFFSET(OperBgt!W77,0,$D$4)</f>
        <v>-10000</v>
      </c>
      <c r="W24" s="1161">
        <f ca="1">-OFFSET(OperBgt!X77,0,$D$4)</f>
        <v>-10000</v>
      </c>
      <c r="X24" s="1161">
        <f ca="1">-OFFSET(OperBgt!Y77,0,$D$4)</f>
        <v>-10000</v>
      </c>
      <c r="Y24" s="1161">
        <f ca="1">-OFFSET(OperBgt!Z77,0,$D$4)</f>
        <v>-10000</v>
      </c>
      <c r="Z24" s="1161">
        <f ca="1">-OFFSET(OperBgt!AA77,0,$D$4)</f>
        <v>-10000</v>
      </c>
      <c r="AA24" s="1161">
        <f ca="1">-OFFSET(OperBgt!AB77,0,$D$4)</f>
        <v>-10000</v>
      </c>
      <c r="AB24" s="1161">
        <f ca="1">-OFFSET(OperBgt!AC77,0,$D$4)</f>
        <v>-10958.42966132254</v>
      </c>
      <c r="AC24" s="1161">
        <f ca="1">-OFFSET(OperBgt!AD77,0,$D$4)</f>
        <v>-12663.808389881347</v>
      </c>
      <c r="AD24" s="1161">
        <f ca="1">-OFFSET(OperBgt!AE77,0,$D$4)</f>
        <v>-14093.183309340446</v>
      </c>
      <c r="AE24" s="1161">
        <f ca="1">-OFFSET(OperBgt!AF77,0,$D$4)</f>
        <v>-15785.007178029018</v>
      </c>
      <c r="AF24" s="1161">
        <f ca="1">-OFFSET(OperBgt!AG77,0,$D$4)</f>
        <v>-18570.686807052294</v>
      </c>
      <c r="AG24" s="1161">
        <f ca="1">-OFFSET(OperBgt!AH77,0,$D$4)</f>
        <v>-19058.197219471189</v>
      </c>
      <c r="AH24" s="1161">
        <f ca="1">-OFFSET(OperBgt!AI77,0,$D$4)</f>
        <v>-19118.644212575909</v>
      </c>
      <c r="AI24" s="1161">
        <f ca="1">-OFFSET(OperBgt!AJ77,0,$D$4)</f>
        <v>-19178.960827718456</v>
      </c>
      <c r="AJ24" s="1161">
        <f ca="1">-OFFSET(OperBgt!AK77,0,$D$4)</f>
        <v>-19265.745842173514</v>
      </c>
      <c r="AK24" s="1161">
        <f ca="1">-OFFSET(OperBgt!AL77,0,$D$4)</f>
        <v>-19352.208454763379</v>
      </c>
      <c r="AL24" s="1161">
        <f ca="1">-OFFSET(OperBgt!AM77,0,$D$4)</f>
        <v>-19438.342871710971</v>
      </c>
      <c r="AM24" s="1161">
        <f ca="1">-OFFSET(OperBgt!AN77,0,$D$4)</f>
        <v>-19524.143246996766</v>
      </c>
      <c r="AN24" s="1161">
        <f ca="1">-OFFSET(OperBgt!AO77,0,$D$4)</f>
        <v>-19609.603681967765</v>
      </c>
      <c r="AO24" s="1161">
        <f ca="1">-OFFSET(OperBgt!AP77,0,$D$4)</f>
        <v>-19694.718224943706</v>
      </c>
      <c r="AP24" s="1161">
        <f ca="1">-OFFSET(OperBgt!AQ77,0,$D$4)</f>
        <v>-19753.589210324848</v>
      </c>
      <c r="AQ24" s="1161">
        <f ca="1">-OFFSET(OperBgt!AR77,0,$D$4)</f>
        <v>-19863.927275795879</v>
      </c>
      <c r="AR24" s="1161">
        <f ca="1">-OFFSET(OperBgt!AS77,0,$D$4)</f>
        <v>-19960.297543652905</v>
      </c>
      <c r="AS24" s="1161">
        <f ca="1">-OFFSET(OperBgt!AT77,0,$D$4)</f>
        <v>-20018.715034213346</v>
      </c>
      <c r="AT24" s="1161">
        <f ca="1">-OFFSET(OperBgt!AU77,0,$D$4)</f>
        <v>-20076.078305412426</v>
      </c>
      <c r="AU24" s="1161">
        <f ca="1">-OFFSET(OperBgt!AV77,0,$D$4)</f>
        <v>-20132.381099592836</v>
      </c>
      <c r="AV24" s="1161">
        <f ca="1">-OFFSET(OperBgt!AW77,0,$D$4)</f>
        <v>-20211.638551598018</v>
      </c>
      <c r="AW24" s="1161">
        <f ca="1">-OFFSET(OperBgt!AX77,0,$D$4)</f>
        <v>-20288.459413445489</v>
      </c>
      <c r="AX24" s="1161">
        <f ca="1">-OFFSET(OperBgt!AY77,0,$D$4)</f>
        <v>-20362.822187987582</v>
      </c>
      <c r="AY24" s="1161">
        <f ca="1">-OFFSET(OperBgt!AZ77,0,$D$4)</f>
        <v>-20434.705239766532</v>
      </c>
      <c r="AZ24" s="1161">
        <f ca="1">-OFFSET(OperBgt!BA77,0,$D$4)</f>
        <v>-20504.086794219977</v>
      </c>
      <c r="BA24" s="1161">
        <f ca="1">-OFFSET(OperBgt!BB77,0,$D$4)</f>
        <v>-20570.94493688209</v>
      </c>
      <c r="BB24" s="1161">
        <f ca="1">-OFFSET(OperBgt!BC77,0,$D$4)</f>
        <v>-20616.253485454748</v>
      </c>
      <c r="BC24" s="1161">
        <f ca="1">-OFFSET(OperBgt!BD77,0,$D$4)</f>
        <v>-20697.28992108889</v>
      </c>
      <c r="BD24" s="1161">
        <f ca="1">-OFFSET(OperBgt!BE77,0,$D$4)</f>
        <v>-20766.561490753233</v>
      </c>
      <c r="BE24" s="1161">
        <f ca="1">-OFFSET(OperBgt!BF77,0,$D$4)</f>
        <v>-20808.4567039381</v>
      </c>
      <c r="BF24" s="1161">
        <f ca="1">-OFFSET(OperBgt!BG77,0,$D$4)</f>
        <v>-20851.087620736849</v>
      </c>
      <c r="BG24" s="1161">
        <f ca="1">-OFFSET(OperBgt!BH77,0,$D$4)</f>
        <v>-20894.457619822522</v>
      </c>
      <c r="BH24" s="1161">
        <f ca="1">-OFFSET(OperBgt!BI77,0,$D$4)</f>
        <v>-20956.921833504857</v>
      </c>
      <c r="BI24" s="1161">
        <f ca="1">-OFFSET(OperBgt!BJ77,0,$D$4)</f>
        <v>-21021.041428484084</v>
      </c>
      <c r="BJ24" s="1161">
        <f ca="1">-OFFSET(OperBgt!BK77,0,$D$4)</f>
        <v>-21086.827825270946</v>
      </c>
      <c r="BK24" s="1161">
        <f ca="1">-OFFSET(OperBgt!BL77,0,$D$4)</f>
        <v>-21154.292506592898</v>
      </c>
      <c r="BL24" s="1161">
        <f ca="1">-OFFSET(OperBgt!BM77,0,$D$4)</f>
        <v>-21223.447017700571</v>
      </c>
      <c r="BM24" s="1161">
        <f ca="1">-OFFSET(OperBgt!BN77,0,$D$4)</f>
        <v>-21294.30296667563</v>
      </c>
      <c r="BN24" s="1161">
        <f ca="1">-OFFSET(OperBgt!BO77,0,$D$4)</f>
        <v>-21345.188773102251</v>
      </c>
      <c r="BO24" s="1161">
        <f ca="1">-OFFSET(OperBgt!BP77,0,$D$4)</f>
        <v>-21440.976337774537</v>
      </c>
      <c r="BP24" s="1161">
        <f ca="1">-OFFSET(OperBgt!BQ77,0,$D$4)</f>
        <v>-21526.398724776642</v>
      </c>
      <c r="BQ24" s="1161">
        <f ca="1">-OFFSET(OperBgt!BR77,0,$D$4)</f>
        <v>-21579.625827403968</v>
      </c>
      <c r="BR24" s="1161">
        <f ca="1">-OFFSET(OperBgt!BS77,0,$D$4)</f>
        <v>-21632.997840066368</v>
      </c>
      <c r="BS24" s="1161">
        <f ca="1">-OFFSET(OperBgt!BT77,0,$D$4)</f>
        <v>-21686.515157859154</v>
      </c>
      <c r="BT24" s="1161">
        <f ca="1">-OFFSET(OperBgt!BU77,0,$D$4)</f>
        <v>-21763.194056888708</v>
      </c>
      <c r="BU24" s="1161">
        <f ca="1">-OFFSET(OperBgt!BV77,0,$D$4)</f>
        <v>-21840.178151748281</v>
      </c>
      <c r="BV24" s="1161">
        <f ca="1">-OFFSET(OperBgt!BW77,0,$D$4)</f>
        <v>-21917.468676595592</v>
      </c>
      <c r="BW24" s="1161">
        <f ca="1">-OFFSET(OperBgt!BX77,0,$D$4)</f>
        <v>-21995.066870628965</v>
      </c>
      <c r="BX24" s="1161">
        <f ca="1">-OFFSET(OperBgt!BY77,0,$D$4)</f>
        <v>-22072.973978108075</v>
      </c>
      <c r="BY24" s="1161">
        <f ca="1">-OFFSET(OperBgt!BZ77,0,$D$4)</f>
        <v>-22151.191248374747</v>
      </c>
      <c r="BZ24" s="1161">
        <f ca="1">-OFFSET(OperBgt!CA77,0,$D$4)</f>
        <v>-22206.125334122633</v>
      </c>
      <c r="CA24" s="1161">
        <f ca="1">-OFFSET(OperBgt!CB77,0,$D$4)</f>
        <v>-22308.528680637253</v>
      </c>
      <c r="CB24" s="1161">
        <f ca="1">-OFFSET(OperBgt!CC77,0,$D$4)</f>
        <v>-22398.625284417354</v>
      </c>
      <c r="CC24" s="1161">
        <f ca="1">-OFFSET(OperBgt!CD77,0,$D$4)</f>
        <v>-22454.009332269579</v>
      </c>
      <c r="CD24" s="1161">
        <f ca="1">-OFFSET(OperBgt!CE77,0,$D$4)</f>
        <v>-22509.544186223327</v>
      </c>
      <c r="CE24" s="1161">
        <f ca="1">-OFFSET(OperBgt!CF77,0,$D$4)</f>
        <v>-22565.230257509091</v>
      </c>
      <c r="CF24" s="1161">
        <f ca="1">-OFFSET(OperBgt!CG77,0,$D$4)</f>
        <v>-22645.056710461169</v>
      </c>
      <c r="CG24" s="1161">
        <f ca="1">-OFFSET(OperBgt!CH77,0,$D$4)</f>
        <v>-22725.20102882605</v>
      </c>
      <c r="CH24" s="1161">
        <f ca="1">-OFFSET(OperBgt!CI77,0,$D$4)</f>
        <v>-22805.664498359278</v>
      </c>
      <c r="CI24" s="1161">
        <f ca="1">-OFFSET(OperBgt!CJ77,0,$D$4)</f>
        <v>-22886.44841006869</v>
      </c>
      <c r="CJ24" s="1161">
        <f ca="1">-OFFSET(OperBgt!CK77,0,$D$4)</f>
        <v>-22967.55406023598</v>
      </c>
      <c r="CK24" s="1161">
        <f ca="1">-OFFSET(OperBgt!CL77,0,$D$4)</f>
        <v>-23048.982750438401</v>
      </c>
      <c r="CL24" s="1161">
        <f ca="1">-OFFSET(OperBgt!CM77,0,$D$4)</f>
        <v>-23106.143851430785</v>
      </c>
      <c r="CM24" s="1161">
        <f ca="1">-OFFSET(OperBgt!CN77,0,$D$4)</f>
        <v>-23212.780485514435</v>
      </c>
      <c r="CN24" s="1161">
        <f ca="1">-OFFSET(OperBgt!CO77,0,$D$4)</f>
        <v>-23306.589940826194</v>
      </c>
      <c r="CO24" s="1161">
        <f ca="1">-OFFSET(OperBgt!CP77,0,$D$4)</f>
        <v>-23364.219318822095</v>
      </c>
      <c r="CP24" s="1161">
        <f ca="1">-OFFSET(OperBgt!CQ77,0,$D$4)</f>
        <v>-23422.005641333628</v>
      </c>
      <c r="CQ24" s="1161">
        <f ca="1">-OFFSET(OperBgt!CR77,0,$D$4)</f>
        <v>-23479.949336391572</v>
      </c>
      <c r="CR24" s="1161">
        <f ca="1">-OFFSET(OperBgt!CS77,0,$D$4)</f>
        <v>-23563.053580137788</v>
      </c>
      <c r="CS24" s="1161">
        <f ca="1">-OFFSET(OperBgt!CT77,0,$D$4)</f>
        <v>-23646.488887490108</v>
      </c>
      <c r="CT24" s="1161">
        <f ca="1">-OFFSET(OperBgt!CU77,0,$D$4)</f>
        <v>-23730.256597965836</v>
      </c>
      <c r="CU24" s="1161">
        <f ca="1">-OFFSET(OperBgt!CV77,0,$D$4)</f>
        <v>-23814.358056555142</v>
      </c>
      <c r="CV24" s="1161">
        <f ca="1">-OFFSET(OperBgt!CW77,0,$D$4)</f>
        <v>-23898.794613743532</v>
      </c>
      <c r="CW24" s="1161">
        <f ca="1">-OFFSET(OperBgt!CX77,0,$D$4)</f>
        <v>-23983.567625534462</v>
      </c>
      <c r="CX24" s="1161">
        <f ca="1">-OFFSET(OperBgt!CY77,0,$D$4)</f>
        <v>-24043.047026017579</v>
      </c>
      <c r="CY24" s="1161">
        <f ca="1">-OFFSET(OperBgt!CZ77,0,$D$4)</f>
        <v>-24154.093029215186</v>
      </c>
      <c r="CZ24" s="1161">
        <f ca="1">-OFFSET(OperBgt!DA77,0,$D$4)</f>
        <v>-24251.769411932022</v>
      </c>
      <c r="DA24" s="1161">
        <f ca="1">-OFFSET(OperBgt!DB77,0,$D$4)</f>
        <v>-24311.736157336716</v>
      </c>
      <c r="DB24" s="1161">
        <f ca="1">-OFFSET(OperBgt!DC77,0,$D$4)</f>
        <v>-24371.8662380565</v>
      </c>
      <c r="DC24" s="1161">
        <f ca="1">-OFFSET(OperBgt!DD77,0,$D$4)</f>
        <v>-24432.160099615077</v>
      </c>
      <c r="DD24" s="1161">
        <f ca="1">-OFFSET(OperBgt!DE77,0,$D$4)</f>
        <v>-24518.677791818332</v>
      </c>
      <c r="DE24" s="1161">
        <f ca="1">-OFFSET(OperBgt!DF77,0,$D$4)</f>
        <v>-24605.540296567815</v>
      </c>
      <c r="DF24" s="1161">
        <f ca="1">-OFFSET(OperBgt!DG77,0,$D$4)</f>
        <v>-24692.749009397507</v>
      </c>
      <c r="DG24" s="1161">
        <f ca="1">-OFFSET(OperBgt!DH77,0,$D$4)</f>
        <v>-24780.305331544059</v>
      </c>
      <c r="DH24" s="1161">
        <f ca="1">-OFFSET(OperBgt!DI77,0,$D$4)</f>
        <v>-24868.210669970293</v>
      </c>
      <c r="DI24" s="1161">
        <f ca="1">-OFFSET(OperBgt!DJ77,0,$D$4)</f>
        <v>-24956.466437388703</v>
      </c>
      <c r="DJ24" s="1161">
        <f ca="1">-OFFSET(OperBgt!DK77,0,$D$4)</f>
        <v>-25018.359194633445</v>
      </c>
      <c r="DK24" s="1161">
        <f ca="1">-OFFSET(OperBgt!DL77,0,$D$4)</f>
        <v>-25133.998005651632</v>
      </c>
      <c r="DL24" s="1161">
        <f ca="1">-OFFSET(OperBgt!DM77,0,$D$4)</f>
        <v>-25235.701818426223</v>
      </c>
      <c r="DM24" s="1161">
        <f ca="1">-OFFSET(OperBgt!DN77,0,$D$4)</f>
        <v>-25298.101772724993</v>
      </c>
      <c r="DN24" s="1161">
        <f ca="1">-OFFSET(OperBgt!DO77,0,$D$4)</f>
        <v>-25360.671715979355</v>
      </c>
      <c r="DO24" s="1161">
        <f ca="1">-OFFSET(OperBgt!DP77,0,$D$4)</f>
        <v>-25423.412111927395</v>
      </c>
      <c r="DP24" s="1161">
        <f ca="1">-OFFSET(OperBgt!DQ77,0,$D$4)</f>
        <v>-25513.484557648459</v>
      </c>
      <c r="DQ24" s="1161">
        <f ca="1">-OFFSET(OperBgt!DR77,0,$D$4)</f>
        <v>-25603.916138668505</v>
      </c>
      <c r="DR24" s="1161">
        <f ca="1">-OFFSET(OperBgt!DS77,0,$D$4)</f>
        <v>-25694.708308887832</v>
      </c>
      <c r="DS24" s="1161">
        <f ca="1">-OFFSET(OperBgt!DT77,0,$D$4)</f>
        <v>-25785.862528148966</v>
      </c>
      <c r="DT24" s="1161">
        <f ca="1">-OFFSET(OperBgt!DU77,0,$D$4)</f>
        <v>-25877.380262261067</v>
      </c>
      <c r="DU24" s="1161">
        <f ca="1">-OFFSET(OperBgt!DV77,0,$D$4)</f>
        <v>-25969.262983024484</v>
      </c>
      <c r="DV24" s="1161">
        <f ca="1">-OFFSET(OperBgt!DW77,0,$D$4)</f>
        <v>-26033.668084244968</v>
      </c>
      <c r="DW24" s="1161">
        <f ca="1">-OFFSET(OperBgt!DX77,0,$D$4)</f>
        <v>-26154.090807364253</v>
      </c>
      <c r="DX24" s="1161">
        <f ca="1">-OFFSET(OperBgt!DY77,0,$D$4)</f>
        <v>-26259.989248707578</v>
      </c>
      <c r="DY24" s="1161">
        <f ca="1">-OFFSET(OperBgt!DZ77,0,$D$4)</f>
        <v>-26324.922215823939</v>
      </c>
      <c r="DZ24" s="1161">
        <f ca="1">-OFFSET(OperBgt!EA77,0,$D$4)</f>
        <v>-26390.032099268796</v>
      </c>
      <c r="EA24" s="1161">
        <f ca="1">-OFFSET(OperBgt!EB77,0,$D$4)</f>
        <v>-26455.319381745976</v>
      </c>
      <c r="EB24" s="1161">
        <f ca="1">-OFFSET(OperBgt!EC77,0,$D$4)</f>
        <v>-26549.093769552823</v>
      </c>
      <c r="EC24" s="1161">
        <f ca="1">-OFFSET(OperBgt!ED77,0,$D$4)</f>
        <v>-26643.242213258367</v>
      </c>
      <c r="ED24" s="1161">
        <f ca="1">-OFFSET(OperBgt!EE77,0,$D$4)</f>
        <v>-26737.766227577704</v>
      </c>
      <c r="EE24" s="1161">
        <f ca="1">-OFFSET(OperBgt!EF77,0,$D$4)</f>
        <v>-26832.667333417721</v>
      </c>
      <c r="EF24" s="1161">
        <f ca="1">-OFFSET(OperBgt!EG77,0,$D$4)</f>
        <v>-26927.947057902576</v>
      </c>
      <c r="EG24" s="1161">
        <f ca="1">-OFFSET(OperBgt!EH77,0,$D$4)</f>
        <v>-27023.606934399297</v>
      </c>
      <c r="EH24" s="778"/>
    </row>
    <row r="25" spans="2:138" ht="12.75" customHeight="1" x14ac:dyDescent="0.3">
      <c r="B25" s="1155" t="s">
        <v>98</v>
      </c>
      <c r="C25" s="1159" t="str">
        <f t="shared" si="6"/>
        <v xml:space="preserve"> Capital expenditure</v>
      </c>
      <c r="E25" s="1160"/>
      <c r="F25" s="1161">
        <f ca="1">-OFFSET(OperBgt!G78,0,$D$4)</f>
        <v>0</v>
      </c>
      <c r="G25" s="1161">
        <f ca="1">-OFFSET(OperBgt!H78,0,$D$4)</f>
        <v>0</v>
      </c>
      <c r="H25" s="1161">
        <f ca="1">-OFFSET(OperBgt!I78,0,$D$4)</f>
        <v>0</v>
      </c>
      <c r="I25" s="1161">
        <f ca="1">-OFFSET(OperBgt!J78,0,$D$4)</f>
        <v>0</v>
      </c>
      <c r="J25" s="1161">
        <f ca="1">-OFFSET(OperBgt!K78,0,$D$4)</f>
        <v>0</v>
      </c>
      <c r="K25" s="1161">
        <f ca="1">-OFFSET(OperBgt!L78,0,$D$4)</f>
        <v>0</v>
      </c>
      <c r="L25" s="1161">
        <f ca="1">-OFFSET(OperBgt!M78,0,$D$4)</f>
        <v>0</v>
      </c>
      <c r="M25" s="1161">
        <f ca="1">-OFFSET(OperBgt!N78,0,$D$4)</f>
        <v>0</v>
      </c>
      <c r="N25" s="1161">
        <f ca="1">-OFFSET(OperBgt!O78,0,$D$4)</f>
        <v>0</v>
      </c>
      <c r="O25" s="1161">
        <f ca="1">-OFFSET(OperBgt!P78,0,$D$4)</f>
        <v>0</v>
      </c>
      <c r="P25" s="1161">
        <f ca="1">-OFFSET(OperBgt!Q78,0,$D$4)</f>
        <v>0</v>
      </c>
      <c r="Q25" s="1161">
        <f ca="1">-OFFSET(OperBgt!R78,0,$D$4)</f>
        <v>0</v>
      </c>
      <c r="R25" s="1161">
        <f ca="1">-OFFSET(OperBgt!S78,0,$D$4)</f>
        <v>0</v>
      </c>
      <c r="S25" s="1161">
        <f ca="1">-OFFSET(OperBgt!T78,0,$D$4)</f>
        <v>0</v>
      </c>
      <c r="T25" s="1161">
        <f ca="1">-OFFSET(OperBgt!U78,0,$D$4)</f>
        <v>0</v>
      </c>
      <c r="U25" s="1161">
        <f ca="1">-OFFSET(OperBgt!V78,0,$D$4)</f>
        <v>0</v>
      </c>
      <c r="V25" s="1161">
        <f ca="1">-OFFSET(OperBgt!W78,0,$D$4)</f>
        <v>0</v>
      </c>
      <c r="W25" s="1161">
        <f ca="1">-OFFSET(OperBgt!X78,0,$D$4)</f>
        <v>0</v>
      </c>
      <c r="X25" s="1161">
        <f ca="1">-OFFSET(OperBgt!Y78,0,$D$4)</f>
        <v>0</v>
      </c>
      <c r="Y25" s="1161">
        <f ca="1">-OFFSET(OperBgt!Z78,0,$D$4)</f>
        <v>0</v>
      </c>
      <c r="Z25" s="1161">
        <f ca="1">-OFFSET(OperBgt!AA78,0,$D$4)</f>
        <v>0</v>
      </c>
      <c r="AA25" s="1161">
        <f ca="1">-OFFSET(OperBgt!AB78,0,$D$4)</f>
        <v>0</v>
      </c>
      <c r="AB25" s="1161">
        <f ca="1">-OFFSET(OperBgt!AC78,0,$D$4)</f>
        <v>0</v>
      </c>
      <c r="AC25" s="1161">
        <f ca="1">-OFFSET(OperBgt!AD78,0,$D$4)</f>
        <v>0</v>
      </c>
      <c r="AD25" s="1161">
        <f ca="1">-OFFSET(OperBgt!AE78,0,$D$4)</f>
        <v>0</v>
      </c>
      <c r="AE25" s="1161">
        <f ca="1">-OFFSET(OperBgt!AF78,0,$D$4)</f>
        <v>-4605.2323358204339</v>
      </c>
      <c r="AF25" s="1161">
        <f ca="1">-OFFSET(OperBgt!AG78,0,$D$4)</f>
        <v>-4605.2323358204339</v>
      </c>
      <c r="AG25" s="1161">
        <f ca="1">-OFFSET(OperBgt!AH78,0,$D$4)</f>
        <v>-4743.3893058950525</v>
      </c>
      <c r="AH25" s="1161">
        <f ca="1">-OFFSET(OperBgt!AI78,0,$D$4)</f>
        <v>-4743.3893058950525</v>
      </c>
      <c r="AI25" s="1161">
        <f ca="1">-OFFSET(OperBgt!AJ78,0,$D$4)</f>
        <v>-4743.3893058950525</v>
      </c>
      <c r="AJ25" s="1161">
        <f ca="1">-OFFSET(OperBgt!AK78,0,$D$4)</f>
        <v>-4743.3893058950525</v>
      </c>
      <c r="AK25" s="1161">
        <f ca="1">-OFFSET(OperBgt!AL78,0,$D$4)</f>
        <v>-4743.3893058950525</v>
      </c>
      <c r="AL25" s="1161">
        <f ca="1">-OFFSET(OperBgt!AM78,0,$D$4)</f>
        <v>-4743.3893058950525</v>
      </c>
      <c r="AM25" s="1161">
        <f ca="1">-OFFSET(OperBgt!AN78,0,$D$4)</f>
        <v>-4743.3893058950525</v>
      </c>
      <c r="AN25" s="1161">
        <f ca="1">-OFFSET(OperBgt!AO78,0,$D$4)</f>
        <v>-4743.3893058950525</v>
      </c>
      <c r="AO25" s="1161">
        <f ca="1">-OFFSET(OperBgt!AP78,0,$D$4)</f>
        <v>-4743.3893058950525</v>
      </c>
      <c r="AP25" s="1161">
        <f ca="1">-OFFSET(OperBgt!AQ78,0,$D$4)</f>
        <v>-4743.3893058950525</v>
      </c>
      <c r="AQ25" s="1161">
        <f ca="1">-OFFSET(OperBgt!AR78,0,$D$4)</f>
        <v>-4743.3893058950525</v>
      </c>
      <c r="AR25" s="1161">
        <f ca="1">-OFFSET(OperBgt!AS78,0,$D$4)</f>
        <v>-4743.3893058950525</v>
      </c>
      <c r="AS25" s="1161">
        <f ca="1">-OFFSET(OperBgt!AT78,0,$D$4)</f>
        <v>-4885.6909850719094</v>
      </c>
      <c r="AT25" s="1161">
        <f ca="1">-OFFSET(OperBgt!AU78,0,$D$4)</f>
        <v>-4885.6909850719094</v>
      </c>
      <c r="AU25" s="1161">
        <f ca="1">-OFFSET(OperBgt!AV78,0,$D$4)</f>
        <v>-4885.6909850719094</v>
      </c>
      <c r="AV25" s="1161">
        <f ca="1">-OFFSET(OperBgt!AW78,0,$D$4)</f>
        <v>-4885.6909850719094</v>
      </c>
      <c r="AW25" s="1161">
        <f ca="1">-OFFSET(OperBgt!AX78,0,$D$4)</f>
        <v>-4885.6909850719094</v>
      </c>
      <c r="AX25" s="1161">
        <f ca="1">-OFFSET(OperBgt!AY78,0,$D$4)</f>
        <v>-4885.6909850719094</v>
      </c>
      <c r="AY25" s="1161">
        <f ca="1">-OFFSET(OperBgt!AZ78,0,$D$4)</f>
        <v>-4885.6909850719094</v>
      </c>
      <c r="AZ25" s="1161">
        <f ca="1">-OFFSET(OperBgt!BA78,0,$D$4)</f>
        <v>-4885.6909850719094</v>
      </c>
      <c r="BA25" s="1161">
        <f ca="1">-OFFSET(OperBgt!BB78,0,$D$4)</f>
        <v>-4885.6909850719094</v>
      </c>
      <c r="BB25" s="1161">
        <f ca="1">-OFFSET(OperBgt!BC78,0,$D$4)</f>
        <v>-4885.6909850719094</v>
      </c>
      <c r="BC25" s="1161">
        <f ca="1">-OFFSET(OperBgt!BD78,0,$D$4)</f>
        <v>-4885.6909850719094</v>
      </c>
      <c r="BD25" s="1161">
        <f ca="1">-OFFSET(OperBgt!BE78,0,$D$4)</f>
        <v>-4885.6909850719094</v>
      </c>
      <c r="BE25" s="1161">
        <f ca="1">-OFFSET(OperBgt!BF78,0,$D$4)</f>
        <v>-5032.2617146240718</v>
      </c>
      <c r="BF25" s="1161">
        <f ca="1">-OFFSET(OperBgt!BG78,0,$D$4)</f>
        <v>-5032.2617146240718</v>
      </c>
      <c r="BG25" s="1161">
        <f ca="1">-OFFSET(OperBgt!BH78,0,$D$4)</f>
        <v>-5032.2617146240718</v>
      </c>
      <c r="BH25" s="1161">
        <f ca="1">-OFFSET(OperBgt!BI78,0,$D$4)</f>
        <v>-5032.2617146240718</v>
      </c>
      <c r="BI25" s="1161">
        <f ca="1">-OFFSET(OperBgt!BJ78,0,$D$4)</f>
        <v>-5032.2617146240718</v>
      </c>
      <c r="BJ25" s="1161">
        <f ca="1">-OFFSET(OperBgt!BK78,0,$D$4)</f>
        <v>-5032.2617146240718</v>
      </c>
      <c r="BK25" s="1161">
        <f ca="1">-OFFSET(OperBgt!BL78,0,$D$4)</f>
        <v>-5032.2617146240718</v>
      </c>
      <c r="BL25" s="1161">
        <f ca="1">-OFFSET(OperBgt!BM78,0,$D$4)</f>
        <v>-5032.2617146240718</v>
      </c>
      <c r="BM25" s="1161">
        <f ca="1">-OFFSET(OperBgt!BN78,0,$D$4)</f>
        <v>-5032.2617146240718</v>
      </c>
      <c r="BN25" s="1161">
        <f ca="1">-OFFSET(OperBgt!BO78,0,$D$4)</f>
        <v>-5032.2617146240718</v>
      </c>
      <c r="BO25" s="1161">
        <f ca="1">-OFFSET(OperBgt!BP78,0,$D$4)</f>
        <v>-5032.2617146240718</v>
      </c>
      <c r="BP25" s="1161">
        <f ca="1">-OFFSET(OperBgt!BQ78,0,$D$4)</f>
        <v>-5032.2617146240718</v>
      </c>
      <c r="BQ25" s="1161">
        <f ca="1">-OFFSET(OperBgt!BR78,0,$D$4)</f>
        <v>-5183.2295660627988</v>
      </c>
      <c r="BR25" s="1161">
        <f ca="1">-OFFSET(OperBgt!BS78,0,$D$4)</f>
        <v>-5183.2295660627988</v>
      </c>
      <c r="BS25" s="1161">
        <f ca="1">-OFFSET(OperBgt!BT78,0,$D$4)</f>
        <v>-5183.2295660627988</v>
      </c>
      <c r="BT25" s="1161">
        <f ca="1">-OFFSET(OperBgt!BU78,0,$D$4)</f>
        <v>-5183.2295660627988</v>
      </c>
      <c r="BU25" s="1161">
        <f ca="1">-OFFSET(OperBgt!BV78,0,$D$4)</f>
        <v>-5183.2295660627988</v>
      </c>
      <c r="BV25" s="1161">
        <f ca="1">-OFFSET(OperBgt!BW78,0,$D$4)</f>
        <v>-5183.2295660627988</v>
      </c>
      <c r="BW25" s="1161">
        <f ca="1">-OFFSET(OperBgt!BX78,0,$D$4)</f>
        <v>-5183.2295660627988</v>
      </c>
      <c r="BX25" s="1161">
        <f ca="1">-OFFSET(OperBgt!BY78,0,$D$4)</f>
        <v>-5183.2295660627988</v>
      </c>
      <c r="BY25" s="1161">
        <f ca="1">-OFFSET(OperBgt!BZ78,0,$D$4)</f>
        <v>-5183.2295660627988</v>
      </c>
      <c r="BZ25" s="1161">
        <f ca="1">-OFFSET(OperBgt!CA78,0,$D$4)</f>
        <v>-5183.2295660627988</v>
      </c>
      <c r="CA25" s="1161">
        <f ca="1">-OFFSET(OperBgt!CB78,0,$D$4)</f>
        <v>-5183.2295660627988</v>
      </c>
      <c r="CB25" s="1161">
        <f ca="1">-OFFSET(OperBgt!CC78,0,$D$4)</f>
        <v>-5183.2295660627988</v>
      </c>
      <c r="CC25" s="1161">
        <f ca="1">-OFFSET(OperBgt!CD78,0,$D$4)</f>
        <v>-5338.7264530446892</v>
      </c>
      <c r="CD25" s="1161">
        <f ca="1">-OFFSET(OperBgt!CE78,0,$D$4)</f>
        <v>-5338.7264530446892</v>
      </c>
      <c r="CE25" s="1161">
        <f ca="1">-OFFSET(OperBgt!CF78,0,$D$4)</f>
        <v>-5338.7264530446892</v>
      </c>
      <c r="CF25" s="1161">
        <f ca="1">-OFFSET(OperBgt!CG78,0,$D$4)</f>
        <v>-5338.7264530446892</v>
      </c>
      <c r="CG25" s="1161">
        <f ca="1">-OFFSET(OperBgt!CH78,0,$D$4)</f>
        <v>-5338.7264530446892</v>
      </c>
      <c r="CH25" s="1161">
        <f ca="1">-OFFSET(OperBgt!CI78,0,$D$4)</f>
        <v>-5338.7264530446892</v>
      </c>
      <c r="CI25" s="1161">
        <f ca="1">-OFFSET(OperBgt!CJ78,0,$D$4)</f>
        <v>-5338.7264530446892</v>
      </c>
      <c r="CJ25" s="1161">
        <f ca="1">-OFFSET(OperBgt!CK78,0,$D$4)</f>
        <v>-5338.7264530446892</v>
      </c>
      <c r="CK25" s="1161">
        <f ca="1">-OFFSET(OperBgt!CL78,0,$D$4)</f>
        <v>-5338.7264530446892</v>
      </c>
      <c r="CL25" s="1161">
        <f ca="1">-OFFSET(OperBgt!CM78,0,$D$4)</f>
        <v>-5338.7264530446892</v>
      </c>
      <c r="CM25" s="1161">
        <f ca="1">-OFFSET(OperBgt!CN78,0,$D$4)</f>
        <v>-5338.7264530446892</v>
      </c>
      <c r="CN25" s="1161">
        <f ca="1">-OFFSET(OperBgt!CO78,0,$D$4)</f>
        <v>-5338.7264530446892</v>
      </c>
      <c r="CO25" s="1161">
        <f ca="1">-OFFSET(OperBgt!CP78,0,$D$4)</f>
        <v>-5498.8882466360337</v>
      </c>
      <c r="CP25" s="1161">
        <f ca="1">-OFFSET(OperBgt!CQ78,0,$D$4)</f>
        <v>-5498.8882466360337</v>
      </c>
      <c r="CQ25" s="1161">
        <f ca="1">-OFFSET(OperBgt!CR78,0,$D$4)</f>
        <v>-5498.8882466360337</v>
      </c>
      <c r="CR25" s="1161">
        <f ca="1">-OFFSET(OperBgt!CS78,0,$D$4)</f>
        <v>-5498.8882466360337</v>
      </c>
      <c r="CS25" s="1161">
        <f ca="1">-OFFSET(OperBgt!CT78,0,$D$4)</f>
        <v>-5498.8882466360337</v>
      </c>
      <c r="CT25" s="1161">
        <f ca="1">-OFFSET(OperBgt!CU78,0,$D$4)</f>
        <v>-5498.8882466360337</v>
      </c>
      <c r="CU25" s="1161">
        <f ca="1">-OFFSET(OperBgt!CV78,0,$D$4)</f>
        <v>-5498.8882466360337</v>
      </c>
      <c r="CV25" s="1161">
        <f ca="1">-OFFSET(OperBgt!CW78,0,$D$4)</f>
        <v>-5498.8882466360337</v>
      </c>
      <c r="CW25" s="1161">
        <f ca="1">-OFFSET(OperBgt!CX78,0,$D$4)</f>
        <v>-5498.8882466360337</v>
      </c>
      <c r="CX25" s="1161">
        <f ca="1">-OFFSET(OperBgt!CY78,0,$D$4)</f>
        <v>-5498.8882466360337</v>
      </c>
      <c r="CY25" s="1161">
        <f ca="1">-OFFSET(OperBgt!CZ78,0,$D$4)</f>
        <v>-5498.8882466360337</v>
      </c>
      <c r="CZ25" s="1161">
        <f ca="1">-OFFSET(OperBgt!DA78,0,$D$4)</f>
        <v>-5498.8882466360337</v>
      </c>
      <c r="DA25" s="1161">
        <f ca="1">-OFFSET(OperBgt!DB78,0,$D$4)</f>
        <v>-5663.8548940351211</v>
      </c>
      <c r="DB25" s="1161">
        <f ca="1">-OFFSET(OperBgt!DC78,0,$D$4)</f>
        <v>-5663.8548940351211</v>
      </c>
      <c r="DC25" s="1161">
        <f ca="1">-OFFSET(OperBgt!DD78,0,$D$4)</f>
        <v>-5663.8548940351211</v>
      </c>
      <c r="DD25" s="1161">
        <f ca="1">-OFFSET(OperBgt!DE78,0,$D$4)</f>
        <v>-5663.8548940351211</v>
      </c>
      <c r="DE25" s="1161">
        <f ca="1">-OFFSET(OperBgt!DF78,0,$D$4)</f>
        <v>-5663.8548940351211</v>
      </c>
      <c r="DF25" s="1161">
        <f ca="1">-OFFSET(OperBgt!DG78,0,$D$4)</f>
        <v>-5663.8548940351211</v>
      </c>
      <c r="DG25" s="1161">
        <f ca="1">-OFFSET(OperBgt!DH78,0,$D$4)</f>
        <v>-5663.8548940351211</v>
      </c>
      <c r="DH25" s="1161">
        <f ca="1">-OFFSET(OperBgt!DI78,0,$D$4)</f>
        <v>-5663.8548940351211</v>
      </c>
      <c r="DI25" s="1161">
        <f ca="1">-OFFSET(OperBgt!DJ78,0,$D$4)</f>
        <v>-5663.8548940351211</v>
      </c>
      <c r="DJ25" s="1161">
        <f ca="1">-OFFSET(OperBgt!DK78,0,$D$4)</f>
        <v>-5663.8548940351211</v>
      </c>
      <c r="DK25" s="1161">
        <f ca="1">-OFFSET(OperBgt!DL78,0,$D$4)</f>
        <v>-5663.8548940351211</v>
      </c>
      <c r="DL25" s="1161">
        <f ca="1">-OFFSET(OperBgt!DM78,0,$D$4)</f>
        <v>-5663.8548940351211</v>
      </c>
      <c r="DM25" s="1161">
        <f ca="1">-OFFSET(OperBgt!DN78,0,$D$4)</f>
        <v>-5833.7705408561815</v>
      </c>
      <c r="DN25" s="1161">
        <f ca="1">-OFFSET(OperBgt!DO78,0,$D$4)</f>
        <v>-5833.7705408561815</v>
      </c>
      <c r="DO25" s="1161">
        <f ca="1">-OFFSET(OperBgt!DP78,0,$D$4)</f>
        <v>-5833.7705408561815</v>
      </c>
      <c r="DP25" s="1161">
        <f ca="1">-OFFSET(OperBgt!DQ78,0,$D$4)</f>
        <v>-5833.7705408561815</v>
      </c>
      <c r="DQ25" s="1161">
        <f ca="1">-OFFSET(OperBgt!DR78,0,$D$4)</f>
        <v>-5833.7705408561815</v>
      </c>
      <c r="DR25" s="1161">
        <f ca="1">-OFFSET(OperBgt!DS78,0,$D$4)</f>
        <v>-5833.7705408561815</v>
      </c>
      <c r="DS25" s="1161">
        <f ca="1">-OFFSET(OperBgt!DT78,0,$D$4)</f>
        <v>-5833.7705408561815</v>
      </c>
      <c r="DT25" s="1161">
        <f ca="1">-OFFSET(OperBgt!DU78,0,$D$4)</f>
        <v>-5833.7705408561815</v>
      </c>
      <c r="DU25" s="1161">
        <f ca="1">-OFFSET(OperBgt!DV78,0,$D$4)</f>
        <v>-5833.7705408561815</v>
      </c>
      <c r="DV25" s="1161">
        <f ca="1">-OFFSET(OperBgt!DW78,0,$D$4)</f>
        <v>-5833.7705408561815</v>
      </c>
      <c r="DW25" s="1161">
        <f ca="1">-OFFSET(OperBgt!DX78,0,$D$4)</f>
        <v>-5833.7705408561815</v>
      </c>
      <c r="DX25" s="1161">
        <f ca="1">-OFFSET(OperBgt!DY78,0,$D$4)</f>
        <v>-5833.7705408561815</v>
      </c>
      <c r="DY25" s="1161">
        <f ca="1">-OFFSET(OperBgt!DZ78,0,$D$4)</f>
        <v>-6008.7836570818736</v>
      </c>
      <c r="DZ25" s="1161">
        <f ca="1">-OFFSET(OperBgt!EA78,0,$D$4)</f>
        <v>-6008.7836570818736</v>
      </c>
      <c r="EA25" s="1161">
        <f ca="1">-OFFSET(OperBgt!EB78,0,$D$4)</f>
        <v>-6008.7836570818736</v>
      </c>
      <c r="EB25" s="1161">
        <f ca="1">-OFFSET(OperBgt!EC78,0,$D$4)</f>
        <v>-6008.7836570818736</v>
      </c>
      <c r="EC25" s="1161">
        <f ca="1">-OFFSET(OperBgt!ED78,0,$D$4)</f>
        <v>-6008.7836570818736</v>
      </c>
      <c r="ED25" s="1161">
        <f ca="1">-OFFSET(OperBgt!EE78,0,$D$4)</f>
        <v>-6008.7836570818736</v>
      </c>
      <c r="EE25" s="1161">
        <f ca="1">-OFFSET(OperBgt!EF78,0,$D$4)</f>
        <v>-6008.7836570818736</v>
      </c>
      <c r="EF25" s="1161">
        <f ca="1">-OFFSET(OperBgt!EG78,0,$D$4)</f>
        <v>-6008.7836570818736</v>
      </c>
      <c r="EG25" s="1161">
        <f ca="1">-OFFSET(OperBgt!EH78,0,$D$4)</f>
        <v>-6008.7836570818736</v>
      </c>
      <c r="EH25" s="778"/>
    </row>
    <row r="26" spans="2:138" ht="12.75" customHeight="1" x14ac:dyDescent="0.3">
      <c r="B26" s="1155" t="s">
        <v>305</v>
      </c>
      <c r="C26" s="1159" t="str">
        <f t="shared" si="6"/>
        <v xml:space="preserve"> Rent - market rate</v>
      </c>
      <c r="E26" s="1160"/>
      <c r="F26" s="1161">
        <f ca="1">OFFSET(OperBgt!G46,0,$D$4)</f>
        <v>2118.7925479923438</v>
      </c>
      <c r="G26" s="1161">
        <f ca="1">OFFSET(OperBgt!H46,0,$D$4)</f>
        <v>2121.8436092614529</v>
      </c>
      <c r="H26" s="1161">
        <f ca="1">OFFSET(OperBgt!I46,0,$D$4)</f>
        <v>2124.8990640587895</v>
      </c>
      <c r="I26" s="1161">
        <f ca="1">OFFSET(OperBgt!J46,0,$D$4)</f>
        <v>2128.3484835394447</v>
      </c>
      <c r="J26" s="1161">
        <f ca="1">OFFSET(OperBgt!K46,0,$D$4)</f>
        <v>2131.8035025777235</v>
      </c>
      <c r="K26" s="1161">
        <f ca="1">OFFSET(OperBgt!L46,0,$D$4)</f>
        <v>2135.2641302635748</v>
      </c>
      <c r="L26" s="1161">
        <f ca="1">OFFSET(OperBgt!M46,0,$D$4)</f>
        <v>2140.4634984207664</v>
      </c>
      <c r="M26" s="1161">
        <f ca="1">OFFSET(OperBgt!N46,0,$D$4)</f>
        <v>2145.675527039421</v>
      </c>
      <c r="N26" s="1161">
        <f ca="1">OFFSET(OperBgt!O46,0,$D$4)</f>
        <v>2150.9002469477618</v>
      </c>
      <c r="O26" s="1161">
        <f ca="1">OFFSET(OperBgt!P46,0,$D$4)</f>
        <v>2156.1376890490797</v>
      </c>
      <c r="P26" s="1161">
        <f ca="1">OFFSET(OperBgt!Q46,0,$D$4)</f>
        <v>2161.387884321914</v>
      </c>
      <c r="Q26" s="1161">
        <f ca="1">OFFSET(OperBgt!R46,0,$D$4)</f>
        <v>2166.6508638202376</v>
      </c>
      <c r="R26" s="1161">
        <f ca="1">OFFSET(OperBgt!S46,0,$D$4)</f>
        <v>2170.1680603891723</v>
      </c>
      <c r="S26" s="1161">
        <f ca="1">OFFSET(OperBgt!T46,0,$D$4)</f>
        <v>2173.6909665405374</v>
      </c>
      <c r="T26" s="1161">
        <f ca="1">OFFSET(OperBgt!U46,0,$D$4)</f>
        <v>2177.2195915428883</v>
      </c>
      <c r="U26" s="1161">
        <f ca="1">OFFSET(OperBgt!V46,0,$D$4)</f>
        <v>2185.2898188288741</v>
      </c>
      <c r="V26" s="1161">
        <f ca="1">OFFSET(OperBgt!W46,0,$D$4)</f>
        <v>2193.3899597573331</v>
      </c>
      <c r="W26" s="1161">
        <f ca="1">OFFSET(OperBgt!X46,0,$D$4)</f>
        <v>2201.520125208167</v>
      </c>
      <c r="X26" s="1161">
        <f ca="1">OFFSET(OperBgt!Y46,0,$D$4)</f>
        <v>2213.7605771043245</v>
      </c>
      <c r="Y26" s="1161">
        <f ca="1">OFFSET(OperBgt!Z46,0,$D$4)</f>
        <v>2226.0690859130245</v>
      </c>
      <c r="Z26" s="1161">
        <f ca="1">OFFSET(OperBgt!AA46,0,$D$4)</f>
        <v>2238.446030030701</v>
      </c>
      <c r="AA26" s="1161">
        <f ca="1">OFFSET(OperBgt!AB46,0,$D$4)</f>
        <v>2250.8917899576718</v>
      </c>
      <c r="AB26" s="1161">
        <f ca="1">OFFSET(OperBgt!AC46,0,$D$4)</f>
        <v>2263.4067483098365</v>
      </c>
      <c r="AC26" s="1161">
        <f ca="1">OFFSET(OperBgt!AD46,0,$D$4)</f>
        <v>2275.9912898304392</v>
      </c>
      <c r="AD26" s="1161">
        <f ca="1">OFFSET(OperBgt!AE46,0,$D$4)</f>
        <v>2284.4276308780777</v>
      </c>
      <c r="AE26" s="1161">
        <f ca="1">OFFSET(OperBgt!AF46,0,$D$4)</f>
        <v>2292.8952426298661</v>
      </c>
      <c r="AF26" s="1161">
        <f ca="1">OFFSET(OperBgt!AG46,0,$D$4)</f>
        <v>2301.3942409958809</v>
      </c>
      <c r="AG26" s="1161">
        <f ca="1">OFFSET(OperBgt!AH46,0,$D$4)</f>
        <v>2309.1269256456271</v>
      </c>
      <c r="AH26" s="1161">
        <f ca="1">OFFSET(OperBgt!AI46,0,$D$4)</f>
        <v>2316.8855921157965</v>
      </c>
      <c r="AI26" s="1161">
        <f ca="1">OFFSET(OperBgt!AJ46,0,$D$4)</f>
        <v>2324.6703277053057</v>
      </c>
      <c r="AJ26" s="1161">
        <f ca="1">OFFSET(OperBgt!AK46,0,$D$4)</f>
        <v>2336.3866661569405</v>
      </c>
      <c r="AK26" s="1161">
        <f ca="1">OFFSET(OperBgt!AL46,0,$D$4)</f>
        <v>2348.1620549543713</v>
      </c>
      <c r="AL26" s="1161">
        <f ca="1">OFFSET(OperBgt!AM46,0,$D$4)</f>
        <v>2359.9967917113413</v>
      </c>
      <c r="AM26" s="1161">
        <f ca="1">OFFSET(OperBgt!AN46,0,$D$4)</f>
        <v>2371.8911755415661</v>
      </c>
      <c r="AN26" s="1161">
        <f ca="1">OFFSET(OperBgt!AO46,0,$D$4)</f>
        <v>2383.8455070662953</v>
      </c>
      <c r="AO26" s="1161">
        <f ca="1">OFFSET(OperBgt!AP46,0,$D$4)</f>
        <v>2395.8600884219095</v>
      </c>
      <c r="AP26" s="1161">
        <f ca="1">OFFSET(OperBgt!AQ46,0,$D$4)</f>
        <v>2403.9101783190072</v>
      </c>
      <c r="AQ26" s="1161">
        <f ca="1">OFFSET(OperBgt!AR46,0,$D$4)</f>
        <v>2411.9873165181593</v>
      </c>
      <c r="AR26" s="1161">
        <f ca="1">OFFSET(OperBgt!AS46,0,$D$4)</f>
        <v>2420.0915939016604</v>
      </c>
      <c r="AS26" s="1161">
        <f ca="1">OFFSET(OperBgt!AT46,0,$D$4)</f>
        <v>2425.3431926604271</v>
      </c>
      <c r="AT26" s="1161">
        <f ca="1">OFFSET(OperBgt!AU46,0,$D$4)</f>
        <v>2430.6061873885001</v>
      </c>
      <c r="AU26" s="1161">
        <f ca="1">OFFSET(OperBgt!AV46,0,$D$4)</f>
        <v>2435.880602815133</v>
      </c>
      <c r="AV26" s="1161">
        <f ca="1">OFFSET(OperBgt!AW46,0,$D$4)</f>
        <v>2443.8093941772963</v>
      </c>
      <c r="AW26" s="1161">
        <f ca="1">OFFSET(OperBgt!AX46,0,$D$4)</f>
        <v>2451.7639937553436</v>
      </c>
      <c r="AX26" s="1161">
        <f ca="1">OFFSET(OperBgt!AY46,0,$D$4)</f>
        <v>2459.744485555017</v>
      </c>
      <c r="AY26" s="1161">
        <f ca="1">OFFSET(OperBgt!AZ46,0,$D$4)</f>
        <v>2467.7509538554987</v>
      </c>
      <c r="AZ26" s="1161">
        <f ca="1">OFFSET(OperBgt!BA46,0,$D$4)</f>
        <v>2475.7834832102985</v>
      </c>
      <c r="BA26" s="1161">
        <f ca="1">OFFSET(OperBgt!BB46,0,$D$4)</f>
        <v>2483.842158448148</v>
      </c>
      <c r="BB26" s="1161">
        <f ca="1">OFFSET(OperBgt!BC46,0,$D$4)</f>
        <v>2489.2320959319804</v>
      </c>
      <c r="BC26" s="1161">
        <f ca="1">OFFSET(OperBgt!BD46,0,$D$4)</f>
        <v>2494.6337295801527</v>
      </c>
      <c r="BD26" s="1161">
        <f ca="1">OFFSET(OperBgt!BE46,0,$D$4)</f>
        <v>2500.0470847733418</v>
      </c>
      <c r="BE26" s="1161">
        <f ca="1">OFFSET(OperBgt!BF46,0,$D$4)</f>
        <v>2506.9597149627398</v>
      </c>
      <c r="BF26" s="1161">
        <f ca="1">OFFSET(OperBgt!BG46,0,$D$4)</f>
        <v>2513.8914585746115</v>
      </c>
      <c r="BG26" s="1161">
        <f ca="1">OFFSET(OperBgt!BH46,0,$D$4)</f>
        <v>2520.84236845757</v>
      </c>
      <c r="BH26" s="1161">
        <f ca="1">OFFSET(OperBgt!BI46,0,$D$4)</f>
        <v>2531.2975621807477</v>
      </c>
      <c r="BI26" s="1161">
        <f ca="1">OFFSET(OperBgt!BJ46,0,$D$4)</f>
        <v>2541.7961188198924</v>
      </c>
      <c r="BJ26" s="1161">
        <f ca="1">OFFSET(OperBgt!BK46,0,$D$4)</f>
        <v>2552.3382182226978</v>
      </c>
      <c r="BK26" s="1161">
        <f ca="1">OFFSET(OperBgt!BL46,0,$D$4)</f>
        <v>2562.9240409827762</v>
      </c>
      <c r="BL26" s="1161">
        <f ca="1">OFFSET(OperBgt!BM46,0,$D$4)</f>
        <v>2573.5537684427522</v>
      </c>
      <c r="BM26" s="1161">
        <f ca="1">OFFSET(OperBgt!BN46,0,$D$4)</f>
        <v>2584.2275826973687</v>
      </c>
      <c r="BN26" s="1161">
        <f ca="1">OFFSET(OperBgt!BO46,0,$D$4)</f>
        <v>2591.3729719635267</v>
      </c>
      <c r="BO26" s="1161">
        <f ca="1">OFFSET(OperBgt!BP46,0,$D$4)</f>
        <v>2598.5381182310057</v>
      </c>
      <c r="BP26" s="1161">
        <f ca="1">OFFSET(OperBgt!BQ46,0,$D$4)</f>
        <v>2605.7230761279143</v>
      </c>
      <c r="BQ26" s="1161">
        <f ca="1">OFFSET(OperBgt!BR46,0,$D$4)</f>
        <v>2612.9279004334076</v>
      </c>
      <c r="BR26" s="1161">
        <f ca="1">OFFSET(OperBgt!BS46,0,$D$4)</f>
        <v>2620.1526460781056</v>
      </c>
      <c r="BS26" s="1161">
        <f ca="1">OFFSET(OperBgt!BT46,0,$D$4)</f>
        <v>2627.3973681445113</v>
      </c>
      <c r="BT26" s="1161">
        <f ca="1">OFFSET(OperBgt!BU46,0,$D$4)</f>
        <v>2638.2944987288906</v>
      </c>
      <c r="BU26" s="1161">
        <f ca="1">OFFSET(OperBgt!BV46,0,$D$4)</f>
        <v>2649.2368251623684</v>
      </c>
      <c r="BV26" s="1161">
        <f ca="1">OFFSET(OperBgt!BW46,0,$D$4)</f>
        <v>2660.2245348947295</v>
      </c>
      <c r="BW26" s="1161">
        <f ca="1">OFFSET(OperBgt!BX46,0,$D$4)</f>
        <v>2671.2578161532051</v>
      </c>
      <c r="BX26" s="1161">
        <f ca="1">OFFSET(OperBgt!BY46,0,$D$4)</f>
        <v>2682.3368579457006</v>
      </c>
      <c r="BY26" s="1161">
        <f ca="1">OFFSET(OperBgt!BZ46,0,$D$4)</f>
        <v>2693.4618500640304</v>
      </c>
      <c r="BZ26" s="1161">
        <f ca="1">OFFSET(OperBgt!CA46,0,$D$4)</f>
        <v>2700.909272079457</v>
      </c>
      <c r="CA26" s="1161">
        <f ca="1">OFFSET(OperBgt!CB46,0,$D$4)</f>
        <v>2708.3772862167566</v>
      </c>
      <c r="CB26" s="1161">
        <f ca="1">OFFSET(OperBgt!CC46,0,$D$4)</f>
        <v>2715.8659494131457</v>
      </c>
      <c r="CC26" s="1161">
        <f ca="1">OFFSET(OperBgt!CD46,0,$D$4)</f>
        <v>2723.3753187632728</v>
      </c>
      <c r="CD26" s="1161">
        <f ca="1">OFFSET(OperBgt!CE46,0,$D$4)</f>
        <v>2730.9054515196531</v>
      </c>
      <c r="CE26" s="1161">
        <f ca="1">OFFSET(OperBgt!CF46,0,$D$4)</f>
        <v>2738.4564050931049</v>
      </c>
      <c r="CF26" s="1161">
        <f ca="1">OFFSET(OperBgt!CG46,0,$D$4)</f>
        <v>2749.8141530332286</v>
      </c>
      <c r="CG26" s="1161">
        <f ca="1">OFFSET(OperBgt!CH46,0,$D$4)</f>
        <v>2761.219007232934</v>
      </c>
      <c r="CH26" s="1161">
        <f ca="1">OFFSET(OperBgt!CI46,0,$D$4)</f>
        <v>2772.6711630654327</v>
      </c>
      <c r="CI26" s="1161">
        <f ca="1">OFFSET(OperBgt!CJ46,0,$D$4)</f>
        <v>2784.1708167142465</v>
      </c>
      <c r="CJ26" s="1161">
        <f ca="1">OFFSET(OperBgt!CK46,0,$D$4)</f>
        <v>2795.7181651765686</v>
      </c>
      <c r="CK26" s="1161">
        <f ca="1">OFFSET(OperBgt!CL46,0,$D$4)</f>
        <v>2807.3134062666381</v>
      </c>
      <c r="CL26" s="1161">
        <f ca="1">OFFSET(OperBgt!CM46,0,$D$4)</f>
        <v>2815.075627834965</v>
      </c>
      <c r="CM26" s="1161">
        <f ca="1">OFFSET(OperBgt!CN46,0,$D$4)</f>
        <v>2822.8593119459283</v>
      </c>
      <c r="CN26" s="1161">
        <f ca="1">OFFSET(OperBgt!CO46,0,$D$4)</f>
        <v>2830.6645179434586</v>
      </c>
      <c r="CO26" s="1161">
        <f ca="1">OFFSET(OperBgt!CP46,0,$D$4)</f>
        <v>2838.4913053355722</v>
      </c>
      <c r="CP26" s="1161">
        <f ca="1">OFFSET(OperBgt!CQ46,0,$D$4)</f>
        <v>2846.339733794825</v>
      </c>
      <c r="CQ26" s="1161">
        <f ca="1">OFFSET(OperBgt!CR46,0,$D$4)</f>
        <v>2854.2098631587673</v>
      </c>
      <c r="CR26" s="1161">
        <f ca="1">OFFSET(OperBgt!CS46,0,$D$4)</f>
        <v>2866.0476985662181</v>
      </c>
      <c r="CS26" s="1161">
        <f ca="1">OFFSET(OperBgt!CT46,0,$D$4)</f>
        <v>2877.9346313960214</v>
      </c>
      <c r="CT26" s="1161">
        <f ca="1">OFFSET(OperBgt!CU46,0,$D$4)</f>
        <v>2889.8708652797363</v>
      </c>
      <c r="CU26" s="1161">
        <f ca="1">OFFSET(OperBgt!CV46,0,$D$4)</f>
        <v>2901.8566046934839</v>
      </c>
      <c r="CV26" s="1161">
        <f ca="1">OFFSET(OperBgt!CW46,0,$D$4)</f>
        <v>2913.89205496145</v>
      </c>
      <c r="CW26" s="1161">
        <f ca="1">OFFSET(OperBgt!CX46,0,$D$4)</f>
        <v>2925.9774222594024</v>
      </c>
      <c r="CX26" s="1161">
        <f ca="1">OFFSET(OperBgt!CY46,0,$D$4)</f>
        <v>2934.0677498319492</v>
      </c>
      <c r="CY26" s="1161">
        <f ca="1">OFFSET(OperBgt!CZ46,0,$D$4)</f>
        <v>2942.1804471602341</v>
      </c>
      <c r="CZ26" s="1161">
        <f ca="1">OFFSET(OperBgt!DA46,0,$D$4)</f>
        <v>2950.315576096632</v>
      </c>
      <c r="DA26" s="1161">
        <f ca="1">OFFSET(OperBgt!DB46,0,$D$4)</f>
        <v>2958.4731986645388</v>
      </c>
      <c r="DB26" s="1161">
        <f ca="1">OFFSET(OperBgt!DC46,0,$D$4)</f>
        <v>2966.6533770588458</v>
      </c>
      <c r="DC26" s="1161">
        <f ca="1">OFFSET(OperBgt!DD46,0,$D$4)</f>
        <v>2974.856173646413</v>
      </c>
      <c r="DD26" s="1161">
        <f ca="1">OFFSET(OperBgt!DE46,0,$D$4)</f>
        <v>2987.1943896266116</v>
      </c>
      <c r="DE26" s="1161">
        <f ca="1">OFFSET(OperBgt!DF46,0,$D$4)</f>
        <v>2999.583778357588</v>
      </c>
      <c r="DF26" s="1161">
        <f ca="1">OFFSET(OperBgt!DG46,0,$D$4)</f>
        <v>3012.024552078326</v>
      </c>
      <c r="DG26" s="1161">
        <f ca="1">OFFSET(OperBgt!DH46,0,$D$4)</f>
        <v>3024.5169239080706</v>
      </c>
      <c r="DH26" s="1161">
        <f ca="1">OFFSET(OperBgt!DI46,0,$D$4)</f>
        <v>3037.0611078499792</v>
      </c>
      <c r="DI26" s="1161">
        <f ca="1">OFFSET(OperBgt!DJ46,0,$D$4)</f>
        <v>3049.657318794787</v>
      </c>
      <c r="DJ26" s="1161">
        <f ca="1">OFFSET(OperBgt!DK46,0,$D$4)</f>
        <v>3058.0896212812545</v>
      </c>
      <c r="DK26" s="1161">
        <f ca="1">OFFSET(OperBgt!DL46,0,$D$4)</f>
        <v>3066.5452390840969</v>
      </c>
      <c r="DL26" s="1161">
        <f ca="1">OFFSET(OperBgt!DM46,0,$D$4)</f>
        <v>3075.0242366701641</v>
      </c>
      <c r="DM26" s="1161">
        <f ca="1">OFFSET(OperBgt!DN46,0,$D$4)</f>
        <v>3083.5266786845568</v>
      </c>
      <c r="DN26" s="1161">
        <f ca="1">OFFSET(OperBgt!DO46,0,$D$4)</f>
        <v>3092.0526299511193</v>
      </c>
      <c r="DO26" s="1161">
        <f ca="1">OFFSET(OperBgt!DP46,0,$D$4)</f>
        <v>3100.6021554729341</v>
      </c>
      <c r="DP26" s="1161">
        <f ca="1">OFFSET(OperBgt!DQ46,0,$D$4)</f>
        <v>3113.461902912758</v>
      </c>
      <c r="DQ26" s="1161">
        <f ca="1">OFFSET(OperBgt!DR46,0,$D$4)</f>
        <v>3126.3749861550887</v>
      </c>
      <c r="DR26" s="1161">
        <f ca="1">OFFSET(OperBgt!DS46,0,$D$4)</f>
        <v>3139.341626410167</v>
      </c>
      <c r="DS26" s="1161">
        <f ca="1">OFFSET(OperBgt!DT46,0,$D$4)</f>
        <v>3152.362045805703</v>
      </c>
      <c r="DT26" s="1161">
        <f ca="1">OFFSET(OperBgt!DU46,0,$D$4)</f>
        <v>3165.4364673906821</v>
      </c>
      <c r="DU26" s="1161">
        <f ca="1">OFFSET(OperBgt!DV46,0,$D$4)</f>
        <v>3178.5651151391849</v>
      </c>
      <c r="DV26" s="1161">
        <f ca="1">OFFSET(OperBgt!DW46,0,$D$4)</f>
        <v>3187.3538476825443</v>
      </c>
      <c r="DW26" s="1161">
        <f ca="1">OFFSET(OperBgt!DX46,0,$D$4)</f>
        <v>3196.1668810713863</v>
      </c>
      <c r="DX26" s="1161">
        <f ca="1">OFFSET(OperBgt!DY46,0,$D$4)</f>
        <v>3205.0042824975485</v>
      </c>
      <c r="DY26" s="1161">
        <f ca="1">OFFSET(OperBgt!DZ46,0,$D$4)</f>
        <v>3213.8661193386538</v>
      </c>
      <c r="DZ26" s="1161">
        <f ca="1">OFFSET(OperBgt!EA46,0,$D$4)</f>
        <v>3222.7524591586248</v>
      </c>
      <c r="EA26" s="1161">
        <f ca="1">OFFSET(OperBgt!EB46,0,$D$4)</f>
        <v>3231.6633697081979</v>
      </c>
      <c r="EB26" s="1161">
        <f ca="1">OFFSET(OperBgt!EC46,0,$D$4)</f>
        <v>3245.0666935340628</v>
      </c>
      <c r="EC26" s="1161">
        <f ca="1">OFFSET(OperBgt!ED46,0,$D$4)</f>
        <v>3258.5256076454953</v>
      </c>
      <c r="ED26" s="1161">
        <f ca="1">OFFSET(OperBgt!EE46,0,$D$4)</f>
        <v>3272.0403426032049</v>
      </c>
      <c r="EE26" s="1161">
        <f ca="1">OFFSET(OperBgt!EF46,0,$D$4)</f>
        <v>3285.6111299241516</v>
      </c>
      <c r="EF26" s="1161">
        <f ca="1">OFFSET(OperBgt!EG46,0,$D$4)</f>
        <v>3299.2382020855121</v>
      </c>
      <c r="EG26" s="1161">
        <f ca="1">OFFSET(OperBgt!EH46,0,$D$4)</f>
        <v>3312.9217925286616</v>
      </c>
      <c r="EH26" s="778"/>
    </row>
    <row r="27" spans="2:138" ht="12.75" customHeight="1" x14ac:dyDescent="0.3">
      <c r="B27" s="1155" t="s">
        <v>306</v>
      </c>
      <c r="C27" s="1159" t="str">
        <f t="shared" si="6"/>
        <v xml:space="preserve"> Annualized operating expense</v>
      </c>
      <c r="E27" s="1160"/>
      <c r="F27" s="1161">
        <f ca="1">OFFSET(OperBgt!G137,0,$D$4)+OFFSET(OperBgt!G142,0,$D$4)+OFFSET(OperBgt!G147,0,$D$4)+OFFSET(OperBgt!G152,0,$D$4)+OFFSET(OperBgt!G156,0,$D$4)+OFFSET(OperBgt!G166,0,$D$4)+OFFSET(OperBgt!G1717,0,$D$4)</f>
        <v>1202036.9549784514</v>
      </c>
      <c r="G27" s="1161">
        <f ca="1">OFFSET(OperBgt!H137,0,$D$4)+OFFSET(OperBgt!H142,0,$D$4)+OFFSET(OperBgt!H147,0,$D$4)+OFFSET(OperBgt!H152,0,$D$4)+OFFSET(OperBgt!H156,0,$D$4)+OFFSET(OperBgt!H166,0,$D$4)+OFFSET(OperBgt!H1717,0,$D$4)</f>
        <v>1205001.5023857069</v>
      </c>
      <c r="H27" s="1161">
        <f ca="1">OFFSET(OperBgt!I137,0,$D$4)+OFFSET(OperBgt!I142,0,$D$4)+OFFSET(OperBgt!I147,0,$D$4)+OFFSET(OperBgt!I152,0,$D$4)+OFFSET(OperBgt!I156,0,$D$4)+OFFSET(OperBgt!I166,0,$D$4)+OFFSET(OperBgt!I1717,0,$D$4)</f>
        <v>1207973.3611666211</v>
      </c>
      <c r="I27" s="1161">
        <f ca="1">OFFSET(OperBgt!J137,0,$D$4)+OFFSET(OperBgt!J142,0,$D$4)+OFFSET(OperBgt!J147,0,$D$4)+OFFSET(OperBgt!J152,0,$D$4)+OFFSET(OperBgt!J156,0,$D$4)+OFFSET(OperBgt!J166,0,$D$4)+OFFSET(OperBgt!J1717,0,$D$4)</f>
        <v>1210952.5493530144</v>
      </c>
      <c r="J27" s="1161">
        <f ca="1">OFFSET(OperBgt!K137,0,$D$4)+OFFSET(OperBgt!K142,0,$D$4)+OFFSET(OperBgt!K147,0,$D$4)+OFFSET(OperBgt!K152,0,$D$4)+OFFSET(OperBgt!K156,0,$D$4)+OFFSET(OperBgt!K166,0,$D$4)+OFFSET(OperBgt!K1717,0,$D$4)</f>
        <v>1213939.0850211775</v>
      </c>
      <c r="K27" s="1161">
        <f ca="1">OFFSET(OperBgt!L137,0,$D$4)+OFFSET(OperBgt!L142,0,$D$4)+OFFSET(OperBgt!L147,0,$D$4)+OFFSET(OperBgt!L152,0,$D$4)+OFFSET(OperBgt!L156,0,$D$4)+OFFSET(OperBgt!L166,0,$D$4)+OFFSET(OperBgt!L1717,0,$D$4)</f>
        <v>1216932.9862919836</v>
      </c>
      <c r="L27" s="1161">
        <f ca="1">OFFSET(OperBgt!M137,0,$D$4)+OFFSET(OperBgt!M142,0,$D$4)+OFFSET(OperBgt!M147,0,$D$4)+OFFSET(OperBgt!M152,0,$D$4)+OFFSET(OperBgt!M156,0,$D$4)+OFFSET(OperBgt!M166,0,$D$4)+OFFSET(OperBgt!M1717,0,$D$4)</f>
        <v>1219934.2713309946</v>
      </c>
      <c r="M27" s="1161">
        <f ca="1">OFFSET(OperBgt!N137,0,$D$4)+OFFSET(OperBgt!N142,0,$D$4)+OFFSET(OperBgt!N147,0,$D$4)+OFFSET(OperBgt!N152,0,$D$4)+OFFSET(OperBgt!N156,0,$D$4)+OFFSET(OperBgt!N166,0,$D$4)+OFFSET(OperBgt!N1717,0,$D$4)</f>
        <v>1222942.9583485757</v>
      </c>
      <c r="N27" s="1161">
        <f ca="1">OFFSET(OperBgt!O137,0,$D$4)+OFFSET(OperBgt!O142,0,$D$4)+OFFSET(OperBgt!O147,0,$D$4)+OFFSET(OperBgt!O152,0,$D$4)+OFFSET(OperBgt!O156,0,$D$4)+OFFSET(OperBgt!O166,0,$D$4)+OFFSET(OperBgt!O1717,0,$D$4)</f>
        <v>1225959.0656000027</v>
      </c>
      <c r="O27" s="1161">
        <f ca="1">OFFSET(OperBgt!P137,0,$D$4)+OFFSET(OperBgt!P142,0,$D$4)+OFFSET(OperBgt!P147,0,$D$4)+OFFSET(OperBgt!P152,0,$D$4)+OFFSET(OperBgt!P156,0,$D$4)+OFFSET(OperBgt!P166,0,$D$4)+OFFSET(OperBgt!P1717,0,$D$4)</f>
        <v>1228982.6113855734</v>
      </c>
      <c r="P27" s="1161">
        <f ca="1">OFFSET(OperBgt!Q137,0,$D$4)+OFFSET(OperBgt!Q142,0,$D$4)+OFFSET(OperBgt!Q147,0,$D$4)+OFFSET(OperBgt!Q152,0,$D$4)+OFFSET(OperBgt!Q156,0,$D$4)+OFFSET(OperBgt!Q166,0,$D$4)+OFFSET(OperBgt!Q1717,0,$D$4)</f>
        <v>1232013.6140507204</v>
      </c>
      <c r="Q27" s="1161">
        <f ca="1">OFFSET(OperBgt!R137,0,$D$4)+OFFSET(OperBgt!R142,0,$D$4)+OFFSET(OperBgt!R147,0,$D$4)+OFFSET(OperBgt!R152,0,$D$4)+OFFSET(OperBgt!R156,0,$D$4)+OFFSET(OperBgt!R166,0,$D$4)+OFFSET(OperBgt!R1717,0,$D$4)</f>
        <v>1235052.0919861204</v>
      </c>
      <c r="R27" s="1161">
        <f ca="1">OFFSET(OperBgt!S137,0,$D$4)+OFFSET(OperBgt!S142,0,$D$4)+OFFSET(OperBgt!S147,0,$D$4)+OFFSET(OperBgt!S152,0,$D$4)+OFFSET(OperBgt!S156,0,$D$4)+OFFSET(OperBgt!S166,0,$D$4)+OFFSET(OperBgt!S1717,0,$D$4)</f>
        <v>1238098.063627806</v>
      </c>
      <c r="S27" s="1161">
        <f ca="1">OFFSET(OperBgt!T137,0,$D$4)+OFFSET(OperBgt!T142,0,$D$4)+OFFSET(OperBgt!T147,0,$D$4)+OFFSET(OperBgt!T152,0,$D$4)+OFFSET(OperBgt!T156,0,$D$4)+OFFSET(OperBgt!T166,0,$D$4)+OFFSET(OperBgt!T1717,0,$D$4)</f>
        <v>1241151.5474572792</v>
      </c>
      <c r="T27" s="1161">
        <f ca="1">OFFSET(OperBgt!U137,0,$D$4)+OFFSET(OperBgt!U142,0,$D$4)+OFFSET(OperBgt!U147,0,$D$4)+OFFSET(OperBgt!U152,0,$D$4)+OFFSET(OperBgt!U156,0,$D$4)+OFFSET(OperBgt!U166,0,$D$4)+OFFSET(OperBgt!U1717,0,$D$4)</f>
        <v>1244212.5620016211</v>
      </c>
      <c r="U27" s="1161">
        <f ca="1">OFFSET(OperBgt!V137,0,$D$4)+OFFSET(OperBgt!V142,0,$D$4)+OFFSET(OperBgt!V147,0,$D$4)+OFFSET(OperBgt!V152,0,$D$4)+OFFSET(OperBgt!V156,0,$D$4)+OFFSET(OperBgt!V166,0,$D$4)+OFFSET(OperBgt!V1717,0,$D$4)</f>
        <v>1247281.1258336063</v>
      </c>
      <c r="V27" s="1161">
        <f ca="1">OFFSET(OperBgt!W137,0,$D$4)+OFFSET(OperBgt!W142,0,$D$4)+OFFSET(OperBgt!W147,0,$D$4)+OFFSET(OperBgt!W152,0,$D$4)+OFFSET(OperBgt!W156,0,$D$4)+OFFSET(OperBgt!W166,0,$D$4)+OFFSET(OperBgt!W1717,0,$D$4)</f>
        <v>1250357.2575718143</v>
      </c>
      <c r="W27" s="1161">
        <f ca="1">OFFSET(OperBgt!X137,0,$D$4)+OFFSET(OperBgt!X142,0,$D$4)+OFFSET(OperBgt!X147,0,$D$4)+OFFSET(OperBgt!X152,0,$D$4)+OFFSET(OperBgt!X156,0,$D$4)+OFFSET(OperBgt!X166,0,$D$4)+OFFSET(OperBgt!X1717,0,$D$4)</f>
        <v>1253440.9758807442</v>
      </c>
      <c r="X27" s="1161">
        <f ca="1">OFFSET(OperBgt!Y137,0,$D$4)+OFFSET(OperBgt!Y142,0,$D$4)+OFFSET(OperBgt!Y147,0,$D$4)+OFFSET(OperBgt!Y152,0,$D$4)+OFFSET(OperBgt!Y156,0,$D$4)+OFFSET(OperBgt!Y166,0,$D$4)+OFFSET(OperBgt!Y1717,0,$D$4)</f>
        <v>1256532.2994709259</v>
      </c>
      <c r="Y27" s="1161">
        <f ca="1">OFFSET(OperBgt!Z137,0,$D$4)+OFFSET(OperBgt!Z142,0,$D$4)+OFFSET(OperBgt!Z147,0,$D$4)+OFFSET(OperBgt!Z152,0,$D$4)+OFFSET(OperBgt!Z156,0,$D$4)+OFFSET(OperBgt!Z166,0,$D$4)+OFFSET(OperBgt!Z1717,0,$D$4)</f>
        <v>1259631.2470990343</v>
      </c>
      <c r="Z27" s="1161">
        <f ca="1">OFFSET(OperBgt!AA137,0,$D$4)+OFFSET(OperBgt!AA142,0,$D$4)+OFFSET(OperBgt!AA147,0,$D$4)+OFFSET(OperBgt!AA152,0,$D$4)+OFFSET(OperBgt!AA156,0,$D$4)+OFFSET(OperBgt!AA166,0,$D$4)+OFFSET(OperBgt!AA1717,0,$D$4)</f>
        <v>1262737.8375680039</v>
      </c>
      <c r="AA27" s="1161">
        <f ca="1">OFFSET(OperBgt!AB137,0,$D$4)+OFFSET(OperBgt!AB142,0,$D$4)+OFFSET(OperBgt!AB147,0,$D$4)+OFFSET(OperBgt!AB152,0,$D$4)+OFFSET(OperBgt!AB156,0,$D$4)+OFFSET(OperBgt!AB166,0,$D$4)+OFFSET(OperBgt!AB1717,0,$D$4)</f>
        <v>1265852.0897271421</v>
      </c>
      <c r="AB27" s="1161">
        <f ca="1">OFFSET(OperBgt!AC137,0,$D$4)+OFFSET(OperBgt!AC142,0,$D$4)+OFFSET(OperBgt!AC147,0,$D$4)+OFFSET(OperBgt!AC152,0,$D$4)+OFFSET(OperBgt!AC156,0,$D$4)+OFFSET(OperBgt!AC166,0,$D$4)+OFFSET(OperBgt!AC1717,0,$D$4)</f>
        <v>1268974.0224722435</v>
      </c>
      <c r="AC27" s="1161">
        <f ca="1">OFFSET(OperBgt!AD137,0,$D$4)+OFFSET(OperBgt!AD142,0,$D$4)+OFFSET(OperBgt!AD147,0,$D$4)+OFFSET(OperBgt!AD152,0,$D$4)+OFFSET(OperBgt!AD156,0,$D$4)+OFFSET(OperBgt!AD166,0,$D$4)+OFFSET(OperBgt!AD1717,0,$D$4)</f>
        <v>1272103.6547457054</v>
      </c>
      <c r="AD27" s="1161">
        <f ca="1">OFFSET(OperBgt!AE137,0,$D$4)+OFFSET(OperBgt!AE142,0,$D$4)+OFFSET(OperBgt!AE147,0,$D$4)+OFFSET(OperBgt!AE152,0,$D$4)+OFFSET(OperBgt!AE156,0,$D$4)+OFFSET(OperBgt!AE166,0,$D$4)+OFFSET(OperBgt!AE1717,0,$D$4)</f>
        <v>1275241.0055366417</v>
      </c>
      <c r="AE27" s="1161">
        <f ca="1">OFFSET(OperBgt!AF137,0,$D$4)+OFFSET(OperBgt!AF142,0,$D$4)+OFFSET(OperBgt!AF147,0,$D$4)+OFFSET(OperBgt!AF152,0,$D$4)+OFFSET(OperBgt!AF156,0,$D$4)+OFFSET(OperBgt!AF166,0,$D$4)+OFFSET(OperBgt!AF1717,0,$D$4)</f>
        <v>1278386.0938809989</v>
      </c>
      <c r="AF27" s="1161">
        <f ca="1">OFFSET(OperBgt!AG137,0,$D$4)+OFFSET(OperBgt!AG142,0,$D$4)+OFFSET(OperBgt!AG147,0,$D$4)+OFFSET(OperBgt!AG152,0,$D$4)+OFFSET(OperBgt!AG156,0,$D$4)+OFFSET(OperBgt!AG166,0,$D$4)+OFFSET(OperBgt!AG1717,0,$D$4)</f>
        <v>1281538.9388616711</v>
      </c>
      <c r="AG27" s="1161">
        <f ca="1">OFFSET(OperBgt!AH137,0,$D$4)+OFFSET(OperBgt!AH142,0,$D$4)+OFFSET(OperBgt!AH147,0,$D$4)+OFFSET(OperBgt!AH152,0,$D$4)+OFFSET(OperBgt!AH156,0,$D$4)+OFFSET(OperBgt!AH166,0,$D$4)+OFFSET(OperBgt!AH1717,0,$D$4)</f>
        <v>1284699.5596086157</v>
      </c>
      <c r="AH27" s="1161">
        <f ca="1">OFFSET(OperBgt!AI137,0,$D$4)+OFFSET(OperBgt!AI142,0,$D$4)+OFFSET(OperBgt!AI147,0,$D$4)+OFFSET(OperBgt!AI152,0,$D$4)+OFFSET(OperBgt!AI156,0,$D$4)+OFFSET(OperBgt!AI166,0,$D$4)+OFFSET(OperBgt!AI1717,0,$D$4)</f>
        <v>1287867.9752989702</v>
      </c>
      <c r="AI27" s="1161">
        <f ca="1">OFFSET(OperBgt!AJ137,0,$D$4)+OFFSET(OperBgt!AJ142,0,$D$4)+OFFSET(OperBgt!AJ147,0,$D$4)+OFFSET(OperBgt!AJ152,0,$D$4)+OFFSET(OperBgt!AJ156,0,$D$4)+OFFSET(OperBgt!AJ166,0,$D$4)+OFFSET(OperBgt!AJ1717,0,$D$4)</f>
        <v>1291044.205157168</v>
      </c>
      <c r="AJ27" s="1161">
        <f ca="1">OFFSET(OperBgt!AK137,0,$D$4)+OFFSET(OperBgt!AK142,0,$D$4)+OFFSET(OperBgt!AK147,0,$D$4)+OFFSET(OperBgt!AK152,0,$D$4)+OFFSET(OperBgt!AK156,0,$D$4)+OFFSET(OperBgt!AK166,0,$D$4)+OFFSET(OperBgt!AK1717,0,$D$4)</f>
        <v>1294228.2684550551</v>
      </c>
      <c r="AK27" s="1161">
        <f ca="1">OFFSET(OperBgt!AL137,0,$D$4)+OFFSET(OperBgt!AL142,0,$D$4)+OFFSET(OperBgt!AL147,0,$D$4)+OFFSET(OperBgt!AL152,0,$D$4)+OFFSET(OperBgt!AL156,0,$D$4)+OFFSET(OperBgt!AL166,0,$D$4)+OFFSET(OperBgt!AL1717,0,$D$4)</f>
        <v>1297420.1845120066</v>
      </c>
      <c r="AL27" s="1161">
        <f ca="1">OFFSET(OperBgt!AM137,0,$D$4)+OFFSET(OperBgt!AM142,0,$D$4)+OFFSET(OperBgt!AM147,0,$D$4)+OFFSET(OperBgt!AM152,0,$D$4)+OFFSET(OperBgt!AM156,0,$D$4)+OFFSET(OperBgt!AM166,0,$D$4)+OFFSET(OperBgt!AM1717,0,$D$4)</f>
        <v>1300619.9726950452</v>
      </c>
      <c r="AM27" s="1161">
        <f ca="1">OFFSET(OperBgt!AN137,0,$D$4)+OFFSET(OperBgt!AN142,0,$D$4)+OFFSET(OperBgt!AN147,0,$D$4)+OFFSET(OperBgt!AN152,0,$D$4)+OFFSET(OperBgt!AN156,0,$D$4)+OFFSET(OperBgt!AN166,0,$D$4)+OFFSET(OperBgt!AN1717,0,$D$4)</f>
        <v>1303827.6524189576</v>
      </c>
      <c r="AN27" s="1161">
        <f ca="1">OFFSET(OperBgt!AO137,0,$D$4)+OFFSET(OperBgt!AO142,0,$D$4)+OFFSET(OperBgt!AO147,0,$D$4)+OFFSET(OperBgt!AO152,0,$D$4)+OFFSET(OperBgt!AO156,0,$D$4)+OFFSET(OperBgt!AO166,0,$D$4)+OFFSET(OperBgt!AO1717,0,$D$4)</f>
        <v>1307043.2431464121</v>
      </c>
      <c r="AO27" s="1161">
        <f ca="1">OFFSET(OperBgt!AP137,0,$D$4)+OFFSET(OperBgt!AP142,0,$D$4)+OFFSET(OperBgt!AP147,0,$D$4)+OFFSET(OperBgt!AP152,0,$D$4)+OFFSET(OperBgt!AP156,0,$D$4)+OFFSET(OperBgt!AP166,0,$D$4)+OFFSET(OperBgt!AP1717,0,$D$4)</f>
        <v>1310266.7643880779</v>
      </c>
      <c r="AP27" s="1161">
        <f ca="1">OFFSET(OperBgt!AQ137,0,$D$4)+OFFSET(OperBgt!AQ142,0,$D$4)+OFFSET(OperBgt!AQ147,0,$D$4)+OFFSET(OperBgt!AQ152,0,$D$4)+OFFSET(OperBgt!AQ156,0,$D$4)+OFFSET(OperBgt!AQ166,0,$D$4)+OFFSET(OperBgt!AQ1717,0,$D$4)</f>
        <v>1313498.2357027424</v>
      </c>
      <c r="AQ27" s="1161">
        <f ca="1">OFFSET(OperBgt!AR137,0,$D$4)+OFFSET(OperBgt!AR142,0,$D$4)+OFFSET(OperBgt!AR147,0,$D$4)+OFFSET(OperBgt!AR152,0,$D$4)+OFFSET(OperBgt!AR156,0,$D$4)+OFFSET(OperBgt!AR166,0,$D$4)+OFFSET(OperBgt!AR1717,0,$D$4)</f>
        <v>1316737.6766974302</v>
      </c>
      <c r="AR27" s="1161">
        <f ca="1">OFFSET(OperBgt!AS137,0,$D$4)+OFFSET(OperBgt!AS142,0,$D$4)+OFFSET(OperBgt!AS147,0,$D$4)+OFFSET(OperBgt!AS152,0,$D$4)+OFFSET(OperBgt!AS156,0,$D$4)+OFFSET(OperBgt!AS166,0,$D$4)+OFFSET(OperBgt!AS1717,0,$D$4)</f>
        <v>1319985.1070275225</v>
      </c>
      <c r="AS27" s="1161">
        <f ca="1">OFFSET(OperBgt!AT137,0,$D$4)+OFFSET(OperBgt!AT142,0,$D$4)+OFFSET(OperBgt!AT147,0,$D$4)+OFFSET(OperBgt!AT152,0,$D$4)+OFFSET(OperBgt!AT156,0,$D$4)+OFFSET(OperBgt!AT166,0,$D$4)+OFFSET(OperBgt!AT1717,0,$D$4)</f>
        <v>1323240.5463968755</v>
      </c>
      <c r="AT27" s="1161">
        <f ca="1">OFFSET(OperBgt!AU137,0,$D$4)+OFFSET(OperBgt!AU142,0,$D$4)+OFFSET(OperBgt!AU147,0,$D$4)+OFFSET(OperBgt!AU152,0,$D$4)+OFFSET(OperBgt!AU156,0,$D$4)+OFFSET(OperBgt!AU166,0,$D$4)+OFFSET(OperBgt!AU1717,0,$D$4)</f>
        <v>1326504.0145579407</v>
      </c>
      <c r="AU27" s="1161">
        <f ca="1">OFFSET(OperBgt!AV137,0,$D$4)+OFFSET(OperBgt!AV142,0,$D$4)+OFFSET(OperBgt!AV147,0,$D$4)+OFFSET(OperBgt!AV152,0,$D$4)+OFFSET(OperBgt!AV156,0,$D$4)+OFFSET(OperBgt!AV166,0,$D$4)+OFFSET(OperBgt!AV1717,0,$D$4)</f>
        <v>1329775.5313118845</v>
      </c>
      <c r="AV27" s="1161">
        <f ca="1">OFFSET(OperBgt!AW137,0,$D$4)+OFFSET(OperBgt!AW142,0,$D$4)+OFFSET(OperBgt!AW147,0,$D$4)+OFFSET(OperBgt!AW152,0,$D$4)+OFFSET(OperBgt!AW156,0,$D$4)+OFFSET(OperBgt!AW166,0,$D$4)+OFFSET(OperBgt!AW1717,0,$D$4)</f>
        <v>1333055.1165087079</v>
      </c>
      <c r="AW27" s="1161">
        <f ca="1">OFFSET(OperBgt!AX137,0,$D$4)+OFFSET(OperBgt!AX142,0,$D$4)+OFFSET(OperBgt!AX147,0,$D$4)+OFFSET(OperBgt!AX152,0,$D$4)+OFFSET(OperBgt!AX156,0,$D$4)+OFFSET(OperBgt!AX166,0,$D$4)+OFFSET(OperBgt!AX1717,0,$D$4)</f>
        <v>1336342.790047368</v>
      </c>
      <c r="AX27" s="1161">
        <f ca="1">OFFSET(OperBgt!AY137,0,$D$4)+OFFSET(OperBgt!AY142,0,$D$4)+OFFSET(OperBgt!AY147,0,$D$4)+OFFSET(OperBgt!AY152,0,$D$4)+OFFSET(OperBgt!AY156,0,$D$4)+OFFSET(OperBgt!AY166,0,$D$4)+OFFSET(OperBgt!AY1717,0,$D$4)</f>
        <v>1339638.5718758977</v>
      </c>
      <c r="AY27" s="1161">
        <f ca="1">OFFSET(OperBgt!AZ137,0,$D$4)+OFFSET(OperBgt!AZ142,0,$D$4)+OFFSET(OperBgt!AZ147,0,$D$4)+OFFSET(OperBgt!AZ152,0,$D$4)+OFFSET(OperBgt!AZ156,0,$D$4)+OFFSET(OperBgt!AZ166,0,$D$4)+OFFSET(OperBgt!AZ1717,0,$D$4)</f>
        <v>1342942.4819915274</v>
      </c>
      <c r="AZ27" s="1161">
        <f ca="1">OFFSET(OperBgt!BA137,0,$D$4)+OFFSET(OperBgt!BA142,0,$D$4)+OFFSET(OperBgt!BA147,0,$D$4)+OFFSET(OperBgt!BA152,0,$D$4)+OFFSET(OperBgt!BA156,0,$D$4)+OFFSET(OperBgt!BA166,0,$D$4)+OFFSET(OperBgt!BA1717,0,$D$4)</f>
        <v>1346254.540440806</v>
      </c>
      <c r="BA27" s="1161">
        <f ca="1">OFFSET(OperBgt!BB137,0,$D$4)+OFFSET(OperBgt!BB142,0,$D$4)+OFFSET(OperBgt!BB147,0,$D$4)+OFFSET(OperBgt!BB152,0,$D$4)+OFFSET(OperBgt!BB156,0,$D$4)+OFFSET(OperBgt!BB166,0,$D$4)+OFFSET(OperBgt!BB1717,0,$D$4)</f>
        <v>1349574.7673197216</v>
      </c>
      <c r="BB27" s="1161">
        <f ca="1">OFFSET(OperBgt!BC137,0,$D$4)+OFFSET(OperBgt!BC142,0,$D$4)+OFFSET(OperBgt!BC147,0,$D$4)+OFFSET(OperBgt!BC152,0,$D$4)+OFFSET(OperBgt!BC156,0,$D$4)+OFFSET(OperBgt!BC166,0,$D$4)+OFFSET(OperBgt!BC1717,0,$D$4)</f>
        <v>1352903.1827738259</v>
      </c>
      <c r="BC27" s="1161">
        <f ca="1">OFFSET(OperBgt!BD137,0,$D$4)+OFFSET(OperBgt!BD142,0,$D$4)+OFFSET(OperBgt!BD147,0,$D$4)+OFFSET(OperBgt!BD152,0,$D$4)+OFFSET(OperBgt!BD156,0,$D$4)+OFFSET(OperBgt!BD166,0,$D$4)+OFFSET(OperBgt!BD1717,0,$D$4)</f>
        <v>1356239.8069983546</v>
      </c>
      <c r="BD27" s="1161">
        <f ca="1">OFFSET(OperBgt!BE137,0,$D$4)+OFFSET(OperBgt!BE142,0,$D$4)+OFFSET(OperBgt!BE147,0,$D$4)+OFFSET(OperBgt!BE152,0,$D$4)+OFFSET(OperBgt!BE156,0,$D$4)+OFFSET(OperBgt!BE166,0,$D$4)+OFFSET(OperBgt!BE1717,0,$D$4)</f>
        <v>1359584.6602383496</v>
      </c>
      <c r="BE27" s="1161">
        <f ca="1">OFFSET(OperBgt!BF137,0,$D$4)+OFFSET(OperBgt!BF142,0,$D$4)+OFFSET(OperBgt!BF147,0,$D$4)+OFFSET(OperBgt!BF152,0,$D$4)+OFFSET(OperBgt!BF156,0,$D$4)+OFFSET(OperBgt!BF166,0,$D$4)+OFFSET(OperBgt!BF1717,0,$D$4)</f>
        <v>1362937.7627887833</v>
      </c>
      <c r="BF27" s="1161">
        <f ca="1">OFFSET(OperBgt!BG137,0,$D$4)+OFFSET(OperBgt!BG142,0,$D$4)+OFFSET(OperBgt!BG147,0,$D$4)+OFFSET(OperBgt!BG152,0,$D$4)+OFFSET(OperBgt!BG156,0,$D$4)+OFFSET(OperBgt!BG166,0,$D$4)+OFFSET(OperBgt!BG1717,0,$D$4)</f>
        <v>1366299.1349946805</v>
      </c>
      <c r="BG27" s="1161">
        <f ca="1">OFFSET(OperBgt!BH137,0,$D$4)+OFFSET(OperBgt!BH142,0,$D$4)+OFFSET(OperBgt!BH147,0,$D$4)+OFFSET(OperBgt!BH152,0,$D$4)+OFFSET(OperBgt!BH156,0,$D$4)+OFFSET(OperBgt!BH166,0,$D$4)+OFFSET(OperBgt!BH1717,0,$D$4)</f>
        <v>1369668.7972512424</v>
      </c>
      <c r="BH27" s="1161">
        <f ca="1">OFFSET(OperBgt!BI137,0,$D$4)+OFFSET(OperBgt!BI142,0,$D$4)+OFFSET(OperBgt!BI147,0,$D$4)+OFFSET(OperBgt!BI152,0,$D$4)+OFFSET(OperBgt!BI156,0,$D$4)+OFFSET(OperBgt!BI166,0,$D$4)+OFFSET(OperBgt!BI1717,0,$D$4)</f>
        <v>1373046.7700039709</v>
      </c>
      <c r="BI27" s="1161">
        <f ca="1">OFFSET(OperBgt!BJ137,0,$D$4)+OFFSET(OperBgt!BJ142,0,$D$4)+OFFSET(OperBgt!BJ147,0,$D$4)+OFFSET(OperBgt!BJ152,0,$D$4)+OFFSET(OperBgt!BJ156,0,$D$4)+OFFSET(OperBgt!BJ166,0,$D$4)+OFFSET(OperBgt!BJ1717,0,$D$4)</f>
        <v>1376433.0737487907</v>
      </c>
      <c r="BJ27" s="1161">
        <f ca="1">OFFSET(OperBgt!BK137,0,$D$4)+OFFSET(OperBgt!BK142,0,$D$4)+OFFSET(OperBgt!BK147,0,$D$4)+OFFSET(OperBgt!BK152,0,$D$4)+OFFSET(OperBgt!BK156,0,$D$4)+OFFSET(OperBgt!BK166,0,$D$4)+OFFSET(OperBgt!BK1717,0,$D$4)</f>
        <v>1379827.7290321763</v>
      </c>
      <c r="BK27" s="1161">
        <f ca="1">OFFSET(OperBgt!BL137,0,$D$4)+OFFSET(OperBgt!BL142,0,$D$4)+OFFSET(OperBgt!BL147,0,$D$4)+OFFSET(OperBgt!BL152,0,$D$4)+OFFSET(OperBgt!BL156,0,$D$4)+OFFSET(OperBgt!BL166,0,$D$4)+OFFSET(OperBgt!BL1717,0,$D$4)</f>
        <v>1383230.7564512747</v>
      </c>
      <c r="BL27" s="1161">
        <f ca="1">OFFSET(OperBgt!BM137,0,$D$4)+OFFSET(OperBgt!BM142,0,$D$4)+OFFSET(OperBgt!BM147,0,$D$4)+OFFSET(OperBgt!BM152,0,$D$4)+OFFSET(OperBgt!BM156,0,$D$4)+OFFSET(OperBgt!BM166,0,$D$4)+OFFSET(OperBgt!BM1717,0,$D$4)</f>
        <v>1386642.1766540315</v>
      </c>
      <c r="BM27" s="1161">
        <f ca="1">OFFSET(OperBgt!BN137,0,$D$4)+OFFSET(OperBgt!BN142,0,$D$4)+OFFSET(OperBgt!BN147,0,$D$4)+OFFSET(OperBgt!BN152,0,$D$4)+OFFSET(OperBgt!BN156,0,$D$4)+OFFSET(OperBgt!BN166,0,$D$4)+OFFSET(OperBgt!BN1717,0,$D$4)</f>
        <v>1390062.0103393146</v>
      </c>
      <c r="BN27" s="1161">
        <f ca="1">OFFSET(OperBgt!BO137,0,$D$4)+OFFSET(OperBgt!BO142,0,$D$4)+OFFSET(OperBgt!BO147,0,$D$4)+OFFSET(OperBgt!BO152,0,$D$4)+OFFSET(OperBgt!BO156,0,$D$4)+OFFSET(OperBgt!BO166,0,$D$4)+OFFSET(OperBgt!BO1717,0,$D$4)</f>
        <v>1393490.2782570419</v>
      </c>
      <c r="BO27" s="1161">
        <f ca="1">OFFSET(OperBgt!BP137,0,$D$4)+OFFSET(OperBgt!BP142,0,$D$4)+OFFSET(OperBgt!BP147,0,$D$4)+OFFSET(OperBgt!BP152,0,$D$4)+OFFSET(OperBgt!BP156,0,$D$4)+OFFSET(OperBgt!BP166,0,$D$4)+OFFSET(OperBgt!BP1717,0,$D$4)</f>
        <v>1396927.0012083065</v>
      </c>
      <c r="BP27" s="1161">
        <f ca="1">OFFSET(OperBgt!BQ137,0,$D$4)+OFFSET(OperBgt!BQ142,0,$D$4)+OFFSET(OperBgt!BQ147,0,$D$4)+OFFSET(OperBgt!BQ152,0,$D$4)+OFFSET(OperBgt!BQ156,0,$D$4)+OFFSET(OperBgt!BQ166,0,$D$4)+OFFSET(OperBgt!BQ1717,0,$D$4)</f>
        <v>1400372.2000455016</v>
      </c>
      <c r="BQ27" s="1161">
        <f ca="1">OFFSET(OperBgt!BR137,0,$D$4)+OFFSET(OperBgt!BR142,0,$D$4)+OFFSET(OperBgt!BR147,0,$D$4)+OFFSET(OperBgt!BR152,0,$D$4)+OFFSET(OperBgt!BR156,0,$D$4)+OFFSET(OperBgt!BR166,0,$D$4)+OFFSET(OperBgt!BR1717,0,$D$4)</f>
        <v>1403825.895672448</v>
      </c>
      <c r="BR27" s="1161">
        <f ca="1">OFFSET(OperBgt!BS137,0,$D$4)+OFFSET(OperBgt!BS142,0,$D$4)+OFFSET(OperBgt!BS147,0,$D$4)+OFFSET(OperBgt!BS152,0,$D$4)+OFFSET(OperBgt!BS156,0,$D$4)+OFFSET(OperBgt!BS166,0,$D$4)+OFFSET(OperBgt!BS1717,0,$D$4)</f>
        <v>1407288.109044522</v>
      </c>
      <c r="BS27" s="1161">
        <f ca="1">OFFSET(OperBgt!BT137,0,$D$4)+OFFSET(OperBgt!BT142,0,$D$4)+OFFSET(OperBgt!BT147,0,$D$4)+OFFSET(OperBgt!BT152,0,$D$4)+OFFSET(OperBgt!BT156,0,$D$4)+OFFSET(OperBgt!BT166,0,$D$4)+OFFSET(OperBgt!BT1717,0,$D$4)</f>
        <v>1410758.8611687811</v>
      </c>
      <c r="BT27" s="1161">
        <f ca="1">OFFSET(OperBgt!BU137,0,$D$4)+OFFSET(OperBgt!BU142,0,$D$4)+OFFSET(OperBgt!BU147,0,$D$4)+OFFSET(OperBgt!BU152,0,$D$4)+OFFSET(OperBgt!BU156,0,$D$4)+OFFSET(OperBgt!BU166,0,$D$4)+OFFSET(OperBgt!BU1717,0,$D$4)</f>
        <v>1414238.1731040911</v>
      </c>
      <c r="BU27" s="1161">
        <f ca="1">OFFSET(OperBgt!BV137,0,$D$4)+OFFSET(OperBgt!BV142,0,$D$4)+OFFSET(OperBgt!BV147,0,$D$4)+OFFSET(OperBgt!BV152,0,$D$4)+OFFSET(OperBgt!BV156,0,$D$4)+OFFSET(OperBgt!BV166,0,$D$4)+OFFSET(OperBgt!BV1717,0,$D$4)</f>
        <v>1417726.0659612557</v>
      </c>
      <c r="BV27" s="1161">
        <f ca="1">OFFSET(OperBgt!BW137,0,$D$4)+OFFSET(OperBgt!BW142,0,$D$4)+OFFSET(OperBgt!BW147,0,$D$4)+OFFSET(OperBgt!BW152,0,$D$4)+OFFSET(OperBgt!BW156,0,$D$4)+OFFSET(OperBgt!BW166,0,$D$4)+OFFSET(OperBgt!BW1717,0,$D$4)</f>
        <v>1421222.5609031429</v>
      </c>
      <c r="BW27" s="1161">
        <f ca="1">OFFSET(OperBgt!BX137,0,$D$4)+OFFSET(OperBgt!BX142,0,$D$4)+OFFSET(OperBgt!BX147,0,$D$4)+OFFSET(OperBgt!BX152,0,$D$4)+OFFSET(OperBgt!BX156,0,$D$4)+OFFSET(OperBgt!BX166,0,$D$4)+OFFSET(OperBgt!BX1717,0,$D$4)</f>
        <v>1424727.6791448144</v>
      </c>
      <c r="BX27" s="1161">
        <f ca="1">OFFSET(OperBgt!BY137,0,$D$4)+OFFSET(OperBgt!BY142,0,$D$4)+OFFSET(OperBgt!BY147,0,$D$4)+OFFSET(OperBgt!BY152,0,$D$4)+OFFSET(OperBgt!BY156,0,$D$4)+OFFSET(OperBgt!BY166,0,$D$4)+OFFSET(OperBgt!BY1717,0,$D$4)</f>
        <v>1428241.4419536537</v>
      </c>
      <c r="BY27" s="1161">
        <f ca="1">OFFSET(OperBgt!BZ137,0,$D$4)+OFFSET(OperBgt!BZ142,0,$D$4)+OFFSET(OperBgt!BZ147,0,$D$4)+OFFSET(OperBgt!BZ152,0,$D$4)+OFFSET(OperBgt!BZ156,0,$D$4)+OFFSET(OperBgt!BZ166,0,$D$4)+OFFSET(OperBgt!BZ1717,0,$D$4)</f>
        <v>1431763.8706494954</v>
      </c>
      <c r="BZ27" s="1161">
        <f ca="1">OFFSET(OperBgt!CA137,0,$D$4)+OFFSET(OperBgt!CA142,0,$D$4)+OFFSET(OperBgt!CA147,0,$D$4)+OFFSET(OperBgt!CA152,0,$D$4)+OFFSET(OperBgt!CA156,0,$D$4)+OFFSET(OperBgt!CA166,0,$D$4)+OFFSET(OperBgt!CA1717,0,$D$4)</f>
        <v>1435294.9866047548</v>
      </c>
      <c r="CA27" s="1161">
        <f ca="1">OFFSET(OperBgt!CB137,0,$D$4)+OFFSET(OperBgt!CB142,0,$D$4)+OFFSET(OperBgt!CB147,0,$D$4)+OFFSET(OperBgt!CB152,0,$D$4)+OFFSET(OperBgt!CB156,0,$D$4)+OFFSET(OperBgt!CB166,0,$D$4)+OFFSET(OperBgt!CB1717,0,$D$4)</f>
        <v>1438834.8112445569</v>
      </c>
      <c r="CB27" s="1161">
        <f ca="1">OFFSET(OperBgt!CC137,0,$D$4)+OFFSET(OperBgt!CC142,0,$D$4)+OFFSET(OperBgt!CC147,0,$D$4)+OFFSET(OperBgt!CC152,0,$D$4)+OFFSET(OperBgt!CC156,0,$D$4)+OFFSET(OperBgt!CC166,0,$D$4)+OFFSET(OperBgt!CC1717,0,$D$4)</f>
        <v>1442383.3660468678</v>
      </c>
      <c r="CC27" s="1161">
        <f ca="1">OFFSET(OperBgt!CD137,0,$D$4)+OFFSET(OperBgt!CD142,0,$D$4)+OFFSET(OperBgt!CD147,0,$D$4)+OFFSET(OperBgt!CD152,0,$D$4)+OFFSET(OperBgt!CD156,0,$D$4)+OFFSET(OperBgt!CD166,0,$D$4)+OFFSET(OperBgt!CD1717,0,$D$4)</f>
        <v>1445940.6725426225</v>
      </c>
      <c r="CD27" s="1161">
        <f ca="1">OFFSET(OperBgt!CE137,0,$D$4)+OFFSET(OperBgt!CE142,0,$D$4)+OFFSET(OperBgt!CE147,0,$D$4)+OFFSET(OperBgt!CE152,0,$D$4)+OFFSET(OperBgt!CE156,0,$D$4)+OFFSET(OperBgt!CE166,0,$D$4)+OFFSET(OperBgt!CE1717,0,$D$4)</f>
        <v>1449506.7523158591</v>
      </c>
      <c r="CE27" s="1161">
        <f ca="1">OFFSET(OperBgt!CF137,0,$D$4)+OFFSET(OperBgt!CF142,0,$D$4)+OFFSET(OperBgt!CF147,0,$D$4)+OFFSET(OperBgt!CF152,0,$D$4)+OFFSET(OperBgt!CF156,0,$D$4)+OFFSET(OperBgt!CF166,0,$D$4)+OFFSET(OperBgt!CF1717,0,$D$4)</f>
        <v>1453081.627003846</v>
      </c>
      <c r="CF27" s="1161">
        <f ca="1">OFFSET(OperBgt!CG137,0,$D$4)+OFFSET(OperBgt!CG142,0,$D$4)+OFFSET(OperBgt!CG147,0,$D$4)+OFFSET(OperBgt!CG152,0,$D$4)+OFFSET(OperBgt!CG156,0,$D$4)+OFFSET(OperBgt!CG166,0,$D$4)+OFFSET(OperBgt!CG1717,0,$D$4)</f>
        <v>1456665.318297215</v>
      </c>
      <c r="CG27" s="1161">
        <f ca="1">OFFSET(OperBgt!CH137,0,$D$4)+OFFSET(OperBgt!CH142,0,$D$4)+OFFSET(OperBgt!CH147,0,$D$4)+OFFSET(OperBgt!CH152,0,$D$4)+OFFSET(OperBgt!CH156,0,$D$4)+OFFSET(OperBgt!CH166,0,$D$4)+OFFSET(OperBgt!CH1717,0,$D$4)</f>
        <v>1460257.8479400948</v>
      </c>
      <c r="CH27" s="1161">
        <f ca="1">OFFSET(OperBgt!CI137,0,$D$4)+OFFSET(OperBgt!CI142,0,$D$4)+OFFSET(OperBgt!CI147,0,$D$4)+OFFSET(OperBgt!CI152,0,$D$4)+OFFSET(OperBgt!CI156,0,$D$4)+OFFSET(OperBgt!CI166,0,$D$4)+OFFSET(OperBgt!CI1717,0,$D$4)</f>
        <v>1463859.2377302386</v>
      </c>
      <c r="CI27" s="1161">
        <f ca="1">OFFSET(OperBgt!CJ137,0,$D$4)+OFFSET(OperBgt!CJ142,0,$D$4)+OFFSET(OperBgt!CJ147,0,$D$4)+OFFSET(OperBgt!CJ152,0,$D$4)+OFFSET(OperBgt!CJ156,0,$D$4)+OFFSET(OperBgt!CJ166,0,$D$4)+OFFSET(OperBgt!CJ1717,0,$D$4)</f>
        <v>1467469.5095191603</v>
      </c>
      <c r="CJ27" s="1161">
        <f ca="1">OFFSET(OperBgt!CK137,0,$D$4)+OFFSET(OperBgt!CK142,0,$D$4)+OFFSET(OperBgt!CK147,0,$D$4)+OFFSET(OperBgt!CK152,0,$D$4)+OFFSET(OperBgt!CK156,0,$D$4)+OFFSET(OperBgt!CK166,0,$D$4)+OFFSET(OperBgt!CK1717,0,$D$4)</f>
        <v>1471088.6852122648</v>
      </c>
      <c r="CK27" s="1161">
        <f ca="1">OFFSET(OperBgt!CL137,0,$D$4)+OFFSET(OperBgt!CL142,0,$D$4)+OFFSET(OperBgt!CL147,0,$D$4)+OFFSET(OperBgt!CL152,0,$D$4)+OFFSET(OperBgt!CL156,0,$D$4)+OFFSET(OperBgt!CL166,0,$D$4)+OFFSET(OperBgt!CL1717,0,$D$4)</f>
        <v>1474716.7867689817</v>
      </c>
      <c r="CL27" s="1161">
        <f ca="1">OFFSET(OperBgt!CM137,0,$D$4)+OFFSET(OperBgt!CM142,0,$D$4)+OFFSET(OperBgt!CM147,0,$D$4)+OFFSET(OperBgt!CM152,0,$D$4)+OFFSET(OperBgt!CM156,0,$D$4)+OFFSET(OperBgt!CM166,0,$D$4)+OFFSET(OperBgt!CM1717,0,$D$4)</f>
        <v>1478353.8362028988</v>
      </c>
      <c r="CM27" s="1161">
        <f ca="1">OFFSET(OperBgt!CN137,0,$D$4)+OFFSET(OperBgt!CN142,0,$D$4)+OFFSET(OperBgt!CN147,0,$D$4)+OFFSET(OperBgt!CN152,0,$D$4)+OFFSET(OperBgt!CN156,0,$D$4)+OFFSET(OperBgt!CN166,0,$D$4)+OFFSET(OperBgt!CN1717,0,$D$4)</f>
        <v>1481999.8555818952</v>
      </c>
      <c r="CN27" s="1161">
        <f ca="1">OFFSET(OperBgt!CO137,0,$D$4)+OFFSET(OperBgt!CO142,0,$D$4)+OFFSET(OperBgt!CO147,0,$D$4)+OFFSET(OperBgt!CO152,0,$D$4)+OFFSET(OperBgt!CO156,0,$D$4)+OFFSET(OperBgt!CO166,0,$D$4)+OFFSET(OperBgt!CO1717,0,$D$4)</f>
        <v>1485654.8670282755</v>
      </c>
      <c r="CO27" s="1161">
        <f ca="1">OFFSET(OperBgt!CP137,0,$D$4)+OFFSET(OperBgt!CP142,0,$D$4)+OFFSET(OperBgt!CP147,0,$D$4)+OFFSET(OperBgt!CP152,0,$D$4)+OFFSET(OperBgt!CP156,0,$D$4)+OFFSET(OperBgt!CP166,0,$D$4)+OFFSET(OperBgt!CP1717,0,$D$4)</f>
        <v>1489318.8927189028</v>
      </c>
      <c r="CP27" s="1161">
        <f ca="1">OFFSET(OperBgt!CQ137,0,$D$4)+OFFSET(OperBgt!CQ142,0,$D$4)+OFFSET(OperBgt!CQ147,0,$D$4)+OFFSET(OperBgt!CQ152,0,$D$4)+OFFSET(OperBgt!CQ156,0,$D$4)+OFFSET(OperBgt!CQ166,0,$D$4)+OFFSET(OperBgt!CQ1717,0,$D$4)</f>
        <v>1492991.9548853363</v>
      </c>
      <c r="CQ27" s="1161">
        <f ca="1">OFFSET(OperBgt!CR137,0,$D$4)+OFFSET(OperBgt!CR142,0,$D$4)+OFFSET(OperBgt!CR147,0,$D$4)+OFFSET(OperBgt!CR152,0,$D$4)+OFFSET(OperBgt!CR156,0,$D$4)+OFFSET(OperBgt!CR166,0,$D$4)+OFFSET(OperBgt!CR1717,0,$D$4)</f>
        <v>1496674.0758139626</v>
      </c>
      <c r="CR27" s="1161">
        <f ca="1">OFFSET(OperBgt!CS137,0,$D$4)+OFFSET(OperBgt!CS142,0,$D$4)+OFFSET(OperBgt!CS147,0,$D$4)+OFFSET(OperBgt!CS152,0,$D$4)+OFFSET(OperBgt!CS156,0,$D$4)+OFFSET(OperBgt!CS166,0,$D$4)+OFFSET(OperBgt!CS1717,0,$D$4)</f>
        <v>1500365.2778461333</v>
      </c>
      <c r="CS27" s="1161">
        <f ca="1">OFFSET(OperBgt!CT137,0,$D$4)+OFFSET(OperBgt!CT142,0,$D$4)+OFFSET(OperBgt!CT147,0,$D$4)+OFFSET(OperBgt!CT152,0,$D$4)+OFFSET(OperBgt!CT156,0,$D$4)+OFFSET(OperBgt!CT166,0,$D$4)+OFFSET(OperBgt!CT1717,0,$D$4)</f>
        <v>1504065.5833782994</v>
      </c>
      <c r="CT27" s="1161">
        <f ca="1">OFFSET(OperBgt!CU137,0,$D$4)+OFFSET(OperBgt!CU142,0,$D$4)+OFFSET(OperBgt!CU147,0,$D$4)+OFFSET(OperBgt!CU152,0,$D$4)+OFFSET(OperBgt!CU156,0,$D$4)+OFFSET(OperBgt!CU166,0,$D$4)+OFFSET(OperBgt!CU1717,0,$D$4)</f>
        <v>1507775.0148621474</v>
      </c>
      <c r="CU27" s="1161">
        <f ca="1">OFFSET(OperBgt!CV137,0,$D$4)+OFFSET(OperBgt!CV142,0,$D$4)+OFFSET(OperBgt!CV147,0,$D$4)+OFFSET(OperBgt!CV152,0,$D$4)+OFFSET(OperBgt!CV156,0,$D$4)+OFFSET(OperBgt!CV166,0,$D$4)+OFFSET(OperBgt!CV1717,0,$D$4)</f>
        <v>1511493.5948047366</v>
      </c>
      <c r="CV27" s="1161">
        <f ca="1">OFFSET(OperBgt!CW137,0,$D$4)+OFFSET(OperBgt!CW142,0,$D$4)+OFFSET(OperBgt!CW147,0,$D$4)+OFFSET(OperBgt!CW152,0,$D$4)+OFFSET(OperBgt!CW156,0,$D$4)+OFFSET(OperBgt!CW166,0,$D$4)+OFFSET(OperBgt!CW1717,0,$D$4)</f>
        <v>1515221.3457686345</v>
      </c>
      <c r="CW27" s="1161">
        <f ca="1">OFFSET(OperBgt!CX137,0,$D$4)+OFFSET(OperBgt!CX142,0,$D$4)+OFFSET(OperBgt!CX147,0,$D$4)+OFFSET(OperBgt!CX152,0,$D$4)+OFFSET(OperBgt!CX156,0,$D$4)+OFFSET(OperBgt!CX166,0,$D$4)+OFFSET(OperBgt!CX1717,0,$D$4)</f>
        <v>1518958.2903720527</v>
      </c>
      <c r="CX27" s="1161">
        <f ca="1">OFFSET(OperBgt!CY137,0,$D$4)+OFFSET(OperBgt!CY142,0,$D$4)+OFFSET(OperBgt!CY147,0,$D$4)+OFFSET(OperBgt!CY152,0,$D$4)+OFFSET(OperBgt!CY156,0,$D$4)+OFFSET(OperBgt!CY166,0,$D$4)+OFFSET(OperBgt!CY1717,0,$D$4)</f>
        <v>1522704.4512889876</v>
      </c>
      <c r="CY27" s="1161">
        <f ca="1">OFFSET(OperBgt!CZ137,0,$D$4)+OFFSET(OperBgt!CZ142,0,$D$4)+OFFSET(OperBgt!CZ147,0,$D$4)+OFFSET(OperBgt!CZ152,0,$D$4)+OFFSET(OperBgt!CZ156,0,$D$4)+OFFSET(OperBgt!CZ166,0,$D$4)+OFFSET(OperBgt!CZ1717,0,$D$4)</f>
        <v>1526459.8512493537</v>
      </c>
      <c r="CZ27" s="1161">
        <f ca="1">OFFSET(OperBgt!DA137,0,$D$4)+OFFSET(OperBgt!DA142,0,$D$4)+OFFSET(OperBgt!DA147,0,$D$4)+OFFSET(OperBgt!DA152,0,$D$4)+OFFSET(OperBgt!DA156,0,$D$4)+OFFSET(OperBgt!DA166,0,$D$4)+OFFSET(OperBgt!DA1717,0,$D$4)</f>
        <v>1530224.5130391254</v>
      </c>
      <c r="DA27" s="1161">
        <f ca="1">OFFSET(OperBgt!DB137,0,$D$4)+OFFSET(OperBgt!DB142,0,$D$4)+OFFSET(OperBgt!DB147,0,$D$4)+OFFSET(OperBgt!DB152,0,$D$4)+OFFSET(OperBgt!DB156,0,$D$4)+OFFSET(OperBgt!DB166,0,$D$4)+OFFSET(OperBgt!DB1717,0,$D$4)</f>
        <v>1533998.4595004721</v>
      </c>
      <c r="DB27" s="1161">
        <f ca="1">OFFSET(OperBgt!DC137,0,$D$4)+OFFSET(OperBgt!DC142,0,$D$4)+OFFSET(OperBgt!DC147,0,$D$4)+OFFSET(OperBgt!DC152,0,$D$4)+OFFSET(OperBgt!DC156,0,$D$4)+OFFSET(OperBgt!DC166,0,$D$4)+OFFSET(OperBgt!DC1717,0,$D$4)</f>
        <v>1537781.7135318981</v>
      </c>
      <c r="DC27" s="1161">
        <f ca="1">OFFSET(OperBgt!DD137,0,$D$4)+OFFSET(OperBgt!DD142,0,$D$4)+OFFSET(OperBgt!DD147,0,$D$4)+OFFSET(OperBgt!DD152,0,$D$4)+OFFSET(OperBgt!DD156,0,$D$4)+OFFSET(OperBgt!DD166,0,$D$4)+OFFSET(OperBgt!DD1717,0,$D$4)</f>
        <v>1541574.2980883834</v>
      </c>
      <c r="DD27" s="1161">
        <f ca="1">OFFSET(OperBgt!DE137,0,$D$4)+OFFSET(OperBgt!DE142,0,$D$4)+OFFSET(OperBgt!DE147,0,$D$4)+OFFSET(OperBgt!DE152,0,$D$4)+OFFSET(OperBgt!DE156,0,$D$4)+OFFSET(OperBgt!DE166,0,$D$4)+OFFSET(OperBgt!DE1717,0,$D$4)</f>
        <v>1545376.236181519</v>
      </c>
      <c r="DE27" s="1161">
        <f ca="1">OFFSET(OperBgt!DF137,0,$D$4)+OFFSET(OperBgt!DF142,0,$D$4)+OFFSET(OperBgt!DF147,0,$D$4)+OFFSET(OperBgt!DF152,0,$D$4)+OFFSET(OperBgt!DF156,0,$D$4)+OFFSET(OperBgt!DF166,0,$D$4)+OFFSET(OperBgt!DF1717,0,$D$4)</f>
        <v>1549187.5508796501</v>
      </c>
      <c r="DF27" s="1161">
        <f ca="1">OFFSET(OperBgt!DG137,0,$D$4)+OFFSET(OperBgt!DG142,0,$D$4)+OFFSET(OperBgt!DG147,0,$D$4)+OFFSET(OperBgt!DG152,0,$D$4)+OFFSET(OperBgt!DG156,0,$D$4)+OFFSET(OperBgt!DG166,0,$D$4)+OFFSET(OperBgt!DG1717,0,$D$4)</f>
        <v>1553008.2653080137</v>
      </c>
      <c r="DG27" s="1161">
        <f ca="1">OFFSET(OperBgt!DH137,0,$D$4)+OFFSET(OperBgt!DH142,0,$D$4)+OFFSET(OperBgt!DH147,0,$D$4)+OFFSET(OperBgt!DH152,0,$D$4)+OFFSET(OperBgt!DH156,0,$D$4)+OFFSET(OperBgt!DH166,0,$D$4)+OFFSET(OperBgt!DH1717,0,$D$4)</f>
        <v>1556838.4026488806</v>
      </c>
      <c r="DH27" s="1161">
        <f ca="1">OFFSET(OperBgt!DI137,0,$D$4)+OFFSET(OperBgt!DI142,0,$D$4)+OFFSET(OperBgt!DI147,0,$D$4)+OFFSET(OperBgt!DI152,0,$D$4)+OFFSET(OperBgt!DI156,0,$D$4)+OFFSET(OperBgt!DI166,0,$D$4)+OFFSET(OperBgt!DI1717,0,$D$4)</f>
        <v>1560677.9861416952</v>
      </c>
      <c r="DI27" s="1161">
        <f ca="1">OFFSET(OperBgt!DJ137,0,$D$4)+OFFSET(OperBgt!DJ142,0,$D$4)+OFFSET(OperBgt!DJ147,0,$D$4)+OFFSET(OperBgt!DJ152,0,$D$4)+OFFSET(OperBgt!DJ156,0,$D$4)+OFFSET(OperBgt!DJ166,0,$D$4)+OFFSET(OperBgt!DJ1717,0,$D$4)</f>
        <v>1564527.0390832163</v>
      </c>
      <c r="DJ27" s="1161">
        <f ca="1">OFFSET(OperBgt!DK137,0,$D$4)+OFFSET(OperBgt!DK142,0,$D$4)+OFFSET(OperBgt!DK147,0,$D$4)+OFFSET(OperBgt!DK152,0,$D$4)+OFFSET(OperBgt!DK156,0,$D$4)+OFFSET(OperBgt!DK166,0,$D$4)+OFFSET(OperBgt!DK1717,0,$D$4)</f>
        <v>1568385.584827659</v>
      </c>
      <c r="DK27" s="1161">
        <f ca="1">OFFSET(OperBgt!DL137,0,$D$4)+OFFSET(OperBgt!DL142,0,$D$4)+OFFSET(OperBgt!DL147,0,$D$4)+OFFSET(OperBgt!DL152,0,$D$4)+OFFSET(OperBgt!DL156,0,$D$4)+OFFSET(OperBgt!DL166,0,$D$4)+OFFSET(OperBgt!DL1717,0,$D$4)</f>
        <v>1572253.6467868362</v>
      </c>
      <c r="DL27" s="1161">
        <f ca="1">OFFSET(OperBgt!DM137,0,$D$4)+OFFSET(OperBgt!DM142,0,$D$4)+OFFSET(OperBgt!DM147,0,$D$4)+OFFSET(OperBgt!DM152,0,$D$4)+OFFSET(OperBgt!DM156,0,$D$4)+OFFSET(OperBgt!DM166,0,$D$4)+OFFSET(OperBgt!DM1717,0,$D$4)</f>
        <v>1576131.2484303007</v>
      </c>
      <c r="DM27" s="1161">
        <f ca="1">OFFSET(OperBgt!DN137,0,$D$4)+OFFSET(OperBgt!DN142,0,$D$4)+OFFSET(OperBgt!DN147,0,$D$4)+OFFSET(OperBgt!DN152,0,$D$4)+OFFSET(OperBgt!DN156,0,$D$4)+OFFSET(OperBgt!DN166,0,$D$4)+OFFSET(OperBgt!DN1717,0,$D$4)</f>
        <v>1580018.4132854876</v>
      </c>
      <c r="DN27" s="1161">
        <f ca="1">OFFSET(OperBgt!DO137,0,$D$4)+OFFSET(OperBgt!DO142,0,$D$4)+OFFSET(OperBgt!DO147,0,$D$4)+OFFSET(OperBgt!DO152,0,$D$4)+OFFSET(OperBgt!DO156,0,$D$4)+OFFSET(OperBgt!DO166,0,$D$4)+OFFSET(OperBgt!DO1717,0,$D$4)</f>
        <v>1583915.1649378571</v>
      </c>
      <c r="DO27" s="1161">
        <f ca="1">OFFSET(OperBgt!DP137,0,$D$4)+OFFSET(OperBgt!DP142,0,$D$4)+OFFSET(OperBgt!DP147,0,$D$4)+OFFSET(OperBgt!DP152,0,$D$4)+OFFSET(OperBgt!DP156,0,$D$4)+OFFSET(OperBgt!DP166,0,$D$4)+OFFSET(OperBgt!DP1717,0,$D$4)</f>
        <v>1587821.5270310366</v>
      </c>
      <c r="DP27" s="1161">
        <f ca="1">OFFSET(OperBgt!DQ137,0,$D$4)+OFFSET(OperBgt!DQ142,0,$D$4)+OFFSET(OperBgt!DQ147,0,$D$4)+OFFSET(OperBgt!DQ152,0,$D$4)+OFFSET(OperBgt!DQ156,0,$D$4)+OFFSET(OperBgt!DQ166,0,$D$4)+OFFSET(OperBgt!DQ1717,0,$D$4)</f>
        <v>1591737.5232669665</v>
      </c>
      <c r="DQ27" s="1161">
        <f ca="1">OFFSET(OperBgt!DR137,0,$D$4)+OFFSET(OperBgt!DR142,0,$D$4)+OFFSET(OperBgt!DR147,0,$D$4)+OFFSET(OperBgt!DR152,0,$D$4)+OFFSET(OperBgt!DR156,0,$D$4)+OFFSET(OperBgt!DR166,0,$D$4)+OFFSET(OperBgt!DR1717,0,$D$4)</f>
        <v>1595663.1774060412</v>
      </c>
      <c r="DR27" s="1161">
        <f ca="1">OFFSET(OperBgt!DS137,0,$D$4)+OFFSET(OperBgt!DS142,0,$D$4)+OFFSET(OperBgt!DS147,0,$D$4)+OFFSET(OperBgt!DS152,0,$D$4)+OFFSET(OperBgt!DS156,0,$D$4)+OFFSET(OperBgt!DS166,0,$D$4)+OFFSET(OperBgt!DS1717,0,$D$4)</f>
        <v>1599598.5132672559</v>
      </c>
      <c r="DS27" s="1161">
        <f ca="1">OFFSET(OperBgt!DT137,0,$D$4)+OFFSET(OperBgt!DT142,0,$D$4)+OFFSET(OperBgt!DT147,0,$D$4)+OFFSET(OperBgt!DT152,0,$D$4)+OFFSET(OperBgt!DT156,0,$D$4)+OFFSET(OperBgt!DT166,0,$D$4)+OFFSET(OperBgt!DT1717,0,$D$4)</f>
        <v>1603543.5547283487</v>
      </c>
      <c r="DT27" s="1161">
        <f ca="1">OFFSET(OperBgt!DU137,0,$D$4)+OFFSET(OperBgt!DU142,0,$D$4)+OFFSET(OperBgt!DU147,0,$D$4)+OFFSET(OperBgt!DU152,0,$D$4)+OFFSET(OperBgt!DU156,0,$D$4)+OFFSET(OperBgt!DU166,0,$D$4)+OFFSET(OperBgt!DU1717,0,$D$4)</f>
        <v>1607498.3257259475</v>
      </c>
      <c r="DU27" s="1161">
        <f ca="1">OFFSET(OperBgt!DV137,0,$D$4)+OFFSET(OperBgt!DV142,0,$D$4)+OFFSET(OperBgt!DV147,0,$D$4)+OFFSET(OperBgt!DV152,0,$D$4)+OFFSET(OperBgt!DV156,0,$D$4)+OFFSET(OperBgt!DV166,0,$D$4)+OFFSET(OperBgt!DV1717,0,$D$4)</f>
        <v>1611462.8502557143</v>
      </c>
      <c r="DV27" s="1161">
        <f ca="1">OFFSET(OperBgt!DW137,0,$D$4)+OFFSET(OperBgt!DW142,0,$D$4)+OFFSET(OperBgt!DW147,0,$D$4)+OFFSET(OperBgt!DW152,0,$D$4)+OFFSET(OperBgt!DW156,0,$D$4)+OFFSET(OperBgt!DW166,0,$D$4)+OFFSET(OperBgt!DW1717,0,$D$4)</f>
        <v>1615437.1523724901</v>
      </c>
      <c r="DW27" s="1161">
        <f ca="1">OFFSET(OperBgt!DX137,0,$D$4)+OFFSET(OperBgt!DX142,0,$D$4)+OFFSET(OperBgt!DX147,0,$D$4)+OFFSET(OperBgt!DX152,0,$D$4)+OFFSET(OperBgt!DX156,0,$D$4)+OFFSET(OperBgt!DX166,0,$D$4)+OFFSET(OperBgt!DX1717,0,$D$4)</f>
        <v>1619421.2561904429</v>
      </c>
      <c r="DX27" s="1161">
        <f ca="1">OFFSET(OperBgt!DY137,0,$D$4)+OFFSET(OperBgt!DY142,0,$D$4)+OFFSET(OperBgt!DY147,0,$D$4)+OFFSET(OperBgt!DY152,0,$D$4)+OFFSET(OperBgt!DY156,0,$D$4)+OFFSET(OperBgt!DY166,0,$D$4)+OFFSET(OperBgt!DY1717,0,$D$4)</f>
        <v>1623415.1858832114</v>
      </c>
      <c r="DY27" s="1161">
        <f ca="1">OFFSET(OperBgt!DZ137,0,$D$4)+OFFSET(OperBgt!DZ142,0,$D$4)+OFFSET(OperBgt!DZ147,0,$D$4)+OFFSET(OperBgt!DZ152,0,$D$4)+OFFSET(OperBgt!DZ156,0,$D$4)+OFFSET(OperBgt!DZ166,0,$D$4)+OFFSET(OperBgt!DZ1717,0,$D$4)</f>
        <v>1627418.965684054</v>
      </c>
      <c r="DZ27" s="1161">
        <f ca="1">OFFSET(OperBgt!EA137,0,$D$4)+OFFSET(OperBgt!EA142,0,$D$4)+OFFSET(OperBgt!EA147,0,$D$4)+OFFSET(OperBgt!EA152,0,$D$4)+OFFSET(OperBgt!EA156,0,$D$4)+OFFSET(OperBgt!EA166,0,$D$4)+OFFSET(OperBgt!EA1717,0,$D$4)</f>
        <v>1631432.6198859944</v>
      </c>
      <c r="EA27" s="1161">
        <f ca="1">OFFSET(OperBgt!EB137,0,$D$4)+OFFSET(OperBgt!EB142,0,$D$4)+OFFSET(OperBgt!EB147,0,$D$4)+OFFSET(OperBgt!EB152,0,$D$4)+OFFSET(OperBgt!EB156,0,$D$4)+OFFSET(OperBgt!EB166,0,$D$4)+OFFSET(OperBgt!EB1717,0,$D$4)</f>
        <v>1635456.1728419692</v>
      </c>
      <c r="EB27" s="1161">
        <f ca="1">OFFSET(OperBgt!EC137,0,$D$4)+OFFSET(OperBgt!EC142,0,$D$4)+OFFSET(OperBgt!EC147,0,$D$4)+OFFSET(OperBgt!EC152,0,$D$4)+OFFSET(OperBgt!EC156,0,$D$4)+OFFSET(OperBgt!EC166,0,$D$4)+OFFSET(OperBgt!EC1717,0,$D$4)</f>
        <v>1639489.6489649769</v>
      </c>
      <c r="EC27" s="1161">
        <f ca="1">OFFSET(OperBgt!ED137,0,$D$4)+OFFSET(OperBgt!ED142,0,$D$4)+OFFSET(OperBgt!ED147,0,$D$4)+OFFSET(OperBgt!ED152,0,$D$4)+OFFSET(OperBgt!ED156,0,$D$4)+OFFSET(OperBgt!ED166,0,$D$4)+OFFSET(OperBgt!ED1717,0,$D$4)</f>
        <v>1643533.0727282241</v>
      </c>
      <c r="ED27" s="1161">
        <f ca="1">OFFSET(OperBgt!EE137,0,$D$4)+OFFSET(OperBgt!EE142,0,$D$4)+OFFSET(OperBgt!EE147,0,$D$4)+OFFSET(OperBgt!EE152,0,$D$4)+OFFSET(OperBgt!EE156,0,$D$4)+OFFSET(OperBgt!EE166,0,$D$4)+OFFSET(OperBgt!EE1717,0,$D$4)</f>
        <v>1647586.468665275</v>
      </c>
      <c r="EE27" s="1161">
        <f ca="1">OFFSET(OperBgt!EF137,0,$D$4)+OFFSET(OperBgt!EF142,0,$D$4)+OFFSET(OperBgt!EF147,0,$D$4)+OFFSET(OperBgt!EF152,0,$D$4)+OFFSET(OperBgt!EF156,0,$D$4)+OFFSET(OperBgt!EF166,0,$D$4)+OFFSET(OperBgt!EF1717,0,$D$4)</f>
        <v>1651649.8613702008</v>
      </c>
      <c r="EF27" s="1161">
        <f ca="1">OFFSET(OperBgt!EG137,0,$D$4)+OFFSET(OperBgt!EG142,0,$D$4)+OFFSET(OperBgt!EG147,0,$D$4)+OFFSET(OperBgt!EG152,0,$D$4)+OFFSET(OperBgt!EG156,0,$D$4)+OFFSET(OperBgt!EG166,0,$D$4)+OFFSET(OperBgt!EG1717,0,$D$4)</f>
        <v>1655723.2754977278</v>
      </c>
      <c r="EG27" s="1161">
        <f ca="1">OFFSET(OperBgt!EH137,0,$D$4)+OFFSET(OperBgt!EH142,0,$D$4)+OFFSET(OperBgt!EH147,0,$D$4)+OFFSET(OperBgt!EH152,0,$D$4)+OFFSET(OperBgt!EH156,0,$D$4)+OFFSET(OperBgt!EH166,0,$D$4)+OFFSET(OperBgt!EH1717,0,$D$4)</f>
        <v>1659806.7357633873</v>
      </c>
      <c r="EH27" s="778"/>
    </row>
    <row r="28" spans="2:138" ht="12.75" customHeight="1" x14ac:dyDescent="0.3">
      <c r="B28" s="1155" t="s">
        <v>307</v>
      </c>
      <c r="C28" s="1159" t="str">
        <f t="shared" si="6"/>
        <v xml:space="preserve"> Construction loan drawdown</v>
      </c>
      <c r="E28" s="1160">
        <f ca="1">IF(D14=0,Waterfalls!E10,SUM(Waterfalls!E10:F10))</f>
        <v>0</v>
      </c>
      <c r="F28" s="1161">
        <f ca="1">OFFSET(Waterfalls!F10,0,$D$4)</f>
        <v>0</v>
      </c>
      <c r="G28" s="1161">
        <f ca="1">OFFSET(Waterfalls!G10,0,$D$4)</f>
        <v>0</v>
      </c>
      <c r="H28" s="1161">
        <f ca="1">OFFSET(Waterfalls!H10,0,$D$4)</f>
        <v>0</v>
      </c>
      <c r="I28" s="1161">
        <f ca="1">OFFSET(Waterfalls!I10,0,$D$4)</f>
        <v>0</v>
      </c>
      <c r="J28" s="1161">
        <f ca="1">OFFSET(Waterfalls!J10,0,$D$4)</f>
        <v>0</v>
      </c>
      <c r="K28" s="1161">
        <f ca="1">OFFSET(Waterfalls!K10,0,$D$4)</f>
        <v>0</v>
      </c>
      <c r="L28" s="1161">
        <f ca="1">OFFSET(Waterfalls!L10,0,$D$4)</f>
        <v>0</v>
      </c>
      <c r="M28" s="1161">
        <f ca="1">OFFSET(Waterfalls!M10,0,$D$4)</f>
        <v>0</v>
      </c>
      <c r="N28" s="1161">
        <f ca="1">OFFSET(Waterfalls!N10,0,$D$4)</f>
        <v>0</v>
      </c>
      <c r="O28" s="1161">
        <f ca="1">OFFSET(Waterfalls!O10,0,$D$4)</f>
        <v>1711728.34</v>
      </c>
      <c r="P28" s="1161">
        <f ca="1">OFFSET(Waterfalls!P10,0,$D$4)</f>
        <v>3985499.753</v>
      </c>
      <c r="Q28" s="1161">
        <f ca="1">OFFSET(Waterfalls!Q10,0,$D$4)</f>
        <v>4035971.77</v>
      </c>
      <c r="R28" s="1161">
        <f ca="1">OFFSET(Waterfalls!R10,0,$D$4)</f>
        <v>4074891.125</v>
      </c>
      <c r="S28" s="1161">
        <f ca="1">OFFSET(Waterfalls!S10,0,$D$4)</f>
        <v>3814169.165</v>
      </c>
      <c r="T28" s="1161">
        <f ca="1">OFFSET(Waterfalls!T10,0,$D$4)</f>
        <v>3707242.1469999999</v>
      </c>
      <c r="U28" s="1161">
        <f ca="1">OFFSET(Waterfalls!U10,0,$D$4)</f>
        <v>3438642.0860000001</v>
      </c>
      <c r="V28" s="1161">
        <f ca="1">OFFSET(Waterfalls!V10,0,$D$4)</f>
        <v>3101741.8790000002</v>
      </c>
      <c r="W28" s="1161">
        <f ca="1">OFFSET(Waterfalls!W10,0,$D$4)</f>
        <v>3086112.8330000001</v>
      </c>
      <c r="X28" s="1161">
        <f ca="1">OFFSET(Waterfalls!X10,0,$D$4)</f>
        <v>2840813.906</v>
      </c>
      <c r="Y28" s="1161">
        <f ca="1">OFFSET(Waterfalls!Y10,0,$D$4)</f>
        <v>2407340.2429999998</v>
      </c>
      <c r="Z28" s="1161">
        <f ca="1">OFFSET(Waterfalls!Z10,0,$D$4)</f>
        <v>2066917.1910000001</v>
      </c>
      <c r="AA28" s="1161">
        <f ca="1">OFFSET(Waterfalls!AA10,0,$D$4)</f>
        <v>1736150.3459999999</v>
      </c>
      <c r="AB28" s="1161">
        <f ca="1">OFFSET(Waterfalls!AB10,0,$D$4)</f>
        <v>1202087.5789999999</v>
      </c>
      <c r="AC28" s="1161">
        <f ca="1">OFFSET(Waterfalls!AC10,0,$D$4)</f>
        <v>990780.74</v>
      </c>
      <c r="AD28" s="1161">
        <f ca="1">OFFSET(Waterfalls!AD10,0,$D$4)</f>
        <v>677704.28399999999</v>
      </c>
      <c r="AE28" s="1161">
        <f ca="1">OFFSET(Waterfalls!AE10,0,$D$4)</f>
        <v>0</v>
      </c>
      <c r="AF28" s="1161">
        <f ca="1">OFFSET(Waterfalls!AF10,0,$D$4)</f>
        <v>0</v>
      </c>
      <c r="AG28" s="1161">
        <f ca="1">OFFSET(Waterfalls!AG10,0,$D$4)</f>
        <v>0</v>
      </c>
      <c r="AH28" s="1161">
        <f ca="1">OFFSET(Waterfalls!AH10,0,$D$4)</f>
        <v>0</v>
      </c>
      <c r="AI28" s="1161">
        <f ca="1">OFFSET(Waterfalls!AI10,0,$D$4)</f>
        <v>0</v>
      </c>
      <c r="AJ28" s="1161">
        <f ca="1">OFFSET(Waterfalls!AJ10,0,$D$4)</f>
        <v>0</v>
      </c>
      <c r="AK28" s="1161">
        <f ca="1">OFFSET(Waterfalls!AK10,0,$D$4)</f>
        <v>0</v>
      </c>
      <c r="AL28" s="1161">
        <f ca="1">OFFSET(Waterfalls!AL10,0,$D$4)</f>
        <v>0</v>
      </c>
      <c r="AM28" s="1161">
        <f ca="1">OFFSET(Waterfalls!AM10,0,$D$4)</f>
        <v>0</v>
      </c>
      <c r="AN28" s="1161">
        <f ca="1">OFFSET(Waterfalls!AN10,0,$D$4)</f>
        <v>0</v>
      </c>
      <c r="AO28" s="1161">
        <f ca="1">OFFSET(Waterfalls!AO10,0,$D$4)</f>
        <v>0</v>
      </c>
      <c r="AP28" s="1161">
        <f ca="1">OFFSET(Waterfalls!AP10,0,$D$4)</f>
        <v>0</v>
      </c>
      <c r="AQ28" s="1161">
        <f ca="1">OFFSET(Waterfalls!AQ10,0,$D$4)</f>
        <v>0</v>
      </c>
      <c r="AR28" s="1161">
        <f ca="1">OFFSET(Waterfalls!AR10,0,$D$4)</f>
        <v>0</v>
      </c>
      <c r="AS28" s="1161">
        <f ca="1">OFFSET(Waterfalls!AS10,0,$D$4)</f>
        <v>0</v>
      </c>
      <c r="AT28" s="1161">
        <f ca="1">OFFSET(Waterfalls!AT10,0,$D$4)</f>
        <v>0</v>
      </c>
      <c r="AU28" s="1161">
        <f ca="1">OFFSET(Waterfalls!AU10,0,$D$4)</f>
        <v>0</v>
      </c>
      <c r="AV28" s="1161">
        <f ca="1">OFFSET(Waterfalls!AV10,0,$D$4)</f>
        <v>0</v>
      </c>
      <c r="AW28" s="1161">
        <f ca="1">OFFSET(Waterfalls!AW10,0,$D$4)</f>
        <v>0</v>
      </c>
      <c r="AX28" s="1161">
        <f ca="1">OFFSET(Waterfalls!AX10,0,$D$4)</f>
        <v>0</v>
      </c>
      <c r="AY28" s="1161">
        <f ca="1">OFFSET(Waterfalls!AY10,0,$D$4)</f>
        <v>0</v>
      </c>
      <c r="AZ28" s="1161">
        <f ca="1">OFFSET(Waterfalls!AZ10,0,$D$4)</f>
        <v>0</v>
      </c>
      <c r="BA28" s="1161">
        <f ca="1">OFFSET(Waterfalls!BA10,0,$D$4)</f>
        <v>0</v>
      </c>
      <c r="BB28" s="1161">
        <f ca="1">OFFSET(Waterfalls!BB10,0,$D$4)</f>
        <v>0</v>
      </c>
      <c r="BC28" s="1161">
        <f ca="1">OFFSET(Waterfalls!BC10,0,$D$4)</f>
        <v>0</v>
      </c>
      <c r="BD28" s="1161">
        <f ca="1">OFFSET(Waterfalls!BD10,0,$D$4)</f>
        <v>0</v>
      </c>
      <c r="BE28" s="1161">
        <f ca="1">OFFSET(Waterfalls!BE10,0,$D$4)</f>
        <v>0</v>
      </c>
      <c r="BF28" s="1161">
        <f ca="1">OFFSET(Waterfalls!BF10,0,$D$4)</f>
        <v>0</v>
      </c>
      <c r="BG28" s="1161">
        <f ca="1">OFFSET(Waterfalls!BG10,0,$D$4)</f>
        <v>0</v>
      </c>
      <c r="BH28" s="1161">
        <f ca="1">OFFSET(Waterfalls!BH10,0,$D$4)</f>
        <v>0</v>
      </c>
      <c r="BI28" s="1161">
        <f ca="1">OFFSET(Waterfalls!BI10,0,$D$4)</f>
        <v>0</v>
      </c>
      <c r="BJ28" s="1161">
        <f ca="1">OFFSET(Waterfalls!BJ10,0,$D$4)</f>
        <v>0</v>
      </c>
      <c r="BK28" s="1161">
        <f ca="1">OFFSET(Waterfalls!BK10,0,$D$4)</f>
        <v>0</v>
      </c>
      <c r="BL28" s="1161">
        <f ca="1">OFFSET(Waterfalls!BL10,0,$D$4)</f>
        <v>0</v>
      </c>
      <c r="BM28" s="1161">
        <f ca="1">OFFSET(Waterfalls!BM10,0,$D$4)</f>
        <v>0</v>
      </c>
      <c r="BN28" s="1161">
        <f ca="1">OFFSET(Waterfalls!BN10,0,$D$4)</f>
        <v>0</v>
      </c>
      <c r="BO28" s="1161">
        <f ca="1">OFFSET(Waterfalls!BO10,0,$D$4)</f>
        <v>0</v>
      </c>
      <c r="BP28" s="1161">
        <f ca="1">OFFSET(Waterfalls!BP10,0,$D$4)</f>
        <v>0</v>
      </c>
      <c r="BQ28" s="1161">
        <f ca="1">OFFSET(Waterfalls!BQ10,0,$D$4)</f>
        <v>0</v>
      </c>
      <c r="BR28" s="1161">
        <f ca="1">OFFSET(Waterfalls!BR10,0,$D$4)</f>
        <v>0</v>
      </c>
      <c r="BS28" s="1161">
        <f ca="1">OFFSET(Waterfalls!BS10,0,$D$4)</f>
        <v>0</v>
      </c>
      <c r="BT28" s="1161">
        <f ca="1">OFFSET(Waterfalls!BT10,0,$D$4)</f>
        <v>0</v>
      </c>
      <c r="BU28" s="1161">
        <f ca="1">OFFSET(Waterfalls!BU10,0,$D$4)</f>
        <v>0</v>
      </c>
      <c r="BV28" s="1161">
        <f ca="1">OFFSET(Waterfalls!BV10,0,$D$4)</f>
        <v>0</v>
      </c>
      <c r="BW28" s="1161">
        <f ca="1">OFFSET(Waterfalls!BW10,0,$D$4)</f>
        <v>0</v>
      </c>
      <c r="BX28" s="1161">
        <f ca="1">OFFSET(Waterfalls!BX10,0,$D$4)</f>
        <v>0</v>
      </c>
      <c r="BY28" s="1161">
        <f ca="1">OFFSET(Waterfalls!BY10,0,$D$4)</f>
        <v>0</v>
      </c>
      <c r="BZ28" s="1161">
        <f ca="1">OFFSET(Waterfalls!BZ10,0,$D$4)</f>
        <v>0</v>
      </c>
      <c r="CA28" s="1161">
        <f ca="1">OFFSET(Waterfalls!CA10,0,$D$4)</f>
        <v>0</v>
      </c>
      <c r="CB28" s="1161">
        <f ca="1">OFFSET(Waterfalls!CB10,0,$D$4)</f>
        <v>0</v>
      </c>
      <c r="CC28" s="1161">
        <f ca="1">OFFSET(Waterfalls!CC10,0,$D$4)</f>
        <v>0</v>
      </c>
      <c r="CD28" s="1161">
        <f ca="1">OFFSET(Waterfalls!CD10,0,$D$4)</f>
        <v>0</v>
      </c>
      <c r="CE28" s="1161">
        <f ca="1">OFFSET(Waterfalls!CE10,0,$D$4)</f>
        <v>0</v>
      </c>
      <c r="CF28" s="1161">
        <f ca="1">OFFSET(Waterfalls!CF10,0,$D$4)</f>
        <v>0</v>
      </c>
      <c r="CG28" s="1161">
        <f ca="1">OFFSET(Waterfalls!CG10,0,$D$4)</f>
        <v>0</v>
      </c>
      <c r="CH28" s="1161">
        <f ca="1">OFFSET(Waterfalls!CH10,0,$D$4)</f>
        <v>0</v>
      </c>
      <c r="CI28" s="1161">
        <f ca="1">OFFSET(Waterfalls!CI10,0,$D$4)</f>
        <v>0</v>
      </c>
      <c r="CJ28" s="1161">
        <f ca="1">OFFSET(Waterfalls!CJ10,0,$D$4)</f>
        <v>0</v>
      </c>
      <c r="CK28" s="1161">
        <f ca="1">OFFSET(Waterfalls!CK10,0,$D$4)</f>
        <v>0</v>
      </c>
      <c r="CL28" s="1161">
        <f ca="1">OFFSET(Waterfalls!CL10,0,$D$4)</f>
        <v>0</v>
      </c>
      <c r="CM28" s="1161">
        <f ca="1">OFFSET(Waterfalls!CM10,0,$D$4)</f>
        <v>0</v>
      </c>
      <c r="CN28" s="1161">
        <f ca="1">OFFSET(Waterfalls!CN10,0,$D$4)</f>
        <v>0</v>
      </c>
      <c r="CO28" s="1161">
        <f ca="1">OFFSET(Waterfalls!CO10,0,$D$4)</f>
        <v>0</v>
      </c>
      <c r="CP28" s="1161">
        <f ca="1">OFFSET(Waterfalls!CP10,0,$D$4)</f>
        <v>0</v>
      </c>
      <c r="CQ28" s="1161">
        <f ca="1">OFFSET(Waterfalls!CQ10,0,$D$4)</f>
        <v>0</v>
      </c>
      <c r="CR28" s="1161">
        <f ca="1">OFFSET(Waterfalls!CR10,0,$D$4)</f>
        <v>0</v>
      </c>
      <c r="CS28" s="1161">
        <f ca="1">OFFSET(Waterfalls!CS10,0,$D$4)</f>
        <v>0</v>
      </c>
      <c r="CT28" s="1161">
        <f ca="1">OFFSET(Waterfalls!CT10,0,$D$4)</f>
        <v>0</v>
      </c>
      <c r="CU28" s="1161">
        <f ca="1">OFFSET(Waterfalls!CU10,0,$D$4)</f>
        <v>0</v>
      </c>
      <c r="CV28" s="1161">
        <f ca="1">OFFSET(Waterfalls!CV10,0,$D$4)</f>
        <v>0</v>
      </c>
      <c r="CW28" s="1161">
        <f ca="1">OFFSET(Waterfalls!CW10,0,$D$4)</f>
        <v>0</v>
      </c>
      <c r="CX28" s="1161">
        <f ca="1">OFFSET(Waterfalls!CX10,0,$D$4)</f>
        <v>0</v>
      </c>
      <c r="CY28" s="1161">
        <f ca="1">OFFSET(Waterfalls!CY10,0,$D$4)</f>
        <v>0</v>
      </c>
      <c r="CZ28" s="1161">
        <f ca="1">OFFSET(Waterfalls!CZ10,0,$D$4)</f>
        <v>0</v>
      </c>
      <c r="DA28" s="1161">
        <f ca="1">OFFSET(Waterfalls!DA10,0,$D$4)</f>
        <v>0</v>
      </c>
      <c r="DB28" s="1161">
        <f ca="1">OFFSET(Waterfalls!DB10,0,$D$4)</f>
        <v>0</v>
      </c>
      <c r="DC28" s="1161">
        <f ca="1">OFFSET(Waterfalls!DC10,0,$D$4)</f>
        <v>0</v>
      </c>
      <c r="DD28" s="1161">
        <f ca="1">OFFSET(Waterfalls!DD10,0,$D$4)</f>
        <v>0</v>
      </c>
      <c r="DE28" s="1161">
        <f ca="1">OFFSET(Waterfalls!DE10,0,$D$4)</f>
        <v>0</v>
      </c>
      <c r="DF28" s="1161">
        <f ca="1">OFFSET(Waterfalls!DF10,0,$D$4)</f>
        <v>0</v>
      </c>
      <c r="DG28" s="1161">
        <f ca="1">OFFSET(Waterfalls!DG10,0,$D$4)</f>
        <v>0</v>
      </c>
      <c r="DH28" s="1161">
        <f ca="1">OFFSET(Waterfalls!DH10,0,$D$4)</f>
        <v>0</v>
      </c>
      <c r="DI28" s="1161">
        <f ca="1">OFFSET(Waterfalls!DI10,0,$D$4)</f>
        <v>0</v>
      </c>
      <c r="DJ28" s="1161">
        <f ca="1">OFFSET(Waterfalls!DJ10,0,$D$4)</f>
        <v>0</v>
      </c>
      <c r="DK28" s="1161">
        <f ca="1">OFFSET(Waterfalls!DK10,0,$D$4)</f>
        <v>0</v>
      </c>
      <c r="DL28" s="1161">
        <f ca="1">OFFSET(Waterfalls!DL10,0,$D$4)</f>
        <v>0</v>
      </c>
      <c r="DM28" s="1161">
        <f ca="1">OFFSET(Waterfalls!DM10,0,$D$4)</f>
        <v>0</v>
      </c>
      <c r="DN28" s="1161">
        <f ca="1">OFFSET(Waterfalls!DN10,0,$D$4)</f>
        <v>0</v>
      </c>
      <c r="DO28" s="1161">
        <f ca="1">OFFSET(Waterfalls!DO10,0,$D$4)</f>
        <v>0</v>
      </c>
      <c r="DP28" s="1161">
        <f ca="1">OFFSET(Waterfalls!DP10,0,$D$4)</f>
        <v>0</v>
      </c>
      <c r="DQ28" s="1161">
        <f ca="1">OFFSET(Waterfalls!DQ10,0,$D$4)</f>
        <v>0</v>
      </c>
      <c r="DR28" s="1161">
        <f ca="1">OFFSET(Waterfalls!DR10,0,$D$4)</f>
        <v>0</v>
      </c>
      <c r="DS28" s="1161">
        <f ca="1">OFFSET(Waterfalls!DS10,0,$D$4)</f>
        <v>0</v>
      </c>
      <c r="DT28" s="1161">
        <f ca="1">OFFSET(Waterfalls!DT10,0,$D$4)</f>
        <v>0</v>
      </c>
      <c r="DU28" s="1161">
        <f ca="1">OFFSET(Waterfalls!DU10,0,$D$4)</f>
        <v>0</v>
      </c>
      <c r="DV28" s="1161">
        <f ca="1">OFFSET(Waterfalls!DV10,0,$D$4)</f>
        <v>0</v>
      </c>
      <c r="DW28" s="1161">
        <f ca="1">OFFSET(Waterfalls!DW10,0,$D$4)</f>
        <v>0</v>
      </c>
      <c r="DX28" s="1161">
        <f ca="1">OFFSET(Waterfalls!DX10,0,$D$4)</f>
        <v>0</v>
      </c>
      <c r="DY28" s="1161">
        <f ca="1">OFFSET(Waterfalls!DY10,0,$D$4)</f>
        <v>0</v>
      </c>
      <c r="DZ28" s="1161">
        <f ca="1">OFFSET(Waterfalls!DZ10,0,$D$4)</f>
        <v>0</v>
      </c>
      <c r="EA28" s="1161">
        <f ca="1">OFFSET(Waterfalls!EA10,0,$D$4)</f>
        <v>0</v>
      </c>
      <c r="EB28" s="1161">
        <f ca="1">OFFSET(Waterfalls!EB10,0,$D$4)</f>
        <v>0</v>
      </c>
      <c r="EC28" s="1161">
        <f ca="1">OFFSET(Waterfalls!EC10,0,$D$4)</f>
        <v>0</v>
      </c>
      <c r="ED28" s="1161">
        <f ca="1">OFFSET(Waterfalls!ED10,0,$D$4)</f>
        <v>0</v>
      </c>
      <c r="EE28" s="1161">
        <f ca="1">OFFSET(Waterfalls!EE10,0,$D$4)</f>
        <v>0</v>
      </c>
      <c r="EF28" s="1161">
        <f ca="1">OFFSET(Waterfalls!EF10,0,$D$4)</f>
        <v>0</v>
      </c>
      <c r="EG28" s="1161">
        <f ca="1">OFFSET(Waterfalls!EG10,0,$D$4)</f>
        <v>0</v>
      </c>
      <c r="EH28" s="778"/>
    </row>
    <row r="29" spans="2:138" ht="12.75" customHeight="1" x14ac:dyDescent="0.3">
      <c r="B29" s="1155" t="s">
        <v>104</v>
      </c>
      <c r="C29" s="1159" t="str">
        <f t="shared" si="6"/>
        <v xml:space="preserve"> Construction debt service (interest only)</v>
      </c>
      <c r="E29" s="1160">
        <f>IF(D15=0,Waterfalls!E152,SUM(Waterfalls!E152:F152))</f>
        <v>0</v>
      </c>
      <c r="F29" s="1161">
        <f ca="1">OFFSET(Waterfalls!F152,0,$D$4)</f>
        <v>0</v>
      </c>
      <c r="G29" s="1161">
        <f ca="1">OFFSET(Waterfalls!G152,0,$D$4)</f>
        <v>0</v>
      </c>
      <c r="H29" s="1161">
        <f ca="1">OFFSET(Waterfalls!H152,0,$D$4)</f>
        <v>0</v>
      </c>
      <c r="I29" s="1161">
        <f ca="1">OFFSET(Waterfalls!I152,0,$D$4)</f>
        <v>0</v>
      </c>
      <c r="J29" s="1161">
        <f ca="1">OFFSET(Waterfalls!J152,0,$D$4)</f>
        <v>0</v>
      </c>
      <c r="K29" s="1161">
        <f ca="1">OFFSET(Waterfalls!K152,0,$D$4)</f>
        <v>0</v>
      </c>
      <c r="L29" s="1161">
        <f ca="1">OFFSET(Waterfalls!L152,0,$D$4)</f>
        <v>0</v>
      </c>
      <c r="M29" s="1161">
        <f ca="1">OFFSET(Waterfalls!M152,0,$D$4)</f>
        <v>0</v>
      </c>
      <c r="N29" s="1161">
        <f ca="1">OFFSET(Waterfalls!N152,0,$D$4)</f>
        <v>0</v>
      </c>
      <c r="O29" s="1161">
        <f ca="1">OFFSET(Waterfalls!O152,0,$D$4)</f>
        <v>0</v>
      </c>
      <c r="P29" s="1161">
        <f ca="1">OFFSET(Waterfalls!P152,0,$D$4)</f>
        <v>-9271.8618416666668</v>
      </c>
      <c r="Q29" s="1161">
        <f ca="1">OFFSET(Waterfalls!Q152,0,$D$4)</f>
        <v>-30859.985503750006</v>
      </c>
      <c r="R29" s="1161">
        <f ca="1">OFFSET(Waterfalls!R152,0,$D$4)</f>
        <v>-52721.499257916672</v>
      </c>
      <c r="S29" s="1161">
        <f ca="1">OFFSET(Waterfalls!S152,0,$D$4)</f>
        <v>-74793.826184999998</v>
      </c>
      <c r="T29" s="1161">
        <f ca="1">OFFSET(Waterfalls!T152,0,$D$4)</f>
        <v>-95453.90916208335</v>
      </c>
      <c r="U29" s="1161">
        <f ca="1">OFFSET(Waterfalls!U152,0,$D$4)</f>
        <v>-115534.80412500001</v>
      </c>
      <c r="V29" s="1161">
        <f ca="1">OFFSET(Waterfalls!V152,0,$D$4)</f>
        <v>-134160.78209083332</v>
      </c>
      <c r="W29" s="1161">
        <f ca="1">OFFSET(Waterfalls!W152,0,$D$4)</f>
        <v>-150961.88393541667</v>
      </c>
      <c r="X29" s="1161">
        <f ca="1">OFFSET(Waterfalls!X152,0,$D$4)</f>
        <v>-167678.32844750001</v>
      </c>
      <c r="Y29" s="1161">
        <f ca="1">OFFSET(Waterfalls!Y152,0,$D$4)</f>
        <v>-183066.07043833335</v>
      </c>
      <c r="Z29" s="1161">
        <f ca="1">OFFSET(Waterfalls!Z152,0,$D$4)</f>
        <v>-196105.83008791669</v>
      </c>
      <c r="AA29" s="1161">
        <f ca="1">OFFSET(Waterfalls!AA152,0,$D$4)</f>
        <v>-207301.63153916667</v>
      </c>
      <c r="AB29" s="1161">
        <f ca="1">OFFSET(Waterfalls!AB152,0,$D$4)</f>
        <v>-216705.7792466667</v>
      </c>
      <c r="AC29" s="1161">
        <f ca="1">OFFSET(Waterfalls!AC152,0,$D$4)</f>
        <v>-223217.08696625006</v>
      </c>
      <c r="AD29" s="1161">
        <f ca="1">OFFSET(Waterfalls!AD152,0,$D$4)</f>
        <v>-228583.81597458338</v>
      </c>
      <c r="AE29" s="1161">
        <f ca="1">OFFSET(Waterfalls!AE152,0,$D$4)</f>
        <v>-232254.71417958339</v>
      </c>
      <c r="AF29" s="1161">
        <f ca="1">OFFSET(Waterfalls!AF152,0,$D$4)</f>
        <v>-232254.71417958339</v>
      </c>
      <c r="AG29" s="1161">
        <f ca="1">OFFSET(Waterfalls!AG152,0,$D$4)</f>
        <v>-232254.71417958339</v>
      </c>
      <c r="AH29" s="1161">
        <f ca="1">OFFSET(Waterfalls!AH152,0,$D$4)</f>
        <v>-232254.71417958339</v>
      </c>
      <c r="AI29" s="1161">
        <f ca="1">OFFSET(Waterfalls!AI152,0,$D$4)</f>
        <v>0</v>
      </c>
      <c r="AJ29" s="1161">
        <f ca="1">OFFSET(Waterfalls!AJ152,0,$D$4)</f>
        <v>0</v>
      </c>
      <c r="AK29" s="1161">
        <f ca="1">OFFSET(Waterfalls!AK152,0,$D$4)</f>
        <v>0</v>
      </c>
      <c r="AL29" s="1161">
        <f ca="1">OFFSET(Waterfalls!AL152,0,$D$4)</f>
        <v>0</v>
      </c>
      <c r="AM29" s="1161">
        <f ca="1">OFFSET(Waterfalls!AM152,0,$D$4)</f>
        <v>0</v>
      </c>
      <c r="AN29" s="1161">
        <f ca="1">OFFSET(Waterfalls!AN152,0,$D$4)</f>
        <v>0</v>
      </c>
      <c r="AO29" s="1161">
        <f ca="1">OFFSET(Waterfalls!AO152,0,$D$4)</f>
        <v>0</v>
      </c>
      <c r="AP29" s="1161">
        <f ca="1">OFFSET(Waterfalls!AP152,0,$D$4)</f>
        <v>0</v>
      </c>
      <c r="AQ29" s="1161">
        <f ca="1">OFFSET(Waterfalls!AQ152,0,$D$4)</f>
        <v>0</v>
      </c>
      <c r="AR29" s="1161">
        <f ca="1">OFFSET(Waterfalls!AR152,0,$D$4)</f>
        <v>0</v>
      </c>
      <c r="AS29" s="1161">
        <f ca="1">OFFSET(Waterfalls!AS152,0,$D$4)</f>
        <v>0</v>
      </c>
      <c r="AT29" s="1161">
        <f ca="1">OFFSET(Waterfalls!AT152,0,$D$4)</f>
        <v>0</v>
      </c>
      <c r="AU29" s="1161">
        <f ca="1">OFFSET(Waterfalls!AU152,0,$D$4)</f>
        <v>0</v>
      </c>
      <c r="AV29" s="1161">
        <f ca="1">OFFSET(Waterfalls!AV152,0,$D$4)</f>
        <v>0</v>
      </c>
      <c r="AW29" s="1161">
        <f ca="1">OFFSET(Waterfalls!AW152,0,$D$4)</f>
        <v>0</v>
      </c>
      <c r="AX29" s="1161">
        <f ca="1">OFFSET(Waterfalls!AX152,0,$D$4)</f>
        <v>0</v>
      </c>
      <c r="AY29" s="1161">
        <f ca="1">OFFSET(Waterfalls!AY152,0,$D$4)</f>
        <v>0</v>
      </c>
      <c r="AZ29" s="1161">
        <f ca="1">OFFSET(Waterfalls!AZ152,0,$D$4)</f>
        <v>0</v>
      </c>
      <c r="BA29" s="1161">
        <f ca="1">OFFSET(Waterfalls!BA152,0,$D$4)</f>
        <v>0</v>
      </c>
      <c r="BB29" s="1161">
        <f ca="1">OFFSET(Waterfalls!BB152,0,$D$4)</f>
        <v>0</v>
      </c>
      <c r="BC29" s="1161">
        <f ca="1">OFFSET(Waterfalls!BC152,0,$D$4)</f>
        <v>0</v>
      </c>
      <c r="BD29" s="1161">
        <f ca="1">OFFSET(Waterfalls!BD152,0,$D$4)</f>
        <v>0</v>
      </c>
      <c r="BE29" s="1161">
        <f ca="1">OFFSET(Waterfalls!BE152,0,$D$4)</f>
        <v>0</v>
      </c>
      <c r="BF29" s="1161">
        <f ca="1">OFFSET(Waterfalls!BF152,0,$D$4)</f>
        <v>0</v>
      </c>
      <c r="BG29" s="1161">
        <f ca="1">OFFSET(Waterfalls!BG152,0,$D$4)</f>
        <v>0</v>
      </c>
      <c r="BH29" s="1161">
        <f ca="1">OFFSET(Waterfalls!BH152,0,$D$4)</f>
        <v>0</v>
      </c>
      <c r="BI29" s="1161">
        <f ca="1">OFFSET(Waterfalls!BI152,0,$D$4)</f>
        <v>0</v>
      </c>
      <c r="BJ29" s="1161">
        <f ca="1">OFFSET(Waterfalls!BJ152,0,$D$4)</f>
        <v>0</v>
      </c>
      <c r="BK29" s="1161">
        <f ca="1">OFFSET(Waterfalls!BK152,0,$D$4)</f>
        <v>0</v>
      </c>
      <c r="BL29" s="1161">
        <f ca="1">OFFSET(Waterfalls!BL152,0,$D$4)</f>
        <v>0</v>
      </c>
      <c r="BM29" s="1161">
        <f ca="1">OFFSET(Waterfalls!BM152,0,$D$4)</f>
        <v>0</v>
      </c>
      <c r="BN29" s="1161">
        <f ca="1">OFFSET(Waterfalls!BN152,0,$D$4)</f>
        <v>0</v>
      </c>
      <c r="BO29" s="1161">
        <f ca="1">OFFSET(Waterfalls!BO152,0,$D$4)</f>
        <v>0</v>
      </c>
      <c r="BP29" s="1161">
        <f ca="1">OFFSET(Waterfalls!BP152,0,$D$4)</f>
        <v>0</v>
      </c>
      <c r="BQ29" s="1161">
        <f ca="1">OFFSET(Waterfalls!BQ152,0,$D$4)</f>
        <v>0</v>
      </c>
      <c r="BR29" s="1161">
        <f ca="1">OFFSET(Waterfalls!BR152,0,$D$4)</f>
        <v>0</v>
      </c>
      <c r="BS29" s="1161">
        <f ca="1">OFFSET(Waterfalls!BS152,0,$D$4)</f>
        <v>0</v>
      </c>
      <c r="BT29" s="1161">
        <f ca="1">OFFSET(Waterfalls!BT152,0,$D$4)</f>
        <v>0</v>
      </c>
      <c r="BU29" s="1161">
        <f ca="1">OFFSET(Waterfalls!BU152,0,$D$4)</f>
        <v>0</v>
      </c>
      <c r="BV29" s="1161">
        <f ca="1">OFFSET(Waterfalls!BV152,0,$D$4)</f>
        <v>0</v>
      </c>
      <c r="BW29" s="1161">
        <f ca="1">OFFSET(Waterfalls!BW152,0,$D$4)</f>
        <v>0</v>
      </c>
      <c r="BX29" s="1161">
        <f ca="1">OFFSET(Waterfalls!BX152,0,$D$4)</f>
        <v>0</v>
      </c>
      <c r="BY29" s="1161">
        <f ca="1">OFFSET(Waterfalls!BY152,0,$D$4)</f>
        <v>0</v>
      </c>
      <c r="BZ29" s="1161">
        <f ca="1">OFFSET(Waterfalls!BZ152,0,$D$4)</f>
        <v>0</v>
      </c>
      <c r="CA29" s="1161">
        <f ca="1">OFFSET(Waterfalls!CA152,0,$D$4)</f>
        <v>0</v>
      </c>
      <c r="CB29" s="1161">
        <f ca="1">OFFSET(Waterfalls!CB152,0,$D$4)</f>
        <v>0</v>
      </c>
      <c r="CC29" s="1161">
        <f ca="1">OFFSET(Waterfalls!CC152,0,$D$4)</f>
        <v>0</v>
      </c>
      <c r="CD29" s="1161">
        <f ca="1">OFFSET(Waterfalls!CD152,0,$D$4)</f>
        <v>0</v>
      </c>
      <c r="CE29" s="1161">
        <f ca="1">OFFSET(Waterfalls!CE152,0,$D$4)</f>
        <v>0</v>
      </c>
      <c r="CF29" s="1161">
        <f ca="1">OFFSET(Waterfalls!CF152,0,$D$4)</f>
        <v>0</v>
      </c>
      <c r="CG29" s="1161">
        <f ca="1">OFFSET(Waterfalls!CG152,0,$D$4)</f>
        <v>0</v>
      </c>
      <c r="CH29" s="1161">
        <f ca="1">OFFSET(Waterfalls!CH152,0,$D$4)</f>
        <v>0</v>
      </c>
      <c r="CI29" s="1161">
        <f ca="1">OFFSET(Waterfalls!CI152,0,$D$4)</f>
        <v>0</v>
      </c>
      <c r="CJ29" s="1161">
        <f ca="1">OFFSET(Waterfalls!CJ152,0,$D$4)</f>
        <v>0</v>
      </c>
      <c r="CK29" s="1161">
        <f ca="1">OFFSET(Waterfalls!CK152,0,$D$4)</f>
        <v>0</v>
      </c>
      <c r="CL29" s="1161">
        <f ca="1">OFFSET(Waterfalls!CL152,0,$D$4)</f>
        <v>0</v>
      </c>
      <c r="CM29" s="1161">
        <f ca="1">OFFSET(Waterfalls!CM152,0,$D$4)</f>
        <v>0</v>
      </c>
      <c r="CN29" s="1161">
        <f ca="1">OFFSET(Waterfalls!CN152,0,$D$4)</f>
        <v>0</v>
      </c>
      <c r="CO29" s="1161">
        <f ca="1">OFFSET(Waterfalls!CO152,0,$D$4)</f>
        <v>0</v>
      </c>
      <c r="CP29" s="1161">
        <f ca="1">OFFSET(Waterfalls!CP152,0,$D$4)</f>
        <v>0</v>
      </c>
      <c r="CQ29" s="1161">
        <f ca="1">OFFSET(Waterfalls!CQ152,0,$D$4)</f>
        <v>0</v>
      </c>
      <c r="CR29" s="1161">
        <f ca="1">OFFSET(Waterfalls!CR152,0,$D$4)</f>
        <v>0</v>
      </c>
      <c r="CS29" s="1161">
        <f ca="1">OFFSET(Waterfalls!CS152,0,$D$4)</f>
        <v>0</v>
      </c>
      <c r="CT29" s="1161">
        <f ca="1">OFFSET(Waterfalls!CT152,0,$D$4)</f>
        <v>0</v>
      </c>
      <c r="CU29" s="1161">
        <f ca="1">OFFSET(Waterfalls!CU152,0,$D$4)</f>
        <v>0</v>
      </c>
      <c r="CV29" s="1161">
        <f ca="1">OFFSET(Waterfalls!CV152,0,$D$4)</f>
        <v>0</v>
      </c>
      <c r="CW29" s="1161">
        <f ca="1">OFFSET(Waterfalls!CW152,0,$D$4)</f>
        <v>0</v>
      </c>
      <c r="CX29" s="1161">
        <f ca="1">OFFSET(Waterfalls!CX152,0,$D$4)</f>
        <v>0</v>
      </c>
      <c r="CY29" s="1161">
        <f ca="1">OFFSET(Waterfalls!CY152,0,$D$4)</f>
        <v>0</v>
      </c>
      <c r="CZ29" s="1161">
        <f ca="1">OFFSET(Waterfalls!CZ152,0,$D$4)</f>
        <v>0</v>
      </c>
      <c r="DA29" s="1161">
        <f ca="1">OFFSET(Waterfalls!DA152,0,$D$4)</f>
        <v>0</v>
      </c>
      <c r="DB29" s="1161">
        <f ca="1">OFFSET(Waterfalls!DB152,0,$D$4)</f>
        <v>0</v>
      </c>
      <c r="DC29" s="1161">
        <f ca="1">OFFSET(Waterfalls!DC152,0,$D$4)</f>
        <v>0</v>
      </c>
      <c r="DD29" s="1161">
        <f ca="1">OFFSET(Waterfalls!DD152,0,$D$4)</f>
        <v>0</v>
      </c>
      <c r="DE29" s="1161">
        <f ca="1">OFFSET(Waterfalls!DE152,0,$D$4)</f>
        <v>0</v>
      </c>
      <c r="DF29" s="1161">
        <f ca="1">OFFSET(Waterfalls!DF152,0,$D$4)</f>
        <v>0</v>
      </c>
      <c r="DG29" s="1161">
        <f ca="1">OFFSET(Waterfalls!DG152,0,$D$4)</f>
        <v>0</v>
      </c>
      <c r="DH29" s="1161">
        <f ca="1">OFFSET(Waterfalls!DH152,0,$D$4)</f>
        <v>0</v>
      </c>
      <c r="DI29" s="1161">
        <f ca="1">OFFSET(Waterfalls!DI152,0,$D$4)</f>
        <v>0</v>
      </c>
      <c r="DJ29" s="1161">
        <f ca="1">OFFSET(Waterfalls!DJ152,0,$D$4)</f>
        <v>0</v>
      </c>
      <c r="DK29" s="1161">
        <f ca="1">OFFSET(Waterfalls!DK152,0,$D$4)</f>
        <v>0</v>
      </c>
      <c r="DL29" s="1161">
        <f ca="1">OFFSET(Waterfalls!DL152,0,$D$4)</f>
        <v>0</v>
      </c>
      <c r="DM29" s="1161">
        <f ca="1">OFFSET(Waterfalls!DM152,0,$D$4)</f>
        <v>0</v>
      </c>
      <c r="DN29" s="1161">
        <f ca="1">OFFSET(Waterfalls!DN152,0,$D$4)</f>
        <v>0</v>
      </c>
      <c r="DO29" s="1161">
        <f ca="1">OFFSET(Waterfalls!DO152,0,$D$4)</f>
        <v>0</v>
      </c>
      <c r="DP29" s="1161">
        <f ca="1">OFFSET(Waterfalls!DP152,0,$D$4)</f>
        <v>0</v>
      </c>
      <c r="DQ29" s="1161">
        <f ca="1">OFFSET(Waterfalls!DQ152,0,$D$4)</f>
        <v>0</v>
      </c>
      <c r="DR29" s="1161">
        <f ca="1">OFFSET(Waterfalls!DR152,0,$D$4)</f>
        <v>0</v>
      </c>
      <c r="DS29" s="1161">
        <f ca="1">OFFSET(Waterfalls!DS152,0,$D$4)</f>
        <v>0</v>
      </c>
      <c r="DT29" s="1161">
        <f ca="1">OFFSET(Waterfalls!DT152,0,$D$4)</f>
        <v>0</v>
      </c>
      <c r="DU29" s="1161">
        <f ca="1">OFFSET(Waterfalls!DU152,0,$D$4)</f>
        <v>0</v>
      </c>
      <c r="DV29" s="1161">
        <f ca="1">OFFSET(Waterfalls!DV152,0,$D$4)</f>
        <v>0</v>
      </c>
      <c r="DW29" s="1161">
        <f ca="1">OFFSET(Waterfalls!DW152,0,$D$4)</f>
        <v>0</v>
      </c>
      <c r="DX29" s="1161">
        <f ca="1">OFFSET(Waterfalls!DX152,0,$D$4)</f>
        <v>0</v>
      </c>
      <c r="DY29" s="1161">
        <f ca="1">OFFSET(Waterfalls!DY152,0,$D$4)</f>
        <v>0</v>
      </c>
      <c r="DZ29" s="1161">
        <f ca="1">OFFSET(Waterfalls!DZ152,0,$D$4)</f>
        <v>0</v>
      </c>
      <c r="EA29" s="1161">
        <f ca="1">OFFSET(Waterfalls!EA152,0,$D$4)</f>
        <v>0</v>
      </c>
      <c r="EB29" s="1161">
        <f ca="1">OFFSET(Waterfalls!EB152,0,$D$4)</f>
        <v>0</v>
      </c>
      <c r="EC29" s="1161">
        <f ca="1">OFFSET(Waterfalls!EC152,0,$D$4)</f>
        <v>0</v>
      </c>
      <c r="ED29" s="1161">
        <f ca="1">OFFSET(Waterfalls!ED152,0,$D$4)</f>
        <v>0</v>
      </c>
      <c r="EE29" s="1161">
        <f ca="1">OFFSET(Waterfalls!EE152,0,$D$4)</f>
        <v>0</v>
      </c>
      <c r="EF29" s="1161">
        <f ca="1">OFFSET(Waterfalls!EF152,0,$D$4)</f>
        <v>6.4900207022825876E-6</v>
      </c>
      <c r="EG29" s="1161">
        <f ca="1">OFFSET(Waterfalls!EG152,0,$D$4)</f>
        <v>-1.0833355287710826E-5</v>
      </c>
      <c r="EH29" s="778"/>
    </row>
    <row r="30" spans="2:138" ht="12.75" customHeight="1" x14ac:dyDescent="0.3">
      <c r="B30" s="1155" t="s">
        <v>308</v>
      </c>
      <c r="C30" s="1159" t="str">
        <f t="shared" si="6"/>
        <v xml:space="preserve"> Net operating income (Apartments)</v>
      </c>
      <c r="E30" s="1160">
        <f>IF(D16=0,Waterfalls!E181,SUM(Waterfalls!E181:F181))</f>
        <v>0</v>
      </c>
      <c r="F30" s="1161">
        <f ca="1">OFFSET(Waterfalls!F181,0,$D$4)</f>
        <v>0</v>
      </c>
      <c r="G30" s="1161">
        <f ca="1">OFFSET(Waterfalls!G181,0,$D$4)</f>
        <v>0</v>
      </c>
      <c r="H30" s="1161">
        <f ca="1">OFFSET(Waterfalls!H181,0,$D$4)</f>
        <v>0</v>
      </c>
      <c r="I30" s="1161">
        <f ca="1">OFFSET(Waterfalls!I181,0,$D$4)</f>
        <v>0</v>
      </c>
      <c r="J30" s="1161">
        <f ca="1">OFFSET(Waterfalls!J181,0,$D$4)</f>
        <v>0</v>
      </c>
      <c r="K30" s="1161">
        <f ca="1">OFFSET(Waterfalls!K181,0,$D$4)</f>
        <v>0</v>
      </c>
      <c r="L30" s="1161">
        <f ca="1">OFFSET(Waterfalls!L181,0,$D$4)</f>
        <v>0</v>
      </c>
      <c r="M30" s="1161">
        <f ca="1">OFFSET(Waterfalls!M181,0,$D$4)</f>
        <v>0</v>
      </c>
      <c r="N30" s="1161">
        <f ca="1">OFFSET(Waterfalls!N181,0,$D$4)</f>
        <v>0</v>
      </c>
      <c r="O30" s="1161">
        <f ca="1">OFFSET(Waterfalls!O181,0,$D$4)</f>
        <v>0</v>
      </c>
      <c r="P30" s="1161">
        <f ca="1">OFFSET(Waterfalls!P181,0,$D$4)</f>
        <v>0</v>
      </c>
      <c r="Q30" s="1161">
        <f ca="1">OFFSET(Waterfalls!Q181,0,$D$4)</f>
        <v>486603.63326172775</v>
      </c>
      <c r="R30" s="1161">
        <f ca="1">OFFSET(Waterfalls!R181,0,$D$4)</f>
        <v>799517.8716226744</v>
      </c>
      <c r="S30" s="1161">
        <f ca="1">OFFSET(Waterfalls!S181,0,$D$4)</f>
        <v>1241811.1657072995</v>
      </c>
      <c r="T30" s="1161">
        <f ca="1">OFFSET(Waterfalls!T181,0,$D$4)</f>
        <v>1775688.3625134691</v>
      </c>
      <c r="U30" s="1161">
        <f ca="1">OFFSET(Waterfalls!U181,0,$D$4)</f>
        <v>2317746.8141580438</v>
      </c>
      <c r="V30" s="1161">
        <f ca="1">OFFSET(Waterfalls!V181,0,$D$4)</f>
        <v>2830915.7502216105</v>
      </c>
      <c r="W30" s="1161">
        <f ca="1">OFFSET(Waterfalls!W181,0,$D$4)</f>
        <v>3313089.445044463</v>
      </c>
      <c r="X30" s="1161">
        <f ca="1">OFFSET(Waterfalls!X181,0,$D$4)</f>
        <v>3755533.9131818605</v>
      </c>
      <c r="Y30" s="1161">
        <f ca="1">OFFSET(Waterfalls!Y181,0,$D$4)</f>
        <v>4162483.7173877214</v>
      </c>
      <c r="Z30" s="1161">
        <f ca="1">OFFSET(Waterfalls!Z181,0,$D$4)</f>
        <v>4525771.8702856777</v>
      </c>
      <c r="AA30" s="1161">
        <f ca="1">OFFSET(Waterfalls!AA181,0,$D$4)</f>
        <v>4836905.6686216881</v>
      </c>
      <c r="AB30" s="1161">
        <f ca="1">OFFSET(Waterfalls!AB181,0,$D$4)</f>
        <v>5095856.1903470261</v>
      </c>
      <c r="AC30" s="1161">
        <f ca="1">OFFSET(Waterfalls!AC181,0,$D$4)</f>
        <v>5303050.5038964218</v>
      </c>
      <c r="AD30" s="1161">
        <f ca="1">OFFSET(Waterfalls!AD181,0,$D$4)</f>
        <v>5466564.1907352023</v>
      </c>
      <c r="AE30" s="1161">
        <f ca="1">OFFSET(Waterfalls!AE181,0,$D$4)</f>
        <v>5584180.7360970089</v>
      </c>
      <c r="AF30" s="1161">
        <f ca="1">OFFSET(Waterfalls!AF181,0,$D$4)</f>
        <v>5615475.2792723458</v>
      </c>
      <c r="AG30" s="1161">
        <f ca="1">OFFSET(Waterfalls!AG181,0,$D$4)</f>
        <v>5638571.1358792642</v>
      </c>
      <c r="AH30" s="1161">
        <f ca="1">OFFSET(Waterfalls!AH181,0,$D$4)</f>
        <v>5662218.5893172091</v>
      </c>
      <c r="AI30" s="1161">
        <f ca="1">OFFSET(Waterfalls!AI181,0,$D$4)</f>
        <v>5686387.5663833544</v>
      </c>
      <c r="AJ30" s="1161">
        <f ca="1">OFFSET(Waterfalls!AJ181,0,$D$4)</f>
        <v>5710530.25354339</v>
      </c>
      <c r="AK30" s="1161">
        <f ca="1">OFFSET(Waterfalls!AK181,0,$D$4)</f>
        <v>5734361.1907627545</v>
      </c>
      <c r="AL30" s="1161">
        <f ca="1">OFFSET(Waterfalls!AL181,0,$D$4)</f>
        <v>5757811.5115443422</v>
      </c>
      <c r="AM30" s="1161">
        <f ca="1">OFFSET(Waterfalls!AM181,0,$D$4)</f>
        <v>5780811.8388658734</v>
      </c>
      <c r="AN30" s="1161">
        <f ca="1">OFFSET(Waterfalls!AN181,0,$D$4)</f>
        <v>5803292.2823840054</v>
      </c>
      <c r="AO30" s="1161">
        <f ca="1">OFFSET(Waterfalls!AO181,0,$D$4)</f>
        <v>5825182.4356253222</v>
      </c>
      <c r="AP30" s="1161">
        <f ca="1">OFFSET(Waterfalls!AP181,0,$D$4)</f>
        <v>5846634.0700764991</v>
      </c>
      <c r="AQ30" s="1161">
        <f ca="1">OFFSET(Waterfalls!AQ181,0,$D$4)</f>
        <v>5867138.2851629499</v>
      </c>
      <c r="AR30" s="1161">
        <f ca="1">OFFSET(Waterfalls!AR181,0,$D$4)</f>
        <v>5886766.3090078365</v>
      </c>
      <c r="AS30" s="1161">
        <f ca="1">OFFSET(Waterfalls!AS181,0,$D$4)</f>
        <v>5907129.0772375735</v>
      </c>
      <c r="AT30" s="1161">
        <f ca="1">OFFSET(Waterfalls!AT181,0,$D$4)</f>
        <v>5927015.4993416993</v>
      </c>
      <c r="AU30" s="1161">
        <f ca="1">OFFSET(Waterfalls!AU181,0,$D$4)</f>
        <v>5946483.7610710952</v>
      </c>
      <c r="AV30" s="1161">
        <f ca="1">OFFSET(Waterfalls!AV181,0,$D$4)</f>
        <v>5965409.0414280528</v>
      </c>
      <c r="AW30" s="1161">
        <f ca="1">OFFSET(Waterfalls!AW181,0,$D$4)</f>
        <v>5983923.6474896045</v>
      </c>
      <c r="AX30" s="1161">
        <f ca="1">OFFSET(Waterfalls!AX181,0,$D$4)</f>
        <v>6002160.9506704016</v>
      </c>
      <c r="AY30" s="1161">
        <f ca="1">OFFSET(Waterfalls!AY181,0,$D$4)</f>
        <v>6020255.3932064222</v>
      </c>
      <c r="AZ30" s="1161">
        <f ca="1">OFFSET(Waterfalls!AZ181,0,$D$4)</f>
        <v>6038342.4946742645</v>
      </c>
      <c r="BA30" s="1161">
        <f ca="1">OFFSET(Waterfalls!BA181,0,$D$4)</f>
        <v>6056558.8585462254</v>
      </c>
      <c r="BB30" s="1161">
        <f ca="1">OFFSET(Waterfalls!BB181,0,$D$4)</f>
        <v>6074955.5537554631</v>
      </c>
      <c r="BC30" s="1161">
        <f ca="1">OFFSET(Waterfalls!BC181,0,$D$4)</f>
        <v>6093829.2021369357</v>
      </c>
      <c r="BD30" s="1161">
        <f ca="1">OFFSET(Waterfalls!BD181,0,$D$4)</f>
        <v>6113225.060278995</v>
      </c>
      <c r="BE30" s="1161">
        <f ca="1">OFFSET(Waterfalls!BE181,0,$D$4)</f>
        <v>6132722.2028710609</v>
      </c>
      <c r="BF30" s="1161">
        <f ca="1">OFFSET(Waterfalls!BF181,0,$D$4)</f>
        <v>6152566.6408960521</v>
      </c>
      <c r="BG30" s="1161">
        <f ca="1">OFFSET(Waterfalls!BG181,0,$D$4)</f>
        <v>6172739.1755592395</v>
      </c>
      <c r="BH30" s="1161">
        <f ca="1">OFFSET(Waterfalls!BH181,0,$D$4)</f>
        <v>6193371.3183819875</v>
      </c>
      <c r="BI30" s="1161">
        <f ca="1">OFFSET(Waterfalls!BI181,0,$D$4)</f>
        <v>6214419.4133675331</v>
      </c>
      <c r="BJ30" s="1161">
        <f ca="1">OFFSET(Waterfalls!BJ181,0,$D$4)</f>
        <v>6235839.4751603669</v>
      </c>
      <c r="BK30" s="1161">
        <f ca="1">OFFSET(Waterfalls!BK181,0,$D$4)</f>
        <v>6257587.1871975362</v>
      </c>
      <c r="BL30" s="1161">
        <f ca="1">OFFSET(Waterfalls!BL181,0,$D$4)</f>
        <v>6279617.899850715</v>
      </c>
      <c r="BM30" s="1161">
        <f ca="1">OFFSET(Waterfalls!BM181,0,$D$4)</f>
        <v>6301886.6285589896</v>
      </c>
      <c r="BN30" s="1161">
        <f ca="1">OFFSET(Waterfalls!BN181,0,$D$4)</f>
        <v>6324286.2516319863</v>
      </c>
      <c r="BO30" s="1161">
        <f ca="1">OFFSET(Waterfalls!BO181,0,$D$4)</f>
        <v>6346899.7849845504</v>
      </c>
      <c r="BP30" s="1161">
        <f ca="1">OFFSET(Waterfalls!BP181,0,$D$4)</f>
        <v>6369664.4513462717</v>
      </c>
      <c r="BQ30" s="1161">
        <f ca="1">OFFSET(Waterfalls!BQ181,0,$D$4)</f>
        <v>6392320.2761016544</v>
      </c>
      <c r="BR30" s="1161">
        <f ca="1">OFFSET(Waterfalls!BR181,0,$D$4)</f>
        <v>6415046.0327254571</v>
      </c>
      <c r="BS30" s="1161">
        <f ca="1">OFFSET(Waterfalls!BS181,0,$D$4)</f>
        <v>6437841.9123788653</v>
      </c>
      <c r="BT30" s="1161">
        <f ca="1">OFFSET(Waterfalls!BT181,0,$D$4)</f>
        <v>6460739.5629424378</v>
      </c>
      <c r="BU30" s="1161">
        <f ca="1">OFFSET(Waterfalls!BU181,0,$D$4)</f>
        <v>6483739.3940660134</v>
      </c>
      <c r="BV30" s="1161">
        <f ca="1">OFFSET(Waterfalls!BV181,0,$D$4)</f>
        <v>6506841.8170677675</v>
      </c>
      <c r="BW30" s="1161">
        <f ca="1">OFFSET(Waterfalls!BW181,0,$D$4)</f>
        <v>6530047.2449410474</v>
      </c>
      <c r="BX30" s="1161">
        <f ca="1">OFFSET(Waterfalls!BX181,0,$D$4)</f>
        <v>6553356.0923612425</v>
      </c>
      <c r="BY30" s="1161">
        <f ca="1">OFFSET(Waterfalls!BY181,0,$D$4)</f>
        <v>6576768.7756926967</v>
      </c>
      <c r="BZ30" s="1161">
        <f ca="1">OFFSET(Waterfalls!BZ181,0,$D$4)</f>
        <v>6600253.4658503877</v>
      </c>
      <c r="CA30" s="1161">
        <f ca="1">OFFSET(Waterfalls!CA181,0,$D$4)</f>
        <v>6623875.0323061459</v>
      </c>
      <c r="CB30" s="1161">
        <f ca="1">OFFSET(Waterfalls!CB181,0,$D$4)</f>
        <v>6647616.6476280931</v>
      </c>
      <c r="CC30" s="1161">
        <f ca="1">OFFSET(Waterfalls!CC181,0,$D$4)</f>
        <v>6671245.5942205051</v>
      </c>
      <c r="CD30" s="1161">
        <f ca="1">OFFSET(Waterfalls!CD181,0,$D$4)</f>
        <v>6694947.3382962849</v>
      </c>
      <c r="CE30" s="1161">
        <f ca="1">OFFSET(Waterfalls!CE181,0,$D$4)</f>
        <v>6718722.078874032</v>
      </c>
      <c r="CF30" s="1161">
        <f ca="1">OFFSET(Waterfalls!CF181,0,$D$4)</f>
        <v>6742602.8013541242</v>
      </c>
      <c r="CG30" s="1161">
        <f ca="1">OFFSET(Waterfalls!CG181,0,$D$4)</f>
        <v>6766589.9324781429</v>
      </c>
      <c r="CH30" s="1161">
        <f ca="1">OFFSET(Waterfalls!CH181,0,$D$4)</f>
        <v>6790683.90072597</v>
      </c>
      <c r="CI30" s="1161">
        <f ca="1">OFFSET(Waterfalls!CI181,0,$D$4)</f>
        <v>6814885.1363229128</v>
      </c>
      <c r="CJ30" s="1161">
        <f ca="1">OFFSET(Waterfalls!CJ181,0,$D$4)</f>
        <v>6839194.0712468717</v>
      </c>
      <c r="CK30" s="1161">
        <f ca="1">OFFSET(Waterfalls!CK181,0,$D$4)</f>
        <v>6863611.1392355235</v>
      </c>
      <c r="CL30" s="1161">
        <f ca="1">OFFSET(Waterfalls!CL181,0,$D$4)</f>
        <v>6888103.1655743783</v>
      </c>
      <c r="CM30" s="1161">
        <f ca="1">OFFSET(Waterfalls!CM181,0,$D$4)</f>
        <v>6912737.7615145836</v>
      </c>
      <c r="CN30" s="1161">
        <f ca="1">OFFSET(Waterfalls!CN181,0,$D$4)</f>
        <v>6937497.3881075531</v>
      </c>
      <c r="CO30" s="1161">
        <f ca="1">OFFSET(Waterfalls!CO181,0,$D$4)</f>
        <v>6962140.3108945778</v>
      </c>
      <c r="CP30" s="1161">
        <f ca="1">OFFSET(Waterfalls!CP181,0,$D$4)</f>
        <v>6986859.0151970023</v>
      </c>
      <c r="CQ30" s="1161">
        <f ca="1">OFFSET(Waterfalls!CQ181,0,$D$4)</f>
        <v>7011653.7082162797</v>
      </c>
      <c r="CR30" s="1161">
        <f ca="1">OFFSET(Waterfalls!CR181,0,$D$4)</f>
        <v>7036558.7694023363</v>
      </c>
      <c r="CS30" s="1161">
        <f ca="1">OFFSET(Waterfalls!CS181,0,$D$4)</f>
        <v>7061574.6433042344</v>
      </c>
      <c r="CT30" s="1161">
        <f ca="1">OFFSET(Waterfalls!CT181,0,$D$4)</f>
        <v>7086701.7762822434</v>
      </c>
      <c r="CU30" s="1161">
        <f ca="1">OFFSET(Waterfalls!CU181,0,$D$4)</f>
        <v>7111940.6165152695</v>
      </c>
      <c r="CV30" s="1161">
        <f ca="1">OFFSET(Waterfalls!CV181,0,$D$4)</f>
        <v>7137291.6140083205</v>
      </c>
      <c r="CW30" s="1161">
        <f ca="1">OFFSET(Waterfalls!CW181,0,$D$4)</f>
        <v>7162755.2205999922</v>
      </c>
      <c r="CX30" s="1161">
        <f ca="1">OFFSET(Waterfalls!CX181,0,$D$4)</f>
        <v>7188296.8590602893</v>
      </c>
      <c r="CY30" s="1161">
        <f ca="1">OFFSET(Waterfalls!CY181,0,$D$4)</f>
        <v>7213986.9983067857</v>
      </c>
      <c r="CZ30" s="1161">
        <f ca="1">OFFSET(Waterfalls!CZ181,0,$D$4)</f>
        <v>7239807.3577918168</v>
      </c>
      <c r="DA30" s="1161">
        <f ca="1">OFFSET(Waterfalls!DA181,0,$D$4)</f>
        <v>7265506.7532602996</v>
      </c>
      <c r="DB30" s="1161">
        <f ca="1">OFFSET(Waterfalls!DB181,0,$D$4)</f>
        <v>7291285.0376174003</v>
      </c>
      <c r="DC30" s="1161">
        <f ca="1">OFFSET(Waterfalls!DC181,0,$D$4)</f>
        <v>7317142.4265864287</v>
      </c>
      <c r="DD30" s="1161">
        <f ca="1">OFFSET(Waterfalls!DD181,0,$D$4)</f>
        <v>7343114.7525858646</v>
      </c>
      <c r="DE30" s="1161">
        <f ca="1">OFFSET(Waterfalls!DE181,0,$D$4)</f>
        <v>7369202.4787180498</v>
      </c>
      <c r="DF30" s="1161">
        <f ca="1">OFFSET(Waterfalls!DF181,0,$D$4)</f>
        <v>7395406.0699724993</v>
      </c>
      <c r="DG30" s="1161">
        <f ca="1">OFFSET(Waterfalls!DG181,0,$D$4)</f>
        <v>7421725.9932336556</v>
      </c>
      <c r="DH30" s="1161">
        <f ca="1">OFFSET(Waterfalls!DH181,0,$D$4)</f>
        <v>7448162.7172886534</v>
      </c>
      <c r="DI30" s="1161">
        <f ca="1">OFFSET(Waterfalls!DI181,0,$D$4)</f>
        <v>7474716.7128351387</v>
      </c>
      <c r="DJ30" s="1161">
        <f ca="1">OFFSET(Waterfalls!DJ181,0,$D$4)</f>
        <v>7501351.9408368412</v>
      </c>
      <c r="DK30" s="1161">
        <f ca="1">OFFSET(Waterfalls!DK181,0,$D$4)</f>
        <v>7528141.8486631457</v>
      </c>
      <c r="DL30" s="1161">
        <f ca="1">OFFSET(Waterfalls!DL181,0,$D$4)</f>
        <v>7555067.3828131706</v>
      </c>
      <c r="DM30" s="1161">
        <f ca="1">OFFSET(Waterfalls!DM181,0,$D$4)</f>
        <v>7581867.4487401694</v>
      </c>
      <c r="DN30" s="1161">
        <f ca="1">OFFSET(Waterfalls!DN181,0,$D$4)</f>
        <v>7608749.6393999942</v>
      </c>
      <c r="DO30" s="1161">
        <f ca="1">OFFSET(Waterfalls!DO181,0,$D$4)</f>
        <v>7635714.1793909268</v>
      </c>
      <c r="DP30" s="1161">
        <f ca="1">OFFSET(Waterfalls!DP181,0,$D$4)</f>
        <v>7662798.4155093012</v>
      </c>
      <c r="DQ30" s="1161">
        <f ca="1">OFFSET(Waterfalls!DQ181,0,$D$4)</f>
        <v>7690002.8301878404</v>
      </c>
      <c r="DR30" s="1161">
        <f ca="1">OFFSET(Waterfalls!DR181,0,$D$4)</f>
        <v>7717327.9078256125</v>
      </c>
      <c r="DS30" s="1161">
        <f ca="1">OFFSET(Waterfalls!DS181,0,$D$4)</f>
        <v>7744774.1347961025</v>
      </c>
      <c r="DT30" s="1161">
        <f ca="1">OFFSET(Waterfalls!DT181,0,$D$4)</f>
        <v>7772341.9994553104</v>
      </c>
      <c r="DU30" s="1161">
        <f ca="1">OFFSET(Waterfalls!DU181,0,$D$4)</f>
        <v>7800031.992149896</v>
      </c>
      <c r="DV30" s="1161">
        <f ca="1">OFFSET(Waterfalls!DV181,0,$D$4)</f>
        <v>0</v>
      </c>
      <c r="DW30" s="1161">
        <f ca="1">OFFSET(Waterfalls!DW181,0,$D$4)</f>
        <v>0</v>
      </c>
      <c r="DX30" s="1161">
        <f ca="1">OFFSET(Waterfalls!DX181,0,$D$4)</f>
        <v>0</v>
      </c>
      <c r="DY30" s="1161">
        <f ca="1">OFFSET(Waterfalls!DY181,0,$D$4)</f>
        <v>0</v>
      </c>
      <c r="DZ30" s="1161">
        <f ca="1">OFFSET(Waterfalls!DZ181,0,$D$4)</f>
        <v>0</v>
      </c>
      <c r="EA30" s="1161">
        <f ca="1">OFFSET(Waterfalls!EA181,0,$D$4)</f>
        <v>0</v>
      </c>
      <c r="EB30" s="1161">
        <f ca="1">OFFSET(Waterfalls!EB181,0,$D$4)</f>
        <v>0</v>
      </c>
      <c r="EC30" s="1161">
        <f ca="1">OFFSET(Waterfalls!EC181,0,$D$4)</f>
        <v>0</v>
      </c>
      <c r="ED30" s="1161">
        <f ca="1">OFFSET(Waterfalls!ED181,0,$D$4)</f>
        <v>0</v>
      </c>
      <c r="EE30" s="1161">
        <f ca="1">OFFSET(Waterfalls!EE181,0,$D$4)</f>
        <v>0</v>
      </c>
      <c r="EF30" s="1161">
        <f ca="1">OFFSET(Waterfalls!EF181,0,$D$4)</f>
        <v>0</v>
      </c>
      <c r="EG30" s="1161">
        <f ca="1">OFFSET(Waterfalls!EG181,0,$D$4)</f>
        <v>0</v>
      </c>
      <c r="EH30" s="778"/>
    </row>
    <row r="31" spans="2:138" ht="12.75" customHeight="1" x14ac:dyDescent="0.3">
      <c r="B31" s="1155" t="s">
        <v>114</v>
      </c>
      <c r="C31" s="1159" t="str">
        <f t="shared" si="6"/>
        <v xml:space="preserve"> Add: Current Tax Burden</v>
      </c>
      <c r="E31" s="1160">
        <f>IF(D17=0,Waterfalls!E182,SUM(Waterfalls!E182:F182))</f>
        <v>0</v>
      </c>
      <c r="F31" s="1161">
        <f ca="1">OFFSET(Waterfalls!F182,0,$D$4)</f>
        <v>0</v>
      </c>
      <c r="G31" s="1161">
        <f ca="1">OFFSET(Waterfalls!G182,0,$D$4)</f>
        <v>0</v>
      </c>
      <c r="H31" s="1161">
        <f ca="1">OFFSET(Waterfalls!H182,0,$D$4)</f>
        <v>0</v>
      </c>
      <c r="I31" s="1161">
        <f ca="1">OFFSET(Waterfalls!I182,0,$D$4)</f>
        <v>0</v>
      </c>
      <c r="J31" s="1161">
        <f ca="1">OFFSET(Waterfalls!J182,0,$D$4)</f>
        <v>0</v>
      </c>
      <c r="K31" s="1161">
        <f ca="1">OFFSET(Waterfalls!K182,0,$D$4)</f>
        <v>0</v>
      </c>
      <c r="L31" s="1161">
        <f ca="1">OFFSET(Waterfalls!L182,0,$D$4)</f>
        <v>0</v>
      </c>
      <c r="M31" s="1161">
        <f ca="1">OFFSET(Waterfalls!M182,0,$D$4)</f>
        <v>0</v>
      </c>
      <c r="N31" s="1161">
        <f ca="1">OFFSET(Waterfalls!N182,0,$D$4)</f>
        <v>0</v>
      </c>
      <c r="O31" s="1161">
        <f ca="1">OFFSET(Waterfalls!O182,0,$D$4)</f>
        <v>0</v>
      </c>
      <c r="P31" s="1161">
        <f ca="1">OFFSET(Waterfalls!P182,0,$D$4)</f>
        <v>0</v>
      </c>
      <c r="Q31" s="1161">
        <f ca="1">OFFSET(Waterfalls!Q182,0,$D$4)</f>
        <v>0</v>
      </c>
      <c r="R31" s="1161">
        <f ca="1">OFFSET(Waterfalls!R182,0,$D$4)</f>
        <v>0</v>
      </c>
      <c r="S31" s="1161">
        <f ca="1">OFFSET(Waterfalls!S182,0,$D$4)</f>
        <v>0</v>
      </c>
      <c r="T31" s="1161">
        <f ca="1">OFFSET(Waterfalls!T182,0,$D$4)</f>
        <v>0</v>
      </c>
      <c r="U31" s="1161">
        <f ca="1">OFFSET(Waterfalls!U182,0,$D$4)</f>
        <v>0</v>
      </c>
      <c r="V31" s="1161">
        <f ca="1">OFFSET(Waterfalls!V182,0,$D$4)</f>
        <v>0</v>
      </c>
      <c r="W31" s="1161">
        <f ca="1">OFFSET(Waterfalls!W182,0,$D$4)</f>
        <v>0</v>
      </c>
      <c r="X31" s="1161">
        <f ca="1">OFFSET(Waterfalls!X182,0,$D$4)</f>
        <v>0</v>
      </c>
      <c r="Y31" s="1161">
        <f ca="1">OFFSET(Waterfalls!Y182,0,$D$4)</f>
        <v>0</v>
      </c>
      <c r="Z31" s="1161">
        <f ca="1">OFFSET(Waterfalls!Z182,0,$D$4)</f>
        <v>0</v>
      </c>
      <c r="AA31" s="1161">
        <f ca="1">OFFSET(Waterfalls!AA182,0,$D$4)</f>
        <v>0</v>
      </c>
      <c r="AB31" s="1161">
        <f ca="1">OFFSET(Waterfalls!AB182,0,$D$4)</f>
        <v>0</v>
      </c>
      <c r="AC31" s="1161">
        <f ca="1">OFFSET(Waterfalls!AC182,0,$D$4)</f>
        <v>0</v>
      </c>
      <c r="AD31" s="1161">
        <f ca="1">OFFSET(Waterfalls!AD182,0,$D$4)</f>
        <v>0</v>
      </c>
      <c r="AE31" s="1161">
        <f ca="1">OFFSET(Waterfalls!AE182,0,$D$4)</f>
        <v>0</v>
      </c>
      <c r="AF31" s="1161">
        <f ca="1">OFFSET(Waterfalls!AF182,0,$D$4)</f>
        <v>0</v>
      </c>
      <c r="AG31" s="1161">
        <f ca="1">OFFSET(Waterfalls!AG182,0,$D$4)</f>
        <v>0</v>
      </c>
      <c r="AH31" s="1161">
        <f ca="1">OFFSET(Waterfalls!AH182,0,$D$4)</f>
        <v>0</v>
      </c>
      <c r="AI31" s="1161">
        <f ca="1">OFFSET(Waterfalls!AI182,0,$D$4)</f>
        <v>0</v>
      </c>
      <c r="AJ31" s="1161">
        <f ca="1">OFFSET(Waterfalls!AJ182,0,$D$4)</f>
        <v>0</v>
      </c>
      <c r="AK31" s="1161">
        <f ca="1">OFFSET(Waterfalls!AK182,0,$D$4)</f>
        <v>0</v>
      </c>
      <c r="AL31" s="1161">
        <f ca="1">OFFSET(Waterfalls!AL182,0,$D$4)</f>
        <v>0</v>
      </c>
      <c r="AM31" s="1161">
        <f ca="1">OFFSET(Waterfalls!AM182,0,$D$4)</f>
        <v>0</v>
      </c>
      <c r="AN31" s="1161">
        <f ca="1">OFFSET(Waterfalls!AN182,0,$D$4)</f>
        <v>0</v>
      </c>
      <c r="AO31" s="1161">
        <f ca="1">OFFSET(Waterfalls!AO182,0,$D$4)</f>
        <v>0</v>
      </c>
      <c r="AP31" s="1161">
        <f ca="1">OFFSET(Waterfalls!AP182,0,$D$4)</f>
        <v>0</v>
      </c>
      <c r="AQ31" s="1161">
        <f ca="1">OFFSET(Waterfalls!AQ182,0,$D$4)</f>
        <v>0</v>
      </c>
      <c r="AR31" s="1161">
        <f ca="1">OFFSET(Waterfalls!AR182,0,$D$4)</f>
        <v>0</v>
      </c>
      <c r="AS31" s="1161">
        <f ca="1">OFFSET(Waterfalls!AS182,0,$D$4)</f>
        <v>0</v>
      </c>
      <c r="AT31" s="1161">
        <f ca="1">OFFSET(Waterfalls!AT182,0,$D$4)</f>
        <v>0</v>
      </c>
      <c r="AU31" s="1161">
        <f ca="1">OFFSET(Waterfalls!AU182,0,$D$4)</f>
        <v>0</v>
      </c>
      <c r="AV31" s="1161">
        <f ca="1">OFFSET(Waterfalls!AV182,0,$D$4)</f>
        <v>0</v>
      </c>
      <c r="AW31" s="1161">
        <f ca="1">OFFSET(Waterfalls!AW182,0,$D$4)</f>
        <v>0</v>
      </c>
      <c r="AX31" s="1161">
        <f ca="1">OFFSET(Waterfalls!AX182,0,$D$4)</f>
        <v>0</v>
      </c>
      <c r="AY31" s="1161">
        <f ca="1">OFFSET(Waterfalls!AY182,0,$D$4)</f>
        <v>0</v>
      </c>
      <c r="AZ31" s="1161">
        <f ca="1">OFFSET(Waterfalls!AZ182,0,$D$4)</f>
        <v>0</v>
      </c>
      <c r="BA31" s="1161">
        <f ca="1">OFFSET(Waterfalls!BA182,0,$D$4)</f>
        <v>0</v>
      </c>
      <c r="BB31" s="1161">
        <f ca="1">OFFSET(Waterfalls!BB182,0,$D$4)</f>
        <v>0</v>
      </c>
      <c r="BC31" s="1161">
        <f ca="1">OFFSET(Waterfalls!BC182,0,$D$4)</f>
        <v>0</v>
      </c>
      <c r="BD31" s="1161">
        <f ca="1">OFFSET(Waterfalls!BD182,0,$D$4)</f>
        <v>0</v>
      </c>
      <c r="BE31" s="1161">
        <f ca="1">OFFSET(Waterfalls!BE182,0,$D$4)</f>
        <v>0</v>
      </c>
      <c r="BF31" s="1161">
        <f ca="1">OFFSET(Waterfalls!BF182,0,$D$4)</f>
        <v>0</v>
      </c>
      <c r="BG31" s="1161">
        <f ca="1">OFFSET(Waterfalls!BG182,0,$D$4)</f>
        <v>0</v>
      </c>
      <c r="BH31" s="1161">
        <f ca="1">OFFSET(Waterfalls!BH182,0,$D$4)</f>
        <v>0</v>
      </c>
      <c r="BI31" s="1161">
        <f ca="1">OFFSET(Waterfalls!BI182,0,$D$4)</f>
        <v>0</v>
      </c>
      <c r="BJ31" s="1161">
        <f ca="1">OFFSET(Waterfalls!BJ182,0,$D$4)</f>
        <v>0</v>
      </c>
      <c r="BK31" s="1161">
        <f ca="1">OFFSET(Waterfalls!BK182,0,$D$4)</f>
        <v>0</v>
      </c>
      <c r="BL31" s="1161">
        <f ca="1">OFFSET(Waterfalls!BL182,0,$D$4)</f>
        <v>0</v>
      </c>
      <c r="BM31" s="1161">
        <f ca="1">OFFSET(Waterfalls!BM182,0,$D$4)</f>
        <v>0</v>
      </c>
      <c r="BN31" s="1161">
        <f ca="1">OFFSET(Waterfalls!BN182,0,$D$4)</f>
        <v>0</v>
      </c>
      <c r="BO31" s="1161">
        <f ca="1">OFFSET(Waterfalls!BO182,0,$D$4)</f>
        <v>0</v>
      </c>
      <c r="BP31" s="1161">
        <f ca="1">OFFSET(Waterfalls!BP182,0,$D$4)</f>
        <v>0</v>
      </c>
      <c r="BQ31" s="1161">
        <f ca="1">OFFSET(Waterfalls!BQ182,0,$D$4)</f>
        <v>0</v>
      </c>
      <c r="BR31" s="1161">
        <f ca="1">OFFSET(Waterfalls!BR182,0,$D$4)</f>
        <v>0</v>
      </c>
      <c r="BS31" s="1161">
        <f ca="1">OFFSET(Waterfalls!BS182,0,$D$4)</f>
        <v>0</v>
      </c>
      <c r="BT31" s="1161">
        <f ca="1">OFFSET(Waterfalls!BT182,0,$D$4)</f>
        <v>0</v>
      </c>
      <c r="BU31" s="1161">
        <f ca="1">OFFSET(Waterfalls!BU182,0,$D$4)</f>
        <v>0</v>
      </c>
      <c r="BV31" s="1161">
        <f ca="1">OFFSET(Waterfalls!BV182,0,$D$4)</f>
        <v>0</v>
      </c>
      <c r="BW31" s="1161">
        <f ca="1">OFFSET(Waterfalls!BW182,0,$D$4)</f>
        <v>0</v>
      </c>
      <c r="BX31" s="1161">
        <f ca="1">OFFSET(Waterfalls!BX182,0,$D$4)</f>
        <v>0</v>
      </c>
      <c r="BY31" s="1161">
        <f ca="1">OFFSET(Waterfalls!BY182,0,$D$4)</f>
        <v>0</v>
      </c>
      <c r="BZ31" s="1161">
        <f ca="1">OFFSET(Waterfalls!BZ182,0,$D$4)</f>
        <v>0</v>
      </c>
      <c r="CA31" s="1161">
        <f ca="1">OFFSET(Waterfalls!CA182,0,$D$4)</f>
        <v>0</v>
      </c>
      <c r="CB31" s="1161">
        <f ca="1">OFFSET(Waterfalls!CB182,0,$D$4)</f>
        <v>0</v>
      </c>
      <c r="CC31" s="1161">
        <f ca="1">OFFSET(Waterfalls!CC182,0,$D$4)</f>
        <v>0</v>
      </c>
      <c r="CD31" s="1161">
        <f ca="1">OFFSET(Waterfalls!CD182,0,$D$4)</f>
        <v>0</v>
      </c>
      <c r="CE31" s="1161">
        <f ca="1">OFFSET(Waterfalls!CE182,0,$D$4)</f>
        <v>0</v>
      </c>
      <c r="CF31" s="1161">
        <f ca="1">OFFSET(Waterfalls!CF182,0,$D$4)</f>
        <v>0</v>
      </c>
      <c r="CG31" s="1161">
        <f ca="1">OFFSET(Waterfalls!CG182,0,$D$4)</f>
        <v>0</v>
      </c>
      <c r="CH31" s="1161">
        <f ca="1">OFFSET(Waterfalls!CH182,0,$D$4)</f>
        <v>0</v>
      </c>
      <c r="CI31" s="1161">
        <f ca="1">OFFSET(Waterfalls!CI182,0,$D$4)</f>
        <v>0</v>
      </c>
      <c r="CJ31" s="1161">
        <f ca="1">OFFSET(Waterfalls!CJ182,0,$D$4)</f>
        <v>0</v>
      </c>
      <c r="CK31" s="1161">
        <f ca="1">OFFSET(Waterfalls!CK182,0,$D$4)</f>
        <v>0</v>
      </c>
      <c r="CL31" s="1161">
        <f ca="1">OFFSET(Waterfalls!CL182,0,$D$4)</f>
        <v>0</v>
      </c>
      <c r="CM31" s="1161">
        <f ca="1">OFFSET(Waterfalls!CM182,0,$D$4)</f>
        <v>0</v>
      </c>
      <c r="CN31" s="1161">
        <f ca="1">OFFSET(Waterfalls!CN182,0,$D$4)</f>
        <v>0</v>
      </c>
      <c r="CO31" s="1161">
        <f ca="1">OFFSET(Waterfalls!CO182,0,$D$4)</f>
        <v>0</v>
      </c>
      <c r="CP31" s="1161">
        <f ca="1">OFFSET(Waterfalls!CP182,0,$D$4)</f>
        <v>0</v>
      </c>
      <c r="CQ31" s="1161">
        <f ca="1">OFFSET(Waterfalls!CQ182,0,$D$4)</f>
        <v>0</v>
      </c>
      <c r="CR31" s="1161">
        <f ca="1">OFFSET(Waterfalls!CR182,0,$D$4)</f>
        <v>0</v>
      </c>
      <c r="CS31" s="1161">
        <f ca="1">OFFSET(Waterfalls!CS182,0,$D$4)</f>
        <v>0</v>
      </c>
      <c r="CT31" s="1161">
        <f ca="1">OFFSET(Waterfalls!CT182,0,$D$4)</f>
        <v>0</v>
      </c>
      <c r="CU31" s="1161">
        <f ca="1">OFFSET(Waterfalls!CU182,0,$D$4)</f>
        <v>0</v>
      </c>
      <c r="CV31" s="1161">
        <f ca="1">OFFSET(Waterfalls!CV182,0,$D$4)</f>
        <v>0</v>
      </c>
      <c r="CW31" s="1161">
        <f ca="1">OFFSET(Waterfalls!CW182,0,$D$4)</f>
        <v>0</v>
      </c>
      <c r="CX31" s="1161">
        <f ca="1">OFFSET(Waterfalls!CX182,0,$D$4)</f>
        <v>0</v>
      </c>
      <c r="CY31" s="1161">
        <f ca="1">OFFSET(Waterfalls!CY182,0,$D$4)</f>
        <v>0</v>
      </c>
      <c r="CZ31" s="1161">
        <f ca="1">OFFSET(Waterfalls!CZ182,0,$D$4)</f>
        <v>0</v>
      </c>
      <c r="DA31" s="1161">
        <f ca="1">OFFSET(Waterfalls!DA182,0,$D$4)</f>
        <v>0</v>
      </c>
      <c r="DB31" s="1161">
        <f ca="1">OFFSET(Waterfalls!DB182,0,$D$4)</f>
        <v>0</v>
      </c>
      <c r="DC31" s="1161">
        <f ca="1">OFFSET(Waterfalls!DC182,0,$D$4)</f>
        <v>0</v>
      </c>
      <c r="DD31" s="1161">
        <f ca="1">OFFSET(Waterfalls!DD182,0,$D$4)</f>
        <v>0</v>
      </c>
      <c r="DE31" s="1161">
        <f ca="1">OFFSET(Waterfalls!DE182,0,$D$4)</f>
        <v>0</v>
      </c>
      <c r="DF31" s="1161">
        <f ca="1">OFFSET(Waterfalls!DF182,0,$D$4)</f>
        <v>0</v>
      </c>
      <c r="DG31" s="1161">
        <f ca="1">OFFSET(Waterfalls!DG182,0,$D$4)</f>
        <v>0</v>
      </c>
      <c r="DH31" s="1161">
        <f ca="1">OFFSET(Waterfalls!DH182,0,$D$4)</f>
        <v>0</v>
      </c>
      <c r="DI31" s="1161">
        <f ca="1">OFFSET(Waterfalls!DI182,0,$D$4)</f>
        <v>0</v>
      </c>
      <c r="DJ31" s="1161">
        <f ca="1">OFFSET(Waterfalls!DJ182,0,$D$4)</f>
        <v>0</v>
      </c>
      <c r="DK31" s="1161">
        <f ca="1">OFFSET(Waterfalls!DK182,0,$D$4)</f>
        <v>0</v>
      </c>
      <c r="DL31" s="1161">
        <f ca="1">OFFSET(Waterfalls!DL182,0,$D$4)</f>
        <v>0</v>
      </c>
      <c r="DM31" s="1161">
        <f ca="1">OFFSET(Waterfalls!DM182,0,$D$4)</f>
        <v>0</v>
      </c>
      <c r="DN31" s="1161">
        <f ca="1">OFFSET(Waterfalls!DN182,0,$D$4)</f>
        <v>0</v>
      </c>
      <c r="DO31" s="1161">
        <f ca="1">OFFSET(Waterfalls!DO182,0,$D$4)</f>
        <v>0</v>
      </c>
      <c r="DP31" s="1161">
        <f ca="1">OFFSET(Waterfalls!DP182,0,$D$4)</f>
        <v>0</v>
      </c>
      <c r="DQ31" s="1161">
        <f ca="1">OFFSET(Waterfalls!DQ182,0,$D$4)</f>
        <v>0</v>
      </c>
      <c r="DR31" s="1161">
        <f ca="1">OFFSET(Waterfalls!DR182,0,$D$4)</f>
        <v>0</v>
      </c>
      <c r="DS31" s="1161">
        <f ca="1">OFFSET(Waterfalls!DS182,0,$D$4)</f>
        <v>0</v>
      </c>
      <c r="DT31" s="1161">
        <f ca="1">OFFSET(Waterfalls!DT182,0,$D$4)</f>
        <v>0</v>
      </c>
      <c r="DU31" s="1161">
        <f ca="1">OFFSET(Waterfalls!DU182,0,$D$4)</f>
        <v>0</v>
      </c>
      <c r="DV31" s="1161">
        <f ca="1">OFFSET(Waterfalls!DV182,0,$D$4)</f>
        <v>0</v>
      </c>
      <c r="DW31" s="1161">
        <f ca="1">OFFSET(Waterfalls!DW182,0,$D$4)</f>
        <v>0</v>
      </c>
      <c r="DX31" s="1161">
        <f ca="1">OFFSET(Waterfalls!DX182,0,$D$4)</f>
        <v>0</v>
      </c>
      <c r="DY31" s="1161">
        <f ca="1">OFFSET(Waterfalls!DY182,0,$D$4)</f>
        <v>0</v>
      </c>
      <c r="DZ31" s="1161">
        <f ca="1">OFFSET(Waterfalls!DZ182,0,$D$4)</f>
        <v>0</v>
      </c>
      <c r="EA31" s="1161">
        <f ca="1">OFFSET(Waterfalls!EA182,0,$D$4)</f>
        <v>0</v>
      </c>
      <c r="EB31" s="1161">
        <f ca="1">OFFSET(Waterfalls!EB182,0,$D$4)</f>
        <v>0</v>
      </c>
      <c r="EC31" s="1161">
        <f ca="1">OFFSET(Waterfalls!EC182,0,$D$4)</f>
        <v>0</v>
      </c>
      <c r="ED31" s="1161">
        <f ca="1">OFFSET(Waterfalls!ED182,0,$D$4)</f>
        <v>0</v>
      </c>
      <c r="EE31" s="1161">
        <f ca="1">OFFSET(Waterfalls!EE182,0,$D$4)</f>
        <v>0</v>
      </c>
      <c r="EF31" s="1161">
        <f ca="1">OFFSET(Waterfalls!EF182,0,$D$4)</f>
        <v>0</v>
      </c>
      <c r="EG31" s="1161">
        <f ca="1">OFFSET(Waterfalls!EG182,0,$D$4)</f>
        <v>0</v>
      </c>
      <c r="EH31" s="778"/>
    </row>
    <row r="32" spans="2:138" ht="12.75" customHeight="1" x14ac:dyDescent="0.3">
      <c r="B32" s="1155" t="s">
        <v>115</v>
      </c>
      <c r="C32" s="1159" t="str">
        <f t="shared" si="6"/>
        <v xml:space="preserve"> Less: Purchaser's Tax Burden</v>
      </c>
      <c r="E32" s="1160">
        <f>IF(D18=0,Waterfalls!E183,SUM(Waterfalls!E183:F183))</f>
        <v>0</v>
      </c>
      <c r="F32" s="1161">
        <f ca="1">OFFSET(Waterfalls!F183,0,$D$4)</f>
        <v>0</v>
      </c>
      <c r="G32" s="1161">
        <f ca="1">OFFSET(Waterfalls!G183,0,$D$4)</f>
        <v>0</v>
      </c>
      <c r="H32" s="1161">
        <f ca="1">OFFSET(Waterfalls!H183,0,$D$4)</f>
        <v>0</v>
      </c>
      <c r="I32" s="1161">
        <f ca="1">OFFSET(Waterfalls!I183,0,$D$4)</f>
        <v>0</v>
      </c>
      <c r="J32" s="1161">
        <f ca="1">OFFSET(Waterfalls!J183,0,$D$4)</f>
        <v>0</v>
      </c>
      <c r="K32" s="1161">
        <f ca="1">OFFSET(Waterfalls!K183,0,$D$4)</f>
        <v>0</v>
      </c>
      <c r="L32" s="1161">
        <f ca="1">OFFSET(Waterfalls!L183,0,$D$4)</f>
        <v>0</v>
      </c>
      <c r="M32" s="1161">
        <f ca="1">OFFSET(Waterfalls!M183,0,$D$4)</f>
        <v>0</v>
      </c>
      <c r="N32" s="1161">
        <f ca="1">OFFSET(Waterfalls!N183,0,$D$4)</f>
        <v>0</v>
      </c>
      <c r="O32" s="1161">
        <f ca="1">OFFSET(Waterfalls!O183,0,$D$4)</f>
        <v>0</v>
      </c>
      <c r="P32" s="1161">
        <f ca="1">OFFSET(Waterfalls!P183,0,$D$4)</f>
        <v>0</v>
      </c>
      <c r="Q32" s="1161">
        <f ca="1">OFFSET(Waterfalls!Q183,0,$D$4)</f>
        <v>0</v>
      </c>
      <c r="R32" s="1161">
        <f ca="1">OFFSET(Waterfalls!R183,0,$D$4)</f>
        <v>0</v>
      </c>
      <c r="S32" s="1161">
        <f ca="1">OFFSET(Waterfalls!S183,0,$D$4)</f>
        <v>0</v>
      </c>
      <c r="T32" s="1161">
        <f ca="1">OFFSET(Waterfalls!T183,0,$D$4)</f>
        <v>0</v>
      </c>
      <c r="U32" s="1161">
        <f ca="1">OFFSET(Waterfalls!U183,0,$D$4)</f>
        <v>0</v>
      </c>
      <c r="V32" s="1161">
        <f ca="1">OFFSET(Waterfalls!V183,0,$D$4)</f>
        <v>0</v>
      </c>
      <c r="W32" s="1161">
        <f ca="1">OFFSET(Waterfalls!W183,0,$D$4)</f>
        <v>0</v>
      </c>
      <c r="X32" s="1161">
        <f ca="1">OFFSET(Waterfalls!X183,0,$D$4)</f>
        <v>0</v>
      </c>
      <c r="Y32" s="1161">
        <f ca="1">OFFSET(Waterfalls!Y183,0,$D$4)</f>
        <v>0</v>
      </c>
      <c r="Z32" s="1161">
        <f ca="1">OFFSET(Waterfalls!Z183,0,$D$4)</f>
        <v>0</v>
      </c>
      <c r="AA32" s="1161">
        <f ca="1">OFFSET(Waterfalls!AA183,0,$D$4)</f>
        <v>0</v>
      </c>
      <c r="AB32" s="1161">
        <f ca="1">OFFSET(Waterfalls!AB183,0,$D$4)</f>
        <v>0</v>
      </c>
      <c r="AC32" s="1161">
        <f ca="1">OFFSET(Waterfalls!AC183,0,$D$4)</f>
        <v>0</v>
      </c>
      <c r="AD32" s="1161">
        <f ca="1">OFFSET(Waterfalls!AD183,0,$D$4)</f>
        <v>0</v>
      </c>
      <c r="AE32" s="1161">
        <f ca="1">OFFSET(Waterfalls!AE183,0,$D$4)</f>
        <v>0</v>
      </c>
      <c r="AF32" s="1161">
        <f ca="1">OFFSET(Waterfalls!AF183,0,$D$4)</f>
        <v>0</v>
      </c>
      <c r="AG32" s="1161">
        <f ca="1">OFFSET(Waterfalls!AG183,0,$D$4)</f>
        <v>0</v>
      </c>
      <c r="AH32" s="1161">
        <f ca="1">OFFSET(Waterfalls!AH183,0,$D$4)</f>
        <v>0</v>
      </c>
      <c r="AI32" s="1161">
        <f ca="1">OFFSET(Waterfalls!AI183,0,$D$4)</f>
        <v>0</v>
      </c>
      <c r="AJ32" s="1161">
        <f ca="1">OFFSET(Waterfalls!AJ183,0,$D$4)</f>
        <v>0</v>
      </c>
      <c r="AK32" s="1161">
        <f ca="1">OFFSET(Waterfalls!AK183,0,$D$4)</f>
        <v>0</v>
      </c>
      <c r="AL32" s="1161">
        <f ca="1">OFFSET(Waterfalls!AL183,0,$D$4)</f>
        <v>0</v>
      </c>
      <c r="AM32" s="1161">
        <f ca="1">OFFSET(Waterfalls!AM183,0,$D$4)</f>
        <v>0</v>
      </c>
      <c r="AN32" s="1161">
        <f ca="1">OFFSET(Waterfalls!AN183,0,$D$4)</f>
        <v>0</v>
      </c>
      <c r="AO32" s="1161">
        <f ca="1">OFFSET(Waterfalls!AO183,0,$D$4)</f>
        <v>0</v>
      </c>
      <c r="AP32" s="1161">
        <f ca="1">OFFSET(Waterfalls!AP183,0,$D$4)</f>
        <v>0</v>
      </c>
      <c r="AQ32" s="1161">
        <f ca="1">OFFSET(Waterfalls!AQ183,0,$D$4)</f>
        <v>0</v>
      </c>
      <c r="AR32" s="1161">
        <f ca="1">OFFSET(Waterfalls!AR183,0,$D$4)</f>
        <v>0</v>
      </c>
      <c r="AS32" s="1161">
        <f ca="1">OFFSET(Waterfalls!AS183,0,$D$4)</f>
        <v>0</v>
      </c>
      <c r="AT32" s="1161">
        <f ca="1">OFFSET(Waterfalls!AT183,0,$D$4)</f>
        <v>0</v>
      </c>
      <c r="AU32" s="1161">
        <f ca="1">OFFSET(Waterfalls!AU183,0,$D$4)</f>
        <v>0</v>
      </c>
      <c r="AV32" s="1161">
        <f ca="1">OFFSET(Waterfalls!AV183,0,$D$4)</f>
        <v>0</v>
      </c>
      <c r="AW32" s="1161">
        <f ca="1">OFFSET(Waterfalls!AW183,0,$D$4)</f>
        <v>0</v>
      </c>
      <c r="AX32" s="1161">
        <f ca="1">OFFSET(Waterfalls!AX183,0,$D$4)</f>
        <v>0</v>
      </c>
      <c r="AY32" s="1161">
        <f ca="1">OFFSET(Waterfalls!AY183,0,$D$4)</f>
        <v>0</v>
      </c>
      <c r="AZ32" s="1161">
        <f ca="1">OFFSET(Waterfalls!AZ183,0,$D$4)</f>
        <v>0</v>
      </c>
      <c r="BA32" s="1161">
        <f ca="1">OFFSET(Waterfalls!BA183,0,$D$4)</f>
        <v>0</v>
      </c>
      <c r="BB32" s="1161">
        <f ca="1">OFFSET(Waterfalls!BB183,0,$D$4)</f>
        <v>0</v>
      </c>
      <c r="BC32" s="1161">
        <f ca="1">OFFSET(Waterfalls!BC183,0,$D$4)</f>
        <v>0</v>
      </c>
      <c r="BD32" s="1161">
        <f ca="1">OFFSET(Waterfalls!BD183,0,$D$4)</f>
        <v>0</v>
      </c>
      <c r="BE32" s="1161">
        <f ca="1">OFFSET(Waterfalls!BE183,0,$D$4)</f>
        <v>0</v>
      </c>
      <c r="BF32" s="1161">
        <f ca="1">OFFSET(Waterfalls!BF183,0,$D$4)</f>
        <v>0</v>
      </c>
      <c r="BG32" s="1161">
        <f ca="1">OFFSET(Waterfalls!BG183,0,$D$4)</f>
        <v>0</v>
      </c>
      <c r="BH32" s="1161">
        <f ca="1">OFFSET(Waterfalls!BH183,0,$D$4)</f>
        <v>0</v>
      </c>
      <c r="BI32" s="1161">
        <f ca="1">OFFSET(Waterfalls!BI183,0,$D$4)</f>
        <v>0</v>
      </c>
      <c r="BJ32" s="1161">
        <f ca="1">OFFSET(Waterfalls!BJ183,0,$D$4)</f>
        <v>0</v>
      </c>
      <c r="BK32" s="1161">
        <f ca="1">OFFSET(Waterfalls!BK183,0,$D$4)</f>
        <v>0</v>
      </c>
      <c r="BL32" s="1161">
        <f ca="1">OFFSET(Waterfalls!BL183,0,$D$4)</f>
        <v>0</v>
      </c>
      <c r="BM32" s="1161">
        <f ca="1">OFFSET(Waterfalls!BM183,0,$D$4)</f>
        <v>0</v>
      </c>
      <c r="BN32" s="1161">
        <f ca="1">OFFSET(Waterfalls!BN183,0,$D$4)</f>
        <v>0</v>
      </c>
      <c r="BO32" s="1161">
        <f ca="1">OFFSET(Waterfalls!BO183,0,$D$4)</f>
        <v>0</v>
      </c>
      <c r="BP32" s="1161">
        <f ca="1">OFFSET(Waterfalls!BP183,0,$D$4)</f>
        <v>0</v>
      </c>
      <c r="BQ32" s="1161">
        <f ca="1">OFFSET(Waterfalls!BQ183,0,$D$4)</f>
        <v>0</v>
      </c>
      <c r="BR32" s="1161">
        <f ca="1">OFFSET(Waterfalls!BR183,0,$D$4)</f>
        <v>0</v>
      </c>
      <c r="BS32" s="1161">
        <f ca="1">OFFSET(Waterfalls!BS183,0,$D$4)</f>
        <v>0</v>
      </c>
      <c r="BT32" s="1161">
        <f ca="1">OFFSET(Waterfalls!BT183,0,$D$4)</f>
        <v>0</v>
      </c>
      <c r="BU32" s="1161">
        <f ca="1">OFFSET(Waterfalls!BU183,0,$D$4)</f>
        <v>0</v>
      </c>
      <c r="BV32" s="1161">
        <f ca="1">OFFSET(Waterfalls!BV183,0,$D$4)</f>
        <v>0</v>
      </c>
      <c r="BW32" s="1161">
        <f ca="1">OFFSET(Waterfalls!BW183,0,$D$4)</f>
        <v>0</v>
      </c>
      <c r="BX32" s="1161">
        <f ca="1">OFFSET(Waterfalls!BX183,0,$D$4)</f>
        <v>0</v>
      </c>
      <c r="BY32" s="1161">
        <f ca="1">OFFSET(Waterfalls!BY183,0,$D$4)</f>
        <v>0</v>
      </c>
      <c r="BZ32" s="1161">
        <f ca="1">OFFSET(Waterfalls!BZ183,0,$D$4)</f>
        <v>0</v>
      </c>
      <c r="CA32" s="1161">
        <f ca="1">OFFSET(Waterfalls!CA183,0,$D$4)</f>
        <v>0</v>
      </c>
      <c r="CB32" s="1161">
        <f ca="1">OFFSET(Waterfalls!CB183,0,$D$4)</f>
        <v>0</v>
      </c>
      <c r="CC32" s="1161">
        <f ca="1">OFFSET(Waterfalls!CC183,0,$D$4)</f>
        <v>0</v>
      </c>
      <c r="CD32" s="1161">
        <f ca="1">OFFSET(Waterfalls!CD183,0,$D$4)</f>
        <v>0</v>
      </c>
      <c r="CE32" s="1161">
        <f ca="1">OFFSET(Waterfalls!CE183,0,$D$4)</f>
        <v>0</v>
      </c>
      <c r="CF32" s="1161">
        <f ca="1">OFFSET(Waterfalls!CF183,0,$D$4)</f>
        <v>0</v>
      </c>
      <c r="CG32" s="1161">
        <f ca="1">OFFSET(Waterfalls!CG183,0,$D$4)</f>
        <v>0</v>
      </c>
      <c r="CH32" s="1161">
        <f ca="1">OFFSET(Waterfalls!CH183,0,$D$4)</f>
        <v>0</v>
      </c>
      <c r="CI32" s="1161">
        <f ca="1">OFFSET(Waterfalls!CI183,0,$D$4)</f>
        <v>0</v>
      </c>
      <c r="CJ32" s="1161">
        <f ca="1">OFFSET(Waterfalls!CJ183,0,$D$4)</f>
        <v>0</v>
      </c>
      <c r="CK32" s="1161">
        <f ca="1">OFFSET(Waterfalls!CK183,0,$D$4)</f>
        <v>0</v>
      </c>
      <c r="CL32" s="1161">
        <f ca="1">OFFSET(Waterfalls!CL183,0,$D$4)</f>
        <v>0</v>
      </c>
      <c r="CM32" s="1161">
        <f ca="1">OFFSET(Waterfalls!CM183,0,$D$4)</f>
        <v>0</v>
      </c>
      <c r="CN32" s="1161">
        <f ca="1">OFFSET(Waterfalls!CN183,0,$D$4)</f>
        <v>0</v>
      </c>
      <c r="CO32" s="1161">
        <f ca="1">OFFSET(Waterfalls!CO183,0,$D$4)</f>
        <v>0</v>
      </c>
      <c r="CP32" s="1161">
        <f ca="1">OFFSET(Waterfalls!CP183,0,$D$4)</f>
        <v>0</v>
      </c>
      <c r="CQ32" s="1161">
        <f ca="1">OFFSET(Waterfalls!CQ183,0,$D$4)</f>
        <v>0</v>
      </c>
      <c r="CR32" s="1161">
        <f ca="1">OFFSET(Waterfalls!CR183,0,$D$4)</f>
        <v>0</v>
      </c>
      <c r="CS32" s="1161">
        <f ca="1">OFFSET(Waterfalls!CS183,0,$D$4)</f>
        <v>0</v>
      </c>
      <c r="CT32" s="1161">
        <f ca="1">OFFSET(Waterfalls!CT183,0,$D$4)</f>
        <v>0</v>
      </c>
      <c r="CU32" s="1161">
        <f ca="1">OFFSET(Waterfalls!CU183,0,$D$4)</f>
        <v>0</v>
      </c>
      <c r="CV32" s="1161">
        <f ca="1">OFFSET(Waterfalls!CV183,0,$D$4)</f>
        <v>0</v>
      </c>
      <c r="CW32" s="1161">
        <f ca="1">OFFSET(Waterfalls!CW183,0,$D$4)</f>
        <v>0</v>
      </c>
      <c r="CX32" s="1161">
        <f ca="1">OFFSET(Waterfalls!CX183,0,$D$4)</f>
        <v>0</v>
      </c>
      <c r="CY32" s="1161">
        <f ca="1">OFFSET(Waterfalls!CY183,0,$D$4)</f>
        <v>0</v>
      </c>
      <c r="CZ32" s="1161">
        <f ca="1">OFFSET(Waterfalls!CZ183,0,$D$4)</f>
        <v>0</v>
      </c>
      <c r="DA32" s="1161">
        <f ca="1">OFFSET(Waterfalls!DA183,0,$D$4)</f>
        <v>0</v>
      </c>
      <c r="DB32" s="1161">
        <f ca="1">OFFSET(Waterfalls!DB183,0,$D$4)</f>
        <v>0</v>
      </c>
      <c r="DC32" s="1161">
        <f ca="1">OFFSET(Waterfalls!DC183,0,$D$4)</f>
        <v>0</v>
      </c>
      <c r="DD32" s="1161">
        <f ca="1">OFFSET(Waterfalls!DD183,0,$D$4)</f>
        <v>0</v>
      </c>
      <c r="DE32" s="1161">
        <f ca="1">OFFSET(Waterfalls!DE183,0,$D$4)</f>
        <v>0</v>
      </c>
      <c r="DF32" s="1161">
        <f ca="1">OFFSET(Waterfalls!DF183,0,$D$4)</f>
        <v>0</v>
      </c>
      <c r="DG32" s="1161">
        <f ca="1">OFFSET(Waterfalls!DG183,0,$D$4)</f>
        <v>0</v>
      </c>
      <c r="DH32" s="1161">
        <f ca="1">OFFSET(Waterfalls!DH183,0,$D$4)</f>
        <v>0</v>
      </c>
      <c r="DI32" s="1161">
        <f ca="1">OFFSET(Waterfalls!DI183,0,$D$4)</f>
        <v>0</v>
      </c>
      <c r="DJ32" s="1161">
        <f ca="1">OFFSET(Waterfalls!DJ183,0,$D$4)</f>
        <v>0</v>
      </c>
      <c r="DK32" s="1161">
        <f ca="1">OFFSET(Waterfalls!DK183,0,$D$4)</f>
        <v>0</v>
      </c>
      <c r="DL32" s="1161">
        <f ca="1">OFFSET(Waterfalls!DL183,0,$D$4)</f>
        <v>0</v>
      </c>
      <c r="DM32" s="1161">
        <f ca="1">OFFSET(Waterfalls!DM183,0,$D$4)</f>
        <v>0</v>
      </c>
      <c r="DN32" s="1161">
        <f ca="1">OFFSET(Waterfalls!DN183,0,$D$4)</f>
        <v>0</v>
      </c>
      <c r="DO32" s="1161">
        <f ca="1">OFFSET(Waterfalls!DO183,0,$D$4)</f>
        <v>0</v>
      </c>
      <c r="DP32" s="1161">
        <f ca="1">OFFSET(Waterfalls!DP183,0,$D$4)</f>
        <v>0</v>
      </c>
      <c r="DQ32" s="1161">
        <f ca="1">OFFSET(Waterfalls!DQ183,0,$D$4)</f>
        <v>0</v>
      </c>
      <c r="DR32" s="1161">
        <f ca="1">OFFSET(Waterfalls!DR183,0,$D$4)</f>
        <v>0</v>
      </c>
      <c r="DS32" s="1161">
        <f ca="1">OFFSET(Waterfalls!DS183,0,$D$4)</f>
        <v>0</v>
      </c>
      <c r="DT32" s="1161">
        <f ca="1">OFFSET(Waterfalls!DT183,0,$D$4)</f>
        <v>0</v>
      </c>
      <c r="DU32" s="1161">
        <f ca="1">OFFSET(Waterfalls!DU183,0,$D$4)</f>
        <v>0</v>
      </c>
      <c r="DV32" s="1161">
        <f ca="1">OFFSET(Waterfalls!DV183,0,$D$4)</f>
        <v>0</v>
      </c>
      <c r="DW32" s="1161">
        <f ca="1">OFFSET(Waterfalls!DW183,0,$D$4)</f>
        <v>0</v>
      </c>
      <c r="DX32" s="1161">
        <f ca="1">OFFSET(Waterfalls!DX183,0,$D$4)</f>
        <v>0</v>
      </c>
      <c r="DY32" s="1161">
        <f ca="1">OFFSET(Waterfalls!DY183,0,$D$4)</f>
        <v>0</v>
      </c>
      <c r="DZ32" s="1161">
        <f ca="1">OFFSET(Waterfalls!DZ183,0,$D$4)</f>
        <v>0</v>
      </c>
      <c r="EA32" s="1161">
        <f ca="1">OFFSET(Waterfalls!EA183,0,$D$4)</f>
        <v>0</v>
      </c>
      <c r="EB32" s="1161">
        <f ca="1">OFFSET(Waterfalls!EB183,0,$D$4)</f>
        <v>0</v>
      </c>
      <c r="EC32" s="1161">
        <f ca="1">OFFSET(Waterfalls!EC183,0,$D$4)</f>
        <v>0</v>
      </c>
      <c r="ED32" s="1161">
        <f ca="1">OFFSET(Waterfalls!ED183,0,$D$4)</f>
        <v>0</v>
      </c>
      <c r="EE32" s="1161">
        <f ca="1">OFFSET(Waterfalls!EE183,0,$D$4)</f>
        <v>0</v>
      </c>
      <c r="EF32" s="1161">
        <f ca="1">OFFSET(Waterfalls!EF183,0,$D$4)</f>
        <v>0</v>
      </c>
      <c r="EG32" s="1161">
        <f ca="1">OFFSET(Waterfalls!EG183,0,$D$4)</f>
        <v>0</v>
      </c>
      <c r="EH32" s="778"/>
    </row>
    <row r="33" spans="2:166" ht="12.75" customHeight="1" x14ac:dyDescent="0.3">
      <c r="B33" s="1155" t="s">
        <v>309</v>
      </c>
      <c r="C33" s="1159" t="str">
        <f t="shared" si="6"/>
        <v xml:space="preserve"> Net operating income (Commercial)</v>
      </c>
      <c r="E33" s="1160">
        <f>IF(D19=0,Waterfalls!E185,SUM(Waterfalls!E185:F185))</f>
        <v>0</v>
      </c>
      <c r="F33" s="1161">
        <f ca="1">OFFSET(Waterfalls!F185,0,$D$4)</f>
        <v>0</v>
      </c>
      <c r="G33" s="1161">
        <f ca="1">OFFSET(Waterfalls!G185,0,$D$4)</f>
        <v>0</v>
      </c>
      <c r="H33" s="1161">
        <f ca="1">OFFSET(Waterfalls!H185,0,$D$4)</f>
        <v>0</v>
      </c>
      <c r="I33" s="1161">
        <f ca="1">OFFSET(Waterfalls!I185,0,$D$4)</f>
        <v>0</v>
      </c>
      <c r="J33" s="1161">
        <f ca="1">OFFSET(Waterfalls!J185,0,$D$4)</f>
        <v>0</v>
      </c>
      <c r="K33" s="1161">
        <f ca="1">OFFSET(Waterfalls!K185,0,$D$4)</f>
        <v>0</v>
      </c>
      <c r="L33" s="1161">
        <f ca="1">OFFSET(Waterfalls!L185,0,$D$4)</f>
        <v>0</v>
      </c>
      <c r="M33" s="1161">
        <f ca="1">OFFSET(Waterfalls!M185,0,$D$4)</f>
        <v>0</v>
      </c>
      <c r="N33" s="1161">
        <f ca="1">OFFSET(Waterfalls!N185,0,$D$4)</f>
        <v>0</v>
      </c>
      <c r="O33" s="1161">
        <f ca="1">OFFSET(Waterfalls!O185,0,$D$4)</f>
        <v>0</v>
      </c>
      <c r="P33" s="1161">
        <f ca="1">OFFSET(Waterfalls!P185,0,$D$4)</f>
        <v>0</v>
      </c>
      <c r="Q33" s="1161">
        <f ca="1">OFFSET(Waterfalls!Q185,0,$D$4)</f>
        <v>0</v>
      </c>
      <c r="R33" s="1161">
        <f ca="1">OFFSET(Waterfalls!R185,0,$D$4)</f>
        <v>0</v>
      </c>
      <c r="S33" s="1161">
        <f ca="1">OFFSET(Waterfalls!S185,0,$D$4)</f>
        <v>0</v>
      </c>
      <c r="T33" s="1161">
        <f ca="1">OFFSET(Waterfalls!T185,0,$D$4)</f>
        <v>0</v>
      </c>
      <c r="U33" s="1161">
        <f ca="1">OFFSET(Waterfalls!U185,0,$D$4)</f>
        <v>0</v>
      </c>
      <c r="V33" s="1161">
        <f ca="1">OFFSET(Waterfalls!V185,0,$D$4)</f>
        <v>0</v>
      </c>
      <c r="W33" s="1161">
        <f ca="1">OFFSET(Waterfalls!W185,0,$D$4)</f>
        <v>0</v>
      </c>
      <c r="X33" s="1161">
        <f ca="1">OFFSET(Waterfalls!X185,0,$D$4)</f>
        <v>0</v>
      </c>
      <c r="Y33" s="1161">
        <f ca="1">OFFSET(Waterfalls!Y185,0,$D$4)</f>
        <v>0</v>
      </c>
      <c r="Z33" s="1161">
        <f ca="1">OFFSET(Waterfalls!Z185,0,$D$4)</f>
        <v>0</v>
      </c>
      <c r="AA33" s="1161">
        <f ca="1">OFFSET(Waterfalls!AA185,0,$D$4)</f>
        <v>0</v>
      </c>
      <c r="AB33" s="1161">
        <f ca="1">OFFSET(Waterfalls!AB185,0,$D$4)</f>
        <v>0</v>
      </c>
      <c r="AC33" s="1161">
        <f ca="1">OFFSET(Waterfalls!AC185,0,$D$4)</f>
        <v>0</v>
      </c>
      <c r="AD33" s="1161">
        <f ca="1">OFFSET(Waterfalls!AD185,0,$D$4)</f>
        <v>0</v>
      </c>
      <c r="AE33" s="1161">
        <f ca="1">OFFSET(Waterfalls!AE185,0,$D$4)</f>
        <v>0</v>
      </c>
      <c r="AF33" s="1161">
        <f ca="1">OFFSET(Waterfalls!AF185,0,$D$4)</f>
        <v>0</v>
      </c>
      <c r="AG33" s="1161">
        <f ca="1">OFFSET(Waterfalls!AG185,0,$D$4)</f>
        <v>0</v>
      </c>
      <c r="AH33" s="1161">
        <f ca="1">OFFSET(Waterfalls!AH185,0,$D$4)</f>
        <v>0</v>
      </c>
      <c r="AI33" s="1161">
        <f ca="1">OFFSET(Waterfalls!AI185,0,$D$4)</f>
        <v>0</v>
      </c>
      <c r="AJ33" s="1161">
        <f ca="1">OFFSET(Waterfalls!AJ185,0,$D$4)</f>
        <v>0</v>
      </c>
      <c r="AK33" s="1161">
        <f ca="1">OFFSET(Waterfalls!AK185,0,$D$4)</f>
        <v>0</v>
      </c>
      <c r="AL33" s="1161">
        <f ca="1">OFFSET(Waterfalls!AL185,0,$D$4)</f>
        <v>0</v>
      </c>
      <c r="AM33" s="1161">
        <f ca="1">OFFSET(Waterfalls!AM185,0,$D$4)</f>
        <v>0</v>
      </c>
      <c r="AN33" s="1161">
        <f ca="1">OFFSET(Waterfalls!AN185,0,$D$4)</f>
        <v>0</v>
      </c>
      <c r="AO33" s="1161">
        <f ca="1">OFFSET(Waterfalls!AO185,0,$D$4)</f>
        <v>0</v>
      </c>
      <c r="AP33" s="1161">
        <f ca="1">OFFSET(Waterfalls!AP185,0,$D$4)</f>
        <v>0</v>
      </c>
      <c r="AQ33" s="1161">
        <f ca="1">OFFSET(Waterfalls!AQ185,0,$D$4)</f>
        <v>0</v>
      </c>
      <c r="AR33" s="1161">
        <f ca="1">OFFSET(Waterfalls!AR185,0,$D$4)</f>
        <v>0</v>
      </c>
      <c r="AS33" s="1161">
        <f ca="1">OFFSET(Waterfalls!AS185,0,$D$4)</f>
        <v>0</v>
      </c>
      <c r="AT33" s="1161">
        <f ca="1">OFFSET(Waterfalls!AT185,0,$D$4)</f>
        <v>0</v>
      </c>
      <c r="AU33" s="1161">
        <f ca="1">OFFSET(Waterfalls!AU185,0,$D$4)</f>
        <v>0</v>
      </c>
      <c r="AV33" s="1161">
        <f ca="1">OFFSET(Waterfalls!AV185,0,$D$4)</f>
        <v>0</v>
      </c>
      <c r="AW33" s="1161">
        <f ca="1">OFFSET(Waterfalls!AW185,0,$D$4)</f>
        <v>0</v>
      </c>
      <c r="AX33" s="1161">
        <f ca="1">OFFSET(Waterfalls!AX185,0,$D$4)</f>
        <v>0</v>
      </c>
      <c r="AY33" s="1161">
        <f ca="1">OFFSET(Waterfalls!AY185,0,$D$4)</f>
        <v>0</v>
      </c>
      <c r="AZ33" s="1161">
        <f ca="1">OFFSET(Waterfalls!AZ185,0,$D$4)</f>
        <v>0</v>
      </c>
      <c r="BA33" s="1161">
        <f ca="1">OFFSET(Waterfalls!BA185,0,$D$4)</f>
        <v>0</v>
      </c>
      <c r="BB33" s="1161">
        <f ca="1">OFFSET(Waterfalls!BB185,0,$D$4)</f>
        <v>0</v>
      </c>
      <c r="BC33" s="1161">
        <f ca="1">OFFSET(Waterfalls!BC185,0,$D$4)</f>
        <v>0</v>
      </c>
      <c r="BD33" s="1161">
        <f ca="1">OFFSET(Waterfalls!BD185,0,$D$4)</f>
        <v>0</v>
      </c>
      <c r="BE33" s="1161">
        <f ca="1">OFFSET(Waterfalls!BE185,0,$D$4)</f>
        <v>0</v>
      </c>
      <c r="BF33" s="1161">
        <f ca="1">OFFSET(Waterfalls!BF185,0,$D$4)</f>
        <v>0</v>
      </c>
      <c r="BG33" s="1161">
        <f ca="1">OFFSET(Waterfalls!BG185,0,$D$4)</f>
        <v>0</v>
      </c>
      <c r="BH33" s="1161">
        <f ca="1">OFFSET(Waterfalls!BH185,0,$D$4)</f>
        <v>0</v>
      </c>
      <c r="BI33" s="1161">
        <f ca="1">OFFSET(Waterfalls!BI185,0,$D$4)</f>
        <v>0</v>
      </c>
      <c r="BJ33" s="1161">
        <f ca="1">OFFSET(Waterfalls!BJ185,0,$D$4)</f>
        <v>0</v>
      </c>
      <c r="BK33" s="1161">
        <f ca="1">OFFSET(Waterfalls!BK185,0,$D$4)</f>
        <v>0</v>
      </c>
      <c r="BL33" s="1161">
        <f ca="1">OFFSET(Waterfalls!BL185,0,$D$4)</f>
        <v>0</v>
      </c>
      <c r="BM33" s="1161">
        <f ca="1">OFFSET(Waterfalls!BM185,0,$D$4)</f>
        <v>0</v>
      </c>
      <c r="BN33" s="1161">
        <f ca="1">OFFSET(Waterfalls!BN185,0,$D$4)</f>
        <v>0</v>
      </c>
      <c r="BO33" s="1161">
        <f ca="1">OFFSET(Waterfalls!BO185,0,$D$4)</f>
        <v>0</v>
      </c>
      <c r="BP33" s="1161">
        <f ca="1">OFFSET(Waterfalls!BP185,0,$D$4)</f>
        <v>0</v>
      </c>
      <c r="BQ33" s="1161">
        <f ca="1">OFFSET(Waterfalls!BQ185,0,$D$4)</f>
        <v>0</v>
      </c>
      <c r="BR33" s="1161">
        <f ca="1">OFFSET(Waterfalls!BR185,0,$D$4)</f>
        <v>0</v>
      </c>
      <c r="BS33" s="1161">
        <f ca="1">OFFSET(Waterfalls!BS185,0,$D$4)</f>
        <v>0</v>
      </c>
      <c r="BT33" s="1161">
        <f ca="1">OFFSET(Waterfalls!BT185,0,$D$4)</f>
        <v>0</v>
      </c>
      <c r="BU33" s="1161">
        <f ca="1">OFFSET(Waterfalls!BU185,0,$D$4)</f>
        <v>0</v>
      </c>
      <c r="BV33" s="1161">
        <f ca="1">OFFSET(Waterfalls!BV185,0,$D$4)</f>
        <v>0</v>
      </c>
      <c r="BW33" s="1161">
        <f ca="1">OFFSET(Waterfalls!BW185,0,$D$4)</f>
        <v>0</v>
      </c>
      <c r="BX33" s="1161">
        <f ca="1">OFFSET(Waterfalls!BX185,0,$D$4)</f>
        <v>0</v>
      </c>
      <c r="BY33" s="1161">
        <f ca="1">OFFSET(Waterfalls!BY185,0,$D$4)</f>
        <v>0</v>
      </c>
      <c r="BZ33" s="1161">
        <f ca="1">OFFSET(Waterfalls!BZ185,0,$D$4)</f>
        <v>0</v>
      </c>
      <c r="CA33" s="1161">
        <f ca="1">OFFSET(Waterfalls!CA185,0,$D$4)</f>
        <v>0</v>
      </c>
      <c r="CB33" s="1161">
        <f ca="1">OFFSET(Waterfalls!CB185,0,$D$4)</f>
        <v>0</v>
      </c>
      <c r="CC33" s="1161">
        <f ca="1">OFFSET(Waterfalls!CC185,0,$D$4)</f>
        <v>0</v>
      </c>
      <c r="CD33" s="1161">
        <f ca="1">OFFSET(Waterfalls!CD185,0,$D$4)</f>
        <v>0</v>
      </c>
      <c r="CE33" s="1161">
        <f ca="1">OFFSET(Waterfalls!CE185,0,$D$4)</f>
        <v>0</v>
      </c>
      <c r="CF33" s="1161">
        <f ca="1">OFFSET(Waterfalls!CF185,0,$D$4)</f>
        <v>0</v>
      </c>
      <c r="CG33" s="1161">
        <f ca="1">OFFSET(Waterfalls!CG185,0,$D$4)</f>
        <v>0</v>
      </c>
      <c r="CH33" s="1161">
        <f ca="1">OFFSET(Waterfalls!CH185,0,$D$4)</f>
        <v>0</v>
      </c>
      <c r="CI33" s="1161">
        <f ca="1">OFFSET(Waterfalls!CI185,0,$D$4)</f>
        <v>0</v>
      </c>
      <c r="CJ33" s="1161">
        <f ca="1">OFFSET(Waterfalls!CJ185,0,$D$4)</f>
        <v>0</v>
      </c>
      <c r="CK33" s="1161">
        <f ca="1">OFFSET(Waterfalls!CK185,0,$D$4)</f>
        <v>0</v>
      </c>
      <c r="CL33" s="1161">
        <f ca="1">OFFSET(Waterfalls!CL185,0,$D$4)</f>
        <v>0</v>
      </c>
      <c r="CM33" s="1161">
        <f ca="1">OFFSET(Waterfalls!CM185,0,$D$4)</f>
        <v>0</v>
      </c>
      <c r="CN33" s="1161">
        <f ca="1">OFFSET(Waterfalls!CN185,0,$D$4)</f>
        <v>0</v>
      </c>
      <c r="CO33" s="1161">
        <f ca="1">OFFSET(Waterfalls!CO185,0,$D$4)</f>
        <v>0</v>
      </c>
      <c r="CP33" s="1161">
        <f ca="1">OFFSET(Waterfalls!CP185,0,$D$4)</f>
        <v>0</v>
      </c>
      <c r="CQ33" s="1161">
        <f ca="1">OFFSET(Waterfalls!CQ185,0,$D$4)</f>
        <v>0</v>
      </c>
      <c r="CR33" s="1161">
        <f ca="1">OFFSET(Waterfalls!CR185,0,$D$4)</f>
        <v>0</v>
      </c>
      <c r="CS33" s="1161">
        <f ca="1">OFFSET(Waterfalls!CS185,0,$D$4)</f>
        <v>0</v>
      </c>
      <c r="CT33" s="1161">
        <f ca="1">OFFSET(Waterfalls!CT185,0,$D$4)</f>
        <v>0</v>
      </c>
      <c r="CU33" s="1161">
        <f ca="1">OFFSET(Waterfalls!CU185,0,$D$4)</f>
        <v>0</v>
      </c>
      <c r="CV33" s="1161">
        <f ca="1">OFFSET(Waterfalls!CV185,0,$D$4)</f>
        <v>0</v>
      </c>
      <c r="CW33" s="1161">
        <f ca="1">OFFSET(Waterfalls!CW185,0,$D$4)</f>
        <v>0</v>
      </c>
      <c r="CX33" s="1161">
        <f ca="1">OFFSET(Waterfalls!CX185,0,$D$4)</f>
        <v>0</v>
      </c>
      <c r="CY33" s="1161">
        <f ca="1">OFFSET(Waterfalls!CY185,0,$D$4)</f>
        <v>0</v>
      </c>
      <c r="CZ33" s="1161">
        <f ca="1">OFFSET(Waterfalls!CZ185,0,$D$4)</f>
        <v>0</v>
      </c>
      <c r="DA33" s="1161">
        <f ca="1">OFFSET(Waterfalls!DA185,0,$D$4)</f>
        <v>0</v>
      </c>
      <c r="DB33" s="1161">
        <f ca="1">OFFSET(Waterfalls!DB185,0,$D$4)</f>
        <v>0</v>
      </c>
      <c r="DC33" s="1161">
        <f ca="1">OFFSET(Waterfalls!DC185,0,$D$4)</f>
        <v>0</v>
      </c>
      <c r="DD33" s="1161">
        <f ca="1">OFFSET(Waterfalls!DD185,0,$D$4)</f>
        <v>0</v>
      </c>
      <c r="DE33" s="1161">
        <f ca="1">OFFSET(Waterfalls!DE185,0,$D$4)</f>
        <v>0</v>
      </c>
      <c r="DF33" s="1161">
        <f ca="1">OFFSET(Waterfalls!DF185,0,$D$4)</f>
        <v>0</v>
      </c>
      <c r="DG33" s="1161">
        <f ca="1">OFFSET(Waterfalls!DG185,0,$D$4)</f>
        <v>0</v>
      </c>
      <c r="DH33" s="1161">
        <f ca="1">OFFSET(Waterfalls!DH185,0,$D$4)</f>
        <v>0</v>
      </c>
      <c r="DI33" s="1161">
        <f ca="1">OFFSET(Waterfalls!DI185,0,$D$4)</f>
        <v>0</v>
      </c>
      <c r="DJ33" s="1161">
        <f ca="1">OFFSET(Waterfalls!DJ185,0,$D$4)</f>
        <v>0</v>
      </c>
      <c r="DK33" s="1161">
        <f ca="1">OFFSET(Waterfalls!DK185,0,$D$4)</f>
        <v>0</v>
      </c>
      <c r="DL33" s="1161">
        <f ca="1">OFFSET(Waterfalls!DL185,0,$D$4)</f>
        <v>0</v>
      </c>
      <c r="DM33" s="1161">
        <f ca="1">OFFSET(Waterfalls!DM185,0,$D$4)</f>
        <v>0</v>
      </c>
      <c r="DN33" s="1161">
        <f ca="1">OFFSET(Waterfalls!DN185,0,$D$4)</f>
        <v>0</v>
      </c>
      <c r="DO33" s="1161">
        <f ca="1">OFFSET(Waterfalls!DO185,0,$D$4)</f>
        <v>0</v>
      </c>
      <c r="DP33" s="1161">
        <f ca="1">OFFSET(Waterfalls!DP185,0,$D$4)</f>
        <v>0</v>
      </c>
      <c r="DQ33" s="1161">
        <f ca="1">OFFSET(Waterfalls!DQ185,0,$D$4)</f>
        <v>0</v>
      </c>
      <c r="DR33" s="1161">
        <f ca="1">OFFSET(Waterfalls!DR185,0,$D$4)</f>
        <v>0</v>
      </c>
      <c r="DS33" s="1161">
        <f ca="1">OFFSET(Waterfalls!DS185,0,$D$4)</f>
        <v>0</v>
      </c>
      <c r="DT33" s="1161">
        <f ca="1">OFFSET(Waterfalls!DT185,0,$D$4)</f>
        <v>0</v>
      </c>
      <c r="DU33" s="1161">
        <f ca="1">OFFSET(Waterfalls!DU185,0,$D$4)</f>
        <v>0</v>
      </c>
      <c r="DV33" s="1161">
        <f ca="1">OFFSET(Waterfalls!DV185,0,$D$4)</f>
        <v>0</v>
      </c>
      <c r="DW33" s="1161">
        <f ca="1">OFFSET(Waterfalls!DW185,0,$D$4)</f>
        <v>0</v>
      </c>
      <c r="DX33" s="1161">
        <f ca="1">OFFSET(Waterfalls!DX185,0,$D$4)</f>
        <v>0</v>
      </c>
      <c r="DY33" s="1161">
        <f ca="1">OFFSET(Waterfalls!DY185,0,$D$4)</f>
        <v>0</v>
      </c>
      <c r="DZ33" s="1161">
        <f ca="1">OFFSET(Waterfalls!DZ185,0,$D$4)</f>
        <v>0</v>
      </c>
      <c r="EA33" s="1161">
        <f ca="1">OFFSET(Waterfalls!EA185,0,$D$4)</f>
        <v>0</v>
      </c>
      <c r="EB33" s="1161">
        <f ca="1">OFFSET(Waterfalls!EB185,0,$D$4)</f>
        <v>0</v>
      </c>
      <c r="EC33" s="1161">
        <f ca="1">OFFSET(Waterfalls!EC185,0,$D$4)</f>
        <v>0</v>
      </c>
      <c r="ED33" s="1161">
        <f ca="1">OFFSET(Waterfalls!ED185,0,$D$4)</f>
        <v>0</v>
      </c>
      <c r="EE33" s="1161">
        <f ca="1">OFFSET(Waterfalls!EE185,0,$D$4)</f>
        <v>0</v>
      </c>
      <c r="EF33" s="1161">
        <f ca="1">OFFSET(Waterfalls!EF185,0,$D$4)</f>
        <v>0</v>
      </c>
      <c r="EG33" s="1161">
        <f ca="1">OFFSET(Waterfalls!EG185,0,$D$4)</f>
        <v>0</v>
      </c>
      <c r="EH33" s="778"/>
    </row>
    <row r="34" spans="2:166" ht="12.75" customHeight="1" x14ac:dyDescent="0.3">
      <c r="B34" s="1155" t="s">
        <v>119</v>
      </c>
      <c r="C34" s="1159" t="str">
        <f t="shared" si="6"/>
        <v xml:space="preserve"> PV Ground Lease Payments @ 6.25%</v>
      </c>
      <c r="E34" s="1160">
        <f>IF(D20=0,Waterfalls!E192,SUM(Waterfalls!E192:F192))</f>
        <v>0</v>
      </c>
      <c r="F34" s="1161">
        <f ca="1">OFFSET(Waterfalls!F192,0,$D$4)</f>
        <v>0</v>
      </c>
      <c r="G34" s="1161">
        <f ca="1">OFFSET(Waterfalls!G192,0,$D$4)</f>
        <v>0</v>
      </c>
      <c r="H34" s="1161">
        <f ca="1">OFFSET(Waterfalls!H192,0,$D$4)</f>
        <v>0</v>
      </c>
      <c r="I34" s="1161">
        <f ca="1">OFFSET(Waterfalls!I192,0,$D$4)</f>
        <v>0</v>
      </c>
      <c r="J34" s="1161">
        <f ca="1">OFFSET(Waterfalls!J192,0,$D$4)</f>
        <v>0</v>
      </c>
      <c r="K34" s="1161">
        <f ca="1">OFFSET(Waterfalls!K192,0,$D$4)</f>
        <v>0</v>
      </c>
      <c r="L34" s="1161">
        <f ca="1">OFFSET(Waterfalls!L192,0,$D$4)</f>
        <v>0</v>
      </c>
      <c r="M34" s="1161">
        <f ca="1">OFFSET(Waterfalls!M192,0,$D$4)</f>
        <v>0</v>
      </c>
      <c r="N34" s="1161">
        <f ca="1">OFFSET(Waterfalls!N192,0,$D$4)</f>
        <v>0</v>
      </c>
      <c r="O34" s="1161">
        <f ca="1">OFFSET(Waterfalls!O192,0,$D$4)</f>
        <v>0</v>
      </c>
      <c r="P34" s="1161">
        <f ca="1">OFFSET(Waterfalls!P192,0,$D$4)</f>
        <v>0</v>
      </c>
      <c r="Q34" s="1161">
        <f ca="1">OFFSET(Waterfalls!Q192,0,$D$4)</f>
        <v>0</v>
      </c>
      <c r="R34" s="1161">
        <f ca="1">OFFSET(Waterfalls!R192,0,$D$4)</f>
        <v>0</v>
      </c>
      <c r="S34" s="1161">
        <f ca="1">OFFSET(Waterfalls!S192,0,$D$4)</f>
        <v>0</v>
      </c>
      <c r="T34" s="1161">
        <f ca="1">OFFSET(Waterfalls!T192,0,$D$4)</f>
        <v>0</v>
      </c>
      <c r="U34" s="1161">
        <f ca="1">OFFSET(Waterfalls!U192,0,$D$4)</f>
        <v>0</v>
      </c>
      <c r="V34" s="1161">
        <f ca="1">OFFSET(Waterfalls!V192,0,$D$4)</f>
        <v>0</v>
      </c>
      <c r="W34" s="1161">
        <f ca="1">OFFSET(Waterfalls!W192,0,$D$4)</f>
        <v>0</v>
      </c>
      <c r="X34" s="1161">
        <f ca="1">OFFSET(Waterfalls!X192,0,$D$4)</f>
        <v>0</v>
      </c>
      <c r="Y34" s="1161">
        <f ca="1">OFFSET(Waterfalls!Y192,0,$D$4)</f>
        <v>0</v>
      </c>
      <c r="Z34" s="1161">
        <f ca="1">OFFSET(Waterfalls!Z192,0,$D$4)</f>
        <v>0</v>
      </c>
      <c r="AA34" s="1161">
        <f ca="1">OFFSET(Waterfalls!AA192,0,$D$4)</f>
        <v>0</v>
      </c>
      <c r="AB34" s="1161">
        <f ca="1">OFFSET(Waterfalls!AB192,0,$D$4)</f>
        <v>0</v>
      </c>
      <c r="AC34" s="1161">
        <f ca="1">OFFSET(Waterfalls!AC192,0,$D$4)</f>
        <v>0</v>
      </c>
      <c r="AD34" s="1161">
        <f ca="1">OFFSET(Waterfalls!AD192,0,$D$4)</f>
        <v>0</v>
      </c>
      <c r="AE34" s="1161">
        <f ca="1">OFFSET(Waterfalls!AE192,0,$D$4)</f>
        <v>0</v>
      </c>
      <c r="AF34" s="1161">
        <f ca="1">OFFSET(Waterfalls!AF192,0,$D$4)</f>
        <v>0</v>
      </c>
      <c r="AG34" s="1161">
        <f ca="1">OFFSET(Waterfalls!AG192,0,$D$4)</f>
        <v>0</v>
      </c>
      <c r="AH34" s="1161">
        <f ca="1">OFFSET(Waterfalls!AH192,0,$D$4)</f>
        <v>0</v>
      </c>
      <c r="AI34" s="1161">
        <f ca="1">OFFSET(Waterfalls!AI192,0,$D$4)</f>
        <v>0</v>
      </c>
      <c r="AJ34" s="1161">
        <f ca="1">OFFSET(Waterfalls!AJ192,0,$D$4)</f>
        <v>0</v>
      </c>
      <c r="AK34" s="1161">
        <f ca="1">OFFSET(Waterfalls!AK192,0,$D$4)</f>
        <v>0</v>
      </c>
      <c r="AL34" s="1161">
        <f ca="1">OFFSET(Waterfalls!AL192,0,$D$4)</f>
        <v>0</v>
      </c>
      <c r="AM34" s="1161">
        <f ca="1">OFFSET(Waterfalls!AM192,0,$D$4)</f>
        <v>0</v>
      </c>
      <c r="AN34" s="1161">
        <f ca="1">OFFSET(Waterfalls!AN192,0,$D$4)</f>
        <v>0</v>
      </c>
      <c r="AO34" s="1161">
        <f ca="1">OFFSET(Waterfalls!AO192,0,$D$4)</f>
        <v>0</v>
      </c>
      <c r="AP34" s="1161">
        <f ca="1">OFFSET(Waterfalls!AP192,0,$D$4)</f>
        <v>0</v>
      </c>
      <c r="AQ34" s="1161">
        <f ca="1">OFFSET(Waterfalls!AQ192,0,$D$4)</f>
        <v>0</v>
      </c>
      <c r="AR34" s="1161">
        <f ca="1">OFFSET(Waterfalls!AR192,0,$D$4)</f>
        <v>0</v>
      </c>
      <c r="AS34" s="1161">
        <f ca="1">OFFSET(Waterfalls!AS192,0,$D$4)</f>
        <v>0</v>
      </c>
      <c r="AT34" s="1161">
        <f ca="1">OFFSET(Waterfalls!AT192,0,$D$4)</f>
        <v>0</v>
      </c>
      <c r="AU34" s="1161">
        <f ca="1">OFFSET(Waterfalls!AU192,0,$D$4)</f>
        <v>0</v>
      </c>
      <c r="AV34" s="1161">
        <f ca="1">OFFSET(Waterfalls!AV192,0,$D$4)</f>
        <v>0</v>
      </c>
      <c r="AW34" s="1161">
        <f ca="1">OFFSET(Waterfalls!AW192,0,$D$4)</f>
        <v>0</v>
      </c>
      <c r="AX34" s="1161">
        <f ca="1">OFFSET(Waterfalls!AX192,0,$D$4)</f>
        <v>0</v>
      </c>
      <c r="AY34" s="1161">
        <f ca="1">OFFSET(Waterfalls!AY192,0,$D$4)</f>
        <v>0</v>
      </c>
      <c r="AZ34" s="1161">
        <f ca="1">OFFSET(Waterfalls!AZ192,0,$D$4)</f>
        <v>0</v>
      </c>
      <c r="BA34" s="1161">
        <f ca="1">OFFSET(Waterfalls!BA192,0,$D$4)</f>
        <v>0</v>
      </c>
      <c r="BB34" s="1161">
        <f ca="1">OFFSET(Waterfalls!BB192,0,$D$4)</f>
        <v>0</v>
      </c>
      <c r="BC34" s="1161">
        <f ca="1">OFFSET(Waterfalls!BC192,0,$D$4)</f>
        <v>0</v>
      </c>
      <c r="BD34" s="1161">
        <f ca="1">OFFSET(Waterfalls!BD192,0,$D$4)</f>
        <v>0</v>
      </c>
      <c r="BE34" s="1161">
        <f ca="1">OFFSET(Waterfalls!BE192,0,$D$4)</f>
        <v>0</v>
      </c>
      <c r="BF34" s="1161">
        <f ca="1">OFFSET(Waterfalls!BF192,0,$D$4)</f>
        <v>0</v>
      </c>
      <c r="BG34" s="1161">
        <f ca="1">OFFSET(Waterfalls!BG192,0,$D$4)</f>
        <v>0</v>
      </c>
      <c r="BH34" s="1161">
        <f ca="1">OFFSET(Waterfalls!BH192,0,$D$4)</f>
        <v>0</v>
      </c>
      <c r="BI34" s="1161">
        <f ca="1">OFFSET(Waterfalls!BI192,0,$D$4)</f>
        <v>0</v>
      </c>
      <c r="BJ34" s="1161">
        <f ca="1">OFFSET(Waterfalls!BJ192,0,$D$4)</f>
        <v>0</v>
      </c>
      <c r="BK34" s="1161">
        <f ca="1">OFFSET(Waterfalls!BK192,0,$D$4)</f>
        <v>0</v>
      </c>
      <c r="BL34" s="1161">
        <f ca="1">OFFSET(Waterfalls!BL192,0,$D$4)</f>
        <v>0</v>
      </c>
      <c r="BM34" s="1161">
        <f ca="1">OFFSET(Waterfalls!BM192,0,$D$4)</f>
        <v>0</v>
      </c>
      <c r="BN34" s="1161">
        <f ca="1">OFFSET(Waterfalls!BN192,0,$D$4)</f>
        <v>0</v>
      </c>
      <c r="BO34" s="1161">
        <f ca="1">OFFSET(Waterfalls!BO192,0,$D$4)</f>
        <v>0</v>
      </c>
      <c r="BP34" s="1161">
        <f ca="1">OFFSET(Waterfalls!BP192,0,$D$4)</f>
        <v>0</v>
      </c>
      <c r="BQ34" s="1161">
        <f ca="1">OFFSET(Waterfalls!BQ192,0,$D$4)</f>
        <v>0</v>
      </c>
      <c r="BR34" s="1161">
        <f ca="1">OFFSET(Waterfalls!BR192,0,$D$4)</f>
        <v>0</v>
      </c>
      <c r="BS34" s="1161">
        <f ca="1">OFFSET(Waterfalls!BS192,0,$D$4)</f>
        <v>0</v>
      </c>
      <c r="BT34" s="1161">
        <f ca="1">OFFSET(Waterfalls!BT192,0,$D$4)</f>
        <v>0</v>
      </c>
      <c r="BU34" s="1161">
        <f ca="1">OFFSET(Waterfalls!BU192,0,$D$4)</f>
        <v>0</v>
      </c>
      <c r="BV34" s="1161">
        <f ca="1">OFFSET(Waterfalls!BV192,0,$D$4)</f>
        <v>0</v>
      </c>
      <c r="BW34" s="1161">
        <f ca="1">OFFSET(Waterfalls!BW192,0,$D$4)</f>
        <v>0</v>
      </c>
      <c r="BX34" s="1161">
        <f ca="1">OFFSET(Waterfalls!BX192,0,$D$4)</f>
        <v>0</v>
      </c>
      <c r="BY34" s="1161">
        <f ca="1">OFFSET(Waterfalls!BY192,0,$D$4)</f>
        <v>0</v>
      </c>
      <c r="BZ34" s="1161">
        <f ca="1">OFFSET(Waterfalls!BZ192,0,$D$4)</f>
        <v>0</v>
      </c>
      <c r="CA34" s="1161">
        <f ca="1">OFFSET(Waterfalls!CA192,0,$D$4)</f>
        <v>0</v>
      </c>
      <c r="CB34" s="1161">
        <f ca="1">OFFSET(Waterfalls!CB192,0,$D$4)</f>
        <v>0</v>
      </c>
      <c r="CC34" s="1161">
        <f ca="1">OFFSET(Waterfalls!CC192,0,$D$4)</f>
        <v>0</v>
      </c>
      <c r="CD34" s="1161">
        <f ca="1">OFFSET(Waterfalls!CD192,0,$D$4)</f>
        <v>0</v>
      </c>
      <c r="CE34" s="1161">
        <f ca="1">OFFSET(Waterfalls!CE192,0,$D$4)</f>
        <v>0</v>
      </c>
      <c r="CF34" s="1161">
        <f ca="1">OFFSET(Waterfalls!CF192,0,$D$4)</f>
        <v>0</v>
      </c>
      <c r="CG34" s="1161">
        <f ca="1">OFFSET(Waterfalls!CG192,0,$D$4)</f>
        <v>0</v>
      </c>
      <c r="CH34" s="1161">
        <f ca="1">OFFSET(Waterfalls!CH192,0,$D$4)</f>
        <v>0</v>
      </c>
      <c r="CI34" s="1161">
        <f ca="1">OFFSET(Waterfalls!CI192,0,$D$4)</f>
        <v>0</v>
      </c>
      <c r="CJ34" s="1161">
        <f ca="1">OFFSET(Waterfalls!CJ192,0,$D$4)</f>
        <v>0</v>
      </c>
      <c r="CK34" s="1161">
        <f ca="1">OFFSET(Waterfalls!CK192,0,$D$4)</f>
        <v>0</v>
      </c>
      <c r="CL34" s="1161">
        <f ca="1">OFFSET(Waterfalls!CL192,0,$D$4)</f>
        <v>0</v>
      </c>
      <c r="CM34" s="1161">
        <f ca="1">OFFSET(Waterfalls!CM192,0,$D$4)</f>
        <v>0</v>
      </c>
      <c r="CN34" s="1161">
        <f ca="1">OFFSET(Waterfalls!CN192,0,$D$4)</f>
        <v>0</v>
      </c>
      <c r="CO34" s="1161">
        <f ca="1">OFFSET(Waterfalls!CO192,0,$D$4)</f>
        <v>0</v>
      </c>
      <c r="CP34" s="1161">
        <f ca="1">OFFSET(Waterfalls!CP192,0,$D$4)</f>
        <v>0</v>
      </c>
      <c r="CQ34" s="1161">
        <f ca="1">OFFSET(Waterfalls!CQ192,0,$D$4)</f>
        <v>0</v>
      </c>
      <c r="CR34" s="1161">
        <f ca="1">OFFSET(Waterfalls!CR192,0,$D$4)</f>
        <v>0</v>
      </c>
      <c r="CS34" s="1161">
        <f ca="1">OFFSET(Waterfalls!CS192,0,$D$4)</f>
        <v>0</v>
      </c>
      <c r="CT34" s="1161">
        <f ca="1">OFFSET(Waterfalls!CT192,0,$D$4)</f>
        <v>0</v>
      </c>
      <c r="CU34" s="1161">
        <f ca="1">OFFSET(Waterfalls!CU192,0,$D$4)</f>
        <v>0</v>
      </c>
      <c r="CV34" s="1161">
        <f ca="1">OFFSET(Waterfalls!CV192,0,$D$4)</f>
        <v>0</v>
      </c>
      <c r="CW34" s="1161">
        <f ca="1">OFFSET(Waterfalls!CW192,0,$D$4)</f>
        <v>0</v>
      </c>
      <c r="CX34" s="1161">
        <f ca="1">OFFSET(Waterfalls!CX192,0,$D$4)</f>
        <v>0</v>
      </c>
      <c r="CY34" s="1161">
        <f ca="1">OFFSET(Waterfalls!CY192,0,$D$4)</f>
        <v>0</v>
      </c>
      <c r="CZ34" s="1161">
        <f ca="1">OFFSET(Waterfalls!CZ192,0,$D$4)</f>
        <v>0</v>
      </c>
      <c r="DA34" s="1161">
        <f ca="1">OFFSET(Waterfalls!DA192,0,$D$4)</f>
        <v>0</v>
      </c>
      <c r="DB34" s="1161">
        <f ca="1">OFFSET(Waterfalls!DB192,0,$D$4)</f>
        <v>0</v>
      </c>
      <c r="DC34" s="1161">
        <f ca="1">OFFSET(Waterfalls!DC192,0,$D$4)</f>
        <v>0</v>
      </c>
      <c r="DD34" s="1161">
        <f ca="1">OFFSET(Waterfalls!DD192,0,$D$4)</f>
        <v>0</v>
      </c>
      <c r="DE34" s="1161">
        <f ca="1">OFFSET(Waterfalls!DE192,0,$D$4)</f>
        <v>0</v>
      </c>
      <c r="DF34" s="1161">
        <f ca="1">OFFSET(Waterfalls!DF192,0,$D$4)</f>
        <v>0</v>
      </c>
      <c r="DG34" s="1161">
        <f ca="1">OFFSET(Waterfalls!DG192,0,$D$4)</f>
        <v>0</v>
      </c>
      <c r="DH34" s="1161">
        <f ca="1">OFFSET(Waterfalls!DH192,0,$D$4)</f>
        <v>0</v>
      </c>
      <c r="DI34" s="1161">
        <f ca="1">OFFSET(Waterfalls!DI192,0,$D$4)</f>
        <v>0</v>
      </c>
      <c r="DJ34" s="1161">
        <f ca="1">OFFSET(Waterfalls!DJ192,0,$D$4)</f>
        <v>0</v>
      </c>
      <c r="DK34" s="1161">
        <f ca="1">OFFSET(Waterfalls!DK192,0,$D$4)</f>
        <v>0</v>
      </c>
      <c r="DL34" s="1161">
        <f ca="1">OFFSET(Waterfalls!DL192,0,$D$4)</f>
        <v>0</v>
      </c>
      <c r="DM34" s="1161">
        <f ca="1">OFFSET(Waterfalls!DM192,0,$D$4)</f>
        <v>0</v>
      </c>
      <c r="DN34" s="1161">
        <f ca="1">OFFSET(Waterfalls!DN192,0,$D$4)</f>
        <v>0</v>
      </c>
      <c r="DO34" s="1161">
        <f ca="1">OFFSET(Waterfalls!DO192,0,$D$4)</f>
        <v>0</v>
      </c>
      <c r="DP34" s="1161">
        <f ca="1">OFFSET(Waterfalls!DP192,0,$D$4)</f>
        <v>0</v>
      </c>
      <c r="DQ34" s="1161">
        <f ca="1">OFFSET(Waterfalls!DQ192,0,$D$4)</f>
        <v>0</v>
      </c>
      <c r="DR34" s="1161">
        <f ca="1">OFFSET(Waterfalls!DR192,0,$D$4)</f>
        <v>0</v>
      </c>
      <c r="DS34" s="1161">
        <f ca="1">OFFSET(Waterfalls!DS192,0,$D$4)</f>
        <v>0</v>
      </c>
      <c r="DT34" s="1161">
        <f ca="1">OFFSET(Waterfalls!DT192,0,$D$4)</f>
        <v>0</v>
      </c>
      <c r="DU34" s="1161">
        <f ca="1">OFFSET(Waterfalls!DU192,0,$D$4)</f>
        <v>0</v>
      </c>
      <c r="DV34" s="1161">
        <f ca="1">OFFSET(Waterfalls!DV192,0,$D$4)</f>
        <v>0</v>
      </c>
      <c r="DW34" s="1161">
        <f ca="1">OFFSET(Waterfalls!DW192,0,$D$4)</f>
        <v>0</v>
      </c>
      <c r="DX34" s="1161">
        <f ca="1">OFFSET(Waterfalls!DX192,0,$D$4)</f>
        <v>0</v>
      </c>
      <c r="DY34" s="1161">
        <f ca="1">OFFSET(Waterfalls!DY192,0,$D$4)</f>
        <v>0</v>
      </c>
      <c r="DZ34" s="1161">
        <f ca="1">OFFSET(Waterfalls!DZ192,0,$D$4)</f>
        <v>0</v>
      </c>
      <c r="EA34" s="1161">
        <f ca="1">OFFSET(Waterfalls!EA192,0,$D$4)</f>
        <v>0</v>
      </c>
      <c r="EB34" s="1161">
        <f ca="1">OFFSET(Waterfalls!EB192,0,$D$4)</f>
        <v>0</v>
      </c>
      <c r="EC34" s="1161">
        <f ca="1">OFFSET(Waterfalls!EC192,0,$D$4)</f>
        <v>0</v>
      </c>
      <c r="ED34" s="1161">
        <f ca="1">OFFSET(Waterfalls!ED192,0,$D$4)</f>
        <v>0</v>
      </c>
      <c r="EE34" s="1161">
        <f ca="1">OFFSET(Waterfalls!EE192,0,$D$4)</f>
        <v>0</v>
      </c>
      <c r="EF34" s="1161">
        <f ca="1">OFFSET(Waterfalls!EF192,0,$D$4)</f>
        <v>0</v>
      </c>
      <c r="EG34" s="1161">
        <f ca="1">OFFSET(Waterfalls!EG192,0,$D$4)</f>
        <v>0</v>
      </c>
      <c r="EH34" s="778"/>
    </row>
    <row r="35" spans="2:166" ht="12.75" customHeight="1" x14ac:dyDescent="0.3">
      <c r="B35" s="1143" t="s">
        <v>310</v>
      </c>
      <c r="C35" s="783" t="str">
        <f t="shared" si="6"/>
        <v xml:space="preserve"> Hard Cost Schedule</v>
      </c>
      <c r="D35" s="783"/>
      <c r="E35" s="1164">
        <f>DevBdgt!E46</f>
        <v>0</v>
      </c>
      <c r="F35" s="1165">
        <f ca="1">OFFSET(DevBdgt!F46,0,$D$4)</f>
        <v>4636.1983363806812</v>
      </c>
      <c r="G35" s="1165">
        <f ca="1">OFFSET(DevBdgt!G46,0,$D$4)</f>
        <v>16261.411855961551</v>
      </c>
      <c r="H35" s="1165">
        <f ca="1">OFFSET(DevBdgt!H46,0,$D$4)</f>
        <v>27865.435931036001</v>
      </c>
      <c r="I35" s="1165">
        <f ca="1">OFFSET(DevBdgt!I46,0,$D$4)</f>
        <v>51416.368629532306</v>
      </c>
      <c r="J35" s="1165">
        <f ca="1">OFFSET(DevBdgt!J46,0,$D$4)</f>
        <v>87895.994229173768</v>
      </c>
      <c r="K35" s="1165">
        <f ca="1">OFFSET(DevBdgt!K46,0,$D$4)</f>
        <v>90654.243799593984</v>
      </c>
      <c r="L35" s="1165">
        <f ca="1">OFFSET(DevBdgt!L46,0,$D$4)</f>
        <v>117250.16627351413</v>
      </c>
      <c r="M35" s="1165">
        <f ca="1">OFFSET(DevBdgt!M46,0,$D$4)</f>
        <v>140258.41041324419</v>
      </c>
      <c r="N35" s="1165">
        <f ca="1">OFFSET(DevBdgt!N46,0,$D$4)</f>
        <v>150611.80955106119</v>
      </c>
      <c r="O35" s="1165">
        <f ca="1">OFFSET(DevBdgt!O46,0,$D$4)</f>
        <v>168385.46570884011</v>
      </c>
      <c r="P35" s="1165">
        <f ca="1">OFFSET(DevBdgt!P46,0,$D$4)</f>
        <v>177175.12259918824</v>
      </c>
      <c r="Q35" s="1165">
        <f ca="1">OFFSET(DevBdgt!Q46,0,$D$4)</f>
        <v>178529.29582785827</v>
      </c>
      <c r="R35" s="1165">
        <f ca="1">OFFSET(DevBdgt!R46,0,$D$4)</f>
        <v>167022.1489219121</v>
      </c>
      <c r="S35" s="1165">
        <f ca="1">OFFSET(DevBdgt!S46,0,$D$4)</f>
        <v>161613.00918775413</v>
      </c>
      <c r="T35" s="1165">
        <f ca="1">OFFSET(DevBdgt!T46,0,$D$4)</f>
        <v>158460.90056698586</v>
      </c>
      <c r="U35" s="1165">
        <f ca="1">OFFSET(DevBdgt!U46,0,$D$4)</f>
        <v>144713.96277685941</v>
      </c>
      <c r="V35" s="1165">
        <f ca="1">OFFSET(DevBdgt!V46,0,$D$4)</f>
        <v>129461.24242974058</v>
      </c>
      <c r="W35" s="1165">
        <f ca="1">OFFSET(DevBdgt!W46,0,$D$4)</f>
        <v>129454.8675542883</v>
      </c>
      <c r="X35" s="1165">
        <f ca="1">OFFSET(DevBdgt!X46,0,$D$4)</f>
        <v>120209.60530946555</v>
      </c>
      <c r="Y35" s="1165">
        <f ca="1">OFFSET(DevBdgt!Y46,0,$D$4)</f>
        <v>100960.66219910249</v>
      </c>
      <c r="Z35" s="1165">
        <f ca="1">OFFSET(DevBdgt!Z46,0,$D$4)</f>
        <v>86566.721326387706</v>
      </c>
      <c r="AA35" s="1165">
        <f ca="1">OFFSET(DevBdgt!AA46,0,$D$4)</f>
        <v>73109.60649026082</v>
      </c>
      <c r="AB35" s="1165">
        <f ca="1">OFFSET(DevBdgt!AB46,0,$D$4)</f>
        <v>50206.140177670415</v>
      </c>
      <c r="AC35" s="1165">
        <f ca="1">OFFSET(DevBdgt!AC46,0,$D$4)</f>
        <v>40481.461460767838</v>
      </c>
      <c r="AD35" s="1165">
        <f ca="1">OFFSET(DevBdgt!AD46,0,$D$4)</f>
        <v>25803.393146468665</v>
      </c>
      <c r="AE35" s="1165">
        <f ca="1">OFFSET(DevBdgt!AE46,0,$D$4)</f>
        <v>0</v>
      </c>
      <c r="AF35" s="1165">
        <f ca="1">OFFSET(DevBdgt!AF46,0,$D$4)</f>
        <v>0</v>
      </c>
      <c r="AG35" s="1165">
        <f ca="1">OFFSET(DevBdgt!AG46,0,$D$4)</f>
        <v>0</v>
      </c>
      <c r="AH35" s="1165">
        <f ca="1">OFFSET(DevBdgt!AH46,0,$D$4)</f>
        <v>0</v>
      </c>
      <c r="AI35" s="1165">
        <f ca="1">OFFSET(DevBdgt!AI46,0,$D$4)</f>
        <v>0</v>
      </c>
      <c r="AJ35" s="1165">
        <f ca="1">OFFSET(DevBdgt!AJ46,0,$D$4)</f>
        <v>0</v>
      </c>
      <c r="AK35" s="1165">
        <f ca="1">OFFSET(DevBdgt!AK46,0,$D$4)</f>
        <v>0</v>
      </c>
      <c r="AL35" s="1165">
        <f ca="1">OFFSET(DevBdgt!AL46,0,$D$4)</f>
        <v>0</v>
      </c>
      <c r="AM35" s="1165">
        <f ca="1">OFFSET(DevBdgt!AM46,0,$D$4)</f>
        <v>0</v>
      </c>
      <c r="AN35" s="1165">
        <f ca="1">OFFSET(DevBdgt!AN46,0,$D$4)</f>
        <v>0</v>
      </c>
      <c r="AO35" s="1165">
        <f ca="1">OFFSET(DevBdgt!AO46,0,$D$4)</f>
        <v>0</v>
      </c>
      <c r="AP35" s="1165">
        <f ca="1">OFFSET(DevBdgt!AP46,0,$D$4)</f>
        <v>0</v>
      </c>
      <c r="AQ35" s="1165">
        <f ca="1">OFFSET(DevBdgt!AQ46,0,$D$4)</f>
        <v>0</v>
      </c>
      <c r="AR35" s="1165">
        <f ca="1">OFFSET(DevBdgt!AR46,0,$D$4)</f>
        <v>0</v>
      </c>
      <c r="AS35" s="1165">
        <f ca="1">OFFSET(DevBdgt!AS46,0,$D$4)</f>
        <v>0</v>
      </c>
      <c r="AT35" s="1165">
        <f ca="1">OFFSET(DevBdgt!AT46,0,$D$4)</f>
        <v>0</v>
      </c>
      <c r="AU35" s="1165">
        <f ca="1">OFFSET(DevBdgt!AU46,0,$D$4)</f>
        <v>0</v>
      </c>
      <c r="AV35" s="1165">
        <f ca="1">OFFSET(DevBdgt!AV46,0,$D$4)</f>
        <v>0</v>
      </c>
      <c r="AW35" s="1165">
        <f ca="1">OFFSET(DevBdgt!AW46,0,$D$4)</f>
        <v>0</v>
      </c>
      <c r="AX35" s="1165">
        <f ca="1">OFFSET(DevBdgt!AX46,0,$D$4)</f>
        <v>0</v>
      </c>
      <c r="AY35" s="1165">
        <f ca="1">OFFSET(DevBdgt!AY46,0,$D$4)</f>
        <v>0</v>
      </c>
      <c r="AZ35" s="1165">
        <f ca="1">OFFSET(DevBdgt!AZ46,0,$D$4)</f>
        <v>0</v>
      </c>
      <c r="BA35" s="1165">
        <f ca="1">OFFSET(DevBdgt!BA46,0,$D$4)</f>
        <v>0</v>
      </c>
      <c r="BB35" s="1165">
        <f ca="1">OFFSET(DevBdgt!BB46,0,$D$4)</f>
        <v>0</v>
      </c>
      <c r="BC35" s="1165">
        <f ca="1">OFFSET(DevBdgt!BC46,0,$D$4)</f>
        <v>0</v>
      </c>
      <c r="BD35" s="1165">
        <f ca="1">OFFSET(DevBdgt!BD46,0,$D$4)</f>
        <v>0</v>
      </c>
      <c r="BE35" s="1165">
        <f ca="1">OFFSET(DevBdgt!BE46,0,$D$4)</f>
        <v>0</v>
      </c>
      <c r="BF35" s="1165">
        <f ca="1">OFFSET(DevBdgt!BF46,0,$D$4)</f>
        <v>0</v>
      </c>
      <c r="BG35" s="1165">
        <f ca="1">OFFSET(DevBdgt!BG46,0,$D$4)</f>
        <v>0</v>
      </c>
      <c r="BH35" s="1165">
        <f ca="1">OFFSET(DevBdgt!BH46,0,$D$4)</f>
        <v>0</v>
      </c>
      <c r="BI35" s="1165">
        <f ca="1">OFFSET(DevBdgt!BI46,0,$D$4)</f>
        <v>0</v>
      </c>
      <c r="BJ35" s="1165">
        <f ca="1">OFFSET(DevBdgt!BJ46,0,$D$4)</f>
        <v>0</v>
      </c>
      <c r="BK35" s="1165">
        <f ca="1">OFFSET(DevBdgt!BK46,0,$D$4)</f>
        <v>0</v>
      </c>
      <c r="BL35" s="1165">
        <f ca="1">OFFSET(DevBdgt!BL46,0,$D$4)</f>
        <v>0</v>
      </c>
      <c r="BM35" s="1165">
        <f ca="1">OFFSET(DevBdgt!BM46,0,$D$4)</f>
        <v>0</v>
      </c>
      <c r="BN35" s="1165">
        <f ca="1">OFFSET(DevBdgt!BN46,0,$D$4)</f>
        <v>0</v>
      </c>
      <c r="BO35" s="1165">
        <f ca="1">OFFSET(DevBdgt!BO46,0,$D$4)</f>
        <v>0</v>
      </c>
      <c r="BP35" s="1165">
        <f ca="1">OFFSET(DevBdgt!BP46,0,$D$4)</f>
        <v>0</v>
      </c>
      <c r="BQ35" s="1165">
        <f ca="1">OFFSET(DevBdgt!BQ46,0,$D$4)</f>
        <v>0</v>
      </c>
      <c r="BR35" s="1165">
        <f ca="1">OFFSET(DevBdgt!BR46,0,$D$4)</f>
        <v>0</v>
      </c>
      <c r="BS35" s="1165">
        <f ca="1">OFFSET(DevBdgt!BS46,0,$D$4)</f>
        <v>0</v>
      </c>
      <c r="BT35" s="1165">
        <f ca="1">OFFSET(DevBdgt!BT46,0,$D$4)</f>
        <v>0</v>
      </c>
      <c r="BU35" s="1165">
        <f ca="1">OFFSET(DevBdgt!BU46,0,$D$4)</f>
        <v>0</v>
      </c>
      <c r="BV35" s="1165">
        <f ca="1">OFFSET(DevBdgt!BV46,0,$D$4)</f>
        <v>0</v>
      </c>
      <c r="BW35" s="1165">
        <f ca="1">OFFSET(DevBdgt!BW46,0,$D$4)</f>
        <v>0</v>
      </c>
      <c r="BX35" s="1165">
        <f ca="1">OFFSET(DevBdgt!BX46,0,$D$4)</f>
        <v>0</v>
      </c>
      <c r="BY35" s="1165">
        <f ca="1">OFFSET(DevBdgt!BY46,0,$D$4)</f>
        <v>0</v>
      </c>
      <c r="BZ35" s="1165">
        <f ca="1">OFFSET(DevBdgt!BZ46,0,$D$4)</f>
        <v>0</v>
      </c>
      <c r="CA35" s="1165">
        <f ca="1">OFFSET(DevBdgt!CA46,0,$D$4)</f>
        <v>0</v>
      </c>
      <c r="CB35" s="1165">
        <f ca="1">OFFSET(DevBdgt!CB46,0,$D$4)</f>
        <v>0</v>
      </c>
      <c r="CC35" s="1165">
        <f ca="1">OFFSET(DevBdgt!CC46,0,$D$4)</f>
        <v>0</v>
      </c>
      <c r="CD35" s="1165">
        <f ca="1">OFFSET(DevBdgt!CD46,0,$D$4)</f>
        <v>0</v>
      </c>
      <c r="CE35" s="1165">
        <f ca="1">OFFSET(DevBdgt!CE46,0,$D$4)</f>
        <v>0</v>
      </c>
      <c r="CF35" s="1165">
        <f ca="1">OFFSET(DevBdgt!CF46,0,$D$4)</f>
        <v>0</v>
      </c>
      <c r="CG35" s="1165">
        <f ca="1">OFFSET(DevBdgt!CG46,0,$D$4)</f>
        <v>0</v>
      </c>
      <c r="CH35" s="1165">
        <f ca="1">OFFSET(DevBdgt!CH46,0,$D$4)</f>
        <v>0</v>
      </c>
      <c r="CI35" s="1165">
        <f ca="1">OFFSET(DevBdgt!CI46,0,$D$4)</f>
        <v>0</v>
      </c>
      <c r="CJ35" s="1165">
        <f ca="1">OFFSET(DevBdgt!CJ46,0,$D$4)</f>
        <v>0</v>
      </c>
      <c r="CK35" s="1165">
        <f ca="1">OFFSET(DevBdgt!CK46,0,$D$4)</f>
        <v>0</v>
      </c>
      <c r="CL35" s="1165">
        <f ca="1">OFFSET(DevBdgt!CL46,0,$D$4)</f>
        <v>0</v>
      </c>
      <c r="CM35" s="1165">
        <f ca="1">OFFSET(DevBdgt!CM46,0,$D$4)</f>
        <v>0</v>
      </c>
      <c r="CN35" s="1165">
        <f ca="1">OFFSET(DevBdgt!CN46,0,$D$4)</f>
        <v>0</v>
      </c>
      <c r="CO35" s="1165">
        <f ca="1">OFFSET(DevBdgt!CO46,0,$D$4)</f>
        <v>0</v>
      </c>
      <c r="CP35" s="1165">
        <f ca="1">OFFSET(DevBdgt!CP46,0,$D$4)</f>
        <v>0</v>
      </c>
      <c r="CQ35" s="1165">
        <f ca="1">OFFSET(DevBdgt!CQ46,0,$D$4)</f>
        <v>0</v>
      </c>
      <c r="CR35" s="1165">
        <f ca="1">OFFSET(DevBdgt!CR46,0,$D$4)</f>
        <v>0</v>
      </c>
      <c r="CS35" s="1165">
        <f ca="1">OFFSET(DevBdgt!CS46,0,$D$4)</f>
        <v>0</v>
      </c>
      <c r="CT35" s="1165">
        <f ca="1">OFFSET(DevBdgt!CT46,0,$D$4)</f>
        <v>0</v>
      </c>
      <c r="CU35" s="1165">
        <f ca="1">OFFSET(DevBdgt!CU46,0,$D$4)</f>
        <v>0</v>
      </c>
      <c r="CV35" s="1165">
        <f ca="1">OFFSET(DevBdgt!CV46,0,$D$4)</f>
        <v>0</v>
      </c>
      <c r="CW35" s="1165">
        <f ca="1">OFFSET(DevBdgt!CW46,0,$D$4)</f>
        <v>0</v>
      </c>
      <c r="CX35" s="1165">
        <f ca="1">OFFSET(DevBdgt!CX46,0,$D$4)</f>
        <v>0</v>
      </c>
      <c r="CY35" s="1165">
        <f ca="1">OFFSET(DevBdgt!CY46,0,$D$4)</f>
        <v>0</v>
      </c>
      <c r="CZ35" s="1165">
        <f ca="1">OFFSET(DevBdgt!CZ46,0,$D$4)</f>
        <v>0</v>
      </c>
      <c r="DA35" s="1165">
        <f ca="1">OFFSET(DevBdgt!DA46,0,$D$4)</f>
        <v>0</v>
      </c>
      <c r="DB35" s="1165">
        <f ca="1">OFFSET(DevBdgt!DB46,0,$D$4)</f>
        <v>0</v>
      </c>
      <c r="DC35" s="1165">
        <f ca="1">OFFSET(DevBdgt!DC46,0,$D$4)</f>
        <v>0</v>
      </c>
      <c r="DD35" s="1165">
        <f ca="1">OFFSET(DevBdgt!DD46,0,$D$4)</f>
        <v>0</v>
      </c>
      <c r="DE35" s="1165">
        <f ca="1">OFFSET(DevBdgt!DE46,0,$D$4)</f>
        <v>0</v>
      </c>
      <c r="DF35" s="1165">
        <f ca="1">OFFSET(DevBdgt!DF46,0,$D$4)</f>
        <v>0</v>
      </c>
      <c r="DG35" s="1165">
        <f ca="1">OFFSET(DevBdgt!DG46,0,$D$4)</f>
        <v>0</v>
      </c>
      <c r="DH35" s="1165">
        <f ca="1">OFFSET(DevBdgt!DH46,0,$D$4)</f>
        <v>0</v>
      </c>
      <c r="DI35" s="1165">
        <f ca="1">OFFSET(DevBdgt!DI46,0,$D$4)</f>
        <v>0</v>
      </c>
      <c r="DJ35" s="1165">
        <f ca="1">OFFSET(DevBdgt!DJ46,0,$D$4)</f>
        <v>0</v>
      </c>
      <c r="DK35" s="1165">
        <f ca="1">OFFSET(DevBdgt!DK46,0,$D$4)</f>
        <v>0</v>
      </c>
      <c r="DL35" s="1165">
        <f ca="1">OFFSET(DevBdgt!DL46,0,$D$4)</f>
        <v>0</v>
      </c>
      <c r="DM35" s="1165">
        <f ca="1">OFFSET(DevBdgt!DM46,0,$D$4)</f>
        <v>0</v>
      </c>
      <c r="DN35" s="1165">
        <f ca="1">OFFSET(DevBdgt!DN46,0,$D$4)</f>
        <v>0</v>
      </c>
      <c r="DO35" s="1165">
        <f ca="1">OFFSET(DevBdgt!DO46,0,$D$4)</f>
        <v>0</v>
      </c>
      <c r="DP35" s="1165">
        <f ca="1">OFFSET(DevBdgt!DP46,0,$D$4)</f>
        <v>0</v>
      </c>
      <c r="DQ35" s="1165">
        <f ca="1">OFFSET(DevBdgt!DQ46,0,$D$4)</f>
        <v>0</v>
      </c>
      <c r="DR35" s="1165">
        <f ca="1">OFFSET(DevBdgt!DR46,0,$D$4)</f>
        <v>0</v>
      </c>
      <c r="DS35" s="1165">
        <f ca="1">OFFSET(DevBdgt!DS46,0,$D$4)</f>
        <v>0</v>
      </c>
      <c r="DT35" s="1165">
        <f ca="1">OFFSET(DevBdgt!DT46,0,$D$4)</f>
        <v>0</v>
      </c>
      <c r="DU35" s="1165">
        <f ca="1">OFFSET(DevBdgt!DU46,0,$D$4)</f>
        <v>0</v>
      </c>
      <c r="DV35" s="1165">
        <f ca="1">OFFSET(DevBdgt!DV46,0,$D$4)</f>
        <v>0</v>
      </c>
      <c r="DW35" s="1165">
        <f ca="1">OFFSET(DevBdgt!DW46,0,$D$4)</f>
        <v>0</v>
      </c>
      <c r="DX35" s="1165">
        <f ca="1">OFFSET(DevBdgt!DX46,0,$D$4)</f>
        <v>0</v>
      </c>
      <c r="DY35" s="1165">
        <f ca="1">OFFSET(DevBdgt!DY46,0,$D$4)</f>
        <v>0</v>
      </c>
      <c r="DZ35" s="1165">
        <f ca="1">OFFSET(DevBdgt!DZ46,0,$D$4)</f>
        <v>0</v>
      </c>
      <c r="EA35" s="1165">
        <f ca="1">OFFSET(DevBdgt!EA46,0,$D$4)</f>
        <v>0</v>
      </c>
      <c r="EB35" s="1165">
        <f ca="1">OFFSET(DevBdgt!EB46,0,$D$4)</f>
        <v>0</v>
      </c>
      <c r="EC35" s="1165">
        <f ca="1">OFFSET(DevBdgt!EC46,0,$D$4)</f>
        <v>0</v>
      </c>
      <c r="ED35" s="1165">
        <f ca="1">OFFSET(DevBdgt!ED46,0,$D$4)</f>
        <v>0</v>
      </c>
      <c r="EE35" s="1165">
        <f ca="1">OFFSET(DevBdgt!EE46,0,$D$4)</f>
        <v>0</v>
      </c>
      <c r="EF35" s="1165">
        <f ca="1">OFFSET(DevBdgt!EF46,0,$D$4)</f>
        <v>0</v>
      </c>
      <c r="EG35" s="1165">
        <f ca="1">OFFSET(DevBdgt!EG46,0,$D$4)</f>
        <v>0</v>
      </c>
      <c r="EH35" s="778"/>
    </row>
    <row r="36" spans="2:166" ht="12.75" customHeight="1" x14ac:dyDescent="0.3">
      <c r="B36" s="1155"/>
      <c r="E36" s="1166"/>
      <c r="F36" s="778"/>
      <c r="G36" s="778"/>
      <c r="H36" s="778"/>
      <c r="I36" s="778"/>
      <c r="J36" s="778"/>
      <c r="K36" s="778"/>
      <c r="L36" s="778"/>
      <c r="M36" s="778"/>
      <c r="N36" s="778"/>
      <c r="O36" s="778"/>
      <c r="P36" s="778"/>
      <c r="Q36" s="778"/>
      <c r="R36" s="778"/>
      <c r="S36" s="778"/>
      <c r="T36" s="778"/>
      <c r="U36" s="778"/>
      <c r="V36" s="778"/>
      <c r="W36" s="778"/>
      <c r="X36" s="778"/>
      <c r="Y36" s="778"/>
      <c r="Z36" s="778"/>
      <c r="AA36" s="778"/>
      <c r="AB36" s="778"/>
      <c r="AC36" s="778"/>
      <c r="AD36" s="778"/>
      <c r="AE36" s="778"/>
      <c r="AF36" s="778"/>
      <c r="AG36" s="778"/>
      <c r="AH36" s="778"/>
      <c r="AI36" s="778"/>
      <c r="AJ36" s="778"/>
      <c r="AK36" s="778"/>
      <c r="AL36" s="778"/>
      <c r="AM36" s="778"/>
      <c r="AN36" s="778"/>
      <c r="AO36" s="778"/>
      <c r="AP36" s="778"/>
      <c r="AQ36" s="778"/>
      <c r="AR36" s="778"/>
      <c r="AS36" s="778"/>
      <c r="AT36" s="778"/>
      <c r="AU36" s="778"/>
      <c r="AV36" s="778"/>
      <c r="AW36" s="778"/>
      <c r="AX36" s="778"/>
      <c r="AY36" s="778"/>
      <c r="AZ36" s="778"/>
      <c r="BA36" s="778"/>
      <c r="BB36" s="778"/>
      <c r="BC36" s="778"/>
      <c r="BD36" s="778"/>
      <c r="BE36" s="778"/>
      <c r="BF36" s="778"/>
      <c r="BG36" s="778"/>
      <c r="BH36" s="778"/>
      <c r="BI36" s="778"/>
      <c r="BJ36" s="778"/>
      <c r="BK36" s="778"/>
      <c r="BL36" s="778"/>
      <c r="BM36" s="778"/>
      <c r="BN36" s="778"/>
      <c r="BO36" s="778"/>
      <c r="BP36" s="778"/>
      <c r="BQ36" s="778"/>
      <c r="BR36" s="778"/>
      <c r="BS36" s="778"/>
      <c r="BT36" s="778"/>
      <c r="BU36" s="778"/>
      <c r="BV36" s="778"/>
      <c r="BW36" s="778"/>
      <c r="BX36" s="778"/>
      <c r="BY36" s="778"/>
      <c r="BZ36" s="778"/>
      <c r="CA36" s="778"/>
      <c r="CB36" s="778"/>
      <c r="CC36" s="778"/>
      <c r="CD36" s="778"/>
      <c r="CE36" s="778"/>
      <c r="CF36" s="778"/>
      <c r="CG36" s="778"/>
      <c r="CH36" s="778"/>
      <c r="CI36" s="778"/>
      <c r="CJ36" s="778"/>
      <c r="CK36" s="778"/>
      <c r="CL36" s="778"/>
      <c r="CM36" s="778"/>
      <c r="CN36" s="778"/>
      <c r="CO36" s="778"/>
      <c r="CP36" s="778"/>
      <c r="CQ36" s="778"/>
      <c r="CR36" s="778"/>
      <c r="CS36" s="778"/>
      <c r="CT36" s="778"/>
      <c r="CU36" s="778"/>
      <c r="CV36" s="778"/>
      <c r="CW36" s="778"/>
      <c r="CX36" s="778"/>
      <c r="CY36" s="778"/>
      <c r="CZ36" s="778"/>
      <c r="DA36" s="778"/>
      <c r="DB36" s="778"/>
      <c r="DC36" s="778"/>
      <c r="DD36" s="778"/>
      <c r="DE36" s="778"/>
      <c r="DF36" s="778"/>
      <c r="DG36" s="778"/>
      <c r="DH36" s="778"/>
      <c r="DI36" s="778"/>
      <c r="DJ36" s="778"/>
      <c r="DK36" s="778"/>
      <c r="DL36" s="778"/>
      <c r="DM36" s="778"/>
      <c r="DN36" s="778"/>
      <c r="DO36" s="778"/>
      <c r="DP36" s="778"/>
      <c r="DQ36" s="778"/>
      <c r="DR36" s="778"/>
      <c r="DS36" s="778"/>
      <c r="DT36" s="778"/>
      <c r="DU36" s="778"/>
      <c r="DV36" s="778"/>
      <c r="DW36" s="778"/>
      <c r="DX36" s="778"/>
      <c r="DY36" s="778"/>
      <c r="DZ36" s="778"/>
      <c r="EA36" s="778"/>
      <c r="EB36" s="778"/>
      <c r="EC36" s="778"/>
      <c r="ED36" s="778"/>
      <c r="EE36" s="778"/>
      <c r="EF36" s="778"/>
      <c r="EG36" s="778"/>
      <c r="EH36" s="778"/>
    </row>
    <row r="37" spans="2:166" ht="12.75" customHeight="1" x14ac:dyDescent="0.3">
      <c r="E37" s="1167" t="s">
        <v>311</v>
      </c>
      <c r="F37" s="1168" t="s">
        <v>312</v>
      </c>
      <c r="G37" s="1168" t="s">
        <v>313</v>
      </c>
      <c r="H37" s="778"/>
      <c r="I37" s="778"/>
      <c r="J37" s="778"/>
      <c r="K37" s="778"/>
      <c r="L37" s="778"/>
      <c r="M37" s="778"/>
      <c r="N37" s="778"/>
      <c r="O37" s="778"/>
      <c r="P37" s="778"/>
      <c r="Q37" s="778"/>
      <c r="R37" s="778"/>
      <c r="S37" s="778"/>
      <c r="T37" s="778"/>
      <c r="U37" s="778"/>
      <c r="V37" s="778"/>
      <c r="W37" s="778"/>
      <c r="X37" s="778"/>
      <c r="Y37" s="778"/>
      <c r="Z37" s="778"/>
      <c r="AA37" s="778"/>
      <c r="AB37" s="778"/>
      <c r="AC37" s="778"/>
      <c r="AD37" s="778"/>
      <c r="AE37" s="778"/>
      <c r="AF37" s="778"/>
      <c r="AG37" s="778"/>
      <c r="AH37" s="778"/>
      <c r="AI37" s="778"/>
      <c r="AJ37" s="778"/>
      <c r="AK37" s="778"/>
      <c r="AL37" s="778"/>
      <c r="AM37" s="778"/>
      <c r="AN37" s="778"/>
      <c r="AO37" s="778"/>
      <c r="AP37" s="778"/>
      <c r="AQ37" s="778"/>
      <c r="AR37" s="778"/>
      <c r="AS37" s="778"/>
      <c r="AT37" s="778"/>
      <c r="AU37" s="778"/>
      <c r="AV37" s="778"/>
      <c r="AW37" s="778"/>
      <c r="AX37" s="778"/>
      <c r="AY37" s="778"/>
      <c r="AZ37" s="778"/>
      <c r="BA37" s="778"/>
      <c r="BB37" s="778"/>
      <c r="BC37" s="778"/>
      <c r="BD37" s="778"/>
      <c r="BE37" s="778"/>
      <c r="BF37" s="778"/>
      <c r="BG37" s="778"/>
      <c r="BH37" s="778"/>
      <c r="BI37" s="778"/>
      <c r="BJ37" s="778"/>
      <c r="BK37" s="778"/>
      <c r="BL37" s="778"/>
      <c r="BM37" s="778"/>
      <c r="BN37" s="778"/>
      <c r="BO37" s="778"/>
      <c r="BP37" s="778"/>
      <c r="BQ37" s="778"/>
      <c r="BR37" s="778"/>
      <c r="BS37" s="778"/>
      <c r="BT37" s="778"/>
      <c r="BU37" s="778"/>
      <c r="BV37" s="778"/>
      <c r="BW37" s="778"/>
      <c r="BX37" s="778"/>
      <c r="BY37" s="778"/>
      <c r="BZ37" s="778"/>
      <c r="CA37" s="778"/>
      <c r="CB37" s="778"/>
      <c r="CC37" s="778"/>
      <c r="CD37" s="778"/>
      <c r="CE37" s="778"/>
      <c r="CF37" s="778"/>
      <c r="CG37" s="778"/>
      <c r="CH37" s="778"/>
      <c r="CI37" s="778"/>
      <c r="CJ37" s="778"/>
      <c r="CK37" s="778"/>
      <c r="CL37" s="778"/>
      <c r="CM37" s="778"/>
      <c r="CN37" s="778"/>
      <c r="CO37" s="778"/>
      <c r="CP37" s="778"/>
      <c r="CQ37" s="778"/>
      <c r="CR37" s="778"/>
      <c r="CS37" s="778"/>
      <c r="CT37" s="778"/>
      <c r="CU37" s="778"/>
      <c r="CV37" s="778"/>
      <c r="CW37" s="778"/>
      <c r="CX37" s="778"/>
      <c r="CY37" s="778"/>
      <c r="CZ37" s="778"/>
      <c r="DA37" s="778"/>
      <c r="DB37" s="778"/>
      <c r="DC37" s="778"/>
      <c r="DD37" s="778"/>
      <c r="DE37" s="778"/>
      <c r="DF37" s="778"/>
      <c r="DG37" s="778"/>
      <c r="DH37" s="778"/>
      <c r="DI37" s="778"/>
      <c r="DJ37" s="778"/>
      <c r="DK37" s="778"/>
      <c r="DL37" s="778"/>
      <c r="DM37" s="778"/>
      <c r="DN37" s="778"/>
      <c r="DO37" s="778"/>
      <c r="DP37" s="778"/>
      <c r="DQ37" s="778"/>
      <c r="DR37" s="778"/>
      <c r="DS37" s="778"/>
      <c r="DT37" s="778"/>
      <c r="DU37" s="778"/>
      <c r="DV37" s="778"/>
      <c r="DW37" s="778"/>
      <c r="DX37" s="778"/>
      <c r="DY37" s="778"/>
      <c r="DZ37" s="778"/>
      <c r="EA37" s="778"/>
      <c r="EB37" s="778"/>
      <c r="EC37" s="778"/>
      <c r="ED37" s="778"/>
      <c r="EE37" s="778"/>
      <c r="EF37" s="778"/>
      <c r="EG37" s="778"/>
      <c r="EH37" s="778"/>
    </row>
    <row r="38" spans="2:166" ht="12.75" customHeight="1" x14ac:dyDescent="0.3">
      <c r="B38" s="1155" t="s">
        <v>314</v>
      </c>
      <c r="E38" s="1169">
        <f>+EOMONTH('General Inputs'!C37,0)</f>
        <v>46203</v>
      </c>
      <c r="F38" s="1169">
        <f>Summary!G40</f>
        <v>47484</v>
      </c>
      <c r="G38" s="1161"/>
      <c r="H38" s="778"/>
      <c r="I38" s="778"/>
      <c r="J38" s="778"/>
      <c r="K38" s="778"/>
      <c r="L38" s="778"/>
      <c r="M38" s="778"/>
      <c r="N38" s="778"/>
      <c r="O38" s="778"/>
      <c r="P38" s="778"/>
      <c r="Q38" s="778"/>
      <c r="R38" s="778"/>
      <c r="S38" s="778"/>
      <c r="T38" s="778"/>
      <c r="U38" s="778"/>
      <c r="V38" s="778"/>
      <c r="W38" s="778"/>
      <c r="X38" s="778"/>
      <c r="Y38" s="778"/>
      <c r="Z38" s="778"/>
      <c r="AA38" s="778"/>
      <c r="AB38" s="778"/>
      <c r="AC38" s="778"/>
      <c r="AD38" s="778"/>
      <c r="AE38" s="778"/>
      <c r="AF38" s="778"/>
      <c r="AG38" s="778"/>
      <c r="AH38" s="778"/>
      <c r="AI38" s="778"/>
      <c r="AJ38" s="778"/>
      <c r="AK38" s="778"/>
      <c r="AL38" s="778"/>
      <c r="AM38" s="778"/>
      <c r="AN38" s="778"/>
      <c r="AO38" s="778"/>
      <c r="AP38" s="778"/>
      <c r="AQ38" s="778"/>
      <c r="AR38" s="778"/>
      <c r="AS38" s="778"/>
      <c r="AT38" s="778"/>
      <c r="AU38" s="778"/>
      <c r="AV38" s="778"/>
      <c r="AW38" s="778"/>
      <c r="AX38" s="778"/>
      <c r="AY38" s="778"/>
      <c r="AZ38" s="778"/>
      <c r="BA38" s="778"/>
      <c r="BB38" s="778"/>
      <c r="BC38" s="778"/>
      <c r="BD38" s="778"/>
      <c r="BE38" s="778"/>
      <c r="BF38" s="778"/>
      <c r="BG38" s="778"/>
      <c r="BH38" s="778"/>
      <c r="BI38" s="778"/>
      <c r="BJ38" s="778"/>
      <c r="BK38" s="778"/>
      <c r="BL38" s="778"/>
      <c r="BM38" s="778"/>
      <c r="BN38" s="778"/>
      <c r="BO38" s="778"/>
      <c r="BP38" s="778"/>
      <c r="BQ38" s="778"/>
      <c r="BR38" s="778"/>
      <c r="BS38" s="778"/>
      <c r="BT38" s="778"/>
      <c r="BU38" s="778"/>
      <c r="BV38" s="778"/>
      <c r="BW38" s="778"/>
      <c r="BX38" s="778"/>
      <c r="BY38" s="778"/>
      <c r="BZ38" s="778"/>
      <c r="CA38" s="778"/>
      <c r="CB38" s="778"/>
      <c r="CC38" s="778"/>
      <c r="CD38" s="778"/>
      <c r="CE38" s="778"/>
      <c r="CF38" s="778"/>
      <c r="CG38" s="778"/>
      <c r="CH38" s="778"/>
      <c r="CI38" s="778"/>
      <c r="CJ38" s="778"/>
      <c r="CK38" s="778"/>
      <c r="CL38" s="778"/>
      <c r="CM38" s="778"/>
      <c r="CN38" s="778"/>
      <c r="CO38" s="778"/>
      <c r="CP38" s="778"/>
      <c r="CQ38" s="778"/>
      <c r="CR38" s="778"/>
      <c r="CS38" s="778"/>
      <c r="CT38" s="778"/>
      <c r="CU38" s="778"/>
      <c r="CV38" s="778"/>
      <c r="CW38" s="778"/>
      <c r="CX38" s="778"/>
      <c r="CY38" s="778"/>
      <c r="CZ38" s="778"/>
      <c r="DA38" s="778"/>
      <c r="DB38" s="778"/>
      <c r="DC38" s="778"/>
      <c r="DD38" s="778"/>
      <c r="DE38" s="778"/>
      <c r="DF38" s="778"/>
      <c r="DG38" s="778"/>
      <c r="DH38" s="778"/>
      <c r="DI38" s="778"/>
      <c r="DJ38" s="778"/>
      <c r="DK38" s="778"/>
      <c r="DL38" s="778"/>
      <c r="DM38" s="778"/>
      <c r="DN38" s="778"/>
      <c r="DO38" s="778"/>
      <c r="DP38" s="778"/>
      <c r="DQ38" s="778"/>
      <c r="DR38" s="778"/>
      <c r="DS38" s="778"/>
      <c r="DT38" s="778"/>
      <c r="DU38" s="778"/>
      <c r="DV38" s="778"/>
      <c r="DW38" s="778"/>
      <c r="DX38" s="778"/>
      <c r="DY38" s="778"/>
      <c r="DZ38" s="778"/>
      <c r="EA38" s="778"/>
      <c r="EB38" s="778"/>
      <c r="EC38" s="778"/>
      <c r="ED38" s="778"/>
      <c r="EE38" s="778"/>
      <c r="EF38" s="778"/>
      <c r="EG38" s="778"/>
      <c r="EH38" s="778"/>
    </row>
    <row r="39" spans="2:166" ht="12.75" customHeight="1" x14ac:dyDescent="0.3">
      <c r="B39" s="1143" t="s">
        <v>315</v>
      </c>
      <c r="C39" s="783"/>
      <c r="D39" s="783"/>
      <c r="E39" s="1157">
        <f>+'Operating Inputs'!H67</f>
        <v>2068.8063802083334</v>
      </c>
      <c r="F39" s="1157">
        <f ca="1">+LOOKUP(F38,E5:EG5,$E$26:$EG$26)</f>
        <v>2301.3942409958809</v>
      </c>
      <c r="G39" s="1521">
        <f ca="1">+(F39/E39)^(1/((F38-E38)/365))-1</f>
        <v>3.0823271815471065E-2</v>
      </c>
      <c r="H39" s="778"/>
      <c r="I39" s="778"/>
      <c r="J39" s="778"/>
      <c r="K39" s="778"/>
      <c r="L39" s="778"/>
      <c r="M39" s="778"/>
      <c r="N39" s="778"/>
      <c r="O39" s="778"/>
      <c r="P39" s="778"/>
      <c r="Q39" s="778"/>
      <c r="R39" s="778"/>
      <c r="S39" s="778"/>
      <c r="T39" s="778"/>
      <c r="U39" s="778"/>
      <c r="V39" s="778"/>
      <c r="W39" s="778"/>
      <c r="X39" s="778"/>
      <c r="Y39" s="778"/>
      <c r="Z39" s="778"/>
      <c r="AA39" s="778"/>
      <c r="AB39" s="778"/>
      <c r="AC39" s="778"/>
      <c r="AD39" s="778"/>
      <c r="AE39" s="778"/>
      <c r="AF39" s="778"/>
      <c r="AG39" s="778"/>
      <c r="AH39" s="778"/>
      <c r="AI39" s="778"/>
      <c r="AJ39" s="778"/>
      <c r="AK39" s="778"/>
      <c r="AL39" s="778"/>
      <c r="AM39" s="778"/>
      <c r="AN39" s="778"/>
      <c r="AO39" s="778"/>
      <c r="AP39" s="778"/>
      <c r="AQ39" s="778"/>
      <c r="AR39" s="778"/>
      <c r="AS39" s="778"/>
      <c r="AT39" s="778"/>
      <c r="AU39" s="778"/>
      <c r="AV39" s="778"/>
      <c r="AW39" s="778"/>
      <c r="AX39" s="778"/>
      <c r="AY39" s="778"/>
      <c r="AZ39" s="778"/>
      <c r="BA39" s="778"/>
      <c r="BB39" s="778"/>
      <c r="BC39" s="778"/>
      <c r="BD39" s="778"/>
      <c r="BE39" s="778"/>
      <c r="BF39" s="778"/>
      <c r="BG39" s="778"/>
      <c r="BH39" s="778"/>
      <c r="BI39" s="778"/>
      <c r="BJ39" s="778"/>
      <c r="BK39" s="778"/>
      <c r="BL39" s="778"/>
      <c r="BM39" s="778"/>
      <c r="BN39" s="778"/>
      <c r="BO39" s="778"/>
      <c r="BP39" s="778"/>
      <c r="BQ39" s="778"/>
      <c r="BR39" s="778"/>
      <c r="BS39" s="778"/>
      <c r="BT39" s="778"/>
      <c r="BU39" s="778"/>
      <c r="BV39" s="778"/>
      <c r="BW39" s="778"/>
      <c r="BX39" s="778"/>
      <c r="BY39" s="778"/>
      <c r="BZ39" s="778"/>
      <c r="CA39" s="778"/>
      <c r="CB39" s="778"/>
      <c r="CC39" s="778"/>
      <c r="CD39" s="778"/>
      <c r="CE39" s="778"/>
      <c r="CF39" s="778"/>
      <c r="CG39" s="778"/>
      <c r="CH39" s="778"/>
      <c r="CI39" s="778"/>
      <c r="CJ39" s="778"/>
      <c r="CK39" s="778"/>
      <c r="CL39" s="778"/>
      <c r="CM39" s="778"/>
      <c r="CN39" s="778"/>
      <c r="CO39" s="778"/>
      <c r="CP39" s="778"/>
      <c r="CQ39" s="778"/>
      <c r="CR39" s="778"/>
      <c r="CS39" s="778"/>
      <c r="CT39" s="778"/>
      <c r="CU39" s="778"/>
      <c r="CV39" s="778"/>
      <c r="CW39" s="778"/>
      <c r="CX39" s="778"/>
      <c r="CY39" s="778"/>
      <c r="CZ39" s="778"/>
      <c r="DA39" s="778"/>
      <c r="DB39" s="778"/>
      <c r="DC39" s="778"/>
      <c r="DD39" s="778"/>
      <c r="DE39" s="778"/>
      <c r="DF39" s="778"/>
      <c r="DG39" s="778"/>
      <c r="DH39" s="778"/>
      <c r="DI39" s="778"/>
      <c r="DJ39" s="778"/>
      <c r="DK39" s="778"/>
      <c r="DL39" s="778"/>
      <c r="DM39" s="778"/>
      <c r="DN39" s="778"/>
      <c r="DO39" s="778"/>
      <c r="DP39" s="778"/>
      <c r="DQ39" s="778"/>
      <c r="DR39" s="778"/>
      <c r="DS39" s="778"/>
      <c r="DT39" s="778"/>
      <c r="DU39" s="778"/>
      <c r="DV39" s="778"/>
      <c r="DW39" s="778"/>
      <c r="DX39" s="778"/>
      <c r="DY39" s="778"/>
      <c r="DZ39" s="778"/>
      <c r="EA39" s="778"/>
      <c r="EB39" s="778"/>
      <c r="EC39" s="778"/>
      <c r="ED39" s="778"/>
      <c r="EE39" s="778"/>
      <c r="EF39" s="778"/>
      <c r="EG39" s="778"/>
      <c r="EH39" s="778"/>
    </row>
    <row r="40" spans="2:166" ht="12.75" customHeight="1" x14ac:dyDescent="0.3">
      <c r="B40" s="1143"/>
      <c r="C40" s="783"/>
      <c r="D40" s="783"/>
      <c r="E40" s="1157"/>
      <c r="F40" s="1158"/>
      <c r="G40" s="1171"/>
      <c r="H40" s="778"/>
      <c r="I40" s="778"/>
      <c r="J40" s="778"/>
      <c r="K40" s="778"/>
      <c r="L40" s="778"/>
      <c r="M40" s="778"/>
      <c r="N40" s="778"/>
      <c r="O40" s="778"/>
      <c r="P40" s="778"/>
      <c r="Q40" s="778"/>
      <c r="R40" s="778"/>
      <c r="S40" s="778"/>
      <c r="T40" s="778"/>
      <c r="U40" s="778"/>
      <c r="V40" s="778"/>
      <c r="W40" s="778"/>
      <c r="X40" s="778"/>
      <c r="Y40" s="778"/>
      <c r="Z40" s="778"/>
      <c r="AA40" s="778"/>
      <c r="AB40" s="778"/>
      <c r="AC40" s="778"/>
      <c r="AD40" s="778"/>
      <c r="AE40" s="778"/>
      <c r="AF40" s="778"/>
      <c r="AG40" s="778"/>
      <c r="AH40" s="778"/>
      <c r="AI40" s="778"/>
      <c r="AJ40" s="778"/>
      <c r="AK40" s="778"/>
      <c r="AL40" s="778"/>
      <c r="AM40" s="778"/>
      <c r="AN40" s="778"/>
      <c r="AO40" s="778"/>
      <c r="AP40" s="778"/>
      <c r="AQ40" s="778"/>
      <c r="AR40" s="778"/>
      <c r="AS40" s="778"/>
      <c r="AT40" s="778"/>
      <c r="AU40" s="778"/>
      <c r="AV40" s="778"/>
      <c r="AW40" s="778"/>
      <c r="AX40" s="778"/>
      <c r="AY40" s="778"/>
      <c r="AZ40" s="778"/>
      <c r="BA40" s="778"/>
      <c r="BB40" s="778"/>
      <c r="BC40" s="778"/>
      <c r="BD40" s="778"/>
      <c r="BE40" s="778"/>
      <c r="BF40" s="778"/>
      <c r="BG40" s="778"/>
      <c r="BH40" s="778"/>
      <c r="BI40" s="778"/>
      <c r="BJ40" s="778"/>
      <c r="BK40" s="778"/>
      <c r="BL40" s="778"/>
      <c r="BM40" s="778"/>
      <c r="BN40" s="778"/>
      <c r="BO40" s="778"/>
      <c r="BP40" s="778"/>
      <c r="BQ40" s="778"/>
      <c r="BR40" s="778"/>
      <c r="BS40" s="778"/>
      <c r="BT40" s="778"/>
      <c r="BU40" s="778"/>
      <c r="BV40" s="778"/>
      <c r="BW40" s="778"/>
      <c r="BX40" s="778"/>
      <c r="BY40" s="778"/>
      <c r="BZ40" s="778"/>
      <c r="CA40" s="778"/>
      <c r="CB40" s="778"/>
      <c r="CC40" s="778"/>
      <c r="CD40" s="778"/>
      <c r="CE40" s="778"/>
      <c r="CF40" s="778"/>
      <c r="CG40" s="778"/>
      <c r="CH40" s="778"/>
      <c r="CI40" s="778"/>
      <c r="CJ40" s="778"/>
      <c r="CK40" s="778"/>
      <c r="CL40" s="778"/>
      <c r="CM40" s="778"/>
      <c r="CN40" s="778"/>
      <c r="CO40" s="778"/>
      <c r="CP40" s="778"/>
      <c r="CQ40" s="778"/>
      <c r="CR40" s="778"/>
      <c r="CS40" s="778"/>
      <c r="CT40" s="778"/>
      <c r="CU40" s="778"/>
      <c r="CV40" s="778"/>
      <c r="CW40" s="778"/>
      <c r="CX40" s="778"/>
      <c r="CY40" s="778"/>
      <c r="CZ40" s="778"/>
      <c r="DA40" s="778"/>
      <c r="DB40" s="778"/>
      <c r="DC40" s="778"/>
      <c r="DD40" s="778"/>
      <c r="DE40" s="778"/>
      <c r="DF40" s="778"/>
      <c r="DG40" s="778"/>
      <c r="DH40" s="778"/>
      <c r="DI40" s="778"/>
      <c r="DJ40" s="778"/>
      <c r="DK40" s="778"/>
      <c r="DL40" s="778"/>
      <c r="DM40" s="778"/>
      <c r="DN40" s="778"/>
      <c r="DO40" s="778"/>
      <c r="DP40" s="778"/>
      <c r="DQ40" s="778"/>
      <c r="DR40" s="778"/>
      <c r="DS40" s="778"/>
      <c r="DT40" s="778"/>
      <c r="DU40" s="778"/>
      <c r="DV40" s="778"/>
      <c r="DW40" s="778"/>
      <c r="DX40" s="778"/>
      <c r="DY40" s="778"/>
      <c r="DZ40" s="778"/>
      <c r="EA40" s="778"/>
      <c r="EB40" s="778"/>
      <c r="EC40" s="778"/>
      <c r="ED40" s="778"/>
      <c r="EE40" s="778"/>
      <c r="EF40" s="778"/>
      <c r="EG40" s="778"/>
      <c r="EH40" s="778"/>
    </row>
    <row r="41" spans="2:166" ht="12.75" customHeight="1" x14ac:dyDescent="0.3">
      <c r="E41" s="1167" t="s">
        <v>311</v>
      </c>
      <c r="F41" s="1168" t="s">
        <v>312</v>
      </c>
      <c r="G41" s="1168" t="s">
        <v>313</v>
      </c>
      <c r="H41" s="778"/>
      <c r="I41" s="778"/>
      <c r="J41" s="778"/>
      <c r="K41" s="778"/>
      <c r="L41" s="778"/>
      <c r="M41" s="778"/>
      <c r="N41" s="778"/>
      <c r="O41" s="778"/>
      <c r="P41" s="778"/>
      <c r="Q41" s="778"/>
      <c r="R41" s="778"/>
      <c r="S41" s="778"/>
      <c r="T41" s="778"/>
      <c r="U41" s="778"/>
      <c r="V41" s="778"/>
      <c r="W41" s="778"/>
      <c r="X41" s="778"/>
      <c r="Y41" s="778"/>
      <c r="Z41" s="778"/>
      <c r="AA41" s="778"/>
      <c r="AB41" s="778"/>
      <c r="AC41" s="778"/>
      <c r="AD41" s="778"/>
      <c r="AE41" s="778"/>
      <c r="AF41" s="778"/>
      <c r="AG41" s="778"/>
      <c r="AH41" s="778"/>
      <c r="AI41" s="778"/>
      <c r="AJ41" s="778"/>
      <c r="AK41" s="778"/>
      <c r="AL41" s="778"/>
      <c r="AM41" s="778"/>
      <c r="AN41" s="778"/>
      <c r="AO41" s="778"/>
      <c r="AP41" s="778"/>
      <c r="AQ41" s="778"/>
      <c r="AR41" s="778"/>
      <c r="AS41" s="778"/>
      <c r="AT41" s="778"/>
      <c r="AU41" s="778"/>
      <c r="AV41" s="778"/>
      <c r="AW41" s="778"/>
      <c r="AX41" s="778"/>
      <c r="AY41" s="778"/>
      <c r="AZ41" s="778"/>
      <c r="BA41" s="778"/>
      <c r="BB41" s="778"/>
      <c r="BC41" s="778"/>
      <c r="BD41" s="778"/>
      <c r="BE41" s="778"/>
      <c r="BF41" s="778"/>
      <c r="BG41" s="778"/>
      <c r="BH41" s="778"/>
      <c r="BI41" s="778"/>
      <c r="BJ41" s="778"/>
      <c r="BK41" s="778"/>
      <c r="BL41" s="778"/>
      <c r="BM41" s="778"/>
      <c r="BN41" s="778"/>
      <c r="BO41" s="778"/>
      <c r="BP41" s="778"/>
      <c r="BQ41" s="778"/>
      <c r="BR41" s="778"/>
      <c r="BS41" s="778"/>
      <c r="BT41" s="778"/>
      <c r="BU41" s="778"/>
      <c r="BV41" s="778"/>
      <c r="BW41" s="778"/>
      <c r="BX41" s="778"/>
      <c r="BY41" s="778"/>
      <c r="BZ41" s="778"/>
      <c r="CA41" s="778"/>
      <c r="CB41" s="778"/>
      <c r="CC41" s="778"/>
      <c r="CD41" s="778"/>
      <c r="CE41" s="778"/>
      <c r="CF41" s="778"/>
      <c r="CG41" s="778"/>
      <c r="CH41" s="778"/>
      <c r="CI41" s="778"/>
      <c r="CJ41" s="778"/>
      <c r="CK41" s="778"/>
      <c r="CL41" s="778"/>
      <c r="CM41" s="778"/>
      <c r="CN41" s="778"/>
      <c r="CO41" s="778"/>
      <c r="CP41" s="778"/>
      <c r="CQ41" s="778"/>
      <c r="CR41" s="778"/>
      <c r="CS41" s="778"/>
      <c r="CT41" s="778"/>
      <c r="CU41" s="778"/>
      <c r="CV41" s="778"/>
      <c r="CW41" s="778"/>
      <c r="CX41" s="778"/>
      <c r="CY41" s="778"/>
      <c r="CZ41" s="778"/>
      <c r="DA41" s="778"/>
      <c r="DB41" s="778"/>
      <c r="DC41" s="778"/>
      <c r="DD41" s="778"/>
      <c r="DE41" s="778"/>
      <c r="DF41" s="778"/>
      <c r="DG41" s="778"/>
      <c r="DH41" s="778"/>
      <c r="DI41" s="778"/>
      <c r="DJ41" s="778"/>
      <c r="DK41" s="778"/>
      <c r="DL41" s="778"/>
      <c r="DM41" s="778"/>
      <c r="DN41" s="778"/>
      <c r="DO41" s="778"/>
      <c r="DP41" s="778"/>
      <c r="DQ41" s="778"/>
      <c r="DR41" s="778"/>
      <c r="DS41" s="778"/>
      <c r="DT41" s="778"/>
      <c r="DU41" s="778"/>
      <c r="DV41" s="778"/>
      <c r="DW41" s="778"/>
      <c r="DX41" s="778"/>
      <c r="DY41" s="778"/>
      <c r="DZ41" s="778"/>
      <c r="EA41" s="778"/>
      <c r="EB41" s="778"/>
      <c r="EC41" s="778"/>
      <c r="ED41" s="778"/>
      <c r="EE41" s="778"/>
      <c r="EF41" s="778"/>
      <c r="EG41" s="778"/>
      <c r="EH41" s="778"/>
    </row>
    <row r="42" spans="2:166" ht="12.75" customHeight="1" x14ac:dyDescent="0.3">
      <c r="B42" s="1155" t="s">
        <v>314</v>
      </c>
      <c r="E42" s="1169">
        <f>+F5</f>
        <v>46691</v>
      </c>
      <c r="F42" s="1169">
        <f>+'Venture Assumptions'!$F$8</f>
        <v>48091</v>
      </c>
      <c r="G42" s="1161"/>
      <c r="H42" s="778"/>
      <c r="I42" s="778"/>
      <c r="J42" s="778"/>
      <c r="K42" s="778"/>
      <c r="L42" s="778"/>
      <c r="M42" s="778"/>
      <c r="N42" s="778"/>
      <c r="O42" s="778"/>
      <c r="P42" s="778"/>
      <c r="Q42" s="778"/>
      <c r="R42" s="778"/>
      <c r="S42" s="778"/>
      <c r="T42" s="778"/>
      <c r="U42" s="778"/>
      <c r="V42" s="778"/>
      <c r="W42" s="778"/>
      <c r="X42" s="778"/>
      <c r="Y42" s="778"/>
      <c r="Z42" s="778"/>
      <c r="AA42" s="778"/>
      <c r="AB42" s="778"/>
      <c r="AC42" s="778"/>
      <c r="AD42" s="778"/>
      <c r="AE42" s="778"/>
      <c r="AF42" s="778"/>
      <c r="AG42" s="778"/>
      <c r="AH42" s="778"/>
      <c r="AI42" s="778"/>
      <c r="AJ42" s="778"/>
      <c r="AK42" s="778"/>
      <c r="AL42" s="778"/>
      <c r="AM42" s="778"/>
      <c r="AN42" s="778"/>
      <c r="AO42" s="778"/>
      <c r="AP42" s="778"/>
      <c r="AQ42" s="778"/>
      <c r="AR42" s="778"/>
      <c r="AS42" s="778"/>
      <c r="AT42" s="778"/>
      <c r="AU42" s="778"/>
      <c r="AV42" s="778"/>
      <c r="AW42" s="778"/>
      <c r="AX42" s="778"/>
      <c r="AY42" s="778"/>
      <c r="AZ42" s="778"/>
      <c r="BA42" s="778"/>
      <c r="BB42" s="778"/>
      <c r="BC42" s="778"/>
      <c r="BD42" s="778"/>
      <c r="BE42" s="778"/>
      <c r="BF42" s="778"/>
      <c r="BG42" s="778"/>
      <c r="BH42" s="778"/>
      <c r="BI42" s="778"/>
      <c r="BJ42" s="778"/>
      <c r="BK42" s="778"/>
      <c r="BL42" s="778"/>
      <c r="BM42" s="778"/>
      <c r="BN42" s="778"/>
      <c r="BO42" s="778"/>
      <c r="BP42" s="778"/>
      <c r="BQ42" s="778"/>
      <c r="BR42" s="778"/>
      <c r="BS42" s="778"/>
      <c r="BT42" s="778"/>
      <c r="BU42" s="778"/>
      <c r="BV42" s="778"/>
      <c r="BW42" s="778"/>
      <c r="BX42" s="778"/>
      <c r="BY42" s="778"/>
      <c r="BZ42" s="778"/>
      <c r="CA42" s="778"/>
      <c r="CB42" s="778"/>
      <c r="CC42" s="778"/>
      <c r="CD42" s="778"/>
      <c r="CE42" s="778"/>
      <c r="CF42" s="778"/>
      <c r="CG42" s="778"/>
      <c r="CH42" s="778"/>
      <c r="CI42" s="778"/>
      <c r="CJ42" s="778"/>
      <c r="CK42" s="778"/>
      <c r="CL42" s="778"/>
      <c r="CM42" s="778"/>
      <c r="CN42" s="778"/>
      <c r="CO42" s="778"/>
      <c r="CP42" s="778"/>
      <c r="CQ42" s="778"/>
      <c r="CR42" s="778"/>
      <c r="CS42" s="778"/>
      <c r="CT42" s="778"/>
      <c r="CU42" s="778"/>
      <c r="CV42" s="778"/>
      <c r="CW42" s="778"/>
      <c r="CX42" s="778"/>
      <c r="CY42" s="778"/>
      <c r="CZ42" s="778"/>
      <c r="DA42" s="778"/>
      <c r="DB42" s="778"/>
      <c r="DC42" s="778"/>
      <c r="DD42" s="778"/>
      <c r="DE42" s="778"/>
      <c r="DF42" s="778"/>
      <c r="DG42" s="778"/>
      <c r="DH42" s="778"/>
      <c r="DI42" s="778"/>
      <c r="DJ42" s="778"/>
      <c r="DK42" s="778"/>
      <c r="DL42" s="778"/>
      <c r="DM42" s="778"/>
      <c r="DN42" s="778"/>
      <c r="DO42" s="778"/>
      <c r="DP42" s="778"/>
      <c r="DQ42" s="778"/>
      <c r="DR42" s="778"/>
      <c r="DS42" s="778"/>
      <c r="DT42" s="778"/>
      <c r="DU42" s="778"/>
      <c r="DV42" s="778"/>
      <c r="DW42" s="778"/>
      <c r="DX42" s="778"/>
      <c r="DY42" s="778"/>
      <c r="DZ42" s="778"/>
      <c r="EA42" s="778"/>
      <c r="EB42" s="778"/>
      <c r="EC42" s="778"/>
      <c r="ED42" s="778"/>
      <c r="EE42" s="778"/>
      <c r="EF42" s="778"/>
      <c r="EG42" s="778"/>
      <c r="EH42" s="778"/>
    </row>
    <row r="43" spans="2:166" ht="12.75" customHeight="1" x14ac:dyDescent="0.3">
      <c r="B43" s="1143" t="s">
        <v>315</v>
      </c>
      <c r="C43" s="783"/>
      <c r="D43" s="783"/>
      <c r="E43" s="1157">
        <f ca="1">+F27</f>
        <v>1202036.9549784514</v>
      </c>
      <c r="F43" s="1157">
        <f ca="1">+LOOKUP(F42,E5:EG5,$E$27:$EG$27)</f>
        <v>1346254.540440806</v>
      </c>
      <c r="G43" s="1170">
        <f ca="1">+(F43/E43)^(1/((F42-E42)/365))-1</f>
        <v>2.9981877798529233E-2</v>
      </c>
      <c r="H43" s="778"/>
      <c r="I43" s="778"/>
      <c r="J43" s="778"/>
      <c r="K43" s="778"/>
      <c r="L43" s="778"/>
      <c r="M43" s="778"/>
      <c r="N43" s="778"/>
      <c r="O43" s="778"/>
      <c r="P43" s="778"/>
      <c r="Q43" s="778"/>
      <c r="R43" s="778"/>
      <c r="S43" s="778"/>
      <c r="T43" s="778"/>
      <c r="U43" s="778"/>
      <c r="V43" s="778"/>
      <c r="W43" s="778"/>
      <c r="X43" s="778"/>
      <c r="Y43" s="778"/>
      <c r="Z43" s="778"/>
      <c r="AA43" s="778"/>
      <c r="AB43" s="778"/>
      <c r="AC43" s="778"/>
      <c r="AD43" s="778"/>
      <c r="AE43" s="778"/>
      <c r="AF43" s="778"/>
      <c r="AG43" s="778"/>
      <c r="AH43" s="778"/>
      <c r="AI43" s="778"/>
      <c r="AJ43" s="778"/>
      <c r="AK43" s="778"/>
      <c r="AL43" s="778"/>
      <c r="AM43" s="778"/>
      <c r="AN43" s="778"/>
      <c r="AO43" s="778"/>
      <c r="AP43" s="778"/>
      <c r="AQ43" s="778"/>
      <c r="AR43" s="778"/>
      <c r="AS43" s="778"/>
      <c r="AT43" s="778"/>
      <c r="AU43" s="778"/>
      <c r="AV43" s="778"/>
      <c r="AW43" s="778"/>
      <c r="AX43" s="778"/>
      <c r="AY43" s="778"/>
      <c r="AZ43" s="778"/>
      <c r="BA43" s="778"/>
      <c r="BB43" s="778"/>
      <c r="BC43" s="778"/>
      <c r="BD43" s="778"/>
      <c r="BE43" s="778"/>
      <c r="BF43" s="778"/>
      <c r="BG43" s="778"/>
      <c r="BH43" s="778"/>
      <c r="BI43" s="778"/>
      <c r="BJ43" s="778"/>
      <c r="BK43" s="778"/>
      <c r="BL43" s="778"/>
      <c r="BM43" s="778"/>
      <c r="BN43" s="778"/>
      <c r="BO43" s="778"/>
      <c r="BP43" s="778"/>
      <c r="BQ43" s="778"/>
      <c r="BR43" s="778"/>
      <c r="BS43" s="778"/>
      <c r="BT43" s="778"/>
      <c r="BU43" s="778"/>
      <c r="BV43" s="778"/>
      <c r="BW43" s="778"/>
      <c r="BX43" s="778"/>
      <c r="BY43" s="778"/>
      <c r="BZ43" s="778"/>
      <c r="CA43" s="778"/>
      <c r="CB43" s="778"/>
      <c r="CC43" s="778"/>
      <c r="CD43" s="778"/>
      <c r="CE43" s="778"/>
      <c r="CF43" s="778"/>
      <c r="CG43" s="778"/>
      <c r="CH43" s="778"/>
      <c r="CI43" s="778"/>
      <c r="CJ43" s="778"/>
      <c r="CK43" s="778"/>
      <c r="CL43" s="778"/>
      <c r="CM43" s="778"/>
      <c r="CN43" s="778"/>
      <c r="CO43" s="778"/>
      <c r="CP43" s="778"/>
      <c r="CQ43" s="778"/>
      <c r="CR43" s="778"/>
      <c r="CS43" s="778"/>
      <c r="CT43" s="778"/>
      <c r="CU43" s="778"/>
      <c r="CV43" s="778"/>
      <c r="CW43" s="778"/>
      <c r="CX43" s="778"/>
      <c r="CY43" s="778"/>
      <c r="CZ43" s="778"/>
      <c r="DA43" s="778"/>
      <c r="DB43" s="778"/>
      <c r="DC43" s="778"/>
      <c r="DD43" s="778"/>
      <c r="DE43" s="778"/>
      <c r="DF43" s="778"/>
      <c r="DG43" s="778"/>
      <c r="DH43" s="778"/>
      <c r="DI43" s="778"/>
      <c r="DJ43" s="778"/>
      <c r="DK43" s="778"/>
      <c r="DL43" s="778"/>
      <c r="DM43" s="778"/>
      <c r="DN43" s="778"/>
      <c r="DO43" s="778"/>
      <c r="DP43" s="778"/>
      <c r="DQ43" s="778"/>
      <c r="DR43" s="778"/>
      <c r="DS43" s="778"/>
      <c r="DT43" s="778"/>
      <c r="DU43" s="778"/>
      <c r="DV43" s="778"/>
      <c r="DW43" s="778"/>
      <c r="DX43" s="778"/>
      <c r="DY43" s="778"/>
      <c r="DZ43" s="778"/>
      <c r="EA43" s="778"/>
      <c r="EB43" s="778"/>
      <c r="EC43" s="778"/>
      <c r="ED43" s="778"/>
      <c r="EE43" s="778"/>
      <c r="EF43" s="778"/>
      <c r="EG43" s="778"/>
      <c r="EH43" s="778"/>
    </row>
    <row r="44" spans="2:166" ht="12.75" customHeight="1" x14ac:dyDescent="0.3">
      <c r="E44" s="778"/>
      <c r="F44" s="778"/>
      <c r="G44" s="778"/>
      <c r="H44" s="778"/>
      <c r="I44" s="778"/>
      <c r="J44" s="778"/>
      <c r="K44" s="778"/>
      <c r="L44" s="778"/>
      <c r="M44" s="778"/>
      <c r="N44" s="778"/>
      <c r="O44" s="778"/>
      <c r="P44" s="778"/>
      <c r="Q44" s="778"/>
      <c r="R44" s="778"/>
      <c r="S44" s="778"/>
      <c r="T44" s="778"/>
      <c r="U44" s="778"/>
      <c r="V44" s="778"/>
      <c r="W44" s="778"/>
      <c r="X44" s="778"/>
      <c r="Y44" s="778"/>
      <c r="Z44" s="778"/>
      <c r="AA44" s="778"/>
      <c r="AB44" s="778"/>
      <c r="AC44" s="778"/>
      <c r="AD44" s="778"/>
      <c r="AE44" s="778"/>
      <c r="AF44" s="778"/>
      <c r="AG44" s="778"/>
      <c r="AH44" s="778"/>
      <c r="AI44" s="778"/>
      <c r="AJ44" s="778"/>
      <c r="AK44" s="778"/>
      <c r="AL44" s="778"/>
      <c r="AM44" s="778"/>
      <c r="AN44" s="778"/>
      <c r="AO44" s="778"/>
      <c r="AP44" s="778"/>
      <c r="AQ44" s="778"/>
      <c r="AR44" s="778"/>
      <c r="AS44" s="778"/>
      <c r="AT44" s="778"/>
      <c r="AU44" s="778"/>
      <c r="AV44" s="778"/>
      <c r="AW44" s="778"/>
      <c r="AX44" s="778"/>
      <c r="AY44" s="778"/>
      <c r="AZ44" s="778"/>
      <c r="BA44" s="778"/>
      <c r="BB44" s="778"/>
      <c r="BC44" s="778"/>
      <c r="BD44" s="778"/>
      <c r="BE44" s="778"/>
      <c r="BF44" s="778"/>
      <c r="BG44" s="778"/>
      <c r="BH44" s="778"/>
      <c r="BI44" s="778"/>
      <c r="BJ44" s="778"/>
      <c r="BK44" s="778"/>
      <c r="BL44" s="778"/>
      <c r="BM44" s="778"/>
      <c r="BN44" s="778"/>
      <c r="BO44" s="778"/>
      <c r="BP44" s="778"/>
      <c r="BQ44" s="778"/>
      <c r="BR44" s="778"/>
      <c r="BS44" s="778"/>
      <c r="BT44" s="778"/>
      <c r="BU44" s="778"/>
      <c r="BV44" s="778"/>
      <c r="BW44" s="778"/>
      <c r="BX44" s="778"/>
      <c r="BY44" s="778"/>
      <c r="BZ44" s="778"/>
      <c r="CA44" s="778"/>
      <c r="CB44" s="778"/>
      <c r="CC44" s="778"/>
      <c r="CD44" s="778"/>
      <c r="CE44" s="778"/>
      <c r="CF44" s="778"/>
      <c r="CG44" s="778"/>
      <c r="CH44" s="778"/>
      <c r="CI44" s="778"/>
      <c r="CJ44" s="778"/>
      <c r="CK44" s="778"/>
      <c r="CL44" s="778"/>
      <c r="CM44" s="778"/>
      <c r="CN44" s="778"/>
      <c r="CO44" s="778"/>
      <c r="CP44" s="778"/>
      <c r="CQ44" s="778"/>
      <c r="CR44" s="778"/>
      <c r="CS44" s="778"/>
      <c r="CT44" s="778"/>
      <c r="CU44" s="778"/>
      <c r="CV44" s="778"/>
      <c r="CW44" s="778"/>
      <c r="CX44" s="778"/>
      <c r="CY44" s="778"/>
      <c r="CZ44" s="778"/>
      <c r="DA44" s="778"/>
      <c r="DB44" s="778"/>
      <c r="DC44" s="778"/>
      <c r="DD44" s="778"/>
      <c r="DE44" s="778"/>
      <c r="DF44" s="778"/>
      <c r="DG44" s="778"/>
      <c r="DH44" s="778"/>
      <c r="DI44" s="778"/>
      <c r="DJ44" s="778"/>
      <c r="DK44" s="778"/>
      <c r="DL44" s="778"/>
      <c r="DM44" s="778"/>
      <c r="DN44" s="778"/>
      <c r="DO44" s="778"/>
      <c r="DP44" s="778"/>
      <c r="DQ44" s="778"/>
      <c r="DR44" s="778"/>
      <c r="DS44" s="778"/>
      <c r="DT44" s="778"/>
      <c r="DU44" s="778"/>
      <c r="DV44" s="778"/>
      <c r="DW44" s="778"/>
      <c r="DX44" s="778"/>
      <c r="DY44" s="778"/>
      <c r="DZ44" s="778"/>
      <c r="EA44" s="778"/>
      <c r="EB44" s="778"/>
      <c r="EC44" s="778"/>
      <c r="ED44" s="778"/>
      <c r="EE44" s="778"/>
      <c r="EF44" s="778"/>
      <c r="EG44" s="778"/>
      <c r="EH44" s="778"/>
    </row>
    <row r="45" spans="2:166" ht="12.75" customHeight="1" x14ac:dyDescent="0.3">
      <c r="E45" s="778"/>
      <c r="F45" s="778"/>
      <c r="G45" s="778"/>
      <c r="H45" s="778"/>
      <c r="I45" s="778"/>
      <c r="J45" s="778"/>
      <c r="K45" s="778"/>
      <c r="L45" s="778"/>
      <c r="M45" s="778"/>
      <c r="N45" s="778"/>
      <c r="O45" s="778"/>
      <c r="P45" s="778"/>
      <c r="Q45" s="778"/>
      <c r="R45" s="778"/>
      <c r="S45" s="778"/>
      <c r="T45" s="778"/>
      <c r="U45" s="778"/>
      <c r="V45" s="778"/>
      <c r="W45" s="778"/>
      <c r="X45" s="778"/>
      <c r="Y45" s="778"/>
      <c r="Z45" s="778"/>
      <c r="AA45" s="778"/>
      <c r="AB45" s="778"/>
      <c r="AC45" s="778"/>
      <c r="AD45" s="778"/>
      <c r="AE45" s="778"/>
      <c r="AF45" s="778"/>
      <c r="AG45" s="778"/>
      <c r="AH45" s="778"/>
      <c r="AI45" s="778"/>
      <c r="AJ45" s="778"/>
      <c r="AK45" s="778"/>
      <c r="AL45" s="778"/>
      <c r="AM45" s="778"/>
      <c r="AN45" s="778"/>
      <c r="AO45" s="778"/>
      <c r="AP45" s="778"/>
      <c r="AQ45" s="778"/>
      <c r="AR45" s="778"/>
      <c r="AS45" s="778"/>
      <c r="AT45" s="778"/>
      <c r="AU45" s="778"/>
      <c r="AV45" s="778"/>
      <c r="AW45" s="778"/>
      <c r="AX45" s="778"/>
      <c r="AY45" s="778"/>
      <c r="AZ45" s="778"/>
      <c r="BA45" s="778"/>
      <c r="BB45" s="778"/>
      <c r="BC45" s="778"/>
      <c r="BD45" s="778"/>
      <c r="BE45" s="778"/>
      <c r="BF45" s="778"/>
      <c r="BG45" s="778"/>
      <c r="BH45" s="778"/>
      <c r="BI45" s="778"/>
      <c r="BJ45" s="778"/>
      <c r="BK45" s="778"/>
      <c r="BL45" s="778"/>
      <c r="BM45" s="778"/>
      <c r="BN45" s="778"/>
      <c r="BO45" s="778"/>
      <c r="BP45" s="778"/>
      <c r="BQ45" s="778"/>
      <c r="BR45" s="778"/>
      <c r="BS45" s="778"/>
      <c r="BT45" s="778"/>
      <c r="BU45" s="778"/>
      <c r="BV45" s="778"/>
      <c r="BW45" s="778"/>
      <c r="BX45" s="778"/>
      <c r="BY45" s="778"/>
      <c r="BZ45" s="778"/>
      <c r="CA45" s="778"/>
      <c r="CB45" s="778"/>
      <c r="CC45" s="778"/>
      <c r="CD45" s="778"/>
      <c r="CE45" s="778"/>
      <c r="CF45" s="778"/>
      <c r="CG45" s="778"/>
      <c r="CH45" s="778"/>
      <c r="CI45" s="778"/>
      <c r="CJ45" s="778"/>
      <c r="CK45" s="778"/>
      <c r="CL45" s="778"/>
      <c r="CM45" s="778"/>
      <c r="CN45" s="778"/>
      <c r="CO45" s="778"/>
      <c r="CP45" s="778"/>
      <c r="CQ45" s="778"/>
      <c r="CR45" s="778"/>
      <c r="CS45" s="778"/>
      <c r="CT45" s="778"/>
      <c r="CU45" s="778"/>
      <c r="CV45" s="778"/>
      <c r="CW45" s="778"/>
      <c r="CX45" s="778"/>
      <c r="CY45" s="778"/>
      <c r="CZ45" s="778"/>
      <c r="DA45" s="778"/>
      <c r="DB45" s="778"/>
      <c r="DC45" s="778"/>
      <c r="DD45" s="778"/>
      <c r="DE45" s="778"/>
      <c r="DF45" s="778"/>
      <c r="DG45" s="778"/>
      <c r="DH45" s="778"/>
      <c r="DI45" s="778"/>
      <c r="DJ45" s="778"/>
      <c r="DK45" s="778"/>
      <c r="DL45" s="778"/>
      <c r="DM45" s="778"/>
      <c r="DN45" s="778"/>
      <c r="DO45" s="778"/>
      <c r="DP45" s="778"/>
      <c r="DQ45" s="778"/>
      <c r="DR45" s="778"/>
      <c r="DS45" s="778"/>
      <c r="DT45" s="778"/>
      <c r="DU45" s="778"/>
      <c r="DV45" s="778"/>
      <c r="DW45" s="778"/>
      <c r="DX45" s="778"/>
      <c r="DY45" s="778"/>
      <c r="DZ45" s="778"/>
      <c r="EA45" s="778"/>
      <c r="EB45" s="778"/>
      <c r="EC45" s="778"/>
      <c r="ED45" s="778"/>
      <c r="EE45" s="778"/>
      <c r="EF45" s="778"/>
      <c r="EG45" s="778"/>
      <c r="EH45" s="778"/>
    </row>
    <row r="46" spans="2:166" ht="12.75" customHeight="1" x14ac:dyDescent="0.3">
      <c r="E46" s="778"/>
      <c r="F46" s="778"/>
      <c r="G46" s="778"/>
      <c r="H46" s="778"/>
      <c r="I46" s="778"/>
      <c r="J46" s="778"/>
      <c r="K46" s="778"/>
      <c r="L46" s="778"/>
      <c r="M46" s="778"/>
      <c r="N46" s="778"/>
      <c r="O46" s="778"/>
      <c r="P46" s="778"/>
      <c r="Q46" s="778"/>
      <c r="R46" s="778"/>
      <c r="S46" s="778"/>
      <c r="T46" s="778"/>
      <c r="U46" s="778"/>
      <c r="V46" s="778"/>
      <c r="W46" s="778"/>
      <c r="X46" s="778"/>
      <c r="Y46" s="778"/>
      <c r="Z46" s="778"/>
      <c r="AA46" s="778"/>
      <c r="AB46" s="778"/>
      <c r="AC46" s="778"/>
      <c r="AD46" s="778"/>
      <c r="AE46" s="778"/>
      <c r="AF46" s="778"/>
      <c r="AG46" s="778"/>
      <c r="AH46" s="778"/>
      <c r="AI46" s="778"/>
      <c r="AJ46" s="778"/>
      <c r="AK46" s="778"/>
      <c r="AL46" s="778"/>
      <c r="AM46" s="778"/>
      <c r="AN46" s="778"/>
      <c r="AO46" s="778"/>
      <c r="AP46" s="778"/>
      <c r="AQ46" s="778"/>
      <c r="AR46" s="778"/>
      <c r="AS46" s="778"/>
      <c r="AT46" s="778"/>
      <c r="AU46" s="778"/>
      <c r="AV46" s="778"/>
      <c r="AW46" s="778"/>
      <c r="AX46" s="778"/>
      <c r="AY46" s="778"/>
      <c r="AZ46" s="778"/>
      <c r="BA46" s="778"/>
      <c r="BB46" s="778"/>
      <c r="BC46" s="778"/>
      <c r="BD46" s="778"/>
      <c r="BE46" s="778"/>
      <c r="BF46" s="778"/>
      <c r="BG46" s="778"/>
      <c r="BH46" s="778"/>
      <c r="BI46" s="778"/>
      <c r="BJ46" s="778"/>
      <c r="BK46" s="778"/>
      <c r="BL46" s="778"/>
      <c r="BM46" s="778"/>
      <c r="BN46" s="778"/>
      <c r="BO46" s="778"/>
      <c r="BP46" s="778"/>
      <c r="BQ46" s="778"/>
      <c r="BR46" s="778"/>
      <c r="BS46" s="778"/>
      <c r="BT46" s="778"/>
      <c r="BU46" s="778"/>
      <c r="BV46" s="778"/>
      <c r="BW46" s="778"/>
      <c r="BX46" s="778"/>
      <c r="BY46" s="778"/>
      <c r="BZ46" s="778"/>
      <c r="CA46" s="778"/>
      <c r="CB46" s="778"/>
      <c r="CC46" s="778"/>
      <c r="CD46" s="778"/>
      <c r="CE46" s="778"/>
      <c r="CF46" s="778"/>
      <c r="CG46" s="778"/>
      <c r="CH46" s="778"/>
      <c r="CI46" s="778"/>
      <c r="CJ46" s="778"/>
      <c r="CK46" s="778"/>
      <c r="CL46" s="778"/>
      <c r="CM46" s="778"/>
      <c r="CN46" s="778"/>
      <c r="CO46" s="778"/>
      <c r="CP46" s="778"/>
      <c r="CQ46" s="778"/>
      <c r="CR46" s="778"/>
      <c r="CS46" s="778"/>
      <c r="CT46" s="778"/>
      <c r="CU46" s="778"/>
      <c r="CV46" s="778"/>
      <c r="CW46" s="778"/>
      <c r="CX46" s="778"/>
      <c r="CY46" s="778"/>
      <c r="CZ46" s="778"/>
      <c r="DA46" s="778"/>
      <c r="DB46" s="778"/>
      <c r="DC46" s="778"/>
      <c r="DD46" s="778"/>
      <c r="DE46" s="778"/>
      <c r="DF46" s="778"/>
      <c r="DG46" s="778"/>
      <c r="DH46" s="778"/>
      <c r="DI46" s="778"/>
      <c r="DJ46" s="778"/>
      <c r="DK46" s="778"/>
      <c r="DL46" s="778"/>
      <c r="DM46" s="778"/>
      <c r="DN46" s="778"/>
      <c r="DO46" s="778"/>
      <c r="DP46" s="778"/>
      <c r="DQ46" s="778"/>
      <c r="DR46" s="778"/>
      <c r="DS46" s="778"/>
      <c r="DT46" s="778"/>
      <c r="DU46" s="778"/>
      <c r="DV46" s="778"/>
      <c r="DW46" s="778"/>
      <c r="DX46" s="778"/>
      <c r="DY46" s="778"/>
      <c r="DZ46" s="778"/>
      <c r="EA46" s="778"/>
      <c r="EB46" s="778"/>
      <c r="EC46" s="778"/>
      <c r="ED46" s="778"/>
      <c r="EE46" s="778"/>
      <c r="EF46" s="778"/>
      <c r="EG46" s="778"/>
      <c r="EH46" s="778"/>
    </row>
    <row r="47" spans="2:166" ht="12.75" customHeight="1" x14ac:dyDescent="0.3">
      <c r="E47" s="778"/>
      <c r="F47" s="778"/>
      <c r="G47" s="778"/>
      <c r="H47" s="778"/>
      <c r="I47" s="778"/>
      <c r="J47" s="778"/>
      <c r="K47" s="778"/>
      <c r="L47" s="778"/>
      <c r="M47" s="778"/>
      <c r="N47" s="778"/>
      <c r="O47" s="778"/>
      <c r="P47" s="778"/>
      <c r="Q47" s="778"/>
      <c r="R47" s="778"/>
      <c r="S47" s="778"/>
      <c r="T47" s="778"/>
      <c r="U47" s="778"/>
      <c r="V47" s="778"/>
      <c r="W47" s="778"/>
      <c r="X47" s="778"/>
      <c r="Y47" s="778"/>
      <c r="Z47" s="778"/>
      <c r="AA47" s="778"/>
      <c r="AB47" s="778"/>
      <c r="AC47" s="778"/>
      <c r="AD47" s="778"/>
      <c r="AE47" s="778"/>
      <c r="AF47" s="778"/>
      <c r="AG47" s="778"/>
      <c r="AH47" s="778"/>
      <c r="AI47" s="778"/>
      <c r="AJ47" s="778"/>
      <c r="AK47" s="778"/>
      <c r="AL47" s="778"/>
      <c r="AM47" s="778"/>
      <c r="AN47" s="778"/>
      <c r="AO47" s="778"/>
      <c r="AP47" s="778"/>
      <c r="AQ47" s="778"/>
      <c r="AR47" s="778"/>
      <c r="AS47" s="778"/>
      <c r="AT47" s="778"/>
      <c r="AU47" s="778"/>
      <c r="AV47" s="778"/>
      <c r="AW47" s="778"/>
      <c r="AX47" s="778"/>
      <c r="AY47" s="778"/>
      <c r="AZ47" s="778"/>
      <c r="BA47" s="778"/>
      <c r="BB47" s="778"/>
      <c r="BC47" s="778"/>
      <c r="BD47" s="778"/>
      <c r="BE47" s="778"/>
      <c r="BF47" s="778"/>
      <c r="BG47" s="778"/>
      <c r="BH47" s="778"/>
      <c r="BI47" s="778"/>
      <c r="BJ47" s="778"/>
      <c r="BK47" s="778"/>
      <c r="BL47" s="778"/>
      <c r="BM47" s="778"/>
      <c r="BN47" s="778"/>
      <c r="BO47" s="778"/>
      <c r="BP47" s="778"/>
      <c r="BQ47" s="778"/>
      <c r="BR47" s="778"/>
      <c r="BS47" s="778"/>
      <c r="BT47" s="778"/>
      <c r="BU47" s="778"/>
      <c r="BV47" s="778"/>
      <c r="BW47" s="778"/>
      <c r="BX47" s="778"/>
      <c r="BY47" s="778"/>
      <c r="BZ47" s="778"/>
      <c r="CA47" s="778"/>
      <c r="CB47" s="778"/>
      <c r="CC47" s="778"/>
      <c r="CD47" s="778"/>
      <c r="CE47" s="778"/>
      <c r="CF47" s="778"/>
      <c r="CG47" s="778"/>
      <c r="CH47" s="778"/>
      <c r="CI47" s="778"/>
      <c r="CJ47" s="778"/>
      <c r="CK47" s="778"/>
      <c r="CL47" s="778"/>
      <c r="CM47" s="778"/>
      <c r="CN47" s="778"/>
      <c r="CO47" s="778"/>
      <c r="CP47" s="778"/>
      <c r="CQ47" s="778"/>
      <c r="CR47" s="778"/>
      <c r="CS47" s="778"/>
      <c r="CT47" s="778"/>
      <c r="CU47" s="778"/>
      <c r="CV47" s="778"/>
      <c r="CW47" s="778"/>
      <c r="CX47" s="778"/>
      <c r="CY47" s="778"/>
      <c r="CZ47" s="778"/>
      <c r="DA47" s="778"/>
      <c r="DB47" s="778"/>
      <c r="DC47" s="778"/>
      <c r="DD47" s="778"/>
      <c r="DE47" s="778"/>
      <c r="DF47" s="778"/>
      <c r="DG47" s="778"/>
      <c r="DH47" s="778"/>
      <c r="DI47" s="778"/>
      <c r="DJ47" s="778"/>
      <c r="DK47" s="778"/>
      <c r="DL47" s="778"/>
      <c r="DM47" s="778"/>
      <c r="DN47" s="778"/>
      <c r="DO47" s="778"/>
      <c r="DP47" s="778"/>
      <c r="DQ47" s="778"/>
      <c r="DR47" s="778"/>
      <c r="DS47" s="778"/>
      <c r="DT47" s="778"/>
      <c r="DU47" s="778"/>
      <c r="DV47" s="778"/>
      <c r="DW47" s="778"/>
      <c r="DX47" s="778"/>
      <c r="DY47" s="778"/>
      <c r="DZ47" s="778"/>
      <c r="EA47" s="778"/>
      <c r="EB47" s="778"/>
      <c r="EC47" s="778"/>
      <c r="ED47" s="778"/>
      <c r="EE47" s="778"/>
      <c r="EF47" s="778"/>
      <c r="EG47" s="778"/>
      <c r="EH47" s="778"/>
    </row>
    <row r="48" spans="2:166" s="772" customFormat="1" ht="12.75" customHeight="1" x14ac:dyDescent="0.3">
      <c r="B48" s="773"/>
      <c r="C48" s="773"/>
      <c r="D48" s="773"/>
      <c r="E48" s="778"/>
      <c r="F48" s="778"/>
      <c r="G48" s="778"/>
      <c r="H48" s="778"/>
      <c r="I48" s="778"/>
      <c r="J48" s="778"/>
      <c r="K48" s="778"/>
      <c r="L48" s="778"/>
      <c r="M48" s="778"/>
      <c r="N48" s="778"/>
      <c r="O48" s="778"/>
      <c r="P48" s="778"/>
      <c r="Q48" s="778"/>
      <c r="R48" s="778"/>
      <c r="S48" s="778"/>
      <c r="T48" s="778"/>
      <c r="U48" s="778"/>
      <c r="V48" s="778"/>
      <c r="W48" s="778"/>
      <c r="X48" s="778"/>
      <c r="Y48" s="778"/>
      <c r="Z48" s="778"/>
      <c r="AA48" s="778"/>
      <c r="AB48" s="778"/>
      <c r="AC48" s="778"/>
      <c r="AD48" s="778"/>
      <c r="AE48" s="778"/>
      <c r="AF48" s="778"/>
      <c r="AG48" s="778"/>
      <c r="AH48" s="778"/>
      <c r="AI48" s="778"/>
      <c r="AJ48" s="778"/>
      <c r="AK48" s="778"/>
      <c r="AL48" s="778"/>
      <c r="AM48" s="778"/>
      <c r="AN48" s="778"/>
      <c r="AO48" s="778"/>
      <c r="AP48" s="778"/>
      <c r="AQ48" s="778"/>
      <c r="AR48" s="778"/>
      <c r="AS48" s="778"/>
      <c r="AT48" s="778"/>
      <c r="AU48" s="778"/>
      <c r="AV48" s="778"/>
      <c r="AW48" s="778"/>
      <c r="AX48" s="778"/>
      <c r="AY48" s="778"/>
      <c r="AZ48" s="778"/>
      <c r="BA48" s="778"/>
      <c r="BB48" s="778"/>
      <c r="BC48" s="778"/>
      <c r="BD48" s="778"/>
      <c r="BE48" s="778"/>
      <c r="BF48" s="778"/>
      <c r="BG48" s="778"/>
      <c r="BH48" s="778"/>
      <c r="BI48" s="778"/>
      <c r="BJ48" s="778"/>
      <c r="BK48" s="778"/>
      <c r="BL48" s="778"/>
      <c r="BM48" s="778"/>
      <c r="BN48" s="778"/>
      <c r="BO48" s="778"/>
      <c r="BP48" s="778"/>
      <c r="BQ48" s="778"/>
      <c r="BR48" s="778"/>
      <c r="BS48" s="778"/>
      <c r="BT48" s="778"/>
      <c r="BU48" s="778"/>
      <c r="BV48" s="778"/>
      <c r="BW48" s="778"/>
      <c r="BX48" s="778"/>
      <c r="BY48" s="778"/>
      <c r="BZ48" s="778"/>
      <c r="CA48" s="778"/>
      <c r="CB48" s="778"/>
      <c r="CC48" s="778"/>
      <c r="CD48" s="778"/>
      <c r="CE48" s="778"/>
      <c r="CF48" s="778"/>
      <c r="CG48" s="778"/>
      <c r="CH48" s="778"/>
      <c r="CI48" s="778"/>
      <c r="CJ48" s="778"/>
      <c r="CK48" s="778"/>
      <c r="CL48" s="778"/>
      <c r="CM48" s="778"/>
      <c r="CN48" s="778"/>
      <c r="CO48" s="778"/>
      <c r="CP48" s="778"/>
      <c r="CQ48" s="778"/>
      <c r="CR48" s="778"/>
      <c r="CS48" s="778"/>
      <c r="CT48" s="778"/>
      <c r="CU48" s="778"/>
      <c r="CV48" s="778"/>
      <c r="CW48" s="778"/>
      <c r="CX48" s="778"/>
      <c r="CY48" s="778"/>
      <c r="CZ48" s="778"/>
      <c r="DA48" s="778"/>
      <c r="DB48" s="778"/>
      <c r="DC48" s="778"/>
      <c r="DD48" s="778"/>
      <c r="DE48" s="778"/>
      <c r="DF48" s="778"/>
      <c r="DG48" s="778"/>
      <c r="DH48" s="778"/>
      <c r="DI48" s="778"/>
      <c r="DJ48" s="778"/>
      <c r="DK48" s="778"/>
      <c r="DL48" s="778"/>
      <c r="DM48" s="778"/>
      <c r="DN48" s="778"/>
      <c r="DO48" s="778"/>
      <c r="DP48" s="778"/>
      <c r="DQ48" s="778"/>
      <c r="DR48" s="778"/>
      <c r="DS48" s="778"/>
      <c r="DT48" s="778"/>
      <c r="DU48" s="778"/>
      <c r="DV48" s="778"/>
      <c r="DW48" s="778"/>
      <c r="DX48" s="778"/>
      <c r="DY48" s="778"/>
      <c r="DZ48" s="778"/>
      <c r="EA48" s="778"/>
      <c r="EB48" s="778"/>
      <c r="EC48" s="778"/>
      <c r="ED48" s="778"/>
      <c r="EE48" s="778"/>
      <c r="EF48" s="778"/>
      <c r="EG48" s="778"/>
      <c r="EH48" s="778"/>
      <c r="EI48" s="773"/>
      <c r="EJ48" s="773"/>
      <c r="EK48" s="773"/>
      <c r="EL48" s="773"/>
      <c r="EM48" s="773"/>
      <c r="EN48" s="773"/>
      <c r="EO48" s="773"/>
      <c r="EP48" s="773"/>
      <c r="EQ48" s="773"/>
      <c r="ER48" s="773"/>
      <c r="ES48" s="773"/>
      <c r="ET48" s="773"/>
      <c r="EU48" s="773"/>
      <c r="EV48" s="773"/>
      <c r="EW48" s="773"/>
      <c r="EX48" s="773"/>
      <c r="EY48" s="773"/>
      <c r="EZ48" s="773"/>
      <c r="FA48" s="773"/>
      <c r="FB48" s="773"/>
      <c r="FC48" s="773"/>
      <c r="FD48" s="773"/>
      <c r="FE48" s="773"/>
      <c r="FF48" s="773"/>
      <c r="FG48" s="773"/>
      <c r="FH48" s="773"/>
      <c r="FI48" s="773"/>
      <c r="FJ48" s="773"/>
    </row>
    <row r="49" spans="2:166" s="772" customFormat="1" ht="12.75" customHeight="1" x14ac:dyDescent="0.3">
      <c r="B49" s="773"/>
      <c r="C49" s="773"/>
      <c r="D49" s="773"/>
      <c r="E49" s="778"/>
      <c r="F49" s="778"/>
      <c r="G49" s="778"/>
      <c r="H49" s="778"/>
      <c r="I49" s="778"/>
      <c r="J49" s="778"/>
      <c r="K49" s="778"/>
      <c r="L49" s="778"/>
      <c r="M49" s="778"/>
      <c r="N49" s="778"/>
      <c r="O49" s="778"/>
      <c r="P49" s="778"/>
      <c r="Q49" s="778"/>
      <c r="R49" s="778"/>
      <c r="S49" s="778"/>
      <c r="T49" s="778"/>
      <c r="U49" s="778"/>
      <c r="V49" s="778"/>
      <c r="W49" s="778"/>
      <c r="X49" s="778"/>
      <c r="Y49" s="778"/>
      <c r="Z49" s="778"/>
      <c r="AA49" s="778"/>
      <c r="AB49" s="778"/>
      <c r="AC49" s="778"/>
      <c r="AD49" s="778"/>
      <c r="AE49" s="778"/>
      <c r="AF49" s="778"/>
      <c r="AG49" s="778"/>
      <c r="AH49" s="778"/>
      <c r="AI49" s="778"/>
      <c r="AJ49" s="778"/>
      <c r="AK49" s="778"/>
      <c r="AL49" s="778"/>
      <c r="AM49" s="778"/>
      <c r="AN49" s="778"/>
      <c r="AO49" s="778"/>
      <c r="AP49" s="778"/>
      <c r="AQ49" s="778"/>
      <c r="AR49" s="778"/>
      <c r="AS49" s="778"/>
      <c r="AT49" s="778"/>
      <c r="AU49" s="778"/>
      <c r="AV49" s="778"/>
      <c r="AW49" s="778"/>
      <c r="AX49" s="778"/>
      <c r="AY49" s="778"/>
      <c r="AZ49" s="778"/>
      <c r="BA49" s="778"/>
      <c r="BB49" s="778"/>
      <c r="BC49" s="778"/>
      <c r="BD49" s="778"/>
      <c r="BE49" s="778"/>
      <c r="BF49" s="778"/>
      <c r="BG49" s="778"/>
      <c r="BH49" s="778"/>
      <c r="BI49" s="778"/>
      <c r="BJ49" s="778"/>
      <c r="BK49" s="778"/>
      <c r="BL49" s="778"/>
      <c r="BM49" s="778"/>
      <c r="BN49" s="778"/>
      <c r="BO49" s="778"/>
      <c r="BP49" s="778"/>
      <c r="BQ49" s="778"/>
      <c r="BR49" s="778"/>
      <c r="BS49" s="778"/>
      <c r="BT49" s="778"/>
      <c r="BU49" s="778"/>
      <c r="BV49" s="778"/>
      <c r="BW49" s="778"/>
      <c r="BX49" s="778"/>
      <c r="BY49" s="778"/>
      <c r="BZ49" s="778"/>
      <c r="CA49" s="778"/>
      <c r="CB49" s="778"/>
      <c r="CC49" s="778"/>
      <c r="CD49" s="778"/>
      <c r="CE49" s="778"/>
      <c r="CF49" s="778"/>
      <c r="CG49" s="778"/>
      <c r="CH49" s="778"/>
      <c r="CI49" s="778"/>
      <c r="CJ49" s="778"/>
      <c r="CK49" s="778"/>
      <c r="CL49" s="778"/>
      <c r="CM49" s="778"/>
      <c r="CN49" s="778"/>
      <c r="CO49" s="778"/>
      <c r="CP49" s="778"/>
      <c r="CQ49" s="778"/>
      <c r="CR49" s="778"/>
      <c r="CS49" s="778"/>
      <c r="CT49" s="778"/>
      <c r="CU49" s="778"/>
      <c r="CV49" s="778"/>
      <c r="CW49" s="778"/>
      <c r="CX49" s="778"/>
      <c r="CY49" s="778"/>
      <c r="CZ49" s="778"/>
      <c r="DA49" s="778"/>
      <c r="DB49" s="778"/>
      <c r="DC49" s="778"/>
      <c r="DD49" s="778"/>
      <c r="DE49" s="778"/>
      <c r="DF49" s="778"/>
      <c r="DG49" s="778"/>
      <c r="DH49" s="778"/>
      <c r="DI49" s="778"/>
      <c r="DJ49" s="778"/>
      <c r="DK49" s="778"/>
      <c r="DL49" s="778"/>
      <c r="DM49" s="778"/>
      <c r="DN49" s="778"/>
      <c r="DO49" s="778"/>
      <c r="DP49" s="778"/>
      <c r="DQ49" s="778"/>
      <c r="DR49" s="778"/>
      <c r="DS49" s="778"/>
      <c r="DT49" s="778"/>
      <c r="DU49" s="778"/>
      <c r="DV49" s="778"/>
      <c r="DW49" s="778"/>
      <c r="DX49" s="778"/>
      <c r="DY49" s="778"/>
      <c r="DZ49" s="778"/>
      <c r="EA49" s="778"/>
      <c r="EB49" s="778"/>
      <c r="EC49" s="778"/>
      <c r="ED49" s="778"/>
      <c r="EE49" s="778"/>
      <c r="EF49" s="778"/>
      <c r="EG49" s="778"/>
      <c r="EH49" s="778"/>
      <c r="EI49" s="773"/>
      <c r="EJ49" s="773"/>
      <c r="EK49" s="773"/>
      <c r="EL49" s="773"/>
      <c r="EM49" s="773"/>
      <c r="EN49" s="773"/>
      <c r="EO49" s="773"/>
      <c r="EP49" s="773"/>
      <c r="EQ49" s="773"/>
      <c r="ER49" s="773"/>
      <c r="ES49" s="773"/>
      <c r="ET49" s="773"/>
      <c r="EU49" s="773"/>
      <c r="EV49" s="773"/>
      <c r="EW49" s="773"/>
      <c r="EX49" s="773"/>
      <c r="EY49" s="773"/>
      <c r="EZ49" s="773"/>
      <c r="FA49" s="773"/>
      <c r="FB49" s="773"/>
      <c r="FC49" s="773"/>
      <c r="FD49" s="773"/>
      <c r="FE49" s="773"/>
      <c r="FF49" s="773"/>
      <c r="FG49" s="773"/>
      <c r="FH49" s="773"/>
      <c r="FI49" s="773"/>
      <c r="FJ49" s="773"/>
    </row>
    <row r="50" spans="2:166" s="772" customFormat="1" ht="12.75" customHeight="1" x14ac:dyDescent="0.3">
      <c r="B50" s="773"/>
      <c r="C50" s="773"/>
      <c r="D50" s="773"/>
      <c r="E50" s="778"/>
      <c r="F50" s="778"/>
      <c r="G50" s="778"/>
      <c r="H50" s="778"/>
      <c r="I50" s="778"/>
      <c r="J50" s="778"/>
      <c r="K50" s="778"/>
      <c r="L50" s="778"/>
      <c r="M50" s="778"/>
      <c r="N50" s="778"/>
      <c r="O50" s="778"/>
      <c r="P50" s="778"/>
      <c r="Q50" s="778"/>
      <c r="R50" s="778"/>
      <c r="S50" s="778"/>
      <c r="T50" s="778"/>
      <c r="U50" s="778"/>
      <c r="V50" s="778"/>
      <c r="W50" s="778"/>
      <c r="X50" s="778"/>
      <c r="Y50" s="778"/>
      <c r="Z50" s="778"/>
      <c r="AA50" s="778"/>
      <c r="AB50" s="778"/>
      <c r="AC50" s="778"/>
      <c r="AD50" s="778"/>
      <c r="AE50" s="778"/>
      <c r="AF50" s="778"/>
      <c r="AG50" s="778"/>
      <c r="AH50" s="778"/>
      <c r="AI50" s="778"/>
      <c r="AJ50" s="778"/>
      <c r="AK50" s="778"/>
      <c r="AL50" s="778"/>
      <c r="AM50" s="778"/>
      <c r="AN50" s="778"/>
      <c r="AO50" s="778"/>
      <c r="AP50" s="778"/>
      <c r="AQ50" s="778"/>
      <c r="AR50" s="778"/>
      <c r="AS50" s="778"/>
      <c r="AT50" s="778"/>
      <c r="AU50" s="778"/>
      <c r="AV50" s="778"/>
      <c r="AW50" s="778"/>
      <c r="AX50" s="778"/>
      <c r="AY50" s="778"/>
      <c r="AZ50" s="778"/>
      <c r="BA50" s="778"/>
      <c r="BB50" s="778"/>
      <c r="BC50" s="778"/>
      <c r="BD50" s="778"/>
      <c r="BE50" s="778"/>
      <c r="BF50" s="778"/>
      <c r="BG50" s="778"/>
      <c r="BH50" s="778"/>
      <c r="BI50" s="778"/>
      <c r="BJ50" s="778"/>
      <c r="BK50" s="778"/>
      <c r="BL50" s="778"/>
      <c r="BM50" s="778"/>
      <c r="BN50" s="778"/>
      <c r="BO50" s="778"/>
      <c r="BP50" s="778"/>
      <c r="BQ50" s="778"/>
      <c r="BR50" s="778"/>
      <c r="BS50" s="778"/>
      <c r="BT50" s="778"/>
      <c r="BU50" s="778"/>
      <c r="BV50" s="778"/>
      <c r="BW50" s="778"/>
      <c r="BX50" s="778"/>
      <c r="BY50" s="778"/>
      <c r="BZ50" s="778"/>
      <c r="CA50" s="778"/>
      <c r="CB50" s="778"/>
      <c r="CC50" s="778"/>
      <c r="CD50" s="778"/>
      <c r="CE50" s="778"/>
      <c r="CF50" s="778"/>
      <c r="CG50" s="778"/>
      <c r="CH50" s="778"/>
      <c r="CI50" s="778"/>
      <c r="CJ50" s="778"/>
      <c r="CK50" s="778"/>
      <c r="CL50" s="778"/>
      <c r="CM50" s="778"/>
      <c r="CN50" s="778"/>
      <c r="CO50" s="778"/>
      <c r="CP50" s="778"/>
      <c r="CQ50" s="778"/>
      <c r="CR50" s="778"/>
      <c r="CS50" s="778"/>
      <c r="CT50" s="778"/>
      <c r="CU50" s="778"/>
      <c r="CV50" s="778"/>
      <c r="CW50" s="778"/>
      <c r="CX50" s="778"/>
      <c r="CY50" s="778"/>
      <c r="CZ50" s="778"/>
      <c r="DA50" s="778"/>
      <c r="DB50" s="778"/>
      <c r="DC50" s="778"/>
      <c r="DD50" s="778"/>
      <c r="DE50" s="778"/>
      <c r="DF50" s="778"/>
      <c r="DG50" s="778"/>
      <c r="DH50" s="778"/>
      <c r="DI50" s="778"/>
      <c r="DJ50" s="778"/>
      <c r="DK50" s="778"/>
      <c r="DL50" s="778"/>
      <c r="DM50" s="778"/>
      <c r="DN50" s="778"/>
      <c r="DO50" s="778"/>
      <c r="DP50" s="778"/>
      <c r="DQ50" s="778"/>
      <c r="DR50" s="778"/>
      <c r="DS50" s="778"/>
      <c r="DT50" s="778"/>
      <c r="DU50" s="778"/>
      <c r="DV50" s="778"/>
      <c r="DW50" s="778"/>
      <c r="DX50" s="778"/>
      <c r="DY50" s="778"/>
      <c r="DZ50" s="778"/>
      <c r="EA50" s="778"/>
      <c r="EB50" s="778"/>
      <c r="EC50" s="778"/>
      <c r="ED50" s="778"/>
      <c r="EE50" s="778"/>
      <c r="EF50" s="778"/>
      <c r="EG50" s="778"/>
      <c r="EH50" s="778"/>
      <c r="EI50" s="773"/>
      <c r="EJ50" s="773"/>
      <c r="EK50" s="773"/>
      <c r="EL50" s="773"/>
      <c r="EM50" s="773"/>
      <c r="EN50" s="773"/>
      <c r="EO50" s="773"/>
      <c r="EP50" s="773"/>
      <c r="EQ50" s="773"/>
      <c r="ER50" s="773"/>
      <c r="ES50" s="773"/>
      <c r="ET50" s="773"/>
      <c r="EU50" s="773"/>
      <c r="EV50" s="773"/>
      <c r="EW50" s="773"/>
      <c r="EX50" s="773"/>
      <c r="EY50" s="773"/>
      <c r="EZ50" s="773"/>
      <c r="FA50" s="773"/>
      <c r="FB50" s="773"/>
      <c r="FC50" s="773"/>
      <c r="FD50" s="773"/>
      <c r="FE50" s="773"/>
      <c r="FF50" s="773"/>
      <c r="FG50" s="773"/>
      <c r="FH50" s="773"/>
      <c r="FI50" s="773"/>
      <c r="FJ50" s="773"/>
    </row>
    <row r="51" spans="2:166" s="772" customFormat="1" ht="12.75" customHeight="1" x14ac:dyDescent="0.3">
      <c r="B51" s="773"/>
      <c r="C51" s="773"/>
      <c r="D51" s="773"/>
      <c r="E51" s="778"/>
      <c r="F51" s="778"/>
      <c r="G51" s="778"/>
      <c r="H51" s="778"/>
      <c r="I51" s="778"/>
      <c r="J51" s="778"/>
      <c r="K51" s="778"/>
      <c r="L51" s="778"/>
      <c r="M51" s="778"/>
      <c r="N51" s="778"/>
      <c r="O51" s="778"/>
      <c r="P51" s="778"/>
      <c r="Q51" s="778"/>
      <c r="R51" s="778"/>
      <c r="S51" s="778"/>
      <c r="T51" s="778"/>
      <c r="U51" s="778"/>
      <c r="V51" s="778"/>
      <c r="W51" s="778"/>
      <c r="X51" s="778"/>
      <c r="Y51" s="778"/>
      <c r="Z51" s="778"/>
      <c r="AA51" s="778"/>
      <c r="AB51" s="778"/>
      <c r="AC51" s="778"/>
      <c r="AD51" s="778"/>
      <c r="AE51" s="778"/>
      <c r="AF51" s="778"/>
      <c r="AG51" s="778"/>
      <c r="AH51" s="778"/>
      <c r="AI51" s="778"/>
      <c r="AJ51" s="778"/>
      <c r="AK51" s="778"/>
      <c r="AL51" s="778"/>
      <c r="AM51" s="778"/>
      <c r="AN51" s="778"/>
      <c r="AO51" s="778"/>
      <c r="AP51" s="778"/>
      <c r="AQ51" s="778"/>
      <c r="AR51" s="778"/>
      <c r="AS51" s="778"/>
      <c r="AT51" s="778"/>
      <c r="AU51" s="778"/>
      <c r="AV51" s="778"/>
      <c r="AW51" s="778"/>
      <c r="AX51" s="778"/>
      <c r="AY51" s="778"/>
      <c r="AZ51" s="778"/>
      <c r="BA51" s="778"/>
      <c r="BB51" s="778"/>
      <c r="BC51" s="778"/>
      <c r="BD51" s="778"/>
      <c r="BE51" s="778"/>
      <c r="BF51" s="778"/>
      <c r="BG51" s="778"/>
      <c r="BH51" s="778"/>
      <c r="BI51" s="778"/>
      <c r="BJ51" s="778"/>
      <c r="BK51" s="778"/>
      <c r="BL51" s="778"/>
      <c r="BM51" s="778"/>
      <c r="BN51" s="778"/>
      <c r="BO51" s="778"/>
      <c r="BP51" s="778"/>
      <c r="BQ51" s="778"/>
      <c r="BR51" s="778"/>
      <c r="BS51" s="778"/>
      <c r="BT51" s="778"/>
      <c r="BU51" s="778"/>
      <c r="BV51" s="778"/>
      <c r="BW51" s="778"/>
      <c r="BX51" s="778"/>
      <c r="BY51" s="778"/>
      <c r="BZ51" s="778"/>
      <c r="CA51" s="778"/>
      <c r="CB51" s="778"/>
      <c r="CC51" s="778"/>
      <c r="CD51" s="778"/>
      <c r="CE51" s="778"/>
      <c r="CF51" s="778"/>
      <c r="CG51" s="778"/>
      <c r="CH51" s="778"/>
      <c r="CI51" s="778"/>
      <c r="CJ51" s="778"/>
      <c r="CK51" s="778"/>
      <c r="CL51" s="778"/>
      <c r="CM51" s="778"/>
      <c r="CN51" s="778"/>
      <c r="CO51" s="778"/>
      <c r="CP51" s="778"/>
      <c r="CQ51" s="778"/>
      <c r="CR51" s="778"/>
      <c r="CS51" s="778"/>
      <c r="CT51" s="778"/>
      <c r="CU51" s="778"/>
      <c r="CV51" s="778"/>
      <c r="CW51" s="778"/>
      <c r="CX51" s="778"/>
      <c r="CY51" s="778"/>
      <c r="CZ51" s="778"/>
      <c r="DA51" s="778"/>
      <c r="DB51" s="778"/>
      <c r="DC51" s="778"/>
      <c r="DD51" s="778"/>
      <c r="DE51" s="778"/>
      <c r="DF51" s="778"/>
      <c r="DG51" s="778"/>
      <c r="DH51" s="778"/>
      <c r="DI51" s="778"/>
      <c r="DJ51" s="778"/>
      <c r="DK51" s="778"/>
      <c r="DL51" s="778"/>
      <c r="DM51" s="778"/>
      <c r="DN51" s="778"/>
      <c r="DO51" s="778"/>
      <c r="DP51" s="778"/>
      <c r="DQ51" s="778"/>
      <c r="DR51" s="778"/>
      <c r="DS51" s="778"/>
      <c r="DT51" s="778"/>
      <c r="DU51" s="778"/>
      <c r="DV51" s="778"/>
      <c r="DW51" s="778"/>
      <c r="DX51" s="778"/>
      <c r="DY51" s="778"/>
      <c r="DZ51" s="778"/>
      <c r="EA51" s="778"/>
      <c r="EB51" s="778"/>
      <c r="EC51" s="778"/>
      <c r="ED51" s="778"/>
      <c r="EE51" s="778"/>
      <c r="EF51" s="778"/>
      <c r="EG51" s="778"/>
      <c r="EH51" s="778"/>
      <c r="EI51" s="773"/>
      <c r="EJ51" s="773"/>
      <c r="EK51" s="773"/>
      <c r="EL51" s="773"/>
      <c r="EM51" s="773"/>
      <c r="EN51" s="773"/>
      <c r="EO51" s="773"/>
      <c r="EP51" s="773"/>
      <c r="EQ51" s="773"/>
      <c r="ER51" s="773"/>
      <c r="ES51" s="773"/>
      <c r="ET51" s="773"/>
      <c r="EU51" s="773"/>
      <c r="EV51" s="773"/>
      <c r="EW51" s="773"/>
      <c r="EX51" s="773"/>
      <c r="EY51" s="773"/>
      <c r="EZ51" s="773"/>
      <c r="FA51" s="773"/>
      <c r="FB51" s="773"/>
      <c r="FC51" s="773"/>
      <c r="FD51" s="773"/>
      <c r="FE51" s="773"/>
      <c r="FF51" s="773"/>
      <c r="FG51" s="773"/>
      <c r="FH51" s="773"/>
      <c r="FI51" s="773"/>
      <c r="FJ51" s="773"/>
    </row>
    <row r="52" spans="2:166" s="772" customFormat="1" ht="12.75" customHeight="1" x14ac:dyDescent="0.3">
      <c r="B52" s="773"/>
      <c r="C52" s="773"/>
      <c r="D52" s="773"/>
      <c r="E52" s="778"/>
      <c r="F52" s="778"/>
      <c r="G52" s="778"/>
      <c r="H52" s="778"/>
      <c r="I52" s="778"/>
      <c r="J52" s="778"/>
      <c r="K52" s="778"/>
      <c r="L52" s="778"/>
      <c r="M52" s="778"/>
      <c r="N52" s="778"/>
      <c r="O52" s="778"/>
      <c r="P52" s="778"/>
      <c r="Q52" s="778"/>
      <c r="R52" s="778"/>
      <c r="S52" s="778"/>
      <c r="T52" s="778"/>
      <c r="U52" s="778"/>
      <c r="V52" s="778"/>
      <c r="W52" s="778"/>
      <c r="X52" s="778"/>
      <c r="Y52" s="778"/>
      <c r="Z52" s="778"/>
      <c r="AA52" s="778"/>
      <c r="AB52" s="778"/>
      <c r="AC52" s="778"/>
      <c r="AD52" s="778"/>
      <c r="AE52" s="778"/>
      <c r="AF52" s="778"/>
      <c r="AG52" s="778"/>
      <c r="AH52" s="778"/>
      <c r="AI52" s="778"/>
      <c r="AJ52" s="778"/>
      <c r="AK52" s="778"/>
      <c r="AL52" s="778"/>
      <c r="AM52" s="778"/>
      <c r="AN52" s="778"/>
      <c r="AO52" s="778"/>
      <c r="AP52" s="778"/>
      <c r="AQ52" s="778"/>
      <c r="AR52" s="778"/>
      <c r="AS52" s="778"/>
      <c r="AT52" s="778"/>
      <c r="AU52" s="778"/>
      <c r="AV52" s="778"/>
      <c r="AW52" s="778"/>
      <c r="AX52" s="778"/>
      <c r="AY52" s="778"/>
      <c r="AZ52" s="778"/>
      <c r="BA52" s="778"/>
      <c r="BB52" s="778"/>
      <c r="BC52" s="778"/>
      <c r="BD52" s="778"/>
      <c r="BE52" s="778"/>
      <c r="BF52" s="778"/>
      <c r="BG52" s="778"/>
      <c r="BH52" s="778"/>
      <c r="BI52" s="778"/>
      <c r="BJ52" s="778"/>
      <c r="BK52" s="778"/>
      <c r="BL52" s="778"/>
      <c r="BM52" s="778"/>
      <c r="BN52" s="778"/>
      <c r="BO52" s="778"/>
      <c r="BP52" s="778"/>
      <c r="BQ52" s="778"/>
      <c r="BR52" s="778"/>
      <c r="BS52" s="778"/>
      <c r="BT52" s="778"/>
      <c r="BU52" s="778"/>
      <c r="BV52" s="778"/>
      <c r="BW52" s="778"/>
      <c r="BX52" s="778"/>
      <c r="BY52" s="778"/>
      <c r="BZ52" s="778"/>
      <c r="CA52" s="778"/>
      <c r="CB52" s="778"/>
      <c r="CC52" s="778"/>
      <c r="CD52" s="778"/>
      <c r="CE52" s="778"/>
      <c r="CF52" s="778"/>
      <c r="CG52" s="778"/>
      <c r="CH52" s="778"/>
      <c r="CI52" s="778"/>
      <c r="CJ52" s="778"/>
      <c r="CK52" s="778"/>
      <c r="CL52" s="778"/>
      <c r="CM52" s="778"/>
      <c r="CN52" s="778"/>
      <c r="CO52" s="778"/>
      <c r="CP52" s="778"/>
      <c r="CQ52" s="778"/>
      <c r="CR52" s="778"/>
      <c r="CS52" s="778"/>
      <c r="CT52" s="778"/>
      <c r="CU52" s="778"/>
      <c r="CV52" s="778"/>
      <c r="CW52" s="778"/>
      <c r="CX52" s="778"/>
      <c r="CY52" s="778"/>
      <c r="CZ52" s="778"/>
      <c r="DA52" s="778"/>
      <c r="DB52" s="778"/>
      <c r="DC52" s="778"/>
      <c r="DD52" s="778"/>
      <c r="DE52" s="778"/>
      <c r="DF52" s="778"/>
      <c r="DG52" s="778"/>
      <c r="DH52" s="778"/>
      <c r="DI52" s="778"/>
      <c r="DJ52" s="778"/>
      <c r="DK52" s="778"/>
      <c r="DL52" s="778"/>
      <c r="DM52" s="778"/>
      <c r="DN52" s="778"/>
      <c r="DO52" s="778"/>
      <c r="DP52" s="778"/>
      <c r="DQ52" s="778"/>
      <c r="DR52" s="778"/>
      <c r="DS52" s="778"/>
      <c r="DT52" s="778"/>
      <c r="DU52" s="778"/>
      <c r="DV52" s="778"/>
      <c r="DW52" s="778"/>
      <c r="DX52" s="778"/>
      <c r="DY52" s="778"/>
      <c r="DZ52" s="778"/>
      <c r="EA52" s="778"/>
      <c r="EB52" s="778"/>
      <c r="EC52" s="778"/>
      <c r="ED52" s="778"/>
      <c r="EE52" s="778"/>
      <c r="EF52" s="778"/>
      <c r="EG52" s="778"/>
      <c r="EH52" s="778"/>
      <c r="EI52" s="773"/>
      <c r="EJ52" s="773"/>
      <c r="EK52" s="773"/>
      <c r="EL52" s="773"/>
      <c r="EM52" s="773"/>
      <c r="EN52" s="773"/>
      <c r="EO52" s="773"/>
      <c r="EP52" s="773"/>
      <c r="EQ52" s="773"/>
      <c r="ER52" s="773"/>
      <c r="ES52" s="773"/>
      <c r="ET52" s="773"/>
      <c r="EU52" s="773"/>
      <c r="EV52" s="773"/>
      <c r="EW52" s="773"/>
      <c r="EX52" s="773"/>
      <c r="EY52" s="773"/>
      <c r="EZ52" s="773"/>
      <c r="FA52" s="773"/>
      <c r="FB52" s="773"/>
      <c r="FC52" s="773"/>
      <c r="FD52" s="773"/>
      <c r="FE52" s="773"/>
      <c r="FF52" s="773"/>
      <c r="FG52" s="773"/>
      <c r="FH52" s="773"/>
      <c r="FI52" s="773"/>
      <c r="FJ52" s="773"/>
    </row>
    <row r="53" spans="2:166" s="772" customFormat="1" ht="12.75" customHeight="1" x14ac:dyDescent="0.3">
      <c r="B53" s="773"/>
      <c r="C53" s="773"/>
      <c r="D53" s="773"/>
      <c r="E53" s="778"/>
      <c r="F53" s="778"/>
      <c r="G53" s="778"/>
      <c r="H53" s="778"/>
      <c r="I53" s="778"/>
      <c r="J53" s="778"/>
      <c r="K53" s="778"/>
      <c r="L53" s="778"/>
      <c r="M53" s="778"/>
      <c r="N53" s="778"/>
      <c r="O53" s="778"/>
      <c r="P53" s="778"/>
      <c r="Q53" s="778"/>
      <c r="R53" s="778"/>
      <c r="S53" s="778"/>
      <c r="T53" s="778"/>
      <c r="U53" s="778"/>
      <c r="V53" s="778"/>
      <c r="W53" s="778"/>
      <c r="X53" s="778"/>
      <c r="Y53" s="778"/>
      <c r="Z53" s="778"/>
      <c r="AA53" s="778"/>
      <c r="AB53" s="778"/>
      <c r="AC53" s="778"/>
      <c r="AD53" s="778"/>
      <c r="AE53" s="778"/>
      <c r="AF53" s="778"/>
      <c r="AG53" s="778"/>
      <c r="AH53" s="778"/>
      <c r="AI53" s="778"/>
      <c r="AJ53" s="778"/>
      <c r="AK53" s="778"/>
      <c r="AL53" s="778"/>
      <c r="AM53" s="778"/>
      <c r="AN53" s="778"/>
      <c r="AO53" s="778"/>
      <c r="AP53" s="778"/>
      <c r="AQ53" s="778"/>
      <c r="AR53" s="778"/>
      <c r="AS53" s="778"/>
      <c r="AT53" s="778"/>
      <c r="AU53" s="778"/>
      <c r="AV53" s="778"/>
      <c r="AW53" s="778"/>
      <c r="AX53" s="778"/>
      <c r="AY53" s="778"/>
      <c r="AZ53" s="778"/>
      <c r="BA53" s="778"/>
      <c r="BB53" s="778"/>
      <c r="BC53" s="778"/>
      <c r="BD53" s="778"/>
      <c r="BE53" s="778"/>
      <c r="BF53" s="778"/>
      <c r="BG53" s="778"/>
      <c r="BH53" s="778"/>
      <c r="BI53" s="778"/>
      <c r="BJ53" s="778"/>
      <c r="BK53" s="778"/>
      <c r="BL53" s="778"/>
      <c r="BM53" s="778"/>
      <c r="BN53" s="778"/>
      <c r="BO53" s="778"/>
      <c r="BP53" s="778"/>
      <c r="BQ53" s="778"/>
      <c r="BR53" s="778"/>
      <c r="BS53" s="778"/>
      <c r="BT53" s="778"/>
      <c r="BU53" s="778"/>
      <c r="BV53" s="778"/>
      <c r="BW53" s="778"/>
      <c r="BX53" s="778"/>
      <c r="BY53" s="778"/>
      <c r="BZ53" s="778"/>
      <c r="CA53" s="778"/>
      <c r="CB53" s="778"/>
      <c r="CC53" s="778"/>
      <c r="CD53" s="778"/>
      <c r="CE53" s="778"/>
      <c r="CF53" s="778"/>
      <c r="CG53" s="778"/>
      <c r="CH53" s="778"/>
      <c r="CI53" s="778"/>
      <c r="CJ53" s="778"/>
      <c r="CK53" s="778"/>
      <c r="CL53" s="778"/>
      <c r="CM53" s="778"/>
      <c r="CN53" s="778"/>
      <c r="CO53" s="778"/>
      <c r="CP53" s="778"/>
      <c r="CQ53" s="778"/>
      <c r="CR53" s="778"/>
      <c r="CS53" s="778"/>
      <c r="CT53" s="778"/>
      <c r="CU53" s="778"/>
      <c r="CV53" s="778"/>
      <c r="CW53" s="778"/>
      <c r="CX53" s="778"/>
      <c r="CY53" s="778"/>
      <c r="CZ53" s="778"/>
      <c r="DA53" s="778"/>
      <c r="DB53" s="778"/>
      <c r="DC53" s="778"/>
      <c r="DD53" s="778"/>
      <c r="DE53" s="778"/>
      <c r="DF53" s="778"/>
      <c r="DG53" s="778"/>
      <c r="DH53" s="778"/>
      <c r="DI53" s="778"/>
      <c r="DJ53" s="778"/>
      <c r="DK53" s="778"/>
      <c r="DL53" s="778"/>
      <c r="DM53" s="778"/>
      <c r="DN53" s="778"/>
      <c r="DO53" s="778"/>
      <c r="DP53" s="778"/>
      <c r="DQ53" s="778"/>
      <c r="DR53" s="778"/>
      <c r="DS53" s="778"/>
      <c r="DT53" s="778"/>
      <c r="DU53" s="778"/>
      <c r="DV53" s="778"/>
      <c r="DW53" s="778"/>
      <c r="DX53" s="778"/>
      <c r="DY53" s="778"/>
      <c r="DZ53" s="778"/>
      <c r="EA53" s="778"/>
      <c r="EB53" s="778"/>
      <c r="EC53" s="778"/>
      <c r="ED53" s="778"/>
      <c r="EE53" s="778"/>
      <c r="EF53" s="778"/>
      <c r="EG53" s="778"/>
      <c r="EH53" s="778"/>
      <c r="EI53" s="773"/>
      <c r="EJ53" s="773"/>
      <c r="EK53" s="773"/>
      <c r="EL53" s="773"/>
      <c r="EM53" s="773"/>
      <c r="EN53" s="773"/>
      <c r="EO53" s="773"/>
      <c r="EP53" s="773"/>
      <c r="EQ53" s="773"/>
      <c r="ER53" s="773"/>
      <c r="ES53" s="773"/>
      <c r="ET53" s="773"/>
      <c r="EU53" s="773"/>
      <c r="EV53" s="773"/>
      <c r="EW53" s="773"/>
      <c r="EX53" s="773"/>
      <c r="EY53" s="773"/>
      <c r="EZ53" s="773"/>
      <c r="FA53" s="773"/>
      <c r="FB53" s="773"/>
      <c r="FC53" s="773"/>
      <c r="FD53" s="773"/>
      <c r="FE53" s="773"/>
      <c r="FF53" s="773"/>
      <c r="FG53" s="773"/>
      <c r="FH53" s="773"/>
      <c r="FI53" s="773"/>
      <c r="FJ53" s="773"/>
    </row>
    <row r="54" spans="2:166" s="772" customFormat="1" ht="12.75" customHeight="1" x14ac:dyDescent="0.3">
      <c r="B54" s="773"/>
      <c r="C54" s="773"/>
      <c r="D54" s="773"/>
      <c r="E54" s="778"/>
      <c r="F54" s="778"/>
      <c r="G54" s="778"/>
      <c r="H54" s="778"/>
      <c r="I54" s="778"/>
      <c r="J54" s="778"/>
      <c r="K54" s="778"/>
      <c r="L54" s="778"/>
      <c r="M54" s="778"/>
      <c r="N54" s="778"/>
      <c r="O54" s="778"/>
      <c r="P54" s="778"/>
      <c r="Q54" s="778"/>
      <c r="R54" s="778"/>
      <c r="S54" s="778"/>
      <c r="T54" s="778"/>
      <c r="U54" s="778"/>
      <c r="V54" s="778"/>
      <c r="W54" s="778"/>
      <c r="X54" s="778"/>
      <c r="Y54" s="778"/>
      <c r="Z54" s="778"/>
      <c r="AA54" s="778"/>
      <c r="AB54" s="778"/>
      <c r="AC54" s="778"/>
      <c r="AD54" s="778"/>
      <c r="AE54" s="778"/>
      <c r="AF54" s="778"/>
      <c r="AG54" s="778"/>
      <c r="AH54" s="778"/>
      <c r="AI54" s="778"/>
      <c r="AJ54" s="778"/>
      <c r="AK54" s="778"/>
      <c r="AL54" s="778"/>
      <c r="AM54" s="778"/>
      <c r="AN54" s="778"/>
      <c r="AO54" s="778"/>
      <c r="AP54" s="778"/>
      <c r="AQ54" s="778"/>
      <c r="AR54" s="778"/>
      <c r="AS54" s="778"/>
      <c r="AT54" s="778"/>
      <c r="AU54" s="778"/>
      <c r="AV54" s="778"/>
      <c r="AW54" s="778"/>
      <c r="AX54" s="778"/>
      <c r="AY54" s="778"/>
      <c r="AZ54" s="778"/>
      <c r="BA54" s="778"/>
      <c r="BB54" s="778"/>
      <c r="BC54" s="778"/>
      <c r="BD54" s="778"/>
      <c r="BE54" s="778"/>
      <c r="BF54" s="778"/>
      <c r="BG54" s="778"/>
      <c r="BH54" s="778"/>
      <c r="BI54" s="778"/>
      <c r="BJ54" s="778"/>
      <c r="BK54" s="778"/>
      <c r="BL54" s="778"/>
      <c r="BM54" s="778"/>
      <c r="BN54" s="778"/>
      <c r="BO54" s="778"/>
      <c r="BP54" s="778"/>
      <c r="BQ54" s="778"/>
      <c r="BR54" s="778"/>
      <c r="BS54" s="778"/>
      <c r="BT54" s="778"/>
      <c r="BU54" s="778"/>
      <c r="BV54" s="778"/>
      <c r="BW54" s="778"/>
      <c r="BX54" s="778"/>
      <c r="BY54" s="778"/>
      <c r="BZ54" s="778"/>
      <c r="CA54" s="778"/>
      <c r="CB54" s="778"/>
      <c r="CC54" s="778"/>
      <c r="CD54" s="778"/>
      <c r="CE54" s="778"/>
      <c r="CF54" s="778"/>
      <c r="CG54" s="778"/>
      <c r="CH54" s="778"/>
      <c r="CI54" s="778"/>
      <c r="CJ54" s="778"/>
      <c r="CK54" s="778"/>
      <c r="CL54" s="778"/>
      <c r="CM54" s="778"/>
      <c r="CN54" s="778"/>
      <c r="CO54" s="778"/>
      <c r="CP54" s="778"/>
      <c r="CQ54" s="778"/>
      <c r="CR54" s="778"/>
      <c r="CS54" s="778"/>
      <c r="CT54" s="778"/>
      <c r="CU54" s="778"/>
      <c r="CV54" s="778"/>
      <c r="CW54" s="778"/>
      <c r="CX54" s="778"/>
      <c r="CY54" s="778"/>
      <c r="CZ54" s="778"/>
      <c r="DA54" s="778"/>
      <c r="DB54" s="778"/>
      <c r="DC54" s="778"/>
      <c r="DD54" s="778"/>
      <c r="DE54" s="778"/>
      <c r="DF54" s="778"/>
      <c r="DG54" s="778"/>
      <c r="DH54" s="778"/>
      <c r="DI54" s="778"/>
      <c r="DJ54" s="778"/>
      <c r="DK54" s="778"/>
      <c r="DL54" s="778"/>
      <c r="DM54" s="778"/>
      <c r="DN54" s="778"/>
      <c r="DO54" s="778"/>
      <c r="DP54" s="778"/>
      <c r="DQ54" s="778"/>
      <c r="DR54" s="778"/>
      <c r="DS54" s="778"/>
      <c r="DT54" s="778"/>
      <c r="DU54" s="778"/>
      <c r="DV54" s="778"/>
      <c r="DW54" s="778"/>
      <c r="DX54" s="778"/>
      <c r="DY54" s="778"/>
      <c r="DZ54" s="778"/>
      <c r="EA54" s="778"/>
      <c r="EB54" s="778"/>
      <c r="EC54" s="778"/>
      <c r="ED54" s="778"/>
      <c r="EE54" s="778"/>
      <c r="EF54" s="778"/>
      <c r="EG54" s="778"/>
      <c r="EH54" s="778"/>
      <c r="EI54" s="773"/>
      <c r="EJ54" s="773"/>
      <c r="EK54" s="773"/>
      <c r="EL54" s="773"/>
      <c r="EM54" s="773"/>
      <c r="EN54" s="773"/>
      <c r="EO54" s="773"/>
      <c r="EP54" s="773"/>
      <c r="EQ54" s="773"/>
      <c r="ER54" s="773"/>
      <c r="ES54" s="773"/>
      <c r="ET54" s="773"/>
      <c r="EU54" s="773"/>
      <c r="EV54" s="773"/>
      <c r="EW54" s="773"/>
      <c r="EX54" s="773"/>
      <c r="EY54" s="773"/>
      <c r="EZ54" s="773"/>
      <c r="FA54" s="773"/>
      <c r="FB54" s="773"/>
      <c r="FC54" s="773"/>
      <c r="FD54" s="773"/>
      <c r="FE54" s="773"/>
      <c r="FF54" s="773"/>
      <c r="FG54" s="773"/>
      <c r="FH54" s="773"/>
      <c r="FI54" s="773"/>
      <c r="FJ54" s="773"/>
    </row>
    <row r="55" spans="2:166" s="772" customFormat="1" ht="12.75" customHeight="1" x14ac:dyDescent="0.3">
      <c r="B55" s="773"/>
      <c r="C55" s="773"/>
      <c r="D55" s="773"/>
      <c r="E55" s="778"/>
      <c r="F55" s="778"/>
      <c r="G55" s="778"/>
      <c r="H55" s="778"/>
      <c r="I55" s="778"/>
      <c r="J55" s="778"/>
      <c r="K55" s="778"/>
      <c r="L55" s="778"/>
      <c r="M55" s="778"/>
      <c r="N55" s="778"/>
      <c r="O55" s="778"/>
      <c r="P55" s="778"/>
      <c r="Q55" s="778"/>
      <c r="R55" s="778"/>
      <c r="S55" s="778"/>
      <c r="T55" s="778"/>
      <c r="U55" s="778"/>
      <c r="V55" s="778"/>
      <c r="W55" s="778"/>
      <c r="X55" s="778"/>
      <c r="Y55" s="778"/>
      <c r="Z55" s="778"/>
      <c r="AA55" s="778"/>
      <c r="AB55" s="778"/>
      <c r="AC55" s="778"/>
      <c r="AD55" s="778"/>
      <c r="AE55" s="778"/>
      <c r="AF55" s="778"/>
      <c r="AG55" s="778"/>
      <c r="AH55" s="778"/>
      <c r="AI55" s="778"/>
      <c r="AJ55" s="778"/>
      <c r="AK55" s="778"/>
      <c r="AL55" s="778"/>
      <c r="AM55" s="778"/>
      <c r="AN55" s="778"/>
      <c r="AO55" s="778"/>
      <c r="AP55" s="778"/>
      <c r="AQ55" s="778"/>
      <c r="AR55" s="778"/>
      <c r="AS55" s="778"/>
      <c r="AT55" s="778"/>
      <c r="AU55" s="778"/>
      <c r="AV55" s="778"/>
      <c r="AW55" s="778"/>
      <c r="AX55" s="778"/>
      <c r="AY55" s="778"/>
      <c r="AZ55" s="778"/>
      <c r="BA55" s="778"/>
      <c r="BB55" s="778"/>
      <c r="BC55" s="778"/>
      <c r="BD55" s="778"/>
      <c r="BE55" s="778"/>
      <c r="BF55" s="778"/>
      <c r="BG55" s="778"/>
      <c r="BH55" s="778"/>
      <c r="BI55" s="778"/>
      <c r="BJ55" s="778"/>
      <c r="BK55" s="778"/>
      <c r="BL55" s="778"/>
      <c r="BM55" s="778"/>
      <c r="BN55" s="778"/>
      <c r="BO55" s="778"/>
      <c r="BP55" s="778"/>
      <c r="BQ55" s="778"/>
      <c r="BR55" s="778"/>
      <c r="BS55" s="778"/>
      <c r="BT55" s="778"/>
      <c r="BU55" s="778"/>
      <c r="BV55" s="778"/>
      <c r="BW55" s="778"/>
      <c r="BX55" s="778"/>
      <c r="BY55" s="778"/>
      <c r="BZ55" s="778"/>
      <c r="CA55" s="778"/>
      <c r="CB55" s="778"/>
      <c r="CC55" s="778"/>
      <c r="CD55" s="778"/>
      <c r="CE55" s="778"/>
      <c r="CF55" s="778"/>
      <c r="CG55" s="778"/>
      <c r="CH55" s="778"/>
      <c r="CI55" s="778"/>
      <c r="CJ55" s="778"/>
      <c r="CK55" s="778"/>
      <c r="CL55" s="778"/>
      <c r="CM55" s="778"/>
      <c r="CN55" s="778"/>
      <c r="CO55" s="778"/>
      <c r="CP55" s="778"/>
      <c r="CQ55" s="778"/>
      <c r="CR55" s="778"/>
      <c r="CS55" s="778"/>
      <c r="CT55" s="778"/>
      <c r="CU55" s="778"/>
      <c r="CV55" s="778"/>
      <c r="CW55" s="778"/>
      <c r="CX55" s="778"/>
      <c r="CY55" s="778"/>
      <c r="CZ55" s="778"/>
      <c r="DA55" s="778"/>
      <c r="DB55" s="778"/>
      <c r="DC55" s="778"/>
      <c r="DD55" s="778"/>
      <c r="DE55" s="778"/>
      <c r="DF55" s="778"/>
      <c r="DG55" s="778"/>
      <c r="DH55" s="778"/>
      <c r="DI55" s="778"/>
      <c r="DJ55" s="778"/>
      <c r="DK55" s="778"/>
      <c r="DL55" s="778"/>
      <c r="DM55" s="778"/>
      <c r="DN55" s="778"/>
      <c r="DO55" s="778"/>
      <c r="DP55" s="778"/>
      <c r="DQ55" s="778"/>
      <c r="DR55" s="778"/>
      <c r="DS55" s="778"/>
      <c r="DT55" s="778"/>
      <c r="DU55" s="778"/>
      <c r="DV55" s="778"/>
      <c r="DW55" s="778"/>
      <c r="DX55" s="778"/>
      <c r="DY55" s="778"/>
      <c r="DZ55" s="778"/>
      <c r="EA55" s="778"/>
      <c r="EB55" s="778"/>
      <c r="EC55" s="778"/>
      <c r="ED55" s="778"/>
      <c r="EE55" s="778"/>
      <c r="EF55" s="778"/>
      <c r="EG55" s="778"/>
      <c r="EH55" s="778"/>
      <c r="EI55" s="773"/>
      <c r="EJ55" s="773"/>
      <c r="EK55" s="773"/>
      <c r="EL55" s="773"/>
      <c r="EM55" s="773"/>
      <c r="EN55" s="773"/>
      <c r="EO55" s="773"/>
      <c r="EP55" s="773"/>
      <c r="EQ55" s="773"/>
      <c r="ER55" s="773"/>
      <c r="ES55" s="773"/>
      <c r="ET55" s="773"/>
      <c r="EU55" s="773"/>
      <c r="EV55" s="773"/>
      <c r="EW55" s="773"/>
      <c r="EX55" s="773"/>
      <c r="EY55" s="773"/>
      <c r="EZ55" s="773"/>
      <c r="FA55" s="773"/>
      <c r="FB55" s="773"/>
      <c r="FC55" s="773"/>
      <c r="FD55" s="773"/>
      <c r="FE55" s="773"/>
      <c r="FF55" s="773"/>
      <c r="FG55" s="773"/>
      <c r="FH55" s="773"/>
      <c r="FI55" s="773"/>
      <c r="FJ55" s="773"/>
    </row>
    <row r="56" spans="2:166" s="772" customFormat="1" ht="12.75" customHeight="1" x14ac:dyDescent="0.3">
      <c r="B56" s="773"/>
      <c r="C56" s="773"/>
      <c r="D56" s="773"/>
      <c r="E56" s="778"/>
      <c r="F56" s="778"/>
      <c r="G56" s="778"/>
      <c r="H56" s="778"/>
      <c r="I56" s="778"/>
      <c r="J56" s="778"/>
      <c r="K56" s="778"/>
      <c r="L56" s="778"/>
      <c r="M56" s="778"/>
      <c r="N56" s="778"/>
      <c r="O56" s="778"/>
      <c r="P56" s="778"/>
      <c r="Q56" s="778"/>
      <c r="R56" s="778"/>
      <c r="S56" s="778"/>
      <c r="T56" s="778"/>
      <c r="U56" s="778"/>
      <c r="V56" s="778"/>
      <c r="W56" s="778"/>
      <c r="X56" s="778"/>
      <c r="Y56" s="778"/>
      <c r="Z56" s="778"/>
      <c r="AA56" s="778"/>
      <c r="AB56" s="778"/>
      <c r="AC56" s="778"/>
      <c r="AD56" s="778"/>
      <c r="AE56" s="778"/>
      <c r="AF56" s="778"/>
      <c r="AG56" s="778"/>
      <c r="AH56" s="778"/>
      <c r="AI56" s="778"/>
      <c r="AJ56" s="778"/>
      <c r="AK56" s="778"/>
      <c r="AL56" s="778"/>
      <c r="AM56" s="778"/>
      <c r="AN56" s="778"/>
      <c r="AO56" s="778"/>
      <c r="AP56" s="778"/>
      <c r="AQ56" s="778"/>
      <c r="AR56" s="778"/>
      <c r="AS56" s="778"/>
      <c r="AT56" s="778"/>
      <c r="AU56" s="778"/>
      <c r="AV56" s="778"/>
      <c r="AW56" s="778"/>
      <c r="AX56" s="778"/>
      <c r="AY56" s="778"/>
      <c r="AZ56" s="778"/>
      <c r="BA56" s="778"/>
      <c r="BB56" s="778"/>
      <c r="BC56" s="778"/>
      <c r="BD56" s="778"/>
      <c r="BE56" s="778"/>
      <c r="BF56" s="778"/>
      <c r="BG56" s="778"/>
      <c r="BH56" s="778"/>
      <c r="BI56" s="778"/>
      <c r="BJ56" s="778"/>
      <c r="BK56" s="778"/>
      <c r="BL56" s="778"/>
      <c r="BM56" s="778"/>
      <c r="BN56" s="778"/>
      <c r="BO56" s="778"/>
      <c r="BP56" s="778"/>
      <c r="BQ56" s="778"/>
      <c r="BR56" s="778"/>
      <c r="BS56" s="778"/>
      <c r="BT56" s="778"/>
      <c r="BU56" s="778"/>
      <c r="BV56" s="778"/>
      <c r="BW56" s="778"/>
      <c r="BX56" s="778"/>
      <c r="BY56" s="778"/>
      <c r="BZ56" s="778"/>
      <c r="CA56" s="778"/>
      <c r="CB56" s="778"/>
      <c r="CC56" s="778"/>
      <c r="CD56" s="778"/>
      <c r="CE56" s="778"/>
      <c r="CF56" s="778"/>
      <c r="CG56" s="778"/>
      <c r="CH56" s="778"/>
      <c r="CI56" s="778"/>
      <c r="CJ56" s="778"/>
      <c r="CK56" s="778"/>
      <c r="CL56" s="778"/>
      <c r="CM56" s="778"/>
      <c r="CN56" s="778"/>
      <c r="CO56" s="778"/>
      <c r="CP56" s="778"/>
      <c r="CQ56" s="778"/>
      <c r="CR56" s="778"/>
      <c r="CS56" s="778"/>
      <c r="CT56" s="778"/>
      <c r="CU56" s="778"/>
      <c r="CV56" s="778"/>
      <c r="CW56" s="778"/>
      <c r="CX56" s="778"/>
      <c r="CY56" s="778"/>
      <c r="CZ56" s="778"/>
      <c r="DA56" s="778"/>
      <c r="DB56" s="778"/>
      <c r="DC56" s="778"/>
      <c r="DD56" s="778"/>
      <c r="DE56" s="778"/>
      <c r="DF56" s="778"/>
      <c r="DG56" s="778"/>
      <c r="DH56" s="778"/>
      <c r="DI56" s="778"/>
      <c r="DJ56" s="778"/>
      <c r="DK56" s="778"/>
      <c r="DL56" s="778"/>
      <c r="DM56" s="778"/>
      <c r="DN56" s="778"/>
      <c r="DO56" s="778"/>
      <c r="DP56" s="778"/>
      <c r="DQ56" s="778"/>
      <c r="DR56" s="778"/>
      <c r="DS56" s="778"/>
      <c r="DT56" s="778"/>
      <c r="DU56" s="778"/>
      <c r="DV56" s="778"/>
      <c r="DW56" s="778"/>
      <c r="DX56" s="778"/>
      <c r="DY56" s="778"/>
      <c r="DZ56" s="778"/>
      <c r="EA56" s="778"/>
      <c r="EB56" s="778"/>
      <c r="EC56" s="778"/>
      <c r="ED56" s="778"/>
      <c r="EE56" s="778"/>
      <c r="EF56" s="778"/>
      <c r="EG56" s="778"/>
      <c r="EH56" s="778"/>
      <c r="EI56" s="773"/>
      <c r="EJ56" s="773"/>
      <c r="EK56" s="773"/>
      <c r="EL56" s="773"/>
      <c r="EM56" s="773"/>
      <c r="EN56" s="773"/>
      <c r="EO56" s="773"/>
      <c r="EP56" s="773"/>
      <c r="EQ56" s="773"/>
      <c r="ER56" s="773"/>
      <c r="ES56" s="773"/>
      <c r="ET56" s="773"/>
      <c r="EU56" s="773"/>
      <c r="EV56" s="773"/>
      <c r="EW56" s="773"/>
      <c r="EX56" s="773"/>
      <c r="EY56" s="773"/>
      <c r="EZ56" s="773"/>
      <c r="FA56" s="773"/>
      <c r="FB56" s="773"/>
      <c r="FC56" s="773"/>
      <c r="FD56" s="773"/>
      <c r="FE56" s="773"/>
      <c r="FF56" s="773"/>
      <c r="FG56" s="773"/>
      <c r="FH56" s="773"/>
      <c r="FI56" s="773"/>
      <c r="FJ56" s="773"/>
    </row>
    <row r="57" spans="2:166" s="772" customFormat="1" ht="12.75" customHeight="1" x14ac:dyDescent="0.3">
      <c r="B57" s="773"/>
      <c r="C57" s="773"/>
      <c r="D57" s="773"/>
      <c r="E57" s="778"/>
      <c r="F57" s="778"/>
      <c r="G57" s="778"/>
      <c r="H57" s="778"/>
      <c r="I57" s="778"/>
      <c r="J57" s="778"/>
      <c r="K57" s="778"/>
      <c r="L57" s="778"/>
      <c r="M57" s="778"/>
      <c r="N57" s="778"/>
      <c r="O57" s="778"/>
      <c r="P57" s="778"/>
      <c r="Q57" s="778"/>
      <c r="R57" s="778"/>
      <c r="S57" s="778"/>
      <c r="T57" s="778"/>
      <c r="U57" s="778"/>
      <c r="V57" s="778"/>
      <c r="W57" s="778"/>
      <c r="X57" s="778"/>
      <c r="Y57" s="778"/>
      <c r="Z57" s="778"/>
      <c r="AA57" s="778"/>
      <c r="AB57" s="778"/>
      <c r="AC57" s="778"/>
      <c r="AD57" s="778"/>
      <c r="AE57" s="778"/>
      <c r="AF57" s="778"/>
      <c r="AG57" s="778"/>
      <c r="AH57" s="778"/>
      <c r="AI57" s="778"/>
      <c r="AJ57" s="778"/>
      <c r="AK57" s="778"/>
      <c r="AL57" s="778"/>
      <c r="AM57" s="778"/>
      <c r="AN57" s="778"/>
      <c r="AO57" s="778"/>
      <c r="AP57" s="778"/>
      <c r="AQ57" s="778"/>
      <c r="AR57" s="778"/>
      <c r="AS57" s="778"/>
      <c r="AT57" s="778"/>
      <c r="AU57" s="778"/>
      <c r="AV57" s="778"/>
      <c r="AW57" s="778"/>
      <c r="AX57" s="778"/>
      <c r="AY57" s="778"/>
      <c r="AZ57" s="778"/>
      <c r="BA57" s="778"/>
      <c r="BB57" s="778"/>
      <c r="BC57" s="778"/>
      <c r="BD57" s="778"/>
      <c r="BE57" s="778"/>
      <c r="BF57" s="778"/>
      <c r="BG57" s="778"/>
      <c r="BH57" s="778"/>
      <c r="BI57" s="778"/>
      <c r="BJ57" s="778"/>
      <c r="BK57" s="778"/>
      <c r="BL57" s="778"/>
      <c r="BM57" s="778"/>
      <c r="BN57" s="778"/>
      <c r="BO57" s="778"/>
      <c r="BP57" s="778"/>
      <c r="BQ57" s="778"/>
      <c r="BR57" s="778"/>
      <c r="BS57" s="778"/>
      <c r="BT57" s="778"/>
      <c r="BU57" s="778"/>
      <c r="BV57" s="778"/>
      <c r="BW57" s="778"/>
      <c r="BX57" s="778"/>
      <c r="BY57" s="778"/>
      <c r="BZ57" s="778"/>
      <c r="CA57" s="778"/>
      <c r="CB57" s="778"/>
      <c r="CC57" s="778"/>
      <c r="CD57" s="778"/>
      <c r="CE57" s="778"/>
      <c r="CF57" s="778"/>
      <c r="CG57" s="778"/>
      <c r="CH57" s="778"/>
      <c r="CI57" s="778"/>
      <c r="CJ57" s="778"/>
      <c r="CK57" s="778"/>
      <c r="CL57" s="778"/>
      <c r="CM57" s="778"/>
      <c r="CN57" s="778"/>
      <c r="CO57" s="778"/>
      <c r="CP57" s="778"/>
      <c r="CQ57" s="778"/>
      <c r="CR57" s="778"/>
      <c r="CS57" s="778"/>
      <c r="CT57" s="778"/>
      <c r="CU57" s="778"/>
      <c r="CV57" s="778"/>
      <c r="CW57" s="778"/>
      <c r="CX57" s="778"/>
      <c r="CY57" s="778"/>
      <c r="CZ57" s="778"/>
      <c r="DA57" s="778"/>
      <c r="DB57" s="778"/>
      <c r="DC57" s="778"/>
      <c r="DD57" s="778"/>
      <c r="DE57" s="778"/>
      <c r="DF57" s="778"/>
      <c r="DG57" s="778"/>
      <c r="DH57" s="778"/>
      <c r="DI57" s="778"/>
      <c r="DJ57" s="778"/>
      <c r="DK57" s="778"/>
      <c r="DL57" s="778"/>
      <c r="DM57" s="778"/>
      <c r="DN57" s="778"/>
      <c r="DO57" s="778"/>
      <c r="DP57" s="778"/>
      <c r="DQ57" s="778"/>
      <c r="DR57" s="778"/>
      <c r="DS57" s="778"/>
      <c r="DT57" s="778"/>
      <c r="DU57" s="778"/>
      <c r="DV57" s="778"/>
      <c r="DW57" s="778"/>
      <c r="DX57" s="778"/>
      <c r="DY57" s="778"/>
      <c r="DZ57" s="778"/>
      <c r="EA57" s="778"/>
      <c r="EB57" s="778"/>
      <c r="EC57" s="778"/>
      <c r="ED57" s="778"/>
      <c r="EE57" s="778"/>
      <c r="EF57" s="778"/>
      <c r="EG57" s="778"/>
      <c r="EH57" s="778"/>
      <c r="EI57" s="773"/>
      <c r="EJ57" s="773"/>
      <c r="EK57" s="773"/>
      <c r="EL57" s="773"/>
      <c r="EM57" s="773"/>
      <c r="EN57" s="773"/>
      <c r="EO57" s="773"/>
      <c r="EP57" s="773"/>
      <c r="EQ57" s="773"/>
      <c r="ER57" s="773"/>
      <c r="ES57" s="773"/>
      <c r="ET57" s="773"/>
      <c r="EU57" s="773"/>
      <c r="EV57" s="773"/>
      <c r="EW57" s="773"/>
      <c r="EX57" s="773"/>
      <c r="EY57" s="773"/>
      <c r="EZ57" s="773"/>
      <c r="FA57" s="773"/>
      <c r="FB57" s="773"/>
      <c r="FC57" s="773"/>
      <c r="FD57" s="773"/>
      <c r="FE57" s="773"/>
      <c r="FF57" s="773"/>
      <c r="FG57" s="773"/>
      <c r="FH57" s="773"/>
      <c r="FI57" s="773"/>
      <c r="FJ57" s="773"/>
    </row>
    <row r="58" spans="2:166" s="772" customFormat="1" ht="12.75" customHeight="1" x14ac:dyDescent="0.3">
      <c r="B58" s="773"/>
      <c r="C58" s="773"/>
      <c r="D58" s="773"/>
      <c r="E58" s="778"/>
      <c r="F58" s="778"/>
      <c r="G58" s="778"/>
      <c r="H58" s="778"/>
      <c r="I58" s="778"/>
      <c r="J58" s="778"/>
      <c r="K58" s="778"/>
      <c r="L58" s="778"/>
      <c r="M58" s="778"/>
      <c r="N58" s="778"/>
      <c r="O58" s="778"/>
      <c r="P58" s="778"/>
      <c r="Q58" s="778"/>
      <c r="R58" s="778"/>
      <c r="S58" s="778"/>
      <c r="T58" s="778"/>
      <c r="U58" s="778"/>
      <c r="V58" s="778"/>
      <c r="W58" s="778"/>
      <c r="X58" s="778"/>
      <c r="Y58" s="778"/>
      <c r="Z58" s="778"/>
      <c r="AA58" s="778"/>
      <c r="AB58" s="778"/>
      <c r="AC58" s="778"/>
      <c r="AD58" s="778"/>
      <c r="AE58" s="778"/>
      <c r="AF58" s="778"/>
      <c r="AG58" s="778"/>
      <c r="AH58" s="778"/>
      <c r="AI58" s="778"/>
      <c r="AJ58" s="778"/>
      <c r="AK58" s="778"/>
      <c r="AL58" s="778"/>
      <c r="AM58" s="778"/>
      <c r="AN58" s="778"/>
      <c r="AO58" s="778"/>
      <c r="AP58" s="778"/>
      <c r="AQ58" s="778"/>
      <c r="AR58" s="778"/>
      <c r="AS58" s="778"/>
      <c r="AT58" s="778"/>
      <c r="AU58" s="778"/>
      <c r="AV58" s="778"/>
      <c r="AW58" s="778"/>
      <c r="AX58" s="778"/>
      <c r="AY58" s="778"/>
      <c r="AZ58" s="778"/>
      <c r="BA58" s="778"/>
      <c r="BB58" s="778"/>
      <c r="BC58" s="778"/>
      <c r="BD58" s="778"/>
      <c r="BE58" s="778"/>
      <c r="BF58" s="778"/>
      <c r="BG58" s="778"/>
      <c r="BH58" s="778"/>
      <c r="BI58" s="778"/>
      <c r="BJ58" s="778"/>
      <c r="BK58" s="778"/>
      <c r="BL58" s="778"/>
      <c r="BM58" s="778"/>
      <c r="BN58" s="778"/>
      <c r="BO58" s="778"/>
      <c r="BP58" s="778"/>
      <c r="BQ58" s="778"/>
      <c r="BR58" s="778"/>
      <c r="BS58" s="778"/>
      <c r="BT58" s="778"/>
      <c r="BU58" s="778"/>
      <c r="BV58" s="778"/>
      <c r="BW58" s="778"/>
      <c r="BX58" s="778"/>
      <c r="BY58" s="778"/>
      <c r="BZ58" s="778"/>
      <c r="CA58" s="778"/>
      <c r="CB58" s="778"/>
      <c r="CC58" s="778"/>
      <c r="CD58" s="778"/>
      <c r="CE58" s="778"/>
      <c r="CF58" s="778"/>
      <c r="CG58" s="778"/>
      <c r="CH58" s="778"/>
      <c r="CI58" s="778"/>
      <c r="CJ58" s="778"/>
      <c r="CK58" s="778"/>
      <c r="CL58" s="778"/>
      <c r="CM58" s="778"/>
      <c r="CN58" s="778"/>
      <c r="CO58" s="778"/>
      <c r="CP58" s="778"/>
      <c r="CQ58" s="778"/>
      <c r="CR58" s="778"/>
      <c r="CS58" s="778"/>
      <c r="CT58" s="778"/>
      <c r="CU58" s="778"/>
      <c r="CV58" s="778"/>
      <c r="CW58" s="778"/>
      <c r="CX58" s="778"/>
      <c r="CY58" s="778"/>
      <c r="CZ58" s="778"/>
      <c r="DA58" s="778"/>
      <c r="DB58" s="778"/>
      <c r="DC58" s="778"/>
      <c r="DD58" s="778"/>
      <c r="DE58" s="778"/>
      <c r="DF58" s="778"/>
      <c r="DG58" s="778"/>
      <c r="DH58" s="778"/>
      <c r="DI58" s="778"/>
      <c r="DJ58" s="778"/>
      <c r="DK58" s="778"/>
      <c r="DL58" s="778"/>
      <c r="DM58" s="778"/>
      <c r="DN58" s="778"/>
      <c r="DO58" s="778"/>
      <c r="DP58" s="778"/>
      <c r="DQ58" s="778"/>
      <c r="DR58" s="778"/>
      <c r="DS58" s="778"/>
      <c r="DT58" s="778"/>
      <c r="DU58" s="778"/>
      <c r="DV58" s="778"/>
      <c r="DW58" s="778"/>
      <c r="DX58" s="778"/>
      <c r="DY58" s="778"/>
      <c r="DZ58" s="778"/>
      <c r="EA58" s="778"/>
      <c r="EB58" s="778"/>
      <c r="EC58" s="778"/>
      <c r="ED58" s="778"/>
      <c r="EE58" s="778"/>
      <c r="EF58" s="778"/>
      <c r="EG58" s="778"/>
      <c r="EH58" s="778"/>
      <c r="EI58" s="773"/>
      <c r="EJ58" s="773"/>
      <c r="EK58" s="773"/>
      <c r="EL58" s="773"/>
      <c r="EM58" s="773"/>
      <c r="EN58" s="773"/>
      <c r="EO58" s="773"/>
      <c r="EP58" s="773"/>
      <c r="EQ58" s="773"/>
      <c r="ER58" s="773"/>
      <c r="ES58" s="773"/>
      <c r="ET58" s="773"/>
      <c r="EU58" s="773"/>
      <c r="EV58" s="773"/>
      <c r="EW58" s="773"/>
      <c r="EX58" s="773"/>
      <c r="EY58" s="773"/>
      <c r="EZ58" s="773"/>
      <c r="FA58" s="773"/>
      <c r="FB58" s="773"/>
      <c r="FC58" s="773"/>
      <c r="FD58" s="773"/>
      <c r="FE58" s="773"/>
      <c r="FF58" s="773"/>
      <c r="FG58" s="773"/>
      <c r="FH58" s="773"/>
      <c r="FI58" s="773"/>
      <c r="FJ58" s="773"/>
    </row>
    <row r="59" spans="2:166" s="772" customFormat="1" ht="12.75" customHeight="1" x14ac:dyDescent="0.3">
      <c r="B59" s="773"/>
      <c r="C59" s="773"/>
      <c r="D59" s="773"/>
      <c r="E59" s="778"/>
      <c r="F59" s="778"/>
      <c r="G59" s="778"/>
      <c r="H59" s="778"/>
      <c r="I59" s="778"/>
      <c r="J59" s="778"/>
      <c r="K59" s="778"/>
      <c r="L59" s="778"/>
      <c r="M59" s="778"/>
      <c r="N59" s="778"/>
      <c r="O59" s="778"/>
      <c r="P59" s="778"/>
      <c r="Q59" s="778"/>
      <c r="R59" s="778"/>
      <c r="S59" s="778"/>
      <c r="T59" s="778"/>
      <c r="U59" s="778"/>
      <c r="V59" s="778"/>
      <c r="W59" s="778"/>
      <c r="X59" s="778"/>
      <c r="Y59" s="778"/>
      <c r="Z59" s="778"/>
      <c r="AA59" s="778"/>
      <c r="AB59" s="778"/>
      <c r="AC59" s="778"/>
      <c r="AD59" s="778"/>
      <c r="AE59" s="778"/>
      <c r="AF59" s="778"/>
      <c r="AG59" s="778"/>
      <c r="AH59" s="778"/>
      <c r="AI59" s="778"/>
      <c r="AJ59" s="778"/>
      <c r="AK59" s="778"/>
      <c r="AL59" s="778"/>
      <c r="AM59" s="778"/>
      <c r="AN59" s="778"/>
      <c r="AO59" s="778"/>
      <c r="AP59" s="778"/>
      <c r="AQ59" s="778"/>
      <c r="AR59" s="778"/>
      <c r="AS59" s="778"/>
      <c r="AT59" s="778"/>
      <c r="AU59" s="778"/>
      <c r="AV59" s="778"/>
      <c r="AW59" s="778"/>
      <c r="AX59" s="778"/>
      <c r="AY59" s="778"/>
      <c r="AZ59" s="778"/>
      <c r="BA59" s="778"/>
      <c r="BB59" s="778"/>
      <c r="BC59" s="778"/>
      <c r="BD59" s="778"/>
      <c r="BE59" s="778"/>
      <c r="BF59" s="778"/>
      <c r="BG59" s="778"/>
      <c r="BH59" s="778"/>
      <c r="BI59" s="778"/>
      <c r="BJ59" s="778"/>
      <c r="BK59" s="778"/>
      <c r="BL59" s="778"/>
      <c r="BM59" s="778"/>
      <c r="BN59" s="778"/>
      <c r="BO59" s="778"/>
      <c r="BP59" s="778"/>
      <c r="BQ59" s="778"/>
      <c r="BR59" s="778"/>
      <c r="BS59" s="778"/>
      <c r="BT59" s="778"/>
      <c r="BU59" s="778"/>
      <c r="BV59" s="778"/>
      <c r="BW59" s="778"/>
      <c r="BX59" s="778"/>
      <c r="BY59" s="778"/>
      <c r="BZ59" s="778"/>
      <c r="CA59" s="778"/>
      <c r="CB59" s="778"/>
      <c r="CC59" s="778"/>
      <c r="CD59" s="778"/>
      <c r="CE59" s="778"/>
      <c r="CF59" s="778"/>
      <c r="CG59" s="778"/>
      <c r="CH59" s="778"/>
      <c r="CI59" s="778"/>
      <c r="CJ59" s="778"/>
      <c r="CK59" s="778"/>
      <c r="CL59" s="778"/>
      <c r="CM59" s="778"/>
      <c r="CN59" s="778"/>
      <c r="CO59" s="778"/>
      <c r="CP59" s="778"/>
      <c r="CQ59" s="778"/>
      <c r="CR59" s="778"/>
      <c r="CS59" s="778"/>
      <c r="CT59" s="778"/>
      <c r="CU59" s="778"/>
      <c r="CV59" s="778"/>
      <c r="CW59" s="778"/>
      <c r="CX59" s="778"/>
      <c r="CY59" s="778"/>
      <c r="CZ59" s="778"/>
      <c r="DA59" s="778"/>
      <c r="DB59" s="778"/>
      <c r="DC59" s="778"/>
      <c r="DD59" s="778"/>
      <c r="DE59" s="778"/>
      <c r="DF59" s="778"/>
      <c r="DG59" s="778"/>
      <c r="DH59" s="778"/>
      <c r="DI59" s="778"/>
      <c r="DJ59" s="778"/>
      <c r="DK59" s="778"/>
      <c r="DL59" s="778"/>
      <c r="DM59" s="778"/>
      <c r="DN59" s="778"/>
      <c r="DO59" s="778"/>
      <c r="DP59" s="778"/>
      <c r="DQ59" s="778"/>
      <c r="DR59" s="778"/>
      <c r="DS59" s="778"/>
      <c r="DT59" s="778"/>
      <c r="DU59" s="778"/>
      <c r="DV59" s="778"/>
      <c r="DW59" s="778"/>
      <c r="DX59" s="778"/>
      <c r="DY59" s="778"/>
      <c r="DZ59" s="778"/>
      <c r="EA59" s="778"/>
      <c r="EB59" s="778"/>
      <c r="EC59" s="778"/>
      <c r="ED59" s="778"/>
      <c r="EE59" s="778"/>
      <c r="EF59" s="778"/>
      <c r="EG59" s="778"/>
      <c r="EH59" s="778"/>
      <c r="EI59" s="773"/>
      <c r="EJ59" s="773"/>
      <c r="EK59" s="773"/>
      <c r="EL59" s="773"/>
      <c r="EM59" s="773"/>
      <c r="EN59" s="773"/>
      <c r="EO59" s="773"/>
      <c r="EP59" s="773"/>
      <c r="EQ59" s="773"/>
      <c r="ER59" s="773"/>
      <c r="ES59" s="773"/>
      <c r="ET59" s="773"/>
      <c r="EU59" s="773"/>
      <c r="EV59" s="773"/>
      <c r="EW59" s="773"/>
      <c r="EX59" s="773"/>
      <c r="EY59" s="773"/>
      <c r="EZ59" s="773"/>
      <c r="FA59" s="773"/>
      <c r="FB59" s="773"/>
      <c r="FC59" s="773"/>
      <c r="FD59" s="773"/>
      <c r="FE59" s="773"/>
      <c r="FF59" s="773"/>
      <c r="FG59" s="773"/>
      <c r="FH59" s="773"/>
      <c r="FI59" s="773"/>
      <c r="FJ59" s="773"/>
    </row>
    <row r="60" spans="2:166" ht="12.75" customHeight="1" x14ac:dyDescent="0.3">
      <c r="E60" s="778"/>
      <c r="F60" s="778"/>
      <c r="G60" s="778"/>
      <c r="H60" s="778"/>
      <c r="I60" s="778"/>
      <c r="J60" s="778"/>
      <c r="K60" s="778"/>
      <c r="L60" s="778"/>
      <c r="M60" s="778"/>
      <c r="N60" s="778"/>
      <c r="O60" s="778"/>
      <c r="P60" s="778"/>
      <c r="Q60" s="778"/>
      <c r="R60" s="778"/>
      <c r="S60" s="778"/>
      <c r="T60" s="778"/>
      <c r="U60" s="778"/>
      <c r="V60" s="778"/>
      <c r="W60" s="778"/>
      <c r="X60" s="778"/>
      <c r="Y60" s="778"/>
      <c r="Z60" s="778"/>
      <c r="AA60" s="778"/>
      <c r="AB60" s="778"/>
      <c r="AC60" s="778"/>
      <c r="AD60" s="778"/>
      <c r="AE60" s="778"/>
      <c r="AF60" s="778"/>
      <c r="AG60" s="778"/>
      <c r="AH60" s="778"/>
      <c r="AI60" s="778"/>
      <c r="AJ60" s="778"/>
      <c r="AK60" s="778"/>
      <c r="AL60" s="778"/>
      <c r="AM60" s="778"/>
      <c r="AN60" s="778"/>
      <c r="AO60" s="778"/>
      <c r="AP60" s="778"/>
      <c r="AQ60" s="778"/>
      <c r="AR60" s="778"/>
      <c r="AS60" s="778"/>
      <c r="AT60" s="778"/>
      <c r="AU60" s="778"/>
      <c r="AV60" s="778"/>
      <c r="AW60" s="778"/>
      <c r="AX60" s="778"/>
      <c r="AY60" s="778"/>
      <c r="AZ60" s="778"/>
      <c r="BA60" s="778"/>
      <c r="BB60" s="778"/>
      <c r="BC60" s="778"/>
      <c r="BD60" s="778"/>
      <c r="BE60" s="778"/>
      <c r="BF60" s="778"/>
      <c r="BG60" s="778"/>
      <c r="BH60" s="778"/>
      <c r="BI60" s="778"/>
      <c r="BJ60" s="778"/>
      <c r="BK60" s="778"/>
      <c r="BL60" s="778"/>
      <c r="BM60" s="778"/>
      <c r="BN60" s="778"/>
      <c r="BO60" s="778"/>
      <c r="BP60" s="778"/>
      <c r="BQ60" s="778"/>
      <c r="BR60" s="778"/>
      <c r="BS60" s="778"/>
      <c r="BT60" s="778"/>
      <c r="BU60" s="778"/>
      <c r="BV60" s="778"/>
      <c r="BW60" s="778"/>
      <c r="BX60" s="778"/>
      <c r="BY60" s="778"/>
      <c r="BZ60" s="778"/>
      <c r="CA60" s="778"/>
      <c r="CB60" s="778"/>
      <c r="CC60" s="778"/>
      <c r="CD60" s="778"/>
      <c r="CE60" s="778"/>
      <c r="CF60" s="778"/>
      <c r="CG60" s="778"/>
      <c r="CH60" s="778"/>
      <c r="CI60" s="778"/>
      <c r="CJ60" s="778"/>
      <c r="CK60" s="778"/>
      <c r="CL60" s="778"/>
      <c r="CM60" s="778"/>
      <c r="CN60" s="778"/>
      <c r="CO60" s="778"/>
      <c r="CP60" s="778"/>
      <c r="CQ60" s="778"/>
      <c r="CR60" s="778"/>
      <c r="CS60" s="778"/>
      <c r="CT60" s="778"/>
      <c r="CU60" s="778"/>
      <c r="CV60" s="778"/>
      <c r="CW60" s="778"/>
      <c r="CX60" s="778"/>
      <c r="CY60" s="778"/>
      <c r="CZ60" s="778"/>
      <c r="DA60" s="778"/>
      <c r="DB60" s="778"/>
      <c r="DC60" s="778"/>
      <c r="DD60" s="778"/>
      <c r="DE60" s="778"/>
      <c r="DF60" s="778"/>
      <c r="DG60" s="778"/>
      <c r="DH60" s="778"/>
      <c r="DI60" s="778"/>
      <c r="DJ60" s="778"/>
      <c r="DK60" s="778"/>
      <c r="DL60" s="778"/>
      <c r="DM60" s="778"/>
      <c r="DN60" s="778"/>
      <c r="DO60" s="778"/>
      <c r="DP60" s="778"/>
      <c r="DQ60" s="778"/>
      <c r="DR60" s="778"/>
      <c r="DS60" s="778"/>
      <c r="DT60" s="778"/>
      <c r="DU60" s="778"/>
      <c r="DV60" s="778"/>
      <c r="DW60" s="778"/>
      <c r="DX60" s="778"/>
      <c r="DY60" s="778"/>
      <c r="DZ60" s="778"/>
      <c r="EA60" s="778"/>
      <c r="EB60" s="778"/>
      <c r="EC60" s="778"/>
      <c r="ED60" s="778"/>
      <c r="EE60" s="778"/>
      <c r="EF60" s="778"/>
      <c r="EG60" s="778"/>
      <c r="EH60" s="778"/>
    </row>
    <row r="61" spans="2:166" ht="12.75" customHeight="1" x14ac:dyDescent="0.3">
      <c r="E61" s="778"/>
      <c r="F61" s="778"/>
      <c r="G61" s="778"/>
      <c r="H61" s="778"/>
      <c r="I61" s="778"/>
      <c r="J61" s="778"/>
      <c r="K61" s="778"/>
      <c r="L61" s="778"/>
      <c r="M61" s="778"/>
      <c r="N61" s="778"/>
      <c r="O61" s="778"/>
      <c r="P61" s="778"/>
      <c r="Q61" s="778"/>
      <c r="R61" s="778"/>
      <c r="S61" s="778"/>
      <c r="T61" s="778"/>
      <c r="U61" s="778"/>
      <c r="V61" s="778"/>
      <c r="W61" s="778"/>
      <c r="X61" s="778"/>
      <c r="Y61" s="778"/>
      <c r="Z61" s="778"/>
      <c r="AA61" s="778"/>
      <c r="AB61" s="778"/>
      <c r="AC61" s="778"/>
      <c r="AD61" s="778"/>
      <c r="AE61" s="778"/>
      <c r="AF61" s="778"/>
      <c r="AG61" s="778"/>
      <c r="AH61" s="778"/>
      <c r="AI61" s="778"/>
      <c r="AJ61" s="778"/>
      <c r="AK61" s="778"/>
      <c r="AL61" s="778"/>
      <c r="AM61" s="778"/>
      <c r="AN61" s="778"/>
      <c r="AO61" s="778"/>
      <c r="AP61" s="778"/>
      <c r="AQ61" s="778"/>
      <c r="AR61" s="778"/>
      <c r="AS61" s="778"/>
      <c r="AT61" s="778"/>
      <c r="AU61" s="778"/>
      <c r="AV61" s="778"/>
      <c r="AW61" s="778"/>
      <c r="AX61" s="778"/>
      <c r="AY61" s="778"/>
      <c r="AZ61" s="778"/>
      <c r="BA61" s="778"/>
      <c r="BB61" s="778"/>
      <c r="BC61" s="778"/>
      <c r="BD61" s="778"/>
      <c r="BE61" s="778"/>
      <c r="BF61" s="778"/>
      <c r="BG61" s="778"/>
      <c r="BH61" s="778"/>
      <c r="BI61" s="778"/>
      <c r="BJ61" s="778"/>
      <c r="BK61" s="778"/>
      <c r="BL61" s="778"/>
      <c r="BM61" s="778"/>
      <c r="BN61" s="778"/>
      <c r="BO61" s="778"/>
      <c r="BP61" s="778"/>
      <c r="BQ61" s="778"/>
      <c r="BR61" s="778"/>
      <c r="BS61" s="778"/>
      <c r="BT61" s="778"/>
      <c r="BU61" s="778"/>
      <c r="BV61" s="778"/>
      <c r="BW61" s="778"/>
      <c r="BX61" s="778"/>
      <c r="BY61" s="778"/>
      <c r="BZ61" s="778"/>
      <c r="CA61" s="778"/>
      <c r="CB61" s="778"/>
      <c r="CC61" s="778"/>
      <c r="CD61" s="778"/>
      <c r="CE61" s="778"/>
      <c r="CF61" s="778"/>
      <c r="CG61" s="778"/>
      <c r="CH61" s="778"/>
      <c r="CI61" s="778"/>
      <c r="CJ61" s="778"/>
      <c r="CK61" s="778"/>
      <c r="CL61" s="778"/>
      <c r="CM61" s="778"/>
      <c r="CN61" s="778"/>
      <c r="CO61" s="778"/>
      <c r="CP61" s="778"/>
      <c r="CQ61" s="778"/>
      <c r="CR61" s="778"/>
      <c r="CS61" s="778"/>
      <c r="CT61" s="778"/>
      <c r="CU61" s="778"/>
      <c r="CV61" s="778"/>
      <c r="CW61" s="778"/>
      <c r="CX61" s="778"/>
      <c r="CY61" s="778"/>
      <c r="CZ61" s="778"/>
      <c r="DA61" s="778"/>
      <c r="DB61" s="778"/>
      <c r="DC61" s="778"/>
      <c r="DD61" s="778"/>
      <c r="DE61" s="778"/>
      <c r="DF61" s="778"/>
      <c r="DG61" s="778"/>
      <c r="DH61" s="778"/>
      <c r="DI61" s="778"/>
      <c r="DJ61" s="778"/>
      <c r="DK61" s="778"/>
      <c r="DL61" s="778"/>
      <c r="DM61" s="778"/>
      <c r="DN61" s="778"/>
      <c r="DO61" s="778"/>
      <c r="DP61" s="778"/>
      <c r="DQ61" s="778"/>
      <c r="DR61" s="778"/>
      <c r="DS61" s="778"/>
      <c r="DT61" s="778"/>
      <c r="DU61" s="778"/>
      <c r="DV61" s="778"/>
      <c r="DW61" s="778"/>
      <c r="DX61" s="778"/>
      <c r="DY61" s="778"/>
      <c r="DZ61" s="778"/>
      <c r="EA61" s="778"/>
      <c r="EB61" s="778"/>
      <c r="EC61" s="778"/>
      <c r="ED61" s="778"/>
      <c r="EE61" s="778"/>
      <c r="EF61" s="778"/>
      <c r="EG61" s="778"/>
      <c r="EH61" s="778"/>
    </row>
    <row r="62" spans="2:166" ht="12.75" customHeight="1" x14ac:dyDescent="0.3">
      <c r="E62" s="778"/>
      <c r="F62" s="778"/>
      <c r="G62" s="778"/>
      <c r="H62" s="778"/>
      <c r="I62" s="778"/>
      <c r="J62" s="778"/>
      <c r="K62" s="778"/>
      <c r="L62" s="778"/>
      <c r="M62" s="778"/>
      <c r="N62" s="778"/>
      <c r="O62" s="778"/>
      <c r="P62" s="778"/>
      <c r="Q62" s="778"/>
      <c r="R62" s="778"/>
      <c r="S62" s="778"/>
      <c r="T62" s="778"/>
      <c r="U62" s="778"/>
      <c r="V62" s="778"/>
      <c r="W62" s="778"/>
      <c r="X62" s="778"/>
      <c r="Y62" s="778"/>
      <c r="Z62" s="778"/>
      <c r="AA62" s="778"/>
      <c r="AB62" s="778"/>
      <c r="AC62" s="778"/>
      <c r="AD62" s="778"/>
      <c r="AE62" s="778"/>
      <c r="AF62" s="778"/>
      <c r="AG62" s="778"/>
      <c r="AH62" s="778"/>
      <c r="AI62" s="778"/>
      <c r="AJ62" s="778"/>
      <c r="AK62" s="778"/>
      <c r="AL62" s="778"/>
      <c r="AM62" s="778"/>
      <c r="AN62" s="778"/>
      <c r="AO62" s="778"/>
      <c r="AP62" s="778"/>
      <c r="AQ62" s="778"/>
      <c r="AR62" s="778"/>
      <c r="AS62" s="778"/>
      <c r="AT62" s="778"/>
      <c r="AU62" s="778"/>
      <c r="AV62" s="778"/>
      <c r="AW62" s="778"/>
      <c r="AX62" s="778"/>
      <c r="AY62" s="778"/>
      <c r="AZ62" s="778"/>
      <c r="BA62" s="778"/>
      <c r="BB62" s="778"/>
      <c r="BC62" s="778"/>
      <c r="BD62" s="778"/>
      <c r="BE62" s="778"/>
      <c r="BF62" s="778"/>
      <c r="BG62" s="778"/>
      <c r="BH62" s="778"/>
      <c r="BI62" s="778"/>
      <c r="BJ62" s="778"/>
      <c r="BK62" s="778"/>
      <c r="BL62" s="778"/>
      <c r="BM62" s="778"/>
      <c r="BN62" s="778"/>
      <c r="BO62" s="778"/>
      <c r="BP62" s="778"/>
      <c r="BQ62" s="778"/>
      <c r="BR62" s="778"/>
      <c r="BS62" s="778"/>
      <c r="BT62" s="778"/>
      <c r="BU62" s="778"/>
      <c r="BV62" s="778"/>
      <c r="BW62" s="778"/>
      <c r="BX62" s="778"/>
      <c r="BY62" s="778"/>
      <c r="BZ62" s="778"/>
      <c r="CA62" s="778"/>
      <c r="CB62" s="778"/>
      <c r="CC62" s="778"/>
      <c r="CD62" s="778"/>
      <c r="CE62" s="778"/>
      <c r="CF62" s="778"/>
      <c r="CG62" s="778"/>
      <c r="CH62" s="778"/>
      <c r="CI62" s="778"/>
      <c r="CJ62" s="778"/>
      <c r="CK62" s="778"/>
      <c r="CL62" s="778"/>
      <c r="CM62" s="778"/>
      <c r="CN62" s="778"/>
      <c r="CO62" s="778"/>
      <c r="CP62" s="778"/>
      <c r="CQ62" s="778"/>
      <c r="CR62" s="778"/>
      <c r="CS62" s="778"/>
      <c r="CT62" s="778"/>
      <c r="CU62" s="778"/>
      <c r="CV62" s="778"/>
      <c r="CW62" s="778"/>
      <c r="CX62" s="778"/>
      <c r="CY62" s="778"/>
      <c r="CZ62" s="778"/>
      <c r="DA62" s="778"/>
      <c r="DB62" s="778"/>
      <c r="DC62" s="778"/>
      <c r="DD62" s="778"/>
      <c r="DE62" s="778"/>
      <c r="DF62" s="778"/>
      <c r="DG62" s="778"/>
      <c r="DH62" s="778"/>
      <c r="DI62" s="778"/>
      <c r="DJ62" s="778"/>
      <c r="DK62" s="778"/>
      <c r="DL62" s="778"/>
      <c r="DM62" s="778"/>
      <c r="DN62" s="778"/>
      <c r="DO62" s="778"/>
      <c r="DP62" s="778"/>
      <c r="DQ62" s="778"/>
      <c r="DR62" s="778"/>
      <c r="DS62" s="778"/>
      <c r="DT62" s="778"/>
      <c r="DU62" s="778"/>
      <c r="DV62" s="778"/>
      <c r="DW62" s="778"/>
      <c r="DX62" s="778"/>
      <c r="DY62" s="778"/>
      <c r="DZ62" s="778"/>
      <c r="EA62" s="778"/>
      <c r="EB62" s="778"/>
      <c r="EC62" s="778"/>
      <c r="ED62" s="778"/>
      <c r="EE62" s="778"/>
      <c r="EF62" s="778"/>
      <c r="EG62" s="778"/>
      <c r="EH62" s="778"/>
    </row>
    <row r="63" spans="2:166" ht="12.75" customHeight="1" x14ac:dyDescent="0.3">
      <c r="E63" s="778"/>
      <c r="F63" s="778"/>
      <c r="G63" s="778"/>
      <c r="H63" s="778"/>
      <c r="I63" s="778"/>
      <c r="J63" s="778"/>
      <c r="K63" s="778"/>
      <c r="L63" s="778"/>
      <c r="M63" s="778"/>
      <c r="N63" s="778"/>
      <c r="O63" s="778"/>
      <c r="P63" s="778"/>
      <c r="Q63" s="778"/>
      <c r="R63" s="778"/>
      <c r="S63" s="778"/>
      <c r="T63" s="778"/>
      <c r="U63" s="778"/>
      <c r="V63" s="778"/>
      <c r="W63" s="778"/>
      <c r="X63" s="778"/>
      <c r="Y63" s="778"/>
      <c r="Z63" s="778"/>
      <c r="AA63" s="778"/>
      <c r="AB63" s="778"/>
      <c r="AC63" s="778"/>
      <c r="AD63" s="778"/>
      <c r="AE63" s="778"/>
      <c r="AF63" s="778"/>
      <c r="AG63" s="778"/>
      <c r="AH63" s="778"/>
      <c r="AI63" s="778"/>
      <c r="AJ63" s="778"/>
      <c r="AK63" s="778"/>
      <c r="AL63" s="778"/>
      <c r="AM63" s="778"/>
      <c r="AN63" s="778"/>
      <c r="AO63" s="778"/>
      <c r="AP63" s="778"/>
      <c r="AQ63" s="778"/>
      <c r="AR63" s="778"/>
      <c r="AS63" s="778"/>
      <c r="AT63" s="778"/>
      <c r="AU63" s="778"/>
      <c r="AV63" s="778"/>
      <c r="AW63" s="778"/>
      <c r="AX63" s="778"/>
      <c r="AY63" s="778"/>
      <c r="AZ63" s="778"/>
      <c r="BA63" s="778"/>
      <c r="BB63" s="778"/>
      <c r="BC63" s="778"/>
      <c r="BD63" s="778"/>
      <c r="BE63" s="778"/>
      <c r="BF63" s="778"/>
      <c r="BG63" s="778"/>
      <c r="BH63" s="778"/>
      <c r="BI63" s="778"/>
      <c r="BJ63" s="778"/>
      <c r="BK63" s="778"/>
      <c r="BL63" s="778"/>
      <c r="BM63" s="778"/>
      <c r="BN63" s="778"/>
      <c r="BO63" s="778"/>
      <c r="BP63" s="778"/>
      <c r="BQ63" s="778"/>
      <c r="BR63" s="778"/>
      <c r="BS63" s="778"/>
      <c r="BT63" s="778"/>
      <c r="BU63" s="778"/>
      <c r="BV63" s="778"/>
      <c r="BW63" s="778"/>
      <c r="BX63" s="778"/>
      <c r="BY63" s="778"/>
      <c r="BZ63" s="778"/>
      <c r="CA63" s="778"/>
      <c r="CB63" s="778"/>
      <c r="CC63" s="778"/>
      <c r="CD63" s="778"/>
      <c r="CE63" s="778"/>
      <c r="CF63" s="778"/>
      <c r="CG63" s="778"/>
      <c r="CH63" s="778"/>
      <c r="CI63" s="778"/>
      <c r="CJ63" s="778"/>
      <c r="CK63" s="778"/>
      <c r="CL63" s="778"/>
      <c r="CM63" s="778"/>
      <c r="CN63" s="778"/>
      <c r="CO63" s="778"/>
      <c r="CP63" s="778"/>
      <c r="CQ63" s="778"/>
      <c r="CR63" s="778"/>
      <c r="CS63" s="778"/>
      <c r="CT63" s="778"/>
      <c r="CU63" s="778"/>
      <c r="CV63" s="778"/>
      <c r="CW63" s="778"/>
      <c r="CX63" s="778"/>
      <c r="CY63" s="778"/>
      <c r="CZ63" s="778"/>
      <c r="DA63" s="778"/>
      <c r="DB63" s="778"/>
      <c r="DC63" s="778"/>
      <c r="DD63" s="778"/>
      <c r="DE63" s="778"/>
      <c r="DF63" s="778"/>
      <c r="DG63" s="778"/>
      <c r="DH63" s="778"/>
      <c r="DI63" s="778"/>
      <c r="DJ63" s="778"/>
      <c r="DK63" s="778"/>
      <c r="DL63" s="778"/>
      <c r="DM63" s="778"/>
      <c r="DN63" s="778"/>
      <c r="DO63" s="778"/>
      <c r="DP63" s="778"/>
      <c r="DQ63" s="778"/>
      <c r="DR63" s="778"/>
      <c r="DS63" s="778"/>
      <c r="DT63" s="778"/>
      <c r="DU63" s="778"/>
      <c r="DV63" s="778"/>
      <c r="DW63" s="778"/>
      <c r="DX63" s="778"/>
      <c r="DY63" s="778"/>
      <c r="DZ63" s="778"/>
      <c r="EA63" s="778"/>
      <c r="EB63" s="778"/>
      <c r="EC63" s="778"/>
      <c r="ED63" s="778"/>
      <c r="EE63" s="778"/>
      <c r="EF63" s="778"/>
      <c r="EG63" s="778"/>
      <c r="EH63" s="778"/>
    </row>
    <row r="64" spans="2:166" ht="12.75" customHeight="1" x14ac:dyDescent="0.3">
      <c r="E64" s="778"/>
      <c r="F64" s="778"/>
      <c r="G64" s="778"/>
      <c r="H64" s="778"/>
      <c r="I64" s="778"/>
      <c r="J64" s="778"/>
      <c r="K64" s="778"/>
      <c r="L64" s="778"/>
      <c r="M64" s="778"/>
      <c r="N64" s="778"/>
      <c r="O64" s="778"/>
      <c r="P64" s="778"/>
      <c r="Q64" s="778"/>
      <c r="R64" s="778"/>
      <c r="S64" s="778"/>
      <c r="T64" s="778"/>
      <c r="U64" s="778"/>
      <c r="V64" s="778"/>
      <c r="W64" s="778"/>
      <c r="X64" s="778"/>
      <c r="Y64" s="778"/>
      <c r="Z64" s="778"/>
      <c r="AA64" s="778"/>
      <c r="AB64" s="778"/>
      <c r="AC64" s="778"/>
      <c r="AD64" s="778"/>
      <c r="AE64" s="778"/>
      <c r="AF64" s="778"/>
      <c r="AG64" s="778"/>
      <c r="AH64" s="778"/>
      <c r="AI64" s="778"/>
      <c r="AJ64" s="778"/>
      <c r="AK64" s="778"/>
      <c r="AL64" s="778"/>
      <c r="AM64" s="778"/>
      <c r="AN64" s="778"/>
      <c r="AO64" s="778"/>
      <c r="AP64" s="778"/>
      <c r="AQ64" s="778"/>
      <c r="AR64" s="778"/>
      <c r="AS64" s="778"/>
      <c r="AT64" s="778"/>
      <c r="AU64" s="778"/>
      <c r="AV64" s="778"/>
      <c r="AW64" s="778"/>
      <c r="AX64" s="778"/>
      <c r="AY64" s="778"/>
      <c r="AZ64" s="778"/>
      <c r="BA64" s="778"/>
      <c r="BB64" s="778"/>
      <c r="BC64" s="778"/>
      <c r="BD64" s="778"/>
      <c r="BE64" s="778"/>
      <c r="BF64" s="778"/>
      <c r="BG64" s="778"/>
      <c r="BH64" s="778"/>
      <c r="BI64" s="778"/>
      <c r="BJ64" s="778"/>
      <c r="BK64" s="778"/>
      <c r="BL64" s="778"/>
      <c r="BM64" s="778"/>
      <c r="BN64" s="778"/>
      <c r="BO64" s="778"/>
      <c r="BP64" s="778"/>
      <c r="BQ64" s="778"/>
      <c r="BR64" s="778"/>
      <c r="BS64" s="778"/>
      <c r="BT64" s="778"/>
      <c r="BU64" s="778"/>
      <c r="BV64" s="778"/>
      <c r="BW64" s="778"/>
      <c r="BX64" s="778"/>
      <c r="BY64" s="778"/>
      <c r="BZ64" s="778"/>
      <c r="CA64" s="778"/>
      <c r="CB64" s="778"/>
      <c r="CC64" s="778"/>
      <c r="CD64" s="778"/>
      <c r="CE64" s="778"/>
      <c r="CF64" s="778"/>
      <c r="CG64" s="778"/>
      <c r="CH64" s="778"/>
      <c r="CI64" s="778"/>
      <c r="CJ64" s="778"/>
      <c r="CK64" s="778"/>
      <c r="CL64" s="778"/>
      <c r="CM64" s="778"/>
      <c r="CN64" s="778"/>
      <c r="CO64" s="778"/>
      <c r="CP64" s="778"/>
      <c r="CQ64" s="778"/>
      <c r="CR64" s="778"/>
      <c r="CS64" s="778"/>
      <c r="CT64" s="778"/>
      <c r="CU64" s="778"/>
      <c r="CV64" s="778"/>
      <c r="CW64" s="778"/>
      <c r="CX64" s="778"/>
      <c r="CY64" s="778"/>
      <c r="CZ64" s="778"/>
      <c r="DA64" s="778"/>
      <c r="DB64" s="778"/>
      <c r="DC64" s="778"/>
      <c r="DD64" s="778"/>
      <c r="DE64" s="778"/>
      <c r="DF64" s="778"/>
      <c r="DG64" s="778"/>
      <c r="DH64" s="778"/>
      <c r="DI64" s="778"/>
      <c r="DJ64" s="778"/>
      <c r="DK64" s="778"/>
      <c r="DL64" s="778"/>
      <c r="DM64" s="778"/>
      <c r="DN64" s="778"/>
      <c r="DO64" s="778"/>
      <c r="DP64" s="778"/>
      <c r="DQ64" s="778"/>
      <c r="DR64" s="778"/>
      <c r="DS64" s="778"/>
      <c r="DT64" s="778"/>
      <c r="DU64" s="778"/>
      <c r="DV64" s="778"/>
      <c r="DW64" s="778"/>
      <c r="DX64" s="778"/>
      <c r="DY64" s="778"/>
      <c r="DZ64" s="778"/>
      <c r="EA64" s="778"/>
      <c r="EB64" s="778"/>
      <c r="EC64" s="778"/>
      <c r="ED64" s="778"/>
      <c r="EE64" s="778"/>
      <c r="EF64" s="778"/>
      <c r="EG64" s="778"/>
      <c r="EH64" s="778"/>
    </row>
    <row r="65" spans="5:138" ht="12.75" customHeight="1" x14ac:dyDescent="0.3">
      <c r="E65" s="778"/>
      <c r="F65" s="778"/>
      <c r="G65" s="778"/>
      <c r="H65" s="778"/>
      <c r="I65" s="778"/>
      <c r="J65" s="778"/>
      <c r="K65" s="778"/>
      <c r="L65" s="778"/>
      <c r="M65" s="778"/>
      <c r="N65" s="778"/>
      <c r="O65" s="778"/>
      <c r="P65" s="778"/>
      <c r="Q65" s="778"/>
      <c r="R65" s="778"/>
      <c r="S65" s="778"/>
      <c r="T65" s="778"/>
      <c r="U65" s="778"/>
      <c r="V65" s="778"/>
      <c r="W65" s="778"/>
      <c r="X65" s="778"/>
      <c r="Y65" s="778"/>
      <c r="Z65" s="778"/>
      <c r="AA65" s="778"/>
      <c r="AB65" s="778"/>
      <c r="AC65" s="778"/>
      <c r="AD65" s="778"/>
      <c r="AE65" s="778"/>
      <c r="AF65" s="778"/>
      <c r="AG65" s="778"/>
      <c r="AH65" s="778"/>
      <c r="AI65" s="778"/>
      <c r="AJ65" s="778"/>
      <c r="AK65" s="778"/>
      <c r="AL65" s="778"/>
      <c r="AM65" s="778"/>
      <c r="AN65" s="778"/>
      <c r="AO65" s="778"/>
      <c r="AP65" s="778"/>
      <c r="AQ65" s="778"/>
      <c r="AR65" s="778"/>
      <c r="AS65" s="778"/>
      <c r="AT65" s="778"/>
      <c r="AU65" s="778"/>
      <c r="AV65" s="778"/>
      <c r="AW65" s="778"/>
      <c r="AX65" s="778"/>
      <c r="AY65" s="778"/>
      <c r="AZ65" s="778"/>
      <c r="BA65" s="778"/>
      <c r="BB65" s="778"/>
      <c r="BC65" s="778"/>
      <c r="BD65" s="778"/>
      <c r="BE65" s="778"/>
      <c r="BF65" s="778"/>
      <c r="BG65" s="778"/>
      <c r="BH65" s="778"/>
      <c r="BI65" s="778"/>
      <c r="BJ65" s="778"/>
      <c r="BK65" s="778"/>
      <c r="BL65" s="778"/>
      <c r="BM65" s="778"/>
      <c r="BN65" s="778"/>
      <c r="BO65" s="778"/>
      <c r="BP65" s="778"/>
      <c r="BQ65" s="778"/>
      <c r="BR65" s="778"/>
      <c r="BS65" s="778"/>
      <c r="BT65" s="778"/>
      <c r="BU65" s="778"/>
      <c r="BV65" s="778"/>
      <c r="BW65" s="778"/>
      <c r="BX65" s="778"/>
      <c r="BY65" s="778"/>
      <c r="BZ65" s="778"/>
      <c r="CA65" s="778"/>
      <c r="CB65" s="778"/>
      <c r="CC65" s="778"/>
      <c r="CD65" s="778"/>
      <c r="CE65" s="778"/>
      <c r="CF65" s="778"/>
      <c r="CG65" s="778"/>
      <c r="CH65" s="778"/>
      <c r="CI65" s="778"/>
      <c r="CJ65" s="778"/>
      <c r="CK65" s="778"/>
      <c r="CL65" s="778"/>
      <c r="CM65" s="778"/>
      <c r="CN65" s="778"/>
      <c r="CO65" s="778"/>
      <c r="CP65" s="778"/>
      <c r="CQ65" s="778"/>
      <c r="CR65" s="778"/>
      <c r="CS65" s="778"/>
      <c r="CT65" s="778"/>
      <c r="CU65" s="778"/>
      <c r="CV65" s="778"/>
      <c r="CW65" s="778"/>
      <c r="CX65" s="778"/>
      <c r="CY65" s="778"/>
      <c r="CZ65" s="778"/>
      <c r="DA65" s="778"/>
      <c r="DB65" s="778"/>
      <c r="DC65" s="778"/>
      <c r="DD65" s="778"/>
      <c r="DE65" s="778"/>
      <c r="DF65" s="778"/>
      <c r="DG65" s="778"/>
      <c r="DH65" s="778"/>
      <c r="DI65" s="778"/>
      <c r="DJ65" s="778"/>
      <c r="DK65" s="778"/>
      <c r="DL65" s="778"/>
      <c r="DM65" s="778"/>
      <c r="DN65" s="778"/>
      <c r="DO65" s="778"/>
      <c r="DP65" s="778"/>
      <c r="DQ65" s="778"/>
      <c r="DR65" s="778"/>
      <c r="DS65" s="778"/>
      <c r="DT65" s="778"/>
      <c r="DU65" s="778"/>
      <c r="DV65" s="778"/>
      <c r="DW65" s="778"/>
      <c r="DX65" s="778"/>
      <c r="DY65" s="778"/>
      <c r="DZ65" s="778"/>
      <c r="EA65" s="778"/>
      <c r="EB65" s="778"/>
      <c r="EC65" s="778"/>
      <c r="ED65" s="778"/>
      <c r="EE65" s="778"/>
      <c r="EF65" s="778"/>
      <c r="EG65" s="778"/>
      <c r="EH65" s="778"/>
    </row>
    <row r="66" spans="5:138" ht="12.75" customHeight="1" x14ac:dyDescent="0.3">
      <c r="E66" s="778"/>
      <c r="F66" s="778"/>
      <c r="G66" s="778"/>
      <c r="H66" s="778"/>
      <c r="I66" s="778"/>
      <c r="J66" s="778"/>
      <c r="K66" s="778"/>
      <c r="L66" s="778"/>
      <c r="M66" s="778"/>
      <c r="N66" s="778"/>
      <c r="O66" s="778"/>
      <c r="P66" s="778"/>
      <c r="Q66" s="778"/>
      <c r="R66" s="778"/>
      <c r="S66" s="778"/>
      <c r="T66" s="778"/>
      <c r="U66" s="778"/>
      <c r="V66" s="778"/>
      <c r="W66" s="778"/>
      <c r="X66" s="778"/>
      <c r="Y66" s="778"/>
      <c r="Z66" s="778"/>
      <c r="AA66" s="778"/>
      <c r="AB66" s="778"/>
      <c r="AC66" s="778"/>
      <c r="AD66" s="778"/>
      <c r="AE66" s="778"/>
      <c r="AF66" s="778"/>
      <c r="AG66" s="778"/>
      <c r="AH66" s="778"/>
      <c r="AI66" s="778"/>
      <c r="AJ66" s="778"/>
      <c r="AK66" s="778"/>
      <c r="AL66" s="778"/>
      <c r="AM66" s="778"/>
      <c r="AN66" s="778"/>
      <c r="AO66" s="778"/>
      <c r="AP66" s="778"/>
      <c r="AQ66" s="778"/>
      <c r="AR66" s="778"/>
      <c r="AS66" s="778"/>
      <c r="AT66" s="778"/>
      <c r="AU66" s="778"/>
      <c r="AV66" s="778"/>
      <c r="AW66" s="778"/>
      <c r="AX66" s="778"/>
      <c r="AY66" s="778"/>
      <c r="AZ66" s="778"/>
      <c r="BA66" s="778"/>
      <c r="BB66" s="778"/>
      <c r="BC66" s="778"/>
      <c r="BD66" s="778"/>
      <c r="BE66" s="778"/>
      <c r="BF66" s="778"/>
      <c r="BG66" s="778"/>
      <c r="BH66" s="778"/>
      <c r="BI66" s="778"/>
      <c r="BJ66" s="778"/>
      <c r="BK66" s="778"/>
      <c r="BL66" s="778"/>
      <c r="BM66" s="778"/>
      <c r="BN66" s="778"/>
      <c r="BO66" s="778"/>
      <c r="BP66" s="778"/>
      <c r="BQ66" s="778"/>
      <c r="BR66" s="778"/>
      <c r="BS66" s="778"/>
      <c r="BT66" s="778"/>
      <c r="BU66" s="778"/>
      <c r="BV66" s="778"/>
      <c r="BW66" s="778"/>
      <c r="BX66" s="778"/>
      <c r="BY66" s="778"/>
      <c r="BZ66" s="778"/>
      <c r="CA66" s="778"/>
      <c r="CB66" s="778"/>
      <c r="CC66" s="778"/>
      <c r="CD66" s="778"/>
      <c r="CE66" s="778"/>
      <c r="CF66" s="778"/>
      <c r="CG66" s="778"/>
      <c r="CH66" s="778"/>
      <c r="CI66" s="778"/>
      <c r="CJ66" s="778"/>
      <c r="CK66" s="778"/>
      <c r="CL66" s="778"/>
      <c r="CM66" s="778"/>
      <c r="CN66" s="778"/>
      <c r="CO66" s="778"/>
      <c r="CP66" s="778"/>
      <c r="CQ66" s="778"/>
      <c r="CR66" s="778"/>
      <c r="CS66" s="778"/>
      <c r="CT66" s="778"/>
      <c r="CU66" s="778"/>
      <c r="CV66" s="778"/>
      <c r="CW66" s="778"/>
      <c r="CX66" s="778"/>
      <c r="CY66" s="778"/>
      <c r="CZ66" s="778"/>
      <c r="DA66" s="778"/>
      <c r="DB66" s="778"/>
      <c r="DC66" s="778"/>
      <c r="DD66" s="778"/>
      <c r="DE66" s="778"/>
      <c r="DF66" s="778"/>
      <c r="DG66" s="778"/>
      <c r="DH66" s="778"/>
      <c r="DI66" s="778"/>
      <c r="DJ66" s="778"/>
      <c r="DK66" s="778"/>
      <c r="DL66" s="778"/>
      <c r="DM66" s="778"/>
      <c r="DN66" s="778"/>
      <c r="DO66" s="778"/>
      <c r="DP66" s="778"/>
      <c r="DQ66" s="778"/>
      <c r="DR66" s="778"/>
      <c r="DS66" s="778"/>
      <c r="DT66" s="778"/>
      <c r="DU66" s="778"/>
      <c r="DV66" s="778"/>
      <c r="DW66" s="778"/>
      <c r="DX66" s="778"/>
      <c r="DY66" s="778"/>
      <c r="DZ66" s="778"/>
      <c r="EA66" s="778"/>
      <c r="EB66" s="778"/>
      <c r="EC66" s="778"/>
      <c r="ED66" s="778"/>
      <c r="EE66" s="778"/>
      <c r="EF66" s="778"/>
      <c r="EG66" s="778"/>
      <c r="EH66" s="778"/>
    </row>
    <row r="67" spans="5:138" ht="12.75" customHeight="1" x14ac:dyDescent="0.3">
      <c r="E67" s="778"/>
      <c r="F67" s="778"/>
      <c r="G67" s="778"/>
      <c r="H67" s="778"/>
      <c r="I67" s="778"/>
      <c r="J67" s="778"/>
      <c r="K67" s="778"/>
      <c r="L67" s="778"/>
      <c r="M67" s="778"/>
      <c r="N67" s="778"/>
      <c r="O67" s="778"/>
      <c r="P67" s="778"/>
      <c r="Q67" s="778"/>
      <c r="R67" s="778"/>
      <c r="S67" s="778"/>
      <c r="T67" s="778"/>
      <c r="U67" s="778"/>
      <c r="V67" s="778"/>
      <c r="W67" s="778"/>
      <c r="X67" s="778"/>
      <c r="Y67" s="778"/>
      <c r="Z67" s="778"/>
      <c r="AA67" s="778"/>
      <c r="AB67" s="778"/>
      <c r="AC67" s="778"/>
      <c r="AD67" s="778"/>
      <c r="AE67" s="778"/>
      <c r="AF67" s="778"/>
      <c r="AG67" s="778"/>
      <c r="AH67" s="778"/>
      <c r="AI67" s="778"/>
      <c r="AJ67" s="778"/>
      <c r="AK67" s="778"/>
      <c r="AL67" s="778"/>
      <c r="AM67" s="778"/>
      <c r="AN67" s="778"/>
      <c r="AO67" s="778"/>
      <c r="AP67" s="778"/>
      <c r="AQ67" s="778"/>
      <c r="AR67" s="778"/>
      <c r="AS67" s="778"/>
      <c r="AT67" s="778"/>
      <c r="AU67" s="778"/>
      <c r="AV67" s="778"/>
      <c r="AW67" s="778"/>
      <c r="AX67" s="778"/>
      <c r="AY67" s="778"/>
      <c r="AZ67" s="778"/>
      <c r="BA67" s="778"/>
      <c r="BB67" s="778"/>
      <c r="BC67" s="778"/>
      <c r="BD67" s="778"/>
      <c r="BE67" s="778"/>
      <c r="BF67" s="778"/>
      <c r="BG67" s="778"/>
      <c r="BH67" s="778"/>
      <c r="BI67" s="778"/>
      <c r="BJ67" s="778"/>
      <c r="BK67" s="778"/>
      <c r="BL67" s="778"/>
      <c r="BM67" s="778"/>
      <c r="BN67" s="778"/>
      <c r="BO67" s="778"/>
      <c r="BP67" s="778"/>
      <c r="BQ67" s="778"/>
      <c r="BR67" s="778"/>
      <c r="BS67" s="778"/>
      <c r="BT67" s="778"/>
      <c r="BU67" s="778"/>
      <c r="BV67" s="778"/>
      <c r="BW67" s="778"/>
      <c r="BX67" s="778"/>
      <c r="BY67" s="778"/>
      <c r="BZ67" s="778"/>
      <c r="CA67" s="778"/>
      <c r="CB67" s="778"/>
      <c r="CC67" s="778"/>
      <c r="CD67" s="778"/>
      <c r="CE67" s="778"/>
      <c r="CF67" s="778"/>
      <c r="CG67" s="778"/>
      <c r="CH67" s="778"/>
      <c r="CI67" s="778"/>
      <c r="CJ67" s="778"/>
      <c r="CK67" s="778"/>
      <c r="CL67" s="778"/>
      <c r="CM67" s="778"/>
      <c r="CN67" s="778"/>
      <c r="CO67" s="778"/>
      <c r="CP67" s="778"/>
      <c r="CQ67" s="778"/>
      <c r="CR67" s="778"/>
      <c r="CS67" s="778"/>
      <c r="CT67" s="778"/>
      <c r="CU67" s="778"/>
      <c r="CV67" s="778"/>
      <c r="CW67" s="778"/>
      <c r="CX67" s="778"/>
      <c r="CY67" s="778"/>
      <c r="CZ67" s="778"/>
      <c r="DA67" s="778"/>
      <c r="DB67" s="778"/>
      <c r="DC67" s="778"/>
      <c r="DD67" s="778"/>
      <c r="DE67" s="778"/>
      <c r="DF67" s="778"/>
      <c r="DG67" s="778"/>
      <c r="DH67" s="778"/>
      <c r="DI67" s="778"/>
      <c r="DJ67" s="778"/>
      <c r="DK67" s="778"/>
      <c r="DL67" s="778"/>
      <c r="DM67" s="778"/>
      <c r="DN67" s="778"/>
      <c r="DO67" s="778"/>
      <c r="DP67" s="778"/>
      <c r="DQ67" s="778"/>
      <c r="DR67" s="778"/>
      <c r="DS67" s="778"/>
      <c r="DT67" s="778"/>
      <c r="DU67" s="778"/>
      <c r="DV67" s="778"/>
      <c r="DW67" s="778"/>
      <c r="DX67" s="778"/>
      <c r="DY67" s="778"/>
      <c r="DZ67" s="778"/>
      <c r="EA67" s="778"/>
      <c r="EB67" s="778"/>
      <c r="EC67" s="778"/>
      <c r="ED67" s="778"/>
      <c r="EE67" s="778"/>
      <c r="EF67" s="778"/>
      <c r="EG67" s="778"/>
      <c r="EH67" s="778"/>
    </row>
    <row r="68" spans="5:138" ht="12.75" customHeight="1" x14ac:dyDescent="0.3">
      <c r="E68" s="778"/>
      <c r="F68" s="778"/>
      <c r="G68" s="778"/>
      <c r="H68" s="778"/>
      <c r="I68" s="778"/>
      <c r="J68" s="778"/>
      <c r="K68" s="778"/>
      <c r="L68" s="778"/>
      <c r="M68" s="778"/>
      <c r="N68" s="778"/>
      <c r="O68" s="778"/>
      <c r="P68" s="778"/>
      <c r="Q68" s="778"/>
      <c r="R68" s="778"/>
      <c r="S68" s="778"/>
      <c r="T68" s="778"/>
      <c r="U68" s="778"/>
      <c r="V68" s="778"/>
      <c r="W68" s="778"/>
      <c r="X68" s="778"/>
      <c r="Y68" s="778"/>
      <c r="Z68" s="778"/>
      <c r="AA68" s="778"/>
      <c r="AB68" s="778"/>
      <c r="AC68" s="778"/>
      <c r="AD68" s="778"/>
      <c r="AE68" s="778"/>
      <c r="AF68" s="778"/>
      <c r="AG68" s="778"/>
      <c r="AH68" s="778"/>
      <c r="AI68" s="778"/>
      <c r="AJ68" s="778"/>
      <c r="AK68" s="778"/>
      <c r="AL68" s="778"/>
      <c r="AM68" s="778"/>
      <c r="AN68" s="778"/>
      <c r="AO68" s="778"/>
      <c r="AP68" s="778"/>
      <c r="AQ68" s="778"/>
      <c r="AR68" s="778"/>
      <c r="AS68" s="778"/>
      <c r="AT68" s="778"/>
      <c r="AU68" s="778"/>
      <c r="AV68" s="778"/>
      <c r="AW68" s="778"/>
      <c r="AX68" s="778"/>
      <c r="AY68" s="778"/>
      <c r="AZ68" s="778"/>
      <c r="BA68" s="778"/>
      <c r="BB68" s="778"/>
      <c r="BC68" s="778"/>
      <c r="BD68" s="778"/>
      <c r="BE68" s="778"/>
      <c r="BF68" s="778"/>
      <c r="BG68" s="778"/>
      <c r="BH68" s="778"/>
      <c r="BI68" s="778"/>
      <c r="BJ68" s="778"/>
      <c r="BK68" s="778"/>
      <c r="BL68" s="778"/>
      <c r="BM68" s="778"/>
      <c r="BN68" s="778"/>
      <c r="BO68" s="778"/>
      <c r="BP68" s="778"/>
      <c r="BQ68" s="778"/>
      <c r="BR68" s="778"/>
      <c r="BS68" s="778"/>
      <c r="BT68" s="778"/>
      <c r="BU68" s="778"/>
      <c r="BV68" s="778"/>
      <c r="BW68" s="778"/>
      <c r="BX68" s="778"/>
      <c r="BY68" s="778"/>
      <c r="BZ68" s="778"/>
      <c r="CA68" s="778"/>
      <c r="CB68" s="778"/>
      <c r="CC68" s="778"/>
      <c r="CD68" s="778"/>
      <c r="CE68" s="778"/>
      <c r="CF68" s="778"/>
      <c r="CG68" s="778"/>
      <c r="CH68" s="778"/>
      <c r="CI68" s="778"/>
      <c r="CJ68" s="778"/>
      <c r="CK68" s="778"/>
      <c r="CL68" s="778"/>
      <c r="CM68" s="778"/>
      <c r="CN68" s="778"/>
      <c r="CO68" s="778"/>
      <c r="CP68" s="778"/>
      <c r="CQ68" s="778"/>
      <c r="CR68" s="778"/>
      <c r="CS68" s="778"/>
      <c r="CT68" s="778"/>
      <c r="CU68" s="778"/>
      <c r="CV68" s="778"/>
      <c r="CW68" s="778"/>
      <c r="CX68" s="778"/>
      <c r="CY68" s="778"/>
      <c r="CZ68" s="778"/>
      <c r="DA68" s="778"/>
      <c r="DB68" s="778"/>
      <c r="DC68" s="778"/>
      <c r="DD68" s="778"/>
      <c r="DE68" s="778"/>
      <c r="DF68" s="778"/>
      <c r="DG68" s="778"/>
      <c r="DH68" s="778"/>
      <c r="DI68" s="778"/>
      <c r="DJ68" s="778"/>
      <c r="DK68" s="778"/>
      <c r="DL68" s="778"/>
      <c r="DM68" s="778"/>
      <c r="DN68" s="778"/>
      <c r="DO68" s="778"/>
      <c r="DP68" s="778"/>
      <c r="DQ68" s="778"/>
      <c r="DR68" s="778"/>
      <c r="DS68" s="778"/>
      <c r="DT68" s="778"/>
      <c r="DU68" s="778"/>
      <c r="DV68" s="778"/>
      <c r="DW68" s="778"/>
      <c r="DX68" s="778"/>
      <c r="DY68" s="778"/>
      <c r="DZ68" s="778"/>
      <c r="EA68" s="778"/>
      <c r="EB68" s="778"/>
      <c r="EC68" s="778"/>
      <c r="ED68" s="778"/>
      <c r="EE68" s="778"/>
      <c r="EF68" s="778"/>
      <c r="EG68" s="778"/>
      <c r="EH68" s="778"/>
    </row>
    <row r="69" spans="5:138" ht="12.75" customHeight="1" x14ac:dyDescent="0.3">
      <c r="E69" s="778"/>
      <c r="F69" s="778"/>
      <c r="G69" s="778"/>
      <c r="H69" s="778"/>
      <c r="I69" s="778"/>
      <c r="J69" s="778"/>
      <c r="K69" s="778"/>
      <c r="L69" s="778"/>
      <c r="M69" s="778"/>
      <c r="N69" s="778"/>
      <c r="O69" s="778"/>
      <c r="P69" s="778"/>
      <c r="Q69" s="778"/>
      <c r="R69" s="778"/>
      <c r="S69" s="778"/>
      <c r="T69" s="778"/>
      <c r="U69" s="778"/>
      <c r="V69" s="778"/>
      <c r="W69" s="778"/>
      <c r="X69" s="778"/>
      <c r="Y69" s="778"/>
      <c r="Z69" s="778"/>
      <c r="AA69" s="778"/>
      <c r="AB69" s="778"/>
      <c r="AC69" s="778"/>
      <c r="AD69" s="778"/>
      <c r="AE69" s="778"/>
      <c r="AF69" s="778"/>
      <c r="AG69" s="778"/>
      <c r="AH69" s="778"/>
      <c r="AI69" s="778"/>
      <c r="AJ69" s="778"/>
      <c r="AK69" s="778"/>
      <c r="AL69" s="778"/>
      <c r="AM69" s="778"/>
      <c r="AN69" s="778"/>
      <c r="AO69" s="778"/>
      <c r="AP69" s="778"/>
      <c r="AQ69" s="778"/>
      <c r="AR69" s="778"/>
      <c r="AS69" s="778"/>
      <c r="AT69" s="778"/>
      <c r="AU69" s="778"/>
      <c r="AV69" s="778"/>
      <c r="AW69" s="778"/>
      <c r="AX69" s="778"/>
      <c r="AY69" s="778"/>
      <c r="AZ69" s="778"/>
      <c r="BA69" s="778"/>
      <c r="BB69" s="778"/>
      <c r="BC69" s="778"/>
      <c r="BD69" s="778"/>
      <c r="BE69" s="778"/>
      <c r="BF69" s="778"/>
      <c r="BG69" s="778"/>
      <c r="BH69" s="778"/>
      <c r="BI69" s="778"/>
      <c r="BJ69" s="778"/>
      <c r="BK69" s="778"/>
      <c r="BL69" s="778"/>
      <c r="BM69" s="778"/>
      <c r="BN69" s="778"/>
      <c r="BO69" s="778"/>
      <c r="BP69" s="778"/>
      <c r="BQ69" s="778"/>
      <c r="BR69" s="778"/>
      <c r="BS69" s="778"/>
      <c r="BT69" s="778"/>
      <c r="BU69" s="778"/>
      <c r="BV69" s="778"/>
      <c r="BW69" s="778"/>
      <c r="BX69" s="778"/>
      <c r="BY69" s="778"/>
      <c r="BZ69" s="778"/>
      <c r="CA69" s="778"/>
      <c r="CB69" s="778"/>
      <c r="CC69" s="778"/>
      <c r="CD69" s="778"/>
      <c r="CE69" s="778"/>
      <c r="CF69" s="778"/>
      <c r="CG69" s="778"/>
      <c r="CH69" s="778"/>
      <c r="CI69" s="778"/>
      <c r="CJ69" s="778"/>
      <c r="CK69" s="778"/>
      <c r="CL69" s="778"/>
      <c r="CM69" s="778"/>
      <c r="CN69" s="778"/>
      <c r="CO69" s="778"/>
      <c r="CP69" s="778"/>
      <c r="CQ69" s="778"/>
      <c r="CR69" s="778"/>
      <c r="CS69" s="778"/>
      <c r="CT69" s="778"/>
      <c r="CU69" s="778"/>
      <c r="CV69" s="778"/>
      <c r="CW69" s="778"/>
      <c r="CX69" s="778"/>
      <c r="CY69" s="778"/>
      <c r="CZ69" s="778"/>
      <c r="DA69" s="778"/>
      <c r="DB69" s="778"/>
      <c r="DC69" s="778"/>
      <c r="DD69" s="778"/>
      <c r="DE69" s="778"/>
      <c r="DF69" s="778"/>
      <c r="DG69" s="778"/>
      <c r="DH69" s="778"/>
      <c r="DI69" s="778"/>
      <c r="DJ69" s="778"/>
      <c r="DK69" s="778"/>
      <c r="DL69" s="778"/>
      <c r="DM69" s="778"/>
      <c r="DN69" s="778"/>
      <c r="DO69" s="778"/>
      <c r="DP69" s="778"/>
      <c r="DQ69" s="778"/>
      <c r="DR69" s="778"/>
      <c r="DS69" s="778"/>
      <c r="DT69" s="778"/>
      <c r="DU69" s="778"/>
      <c r="DV69" s="778"/>
      <c r="DW69" s="778"/>
      <c r="DX69" s="778"/>
      <c r="DY69" s="778"/>
      <c r="DZ69" s="778"/>
      <c r="EA69" s="778"/>
      <c r="EB69" s="778"/>
      <c r="EC69" s="778"/>
      <c r="ED69" s="778"/>
      <c r="EE69" s="778"/>
      <c r="EF69" s="778"/>
      <c r="EG69" s="778"/>
      <c r="EH69" s="778"/>
    </row>
    <row r="70" spans="5:138" ht="12.75" customHeight="1" x14ac:dyDescent="0.3">
      <c r="E70" s="778"/>
      <c r="F70" s="778"/>
      <c r="G70" s="778"/>
      <c r="H70" s="778"/>
      <c r="I70" s="778"/>
      <c r="J70" s="778"/>
      <c r="K70" s="778"/>
      <c r="L70" s="778"/>
      <c r="M70" s="778"/>
      <c r="N70" s="778"/>
      <c r="O70" s="778"/>
      <c r="P70" s="778"/>
      <c r="Q70" s="778"/>
      <c r="R70" s="778"/>
      <c r="S70" s="778"/>
      <c r="T70" s="778"/>
      <c r="U70" s="778"/>
      <c r="V70" s="778"/>
      <c r="W70" s="778"/>
      <c r="X70" s="778"/>
      <c r="Y70" s="778"/>
      <c r="Z70" s="778"/>
      <c r="AA70" s="778"/>
      <c r="AB70" s="778"/>
      <c r="AC70" s="778"/>
      <c r="AD70" s="778"/>
      <c r="AE70" s="778"/>
      <c r="AF70" s="778"/>
      <c r="AG70" s="778"/>
      <c r="AH70" s="778"/>
      <c r="AI70" s="778"/>
      <c r="AJ70" s="778"/>
      <c r="AK70" s="778"/>
      <c r="AL70" s="778"/>
      <c r="AM70" s="778"/>
      <c r="AN70" s="778"/>
      <c r="AO70" s="778"/>
      <c r="AP70" s="778"/>
      <c r="AQ70" s="778"/>
      <c r="AR70" s="778"/>
      <c r="AS70" s="778"/>
      <c r="AT70" s="778"/>
      <c r="AU70" s="778"/>
      <c r="AV70" s="778"/>
      <c r="AW70" s="778"/>
      <c r="AX70" s="778"/>
      <c r="AY70" s="778"/>
      <c r="AZ70" s="778"/>
      <c r="BA70" s="778"/>
      <c r="BB70" s="778"/>
      <c r="BC70" s="778"/>
      <c r="BD70" s="778"/>
      <c r="BE70" s="778"/>
      <c r="BF70" s="778"/>
      <c r="BG70" s="778"/>
      <c r="BH70" s="778"/>
      <c r="BI70" s="778"/>
      <c r="BJ70" s="778"/>
      <c r="BK70" s="778"/>
      <c r="BL70" s="778"/>
      <c r="BM70" s="778"/>
      <c r="BN70" s="778"/>
      <c r="BO70" s="778"/>
      <c r="BP70" s="778"/>
      <c r="BQ70" s="778"/>
      <c r="BR70" s="778"/>
      <c r="BS70" s="778"/>
      <c r="BT70" s="778"/>
      <c r="BU70" s="778"/>
      <c r="BV70" s="778"/>
      <c r="BW70" s="778"/>
      <c r="BX70" s="778"/>
      <c r="BY70" s="778"/>
      <c r="BZ70" s="778"/>
      <c r="CA70" s="778"/>
      <c r="CB70" s="778"/>
      <c r="CC70" s="778"/>
      <c r="CD70" s="778"/>
      <c r="CE70" s="778"/>
      <c r="CF70" s="778"/>
      <c r="CG70" s="778"/>
      <c r="CH70" s="778"/>
      <c r="CI70" s="778"/>
      <c r="CJ70" s="778"/>
      <c r="CK70" s="778"/>
      <c r="CL70" s="778"/>
      <c r="CM70" s="778"/>
      <c r="CN70" s="778"/>
      <c r="CO70" s="778"/>
      <c r="CP70" s="778"/>
      <c r="CQ70" s="778"/>
      <c r="CR70" s="778"/>
      <c r="CS70" s="778"/>
      <c r="CT70" s="778"/>
      <c r="CU70" s="778"/>
      <c r="CV70" s="778"/>
      <c r="CW70" s="778"/>
      <c r="CX70" s="778"/>
      <c r="CY70" s="778"/>
      <c r="CZ70" s="778"/>
      <c r="DA70" s="778"/>
      <c r="DB70" s="778"/>
      <c r="DC70" s="778"/>
      <c r="DD70" s="778"/>
      <c r="DE70" s="778"/>
      <c r="DF70" s="778"/>
      <c r="DG70" s="778"/>
      <c r="DH70" s="778"/>
      <c r="DI70" s="778"/>
      <c r="DJ70" s="778"/>
      <c r="DK70" s="778"/>
      <c r="DL70" s="778"/>
      <c r="DM70" s="778"/>
      <c r="DN70" s="778"/>
      <c r="DO70" s="778"/>
      <c r="DP70" s="778"/>
      <c r="DQ70" s="778"/>
      <c r="DR70" s="778"/>
      <c r="DS70" s="778"/>
      <c r="DT70" s="778"/>
      <c r="DU70" s="778"/>
      <c r="DV70" s="778"/>
      <c r="DW70" s="778"/>
      <c r="DX70" s="778"/>
      <c r="DY70" s="778"/>
      <c r="DZ70" s="778"/>
      <c r="EA70" s="778"/>
      <c r="EB70" s="778"/>
      <c r="EC70" s="778"/>
      <c r="ED70" s="778"/>
      <c r="EE70" s="778"/>
      <c r="EF70" s="778"/>
      <c r="EG70" s="778"/>
      <c r="EH70" s="778"/>
    </row>
    <row r="71" spans="5:138" ht="12.75" customHeight="1" x14ac:dyDescent="0.3">
      <c r="E71" s="778"/>
      <c r="F71" s="778"/>
      <c r="G71" s="778"/>
      <c r="H71" s="778"/>
      <c r="I71" s="778"/>
      <c r="J71" s="778"/>
      <c r="K71" s="778"/>
      <c r="L71" s="778"/>
      <c r="M71" s="778"/>
      <c r="N71" s="778"/>
      <c r="O71" s="778"/>
      <c r="P71" s="778"/>
      <c r="Q71" s="778"/>
      <c r="R71" s="778"/>
      <c r="S71" s="778"/>
      <c r="T71" s="778"/>
      <c r="U71" s="778"/>
      <c r="V71" s="778"/>
      <c r="W71" s="778"/>
      <c r="X71" s="778"/>
      <c r="Y71" s="778"/>
      <c r="Z71" s="778"/>
      <c r="AA71" s="778"/>
      <c r="AB71" s="778"/>
      <c r="AC71" s="778"/>
      <c r="AD71" s="778"/>
      <c r="AE71" s="778"/>
      <c r="AF71" s="778"/>
      <c r="AG71" s="778"/>
      <c r="AH71" s="778"/>
      <c r="AI71" s="778"/>
      <c r="AJ71" s="778"/>
      <c r="AK71" s="778"/>
      <c r="AL71" s="778"/>
      <c r="AM71" s="778"/>
      <c r="AN71" s="778"/>
      <c r="AO71" s="778"/>
      <c r="AP71" s="778"/>
      <c r="AQ71" s="778"/>
      <c r="AR71" s="778"/>
      <c r="AS71" s="778"/>
      <c r="AT71" s="778"/>
      <c r="AU71" s="778"/>
      <c r="AV71" s="778"/>
      <c r="AW71" s="778"/>
      <c r="AX71" s="778"/>
      <c r="AY71" s="778"/>
      <c r="AZ71" s="778"/>
      <c r="BA71" s="778"/>
      <c r="BB71" s="778"/>
      <c r="BC71" s="778"/>
      <c r="BD71" s="778"/>
      <c r="BE71" s="778"/>
      <c r="BF71" s="778"/>
      <c r="BG71" s="778"/>
      <c r="BH71" s="778"/>
      <c r="BI71" s="778"/>
      <c r="BJ71" s="778"/>
      <c r="BK71" s="778"/>
      <c r="BL71" s="778"/>
      <c r="BM71" s="778"/>
      <c r="BN71" s="778"/>
      <c r="BO71" s="778"/>
      <c r="BP71" s="778"/>
      <c r="BQ71" s="778"/>
      <c r="BR71" s="778"/>
      <c r="BS71" s="778"/>
      <c r="BT71" s="778"/>
      <c r="BU71" s="778"/>
      <c r="BV71" s="778"/>
      <c r="BW71" s="778"/>
      <c r="BX71" s="778"/>
      <c r="BY71" s="778"/>
      <c r="BZ71" s="778"/>
      <c r="CA71" s="778"/>
      <c r="CB71" s="778"/>
      <c r="CC71" s="778"/>
      <c r="CD71" s="778"/>
      <c r="CE71" s="778"/>
      <c r="CF71" s="778"/>
      <c r="CG71" s="778"/>
      <c r="CH71" s="778"/>
      <c r="CI71" s="778"/>
      <c r="CJ71" s="778"/>
      <c r="CK71" s="778"/>
      <c r="CL71" s="778"/>
      <c r="CM71" s="778"/>
      <c r="CN71" s="778"/>
      <c r="CO71" s="778"/>
      <c r="CP71" s="778"/>
      <c r="CQ71" s="778"/>
      <c r="CR71" s="778"/>
      <c r="CS71" s="778"/>
      <c r="CT71" s="778"/>
      <c r="CU71" s="778"/>
      <c r="CV71" s="778"/>
      <c r="CW71" s="778"/>
      <c r="CX71" s="778"/>
      <c r="CY71" s="778"/>
      <c r="CZ71" s="778"/>
      <c r="DA71" s="778"/>
      <c r="DB71" s="778"/>
      <c r="DC71" s="778"/>
      <c r="DD71" s="778"/>
      <c r="DE71" s="778"/>
      <c r="DF71" s="778"/>
      <c r="DG71" s="778"/>
      <c r="DH71" s="778"/>
      <c r="DI71" s="778"/>
      <c r="DJ71" s="778"/>
      <c r="DK71" s="778"/>
      <c r="DL71" s="778"/>
      <c r="DM71" s="778"/>
      <c r="DN71" s="778"/>
      <c r="DO71" s="778"/>
      <c r="DP71" s="778"/>
      <c r="DQ71" s="778"/>
      <c r="DR71" s="778"/>
      <c r="DS71" s="778"/>
      <c r="DT71" s="778"/>
      <c r="DU71" s="778"/>
      <c r="DV71" s="778"/>
      <c r="DW71" s="778"/>
      <c r="DX71" s="778"/>
      <c r="DY71" s="778"/>
      <c r="DZ71" s="778"/>
      <c r="EA71" s="778"/>
      <c r="EB71" s="778"/>
      <c r="EC71" s="778"/>
      <c r="ED71" s="778"/>
      <c r="EE71" s="778"/>
      <c r="EF71" s="778"/>
      <c r="EG71" s="778"/>
      <c r="EH71" s="778"/>
    </row>
    <row r="72" spans="5:138" ht="12.75" customHeight="1" x14ac:dyDescent="0.3">
      <c r="E72" s="778"/>
      <c r="F72" s="778"/>
      <c r="G72" s="778"/>
      <c r="H72" s="778"/>
      <c r="I72" s="778"/>
      <c r="J72" s="778"/>
      <c r="K72" s="778"/>
      <c r="L72" s="778"/>
      <c r="M72" s="778"/>
      <c r="N72" s="778"/>
      <c r="O72" s="778"/>
      <c r="P72" s="778"/>
      <c r="Q72" s="778"/>
      <c r="R72" s="778"/>
      <c r="S72" s="778"/>
      <c r="T72" s="778"/>
      <c r="U72" s="778"/>
      <c r="V72" s="778"/>
      <c r="W72" s="778"/>
      <c r="X72" s="778"/>
      <c r="Y72" s="778"/>
      <c r="Z72" s="778"/>
      <c r="AA72" s="778"/>
      <c r="AB72" s="778"/>
      <c r="AC72" s="778"/>
      <c r="AD72" s="778"/>
      <c r="AE72" s="778"/>
      <c r="AF72" s="778"/>
      <c r="AG72" s="778"/>
      <c r="AH72" s="778"/>
      <c r="AI72" s="778"/>
      <c r="AJ72" s="778"/>
      <c r="AK72" s="778"/>
      <c r="AL72" s="778"/>
      <c r="AM72" s="778"/>
      <c r="AN72" s="778"/>
      <c r="AO72" s="778"/>
      <c r="AP72" s="778"/>
      <c r="AQ72" s="778"/>
      <c r="AR72" s="778"/>
      <c r="AS72" s="778"/>
      <c r="AT72" s="778"/>
      <c r="AU72" s="778"/>
      <c r="AV72" s="778"/>
      <c r="AW72" s="778"/>
      <c r="AX72" s="778"/>
      <c r="AY72" s="778"/>
      <c r="AZ72" s="778"/>
      <c r="BA72" s="778"/>
      <c r="BB72" s="778"/>
      <c r="BC72" s="778"/>
      <c r="BD72" s="778"/>
      <c r="BE72" s="778"/>
      <c r="BF72" s="778"/>
      <c r="BG72" s="778"/>
      <c r="BH72" s="778"/>
      <c r="BI72" s="778"/>
      <c r="BJ72" s="778"/>
      <c r="BK72" s="778"/>
      <c r="BL72" s="778"/>
      <c r="BM72" s="778"/>
      <c r="BN72" s="778"/>
      <c r="BO72" s="778"/>
      <c r="BP72" s="778"/>
      <c r="BQ72" s="778"/>
      <c r="BR72" s="778"/>
      <c r="BS72" s="778"/>
      <c r="BT72" s="778"/>
      <c r="BU72" s="778"/>
      <c r="BV72" s="778"/>
      <c r="BW72" s="778"/>
      <c r="BX72" s="778"/>
      <c r="BY72" s="778"/>
      <c r="BZ72" s="778"/>
      <c r="CA72" s="778"/>
      <c r="CB72" s="778"/>
      <c r="CC72" s="778"/>
      <c r="CD72" s="778"/>
      <c r="CE72" s="778"/>
      <c r="CF72" s="778"/>
      <c r="CG72" s="778"/>
      <c r="CH72" s="778"/>
      <c r="CI72" s="778"/>
      <c r="CJ72" s="778"/>
      <c r="CK72" s="778"/>
      <c r="CL72" s="778"/>
      <c r="CM72" s="778"/>
      <c r="CN72" s="778"/>
      <c r="CO72" s="778"/>
      <c r="CP72" s="778"/>
      <c r="CQ72" s="778"/>
      <c r="CR72" s="778"/>
      <c r="CS72" s="778"/>
      <c r="CT72" s="778"/>
      <c r="CU72" s="778"/>
      <c r="CV72" s="778"/>
      <c r="CW72" s="778"/>
      <c r="CX72" s="778"/>
      <c r="CY72" s="778"/>
      <c r="CZ72" s="778"/>
      <c r="DA72" s="778"/>
      <c r="DB72" s="778"/>
      <c r="DC72" s="778"/>
      <c r="DD72" s="778"/>
      <c r="DE72" s="778"/>
      <c r="DF72" s="778"/>
      <c r="DG72" s="778"/>
      <c r="DH72" s="778"/>
      <c r="DI72" s="778"/>
      <c r="DJ72" s="778"/>
      <c r="DK72" s="778"/>
      <c r="DL72" s="778"/>
      <c r="DM72" s="778"/>
      <c r="DN72" s="778"/>
      <c r="DO72" s="778"/>
      <c r="DP72" s="778"/>
      <c r="DQ72" s="778"/>
      <c r="DR72" s="778"/>
      <c r="DS72" s="778"/>
      <c r="DT72" s="778"/>
      <c r="DU72" s="778"/>
      <c r="DV72" s="778"/>
      <c r="DW72" s="778"/>
      <c r="DX72" s="778"/>
      <c r="DY72" s="778"/>
      <c r="DZ72" s="778"/>
      <c r="EA72" s="778"/>
      <c r="EB72" s="778"/>
      <c r="EC72" s="778"/>
      <c r="ED72" s="778"/>
      <c r="EE72" s="778"/>
      <c r="EF72" s="778"/>
      <c r="EG72" s="778"/>
      <c r="EH72" s="778"/>
    </row>
    <row r="73" spans="5:138" ht="12.75" customHeight="1" x14ac:dyDescent="0.3">
      <c r="E73" s="778"/>
      <c r="F73" s="778"/>
      <c r="G73" s="778"/>
      <c r="H73" s="778"/>
      <c r="I73" s="778"/>
      <c r="J73" s="778"/>
      <c r="K73" s="778"/>
      <c r="L73" s="778"/>
      <c r="M73" s="778"/>
      <c r="N73" s="778"/>
      <c r="O73" s="778"/>
      <c r="P73" s="778"/>
      <c r="Q73" s="778"/>
      <c r="R73" s="778"/>
      <c r="S73" s="778"/>
      <c r="T73" s="778"/>
      <c r="U73" s="778"/>
      <c r="V73" s="778"/>
      <c r="W73" s="778"/>
      <c r="X73" s="778"/>
      <c r="Y73" s="778"/>
      <c r="Z73" s="778"/>
      <c r="AA73" s="778"/>
      <c r="AB73" s="778"/>
      <c r="AC73" s="778"/>
      <c r="AD73" s="778"/>
      <c r="AE73" s="778"/>
      <c r="AF73" s="778"/>
      <c r="AG73" s="778"/>
      <c r="AH73" s="778"/>
      <c r="AI73" s="778"/>
      <c r="AJ73" s="778"/>
      <c r="AK73" s="778"/>
      <c r="AL73" s="778"/>
      <c r="AM73" s="778"/>
      <c r="AN73" s="778"/>
      <c r="AO73" s="778"/>
      <c r="AP73" s="778"/>
      <c r="AQ73" s="778"/>
      <c r="AR73" s="778"/>
      <c r="AS73" s="778"/>
      <c r="AT73" s="778"/>
      <c r="AU73" s="778"/>
      <c r="AV73" s="778"/>
      <c r="AW73" s="778"/>
      <c r="AX73" s="778"/>
      <c r="AY73" s="778"/>
      <c r="AZ73" s="778"/>
      <c r="BA73" s="778"/>
      <c r="BB73" s="778"/>
      <c r="BC73" s="778"/>
      <c r="BD73" s="778"/>
      <c r="BE73" s="778"/>
      <c r="BF73" s="778"/>
      <c r="BG73" s="778"/>
      <c r="BH73" s="778"/>
      <c r="BI73" s="778"/>
      <c r="BJ73" s="778"/>
      <c r="BK73" s="778"/>
      <c r="BL73" s="778"/>
      <c r="BM73" s="778"/>
      <c r="BN73" s="778"/>
      <c r="BO73" s="778"/>
      <c r="BP73" s="778"/>
      <c r="BQ73" s="778"/>
      <c r="BR73" s="778"/>
      <c r="BS73" s="778"/>
      <c r="BT73" s="778"/>
      <c r="BU73" s="778"/>
      <c r="BV73" s="778"/>
      <c r="BW73" s="778"/>
      <c r="BX73" s="778"/>
      <c r="BY73" s="778"/>
      <c r="BZ73" s="778"/>
      <c r="CA73" s="778"/>
      <c r="CB73" s="778"/>
      <c r="CC73" s="778"/>
      <c r="CD73" s="778"/>
      <c r="CE73" s="778"/>
      <c r="CF73" s="778"/>
      <c r="CG73" s="778"/>
      <c r="CH73" s="778"/>
      <c r="CI73" s="778"/>
      <c r="CJ73" s="778"/>
      <c r="CK73" s="778"/>
      <c r="CL73" s="778"/>
      <c r="CM73" s="778"/>
      <c r="CN73" s="778"/>
      <c r="CO73" s="778"/>
      <c r="CP73" s="778"/>
      <c r="CQ73" s="778"/>
      <c r="CR73" s="778"/>
      <c r="CS73" s="778"/>
      <c r="CT73" s="778"/>
      <c r="CU73" s="778"/>
      <c r="CV73" s="778"/>
      <c r="CW73" s="778"/>
      <c r="CX73" s="778"/>
      <c r="CY73" s="778"/>
      <c r="CZ73" s="778"/>
      <c r="DA73" s="778"/>
      <c r="DB73" s="778"/>
      <c r="DC73" s="778"/>
      <c r="DD73" s="778"/>
      <c r="DE73" s="778"/>
      <c r="DF73" s="778"/>
      <c r="DG73" s="778"/>
      <c r="DH73" s="778"/>
      <c r="DI73" s="778"/>
      <c r="DJ73" s="778"/>
      <c r="DK73" s="778"/>
      <c r="DL73" s="778"/>
      <c r="DM73" s="778"/>
      <c r="DN73" s="778"/>
      <c r="DO73" s="778"/>
      <c r="DP73" s="778"/>
      <c r="DQ73" s="778"/>
      <c r="DR73" s="778"/>
      <c r="DS73" s="778"/>
      <c r="DT73" s="778"/>
      <c r="DU73" s="778"/>
      <c r="DV73" s="778"/>
      <c r="DW73" s="778"/>
      <c r="DX73" s="778"/>
      <c r="DY73" s="778"/>
      <c r="DZ73" s="778"/>
      <c r="EA73" s="778"/>
      <c r="EB73" s="778"/>
      <c r="EC73" s="778"/>
      <c r="ED73" s="778"/>
      <c r="EE73" s="778"/>
      <c r="EF73" s="778"/>
      <c r="EG73" s="778"/>
      <c r="EH73" s="778"/>
    </row>
    <row r="74" spans="5:138" ht="12.75" customHeight="1" x14ac:dyDescent="0.3">
      <c r="E74" s="778"/>
      <c r="F74" s="778"/>
      <c r="G74" s="778"/>
      <c r="H74" s="778"/>
      <c r="I74" s="778"/>
      <c r="J74" s="778"/>
      <c r="K74" s="778"/>
      <c r="L74" s="778"/>
      <c r="M74" s="778"/>
      <c r="N74" s="778"/>
      <c r="O74" s="778"/>
      <c r="P74" s="778"/>
      <c r="Q74" s="778"/>
      <c r="R74" s="778"/>
      <c r="S74" s="778"/>
      <c r="T74" s="778"/>
      <c r="U74" s="778"/>
      <c r="V74" s="778"/>
      <c r="W74" s="778"/>
      <c r="X74" s="778"/>
      <c r="Y74" s="778"/>
      <c r="Z74" s="778"/>
      <c r="AA74" s="778"/>
      <c r="AB74" s="778"/>
      <c r="AC74" s="778"/>
      <c r="AD74" s="778"/>
      <c r="AE74" s="778"/>
      <c r="AF74" s="778"/>
      <c r="AG74" s="778"/>
      <c r="AH74" s="778"/>
      <c r="AI74" s="778"/>
      <c r="AJ74" s="778"/>
      <c r="AK74" s="778"/>
      <c r="AL74" s="778"/>
      <c r="AM74" s="778"/>
      <c r="AN74" s="778"/>
      <c r="AO74" s="778"/>
      <c r="AP74" s="778"/>
      <c r="AQ74" s="778"/>
      <c r="AR74" s="778"/>
      <c r="AS74" s="778"/>
      <c r="AT74" s="778"/>
      <c r="AU74" s="778"/>
      <c r="AV74" s="778"/>
      <c r="AW74" s="778"/>
      <c r="AX74" s="778"/>
      <c r="AY74" s="778"/>
      <c r="AZ74" s="778"/>
      <c r="BA74" s="778"/>
      <c r="BB74" s="778"/>
      <c r="BC74" s="778"/>
      <c r="BD74" s="778"/>
      <c r="BE74" s="778"/>
      <c r="BF74" s="778"/>
      <c r="BG74" s="778"/>
      <c r="BH74" s="778"/>
      <c r="BI74" s="778"/>
      <c r="BJ74" s="778"/>
      <c r="BK74" s="778"/>
      <c r="BL74" s="778"/>
      <c r="BM74" s="778"/>
      <c r="BN74" s="778"/>
      <c r="BO74" s="778"/>
      <c r="BP74" s="778"/>
      <c r="BQ74" s="778"/>
      <c r="BR74" s="778"/>
      <c r="BS74" s="778"/>
      <c r="BT74" s="778"/>
      <c r="BU74" s="778"/>
      <c r="BV74" s="778"/>
      <c r="BW74" s="778"/>
      <c r="BX74" s="778"/>
      <c r="BY74" s="778"/>
      <c r="BZ74" s="778"/>
      <c r="CA74" s="778"/>
      <c r="CB74" s="778"/>
      <c r="CC74" s="778"/>
      <c r="CD74" s="778"/>
      <c r="CE74" s="778"/>
      <c r="CF74" s="778"/>
      <c r="CG74" s="778"/>
      <c r="CH74" s="778"/>
      <c r="CI74" s="778"/>
      <c r="CJ74" s="778"/>
      <c r="CK74" s="778"/>
      <c r="CL74" s="778"/>
      <c r="CM74" s="778"/>
      <c r="CN74" s="778"/>
      <c r="CO74" s="778"/>
      <c r="CP74" s="778"/>
      <c r="CQ74" s="778"/>
      <c r="CR74" s="778"/>
      <c r="CS74" s="778"/>
      <c r="CT74" s="778"/>
      <c r="CU74" s="778"/>
      <c r="CV74" s="778"/>
      <c r="CW74" s="778"/>
      <c r="CX74" s="778"/>
      <c r="CY74" s="778"/>
      <c r="CZ74" s="778"/>
      <c r="DA74" s="778"/>
      <c r="DB74" s="778"/>
      <c r="DC74" s="778"/>
      <c r="DD74" s="778"/>
      <c r="DE74" s="778"/>
      <c r="DF74" s="778"/>
      <c r="DG74" s="778"/>
      <c r="DH74" s="778"/>
      <c r="DI74" s="778"/>
      <c r="DJ74" s="778"/>
      <c r="DK74" s="778"/>
      <c r="DL74" s="778"/>
      <c r="DM74" s="778"/>
      <c r="DN74" s="778"/>
      <c r="DO74" s="778"/>
      <c r="DP74" s="778"/>
      <c r="DQ74" s="778"/>
      <c r="DR74" s="778"/>
      <c r="DS74" s="778"/>
      <c r="DT74" s="778"/>
      <c r="DU74" s="778"/>
      <c r="DV74" s="778"/>
      <c r="DW74" s="778"/>
      <c r="DX74" s="778"/>
      <c r="DY74" s="778"/>
      <c r="DZ74" s="778"/>
      <c r="EA74" s="778"/>
      <c r="EB74" s="778"/>
      <c r="EC74" s="778"/>
      <c r="ED74" s="778"/>
      <c r="EE74" s="778"/>
      <c r="EF74" s="778"/>
      <c r="EG74" s="778"/>
      <c r="EH74" s="778"/>
    </row>
    <row r="75" spans="5:138" ht="12.75" customHeight="1" x14ac:dyDescent="0.3">
      <c r="E75" s="778"/>
      <c r="F75" s="778"/>
      <c r="G75" s="778"/>
      <c r="H75" s="778"/>
      <c r="I75" s="778"/>
      <c r="J75" s="778"/>
      <c r="K75" s="778"/>
      <c r="L75" s="778"/>
      <c r="M75" s="778"/>
      <c r="N75" s="778"/>
      <c r="O75" s="778"/>
      <c r="P75" s="778"/>
      <c r="Q75" s="778"/>
      <c r="R75" s="778"/>
      <c r="S75" s="778"/>
      <c r="T75" s="778"/>
      <c r="U75" s="778"/>
      <c r="V75" s="778"/>
      <c r="W75" s="778"/>
      <c r="X75" s="778"/>
      <c r="Y75" s="778"/>
      <c r="Z75" s="778"/>
      <c r="AA75" s="778"/>
      <c r="AB75" s="778"/>
      <c r="AC75" s="778"/>
      <c r="AD75" s="778"/>
      <c r="AE75" s="778"/>
      <c r="AF75" s="778"/>
      <c r="AG75" s="778"/>
      <c r="AH75" s="778"/>
      <c r="AI75" s="778"/>
      <c r="AJ75" s="778"/>
      <c r="AK75" s="778"/>
      <c r="AL75" s="778"/>
      <c r="AM75" s="778"/>
      <c r="AN75" s="778"/>
      <c r="AO75" s="778"/>
      <c r="AP75" s="778"/>
      <c r="AQ75" s="778"/>
      <c r="AR75" s="778"/>
      <c r="AS75" s="778"/>
      <c r="AT75" s="778"/>
      <c r="AU75" s="778"/>
      <c r="AV75" s="778"/>
      <c r="AW75" s="778"/>
      <c r="AX75" s="778"/>
      <c r="AY75" s="778"/>
      <c r="AZ75" s="778"/>
      <c r="BA75" s="778"/>
      <c r="BB75" s="778"/>
      <c r="BC75" s="778"/>
      <c r="BD75" s="778"/>
      <c r="BE75" s="778"/>
      <c r="BF75" s="778"/>
      <c r="BG75" s="778"/>
      <c r="BH75" s="778"/>
      <c r="BI75" s="778"/>
      <c r="BJ75" s="778"/>
      <c r="BK75" s="778"/>
      <c r="BL75" s="778"/>
      <c r="BM75" s="778"/>
      <c r="BN75" s="778"/>
      <c r="BO75" s="778"/>
      <c r="BP75" s="778"/>
      <c r="BQ75" s="778"/>
      <c r="BR75" s="778"/>
      <c r="BS75" s="778"/>
      <c r="BT75" s="778"/>
      <c r="BU75" s="778"/>
      <c r="BV75" s="778"/>
      <c r="BW75" s="778"/>
      <c r="BX75" s="778"/>
      <c r="BY75" s="778"/>
      <c r="BZ75" s="778"/>
      <c r="CA75" s="778"/>
      <c r="CB75" s="778"/>
      <c r="CC75" s="778"/>
      <c r="CD75" s="778"/>
      <c r="CE75" s="778"/>
      <c r="CF75" s="778"/>
      <c r="CG75" s="778"/>
      <c r="CH75" s="778"/>
      <c r="CI75" s="778"/>
      <c r="CJ75" s="778"/>
      <c r="CK75" s="778"/>
      <c r="CL75" s="778"/>
      <c r="CM75" s="778"/>
      <c r="CN75" s="778"/>
      <c r="CO75" s="778"/>
      <c r="CP75" s="778"/>
      <c r="CQ75" s="778"/>
      <c r="CR75" s="778"/>
      <c r="CS75" s="778"/>
      <c r="CT75" s="778"/>
      <c r="CU75" s="778"/>
      <c r="CV75" s="778"/>
      <c r="CW75" s="778"/>
      <c r="CX75" s="778"/>
      <c r="CY75" s="778"/>
      <c r="CZ75" s="778"/>
      <c r="DA75" s="778"/>
      <c r="DB75" s="778"/>
      <c r="DC75" s="778"/>
      <c r="DD75" s="778"/>
      <c r="DE75" s="778"/>
      <c r="DF75" s="778"/>
      <c r="DG75" s="778"/>
      <c r="DH75" s="778"/>
      <c r="DI75" s="778"/>
      <c r="DJ75" s="778"/>
      <c r="DK75" s="778"/>
      <c r="DL75" s="778"/>
      <c r="DM75" s="778"/>
      <c r="DN75" s="778"/>
      <c r="DO75" s="778"/>
      <c r="DP75" s="778"/>
      <c r="DQ75" s="778"/>
      <c r="DR75" s="778"/>
      <c r="DS75" s="778"/>
      <c r="DT75" s="778"/>
      <c r="DU75" s="778"/>
      <c r="DV75" s="778"/>
      <c r="DW75" s="778"/>
      <c r="DX75" s="778"/>
      <c r="DY75" s="778"/>
      <c r="DZ75" s="778"/>
      <c r="EA75" s="778"/>
      <c r="EB75" s="778"/>
      <c r="EC75" s="778"/>
      <c r="ED75" s="778"/>
      <c r="EE75" s="778"/>
      <c r="EF75" s="778"/>
      <c r="EG75" s="778"/>
      <c r="EH75" s="778"/>
    </row>
    <row r="76" spans="5:138" ht="12.75" customHeight="1" x14ac:dyDescent="0.3">
      <c r="E76" s="778"/>
      <c r="F76" s="778"/>
      <c r="G76" s="778"/>
      <c r="H76" s="778"/>
      <c r="I76" s="778"/>
      <c r="J76" s="778"/>
      <c r="K76" s="778"/>
      <c r="L76" s="778"/>
      <c r="M76" s="778"/>
      <c r="N76" s="778"/>
      <c r="O76" s="778"/>
      <c r="P76" s="778"/>
      <c r="Q76" s="778"/>
      <c r="R76" s="778"/>
      <c r="S76" s="778"/>
      <c r="T76" s="778"/>
      <c r="U76" s="778"/>
      <c r="V76" s="778"/>
      <c r="W76" s="778"/>
      <c r="X76" s="778"/>
      <c r="Y76" s="778"/>
      <c r="Z76" s="778"/>
      <c r="AA76" s="778"/>
      <c r="AB76" s="778"/>
      <c r="AC76" s="778"/>
      <c r="AD76" s="778"/>
      <c r="AE76" s="778"/>
      <c r="AF76" s="778"/>
      <c r="AG76" s="778"/>
      <c r="AH76" s="778"/>
      <c r="AI76" s="778"/>
      <c r="AJ76" s="778"/>
      <c r="AK76" s="778"/>
      <c r="AL76" s="778"/>
      <c r="AM76" s="778"/>
      <c r="AN76" s="778"/>
      <c r="AO76" s="778"/>
      <c r="AP76" s="778"/>
      <c r="AQ76" s="778"/>
      <c r="AR76" s="778"/>
      <c r="AS76" s="778"/>
      <c r="AT76" s="778"/>
      <c r="AU76" s="778"/>
      <c r="AV76" s="778"/>
      <c r="AW76" s="778"/>
      <c r="AX76" s="778"/>
      <c r="AY76" s="778"/>
      <c r="AZ76" s="778"/>
      <c r="BA76" s="778"/>
      <c r="BB76" s="778"/>
      <c r="BC76" s="778"/>
      <c r="BD76" s="778"/>
      <c r="BE76" s="778"/>
      <c r="BF76" s="778"/>
      <c r="BG76" s="778"/>
      <c r="BH76" s="778"/>
      <c r="BI76" s="778"/>
      <c r="BJ76" s="778"/>
      <c r="BK76" s="778"/>
      <c r="BL76" s="778"/>
      <c r="BM76" s="778"/>
      <c r="BN76" s="778"/>
      <c r="BO76" s="778"/>
      <c r="BP76" s="778"/>
      <c r="BQ76" s="778"/>
      <c r="BR76" s="778"/>
      <c r="BS76" s="778"/>
      <c r="BT76" s="778"/>
      <c r="BU76" s="778"/>
      <c r="BV76" s="778"/>
      <c r="BW76" s="778"/>
      <c r="BX76" s="778"/>
      <c r="BY76" s="778"/>
      <c r="BZ76" s="778"/>
      <c r="CA76" s="778"/>
      <c r="CB76" s="778"/>
      <c r="CC76" s="778"/>
      <c r="CD76" s="778"/>
      <c r="CE76" s="778"/>
      <c r="CF76" s="778"/>
      <c r="CG76" s="778"/>
      <c r="CH76" s="778"/>
      <c r="CI76" s="778"/>
      <c r="CJ76" s="778"/>
      <c r="CK76" s="778"/>
      <c r="CL76" s="778"/>
      <c r="CM76" s="778"/>
      <c r="CN76" s="778"/>
      <c r="CO76" s="778"/>
      <c r="CP76" s="778"/>
      <c r="CQ76" s="778"/>
      <c r="CR76" s="778"/>
      <c r="CS76" s="778"/>
      <c r="CT76" s="778"/>
      <c r="CU76" s="778"/>
      <c r="CV76" s="778"/>
      <c r="CW76" s="778"/>
      <c r="CX76" s="778"/>
      <c r="CY76" s="778"/>
      <c r="CZ76" s="778"/>
      <c r="DA76" s="778"/>
      <c r="DB76" s="778"/>
      <c r="DC76" s="778"/>
      <c r="DD76" s="778"/>
      <c r="DE76" s="778"/>
      <c r="DF76" s="778"/>
      <c r="DG76" s="778"/>
      <c r="DH76" s="778"/>
      <c r="DI76" s="778"/>
      <c r="DJ76" s="778"/>
      <c r="DK76" s="778"/>
      <c r="DL76" s="778"/>
      <c r="DM76" s="778"/>
      <c r="DN76" s="778"/>
      <c r="DO76" s="778"/>
      <c r="DP76" s="778"/>
      <c r="DQ76" s="778"/>
      <c r="DR76" s="778"/>
      <c r="DS76" s="778"/>
      <c r="DT76" s="778"/>
      <c r="DU76" s="778"/>
      <c r="DV76" s="778"/>
      <c r="DW76" s="778"/>
      <c r="DX76" s="778"/>
      <c r="DY76" s="778"/>
      <c r="DZ76" s="778"/>
      <c r="EA76" s="778"/>
      <c r="EB76" s="778"/>
      <c r="EC76" s="778"/>
      <c r="ED76" s="778"/>
      <c r="EE76" s="778"/>
      <c r="EF76" s="778"/>
      <c r="EG76" s="778"/>
      <c r="EH76" s="778"/>
    </row>
    <row r="77" spans="5:138" ht="12.75" customHeight="1" x14ac:dyDescent="0.3">
      <c r="E77" s="778"/>
      <c r="F77" s="778"/>
      <c r="G77" s="778"/>
      <c r="H77" s="778"/>
      <c r="I77" s="778"/>
      <c r="J77" s="778"/>
      <c r="K77" s="778"/>
      <c r="L77" s="778"/>
      <c r="M77" s="778"/>
      <c r="N77" s="778"/>
      <c r="O77" s="778"/>
      <c r="P77" s="778"/>
      <c r="Q77" s="778"/>
      <c r="R77" s="778"/>
      <c r="S77" s="778"/>
      <c r="T77" s="778"/>
      <c r="U77" s="778"/>
      <c r="V77" s="778"/>
      <c r="W77" s="778"/>
      <c r="X77" s="778"/>
      <c r="Y77" s="778"/>
      <c r="Z77" s="778"/>
      <c r="AA77" s="778"/>
      <c r="AB77" s="778"/>
      <c r="AC77" s="778"/>
      <c r="AD77" s="778"/>
      <c r="AE77" s="778"/>
      <c r="AF77" s="778"/>
      <c r="AG77" s="778"/>
      <c r="AH77" s="778"/>
      <c r="AI77" s="778"/>
      <c r="AJ77" s="778"/>
      <c r="AK77" s="778"/>
      <c r="AL77" s="778"/>
      <c r="AM77" s="778"/>
      <c r="AN77" s="778"/>
      <c r="AO77" s="778"/>
      <c r="AP77" s="778"/>
      <c r="AQ77" s="778"/>
      <c r="AR77" s="778"/>
      <c r="AS77" s="778"/>
      <c r="AT77" s="778"/>
      <c r="AU77" s="778"/>
      <c r="AV77" s="778"/>
      <c r="AW77" s="778"/>
      <c r="AX77" s="778"/>
      <c r="AY77" s="778"/>
      <c r="AZ77" s="778"/>
      <c r="BA77" s="778"/>
      <c r="BB77" s="778"/>
      <c r="BC77" s="778"/>
      <c r="BD77" s="778"/>
      <c r="BE77" s="778"/>
      <c r="BF77" s="778"/>
      <c r="BG77" s="778"/>
      <c r="BH77" s="778"/>
      <c r="BI77" s="778"/>
      <c r="BJ77" s="778"/>
      <c r="BK77" s="778"/>
      <c r="BL77" s="778"/>
      <c r="BM77" s="778"/>
      <c r="BN77" s="778"/>
      <c r="BO77" s="778"/>
      <c r="BP77" s="778"/>
      <c r="BQ77" s="778"/>
      <c r="BR77" s="778"/>
      <c r="BS77" s="778"/>
      <c r="BT77" s="778"/>
      <c r="BU77" s="778"/>
      <c r="BV77" s="778"/>
      <c r="BW77" s="778"/>
      <c r="BX77" s="778"/>
      <c r="BY77" s="778"/>
      <c r="BZ77" s="778"/>
      <c r="CA77" s="778"/>
      <c r="CB77" s="778"/>
      <c r="CC77" s="778"/>
      <c r="CD77" s="778"/>
      <c r="CE77" s="778"/>
      <c r="CF77" s="778"/>
      <c r="CG77" s="778"/>
      <c r="CH77" s="778"/>
      <c r="CI77" s="778"/>
      <c r="CJ77" s="778"/>
      <c r="CK77" s="778"/>
      <c r="CL77" s="778"/>
      <c r="CM77" s="778"/>
      <c r="CN77" s="778"/>
      <c r="CO77" s="778"/>
      <c r="CP77" s="778"/>
      <c r="CQ77" s="778"/>
      <c r="CR77" s="778"/>
      <c r="CS77" s="778"/>
      <c r="CT77" s="778"/>
      <c r="CU77" s="778"/>
      <c r="CV77" s="778"/>
      <c r="CW77" s="778"/>
      <c r="CX77" s="778"/>
      <c r="CY77" s="778"/>
      <c r="CZ77" s="778"/>
      <c r="DA77" s="778"/>
      <c r="DB77" s="778"/>
      <c r="DC77" s="778"/>
      <c r="DD77" s="778"/>
      <c r="DE77" s="778"/>
      <c r="DF77" s="778"/>
      <c r="DG77" s="778"/>
      <c r="DH77" s="778"/>
      <c r="DI77" s="778"/>
      <c r="DJ77" s="778"/>
      <c r="DK77" s="778"/>
      <c r="DL77" s="778"/>
      <c r="DM77" s="778"/>
      <c r="DN77" s="778"/>
      <c r="DO77" s="778"/>
      <c r="DP77" s="778"/>
      <c r="DQ77" s="778"/>
      <c r="DR77" s="778"/>
      <c r="DS77" s="778"/>
      <c r="DT77" s="778"/>
      <c r="DU77" s="778"/>
      <c r="DV77" s="778"/>
      <c r="DW77" s="778"/>
      <c r="DX77" s="778"/>
      <c r="DY77" s="778"/>
      <c r="DZ77" s="778"/>
      <c r="EA77" s="778"/>
      <c r="EB77" s="778"/>
      <c r="EC77" s="778"/>
      <c r="ED77" s="778"/>
      <c r="EE77" s="778"/>
      <c r="EF77" s="778"/>
      <c r="EG77" s="778"/>
      <c r="EH77" s="778"/>
    </row>
    <row r="78" spans="5:138" ht="12.75" customHeight="1" x14ac:dyDescent="0.3">
      <c r="E78" s="778"/>
      <c r="F78" s="778"/>
      <c r="G78" s="778"/>
      <c r="H78" s="778"/>
      <c r="I78" s="778"/>
      <c r="J78" s="778"/>
      <c r="K78" s="778"/>
      <c r="L78" s="778"/>
      <c r="M78" s="778"/>
      <c r="N78" s="778"/>
      <c r="O78" s="778"/>
      <c r="P78" s="778"/>
      <c r="Q78" s="778"/>
      <c r="R78" s="778"/>
      <c r="S78" s="778"/>
      <c r="T78" s="778"/>
      <c r="U78" s="778"/>
      <c r="V78" s="778"/>
      <c r="W78" s="778"/>
      <c r="X78" s="778"/>
      <c r="Y78" s="778"/>
      <c r="Z78" s="778"/>
      <c r="AA78" s="778"/>
      <c r="AB78" s="778"/>
      <c r="AC78" s="778"/>
      <c r="AD78" s="778"/>
      <c r="AE78" s="778"/>
      <c r="AF78" s="778"/>
      <c r="AG78" s="778"/>
      <c r="AH78" s="778"/>
      <c r="AI78" s="778"/>
      <c r="AJ78" s="778"/>
      <c r="AK78" s="778"/>
      <c r="AL78" s="778"/>
      <c r="AM78" s="778"/>
      <c r="AN78" s="778"/>
      <c r="AO78" s="778"/>
      <c r="AP78" s="778"/>
      <c r="AQ78" s="778"/>
      <c r="AR78" s="778"/>
      <c r="AS78" s="778"/>
      <c r="AT78" s="778"/>
      <c r="AU78" s="778"/>
      <c r="AV78" s="778"/>
      <c r="AW78" s="778"/>
      <c r="AX78" s="778"/>
      <c r="AY78" s="778"/>
      <c r="AZ78" s="778"/>
      <c r="BA78" s="778"/>
      <c r="BB78" s="778"/>
      <c r="BC78" s="778"/>
      <c r="BD78" s="778"/>
      <c r="BE78" s="778"/>
      <c r="BF78" s="778"/>
      <c r="BG78" s="778"/>
      <c r="BH78" s="778"/>
      <c r="BI78" s="778"/>
      <c r="BJ78" s="778"/>
      <c r="BK78" s="778"/>
      <c r="BL78" s="778"/>
      <c r="BM78" s="778"/>
      <c r="BN78" s="778"/>
      <c r="BO78" s="778"/>
      <c r="BP78" s="778"/>
      <c r="BQ78" s="778"/>
      <c r="BR78" s="778"/>
      <c r="BS78" s="778"/>
      <c r="BT78" s="778"/>
      <c r="BU78" s="778"/>
      <c r="BV78" s="778"/>
      <c r="BW78" s="778"/>
      <c r="BX78" s="778"/>
      <c r="BY78" s="778"/>
      <c r="BZ78" s="778"/>
      <c r="CA78" s="778"/>
      <c r="CB78" s="778"/>
      <c r="CC78" s="778"/>
      <c r="CD78" s="778"/>
      <c r="CE78" s="778"/>
      <c r="CF78" s="778"/>
      <c r="CG78" s="778"/>
      <c r="CH78" s="778"/>
      <c r="CI78" s="778"/>
      <c r="CJ78" s="778"/>
      <c r="CK78" s="778"/>
      <c r="CL78" s="778"/>
      <c r="CM78" s="778"/>
      <c r="CN78" s="778"/>
      <c r="CO78" s="778"/>
      <c r="CP78" s="778"/>
      <c r="CQ78" s="778"/>
      <c r="CR78" s="778"/>
      <c r="CS78" s="778"/>
      <c r="CT78" s="778"/>
      <c r="CU78" s="778"/>
      <c r="CV78" s="778"/>
      <c r="CW78" s="778"/>
      <c r="CX78" s="778"/>
      <c r="CY78" s="778"/>
      <c r="CZ78" s="778"/>
      <c r="DA78" s="778"/>
      <c r="DB78" s="778"/>
      <c r="DC78" s="778"/>
      <c r="DD78" s="778"/>
      <c r="DE78" s="778"/>
      <c r="DF78" s="778"/>
      <c r="DG78" s="778"/>
      <c r="DH78" s="778"/>
      <c r="DI78" s="778"/>
      <c r="DJ78" s="778"/>
      <c r="DK78" s="778"/>
      <c r="DL78" s="778"/>
      <c r="DM78" s="778"/>
      <c r="DN78" s="778"/>
      <c r="DO78" s="778"/>
      <c r="DP78" s="778"/>
      <c r="DQ78" s="778"/>
      <c r="DR78" s="778"/>
      <c r="DS78" s="778"/>
      <c r="DT78" s="778"/>
      <c r="DU78" s="778"/>
      <c r="DV78" s="778"/>
      <c r="DW78" s="778"/>
      <c r="DX78" s="778"/>
      <c r="DY78" s="778"/>
      <c r="DZ78" s="778"/>
      <c r="EA78" s="778"/>
      <c r="EB78" s="778"/>
      <c r="EC78" s="778"/>
      <c r="ED78" s="778"/>
      <c r="EE78" s="778"/>
      <c r="EF78" s="778"/>
      <c r="EG78" s="778"/>
      <c r="EH78" s="778"/>
    </row>
    <row r="79" spans="5:138" ht="12.75" customHeight="1" x14ac:dyDescent="0.3">
      <c r="E79" s="778"/>
      <c r="F79" s="778"/>
      <c r="G79" s="778"/>
      <c r="H79" s="778"/>
      <c r="I79" s="778"/>
      <c r="J79" s="778"/>
      <c r="K79" s="778"/>
      <c r="L79" s="778"/>
      <c r="M79" s="778"/>
      <c r="N79" s="778"/>
      <c r="O79" s="778"/>
      <c r="P79" s="778"/>
      <c r="Q79" s="778"/>
      <c r="R79" s="778"/>
      <c r="S79" s="778"/>
      <c r="T79" s="778"/>
      <c r="U79" s="778"/>
      <c r="V79" s="778"/>
      <c r="W79" s="778"/>
      <c r="X79" s="778"/>
      <c r="Y79" s="778"/>
      <c r="Z79" s="778"/>
      <c r="AA79" s="778"/>
      <c r="AB79" s="778"/>
      <c r="AC79" s="778"/>
      <c r="AD79" s="778"/>
      <c r="AE79" s="778"/>
      <c r="AF79" s="778"/>
      <c r="AG79" s="778"/>
      <c r="AH79" s="778"/>
      <c r="AI79" s="778"/>
      <c r="AJ79" s="778"/>
      <c r="AK79" s="778"/>
      <c r="AL79" s="778"/>
      <c r="AM79" s="778"/>
      <c r="AN79" s="778"/>
      <c r="AO79" s="778"/>
      <c r="AP79" s="778"/>
      <c r="AQ79" s="778"/>
      <c r="AR79" s="778"/>
      <c r="AS79" s="778"/>
      <c r="AT79" s="778"/>
      <c r="AU79" s="778"/>
      <c r="AV79" s="778"/>
      <c r="AW79" s="778"/>
      <c r="AX79" s="778"/>
      <c r="AY79" s="778"/>
      <c r="AZ79" s="778"/>
      <c r="BA79" s="778"/>
      <c r="BB79" s="778"/>
      <c r="BC79" s="778"/>
      <c r="BD79" s="778"/>
      <c r="BE79" s="778"/>
      <c r="BF79" s="778"/>
      <c r="BG79" s="778"/>
      <c r="BH79" s="778"/>
      <c r="BI79" s="778"/>
      <c r="BJ79" s="778"/>
      <c r="BK79" s="778"/>
      <c r="BL79" s="778"/>
      <c r="BM79" s="778"/>
      <c r="BN79" s="778"/>
      <c r="BO79" s="778"/>
      <c r="BP79" s="778"/>
      <c r="BQ79" s="778"/>
      <c r="BR79" s="778"/>
      <c r="BS79" s="778"/>
      <c r="BT79" s="778"/>
      <c r="BU79" s="778"/>
      <c r="BV79" s="778"/>
      <c r="BW79" s="778"/>
      <c r="BX79" s="778"/>
      <c r="BY79" s="778"/>
      <c r="BZ79" s="778"/>
      <c r="CA79" s="778"/>
      <c r="CB79" s="778"/>
      <c r="CC79" s="778"/>
      <c r="CD79" s="778"/>
      <c r="CE79" s="778"/>
      <c r="CF79" s="778"/>
      <c r="CG79" s="778"/>
      <c r="CH79" s="778"/>
      <c r="CI79" s="778"/>
      <c r="CJ79" s="778"/>
      <c r="CK79" s="778"/>
      <c r="CL79" s="778"/>
      <c r="CM79" s="778"/>
      <c r="CN79" s="778"/>
      <c r="CO79" s="778"/>
      <c r="CP79" s="778"/>
      <c r="CQ79" s="778"/>
      <c r="CR79" s="778"/>
      <c r="CS79" s="778"/>
      <c r="CT79" s="778"/>
      <c r="CU79" s="778"/>
      <c r="CV79" s="778"/>
      <c r="CW79" s="778"/>
      <c r="CX79" s="778"/>
      <c r="CY79" s="778"/>
      <c r="CZ79" s="778"/>
      <c r="DA79" s="778"/>
      <c r="DB79" s="778"/>
      <c r="DC79" s="778"/>
      <c r="DD79" s="778"/>
      <c r="DE79" s="778"/>
      <c r="DF79" s="778"/>
      <c r="DG79" s="778"/>
      <c r="DH79" s="778"/>
      <c r="DI79" s="778"/>
      <c r="DJ79" s="778"/>
      <c r="DK79" s="778"/>
      <c r="DL79" s="778"/>
      <c r="DM79" s="778"/>
      <c r="DN79" s="778"/>
      <c r="DO79" s="778"/>
      <c r="DP79" s="778"/>
      <c r="DQ79" s="778"/>
      <c r="DR79" s="778"/>
      <c r="DS79" s="778"/>
      <c r="DT79" s="778"/>
      <c r="DU79" s="778"/>
      <c r="DV79" s="778"/>
      <c r="DW79" s="778"/>
      <c r="DX79" s="778"/>
      <c r="DY79" s="778"/>
      <c r="DZ79" s="778"/>
      <c r="EA79" s="778"/>
      <c r="EB79" s="778"/>
      <c r="EC79" s="778"/>
      <c r="ED79" s="778"/>
      <c r="EE79" s="778"/>
      <c r="EF79" s="778"/>
      <c r="EG79" s="778"/>
      <c r="EH79" s="778"/>
    </row>
    <row r="80" spans="5:138" ht="12.75" customHeight="1" x14ac:dyDescent="0.3">
      <c r="E80" s="778"/>
      <c r="F80" s="778"/>
      <c r="G80" s="778"/>
      <c r="H80" s="778"/>
      <c r="I80" s="778"/>
      <c r="J80" s="778"/>
      <c r="K80" s="778"/>
      <c r="L80" s="778"/>
      <c r="M80" s="778"/>
      <c r="N80" s="778"/>
      <c r="O80" s="778"/>
      <c r="P80" s="778"/>
      <c r="Q80" s="778"/>
      <c r="R80" s="778"/>
      <c r="S80" s="778"/>
      <c r="T80" s="778"/>
      <c r="U80" s="778"/>
      <c r="V80" s="778"/>
      <c r="W80" s="778"/>
      <c r="X80" s="778"/>
      <c r="Y80" s="778"/>
      <c r="Z80" s="778"/>
      <c r="AA80" s="778"/>
      <c r="AB80" s="778"/>
      <c r="AC80" s="778"/>
      <c r="AD80" s="778"/>
      <c r="AE80" s="778"/>
      <c r="AF80" s="778"/>
      <c r="AG80" s="778"/>
      <c r="AH80" s="778"/>
      <c r="AI80" s="778"/>
      <c r="AJ80" s="778"/>
      <c r="AK80" s="778"/>
      <c r="AL80" s="778"/>
      <c r="AM80" s="778"/>
      <c r="AN80" s="778"/>
      <c r="AO80" s="778"/>
      <c r="AP80" s="778"/>
      <c r="AQ80" s="778"/>
      <c r="AR80" s="778"/>
      <c r="AS80" s="778"/>
      <c r="AT80" s="778"/>
      <c r="AU80" s="778"/>
      <c r="AV80" s="778"/>
      <c r="AW80" s="778"/>
      <c r="AX80" s="778"/>
      <c r="AY80" s="778"/>
      <c r="AZ80" s="778"/>
      <c r="BA80" s="778"/>
      <c r="BB80" s="778"/>
      <c r="BC80" s="778"/>
      <c r="BD80" s="778"/>
      <c r="BE80" s="778"/>
      <c r="BF80" s="778"/>
      <c r="BG80" s="778"/>
      <c r="BH80" s="778"/>
      <c r="BI80" s="778"/>
      <c r="BJ80" s="778"/>
      <c r="BK80" s="778"/>
      <c r="BL80" s="778"/>
      <c r="BM80" s="778"/>
      <c r="BN80" s="778"/>
      <c r="BO80" s="778"/>
      <c r="BP80" s="778"/>
      <c r="BQ80" s="778"/>
      <c r="BR80" s="778"/>
      <c r="BS80" s="778"/>
      <c r="BT80" s="778"/>
      <c r="BU80" s="778"/>
      <c r="BV80" s="778"/>
      <c r="BW80" s="778"/>
      <c r="BX80" s="778"/>
      <c r="BY80" s="778"/>
      <c r="BZ80" s="778"/>
      <c r="CA80" s="778"/>
      <c r="CB80" s="778"/>
      <c r="CC80" s="778"/>
      <c r="CD80" s="778"/>
      <c r="CE80" s="778"/>
      <c r="CF80" s="778"/>
      <c r="CG80" s="778"/>
      <c r="CH80" s="778"/>
      <c r="CI80" s="778"/>
      <c r="CJ80" s="778"/>
      <c r="CK80" s="778"/>
      <c r="CL80" s="778"/>
      <c r="CM80" s="778"/>
      <c r="CN80" s="778"/>
      <c r="CO80" s="778"/>
      <c r="CP80" s="778"/>
      <c r="CQ80" s="778"/>
      <c r="CR80" s="778"/>
      <c r="CS80" s="778"/>
      <c r="CT80" s="778"/>
      <c r="CU80" s="778"/>
      <c r="CV80" s="778"/>
      <c r="CW80" s="778"/>
      <c r="CX80" s="778"/>
      <c r="CY80" s="778"/>
      <c r="CZ80" s="778"/>
      <c r="DA80" s="778"/>
      <c r="DB80" s="778"/>
      <c r="DC80" s="778"/>
      <c r="DD80" s="778"/>
      <c r="DE80" s="778"/>
      <c r="DF80" s="778"/>
      <c r="DG80" s="778"/>
      <c r="DH80" s="778"/>
      <c r="DI80" s="778"/>
      <c r="DJ80" s="778"/>
      <c r="DK80" s="778"/>
      <c r="DL80" s="778"/>
      <c r="DM80" s="778"/>
      <c r="DN80" s="778"/>
      <c r="DO80" s="778"/>
      <c r="DP80" s="778"/>
      <c r="DQ80" s="778"/>
      <c r="DR80" s="778"/>
      <c r="DS80" s="778"/>
      <c r="DT80" s="778"/>
      <c r="DU80" s="778"/>
      <c r="DV80" s="778"/>
      <c r="DW80" s="778"/>
      <c r="DX80" s="778"/>
      <c r="DY80" s="778"/>
      <c r="DZ80" s="778"/>
      <c r="EA80" s="778"/>
      <c r="EB80" s="778"/>
      <c r="EC80" s="778"/>
      <c r="ED80" s="778"/>
      <c r="EE80" s="778"/>
      <c r="EF80" s="778"/>
      <c r="EG80" s="778"/>
      <c r="EH80" s="778"/>
    </row>
    <row r="81" spans="5:138" ht="12.75" customHeight="1" x14ac:dyDescent="0.3">
      <c r="E81" s="778"/>
      <c r="F81" s="778"/>
      <c r="G81" s="778"/>
      <c r="H81" s="778"/>
      <c r="I81" s="778"/>
      <c r="J81" s="778"/>
      <c r="K81" s="778"/>
      <c r="L81" s="778"/>
      <c r="M81" s="778"/>
      <c r="N81" s="778"/>
      <c r="O81" s="778"/>
      <c r="P81" s="778"/>
      <c r="Q81" s="778"/>
      <c r="R81" s="778"/>
      <c r="S81" s="778"/>
      <c r="T81" s="778"/>
      <c r="U81" s="778"/>
      <c r="V81" s="778"/>
      <c r="W81" s="778"/>
      <c r="X81" s="778"/>
      <c r="Y81" s="778"/>
      <c r="Z81" s="778"/>
      <c r="AA81" s="778"/>
      <c r="AB81" s="778"/>
      <c r="AC81" s="778"/>
      <c r="AD81" s="778"/>
      <c r="AE81" s="778"/>
      <c r="AF81" s="778"/>
      <c r="AG81" s="778"/>
      <c r="AH81" s="778"/>
      <c r="AI81" s="778"/>
      <c r="AJ81" s="778"/>
      <c r="AK81" s="778"/>
      <c r="AL81" s="778"/>
      <c r="AM81" s="778"/>
      <c r="AN81" s="778"/>
      <c r="AO81" s="778"/>
      <c r="AP81" s="778"/>
      <c r="AQ81" s="778"/>
      <c r="AR81" s="778"/>
      <c r="AS81" s="778"/>
      <c r="AT81" s="778"/>
      <c r="AU81" s="778"/>
      <c r="AV81" s="778"/>
      <c r="AW81" s="778"/>
      <c r="AX81" s="778"/>
      <c r="AY81" s="778"/>
      <c r="AZ81" s="778"/>
      <c r="BA81" s="778"/>
      <c r="BB81" s="778"/>
      <c r="BC81" s="778"/>
      <c r="BD81" s="778"/>
      <c r="BE81" s="778"/>
      <c r="BF81" s="778"/>
      <c r="BG81" s="778"/>
      <c r="BH81" s="778"/>
      <c r="BI81" s="778"/>
      <c r="BJ81" s="778"/>
      <c r="BK81" s="778"/>
      <c r="BL81" s="778"/>
      <c r="BM81" s="778"/>
      <c r="BN81" s="778"/>
      <c r="BO81" s="778"/>
      <c r="BP81" s="778"/>
      <c r="BQ81" s="778"/>
      <c r="BR81" s="778"/>
      <c r="BS81" s="778"/>
      <c r="BT81" s="778"/>
      <c r="BU81" s="778"/>
      <c r="BV81" s="778"/>
      <c r="BW81" s="778"/>
      <c r="BX81" s="778"/>
      <c r="BY81" s="778"/>
      <c r="BZ81" s="778"/>
      <c r="CA81" s="778"/>
      <c r="CB81" s="778"/>
      <c r="CC81" s="778"/>
      <c r="CD81" s="778"/>
      <c r="CE81" s="778"/>
      <c r="CF81" s="778"/>
      <c r="CG81" s="778"/>
      <c r="CH81" s="778"/>
      <c r="CI81" s="778"/>
      <c r="CJ81" s="778"/>
      <c r="CK81" s="778"/>
      <c r="CL81" s="778"/>
      <c r="CM81" s="778"/>
      <c r="CN81" s="778"/>
      <c r="CO81" s="778"/>
      <c r="CP81" s="778"/>
      <c r="CQ81" s="778"/>
      <c r="CR81" s="778"/>
      <c r="CS81" s="778"/>
      <c r="CT81" s="778"/>
      <c r="CU81" s="778"/>
      <c r="CV81" s="778"/>
      <c r="CW81" s="778"/>
      <c r="CX81" s="778"/>
      <c r="CY81" s="778"/>
      <c r="CZ81" s="778"/>
      <c r="DA81" s="778"/>
      <c r="DB81" s="778"/>
      <c r="DC81" s="778"/>
      <c r="DD81" s="778"/>
      <c r="DE81" s="778"/>
      <c r="DF81" s="778"/>
      <c r="DG81" s="778"/>
      <c r="DH81" s="778"/>
      <c r="DI81" s="778"/>
      <c r="DJ81" s="778"/>
      <c r="DK81" s="778"/>
      <c r="DL81" s="778"/>
      <c r="DM81" s="778"/>
      <c r="DN81" s="778"/>
      <c r="DO81" s="778"/>
      <c r="DP81" s="778"/>
      <c r="DQ81" s="778"/>
      <c r="DR81" s="778"/>
      <c r="DS81" s="778"/>
      <c r="DT81" s="778"/>
      <c r="DU81" s="778"/>
      <c r="DV81" s="778"/>
      <c r="DW81" s="778"/>
      <c r="DX81" s="778"/>
      <c r="DY81" s="778"/>
      <c r="DZ81" s="778"/>
      <c r="EA81" s="778"/>
      <c r="EB81" s="778"/>
      <c r="EC81" s="778"/>
      <c r="ED81" s="778"/>
      <c r="EE81" s="778"/>
      <c r="EF81" s="778"/>
      <c r="EG81" s="778"/>
      <c r="EH81" s="778"/>
    </row>
    <row r="82" spans="5:138" ht="12.75" customHeight="1" x14ac:dyDescent="0.3">
      <c r="E82" s="778"/>
      <c r="F82" s="778"/>
      <c r="G82" s="778"/>
      <c r="H82" s="778"/>
      <c r="I82" s="778"/>
      <c r="J82" s="778"/>
      <c r="K82" s="778"/>
      <c r="L82" s="778"/>
      <c r="M82" s="778"/>
      <c r="N82" s="778"/>
      <c r="O82" s="778"/>
      <c r="P82" s="778"/>
      <c r="Q82" s="778"/>
      <c r="R82" s="778"/>
      <c r="S82" s="778"/>
      <c r="T82" s="778"/>
      <c r="U82" s="778"/>
      <c r="V82" s="778"/>
      <c r="W82" s="778"/>
      <c r="X82" s="778"/>
      <c r="Y82" s="778"/>
      <c r="Z82" s="778"/>
      <c r="AA82" s="778"/>
      <c r="AB82" s="778"/>
      <c r="AC82" s="778"/>
      <c r="AD82" s="778"/>
      <c r="AE82" s="778"/>
      <c r="AF82" s="778"/>
      <c r="AG82" s="778"/>
      <c r="AH82" s="778"/>
      <c r="AI82" s="778"/>
      <c r="AJ82" s="778"/>
      <c r="AK82" s="778"/>
      <c r="AL82" s="778"/>
      <c r="AM82" s="778"/>
      <c r="AN82" s="778"/>
      <c r="AO82" s="778"/>
      <c r="AP82" s="778"/>
      <c r="AQ82" s="778"/>
      <c r="AR82" s="778"/>
      <c r="AS82" s="778"/>
      <c r="AT82" s="778"/>
      <c r="AU82" s="778"/>
      <c r="AV82" s="778"/>
      <c r="AW82" s="778"/>
      <c r="AX82" s="778"/>
      <c r="AY82" s="778"/>
      <c r="AZ82" s="778"/>
      <c r="BA82" s="778"/>
      <c r="BB82" s="778"/>
      <c r="BC82" s="778"/>
      <c r="BD82" s="778"/>
      <c r="BE82" s="778"/>
      <c r="BF82" s="778"/>
      <c r="BG82" s="778"/>
      <c r="BH82" s="778"/>
      <c r="BI82" s="778"/>
      <c r="BJ82" s="778"/>
      <c r="BK82" s="778"/>
      <c r="BL82" s="778"/>
      <c r="BM82" s="778"/>
      <c r="BN82" s="778"/>
      <c r="BO82" s="778"/>
      <c r="BP82" s="778"/>
      <c r="BQ82" s="778"/>
      <c r="BR82" s="778"/>
      <c r="BS82" s="778"/>
      <c r="BT82" s="778"/>
      <c r="BU82" s="778"/>
      <c r="BV82" s="778"/>
      <c r="BW82" s="778"/>
      <c r="BX82" s="778"/>
      <c r="BY82" s="778"/>
      <c r="BZ82" s="778"/>
      <c r="CA82" s="778"/>
      <c r="CB82" s="778"/>
      <c r="CC82" s="778"/>
      <c r="CD82" s="778"/>
      <c r="CE82" s="778"/>
      <c r="CF82" s="778"/>
      <c r="CG82" s="778"/>
      <c r="CH82" s="778"/>
      <c r="CI82" s="778"/>
      <c r="CJ82" s="778"/>
      <c r="CK82" s="778"/>
      <c r="CL82" s="778"/>
      <c r="CM82" s="778"/>
      <c r="CN82" s="778"/>
      <c r="CO82" s="778"/>
      <c r="CP82" s="778"/>
      <c r="CQ82" s="778"/>
      <c r="CR82" s="778"/>
      <c r="CS82" s="778"/>
      <c r="CT82" s="778"/>
      <c r="CU82" s="778"/>
      <c r="CV82" s="778"/>
      <c r="CW82" s="778"/>
      <c r="CX82" s="778"/>
      <c r="CY82" s="778"/>
      <c r="CZ82" s="778"/>
      <c r="DA82" s="778"/>
      <c r="DB82" s="778"/>
      <c r="DC82" s="778"/>
      <c r="DD82" s="778"/>
      <c r="DE82" s="778"/>
      <c r="DF82" s="778"/>
      <c r="DG82" s="778"/>
      <c r="DH82" s="778"/>
      <c r="DI82" s="778"/>
      <c r="DJ82" s="778"/>
      <c r="DK82" s="778"/>
      <c r="DL82" s="778"/>
      <c r="DM82" s="778"/>
      <c r="DN82" s="778"/>
      <c r="DO82" s="778"/>
      <c r="DP82" s="778"/>
      <c r="DQ82" s="778"/>
      <c r="DR82" s="778"/>
      <c r="DS82" s="778"/>
      <c r="DT82" s="778"/>
      <c r="DU82" s="778"/>
      <c r="DV82" s="778"/>
      <c r="DW82" s="778"/>
      <c r="DX82" s="778"/>
      <c r="DY82" s="778"/>
      <c r="DZ82" s="778"/>
      <c r="EA82" s="778"/>
      <c r="EB82" s="778"/>
      <c r="EC82" s="778"/>
      <c r="ED82" s="778"/>
      <c r="EE82" s="778"/>
      <c r="EF82" s="778"/>
      <c r="EG82" s="778"/>
      <c r="EH82" s="778"/>
    </row>
    <row r="83" spans="5:138" ht="12.75" customHeight="1" x14ac:dyDescent="0.3">
      <c r="E83" s="778"/>
      <c r="F83" s="778"/>
      <c r="G83" s="778"/>
      <c r="H83" s="778"/>
      <c r="I83" s="778"/>
      <c r="J83" s="778"/>
      <c r="K83" s="778"/>
      <c r="L83" s="778"/>
      <c r="M83" s="778"/>
      <c r="N83" s="778"/>
      <c r="O83" s="778"/>
      <c r="P83" s="778"/>
      <c r="Q83" s="778"/>
      <c r="R83" s="778"/>
      <c r="S83" s="778"/>
      <c r="T83" s="778"/>
      <c r="U83" s="778"/>
      <c r="V83" s="778"/>
      <c r="W83" s="778"/>
      <c r="X83" s="778"/>
      <c r="Y83" s="778"/>
      <c r="Z83" s="778"/>
      <c r="AA83" s="778"/>
      <c r="AB83" s="778"/>
      <c r="AC83" s="778"/>
      <c r="AD83" s="778"/>
      <c r="AE83" s="778"/>
      <c r="AF83" s="778"/>
      <c r="AG83" s="778"/>
      <c r="AH83" s="778"/>
      <c r="AI83" s="778"/>
      <c r="AJ83" s="778"/>
      <c r="AK83" s="778"/>
      <c r="AL83" s="778"/>
      <c r="AM83" s="778"/>
      <c r="AN83" s="778"/>
      <c r="AO83" s="778"/>
      <c r="AP83" s="778"/>
      <c r="AQ83" s="778"/>
      <c r="AR83" s="778"/>
      <c r="AS83" s="778"/>
      <c r="AT83" s="778"/>
      <c r="AU83" s="778"/>
      <c r="AV83" s="778"/>
      <c r="AW83" s="778"/>
      <c r="AX83" s="778"/>
      <c r="AY83" s="778"/>
      <c r="AZ83" s="778"/>
      <c r="BA83" s="778"/>
      <c r="BB83" s="778"/>
      <c r="BC83" s="778"/>
      <c r="BD83" s="778"/>
      <c r="BE83" s="778"/>
      <c r="BF83" s="778"/>
      <c r="BG83" s="778"/>
      <c r="BH83" s="778"/>
      <c r="BI83" s="778"/>
      <c r="BJ83" s="778"/>
      <c r="BK83" s="778"/>
      <c r="BL83" s="778"/>
      <c r="BM83" s="778"/>
      <c r="BN83" s="778"/>
      <c r="BO83" s="778"/>
      <c r="BP83" s="778"/>
      <c r="BQ83" s="778"/>
      <c r="BR83" s="778"/>
      <c r="BS83" s="778"/>
      <c r="BT83" s="778"/>
      <c r="BU83" s="778"/>
      <c r="BV83" s="778"/>
      <c r="BW83" s="778"/>
      <c r="BX83" s="778"/>
      <c r="BY83" s="778"/>
      <c r="BZ83" s="778"/>
      <c r="CA83" s="778"/>
      <c r="CB83" s="778"/>
      <c r="CC83" s="778"/>
      <c r="CD83" s="778"/>
      <c r="CE83" s="778"/>
      <c r="CF83" s="778"/>
      <c r="CG83" s="778"/>
      <c r="CH83" s="778"/>
      <c r="CI83" s="778"/>
      <c r="CJ83" s="778"/>
      <c r="CK83" s="778"/>
      <c r="CL83" s="778"/>
      <c r="CM83" s="778"/>
      <c r="CN83" s="778"/>
      <c r="CO83" s="778"/>
      <c r="CP83" s="778"/>
      <c r="CQ83" s="778"/>
      <c r="CR83" s="778"/>
      <c r="CS83" s="778"/>
      <c r="CT83" s="778"/>
      <c r="CU83" s="778"/>
      <c r="CV83" s="778"/>
      <c r="CW83" s="778"/>
      <c r="CX83" s="778"/>
      <c r="CY83" s="778"/>
      <c r="CZ83" s="778"/>
      <c r="DA83" s="778"/>
      <c r="DB83" s="778"/>
      <c r="DC83" s="778"/>
      <c r="DD83" s="778"/>
      <c r="DE83" s="778"/>
      <c r="DF83" s="778"/>
      <c r="DG83" s="778"/>
      <c r="DH83" s="778"/>
      <c r="DI83" s="778"/>
      <c r="DJ83" s="778"/>
      <c r="DK83" s="778"/>
      <c r="DL83" s="778"/>
      <c r="DM83" s="778"/>
      <c r="DN83" s="778"/>
      <c r="DO83" s="778"/>
      <c r="DP83" s="778"/>
      <c r="DQ83" s="778"/>
      <c r="DR83" s="778"/>
      <c r="DS83" s="778"/>
      <c r="DT83" s="778"/>
      <c r="DU83" s="778"/>
      <c r="DV83" s="778"/>
      <c r="DW83" s="778"/>
      <c r="DX83" s="778"/>
      <c r="DY83" s="778"/>
      <c r="DZ83" s="778"/>
      <c r="EA83" s="778"/>
      <c r="EB83" s="778"/>
      <c r="EC83" s="778"/>
      <c r="ED83" s="778"/>
      <c r="EE83" s="778"/>
      <c r="EF83" s="778"/>
      <c r="EG83" s="778"/>
      <c r="EH83" s="778"/>
    </row>
    <row r="84" spans="5:138" ht="12.75" customHeight="1" x14ac:dyDescent="0.3">
      <c r="E84" s="778"/>
      <c r="F84" s="778"/>
      <c r="G84" s="778"/>
      <c r="H84" s="778"/>
      <c r="I84" s="778"/>
      <c r="J84" s="778"/>
      <c r="K84" s="778"/>
      <c r="L84" s="778"/>
      <c r="M84" s="778"/>
      <c r="N84" s="778"/>
      <c r="O84" s="778"/>
      <c r="P84" s="778"/>
      <c r="Q84" s="778"/>
      <c r="R84" s="778"/>
      <c r="S84" s="778"/>
      <c r="T84" s="778"/>
      <c r="U84" s="778"/>
      <c r="V84" s="778"/>
      <c r="W84" s="778"/>
      <c r="X84" s="778"/>
      <c r="Y84" s="778"/>
      <c r="Z84" s="778"/>
      <c r="AA84" s="778"/>
      <c r="AB84" s="778"/>
      <c r="AC84" s="778"/>
      <c r="AD84" s="778"/>
      <c r="AE84" s="778"/>
      <c r="AF84" s="778"/>
      <c r="AG84" s="778"/>
      <c r="AH84" s="778"/>
      <c r="AI84" s="778"/>
      <c r="AJ84" s="778"/>
      <c r="AK84" s="778"/>
      <c r="AL84" s="778"/>
      <c r="AM84" s="778"/>
      <c r="AN84" s="778"/>
      <c r="AO84" s="778"/>
      <c r="AP84" s="778"/>
      <c r="AQ84" s="778"/>
      <c r="AR84" s="778"/>
      <c r="AS84" s="778"/>
      <c r="AT84" s="778"/>
      <c r="AU84" s="778"/>
      <c r="AV84" s="778"/>
      <c r="AW84" s="778"/>
      <c r="AX84" s="778"/>
      <c r="AY84" s="778"/>
      <c r="AZ84" s="778"/>
      <c r="BA84" s="778"/>
      <c r="BB84" s="778"/>
      <c r="BC84" s="778"/>
      <c r="BD84" s="778"/>
      <c r="BE84" s="778"/>
      <c r="BF84" s="778"/>
      <c r="BG84" s="778"/>
      <c r="BH84" s="778"/>
      <c r="BI84" s="778"/>
      <c r="BJ84" s="778"/>
      <c r="BK84" s="778"/>
      <c r="BL84" s="778"/>
      <c r="BM84" s="778"/>
      <c r="BN84" s="778"/>
      <c r="BO84" s="778"/>
      <c r="BP84" s="778"/>
      <c r="BQ84" s="778"/>
      <c r="BR84" s="778"/>
      <c r="BS84" s="778"/>
      <c r="BT84" s="778"/>
      <c r="BU84" s="778"/>
      <c r="BV84" s="778"/>
      <c r="BW84" s="778"/>
      <c r="BX84" s="778"/>
      <c r="BY84" s="778"/>
      <c r="BZ84" s="778"/>
      <c r="CA84" s="778"/>
      <c r="CB84" s="778"/>
      <c r="CC84" s="778"/>
      <c r="CD84" s="778"/>
      <c r="CE84" s="778"/>
      <c r="CF84" s="778"/>
      <c r="CG84" s="778"/>
      <c r="CH84" s="778"/>
      <c r="CI84" s="778"/>
      <c r="CJ84" s="778"/>
      <c r="CK84" s="778"/>
      <c r="CL84" s="778"/>
      <c r="CM84" s="778"/>
      <c r="CN84" s="778"/>
      <c r="CO84" s="778"/>
      <c r="CP84" s="778"/>
      <c r="CQ84" s="778"/>
      <c r="CR84" s="778"/>
      <c r="CS84" s="778"/>
      <c r="CT84" s="778"/>
      <c r="CU84" s="778"/>
      <c r="CV84" s="778"/>
      <c r="CW84" s="778"/>
      <c r="CX84" s="778"/>
      <c r="CY84" s="778"/>
      <c r="CZ84" s="778"/>
      <c r="DA84" s="778"/>
      <c r="DB84" s="778"/>
      <c r="DC84" s="778"/>
      <c r="DD84" s="778"/>
      <c r="DE84" s="778"/>
      <c r="DF84" s="778"/>
      <c r="DG84" s="778"/>
      <c r="DH84" s="778"/>
      <c r="DI84" s="778"/>
      <c r="DJ84" s="778"/>
      <c r="DK84" s="778"/>
      <c r="DL84" s="778"/>
      <c r="DM84" s="778"/>
      <c r="DN84" s="778"/>
      <c r="DO84" s="778"/>
      <c r="DP84" s="778"/>
      <c r="DQ84" s="778"/>
      <c r="DR84" s="778"/>
      <c r="DS84" s="778"/>
      <c r="DT84" s="778"/>
      <c r="DU84" s="778"/>
      <c r="DV84" s="778"/>
      <c r="DW84" s="778"/>
      <c r="DX84" s="778"/>
      <c r="DY84" s="778"/>
      <c r="DZ84" s="778"/>
      <c r="EA84" s="778"/>
      <c r="EB84" s="778"/>
      <c r="EC84" s="778"/>
      <c r="ED84" s="778"/>
      <c r="EE84" s="778"/>
      <c r="EF84" s="778"/>
      <c r="EG84" s="778"/>
      <c r="EH84" s="778"/>
    </row>
    <row r="85" spans="5:138" ht="12.75" customHeight="1" x14ac:dyDescent="0.3">
      <c r="E85" s="778"/>
      <c r="F85" s="778"/>
      <c r="G85" s="778"/>
      <c r="H85" s="778"/>
      <c r="I85" s="778"/>
      <c r="J85" s="778"/>
      <c r="K85" s="778"/>
      <c r="L85" s="778"/>
      <c r="M85" s="778"/>
      <c r="N85" s="778"/>
      <c r="O85" s="778"/>
      <c r="P85" s="778"/>
      <c r="Q85" s="778"/>
      <c r="R85" s="778"/>
      <c r="S85" s="778"/>
      <c r="T85" s="778"/>
      <c r="U85" s="778"/>
      <c r="V85" s="778"/>
      <c r="W85" s="778"/>
      <c r="X85" s="778"/>
      <c r="Y85" s="778"/>
      <c r="Z85" s="778"/>
      <c r="AA85" s="778"/>
      <c r="AB85" s="778"/>
      <c r="AC85" s="778"/>
      <c r="AD85" s="778"/>
      <c r="AE85" s="778"/>
      <c r="AF85" s="778"/>
      <c r="AG85" s="778"/>
      <c r="AH85" s="778"/>
      <c r="AI85" s="778"/>
      <c r="AJ85" s="778"/>
      <c r="AK85" s="778"/>
      <c r="AL85" s="778"/>
      <c r="AM85" s="778"/>
      <c r="AN85" s="778"/>
      <c r="AO85" s="778"/>
      <c r="AP85" s="778"/>
      <c r="AQ85" s="778"/>
      <c r="AR85" s="778"/>
      <c r="AS85" s="778"/>
      <c r="AT85" s="778"/>
      <c r="AU85" s="778"/>
      <c r="AV85" s="778"/>
      <c r="AW85" s="778"/>
      <c r="AX85" s="778"/>
      <c r="AY85" s="778"/>
      <c r="AZ85" s="778"/>
      <c r="BA85" s="778"/>
      <c r="BB85" s="778"/>
      <c r="BC85" s="778"/>
      <c r="BD85" s="778"/>
      <c r="BE85" s="778"/>
      <c r="BF85" s="778"/>
      <c r="BG85" s="778"/>
      <c r="BH85" s="778"/>
      <c r="BI85" s="778"/>
      <c r="BJ85" s="778"/>
      <c r="BK85" s="778"/>
      <c r="BL85" s="778"/>
      <c r="BM85" s="778"/>
      <c r="BN85" s="778"/>
      <c r="BO85" s="778"/>
      <c r="BP85" s="778"/>
      <c r="BQ85" s="778"/>
      <c r="BR85" s="778"/>
      <c r="BS85" s="778"/>
      <c r="BT85" s="778"/>
      <c r="BU85" s="778"/>
      <c r="BV85" s="778"/>
      <c r="BW85" s="778"/>
      <c r="BX85" s="778"/>
      <c r="BY85" s="778"/>
      <c r="BZ85" s="778"/>
      <c r="CA85" s="778"/>
      <c r="CB85" s="778"/>
      <c r="CC85" s="778"/>
      <c r="CD85" s="778"/>
      <c r="CE85" s="778"/>
      <c r="CF85" s="778"/>
      <c r="CG85" s="778"/>
      <c r="CH85" s="778"/>
      <c r="CI85" s="778"/>
      <c r="CJ85" s="778"/>
      <c r="CK85" s="778"/>
      <c r="CL85" s="778"/>
      <c r="CM85" s="778"/>
      <c r="CN85" s="778"/>
      <c r="CO85" s="778"/>
      <c r="CP85" s="778"/>
      <c r="CQ85" s="778"/>
      <c r="CR85" s="778"/>
      <c r="CS85" s="778"/>
      <c r="CT85" s="778"/>
      <c r="CU85" s="778"/>
      <c r="CV85" s="778"/>
      <c r="CW85" s="778"/>
      <c r="CX85" s="778"/>
      <c r="CY85" s="778"/>
      <c r="CZ85" s="778"/>
      <c r="DA85" s="778"/>
      <c r="DB85" s="778"/>
      <c r="DC85" s="778"/>
      <c r="DD85" s="778"/>
      <c r="DE85" s="778"/>
      <c r="DF85" s="778"/>
      <c r="DG85" s="778"/>
      <c r="DH85" s="778"/>
      <c r="DI85" s="778"/>
      <c r="DJ85" s="778"/>
      <c r="DK85" s="778"/>
      <c r="DL85" s="778"/>
      <c r="DM85" s="778"/>
      <c r="DN85" s="778"/>
      <c r="DO85" s="778"/>
      <c r="DP85" s="778"/>
      <c r="DQ85" s="778"/>
      <c r="DR85" s="778"/>
      <c r="DS85" s="778"/>
      <c r="DT85" s="778"/>
      <c r="DU85" s="778"/>
      <c r="DV85" s="778"/>
      <c r="DW85" s="778"/>
      <c r="DX85" s="778"/>
      <c r="DY85" s="778"/>
      <c r="DZ85" s="778"/>
      <c r="EA85" s="778"/>
      <c r="EB85" s="778"/>
      <c r="EC85" s="778"/>
      <c r="ED85" s="778"/>
      <c r="EE85" s="778"/>
      <c r="EF85" s="778"/>
      <c r="EG85" s="778"/>
      <c r="EH85" s="778"/>
    </row>
    <row r="86" spans="5:138" ht="12.75" customHeight="1" x14ac:dyDescent="0.3">
      <c r="E86" s="778"/>
      <c r="F86" s="778"/>
      <c r="G86" s="778"/>
      <c r="H86" s="778"/>
      <c r="I86" s="778"/>
      <c r="J86" s="778"/>
      <c r="K86" s="778"/>
      <c r="L86" s="778"/>
      <c r="M86" s="778"/>
      <c r="N86" s="778"/>
      <c r="O86" s="778"/>
      <c r="P86" s="778"/>
      <c r="Q86" s="778"/>
      <c r="R86" s="778"/>
      <c r="S86" s="778"/>
      <c r="T86" s="778"/>
      <c r="U86" s="778"/>
      <c r="V86" s="778"/>
      <c r="W86" s="778"/>
      <c r="X86" s="778"/>
      <c r="Y86" s="778"/>
      <c r="Z86" s="778"/>
      <c r="AA86" s="778"/>
      <c r="AB86" s="778"/>
      <c r="AC86" s="778"/>
      <c r="AD86" s="778"/>
      <c r="AE86" s="778"/>
      <c r="AF86" s="778"/>
      <c r="AG86" s="778"/>
      <c r="AH86" s="778"/>
      <c r="AI86" s="778"/>
      <c r="AJ86" s="778"/>
      <c r="AK86" s="778"/>
      <c r="AL86" s="778"/>
      <c r="AM86" s="778"/>
      <c r="AN86" s="778"/>
      <c r="AO86" s="778"/>
      <c r="AP86" s="778"/>
      <c r="AQ86" s="778"/>
      <c r="AR86" s="778"/>
      <c r="AS86" s="778"/>
      <c r="AT86" s="778"/>
      <c r="AU86" s="778"/>
      <c r="AV86" s="778"/>
      <c r="AW86" s="778"/>
      <c r="AX86" s="778"/>
      <c r="AY86" s="778"/>
      <c r="AZ86" s="778"/>
      <c r="BA86" s="778"/>
      <c r="BB86" s="778"/>
      <c r="BC86" s="778"/>
      <c r="BD86" s="778"/>
      <c r="BE86" s="778"/>
      <c r="BF86" s="778"/>
      <c r="BG86" s="778"/>
      <c r="BH86" s="778"/>
      <c r="BI86" s="778"/>
      <c r="BJ86" s="778"/>
      <c r="BK86" s="778"/>
      <c r="BL86" s="778"/>
      <c r="BM86" s="778"/>
      <c r="BN86" s="778"/>
      <c r="BO86" s="778"/>
      <c r="BP86" s="778"/>
      <c r="BQ86" s="778"/>
      <c r="BR86" s="778"/>
      <c r="BS86" s="778"/>
      <c r="BT86" s="778"/>
      <c r="BU86" s="778"/>
      <c r="BV86" s="778"/>
      <c r="BW86" s="778"/>
      <c r="BX86" s="778"/>
      <c r="BY86" s="778"/>
      <c r="BZ86" s="778"/>
      <c r="CA86" s="778"/>
      <c r="CB86" s="778"/>
      <c r="CC86" s="778"/>
      <c r="CD86" s="778"/>
      <c r="CE86" s="778"/>
      <c r="CF86" s="778"/>
      <c r="CG86" s="778"/>
      <c r="CH86" s="778"/>
      <c r="CI86" s="778"/>
      <c r="CJ86" s="778"/>
      <c r="CK86" s="778"/>
      <c r="CL86" s="778"/>
      <c r="CM86" s="778"/>
      <c r="CN86" s="778"/>
      <c r="CO86" s="778"/>
      <c r="CP86" s="778"/>
      <c r="CQ86" s="778"/>
      <c r="CR86" s="778"/>
      <c r="CS86" s="778"/>
      <c r="CT86" s="778"/>
      <c r="CU86" s="778"/>
      <c r="CV86" s="778"/>
      <c r="CW86" s="778"/>
      <c r="CX86" s="778"/>
      <c r="CY86" s="778"/>
      <c r="CZ86" s="778"/>
      <c r="DA86" s="778"/>
      <c r="DB86" s="778"/>
      <c r="DC86" s="778"/>
      <c r="DD86" s="778"/>
      <c r="DE86" s="778"/>
      <c r="DF86" s="778"/>
      <c r="DG86" s="778"/>
      <c r="DH86" s="778"/>
      <c r="DI86" s="778"/>
      <c r="DJ86" s="778"/>
      <c r="DK86" s="778"/>
      <c r="DL86" s="778"/>
      <c r="DM86" s="778"/>
      <c r="DN86" s="778"/>
      <c r="DO86" s="778"/>
      <c r="DP86" s="778"/>
      <c r="DQ86" s="778"/>
      <c r="DR86" s="778"/>
      <c r="DS86" s="778"/>
      <c r="DT86" s="778"/>
      <c r="DU86" s="778"/>
      <c r="DV86" s="778"/>
      <c r="DW86" s="778"/>
      <c r="DX86" s="778"/>
      <c r="DY86" s="778"/>
      <c r="DZ86" s="778"/>
      <c r="EA86" s="778"/>
      <c r="EB86" s="778"/>
      <c r="EC86" s="778"/>
      <c r="ED86" s="778"/>
      <c r="EE86" s="778"/>
      <c r="EF86" s="778"/>
      <c r="EG86" s="778"/>
      <c r="EH86" s="778"/>
    </row>
    <row r="87" spans="5:138" ht="12.75" customHeight="1" x14ac:dyDescent="0.3">
      <c r="E87" s="778"/>
      <c r="F87" s="778"/>
      <c r="G87" s="778"/>
      <c r="H87" s="778"/>
      <c r="I87" s="778"/>
      <c r="J87" s="778"/>
      <c r="K87" s="778"/>
      <c r="L87" s="778"/>
      <c r="M87" s="778"/>
      <c r="N87" s="778"/>
      <c r="O87" s="778"/>
      <c r="P87" s="778"/>
      <c r="Q87" s="778"/>
      <c r="R87" s="778"/>
      <c r="S87" s="778"/>
      <c r="T87" s="778"/>
      <c r="U87" s="778"/>
      <c r="V87" s="778"/>
      <c r="W87" s="778"/>
      <c r="X87" s="778"/>
      <c r="Y87" s="778"/>
      <c r="Z87" s="778"/>
      <c r="AA87" s="778"/>
      <c r="AB87" s="778"/>
      <c r="AC87" s="778"/>
      <c r="AD87" s="778"/>
      <c r="AE87" s="778"/>
      <c r="AF87" s="778"/>
      <c r="AG87" s="778"/>
      <c r="AH87" s="778"/>
      <c r="AI87" s="778"/>
      <c r="AJ87" s="778"/>
      <c r="AK87" s="778"/>
      <c r="AL87" s="778"/>
      <c r="AM87" s="778"/>
      <c r="AN87" s="778"/>
      <c r="AO87" s="778"/>
      <c r="AP87" s="778"/>
      <c r="AQ87" s="778"/>
      <c r="AR87" s="778"/>
      <c r="AS87" s="778"/>
      <c r="AT87" s="778"/>
      <c r="AU87" s="778"/>
      <c r="AV87" s="778"/>
      <c r="AW87" s="778"/>
      <c r="AX87" s="778"/>
      <c r="AY87" s="778"/>
      <c r="AZ87" s="778"/>
      <c r="BA87" s="778"/>
      <c r="BB87" s="778"/>
      <c r="BC87" s="778"/>
      <c r="BD87" s="778"/>
      <c r="BE87" s="778"/>
      <c r="BF87" s="778"/>
      <c r="BG87" s="778"/>
      <c r="BH87" s="778"/>
      <c r="BI87" s="778"/>
      <c r="BJ87" s="778"/>
      <c r="BK87" s="778"/>
      <c r="BL87" s="778"/>
      <c r="BM87" s="778"/>
      <c r="BN87" s="778"/>
      <c r="BO87" s="778"/>
      <c r="BP87" s="778"/>
      <c r="BQ87" s="778"/>
      <c r="BR87" s="778"/>
      <c r="BS87" s="778"/>
      <c r="BT87" s="778"/>
      <c r="BU87" s="778"/>
      <c r="BV87" s="778"/>
      <c r="BW87" s="778"/>
      <c r="BX87" s="778"/>
      <c r="BY87" s="778"/>
      <c r="BZ87" s="778"/>
      <c r="CA87" s="778"/>
      <c r="CB87" s="778"/>
      <c r="CC87" s="778"/>
      <c r="CD87" s="778"/>
      <c r="CE87" s="778"/>
      <c r="CF87" s="778"/>
      <c r="CG87" s="778"/>
      <c r="CH87" s="778"/>
      <c r="CI87" s="778"/>
      <c r="CJ87" s="778"/>
      <c r="CK87" s="778"/>
      <c r="CL87" s="778"/>
      <c r="CM87" s="778"/>
      <c r="CN87" s="778"/>
      <c r="CO87" s="778"/>
      <c r="CP87" s="778"/>
      <c r="CQ87" s="778"/>
      <c r="CR87" s="778"/>
      <c r="CS87" s="778"/>
      <c r="CT87" s="778"/>
      <c r="CU87" s="778"/>
      <c r="CV87" s="778"/>
      <c r="CW87" s="778"/>
      <c r="CX87" s="778"/>
      <c r="CY87" s="778"/>
      <c r="CZ87" s="778"/>
      <c r="DA87" s="778"/>
      <c r="DB87" s="778"/>
      <c r="DC87" s="778"/>
      <c r="DD87" s="778"/>
      <c r="DE87" s="778"/>
      <c r="DF87" s="778"/>
      <c r="DG87" s="778"/>
      <c r="DH87" s="778"/>
      <c r="DI87" s="778"/>
      <c r="DJ87" s="778"/>
      <c r="DK87" s="778"/>
      <c r="DL87" s="778"/>
      <c r="DM87" s="778"/>
      <c r="DN87" s="778"/>
      <c r="DO87" s="778"/>
      <c r="DP87" s="778"/>
      <c r="DQ87" s="778"/>
      <c r="DR87" s="778"/>
      <c r="DS87" s="778"/>
      <c r="DT87" s="778"/>
      <c r="DU87" s="778"/>
      <c r="DV87" s="778"/>
      <c r="DW87" s="778"/>
      <c r="DX87" s="778"/>
      <c r="DY87" s="778"/>
      <c r="DZ87" s="778"/>
      <c r="EA87" s="778"/>
      <c r="EB87" s="778"/>
      <c r="EC87" s="778"/>
      <c r="ED87" s="778"/>
      <c r="EE87" s="778"/>
      <c r="EF87" s="778"/>
      <c r="EG87" s="778"/>
      <c r="EH87" s="778"/>
    </row>
    <row r="88" spans="5:138" ht="12.75" customHeight="1" x14ac:dyDescent="0.3">
      <c r="E88" s="778"/>
      <c r="F88" s="778"/>
      <c r="G88" s="778"/>
      <c r="H88" s="778"/>
      <c r="I88" s="778"/>
      <c r="J88" s="778"/>
      <c r="K88" s="778"/>
      <c r="L88" s="778"/>
      <c r="M88" s="778"/>
      <c r="N88" s="778"/>
      <c r="O88" s="778"/>
      <c r="P88" s="778"/>
      <c r="Q88" s="778"/>
      <c r="R88" s="778"/>
      <c r="S88" s="778"/>
      <c r="T88" s="778"/>
      <c r="U88" s="778"/>
      <c r="V88" s="778"/>
      <c r="W88" s="778"/>
      <c r="X88" s="778"/>
      <c r="Y88" s="778"/>
      <c r="Z88" s="778"/>
      <c r="AA88" s="778"/>
      <c r="AB88" s="778"/>
      <c r="AC88" s="778"/>
      <c r="AD88" s="778"/>
      <c r="AE88" s="778"/>
      <c r="AF88" s="778"/>
      <c r="AG88" s="778"/>
      <c r="AH88" s="778"/>
      <c r="AI88" s="778"/>
      <c r="AJ88" s="778"/>
      <c r="AK88" s="778"/>
      <c r="AL88" s="778"/>
      <c r="AM88" s="778"/>
      <c r="AN88" s="778"/>
      <c r="AO88" s="778"/>
      <c r="AP88" s="778"/>
      <c r="AQ88" s="778"/>
      <c r="AR88" s="778"/>
      <c r="AS88" s="778"/>
      <c r="AT88" s="778"/>
      <c r="AU88" s="778"/>
      <c r="AV88" s="778"/>
      <c r="AW88" s="778"/>
      <c r="AX88" s="778"/>
      <c r="AY88" s="778"/>
      <c r="AZ88" s="778"/>
      <c r="BA88" s="778"/>
      <c r="BB88" s="778"/>
      <c r="BC88" s="778"/>
      <c r="BD88" s="778"/>
      <c r="BE88" s="778"/>
      <c r="BF88" s="778"/>
      <c r="BG88" s="778"/>
      <c r="BH88" s="778"/>
      <c r="BI88" s="778"/>
      <c r="BJ88" s="778"/>
      <c r="BK88" s="778"/>
      <c r="BL88" s="778"/>
      <c r="BM88" s="778"/>
      <c r="BN88" s="778"/>
      <c r="BO88" s="778"/>
      <c r="BP88" s="778"/>
      <c r="BQ88" s="778"/>
      <c r="BR88" s="778"/>
      <c r="BS88" s="778"/>
      <c r="BT88" s="778"/>
      <c r="BU88" s="778"/>
      <c r="BV88" s="778"/>
      <c r="BW88" s="778"/>
      <c r="BX88" s="778"/>
      <c r="BY88" s="778"/>
      <c r="BZ88" s="778"/>
      <c r="CA88" s="778"/>
      <c r="CB88" s="778"/>
      <c r="CC88" s="778"/>
      <c r="CD88" s="778"/>
      <c r="CE88" s="778"/>
      <c r="CF88" s="778"/>
      <c r="CG88" s="778"/>
      <c r="CH88" s="778"/>
      <c r="CI88" s="778"/>
      <c r="CJ88" s="778"/>
      <c r="CK88" s="778"/>
      <c r="CL88" s="778"/>
      <c r="CM88" s="778"/>
      <c r="CN88" s="778"/>
      <c r="CO88" s="778"/>
      <c r="CP88" s="778"/>
      <c r="CQ88" s="778"/>
      <c r="CR88" s="778"/>
      <c r="CS88" s="778"/>
      <c r="CT88" s="778"/>
      <c r="CU88" s="778"/>
      <c r="CV88" s="778"/>
      <c r="CW88" s="778"/>
      <c r="CX88" s="778"/>
      <c r="CY88" s="778"/>
      <c r="CZ88" s="778"/>
      <c r="DA88" s="778"/>
      <c r="DB88" s="778"/>
      <c r="DC88" s="778"/>
      <c r="DD88" s="778"/>
      <c r="DE88" s="778"/>
      <c r="DF88" s="778"/>
      <c r="DG88" s="778"/>
      <c r="DH88" s="778"/>
      <c r="DI88" s="778"/>
      <c r="DJ88" s="778"/>
      <c r="DK88" s="778"/>
      <c r="DL88" s="778"/>
      <c r="DM88" s="778"/>
      <c r="DN88" s="778"/>
      <c r="DO88" s="778"/>
      <c r="DP88" s="778"/>
      <c r="DQ88" s="778"/>
      <c r="DR88" s="778"/>
      <c r="DS88" s="778"/>
      <c r="DT88" s="778"/>
      <c r="DU88" s="778"/>
      <c r="DV88" s="778"/>
      <c r="DW88" s="778"/>
      <c r="DX88" s="778"/>
      <c r="DY88" s="778"/>
      <c r="DZ88" s="778"/>
      <c r="EA88" s="778"/>
      <c r="EB88" s="778"/>
      <c r="EC88" s="778"/>
      <c r="ED88" s="778"/>
      <c r="EE88" s="778"/>
      <c r="EF88" s="778"/>
      <c r="EG88" s="778"/>
      <c r="EH88" s="778"/>
    </row>
    <row r="89" spans="5:138" ht="12.75" customHeight="1" x14ac:dyDescent="0.3">
      <c r="E89" s="778"/>
      <c r="F89" s="778"/>
      <c r="G89" s="778"/>
      <c r="H89" s="778"/>
      <c r="I89" s="778"/>
      <c r="J89" s="778"/>
      <c r="K89" s="778"/>
      <c r="L89" s="778"/>
      <c r="M89" s="778"/>
      <c r="N89" s="778"/>
      <c r="O89" s="778"/>
      <c r="P89" s="778"/>
      <c r="Q89" s="778"/>
      <c r="R89" s="778"/>
      <c r="S89" s="778"/>
      <c r="T89" s="778"/>
      <c r="U89" s="778"/>
      <c r="V89" s="778"/>
      <c r="W89" s="778"/>
      <c r="X89" s="778"/>
      <c r="Y89" s="778"/>
      <c r="Z89" s="778"/>
      <c r="AA89" s="778"/>
      <c r="AB89" s="778"/>
      <c r="AC89" s="778"/>
      <c r="AD89" s="778"/>
      <c r="AE89" s="778"/>
      <c r="AF89" s="778"/>
      <c r="AG89" s="778"/>
      <c r="AH89" s="778"/>
      <c r="AI89" s="778"/>
      <c r="AJ89" s="778"/>
      <c r="AK89" s="778"/>
      <c r="AL89" s="778"/>
      <c r="AM89" s="778"/>
      <c r="AN89" s="778"/>
      <c r="AO89" s="778"/>
      <c r="AP89" s="778"/>
      <c r="AQ89" s="778"/>
      <c r="AR89" s="778"/>
      <c r="AS89" s="778"/>
      <c r="AT89" s="778"/>
      <c r="AU89" s="778"/>
      <c r="AV89" s="778"/>
      <c r="AW89" s="778"/>
      <c r="AX89" s="778"/>
      <c r="AY89" s="778"/>
      <c r="AZ89" s="778"/>
      <c r="BA89" s="778"/>
      <c r="BB89" s="778"/>
      <c r="BC89" s="778"/>
      <c r="BD89" s="778"/>
      <c r="BE89" s="778"/>
      <c r="BF89" s="778"/>
      <c r="BG89" s="778"/>
      <c r="BH89" s="778"/>
      <c r="BI89" s="778"/>
      <c r="BJ89" s="778"/>
      <c r="BK89" s="778"/>
      <c r="BL89" s="778"/>
      <c r="BM89" s="778"/>
      <c r="BN89" s="778"/>
      <c r="BO89" s="778"/>
      <c r="BP89" s="778"/>
      <c r="BQ89" s="778"/>
      <c r="BR89" s="778"/>
      <c r="BS89" s="778"/>
      <c r="BT89" s="778"/>
      <c r="BU89" s="778"/>
      <c r="BV89" s="778"/>
      <c r="BW89" s="778"/>
      <c r="BX89" s="778"/>
      <c r="BY89" s="778"/>
      <c r="BZ89" s="778"/>
      <c r="CA89" s="778"/>
      <c r="CB89" s="778"/>
      <c r="CC89" s="778"/>
      <c r="CD89" s="778"/>
      <c r="CE89" s="778"/>
      <c r="CF89" s="778"/>
      <c r="CG89" s="778"/>
      <c r="CH89" s="778"/>
      <c r="CI89" s="778"/>
      <c r="CJ89" s="778"/>
      <c r="CK89" s="778"/>
      <c r="CL89" s="778"/>
      <c r="CM89" s="778"/>
      <c r="CN89" s="778"/>
      <c r="CO89" s="778"/>
      <c r="CP89" s="778"/>
      <c r="CQ89" s="778"/>
      <c r="CR89" s="778"/>
      <c r="CS89" s="778"/>
      <c r="CT89" s="778"/>
      <c r="CU89" s="778"/>
      <c r="CV89" s="778"/>
      <c r="CW89" s="778"/>
      <c r="CX89" s="778"/>
      <c r="CY89" s="778"/>
      <c r="CZ89" s="778"/>
      <c r="DA89" s="778"/>
      <c r="DB89" s="778"/>
      <c r="DC89" s="778"/>
      <c r="DD89" s="778"/>
      <c r="DE89" s="778"/>
      <c r="DF89" s="778"/>
      <c r="DG89" s="778"/>
      <c r="DH89" s="778"/>
      <c r="DI89" s="778"/>
      <c r="DJ89" s="778"/>
      <c r="DK89" s="778"/>
      <c r="DL89" s="778"/>
      <c r="DM89" s="778"/>
      <c r="DN89" s="778"/>
      <c r="DO89" s="778"/>
      <c r="DP89" s="778"/>
      <c r="DQ89" s="778"/>
      <c r="DR89" s="778"/>
      <c r="DS89" s="778"/>
      <c r="DT89" s="778"/>
      <c r="DU89" s="778"/>
      <c r="DV89" s="778"/>
      <c r="DW89" s="778"/>
      <c r="DX89" s="778"/>
      <c r="DY89" s="778"/>
      <c r="DZ89" s="778"/>
      <c r="EA89" s="778"/>
      <c r="EB89" s="778"/>
      <c r="EC89" s="778"/>
      <c r="ED89" s="778"/>
      <c r="EE89" s="778"/>
      <c r="EF89" s="778"/>
      <c r="EG89" s="778"/>
      <c r="EH89" s="778"/>
    </row>
    <row r="90" spans="5:138" ht="12.75" customHeight="1" x14ac:dyDescent="0.3">
      <c r="E90" s="778"/>
      <c r="F90" s="778"/>
      <c r="G90" s="778"/>
      <c r="H90" s="778"/>
      <c r="I90" s="778"/>
      <c r="J90" s="778"/>
      <c r="K90" s="778"/>
      <c r="L90" s="778"/>
      <c r="M90" s="778"/>
      <c r="N90" s="778"/>
      <c r="O90" s="778"/>
      <c r="P90" s="778"/>
      <c r="Q90" s="778"/>
      <c r="R90" s="778"/>
      <c r="S90" s="778"/>
      <c r="T90" s="778"/>
      <c r="U90" s="778"/>
      <c r="V90" s="778"/>
      <c r="W90" s="778"/>
      <c r="X90" s="778"/>
      <c r="Y90" s="778"/>
      <c r="Z90" s="778"/>
      <c r="AA90" s="778"/>
      <c r="AB90" s="778"/>
      <c r="AC90" s="778"/>
      <c r="AD90" s="778"/>
      <c r="AE90" s="778"/>
      <c r="AF90" s="778"/>
      <c r="AG90" s="778"/>
      <c r="AH90" s="778"/>
      <c r="AI90" s="778"/>
      <c r="AJ90" s="778"/>
      <c r="AK90" s="778"/>
      <c r="AL90" s="778"/>
      <c r="AM90" s="778"/>
      <c r="AN90" s="778"/>
      <c r="AO90" s="778"/>
      <c r="AP90" s="778"/>
      <c r="AQ90" s="778"/>
      <c r="AR90" s="778"/>
      <c r="AS90" s="778"/>
      <c r="AT90" s="778"/>
      <c r="AU90" s="778"/>
      <c r="AV90" s="778"/>
      <c r="AW90" s="778"/>
      <c r="AX90" s="778"/>
      <c r="AY90" s="778"/>
      <c r="AZ90" s="778"/>
      <c r="BA90" s="778"/>
      <c r="BB90" s="778"/>
      <c r="BC90" s="778"/>
      <c r="BD90" s="778"/>
      <c r="BE90" s="778"/>
      <c r="BF90" s="778"/>
      <c r="BG90" s="778"/>
      <c r="BH90" s="778"/>
      <c r="BI90" s="778"/>
      <c r="BJ90" s="778"/>
      <c r="BK90" s="778"/>
      <c r="BL90" s="778"/>
      <c r="BM90" s="778"/>
      <c r="BN90" s="778"/>
      <c r="BO90" s="778"/>
      <c r="BP90" s="778"/>
      <c r="BQ90" s="778"/>
      <c r="BR90" s="778"/>
      <c r="BS90" s="778"/>
      <c r="BT90" s="778"/>
      <c r="BU90" s="778"/>
      <c r="BV90" s="778"/>
      <c r="BW90" s="778"/>
      <c r="BX90" s="778"/>
      <c r="BY90" s="778"/>
      <c r="BZ90" s="778"/>
      <c r="CA90" s="778"/>
      <c r="CB90" s="778"/>
      <c r="CC90" s="778"/>
      <c r="CD90" s="778"/>
      <c r="CE90" s="778"/>
      <c r="CF90" s="778"/>
      <c r="CG90" s="778"/>
      <c r="CH90" s="778"/>
      <c r="CI90" s="778"/>
      <c r="CJ90" s="778"/>
      <c r="CK90" s="778"/>
      <c r="CL90" s="778"/>
      <c r="CM90" s="778"/>
      <c r="CN90" s="778"/>
      <c r="CO90" s="778"/>
      <c r="CP90" s="778"/>
      <c r="CQ90" s="778"/>
      <c r="CR90" s="778"/>
      <c r="CS90" s="778"/>
      <c r="CT90" s="778"/>
      <c r="CU90" s="778"/>
      <c r="CV90" s="778"/>
      <c r="CW90" s="778"/>
      <c r="CX90" s="778"/>
      <c r="CY90" s="778"/>
      <c r="CZ90" s="778"/>
      <c r="DA90" s="778"/>
      <c r="DB90" s="778"/>
      <c r="DC90" s="778"/>
      <c r="DD90" s="778"/>
      <c r="DE90" s="778"/>
      <c r="DF90" s="778"/>
      <c r="DG90" s="778"/>
      <c r="DH90" s="778"/>
      <c r="DI90" s="778"/>
      <c r="DJ90" s="778"/>
      <c r="DK90" s="778"/>
      <c r="DL90" s="778"/>
      <c r="DM90" s="778"/>
      <c r="DN90" s="778"/>
      <c r="DO90" s="778"/>
      <c r="DP90" s="778"/>
      <c r="DQ90" s="778"/>
      <c r="DR90" s="778"/>
      <c r="DS90" s="778"/>
      <c r="DT90" s="778"/>
      <c r="DU90" s="778"/>
      <c r="DV90" s="778"/>
      <c r="DW90" s="778"/>
      <c r="DX90" s="778"/>
      <c r="DY90" s="778"/>
      <c r="DZ90" s="778"/>
      <c r="EA90" s="778"/>
      <c r="EB90" s="778"/>
      <c r="EC90" s="778"/>
      <c r="ED90" s="778"/>
      <c r="EE90" s="778"/>
      <c r="EF90" s="778"/>
      <c r="EG90" s="778"/>
      <c r="EH90" s="778"/>
    </row>
    <row r="91" spans="5:138" ht="12.75" customHeight="1" x14ac:dyDescent="0.3">
      <c r="E91" s="778"/>
      <c r="F91" s="778"/>
      <c r="G91" s="778"/>
      <c r="H91" s="778"/>
      <c r="I91" s="778"/>
      <c r="J91" s="778"/>
      <c r="K91" s="778"/>
      <c r="L91" s="778"/>
      <c r="M91" s="778"/>
      <c r="N91" s="778"/>
      <c r="O91" s="778"/>
      <c r="P91" s="778"/>
      <c r="Q91" s="778"/>
      <c r="R91" s="778"/>
      <c r="S91" s="778"/>
      <c r="T91" s="778"/>
      <c r="U91" s="778"/>
      <c r="V91" s="778"/>
      <c r="W91" s="778"/>
      <c r="X91" s="778"/>
      <c r="Y91" s="778"/>
      <c r="Z91" s="778"/>
      <c r="AA91" s="778"/>
      <c r="AB91" s="778"/>
      <c r="AC91" s="778"/>
      <c r="AD91" s="778"/>
      <c r="AE91" s="778"/>
      <c r="AF91" s="778"/>
      <c r="AG91" s="778"/>
      <c r="AH91" s="778"/>
      <c r="AI91" s="778"/>
      <c r="AJ91" s="778"/>
      <c r="AK91" s="778"/>
      <c r="AL91" s="778"/>
      <c r="AM91" s="778"/>
      <c r="AN91" s="778"/>
      <c r="AO91" s="778"/>
      <c r="AP91" s="778"/>
      <c r="AQ91" s="778"/>
      <c r="AR91" s="778"/>
      <c r="AS91" s="778"/>
      <c r="AT91" s="778"/>
      <c r="AU91" s="778"/>
      <c r="AV91" s="778"/>
      <c r="AW91" s="778"/>
      <c r="AX91" s="778"/>
      <c r="AY91" s="778"/>
      <c r="AZ91" s="778"/>
      <c r="BA91" s="778"/>
      <c r="BB91" s="778"/>
      <c r="BC91" s="778"/>
      <c r="BD91" s="778"/>
      <c r="BE91" s="778"/>
      <c r="BF91" s="778"/>
      <c r="BG91" s="778"/>
      <c r="BH91" s="778"/>
      <c r="BI91" s="778"/>
      <c r="BJ91" s="778"/>
      <c r="BK91" s="778"/>
      <c r="BL91" s="778"/>
      <c r="BM91" s="778"/>
      <c r="BN91" s="778"/>
      <c r="BO91" s="778"/>
      <c r="BP91" s="778"/>
      <c r="BQ91" s="778"/>
      <c r="BR91" s="778"/>
      <c r="BS91" s="778"/>
      <c r="BT91" s="778"/>
      <c r="BU91" s="778"/>
      <c r="BV91" s="778"/>
      <c r="BW91" s="778"/>
      <c r="BX91" s="778"/>
      <c r="BY91" s="778"/>
      <c r="BZ91" s="778"/>
      <c r="CA91" s="778"/>
      <c r="CB91" s="778"/>
      <c r="CC91" s="778"/>
      <c r="CD91" s="778"/>
      <c r="CE91" s="778"/>
      <c r="CF91" s="778"/>
      <c r="CG91" s="778"/>
      <c r="CH91" s="778"/>
      <c r="CI91" s="778"/>
      <c r="CJ91" s="778"/>
      <c r="CK91" s="778"/>
      <c r="CL91" s="778"/>
      <c r="CM91" s="778"/>
      <c r="CN91" s="778"/>
      <c r="CO91" s="778"/>
      <c r="CP91" s="778"/>
      <c r="CQ91" s="778"/>
      <c r="CR91" s="778"/>
      <c r="CS91" s="778"/>
      <c r="CT91" s="778"/>
      <c r="CU91" s="778"/>
      <c r="CV91" s="778"/>
      <c r="CW91" s="778"/>
      <c r="CX91" s="778"/>
      <c r="CY91" s="778"/>
      <c r="CZ91" s="778"/>
      <c r="DA91" s="778"/>
      <c r="DB91" s="778"/>
      <c r="DC91" s="778"/>
      <c r="DD91" s="778"/>
      <c r="DE91" s="778"/>
      <c r="DF91" s="778"/>
      <c r="DG91" s="778"/>
      <c r="DH91" s="778"/>
      <c r="DI91" s="778"/>
      <c r="DJ91" s="778"/>
      <c r="DK91" s="778"/>
      <c r="DL91" s="778"/>
      <c r="DM91" s="778"/>
      <c r="DN91" s="778"/>
      <c r="DO91" s="778"/>
      <c r="DP91" s="778"/>
      <c r="DQ91" s="778"/>
      <c r="DR91" s="778"/>
      <c r="DS91" s="778"/>
      <c r="DT91" s="778"/>
      <c r="DU91" s="778"/>
      <c r="DV91" s="778"/>
      <c r="DW91" s="778"/>
      <c r="DX91" s="778"/>
      <c r="DY91" s="778"/>
      <c r="DZ91" s="778"/>
      <c r="EA91" s="778"/>
      <c r="EB91" s="778"/>
      <c r="EC91" s="778"/>
      <c r="ED91" s="778"/>
      <c r="EE91" s="778"/>
      <c r="EF91" s="778"/>
      <c r="EG91" s="778"/>
      <c r="EH91" s="778"/>
    </row>
    <row r="92" spans="5:138" ht="12.75" customHeight="1" x14ac:dyDescent="0.3">
      <c r="E92" s="778"/>
      <c r="F92" s="778"/>
      <c r="G92" s="778"/>
      <c r="H92" s="778"/>
      <c r="I92" s="778"/>
      <c r="J92" s="778"/>
      <c r="K92" s="778"/>
      <c r="L92" s="778"/>
      <c r="M92" s="778"/>
      <c r="N92" s="778"/>
      <c r="O92" s="778"/>
      <c r="P92" s="778"/>
      <c r="Q92" s="778"/>
      <c r="R92" s="778"/>
      <c r="S92" s="778"/>
      <c r="T92" s="778"/>
      <c r="U92" s="778"/>
      <c r="V92" s="778"/>
      <c r="W92" s="778"/>
      <c r="X92" s="778"/>
      <c r="Y92" s="778"/>
      <c r="Z92" s="778"/>
      <c r="AA92" s="778"/>
      <c r="AB92" s="778"/>
      <c r="AC92" s="778"/>
      <c r="AD92" s="778"/>
      <c r="AE92" s="778"/>
      <c r="AF92" s="778"/>
      <c r="AG92" s="778"/>
      <c r="AH92" s="778"/>
      <c r="AI92" s="778"/>
      <c r="AJ92" s="778"/>
      <c r="AK92" s="778"/>
      <c r="AL92" s="778"/>
      <c r="AM92" s="778"/>
      <c r="AN92" s="778"/>
      <c r="AO92" s="778"/>
      <c r="AP92" s="778"/>
      <c r="AQ92" s="778"/>
      <c r="AR92" s="778"/>
      <c r="AS92" s="778"/>
      <c r="AT92" s="778"/>
      <c r="AU92" s="778"/>
      <c r="AV92" s="778"/>
      <c r="AW92" s="778"/>
      <c r="AX92" s="778"/>
      <c r="AY92" s="778"/>
      <c r="AZ92" s="778"/>
      <c r="BA92" s="778"/>
      <c r="BB92" s="778"/>
      <c r="BC92" s="778"/>
      <c r="BD92" s="778"/>
      <c r="BE92" s="778"/>
      <c r="BF92" s="778"/>
      <c r="BG92" s="778"/>
      <c r="BH92" s="778"/>
      <c r="BI92" s="778"/>
      <c r="BJ92" s="778"/>
      <c r="BK92" s="778"/>
      <c r="BL92" s="778"/>
      <c r="BM92" s="778"/>
      <c r="BN92" s="778"/>
      <c r="BO92" s="778"/>
      <c r="BP92" s="778"/>
      <c r="BQ92" s="778"/>
      <c r="BR92" s="778"/>
      <c r="BS92" s="778"/>
      <c r="BT92" s="778"/>
      <c r="BU92" s="778"/>
      <c r="BV92" s="778"/>
      <c r="BW92" s="778"/>
      <c r="BX92" s="778"/>
      <c r="BY92" s="778"/>
      <c r="BZ92" s="778"/>
      <c r="CA92" s="778"/>
      <c r="CB92" s="778"/>
      <c r="CC92" s="778"/>
      <c r="CD92" s="778"/>
      <c r="CE92" s="778"/>
      <c r="CF92" s="778"/>
      <c r="CG92" s="778"/>
      <c r="CH92" s="778"/>
      <c r="CI92" s="778"/>
      <c r="CJ92" s="778"/>
      <c r="CK92" s="778"/>
      <c r="CL92" s="778"/>
      <c r="CM92" s="778"/>
      <c r="CN92" s="778"/>
      <c r="CO92" s="778"/>
      <c r="CP92" s="778"/>
      <c r="CQ92" s="778"/>
      <c r="CR92" s="778"/>
      <c r="CS92" s="778"/>
      <c r="CT92" s="778"/>
      <c r="CU92" s="778"/>
      <c r="CV92" s="778"/>
      <c r="CW92" s="778"/>
      <c r="CX92" s="778"/>
      <c r="CY92" s="778"/>
      <c r="CZ92" s="778"/>
      <c r="DA92" s="778"/>
      <c r="DB92" s="778"/>
      <c r="DC92" s="778"/>
      <c r="DD92" s="778"/>
      <c r="DE92" s="778"/>
      <c r="DF92" s="778"/>
      <c r="DG92" s="778"/>
      <c r="DH92" s="778"/>
      <c r="DI92" s="778"/>
      <c r="DJ92" s="778"/>
      <c r="DK92" s="778"/>
      <c r="DL92" s="778"/>
      <c r="DM92" s="778"/>
      <c r="DN92" s="778"/>
      <c r="DO92" s="778"/>
      <c r="DP92" s="778"/>
      <c r="DQ92" s="778"/>
      <c r="DR92" s="778"/>
      <c r="DS92" s="778"/>
      <c r="DT92" s="778"/>
      <c r="DU92" s="778"/>
      <c r="DV92" s="778"/>
      <c r="DW92" s="778"/>
      <c r="DX92" s="778"/>
      <c r="DY92" s="778"/>
      <c r="DZ92" s="778"/>
      <c r="EA92" s="778"/>
      <c r="EB92" s="778"/>
      <c r="EC92" s="778"/>
      <c r="ED92" s="778"/>
      <c r="EE92" s="778"/>
      <c r="EF92" s="778"/>
      <c r="EG92" s="778"/>
      <c r="EH92" s="778"/>
    </row>
    <row r="93" spans="5:138" ht="12.75" customHeight="1" x14ac:dyDescent="0.3">
      <c r="E93" s="778"/>
      <c r="F93" s="778"/>
      <c r="G93" s="778"/>
      <c r="H93" s="778"/>
      <c r="I93" s="778"/>
      <c r="J93" s="778"/>
      <c r="K93" s="778"/>
      <c r="L93" s="778"/>
      <c r="M93" s="778"/>
      <c r="N93" s="778"/>
      <c r="O93" s="778"/>
      <c r="P93" s="778"/>
      <c r="Q93" s="778"/>
      <c r="R93" s="778"/>
      <c r="S93" s="778"/>
      <c r="T93" s="778"/>
      <c r="U93" s="778"/>
      <c r="V93" s="778"/>
      <c r="W93" s="778"/>
      <c r="X93" s="778"/>
      <c r="Y93" s="778"/>
      <c r="Z93" s="778"/>
      <c r="AA93" s="778"/>
      <c r="AB93" s="778"/>
      <c r="AC93" s="778"/>
      <c r="AD93" s="778"/>
      <c r="AE93" s="778"/>
      <c r="AF93" s="778"/>
      <c r="AG93" s="778"/>
      <c r="AH93" s="778"/>
      <c r="AI93" s="778"/>
      <c r="AJ93" s="778"/>
      <c r="AK93" s="778"/>
      <c r="AL93" s="778"/>
      <c r="AM93" s="778"/>
      <c r="AN93" s="778"/>
      <c r="AO93" s="778"/>
      <c r="AP93" s="778"/>
      <c r="AQ93" s="778"/>
      <c r="AR93" s="778"/>
      <c r="AS93" s="778"/>
      <c r="AT93" s="778"/>
      <c r="AU93" s="778"/>
      <c r="AV93" s="778"/>
      <c r="AW93" s="778"/>
      <c r="AX93" s="778"/>
      <c r="AY93" s="778"/>
      <c r="AZ93" s="778"/>
      <c r="BA93" s="778"/>
      <c r="BB93" s="778"/>
      <c r="BC93" s="778"/>
      <c r="BD93" s="778"/>
      <c r="BE93" s="778"/>
      <c r="BF93" s="778"/>
      <c r="BG93" s="778"/>
      <c r="BH93" s="778"/>
      <c r="BI93" s="778"/>
      <c r="BJ93" s="778"/>
      <c r="BK93" s="778"/>
      <c r="BL93" s="778"/>
      <c r="BM93" s="778"/>
      <c r="BN93" s="778"/>
      <c r="BO93" s="778"/>
      <c r="BP93" s="778"/>
      <c r="BQ93" s="778"/>
      <c r="BR93" s="778"/>
      <c r="BS93" s="778"/>
      <c r="BT93" s="778"/>
      <c r="BU93" s="778"/>
      <c r="BV93" s="778"/>
      <c r="BW93" s="778"/>
      <c r="BX93" s="778"/>
      <c r="BY93" s="778"/>
      <c r="BZ93" s="778"/>
      <c r="CA93" s="778"/>
      <c r="CB93" s="778"/>
      <c r="CC93" s="778"/>
      <c r="CD93" s="778"/>
      <c r="CE93" s="778"/>
      <c r="CF93" s="778"/>
      <c r="CG93" s="778"/>
      <c r="CH93" s="778"/>
      <c r="CI93" s="778"/>
      <c r="CJ93" s="778"/>
      <c r="CK93" s="778"/>
      <c r="CL93" s="778"/>
      <c r="CM93" s="778"/>
      <c r="CN93" s="778"/>
      <c r="CO93" s="778"/>
      <c r="CP93" s="778"/>
      <c r="CQ93" s="778"/>
      <c r="CR93" s="778"/>
      <c r="CS93" s="778"/>
      <c r="CT93" s="778"/>
      <c r="CU93" s="778"/>
      <c r="CV93" s="778"/>
      <c r="CW93" s="778"/>
      <c r="CX93" s="778"/>
      <c r="CY93" s="778"/>
      <c r="CZ93" s="778"/>
      <c r="DA93" s="778"/>
      <c r="DB93" s="778"/>
      <c r="DC93" s="778"/>
      <c r="DD93" s="778"/>
      <c r="DE93" s="778"/>
      <c r="DF93" s="778"/>
      <c r="DG93" s="778"/>
      <c r="DH93" s="778"/>
      <c r="DI93" s="778"/>
      <c r="DJ93" s="778"/>
      <c r="DK93" s="778"/>
      <c r="DL93" s="778"/>
      <c r="DM93" s="778"/>
      <c r="DN93" s="778"/>
      <c r="DO93" s="778"/>
      <c r="DP93" s="778"/>
      <c r="DQ93" s="778"/>
      <c r="DR93" s="778"/>
      <c r="DS93" s="778"/>
      <c r="DT93" s="778"/>
      <c r="DU93" s="778"/>
      <c r="DV93" s="778"/>
      <c r="DW93" s="778"/>
      <c r="DX93" s="778"/>
      <c r="DY93" s="778"/>
      <c r="DZ93" s="778"/>
      <c r="EA93" s="778"/>
      <c r="EB93" s="778"/>
      <c r="EC93" s="778"/>
      <c r="ED93" s="778"/>
      <c r="EE93" s="778"/>
      <c r="EF93" s="778"/>
      <c r="EG93" s="778"/>
      <c r="EH93" s="778"/>
    </row>
    <row r="94" spans="5:138" ht="12.75" customHeight="1" x14ac:dyDescent="0.3">
      <c r="E94" s="778"/>
      <c r="F94" s="778"/>
      <c r="G94" s="778"/>
      <c r="H94" s="778"/>
      <c r="I94" s="778"/>
      <c r="J94" s="778"/>
      <c r="K94" s="778"/>
      <c r="L94" s="778"/>
      <c r="M94" s="778"/>
      <c r="N94" s="778"/>
      <c r="O94" s="778"/>
      <c r="P94" s="778"/>
      <c r="Q94" s="778"/>
      <c r="R94" s="778"/>
      <c r="S94" s="778"/>
      <c r="T94" s="778"/>
      <c r="U94" s="778"/>
      <c r="V94" s="778"/>
      <c r="W94" s="778"/>
      <c r="X94" s="778"/>
      <c r="Y94" s="778"/>
      <c r="Z94" s="778"/>
      <c r="AA94" s="778"/>
      <c r="AB94" s="778"/>
      <c r="AC94" s="778"/>
      <c r="AD94" s="778"/>
      <c r="AE94" s="778"/>
      <c r="AF94" s="778"/>
      <c r="AG94" s="778"/>
      <c r="AH94" s="778"/>
      <c r="AI94" s="778"/>
      <c r="AJ94" s="778"/>
      <c r="AK94" s="778"/>
      <c r="AL94" s="778"/>
      <c r="AM94" s="778"/>
      <c r="AN94" s="778"/>
      <c r="AO94" s="778"/>
      <c r="AP94" s="778"/>
      <c r="AQ94" s="778"/>
      <c r="AR94" s="778"/>
      <c r="AS94" s="778"/>
      <c r="AT94" s="778"/>
      <c r="AU94" s="778"/>
      <c r="AV94" s="778"/>
      <c r="AW94" s="778"/>
      <c r="AX94" s="778"/>
      <c r="AY94" s="778"/>
      <c r="AZ94" s="778"/>
      <c r="BA94" s="778"/>
      <c r="BB94" s="778"/>
      <c r="BC94" s="778"/>
      <c r="BD94" s="778"/>
      <c r="BE94" s="778"/>
      <c r="BF94" s="778"/>
      <c r="BG94" s="778"/>
      <c r="BH94" s="778"/>
      <c r="BI94" s="778"/>
      <c r="BJ94" s="778"/>
      <c r="BK94" s="778"/>
      <c r="BL94" s="778"/>
      <c r="BM94" s="778"/>
      <c r="BN94" s="778"/>
      <c r="BO94" s="778"/>
      <c r="BP94" s="778"/>
      <c r="BQ94" s="778"/>
      <c r="BR94" s="778"/>
      <c r="BS94" s="778"/>
      <c r="BT94" s="778"/>
      <c r="BU94" s="778"/>
      <c r="BV94" s="778"/>
      <c r="BW94" s="778"/>
      <c r="BX94" s="778"/>
      <c r="BY94" s="778"/>
      <c r="BZ94" s="778"/>
      <c r="CA94" s="778"/>
      <c r="CB94" s="778"/>
      <c r="CC94" s="778"/>
      <c r="CD94" s="778"/>
      <c r="CE94" s="778"/>
      <c r="CF94" s="778"/>
      <c r="CG94" s="778"/>
      <c r="CH94" s="778"/>
      <c r="CI94" s="778"/>
      <c r="CJ94" s="778"/>
      <c r="CK94" s="778"/>
      <c r="CL94" s="778"/>
      <c r="CM94" s="778"/>
      <c r="CN94" s="778"/>
      <c r="CO94" s="778"/>
      <c r="CP94" s="778"/>
      <c r="CQ94" s="778"/>
      <c r="CR94" s="778"/>
      <c r="CS94" s="778"/>
      <c r="CT94" s="778"/>
      <c r="CU94" s="778"/>
      <c r="CV94" s="778"/>
      <c r="CW94" s="778"/>
      <c r="CX94" s="778"/>
      <c r="CY94" s="778"/>
      <c r="CZ94" s="778"/>
      <c r="DA94" s="778"/>
      <c r="DB94" s="778"/>
      <c r="DC94" s="778"/>
      <c r="DD94" s="778"/>
      <c r="DE94" s="778"/>
      <c r="DF94" s="778"/>
      <c r="DG94" s="778"/>
      <c r="DH94" s="778"/>
      <c r="DI94" s="778"/>
      <c r="DJ94" s="778"/>
      <c r="DK94" s="778"/>
      <c r="DL94" s="778"/>
      <c r="DM94" s="778"/>
      <c r="DN94" s="778"/>
      <c r="DO94" s="778"/>
      <c r="DP94" s="778"/>
      <c r="DQ94" s="778"/>
      <c r="DR94" s="778"/>
      <c r="DS94" s="778"/>
      <c r="DT94" s="778"/>
      <c r="DU94" s="778"/>
      <c r="DV94" s="778"/>
      <c r="DW94" s="778"/>
      <c r="DX94" s="778"/>
      <c r="DY94" s="778"/>
      <c r="DZ94" s="778"/>
      <c r="EA94" s="778"/>
      <c r="EB94" s="778"/>
      <c r="EC94" s="778"/>
      <c r="ED94" s="778"/>
      <c r="EE94" s="778"/>
      <c r="EF94" s="778"/>
      <c r="EG94" s="778"/>
      <c r="EH94" s="778"/>
    </row>
    <row r="95" spans="5:138" ht="12.75" customHeight="1" x14ac:dyDescent="0.3">
      <c r="E95" s="778"/>
      <c r="F95" s="778"/>
      <c r="G95" s="778"/>
      <c r="H95" s="778"/>
      <c r="I95" s="778"/>
      <c r="J95" s="778"/>
      <c r="K95" s="778"/>
      <c r="L95" s="778"/>
      <c r="M95" s="778"/>
      <c r="N95" s="778"/>
      <c r="O95" s="778"/>
      <c r="P95" s="778"/>
      <c r="Q95" s="778"/>
      <c r="R95" s="778"/>
      <c r="S95" s="778"/>
      <c r="T95" s="778"/>
      <c r="U95" s="778"/>
      <c r="V95" s="778"/>
      <c r="W95" s="778"/>
      <c r="X95" s="778"/>
      <c r="Y95" s="778"/>
      <c r="Z95" s="778"/>
      <c r="AA95" s="778"/>
      <c r="AB95" s="778"/>
      <c r="AC95" s="778"/>
      <c r="AD95" s="778"/>
      <c r="AE95" s="778"/>
      <c r="AF95" s="778"/>
      <c r="AG95" s="778"/>
      <c r="AH95" s="778"/>
      <c r="AI95" s="778"/>
      <c r="AJ95" s="778"/>
      <c r="AK95" s="778"/>
      <c r="AL95" s="778"/>
      <c r="AM95" s="778"/>
      <c r="AN95" s="778"/>
      <c r="AO95" s="778"/>
      <c r="AP95" s="778"/>
      <c r="AQ95" s="778"/>
      <c r="AR95" s="778"/>
      <c r="AS95" s="778"/>
      <c r="AT95" s="778"/>
      <c r="AU95" s="778"/>
      <c r="AV95" s="778"/>
      <c r="AW95" s="778"/>
      <c r="AX95" s="778"/>
      <c r="AY95" s="778"/>
      <c r="AZ95" s="778"/>
      <c r="BA95" s="778"/>
      <c r="BB95" s="778"/>
      <c r="BC95" s="778"/>
      <c r="BD95" s="778"/>
      <c r="BE95" s="778"/>
      <c r="BF95" s="778"/>
      <c r="BG95" s="778"/>
      <c r="BH95" s="778"/>
      <c r="BI95" s="778"/>
      <c r="BJ95" s="778"/>
      <c r="BK95" s="778"/>
      <c r="BL95" s="778"/>
      <c r="BM95" s="778"/>
      <c r="BN95" s="778"/>
      <c r="BO95" s="778"/>
      <c r="BP95" s="778"/>
      <c r="BQ95" s="778"/>
      <c r="BR95" s="778"/>
      <c r="BS95" s="778"/>
      <c r="BT95" s="778"/>
      <c r="BU95" s="778"/>
      <c r="BV95" s="778"/>
      <c r="BW95" s="778"/>
      <c r="BX95" s="778"/>
      <c r="BY95" s="778"/>
      <c r="BZ95" s="778"/>
      <c r="CA95" s="778"/>
      <c r="CB95" s="778"/>
      <c r="CC95" s="778"/>
      <c r="CD95" s="778"/>
      <c r="CE95" s="778"/>
      <c r="CF95" s="778"/>
      <c r="CG95" s="778"/>
      <c r="CH95" s="778"/>
      <c r="CI95" s="778"/>
      <c r="CJ95" s="778"/>
      <c r="CK95" s="778"/>
      <c r="CL95" s="778"/>
      <c r="CM95" s="778"/>
      <c r="CN95" s="778"/>
      <c r="CO95" s="778"/>
      <c r="CP95" s="778"/>
      <c r="CQ95" s="778"/>
      <c r="CR95" s="778"/>
      <c r="CS95" s="778"/>
      <c r="CT95" s="778"/>
      <c r="CU95" s="778"/>
      <c r="CV95" s="778"/>
      <c r="CW95" s="778"/>
      <c r="CX95" s="778"/>
      <c r="CY95" s="778"/>
      <c r="CZ95" s="778"/>
      <c r="DA95" s="778"/>
      <c r="DB95" s="778"/>
      <c r="DC95" s="778"/>
      <c r="DD95" s="778"/>
      <c r="DE95" s="778"/>
      <c r="DF95" s="778"/>
      <c r="DG95" s="778"/>
      <c r="DH95" s="778"/>
      <c r="DI95" s="778"/>
      <c r="DJ95" s="778"/>
      <c r="DK95" s="778"/>
      <c r="DL95" s="778"/>
      <c r="DM95" s="778"/>
      <c r="DN95" s="778"/>
      <c r="DO95" s="778"/>
      <c r="DP95" s="778"/>
      <c r="DQ95" s="778"/>
      <c r="DR95" s="778"/>
      <c r="DS95" s="778"/>
      <c r="DT95" s="778"/>
      <c r="DU95" s="778"/>
      <c r="DV95" s="778"/>
      <c r="DW95" s="778"/>
      <c r="DX95" s="778"/>
      <c r="DY95" s="778"/>
      <c r="DZ95" s="778"/>
      <c r="EA95" s="778"/>
      <c r="EB95" s="778"/>
      <c r="EC95" s="778"/>
      <c r="ED95" s="778"/>
      <c r="EE95" s="778"/>
      <c r="EF95" s="778"/>
      <c r="EG95" s="778"/>
      <c r="EH95" s="778"/>
    </row>
    <row r="96" spans="5:138" ht="12.75" customHeight="1" x14ac:dyDescent="0.3">
      <c r="E96" s="778"/>
      <c r="F96" s="778"/>
      <c r="G96" s="778"/>
      <c r="H96" s="778"/>
      <c r="I96" s="778"/>
      <c r="J96" s="778"/>
      <c r="K96" s="778"/>
      <c r="L96" s="778"/>
      <c r="M96" s="778"/>
      <c r="N96" s="778"/>
      <c r="O96" s="778"/>
      <c r="P96" s="778"/>
      <c r="Q96" s="778"/>
      <c r="R96" s="778"/>
      <c r="S96" s="778"/>
      <c r="T96" s="778"/>
      <c r="U96" s="778"/>
      <c r="V96" s="778"/>
      <c r="W96" s="778"/>
      <c r="X96" s="778"/>
      <c r="Y96" s="778"/>
      <c r="Z96" s="778"/>
      <c r="AA96" s="778"/>
      <c r="AB96" s="778"/>
      <c r="AC96" s="778"/>
      <c r="AD96" s="778"/>
      <c r="AE96" s="778"/>
      <c r="AF96" s="778"/>
      <c r="AG96" s="778"/>
      <c r="AH96" s="778"/>
      <c r="AI96" s="778"/>
      <c r="AJ96" s="778"/>
      <c r="AK96" s="778"/>
      <c r="AL96" s="778"/>
      <c r="AM96" s="778"/>
      <c r="AN96" s="778"/>
      <c r="AO96" s="778"/>
      <c r="AP96" s="778"/>
      <c r="AQ96" s="778"/>
      <c r="AR96" s="778"/>
      <c r="AS96" s="778"/>
      <c r="AT96" s="778"/>
      <c r="AU96" s="778"/>
      <c r="AV96" s="778"/>
      <c r="AW96" s="778"/>
      <c r="AX96" s="778"/>
      <c r="AY96" s="778"/>
      <c r="AZ96" s="778"/>
      <c r="BA96" s="778"/>
      <c r="BB96" s="778"/>
      <c r="BC96" s="778"/>
      <c r="BD96" s="778"/>
      <c r="BE96" s="778"/>
      <c r="BF96" s="778"/>
      <c r="BG96" s="778"/>
      <c r="BH96" s="778"/>
      <c r="BI96" s="778"/>
      <c r="BJ96" s="778"/>
      <c r="BK96" s="778"/>
      <c r="BL96" s="778"/>
      <c r="BM96" s="778"/>
      <c r="BN96" s="778"/>
      <c r="BO96" s="778"/>
      <c r="BP96" s="778"/>
      <c r="BQ96" s="778"/>
      <c r="BR96" s="778"/>
      <c r="BS96" s="778"/>
      <c r="BT96" s="778"/>
      <c r="BU96" s="778"/>
      <c r="BV96" s="778"/>
      <c r="BW96" s="778"/>
      <c r="BX96" s="778"/>
      <c r="BY96" s="778"/>
      <c r="BZ96" s="778"/>
      <c r="CA96" s="778"/>
      <c r="CB96" s="778"/>
      <c r="CC96" s="778"/>
      <c r="CD96" s="778"/>
      <c r="CE96" s="778"/>
      <c r="CF96" s="778"/>
      <c r="CG96" s="778"/>
      <c r="CH96" s="778"/>
      <c r="CI96" s="778"/>
      <c r="CJ96" s="778"/>
      <c r="CK96" s="778"/>
      <c r="CL96" s="778"/>
      <c r="CM96" s="778"/>
      <c r="CN96" s="778"/>
      <c r="CO96" s="778"/>
      <c r="CP96" s="778"/>
      <c r="CQ96" s="778"/>
      <c r="CR96" s="778"/>
      <c r="CS96" s="778"/>
      <c r="CT96" s="778"/>
      <c r="CU96" s="778"/>
      <c r="CV96" s="778"/>
      <c r="CW96" s="778"/>
      <c r="CX96" s="778"/>
      <c r="CY96" s="778"/>
      <c r="CZ96" s="778"/>
      <c r="DA96" s="778"/>
      <c r="DB96" s="778"/>
      <c r="DC96" s="778"/>
      <c r="DD96" s="778"/>
      <c r="DE96" s="778"/>
      <c r="DF96" s="778"/>
      <c r="DG96" s="778"/>
      <c r="DH96" s="778"/>
      <c r="DI96" s="778"/>
      <c r="DJ96" s="778"/>
      <c r="DK96" s="778"/>
      <c r="DL96" s="778"/>
      <c r="DM96" s="778"/>
      <c r="DN96" s="778"/>
      <c r="DO96" s="778"/>
      <c r="DP96" s="778"/>
      <c r="DQ96" s="778"/>
      <c r="DR96" s="778"/>
      <c r="DS96" s="778"/>
      <c r="DT96" s="778"/>
      <c r="DU96" s="778"/>
      <c r="DV96" s="778"/>
      <c r="DW96" s="778"/>
      <c r="DX96" s="778"/>
      <c r="DY96" s="778"/>
      <c r="DZ96" s="778"/>
      <c r="EA96" s="778"/>
      <c r="EB96" s="778"/>
      <c r="EC96" s="778"/>
      <c r="ED96" s="778"/>
      <c r="EE96" s="778"/>
      <c r="EF96" s="778"/>
      <c r="EG96" s="778"/>
      <c r="EH96" s="778"/>
    </row>
    <row r="97" spans="5:138" ht="12.75" customHeight="1" x14ac:dyDescent="0.3">
      <c r="E97" s="778"/>
      <c r="F97" s="778"/>
      <c r="G97" s="778"/>
      <c r="H97" s="778"/>
      <c r="I97" s="778"/>
      <c r="J97" s="778"/>
      <c r="K97" s="778"/>
      <c r="L97" s="778"/>
      <c r="M97" s="778"/>
      <c r="N97" s="778"/>
      <c r="O97" s="778"/>
      <c r="P97" s="778"/>
      <c r="Q97" s="778"/>
      <c r="R97" s="778"/>
      <c r="S97" s="778"/>
      <c r="T97" s="778"/>
      <c r="U97" s="778"/>
      <c r="V97" s="778"/>
      <c r="W97" s="778"/>
      <c r="X97" s="778"/>
      <c r="Y97" s="778"/>
      <c r="Z97" s="778"/>
      <c r="AA97" s="778"/>
      <c r="AB97" s="778"/>
      <c r="AC97" s="778"/>
      <c r="AD97" s="778"/>
      <c r="AE97" s="778"/>
      <c r="AF97" s="778"/>
      <c r="AG97" s="778"/>
      <c r="AH97" s="778"/>
      <c r="AI97" s="778"/>
      <c r="AJ97" s="778"/>
      <c r="AK97" s="778"/>
      <c r="AL97" s="778"/>
      <c r="AM97" s="778"/>
      <c r="AN97" s="778"/>
      <c r="AO97" s="778"/>
      <c r="AP97" s="778"/>
      <c r="AQ97" s="778"/>
      <c r="AR97" s="778"/>
      <c r="AS97" s="778"/>
      <c r="AT97" s="778"/>
      <c r="AU97" s="778"/>
      <c r="AV97" s="778"/>
      <c r="AW97" s="778"/>
      <c r="AX97" s="778"/>
      <c r="AY97" s="778"/>
      <c r="AZ97" s="778"/>
      <c r="BA97" s="778"/>
      <c r="BB97" s="778"/>
      <c r="BC97" s="778"/>
      <c r="BD97" s="778"/>
      <c r="BE97" s="778"/>
      <c r="BF97" s="778"/>
      <c r="BG97" s="778"/>
      <c r="BH97" s="778"/>
      <c r="BI97" s="778"/>
      <c r="BJ97" s="778"/>
      <c r="BK97" s="778"/>
      <c r="BL97" s="778"/>
      <c r="BM97" s="778"/>
      <c r="BN97" s="778"/>
      <c r="BO97" s="778"/>
      <c r="BP97" s="778"/>
      <c r="BQ97" s="778"/>
      <c r="BR97" s="778"/>
      <c r="BS97" s="778"/>
      <c r="BT97" s="778"/>
      <c r="BU97" s="778"/>
      <c r="BV97" s="778"/>
      <c r="BW97" s="778"/>
      <c r="BX97" s="778"/>
      <c r="BY97" s="778"/>
      <c r="BZ97" s="778"/>
      <c r="CA97" s="778"/>
      <c r="CB97" s="778"/>
      <c r="CC97" s="778"/>
      <c r="CD97" s="778"/>
      <c r="CE97" s="778"/>
      <c r="CF97" s="778"/>
      <c r="CG97" s="778"/>
      <c r="CH97" s="778"/>
      <c r="CI97" s="778"/>
      <c r="CJ97" s="778"/>
      <c r="CK97" s="778"/>
      <c r="CL97" s="778"/>
      <c r="CM97" s="778"/>
      <c r="CN97" s="778"/>
      <c r="CO97" s="778"/>
      <c r="CP97" s="778"/>
      <c r="CQ97" s="778"/>
      <c r="CR97" s="778"/>
      <c r="CS97" s="778"/>
      <c r="CT97" s="778"/>
      <c r="CU97" s="778"/>
      <c r="CV97" s="778"/>
      <c r="CW97" s="778"/>
      <c r="CX97" s="778"/>
      <c r="CY97" s="778"/>
      <c r="CZ97" s="778"/>
      <c r="DA97" s="778"/>
      <c r="DB97" s="778"/>
      <c r="DC97" s="778"/>
      <c r="DD97" s="778"/>
      <c r="DE97" s="778"/>
      <c r="DF97" s="778"/>
      <c r="DG97" s="778"/>
      <c r="DH97" s="778"/>
      <c r="DI97" s="778"/>
      <c r="DJ97" s="778"/>
      <c r="DK97" s="778"/>
      <c r="DL97" s="778"/>
      <c r="DM97" s="778"/>
      <c r="DN97" s="778"/>
      <c r="DO97" s="778"/>
      <c r="DP97" s="778"/>
      <c r="DQ97" s="778"/>
      <c r="DR97" s="778"/>
      <c r="DS97" s="778"/>
      <c r="DT97" s="778"/>
      <c r="DU97" s="778"/>
      <c r="DV97" s="778"/>
      <c r="DW97" s="778"/>
      <c r="DX97" s="778"/>
      <c r="DY97" s="778"/>
      <c r="DZ97" s="778"/>
      <c r="EA97" s="778"/>
      <c r="EB97" s="778"/>
      <c r="EC97" s="778"/>
      <c r="ED97" s="778"/>
      <c r="EE97" s="778"/>
      <c r="EF97" s="778"/>
      <c r="EG97" s="778"/>
      <c r="EH97" s="778"/>
    </row>
    <row r="98" spans="5:138" ht="12.75" customHeight="1" x14ac:dyDescent="0.3">
      <c r="E98" s="778"/>
      <c r="F98" s="778"/>
      <c r="G98" s="778"/>
      <c r="H98" s="778"/>
      <c r="I98" s="778"/>
      <c r="J98" s="778"/>
      <c r="K98" s="778"/>
      <c r="L98" s="778"/>
      <c r="M98" s="778"/>
      <c r="N98" s="778"/>
      <c r="O98" s="778"/>
      <c r="P98" s="778"/>
      <c r="Q98" s="778"/>
      <c r="R98" s="778"/>
      <c r="S98" s="778"/>
      <c r="T98" s="778"/>
      <c r="U98" s="778"/>
      <c r="V98" s="778"/>
      <c r="W98" s="778"/>
      <c r="X98" s="778"/>
      <c r="Y98" s="778"/>
      <c r="Z98" s="778"/>
      <c r="AA98" s="778"/>
      <c r="AB98" s="778"/>
      <c r="AC98" s="778"/>
      <c r="AD98" s="778"/>
      <c r="AE98" s="778"/>
      <c r="AF98" s="778"/>
      <c r="AG98" s="778"/>
      <c r="AH98" s="778"/>
      <c r="AI98" s="778"/>
      <c r="AJ98" s="778"/>
      <c r="AK98" s="778"/>
      <c r="AL98" s="778"/>
      <c r="AM98" s="778"/>
      <c r="AN98" s="778"/>
      <c r="AO98" s="778"/>
      <c r="AP98" s="778"/>
      <c r="AQ98" s="778"/>
      <c r="AR98" s="778"/>
      <c r="AS98" s="778"/>
      <c r="AT98" s="778"/>
      <c r="AU98" s="778"/>
      <c r="AV98" s="778"/>
      <c r="AW98" s="778"/>
      <c r="AX98" s="778"/>
      <c r="AY98" s="778"/>
      <c r="AZ98" s="778"/>
      <c r="BA98" s="778"/>
      <c r="BB98" s="778"/>
      <c r="BC98" s="778"/>
      <c r="BD98" s="778"/>
      <c r="BE98" s="778"/>
      <c r="BF98" s="778"/>
      <c r="BG98" s="778"/>
      <c r="BH98" s="778"/>
      <c r="BI98" s="778"/>
      <c r="BJ98" s="778"/>
      <c r="BK98" s="778"/>
      <c r="BL98" s="778"/>
      <c r="BM98" s="778"/>
      <c r="BN98" s="778"/>
      <c r="BO98" s="778"/>
      <c r="BP98" s="778"/>
      <c r="BQ98" s="778"/>
      <c r="BR98" s="778"/>
      <c r="BS98" s="778"/>
      <c r="BT98" s="778"/>
      <c r="BU98" s="778"/>
      <c r="BV98" s="778"/>
      <c r="BW98" s="778"/>
      <c r="BX98" s="778"/>
      <c r="BY98" s="778"/>
      <c r="BZ98" s="778"/>
      <c r="CA98" s="778"/>
      <c r="CB98" s="778"/>
      <c r="CC98" s="778"/>
      <c r="CD98" s="778"/>
      <c r="CE98" s="778"/>
      <c r="CF98" s="778"/>
      <c r="CG98" s="778"/>
      <c r="CH98" s="778"/>
      <c r="CI98" s="778"/>
      <c r="CJ98" s="778"/>
      <c r="CK98" s="778"/>
      <c r="CL98" s="778"/>
      <c r="CM98" s="778"/>
      <c r="CN98" s="778"/>
      <c r="CO98" s="778"/>
      <c r="CP98" s="778"/>
      <c r="CQ98" s="778"/>
      <c r="CR98" s="778"/>
      <c r="CS98" s="778"/>
      <c r="CT98" s="778"/>
      <c r="CU98" s="778"/>
      <c r="CV98" s="778"/>
      <c r="CW98" s="778"/>
      <c r="CX98" s="778"/>
      <c r="CY98" s="778"/>
      <c r="CZ98" s="778"/>
      <c r="DA98" s="778"/>
      <c r="DB98" s="778"/>
      <c r="DC98" s="778"/>
      <c r="DD98" s="778"/>
      <c r="DE98" s="778"/>
      <c r="DF98" s="778"/>
      <c r="DG98" s="778"/>
      <c r="DH98" s="778"/>
      <c r="DI98" s="778"/>
      <c r="DJ98" s="778"/>
      <c r="DK98" s="778"/>
      <c r="DL98" s="778"/>
      <c r="DM98" s="778"/>
      <c r="DN98" s="778"/>
      <c r="DO98" s="778"/>
      <c r="DP98" s="778"/>
      <c r="DQ98" s="778"/>
      <c r="DR98" s="778"/>
      <c r="DS98" s="778"/>
      <c r="DT98" s="778"/>
      <c r="DU98" s="778"/>
      <c r="DV98" s="778"/>
      <c r="DW98" s="778"/>
      <c r="DX98" s="778"/>
      <c r="DY98" s="778"/>
      <c r="DZ98" s="778"/>
      <c r="EA98" s="778"/>
      <c r="EB98" s="778"/>
      <c r="EC98" s="778"/>
      <c r="ED98" s="778"/>
      <c r="EE98" s="778"/>
      <c r="EF98" s="778"/>
      <c r="EG98" s="778"/>
      <c r="EH98" s="778"/>
    </row>
    <row r="99" spans="5:138" ht="12.75" customHeight="1" x14ac:dyDescent="0.3">
      <c r="E99" s="778"/>
      <c r="F99" s="778"/>
      <c r="G99" s="778"/>
      <c r="H99" s="778"/>
      <c r="I99" s="778"/>
      <c r="J99" s="778"/>
      <c r="K99" s="778"/>
      <c r="L99" s="778"/>
      <c r="M99" s="778"/>
      <c r="N99" s="778"/>
      <c r="O99" s="778"/>
      <c r="P99" s="778"/>
      <c r="Q99" s="778"/>
      <c r="R99" s="778"/>
      <c r="S99" s="778"/>
      <c r="T99" s="778"/>
      <c r="U99" s="778"/>
      <c r="V99" s="778"/>
      <c r="W99" s="778"/>
      <c r="X99" s="778"/>
      <c r="Y99" s="778"/>
      <c r="Z99" s="778"/>
      <c r="AA99" s="778"/>
      <c r="AB99" s="778"/>
      <c r="AC99" s="778"/>
      <c r="AD99" s="778"/>
      <c r="AE99" s="778"/>
      <c r="AF99" s="778"/>
      <c r="AG99" s="778"/>
      <c r="AH99" s="778"/>
      <c r="AI99" s="778"/>
      <c r="AJ99" s="778"/>
      <c r="AK99" s="778"/>
      <c r="AL99" s="778"/>
      <c r="AM99" s="778"/>
      <c r="AN99" s="778"/>
      <c r="AO99" s="778"/>
      <c r="AP99" s="778"/>
      <c r="AQ99" s="778"/>
      <c r="AR99" s="778"/>
      <c r="AS99" s="778"/>
      <c r="AT99" s="778"/>
      <c r="AU99" s="778"/>
      <c r="AV99" s="778"/>
      <c r="AW99" s="778"/>
      <c r="AX99" s="778"/>
      <c r="AY99" s="778"/>
      <c r="AZ99" s="778"/>
      <c r="BA99" s="778"/>
      <c r="BB99" s="778"/>
      <c r="BC99" s="778"/>
      <c r="BD99" s="778"/>
      <c r="BE99" s="778"/>
      <c r="BF99" s="778"/>
      <c r="BG99" s="778"/>
      <c r="BH99" s="778"/>
      <c r="BI99" s="778"/>
      <c r="BJ99" s="778"/>
      <c r="BK99" s="778"/>
      <c r="BL99" s="778"/>
      <c r="BM99" s="778"/>
      <c r="BN99" s="778"/>
      <c r="BO99" s="778"/>
      <c r="BP99" s="778"/>
      <c r="BQ99" s="778"/>
      <c r="BR99" s="778"/>
      <c r="BS99" s="778"/>
      <c r="BT99" s="778"/>
      <c r="BU99" s="778"/>
      <c r="BV99" s="778"/>
      <c r="BW99" s="778"/>
      <c r="BX99" s="778"/>
      <c r="BY99" s="778"/>
      <c r="BZ99" s="778"/>
      <c r="CA99" s="778"/>
      <c r="CB99" s="778"/>
      <c r="CC99" s="778"/>
      <c r="CD99" s="778"/>
      <c r="CE99" s="778"/>
      <c r="CF99" s="778"/>
      <c r="CG99" s="778"/>
      <c r="CH99" s="778"/>
      <c r="CI99" s="778"/>
      <c r="CJ99" s="778"/>
      <c r="CK99" s="778"/>
      <c r="CL99" s="778"/>
      <c r="CM99" s="778"/>
      <c r="CN99" s="778"/>
      <c r="CO99" s="778"/>
      <c r="CP99" s="778"/>
      <c r="CQ99" s="778"/>
      <c r="CR99" s="778"/>
      <c r="CS99" s="778"/>
      <c r="CT99" s="778"/>
      <c r="CU99" s="778"/>
      <c r="CV99" s="778"/>
      <c r="CW99" s="778"/>
      <c r="CX99" s="778"/>
      <c r="CY99" s="778"/>
      <c r="CZ99" s="778"/>
      <c r="DA99" s="778"/>
      <c r="DB99" s="778"/>
      <c r="DC99" s="778"/>
      <c r="DD99" s="778"/>
      <c r="DE99" s="778"/>
      <c r="DF99" s="778"/>
      <c r="DG99" s="778"/>
      <c r="DH99" s="778"/>
      <c r="DI99" s="778"/>
      <c r="DJ99" s="778"/>
      <c r="DK99" s="778"/>
      <c r="DL99" s="778"/>
      <c r="DM99" s="778"/>
      <c r="DN99" s="778"/>
      <c r="DO99" s="778"/>
      <c r="DP99" s="778"/>
      <c r="DQ99" s="778"/>
      <c r="DR99" s="778"/>
      <c r="DS99" s="778"/>
      <c r="DT99" s="778"/>
      <c r="DU99" s="778"/>
      <c r="DV99" s="778"/>
      <c r="DW99" s="778"/>
      <c r="DX99" s="778"/>
      <c r="DY99" s="778"/>
      <c r="DZ99" s="778"/>
      <c r="EA99" s="778"/>
      <c r="EB99" s="778"/>
      <c r="EC99" s="778"/>
      <c r="ED99" s="778"/>
      <c r="EE99" s="778"/>
      <c r="EF99" s="778"/>
      <c r="EG99" s="778"/>
      <c r="EH99" s="778"/>
    </row>
    <row r="100" spans="5:138" ht="12.75" customHeight="1" x14ac:dyDescent="0.3">
      <c r="E100" s="778"/>
      <c r="F100" s="778"/>
      <c r="G100" s="778"/>
      <c r="H100" s="778"/>
      <c r="I100" s="778"/>
      <c r="J100" s="778"/>
      <c r="K100" s="778"/>
      <c r="L100" s="778"/>
      <c r="M100" s="778"/>
      <c r="N100" s="778"/>
      <c r="O100" s="778"/>
      <c r="P100" s="778"/>
      <c r="Q100" s="778"/>
      <c r="R100" s="778"/>
      <c r="S100" s="778"/>
      <c r="T100" s="778"/>
      <c r="U100" s="778"/>
      <c r="V100" s="778"/>
      <c r="W100" s="778"/>
      <c r="X100" s="778"/>
      <c r="Y100" s="778"/>
      <c r="Z100" s="778"/>
      <c r="AA100" s="778"/>
      <c r="AB100" s="778"/>
      <c r="AC100" s="778"/>
      <c r="AD100" s="778"/>
      <c r="AE100" s="778"/>
      <c r="AF100" s="778"/>
      <c r="AG100" s="778"/>
      <c r="AH100" s="778"/>
      <c r="AI100" s="778"/>
      <c r="AJ100" s="778"/>
      <c r="AK100" s="778"/>
      <c r="AL100" s="778"/>
      <c r="AM100" s="778"/>
      <c r="AN100" s="778"/>
      <c r="AO100" s="778"/>
      <c r="AP100" s="778"/>
      <c r="AQ100" s="778"/>
      <c r="AR100" s="778"/>
      <c r="AS100" s="778"/>
      <c r="AT100" s="778"/>
      <c r="AU100" s="778"/>
      <c r="AV100" s="778"/>
      <c r="AW100" s="778"/>
      <c r="AX100" s="778"/>
      <c r="AY100" s="778"/>
      <c r="AZ100" s="778"/>
      <c r="BA100" s="778"/>
      <c r="BB100" s="778"/>
      <c r="BC100" s="778"/>
      <c r="BD100" s="778"/>
      <c r="BE100" s="778"/>
      <c r="BF100" s="778"/>
      <c r="BG100" s="778"/>
      <c r="BH100" s="778"/>
      <c r="BI100" s="778"/>
      <c r="BJ100" s="778"/>
      <c r="BK100" s="778"/>
      <c r="BL100" s="778"/>
      <c r="BM100" s="778"/>
      <c r="BN100" s="778"/>
      <c r="BO100" s="778"/>
      <c r="BP100" s="778"/>
      <c r="BQ100" s="778"/>
      <c r="BR100" s="778"/>
      <c r="BS100" s="778"/>
      <c r="BT100" s="778"/>
      <c r="BU100" s="778"/>
      <c r="BV100" s="778"/>
      <c r="BW100" s="778"/>
      <c r="BX100" s="778"/>
      <c r="BY100" s="778"/>
      <c r="BZ100" s="778"/>
      <c r="CA100" s="778"/>
      <c r="CB100" s="778"/>
      <c r="CC100" s="778"/>
      <c r="CD100" s="778"/>
      <c r="CE100" s="778"/>
      <c r="CF100" s="778"/>
      <c r="CG100" s="778"/>
      <c r="CH100" s="778"/>
      <c r="CI100" s="778"/>
      <c r="CJ100" s="778"/>
      <c r="CK100" s="778"/>
      <c r="CL100" s="778"/>
      <c r="CM100" s="778"/>
      <c r="CN100" s="778"/>
      <c r="CO100" s="778"/>
      <c r="CP100" s="778"/>
      <c r="CQ100" s="778"/>
      <c r="CR100" s="778"/>
      <c r="CS100" s="778"/>
      <c r="CT100" s="778"/>
      <c r="CU100" s="778"/>
      <c r="CV100" s="778"/>
      <c r="CW100" s="778"/>
      <c r="CX100" s="778"/>
      <c r="CY100" s="778"/>
      <c r="CZ100" s="778"/>
      <c r="DA100" s="778"/>
      <c r="DB100" s="778"/>
      <c r="DC100" s="778"/>
      <c r="DD100" s="778"/>
      <c r="DE100" s="778"/>
      <c r="DF100" s="778"/>
      <c r="DG100" s="778"/>
      <c r="DH100" s="778"/>
      <c r="DI100" s="778"/>
      <c r="DJ100" s="778"/>
      <c r="DK100" s="778"/>
      <c r="DL100" s="778"/>
      <c r="DM100" s="778"/>
      <c r="DN100" s="778"/>
      <c r="DO100" s="778"/>
      <c r="DP100" s="778"/>
      <c r="DQ100" s="778"/>
      <c r="DR100" s="778"/>
      <c r="DS100" s="778"/>
      <c r="DT100" s="778"/>
      <c r="DU100" s="778"/>
      <c r="DV100" s="778"/>
      <c r="DW100" s="778"/>
      <c r="DX100" s="778"/>
      <c r="DY100" s="778"/>
      <c r="DZ100" s="778"/>
      <c r="EA100" s="778"/>
      <c r="EB100" s="778"/>
      <c r="EC100" s="778"/>
      <c r="ED100" s="778"/>
      <c r="EE100" s="778"/>
      <c r="EF100" s="778"/>
      <c r="EG100" s="778"/>
      <c r="EH100" s="778"/>
    </row>
    <row r="101" spans="5:138" ht="12.75" customHeight="1" x14ac:dyDescent="0.3">
      <c r="E101" s="778"/>
      <c r="F101" s="778"/>
      <c r="G101" s="778"/>
      <c r="H101" s="778"/>
      <c r="I101" s="778"/>
      <c r="J101" s="778"/>
      <c r="K101" s="778"/>
      <c r="L101" s="778"/>
      <c r="M101" s="778"/>
      <c r="N101" s="778"/>
      <c r="O101" s="778"/>
      <c r="P101" s="778"/>
      <c r="Q101" s="778"/>
      <c r="R101" s="778"/>
      <c r="S101" s="778"/>
      <c r="T101" s="778"/>
      <c r="U101" s="778"/>
      <c r="V101" s="778"/>
      <c r="W101" s="778"/>
      <c r="X101" s="778"/>
      <c r="Y101" s="778"/>
      <c r="Z101" s="778"/>
      <c r="AA101" s="778"/>
      <c r="AB101" s="778"/>
      <c r="AC101" s="778"/>
      <c r="AD101" s="778"/>
      <c r="AE101" s="778"/>
      <c r="AF101" s="778"/>
      <c r="AG101" s="778"/>
      <c r="AH101" s="778"/>
      <c r="AI101" s="778"/>
      <c r="AJ101" s="778"/>
      <c r="AK101" s="778"/>
      <c r="AL101" s="778"/>
      <c r="AM101" s="778"/>
      <c r="AN101" s="778"/>
      <c r="AO101" s="778"/>
      <c r="AP101" s="778"/>
      <c r="AQ101" s="778"/>
      <c r="AR101" s="778"/>
      <c r="AS101" s="778"/>
      <c r="AT101" s="778"/>
      <c r="AU101" s="778"/>
      <c r="AV101" s="778"/>
      <c r="AW101" s="778"/>
      <c r="AX101" s="778"/>
      <c r="AY101" s="778"/>
      <c r="AZ101" s="778"/>
      <c r="BA101" s="778"/>
      <c r="BB101" s="778"/>
      <c r="BC101" s="778"/>
      <c r="BD101" s="778"/>
      <c r="BE101" s="778"/>
      <c r="BF101" s="778"/>
      <c r="BG101" s="778"/>
      <c r="BH101" s="778"/>
      <c r="BI101" s="778"/>
      <c r="BJ101" s="778"/>
      <c r="BK101" s="778"/>
      <c r="BL101" s="778"/>
      <c r="BM101" s="778"/>
      <c r="BN101" s="778"/>
      <c r="BO101" s="778"/>
      <c r="BP101" s="778"/>
      <c r="BQ101" s="778"/>
      <c r="BR101" s="778"/>
      <c r="BS101" s="778"/>
      <c r="BT101" s="778"/>
      <c r="BU101" s="778"/>
      <c r="BV101" s="778"/>
      <c r="BW101" s="778"/>
      <c r="BX101" s="778"/>
      <c r="BY101" s="778"/>
      <c r="BZ101" s="778"/>
      <c r="CA101" s="778"/>
      <c r="CB101" s="778"/>
      <c r="CC101" s="778"/>
      <c r="CD101" s="778"/>
      <c r="CE101" s="778"/>
      <c r="CF101" s="778"/>
      <c r="CG101" s="778"/>
      <c r="CH101" s="778"/>
      <c r="CI101" s="778"/>
      <c r="CJ101" s="778"/>
      <c r="CK101" s="778"/>
      <c r="CL101" s="778"/>
      <c r="CM101" s="778"/>
      <c r="CN101" s="778"/>
      <c r="CO101" s="778"/>
      <c r="CP101" s="778"/>
      <c r="CQ101" s="778"/>
      <c r="CR101" s="778"/>
      <c r="CS101" s="778"/>
      <c r="CT101" s="778"/>
      <c r="CU101" s="778"/>
      <c r="CV101" s="778"/>
      <c r="CW101" s="778"/>
      <c r="CX101" s="778"/>
      <c r="CY101" s="778"/>
      <c r="CZ101" s="778"/>
      <c r="DA101" s="778"/>
      <c r="DB101" s="778"/>
      <c r="DC101" s="778"/>
      <c r="DD101" s="778"/>
      <c r="DE101" s="778"/>
      <c r="DF101" s="778"/>
      <c r="DG101" s="778"/>
      <c r="DH101" s="778"/>
      <c r="DI101" s="778"/>
      <c r="DJ101" s="778"/>
      <c r="DK101" s="778"/>
      <c r="DL101" s="778"/>
      <c r="DM101" s="778"/>
      <c r="DN101" s="778"/>
      <c r="DO101" s="778"/>
      <c r="DP101" s="778"/>
      <c r="DQ101" s="778"/>
      <c r="DR101" s="778"/>
      <c r="DS101" s="778"/>
      <c r="DT101" s="778"/>
      <c r="DU101" s="778"/>
      <c r="DV101" s="778"/>
      <c r="DW101" s="778"/>
      <c r="DX101" s="778"/>
      <c r="DY101" s="778"/>
      <c r="DZ101" s="778"/>
      <c r="EA101" s="778"/>
      <c r="EB101" s="778"/>
      <c r="EC101" s="778"/>
      <c r="ED101" s="778"/>
      <c r="EE101" s="778"/>
      <c r="EF101" s="778"/>
      <c r="EG101" s="778"/>
      <c r="EH101" s="778"/>
    </row>
    <row r="102" spans="5:138" ht="12.75" customHeight="1" x14ac:dyDescent="0.3">
      <c r="E102" s="778"/>
      <c r="F102" s="778"/>
      <c r="G102" s="778"/>
      <c r="H102" s="778"/>
      <c r="I102" s="778"/>
      <c r="J102" s="778"/>
      <c r="K102" s="778"/>
      <c r="L102" s="778"/>
      <c r="M102" s="778"/>
      <c r="N102" s="778"/>
      <c r="O102" s="778"/>
      <c r="P102" s="778"/>
      <c r="Q102" s="778"/>
      <c r="R102" s="778"/>
      <c r="S102" s="778"/>
      <c r="T102" s="778"/>
      <c r="U102" s="778"/>
      <c r="V102" s="778"/>
      <c r="W102" s="778"/>
      <c r="X102" s="778"/>
      <c r="Y102" s="778"/>
      <c r="Z102" s="778"/>
      <c r="AA102" s="778"/>
      <c r="AB102" s="778"/>
      <c r="AC102" s="778"/>
      <c r="AD102" s="778"/>
      <c r="AE102" s="778"/>
      <c r="AF102" s="778"/>
      <c r="AG102" s="778"/>
      <c r="AH102" s="778"/>
      <c r="AI102" s="778"/>
      <c r="AJ102" s="778"/>
      <c r="AK102" s="778"/>
      <c r="AL102" s="778"/>
      <c r="AM102" s="778"/>
      <c r="AN102" s="778"/>
      <c r="AO102" s="778"/>
      <c r="AP102" s="778"/>
      <c r="AQ102" s="778"/>
      <c r="AR102" s="778"/>
      <c r="AS102" s="778"/>
      <c r="AT102" s="778"/>
      <c r="AU102" s="778"/>
      <c r="AV102" s="778"/>
      <c r="AW102" s="778"/>
      <c r="AX102" s="778"/>
      <c r="AY102" s="778"/>
      <c r="AZ102" s="778"/>
      <c r="BA102" s="778"/>
      <c r="BB102" s="778"/>
      <c r="BC102" s="778"/>
      <c r="BD102" s="778"/>
      <c r="BE102" s="778"/>
      <c r="BF102" s="778"/>
      <c r="BG102" s="778"/>
      <c r="BH102" s="778"/>
      <c r="BI102" s="778"/>
      <c r="BJ102" s="778"/>
      <c r="BK102" s="778"/>
      <c r="BL102" s="778"/>
      <c r="BM102" s="778"/>
      <c r="BN102" s="778"/>
      <c r="BO102" s="778"/>
      <c r="BP102" s="778"/>
      <c r="BQ102" s="778"/>
      <c r="BR102" s="778"/>
      <c r="BS102" s="778"/>
      <c r="BT102" s="778"/>
      <c r="BU102" s="778"/>
      <c r="BV102" s="778"/>
      <c r="BW102" s="778"/>
      <c r="BX102" s="778"/>
      <c r="BY102" s="778"/>
      <c r="BZ102" s="778"/>
      <c r="CA102" s="778"/>
      <c r="CB102" s="778"/>
      <c r="CC102" s="778"/>
      <c r="CD102" s="778"/>
      <c r="CE102" s="778"/>
      <c r="CF102" s="778"/>
      <c r="CG102" s="778"/>
      <c r="CH102" s="778"/>
      <c r="CI102" s="778"/>
      <c r="CJ102" s="778"/>
      <c r="CK102" s="778"/>
      <c r="CL102" s="778"/>
      <c r="CM102" s="778"/>
      <c r="CN102" s="778"/>
      <c r="CO102" s="778"/>
      <c r="CP102" s="778"/>
      <c r="CQ102" s="778"/>
      <c r="CR102" s="778"/>
      <c r="CS102" s="778"/>
      <c r="CT102" s="778"/>
      <c r="CU102" s="778"/>
      <c r="CV102" s="778"/>
      <c r="CW102" s="778"/>
      <c r="CX102" s="778"/>
      <c r="CY102" s="778"/>
      <c r="CZ102" s="778"/>
      <c r="DA102" s="778"/>
      <c r="DB102" s="778"/>
      <c r="DC102" s="778"/>
      <c r="DD102" s="778"/>
      <c r="DE102" s="778"/>
      <c r="DF102" s="778"/>
      <c r="DG102" s="778"/>
      <c r="DH102" s="778"/>
      <c r="DI102" s="778"/>
      <c r="DJ102" s="778"/>
      <c r="DK102" s="778"/>
      <c r="DL102" s="778"/>
      <c r="DM102" s="778"/>
      <c r="DN102" s="778"/>
      <c r="DO102" s="778"/>
      <c r="DP102" s="778"/>
      <c r="DQ102" s="778"/>
      <c r="DR102" s="778"/>
      <c r="DS102" s="778"/>
      <c r="DT102" s="778"/>
      <c r="DU102" s="778"/>
      <c r="DV102" s="778"/>
      <c r="DW102" s="778"/>
      <c r="DX102" s="778"/>
      <c r="DY102" s="778"/>
      <c r="DZ102" s="778"/>
      <c r="EA102" s="778"/>
      <c r="EB102" s="778"/>
      <c r="EC102" s="778"/>
      <c r="ED102" s="778"/>
      <c r="EE102" s="778"/>
      <c r="EF102" s="778"/>
      <c r="EG102" s="778"/>
      <c r="EH102" s="778"/>
    </row>
    <row r="103" spans="5:138" ht="12.75" customHeight="1" x14ac:dyDescent="0.3">
      <c r="E103" s="778"/>
      <c r="F103" s="778"/>
      <c r="G103" s="778"/>
      <c r="H103" s="778"/>
      <c r="I103" s="778"/>
      <c r="J103" s="778"/>
      <c r="K103" s="778"/>
      <c r="L103" s="778"/>
      <c r="M103" s="778"/>
      <c r="N103" s="778"/>
      <c r="O103" s="778"/>
      <c r="P103" s="778"/>
      <c r="Q103" s="778"/>
      <c r="R103" s="778"/>
      <c r="S103" s="778"/>
      <c r="T103" s="778"/>
      <c r="U103" s="778"/>
      <c r="V103" s="778"/>
      <c r="W103" s="778"/>
      <c r="X103" s="778"/>
      <c r="Y103" s="778"/>
      <c r="Z103" s="778"/>
      <c r="AA103" s="778"/>
      <c r="AB103" s="778"/>
      <c r="AC103" s="778"/>
      <c r="AD103" s="778"/>
      <c r="AE103" s="778"/>
      <c r="AF103" s="778"/>
      <c r="AG103" s="778"/>
      <c r="AH103" s="778"/>
      <c r="AI103" s="778"/>
      <c r="AJ103" s="778"/>
      <c r="AK103" s="778"/>
      <c r="AL103" s="778"/>
      <c r="AM103" s="778"/>
      <c r="AN103" s="778"/>
      <c r="AO103" s="778"/>
      <c r="AP103" s="778"/>
      <c r="AQ103" s="778"/>
      <c r="AR103" s="778"/>
      <c r="AS103" s="778"/>
      <c r="AT103" s="778"/>
      <c r="AU103" s="778"/>
      <c r="AV103" s="778"/>
      <c r="AW103" s="778"/>
      <c r="AX103" s="778"/>
      <c r="AY103" s="778"/>
      <c r="AZ103" s="778"/>
      <c r="BA103" s="778"/>
      <c r="BB103" s="778"/>
      <c r="BC103" s="778"/>
      <c r="BD103" s="778"/>
      <c r="BE103" s="778"/>
      <c r="BF103" s="778"/>
      <c r="BG103" s="778"/>
      <c r="BH103" s="778"/>
      <c r="BI103" s="778"/>
      <c r="BJ103" s="778"/>
      <c r="BK103" s="778"/>
      <c r="BL103" s="778"/>
      <c r="BM103" s="778"/>
      <c r="BN103" s="778"/>
      <c r="BO103" s="778"/>
      <c r="BP103" s="778"/>
      <c r="BQ103" s="778"/>
      <c r="BR103" s="778"/>
      <c r="BS103" s="778"/>
      <c r="BT103" s="778"/>
      <c r="BU103" s="778"/>
      <c r="BV103" s="778"/>
      <c r="BW103" s="778"/>
      <c r="BX103" s="778"/>
      <c r="BY103" s="778"/>
      <c r="BZ103" s="778"/>
      <c r="CA103" s="778"/>
      <c r="CB103" s="778"/>
      <c r="CC103" s="778"/>
      <c r="CD103" s="778"/>
      <c r="CE103" s="778"/>
      <c r="CF103" s="778"/>
      <c r="CG103" s="778"/>
      <c r="CH103" s="778"/>
      <c r="CI103" s="778"/>
      <c r="CJ103" s="778"/>
      <c r="CK103" s="778"/>
      <c r="CL103" s="778"/>
      <c r="CM103" s="778"/>
      <c r="CN103" s="778"/>
      <c r="CO103" s="778"/>
      <c r="CP103" s="778"/>
      <c r="CQ103" s="778"/>
      <c r="CR103" s="778"/>
      <c r="CS103" s="778"/>
      <c r="CT103" s="778"/>
      <c r="CU103" s="778"/>
      <c r="CV103" s="778"/>
      <c r="CW103" s="778"/>
      <c r="CX103" s="778"/>
      <c r="CY103" s="778"/>
      <c r="CZ103" s="778"/>
      <c r="DA103" s="778"/>
      <c r="DB103" s="778"/>
      <c r="DC103" s="778"/>
      <c r="DD103" s="778"/>
      <c r="DE103" s="778"/>
      <c r="DF103" s="778"/>
      <c r="DG103" s="778"/>
      <c r="DH103" s="778"/>
      <c r="DI103" s="778"/>
      <c r="DJ103" s="778"/>
      <c r="DK103" s="778"/>
      <c r="DL103" s="778"/>
      <c r="DM103" s="778"/>
      <c r="DN103" s="778"/>
      <c r="DO103" s="778"/>
      <c r="DP103" s="778"/>
      <c r="DQ103" s="778"/>
      <c r="DR103" s="778"/>
      <c r="DS103" s="778"/>
      <c r="DT103" s="778"/>
      <c r="DU103" s="778"/>
      <c r="DV103" s="778"/>
      <c r="DW103" s="778"/>
      <c r="DX103" s="778"/>
      <c r="DY103" s="778"/>
      <c r="DZ103" s="778"/>
      <c r="EA103" s="778"/>
      <c r="EB103" s="778"/>
      <c r="EC103" s="778"/>
      <c r="ED103" s="778"/>
      <c r="EE103" s="778"/>
      <c r="EF103" s="778"/>
      <c r="EG103" s="778"/>
      <c r="EH103" s="778"/>
    </row>
    <row r="104" spans="5:138" ht="12.75" customHeight="1" x14ac:dyDescent="0.3">
      <c r="E104" s="778"/>
      <c r="F104" s="778"/>
      <c r="G104" s="778"/>
      <c r="H104" s="778"/>
      <c r="I104" s="778"/>
      <c r="J104" s="778"/>
      <c r="K104" s="778"/>
      <c r="L104" s="778"/>
      <c r="M104" s="778"/>
      <c r="N104" s="778"/>
      <c r="O104" s="778"/>
      <c r="P104" s="778"/>
      <c r="Q104" s="778"/>
      <c r="R104" s="778"/>
      <c r="S104" s="778"/>
      <c r="T104" s="778"/>
      <c r="U104" s="778"/>
      <c r="V104" s="778"/>
      <c r="W104" s="778"/>
      <c r="X104" s="778"/>
      <c r="Y104" s="778"/>
      <c r="Z104" s="778"/>
      <c r="AA104" s="778"/>
      <c r="AB104" s="778"/>
      <c r="AC104" s="778"/>
      <c r="AD104" s="778"/>
      <c r="AE104" s="778"/>
      <c r="AF104" s="778"/>
      <c r="AG104" s="778"/>
      <c r="AH104" s="778"/>
      <c r="AI104" s="778"/>
      <c r="AJ104" s="778"/>
      <c r="AK104" s="778"/>
      <c r="AL104" s="778"/>
      <c r="AM104" s="778"/>
      <c r="AN104" s="778"/>
      <c r="AO104" s="778"/>
      <c r="AP104" s="778"/>
      <c r="AQ104" s="778"/>
      <c r="AR104" s="778"/>
      <c r="AS104" s="778"/>
      <c r="AT104" s="778"/>
      <c r="AU104" s="778"/>
      <c r="AV104" s="778"/>
      <c r="AW104" s="778"/>
      <c r="AX104" s="778"/>
      <c r="AY104" s="778"/>
      <c r="AZ104" s="778"/>
      <c r="BA104" s="778"/>
      <c r="BB104" s="778"/>
      <c r="BC104" s="778"/>
      <c r="BD104" s="778"/>
      <c r="BE104" s="778"/>
      <c r="BF104" s="778"/>
      <c r="BG104" s="778"/>
      <c r="BH104" s="778"/>
      <c r="BI104" s="778"/>
      <c r="BJ104" s="778"/>
      <c r="BK104" s="778"/>
      <c r="BL104" s="778"/>
      <c r="BM104" s="778"/>
      <c r="BN104" s="778"/>
      <c r="BO104" s="778"/>
      <c r="BP104" s="778"/>
      <c r="BQ104" s="778"/>
      <c r="BR104" s="778"/>
      <c r="BS104" s="778"/>
      <c r="BT104" s="778"/>
      <c r="BU104" s="778"/>
      <c r="BV104" s="778"/>
      <c r="BW104" s="778"/>
      <c r="BX104" s="778"/>
      <c r="BY104" s="778"/>
      <c r="BZ104" s="778"/>
      <c r="CA104" s="778"/>
      <c r="CB104" s="778"/>
      <c r="CC104" s="778"/>
      <c r="CD104" s="778"/>
      <c r="CE104" s="778"/>
      <c r="CF104" s="778"/>
      <c r="CG104" s="778"/>
      <c r="CH104" s="778"/>
      <c r="CI104" s="778"/>
      <c r="CJ104" s="778"/>
      <c r="CK104" s="778"/>
      <c r="CL104" s="778"/>
      <c r="CM104" s="778"/>
      <c r="CN104" s="778"/>
      <c r="CO104" s="778"/>
      <c r="CP104" s="778"/>
      <c r="CQ104" s="778"/>
      <c r="CR104" s="778"/>
      <c r="CS104" s="778"/>
      <c r="CT104" s="778"/>
      <c r="CU104" s="778"/>
      <c r="CV104" s="778"/>
      <c r="CW104" s="778"/>
      <c r="CX104" s="778"/>
      <c r="CY104" s="778"/>
      <c r="CZ104" s="778"/>
      <c r="DA104" s="778"/>
      <c r="DB104" s="778"/>
      <c r="DC104" s="778"/>
      <c r="DD104" s="778"/>
      <c r="DE104" s="778"/>
      <c r="DF104" s="778"/>
      <c r="DG104" s="778"/>
      <c r="DH104" s="778"/>
      <c r="DI104" s="778"/>
      <c r="DJ104" s="778"/>
      <c r="DK104" s="778"/>
      <c r="DL104" s="778"/>
      <c r="DM104" s="778"/>
      <c r="DN104" s="778"/>
      <c r="DO104" s="778"/>
      <c r="DP104" s="778"/>
      <c r="DQ104" s="778"/>
      <c r="DR104" s="778"/>
      <c r="DS104" s="778"/>
      <c r="DT104" s="778"/>
      <c r="DU104" s="778"/>
      <c r="DV104" s="778"/>
      <c r="DW104" s="778"/>
      <c r="DX104" s="778"/>
      <c r="DY104" s="778"/>
      <c r="DZ104" s="778"/>
      <c r="EA104" s="778"/>
      <c r="EB104" s="778"/>
      <c r="EC104" s="778"/>
      <c r="ED104" s="778"/>
      <c r="EE104" s="778"/>
      <c r="EF104" s="778"/>
      <c r="EG104" s="778"/>
      <c r="EH104" s="778"/>
    </row>
    <row r="105" spans="5:138" ht="12.75" customHeight="1" x14ac:dyDescent="0.3">
      <c r="E105" s="778"/>
      <c r="F105" s="778"/>
      <c r="G105" s="778"/>
      <c r="H105" s="778"/>
      <c r="I105" s="778"/>
      <c r="J105" s="778"/>
      <c r="K105" s="778"/>
      <c r="L105" s="778"/>
      <c r="M105" s="778"/>
      <c r="N105" s="778"/>
      <c r="O105" s="778"/>
      <c r="P105" s="778"/>
      <c r="Q105" s="778"/>
      <c r="R105" s="778"/>
      <c r="S105" s="778"/>
      <c r="T105" s="778"/>
      <c r="U105" s="778"/>
      <c r="V105" s="778"/>
      <c r="W105" s="778"/>
      <c r="X105" s="778"/>
      <c r="Y105" s="778"/>
      <c r="Z105" s="778"/>
      <c r="AA105" s="778"/>
      <c r="AB105" s="778"/>
      <c r="AC105" s="778"/>
      <c r="AD105" s="778"/>
      <c r="AE105" s="778"/>
      <c r="AF105" s="778"/>
      <c r="AG105" s="778"/>
      <c r="AH105" s="778"/>
      <c r="AI105" s="778"/>
      <c r="AJ105" s="778"/>
      <c r="AK105" s="778"/>
      <c r="AL105" s="778"/>
      <c r="AM105" s="778"/>
      <c r="AN105" s="778"/>
      <c r="AO105" s="778"/>
      <c r="AP105" s="778"/>
      <c r="AQ105" s="778"/>
      <c r="AR105" s="778"/>
      <c r="AS105" s="778"/>
      <c r="AT105" s="778"/>
      <c r="AU105" s="778"/>
      <c r="AV105" s="778"/>
      <c r="AW105" s="778"/>
      <c r="AX105" s="778"/>
      <c r="AY105" s="778"/>
      <c r="AZ105" s="778"/>
      <c r="BA105" s="778"/>
      <c r="BB105" s="778"/>
      <c r="BC105" s="778"/>
      <c r="BD105" s="778"/>
      <c r="BE105" s="778"/>
      <c r="BF105" s="778"/>
      <c r="BG105" s="778"/>
      <c r="BH105" s="778"/>
      <c r="BI105" s="778"/>
      <c r="BJ105" s="778"/>
      <c r="BK105" s="778"/>
      <c r="BL105" s="778"/>
      <c r="BM105" s="778"/>
      <c r="BN105" s="778"/>
      <c r="BO105" s="778"/>
      <c r="BP105" s="778"/>
      <c r="BQ105" s="778"/>
      <c r="BR105" s="778"/>
      <c r="BS105" s="778"/>
      <c r="BT105" s="778"/>
      <c r="BU105" s="778"/>
      <c r="BV105" s="778"/>
      <c r="BW105" s="778"/>
      <c r="BX105" s="778"/>
      <c r="BY105" s="778"/>
      <c r="BZ105" s="778"/>
      <c r="CA105" s="778"/>
      <c r="CB105" s="778"/>
      <c r="CC105" s="778"/>
      <c r="CD105" s="778"/>
      <c r="CE105" s="778"/>
      <c r="CF105" s="778"/>
      <c r="CG105" s="778"/>
      <c r="CH105" s="778"/>
      <c r="CI105" s="778"/>
      <c r="CJ105" s="778"/>
      <c r="CK105" s="778"/>
      <c r="CL105" s="778"/>
      <c r="CM105" s="778"/>
      <c r="CN105" s="778"/>
      <c r="CO105" s="778"/>
      <c r="CP105" s="778"/>
      <c r="CQ105" s="778"/>
      <c r="CR105" s="778"/>
      <c r="CS105" s="778"/>
      <c r="CT105" s="778"/>
      <c r="CU105" s="778"/>
      <c r="CV105" s="778"/>
      <c r="CW105" s="778"/>
      <c r="CX105" s="778"/>
      <c r="CY105" s="778"/>
      <c r="CZ105" s="778"/>
      <c r="DA105" s="778"/>
      <c r="DB105" s="778"/>
      <c r="DC105" s="778"/>
      <c r="DD105" s="778"/>
      <c r="DE105" s="778"/>
      <c r="DF105" s="778"/>
      <c r="DG105" s="778"/>
      <c r="DH105" s="778"/>
      <c r="DI105" s="778"/>
      <c r="DJ105" s="778"/>
      <c r="DK105" s="778"/>
      <c r="DL105" s="778"/>
      <c r="DM105" s="778"/>
      <c r="DN105" s="778"/>
      <c r="DO105" s="778"/>
      <c r="DP105" s="778"/>
      <c r="DQ105" s="778"/>
      <c r="DR105" s="778"/>
      <c r="DS105" s="778"/>
      <c r="DT105" s="778"/>
      <c r="DU105" s="778"/>
      <c r="DV105" s="778"/>
      <c r="DW105" s="778"/>
      <c r="DX105" s="778"/>
      <c r="DY105" s="778"/>
      <c r="DZ105" s="778"/>
      <c r="EA105" s="778"/>
      <c r="EB105" s="778"/>
      <c r="EC105" s="778"/>
      <c r="ED105" s="778"/>
      <c r="EE105" s="778"/>
      <c r="EF105" s="778"/>
      <c r="EG105" s="778"/>
      <c r="EH105" s="778"/>
    </row>
    <row r="106" spans="5:138" ht="12.75" customHeight="1" x14ac:dyDescent="0.3">
      <c r="E106" s="778"/>
      <c r="F106" s="778"/>
      <c r="G106" s="778"/>
      <c r="H106" s="778"/>
      <c r="I106" s="778"/>
      <c r="J106" s="778"/>
      <c r="K106" s="778"/>
      <c r="L106" s="778"/>
      <c r="M106" s="778"/>
      <c r="N106" s="778"/>
      <c r="O106" s="778"/>
      <c r="P106" s="778"/>
      <c r="Q106" s="778"/>
      <c r="R106" s="778"/>
      <c r="S106" s="778"/>
      <c r="T106" s="778"/>
      <c r="U106" s="778"/>
      <c r="V106" s="778"/>
      <c r="W106" s="778"/>
      <c r="X106" s="778"/>
      <c r="Y106" s="778"/>
      <c r="Z106" s="778"/>
      <c r="AA106" s="778"/>
      <c r="AB106" s="778"/>
      <c r="AC106" s="778"/>
      <c r="AD106" s="778"/>
      <c r="AE106" s="778"/>
      <c r="AF106" s="778"/>
      <c r="AG106" s="778"/>
      <c r="AH106" s="778"/>
      <c r="AI106" s="778"/>
      <c r="AJ106" s="778"/>
      <c r="AK106" s="778"/>
      <c r="AL106" s="778"/>
      <c r="AM106" s="778"/>
      <c r="AN106" s="778"/>
      <c r="AO106" s="778"/>
      <c r="AP106" s="778"/>
      <c r="AQ106" s="778"/>
      <c r="AR106" s="778"/>
      <c r="AS106" s="778"/>
      <c r="AT106" s="778"/>
      <c r="AU106" s="778"/>
      <c r="AV106" s="778"/>
      <c r="AW106" s="778"/>
      <c r="AX106" s="778"/>
      <c r="AY106" s="778"/>
      <c r="AZ106" s="778"/>
      <c r="BA106" s="778"/>
      <c r="BB106" s="778"/>
      <c r="BC106" s="778"/>
      <c r="BD106" s="778"/>
      <c r="BE106" s="778"/>
      <c r="BF106" s="778"/>
      <c r="BG106" s="778"/>
      <c r="BH106" s="778"/>
      <c r="BI106" s="778"/>
      <c r="BJ106" s="778"/>
      <c r="BK106" s="778"/>
      <c r="BL106" s="778"/>
      <c r="BM106" s="778"/>
      <c r="BN106" s="778"/>
      <c r="BO106" s="778"/>
      <c r="BP106" s="778"/>
      <c r="BQ106" s="778"/>
      <c r="BR106" s="778"/>
      <c r="BS106" s="778"/>
      <c r="BT106" s="778"/>
      <c r="BU106" s="778"/>
      <c r="BV106" s="778"/>
      <c r="BW106" s="778"/>
      <c r="BX106" s="778"/>
      <c r="BY106" s="778"/>
      <c r="BZ106" s="778"/>
      <c r="CA106" s="778"/>
      <c r="CB106" s="778"/>
      <c r="CC106" s="778"/>
      <c r="CD106" s="778"/>
      <c r="CE106" s="778"/>
      <c r="CF106" s="778"/>
      <c r="CG106" s="778"/>
      <c r="CH106" s="778"/>
      <c r="CI106" s="778"/>
      <c r="CJ106" s="778"/>
      <c r="CK106" s="778"/>
      <c r="CL106" s="778"/>
      <c r="CM106" s="778"/>
      <c r="CN106" s="778"/>
      <c r="CO106" s="778"/>
      <c r="CP106" s="778"/>
      <c r="CQ106" s="778"/>
      <c r="CR106" s="778"/>
      <c r="CS106" s="778"/>
      <c r="CT106" s="778"/>
      <c r="CU106" s="778"/>
      <c r="CV106" s="778"/>
      <c r="CW106" s="778"/>
      <c r="CX106" s="778"/>
      <c r="CY106" s="778"/>
      <c r="CZ106" s="778"/>
      <c r="DA106" s="778"/>
      <c r="DB106" s="778"/>
      <c r="DC106" s="778"/>
      <c r="DD106" s="778"/>
      <c r="DE106" s="778"/>
      <c r="DF106" s="778"/>
      <c r="DG106" s="778"/>
      <c r="DH106" s="778"/>
      <c r="DI106" s="778"/>
      <c r="DJ106" s="778"/>
      <c r="DK106" s="778"/>
      <c r="DL106" s="778"/>
      <c r="DM106" s="778"/>
      <c r="DN106" s="778"/>
      <c r="DO106" s="778"/>
      <c r="DP106" s="778"/>
      <c r="DQ106" s="778"/>
      <c r="DR106" s="778"/>
      <c r="DS106" s="778"/>
      <c r="DT106" s="778"/>
      <c r="DU106" s="778"/>
      <c r="DV106" s="778"/>
      <c r="DW106" s="778"/>
      <c r="DX106" s="778"/>
      <c r="DY106" s="778"/>
      <c r="DZ106" s="778"/>
      <c r="EA106" s="778"/>
      <c r="EB106" s="778"/>
      <c r="EC106" s="778"/>
      <c r="ED106" s="778"/>
      <c r="EE106" s="778"/>
      <c r="EF106" s="778"/>
      <c r="EG106" s="778"/>
      <c r="EH106" s="778"/>
    </row>
    <row r="107" spans="5:138" ht="12.75" customHeight="1" x14ac:dyDescent="0.3">
      <c r="E107" s="778"/>
      <c r="F107" s="778"/>
      <c r="G107" s="778"/>
      <c r="H107" s="778"/>
      <c r="I107" s="778"/>
      <c r="J107" s="778"/>
      <c r="K107" s="778"/>
      <c r="L107" s="778"/>
      <c r="M107" s="778"/>
      <c r="N107" s="778"/>
      <c r="O107" s="778"/>
      <c r="P107" s="778"/>
      <c r="Q107" s="778"/>
      <c r="R107" s="778"/>
      <c r="S107" s="778"/>
      <c r="T107" s="778"/>
      <c r="U107" s="778"/>
      <c r="V107" s="778"/>
      <c r="W107" s="778"/>
      <c r="X107" s="778"/>
      <c r="Y107" s="778"/>
      <c r="Z107" s="778"/>
      <c r="AA107" s="778"/>
      <c r="AB107" s="778"/>
      <c r="AC107" s="778"/>
      <c r="AD107" s="778"/>
      <c r="AE107" s="778"/>
      <c r="AF107" s="778"/>
      <c r="AG107" s="778"/>
      <c r="AH107" s="778"/>
      <c r="AI107" s="778"/>
      <c r="AJ107" s="778"/>
      <c r="AK107" s="778"/>
      <c r="AL107" s="778"/>
      <c r="AM107" s="778"/>
      <c r="AN107" s="778"/>
      <c r="AO107" s="778"/>
      <c r="AP107" s="778"/>
      <c r="AQ107" s="778"/>
      <c r="AR107" s="778"/>
      <c r="AS107" s="778"/>
      <c r="AT107" s="778"/>
      <c r="AU107" s="778"/>
      <c r="AV107" s="778"/>
      <c r="AW107" s="778"/>
      <c r="AX107" s="778"/>
      <c r="AY107" s="778"/>
      <c r="AZ107" s="778"/>
      <c r="BA107" s="778"/>
      <c r="BB107" s="778"/>
      <c r="BC107" s="778"/>
      <c r="BD107" s="778"/>
      <c r="BE107" s="778"/>
      <c r="BF107" s="778"/>
      <c r="BG107" s="778"/>
      <c r="BH107" s="778"/>
      <c r="BI107" s="778"/>
      <c r="BJ107" s="778"/>
      <c r="BK107" s="778"/>
      <c r="BL107" s="778"/>
      <c r="BM107" s="778"/>
      <c r="BN107" s="778"/>
      <c r="BO107" s="778"/>
      <c r="BP107" s="778"/>
      <c r="BQ107" s="778"/>
      <c r="BR107" s="778"/>
      <c r="BS107" s="778"/>
      <c r="BT107" s="778"/>
      <c r="BU107" s="778"/>
      <c r="BV107" s="778"/>
      <c r="BW107" s="778"/>
      <c r="BX107" s="778"/>
      <c r="BY107" s="778"/>
      <c r="BZ107" s="778"/>
      <c r="CA107" s="778"/>
      <c r="CB107" s="778"/>
      <c r="CC107" s="778"/>
      <c r="CD107" s="778"/>
      <c r="CE107" s="778"/>
      <c r="CF107" s="778"/>
      <c r="CG107" s="778"/>
      <c r="CH107" s="778"/>
      <c r="CI107" s="778"/>
      <c r="CJ107" s="778"/>
      <c r="CK107" s="778"/>
      <c r="CL107" s="778"/>
      <c r="CM107" s="778"/>
      <c r="CN107" s="778"/>
      <c r="CO107" s="778"/>
      <c r="CP107" s="778"/>
      <c r="CQ107" s="778"/>
      <c r="CR107" s="778"/>
      <c r="CS107" s="778"/>
      <c r="CT107" s="778"/>
      <c r="CU107" s="778"/>
      <c r="CV107" s="778"/>
      <c r="CW107" s="778"/>
      <c r="CX107" s="778"/>
      <c r="CY107" s="778"/>
      <c r="CZ107" s="778"/>
      <c r="DA107" s="778"/>
      <c r="DB107" s="778"/>
      <c r="DC107" s="778"/>
      <c r="DD107" s="778"/>
      <c r="DE107" s="778"/>
      <c r="DF107" s="778"/>
      <c r="DG107" s="778"/>
      <c r="DH107" s="778"/>
      <c r="DI107" s="778"/>
      <c r="DJ107" s="778"/>
      <c r="DK107" s="778"/>
      <c r="DL107" s="778"/>
      <c r="DM107" s="778"/>
      <c r="DN107" s="778"/>
      <c r="DO107" s="778"/>
      <c r="DP107" s="778"/>
      <c r="DQ107" s="778"/>
      <c r="DR107" s="778"/>
      <c r="DS107" s="778"/>
      <c r="DT107" s="778"/>
      <c r="DU107" s="778"/>
      <c r="DV107" s="778"/>
      <c r="DW107" s="778"/>
      <c r="DX107" s="778"/>
      <c r="DY107" s="778"/>
      <c r="DZ107" s="778"/>
      <c r="EA107" s="778"/>
      <c r="EB107" s="778"/>
      <c r="EC107" s="778"/>
      <c r="ED107" s="778"/>
      <c r="EE107" s="778"/>
      <c r="EF107" s="778"/>
      <c r="EG107" s="778"/>
      <c r="EH107" s="778"/>
    </row>
    <row r="108" spans="5:138" ht="12.75" customHeight="1" x14ac:dyDescent="0.3">
      <c r="E108" s="778"/>
      <c r="F108" s="778"/>
      <c r="G108" s="778"/>
      <c r="H108" s="778"/>
      <c r="I108" s="778"/>
      <c r="J108" s="778"/>
      <c r="K108" s="778"/>
      <c r="L108" s="778"/>
      <c r="M108" s="778"/>
      <c r="N108" s="778"/>
      <c r="O108" s="778"/>
      <c r="P108" s="778"/>
      <c r="Q108" s="778"/>
      <c r="R108" s="778"/>
      <c r="S108" s="778"/>
      <c r="T108" s="778"/>
      <c r="U108" s="778"/>
      <c r="V108" s="778"/>
      <c r="W108" s="778"/>
      <c r="X108" s="778"/>
      <c r="Y108" s="778"/>
      <c r="Z108" s="778"/>
      <c r="AA108" s="778"/>
      <c r="AB108" s="778"/>
      <c r="AC108" s="778"/>
      <c r="AD108" s="778"/>
      <c r="AE108" s="778"/>
      <c r="AF108" s="778"/>
      <c r="AG108" s="778"/>
      <c r="AH108" s="778"/>
      <c r="AI108" s="778"/>
      <c r="AJ108" s="778"/>
      <c r="AK108" s="778"/>
      <c r="AL108" s="778"/>
      <c r="AM108" s="778"/>
      <c r="AN108" s="778"/>
      <c r="AO108" s="778"/>
      <c r="AP108" s="778"/>
      <c r="AQ108" s="778"/>
      <c r="AR108" s="778"/>
      <c r="AS108" s="778"/>
      <c r="AT108" s="778"/>
      <c r="AU108" s="778"/>
      <c r="AV108" s="778"/>
      <c r="AW108" s="778"/>
      <c r="AX108" s="778"/>
      <c r="AY108" s="778"/>
      <c r="AZ108" s="778"/>
      <c r="BA108" s="778"/>
      <c r="BB108" s="778"/>
      <c r="BC108" s="778"/>
      <c r="BD108" s="778"/>
      <c r="BE108" s="778"/>
      <c r="BF108" s="778"/>
      <c r="BG108" s="778"/>
      <c r="BH108" s="778"/>
      <c r="BI108" s="778"/>
      <c r="BJ108" s="778"/>
      <c r="BK108" s="778"/>
      <c r="BL108" s="778"/>
      <c r="BM108" s="778"/>
      <c r="BN108" s="778"/>
      <c r="BO108" s="778"/>
      <c r="BP108" s="778"/>
      <c r="BQ108" s="778"/>
      <c r="BR108" s="778"/>
      <c r="BS108" s="778"/>
      <c r="BT108" s="778"/>
      <c r="BU108" s="778"/>
      <c r="BV108" s="778"/>
      <c r="BW108" s="778"/>
      <c r="BX108" s="778"/>
      <c r="BY108" s="778"/>
      <c r="BZ108" s="778"/>
      <c r="CA108" s="778"/>
      <c r="CB108" s="778"/>
      <c r="CC108" s="778"/>
      <c r="CD108" s="778"/>
      <c r="CE108" s="778"/>
      <c r="CF108" s="778"/>
      <c r="CG108" s="778"/>
      <c r="CH108" s="778"/>
      <c r="CI108" s="778"/>
      <c r="CJ108" s="778"/>
      <c r="CK108" s="778"/>
      <c r="CL108" s="778"/>
      <c r="CM108" s="778"/>
      <c r="CN108" s="778"/>
      <c r="CO108" s="778"/>
      <c r="CP108" s="778"/>
      <c r="CQ108" s="778"/>
      <c r="CR108" s="778"/>
      <c r="CS108" s="778"/>
      <c r="CT108" s="778"/>
      <c r="CU108" s="778"/>
      <c r="CV108" s="778"/>
      <c r="CW108" s="778"/>
      <c r="CX108" s="778"/>
      <c r="CY108" s="778"/>
      <c r="CZ108" s="778"/>
      <c r="DA108" s="778"/>
      <c r="DB108" s="778"/>
      <c r="DC108" s="778"/>
      <c r="DD108" s="778"/>
      <c r="DE108" s="778"/>
      <c r="DF108" s="778"/>
      <c r="DG108" s="778"/>
      <c r="DH108" s="778"/>
      <c r="DI108" s="778"/>
      <c r="DJ108" s="778"/>
      <c r="DK108" s="778"/>
      <c r="DL108" s="778"/>
      <c r="DM108" s="778"/>
      <c r="DN108" s="778"/>
      <c r="DO108" s="778"/>
      <c r="DP108" s="778"/>
      <c r="DQ108" s="778"/>
      <c r="DR108" s="778"/>
      <c r="DS108" s="778"/>
      <c r="DT108" s="778"/>
      <c r="DU108" s="778"/>
      <c r="DV108" s="778"/>
      <c r="DW108" s="778"/>
      <c r="DX108" s="778"/>
      <c r="DY108" s="778"/>
      <c r="DZ108" s="778"/>
      <c r="EA108" s="778"/>
      <c r="EB108" s="778"/>
      <c r="EC108" s="778"/>
      <c r="ED108" s="778"/>
      <c r="EE108" s="778"/>
      <c r="EF108" s="778"/>
      <c r="EG108" s="778"/>
      <c r="EH108" s="778"/>
    </row>
    <row r="109" spans="5:138" ht="12.75" customHeight="1" x14ac:dyDescent="0.3">
      <c r="E109" s="778"/>
      <c r="F109" s="778"/>
      <c r="G109" s="778"/>
      <c r="H109" s="778"/>
      <c r="I109" s="778"/>
      <c r="J109" s="778"/>
      <c r="K109" s="778"/>
      <c r="L109" s="778"/>
      <c r="M109" s="778"/>
      <c r="N109" s="778"/>
      <c r="O109" s="778"/>
      <c r="P109" s="778"/>
      <c r="Q109" s="778"/>
      <c r="R109" s="778"/>
      <c r="S109" s="778"/>
      <c r="T109" s="778"/>
      <c r="U109" s="778"/>
      <c r="V109" s="778"/>
      <c r="W109" s="778"/>
      <c r="X109" s="778"/>
      <c r="Y109" s="778"/>
      <c r="Z109" s="778"/>
      <c r="AA109" s="778"/>
      <c r="AB109" s="778"/>
      <c r="AC109" s="778"/>
      <c r="AD109" s="778"/>
      <c r="AE109" s="778"/>
      <c r="AF109" s="778"/>
      <c r="AG109" s="778"/>
      <c r="AH109" s="778"/>
      <c r="AI109" s="778"/>
      <c r="AJ109" s="778"/>
      <c r="AK109" s="778"/>
      <c r="AL109" s="778"/>
      <c r="AM109" s="778"/>
      <c r="AN109" s="778"/>
      <c r="AO109" s="778"/>
      <c r="AP109" s="778"/>
      <c r="AQ109" s="778"/>
      <c r="AR109" s="778"/>
      <c r="AS109" s="778"/>
      <c r="AT109" s="778"/>
      <c r="AU109" s="778"/>
      <c r="AV109" s="778"/>
      <c r="AW109" s="778"/>
      <c r="AX109" s="778"/>
      <c r="AY109" s="778"/>
      <c r="AZ109" s="778"/>
      <c r="BA109" s="778"/>
      <c r="BB109" s="778"/>
      <c r="BC109" s="778"/>
      <c r="BD109" s="778"/>
      <c r="BE109" s="778"/>
      <c r="BF109" s="778"/>
      <c r="BG109" s="778"/>
      <c r="BH109" s="778"/>
      <c r="BI109" s="778"/>
      <c r="BJ109" s="778"/>
      <c r="BK109" s="778"/>
      <c r="BL109" s="778"/>
      <c r="BM109" s="778"/>
      <c r="BN109" s="778"/>
      <c r="BO109" s="778"/>
      <c r="BP109" s="778"/>
      <c r="BQ109" s="778"/>
      <c r="BR109" s="778"/>
      <c r="BS109" s="778"/>
      <c r="BT109" s="778"/>
      <c r="BU109" s="778"/>
      <c r="BV109" s="778"/>
      <c r="BW109" s="778"/>
      <c r="BX109" s="778"/>
      <c r="BY109" s="778"/>
      <c r="BZ109" s="778"/>
      <c r="CA109" s="778"/>
      <c r="CB109" s="778"/>
      <c r="CC109" s="778"/>
      <c r="CD109" s="778"/>
      <c r="CE109" s="778"/>
      <c r="CF109" s="778"/>
      <c r="CG109" s="778"/>
      <c r="CH109" s="778"/>
      <c r="CI109" s="778"/>
      <c r="CJ109" s="778"/>
      <c r="CK109" s="778"/>
      <c r="CL109" s="778"/>
      <c r="CM109" s="778"/>
      <c r="CN109" s="778"/>
      <c r="CO109" s="778"/>
      <c r="CP109" s="778"/>
      <c r="CQ109" s="778"/>
      <c r="CR109" s="778"/>
      <c r="CS109" s="778"/>
      <c r="CT109" s="778"/>
      <c r="CU109" s="778"/>
      <c r="CV109" s="778"/>
      <c r="CW109" s="778"/>
      <c r="CX109" s="778"/>
      <c r="CY109" s="778"/>
      <c r="CZ109" s="778"/>
      <c r="DA109" s="778"/>
      <c r="DB109" s="778"/>
      <c r="DC109" s="778"/>
      <c r="DD109" s="778"/>
      <c r="DE109" s="778"/>
      <c r="DF109" s="778"/>
      <c r="DG109" s="778"/>
      <c r="DH109" s="778"/>
      <c r="DI109" s="778"/>
      <c r="DJ109" s="778"/>
      <c r="DK109" s="778"/>
      <c r="DL109" s="778"/>
      <c r="DM109" s="778"/>
      <c r="DN109" s="778"/>
      <c r="DO109" s="778"/>
      <c r="DP109" s="778"/>
      <c r="DQ109" s="778"/>
      <c r="DR109" s="778"/>
      <c r="DS109" s="778"/>
      <c r="DT109" s="778"/>
      <c r="DU109" s="778"/>
      <c r="DV109" s="778"/>
      <c r="DW109" s="778"/>
      <c r="DX109" s="778"/>
      <c r="DY109" s="778"/>
      <c r="DZ109" s="778"/>
      <c r="EA109" s="778"/>
      <c r="EB109" s="778"/>
      <c r="EC109" s="778"/>
      <c r="ED109" s="778"/>
      <c r="EE109" s="778"/>
      <c r="EF109" s="778"/>
      <c r="EG109" s="778"/>
      <c r="EH109" s="778"/>
    </row>
    <row r="110" spans="5:138" ht="12.75" customHeight="1" x14ac:dyDescent="0.3">
      <c r="E110" s="778"/>
      <c r="F110" s="778"/>
      <c r="G110" s="778"/>
      <c r="H110" s="778"/>
      <c r="I110" s="778"/>
      <c r="J110" s="778"/>
      <c r="K110" s="778"/>
      <c r="L110" s="778"/>
      <c r="M110" s="778"/>
      <c r="N110" s="778"/>
      <c r="O110" s="778"/>
      <c r="P110" s="778"/>
      <c r="Q110" s="778"/>
      <c r="R110" s="778"/>
      <c r="S110" s="778"/>
      <c r="T110" s="778"/>
      <c r="U110" s="778"/>
      <c r="V110" s="778"/>
      <c r="W110" s="778"/>
      <c r="X110" s="778"/>
      <c r="Y110" s="778"/>
      <c r="Z110" s="778"/>
      <c r="AA110" s="778"/>
      <c r="AB110" s="778"/>
      <c r="AC110" s="778"/>
      <c r="AD110" s="778"/>
      <c r="AE110" s="778"/>
      <c r="AF110" s="778"/>
      <c r="AG110" s="778"/>
      <c r="AH110" s="778"/>
      <c r="AI110" s="778"/>
      <c r="AJ110" s="778"/>
      <c r="AK110" s="778"/>
      <c r="AL110" s="778"/>
      <c r="AM110" s="778"/>
      <c r="AN110" s="778"/>
      <c r="AO110" s="778"/>
      <c r="AP110" s="778"/>
      <c r="AQ110" s="778"/>
      <c r="AR110" s="778"/>
      <c r="AS110" s="778"/>
      <c r="AT110" s="778"/>
      <c r="AU110" s="778"/>
      <c r="AV110" s="778"/>
      <c r="AW110" s="778"/>
      <c r="AX110" s="778"/>
      <c r="AY110" s="778"/>
      <c r="AZ110" s="778"/>
      <c r="BA110" s="778"/>
      <c r="BB110" s="778"/>
      <c r="BC110" s="778"/>
      <c r="BD110" s="778"/>
      <c r="BE110" s="778"/>
      <c r="BF110" s="778"/>
      <c r="BG110" s="778"/>
      <c r="BH110" s="778"/>
      <c r="BI110" s="778"/>
      <c r="BJ110" s="778"/>
      <c r="BK110" s="778"/>
      <c r="BL110" s="778"/>
      <c r="BM110" s="778"/>
      <c r="BN110" s="778"/>
      <c r="BO110" s="778"/>
      <c r="BP110" s="778"/>
      <c r="BQ110" s="778"/>
      <c r="BR110" s="778"/>
      <c r="BS110" s="778"/>
      <c r="BT110" s="778"/>
      <c r="BU110" s="778"/>
      <c r="BV110" s="778"/>
      <c r="BW110" s="778"/>
      <c r="BX110" s="778"/>
      <c r="BY110" s="778"/>
      <c r="BZ110" s="778"/>
      <c r="CA110" s="778"/>
      <c r="CB110" s="778"/>
      <c r="CC110" s="778"/>
      <c r="CD110" s="778"/>
      <c r="CE110" s="778"/>
      <c r="CF110" s="778"/>
      <c r="CG110" s="778"/>
      <c r="CH110" s="778"/>
      <c r="CI110" s="778"/>
      <c r="CJ110" s="778"/>
      <c r="CK110" s="778"/>
      <c r="CL110" s="778"/>
      <c r="CM110" s="778"/>
      <c r="CN110" s="778"/>
      <c r="CO110" s="778"/>
      <c r="CP110" s="778"/>
      <c r="CQ110" s="778"/>
      <c r="CR110" s="778"/>
      <c r="CS110" s="778"/>
      <c r="CT110" s="778"/>
      <c r="CU110" s="778"/>
      <c r="CV110" s="778"/>
      <c r="CW110" s="778"/>
      <c r="CX110" s="778"/>
      <c r="CY110" s="778"/>
      <c r="CZ110" s="778"/>
      <c r="DA110" s="778"/>
      <c r="DB110" s="778"/>
      <c r="DC110" s="778"/>
      <c r="DD110" s="778"/>
      <c r="DE110" s="778"/>
      <c r="DF110" s="778"/>
      <c r="DG110" s="778"/>
      <c r="DH110" s="778"/>
      <c r="DI110" s="778"/>
      <c r="DJ110" s="778"/>
      <c r="DK110" s="778"/>
      <c r="DL110" s="778"/>
      <c r="DM110" s="778"/>
      <c r="DN110" s="778"/>
      <c r="DO110" s="778"/>
      <c r="DP110" s="778"/>
      <c r="DQ110" s="778"/>
      <c r="DR110" s="778"/>
      <c r="DS110" s="778"/>
      <c r="DT110" s="778"/>
      <c r="DU110" s="778"/>
      <c r="DV110" s="778"/>
      <c r="DW110" s="778"/>
      <c r="DX110" s="778"/>
      <c r="DY110" s="778"/>
      <c r="DZ110" s="778"/>
      <c r="EA110" s="778"/>
      <c r="EB110" s="778"/>
      <c r="EC110" s="778"/>
      <c r="ED110" s="778"/>
      <c r="EE110" s="778"/>
      <c r="EF110" s="778"/>
      <c r="EG110" s="778"/>
      <c r="EH110" s="778"/>
    </row>
    <row r="111" spans="5:138" ht="12.75" customHeight="1" x14ac:dyDescent="0.3">
      <c r="E111" s="778"/>
      <c r="F111" s="778"/>
      <c r="G111" s="778"/>
      <c r="H111" s="778"/>
      <c r="I111" s="778"/>
      <c r="J111" s="778"/>
      <c r="K111" s="778"/>
      <c r="L111" s="778"/>
      <c r="M111" s="778"/>
      <c r="N111" s="778"/>
      <c r="O111" s="778"/>
      <c r="P111" s="778"/>
      <c r="Q111" s="778"/>
      <c r="R111" s="778"/>
      <c r="S111" s="778"/>
      <c r="T111" s="778"/>
      <c r="U111" s="778"/>
      <c r="V111" s="778"/>
      <c r="W111" s="778"/>
      <c r="X111" s="778"/>
      <c r="Y111" s="778"/>
      <c r="Z111" s="778"/>
      <c r="AA111" s="778"/>
      <c r="AB111" s="778"/>
      <c r="AC111" s="778"/>
      <c r="AD111" s="778"/>
      <c r="AE111" s="778"/>
      <c r="AF111" s="778"/>
      <c r="AG111" s="778"/>
      <c r="AH111" s="778"/>
      <c r="AI111" s="778"/>
      <c r="AJ111" s="778"/>
      <c r="AK111" s="778"/>
      <c r="AL111" s="778"/>
      <c r="AM111" s="778"/>
      <c r="AN111" s="778"/>
      <c r="AO111" s="778"/>
      <c r="AP111" s="778"/>
      <c r="AQ111" s="778"/>
      <c r="AR111" s="778"/>
      <c r="AS111" s="778"/>
      <c r="AT111" s="778"/>
      <c r="AU111" s="778"/>
      <c r="AV111" s="778"/>
      <c r="AW111" s="778"/>
      <c r="AX111" s="778"/>
      <c r="AY111" s="778"/>
      <c r="AZ111" s="778"/>
      <c r="BA111" s="778"/>
      <c r="BB111" s="778"/>
      <c r="BC111" s="778"/>
      <c r="BD111" s="778"/>
      <c r="BE111" s="778"/>
      <c r="BF111" s="778"/>
      <c r="BG111" s="778"/>
      <c r="BH111" s="778"/>
      <c r="BI111" s="778"/>
      <c r="BJ111" s="778"/>
      <c r="BK111" s="778"/>
      <c r="BL111" s="778"/>
      <c r="BM111" s="778"/>
      <c r="BN111" s="778"/>
      <c r="BO111" s="778"/>
      <c r="BP111" s="778"/>
      <c r="BQ111" s="778"/>
      <c r="BR111" s="778"/>
      <c r="BS111" s="778"/>
      <c r="BT111" s="778"/>
      <c r="BU111" s="778"/>
      <c r="BV111" s="778"/>
      <c r="BW111" s="778"/>
      <c r="BX111" s="778"/>
      <c r="BY111" s="778"/>
      <c r="BZ111" s="778"/>
      <c r="CA111" s="778"/>
      <c r="CB111" s="778"/>
      <c r="CC111" s="778"/>
      <c r="CD111" s="778"/>
      <c r="CE111" s="778"/>
      <c r="CF111" s="778"/>
      <c r="CG111" s="778"/>
      <c r="CH111" s="778"/>
      <c r="CI111" s="778"/>
      <c r="CJ111" s="778"/>
      <c r="CK111" s="778"/>
      <c r="CL111" s="778"/>
      <c r="CM111" s="778"/>
      <c r="CN111" s="778"/>
      <c r="CO111" s="778"/>
      <c r="CP111" s="778"/>
      <c r="CQ111" s="778"/>
      <c r="CR111" s="778"/>
      <c r="CS111" s="778"/>
      <c r="CT111" s="778"/>
      <c r="CU111" s="778"/>
      <c r="CV111" s="778"/>
      <c r="CW111" s="778"/>
      <c r="CX111" s="778"/>
      <c r="CY111" s="778"/>
      <c r="CZ111" s="778"/>
      <c r="DA111" s="778"/>
      <c r="DB111" s="778"/>
      <c r="DC111" s="778"/>
      <c r="DD111" s="778"/>
      <c r="DE111" s="778"/>
      <c r="DF111" s="778"/>
      <c r="DG111" s="778"/>
      <c r="DH111" s="778"/>
      <c r="DI111" s="778"/>
      <c r="DJ111" s="778"/>
      <c r="DK111" s="778"/>
      <c r="DL111" s="778"/>
      <c r="DM111" s="778"/>
      <c r="DN111" s="778"/>
      <c r="DO111" s="778"/>
      <c r="DP111" s="778"/>
      <c r="DQ111" s="778"/>
      <c r="DR111" s="778"/>
      <c r="DS111" s="778"/>
      <c r="DT111" s="778"/>
      <c r="DU111" s="778"/>
      <c r="DV111" s="778"/>
      <c r="DW111" s="778"/>
      <c r="DX111" s="778"/>
      <c r="DY111" s="778"/>
      <c r="DZ111" s="778"/>
      <c r="EA111" s="778"/>
      <c r="EB111" s="778"/>
      <c r="EC111" s="778"/>
      <c r="ED111" s="778"/>
      <c r="EE111" s="778"/>
      <c r="EF111" s="778"/>
      <c r="EG111" s="778"/>
      <c r="EH111" s="778"/>
    </row>
    <row r="112" spans="5:138" ht="12.75" customHeight="1" x14ac:dyDescent="0.3">
      <c r="E112" s="778"/>
      <c r="F112" s="778"/>
      <c r="G112" s="778"/>
      <c r="H112" s="778"/>
      <c r="I112" s="778"/>
      <c r="J112" s="778"/>
      <c r="K112" s="778"/>
      <c r="L112" s="778"/>
      <c r="M112" s="778"/>
      <c r="N112" s="778"/>
      <c r="O112" s="778"/>
      <c r="P112" s="778"/>
      <c r="Q112" s="778"/>
      <c r="R112" s="778"/>
      <c r="S112" s="778"/>
      <c r="T112" s="778"/>
      <c r="U112" s="778"/>
      <c r="V112" s="778"/>
      <c r="W112" s="778"/>
      <c r="X112" s="778"/>
      <c r="Y112" s="778"/>
      <c r="Z112" s="778"/>
      <c r="AA112" s="778"/>
      <c r="AB112" s="778"/>
      <c r="AC112" s="778"/>
      <c r="AD112" s="778"/>
      <c r="AE112" s="778"/>
      <c r="AF112" s="778"/>
      <c r="AG112" s="778"/>
      <c r="AH112" s="778"/>
      <c r="AI112" s="778"/>
      <c r="AJ112" s="778"/>
      <c r="AK112" s="778"/>
      <c r="AL112" s="778"/>
      <c r="AM112" s="778"/>
      <c r="AN112" s="778"/>
      <c r="AO112" s="778"/>
      <c r="AP112" s="778"/>
      <c r="AQ112" s="778"/>
      <c r="AR112" s="778"/>
      <c r="AS112" s="778"/>
      <c r="AT112" s="778"/>
      <c r="AU112" s="778"/>
      <c r="AV112" s="778"/>
      <c r="AW112" s="778"/>
      <c r="AX112" s="778"/>
      <c r="AY112" s="778"/>
      <c r="AZ112" s="778"/>
      <c r="BA112" s="778"/>
      <c r="BB112" s="778"/>
      <c r="BC112" s="778"/>
      <c r="BD112" s="778"/>
      <c r="BE112" s="778"/>
      <c r="BF112" s="778"/>
      <c r="BG112" s="778"/>
      <c r="BH112" s="778"/>
      <c r="BI112" s="778"/>
      <c r="BJ112" s="778"/>
      <c r="BK112" s="778"/>
      <c r="BL112" s="778"/>
      <c r="BM112" s="778"/>
      <c r="BN112" s="778"/>
      <c r="BO112" s="778"/>
      <c r="BP112" s="778"/>
      <c r="BQ112" s="778"/>
      <c r="BR112" s="778"/>
      <c r="BS112" s="778"/>
      <c r="BT112" s="778"/>
      <c r="BU112" s="778"/>
      <c r="BV112" s="778"/>
      <c r="BW112" s="778"/>
      <c r="BX112" s="778"/>
      <c r="BY112" s="778"/>
      <c r="BZ112" s="778"/>
      <c r="CA112" s="778"/>
      <c r="CB112" s="778"/>
      <c r="CC112" s="778"/>
      <c r="CD112" s="778"/>
      <c r="CE112" s="778"/>
      <c r="CF112" s="778"/>
      <c r="CG112" s="778"/>
      <c r="CH112" s="778"/>
      <c r="CI112" s="778"/>
      <c r="CJ112" s="778"/>
      <c r="CK112" s="778"/>
      <c r="CL112" s="778"/>
      <c r="CM112" s="778"/>
      <c r="CN112" s="778"/>
      <c r="CO112" s="778"/>
      <c r="CP112" s="778"/>
      <c r="CQ112" s="778"/>
      <c r="CR112" s="778"/>
      <c r="CS112" s="778"/>
      <c r="CT112" s="778"/>
      <c r="CU112" s="778"/>
      <c r="CV112" s="778"/>
      <c r="CW112" s="778"/>
      <c r="CX112" s="778"/>
      <c r="CY112" s="778"/>
      <c r="CZ112" s="778"/>
      <c r="DA112" s="778"/>
      <c r="DB112" s="778"/>
      <c r="DC112" s="778"/>
      <c r="DD112" s="778"/>
      <c r="DE112" s="778"/>
      <c r="DF112" s="778"/>
      <c r="DG112" s="778"/>
      <c r="DH112" s="778"/>
      <c r="DI112" s="778"/>
      <c r="DJ112" s="778"/>
      <c r="DK112" s="778"/>
      <c r="DL112" s="778"/>
      <c r="DM112" s="778"/>
      <c r="DN112" s="778"/>
      <c r="DO112" s="778"/>
      <c r="DP112" s="778"/>
      <c r="DQ112" s="778"/>
      <c r="DR112" s="778"/>
      <c r="DS112" s="778"/>
      <c r="DT112" s="778"/>
      <c r="DU112" s="778"/>
      <c r="DV112" s="778"/>
      <c r="DW112" s="778"/>
      <c r="DX112" s="778"/>
      <c r="DY112" s="778"/>
      <c r="DZ112" s="778"/>
      <c r="EA112" s="778"/>
      <c r="EB112" s="778"/>
      <c r="EC112" s="778"/>
      <c r="ED112" s="778"/>
      <c r="EE112" s="778"/>
      <c r="EF112" s="778"/>
      <c r="EG112" s="778"/>
      <c r="EH112" s="778"/>
    </row>
    <row r="113" spans="5:138" ht="12.75" customHeight="1" x14ac:dyDescent="0.3">
      <c r="E113" s="778"/>
      <c r="F113" s="778"/>
      <c r="G113" s="778"/>
      <c r="H113" s="778"/>
      <c r="I113" s="778"/>
      <c r="J113" s="778"/>
      <c r="K113" s="778"/>
      <c r="L113" s="778"/>
      <c r="M113" s="778"/>
      <c r="N113" s="778"/>
      <c r="O113" s="778"/>
      <c r="P113" s="778"/>
      <c r="Q113" s="778"/>
      <c r="R113" s="778"/>
      <c r="S113" s="778"/>
      <c r="T113" s="778"/>
      <c r="U113" s="778"/>
      <c r="V113" s="778"/>
      <c r="W113" s="778"/>
      <c r="X113" s="778"/>
      <c r="Y113" s="778"/>
      <c r="Z113" s="778"/>
      <c r="AA113" s="778"/>
      <c r="AB113" s="778"/>
      <c r="AC113" s="778"/>
      <c r="AD113" s="778"/>
      <c r="AE113" s="778"/>
      <c r="AF113" s="778"/>
      <c r="AG113" s="778"/>
      <c r="AH113" s="778"/>
      <c r="AI113" s="778"/>
      <c r="AJ113" s="778"/>
      <c r="AK113" s="778"/>
      <c r="AL113" s="778"/>
      <c r="AM113" s="778"/>
      <c r="AN113" s="778"/>
      <c r="AO113" s="778"/>
      <c r="AP113" s="778"/>
      <c r="AQ113" s="778"/>
      <c r="AR113" s="778"/>
      <c r="AS113" s="778"/>
      <c r="AT113" s="778"/>
      <c r="AU113" s="778"/>
      <c r="AV113" s="778"/>
      <c r="AW113" s="778"/>
      <c r="AX113" s="778"/>
      <c r="AY113" s="778"/>
      <c r="AZ113" s="778"/>
      <c r="BA113" s="778"/>
      <c r="BB113" s="778"/>
      <c r="BC113" s="778"/>
      <c r="BD113" s="778"/>
      <c r="BE113" s="778"/>
      <c r="BF113" s="778"/>
      <c r="BG113" s="778"/>
      <c r="BH113" s="778"/>
      <c r="BI113" s="778"/>
      <c r="BJ113" s="778"/>
      <c r="BK113" s="778"/>
      <c r="BL113" s="778"/>
      <c r="BM113" s="778"/>
      <c r="BN113" s="778"/>
      <c r="BO113" s="778"/>
      <c r="BP113" s="778"/>
      <c r="BQ113" s="778"/>
      <c r="BR113" s="778"/>
      <c r="BS113" s="778"/>
      <c r="BT113" s="778"/>
      <c r="BU113" s="778"/>
      <c r="BV113" s="778"/>
      <c r="BW113" s="778"/>
      <c r="BX113" s="778"/>
      <c r="BY113" s="778"/>
      <c r="BZ113" s="778"/>
      <c r="CA113" s="778"/>
      <c r="CB113" s="778"/>
      <c r="CC113" s="778"/>
      <c r="CD113" s="778"/>
      <c r="CE113" s="778"/>
      <c r="CF113" s="778"/>
      <c r="CG113" s="778"/>
      <c r="CH113" s="778"/>
      <c r="CI113" s="778"/>
      <c r="CJ113" s="778"/>
      <c r="CK113" s="778"/>
      <c r="CL113" s="778"/>
      <c r="CM113" s="778"/>
      <c r="CN113" s="778"/>
      <c r="CO113" s="778"/>
      <c r="CP113" s="778"/>
      <c r="CQ113" s="778"/>
      <c r="CR113" s="778"/>
      <c r="CS113" s="778"/>
      <c r="CT113" s="778"/>
      <c r="CU113" s="778"/>
      <c r="CV113" s="778"/>
      <c r="CW113" s="778"/>
      <c r="CX113" s="778"/>
      <c r="CY113" s="778"/>
      <c r="CZ113" s="778"/>
      <c r="DA113" s="778"/>
      <c r="DB113" s="778"/>
      <c r="DC113" s="778"/>
      <c r="DD113" s="778"/>
      <c r="DE113" s="778"/>
      <c r="DF113" s="778"/>
      <c r="DG113" s="778"/>
      <c r="DH113" s="778"/>
      <c r="DI113" s="778"/>
      <c r="DJ113" s="778"/>
      <c r="DK113" s="778"/>
      <c r="DL113" s="778"/>
      <c r="DM113" s="778"/>
      <c r="DN113" s="778"/>
      <c r="DO113" s="778"/>
      <c r="DP113" s="778"/>
      <c r="DQ113" s="778"/>
      <c r="DR113" s="778"/>
      <c r="DS113" s="778"/>
      <c r="DT113" s="778"/>
      <c r="DU113" s="778"/>
      <c r="DV113" s="778"/>
      <c r="DW113" s="778"/>
      <c r="DX113" s="778"/>
      <c r="DY113" s="778"/>
      <c r="DZ113" s="778"/>
      <c r="EA113" s="778"/>
      <c r="EB113" s="778"/>
      <c r="EC113" s="778"/>
      <c r="ED113" s="778"/>
      <c r="EE113" s="778"/>
      <c r="EF113" s="778"/>
      <c r="EG113" s="778"/>
      <c r="EH113" s="778"/>
    </row>
    <row r="114" spans="5:138" ht="12.75" customHeight="1" x14ac:dyDescent="0.3">
      <c r="E114" s="778"/>
      <c r="F114" s="778"/>
      <c r="G114" s="778"/>
      <c r="H114" s="778"/>
      <c r="I114" s="778"/>
      <c r="J114" s="778"/>
      <c r="K114" s="778"/>
      <c r="L114" s="778"/>
      <c r="M114" s="778"/>
      <c r="N114" s="778"/>
      <c r="O114" s="778"/>
      <c r="P114" s="778"/>
      <c r="Q114" s="778"/>
      <c r="R114" s="778"/>
      <c r="S114" s="778"/>
      <c r="T114" s="778"/>
      <c r="U114" s="778"/>
      <c r="V114" s="778"/>
      <c r="W114" s="778"/>
      <c r="X114" s="778"/>
      <c r="Y114" s="778"/>
      <c r="Z114" s="778"/>
      <c r="AA114" s="778"/>
      <c r="AB114" s="778"/>
      <c r="AC114" s="778"/>
      <c r="AD114" s="778"/>
      <c r="AE114" s="778"/>
      <c r="AF114" s="778"/>
      <c r="AG114" s="778"/>
      <c r="AH114" s="778"/>
      <c r="AI114" s="778"/>
      <c r="AJ114" s="778"/>
      <c r="AK114" s="778"/>
      <c r="AL114" s="778"/>
      <c r="AM114" s="778"/>
      <c r="AN114" s="778"/>
      <c r="AO114" s="778"/>
      <c r="AP114" s="778"/>
      <c r="AQ114" s="778"/>
      <c r="AR114" s="778"/>
      <c r="AS114" s="778"/>
      <c r="AT114" s="778"/>
      <c r="AU114" s="778"/>
      <c r="AV114" s="778"/>
      <c r="AW114" s="778"/>
      <c r="AX114" s="778"/>
      <c r="AY114" s="778"/>
      <c r="AZ114" s="778"/>
      <c r="BA114" s="778"/>
      <c r="BB114" s="778"/>
      <c r="BC114" s="778"/>
      <c r="BD114" s="778"/>
      <c r="BE114" s="778"/>
      <c r="BF114" s="778"/>
      <c r="BG114" s="778"/>
      <c r="BH114" s="778"/>
      <c r="BI114" s="778"/>
      <c r="BJ114" s="778"/>
      <c r="BK114" s="778"/>
      <c r="BL114" s="778"/>
      <c r="BM114" s="778"/>
      <c r="BN114" s="778"/>
      <c r="BO114" s="778"/>
      <c r="BP114" s="778"/>
      <c r="BQ114" s="778"/>
      <c r="BR114" s="778"/>
      <c r="BS114" s="778"/>
      <c r="BT114" s="778"/>
      <c r="BU114" s="778"/>
      <c r="BV114" s="778"/>
      <c r="BW114" s="778"/>
      <c r="BX114" s="778"/>
      <c r="BY114" s="778"/>
      <c r="BZ114" s="778"/>
      <c r="CA114" s="778"/>
      <c r="CB114" s="778"/>
      <c r="CC114" s="778"/>
      <c r="CD114" s="778"/>
      <c r="CE114" s="778"/>
      <c r="CF114" s="778"/>
      <c r="CG114" s="778"/>
      <c r="CH114" s="778"/>
      <c r="CI114" s="778"/>
      <c r="CJ114" s="778"/>
      <c r="CK114" s="778"/>
      <c r="CL114" s="778"/>
      <c r="CM114" s="778"/>
      <c r="CN114" s="778"/>
      <c r="CO114" s="778"/>
      <c r="CP114" s="778"/>
      <c r="CQ114" s="778"/>
      <c r="CR114" s="778"/>
      <c r="CS114" s="778"/>
      <c r="CT114" s="778"/>
      <c r="CU114" s="778"/>
      <c r="CV114" s="778"/>
      <c r="CW114" s="778"/>
      <c r="CX114" s="778"/>
      <c r="CY114" s="778"/>
      <c r="CZ114" s="778"/>
      <c r="DA114" s="778"/>
      <c r="DB114" s="778"/>
      <c r="DC114" s="778"/>
      <c r="DD114" s="778"/>
      <c r="DE114" s="778"/>
      <c r="DF114" s="778"/>
      <c r="DG114" s="778"/>
      <c r="DH114" s="778"/>
      <c r="DI114" s="778"/>
      <c r="DJ114" s="778"/>
      <c r="DK114" s="778"/>
      <c r="DL114" s="778"/>
      <c r="DM114" s="778"/>
      <c r="DN114" s="778"/>
      <c r="DO114" s="778"/>
      <c r="DP114" s="778"/>
      <c r="DQ114" s="778"/>
      <c r="DR114" s="778"/>
      <c r="DS114" s="778"/>
      <c r="DT114" s="778"/>
      <c r="DU114" s="778"/>
      <c r="DV114" s="778"/>
      <c r="DW114" s="778"/>
      <c r="DX114" s="778"/>
      <c r="DY114" s="778"/>
      <c r="DZ114" s="778"/>
      <c r="EA114" s="778"/>
      <c r="EB114" s="778"/>
      <c r="EC114" s="778"/>
      <c r="ED114" s="778"/>
      <c r="EE114" s="778"/>
      <c r="EF114" s="778"/>
      <c r="EG114" s="778"/>
      <c r="EH114" s="778"/>
    </row>
    <row r="115" spans="5:138" ht="12.75" customHeight="1" x14ac:dyDescent="0.3">
      <c r="E115" s="778"/>
      <c r="F115" s="778"/>
      <c r="G115" s="778"/>
      <c r="H115" s="778"/>
      <c r="I115" s="778"/>
      <c r="J115" s="778"/>
      <c r="K115" s="778"/>
      <c r="L115" s="778"/>
      <c r="M115" s="778"/>
      <c r="N115" s="778"/>
      <c r="O115" s="778"/>
      <c r="P115" s="778"/>
      <c r="Q115" s="778"/>
      <c r="R115" s="778"/>
      <c r="S115" s="778"/>
      <c r="T115" s="778"/>
      <c r="U115" s="778"/>
      <c r="V115" s="778"/>
      <c r="W115" s="778"/>
      <c r="X115" s="778"/>
      <c r="Y115" s="778"/>
      <c r="Z115" s="778"/>
      <c r="AA115" s="778"/>
      <c r="AB115" s="778"/>
      <c r="AC115" s="778"/>
      <c r="AD115" s="778"/>
      <c r="AE115" s="778"/>
      <c r="AF115" s="778"/>
      <c r="AG115" s="778"/>
      <c r="AH115" s="778"/>
      <c r="AI115" s="778"/>
      <c r="AJ115" s="778"/>
      <c r="AK115" s="778"/>
      <c r="AL115" s="778"/>
      <c r="AM115" s="778"/>
      <c r="AN115" s="778"/>
      <c r="AO115" s="778"/>
      <c r="AP115" s="778"/>
      <c r="AQ115" s="778"/>
      <c r="AR115" s="778"/>
      <c r="AS115" s="778"/>
      <c r="AT115" s="778"/>
      <c r="AU115" s="778"/>
      <c r="AV115" s="778"/>
      <c r="AW115" s="778"/>
      <c r="AX115" s="778"/>
      <c r="AY115" s="778"/>
      <c r="AZ115" s="778"/>
      <c r="BA115" s="778"/>
      <c r="BB115" s="778"/>
      <c r="BC115" s="778"/>
      <c r="BD115" s="778"/>
      <c r="BE115" s="778"/>
      <c r="BF115" s="778"/>
      <c r="BG115" s="778"/>
      <c r="BH115" s="778"/>
      <c r="BI115" s="778"/>
      <c r="BJ115" s="778"/>
      <c r="BK115" s="778"/>
      <c r="BL115" s="778"/>
      <c r="BM115" s="778"/>
      <c r="BN115" s="778"/>
      <c r="BO115" s="778"/>
      <c r="BP115" s="778"/>
      <c r="BQ115" s="778"/>
      <c r="BR115" s="778"/>
      <c r="BS115" s="778"/>
      <c r="BT115" s="778"/>
      <c r="BU115" s="778"/>
      <c r="BV115" s="778"/>
      <c r="BW115" s="778"/>
      <c r="BX115" s="778"/>
      <c r="BY115" s="778"/>
      <c r="BZ115" s="778"/>
      <c r="CA115" s="778"/>
      <c r="CB115" s="778"/>
      <c r="CC115" s="778"/>
      <c r="CD115" s="778"/>
      <c r="CE115" s="778"/>
      <c r="CF115" s="778"/>
      <c r="CG115" s="778"/>
      <c r="CH115" s="778"/>
      <c r="CI115" s="778"/>
      <c r="CJ115" s="778"/>
      <c r="CK115" s="778"/>
      <c r="CL115" s="778"/>
      <c r="CM115" s="778"/>
      <c r="CN115" s="778"/>
      <c r="CO115" s="778"/>
      <c r="CP115" s="778"/>
      <c r="CQ115" s="778"/>
      <c r="CR115" s="778"/>
      <c r="CS115" s="778"/>
      <c r="CT115" s="778"/>
      <c r="CU115" s="778"/>
      <c r="CV115" s="778"/>
      <c r="CW115" s="778"/>
      <c r="CX115" s="778"/>
      <c r="CY115" s="778"/>
      <c r="CZ115" s="778"/>
      <c r="DA115" s="778"/>
      <c r="DB115" s="778"/>
      <c r="DC115" s="778"/>
      <c r="DD115" s="778"/>
      <c r="DE115" s="778"/>
      <c r="DF115" s="778"/>
      <c r="DG115" s="778"/>
      <c r="DH115" s="778"/>
      <c r="DI115" s="778"/>
      <c r="DJ115" s="778"/>
      <c r="DK115" s="778"/>
      <c r="DL115" s="778"/>
      <c r="DM115" s="778"/>
      <c r="DN115" s="778"/>
      <c r="DO115" s="778"/>
      <c r="DP115" s="778"/>
      <c r="DQ115" s="778"/>
      <c r="DR115" s="778"/>
      <c r="DS115" s="778"/>
      <c r="DT115" s="778"/>
      <c r="DU115" s="778"/>
      <c r="DV115" s="778"/>
      <c r="DW115" s="778"/>
      <c r="DX115" s="778"/>
      <c r="DY115" s="778"/>
      <c r="DZ115" s="778"/>
      <c r="EA115" s="778"/>
      <c r="EB115" s="778"/>
      <c r="EC115" s="778"/>
      <c r="ED115" s="778"/>
      <c r="EE115" s="778"/>
      <c r="EF115" s="778"/>
      <c r="EG115" s="778"/>
      <c r="EH115" s="778"/>
    </row>
    <row r="116" spans="5:138" ht="12.75" customHeight="1" x14ac:dyDescent="0.3">
      <c r="E116" s="778"/>
      <c r="F116" s="778"/>
      <c r="G116" s="778"/>
      <c r="H116" s="778"/>
      <c r="I116" s="778"/>
      <c r="J116" s="778"/>
      <c r="K116" s="778"/>
      <c r="L116" s="778"/>
      <c r="M116" s="778"/>
      <c r="N116" s="778"/>
      <c r="O116" s="778"/>
      <c r="P116" s="778"/>
      <c r="Q116" s="778"/>
      <c r="R116" s="778"/>
      <c r="S116" s="778"/>
      <c r="T116" s="778"/>
      <c r="U116" s="778"/>
      <c r="V116" s="778"/>
      <c r="W116" s="778"/>
      <c r="X116" s="778"/>
      <c r="Y116" s="778"/>
      <c r="Z116" s="778"/>
      <c r="AA116" s="778"/>
      <c r="AB116" s="778"/>
      <c r="AC116" s="778"/>
      <c r="AD116" s="778"/>
      <c r="AE116" s="778"/>
      <c r="AF116" s="778"/>
      <c r="AG116" s="778"/>
      <c r="AH116" s="778"/>
      <c r="AI116" s="778"/>
      <c r="AJ116" s="778"/>
      <c r="AK116" s="778"/>
      <c r="AL116" s="778"/>
      <c r="AM116" s="778"/>
      <c r="AN116" s="778"/>
      <c r="AO116" s="778"/>
      <c r="AP116" s="778"/>
      <c r="AQ116" s="778"/>
      <c r="AR116" s="778"/>
      <c r="AS116" s="778"/>
      <c r="AT116" s="778"/>
      <c r="AU116" s="778"/>
      <c r="AV116" s="778"/>
      <c r="AW116" s="778"/>
      <c r="AX116" s="778"/>
      <c r="AY116" s="778"/>
      <c r="AZ116" s="778"/>
      <c r="BA116" s="778"/>
      <c r="BB116" s="778"/>
      <c r="BC116" s="778"/>
      <c r="BD116" s="778"/>
      <c r="BE116" s="778"/>
      <c r="BF116" s="778"/>
      <c r="BG116" s="778"/>
      <c r="BH116" s="778"/>
      <c r="BI116" s="778"/>
      <c r="BJ116" s="778"/>
      <c r="BK116" s="778"/>
      <c r="BL116" s="778"/>
      <c r="BM116" s="778"/>
      <c r="BN116" s="778"/>
      <c r="BO116" s="778"/>
      <c r="BP116" s="778"/>
      <c r="BQ116" s="778"/>
      <c r="BR116" s="778"/>
      <c r="BS116" s="778"/>
      <c r="BT116" s="778"/>
      <c r="BU116" s="778"/>
      <c r="BV116" s="778"/>
      <c r="BW116" s="778"/>
      <c r="BX116" s="778"/>
      <c r="BY116" s="778"/>
      <c r="BZ116" s="778"/>
      <c r="CA116" s="778"/>
      <c r="CB116" s="778"/>
      <c r="CC116" s="778"/>
      <c r="CD116" s="778"/>
      <c r="CE116" s="778"/>
      <c r="CF116" s="778"/>
      <c r="CG116" s="778"/>
      <c r="CH116" s="778"/>
      <c r="CI116" s="778"/>
      <c r="CJ116" s="778"/>
      <c r="CK116" s="778"/>
      <c r="CL116" s="778"/>
      <c r="CM116" s="778"/>
      <c r="CN116" s="778"/>
      <c r="CO116" s="778"/>
      <c r="CP116" s="778"/>
      <c r="CQ116" s="778"/>
      <c r="CR116" s="778"/>
      <c r="CS116" s="778"/>
      <c r="CT116" s="778"/>
      <c r="CU116" s="778"/>
      <c r="CV116" s="778"/>
      <c r="CW116" s="778"/>
      <c r="CX116" s="778"/>
      <c r="CY116" s="778"/>
      <c r="CZ116" s="778"/>
      <c r="DA116" s="778"/>
      <c r="DB116" s="778"/>
      <c r="DC116" s="778"/>
      <c r="DD116" s="778"/>
      <c r="DE116" s="778"/>
      <c r="DF116" s="778"/>
      <c r="DG116" s="778"/>
      <c r="DH116" s="778"/>
      <c r="DI116" s="778"/>
      <c r="DJ116" s="778"/>
      <c r="DK116" s="778"/>
      <c r="DL116" s="778"/>
      <c r="DM116" s="778"/>
      <c r="DN116" s="778"/>
      <c r="DO116" s="778"/>
      <c r="DP116" s="778"/>
      <c r="DQ116" s="778"/>
      <c r="DR116" s="778"/>
      <c r="DS116" s="778"/>
      <c r="DT116" s="778"/>
      <c r="DU116" s="778"/>
      <c r="DV116" s="778"/>
      <c r="DW116" s="778"/>
      <c r="DX116" s="778"/>
      <c r="DY116" s="778"/>
      <c r="DZ116" s="778"/>
      <c r="EA116" s="778"/>
      <c r="EB116" s="778"/>
      <c r="EC116" s="778"/>
      <c r="ED116" s="778"/>
      <c r="EE116" s="778"/>
      <c r="EF116" s="778"/>
      <c r="EG116" s="778"/>
      <c r="EH116" s="778"/>
    </row>
    <row r="117" spans="5:138" ht="12.75" customHeight="1" x14ac:dyDescent="0.3">
      <c r="E117" s="778"/>
      <c r="F117" s="778"/>
      <c r="G117" s="778"/>
      <c r="H117" s="778"/>
      <c r="I117" s="778"/>
      <c r="J117" s="778"/>
      <c r="K117" s="778"/>
      <c r="L117" s="778"/>
      <c r="M117" s="778"/>
      <c r="N117" s="778"/>
      <c r="O117" s="778"/>
      <c r="P117" s="778"/>
      <c r="Q117" s="778"/>
      <c r="R117" s="778"/>
      <c r="S117" s="778"/>
      <c r="T117" s="778"/>
      <c r="U117" s="778"/>
      <c r="V117" s="778"/>
      <c r="W117" s="778"/>
      <c r="X117" s="778"/>
      <c r="Y117" s="778"/>
      <c r="Z117" s="778"/>
      <c r="AA117" s="778"/>
      <c r="AB117" s="778"/>
      <c r="AC117" s="778"/>
      <c r="AD117" s="778"/>
      <c r="AE117" s="778"/>
      <c r="AF117" s="778"/>
      <c r="AG117" s="778"/>
      <c r="AH117" s="778"/>
      <c r="AI117" s="778"/>
      <c r="AJ117" s="778"/>
      <c r="AK117" s="778"/>
      <c r="AL117" s="778"/>
      <c r="AM117" s="778"/>
      <c r="AN117" s="778"/>
      <c r="AO117" s="778"/>
      <c r="AP117" s="778"/>
      <c r="AQ117" s="778"/>
      <c r="AR117" s="778"/>
      <c r="AS117" s="778"/>
      <c r="AT117" s="778"/>
      <c r="AU117" s="778"/>
      <c r="AV117" s="778"/>
      <c r="AW117" s="778"/>
      <c r="AX117" s="778"/>
      <c r="AY117" s="778"/>
      <c r="AZ117" s="778"/>
      <c r="BA117" s="778"/>
      <c r="BB117" s="778"/>
      <c r="BC117" s="778"/>
      <c r="BD117" s="778"/>
      <c r="BE117" s="778"/>
      <c r="BF117" s="778"/>
      <c r="BG117" s="778"/>
      <c r="BH117" s="778"/>
      <c r="BI117" s="778"/>
      <c r="BJ117" s="778"/>
      <c r="BK117" s="778"/>
      <c r="BL117" s="778"/>
      <c r="BM117" s="778"/>
      <c r="BN117" s="778"/>
      <c r="BO117" s="778"/>
      <c r="BP117" s="778"/>
      <c r="BQ117" s="778"/>
      <c r="BR117" s="778"/>
      <c r="BS117" s="778"/>
      <c r="BT117" s="778"/>
      <c r="BU117" s="778"/>
      <c r="BV117" s="778"/>
      <c r="BW117" s="778"/>
      <c r="BX117" s="778"/>
      <c r="BY117" s="778"/>
      <c r="BZ117" s="778"/>
      <c r="CA117" s="778"/>
      <c r="CB117" s="778"/>
      <c r="CC117" s="778"/>
      <c r="CD117" s="778"/>
      <c r="CE117" s="778"/>
      <c r="CF117" s="778"/>
      <c r="CG117" s="778"/>
      <c r="CH117" s="778"/>
      <c r="CI117" s="778"/>
      <c r="CJ117" s="778"/>
      <c r="CK117" s="778"/>
      <c r="CL117" s="778"/>
      <c r="CM117" s="778"/>
      <c r="CN117" s="778"/>
      <c r="CO117" s="778"/>
      <c r="CP117" s="778"/>
      <c r="CQ117" s="778"/>
      <c r="CR117" s="778"/>
      <c r="CS117" s="778"/>
      <c r="CT117" s="778"/>
      <c r="CU117" s="778"/>
      <c r="CV117" s="778"/>
      <c r="CW117" s="778"/>
      <c r="CX117" s="778"/>
      <c r="CY117" s="778"/>
      <c r="CZ117" s="778"/>
      <c r="DA117" s="778"/>
      <c r="DB117" s="778"/>
      <c r="DC117" s="778"/>
      <c r="DD117" s="778"/>
      <c r="DE117" s="778"/>
      <c r="DF117" s="778"/>
      <c r="DG117" s="778"/>
      <c r="DH117" s="778"/>
      <c r="DI117" s="778"/>
      <c r="DJ117" s="778"/>
      <c r="DK117" s="778"/>
      <c r="DL117" s="778"/>
      <c r="DM117" s="778"/>
      <c r="DN117" s="778"/>
      <c r="DO117" s="778"/>
      <c r="DP117" s="778"/>
      <c r="DQ117" s="778"/>
      <c r="DR117" s="778"/>
      <c r="DS117" s="778"/>
      <c r="DT117" s="778"/>
      <c r="DU117" s="778"/>
      <c r="DV117" s="778"/>
      <c r="DW117" s="778"/>
      <c r="DX117" s="778"/>
      <c r="DY117" s="778"/>
      <c r="DZ117" s="778"/>
      <c r="EA117" s="778"/>
      <c r="EB117" s="778"/>
      <c r="EC117" s="778"/>
      <c r="ED117" s="778"/>
      <c r="EE117" s="778"/>
      <c r="EF117" s="778"/>
      <c r="EG117" s="778"/>
      <c r="EH117" s="778"/>
    </row>
    <row r="118" spans="5:138" ht="12.75" customHeight="1" x14ac:dyDescent="0.3">
      <c r="E118" s="778"/>
      <c r="F118" s="778"/>
      <c r="G118" s="778"/>
      <c r="H118" s="778"/>
      <c r="I118" s="778"/>
      <c r="J118" s="778"/>
      <c r="K118" s="778"/>
      <c r="L118" s="778"/>
      <c r="M118" s="778"/>
      <c r="N118" s="778"/>
      <c r="O118" s="778"/>
      <c r="P118" s="778"/>
      <c r="Q118" s="778"/>
      <c r="R118" s="778"/>
      <c r="S118" s="778"/>
      <c r="T118" s="778"/>
      <c r="U118" s="778"/>
      <c r="V118" s="778"/>
      <c r="W118" s="778"/>
      <c r="X118" s="778"/>
      <c r="Y118" s="778"/>
      <c r="Z118" s="778"/>
      <c r="AA118" s="778"/>
      <c r="AB118" s="778"/>
      <c r="AC118" s="778"/>
      <c r="AD118" s="778"/>
      <c r="AE118" s="778"/>
      <c r="AF118" s="778"/>
      <c r="AG118" s="778"/>
      <c r="AH118" s="778"/>
      <c r="AI118" s="778"/>
      <c r="AJ118" s="778"/>
      <c r="AK118" s="778"/>
      <c r="AL118" s="778"/>
      <c r="AM118" s="778"/>
      <c r="AN118" s="778"/>
      <c r="AO118" s="778"/>
      <c r="AP118" s="778"/>
      <c r="AQ118" s="778"/>
      <c r="AR118" s="778"/>
      <c r="AS118" s="778"/>
      <c r="AT118" s="778"/>
      <c r="AU118" s="778"/>
      <c r="AV118" s="778"/>
      <c r="AW118" s="778"/>
      <c r="AX118" s="778"/>
      <c r="AY118" s="778"/>
      <c r="AZ118" s="778"/>
      <c r="BA118" s="778"/>
      <c r="BB118" s="778"/>
      <c r="BC118" s="778"/>
      <c r="BD118" s="778"/>
      <c r="BE118" s="778"/>
      <c r="BF118" s="778"/>
      <c r="BG118" s="778"/>
      <c r="BH118" s="778"/>
      <c r="BI118" s="778"/>
      <c r="BJ118" s="778"/>
      <c r="BK118" s="778"/>
      <c r="BL118" s="778"/>
      <c r="BM118" s="778"/>
      <c r="BN118" s="778"/>
      <c r="BO118" s="778"/>
      <c r="BP118" s="778"/>
      <c r="BQ118" s="778"/>
      <c r="BR118" s="778"/>
      <c r="BS118" s="778"/>
      <c r="BT118" s="778"/>
      <c r="BU118" s="778"/>
      <c r="BV118" s="778"/>
      <c r="BW118" s="778"/>
      <c r="BX118" s="778"/>
      <c r="BY118" s="778"/>
      <c r="BZ118" s="778"/>
      <c r="CA118" s="778"/>
      <c r="CB118" s="778"/>
      <c r="CC118" s="778"/>
      <c r="CD118" s="778"/>
      <c r="CE118" s="778"/>
      <c r="CF118" s="778"/>
      <c r="CG118" s="778"/>
      <c r="CH118" s="778"/>
      <c r="CI118" s="778"/>
      <c r="CJ118" s="778"/>
      <c r="CK118" s="778"/>
      <c r="CL118" s="778"/>
      <c r="CM118" s="778"/>
      <c r="CN118" s="778"/>
      <c r="CO118" s="778"/>
      <c r="CP118" s="778"/>
      <c r="CQ118" s="778"/>
      <c r="CR118" s="778"/>
      <c r="CS118" s="778"/>
      <c r="CT118" s="778"/>
      <c r="CU118" s="778"/>
      <c r="CV118" s="778"/>
      <c r="CW118" s="778"/>
      <c r="CX118" s="778"/>
      <c r="CY118" s="778"/>
      <c r="CZ118" s="778"/>
      <c r="DA118" s="778"/>
      <c r="DB118" s="778"/>
      <c r="DC118" s="778"/>
      <c r="DD118" s="778"/>
      <c r="DE118" s="778"/>
      <c r="DF118" s="778"/>
      <c r="DG118" s="778"/>
      <c r="DH118" s="778"/>
      <c r="DI118" s="778"/>
      <c r="DJ118" s="778"/>
      <c r="DK118" s="778"/>
      <c r="DL118" s="778"/>
      <c r="DM118" s="778"/>
      <c r="DN118" s="778"/>
      <c r="DO118" s="778"/>
      <c r="DP118" s="778"/>
      <c r="DQ118" s="778"/>
      <c r="DR118" s="778"/>
      <c r="DS118" s="778"/>
      <c r="DT118" s="778"/>
      <c r="DU118" s="778"/>
      <c r="DV118" s="778"/>
      <c r="DW118" s="778"/>
      <c r="DX118" s="778"/>
      <c r="DY118" s="778"/>
      <c r="DZ118" s="778"/>
      <c r="EA118" s="778"/>
      <c r="EB118" s="778"/>
      <c r="EC118" s="778"/>
      <c r="ED118" s="778"/>
      <c r="EE118" s="778"/>
      <c r="EF118" s="778"/>
      <c r="EG118" s="778"/>
      <c r="EH118" s="778"/>
    </row>
    <row r="119" spans="5:138" ht="12.75" customHeight="1" x14ac:dyDescent="0.3">
      <c r="E119" s="778"/>
      <c r="F119" s="778"/>
      <c r="G119" s="778"/>
      <c r="H119" s="778"/>
      <c r="I119" s="778"/>
      <c r="J119" s="778"/>
      <c r="K119" s="778"/>
      <c r="L119" s="778"/>
      <c r="M119" s="778"/>
      <c r="N119" s="778"/>
      <c r="O119" s="778"/>
      <c r="P119" s="778"/>
      <c r="Q119" s="778"/>
      <c r="R119" s="778"/>
      <c r="S119" s="778"/>
      <c r="T119" s="778"/>
      <c r="U119" s="778"/>
      <c r="V119" s="778"/>
      <c r="W119" s="778"/>
      <c r="X119" s="778"/>
      <c r="Y119" s="778"/>
      <c r="Z119" s="778"/>
      <c r="AA119" s="778"/>
      <c r="AB119" s="778"/>
      <c r="AC119" s="778"/>
      <c r="AD119" s="778"/>
      <c r="AE119" s="778"/>
      <c r="AF119" s="778"/>
      <c r="AG119" s="778"/>
      <c r="AH119" s="778"/>
      <c r="AI119" s="778"/>
      <c r="AJ119" s="778"/>
      <c r="AK119" s="778"/>
      <c r="AL119" s="778"/>
      <c r="AM119" s="778"/>
      <c r="AN119" s="778"/>
      <c r="AO119" s="778"/>
      <c r="AP119" s="778"/>
      <c r="AQ119" s="778"/>
      <c r="AR119" s="778"/>
      <c r="AS119" s="778"/>
      <c r="AT119" s="778"/>
      <c r="AU119" s="778"/>
      <c r="AV119" s="778"/>
      <c r="AW119" s="778"/>
      <c r="AX119" s="778"/>
      <c r="AY119" s="778"/>
      <c r="AZ119" s="778"/>
      <c r="BA119" s="778"/>
      <c r="BB119" s="778"/>
      <c r="BC119" s="778"/>
      <c r="BD119" s="778"/>
      <c r="BE119" s="778"/>
      <c r="BF119" s="778"/>
      <c r="BG119" s="778"/>
      <c r="BH119" s="778"/>
      <c r="BI119" s="778"/>
      <c r="BJ119" s="778"/>
      <c r="BK119" s="778"/>
      <c r="BL119" s="778"/>
      <c r="BM119" s="778"/>
      <c r="BN119" s="778"/>
      <c r="BO119" s="778"/>
      <c r="BP119" s="778"/>
      <c r="BQ119" s="778"/>
      <c r="BR119" s="778"/>
      <c r="BS119" s="778"/>
      <c r="BT119" s="778"/>
      <c r="BU119" s="778"/>
      <c r="BV119" s="778"/>
      <c r="BW119" s="778"/>
      <c r="BX119" s="778"/>
      <c r="BY119" s="778"/>
      <c r="BZ119" s="778"/>
      <c r="CA119" s="778"/>
      <c r="CB119" s="778"/>
      <c r="CC119" s="778"/>
      <c r="CD119" s="778"/>
      <c r="CE119" s="778"/>
      <c r="CF119" s="778"/>
      <c r="CG119" s="778"/>
      <c r="CH119" s="778"/>
      <c r="CI119" s="778"/>
      <c r="CJ119" s="778"/>
      <c r="CK119" s="778"/>
      <c r="CL119" s="778"/>
      <c r="CM119" s="778"/>
      <c r="CN119" s="778"/>
      <c r="CO119" s="778"/>
      <c r="CP119" s="778"/>
      <c r="CQ119" s="778"/>
      <c r="CR119" s="778"/>
      <c r="CS119" s="778"/>
      <c r="CT119" s="778"/>
      <c r="CU119" s="778"/>
      <c r="CV119" s="778"/>
      <c r="CW119" s="778"/>
      <c r="CX119" s="778"/>
      <c r="CY119" s="778"/>
      <c r="CZ119" s="778"/>
      <c r="DA119" s="778"/>
      <c r="DB119" s="778"/>
      <c r="DC119" s="778"/>
      <c r="DD119" s="778"/>
      <c r="DE119" s="778"/>
      <c r="DF119" s="778"/>
      <c r="DG119" s="778"/>
      <c r="DH119" s="778"/>
      <c r="DI119" s="778"/>
      <c r="DJ119" s="778"/>
      <c r="DK119" s="778"/>
      <c r="DL119" s="778"/>
      <c r="DM119" s="778"/>
      <c r="DN119" s="778"/>
      <c r="DO119" s="778"/>
      <c r="DP119" s="778"/>
      <c r="DQ119" s="778"/>
      <c r="DR119" s="778"/>
      <c r="DS119" s="778"/>
      <c r="DT119" s="778"/>
      <c r="DU119" s="778"/>
      <c r="DV119" s="778"/>
      <c r="DW119" s="778"/>
      <c r="DX119" s="778"/>
      <c r="DY119" s="778"/>
      <c r="DZ119" s="778"/>
      <c r="EA119" s="778"/>
      <c r="EB119" s="778"/>
      <c r="EC119" s="778"/>
      <c r="ED119" s="778"/>
      <c r="EE119" s="778"/>
      <c r="EF119" s="778"/>
      <c r="EG119" s="778"/>
      <c r="EH119" s="778"/>
    </row>
    <row r="120" spans="5:138" ht="12.75" customHeight="1" x14ac:dyDescent="0.3">
      <c r="E120" s="778"/>
      <c r="F120" s="778"/>
      <c r="G120" s="778"/>
      <c r="H120" s="778"/>
      <c r="I120" s="778"/>
      <c r="J120" s="778"/>
      <c r="K120" s="778"/>
      <c r="L120" s="778"/>
      <c r="M120" s="778"/>
      <c r="N120" s="778"/>
      <c r="O120" s="778"/>
      <c r="P120" s="778"/>
      <c r="Q120" s="778"/>
      <c r="R120" s="778"/>
      <c r="S120" s="778"/>
      <c r="T120" s="778"/>
      <c r="U120" s="778"/>
      <c r="V120" s="778"/>
      <c r="W120" s="778"/>
      <c r="X120" s="778"/>
      <c r="Y120" s="778"/>
      <c r="Z120" s="778"/>
      <c r="AA120" s="778"/>
      <c r="AB120" s="778"/>
      <c r="AC120" s="778"/>
      <c r="AD120" s="778"/>
      <c r="AE120" s="778"/>
      <c r="AF120" s="778"/>
      <c r="AG120" s="778"/>
      <c r="AH120" s="778"/>
      <c r="AI120" s="778"/>
      <c r="AJ120" s="778"/>
      <c r="AK120" s="778"/>
      <c r="AL120" s="778"/>
      <c r="AM120" s="778"/>
      <c r="AN120" s="778"/>
      <c r="AO120" s="778"/>
      <c r="AP120" s="778"/>
      <c r="AQ120" s="778"/>
      <c r="AR120" s="778"/>
      <c r="AS120" s="778"/>
      <c r="AT120" s="778"/>
      <c r="AU120" s="778"/>
      <c r="AV120" s="778"/>
      <c r="AW120" s="778"/>
      <c r="AX120" s="778"/>
      <c r="AY120" s="778"/>
      <c r="AZ120" s="778"/>
      <c r="BA120" s="778"/>
      <c r="BB120" s="778"/>
      <c r="BC120" s="778"/>
      <c r="BD120" s="778"/>
      <c r="BE120" s="778"/>
      <c r="BF120" s="778"/>
      <c r="BG120" s="778"/>
      <c r="BH120" s="778"/>
      <c r="BI120" s="778"/>
      <c r="BJ120" s="778"/>
      <c r="BK120" s="778"/>
      <c r="BL120" s="778"/>
      <c r="BM120" s="778"/>
      <c r="BN120" s="778"/>
      <c r="BO120" s="778"/>
      <c r="BP120" s="778"/>
      <c r="BQ120" s="778"/>
      <c r="BR120" s="778"/>
      <c r="BS120" s="778"/>
      <c r="BT120" s="778"/>
      <c r="BU120" s="778"/>
      <c r="BV120" s="778"/>
      <c r="BW120" s="778"/>
      <c r="BX120" s="778"/>
      <c r="BY120" s="778"/>
      <c r="BZ120" s="778"/>
      <c r="CA120" s="778"/>
      <c r="CB120" s="778"/>
      <c r="CC120" s="778"/>
      <c r="CD120" s="778"/>
      <c r="CE120" s="778"/>
      <c r="CF120" s="778"/>
      <c r="CG120" s="778"/>
      <c r="CH120" s="778"/>
      <c r="CI120" s="778"/>
      <c r="CJ120" s="778"/>
      <c r="CK120" s="778"/>
      <c r="CL120" s="778"/>
      <c r="CM120" s="778"/>
      <c r="CN120" s="778"/>
      <c r="CO120" s="778"/>
      <c r="CP120" s="778"/>
      <c r="CQ120" s="778"/>
      <c r="CR120" s="778"/>
      <c r="CS120" s="778"/>
      <c r="CT120" s="778"/>
      <c r="CU120" s="778"/>
      <c r="CV120" s="778"/>
      <c r="CW120" s="778"/>
      <c r="CX120" s="778"/>
      <c r="CY120" s="778"/>
      <c r="CZ120" s="778"/>
      <c r="DA120" s="778"/>
      <c r="DB120" s="778"/>
      <c r="DC120" s="778"/>
      <c r="DD120" s="778"/>
      <c r="DE120" s="778"/>
      <c r="DF120" s="778"/>
      <c r="DG120" s="778"/>
      <c r="DH120" s="778"/>
      <c r="DI120" s="778"/>
      <c r="DJ120" s="778"/>
      <c r="DK120" s="778"/>
      <c r="DL120" s="778"/>
      <c r="DM120" s="778"/>
      <c r="DN120" s="778"/>
      <c r="DO120" s="778"/>
      <c r="DP120" s="778"/>
      <c r="DQ120" s="778"/>
      <c r="DR120" s="778"/>
      <c r="DS120" s="778"/>
      <c r="DT120" s="778"/>
      <c r="DU120" s="778"/>
      <c r="DV120" s="778"/>
      <c r="DW120" s="778"/>
      <c r="DX120" s="778"/>
      <c r="DY120" s="778"/>
      <c r="DZ120" s="778"/>
      <c r="EA120" s="778"/>
      <c r="EB120" s="778"/>
      <c r="EC120" s="778"/>
      <c r="ED120" s="778"/>
      <c r="EE120" s="778"/>
      <c r="EF120" s="778"/>
      <c r="EG120" s="778"/>
      <c r="EH120" s="778"/>
    </row>
    <row r="121" spans="5:138" ht="12.75" customHeight="1" x14ac:dyDescent="0.3">
      <c r="E121" s="778"/>
      <c r="F121" s="778"/>
      <c r="G121" s="778"/>
      <c r="H121" s="778"/>
      <c r="I121" s="778"/>
      <c r="J121" s="778"/>
      <c r="K121" s="778"/>
      <c r="L121" s="778"/>
      <c r="M121" s="778"/>
      <c r="N121" s="778"/>
      <c r="O121" s="778"/>
      <c r="P121" s="778"/>
      <c r="Q121" s="778"/>
      <c r="R121" s="778"/>
      <c r="S121" s="778"/>
      <c r="T121" s="778"/>
      <c r="U121" s="778"/>
      <c r="V121" s="778"/>
      <c r="W121" s="778"/>
      <c r="X121" s="778"/>
      <c r="Y121" s="778"/>
      <c r="Z121" s="778"/>
      <c r="AA121" s="778"/>
      <c r="AB121" s="778"/>
      <c r="AC121" s="778"/>
      <c r="AD121" s="778"/>
      <c r="AE121" s="778"/>
      <c r="AF121" s="778"/>
      <c r="AG121" s="778"/>
      <c r="AH121" s="778"/>
      <c r="AI121" s="778"/>
      <c r="AJ121" s="778"/>
      <c r="AK121" s="778"/>
      <c r="AL121" s="778"/>
      <c r="AM121" s="778"/>
      <c r="AN121" s="778"/>
      <c r="AO121" s="778"/>
      <c r="AP121" s="778"/>
      <c r="AQ121" s="778"/>
      <c r="AR121" s="778"/>
      <c r="AS121" s="778"/>
      <c r="AT121" s="778"/>
      <c r="AU121" s="778"/>
      <c r="AV121" s="778"/>
      <c r="AW121" s="778"/>
      <c r="AX121" s="778"/>
      <c r="AY121" s="778"/>
      <c r="AZ121" s="778"/>
      <c r="BA121" s="778"/>
      <c r="BB121" s="778"/>
      <c r="BC121" s="778"/>
      <c r="BD121" s="778"/>
      <c r="BE121" s="778"/>
      <c r="BF121" s="778"/>
      <c r="BG121" s="778"/>
      <c r="BH121" s="778"/>
      <c r="BI121" s="778"/>
      <c r="BJ121" s="778"/>
      <c r="BK121" s="778"/>
      <c r="BL121" s="778"/>
      <c r="BM121" s="778"/>
      <c r="BN121" s="778"/>
      <c r="BO121" s="778"/>
      <c r="BP121" s="778"/>
      <c r="BQ121" s="778"/>
      <c r="BR121" s="778"/>
      <c r="BS121" s="778"/>
      <c r="BT121" s="778"/>
      <c r="BU121" s="778"/>
      <c r="BV121" s="778"/>
      <c r="BW121" s="778"/>
      <c r="BX121" s="778"/>
      <c r="BY121" s="778"/>
      <c r="BZ121" s="778"/>
      <c r="CA121" s="778"/>
      <c r="CB121" s="778"/>
      <c r="CC121" s="778"/>
      <c r="CD121" s="778"/>
      <c r="CE121" s="778"/>
      <c r="CF121" s="778"/>
      <c r="CG121" s="778"/>
      <c r="CH121" s="778"/>
      <c r="CI121" s="778"/>
      <c r="CJ121" s="778"/>
      <c r="CK121" s="778"/>
      <c r="CL121" s="778"/>
      <c r="CM121" s="778"/>
      <c r="CN121" s="778"/>
      <c r="CO121" s="778"/>
      <c r="CP121" s="778"/>
      <c r="CQ121" s="778"/>
      <c r="CR121" s="778"/>
      <c r="CS121" s="778"/>
      <c r="CT121" s="778"/>
      <c r="CU121" s="778"/>
      <c r="CV121" s="778"/>
      <c r="CW121" s="778"/>
      <c r="CX121" s="778"/>
      <c r="CY121" s="778"/>
      <c r="CZ121" s="778"/>
      <c r="DA121" s="778"/>
      <c r="DB121" s="778"/>
      <c r="DC121" s="778"/>
      <c r="DD121" s="778"/>
      <c r="DE121" s="778"/>
      <c r="DF121" s="778"/>
      <c r="DG121" s="778"/>
      <c r="DH121" s="778"/>
      <c r="DI121" s="778"/>
      <c r="DJ121" s="778"/>
      <c r="DK121" s="778"/>
      <c r="DL121" s="778"/>
      <c r="DM121" s="778"/>
      <c r="DN121" s="778"/>
      <c r="DO121" s="778"/>
      <c r="DP121" s="778"/>
      <c r="DQ121" s="778"/>
      <c r="DR121" s="778"/>
      <c r="DS121" s="778"/>
      <c r="DT121" s="778"/>
      <c r="DU121" s="778"/>
      <c r="DV121" s="778"/>
      <c r="DW121" s="778"/>
      <c r="DX121" s="778"/>
      <c r="DY121" s="778"/>
      <c r="DZ121" s="778"/>
      <c r="EA121" s="778"/>
      <c r="EB121" s="778"/>
      <c r="EC121" s="778"/>
      <c r="ED121" s="778"/>
      <c r="EE121" s="778"/>
      <c r="EF121" s="778"/>
      <c r="EG121" s="778"/>
      <c r="EH121" s="778"/>
    </row>
    <row r="122" spans="5:138" ht="12.75" customHeight="1" x14ac:dyDescent="0.3">
      <c r="E122" s="778"/>
      <c r="F122" s="778"/>
      <c r="G122" s="778"/>
      <c r="H122" s="778"/>
      <c r="I122" s="778"/>
      <c r="J122" s="778"/>
      <c r="K122" s="778"/>
      <c r="L122" s="778"/>
      <c r="M122" s="778"/>
      <c r="N122" s="778"/>
      <c r="O122" s="778"/>
      <c r="P122" s="778"/>
      <c r="Q122" s="778"/>
      <c r="R122" s="778"/>
      <c r="S122" s="778"/>
      <c r="T122" s="778"/>
      <c r="U122" s="778"/>
      <c r="V122" s="778"/>
      <c r="W122" s="778"/>
      <c r="X122" s="778"/>
      <c r="Y122" s="778"/>
      <c r="Z122" s="778"/>
      <c r="AA122" s="778"/>
      <c r="AB122" s="778"/>
      <c r="AC122" s="778"/>
      <c r="AD122" s="778"/>
      <c r="AE122" s="778"/>
      <c r="AF122" s="778"/>
      <c r="AG122" s="778"/>
      <c r="AH122" s="778"/>
      <c r="AI122" s="778"/>
      <c r="AJ122" s="778"/>
      <c r="AK122" s="778"/>
      <c r="AL122" s="778"/>
      <c r="AM122" s="778"/>
      <c r="AN122" s="778"/>
      <c r="AO122" s="778"/>
      <c r="AP122" s="778"/>
      <c r="AQ122" s="778"/>
      <c r="AR122" s="778"/>
      <c r="AS122" s="778"/>
      <c r="AT122" s="778"/>
      <c r="AU122" s="778"/>
      <c r="AV122" s="778"/>
      <c r="AW122" s="778"/>
      <c r="AX122" s="778"/>
      <c r="AY122" s="778"/>
      <c r="AZ122" s="778"/>
      <c r="BA122" s="778"/>
      <c r="BB122" s="778"/>
      <c r="BC122" s="778"/>
      <c r="BD122" s="778"/>
      <c r="BE122" s="778"/>
      <c r="BF122" s="778"/>
      <c r="BG122" s="778"/>
      <c r="BH122" s="778"/>
      <c r="BI122" s="778"/>
      <c r="BJ122" s="778"/>
      <c r="BK122" s="778"/>
      <c r="BL122" s="778"/>
      <c r="BM122" s="778"/>
      <c r="BN122" s="778"/>
      <c r="BO122" s="778"/>
      <c r="BP122" s="778"/>
      <c r="BQ122" s="778"/>
      <c r="BR122" s="778"/>
      <c r="BS122" s="778"/>
      <c r="BT122" s="778"/>
      <c r="BU122" s="778"/>
      <c r="BV122" s="778"/>
      <c r="BW122" s="778"/>
      <c r="BX122" s="778"/>
      <c r="BY122" s="778"/>
      <c r="BZ122" s="778"/>
      <c r="CA122" s="778"/>
      <c r="CB122" s="778"/>
      <c r="CC122" s="778"/>
      <c r="CD122" s="778"/>
      <c r="CE122" s="778"/>
      <c r="CF122" s="778"/>
      <c r="CG122" s="778"/>
      <c r="CH122" s="778"/>
      <c r="CI122" s="778"/>
      <c r="CJ122" s="778"/>
      <c r="CK122" s="778"/>
      <c r="CL122" s="778"/>
      <c r="CM122" s="778"/>
      <c r="CN122" s="778"/>
      <c r="CO122" s="778"/>
      <c r="CP122" s="778"/>
      <c r="CQ122" s="778"/>
      <c r="CR122" s="778"/>
      <c r="CS122" s="778"/>
      <c r="CT122" s="778"/>
      <c r="CU122" s="778"/>
      <c r="CV122" s="778"/>
      <c r="CW122" s="778"/>
      <c r="CX122" s="778"/>
      <c r="CY122" s="778"/>
      <c r="CZ122" s="778"/>
      <c r="DA122" s="778"/>
      <c r="DB122" s="778"/>
      <c r="DC122" s="778"/>
      <c r="DD122" s="778"/>
      <c r="DE122" s="778"/>
      <c r="DF122" s="778"/>
      <c r="DG122" s="778"/>
      <c r="DH122" s="778"/>
      <c r="DI122" s="778"/>
      <c r="DJ122" s="778"/>
      <c r="DK122" s="778"/>
      <c r="DL122" s="778"/>
      <c r="DM122" s="778"/>
      <c r="DN122" s="778"/>
      <c r="DO122" s="778"/>
      <c r="DP122" s="778"/>
      <c r="DQ122" s="778"/>
      <c r="DR122" s="778"/>
      <c r="DS122" s="778"/>
      <c r="DT122" s="778"/>
      <c r="DU122" s="778"/>
      <c r="DV122" s="778"/>
      <c r="DW122" s="778"/>
      <c r="DX122" s="778"/>
      <c r="DY122" s="778"/>
      <c r="DZ122" s="778"/>
      <c r="EA122" s="778"/>
      <c r="EB122" s="778"/>
      <c r="EC122" s="778"/>
      <c r="ED122" s="778"/>
      <c r="EE122" s="778"/>
      <c r="EF122" s="778"/>
      <c r="EG122" s="778"/>
      <c r="EH122" s="778"/>
    </row>
    <row r="123" spans="5:138" ht="12.75" customHeight="1" x14ac:dyDescent="0.3">
      <c r="E123" s="778"/>
      <c r="F123" s="778"/>
      <c r="G123" s="778"/>
      <c r="H123" s="778"/>
      <c r="I123" s="778"/>
      <c r="J123" s="778"/>
      <c r="K123" s="778"/>
      <c r="L123" s="778"/>
      <c r="M123" s="778"/>
      <c r="N123" s="778"/>
      <c r="O123" s="778"/>
      <c r="P123" s="778"/>
      <c r="Q123" s="778"/>
      <c r="R123" s="778"/>
      <c r="S123" s="778"/>
      <c r="T123" s="778"/>
      <c r="U123" s="778"/>
      <c r="V123" s="778"/>
      <c r="W123" s="778"/>
      <c r="X123" s="778"/>
      <c r="Y123" s="778"/>
      <c r="Z123" s="778"/>
      <c r="AA123" s="778"/>
      <c r="AB123" s="778"/>
      <c r="AC123" s="778"/>
      <c r="AD123" s="778"/>
      <c r="AE123" s="778"/>
      <c r="AF123" s="778"/>
      <c r="AG123" s="778"/>
      <c r="AH123" s="778"/>
      <c r="AI123" s="778"/>
      <c r="AJ123" s="778"/>
      <c r="AK123" s="778"/>
      <c r="AL123" s="778"/>
      <c r="AM123" s="778"/>
      <c r="AN123" s="778"/>
      <c r="AO123" s="778"/>
      <c r="AP123" s="778"/>
      <c r="AQ123" s="778"/>
      <c r="AR123" s="778"/>
      <c r="AS123" s="778"/>
      <c r="AT123" s="778"/>
      <c r="AU123" s="778"/>
      <c r="AV123" s="778"/>
      <c r="AW123" s="778"/>
      <c r="AX123" s="778"/>
      <c r="AY123" s="778"/>
      <c r="AZ123" s="778"/>
      <c r="BA123" s="778"/>
      <c r="BB123" s="778"/>
      <c r="BC123" s="778"/>
      <c r="BD123" s="778"/>
      <c r="BE123" s="778"/>
      <c r="BF123" s="778"/>
      <c r="BG123" s="778"/>
      <c r="BH123" s="778"/>
      <c r="BI123" s="778"/>
      <c r="BJ123" s="778"/>
      <c r="BK123" s="778"/>
      <c r="BL123" s="778"/>
      <c r="BM123" s="778"/>
      <c r="BN123" s="778"/>
      <c r="BO123" s="778"/>
      <c r="BP123" s="778"/>
      <c r="BQ123" s="778"/>
      <c r="BR123" s="778"/>
      <c r="BS123" s="778"/>
      <c r="BT123" s="778"/>
      <c r="BU123" s="778"/>
      <c r="BV123" s="778"/>
      <c r="BW123" s="778"/>
      <c r="BX123" s="778"/>
      <c r="BY123" s="778"/>
      <c r="BZ123" s="778"/>
      <c r="CA123" s="778"/>
      <c r="CB123" s="778"/>
      <c r="CC123" s="778"/>
      <c r="CD123" s="778"/>
      <c r="CE123" s="778"/>
      <c r="CF123" s="778"/>
      <c r="CG123" s="778"/>
      <c r="CH123" s="778"/>
      <c r="CI123" s="778"/>
      <c r="CJ123" s="778"/>
      <c r="CK123" s="778"/>
      <c r="CL123" s="778"/>
      <c r="CM123" s="778"/>
      <c r="CN123" s="778"/>
      <c r="CO123" s="778"/>
      <c r="CP123" s="778"/>
      <c r="CQ123" s="778"/>
      <c r="CR123" s="778"/>
      <c r="CS123" s="778"/>
      <c r="CT123" s="778"/>
      <c r="CU123" s="778"/>
      <c r="CV123" s="778"/>
      <c r="CW123" s="778"/>
      <c r="CX123" s="778"/>
      <c r="CY123" s="778"/>
      <c r="CZ123" s="778"/>
      <c r="DA123" s="778"/>
      <c r="DB123" s="778"/>
      <c r="DC123" s="778"/>
      <c r="DD123" s="778"/>
      <c r="DE123" s="778"/>
      <c r="DF123" s="778"/>
      <c r="DG123" s="778"/>
      <c r="DH123" s="778"/>
      <c r="DI123" s="778"/>
      <c r="DJ123" s="778"/>
      <c r="DK123" s="778"/>
      <c r="DL123" s="778"/>
      <c r="DM123" s="778"/>
      <c r="DN123" s="778"/>
      <c r="DO123" s="778"/>
      <c r="DP123" s="778"/>
      <c r="DQ123" s="778"/>
      <c r="DR123" s="778"/>
      <c r="DS123" s="778"/>
      <c r="DT123" s="778"/>
      <c r="DU123" s="778"/>
      <c r="DV123" s="778"/>
      <c r="DW123" s="778"/>
      <c r="DX123" s="778"/>
      <c r="DY123" s="778"/>
      <c r="DZ123" s="778"/>
      <c r="EA123" s="778"/>
      <c r="EB123" s="778"/>
      <c r="EC123" s="778"/>
      <c r="ED123" s="778"/>
      <c r="EE123" s="778"/>
      <c r="EF123" s="778"/>
      <c r="EG123" s="778"/>
      <c r="EH123" s="778"/>
    </row>
    <row r="124" spans="5:138" ht="12.75" customHeight="1" x14ac:dyDescent="0.3">
      <c r="E124" s="778"/>
      <c r="F124" s="778"/>
      <c r="G124" s="778"/>
      <c r="H124" s="778"/>
      <c r="I124" s="778"/>
      <c r="J124" s="778"/>
      <c r="K124" s="778"/>
      <c r="L124" s="778"/>
      <c r="M124" s="778"/>
      <c r="N124" s="778"/>
      <c r="O124" s="778"/>
      <c r="P124" s="778"/>
      <c r="Q124" s="778"/>
      <c r="R124" s="778"/>
      <c r="S124" s="778"/>
      <c r="T124" s="778"/>
      <c r="U124" s="778"/>
      <c r="V124" s="778"/>
      <c r="W124" s="778"/>
      <c r="X124" s="778"/>
      <c r="Y124" s="778"/>
      <c r="Z124" s="778"/>
      <c r="AA124" s="778"/>
      <c r="AB124" s="778"/>
      <c r="AC124" s="778"/>
      <c r="AD124" s="778"/>
      <c r="AE124" s="778"/>
      <c r="AF124" s="778"/>
      <c r="AG124" s="778"/>
      <c r="AH124" s="778"/>
      <c r="AI124" s="778"/>
      <c r="AJ124" s="778"/>
      <c r="AK124" s="778"/>
      <c r="AL124" s="778"/>
      <c r="AM124" s="778"/>
      <c r="AN124" s="778"/>
      <c r="AO124" s="778"/>
      <c r="AP124" s="778"/>
      <c r="AQ124" s="778"/>
      <c r="AR124" s="778"/>
      <c r="AS124" s="778"/>
      <c r="AT124" s="778"/>
      <c r="AU124" s="778"/>
      <c r="AV124" s="778"/>
      <c r="AW124" s="778"/>
      <c r="AX124" s="778"/>
      <c r="AY124" s="778"/>
      <c r="AZ124" s="778"/>
      <c r="BA124" s="778"/>
      <c r="BB124" s="778"/>
      <c r="BC124" s="778"/>
      <c r="BD124" s="778"/>
      <c r="BE124" s="778"/>
      <c r="BF124" s="778"/>
      <c r="BG124" s="778"/>
      <c r="BH124" s="778"/>
      <c r="BI124" s="778"/>
      <c r="BJ124" s="778"/>
      <c r="BK124" s="778"/>
      <c r="BL124" s="778"/>
      <c r="BM124" s="778"/>
      <c r="BN124" s="778"/>
      <c r="BO124" s="778"/>
      <c r="BP124" s="778"/>
      <c r="BQ124" s="778"/>
      <c r="BR124" s="778"/>
      <c r="BS124" s="778"/>
      <c r="BT124" s="778"/>
      <c r="BU124" s="778"/>
      <c r="BV124" s="778"/>
      <c r="BW124" s="778"/>
      <c r="BX124" s="778"/>
      <c r="BY124" s="778"/>
      <c r="BZ124" s="778"/>
      <c r="CA124" s="778"/>
      <c r="CB124" s="778"/>
      <c r="CC124" s="778"/>
      <c r="CD124" s="778"/>
      <c r="CE124" s="778"/>
      <c r="CF124" s="778"/>
      <c r="CG124" s="778"/>
      <c r="CH124" s="778"/>
      <c r="CI124" s="778"/>
      <c r="CJ124" s="778"/>
      <c r="CK124" s="778"/>
      <c r="CL124" s="778"/>
      <c r="CM124" s="778"/>
      <c r="CN124" s="778"/>
      <c r="CO124" s="778"/>
      <c r="CP124" s="778"/>
      <c r="CQ124" s="778"/>
      <c r="CR124" s="778"/>
      <c r="CS124" s="778"/>
      <c r="CT124" s="778"/>
      <c r="CU124" s="778"/>
      <c r="CV124" s="778"/>
      <c r="CW124" s="778"/>
      <c r="CX124" s="778"/>
      <c r="CY124" s="778"/>
      <c r="CZ124" s="778"/>
      <c r="DA124" s="778"/>
      <c r="DB124" s="778"/>
      <c r="DC124" s="778"/>
      <c r="DD124" s="778"/>
      <c r="DE124" s="778"/>
      <c r="DF124" s="778"/>
      <c r="DG124" s="778"/>
      <c r="DH124" s="778"/>
      <c r="DI124" s="778"/>
      <c r="DJ124" s="778"/>
      <c r="DK124" s="778"/>
      <c r="DL124" s="778"/>
      <c r="DM124" s="778"/>
      <c r="DN124" s="778"/>
      <c r="DO124" s="778"/>
      <c r="DP124" s="778"/>
      <c r="DQ124" s="778"/>
      <c r="DR124" s="778"/>
      <c r="DS124" s="778"/>
      <c r="DT124" s="778"/>
      <c r="DU124" s="778"/>
      <c r="DV124" s="778"/>
      <c r="DW124" s="778"/>
      <c r="DX124" s="778"/>
      <c r="DY124" s="778"/>
      <c r="DZ124" s="778"/>
      <c r="EA124" s="778"/>
      <c r="EB124" s="778"/>
      <c r="EC124" s="778"/>
      <c r="ED124" s="778"/>
      <c r="EE124" s="778"/>
      <c r="EF124" s="778"/>
      <c r="EG124" s="778"/>
      <c r="EH124" s="778"/>
    </row>
    <row r="125" spans="5:138" ht="12.75" customHeight="1" x14ac:dyDescent="0.3">
      <c r="E125" s="778"/>
      <c r="F125" s="778"/>
      <c r="G125" s="778"/>
      <c r="H125" s="778"/>
      <c r="I125" s="778"/>
      <c r="J125" s="778"/>
      <c r="K125" s="778"/>
      <c r="L125" s="778"/>
      <c r="M125" s="778"/>
      <c r="N125" s="778"/>
      <c r="O125" s="778"/>
      <c r="P125" s="778"/>
      <c r="Q125" s="778"/>
      <c r="R125" s="778"/>
      <c r="S125" s="778"/>
      <c r="T125" s="778"/>
      <c r="U125" s="778"/>
      <c r="V125" s="778"/>
      <c r="W125" s="778"/>
      <c r="X125" s="778"/>
      <c r="Y125" s="778"/>
      <c r="Z125" s="778"/>
      <c r="AA125" s="778"/>
      <c r="AB125" s="778"/>
      <c r="AC125" s="778"/>
      <c r="AD125" s="778"/>
      <c r="AE125" s="778"/>
      <c r="AF125" s="778"/>
      <c r="AG125" s="778"/>
      <c r="AH125" s="778"/>
      <c r="AI125" s="778"/>
      <c r="AJ125" s="778"/>
      <c r="AK125" s="778"/>
      <c r="AL125" s="778"/>
      <c r="AM125" s="778"/>
      <c r="AN125" s="778"/>
      <c r="AO125" s="778"/>
      <c r="AP125" s="778"/>
      <c r="AQ125" s="778"/>
      <c r="AR125" s="778"/>
      <c r="AS125" s="778"/>
      <c r="AT125" s="778"/>
      <c r="AU125" s="778"/>
      <c r="AV125" s="778"/>
      <c r="AW125" s="778"/>
      <c r="AX125" s="778"/>
      <c r="AY125" s="778"/>
      <c r="AZ125" s="778"/>
      <c r="BA125" s="778"/>
      <c r="BB125" s="778"/>
      <c r="BC125" s="778"/>
      <c r="BD125" s="778"/>
      <c r="BE125" s="778"/>
      <c r="BF125" s="778"/>
      <c r="BG125" s="778"/>
      <c r="BH125" s="778"/>
      <c r="BI125" s="778"/>
      <c r="BJ125" s="778"/>
      <c r="BK125" s="778"/>
      <c r="BL125" s="778"/>
      <c r="BM125" s="778"/>
      <c r="BN125" s="778"/>
      <c r="BO125" s="778"/>
      <c r="BP125" s="778"/>
      <c r="BQ125" s="778"/>
      <c r="BR125" s="778"/>
      <c r="BS125" s="778"/>
      <c r="BT125" s="778"/>
      <c r="BU125" s="778"/>
      <c r="BV125" s="778"/>
      <c r="BW125" s="778"/>
      <c r="BX125" s="778"/>
      <c r="BY125" s="778"/>
      <c r="BZ125" s="778"/>
      <c r="CA125" s="778"/>
      <c r="CB125" s="778"/>
      <c r="CC125" s="778"/>
      <c r="CD125" s="778"/>
      <c r="CE125" s="778"/>
      <c r="CF125" s="778"/>
      <c r="CG125" s="778"/>
      <c r="CH125" s="778"/>
      <c r="CI125" s="778"/>
      <c r="CJ125" s="778"/>
      <c r="CK125" s="778"/>
      <c r="CL125" s="778"/>
      <c r="CM125" s="778"/>
      <c r="CN125" s="778"/>
      <c r="CO125" s="778"/>
      <c r="CP125" s="778"/>
      <c r="CQ125" s="778"/>
      <c r="CR125" s="778"/>
      <c r="CS125" s="778"/>
      <c r="CT125" s="778"/>
      <c r="CU125" s="778"/>
      <c r="CV125" s="778"/>
      <c r="CW125" s="778"/>
      <c r="CX125" s="778"/>
      <c r="CY125" s="778"/>
      <c r="CZ125" s="778"/>
      <c r="DA125" s="778"/>
      <c r="DB125" s="778"/>
      <c r="DC125" s="778"/>
      <c r="DD125" s="778"/>
      <c r="DE125" s="778"/>
      <c r="DF125" s="778"/>
      <c r="DG125" s="778"/>
      <c r="DH125" s="778"/>
      <c r="DI125" s="778"/>
      <c r="DJ125" s="778"/>
      <c r="DK125" s="778"/>
      <c r="DL125" s="778"/>
      <c r="DM125" s="778"/>
      <c r="DN125" s="778"/>
      <c r="DO125" s="778"/>
      <c r="DP125" s="778"/>
      <c r="DQ125" s="778"/>
      <c r="DR125" s="778"/>
      <c r="DS125" s="778"/>
      <c r="DT125" s="778"/>
      <c r="DU125" s="778"/>
      <c r="DV125" s="778"/>
      <c r="DW125" s="778"/>
      <c r="DX125" s="778"/>
      <c r="DY125" s="778"/>
      <c r="DZ125" s="778"/>
      <c r="EA125" s="778"/>
      <c r="EB125" s="778"/>
      <c r="EC125" s="778"/>
      <c r="ED125" s="778"/>
      <c r="EE125" s="778"/>
      <c r="EF125" s="778"/>
      <c r="EG125" s="778"/>
      <c r="EH125" s="778"/>
    </row>
    <row r="126" spans="5:138" ht="12.75" customHeight="1" x14ac:dyDescent="0.3">
      <c r="E126" s="778"/>
      <c r="F126" s="778"/>
      <c r="G126" s="778"/>
      <c r="H126" s="778"/>
      <c r="I126" s="778"/>
      <c r="J126" s="778"/>
      <c r="K126" s="778"/>
      <c r="L126" s="778"/>
      <c r="M126" s="778"/>
      <c r="N126" s="778"/>
      <c r="O126" s="778"/>
      <c r="P126" s="778"/>
      <c r="Q126" s="778"/>
      <c r="R126" s="778"/>
      <c r="S126" s="778"/>
      <c r="T126" s="778"/>
      <c r="U126" s="778"/>
      <c r="V126" s="778"/>
      <c r="W126" s="778"/>
      <c r="X126" s="778"/>
      <c r="Y126" s="778"/>
      <c r="Z126" s="778"/>
      <c r="AA126" s="778"/>
      <c r="AB126" s="778"/>
      <c r="AC126" s="778"/>
      <c r="AD126" s="778"/>
      <c r="AE126" s="778"/>
      <c r="AF126" s="778"/>
      <c r="AG126" s="778"/>
      <c r="AH126" s="778"/>
      <c r="AI126" s="778"/>
      <c r="AJ126" s="778"/>
      <c r="AK126" s="778"/>
      <c r="AL126" s="778"/>
      <c r="AM126" s="778"/>
      <c r="AN126" s="778"/>
      <c r="AO126" s="778"/>
      <c r="AP126" s="778"/>
      <c r="AQ126" s="778"/>
      <c r="AR126" s="778"/>
      <c r="AS126" s="778"/>
      <c r="AT126" s="778"/>
      <c r="AU126" s="778"/>
      <c r="AV126" s="778"/>
      <c r="AW126" s="778"/>
      <c r="AX126" s="778"/>
      <c r="AY126" s="778"/>
      <c r="AZ126" s="778"/>
      <c r="BA126" s="778"/>
      <c r="BB126" s="778"/>
      <c r="BC126" s="778"/>
      <c r="BD126" s="778"/>
      <c r="BE126" s="778"/>
      <c r="BF126" s="778"/>
      <c r="BG126" s="778"/>
      <c r="BH126" s="778"/>
      <c r="BI126" s="778"/>
      <c r="BJ126" s="778"/>
      <c r="BK126" s="778"/>
      <c r="BL126" s="778"/>
      <c r="BM126" s="778"/>
      <c r="BN126" s="778"/>
      <c r="BO126" s="778"/>
      <c r="BP126" s="778"/>
      <c r="BQ126" s="778"/>
      <c r="BR126" s="778"/>
      <c r="BS126" s="778"/>
      <c r="BT126" s="778"/>
      <c r="BU126" s="778"/>
      <c r="BV126" s="778"/>
      <c r="BW126" s="778"/>
      <c r="BX126" s="778"/>
      <c r="BY126" s="778"/>
      <c r="BZ126" s="778"/>
      <c r="CA126" s="778"/>
      <c r="CB126" s="778"/>
      <c r="CC126" s="778"/>
      <c r="CD126" s="778"/>
      <c r="CE126" s="778"/>
      <c r="CF126" s="778"/>
      <c r="CG126" s="778"/>
      <c r="CH126" s="778"/>
      <c r="CI126" s="778"/>
      <c r="CJ126" s="778"/>
      <c r="CK126" s="778"/>
      <c r="CL126" s="778"/>
      <c r="CM126" s="778"/>
      <c r="CN126" s="778"/>
      <c r="CO126" s="778"/>
      <c r="CP126" s="778"/>
      <c r="CQ126" s="778"/>
      <c r="CR126" s="778"/>
      <c r="CS126" s="778"/>
      <c r="CT126" s="778"/>
      <c r="CU126" s="778"/>
      <c r="CV126" s="778"/>
      <c r="CW126" s="778"/>
      <c r="CX126" s="778"/>
      <c r="CY126" s="778"/>
      <c r="CZ126" s="778"/>
      <c r="DA126" s="778"/>
      <c r="DB126" s="778"/>
      <c r="DC126" s="778"/>
      <c r="DD126" s="778"/>
      <c r="DE126" s="778"/>
      <c r="DF126" s="778"/>
      <c r="DG126" s="778"/>
      <c r="DH126" s="778"/>
      <c r="DI126" s="778"/>
      <c r="DJ126" s="778"/>
      <c r="DK126" s="778"/>
      <c r="DL126" s="778"/>
      <c r="DM126" s="778"/>
      <c r="DN126" s="778"/>
      <c r="DO126" s="778"/>
      <c r="DP126" s="778"/>
      <c r="DQ126" s="778"/>
      <c r="DR126" s="778"/>
      <c r="DS126" s="778"/>
      <c r="DT126" s="778"/>
      <c r="DU126" s="778"/>
      <c r="DV126" s="778"/>
      <c r="DW126" s="778"/>
      <c r="DX126" s="778"/>
      <c r="DY126" s="778"/>
      <c r="DZ126" s="778"/>
      <c r="EA126" s="778"/>
      <c r="EB126" s="778"/>
      <c r="EC126" s="778"/>
      <c r="ED126" s="778"/>
      <c r="EE126" s="778"/>
      <c r="EF126" s="778"/>
      <c r="EG126" s="778"/>
      <c r="EH126" s="778"/>
    </row>
    <row r="127" spans="5:138" ht="12.75" customHeight="1" x14ac:dyDescent="0.3">
      <c r="E127" s="778"/>
      <c r="F127" s="778"/>
      <c r="G127" s="778"/>
      <c r="H127" s="778"/>
      <c r="I127" s="778"/>
      <c r="J127" s="778"/>
      <c r="K127" s="778"/>
      <c r="L127" s="778"/>
      <c r="M127" s="778"/>
      <c r="N127" s="778"/>
      <c r="O127" s="778"/>
      <c r="P127" s="778"/>
      <c r="Q127" s="778"/>
      <c r="R127" s="778"/>
      <c r="S127" s="778"/>
      <c r="T127" s="778"/>
      <c r="U127" s="778"/>
      <c r="V127" s="778"/>
      <c r="W127" s="778"/>
      <c r="X127" s="778"/>
      <c r="Y127" s="778"/>
      <c r="Z127" s="778"/>
      <c r="AA127" s="778"/>
      <c r="AB127" s="778"/>
      <c r="AC127" s="778"/>
      <c r="AD127" s="778"/>
      <c r="AE127" s="778"/>
      <c r="AF127" s="778"/>
      <c r="AG127" s="778"/>
      <c r="AH127" s="778"/>
      <c r="AI127" s="778"/>
      <c r="AJ127" s="778"/>
      <c r="AK127" s="778"/>
      <c r="AL127" s="778"/>
      <c r="AM127" s="778"/>
      <c r="AN127" s="778"/>
      <c r="AO127" s="778"/>
      <c r="AP127" s="778"/>
      <c r="AQ127" s="778"/>
      <c r="AR127" s="778"/>
      <c r="AS127" s="778"/>
      <c r="AT127" s="778"/>
      <c r="AU127" s="778"/>
      <c r="AV127" s="778"/>
      <c r="AW127" s="778"/>
      <c r="AX127" s="778"/>
      <c r="AY127" s="778"/>
      <c r="AZ127" s="778"/>
      <c r="BA127" s="778"/>
      <c r="BB127" s="778"/>
      <c r="BC127" s="778"/>
      <c r="BD127" s="778"/>
      <c r="BE127" s="778"/>
      <c r="BF127" s="778"/>
      <c r="BG127" s="778"/>
      <c r="BH127" s="778"/>
      <c r="BI127" s="778"/>
      <c r="BJ127" s="778"/>
      <c r="BK127" s="778"/>
      <c r="BL127" s="778"/>
      <c r="BM127" s="778"/>
      <c r="BN127" s="778"/>
      <c r="BO127" s="778"/>
      <c r="BP127" s="778"/>
      <c r="BQ127" s="778"/>
      <c r="BR127" s="778"/>
      <c r="BS127" s="778"/>
      <c r="BT127" s="778"/>
      <c r="BU127" s="778"/>
      <c r="BV127" s="778"/>
      <c r="BW127" s="778"/>
      <c r="BX127" s="778"/>
      <c r="BY127" s="778"/>
      <c r="BZ127" s="778"/>
      <c r="CA127" s="778"/>
      <c r="CB127" s="778"/>
      <c r="CC127" s="778"/>
      <c r="CD127" s="778"/>
      <c r="CE127" s="778"/>
      <c r="CF127" s="778"/>
      <c r="CG127" s="778"/>
      <c r="CH127" s="778"/>
      <c r="CI127" s="778"/>
      <c r="CJ127" s="778"/>
      <c r="CK127" s="778"/>
      <c r="CL127" s="778"/>
      <c r="CM127" s="778"/>
      <c r="CN127" s="778"/>
      <c r="CO127" s="778"/>
      <c r="CP127" s="778"/>
      <c r="CQ127" s="778"/>
      <c r="CR127" s="778"/>
      <c r="CS127" s="778"/>
      <c r="CT127" s="778"/>
      <c r="CU127" s="778"/>
      <c r="CV127" s="778"/>
      <c r="CW127" s="778"/>
      <c r="CX127" s="778"/>
      <c r="CY127" s="778"/>
      <c r="CZ127" s="778"/>
      <c r="DA127" s="778"/>
      <c r="DB127" s="778"/>
      <c r="DC127" s="778"/>
      <c r="DD127" s="778"/>
      <c r="DE127" s="778"/>
      <c r="DF127" s="778"/>
      <c r="DG127" s="778"/>
      <c r="DH127" s="778"/>
      <c r="DI127" s="778"/>
      <c r="DJ127" s="778"/>
      <c r="DK127" s="778"/>
      <c r="DL127" s="778"/>
      <c r="DM127" s="778"/>
      <c r="DN127" s="778"/>
      <c r="DO127" s="778"/>
      <c r="DP127" s="778"/>
      <c r="DQ127" s="778"/>
      <c r="DR127" s="778"/>
      <c r="DS127" s="778"/>
      <c r="DT127" s="778"/>
      <c r="DU127" s="778"/>
      <c r="DV127" s="778"/>
      <c r="DW127" s="778"/>
      <c r="DX127" s="778"/>
      <c r="DY127" s="778"/>
      <c r="DZ127" s="778"/>
      <c r="EA127" s="778"/>
      <c r="EB127" s="778"/>
      <c r="EC127" s="778"/>
      <c r="ED127" s="778"/>
      <c r="EE127" s="778"/>
      <c r="EF127" s="778"/>
      <c r="EG127" s="778"/>
      <c r="EH127" s="778"/>
    </row>
    <row r="128" spans="5:138" ht="12.75" customHeight="1" x14ac:dyDescent="0.3">
      <c r="E128" s="778"/>
      <c r="F128" s="778"/>
      <c r="G128" s="778"/>
      <c r="H128" s="778"/>
      <c r="I128" s="778"/>
      <c r="J128" s="778"/>
      <c r="K128" s="778"/>
      <c r="L128" s="778"/>
      <c r="M128" s="778"/>
      <c r="N128" s="778"/>
      <c r="O128" s="778"/>
      <c r="P128" s="778"/>
      <c r="Q128" s="778"/>
      <c r="R128" s="778"/>
      <c r="S128" s="778"/>
      <c r="T128" s="778"/>
      <c r="U128" s="778"/>
      <c r="V128" s="778"/>
      <c r="W128" s="778"/>
      <c r="X128" s="778"/>
      <c r="Y128" s="778"/>
      <c r="Z128" s="778"/>
      <c r="AA128" s="778"/>
      <c r="AB128" s="778"/>
      <c r="AC128" s="778"/>
      <c r="AD128" s="778"/>
      <c r="AE128" s="778"/>
      <c r="AF128" s="778"/>
      <c r="AG128" s="778"/>
      <c r="AH128" s="778"/>
      <c r="AI128" s="778"/>
      <c r="AJ128" s="778"/>
      <c r="AK128" s="778"/>
      <c r="AL128" s="778"/>
      <c r="AM128" s="778"/>
      <c r="AN128" s="778"/>
      <c r="AO128" s="778"/>
      <c r="AP128" s="778"/>
      <c r="AQ128" s="778"/>
      <c r="AR128" s="778"/>
      <c r="AS128" s="778"/>
      <c r="AT128" s="778"/>
      <c r="AU128" s="778"/>
      <c r="AV128" s="778"/>
      <c r="AW128" s="778"/>
      <c r="AX128" s="778"/>
      <c r="AY128" s="778"/>
      <c r="AZ128" s="778"/>
      <c r="BA128" s="778"/>
      <c r="BB128" s="778"/>
      <c r="BC128" s="778"/>
      <c r="BD128" s="778"/>
      <c r="BE128" s="778"/>
      <c r="BF128" s="778"/>
      <c r="BG128" s="778"/>
      <c r="BH128" s="778"/>
      <c r="BI128" s="778"/>
      <c r="BJ128" s="778"/>
      <c r="BK128" s="778"/>
      <c r="BL128" s="778"/>
      <c r="BM128" s="778"/>
      <c r="BN128" s="778"/>
      <c r="BO128" s="778"/>
      <c r="BP128" s="778"/>
      <c r="BQ128" s="778"/>
      <c r="BR128" s="778"/>
      <c r="BS128" s="778"/>
      <c r="BT128" s="778"/>
      <c r="BU128" s="778"/>
      <c r="BV128" s="778"/>
      <c r="BW128" s="778"/>
      <c r="BX128" s="778"/>
      <c r="BY128" s="778"/>
      <c r="BZ128" s="778"/>
      <c r="CA128" s="778"/>
      <c r="CB128" s="778"/>
      <c r="CC128" s="778"/>
      <c r="CD128" s="778"/>
      <c r="CE128" s="778"/>
      <c r="CF128" s="778"/>
      <c r="CG128" s="778"/>
      <c r="CH128" s="778"/>
      <c r="CI128" s="778"/>
      <c r="CJ128" s="778"/>
      <c r="CK128" s="778"/>
      <c r="CL128" s="778"/>
      <c r="CM128" s="778"/>
      <c r="CN128" s="778"/>
      <c r="CO128" s="778"/>
      <c r="CP128" s="778"/>
      <c r="CQ128" s="778"/>
      <c r="CR128" s="778"/>
      <c r="CS128" s="778"/>
      <c r="CT128" s="778"/>
      <c r="CU128" s="778"/>
      <c r="CV128" s="778"/>
      <c r="CW128" s="778"/>
      <c r="CX128" s="778"/>
      <c r="CY128" s="778"/>
      <c r="CZ128" s="778"/>
      <c r="DA128" s="778"/>
      <c r="DB128" s="778"/>
      <c r="DC128" s="778"/>
      <c r="DD128" s="778"/>
      <c r="DE128" s="778"/>
      <c r="DF128" s="778"/>
      <c r="DG128" s="778"/>
      <c r="DH128" s="778"/>
      <c r="DI128" s="778"/>
      <c r="DJ128" s="778"/>
      <c r="DK128" s="778"/>
      <c r="DL128" s="778"/>
      <c r="DM128" s="778"/>
      <c r="DN128" s="778"/>
      <c r="DO128" s="778"/>
      <c r="DP128" s="778"/>
      <c r="DQ128" s="778"/>
      <c r="DR128" s="778"/>
      <c r="DS128" s="778"/>
      <c r="DT128" s="778"/>
      <c r="DU128" s="778"/>
      <c r="DV128" s="778"/>
      <c r="DW128" s="778"/>
      <c r="DX128" s="778"/>
      <c r="DY128" s="778"/>
      <c r="DZ128" s="778"/>
      <c r="EA128" s="778"/>
      <c r="EB128" s="778"/>
      <c r="EC128" s="778"/>
      <c r="ED128" s="778"/>
      <c r="EE128" s="778"/>
      <c r="EF128" s="778"/>
      <c r="EG128" s="778"/>
      <c r="EH128" s="778"/>
    </row>
    <row r="129" spans="5:138" ht="12.75" customHeight="1" x14ac:dyDescent="0.3">
      <c r="E129" s="778"/>
      <c r="F129" s="778"/>
      <c r="G129" s="778"/>
      <c r="H129" s="778"/>
      <c r="I129" s="778"/>
      <c r="J129" s="778"/>
      <c r="K129" s="778"/>
      <c r="L129" s="778"/>
      <c r="M129" s="778"/>
      <c r="N129" s="778"/>
      <c r="O129" s="778"/>
      <c r="P129" s="778"/>
      <c r="Q129" s="778"/>
      <c r="R129" s="778"/>
      <c r="S129" s="778"/>
      <c r="T129" s="778"/>
      <c r="U129" s="778"/>
      <c r="V129" s="778"/>
      <c r="W129" s="778"/>
      <c r="X129" s="778"/>
      <c r="Y129" s="778"/>
      <c r="Z129" s="778"/>
      <c r="AA129" s="778"/>
      <c r="AB129" s="778"/>
      <c r="AC129" s="778"/>
      <c r="AD129" s="778"/>
      <c r="AE129" s="778"/>
      <c r="AF129" s="778"/>
      <c r="AG129" s="778"/>
      <c r="AH129" s="778"/>
      <c r="AI129" s="778"/>
      <c r="AJ129" s="778"/>
      <c r="AK129" s="778"/>
      <c r="AL129" s="778"/>
      <c r="AM129" s="778"/>
      <c r="AN129" s="778"/>
      <c r="AO129" s="778"/>
      <c r="AP129" s="778"/>
      <c r="AQ129" s="778"/>
      <c r="AR129" s="778"/>
      <c r="AS129" s="778"/>
      <c r="AT129" s="778"/>
      <c r="AU129" s="778"/>
      <c r="AV129" s="778"/>
      <c r="AW129" s="778"/>
      <c r="AX129" s="778"/>
      <c r="AY129" s="778"/>
      <c r="AZ129" s="778"/>
      <c r="BA129" s="778"/>
      <c r="BB129" s="778"/>
      <c r="BC129" s="778"/>
      <c r="BD129" s="778"/>
      <c r="BE129" s="778"/>
      <c r="BF129" s="778"/>
      <c r="BG129" s="778"/>
      <c r="BH129" s="778"/>
      <c r="BI129" s="778"/>
      <c r="BJ129" s="778"/>
      <c r="BK129" s="778"/>
      <c r="BL129" s="778"/>
      <c r="BM129" s="778"/>
      <c r="BN129" s="778"/>
      <c r="BO129" s="778"/>
      <c r="BP129" s="778"/>
      <c r="BQ129" s="778"/>
      <c r="BR129" s="778"/>
      <c r="BS129" s="778"/>
      <c r="BT129" s="778"/>
      <c r="BU129" s="778"/>
      <c r="BV129" s="778"/>
      <c r="BW129" s="778"/>
      <c r="BX129" s="778"/>
      <c r="BY129" s="778"/>
      <c r="BZ129" s="778"/>
      <c r="CA129" s="778"/>
      <c r="CB129" s="778"/>
      <c r="CC129" s="778"/>
      <c r="CD129" s="778"/>
      <c r="CE129" s="778"/>
      <c r="CF129" s="778"/>
      <c r="CG129" s="778"/>
      <c r="CH129" s="778"/>
      <c r="CI129" s="778"/>
      <c r="CJ129" s="778"/>
      <c r="CK129" s="778"/>
      <c r="CL129" s="778"/>
      <c r="CM129" s="778"/>
      <c r="CN129" s="778"/>
      <c r="CO129" s="778"/>
      <c r="CP129" s="778"/>
      <c r="CQ129" s="778"/>
      <c r="CR129" s="778"/>
      <c r="CS129" s="778"/>
      <c r="CT129" s="778"/>
      <c r="CU129" s="778"/>
      <c r="CV129" s="778"/>
      <c r="CW129" s="778"/>
      <c r="CX129" s="778"/>
      <c r="CY129" s="778"/>
      <c r="CZ129" s="778"/>
      <c r="DA129" s="778"/>
      <c r="DB129" s="778"/>
      <c r="DC129" s="778"/>
      <c r="DD129" s="778"/>
      <c r="DE129" s="778"/>
      <c r="DF129" s="778"/>
      <c r="DG129" s="778"/>
      <c r="DH129" s="778"/>
      <c r="DI129" s="778"/>
      <c r="DJ129" s="778"/>
      <c r="DK129" s="778"/>
      <c r="DL129" s="778"/>
      <c r="DM129" s="778"/>
      <c r="DN129" s="778"/>
      <c r="DO129" s="778"/>
      <c r="DP129" s="778"/>
      <c r="DQ129" s="778"/>
      <c r="DR129" s="778"/>
      <c r="DS129" s="778"/>
      <c r="DT129" s="778"/>
      <c r="DU129" s="778"/>
      <c r="DV129" s="778"/>
      <c r="DW129" s="778"/>
      <c r="DX129" s="778"/>
      <c r="DY129" s="778"/>
      <c r="DZ129" s="778"/>
      <c r="EA129" s="778"/>
      <c r="EB129" s="778"/>
      <c r="EC129" s="778"/>
      <c r="ED129" s="778"/>
      <c r="EE129" s="778"/>
      <c r="EF129" s="778"/>
      <c r="EG129" s="778"/>
      <c r="EH129" s="778"/>
    </row>
    <row r="130" spans="5:138" ht="12.75" customHeight="1" x14ac:dyDescent="0.3">
      <c r="E130" s="778"/>
      <c r="F130" s="778"/>
      <c r="G130" s="778"/>
      <c r="H130" s="778"/>
      <c r="I130" s="778"/>
      <c r="J130" s="778"/>
      <c r="K130" s="778"/>
      <c r="L130" s="778"/>
      <c r="M130" s="778"/>
      <c r="N130" s="778"/>
      <c r="O130" s="778"/>
      <c r="P130" s="778"/>
      <c r="Q130" s="778"/>
      <c r="R130" s="778"/>
      <c r="S130" s="778"/>
      <c r="T130" s="778"/>
      <c r="U130" s="778"/>
      <c r="V130" s="778"/>
      <c r="W130" s="778"/>
      <c r="X130" s="778"/>
      <c r="Y130" s="778"/>
      <c r="Z130" s="778"/>
      <c r="AA130" s="778"/>
      <c r="AB130" s="778"/>
      <c r="AC130" s="778"/>
      <c r="AD130" s="778"/>
      <c r="AE130" s="778"/>
      <c r="AF130" s="778"/>
      <c r="AG130" s="778"/>
      <c r="AH130" s="778"/>
      <c r="AI130" s="778"/>
      <c r="AJ130" s="778"/>
      <c r="AK130" s="778"/>
      <c r="AL130" s="778"/>
      <c r="AM130" s="778"/>
      <c r="AN130" s="778"/>
      <c r="AO130" s="778"/>
      <c r="AP130" s="778"/>
      <c r="AQ130" s="778"/>
      <c r="AR130" s="778"/>
      <c r="AS130" s="778"/>
      <c r="AT130" s="778"/>
      <c r="AU130" s="778"/>
      <c r="AV130" s="778"/>
      <c r="AW130" s="778"/>
      <c r="AX130" s="778"/>
      <c r="AY130" s="778"/>
      <c r="AZ130" s="778"/>
      <c r="BA130" s="778"/>
      <c r="BB130" s="778"/>
      <c r="BC130" s="778"/>
      <c r="BD130" s="778"/>
      <c r="BE130" s="778"/>
      <c r="BF130" s="778"/>
      <c r="BG130" s="778"/>
      <c r="BH130" s="778"/>
      <c r="BI130" s="778"/>
      <c r="BJ130" s="778"/>
      <c r="BK130" s="778"/>
      <c r="BL130" s="778"/>
      <c r="BM130" s="778"/>
      <c r="BN130" s="778"/>
      <c r="BO130" s="778"/>
      <c r="BP130" s="778"/>
      <c r="BQ130" s="778"/>
      <c r="BR130" s="778"/>
      <c r="BS130" s="778"/>
      <c r="BT130" s="778"/>
      <c r="BU130" s="778"/>
      <c r="BV130" s="778"/>
      <c r="BW130" s="778"/>
      <c r="BX130" s="778"/>
      <c r="BY130" s="778"/>
      <c r="BZ130" s="778"/>
      <c r="CA130" s="778"/>
      <c r="CB130" s="778"/>
      <c r="CC130" s="778"/>
      <c r="CD130" s="778"/>
      <c r="CE130" s="778"/>
      <c r="CF130" s="778"/>
      <c r="CG130" s="778"/>
      <c r="CH130" s="778"/>
      <c r="CI130" s="778"/>
      <c r="CJ130" s="778"/>
      <c r="CK130" s="778"/>
      <c r="CL130" s="778"/>
      <c r="CM130" s="778"/>
      <c r="CN130" s="778"/>
      <c r="CO130" s="778"/>
      <c r="CP130" s="778"/>
      <c r="CQ130" s="778"/>
      <c r="CR130" s="778"/>
      <c r="CS130" s="778"/>
      <c r="CT130" s="778"/>
      <c r="CU130" s="778"/>
      <c r="CV130" s="778"/>
      <c r="CW130" s="778"/>
      <c r="CX130" s="778"/>
      <c r="CY130" s="778"/>
      <c r="CZ130" s="778"/>
      <c r="DA130" s="778"/>
      <c r="DB130" s="778"/>
      <c r="DC130" s="778"/>
      <c r="DD130" s="778"/>
      <c r="DE130" s="778"/>
      <c r="DF130" s="778"/>
      <c r="DG130" s="778"/>
      <c r="DH130" s="778"/>
      <c r="DI130" s="778"/>
      <c r="DJ130" s="778"/>
      <c r="DK130" s="778"/>
      <c r="DL130" s="778"/>
      <c r="DM130" s="778"/>
      <c r="DN130" s="778"/>
      <c r="DO130" s="778"/>
      <c r="DP130" s="778"/>
      <c r="DQ130" s="778"/>
      <c r="DR130" s="778"/>
      <c r="DS130" s="778"/>
      <c r="DT130" s="778"/>
      <c r="DU130" s="778"/>
      <c r="DV130" s="778"/>
      <c r="DW130" s="778"/>
      <c r="DX130" s="778"/>
      <c r="DY130" s="778"/>
      <c r="DZ130" s="778"/>
      <c r="EA130" s="778"/>
      <c r="EB130" s="778"/>
      <c r="EC130" s="778"/>
      <c r="ED130" s="778"/>
      <c r="EE130" s="778"/>
      <c r="EF130" s="778"/>
      <c r="EG130" s="778"/>
      <c r="EH130" s="778"/>
    </row>
    <row r="131" spans="5:138" ht="12.75" customHeight="1" x14ac:dyDescent="0.3">
      <c r="E131" s="778"/>
      <c r="F131" s="778"/>
      <c r="G131" s="778"/>
      <c r="H131" s="778"/>
      <c r="I131" s="778"/>
      <c r="J131" s="778"/>
      <c r="K131" s="778"/>
      <c r="L131" s="778"/>
      <c r="M131" s="778"/>
      <c r="N131" s="778"/>
      <c r="O131" s="778"/>
      <c r="P131" s="778"/>
      <c r="Q131" s="778"/>
      <c r="R131" s="778"/>
      <c r="S131" s="778"/>
      <c r="T131" s="778"/>
      <c r="U131" s="778"/>
      <c r="V131" s="778"/>
      <c r="W131" s="778"/>
      <c r="X131" s="778"/>
      <c r="Y131" s="778"/>
      <c r="Z131" s="778"/>
      <c r="AA131" s="778"/>
      <c r="AB131" s="778"/>
      <c r="AC131" s="778"/>
      <c r="AD131" s="778"/>
      <c r="AE131" s="778"/>
      <c r="AF131" s="778"/>
      <c r="AG131" s="778"/>
      <c r="AH131" s="778"/>
      <c r="AI131" s="778"/>
      <c r="AJ131" s="778"/>
      <c r="AK131" s="778"/>
      <c r="AL131" s="778"/>
      <c r="AM131" s="778"/>
      <c r="AN131" s="778"/>
      <c r="AO131" s="778"/>
      <c r="AP131" s="778"/>
      <c r="AQ131" s="778"/>
      <c r="AR131" s="778"/>
      <c r="AS131" s="778"/>
      <c r="AT131" s="778"/>
      <c r="AU131" s="778"/>
      <c r="AV131" s="778"/>
      <c r="AW131" s="778"/>
      <c r="AX131" s="778"/>
      <c r="AY131" s="778"/>
      <c r="AZ131" s="778"/>
      <c r="BA131" s="778"/>
      <c r="BB131" s="778"/>
      <c r="BC131" s="778"/>
      <c r="BD131" s="778"/>
      <c r="BE131" s="778"/>
      <c r="BF131" s="778"/>
      <c r="BG131" s="778"/>
      <c r="BH131" s="778"/>
      <c r="BI131" s="778"/>
      <c r="BJ131" s="778"/>
      <c r="BK131" s="778"/>
      <c r="BL131" s="778"/>
      <c r="BM131" s="778"/>
      <c r="BN131" s="778"/>
      <c r="BO131" s="778"/>
      <c r="BP131" s="778"/>
      <c r="BQ131" s="778"/>
      <c r="BR131" s="778"/>
      <c r="BS131" s="778"/>
      <c r="BT131" s="778"/>
      <c r="BU131" s="778"/>
      <c r="BV131" s="778"/>
      <c r="BW131" s="778"/>
      <c r="BX131" s="778"/>
      <c r="BY131" s="778"/>
      <c r="BZ131" s="778"/>
      <c r="CA131" s="778"/>
      <c r="CB131" s="778"/>
      <c r="CC131" s="778"/>
      <c r="CD131" s="778"/>
      <c r="CE131" s="778"/>
      <c r="CF131" s="778"/>
      <c r="CG131" s="778"/>
      <c r="CH131" s="778"/>
      <c r="CI131" s="778"/>
      <c r="CJ131" s="778"/>
      <c r="CK131" s="778"/>
      <c r="CL131" s="778"/>
      <c r="CM131" s="778"/>
      <c r="CN131" s="778"/>
      <c r="CO131" s="778"/>
      <c r="CP131" s="778"/>
      <c r="CQ131" s="778"/>
      <c r="CR131" s="778"/>
      <c r="CS131" s="778"/>
      <c r="CT131" s="778"/>
      <c r="CU131" s="778"/>
      <c r="CV131" s="778"/>
      <c r="CW131" s="778"/>
      <c r="CX131" s="778"/>
      <c r="CY131" s="778"/>
      <c r="CZ131" s="778"/>
      <c r="DA131" s="778"/>
      <c r="DB131" s="778"/>
      <c r="DC131" s="778"/>
      <c r="DD131" s="778"/>
      <c r="DE131" s="778"/>
      <c r="DF131" s="778"/>
      <c r="DG131" s="778"/>
      <c r="DH131" s="778"/>
      <c r="DI131" s="778"/>
      <c r="DJ131" s="778"/>
      <c r="DK131" s="778"/>
      <c r="DL131" s="778"/>
      <c r="DM131" s="778"/>
      <c r="DN131" s="778"/>
      <c r="DO131" s="778"/>
      <c r="DP131" s="778"/>
      <c r="DQ131" s="778"/>
      <c r="DR131" s="778"/>
      <c r="DS131" s="778"/>
      <c r="DT131" s="778"/>
      <c r="DU131" s="778"/>
      <c r="DV131" s="778"/>
      <c r="DW131" s="778"/>
      <c r="DX131" s="778"/>
      <c r="DY131" s="778"/>
      <c r="DZ131" s="778"/>
      <c r="EA131" s="778"/>
      <c r="EB131" s="778"/>
      <c r="EC131" s="778"/>
      <c r="ED131" s="778"/>
      <c r="EE131" s="778"/>
      <c r="EF131" s="778"/>
      <c r="EG131" s="778"/>
      <c r="EH131" s="778"/>
    </row>
    <row r="132" spans="5:138" ht="12.75" customHeight="1" x14ac:dyDescent="0.3">
      <c r="E132" s="778"/>
      <c r="F132" s="778"/>
      <c r="G132" s="778"/>
      <c r="H132" s="778"/>
      <c r="I132" s="778"/>
      <c r="J132" s="778"/>
      <c r="K132" s="778"/>
      <c r="L132" s="778"/>
      <c r="M132" s="778"/>
      <c r="N132" s="778"/>
      <c r="O132" s="778"/>
      <c r="P132" s="778"/>
      <c r="Q132" s="778"/>
      <c r="R132" s="778"/>
      <c r="S132" s="778"/>
      <c r="T132" s="778"/>
      <c r="U132" s="778"/>
      <c r="V132" s="778"/>
      <c r="W132" s="778"/>
      <c r="X132" s="778"/>
      <c r="Y132" s="778"/>
      <c r="Z132" s="778"/>
      <c r="AA132" s="778"/>
      <c r="AB132" s="778"/>
      <c r="AC132" s="778"/>
      <c r="AD132" s="778"/>
      <c r="AE132" s="778"/>
      <c r="AF132" s="778"/>
      <c r="AG132" s="778"/>
      <c r="AH132" s="778"/>
      <c r="AI132" s="778"/>
      <c r="AJ132" s="778"/>
      <c r="AK132" s="778"/>
      <c r="AL132" s="778"/>
      <c r="AM132" s="778"/>
      <c r="AN132" s="778"/>
      <c r="AO132" s="778"/>
      <c r="AP132" s="778"/>
      <c r="AQ132" s="778"/>
      <c r="AR132" s="778"/>
      <c r="AS132" s="778"/>
      <c r="AT132" s="778"/>
      <c r="AU132" s="778"/>
      <c r="AV132" s="778"/>
      <c r="AW132" s="778"/>
      <c r="AX132" s="778"/>
      <c r="AY132" s="778"/>
      <c r="AZ132" s="778"/>
      <c r="BA132" s="778"/>
      <c r="BB132" s="778"/>
      <c r="BC132" s="778"/>
      <c r="BD132" s="778"/>
      <c r="BE132" s="778"/>
      <c r="BF132" s="778"/>
      <c r="BG132" s="778"/>
      <c r="BH132" s="778"/>
      <c r="BI132" s="778"/>
      <c r="BJ132" s="778"/>
      <c r="BK132" s="778"/>
      <c r="BL132" s="778"/>
      <c r="BM132" s="778"/>
      <c r="BN132" s="778"/>
      <c r="BO132" s="778"/>
      <c r="BP132" s="778"/>
      <c r="BQ132" s="778"/>
      <c r="BR132" s="778"/>
      <c r="BS132" s="778"/>
      <c r="BT132" s="778"/>
      <c r="BU132" s="778"/>
      <c r="BV132" s="778"/>
      <c r="BW132" s="778"/>
      <c r="BX132" s="778"/>
      <c r="BY132" s="778"/>
      <c r="BZ132" s="778"/>
      <c r="CA132" s="778"/>
      <c r="CB132" s="778"/>
      <c r="CC132" s="778"/>
      <c r="CD132" s="778"/>
      <c r="CE132" s="778"/>
      <c r="CF132" s="778"/>
      <c r="CG132" s="778"/>
      <c r="CH132" s="778"/>
      <c r="CI132" s="778"/>
      <c r="CJ132" s="778"/>
      <c r="CK132" s="778"/>
      <c r="CL132" s="778"/>
      <c r="CM132" s="778"/>
      <c r="CN132" s="778"/>
      <c r="CO132" s="778"/>
      <c r="CP132" s="778"/>
      <c r="CQ132" s="778"/>
      <c r="CR132" s="778"/>
      <c r="CS132" s="778"/>
      <c r="CT132" s="778"/>
      <c r="CU132" s="778"/>
      <c r="CV132" s="778"/>
      <c r="CW132" s="778"/>
      <c r="CX132" s="778"/>
      <c r="CY132" s="778"/>
      <c r="CZ132" s="778"/>
      <c r="DA132" s="778"/>
      <c r="DB132" s="778"/>
      <c r="DC132" s="778"/>
      <c r="DD132" s="778"/>
      <c r="DE132" s="778"/>
      <c r="DF132" s="778"/>
      <c r="DG132" s="778"/>
      <c r="DH132" s="778"/>
      <c r="DI132" s="778"/>
      <c r="DJ132" s="778"/>
      <c r="DK132" s="778"/>
      <c r="DL132" s="778"/>
      <c r="DM132" s="778"/>
      <c r="DN132" s="778"/>
      <c r="DO132" s="778"/>
      <c r="DP132" s="778"/>
      <c r="DQ132" s="778"/>
      <c r="DR132" s="778"/>
      <c r="DS132" s="778"/>
      <c r="DT132" s="778"/>
      <c r="DU132" s="778"/>
      <c r="DV132" s="778"/>
      <c r="DW132" s="778"/>
      <c r="DX132" s="778"/>
      <c r="DY132" s="778"/>
      <c r="DZ132" s="778"/>
      <c r="EA132" s="778"/>
      <c r="EB132" s="778"/>
      <c r="EC132" s="778"/>
      <c r="ED132" s="778"/>
      <c r="EE132" s="778"/>
      <c r="EF132" s="778"/>
      <c r="EG132" s="778"/>
      <c r="EH132" s="778"/>
    </row>
    <row r="133" spans="5:138" ht="12.75" customHeight="1" x14ac:dyDescent="0.3">
      <c r="E133" s="778"/>
      <c r="F133" s="778"/>
      <c r="G133" s="778"/>
      <c r="H133" s="778"/>
      <c r="I133" s="778"/>
      <c r="J133" s="778"/>
      <c r="K133" s="778"/>
      <c r="L133" s="778"/>
      <c r="M133" s="778"/>
      <c r="N133" s="778"/>
      <c r="O133" s="778"/>
      <c r="P133" s="778"/>
      <c r="Q133" s="778"/>
      <c r="R133" s="778"/>
      <c r="S133" s="778"/>
      <c r="T133" s="778"/>
      <c r="U133" s="778"/>
      <c r="V133" s="778"/>
      <c r="W133" s="778"/>
      <c r="X133" s="778"/>
      <c r="Y133" s="778"/>
      <c r="Z133" s="778"/>
      <c r="AA133" s="778"/>
      <c r="AB133" s="778"/>
      <c r="AC133" s="778"/>
      <c r="AD133" s="778"/>
      <c r="AE133" s="778"/>
      <c r="AF133" s="778"/>
      <c r="AG133" s="778"/>
      <c r="AH133" s="778"/>
      <c r="AI133" s="778"/>
      <c r="AJ133" s="778"/>
      <c r="AK133" s="778"/>
      <c r="AL133" s="778"/>
      <c r="AM133" s="778"/>
      <c r="AN133" s="778"/>
      <c r="AO133" s="778"/>
      <c r="AP133" s="778"/>
      <c r="AQ133" s="778"/>
      <c r="AR133" s="778"/>
      <c r="AS133" s="778"/>
      <c r="AT133" s="778"/>
      <c r="AU133" s="778"/>
      <c r="AV133" s="778"/>
      <c r="AW133" s="778"/>
      <c r="AX133" s="778"/>
      <c r="AY133" s="778"/>
      <c r="AZ133" s="778"/>
      <c r="BA133" s="778"/>
      <c r="BB133" s="778"/>
      <c r="BC133" s="778"/>
      <c r="BD133" s="778"/>
      <c r="BE133" s="778"/>
      <c r="BF133" s="778"/>
      <c r="BG133" s="778"/>
      <c r="BH133" s="778"/>
      <c r="BI133" s="778"/>
      <c r="BJ133" s="778"/>
      <c r="BK133" s="778"/>
      <c r="BL133" s="778"/>
      <c r="BM133" s="778"/>
      <c r="BN133" s="778"/>
      <c r="BO133" s="778"/>
      <c r="BP133" s="778"/>
      <c r="BQ133" s="778"/>
      <c r="BR133" s="778"/>
      <c r="BS133" s="778"/>
      <c r="BT133" s="778"/>
      <c r="BU133" s="778"/>
      <c r="BV133" s="778"/>
      <c r="BW133" s="778"/>
      <c r="BX133" s="778"/>
      <c r="BY133" s="778"/>
      <c r="BZ133" s="778"/>
      <c r="CA133" s="778"/>
      <c r="CB133" s="778"/>
      <c r="CC133" s="778"/>
      <c r="CD133" s="778"/>
      <c r="CE133" s="778"/>
      <c r="CF133" s="778"/>
      <c r="CG133" s="778"/>
      <c r="CH133" s="778"/>
      <c r="CI133" s="778"/>
      <c r="CJ133" s="778"/>
      <c r="CK133" s="778"/>
      <c r="CL133" s="778"/>
      <c r="CM133" s="778"/>
      <c r="CN133" s="778"/>
      <c r="CO133" s="778"/>
      <c r="CP133" s="778"/>
      <c r="CQ133" s="778"/>
      <c r="CR133" s="778"/>
      <c r="CS133" s="778"/>
      <c r="CT133" s="778"/>
      <c r="CU133" s="778"/>
      <c r="CV133" s="778"/>
      <c r="CW133" s="778"/>
      <c r="CX133" s="778"/>
      <c r="CY133" s="778"/>
      <c r="CZ133" s="778"/>
      <c r="DA133" s="778"/>
      <c r="DB133" s="778"/>
      <c r="DC133" s="778"/>
      <c r="DD133" s="778"/>
      <c r="DE133" s="778"/>
      <c r="DF133" s="778"/>
      <c r="DG133" s="778"/>
      <c r="DH133" s="778"/>
      <c r="DI133" s="778"/>
      <c r="DJ133" s="778"/>
      <c r="DK133" s="778"/>
      <c r="DL133" s="778"/>
      <c r="DM133" s="778"/>
      <c r="DN133" s="778"/>
      <c r="DO133" s="778"/>
      <c r="DP133" s="778"/>
      <c r="DQ133" s="778"/>
      <c r="DR133" s="778"/>
      <c r="DS133" s="778"/>
      <c r="DT133" s="778"/>
      <c r="DU133" s="778"/>
      <c r="DV133" s="778"/>
      <c r="DW133" s="778"/>
      <c r="DX133" s="778"/>
      <c r="DY133" s="778"/>
      <c r="DZ133" s="778"/>
      <c r="EA133" s="778"/>
      <c r="EB133" s="778"/>
      <c r="EC133" s="778"/>
      <c r="ED133" s="778"/>
      <c r="EE133" s="778"/>
      <c r="EF133" s="778"/>
      <c r="EG133" s="778"/>
      <c r="EH133" s="778"/>
    </row>
    <row r="134" spans="5:138" ht="12.75" customHeight="1" x14ac:dyDescent="0.3">
      <c r="E134" s="778"/>
      <c r="F134" s="778"/>
      <c r="G134" s="778"/>
      <c r="H134" s="778"/>
      <c r="I134" s="778"/>
      <c r="J134" s="778"/>
      <c r="K134" s="778"/>
      <c r="L134" s="778"/>
      <c r="M134" s="778"/>
      <c r="N134" s="778"/>
      <c r="O134" s="778"/>
      <c r="P134" s="778"/>
      <c r="Q134" s="778"/>
      <c r="R134" s="778"/>
      <c r="S134" s="778"/>
      <c r="T134" s="778"/>
      <c r="U134" s="778"/>
      <c r="V134" s="778"/>
      <c r="W134" s="778"/>
      <c r="X134" s="778"/>
      <c r="Y134" s="778"/>
      <c r="Z134" s="778"/>
      <c r="AA134" s="778"/>
      <c r="AB134" s="778"/>
      <c r="AC134" s="778"/>
      <c r="AD134" s="778"/>
      <c r="AE134" s="778"/>
      <c r="AF134" s="778"/>
      <c r="AG134" s="778"/>
      <c r="AH134" s="778"/>
      <c r="AI134" s="778"/>
      <c r="AJ134" s="778"/>
      <c r="AK134" s="778"/>
      <c r="AL134" s="778"/>
      <c r="AM134" s="778"/>
      <c r="AN134" s="778"/>
      <c r="AO134" s="778"/>
      <c r="AP134" s="778"/>
      <c r="AQ134" s="778"/>
      <c r="AR134" s="778"/>
      <c r="AS134" s="778"/>
      <c r="AT134" s="778"/>
      <c r="AU134" s="778"/>
      <c r="AV134" s="778"/>
      <c r="AW134" s="778"/>
      <c r="AX134" s="778"/>
      <c r="AY134" s="778"/>
      <c r="AZ134" s="778"/>
      <c r="BA134" s="778"/>
      <c r="BB134" s="778"/>
      <c r="BC134" s="778"/>
      <c r="BD134" s="778"/>
      <c r="BE134" s="778"/>
      <c r="BF134" s="778"/>
      <c r="BG134" s="778"/>
      <c r="BH134" s="778"/>
      <c r="BI134" s="778"/>
      <c r="BJ134" s="778"/>
      <c r="BK134" s="778"/>
      <c r="BL134" s="778"/>
      <c r="BM134" s="778"/>
      <c r="BN134" s="778"/>
      <c r="BO134" s="778"/>
      <c r="BP134" s="778"/>
      <c r="BQ134" s="778"/>
      <c r="BR134" s="778"/>
      <c r="BS134" s="778"/>
      <c r="BT134" s="778"/>
      <c r="BU134" s="778"/>
      <c r="BV134" s="778"/>
      <c r="BW134" s="778"/>
      <c r="BX134" s="778"/>
      <c r="BY134" s="778"/>
      <c r="BZ134" s="778"/>
      <c r="CA134" s="778"/>
      <c r="CB134" s="778"/>
      <c r="CC134" s="778"/>
      <c r="CD134" s="778"/>
      <c r="CE134" s="778"/>
      <c r="CF134" s="778"/>
      <c r="CG134" s="778"/>
      <c r="CH134" s="778"/>
      <c r="CI134" s="778"/>
      <c r="CJ134" s="778"/>
      <c r="CK134" s="778"/>
      <c r="CL134" s="778"/>
      <c r="CM134" s="778"/>
      <c r="CN134" s="778"/>
      <c r="CO134" s="778"/>
      <c r="CP134" s="778"/>
      <c r="CQ134" s="778"/>
      <c r="CR134" s="778"/>
      <c r="CS134" s="778"/>
      <c r="CT134" s="778"/>
      <c r="CU134" s="778"/>
      <c r="CV134" s="778"/>
      <c r="CW134" s="778"/>
      <c r="CX134" s="778"/>
      <c r="CY134" s="778"/>
      <c r="CZ134" s="778"/>
      <c r="DA134" s="778"/>
      <c r="DB134" s="778"/>
      <c r="DC134" s="778"/>
      <c r="DD134" s="778"/>
      <c r="DE134" s="778"/>
      <c r="DF134" s="778"/>
      <c r="DG134" s="778"/>
      <c r="DH134" s="778"/>
      <c r="DI134" s="778"/>
      <c r="DJ134" s="778"/>
      <c r="DK134" s="778"/>
      <c r="DL134" s="778"/>
      <c r="DM134" s="778"/>
      <c r="DN134" s="778"/>
      <c r="DO134" s="778"/>
      <c r="DP134" s="778"/>
      <c r="DQ134" s="778"/>
      <c r="DR134" s="778"/>
      <c r="DS134" s="778"/>
      <c r="DT134" s="778"/>
      <c r="DU134" s="778"/>
      <c r="DV134" s="778"/>
      <c r="DW134" s="778"/>
      <c r="DX134" s="778"/>
      <c r="DY134" s="778"/>
      <c r="DZ134" s="778"/>
      <c r="EA134" s="778"/>
      <c r="EB134" s="778"/>
      <c r="EC134" s="778"/>
      <c r="ED134" s="778"/>
      <c r="EE134" s="778"/>
      <c r="EF134" s="778"/>
      <c r="EG134" s="778"/>
      <c r="EH134" s="778"/>
    </row>
    <row r="135" spans="5:138" ht="12.75" customHeight="1" x14ac:dyDescent="0.3">
      <c r="E135" s="778"/>
      <c r="F135" s="778"/>
      <c r="G135" s="778"/>
      <c r="H135" s="778"/>
      <c r="I135" s="778"/>
      <c r="J135" s="778"/>
      <c r="K135" s="778"/>
      <c r="L135" s="778"/>
      <c r="M135" s="778"/>
      <c r="N135" s="778"/>
      <c r="O135" s="778"/>
      <c r="P135" s="778"/>
      <c r="Q135" s="778"/>
      <c r="R135" s="778"/>
      <c r="S135" s="778"/>
      <c r="T135" s="778"/>
      <c r="U135" s="778"/>
      <c r="V135" s="778"/>
      <c r="W135" s="778"/>
      <c r="X135" s="778"/>
      <c r="Y135" s="778"/>
      <c r="Z135" s="778"/>
      <c r="AA135" s="778"/>
      <c r="AB135" s="778"/>
      <c r="AC135" s="778"/>
      <c r="AD135" s="778"/>
      <c r="AE135" s="778"/>
      <c r="AF135" s="778"/>
      <c r="AG135" s="778"/>
      <c r="AH135" s="778"/>
      <c r="AI135" s="778"/>
      <c r="AJ135" s="778"/>
      <c r="AK135" s="778"/>
      <c r="AL135" s="778"/>
      <c r="AM135" s="778"/>
      <c r="AN135" s="778"/>
      <c r="AO135" s="778"/>
      <c r="AP135" s="778"/>
      <c r="AQ135" s="778"/>
      <c r="AR135" s="778"/>
      <c r="AS135" s="778"/>
      <c r="AT135" s="778"/>
      <c r="AU135" s="778"/>
      <c r="AV135" s="778"/>
      <c r="AW135" s="778"/>
      <c r="AX135" s="778"/>
      <c r="AY135" s="778"/>
      <c r="AZ135" s="778"/>
      <c r="BA135" s="778"/>
      <c r="BB135" s="778"/>
      <c r="BC135" s="778"/>
      <c r="BD135" s="778"/>
      <c r="BE135" s="778"/>
      <c r="BF135" s="778"/>
      <c r="BG135" s="778"/>
      <c r="BH135" s="778"/>
      <c r="BI135" s="778"/>
      <c r="BJ135" s="778"/>
      <c r="BK135" s="778"/>
      <c r="BL135" s="778"/>
      <c r="BM135" s="778"/>
      <c r="BN135" s="778"/>
      <c r="BO135" s="778"/>
      <c r="BP135" s="778"/>
      <c r="BQ135" s="778"/>
      <c r="BR135" s="778"/>
      <c r="BS135" s="778"/>
      <c r="BT135" s="778"/>
      <c r="BU135" s="778"/>
      <c r="BV135" s="778"/>
      <c r="BW135" s="778"/>
      <c r="BX135" s="778"/>
      <c r="BY135" s="778"/>
      <c r="BZ135" s="778"/>
      <c r="CA135" s="778"/>
      <c r="CB135" s="778"/>
      <c r="CC135" s="778"/>
      <c r="CD135" s="778"/>
      <c r="CE135" s="778"/>
      <c r="CF135" s="778"/>
      <c r="CG135" s="778"/>
      <c r="CH135" s="778"/>
      <c r="CI135" s="778"/>
      <c r="CJ135" s="778"/>
      <c r="CK135" s="778"/>
      <c r="CL135" s="778"/>
      <c r="CM135" s="778"/>
      <c r="CN135" s="778"/>
      <c r="CO135" s="778"/>
      <c r="CP135" s="778"/>
      <c r="CQ135" s="778"/>
      <c r="CR135" s="778"/>
      <c r="CS135" s="778"/>
      <c r="CT135" s="778"/>
      <c r="CU135" s="778"/>
      <c r="CV135" s="778"/>
      <c r="CW135" s="778"/>
      <c r="CX135" s="778"/>
      <c r="CY135" s="778"/>
      <c r="CZ135" s="778"/>
      <c r="DA135" s="778"/>
      <c r="DB135" s="778"/>
      <c r="DC135" s="778"/>
      <c r="DD135" s="778"/>
      <c r="DE135" s="778"/>
      <c r="DF135" s="778"/>
      <c r="DG135" s="778"/>
      <c r="DH135" s="778"/>
      <c r="DI135" s="778"/>
      <c r="DJ135" s="778"/>
      <c r="DK135" s="778"/>
      <c r="DL135" s="778"/>
      <c r="DM135" s="778"/>
      <c r="DN135" s="778"/>
      <c r="DO135" s="778"/>
      <c r="DP135" s="778"/>
      <c r="DQ135" s="778"/>
      <c r="DR135" s="778"/>
      <c r="DS135" s="778"/>
      <c r="DT135" s="778"/>
      <c r="DU135" s="778"/>
      <c r="DV135" s="778"/>
      <c r="DW135" s="778"/>
      <c r="DX135" s="778"/>
      <c r="DY135" s="778"/>
      <c r="DZ135" s="778"/>
      <c r="EA135" s="778"/>
      <c r="EB135" s="778"/>
      <c r="EC135" s="778"/>
      <c r="ED135" s="778"/>
      <c r="EE135" s="778"/>
      <c r="EF135" s="778"/>
      <c r="EG135" s="778"/>
      <c r="EH135" s="778"/>
    </row>
    <row r="136" spans="5:138" ht="12.75" customHeight="1" x14ac:dyDescent="0.3">
      <c r="E136" s="778"/>
      <c r="F136" s="778"/>
      <c r="G136" s="778"/>
      <c r="H136" s="778"/>
      <c r="I136" s="778"/>
      <c r="J136" s="778"/>
      <c r="K136" s="778"/>
      <c r="L136" s="778"/>
      <c r="M136" s="778"/>
      <c r="N136" s="778"/>
      <c r="O136" s="778"/>
      <c r="P136" s="778"/>
      <c r="Q136" s="778"/>
      <c r="R136" s="778"/>
      <c r="S136" s="778"/>
      <c r="T136" s="778"/>
      <c r="U136" s="778"/>
      <c r="V136" s="778"/>
      <c r="W136" s="778"/>
      <c r="X136" s="778"/>
      <c r="Y136" s="778"/>
      <c r="Z136" s="778"/>
      <c r="AA136" s="778"/>
      <c r="AB136" s="778"/>
      <c r="AC136" s="778"/>
      <c r="AD136" s="778"/>
      <c r="AE136" s="778"/>
      <c r="AF136" s="778"/>
      <c r="AG136" s="778"/>
      <c r="AH136" s="778"/>
      <c r="AI136" s="778"/>
      <c r="AJ136" s="778"/>
      <c r="AK136" s="778"/>
      <c r="AL136" s="778"/>
      <c r="AM136" s="778"/>
      <c r="AN136" s="778"/>
      <c r="AO136" s="778"/>
      <c r="AP136" s="778"/>
      <c r="AQ136" s="778"/>
      <c r="AR136" s="778"/>
      <c r="AS136" s="778"/>
      <c r="AT136" s="778"/>
      <c r="AU136" s="778"/>
      <c r="AV136" s="778"/>
      <c r="AW136" s="778"/>
      <c r="AX136" s="778"/>
      <c r="AY136" s="778"/>
      <c r="AZ136" s="778"/>
      <c r="BA136" s="778"/>
      <c r="BB136" s="778"/>
      <c r="BC136" s="778"/>
      <c r="BD136" s="778"/>
      <c r="BE136" s="778"/>
      <c r="BF136" s="778"/>
      <c r="BG136" s="778"/>
      <c r="BH136" s="778"/>
      <c r="BI136" s="778"/>
      <c r="BJ136" s="778"/>
      <c r="BK136" s="778"/>
      <c r="BL136" s="778"/>
      <c r="BM136" s="778"/>
      <c r="BN136" s="778"/>
      <c r="BO136" s="778"/>
      <c r="BP136" s="778"/>
      <c r="BQ136" s="778"/>
      <c r="BR136" s="778"/>
      <c r="BS136" s="778"/>
      <c r="BT136" s="778"/>
      <c r="BU136" s="778"/>
      <c r="BV136" s="778"/>
      <c r="BW136" s="778"/>
      <c r="BX136" s="778"/>
      <c r="BY136" s="778"/>
      <c r="BZ136" s="778"/>
      <c r="CA136" s="778"/>
      <c r="CB136" s="778"/>
      <c r="CC136" s="778"/>
      <c r="CD136" s="778"/>
      <c r="CE136" s="778"/>
      <c r="CF136" s="778"/>
      <c r="CG136" s="778"/>
      <c r="CH136" s="778"/>
      <c r="CI136" s="778"/>
      <c r="CJ136" s="778"/>
      <c r="CK136" s="778"/>
      <c r="CL136" s="778"/>
      <c r="CM136" s="778"/>
      <c r="CN136" s="778"/>
      <c r="CO136" s="778"/>
      <c r="CP136" s="778"/>
      <c r="CQ136" s="778"/>
      <c r="CR136" s="778"/>
      <c r="CS136" s="778"/>
      <c r="CT136" s="778"/>
      <c r="CU136" s="778"/>
      <c r="CV136" s="778"/>
      <c r="CW136" s="778"/>
      <c r="CX136" s="778"/>
      <c r="CY136" s="778"/>
      <c r="CZ136" s="778"/>
      <c r="DA136" s="778"/>
      <c r="DB136" s="778"/>
      <c r="DC136" s="778"/>
      <c r="DD136" s="778"/>
      <c r="DE136" s="778"/>
      <c r="DF136" s="778"/>
      <c r="DG136" s="778"/>
      <c r="DH136" s="778"/>
      <c r="DI136" s="778"/>
      <c r="DJ136" s="778"/>
      <c r="DK136" s="778"/>
      <c r="DL136" s="778"/>
      <c r="DM136" s="778"/>
      <c r="DN136" s="778"/>
      <c r="DO136" s="778"/>
      <c r="DP136" s="778"/>
      <c r="DQ136" s="778"/>
      <c r="DR136" s="778"/>
      <c r="DS136" s="778"/>
      <c r="DT136" s="778"/>
      <c r="DU136" s="778"/>
      <c r="DV136" s="778"/>
      <c r="DW136" s="778"/>
      <c r="DX136" s="778"/>
      <c r="DY136" s="778"/>
      <c r="DZ136" s="778"/>
      <c r="EA136" s="778"/>
      <c r="EB136" s="778"/>
      <c r="EC136" s="778"/>
      <c r="ED136" s="778"/>
      <c r="EE136" s="778"/>
      <c r="EF136" s="778"/>
      <c r="EG136" s="778"/>
      <c r="EH136" s="778"/>
    </row>
    <row r="137" spans="5:138" ht="12.75" customHeight="1" x14ac:dyDescent="0.3">
      <c r="E137" s="778"/>
      <c r="F137" s="778"/>
      <c r="G137" s="778"/>
      <c r="H137" s="778"/>
      <c r="I137" s="778"/>
      <c r="J137" s="778"/>
      <c r="K137" s="778"/>
      <c r="L137" s="778"/>
      <c r="M137" s="778"/>
      <c r="N137" s="778"/>
      <c r="O137" s="778"/>
      <c r="P137" s="778"/>
      <c r="Q137" s="778"/>
      <c r="R137" s="778"/>
      <c r="S137" s="778"/>
      <c r="T137" s="778"/>
      <c r="U137" s="778"/>
      <c r="V137" s="778"/>
      <c r="W137" s="778"/>
      <c r="X137" s="778"/>
      <c r="Y137" s="778"/>
      <c r="Z137" s="778"/>
      <c r="AA137" s="778"/>
      <c r="AB137" s="778"/>
      <c r="AC137" s="778"/>
      <c r="AD137" s="778"/>
      <c r="AE137" s="778"/>
      <c r="AF137" s="778"/>
      <c r="AG137" s="778"/>
      <c r="AH137" s="778"/>
      <c r="AI137" s="778"/>
      <c r="AJ137" s="778"/>
      <c r="AK137" s="778"/>
      <c r="AL137" s="778"/>
      <c r="AM137" s="778"/>
      <c r="AN137" s="778"/>
      <c r="AO137" s="778"/>
      <c r="AP137" s="778"/>
      <c r="AQ137" s="778"/>
      <c r="AR137" s="778"/>
      <c r="AS137" s="778"/>
      <c r="AT137" s="778"/>
      <c r="AU137" s="778"/>
      <c r="AV137" s="778"/>
      <c r="AW137" s="778"/>
      <c r="AX137" s="778"/>
      <c r="AY137" s="778"/>
      <c r="AZ137" s="778"/>
      <c r="BA137" s="778"/>
      <c r="BB137" s="778"/>
      <c r="BC137" s="778"/>
      <c r="BD137" s="778"/>
      <c r="BE137" s="778"/>
      <c r="BF137" s="778"/>
      <c r="BG137" s="778"/>
      <c r="BH137" s="778"/>
      <c r="BI137" s="778"/>
      <c r="BJ137" s="778"/>
      <c r="BK137" s="778"/>
      <c r="BL137" s="778"/>
      <c r="BM137" s="778"/>
      <c r="BN137" s="778"/>
      <c r="BO137" s="778"/>
      <c r="BP137" s="778"/>
      <c r="BQ137" s="778"/>
      <c r="BR137" s="778"/>
      <c r="BS137" s="778"/>
      <c r="BT137" s="778"/>
      <c r="BU137" s="778"/>
      <c r="BV137" s="778"/>
      <c r="BW137" s="778"/>
      <c r="BX137" s="778"/>
      <c r="BY137" s="778"/>
      <c r="BZ137" s="778"/>
      <c r="CA137" s="778"/>
      <c r="CB137" s="778"/>
      <c r="CC137" s="778"/>
      <c r="CD137" s="778"/>
      <c r="CE137" s="778"/>
      <c r="CF137" s="778"/>
      <c r="CG137" s="778"/>
      <c r="CH137" s="778"/>
      <c r="CI137" s="778"/>
      <c r="CJ137" s="778"/>
      <c r="CK137" s="778"/>
      <c r="CL137" s="778"/>
      <c r="CM137" s="778"/>
      <c r="CN137" s="778"/>
      <c r="CO137" s="778"/>
      <c r="CP137" s="778"/>
      <c r="CQ137" s="778"/>
      <c r="CR137" s="778"/>
      <c r="CS137" s="778"/>
      <c r="CT137" s="778"/>
      <c r="CU137" s="778"/>
      <c r="CV137" s="778"/>
      <c r="CW137" s="778"/>
      <c r="CX137" s="778"/>
      <c r="CY137" s="778"/>
      <c r="CZ137" s="778"/>
      <c r="DA137" s="778"/>
      <c r="DB137" s="778"/>
      <c r="DC137" s="778"/>
      <c r="DD137" s="778"/>
      <c r="DE137" s="778"/>
      <c r="DF137" s="778"/>
      <c r="DG137" s="778"/>
      <c r="DH137" s="778"/>
      <c r="DI137" s="778"/>
      <c r="DJ137" s="778"/>
      <c r="DK137" s="778"/>
      <c r="DL137" s="778"/>
      <c r="DM137" s="778"/>
      <c r="DN137" s="778"/>
      <c r="DO137" s="778"/>
      <c r="DP137" s="778"/>
      <c r="DQ137" s="778"/>
      <c r="DR137" s="778"/>
      <c r="DS137" s="778"/>
      <c r="DT137" s="778"/>
      <c r="DU137" s="778"/>
      <c r="DV137" s="778"/>
      <c r="DW137" s="778"/>
      <c r="DX137" s="778"/>
      <c r="DY137" s="778"/>
      <c r="DZ137" s="778"/>
      <c r="EA137" s="778"/>
      <c r="EB137" s="778"/>
      <c r="EC137" s="778"/>
      <c r="ED137" s="778"/>
      <c r="EE137" s="778"/>
      <c r="EF137" s="778"/>
      <c r="EG137" s="778"/>
      <c r="EH137" s="778"/>
    </row>
    <row r="138" spans="5:138" ht="12.75" customHeight="1" x14ac:dyDescent="0.3">
      <c r="E138" s="778"/>
      <c r="F138" s="778"/>
      <c r="G138" s="778"/>
      <c r="H138" s="778"/>
      <c r="I138" s="778"/>
      <c r="J138" s="778"/>
      <c r="K138" s="778"/>
      <c r="L138" s="778"/>
      <c r="M138" s="778"/>
      <c r="N138" s="778"/>
      <c r="O138" s="778"/>
      <c r="P138" s="778"/>
      <c r="Q138" s="778"/>
      <c r="R138" s="778"/>
      <c r="S138" s="778"/>
      <c r="T138" s="778"/>
      <c r="U138" s="778"/>
      <c r="V138" s="778"/>
      <c r="W138" s="778"/>
      <c r="X138" s="778"/>
      <c r="Y138" s="778"/>
      <c r="Z138" s="778"/>
      <c r="AA138" s="778"/>
      <c r="AB138" s="778"/>
      <c r="AC138" s="778"/>
      <c r="AD138" s="778"/>
      <c r="AE138" s="778"/>
      <c r="AF138" s="778"/>
      <c r="AG138" s="778"/>
      <c r="AH138" s="778"/>
      <c r="AI138" s="778"/>
      <c r="AJ138" s="778"/>
      <c r="AK138" s="778"/>
      <c r="AL138" s="778"/>
      <c r="AM138" s="778"/>
      <c r="AN138" s="778"/>
      <c r="AO138" s="778"/>
      <c r="AP138" s="778"/>
      <c r="AQ138" s="778"/>
      <c r="AR138" s="778"/>
      <c r="AS138" s="778"/>
      <c r="AT138" s="778"/>
      <c r="AU138" s="778"/>
      <c r="AV138" s="778"/>
      <c r="AW138" s="778"/>
      <c r="AX138" s="778"/>
      <c r="AY138" s="778"/>
      <c r="AZ138" s="778"/>
      <c r="BA138" s="778"/>
      <c r="BB138" s="778"/>
      <c r="BC138" s="778"/>
      <c r="BD138" s="778"/>
      <c r="BE138" s="778"/>
      <c r="BF138" s="778"/>
      <c r="BG138" s="778"/>
      <c r="BH138" s="778"/>
      <c r="BI138" s="778"/>
      <c r="BJ138" s="778"/>
      <c r="BK138" s="778"/>
      <c r="BL138" s="778"/>
      <c r="BM138" s="778"/>
      <c r="BN138" s="778"/>
      <c r="BO138" s="778"/>
      <c r="BP138" s="778"/>
      <c r="BQ138" s="778"/>
      <c r="BR138" s="778"/>
      <c r="BS138" s="778"/>
      <c r="BT138" s="778"/>
      <c r="BU138" s="778"/>
      <c r="BV138" s="778"/>
      <c r="BW138" s="778"/>
      <c r="BX138" s="778"/>
      <c r="BY138" s="778"/>
      <c r="BZ138" s="778"/>
      <c r="CA138" s="778"/>
      <c r="CB138" s="778"/>
      <c r="CC138" s="778"/>
      <c r="CD138" s="778"/>
      <c r="CE138" s="778"/>
      <c r="CF138" s="778"/>
      <c r="CG138" s="778"/>
      <c r="CH138" s="778"/>
      <c r="CI138" s="778"/>
      <c r="CJ138" s="778"/>
      <c r="CK138" s="778"/>
      <c r="CL138" s="778"/>
      <c r="CM138" s="778"/>
      <c r="CN138" s="778"/>
      <c r="CO138" s="778"/>
      <c r="CP138" s="778"/>
      <c r="CQ138" s="778"/>
      <c r="CR138" s="778"/>
      <c r="CS138" s="778"/>
      <c r="CT138" s="778"/>
      <c r="CU138" s="778"/>
      <c r="CV138" s="778"/>
      <c r="CW138" s="778"/>
      <c r="CX138" s="778"/>
      <c r="CY138" s="778"/>
      <c r="CZ138" s="778"/>
      <c r="DA138" s="778"/>
      <c r="DB138" s="778"/>
      <c r="DC138" s="778"/>
      <c r="DD138" s="778"/>
      <c r="DE138" s="778"/>
      <c r="DF138" s="778"/>
      <c r="DG138" s="778"/>
      <c r="DH138" s="778"/>
      <c r="DI138" s="778"/>
      <c r="DJ138" s="778"/>
      <c r="DK138" s="778"/>
      <c r="DL138" s="778"/>
      <c r="DM138" s="778"/>
      <c r="DN138" s="778"/>
      <c r="DO138" s="778"/>
      <c r="DP138" s="778"/>
      <c r="DQ138" s="778"/>
      <c r="DR138" s="778"/>
      <c r="DS138" s="778"/>
      <c r="DT138" s="778"/>
      <c r="DU138" s="778"/>
      <c r="DV138" s="778"/>
      <c r="DW138" s="778"/>
      <c r="DX138" s="778"/>
      <c r="DY138" s="778"/>
      <c r="DZ138" s="778"/>
      <c r="EA138" s="778"/>
      <c r="EB138" s="778"/>
      <c r="EC138" s="778"/>
      <c r="ED138" s="778"/>
      <c r="EE138" s="778"/>
      <c r="EF138" s="778"/>
      <c r="EG138" s="778"/>
      <c r="EH138" s="778"/>
    </row>
    <row r="139" spans="5:138" ht="12.75" customHeight="1" x14ac:dyDescent="0.3">
      <c r="E139" s="778"/>
      <c r="F139" s="778"/>
      <c r="G139" s="778"/>
      <c r="H139" s="778"/>
      <c r="I139" s="778"/>
      <c r="J139" s="778"/>
      <c r="K139" s="778"/>
      <c r="L139" s="778"/>
      <c r="M139" s="778"/>
      <c r="N139" s="778"/>
      <c r="O139" s="778"/>
      <c r="P139" s="778"/>
      <c r="Q139" s="778"/>
      <c r="R139" s="778"/>
      <c r="S139" s="778"/>
      <c r="T139" s="778"/>
      <c r="U139" s="778"/>
      <c r="V139" s="778"/>
      <c r="W139" s="778"/>
      <c r="X139" s="778"/>
      <c r="Y139" s="778"/>
      <c r="Z139" s="778"/>
      <c r="AA139" s="778"/>
      <c r="AB139" s="778"/>
      <c r="AC139" s="778"/>
      <c r="AD139" s="778"/>
      <c r="AE139" s="778"/>
      <c r="AF139" s="778"/>
      <c r="AG139" s="778"/>
      <c r="AH139" s="778"/>
      <c r="AI139" s="778"/>
      <c r="AJ139" s="778"/>
      <c r="AK139" s="778"/>
      <c r="AL139" s="778"/>
      <c r="AM139" s="778"/>
      <c r="AN139" s="778"/>
      <c r="AO139" s="778"/>
      <c r="AP139" s="778"/>
      <c r="AQ139" s="778"/>
      <c r="AR139" s="778"/>
      <c r="AS139" s="778"/>
      <c r="AT139" s="778"/>
      <c r="AU139" s="778"/>
      <c r="AV139" s="778"/>
      <c r="AW139" s="778"/>
      <c r="AX139" s="778"/>
      <c r="AY139" s="778"/>
      <c r="AZ139" s="778"/>
      <c r="BA139" s="778"/>
      <c r="BB139" s="778"/>
      <c r="BC139" s="778"/>
      <c r="BD139" s="778"/>
      <c r="BE139" s="778"/>
      <c r="BF139" s="778"/>
      <c r="BG139" s="778"/>
      <c r="BH139" s="778"/>
      <c r="BI139" s="778"/>
      <c r="BJ139" s="778"/>
      <c r="BK139" s="778"/>
      <c r="BL139" s="778"/>
      <c r="BM139" s="778"/>
      <c r="BN139" s="778"/>
      <c r="BO139" s="778"/>
      <c r="BP139" s="778"/>
      <c r="BQ139" s="778"/>
      <c r="BR139" s="778"/>
      <c r="BS139" s="778"/>
      <c r="BT139" s="778"/>
      <c r="BU139" s="778"/>
      <c r="BV139" s="778"/>
      <c r="BW139" s="778"/>
      <c r="BX139" s="778"/>
      <c r="BY139" s="778"/>
      <c r="BZ139" s="778"/>
      <c r="CA139" s="778"/>
      <c r="CB139" s="778"/>
      <c r="CC139" s="778"/>
      <c r="CD139" s="778"/>
      <c r="CE139" s="778"/>
      <c r="CF139" s="778"/>
      <c r="CG139" s="778"/>
      <c r="CH139" s="778"/>
      <c r="CI139" s="778"/>
      <c r="CJ139" s="778"/>
      <c r="CK139" s="778"/>
      <c r="CL139" s="778"/>
      <c r="CM139" s="778"/>
      <c r="CN139" s="778"/>
      <c r="CO139" s="778"/>
      <c r="CP139" s="778"/>
      <c r="CQ139" s="778"/>
      <c r="CR139" s="778"/>
      <c r="CS139" s="778"/>
      <c r="CT139" s="778"/>
      <c r="CU139" s="778"/>
      <c r="CV139" s="778"/>
      <c r="CW139" s="778"/>
      <c r="CX139" s="778"/>
      <c r="CY139" s="778"/>
      <c r="CZ139" s="778"/>
      <c r="DA139" s="778"/>
      <c r="DB139" s="778"/>
      <c r="DC139" s="778"/>
      <c r="DD139" s="778"/>
      <c r="DE139" s="778"/>
      <c r="DF139" s="778"/>
      <c r="DG139" s="778"/>
      <c r="DH139" s="778"/>
      <c r="DI139" s="778"/>
      <c r="DJ139" s="778"/>
      <c r="DK139" s="778"/>
      <c r="DL139" s="778"/>
      <c r="DM139" s="778"/>
      <c r="DN139" s="778"/>
      <c r="DO139" s="778"/>
      <c r="DP139" s="778"/>
      <c r="DQ139" s="778"/>
      <c r="DR139" s="778"/>
      <c r="DS139" s="778"/>
      <c r="DT139" s="778"/>
      <c r="DU139" s="778"/>
      <c r="DV139" s="778"/>
      <c r="DW139" s="778"/>
      <c r="DX139" s="778"/>
      <c r="DY139" s="778"/>
      <c r="DZ139" s="778"/>
      <c r="EA139" s="778"/>
      <c r="EB139" s="778"/>
      <c r="EC139" s="778"/>
      <c r="ED139" s="778"/>
      <c r="EE139" s="778"/>
      <c r="EF139" s="778"/>
      <c r="EG139" s="778"/>
      <c r="EH139" s="778"/>
    </row>
    <row r="140" spans="5:138" ht="12.75" customHeight="1" x14ac:dyDescent="0.3">
      <c r="E140" s="778"/>
      <c r="F140" s="778"/>
      <c r="G140" s="778"/>
      <c r="H140" s="778"/>
      <c r="I140" s="778"/>
      <c r="J140" s="778"/>
      <c r="K140" s="778"/>
      <c r="L140" s="778"/>
      <c r="M140" s="778"/>
      <c r="N140" s="778"/>
      <c r="O140" s="778"/>
      <c r="P140" s="778"/>
      <c r="Q140" s="778"/>
      <c r="R140" s="778"/>
      <c r="S140" s="778"/>
      <c r="T140" s="778"/>
      <c r="U140" s="778"/>
      <c r="V140" s="778"/>
      <c r="W140" s="778"/>
      <c r="X140" s="778"/>
      <c r="Y140" s="778"/>
      <c r="Z140" s="778"/>
      <c r="AA140" s="778"/>
      <c r="AB140" s="778"/>
      <c r="AC140" s="778"/>
      <c r="AD140" s="778"/>
      <c r="AE140" s="778"/>
      <c r="AF140" s="778"/>
      <c r="AG140" s="778"/>
      <c r="AH140" s="778"/>
      <c r="AI140" s="778"/>
      <c r="AJ140" s="778"/>
      <c r="AK140" s="778"/>
      <c r="AL140" s="778"/>
      <c r="AM140" s="778"/>
      <c r="AN140" s="778"/>
      <c r="AO140" s="778"/>
      <c r="AP140" s="778"/>
      <c r="AQ140" s="778"/>
      <c r="AR140" s="778"/>
      <c r="AS140" s="778"/>
      <c r="AT140" s="778"/>
      <c r="AU140" s="778"/>
      <c r="AV140" s="778"/>
      <c r="AW140" s="778"/>
      <c r="AX140" s="778"/>
      <c r="AY140" s="778"/>
      <c r="AZ140" s="778"/>
      <c r="BA140" s="778"/>
      <c r="BB140" s="778"/>
      <c r="BC140" s="778"/>
      <c r="BD140" s="778"/>
      <c r="BE140" s="778"/>
      <c r="BF140" s="778"/>
      <c r="BG140" s="778"/>
      <c r="BH140" s="778"/>
      <c r="BI140" s="778"/>
      <c r="BJ140" s="778"/>
      <c r="BK140" s="778"/>
      <c r="BL140" s="778"/>
      <c r="BM140" s="778"/>
      <c r="BN140" s="778"/>
      <c r="BO140" s="778"/>
      <c r="BP140" s="778"/>
      <c r="BQ140" s="778"/>
      <c r="BR140" s="778"/>
      <c r="BS140" s="778"/>
      <c r="BT140" s="778"/>
      <c r="BU140" s="778"/>
      <c r="BV140" s="778"/>
      <c r="BW140" s="778"/>
      <c r="BX140" s="778"/>
      <c r="BY140" s="778"/>
      <c r="BZ140" s="778"/>
      <c r="CA140" s="778"/>
      <c r="CB140" s="778"/>
      <c r="CC140" s="778"/>
      <c r="CD140" s="778"/>
      <c r="CE140" s="778"/>
      <c r="CF140" s="778"/>
      <c r="CG140" s="778"/>
      <c r="CH140" s="778"/>
      <c r="CI140" s="778"/>
      <c r="CJ140" s="778"/>
      <c r="CK140" s="778"/>
      <c r="CL140" s="778"/>
      <c r="CM140" s="778"/>
      <c r="CN140" s="778"/>
      <c r="CO140" s="778"/>
      <c r="CP140" s="778"/>
      <c r="CQ140" s="778"/>
      <c r="CR140" s="778"/>
      <c r="CS140" s="778"/>
      <c r="CT140" s="778"/>
      <c r="CU140" s="778"/>
      <c r="CV140" s="778"/>
      <c r="CW140" s="778"/>
      <c r="CX140" s="778"/>
      <c r="CY140" s="778"/>
      <c r="CZ140" s="778"/>
      <c r="DA140" s="778"/>
      <c r="DB140" s="778"/>
      <c r="DC140" s="778"/>
      <c r="DD140" s="778"/>
      <c r="DE140" s="778"/>
      <c r="DF140" s="778"/>
      <c r="DG140" s="778"/>
      <c r="DH140" s="778"/>
      <c r="DI140" s="778"/>
      <c r="DJ140" s="778"/>
      <c r="DK140" s="778"/>
      <c r="DL140" s="778"/>
      <c r="DM140" s="778"/>
      <c r="DN140" s="778"/>
      <c r="DO140" s="778"/>
      <c r="DP140" s="778"/>
      <c r="DQ140" s="778"/>
      <c r="DR140" s="778"/>
      <c r="DS140" s="778"/>
      <c r="DT140" s="778"/>
      <c r="DU140" s="778"/>
      <c r="DV140" s="778"/>
      <c r="DW140" s="778"/>
      <c r="DX140" s="778"/>
      <c r="DY140" s="778"/>
      <c r="DZ140" s="778"/>
      <c r="EA140" s="778"/>
      <c r="EB140" s="778"/>
      <c r="EC140" s="778"/>
      <c r="ED140" s="778"/>
      <c r="EE140" s="778"/>
      <c r="EF140" s="778"/>
      <c r="EG140" s="778"/>
      <c r="EH140" s="778"/>
    </row>
    <row r="141" spans="5:138" ht="12.75" customHeight="1" x14ac:dyDescent="0.3">
      <c r="E141" s="778"/>
      <c r="F141" s="778"/>
      <c r="G141" s="778"/>
      <c r="H141" s="778"/>
      <c r="I141" s="778"/>
      <c r="J141" s="778"/>
      <c r="K141" s="778"/>
      <c r="L141" s="778"/>
      <c r="M141" s="778"/>
      <c r="N141" s="778"/>
      <c r="O141" s="778"/>
      <c r="P141" s="778"/>
      <c r="Q141" s="778"/>
      <c r="R141" s="778"/>
      <c r="S141" s="778"/>
      <c r="T141" s="778"/>
      <c r="U141" s="778"/>
      <c r="V141" s="778"/>
      <c r="W141" s="778"/>
      <c r="X141" s="778"/>
      <c r="Y141" s="778"/>
      <c r="Z141" s="778"/>
      <c r="AA141" s="778"/>
      <c r="AB141" s="778"/>
      <c r="AC141" s="778"/>
      <c r="AD141" s="778"/>
      <c r="AE141" s="778"/>
      <c r="AF141" s="778"/>
      <c r="AG141" s="778"/>
      <c r="AH141" s="778"/>
      <c r="AI141" s="778"/>
      <c r="AJ141" s="778"/>
      <c r="AK141" s="778"/>
      <c r="AL141" s="778"/>
      <c r="AM141" s="778"/>
      <c r="AN141" s="778"/>
      <c r="AO141" s="778"/>
      <c r="AP141" s="778"/>
      <c r="AQ141" s="778"/>
      <c r="AR141" s="778"/>
      <c r="AS141" s="778"/>
      <c r="AT141" s="778"/>
      <c r="AU141" s="778"/>
      <c r="AV141" s="778"/>
      <c r="AW141" s="778"/>
      <c r="AX141" s="778"/>
      <c r="AY141" s="778"/>
      <c r="AZ141" s="778"/>
      <c r="BA141" s="778"/>
      <c r="BB141" s="778"/>
      <c r="BC141" s="778"/>
      <c r="BD141" s="778"/>
      <c r="BE141" s="778"/>
      <c r="BF141" s="778"/>
      <c r="BG141" s="778"/>
      <c r="BH141" s="778"/>
      <c r="BI141" s="778"/>
      <c r="BJ141" s="778"/>
      <c r="BK141" s="778"/>
      <c r="BL141" s="778"/>
      <c r="BM141" s="778"/>
      <c r="BN141" s="778"/>
      <c r="BO141" s="778"/>
      <c r="BP141" s="778"/>
      <c r="BQ141" s="778"/>
      <c r="BR141" s="778"/>
      <c r="BS141" s="778"/>
      <c r="BT141" s="778"/>
      <c r="BU141" s="778"/>
      <c r="BV141" s="778"/>
      <c r="BW141" s="778"/>
      <c r="BX141" s="778"/>
      <c r="BY141" s="778"/>
      <c r="BZ141" s="778"/>
      <c r="CA141" s="778"/>
      <c r="CB141" s="778"/>
      <c r="CC141" s="778"/>
      <c r="CD141" s="778"/>
      <c r="CE141" s="778"/>
      <c r="CF141" s="778"/>
      <c r="CG141" s="778"/>
      <c r="CH141" s="778"/>
      <c r="CI141" s="778"/>
      <c r="CJ141" s="778"/>
      <c r="CK141" s="778"/>
      <c r="CL141" s="778"/>
      <c r="CM141" s="778"/>
      <c r="CN141" s="778"/>
      <c r="CO141" s="778"/>
      <c r="CP141" s="778"/>
      <c r="CQ141" s="778"/>
      <c r="CR141" s="778"/>
      <c r="CS141" s="778"/>
      <c r="CT141" s="778"/>
      <c r="CU141" s="778"/>
      <c r="CV141" s="778"/>
      <c r="CW141" s="778"/>
      <c r="CX141" s="778"/>
      <c r="CY141" s="778"/>
      <c r="CZ141" s="778"/>
      <c r="DA141" s="778"/>
      <c r="DB141" s="778"/>
      <c r="DC141" s="778"/>
      <c r="DD141" s="778"/>
      <c r="DE141" s="778"/>
      <c r="DF141" s="778"/>
      <c r="DG141" s="778"/>
      <c r="DH141" s="778"/>
      <c r="DI141" s="778"/>
      <c r="DJ141" s="778"/>
      <c r="DK141" s="778"/>
      <c r="DL141" s="778"/>
      <c r="DM141" s="778"/>
      <c r="DN141" s="778"/>
      <c r="DO141" s="778"/>
      <c r="DP141" s="778"/>
      <c r="DQ141" s="778"/>
      <c r="DR141" s="778"/>
      <c r="DS141" s="778"/>
      <c r="DT141" s="778"/>
      <c r="DU141" s="778"/>
      <c r="DV141" s="778"/>
      <c r="DW141" s="778"/>
      <c r="DX141" s="778"/>
      <c r="DY141" s="778"/>
      <c r="DZ141" s="778"/>
      <c r="EA141" s="778"/>
      <c r="EB141" s="778"/>
      <c r="EC141" s="778"/>
      <c r="ED141" s="778"/>
      <c r="EE141" s="778"/>
      <c r="EF141" s="778"/>
      <c r="EG141" s="778"/>
      <c r="EH141" s="778"/>
    </row>
    <row r="142" spans="5:138" ht="12.75" customHeight="1" x14ac:dyDescent="0.3">
      <c r="E142" s="778"/>
      <c r="F142" s="778"/>
      <c r="G142" s="778"/>
      <c r="H142" s="778"/>
      <c r="I142" s="778"/>
      <c r="J142" s="778"/>
      <c r="K142" s="778"/>
      <c r="L142" s="778"/>
      <c r="M142" s="778"/>
      <c r="N142" s="778"/>
      <c r="O142" s="778"/>
      <c r="P142" s="778"/>
      <c r="Q142" s="778"/>
      <c r="R142" s="778"/>
      <c r="S142" s="778"/>
      <c r="T142" s="778"/>
      <c r="U142" s="778"/>
      <c r="V142" s="778"/>
      <c r="W142" s="778"/>
      <c r="X142" s="778"/>
      <c r="Y142" s="778"/>
      <c r="Z142" s="778"/>
      <c r="AA142" s="778"/>
      <c r="AB142" s="778"/>
      <c r="AC142" s="778"/>
      <c r="AD142" s="778"/>
      <c r="AE142" s="778"/>
      <c r="AF142" s="778"/>
      <c r="AG142" s="778"/>
      <c r="AH142" s="778"/>
      <c r="AI142" s="778"/>
      <c r="AJ142" s="778"/>
      <c r="AK142" s="778"/>
      <c r="AL142" s="778"/>
      <c r="AM142" s="778"/>
      <c r="AN142" s="778"/>
      <c r="AO142" s="778"/>
      <c r="AP142" s="778"/>
      <c r="AQ142" s="778"/>
      <c r="AR142" s="778"/>
      <c r="AS142" s="778"/>
      <c r="AT142" s="778"/>
      <c r="AU142" s="778"/>
      <c r="AV142" s="778"/>
      <c r="AW142" s="778"/>
      <c r="AX142" s="778"/>
      <c r="AY142" s="778"/>
      <c r="AZ142" s="778"/>
      <c r="BA142" s="778"/>
      <c r="BB142" s="778"/>
      <c r="BC142" s="778"/>
      <c r="BD142" s="778"/>
      <c r="BE142" s="778"/>
      <c r="BF142" s="778"/>
      <c r="BG142" s="778"/>
      <c r="BH142" s="778"/>
      <c r="BI142" s="778"/>
      <c r="BJ142" s="778"/>
      <c r="BK142" s="778"/>
      <c r="BL142" s="778"/>
      <c r="BM142" s="778"/>
      <c r="BN142" s="778"/>
      <c r="BO142" s="778"/>
      <c r="BP142" s="778"/>
      <c r="BQ142" s="778"/>
      <c r="BR142" s="778"/>
      <c r="BS142" s="778"/>
      <c r="BT142" s="778"/>
      <c r="BU142" s="778"/>
      <c r="BV142" s="778"/>
      <c r="BW142" s="778"/>
      <c r="BX142" s="778"/>
      <c r="BY142" s="778"/>
      <c r="BZ142" s="778"/>
      <c r="CA142" s="778"/>
      <c r="CB142" s="778"/>
      <c r="CC142" s="778"/>
      <c r="CD142" s="778"/>
      <c r="CE142" s="778"/>
      <c r="CF142" s="778"/>
      <c r="CG142" s="778"/>
      <c r="CH142" s="778"/>
      <c r="CI142" s="778"/>
      <c r="CJ142" s="778"/>
      <c r="CK142" s="778"/>
      <c r="CL142" s="778"/>
      <c r="CM142" s="778"/>
      <c r="CN142" s="778"/>
      <c r="CO142" s="778"/>
      <c r="CP142" s="778"/>
      <c r="CQ142" s="778"/>
      <c r="CR142" s="778"/>
      <c r="CS142" s="778"/>
      <c r="CT142" s="778"/>
      <c r="CU142" s="778"/>
      <c r="CV142" s="778"/>
      <c r="CW142" s="778"/>
      <c r="CX142" s="778"/>
      <c r="CY142" s="778"/>
      <c r="CZ142" s="778"/>
      <c r="DA142" s="778"/>
      <c r="DB142" s="778"/>
      <c r="DC142" s="778"/>
      <c r="DD142" s="778"/>
      <c r="DE142" s="778"/>
      <c r="DF142" s="778"/>
      <c r="DG142" s="778"/>
      <c r="DH142" s="778"/>
      <c r="DI142" s="778"/>
      <c r="DJ142" s="778"/>
      <c r="DK142" s="778"/>
      <c r="DL142" s="778"/>
      <c r="DM142" s="778"/>
      <c r="DN142" s="778"/>
      <c r="DO142" s="778"/>
      <c r="DP142" s="778"/>
      <c r="DQ142" s="778"/>
      <c r="DR142" s="778"/>
      <c r="DS142" s="778"/>
      <c r="DT142" s="778"/>
      <c r="DU142" s="778"/>
      <c r="DV142" s="778"/>
      <c r="DW142" s="778"/>
      <c r="DX142" s="778"/>
      <c r="DY142" s="778"/>
      <c r="DZ142" s="778"/>
      <c r="EA142" s="778"/>
      <c r="EB142" s="778"/>
      <c r="EC142" s="778"/>
      <c r="ED142" s="778"/>
      <c r="EE142" s="778"/>
      <c r="EF142" s="778"/>
      <c r="EG142" s="778"/>
      <c r="EH142" s="778"/>
    </row>
    <row r="143" spans="5:138" ht="12.75" customHeight="1" x14ac:dyDescent="0.3">
      <c r="E143" s="778"/>
      <c r="F143" s="778"/>
      <c r="G143" s="778"/>
      <c r="H143" s="778"/>
      <c r="I143" s="778"/>
      <c r="J143" s="778"/>
      <c r="K143" s="778"/>
      <c r="L143" s="778"/>
      <c r="M143" s="778"/>
      <c r="N143" s="778"/>
      <c r="O143" s="778"/>
      <c r="P143" s="778"/>
      <c r="Q143" s="778"/>
      <c r="R143" s="778"/>
      <c r="S143" s="778"/>
      <c r="T143" s="778"/>
      <c r="U143" s="778"/>
      <c r="V143" s="778"/>
      <c r="W143" s="778"/>
      <c r="X143" s="778"/>
      <c r="Y143" s="778"/>
      <c r="Z143" s="778"/>
      <c r="AA143" s="778"/>
      <c r="AB143" s="778"/>
      <c r="AC143" s="778"/>
      <c r="AD143" s="778"/>
      <c r="AE143" s="778"/>
      <c r="AF143" s="778"/>
      <c r="AG143" s="778"/>
      <c r="AH143" s="778"/>
      <c r="AI143" s="778"/>
      <c r="AJ143" s="778"/>
      <c r="AK143" s="778"/>
      <c r="AL143" s="778"/>
      <c r="AM143" s="778"/>
      <c r="AN143" s="778"/>
      <c r="AO143" s="778"/>
      <c r="AP143" s="778"/>
      <c r="AQ143" s="778"/>
      <c r="AR143" s="778"/>
      <c r="AS143" s="778"/>
      <c r="AT143" s="778"/>
      <c r="AU143" s="778"/>
      <c r="AV143" s="778"/>
      <c r="AW143" s="778"/>
      <c r="AX143" s="778"/>
      <c r="AY143" s="778"/>
      <c r="AZ143" s="778"/>
      <c r="BA143" s="778"/>
      <c r="BB143" s="778"/>
      <c r="BC143" s="778"/>
      <c r="BD143" s="778"/>
      <c r="BE143" s="778"/>
      <c r="BF143" s="778"/>
      <c r="BG143" s="778"/>
      <c r="BH143" s="778"/>
      <c r="BI143" s="778"/>
      <c r="BJ143" s="778"/>
      <c r="BK143" s="778"/>
      <c r="BL143" s="778"/>
      <c r="BM143" s="778"/>
      <c r="BN143" s="778"/>
      <c r="BO143" s="778"/>
      <c r="BP143" s="778"/>
      <c r="BQ143" s="778"/>
      <c r="BR143" s="778"/>
      <c r="BS143" s="778"/>
      <c r="BT143" s="778"/>
      <c r="BU143" s="778"/>
      <c r="BV143" s="778"/>
      <c r="BW143" s="778"/>
      <c r="BX143" s="778"/>
      <c r="BY143" s="778"/>
      <c r="BZ143" s="778"/>
      <c r="CA143" s="778"/>
      <c r="CB143" s="778"/>
      <c r="CC143" s="778"/>
      <c r="CD143" s="778"/>
      <c r="CE143" s="778"/>
      <c r="CF143" s="778"/>
      <c r="CG143" s="778"/>
      <c r="CH143" s="778"/>
      <c r="CI143" s="778"/>
      <c r="CJ143" s="778"/>
      <c r="CK143" s="778"/>
      <c r="CL143" s="778"/>
      <c r="CM143" s="778"/>
      <c r="CN143" s="778"/>
      <c r="CO143" s="778"/>
      <c r="CP143" s="778"/>
      <c r="CQ143" s="778"/>
      <c r="CR143" s="778"/>
      <c r="CS143" s="778"/>
      <c r="CT143" s="778"/>
      <c r="CU143" s="778"/>
      <c r="CV143" s="778"/>
      <c r="CW143" s="778"/>
      <c r="CX143" s="778"/>
      <c r="CY143" s="778"/>
      <c r="CZ143" s="778"/>
      <c r="DA143" s="778"/>
      <c r="DB143" s="778"/>
      <c r="DC143" s="778"/>
      <c r="DD143" s="778"/>
      <c r="DE143" s="778"/>
      <c r="DF143" s="778"/>
      <c r="DG143" s="778"/>
      <c r="DH143" s="778"/>
      <c r="DI143" s="778"/>
      <c r="DJ143" s="778"/>
      <c r="DK143" s="778"/>
      <c r="DL143" s="778"/>
      <c r="DM143" s="778"/>
      <c r="DN143" s="778"/>
      <c r="DO143" s="778"/>
      <c r="DP143" s="778"/>
      <c r="DQ143" s="778"/>
      <c r="DR143" s="778"/>
      <c r="DS143" s="778"/>
      <c r="DT143" s="778"/>
      <c r="DU143" s="778"/>
      <c r="DV143" s="778"/>
      <c r="DW143" s="778"/>
      <c r="DX143" s="778"/>
      <c r="DY143" s="778"/>
      <c r="DZ143" s="778"/>
      <c r="EA143" s="778"/>
      <c r="EB143" s="778"/>
      <c r="EC143" s="778"/>
      <c r="ED143" s="778"/>
      <c r="EE143" s="778"/>
      <c r="EF143" s="778"/>
      <c r="EG143" s="778"/>
      <c r="EH143" s="778"/>
    </row>
    <row r="144" spans="5:138" ht="12.75" customHeight="1" x14ac:dyDescent="0.3">
      <c r="E144" s="778"/>
      <c r="F144" s="778"/>
      <c r="G144" s="778"/>
      <c r="H144" s="778"/>
      <c r="I144" s="778"/>
      <c r="J144" s="778"/>
      <c r="K144" s="778"/>
      <c r="L144" s="778"/>
      <c r="M144" s="778"/>
      <c r="N144" s="778"/>
      <c r="O144" s="778"/>
      <c r="P144" s="778"/>
      <c r="Q144" s="778"/>
      <c r="R144" s="778"/>
      <c r="S144" s="778"/>
      <c r="T144" s="778"/>
      <c r="U144" s="778"/>
      <c r="V144" s="778"/>
      <c r="W144" s="778"/>
      <c r="X144" s="778"/>
      <c r="Y144" s="778"/>
      <c r="Z144" s="778"/>
      <c r="AA144" s="778"/>
      <c r="AB144" s="778"/>
      <c r="AC144" s="778"/>
      <c r="AD144" s="778"/>
      <c r="AE144" s="778"/>
      <c r="AF144" s="778"/>
      <c r="AG144" s="778"/>
      <c r="AH144" s="778"/>
      <c r="AI144" s="778"/>
      <c r="AJ144" s="778"/>
      <c r="AK144" s="778"/>
      <c r="AL144" s="778"/>
      <c r="AM144" s="778"/>
      <c r="AN144" s="778"/>
      <c r="AO144" s="778"/>
      <c r="AP144" s="778"/>
      <c r="AQ144" s="778"/>
      <c r="AR144" s="778"/>
      <c r="AS144" s="778"/>
      <c r="AT144" s="778"/>
      <c r="AU144" s="778"/>
      <c r="AV144" s="778"/>
      <c r="AW144" s="778"/>
      <c r="AX144" s="778"/>
      <c r="AY144" s="778"/>
      <c r="AZ144" s="778"/>
      <c r="BA144" s="778"/>
      <c r="BB144" s="778"/>
      <c r="BC144" s="778"/>
      <c r="BD144" s="778"/>
      <c r="BE144" s="778"/>
      <c r="BF144" s="778"/>
      <c r="BG144" s="778"/>
      <c r="BH144" s="778"/>
      <c r="BI144" s="778"/>
      <c r="BJ144" s="778"/>
      <c r="BK144" s="778"/>
      <c r="BL144" s="778"/>
      <c r="BM144" s="778"/>
      <c r="BN144" s="778"/>
      <c r="BO144" s="778"/>
      <c r="BP144" s="778"/>
      <c r="BQ144" s="778"/>
      <c r="BR144" s="778"/>
      <c r="BS144" s="778"/>
      <c r="BT144" s="778"/>
      <c r="BU144" s="778"/>
      <c r="BV144" s="778"/>
      <c r="BW144" s="778"/>
      <c r="BX144" s="778"/>
      <c r="BY144" s="778"/>
      <c r="BZ144" s="778"/>
      <c r="CA144" s="778"/>
      <c r="CB144" s="778"/>
      <c r="CC144" s="778"/>
      <c r="CD144" s="778"/>
      <c r="CE144" s="778"/>
      <c r="CF144" s="778"/>
      <c r="CG144" s="778"/>
      <c r="CH144" s="778"/>
      <c r="CI144" s="778"/>
      <c r="CJ144" s="778"/>
      <c r="CK144" s="778"/>
      <c r="CL144" s="778"/>
      <c r="CM144" s="778"/>
      <c r="CN144" s="778"/>
      <c r="CO144" s="778"/>
      <c r="CP144" s="778"/>
      <c r="CQ144" s="778"/>
      <c r="CR144" s="778"/>
      <c r="CS144" s="778"/>
      <c r="CT144" s="778"/>
      <c r="CU144" s="778"/>
      <c r="CV144" s="778"/>
      <c r="CW144" s="778"/>
      <c r="CX144" s="778"/>
      <c r="CY144" s="778"/>
      <c r="CZ144" s="778"/>
      <c r="DA144" s="778"/>
      <c r="DB144" s="778"/>
      <c r="DC144" s="778"/>
      <c r="DD144" s="778"/>
      <c r="DE144" s="778"/>
      <c r="DF144" s="778"/>
      <c r="DG144" s="778"/>
      <c r="DH144" s="778"/>
      <c r="DI144" s="778"/>
      <c r="DJ144" s="778"/>
      <c r="DK144" s="778"/>
      <c r="DL144" s="778"/>
      <c r="DM144" s="778"/>
      <c r="DN144" s="778"/>
      <c r="DO144" s="778"/>
      <c r="DP144" s="778"/>
      <c r="DQ144" s="778"/>
      <c r="DR144" s="778"/>
      <c r="DS144" s="778"/>
      <c r="DT144" s="778"/>
      <c r="DU144" s="778"/>
      <c r="DV144" s="778"/>
      <c r="DW144" s="778"/>
      <c r="DX144" s="778"/>
      <c r="DY144" s="778"/>
      <c r="DZ144" s="778"/>
      <c r="EA144" s="778"/>
      <c r="EB144" s="778"/>
      <c r="EC144" s="778"/>
      <c r="ED144" s="778"/>
      <c r="EE144" s="778"/>
      <c r="EF144" s="778"/>
      <c r="EG144" s="778"/>
      <c r="EH144" s="778"/>
    </row>
    <row r="145" spans="5:138" ht="12.75" customHeight="1" x14ac:dyDescent="0.3">
      <c r="E145" s="778"/>
      <c r="F145" s="778"/>
      <c r="G145" s="778"/>
      <c r="H145" s="778"/>
      <c r="I145" s="778"/>
      <c r="J145" s="778"/>
      <c r="K145" s="778"/>
      <c r="L145" s="778"/>
      <c r="M145" s="778"/>
      <c r="N145" s="778"/>
      <c r="O145" s="778"/>
      <c r="P145" s="778"/>
      <c r="Q145" s="778"/>
      <c r="R145" s="778"/>
      <c r="S145" s="778"/>
      <c r="T145" s="778"/>
      <c r="U145" s="778"/>
      <c r="V145" s="778"/>
      <c r="W145" s="778"/>
      <c r="X145" s="778"/>
      <c r="Y145" s="778"/>
      <c r="Z145" s="778"/>
      <c r="AA145" s="778"/>
      <c r="AB145" s="778"/>
      <c r="AC145" s="778"/>
      <c r="AD145" s="778"/>
      <c r="AE145" s="778"/>
      <c r="AF145" s="778"/>
      <c r="AG145" s="778"/>
      <c r="AH145" s="778"/>
      <c r="AI145" s="778"/>
      <c r="AJ145" s="778"/>
      <c r="AK145" s="778"/>
      <c r="AL145" s="778"/>
      <c r="AM145" s="778"/>
      <c r="AN145" s="778"/>
      <c r="AO145" s="778"/>
      <c r="AP145" s="778"/>
      <c r="AQ145" s="778"/>
      <c r="AR145" s="778"/>
      <c r="AS145" s="778"/>
      <c r="AT145" s="778"/>
      <c r="AU145" s="778"/>
      <c r="AV145" s="778"/>
      <c r="AW145" s="778"/>
      <c r="AX145" s="778"/>
      <c r="AY145" s="778"/>
      <c r="AZ145" s="778"/>
      <c r="BA145" s="778"/>
      <c r="BB145" s="778"/>
      <c r="BC145" s="778"/>
      <c r="BD145" s="778"/>
      <c r="BE145" s="778"/>
      <c r="BF145" s="778"/>
      <c r="BG145" s="778"/>
      <c r="BH145" s="778"/>
      <c r="BI145" s="778"/>
      <c r="BJ145" s="778"/>
      <c r="BK145" s="778"/>
      <c r="BL145" s="778"/>
      <c r="BM145" s="778"/>
      <c r="BN145" s="778"/>
      <c r="BO145" s="778"/>
      <c r="BP145" s="778"/>
      <c r="BQ145" s="778"/>
      <c r="BR145" s="778"/>
      <c r="BS145" s="778"/>
      <c r="BT145" s="778"/>
      <c r="BU145" s="778"/>
      <c r="BV145" s="778"/>
      <c r="BW145" s="778"/>
      <c r="BX145" s="778"/>
      <c r="BY145" s="778"/>
      <c r="BZ145" s="778"/>
      <c r="CA145" s="778"/>
      <c r="CB145" s="778"/>
      <c r="CC145" s="778"/>
      <c r="CD145" s="778"/>
      <c r="CE145" s="778"/>
      <c r="CF145" s="778"/>
      <c r="CG145" s="778"/>
      <c r="CH145" s="778"/>
      <c r="CI145" s="778"/>
      <c r="CJ145" s="778"/>
      <c r="CK145" s="778"/>
      <c r="CL145" s="778"/>
      <c r="CM145" s="778"/>
      <c r="CN145" s="778"/>
      <c r="CO145" s="778"/>
      <c r="CP145" s="778"/>
      <c r="CQ145" s="778"/>
      <c r="CR145" s="778"/>
      <c r="CS145" s="778"/>
      <c r="CT145" s="778"/>
      <c r="CU145" s="778"/>
      <c r="CV145" s="778"/>
      <c r="CW145" s="778"/>
      <c r="CX145" s="778"/>
      <c r="CY145" s="778"/>
      <c r="CZ145" s="778"/>
      <c r="DA145" s="778"/>
      <c r="DB145" s="778"/>
      <c r="DC145" s="778"/>
      <c r="DD145" s="778"/>
      <c r="DE145" s="778"/>
      <c r="DF145" s="778"/>
      <c r="DG145" s="778"/>
      <c r="DH145" s="778"/>
      <c r="DI145" s="778"/>
      <c r="DJ145" s="778"/>
      <c r="DK145" s="778"/>
      <c r="DL145" s="778"/>
      <c r="DM145" s="778"/>
      <c r="DN145" s="778"/>
      <c r="DO145" s="778"/>
      <c r="DP145" s="778"/>
      <c r="DQ145" s="778"/>
      <c r="DR145" s="778"/>
      <c r="DS145" s="778"/>
      <c r="DT145" s="778"/>
      <c r="DU145" s="778"/>
      <c r="DV145" s="778"/>
      <c r="DW145" s="778"/>
      <c r="DX145" s="778"/>
      <c r="DY145" s="778"/>
      <c r="DZ145" s="778"/>
      <c r="EA145" s="778"/>
      <c r="EB145" s="778"/>
      <c r="EC145" s="778"/>
      <c r="ED145" s="778"/>
      <c r="EE145" s="778"/>
      <c r="EF145" s="778"/>
      <c r="EG145" s="778"/>
      <c r="EH145" s="778"/>
    </row>
    <row r="146" spans="5:138" ht="12.75" customHeight="1" x14ac:dyDescent="0.3">
      <c r="E146" s="778"/>
      <c r="F146" s="778"/>
      <c r="G146" s="778"/>
      <c r="H146" s="778"/>
      <c r="I146" s="778"/>
      <c r="J146" s="778"/>
      <c r="K146" s="778"/>
      <c r="L146" s="778"/>
      <c r="M146" s="778"/>
      <c r="N146" s="778"/>
      <c r="O146" s="778"/>
      <c r="P146" s="778"/>
      <c r="Q146" s="778"/>
      <c r="R146" s="778"/>
      <c r="S146" s="778"/>
      <c r="T146" s="778"/>
      <c r="U146" s="778"/>
      <c r="V146" s="778"/>
      <c r="W146" s="778"/>
      <c r="X146" s="778"/>
      <c r="Y146" s="778"/>
      <c r="Z146" s="778"/>
      <c r="AA146" s="778"/>
      <c r="AB146" s="778"/>
      <c r="AC146" s="778"/>
      <c r="AD146" s="778"/>
      <c r="AE146" s="778"/>
      <c r="AF146" s="778"/>
      <c r="AG146" s="778"/>
      <c r="AH146" s="778"/>
      <c r="AI146" s="778"/>
      <c r="AJ146" s="778"/>
      <c r="AK146" s="778"/>
      <c r="AL146" s="778"/>
      <c r="AM146" s="778"/>
      <c r="AN146" s="778"/>
      <c r="AO146" s="778"/>
      <c r="AP146" s="778"/>
      <c r="AQ146" s="778"/>
      <c r="AR146" s="778"/>
      <c r="AS146" s="778"/>
      <c r="AT146" s="778"/>
      <c r="AU146" s="778"/>
      <c r="AV146" s="778"/>
      <c r="AW146" s="778"/>
      <c r="AX146" s="778"/>
      <c r="AY146" s="778"/>
      <c r="AZ146" s="778"/>
      <c r="BA146" s="778"/>
      <c r="BB146" s="778"/>
      <c r="BC146" s="778"/>
      <c r="BD146" s="778"/>
      <c r="BE146" s="778"/>
      <c r="BF146" s="778"/>
      <c r="BG146" s="778"/>
      <c r="BH146" s="778"/>
      <c r="BI146" s="778"/>
      <c r="BJ146" s="778"/>
      <c r="BK146" s="778"/>
      <c r="BL146" s="778"/>
      <c r="BM146" s="778"/>
      <c r="BN146" s="778"/>
      <c r="BO146" s="778"/>
      <c r="BP146" s="778"/>
      <c r="BQ146" s="778"/>
      <c r="BR146" s="778"/>
      <c r="BS146" s="778"/>
      <c r="BT146" s="778"/>
      <c r="BU146" s="778"/>
      <c r="BV146" s="778"/>
      <c r="BW146" s="778"/>
      <c r="BX146" s="778"/>
      <c r="BY146" s="778"/>
      <c r="BZ146" s="778"/>
      <c r="CA146" s="778"/>
      <c r="CB146" s="778"/>
      <c r="CC146" s="778"/>
      <c r="CD146" s="778"/>
      <c r="CE146" s="778"/>
      <c r="CF146" s="778"/>
      <c r="CG146" s="778"/>
      <c r="CH146" s="778"/>
      <c r="CI146" s="778"/>
      <c r="CJ146" s="778"/>
      <c r="CK146" s="778"/>
      <c r="CL146" s="778"/>
      <c r="CM146" s="778"/>
      <c r="CN146" s="778"/>
      <c r="CO146" s="778"/>
      <c r="CP146" s="778"/>
      <c r="CQ146" s="778"/>
      <c r="CR146" s="778"/>
      <c r="CS146" s="778"/>
      <c r="CT146" s="778"/>
      <c r="CU146" s="778"/>
      <c r="CV146" s="778"/>
      <c r="CW146" s="778"/>
      <c r="CX146" s="778"/>
      <c r="CY146" s="778"/>
      <c r="CZ146" s="778"/>
      <c r="DA146" s="778"/>
      <c r="DB146" s="778"/>
      <c r="DC146" s="778"/>
      <c r="DD146" s="778"/>
      <c r="DE146" s="778"/>
      <c r="DF146" s="778"/>
      <c r="DG146" s="778"/>
      <c r="DH146" s="778"/>
      <c r="DI146" s="778"/>
      <c r="DJ146" s="778"/>
      <c r="DK146" s="778"/>
      <c r="DL146" s="778"/>
      <c r="DM146" s="778"/>
      <c r="DN146" s="778"/>
      <c r="DO146" s="778"/>
      <c r="DP146" s="778"/>
      <c r="DQ146" s="778"/>
      <c r="DR146" s="778"/>
      <c r="DS146" s="778"/>
      <c r="DT146" s="778"/>
      <c r="DU146" s="778"/>
      <c r="DV146" s="778"/>
      <c r="DW146" s="778"/>
      <c r="DX146" s="778"/>
      <c r="DY146" s="778"/>
      <c r="DZ146" s="778"/>
      <c r="EA146" s="778"/>
      <c r="EB146" s="778"/>
      <c r="EC146" s="778"/>
      <c r="ED146" s="778"/>
      <c r="EE146" s="778"/>
      <c r="EF146" s="778"/>
      <c r="EG146" s="778"/>
      <c r="EH146" s="778"/>
    </row>
    <row r="147" spans="5:138" ht="12.75" customHeight="1" x14ac:dyDescent="0.3">
      <c r="E147" s="778"/>
      <c r="F147" s="778"/>
      <c r="G147" s="778"/>
      <c r="H147" s="778"/>
      <c r="I147" s="778"/>
      <c r="J147" s="778"/>
      <c r="K147" s="778"/>
      <c r="L147" s="778"/>
      <c r="M147" s="778"/>
      <c r="N147" s="778"/>
      <c r="O147" s="778"/>
      <c r="P147" s="778"/>
      <c r="Q147" s="778"/>
      <c r="R147" s="778"/>
      <c r="S147" s="778"/>
      <c r="T147" s="778"/>
      <c r="U147" s="778"/>
      <c r="V147" s="778"/>
      <c r="W147" s="778"/>
      <c r="X147" s="778"/>
      <c r="Y147" s="778"/>
      <c r="Z147" s="778"/>
      <c r="AA147" s="778"/>
      <c r="AB147" s="778"/>
      <c r="AC147" s="778"/>
      <c r="AD147" s="778"/>
      <c r="AE147" s="778"/>
      <c r="AF147" s="778"/>
      <c r="AG147" s="778"/>
      <c r="AH147" s="778"/>
      <c r="AI147" s="778"/>
      <c r="AJ147" s="778"/>
      <c r="AK147" s="778"/>
      <c r="AL147" s="778"/>
      <c r="AM147" s="778"/>
      <c r="AN147" s="778"/>
      <c r="AO147" s="778"/>
      <c r="AP147" s="778"/>
      <c r="AQ147" s="778"/>
      <c r="AR147" s="778"/>
      <c r="AS147" s="778"/>
      <c r="AT147" s="778"/>
      <c r="AU147" s="778"/>
      <c r="AV147" s="778"/>
      <c r="AW147" s="778"/>
      <c r="AX147" s="778"/>
      <c r="AY147" s="778"/>
      <c r="AZ147" s="778"/>
      <c r="BA147" s="778"/>
      <c r="BB147" s="778"/>
      <c r="BC147" s="778"/>
      <c r="BD147" s="778"/>
      <c r="BE147" s="778"/>
      <c r="BF147" s="778"/>
      <c r="BG147" s="778"/>
      <c r="BH147" s="778"/>
      <c r="BI147" s="778"/>
      <c r="BJ147" s="778"/>
      <c r="BK147" s="778"/>
      <c r="BL147" s="778"/>
      <c r="BM147" s="778"/>
      <c r="BN147" s="778"/>
      <c r="BO147" s="778"/>
      <c r="BP147" s="778"/>
      <c r="BQ147" s="778"/>
      <c r="BR147" s="778"/>
      <c r="BS147" s="778"/>
      <c r="BT147" s="778"/>
      <c r="BU147" s="778"/>
      <c r="BV147" s="778"/>
      <c r="BW147" s="778"/>
      <c r="BX147" s="778"/>
      <c r="BY147" s="778"/>
      <c r="BZ147" s="778"/>
      <c r="CA147" s="778"/>
      <c r="CB147" s="778"/>
      <c r="CC147" s="778"/>
      <c r="CD147" s="778"/>
      <c r="CE147" s="778"/>
      <c r="CF147" s="778"/>
      <c r="CG147" s="778"/>
      <c r="CH147" s="778"/>
      <c r="CI147" s="778"/>
      <c r="CJ147" s="778"/>
      <c r="CK147" s="778"/>
      <c r="CL147" s="778"/>
      <c r="CM147" s="778"/>
      <c r="CN147" s="778"/>
      <c r="CO147" s="778"/>
      <c r="CP147" s="778"/>
      <c r="CQ147" s="778"/>
      <c r="CR147" s="778"/>
      <c r="CS147" s="778"/>
      <c r="CT147" s="778"/>
      <c r="CU147" s="778"/>
      <c r="CV147" s="778"/>
      <c r="CW147" s="778"/>
      <c r="CX147" s="778"/>
      <c r="CY147" s="778"/>
      <c r="CZ147" s="778"/>
      <c r="DA147" s="778"/>
      <c r="DB147" s="778"/>
      <c r="DC147" s="778"/>
      <c r="DD147" s="778"/>
      <c r="DE147" s="778"/>
      <c r="DF147" s="778"/>
      <c r="DG147" s="778"/>
      <c r="DH147" s="778"/>
      <c r="DI147" s="778"/>
      <c r="DJ147" s="778"/>
      <c r="DK147" s="778"/>
      <c r="DL147" s="778"/>
      <c r="DM147" s="778"/>
      <c r="DN147" s="778"/>
      <c r="DO147" s="778"/>
      <c r="DP147" s="778"/>
      <c r="DQ147" s="778"/>
      <c r="DR147" s="778"/>
      <c r="DS147" s="778"/>
      <c r="DT147" s="778"/>
      <c r="DU147" s="778"/>
      <c r="DV147" s="778"/>
      <c r="DW147" s="778"/>
      <c r="DX147" s="778"/>
      <c r="DY147" s="778"/>
      <c r="DZ147" s="778"/>
      <c r="EA147" s="778"/>
      <c r="EB147" s="778"/>
      <c r="EC147" s="778"/>
      <c r="ED147" s="778"/>
      <c r="EE147" s="778"/>
      <c r="EF147" s="778"/>
      <c r="EG147" s="778"/>
      <c r="EH147" s="778"/>
    </row>
    <row r="148" spans="5:138" ht="12.75" customHeight="1" x14ac:dyDescent="0.3">
      <c r="E148" s="778"/>
      <c r="F148" s="778"/>
      <c r="G148" s="778"/>
      <c r="H148" s="778"/>
      <c r="I148" s="778"/>
      <c r="J148" s="778"/>
      <c r="K148" s="778"/>
      <c r="L148" s="778"/>
      <c r="M148" s="778"/>
      <c r="N148" s="778"/>
      <c r="O148" s="778"/>
      <c r="P148" s="778"/>
      <c r="Q148" s="778"/>
      <c r="R148" s="778"/>
      <c r="S148" s="778"/>
      <c r="T148" s="778"/>
      <c r="U148" s="778"/>
      <c r="V148" s="778"/>
      <c r="W148" s="778"/>
      <c r="X148" s="778"/>
      <c r="Y148" s="778"/>
      <c r="Z148" s="778"/>
      <c r="AA148" s="778"/>
      <c r="AB148" s="778"/>
      <c r="AC148" s="778"/>
      <c r="AD148" s="778"/>
      <c r="AE148" s="778"/>
      <c r="AF148" s="778"/>
      <c r="AG148" s="778"/>
      <c r="AH148" s="778"/>
      <c r="AI148" s="778"/>
      <c r="AJ148" s="778"/>
      <c r="AK148" s="778"/>
      <c r="AL148" s="778"/>
      <c r="AM148" s="778"/>
      <c r="AN148" s="778"/>
      <c r="AO148" s="778"/>
      <c r="AP148" s="778"/>
      <c r="AQ148" s="778"/>
      <c r="AR148" s="778"/>
      <c r="AS148" s="778"/>
      <c r="AT148" s="778"/>
      <c r="AU148" s="778"/>
      <c r="AV148" s="778"/>
      <c r="AW148" s="778"/>
      <c r="AX148" s="778"/>
      <c r="AY148" s="778"/>
      <c r="AZ148" s="778"/>
      <c r="BA148" s="778"/>
      <c r="BB148" s="778"/>
      <c r="BC148" s="778"/>
      <c r="BD148" s="778"/>
      <c r="BE148" s="778"/>
      <c r="BF148" s="778"/>
      <c r="BG148" s="778"/>
      <c r="BH148" s="778"/>
      <c r="BI148" s="778"/>
      <c r="BJ148" s="778"/>
      <c r="BK148" s="778"/>
      <c r="BL148" s="778"/>
      <c r="BM148" s="778"/>
      <c r="BN148" s="778"/>
      <c r="BO148" s="778"/>
      <c r="BP148" s="778"/>
      <c r="BQ148" s="778"/>
      <c r="BR148" s="778"/>
      <c r="BS148" s="778"/>
      <c r="BT148" s="778"/>
      <c r="BU148" s="778"/>
      <c r="BV148" s="778"/>
      <c r="BW148" s="778"/>
      <c r="BX148" s="778"/>
      <c r="BY148" s="778"/>
      <c r="BZ148" s="778"/>
      <c r="CA148" s="778"/>
      <c r="CB148" s="778"/>
      <c r="CC148" s="778"/>
      <c r="CD148" s="778"/>
      <c r="CE148" s="778"/>
      <c r="CF148" s="778"/>
      <c r="CG148" s="778"/>
      <c r="CH148" s="778"/>
      <c r="CI148" s="778"/>
      <c r="CJ148" s="778"/>
      <c r="CK148" s="778"/>
      <c r="CL148" s="778"/>
      <c r="CM148" s="778"/>
      <c r="CN148" s="778"/>
      <c r="CO148" s="778"/>
      <c r="CP148" s="778"/>
      <c r="CQ148" s="778"/>
      <c r="CR148" s="778"/>
      <c r="CS148" s="778"/>
      <c r="CT148" s="778"/>
      <c r="CU148" s="778"/>
      <c r="CV148" s="778"/>
      <c r="CW148" s="778"/>
      <c r="CX148" s="778"/>
      <c r="CY148" s="778"/>
      <c r="CZ148" s="778"/>
      <c r="DA148" s="778"/>
      <c r="DB148" s="778"/>
      <c r="DC148" s="778"/>
      <c r="DD148" s="778"/>
      <c r="DE148" s="778"/>
      <c r="DF148" s="778"/>
      <c r="DG148" s="778"/>
      <c r="DH148" s="778"/>
      <c r="DI148" s="778"/>
      <c r="DJ148" s="778"/>
      <c r="DK148" s="778"/>
      <c r="DL148" s="778"/>
      <c r="DM148" s="778"/>
      <c r="DN148" s="778"/>
      <c r="DO148" s="778"/>
      <c r="DP148" s="778"/>
      <c r="DQ148" s="778"/>
      <c r="DR148" s="778"/>
      <c r="DS148" s="778"/>
      <c r="DT148" s="778"/>
      <c r="DU148" s="778"/>
      <c r="DV148" s="778"/>
      <c r="DW148" s="778"/>
      <c r="DX148" s="778"/>
      <c r="DY148" s="778"/>
      <c r="DZ148" s="778"/>
      <c r="EA148" s="778"/>
      <c r="EB148" s="778"/>
      <c r="EC148" s="778"/>
      <c r="ED148" s="778"/>
      <c r="EE148" s="778"/>
      <c r="EF148" s="778"/>
      <c r="EG148" s="778"/>
      <c r="EH148" s="778"/>
    </row>
    <row r="149" spans="5:138" ht="12.75" customHeight="1" x14ac:dyDescent="0.3">
      <c r="E149" s="778"/>
      <c r="F149" s="778"/>
      <c r="G149" s="778"/>
      <c r="H149" s="778"/>
      <c r="I149" s="778"/>
      <c r="J149" s="778"/>
      <c r="K149" s="778"/>
      <c r="L149" s="778"/>
      <c r="M149" s="778"/>
      <c r="N149" s="778"/>
      <c r="O149" s="778"/>
      <c r="P149" s="778"/>
      <c r="Q149" s="778"/>
      <c r="R149" s="778"/>
      <c r="S149" s="778"/>
      <c r="T149" s="778"/>
      <c r="U149" s="778"/>
      <c r="V149" s="778"/>
      <c r="W149" s="778"/>
      <c r="X149" s="778"/>
      <c r="Y149" s="778"/>
      <c r="Z149" s="778"/>
      <c r="AA149" s="778"/>
      <c r="AB149" s="778"/>
      <c r="AC149" s="778"/>
      <c r="AD149" s="778"/>
      <c r="AE149" s="778"/>
      <c r="AF149" s="778"/>
      <c r="AG149" s="778"/>
      <c r="AH149" s="778"/>
      <c r="AI149" s="778"/>
      <c r="AJ149" s="778"/>
      <c r="AK149" s="778"/>
      <c r="AL149" s="778"/>
      <c r="AM149" s="778"/>
      <c r="AN149" s="778"/>
      <c r="AO149" s="778"/>
      <c r="AP149" s="778"/>
      <c r="AQ149" s="778"/>
      <c r="AR149" s="778"/>
      <c r="AS149" s="778"/>
      <c r="AT149" s="778"/>
      <c r="AU149" s="778"/>
      <c r="AV149" s="778"/>
      <c r="AW149" s="778"/>
      <c r="AX149" s="778"/>
      <c r="AY149" s="778"/>
      <c r="AZ149" s="778"/>
      <c r="BA149" s="778"/>
      <c r="BB149" s="778"/>
      <c r="BC149" s="778"/>
      <c r="BD149" s="778"/>
      <c r="BE149" s="778"/>
      <c r="BF149" s="778"/>
      <c r="BG149" s="778"/>
      <c r="BH149" s="778"/>
      <c r="BI149" s="778"/>
      <c r="BJ149" s="778"/>
      <c r="BK149" s="778"/>
      <c r="BL149" s="778"/>
      <c r="BM149" s="778"/>
      <c r="BN149" s="778"/>
      <c r="BO149" s="778"/>
      <c r="BP149" s="778"/>
      <c r="BQ149" s="778"/>
      <c r="BR149" s="778"/>
      <c r="BS149" s="778"/>
      <c r="BT149" s="778"/>
      <c r="BU149" s="778"/>
      <c r="BV149" s="778"/>
      <c r="BW149" s="778"/>
      <c r="BX149" s="778"/>
      <c r="BY149" s="778"/>
      <c r="BZ149" s="778"/>
      <c r="CA149" s="778"/>
      <c r="CB149" s="778"/>
      <c r="CC149" s="778"/>
      <c r="CD149" s="778"/>
      <c r="CE149" s="778"/>
      <c r="CF149" s="778"/>
      <c r="CG149" s="778"/>
      <c r="CH149" s="778"/>
      <c r="CI149" s="778"/>
      <c r="CJ149" s="778"/>
      <c r="CK149" s="778"/>
      <c r="CL149" s="778"/>
      <c r="CM149" s="778"/>
      <c r="CN149" s="778"/>
      <c r="CO149" s="778"/>
      <c r="CP149" s="778"/>
      <c r="CQ149" s="778"/>
      <c r="CR149" s="778"/>
      <c r="CS149" s="778"/>
      <c r="CT149" s="778"/>
      <c r="CU149" s="778"/>
      <c r="CV149" s="778"/>
      <c r="CW149" s="778"/>
      <c r="CX149" s="778"/>
      <c r="CY149" s="778"/>
      <c r="CZ149" s="778"/>
      <c r="DA149" s="778"/>
      <c r="DB149" s="778"/>
      <c r="DC149" s="778"/>
      <c r="DD149" s="778"/>
      <c r="DE149" s="778"/>
      <c r="DF149" s="778"/>
      <c r="DG149" s="778"/>
      <c r="DH149" s="778"/>
      <c r="DI149" s="778"/>
      <c r="DJ149" s="778"/>
      <c r="DK149" s="778"/>
      <c r="DL149" s="778"/>
      <c r="DM149" s="778"/>
      <c r="DN149" s="778"/>
      <c r="DO149" s="778"/>
      <c r="DP149" s="778"/>
      <c r="DQ149" s="778"/>
      <c r="DR149" s="778"/>
      <c r="DS149" s="778"/>
      <c r="DT149" s="778"/>
      <c r="DU149" s="778"/>
      <c r="DV149" s="778"/>
      <c r="DW149" s="778"/>
      <c r="DX149" s="778"/>
      <c r="DY149" s="778"/>
      <c r="DZ149" s="778"/>
      <c r="EA149" s="778"/>
      <c r="EB149" s="778"/>
      <c r="EC149" s="778"/>
      <c r="ED149" s="778"/>
      <c r="EE149" s="778"/>
      <c r="EF149" s="778"/>
      <c r="EG149" s="778"/>
      <c r="EH149" s="778"/>
    </row>
    <row r="150" spans="5:138" ht="12.75" customHeight="1" x14ac:dyDescent="0.3">
      <c r="E150" s="778"/>
      <c r="F150" s="778"/>
      <c r="G150" s="778"/>
      <c r="H150" s="778"/>
      <c r="I150" s="778"/>
      <c r="J150" s="778"/>
      <c r="K150" s="778"/>
      <c r="L150" s="778"/>
      <c r="M150" s="778"/>
      <c r="N150" s="778"/>
      <c r="O150" s="778"/>
      <c r="P150" s="778"/>
      <c r="Q150" s="778"/>
      <c r="R150" s="778"/>
      <c r="S150" s="778"/>
      <c r="T150" s="778"/>
      <c r="U150" s="778"/>
      <c r="V150" s="778"/>
      <c r="W150" s="778"/>
      <c r="X150" s="778"/>
      <c r="Y150" s="778"/>
      <c r="Z150" s="778"/>
      <c r="AA150" s="778"/>
      <c r="AB150" s="778"/>
      <c r="AC150" s="778"/>
      <c r="AD150" s="778"/>
      <c r="AE150" s="778"/>
      <c r="AF150" s="778"/>
      <c r="AG150" s="778"/>
      <c r="AH150" s="778"/>
      <c r="AI150" s="778"/>
      <c r="AJ150" s="778"/>
      <c r="AK150" s="778"/>
      <c r="AL150" s="778"/>
      <c r="AM150" s="778"/>
      <c r="AN150" s="778"/>
      <c r="AO150" s="778"/>
      <c r="AP150" s="778"/>
      <c r="AQ150" s="778"/>
      <c r="AR150" s="778"/>
      <c r="AS150" s="778"/>
      <c r="AT150" s="778"/>
      <c r="AU150" s="778"/>
      <c r="AV150" s="778"/>
      <c r="AW150" s="778"/>
      <c r="AX150" s="778"/>
      <c r="AY150" s="778"/>
      <c r="AZ150" s="778"/>
      <c r="BA150" s="778"/>
      <c r="BB150" s="778"/>
      <c r="BC150" s="778"/>
      <c r="BD150" s="778"/>
      <c r="BE150" s="778"/>
      <c r="BF150" s="778"/>
      <c r="BG150" s="778"/>
      <c r="BH150" s="778"/>
      <c r="BI150" s="778"/>
      <c r="BJ150" s="778"/>
      <c r="BK150" s="778"/>
      <c r="BL150" s="778"/>
      <c r="BM150" s="778"/>
      <c r="BN150" s="778"/>
      <c r="BO150" s="778"/>
      <c r="BP150" s="778"/>
      <c r="BQ150" s="778"/>
      <c r="BR150" s="778"/>
      <c r="BS150" s="778"/>
      <c r="BT150" s="778"/>
      <c r="BU150" s="778"/>
      <c r="BV150" s="778"/>
      <c r="BW150" s="778"/>
      <c r="BX150" s="778"/>
      <c r="BY150" s="778"/>
      <c r="BZ150" s="778"/>
      <c r="CA150" s="778"/>
      <c r="CB150" s="778"/>
      <c r="CC150" s="778"/>
      <c r="CD150" s="778"/>
      <c r="CE150" s="778"/>
      <c r="CF150" s="778"/>
      <c r="CG150" s="778"/>
      <c r="CH150" s="778"/>
      <c r="CI150" s="778"/>
      <c r="CJ150" s="778"/>
      <c r="CK150" s="778"/>
      <c r="CL150" s="778"/>
      <c r="CM150" s="778"/>
      <c r="CN150" s="778"/>
      <c r="CO150" s="778"/>
      <c r="CP150" s="778"/>
      <c r="CQ150" s="778"/>
      <c r="CR150" s="778"/>
      <c r="CS150" s="778"/>
      <c r="CT150" s="778"/>
      <c r="CU150" s="778"/>
      <c r="CV150" s="778"/>
      <c r="CW150" s="778"/>
      <c r="CX150" s="778"/>
      <c r="CY150" s="778"/>
      <c r="CZ150" s="778"/>
      <c r="DA150" s="778"/>
      <c r="DB150" s="778"/>
      <c r="DC150" s="778"/>
      <c r="DD150" s="778"/>
      <c r="DE150" s="778"/>
      <c r="DF150" s="778"/>
      <c r="DG150" s="778"/>
      <c r="DH150" s="778"/>
      <c r="DI150" s="778"/>
      <c r="DJ150" s="778"/>
      <c r="DK150" s="778"/>
      <c r="DL150" s="778"/>
      <c r="DM150" s="778"/>
      <c r="DN150" s="778"/>
      <c r="DO150" s="778"/>
      <c r="DP150" s="778"/>
      <c r="DQ150" s="778"/>
      <c r="DR150" s="778"/>
      <c r="DS150" s="778"/>
      <c r="DT150" s="778"/>
      <c r="DU150" s="778"/>
      <c r="DV150" s="778"/>
      <c r="DW150" s="778"/>
      <c r="DX150" s="778"/>
      <c r="DY150" s="778"/>
      <c r="DZ150" s="778"/>
      <c r="EA150" s="778"/>
      <c r="EB150" s="778"/>
      <c r="EC150" s="778"/>
      <c r="ED150" s="778"/>
      <c r="EE150" s="778"/>
      <c r="EF150" s="778"/>
      <c r="EG150" s="778"/>
      <c r="EH150" s="778"/>
    </row>
    <row r="151" spans="5:138" ht="12.75" customHeight="1" x14ac:dyDescent="0.3">
      <c r="E151" s="778"/>
      <c r="F151" s="778"/>
      <c r="G151" s="778"/>
      <c r="H151" s="778"/>
      <c r="I151" s="778"/>
      <c r="J151" s="778"/>
      <c r="K151" s="778"/>
      <c r="L151" s="778"/>
      <c r="M151" s="778"/>
      <c r="N151" s="778"/>
      <c r="O151" s="778"/>
      <c r="P151" s="778"/>
      <c r="Q151" s="778"/>
      <c r="R151" s="778"/>
      <c r="S151" s="778"/>
      <c r="T151" s="778"/>
      <c r="U151" s="778"/>
      <c r="V151" s="778"/>
      <c r="W151" s="778"/>
      <c r="X151" s="778"/>
      <c r="Y151" s="778"/>
      <c r="Z151" s="778"/>
      <c r="AA151" s="778"/>
      <c r="AB151" s="778"/>
      <c r="AC151" s="778"/>
      <c r="AD151" s="778"/>
      <c r="AE151" s="778"/>
      <c r="AF151" s="778"/>
      <c r="AG151" s="778"/>
      <c r="AH151" s="778"/>
      <c r="AI151" s="778"/>
      <c r="AJ151" s="778"/>
      <c r="AK151" s="778"/>
      <c r="AL151" s="778"/>
      <c r="AM151" s="778"/>
      <c r="AN151" s="778"/>
      <c r="AO151" s="778"/>
      <c r="AP151" s="778"/>
      <c r="AQ151" s="778"/>
      <c r="AR151" s="778"/>
      <c r="AS151" s="778"/>
      <c r="AT151" s="778"/>
      <c r="AU151" s="778"/>
      <c r="AV151" s="778"/>
      <c r="AW151" s="778"/>
      <c r="AX151" s="778"/>
      <c r="AY151" s="778"/>
      <c r="AZ151" s="778"/>
      <c r="BA151" s="778"/>
      <c r="BB151" s="778"/>
      <c r="BC151" s="778"/>
      <c r="BD151" s="778"/>
      <c r="BE151" s="778"/>
      <c r="BF151" s="778"/>
      <c r="BG151" s="778"/>
      <c r="BH151" s="778"/>
      <c r="BI151" s="778"/>
      <c r="BJ151" s="778"/>
      <c r="BK151" s="778"/>
      <c r="BL151" s="778"/>
      <c r="BM151" s="778"/>
      <c r="BN151" s="778"/>
      <c r="BO151" s="778"/>
      <c r="BP151" s="778"/>
      <c r="BQ151" s="778"/>
      <c r="BR151" s="778"/>
      <c r="BS151" s="778"/>
      <c r="BT151" s="778"/>
      <c r="BU151" s="778"/>
      <c r="BV151" s="778"/>
      <c r="BW151" s="778"/>
      <c r="BX151" s="778"/>
      <c r="BY151" s="778"/>
      <c r="BZ151" s="778"/>
      <c r="CA151" s="778"/>
      <c r="CB151" s="778"/>
      <c r="CC151" s="778"/>
      <c r="CD151" s="778"/>
      <c r="CE151" s="778"/>
      <c r="CF151" s="778"/>
      <c r="CG151" s="778"/>
      <c r="CH151" s="778"/>
      <c r="CI151" s="778"/>
      <c r="CJ151" s="778"/>
      <c r="CK151" s="778"/>
      <c r="CL151" s="778"/>
      <c r="CM151" s="778"/>
      <c r="CN151" s="778"/>
      <c r="CO151" s="778"/>
      <c r="CP151" s="778"/>
      <c r="CQ151" s="778"/>
      <c r="CR151" s="778"/>
      <c r="CS151" s="778"/>
      <c r="CT151" s="778"/>
      <c r="CU151" s="778"/>
      <c r="CV151" s="778"/>
      <c r="CW151" s="778"/>
      <c r="CX151" s="778"/>
      <c r="CY151" s="778"/>
      <c r="CZ151" s="778"/>
      <c r="DA151" s="778"/>
      <c r="DB151" s="778"/>
      <c r="DC151" s="778"/>
      <c r="DD151" s="778"/>
      <c r="DE151" s="778"/>
      <c r="DF151" s="778"/>
      <c r="DG151" s="778"/>
      <c r="DH151" s="778"/>
      <c r="DI151" s="778"/>
      <c r="DJ151" s="778"/>
      <c r="DK151" s="778"/>
      <c r="DL151" s="778"/>
      <c r="DM151" s="778"/>
      <c r="DN151" s="778"/>
      <c r="DO151" s="778"/>
      <c r="DP151" s="778"/>
      <c r="DQ151" s="778"/>
      <c r="DR151" s="778"/>
      <c r="DS151" s="778"/>
      <c r="DT151" s="778"/>
      <c r="DU151" s="778"/>
      <c r="DV151" s="778"/>
      <c r="DW151" s="778"/>
      <c r="DX151" s="778"/>
      <c r="DY151" s="778"/>
      <c r="DZ151" s="778"/>
      <c r="EA151" s="778"/>
      <c r="EB151" s="778"/>
      <c r="EC151" s="778"/>
      <c r="ED151" s="778"/>
      <c r="EE151" s="778"/>
      <c r="EF151" s="778"/>
      <c r="EG151" s="778"/>
      <c r="EH151" s="778"/>
    </row>
    <row r="152" spans="5:138" ht="12.75" customHeight="1" x14ac:dyDescent="0.3">
      <c r="E152" s="778"/>
      <c r="F152" s="778"/>
      <c r="G152" s="778"/>
      <c r="H152" s="778"/>
      <c r="I152" s="778"/>
      <c r="J152" s="778"/>
      <c r="K152" s="778"/>
      <c r="L152" s="778"/>
      <c r="M152" s="778"/>
      <c r="N152" s="778"/>
      <c r="O152" s="778"/>
      <c r="P152" s="778"/>
      <c r="Q152" s="778"/>
      <c r="R152" s="778"/>
      <c r="S152" s="778"/>
      <c r="T152" s="778"/>
      <c r="U152" s="778"/>
      <c r="V152" s="778"/>
      <c r="W152" s="778"/>
      <c r="X152" s="778"/>
      <c r="Y152" s="778"/>
      <c r="Z152" s="778"/>
      <c r="AA152" s="778"/>
      <c r="AB152" s="778"/>
      <c r="AC152" s="778"/>
      <c r="AD152" s="778"/>
      <c r="AE152" s="778"/>
      <c r="AF152" s="778"/>
      <c r="AG152" s="778"/>
      <c r="AH152" s="778"/>
      <c r="AI152" s="778"/>
      <c r="AJ152" s="778"/>
      <c r="AK152" s="778"/>
      <c r="AL152" s="778"/>
      <c r="AM152" s="778"/>
      <c r="AN152" s="778"/>
      <c r="AO152" s="778"/>
      <c r="AP152" s="778"/>
      <c r="AQ152" s="778"/>
      <c r="AR152" s="778"/>
      <c r="AS152" s="778"/>
      <c r="AT152" s="778"/>
      <c r="AU152" s="778"/>
      <c r="AV152" s="778"/>
      <c r="AW152" s="778"/>
      <c r="AX152" s="778"/>
      <c r="AY152" s="778"/>
      <c r="AZ152" s="778"/>
      <c r="BA152" s="778"/>
      <c r="BB152" s="778"/>
      <c r="BC152" s="778"/>
      <c r="BD152" s="778"/>
      <c r="BE152" s="778"/>
      <c r="BF152" s="778"/>
      <c r="BG152" s="778"/>
      <c r="BH152" s="778"/>
      <c r="BI152" s="778"/>
      <c r="BJ152" s="778"/>
      <c r="BK152" s="778"/>
      <c r="BL152" s="778"/>
      <c r="BM152" s="778"/>
      <c r="BN152" s="778"/>
      <c r="BO152" s="778"/>
      <c r="BP152" s="778"/>
      <c r="BQ152" s="778"/>
      <c r="BR152" s="778"/>
      <c r="BS152" s="778"/>
      <c r="BT152" s="778"/>
      <c r="BU152" s="778"/>
      <c r="BV152" s="778"/>
      <c r="BW152" s="778"/>
      <c r="BX152" s="778"/>
      <c r="BY152" s="778"/>
      <c r="BZ152" s="778"/>
      <c r="CA152" s="778"/>
      <c r="CB152" s="778"/>
      <c r="CC152" s="778"/>
      <c r="CD152" s="778"/>
      <c r="CE152" s="778"/>
      <c r="CF152" s="778"/>
      <c r="CG152" s="778"/>
      <c r="CH152" s="778"/>
      <c r="CI152" s="778"/>
      <c r="CJ152" s="778"/>
      <c r="CK152" s="778"/>
      <c r="CL152" s="778"/>
      <c r="CM152" s="778"/>
      <c r="CN152" s="778"/>
      <c r="CO152" s="778"/>
      <c r="CP152" s="778"/>
      <c r="CQ152" s="778"/>
      <c r="CR152" s="778"/>
      <c r="CS152" s="778"/>
      <c r="CT152" s="778"/>
      <c r="CU152" s="778"/>
      <c r="CV152" s="778"/>
      <c r="CW152" s="778"/>
      <c r="CX152" s="778"/>
      <c r="CY152" s="778"/>
      <c r="CZ152" s="778"/>
      <c r="DA152" s="778"/>
      <c r="DB152" s="778"/>
      <c r="DC152" s="778"/>
      <c r="DD152" s="778"/>
      <c r="DE152" s="778"/>
      <c r="DF152" s="778"/>
      <c r="DG152" s="778"/>
      <c r="DH152" s="778"/>
      <c r="DI152" s="778"/>
      <c r="DJ152" s="778"/>
      <c r="DK152" s="778"/>
      <c r="DL152" s="778"/>
      <c r="DM152" s="778"/>
      <c r="DN152" s="778"/>
      <c r="DO152" s="778"/>
      <c r="DP152" s="778"/>
      <c r="DQ152" s="778"/>
      <c r="DR152" s="778"/>
      <c r="DS152" s="778"/>
      <c r="DT152" s="778"/>
      <c r="DU152" s="778"/>
      <c r="DV152" s="778"/>
      <c r="DW152" s="778"/>
      <c r="DX152" s="778"/>
      <c r="DY152" s="778"/>
      <c r="DZ152" s="778"/>
      <c r="EA152" s="778"/>
      <c r="EB152" s="778"/>
      <c r="EC152" s="778"/>
      <c r="ED152" s="778"/>
      <c r="EE152" s="778"/>
      <c r="EF152" s="778"/>
      <c r="EG152" s="778"/>
      <c r="EH152" s="778"/>
    </row>
    <row r="153" spans="5:138" ht="12.75" customHeight="1" x14ac:dyDescent="0.3">
      <c r="E153" s="778"/>
      <c r="F153" s="778"/>
      <c r="G153" s="778"/>
      <c r="H153" s="778"/>
      <c r="I153" s="778"/>
      <c r="J153" s="778"/>
      <c r="K153" s="778"/>
      <c r="L153" s="778"/>
      <c r="M153" s="778"/>
      <c r="N153" s="778"/>
      <c r="O153" s="778"/>
      <c r="P153" s="778"/>
      <c r="Q153" s="778"/>
      <c r="R153" s="778"/>
      <c r="S153" s="778"/>
      <c r="T153" s="778"/>
      <c r="U153" s="778"/>
      <c r="V153" s="778"/>
      <c r="W153" s="778"/>
      <c r="X153" s="778"/>
      <c r="Y153" s="778"/>
      <c r="Z153" s="778"/>
      <c r="AA153" s="778"/>
      <c r="AB153" s="778"/>
      <c r="AC153" s="778"/>
      <c r="AD153" s="778"/>
      <c r="AE153" s="778"/>
      <c r="AF153" s="778"/>
      <c r="AG153" s="778"/>
      <c r="AH153" s="778"/>
      <c r="AI153" s="778"/>
      <c r="AJ153" s="778"/>
      <c r="AK153" s="778"/>
      <c r="AL153" s="778"/>
      <c r="AM153" s="778"/>
      <c r="AN153" s="778"/>
      <c r="AO153" s="778"/>
      <c r="AP153" s="778"/>
      <c r="AQ153" s="778"/>
      <c r="AR153" s="778"/>
      <c r="AS153" s="778"/>
      <c r="AT153" s="778"/>
      <c r="AU153" s="778"/>
      <c r="AV153" s="778"/>
      <c r="AW153" s="778"/>
      <c r="AX153" s="778"/>
      <c r="AY153" s="778"/>
      <c r="AZ153" s="778"/>
      <c r="BA153" s="778"/>
      <c r="BB153" s="778"/>
      <c r="BC153" s="778"/>
      <c r="BD153" s="778"/>
      <c r="BE153" s="778"/>
      <c r="BF153" s="778"/>
      <c r="BG153" s="778"/>
      <c r="BH153" s="778"/>
      <c r="BI153" s="778"/>
      <c r="BJ153" s="778"/>
      <c r="BK153" s="778"/>
      <c r="BL153" s="778"/>
      <c r="BM153" s="778"/>
      <c r="BN153" s="778"/>
      <c r="BO153" s="778"/>
      <c r="BP153" s="778"/>
      <c r="BQ153" s="778"/>
      <c r="BR153" s="778"/>
      <c r="BS153" s="778"/>
      <c r="BT153" s="778"/>
      <c r="BU153" s="778"/>
      <c r="BV153" s="778"/>
      <c r="BW153" s="778"/>
      <c r="BX153" s="778"/>
      <c r="BY153" s="778"/>
      <c r="BZ153" s="778"/>
      <c r="CA153" s="778"/>
      <c r="CB153" s="778"/>
      <c r="CC153" s="778"/>
      <c r="CD153" s="778"/>
      <c r="CE153" s="778"/>
      <c r="CF153" s="778"/>
      <c r="CG153" s="778"/>
      <c r="CH153" s="778"/>
      <c r="CI153" s="778"/>
      <c r="CJ153" s="778"/>
      <c r="CK153" s="778"/>
      <c r="CL153" s="778"/>
      <c r="CM153" s="778"/>
      <c r="CN153" s="778"/>
      <c r="CO153" s="778"/>
      <c r="CP153" s="778"/>
      <c r="CQ153" s="778"/>
      <c r="CR153" s="778"/>
      <c r="CS153" s="778"/>
      <c r="CT153" s="778"/>
      <c r="CU153" s="778"/>
      <c r="CV153" s="778"/>
      <c r="CW153" s="778"/>
      <c r="CX153" s="778"/>
      <c r="CY153" s="778"/>
      <c r="CZ153" s="778"/>
      <c r="DA153" s="778"/>
      <c r="DB153" s="778"/>
      <c r="DC153" s="778"/>
      <c r="DD153" s="778"/>
      <c r="DE153" s="778"/>
      <c r="DF153" s="778"/>
      <c r="DG153" s="778"/>
      <c r="DH153" s="778"/>
      <c r="DI153" s="778"/>
      <c r="DJ153" s="778"/>
      <c r="DK153" s="778"/>
      <c r="DL153" s="778"/>
      <c r="DM153" s="778"/>
      <c r="DN153" s="778"/>
      <c r="DO153" s="778"/>
      <c r="DP153" s="778"/>
      <c r="DQ153" s="778"/>
      <c r="DR153" s="778"/>
      <c r="DS153" s="778"/>
      <c r="DT153" s="778"/>
      <c r="DU153" s="778"/>
      <c r="DV153" s="778"/>
      <c r="DW153" s="778"/>
      <c r="DX153" s="778"/>
      <c r="DY153" s="778"/>
      <c r="DZ153" s="778"/>
      <c r="EA153" s="778"/>
      <c r="EB153" s="778"/>
      <c r="EC153" s="778"/>
      <c r="ED153" s="778"/>
      <c r="EE153" s="778"/>
      <c r="EF153" s="778"/>
      <c r="EG153" s="778"/>
      <c r="EH153" s="778"/>
    </row>
    <row r="154" spans="5:138" ht="12.75" customHeight="1" x14ac:dyDescent="0.3">
      <c r="E154" s="778"/>
      <c r="F154" s="778"/>
      <c r="G154" s="778"/>
      <c r="H154" s="778"/>
      <c r="I154" s="778"/>
      <c r="J154" s="778"/>
      <c r="K154" s="778"/>
      <c r="L154" s="778"/>
      <c r="M154" s="778"/>
      <c r="N154" s="778"/>
      <c r="O154" s="778"/>
      <c r="P154" s="778"/>
      <c r="Q154" s="778"/>
      <c r="R154" s="778"/>
      <c r="S154" s="778"/>
      <c r="T154" s="778"/>
      <c r="U154" s="778"/>
      <c r="V154" s="778"/>
      <c r="W154" s="778"/>
      <c r="X154" s="778"/>
      <c r="Y154" s="778"/>
      <c r="Z154" s="778"/>
      <c r="AA154" s="778"/>
      <c r="AB154" s="778"/>
      <c r="AC154" s="778"/>
      <c r="AD154" s="778"/>
      <c r="AE154" s="778"/>
      <c r="AF154" s="778"/>
      <c r="AG154" s="778"/>
      <c r="AH154" s="778"/>
      <c r="AI154" s="778"/>
      <c r="AJ154" s="778"/>
      <c r="AK154" s="778"/>
      <c r="AL154" s="778"/>
      <c r="AM154" s="778"/>
      <c r="AN154" s="778"/>
      <c r="AO154" s="778"/>
      <c r="AP154" s="778"/>
      <c r="AQ154" s="778"/>
      <c r="AR154" s="778"/>
      <c r="AS154" s="778"/>
      <c r="AT154" s="778"/>
      <c r="AU154" s="778"/>
      <c r="AV154" s="778"/>
      <c r="AW154" s="778"/>
      <c r="AX154" s="778"/>
      <c r="AY154" s="778"/>
      <c r="AZ154" s="778"/>
      <c r="BA154" s="778"/>
      <c r="BB154" s="778"/>
      <c r="BC154" s="778"/>
      <c r="BD154" s="778"/>
      <c r="BE154" s="778"/>
      <c r="BF154" s="778"/>
      <c r="BG154" s="778"/>
      <c r="BH154" s="778"/>
      <c r="BI154" s="778"/>
      <c r="BJ154" s="778"/>
      <c r="BK154" s="778"/>
      <c r="BL154" s="778"/>
      <c r="BM154" s="778"/>
      <c r="BN154" s="778"/>
      <c r="BO154" s="778"/>
      <c r="BP154" s="778"/>
      <c r="BQ154" s="778"/>
      <c r="BR154" s="778"/>
      <c r="BS154" s="778"/>
      <c r="BT154" s="778"/>
      <c r="BU154" s="778"/>
      <c r="BV154" s="778"/>
      <c r="BW154" s="778"/>
      <c r="BX154" s="778"/>
      <c r="BY154" s="778"/>
      <c r="BZ154" s="778"/>
      <c r="CA154" s="778"/>
      <c r="CB154" s="778"/>
      <c r="CC154" s="778"/>
      <c r="CD154" s="778"/>
      <c r="CE154" s="778"/>
      <c r="CF154" s="778"/>
      <c r="CG154" s="778"/>
      <c r="CH154" s="778"/>
      <c r="CI154" s="778"/>
      <c r="CJ154" s="778"/>
      <c r="CK154" s="778"/>
      <c r="CL154" s="778"/>
      <c r="CM154" s="778"/>
      <c r="CN154" s="778"/>
      <c r="CO154" s="778"/>
      <c r="CP154" s="778"/>
      <c r="CQ154" s="778"/>
      <c r="CR154" s="778"/>
      <c r="CS154" s="778"/>
      <c r="CT154" s="778"/>
      <c r="CU154" s="778"/>
      <c r="CV154" s="778"/>
      <c r="CW154" s="778"/>
      <c r="CX154" s="778"/>
      <c r="CY154" s="778"/>
      <c r="CZ154" s="778"/>
      <c r="DA154" s="778"/>
      <c r="DB154" s="778"/>
      <c r="DC154" s="778"/>
      <c r="DD154" s="778"/>
      <c r="DE154" s="778"/>
      <c r="DF154" s="778"/>
      <c r="DG154" s="778"/>
      <c r="DH154" s="778"/>
      <c r="DI154" s="778"/>
      <c r="DJ154" s="778"/>
      <c r="DK154" s="778"/>
      <c r="DL154" s="778"/>
      <c r="DM154" s="778"/>
      <c r="DN154" s="778"/>
      <c r="DO154" s="778"/>
      <c r="DP154" s="778"/>
      <c r="DQ154" s="778"/>
      <c r="DR154" s="778"/>
      <c r="DS154" s="778"/>
      <c r="DT154" s="778"/>
      <c r="DU154" s="778"/>
      <c r="DV154" s="778"/>
      <c r="DW154" s="778"/>
      <c r="DX154" s="778"/>
      <c r="DY154" s="778"/>
      <c r="DZ154" s="778"/>
      <c r="EA154" s="778"/>
      <c r="EB154" s="778"/>
      <c r="EC154" s="778"/>
      <c r="ED154" s="778"/>
      <c r="EE154" s="778"/>
      <c r="EF154" s="778"/>
      <c r="EG154" s="778"/>
      <c r="EH154" s="778"/>
    </row>
    <row r="155" spans="5:138" ht="12.75" customHeight="1" x14ac:dyDescent="0.3">
      <c r="E155" s="778"/>
      <c r="F155" s="778"/>
      <c r="G155" s="778"/>
      <c r="H155" s="778"/>
      <c r="I155" s="778"/>
      <c r="J155" s="778"/>
      <c r="K155" s="778"/>
      <c r="L155" s="778"/>
      <c r="M155" s="778"/>
      <c r="N155" s="778"/>
      <c r="O155" s="778"/>
      <c r="P155" s="778"/>
      <c r="Q155" s="778"/>
      <c r="R155" s="778"/>
      <c r="S155" s="778"/>
      <c r="T155" s="778"/>
      <c r="U155" s="778"/>
      <c r="V155" s="778"/>
      <c r="W155" s="778"/>
      <c r="X155" s="778"/>
      <c r="Y155" s="778"/>
      <c r="Z155" s="778"/>
      <c r="AA155" s="778"/>
      <c r="AB155" s="778"/>
      <c r="AC155" s="778"/>
      <c r="AD155" s="778"/>
      <c r="AE155" s="778"/>
      <c r="AF155" s="778"/>
      <c r="AG155" s="778"/>
      <c r="AH155" s="778"/>
      <c r="AI155" s="778"/>
      <c r="AJ155" s="778"/>
      <c r="AK155" s="778"/>
      <c r="AL155" s="778"/>
      <c r="AM155" s="778"/>
      <c r="AN155" s="778"/>
      <c r="AO155" s="778"/>
      <c r="AP155" s="778"/>
      <c r="AQ155" s="778"/>
      <c r="AR155" s="778"/>
      <c r="AS155" s="778"/>
      <c r="AT155" s="778"/>
      <c r="AU155" s="778"/>
      <c r="AV155" s="778"/>
      <c r="AW155" s="778"/>
      <c r="AX155" s="778"/>
      <c r="AY155" s="778"/>
      <c r="AZ155" s="778"/>
      <c r="BA155" s="778"/>
      <c r="BB155" s="778"/>
      <c r="BC155" s="778"/>
      <c r="BD155" s="778"/>
      <c r="BE155" s="778"/>
      <c r="BF155" s="778"/>
      <c r="BG155" s="778"/>
      <c r="BH155" s="778"/>
      <c r="BI155" s="778"/>
      <c r="BJ155" s="778"/>
      <c r="BK155" s="778"/>
      <c r="BL155" s="778"/>
      <c r="BM155" s="778"/>
      <c r="BN155" s="778"/>
      <c r="BO155" s="778"/>
      <c r="BP155" s="778"/>
      <c r="BQ155" s="778"/>
      <c r="BR155" s="778"/>
      <c r="BS155" s="778"/>
      <c r="BT155" s="778"/>
      <c r="BU155" s="778"/>
      <c r="BV155" s="778"/>
      <c r="BW155" s="778"/>
      <c r="BX155" s="778"/>
      <c r="BY155" s="778"/>
      <c r="BZ155" s="778"/>
      <c r="CA155" s="778"/>
      <c r="CB155" s="778"/>
      <c r="CC155" s="778"/>
      <c r="CD155" s="778"/>
      <c r="CE155" s="778"/>
      <c r="CF155" s="778"/>
      <c r="CG155" s="778"/>
      <c r="CH155" s="778"/>
      <c r="CI155" s="778"/>
      <c r="CJ155" s="778"/>
      <c r="CK155" s="778"/>
      <c r="CL155" s="778"/>
      <c r="CM155" s="778"/>
      <c r="CN155" s="778"/>
      <c r="CO155" s="778"/>
      <c r="CP155" s="778"/>
      <c r="CQ155" s="778"/>
      <c r="CR155" s="778"/>
      <c r="CS155" s="778"/>
      <c r="CT155" s="778"/>
      <c r="CU155" s="778"/>
      <c r="CV155" s="778"/>
      <c r="CW155" s="778"/>
      <c r="CX155" s="778"/>
      <c r="CY155" s="778"/>
      <c r="CZ155" s="778"/>
      <c r="DA155" s="778"/>
      <c r="DB155" s="778"/>
      <c r="DC155" s="778"/>
      <c r="DD155" s="778"/>
      <c r="DE155" s="778"/>
      <c r="DF155" s="778"/>
      <c r="DG155" s="778"/>
      <c r="DH155" s="778"/>
      <c r="DI155" s="778"/>
      <c r="DJ155" s="778"/>
      <c r="DK155" s="778"/>
      <c r="DL155" s="778"/>
      <c r="DM155" s="778"/>
      <c r="DN155" s="778"/>
      <c r="DO155" s="778"/>
      <c r="DP155" s="778"/>
      <c r="DQ155" s="778"/>
      <c r="DR155" s="778"/>
      <c r="DS155" s="778"/>
      <c r="DT155" s="778"/>
      <c r="DU155" s="778"/>
      <c r="DV155" s="778"/>
      <c r="DW155" s="778"/>
      <c r="DX155" s="778"/>
      <c r="DY155" s="778"/>
      <c r="DZ155" s="778"/>
      <c r="EA155" s="778"/>
      <c r="EB155" s="778"/>
      <c r="EC155" s="778"/>
      <c r="ED155" s="778"/>
      <c r="EE155" s="778"/>
      <c r="EF155" s="778"/>
      <c r="EG155" s="778"/>
      <c r="EH155" s="778"/>
    </row>
    <row r="156" spans="5:138" ht="12.75" customHeight="1" x14ac:dyDescent="0.3">
      <c r="E156" s="778"/>
      <c r="F156" s="778"/>
      <c r="G156" s="778"/>
      <c r="H156" s="778"/>
      <c r="I156" s="778"/>
      <c r="J156" s="778"/>
      <c r="K156" s="778"/>
      <c r="L156" s="778"/>
      <c r="M156" s="778"/>
      <c r="N156" s="778"/>
      <c r="O156" s="778"/>
      <c r="P156" s="778"/>
      <c r="Q156" s="778"/>
      <c r="R156" s="778"/>
      <c r="S156" s="778"/>
      <c r="T156" s="778"/>
      <c r="U156" s="778"/>
      <c r="V156" s="778"/>
      <c r="W156" s="778"/>
      <c r="X156" s="778"/>
      <c r="Y156" s="778"/>
      <c r="Z156" s="778"/>
      <c r="AA156" s="778"/>
      <c r="AB156" s="778"/>
      <c r="AC156" s="778"/>
      <c r="AD156" s="778"/>
      <c r="AE156" s="778"/>
      <c r="AF156" s="778"/>
      <c r="AG156" s="778"/>
      <c r="AH156" s="778"/>
      <c r="AI156" s="778"/>
      <c r="AJ156" s="778"/>
      <c r="AK156" s="778"/>
      <c r="AL156" s="778"/>
      <c r="AM156" s="778"/>
      <c r="AN156" s="778"/>
      <c r="AO156" s="778"/>
      <c r="AP156" s="778"/>
      <c r="AQ156" s="778"/>
      <c r="AR156" s="778"/>
      <c r="AS156" s="778"/>
      <c r="AT156" s="778"/>
      <c r="AU156" s="778"/>
      <c r="AV156" s="778"/>
      <c r="AW156" s="778"/>
      <c r="AX156" s="778"/>
      <c r="AY156" s="778"/>
      <c r="AZ156" s="778"/>
      <c r="BA156" s="778"/>
      <c r="BB156" s="778"/>
      <c r="BC156" s="778"/>
      <c r="BD156" s="778"/>
      <c r="BE156" s="778"/>
      <c r="BF156" s="778"/>
      <c r="BG156" s="778"/>
      <c r="BH156" s="778"/>
      <c r="BI156" s="778"/>
      <c r="BJ156" s="778"/>
      <c r="BK156" s="778"/>
      <c r="BL156" s="778"/>
      <c r="BM156" s="778"/>
      <c r="BN156" s="778"/>
      <c r="BO156" s="778"/>
      <c r="BP156" s="778"/>
      <c r="BQ156" s="778"/>
      <c r="BR156" s="778"/>
      <c r="BS156" s="778"/>
      <c r="BT156" s="778"/>
      <c r="BU156" s="778"/>
      <c r="BV156" s="778"/>
      <c r="BW156" s="778"/>
      <c r="BX156" s="778"/>
      <c r="BY156" s="778"/>
      <c r="BZ156" s="778"/>
      <c r="CA156" s="778"/>
      <c r="CB156" s="778"/>
      <c r="CC156" s="778"/>
      <c r="CD156" s="778"/>
      <c r="CE156" s="778"/>
      <c r="CF156" s="778"/>
      <c r="CG156" s="778"/>
      <c r="CH156" s="778"/>
      <c r="CI156" s="778"/>
      <c r="CJ156" s="778"/>
      <c r="CK156" s="778"/>
      <c r="CL156" s="778"/>
      <c r="CM156" s="778"/>
      <c r="CN156" s="778"/>
      <c r="CO156" s="778"/>
      <c r="CP156" s="778"/>
      <c r="CQ156" s="778"/>
      <c r="CR156" s="778"/>
      <c r="CS156" s="778"/>
      <c r="CT156" s="778"/>
      <c r="CU156" s="778"/>
      <c r="CV156" s="778"/>
      <c r="CW156" s="778"/>
      <c r="CX156" s="778"/>
      <c r="CY156" s="778"/>
      <c r="CZ156" s="778"/>
      <c r="DA156" s="778"/>
      <c r="DB156" s="778"/>
      <c r="DC156" s="778"/>
      <c r="DD156" s="778"/>
      <c r="DE156" s="778"/>
      <c r="DF156" s="778"/>
      <c r="DG156" s="778"/>
      <c r="DH156" s="778"/>
      <c r="DI156" s="778"/>
      <c r="DJ156" s="778"/>
      <c r="DK156" s="778"/>
      <c r="DL156" s="778"/>
      <c r="DM156" s="778"/>
      <c r="DN156" s="778"/>
      <c r="DO156" s="778"/>
      <c r="DP156" s="778"/>
      <c r="DQ156" s="778"/>
      <c r="DR156" s="778"/>
      <c r="DS156" s="778"/>
      <c r="DT156" s="778"/>
      <c r="DU156" s="778"/>
      <c r="DV156" s="778"/>
      <c r="DW156" s="778"/>
      <c r="DX156" s="778"/>
      <c r="DY156" s="778"/>
      <c r="DZ156" s="778"/>
      <c r="EA156" s="778"/>
      <c r="EB156" s="778"/>
      <c r="EC156" s="778"/>
      <c r="ED156" s="778"/>
      <c r="EE156" s="778"/>
      <c r="EF156" s="778"/>
      <c r="EG156" s="778"/>
      <c r="EH156" s="778"/>
    </row>
    <row r="157" spans="5:138" ht="12.75" customHeight="1" x14ac:dyDescent="0.3">
      <c r="E157" s="778"/>
      <c r="F157" s="778"/>
      <c r="G157" s="778"/>
      <c r="H157" s="778"/>
      <c r="I157" s="778"/>
      <c r="J157" s="778"/>
      <c r="K157" s="778"/>
      <c r="L157" s="778"/>
      <c r="M157" s="778"/>
      <c r="N157" s="778"/>
      <c r="O157" s="778"/>
      <c r="P157" s="778"/>
      <c r="Q157" s="778"/>
      <c r="R157" s="778"/>
      <c r="S157" s="778"/>
      <c r="T157" s="778"/>
      <c r="U157" s="778"/>
      <c r="V157" s="778"/>
      <c r="W157" s="778"/>
      <c r="X157" s="778"/>
      <c r="Y157" s="778"/>
      <c r="Z157" s="778"/>
      <c r="AA157" s="778"/>
      <c r="AB157" s="778"/>
      <c r="AC157" s="778"/>
      <c r="AD157" s="778"/>
      <c r="AE157" s="778"/>
      <c r="AF157" s="778"/>
      <c r="AG157" s="778"/>
      <c r="AH157" s="778"/>
      <c r="AI157" s="778"/>
      <c r="AJ157" s="778"/>
      <c r="AK157" s="778"/>
      <c r="AL157" s="778"/>
      <c r="AM157" s="778"/>
      <c r="AN157" s="778"/>
      <c r="AO157" s="778"/>
      <c r="AP157" s="778"/>
      <c r="AQ157" s="778"/>
      <c r="AR157" s="778"/>
      <c r="AS157" s="778"/>
      <c r="AT157" s="778"/>
      <c r="AU157" s="778"/>
      <c r="AV157" s="778"/>
      <c r="AW157" s="778"/>
      <c r="AX157" s="778"/>
      <c r="AY157" s="778"/>
      <c r="AZ157" s="778"/>
      <c r="BA157" s="778"/>
      <c r="BB157" s="778"/>
      <c r="BC157" s="778"/>
      <c r="BD157" s="778"/>
      <c r="BE157" s="778"/>
      <c r="BF157" s="778"/>
      <c r="BG157" s="778"/>
      <c r="BH157" s="778"/>
      <c r="BI157" s="778"/>
      <c r="BJ157" s="778"/>
      <c r="BK157" s="778"/>
      <c r="BL157" s="778"/>
      <c r="BM157" s="778"/>
      <c r="BN157" s="778"/>
      <c r="BO157" s="778"/>
      <c r="BP157" s="778"/>
      <c r="BQ157" s="778"/>
      <c r="BR157" s="778"/>
      <c r="BS157" s="778"/>
      <c r="BT157" s="778"/>
      <c r="BU157" s="778"/>
      <c r="BV157" s="778"/>
      <c r="BW157" s="778"/>
      <c r="BX157" s="778"/>
      <c r="BY157" s="778"/>
      <c r="BZ157" s="778"/>
      <c r="CA157" s="778"/>
      <c r="CB157" s="778"/>
      <c r="CC157" s="778"/>
      <c r="CD157" s="778"/>
      <c r="CE157" s="778"/>
      <c r="CF157" s="778"/>
      <c r="CG157" s="778"/>
      <c r="CH157" s="778"/>
      <c r="CI157" s="778"/>
      <c r="CJ157" s="778"/>
      <c r="CK157" s="778"/>
      <c r="CL157" s="778"/>
      <c r="CM157" s="778"/>
      <c r="CN157" s="778"/>
      <c r="CO157" s="778"/>
      <c r="CP157" s="778"/>
      <c r="CQ157" s="778"/>
      <c r="CR157" s="778"/>
      <c r="CS157" s="778"/>
      <c r="CT157" s="778"/>
      <c r="CU157" s="778"/>
      <c r="CV157" s="778"/>
      <c r="CW157" s="778"/>
      <c r="CX157" s="778"/>
      <c r="CY157" s="778"/>
      <c r="CZ157" s="778"/>
      <c r="DA157" s="778"/>
      <c r="DB157" s="778"/>
      <c r="DC157" s="778"/>
      <c r="DD157" s="778"/>
      <c r="DE157" s="778"/>
      <c r="DF157" s="778"/>
      <c r="DG157" s="778"/>
      <c r="DH157" s="778"/>
      <c r="DI157" s="778"/>
      <c r="DJ157" s="778"/>
      <c r="DK157" s="778"/>
      <c r="DL157" s="778"/>
      <c r="DM157" s="778"/>
      <c r="DN157" s="778"/>
      <c r="DO157" s="778"/>
      <c r="DP157" s="778"/>
      <c r="DQ157" s="778"/>
      <c r="DR157" s="778"/>
      <c r="DS157" s="778"/>
      <c r="DT157" s="778"/>
      <c r="DU157" s="778"/>
      <c r="DV157" s="778"/>
      <c r="DW157" s="778"/>
      <c r="DX157" s="778"/>
      <c r="DY157" s="778"/>
      <c r="DZ157" s="778"/>
      <c r="EA157" s="778"/>
      <c r="EB157" s="778"/>
      <c r="EC157" s="778"/>
      <c r="ED157" s="778"/>
      <c r="EE157" s="778"/>
      <c r="EF157" s="778"/>
      <c r="EG157" s="778"/>
      <c r="EH157" s="778"/>
    </row>
    <row r="158" spans="5:138" ht="12.75" customHeight="1" x14ac:dyDescent="0.3">
      <c r="E158" s="778"/>
      <c r="F158" s="778"/>
      <c r="G158" s="778"/>
      <c r="H158" s="778"/>
      <c r="I158" s="778"/>
      <c r="J158" s="778"/>
      <c r="K158" s="778"/>
      <c r="L158" s="778"/>
      <c r="M158" s="778"/>
      <c r="N158" s="778"/>
      <c r="O158" s="778"/>
      <c r="P158" s="778"/>
      <c r="Q158" s="778"/>
      <c r="R158" s="778"/>
      <c r="S158" s="778"/>
      <c r="T158" s="778"/>
      <c r="U158" s="778"/>
      <c r="V158" s="778"/>
      <c r="W158" s="778"/>
      <c r="X158" s="778"/>
      <c r="Y158" s="778"/>
      <c r="Z158" s="778"/>
      <c r="AA158" s="778"/>
      <c r="AB158" s="778"/>
      <c r="AC158" s="778"/>
      <c r="AD158" s="778"/>
      <c r="AE158" s="778"/>
      <c r="AF158" s="778"/>
      <c r="AG158" s="778"/>
      <c r="AH158" s="778"/>
      <c r="AI158" s="778"/>
      <c r="AJ158" s="778"/>
      <c r="AK158" s="778"/>
      <c r="AL158" s="778"/>
      <c r="AM158" s="778"/>
      <c r="AN158" s="778"/>
      <c r="AO158" s="778"/>
      <c r="AP158" s="778"/>
      <c r="AQ158" s="778"/>
      <c r="AR158" s="778"/>
      <c r="AS158" s="778"/>
      <c r="AT158" s="778"/>
      <c r="AU158" s="778"/>
      <c r="AV158" s="778"/>
      <c r="AW158" s="778"/>
      <c r="AX158" s="778"/>
      <c r="AY158" s="778"/>
      <c r="AZ158" s="778"/>
      <c r="BA158" s="778"/>
      <c r="BB158" s="778"/>
      <c r="BC158" s="778"/>
      <c r="BD158" s="778"/>
      <c r="BE158" s="778"/>
      <c r="BF158" s="778"/>
      <c r="BG158" s="778"/>
      <c r="BH158" s="778"/>
      <c r="BI158" s="778"/>
      <c r="BJ158" s="778"/>
      <c r="BK158" s="778"/>
      <c r="BL158" s="778"/>
      <c r="BM158" s="778"/>
      <c r="BN158" s="778"/>
      <c r="BO158" s="778"/>
      <c r="BP158" s="778"/>
      <c r="BQ158" s="778"/>
      <c r="BR158" s="778"/>
      <c r="BS158" s="778"/>
      <c r="BT158" s="778"/>
      <c r="BU158" s="778"/>
      <c r="BV158" s="778"/>
      <c r="BW158" s="778"/>
      <c r="BX158" s="778"/>
      <c r="BY158" s="778"/>
      <c r="BZ158" s="778"/>
      <c r="CA158" s="778"/>
      <c r="CB158" s="778"/>
      <c r="CC158" s="778"/>
      <c r="CD158" s="778"/>
      <c r="CE158" s="778"/>
      <c r="CF158" s="778"/>
      <c r="CG158" s="778"/>
      <c r="CH158" s="778"/>
      <c r="CI158" s="778"/>
      <c r="CJ158" s="778"/>
      <c r="CK158" s="778"/>
      <c r="CL158" s="778"/>
      <c r="CM158" s="778"/>
      <c r="CN158" s="778"/>
      <c r="CO158" s="778"/>
      <c r="CP158" s="778"/>
      <c r="CQ158" s="778"/>
      <c r="CR158" s="778"/>
      <c r="CS158" s="778"/>
      <c r="CT158" s="778"/>
      <c r="CU158" s="778"/>
      <c r="CV158" s="778"/>
      <c r="CW158" s="778"/>
      <c r="CX158" s="778"/>
      <c r="CY158" s="778"/>
      <c r="CZ158" s="778"/>
      <c r="DA158" s="778"/>
      <c r="DB158" s="778"/>
      <c r="DC158" s="778"/>
      <c r="DD158" s="778"/>
      <c r="DE158" s="778"/>
      <c r="DF158" s="778"/>
      <c r="DG158" s="778"/>
      <c r="DH158" s="778"/>
      <c r="DI158" s="778"/>
      <c r="DJ158" s="778"/>
      <c r="DK158" s="778"/>
      <c r="DL158" s="778"/>
      <c r="DM158" s="778"/>
      <c r="DN158" s="778"/>
      <c r="DO158" s="778"/>
      <c r="DP158" s="778"/>
      <c r="DQ158" s="778"/>
      <c r="DR158" s="778"/>
      <c r="DS158" s="778"/>
      <c r="DT158" s="778"/>
      <c r="DU158" s="778"/>
      <c r="DV158" s="778"/>
      <c r="DW158" s="778"/>
      <c r="DX158" s="778"/>
      <c r="DY158" s="778"/>
      <c r="DZ158" s="778"/>
      <c r="EA158" s="778"/>
      <c r="EB158" s="778"/>
      <c r="EC158" s="778"/>
      <c r="ED158" s="778"/>
      <c r="EE158" s="778"/>
      <c r="EF158" s="778"/>
      <c r="EG158" s="778"/>
      <c r="EH158" s="778"/>
    </row>
    <row r="159" spans="5:138" ht="12.75" customHeight="1" x14ac:dyDescent="0.3">
      <c r="E159" s="778"/>
      <c r="F159" s="778"/>
      <c r="G159" s="778"/>
      <c r="H159" s="778"/>
      <c r="I159" s="778"/>
      <c r="J159" s="778"/>
      <c r="K159" s="778"/>
      <c r="L159" s="778"/>
      <c r="M159" s="778"/>
      <c r="N159" s="778"/>
      <c r="O159" s="778"/>
      <c r="P159" s="778"/>
      <c r="Q159" s="778"/>
      <c r="R159" s="778"/>
      <c r="S159" s="778"/>
      <c r="T159" s="778"/>
      <c r="U159" s="778"/>
      <c r="V159" s="778"/>
      <c r="W159" s="778"/>
      <c r="X159" s="778"/>
      <c r="Y159" s="778"/>
      <c r="Z159" s="778"/>
      <c r="AA159" s="778"/>
      <c r="AB159" s="778"/>
      <c r="AC159" s="778"/>
      <c r="AD159" s="778"/>
      <c r="AE159" s="778"/>
      <c r="AF159" s="778"/>
      <c r="AG159" s="778"/>
      <c r="AH159" s="778"/>
      <c r="AI159" s="778"/>
      <c r="AJ159" s="778"/>
      <c r="AK159" s="778"/>
      <c r="AL159" s="778"/>
      <c r="AM159" s="778"/>
      <c r="AN159" s="778"/>
      <c r="AO159" s="778"/>
      <c r="AP159" s="778"/>
      <c r="AQ159" s="778"/>
      <c r="AR159" s="778"/>
      <c r="AS159" s="778"/>
      <c r="AT159" s="778"/>
      <c r="AU159" s="778"/>
      <c r="AV159" s="778"/>
      <c r="AW159" s="778"/>
      <c r="AX159" s="778"/>
      <c r="AY159" s="778"/>
      <c r="AZ159" s="778"/>
      <c r="BA159" s="778"/>
      <c r="BB159" s="778"/>
      <c r="BC159" s="778"/>
      <c r="BD159" s="778"/>
      <c r="BE159" s="778"/>
      <c r="BF159" s="778"/>
      <c r="BG159" s="778"/>
      <c r="BH159" s="778"/>
      <c r="BI159" s="778"/>
      <c r="BJ159" s="778"/>
      <c r="BK159" s="778"/>
      <c r="BL159" s="778"/>
      <c r="BM159" s="778"/>
      <c r="BN159" s="778"/>
      <c r="BO159" s="778"/>
      <c r="BP159" s="778"/>
      <c r="BQ159" s="778"/>
      <c r="BR159" s="778"/>
      <c r="BS159" s="778"/>
      <c r="BT159" s="778"/>
      <c r="BU159" s="778"/>
      <c r="BV159" s="778"/>
      <c r="BW159" s="778"/>
      <c r="BX159" s="778"/>
      <c r="BY159" s="778"/>
      <c r="BZ159" s="778"/>
      <c r="CA159" s="778"/>
      <c r="CB159" s="778"/>
      <c r="CC159" s="778"/>
      <c r="CD159" s="778"/>
      <c r="CE159" s="778"/>
      <c r="CF159" s="778"/>
      <c r="CG159" s="778"/>
      <c r="CH159" s="778"/>
      <c r="CI159" s="778"/>
      <c r="CJ159" s="778"/>
      <c r="CK159" s="778"/>
      <c r="CL159" s="778"/>
      <c r="CM159" s="778"/>
      <c r="CN159" s="778"/>
      <c r="CO159" s="778"/>
      <c r="CP159" s="778"/>
      <c r="CQ159" s="778"/>
      <c r="CR159" s="778"/>
      <c r="CS159" s="778"/>
      <c r="CT159" s="778"/>
      <c r="CU159" s="778"/>
      <c r="CV159" s="778"/>
      <c r="CW159" s="778"/>
      <c r="CX159" s="778"/>
      <c r="CY159" s="778"/>
      <c r="CZ159" s="778"/>
      <c r="DA159" s="778"/>
      <c r="DB159" s="778"/>
      <c r="DC159" s="778"/>
      <c r="DD159" s="778"/>
      <c r="DE159" s="778"/>
      <c r="DF159" s="778"/>
      <c r="DG159" s="778"/>
      <c r="DH159" s="778"/>
      <c r="DI159" s="778"/>
      <c r="DJ159" s="778"/>
      <c r="DK159" s="778"/>
      <c r="DL159" s="778"/>
      <c r="DM159" s="778"/>
      <c r="DN159" s="778"/>
      <c r="DO159" s="778"/>
      <c r="DP159" s="778"/>
      <c r="DQ159" s="778"/>
      <c r="DR159" s="778"/>
      <c r="DS159" s="778"/>
      <c r="DT159" s="778"/>
      <c r="DU159" s="778"/>
      <c r="DV159" s="778"/>
      <c r="DW159" s="778"/>
      <c r="DX159" s="778"/>
      <c r="DY159" s="778"/>
      <c r="DZ159" s="778"/>
      <c r="EA159" s="778"/>
      <c r="EB159" s="778"/>
      <c r="EC159" s="778"/>
      <c r="ED159" s="778"/>
      <c r="EE159" s="778"/>
      <c r="EF159" s="778"/>
      <c r="EG159" s="778"/>
      <c r="EH159" s="778"/>
    </row>
    <row r="160" spans="5:138" ht="12.75" customHeight="1" x14ac:dyDescent="0.3">
      <c r="E160" s="778"/>
      <c r="F160" s="778"/>
      <c r="G160" s="778"/>
      <c r="H160" s="778"/>
      <c r="I160" s="778"/>
      <c r="J160" s="778"/>
      <c r="K160" s="778"/>
      <c r="L160" s="778"/>
      <c r="M160" s="778"/>
      <c r="N160" s="778"/>
      <c r="O160" s="778"/>
      <c r="P160" s="778"/>
      <c r="Q160" s="778"/>
      <c r="R160" s="778"/>
      <c r="S160" s="778"/>
      <c r="T160" s="778"/>
      <c r="U160" s="778"/>
      <c r="V160" s="778"/>
      <c r="W160" s="778"/>
      <c r="X160" s="778"/>
      <c r="Y160" s="778"/>
      <c r="Z160" s="778"/>
      <c r="AA160" s="778"/>
      <c r="AB160" s="778"/>
      <c r="AC160" s="778"/>
      <c r="AD160" s="778"/>
      <c r="AE160" s="778"/>
      <c r="AF160" s="778"/>
      <c r="AG160" s="778"/>
      <c r="AH160" s="778"/>
      <c r="AI160" s="778"/>
      <c r="AJ160" s="778"/>
      <c r="AK160" s="778"/>
      <c r="AL160" s="778"/>
      <c r="AM160" s="778"/>
      <c r="AN160" s="778"/>
      <c r="AO160" s="778"/>
      <c r="AP160" s="778"/>
      <c r="AQ160" s="778"/>
      <c r="AR160" s="778"/>
      <c r="AS160" s="778"/>
      <c r="AT160" s="778"/>
      <c r="AU160" s="778"/>
      <c r="AV160" s="778"/>
      <c r="AW160" s="778"/>
      <c r="AX160" s="778"/>
      <c r="AY160" s="778"/>
      <c r="AZ160" s="778"/>
      <c r="BA160" s="778"/>
      <c r="BB160" s="778"/>
      <c r="BC160" s="778"/>
      <c r="BD160" s="778"/>
      <c r="BE160" s="778"/>
      <c r="BF160" s="778"/>
      <c r="BG160" s="778"/>
      <c r="BH160" s="778"/>
      <c r="BI160" s="778"/>
      <c r="BJ160" s="778"/>
      <c r="BK160" s="778"/>
      <c r="BL160" s="778"/>
      <c r="BM160" s="778"/>
      <c r="BN160" s="778"/>
      <c r="BO160" s="778"/>
      <c r="BP160" s="778"/>
      <c r="BQ160" s="778"/>
      <c r="BR160" s="778"/>
      <c r="BS160" s="778"/>
      <c r="BT160" s="778"/>
      <c r="BU160" s="778"/>
      <c r="BV160" s="778"/>
      <c r="BW160" s="778"/>
      <c r="BX160" s="778"/>
      <c r="BY160" s="778"/>
      <c r="BZ160" s="778"/>
      <c r="CA160" s="778"/>
      <c r="CB160" s="778"/>
      <c r="CC160" s="778"/>
      <c r="CD160" s="778"/>
      <c r="CE160" s="778"/>
      <c r="CF160" s="778"/>
      <c r="CG160" s="778"/>
      <c r="CH160" s="778"/>
      <c r="CI160" s="778"/>
      <c r="CJ160" s="778"/>
      <c r="CK160" s="778"/>
      <c r="CL160" s="778"/>
      <c r="CM160" s="778"/>
      <c r="CN160" s="778"/>
      <c r="CO160" s="778"/>
      <c r="CP160" s="778"/>
      <c r="CQ160" s="778"/>
      <c r="CR160" s="778"/>
      <c r="CS160" s="778"/>
      <c r="CT160" s="778"/>
      <c r="CU160" s="778"/>
      <c r="CV160" s="778"/>
      <c r="CW160" s="778"/>
      <c r="CX160" s="778"/>
      <c r="CY160" s="778"/>
      <c r="CZ160" s="778"/>
      <c r="DA160" s="778"/>
      <c r="DB160" s="778"/>
      <c r="DC160" s="778"/>
      <c r="DD160" s="778"/>
      <c r="DE160" s="778"/>
      <c r="DF160" s="778"/>
      <c r="DG160" s="778"/>
      <c r="DH160" s="778"/>
      <c r="DI160" s="778"/>
      <c r="DJ160" s="778"/>
      <c r="DK160" s="778"/>
      <c r="DL160" s="778"/>
      <c r="DM160" s="778"/>
      <c r="DN160" s="778"/>
      <c r="DO160" s="778"/>
      <c r="DP160" s="778"/>
      <c r="DQ160" s="778"/>
      <c r="DR160" s="778"/>
      <c r="DS160" s="778"/>
      <c r="DT160" s="778"/>
      <c r="DU160" s="778"/>
      <c r="DV160" s="778"/>
      <c r="DW160" s="778"/>
      <c r="DX160" s="778"/>
      <c r="DY160" s="778"/>
      <c r="DZ160" s="778"/>
      <c r="EA160" s="778"/>
      <c r="EB160" s="778"/>
      <c r="EC160" s="778"/>
      <c r="ED160" s="778"/>
      <c r="EE160" s="778"/>
      <c r="EF160" s="778"/>
      <c r="EG160" s="778"/>
      <c r="EH160" s="778"/>
    </row>
    <row r="161" spans="5:138" ht="12.75" customHeight="1" x14ac:dyDescent="0.3">
      <c r="E161" s="778"/>
      <c r="F161" s="778"/>
      <c r="G161" s="778"/>
      <c r="H161" s="778"/>
      <c r="I161" s="778"/>
      <c r="J161" s="778"/>
      <c r="K161" s="778"/>
      <c r="L161" s="778"/>
      <c r="M161" s="778"/>
      <c r="N161" s="778"/>
      <c r="O161" s="778"/>
      <c r="P161" s="778"/>
      <c r="Q161" s="778"/>
      <c r="R161" s="778"/>
      <c r="S161" s="778"/>
      <c r="T161" s="778"/>
      <c r="U161" s="778"/>
      <c r="V161" s="778"/>
      <c r="W161" s="778"/>
      <c r="X161" s="778"/>
      <c r="Y161" s="778"/>
      <c r="Z161" s="778"/>
      <c r="AA161" s="778"/>
      <c r="AB161" s="778"/>
      <c r="AC161" s="778"/>
      <c r="AD161" s="778"/>
      <c r="AE161" s="778"/>
      <c r="AF161" s="778"/>
      <c r="AG161" s="778"/>
      <c r="AH161" s="778"/>
      <c r="AI161" s="778"/>
      <c r="AJ161" s="778"/>
      <c r="AK161" s="778"/>
      <c r="AL161" s="778"/>
      <c r="AM161" s="778"/>
      <c r="AN161" s="778"/>
      <c r="AO161" s="778"/>
      <c r="AP161" s="778"/>
      <c r="AQ161" s="778"/>
      <c r="AR161" s="778"/>
      <c r="AS161" s="778"/>
      <c r="AT161" s="778"/>
      <c r="AU161" s="778"/>
      <c r="AV161" s="778"/>
      <c r="AW161" s="778"/>
      <c r="AX161" s="778"/>
      <c r="AY161" s="778"/>
      <c r="AZ161" s="778"/>
      <c r="BA161" s="778"/>
      <c r="BB161" s="778"/>
      <c r="BC161" s="778"/>
      <c r="BD161" s="778"/>
      <c r="BE161" s="778"/>
      <c r="BF161" s="778"/>
      <c r="BG161" s="778"/>
      <c r="BH161" s="778"/>
      <c r="BI161" s="778"/>
      <c r="BJ161" s="778"/>
      <c r="BK161" s="778"/>
      <c r="BL161" s="778"/>
      <c r="BM161" s="778"/>
      <c r="BN161" s="778"/>
      <c r="BO161" s="778"/>
      <c r="BP161" s="778"/>
      <c r="BQ161" s="778"/>
      <c r="BR161" s="778"/>
      <c r="BS161" s="778"/>
      <c r="BT161" s="778"/>
      <c r="BU161" s="778"/>
      <c r="BV161" s="778"/>
      <c r="BW161" s="778"/>
      <c r="BX161" s="778"/>
      <c r="BY161" s="778"/>
      <c r="BZ161" s="778"/>
      <c r="CA161" s="778"/>
      <c r="CB161" s="778"/>
      <c r="CC161" s="778"/>
      <c r="CD161" s="778"/>
      <c r="CE161" s="778"/>
      <c r="CF161" s="778"/>
      <c r="CG161" s="778"/>
      <c r="CH161" s="778"/>
      <c r="CI161" s="778"/>
      <c r="CJ161" s="778"/>
      <c r="CK161" s="778"/>
      <c r="CL161" s="778"/>
      <c r="CM161" s="778"/>
      <c r="CN161" s="778"/>
      <c r="CO161" s="778"/>
      <c r="CP161" s="778"/>
      <c r="CQ161" s="778"/>
      <c r="CR161" s="778"/>
      <c r="CS161" s="778"/>
      <c r="CT161" s="778"/>
      <c r="CU161" s="778"/>
      <c r="CV161" s="778"/>
      <c r="CW161" s="778"/>
      <c r="CX161" s="778"/>
      <c r="CY161" s="778"/>
      <c r="CZ161" s="778"/>
      <c r="DA161" s="778"/>
      <c r="DB161" s="778"/>
      <c r="DC161" s="778"/>
      <c r="DD161" s="778"/>
      <c r="DE161" s="778"/>
      <c r="DF161" s="778"/>
      <c r="DG161" s="778"/>
      <c r="DH161" s="778"/>
      <c r="DI161" s="778"/>
      <c r="DJ161" s="778"/>
      <c r="DK161" s="778"/>
      <c r="DL161" s="778"/>
      <c r="DM161" s="778"/>
      <c r="DN161" s="778"/>
      <c r="DO161" s="778"/>
      <c r="DP161" s="778"/>
      <c r="DQ161" s="778"/>
      <c r="DR161" s="778"/>
      <c r="DS161" s="778"/>
      <c r="DT161" s="778"/>
      <c r="DU161" s="778"/>
      <c r="DV161" s="778"/>
      <c r="DW161" s="778"/>
      <c r="DX161" s="778"/>
      <c r="DY161" s="778"/>
      <c r="DZ161" s="778"/>
      <c r="EA161" s="778"/>
      <c r="EB161" s="778"/>
      <c r="EC161" s="778"/>
      <c r="ED161" s="778"/>
      <c r="EE161" s="778"/>
      <c r="EF161" s="778"/>
      <c r="EG161" s="778"/>
      <c r="EH161" s="778"/>
    </row>
    <row r="162" spans="5:138" ht="12.75" customHeight="1" x14ac:dyDescent="0.3">
      <c r="E162" s="778"/>
      <c r="F162" s="778"/>
      <c r="G162" s="778"/>
      <c r="H162" s="778"/>
      <c r="I162" s="778"/>
      <c r="J162" s="778"/>
      <c r="K162" s="778"/>
      <c r="L162" s="778"/>
      <c r="M162" s="778"/>
      <c r="N162" s="778"/>
      <c r="O162" s="778"/>
      <c r="P162" s="778"/>
      <c r="Q162" s="778"/>
      <c r="R162" s="778"/>
      <c r="S162" s="778"/>
      <c r="T162" s="778"/>
      <c r="U162" s="778"/>
      <c r="V162" s="778"/>
      <c r="W162" s="778"/>
      <c r="X162" s="778"/>
      <c r="Y162" s="778"/>
      <c r="Z162" s="778"/>
      <c r="AA162" s="778"/>
      <c r="AB162" s="778"/>
      <c r="AC162" s="778"/>
      <c r="AD162" s="778"/>
      <c r="AE162" s="778"/>
      <c r="AF162" s="778"/>
      <c r="AG162" s="778"/>
      <c r="AH162" s="778"/>
      <c r="AI162" s="778"/>
      <c r="AJ162" s="778"/>
      <c r="AK162" s="778"/>
      <c r="AL162" s="778"/>
      <c r="AM162" s="778"/>
      <c r="AN162" s="778"/>
      <c r="AO162" s="778"/>
      <c r="AP162" s="778"/>
      <c r="AQ162" s="778"/>
      <c r="AR162" s="778"/>
      <c r="AS162" s="778"/>
      <c r="AT162" s="778"/>
      <c r="AU162" s="778"/>
      <c r="AV162" s="778"/>
      <c r="AW162" s="778"/>
      <c r="AX162" s="778"/>
      <c r="AY162" s="778"/>
      <c r="AZ162" s="778"/>
      <c r="BA162" s="778"/>
      <c r="BB162" s="778"/>
      <c r="BC162" s="778"/>
      <c r="BD162" s="778"/>
      <c r="BE162" s="778"/>
      <c r="BF162" s="778"/>
      <c r="BG162" s="778"/>
      <c r="BH162" s="778"/>
      <c r="BI162" s="778"/>
      <c r="BJ162" s="778"/>
      <c r="BK162" s="778"/>
      <c r="BL162" s="778"/>
      <c r="BM162" s="778"/>
      <c r="BN162" s="778"/>
      <c r="BO162" s="778"/>
      <c r="BP162" s="778"/>
      <c r="BQ162" s="778"/>
      <c r="BR162" s="778"/>
      <c r="BS162" s="778"/>
      <c r="BT162" s="778"/>
      <c r="BU162" s="778"/>
      <c r="BV162" s="778"/>
      <c r="BW162" s="778"/>
      <c r="BX162" s="778"/>
      <c r="BY162" s="778"/>
      <c r="BZ162" s="778"/>
      <c r="CA162" s="778"/>
      <c r="CB162" s="778"/>
      <c r="CC162" s="778"/>
      <c r="CD162" s="778"/>
      <c r="CE162" s="778"/>
      <c r="CF162" s="778"/>
      <c r="CG162" s="778"/>
      <c r="CH162" s="778"/>
      <c r="CI162" s="778"/>
      <c r="CJ162" s="778"/>
      <c r="CK162" s="778"/>
      <c r="CL162" s="778"/>
      <c r="CM162" s="778"/>
      <c r="CN162" s="778"/>
      <c r="CO162" s="778"/>
      <c r="CP162" s="778"/>
      <c r="CQ162" s="778"/>
      <c r="CR162" s="778"/>
      <c r="CS162" s="778"/>
      <c r="CT162" s="778"/>
      <c r="CU162" s="778"/>
      <c r="CV162" s="778"/>
      <c r="CW162" s="778"/>
      <c r="CX162" s="778"/>
      <c r="CY162" s="778"/>
      <c r="CZ162" s="778"/>
      <c r="DA162" s="778"/>
      <c r="DB162" s="778"/>
      <c r="DC162" s="778"/>
      <c r="DD162" s="778"/>
      <c r="DE162" s="778"/>
      <c r="DF162" s="778"/>
      <c r="DG162" s="778"/>
      <c r="DH162" s="778"/>
      <c r="DI162" s="778"/>
      <c r="DJ162" s="778"/>
      <c r="DK162" s="778"/>
      <c r="DL162" s="778"/>
      <c r="DM162" s="778"/>
      <c r="DN162" s="778"/>
      <c r="DO162" s="778"/>
      <c r="DP162" s="778"/>
      <c r="DQ162" s="778"/>
      <c r="DR162" s="778"/>
      <c r="DS162" s="778"/>
      <c r="DT162" s="778"/>
      <c r="DU162" s="778"/>
      <c r="DV162" s="778"/>
      <c r="DW162" s="778"/>
      <c r="DX162" s="778"/>
      <c r="DY162" s="778"/>
      <c r="DZ162" s="778"/>
      <c r="EA162" s="778"/>
      <c r="EB162" s="778"/>
      <c r="EC162" s="778"/>
      <c r="ED162" s="778"/>
      <c r="EE162" s="778"/>
      <c r="EF162" s="778"/>
      <c r="EG162" s="778"/>
      <c r="EH162" s="778"/>
    </row>
    <row r="163" spans="5:138" ht="12.75" customHeight="1" x14ac:dyDescent="0.3">
      <c r="E163" s="778"/>
      <c r="F163" s="778"/>
      <c r="G163" s="778"/>
      <c r="H163" s="778"/>
      <c r="I163" s="778"/>
      <c r="J163" s="778"/>
      <c r="K163" s="778"/>
      <c r="L163" s="778"/>
      <c r="M163" s="778"/>
      <c r="N163" s="778"/>
      <c r="O163" s="778"/>
      <c r="P163" s="778"/>
      <c r="Q163" s="778"/>
      <c r="R163" s="778"/>
      <c r="S163" s="778"/>
      <c r="T163" s="778"/>
      <c r="U163" s="778"/>
      <c r="V163" s="778"/>
      <c r="W163" s="778"/>
      <c r="X163" s="778"/>
      <c r="Y163" s="778"/>
      <c r="Z163" s="778"/>
      <c r="AA163" s="778"/>
      <c r="AB163" s="778"/>
      <c r="AC163" s="778"/>
      <c r="AD163" s="778"/>
      <c r="AE163" s="778"/>
      <c r="AF163" s="778"/>
      <c r="AG163" s="778"/>
      <c r="AH163" s="778"/>
      <c r="AI163" s="778"/>
      <c r="AJ163" s="778"/>
      <c r="AK163" s="778"/>
      <c r="AL163" s="778"/>
      <c r="AM163" s="778"/>
      <c r="AN163" s="778"/>
      <c r="AO163" s="778"/>
      <c r="AP163" s="778"/>
      <c r="AQ163" s="778"/>
      <c r="AR163" s="778"/>
      <c r="AS163" s="778"/>
      <c r="AT163" s="778"/>
      <c r="AU163" s="778"/>
      <c r="AV163" s="778"/>
      <c r="AW163" s="778"/>
      <c r="AX163" s="778"/>
      <c r="AY163" s="778"/>
      <c r="AZ163" s="778"/>
      <c r="BA163" s="778"/>
      <c r="BB163" s="778"/>
      <c r="BC163" s="778"/>
      <c r="BD163" s="778"/>
      <c r="BE163" s="778"/>
      <c r="BF163" s="778"/>
      <c r="BG163" s="778"/>
      <c r="BH163" s="778"/>
      <c r="BI163" s="778"/>
      <c r="BJ163" s="778"/>
      <c r="BK163" s="778"/>
      <c r="BL163" s="778"/>
      <c r="BM163" s="778"/>
      <c r="BN163" s="778"/>
      <c r="BO163" s="778"/>
      <c r="BP163" s="778"/>
      <c r="BQ163" s="778"/>
      <c r="BR163" s="778"/>
      <c r="BS163" s="778"/>
      <c r="BT163" s="778"/>
      <c r="BU163" s="778"/>
      <c r="BV163" s="778"/>
      <c r="BW163" s="778"/>
      <c r="BX163" s="778"/>
      <c r="BY163" s="778"/>
      <c r="BZ163" s="778"/>
      <c r="CA163" s="778"/>
      <c r="CB163" s="778"/>
      <c r="CC163" s="778"/>
      <c r="CD163" s="778"/>
      <c r="CE163" s="778"/>
      <c r="CF163" s="778"/>
      <c r="CG163" s="778"/>
      <c r="CH163" s="778"/>
      <c r="CI163" s="778"/>
      <c r="CJ163" s="778"/>
      <c r="CK163" s="778"/>
      <c r="CL163" s="778"/>
      <c r="CM163" s="778"/>
      <c r="CN163" s="778"/>
      <c r="CO163" s="778"/>
      <c r="CP163" s="778"/>
      <c r="CQ163" s="778"/>
      <c r="CR163" s="778"/>
      <c r="CS163" s="778"/>
      <c r="CT163" s="778"/>
      <c r="CU163" s="778"/>
      <c r="CV163" s="778"/>
      <c r="CW163" s="778"/>
      <c r="CX163" s="778"/>
      <c r="CY163" s="778"/>
      <c r="CZ163" s="778"/>
      <c r="DA163" s="778"/>
      <c r="DB163" s="778"/>
      <c r="DC163" s="778"/>
      <c r="DD163" s="778"/>
      <c r="DE163" s="778"/>
      <c r="DF163" s="778"/>
      <c r="DG163" s="778"/>
      <c r="DH163" s="778"/>
      <c r="DI163" s="778"/>
      <c r="DJ163" s="778"/>
      <c r="DK163" s="778"/>
      <c r="DL163" s="778"/>
      <c r="DM163" s="778"/>
      <c r="DN163" s="778"/>
      <c r="DO163" s="778"/>
      <c r="DP163" s="778"/>
      <c r="DQ163" s="778"/>
      <c r="DR163" s="778"/>
      <c r="DS163" s="778"/>
      <c r="DT163" s="778"/>
      <c r="DU163" s="778"/>
      <c r="DV163" s="778"/>
      <c r="DW163" s="778"/>
      <c r="DX163" s="778"/>
      <c r="DY163" s="778"/>
      <c r="DZ163" s="778"/>
      <c r="EA163" s="778"/>
      <c r="EB163" s="778"/>
      <c r="EC163" s="778"/>
      <c r="ED163" s="778"/>
      <c r="EE163" s="778"/>
      <c r="EF163" s="778"/>
      <c r="EG163" s="778"/>
      <c r="EH163" s="778"/>
    </row>
    <row r="164" spans="5:138" ht="12.75" customHeight="1" x14ac:dyDescent="0.3">
      <c r="E164" s="778"/>
      <c r="F164" s="778"/>
      <c r="G164" s="778"/>
      <c r="H164" s="778"/>
      <c r="I164" s="778"/>
      <c r="J164" s="778"/>
      <c r="K164" s="778"/>
      <c r="L164" s="778"/>
      <c r="M164" s="778"/>
      <c r="N164" s="778"/>
      <c r="O164" s="778"/>
      <c r="P164" s="778"/>
      <c r="Q164" s="778"/>
      <c r="R164" s="778"/>
      <c r="S164" s="778"/>
      <c r="T164" s="778"/>
      <c r="U164" s="778"/>
      <c r="V164" s="778"/>
      <c r="W164" s="778"/>
      <c r="X164" s="778"/>
      <c r="Y164" s="778"/>
      <c r="Z164" s="778"/>
      <c r="AA164" s="778"/>
      <c r="AB164" s="778"/>
      <c r="AC164" s="778"/>
      <c r="AD164" s="778"/>
      <c r="AE164" s="778"/>
      <c r="AF164" s="778"/>
      <c r="AG164" s="778"/>
      <c r="AH164" s="778"/>
      <c r="AI164" s="778"/>
      <c r="AJ164" s="778"/>
      <c r="AK164" s="778"/>
      <c r="AL164" s="778"/>
      <c r="AM164" s="778"/>
      <c r="AN164" s="778"/>
      <c r="AO164" s="778"/>
      <c r="AP164" s="778"/>
      <c r="AQ164" s="778"/>
      <c r="AR164" s="778"/>
      <c r="AS164" s="778"/>
      <c r="AT164" s="778"/>
      <c r="AU164" s="778"/>
      <c r="AV164" s="778"/>
      <c r="AW164" s="778"/>
      <c r="AX164" s="778"/>
      <c r="AY164" s="778"/>
      <c r="AZ164" s="778"/>
      <c r="BA164" s="778"/>
      <c r="BB164" s="778"/>
      <c r="BC164" s="778"/>
      <c r="BD164" s="778"/>
      <c r="BE164" s="778"/>
      <c r="BF164" s="778"/>
      <c r="BG164" s="778"/>
      <c r="BH164" s="778"/>
      <c r="BI164" s="778"/>
      <c r="BJ164" s="778"/>
      <c r="BK164" s="778"/>
      <c r="BL164" s="778"/>
      <c r="BM164" s="778"/>
      <c r="BN164" s="778"/>
      <c r="BO164" s="778"/>
      <c r="BP164" s="778"/>
      <c r="BQ164" s="778"/>
      <c r="BR164" s="778"/>
      <c r="BS164" s="778"/>
      <c r="BT164" s="778"/>
      <c r="BU164" s="778"/>
      <c r="BV164" s="778"/>
      <c r="BW164" s="778"/>
      <c r="BX164" s="778"/>
      <c r="BY164" s="778"/>
      <c r="BZ164" s="778"/>
      <c r="CA164" s="778"/>
      <c r="CB164" s="778"/>
      <c r="CC164" s="778"/>
      <c r="CD164" s="778"/>
      <c r="CE164" s="778"/>
      <c r="CF164" s="778"/>
      <c r="CG164" s="778"/>
      <c r="CH164" s="778"/>
      <c r="CI164" s="778"/>
      <c r="CJ164" s="778"/>
      <c r="CK164" s="778"/>
      <c r="CL164" s="778"/>
      <c r="CM164" s="778"/>
      <c r="CN164" s="778"/>
      <c r="CO164" s="778"/>
      <c r="CP164" s="778"/>
      <c r="CQ164" s="778"/>
      <c r="CR164" s="778"/>
      <c r="CS164" s="778"/>
      <c r="CT164" s="778"/>
      <c r="CU164" s="778"/>
      <c r="CV164" s="778"/>
      <c r="CW164" s="778"/>
      <c r="CX164" s="778"/>
      <c r="CY164" s="778"/>
      <c r="CZ164" s="778"/>
      <c r="DA164" s="778"/>
      <c r="DB164" s="778"/>
      <c r="DC164" s="778"/>
      <c r="DD164" s="778"/>
      <c r="DE164" s="778"/>
      <c r="DF164" s="778"/>
      <c r="DG164" s="778"/>
      <c r="DH164" s="778"/>
      <c r="DI164" s="778"/>
      <c r="DJ164" s="778"/>
      <c r="DK164" s="778"/>
      <c r="DL164" s="778"/>
      <c r="DM164" s="778"/>
      <c r="DN164" s="778"/>
      <c r="DO164" s="778"/>
      <c r="DP164" s="778"/>
      <c r="DQ164" s="778"/>
      <c r="DR164" s="778"/>
      <c r="DS164" s="778"/>
      <c r="DT164" s="778"/>
      <c r="DU164" s="778"/>
      <c r="DV164" s="778"/>
      <c r="DW164" s="778"/>
      <c r="DX164" s="778"/>
      <c r="DY164" s="778"/>
      <c r="DZ164" s="778"/>
      <c r="EA164" s="778"/>
      <c r="EB164" s="778"/>
      <c r="EC164" s="778"/>
      <c r="ED164" s="778"/>
      <c r="EE164" s="778"/>
      <c r="EF164" s="778"/>
      <c r="EG164" s="778"/>
      <c r="EH164" s="778"/>
    </row>
    <row r="165" spans="5:138" ht="12.75" customHeight="1" x14ac:dyDescent="0.3">
      <c r="E165" s="778"/>
      <c r="F165" s="778"/>
      <c r="G165" s="778"/>
      <c r="H165" s="778"/>
      <c r="I165" s="778"/>
      <c r="J165" s="778"/>
      <c r="K165" s="778"/>
      <c r="L165" s="778"/>
      <c r="M165" s="778"/>
      <c r="N165" s="778"/>
      <c r="O165" s="778"/>
      <c r="P165" s="778"/>
      <c r="Q165" s="778"/>
      <c r="R165" s="778"/>
      <c r="S165" s="778"/>
      <c r="T165" s="778"/>
      <c r="U165" s="778"/>
      <c r="V165" s="778"/>
      <c r="W165" s="778"/>
      <c r="X165" s="778"/>
      <c r="Y165" s="778"/>
      <c r="Z165" s="778"/>
      <c r="AA165" s="778"/>
      <c r="AB165" s="778"/>
      <c r="AC165" s="778"/>
      <c r="AD165" s="778"/>
      <c r="AE165" s="778"/>
      <c r="AF165" s="778"/>
      <c r="AG165" s="778"/>
      <c r="AH165" s="778"/>
      <c r="AI165" s="778"/>
      <c r="AJ165" s="778"/>
      <c r="AK165" s="778"/>
      <c r="AL165" s="778"/>
      <c r="AM165" s="778"/>
      <c r="AN165" s="778"/>
      <c r="AO165" s="778"/>
      <c r="AP165" s="778"/>
      <c r="AQ165" s="778"/>
      <c r="AR165" s="778"/>
      <c r="AS165" s="778"/>
      <c r="AT165" s="778"/>
      <c r="AU165" s="778"/>
      <c r="AV165" s="778"/>
      <c r="AW165" s="778"/>
      <c r="AX165" s="778"/>
      <c r="AY165" s="778"/>
      <c r="AZ165" s="778"/>
      <c r="BA165" s="778"/>
      <c r="BB165" s="778"/>
      <c r="BC165" s="778"/>
      <c r="BD165" s="778"/>
      <c r="BE165" s="778"/>
      <c r="BF165" s="778"/>
      <c r="BG165" s="778"/>
      <c r="BH165" s="778"/>
      <c r="BI165" s="778"/>
      <c r="BJ165" s="778"/>
      <c r="BK165" s="778"/>
      <c r="BL165" s="778"/>
      <c r="BM165" s="778"/>
      <c r="BN165" s="778"/>
      <c r="BO165" s="778"/>
      <c r="BP165" s="778"/>
      <c r="BQ165" s="778"/>
      <c r="BR165" s="778"/>
      <c r="BS165" s="778"/>
      <c r="BT165" s="778"/>
      <c r="BU165" s="778"/>
      <c r="BV165" s="778"/>
      <c r="BW165" s="778"/>
      <c r="BX165" s="778"/>
      <c r="BY165" s="778"/>
      <c r="BZ165" s="778"/>
      <c r="CA165" s="778"/>
      <c r="CB165" s="778"/>
      <c r="CC165" s="778"/>
      <c r="CD165" s="778"/>
      <c r="CE165" s="778"/>
      <c r="CF165" s="778"/>
      <c r="CG165" s="778"/>
      <c r="CH165" s="778"/>
      <c r="CI165" s="778"/>
      <c r="CJ165" s="778"/>
      <c r="CK165" s="778"/>
      <c r="CL165" s="778"/>
      <c r="CM165" s="778"/>
      <c r="CN165" s="778"/>
      <c r="CO165" s="778"/>
      <c r="CP165" s="778"/>
      <c r="CQ165" s="778"/>
      <c r="CR165" s="778"/>
      <c r="CS165" s="778"/>
      <c r="CT165" s="778"/>
      <c r="CU165" s="778"/>
      <c r="CV165" s="778"/>
      <c r="CW165" s="778"/>
      <c r="CX165" s="778"/>
      <c r="CY165" s="778"/>
      <c r="CZ165" s="778"/>
      <c r="DA165" s="778"/>
      <c r="DB165" s="778"/>
      <c r="DC165" s="778"/>
      <c r="DD165" s="778"/>
      <c r="DE165" s="778"/>
      <c r="DF165" s="778"/>
      <c r="DG165" s="778"/>
      <c r="DH165" s="778"/>
      <c r="DI165" s="778"/>
      <c r="DJ165" s="778"/>
      <c r="DK165" s="778"/>
      <c r="DL165" s="778"/>
      <c r="DM165" s="778"/>
      <c r="DN165" s="778"/>
      <c r="DO165" s="778"/>
      <c r="DP165" s="778"/>
      <c r="DQ165" s="778"/>
      <c r="DR165" s="778"/>
      <c r="DS165" s="778"/>
      <c r="DT165" s="778"/>
      <c r="DU165" s="778"/>
      <c r="DV165" s="778"/>
      <c r="DW165" s="778"/>
      <c r="DX165" s="778"/>
      <c r="DY165" s="778"/>
      <c r="DZ165" s="778"/>
      <c r="EA165" s="778"/>
      <c r="EB165" s="778"/>
      <c r="EC165" s="778"/>
      <c r="ED165" s="778"/>
      <c r="EE165" s="778"/>
      <c r="EF165" s="778"/>
      <c r="EG165" s="778"/>
      <c r="EH165" s="778"/>
    </row>
    <row r="166" spans="5:138" ht="12.75" customHeight="1" x14ac:dyDescent="0.3">
      <c r="E166" s="778"/>
      <c r="F166" s="778"/>
      <c r="G166" s="778"/>
      <c r="H166" s="778"/>
      <c r="I166" s="778"/>
      <c r="J166" s="778"/>
      <c r="K166" s="778"/>
      <c r="L166" s="778"/>
      <c r="M166" s="778"/>
      <c r="N166" s="778"/>
      <c r="O166" s="778"/>
      <c r="P166" s="778"/>
      <c r="Q166" s="778"/>
      <c r="R166" s="778"/>
      <c r="S166" s="778"/>
      <c r="T166" s="778"/>
      <c r="U166" s="778"/>
      <c r="V166" s="778"/>
      <c r="W166" s="778"/>
      <c r="X166" s="778"/>
      <c r="Y166" s="778"/>
      <c r="Z166" s="778"/>
      <c r="AA166" s="778"/>
      <c r="AB166" s="778"/>
      <c r="AC166" s="778"/>
      <c r="AD166" s="778"/>
      <c r="AE166" s="778"/>
      <c r="AF166" s="778"/>
      <c r="AG166" s="778"/>
      <c r="AH166" s="778"/>
      <c r="AI166" s="778"/>
      <c r="AJ166" s="778"/>
      <c r="AK166" s="778"/>
      <c r="AL166" s="778"/>
      <c r="AM166" s="778"/>
      <c r="AN166" s="778"/>
      <c r="AO166" s="778"/>
      <c r="AP166" s="778"/>
      <c r="AQ166" s="778"/>
      <c r="AR166" s="778"/>
      <c r="AS166" s="778"/>
      <c r="AT166" s="778"/>
      <c r="AU166" s="778"/>
      <c r="AV166" s="778"/>
      <c r="AW166" s="778"/>
      <c r="AX166" s="778"/>
      <c r="AY166" s="778"/>
      <c r="AZ166" s="778"/>
      <c r="BA166" s="778"/>
      <c r="BB166" s="778"/>
      <c r="BC166" s="778"/>
      <c r="BD166" s="778"/>
      <c r="BE166" s="778"/>
      <c r="BF166" s="778"/>
      <c r="BG166" s="778"/>
      <c r="BH166" s="778"/>
      <c r="BI166" s="778"/>
      <c r="BJ166" s="778"/>
      <c r="BK166" s="778"/>
      <c r="BL166" s="778"/>
      <c r="BM166" s="778"/>
      <c r="BN166" s="778"/>
      <c r="BO166" s="778"/>
      <c r="BP166" s="778"/>
      <c r="BQ166" s="778"/>
      <c r="BR166" s="778"/>
      <c r="BS166" s="778"/>
      <c r="BT166" s="778"/>
      <c r="BU166" s="778"/>
      <c r="BV166" s="778"/>
      <c r="BW166" s="778"/>
      <c r="BX166" s="778"/>
      <c r="BY166" s="778"/>
      <c r="BZ166" s="778"/>
      <c r="CA166" s="778"/>
      <c r="CB166" s="778"/>
      <c r="CC166" s="778"/>
      <c r="CD166" s="778"/>
      <c r="CE166" s="778"/>
      <c r="CF166" s="778"/>
      <c r="CG166" s="778"/>
      <c r="CH166" s="778"/>
      <c r="CI166" s="778"/>
      <c r="CJ166" s="778"/>
      <c r="CK166" s="778"/>
      <c r="CL166" s="778"/>
      <c r="CM166" s="778"/>
      <c r="CN166" s="778"/>
      <c r="CO166" s="778"/>
      <c r="CP166" s="778"/>
      <c r="CQ166" s="778"/>
      <c r="CR166" s="778"/>
      <c r="CS166" s="778"/>
      <c r="CT166" s="778"/>
      <c r="CU166" s="778"/>
      <c r="CV166" s="778"/>
      <c r="CW166" s="778"/>
      <c r="CX166" s="778"/>
      <c r="CY166" s="778"/>
      <c r="CZ166" s="778"/>
      <c r="DA166" s="778"/>
      <c r="DB166" s="778"/>
      <c r="DC166" s="778"/>
      <c r="DD166" s="778"/>
      <c r="DE166" s="778"/>
      <c r="DF166" s="778"/>
      <c r="DG166" s="778"/>
      <c r="DH166" s="778"/>
      <c r="DI166" s="778"/>
      <c r="DJ166" s="778"/>
      <c r="DK166" s="778"/>
      <c r="DL166" s="778"/>
      <c r="DM166" s="778"/>
      <c r="DN166" s="778"/>
      <c r="DO166" s="778"/>
      <c r="DP166" s="778"/>
      <c r="DQ166" s="778"/>
      <c r="DR166" s="778"/>
      <c r="DS166" s="778"/>
      <c r="DT166" s="778"/>
      <c r="DU166" s="778"/>
      <c r="DV166" s="778"/>
      <c r="DW166" s="778"/>
      <c r="DX166" s="778"/>
      <c r="DY166" s="778"/>
      <c r="DZ166" s="778"/>
      <c r="EA166" s="778"/>
      <c r="EB166" s="778"/>
      <c r="EC166" s="778"/>
      <c r="ED166" s="778"/>
      <c r="EE166" s="778"/>
      <c r="EF166" s="778"/>
      <c r="EG166" s="778"/>
      <c r="EH166" s="778"/>
    </row>
    <row r="167" spans="5:138" ht="12.75" customHeight="1" x14ac:dyDescent="0.3">
      <c r="E167" s="778"/>
      <c r="F167" s="778"/>
      <c r="G167" s="778"/>
      <c r="H167" s="778"/>
      <c r="I167" s="778"/>
      <c r="J167" s="778"/>
      <c r="K167" s="778"/>
      <c r="L167" s="778"/>
      <c r="M167" s="778"/>
      <c r="N167" s="778"/>
      <c r="O167" s="778"/>
      <c r="P167" s="778"/>
      <c r="Q167" s="778"/>
      <c r="R167" s="778"/>
      <c r="S167" s="778"/>
      <c r="T167" s="778"/>
      <c r="U167" s="778"/>
      <c r="V167" s="778"/>
      <c r="W167" s="778"/>
      <c r="X167" s="778"/>
      <c r="Y167" s="778"/>
      <c r="Z167" s="778"/>
      <c r="AA167" s="778"/>
      <c r="AB167" s="778"/>
      <c r="AC167" s="778"/>
      <c r="AD167" s="778"/>
      <c r="AE167" s="778"/>
      <c r="AF167" s="778"/>
      <c r="AG167" s="778"/>
      <c r="AH167" s="778"/>
      <c r="AI167" s="778"/>
      <c r="AJ167" s="778"/>
      <c r="AK167" s="778"/>
      <c r="AL167" s="778"/>
      <c r="AM167" s="778"/>
      <c r="AN167" s="778"/>
      <c r="AO167" s="778"/>
      <c r="AP167" s="778"/>
      <c r="AQ167" s="778"/>
      <c r="AR167" s="778"/>
      <c r="AS167" s="778"/>
      <c r="AT167" s="778"/>
      <c r="AU167" s="778"/>
      <c r="AV167" s="778"/>
      <c r="AW167" s="778"/>
      <c r="AX167" s="778"/>
      <c r="AY167" s="778"/>
      <c r="AZ167" s="778"/>
      <c r="BA167" s="778"/>
      <c r="BB167" s="778"/>
      <c r="BC167" s="778"/>
      <c r="BD167" s="778"/>
      <c r="BE167" s="778"/>
      <c r="BF167" s="778"/>
      <c r="BG167" s="778"/>
      <c r="BH167" s="778"/>
      <c r="BI167" s="778"/>
      <c r="BJ167" s="778"/>
      <c r="BK167" s="778"/>
      <c r="BL167" s="778"/>
      <c r="BM167" s="778"/>
      <c r="BN167" s="778"/>
      <c r="BO167" s="778"/>
      <c r="BP167" s="778"/>
      <c r="BQ167" s="778"/>
      <c r="BR167" s="778"/>
      <c r="BS167" s="778"/>
      <c r="BT167" s="778"/>
      <c r="BU167" s="778"/>
      <c r="BV167" s="778"/>
      <c r="BW167" s="778"/>
      <c r="BX167" s="778"/>
      <c r="BY167" s="778"/>
      <c r="BZ167" s="778"/>
      <c r="CA167" s="778"/>
      <c r="CB167" s="778"/>
      <c r="CC167" s="778"/>
      <c r="CD167" s="778"/>
      <c r="CE167" s="778"/>
      <c r="CF167" s="778"/>
      <c r="CG167" s="778"/>
      <c r="CH167" s="778"/>
      <c r="CI167" s="778"/>
      <c r="CJ167" s="778"/>
      <c r="CK167" s="778"/>
      <c r="CL167" s="778"/>
      <c r="CM167" s="778"/>
      <c r="CN167" s="778"/>
      <c r="CO167" s="778"/>
      <c r="CP167" s="778"/>
      <c r="CQ167" s="778"/>
      <c r="CR167" s="778"/>
      <c r="CS167" s="778"/>
      <c r="CT167" s="778"/>
      <c r="CU167" s="778"/>
      <c r="CV167" s="778"/>
      <c r="CW167" s="778"/>
      <c r="CX167" s="778"/>
      <c r="CY167" s="778"/>
      <c r="CZ167" s="778"/>
      <c r="DA167" s="778"/>
      <c r="DB167" s="778"/>
      <c r="DC167" s="778"/>
      <c r="DD167" s="778"/>
      <c r="DE167" s="778"/>
      <c r="DF167" s="778"/>
      <c r="DG167" s="778"/>
      <c r="DH167" s="778"/>
      <c r="DI167" s="778"/>
      <c r="DJ167" s="778"/>
      <c r="DK167" s="778"/>
      <c r="DL167" s="778"/>
      <c r="DM167" s="778"/>
      <c r="DN167" s="778"/>
      <c r="DO167" s="778"/>
      <c r="DP167" s="778"/>
      <c r="DQ167" s="778"/>
      <c r="DR167" s="778"/>
      <c r="DS167" s="778"/>
      <c r="DT167" s="778"/>
      <c r="DU167" s="778"/>
      <c r="DV167" s="778"/>
      <c r="DW167" s="778"/>
      <c r="DX167" s="778"/>
      <c r="DY167" s="778"/>
      <c r="DZ167" s="778"/>
      <c r="EA167" s="778"/>
      <c r="EB167" s="778"/>
      <c r="EC167" s="778"/>
      <c r="ED167" s="778"/>
      <c r="EE167" s="778"/>
      <c r="EF167" s="778"/>
      <c r="EG167" s="778"/>
      <c r="EH167" s="778"/>
    </row>
    <row r="168" spans="5:138" ht="12.75" customHeight="1" x14ac:dyDescent="0.3">
      <c r="E168" s="778"/>
      <c r="F168" s="778"/>
      <c r="G168" s="778"/>
      <c r="H168" s="778"/>
      <c r="I168" s="778"/>
      <c r="J168" s="778"/>
      <c r="K168" s="778"/>
      <c r="L168" s="778"/>
      <c r="M168" s="778"/>
      <c r="N168" s="778"/>
      <c r="O168" s="778"/>
      <c r="P168" s="778"/>
      <c r="Q168" s="778"/>
      <c r="R168" s="778"/>
      <c r="S168" s="778"/>
      <c r="T168" s="778"/>
      <c r="U168" s="778"/>
      <c r="V168" s="778"/>
      <c r="W168" s="778"/>
      <c r="X168" s="778"/>
      <c r="Y168" s="778"/>
      <c r="Z168" s="778"/>
      <c r="AA168" s="778"/>
      <c r="AB168" s="778"/>
      <c r="AC168" s="778"/>
      <c r="AD168" s="778"/>
      <c r="AE168" s="778"/>
      <c r="AF168" s="778"/>
      <c r="AG168" s="778"/>
      <c r="AH168" s="778"/>
      <c r="AI168" s="778"/>
      <c r="AJ168" s="778"/>
      <c r="AK168" s="778"/>
      <c r="AL168" s="778"/>
      <c r="AM168" s="778"/>
      <c r="AN168" s="778"/>
      <c r="AO168" s="778"/>
      <c r="AP168" s="778"/>
      <c r="AQ168" s="778"/>
      <c r="AR168" s="778"/>
      <c r="AS168" s="778"/>
      <c r="AT168" s="778"/>
      <c r="AU168" s="778"/>
      <c r="AV168" s="778"/>
      <c r="AW168" s="778"/>
      <c r="AX168" s="778"/>
      <c r="AY168" s="778"/>
      <c r="AZ168" s="778"/>
      <c r="BA168" s="778"/>
      <c r="BB168" s="778"/>
      <c r="BC168" s="778"/>
      <c r="BD168" s="778"/>
      <c r="BE168" s="778"/>
      <c r="BF168" s="778"/>
      <c r="BG168" s="778"/>
      <c r="BH168" s="778"/>
      <c r="BI168" s="778"/>
      <c r="BJ168" s="778"/>
      <c r="BK168" s="778"/>
      <c r="BL168" s="778"/>
      <c r="BM168" s="778"/>
      <c r="BN168" s="778"/>
      <c r="BO168" s="778"/>
      <c r="BP168" s="778"/>
      <c r="BQ168" s="778"/>
      <c r="BR168" s="778"/>
      <c r="BS168" s="778"/>
      <c r="BT168" s="778"/>
      <c r="BU168" s="778"/>
      <c r="BV168" s="778"/>
      <c r="BW168" s="778"/>
      <c r="BX168" s="778"/>
      <c r="BY168" s="778"/>
      <c r="BZ168" s="778"/>
      <c r="CA168" s="778"/>
      <c r="CB168" s="778"/>
      <c r="CC168" s="778"/>
      <c r="CD168" s="778"/>
      <c r="CE168" s="778"/>
      <c r="CF168" s="778"/>
      <c r="CG168" s="778"/>
      <c r="CH168" s="778"/>
      <c r="CI168" s="778"/>
      <c r="CJ168" s="778"/>
      <c r="CK168" s="778"/>
      <c r="CL168" s="778"/>
      <c r="CM168" s="778"/>
      <c r="CN168" s="778"/>
      <c r="CO168" s="778"/>
      <c r="CP168" s="778"/>
      <c r="CQ168" s="778"/>
      <c r="CR168" s="778"/>
      <c r="CS168" s="778"/>
      <c r="CT168" s="778"/>
      <c r="CU168" s="778"/>
      <c r="CV168" s="778"/>
      <c r="CW168" s="778"/>
      <c r="CX168" s="778"/>
      <c r="CY168" s="778"/>
      <c r="CZ168" s="778"/>
      <c r="DA168" s="778"/>
      <c r="DB168" s="778"/>
      <c r="DC168" s="778"/>
      <c r="DD168" s="778"/>
      <c r="DE168" s="778"/>
      <c r="DF168" s="778"/>
      <c r="DG168" s="778"/>
      <c r="DH168" s="778"/>
      <c r="DI168" s="778"/>
      <c r="DJ168" s="778"/>
      <c r="DK168" s="778"/>
      <c r="DL168" s="778"/>
      <c r="DM168" s="778"/>
      <c r="DN168" s="778"/>
      <c r="DO168" s="778"/>
      <c r="DP168" s="778"/>
      <c r="DQ168" s="778"/>
      <c r="DR168" s="778"/>
      <c r="DS168" s="778"/>
      <c r="DT168" s="778"/>
      <c r="DU168" s="778"/>
      <c r="DV168" s="778"/>
      <c r="DW168" s="778"/>
      <c r="DX168" s="778"/>
      <c r="DY168" s="778"/>
      <c r="DZ168" s="778"/>
      <c r="EA168" s="778"/>
      <c r="EB168" s="778"/>
      <c r="EC168" s="778"/>
      <c r="ED168" s="778"/>
      <c r="EE168" s="778"/>
      <c r="EF168" s="778"/>
      <c r="EG168" s="778"/>
      <c r="EH168" s="778"/>
    </row>
    <row r="169" spans="5:138" ht="12.75" customHeight="1" x14ac:dyDescent="0.3">
      <c r="E169" s="778"/>
      <c r="F169" s="778"/>
      <c r="G169" s="778"/>
      <c r="H169" s="778"/>
      <c r="I169" s="778"/>
      <c r="J169" s="778"/>
      <c r="K169" s="778"/>
      <c r="L169" s="778"/>
      <c r="M169" s="778"/>
      <c r="N169" s="778"/>
      <c r="O169" s="778"/>
      <c r="P169" s="778"/>
      <c r="Q169" s="778"/>
      <c r="R169" s="778"/>
      <c r="S169" s="778"/>
      <c r="T169" s="778"/>
      <c r="U169" s="778"/>
      <c r="V169" s="778"/>
      <c r="W169" s="778"/>
      <c r="X169" s="778"/>
      <c r="Y169" s="778"/>
      <c r="Z169" s="778"/>
      <c r="AA169" s="778"/>
      <c r="AB169" s="778"/>
      <c r="AC169" s="778"/>
      <c r="AD169" s="778"/>
      <c r="AE169" s="778"/>
      <c r="AF169" s="778"/>
      <c r="AG169" s="778"/>
      <c r="AH169" s="778"/>
      <c r="AI169" s="778"/>
      <c r="AJ169" s="778"/>
      <c r="AK169" s="778"/>
      <c r="AL169" s="778"/>
      <c r="AM169" s="778"/>
      <c r="AN169" s="778"/>
      <c r="AO169" s="778"/>
      <c r="AP169" s="778"/>
      <c r="AQ169" s="778"/>
      <c r="AR169" s="778"/>
      <c r="AS169" s="778"/>
      <c r="AT169" s="778"/>
      <c r="AU169" s="778"/>
      <c r="AV169" s="778"/>
      <c r="AW169" s="778"/>
      <c r="AX169" s="778"/>
      <c r="AY169" s="778"/>
      <c r="AZ169" s="778"/>
      <c r="BA169" s="778"/>
      <c r="BB169" s="778"/>
      <c r="BC169" s="778"/>
      <c r="BD169" s="778"/>
      <c r="BE169" s="778"/>
      <c r="BF169" s="778"/>
      <c r="BG169" s="778"/>
      <c r="BH169" s="778"/>
      <c r="BI169" s="778"/>
      <c r="BJ169" s="778"/>
      <c r="BK169" s="778"/>
      <c r="BL169" s="778"/>
      <c r="BM169" s="778"/>
      <c r="BN169" s="778"/>
      <c r="BO169" s="778"/>
      <c r="BP169" s="778"/>
      <c r="BQ169" s="778"/>
      <c r="BR169" s="778"/>
      <c r="BS169" s="778"/>
      <c r="BT169" s="778"/>
      <c r="BU169" s="778"/>
      <c r="BV169" s="778"/>
      <c r="BW169" s="778"/>
      <c r="BX169" s="778"/>
      <c r="BY169" s="778"/>
      <c r="BZ169" s="778"/>
      <c r="CA169" s="778"/>
      <c r="CB169" s="778"/>
      <c r="CC169" s="778"/>
      <c r="CD169" s="778"/>
      <c r="CE169" s="778"/>
      <c r="CF169" s="778"/>
      <c r="CG169" s="778"/>
      <c r="CH169" s="778"/>
      <c r="CI169" s="778"/>
      <c r="CJ169" s="778"/>
      <c r="CK169" s="778"/>
      <c r="CL169" s="778"/>
      <c r="CM169" s="778"/>
      <c r="CN169" s="778"/>
      <c r="CO169" s="778"/>
      <c r="CP169" s="778"/>
      <c r="CQ169" s="778"/>
      <c r="CR169" s="778"/>
      <c r="CS169" s="778"/>
      <c r="CT169" s="778"/>
      <c r="CU169" s="778"/>
      <c r="CV169" s="778"/>
      <c r="CW169" s="778"/>
      <c r="CX169" s="778"/>
      <c r="CY169" s="778"/>
      <c r="CZ169" s="778"/>
      <c r="DA169" s="778"/>
      <c r="DB169" s="778"/>
      <c r="DC169" s="778"/>
      <c r="DD169" s="778"/>
      <c r="DE169" s="778"/>
      <c r="DF169" s="778"/>
      <c r="DG169" s="778"/>
      <c r="DH169" s="778"/>
      <c r="DI169" s="778"/>
      <c r="DJ169" s="778"/>
      <c r="DK169" s="778"/>
      <c r="DL169" s="778"/>
      <c r="DM169" s="778"/>
      <c r="DN169" s="778"/>
      <c r="DO169" s="778"/>
      <c r="DP169" s="778"/>
      <c r="DQ169" s="778"/>
      <c r="DR169" s="778"/>
      <c r="DS169" s="778"/>
      <c r="DT169" s="778"/>
      <c r="DU169" s="778"/>
      <c r="DV169" s="778"/>
      <c r="DW169" s="778"/>
      <c r="DX169" s="778"/>
      <c r="DY169" s="778"/>
      <c r="DZ169" s="778"/>
      <c r="EA169" s="778"/>
      <c r="EB169" s="778"/>
      <c r="EC169" s="778"/>
      <c r="ED169" s="778"/>
      <c r="EE169" s="778"/>
      <c r="EF169" s="778"/>
      <c r="EG169" s="778"/>
      <c r="EH169" s="778"/>
    </row>
    <row r="170" spans="5:138" ht="12.75" customHeight="1" x14ac:dyDescent="0.3">
      <c r="E170" s="778"/>
      <c r="F170" s="778"/>
      <c r="G170" s="778"/>
      <c r="H170" s="778"/>
      <c r="I170" s="778"/>
      <c r="J170" s="778"/>
      <c r="K170" s="778"/>
      <c r="L170" s="778"/>
      <c r="M170" s="778"/>
      <c r="N170" s="778"/>
      <c r="O170" s="778"/>
      <c r="P170" s="778"/>
      <c r="Q170" s="778"/>
      <c r="R170" s="778"/>
      <c r="S170" s="778"/>
      <c r="T170" s="778"/>
      <c r="U170" s="778"/>
      <c r="V170" s="778"/>
      <c r="W170" s="778"/>
      <c r="X170" s="778"/>
      <c r="Y170" s="778"/>
      <c r="Z170" s="778"/>
      <c r="AA170" s="778"/>
      <c r="AB170" s="778"/>
      <c r="AC170" s="778"/>
      <c r="AD170" s="778"/>
      <c r="AE170" s="778"/>
      <c r="AF170" s="778"/>
      <c r="AG170" s="778"/>
      <c r="AH170" s="778"/>
      <c r="AI170" s="778"/>
      <c r="AJ170" s="778"/>
      <c r="AK170" s="778"/>
      <c r="AL170" s="778"/>
      <c r="AM170" s="778"/>
      <c r="AN170" s="778"/>
      <c r="AO170" s="778"/>
      <c r="AP170" s="778"/>
      <c r="AQ170" s="778"/>
      <c r="AR170" s="778"/>
      <c r="AS170" s="778"/>
      <c r="AT170" s="778"/>
      <c r="AU170" s="778"/>
      <c r="AV170" s="778"/>
      <c r="AW170" s="778"/>
      <c r="AX170" s="778"/>
      <c r="AY170" s="778"/>
      <c r="AZ170" s="778"/>
      <c r="BA170" s="778"/>
      <c r="BB170" s="778"/>
      <c r="BC170" s="778"/>
      <c r="BD170" s="778"/>
      <c r="BE170" s="778"/>
      <c r="BF170" s="778"/>
      <c r="BG170" s="778"/>
      <c r="BH170" s="778"/>
      <c r="BI170" s="778"/>
      <c r="BJ170" s="778"/>
      <c r="BK170" s="778"/>
      <c r="BL170" s="778"/>
      <c r="BM170" s="778"/>
      <c r="BN170" s="778"/>
      <c r="BO170" s="778"/>
      <c r="BP170" s="778"/>
      <c r="BQ170" s="778"/>
      <c r="BR170" s="778"/>
      <c r="BS170" s="778"/>
      <c r="BT170" s="778"/>
      <c r="BU170" s="778"/>
      <c r="BV170" s="778"/>
      <c r="BW170" s="778"/>
      <c r="BX170" s="778"/>
      <c r="BY170" s="778"/>
      <c r="BZ170" s="778"/>
      <c r="CA170" s="778"/>
      <c r="CB170" s="778"/>
      <c r="CC170" s="778"/>
      <c r="CD170" s="778"/>
      <c r="CE170" s="778"/>
      <c r="CF170" s="778"/>
      <c r="CG170" s="778"/>
      <c r="CH170" s="778"/>
      <c r="CI170" s="778"/>
      <c r="CJ170" s="778"/>
      <c r="CK170" s="778"/>
      <c r="CL170" s="778"/>
      <c r="CM170" s="778"/>
      <c r="CN170" s="778"/>
      <c r="CO170" s="778"/>
      <c r="CP170" s="778"/>
      <c r="CQ170" s="778"/>
      <c r="CR170" s="778"/>
      <c r="CS170" s="778"/>
      <c r="CT170" s="778"/>
      <c r="CU170" s="778"/>
      <c r="CV170" s="778"/>
      <c r="CW170" s="778"/>
      <c r="CX170" s="778"/>
      <c r="CY170" s="778"/>
      <c r="CZ170" s="778"/>
      <c r="DA170" s="778"/>
      <c r="DB170" s="778"/>
      <c r="DC170" s="778"/>
      <c r="DD170" s="778"/>
      <c r="DE170" s="778"/>
      <c r="DF170" s="778"/>
      <c r="DG170" s="778"/>
      <c r="DH170" s="778"/>
      <c r="DI170" s="778"/>
      <c r="DJ170" s="778"/>
      <c r="DK170" s="778"/>
      <c r="DL170" s="778"/>
      <c r="DM170" s="778"/>
      <c r="DN170" s="778"/>
      <c r="DO170" s="778"/>
      <c r="DP170" s="778"/>
      <c r="DQ170" s="778"/>
      <c r="DR170" s="778"/>
      <c r="DS170" s="778"/>
      <c r="DT170" s="778"/>
      <c r="DU170" s="778"/>
      <c r="DV170" s="778"/>
      <c r="DW170" s="778"/>
      <c r="DX170" s="778"/>
      <c r="DY170" s="778"/>
      <c r="DZ170" s="778"/>
      <c r="EA170" s="778"/>
      <c r="EB170" s="778"/>
      <c r="EC170" s="778"/>
      <c r="ED170" s="778"/>
      <c r="EE170" s="778"/>
      <c r="EF170" s="778"/>
      <c r="EG170" s="778"/>
      <c r="EH170" s="778"/>
    </row>
    <row r="171" spans="5:138" ht="12.75" customHeight="1" x14ac:dyDescent="0.3">
      <c r="E171" s="778"/>
      <c r="F171" s="778"/>
      <c r="G171" s="778"/>
      <c r="H171" s="778"/>
      <c r="I171" s="778"/>
      <c r="J171" s="778"/>
      <c r="K171" s="778"/>
      <c r="L171" s="778"/>
      <c r="M171" s="778"/>
      <c r="N171" s="778"/>
      <c r="O171" s="778"/>
      <c r="P171" s="778"/>
      <c r="Q171" s="778"/>
      <c r="R171" s="778"/>
      <c r="S171" s="778"/>
      <c r="T171" s="778"/>
      <c r="U171" s="778"/>
      <c r="V171" s="778"/>
      <c r="W171" s="778"/>
      <c r="X171" s="778"/>
      <c r="Y171" s="778"/>
      <c r="Z171" s="778"/>
      <c r="AA171" s="778"/>
      <c r="AB171" s="778"/>
      <c r="AC171" s="778"/>
      <c r="AD171" s="778"/>
      <c r="AE171" s="778"/>
      <c r="AF171" s="778"/>
      <c r="AG171" s="778"/>
      <c r="AH171" s="778"/>
      <c r="AI171" s="778"/>
      <c r="AJ171" s="778"/>
      <c r="AK171" s="778"/>
      <c r="AL171" s="778"/>
      <c r="AM171" s="778"/>
      <c r="AN171" s="778"/>
      <c r="AO171" s="778"/>
      <c r="AP171" s="778"/>
      <c r="AQ171" s="778"/>
      <c r="AR171" s="778"/>
      <c r="AS171" s="778"/>
      <c r="AT171" s="778"/>
      <c r="AU171" s="778"/>
      <c r="AV171" s="778"/>
      <c r="AW171" s="778"/>
      <c r="AX171" s="778"/>
      <c r="AY171" s="778"/>
      <c r="AZ171" s="778"/>
      <c r="BA171" s="778"/>
      <c r="BB171" s="778"/>
      <c r="BC171" s="778"/>
      <c r="BD171" s="778"/>
      <c r="BE171" s="778"/>
      <c r="BF171" s="778"/>
      <c r="BG171" s="778"/>
      <c r="BH171" s="778"/>
      <c r="BI171" s="778"/>
      <c r="BJ171" s="778"/>
      <c r="BK171" s="778"/>
      <c r="BL171" s="778"/>
      <c r="BM171" s="778"/>
      <c r="BN171" s="778"/>
      <c r="BO171" s="778"/>
      <c r="BP171" s="778"/>
      <c r="BQ171" s="778"/>
      <c r="BR171" s="778"/>
      <c r="BS171" s="778"/>
      <c r="BT171" s="778"/>
      <c r="BU171" s="778"/>
      <c r="BV171" s="778"/>
      <c r="BW171" s="778"/>
      <c r="BX171" s="778"/>
      <c r="BY171" s="778"/>
      <c r="BZ171" s="778"/>
      <c r="CA171" s="778"/>
      <c r="CB171" s="778"/>
      <c r="CC171" s="778"/>
      <c r="CD171" s="778"/>
      <c r="CE171" s="778"/>
      <c r="CF171" s="778"/>
      <c r="CG171" s="778"/>
      <c r="CH171" s="778"/>
      <c r="CI171" s="778"/>
      <c r="CJ171" s="778"/>
      <c r="CK171" s="778"/>
      <c r="CL171" s="778"/>
      <c r="CM171" s="778"/>
      <c r="CN171" s="778"/>
      <c r="CO171" s="778"/>
      <c r="CP171" s="778"/>
      <c r="CQ171" s="778"/>
      <c r="CR171" s="778"/>
      <c r="CS171" s="778"/>
      <c r="CT171" s="778"/>
      <c r="CU171" s="778"/>
      <c r="CV171" s="778"/>
      <c r="CW171" s="778"/>
      <c r="CX171" s="778"/>
      <c r="CY171" s="778"/>
      <c r="CZ171" s="778"/>
      <c r="DA171" s="778"/>
      <c r="DB171" s="778"/>
      <c r="DC171" s="778"/>
      <c r="DD171" s="778"/>
      <c r="DE171" s="778"/>
      <c r="DF171" s="778"/>
      <c r="DG171" s="778"/>
      <c r="DH171" s="778"/>
      <c r="DI171" s="778"/>
      <c r="DJ171" s="778"/>
      <c r="DK171" s="778"/>
      <c r="DL171" s="778"/>
      <c r="DM171" s="778"/>
      <c r="DN171" s="778"/>
      <c r="DO171" s="778"/>
      <c r="DP171" s="778"/>
      <c r="DQ171" s="778"/>
      <c r="DR171" s="778"/>
      <c r="DS171" s="778"/>
      <c r="DT171" s="778"/>
      <c r="DU171" s="778"/>
      <c r="DV171" s="778"/>
      <c r="DW171" s="778"/>
      <c r="DX171" s="778"/>
      <c r="DY171" s="778"/>
      <c r="DZ171" s="778"/>
      <c r="EA171" s="778"/>
      <c r="EB171" s="778"/>
      <c r="EC171" s="778"/>
      <c r="ED171" s="778"/>
      <c r="EE171" s="778"/>
      <c r="EF171" s="778"/>
      <c r="EG171" s="778"/>
      <c r="EH171" s="778"/>
    </row>
    <row r="172" spans="5:138" ht="12.75" customHeight="1" x14ac:dyDescent="0.3">
      <c r="E172" s="778"/>
      <c r="F172" s="778"/>
      <c r="G172" s="778"/>
      <c r="H172" s="778"/>
      <c r="I172" s="778"/>
      <c r="J172" s="778"/>
      <c r="K172" s="778"/>
      <c r="L172" s="778"/>
      <c r="M172" s="778"/>
      <c r="N172" s="778"/>
      <c r="O172" s="778"/>
      <c r="P172" s="778"/>
      <c r="Q172" s="778"/>
      <c r="R172" s="778"/>
      <c r="S172" s="778"/>
      <c r="T172" s="778"/>
      <c r="U172" s="778"/>
      <c r="V172" s="778"/>
      <c r="W172" s="778"/>
      <c r="X172" s="778"/>
      <c r="Y172" s="778"/>
      <c r="Z172" s="778"/>
      <c r="AA172" s="778"/>
      <c r="AB172" s="778"/>
      <c r="AC172" s="778"/>
      <c r="AD172" s="778"/>
      <c r="AE172" s="778"/>
      <c r="AF172" s="778"/>
      <c r="AG172" s="778"/>
      <c r="AH172" s="778"/>
      <c r="AI172" s="778"/>
      <c r="AJ172" s="778"/>
      <c r="AK172" s="778"/>
      <c r="AL172" s="778"/>
      <c r="AM172" s="778"/>
      <c r="AN172" s="778"/>
      <c r="AO172" s="778"/>
      <c r="AP172" s="778"/>
      <c r="AQ172" s="778"/>
      <c r="AR172" s="778"/>
      <c r="AS172" s="778"/>
      <c r="AT172" s="778"/>
      <c r="AU172" s="778"/>
      <c r="AV172" s="778"/>
      <c r="AW172" s="778"/>
      <c r="AX172" s="778"/>
      <c r="AY172" s="778"/>
      <c r="AZ172" s="778"/>
      <c r="BA172" s="778"/>
      <c r="BB172" s="778"/>
      <c r="BC172" s="778"/>
      <c r="BD172" s="778"/>
      <c r="BE172" s="778"/>
      <c r="BF172" s="778"/>
      <c r="BG172" s="778"/>
      <c r="BH172" s="778"/>
      <c r="BI172" s="778"/>
      <c r="BJ172" s="778"/>
      <c r="BK172" s="778"/>
      <c r="BL172" s="778"/>
      <c r="BM172" s="778"/>
      <c r="BN172" s="778"/>
      <c r="BO172" s="778"/>
      <c r="BP172" s="778"/>
      <c r="BQ172" s="778"/>
      <c r="BR172" s="778"/>
      <c r="BS172" s="778"/>
      <c r="BT172" s="778"/>
      <c r="BU172" s="778"/>
      <c r="BV172" s="778"/>
      <c r="BW172" s="778"/>
      <c r="BX172" s="778"/>
      <c r="BY172" s="778"/>
      <c r="BZ172" s="778"/>
      <c r="CA172" s="778"/>
      <c r="CB172" s="778"/>
      <c r="CC172" s="778"/>
      <c r="CD172" s="778"/>
      <c r="CE172" s="778"/>
      <c r="CF172" s="778"/>
      <c r="CG172" s="778"/>
      <c r="CH172" s="778"/>
      <c r="CI172" s="778"/>
      <c r="CJ172" s="778"/>
      <c r="CK172" s="778"/>
      <c r="CL172" s="778"/>
      <c r="CM172" s="778"/>
      <c r="CN172" s="778"/>
      <c r="CO172" s="778"/>
      <c r="CP172" s="778"/>
      <c r="CQ172" s="778"/>
      <c r="CR172" s="778"/>
      <c r="CS172" s="778"/>
      <c r="CT172" s="778"/>
      <c r="CU172" s="778"/>
      <c r="CV172" s="778"/>
      <c r="CW172" s="778"/>
      <c r="CX172" s="778"/>
      <c r="CY172" s="778"/>
      <c r="CZ172" s="778"/>
      <c r="DA172" s="778"/>
      <c r="DB172" s="778"/>
      <c r="DC172" s="778"/>
      <c r="DD172" s="778"/>
      <c r="DE172" s="778"/>
      <c r="DF172" s="778"/>
      <c r="DG172" s="778"/>
      <c r="DH172" s="778"/>
      <c r="DI172" s="778"/>
      <c r="DJ172" s="778"/>
      <c r="DK172" s="778"/>
      <c r="DL172" s="778"/>
      <c r="DM172" s="778"/>
      <c r="DN172" s="778"/>
      <c r="DO172" s="778"/>
      <c r="DP172" s="778"/>
      <c r="DQ172" s="778"/>
      <c r="DR172" s="778"/>
      <c r="DS172" s="778"/>
      <c r="DT172" s="778"/>
      <c r="DU172" s="778"/>
      <c r="DV172" s="778"/>
      <c r="DW172" s="778"/>
      <c r="DX172" s="778"/>
      <c r="DY172" s="778"/>
      <c r="DZ172" s="778"/>
      <c r="EA172" s="778"/>
      <c r="EB172" s="778"/>
      <c r="EC172" s="778"/>
      <c r="ED172" s="778"/>
      <c r="EE172" s="778"/>
      <c r="EF172" s="778"/>
      <c r="EG172" s="778"/>
      <c r="EH172" s="778"/>
    </row>
    <row r="173" spans="5:138" ht="12.75" customHeight="1" x14ac:dyDescent="0.3">
      <c r="E173" s="778"/>
      <c r="F173" s="778"/>
      <c r="G173" s="778"/>
      <c r="H173" s="778"/>
      <c r="I173" s="778"/>
      <c r="J173" s="778"/>
      <c r="K173" s="778"/>
      <c r="L173" s="778"/>
      <c r="M173" s="778"/>
      <c r="N173" s="778"/>
      <c r="O173" s="778"/>
      <c r="P173" s="778"/>
      <c r="Q173" s="778"/>
      <c r="R173" s="778"/>
      <c r="S173" s="778"/>
      <c r="T173" s="778"/>
      <c r="U173" s="778"/>
      <c r="V173" s="778"/>
      <c r="W173" s="778"/>
      <c r="X173" s="778"/>
      <c r="Y173" s="778"/>
      <c r="Z173" s="778"/>
      <c r="AA173" s="778"/>
      <c r="AB173" s="778"/>
      <c r="AC173" s="778"/>
      <c r="AD173" s="778"/>
      <c r="AE173" s="778"/>
      <c r="AF173" s="778"/>
      <c r="AG173" s="778"/>
      <c r="AH173" s="778"/>
      <c r="AI173" s="778"/>
      <c r="AJ173" s="778"/>
      <c r="AK173" s="778"/>
      <c r="AL173" s="778"/>
      <c r="AM173" s="778"/>
      <c r="AN173" s="778"/>
      <c r="AO173" s="778"/>
      <c r="AP173" s="778"/>
      <c r="AQ173" s="778"/>
      <c r="AR173" s="778"/>
      <c r="AS173" s="778"/>
      <c r="AT173" s="778"/>
      <c r="AU173" s="778"/>
      <c r="AV173" s="778"/>
      <c r="AW173" s="778"/>
      <c r="AX173" s="778"/>
      <c r="AY173" s="778"/>
      <c r="AZ173" s="778"/>
      <c r="BA173" s="778"/>
      <c r="BB173" s="778"/>
      <c r="BC173" s="778"/>
      <c r="BD173" s="778"/>
      <c r="BE173" s="778"/>
      <c r="BF173" s="778"/>
      <c r="BG173" s="778"/>
      <c r="BH173" s="778"/>
      <c r="BI173" s="778"/>
      <c r="BJ173" s="778"/>
      <c r="BK173" s="778"/>
      <c r="BL173" s="778"/>
      <c r="BM173" s="778"/>
      <c r="BN173" s="778"/>
      <c r="BO173" s="778"/>
      <c r="BP173" s="778"/>
      <c r="BQ173" s="778"/>
      <c r="BR173" s="778"/>
      <c r="BS173" s="778"/>
      <c r="BT173" s="778"/>
      <c r="BU173" s="778"/>
      <c r="BV173" s="778"/>
      <c r="BW173" s="778"/>
      <c r="BX173" s="778"/>
      <c r="BY173" s="778"/>
      <c r="BZ173" s="778"/>
      <c r="CA173" s="778"/>
      <c r="CB173" s="778"/>
      <c r="CC173" s="778"/>
      <c r="CD173" s="778"/>
      <c r="CE173" s="778"/>
      <c r="CF173" s="778"/>
      <c r="CG173" s="778"/>
      <c r="CH173" s="778"/>
      <c r="CI173" s="778"/>
      <c r="CJ173" s="778"/>
      <c r="CK173" s="778"/>
      <c r="CL173" s="778"/>
      <c r="CM173" s="778"/>
      <c r="CN173" s="778"/>
      <c r="CO173" s="778"/>
      <c r="CP173" s="778"/>
      <c r="CQ173" s="778"/>
      <c r="CR173" s="778"/>
      <c r="CS173" s="778"/>
      <c r="CT173" s="778"/>
      <c r="CU173" s="778"/>
      <c r="CV173" s="778"/>
      <c r="CW173" s="778"/>
      <c r="CX173" s="778"/>
      <c r="CY173" s="778"/>
      <c r="CZ173" s="778"/>
      <c r="DA173" s="778"/>
      <c r="DB173" s="778"/>
      <c r="DC173" s="778"/>
      <c r="DD173" s="778"/>
      <c r="DE173" s="778"/>
      <c r="DF173" s="778"/>
      <c r="DG173" s="778"/>
      <c r="DH173" s="778"/>
      <c r="DI173" s="778"/>
      <c r="DJ173" s="778"/>
      <c r="DK173" s="778"/>
      <c r="DL173" s="778"/>
      <c r="DM173" s="778"/>
      <c r="DN173" s="778"/>
      <c r="DO173" s="778"/>
      <c r="DP173" s="778"/>
      <c r="DQ173" s="778"/>
      <c r="DR173" s="778"/>
      <c r="DS173" s="778"/>
      <c r="DT173" s="778"/>
      <c r="DU173" s="778"/>
      <c r="DV173" s="778"/>
      <c r="DW173" s="778"/>
      <c r="DX173" s="778"/>
      <c r="DY173" s="778"/>
      <c r="DZ173" s="778"/>
      <c r="EA173" s="778"/>
      <c r="EB173" s="778"/>
      <c r="EC173" s="778"/>
      <c r="ED173" s="778"/>
      <c r="EE173" s="778"/>
      <c r="EF173" s="778"/>
      <c r="EG173" s="778"/>
      <c r="EH173" s="778"/>
    </row>
    <row r="174" spans="5:138" ht="12.75" customHeight="1" x14ac:dyDescent="0.3">
      <c r="E174" s="778"/>
      <c r="F174" s="778"/>
      <c r="G174" s="778"/>
      <c r="H174" s="778"/>
      <c r="I174" s="778"/>
      <c r="J174" s="778"/>
      <c r="K174" s="778"/>
      <c r="L174" s="778"/>
      <c r="M174" s="778"/>
      <c r="N174" s="778"/>
      <c r="O174" s="778"/>
      <c r="P174" s="778"/>
      <c r="Q174" s="778"/>
      <c r="R174" s="778"/>
      <c r="S174" s="778"/>
      <c r="T174" s="778"/>
      <c r="U174" s="778"/>
      <c r="V174" s="778"/>
      <c r="W174" s="778"/>
      <c r="X174" s="778"/>
      <c r="Y174" s="778"/>
      <c r="Z174" s="778"/>
      <c r="AA174" s="778"/>
      <c r="AB174" s="778"/>
      <c r="AC174" s="778"/>
      <c r="AD174" s="778"/>
      <c r="AE174" s="778"/>
      <c r="AF174" s="778"/>
      <c r="AG174" s="778"/>
      <c r="AH174" s="778"/>
      <c r="AI174" s="778"/>
      <c r="AJ174" s="778"/>
      <c r="AK174" s="778"/>
      <c r="AL174" s="778"/>
      <c r="AM174" s="778"/>
      <c r="AN174" s="778"/>
      <c r="AO174" s="778"/>
      <c r="AP174" s="778"/>
      <c r="AQ174" s="778"/>
      <c r="AR174" s="778"/>
      <c r="AS174" s="778"/>
      <c r="AT174" s="778"/>
      <c r="AU174" s="778"/>
      <c r="AV174" s="778"/>
      <c r="AW174" s="778"/>
      <c r="AX174" s="778"/>
      <c r="AY174" s="778"/>
      <c r="AZ174" s="778"/>
      <c r="BA174" s="778"/>
      <c r="BB174" s="778"/>
      <c r="BC174" s="778"/>
      <c r="BD174" s="778"/>
      <c r="BE174" s="778"/>
      <c r="BF174" s="778"/>
      <c r="BG174" s="778"/>
      <c r="BH174" s="778"/>
      <c r="BI174" s="778"/>
      <c r="BJ174" s="778"/>
      <c r="BK174" s="778"/>
      <c r="BL174" s="778"/>
      <c r="BM174" s="778"/>
      <c r="BN174" s="778"/>
      <c r="BO174" s="778"/>
      <c r="BP174" s="778"/>
      <c r="BQ174" s="778"/>
      <c r="BR174" s="778"/>
      <c r="BS174" s="778"/>
      <c r="BT174" s="778"/>
      <c r="BU174" s="778"/>
      <c r="BV174" s="778"/>
      <c r="BW174" s="778"/>
      <c r="BX174" s="778"/>
      <c r="BY174" s="778"/>
      <c r="BZ174" s="778"/>
      <c r="CA174" s="778"/>
      <c r="CB174" s="778"/>
      <c r="CC174" s="778"/>
      <c r="CD174" s="778"/>
      <c r="CE174" s="778"/>
      <c r="CF174" s="778"/>
      <c r="CG174" s="778"/>
      <c r="CH174" s="778"/>
      <c r="CI174" s="778"/>
      <c r="CJ174" s="778"/>
      <c r="CK174" s="778"/>
      <c r="CL174" s="778"/>
      <c r="CM174" s="778"/>
      <c r="CN174" s="778"/>
      <c r="CO174" s="778"/>
      <c r="CP174" s="778"/>
      <c r="CQ174" s="778"/>
      <c r="CR174" s="778"/>
      <c r="CS174" s="778"/>
      <c r="CT174" s="778"/>
      <c r="CU174" s="778"/>
      <c r="CV174" s="778"/>
      <c r="CW174" s="778"/>
      <c r="CX174" s="778"/>
      <c r="CY174" s="778"/>
      <c r="CZ174" s="778"/>
      <c r="DA174" s="778"/>
      <c r="DB174" s="778"/>
      <c r="DC174" s="778"/>
      <c r="DD174" s="778"/>
      <c r="DE174" s="778"/>
      <c r="DF174" s="778"/>
      <c r="DG174" s="778"/>
      <c r="DH174" s="778"/>
      <c r="DI174" s="778"/>
      <c r="DJ174" s="778"/>
      <c r="DK174" s="778"/>
      <c r="DL174" s="778"/>
      <c r="DM174" s="778"/>
      <c r="DN174" s="778"/>
      <c r="DO174" s="778"/>
      <c r="DP174" s="778"/>
      <c r="DQ174" s="778"/>
      <c r="DR174" s="778"/>
      <c r="DS174" s="778"/>
      <c r="DT174" s="778"/>
      <c r="DU174" s="778"/>
      <c r="DV174" s="778"/>
      <c r="DW174" s="778"/>
      <c r="DX174" s="778"/>
      <c r="DY174" s="778"/>
      <c r="DZ174" s="778"/>
      <c r="EA174" s="778"/>
      <c r="EB174" s="778"/>
      <c r="EC174" s="778"/>
      <c r="ED174" s="778"/>
      <c r="EE174" s="778"/>
      <c r="EF174" s="778"/>
      <c r="EG174" s="778"/>
      <c r="EH174" s="778"/>
    </row>
    <row r="175" spans="5:138" ht="12.75" customHeight="1" x14ac:dyDescent="0.3">
      <c r="E175" s="778"/>
      <c r="F175" s="778"/>
      <c r="G175" s="778"/>
      <c r="H175" s="778"/>
      <c r="I175" s="778"/>
      <c r="J175" s="778"/>
      <c r="K175" s="778"/>
      <c r="L175" s="778"/>
      <c r="M175" s="778"/>
      <c r="N175" s="778"/>
      <c r="O175" s="778"/>
      <c r="P175" s="778"/>
      <c r="Q175" s="778"/>
      <c r="R175" s="778"/>
      <c r="S175" s="778"/>
      <c r="T175" s="778"/>
      <c r="U175" s="778"/>
      <c r="V175" s="778"/>
      <c r="W175" s="778"/>
      <c r="X175" s="778"/>
      <c r="Y175" s="778"/>
      <c r="Z175" s="778"/>
      <c r="AA175" s="778"/>
      <c r="AB175" s="778"/>
      <c r="AC175" s="778"/>
      <c r="AD175" s="778"/>
      <c r="AE175" s="778"/>
      <c r="AF175" s="778"/>
      <c r="AG175" s="778"/>
      <c r="AH175" s="778"/>
      <c r="AI175" s="778"/>
      <c r="AJ175" s="778"/>
      <c r="AK175" s="778"/>
      <c r="AL175" s="778"/>
      <c r="AM175" s="778"/>
      <c r="AN175" s="778"/>
      <c r="AO175" s="778"/>
      <c r="AP175" s="778"/>
      <c r="AQ175" s="778"/>
      <c r="AR175" s="778"/>
      <c r="AS175" s="778"/>
      <c r="AT175" s="778"/>
      <c r="AU175" s="778"/>
      <c r="AV175" s="778"/>
      <c r="AW175" s="778"/>
      <c r="AX175" s="778"/>
      <c r="AY175" s="778"/>
      <c r="AZ175" s="778"/>
      <c r="BA175" s="778"/>
      <c r="BB175" s="778"/>
      <c r="BC175" s="778"/>
      <c r="BD175" s="778"/>
      <c r="BE175" s="778"/>
      <c r="BF175" s="778"/>
      <c r="BG175" s="778"/>
      <c r="BH175" s="778"/>
      <c r="BI175" s="778"/>
      <c r="BJ175" s="778"/>
      <c r="BK175" s="778"/>
      <c r="BL175" s="778"/>
      <c r="BM175" s="778"/>
      <c r="BN175" s="778"/>
      <c r="BO175" s="778"/>
      <c r="BP175" s="778"/>
      <c r="BQ175" s="778"/>
      <c r="BR175" s="778"/>
      <c r="BS175" s="778"/>
      <c r="BT175" s="778"/>
      <c r="BU175" s="778"/>
      <c r="BV175" s="778"/>
      <c r="BW175" s="778"/>
      <c r="BX175" s="778"/>
      <c r="BY175" s="778"/>
      <c r="BZ175" s="778"/>
      <c r="CA175" s="778"/>
      <c r="CB175" s="778"/>
      <c r="CC175" s="778"/>
      <c r="CD175" s="778"/>
      <c r="CE175" s="778"/>
      <c r="CF175" s="778"/>
      <c r="CG175" s="778"/>
      <c r="CH175" s="778"/>
      <c r="CI175" s="778"/>
      <c r="CJ175" s="778"/>
      <c r="CK175" s="778"/>
      <c r="CL175" s="778"/>
      <c r="CM175" s="778"/>
      <c r="CN175" s="778"/>
      <c r="CO175" s="778"/>
      <c r="CP175" s="778"/>
      <c r="CQ175" s="778"/>
      <c r="CR175" s="778"/>
      <c r="CS175" s="778"/>
      <c r="CT175" s="778"/>
      <c r="CU175" s="778"/>
      <c r="CV175" s="778"/>
      <c r="CW175" s="778"/>
      <c r="CX175" s="778"/>
      <c r="CY175" s="778"/>
      <c r="CZ175" s="778"/>
      <c r="DA175" s="778"/>
      <c r="DB175" s="778"/>
      <c r="DC175" s="778"/>
      <c r="DD175" s="778"/>
      <c r="DE175" s="778"/>
      <c r="DF175" s="778"/>
      <c r="DG175" s="778"/>
      <c r="DH175" s="778"/>
      <c r="DI175" s="778"/>
      <c r="DJ175" s="778"/>
      <c r="DK175" s="778"/>
      <c r="DL175" s="778"/>
      <c r="DM175" s="778"/>
      <c r="DN175" s="778"/>
      <c r="DO175" s="778"/>
      <c r="DP175" s="778"/>
      <c r="DQ175" s="778"/>
      <c r="DR175" s="778"/>
      <c r="DS175" s="778"/>
      <c r="DT175" s="778"/>
      <c r="DU175" s="778"/>
      <c r="DV175" s="778"/>
      <c r="DW175" s="778"/>
      <c r="DX175" s="778"/>
      <c r="DY175" s="778"/>
      <c r="DZ175" s="778"/>
      <c r="EA175" s="778"/>
      <c r="EB175" s="778"/>
      <c r="EC175" s="778"/>
      <c r="ED175" s="778"/>
      <c r="EE175" s="778"/>
      <c r="EF175" s="778"/>
      <c r="EG175" s="778"/>
      <c r="EH175" s="778"/>
    </row>
    <row r="176" spans="5:138" ht="12.75" customHeight="1" x14ac:dyDescent="0.3">
      <c r="E176" s="778"/>
      <c r="F176" s="778"/>
      <c r="G176" s="778"/>
      <c r="H176" s="778"/>
      <c r="I176" s="778"/>
      <c r="J176" s="778"/>
      <c r="K176" s="778"/>
      <c r="L176" s="778"/>
      <c r="M176" s="778"/>
      <c r="N176" s="778"/>
      <c r="O176" s="778"/>
      <c r="P176" s="778"/>
      <c r="Q176" s="778"/>
      <c r="R176" s="778"/>
      <c r="S176" s="778"/>
      <c r="T176" s="778"/>
      <c r="U176" s="778"/>
      <c r="V176" s="778"/>
      <c r="W176" s="778"/>
      <c r="X176" s="778"/>
      <c r="Y176" s="778"/>
      <c r="Z176" s="778"/>
      <c r="AA176" s="778"/>
      <c r="AB176" s="778"/>
      <c r="AC176" s="778"/>
      <c r="AD176" s="778"/>
      <c r="AE176" s="778"/>
      <c r="AF176" s="778"/>
      <c r="AG176" s="778"/>
      <c r="AH176" s="778"/>
      <c r="AI176" s="778"/>
      <c r="AJ176" s="778"/>
      <c r="AK176" s="778"/>
      <c r="AL176" s="778"/>
      <c r="AM176" s="778"/>
      <c r="AN176" s="778"/>
      <c r="AO176" s="778"/>
      <c r="AP176" s="778"/>
      <c r="AQ176" s="778"/>
      <c r="AR176" s="778"/>
      <c r="AS176" s="778"/>
      <c r="AT176" s="778"/>
      <c r="AU176" s="778"/>
      <c r="AV176" s="778"/>
      <c r="AW176" s="778"/>
      <c r="AX176" s="778"/>
      <c r="AY176" s="778"/>
      <c r="AZ176" s="778"/>
      <c r="BA176" s="778"/>
      <c r="BB176" s="778"/>
      <c r="BC176" s="778"/>
      <c r="BD176" s="778"/>
      <c r="BE176" s="778"/>
      <c r="BF176" s="778"/>
      <c r="BG176" s="778"/>
      <c r="BH176" s="778"/>
      <c r="BI176" s="778"/>
      <c r="BJ176" s="778"/>
      <c r="BK176" s="778"/>
      <c r="BL176" s="778"/>
      <c r="BM176" s="778"/>
      <c r="BN176" s="778"/>
      <c r="BO176" s="778"/>
      <c r="BP176" s="778"/>
      <c r="BQ176" s="778"/>
      <c r="BR176" s="778"/>
      <c r="BS176" s="778"/>
      <c r="BT176" s="778"/>
      <c r="BU176" s="778"/>
      <c r="BV176" s="778"/>
      <c r="BW176" s="778"/>
      <c r="BX176" s="778"/>
      <c r="BY176" s="778"/>
      <c r="BZ176" s="778"/>
      <c r="CA176" s="778"/>
      <c r="CB176" s="778"/>
      <c r="CC176" s="778"/>
      <c r="CD176" s="778"/>
      <c r="CE176" s="778"/>
      <c r="CF176" s="778"/>
      <c r="CG176" s="778"/>
      <c r="CH176" s="778"/>
      <c r="CI176" s="778"/>
      <c r="CJ176" s="778"/>
      <c r="CK176" s="778"/>
      <c r="CL176" s="778"/>
      <c r="CM176" s="778"/>
      <c r="CN176" s="778"/>
      <c r="CO176" s="778"/>
      <c r="CP176" s="778"/>
      <c r="CQ176" s="778"/>
      <c r="CR176" s="778"/>
      <c r="CS176" s="778"/>
      <c r="CT176" s="778"/>
      <c r="CU176" s="778"/>
      <c r="CV176" s="778"/>
      <c r="CW176" s="778"/>
      <c r="CX176" s="778"/>
      <c r="CY176" s="778"/>
      <c r="CZ176" s="778"/>
      <c r="DA176" s="778"/>
      <c r="DB176" s="778"/>
      <c r="DC176" s="778"/>
      <c r="DD176" s="778"/>
      <c r="DE176" s="778"/>
      <c r="DF176" s="778"/>
      <c r="DG176" s="778"/>
      <c r="DH176" s="778"/>
      <c r="DI176" s="778"/>
      <c r="DJ176" s="778"/>
      <c r="DK176" s="778"/>
      <c r="DL176" s="778"/>
      <c r="DM176" s="778"/>
      <c r="DN176" s="778"/>
      <c r="DO176" s="778"/>
      <c r="DP176" s="778"/>
      <c r="DQ176" s="778"/>
      <c r="DR176" s="778"/>
      <c r="DS176" s="778"/>
      <c r="DT176" s="778"/>
      <c r="DU176" s="778"/>
      <c r="DV176" s="778"/>
      <c r="DW176" s="778"/>
      <c r="DX176" s="778"/>
      <c r="DY176" s="778"/>
      <c r="DZ176" s="778"/>
      <c r="EA176" s="778"/>
      <c r="EB176" s="778"/>
      <c r="EC176" s="778"/>
      <c r="ED176" s="778"/>
      <c r="EE176" s="778"/>
      <c r="EF176" s="778"/>
      <c r="EG176" s="778"/>
      <c r="EH176" s="778"/>
    </row>
    <row r="177" spans="5:138" ht="12.75" customHeight="1" x14ac:dyDescent="0.3">
      <c r="E177" s="778"/>
      <c r="F177" s="778"/>
      <c r="G177" s="778"/>
      <c r="H177" s="778"/>
      <c r="I177" s="778"/>
      <c r="J177" s="778"/>
      <c r="K177" s="778"/>
      <c r="L177" s="778"/>
      <c r="M177" s="778"/>
      <c r="N177" s="778"/>
      <c r="O177" s="778"/>
      <c r="P177" s="778"/>
      <c r="Q177" s="778"/>
      <c r="R177" s="778"/>
      <c r="S177" s="778"/>
      <c r="T177" s="778"/>
      <c r="U177" s="778"/>
      <c r="V177" s="778"/>
      <c r="W177" s="778"/>
      <c r="X177" s="778"/>
      <c r="Y177" s="778"/>
      <c r="Z177" s="778"/>
      <c r="AA177" s="778"/>
      <c r="AB177" s="778"/>
      <c r="AC177" s="778"/>
      <c r="AD177" s="778"/>
      <c r="AE177" s="778"/>
      <c r="AF177" s="778"/>
      <c r="AG177" s="778"/>
      <c r="AH177" s="778"/>
      <c r="AI177" s="778"/>
      <c r="AJ177" s="778"/>
      <c r="AK177" s="778"/>
      <c r="AL177" s="778"/>
      <c r="AM177" s="778"/>
      <c r="AN177" s="778"/>
      <c r="AO177" s="778"/>
      <c r="AP177" s="778"/>
      <c r="AQ177" s="778"/>
      <c r="AR177" s="778"/>
      <c r="AS177" s="778"/>
      <c r="AT177" s="778"/>
      <c r="AU177" s="778"/>
      <c r="AV177" s="778"/>
      <c r="AW177" s="778"/>
      <c r="AX177" s="778"/>
      <c r="AY177" s="778"/>
      <c r="AZ177" s="778"/>
      <c r="BA177" s="778"/>
      <c r="BB177" s="778"/>
      <c r="BC177" s="778"/>
      <c r="BD177" s="778"/>
      <c r="BE177" s="778"/>
      <c r="BF177" s="778"/>
      <c r="BG177" s="778"/>
      <c r="BH177" s="778"/>
      <c r="BI177" s="778"/>
      <c r="BJ177" s="778"/>
      <c r="BK177" s="778"/>
      <c r="BL177" s="778"/>
      <c r="BM177" s="778"/>
      <c r="BN177" s="778"/>
      <c r="BO177" s="778"/>
      <c r="BP177" s="778"/>
      <c r="BQ177" s="778"/>
      <c r="BR177" s="778"/>
      <c r="BS177" s="778"/>
      <c r="BT177" s="778"/>
      <c r="BU177" s="778"/>
      <c r="BV177" s="778"/>
      <c r="BW177" s="778"/>
      <c r="BX177" s="778"/>
      <c r="BY177" s="778"/>
      <c r="BZ177" s="778"/>
      <c r="CA177" s="778"/>
      <c r="CB177" s="778"/>
      <c r="CC177" s="778"/>
      <c r="CD177" s="778"/>
      <c r="CE177" s="778"/>
      <c r="CF177" s="778"/>
      <c r="CG177" s="778"/>
      <c r="CH177" s="778"/>
      <c r="CI177" s="778"/>
      <c r="CJ177" s="778"/>
      <c r="CK177" s="778"/>
      <c r="CL177" s="778"/>
      <c r="CM177" s="778"/>
      <c r="CN177" s="778"/>
      <c r="CO177" s="778"/>
      <c r="CP177" s="778"/>
      <c r="CQ177" s="778"/>
      <c r="CR177" s="778"/>
      <c r="CS177" s="778"/>
      <c r="CT177" s="778"/>
      <c r="CU177" s="778"/>
      <c r="CV177" s="778"/>
      <c r="CW177" s="778"/>
      <c r="CX177" s="778"/>
      <c r="CY177" s="778"/>
      <c r="CZ177" s="778"/>
      <c r="DA177" s="778"/>
      <c r="DB177" s="778"/>
      <c r="DC177" s="778"/>
      <c r="DD177" s="778"/>
      <c r="DE177" s="778"/>
      <c r="DF177" s="778"/>
      <c r="DG177" s="778"/>
      <c r="DH177" s="778"/>
      <c r="DI177" s="778"/>
      <c r="DJ177" s="778"/>
      <c r="DK177" s="778"/>
      <c r="DL177" s="778"/>
      <c r="DM177" s="778"/>
      <c r="DN177" s="778"/>
      <c r="DO177" s="778"/>
      <c r="DP177" s="778"/>
      <c r="DQ177" s="778"/>
      <c r="DR177" s="778"/>
      <c r="DS177" s="778"/>
      <c r="DT177" s="778"/>
      <c r="DU177" s="778"/>
      <c r="DV177" s="778"/>
      <c r="DW177" s="778"/>
      <c r="DX177" s="778"/>
      <c r="DY177" s="778"/>
      <c r="DZ177" s="778"/>
      <c r="EA177" s="778"/>
      <c r="EB177" s="778"/>
      <c r="EC177" s="778"/>
      <c r="ED177" s="778"/>
      <c r="EE177" s="778"/>
      <c r="EF177" s="778"/>
      <c r="EG177" s="778"/>
      <c r="EH177" s="778"/>
    </row>
    <row r="178" spans="5:138" ht="12.75" customHeight="1" x14ac:dyDescent="0.3">
      <c r="E178" s="778"/>
      <c r="F178" s="778"/>
      <c r="G178" s="778"/>
      <c r="H178" s="778"/>
      <c r="I178" s="778"/>
      <c r="J178" s="778"/>
      <c r="K178" s="778"/>
      <c r="L178" s="778"/>
      <c r="M178" s="778"/>
      <c r="N178" s="778"/>
      <c r="O178" s="778"/>
      <c r="P178" s="778"/>
      <c r="Q178" s="778"/>
      <c r="R178" s="778"/>
      <c r="S178" s="778"/>
      <c r="T178" s="778"/>
      <c r="U178" s="778"/>
      <c r="V178" s="778"/>
      <c r="W178" s="778"/>
      <c r="X178" s="778"/>
      <c r="Y178" s="778"/>
      <c r="Z178" s="778"/>
      <c r="AA178" s="778"/>
      <c r="AB178" s="778"/>
      <c r="AC178" s="778"/>
      <c r="AD178" s="778"/>
      <c r="AE178" s="778"/>
      <c r="AF178" s="778"/>
      <c r="AG178" s="778"/>
      <c r="AH178" s="778"/>
      <c r="AI178" s="778"/>
      <c r="AJ178" s="778"/>
      <c r="AK178" s="778"/>
      <c r="AL178" s="778"/>
      <c r="AM178" s="778"/>
      <c r="AN178" s="778"/>
      <c r="AO178" s="778"/>
      <c r="AP178" s="778"/>
      <c r="AQ178" s="778"/>
      <c r="AR178" s="778"/>
      <c r="AS178" s="778"/>
      <c r="AT178" s="778"/>
      <c r="AU178" s="778"/>
      <c r="AV178" s="778"/>
      <c r="AW178" s="778"/>
      <c r="AX178" s="778"/>
      <c r="AY178" s="778"/>
      <c r="AZ178" s="778"/>
      <c r="BA178" s="778"/>
      <c r="BB178" s="778"/>
      <c r="BC178" s="778"/>
      <c r="BD178" s="778"/>
      <c r="BE178" s="778"/>
      <c r="BF178" s="778"/>
      <c r="BG178" s="778"/>
      <c r="BH178" s="778"/>
      <c r="BI178" s="778"/>
      <c r="BJ178" s="778"/>
      <c r="BK178" s="778"/>
      <c r="BL178" s="778"/>
      <c r="BM178" s="778"/>
      <c r="BN178" s="778"/>
      <c r="BO178" s="778"/>
      <c r="BP178" s="778"/>
      <c r="BQ178" s="778"/>
      <c r="BR178" s="778"/>
      <c r="BS178" s="778"/>
      <c r="BT178" s="778"/>
      <c r="BU178" s="778"/>
      <c r="BV178" s="778"/>
      <c r="BW178" s="778"/>
      <c r="BX178" s="778"/>
      <c r="BY178" s="778"/>
      <c r="BZ178" s="778"/>
      <c r="CA178" s="778"/>
      <c r="CB178" s="778"/>
      <c r="CC178" s="778"/>
      <c r="CD178" s="778"/>
      <c r="CE178" s="778"/>
      <c r="CF178" s="778"/>
      <c r="CG178" s="778"/>
      <c r="CH178" s="778"/>
      <c r="CI178" s="778"/>
      <c r="CJ178" s="778"/>
      <c r="CK178" s="778"/>
      <c r="CL178" s="778"/>
      <c r="CM178" s="778"/>
      <c r="CN178" s="778"/>
      <c r="CO178" s="778"/>
      <c r="CP178" s="778"/>
      <c r="CQ178" s="778"/>
      <c r="CR178" s="778"/>
      <c r="CS178" s="778"/>
      <c r="CT178" s="778"/>
      <c r="CU178" s="778"/>
      <c r="CV178" s="778"/>
      <c r="CW178" s="778"/>
      <c r="CX178" s="778"/>
      <c r="CY178" s="778"/>
      <c r="CZ178" s="778"/>
      <c r="DA178" s="778"/>
      <c r="DB178" s="778"/>
      <c r="DC178" s="778"/>
      <c r="DD178" s="778"/>
      <c r="DE178" s="778"/>
      <c r="DF178" s="778"/>
      <c r="DG178" s="778"/>
      <c r="DH178" s="778"/>
      <c r="DI178" s="778"/>
      <c r="DJ178" s="778"/>
      <c r="DK178" s="778"/>
      <c r="DL178" s="778"/>
      <c r="DM178" s="778"/>
      <c r="DN178" s="778"/>
      <c r="DO178" s="778"/>
      <c r="DP178" s="778"/>
      <c r="DQ178" s="778"/>
      <c r="DR178" s="778"/>
      <c r="DS178" s="778"/>
      <c r="DT178" s="778"/>
      <c r="DU178" s="778"/>
      <c r="DV178" s="778"/>
      <c r="DW178" s="778"/>
      <c r="DX178" s="778"/>
      <c r="DY178" s="778"/>
      <c r="DZ178" s="778"/>
      <c r="EA178" s="778"/>
      <c r="EB178" s="778"/>
      <c r="EC178" s="778"/>
      <c r="ED178" s="778"/>
      <c r="EE178" s="778"/>
      <c r="EF178" s="778"/>
      <c r="EG178" s="778"/>
      <c r="EH178" s="778"/>
    </row>
    <row r="179" spans="5:138" ht="12.75" customHeight="1" x14ac:dyDescent="0.3">
      <c r="E179" s="778"/>
      <c r="F179" s="778"/>
      <c r="G179" s="778"/>
      <c r="H179" s="778"/>
      <c r="I179" s="778"/>
      <c r="J179" s="778"/>
      <c r="K179" s="778"/>
      <c r="L179" s="778"/>
      <c r="M179" s="778"/>
      <c r="N179" s="778"/>
      <c r="O179" s="778"/>
      <c r="P179" s="778"/>
      <c r="Q179" s="778"/>
      <c r="R179" s="778"/>
      <c r="S179" s="778"/>
      <c r="T179" s="778"/>
      <c r="U179" s="778"/>
      <c r="V179" s="778"/>
      <c r="W179" s="778"/>
      <c r="X179" s="778"/>
      <c r="Y179" s="778"/>
      <c r="Z179" s="778"/>
      <c r="AA179" s="778"/>
      <c r="AB179" s="778"/>
      <c r="AC179" s="778"/>
      <c r="AD179" s="778"/>
      <c r="AE179" s="778"/>
      <c r="AF179" s="778"/>
      <c r="AG179" s="778"/>
      <c r="AH179" s="778"/>
      <c r="AI179" s="778"/>
      <c r="AJ179" s="778"/>
      <c r="AK179" s="778"/>
      <c r="AL179" s="778"/>
      <c r="AM179" s="778"/>
      <c r="AN179" s="778"/>
      <c r="AO179" s="778"/>
      <c r="AP179" s="778"/>
      <c r="AQ179" s="778"/>
      <c r="AR179" s="778"/>
      <c r="AS179" s="778"/>
      <c r="AT179" s="778"/>
      <c r="AU179" s="778"/>
      <c r="AV179" s="778"/>
      <c r="AW179" s="778"/>
      <c r="AX179" s="778"/>
      <c r="AY179" s="778"/>
      <c r="AZ179" s="778"/>
      <c r="BA179" s="778"/>
      <c r="BB179" s="778"/>
      <c r="BC179" s="778"/>
      <c r="BD179" s="778"/>
      <c r="BE179" s="778"/>
      <c r="BF179" s="778"/>
      <c r="BG179" s="778"/>
      <c r="BH179" s="778"/>
      <c r="BI179" s="778"/>
      <c r="BJ179" s="778"/>
      <c r="BK179" s="778"/>
      <c r="BL179" s="778"/>
      <c r="BM179" s="778"/>
      <c r="BN179" s="778"/>
      <c r="BO179" s="778"/>
      <c r="BP179" s="778"/>
      <c r="BQ179" s="778"/>
      <c r="BR179" s="778"/>
      <c r="BS179" s="778"/>
      <c r="BT179" s="778"/>
      <c r="BU179" s="778"/>
      <c r="BV179" s="778"/>
      <c r="BW179" s="778"/>
      <c r="BX179" s="778"/>
      <c r="BY179" s="778"/>
      <c r="BZ179" s="778"/>
      <c r="CA179" s="778"/>
      <c r="CB179" s="778"/>
      <c r="CC179" s="778"/>
      <c r="CD179" s="778"/>
      <c r="CE179" s="778"/>
      <c r="CF179" s="778"/>
      <c r="CG179" s="778"/>
      <c r="CH179" s="778"/>
      <c r="CI179" s="778"/>
      <c r="CJ179" s="778"/>
      <c r="CK179" s="778"/>
      <c r="CL179" s="778"/>
      <c r="CM179" s="778"/>
      <c r="CN179" s="778"/>
      <c r="CO179" s="778"/>
      <c r="CP179" s="778"/>
      <c r="CQ179" s="778"/>
      <c r="CR179" s="778"/>
      <c r="CS179" s="778"/>
      <c r="CT179" s="778"/>
      <c r="CU179" s="778"/>
      <c r="CV179" s="778"/>
      <c r="CW179" s="778"/>
      <c r="CX179" s="778"/>
      <c r="CY179" s="778"/>
      <c r="CZ179" s="778"/>
      <c r="DA179" s="778"/>
      <c r="DB179" s="778"/>
      <c r="DC179" s="778"/>
      <c r="DD179" s="778"/>
      <c r="DE179" s="778"/>
      <c r="DF179" s="778"/>
      <c r="DG179" s="778"/>
      <c r="DH179" s="778"/>
      <c r="DI179" s="778"/>
      <c r="DJ179" s="778"/>
      <c r="DK179" s="778"/>
      <c r="DL179" s="778"/>
      <c r="DM179" s="778"/>
      <c r="DN179" s="778"/>
      <c r="DO179" s="778"/>
      <c r="DP179" s="778"/>
      <c r="DQ179" s="778"/>
      <c r="DR179" s="778"/>
      <c r="DS179" s="778"/>
      <c r="DT179" s="778"/>
      <c r="DU179" s="778"/>
      <c r="DV179" s="778"/>
      <c r="DW179" s="778"/>
      <c r="DX179" s="778"/>
      <c r="DY179" s="778"/>
      <c r="DZ179" s="778"/>
      <c r="EA179" s="778"/>
      <c r="EB179" s="778"/>
      <c r="EC179" s="778"/>
      <c r="ED179" s="778"/>
      <c r="EE179" s="778"/>
      <c r="EF179" s="778"/>
      <c r="EG179" s="778"/>
      <c r="EH179" s="778"/>
    </row>
    <row r="180" spans="5:138" ht="12.75" customHeight="1" x14ac:dyDescent="0.3">
      <c r="E180" s="778"/>
      <c r="F180" s="778"/>
      <c r="G180" s="778"/>
      <c r="H180" s="778"/>
      <c r="I180" s="778"/>
      <c r="J180" s="778"/>
      <c r="K180" s="778"/>
      <c r="L180" s="778"/>
      <c r="M180" s="778"/>
      <c r="N180" s="778"/>
      <c r="O180" s="778"/>
      <c r="P180" s="778"/>
      <c r="Q180" s="778"/>
      <c r="R180" s="778"/>
      <c r="S180" s="778"/>
      <c r="T180" s="778"/>
      <c r="U180" s="778"/>
      <c r="V180" s="778"/>
      <c r="W180" s="778"/>
      <c r="X180" s="778"/>
      <c r="Y180" s="778"/>
      <c r="Z180" s="778"/>
      <c r="AA180" s="778"/>
      <c r="AB180" s="778"/>
      <c r="AC180" s="778"/>
      <c r="AD180" s="778"/>
      <c r="AE180" s="778"/>
      <c r="AF180" s="778"/>
      <c r="AG180" s="778"/>
      <c r="AH180" s="778"/>
      <c r="AI180" s="778"/>
      <c r="AJ180" s="778"/>
      <c r="AK180" s="778"/>
      <c r="AL180" s="778"/>
      <c r="AM180" s="778"/>
      <c r="AN180" s="778"/>
      <c r="AO180" s="778"/>
      <c r="AP180" s="778"/>
      <c r="AQ180" s="778"/>
      <c r="AR180" s="778"/>
      <c r="AS180" s="778"/>
      <c r="AT180" s="778"/>
      <c r="AU180" s="778"/>
      <c r="AV180" s="778"/>
      <c r="AW180" s="778"/>
      <c r="AX180" s="778"/>
      <c r="AY180" s="778"/>
      <c r="AZ180" s="778"/>
      <c r="BA180" s="778"/>
      <c r="BB180" s="778"/>
      <c r="BC180" s="778"/>
      <c r="BD180" s="778"/>
      <c r="BE180" s="778"/>
      <c r="BF180" s="778"/>
      <c r="BG180" s="778"/>
      <c r="BH180" s="778"/>
      <c r="BI180" s="778"/>
      <c r="BJ180" s="778"/>
      <c r="BK180" s="778"/>
      <c r="BL180" s="778"/>
      <c r="BM180" s="778"/>
      <c r="BN180" s="778"/>
      <c r="BO180" s="778"/>
      <c r="BP180" s="778"/>
      <c r="BQ180" s="778"/>
      <c r="BR180" s="778"/>
      <c r="BS180" s="778"/>
      <c r="BT180" s="778"/>
      <c r="BU180" s="778"/>
      <c r="BV180" s="778"/>
      <c r="BW180" s="778"/>
      <c r="BX180" s="778"/>
      <c r="BY180" s="778"/>
      <c r="BZ180" s="778"/>
      <c r="CA180" s="778"/>
      <c r="CB180" s="778"/>
      <c r="CC180" s="778"/>
      <c r="CD180" s="778"/>
      <c r="CE180" s="778"/>
      <c r="CF180" s="778"/>
      <c r="CG180" s="778"/>
      <c r="CH180" s="778"/>
      <c r="CI180" s="778"/>
      <c r="CJ180" s="778"/>
      <c r="CK180" s="778"/>
      <c r="CL180" s="778"/>
      <c r="CM180" s="778"/>
      <c r="CN180" s="778"/>
      <c r="CO180" s="778"/>
      <c r="CP180" s="778"/>
      <c r="CQ180" s="778"/>
      <c r="CR180" s="778"/>
      <c r="CS180" s="778"/>
      <c r="CT180" s="778"/>
      <c r="CU180" s="778"/>
      <c r="CV180" s="778"/>
      <c r="CW180" s="778"/>
      <c r="CX180" s="778"/>
      <c r="CY180" s="778"/>
      <c r="CZ180" s="778"/>
      <c r="DA180" s="778"/>
      <c r="DB180" s="778"/>
      <c r="DC180" s="778"/>
      <c r="DD180" s="778"/>
      <c r="DE180" s="778"/>
      <c r="DF180" s="778"/>
      <c r="DG180" s="778"/>
      <c r="DH180" s="778"/>
      <c r="DI180" s="778"/>
      <c r="DJ180" s="778"/>
      <c r="DK180" s="778"/>
      <c r="DL180" s="778"/>
      <c r="DM180" s="778"/>
      <c r="DN180" s="778"/>
      <c r="DO180" s="778"/>
      <c r="DP180" s="778"/>
      <c r="DQ180" s="778"/>
      <c r="DR180" s="778"/>
      <c r="DS180" s="778"/>
      <c r="DT180" s="778"/>
      <c r="DU180" s="778"/>
      <c r="DV180" s="778"/>
      <c r="DW180" s="778"/>
      <c r="DX180" s="778"/>
      <c r="DY180" s="778"/>
      <c r="DZ180" s="778"/>
      <c r="EA180" s="778"/>
      <c r="EB180" s="778"/>
      <c r="EC180" s="778"/>
      <c r="ED180" s="778"/>
      <c r="EE180" s="778"/>
      <c r="EF180" s="778"/>
      <c r="EG180" s="778"/>
      <c r="EH180" s="778"/>
    </row>
    <row r="181" spans="5:138" ht="12.75" customHeight="1" x14ac:dyDescent="0.3">
      <c r="E181" s="778"/>
      <c r="F181" s="778"/>
      <c r="G181" s="778"/>
      <c r="H181" s="778"/>
      <c r="I181" s="778"/>
      <c r="J181" s="778"/>
      <c r="K181" s="778"/>
      <c r="L181" s="778"/>
      <c r="M181" s="778"/>
      <c r="N181" s="778"/>
      <c r="O181" s="778"/>
      <c r="P181" s="778"/>
      <c r="Q181" s="778"/>
      <c r="R181" s="778"/>
      <c r="S181" s="778"/>
      <c r="T181" s="778"/>
      <c r="U181" s="778"/>
      <c r="V181" s="778"/>
      <c r="W181" s="778"/>
      <c r="X181" s="778"/>
      <c r="Y181" s="778"/>
      <c r="Z181" s="778"/>
      <c r="AA181" s="778"/>
      <c r="AB181" s="778"/>
      <c r="AC181" s="778"/>
      <c r="AD181" s="778"/>
      <c r="AE181" s="778"/>
      <c r="AF181" s="778"/>
      <c r="AG181" s="778"/>
      <c r="AH181" s="778"/>
      <c r="AI181" s="778"/>
      <c r="AJ181" s="778"/>
      <c r="AK181" s="778"/>
      <c r="AL181" s="778"/>
      <c r="AM181" s="778"/>
      <c r="AN181" s="778"/>
      <c r="AO181" s="778"/>
      <c r="AP181" s="778"/>
      <c r="AQ181" s="778"/>
      <c r="AR181" s="778"/>
      <c r="AS181" s="778"/>
      <c r="AT181" s="778"/>
      <c r="AU181" s="778"/>
      <c r="AV181" s="778"/>
      <c r="AW181" s="778"/>
      <c r="AX181" s="778"/>
      <c r="AY181" s="778"/>
      <c r="AZ181" s="778"/>
      <c r="BA181" s="778"/>
      <c r="BB181" s="778"/>
      <c r="BC181" s="778"/>
      <c r="BD181" s="778"/>
      <c r="BE181" s="778"/>
      <c r="BF181" s="778"/>
      <c r="BG181" s="778"/>
      <c r="BH181" s="778"/>
      <c r="BI181" s="778"/>
      <c r="BJ181" s="778"/>
      <c r="BK181" s="778"/>
      <c r="BL181" s="778"/>
      <c r="BM181" s="778"/>
      <c r="BN181" s="778"/>
      <c r="BO181" s="778"/>
      <c r="BP181" s="778"/>
      <c r="BQ181" s="778"/>
      <c r="BR181" s="778"/>
      <c r="BS181" s="778"/>
      <c r="BT181" s="778"/>
      <c r="BU181" s="778"/>
      <c r="BV181" s="778"/>
      <c r="BW181" s="778"/>
      <c r="BX181" s="778"/>
      <c r="BY181" s="778"/>
      <c r="BZ181" s="778"/>
      <c r="CA181" s="778"/>
      <c r="CB181" s="778"/>
      <c r="CC181" s="778"/>
      <c r="CD181" s="778"/>
      <c r="CE181" s="778"/>
      <c r="CF181" s="778"/>
      <c r="CG181" s="778"/>
      <c r="CH181" s="778"/>
      <c r="CI181" s="778"/>
      <c r="CJ181" s="778"/>
      <c r="CK181" s="778"/>
      <c r="CL181" s="778"/>
      <c r="CM181" s="778"/>
      <c r="CN181" s="778"/>
      <c r="CO181" s="778"/>
      <c r="CP181" s="778"/>
      <c r="CQ181" s="778"/>
      <c r="CR181" s="778"/>
      <c r="CS181" s="778"/>
      <c r="CT181" s="778"/>
      <c r="CU181" s="778"/>
      <c r="CV181" s="778"/>
      <c r="CW181" s="778"/>
      <c r="CX181" s="778"/>
      <c r="CY181" s="778"/>
      <c r="CZ181" s="778"/>
      <c r="DA181" s="778"/>
      <c r="DB181" s="778"/>
      <c r="DC181" s="778"/>
      <c r="DD181" s="778"/>
      <c r="DE181" s="778"/>
      <c r="DF181" s="778"/>
      <c r="DG181" s="778"/>
      <c r="DH181" s="778"/>
      <c r="DI181" s="778"/>
      <c r="DJ181" s="778"/>
      <c r="DK181" s="778"/>
      <c r="DL181" s="778"/>
      <c r="DM181" s="778"/>
      <c r="DN181" s="778"/>
      <c r="DO181" s="778"/>
      <c r="DP181" s="778"/>
      <c r="DQ181" s="778"/>
      <c r="DR181" s="778"/>
      <c r="DS181" s="778"/>
      <c r="DT181" s="778"/>
      <c r="DU181" s="778"/>
      <c r="DV181" s="778"/>
      <c r="DW181" s="778"/>
      <c r="DX181" s="778"/>
      <c r="DY181" s="778"/>
      <c r="DZ181" s="778"/>
      <c r="EA181" s="778"/>
      <c r="EB181" s="778"/>
      <c r="EC181" s="778"/>
      <c r="ED181" s="778"/>
      <c r="EE181" s="778"/>
      <c r="EF181" s="778"/>
      <c r="EG181" s="778"/>
      <c r="EH181" s="778"/>
    </row>
    <row r="182" spans="5:138" ht="12.75" customHeight="1" x14ac:dyDescent="0.3">
      <c r="E182" s="778"/>
      <c r="F182" s="778"/>
      <c r="G182" s="778"/>
      <c r="H182" s="778"/>
      <c r="I182" s="778"/>
      <c r="J182" s="778"/>
      <c r="K182" s="778"/>
      <c r="L182" s="778"/>
      <c r="M182" s="778"/>
      <c r="N182" s="778"/>
      <c r="O182" s="778"/>
      <c r="P182" s="778"/>
      <c r="Q182" s="778"/>
      <c r="R182" s="778"/>
      <c r="S182" s="778"/>
      <c r="T182" s="778"/>
      <c r="U182" s="778"/>
      <c r="V182" s="778"/>
      <c r="W182" s="778"/>
      <c r="X182" s="778"/>
      <c r="Y182" s="778"/>
      <c r="Z182" s="778"/>
      <c r="AA182" s="778"/>
      <c r="AB182" s="778"/>
      <c r="AC182" s="778"/>
      <c r="AD182" s="778"/>
      <c r="AE182" s="778"/>
      <c r="AF182" s="778"/>
      <c r="AG182" s="778"/>
      <c r="AH182" s="778"/>
      <c r="AI182" s="778"/>
      <c r="AJ182" s="778"/>
      <c r="AK182" s="778"/>
      <c r="AL182" s="778"/>
      <c r="AM182" s="778"/>
      <c r="AN182" s="778"/>
      <c r="AO182" s="778"/>
      <c r="AP182" s="778"/>
      <c r="AQ182" s="778"/>
      <c r="AR182" s="778"/>
      <c r="AS182" s="778"/>
      <c r="AT182" s="778"/>
      <c r="AU182" s="778"/>
      <c r="AV182" s="778"/>
      <c r="AW182" s="778"/>
      <c r="AX182" s="778"/>
      <c r="AY182" s="778"/>
      <c r="AZ182" s="778"/>
      <c r="BA182" s="778"/>
      <c r="BB182" s="778"/>
      <c r="BC182" s="778"/>
      <c r="BD182" s="778"/>
      <c r="BE182" s="778"/>
      <c r="BF182" s="778"/>
      <c r="BG182" s="778"/>
      <c r="BH182" s="778"/>
      <c r="BI182" s="778"/>
      <c r="BJ182" s="778"/>
      <c r="BK182" s="778"/>
      <c r="BL182" s="778"/>
      <c r="BM182" s="778"/>
      <c r="BN182" s="778"/>
      <c r="BO182" s="778"/>
      <c r="BP182" s="778"/>
      <c r="BQ182" s="778"/>
      <c r="BR182" s="778"/>
      <c r="BS182" s="778"/>
      <c r="BT182" s="778"/>
      <c r="BU182" s="778"/>
      <c r="BV182" s="778"/>
      <c r="BW182" s="778"/>
      <c r="BX182" s="778"/>
      <c r="BY182" s="778"/>
      <c r="BZ182" s="778"/>
      <c r="CA182" s="778"/>
      <c r="CB182" s="778"/>
      <c r="CC182" s="778"/>
      <c r="CD182" s="778"/>
      <c r="CE182" s="778"/>
      <c r="CF182" s="778"/>
      <c r="CG182" s="778"/>
      <c r="CH182" s="778"/>
      <c r="CI182" s="778"/>
      <c r="CJ182" s="778"/>
      <c r="CK182" s="778"/>
      <c r="CL182" s="778"/>
      <c r="CM182" s="778"/>
      <c r="CN182" s="778"/>
      <c r="CO182" s="778"/>
      <c r="CP182" s="778"/>
      <c r="CQ182" s="778"/>
      <c r="CR182" s="778"/>
      <c r="CS182" s="778"/>
      <c r="CT182" s="778"/>
      <c r="CU182" s="778"/>
      <c r="CV182" s="778"/>
      <c r="CW182" s="778"/>
      <c r="CX182" s="778"/>
      <c r="CY182" s="778"/>
      <c r="CZ182" s="778"/>
      <c r="DA182" s="778"/>
      <c r="DB182" s="778"/>
      <c r="DC182" s="778"/>
      <c r="DD182" s="778"/>
      <c r="DE182" s="778"/>
      <c r="DF182" s="778"/>
      <c r="DG182" s="778"/>
      <c r="DH182" s="778"/>
      <c r="DI182" s="778"/>
      <c r="DJ182" s="778"/>
      <c r="DK182" s="778"/>
      <c r="DL182" s="778"/>
      <c r="DM182" s="778"/>
      <c r="DN182" s="778"/>
      <c r="DO182" s="778"/>
      <c r="DP182" s="778"/>
      <c r="DQ182" s="778"/>
      <c r="DR182" s="778"/>
      <c r="DS182" s="778"/>
      <c r="DT182" s="778"/>
      <c r="DU182" s="778"/>
      <c r="DV182" s="778"/>
      <c r="DW182" s="778"/>
      <c r="DX182" s="778"/>
      <c r="DY182" s="778"/>
      <c r="DZ182" s="778"/>
      <c r="EA182" s="778"/>
      <c r="EB182" s="778"/>
      <c r="EC182" s="778"/>
      <c r="ED182" s="778"/>
      <c r="EE182" s="778"/>
      <c r="EF182" s="778"/>
      <c r="EG182" s="778"/>
      <c r="EH182" s="778"/>
    </row>
    <row r="183" spans="5:138" ht="12.75" customHeight="1" x14ac:dyDescent="0.3">
      <c r="E183" s="778"/>
      <c r="F183" s="778"/>
      <c r="G183" s="778"/>
      <c r="H183" s="778"/>
      <c r="I183" s="778"/>
      <c r="J183" s="778"/>
      <c r="K183" s="778"/>
      <c r="L183" s="778"/>
      <c r="M183" s="778"/>
      <c r="N183" s="778"/>
      <c r="O183" s="778"/>
      <c r="P183" s="778"/>
      <c r="Q183" s="778"/>
      <c r="R183" s="778"/>
      <c r="S183" s="778"/>
      <c r="T183" s="778"/>
      <c r="U183" s="778"/>
      <c r="V183" s="778"/>
      <c r="W183" s="778"/>
      <c r="X183" s="778"/>
      <c r="Y183" s="778"/>
      <c r="Z183" s="778"/>
      <c r="AA183" s="778"/>
      <c r="AB183" s="778"/>
      <c r="AC183" s="778"/>
      <c r="AD183" s="778"/>
      <c r="AE183" s="778"/>
      <c r="AF183" s="778"/>
      <c r="AG183" s="778"/>
      <c r="AH183" s="778"/>
      <c r="AI183" s="778"/>
      <c r="AJ183" s="778"/>
      <c r="AK183" s="778"/>
      <c r="AL183" s="778"/>
      <c r="AM183" s="778"/>
      <c r="AN183" s="778"/>
      <c r="AO183" s="778"/>
      <c r="AP183" s="778"/>
      <c r="AQ183" s="778"/>
      <c r="AR183" s="778"/>
      <c r="AS183" s="778"/>
      <c r="AT183" s="778"/>
      <c r="AU183" s="778"/>
      <c r="AV183" s="778"/>
      <c r="AW183" s="778"/>
      <c r="AX183" s="778"/>
      <c r="AY183" s="778"/>
      <c r="AZ183" s="778"/>
      <c r="BA183" s="778"/>
      <c r="BB183" s="778"/>
      <c r="BC183" s="778"/>
      <c r="BD183" s="778"/>
      <c r="BE183" s="778"/>
      <c r="BF183" s="778"/>
      <c r="BG183" s="778"/>
      <c r="BH183" s="778"/>
      <c r="BI183" s="778"/>
      <c r="BJ183" s="778"/>
      <c r="BK183" s="778"/>
      <c r="BL183" s="778"/>
      <c r="BM183" s="778"/>
      <c r="BN183" s="778"/>
      <c r="BO183" s="778"/>
      <c r="BP183" s="778"/>
      <c r="BQ183" s="778"/>
      <c r="BR183" s="778"/>
      <c r="BS183" s="778"/>
      <c r="BT183" s="778"/>
      <c r="BU183" s="778"/>
      <c r="BV183" s="778"/>
      <c r="BW183" s="778"/>
      <c r="BX183" s="778"/>
      <c r="BY183" s="778"/>
      <c r="BZ183" s="778"/>
      <c r="CA183" s="778"/>
      <c r="CB183" s="778"/>
      <c r="CC183" s="778"/>
      <c r="CD183" s="778"/>
      <c r="CE183" s="778"/>
      <c r="CF183" s="778"/>
      <c r="CG183" s="778"/>
      <c r="CH183" s="778"/>
      <c r="CI183" s="778"/>
      <c r="CJ183" s="778"/>
      <c r="CK183" s="778"/>
      <c r="CL183" s="778"/>
      <c r="CM183" s="778"/>
      <c r="CN183" s="778"/>
      <c r="CO183" s="778"/>
      <c r="CP183" s="778"/>
      <c r="CQ183" s="778"/>
      <c r="CR183" s="778"/>
      <c r="CS183" s="778"/>
      <c r="CT183" s="778"/>
      <c r="CU183" s="778"/>
      <c r="CV183" s="778"/>
      <c r="CW183" s="778"/>
      <c r="CX183" s="778"/>
      <c r="CY183" s="778"/>
      <c r="CZ183" s="778"/>
      <c r="DA183" s="778"/>
      <c r="DB183" s="778"/>
      <c r="DC183" s="778"/>
      <c r="DD183" s="778"/>
      <c r="DE183" s="778"/>
      <c r="DF183" s="778"/>
      <c r="DG183" s="778"/>
      <c r="DH183" s="778"/>
      <c r="DI183" s="778"/>
      <c r="DJ183" s="778"/>
      <c r="DK183" s="778"/>
      <c r="DL183" s="778"/>
      <c r="DM183" s="778"/>
      <c r="DN183" s="778"/>
      <c r="DO183" s="778"/>
      <c r="DP183" s="778"/>
      <c r="DQ183" s="778"/>
      <c r="DR183" s="778"/>
      <c r="DS183" s="778"/>
      <c r="DT183" s="778"/>
      <c r="DU183" s="778"/>
      <c r="DV183" s="778"/>
      <c r="DW183" s="778"/>
      <c r="DX183" s="778"/>
      <c r="DY183" s="778"/>
      <c r="DZ183" s="778"/>
      <c r="EA183" s="778"/>
      <c r="EB183" s="778"/>
      <c r="EC183" s="778"/>
      <c r="ED183" s="778"/>
      <c r="EE183" s="778"/>
      <c r="EF183" s="778"/>
      <c r="EG183" s="778"/>
      <c r="EH183" s="778"/>
    </row>
    <row r="184" spans="5:138" ht="12.75" customHeight="1" x14ac:dyDescent="0.3">
      <c r="E184" s="778"/>
      <c r="F184" s="778"/>
      <c r="G184" s="778"/>
      <c r="H184" s="778"/>
      <c r="I184" s="778"/>
      <c r="J184" s="778"/>
      <c r="K184" s="778"/>
      <c r="L184" s="778"/>
      <c r="M184" s="778"/>
      <c r="N184" s="778"/>
      <c r="O184" s="778"/>
      <c r="P184" s="778"/>
      <c r="Q184" s="778"/>
      <c r="R184" s="778"/>
      <c r="S184" s="778"/>
      <c r="T184" s="778"/>
      <c r="U184" s="778"/>
      <c r="V184" s="778"/>
      <c r="W184" s="778"/>
      <c r="X184" s="778"/>
      <c r="Y184" s="778"/>
      <c r="Z184" s="778"/>
      <c r="AA184" s="778"/>
      <c r="AB184" s="778"/>
      <c r="AC184" s="778"/>
      <c r="AD184" s="778"/>
      <c r="AE184" s="778"/>
      <c r="AF184" s="778"/>
      <c r="AG184" s="778"/>
      <c r="AH184" s="778"/>
      <c r="AI184" s="778"/>
      <c r="AJ184" s="778"/>
      <c r="AK184" s="778"/>
      <c r="AL184" s="778"/>
      <c r="AM184" s="778"/>
      <c r="AN184" s="778"/>
      <c r="AO184" s="778"/>
      <c r="AP184" s="778"/>
      <c r="AQ184" s="778"/>
      <c r="AR184" s="778"/>
      <c r="AS184" s="778"/>
      <c r="AT184" s="778"/>
      <c r="AU184" s="778"/>
      <c r="AV184" s="778"/>
      <c r="AW184" s="778"/>
      <c r="AX184" s="778"/>
      <c r="AY184" s="778"/>
      <c r="AZ184" s="778"/>
      <c r="BA184" s="778"/>
      <c r="BB184" s="778"/>
      <c r="BC184" s="778"/>
      <c r="BD184" s="778"/>
      <c r="BE184" s="778"/>
      <c r="BF184" s="778"/>
      <c r="BG184" s="778"/>
      <c r="BH184" s="778"/>
      <c r="BI184" s="778"/>
      <c r="BJ184" s="778"/>
      <c r="BK184" s="778"/>
      <c r="BL184" s="778"/>
      <c r="BM184" s="778"/>
      <c r="BN184" s="778"/>
      <c r="BO184" s="778"/>
      <c r="BP184" s="778"/>
      <c r="BQ184" s="778"/>
      <c r="BR184" s="778"/>
      <c r="BS184" s="778"/>
      <c r="BT184" s="778"/>
      <c r="BU184" s="778"/>
      <c r="BV184" s="778"/>
      <c r="BW184" s="778"/>
      <c r="BX184" s="778"/>
      <c r="BY184" s="778"/>
      <c r="BZ184" s="778"/>
      <c r="CA184" s="778"/>
      <c r="CB184" s="778"/>
      <c r="CC184" s="778"/>
      <c r="CD184" s="778"/>
      <c r="CE184" s="778"/>
      <c r="CF184" s="778"/>
      <c r="CG184" s="778"/>
      <c r="CH184" s="778"/>
      <c r="CI184" s="778"/>
      <c r="CJ184" s="778"/>
      <c r="CK184" s="778"/>
      <c r="CL184" s="778"/>
      <c r="CM184" s="778"/>
      <c r="CN184" s="778"/>
      <c r="CO184" s="778"/>
      <c r="CP184" s="778"/>
      <c r="CQ184" s="778"/>
      <c r="CR184" s="778"/>
      <c r="CS184" s="778"/>
      <c r="CT184" s="778"/>
      <c r="CU184" s="778"/>
      <c r="CV184" s="778"/>
      <c r="CW184" s="778"/>
      <c r="CX184" s="778"/>
      <c r="CY184" s="778"/>
      <c r="CZ184" s="778"/>
      <c r="DA184" s="778"/>
      <c r="DB184" s="778"/>
      <c r="DC184" s="778"/>
      <c r="DD184" s="778"/>
      <c r="DE184" s="778"/>
      <c r="DF184" s="778"/>
      <c r="DG184" s="778"/>
      <c r="DH184" s="778"/>
      <c r="DI184" s="778"/>
      <c r="DJ184" s="778"/>
      <c r="DK184" s="778"/>
      <c r="DL184" s="778"/>
      <c r="DM184" s="778"/>
      <c r="DN184" s="778"/>
      <c r="DO184" s="778"/>
      <c r="DP184" s="778"/>
      <c r="DQ184" s="778"/>
      <c r="DR184" s="778"/>
      <c r="DS184" s="778"/>
      <c r="DT184" s="778"/>
      <c r="DU184" s="778"/>
      <c r="DV184" s="778"/>
      <c r="DW184" s="778"/>
      <c r="DX184" s="778"/>
      <c r="DY184" s="778"/>
      <c r="DZ184" s="778"/>
      <c r="EA184" s="778"/>
      <c r="EB184" s="778"/>
      <c r="EC184" s="778"/>
      <c r="ED184" s="778"/>
      <c r="EE184" s="778"/>
      <c r="EF184" s="778"/>
      <c r="EG184" s="778"/>
      <c r="EH184" s="778"/>
    </row>
    <row r="185" spans="5:138" ht="12.75" customHeight="1" x14ac:dyDescent="0.3">
      <c r="E185" s="778"/>
      <c r="F185" s="778"/>
      <c r="G185" s="778"/>
      <c r="H185" s="778"/>
      <c r="I185" s="778"/>
      <c r="J185" s="778"/>
      <c r="K185" s="778"/>
      <c r="L185" s="778"/>
      <c r="M185" s="778"/>
      <c r="N185" s="778"/>
      <c r="O185" s="778"/>
      <c r="P185" s="778"/>
      <c r="Q185" s="778"/>
      <c r="R185" s="778"/>
      <c r="S185" s="778"/>
      <c r="T185" s="778"/>
      <c r="U185" s="778"/>
      <c r="V185" s="778"/>
      <c r="W185" s="778"/>
      <c r="X185" s="778"/>
      <c r="Y185" s="778"/>
      <c r="Z185" s="778"/>
      <c r="AA185" s="778"/>
      <c r="AB185" s="778"/>
      <c r="AC185" s="778"/>
      <c r="AD185" s="778"/>
      <c r="AE185" s="778"/>
      <c r="AF185" s="778"/>
      <c r="AG185" s="778"/>
      <c r="AH185" s="778"/>
      <c r="AI185" s="778"/>
      <c r="AJ185" s="778"/>
      <c r="AK185" s="778"/>
      <c r="AL185" s="778"/>
      <c r="AM185" s="778"/>
      <c r="AN185" s="778"/>
      <c r="AO185" s="778"/>
      <c r="AP185" s="778"/>
      <c r="AQ185" s="778"/>
      <c r="AR185" s="778"/>
      <c r="AS185" s="778"/>
      <c r="AT185" s="778"/>
      <c r="AU185" s="778"/>
      <c r="AV185" s="778"/>
      <c r="AW185" s="778"/>
      <c r="AX185" s="778"/>
      <c r="AY185" s="778"/>
      <c r="AZ185" s="778"/>
      <c r="BA185" s="778"/>
      <c r="BB185" s="778"/>
      <c r="BC185" s="778"/>
      <c r="BD185" s="778"/>
      <c r="BE185" s="778"/>
      <c r="BF185" s="778"/>
      <c r="BG185" s="778"/>
      <c r="BH185" s="778"/>
      <c r="BI185" s="778"/>
      <c r="BJ185" s="778"/>
      <c r="BK185" s="778"/>
      <c r="BL185" s="778"/>
      <c r="BM185" s="778"/>
      <c r="BN185" s="778"/>
      <c r="BO185" s="778"/>
      <c r="BP185" s="778"/>
      <c r="BQ185" s="778"/>
      <c r="BR185" s="778"/>
      <c r="BS185" s="778"/>
      <c r="BT185" s="778"/>
      <c r="BU185" s="778"/>
      <c r="BV185" s="778"/>
      <c r="BW185" s="778"/>
      <c r="BX185" s="778"/>
      <c r="BY185" s="778"/>
      <c r="BZ185" s="778"/>
      <c r="CA185" s="778"/>
      <c r="CB185" s="778"/>
      <c r="CC185" s="778"/>
      <c r="CD185" s="778"/>
      <c r="CE185" s="778"/>
      <c r="CF185" s="778"/>
      <c r="CG185" s="778"/>
      <c r="CH185" s="778"/>
      <c r="CI185" s="778"/>
      <c r="CJ185" s="778"/>
      <c r="CK185" s="778"/>
      <c r="CL185" s="778"/>
      <c r="CM185" s="778"/>
      <c r="CN185" s="778"/>
      <c r="CO185" s="778"/>
      <c r="CP185" s="778"/>
      <c r="CQ185" s="778"/>
      <c r="CR185" s="778"/>
      <c r="CS185" s="778"/>
      <c r="CT185" s="778"/>
      <c r="CU185" s="778"/>
      <c r="CV185" s="778"/>
      <c r="CW185" s="778"/>
      <c r="CX185" s="778"/>
      <c r="CY185" s="778"/>
      <c r="CZ185" s="778"/>
      <c r="DA185" s="778"/>
      <c r="DB185" s="778"/>
      <c r="DC185" s="778"/>
      <c r="DD185" s="778"/>
      <c r="DE185" s="778"/>
      <c r="DF185" s="778"/>
      <c r="DG185" s="778"/>
      <c r="DH185" s="778"/>
      <c r="DI185" s="778"/>
      <c r="DJ185" s="778"/>
      <c r="DK185" s="778"/>
      <c r="DL185" s="778"/>
      <c r="DM185" s="778"/>
      <c r="DN185" s="778"/>
      <c r="DO185" s="778"/>
      <c r="DP185" s="778"/>
      <c r="DQ185" s="778"/>
      <c r="DR185" s="778"/>
      <c r="DS185" s="778"/>
      <c r="DT185" s="778"/>
      <c r="DU185" s="778"/>
      <c r="DV185" s="778"/>
      <c r="DW185" s="778"/>
      <c r="DX185" s="778"/>
      <c r="DY185" s="778"/>
      <c r="DZ185" s="778"/>
      <c r="EA185" s="778"/>
      <c r="EB185" s="778"/>
      <c r="EC185" s="778"/>
      <c r="ED185" s="778"/>
      <c r="EE185" s="778"/>
      <c r="EF185" s="778"/>
      <c r="EG185" s="778"/>
      <c r="EH185" s="778"/>
    </row>
    <row r="186" spans="5:138" ht="12.75" customHeight="1" x14ac:dyDescent="0.3">
      <c r="E186" s="778"/>
      <c r="F186" s="778"/>
      <c r="G186" s="778"/>
      <c r="H186" s="778"/>
      <c r="I186" s="778"/>
      <c r="J186" s="778"/>
      <c r="K186" s="778"/>
      <c r="L186" s="778"/>
      <c r="M186" s="778"/>
      <c r="N186" s="778"/>
      <c r="O186" s="778"/>
      <c r="P186" s="778"/>
      <c r="Q186" s="778"/>
      <c r="R186" s="778"/>
      <c r="S186" s="778"/>
      <c r="T186" s="778"/>
      <c r="U186" s="778"/>
      <c r="V186" s="778"/>
      <c r="W186" s="778"/>
      <c r="X186" s="778"/>
      <c r="Y186" s="778"/>
      <c r="Z186" s="778"/>
      <c r="AA186" s="778"/>
      <c r="AB186" s="778"/>
      <c r="AC186" s="778"/>
      <c r="AD186" s="778"/>
      <c r="AE186" s="778"/>
      <c r="AF186" s="778"/>
      <c r="AG186" s="778"/>
      <c r="AH186" s="778"/>
      <c r="AI186" s="778"/>
      <c r="AJ186" s="778"/>
      <c r="AK186" s="778"/>
      <c r="AL186" s="778"/>
      <c r="AM186" s="778"/>
      <c r="AN186" s="778"/>
      <c r="AO186" s="778"/>
      <c r="AP186" s="778"/>
      <c r="AQ186" s="778"/>
      <c r="AR186" s="778"/>
      <c r="AS186" s="778"/>
      <c r="AT186" s="778"/>
      <c r="AU186" s="778"/>
      <c r="AV186" s="778"/>
      <c r="AW186" s="778"/>
      <c r="AX186" s="778"/>
      <c r="AY186" s="778"/>
      <c r="AZ186" s="778"/>
      <c r="BA186" s="778"/>
      <c r="BB186" s="778"/>
      <c r="BC186" s="778"/>
      <c r="BD186" s="778"/>
      <c r="BE186" s="778"/>
      <c r="BF186" s="778"/>
      <c r="BG186" s="778"/>
      <c r="BH186" s="778"/>
      <c r="BI186" s="778"/>
      <c r="BJ186" s="778"/>
      <c r="BK186" s="778"/>
      <c r="BL186" s="778"/>
      <c r="BM186" s="778"/>
      <c r="BN186" s="778"/>
      <c r="BO186" s="778"/>
      <c r="BP186" s="778"/>
      <c r="BQ186" s="778"/>
      <c r="BR186" s="778"/>
      <c r="BS186" s="778"/>
      <c r="BT186" s="778"/>
      <c r="BU186" s="778"/>
      <c r="BV186" s="778"/>
      <c r="BW186" s="778"/>
      <c r="BX186" s="778"/>
      <c r="BY186" s="778"/>
      <c r="BZ186" s="778"/>
      <c r="CA186" s="778"/>
      <c r="CB186" s="778"/>
      <c r="CC186" s="778"/>
      <c r="CD186" s="778"/>
      <c r="CE186" s="778"/>
      <c r="CF186" s="778"/>
      <c r="CG186" s="778"/>
      <c r="CH186" s="778"/>
      <c r="CI186" s="778"/>
      <c r="CJ186" s="778"/>
      <c r="CK186" s="778"/>
      <c r="CL186" s="778"/>
      <c r="CM186" s="778"/>
      <c r="CN186" s="778"/>
      <c r="CO186" s="778"/>
      <c r="CP186" s="778"/>
      <c r="CQ186" s="778"/>
      <c r="CR186" s="778"/>
      <c r="CS186" s="778"/>
      <c r="CT186" s="778"/>
      <c r="CU186" s="778"/>
      <c r="CV186" s="778"/>
      <c r="CW186" s="778"/>
      <c r="CX186" s="778"/>
      <c r="CY186" s="778"/>
      <c r="CZ186" s="778"/>
      <c r="DA186" s="778"/>
      <c r="DB186" s="778"/>
      <c r="DC186" s="778"/>
      <c r="DD186" s="778"/>
      <c r="DE186" s="778"/>
      <c r="DF186" s="778"/>
      <c r="DG186" s="778"/>
      <c r="DH186" s="778"/>
      <c r="DI186" s="778"/>
      <c r="DJ186" s="778"/>
      <c r="DK186" s="778"/>
      <c r="DL186" s="778"/>
      <c r="DM186" s="778"/>
      <c r="DN186" s="778"/>
      <c r="DO186" s="778"/>
      <c r="DP186" s="778"/>
      <c r="DQ186" s="778"/>
      <c r="DR186" s="778"/>
      <c r="DS186" s="778"/>
      <c r="DT186" s="778"/>
      <c r="DU186" s="778"/>
      <c r="DV186" s="778"/>
      <c r="DW186" s="778"/>
      <c r="DX186" s="778"/>
      <c r="DY186" s="778"/>
      <c r="DZ186" s="778"/>
      <c r="EA186" s="778"/>
      <c r="EB186" s="778"/>
      <c r="EC186" s="778"/>
      <c r="ED186" s="778"/>
      <c r="EE186" s="778"/>
      <c r="EF186" s="778"/>
      <c r="EG186" s="778"/>
      <c r="EH186" s="778"/>
    </row>
    <row r="187" spans="5:138" ht="12.75" customHeight="1" x14ac:dyDescent="0.3">
      <c r="E187" s="778"/>
      <c r="F187" s="778"/>
      <c r="G187" s="778"/>
      <c r="H187" s="778"/>
      <c r="I187" s="778"/>
      <c r="J187" s="778"/>
      <c r="K187" s="778"/>
      <c r="L187" s="778"/>
      <c r="M187" s="778"/>
      <c r="N187" s="778"/>
      <c r="O187" s="778"/>
      <c r="P187" s="778"/>
      <c r="Q187" s="778"/>
      <c r="R187" s="778"/>
      <c r="S187" s="778"/>
      <c r="T187" s="778"/>
      <c r="U187" s="778"/>
      <c r="V187" s="778"/>
      <c r="W187" s="778"/>
      <c r="X187" s="778"/>
      <c r="Y187" s="778"/>
      <c r="Z187" s="778"/>
      <c r="AA187" s="778"/>
      <c r="AB187" s="778"/>
      <c r="AC187" s="778"/>
      <c r="AD187" s="778"/>
      <c r="AE187" s="778"/>
      <c r="AF187" s="778"/>
      <c r="AG187" s="778"/>
      <c r="AH187" s="778"/>
      <c r="AI187" s="778"/>
      <c r="AJ187" s="778"/>
      <c r="AK187" s="778"/>
      <c r="AL187" s="778"/>
      <c r="AM187" s="778"/>
      <c r="AN187" s="778"/>
      <c r="AO187" s="778"/>
      <c r="AP187" s="778"/>
      <c r="AQ187" s="778"/>
      <c r="AR187" s="778"/>
      <c r="AS187" s="778"/>
      <c r="AT187" s="778"/>
      <c r="AU187" s="778"/>
      <c r="AV187" s="778"/>
      <c r="AW187" s="778"/>
      <c r="AX187" s="778"/>
      <c r="AY187" s="778"/>
      <c r="AZ187" s="778"/>
      <c r="BA187" s="778"/>
      <c r="BB187" s="778"/>
      <c r="BC187" s="778"/>
      <c r="BD187" s="778"/>
      <c r="BE187" s="778"/>
      <c r="BF187" s="778"/>
      <c r="BG187" s="778"/>
      <c r="BH187" s="778"/>
      <c r="BI187" s="778"/>
      <c r="BJ187" s="778"/>
      <c r="BK187" s="778"/>
      <c r="BL187" s="778"/>
      <c r="BM187" s="778"/>
      <c r="BN187" s="778"/>
      <c r="BO187" s="778"/>
      <c r="BP187" s="778"/>
      <c r="BQ187" s="778"/>
      <c r="BR187" s="778"/>
      <c r="BS187" s="778"/>
      <c r="BT187" s="778"/>
      <c r="BU187" s="778"/>
      <c r="BV187" s="778"/>
      <c r="BW187" s="778"/>
      <c r="BX187" s="778"/>
      <c r="BY187" s="778"/>
      <c r="BZ187" s="778"/>
      <c r="CA187" s="778"/>
      <c r="CB187" s="778"/>
      <c r="CC187" s="778"/>
      <c r="CD187" s="778"/>
      <c r="CE187" s="778"/>
      <c r="CF187" s="778"/>
      <c r="CG187" s="778"/>
      <c r="CH187" s="778"/>
      <c r="CI187" s="778"/>
      <c r="CJ187" s="778"/>
      <c r="CK187" s="778"/>
      <c r="CL187" s="778"/>
      <c r="CM187" s="778"/>
      <c r="CN187" s="778"/>
      <c r="CO187" s="778"/>
      <c r="CP187" s="778"/>
      <c r="CQ187" s="778"/>
      <c r="CR187" s="778"/>
      <c r="CS187" s="778"/>
      <c r="CT187" s="778"/>
      <c r="CU187" s="778"/>
      <c r="CV187" s="778"/>
      <c r="CW187" s="778"/>
      <c r="CX187" s="778"/>
      <c r="CY187" s="778"/>
      <c r="CZ187" s="778"/>
      <c r="DA187" s="778"/>
      <c r="DB187" s="778"/>
      <c r="DC187" s="778"/>
      <c r="DD187" s="778"/>
      <c r="DE187" s="778"/>
      <c r="DF187" s="778"/>
      <c r="DG187" s="778"/>
      <c r="DH187" s="778"/>
      <c r="DI187" s="778"/>
      <c r="DJ187" s="778"/>
      <c r="DK187" s="778"/>
      <c r="DL187" s="778"/>
      <c r="DM187" s="778"/>
      <c r="DN187" s="778"/>
      <c r="DO187" s="778"/>
      <c r="DP187" s="778"/>
      <c r="DQ187" s="778"/>
      <c r="DR187" s="778"/>
      <c r="DS187" s="778"/>
      <c r="DT187" s="778"/>
      <c r="DU187" s="778"/>
      <c r="DV187" s="778"/>
      <c r="DW187" s="778"/>
      <c r="DX187" s="778"/>
      <c r="DY187" s="778"/>
      <c r="DZ187" s="778"/>
      <c r="EA187" s="778"/>
      <c r="EB187" s="778"/>
      <c r="EC187" s="778"/>
      <c r="ED187" s="778"/>
      <c r="EE187" s="778"/>
      <c r="EF187" s="778"/>
      <c r="EG187" s="778"/>
      <c r="EH187" s="778"/>
    </row>
    <row r="188" spans="5:138" ht="12.75" customHeight="1" x14ac:dyDescent="0.3">
      <c r="E188" s="778"/>
      <c r="F188" s="778"/>
      <c r="G188" s="778"/>
      <c r="H188" s="778"/>
      <c r="I188" s="778"/>
      <c r="J188" s="778"/>
      <c r="K188" s="778"/>
      <c r="L188" s="778"/>
      <c r="M188" s="778"/>
      <c r="N188" s="778"/>
      <c r="O188" s="778"/>
      <c r="P188" s="778"/>
      <c r="Q188" s="778"/>
      <c r="R188" s="778"/>
      <c r="S188" s="778"/>
      <c r="T188" s="778"/>
      <c r="U188" s="778"/>
      <c r="V188" s="778"/>
      <c r="W188" s="778"/>
      <c r="X188" s="778"/>
      <c r="Y188" s="778"/>
      <c r="Z188" s="778"/>
      <c r="AA188" s="778"/>
      <c r="AB188" s="778"/>
      <c r="AC188" s="778"/>
      <c r="AD188" s="778"/>
      <c r="AE188" s="778"/>
      <c r="AF188" s="778"/>
      <c r="AG188" s="778"/>
      <c r="AH188" s="778"/>
      <c r="AI188" s="778"/>
      <c r="AJ188" s="778"/>
      <c r="AK188" s="778"/>
      <c r="AL188" s="778"/>
      <c r="AM188" s="778"/>
      <c r="AN188" s="778"/>
      <c r="AO188" s="778"/>
      <c r="AP188" s="778"/>
      <c r="AQ188" s="778"/>
      <c r="AR188" s="778"/>
      <c r="AS188" s="778"/>
      <c r="AT188" s="778"/>
      <c r="AU188" s="778"/>
      <c r="AV188" s="778"/>
      <c r="AW188" s="778"/>
      <c r="AX188" s="778"/>
      <c r="AY188" s="778"/>
      <c r="AZ188" s="778"/>
      <c r="BA188" s="778"/>
      <c r="BB188" s="778"/>
      <c r="BC188" s="778"/>
      <c r="BD188" s="778"/>
      <c r="BE188" s="778"/>
      <c r="BF188" s="778"/>
      <c r="BG188" s="778"/>
      <c r="BH188" s="778"/>
      <c r="BI188" s="778"/>
      <c r="BJ188" s="778"/>
      <c r="BK188" s="778"/>
      <c r="BL188" s="778"/>
      <c r="BM188" s="778"/>
      <c r="BN188" s="778"/>
      <c r="BO188" s="778"/>
      <c r="BP188" s="778"/>
      <c r="BQ188" s="778"/>
      <c r="BR188" s="778"/>
      <c r="BS188" s="778"/>
      <c r="BT188" s="778"/>
      <c r="BU188" s="778"/>
      <c r="BV188" s="778"/>
      <c r="BW188" s="778"/>
      <c r="BX188" s="778"/>
      <c r="BY188" s="778"/>
      <c r="BZ188" s="778"/>
      <c r="CA188" s="778"/>
      <c r="CB188" s="778"/>
      <c r="CC188" s="778"/>
      <c r="CD188" s="778"/>
      <c r="CE188" s="778"/>
      <c r="CF188" s="778"/>
      <c r="CG188" s="778"/>
      <c r="CH188" s="778"/>
      <c r="CI188" s="778"/>
      <c r="CJ188" s="778"/>
      <c r="CK188" s="778"/>
      <c r="CL188" s="778"/>
      <c r="CM188" s="778"/>
      <c r="CN188" s="778"/>
      <c r="CO188" s="778"/>
      <c r="CP188" s="778"/>
      <c r="CQ188" s="778"/>
      <c r="CR188" s="778"/>
      <c r="CS188" s="778"/>
      <c r="CT188" s="778"/>
      <c r="CU188" s="778"/>
      <c r="CV188" s="778"/>
      <c r="CW188" s="778"/>
      <c r="CX188" s="778"/>
      <c r="CY188" s="778"/>
      <c r="CZ188" s="778"/>
      <c r="DA188" s="778"/>
      <c r="DB188" s="778"/>
      <c r="DC188" s="778"/>
      <c r="DD188" s="778"/>
      <c r="DE188" s="778"/>
      <c r="DF188" s="778"/>
      <c r="DG188" s="778"/>
      <c r="DH188" s="778"/>
      <c r="DI188" s="778"/>
      <c r="DJ188" s="778"/>
      <c r="DK188" s="778"/>
      <c r="DL188" s="778"/>
      <c r="DM188" s="778"/>
      <c r="DN188" s="778"/>
      <c r="DO188" s="778"/>
      <c r="DP188" s="778"/>
      <c r="DQ188" s="778"/>
      <c r="DR188" s="778"/>
      <c r="DS188" s="778"/>
      <c r="DT188" s="778"/>
      <c r="DU188" s="778"/>
      <c r="DV188" s="778"/>
      <c r="DW188" s="778"/>
      <c r="DX188" s="778"/>
      <c r="DY188" s="778"/>
      <c r="DZ188" s="778"/>
      <c r="EA188" s="778"/>
      <c r="EB188" s="778"/>
      <c r="EC188" s="778"/>
      <c r="ED188" s="778"/>
      <c r="EE188" s="778"/>
      <c r="EF188" s="778"/>
      <c r="EG188" s="778"/>
      <c r="EH188" s="778"/>
    </row>
    <row r="189" spans="5:138" ht="12.75" customHeight="1" x14ac:dyDescent="0.3">
      <c r="E189" s="778"/>
      <c r="F189" s="778"/>
      <c r="G189" s="778"/>
      <c r="H189" s="778"/>
      <c r="I189" s="778"/>
      <c r="J189" s="778"/>
      <c r="K189" s="778"/>
      <c r="L189" s="778"/>
      <c r="M189" s="778"/>
      <c r="N189" s="778"/>
      <c r="O189" s="778"/>
      <c r="P189" s="778"/>
      <c r="Q189" s="778"/>
      <c r="R189" s="778"/>
      <c r="S189" s="778"/>
      <c r="T189" s="778"/>
      <c r="U189" s="778"/>
      <c r="V189" s="778"/>
      <c r="W189" s="778"/>
      <c r="X189" s="778"/>
      <c r="Y189" s="778"/>
      <c r="Z189" s="778"/>
      <c r="AA189" s="778"/>
      <c r="AB189" s="778"/>
      <c r="AC189" s="778"/>
      <c r="AD189" s="778"/>
      <c r="AE189" s="778"/>
      <c r="AF189" s="778"/>
      <c r="AG189" s="778"/>
      <c r="AH189" s="778"/>
      <c r="AI189" s="778"/>
      <c r="AJ189" s="778"/>
      <c r="AK189" s="778"/>
      <c r="AL189" s="778"/>
      <c r="AM189" s="778"/>
      <c r="AN189" s="778"/>
      <c r="AO189" s="778"/>
      <c r="AP189" s="778"/>
      <c r="AQ189" s="778"/>
      <c r="AR189" s="778"/>
      <c r="AS189" s="778"/>
      <c r="AT189" s="778"/>
      <c r="AU189" s="778"/>
      <c r="AV189" s="778"/>
      <c r="AW189" s="778"/>
      <c r="AX189" s="778"/>
      <c r="AY189" s="778"/>
      <c r="AZ189" s="778"/>
      <c r="BA189" s="778"/>
      <c r="BB189" s="778"/>
      <c r="BC189" s="778"/>
      <c r="BD189" s="778"/>
      <c r="BE189" s="778"/>
      <c r="BF189" s="778"/>
      <c r="BG189" s="778"/>
      <c r="BH189" s="778"/>
      <c r="BI189" s="778"/>
      <c r="BJ189" s="778"/>
      <c r="BK189" s="778"/>
      <c r="BL189" s="778"/>
      <c r="BM189" s="778"/>
      <c r="BN189" s="778"/>
      <c r="BO189" s="778"/>
      <c r="BP189" s="778"/>
      <c r="BQ189" s="778"/>
      <c r="BR189" s="778"/>
      <c r="BS189" s="778"/>
      <c r="BT189" s="778"/>
      <c r="BU189" s="778"/>
      <c r="BV189" s="778"/>
      <c r="BW189" s="778"/>
      <c r="BX189" s="778"/>
      <c r="BY189" s="778"/>
      <c r="BZ189" s="778"/>
      <c r="CA189" s="778"/>
      <c r="CB189" s="778"/>
      <c r="CC189" s="778"/>
      <c r="CD189" s="778"/>
      <c r="CE189" s="778"/>
      <c r="CF189" s="778"/>
      <c r="CG189" s="778"/>
      <c r="CH189" s="778"/>
      <c r="CI189" s="778"/>
      <c r="CJ189" s="778"/>
      <c r="CK189" s="778"/>
      <c r="CL189" s="778"/>
      <c r="CM189" s="778"/>
      <c r="CN189" s="778"/>
      <c r="CO189" s="778"/>
      <c r="CP189" s="778"/>
      <c r="CQ189" s="778"/>
      <c r="CR189" s="778"/>
      <c r="CS189" s="778"/>
      <c r="CT189" s="778"/>
      <c r="CU189" s="778"/>
      <c r="CV189" s="778"/>
      <c r="CW189" s="778"/>
      <c r="CX189" s="778"/>
      <c r="CY189" s="778"/>
      <c r="CZ189" s="778"/>
      <c r="DA189" s="778"/>
      <c r="DB189" s="778"/>
      <c r="DC189" s="778"/>
      <c r="DD189" s="778"/>
      <c r="DE189" s="778"/>
      <c r="DF189" s="778"/>
      <c r="DG189" s="778"/>
      <c r="DH189" s="778"/>
      <c r="DI189" s="778"/>
      <c r="DJ189" s="778"/>
      <c r="DK189" s="778"/>
      <c r="DL189" s="778"/>
      <c r="DM189" s="778"/>
      <c r="DN189" s="778"/>
      <c r="DO189" s="778"/>
      <c r="DP189" s="778"/>
      <c r="DQ189" s="778"/>
      <c r="DR189" s="778"/>
      <c r="DS189" s="778"/>
      <c r="DT189" s="778"/>
      <c r="DU189" s="778"/>
      <c r="DV189" s="778"/>
      <c r="DW189" s="778"/>
      <c r="DX189" s="778"/>
      <c r="DY189" s="778"/>
      <c r="DZ189" s="778"/>
      <c r="EA189" s="778"/>
      <c r="EB189" s="778"/>
      <c r="EC189" s="778"/>
      <c r="ED189" s="778"/>
      <c r="EE189" s="778"/>
      <c r="EF189" s="778"/>
      <c r="EG189" s="778"/>
      <c r="EH189" s="778"/>
    </row>
    <row r="190" spans="5:138" ht="12.75" customHeight="1" x14ac:dyDescent="0.3">
      <c r="E190" s="778"/>
      <c r="F190" s="778"/>
      <c r="G190" s="778"/>
      <c r="H190" s="778"/>
      <c r="I190" s="778"/>
      <c r="J190" s="778"/>
      <c r="K190" s="778"/>
      <c r="L190" s="778"/>
      <c r="M190" s="778"/>
      <c r="N190" s="778"/>
      <c r="O190" s="778"/>
      <c r="P190" s="778"/>
      <c r="Q190" s="778"/>
      <c r="R190" s="778"/>
      <c r="S190" s="778"/>
      <c r="T190" s="778"/>
      <c r="U190" s="778"/>
      <c r="V190" s="778"/>
      <c r="W190" s="778"/>
      <c r="X190" s="778"/>
      <c r="Y190" s="778"/>
      <c r="Z190" s="778"/>
      <c r="AA190" s="778"/>
      <c r="AB190" s="778"/>
      <c r="AC190" s="778"/>
      <c r="AD190" s="778"/>
      <c r="AE190" s="778"/>
      <c r="AF190" s="778"/>
      <c r="AG190" s="778"/>
      <c r="AH190" s="778"/>
      <c r="AI190" s="778"/>
      <c r="AJ190" s="778"/>
      <c r="AK190" s="778"/>
      <c r="AL190" s="778"/>
      <c r="AM190" s="778"/>
      <c r="AN190" s="778"/>
      <c r="AO190" s="778"/>
      <c r="AP190" s="778"/>
      <c r="AQ190" s="778"/>
      <c r="AR190" s="778"/>
      <c r="AS190" s="778"/>
      <c r="AT190" s="778"/>
      <c r="AU190" s="778"/>
      <c r="AV190" s="778"/>
      <c r="AW190" s="778"/>
      <c r="AX190" s="778"/>
      <c r="AY190" s="778"/>
      <c r="AZ190" s="778"/>
      <c r="BA190" s="778"/>
      <c r="BB190" s="778"/>
      <c r="BC190" s="778"/>
      <c r="BD190" s="778"/>
      <c r="BE190" s="778"/>
      <c r="BF190" s="778"/>
      <c r="BG190" s="778"/>
      <c r="BH190" s="778"/>
      <c r="BI190" s="778"/>
      <c r="BJ190" s="778"/>
      <c r="BK190" s="778"/>
      <c r="BL190" s="778"/>
      <c r="BM190" s="778"/>
      <c r="BN190" s="778"/>
      <c r="BO190" s="778"/>
      <c r="BP190" s="778"/>
      <c r="BQ190" s="778"/>
      <c r="BR190" s="778"/>
      <c r="BS190" s="778"/>
      <c r="BT190" s="778"/>
      <c r="BU190" s="778"/>
      <c r="BV190" s="778"/>
      <c r="BW190" s="778"/>
      <c r="BX190" s="778"/>
      <c r="BY190" s="778"/>
      <c r="BZ190" s="778"/>
      <c r="CA190" s="778"/>
      <c r="CB190" s="778"/>
      <c r="CC190" s="778"/>
      <c r="CD190" s="778"/>
      <c r="CE190" s="778"/>
      <c r="CF190" s="778"/>
      <c r="CG190" s="778"/>
      <c r="CH190" s="778"/>
      <c r="CI190" s="778"/>
      <c r="CJ190" s="778"/>
      <c r="CK190" s="778"/>
      <c r="CL190" s="778"/>
      <c r="CM190" s="778"/>
      <c r="CN190" s="778"/>
      <c r="CO190" s="778"/>
      <c r="CP190" s="778"/>
      <c r="CQ190" s="778"/>
      <c r="CR190" s="778"/>
      <c r="CS190" s="778"/>
      <c r="CT190" s="778"/>
      <c r="CU190" s="778"/>
      <c r="CV190" s="778"/>
      <c r="CW190" s="778"/>
      <c r="CX190" s="778"/>
      <c r="CY190" s="778"/>
      <c r="CZ190" s="778"/>
      <c r="DA190" s="778"/>
      <c r="DB190" s="778"/>
      <c r="DC190" s="778"/>
      <c r="DD190" s="778"/>
      <c r="DE190" s="778"/>
      <c r="DF190" s="778"/>
      <c r="DG190" s="778"/>
      <c r="DH190" s="778"/>
      <c r="DI190" s="778"/>
      <c r="DJ190" s="778"/>
      <c r="DK190" s="778"/>
      <c r="DL190" s="778"/>
      <c r="DM190" s="778"/>
      <c r="DN190" s="778"/>
      <c r="DO190" s="778"/>
      <c r="DP190" s="778"/>
      <c r="DQ190" s="778"/>
      <c r="DR190" s="778"/>
      <c r="DS190" s="778"/>
      <c r="DT190" s="778"/>
      <c r="DU190" s="778"/>
      <c r="DV190" s="778"/>
      <c r="DW190" s="778"/>
      <c r="DX190" s="778"/>
      <c r="DY190" s="778"/>
      <c r="DZ190" s="778"/>
      <c r="EA190" s="778"/>
      <c r="EB190" s="778"/>
      <c r="EC190" s="778"/>
      <c r="ED190" s="778"/>
      <c r="EE190" s="778"/>
      <c r="EF190" s="778"/>
      <c r="EG190" s="778"/>
      <c r="EH190" s="778"/>
    </row>
    <row r="191" spans="5:138" ht="12.75" customHeight="1" x14ac:dyDescent="0.3">
      <c r="E191" s="778"/>
      <c r="F191" s="778"/>
      <c r="G191" s="778"/>
      <c r="H191" s="778"/>
      <c r="I191" s="778"/>
      <c r="J191" s="778"/>
      <c r="K191" s="778"/>
      <c r="L191" s="778"/>
      <c r="M191" s="778"/>
      <c r="N191" s="778"/>
      <c r="O191" s="778"/>
      <c r="P191" s="778"/>
      <c r="Q191" s="778"/>
      <c r="R191" s="778"/>
      <c r="S191" s="778"/>
      <c r="T191" s="778"/>
      <c r="U191" s="778"/>
      <c r="V191" s="778"/>
      <c r="W191" s="778"/>
      <c r="X191" s="778"/>
      <c r="Y191" s="778"/>
      <c r="Z191" s="778"/>
      <c r="AA191" s="778"/>
      <c r="AB191" s="778"/>
      <c r="AC191" s="778"/>
      <c r="AD191" s="778"/>
      <c r="AE191" s="778"/>
      <c r="AF191" s="778"/>
      <c r="AG191" s="778"/>
      <c r="AH191" s="778"/>
      <c r="AI191" s="778"/>
      <c r="AJ191" s="778"/>
      <c r="AK191" s="778"/>
      <c r="AL191" s="778"/>
      <c r="AM191" s="778"/>
      <c r="AN191" s="778"/>
      <c r="AO191" s="778"/>
      <c r="AP191" s="778"/>
      <c r="AQ191" s="778"/>
      <c r="AR191" s="778"/>
      <c r="AS191" s="778"/>
      <c r="AT191" s="778"/>
      <c r="AU191" s="778"/>
      <c r="AV191" s="778"/>
      <c r="AW191" s="778"/>
      <c r="AX191" s="778"/>
      <c r="AY191" s="778"/>
      <c r="AZ191" s="778"/>
      <c r="BA191" s="778"/>
      <c r="BB191" s="778"/>
      <c r="BC191" s="778"/>
      <c r="BD191" s="778"/>
      <c r="BE191" s="778"/>
      <c r="BF191" s="778"/>
      <c r="BG191" s="778"/>
      <c r="BH191" s="778"/>
      <c r="BI191" s="778"/>
      <c r="BJ191" s="778"/>
      <c r="BK191" s="778"/>
      <c r="BL191" s="778"/>
      <c r="BM191" s="778"/>
      <c r="BN191" s="778"/>
      <c r="BO191" s="778"/>
      <c r="BP191" s="778"/>
      <c r="BQ191" s="778"/>
      <c r="BR191" s="778"/>
      <c r="BS191" s="778"/>
      <c r="BT191" s="778"/>
      <c r="BU191" s="778"/>
      <c r="BV191" s="778"/>
      <c r="BW191" s="778"/>
      <c r="BX191" s="778"/>
      <c r="BY191" s="778"/>
      <c r="BZ191" s="778"/>
      <c r="CA191" s="778"/>
      <c r="CB191" s="778"/>
      <c r="CC191" s="778"/>
      <c r="CD191" s="778"/>
      <c r="CE191" s="778"/>
      <c r="CF191" s="778"/>
      <c r="CG191" s="778"/>
      <c r="CH191" s="778"/>
      <c r="CI191" s="778"/>
      <c r="CJ191" s="778"/>
      <c r="CK191" s="778"/>
      <c r="CL191" s="778"/>
      <c r="CM191" s="778"/>
      <c r="CN191" s="778"/>
      <c r="CO191" s="778"/>
      <c r="CP191" s="778"/>
      <c r="CQ191" s="778"/>
      <c r="CR191" s="778"/>
      <c r="CS191" s="778"/>
      <c r="CT191" s="778"/>
      <c r="CU191" s="778"/>
      <c r="CV191" s="778"/>
      <c r="CW191" s="778"/>
      <c r="CX191" s="778"/>
      <c r="CY191" s="778"/>
      <c r="CZ191" s="778"/>
      <c r="DA191" s="778"/>
      <c r="DB191" s="778"/>
      <c r="DC191" s="778"/>
      <c r="DD191" s="778"/>
      <c r="DE191" s="778"/>
      <c r="DF191" s="778"/>
      <c r="DG191" s="778"/>
      <c r="DH191" s="778"/>
      <c r="DI191" s="778"/>
      <c r="DJ191" s="778"/>
      <c r="DK191" s="778"/>
      <c r="DL191" s="778"/>
      <c r="DM191" s="778"/>
      <c r="DN191" s="778"/>
      <c r="DO191" s="778"/>
      <c r="DP191" s="778"/>
      <c r="DQ191" s="778"/>
      <c r="DR191" s="778"/>
      <c r="DS191" s="778"/>
      <c r="DT191" s="778"/>
      <c r="DU191" s="778"/>
      <c r="DV191" s="778"/>
      <c r="DW191" s="778"/>
      <c r="DX191" s="778"/>
      <c r="DY191" s="778"/>
      <c r="DZ191" s="778"/>
      <c r="EA191" s="778"/>
      <c r="EB191" s="778"/>
      <c r="EC191" s="778"/>
      <c r="ED191" s="778"/>
      <c r="EE191" s="778"/>
      <c r="EF191" s="778"/>
      <c r="EG191" s="778"/>
      <c r="EH191" s="778"/>
    </row>
    <row r="192" spans="5:138" ht="12.75" customHeight="1" x14ac:dyDescent="0.3">
      <c r="E192" s="778"/>
      <c r="F192" s="778"/>
      <c r="G192" s="778"/>
      <c r="H192" s="778"/>
      <c r="I192" s="778"/>
      <c r="J192" s="778"/>
      <c r="K192" s="778"/>
      <c r="L192" s="778"/>
      <c r="M192" s="778"/>
      <c r="N192" s="778"/>
      <c r="O192" s="778"/>
      <c r="P192" s="778"/>
      <c r="Q192" s="778"/>
      <c r="R192" s="778"/>
      <c r="S192" s="778"/>
      <c r="T192" s="778"/>
      <c r="U192" s="778"/>
      <c r="V192" s="778"/>
      <c r="W192" s="778"/>
      <c r="X192" s="778"/>
      <c r="Y192" s="778"/>
      <c r="Z192" s="778"/>
      <c r="AA192" s="778"/>
      <c r="AB192" s="778"/>
      <c r="AC192" s="778"/>
      <c r="AD192" s="778"/>
      <c r="AE192" s="778"/>
      <c r="AF192" s="778"/>
      <c r="AG192" s="778"/>
      <c r="AH192" s="778"/>
      <c r="AI192" s="778"/>
      <c r="AJ192" s="778"/>
      <c r="AK192" s="778"/>
      <c r="AL192" s="778"/>
      <c r="AM192" s="778"/>
      <c r="AN192" s="778"/>
      <c r="AO192" s="778"/>
      <c r="AP192" s="778"/>
      <c r="AQ192" s="778"/>
      <c r="AR192" s="778"/>
      <c r="AS192" s="778"/>
      <c r="AT192" s="778"/>
      <c r="AU192" s="778"/>
      <c r="AV192" s="778"/>
      <c r="AW192" s="778"/>
      <c r="AX192" s="778"/>
      <c r="AY192" s="778"/>
      <c r="AZ192" s="778"/>
      <c r="BA192" s="778"/>
      <c r="BB192" s="778"/>
      <c r="BC192" s="778"/>
      <c r="BD192" s="778"/>
      <c r="BE192" s="778"/>
      <c r="BF192" s="778"/>
      <c r="BG192" s="778"/>
      <c r="BH192" s="778"/>
      <c r="BI192" s="778"/>
      <c r="BJ192" s="778"/>
      <c r="BK192" s="778"/>
      <c r="BL192" s="778"/>
      <c r="BM192" s="778"/>
      <c r="BN192" s="778"/>
      <c r="BO192" s="778"/>
      <c r="BP192" s="778"/>
      <c r="BQ192" s="778"/>
      <c r="BR192" s="778"/>
      <c r="BS192" s="778"/>
      <c r="BT192" s="778"/>
      <c r="BU192" s="778"/>
      <c r="BV192" s="778"/>
      <c r="BW192" s="778"/>
      <c r="BX192" s="778"/>
      <c r="BY192" s="778"/>
      <c r="BZ192" s="778"/>
      <c r="CA192" s="778"/>
      <c r="CB192" s="778"/>
      <c r="CC192" s="778"/>
      <c r="CD192" s="778"/>
      <c r="CE192" s="778"/>
      <c r="CF192" s="778"/>
      <c r="CG192" s="778"/>
      <c r="CH192" s="778"/>
      <c r="CI192" s="778"/>
      <c r="CJ192" s="778"/>
      <c r="CK192" s="778"/>
      <c r="CL192" s="778"/>
      <c r="CM192" s="778"/>
      <c r="CN192" s="778"/>
      <c r="CO192" s="778"/>
      <c r="CP192" s="778"/>
      <c r="CQ192" s="778"/>
      <c r="CR192" s="778"/>
      <c r="CS192" s="778"/>
      <c r="CT192" s="778"/>
      <c r="CU192" s="778"/>
      <c r="CV192" s="778"/>
      <c r="CW192" s="778"/>
      <c r="CX192" s="778"/>
      <c r="CY192" s="778"/>
      <c r="CZ192" s="778"/>
      <c r="DA192" s="778"/>
      <c r="DB192" s="778"/>
      <c r="DC192" s="778"/>
      <c r="DD192" s="778"/>
      <c r="DE192" s="778"/>
      <c r="DF192" s="778"/>
      <c r="DG192" s="778"/>
      <c r="DH192" s="778"/>
      <c r="DI192" s="778"/>
      <c r="DJ192" s="778"/>
      <c r="DK192" s="778"/>
      <c r="DL192" s="778"/>
      <c r="DM192" s="778"/>
      <c r="DN192" s="778"/>
      <c r="DO192" s="778"/>
      <c r="DP192" s="778"/>
      <c r="DQ192" s="778"/>
      <c r="DR192" s="778"/>
      <c r="DS192" s="778"/>
      <c r="DT192" s="778"/>
      <c r="DU192" s="778"/>
      <c r="DV192" s="778"/>
      <c r="DW192" s="778"/>
      <c r="DX192" s="778"/>
      <c r="DY192" s="778"/>
      <c r="DZ192" s="778"/>
      <c r="EA192" s="778"/>
      <c r="EB192" s="778"/>
      <c r="EC192" s="778"/>
      <c r="ED192" s="778"/>
      <c r="EE192" s="778"/>
      <c r="EF192" s="778"/>
      <c r="EG192" s="778"/>
      <c r="EH192" s="778"/>
    </row>
    <row r="193" spans="5:138" ht="12.75" customHeight="1" x14ac:dyDescent="0.3">
      <c r="E193" s="778"/>
      <c r="F193" s="778"/>
      <c r="G193" s="778"/>
      <c r="H193" s="778"/>
      <c r="I193" s="778"/>
      <c r="J193" s="778"/>
      <c r="K193" s="778"/>
      <c r="L193" s="778"/>
      <c r="M193" s="778"/>
      <c r="N193" s="778"/>
      <c r="O193" s="778"/>
      <c r="P193" s="778"/>
      <c r="Q193" s="778"/>
      <c r="R193" s="778"/>
      <c r="S193" s="778"/>
      <c r="T193" s="778"/>
      <c r="U193" s="778"/>
      <c r="V193" s="778"/>
      <c r="W193" s="778"/>
      <c r="X193" s="778"/>
      <c r="Y193" s="778"/>
      <c r="Z193" s="778"/>
      <c r="AA193" s="778"/>
      <c r="AB193" s="778"/>
      <c r="AC193" s="778"/>
      <c r="AD193" s="778"/>
      <c r="AE193" s="778"/>
      <c r="AF193" s="778"/>
      <c r="AG193" s="778"/>
      <c r="AH193" s="778"/>
      <c r="AI193" s="778"/>
      <c r="AJ193" s="778"/>
      <c r="AK193" s="778"/>
      <c r="AL193" s="778"/>
      <c r="AM193" s="778"/>
      <c r="AN193" s="778"/>
      <c r="AO193" s="778"/>
      <c r="AP193" s="778"/>
      <c r="AQ193" s="778"/>
      <c r="AR193" s="778"/>
      <c r="AS193" s="778"/>
      <c r="AT193" s="778"/>
      <c r="AU193" s="778"/>
      <c r="AV193" s="778"/>
      <c r="AW193" s="778"/>
      <c r="AX193" s="778"/>
      <c r="AY193" s="778"/>
      <c r="AZ193" s="778"/>
      <c r="BA193" s="778"/>
      <c r="BB193" s="778"/>
      <c r="BC193" s="778"/>
      <c r="BD193" s="778"/>
      <c r="BE193" s="778"/>
      <c r="BF193" s="778"/>
      <c r="BG193" s="778"/>
      <c r="BH193" s="778"/>
      <c r="BI193" s="778"/>
      <c r="BJ193" s="778"/>
      <c r="BK193" s="778"/>
      <c r="BL193" s="778"/>
      <c r="BM193" s="778"/>
      <c r="BN193" s="778"/>
      <c r="BO193" s="778"/>
      <c r="BP193" s="778"/>
      <c r="BQ193" s="778"/>
      <c r="BR193" s="778"/>
      <c r="BS193" s="778"/>
      <c r="BT193" s="778"/>
      <c r="BU193" s="778"/>
      <c r="BV193" s="778"/>
      <c r="BW193" s="778"/>
      <c r="BX193" s="778"/>
      <c r="BY193" s="778"/>
      <c r="BZ193" s="778"/>
      <c r="CA193" s="778"/>
      <c r="CB193" s="778"/>
      <c r="CC193" s="778"/>
      <c r="CD193" s="778"/>
      <c r="CE193" s="778"/>
      <c r="CF193" s="778"/>
      <c r="CG193" s="778"/>
      <c r="CH193" s="778"/>
      <c r="CI193" s="778"/>
      <c r="CJ193" s="778"/>
      <c r="CK193" s="778"/>
      <c r="CL193" s="778"/>
      <c r="CM193" s="778"/>
      <c r="CN193" s="778"/>
      <c r="CO193" s="778"/>
      <c r="CP193" s="778"/>
      <c r="CQ193" s="778"/>
      <c r="CR193" s="778"/>
      <c r="CS193" s="778"/>
      <c r="CT193" s="778"/>
      <c r="CU193" s="778"/>
      <c r="CV193" s="778"/>
      <c r="CW193" s="778"/>
      <c r="CX193" s="778"/>
      <c r="CY193" s="778"/>
      <c r="CZ193" s="778"/>
      <c r="DA193" s="778"/>
      <c r="DB193" s="778"/>
      <c r="DC193" s="778"/>
      <c r="DD193" s="778"/>
      <c r="DE193" s="778"/>
      <c r="DF193" s="778"/>
      <c r="DG193" s="778"/>
      <c r="DH193" s="778"/>
      <c r="DI193" s="778"/>
      <c r="DJ193" s="778"/>
      <c r="DK193" s="778"/>
      <c r="DL193" s="778"/>
      <c r="DM193" s="778"/>
      <c r="DN193" s="778"/>
      <c r="DO193" s="778"/>
      <c r="DP193" s="778"/>
      <c r="DQ193" s="778"/>
      <c r="DR193" s="778"/>
      <c r="DS193" s="778"/>
      <c r="DT193" s="778"/>
      <c r="DU193" s="778"/>
      <c r="DV193" s="778"/>
      <c r="DW193" s="778"/>
      <c r="DX193" s="778"/>
      <c r="DY193" s="778"/>
      <c r="DZ193" s="778"/>
      <c r="EA193" s="778"/>
      <c r="EB193" s="778"/>
      <c r="EC193" s="778"/>
      <c r="ED193" s="778"/>
      <c r="EE193" s="778"/>
      <c r="EF193" s="778"/>
      <c r="EG193" s="778"/>
      <c r="EH193" s="778"/>
    </row>
    <row r="194" spans="5:138" ht="12.75" customHeight="1" x14ac:dyDescent="0.3">
      <c r="E194" s="778"/>
      <c r="F194" s="778"/>
      <c r="G194" s="778"/>
      <c r="H194" s="778"/>
      <c r="I194" s="778"/>
      <c r="J194" s="778"/>
      <c r="K194" s="778"/>
      <c r="L194" s="778"/>
      <c r="M194" s="778"/>
      <c r="N194" s="778"/>
      <c r="O194" s="778"/>
      <c r="P194" s="778"/>
      <c r="Q194" s="778"/>
      <c r="R194" s="778"/>
      <c r="S194" s="778"/>
      <c r="T194" s="778"/>
      <c r="U194" s="778"/>
      <c r="V194" s="778"/>
      <c r="W194" s="778"/>
      <c r="X194" s="778"/>
      <c r="Y194" s="778"/>
      <c r="Z194" s="778"/>
      <c r="AA194" s="778"/>
      <c r="AB194" s="778"/>
      <c r="AC194" s="778"/>
      <c r="AD194" s="778"/>
      <c r="AE194" s="778"/>
      <c r="AF194" s="778"/>
      <c r="AG194" s="778"/>
      <c r="AH194" s="778"/>
      <c r="AI194" s="778"/>
      <c r="AJ194" s="778"/>
      <c r="AK194" s="778"/>
      <c r="AL194" s="778"/>
      <c r="AM194" s="778"/>
      <c r="AN194" s="778"/>
      <c r="AO194" s="778"/>
      <c r="AP194" s="778"/>
      <c r="AQ194" s="778"/>
      <c r="AR194" s="778"/>
      <c r="AS194" s="778"/>
      <c r="AT194" s="778"/>
      <c r="AU194" s="778"/>
      <c r="AV194" s="778"/>
      <c r="AW194" s="778"/>
      <c r="AX194" s="778"/>
      <c r="AY194" s="778"/>
      <c r="AZ194" s="778"/>
      <c r="BA194" s="778"/>
      <c r="BB194" s="778"/>
      <c r="BC194" s="778"/>
      <c r="BD194" s="778"/>
      <c r="BE194" s="778"/>
      <c r="BF194" s="778"/>
      <c r="BG194" s="778"/>
      <c r="BH194" s="778"/>
      <c r="BI194" s="778"/>
      <c r="BJ194" s="778"/>
      <c r="BK194" s="778"/>
      <c r="BL194" s="778"/>
      <c r="BM194" s="778"/>
      <c r="BN194" s="778"/>
      <c r="BO194" s="778"/>
      <c r="BP194" s="778"/>
      <c r="BQ194" s="778"/>
      <c r="BR194" s="778"/>
      <c r="BS194" s="778"/>
      <c r="BT194" s="778"/>
      <c r="BU194" s="778"/>
      <c r="BV194" s="778"/>
      <c r="BW194" s="778"/>
      <c r="BX194" s="778"/>
      <c r="BY194" s="778"/>
      <c r="BZ194" s="778"/>
      <c r="CA194" s="778"/>
      <c r="CB194" s="778"/>
      <c r="CC194" s="778"/>
      <c r="CD194" s="778"/>
      <c r="CE194" s="778"/>
      <c r="CF194" s="778"/>
      <c r="CG194" s="778"/>
      <c r="CH194" s="778"/>
      <c r="CI194" s="778"/>
      <c r="CJ194" s="778"/>
      <c r="CK194" s="778"/>
      <c r="CL194" s="778"/>
      <c r="CM194" s="778"/>
      <c r="CN194" s="778"/>
      <c r="CO194" s="778"/>
      <c r="CP194" s="778"/>
      <c r="CQ194" s="778"/>
      <c r="CR194" s="778"/>
      <c r="CS194" s="778"/>
      <c r="CT194" s="778"/>
      <c r="CU194" s="778"/>
      <c r="CV194" s="778"/>
      <c r="CW194" s="778"/>
      <c r="CX194" s="778"/>
      <c r="CY194" s="778"/>
      <c r="CZ194" s="778"/>
      <c r="DA194" s="778"/>
      <c r="DB194" s="778"/>
      <c r="DC194" s="778"/>
      <c r="DD194" s="778"/>
      <c r="DE194" s="778"/>
      <c r="DF194" s="778"/>
      <c r="DG194" s="778"/>
      <c r="DH194" s="778"/>
      <c r="DI194" s="778"/>
      <c r="DJ194" s="778"/>
      <c r="DK194" s="778"/>
      <c r="DL194" s="778"/>
      <c r="DM194" s="778"/>
      <c r="DN194" s="778"/>
      <c r="DO194" s="778"/>
      <c r="DP194" s="778"/>
      <c r="DQ194" s="778"/>
      <c r="DR194" s="778"/>
      <c r="DS194" s="778"/>
      <c r="DT194" s="778"/>
      <c r="DU194" s="778"/>
      <c r="DV194" s="778"/>
      <c r="DW194" s="778"/>
      <c r="DX194" s="778"/>
      <c r="DY194" s="778"/>
      <c r="DZ194" s="778"/>
      <c r="EA194" s="778"/>
      <c r="EB194" s="778"/>
      <c r="EC194" s="778"/>
      <c r="ED194" s="778"/>
      <c r="EE194" s="778"/>
      <c r="EF194" s="778"/>
      <c r="EG194" s="778"/>
      <c r="EH194" s="778"/>
    </row>
    <row r="195" spans="5:138" ht="12.75" customHeight="1" x14ac:dyDescent="0.3">
      <c r="E195" s="778"/>
      <c r="F195" s="778"/>
      <c r="G195" s="778"/>
      <c r="H195" s="778"/>
      <c r="I195" s="778"/>
      <c r="J195" s="778"/>
      <c r="K195" s="778"/>
      <c r="L195" s="778"/>
      <c r="M195" s="778"/>
      <c r="N195" s="778"/>
      <c r="O195" s="778"/>
      <c r="P195" s="778"/>
      <c r="Q195" s="778"/>
      <c r="R195" s="778"/>
      <c r="S195" s="778"/>
      <c r="T195" s="778"/>
      <c r="U195" s="778"/>
      <c r="V195" s="778"/>
      <c r="W195" s="778"/>
      <c r="X195" s="778"/>
      <c r="Y195" s="778"/>
      <c r="Z195" s="778"/>
      <c r="AA195" s="778"/>
      <c r="AB195" s="778"/>
      <c r="AC195" s="778"/>
      <c r="AD195" s="778"/>
      <c r="AE195" s="778"/>
      <c r="AF195" s="778"/>
      <c r="AG195" s="778"/>
      <c r="AH195" s="778"/>
      <c r="AI195" s="778"/>
      <c r="AJ195" s="778"/>
      <c r="AK195" s="778"/>
      <c r="AL195" s="778"/>
      <c r="AM195" s="778"/>
      <c r="AN195" s="778"/>
      <c r="AO195" s="778"/>
      <c r="AP195" s="778"/>
      <c r="AQ195" s="778"/>
      <c r="AR195" s="778"/>
      <c r="AS195" s="778"/>
      <c r="AT195" s="778"/>
      <c r="AU195" s="778"/>
      <c r="AV195" s="778"/>
      <c r="AW195" s="778"/>
      <c r="AX195" s="778"/>
      <c r="AY195" s="778"/>
      <c r="AZ195" s="778"/>
      <c r="BA195" s="778"/>
      <c r="BB195" s="778"/>
      <c r="BC195" s="778"/>
      <c r="BD195" s="778"/>
      <c r="BE195" s="778"/>
      <c r="BF195" s="778"/>
      <c r="BG195" s="778"/>
      <c r="BH195" s="778"/>
      <c r="BI195" s="778"/>
      <c r="BJ195" s="778"/>
      <c r="BK195" s="778"/>
      <c r="BL195" s="778"/>
      <c r="BM195" s="778"/>
      <c r="BN195" s="778"/>
      <c r="BO195" s="778"/>
      <c r="BP195" s="778"/>
      <c r="BQ195" s="778"/>
      <c r="BR195" s="778"/>
      <c r="BS195" s="778"/>
      <c r="BT195" s="778"/>
      <c r="BU195" s="778"/>
      <c r="BV195" s="778"/>
      <c r="BW195" s="778"/>
      <c r="BX195" s="778"/>
      <c r="BY195" s="778"/>
      <c r="BZ195" s="778"/>
      <c r="CA195" s="778"/>
      <c r="CB195" s="778"/>
      <c r="CC195" s="778"/>
      <c r="CD195" s="778"/>
      <c r="CE195" s="778"/>
      <c r="CF195" s="778"/>
      <c r="CG195" s="778"/>
      <c r="CH195" s="778"/>
      <c r="CI195" s="778"/>
      <c r="CJ195" s="778"/>
      <c r="CK195" s="778"/>
      <c r="CL195" s="778"/>
      <c r="CM195" s="778"/>
      <c r="CN195" s="778"/>
      <c r="CO195" s="778"/>
      <c r="CP195" s="778"/>
      <c r="CQ195" s="778"/>
      <c r="CR195" s="778"/>
      <c r="CS195" s="778"/>
      <c r="CT195" s="778"/>
      <c r="CU195" s="778"/>
      <c r="CV195" s="778"/>
      <c r="CW195" s="778"/>
      <c r="CX195" s="778"/>
      <c r="CY195" s="778"/>
      <c r="CZ195" s="778"/>
      <c r="DA195" s="778"/>
      <c r="DB195" s="778"/>
      <c r="DC195" s="778"/>
      <c r="DD195" s="778"/>
      <c r="DE195" s="778"/>
      <c r="DF195" s="778"/>
      <c r="DG195" s="778"/>
      <c r="DH195" s="778"/>
      <c r="DI195" s="778"/>
      <c r="DJ195" s="778"/>
      <c r="DK195" s="778"/>
      <c r="DL195" s="778"/>
      <c r="DM195" s="778"/>
      <c r="DN195" s="778"/>
      <c r="DO195" s="778"/>
      <c r="DP195" s="778"/>
      <c r="DQ195" s="778"/>
      <c r="DR195" s="778"/>
      <c r="DS195" s="778"/>
      <c r="DT195" s="778"/>
      <c r="DU195" s="778"/>
      <c r="DV195" s="778"/>
      <c r="DW195" s="778"/>
      <c r="DX195" s="778"/>
      <c r="DY195" s="778"/>
      <c r="DZ195" s="778"/>
      <c r="EA195" s="778"/>
      <c r="EB195" s="778"/>
      <c r="EC195" s="778"/>
      <c r="ED195" s="778"/>
      <c r="EE195" s="778"/>
      <c r="EF195" s="778"/>
      <c r="EG195" s="778"/>
      <c r="EH195" s="778"/>
    </row>
    <row r="196" spans="5:138" ht="12.75" customHeight="1" x14ac:dyDescent="0.3">
      <c r="E196" s="778"/>
      <c r="F196" s="778"/>
      <c r="G196" s="778"/>
      <c r="H196" s="778"/>
      <c r="I196" s="778"/>
      <c r="J196" s="778"/>
      <c r="K196" s="778"/>
      <c r="L196" s="778"/>
      <c r="M196" s="778"/>
      <c r="N196" s="778"/>
      <c r="O196" s="778"/>
      <c r="P196" s="778"/>
      <c r="Q196" s="778"/>
      <c r="R196" s="778"/>
      <c r="S196" s="778"/>
      <c r="T196" s="778"/>
      <c r="U196" s="778"/>
      <c r="V196" s="778"/>
      <c r="W196" s="778"/>
      <c r="X196" s="778"/>
      <c r="Y196" s="778"/>
      <c r="Z196" s="778"/>
      <c r="AA196" s="778"/>
      <c r="AB196" s="778"/>
      <c r="AC196" s="778"/>
      <c r="AD196" s="778"/>
      <c r="AE196" s="778"/>
      <c r="AF196" s="778"/>
      <c r="AG196" s="778"/>
      <c r="AH196" s="778"/>
      <c r="AI196" s="778"/>
      <c r="AJ196" s="778"/>
      <c r="AK196" s="778"/>
      <c r="AL196" s="778"/>
      <c r="AM196" s="778"/>
      <c r="AN196" s="778"/>
      <c r="AO196" s="778"/>
      <c r="AP196" s="778"/>
      <c r="AQ196" s="778"/>
      <c r="AR196" s="778"/>
      <c r="AS196" s="778"/>
      <c r="AT196" s="778"/>
      <c r="AU196" s="778"/>
      <c r="AV196" s="778"/>
      <c r="AW196" s="778"/>
      <c r="AX196" s="778"/>
      <c r="AY196" s="778"/>
      <c r="AZ196" s="778"/>
      <c r="BA196" s="778"/>
      <c r="BB196" s="778"/>
      <c r="BC196" s="778"/>
      <c r="BD196" s="778"/>
      <c r="BE196" s="778"/>
      <c r="BF196" s="778"/>
      <c r="BG196" s="778"/>
      <c r="BH196" s="778"/>
      <c r="BI196" s="778"/>
      <c r="BJ196" s="778"/>
      <c r="BK196" s="778"/>
      <c r="BL196" s="778"/>
      <c r="BM196" s="778"/>
      <c r="BN196" s="778"/>
      <c r="BO196" s="778"/>
      <c r="BP196" s="778"/>
      <c r="BQ196" s="778"/>
      <c r="BR196" s="778"/>
      <c r="BS196" s="778"/>
      <c r="BT196" s="778"/>
      <c r="BU196" s="778"/>
      <c r="BV196" s="778"/>
      <c r="BW196" s="778"/>
      <c r="BX196" s="778"/>
      <c r="BY196" s="778"/>
      <c r="BZ196" s="778"/>
      <c r="CA196" s="778"/>
      <c r="CB196" s="778"/>
      <c r="CC196" s="778"/>
      <c r="CD196" s="778"/>
      <c r="CE196" s="778"/>
      <c r="CF196" s="778"/>
      <c r="CG196" s="778"/>
      <c r="CH196" s="778"/>
      <c r="CI196" s="778"/>
      <c r="CJ196" s="778"/>
      <c r="CK196" s="778"/>
      <c r="CL196" s="778"/>
      <c r="CM196" s="778"/>
      <c r="CN196" s="778"/>
      <c r="CO196" s="778"/>
      <c r="CP196" s="778"/>
      <c r="CQ196" s="778"/>
      <c r="CR196" s="778"/>
      <c r="CS196" s="778"/>
      <c r="CT196" s="778"/>
      <c r="CU196" s="778"/>
      <c r="CV196" s="778"/>
      <c r="CW196" s="778"/>
      <c r="CX196" s="778"/>
      <c r="CY196" s="778"/>
      <c r="CZ196" s="778"/>
      <c r="DA196" s="778"/>
      <c r="DB196" s="778"/>
      <c r="DC196" s="778"/>
      <c r="DD196" s="778"/>
      <c r="DE196" s="778"/>
      <c r="DF196" s="778"/>
      <c r="DG196" s="778"/>
      <c r="DH196" s="778"/>
      <c r="DI196" s="778"/>
      <c r="DJ196" s="778"/>
      <c r="DK196" s="778"/>
      <c r="DL196" s="778"/>
      <c r="DM196" s="778"/>
      <c r="DN196" s="778"/>
      <c r="DO196" s="778"/>
      <c r="DP196" s="778"/>
      <c r="DQ196" s="778"/>
      <c r="DR196" s="778"/>
      <c r="DS196" s="778"/>
      <c r="DT196" s="778"/>
      <c r="DU196" s="778"/>
      <c r="DV196" s="778"/>
      <c r="DW196" s="778"/>
      <c r="DX196" s="778"/>
      <c r="DY196" s="778"/>
      <c r="DZ196" s="778"/>
      <c r="EA196" s="778"/>
      <c r="EB196" s="778"/>
      <c r="EC196" s="778"/>
      <c r="ED196" s="778"/>
      <c r="EE196" s="778"/>
      <c r="EF196" s="778"/>
      <c r="EG196" s="778"/>
      <c r="EH196" s="778"/>
    </row>
    <row r="197" spans="5:138" ht="12.75" customHeight="1" x14ac:dyDescent="0.3">
      <c r="E197" s="778"/>
      <c r="F197" s="778"/>
      <c r="G197" s="778"/>
      <c r="H197" s="778"/>
      <c r="I197" s="778"/>
      <c r="J197" s="778"/>
      <c r="K197" s="778"/>
      <c r="L197" s="778"/>
      <c r="M197" s="778"/>
      <c r="N197" s="778"/>
      <c r="O197" s="778"/>
      <c r="P197" s="778"/>
      <c r="Q197" s="778"/>
      <c r="R197" s="778"/>
      <c r="S197" s="778"/>
      <c r="T197" s="778"/>
      <c r="U197" s="778"/>
      <c r="V197" s="778"/>
      <c r="W197" s="778"/>
      <c r="X197" s="778"/>
      <c r="Y197" s="778"/>
      <c r="Z197" s="778"/>
      <c r="AA197" s="778"/>
      <c r="AB197" s="778"/>
      <c r="AC197" s="778"/>
      <c r="AD197" s="778"/>
      <c r="AE197" s="778"/>
      <c r="AF197" s="778"/>
      <c r="AG197" s="778"/>
      <c r="AH197" s="778"/>
      <c r="AI197" s="778"/>
      <c r="AJ197" s="778"/>
      <c r="AK197" s="778"/>
      <c r="AL197" s="778"/>
      <c r="AM197" s="778"/>
      <c r="AN197" s="778"/>
      <c r="AO197" s="778"/>
      <c r="AP197" s="778"/>
      <c r="AQ197" s="778"/>
      <c r="AR197" s="778"/>
      <c r="AS197" s="778"/>
      <c r="AT197" s="778"/>
      <c r="AU197" s="778"/>
      <c r="AV197" s="778"/>
      <c r="AW197" s="778"/>
      <c r="AX197" s="778"/>
      <c r="AY197" s="778"/>
      <c r="AZ197" s="778"/>
      <c r="BA197" s="778"/>
      <c r="BB197" s="778"/>
      <c r="BC197" s="778"/>
      <c r="BD197" s="778"/>
      <c r="BE197" s="778"/>
      <c r="BF197" s="778"/>
      <c r="BG197" s="778"/>
      <c r="BH197" s="778"/>
      <c r="BI197" s="778"/>
      <c r="BJ197" s="778"/>
      <c r="BK197" s="778"/>
      <c r="BL197" s="778"/>
      <c r="BM197" s="778"/>
      <c r="BN197" s="778"/>
      <c r="BO197" s="778"/>
      <c r="BP197" s="778"/>
      <c r="BQ197" s="778"/>
      <c r="BR197" s="778"/>
      <c r="BS197" s="778"/>
      <c r="BT197" s="778"/>
      <c r="BU197" s="778"/>
      <c r="BV197" s="778"/>
      <c r="BW197" s="778"/>
      <c r="BX197" s="778"/>
      <c r="BY197" s="778"/>
      <c r="BZ197" s="778"/>
      <c r="CA197" s="778"/>
      <c r="CB197" s="778"/>
      <c r="CC197" s="778"/>
      <c r="CD197" s="778"/>
      <c r="CE197" s="778"/>
      <c r="CF197" s="778"/>
      <c r="CG197" s="778"/>
      <c r="CH197" s="778"/>
      <c r="CI197" s="778"/>
      <c r="CJ197" s="778"/>
      <c r="CK197" s="778"/>
      <c r="CL197" s="778"/>
      <c r="CM197" s="778"/>
      <c r="CN197" s="778"/>
      <c r="CO197" s="778"/>
      <c r="CP197" s="778"/>
      <c r="CQ197" s="778"/>
      <c r="CR197" s="778"/>
      <c r="CS197" s="778"/>
      <c r="CT197" s="778"/>
      <c r="CU197" s="778"/>
      <c r="CV197" s="778"/>
      <c r="CW197" s="778"/>
      <c r="CX197" s="778"/>
      <c r="CY197" s="778"/>
      <c r="CZ197" s="778"/>
      <c r="DA197" s="778"/>
      <c r="DB197" s="778"/>
      <c r="DC197" s="778"/>
      <c r="DD197" s="778"/>
      <c r="DE197" s="778"/>
      <c r="DF197" s="778"/>
      <c r="DG197" s="778"/>
      <c r="DH197" s="778"/>
      <c r="DI197" s="778"/>
      <c r="DJ197" s="778"/>
      <c r="DK197" s="778"/>
      <c r="DL197" s="778"/>
      <c r="DM197" s="778"/>
      <c r="DN197" s="778"/>
      <c r="DO197" s="778"/>
      <c r="DP197" s="778"/>
      <c r="DQ197" s="778"/>
      <c r="DR197" s="778"/>
      <c r="DS197" s="778"/>
      <c r="DT197" s="778"/>
      <c r="DU197" s="778"/>
      <c r="DV197" s="778"/>
      <c r="DW197" s="778"/>
      <c r="DX197" s="778"/>
      <c r="DY197" s="778"/>
      <c r="DZ197" s="778"/>
      <c r="EA197" s="778"/>
      <c r="EB197" s="778"/>
      <c r="EC197" s="778"/>
      <c r="ED197" s="778"/>
      <c r="EE197" s="778"/>
      <c r="EF197" s="778"/>
      <c r="EG197" s="778"/>
      <c r="EH197" s="778"/>
    </row>
    <row r="198" spans="5:138" ht="12.75" customHeight="1" x14ac:dyDescent="0.3">
      <c r="E198" s="778"/>
      <c r="F198" s="778"/>
      <c r="G198" s="778"/>
      <c r="H198" s="778"/>
      <c r="I198" s="778"/>
      <c r="J198" s="778"/>
      <c r="K198" s="778"/>
      <c r="L198" s="778"/>
      <c r="M198" s="778"/>
      <c r="N198" s="778"/>
      <c r="O198" s="778"/>
      <c r="P198" s="778"/>
      <c r="Q198" s="778"/>
      <c r="R198" s="778"/>
      <c r="S198" s="778"/>
      <c r="T198" s="778"/>
      <c r="U198" s="778"/>
      <c r="V198" s="778"/>
      <c r="W198" s="778"/>
      <c r="X198" s="778"/>
      <c r="Y198" s="778"/>
      <c r="Z198" s="778"/>
      <c r="AA198" s="778"/>
      <c r="AB198" s="778"/>
      <c r="AC198" s="778"/>
      <c r="AD198" s="778"/>
      <c r="AE198" s="778"/>
      <c r="AF198" s="778"/>
      <c r="AG198" s="778"/>
      <c r="AH198" s="778"/>
      <c r="AI198" s="778"/>
      <c r="AJ198" s="778"/>
      <c r="AK198" s="778"/>
      <c r="AL198" s="778"/>
      <c r="AM198" s="778"/>
      <c r="AN198" s="778"/>
      <c r="AO198" s="778"/>
      <c r="AP198" s="778"/>
      <c r="AQ198" s="778"/>
      <c r="AR198" s="778"/>
      <c r="AS198" s="778"/>
      <c r="AT198" s="778"/>
      <c r="AU198" s="778"/>
      <c r="AV198" s="778"/>
      <c r="AW198" s="778"/>
      <c r="AX198" s="778"/>
      <c r="AY198" s="778"/>
      <c r="AZ198" s="778"/>
      <c r="BA198" s="778"/>
      <c r="BB198" s="778"/>
      <c r="BC198" s="778"/>
      <c r="BD198" s="778"/>
      <c r="BE198" s="778"/>
      <c r="BF198" s="778"/>
      <c r="BG198" s="778"/>
      <c r="BH198" s="778"/>
      <c r="BI198" s="778"/>
      <c r="BJ198" s="778"/>
      <c r="BK198" s="778"/>
      <c r="BL198" s="778"/>
      <c r="BM198" s="778"/>
      <c r="BN198" s="778"/>
      <c r="BO198" s="778"/>
      <c r="BP198" s="778"/>
      <c r="BQ198" s="778"/>
      <c r="BR198" s="778"/>
      <c r="BS198" s="778"/>
      <c r="BT198" s="778"/>
      <c r="BU198" s="778"/>
      <c r="BV198" s="778"/>
      <c r="BW198" s="778"/>
      <c r="BX198" s="778"/>
      <c r="BY198" s="778"/>
      <c r="BZ198" s="778"/>
      <c r="CA198" s="778"/>
      <c r="CB198" s="778"/>
      <c r="CC198" s="778"/>
      <c r="CD198" s="778"/>
      <c r="CE198" s="778"/>
      <c r="CF198" s="778"/>
      <c r="CG198" s="778"/>
      <c r="CH198" s="778"/>
      <c r="CI198" s="778"/>
      <c r="CJ198" s="778"/>
      <c r="CK198" s="778"/>
      <c r="CL198" s="778"/>
      <c r="CM198" s="778"/>
      <c r="CN198" s="778"/>
      <c r="CO198" s="778"/>
      <c r="CP198" s="778"/>
      <c r="CQ198" s="778"/>
      <c r="CR198" s="778"/>
      <c r="CS198" s="778"/>
      <c r="CT198" s="778"/>
      <c r="CU198" s="778"/>
      <c r="CV198" s="778"/>
      <c r="CW198" s="778"/>
      <c r="CX198" s="778"/>
      <c r="CY198" s="778"/>
      <c r="CZ198" s="778"/>
      <c r="DA198" s="778"/>
      <c r="DB198" s="778"/>
      <c r="DC198" s="778"/>
      <c r="DD198" s="778"/>
      <c r="DE198" s="778"/>
      <c r="DF198" s="778"/>
      <c r="DG198" s="778"/>
      <c r="DH198" s="778"/>
      <c r="DI198" s="778"/>
      <c r="DJ198" s="778"/>
      <c r="DK198" s="778"/>
      <c r="DL198" s="778"/>
      <c r="DM198" s="778"/>
      <c r="DN198" s="778"/>
      <c r="DO198" s="778"/>
      <c r="DP198" s="778"/>
      <c r="DQ198" s="778"/>
      <c r="DR198" s="778"/>
      <c r="DS198" s="778"/>
      <c r="DT198" s="778"/>
      <c r="DU198" s="778"/>
      <c r="DV198" s="778"/>
      <c r="DW198" s="778"/>
      <c r="DX198" s="778"/>
      <c r="DY198" s="778"/>
      <c r="DZ198" s="778"/>
      <c r="EA198" s="778"/>
      <c r="EB198" s="778"/>
      <c r="EC198" s="778"/>
      <c r="ED198" s="778"/>
      <c r="EE198" s="778"/>
      <c r="EF198" s="778"/>
      <c r="EG198" s="778"/>
      <c r="EH198" s="778"/>
    </row>
    <row r="199" spans="5:138" ht="12.75" customHeight="1" x14ac:dyDescent="0.3">
      <c r="E199" s="778"/>
      <c r="F199" s="778"/>
      <c r="G199" s="778"/>
      <c r="H199" s="778"/>
      <c r="I199" s="778"/>
      <c r="J199" s="778"/>
      <c r="K199" s="778"/>
      <c r="L199" s="778"/>
      <c r="M199" s="778"/>
      <c r="N199" s="778"/>
      <c r="O199" s="778"/>
      <c r="P199" s="778"/>
      <c r="Q199" s="778"/>
      <c r="R199" s="778"/>
      <c r="S199" s="778"/>
      <c r="T199" s="778"/>
      <c r="U199" s="778"/>
      <c r="V199" s="778"/>
      <c r="W199" s="778"/>
      <c r="X199" s="778"/>
      <c r="Y199" s="778"/>
      <c r="Z199" s="778"/>
      <c r="AA199" s="778"/>
      <c r="AB199" s="778"/>
      <c r="AC199" s="778"/>
      <c r="AD199" s="778"/>
      <c r="AE199" s="778"/>
      <c r="AF199" s="778"/>
      <c r="AG199" s="778"/>
      <c r="AH199" s="778"/>
      <c r="AI199" s="778"/>
      <c r="AJ199" s="778"/>
      <c r="AK199" s="778"/>
      <c r="AL199" s="778"/>
      <c r="AM199" s="778"/>
      <c r="AN199" s="778"/>
      <c r="AO199" s="778"/>
      <c r="AP199" s="778"/>
      <c r="AQ199" s="778"/>
      <c r="AR199" s="778"/>
      <c r="AS199" s="778"/>
      <c r="AT199" s="778"/>
      <c r="AU199" s="778"/>
      <c r="AV199" s="778"/>
      <c r="AW199" s="778"/>
      <c r="AX199" s="778"/>
      <c r="AY199" s="778"/>
      <c r="AZ199" s="778"/>
      <c r="BA199" s="778"/>
      <c r="BB199" s="778"/>
      <c r="BC199" s="778"/>
      <c r="BD199" s="778"/>
      <c r="BE199" s="778"/>
      <c r="BF199" s="778"/>
      <c r="BG199" s="778"/>
      <c r="BH199" s="778"/>
      <c r="BI199" s="778"/>
      <c r="BJ199" s="778"/>
      <c r="BK199" s="778"/>
      <c r="BL199" s="778"/>
      <c r="BM199" s="778"/>
      <c r="BN199" s="778"/>
      <c r="BO199" s="778"/>
      <c r="BP199" s="778"/>
      <c r="BQ199" s="778"/>
      <c r="BR199" s="778"/>
      <c r="BS199" s="778"/>
      <c r="BT199" s="778"/>
      <c r="BU199" s="778"/>
      <c r="BV199" s="778"/>
      <c r="BW199" s="778"/>
      <c r="BX199" s="778"/>
      <c r="BY199" s="778"/>
      <c r="BZ199" s="778"/>
      <c r="CA199" s="778"/>
      <c r="CB199" s="778"/>
      <c r="CC199" s="778"/>
      <c r="CD199" s="778"/>
      <c r="CE199" s="778"/>
      <c r="CF199" s="778"/>
      <c r="CG199" s="778"/>
      <c r="CH199" s="778"/>
      <c r="CI199" s="778"/>
      <c r="CJ199" s="778"/>
      <c r="CK199" s="778"/>
      <c r="CL199" s="778"/>
      <c r="CM199" s="778"/>
      <c r="CN199" s="778"/>
      <c r="CO199" s="778"/>
      <c r="CP199" s="778"/>
      <c r="CQ199" s="778"/>
      <c r="CR199" s="778"/>
      <c r="CS199" s="778"/>
      <c r="CT199" s="778"/>
      <c r="CU199" s="778"/>
      <c r="CV199" s="778"/>
      <c r="CW199" s="778"/>
      <c r="CX199" s="778"/>
      <c r="CY199" s="778"/>
      <c r="CZ199" s="778"/>
      <c r="DA199" s="778"/>
      <c r="DB199" s="778"/>
      <c r="DC199" s="778"/>
      <c r="DD199" s="778"/>
      <c r="DE199" s="778"/>
      <c r="DF199" s="778"/>
      <c r="DG199" s="778"/>
      <c r="DH199" s="778"/>
      <c r="DI199" s="778"/>
      <c r="DJ199" s="778"/>
      <c r="DK199" s="778"/>
      <c r="DL199" s="778"/>
      <c r="DM199" s="778"/>
      <c r="DN199" s="778"/>
      <c r="DO199" s="778"/>
      <c r="DP199" s="778"/>
      <c r="DQ199" s="778"/>
      <c r="DR199" s="778"/>
      <c r="DS199" s="778"/>
      <c r="DT199" s="778"/>
      <c r="DU199" s="778"/>
      <c r="DV199" s="778"/>
      <c r="DW199" s="778"/>
      <c r="DX199" s="778"/>
      <c r="DY199" s="778"/>
      <c r="DZ199" s="778"/>
      <c r="EA199" s="778"/>
      <c r="EB199" s="778"/>
      <c r="EC199" s="778"/>
      <c r="ED199" s="778"/>
      <c r="EE199" s="778"/>
      <c r="EF199" s="778"/>
      <c r="EG199" s="778"/>
      <c r="EH199" s="778"/>
    </row>
    <row r="200" spans="5:138" ht="12.75" customHeight="1" x14ac:dyDescent="0.3">
      <c r="E200" s="778"/>
      <c r="F200" s="778"/>
      <c r="G200" s="778"/>
      <c r="H200" s="778"/>
      <c r="I200" s="778"/>
      <c r="J200" s="778"/>
      <c r="K200" s="778"/>
      <c r="L200" s="778"/>
      <c r="M200" s="778"/>
      <c r="N200" s="778"/>
      <c r="O200" s="778"/>
      <c r="P200" s="778"/>
      <c r="Q200" s="778"/>
      <c r="R200" s="778"/>
      <c r="S200" s="778"/>
      <c r="T200" s="778"/>
      <c r="U200" s="778"/>
      <c r="V200" s="778"/>
      <c r="W200" s="778"/>
      <c r="X200" s="778"/>
      <c r="Y200" s="778"/>
      <c r="Z200" s="778"/>
      <c r="AA200" s="778"/>
      <c r="AB200" s="778"/>
      <c r="AC200" s="778"/>
      <c r="AD200" s="778"/>
      <c r="AE200" s="778"/>
      <c r="AF200" s="778"/>
      <c r="AG200" s="778"/>
      <c r="AH200" s="778"/>
      <c r="AI200" s="778"/>
      <c r="AJ200" s="778"/>
      <c r="AK200" s="778"/>
      <c r="AL200" s="778"/>
      <c r="AM200" s="778"/>
      <c r="AN200" s="778"/>
      <c r="AO200" s="778"/>
      <c r="AP200" s="778"/>
      <c r="AQ200" s="778"/>
      <c r="AR200" s="778"/>
      <c r="AS200" s="778"/>
      <c r="AT200" s="778"/>
      <c r="AU200" s="778"/>
      <c r="AV200" s="778"/>
      <c r="AW200" s="778"/>
      <c r="AX200" s="778"/>
      <c r="AY200" s="778"/>
      <c r="AZ200" s="778"/>
      <c r="BA200" s="778"/>
      <c r="BB200" s="778"/>
      <c r="BC200" s="778"/>
      <c r="BD200" s="778"/>
      <c r="BE200" s="778"/>
      <c r="BF200" s="778"/>
      <c r="BG200" s="778"/>
      <c r="BH200" s="778"/>
      <c r="BI200" s="778"/>
      <c r="BJ200" s="778"/>
      <c r="BK200" s="778"/>
      <c r="BL200" s="778"/>
      <c r="BM200" s="778"/>
      <c r="BN200" s="778"/>
      <c r="BO200" s="778"/>
      <c r="BP200" s="778"/>
      <c r="BQ200" s="778"/>
      <c r="BR200" s="778"/>
      <c r="BS200" s="778"/>
      <c r="BT200" s="778"/>
      <c r="BU200" s="778"/>
      <c r="BV200" s="778"/>
      <c r="BW200" s="778"/>
      <c r="BX200" s="778"/>
      <c r="BY200" s="778"/>
      <c r="BZ200" s="778"/>
      <c r="CA200" s="778"/>
      <c r="CB200" s="778"/>
      <c r="CC200" s="778"/>
      <c r="CD200" s="778"/>
      <c r="CE200" s="778"/>
      <c r="CF200" s="778"/>
      <c r="CG200" s="778"/>
      <c r="CH200" s="778"/>
      <c r="CI200" s="778"/>
      <c r="CJ200" s="778"/>
      <c r="CK200" s="778"/>
      <c r="CL200" s="778"/>
      <c r="CM200" s="778"/>
      <c r="CN200" s="778"/>
      <c r="CO200" s="778"/>
      <c r="CP200" s="778"/>
      <c r="CQ200" s="778"/>
      <c r="CR200" s="778"/>
      <c r="CS200" s="778"/>
      <c r="CT200" s="778"/>
      <c r="CU200" s="778"/>
      <c r="CV200" s="778"/>
      <c r="CW200" s="778"/>
      <c r="CX200" s="778"/>
      <c r="CY200" s="778"/>
      <c r="CZ200" s="778"/>
      <c r="DA200" s="778"/>
      <c r="DB200" s="778"/>
      <c r="DC200" s="778"/>
      <c r="DD200" s="778"/>
      <c r="DE200" s="778"/>
      <c r="DF200" s="778"/>
      <c r="DG200" s="778"/>
      <c r="DH200" s="778"/>
      <c r="DI200" s="778"/>
      <c r="DJ200" s="778"/>
      <c r="DK200" s="778"/>
      <c r="DL200" s="778"/>
      <c r="DM200" s="778"/>
      <c r="DN200" s="778"/>
      <c r="DO200" s="778"/>
      <c r="DP200" s="778"/>
      <c r="DQ200" s="778"/>
      <c r="DR200" s="778"/>
      <c r="DS200" s="778"/>
      <c r="DT200" s="778"/>
      <c r="DU200" s="778"/>
      <c r="DV200" s="778"/>
      <c r="DW200" s="778"/>
      <c r="DX200" s="778"/>
      <c r="DY200" s="778"/>
      <c r="DZ200" s="778"/>
      <c r="EA200" s="778"/>
      <c r="EB200" s="778"/>
      <c r="EC200" s="778"/>
      <c r="ED200" s="778"/>
      <c r="EE200" s="778"/>
      <c r="EF200" s="778"/>
      <c r="EG200" s="778"/>
      <c r="EH200" s="778"/>
    </row>
    <row r="201" spans="5:138" ht="12.75" customHeight="1" x14ac:dyDescent="0.3">
      <c r="E201" s="778"/>
      <c r="F201" s="778"/>
      <c r="G201" s="778"/>
      <c r="H201" s="778"/>
      <c r="I201" s="778"/>
      <c r="J201" s="778"/>
      <c r="K201" s="778"/>
      <c r="L201" s="778"/>
      <c r="M201" s="778"/>
      <c r="N201" s="778"/>
      <c r="O201" s="778"/>
      <c r="P201" s="778"/>
      <c r="Q201" s="778"/>
      <c r="R201" s="778"/>
      <c r="S201" s="778"/>
      <c r="T201" s="778"/>
      <c r="U201" s="778"/>
      <c r="V201" s="778"/>
      <c r="W201" s="778"/>
      <c r="X201" s="778"/>
      <c r="Y201" s="778"/>
      <c r="Z201" s="778"/>
      <c r="AA201" s="778"/>
      <c r="AB201" s="778"/>
      <c r="AC201" s="778"/>
      <c r="AD201" s="778"/>
      <c r="AE201" s="778"/>
      <c r="AF201" s="778"/>
      <c r="AG201" s="778"/>
      <c r="AH201" s="778"/>
      <c r="AI201" s="778"/>
      <c r="AJ201" s="778"/>
      <c r="AK201" s="778"/>
      <c r="AL201" s="778"/>
      <c r="AM201" s="778"/>
      <c r="AN201" s="778"/>
      <c r="AO201" s="778"/>
      <c r="AP201" s="778"/>
      <c r="AQ201" s="778"/>
      <c r="AR201" s="778"/>
      <c r="AS201" s="778"/>
      <c r="AT201" s="778"/>
      <c r="AU201" s="778"/>
      <c r="AV201" s="778"/>
      <c r="AW201" s="778"/>
      <c r="AX201" s="778"/>
      <c r="AY201" s="778"/>
      <c r="AZ201" s="778"/>
      <c r="BA201" s="778"/>
      <c r="BB201" s="778"/>
      <c r="BC201" s="778"/>
      <c r="BD201" s="778"/>
      <c r="BE201" s="778"/>
      <c r="BF201" s="778"/>
      <c r="BG201" s="778"/>
      <c r="BH201" s="778"/>
      <c r="BI201" s="778"/>
      <c r="BJ201" s="778"/>
      <c r="BK201" s="778"/>
      <c r="BL201" s="778"/>
      <c r="BM201" s="778"/>
      <c r="BN201" s="778"/>
      <c r="BO201" s="778"/>
      <c r="BP201" s="778"/>
      <c r="BQ201" s="778"/>
      <c r="BR201" s="778"/>
      <c r="BS201" s="778"/>
      <c r="BT201" s="778"/>
      <c r="BU201" s="778"/>
      <c r="BV201" s="778"/>
      <c r="BW201" s="778"/>
      <c r="BX201" s="778"/>
      <c r="BY201" s="778"/>
      <c r="BZ201" s="778"/>
      <c r="CA201" s="778"/>
      <c r="CB201" s="778"/>
      <c r="CC201" s="778"/>
      <c r="CD201" s="778"/>
      <c r="CE201" s="778"/>
      <c r="CF201" s="778"/>
      <c r="CG201" s="778"/>
      <c r="CH201" s="778"/>
      <c r="CI201" s="778"/>
      <c r="CJ201" s="778"/>
      <c r="CK201" s="778"/>
      <c r="CL201" s="778"/>
      <c r="CM201" s="778"/>
      <c r="CN201" s="778"/>
      <c r="CO201" s="778"/>
      <c r="CP201" s="778"/>
      <c r="CQ201" s="778"/>
      <c r="CR201" s="778"/>
      <c r="CS201" s="778"/>
      <c r="CT201" s="778"/>
      <c r="CU201" s="778"/>
      <c r="CV201" s="778"/>
      <c r="CW201" s="778"/>
      <c r="CX201" s="778"/>
      <c r="CY201" s="778"/>
      <c r="CZ201" s="778"/>
      <c r="DA201" s="778"/>
      <c r="DB201" s="778"/>
      <c r="DC201" s="778"/>
      <c r="DD201" s="778"/>
      <c r="DE201" s="778"/>
      <c r="DF201" s="778"/>
      <c r="DG201" s="778"/>
      <c r="DH201" s="778"/>
      <c r="DI201" s="778"/>
      <c r="DJ201" s="778"/>
      <c r="DK201" s="778"/>
      <c r="DL201" s="778"/>
      <c r="DM201" s="778"/>
      <c r="DN201" s="778"/>
      <c r="DO201" s="778"/>
      <c r="DP201" s="778"/>
      <c r="DQ201" s="778"/>
      <c r="DR201" s="778"/>
      <c r="DS201" s="778"/>
      <c r="DT201" s="778"/>
      <c r="DU201" s="778"/>
      <c r="DV201" s="778"/>
      <c r="DW201" s="778"/>
      <c r="DX201" s="778"/>
      <c r="DY201" s="778"/>
      <c r="DZ201" s="778"/>
      <c r="EA201" s="778"/>
      <c r="EB201" s="778"/>
      <c r="EC201" s="778"/>
      <c r="ED201" s="778"/>
      <c r="EE201" s="778"/>
      <c r="EF201" s="778"/>
      <c r="EG201" s="778"/>
      <c r="EH201" s="778"/>
    </row>
    <row r="202" spans="5:138" ht="12.75" customHeight="1" x14ac:dyDescent="0.3">
      <c r="E202" s="778"/>
      <c r="F202" s="778"/>
      <c r="G202" s="778"/>
      <c r="H202" s="778"/>
      <c r="I202" s="778"/>
      <c r="J202" s="778"/>
      <c r="K202" s="778"/>
      <c r="L202" s="778"/>
      <c r="M202" s="778"/>
      <c r="N202" s="778"/>
      <c r="O202" s="778"/>
      <c r="P202" s="778"/>
      <c r="Q202" s="778"/>
      <c r="R202" s="778"/>
      <c r="S202" s="778"/>
      <c r="T202" s="778"/>
      <c r="U202" s="778"/>
      <c r="V202" s="778"/>
      <c r="W202" s="778"/>
      <c r="X202" s="778"/>
      <c r="Y202" s="778"/>
      <c r="Z202" s="778"/>
      <c r="AA202" s="778"/>
      <c r="AB202" s="778"/>
      <c r="AC202" s="778"/>
      <c r="AD202" s="778"/>
      <c r="AE202" s="778"/>
      <c r="AF202" s="778"/>
      <c r="AG202" s="778"/>
      <c r="AH202" s="778"/>
      <c r="AI202" s="778"/>
      <c r="AJ202" s="778"/>
      <c r="AK202" s="778"/>
      <c r="AL202" s="778"/>
      <c r="AM202" s="778"/>
      <c r="AN202" s="778"/>
      <c r="AO202" s="778"/>
      <c r="AP202" s="778"/>
      <c r="AQ202" s="778"/>
      <c r="AR202" s="778"/>
      <c r="AS202" s="778"/>
      <c r="AT202" s="778"/>
      <c r="AU202" s="778"/>
      <c r="AV202" s="778"/>
      <c r="AW202" s="778"/>
      <c r="AX202" s="778"/>
      <c r="AY202" s="778"/>
      <c r="AZ202" s="778"/>
      <c r="BA202" s="778"/>
      <c r="BB202" s="778"/>
      <c r="BC202" s="778"/>
      <c r="BD202" s="778"/>
      <c r="BE202" s="778"/>
      <c r="BF202" s="778"/>
      <c r="BG202" s="778"/>
      <c r="BH202" s="778"/>
      <c r="BI202" s="778"/>
      <c r="BJ202" s="778"/>
      <c r="BK202" s="778"/>
      <c r="BL202" s="778"/>
      <c r="BM202" s="778"/>
      <c r="BN202" s="778"/>
      <c r="BO202" s="778"/>
      <c r="BP202" s="778"/>
      <c r="BQ202" s="778"/>
      <c r="BR202" s="778"/>
      <c r="BS202" s="778"/>
      <c r="BT202" s="778"/>
      <c r="BU202" s="778"/>
      <c r="BV202" s="778"/>
      <c r="BW202" s="778"/>
      <c r="BX202" s="778"/>
      <c r="BY202" s="778"/>
      <c r="BZ202" s="778"/>
      <c r="CA202" s="778"/>
      <c r="CB202" s="778"/>
      <c r="CC202" s="778"/>
      <c r="CD202" s="778"/>
      <c r="CE202" s="778"/>
      <c r="CF202" s="778"/>
      <c r="CG202" s="778"/>
      <c r="CH202" s="778"/>
      <c r="CI202" s="778"/>
      <c r="CJ202" s="778"/>
      <c r="CK202" s="778"/>
      <c r="CL202" s="778"/>
      <c r="CM202" s="778"/>
      <c r="CN202" s="778"/>
      <c r="CO202" s="778"/>
      <c r="CP202" s="778"/>
      <c r="CQ202" s="778"/>
      <c r="CR202" s="778"/>
      <c r="CS202" s="778"/>
      <c r="CT202" s="778"/>
      <c r="CU202" s="778"/>
      <c r="CV202" s="778"/>
      <c r="CW202" s="778"/>
      <c r="CX202" s="778"/>
      <c r="CY202" s="778"/>
      <c r="CZ202" s="778"/>
      <c r="DA202" s="778"/>
      <c r="DB202" s="778"/>
      <c r="DC202" s="778"/>
      <c r="DD202" s="778"/>
      <c r="DE202" s="778"/>
      <c r="DF202" s="778"/>
      <c r="DG202" s="778"/>
      <c r="DH202" s="778"/>
      <c r="DI202" s="778"/>
      <c r="DJ202" s="778"/>
      <c r="DK202" s="778"/>
      <c r="DL202" s="778"/>
      <c r="DM202" s="778"/>
      <c r="DN202" s="778"/>
      <c r="DO202" s="778"/>
      <c r="DP202" s="778"/>
      <c r="DQ202" s="778"/>
      <c r="DR202" s="778"/>
      <c r="DS202" s="778"/>
      <c r="DT202" s="778"/>
      <c r="DU202" s="778"/>
      <c r="DV202" s="778"/>
      <c r="DW202" s="778"/>
      <c r="DX202" s="778"/>
      <c r="DY202" s="778"/>
      <c r="DZ202" s="778"/>
      <c r="EA202" s="778"/>
      <c r="EB202" s="778"/>
      <c r="EC202" s="778"/>
      <c r="ED202" s="778"/>
      <c r="EE202" s="778"/>
      <c r="EF202" s="778"/>
      <c r="EG202" s="778"/>
      <c r="EH202" s="778"/>
    </row>
    <row r="203" spans="5:138" ht="12.75" customHeight="1" x14ac:dyDescent="0.3">
      <c r="E203" s="778"/>
      <c r="F203" s="778"/>
      <c r="G203" s="778"/>
      <c r="H203" s="778"/>
      <c r="I203" s="778"/>
      <c r="J203" s="778"/>
      <c r="K203" s="778"/>
      <c r="L203" s="778"/>
      <c r="M203" s="778"/>
      <c r="N203" s="778"/>
      <c r="O203" s="778"/>
      <c r="P203" s="778"/>
      <c r="Q203" s="778"/>
      <c r="R203" s="778"/>
      <c r="S203" s="778"/>
      <c r="T203" s="778"/>
      <c r="U203" s="778"/>
      <c r="V203" s="778"/>
      <c r="W203" s="778"/>
      <c r="X203" s="778"/>
      <c r="Y203" s="778"/>
      <c r="Z203" s="778"/>
      <c r="AA203" s="778"/>
      <c r="AB203" s="778"/>
      <c r="AC203" s="778"/>
      <c r="AD203" s="778"/>
      <c r="AE203" s="778"/>
      <c r="AF203" s="778"/>
      <c r="AG203" s="778"/>
      <c r="AH203" s="778"/>
      <c r="AI203" s="778"/>
      <c r="AJ203" s="778"/>
      <c r="AK203" s="778"/>
      <c r="AL203" s="778"/>
      <c r="AM203" s="778"/>
      <c r="AN203" s="778"/>
      <c r="AO203" s="778"/>
      <c r="AP203" s="778"/>
      <c r="AQ203" s="778"/>
      <c r="AR203" s="778"/>
      <c r="AS203" s="778"/>
      <c r="AT203" s="778"/>
      <c r="AU203" s="778"/>
      <c r="AV203" s="778"/>
      <c r="AW203" s="778"/>
      <c r="AX203" s="778"/>
      <c r="AY203" s="778"/>
      <c r="AZ203" s="778"/>
      <c r="BA203" s="778"/>
      <c r="BB203" s="778"/>
      <c r="BC203" s="778"/>
      <c r="BD203" s="778"/>
      <c r="BE203" s="778"/>
      <c r="BF203" s="778"/>
      <c r="BG203" s="778"/>
      <c r="BH203" s="778"/>
      <c r="BI203" s="778"/>
      <c r="BJ203" s="778"/>
      <c r="BK203" s="778"/>
      <c r="BL203" s="778"/>
      <c r="BM203" s="778"/>
      <c r="BN203" s="778"/>
      <c r="BO203" s="778"/>
      <c r="BP203" s="778"/>
      <c r="BQ203" s="778"/>
      <c r="BR203" s="778"/>
      <c r="BS203" s="778"/>
      <c r="BT203" s="778"/>
      <c r="BU203" s="778"/>
      <c r="BV203" s="778"/>
      <c r="BW203" s="778"/>
      <c r="BX203" s="778"/>
      <c r="BY203" s="778"/>
      <c r="BZ203" s="778"/>
      <c r="CA203" s="778"/>
      <c r="CB203" s="778"/>
      <c r="CC203" s="778"/>
      <c r="CD203" s="778"/>
      <c r="CE203" s="778"/>
      <c r="CF203" s="778"/>
      <c r="CG203" s="778"/>
      <c r="CH203" s="778"/>
      <c r="CI203" s="778"/>
      <c r="CJ203" s="778"/>
      <c r="CK203" s="778"/>
      <c r="CL203" s="778"/>
      <c r="CM203" s="778"/>
      <c r="CN203" s="778"/>
      <c r="CO203" s="778"/>
      <c r="CP203" s="778"/>
      <c r="CQ203" s="778"/>
      <c r="CR203" s="778"/>
      <c r="CS203" s="778"/>
      <c r="CT203" s="778"/>
      <c r="CU203" s="778"/>
      <c r="CV203" s="778"/>
      <c r="CW203" s="778"/>
      <c r="CX203" s="778"/>
      <c r="CY203" s="778"/>
      <c r="CZ203" s="778"/>
      <c r="DA203" s="778"/>
      <c r="DB203" s="778"/>
      <c r="DC203" s="778"/>
      <c r="DD203" s="778"/>
      <c r="DE203" s="778"/>
      <c r="DF203" s="778"/>
      <c r="DG203" s="778"/>
      <c r="DH203" s="778"/>
      <c r="DI203" s="778"/>
      <c r="DJ203" s="778"/>
      <c r="DK203" s="778"/>
      <c r="DL203" s="778"/>
      <c r="DM203" s="778"/>
      <c r="DN203" s="778"/>
      <c r="DO203" s="778"/>
      <c r="DP203" s="778"/>
      <c r="DQ203" s="778"/>
      <c r="DR203" s="778"/>
      <c r="DS203" s="778"/>
      <c r="DT203" s="778"/>
      <c r="DU203" s="778"/>
      <c r="DV203" s="778"/>
      <c r="DW203" s="778"/>
      <c r="DX203" s="778"/>
      <c r="DY203" s="778"/>
      <c r="DZ203" s="778"/>
      <c r="EA203" s="778"/>
      <c r="EB203" s="778"/>
      <c r="EC203" s="778"/>
      <c r="ED203" s="778"/>
      <c r="EE203" s="778"/>
      <c r="EF203" s="778"/>
      <c r="EG203" s="778"/>
      <c r="EH203" s="778"/>
    </row>
    <row r="204" spans="5:138" ht="12.75" customHeight="1" x14ac:dyDescent="0.3">
      <c r="E204" s="778"/>
      <c r="F204" s="778"/>
      <c r="G204" s="778"/>
      <c r="H204" s="778"/>
      <c r="I204" s="778"/>
      <c r="J204" s="778"/>
      <c r="K204" s="778"/>
      <c r="L204" s="778"/>
      <c r="M204" s="778"/>
      <c r="N204" s="778"/>
      <c r="O204" s="778"/>
      <c r="P204" s="778"/>
      <c r="Q204" s="778"/>
      <c r="R204" s="778"/>
      <c r="S204" s="778"/>
      <c r="T204" s="778"/>
      <c r="U204" s="778"/>
      <c r="V204" s="778"/>
      <c r="W204" s="778"/>
      <c r="X204" s="778"/>
      <c r="Y204" s="778"/>
      <c r="Z204" s="778"/>
      <c r="AA204" s="778"/>
      <c r="AB204" s="778"/>
      <c r="AC204" s="778"/>
      <c r="AD204" s="778"/>
      <c r="AE204" s="778"/>
      <c r="AF204" s="778"/>
      <c r="AG204" s="778"/>
      <c r="AH204" s="778"/>
      <c r="AI204" s="778"/>
      <c r="AJ204" s="778"/>
      <c r="AK204" s="778"/>
      <c r="AL204" s="778"/>
      <c r="AM204" s="778"/>
      <c r="AN204" s="778"/>
      <c r="AO204" s="778"/>
      <c r="AP204" s="778"/>
      <c r="AQ204" s="778"/>
      <c r="AR204" s="778"/>
      <c r="AS204" s="778"/>
      <c r="AT204" s="778"/>
      <c r="AU204" s="778"/>
      <c r="AV204" s="778"/>
      <c r="AW204" s="778"/>
      <c r="AX204" s="778"/>
      <c r="AY204" s="778"/>
      <c r="AZ204" s="778"/>
      <c r="BA204" s="778"/>
      <c r="BB204" s="778"/>
      <c r="BC204" s="778"/>
      <c r="BD204" s="778"/>
      <c r="BE204" s="778"/>
      <c r="BF204" s="778"/>
      <c r="BG204" s="778"/>
      <c r="BH204" s="778"/>
      <c r="BI204" s="778"/>
      <c r="BJ204" s="778"/>
      <c r="BK204" s="778"/>
      <c r="BL204" s="778"/>
      <c r="BM204" s="778"/>
      <c r="BN204" s="778"/>
      <c r="BO204" s="778"/>
      <c r="BP204" s="778"/>
      <c r="BQ204" s="778"/>
      <c r="BR204" s="778"/>
      <c r="BS204" s="778"/>
      <c r="BT204" s="778"/>
      <c r="BU204" s="778"/>
      <c r="BV204" s="778"/>
      <c r="BW204" s="778"/>
      <c r="BX204" s="778"/>
      <c r="BY204" s="778"/>
      <c r="BZ204" s="778"/>
      <c r="CA204" s="778"/>
      <c r="CB204" s="778"/>
      <c r="CC204" s="778"/>
      <c r="CD204" s="778"/>
      <c r="CE204" s="778"/>
      <c r="CF204" s="778"/>
      <c r="CG204" s="778"/>
      <c r="CH204" s="778"/>
      <c r="CI204" s="778"/>
      <c r="CJ204" s="778"/>
      <c r="CK204" s="778"/>
      <c r="CL204" s="778"/>
      <c r="CM204" s="778"/>
      <c r="CN204" s="778"/>
      <c r="CO204" s="778"/>
      <c r="CP204" s="778"/>
      <c r="CQ204" s="778"/>
      <c r="CR204" s="778"/>
      <c r="CS204" s="778"/>
      <c r="CT204" s="778"/>
      <c r="CU204" s="778"/>
      <c r="CV204" s="778"/>
      <c r="CW204" s="778"/>
      <c r="CX204" s="778"/>
      <c r="CY204" s="778"/>
      <c r="CZ204" s="778"/>
      <c r="DA204" s="778"/>
      <c r="DB204" s="778"/>
      <c r="DC204" s="778"/>
      <c r="DD204" s="778"/>
      <c r="DE204" s="778"/>
      <c r="DF204" s="778"/>
      <c r="DG204" s="778"/>
      <c r="DH204" s="778"/>
      <c r="DI204" s="778"/>
      <c r="DJ204" s="778"/>
      <c r="DK204" s="778"/>
      <c r="DL204" s="778"/>
      <c r="DM204" s="778"/>
      <c r="DN204" s="778"/>
      <c r="DO204" s="778"/>
      <c r="DP204" s="778"/>
      <c r="DQ204" s="778"/>
      <c r="DR204" s="778"/>
      <c r="DS204" s="778"/>
      <c r="DT204" s="778"/>
      <c r="DU204" s="778"/>
      <c r="DV204" s="778"/>
      <c r="DW204" s="778"/>
      <c r="DX204" s="778"/>
      <c r="DY204" s="778"/>
      <c r="DZ204" s="778"/>
      <c r="EA204" s="778"/>
      <c r="EB204" s="778"/>
      <c r="EC204" s="778"/>
      <c r="ED204" s="778"/>
      <c r="EE204" s="778"/>
      <c r="EF204" s="778"/>
      <c r="EG204" s="778"/>
      <c r="EH204" s="778"/>
    </row>
    <row r="205" spans="5:138" ht="12.75" customHeight="1" x14ac:dyDescent="0.3">
      <c r="E205" s="778"/>
      <c r="F205" s="778"/>
      <c r="G205" s="778"/>
      <c r="H205" s="778"/>
      <c r="I205" s="778"/>
      <c r="J205" s="778"/>
      <c r="K205" s="778"/>
      <c r="L205" s="778"/>
      <c r="M205" s="778"/>
      <c r="N205" s="778"/>
      <c r="O205" s="778"/>
      <c r="P205" s="778"/>
      <c r="Q205" s="778"/>
      <c r="R205" s="778"/>
      <c r="S205" s="778"/>
      <c r="T205" s="778"/>
      <c r="U205" s="778"/>
      <c r="V205" s="778"/>
      <c r="W205" s="778"/>
      <c r="X205" s="778"/>
      <c r="Y205" s="778"/>
      <c r="Z205" s="778"/>
      <c r="AA205" s="778"/>
      <c r="AB205" s="778"/>
      <c r="AC205" s="778"/>
      <c r="AD205" s="778"/>
      <c r="AE205" s="778"/>
      <c r="AF205" s="778"/>
      <c r="AG205" s="778"/>
      <c r="AH205" s="778"/>
      <c r="AI205" s="778"/>
      <c r="AJ205" s="778"/>
      <c r="AK205" s="778"/>
      <c r="AL205" s="778"/>
      <c r="AM205" s="778"/>
      <c r="AN205" s="778"/>
      <c r="AO205" s="778"/>
      <c r="AP205" s="778"/>
      <c r="AQ205" s="778"/>
      <c r="AR205" s="778"/>
      <c r="AS205" s="778"/>
      <c r="AT205" s="778"/>
      <c r="AU205" s="778"/>
      <c r="AV205" s="778"/>
      <c r="AW205" s="778"/>
      <c r="AX205" s="778"/>
      <c r="AY205" s="778"/>
      <c r="AZ205" s="778"/>
      <c r="BA205" s="778"/>
      <c r="BB205" s="778"/>
      <c r="BC205" s="778"/>
      <c r="BD205" s="778"/>
      <c r="BE205" s="778"/>
      <c r="BF205" s="778"/>
      <c r="BG205" s="778"/>
      <c r="BH205" s="778"/>
      <c r="BI205" s="778"/>
      <c r="BJ205" s="778"/>
      <c r="BK205" s="778"/>
      <c r="BL205" s="778"/>
      <c r="BM205" s="778"/>
      <c r="BN205" s="778"/>
      <c r="BO205" s="778"/>
      <c r="BP205" s="778"/>
      <c r="BQ205" s="778"/>
      <c r="BR205" s="778"/>
      <c r="BS205" s="778"/>
      <c r="BT205" s="778"/>
      <c r="BU205" s="778"/>
      <c r="BV205" s="778"/>
      <c r="BW205" s="778"/>
      <c r="BX205" s="778"/>
      <c r="BY205" s="778"/>
      <c r="BZ205" s="778"/>
      <c r="CA205" s="778"/>
      <c r="CB205" s="778"/>
      <c r="CC205" s="778"/>
      <c r="CD205" s="778"/>
      <c r="CE205" s="778"/>
      <c r="CF205" s="778"/>
      <c r="CG205" s="778"/>
      <c r="CH205" s="778"/>
      <c r="CI205" s="778"/>
      <c r="CJ205" s="778"/>
      <c r="CK205" s="778"/>
      <c r="CL205" s="778"/>
      <c r="CM205" s="778"/>
      <c r="CN205" s="778"/>
      <c r="CO205" s="778"/>
      <c r="CP205" s="778"/>
      <c r="CQ205" s="778"/>
      <c r="CR205" s="778"/>
      <c r="CS205" s="778"/>
      <c r="CT205" s="778"/>
      <c r="CU205" s="778"/>
      <c r="CV205" s="778"/>
      <c r="CW205" s="778"/>
      <c r="CX205" s="778"/>
      <c r="CY205" s="778"/>
      <c r="CZ205" s="778"/>
      <c r="DA205" s="778"/>
      <c r="DB205" s="778"/>
      <c r="DC205" s="778"/>
      <c r="DD205" s="778"/>
      <c r="DE205" s="778"/>
      <c r="DF205" s="778"/>
      <c r="DG205" s="778"/>
      <c r="DH205" s="778"/>
      <c r="DI205" s="778"/>
      <c r="DJ205" s="778"/>
      <c r="DK205" s="778"/>
      <c r="DL205" s="778"/>
      <c r="DM205" s="778"/>
      <c r="DN205" s="778"/>
      <c r="DO205" s="778"/>
      <c r="DP205" s="778"/>
      <c r="DQ205" s="778"/>
      <c r="DR205" s="778"/>
      <c r="DS205" s="778"/>
      <c r="DT205" s="778"/>
      <c r="DU205" s="778"/>
      <c r="DV205" s="778"/>
      <c r="DW205" s="778"/>
      <c r="DX205" s="778"/>
      <c r="DY205" s="778"/>
      <c r="DZ205" s="778"/>
      <c r="EA205" s="778"/>
      <c r="EB205" s="778"/>
      <c r="EC205" s="778"/>
      <c r="ED205" s="778"/>
      <c r="EE205" s="778"/>
      <c r="EF205" s="778"/>
      <c r="EG205" s="778"/>
      <c r="EH205" s="778"/>
    </row>
    <row r="206" spans="5:138" ht="12.75" customHeight="1" x14ac:dyDescent="0.3">
      <c r="E206" s="778"/>
      <c r="F206" s="778"/>
      <c r="G206" s="778"/>
      <c r="H206" s="778"/>
      <c r="I206" s="778"/>
      <c r="J206" s="778"/>
      <c r="K206" s="778"/>
      <c r="L206" s="778"/>
      <c r="M206" s="778"/>
      <c r="N206" s="778"/>
      <c r="O206" s="778"/>
      <c r="P206" s="778"/>
      <c r="Q206" s="778"/>
      <c r="R206" s="778"/>
      <c r="S206" s="778"/>
      <c r="T206" s="778"/>
      <c r="U206" s="778"/>
      <c r="V206" s="778"/>
      <c r="W206" s="778"/>
      <c r="X206" s="778"/>
      <c r="Y206" s="778"/>
      <c r="Z206" s="778"/>
      <c r="AA206" s="778"/>
      <c r="AB206" s="778"/>
      <c r="AC206" s="778"/>
      <c r="AD206" s="778"/>
      <c r="AE206" s="778"/>
      <c r="AF206" s="778"/>
      <c r="AG206" s="778"/>
      <c r="AH206" s="778"/>
      <c r="AI206" s="778"/>
      <c r="AJ206" s="778"/>
      <c r="AK206" s="778"/>
      <c r="AL206" s="778"/>
      <c r="AM206" s="778"/>
      <c r="AN206" s="778"/>
      <c r="AO206" s="778"/>
      <c r="AP206" s="778"/>
      <c r="AQ206" s="778"/>
      <c r="AR206" s="778"/>
      <c r="AS206" s="778"/>
      <c r="AT206" s="778"/>
      <c r="AU206" s="778"/>
      <c r="AV206" s="778"/>
      <c r="AW206" s="778"/>
      <c r="AX206" s="778"/>
      <c r="AY206" s="778"/>
      <c r="AZ206" s="778"/>
      <c r="BA206" s="778"/>
      <c r="BB206" s="778"/>
      <c r="BC206" s="778"/>
      <c r="BD206" s="778"/>
      <c r="BE206" s="778"/>
      <c r="BF206" s="778"/>
      <c r="BG206" s="778"/>
      <c r="BH206" s="778"/>
      <c r="BI206" s="778"/>
      <c r="BJ206" s="778"/>
      <c r="BK206" s="778"/>
      <c r="BL206" s="778"/>
      <c r="BM206" s="778"/>
      <c r="BN206" s="778"/>
      <c r="BO206" s="778"/>
      <c r="BP206" s="778"/>
      <c r="BQ206" s="778"/>
      <c r="BR206" s="778"/>
      <c r="BS206" s="778"/>
      <c r="BT206" s="778"/>
      <c r="BU206" s="778"/>
      <c r="BV206" s="778"/>
      <c r="BW206" s="778"/>
      <c r="BX206" s="778"/>
      <c r="BY206" s="778"/>
      <c r="BZ206" s="778"/>
      <c r="CA206" s="778"/>
      <c r="CB206" s="778"/>
      <c r="CC206" s="778"/>
      <c r="CD206" s="778"/>
      <c r="CE206" s="778"/>
      <c r="CF206" s="778"/>
      <c r="CG206" s="778"/>
      <c r="CH206" s="778"/>
      <c r="CI206" s="778"/>
      <c r="CJ206" s="778"/>
      <c r="CK206" s="778"/>
      <c r="CL206" s="778"/>
      <c r="CM206" s="778"/>
      <c r="CN206" s="778"/>
      <c r="CO206" s="778"/>
      <c r="CP206" s="778"/>
      <c r="CQ206" s="778"/>
      <c r="CR206" s="778"/>
      <c r="CS206" s="778"/>
      <c r="CT206" s="778"/>
      <c r="CU206" s="778"/>
      <c r="CV206" s="778"/>
      <c r="CW206" s="778"/>
      <c r="CX206" s="778"/>
      <c r="CY206" s="778"/>
      <c r="CZ206" s="778"/>
      <c r="DA206" s="778"/>
      <c r="DB206" s="778"/>
      <c r="DC206" s="778"/>
      <c r="DD206" s="778"/>
      <c r="DE206" s="778"/>
      <c r="DF206" s="778"/>
      <c r="DG206" s="778"/>
      <c r="DH206" s="778"/>
      <c r="DI206" s="778"/>
      <c r="DJ206" s="778"/>
      <c r="DK206" s="778"/>
      <c r="DL206" s="778"/>
      <c r="DM206" s="778"/>
      <c r="DN206" s="778"/>
      <c r="DO206" s="778"/>
      <c r="DP206" s="778"/>
      <c r="DQ206" s="778"/>
      <c r="DR206" s="778"/>
      <c r="DS206" s="778"/>
      <c r="DT206" s="778"/>
      <c r="DU206" s="778"/>
      <c r="DV206" s="778"/>
      <c r="DW206" s="778"/>
      <c r="DX206" s="778"/>
      <c r="DY206" s="778"/>
      <c r="DZ206" s="778"/>
      <c r="EA206" s="778"/>
      <c r="EB206" s="778"/>
      <c r="EC206" s="778"/>
      <c r="ED206" s="778"/>
      <c r="EE206" s="778"/>
      <c r="EF206" s="778"/>
      <c r="EG206" s="778"/>
      <c r="EH206" s="778"/>
    </row>
    <row r="207" spans="5:138" ht="12.75" customHeight="1" x14ac:dyDescent="0.3">
      <c r="E207" s="778"/>
      <c r="F207" s="778"/>
      <c r="G207" s="778"/>
      <c r="H207" s="778"/>
      <c r="I207" s="778"/>
      <c r="J207" s="778"/>
      <c r="K207" s="778"/>
      <c r="L207" s="778"/>
      <c r="M207" s="778"/>
      <c r="N207" s="778"/>
      <c r="O207" s="778"/>
      <c r="P207" s="778"/>
      <c r="Q207" s="778"/>
      <c r="R207" s="778"/>
      <c r="S207" s="778"/>
      <c r="T207" s="778"/>
      <c r="U207" s="778"/>
      <c r="V207" s="778"/>
      <c r="W207" s="778"/>
      <c r="X207" s="778"/>
      <c r="Y207" s="778"/>
      <c r="Z207" s="778"/>
      <c r="AA207" s="778"/>
      <c r="AB207" s="778"/>
      <c r="AC207" s="778"/>
      <c r="AD207" s="778"/>
      <c r="AE207" s="778"/>
      <c r="AF207" s="778"/>
      <c r="AG207" s="778"/>
      <c r="AH207" s="778"/>
      <c r="AI207" s="778"/>
      <c r="AJ207" s="778"/>
      <c r="AK207" s="778"/>
      <c r="AL207" s="778"/>
      <c r="AM207" s="778"/>
      <c r="AN207" s="778"/>
      <c r="AO207" s="778"/>
      <c r="AP207" s="778"/>
      <c r="AQ207" s="778"/>
      <c r="AR207" s="778"/>
      <c r="AS207" s="778"/>
      <c r="AT207" s="778"/>
      <c r="AU207" s="778"/>
      <c r="AV207" s="778"/>
      <c r="AW207" s="778"/>
      <c r="AX207" s="778"/>
      <c r="AY207" s="778"/>
      <c r="AZ207" s="778"/>
      <c r="BA207" s="778"/>
      <c r="BB207" s="778"/>
      <c r="BC207" s="778"/>
      <c r="BD207" s="778"/>
      <c r="BE207" s="778"/>
      <c r="BF207" s="778"/>
      <c r="BG207" s="778"/>
      <c r="BH207" s="778"/>
      <c r="BI207" s="778"/>
      <c r="BJ207" s="778"/>
      <c r="BK207" s="778"/>
      <c r="BL207" s="778"/>
      <c r="BM207" s="778"/>
      <c r="BN207" s="778"/>
      <c r="BO207" s="778"/>
      <c r="BP207" s="778"/>
      <c r="BQ207" s="778"/>
      <c r="BR207" s="778"/>
      <c r="BS207" s="778"/>
      <c r="BT207" s="778"/>
      <c r="BU207" s="778"/>
      <c r="BV207" s="778"/>
      <c r="BW207" s="778"/>
      <c r="BX207" s="778"/>
      <c r="BY207" s="778"/>
      <c r="BZ207" s="778"/>
      <c r="CA207" s="778"/>
      <c r="CB207" s="778"/>
      <c r="CC207" s="778"/>
      <c r="CD207" s="778"/>
      <c r="CE207" s="778"/>
      <c r="CF207" s="778"/>
      <c r="CG207" s="778"/>
      <c r="CH207" s="778"/>
      <c r="CI207" s="778"/>
      <c r="CJ207" s="778"/>
      <c r="CK207" s="778"/>
      <c r="CL207" s="778"/>
      <c r="CM207" s="778"/>
      <c r="CN207" s="778"/>
      <c r="CO207" s="778"/>
      <c r="CP207" s="778"/>
      <c r="CQ207" s="778"/>
      <c r="CR207" s="778"/>
      <c r="CS207" s="778"/>
      <c r="CT207" s="778"/>
      <c r="CU207" s="778"/>
      <c r="CV207" s="778"/>
      <c r="CW207" s="778"/>
      <c r="CX207" s="778"/>
      <c r="CY207" s="778"/>
      <c r="CZ207" s="778"/>
      <c r="DA207" s="778"/>
      <c r="DB207" s="778"/>
      <c r="DC207" s="778"/>
      <c r="DD207" s="778"/>
      <c r="DE207" s="778"/>
      <c r="DF207" s="778"/>
      <c r="DG207" s="778"/>
      <c r="DH207" s="778"/>
      <c r="DI207" s="778"/>
      <c r="DJ207" s="778"/>
      <c r="DK207" s="778"/>
      <c r="DL207" s="778"/>
      <c r="DM207" s="778"/>
      <c r="DN207" s="778"/>
      <c r="DO207" s="778"/>
      <c r="DP207" s="778"/>
      <c r="DQ207" s="778"/>
      <c r="DR207" s="778"/>
      <c r="DS207" s="778"/>
      <c r="DT207" s="778"/>
      <c r="DU207" s="778"/>
      <c r="DV207" s="778"/>
      <c r="DW207" s="778"/>
      <c r="DX207" s="778"/>
      <c r="DY207" s="778"/>
      <c r="DZ207" s="778"/>
      <c r="EA207" s="778"/>
      <c r="EB207" s="778"/>
      <c r="EC207" s="778"/>
      <c r="ED207" s="778"/>
      <c r="EE207" s="778"/>
      <c r="EF207" s="778"/>
      <c r="EG207" s="778"/>
      <c r="EH207" s="778"/>
    </row>
    <row r="208" spans="5:138" ht="12.75" customHeight="1" x14ac:dyDescent="0.3">
      <c r="E208" s="778"/>
      <c r="F208" s="778"/>
      <c r="G208" s="778"/>
      <c r="H208" s="778"/>
      <c r="I208" s="778"/>
      <c r="J208" s="778"/>
      <c r="K208" s="778"/>
      <c r="L208" s="778"/>
      <c r="M208" s="778"/>
      <c r="N208" s="778"/>
      <c r="O208" s="778"/>
      <c r="P208" s="778"/>
      <c r="Q208" s="778"/>
      <c r="R208" s="778"/>
      <c r="S208" s="778"/>
      <c r="T208" s="778"/>
      <c r="U208" s="778"/>
      <c r="V208" s="778"/>
      <c r="W208" s="778"/>
      <c r="X208" s="778"/>
      <c r="Y208" s="778"/>
      <c r="Z208" s="778"/>
      <c r="AA208" s="778"/>
      <c r="AB208" s="778"/>
      <c r="AC208" s="778"/>
      <c r="AD208" s="778"/>
      <c r="AE208" s="778"/>
      <c r="AF208" s="778"/>
      <c r="AG208" s="778"/>
      <c r="AH208" s="778"/>
      <c r="AI208" s="778"/>
      <c r="AJ208" s="778"/>
      <c r="AK208" s="778"/>
      <c r="AL208" s="778"/>
      <c r="AM208" s="778"/>
      <c r="AN208" s="778"/>
      <c r="AO208" s="778"/>
      <c r="AP208" s="778"/>
      <c r="AQ208" s="778"/>
      <c r="AR208" s="778"/>
      <c r="AS208" s="778"/>
      <c r="AT208" s="778"/>
      <c r="AU208" s="778"/>
      <c r="AV208" s="778"/>
      <c r="AW208" s="778"/>
      <c r="AX208" s="778"/>
      <c r="AY208" s="778"/>
      <c r="AZ208" s="778"/>
      <c r="BA208" s="778"/>
      <c r="BB208" s="778"/>
      <c r="BC208" s="778"/>
      <c r="BD208" s="778"/>
      <c r="BE208" s="778"/>
      <c r="BF208" s="778"/>
      <c r="BG208" s="778"/>
      <c r="BH208" s="778"/>
      <c r="BI208" s="778"/>
      <c r="BJ208" s="778"/>
      <c r="BK208" s="778"/>
      <c r="BL208" s="778"/>
      <c r="BM208" s="778"/>
      <c r="BN208" s="778"/>
      <c r="BO208" s="778"/>
      <c r="BP208" s="778"/>
      <c r="BQ208" s="778"/>
      <c r="BR208" s="778"/>
      <c r="BS208" s="778"/>
      <c r="BT208" s="778"/>
      <c r="BU208" s="778"/>
      <c r="BV208" s="778"/>
      <c r="BW208" s="778"/>
      <c r="BX208" s="778"/>
      <c r="BY208" s="778"/>
      <c r="BZ208" s="778"/>
      <c r="CA208" s="778"/>
      <c r="CB208" s="778"/>
      <c r="CC208" s="778"/>
      <c r="CD208" s="778"/>
      <c r="CE208" s="778"/>
      <c r="CF208" s="778"/>
      <c r="CG208" s="778"/>
      <c r="CH208" s="778"/>
      <c r="CI208" s="778"/>
      <c r="CJ208" s="778"/>
      <c r="CK208" s="778"/>
      <c r="CL208" s="778"/>
      <c r="CM208" s="778"/>
      <c r="CN208" s="778"/>
      <c r="CO208" s="778"/>
      <c r="CP208" s="778"/>
      <c r="CQ208" s="778"/>
      <c r="CR208" s="778"/>
      <c r="CS208" s="778"/>
      <c r="CT208" s="778"/>
      <c r="CU208" s="778"/>
      <c r="CV208" s="778"/>
      <c r="CW208" s="778"/>
      <c r="CX208" s="778"/>
      <c r="CY208" s="778"/>
      <c r="CZ208" s="778"/>
      <c r="DA208" s="778"/>
      <c r="DB208" s="778"/>
      <c r="DC208" s="778"/>
      <c r="DD208" s="778"/>
      <c r="DE208" s="778"/>
      <c r="DF208" s="778"/>
      <c r="DG208" s="778"/>
      <c r="DH208" s="778"/>
      <c r="DI208" s="778"/>
      <c r="DJ208" s="778"/>
      <c r="DK208" s="778"/>
      <c r="DL208" s="778"/>
      <c r="DM208" s="778"/>
      <c r="DN208" s="778"/>
      <c r="DO208" s="778"/>
      <c r="DP208" s="778"/>
      <c r="DQ208" s="778"/>
      <c r="DR208" s="778"/>
      <c r="DS208" s="778"/>
      <c r="DT208" s="778"/>
      <c r="DU208" s="778"/>
      <c r="DV208" s="778"/>
      <c r="DW208" s="778"/>
      <c r="DX208" s="778"/>
      <c r="DY208" s="778"/>
      <c r="DZ208" s="778"/>
      <c r="EA208" s="778"/>
      <c r="EB208" s="778"/>
      <c r="EC208" s="778"/>
      <c r="ED208" s="778"/>
      <c r="EE208" s="778"/>
      <c r="EF208" s="778"/>
      <c r="EG208" s="778"/>
      <c r="EH208" s="778"/>
    </row>
    <row r="209" spans="5:138" ht="12.75" customHeight="1" x14ac:dyDescent="0.3">
      <c r="E209" s="778"/>
      <c r="F209" s="778"/>
      <c r="G209" s="778"/>
      <c r="H209" s="778"/>
      <c r="I209" s="778"/>
      <c r="J209" s="778"/>
      <c r="K209" s="778"/>
      <c r="L209" s="778"/>
      <c r="M209" s="778"/>
      <c r="N209" s="778"/>
      <c r="O209" s="778"/>
      <c r="P209" s="778"/>
      <c r="Q209" s="778"/>
      <c r="R209" s="778"/>
      <c r="S209" s="778"/>
      <c r="T209" s="778"/>
      <c r="U209" s="778"/>
      <c r="V209" s="778"/>
      <c r="W209" s="778"/>
      <c r="X209" s="778"/>
      <c r="Y209" s="778"/>
      <c r="Z209" s="778"/>
      <c r="AA209" s="778"/>
      <c r="AB209" s="778"/>
      <c r="AC209" s="778"/>
      <c r="AD209" s="778"/>
      <c r="AE209" s="778"/>
      <c r="AF209" s="778"/>
      <c r="AG209" s="778"/>
      <c r="AH209" s="778"/>
      <c r="AI209" s="778"/>
      <c r="AJ209" s="778"/>
      <c r="AK209" s="778"/>
      <c r="AL209" s="778"/>
      <c r="AM209" s="778"/>
      <c r="AN209" s="778"/>
      <c r="AO209" s="778"/>
      <c r="AP209" s="778"/>
      <c r="AQ209" s="778"/>
      <c r="AR209" s="778"/>
      <c r="AS209" s="778"/>
      <c r="AT209" s="778"/>
      <c r="AU209" s="778"/>
      <c r="AV209" s="778"/>
      <c r="AW209" s="778"/>
      <c r="AX209" s="778"/>
      <c r="AY209" s="778"/>
      <c r="AZ209" s="778"/>
      <c r="BA209" s="778"/>
      <c r="BB209" s="778"/>
      <c r="BC209" s="778"/>
      <c r="BD209" s="778"/>
      <c r="BE209" s="778"/>
      <c r="BF209" s="778"/>
      <c r="BG209" s="778"/>
      <c r="BH209" s="778"/>
      <c r="BI209" s="778"/>
      <c r="BJ209" s="778"/>
      <c r="BK209" s="778"/>
      <c r="BL209" s="778"/>
      <c r="BM209" s="778"/>
      <c r="BN209" s="778"/>
      <c r="BO209" s="778"/>
      <c r="BP209" s="778"/>
      <c r="BQ209" s="778"/>
      <c r="BR209" s="778"/>
      <c r="BS209" s="778"/>
      <c r="BT209" s="778"/>
      <c r="BU209" s="778"/>
      <c r="BV209" s="778"/>
      <c r="BW209" s="778"/>
      <c r="BX209" s="778"/>
      <c r="BY209" s="778"/>
      <c r="BZ209" s="778"/>
      <c r="CA209" s="778"/>
      <c r="CB209" s="778"/>
      <c r="CC209" s="778"/>
      <c r="CD209" s="778"/>
      <c r="CE209" s="778"/>
      <c r="CF209" s="778"/>
      <c r="CG209" s="778"/>
      <c r="CH209" s="778"/>
      <c r="CI209" s="778"/>
      <c r="CJ209" s="778"/>
      <c r="CK209" s="778"/>
      <c r="CL209" s="778"/>
      <c r="CM209" s="778"/>
      <c r="CN209" s="778"/>
      <c r="CO209" s="778"/>
      <c r="CP209" s="778"/>
      <c r="CQ209" s="778"/>
      <c r="CR209" s="778"/>
      <c r="CS209" s="778"/>
      <c r="CT209" s="778"/>
      <c r="CU209" s="778"/>
      <c r="CV209" s="778"/>
      <c r="CW209" s="778"/>
      <c r="CX209" s="778"/>
      <c r="CY209" s="778"/>
      <c r="CZ209" s="778"/>
      <c r="DA209" s="778"/>
      <c r="DB209" s="778"/>
      <c r="DC209" s="778"/>
      <c r="DD209" s="778"/>
      <c r="DE209" s="778"/>
      <c r="DF209" s="778"/>
      <c r="DG209" s="778"/>
      <c r="DH209" s="778"/>
      <c r="DI209" s="778"/>
      <c r="DJ209" s="778"/>
      <c r="DK209" s="778"/>
      <c r="DL209" s="778"/>
      <c r="DM209" s="778"/>
      <c r="DN209" s="778"/>
      <c r="DO209" s="778"/>
      <c r="DP209" s="778"/>
      <c r="DQ209" s="778"/>
      <c r="DR209" s="778"/>
      <c r="DS209" s="778"/>
      <c r="DT209" s="778"/>
      <c r="DU209" s="778"/>
      <c r="DV209" s="778"/>
      <c r="DW209" s="778"/>
      <c r="DX209" s="778"/>
      <c r="DY209" s="778"/>
      <c r="DZ209" s="778"/>
      <c r="EA209" s="778"/>
      <c r="EB209" s="778"/>
      <c r="EC209" s="778"/>
      <c r="ED209" s="778"/>
      <c r="EE209" s="778"/>
      <c r="EF209" s="778"/>
      <c r="EG209" s="778"/>
      <c r="EH209" s="778"/>
    </row>
    <row r="210" spans="5:138" ht="12.75" customHeight="1" x14ac:dyDescent="0.3">
      <c r="E210" s="778"/>
      <c r="F210" s="778"/>
      <c r="G210" s="778"/>
      <c r="H210" s="778"/>
      <c r="I210" s="778"/>
      <c r="J210" s="778"/>
      <c r="K210" s="778"/>
      <c r="L210" s="778"/>
      <c r="M210" s="778"/>
      <c r="N210" s="778"/>
      <c r="O210" s="778"/>
      <c r="P210" s="778"/>
      <c r="Q210" s="778"/>
      <c r="R210" s="778"/>
      <c r="S210" s="778"/>
      <c r="T210" s="778"/>
      <c r="U210" s="778"/>
      <c r="V210" s="778"/>
      <c r="W210" s="778"/>
      <c r="X210" s="778"/>
      <c r="Y210" s="778"/>
      <c r="Z210" s="778"/>
      <c r="AA210" s="778"/>
      <c r="AB210" s="778"/>
      <c r="AC210" s="778"/>
      <c r="AD210" s="778"/>
      <c r="AE210" s="778"/>
      <c r="AF210" s="778"/>
      <c r="AG210" s="778"/>
      <c r="AH210" s="778"/>
      <c r="AI210" s="778"/>
      <c r="AJ210" s="778"/>
      <c r="AK210" s="778"/>
      <c r="AL210" s="778"/>
      <c r="AM210" s="778"/>
      <c r="AN210" s="778"/>
      <c r="AO210" s="778"/>
      <c r="AP210" s="778"/>
      <c r="AQ210" s="778"/>
      <c r="AR210" s="778"/>
      <c r="AS210" s="778"/>
      <c r="AT210" s="778"/>
      <c r="AU210" s="778"/>
      <c r="AV210" s="778"/>
      <c r="AW210" s="778"/>
      <c r="AX210" s="778"/>
      <c r="AY210" s="778"/>
      <c r="AZ210" s="778"/>
      <c r="BA210" s="778"/>
      <c r="BB210" s="778"/>
      <c r="BC210" s="778"/>
      <c r="BD210" s="778"/>
      <c r="BE210" s="778"/>
      <c r="BF210" s="778"/>
      <c r="BG210" s="778"/>
      <c r="BH210" s="778"/>
      <c r="BI210" s="778"/>
      <c r="BJ210" s="778"/>
      <c r="BK210" s="778"/>
      <c r="BL210" s="778"/>
      <c r="BM210" s="778"/>
      <c r="BN210" s="778"/>
      <c r="BO210" s="778"/>
      <c r="BP210" s="778"/>
      <c r="BQ210" s="778"/>
      <c r="BR210" s="778"/>
      <c r="BS210" s="778"/>
      <c r="BT210" s="778"/>
      <c r="BU210" s="778"/>
      <c r="BV210" s="778"/>
      <c r="BW210" s="778"/>
      <c r="BX210" s="778"/>
      <c r="BY210" s="778"/>
      <c r="BZ210" s="778"/>
      <c r="CA210" s="778"/>
      <c r="CB210" s="778"/>
      <c r="CC210" s="778"/>
      <c r="CD210" s="778"/>
      <c r="CE210" s="778"/>
      <c r="CF210" s="778"/>
      <c r="CG210" s="778"/>
      <c r="CH210" s="778"/>
      <c r="CI210" s="778"/>
      <c r="CJ210" s="778"/>
      <c r="CK210" s="778"/>
      <c r="CL210" s="778"/>
      <c r="CM210" s="778"/>
      <c r="CN210" s="778"/>
      <c r="CO210" s="778"/>
      <c r="CP210" s="778"/>
      <c r="CQ210" s="778"/>
      <c r="CR210" s="778"/>
      <c r="CS210" s="778"/>
      <c r="CT210" s="778"/>
      <c r="CU210" s="778"/>
      <c r="CV210" s="778"/>
      <c r="CW210" s="778"/>
      <c r="CX210" s="778"/>
      <c r="CY210" s="778"/>
      <c r="CZ210" s="778"/>
      <c r="DA210" s="778"/>
      <c r="DB210" s="778"/>
      <c r="DC210" s="778"/>
      <c r="DD210" s="778"/>
      <c r="DE210" s="778"/>
      <c r="DF210" s="778"/>
      <c r="DG210" s="778"/>
      <c r="DH210" s="778"/>
      <c r="DI210" s="778"/>
      <c r="DJ210" s="778"/>
      <c r="DK210" s="778"/>
      <c r="DL210" s="778"/>
      <c r="DM210" s="778"/>
      <c r="DN210" s="778"/>
      <c r="DO210" s="778"/>
      <c r="DP210" s="778"/>
      <c r="DQ210" s="778"/>
      <c r="DR210" s="778"/>
      <c r="DS210" s="778"/>
      <c r="DT210" s="778"/>
      <c r="DU210" s="778"/>
      <c r="DV210" s="778"/>
      <c r="DW210" s="778"/>
      <c r="DX210" s="778"/>
      <c r="DY210" s="778"/>
      <c r="DZ210" s="778"/>
      <c r="EA210" s="778"/>
      <c r="EB210" s="778"/>
      <c r="EC210" s="778"/>
      <c r="ED210" s="778"/>
      <c r="EE210" s="778"/>
      <c r="EF210" s="778"/>
      <c r="EG210" s="778"/>
      <c r="EH210" s="778"/>
    </row>
    <row r="211" spans="5:138" ht="12.75" customHeight="1" x14ac:dyDescent="0.3">
      <c r="E211" s="778"/>
      <c r="F211" s="778"/>
      <c r="G211" s="778"/>
      <c r="H211" s="778"/>
      <c r="I211" s="778"/>
      <c r="J211" s="778"/>
      <c r="K211" s="778"/>
      <c r="L211" s="778"/>
      <c r="M211" s="778"/>
      <c r="N211" s="778"/>
      <c r="O211" s="778"/>
      <c r="P211" s="778"/>
      <c r="Q211" s="778"/>
      <c r="R211" s="778"/>
      <c r="S211" s="778"/>
      <c r="T211" s="778"/>
      <c r="U211" s="778"/>
      <c r="V211" s="778"/>
      <c r="W211" s="778"/>
      <c r="X211" s="778"/>
      <c r="Y211" s="778"/>
      <c r="Z211" s="778"/>
      <c r="AA211" s="778"/>
      <c r="AB211" s="778"/>
      <c r="AC211" s="778"/>
      <c r="AD211" s="778"/>
      <c r="AE211" s="778"/>
      <c r="AF211" s="778"/>
      <c r="AG211" s="778"/>
      <c r="AH211" s="778"/>
      <c r="AI211" s="778"/>
      <c r="AJ211" s="778"/>
      <c r="AK211" s="778"/>
      <c r="AL211" s="778"/>
      <c r="AM211" s="778"/>
      <c r="AN211" s="778"/>
      <c r="AO211" s="778"/>
      <c r="AP211" s="778"/>
      <c r="AQ211" s="778"/>
      <c r="AR211" s="778"/>
      <c r="AS211" s="778"/>
      <c r="AT211" s="778"/>
      <c r="AU211" s="778"/>
      <c r="AV211" s="778"/>
      <c r="AW211" s="778"/>
      <c r="AX211" s="778"/>
      <c r="AY211" s="778"/>
      <c r="AZ211" s="778"/>
      <c r="BA211" s="778"/>
      <c r="BB211" s="778"/>
      <c r="BC211" s="778"/>
      <c r="BD211" s="778"/>
      <c r="BE211" s="778"/>
      <c r="BF211" s="778"/>
      <c r="BG211" s="778"/>
      <c r="BH211" s="778"/>
      <c r="BI211" s="778"/>
      <c r="BJ211" s="778"/>
      <c r="BK211" s="778"/>
      <c r="BL211" s="778"/>
      <c r="BM211" s="778"/>
      <c r="BN211" s="778"/>
      <c r="BO211" s="778"/>
      <c r="BP211" s="778"/>
      <c r="BQ211" s="778"/>
      <c r="BR211" s="778"/>
      <c r="BS211" s="778"/>
      <c r="BT211" s="778"/>
      <c r="BU211" s="778"/>
      <c r="BV211" s="778"/>
      <c r="BW211" s="778"/>
      <c r="BX211" s="778"/>
      <c r="BY211" s="778"/>
      <c r="BZ211" s="778"/>
      <c r="CA211" s="778"/>
      <c r="CB211" s="778"/>
      <c r="CC211" s="778"/>
      <c r="CD211" s="778"/>
      <c r="CE211" s="778"/>
      <c r="CF211" s="778"/>
      <c r="CG211" s="778"/>
      <c r="CH211" s="778"/>
      <c r="CI211" s="778"/>
      <c r="CJ211" s="778"/>
      <c r="CK211" s="778"/>
      <c r="CL211" s="778"/>
      <c r="CM211" s="778"/>
      <c r="CN211" s="778"/>
      <c r="CO211" s="778"/>
      <c r="CP211" s="778"/>
      <c r="CQ211" s="778"/>
      <c r="CR211" s="778"/>
      <c r="CS211" s="778"/>
      <c r="CT211" s="778"/>
      <c r="CU211" s="778"/>
      <c r="CV211" s="778"/>
      <c r="CW211" s="778"/>
      <c r="CX211" s="778"/>
      <c r="CY211" s="778"/>
      <c r="CZ211" s="778"/>
      <c r="DA211" s="778"/>
      <c r="DB211" s="778"/>
      <c r="DC211" s="778"/>
      <c r="DD211" s="778"/>
      <c r="DE211" s="778"/>
      <c r="DF211" s="778"/>
      <c r="DG211" s="778"/>
      <c r="DH211" s="778"/>
      <c r="DI211" s="778"/>
      <c r="DJ211" s="778"/>
      <c r="DK211" s="778"/>
      <c r="DL211" s="778"/>
      <c r="DM211" s="778"/>
      <c r="DN211" s="778"/>
      <c r="DO211" s="778"/>
      <c r="DP211" s="778"/>
      <c r="DQ211" s="778"/>
      <c r="DR211" s="778"/>
      <c r="DS211" s="778"/>
      <c r="DT211" s="778"/>
      <c r="DU211" s="778"/>
      <c r="DV211" s="778"/>
      <c r="DW211" s="778"/>
      <c r="DX211" s="778"/>
      <c r="DY211" s="778"/>
      <c r="DZ211" s="778"/>
      <c r="EA211" s="778"/>
      <c r="EB211" s="778"/>
      <c r="EC211" s="778"/>
      <c r="ED211" s="778"/>
      <c r="EE211" s="778"/>
      <c r="EF211" s="778"/>
      <c r="EG211" s="778"/>
      <c r="EH211" s="778"/>
    </row>
    <row r="212" spans="5:138" ht="12.75" customHeight="1" x14ac:dyDescent="0.3">
      <c r="E212" s="778"/>
      <c r="F212" s="778"/>
      <c r="G212" s="778"/>
      <c r="H212" s="778"/>
      <c r="I212" s="778"/>
      <c r="J212" s="778"/>
      <c r="K212" s="778"/>
      <c r="L212" s="778"/>
      <c r="M212" s="778"/>
      <c r="N212" s="778"/>
      <c r="O212" s="778"/>
      <c r="P212" s="778"/>
      <c r="Q212" s="778"/>
      <c r="R212" s="778"/>
      <c r="S212" s="778"/>
      <c r="T212" s="778"/>
      <c r="U212" s="778"/>
      <c r="V212" s="778"/>
      <c r="W212" s="778"/>
      <c r="X212" s="778"/>
      <c r="Y212" s="778"/>
      <c r="Z212" s="778"/>
      <c r="AA212" s="778"/>
      <c r="AB212" s="778"/>
      <c r="AC212" s="778"/>
      <c r="AD212" s="778"/>
      <c r="AE212" s="778"/>
      <c r="AF212" s="778"/>
      <c r="AG212" s="778"/>
      <c r="AH212" s="778"/>
      <c r="AI212" s="778"/>
      <c r="AJ212" s="778"/>
      <c r="AK212" s="778"/>
      <c r="AL212" s="778"/>
      <c r="AM212" s="778"/>
      <c r="AN212" s="778"/>
      <c r="AO212" s="778"/>
      <c r="AP212" s="778"/>
      <c r="AQ212" s="778"/>
      <c r="AR212" s="778"/>
      <c r="AS212" s="778"/>
      <c r="AT212" s="778"/>
      <c r="AU212" s="778"/>
      <c r="AV212" s="778"/>
      <c r="AW212" s="778"/>
      <c r="AX212" s="778"/>
      <c r="AY212" s="778"/>
      <c r="AZ212" s="778"/>
      <c r="BA212" s="778"/>
      <c r="BB212" s="778"/>
      <c r="BC212" s="778"/>
      <c r="BD212" s="778"/>
      <c r="BE212" s="778"/>
      <c r="BF212" s="778"/>
      <c r="BG212" s="778"/>
      <c r="BH212" s="778"/>
      <c r="BI212" s="778"/>
      <c r="BJ212" s="778"/>
      <c r="BK212" s="778"/>
      <c r="BL212" s="778"/>
      <c r="BM212" s="778"/>
      <c r="BN212" s="778"/>
      <c r="BO212" s="778"/>
      <c r="BP212" s="778"/>
      <c r="BQ212" s="778"/>
      <c r="BR212" s="778"/>
      <c r="BS212" s="778"/>
      <c r="BT212" s="778"/>
      <c r="BU212" s="778"/>
      <c r="BV212" s="778"/>
      <c r="BW212" s="778"/>
      <c r="BX212" s="778"/>
      <c r="BY212" s="778"/>
      <c r="BZ212" s="778"/>
      <c r="CA212" s="778"/>
      <c r="CB212" s="778"/>
      <c r="CC212" s="778"/>
      <c r="CD212" s="778"/>
      <c r="CE212" s="778"/>
      <c r="CF212" s="778"/>
      <c r="CG212" s="778"/>
      <c r="CH212" s="778"/>
      <c r="CI212" s="778"/>
      <c r="CJ212" s="778"/>
      <c r="CK212" s="778"/>
      <c r="CL212" s="778"/>
      <c r="CM212" s="778"/>
      <c r="CN212" s="778"/>
      <c r="CO212" s="778"/>
      <c r="CP212" s="778"/>
      <c r="CQ212" s="778"/>
      <c r="CR212" s="778"/>
      <c r="CS212" s="778"/>
      <c r="CT212" s="778"/>
      <c r="CU212" s="778"/>
      <c r="CV212" s="778"/>
      <c r="CW212" s="778"/>
      <c r="CX212" s="778"/>
      <c r="CY212" s="778"/>
      <c r="CZ212" s="778"/>
      <c r="DA212" s="778"/>
      <c r="DB212" s="778"/>
      <c r="DC212" s="778"/>
      <c r="DD212" s="778"/>
      <c r="DE212" s="778"/>
      <c r="DF212" s="778"/>
      <c r="DG212" s="778"/>
      <c r="DH212" s="778"/>
      <c r="DI212" s="778"/>
      <c r="DJ212" s="778"/>
      <c r="DK212" s="778"/>
      <c r="DL212" s="778"/>
      <c r="DM212" s="778"/>
      <c r="DN212" s="778"/>
      <c r="DO212" s="778"/>
      <c r="DP212" s="778"/>
      <c r="DQ212" s="778"/>
      <c r="DR212" s="778"/>
      <c r="DS212" s="778"/>
      <c r="DT212" s="778"/>
      <c r="DU212" s="778"/>
      <c r="DV212" s="778"/>
      <c r="DW212" s="778"/>
      <c r="DX212" s="778"/>
      <c r="DY212" s="778"/>
      <c r="DZ212" s="778"/>
      <c r="EA212" s="778"/>
      <c r="EB212" s="778"/>
      <c r="EC212" s="778"/>
      <c r="ED212" s="778"/>
      <c r="EE212" s="778"/>
      <c r="EF212" s="778"/>
      <c r="EG212" s="778"/>
      <c r="EH212" s="778"/>
    </row>
    <row r="213" spans="5:138" ht="12.75" customHeight="1" x14ac:dyDescent="0.3">
      <c r="E213" s="778"/>
      <c r="F213" s="778"/>
      <c r="G213" s="778"/>
      <c r="H213" s="778"/>
      <c r="I213" s="778"/>
      <c r="J213" s="778"/>
      <c r="K213" s="778"/>
      <c r="L213" s="778"/>
      <c r="M213" s="778"/>
      <c r="N213" s="778"/>
      <c r="O213" s="778"/>
      <c r="P213" s="778"/>
      <c r="Q213" s="778"/>
      <c r="R213" s="778"/>
      <c r="S213" s="778"/>
      <c r="T213" s="778"/>
      <c r="U213" s="778"/>
      <c r="V213" s="778"/>
      <c r="W213" s="778"/>
      <c r="X213" s="778"/>
      <c r="Y213" s="778"/>
      <c r="Z213" s="778"/>
      <c r="AA213" s="778"/>
      <c r="AB213" s="778"/>
      <c r="AC213" s="778"/>
      <c r="AD213" s="778"/>
      <c r="AE213" s="778"/>
      <c r="AF213" s="778"/>
      <c r="AG213" s="778"/>
      <c r="AH213" s="778"/>
      <c r="AI213" s="778"/>
      <c r="AJ213" s="778"/>
      <c r="AK213" s="778"/>
      <c r="AL213" s="778"/>
      <c r="AM213" s="778"/>
      <c r="AN213" s="778"/>
      <c r="AO213" s="778"/>
      <c r="AP213" s="778"/>
      <c r="AQ213" s="778"/>
      <c r="AR213" s="778"/>
      <c r="AS213" s="778"/>
      <c r="AT213" s="778"/>
      <c r="AU213" s="778"/>
      <c r="AV213" s="778"/>
      <c r="AW213" s="778"/>
      <c r="AX213" s="778"/>
      <c r="AY213" s="778"/>
      <c r="AZ213" s="778"/>
      <c r="BA213" s="778"/>
      <c r="BB213" s="778"/>
      <c r="BC213" s="778"/>
      <c r="BD213" s="778"/>
      <c r="BE213" s="778"/>
      <c r="BF213" s="778"/>
      <c r="BG213" s="778"/>
      <c r="BH213" s="778"/>
      <c r="BI213" s="778"/>
      <c r="BJ213" s="778"/>
      <c r="BK213" s="778"/>
      <c r="BL213" s="778"/>
      <c r="BM213" s="778"/>
      <c r="BN213" s="778"/>
      <c r="BO213" s="778"/>
      <c r="BP213" s="778"/>
      <c r="BQ213" s="778"/>
      <c r="BR213" s="778"/>
      <c r="BS213" s="778"/>
      <c r="BT213" s="778"/>
      <c r="BU213" s="778"/>
      <c r="BV213" s="778"/>
      <c r="BW213" s="778"/>
      <c r="BX213" s="778"/>
      <c r="BY213" s="778"/>
      <c r="BZ213" s="778"/>
      <c r="CA213" s="778"/>
      <c r="CB213" s="778"/>
      <c r="CC213" s="778"/>
      <c r="CD213" s="778"/>
      <c r="CE213" s="778"/>
      <c r="CF213" s="778"/>
      <c r="CG213" s="778"/>
      <c r="CH213" s="778"/>
      <c r="CI213" s="778"/>
      <c r="CJ213" s="778"/>
      <c r="CK213" s="778"/>
      <c r="CL213" s="778"/>
      <c r="CM213" s="778"/>
      <c r="CN213" s="778"/>
      <c r="CO213" s="778"/>
      <c r="CP213" s="778"/>
      <c r="CQ213" s="778"/>
      <c r="CR213" s="778"/>
      <c r="CS213" s="778"/>
      <c r="CT213" s="778"/>
      <c r="CU213" s="778"/>
      <c r="CV213" s="778"/>
      <c r="CW213" s="778"/>
      <c r="CX213" s="778"/>
      <c r="CY213" s="778"/>
      <c r="CZ213" s="778"/>
      <c r="DA213" s="778"/>
      <c r="DB213" s="778"/>
      <c r="DC213" s="778"/>
      <c r="DD213" s="778"/>
      <c r="DE213" s="778"/>
      <c r="DF213" s="778"/>
      <c r="DG213" s="778"/>
      <c r="DH213" s="778"/>
      <c r="DI213" s="778"/>
      <c r="DJ213" s="778"/>
      <c r="DK213" s="778"/>
      <c r="DL213" s="778"/>
      <c r="DM213" s="778"/>
      <c r="DN213" s="778"/>
      <c r="DO213" s="778"/>
      <c r="DP213" s="778"/>
      <c r="DQ213" s="778"/>
      <c r="DR213" s="778"/>
      <c r="DS213" s="778"/>
      <c r="DT213" s="778"/>
      <c r="DU213" s="778"/>
      <c r="DV213" s="778"/>
      <c r="DW213" s="778"/>
      <c r="DX213" s="778"/>
      <c r="DY213" s="778"/>
      <c r="DZ213" s="778"/>
      <c r="EA213" s="778"/>
      <c r="EB213" s="778"/>
      <c r="EC213" s="778"/>
      <c r="ED213" s="778"/>
      <c r="EE213" s="778"/>
      <c r="EF213" s="778"/>
      <c r="EG213" s="778"/>
      <c r="EH213" s="778"/>
    </row>
    <row r="214" spans="5:138" ht="12.75" customHeight="1" x14ac:dyDescent="0.3">
      <c r="E214" s="778"/>
      <c r="F214" s="778"/>
      <c r="G214" s="778"/>
      <c r="H214" s="778"/>
      <c r="I214" s="778"/>
      <c r="J214" s="778"/>
      <c r="K214" s="778"/>
      <c r="L214" s="778"/>
      <c r="M214" s="778"/>
      <c r="N214" s="778"/>
      <c r="O214" s="778"/>
      <c r="P214" s="778"/>
      <c r="Q214" s="778"/>
      <c r="R214" s="778"/>
      <c r="S214" s="778"/>
      <c r="T214" s="778"/>
      <c r="U214" s="778"/>
      <c r="V214" s="778"/>
      <c r="W214" s="778"/>
      <c r="X214" s="778"/>
      <c r="Y214" s="778"/>
      <c r="Z214" s="778"/>
      <c r="AA214" s="778"/>
      <c r="AB214" s="778"/>
      <c r="AC214" s="778"/>
      <c r="AD214" s="778"/>
      <c r="AE214" s="778"/>
      <c r="AF214" s="778"/>
      <c r="AG214" s="778"/>
      <c r="AH214" s="778"/>
      <c r="AI214" s="778"/>
      <c r="AJ214" s="778"/>
      <c r="AK214" s="778"/>
      <c r="AL214" s="778"/>
      <c r="AM214" s="778"/>
      <c r="AN214" s="778"/>
      <c r="AO214" s="778"/>
      <c r="AP214" s="778"/>
      <c r="AQ214" s="778"/>
      <c r="AR214" s="778"/>
      <c r="AS214" s="778"/>
      <c r="AT214" s="778"/>
      <c r="AU214" s="778"/>
      <c r="AV214" s="778"/>
      <c r="AW214" s="778"/>
      <c r="AX214" s="778"/>
      <c r="AY214" s="778"/>
      <c r="AZ214" s="778"/>
      <c r="BA214" s="778"/>
      <c r="BB214" s="778"/>
      <c r="BC214" s="778"/>
      <c r="BD214" s="778"/>
      <c r="BE214" s="778"/>
      <c r="BF214" s="778"/>
      <c r="BG214" s="778"/>
      <c r="BH214" s="778"/>
      <c r="BI214" s="778"/>
      <c r="BJ214" s="778"/>
      <c r="BK214" s="778"/>
      <c r="BL214" s="778"/>
      <c r="BM214" s="778"/>
      <c r="BN214" s="778"/>
      <c r="BO214" s="778"/>
      <c r="BP214" s="778"/>
      <c r="BQ214" s="778"/>
      <c r="BR214" s="778"/>
      <c r="BS214" s="778"/>
      <c r="BT214" s="778"/>
      <c r="BU214" s="778"/>
      <c r="BV214" s="778"/>
      <c r="BW214" s="778"/>
      <c r="BX214" s="778"/>
      <c r="BY214" s="778"/>
      <c r="BZ214" s="778"/>
      <c r="CA214" s="778"/>
      <c r="CB214" s="778"/>
      <c r="CC214" s="778"/>
      <c r="CD214" s="778"/>
      <c r="CE214" s="778"/>
      <c r="CF214" s="778"/>
      <c r="CG214" s="778"/>
      <c r="CH214" s="778"/>
      <c r="CI214" s="778"/>
      <c r="CJ214" s="778"/>
      <c r="CK214" s="778"/>
      <c r="CL214" s="778"/>
      <c r="CM214" s="778"/>
      <c r="CN214" s="778"/>
      <c r="CO214" s="778"/>
      <c r="CP214" s="778"/>
      <c r="CQ214" s="778"/>
      <c r="CR214" s="778"/>
      <c r="CS214" s="778"/>
      <c r="CT214" s="778"/>
      <c r="CU214" s="778"/>
      <c r="CV214" s="778"/>
      <c r="CW214" s="778"/>
      <c r="CX214" s="778"/>
      <c r="CY214" s="778"/>
      <c r="CZ214" s="778"/>
      <c r="DA214" s="778"/>
      <c r="DB214" s="778"/>
      <c r="DC214" s="778"/>
      <c r="DD214" s="778"/>
      <c r="DE214" s="778"/>
      <c r="DF214" s="778"/>
      <c r="DG214" s="778"/>
      <c r="DH214" s="778"/>
      <c r="DI214" s="778"/>
      <c r="DJ214" s="778"/>
      <c r="DK214" s="778"/>
      <c r="DL214" s="778"/>
      <c r="DM214" s="778"/>
      <c r="DN214" s="778"/>
      <c r="DO214" s="778"/>
      <c r="DP214" s="778"/>
      <c r="DQ214" s="778"/>
      <c r="DR214" s="778"/>
      <c r="DS214" s="778"/>
      <c r="DT214" s="778"/>
      <c r="DU214" s="778"/>
      <c r="DV214" s="778"/>
      <c r="DW214" s="778"/>
      <c r="DX214" s="778"/>
      <c r="DY214" s="778"/>
      <c r="DZ214" s="778"/>
      <c r="EA214" s="778"/>
      <c r="EB214" s="778"/>
      <c r="EC214" s="778"/>
      <c r="ED214" s="778"/>
      <c r="EE214" s="778"/>
      <c r="EF214" s="778"/>
      <c r="EG214" s="778"/>
      <c r="EH214" s="778"/>
    </row>
    <row r="215" spans="5:138" ht="12.75" customHeight="1" x14ac:dyDescent="0.3">
      <c r="E215" s="778"/>
      <c r="F215" s="778"/>
      <c r="G215" s="778"/>
      <c r="H215" s="778"/>
      <c r="I215" s="778"/>
      <c r="J215" s="778"/>
      <c r="K215" s="778"/>
      <c r="L215" s="778"/>
      <c r="M215" s="778"/>
      <c r="N215" s="778"/>
      <c r="O215" s="778"/>
      <c r="P215" s="778"/>
      <c r="Q215" s="778"/>
      <c r="R215" s="778"/>
      <c r="S215" s="778"/>
      <c r="T215" s="778"/>
      <c r="U215" s="778"/>
      <c r="V215" s="778"/>
      <c r="W215" s="778"/>
      <c r="X215" s="778"/>
      <c r="Y215" s="778"/>
      <c r="Z215" s="778"/>
      <c r="AA215" s="778"/>
      <c r="AB215" s="778"/>
      <c r="AC215" s="778"/>
      <c r="AD215" s="778"/>
      <c r="AE215" s="778"/>
      <c r="AF215" s="778"/>
      <c r="AG215" s="778"/>
      <c r="AH215" s="778"/>
      <c r="AI215" s="778"/>
      <c r="AJ215" s="778"/>
      <c r="AK215" s="778"/>
      <c r="AL215" s="778"/>
      <c r="AM215" s="778"/>
      <c r="AN215" s="778"/>
      <c r="AO215" s="778"/>
      <c r="AP215" s="778"/>
      <c r="AQ215" s="778"/>
      <c r="AR215" s="778"/>
      <c r="AS215" s="778"/>
      <c r="AT215" s="778"/>
      <c r="AU215" s="778"/>
      <c r="AV215" s="778"/>
      <c r="AW215" s="778"/>
      <c r="AX215" s="778"/>
      <c r="AY215" s="778"/>
      <c r="AZ215" s="778"/>
      <c r="BA215" s="778"/>
      <c r="BB215" s="778"/>
      <c r="BC215" s="778"/>
      <c r="BD215" s="778"/>
      <c r="BE215" s="778"/>
      <c r="BF215" s="778"/>
      <c r="BG215" s="778"/>
      <c r="BH215" s="778"/>
      <c r="BI215" s="778"/>
      <c r="BJ215" s="778"/>
      <c r="BK215" s="778"/>
      <c r="BL215" s="778"/>
      <c r="BM215" s="778"/>
      <c r="BN215" s="778"/>
      <c r="BO215" s="778"/>
      <c r="BP215" s="778"/>
      <c r="BQ215" s="778"/>
      <c r="BR215" s="778"/>
      <c r="BS215" s="778"/>
      <c r="BT215" s="778"/>
      <c r="BU215" s="778"/>
      <c r="BV215" s="778"/>
      <c r="BW215" s="778"/>
      <c r="BX215" s="778"/>
      <c r="BY215" s="778"/>
      <c r="BZ215" s="778"/>
      <c r="CA215" s="778"/>
      <c r="CB215" s="778"/>
      <c r="CC215" s="778"/>
      <c r="CD215" s="778"/>
      <c r="CE215" s="778"/>
      <c r="CF215" s="778"/>
      <c r="CG215" s="778"/>
      <c r="CH215" s="778"/>
      <c r="CI215" s="778"/>
      <c r="CJ215" s="778"/>
      <c r="CK215" s="778"/>
      <c r="CL215" s="778"/>
      <c r="CM215" s="778"/>
      <c r="CN215" s="778"/>
      <c r="CO215" s="778"/>
      <c r="CP215" s="778"/>
      <c r="CQ215" s="778"/>
      <c r="CR215" s="778"/>
      <c r="CS215" s="778"/>
      <c r="CT215" s="778"/>
      <c r="CU215" s="778"/>
      <c r="CV215" s="778"/>
      <c r="CW215" s="778"/>
      <c r="CX215" s="778"/>
      <c r="CY215" s="778"/>
      <c r="CZ215" s="778"/>
      <c r="DA215" s="778"/>
      <c r="DB215" s="778"/>
      <c r="DC215" s="778"/>
      <c r="DD215" s="778"/>
      <c r="DE215" s="778"/>
      <c r="DF215" s="778"/>
      <c r="DG215" s="778"/>
      <c r="DH215" s="778"/>
      <c r="DI215" s="778"/>
      <c r="DJ215" s="778"/>
      <c r="DK215" s="778"/>
      <c r="DL215" s="778"/>
      <c r="DM215" s="778"/>
      <c r="DN215" s="778"/>
      <c r="DO215" s="778"/>
      <c r="DP215" s="778"/>
      <c r="DQ215" s="778"/>
      <c r="DR215" s="778"/>
      <c r="DS215" s="778"/>
      <c r="DT215" s="778"/>
      <c r="DU215" s="778"/>
      <c r="DV215" s="778"/>
      <c r="DW215" s="778"/>
      <c r="DX215" s="778"/>
      <c r="DY215" s="778"/>
      <c r="DZ215" s="778"/>
      <c r="EA215" s="778"/>
      <c r="EB215" s="778"/>
      <c r="EC215" s="778"/>
      <c r="ED215" s="778"/>
      <c r="EE215" s="778"/>
      <c r="EF215" s="778"/>
      <c r="EG215" s="778"/>
      <c r="EH215" s="778"/>
    </row>
    <row r="216" spans="5:138" ht="12.75" customHeight="1" x14ac:dyDescent="0.3">
      <c r="E216" s="778"/>
      <c r="F216" s="778"/>
      <c r="G216" s="778"/>
      <c r="H216" s="778"/>
      <c r="I216" s="778"/>
      <c r="J216" s="778"/>
      <c r="K216" s="778"/>
      <c r="L216" s="778"/>
      <c r="M216" s="778"/>
      <c r="N216" s="778"/>
      <c r="O216" s="778"/>
      <c r="P216" s="778"/>
      <c r="Q216" s="778"/>
      <c r="R216" s="778"/>
      <c r="S216" s="778"/>
      <c r="T216" s="778"/>
      <c r="U216" s="778"/>
      <c r="V216" s="778"/>
      <c r="W216" s="778"/>
      <c r="X216" s="778"/>
      <c r="Y216" s="778"/>
      <c r="Z216" s="778"/>
      <c r="AA216" s="778"/>
      <c r="AB216" s="778"/>
      <c r="AC216" s="778"/>
      <c r="AD216" s="778"/>
      <c r="AE216" s="778"/>
      <c r="AF216" s="778"/>
      <c r="AG216" s="778"/>
      <c r="AH216" s="778"/>
      <c r="AI216" s="778"/>
      <c r="AJ216" s="778"/>
      <c r="AK216" s="778"/>
      <c r="AL216" s="778"/>
      <c r="AM216" s="778"/>
      <c r="AN216" s="778"/>
      <c r="AO216" s="778"/>
      <c r="AP216" s="778"/>
      <c r="AQ216" s="778"/>
      <c r="AR216" s="778"/>
      <c r="AS216" s="778"/>
      <c r="AT216" s="778"/>
      <c r="AU216" s="778"/>
      <c r="AV216" s="778"/>
      <c r="AW216" s="778"/>
      <c r="AX216" s="778"/>
      <c r="AY216" s="778"/>
      <c r="AZ216" s="778"/>
      <c r="BA216" s="778"/>
      <c r="BB216" s="778"/>
      <c r="BC216" s="778"/>
      <c r="BD216" s="778"/>
      <c r="BE216" s="778"/>
      <c r="BF216" s="778"/>
      <c r="BG216" s="778"/>
      <c r="BH216" s="778"/>
      <c r="BI216" s="778"/>
      <c r="BJ216" s="778"/>
      <c r="BK216" s="778"/>
      <c r="BL216" s="778"/>
      <c r="BM216" s="778"/>
      <c r="BN216" s="778"/>
      <c r="BO216" s="778"/>
      <c r="BP216" s="778"/>
      <c r="BQ216" s="778"/>
      <c r="BR216" s="778"/>
      <c r="BS216" s="778"/>
      <c r="BT216" s="778"/>
      <c r="BU216" s="778"/>
      <c r="BV216" s="778"/>
      <c r="BW216" s="778"/>
      <c r="BX216" s="778"/>
      <c r="BY216" s="778"/>
      <c r="BZ216" s="778"/>
      <c r="CA216" s="778"/>
      <c r="CB216" s="778"/>
      <c r="CC216" s="778"/>
      <c r="CD216" s="778"/>
      <c r="CE216" s="778"/>
      <c r="CF216" s="778"/>
      <c r="CG216" s="778"/>
      <c r="CH216" s="778"/>
      <c r="CI216" s="778"/>
      <c r="CJ216" s="778"/>
      <c r="CK216" s="778"/>
      <c r="CL216" s="778"/>
      <c r="CM216" s="778"/>
      <c r="CN216" s="778"/>
      <c r="CO216" s="778"/>
      <c r="CP216" s="778"/>
      <c r="CQ216" s="778"/>
      <c r="CR216" s="778"/>
      <c r="CS216" s="778"/>
      <c r="CT216" s="778"/>
      <c r="CU216" s="778"/>
      <c r="CV216" s="778"/>
      <c r="CW216" s="778"/>
      <c r="CX216" s="778"/>
      <c r="CY216" s="778"/>
      <c r="CZ216" s="778"/>
      <c r="DA216" s="778"/>
      <c r="DB216" s="778"/>
      <c r="DC216" s="778"/>
      <c r="DD216" s="778"/>
      <c r="DE216" s="778"/>
      <c r="DF216" s="778"/>
      <c r="DG216" s="778"/>
      <c r="DH216" s="778"/>
      <c r="DI216" s="778"/>
      <c r="DJ216" s="778"/>
      <c r="DK216" s="778"/>
      <c r="DL216" s="778"/>
      <c r="DM216" s="778"/>
      <c r="DN216" s="778"/>
      <c r="DO216" s="778"/>
      <c r="DP216" s="778"/>
      <c r="DQ216" s="778"/>
      <c r="DR216" s="778"/>
      <c r="DS216" s="778"/>
      <c r="DT216" s="778"/>
      <c r="DU216" s="778"/>
      <c r="DV216" s="778"/>
      <c r="DW216" s="778"/>
      <c r="DX216" s="778"/>
      <c r="DY216" s="778"/>
      <c r="DZ216" s="778"/>
      <c r="EA216" s="778"/>
      <c r="EB216" s="778"/>
      <c r="EC216" s="778"/>
      <c r="ED216" s="778"/>
      <c r="EE216" s="778"/>
      <c r="EF216" s="778"/>
      <c r="EG216" s="778"/>
      <c r="EH216" s="778"/>
    </row>
    <row r="217" spans="5:138" ht="12.75" customHeight="1" x14ac:dyDescent="0.3">
      <c r="E217" s="778"/>
      <c r="F217" s="778"/>
      <c r="G217" s="778"/>
      <c r="H217" s="778"/>
      <c r="I217" s="778"/>
      <c r="J217" s="778"/>
      <c r="K217" s="778"/>
      <c r="L217" s="778"/>
      <c r="M217" s="778"/>
      <c r="N217" s="778"/>
      <c r="O217" s="778"/>
      <c r="P217" s="778"/>
      <c r="Q217" s="778"/>
      <c r="R217" s="778"/>
      <c r="S217" s="778"/>
      <c r="T217" s="778"/>
      <c r="U217" s="778"/>
      <c r="V217" s="778"/>
      <c r="W217" s="778"/>
      <c r="X217" s="778"/>
      <c r="Y217" s="778"/>
      <c r="Z217" s="778"/>
      <c r="AA217" s="778"/>
      <c r="AB217" s="778"/>
      <c r="AC217" s="778"/>
      <c r="AD217" s="778"/>
      <c r="AE217" s="778"/>
      <c r="AF217" s="778"/>
      <c r="AG217" s="778"/>
      <c r="AH217" s="778"/>
      <c r="AI217" s="778"/>
      <c r="AJ217" s="778"/>
      <c r="AK217" s="778"/>
      <c r="AL217" s="778"/>
      <c r="AM217" s="778"/>
      <c r="AN217" s="778"/>
      <c r="AO217" s="778"/>
      <c r="AP217" s="778"/>
      <c r="AQ217" s="778"/>
      <c r="AR217" s="778"/>
      <c r="AS217" s="778"/>
      <c r="AT217" s="778"/>
      <c r="AU217" s="778"/>
      <c r="AV217" s="778"/>
      <c r="AW217" s="778"/>
      <c r="AX217" s="778"/>
      <c r="AY217" s="778"/>
      <c r="AZ217" s="778"/>
      <c r="BA217" s="778"/>
      <c r="BB217" s="778"/>
      <c r="BC217" s="778"/>
      <c r="BD217" s="778"/>
      <c r="BE217" s="778"/>
      <c r="BF217" s="778"/>
      <c r="BG217" s="778"/>
      <c r="BH217" s="778"/>
      <c r="BI217" s="778"/>
      <c r="BJ217" s="778"/>
      <c r="BK217" s="778"/>
      <c r="BL217" s="778"/>
      <c r="BM217" s="778"/>
      <c r="BN217" s="778"/>
      <c r="BO217" s="778"/>
      <c r="BP217" s="778"/>
      <c r="BQ217" s="778"/>
      <c r="BR217" s="778"/>
      <c r="BS217" s="778"/>
      <c r="BT217" s="778"/>
      <c r="BU217" s="778"/>
      <c r="BV217" s="778"/>
      <c r="BW217" s="778"/>
      <c r="BX217" s="778"/>
      <c r="BY217" s="778"/>
      <c r="BZ217" s="778"/>
      <c r="CA217" s="778"/>
      <c r="CB217" s="778"/>
      <c r="CC217" s="778"/>
      <c r="CD217" s="778"/>
      <c r="CE217" s="778"/>
      <c r="CF217" s="778"/>
      <c r="CG217" s="778"/>
      <c r="CH217" s="778"/>
      <c r="CI217" s="778"/>
      <c r="CJ217" s="778"/>
      <c r="CK217" s="778"/>
      <c r="CL217" s="778"/>
      <c r="CM217" s="778"/>
      <c r="CN217" s="778"/>
      <c r="CO217" s="778"/>
      <c r="CP217" s="778"/>
      <c r="CQ217" s="778"/>
      <c r="CR217" s="778"/>
      <c r="CS217" s="778"/>
      <c r="CT217" s="778"/>
      <c r="CU217" s="778"/>
      <c r="CV217" s="778"/>
      <c r="CW217" s="778"/>
      <c r="CX217" s="778"/>
      <c r="CY217" s="778"/>
      <c r="CZ217" s="778"/>
      <c r="DA217" s="778"/>
      <c r="DB217" s="778"/>
      <c r="DC217" s="778"/>
      <c r="DD217" s="778"/>
      <c r="DE217" s="778"/>
      <c r="DF217" s="778"/>
      <c r="DG217" s="778"/>
      <c r="DH217" s="778"/>
      <c r="DI217" s="778"/>
      <c r="DJ217" s="778"/>
      <c r="DK217" s="778"/>
      <c r="DL217" s="778"/>
      <c r="DM217" s="778"/>
      <c r="DN217" s="778"/>
      <c r="DO217" s="778"/>
      <c r="DP217" s="778"/>
      <c r="DQ217" s="778"/>
      <c r="DR217" s="778"/>
      <c r="DS217" s="778"/>
      <c r="DT217" s="778"/>
      <c r="DU217" s="778"/>
      <c r="DV217" s="778"/>
      <c r="DW217" s="778"/>
      <c r="DX217" s="778"/>
      <c r="DY217" s="778"/>
      <c r="DZ217" s="778"/>
      <c r="EA217" s="778"/>
      <c r="EB217" s="778"/>
      <c r="EC217" s="778"/>
      <c r="ED217" s="778"/>
      <c r="EE217" s="778"/>
      <c r="EF217" s="778"/>
      <c r="EG217" s="778"/>
      <c r="EH217" s="778"/>
    </row>
    <row r="218" spans="5:138" ht="12.75" customHeight="1" x14ac:dyDescent="0.3">
      <c r="E218" s="778"/>
      <c r="F218" s="778"/>
      <c r="G218" s="778"/>
      <c r="H218" s="778"/>
      <c r="I218" s="778"/>
      <c r="J218" s="778"/>
      <c r="K218" s="778"/>
      <c r="L218" s="778"/>
      <c r="M218" s="778"/>
      <c r="N218" s="778"/>
      <c r="O218" s="778"/>
      <c r="P218" s="778"/>
      <c r="Q218" s="778"/>
      <c r="R218" s="778"/>
      <c r="S218" s="778"/>
      <c r="T218" s="778"/>
      <c r="U218" s="778"/>
      <c r="V218" s="778"/>
      <c r="W218" s="778"/>
      <c r="X218" s="778"/>
      <c r="Y218" s="778"/>
      <c r="Z218" s="778"/>
      <c r="AA218" s="778"/>
      <c r="AB218" s="778"/>
      <c r="AC218" s="778"/>
      <c r="AD218" s="778"/>
      <c r="AE218" s="778"/>
      <c r="AF218" s="778"/>
      <c r="AG218" s="778"/>
      <c r="AH218" s="778"/>
      <c r="AI218" s="778"/>
      <c r="AJ218" s="778"/>
      <c r="AK218" s="778"/>
      <c r="AL218" s="778"/>
      <c r="AM218" s="778"/>
      <c r="AN218" s="778"/>
      <c r="AO218" s="778"/>
      <c r="AP218" s="778"/>
      <c r="AQ218" s="778"/>
      <c r="AR218" s="778"/>
      <c r="AS218" s="778"/>
      <c r="AT218" s="778"/>
      <c r="AU218" s="778"/>
      <c r="AV218" s="778"/>
      <c r="AW218" s="778"/>
      <c r="AX218" s="778"/>
      <c r="AY218" s="778"/>
      <c r="AZ218" s="778"/>
      <c r="BA218" s="778"/>
      <c r="BB218" s="778"/>
      <c r="BC218" s="778"/>
      <c r="BD218" s="778"/>
      <c r="BE218" s="778"/>
      <c r="BF218" s="778"/>
      <c r="BG218" s="778"/>
      <c r="BH218" s="778"/>
      <c r="BI218" s="778"/>
      <c r="BJ218" s="778"/>
      <c r="BK218" s="778"/>
      <c r="BL218" s="778"/>
      <c r="BM218" s="778"/>
      <c r="BN218" s="778"/>
      <c r="BO218" s="778"/>
      <c r="BP218" s="778"/>
      <c r="BQ218" s="778"/>
      <c r="BR218" s="778"/>
      <c r="BS218" s="778"/>
      <c r="BT218" s="778"/>
      <c r="BU218" s="778"/>
      <c r="BV218" s="778"/>
      <c r="BW218" s="778"/>
      <c r="BX218" s="778"/>
      <c r="BY218" s="778"/>
      <c r="BZ218" s="778"/>
      <c r="CA218" s="778"/>
      <c r="CB218" s="778"/>
      <c r="CC218" s="778"/>
      <c r="CD218" s="778"/>
      <c r="CE218" s="778"/>
      <c r="CF218" s="778"/>
      <c r="CG218" s="778"/>
      <c r="CH218" s="778"/>
      <c r="CI218" s="778"/>
      <c r="CJ218" s="778"/>
      <c r="CK218" s="778"/>
      <c r="CL218" s="778"/>
      <c r="CM218" s="778"/>
      <c r="CN218" s="778"/>
      <c r="CO218" s="778"/>
      <c r="CP218" s="778"/>
      <c r="CQ218" s="778"/>
      <c r="CR218" s="778"/>
      <c r="CS218" s="778"/>
      <c r="CT218" s="778"/>
      <c r="CU218" s="778"/>
      <c r="CV218" s="778"/>
      <c r="CW218" s="778"/>
      <c r="CX218" s="778"/>
      <c r="CY218" s="778"/>
      <c r="CZ218" s="778"/>
      <c r="DA218" s="778"/>
      <c r="DB218" s="778"/>
      <c r="DC218" s="778"/>
      <c r="DD218" s="778"/>
      <c r="DE218" s="778"/>
      <c r="DF218" s="778"/>
      <c r="DG218" s="778"/>
      <c r="DH218" s="778"/>
      <c r="DI218" s="778"/>
      <c r="DJ218" s="778"/>
      <c r="DK218" s="778"/>
      <c r="DL218" s="778"/>
      <c r="DM218" s="778"/>
      <c r="DN218" s="778"/>
      <c r="DO218" s="778"/>
      <c r="DP218" s="778"/>
      <c r="DQ218" s="778"/>
      <c r="DR218" s="778"/>
      <c r="DS218" s="778"/>
      <c r="DT218" s="778"/>
      <c r="DU218" s="778"/>
      <c r="DV218" s="778"/>
      <c r="DW218" s="778"/>
      <c r="DX218" s="778"/>
      <c r="DY218" s="778"/>
      <c r="DZ218" s="778"/>
      <c r="EA218" s="778"/>
      <c r="EB218" s="778"/>
      <c r="EC218" s="778"/>
      <c r="ED218" s="778"/>
      <c r="EE218" s="778"/>
      <c r="EF218" s="778"/>
      <c r="EG218" s="778"/>
      <c r="EH218" s="778"/>
    </row>
    <row r="219" spans="5:138" ht="12.75" customHeight="1" x14ac:dyDescent="0.3">
      <c r="E219" s="778"/>
      <c r="F219" s="778"/>
      <c r="G219" s="778"/>
      <c r="H219" s="778"/>
      <c r="I219" s="778"/>
      <c r="J219" s="778"/>
      <c r="K219" s="778"/>
      <c r="L219" s="778"/>
      <c r="M219" s="778"/>
      <c r="N219" s="778"/>
      <c r="O219" s="778"/>
      <c r="P219" s="778"/>
      <c r="Q219" s="778"/>
      <c r="R219" s="778"/>
      <c r="S219" s="778"/>
      <c r="T219" s="778"/>
      <c r="U219" s="778"/>
      <c r="V219" s="778"/>
      <c r="W219" s="778"/>
      <c r="X219" s="778"/>
      <c r="Y219" s="778"/>
      <c r="Z219" s="778"/>
      <c r="AA219" s="778"/>
      <c r="AB219" s="778"/>
      <c r="AC219" s="778"/>
      <c r="AD219" s="778"/>
      <c r="AE219" s="778"/>
      <c r="AF219" s="778"/>
      <c r="AG219" s="778"/>
      <c r="AH219" s="778"/>
      <c r="AI219" s="778"/>
      <c r="AJ219" s="778"/>
      <c r="AK219" s="778"/>
      <c r="AL219" s="778"/>
      <c r="AM219" s="778"/>
      <c r="AN219" s="778"/>
      <c r="AO219" s="778"/>
      <c r="AP219" s="778"/>
      <c r="AQ219" s="778"/>
      <c r="AR219" s="778"/>
      <c r="AS219" s="778"/>
      <c r="AT219" s="778"/>
      <c r="AU219" s="778"/>
      <c r="AV219" s="778"/>
      <c r="AW219" s="778"/>
      <c r="AX219" s="778"/>
      <c r="AY219" s="778"/>
      <c r="AZ219" s="778"/>
      <c r="BA219" s="778"/>
      <c r="BB219" s="778"/>
      <c r="BC219" s="778"/>
      <c r="BD219" s="778"/>
      <c r="BE219" s="778"/>
      <c r="BF219" s="778"/>
      <c r="BG219" s="778"/>
      <c r="BH219" s="778"/>
      <c r="BI219" s="778"/>
      <c r="BJ219" s="778"/>
      <c r="BK219" s="778"/>
      <c r="BL219" s="778"/>
      <c r="BM219" s="778"/>
      <c r="BN219" s="778"/>
      <c r="BO219" s="778"/>
      <c r="BP219" s="778"/>
      <c r="BQ219" s="778"/>
      <c r="BR219" s="778"/>
      <c r="BS219" s="778"/>
      <c r="BT219" s="778"/>
      <c r="BU219" s="778"/>
      <c r="BV219" s="778"/>
      <c r="BW219" s="778"/>
      <c r="BX219" s="778"/>
      <c r="BY219" s="778"/>
      <c r="BZ219" s="778"/>
      <c r="CA219" s="778"/>
      <c r="CB219" s="778"/>
      <c r="CC219" s="778"/>
      <c r="CD219" s="778"/>
      <c r="CE219" s="778"/>
      <c r="CF219" s="778"/>
      <c r="CG219" s="778"/>
      <c r="CH219" s="778"/>
      <c r="CI219" s="778"/>
      <c r="CJ219" s="778"/>
      <c r="CK219" s="778"/>
      <c r="CL219" s="778"/>
      <c r="CM219" s="778"/>
      <c r="CN219" s="778"/>
      <c r="CO219" s="778"/>
      <c r="CP219" s="778"/>
      <c r="CQ219" s="778"/>
      <c r="CR219" s="778"/>
      <c r="CS219" s="778"/>
      <c r="CT219" s="778"/>
      <c r="CU219" s="778"/>
      <c r="CV219" s="778"/>
      <c r="CW219" s="778"/>
      <c r="CX219" s="778"/>
      <c r="CY219" s="778"/>
      <c r="CZ219" s="778"/>
      <c r="DA219" s="778"/>
      <c r="DB219" s="778"/>
      <c r="DC219" s="778"/>
      <c r="DD219" s="778"/>
      <c r="DE219" s="778"/>
      <c r="DF219" s="778"/>
      <c r="DG219" s="778"/>
      <c r="DH219" s="778"/>
      <c r="DI219" s="778"/>
      <c r="DJ219" s="778"/>
      <c r="DK219" s="778"/>
      <c r="DL219" s="778"/>
      <c r="DM219" s="778"/>
      <c r="DN219" s="778"/>
      <c r="DO219" s="778"/>
      <c r="DP219" s="778"/>
      <c r="DQ219" s="778"/>
      <c r="DR219" s="778"/>
      <c r="DS219" s="778"/>
      <c r="DT219" s="778"/>
      <c r="DU219" s="778"/>
      <c r="DV219" s="778"/>
      <c r="DW219" s="778"/>
      <c r="DX219" s="778"/>
      <c r="DY219" s="778"/>
      <c r="DZ219" s="778"/>
      <c r="EA219" s="778"/>
      <c r="EB219" s="778"/>
      <c r="EC219" s="778"/>
      <c r="ED219" s="778"/>
      <c r="EE219" s="778"/>
      <c r="EF219" s="778"/>
      <c r="EG219" s="778"/>
      <c r="EH219" s="778"/>
    </row>
    <row r="220" spans="5:138" ht="12.75" customHeight="1" x14ac:dyDescent="0.3">
      <c r="E220" s="778"/>
      <c r="F220" s="778"/>
      <c r="G220" s="778"/>
      <c r="H220" s="778"/>
      <c r="I220" s="778"/>
      <c r="J220" s="778"/>
      <c r="K220" s="778"/>
      <c r="L220" s="778"/>
      <c r="M220" s="778"/>
      <c r="N220" s="778"/>
      <c r="O220" s="778"/>
      <c r="P220" s="778"/>
      <c r="Q220" s="778"/>
      <c r="R220" s="778"/>
      <c r="S220" s="778"/>
      <c r="T220" s="778"/>
      <c r="U220" s="778"/>
      <c r="V220" s="778"/>
      <c r="W220" s="778"/>
      <c r="X220" s="778"/>
      <c r="Y220" s="778"/>
      <c r="Z220" s="778"/>
      <c r="AA220" s="778"/>
      <c r="AB220" s="778"/>
      <c r="AC220" s="778"/>
      <c r="AD220" s="778"/>
      <c r="AE220" s="778"/>
      <c r="AF220" s="778"/>
      <c r="AG220" s="778"/>
      <c r="AH220" s="778"/>
      <c r="AI220" s="778"/>
      <c r="AJ220" s="778"/>
      <c r="AK220" s="778"/>
      <c r="AL220" s="778"/>
      <c r="AM220" s="778"/>
      <c r="AN220" s="778"/>
      <c r="AO220" s="778"/>
      <c r="AP220" s="778"/>
      <c r="AQ220" s="778"/>
      <c r="AR220" s="778"/>
      <c r="AS220" s="778"/>
      <c r="AT220" s="778"/>
      <c r="AU220" s="778"/>
      <c r="AV220" s="778"/>
      <c r="AW220" s="778"/>
      <c r="AX220" s="778"/>
      <c r="AY220" s="778"/>
      <c r="AZ220" s="778"/>
      <c r="BA220" s="778"/>
      <c r="BB220" s="778"/>
      <c r="BC220" s="778"/>
      <c r="BD220" s="778"/>
      <c r="BE220" s="778"/>
      <c r="BF220" s="778"/>
      <c r="BG220" s="778"/>
      <c r="BH220" s="778"/>
      <c r="BI220" s="778"/>
      <c r="BJ220" s="778"/>
      <c r="BK220" s="778"/>
      <c r="BL220" s="778"/>
      <c r="BM220" s="778"/>
      <c r="BN220" s="778"/>
      <c r="BO220" s="778"/>
      <c r="BP220" s="778"/>
      <c r="BQ220" s="778"/>
      <c r="BR220" s="778"/>
      <c r="BS220" s="778"/>
      <c r="BT220" s="778"/>
      <c r="BU220" s="778"/>
      <c r="BV220" s="778"/>
      <c r="BW220" s="778"/>
      <c r="BX220" s="778"/>
      <c r="BY220" s="778"/>
      <c r="BZ220" s="778"/>
      <c r="CA220" s="778"/>
      <c r="CB220" s="778"/>
      <c r="CC220" s="778"/>
      <c r="CD220" s="778"/>
      <c r="CE220" s="778"/>
      <c r="CF220" s="778"/>
      <c r="CG220" s="778"/>
      <c r="CH220" s="778"/>
      <c r="CI220" s="778"/>
      <c r="CJ220" s="778"/>
      <c r="CK220" s="778"/>
      <c r="CL220" s="778"/>
      <c r="CM220" s="778"/>
      <c r="CN220" s="778"/>
      <c r="CO220" s="778"/>
      <c r="CP220" s="778"/>
      <c r="CQ220" s="778"/>
      <c r="CR220" s="778"/>
      <c r="CS220" s="778"/>
      <c r="CT220" s="778"/>
      <c r="CU220" s="778"/>
      <c r="CV220" s="778"/>
      <c r="CW220" s="778"/>
      <c r="CX220" s="778"/>
      <c r="CY220" s="778"/>
      <c r="CZ220" s="778"/>
      <c r="DA220" s="778"/>
      <c r="DB220" s="778"/>
      <c r="DC220" s="778"/>
      <c r="DD220" s="778"/>
      <c r="DE220" s="778"/>
      <c r="DF220" s="778"/>
      <c r="DG220" s="778"/>
      <c r="DH220" s="778"/>
      <c r="DI220" s="778"/>
      <c r="DJ220" s="778"/>
      <c r="DK220" s="778"/>
      <c r="DL220" s="778"/>
      <c r="DM220" s="778"/>
      <c r="DN220" s="778"/>
      <c r="DO220" s="778"/>
      <c r="DP220" s="778"/>
      <c r="DQ220" s="778"/>
      <c r="DR220" s="778"/>
      <c r="DS220" s="778"/>
      <c r="DT220" s="778"/>
      <c r="DU220" s="778"/>
      <c r="DV220" s="778"/>
      <c r="DW220" s="778"/>
      <c r="DX220" s="778"/>
      <c r="DY220" s="778"/>
      <c r="DZ220" s="778"/>
      <c r="EA220" s="778"/>
      <c r="EB220" s="778"/>
      <c r="EC220" s="778"/>
      <c r="ED220" s="778"/>
      <c r="EE220" s="778"/>
      <c r="EF220" s="778"/>
      <c r="EG220" s="778"/>
      <c r="EH220" s="778"/>
    </row>
    <row r="221" spans="5:138" ht="12.75" customHeight="1" x14ac:dyDescent="0.3">
      <c r="E221" s="778"/>
      <c r="F221" s="778"/>
      <c r="G221" s="778"/>
      <c r="H221" s="778"/>
      <c r="I221" s="778"/>
      <c r="J221" s="778"/>
      <c r="K221" s="778"/>
      <c r="L221" s="778"/>
      <c r="M221" s="778"/>
      <c r="N221" s="778"/>
      <c r="O221" s="778"/>
      <c r="P221" s="778"/>
      <c r="Q221" s="778"/>
      <c r="R221" s="778"/>
      <c r="S221" s="778"/>
      <c r="T221" s="778"/>
      <c r="U221" s="778"/>
      <c r="V221" s="778"/>
      <c r="W221" s="778"/>
      <c r="X221" s="778"/>
      <c r="Y221" s="778"/>
      <c r="Z221" s="778"/>
      <c r="AA221" s="778"/>
      <c r="AB221" s="778"/>
      <c r="AC221" s="778"/>
      <c r="AD221" s="778"/>
      <c r="AE221" s="778"/>
      <c r="AF221" s="778"/>
      <c r="AG221" s="778"/>
      <c r="AH221" s="778"/>
      <c r="AI221" s="778"/>
      <c r="AJ221" s="778"/>
      <c r="AK221" s="778"/>
      <c r="AL221" s="778"/>
      <c r="AM221" s="778"/>
      <c r="AN221" s="778"/>
      <c r="AO221" s="778"/>
      <c r="AP221" s="778"/>
      <c r="AQ221" s="778"/>
      <c r="AR221" s="778"/>
      <c r="AS221" s="778"/>
      <c r="AT221" s="778"/>
      <c r="AU221" s="778"/>
      <c r="AV221" s="778"/>
      <c r="AW221" s="778"/>
      <c r="AX221" s="778"/>
      <c r="AY221" s="778"/>
      <c r="AZ221" s="778"/>
      <c r="BA221" s="778"/>
      <c r="BB221" s="778"/>
      <c r="BC221" s="778"/>
      <c r="BD221" s="778"/>
      <c r="BE221" s="778"/>
      <c r="BF221" s="778"/>
      <c r="BG221" s="778"/>
      <c r="BH221" s="778"/>
      <c r="BI221" s="778"/>
      <c r="BJ221" s="778"/>
      <c r="BK221" s="778"/>
      <c r="BL221" s="778"/>
      <c r="BM221" s="778"/>
      <c r="BN221" s="778"/>
      <c r="BO221" s="778"/>
      <c r="BP221" s="778"/>
      <c r="BQ221" s="778"/>
      <c r="BR221" s="778"/>
      <c r="BS221" s="778"/>
      <c r="BT221" s="778"/>
      <c r="BU221" s="778"/>
      <c r="BV221" s="778"/>
      <c r="BW221" s="778"/>
      <c r="BX221" s="778"/>
      <c r="BY221" s="778"/>
      <c r="BZ221" s="778"/>
      <c r="CA221" s="778"/>
      <c r="CB221" s="778"/>
      <c r="CC221" s="778"/>
      <c r="CD221" s="778"/>
      <c r="CE221" s="778"/>
      <c r="CF221" s="778"/>
      <c r="CG221" s="778"/>
      <c r="CH221" s="778"/>
      <c r="CI221" s="778"/>
      <c r="CJ221" s="778"/>
      <c r="CK221" s="778"/>
      <c r="CL221" s="778"/>
      <c r="CM221" s="778"/>
      <c r="CN221" s="778"/>
      <c r="CO221" s="778"/>
      <c r="CP221" s="778"/>
      <c r="CQ221" s="778"/>
      <c r="CR221" s="778"/>
      <c r="CS221" s="778"/>
      <c r="CT221" s="778"/>
      <c r="CU221" s="778"/>
      <c r="CV221" s="778"/>
      <c r="CW221" s="778"/>
      <c r="CX221" s="778"/>
      <c r="CY221" s="778"/>
      <c r="CZ221" s="778"/>
      <c r="DA221" s="778"/>
      <c r="DB221" s="778"/>
      <c r="DC221" s="778"/>
      <c r="DD221" s="778"/>
      <c r="DE221" s="778"/>
      <c r="DF221" s="778"/>
      <c r="DG221" s="778"/>
      <c r="DH221" s="778"/>
      <c r="DI221" s="778"/>
      <c r="DJ221" s="778"/>
      <c r="DK221" s="778"/>
      <c r="DL221" s="778"/>
      <c r="DM221" s="778"/>
      <c r="DN221" s="778"/>
      <c r="DO221" s="778"/>
      <c r="DP221" s="778"/>
      <c r="DQ221" s="778"/>
      <c r="DR221" s="778"/>
      <c r="DS221" s="778"/>
      <c r="DT221" s="778"/>
      <c r="DU221" s="778"/>
      <c r="DV221" s="778"/>
      <c r="DW221" s="778"/>
      <c r="DX221" s="778"/>
      <c r="DY221" s="778"/>
      <c r="DZ221" s="778"/>
      <c r="EA221" s="778"/>
      <c r="EB221" s="778"/>
      <c r="EC221" s="778"/>
      <c r="ED221" s="778"/>
      <c r="EE221" s="778"/>
      <c r="EF221" s="778"/>
      <c r="EG221" s="778"/>
      <c r="EH221" s="778"/>
    </row>
    <row r="222" spans="5:138" ht="12.75" customHeight="1" x14ac:dyDescent="0.3">
      <c r="E222" s="778"/>
      <c r="F222" s="778"/>
      <c r="G222" s="778"/>
      <c r="H222" s="778"/>
      <c r="I222" s="778"/>
      <c r="J222" s="778"/>
      <c r="K222" s="778"/>
      <c r="L222" s="778"/>
      <c r="M222" s="778"/>
      <c r="N222" s="778"/>
      <c r="O222" s="778"/>
      <c r="P222" s="778"/>
      <c r="Q222" s="778"/>
      <c r="R222" s="778"/>
      <c r="S222" s="778"/>
      <c r="T222" s="778"/>
      <c r="U222" s="778"/>
      <c r="V222" s="778"/>
      <c r="W222" s="778"/>
      <c r="X222" s="778"/>
      <c r="Y222" s="778"/>
      <c r="Z222" s="778"/>
      <c r="AA222" s="778"/>
      <c r="AB222" s="778"/>
      <c r="AC222" s="778"/>
      <c r="AD222" s="778"/>
      <c r="AE222" s="778"/>
      <c r="AF222" s="778"/>
      <c r="AG222" s="778"/>
      <c r="AH222" s="778"/>
      <c r="AI222" s="778"/>
      <c r="AJ222" s="778"/>
      <c r="AK222" s="778"/>
      <c r="AL222" s="778"/>
      <c r="AM222" s="778"/>
      <c r="AN222" s="778"/>
      <c r="AO222" s="778"/>
      <c r="AP222" s="778"/>
      <c r="AQ222" s="778"/>
      <c r="AR222" s="778"/>
      <c r="AS222" s="778"/>
      <c r="AT222" s="778"/>
      <c r="AU222" s="778"/>
      <c r="AV222" s="778"/>
      <c r="AW222" s="778"/>
      <c r="AX222" s="778"/>
      <c r="AY222" s="778"/>
      <c r="AZ222" s="778"/>
      <c r="BA222" s="778"/>
      <c r="BB222" s="778"/>
      <c r="BC222" s="778"/>
      <c r="BD222" s="778"/>
      <c r="BE222" s="778"/>
      <c r="BF222" s="778"/>
      <c r="BG222" s="778"/>
      <c r="BH222" s="778"/>
      <c r="BI222" s="778"/>
      <c r="BJ222" s="778"/>
      <c r="BK222" s="778"/>
      <c r="BL222" s="778"/>
      <c r="BM222" s="778"/>
      <c r="BN222" s="778"/>
      <c r="BO222" s="778"/>
      <c r="BP222" s="778"/>
      <c r="BQ222" s="778"/>
      <c r="BR222" s="778"/>
      <c r="BS222" s="778"/>
      <c r="BT222" s="778"/>
      <c r="BU222" s="778"/>
      <c r="BV222" s="778"/>
      <c r="BW222" s="778"/>
      <c r="BX222" s="778"/>
      <c r="BY222" s="778"/>
      <c r="BZ222" s="778"/>
      <c r="CA222" s="778"/>
      <c r="CB222" s="778"/>
      <c r="CC222" s="778"/>
      <c r="CD222" s="778"/>
      <c r="CE222" s="778"/>
      <c r="CF222" s="778"/>
      <c r="CG222" s="778"/>
      <c r="CH222" s="778"/>
      <c r="CI222" s="778"/>
      <c r="CJ222" s="778"/>
      <c r="CK222" s="778"/>
      <c r="CL222" s="778"/>
      <c r="CM222" s="778"/>
      <c r="CN222" s="778"/>
      <c r="CO222" s="778"/>
      <c r="CP222" s="778"/>
      <c r="CQ222" s="778"/>
      <c r="CR222" s="778"/>
      <c r="CS222" s="778"/>
      <c r="CT222" s="778"/>
      <c r="CU222" s="778"/>
      <c r="CV222" s="778"/>
      <c r="CW222" s="778"/>
      <c r="CX222" s="778"/>
      <c r="CY222" s="778"/>
      <c r="CZ222" s="778"/>
      <c r="DA222" s="778"/>
      <c r="DB222" s="778"/>
      <c r="DC222" s="778"/>
      <c r="DD222" s="778"/>
      <c r="DE222" s="778"/>
      <c r="DF222" s="778"/>
      <c r="DG222" s="778"/>
      <c r="DH222" s="778"/>
      <c r="DI222" s="778"/>
      <c r="DJ222" s="778"/>
      <c r="DK222" s="778"/>
      <c r="DL222" s="778"/>
      <c r="DM222" s="778"/>
      <c r="DN222" s="778"/>
      <c r="DO222" s="778"/>
      <c r="DP222" s="778"/>
      <c r="DQ222" s="778"/>
      <c r="DR222" s="778"/>
      <c r="DS222" s="778"/>
      <c r="DT222" s="778"/>
      <c r="DU222" s="778"/>
      <c r="DV222" s="778"/>
      <c r="DW222" s="778"/>
      <c r="DX222" s="778"/>
      <c r="DY222" s="778"/>
      <c r="DZ222" s="778"/>
      <c r="EA222" s="778"/>
      <c r="EB222" s="778"/>
      <c r="EC222" s="778"/>
      <c r="ED222" s="778"/>
      <c r="EE222" s="778"/>
      <c r="EF222" s="778"/>
      <c r="EG222" s="778"/>
      <c r="EH222" s="778"/>
    </row>
    <row r="223" spans="5:138" ht="12.75" customHeight="1" x14ac:dyDescent="0.3">
      <c r="E223" s="778"/>
      <c r="F223" s="778"/>
      <c r="G223" s="778"/>
      <c r="H223" s="778"/>
      <c r="I223" s="778"/>
      <c r="J223" s="778"/>
      <c r="K223" s="778"/>
      <c r="L223" s="778"/>
      <c r="M223" s="778"/>
      <c r="N223" s="778"/>
      <c r="O223" s="778"/>
      <c r="P223" s="778"/>
      <c r="Q223" s="778"/>
      <c r="R223" s="778"/>
      <c r="S223" s="778"/>
      <c r="T223" s="778"/>
      <c r="U223" s="778"/>
      <c r="V223" s="778"/>
      <c r="W223" s="778"/>
      <c r="X223" s="778"/>
      <c r="Y223" s="778"/>
      <c r="Z223" s="778"/>
      <c r="AA223" s="778"/>
      <c r="AB223" s="778"/>
      <c r="AC223" s="778"/>
      <c r="AD223" s="778"/>
      <c r="AE223" s="778"/>
      <c r="AF223" s="778"/>
      <c r="AG223" s="778"/>
      <c r="AH223" s="778"/>
      <c r="AI223" s="778"/>
      <c r="AJ223" s="778"/>
      <c r="AK223" s="778"/>
      <c r="AL223" s="778"/>
      <c r="AM223" s="778"/>
      <c r="AN223" s="778"/>
      <c r="AO223" s="778"/>
      <c r="AP223" s="778"/>
      <c r="AQ223" s="778"/>
      <c r="AR223" s="778"/>
      <c r="AS223" s="778"/>
      <c r="AT223" s="778"/>
      <c r="AU223" s="778"/>
      <c r="AV223" s="778"/>
      <c r="AW223" s="778"/>
      <c r="AX223" s="778"/>
      <c r="AY223" s="778"/>
      <c r="AZ223" s="778"/>
      <c r="BA223" s="778"/>
      <c r="BB223" s="778"/>
      <c r="BC223" s="778"/>
      <c r="BD223" s="778"/>
      <c r="BE223" s="778"/>
      <c r="BF223" s="778"/>
      <c r="BG223" s="778"/>
      <c r="BH223" s="778"/>
      <c r="BI223" s="778"/>
      <c r="BJ223" s="778"/>
      <c r="BK223" s="778"/>
      <c r="BL223" s="778"/>
      <c r="BM223" s="778"/>
      <c r="BN223" s="778"/>
      <c r="BO223" s="778"/>
      <c r="BP223" s="778"/>
      <c r="BQ223" s="778"/>
      <c r="BR223" s="778"/>
      <c r="BS223" s="778"/>
      <c r="BT223" s="778"/>
      <c r="BU223" s="778"/>
      <c r="BV223" s="778"/>
      <c r="BW223" s="778"/>
      <c r="BX223" s="778"/>
      <c r="BY223" s="778"/>
      <c r="BZ223" s="778"/>
      <c r="CA223" s="778"/>
      <c r="CB223" s="778"/>
      <c r="CC223" s="778"/>
      <c r="CD223" s="778"/>
      <c r="CE223" s="778"/>
      <c r="CF223" s="778"/>
      <c r="CG223" s="778"/>
      <c r="CH223" s="778"/>
      <c r="CI223" s="778"/>
      <c r="CJ223" s="778"/>
      <c r="CK223" s="778"/>
      <c r="CL223" s="778"/>
      <c r="CM223" s="778"/>
      <c r="CN223" s="778"/>
      <c r="CO223" s="778"/>
      <c r="CP223" s="778"/>
      <c r="CQ223" s="778"/>
      <c r="CR223" s="778"/>
      <c r="CS223" s="778"/>
      <c r="CT223" s="778"/>
      <c r="CU223" s="778"/>
      <c r="CV223" s="778"/>
      <c r="CW223" s="778"/>
      <c r="CX223" s="778"/>
      <c r="CY223" s="778"/>
      <c r="CZ223" s="778"/>
      <c r="DA223" s="778"/>
      <c r="DB223" s="778"/>
      <c r="DC223" s="778"/>
      <c r="DD223" s="778"/>
      <c r="DE223" s="778"/>
      <c r="DF223" s="778"/>
      <c r="DG223" s="778"/>
      <c r="DH223" s="778"/>
      <c r="DI223" s="778"/>
      <c r="DJ223" s="778"/>
      <c r="DK223" s="778"/>
      <c r="DL223" s="778"/>
      <c r="DM223" s="778"/>
      <c r="DN223" s="778"/>
      <c r="DO223" s="778"/>
      <c r="DP223" s="778"/>
      <c r="DQ223" s="778"/>
      <c r="DR223" s="778"/>
      <c r="DS223" s="778"/>
      <c r="DT223" s="778"/>
      <c r="DU223" s="778"/>
      <c r="DV223" s="778"/>
      <c r="DW223" s="778"/>
      <c r="DX223" s="778"/>
      <c r="DY223" s="778"/>
      <c r="DZ223" s="778"/>
      <c r="EA223" s="778"/>
      <c r="EB223" s="778"/>
      <c r="EC223" s="778"/>
      <c r="ED223" s="778"/>
      <c r="EE223" s="778"/>
      <c r="EF223" s="778"/>
      <c r="EG223" s="778"/>
      <c r="EH223" s="778"/>
    </row>
    <row r="224" spans="5:138" ht="12.75" customHeight="1" x14ac:dyDescent="0.3">
      <c r="E224" s="778"/>
      <c r="F224" s="778"/>
      <c r="G224" s="778"/>
      <c r="H224" s="778"/>
      <c r="I224" s="778"/>
      <c r="J224" s="778"/>
      <c r="K224" s="778"/>
      <c r="L224" s="778"/>
      <c r="M224" s="778"/>
      <c r="N224" s="778"/>
      <c r="O224" s="778"/>
      <c r="P224" s="778"/>
      <c r="Q224" s="778"/>
      <c r="R224" s="778"/>
      <c r="S224" s="778"/>
      <c r="T224" s="778"/>
      <c r="U224" s="778"/>
      <c r="V224" s="778"/>
      <c r="W224" s="778"/>
      <c r="X224" s="778"/>
      <c r="Y224" s="778"/>
      <c r="Z224" s="778"/>
      <c r="AA224" s="778"/>
      <c r="AB224" s="778"/>
      <c r="AC224" s="778"/>
      <c r="AD224" s="778"/>
      <c r="AE224" s="778"/>
      <c r="AF224" s="778"/>
      <c r="AG224" s="778"/>
      <c r="AH224" s="778"/>
      <c r="AI224" s="778"/>
      <c r="AJ224" s="778"/>
      <c r="AK224" s="778"/>
      <c r="AL224" s="778"/>
      <c r="AM224" s="778"/>
      <c r="AN224" s="778"/>
      <c r="AO224" s="778"/>
      <c r="AP224" s="778"/>
      <c r="AQ224" s="778"/>
      <c r="AR224" s="778"/>
      <c r="AS224" s="778"/>
      <c r="AT224" s="778"/>
      <c r="AU224" s="778"/>
      <c r="AV224" s="778"/>
      <c r="AW224" s="778"/>
      <c r="AX224" s="778"/>
      <c r="AY224" s="778"/>
      <c r="AZ224" s="778"/>
      <c r="BA224" s="778"/>
      <c r="BB224" s="778"/>
      <c r="BC224" s="778"/>
      <c r="BD224" s="778"/>
      <c r="BE224" s="778"/>
      <c r="BF224" s="778"/>
      <c r="BG224" s="778"/>
      <c r="BH224" s="778"/>
      <c r="BI224" s="778"/>
      <c r="BJ224" s="778"/>
      <c r="BK224" s="778"/>
      <c r="BL224" s="778"/>
      <c r="BM224" s="778"/>
      <c r="BN224" s="778"/>
      <c r="BO224" s="778"/>
      <c r="BP224" s="778"/>
      <c r="BQ224" s="778"/>
      <c r="BR224" s="778"/>
      <c r="BS224" s="778"/>
      <c r="BT224" s="778"/>
      <c r="BU224" s="778"/>
      <c r="BV224" s="778"/>
      <c r="BW224" s="778"/>
      <c r="BX224" s="778"/>
      <c r="BY224" s="778"/>
      <c r="BZ224" s="778"/>
      <c r="CA224" s="778"/>
      <c r="CB224" s="778"/>
      <c r="CC224" s="778"/>
      <c r="CD224" s="778"/>
      <c r="CE224" s="778"/>
      <c r="CF224" s="778"/>
      <c r="CG224" s="778"/>
      <c r="CH224" s="778"/>
      <c r="CI224" s="778"/>
      <c r="CJ224" s="778"/>
      <c r="CK224" s="778"/>
      <c r="CL224" s="778"/>
      <c r="CM224" s="778"/>
      <c r="CN224" s="778"/>
      <c r="CO224" s="778"/>
      <c r="CP224" s="778"/>
      <c r="CQ224" s="778"/>
      <c r="CR224" s="778"/>
      <c r="CS224" s="778"/>
      <c r="CT224" s="778"/>
      <c r="CU224" s="778"/>
      <c r="CV224" s="778"/>
      <c r="CW224" s="778"/>
      <c r="CX224" s="778"/>
      <c r="CY224" s="778"/>
      <c r="CZ224" s="778"/>
      <c r="DA224" s="778"/>
      <c r="DB224" s="778"/>
      <c r="DC224" s="778"/>
      <c r="DD224" s="778"/>
      <c r="DE224" s="778"/>
      <c r="DF224" s="778"/>
      <c r="DG224" s="778"/>
      <c r="DH224" s="778"/>
      <c r="DI224" s="778"/>
      <c r="DJ224" s="778"/>
      <c r="DK224" s="778"/>
      <c r="DL224" s="778"/>
      <c r="DM224" s="778"/>
      <c r="DN224" s="778"/>
      <c r="DO224" s="778"/>
      <c r="DP224" s="778"/>
      <c r="DQ224" s="778"/>
      <c r="DR224" s="778"/>
      <c r="DS224" s="778"/>
      <c r="DT224" s="778"/>
      <c r="DU224" s="778"/>
      <c r="DV224" s="778"/>
      <c r="DW224" s="778"/>
      <c r="DX224" s="778"/>
      <c r="DY224" s="778"/>
      <c r="DZ224" s="778"/>
      <c r="EA224" s="778"/>
      <c r="EB224" s="778"/>
      <c r="EC224" s="778"/>
      <c r="ED224" s="778"/>
      <c r="EE224" s="778"/>
      <c r="EF224" s="778"/>
      <c r="EG224" s="778"/>
      <c r="EH224" s="778"/>
    </row>
    <row r="225" spans="5:138" ht="12.75" customHeight="1" x14ac:dyDescent="0.3">
      <c r="E225" s="778"/>
      <c r="F225" s="778"/>
      <c r="G225" s="778"/>
      <c r="H225" s="778"/>
      <c r="I225" s="778"/>
      <c r="J225" s="778"/>
      <c r="K225" s="778"/>
      <c r="L225" s="778"/>
      <c r="M225" s="778"/>
      <c r="N225" s="778"/>
      <c r="O225" s="778"/>
      <c r="P225" s="778"/>
      <c r="Q225" s="778"/>
      <c r="R225" s="778"/>
      <c r="S225" s="778"/>
      <c r="T225" s="778"/>
      <c r="U225" s="778"/>
      <c r="V225" s="778"/>
      <c r="W225" s="778"/>
      <c r="X225" s="778"/>
      <c r="Y225" s="778"/>
      <c r="Z225" s="778"/>
      <c r="AA225" s="778"/>
      <c r="AB225" s="778"/>
      <c r="AC225" s="778"/>
      <c r="AD225" s="778"/>
      <c r="AE225" s="778"/>
      <c r="AF225" s="778"/>
      <c r="AG225" s="778"/>
      <c r="AH225" s="778"/>
      <c r="AI225" s="778"/>
      <c r="AJ225" s="778"/>
      <c r="AK225" s="778"/>
      <c r="AL225" s="778"/>
      <c r="AM225" s="778"/>
      <c r="AN225" s="778"/>
      <c r="AO225" s="778"/>
      <c r="AP225" s="778"/>
      <c r="AQ225" s="778"/>
      <c r="AR225" s="778"/>
      <c r="AS225" s="778"/>
      <c r="AT225" s="778"/>
      <c r="AU225" s="778"/>
      <c r="AV225" s="778"/>
      <c r="AW225" s="778"/>
      <c r="AX225" s="778"/>
      <c r="AY225" s="778"/>
      <c r="AZ225" s="778"/>
      <c r="BA225" s="778"/>
      <c r="BB225" s="778"/>
      <c r="BC225" s="778"/>
      <c r="BD225" s="778"/>
      <c r="BE225" s="778"/>
      <c r="BF225" s="778"/>
      <c r="BG225" s="778"/>
      <c r="BH225" s="778"/>
      <c r="BI225" s="778"/>
      <c r="BJ225" s="778"/>
      <c r="BK225" s="778"/>
      <c r="BL225" s="778"/>
      <c r="BM225" s="778"/>
      <c r="BN225" s="778"/>
      <c r="BO225" s="778"/>
      <c r="BP225" s="778"/>
      <c r="BQ225" s="778"/>
      <c r="BR225" s="778"/>
      <c r="BS225" s="778"/>
      <c r="BT225" s="778"/>
      <c r="BU225" s="778"/>
      <c r="BV225" s="778"/>
      <c r="BW225" s="778"/>
      <c r="BX225" s="778"/>
      <c r="BY225" s="778"/>
      <c r="BZ225" s="778"/>
      <c r="CA225" s="778"/>
      <c r="CB225" s="778"/>
      <c r="CC225" s="778"/>
      <c r="CD225" s="778"/>
      <c r="CE225" s="778"/>
      <c r="CF225" s="778"/>
      <c r="CG225" s="778"/>
      <c r="CH225" s="778"/>
      <c r="CI225" s="778"/>
      <c r="CJ225" s="778"/>
      <c r="CK225" s="778"/>
      <c r="CL225" s="778"/>
      <c r="CM225" s="778"/>
      <c r="CN225" s="778"/>
      <c r="CO225" s="778"/>
      <c r="CP225" s="778"/>
      <c r="CQ225" s="778"/>
      <c r="CR225" s="778"/>
      <c r="CS225" s="778"/>
      <c r="CT225" s="778"/>
      <c r="CU225" s="778"/>
      <c r="CV225" s="778"/>
      <c r="CW225" s="778"/>
      <c r="CX225" s="778"/>
      <c r="CY225" s="778"/>
      <c r="CZ225" s="778"/>
      <c r="DA225" s="778"/>
      <c r="DB225" s="778"/>
      <c r="DC225" s="778"/>
      <c r="DD225" s="778"/>
      <c r="DE225" s="778"/>
      <c r="DF225" s="778"/>
      <c r="DG225" s="778"/>
      <c r="DH225" s="778"/>
      <c r="DI225" s="778"/>
      <c r="DJ225" s="778"/>
      <c r="DK225" s="778"/>
      <c r="DL225" s="778"/>
      <c r="DM225" s="778"/>
      <c r="DN225" s="778"/>
      <c r="DO225" s="778"/>
      <c r="DP225" s="778"/>
      <c r="DQ225" s="778"/>
      <c r="DR225" s="778"/>
      <c r="DS225" s="778"/>
      <c r="DT225" s="778"/>
      <c r="DU225" s="778"/>
      <c r="DV225" s="778"/>
      <c r="DW225" s="778"/>
      <c r="DX225" s="778"/>
      <c r="DY225" s="778"/>
      <c r="DZ225" s="778"/>
      <c r="EA225" s="778"/>
      <c r="EB225" s="778"/>
      <c r="EC225" s="778"/>
      <c r="ED225" s="778"/>
      <c r="EE225" s="778"/>
      <c r="EF225" s="778"/>
      <c r="EG225" s="778"/>
      <c r="EH225" s="778"/>
    </row>
    <row r="226" spans="5:138" ht="12.75" customHeight="1" x14ac:dyDescent="0.3">
      <c r="E226" s="778"/>
      <c r="F226" s="778"/>
      <c r="G226" s="778"/>
      <c r="H226" s="778"/>
      <c r="I226" s="778"/>
      <c r="J226" s="778"/>
      <c r="K226" s="778"/>
      <c r="L226" s="778"/>
      <c r="M226" s="778"/>
      <c r="N226" s="778"/>
      <c r="O226" s="778"/>
      <c r="P226" s="778"/>
      <c r="Q226" s="778"/>
      <c r="R226" s="778"/>
      <c r="S226" s="778"/>
      <c r="T226" s="778"/>
      <c r="U226" s="778"/>
      <c r="V226" s="778"/>
      <c r="W226" s="778"/>
      <c r="X226" s="778"/>
      <c r="Y226" s="778"/>
      <c r="Z226" s="778"/>
      <c r="AA226" s="778"/>
      <c r="AB226" s="778"/>
      <c r="AC226" s="778"/>
      <c r="AD226" s="778"/>
      <c r="AE226" s="778"/>
      <c r="AF226" s="778"/>
      <c r="AG226" s="778"/>
      <c r="AH226" s="778"/>
      <c r="AI226" s="778"/>
      <c r="AJ226" s="778"/>
      <c r="AK226" s="778"/>
      <c r="AL226" s="778"/>
      <c r="AM226" s="778"/>
      <c r="AN226" s="778"/>
      <c r="AO226" s="778"/>
      <c r="AP226" s="778"/>
      <c r="AQ226" s="778"/>
      <c r="AR226" s="778"/>
      <c r="AS226" s="778"/>
      <c r="AT226" s="778"/>
      <c r="AU226" s="778"/>
      <c r="AV226" s="778"/>
      <c r="AW226" s="778"/>
      <c r="AX226" s="778"/>
      <c r="AY226" s="778"/>
      <c r="AZ226" s="778"/>
      <c r="BA226" s="778"/>
      <c r="BB226" s="778"/>
      <c r="BC226" s="778"/>
      <c r="BD226" s="778"/>
      <c r="BE226" s="778"/>
      <c r="BF226" s="778"/>
      <c r="BG226" s="778"/>
      <c r="BH226" s="778"/>
      <c r="BI226" s="778"/>
      <c r="BJ226" s="778"/>
      <c r="BK226" s="778"/>
      <c r="BL226" s="778"/>
      <c r="BM226" s="778"/>
      <c r="BN226" s="778"/>
      <c r="BO226" s="778"/>
      <c r="BP226" s="778"/>
      <c r="BQ226" s="778"/>
      <c r="BR226" s="778"/>
      <c r="BS226" s="778"/>
      <c r="BT226" s="778"/>
      <c r="BU226" s="778"/>
      <c r="BV226" s="778"/>
      <c r="BW226" s="778"/>
      <c r="BX226" s="778"/>
      <c r="BY226" s="778"/>
      <c r="BZ226" s="778"/>
      <c r="CA226" s="778"/>
      <c r="CB226" s="778"/>
      <c r="CC226" s="778"/>
      <c r="CD226" s="778"/>
      <c r="CE226" s="778"/>
      <c r="CF226" s="778"/>
      <c r="CG226" s="778"/>
      <c r="CH226" s="778"/>
      <c r="CI226" s="778"/>
      <c r="CJ226" s="778"/>
      <c r="CK226" s="778"/>
      <c r="CL226" s="778"/>
      <c r="CM226" s="778"/>
      <c r="CN226" s="778"/>
      <c r="CO226" s="778"/>
      <c r="CP226" s="778"/>
      <c r="CQ226" s="778"/>
      <c r="CR226" s="778"/>
      <c r="CS226" s="778"/>
      <c r="CT226" s="778"/>
      <c r="CU226" s="778"/>
      <c r="CV226" s="778"/>
      <c r="CW226" s="778"/>
      <c r="CX226" s="778"/>
      <c r="CY226" s="778"/>
      <c r="CZ226" s="778"/>
      <c r="DA226" s="778"/>
      <c r="DB226" s="778"/>
      <c r="DC226" s="778"/>
      <c r="DD226" s="778"/>
      <c r="DE226" s="778"/>
      <c r="DF226" s="778"/>
      <c r="DG226" s="778"/>
      <c r="DH226" s="778"/>
      <c r="DI226" s="778"/>
      <c r="DJ226" s="778"/>
      <c r="DK226" s="778"/>
      <c r="DL226" s="778"/>
      <c r="DM226" s="778"/>
      <c r="DN226" s="778"/>
      <c r="DO226" s="778"/>
      <c r="DP226" s="778"/>
      <c r="DQ226" s="778"/>
      <c r="DR226" s="778"/>
      <c r="DS226" s="778"/>
      <c r="DT226" s="778"/>
      <c r="DU226" s="778"/>
      <c r="DV226" s="778"/>
      <c r="DW226" s="778"/>
      <c r="DX226" s="778"/>
      <c r="DY226" s="778"/>
      <c r="DZ226" s="778"/>
      <c r="EA226" s="778"/>
      <c r="EB226" s="778"/>
      <c r="EC226" s="778"/>
      <c r="ED226" s="778"/>
      <c r="EE226" s="778"/>
      <c r="EF226" s="778"/>
      <c r="EG226" s="778"/>
      <c r="EH226" s="778"/>
    </row>
    <row r="227" spans="5:138" ht="12.75" customHeight="1" x14ac:dyDescent="0.3">
      <c r="E227" s="778"/>
      <c r="F227" s="778"/>
      <c r="G227" s="778"/>
      <c r="H227" s="778"/>
      <c r="I227" s="778"/>
      <c r="J227" s="778"/>
      <c r="K227" s="778"/>
      <c r="L227" s="778"/>
      <c r="M227" s="778"/>
      <c r="N227" s="778"/>
      <c r="O227" s="778"/>
      <c r="P227" s="778"/>
      <c r="Q227" s="778"/>
      <c r="R227" s="778"/>
      <c r="S227" s="778"/>
      <c r="T227" s="778"/>
      <c r="U227" s="778"/>
      <c r="V227" s="778"/>
      <c r="W227" s="778"/>
      <c r="X227" s="778"/>
      <c r="Y227" s="778"/>
      <c r="Z227" s="778"/>
      <c r="AA227" s="778"/>
      <c r="AB227" s="778"/>
      <c r="AC227" s="778"/>
      <c r="AD227" s="778"/>
      <c r="AE227" s="778"/>
      <c r="AF227" s="778"/>
      <c r="AG227" s="778"/>
      <c r="AH227" s="778"/>
      <c r="AI227" s="778"/>
      <c r="AJ227" s="778"/>
      <c r="AK227" s="778"/>
      <c r="AL227" s="778"/>
      <c r="AM227" s="778"/>
      <c r="AN227" s="778"/>
      <c r="AO227" s="778"/>
      <c r="AP227" s="778"/>
      <c r="AQ227" s="778"/>
      <c r="AR227" s="778"/>
      <c r="AS227" s="778"/>
      <c r="AT227" s="778"/>
      <c r="AU227" s="778"/>
      <c r="AV227" s="778"/>
      <c r="AW227" s="778"/>
      <c r="AX227" s="778"/>
      <c r="AY227" s="778"/>
      <c r="AZ227" s="778"/>
      <c r="BA227" s="778"/>
      <c r="BB227" s="778"/>
      <c r="BC227" s="778"/>
      <c r="BD227" s="778"/>
      <c r="BE227" s="778"/>
      <c r="BF227" s="778"/>
      <c r="BG227" s="778"/>
      <c r="BH227" s="778"/>
      <c r="BI227" s="778"/>
      <c r="BJ227" s="778"/>
      <c r="BK227" s="778"/>
      <c r="BL227" s="778"/>
      <c r="BM227" s="778"/>
      <c r="BN227" s="778"/>
      <c r="BO227" s="778"/>
      <c r="BP227" s="778"/>
      <c r="BQ227" s="778"/>
      <c r="BR227" s="778"/>
      <c r="BS227" s="778"/>
      <c r="BT227" s="778"/>
      <c r="BU227" s="778"/>
      <c r="BV227" s="778"/>
      <c r="BW227" s="778"/>
      <c r="BX227" s="778"/>
      <c r="BY227" s="778"/>
      <c r="BZ227" s="778"/>
      <c r="CA227" s="778"/>
      <c r="CB227" s="778"/>
      <c r="CC227" s="778"/>
      <c r="CD227" s="778"/>
      <c r="CE227" s="778"/>
      <c r="CF227" s="778"/>
      <c r="CG227" s="778"/>
      <c r="CH227" s="778"/>
      <c r="CI227" s="778"/>
      <c r="CJ227" s="778"/>
      <c r="CK227" s="778"/>
      <c r="CL227" s="778"/>
      <c r="CM227" s="778"/>
      <c r="CN227" s="778"/>
      <c r="CO227" s="778"/>
      <c r="CP227" s="778"/>
      <c r="CQ227" s="778"/>
      <c r="CR227" s="778"/>
      <c r="CS227" s="778"/>
      <c r="CT227" s="778"/>
      <c r="CU227" s="778"/>
      <c r="CV227" s="778"/>
      <c r="CW227" s="778"/>
      <c r="CX227" s="778"/>
      <c r="CY227" s="778"/>
      <c r="CZ227" s="778"/>
      <c r="DA227" s="778"/>
      <c r="DB227" s="778"/>
      <c r="DC227" s="778"/>
      <c r="DD227" s="778"/>
      <c r="DE227" s="778"/>
      <c r="DF227" s="778"/>
      <c r="DG227" s="778"/>
      <c r="DH227" s="778"/>
      <c r="DI227" s="778"/>
      <c r="DJ227" s="778"/>
      <c r="DK227" s="778"/>
      <c r="DL227" s="778"/>
      <c r="DM227" s="778"/>
      <c r="DN227" s="778"/>
      <c r="DO227" s="778"/>
      <c r="DP227" s="778"/>
      <c r="DQ227" s="778"/>
      <c r="DR227" s="778"/>
      <c r="DS227" s="778"/>
      <c r="DT227" s="778"/>
      <c r="DU227" s="778"/>
      <c r="DV227" s="778"/>
      <c r="DW227" s="778"/>
      <c r="DX227" s="778"/>
      <c r="DY227" s="778"/>
      <c r="DZ227" s="778"/>
      <c r="EA227" s="778"/>
      <c r="EB227" s="778"/>
      <c r="EC227" s="778"/>
      <c r="ED227" s="778"/>
      <c r="EE227" s="778"/>
      <c r="EF227" s="778"/>
      <c r="EG227" s="778"/>
      <c r="EH227" s="778"/>
    </row>
    <row r="228" spans="5:138" ht="12.75" customHeight="1" x14ac:dyDescent="0.3">
      <c r="E228" s="778"/>
      <c r="F228" s="778"/>
      <c r="G228" s="778"/>
      <c r="H228" s="778"/>
      <c r="I228" s="778"/>
      <c r="J228" s="778"/>
      <c r="K228" s="778"/>
      <c r="L228" s="778"/>
      <c r="M228" s="778"/>
      <c r="N228" s="778"/>
      <c r="O228" s="778"/>
      <c r="P228" s="778"/>
      <c r="Q228" s="778"/>
      <c r="R228" s="778"/>
      <c r="S228" s="778"/>
      <c r="T228" s="778"/>
      <c r="U228" s="778"/>
      <c r="V228" s="778"/>
      <c r="W228" s="778"/>
      <c r="X228" s="778"/>
      <c r="Y228" s="778"/>
      <c r="Z228" s="778"/>
      <c r="AA228" s="778"/>
      <c r="AB228" s="778"/>
      <c r="AC228" s="778"/>
      <c r="AD228" s="778"/>
      <c r="AE228" s="778"/>
      <c r="AF228" s="778"/>
      <c r="AG228" s="778"/>
      <c r="AH228" s="778"/>
      <c r="AI228" s="778"/>
      <c r="AJ228" s="778"/>
      <c r="AK228" s="778"/>
      <c r="AL228" s="778"/>
      <c r="AM228" s="778"/>
      <c r="AN228" s="778"/>
      <c r="AO228" s="778"/>
      <c r="AP228" s="778"/>
      <c r="AQ228" s="778"/>
      <c r="AR228" s="778"/>
      <c r="AS228" s="778"/>
      <c r="AT228" s="778"/>
      <c r="AU228" s="778"/>
      <c r="AV228" s="778"/>
      <c r="AW228" s="778"/>
      <c r="AX228" s="778"/>
      <c r="AY228" s="778"/>
      <c r="AZ228" s="778"/>
      <c r="BA228" s="778"/>
      <c r="BB228" s="778"/>
      <c r="BC228" s="778"/>
      <c r="BD228" s="778"/>
      <c r="BE228" s="778"/>
      <c r="BF228" s="778"/>
      <c r="BG228" s="778"/>
      <c r="BH228" s="778"/>
      <c r="BI228" s="778"/>
      <c r="BJ228" s="778"/>
      <c r="BK228" s="778"/>
      <c r="BL228" s="778"/>
      <c r="BM228" s="778"/>
      <c r="BN228" s="778"/>
      <c r="BO228" s="778"/>
      <c r="BP228" s="778"/>
      <c r="BQ228" s="778"/>
      <c r="BR228" s="778"/>
      <c r="BS228" s="778"/>
      <c r="BT228" s="778"/>
      <c r="BU228" s="778"/>
      <c r="BV228" s="778"/>
      <c r="BW228" s="778"/>
      <c r="BX228" s="778"/>
      <c r="BY228" s="778"/>
      <c r="BZ228" s="778"/>
      <c r="CA228" s="778"/>
      <c r="CB228" s="778"/>
      <c r="CC228" s="778"/>
      <c r="CD228" s="778"/>
      <c r="CE228" s="778"/>
      <c r="CF228" s="778"/>
      <c r="CG228" s="778"/>
      <c r="CH228" s="778"/>
      <c r="CI228" s="778"/>
      <c r="CJ228" s="778"/>
      <c r="CK228" s="778"/>
      <c r="CL228" s="778"/>
      <c r="CM228" s="778"/>
      <c r="CN228" s="778"/>
      <c r="CO228" s="778"/>
      <c r="CP228" s="778"/>
      <c r="CQ228" s="778"/>
      <c r="CR228" s="778"/>
      <c r="CS228" s="778"/>
      <c r="CT228" s="778"/>
      <c r="CU228" s="778"/>
      <c r="CV228" s="778"/>
      <c r="CW228" s="778"/>
      <c r="CX228" s="778"/>
      <c r="CY228" s="778"/>
      <c r="CZ228" s="778"/>
      <c r="DA228" s="778"/>
      <c r="DB228" s="778"/>
      <c r="DC228" s="778"/>
      <c r="DD228" s="778"/>
      <c r="DE228" s="778"/>
      <c r="DF228" s="778"/>
      <c r="DG228" s="778"/>
      <c r="DH228" s="778"/>
      <c r="DI228" s="778"/>
      <c r="DJ228" s="778"/>
      <c r="DK228" s="778"/>
      <c r="DL228" s="778"/>
      <c r="DM228" s="778"/>
      <c r="DN228" s="778"/>
      <c r="DO228" s="778"/>
      <c r="DP228" s="778"/>
      <c r="DQ228" s="778"/>
      <c r="DR228" s="778"/>
      <c r="DS228" s="778"/>
      <c r="DT228" s="778"/>
      <c r="DU228" s="778"/>
      <c r="DV228" s="778"/>
      <c r="DW228" s="778"/>
      <c r="DX228" s="778"/>
      <c r="DY228" s="778"/>
      <c r="DZ228" s="778"/>
      <c r="EA228" s="778"/>
      <c r="EB228" s="778"/>
      <c r="EC228" s="778"/>
      <c r="ED228" s="778"/>
      <c r="EE228" s="778"/>
      <c r="EF228" s="778"/>
      <c r="EG228" s="778"/>
      <c r="EH228" s="778"/>
    </row>
    <row r="229" spans="5:138" ht="12.75" customHeight="1" x14ac:dyDescent="0.3">
      <c r="E229" s="778"/>
      <c r="F229" s="778"/>
      <c r="G229" s="778"/>
      <c r="H229" s="778"/>
      <c r="I229" s="778"/>
      <c r="J229" s="778"/>
      <c r="K229" s="778"/>
      <c r="L229" s="778"/>
      <c r="M229" s="778"/>
      <c r="N229" s="778"/>
      <c r="O229" s="778"/>
      <c r="P229" s="778"/>
      <c r="Q229" s="778"/>
      <c r="R229" s="778"/>
      <c r="S229" s="778"/>
      <c r="T229" s="778"/>
      <c r="U229" s="778"/>
      <c r="V229" s="778"/>
      <c r="W229" s="778"/>
      <c r="X229" s="778"/>
      <c r="Y229" s="778"/>
      <c r="Z229" s="778"/>
      <c r="AA229" s="778"/>
      <c r="AB229" s="778"/>
      <c r="AC229" s="778"/>
      <c r="AD229" s="778"/>
      <c r="AE229" s="778"/>
      <c r="AF229" s="778"/>
      <c r="AG229" s="778"/>
      <c r="AH229" s="778"/>
      <c r="AI229" s="778"/>
      <c r="AJ229" s="778"/>
      <c r="AK229" s="778"/>
      <c r="AL229" s="778"/>
      <c r="AM229" s="778"/>
      <c r="AN229" s="778"/>
      <c r="AO229" s="778"/>
      <c r="AP229" s="778"/>
      <c r="AQ229" s="778"/>
      <c r="AR229" s="778"/>
      <c r="AS229" s="778"/>
      <c r="AT229" s="778"/>
      <c r="AU229" s="778"/>
      <c r="AV229" s="778"/>
      <c r="AW229" s="778"/>
      <c r="AX229" s="778"/>
      <c r="AY229" s="778"/>
      <c r="AZ229" s="778"/>
      <c r="BA229" s="778"/>
      <c r="BB229" s="778"/>
      <c r="BC229" s="778"/>
      <c r="BD229" s="778"/>
      <c r="BE229" s="778"/>
      <c r="BF229" s="778"/>
      <c r="BG229" s="778"/>
      <c r="BH229" s="778"/>
      <c r="BI229" s="778"/>
      <c r="BJ229" s="778"/>
      <c r="BK229" s="778"/>
      <c r="BL229" s="778"/>
      <c r="BM229" s="778"/>
      <c r="BN229" s="778"/>
      <c r="BO229" s="778"/>
      <c r="BP229" s="778"/>
      <c r="BQ229" s="778"/>
      <c r="BR229" s="778"/>
      <c r="BS229" s="778"/>
      <c r="BT229" s="778"/>
      <c r="BU229" s="778"/>
      <c r="BV229" s="778"/>
      <c r="BW229" s="778"/>
      <c r="BX229" s="778"/>
      <c r="BY229" s="778"/>
      <c r="BZ229" s="778"/>
      <c r="CA229" s="778"/>
      <c r="CB229" s="778"/>
      <c r="CC229" s="778"/>
      <c r="CD229" s="778"/>
      <c r="CE229" s="778"/>
      <c r="CF229" s="778"/>
      <c r="CG229" s="778"/>
      <c r="CH229" s="778"/>
      <c r="CI229" s="778"/>
      <c r="CJ229" s="778"/>
      <c r="CK229" s="778"/>
      <c r="CL229" s="778"/>
      <c r="CM229" s="778"/>
      <c r="CN229" s="778"/>
      <c r="CO229" s="778"/>
      <c r="CP229" s="778"/>
      <c r="CQ229" s="778"/>
      <c r="CR229" s="778"/>
      <c r="CS229" s="778"/>
      <c r="CT229" s="778"/>
      <c r="CU229" s="778"/>
      <c r="CV229" s="778"/>
      <c r="CW229" s="778"/>
      <c r="CX229" s="778"/>
      <c r="CY229" s="778"/>
      <c r="CZ229" s="778"/>
      <c r="DA229" s="778"/>
      <c r="DB229" s="778"/>
      <c r="DC229" s="778"/>
      <c r="DD229" s="778"/>
      <c r="DE229" s="778"/>
      <c r="DF229" s="778"/>
      <c r="DG229" s="778"/>
      <c r="DH229" s="778"/>
      <c r="DI229" s="778"/>
      <c r="DJ229" s="778"/>
      <c r="DK229" s="778"/>
      <c r="DL229" s="778"/>
      <c r="DM229" s="778"/>
      <c r="DN229" s="778"/>
      <c r="DO229" s="778"/>
      <c r="DP229" s="778"/>
      <c r="DQ229" s="778"/>
      <c r="DR229" s="778"/>
      <c r="DS229" s="778"/>
      <c r="DT229" s="778"/>
      <c r="DU229" s="778"/>
      <c r="DV229" s="778"/>
      <c r="DW229" s="778"/>
      <c r="DX229" s="778"/>
      <c r="DY229" s="778"/>
      <c r="DZ229" s="778"/>
      <c r="EA229" s="778"/>
      <c r="EB229" s="778"/>
      <c r="EC229" s="778"/>
      <c r="ED229" s="778"/>
      <c r="EE229" s="778"/>
      <c r="EF229" s="778"/>
      <c r="EG229" s="778"/>
      <c r="EH229" s="778"/>
    </row>
    <row r="230" spans="5:138" ht="12.75" customHeight="1" x14ac:dyDescent="0.3">
      <c r="E230" s="778"/>
      <c r="F230" s="778"/>
      <c r="G230" s="778"/>
      <c r="H230" s="778"/>
      <c r="I230" s="778"/>
      <c r="J230" s="778"/>
      <c r="K230" s="778"/>
      <c r="L230" s="778"/>
      <c r="M230" s="778"/>
      <c r="N230" s="778"/>
      <c r="O230" s="778"/>
      <c r="P230" s="778"/>
      <c r="Q230" s="778"/>
      <c r="R230" s="778"/>
      <c r="S230" s="778"/>
      <c r="T230" s="778"/>
      <c r="U230" s="778"/>
      <c r="V230" s="778"/>
      <c r="W230" s="778"/>
      <c r="X230" s="778"/>
      <c r="Y230" s="778"/>
      <c r="Z230" s="778"/>
      <c r="AA230" s="778"/>
      <c r="AB230" s="778"/>
      <c r="AC230" s="778"/>
      <c r="AD230" s="778"/>
      <c r="AE230" s="778"/>
      <c r="AF230" s="778"/>
      <c r="AG230" s="778"/>
      <c r="AH230" s="778"/>
      <c r="AI230" s="778"/>
      <c r="AJ230" s="778"/>
      <c r="AK230" s="778"/>
      <c r="AL230" s="778"/>
      <c r="AM230" s="778"/>
      <c r="AN230" s="778"/>
      <c r="AO230" s="778"/>
      <c r="AP230" s="778"/>
      <c r="AQ230" s="778"/>
      <c r="AR230" s="778"/>
      <c r="AS230" s="778"/>
      <c r="AT230" s="778"/>
      <c r="AU230" s="778"/>
      <c r="AV230" s="778"/>
      <c r="AW230" s="778"/>
      <c r="AX230" s="778"/>
      <c r="AY230" s="778"/>
      <c r="AZ230" s="778"/>
      <c r="BA230" s="778"/>
      <c r="BB230" s="778"/>
      <c r="BC230" s="778"/>
      <c r="BD230" s="778"/>
      <c r="BE230" s="778"/>
      <c r="BF230" s="778"/>
      <c r="BG230" s="778"/>
      <c r="BH230" s="778"/>
      <c r="BI230" s="778"/>
      <c r="BJ230" s="778"/>
      <c r="BK230" s="778"/>
      <c r="BL230" s="778"/>
      <c r="BM230" s="778"/>
      <c r="BN230" s="778"/>
      <c r="BO230" s="778"/>
      <c r="BP230" s="778"/>
      <c r="BQ230" s="778"/>
      <c r="BR230" s="778"/>
      <c r="BS230" s="778"/>
      <c r="BT230" s="778"/>
      <c r="BU230" s="778"/>
      <c r="BV230" s="778"/>
      <c r="BW230" s="778"/>
      <c r="BX230" s="778"/>
      <c r="BY230" s="778"/>
      <c r="BZ230" s="778"/>
      <c r="CA230" s="778"/>
      <c r="CB230" s="778"/>
      <c r="CC230" s="778"/>
      <c r="CD230" s="778"/>
      <c r="CE230" s="778"/>
      <c r="CF230" s="778"/>
      <c r="CG230" s="778"/>
      <c r="CH230" s="778"/>
      <c r="CI230" s="778"/>
      <c r="CJ230" s="778"/>
      <c r="CK230" s="778"/>
      <c r="CL230" s="778"/>
      <c r="CM230" s="778"/>
      <c r="CN230" s="778"/>
      <c r="CO230" s="778"/>
      <c r="CP230" s="778"/>
      <c r="CQ230" s="778"/>
      <c r="CR230" s="778"/>
      <c r="CS230" s="778"/>
      <c r="CT230" s="778"/>
      <c r="CU230" s="778"/>
      <c r="CV230" s="778"/>
      <c r="CW230" s="778"/>
      <c r="CX230" s="778"/>
      <c r="CY230" s="778"/>
      <c r="CZ230" s="778"/>
      <c r="DA230" s="778"/>
      <c r="DB230" s="778"/>
      <c r="DC230" s="778"/>
      <c r="DD230" s="778"/>
      <c r="DE230" s="778"/>
      <c r="DF230" s="778"/>
      <c r="DG230" s="778"/>
      <c r="DH230" s="778"/>
      <c r="DI230" s="778"/>
      <c r="DJ230" s="778"/>
      <c r="DK230" s="778"/>
      <c r="DL230" s="778"/>
      <c r="DM230" s="778"/>
      <c r="DN230" s="778"/>
      <c r="DO230" s="778"/>
      <c r="DP230" s="778"/>
      <c r="DQ230" s="778"/>
      <c r="DR230" s="778"/>
      <c r="DS230" s="778"/>
      <c r="DT230" s="778"/>
      <c r="DU230" s="778"/>
      <c r="DV230" s="778"/>
      <c r="DW230" s="778"/>
      <c r="DX230" s="778"/>
      <c r="DY230" s="778"/>
      <c r="DZ230" s="778"/>
      <c r="EA230" s="778"/>
      <c r="EB230" s="778"/>
      <c r="EC230" s="778"/>
      <c r="ED230" s="778"/>
      <c r="EE230" s="778"/>
      <c r="EF230" s="778"/>
      <c r="EG230" s="778"/>
      <c r="EH230" s="778"/>
    </row>
    <row r="231" spans="5:138" ht="12.75" customHeight="1" x14ac:dyDescent="0.3">
      <c r="E231" s="778"/>
      <c r="F231" s="778"/>
      <c r="G231" s="778"/>
      <c r="H231" s="778"/>
      <c r="I231" s="778"/>
      <c r="J231" s="778"/>
      <c r="K231" s="778"/>
      <c r="L231" s="778"/>
      <c r="M231" s="778"/>
      <c r="N231" s="778"/>
      <c r="O231" s="778"/>
      <c r="P231" s="778"/>
      <c r="Q231" s="778"/>
      <c r="R231" s="778"/>
      <c r="S231" s="778"/>
      <c r="T231" s="778"/>
      <c r="U231" s="778"/>
      <c r="V231" s="778"/>
      <c r="W231" s="778"/>
      <c r="X231" s="778"/>
      <c r="Y231" s="778"/>
      <c r="Z231" s="778"/>
      <c r="AA231" s="778"/>
      <c r="AB231" s="778"/>
      <c r="AC231" s="778"/>
      <c r="AD231" s="778"/>
      <c r="AE231" s="778"/>
      <c r="AF231" s="778"/>
      <c r="AG231" s="778"/>
      <c r="AH231" s="778"/>
      <c r="AI231" s="778"/>
      <c r="AJ231" s="778"/>
      <c r="AK231" s="778"/>
      <c r="AL231" s="778"/>
      <c r="AM231" s="778"/>
      <c r="AN231" s="778"/>
      <c r="AO231" s="778"/>
      <c r="AP231" s="778"/>
      <c r="AQ231" s="778"/>
      <c r="AR231" s="778"/>
      <c r="AS231" s="778"/>
      <c r="AT231" s="778"/>
      <c r="AU231" s="778"/>
      <c r="AV231" s="778"/>
      <c r="AW231" s="778"/>
      <c r="AX231" s="778"/>
      <c r="AY231" s="778"/>
      <c r="AZ231" s="778"/>
      <c r="BA231" s="778"/>
      <c r="BB231" s="778"/>
      <c r="BC231" s="778"/>
      <c r="BD231" s="778"/>
      <c r="BE231" s="778"/>
      <c r="BF231" s="778"/>
      <c r="BG231" s="778"/>
      <c r="BH231" s="778"/>
      <c r="BI231" s="778"/>
      <c r="BJ231" s="778"/>
      <c r="BK231" s="778"/>
      <c r="BL231" s="778"/>
      <c r="BM231" s="778"/>
      <c r="BN231" s="778"/>
      <c r="BO231" s="778"/>
      <c r="BP231" s="778"/>
      <c r="BQ231" s="778"/>
      <c r="BR231" s="778"/>
      <c r="BS231" s="778"/>
      <c r="BT231" s="778"/>
      <c r="BU231" s="778"/>
      <c r="BV231" s="778"/>
      <c r="BW231" s="778"/>
      <c r="BX231" s="778"/>
      <c r="BY231" s="778"/>
      <c r="BZ231" s="778"/>
      <c r="CA231" s="778"/>
      <c r="CB231" s="778"/>
      <c r="CC231" s="778"/>
      <c r="CD231" s="778"/>
      <c r="CE231" s="778"/>
      <c r="CF231" s="778"/>
      <c r="CG231" s="778"/>
      <c r="CH231" s="778"/>
      <c r="CI231" s="778"/>
      <c r="CJ231" s="778"/>
      <c r="CK231" s="778"/>
      <c r="CL231" s="778"/>
      <c r="CM231" s="778"/>
      <c r="CN231" s="778"/>
      <c r="CO231" s="778"/>
      <c r="CP231" s="778"/>
      <c r="CQ231" s="778"/>
      <c r="CR231" s="778"/>
      <c r="CS231" s="778"/>
      <c r="CT231" s="778"/>
      <c r="CU231" s="778"/>
      <c r="CV231" s="778"/>
      <c r="CW231" s="778"/>
      <c r="CX231" s="778"/>
      <c r="CY231" s="778"/>
      <c r="CZ231" s="778"/>
      <c r="DA231" s="778"/>
      <c r="DB231" s="778"/>
      <c r="DC231" s="778"/>
      <c r="DD231" s="778"/>
      <c r="DE231" s="778"/>
      <c r="DF231" s="778"/>
      <c r="DG231" s="778"/>
      <c r="DH231" s="778"/>
      <c r="DI231" s="778"/>
      <c r="DJ231" s="778"/>
      <c r="DK231" s="778"/>
      <c r="DL231" s="778"/>
      <c r="DM231" s="778"/>
      <c r="DN231" s="778"/>
      <c r="DO231" s="778"/>
      <c r="DP231" s="778"/>
      <c r="DQ231" s="778"/>
      <c r="DR231" s="778"/>
      <c r="DS231" s="778"/>
      <c r="DT231" s="778"/>
      <c r="DU231" s="778"/>
      <c r="DV231" s="778"/>
      <c r="DW231" s="778"/>
      <c r="DX231" s="778"/>
      <c r="DY231" s="778"/>
      <c r="DZ231" s="778"/>
      <c r="EA231" s="778"/>
      <c r="EB231" s="778"/>
      <c r="EC231" s="778"/>
      <c r="ED231" s="778"/>
      <c r="EE231" s="778"/>
      <c r="EF231" s="778"/>
      <c r="EG231" s="778"/>
      <c r="EH231" s="778"/>
    </row>
    <row r="232" spans="5:138" ht="12.75" customHeight="1" x14ac:dyDescent="0.3">
      <c r="E232" s="778"/>
      <c r="F232" s="778"/>
      <c r="G232" s="778"/>
      <c r="H232" s="778"/>
      <c r="I232" s="778"/>
      <c r="J232" s="778"/>
      <c r="K232" s="778"/>
      <c r="L232" s="778"/>
      <c r="M232" s="778"/>
      <c r="N232" s="778"/>
      <c r="O232" s="778"/>
      <c r="P232" s="778"/>
      <c r="Q232" s="778"/>
      <c r="R232" s="778"/>
      <c r="S232" s="778"/>
      <c r="T232" s="778"/>
      <c r="U232" s="778"/>
      <c r="V232" s="778"/>
      <c r="W232" s="778"/>
      <c r="X232" s="778"/>
      <c r="Y232" s="778"/>
      <c r="Z232" s="778"/>
      <c r="AA232" s="778"/>
      <c r="AB232" s="778"/>
      <c r="AC232" s="778"/>
      <c r="AD232" s="778"/>
      <c r="AE232" s="778"/>
      <c r="AF232" s="778"/>
      <c r="AG232" s="778"/>
      <c r="AH232" s="778"/>
      <c r="AI232" s="778"/>
      <c r="AJ232" s="778"/>
      <c r="AK232" s="778"/>
      <c r="AL232" s="778"/>
      <c r="AM232" s="778"/>
      <c r="AN232" s="778"/>
      <c r="AO232" s="778"/>
      <c r="AP232" s="778"/>
      <c r="AQ232" s="778"/>
      <c r="AR232" s="778"/>
      <c r="AS232" s="778"/>
      <c r="AT232" s="778"/>
      <c r="AU232" s="778"/>
      <c r="AV232" s="778"/>
      <c r="AW232" s="778"/>
      <c r="AX232" s="778"/>
      <c r="AY232" s="778"/>
      <c r="AZ232" s="778"/>
      <c r="BA232" s="778"/>
      <c r="BB232" s="778"/>
      <c r="BC232" s="778"/>
      <c r="BD232" s="778"/>
      <c r="BE232" s="778"/>
      <c r="BF232" s="778"/>
      <c r="BG232" s="778"/>
      <c r="BH232" s="778"/>
      <c r="BI232" s="778"/>
      <c r="BJ232" s="778"/>
      <c r="BK232" s="778"/>
      <c r="BL232" s="778"/>
      <c r="BM232" s="778"/>
      <c r="BN232" s="778"/>
      <c r="BO232" s="778"/>
      <c r="BP232" s="778"/>
      <c r="BQ232" s="778"/>
      <c r="BR232" s="778"/>
      <c r="BS232" s="778"/>
      <c r="BT232" s="778"/>
      <c r="BU232" s="778"/>
      <c r="BV232" s="778"/>
      <c r="BW232" s="778"/>
      <c r="BX232" s="778"/>
      <c r="BY232" s="778"/>
      <c r="BZ232" s="778"/>
      <c r="CA232" s="778"/>
      <c r="CB232" s="778"/>
      <c r="CC232" s="778"/>
      <c r="CD232" s="778"/>
      <c r="CE232" s="778"/>
      <c r="CF232" s="778"/>
      <c r="CG232" s="778"/>
      <c r="CH232" s="778"/>
      <c r="CI232" s="778"/>
      <c r="CJ232" s="778"/>
      <c r="CK232" s="778"/>
      <c r="CL232" s="778"/>
      <c r="CM232" s="778"/>
      <c r="CN232" s="778"/>
      <c r="CO232" s="778"/>
      <c r="CP232" s="778"/>
      <c r="CQ232" s="778"/>
      <c r="CR232" s="778"/>
      <c r="CS232" s="778"/>
      <c r="CT232" s="778"/>
      <c r="CU232" s="778"/>
      <c r="CV232" s="778"/>
      <c r="CW232" s="778"/>
      <c r="CX232" s="778"/>
      <c r="CY232" s="778"/>
      <c r="CZ232" s="778"/>
      <c r="DA232" s="778"/>
      <c r="DB232" s="778"/>
      <c r="DC232" s="778"/>
      <c r="DD232" s="778"/>
      <c r="DE232" s="778"/>
      <c r="DF232" s="778"/>
      <c r="DG232" s="778"/>
      <c r="DH232" s="778"/>
      <c r="DI232" s="778"/>
      <c r="DJ232" s="778"/>
      <c r="DK232" s="778"/>
      <c r="DL232" s="778"/>
      <c r="DM232" s="778"/>
      <c r="DN232" s="778"/>
      <c r="DO232" s="778"/>
      <c r="DP232" s="778"/>
      <c r="DQ232" s="778"/>
      <c r="DR232" s="778"/>
      <c r="DS232" s="778"/>
      <c r="DT232" s="778"/>
      <c r="DU232" s="778"/>
      <c r="DV232" s="778"/>
      <c r="DW232" s="778"/>
      <c r="DX232" s="778"/>
      <c r="DY232" s="778"/>
      <c r="DZ232" s="778"/>
      <c r="EA232" s="778"/>
      <c r="EB232" s="778"/>
      <c r="EC232" s="778"/>
      <c r="ED232" s="778"/>
      <c r="EE232" s="778"/>
      <c r="EF232" s="778"/>
      <c r="EG232" s="778"/>
      <c r="EH232" s="778"/>
    </row>
    <row r="233" spans="5:138" ht="12.75" customHeight="1" x14ac:dyDescent="0.3">
      <c r="E233" s="778"/>
      <c r="F233" s="778"/>
      <c r="G233" s="778"/>
      <c r="H233" s="778"/>
      <c r="I233" s="778"/>
      <c r="J233" s="778"/>
      <c r="K233" s="778"/>
      <c r="L233" s="778"/>
      <c r="M233" s="778"/>
      <c r="N233" s="778"/>
      <c r="O233" s="778"/>
      <c r="P233" s="778"/>
      <c r="Q233" s="778"/>
      <c r="R233" s="778"/>
      <c r="S233" s="778"/>
      <c r="T233" s="778"/>
      <c r="U233" s="778"/>
      <c r="V233" s="778"/>
      <c r="W233" s="778"/>
      <c r="X233" s="778"/>
      <c r="Y233" s="778"/>
      <c r="Z233" s="778"/>
      <c r="AA233" s="778"/>
      <c r="AB233" s="778"/>
      <c r="AC233" s="778"/>
      <c r="AD233" s="778"/>
      <c r="AE233" s="778"/>
      <c r="AF233" s="778"/>
      <c r="AG233" s="778"/>
      <c r="AH233" s="778"/>
      <c r="AI233" s="778"/>
      <c r="AJ233" s="778"/>
      <c r="AK233" s="778"/>
      <c r="AL233" s="778"/>
      <c r="AM233" s="778"/>
      <c r="AN233" s="778"/>
      <c r="AO233" s="778"/>
      <c r="AP233" s="778"/>
      <c r="AQ233" s="778"/>
      <c r="AR233" s="778"/>
      <c r="AS233" s="778"/>
      <c r="AT233" s="778"/>
      <c r="AU233" s="778"/>
      <c r="AV233" s="778"/>
      <c r="AW233" s="778"/>
      <c r="AX233" s="778"/>
      <c r="AY233" s="778"/>
      <c r="AZ233" s="778"/>
      <c r="BA233" s="778"/>
      <c r="BB233" s="778"/>
      <c r="BC233" s="778"/>
      <c r="BD233" s="778"/>
      <c r="BE233" s="778"/>
      <c r="BF233" s="778"/>
      <c r="BG233" s="778"/>
      <c r="BH233" s="778"/>
      <c r="BI233" s="778"/>
      <c r="BJ233" s="778"/>
      <c r="BK233" s="778"/>
      <c r="BL233" s="778"/>
      <c r="BM233" s="778"/>
      <c r="BN233" s="778"/>
      <c r="BO233" s="778"/>
      <c r="BP233" s="778"/>
      <c r="BQ233" s="778"/>
      <c r="BR233" s="778"/>
      <c r="BS233" s="778"/>
      <c r="BT233" s="778"/>
      <c r="BU233" s="778"/>
      <c r="BV233" s="778"/>
      <c r="BW233" s="778"/>
      <c r="BX233" s="778"/>
      <c r="BY233" s="778"/>
      <c r="BZ233" s="778"/>
      <c r="CA233" s="778"/>
      <c r="CB233" s="778"/>
      <c r="CC233" s="778"/>
      <c r="CD233" s="778"/>
      <c r="CE233" s="778"/>
      <c r="CF233" s="778"/>
      <c r="CG233" s="778"/>
      <c r="CH233" s="778"/>
      <c r="CI233" s="778"/>
      <c r="CJ233" s="778"/>
      <c r="CK233" s="778"/>
      <c r="CL233" s="778"/>
      <c r="CM233" s="778"/>
      <c r="CN233" s="778"/>
      <c r="CO233" s="778"/>
      <c r="CP233" s="778"/>
      <c r="CQ233" s="778"/>
      <c r="CR233" s="778"/>
      <c r="CS233" s="778"/>
      <c r="CT233" s="778"/>
      <c r="CU233" s="778"/>
      <c r="CV233" s="778"/>
      <c r="CW233" s="778"/>
      <c r="CX233" s="778"/>
      <c r="CY233" s="778"/>
      <c r="CZ233" s="778"/>
      <c r="DA233" s="778"/>
      <c r="DB233" s="778"/>
      <c r="DC233" s="778"/>
      <c r="DD233" s="778"/>
      <c r="DE233" s="778"/>
      <c r="DF233" s="778"/>
      <c r="DG233" s="778"/>
      <c r="DH233" s="778"/>
      <c r="DI233" s="778"/>
      <c r="DJ233" s="778"/>
      <c r="DK233" s="778"/>
      <c r="DL233" s="778"/>
      <c r="DM233" s="778"/>
      <c r="DN233" s="778"/>
      <c r="DO233" s="778"/>
      <c r="DP233" s="778"/>
      <c r="DQ233" s="778"/>
      <c r="DR233" s="778"/>
      <c r="DS233" s="778"/>
      <c r="DT233" s="778"/>
      <c r="DU233" s="778"/>
      <c r="DV233" s="778"/>
      <c r="DW233" s="778"/>
      <c r="DX233" s="778"/>
      <c r="DY233" s="778"/>
      <c r="DZ233" s="778"/>
      <c r="EA233" s="778"/>
      <c r="EB233" s="778"/>
      <c r="EC233" s="778"/>
      <c r="ED233" s="778"/>
      <c r="EE233" s="778"/>
      <c r="EF233" s="778"/>
      <c r="EG233" s="778"/>
      <c r="EH233" s="778"/>
    </row>
    <row r="234" spans="5:138" ht="12.75" customHeight="1" x14ac:dyDescent="0.3">
      <c r="E234" s="778"/>
      <c r="F234" s="778"/>
      <c r="G234" s="778"/>
      <c r="H234" s="778"/>
      <c r="I234" s="778"/>
      <c r="J234" s="778"/>
      <c r="K234" s="778"/>
      <c r="L234" s="778"/>
      <c r="M234" s="778"/>
      <c r="N234" s="778"/>
      <c r="O234" s="778"/>
      <c r="P234" s="778"/>
      <c r="Q234" s="778"/>
      <c r="R234" s="778"/>
      <c r="S234" s="778"/>
      <c r="T234" s="778"/>
      <c r="U234" s="778"/>
      <c r="V234" s="778"/>
      <c r="W234" s="778"/>
      <c r="X234" s="778"/>
      <c r="Y234" s="778"/>
      <c r="Z234" s="778"/>
      <c r="AA234" s="778"/>
      <c r="AB234" s="778"/>
      <c r="AC234" s="778"/>
      <c r="AD234" s="778"/>
      <c r="AE234" s="778"/>
      <c r="AF234" s="778"/>
      <c r="AG234" s="778"/>
      <c r="AH234" s="778"/>
      <c r="AI234" s="778"/>
      <c r="AJ234" s="778"/>
      <c r="AK234" s="778"/>
      <c r="AL234" s="778"/>
      <c r="AM234" s="778"/>
      <c r="AN234" s="778"/>
      <c r="AO234" s="778"/>
      <c r="AP234" s="778"/>
      <c r="AQ234" s="778"/>
      <c r="AR234" s="778"/>
      <c r="AS234" s="778"/>
      <c r="AT234" s="778"/>
      <c r="AU234" s="778"/>
      <c r="AV234" s="778"/>
      <c r="AW234" s="778"/>
      <c r="AX234" s="778"/>
      <c r="AY234" s="778"/>
      <c r="AZ234" s="778"/>
      <c r="BA234" s="778"/>
      <c r="BB234" s="778"/>
      <c r="BC234" s="778"/>
      <c r="BD234" s="778"/>
      <c r="BE234" s="778"/>
      <c r="BF234" s="778"/>
      <c r="BG234" s="778"/>
      <c r="BH234" s="778"/>
      <c r="BI234" s="778"/>
      <c r="BJ234" s="778"/>
      <c r="BK234" s="778"/>
      <c r="BL234" s="778"/>
      <c r="BM234" s="778"/>
      <c r="BN234" s="778"/>
      <c r="BO234" s="778"/>
      <c r="BP234" s="778"/>
      <c r="BQ234" s="778"/>
      <c r="BR234" s="778"/>
      <c r="BS234" s="778"/>
      <c r="BT234" s="778"/>
      <c r="BU234" s="778"/>
      <c r="BV234" s="778"/>
      <c r="BW234" s="778"/>
      <c r="BX234" s="778"/>
      <c r="BY234" s="778"/>
      <c r="BZ234" s="778"/>
      <c r="CA234" s="778"/>
      <c r="CB234" s="778"/>
      <c r="CC234" s="778"/>
      <c r="CD234" s="778"/>
      <c r="CE234" s="778"/>
      <c r="CF234" s="778"/>
      <c r="CG234" s="778"/>
      <c r="CH234" s="778"/>
      <c r="CI234" s="778"/>
      <c r="CJ234" s="778"/>
      <c r="CK234" s="778"/>
      <c r="CL234" s="778"/>
      <c r="CM234" s="778"/>
      <c r="CN234" s="778"/>
      <c r="CO234" s="778"/>
      <c r="CP234" s="778"/>
      <c r="CQ234" s="778"/>
      <c r="CR234" s="778"/>
      <c r="CS234" s="778"/>
      <c r="CT234" s="778"/>
      <c r="CU234" s="778"/>
      <c r="CV234" s="778"/>
      <c r="CW234" s="778"/>
      <c r="CX234" s="778"/>
      <c r="CY234" s="778"/>
      <c r="CZ234" s="778"/>
      <c r="DA234" s="778"/>
      <c r="DB234" s="778"/>
      <c r="DC234" s="778"/>
      <c r="DD234" s="778"/>
      <c r="DE234" s="778"/>
      <c r="DF234" s="778"/>
      <c r="DG234" s="778"/>
      <c r="DH234" s="778"/>
      <c r="DI234" s="778"/>
      <c r="DJ234" s="778"/>
      <c r="DK234" s="778"/>
      <c r="DL234" s="778"/>
      <c r="DM234" s="778"/>
      <c r="DN234" s="778"/>
      <c r="DO234" s="778"/>
      <c r="DP234" s="778"/>
      <c r="DQ234" s="778"/>
      <c r="DR234" s="778"/>
      <c r="DS234" s="778"/>
      <c r="DT234" s="778"/>
      <c r="DU234" s="778"/>
      <c r="DV234" s="778"/>
      <c r="DW234" s="778"/>
      <c r="DX234" s="778"/>
      <c r="DY234" s="778"/>
      <c r="DZ234" s="778"/>
      <c r="EA234" s="778"/>
      <c r="EB234" s="778"/>
      <c r="EC234" s="778"/>
      <c r="ED234" s="778"/>
      <c r="EE234" s="778"/>
      <c r="EF234" s="778"/>
      <c r="EG234" s="778"/>
      <c r="EH234" s="778"/>
    </row>
    <row r="235" spans="5:138" ht="12.75" customHeight="1" x14ac:dyDescent="0.3">
      <c r="E235" s="778"/>
      <c r="F235" s="778"/>
      <c r="G235" s="778"/>
      <c r="H235" s="778"/>
      <c r="I235" s="778"/>
      <c r="J235" s="778"/>
      <c r="K235" s="778"/>
      <c r="L235" s="778"/>
      <c r="M235" s="778"/>
      <c r="N235" s="778"/>
      <c r="O235" s="778"/>
      <c r="P235" s="778"/>
      <c r="Q235" s="778"/>
      <c r="R235" s="778"/>
      <c r="S235" s="778"/>
      <c r="T235" s="778"/>
      <c r="U235" s="778"/>
      <c r="V235" s="778"/>
      <c r="W235" s="778"/>
      <c r="X235" s="778"/>
      <c r="Y235" s="778"/>
      <c r="Z235" s="778"/>
      <c r="AA235" s="778"/>
      <c r="AB235" s="778"/>
      <c r="AC235" s="778"/>
      <c r="AD235" s="778"/>
      <c r="AE235" s="778"/>
      <c r="AF235" s="778"/>
      <c r="AG235" s="778"/>
      <c r="AH235" s="778"/>
      <c r="AI235" s="778"/>
      <c r="AJ235" s="778"/>
      <c r="AK235" s="778"/>
      <c r="AL235" s="778"/>
      <c r="AM235" s="778"/>
      <c r="AN235" s="778"/>
      <c r="AO235" s="778"/>
      <c r="AP235" s="778"/>
      <c r="AQ235" s="778"/>
      <c r="AR235" s="778"/>
      <c r="AS235" s="778"/>
      <c r="AT235" s="778"/>
      <c r="AU235" s="778"/>
      <c r="AV235" s="778"/>
      <c r="AW235" s="778"/>
      <c r="AX235" s="778"/>
      <c r="AY235" s="778"/>
      <c r="AZ235" s="778"/>
      <c r="BA235" s="778"/>
      <c r="BB235" s="778"/>
      <c r="BC235" s="778"/>
      <c r="BD235" s="778"/>
      <c r="BE235" s="778"/>
      <c r="BF235" s="778"/>
      <c r="BG235" s="778"/>
      <c r="BH235" s="778"/>
      <c r="BI235" s="778"/>
      <c r="BJ235" s="778"/>
      <c r="BK235" s="778"/>
      <c r="BL235" s="778"/>
      <c r="BM235" s="778"/>
      <c r="BN235" s="778"/>
      <c r="BO235" s="778"/>
      <c r="BP235" s="778"/>
      <c r="BQ235" s="778"/>
      <c r="BR235" s="778"/>
      <c r="BS235" s="778"/>
      <c r="BT235" s="778"/>
      <c r="BU235" s="778"/>
      <c r="BV235" s="778"/>
      <c r="BW235" s="778"/>
      <c r="BX235" s="778"/>
      <c r="BY235" s="778"/>
      <c r="BZ235" s="778"/>
      <c r="CA235" s="778"/>
      <c r="CB235" s="778"/>
      <c r="CC235" s="778"/>
      <c r="CD235" s="778"/>
      <c r="CE235" s="778"/>
      <c r="CF235" s="778"/>
      <c r="CG235" s="778"/>
      <c r="CH235" s="778"/>
      <c r="CI235" s="778"/>
      <c r="CJ235" s="778"/>
      <c r="CK235" s="778"/>
      <c r="CL235" s="778"/>
      <c r="CM235" s="778"/>
      <c r="CN235" s="778"/>
      <c r="CO235" s="778"/>
      <c r="CP235" s="778"/>
      <c r="CQ235" s="778"/>
      <c r="CR235" s="778"/>
      <c r="CS235" s="778"/>
      <c r="CT235" s="778"/>
      <c r="CU235" s="778"/>
      <c r="CV235" s="778"/>
      <c r="CW235" s="778"/>
      <c r="CX235" s="778"/>
      <c r="CY235" s="778"/>
      <c r="CZ235" s="778"/>
      <c r="DA235" s="778"/>
      <c r="DB235" s="778"/>
      <c r="DC235" s="778"/>
      <c r="DD235" s="778"/>
      <c r="DE235" s="778"/>
      <c r="DF235" s="778"/>
      <c r="DG235" s="778"/>
      <c r="DH235" s="778"/>
      <c r="DI235" s="778"/>
      <c r="DJ235" s="778"/>
      <c r="DK235" s="778"/>
      <c r="DL235" s="778"/>
      <c r="DM235" s="778"/>
      <c r="DN235" s="778"/>
      <c r="DO235" s="778"/>
      <c r="DP235" s="778"/>
      <c r="DQ235" s="778"/>
      <c r="DR235" s="778"/>
      <c r="DS235" s="778"/>
      <c r="DT235" s="778"/>
      <c r="DU235" s="778"/>
      <c r="DV235" s="778"/>
      <c r="DW235" s="778"/>
      <c r="DX235" s="778"/>
      <c r="DY235" s="778"/>
      <c r="DZ235" s="778"/>
      <c r="EA235" s="778"/>
      <c r="EB235" s="778"/>
      <c r="EC235" s="778"/>
      <c r="ED235" s="778"/>
      <c r="EE235" s="778"/>
      <c r="EF235" s="778"/>
      <c r="EG235" s="778"/>
      <c r="EH235" s="778"/>
    </row>
    <row r="236" spans="5:138" ht="12.75" customHeight="1" x14ac:dyDescent="0.3">
      <c r="E236" s="778"/>
      <c r="F236" s="778"/>
      <c r="G236" s="778"/>
      <c r="H236" s="778"/>
      <c r="I236" s="778"/>
      <c r="J236" s="778"/>
      <c r="K236" s="778"/>
      <c r="L236" s="778"/>
      <c r="M236" s="778"/>
      <c r="N236" s="778"/>
      <c r="O236" s="778"/>
      <c r="P236" s="778"/>
      <c r="Q236" s="778"/>
      <c r="R236" s="778"/>
      <c r="S236" s="778"/>
      <c r="T236" s="778"/>
      <c r="U236" s="778"/>
      <c r="V236" s="778"/>
      <c r="W236" s="778"/>
      <c r="X236" s="778"/>
      <c r="Y236" s="778"/>
      <c r="Z236" s="778"/>
      <c r="AA236" s="778"/>
      <c r="AB236" s="778"/>
      <c r="AC236" s="778"/>
      <c r="AD236" s="778"/>
      <c r="AE236" s="778"/>
      <c r="AF236" s="778"/>
      <c r="AG236" s="778"/>
      <c r="AH236" s="778"/>
      <c r="AI236" s="778"/>
      <c r="AJ236" s="778"/>
      <c r="AK236" s="778"/>
      <c r="AL236" s="778"/>
      <c r="AM236" s="778"/>
      <c r="AN236" s="778"/>
      <c r="AO236" s="778"/>
      <c r="AP236" s="778"/>
      <c r="AQ236" s="778"/>
      <c r="AR236" s="778"/>
      <c r="AS236" s="778"/>
      <c r="AT236" s="778"/>
      <c r="AU236" s="778"/>
      <c r="AV236" s="778"/>
      <c r="AW236" s="778"/>
      <c r="AX236" s="778"/>
      <c r="AY236" s="778"/>
      <c r="AZ236" s="778"/>
      <c r="BA236" s="778"/>
      <c r="BB236" s="778"/>
      <c r="BC236" s="778"/>
      <c r="BD236" s="778"/>
      <c r="BE236" s="778"/>
      <c r="BF236" s="778"/>
      <c r="BG236" s="778"/>
      <c r="BH236" s="778"/>
      <c r="BI236" s="778"/>
      <c r="BJ236" s="778"/>
      <c r="BK236" s="778"/>
      <c r="BL236" s="778"/>
      <c r="BM236" s="778"/>
      <c r="BN236" s="778"/>
      <c r="BO236" s="778"/>
      <c r="BP236" s="778"/>
      <c r="BQ236" s="778"/>
      <c r="BR236" s="778"/>
      <c r="BS236" s="778"/>
      <c r="BT236" s="778"/>
      <c r="BU236" s="778"/>
      <c r="BV236" s="778"/>
      <c r="BW236" s="778"/>
      <c r="BX236" s="778"/>
      <c r="BY236" s="778"/>
      <c r="BZ236" s="778"/>
      <c r="CA236" s="778"/>
      <c r="CB236" s="778"/>
      <c r="CC236" s="778"/>
      <c r="CD236" s="778"/>
      <c r="CE236" s="778"/>
      <c r="CF236" s="778"/>
      <c r="CG236" s="778"/>
      <c r="CH236" s="778"/>
      <c r="CI236" s="778"/>
      <c r="CJ236" s="778"/>
      <c r="CK236" s="778"/>
      <c r="CL236" s="778"/>
      <c r="CM236" s="778"/>
      <c r="CN236" s="778"/>
      <c r="CO236" s="778"/>
      <c r="CP236" s="778"/>
      <c r="CQ236" s="778"/>
      <c r="CR236" s="778"/>
      <c r="CS236" s="778"/>
      <c r="CT236" s="778"/>
      <c r="CU236" s="778"/>
      <c r="CV236" s="778"/>
      <c r="CW236" s="778"/>
      <c r="CX236" s="778"/>
      <c r="CY236" s="778"/>
      <c r="CZ236" s="778"/>
      <c r="DA236" s="778"/>
      <c r="DB236" s="778"/>
      <c r="DC236" s="778"/>
      <c r="DD236" s="778"/>
      <c r="DE236" s="778"/>
      <c r="DF236" s="778"/>
      <c r="DG236" s="778"/>
      <c r="DH236" s="778"/>
      <c r="DI236" s="778"/>
      <c r="DJ236" s="778"/>
      <c r="DK236" s="778"/>
      <c r="DL236" s="778"/>
      <c r="DM236" s="778"/>
      <c r="DN236" s="778"/>
      <c r="DO236" s="778"/>
      <c r="DP236" s="778"/>
      <c r="DQ236" s="778"/>
      <c r="DR236" s="778"/>
      <c r="DS236" s="778"/>
      <c r="DT236" s="778"/>
      <c r="DU236" s="778"/>
      <c r="DV236" s="778"/>
      <c r="DW236" s="778"/>
      <c r="DX236" s="778"/>
      <c r="DY236" s="778"/>
      <c r="DZ236" s="778"/>
      <c r="EA236" s="778"/>
      <c r="EB236" s="778"/>
      <c r="EC236" s="778"/>
      <c r="ED236" s="778"/>
      <c r="EE236" s="778"/>
      <c r="EF236" s="778"/>
      <c r="EG236" s="778"/>
      <c r="EH236" s="778"/>
    </row>
    <row r="237" spans="5:138" ht="12.75" customHeight="1" x14ac:dyDescent="0.3">
      <c r="E237" s="778"/>
      <c r="F237" s="778"/>
      <c r="G237" s="778"/>
      <c r="H237" s="778"/>
      <c r="I237" s="778"/>
      <c r="J237" s="778"/>
      <c r="K237" s="778"/>
      <c r="L237" s="778"/>
      <c r="M237" s="778"/>
      <c r="N237" s="778"/>
      <c r="O237" s="778"/>
      <c r="P237" s="778"/>
      <c r="Q237" s="778"/>
      <c r="R237" s="778"/>
      <c r="S237" s="778"/>
      <c r="T237" s="778"/>
      <c r="U237" s="778"/>
      <c r="V237" s="778"/>
      <c r="W237" s="778"/>
      <c r="X237" s="778"/>
      <c r="Y237" s="778"/>
      <c r="Z237" s="778"/>
      <c r="AA237" s="778"/>
      <c r="AB237" s="778"/>
      <c r="AC237" s="778"/>
      <c r="AD237" s="778"/>
      <c r="AE237" s="778"/>
      <c r="AF237" s="778"/>
      <c r="AG237" s="778"/>
      <c r="AH237" s="778"/>
      <c r="AI237" s="778"/>
      <c r="AJ237" s="778"/>
      <c r="AK237" s="778"/>
      <c r="AL237" s="778"/>
      <c r="AM237" s="778"/>
      <c r="AN237" s="778"/>
      <c r="AO237" s="778"/>
      <c r="AP237" s="778"/>
      <c r="AQ237" s="778"/>
      <c r="AR237" s="778"/>
      <c r="AS237" s="778"/>
      <c r="AT237" s="778"/>
      <c r="AU237" s="778"/>
      <c r="AV237" s="778"/>
      <c r="AW237" s="778"/>
      <c r="AX237" s="778"/>
      <c r="AY237" s="778"/>
      <c r="AZ237" s="778"/>
      <c r="BA237" s="778"/>
      <c r="BB237" s="778"/>
      <c r="BC237" s="778"/>
      <c r="BD237" s="778"/>
      <c r="BE237" s="778"/>
      <c r="BF237" s="778"/>
      <c r="BG237" s="778"/>
      <c r="BH237" s="778"/>
      <c r="BI237" s="778"/>
      <c r="BJ237" s="778"/>
      <c r="BK237" s="778"/>
      <c r="BL237" s="778"/>
      <c r="BM237" s="778"/>
      <c r="BN237" s="778"/>
      <c r="BO237" s="778"/>
      <c r="BP237" s="778"/>
      <c r="BQ237" s="778"/>
      <c r="BR237" s="778"/>
      <c r="BS237" s="778"/>
      <c r="BT237" s="778"/>
      <c r="BU237" s="778"/>
      <c r="BV237" s="778"/>
      <c r="BW237" s="778"/>
      <c r="BX237" s="778"/>
      <c r="BY237" s="778"/>
      <c r="BZ237" s="778"/>
      <c r="CA237" s="778"/>
      <c r="CB237" s="778"/>
      <c r="CC237" s="778"/>
      <c r="CD237" s="778"/>
      <c r="CE237" s="778"/>
      <c r="CF237" s="778"/>
      <c r="CG237" s="778"/>
      <c r="CH237" s="778"/>
      <c r="CI237" s="778"/>
      <c r="CJ237" s="778"/>
      <c r="CK237" s="778"/>
      <c r="CL237" s="778"/>
      <c r="CM237" s="778"/>
      <c r="CN237" s="778"/>
      <c r="CO237" s="778"/>
      <c r="CP237" s="778"/>
      <c r="CQ237" s="778"/>
      <c r="CR237" s="778"/>
      <c r="CS237" s="778"/>
      <c r="CT237" s="778"/>
      <c r="CU237" s="778"/>
      <c r="CV237" s="778"/>
      <c r="CW237" s="778"/>
      <c r="CX237" s="778"/>
      <c r="CY237" s="778"/>
      <c r="CZ237" s="778"/>
      <c r="DA237" s="778"/>
      <c r="DB237" s="778"/>
      <c r="DC237" s="778"/>
      <c r="DD237" s="778"/>
      <c r="DE237" s="778"/>
      <c r="DF237" s="778"/>
      <c r="DG237" s="778"/>
      <c r="DH237" s="778"/>
      <c r="DI237" s="778"/>
      <c r="DJ237" s="778"/>
      <c r="DK237" s="778"/>
      <c r="DL237" s="778"/>
      <c r="DM237" s="778"/>
      <c r="DN237" s="778"/>
      <c r="DO237" s="778"/>
      <c r="DP237" s="778"/>
      <c r="DQ237" s="778"/>
      <c r="DR237" s="778"/>
      <c r="DS237" s="778"/>
      <c r="DT237" s="778"/>
      <c r="DU237" s="778"/>
      <c r="DV237" s="778"/>
      <c r="DW237" s="778"/>
      <c r="DX237" s="778"/>
      <c r="DY237" s="778"/>
      <c r="DZ237" s="778"/>
      <c r="EA237" s="778"/>
      <c r="EB237" s="778"/>
      <c r="EC237" s="778"/>
      <c r="ED237" s="778"/>
      <c r="EE237" s="778"/>
      <c r="EF237" s="778"/>
      <c r="EG237" s="778"/>
      <c r="EH237" s="778"/>
    </row>
    <row r="238" spans="5:138" ht="12.75" customHeight="1" x14ac:dyDescent="0.3">
      <c r="E238" s="778"/>
      <c r="F238" s="778"/>
      <c r="G238" s="778"/>
      <c r="H238" s="778"/>
      <c r="I238" s="778"/>
      <c r="J238" s="778"/>
      <c r="K238" s="778"/>
      <c r="L238" s="778"/>
      <c r="M238" s="778"/>
      <c r="N238" s="778"/>
      <c r="O238" s="778"/>
      <c r="P238" s="778"/>
      <c r="Q238" s="778"/>
      <c r="R238" s="778"/>
      <c r="S238" s="778"/>
      <c r="T238" s="778"/>
      <c r="U238" s="778"/>
      <c r="V238" s="778"/>
      <c r="W238" s="778"/>
      <c r="X238" s="778"/>
      <c r="Y238" s="778"/>
      <c r="Z238" s="778"/>
      <c r="AA238" s="778"/>
      <c r="AB238" s="778"/>
      <c r="AC238" s="778"/>
      <c r="AD238" s="778"/>
      <c r="AE238" s="778"/>
      <c r="AF238" s="778"/>
      <c r="AG238" s="778"/>
      <c r="AH238" s="778"/>
      <c r="AI238" s="778"/>
      <c r="AJ238" s="778"/>
      <c r="AK238" s="778"/>
      <c r="AL238" s="778"/>
      <c r="AM238" s="778"/>
      <c r="AN238" s="778"/>
      <c r="AO238" s="778"/>
      <c r="AP238" s="778"/>
      <c r="AQ238" s="778"/>
      <c r="AR238" s="778"/>
      <c r="AS238" s="778"/>
      <c r="AT238" s="778"/>
      <c r="AU238" s="778"/>
      <c r="AV238" s="778"/>
      <c r="AW238" s="778"/>
      <c r="AX238" s="778"/>
      <c r="AY238" s="778"/>
      <c r="AZ238" s="778"/>
      <c r="BA238" s="778"/>
      <c r="BB238" s="778"/>
      <c r="BC238" s="778"/>
      <c r="BD238" s="778"/>
      <c r="BE238" s="778"/>
      <c r="BF238" s="778"/>
      <c r="BG238" s="778"/>
      <c r="BH238" s="778"/>
      <c r="BI238" s="778"/>
      <c r="BJ238" s="778"/>
      <c r="BK238" s="778"/>
      <c r="BL238" s="778"/>
      <c r="BM238" s="778"/>
      <c r="BN238" s="778"/>
      <c r="BO238" s="778"/>
      <c r="BP238" s="778"/>
      <c r="BQ238" s="778"/>
      <c r="BR238" s="778"/>
      <c r="BS238" s="778"/>
      <c r="BT238" s="778"/>
      <c r="BU238" s="778"/>
      <c r="BV238" s="778"/>
      <c r="BW238" s="778"/>
      <c r="BX238" s="778"/>
      <c r="BY238" s="778"/>
      <c r="BZ238" s="778"/>
      <c r="CA238" s="778"/>
      <c r="CB238" s="778"/>
      <c r="CC238" s="778"/>
      <c r="CD238" s="778"/>
      <c r="CE238" s="778"/>
      <c r="CF238" s="778"/>
      <c r="CG238" s="778"/>
      <c r="CH238" s="778"/>
      <c r="CI238" s="778"/>
      <c r="CJ238" s="778"/>
      <c r="CK238" s="778"/>
      <c r="CL238" s="778"/>
      <c r="CM238" s="778"/>
      <c r="CN238" s="778"/>
      <c r="CO238" s="778"/>
      <c r="CP238" s="778"/>
      <c r="CQ238" s="778"/>
      <c r="CR238" s="778"/>
      <c r="CS238" s="778"/>
      <c r="CT238" s="778"/>
      <c r="CU238" s="778"/>
      <c r="CV238" s="778"/>
      <c r="CW238" s="778"/>
      <c r="CX238" s="778"/>
      <c r="CY238" s="778"/>
      <c r="CZ238" s="778"/>
      <c r="DA238" s="778"/>
      <c r="DB238" s="778"/>
      <c r="DC238" s="778"/>
      <c r="DD238" s="778"/>
      <c r="DE238" s="778"/>
      <c r="DF238" s="778"/>
      <c r="DG238" s="778"/>
      <c r="DH238" s="778"/>
      <c r="DI238" s="778"/>
      <c r="DJ238" s="778"/>
      <c r="DK238" s="778"/>
      <c r="DL238" s="778"/>
      <c r="DM238" s="778"/>
      <c r="DN238" s="778"/>
      <c r="DO238" s="778"/>
      <c r="DP238" s="778"/>
      <c r="DQ238" s="778"/>
      <c r="DR238" s="778"/>
      <c r="DS238" s="778"/>
      <c r="DT238" s="778"/>
      <c r="DU238" s="778"/>
      <c r="DV238" s="778"/>
      <c r="DW238" s="778"/>
      <c r="DX238" s="778"/>
      <c r="DY238" s="778"/>
      <c r="DZ238" s="778"/>
      <c r="EA238" s="778"/>
      <c r="EB238" s="778"/>
      <c r="EC238" s="778"/>
      <c r="ED238" s="778"/>
      <c r="EE238" s="778"/>
      <c r="EF238" s="778"/>
      <c r="EG238" s="778"/>
      <c r="EH238" s="778"/>
    </row>
    <row r="239" spans="5:138" ht="12.75" customHeight="1" x14ac:dyDescent="0.3">
      <c r="E239" s="778"/>
      <c r="F239" s="778"/>
      <c r="G239" s="778"/>
      <c r="H239" s="778"/>
      <c r="I239" s="778"/>
      <c r="J239" s="778"/>
      <c r="K239" s="778"/>
      <c r="L239" s="778"/>
      <c r="M239" s="778"/>
      <c r="N239" s="778"/>
      <c r="O239" s="778"/>
      <c r="P239" s="778"/>
      <c r="Q239" s="778"/>
      <c r="R239" s="778"/>
      <c r="S239" s="778"/>
      <c r="T239" s="778"/>
      <c r="U239" s="778"/>
      <c r="V239" s="778"/>
      <c r="W239" s="778"/>
      <c r="X239" s="778"/>
      <c r="Y239" s="778"/>
      <c r="Z239" s="778"/>
      <c r="AA239" s="778"/>
      <c r="AB239" s="778"/>
      <c r="AC239" s="778"/>
      <c r="AD239" s="778"/>
      <c r="AE239" s="778"/>
      <c r="AF239" s="778"/>
      <c r="AG239" s="778"/>
      <c r="AH239" s="778"/>
      <c r="AI239" s="778"/>
      <c r="AJ239" s="778"/>
      <c r="AK239" s="778"/>
      <c r="AL239" s="778"/>
      <c r="AM239" s="778"/>
      <c r="AN239" s="778"/>
      <c r="AO239" s="778"/>
      <c r="AP239" s="778"/>
      <c r="AQ239" s="778"/>
      <c r="AR239" s="778"/>
      <c r="AS239" s="778"/>
      <c r="AT239" s="778"/>
      <c r="AU239" s="778"/>
      <c r="AV239" s="778"/>
      <c r="AW239" s="778"/>
      <c r="AX239" s="778"/>
      <c r="AY239" s="778"/>
      <c r="AZ239" s="778"/>
      <c r="BA239" s="778"/>
      <c r="BB239" s="778"/>
      <c r="BC239" s="778"/>
      <c r="BD239" s="778"/>
      <c r="BE239" s="778"/>
      <c r="BF239" s="778"/>
      <c r="BG239" s="778"/>
      <c r="BH239" s="778"/>
      <c r="BI239" s="778"/>
      <c r="BJ239" s="778"/>
      <c r="BK239" s="778"/>
      <c r="BL239" s="778"/>
      <c r="BM239" s="778"/>
      <c r="BN239" s="778"/>
      <c r="BO239" s="778"/>
      <c r="BP239" s="778"/>
      <c r="BQ239" s="778"/>
      <c r="BR239" s="778"/>
      <c r="BS239" s="778"/>
      <c r="BT239" s="778"/>
      <c r="BU239" s="778"/>
      <c r="BV239" s="778"/>
      <c r="BW239" s="778"/>
      <c r="BX239" s="778"/>
      <c r="BY239" s="778"/>
      <c r="BZ239" s="778"/>
      <c r="CA239" s="778"/>
      <c r="CB239" s="778"/>
      <c r="CC239" s="778"/>
      <c r="CD239" s="778"/>
      <c r="CE239" s="778"/>
      <c r="CF239" s="778"/>
      <c r="CG239" s="778"/>
      <c r="CH239" s="778"/>
      <c r="CI239" s="778"/>
      <c r="CJ239" s="778"/>
      <c r="CK239" s="778"/>
      <c r="CL239" s="778"/>
      <c r="CM239" s="778"/>
      <c r="CN239" s="778"/>
      <c r="CO239" s="778"/>
      <c r="CP239" s="778"/>
      <c r="CQ239" s="778"/>
      <c r="CR239" s="778"/>
      <c r="CS239" s="778"/>
      <c r="CT239" s="778"/>
      <c r="CU239" s="778"/>
      <c r="CV239" s="778"/>
      <c r="CW239" s="778"/>
      <c r="CX239" s="778"/>
      <c r="CY239" s="778"/>
      <c r="CZ239" s="778"/>
      <c r="DA239" s="778"/>
      <c r="DB239" s="778"/>
      <c r="DC239" s="778"/>
      <c r="DD239" s="778"/>
      <c r="DE239" s="778"/>
      <c r="DF239" s="778"/>
      <c r="DG239" s="778"/>
      <c r="DH239" s="778"/>
      <c r="DI239" s="778"/>
      <c r="DJ239" s="778"/>
      <c r="DK239" s="778"/>
      <c r="DL239" s="778"/>
      <c r="DM239" s="778"/>
      <c r="DN239" s="778"/>
      <c r="DO239" s="778"/>
      <c r="DP239" s="778"/>
      <c r="DQ239" s="778"/>
      <c r="DR239" s="778"/>
      <c r="DS239" s="778"/>
      <c r="DT239" s="778"/>
      <c r="DU239" s="778"/>
      <c r="DV239" s="778"/>
      <c r="DW239" s="778"/>
      <c r="DX239" s="778"/>
      <c r="DY239" s="778"/>
      <c r="DZ239" s="778"/>
      <c r="EA239" s="778"/>
      <c r="EB239" s="778"/>
      <c r="EC239" s="778"/>
      <c r="ED239" s="778"/>
      <c r="EE239" s="778"/>
      <c r="EF239" s="778"/>
      <c r="EG239" s="778"/>
      <c r="EH239" s="778"/>
    </row>
    <row r="240" spans="5:138" ht="12.75" customHeight="1" x14ac:dyDescent="0.3">
      <c r="E240" s="778"/>
      <c r="F240" s="778"/>
      <c r="G240" s="778"/>
      <c r="H240" s="778"/>
      <c r="I240" s="778"/>
      <c r="J240" s="778"/>
      <c r="K240" s="778"/>
      <c r="L240" s="778"/>
      <c r="M240" s="778"/>
      <c r="N240" s="778"/>
      <c r="O240" s="778"/>
      <c r="P240" s="778"/>
      <c r="Q240" s="778"/>
      <c r="R240" s="778"/>
      <c r="S240" s="778"/>
      <c r="T240" s="778"/>
      <c r="U240" s="778"/>
      <c r="V240" s="778"/>
      <c r="W240" s="778"/>
      <c r="X240" s="778"/>
      <c r="Y240" s="778"/>
      <c r="Z240" s="778"/>
      <c r="AA240" s="778"/>
      <c r="AB240" s="778"/>
      <c r="AC240" s="778"/>
      <c r="AD240" s="778"/>
      <c r="AE240" s="778"/>
      <c r="AF240" s="778"/>
      <c r="AG240" s="778"/>
      <c r="AH240" s="778"/>
      <c r="AI240" s="778"/>
      <c r="AJ240" s="778"/>
      <c r="AK240" s="778"/>
      <c r="AL240" s="778"/>
      <c r="AM240" s="778"/>
      <c r="AN240" s="778"/>
      <c r="AO240" s="778"/>
      <c r="AP240" s="778"/>
      <c r="AQ240" s="778"/>
      <c r="AR240" s="778"/>
      <c r="AS240" s="778"/>
      <c r="AT240" s="778"/>
      <c r="AU240" s="778"/>
      <c r="AV240" s="778"/>
      <c r="AW240" s="778"/>
      <c r="AX240" s="778"/>
      <c r="AY240" s="778"/>
      <c r="AZ240" s="778"/>
      <c r="BA240" s="778"/>
      <c r="BB240" s="778"/>
      <c r="BC240" s="778"/>
      <c r="BD240" s="778"/>
      <c r="BE240" s="778"/>
      <c r="BF240" s="778"/>
      <c r="BG240" s="778"/>
      <c r="BH240" s="778"/>
      <c r="BI240" s="778"/>
      <c r="BJ240" s="778"/>
      <c r="BK240" s="778"/>
      <c r="BL240" s="778"/>
      <c r="BM240" s="778"/>
      <c r="BN240" s="778"/>
      <c r="BO240" s="778"/>
      <c r="BP240" s="778"/>
      <c r="BQ240" s="778"/>
      <c r="BR240" s="778"/>
      <c r="BS240" s="778"/>
      <c r="BT240" s="778"/>
      <c r="BU240" s="778"/>
      <c r="BV240" s="778"/>
      <c r="BW240" s="778"/>
      <c r="BX240" s="778"/>
      <c r="BY240" s="778"/>
      <c r="BZ240" s="778"/>
      <c r="CA240" s="778"/>
      <c r="CB240" s="778"/>
      <c r="CC240" s="778"/>
      <c r="CD240" s="778"/>
      <c r="CE240" s="778"/>
      <c r="CF240" s="778"/>
      <c r="CG240" s="778"/>
      <c r="CH240" s="778"/>
      <c r="CI240" s="778"/>
      <c r="CJ240" s="778"/>
      <c r="CK240" s="778"/>
      <c r="CL240" s="778"/>
      <c r="CM240" s="778"/>
      <c r="CN240" s="778"/>
      <c r="CO240" s="778"/>
      <c r="CP240" s="778"/>
      <c r="CQ240" s="778"/>
      <c r="CR240" s="778"/>
      <c r="CS240" s="778"/>
      <c r="CT240" s="778"/>
      <c r="CU240" s="778"/>
      <c r="CV240" s="778"/>
      <c r="CW240" s="778"/>
      <c r="CX240" s="778"/>
      <c r="CY240" s="778"/>
      <c r="CZ240" s="778"/>
      <c r="DA240" s="778"/>
      <c r="DB240" s="778"/>
      <c r="DC240" s="778"/>
      <c r="DD240" s="778"/>
      <c r="DE240" s="778"/>
      <c r="DF240" s="778"/>
      <c r="DG240" s="778"/>
      <c r="DH240" s="778"/>
      <c r="DI240" s="778"/>
      <c r="DJ240" s="778"/>
      <c r="DK240" s="778"/>
      <c r="DL240" s="778"/>
      <c r="DM240" s="778"/>
      <c r="DN240" s="778"/>
      <c r="DO240" s="778"/>
      <c r="DP240" s="778"/>
      <c r="DQ240" s="778"/>
      <c r="DR240" s="778"/>
      <c r="DS240" s="778"/>
      <c r="DT240" s="778"/>
      <c r="DU240" s="778"/>
      <c r="DV240" s="778"/>
      <c r="DW240" s="778"/>
      <c r="DX240" s="778"/>
      <c r="DY240" s="778"/>
      <c r="DZ240" s="778"/>
      <c r="EA240" s="778"/>
      <c r="EB240" s="778"/>
      <c r="EC240" s="778"/>
      <c r="ED240" s="778"/>
      <c r="EE240" s="778"/>
      <c r="EF240" s="778"/>
      <c r="EG240" s="778"/>
      <c r="EH240" s="778"/>
    </row>
    <row r="241" spans="5:138" ht="12.75" customHeight="1" x14ac:dyDescent="0.3">
      <c r="E241" s="778"/>
      <c r="F241" s="778"/>
      <c r="G241" s="778"/>
      <c r="H241" s="778"/>
      <c r="I241" s="778"/>
      <c r="J241" s="778"/>
      <c r="K241" s="778"/>
      <c r="L241" s="778"/>
      <c r="M241" s="778"/>
      <c r="N241" s="778"/>
      <c r="O241" s="778"/>
      <c r="P241" s="778"/>
      <c r="Q241" s="778"/>
      <c r="R241" s="778"/>
      <c r="S241" s="778"/>
      <c r="T241" s="778"/>
      <c r="U241" s="778"/>
      <c r="V241" s="778"/>
      <c r="W241" s="778"/>
      <c r="X241" s="778"/>
      <c r="Y241" s="778"/>
      <c r="Z241" s="778"/>
      <c r="AA241" s="778"/>
      <c r="AB241" s="778"/>
      <c r="AC241" s="778"/>
      <c r="AD241" s="778"/>
      <c r="AE241" s="778"/>
      <c r="AF241" s="778"/>
      <c r="AG241" s="778"/>
      <c r="AH241" s="778"/>
      <c r="AI241" s="778"/>
      <c r="AJ241" s="778"/>
      <c r="AK241" s="778"/>
      <c r="AL241" s="778"/>
      <c r="AM241" s="778"/>
      <c r="AN241" s="778"/>
      <c r="AO241" s="778"/>
      <c r="AP241" s="778"/>
      <c r="AQ241" s="778"/>
      <c r="AR241" s="778"/>
      <c r="AS241" s="778"/>
      <c r="AT241" s="778"/>
      <c r="AU241" s="778"/>
      <c r="AV241" s="778"/>
      <c r="AW241" s="778"/>
      <c r="AX241" s="778"/>
      <c r="AY241" s="778"/>
      <c r="AZ241" s="778"/>
      <c r="BA241" s="778"/>
      <c r="BB241" s="778"/>
      <c r="BC241" s="778"/>
      <c r="BD241" s="778"/>
      <c r="BE241" s="778"/>
      <c r="BF241" s="778"/>
      <c r="BG241" s="778"/>
      <c r="BH241" s="778"/>
      <c r="BI241" s="778"/>
      <c r="BJ241" s="778"/>
      <c r="BK241" s="778"/>
      <c r="BL241" s="778"/>
      <c r="BM241" s="778"/>
      <c r="BN241" s="778"/>
      <c r="BO241" s="778"/>
      <c r="BP241" s="778"/>
      <c r="BQ241" s="778"/>
      <c r="BR241" s="778"/>
      <c r="BS241" s="778"/>
      <c r="BT241" s="778"/>
      <c r="BU241" s="778"/>
      <c r="BV241" s="778"/>
      <c r="BW241" s="778"/>
      <c r="BX241" s="778"/>
      <c r="BY241" s="778"/>
      <c r="BZ241" s="778"/>
      <c r="CA241" s="778"/>
      <c r="CB241" s="778"/>
      <c r="CC241" s="778"/>
      <c r="CD241" s="778"/>
      <c r="CE241" s="778"/>
      <c r="CF241" s="778"/>
      <c r="CG241" s="778"/>
      <c r="CH241" s="778"/>
      <c r="CI241" s="778"/>
      <c r="CJ241" s="778"/>
      <c r="CK241" s="778"/>
      <c r="CL241" s="778"/>
      <c r="CM241" s="778"/>
      <c r="CN241" s="778"/>
      <c r="CO241" s="778"/>
      <c r="CP241" s="778"/>
      <c r="CQ241" s="778"/>
      <c r="CR241" s="778"/>
      <c r="CS241" s="778"/>
      <c r="CT241" s="778"/>
      <c r="CU241" s="778"/>
      <c r="CV241" s="778"/>
      <c r="CW241" s="778"/>
      <c r="CX241" s="778"/>
      <c r="CY241" s="778"/>
      <c r="CZ241" s="778"/>
      <c r="DA241" s="778"/>
      <c r="DB241" s="778"/>
      <c r="DC241" s="778"/>
      <c r="DD241" s="778"/>
      <c r="DE241" s="778"/>
      <c r="DF241" s="778"/>
      <c r="DG241" s="778"/>
      <c r="DH241" s="778"/>
      <c r="DI241" s="778"/>
      <c r="DJ241" s="778"/>
      <c r="DK241" s="778"/>
      <c r="DL241" s="778"/>
      <c r="DM241" s="778"/>
      <c r="DN241" s="778"/>
      <c r="DO241" s="778"/>
      <c r="DP241" s="778"/>
      <c r="DQ241" s="778"/>
      <c r="DR241" s="778"/>
      <c r="DS241" s="778"/>
      <c r="DT241" s="778"/>
      <c r="DU241" s="778"/>
      <c r="DV241" s="778"/>
      <c r="DW241" s="778"/>
      <c r="DX241" s="778"/>
      <c r="DY241" s="778"/>
      <c r="DZ241" s="778"/>
      <c r="EA241" s="778"/>
      <c r="EB241" s="778"/>
      <c r="EC241" s="778"/>
      <c r="ED241" s="778"/>
      <c r="EE241" s="778"/>
      <c r="EF241" s="778"/>
      <c r="EG241" s="778"/>
      <c r="EH241" s="778"/>
    </row>
    <row r="242" spans="5:138" ht="12.75" customHeight="1" x14ac:dyDescent="0.3">
      <c r="E242" s="778"/>
      <c r="F242" s="778"/>
      <c r="G242" s="778"/>
      <c r="H242" s="778"/>
      <c r="I242" s="778"/>
      <c r="J242" s="778"/>
      <c r="K242" s="778"/>
      <c r="L242" s="778"/>
      <c r="M242" s="778"/>
      <c r="N242" s="778"/>
      <c r="O242" s="778"/>
      <c r="P242" s="778"/>
      <c r="Q242" s="778"/>
      <c r="R242" s="778"/>
      <c r="S242" s="778"/>
      <c r="T242" s="778"/>
      <c r="U242" s="778"/>
      <c r="V242" s="778"/>
      <c r="W242" s="778"/>
      <c r="X242" s="778"/>
      <c r="Y242" s="778"/>
      <c r="Z242" s="778"/>
      <c r="AA242" s="778"/>
      <c r="AB242" s="778"/>
      <c r="AC242" s="778"/>
      <c r="AD242" s="778"/>
      <c r="AE242" s="778"/>
      <c r="AF242" s="778"/>
      <c r="AG242" s="778"/>
      <c r="AH242" s="778"/>
      <c r="AI242" s="778"/>
      <c r="AJ242" s="778"/>
      <c r="AK242" s="778"/>
      <c r="AL242" s="778"/>
      <c r="AM242" s="778"/>
      <c r="AN242" s="778"/>
      <c r="AO242" s="778"/>
      <c r="AP242" s="778"/>
      <c r="AQ242" s="778"/>
      <c r="AR242" s="778"/>
      <c r="AS242" s="778"/>
      <c r="AT242" s="778"/>
      <c r="AU242" s="778"/>
      <c r="AV242" s="778"/>
      <c r="AW242" s="778"/>
      <c r="AX242" s="778"/>
      <c r="AY242" s="778"/>
      <c r="AZ242" s="778"/>
      <c r="BA242" s="778"/>
      <c r="BB242" s="778"/>
      <c r="BC242" s="778"/>
      <c r="BD242" s="778"/>
      <c r="BE242" s="778"/>
      <c r="BF242" s="778"/>
      <c r="BG242" s="778"/>
      <c r="BH242" s="778"/>
      <c r="BI242" s="778"/>
      <c r="BJ242" s="778"/>
      <c r="BK242" s="778"/>
      <c r="BL242" s="778"/>
      <c r="BM242" s="778"/>
      <c r="BN242" s="778"/>
      <c r="BO242" s="778"/>
      <c r="BP242" s="778"/>
      <c r="BQ242" s="778"/>
      <c r="BR242" s="778"/>
      <c r="BS242" s="778"/>
      <c r="BT242" s="778"/>
      <c r="BU242" s="778"/>
      <c r="BV242" s="778"/>
      <c r="BW242" s="778"/>
      <c r="BX242" s="778"/>
      <c r="BY242" s="778"/>
      <c r="BZ242" s="778"/>
      <c r="CA242" s="778"/>
      <c r="CB242" s="778"/>
      <c r="CC242" s="778"/>
      <c r="CD242" s="778"/>
      <c r="CE242" s="778"/>
      <c r="CF242" s="778"/>
      <c r="CG242" s="778"/>
      <c r="CH242" s="778"/>
      <c r="CI242" s="778"/>
      <c r="CJ242" s="778"/>
      <c r="CK242" s="778"/>
      <c r="CL242" s="778"/>
      <c r="CM242" s="778"/>
      <c r="CN242" s="778"/>
      <c r="CO242" s="778"/>
      <c r="CP242" s="778"/>
      <c r="CQ242" s="778"/>
      <c r="CR242" s="778"/>
      <c r="CS242" s="778"/>
      <c r="CT242" s="778"/>
      <c r="CU242" s="778"/>
      <c r="CV242" s="778"/>
      <c r="CW242" s="778"/>
      <c r="CX242" s="778"/>
      <c r="CY242" s="778"/>
      <c r="CZ242" s="778"/>
      <c r="DA242" s="778"/>
      <c r="DB242" s="778"/>
      <c r="DC242" s="778"/>
      <c r="DD242" s="778"/>
      <c r="DE242" s="778"/>
      <c r="DF242" s="778"/>
      <c r="DG242" s="778"/>
      <c r="DH242" s="778"/>
      <c r="DI242" s="778"/>
      <c r="DJ242" s="778"/>
      <c r="DK242" s="778"/>
      <c r="DL242" s="778"/>
      <c r="DM242" s="778"/>
      <c r="DN242" s="778"/>
      <c r="DO242" s="778"/>
      <c r="DP242" s="778"/>
      <c r="DQ242" s="778"/>
      <c r="DR242" s="778"/>
      <c r="DS242" s="778"/>
      <c r="DT242" s="778"/>
      <c r="DU242" s="778"/>
      <c r="DV242" s="778"/>
      <c r="DW242" s="778"/>
      <c r="DX242" s="778"/>
      <c r="DY242" s="778"/>
      <c r="DZ242" s="778"/>
      <c r="EA242" s="778"/>
      <c r="EB242" s="778"/>
      <c r="EC242" s="778"/>
      <c r="ED242" s="778"/>
      <c r="EE242" s="778"/>
      <c r="EF242" s="778"/>
      <c r="EG242" s="778"/>
      <c r="EH242" s="778"/>
    </row>
    <row r="243" spans="5:138" ht="12.75" customHeight="1" x14ac:dyDescent="0.3">
      <c r="E243" s="778"/>
      <c r="F243" s="778"/>
      <c r="G243" s="778"/>
      <c r="H243" s="778"/>
      <c r="I243" s="778"/>
      <c r="J243" s="778"/>
      <c r="K243" s="778"/>
      <c r="L243" s="778"/>
      <c r="M243" s="778"/>
      <c r="N243" s="778"/>
      <c r="O243" s="778"/>
      <c r="P243" s="778"/>
      <c r="Q243" s="778"/>
      <c r="R243" s="778"/>
      <c r="S243" s="778"/>
      <c r="T243" s="778"/>
      <c r="U243" s="778"/>
      <c r="V243" s="778"/>
      <c r="W243" s="778"/>
      <c r="X243" s="778"/>
      <c r="Y243" s="778"/>
      <c r="Z243" s="778"/>
      <c r="AA243" s="778"/>
      <c r="AB243" s="778"/>
      <c r="AC243" s="778"/>
      <c r="AD243" s="778"/>
      <c r="AE243" s="778"/>
      <c r="AF243" s="778"/>
      <c r="AG243" s="778"/>
      <c r="AH243" s="778"/>
      <c r="AI243" s="778"/>
      <c r="AJ243" s="778"/>
      <c r="AK243" s="778"/>
      <c r="AL243" s="778"/>
      <c r="AM243" s="778"/>
      <c r="AN243" s="778"/>
      <c r="AO243" s="778"/>
      <c r="AP243" s="778"/>
      <c r="AQ243" s="778"/>
      <c r="AR243" s="778"/>
      <c r="AS243" s="778"/>
      <c r="AT243" s="778"/>
      <c r="AU243" s="778"/>
      <c r="AV243" s="778"/>
      <c r="AW243" s="778"/>
      <c r="AX243" s="778"/>
      <c r="AY243" s="778"/>
      <c r="AZ243" s="778"/>
      <c r="BA243" s="778"/>
      <c r="BB243" s="778"/>
      <c r="BC243" s="778"/>
      <c r="BD243" s="778"/>
      <c r="BE243" s="778"/>
      <c r="BF243" s="778"/>
      <c r="BG243" s="778"/>
      <c r="BH243" s="778"/>
      <c r="BI243" s="778"/>
      <c r="BJ243" s="778"/>
      <c r="BK243" s="778"/>
      <c r="BL243" s="778"/>
      <c r="BM243" s="778"/>
      <c r="BN243" s="778"/>
      <c r="BO243" s="778"/>
      <c r="BP243" s="778"/>
      <c r="BQ243" s="778"/>
      <c r="BR243" s="778"/>
      <c r="BS243" s="778"/>
      <c r="BT243" s="778"/>
      <c r="BU243" s="778"/>
      <c r="BV243" s="778"/>
      <c r="BW243" s="778"/>
      <c r="BX243" s="778"/>
      <c r="BY243" s="778"/>
      <c r="BZ243" s="778"/>
      <c r="CA243" s="778"/>
      <c r="CB243" s="778"/>
      <c r="CC243" s="778"/>
      <c r="CD243" s="778"/>
      <c r="CE243" s="778"/>
      <c r="CF243" s="778"/>
      <c r="CG243" s="778"/>
      <c r="CH243" s="778"/>
      <c r="CI243" s="778"/>
      <c r="CJ243" s="778"/>
      <c r="CK243" s="778"/>
      <c r="CL243" s="778"/>
      <c r="CM243" s="778"/>
      <c r="CN243" s="778"/>
      <c r="CO243" s="778"/>
      <c r="CP243" s="778"/>
      <c r="CQ243" s="778"/>
      <c r="CR243" s="778"/>
      <c r="CS243" s="778"/>
      <c r="CT243" s="778"/>
      <c r="CU243" s="778"/>
      <c r="CV243" s="778"/>
      <c r="CW243" s="778"/>
      <c r="CX243" s="778"/>
      <c r="CY243" s="778"/>
      <c r="CZ243" s="778"/>
      <c r="DA243" s="778"/>
      <c r="DB243" s="778"/>
      <c r="DC243" s="778"/>
      <c r="DD243" s="778"/>
      <c r="DE243" s="778"/>
      <c r="DF243" s="778"/>
      <c r="DG243" s="778"/>
      <c r="DH243" s="778"/>
      <c r="DI243" s="778"/>
      <c r="DJ243" s="778"/>
      <c r="DK243" s="778"/>
      <c r="DL243" s="778"/>
      <c r="DM243" s="778"/>
      <c r="DN243" s="778"/>
      <c r="DO243" s="778"/>
      <c r="DP243" s="778"/>
      <c r="DQ243" s="778"/>
      <c r="DR243" s="778"/>
      <c r="DS243" s="778"/>
      <c r="DT243" s="778"/>
      <c r="DU243" s="778"/>
      <c r="DV243" s="778"/>
      <c r="DW243" s="778"/>
      <c r="DX243" s="778"/>
      <c r="DY243" s="778"/>
      <c r="DZ243" s="778"/>
      <c r="EA243" s="778"/>
      <c r="EB243" s="778"/>
      <c r="EC243" s="778"/>
      <c r="ED243" s="778"/>
      <c r="EE243" s="778"/>
      <c r="EF243" s="778"/>
      <c r="EG243" s="778"/>
      <c r="EH243" s="778"/>
    </row>
    <row r="244" spans="5:138" ht="12.75" customHeight="1" x14ac:dyDescent="0.3">
      <c r="E244" s="778"/>
      <c r="F244" s="778"/>
      <c r="G244" s="778"/>
      <c r="H244" s="778"/>
      <c r="I244" s="778"/>
      <c r="J244" s="778"/>
      <c r="K244" s="778"/>
      <c r="L244" s="778"/>
      <c r="M244" s="778"/>
      <c r="N244" s="778"/>
      <c r="O244" s="778"/>
      <c r="P244" s="778"/>
      <c r="Q244" s="778"/>
      <c r="R244" s="778"/>
      <c r="S244" s="778"/>
      <c r="T244" s="778"/>
      <c r="U244" s="778"/>
      <c r="V244" s="778"/>
      <c r="W244" s="778"/>
      <c r="X244" s="778"/>
      <c r="Y244" s="778"/>
      <c r="Z244" s="778"/>
      <c r="AA244" s="778"/>
      <c r="AB244" s="778"/>
      <c r="AC244" s="778"/>
      <c r="AD244" s="778"/>
      <c r="AE244" s="778"/>
      <c r="AF244" s="778"/>
      <c r="AG244" s="778"/>
      <c r="AH244" s="778"/>
      <c r="AI244" s="778"/>
      <c r="AJ244" s="778"/>
      <c r="AK244" s="778"/>
      <c r="AL244" s="778"/>
      <c r="AM244" s="778"/>
      <c r="AN244" s="778"/>
      <c r="AO244" s="778"/>
      <c r="AP244" s="778"/>
      <c r="AQ244" s="778"/>
      <c r="AR244" s="778"/>
      <c r="AS244" s="778"/>
      <c r="AT244" s="778"/>
      <c r="AU244" s="778"/>
      <c r="AV244" s="778"/>
      <c r="AW244" s="778"/>
      <c r="AX244" s="778"/>
      <c r="AY244" s="778"/>
      <c r="AZ244" s="778"/>
      <c r="BA244" s="778"/>
      <c r="BB244" s="778"/>
      <c r="BC244" s="778"/>
      <c r="BD244" s="778"/>
      <c r="BE244" s="778"/>
      <c r="BF244" s="778"/>
      <c r="BG244" s="778"/>
      <c r="BH244" s="778"/>
      <c r="BI244" s="778"/>
      <c r="BJ244" s="778"/>
      <c r="BK244" s="778"/>
      <c r="BL244" s="778"/>
      <c r="BM244" s="778"/>
      <c r="BN244" s="778"/>
      <c r="BO244" s="778"/>
      <c r="BP244" s="778"/>
      <c r="BQ244" s="778"/>
      <c r="BR244" s="778"/>
      <c r="BS244" s="778"/>
      <c r="BT244" s="778"/>
      <c r="BU244" s="778"/>
      <c r="BV244" s="778"/>
      <c r="BW244" s="778"/>
      <c r="BX244" s="778"/>
      <c r="BY244" s="778"/>
      <c r="BZ244" s="778"/>
      <c r="CA244" s="778"/>
      <c r="CB244" s="778"/>
      <c r="CC244" s="778"/>
      <c r="CD244" s="778"/>
      <c r="CE244" s="778"/>
      <c r="CF244" s="778"/>
      <c r="CG244" s="778"/>
      <c r="CH244" s="778"/>
      <c r="CI244" s="778"/>
      <c r="CJ244" s="778"/>
      <c r="CK244" s="778"/>
      <c r="CL244" s="778"/>
      <c r="CM244" s="778"/>
      <c r="CN244" s="778"/>
      <c r="CO244" s="778"/>
      <c r="CP244" s="778"/>
      <c r="CQ244" s="778"/>
      <c r="CR244" s="778"/>
      <c r="CS244" s="778"/>
      <c r="CT244" s="778"/>
      <c r="CU244" s="778"/>
      <c r="CV244" s="778"/>
      <c r="CW244" s="778"/>
      <c r="CX244" s="778"/>
      <c r="CY244" s="778"/>
      <c r="CZ244" s="778"/>
      <c r="DA244" s="778"/>
      <c r="DB244" s="778"/>
      <c r="DC244" s="778"/>
      <c r="DD244" s="778"/>
      <c r="DE244" s="778"/>
      <c r="DF244" s="778"/>
      <c r="DG244" s="778"/>
      <c r="DH244" s="778"/>
      <c r="DI244" s="778"/>
      <c r="DJ244" s="778"/>
      <c r="DK244" s="778"/>
      <c r="DL244" s="778"/>
      <c r="DM244" s="778"/>
      <c r="DN244" s="778"/>
      <c r="DO244" s="778"/>
      <c r="DP244" s="778"/>
      <c r="DQ244" s="778"/>
      <c r="DR244" s="778"/>
      <c r="DS244" s="778"/>
      <c r="DT244" s="778"/>
      <c r="DU244" s="778"/>
      <c r="DV244" s="778"/>
      <c r="DW244" s="778"/>
      <c r="DX244" s="778"/>
      <c r="DY244" s="778"/>
      <c r="DZ244" s="778"/>
      <c r="EA244" s="778"/>
      <c r="EB244" s="778"/>
      <c r="EC244" s="778"/>
      <c r="ED244" s="778"/>
      <c r="EE244" s="778"/>
      <c r="EF244" s="778"/>
      <c r="EG244" s="778"/>
      <c r="EH244" s="778"/>
    </row>
    <row r="245" spans="5:138" ht="12.75" customHeight="1" x14ac:dyDescent="0.3">
      <c r="E245" s="778"/>
      <c r="F245" s="778"/>
      <c r="G245" s="778"/>
      <c r="H245" s="778"/>
      <c r="I245" s="778"/>
      <c r="J245" s="778"/>
      <c r="K245" s="778"/>
      <c r="L245" s="778"/>
      <c r="M245" s="778"/>
      <c r="N245" s="778"/>
      <c r="O245" s="778"/>
      <c r="P245" s="778"/>
      <c r="Q245" s="778"/>
      <c r="R245" s="778"/>
      <c r="S245" s="778"/>
      <c r="T245" s="778"/>
      <c r="U245" s="778"/>
      <c r="V245" s="778"/>
      <c r="W245" s="778"/>
      <c r="X245" s="778"/>
      <c r="Y245" s="778"/>
      <c r="Z245" s="778"/>
      <c r="AA245" s="778"/>
      <c r="AB245" s="778"/>
      <c r="AC245" s="778"/>
      <c r="AD245" s="778"/>
      <c r="AE245" s="778"/>
      <c r="AF245" s="778"/>
      <c r="AG245" s="778"/>
      <c r="AH245" s="778"/>
      <c r="AI245" s="778"/>
      <c r="AJ245" s="778"/>
      <c r="AK245" s="778"/>
      <c r="AL245" s="778"/>
      <c r="AM245" s="778"/>
      <c r="AN245" s="778"/>
      <c r="AO245" s="778"/>
      <c r="AP245" s="778"/>
      <c r="AQ245" s="778"/>
      <c r="AR245" s="778"/>
      <c r="AS245" s="778"/>
      <c r="AT245" s="778"/>
      <c r="AU245" s="778"/>
      <c r="AV245" s="778"/>
      <c r="AW245" s="778"/>
      <c r="AX245" s="778"/>
      <c r="AY245" s="778"/>
      <c r="AZ245" s="778"/>
      <c r="BA245" s="778"/>
      <c r="BB245" s="778"/>
      <c r="BC245" s="778"/>
      <c r="BD245" s="778"/>
      <c r="BE245" s="778"/>
      <c r="BF245" s="778"/>
      <c r="BG245" s="778"/>
      <c r="BH245" s="778"/>
      <c r="BI245" s="778"/>
      <c r="BJ245" s="778"/>
      <c r="BK245" s="778"/>
      <c r="BL245" s="778"/>
      <c r="BM245" s="778"/>
      <c r="BN245" s="778"/>
      <c r="BO245" s="778"/>
      <c r="BP245" s="778"/>
      <c r="BQ245" s="778"/>
      <c r="BR245" s="778"/>
      <c r="BS245" s="778"/>
      <c r="BT245" s="778"/>
      <c r="BU245" s="778"/>
      <c r="BV245" s="778"/>
      <c r="BW245" s="778"/>
      <c r="BX245" s="778"/>
      <c r="BY245" s="778"/>
      <c r="BZ245" s="778"/>
      <c r="CA245" s="778"/>
      <c r="CB245" s="778"/>
      <c r="CC245" s="778"/>
      <c r="CD245" s="778"/>
      <c r="CE245" s="778"/>
      <c r="CF245" s="778"/>
      <c r="CG245" s="778"/>
      <c r="CH245" s="778"/>
      <c r="CI245" s="778"/>
      <c r="CJ245" s="778"/>
      <c r="CK245" s="778"/>
      <c r="CL245" s="778"/>
      <c r="CM245" s="778"/>
      <c r="CN245" s="778"/>
      <c r="CO245" s="778"/>
      <c r="CP245" s="778"/>
      <c r="CQ245" s="778"/>
      <c r="CR245" s="778"/>
      <c r="CS245" s="778"/>
      <c r="CT245" s="778"/>
      <c r="CU245" s="778"/>
      <c r="CV245" s="778"/>
      <c r="CW245" s="778"/>
      <c r="CX245" s="778"/>
      <c r="CY245" s="778"/>
      <c r="CZ245" s="778"/>
      <c r="DA245" s="778"/>
      <c r="DB245" s="778"/>
      <c r="DC245" s="778"/>
      <c r="DD245" s="778"/>
      <c r="DE245" s="778"/>
      <c r="DF245" s="778"/>
      <c r="DG245" s="778"/>
      <c r="DH245" s="778"/>
      <c r="DI245" s="778"/>
      <c r="DJ245" s="778"/>
      <c r="DK245" s="778"/>
      <c r="DL245" s="778"/>
      <c r="DM245" s="778"/>
      <c r="DN245" s="778"/>
      <c r="DO245" s="778"/>
      <c r="DP245" s="778"/>
      <c r="DQ245" s="778"/>
      <c r="DR245" s="778"/>
      <c r="DS245" s="778"/>
      <c r="DT245" s="778"/>
      <c r="DU245" s="778"/>
      <c r="DV245" s="778"/>
      <c r="DW245" s="778"/>
      <c r="DX245" s="778"/>
      <c r="DY245" s="778"/>
      <c r="DZ245" s="778"/>
      <c r="EA245" s="778"/>
      <c r="EB245" s="778"/>
      <c r="EC245" s="778"/>
      <c r="ED245" s="778"/>
      <c r="EE245" s="778"/>
      <c r="EF245" s="778"/>
      <c r="EG245" s="778"/>
      <c r="EH245" s="778"/>
    </row>
    <row r="246" spans="5:138" ht="12.75" customHeight="1" x14ac:dyDescent="0.3">
      <c r="E246" s="778"/>
      <c r="F246" s="778"/>
      <c r="G246" s="778"/>
      <c r="H246" s="778"/>
      <c r="I246" s="778"/>
      <c r="J246" s="778"/>
      <c r="K246" s="778"/>
      <c r="L246" s="778"/>
      <c r="M246" s="778"/>
      <c r="N246" s="778"/>
      <c r="O246" s="778"/>
      <c r="P246" s="778"/>
      <c r="Q246" s="778"/>
      <c r="R246" s="778"/>
      <c r="S246" s="778"/>
      <c r="T246" s="778"/>
      <c r="U246" s="778"/>
      <c r="V246" s="778"/>
      <c r="W246" s="778"/>
      <c r="X246" s="778"/>
      <c r="Y246" s="778"/>
      <c r="Z246" s="778"/>
      <c r="AA246" s="778"/>
      <c r="AB246" s="778"/>
      <c r="AC246" s="778"/>
      <c r="AD246" s="778"/>
      <c r="AE246" s="778"/>
      <c r="AF246" s="778"/>
      <c r="AG246" s="778"/>
      <c r="AH246" s="778"/>
      <c r="AI246" s="778"/>
      <c r="AJ246" s="778"/>
      <c r="AK246" s="778"/>
      <c r="AL246" s="778"/>
      <c r="AM246" s="778"/>
      <c r="AN246" s="778"/>
      <c r="AO246" s="778"/>
      <c r="AP246" s="778"/>
      <c r="AQ246" s="778"/>
      <c r="AR246" s="778"/>
      <c r="AS246" s="778"/>
      <c r="AT246" s="778"/>
      <c r="AU246" s="778"/>
      <c r="AV246" s="778"/>
      <c r="AW246" s="778"/>
      <c r="AX246" s="778"/>
      <c r="AY246" s="778"/>
      <c r="AZ246" s="778"/>
      <c r="BA246" s="778"/>
      <c r="BB246" s="778"/>
      <c r="BC246" s="778"/>
      <c r="BD246" s="778"/>
      <c r="BE246" s="778"/>
      <c r="BF246" s="778"/>
      <c r="BG246" s="778"/>
      <c r="BH246" s="778"/>
      <c r="BI246" s="778"/>
      <c r="BJ246" s="778"/>
      <c r="BK246" s="778"/>
      <c r="BL246" s="778"/>
      <c r="BM246" s="778"/>
      <c r="BN246" s="778"/>
      <c r="BO246" s="778"/>
      <c r="BP246" s="778"/>
      <c r="BQ246" s="778"/>
      <c r="BR246" s="778"/>
      <c r="BS246" s="778"/>
      <c r="BT246" s="778"/>
      <c r="BU246" s="778"/>
      <c r="BV246" s="778"/>
      <c r="BW246" s="778"/>
      <c r="BX246" s="778"/>
      <c r="BY246" s="778"/>
      <c r="BZ246" s="778"/>
      <c r="CA246" s="778"/>
      <c r="CB246" s="778"/>
      <c r="CC246" s="778"/>
      <c r="CD246" s="778"/>
      <c r="CE246" s="778"/>
      <c r="CF246" s="778"/>
      <c r="CG246" s="778"/>
      <c r="CH246" s="778"/>
      <c r="CI246" s="778"/>
      <c r="CJ246" s="778"/>
      <c r="CK246" s="778"/>
      <c r="CL246" s="778"/>
      <c r="CM246" s="778"/>
      <c r="CN246" s="778"/>
      <c r="CO246" s="778"/>
      <c r="CP246" s="778"/>
      <c r="CQ246" s="778"/>
      <c r="CR246" s="778"/>
      <c r="CS246" s="778"/>
      <c r="CT246" s="778"/>
      <c r="CU246" s="778"/>
      <c r="CV246" s="778"/>
      <c r="CW246" s="778"/>
      <c r="CX246" s="778"/>
      <c r="CY246" s="778"/>
      <c r="CZ246" s="778"/>
      <c r="DA246" s="778"/>
      <c r="DB246" s="778"/>
      <c r="DC246" s="778"/>
      <c r="DD246" s="778"/>
      <c r="DE246" s="778"/>
      <c r="DF246" s="778"/>
      <c r="DG246" s="778"/>
      <c r="DH246" s="778"/>
      <c r="DI246" s="778"/>
      <c r="DJ246" s="778"/>
      <c r="DK246" s="778"/>
      <c r="DL246" s="778"/>
      <c r="DM246" s="778"/>
      <c r="DN246" s="778"/>
      <c r="DO246" s="778"/>
      <c r="DP246" s="778"/>
      <c r="DQ246" s="778"/>
      <c r="DR246" s="778"/>
      <c r="DS246" s="778"/>
      <c r="DT246" s="778"/>
      <c r="DU246" s="778"/>
      <c r="DV246" s="778"/>
      <c r="DW246" s="778"/>
      <c r="DX246" s="778"/>
      <c r="DY246" s="778"/>
      <c r="DZ246" s="778"/>
      <c r="EA246" s="778"/>
      <c r="EB246" s="778"/>
      <c r="EC246" s="778"/>
      <c r="ED246" s="778"/>
      <c r="EE246" s="778"/>
      <c r="EF246" s="778"/>
      <c r="EG246" s="778"/>
      <c r="EH246" s="778"/>
    </row>
    <row r="247" spans="5:138" ht="12.75" customHeight="1" x14ac:dyDescent="0.3">
      <c r="E247" s="778"/>
      <c r="F247" s="778"/>
      <c r="G247" s="778"/>
      <c r="H247" s="778"/>
      <c r="I247" s="778"/>
      <c r="J247" s="778"/>
      <c r="K247" s="778"/>
      <c r="L247" s="778"/>
      <c r="M247" s="778"/>
      <c r="N247" s="778"/>
      <c r="O247" s="778"/>
      <c r="P247" s="778"/>
      <c r="Q247" s="778"/>
      <c r="R247" s="778"/>
      <c r="S247" s="778"/>
      <c r="T247" s="778"/>
      <c r="U247" s="778"/>
      <c r="V247" s="778"/>
      <c r="W247" s="778"/>
      <c r="X247" s="778"/>
      <c r="Y247" s="778"/>
      <c r="Z247" s="778"/>
      <c r="AA247" s="778"/>
      <c r="AB247" s="778"/>
      <c r="AC247" s="778"/>
      <c r="AD247" s="778"/>
      <c r="AE247" s="778"/>
      <c r="AF247" s="778"/>
      <c r="AG247" s="778"/>
      <c r="AH247" s="778"/>
      <c r="AI247" s="778"/>
      <c r="AJ247" s="778"/>
      <c r="AK247" s="778"/>
      <c r="AL247" s="778"/>
      <c r="AM247" s="778"/>
      <c r="AN247" s="778"/>
      <c r="AO247" s="778"/>
      <c r="AP247" s="778"/>
      <c r="AQ247" s="778"/>
      <c r="AR247" s="778"/>
      <c r="AS247" s="778"/>
      <c r="AT247" s="778"/>
      <c r="AU247" s="778"/>
      <c r="AV247" s="778"/>
      <c r="AW247" s="778"/>
      <c r="AX247" s="778"/>
      <c r="AY247" s="778"/>
      <c r="AZ247" s="778"/>
      <c r="BA247" s="778"/>
      <c r="BB247" s="778"/>
      <c r="BC247" s="778"/>
      <c r="BD247" s="778"/>
      <c r="BE247" s="778"/>
      <c r="BF247" s="778"/>
      <c r="BG247" s="778"/>
      <c r="BH247" s="778"/>
      <c r="BI247" s="778"/>
      <c r="BJ247" s="778"/>
      <c r="BK247" s="778"/>
      <c r="BL247" s="778"/>
      <c r="BM247" s="778"/>
      <c r="BN247" s="778"/>
      <c r="BO247" s="778"/>
      <c r="BP247" s="778"/>
      <c r="BQ247" s="778"/>
      <c r="BR247" s="778"/>
      <c r="BS247" s="778"/>
      <c r="BT247" s="778"/>
      <c r="BU247" s="778"/>
      <c r="BV247" s="778"/>
      <c r="BW247" s="778"/>
      <c r="BX247" s="778"/>
      <c r="BY247" s="778"/>
      <c r="BZ247" s="778"/>
      <c r="CA247" s="778"/>
      <c r="CB247" s="778"/>
      <c r="CC247" s="778"/>
      <c r="CD247" s="778"/>
      <c r="CE247" s="778"/>
      <c r="CF247" s="778"/>
      <c r="CG247" s="778"/>
      <c r="CH247" s="778"/>
      <c r="CI247" s="778"/>
      <c r="CJ247" s="778"/>
      <c r="CK247" s="778"/>
      <c r="CL247" s="778"/>
      <c r="CM247" s="778"/>
      <c r="CN247" s="778"/>
      <c r="CO247" s="778"/>
      <c r="CP247" s="778"/>
      <c r="CQ247" s="778"/>
      <c r="CR247" s="778"/>
      <c r="CS247" s="778"/>
      <c r="CT247" s="778"/>
      <c r="CU247" s="778"/>
      <c r="CV247" s="778"/>
      <c r="CW247" s="778"/>
      <c r="CX247" s="778"/>
      <c r="CY247" s="778"/>
      <c r="CZ247" s="778"/>
      <c r="DA247" s="778"/>
      <c r="DB247" s="778"/>
      <c r="DC247" s="778"/>
      <c r="DD247" s="778"/>
      <c r="DE247" s="778"/>
      <c r="DF247" s="778"/>
      <c r="DG247" s="778"/>
      <c r="DH247" s="778"/>
      <c r="DI247" s="778"/>
      <c r="DJ247" s="778"/>
      <c r="DK247" s="778"/>
      <c r="DL247" s="778"/>
      <c r="DM247" s="778"/>
      <c r="DN247" s="778"/>
      <c r="DO247" s="778"/>
      <c r="DP247" s="778"/>
      <c r="DQ247" s="778"/>
      <c r="DR247" s="778"/>
      <c r="DS247" s="778"/>
      <c r="DT247" s="778"/>
      <c r="DU247" s="778"/>
      <c r="DV247" s="778"/>
      <c r="DW247" s="778"/>
      <c r="DX247" s="778"/>
      <c r="DY247" s="778"/>
      <c r="DZ247" s="778"/>
      <c r="EA247" s="778"/>
      <c r="EB247" s="778"/>
      <c r="EC247" s="778"/>
      <c r="ED247" s="778"/>
      <c r="EE247" s="778"/>
      <c r="EF247" s="778"/>
      <c r="EG247" s="778"/>
      <c r="EH247" s="778"/>
    </row>
    <row r="248" spans="5:138" ht="12.75" customHeight="1" x14ac:dyDescent="0.3">
      <c r="E248" s="778"/>
      <c r="F248" s="778"/>
      <c r="G248" s="778"/>
      <c r="H248" s="778"/>
      <c r="I248" s="778"/>
      <c r="J248" s="778"/>
      <c r="K248" s="778"/>
      <c r="L248" s="778"/>
      <c r="M248" s="778"/>
      <c r="N248" s="778"/>
      <c r="O248" s="778"/>
      <c r="P248" s="778"/>
      <c r="Q248" s="778"/>
      <c r="R248" s="778"/>
      <c r="S248" s="778"/>
      <c r="T248" s="778"/>
      <c r="U248" s="778"/>
      <c r="V248" s="778"/>
      <c r="W248" s="778"/>
      <c r="X248" s="778"/>
      <c r="Y248" s="778"/>
      <c r="Z248" s="778"/>
      <c r="AA248" s="778"/>
      <c r="AB248" s="778"/>
      <c r="AC248" s="778"/>
      <c r="AD248" s="778"/>
      <c r="AE248" s="778"/>
      <c r="AF248" s="778"/>
      <c r="AG248" s="778"/>
      <c r="AH248" s="778"/>
      <c r="AI248" s="778"/>
      <c r="AJ248" s="778"/>
      <c r="AK248" s="778"/>
      <c r="AL248" s="778"/>
      <c r="AM248" s="778"/>
      <c r="AN248" s="778"/>
      <c r="AO248" s="778"/>
      <c r="AP248" s="778"/>
      <c r="AQ248" s="778"/>
      <c r="AR248" s="778"/>
      <c r="AS248" s="778"/>
      <c r="AT248" s="778"/>
      <c r="AU248" s="778"/>
      <c r="AV248" s="778"/>
      <c r="AW248" s="778"/>
      <c r="AX248" s="778"/>
      <c r="AY248" s="778"/>
      <c r="AZ248" s="778"/>
      <c r="BA248" s="778"/>
      <c r="BB248" s="778"/>
      <c r="BC248" s="778"/>
      <c r="BD248" s="778"/>
      <c r="BE248" s="778"/>
      <c r="BF248" s="778"/>
      <c r="BG248" s="778"/>
      <c r="BH248" s="778"/>
      <c r="BI248" s="778"/>
      <c r="BJ248" s="778"/>
      <c r="BK248" s="778"/>
      <c r="BL248" s="778"/>
      <c r="BM248" s="778"/>
      <c r="BN248" s="778"/>
      <c r="BO248" s="778"/>
      <c r="BP248" s="778"/>
      <c r="BQ248" s="778"/>
      <c r="BR248" s="778"/>
      <c r="BS248" s="778"/>
      <c r="BT248" s="778"/>
      <c r="BU248" s="778"/>
      <c r="BV248" s="778"/>
      <c r="BW248" s="778"/>
      <c r="BX248" s="778"/>
      <c r="BY248" s="778"/>
      <c r="BZ248" s="778"/>
      <c r="CA248" s="778"/>
      <c r="CB248" s="778"/>
      <c r="CC248" s="778"/>
      <c r="CD248" s="778"/>
      <c r="CE248" s="778"/>
      <c r="CF248" s="778"/>
      <c r="CG248" s="778"/>
      <c r="CH248" s="778"/>
      <c r="CI248" s="778"/>
      <c r="CJ248" s="778"/>
      <c r="CK248" s="778"/>
      <c r="CL248" s="778"/>
      <c r="CM248" s="778"/>
      <c r="CN248" s="778"/>
      <c r="CO248" s="778"/>
      <c r="CP248" s="778"/>
      <c r="CQ248" s="778"/>
      <c r="CR248" s="778"/>
      <c r="CS248" s="778"/>
      <c r="CT248" s="778"/>
      <c r="CU248" s="778"/>
      <c r="CV248" s="778"/>
      <c r="CW248" s="778"/>
      <c r="CX248" s="778"/>
      <c r="CY248" s="778"/>
      <c r="CZ248" s="778"/>
      <c r="DA248" s="778"/>
      <c r="DB248" s="778"/>
      <c r="DC248" s="778"/>
      <c r="DD248" s="778"/>
      <c r="DE248" s="778"/>
      <c r="DF248" s="778"/>
      <c r="DG248" s="778"/>
      <c r="DH248" s="778"/>
      <c r="DI248" s="778"/>
      <c r="DJ248" s="778"/>
      <c r="DK248" s="778"/>
      <c r="DL248" s="778"/>
      <c r="DM248" s="778"/>
      <c r="DN248" s="778"/>
      <c r="DO248" s="778"/>
      <c r="DP248" s="778"/>
      <c r="DQ248" s="778"/>
      <c r="DR248" s="778"/>
      <c r="DS248" s="778"/>
      <c r="DT248" s="778"/>
      <c r="DU248" s="778"/>
      <c r="DV248" s="778"/>
      <c r="DW248" s="778"/>
      <c r="DX248" s="778"/>
      <c r="DY248" s="778"/>
      <c r="DZ248" s="778"/>
      <c r="EA248" s="778"/>
      <c r="EB248" s="778"/>
      <c r="EC248" s="778"/>
      <c r="ED248" s="778"/>
      <c r="EE248" s="778"/>
      <c r="EF248" s="778"/>
      <c r="EG248" s="778"/>
      <c r="EH248" s="778"/>
    </row>
    <row r="249" spans="5:138" ht="12.75" customHeight="1" x14ac:dyDescent="0.3">
      <c r="E249" s="778"/>
      <c r="F249" s="778"/>
      <c r="G249" s="778"/>
      <c r="H249" s="778"/>
      <c r="I249" s="778"/>
      <c r="J249" s="778"/>
      <c r="K249" s="778"/>
      <c r="L249" s="778"/>
      <c r="M249" s="778"/>
      <c r="N249" s="778"/>
      <c r="O249" s="778"/>
      <c r="P249" s="778"/>
      <c r="Q249" s="778"/>
      <c r="R249" s="778"/>
      <c r="S249" s="778"/>
      <c r="T249" s="778"/>
      <c r="U249" s="778"/>
      <c r="V249" s="778"/>
      <c r="W249" s="778"/>
      <c r="X249" s="778"/>
      <c r="Y249" s="778"/>
      <c r="Z249" s="778"/>
      <c r="AA249" s="778"/>
      <c r="AB249" s="778"/>
      <c r="AC249" s="778"/>
      <c r="AD249" s="778"/>
      <c r="AE249" s="778"/>
      <c r="AF249" s="778"/>
      <c r="AG249" s="778"/>
      <c r="AH249" s="778"/>
      <c r="AI249" s="778"/>
      <c r="AJ249" s="778"/>
      <c r="AK249" s="778"/>
      <c r="AL249" s="778"/>
      <c r="AM249" s="778"/>
      <c r="AN249" s="778"/>
      <c r="AO249" s="778"/>
      <c r="AP249" s="778"/>
      <c r="AQ249" s="778"/>
      <c r="AR249" s="778"/>
      <c r="AS249" s="778"/>
      <c r="AT249" s="778"/>
      <c r="AU249" s="778"/>
      <c r="AV249" s="778"/>
      <c r="AW249" s="778"/>
      <c r="AX249" s="778"/>
      <c r="AY249" s="778"/>
      <c r="AZ249" s="778"/>
      <c r="BA249" s="778"/>
      <c r="BB249" s="778"/>
      <c r="BC249" s="778"/>
      <c r="BD249" s="778"/>
      <c r="BE249" s="778"/>
      <c r="BF249" s="778"/>
      <c r="BG249" s="778"/>
      <c r="BH249" s="778"/>
      <c r="BI249" s="778"/>
      <c r="BJ249" s="778"/>
      <c r="BK249" s="778"/>
      <c r="BL249" s="778"/>
      <c r="BM249" s="778"/>
      <c r="BN249" s="778"/>
      <c r="BO249" s="778"/>
      <c r="BP249" s="778"/>
      <c r="BQ249" s="778"/>
      <c r="BR249" s="778"/>
      <c r="BS249" s="778"/>
      <c r="BT249" s="778"/>
      <c r="BU249" s="778"/>
      <c r="BV249" s="778"/>
      <c r="BW249" s="778"/>
      <c r="BX249" s="778"/>
      <c r="BY249" s="778"/>
      <c r="BZ249" s="778"/>
      <c r="CA249" s="778"/>
      <c r="CB249" s="778"/>
      <c r="CC249" s="778"/>
      <c r="CD249" s="778"/>
      <c r="CE249" s="778"/>
      <c r="CF249" s="778"/>
      <c r="CG249" s="778"/>
      <c r="CH249" s="778"/>
      <c r="CI249" s="778"/>
      <c r="CJ249" s="778"/>
      <c r="CK249" s="778"/>
      <c r="CL249" s="778"/>
      <c r="CM249" s="778"/>
      <c r="CN249" s="778"/>
      <c r="CO249" s="778"/>
      <c r="CP249" s="778"/>
      <c r="CQ249" s="778"/>
      <c r="CR249" s="778"/>
      <c r="CS249" s="778"/>
      <c r="CT249" s="778"/>
      <c r="CU249" s="778"/>
      <c r="CV249" s="778"/>
      <c r="CW249" s="778"/>
      <c r="CX249" s="778"/>
      <c r="CY249" s="778"/>
      <c r="CZ249" s="778"/>
      <c r="DA249" s="778"/>
      <c r="DB249" s="778"/>
      <c r="DC249" s="778"/>
      <c r="DD249" s="778"/>
      <c r="DE249" s="778"/>
      <c r="DF249" s="778"/>
      <c r="DG249" s="778"/>
      <c r="DH249" s="778"/>
      <c r="DI249" s="778"/>
      <c r="DJ249" s="778"/>
      <c r="DK249" s="778"/>
      <c r="DL249" s="778"/>
      <c r="DM249" s="778"/>
      <c r="DN249" s="778"/>
      <c r="DO249" s="778"/>
      <c r="DP249" s="778"/>
      <c r="DQ249" s="778"/>
      <c r="DR249" s="778"/>
      <c r="DS249" s="778"/>
      <c r="DT249" s="778"/>
      <c r="DU249" s="778"/>
      <c r="DV249" s="778"/>
      <c r="DW249" s="778"/>
      <c r="DX249" s="778"/>
      <c r="DY249" s="778"/>
      <c r="DZ249" s="778"/>
      <c r="EA249" s="778"/>
      <c r="EB249" s="778"/>
      <c r="EC249" s="778"/>
      <c r="ED249" s="778"/>
      <c r="EE249" s="778"/>
      <c r="EF249" s="778"/>
      <c r="EG249" s="778"/>
      <c r="EH249" s="778"/>
    </row>
    <row r="250" spans="5:138" ht="12.75" customHeight="1" x14ac:dyDescent="0.3">
      <c r="E250" s="778"/>
      <c r="F250" s="778"/>
      <c r="G250" s="778"/>
      <c r="H250" s="778"/>
      <c r="I250" s="778"/>
      <c r="J250" s="778"/>
      <c r="K250" s="778"/>
      <c r="L250" s="778"/>
      <c r="M250" s="778"/>
      <c r="N250" s="778"/>
      <c r="O250" s="778"/>
      <c r="P250" s="778"/>
      <c r="Q250" s="778"/>
      <c r="R250" s="778"/>
      <c r="S250" s="778"/>
      <c r="T250" s="778"/>
      <c r="U250" s="778"/>
      <c r="V250" s="778"/>
      <c r="W250" s="778"/>
      <c r="X250" s="778"/>
      <c r="Y250" s="778"/>
      <c r="Z250" s="778"/>
      <c r="AA250" s="778"/>
      <c r="AB250" s="778"/>
      <c r="AC250" s="778"/>
      <c r="AD250" s="778"/>
      <c r="AE250" s="778"/>
      <c r="AF250" s="778"/>
      <c r="AG250" s="778"/>
      <c r="AH250" s="778"/>
      <c r="AI250" s="778"/>
      <c r="AJ250" s="778"/>
      <c r="AK250" s="778"/>
      <c r="AL250" s="778"/>
      <c r="AM250" s="778"/>
      <c r="AN250" s="778"/>
      <c r="AO250" s="778"/>
      <c r="AP250" s="778"/>
      <c r="AQ250" s="778"/>
      <c r="AR250" s="778"/>
      <c r="AS250" s="778"/>
      <c r="AT250" s="778"/>
      <c r="AU250" s="778"/>
      <c r="AV250" s="778"/>
      <c r="AW250" s="778"/>
      <c r="AX250" s="778"/>
      <c r="AY250" s="778"/>
      <c r="AZ250" s="778"/>
      <c r="BA250" s="778"/>
      <c r="BB250" s="778"/>
      <c r="BC250" s="778"/>
      <c r="BD250" s="778"/>
      <c r="BE250" s="778"/>
      <c r="BF250" s="778"/>
      <c r="BG250" s="778"/>
      <c r="BH250" s="778"/>
      <c r="BI250" s="778"/>
      <c r="BJ250" s="778"/>
      <c r="BK250" s="778"/>
      <c r="BL250" s="778"/>
      <c r="BM250" s="778"/>
      <c r="BN250" s="778"/>
      <c r="BO250" s="778"/>
      <c r="BP250" s="778"/>
      <c r="BQ250" s="778"/>
      <c r="BR250" s="778"/>
      <c r="BS250" s="778"/>
      <c r="BT250" s="778"/>
      <c r="BU250" s="778"/>
      <c r="BV250" s="778"/>
      <c r="BW250" s="778"/>
      <c r="BX250" s="778"/>
      <c r="BY250" s="778"/>
      <c r="BZ250" s="778"/>
      <c r="CA250" s="778"/>
      <c r="CB250" s="778"/>
      <c r="CC250" s="778"/>
      <c r="CD250" s="778"/>
      <c r="CE250" s="778"/>
      <c r="CF250" s="778"/>
      <c r="CG250" s="778"/>
      <c r="CH250" s="778"/>
      <c r="CI250" s="778"/>
      <c r="CJ250" s="778"/>
      <c r="CK250" s="778"/>
      <c r="CL250" s="778"/>
      <c r="CM250" s="778"/>
      <c r="CN250" s="778"/>
      <c r="CO250" s="778"/>
      <c r="CP250" s="778"/>
      <c r="CQ250" s="778"/>
      <c r="CR250" s="778"/>
      <c r="CS250" s="778"/>
      <c r="CT250" s="778"/>
      <c r="CU250" s="778"/>
      <c r="CV250" s="778"/>
      <c r="CW250" s="778"/>
      <c r="CX250" s="778"/>
      <c r="CY250" s="778"/>
      <c r="CZ250" s="778"/>
      <c r="DA250" s="778"/>
      <c r="DB250" s="778"/>
      <c r="DC250" s="778"/>
      <c r="DD250" s="778"/>
      <c r="DE250" s="778"/>
      <c r="DF250" s="778"/>
      <c r="DG250" s="778"/>
      <c r="DH250" s="778"/>
      <c r="DI250" s="778"/>
      <c r="DJ250" s="778"/>
      <c r="DK250" s="778"/>
      <c r="DL250" s="778"/>
      <c r="DM250" s="778"/>
      <c r="DN250" s="778"/>
      <c r="DO250" s="778"/>
      <c r="DP250" s="778"/>
      <c r="DQ250" s="778"/>
      <c r="DR250" s="778"/>
      <c r="DS250" s="778"/>
      <c r="DT250" s="778"/>
      <c r="DU250" s="778"/>
      <c r="DV250" s="778"/>
      <c r="DW250" s="778"/>
      <c r="DX250" s="778"/>
      <c r="DY250" s="778"/>
      <c r="DZ250" s="778"/>
      <c r="EA250" s="778"/>
      <c r="EB250" s="778"/>
      <c r="EC250" s="778"/>
      <c r="ED250" s="778"/>
      <c r="EE250" s="778"/>
      <c r="EF250" s="778"/>
      <c r="EG250" s="778"/>
      <c r="EH250" s="778"/>
    </row>
    <row r="251" spans="5:138" ht="12.75" customHeight="1" x14ac:dyDescent="0.3">
      <c r="E251" s="778"/>
      <c r="F251" s="778"/>
      <c r="G251" s="778"/>
      <c r="H251" s="778"/>
      <c r="I251" s="778"/>
      <c r="J251" s="778"/>
      <c r="K251" s="778"/>
      <c r="L251" s="778"/>
      <c r="M251" s="778"/>
      <c r="N251" s="778"/>
      <c r="O251" s="778"/>
      <c r="P251" s="778"/>
      <c r="Q251" s="778"/>
      <c r="R251" s="778"/>
      <c r="S251" s="778"/>
      <c r="T251" s="778"/>
      <c r="U251" s="778"/>
      <c r="V251" s="778"/>
      <c r="W251" s="778"/>
      <c r="X251" s="778"/>
      <c r="Y251" s="778"/>
      <c r="Z251" s="778"/>
      <c r="AA251" s="778"/>
      <c r="AB251" s="778"/>
      <c r="AC251" s="778"/>
      <c r="AD251" s="778"/>
      <c r="AE251" s="778"/>
      <c r="AF251" s="778"/>
      <c r="AG251" s="778"/>
      <c r="AH251" s="778"/>
      <c r="AI251" s="778"/>
      <c r="AJ251" s="778"/>
      <c r="AK251" s="778"/>
      <c r="AL251" s="778"/>
      <c r="AM251" s="778"/>
      <c r="AN251" s="778"/>
      <c r="AO251" s="778"/>
      <c r="AP251" s="778"/>
      <c r="AQ251" s="778"/>
      <c r="AR251" s="778"/>
      <c r="AS251" s="778"/>
      <c r="AT251" s="778"/>
      <c r="AU251" s="778"/>
      <c r="AV251" s="778"/>
      <c r="AW251" s="778"/>
      <c r="AX251" s="778"/>
      <c r="AY251" s="778"/>
      <c r="AZ251" s="778"/>
      <c r="BA251" s="778"/>
      <c r="BB251" s="778"/>
      <c r="BC251" s="778"/>
      <c r="BD251" s="778"/>
      <c r="BE251" s="778"/>
      <c r="BF251" s="778"/>
      <c r="BG251" s="778"/>
      <c r="BH251" s="778"/>
      <c r="BI251" s="778"/>
      <c r="BJ251" s="778"/>
      <c r="BK251" s="778"/>
      <c r="BL251" s="778"/>
      <c r="BM251" s="778"/>
      <c r="BN251" s="778"/>
      <c r="BO251" s="778"/>
      <c r="BP251" s="778"/>
      <c r="BQ251" s="778"/>
      <c r="BR251" s="778"/>
      <c r="BS251" s="778"/>
      <c r="BT251" s="778"/>
      <c r="BU251" s="778"/>
      <c r="BV251" s="778"/>
      <c r="BW251" s="778"/>
      <c r="BX251" s="778"/>
      <c r="BY251" s="778"/>
      <c r="BZ251" s="778"/>
      <c r="CA251" s="778"/>
      <c r="CB251" s="778"/>
      <c r="CC251" s="778"/>
      <c r="CD251" s="778"/>
      <c r="CE251" s="778"/>
      <c r="CF251" s="778"/>
      <c r="CG251" s="778"/>
      <c r="CH251" s="778"/>
      <c r="CI251" s="778"/>
      <c r="CJ251" s="778"/>
      <c r="CK251" s="778"/>
      <c r="CL251" s="778"/>
      <c r="CM251" s="778"/>
      <c r="CN251" s="778"/>
      <c r="CO251" s="778"/>
      <c r="CP251" s="778"/>
      <c r="CQ251" s="778"/>
      <c r="CR251" s="778"/>
      <c r="CS251" s="778"/>
      <c r="CT251" s="778"/>
      <c r="CU251" s="778"/>
      <c r="CV251" s="778"/>
      <c r="CW251" s="778"/>
      <c r="CX251" s="778"/>
      <c r="CY251" s="778"/>
      <c r="CZ251" s="778"/>
      <c r="DA251" s="778"/>
      <c r="DB251" s="778"/>
      <c r="DC251" s="778"/>
      <c r="DD251" s="778"/>
      <c r="DE251" s="778"/>
      <c r="DF251" s="778"/>
      <c r="DG251" s="778"/>
      <c r="DH251" s="778"/>
      <c r="DI251" s="778"/>
      <c r="DJ251" s="778"/>
      <c r="DK251" s="778"/>
      <c r="DL251" s="778"/>
      <c r="DM251" s="778"/>
      <c r="DN251" s="778"/>
      <c r="DO251" s="778"/>
      <c r="DP251" s="778"/>
      <c r="DQ251" s="778"/>
      <c r="DR251" s="778"/>
      <c r="DS251" s="778"/>
      <c r="DT251" s="778"/>
      <c r="DU251" s="778"/>
      <c r="DV251" s="778"/>
      <c r="DW251" s="778"/>
      <c r="DX251" s="778"/>
      <c r="DY251" s="778"/>
      <c r="DZ251" s="778"/>
      <c r="EA251" s="778"/>
      <c r="EB251" s="778"/>
      <c r="EC251" s="778"/>
      <c r="ED251" s="778"/>
      <c r="EE251" s="778"/>
      <c r="EF251" s="778"/>
      <c r="EG251" s="778"/>
      <c r="EH251" s="778"/>
    </row>
    <row r="252" spans="5:138" ht="12.75" customHeight="1" x14ac:dyDescent="0.3">
      <c r="E252" s="778"/>
      <c r="F252" s="778"/>
      <c r="G252" s="778"/>
      <c r="H252" s="778"/>
      <c r="I252" s="778"/>
      <c r="J252" s="778"/>
      <c r="K252" s="778"/>
      <c r="L252" s="778"/>
      <c r="M252" s="778"/>
      <c r="N252" s="778"/>
      <c r="O252" s="778"/>
      <c r="P252" s="778"/>
      <c r="Q252" s="778"/>
      <c r="R252" s="778"/>
      <c r="S252" s="778"/>
      <c r="T252" s="778"/>
      <c r="U252" s="778"/>
      <c r="V252" s="778"/>
      <c r="W252" s="778"/>
      <c r="X252" s="778"/>
      <c r="Y252" s="778"/>
      <c r="Z252" s="778"/>
      <c r="AA252" s="778"/>
      <c r="AB252" s="778"/>
      <c r="AC252" s="778"/>
      <c r="AD252" s="778"/>
      <c r="AE252" s="778"/>
      <c r="AF252" s="778"/>
      <c r="AG252" s="778"/>
      <c r="AH252" s="778"/>
      <c r="AI252" s="778"/>
      <c r="AJ252" s="778"/>
      <c r="AK252" s="778"/>
      <c r="AL252" s="778"/>
      <c r="AM252" s="778"/>
      <c r="AN252" s="778"/>
      <c r="AO252" s="778"/>
      <c r="AP252" s="778"/>
      <c r="AQ252" s="778"/>
      <c r="AR252" s="778"/>
      <c r="AS252" s="778"/>
      <c r="AT252" s="778"/>
      <c r="AU252" s="778"/>
      <c r="AV252" s="778"/>
      <c r="AW252" s="778"/>
      <c r="AX252" s="778"/>
      <c r="AY252" s="778"/>
      <c r="AZ252" s="778"/>
      <c r="BA252" s="778"/>
      <c r="BB252" s="778"/>
      <c r="BC252" s="778"/>
      <c r="BD252" s="778"/>
      <c r="BE252" s="778"/>
      <c r="BF252" s="778"/>
      <c r="BG252" s="778"/>
      <c r="BH252" s="778"/>
      <c r="BI252" s="778"/>
      <c r="BJ252" s="778"/>
      <c r="BK252" s="778"/>
      <c r="BL252" s="778"/>
      <c r="BM252" s="778"/>
      <c r="BN252" s="778"/>
      <c r="BO252" s="778"/>
      <c r="BP252" s="778"/>
      <c r="BQ252" s="778"/>
      <c r="BR252" s="778"/>
      <c r="BS252" s="778"/>
      <c r="BT252" s="778"/>
      <c r="BU252" s="778"/>
      <c r="BV252" s="778"/>
      <c r="BW252" s="778"/>
      <c r="BX252" s="778"/>
      <c r="BY252" s="778"/>
      <c r="BZ252" s="778"/>
      <c r="CA252" s="778"/>
      <c r="CB252" s="778"/>
      <c r="CC252" s="778"/>
      <c r="CD252" s="778"/>
      <c r="CE252" s="778"/>
      <c r="CF252" s="778"/>
      <c r="CG252" s="778"/>
      <c r="CH252" s="778"/>
      <c r="CI252" s="778"/>
      <c r="CJ252" s="778"/>
      <c r="CK252" s="778"/>
      <c r="CL252" s="778"/>
      <c r="CM252" s="778"/>
      <c r="CN252" s="778"/>
      <c r="CO252" s="778"/>
      <c r="CP252" s="778"/>
      <c r="CQ252" s="778"/>
      <c r="CR252" s="778"/>
      <c r="CS252" s="778"/>
      <c r="CT252" s="778"/>
      <c r="CU252" s="778"/>
      <c r="CV252" s="778"/>
      <c r="CW252" s="778"/>
      <c r="CX252" s="778"/>
      <c r="CY252" s="778"/>
      <c r="CZ252" s="778"/>
      <c r="DA252" s="778"/>
      <c r="DB252" s="778"/>
      <c r="DC252" s="778"/>
      <c r="DD252" s="778"/>
      <c r="DE252" s="778"/>
      <c r="DF252" s="778"/>
      <c r="DG252" s="778"/>
      <c r="DH252" s="778"/>
      <c r="DI252" s="778"/>
      <c r="DJ252" s="778"/>
      <c r="DK252" s="778"/>
      <c r="DL252" s="778"/>
      <c r="DM252" s="778"/>
      <c r="DN252" s="778"/>
      <c r="DO252" s="778"/>
      <c r="DP252" s="778"/>
      <c r="DQ252" s="778"/>
      <c r="DR252" s="778"/>
      <c r="DS252" s="778"/>
      <c r="DT252" s="778"/>
      <c r="DU252" s="778"/>
      <c r="DV252" s="778"/>
      <c r="DW252" s="778"/>
      <c r="DX252" s="778"/>
      <c r="DY252" s="778"/>
      <c r="DZ252" s="778"/>
      <c r="EA252" s="778"/>
      <c r="EB252" s="778"/>
      <c r="EC252" s="778"/>
      <c r="ED252" s="778"/>
      <c r="EE252" s="778"/>
      <c r="EF252" s="778"/>
      <c r="EG252" s="778"/>
      <c r="EH252" s="778"/>
    </row>
    <row r="253" spans="5:138" ht="12.75" customHeight="1" x14ac:dyDescent="0.3">
      <c r="E253" s="778"/>
      <c r="F253" s="778"/>
      <c r="G253" s="778"/>
      <c r="H253" s="778"/>
      <c r="I253" s="778"/>
      <c r="J253" s="778"/>
      <c r="K253" s="778"/>
      <c r="L253" s="778"/>
      <c r="M253" s="778"/>
      <c r="N253" s="778"/>
      <c r="O253" s="778"/>
      <c r="P253" s="778"/>
      <c r="Q253" s="778"/>
      <c r="R253" s="778"/>
      <c r="S253" s="778"/>
      <c r="T253" s="778"/>
      <c r="U253" s="778"/>
      <c r="V253" s="778"/>
      <c r="W253" s="778"/>
      <c r="X253" s="778"/>
      <c r="Y253" s="778"/>
      <c r="Z253" s="778"/>
      <c r="AA253" s="778"/>
      <c r="AB253" s="778"/>
      <c r="AC253" s="778"/>
      <c r="AD253" s="778"/>
      <c r="AE253" s="778"/>
      <c r="AF253" s="778"/>
      <c r="AG253" s="778"/>
      <c r="AH253" s="778"/>
      <c r="AI253" s="778"/>
      <c r="AJ253" s="778"/>
      <c r="AK253" s="778"/>
      <c r="AL253" s="778"/>
      <c r="AM253" s="778"/>
      <c r="AN253" s="778"/>
      <c r="AO253" s="778"/>
      <c r="AP253" s="778"/>
      <c r="AQ253" s="778"/>
      <c r="AR253" s="778"/>
      <c r="AS253" s="778"/>
      <c r="AT253" s="778"/>
      <c r="AU253" s="778"/>
      <c r="AV253" s="778"/>
      <c r="AW253" s="778"/>
      <c r="AX253" s="778"/>
      <c r="AY253" s="778"/>
      <c r="AZ253" s="778"/>
      <c r="BA253" s="778"/>
      <c r="BB253" s="778"/>
      <c r="BC253" s="778"/>
      <c r="BD253" s="778"/>
      <c r="BE253" s="778"/>
      <c r="BF253" s="778"/>
      <c r="BG253" s="778"/>
      <c r="BH253" s="778"/>
      <c r="BI253" s="778"/>
      <c r="BJ253" s="778"/>
      <c r="BK253" s="778"/>
      <c r="BL253" s="778"/>
      <c r="BM253" s="778"/>
      <c r="BN253" s="778"/>
      <c r="BO253" s="778"/>
      <c r="BP253" s="778"/>
      <c r="BQ253" s="778"/>
      <c r="BR253" s="778"/>
      <c r="BS253" s="778"/>
      <c r="BT253" s="778"/>
      <c r="BU253" s="778"/>
      <c r="BV253" s="778"/>
      <c r="BW253" s="778"/>
      <c r="BX253" s="778"/>
      <c r="BY253" s="778"/>
      <c r="BZ253" s="778"/>
      <c r="CA253" s="778"/>
      <c r="CB253" s="778"/>
      <c r="CC253" s="778"/>
      <c r="CD253" s="778"/>
      <c r="CE253" s="778"/>
      <c r="CF253" s="778"/>
      <c r="CG253" s="778"/>
      <c r="CH253" s="778"/>
      <c r="CI253" s="778"/>
      <c r="CJ253" s="778"/>
      <c r="CK253" s="778"/>
      <c r="CL253" s="778"/>
      <c r="CM253" s="778"/>
      <c r="CN253" s="778"/>
      <c r="CO253" s="778"/>
      <c r="CP253" s="778"/>
      <c r="CQ253" s="778"/>
      <c r="CR253" s="778"/>
      <c r="CS253" s="778"/>
      <c r="CT253" s="778"/>
      <c r="CU253" s="778"/>
      <c r="CV253" s="778"/>
      <c r="CW253" s="778"/>
      <c r="CX253" s="778"/>
      <c r="CY253" s="778"/>
      <c r="CZ253" s="778"/>
      <c r="DA253" s="778"/>
      <c r="DB253" s="778"/>
      <c r="DC253" s="778"/>
      <c r="DD253" s="778"/>
      <c r="DE253" s="778"/>
      <c r="DF253" s="778"/>
      <c r="DG253" s="778"/>
      <c r="DH253" s="778"/>
      <c r="DI253" s="778"/>
      <c r="DJ253" s="778"/>
      <c r="DK253" s="778"/>
      <c r="DL253" s="778"/>
      <c r="DM253" s="778"/>
      <c r="DN253" s="778"/>
      <c r="DO253" s="778"/>
      <c r="DP253" s="778"/>
      <c r="DQ253" s="778"/>
      <c r="DR253" s="778"/>
      <c r="DS253" s="778"/>
      <c r="DT253" s="778"/>
      <c r="DU253" s="778"/>
      <c r="DV253" s="778"/>
      <c r="DW253" s="778"/>
      <c r="DX253" s="778"/>
      <c r="DY253" s="778"/>
      <c r="DZ253" s="778"/>
      <c r="EA253" s="778"/>
      <c r="EB253" s="778"/>
      <c r="EC253" s="778"/>
      <c r="ED253" s="778"/>
      <c r="EE253" s="778"/>
      <c r="EF253" s="778"/>
      <c r="EG253" s="778"/>
      <c r="EH253" s="778"/>
    </row>
    <row r="254" spans="5:138" ht="12.75" customHeight="1" x14ac:dyDescent="0.3">
      <c r="E254" s="778"/>
      <c r="F254" s="778"/>
      <c r="G254" s="778"/>
      <c r="H254" s="778"/>
      <c r="I254" s="778"/>
      <c r="J254" s="778"/>
      <c r="K254" s="778"/>
      <c r="L254" s="778"/>
      <c r="M254" s="778"/>
      <c r="N254" s="778"/>
      <c r="O254" s="778"/>
      <c r="P254" s="778"/>
      <c r="Q254" s="778"/>
      <c r="R254" s="778"/>
      <c r="S254" s="778"/>
      <c r="T254" s="778"/>
      <c r="U254" s="778"/>
      <c r="V254" s="778"/>
      <c r="W254" s="778"/>
      <c r="X254" s="778"/>
      <c r="Y254" s="778"/>
      <c r="Z254" s="778"/>
      <c r="AA254" s="778"/>
      <c r="AB254" s="778"/>
      <c r="AC254" s="778"/>
      <c r="AD254" s="778"/>
      <c r="AE254" s="778"/>
      <c r="AF254" s="778"/>
      <c r="AG254" s="778"/>
      <c r="AH254" s="778"/>
      <c r="AI254" s="778"/>
      <c r="AJ254" s="778"/>
      <c r="AK254" s="778"/>
      <c r="AL254" s="778"/>
      <c r="AM254" s="778"/>
      <c r="AN254" s="778"/>
      <c r="AO254" s="778"/>
      <c r="AP254" s="778"/>
      <c r="AQ254" s="778"/>
      <c r="AR254" s="778"/>
      <c r="AS254" s="778"/>
      <c r="AT254" s="778"/>
      <c r="AU254" s="778"/>
      <c r="AV254" s="778"/>
      <c r="AW254" s="778"/>
      <c r="AX254" s="778"/>
      <c r="AY254" s="778"/>
      <c r="AZ254" s="778"/>
      <c r="BA254" s="778"/>
      <c r="BB254" s="778"/>
      <c r="BC254" s="778"/>
      <c r="BD254" s="778"/>
      <c r="BE254" s="778"/>
      <c r="BF254" s="778"/>
      <c r="BG254" s="778"/>
      <c r="BH254" s="778"/>
      <c r="BI254" s="778"/>
      <c r="BJ254" s="778"/>
      <c r="BK254" s="778"/>
      <c r="BL254" s="778"/>
      <c r="BM254" s="778"/>
      <c r="BN254" s="778"/>
      <c r="BO254" s="778"/>
      <c r="BP254" s="778"/>
      <c r="BQ254" s="778"/>
      <c r="BR254" s="778"/>
      <c r="BS254" s="778"/>
      <c r="BT254" s="778"/>
      <c r="BU254" s="778"/>
      <c r="BV254" s="778"/>
      <c r="BW254" s="778"/>
      <c r="BX254" s="778"/>
      <c r="BY254" s="778"/>
      <c r="BZ254" s="778"/>
      <c r="CA254" s="778"/>
      <c r="CB254" s="778"/>
      <c r="CC254" s="778"/>
      <c r="CD254" s="778"/>
      <c r="CE254" s="778"/>
      <c r="CF254" s="778"/>
      <c r="CG254" s="778"/>
      <c r="CH254" s="778"/>
      <c r="CI254" s="778"/>
      <c r="CJ254" s="778"/>
      <c r="CK254" s="778"/>
      <c r="CL254" s="778"/>
      <c r="CM254" s="778"/>
      <c r="CN254" s="778"/>
      <c r="CO254" s="778"/>
      <c r="CP254" s="778"/>
      <c r="CQ254" s="778"/>
      <c r="CR254" s="778"/>
      <c r="CS254" s="778"/>
      <c r="CT254" s="778"/>
      <c r="CU254" s="778"/>
      <c r="CV254" s="778"/>
      <c r="CW254" s="778"/>
      <c r="CX254" s="778"/>
      <c r="CY254" s="778"/>
      <c r="CZ254" s="778"/>
      <c r="DA254" s="778"/>
      <c r="DB254" s="778"/>
      <c r="DC254" s="778"/>
      <c r="DD254" s="778"/>
      <c r="DE254" s="778"/>
      <c r="DF254" s="778"/>
      <c r="DG254" s="778"/>
      <c r="DH254" s="778"/>
      <c r="DI254" s="778"/>
      <c r="DJ254" s="778"/>
      <c r="DK254" s="778"/>
      <c r="DL254" s="778"/>
      <c r="DM254" s="778"/>
      <c r="DN254" s="778"/>
      <c r="DO254" s="778"/>
      <c r="DP254" s="778"/>
      <c r="DQ254" s="778"/>
      <c r="DR254" s="778"/>
      <c r="DS254" s="778"/>
      <c r="DT254" s="778"/>
      <c r="DU254" s="778"/>
      <c r="DV254" s="778"/>
      <c r="DW254" s="778"/>
      <c r="DX254" s="778"/>
      <c r="DY254" s="778"/>
      <c r="DZ254" s="778"/>
      <c r="EA254" s="778"/>
      <c r="EB254" s="778"/>
      <c r="EC254" s="778"/>
      <c r="ED254" s="778"/>
      <c r="EE254" s="778"/>
      <c r="EF254" s="778"/>
      <c r="EG254" s="778"/>
      <c r="EH254" s="778"/>
    </row>
    <row r="255" spans="5:138" ht="12.75" customHeight="1" x14ac:dyDescent="0.3">
      <c r="E255" s="778"/>
      <c r="F255" s="778"/>
      <c r="G255" s="778"/>
      <c r="H255" s="778"/>
      <c r="I255" s="778"/>
      <c r="J255" s="778"/>
      <c r="K255" s="778"/>
      <c r="L255" s="778"/>
      <c r="M255" s="778"/>
      <c r="N255" s="778"/>
      <c r="O255" s="778"/>
      <c r="P255" s="778"/>
      <c r="Q255" s="778"/>
      <c r="R255" s="778"/>
      <c r="S255" s="778"/>
      <c r="T255" s="778"/>
      <c r="U255" s="778"/>
      <c r="V255" s="778"/>
      <c r="W255" s="778"/>
      <c r="X255" s="778"/>
      <c r="Y255" s="778"/>
      <c r="Z255" s="778"/>
      <c r="AA255" s="778"/>
      <c r="AB255" s="778"/>
      <c r="AC255" s="778"/>
      <c r="AD255" s="778"/>
      <c r="AE255" s="778"/>
      <c r="AF255" s="778"/>
      <c r="AG255" s="778"/>
      <c r="AH255" s="778"/>
      <c r="AI255" s="778"/>
      <c r="AJ255" s="778"/>
      <c r="AK255" s="778"/>
      <c r="AL255" s="778"/>
      <c r="AM255" s="778"/>
      <c r="AN255" s="778"/>
      <c r="AO255" s="778"/>
      <c r="AP255" s="778"/>
      <c r="AQ255" s="778"/>
      <c r="AR255" s="778"/>
      <c r="AS255" s="778"/>
      <c r="AT255" s="778"/>
      <c r="AU255" s="778"/>
      <c r="AV255" s="778"/>
      <c r="AW255" s="778"/>
      <c r="AX255" s="778"/>
      <c r="AY255" s="778"/>
      <c r="AZ255" s="778"/>
      <c r="BA255" s="778"/>
      <c r="BB255" s="778"/>
      <c r="BC255" s="778"/>
      <c r="BD255" s="778"/>
      <c r="BE255" s="778"/>
      <c r="BF255" s="778"/>
      <c r="BG255" s="778"/>
      <c r="BH255" s="778"/>
      <c r="BI255" s="778"/>
      <c r="BJ255" s="778"/>
      <c r="BK255" s="778"/>
      <c r="BL255" s="778"/>
      <c r="BM255" s="778"/>
      <c r="BN255" s="778"/>
      <c r="BO255" s="778"/>
      <c r="BP255" s="778"/>
      <c r="BQ255" s="778"/>
      <c r="BR255" s="778"/>
      <c r="BS255" s="778"/>
      <c r="BT255" s="778"/>
      <c r="BU255" s="778"/>
      <c r="BV255" s="778"/>
      <c r="BW255" s="778"/>
      <c r="BX255" s="778"/>
      <c r="BY255" s="778"/>
      <c r="BZ255" s="778"/>
      <c r="CA255" s="778"/>
      <c r="CB255" s="778"/>
      <c r="CC255" s="778"/>
      <c r="CD255" s="778"/>
      <c r="CE255" s="778"/>
      <c r="CF255" s="778"/>
      <c r="CG255" s="778"/>
      <c r="CH255" s="778"/>
      <c r="CI255" s="778"/>
      <c r="CJ255" s="778"/>
      <c r="CK255" s="778"/>
      <c r="CL255" s="778"/>
      <c r="CM255" s="778"/>
      <c r="CN255" s="778"/>
      <c r="CO255" s="778"/>
      <c r="CP255" s="778"/>
      <c r="CQ255" s="778"/>
      <c r="CR255" s="778"/>
      <c r="CS255" s="778"/>
      <c r="CT255" s="778"/>
      <c r="CU255" s="778"/>
      <c r="CV255" s="778"/>
      <c r="CW255" s="778"/>
      <c r="CX255" s="778"/>
      <c r="CY255" s="778"/>
      <c r="CZ255" s="778"/>
      <c r="DA255" s="778"/>
      <c r="DB255" s="778"/>
      <c r="DC255" s="778"/>
      <c r="DD255" s="778"/>
      <c r="DE255" s="778"/>
      <c r="DF255" s="778"/>
      <c r="DG255" s="778"/>
      <c r="DH255" s="778"/>
      <c r="DI255" s="778"/>
      <c r="DJ255" s="778"/>
      <c r="DK255" s="778"/>
      <c r="DL255" s="778"/>
      <c r="DM255" s="778"/>
      <c r="DN255" s="778"/>
      <c r="DO255" s="778"/>
      <c r="DP255" s="778"/>
      <c r="DQ255" s="778"/>
      <c r="DR255" s="778"/>
      <c r="DS255" s="778"/>
      <c r="DT255" s="778"/>
      <c r="DU255" s="778"/>
      <c r="DV255" s="778"/>
      <c r="DW255" s="778"/>
      <c r="DX255" s="778"/>
      <c r="DY255" s="778"/>
      <c r="DZ255" s="778"/>
      <c r="EA255" s="778"/>
      <c r="EB255" s="778"/>
      <c r="EC255" s="778"/>
      <c r="ED255" s="778"/>
      <c r="EE255" s="778"/>
      <c r="EF255" s="778"/>
      <c r="EG255" s="778"/>
      <c r="EH255" s="778"/>
    </row>
    <row r="256" spans="5:138" ht="12.75" customHeight="1" x14ac:dyDescent="0.3">
      <c r="E256" s="778"/>
      <c r="F256" s="778"/>
      <c r="G256" s="778"/>
      <c r="H256" s="778"/>
      <c r="I256" s="778"/>
      <c r="J256" s="778"/>
      <c r="K256" s="778"/>
      <c r="L256" s="778"/>
      <c r="M256" s="778"/>
      <c r="N256" s="778"/>
      <c r="O256" s="778"/>
      <c r="P256" s="778"/>
      <c r="Q256" s="778"/>
      <c r="R256" s="778"/>
      <c r="S256" s="778"/>
      <c r="T256" s="778"/>
      <c r="U256" s="778"/>
      <c r="V256" s="778"/>
      <c r="W256" s="778"/>
      <c r="X256" s="778"/>
      <c r="Y256" s="778"/>
      <c r="Z256" s="778"/>
      <c r="AA256" s="778"/>
      <c r="AB256" s="778"/>
      <c r="AC256" s="778"/>
      <c r="AD256" s="778"/>
      <c r="AE256" s="778"/>
      <c r="AF256" s="778"/>
      <c r="AG256" s="778"/>
      <c r="AH256" s="778"/>
      <c r="AI256" s="778"/>
      <c r="AJ256" s="778"/>
      <c r="AK256" s="778"/>
      <c r="AL256" s="778"/>
      <c r="AM256" s="778"/>
      <c r="AN256" s="778"/>
      <c r="AO256" s="778"/>
      <c r="AP256" s="778"/>
      <c r="AQ256" s="778"/>
      <c r="AR256" s="778"/>
      <c r="AS256" s="778"/>
      <c r="AT256" s="778"/>
      <c r="AU256" s="778"/>
      <c r="AV256" s="778"/>
      <c r="AW256" s="778"/>
      <c r="AX256" s="778"/>
      <c r="AY256" s="778"/>
      <c r="AZ256" s="778"/>
      <c r="BA256" s="778"/>
      <c r="BB256" s="778"/>
      <c r="BC256" s="778"/>
      <c r="BD256" s="778"/>
      <c r="BE256" s="778"/>
      <c r="BF256" s="778"/>
      <c r="BG256" s="778"/>
      <c r="BH256" s="778"/>
      <c r="BI256" s="778"/>
      <c r="BJ256" s="778"/>
      <c r="BK256" s="778"/>
      <c r="BL256" s="778"/>
      <c r="BM256" s="778"/>
      <c r="BN256" s="778"/>
      <c r="BO256" s="778"/>
      <c r="BP256" s="778"/>
      <c r="BQ256" s="778"/>
      <c r="BR256" s="778"/>
      <c r="BS256" s="778"/>
      <c r="BT256" s="778"/>
      <c r="BU256" s="778"/>
      <c r="BV256" s="778"/>
      <c r="BW256" s="778"/>
      <c r="BX256" s="778"/>
      <c r="BY256" s="778"/>
      <c r="BZ256" s="778"/>
      <c r="CA256" s="778"/>
      <c r="CB256" s="778"/>
      <c r="CC256" s="778"/>
      <c r="CD256" s="778"/>
      <c r="CE256" s="778"/>
      <c r="CF256" s="778"/>
      <c r="CG256" s="778"/>
      <c r="CH256" s="778"/>
      <c r="CI256" s="778"/>
      <c r="CJ256" s="778"/>
      <c r="CK256" s="778"/>
      <c r="CL256" s="778"/>
      <c r="CM256" s="778"/>
      <c r="CN256" s="778"/>
      <c r="CO256" s="778"/>
      <c r="CP256" s="778"/>
      <c r="CQ256" s="778"/>
      <c r="CR256" s="778"/>
      <c r="CS256" s="778"/>
      <c r="CT256" s="778"/>
      <c r="CU256" s="778"/>
      <c r="CV256" s="778"/>
      <c r="CW256" s="778"/>
      <c r="CX256" s="778"/>
      <c r="CY256" s="778"/>
      <c r="CZ256" s="778"/>
      <c r="DA256" s="778"/>
      <c r="DB256" s="778"/>
      <c r="DC256" s="778"/>
      <c r="DD256" s="778"/>
      <c r="DE256" s="778"/>
      <c r="DF256" s="778"/>
      <c r="DG256" s="778"/>
      <c r="DH256" s="778"/>
      <c r="DI256" s="778"/>
      <c r="DJ256" s="778"/>
      <c r="DK256" s="778"/>
      <c r="DL256" s="778"/>
      <c r="DM256" s="778"/>
      <c r="DN256" s="778"/>
      <c r="DO256" s="778"/>
      <c r="DP256" s="778"/>
      <c r="DQ256" s="778"/>
      <c r="DR256" s="778"/>
      <c r="DS256" s="778"/>
      <c r="DT256" s="778"/>
      <c r="DU256" s="778"/>
      <c r="DV256" s="778"/>
      <c r="DW256" s="778"/>
      <c r="DX256" s="778"/>
      <c r="DY256" s="778"/>
      <c r="DZ256" s="778"/>
      <c r="EA256" s="778"/>
      <c r="EB256" s="778"/>
      <c r="EC256" s="778"/>
      <c r="ED256" s="778"/>
      <c r="EE256" s="778"/>
      <c r="EF256" s="778"/>
      <c r="EG256" s="778"/>
      <c r="EH256" s="778"/>
    </row>
    <row r="257" spans="5:138" ht="12.75" customHeight="1" x14ac:dyDescent="0.3">
      <c r="E257" s="778"/>
      <c r="F257" s="778"/>
      <c r="G257" s="778"/>
      <c r="H257" s="778"/>
      <c r="I257" s="778"/>
      <c r="J257" s="778"/>
      <c r="K257" s="778"/>
      <c r="L257" s="778"/>
      <c r="M257" s="778"/>
      <c r="N257" s="778"/>
      <c r="O257" s="778"/>
      <c r="P257" s="778"/>
      <c r="Q257" s="778"/>
      <c r="R257" s="778"/>
      <c r="S257" s="778"/>
      <c r="T257" s="778"/>
      <c r="U257" s="778"/>
      <c r="V257" s="778"/>
      <c r="W257" s="778"/>
      <c r="X257" s="778"/>
      <c r="Y257" s="778"/>
      <c r="Z257" s="778"/>
      <c r="AA257" s="778"/>
      <c r="AB257" s="778"/>
      <c r="AC257" s="778"/>
      <c r="AD257" s="778"/>
      <c r="AE257" s="778"/>
      <c r="AF257" s="778"/>
      <c r="AG257" s="778"/>
      <c r="AH257" s="778"/>
      <c r="AI257" s="778"/>
      <c r="AJ257" s="778"/>
      <c r="AK257" s="778"/>
      <c r="AL257" s="778"/>
      <c r="AM257" s="778"/>
      <c r="AN257" s="778"/>
      <c r="AO257" s="778"/>
      <c r="AP257" s="778"/>
      <c r="AQ257" s="778"/>
      <c r="AR257" s="778"/>
      <c r="AS257" s="778"/>
      <c r="AT257" s="778"/>
      <c r="AU257" s="778"/>
      <c r="AV257" s="778"/>
      <c r="AW257" s="778"/>
      <c r="AX257" s="778"/>
      <c r="AY257" s="778"/>
      <c r="AZ257" s="778"/>
      <c r="BA257" s="778"/>
      <c r="BB257" s="778"/>
      <c r="BC257" s="778"/>
      <c r="BD257" s="778"/>
      <c r="BE257" s="778"/>
      <c r="BF257" s="778"/>
      <c r="BG257" s="778"/>
      <c r="BH257" s="778"/>
      <c r="BI257" s="778"/>
      <c r="BJ257" s="778"/>
      <c r="BK257" s="778"/>
      <c r="BL257" s="778"/>
      <c r="BM257" s="778"/>
      <c r="BN257" s="778"/>
      <c r="BO257" s="778"/>
      <c r="BP257" s="778"/>
      <c r="BQ257" s="778"/>
      <c r="BR257" s="778"/>
      <c r="BS257" s="778"/>
      <c r="BT257" s="778"/>
      <c r="BU257" s="778"/>
      <c r="BV257" s="778"/>
      <c r="BW257" s="778"/>
      <c r="BX257" s="778"/>
      <c r="BY257" s="778"/>
      <c r="BZ257" s="778"/>
      <c r="CA257" s="778"/>
      <c r="CB257" s="778"/>
      <c r="CC257" s="778"/>
      <c r="CD257" s="778"/>
      <c r="CE257" s="778"/>
      <c r="CF257" s="778"/>
      <c r="CG257" s="778"/>
      <c r="CH257" s="778"/>
      <c r="CI257" s="778"/>
      <c r="CJ257" s="778"/>
      <c r="CK257" s="778"/>
      <c r="CL257" s="778"/>
      <c r="CM257" s="778"/>
      <c r="CN257" s="778"/>
      <c r="CO257" s="778"/>
      <c r="CP257" s="778"/>
      <c r="CQ257" s="778"/>
      <c r="CR257" s="778"/>
      <c r="CS257" s="778"/>
      <c r="CT257" s="778"/>
      <c r="CU257" s="778"/>
      <c r="CV257" s="778"/>
      <c r="CW257" s="778"/>
      <c r="CX257" s="778"/>
      <c r="CY257" s="778"/>
      <c r="CZ257" s="778"/>
      <c r="DA257" s="778"/>
      <c r="DB257" s="778"/>
      <c r="DC257" s="778"/>
      <c r="DD257" s="778"/>
      <c r="DE257" s="778"/>
      <c r="DF257" s="778"/>
      <c r="DG257" s="778"/>
      <c r="DH257" s="778"/>
      <c r="DI257" s="778"/>
      <c r="DJ257" s="778"/>
      <c r="DK257" s="778"/>
      <c r="DL257" s="778"/>
      <c r="DM257" s="778"/>
      <c r="DN257" s="778"/>
      <c r="DO257" s="778"/>
      <c r="DP257" s="778"/>
      <c r="DQ257" s="778"/>
      <c r="DR257" s="778"/>
      <c r="DS257" s="778"/>
      <c r="DT257" s="778"/>
      <c r="DU257" s="778"/>
      <c r="DV257" s="778"/>
      <c r="DW257" s="778"/>
      <c r="DX257" s="778"/>
      <c r="DY257" s="778"/>
      <c r="DZ257" s="778"/>
      <c r="EA257" s="778"/>
      <c r="EB257" s="778"/>
      <c r="EC257" s="778"/>
      <c r="ED257" s="778"/>
      <c r="EE257" s="778"/>
      <c r="EF257" s="778"/>
      <c r="EG257" s="778"/>
      <c r="EH257" s="778"/>
    </row>
    <row r="258" spans="5:138" ht="12.75" customHeight="1" x14ac:dyDescent="0.3">
      <c r="E258" s="778"/>
      <c r="F258" s="778"/>
      <c r="G258" s="778"/>
      <c r="H258" s="778"/>
      <c r="I258" s="778"/>
      <c r="J258" s="778"/>
      <c r="K258" s="778"/>
      <c r="L258" s="778"/>
      <c r="M258" s="778"/>
      <c r="N258" s="778"/>
      <c r="O258" s="778"/>
      <c r="P258" s="778"/>
      <c r="Q258" s="778"/>
      <c r="R258" s="778"/>
      <c r="S258" s="778"/>
      <c r="T258" s="778"/>
      <c r="U258" s="778"/>
      <c r="V258" s="778"/>
      <c r="W258" s="778"/>
      <c r="X258" s="778"/>
      <c r="Y258" s="778"/>
      <c r="Z258" s="778"/>
      <c r="AA258" s="778"/>
      <c r="AB258" s="778"/>
      <c r="AC258" s="778"/>
      <c r="AD258" s="778"/>
      <c r="AE258" s="778"/>
      <c r="AF258" s="778"/>
      <c r="AG258" s="778"/>
      <c r="AH258" s="778"/>
      <c r="AI258" s="778"/>
      <c r="AJ258" s="778"/>
      <c r="AK258" s="778"/>
      <c r="AL258" s="778"/>
      <c r="AM258" s="778"/>
      <c r="AN258" s="778"/>
      <c r="AO258" s="778"/>
      <c r="AP258" s="778"/>
      <c r="AQ258" s="778"/>
      <c r="AR258" s="778"/>
      <c r="AS258" s="778"/>
      <c r="AT258" s="778"/>
      <c r="AU258" s="778"/>
      <c r="AV258" s="778"/>
      <c r="AW258" s="778"/>
      <c r="AX258" s="778"/>
      <c r="AY258" s="778"/>
      <c r="AZ258" s="778"/>
      <c r="BA258" s="778"/>
      <c r="BB258" s="778"/>
      <c r="BC258" s="778"/>
      <c r="BD258" s="778"/>
      <c r="BE258" s="778"/>
      <c r="BF258" s="778"/>
      <c r="BG258" s="778"/>
      <c r="BH258" s="778"/>
      <c r="BI258" s="778"/>
      <c r="BJ258" s="778"/>
      <c r="BK258" s="778"/>
      <c r="BL258" s="778"/>
      <c r="BM258" s="778"/>
      <c r="BN258" s="778"/>
      <c r="BO258" s="778"/>
      <c r="BP258" s="778"/>
      <c r="BQ258" s="778"/>
      <c r="BR258" s="778"/>
      <c r="BS258" s="778"/>
      <c r="BT258" s="778"/>
      <c r="BU258" s="778"/>
      <c r="BV258" s="778"/>
      <c r="BW258" s="778"/>
      <c r="BX258" s="778"/>
      <c r="BY258" s="778"/>
      <c r="BZ258" s="778"/>
      <c r="CA258" s="778"/>
      <c r="CB258" s="778"/>
      <c r="CC258" s="778"/>
      <c r="CD258" s="778"/>
      <c r="CE258" s="778"/>
      <c r="CF258" s="778"/>
      <c r="CG258" s="778"/>
      <c r="CH258" s="778"/>
      <c r="CI258" s="778"/>
      <c r="CJ258" s="778"/>
      <c r="CK258" s="778"/>
      <c r="CL258" s="778"/>
      <c r="CM258" s="778"/>
      <c r="CN258" s="778"/>
      <c r="CO258" s="778"/>
      <c r="CP258" s="778"/>
      <c r="CQ258" s="778"/>
      <c r="CR258" s="778"/>
      <c r="CS258" s="778"/>
      <c r="CT258" s="778"/>
      <c r="CU258" s="778"/>
      <c r="CV258" s="778"/>
      <c r="CW258" s="778"/>
      <c r="CX258" s="778"/>
      <c r="CY258" s="778"/>
      <c r="CZ258" s="778"/>
      <c r="DA258" s="778"/>
      <c r="DB258" s="778"/>
      <c r="DC258" s="778"/>
      <c r="DD258" s="778"/>
      <c r="DE258" s="778"/>
      <c r="DF258" s="778"/>
      <c r="DG258" s="778"/>
      <c r="DH258" s="778"/>
      <c r="DI258" s="778"/>
      <c r="DJ258" s="778"/>
      <c r="DK258" s="778"/>
      <c r="DL258" s="778"/>
      <c r="DM258" s="778"/>
      <c r="DN258" s="778"/>
      <c r="DO258" s="778"/>
      <c r="DP258" s="778"/>
      <c r="DQ258" s="778"/>
      <c r="DR258" s="778"/>
      <c r="DS258" s="778"/>
      <c r="DT258" s="778"/>
      <c r="DU258" s="778"/>
      <c r="DV258" s="778"/>
      <c r="DW258" s="778"/>
      <c r="DX258" s="778"/>
      <c r="DY258" s="778"/>
      <c r="DZ258" s="778"/>
      <c r="EA258" s="778"/>
      <c r="EB258" s="778"/>
      <c r="EC258" s="778"/>
      <c r="ED258" s="778"/>
      <c r="EE258" s="778"/>
      <c r="EF258" s="778"/>
      <c r="EG258" s="778"/>
      <c r="EH258" s="778"/>
    </row>
    <row r="259" spans="5:138" ht="12.75" customHeight="1" x14ac:dyDescent="0.3">
      <c r="E259" s="778"/>
      <c r="F259" s="778"/>
      <c r="G259" s="778"/>
      <c r="H259" s="778"/>
      <c r="I259" s="778"/>
      <c r="J259" s="778"/>
      <c r="K259" s="778"/>
      <c r="L259" s="778"/>
      <c r="M259" s="778"/>
      <c r="N259" s="778"/>
      <c r="O259" s="778"/>
      <c r="P259" s="778"/>
      <c r="Q259" s="778"/>
      <c r="R259" s="778"/>
      <c r="S259" s="778"/>
      <c r="T259" s="778"/>
      <c r="U259" s="778"/>
      <c r="V259" s="778"/>
      <c r="W259" s="778"/>
      <c r="X259" s="778"/>
      <c r="Y259" s="778"/>
      <c r="Z259" s="778"/>
      <c r="AA259" s="778"/>
      <c r="AB259" s="778"/>
      <c r="AC259" s="778"/>
      <c r="AD259" s="778"/>
      <c r="AE259" s="778"/>
      <c r="AF259" s="778"/>
      <c r="AG259" s="778"/>
      <c r="AH259" s="778"/>
      <c r="AI259" s="778"/>
      <c r="AJ259" s="778"/>
      <c r="AK259" s="778"/>
      <c r="AL259" s="778"/>
      <c r="AM259" s="778"/>
      <c r="AN259" s="778"/>
      <c r="AO259" s="778"/>
      <c r="AP259" s="778"/>
      <c r="AQ259" s="778"/>
      <c r="AR259" s="778"/>
      <c r="AS259" s="778"/>
      <c r="AT259" s="778"/>
      <c r="AU259" s="778"/>
      <c r="AV259" s="778"/>
      <c r="AW259" s="778"/>
      <c r="AX259" s="778"/>
      <c r="AY259" s="778"/>
      <c r="AZ259" s="778"/>
      <c r="BA259" s="778"/>
      <c r="BB259" s="778"/>
      <c r="BC259" s="778"/>
      <c r="BD259" s="778"/>
      <c r="BE259" s="778"/>
      <c r="BF259" s="778"/>
      <c r="BG259" s="778"/>
      <c r="BH259" s="778"/>
      <c r="BI259" s="778"/>
      <c r="BJ259" s="778"/>
      <c r="BK259" s="778"/>
      <c r="BL259" s="778"/>
      <c r="BM259" s="778"/>
      <c r="BN259" s="778"/>
      <c r="BO259" s="778"/>
      <c r="BP259" s="778"/>
      <c r="BQ259" s="778"/>
      <c r="BR259" s="778"/>
      <c r="BS259" s="778"/>
      <c r="BT259" s="778"/>
      <c r="BU259" s="778"/>
      <c r="BV259" s="778"/>
      <c r="BW259" s="778"/>
      <c r="BX259" s="778"/>
      <c r="BY259" s="778"/>
      <c r="BZ259" s="778"/>
      <c r="CA259" s="778"/>
      <c r="CB259" s="778"/>
      <c r="CC259" s="778"/>
      <c r="CD259" s="778"/>
      <c r="CE259" s="778"/>
      <c r="CF259" s="778"/>
      <c r="CG259" s="778"/>
      <c r="CH259" s="778"/>
      <c r="CI259" s="778"/>
      <c r="CJ259" s="778"/>
      <c r="CK259" s="778"/>
      <c r="CL259" s="778"/>
      <c r="CM259" s="778"/>
      <c r="CN259" s="778"/>
      <c r="CO259" s="778"/>
      <c r="CP259" s="778"/>
      <c r="CQ259" s="778"/>
      <c r="CR259" s="778"/>
      <c r="CS259" s="778"/>
      <c r="CT259" s="778"/>
      <c r="CU259" s="778"/>
      <c r="CV259" s="778"/>
      <c r="CW259" s="778"/>
      <c r="CX259" s="778"/>
      <c r="CY259" s="778"/>
      <c r="CZ259" s="778"/>
      <c r="DA259" s="778"/>
      <c r="DB259" s="778"/>
      <c r="DC259" s="778"/>
      <c r="DD259" s="778"/>
      <c r="DE259" s="778"/>
      <c r="DF259" s="778"/>
      <c r="DG259" s="778"/>
      <c r="DH259" s="778"/>
      <c r="DI259" s="778"/>
      <c r="DJ259" s="778"/>
      <c r="DK259" s="778"/>
      <c r="DL259" s="778"/>
      <c r="DM259" s="778"/>
      <c r="DN259" s="778"/>
      <c r="DO259" s="778"/>
      <c r="DP259" s="778"/>
      <c r="DQ259" s="778"/>
      <c r="DR259" s="778"/>
      <c r="DS259" s="778"/>
      <c r="DT259" s="778"/>
      <c r="DU259" s="778"/>
      <c r="DV259" s="778"/>
      <c r="DW259" s="778"/>
      <c r="DX259" s="778"/>
      <c r="DY259" s="778"/>
      <c r="DZ259" s="778"/>
      <c r="EA259" s="778"/>
      <c r="EB259" s="778"/>
      <c r="EC259" s="778"/>
      <c r="ED259" s="778"/>
      <c r="EE259" s="778"/>
      <c r="EF259" s="778"/>
      <c r="EG259" s="778"/>
      <c r="EH259" s="778"/>
    </row>
    <row r="260" spans="5:138" ht="12.75" customHeight="1" x14ac:dyDescent="0.3">
      <c r="E260" s="778"/>
      <c r="F260" s="778"/>
      <c r="G260" s="778"/>
      <c r="H260" s="778"/>
      <c r="I260" s="778"/>
      <c r="J260" s="778"/>
      <c r="K260" s="778"/>
      <c r="L260" s="778"/>
      <c r="M260" s="778"/>
      <c r="N260" s="778"/>
      <c r="O260" s="778"/>
      <c r="P260" s="778"/>
      <c r="Q260" s="778"/>
      <c r="R260" s="778"/>
      <c r="S260" s="778"/>
      <c r="T260" s="778"/>
      <c r="U260" s="778"/>
      <c r="V260" s="778"/>
      <c r="W260" s="778"/>
      <c r="X260" s="778"/>
      <c r="Y260" s="778"/>
      <c r="Z260" s="778"/>
      <c r="AA260" s="778"/>
      <c r="AB260" s="778"/>
      <c r="AC260" s="778"/>
      <c r="AD260" s="778"/>
      <c r="AE260" s="778"/>
      <c r="AF260" s="778"/>
      <c r="AG260" s="778"/>
      <c r="AH260" s="778"/>
      <c r="AI260" s="778"/>
      <c r="AJ260" s="778"/>
      <c r="AK260" s="778"/>
      <c r="AL260" s="778"/>
      <c r="AM260" s="778"/>
      <c r="AN260" s="778"/>
      <c r="AO260" s="778"/>
      <c r="AP260" s="778"/>
      <c r="AQ260" s="778"/>
      <c r="AR260" s="778"/>
      <c r="AS260" s="778"/>
      <c r="AT260" s="778"/>
      <c r="AU260" s="778"/>
      <c r="AV260" s="778"/>
      <c r="AW260" s="778"/>
      <c r="AX260" s="778"/>
      <c r="AY260" s="778"/>
      <c r="AZ260" s="778"/>
      <c r="BA260" s="778"/>
      <c r="BB260" s="778"/>
      <c r="BC260" s="778"/>
      <c r="BD260" s="778"/>
      <c r="BE260" s="778"/>
      <c r="BF260" s="778"/>
      <c r="BG260" s="778"/>
      <c r="BH260" s="778"/>
      <c r="BI260" s="778"/>
      <c r="BJ260" s="778"/>
      <c r="BK260" s="778"/>
      <c r="BL260" s="778"/>
      <c r="BM260" s="778"/>
      <c r="BN260" s="778"/>
      <c r="BO260" s="778"/>
      <c r="BP260" s="778"/>
      <c r="BQ260" s="778"/>
      <c r="BR260" s="778"/>
      <c r="BS260" s="778"/>
      <c r="BT260" s="778"/>
      <c r="BU260" s="778"/>
      <c r="BV260" s="778"/>
      <c r="BW260" s="778"/>
      <c r="BX260" s="778"/>
      <c r="BY260" s="778"/>
      <c r="BZ260" s="778"/>
      <c r="CA260" s="778"/>
      <c r="CB260" s="778"/>
      <c r="CC260" s="778"/>
      <c r="CD260" s="778"/>
      <c r="CE260" s="778"/>
      <c r="CF260" s="778"/>
      <c r="CG260" s="778"/>
      <c r="CH260" s="778"/>
      <c r="CI260" s="778"/>
      <c r="CJ260" s="778"/>
      <c r="CK260" s="778"/>
      <c r="CL260" s="778"/>
      <c r="CM260" s="778"/>
      <c r="CN260" s="778"/>
      <c r="CO260" s="778"/>
      <c r="CP260" s="778"/>
      <c r="CQ260" s="778"/>
      <c r="CR260" s="778"/>
      <c r="CS260" s="778"/>
      <c r="CT260" s="778"/>
      <c r="CU260" s="778"/>
      <c r="CV260" s="778"/>
      <c r="CW260" s="778"/>
      <c r="CX260" s="778"/>
      <c r="CY260" s="778"/>
      <c r="CZ260" s="778"/>
      <c r="DA260" s="778"/>
      <c r="DB260" s="778"/>
      <c r="DC260" s="778"/>
      <c r="DD260" s="778"/>
      <c r="DE260" s="778"/>
      <c r="DF260" s="778"/>
      <c r="DG260" s="778"/>
      <c r="DH260" s="778"/>
      <c r="DI260" s="778"/>
      <c r="DJ260" s="778"/>
      <c r="DK260" s="778"/>
      <c r="DL260" s="778"/>
      <c r="DM260" s="778"/>
      <c r="DN260" s="778"/>
      <c r="DO260" s="778"/>
      <c r="DP260" s="778"/>
      <c r="DQ260" s="778"/>
      <c r="DR260" s="778"/>
      <c r="DS260" s="778"/>
      <c r="DT260" s="778"/>
      <c r="DU260" s="778"/>
      <c r="DV260" s="778"/>
      <c r="DW260" s="778"/>
      <c r="DX260" s="778"/>
      <c r="DY260" s="778"/>
      <c r="DZ260" s="778"/>
      <c r="EA260" s="778"/>
      <c r="EB260" s="778"/>
      <c r="EC260" s="778"/>
      <c r="ED260" s="778"/>
      <c r="EE260" s="778"/>
      <c r="EF260" s="778"/>
      <c r="EG260" s="778"/>
      <c r="EH260" s="778"/>
    </row>
    <row r="261" spans="5:138" ht="12.75" customHeight="1" x14ac:dyDescent="0.3">
      <c r="E261" s="778"/>
      <c r="F261" s="778"/>
      <c r="G261" s="778"/>
      <c r="H261" s="778"/>
      <c r="I261" s="778"/>
      <c r="J261" s="778"/>
      <c r="K261" s="778"/>
      <c r="L261" s="778"/>
      <c r="M261" s="778"/>
      <c r="N261" s="778"/>
      <c r="O261" s="778"/>
      <c r="P261" s="778"/>
      <c r="Q261" s="778"/>
      <c r="R261" s="778"/>
      <c r="S261" s="778"/>
      <c r="T261" s="778"/>
      <c r="U261" s="778"/>
      <c r="V261" s="778"/>
      <c r="W261" s="778"/>
      <c r="X261" s="778"/>
      <c r="Y261" s="778"/>
      <c r="Z261" s="778"/>
      <c r="AA261" s="778"/>
      <c r="AB261" s="778"/>
      <c r="AC261" s="778"/>
      <c r="AD261" s="778"/>
      <c r="AE261" s="778"/>
      <c r="AF261" s="778"/>
      <c r="AG261" s="778"/>
      <c r="AH261" s="778"/>
      <c r="AI261" s="778"/>
      <c r="AJ261" s="778"/>
      <c r="AK261" s="778"/>
      <c r="AL261" s="778"/>
      <c r="AM261" s="778"/>
      <c r="AN261" s="778"/>
      <c r="AO261" s="778"/>
      <c r="AP261" s="778"/>
      <c r="AQ261" s="778"/>
      <c r="AR261" s="778"/>
      <c r="AS261" s="778"/>
      <c r="AT261" s="778"/>
      <c r="AU261" s="778"/>
      <c r="AV261" s="778"/>
      <c r="AW261" s="778"/>
      <c r="AX261" s="778"/>
      <c r="AY261" s="778"/>
      <c r="AZ261" s="778"/>
      <c r="BA261" s="778"/>
      <c r="BB261" s="778"/>
      <c r="BC261" s="778"/>
      <c r="BD261" s="778"/>
      <c r="BE261" s="778"/>
      <c r="BF261" s="778"/>
      <c r="BG261" s="778"/>
      <c r="BH261" s="778"/>
      <c r="BI261" s="778"/>
      <c r="BJ261" s="778"/>
      <c r="BK261" s="778"/>
      <c r="BL261" s="778"/>
      <c r="BM261" s="778"/>
      <c r="BN261" s="778"/>
      <c r="BO261" s="778"/>
      <c r="BP261" s="778"/>
      <c r="BQ261" s="778"/>
      <c r="BR261" s="778"/>
      <c r="BS261" s="778"/>
      <c r="BT261" s="778"/>
      <c r="BU261" s="778"/>
      <c r="BV261" s="778"/>
      <c r="BW261" s="778"/>
      <c r="BX261" s="778"/>
      <c r="BY261" s="778"/>
      <c r="BZ261" s="778"/>
      <c r="CA261" s="778"/>
      <c r="CB261" s="778"/>
      <c r="CC261" s="778"/>
      <c r="CD261" s="778"/>
      <c r="CE261" s="778"/>
      <c r="CF261" s="778"/>
      <c r="CG261" s="778"/>
      <c r="CH261" s="778"/>
      <c r="CI261" s="778"/>
      <c r="CJ261" s="778"/>
      <c r="CK261" s="778"/>
      <c r="CL261" s="778"/>
      <c r="CM261" s="778"/>
      <c r="CN261" s="778"/>
      <c r="CO261" s="778"/>
      <c r="CP261" s="778"/>
      <c r="CQ261" s="778"/>
      <c r="CR261" s="778"/>
      <c r="CS261" s="778"/>
      <c r="CT261" s="778"/>
      <c r="CU261" s="778"/>
      <c r="CV261" s="778"/>
      <c r="CW261" s="778"/>
      <c r="CX261" s="778"/>
      <c r="CY261" s="778"/>
      <c r="CZ261" s="778"/>
      <c r="DA261" s="778"/>
      <c r="DB261" s="778"/>
      <c r="DC261" s="778"/>
      <c r="DD261" s="778"/>
      <c r="DE261" s="778"/>
      <c r="DF261" s="778"/>
      <c r="DG261" s="778"/>
      <c r="DH261" s="778"/>
      <c r="DI261" s="778"/>
      <c r="DJ261" s="778"/>
      <c r="DK261" s="778"/>
      <c r="DL261" s="778"/>
      <c r="DM261" s="778"/>
      <c r="DN261" s="778"/>
      <c r="DO261" s="778"/>
      <c r="DP261" s="778"/>
      <c r="DQ261" s="778"/>
      <c r="DR261" s="778"/>
      <c r="DS261" s="778"/>
      <c r="DT261" s="778"/>
      <c r="DU261" s="778"/>
      <c r="DV261" s="778"/>
      <c r="DW261" s="778"/>
      <c r="DX261" s="778"/>
      <c r="DY261" s="778"/>
      <c r="DZ261" s="778"/>
      <c r="EA261" s="778"/>
      <c r="EB261" s="778"/>
      <c r="EC261" s="778"/>
      <c r="ED261" s="778"/>
      <c r="EE261" s="778"/>
      <c r="EF261" s="778"/>
      <c r="EG261" s="778"/>
      <c r="EH261" s="778"/>
    </row>
    <row r="262" spans="5:138" ht="12.75" customHeight="1" x14ac:dyDescent="0.3">
      <c r="E262" s="778"/>
      <c r="F262" s="778"/>
      <c r="G262" s="778"/>
      <c r="H262" s="778"/>
      <c r="I262" s="778"/>
      <c r="J262" s="778"/>
      <c r="K262" s="778"/>
      <c r="L262" s="778"/>
      <c r="M262" s="778"/>
      <c r="N262" s="778"/>
      <c r="O262" s="778"/>
      <c r="P262" s="778"/>
      <c r="Q262" s="778"/>
      <c r="R262" s="778"/>
      <c r="S262" s="778"/>
      <c r="T262" s="778"/>
      <c r="U262" s="778"/>
      <c r="V262" s="778"/>
      <c r="W262" s="778"/>
      <c r="X262" s="778"/>
      <c r="Y262" s="778"/>
      <c r="Z262" s="778"/>
      <c r="AA262" s="778"/>
      <c r="AB262" s="778"/>
      <c r="AC262" s="778"/>
      <c r="AD262" s="778"/>
      <c r="AE262" s="778"/>
      <c r="AF262" s="778"/>
      <c r="AG262" s="778"/>
      <c r="AH262" s="778"/>
      <c r="AI262" s="778"/>
      <c r="AJ262" s="778"/>
      <c r="AK262" s="778"/>
      <c r="AL262" s="778"/>
      <c r="AM262" s="778"/>
      <c r="AN262" s="778"/>
      <c r="AO262" s="778"/>
      <c r="AP262" s="778"/>
      <c r="AQ262" s="778"/>
      <c r="AR262" s="778"/>
      <c r="AS262" s="778"/>
      <c r="AT262" s="778"/>
      <c r="AU262" s="778"/>
      <c r="AV262" s="778"/>
      <c r="AW262" s="778"/>
      <c r="AX262" s="778"/>
      <c r="AY262" s="778"/>
      <c r="AZ262" s="778"/>
      <c r="BA262" s="778"/>
      <c r="BB262" s="778"/>
      <c r="BC262" s="778"/>
      <c r="BD262" s="778"/>
      <c r="BE262" s="778"/>
      <c r="BF262" s="778"/>
      <c r="BG262" s="778"/>
      <c r="BH262" s="778"/>
      <c r="BI262" s="778"/>
      <c r="BJ262" s="778"/>
      <c r="BK262" s="778"/>
      <c r="BL262" s="778"/>
      <c r="BM262" s="778"/>
      <c r="BN262" s="778"/>
      <c r="BO262" s="778"/>
      <c r="BP262" s="778"/>
      <c r="BQ262" s="778"/>
      <c r="BR262" s="778"/>
      <c r="BS262" s="778"/>
      <c r="BT262" s="778"/>
      <c r="BU262" s="778"/>
      <c r="BV262" s="778"/>
      <c r="BW262" s="778"/>
      <c r="BX262" s="778"/>
      <c r="BY262" s="778"/>
      <c r="BZ262" s="778"/>
      <c r="CA262" s="778"/>
      <c r="CB262" s="778"/>
      <c r="CC262" s="778"/>
      <c r="CD262" s="778"/>
      <c r="CE262" s="778"/>
      <c r="CF262" s="778"/>
      <c r="CG262" s="778"/>
      <c r="CH262" s="778"/>
      <c r="CI262" s="778"/>
      <c r="CJ262" s="778"/>
      <c r="CK262" s="778"/>
      <c r="CL262" s="778"/>
      <c r="CM262" s="778"/>
      <c r="CN262" s="778"/>
      <c r="CO262" s="778"/>
      <c r="CP262" s="778"/>
      <c r="CQ262" s="778"/>
      <c r="CR262" s="778"/>
      <c r="CS262" s="778"/>
      <c r="CT262" s="778"/>
      <c r="CU262" s="778"/>
      <c r="CV262" s="778"/>
      <c r="CW262" s="778"/>
      <c r="CX262" s="778"/>
      <c r="CY262" s="778"/>
      <c r="CZ262" s="778"/>
      <c r="DA262" s="778"/>
      <c r="DB262" s="778"/>
      <c r="DC262" s="778"/>
      <c r="DD262" s="778"/>
      <c r="DE262" s="778"/>
      <c r="DF262" s="778"/>
      <c r="DG262" s="778"/>
      <c r="DH262" s="778"/>
      <c r="DI262" s="778"/>
      <c r="DJ262" s="778"/>
      <c r="DK262" s="778"/>
      <c r="DL262" s="778"/>
      <c r="DM262" s="778"/>
      <c r="DN262" s="778"/>
      <c r="DO262" s="778"/>
      <c r="DP262" s="778"/>
      <c r="DQ262" s="778"/>
      <c r="DR262" s="778"/>
      <c r="DS262" s="778"/>
      <c r="DT262" s="778"/>
      <c r="DU262" s="778"/>
      <c r="DV262" s="778"/>
      <c r="DW262" s="778"/>
      <c r="DX262" s="778"/>
      <c r="DY262" s="778"/>
      <c r="DZ262" s="778"/>
      <c r="EA262" s="778"/>
      <c r="EB262" s="778"/>
      <c r="EC262" s="778"/>
      <c r="ED262" s="778"/>
      <c r="EE262" s="778"/>
      <c r="EF262" s="778"/>
      <c r="EG262" s="778"/>
      <c r="EH262" s="778"/>
    </row>
    <row r="263" spans="5:138" ht="12.75" customHeight="1" x14ac:dyDescent="0.3">
      <c r="E263" s="778"/>
      <c r="F263" s="778"/>
      <c r="G263" s="778"/>
      <c r="H263" s="778"/>
      <c r="I263" s="778"/>
      <c r="J263" s="778"/>
      <c r="K263" s="778"/>
      <c r="L263" s="778"/>
      <c r="M263" s="778"/>
      <c r="N263" s="778"/>
      <c r="O263" s="778"/>
      <c r="P263" s="778"/>
      <c r="Q263" s="778"/>
      <c r="R263" s="778"/>
      <c r="S263" s="778"/>
      <c r="T263" s="778"/>
      <c r="U263" s="778"/>
      <c r="V263" s="778"/>
      <c r="W263" s="778"/>
      <c r="X263" s="778"/>
      <c r="Y263" s="778"/>
      <c r="Z263" s="778"/>
      <c r="AA263" s="778"/>
      <c r="AB263" s="778"/>
      <c r="AC263" s="778"/>
      <c r="AD263" s="778"/>
      <c r="AE263" s="778"/>
      <c r="AF263" s="778"/>
      <c r="AG263" s="778"/>
      <c r="AH263" s="778"/>
      <c r="AI263" s="778"/>
      <c r="AJ263" s="778"/>
      <c r="AK263" s="778"/>
      <c r="AL263" s="778"/>
      <c r="AM263" s="778"/>
      <c r="AN263" s="778"/>
      <c r="AO263" s="778"/>
      <c r="AP263" s="778"/>
      <c r="AQ263" s="778"/>
      <c r="AR263" s="778"/>
      <c r="AS263" s="778"/>
      <c r="AT263" s="778"/>
      <c r="AU263" s="778"/>
      <c r="AV263" s="778"/>
      <c r="AW263" s="778"/>
      <c r="AX263" s="778"/>
      <c r="AY263" s="778"/>
      <c r="AZ263" s="778"/>
      <c r="BA263" s="778"/>
      <c r="BB263" s="778"/>
      <c r="BC263" s="778"/>
      <c r="BD263" s="778"/>
      <c r="BE263" s="778"/>
      <c r="BF263" s="778"/>
      <c r="BG263" s="778"/>
      <c r="BH263" s="778"/>
      <c r="BI263" s="778"/>
      <c r="BJ263" s="778"/>
      <c r="BK263" s="778"/>
      <c r="BL263" s="778"/>
      <c r="BM263" s="778"/>
      <c r="BN263" s="778"/>
      <c r="BO263" s="778"/>
      <c r="BP263" s="778"/>
      <c r="BQ263" s="778"/>
      <c r="BR263" s="778"/>
      <c r="BS263" s="778"/>
      <c r="BT263" s="778"/>
      <c r="BU263" s="778"/>
      <c r="BV263" s="778"/>
      <c r="BW263" s="778"/>
      <c r="BX263" s="778"/>
      <c r="BY263" s="778"/>
      <c r="BZ263" s="778"/>
      <c r="CA263" s="778"/>
      <c r="CB263" s="778"/>
      <c r="CC263" s="778"/>
      <c r="CD263" s="778"/>
      <c r="CE263" s="778"/>
      <c r="CF263" s="778"/>
      <c r="CG263" s="778"/>
      <c r="CH263" s="778"/>
      <c r="CI263" s="778"/>
      <c r="CJ263" s="778"/>
      <c r="CK263" s="778"/>
      <c r="CL263" s="778"/>
      <c r="CM263" s="778"/>
      <c r="CN263" s="778"/>
      <c r="CO263" s="778"/>
      <c r="CP263" s="778"/>
      <c r="CQ263" s="778"/>
      <c r="CR263" s="778"/>
      <c r="CS263" s="778"/>
      <c r="CT263" s="778"/>
      <c r="CU263" s="778"/>
      <c r="CV263" s="778"/>
      <c r="CW263" s="778"/>
      <c r="CX263" s="778"/>
      <c r="CY263" s="778"/>
      <c r="CZ263" s="778"/>
      <c r="DA263" s="778"/>
      <c r="DB263" s="778"/>
      <c r="DC263" s="778"/>
      <c r="DD263" s="778"/>
      <c r="DE263" s="778"/>
      <c r="DF263" s="778"/>
      <c r="DG263" s="778"/>
      <c r="DH263" s="778"/>
      <c r="DI263" s="778"/>
      <c r="DJ263" s="778"/>
      <c r="DK263" s="778"/>
      <c r="DL263" s="778"/>
      <c r="DM263" s="778"/>
      <c r="DN263" s="778"/>
      <c r="DO263" s="778"/>
      <c r="DP263" s="778"/>
      <c r="DQ263" s="778"/>
      <c r="DR263" s="778"/>
      <c r="DS263" s="778"/>
      <c r="DT263" s="778"/>
      <c r="DU263" s="778"/>
      <c r="DV263" s="778"/>
      <c r="DW263" s="778"/>
      <c r="DX263" s="778"/>
      <c r="DY263" s="778"/>
      <c r="DZ263" s="778"/>
      <c r="EA263" s="778"/>
      <c r="EB263" s="778"/>
      <c r="EC263" s="778"/>
      <c r="ED263" s="778"/>
      <c r="EE263" s="778"/>
      <c r="EF263" s="778"/>
      <c r="EG263" s="778"/>
      <c r="EH263" s="778"/>
    </row>
    <row r="264" spans="5:138" ht="12.75" customHeight="1" x14ac:dyDescent="0.3">
      <c r="E264" s="778"/>
      <c r="F264" s="778"/>
      <c r="G264" s="778"/>
      <c r="H264" s="778"/>
      <c r="I264" s="778"/>
      <c r="J264" s="778"/>
      <c r="K264" s="778"/>
      <c r="L264" s="778"/>
      <c r="M264" s="778"/>
      <c r="N264" s="778"/>
      <c r="O264" s="778"/>
      <c r="P264" s="778"/>
      <c r="Q264" s="778"/>
      <c r="R264" s="778"/>
      <c r="S264" s="778"/>
      <c r="T264" s="778"/>
      <c r="U264" s="778"/>
      <c r="V264" s="778"/>
      <c r="W264" s="778"/>
      <c r="X264" s="778"/>
      <c r="Y264" s="778"/>
      <c r="Z264" s="778"/>
      <c r="AA264" s="778"/>
      <c r="AB264" s="778"/>
      <c r="AC264" s="778"/>
      <c r="AD264" s="778"/>
      <c r="AE264" s="778"/>
      <c r="AF264" s="778"/>
      <c r="AG264" s="778"/>
      <c r="AH264" s="778"/>
      <c r="AI264" s="778"/>
      <c r="AJ264" s="778"/>
      <c r="AK264" s="778"/>
      <c r="AL264" s="778"/>
      <c r="AM264" s="778"/>
      <c r="AN264" s="778"/>
      <c r="AO264" s="778"/>
      <c r="AP264" s="778"/>
      <c r="AQ264" s="778"/>
      <c r="AR264" s="778"/>
      <c r="AS264" s="778"/>
      <c r="AT264" s="778"/>
      <c r="AU264" s="778"/>
      <c r="AV264" s="778"/>
      <c r="AW264" s="778"/>
      <c r="AX264" s="778"/>
      <c r="AY264" s="778"/>
      <c r="AZ264" s="778"/>
      <c r="BA264" s="778"/>
      <c r="BB264" s="778"/>
      <c r="BC264" s="778"/>
      <c r="BD264" s="778"/>
      <c r="BE264" s="778"/>
      <c r="BF264" s="778"/>
      <c r="BG264" s="778"/>
      <c r="BH264" s="778"/>
      <c r="BI264" s="778"/>
      <c r="BJ264" s="778"/>
      <c r="BK264" s="778"/>
      <c r="BL264" s="778"/>
      <c r="BM264" s="778"/>
      <c r="BN264" s="778"/>
      <c r="BO264" s="778"/>
      <c r="BP264" s="778"/>
      <c r="BQ264" s="778"/>
      <c r="BR264" s="778"/>
      <c r="BS264" s="778"/>
      <c r="BT264" s="778"/>
      <c r="BU264" s="778"/>
      <c r="BV264" s="778"/>
      <c r="BW264" s="778"/>
      <c r="BX264" s="778"/>
      <c r="BY264" s="778"/>
      <c r="BZ264" s="778"/>
      <c r="CA264" s="778"/>
      <c r="CB264" s="778"/>
      <c r="CC264" s="778"/>
      <c r="CD264" s="778"/>
      <c r="CE264" s="778"/>
      <c r="CF264" s="778"/>
      <c r="CG264" s="778"/>
      <c r="CH264" s="778"/>
      <c r="CI264" s="778"/>
      <c r="CJ264" s="778"/>
      <c r="CK264" s="778"/>
      <c r="CL264" s="778"/>
      <c r="CM264" s="778"/>
      <c r="CN264" s="778"/>
      <c r="CO264" s="778"/>
      <c r="CP264" s="778"/>
      <c r="CQ264" s="778"/>
      <c r="CR264" s="778"/>
      <c r="CS264" s="778"/>
      <c r="CT264" s="778"/>
      <c r="CU264" s="778"/>
      <c r="CV264" s="778"/>
      <c r="CW264" s="778"/>
      <c r="CX264" s="778"/>
      <c r="CY264" s="778"/>
      <c r="CZ264" s="778"/>
      <c r="DA264" s="778"/>
      <c r="DB264" s="778"/>
      <c r="DC264" s="778"/>
      <c r="DD264" s="778"/>
      <c r="DE264" s="778"/>
      <c r="DF264" s="778"/>
      <c r="DG264" s="778"/>
      <c r="DH264" s="778"/>
      <c r="DI264" s="778"/>
      <c r="DJ264" s="778"/>
      <c r="DK264" s="778"/>
      <c r="DL264" s="778"/>
      <c r="DM264" s="778"/>
      <c r="DN264" s="778"/>
      <c r="DO264" s="778"/>
      <c r="DP264" s="778"/>
      <c r="DQ264" s="778"/>
      <c r="DR264" s="778"/>
      <c r="DS264" s="778"/>
      <c r="DT264" s="778"/>
      <c r="DU264" s="778"/>
      <c r="DV264" s="778"/>
      <c r="DW264" s="778"/>
      <c r="DX264" s="778"/>
      <c r="DY264" s="778"/>
      <c r="DZ264" s="778"/>
      <c r="EA264" s="778"/>
      <c r="EB264" s="778"/>
      <c r="EC264" s="778"/>
      <c r="ED264" s="778"/>
      <c r="EE264" s="778"/>
      <c r="EF264" s="778"/>
      <c r="EG264" s="778"/>
      <c r="EH264" s="778"/>
    </row>
    <row r="265" spans="5:138" ht="12.75" customHeight="1" x14ac:dyDescent="0.3">
      <c r="E265" s="778"/>
      <c r="F265" s="778"/>
      <c r="G265" s="778"/>
      <c r="H265" s="778"/>
      <c r="I265" s="778"/>
      <c r="J265" s="778"/>
      <c r="K265" s="778"/>
      <c r="L265" s="778"/>
      <c r="M265" s="778"/>
      <c r="N265" s="778"/>
      <c r="O265" s="778"/>
      <c r="P265" s="778"/>
      <c r="Q265" s="778"/>
      <c r="R265" s="778"/>
      <c r="S265" s="778"/>
      <c r="T265" s="778"/>
      <c r="U265" s="778"/>
      <c r="V265" s="778"/>
      <c r="W265" s="778"/>
      <c r="X265" s="778"/>
      <c r="Y265" s="778"/>
      <c r="Z265" s="778"/>
      <c r="AA265" s="778"/>
      <c r="AB265" s="778"/>
      <c r="AC265" s="778"/>
      <c r="AD265" s="778"/>
      <c r="AE265" s="778"/>
      <c r="AF265" s="778"/>
      <c r="AG265" s="778"/>
      <c r="AH265" s="778"/>
      <c r="AI265" s="778"/>
      <c r="AJ265" s="778"/>
      <c r="AK265" s="778"/>
      <c r="AL265" s="778"/>
      <c r="AM265" s="778"/>
      <c r="AN265" s="778"/>
      <c r="AO265" s="778"/>
      <c r="AP265" s="778"/>
      <c r="AQ265" s="778"/>
      <c r="AR265" s="778"/>
      <c r="AS265" s="778"/>
      <c r="AT265" s="778"/>
      <c r="AU265" s="778"/>
      <c r="AV265" s="778"/>
      <c r="AW265" s="778"/>
      <c r="AX265" s="778"/>
      <c r="AY265" s="778"/>
      <c r="AZ265" s="778"/>
      <c r="BA265" s="778"/>
      <c r="BB265" s="778"/>
      <c r="BC265" s="778"/>
      <c r="BD265" s="778"/>
      <c r="BE265" s="778"/>
      <c r="BF265" s="778"/>
      <c r="BG265" s="778"/>
      <c r="BH265" s="778"/>
      <c r="BI265" s="778"/>
      <c r="BJ265" s="778"/>
      <c r="BK265" s="778"/>
      <c r="BL265" s="778"/>
      <c r="BM265" s="778"/>
      <c r="BN265" s="778"/>
      <c r="BO265" s="778"/>
      <c r="BP265" s="778"/>
      <c r="BQ265" s="778"/>
      <c r="BR265" s="778"/>
      <c r="BS265" s="778"/>
      <c r="BT265" s="778"/>
      <c r="BU265" s="778"/>
      <c r="BV265" s="778"/>
      <c r="BW265" s="778"/>
      <c r="BX265" s="778"/>
      <c r="BY265" s="778"/>
      <c r="BZ265" s="778"/>
      <c r="CA265" s="778"/>
      <c r="CB265" s="778"/>
      <c r="CC265" s="778"/>
      <c r="CD265" s="778"/>
      <c r="CE265" s="778"/>
      <c r="CF265" s="778"/>
      <c r="CG265" s="778"/>
      <c r="CH265" s="778"/>
      <c r="CI265" s="778"/>
      <c r="CJ265" s="778"/>
      <c r="CK265" s="778"/>
      <c r="CL265" s="778"/>
      <c r="CM265" s="778"/>
      <c r="CN265" s="778"/>
      <c r="CO265" s="778"/>
      <c r="CP265" s="778"/>
      <c r="CQ265" s="778"/>
      <c r="CR265" s="778"/>
      <c r="CS265" s="778"/>
      <c r="CT265" s="778"/>
      <c r="CU265" s="778"/>
      <c r="CV265" s="778"/>
      <c r="CW265" s="778"/>
      <c r="CX265" s="778"/>
      <c r="CY265" s="778"/>
      <c r="CZ265" s="778"/>
      <c r="DA265" s="778"/>
      <c r="DB265" s="778"/>
      <c r="DC265" s="778"/>
      <c r="DD265" s="778"/>
      <c r="DE265" s="778"/>
      <c r="DF265" s="778"/>
      <c r="DG265" s="778"/>
      <c r="DH265" s="778"/>
      <c r="DI265" s="778"/>
      <c r="DJ265" s="778"/>
      <c r="DK265" s="778"/>
      <c r="DL265" s="778"/>
      <c r="DM265" s="778"/>
      <c r="DN265" s="778"/>
      <c r="DO265" s="778"/>
      <c r="DP265" s="778"/>
      <c r="DQ265" s="778"/>
      <c r="DR265" s="778"/>
      <c r="DS265" s="778"/>
      <c r="DT265" s="778"/>
      <c r="DU265" s="778"/>
      <c r="DV265" s="778"/>
      <c r="DW265" s="778"/>
      <c r="DX265" s="778"/>
      <c r="DY265" s="778"/>
      <c r="DZ265" s="778"/>
      <c r="EA265" s="778"/>
      <c r="EB265" s="778"/>
      <c r="EC265" s="778"/>
      <c r="ED265" s="778"/>
      <c r="EE265" s="778"/>
      <c r="EF265" s="778"/>
      <c r="EG265" s="778"/>
      <c r="EH265" s="778"/>
    </row>
    <row r="266" spans="5:138" ht="12.75" customHeight="1" x14ac:dyDescent="0.3">
      <c r="E266" s="778"/>
      <c r="F266" s="778"/>
      <c r="G266" s="778"/>
      <c r="H266" s="778"/>
      <c r="I266" s="778"/>
      <c r="J266" s="778"/>
      <c r="K266" s="778"/>
      <c r="L266" s="778"/>
      <c r="M266" s="778"/>
      <c r="N266" s="778"/>
      <c r="O266" s="778"/>
      <c r="P266" s="778"/>
      <c r="Q266" s="778"/>
      <c r="R266" s="778"/>
      <c r="S266" s="778"/>
      <c r="T266" s="778"/>
      <c r="U266" s="778"/>
      <c r="V266" s="778"/>
      <c r="W266" s="778"/>
      <c r="X266" s="778"/>
      <c r="Y266" s="778"/>
      <c r="Z266" s="778"/>
      <c r="AA266" s="778"/>
      <c r="AB266" s="778"/>
      <c r="AC266" s="778"/>
      <c r="AD266" s="778"/>
      <c r="AE266" s="778"/>
      <c r="AF266" s="778"/>
      <c r="AG266" s="778"/>
      <c r="AH266" s="778"/>
      <c r="AI266" s="778"/>
      <c r="AJ266" s="778"/>
      <c r="AK266" s="778"/>
      <c r="AL266" s="778"/>
      <c r="AM266" s="778"/>
      <c r="AN266" s="778"/>
      <c r="AO266" s="778"/>
      <c r="AP266" s="778"/>
      <c r="AQ266" s="778"/>
      <c r="AR266" s="778"/>
      <c r="AS266" s="778"/>
      <c r="AT266" s="778"/>
      <c r="AU266" s="778"/>
      <c r="AV266" s="778"/>
      <c r="AW266" s="778"/>
      <c r="AX266" s="778"/>
      <c r="AY266" s="778"/>
      <c r="AZ266" s="778"/>
      <c r="BA266" s="778"/>
      <c r="BB266" s="778"/>
      <c r="BC266" s="778"/>
      <c r="BD266" s="778"/>
      <c r="BE266" s="778"/>
      <c r="BF266" s="778"/>
      <c r="BG266" s="778"/>
      <c r="BH266" s="778"/>
      <c r="BI266" s="778"/>
      <c r="BJ266" s="778"/>
      <c r="BK266" s="778"/>
      <c r="BL266" s="778"/>
      <c r="BM266" s="778"/>
      <c r="BN266" s="778"/>
      <c r="BO266" s="778"/>
      <c r="BP266" s="778"/>
      <c r="BQ266" s="778"/>
      <c r="BR266" s="778"/>
      <c r="BS266" s="778"/>
      <c r="BT266" s="778"/>
      <c r="BU266" s="778"/>
      <c r="BV266" s="778"/>
      <c r="BW266" s="778"/>
      <c r="BX266" s="778"/>
      <c r="BY266" s="778"/>
      <c r="BZ266" s="778"/>
      <c r="CA266" s="778"/>
      <c r="CB266" s="778"/>
      <c r="CC266" s="778"/>
      <c r="CD266" s="778"/>
      <c r="CE266" s="778"/>
      <c r="CF266" s="778"/>
      <c r="CG266" s="778"/>
      <c r="CH266" s="778"/>
      <c r="CI266" s="778"/>
      <c r="CJ266" s="778"/>
      <c r="CK266" s="778"/>
      <c r="CL266" s="778"/>
      <c r="CM266" s="778"/>
      <c r="CN266" s="778"/>
      <c r="CO266" s="778"/>
      <c r="CP266" s="778"/>
      <c r="CQ266" s="778"/>
      <c r="CR266" s="778"/>
      <c r="CS266" s="778"/>
      <c r="CT266" s="778"/>
      <c r="CU266" s="778"/>
      <c r="CV266" s="778"/>
      <c r="CW266" s="778"/>
      <c r="CX266" s="778"/>
      <c r="CY266" s="778"/>
      <c r="CZ266" s="778"/>
      <c r="DA266" s="778"/>
      <c r="DB266" s="778"/>
      <c r="DC266" s="778"/>
      <c r="DD266" s="778"/>
      <c r="DE266" s="778"/>
      <c r="DF266" s="778"/>
      <c r="DG266" s="778"/>
      <c r="DH266" s="778"/>
      <c r="DI266" s="778"/>
      <c r="DJ266" s="778"/>
      <c r="DK266" s="778"/>
      <c r="DL266" s="778"/>
      <c r="DM266" s="778"/>
      <c r="DN266" s="778"/>
      <c r="DO266" s="778"/>
      <c r="DP266" s="778"/>
      <c r="DQ266" s="778"/>
      <c r="DR266" s="778"/>
      <c r="DS266" s="778"/>
      <c r="DT266" s="778"/>
      <c r="DU266" s="778"/>
      <c r="DV266" s="778"/>
      <c r="DW266" s="778"/>
      <c r="DX266" s="778"/>
      <c r="DY266" s="778"/>
      <c r="DZ266" s="778"/>
      <c r="EA266" s="778"/>
      <c r="EB266" s="778"/>
      <c r="EC266" s="778"/>
      <c r="ED266" s="778"/>
      <c r="EE266" s="778"/>
      <c r="EF266" s="778"/>
      <c r="EG266" s="778"/>
      <c r="EH266" s="778"/>
    </row>
    <row r="267" spans="5:138" ht="12.75" customHeight="1" x14ac:dyDescent="0.3">
      <c r="E267" s="778"/>
      <c r="F267" s="778"/>
      <c r="G267" s="778"/>
      <c r="H267" s="778"/>
      <c r="I267" s="778"/>
      <c r="J267" s="778"/>
      <c r="K267" s="778"/>
      <c r="L267" s="778"/>
      <c r="M267" s="778"/>
      <c r="N267" s="778"/>
      <c r="O267" s="778"/>
      <c r="P267" s="778"/>
      <c r="Q267" s="778"/>
      <c r="R267" s="778"/>
      <c r="S267" s="778"/>
      <c r="T267" s="778"/>
      <c r="U267" s="778"/>
      <c r="V267" s="778"/>
      <c r="W267" s="778"/>
      <c r="X267" s="778"/>
      <c r="Y267" s="778"/>
      <c r="Z267" s="778"/>
      <c r="AA267" s="778"/>
      <c r="AB267" s="778"/>
      <c r="AC267" s="778"/>
      <c r="AD267" s="778"/>
      <c r="AE267" s="778"/>
      <c r="AF267" s="778"/>
      <c r="AG267" s="778"/>
      <c r="AH267" s="778"/>
      <c r="AI267" s="778"/>
      <c r="AJ267" s="778"/>
      <c r="AK267" s="778"/>
      <c r="AL267" s="778"/>
      <c r="AM267" s="778"/>
      <c r="AN267" s="778"/>
      <c r="AO267" s="778"/>
      <c r="AP267" s="778"/>
      <c r="AQ267" s="778"/>
      <c r="AR267" s="778"/>
      <c r="AS267" s="778"/>
      <c r="AT267" s="778"/>
      <c r="AU267" s="778"/>
      <c r="AV267" s="778"/>
      <c r="AW267" s="778"/>
      <c r="AX267" s="778"/>
      <c r="AY267" s="778"/>
      <c r="AZ267" s="778"/>
      <c r="BA267" s="778"/>
      <c r="BB267" s="778"/>
      <c r="BC267" s="778"/>
      <c r="BD267" s="778"/>
      <c r="BE267" s="778"/>
      <c r="BF267" s="778"/>
      <c r="BG267" s="778"/>
      <c r="BH267" s="778"/>
      <c r="BI267" s="778"/>
      <c r="BJ267" s="778"/>
      <c r="BK267" s="778"/>
      <c r="BL267" s="778"/>
      <c r="BM267" s="778"/>
      <c r="BN267" s="778"/>
      <c r="BO267" s="778"/>
      <c r="BP267" s="778"/>
      <c r="BQ267" s="778"/>
      <c r="BR267" s="778"/>
      <c r="BS267" s="778"/>
      <c r="BT267" s="778"/>
      <c r="BU267" s="778"/>
      <c r="BV267" s="778"/>
      <c r="BW267" s="778"/>
      <c r="BX267" s="778"/>
      <c r="BY267" s="778"/>
      <c r="BZ267" s="778"/>
      <c r="CA267" s="778"/>
      <c r="CB267" s="778"/>
      <c r="CC267" s="778"/>
      <c r="CD267" s="778"/>
      <c r="CE267" s="778"/>
      <c r="CF267" s="778"/>
      <c r="CG267" s="778"/>
      <c r="CH267" s="778"/>
      <c r="CI267" s="778"/>
      <c r="CJ267" s="778"/>
      <c r="CK267" s="778"/>
      <c r="CL267" s="778"/>
      <c r="CM267" s="778"/>
      <c r="CN267" s="778"/>
      <c r="CO267" s="778"/>
      <c r="CP267" s="778"/>
      <c r="CQ267" s="778"/>
      <c r="CR267" s="778"/>
      <c r="CS267" s="778"/>
      <c r="CT267" s="778"/>
      <c r="CU267" s="778"/>
      <c r="CV267" s="778"/>
      <c r="CW267" s="778"/>
      <c r="CX267" s="778"/>
      <c r="CY267" s="778"/>
      <c r="CZ267" s="778"/>
      <c r="DA267" s="778"/>
      <c r="DB267" s="778"/>
      <c r="DC267" s="778"/>
      <c r="DD267" s="778"/>
      <c r="DE267" s="778"/>
      <c r="DF267" s="778"/>
      <c r="DG267" s="778"/>
      <c r="DH267" s="778"/>
      <c r="DI267" s="778"/>
      <c r="DJ267" s="778"/>
      <c r="DK267" s="778"/>
      <c r="DL267" s="778"/>
      <c r="DM267" s="778"/>
      <c r="DN267" s="778"/>
      <c r="DO267" s="778"/>
      <c r="DP267" s="778"/>
      <c r="DQ267" s="778"/>
      <c r="DR267" s="778"/>
      <c r="DS267" s="778"/>
      <c r="DT267" s="778"/>
      <c r="DU267" s="778"/>
      <c r="DV267" s="778"/>
      <c r="DW267" s="778"/>
      <c r="DX267" s="778"/>
      <c r="DY267" s="778"/>
      <c r="DZ267" s="778"/>
      <c r="EA267" s="778"/>
      <c r="EB267" s="778"/>
      <c r="EC267" s="778"/>
      <c r="ED267" s="778"/>
      <c r="EE267" s="778"/>
      <c r="EF267" s="778"/>
      <c r="EG267" s="778"/>
      <c r="EH267" s="778"/>
    </row>
    <row r="268" spans="5:138" ht="12.75" customHeight="1" x14ac:dyDescent="0.3">
      <c r="E268" s="778"/>
      <c r="F268" s="778"/>
      <c r="G268" s="778"/>
      <c r="H268" s="778"/>
      <c r="I268" s="778"/>
      <c r="J268" s="778"/>
      <c r="K268" s="778"/>
      <c r="L268" s="778"/>
      <c r="M268" s="778"/>
      <c r="N268" s="778"/>
      <c r="O268" s="778"/>
      <c r="P268" s="778"/>
      <c r="Q268" s="778"/>
      <c r="R268" s="778"/>
      <c r="S268" s="778"/>
      <c r="T268" s="778"/>
      <c r="U268" s="778"/>
      <c r="V268" s="778"/>
      <c r="W268" s="778"/>
      <c r="X268" s="778"/>
      <c r="Y268" s="778"/>
      <c r="Z268" s="778"/>
      <c r="AA268" s="778"/>
      <c r="AB268" s="778"/>
      <c r="AC268" s="778"/>
      <c r="AD268" s="778"/>
      <c r="AE268" s="778"/>
      <c r="AF268" s="778"/>
      <c r="AG268" s="778"/>
      <c r="AH268" s="778"/>
      <c r="AI268" s="778"/>
      <c r="AJ268" s="778"/>
      <c r="AK268" s="778"/>
      <c r="AL268" s="778"/>
      <c r="AM268" s="778"/>
      <c r="AN268" s="778"/>
      <c r="AO268" s="778"/>
      <c r="AP268" s="778"/>
      <c r="AQ268" s="778"/>
      <c r="AR268" s="778"/>
      <c r="AS268" s="778"/>
      <c r="AT268" s="778"/>
      <c r="AU268" s="778"/>
      <c r="AV268" s="778"/>
      <c r="AW268" s="778"/>
      <c r="AX268" s="778"/>
      <c r="AY268" s="778"/>
      <c r="AZ268" s="778"/>
      <c r="BA268" s="778"/>
      <c r="BB268" s="778"/>
      <c r="BC268" s="778"/>
      <c r="BD268" s="778"/>
      <c r="BE268" s="778"/>
      <c r="BF268" s="778"/>
      <c r="BG268" s="778"/>
      <c r="BH268" s="778"/>
      <c r="BI268" s="778"/>
      <c r="BJ268" s="778"/>
      <c r="BK268" s="778"/>
      <c r="BL268" s="778"/>
      <c r="BM268" s="778"/>
      <c r="BN268" s="778"/>
      <c r="BO268" s="778"/>
      <c r="BP268" s="778"/>
      <c r="BQ268" s="778"/>
      <c r="BR268" s="778"/>
      <c r="BS268" s="778"/>
      <c r="BT268" s="778"/>
      <c r="BU268" s="778"/>
      <c r="BV268" s="778"/>
      <c r="BW268" s="778"/>
      <c r="BX268" s="778"/>
      <c r="BY268" s="778"/>
      <c r="BZ268" s="778"/>
      <c r="CA268" s="778"/>
      <c r="CB268" s="778"/>
      <c r="CC268" s="778"/>
      <c r="CD268" s="778"/>
      <c r="CE268" s="778"/>
      <c r="CF268" s="778"/>
      <c r="CG268" s="778"/>
      <c r="CH268" s="778"/>
      <c r="CI268" s="778"/>
      <c r="CJ268" s="778"/>
      <c r="CK268" s="778"/>
      <c r="CL268" s="778"/>
      <c r="CM268" s="778"/>
      <c r="CN268" s="778"/>
      <c r="CO268" s="778"/>
      <c r="CP268" s="778"/>
      <c r="CQ268" s="778"/>
      <c r="CR268" s="778"/>
      <c r="CS268" s="778"/>
      <c r="CT268" s="778"/>
      <c r="CU268" s="778"/>
      <c r="CV268" s="778"/>
      <c r="CW268" s="778"/>
      <c r="CX268" s="778"/>
      <c r="CY268" s="778"/>
      <c r="CZ268" s="778"/>
      <c r="DA268" s="778"/>
      <c r="DB268" s="778"/>
      <c r="DC268" s="778"/>
      <c r="DD268" s="778"/>
      <c r="DE268" s="778"/>
      <c r="DF268" s="778"/>
      <c r="DG268" s="778"/>
      <c r="DH268" s="778"/>
      <c r="DI268" s="778"/>
      <c r="DJ268" s="778"/>
      <c r="DK268" s="778"/>
      <c r="DL268" s="778"/>
      <c r="DM268" s="778"/>
      <c r="DN268" s="778"/>
      <c r="DO268" s="778"/>
      <c r="DP268" s="778"/>
      <c r="DQ268" s="778"/>
      <c r="DR268" s="778"/>
      <c r="DS268" s="778"/>
      <c r="DT268" s="778"/>
      <c r="DU268" s="778"/>
      <c r="DV268" s="778"/>
      <c r="DW268" s="778"/>
      <c r="DX268" s="778"/>
      <c r="DY268" s="778"/>
      <c r="DZ268" s="778"/>
      <c r="EA268" s="778"/>
      <c r="EB268" s="778"/>
      <c r="EC268" s="778"/>
      <c r="ED268" s="778"/>
      <c r="EE268" s="778"/>
      <c r="EF268" s="778"/>
      <c r="EG268" s="778"/>
      <c r="EH268" s="778"/>
    </row>
    <row r="269" spans="5:138" ht="12.75" customHeight="1" x14ac:dyDescent="0.3">
      <c r="E269" s="778"/>
      <c r="F269" s="778"/>
      <c r="G269" s="778"/>
      <c r="H269" s="778"/>
      <c r="I269" s="778"/>
      <c r="J269" s="778"/>
      <c r="K269" s="778"/>
      <c r="L269" s="778"/>
      <c r="M269" s="778"/>
      <c r="N269" s="778"/>
      <c r="O269" s="778"/>
      <c r="P269" s="778"/>
      <c r="Q269" s="778"/>
      <c r="R269" s="778"/>
      <c r="S269" s="778"/>
      <c r="T269" s="778"/>
      <c r="U269" s="778"/>
      <c r="V269" s="778"/>
      <c r="W269" s="778"/>
      <c r="X269" s="778"/>
      <c r="Y269" s="778"/>
      <c r="Z269" s="778"/>
      <c r="AA269" s="778"/>
      <c r="AB269" s="778"/>
      <c r="AC269" s="778"/>
      <c r="AD269" s="778"/>
      <c r="AE269" s="778"/>
      <c r="AF269" s="778"/>
      <c r="AG269" s="778"/>
      <c r="AH269" s="778"/>
      <c r="AI269" s="778"/>
      <c r="AJ269" s="778"/>
      <c r="AK269" s="778"/>
      <c r="AL269" s="778"/>
      <c r="AM269" s="778"/>
      <c r="AN269" s="778"/>
      <c r="AO269" s="778"/>
      <c r="AP269" s="778"/>
      <c r="AQ269" s="778"/>
      <c r="AR269" s="778"/>
      <c r="AS269" s="778"/>
      <c r="AT269" s="778"/>
      <c r="AU269" s="778"/>
      <c r="AV269" s="778"/>
      <c r="AW269" s="778"/>
      <c r="AX269" s="778"/>
      <c r="AY269" s="778"/>
      <c r="AZ269" s="778"/>
      <c r="BA269" s="778"/>
      <c r="BB269" s="778"/>
      <c r="BC269" s="778"/>
      <c r="BD269" s="778"/>
      <c r="BE269" s="778"/>
      <c r="BF269" s="778"/>
      <c r="BG269" s="778"/>
      <c r="BH269" s="778"/>
      <c r="BI269" s="778"/>
      <c r="BJ269" s="778"/>
      <c r="BK269" s="778"/>
      <c r="BL269" s="778"/>
      <c r="BM269" s="778"/>
      <c r="BN269" s="778"/>
      <c r="BO269" s="778"/>
      <c r="BP269" s="778"/>
      <c r="BQ269" s="778"/>
      <c r="BR269" s="778"/>
      <c r="BS269" s="778"/>
      <c r="BT269" s="778"/>
      <c r="BU269" s="778"/>
      <c r="BV269" s="778"/>
      <c r="BW269" s="778"/>
      <c r="BX269" s="778"/>
      <c r="BY269" s="778"/>
      <c r="BZ269" s="778"/>
      <c r="CA269" s="778"/>
      <c r="CB269" s="778"/>
      <c r="CC269" s="778"/>
      <c r="CD269" s="778"/>
      <c r="CE269" s="778"/>
      <c r="CF269" s="778"/>
      <c r="CG269" s="778"/>
      <c r="CH269" s="778"/>
      <c r="CI269" s="778"/>
      <c r="CJ269" s="778"/>
      <c r="CK269" s="778"/>
      <c r="CL269" s="778"/>
      <c r="CM269" s="778"/>
      <c r="CN269" s="778"/>
      <c r="CO269" s="778"/>
      <c r="CP269" s="778"/>
      <c r="CQ269" s="778"/>
      <c r="CR269" s="778"/>
      <c r="CS269" s="778"/>
      <c r="CT269" s="778"/>
      <c r="CU269" s="778"/>
      <c r="CV269" s="778"/>
      <c r="CW269" s="778"/>
      <c r="CX269" s="778"/>
      <c r="CY269" s="778"/>
      <c r="CZ269" s="778"/>
      <c r="DA269" s="778"/>
      <c r="DB269" s="778"/>
      <c r="DC269" s="778"/>
      <c r="DD269" s="778"/>
      <c r="DE269" s="778"/>
      <c r="DF269" s="778"/>
      <c r="DG269" s="778"/>
      <c r="DH269" s="778"/>
      <c r="DI269" s="778"/>
      <c r="DJ269" s="778"/>
      <c r="DK269" s="778"/>
      <c r="DL269" s="778"/>
      <c r="DM269" s="778"/>
      <c r="DN269" s="778"/>
      <c r="DO269" s="778"/>
      <c r="DP269" s="778"/>
      <c r="DQ269" s="778"/>
      <c r="DR269" s="778"/>
      <c r="DS269" s="778"/>
      <c r="DT269" s="778"/>
      <c r="DU269" s="778"/>
      <c r="DV269" s="778"/>
      <c r="DW269" s="778"/>
      <c r="DX269" s="778"/>
      <c r="DY269" s="778"/>
      <c r="DZ269" s="778"/>
      <c r="EA269" s="778"/>
      <c r="EB269" s="778"/>
      <c r="EC269" s="778"/>
      <c r="ED269" s="778"/>
      <c r="EE269" s="778"/>
      <c r="EF269" s="778"/>
      <c r="EG269" s="778"/>
      <c r="EH269" s="778"/>
    </row>
    <row r="270" spans="5:138" ht="12.75" customHeight="1" x14ac:dyDescent="0.3">
      <c r="E270" s="778"/>
      <c r="F270" s="778"/>
      <c r="G270" s="778"/>
      <c r="H270" s="778"/>
      <c r="I270" s="778"/>
      <c r="J270" s="778"/>
      <c r="K270" s="778"/>
      <c r="L270" s="778"/>
      <c r="M270" s="778"/>
      <c r="N270" s="778"/>
      <c r="O270" s="778"/>
      <c r="P270" s="778"/>
      <c r="Q270" s="778"/>
      <c r="R270" s="778"/>
      <c r="S270" s="778"/>
      <c r="T270" s="778"/>
      <c r="U270" s="778"/>
      <c r="V270" s="778"/>
      <c r="W270" s="778"/>
      <c r="X270" s="778"/>
      <c r="Y270" s="778"/>
      <c r="Z270" s="778"/>
      <c r="AA270" s="778"/>
      <c r="AB270" s="778"/>
      <c r="AC270" s="778"/>
      <c r="AD270" s="778"/>
      <c r="AE270" s="778"/>
      <c r="AF270" s="778"/>
      <c r="AG270" s="778"/>
      <c r="AH270" s="778"/>
      <c r="AI270" s="778"/>
      <c r="AJ270" s="778"/>
      <c r="AK270" s="778"/>
      <c r="AL270" s="778"/>
      <c r="AM270" s="778"/>
      <c r="AN270" s="778"/>
      <c r="AO270" s="778"/>
      <c r="AP270" s="778"/>
      <c r="AQ270" s="778"/>
      <c r="AR270" s="778"/>
      <c r="AS270" s="778"/>
      <c r="AT270" s="778"/>
      <c r="AU270" s="778"/>
      <c r="AV270" s="778"/>
      <c r="AW270" s="778"/>
      <c r="AX270" s="778"/>
      <c r="AY270" s="778"/>
      <c r="AZ270" s="778"/>
      <c r="BA270" s="778"/>
      <c r="BB270" s="778"/>
      <c r="BC270" s="778"/>
      <c r="BD270" s="778"/>
      <c r="BE270" s="778"/>
      <c r="BF270" s="778"/>
      <c r="BG270" s="778"/>
      <c r="BH270" s="778"/>
      <c r="BI270" s="778"/>
      <c r="BJ270" s="778"/>
      <c r="BK270" s="778"/>
      <c r="BL270" s="778"/>
      <c r="BM270" s="778"/>
      <c r="BN270" s="778"/>
      <c r="BO270" s="778"/>
      <c r="BP270" s="778"/>
      <c r="BQ270" s="778"/>
      <c r="BR270" s="778"/>
      <c r="BS270" s="778"/>
      <c r="BT270" s="778"/>
      <c r="BU270" s="778"/>
      <c r="BV270" s="778"/>
      <c r="BW270" s="778"/>
      <c r="BX270" s="778"/>
      <c r="BY270" s="778"/>
      <c r="BZ270" s="778"/>
      <c r="CA270" s="778"/>
      <c r="CB270" s="778"/>
      <c r="CC270" s="778"/>
      <c r="CD270" s="778"/>
      <c r="CE270" s="778"/>
      <c r="CF270" s="778"/>
      <c r="CG270" s="778"/>
      <c r="CH270" s="778"/>
      <c r="CI270" s="778"/>
      <c r="CJ270" s="778"/>
      <c r="CK270" s="778"/>
      <c r="CL270" s="778"/>
      <c r="CM270" s="778"/>
      <c r="CN270" s="778"/>
      <c r="CO270" s="778"/>
      <c r="CP270" s="778"/>
      <c r="CQ270" s="778"/>
      <c r="CR270" s="778"/>
      <c r="CS270" s="778"/>
      <c r="CT270" s="778"/>
      <c r="CU270" s="778"/>
      <c r="CV270" s="778"/>
      <c r="CW270" s="778"/>
      <c r="CX270" s="778"/>
      <c r="CY270" s="778"/>
      <c r="CZ270" s="778"/>
      <c r="DA270" s="778"/>
      <c r="DB270" s="778"/>
      <c r="DC270" s="778"/>
      <c r="DD270" s="778"/>
      <c r="DE270" s="778"/>
      <c r="DF270" s="778"/>
      <c r="DG270" s="778"/>
      <c r="DH270" s="778"/>
      <c r="DI270" s="778"/>
      <c r="DJ270" s="778"/>
      <c r="DK270" s="778"/>
      <c r="DL270" s="778"/>
      <c r="DM270" s="778"/>
      <c r="DN270" s="778"/>
      <c r="DO270" s="778"/>
      <c r="DP270" s="778"/>
      <c r="DQ270" s="778"/>
      <c r="DR270" s="778"/>
      <c r="DS270" s="778"/>
      <c r="DT270" s="778"/>
      <c r="DU270" s="778"/>
      <c r="DV270" s="778"/>
      <c r="DW270" s="778"/>
      <c r="DX270" s="778"/>
      <c r="DY270" s="778"/>
      <c r="DZ270" s="778"/>
      <c r="EA270" s="778"/>
      <c r="EB270" s="778"/>
      <c r="EC270" s="778"/>
      <c r="ED270" s="778"/>
      <c r="EE270" s="778"/>
      <c r="EF270" s="778"/>
      <c r="EG270" s="778"/>
      <c r="EH270" s="778"/>
    </row>
    <row r="271" spans="5:138" ht="12.75" customHeight="1" x14ac:dyDescent="0.3"/>
    <row r="272" spans="5:138"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6E1EC-98EA-43C8-9F51-6EF4E86E0912}">
  <sheetPr codeName="Sheet21">
    <tabColor rgb="FF00B0F0"/>
  </sheetPr>
  <dimension ref="A1:EK660"/>
  <sheetViews>
    <sheetView showGridLines="0" zoomScale="90" zoomScaleNormal="90" workbookViewId="0">
      <pane xSplit="4" ySplit="12" topLeftCell="E13" activePane="bottomRight" state="frozen"/>
      <selection pane="topRight"/>
      <selection pane="bottomLeft"/>
      <selection pane="bottomRight"/>
    </sheetView>
  </sheetViews>
  <sheetFormatPr defaultColWidth="0" defaultRowHeight="12.75" customHeight="1" x14ac:dyDescent="0.3"/>
  <cols>
    <col min="1" max="1" width="3" customWidth="1"/>
    <col min="2" max="2" width="61.33203125" bestFit="1" customWidth="1"/>
    <col min="3" max="3" width="14.6640625" customWidth="1"/>
    <col min="4" max="4" width="4.6640625" customWidth="1"/>
    <col min="5" max="138" width="14.6640625" customWidth="1"/>
    <col min="139" max="141" width="0" hidden="1" customWidth="1"/>
    <col min="142" max="16384" width="9.33203125" hidden="1"/>
  </cols>
  <sheetData>
    <row r="1" spans="1:138" s="788" customFormat="1" ht="12.75" customHeight="1" x14ac:dyDescent="0.3">
      <c r="A1" s="786"/>
      <c r="B1" s="787" t="s">
        <v>292</v>
      </c>
      <c r="C1" s="786"/>
      <c r="D1" s="786"/>
      <c r="E1" s="786"/>
      <c r="F1" s="786"/>
      <c r="G1" s="786"/>
      <c r="H1" s="786"/>
      <c r="I1" s="786"/>
      <c r="J1" s="786"/>
      <c r="K1" s="786"/>
      <c r="L1" s="786"/>
      <c r="M1" s="786"/>
      <c r="N1" s="786"/>
      <c r="O1" s="786"/>
      <c r="P1" s="786"/>
      <c r="Q1" s="786"/>
      <c r="R1" s="786"/>
      <c r="S1" s="786"/>
      <c r="T1" s="786"/>
      <c r="U1" s="786"/>
      <c r="V1" s="786"/>
      <c r="W1" s="786"/>
      <c r="X1" s="786"/>
      <c r="Y1" s="786"/>
      <c r="Z1" s="786"/>
      <c r="AA1" s="786"/>
      <c r="AB1" s="786"/>
      <c r="AC1" s="786"/>
      <c r="AD1" s="786"/>
      <c r="AE1" s="786"/>
      <c r="AF1" s="786"/>
      <c r="AG1" s="786"/>
      <c r="AH1" s="786"/>
      <c r="AI1" s="786"/>
      <c r="AJ1" s="786"/>
      <c r="AK1" s="786"/>
      <c r="AL1" s="786"/>
      <c r="AM1" s="786"/>
      <c r="AN1" s="786"/>
      <c r="AO1" s="786"/>
      <c r="AP1" s="786"/>
      <c r="AQ1" s="786"/>
      <c r="AR1" s="786"/>
      <c r="AS1" s="786"/>
      <c r="AT1" s="786"/>
      <c r="AU1" s="786"/>
      <c r="AV1" s="786"/>
      <c r="AW1" s="786"/>
      <c r="AX1" s="786"/>
      <c r="AY1" s="786"/>
      <c r="AZ1" s="786"/>
      <c r="BA1" s="786"/>
      <c r="BB1" s="786"/>
      <c r="BC1" s="786"/>
      <c r="BD1" s="786"/>
      <c r="BE1" s="786"/>
      <c r="BF1" s="786"/>
      <c r="BG1" s="786"/>
      <c r="BH1" s="786"/>
      <c r="BI1" s="786"/>
      <c r="BJ1" s="786"/>
      <c r="BK1" s="786"/>
      <c r="BL1" s="786"/>
      <c r="BM1" s="786"/>
      <c r="BN1" s="786"/>
      <c r="BO1" s="786"/>
      <c r="BP1" s="786"/>
      <c r="BQ1" s="786"/>
      <c r="BR1" s="786"/>
      <c r="BS1" s="786"/>
      <c r="BT1" s="786"/>
      <c r="BU1" s="786"/>
      <c r="BV1" s="786"/>
      <c r="BW1" s="786"/>
      <c r="BX1" s="786"/>
      <c r="BY1" s="786"/>
      <c r="BZ1" s="786"/>
      <c r="CA1" s="786"/>
      <c r="CB1" s="786"/>
      <c r="CC1" s="786"/>
      <c r="CD1" s="786"/>
      <c r="CE1" s="786"/>
      <c r="CF1" s="786"/>
      <c r="CG1" s="786"/>
      <c r="CH1" s="786"/>
      <c r="CI1" s="786"/>
      <c r="CJ1" s="786"/>
      <c r="CK1" s="786"/>
      <c r="CL1" s="786"/>
      <c r="CM1" s="786"/>
      <c r="CN1" s="786"/>
      <c r="CO1" s="786"/>
      <c r="CP1" s="786"/>
      <c r="CQ1" s="786"/>
      <c r="CR1" s="786"/>
      <c r="CS1" s="786"/>
      <c r="CT1" s="786"/>
      <c r="CU1" s="786"/>
      <c r="CV1" s="786"/>
      <c r="CW1" s="786"/>
      <c r="CX1" s="786"/>
      <c r="CY1" s="786"/>
      <c r="CZ1" s="786"/>
      <c r="DA1" s="786"/>
      <c r="DB1" s="786"/>
      <c r="DC1" s="786"/>
      <c r="DD1" s="786"/>
      <c r="DE1" s="786"/>
      <c r="DF1" s="786"/>
      <c r="DG1" s="786"/>
      <c r="DH1" s="786"/>
      <c r="DI1" s="786"/>
      <c r="DJ1" s="786"/>
      <c r="DK1" s="786"/>
      <c r="DL1" s="786"/>
      <c r="DM1" s="786"/>
      <c r="DN1" s="786"/>
      <c r="DO1" s="786"/>
      <c r="DP1" s="786"/>
      <c r="DQ1" s="786"/>
      <c r="DR1" s="786"/>
      <c r="DS1" s="786"/>
      <c r="DT1" s="786"/>
      <c r="DU1" s="786"/>
      <c r="DV1" s="786"/>
      <c r="DW1" s="786"/>
      <c r="DX1" s="786"/>
      <c r="DY1" s="786"/>
      <c r="DZ1" s="786"/>
      <c r="EA1" s="786"/>
      <c r="EB1" s="786"/>
      <c r="EC1" s="786"/>
      <c r="ED1" s="786"/>
      <c r="EE1" s="786"/>
      <c r="EF1" s="786"/>
      <c r="EG1" s="786"/>
      <c r="EH1" s="786"/>
    </row>
    <row r="2" spans="1:138" s="788" customFormat="1" ht="12.75" customHeight="1" x14ac:dyDescent="0.3">
      <c r="A2" s="786"/>
      <c r="B2" s="789" t="str">
        <f>'General Inputs'!B7</f>
        <v>Emblem Meridian</v>
      </c>
      <c r="D2" s="786"/>
      <c r="E2" s="786"/>
      <c r="F2" s="786"/>
      <c r="G2" s="786"/>
      <c r="H2" s="786"/>
      <c r="I2" s="786"/>
      <c r="J2" s="786"/>
      <c r="K2" s="786"/>
      <c r="L2" s="786"/>
      <c r="M2" s="786"/>
      <c r="N2" s="786"/>
      <c r="O2" s="786"/>
      <c r="P2" s="786"/>
      <c r="Q2" s="786"/>
      <c r="R2" s="786"/>
      <c r="S2" s="786"/>
      <c r="T2" s="786"/>
      <c r="U2" s="786"/>
      <c r="V2" s="786"/>
      <c r="W2" s="786"/>
      <c r="X2" s="786"/>
      <c r="Y2" s="786"/>
      <c r="Z2" s="786"/>
      <c r="AA2" s="786"/>
      <c r="AB2" s="786"/>
      <c r="AC2" s="786"/>
      <c r="AD2" s="786"/>
      <c r="AE2" s="786"/>
      <c r="AF2" s="786"/>
      <c r="AG2" s="786"/>
      <c r="AH2" s="786"/>
      <c r="AI2" s="786"/>
      <c r="AJ2" s="786"/>
      <c r="AK2" s="786"/>
      <c r="AL2" s="786"/>
      <c r="AM2" s="786"/>
      <c r="AN2" s="786"/>
      <c r="AO2" s="786"/>
      <c r="AP2" s="786"/>
      <c r="AQ2" s="786"/>
      <c r="AR2" s="786"/>
      <c r="AS2" s="786"/>
      <c r="AT2" s="786"/>
      <c r="AU2" s="786"/>
      <c r="AV2" s="786"/>
      <c r="AW2" s="786"/>
      <c r="AX2" s="786"/>
      <c r="AY2" s="786"/>
      <c r="AZ2" s="786"/>
      <c r="BA2" s="786"/>
      <c r="BB2" s="786"/>
      <c r="BC2" s="786"/>
      <c r="BD2" s="786"/>
      <c r="BE2" s="786"/>
      <c r="BF2" s="786"/>
      <c r="BG2" s="786"/>
      <c r="BH2" s="786"/>
      <c r="BI2" s="786"/>
      <c r="BJ2" s="786"/>
      <c r="BK2" s="786"/>
      <c r="BL2" s="786"/>
      <c r="BM2" s="786"/>
      <c r="BN2" s="786"/>
      <c r="BO2" s="786"/>
      <c r="BP2" s="786"/>
      <c r="BQ2" s="786"/>
      <c r="BR2" s="786"/>
      <c r="BS2" s="786"/>
      <c r="BT2" s="786"/>
      <c r="BU2" s="786"/>
      <c r="BV2" s="786"/>
      <c r="BW2" s="786"/>
      <c r="BX2" s="786"/>
      <c r="BY2" s="786"/>
      <c r="BZ2" s="786"/>
      <c r="CA2" s="786"/>
      <c r="CB2" s="786"/>
      <c r="CC2" s="786"/>
      <c r="CD2" s="786"/>
      <c r="CE2" s="786"/>
      <c r="CF2" s="786"/>
      <c r="CG2" s="786"/>
      <c r="CH2" s="786"/>
      <c r="CI2" s="786"/>
      <c r="CJ2" s="786"/>
      <c r="CK2" s="786"/>
      <c r="CL2" s="786"/>
      <c r="CM2" s="786"/>
      <c r="CN2" s="786"/>
      <c r="CO2" s="786"/>
      <c r="CP2" s="786"/>
      <c r="CQ2" s="786"/>
      <c r="CR2" s="786"/>
      <c r="CS2" s="786"/>
      <c r="CT2" s="786"/>
      <c r="CU2" s="786"/>
      <c r="CV2" s="786"/>
      <c r="CW2" s="786"/>
      <c r="CX2" s="786"/>
      <c r="CY2" s="786"/>
      <c r="CZ2" s="786"/>
      <c r="DA2" s="786"/>
      <c r="DB2" s="786"/>
      <c r="DC2" s="786"/>
      <c r="DD2" s="786"/>
      <c r="DE2" s="786"/>
      <c r="DF2" s="786"/>
      <c r="DG2" s="786"/>
      <c r="DH2" s="786"/>
      <c r="DI2" s="786"/>
      <c r="DJ2" s="786"/>
      <c r="DK2" s="786"/>
      <c r="DL2" s="786"/>
      <c r="DM2" s="786"/>
      <c r="DN2" s="786"/>
      <c r="DO2" s="786"/>
      <c r="DP2" s="786"/>
      <c r="DQ2" s="786"/>
      <c r="DR2" s="786"/>
      <c r="DS2" s="786"/>
      <c r="DT2" s="786"/>
      <c r="DU2" s="786"/>
      <c r="DV2" s="786"/>
      <c r="DW2" s="786"/>
      <c r="DX2" s="786"/>
      <c r="DY2" s="786"/>
      <c r="DZ2" s="786"/>
      <c r="EA2" s="786"/>
      <c r="EB2" s="786"/>
      <c r="EC2" s="786"/>
      <c r="ED2" s="786"/>
      <c r="EE2" s="786"/>
      <c r="EF2" s="786"/>
      <c r="EG2" s="786"/>
      <c r="EH2" s="786"/>
    </row>
    <row r="3" spans="1:138" ht="12.75" customHeight="1" x14ac:dyDescent="0.3">
      <c r="A3" s="782"/>
      <c r="B3" s="782"/>
      <c r="C3" s="782"/>
      <c r="D3" s="782"/>
      <c r="E3" s="782"/>
      <c r="F3" s="782"/>
      <c r="G3" s="782"/>
      <c r="H3" s="782"/>
      <c r="I3" s="782"/>
      <c r="J3" s="782"/>
      <c r="K3" s="782"/>
      <c r="L3" s="782"/>
      <c r="M3" s="782"/>
      <c r="N3" s="782"/>
      <c r="O3" s="782"/>
      <c r="P3" s="782"/>
      <c r="Q3" s="782"/>
      <c r="R3" s="782"/>
      <c r="S3" s="782"/>
      <c r="T3" s="782"/>
      <c r="U3" s="782"/>
      <c r="V3" s="782"/>
      <c r="W3" s="782"/>
      <c r="X3" s="782"/>
      <c r="Y3" s="782"/>
      <c r="Z3" s="782"/>
      <c r="AA3" s="782"/>
      <c r="AB3" s="782"/>
      <c r="AC3" s="782"/>
      <c r="AD3" s="782"/>
      <c r="AE3" s="782"/>
      <c r="AF3" s="782"/>
      <c r="AG3" s="782"/>
      <c r="AH3" s="782"/>
      <c r="AI3" s="782"/>
      <c r="AJ3" s="782"/>
      <c r="AK3" s="782"/>
      <c r="AL3" s="782"/>
      <c r="AM3" s="782"/>
      <c r="AN3" s="782"/>
      <c r="AO3" s="782"/>
      <c r="AP3" s="782"/>
      <c r="AQ3" s="782"/>
      <c r="AR3" s="782"/>
      <c r="AS3" s="782"/>
      <c r="AT3" s="782"/>
      <c r="AU3" s="782"/>
      <c r="AV3" s="782"/>
      <c r="AW3" s="782"/>
      <c r="AX3" s="782"/>
      <c r="AY3" s="782"/>
      <c r="AZ3" s="782"/>
      <c r="BA3" s="782"/>
      <c r="BB3" s="782"/>
      <c r="BC3" s="782"/>
      <c r="BD3" s="782"/>
      <c r="BE3" s="782"/>
      <c r="BF3" s="782"/>
      <c r="BG3" s="782"/>
      <c r="BH3" s="782"/>
      <c r="BI3" s="782"/>
      <c r="BJ3" s="782"/>
      <c r="BK3" s="782"/>
      <c r="BL3" s="782"/>
      <c r="BM3" s="782"/>
      <c r="BN3" s="782"/>
      <c r="BO3" s="782"/>
      <c r="BP3" s="782"/>
      <c r="BQ3" s="782"/>
      <c r="BR3" s="782"/>
      <c r="BS3" s="782"/>
      <c r="BT3" s="782"/>
      <c r="BU3" s="782"/>
      <c r="BV3" s="782"/>
      <c r="BW3" s="782"/>
      <c r="BX3" s="782"/>
      <c r="BY3" s="782"/>
      <c r="BZ3" s="782"/>
      <c r="CA3" s="782"/>
      <c r="CB3" s="782"/>
      <c r="CC3" s="782"/>
      <c r="CD3" s="782"/>
      <c r="CE3" s="782"/>
      <c r="CF3" s="782"/>
      <c r="CG3" s="782"/>
      <c r="CH3" s="782"/>
      <c r="CI3" s="782"/>
      <c r="CJ3" s="782"/>
      <c r="CK3" s="782"/>
      <c r="CL3" s="782"/>
      <c r="CM3" s="782"/>
      <c r="CN3" s="782"/>
      <c r="CO3" s="782"/>
      <c r="CP3" s="782"/>
      <c r="CQ3" s="782"/>
      <c r="CR3" s="782"/>
      <c r="CS3" s="782"/>
      <c r="CT3" s="782"/>
      <c r="CU3" s="782"/>
      <c r="CV3" s="782"/>
      <c r="CW3" s="782"/>
      <c r="CX3" s="782"/>
      <c r="CY3" s="782"/>
      <c r="CZ3" s="782"/>
      <c r="DA3" s="782"/>
      <c r="DB3" s="782"/>
      <c r="DC3" s="782"/>
      <c r="DD3" s="782"/>
      <c r="DE3" s="782"/>
      <c r="DF3" s="782"/>
      <c r="DG3" s="782"/>
      <c r="DH3" s="782"/>
      <c r="DI3" s="782"/>
      <c r="DJ3" s="782"/>
      <c r="DK3" s="782"/>
      <c r="DL3" s="782"/>
      <c r="DM3" s="782"/>
      <c r="DN3" s="782"/>
      <c r="DO3" s="782"/>
      <c r="DP3" s="782"/>
      <c r="DQ3" s="782"/>
      <c r="DR3" s="782"/>
      <c r="DS3" s="782"/>
      <c r="DT3" s="782"/>
      <c r="DU3" s="782"/>
      <c r="DV3" s="782"/>
      <c r="DW3" s="782"/>
      <c r="DX3" s="782"/>
      <c r="DY3" s="782"/>
      <c r="DZ3" s="782"/>
      <c r="EA3" s="782"/>
      <c r="EB3" s="782"/>
      <c r="EC3" s="782"/>
      <c r="ED3" s="782"/>
      <c r="EE3" s="782"/>
      <c r="EF3" s="782"/>
      <c r="EG3" s="782"/>
      <c r="EH3" s="782"/>
    </row>
    <row r="4" spans="1:138" ht="12.75" customHeight="1" x14ac:dyDescent="0.3">
      <c r="A4" s="782"/>
      <c r="B4" s="782" t="s">
        <v>1</v>
      </c>
      <c r="C4" s="782"/>
      <c r="D4" s="782"/>
      <c r="E4" s="790">
        <f>'Venture Assumptions'!$F$6</f>
        <v>45169</v>
      </c>
      <c r="F4" s="790">
        <f>EOMONTH(E4,1)</f>
        <v>45199</v>
      </c>
      <c r="G4" s="790">
        <f t="shared" ref="G4:BR4" si="0">EOMONTH(F4,1)</f>
        <v>45230</v>
      </c>
      <c r="H4" s="790">
        <f t="shared" si="0"/>
        <v>45260</v>
      </c>
      <c r="I4" s="790">
        <f t="shared" si="0"/>
        <v>45291</v>
      </c>
      <c r="J4" s="790">
        <f t="shared" si="0"/>
        <v>45322</v>
      </c>
      <c r="K4" s="790">
        <f t="shared" si="0"/>
        <v>45351</v>
      </c>
      <c r="L4" s="790">
        <f t="shared" si="0"/>
        <v>45382</v>
      </c>
      <c r="M4" s="790">
        <f t="shared" si="0"/>
        <v>45412</v>
      </c>
      <c r="N4" s="790">
        <f t="shared" si="0"/>
        <v>45443</v>
      </c>
      <c r="O4" s="790">
        <f t="shared" si="0"/>
        <v>45473</v>
      </c>
      <c r="P4" s="790">
        <f t="shared" si="0"/>
        <v>45504</v>
      </c>
      <c r="Q4" s="790">
        <f t="shared" si="0"/>
        <v>45535</v>
      </c>
      <c r="R4" s="790">
        <f t="shared" si="0"/>
        <v>45565</v>
      </c>
      <c r="S4" s="790">
        <f t="shared" si="0"/>
        <v>45596</v>
      </c>
      <c r="T4" s="790">
        <f t="shared" si="0"/>
        <v>45626</v>
      </c>
      <c r="U4" s="790">
        <f t="shared" si="0"/>
        <v>45657</v>
      </c>
      <c r="V4" s="790">
        <f t="shared" si="0"/>
        <v>45688</v>
      </c>
      <c r="W4" s="790">
        <f t="shared" si="0"/>
        <v>45716</v>
      </c>
      <c r="X4" s="790">
        <f t="shared" si="0"/>
        <v>45747</v>
      </c>
      <c r="Y4" s="790">
        <f t="shared" si="0"/>
        <v>45777</v>
      </c>
      <c r="Z4" s="790">
        <f t="shared" si="0"/>
        <v>45808</v>
      </c>
      <c r="AA4" s="790">
        <f t="shared" si="0"/>
        <v>45838</v>
      </c>
      <c r="AB4" s="790">
        <f t="shared" si="0"/>
        <v>45869</v>
      </c>
      <c r="AC4" s="790">
        <f t="shared" si="0"/>
        <v>45900</v>
      </c>
      <c r="AD4" s="790">
        <f t="shared" si="0"/>
        <v>45930</v>
      </c>
      <c r="AE4" s="790">
        <f t="shared" si="0"/>
        <v>45961</v>
      </c>
      <c r="AF4" s="790">
        <f t="shared" si="0"/>
        <v>45991</v>
      </c>
      <c r="AG4" s="790">
        <f t="shared" si="0"/>
        <v>46022</v>
      </c>
      <c r="AH4" s="790">
        <f t="shared" si="0"/>
        <v>46053</v>
      </c>
      <c r="AI4" s="790">
        <f t="shared" si="0"/>
        <v>46081</v>
      </c>
      <c r="AJ4" s="790">
        <f t="shared" si="0"/>
        <v>46112</v>
      </c>
      <c r="AK4" s="790">
        <f t="shared" si="0"/>
        <v>46142</v>
      </c>
      <c r="AL4" s="790">
        <f t="shared" si="0"/>
        <v>46173</v>
      </c>
      <c r="AM4" s="790">
        <f t="shared" si="0"/>
        <v>46203</v>
      </c>
      <c r="AN4" s="790">
        <f t="shared" si="0"/>
        <v>46234</v>
      </c>
      <c r="AO4" s="790">
        <f t="shared" si="0"/>
        <v>46265</v>
      </c>
      <c r="AP4" s="790">
        <f t="shared" si="0"/>
        <v>46295</v>
      </c>
      <c r="AQ4" s="790">
        <f t="shared" si="0"/>
        <v>46326</v>
      </c>
      <c r="AR4" s="790">
        <f t="shared" si="0"/>
        <v>46356</v>
      </c>
      <c r="AS4" s="790">
        <f t="shared" si="0"/>
        <v>46387</v>
      </c>
      <c r="AT4" s="790">
        <f t="shared" si="0"/>
        <v>46418</v>
      </c>
      <c r="AU4" s="790">
        <f t="shared" si="0"/>
        <v>46446</v>
      </c>
      <c r="AV4" s="790">
        <f t="shared" si="0"/>
        <v>46477</v>
      </c>
      <c r="AW4" s="790">
        <f t="shared" si="0"/>
        <v>46507</v>
      </c>
      <c r="AX4" s="790">
        <f t="shared" si="0"/>
        <v>46538</v>
      </c>
      <c r="AY4" s="790">
        <f t="shared" si="0"/>
        <v>46568</v>
      </c>
      <c r="AZ4" s="790">
        <f t="shared" si="0"/>
        <v>46599</v>
      </c>
      <c r="BA4" s="790">
        <f t="shared" si="0"/>
        <v>46630</v>
      </c>
      <c r="BB4" s="790">
        <f t="shared" si="0"/>
        <v>46660</v>
      </c>
      <c r="BC4" s="790">
        <f t="shared" si="0"/>
        <v>46691</v>
      </c>
      <c r="BD4" s="790">
        <f t="shared" si="0"/>
        <v>46721</v>
      </c>
      <c r="BE4" s="790">
        <f t="shared" si="0"/>
        <v>46752</v>
      </c>
      <c r="BF4" s="790">
        <f t="shared" si="0"/>
        <v>46783</v>
      </c>
      <c r="BG4" s="790">
        <f t="shared" si="0"/>
        <v>46812</v>
      </c>
      <c r="BH4" s="790">
        <f t="shared" si="0"/>
        <v>46843</v>
      </c>
      <c r="BI4" s="790">
        <f t="shared" si="0"/>
        <v>46873</v>
      </c>
      <c r="BJ4" s="790">
        <f t="shared" si="0"/>
        <v>46904</v>
      </c>
      <c r="BK4" s="790">
        <f t="shared" si="0"/>
        <v>46934</v>
      </c>
      <c r="BL4" s="790">
        <f t="shared" si="0"/>
        <v>46965</v>
      </c>
      <c r="BM4" s="790">
        <f t="shared" si="0"/>
        <v>46996</v>
      </c>
      <c r="BN4" s="790">
        <f t="shared" si="0"/>
        <v>47026</v>
      </c>
      <c r="BO4" s="790">
        <f t="shared" si="0"/>
        <v>47057</v>
      </c>
      <c r="BP4" s="790">
        <f t="shared" si="0"/>
        <v>47087</v>
      </c>
      <c r="BQ4" s="790">
        <f t="shared" si="0"/>
        <v>47118</v>
      </c>
      <c r="BR4" s="790">
        <f t="shared" si="0"/>
        <v>47149</v>
      </c>
      <c r="BS4" s="790">
        <f t="shared" ref="BS4:ED4" si="1">EOMONTH(BR4,1)</f>
        <v>47177</v>
      </c>
      <c r="BT4" s="790">
        <f t="shared" si="1"/>
        <v>47208</v>
      </c>
      <c r="BU4" s="790">
        <f t="shared" si="1"/>
        <v>47238</v>
      </c>
      <c r="BV4" s="790">
        <f t="shared" si="1"/>
        <v>47269</v>
      </c>
      <c r="BW4" s="790">
        <f t="shared" si="1"/>
        <v>47299</v>
      </c>
      <c r="BX4" s="790">
        <f t="shared" si="1"/>
        <v>47330</v>
      </c>
      <c r="BY4" s="790">
        <f t="shared" si="1"/>
        <v>47361</v>
      </c>
      <c r="BZ4" s="790">
        <f t="shared" si="1"/>
        <v>47391</v>
      </c>
      <c r="CA4" s="790">
        <f t="shared" si="1"/>
        <v>47422</v>
      </c>
      <c r="CB4" s="790">
        <f t="shared" si="1"/>
        <v>47452</v>
      </c>
      <c r="CC4" s="790">
        <f t="shared" si="1"/>
        <v>47483</v>
      </c>
      <c r="CD4" s="790">
        <f t="shared" si="1"/>
        <v>47514</v>
      </c>
      <c r="CE4" s="790">
        <f t="shared" si="1"/>
        <v>47542</v>
      </c>
      <c r="CF4" s="790">
        <f t="shared" si="1"/>
        <v>47573</v>
      </c>
      <c r="CG4" s="790">
        <f t="shared" si="1"/>
        <v>47603</v>
      </c>
      <c r="CH4" s="790">
        <f t="shared" si="1"/>
        <v>47634</v>
      </c>
      <c r="CI4" s="790">
        <f t="shared" si="1"/>
        <v>47664</v>
      </c>
      <c r="CJ4" s="790">
        <f t="shared" si="1"/>
        <v>47695</v>
      </c>
      <c r="CK4" s="790">
        <f t="shared" si="1"/>
        <v>47726</v>
      </c>
      <c r="CL4" s="790">
        <f t="shared" si="1"/>
        <v>47756</v>
      </c>
      <c r="CM4" s="790">
        <f t="shared" si="1"/>
        <v>47787</v>
      </c>
      <c r="CN4" s="790">
        <f t="shared" si="1"/>
        <v>47817</v>
      </c>
      <c r="CO4" s="790">
        <f t="shared" si="1"/>
        <v>47848</v>
      </c>
      <c r="CP4" s="790">
        <f t="shared" si="1"/>
        <v>47879</v>
      </c>
      <c r="CQ4" s="790">
        <f t="shared" si="1"/>
        <v>47907</v>
      </c>
      <c r="CR4" s="790">
        <f t="shared" si="1"/>
        <v>47938</v>
      </c>
      <c r="CS4" s="790">
        <f t="shared" si="1"/>
        <v>47968</v>
      </c>
      <c r="CT4" s="790">
        <f t="shared" si="1"/>
        <v>47999</v>
      </c>
      <c r="CU4" s="790">
        <f t="shared" si="1"/>
        <v>48029</v>
      </c>
      <c r="CV4" s="790">
        <f t="shared" si="1"/>
        <v>48060</v>
      </c>
      <c r="CW4" s="790">
        <f t="shared" si="1"/>
        <v>48091</v>
      </c>
      <c r="CX4" s="790">
        <f t="shared" si="1"/>
        <v>48121</v>
      </c>
      <c r="CY4" s="790">
        <f t="shared" si="1"/>
        <v>48152</v>
      </c>
      <c r="CZ4" s="790">
        <f t="shared" si="1"/>
        <v>48182</v>
      </c>
      <c r="DA4" s="790">
        <f t="shared" si="1"/>
        <v>48213</v>
      </c>
      <c r="DB4" s="790">
        <f t="shared" si="1"/>
        <v>48244</v>
      </c>
      <c r="DC4" s="790">
        <f t="shared" si="1"/>
        <v>48273</v>
      </c>
      <c r="DD4" s="790">
        <f t="shared" si="1"/>
        <v>48304</v>
      </c>
      <c r="DE4" s="790">
        <f t="shared" si="1"/>
        <v>48334</v>
      </c>
      <c r="DF4" s="790">
        <f t="shared" si="1"/>
        <v>48365</v>
      </c>
      <c r="DG4" s="790">
        <f t="shared" si="1"/>
        <v>48395</v>
      </c>
      <c r="DH4" s="790">
        <f t="shared" si="1"/>
        <v>48426</v>
      </c>
      <c r="DI4" s="790">
        <f t="shared" si="1"/>
        <v>48457</v>
      </c>
      <c r="DJ4" s="790">
        <f t="shared" si="1"/>
        <v>48487</v>
      </c>
      <c r="DK4" s="790">
        <f t="shared" si="1"/>
        <v>48518</v>
      </c>
      <c r="DL4" s="790">
        <f t="shared" si="1"/>
        <v>48548</v>
      </c>
      <c r="DM4" s="790">
        <f t="shared" si="1"/>
        <v>48579</v>
      </c>
      <c r="DN4" s="790">
        <f t="shared" si="1"/>
        <v>48610</v>
      </c>
      <c r="DO4" s="790">
        <f t="shared" si="1"/>
        <v>48638</v>
      </c>
      <c r="DP4" s="790">
        <f t="shared" si="1"/>
        <v>48669</v>
      </c>
      <c r="DQ4" s="790">
        <f t="shared" si="1"/>
        <v>48699</v>
      </c>
      <c r="DR4" s="790">
        <f t="shared" si="1"/>
        <v>48730</v>
      </c>
      <c r="DS4" s="790">
        <f t="shared" si="1"/>
        <v>48760</v>
      </c>
      <c r="DT4" s="790">
        <f t="shared" si="1"/>
        <v>48791</v>
      </c>
      <c r="DU4" s="790">
        <f t="shared" si="1"/>
        <v>48822</v>
      </c>
      <c r="DV4" s="790">
        <f t="shared" si="1"/>
        <v>48852</v>
      </c>
      <c r="DW4" s="790">
        <f t="shared" si="1"/>
        <v>48883</v>
      </c>
      <c r="DX4" s="790">
        <f t="shared" si="1"/>
        <v>48913</v>
      </c>
      <c r="DY4" s="790">
        <f t="shared" si="1"/>
        <v>48944</v>
      </c>
      <c r="DZ4" s="790">
        <f t="shared" si="1"/>
        <v>48975</v>
      </c>
      <c r="EA4" s="790">
        <f t="shared" si="1"/>
        <v>49003</v>
      </c>
      <c r="EB4" s="790">
        <f t="shared" si="1"/>
        <v>49034</v>
      </c>
      <c r="EC4" s="790">
        <f t="shared" si="1"/>
        <v>49064</v>
      </c>
      <c r="ED4" s="790">
        <f t="shared" si="1"/>
        <v>49095</v>
      </c>
      <c r="EE4" s="790">
        <f>EOMONTH(ED4,1)</f>
        <v>49125</v>
      </c>
      <c r="EF4" s="790">
        <f>EOMONTH(EE4,1)</f>
        <v>49156</v>
      </c>
      <c r="EG4" s="790">
        <f>EOMONTH(EF4,1)</f>
        <v>49187</v>
      </c>
      <c r="EH4" s="782"/>
    </row>
    <row r="5" spans="1:138" ht="12.75" customHeight="1" x14ac:dyDescent="0.3">
      <c r="A5" s="782"/>
      <c r="B5" s="782" t="s">
        <v>2</v>
      </c>
      <c r="C5" s="782"/>
      <c r="D5" s="782"/>
      <c r="E5" s="782">
        <f>IF(E4='Venture Assumptions'!$F$6,0,D5+1)</f>
        <v>0</v>
      </c>
      <c r="F5" s="782">
        <f>IF(F4='Venture Assumptions'!$F$6,0,E5+1)</f>
        <v>1</v>
      </c>
      <c r="G5" s="782">
        <f>IF(G4='Venture Assumptions'!$F$6,0,F5+1)</f>
        <v>2</v>
      </c>
      <c r="H5" s="782">
        <f>IF(H4='Venture Assumptions'!$F$6,0,G5+1)</f>
        <v>3</v>
      </c>
      <c r="I5" s="782">
        <f>IF(I4='Venture Assumptions'!$F$6,0,H5+1)</f>
        <v>4</v>
      </c>
      <c r="J5" s="782">
        <f>IF(J4='Venture Assumptions'!$F$6,0,I5+1)</f>
        <v>5</v>
      </c>
      <c r="K5" s="782">
        <f>IF(K4='Venture Assumptions'!$F$6,0,J5+1)</f>
        <v>6</v>
      </c>
      <c r="L5" s="782">
        <f>IF(L4='Venture Assumptions'!$F$6,0,K5+1)</f>
        <v>7</v>
      </c>
      <c r="M5" s="782">
        <f>IF(M4='Venture Assumptions'!$F$6,0,L5+1)</f>
        <v>8</v>
      </c>
      <c r="N5" s="782">
        <f>IF(N4='Venture Assumptions'!$F$6,0,M5+1)</f>
        <v>9</v>
      </c>
      <c r="O5" s="782">
        <f>IF(O4='Venture Assumptions'!$F$6,0,N5+1)</f>
        <v>10</v>
      </c>
      <c r="P5" s="782">
        <f>IF(P4='Venture Assumptions'!$F$6,0,O5+1)</f>
        <v>11</v>
      </c>
      <c r="Q5" s="782">
        <f>IF(Q4='Venture Assumptions'!$F$6,0,P5+1)</f>
        <v>12</v>
      </c>
      <c r="R5" s="782">
        <f>IF(R4='Venture Assumptions'!$F$6,0,Q5+1)</f>
        <v>13</v>
      </c>
      <c r="S5" s="782">
        <f>IF(S4='Venture Assumptions'!$F$6,0,R5+1)</f>
        <v>14</v>
      </c>
      <c r="T5" s="782">
        <f>IF(T4='Venture Assumptions'!$F$6,0,S5+1)</f>
        <v>15</v>
      </c>
      <c r="U5" s="782">
        <f>IF(U4='Venture Assumptions'!$F$6,0,T5+1)</f>
        <v>16</v>
      </c>
      <c r="V5" s="782">
        <f>IF(V4='Venture Assumptions'!$F$6,0,U5+1)</f>
        <v>17</v>
      </c>
      <c r="W5" s="782">
        <f>IF(W4='Venture Assumptions'!$F$6,0,V5+1)</f>
        <v>18</v>
      </c>
      <c r="X5" s="782">
        <f>IF(X4='Venture Assumptions'!$F$6,0,W5+1)</f>
        <v>19</v>
      </c>
      <c r="Y5" s="782">
        <f>IF(Y4='Venture Assumptions'!$F$6,0,X5+1)</f>
        <v>20</v>
      </c>
      <c r="Z5" s="782">
        <f>IF(Z4='Venture Assumptions'!$F$6,0,Y5+1)</f>
        <v>21</v>
      </c>
      <c r="AA5" s="782">
        <f>IF(AA4='Venture Assumptions'!$F$6,0,Z5+1)</f>
        <v>22</v>
      </c>
      <c r="AB5" s="782">
        <f>IF(AB4='Venture Assumptions'!$F$6,0,AA5+1)</f>
        <v>23</v>
      </c>
      <c r="AC5" s="782">
        <f>IF(AC4='Venture Assumptions'!$F$6,0,AB5+1)</f>
        <v>24</v>
      </c>
      <c r="AD5" s="782">
        <f>IF(AD4='Venture Assumptions'!$F$6,0,AC5+1)</f>
        <v>25</v>
      </c>
      <c r="AE5" s="782">
        <f>IF(AE4='Venture Assumptions'!$F$6,0,AD5+1)</f>
        <v>26</v>
      </c>
      <c r="AF5" s="782">
        <f>IF(AF4='Venture Assumptions'!$F$6,0,AE5+1)</f>
        <v>27</v>
      </c>
      <c r="AG5" s="782">
        <f>IF(AG4='Venture Assumptions'!$F$6,0,AF5+1)</f>
        <v>28</v>
      </c>
      <c r="AH5" s="782">
        <f>IF(AH4='Venture Assumptions'!$F$6,0,AG5+1)</f>
        <v>29</v>
      </c>
      <c r="AI5" s="782">
        <f>IF(AI4='Venture Assumptions'!$F$6,0,AH5+1)</f>
        <v>30</v>
      </c>
      <c r="AJ5" s="782">
        <f>IF(AJ4='Venture Assumptions'!$F$6,0,AI5+1)</f>
        <v>31</v>
      </c>
      <c r="AK5" s="782">
        <f>IF(AK4='Venture Assumptions'!$F$6,0,AJ5+1)</f>
        <v>32</v>
      </c>
      <c r="AL5" s="782">
        <f>IF(AL4='Venture Assumptions'!$F$6,0,AK5+1)</f>
        <v>33</v>
      </c>
      <c r="AM5" s="782">
        <f>IF(AM4='Venture Assumptions'!$F$6,0,AL5+1)</f>
        <v>34</v>
      </c>
      <c r="AN5" s="782">
        <f>IF(AN4='Venture Assumptions'!$F$6,0,AM5+1)</f>
        <v>35</v>
      </c>
      <c r="AO5" s="782">
        <f>IF(AO4='Venture Assumptions'!$F$6,0,AN5+1)</f>
        <v>36</v>
      </c>
      <c r="AP5" s="782">
        <f>IF(AP4='Venture Assumptions'!$F$6,0,AO5+1)</f>
        <v>37</v>
      </c>
      <c r="AQ5" s="782">
        <f>IF(AQ4='Venture Assumptions'!$F$6,0,AP5+1)</f>
        <v>38</v>
      </c>
      <c r="AR5" s="782">
        <f>IF(AR4='Venture Assumptions'!$F$6,0,AQ5+1)</f>
        <v>39</v>
      </c>
      <c r="AS5" s="782">
        <f>IF(AS4='Venture Assumptions'!$F$6,0,AR5+1)</f>
        <v>40</v>
      </c>
      <c r="AT5" s="782">
        <f>IF(AT4='Venture Assumptions'!$F$6,0,AS5+1)</f>
        <v>41</v>
      </c>
      <c r="AU5" s="782">
        <f>IF(AU4='Venture Assumptions'!$F$6,0,AT5+1)</f>
        <v>42</v>
      </c>
      <c r="AV5" s="782">
        <f>IF(AV4='Venture Assumptions'!$F$6,0,AU5+1)</f>
        <v>43</v>
      </c>
      <c r="AW5" s="782">
        <f>IF(AW4='Venture Assumptions'!$F$6,0,AV5+1)</f>
        <v>44</v>
      </c>
      <c r="AX5" s="782">
        <f>IF(AX4='Venture Assumptions'!$F$6,0,AW5+1)</f>
        <v>45</v>
      </c>
      <c r="AY5" s="782">
        <f>IF(AY4='Venture Assumptions'!$F$6,0,AX5+1)</f>
        <v>46</v>
      </c>
      <c r="AZ5" s="782">
        <f>IF(AZ4='Venture Assumptions'!$F$6,0,AY5+1)</f>
        <v>47</v>
      </c>
      <c r="BA5" s="782">
        <f>IF(BA4='Venture Assumptions'!$F$6,0,AZ5+1)</f>
        <v>48</v>
      </c>
      <c r="BB5" s="782">
        <f>IF(BB4='Venture Assumptions'!$F$6,0,BA5+1)</f>
        <v>49</v>
      </c>
      <c r="BC5" s="782">
        <f>IF(BC4='Venture Assumptions'!$F$6,0,BB5+1)</f>
        <v>50</v>
      </c>
      <c r="BD5" s="782">
        <f>IF(BD4='Venture Assumptions'!$F$6,0,BC5+1)</f>
        <v>51</v>
      </c>
      <c r="BE5" s="782">
        <f>IF(BE4='Venture Assumptions'!$F$6,0,BD5+1)</f>
        <v>52</v>
      </c>
      <c r="BF5" s="782">
        <f>IF(BF4='Venture Assumptions'!$F$6,0,BE5+1)</f>
        <v>53</v>
      </c>
      <c r="BG5" s="782">
        <f>IF(BG4='Venture Assumptions'!$F$6,0,BF5+1)</f>
        <v>54</v>
      </c>
      <c r="BH5" s="782">
        <f>IF(BH4='Venture Assumptions'!$F$6,0,BG5+1)</f>
        <v>55</v>
      </c>
      <c r="BI5" s="782">
        <f>IF(BI4='Venture Assumptions'!$F$6,0,BH5+1)</f>
        <v>56</v>
      </c>
      <c r="BJ5" s="782">
        <f>IF(BJ4='Venture Assumptions'!$F$6,0,BI5+1)</f>
        <v>57</v>
      </c>
      <c r="BK5" s="782">
        <f>IF(BK4='Venture Assumptions'!$F$6,0,BJ5+1)</f>
        <v>58</v>
      </c>
      <c r="BL5" s="782">
        <f>IF(BL4='Venture Assumptions'!$F$6,0,BK5+1)</f>
        <v>59</v>
      </c>
      <c r="BM5" s="782">
        <f>IF(BM4='Venture Assumptions'!$F$6,0,BL5+1)</f>
        <v>60</v>
      </c>
      <c r="BN5" s="782">
        <f>IF(BN4='Venture Assumptions'!$F$6,0,BM5+1)</f>
        <v>61</v>
      </c>
      <c r="BO5" s="782">
        <f>IF(BO4='Venture Assumptions'!$F$6,0,BN5+1)</f>
        <v>62</v>
      </c>
      <c r="BP5" s="782">
        <f>IF(BP4='Venture Assumptions'!$F$6,0,BO5+1)</f>
        <v>63</v>
      </c>
      <c r="BQ5" s="782">
        <f>IF(BQ4='Venture Assumptions'!$F$6,0,BP5+1)</f>
        <v>64</v>
      </c>
      <c r="BR5" s="782">
        <f>IF(BR4='Venture Assumptions'!$F$6,0,BQ5+1)</f>
        <v>65</v>
      </c>
      <c r="BS5" s="782">
        <f>IF(BS4='Venture Assumptions'!$F$6,0,BR5+1)</f>
        <v>66</v>
      </c>
      <c r="BT5" s="782">
        <f>IF(BT4='Venture Assumptions'!$F$6,0,BS5+1)</f>
        <v>67</v>
      </c>
      <c r="BU5" s="782">
        <f>IF(BU4='Venture Assumptions'!$F$6,0,BT5+1)</f>
        <v>68</v>
      </c>
      <c r="BV5" s="782">
        <f>IF(BV4='Venture Assumptions'!$F$6,0,BU5+1)</f>
        <v>69</v>
      </c>
      <c r="BW5" s="782">
        <f>IF(BW4='Venture Assumptions'!$F$6,0,BV5+1)</f>
        <v>70</v>
      </c>
      <c r="BX5" s="782">
        <f>IF(BX4='Venture Assumptions'!$F$6,0,BW5+1)</f>
        <v>71</v>
      </c>
      <c r="BY5" s="782">
        <f>IF(BY4='Venture Assumptions'!$F$6,0,BX5+1)</f>
        <v>72</v>
      </c>
      <c r="BZ5" s="782">
        <f>IF(BZ4='Venture Assumptions'!$F$6,0,BY5+1)</f>
        <v>73</v>
      </c>
      <c r="CA5" s="782">
        <f>IF(CA4='Venture Assumptions'!$F$6,0,BZ5+1)</f>
        <v>74</v>
      </c>
      <c r="CB5" s="782">
        <f>IF(CB4='Venture Assumptions'!$F$6,0,CA5+1)</f>
        <v>75</v>
      </c>
      <c r="CC5" s="782">
        <f>IF(CC4='Venture Assumptions'!$F$6,0,CB5+1)</f>
        <v>76</v>
      </c>
      <c r="CD5" s="782">
        <f>IF(CD4='Venture Assumptions'!$F$6,0,CC5+1)</f>
        <v>77</v>
      </c>
      <c r="CE5" s="782">
        <f>IF(CE4='Venture Assumptions'!$F$6,0,CD5+1)</f>
        <v>78</v>
      </c>
      <c r="CF5" s="782">
        <f>IF(CF4='Venture Assumptions'!$F$6,0,CE5+1)</f>
        <v>79</v>
      </c>
      <c r="CG5" s="782">
        <f>IF(CG4='Venture Assumptions'!$F$6,0,CF5+1)</f>
        <v>80</v>
      </c>
      <c r="CH5" s="782">
        <f>IF(CH4='Venture Assumptions'!$F$6,0,CG5+1)</f>
        <v>81</v>
      </c>
      <c r="CI5" s="782">
        <f>IF(CI4='Venture Assumptions'!$F$6,0,CH5+1)</f>
        <v>82</v>
      </c>
      <c r="CJ5" s="782">
        <f>IF(CJ4='Venture Assumptions'!$F$6,0,CI5+1)</f>
        <v>83</v>
      </c>
      <c r="CK5" s="782">
        <f>IF(CK4='Venture Assumptions'!$F$6,0,CJ5+1)</f>
        <v>84</v>
      </c>
      <c r="CL5" s="782">
        <f>IF(CL4='Venture Assumptions'!$F$6,0,CK5+1)</f>
        <v>85</v>
      </c>
      <c r="CM5" s="782">
        <f>IF(CM4='Venture Assumptions'!$F$6,0,CL5+1)</f>
        <v>86</v>
      </c>
      <c r="CN5" s="782">
        <f>IF(CN4='Venture Assumptions'!$F$6,0,CM5+1)</f>
        <v>87</v>
      </c>
      <c r="CO5" s="782">
        <f>IF(CO4='Venture Assumptions'!$F$6,0,CN5+1)</f>
        <v>88</v>
      </c>
      <c r="CP5" s="782">
        <f>IF(CP4='Venture Assumptions'!$F$6,0,CO5+1)</f>
        <v>89</v>
      </c>
      <c r="CQ5" s="782">
        <f>IF(CQ4='Venture Assumptions'!$F$6,0,CP5+1)</f>
        <v>90</v>
      </c>
      <c r="CR5" s="782">
        <f>IF(CR4='Venture Assumptions'!$F$6,0,CQ5+1)</f>
        <v>91</v>
      </c>
      <c r="CS5" s="782">
        <f>IF(CS4='Venture Assumptions'!$F$6,0,CR5+1)</f>
        <v>92</v>
      </c>
      <c r="CT5" s="782">
        <f>IF(CT4='Venture Assumptions'!$F$6,0,CS5+1)</f>
        <v>93</v>
      </c>
      <c r="CU5" s="782">
        <f>IF(CU4='Venture Assumptions'!$F$6,0,CT5+1)</f>
        <v>94</v>
      </c>
      <c r="CV5" s="782">
        <f>IF(CV4='Venture Assumptions'!$F$6,0,CU5+1)</f>
        <v>95</v>
      </c>
      <c r="CW5" s="782">
        <f>IF(CW4='Venture Assumptions'!$F$6,0,CV5+1)</f>
        <v>96</v>
      </c>
      <c r="CX5" s="782">
        <f>IF(CX4='Venture Assumptions'!$F$6,0,CW5+1)</f>
        <v>97</v>
      </c>
      <c r="CY5" s="782">
        <f>IF(CY4='Venture Assumptions'!$F$6,0,CX5+1)</f>
        <v>98</v>
      </c>
      <c r="CZ5" s="782">
        <f>IF(CZ4='Venture Assumptions'!$F$6,0,CY5+1)</f>
        <v>99</v>
      </c>
      <c r="DA5" s="782">
        <f>IF(DA4='Venture Assumptions'!$F$6,0,CZ5+1)</f>
        <v>100</v>
      </c>
      <c r="DB5" s="782">
        <f>IF(DB4='Venture Assumptions'!$F$6,0,DA5+1)</f>
        <v>101</v>
      </c>
      <c r="DC5" s="782">
        <f>IF(DC4='Venture Assumptions'!$F$6,0,DB5+1)</f>
        <v>102</v>
      </c>
      <c r="DD5" s="782">
        <f>IF(DD4='Venture Assumptions'!$F$6,0,DC5+1)</f>
        <v>103</v>
      </c>
      <c r="DE5" s="782">
        <f>IF(DE4='Venture Assumptions'!$F$6,0,DD5+1)</f>
        <v>104</v>
      </c>
      <c r="DF5" s="782">
        <f>IF(DF4='Venture Assumptions'!$F$6,0,DE5+1)</f>
        <v>105</v>
      </c>
      <c r="DG5" s="782">
        <f>IF(DG4='Venture Assumptions'!$F$6,0,DF5+1)</f>
        <v>106</v>
      </c>
      <c r="DH5" s="782">
        <f>IF(DH4='Venture Assumptions'!$F$6,0,DG5+1)</f>
        <v>107</v>
      </c>
      <c r="DI5" s="782">
        <f>IF(DI4='Venture Assumptions'!$F$6,0,DH5+1)</f>
        <v>108</v>
      </c>
      <c r="DJ5" s="782">
        <f>IF(DJ4='Venture Assumptions'!$F$6,0,DI5+1)</f>
        <v>109</v>
      </c>
      <c r="DK5" s="782">
        <f>IF(DK4='Venture Assumptions'!$F$6,0,DJ5+1)</f>
        <v>110</v>
      </c>
      <c r="DL5" s="782">
        <f>IF(DL4='Venture Assumptions'!$F$6,0,DK5+1)</f>
        <v>111</v>
      </c>
      <c r="DM5" s="782">
        <f>IF(DM4='Venture Assumptions'!$F$6,0,DL5+1)</f>
        <v>112</v>
      </c>
      <c r="DN5" s="782">
        <f>IF(DN4='Venture Assumptions'!$F$6,0,DM5+1)</f>
        <v>113</v>
      </c>
      <c r="DO5" s="782">
        <f>IF(DO4='Venture Assumptions'!$F$6,0,DN5+1)</f>
        <v>114</v>
      </c>
      <c r="DP5" s="782">
        <f>IF(DP4='Venture Assumptions'!$F$6,0,DO5+1)</f>
        <v>115</v>
      </c>
      <c r="DQ5" s="782">
        <f>IF(DQ4='Venture Assumptions'!$F$6,0,DP5+1)</f>
        <v>116</v>
      </c>
      <c r="DR5" s="782">
        <f>IF(DR4='Venture Assumptions'!$F$6,0,DQ5+1)</f>
        <v>117</v>
      </c>
      <c r="DS5" s="782">
        <f>IF(DS4='Venture Assumptions'!$F$6,0,DR5+1)</f>
        <v>118</v>
      </c>
      <c r="DT5" s="782">
        <f>IF(DT4='Venture Assumptions'!$F$6,0,DS5+1)</f>
        <v>119</v>
      </c>
      <c r="DU5" s="782">
        <f>IF(DU4='Venture Assumptions'!$F$6,0,DT5+1)</f>
        <v>120</v>
      </c>
      <c r="DV5" s="782">
        <f>IF(DV4='Venture Assumptions'!$F$6,0,DU5+1)</f>
        <v>121</v>
      </c>
      <c r="DW5" s="782">
        <f>IF(DW4='Venture Assumptions'!$F$6,0,DV5+1)</f>
        <v>122</v>
      </c>
      <c r="DX5" s="782">
        <f>IF(DX4='Venture Assumptions'!$F$6,0,DW5+1)</f>
        <v>123</v>
      </c>
      <c r="DY5" s="782">
        <f>IF(DY4='Venture Assumptions'!$F$6,0,DX5+1)</f>
        <v>124</v>
      </c>
      <c r="DZ5" s="782">
        <f>IF(DZ4='Venture Assumptions'!$F$6,0,DY5+1)</f>
        <v>125</v>
      </c>
      <c r="EA5" s="782">
        <f>IF(EA4='Venture Assumptions'!$F$6,0,DZ5+1)</f>
        <v>126</v>
      </c>
      <c r="EB5" s="782">
        <f>IF(EB4='Venture Assumptions'!$F$6,0,EA5+1)</f>
        <v>127</v>
      </c>
      <c r="EC5" s="782">
        <f>IF(EC4='Venture Assumptions'!$F$6,0,EB5+1)</f>
        <v>128</v>
      </c>
      <c r="ED5" s="782">
        <f>IF(ED4='Venture Assumptions'!$F$6,0,EC5+1)</f>
        <v>129</v>
      </c>
      <c r="EE5" s="782">
        <f>IF(EE4='Venture Assumptions'!$F$6,0,ED5+1)</f>
        <v>130</v>
      </c>
      <c r="EF5" s="782">
        <f>IF(EF4='Venture Assumptions'!$F$6,0,EE5+1)</f>
        <v>131</v>
      </c>
      <c r="EG5" s="782">
        <f>IF(EG4='Venture Assumptions'!$F$6,0,EF5+1)</f>
        <v>132</v>
      </c>
      <c r="EH5" s="782"/>
    </row>
    <row r="6" spans="1:138" ht="12.75" customHeight="1" x14ac:dyDescent="0.3">
      <c r="A6" s="782"/>
      <c r="B6" s="782" t="s">
        <v>3</v>
      </c>
      <c r="C6" s="782"/>
      <c r="D6" s="782"/>
      <c r="E6" s="782">
        <f>YEAR(E4)</f>
        <v>2023</v>
      </c>
      <c r="F6" s="782">
        <f t="shared" ref="F6:BQ6" si="2">YEAR(F4)</f>
        <v>2023</v>
      </c>
      <c r="G6" s="782">
        <f t="shared" si="2"/>
        <v>2023</v>
      </c>
      <c r="H6" s="782">
        <f t="shared" si="2"/>
        <v>2023</v>
      </c>
      <c r="I6" s="782">
        <f t="shared" si="2"/>
        <v>2023</v>
      </c>
      <c r="J6" s="782">
        <f t="shared" si="2"/>
        <v>2024</v>
      </c>
      <c r="K6" s="782">
        <f t="shared" si="2"/>
        <v>2024</v>
      </c>
      <c r="L6" s="782">
        <f t="shared" si="2"/>
        <v>2024</v>
      </c>
      <c r="M6" s="782">
        <f t="shared" si="2"/>
        <v>2024</v>
      </c>
      <c r="N6" s="782">
        <f t="shared" si="2"/>
        <v>2024</v>
      </c>
      <c r="O6" s="782">
        <f t="shared" si="2"/>
        <v>2024</v>
      </c>
      <c r="P6" s="782">
        <f t="shared" si="2"/>
        <v>2024</v>
      </c>
      <c r="Q6" s="782">
        <f t="shared" si="2"/>
        <v>2024</v>
      </c>
      <c r="R6" s="782">
        <f t="shared" si="2"/>
        <v>2024</v>
      </c>
      <c r="S6" s="782">
        <f t="shared" si="2"/>
        <v>2024</v>
      </c>
      <c r="T6" s="782">
        <f t="shared" si="2"/>
        <v>2024</v>
      </c>
      <c r="U6" s="782">
        <f t="shared" si="2"/>
        <v>2024</v>
      </c>
      <c r="V6" s="782">
        <f t="shared" si="2"/>
        <v>2025</v>
      </c>
      <c r="W6" s="782">
        <f t="shared" si="2"/>
        <v>2025</v>
      </c>
      <c r="X6" s="782">
        <f t="shared" si="2"/>
        <v>2025</v>
      </c>
      <c r="Y6" s="782">
        <f t="shared" si="2"/>
        <v>2025</v>
      </c>
      <c r="Z6" s="782">
        <f t="shared" si="2"/>
        <v>2025</v>
      </c>
      <c r="AA6" s="782">
        <f t="shared" si="2"/>
        <v>2025</v>
      </c>
      <c r="AB6" s="782">
        <f t="shared" si="2"/>
        <v>2025</v>
      </c>
      <c r="AC6" s="782">
        <f t="shared" si="2"/>
        <v>2025</v>
      </c>
      <c r="AD6" s="782">
        <f t="shared" si="2"/>
        <v>2025</v>
      </c>
      <c r="AE6" s="782">
        <f t="shared" si="2"/>
        <v>2025</v>
      </c>
      <c r="AF6" s="782">
        <f t="shared" si="2"/>
        <v>2025</v>
      </c>
      <c r="AG6" s="782">
        <f t="shared" si="2"/>
        <v>2025</v>
      </c>
      <c r="AH6" s="782">
        <f t="shared" si="2"/>
        <v>2026</v>
      </c>
      <c r="AI6" s="782">
        <f t="shared" si="2"/>
        <v>2026</v>
      </c>
      <c r="AJ6" s="782">
        <f t="shared" si="2"/>
        <v>2026</v>
      </c>
      <c r="AK6" s="782">
        <f t="shared" si="2"/>
        <v>2026</v>
      </c>
      <c r="AL6" s="782">
        <f t="shared" si="2"/>
        <v>2026</v>
      </c>
      <c r="AM6" s="782">
        <f t="shared" si="2"/>
        <v>2026</v>
      </c>
      <c r="AN6" s="782">
        <f t="shared" si="2"/>
        <v>2026</v>
      </c>
      <c r="AO6" s="782">
        <f t="shared" si="2"/>
        <v>2026</v>
      </c>
      <c r="AP6" s="782">
        <f t="shared" si="2"/>
        <v>2026</v>
      </c>
      <c r="AQ6" s="782">
        <f t="shared" si="2"/>
        <v>2026</v>
      </c>
      <c r="AR6" s="782">
        <f t="shared" si="2"/>
        <v>2026</v>
      </c>
      <c r="AS6" s="782">
        <f t="shared" si="2"/>
        <v>2026</v>
      </c>
      <c r="AT6" s="782">
        <f t="shared" si="2"/>
        <v>2027</v>
      </c>
      <c r="AU6" s="782">
        <f t="shared" si="2"/>
        <v>2027</v>
      </c>
      <c r="AV6" s="782">
        <f t="shared" si="2"/>
        <v>2027</v>
      </c>
      <c r="AW6" s="782">
        <f t="shared" si="2"/>
        <v>2027</v>
      </c>
      <c r="AX6" s="782">
        <f t="shared" si="2"/>
        <v>2027</v>
      </c>
      <c r="AY6" s="782">
        <f t="shared" si="2"/>
        <v>2027</v>
      </c>
      <c r="AZ6" s="782">
        <f t="shared" si="2"/>
        <v>2027</v>
      </c>
      <c r="BA6" s="782">
        <f t="shared" si="2"/>
        <v>2027</v>
      </c>
      <c r="BB6" s="782">
        <f t="shared" si="2"/>
        <v>2027</v>
      </c>
      <c r="BC6" s="782">
        <f t="shared" si="2"/>
        <v>2027</v>
      </c>
      <c r="BD6" s="782">
        <f t="shared" si="2"/>
        <v>2027</v>
      </c>
      <c r="BE6" s="782">
        <f t="shared" si="2"/>
        <v>2027</v>
      </c>
      <c r="BF6" s="782">
        <f t="shared" si="2"/>
        <v>2028</v>
      </c>
      <c r="BG6" s="782">
        <f t="shared" si="2"/>
        <v>2028</v>
      </c>
      <c r="BH6" s="782">
        <f t="shared" si="2"/>
        <v>2028</v>
      </c>
      <c r="BI6" s="782">
        <f t="shared" si="2"/>
        <v>2028</v>
      </c>
      <c r="BJ6" s="782">
        <f t="shared" si="2"/>
        <v>2028</v>
      </c>
      <c r="BK6" s="782">
        <f t="shared" si="2"/>
        <v>2028</v>
      </c>
      <c r="BL6" s="782">
        <f t="shared" si="2"/>
        <v>2028</v>
      </c>
      <c r="BM6" s="782">
        <f t="shared" si="2"/>
        <v>2028</v>
      </c>
      <c r="BN6" s="782">
        <f t="shared" si="2"/>
        <v>2028</v>
      </c>
      <c r="BO6" s="782">
        <f t="shared" si="2"/>
        <v>2028</v>
      </c>
      <c r="BP6" s="782">
        <f t="shared" si="2"/>
        <v>2028</v>
      </c>
      <c r="BQ6" s="782">
        <f t="shared" si="2"/>
        <v>2028</v>
      </c>
      <c r="BR6" s="782">
        <f t="shared" ref="BR6:EC6" si="3">YEAR(BR4)</f>
        <v>2029</v>
      </c>
      <c r="BS6" s="782">
        <f t="shared" si="3"/>
        <v>2029</v>
      </c>
      <c r="BT6" s="782">
        <f t="shared" si="3"/>
        <v>2029</v>
      </c>
      <c r="BU6" s="782">
        <f t="shared" si="3"/>
        <v>2029</v>
      </c>
      <c r="BV6" s="782">
        <f t="shared" si="3"/>
        <v>2029</v>
      </c>
      <c r="BW6" s="782">
        <f t="shared" si="3"/>
        <v>2029</v>
      </c>
      <c r="BX6" s="782">
        <f t="shared" si="3"/>
        <v>2029</v>
      </c>
      <c r="BY6" s="782">
        <f t="shared" si="3"/>
        <v>2029</v>
      </c>
      <c r="BZ6" s="782">
        <f t="shared" si="3"/>
        <v>2029</v>
      </c>
      <c r="CA6" s="782">
        <f t="shared" si="3"/>
        <v>2029</v>
      </c>
      <c r="CB6" s="782">
        <f t="shared" si="3"/>
        <v>2029</v>
      </c>
      <c r="CC6" s="782">
        <f t="shared" si="3"/>
        <v>2029</v>
      </c>
      <c r="CD6" s="782">
        <f t="shared" si="3"/>
        <v>2030</v>
      </c>
      <c r="CE6" s="782">
        <f t="shared" si="3"/>
        <v>2030</v>
      </c>
      <c r="CF6" s="782">
        <f t="shared" si="3"/>
        <v>2030</v>
      </c>
      <c r="CG6" s="782">
        <f t="shared" si="3"/>
        <v>2030</v>
      </c>
      <c r="CH6" s="782">
        <f t="shared" si="3"/>
        <v>2030</v>
      </c>
      <c r="CI6" s="782">
        <f t="shared" si="3"/>
        <v>2030</v>
      </c>
      <c r="CJ6" s="782">
        <f t="shared" si="3"/>
        <v>2030</v>
      </c>
      <c r="CK6" s="782">
        <f t="shared" si="3"/>
        <v>2030</v>
      </c>
      <c r="CL6" s="782">
        <f t="shared" si="3"/>
        <v>2030</v>
      </c>
      <c r="CM6" s="782">
        <f t="shared" si="3"/>
        <v>2030</v>
      </c>
      <c r="CN6" s="782">
        <f t="shared" si="3"/>
        <v>2030</v>
      </c>
      <c r="CO6" s="782">
        <f t="shared" si="3"/>
        <v>2030</v>
      </c>
      <c r="CP6" s="782">
        <f t="shared" si="3"/>
        <v>2031</v>
      </c>
      <c r="CQ6" s="782">
        <f t="shared" si="3"/>
        <v>2031</v>
      </c>
      <c r="CR6" s="782">
        <f t="shared" si="3"/>
        <v>2031</v>
      </c>
      <c r="CS6" s="782">
        <f t="shared" si="3"/>
        <v>2031</v>
      </c>
      <c r="CT6" s="782">
        <f t="shared" si="3"/>
        <v>2031</v>
      </c>
      <c r="CU6" s="782">
        <f t="shared" si="3"/>
        <v>2031</v>
      </c>
      <c r="CV6" s="782">
        <f t="shared" si="3"/>
        <v>2031</v>
      </c>
      <c r="CW6" s="782">
        <f t="shared" si="3"/>
        <v>2031</v>
      </c>
      <c r="CX6" s="782">
        <f t="shared" si="3"/>
        <v>2031</v>
      </c>
      <c r="CY6" s="782">
        <f t="shared" si="3"/>
        <v>2031</v>
      </c>
      <c r="CZ6" s="782">
        <f t="shared" si="3"/>
        <v>2031</v>
      </c>
      <c r="DA6" s="782">
        <f t="shared" si="3"/>
        <v>2031</v>
      </c>
      <c r="DB6" s="782">
        <f t="shared" si="3"/>
        <v>2032</v>
      </c>
      <c r="DC6" s="782">
        <f t="shared" si="3"/>
        <v>2032</v>
      </c>
      <c r="DD6" s="782">
        <f t="shared" si="3"/>
        <v>2032</v>
      </c>
      <c r="DE6" s="782">
        <f t="shared" si="3"/>
        <v>2032</v>
      </c>
      <c r="DF6" s="782">
        <f t="shared" si="3"/>
        <v>2032</v>
      </c>
      <c r="DG6" s="782">
        <f t="shared" si="3"/>
        <v>2032</v>
      </c>
      <c r="DH6" s="782">
        <f t="shared" si="3"/>
        <v>2032</v>
      </c>
      <c r="DI6" s="782">
        <f t="shared" si="3"/>
        <v>2032</v>
      </c>
      <c r="DJ6" s="782">
        <f t="shared" si="3"/>
        <v>2032</v>
      </c>
      <c r="DK6" s="782">
        <f t="shared" si="3"/>
        <v>2032</v>
      </c>
      <c r="DL6" s="782">
        <f t="shared" si="3"/>
        <v>2032</v>
      </c>
      <c r="DM6" s="782">
        <f t="shared" si="3"/>
        <v>2032</v>
      </c>
      <c r="DN6" s="782">
        <f t="shared" si="3"/>
        <v>2033</v>
      </c>
      <c r="DO6" s="782">
        <f t="shared" si="3"/>
        <v>2033</v>
      </c>
      <c r="DP6" s="782">
        <f t="shared" si="3"/>
        <v>2033</v>
      </c>
      <c r="DQ6" s="782">
        <f t="shared" si="3"/>
        <v>2033</v>
      </c>
      <c r="DR6" s="782">
        <f t="shared" si="3"/>
        <v>2033</v>
      </c>
      <c r="DS6" s="782">
        <f t="shared" si="3"/>
        <v>2033</v>
      </c>
      <c r="DT6" s="782">
        <f t="shared" si="3"/>
        <v>2033</v>
      </c>
      <c r="DU6" s="782">
        <f t="shared" si="3"/>
        <v>2033</v>
      </c>
      <c r="DV6" s="782">
        <f t="shared" si="3"/>
        <v>2033</v>
      </c>
      <c r="DW6" s="782">
        <f t="shared" si="3"/>
        <v>2033</v>
      </c>
      <c r="DX6" s="782">
        <f t="shared" si="3"/>
        <v>2033</v>
      </c>
      <c r="DY6" s="782">
        <f t="shared" si="3"/>
        <v>2033</v>
      </c>
      <c r="DZ6" s="782">
        <f t="shared" si="3"/>
        <v>2034</v>
      </c>
      <c r="EA6" s="782">
        <f t="shared" si="3"/>
        <v>2034</v>
      </c>
      <c r="EB6" s="782">
        <f t="shared" si="3"/>
        <v>2034</v>
      </c>
      <c r="EC6" s="782">
        <f t="shared" si="3"/>
        <v>2034</v>
      </c>
      <c r="ED6" s="782">
        <f>YEAR(ED4)</f>
        <v>2034</v>
      </c>
      <c r="EE6" s="782">
        <f>YEAR(EE4)</f>
        <v>2034</v>
      </c>
      <c r="EF6" s="782">
        <f>YEAR(EF4)</f>
        <v>2034</v>
      </c>
      <c r="EG6" s="782">
        <f>YEAR(EG4)</f>
        <v>2034</v>
      </c>
      <c r="EH6" s="782"/>
    </row>
    <row r="7" spans="1:138" ht="12.75" customHeight="1" x14ac:dyDescent="0.3">
      <c r="A7" s="782"/>
      <c r="B7" s="782" t="s">
        <v>4</v>
      </c>
      <c r="C7" s="782"/>
      <c r="D7" s="782"/>
      <c r="E7" s="782">
        <f>IF(E5=0,0,INT((E5+11)/12))</f>
        <v>0</v>
      </c>
      <c r="F7" s="782">
        <f t="shared" ref="F7:BQ7" si="4">IF(F5=0,0,INT((F5+11)/12))</f>
        <v>1</v>
      </c>
      <c r="G7" s="782">
        <f t="shared" si="4"/>
        <v>1</v>
      </c>
      <c r="H7" s="782">
        <f t="shared" si="4"/>
        <v>1</v>
      </c>
      <c r="I7" s="782">
        <f t="shared" si="4"/>
        <v>1</v>
      </c>
      <c r="J7" s="782">
        <f t="shared" si="4"/>
        <v>1</v>
      </c>
      <c r="K7" s="782">
        <f t="shared" si="4"/>
        <v>1</v>
      </c>
      <c r="L7" s="782">
        <f t="shared" si="4"/>
        <v>1</v>
      </c>
      <c r="M7" s="782">
        <f t="shared" si="4"/>
        <v>1</v>
      </c>
      <c r="N7" s="782">
        <f t="shared" si="4"/>
        <v>1</v>
      </c>
      <c r="O7" s="782">
        <f t="shared" si="4"/>
        <v>1</v>
      </c>
      <c r="P7" s="782">
        <f t="shared" si="4"/>
        <v>1</v>
      </c>
      <c r="Q7" s="782">
        <f t="shared" si="4"/>
        <v>1</v>
      </c>
      <c r="R7" s="782">
        <f t="shared" si="4"/>
        <v>2</v>
      </c>
      <c r="S7" s="782">
        <f t="shared" si="4"/>
        <v>2</v>
      </c>
      <c r="T7" s="782">
        <f t="shared" si="4"/>
        <v>2</v>
      </c>
      <c r="U7" s="782">
        <f t="shared" si="4"/>
        <v>2</v>
      </c>
      <c r="V7" s="782">
        <f t="shared" si="4"/>
        <v>2</v>
      </c>
      <c r="W7" s="782">
        <f t="shared" si="4"/>
        <v>2</v>
      </c>
      <c r="X7" s="782">
        <f t="shared" si="4"/>
        <v>2</v>
      </c>
      <c r="Y7" s="782">
        <f t="shared" si="4"/>
        <v>2</v>
      </c>
      <c r="Z7" s="782">
        <f t="shared" si="4"/>
        <v>2</v>
      </c>
      <c r="AA7" s="782">
        <f t="shared" si="4"/>
        <v>2</v>
      </c>
      <c r="AB7" s="782">
        <f t="shared" si="4"/>
        <v>2</v>
      </c>
      <c r="AC7" s="782">
        <f t="shared" si="4"/>
        <v>2</v>
      </c>
      <c r="AD7" s="782">
        <f t="shared" si="4"/>
        <v>3</v>
      </c>
      <c r="AE7" s="782">
        <f t="shared" si="4"/>
        <v>3</v>
      </c>
      <c r="AF7" s="782">
        <f t="shared" si="4"/>
        <v>3</v>
      </c>
      <c r="AG7" s="782">
        <f t="shared" si="4"/>
        <v>3</v>
      </c>
      <c r="AH7" s="782">
        <f t="shared" si="4"/>
        <v>3</v>
      </c>
      <c r="AI7" s="782">
        <f t="shared" si="4"/>
        <v>3</v>
      </c>
      <c r="AJ7" s="782">
        <f t="shared" si="4"/>
        <v>3</v>
      </c>
      <c r="AK7" s="782">
        <f t="shared" si="4"/>
        <v>3</v>
      </c>
      <c r="AL7" s="782">
        <f t="shared" si="4"/>
        <v>3</v>
      </c>
      <c r="AM7" s="782">
        <f t="shared" si="4"/>
        <v>3</v>
      </c>
      <c r="AN7" s="782">
        <f t="shared" si="4"/>
        <v>3</v>
      </c>
      <c r="AO7" s="782">
        <f t="shared" si="4"/>
        <v>3</v>
      </c>
      <c r="AP7" s="782">
        <f t="shared" si="4"/>
        <v>4</v>
      </c>
      <c r="AQ7" s="782">
        <f t="shared" si="4"/>
        <v>4</v>
      </c>
      <c r="AR7" s="782">
        <f t="shared" si="4"/>
        <v>4</v>
      </c>
      <c r="AS7" s="782">
        <f t="shared" si="4"/>
        <v>4</v>
      </c>
      <c r="AT7" s="782">
        <f t="shared" si="4"/>
        <v>4</v>
      </c>
      <c r="AU7" s="782">
        <f t="shared" si="4"/>
        <v>4</v>
      </c>
      <c r="AV7" s="782">
        <f t="shared" si="4"/>
        <v>4</v>
      </c>
      <c r="AW7" s="782">
        <f t="shared" si="4"/>
        <v>4</v>
      </c>
      <c r="AX7" s="782">
        <f t="shared" si="4"/>
        <v>4</v>
      </c>
      <c r="AY7" s="782">
        <f t="shared" si="4"/>
        <v>4</v>
      </c>
      <c r="AZ7" s="782">
        <f t="shared" si="4"/>
        <v>4</v>
      </c>
      <c r="BA7" s="782">
        <f t="shared" si="4"/>
        <v>4</v>
      </c>
      <c r="BB7" s="782">
        <f t="shared" si="4"/>
        <v>5</v>
      </c>
      <c r="BC7" s="782">
        <f t="shared" si="4"/>
        <v>5</v>
      </c>
      <c r="BD7" s="782">
        <f t="shared" si="4"/>
        <v>5</v>
      </c>
      <c r="BE7" s="782">
        <f t="shared" si="4"/>
        <v>5</v>
      </c>
      <c r="BF7" s="782">
        <f t="shared" si="4"/>
        <v>5</v>
      </c>
      <c r="BG7" s="782">
        <f t="shared" si="4"/>
        <v>5</v>
      </c>
      <c r="BH7" s="782">
        <f t="shared" si="4"/>
        <v>5</v>
      </c>
      <c r="BI7" s="782">
        <f t="shared" si="4"/>
        <v>5</v>
      </c>
      <c r="BJ7" s="782">
        <f t="shared" si="4"/>
        <v>5</v>
      </c>
      <c r="BK7" s="782">
        <f t="shared" si="4"/>
        <v>5</v>
      </c>
      <c r="BL7" s="782">
        <f t="shared" si="4"/>
        <v>5</v>
      </c>
      <c r="BM7" s="782">
        <f t="shared" si="4"/>
        <v>5</v>
      </c>
      <c r="BN7" s="782">
        <f t="shared" si="4"/>
        <v>6</v>
      </c>
      <c r="BO7" s="782">
        <f t="shared" si="4"/>
        <v>6</v>
      </c>
      <c r="BP7" s="782">
        <f t="shared" si="4"/>
        <v>6</v>
      </c>
      <c r="BQ7" s="782">
        <f t="shared" si="4"/>
        <v>6</v>
      </c>
      <c r="BR7" s="782">
        <f t="shared" ref="BR7:EC7" si="5">IF(BR5=0,0,INT((BR5+11)/12))</f>
        <v>6</v>
      </c>
      <c r="BS7" s="782">
        <f t="shared" si="5"/>
        <v>6</v>
      </c>
      <c r="BT7" s="782">
        <f t="shared" si="5"/>
        <v>6</v>
      </c>
      <c r="BU7" s="782">
        <f t="shared" si="5"/>
        <v>6</v>
      </c>
      <c r="BV7" s="782">
        <f t="shared" si="5"/>
        <v>6</v>
      </c>
      <c r="BW7" s="782">
        <f t="shared" si="5"/>
        <v>6</v>
      </c>
      <c r="BX7" s="782">
        <f t="shared" si="5"/>
        <v>6</v>
      </c>
      <c r="BY7" s="782">
        <f t="shared" si="5"/>
        <v>6</v>
      </c>
      <c r="BZ7" s="782">
        <f t="shared" si="5"/>
        <v>7</v>
      </c>
      <c r="CA7" s="782">
        <f t="shared" si="5"/>
        <v>7</v>
      </c>
      <c r="CB7" s="782">
        <f t="shared" si="5"/>
        <v>7</v>
      </c>
      <c r="CC7" s="782">
        <f t="shared" si="5"/>
        <v>7</v>
      </c>
      <c r="CD7" s="782">
        <f t="shared" si="5"/>
        <v>7</v>
      </c>
      <c r="CE7" s="782">
        <f t="shared" si="5"/>
        <v>7</v>
      </c>
      <c r="CF7" s="782">
        <f t="shared" si="5"/>
        <v>7</v>
      </c>
      <c r="CG7" s="782">
        <f t="shared" si="5"/>
        <v>7</v>
      </c>
      <c r="CH7" s="782">
        <f t="shared" si="5"/>
        <v>7</v>
      </c>
      <c r="CI7" s="782">
        <f t="shared" si="5"/>
        <v>7</v>
      </c>
      <c r="CJ7" s="782">
        <f t="shared" si="5"/>
        <v>7</v>
      </c>
      <c r="CK7" s="782">
        <f t="shared" si="5"/>
        <v>7</v>
      </c>
      <c r="CL7" s="782">
        <f t="shared" si="5"/>
        <v>8</v>
      </c>
      <c r="CM7" s="782">
        <f t="shared" si="5"/>
        <v>8</v>
      </c>
      <c r="CN7" s="782">
        <f t="shared" si="5"/>
        <v>8</v>
      </c>
      <c r="CO7" s="782">
        <f t="shared" si="5"/>
        <v>8</v>
      </c>
      <c r="CP7" s="782">
        <f t="shared" si="5"/>
        <v>8</v>
      </c>
      <c r="CQ7" s="782">
        <f t="shared" si="5"/>
        <v>8</v>
      </c>
      <c r="CR7" s="782">
        <f t="shared" si="5"/>
        <v>8</v>
      </c>
      <c r="CS7" s="782">
        <f t="shared" si="5"/>
        <v>8</v>
      </c>
      <c r="CT7" s="782">
        <f t="shared" si="5"/>
        <v>8</v>
      </c>
      <c r="CU7" s="782">
        <f t="shared" si="5"/>
        <v>8</v>
      </c>
      <c r="CV7" s="782">
        <f t="shared" si="5"/>
        <v>8</v>
      </c>
      <c r="CW7" s="782">
        <f t="shared" si="5"/>
        <v>8</v>
      </c>
      <c r="CX7" s="782">
        <f t="shared" si="5"/>
        <v>9</v>
      </c>
      <c r="CY7" s="782">
        <f t="shared" si="5"/>
        <v>9</v>
      </c>
      <c r="CZ7" s="782">
        <f t="shared" si="5"/>
        <v>9</v>
      </c>
      <c r="DA7" s="782">
        <f t="shared" si="5"/>
        <v>9</v>
      </c>
      <c r="DB7" s="782">
        <f t="shared" si="5"/>
        <v>9</v>
      </c>
      <c r="DC7" s="782">
        <f t="shared" si="5"/>
        <v>9</v>
      </c>
      <c r="DD7" s="782">
        <f t="shared" si="5"/>
        <v>9</v>
      </c>
      <c r="DE7" s="782">
        <f t="shared" si="5"/>
        <v>9</v>
      </c>
      <c r="DF7" s="782">
        <f t="shared" si="5"/>
        <v>9</v>
      </c>
      <c r="DG7" s="782">
        <f t="shared" si="5"/>
        <v>9</v>
      </c>
      <c r="DH7" s="782">
        <f t="shared" si="5"/>
        <v>9</v>
      </c>
      <c r="DI7" s="782">
        <f t="shared" si="5"/>
        <v>9</v>
      </c>
      <c r="DJ7" s="782">
        <f t="shared" si="5"/>
        <v>10</v>
      </c>
      <c r="DK7" s="782">
        <f t="shared" si="5"/>
        <v>10</v>
      </c>
      <c r="DL7" s="782">
        <f t="shared" si="5"/>
        <v>10</v>
      </c>
      <c r="DM7" s="782">
        <f t="shared" si="5"/>
        <v>10</v>
      </c>
      <c r="DN7" s="782">
        <f t="shared" si="5"/>
        <v>10</v>
      </c>
      <c r="DO7" s="782">
        <f t="shared" si="5"/>
        <v>10</v>
      </c>
      <c r="DP7" s="782">
        <f t="shared" si="5"/>
        <v>10</v>
      </c>
      <c r="DQ7" s="782">
        <f t="shared" si="5"/>
        <v>10</v>
      </c>
      <c r="DR7" s="782">
        <f t="shared" si="5"/>
        <v>10</v>
      </c>
      <c r="DS7" s="782">
        <f t="shared" si="5"/>
        <v>10</v>
      </c>
      <c r="DT7" s="782">
        <f t="shared" si="5"/>
        <v>10</v>
      </c>
      <c r="DU7" s="782">
        <f t="shared" si="5"/>
        <v>10</v>
      </c>
      <c r="DV7" s="782">
        <f t="shared" si="5"/>
        <v>11</v>
      </c>
      <c r="DW7" s="782">
        <f t="shared" si="5"/>
        <v>11</v>
      </c>
      <c r="DX7" s="782">
        <f t="shared" si="5"/>
        <v>11</v>
      </c>
      <c r="DY7" s="782">
        <f t="shared" si="5"/>
        <v>11</v>
      </c>
      <c r="DZ7" s="782">
        <f t="shared" si="5"/>
        <v>11</v>
      </c>
      <c r="EA7" s="782">
        <f t="shared" si="5"/>
        <v>11</v>
      </c>
      <c r="EB7" s="782">
        <f t="shared" si="5"/>
        <v>11</v>
      </c>
      <c r="EC7" s="782">
        <f t="shared" si="5"/>
        <v>11</v>
      </c>
      <c r="ED7" s="782">
        <f>IF(ED5=0,0,INT((ED5+11)/12))</f>
        <v>11</v>
      </c>
      <c r="EE7" s="782">
        <f>IF(EE5=0,0,INT((EE5+11)/12))</f>
        <v>11</v>
      </c>
      <c r="EF7" s="782">
        <f>IF(EF5=0,0,INT((EF5+11)/12))</f>
        <v>11</v>
      </c>
      <c r="EG7" s="782">
        <f>IF(EG5=0,0,INT((EG5+11)/12))</f>
        <v>11</v>
      </c>
      <c r="EH7" s="782"/>
    </row>
    <row r="8" spans="1:138" ht="12.75" customHeight="1" x14ac:dyDescent="0.3">
      <c r="A8" s="782"/>
      <c r="B8" s="782" t="s">
        <v>216</v>
      </c>
      <c r="C8" s="782"/>
      <c r="D8" s="782"/>
      <c r="E8" s="782">
        <v>0</v>
      </c>
      <c r="F8" s="782">
        <f>IF(MOD(E5,3)=0,E8+1,E8)</f>
        <v>1</v>
      </c>
      <c r="G8" s="782">
        <f t="shared" ref="G8:BR8" si="6">IF(MOD(F5,3)=0,F8+1,F8)</f>
        <v>1</v>
      </c>
      <c r="H8" s="782">
        <f t="shared" si="6"/>
        <v>1</v>
      </c>
      <c r="I8" s="782">
        <f t="shared" si="6"/>
        <v>2</v>
      </c>
      <c r="J8" s="782">
        <f t="shared" si="6"/>
        <v>2</v>
      </c>
      <c r="K8" s="782">
        <f t="shared" si="6"/>
        <v>2</v>
      </c>
      <c r="L8" s="782">
        <f t="shared" si="6"/>
        <v>3</v>
      </c>
      <c r="M8" s="782">
        <f t="shared" si="6"/>
        <v>3</v>
      </c>
      <c r="N8" s="782">
        <f t="shared" si="6"/>
        <v>3</v>
      </c>
      <c r="O8" s="782">
        <f t="shared" si="6"/>
        <v>4</v>
      </c>
      <c r="P8" s="782">
        <f t="shared" si="6"/>
        <v>4</v>
      </c>
      <c r="Q8" s="782">
        <f t="shared" si="6"/>
        <v>4</v>
      </c>
      <c r="R8" s="782">
        <f t="shared" si="6"/>
        <v>5</v>
      </c>
      <c r="S8" s="782">
        <f t="shared" si="6"/>
        <v>5</v>
      </c>
      <c r="T8" s="782">
        <f t="shared" si="6"/>
        <v>5</v>
      </c>
      <c r="U8" s="782">
        <f t="shared" si="6"/>
        <v>6</v>
      </c>
      <c r="V8" s="782">
        <f t="shared" si="6"/>
        <v>6</v>
      </c>
      <c r="W8" s="782">
        <f t="shared" si="6"/>
        <v>6</v>
      </c>
      <c r="X8" s="782">
        <f t="shared" si="6"/>
        <v>7</v>
      </c>
      <c r="Y8" s="782">
        <f t="shared" si="6"/>
        <v>7</v>
      </c>
      <c r="Z8" s="782">
        <f t="shared" si="6"/>
        <v>7</v>
      </c>
      <c r="AA8" s="782">
        <f t="shared" si="6"/>
        <v>8</v>
      </c>
      <c r="AB8" s="782">
        <f t="shared" si="6"/>
        <v>8</v>
      </c>
      <c r="AC8" s="782">
        <f t="shared" si="6"/>
        <v>8</v>
      </c>
      <c r="AD8" s="782">
        <f t="shared" si="6"/>
        <v>9</v>
      </c>
      <c r="AE8" s="782">
        <f t="shared" si="6"/>
        <v>9</v>
      </c>
      <c r="AF8" s="782">
        <f t="shared" si="6"/>
        <v>9</v>
      </c>
      <c r="AG8" s="782">
        <f t="shared" si="6"/>
        <v>10</v>
      </c>
      <c r="AH8" s="782">
        <f t="shared" si="6"/>
        <v>10</v>
      </c>
      <c r="AI8" s="782">
        <f t="shared" si="6"/>
        <v>10</v>
      </c>
      <c r="AJ8" s="782">
        <f t="shared" si="6"/>
        <v>11</v>
      </c>
      <c r="AK8" s="782">
        <f t="shared" si="6"/>
        <v>11</v>
      </c>
      <c r="AL8" s="782">
        <f t="shared" si="6"/>
        <v>11</v>
      </c>
      <c r="AM8" s="782">
        <f t="shared" si="6"/>
        <v>12</v>
      </c>
      <c r="AN8" s="782">
        <f t="shared" si="6"/>
        <v>12</v>
      </c>
      <c r="AO8" s="782">
        <f t="shared" si="6"/>
        <v>12</v>
      </c>
      <c r="AP8" s="782">
        <f t="shared" si="6"/>
        <v>13</v>
      </c>
      <c r="AQ8" s="782">
        <f t="shared" si="6"/>
        <v>13</v>
      </c>
      <c r="AR8" s="782">
        <f t="shared" si="6"/>
        <v>13</v>
      </c>
      <c r="AS8" s="782">
        <f t="shared" si="6"/>
        <v>14</v>
      </c>
      <c r="AT8" s="782">
        <f t="shared" si="6"/>
        <v>14</v>
      </c>
      <c r="AU8" s="782">
        <f t="shared" si="6"/>
        <v>14</v>
      </c>
      <c r="AV8" s="782">
        <f t="shared" si="6"/>
        <v>15</v>
      </c>
      <c r="AW8" s="782">
        <f t="shared" si="6"/>
        <v>15</v>
      </c>
      <c r="AX8" s="782">
        <f t="shared" si="6"/>
        <v>15</v>
      </c>
      <c r="AY8" s="782">
        <f t="shared" si="6"/>
        <v>16</v>
      </c>
      <c r="AZ8" s="782">
        <f t="shared" si="6"/>
        <v>16</v>
      </c>
      <c r="BA8" s="782">
        <f t="shared" si="6"/>
        <v>16</v>
      </c>
      <c r="BB8" s="782">
        <f t="shared" si="6"/>
        <v>17</v>
      </c>
      <c r="BC8" s="782">
        <f t="shared" si="6"/>
        <v>17</v>
      </c>
      <c r="BD8" s="782">
        <f t="shared" si="6"/>
        <v>17</v>
      </c>
      <c r="BE8" s="782">
        <f t="shared" si="6"/>
        <v>18</v>
      </c>
      <c r="BF8" s="782">
        <f t="shared" si="6"/>
        <v>18</v>
      </c>
      <c r="BG8" s="782">
        <f t="shared" si="6"/>
        <v>18</v>
      </c>
      <c r="BH8" s="782">
        <f t="shared" si="6"/>
        <v>19</v>
      </c>
      <c r="BI8" s="782">
        <f t="shared" si="6"/>
        <v>19</v>
      </c>
      <c r="BJ8" s="782">
        <f t="shared" si="6"/>
        <v>19</v>
      </c>
      <c r="BK8" s="782">
        <f t="shared" si="6"/>
        <v>20</v>
      </c>
      <c r="BL8" s="782">
        <f t="shared" si="6"/>
        <v>20</v>
      </c>
      <c r="BM8" s="782">
        <f t="shared" si="6"/>
        <v>20</v>
      </c>
      <c r="BN8" s="782">
        <f t="shared" si="6"/>
        <v>21</v>
      </c>
      <c r="BO8" s="782">
        <f t="shared" si="6"/>
        <v>21</v>
      </c>
      <c r="BP8" s="782">
        <f t="shared" si="6"/>
        <v>21</v>
      </c>
      <c r="BQ8" s="782">
        <f t="shared" si="6"/>
        <v>22</v>
      </c>
      <c r="BR8" s="782">
        <f t="shared" si="6"/>
        <v>22</v>
      </c>
      <c r="BS8" s="782">
        <f t="shared" ref="BS8:ED8" si="7">IF(MOD(BR5,3)=0,BR8+1,BR8)</f>
        <v>22</v>
      </c>
      <c r="BT8" s="782">
        <f t="shared" si="7"/>
        <v>23</v>
      </c>
      <c r="BU8" s="782">
        <f t="shared" si="7"/>
        <v>23</v>
      </c>
      <c r="BV8" s="782">
        <f t="shared" si="7"/>
        <v>23</v>
      </c>
      <c r="BW8" s="782">
        <f t="shared" si="7"/>
        <v>24</v>
      </c>
      <c r="BX8" s="782">
        <f t="shared" si="7"/>
        <v>24</v>
      </c>
      <c r="BY8" s="782">
        <f t="shared" si="7"/>
        <v>24</v>
      </c>
      <c r="BZ8" s="782">
        <f t="shared" si="7"/>
        <v>25</v>
      </c>
      <c r="CA8" s="782">
        <f t="shared" si="7"/>
        <v>25</v>
      </c>
      <c r="CB8" s="782">
        <f t="shared" si="7"/>
        <v>25</v>
      </c>
      <c r="CC8" s="782">
        <f t="shared" si="7"/>
        <v>26</v>
      </c>
      <c r="CD8" s="782">
        <f t="shared" si="7"/>
        <v>26</v>
      </c>
      <c r="CE8" s="782">
        <f t="shared" si="7"/>
        <v>26</v>
      </c>
      <c r="CF8" s="782">
        <f t="shared" si="7"/>
        <v>27</v>
      </c>
      <c r="CG8" s="782">
        <f t="shared" si="7"/>
        <v>27</v>
      </c>
      <c r="CH8" s="782">
        <f t="shared" si="7"/>
        <v>27</v>
      </c>
      <c r="CI8" s="782">
        <f t="shared" si="7"/>
        <v>28</v>
      </c>
      <c r="CJ8" s="782">
        <f t="shared" si="7"/>
        <v>28</v>
      </c>
      <c r="CK8" s="782">
        <f t="shared" si="7"/>
        <v>28</v>
      </c>
      <c r="CL8" s="782">
        <f t="shared" si="7"/>
        <v>29</v>
      </c>
      <c r="CM8" s="782">
        <f t="shared" si="7"/>
        <v>29</v>
      </c>
      <c r="CN8" s="782">
        <f t="shared" si="7"/>
        <v>29</v>
      </c>
      <c r="CO8" s="782">
        <f t="shared" si="7"/>
        <v>30</v>
      </c>
      <c r="CP8" s="782">
        <f t="shared" si="7"/>
        <v>30</v>
      </c>
      <c r="CQ8" s="782">
        <f t="shared" si="7"/>
        <v>30</v>
      </c>
      <c r="CR8" s="782">
        <f t="shared" si="7"/>
        <v>31</v>
      </c>
      <c r="CS8" s="782">
        <f t="shared" si="7"/>
        <v>31</v>
      </c>
      <c r="CT8" s="782">
        <f t="shared" si="7"/>
        <v>31</v>
      </c>
      <c r="CU8" s="782">
        <f t="shared" si="7"/>
        <v>32</v>
      </c>
      <c r="CV8" s="782">
        <f t="shared" si="7"/>
        <v>32</v>
      </c>
      <c r="CW8" s="782">
        <f t="shared" si="7"/>
        <v>32</v>
      </c>
      <c r="CX8" s="782">
        <f t="shared" si="7"/>
        <v>33</v>
      </c>
      <c r="CY8" s="782">
        <f t="shared" si="7"/>
        <v>33</v>
      </c>
      <c r="CZ8" s="782">
        <f t="shared" si="7"/>
        <v>33</v>
      </c>
      <c r="DA8" s="782">
        <f t="shared" si="7"/>
        <v>34</v>
      </c>
      <c r="DB8" s="782">
        <f t="shared" si="7"/>
        <v>34</v>
      </c>
      <c r="DC8" s="782">
        <f t="shared" si="7"/>
        <v>34</v>
      </c>
      <c r="DD8" s="782">
        <f t="shared" si="7"/>
        <v>35</v>
      </c>
      <c r="DE8" s="782">
        <f t="shared" si="7"/>
        <v>35</v>
      </c>
      <c r="DF8" s="782">
        <f t="shared" si="7"/>
        <v>35</v>
      </c>
      <c r="DG8" s="782">
        <f t="shared" si="7"/>
        <v>36</v>
      </c>
      <c r="DH8" s="782">
        <f t="shared" si="7"/>
        <v>36</v>
      </c>
      <c r="DI8" s="782">
        <f t="shared" si="7"/>
        <v>36</v>
      </c>
      <c r="DJ8" s="782">
        <f t="shared" si="7"/>
        <v>37</v>
      </c>
      <c r="DK8" s="782">
        <f t="shared" si="7"/>
        <v>37</v>
      </c>
      <c r="DL8" s="782">
        <f t="shared" si="7"/>
        <v>37</v>
      </c>
      <c r="DM8" s="782">
        <f t="shared" si="7"/>
        <v>38</v>
      </c>
      <c r="DN8" s="782">
        <f t="shared" si="7"/>
        <v>38</v>
      </c>
      <c r="DO8" s="782">
        <f t="shared" si="7"/>
        <v>38</v>
      </c>
      <c r="DP8" s="782">
        <f t="shared" si="7"/>
        <v>39</v>
      </c>
      <c r="DQ8" s="782">
        <f t="shared" si="7"/>
        <v>39</v>
      </c>
      <c r="DR8" s="782">
        <f t="shared" si="7"/>
        <v>39</v>
      </c>
      <c r="DS8" s="782">
        <f t="shared" si="7"/>
        <v>40</v>
      </c>
      <c r="DT8" s="782">
        <f t="shared" si="7"/>
        <v>40</v>
      </c>
      <c r="DU8" s="782">
        <f t="shared" si="7"/>
        <v>40</v>
      </c>
      <c r="DV8" s="782">
        <f t="shared" si="7"/>
        <v>41</v>
      </c>
      <c r="DW8" s="782">
        <f t="shared" si="7"/>
        <v>41</v>
      </c>
      <c r="DX8" s="782">
        <f t="shared" si="7"/>
        <v>41</v>
      </c>
      <c r="DY8" s="782">
        <f t="shared" si="7"/>
        <v>42</v>
      </c>
      <c r="DZ8" s="782">
        <f t="shared" si="7"/>
        <v>42</v>
      </c>
      <c r="EA8" s="782">
        <f t="shared" si="7"/>
        <v>42</v>
      </c>
      <c r="EB8" s="782">
        <f t="shared" si="7"/>
        <v>43</v>
      </c>
      <c r="EC8" s="782">
        <f t="shared" si="7"/>
        <v>43</v>
      </c>
      <c r="ED8" s="782">
        <f t="shared" si="7"/>
        <v>43</v>
      </c>
      <c r="EE8" s="782">
        <f>IF(MOD(ED5,3)=0,ED8+1,ED8)</f>
        <v>44</v>
      </c>
      <c r="EF8" s="782">
        <f>IF(MOD(EE5,3)=0,EE8+1,EE8)</f>
        <v>44</v>
      </c>
      <c r="EG8" s="782">
        <f>IF(MOD(EF5,3)=0,EF8+1,EF8)</f>
        <v>44</v>
      </c>
      <c r="EH8" s="782"/>
    </row>
    <row r="9" spans="1:138" ht="12.75" customHeight="1" x14ac:dyDescent="0.3">
      <c r="A9" s="782"/>
      <c r="B9" s="782" t="s">
        <v>316</v>
      </c>
      <c r="C9" s="782"/>
      <c r="D9" s="782"/>
      <c r="E9" s="782">
        <f>IF(E160='Venture Assumptions'!$F$59,1,0)</f>
        <v>0</v>
      </c>
      <c r="F9" s="782">
        <f>IF(F160='Venture Assumptions'!$F$59,1,0)</f>
        <v>0</v>
      </c>
      <c r="G9" s="782">
        <f>IF(G160='Venture Assumptions'!$F$59,1,0)</f>
        <v>0</v>
      </c>
      <c r="H9" s="782">
        <f>IF(H160='Venture Assumptions'!$F$59,1,0)</f>
        <v>0</v>
      </c>
      <c r="I9" s="782">
        <f>IF(I160='Venture Assumptions'!$F$59,1,0)</f>
        <v>0</v>
      </c>
      <c r="J9" s="782">
        <f>IF(J160='Venture Assumptions'!$F$59,1,0)</f>
        <v>0</v>
      </c>
      <c r="K9" s="782">
        <f>IF(K160='Venture Assumptions'!$F$59,1,0)</f>
        <v>0</v>
      </c>
      <c r="L9" s="782">
        <f>IF(L160='Venture Assumptions'!$F$59,1,0)</f>
        <v>0</v>
      </c>
      <c r="M9" s="782">
        <f>IF(M160='Venture Assumptions'!$F$59,1,0)</f>
        <v>0</v>
      </c>
      <c r="N9" s="782">
        <f>IF(N160='Venture Assumptions'!$F$59,1,0)</f>
        <v>0</v>
      </c>
      <c r="O9" s="782">
        <f>IF(O160='Venture Assumptions'!$F$59,1,0)</f>
        <v>0</v>
      </c>
      <c r="P9" s="782">
        <f>IF(P160='Venture Assumptions'!$F$59,1,0)</f>
        <v>0</v>
      </c>
      <c r="Q9" s="782">
        <f>IF(Q160='Venture Assumptions'!$F$59,1,0)</f>
        <v>0</v>
      </c>
      <c r="R9" s="782">
        <f>IF(R160='Venture Assumptions'!$F$59,1,0)</f>
        <v>0</v>
      </c>
      <c r="S9" s="782">
        <f>IF(S160='Venture Assumptions'!$F$59,1,0)</f>
        <v>0</v>
      </c>
      <c r="T9" s="782">
        <f>IF(T160='Venture Assumptions'!$F$59,1,0)</f>
        <v>0</v>
      </c>
      <c r="U9" s="782">
        <f>IF(U160='Venture Assumptions'!$F$59,1,0)</f>
        <v>0</v>
      </c>
      <c r="V9" s="782">
        <f>IF(V160='Venture Assumptions'!$F$59,1,0)</f>
        <v>0</v>
      </c>
      <c r="W9" s="782">
        <f>IF(W160='Venture Assumptions'!$F$59,1,0)</f>
        <v>0</v>
      </c>
      <c r="X9" s="782">
        <f>IF(X160='Venture Assumptions'!$F$59,1,0)</f>
        <v>0</v>
      </c>
      <c r="Y9" s="782">
        <f>IF(Y160='Venture Assumptions'!$F$59,1,0)</f>
        <v>0</v>
      </c>
      <c r="Z9" s="782">
        <f>IF(Z160='Venture Assumptions'!$F$59,1,0)</f>
        <v>0</v>
      </c>
      <c r="AA9" s="782">
        <f>IF(AA160='Venture Assumptions'!$F$59,1,0)</f>
        <v>0</v>
      </c>
      <c r="AB9" s="782">
        <f>IF(AB160='Venture Assumptions'!$F$59,1,0)</f>
        <v>0</v>
      </c>
      <c r="AC9" s="782">
        <f>IF(AC160='Venture Assumptions'!$F$59,1,0)</f>
        <v>0</v>
      </c>
      <c r="AD9" s="782">
        <f>IF(AD160='Venture Assumptions'!$F$59,1,0)</f>
        <v>0</v>
      </c>
      <c r="AE9" s="782">
        <f>IF(AE160='Venture Assumptions'!$F$59,1,0)</f>
        <v>0</v>
      </c>
      <c r="AF9" s="782">
        <f>IF(AF160='Venture Assumptions'!$F$59,1,0)</f>
        <v>0</v>
      </c>
      <c r="AG9" s="782">
        <f>IF(AG160='Venture Assumptions'!$F$59,1,0)</f>
        <v>0</v>
      </c>
      <c r="AH9" s="782">
        <f>IF(AH160='Venture Assumptions'!$F$59,1,0)</f>
        <v>0</v>
      </c>
      <c r="AI9" s="782">
        <f>IF(AI160='Venture Assumptions'!$F$59,1,0)</f>
        <v>0</v>
      </c>
      <c r="AJ9" s="782">
        <f>IF(AJ160='Venture Assumptions'!$F$59,1,0)</f>
        <v>0</v>
      </c>
      <c r="AK9" s="782">
        <f>IF(AK160='Venture Assumptions'!$F$59,1,0)</f>
        <v>1</v>
      </c>
      <c r="AL9" s="782">
        <f>IF(AL160='Venture Assumptions'!$F$59,1,0)</f>
        <v>0</v>
      </c>
      <c r="AM9" s="782">
        <f>IF(AM160='Venture Assumptions'!$F$59,1,0)</f>
        <v>0</v>
      </c>
      <c r="AN9" s="782">
        <f>IF(AN160='Venture Assumptions'!$F$59,1,0)</f>
        <v>0</v>
      </c>
      <c r="AO9" s="782">
        <f>IF(AO160='Venture Assumptions'!$F$59,1,0)</f>
        <v>0</v>
      </c>
      <c r="AP9" s="782">
        <f>IF(AP160='Venture Assumptions'!$F$59,1,0)</f>
        <v>0</v>
      </c>
      <c r="AQ9" s="782">
        <f>IF(AQ160='Venture Assumptions'!$F$59,1,0)</f>
        <v>0</v>
      </c>
      <c r="AR9" s="782">
        <f>IF(AR160='Venture Assumptions'!$F$59,1,0)</f>
        <v>0</v>
      </c>
      <c r="AS9" s="782">
        <f>IF(AS160='Venture Assumptions'!$F$59,1,0)</f>
        <v>0</v>
      </c>
      <c r="AT9" s="782">
        <f>IF(AT160='Venture Assumptions'!$F$59,1,0)</f>
        <v>0</v>
      </c>
      <c r="AU9" s="782">
        <f>IF(AU160='Venture Assumptions'!$F$59,1,0)</f>
        <v>0</v>
      </c>
      <c r="AV9" s="782">
        <f>IF(AV160='Venture Assumptions'!$F$59,1,0)</f>
        <v>0</v>
      </c>
      <c r="AW9" s="782">
        <f>IF(AW160='Venture Assumptions'!$F$59,1,0)</f>
        <v>0</v>
      </c>
      <c r="AX9" s="782">
        <f>IF(AX160='Venture Assumptions'!$F$59,1,0)</f>
        <v>0</v>
      </c>
      <c r="AY9" s="782">
        <f>IF(AY160='Venture Assumptions'!$F$59,1,0)</f>
        <v>0</v>
      </c>
      <c r="AZ9" s="782">
        <f>IF(AZ160='Venture Assumptions'!$F$59,1,0)</f>
        <v>0</v>
      </c>
      <c r="BA9" s="782">
        <f>IF(BA160='Venture Assumptions'!$F$59,1,0)</f>
        <v>0</v>
      </c>
      <c r="BB9" s="782">
        <f>IF(BB160='Venture Assumptions'!$F$59,1,0)</f>
        <v>0</v>
      </c>
      <c r="BC9" s="782">
        <f>IF(BC160='Venture Assumptions'!$F$59,1,0)</f>
        <v>0</v>
      </c>
      <c r="BD9" s="782">
        <f>IF(BD160='Venture Assumptions'!$F$59,1,0)</f>
        <v>0</v>
      </c>
      <c r="BE9" s="782">
        <f>IF(BE160='Venture Assumptions'!$F$59,1,0)</f>
        <v>0</v>
      </c>
      <c r="BF9" s="782">
        <f>IF(BF160='Venture Assumptions'!$F$59,1,0)</f>
        <v>0</v>
      </c>
      <c r="BG9" s="782">
        <f>IF(BG160='Venture Assumptions'!$F$59,1,0)</f>
        <v>0</v>
      </c>
      <c r="BH9" s="782">
        <f>IF(BH160='Venture Assumptions'!$F$59,1,0)</f>
        <v>0</v>
      </c>
      <c r="BI9" s="782">
        <f>IF(BI160='Venture Assumptions'!$F$59,1,0)</f>
        <v>0</v>
      </c>
      <c r="BJ9" s="782">
        <f>IF(BJ160='Venture Assumptions'!$F$59,1,0)</f>
        <v>0</v>
      </c>
      <c r="BK9" s="782">
        <f>IF(BK160='Venture Assumptions'!$F$59,1,0)</f>
        <v>0</v>
      </c>
      <c r="BL9" s="782">
        <f>IF(BL160='Venture Assumptions'!$F$59,1,0)</f>
        <v>0</v>
      </c>
      <c r="BM9" s="782">
        <f>IF(BM160='Venture Assumptions'!$F$59,1,0)</f>
        <v>0</v>
      </c>
      <c r="BN9" s="782">
        <f>IF(BN160='Venture Assumptions'!$F$59,1,0)</f>
        <v>0</v>
      </c>
      <c r="BO9" s="782">
        <f>IF(BO160='Venture Assumptions'!$F$59,1,0)</f>
        <v>0</v>
      </c>
      <c r="BP9" s="782">
        <f>IF(BP160='Venture Assumptions'!$F$59,1,0)</f>
        <v>0</v>
      </c>
      <c r="BQ9" s="782">
        <f>IF(BQ160='Venture Assumptions'!$F$59,1,0)</f>
        <v>0</v>
      </c>
      <c r="BR9" s="782">
        <f>IF(BR160='Venture Assumptions'!$F$59,1,0)</f>
        <v>0</v>
      </c>
      <c r="BS9" s="782">
        <f>IF(BS160='Venture Assumptions'!$F$59,1,0)</f>
        <v>0</v>
      </c>
      <c r="BT9" s="782">
        <f>IF(BT160='Venture Assumptions'!$F$59,1,0)</f>
        <v>0</v>
      </c>
      <c r="BU9" s="782">
        <f>IF(BU160='Venture Assumptions'!$F$59,1,0)</f>
        <v>0</v>
      </c>
      <c r="BV9" s="782">
        <f>IF(BV160='Venture Assumptions'!$F$59,1,0)</f>
        <v>0</v>
      </c>
      <c r="BW9" s="782">
        <f>IF(BW160='Venture Assumptions'!$F$59,1,0)</f>
        <v>0</v>
      </c>
      <c r="BX9" s="782">
        <f>IF(BX160='Venture Assumptions'!$F$59,1,0)</f>
        <v>0</v>
      </c>
      <c r="BY9" s="782">
        <f>IF(BY160='Venture Assumptions'!$F$59,1,0)</f>
        <v>0</v>
      </c>
      <c r="BZ9" s="782">
        <f>IF(BZ160='Venture Assumptions'!$F$59,1,0)</f>
        <v>0</v>
      </c>
      <c r="CA9" s="782">
        <f>IF(CA160='Venture Assumptions'!$F$59,1,0)</f>
        <v>0</v>
      </c>
      <c r="CB9" s="782">
        <f>IF(CB160='Venture Assumptions'!$F$59,1,0)</f>
        <v>0</v>
      </c>
      <c r="CC9" s="782">
        <f>IF(CC160='Venture Assumptions'!$F$59,1,0)</f>
        <v>0</v>
      </c>
      <c r="CD9" s="782">
        <f>IF(CD160='Venture Assumptions'!$F$59,1,0)</f>
        <v>0</v>
      </c>
      <c r="CE9" s="782">
        <f>IF(CE160='Venture Assumptions'!$F$59,1,0)</f>
        <v>0</v>
      </c>
      <c r="CF9" s="782">
        <f>IF(CF160='Venture Assumptions'!$F$59,1,0)</f>
        <v>0</v>
      </c>
      <c r="CG9" s="782">
        <f>IF(CG160='Venture Assumptions'!$F$59,1,0)</f>
        <v>0</v>
      </c>
      <c r="CH9" s="782">
        <f>IF(CH160='Venture Assumptions'!$F$59,1,0)</f>
        <v>0</v>
      </c>
      <c r="CI9" s="782">
        <f>IF(CI160='Venture Assumptions'!$F$59,1,0)</f>
        <v>0</v>
      </c>
      <c r="CJ9" s="782">
        <f>IF(CJ160='Venture Assumptions'!$F$59,1,0)</f>
        <v>0</v>
      </c>
      <c r="CK9" s="782">
        <f>IF(CK160='Venture Assumptions'!$F$59,1,0)</f>
        <v>0</v>
      </c>
      <c r="CL9" s="782">
        <f>IF(CL160='Venture Assumptions'!$F$59,1,0)</f>
        <v>0</v>
      </c>
      <c r="CM9" s="782">
        <f>IF(CM160='Venture Assumptions'!$F$59,1,0)</f>
        <v>0</v>
      </c>
      <c r="CN9" s="782">
        <f>IF(CN160='Venture Assumptions'!$F$59,1,0)</f>
        <v>0</v>
      </c>
      <c r="CO9" s="782">
        <f>IF(CO160='Venture Assumptions'!$F$59,1,0)</f>
        <v>0</v>
      </c>
      <c r="CP9" s="782">
        <f>IF(CP160='Venture Assumptions'!$F$59,1,0)</f>
        <v>0</v>
      </c>
      <c r="CQ9" s="782">
        <f>IF(CQ160='Venture Assumptions'!$F$59,1,0)</f>
        <v>0</v>
      </c>
      <c r="CR9" s="782">
        <f>IF(CR160='Venture Assumptions'!$F$59,1,0)</f>
        <v>0</v>
      </c>
      <c r="CS9" s="782">
        <f>IF(CS160='Venture Assumptions'!$F$59,1,0)</f>
        <v>0</v>
      </c>
      <c r="CT9" s="782">
        <f>IF(CT160='Venture Assumptions'!$F$59,1,0)</f>
        <v>0</v>
      </c>
      <c r="CU9" s="782">
        <f>IF(CU160='Venture Assumptions'!$F$59,1,0)</f>
        <v>0</v>
      </c>
      <c r="CV9" s="782">
        <f>IF(CV160='Venture Assumptions'!$F$59,1,0)</f>
        <v>0</v>
      </c>
      <c r="CW9" s="782">
        <f>IF(CW160='Venture Assumptions'!$F$59,1,0)</f>
        <v>0</v>
      </c>
      <c r="CX9" s="782">
        <f>IF(CX160='Venture Assumptions'!$F$59,1,0)</f>
        <v>0</v>
      </c>
      <c r="CY9" s="782">
        <f>IF(CY160='Venture Assumptions'!$F$59,1,0)</f>
        <v>0</v>
      </c>
      <c r="CZ9" s="782">
        <f>IF(CZ160='Venture Assumptions'!$F$59,1,0)</f>
        <v>0</v>
      </c>
      <c r="DA9" s="782">
        <f>IF(DA160='Venture Assumptions'!$F$59,1,0)</f>
        <v>0</v>
      </c>
      <c r="DB9" s="782">
        <f>IF(DB160='Venture Assumptions'!$F$59,1,0)</f>
        <v>0</v>
      </c>
      <c r="DC9" s="782">
        <f>IF(DC160='Venture Assumptions'!$F$59,1,0)</f>
        <v>0</v>
      </c>
      <c r="DD9" s="782">
        <f>IF(DD160='Venture Assumptions'!$F$59,1,0)</f>
        <v>0</v>
      </c>
      <c r="DE9" s="782">
        <f>IF(DE160='Venture Assumptions'!$F$59,1,0)</f>
        <v>0</v>
      </c>
      <c r="DF9" s="782">
        <f>IF(DF160='Venture Assumptions'!$F$59,1,0)</f>
        <v>0</v>
      </c>
      <c r="DG9" s="782">
        <f>IF(DG160='Venture Assumptions'!$F$59,1,0)</f>
        <v>0</v>
      </c>
      <c r="DH9" s="782">
        <f>IF(DH160='Venture Assumptions'!$F$59,1,0)</f>
        <v>0</v>
      </c>
      <c r="DI9" s="782">
        <f>IF(DI160='Venture Assumptions'!$F$59,1,0)</f>
        <v>0</v>
      </c>
      <c r="DJ9" s="782">
        <f>IF(DJ160='Venture Assumptions'!$F$59,1,0)</f>
        <v>0</v>
      </c>
      <c r="DK9" s="782">
        <f>IF(DK160='Venture Assumptions'!$F$59,1,0)</f>
        <v>0</v>
      </c>
      <c r="DL9" s="782">
        <f>IF(DL160='Venture Assumptions'!$F$59,1,0)</f>
        <v>0</v>
      </c>
      <c r="DM9" s="782">
        <f>IF(DM160='Venture Assumptions'!$F$59,1,0)</f>
        <v>0</v>
      </c>
      <c r="DN9" s="782">
        <f>IF(DN160='Venture Assumptions'!$F$59,1,0)</f>
        <v>0</v>
      </c>
      <c r="DO9" s="782">
        <f>IF(DO160='Venture Assumptions'!$F$59,1,0)</f>
        <v>0</v>
      </c>
      <c r="DP9" s="782">
        <f>IF(DP160='Venture Assumptions'!$F$59,1,0)</f>
        <v>0</v>
      </c>
      <c r="DQ9" s="782">
        <f>IF(DQ160='Venture Assumptions'!$F$59,1,0)</f>
        <v>0</v>
      </c>
      <c r="DR9" s="782">
        <f>IF(DR160='Venture Assumptions'!$F$59,1,0)</f>
        <v>0</v>
      </c>
      <c r="DS9" s="782">
        <f>IF(DS160='Venture Assumptions'!$F$59,1,0)</f>
        <v>0</v>
      </c>
      <c r="DT9" s="782">
        <f>IF(DT160='Venture Assumptions'!$F$59,1,0)</f>
        <v>0</v>
      </c>
      <c r="DU9" s="782">
        <f>IF(DU160='Venture Assumptions'!$F$59,1,0)</f>
        <v>0</v>
      </c>
      <c r="DV9" s="782">
        <f>IF(DV160='Venture Assumptions'!$F$59,1,0)</f>
        <v>0</v>
      </c>
      <c r="DW9" s="782">
        <f>IF(DW160='Venture Assumptions'!$F$59,1,0)</f>
        <v>0</v>
      </c>
      <c r="DX9" s="782">
        <f>IF(DX160='Venture Assumptions'!$F$59,1,0)</f>
        <v>0</v>
      </c>
      <c r="DY9" s="782">
        <f>IF(DY160='Venture Assumptions'!$F$59,1,0)</f>
        <v>0</v>
      </c>
      <c r="DZ9" s="782">
        <f>IF(DZ160='Venture Assumptions'!$F$59,1,0)</f>
        <v>0</v>
      </c>
      <c r="EA9" s="782">
        <f>IF(EA160='Venture Assumptions'!$F$59,1,0)</f>
        <v>0</v>
      </c>
      <c r="EB9" s="782">
        <f>IF(EB160='Venture Assumptions'!$F$59,1,0)</f>
        <v>0</v>
      </c>
      <c r="EC9" s="782">
        <f>IF(EC160='Venture Assumptions'!$F$59,1,0)</f>
        <v>0</v>
      </c>
      <c r="ED9" s="782">
        <f>IF(ED160='Venture Assumptions'!$F$59,1,0)</f>
        <v>0</v>
      </c>
      <c r="EE9" s="782">
        <f>IF(EE160='Venture Assumptions'!$F$59,1,0)</f>
        <v>0</v>
      </c>
      <c r="EF9" s="782">
        <f>IF(EF160='Venture Assumptions'!$F$59,1,0)</f>
        <v>0</v>
      </c>
      <c r="EG9" s="782">
        <f>IF(EG160='Venture Assumptions'!$F$59,1,0)</f>
        <v>0</v>
      </c>
      <c r="EH9" s="782"/>
    </row>
    <row r="10" spans="1:138" ht="12.75" customHeight="1" x14ac:dyDescent="0.3">
      <c r="A10" s="782"/>
      <c r="B10" s="791" t="s">
        <v>317</v>
      </c>
      <c r="C10" s="782"/>
      <c r="D10" s="782"/>
      <c r="E10" s="782">
        <f>IF(SUM($D$9:D9)=0,1,0)</f>
        <v>1</v>
      </c>
      <c r="F10" s="782">
        <f>IF(SUM($D$9:E9)=0,1,0)</f>
        <v>1</v>
      </c>
      <c r="G10" s="782">
        <f>IF(SUM($D$9:F9)=0,1,0)</f>
        <v>1</v>
      </c>
      <c r="H10" s="782">
        <f>IF(SUM($D$9:G9)=0,1,0)</f>
        <v>1</v>
      </c>
      <c r="I10" s="782">
        <f>IF(SUM($D$9:H9)=0,1,0)</f>
        <v>1</v>
      </c>
      <c r="J10" s="782">
        <f>IF(SUM($D$9:I9)=0,1,0)</f>
        <v>1</v>
      </c>
      <c r="K10" s="782">
        <f>IF(SUM($D$9:J9)=0,1,0)</f>
        <v>1</v>
      </c>
      <c r="L10" s="782">
        <f>IF(SUM($D$9:K9)=0,1,0)</f>
        <v>1</v>
      </c>
      <c r="M10" s="782">
        <f>IF(SUM($D$9:L9)=0,1,0)</f>
        <v>1</v>
      </c>
      <c r="N10" s="782">
        <f>IF(SUM($D$9:M9)=0,1,0)</f>
        <v>1</v>
      </c>
      <c r="O10" s="782">
        <f>IF(SUM($D$9:N9)=0,1,0)</f>
        <v>1</v>
      </c>
      <c r="P10" s="782">
        <f>IF(SUM($D$9:O9)=0,1,0)</f>
        <v>1</v>
      </c>
      <c r="Q10" s="782">
        <f>IF(SUM($D$9:P9)=0,1,0)</f>
        <v>1</v>
      </c>
      <c r="R10" s="782">
        <f>IF(SUM($D$9:Q9)=0,1,0)</f>
        <v>1</v>
      </c>
      <c r="S10" s="782">
        <f>IF(SUM($D$9:R9)=0,1,0)</f>
        <v>1</v>
      </c>
      <c r="T10" s="782">
        <f>IF(SUM($D$9:S9)=0,1,0)</f>
        <v>1</v>
      </c>
      <c r="U10" s="782">
        <f>IF(SUM($D$9:T9)=0,1,0)</f>
        <v>1</v>
      </c>
      <c r="V10" s="782">
        <f>IF(SUM($D$9:U9)=0,1,0)</f>
        <v>1</v>
      </c>
      <c r="W10" s="782">
        <f>IF(SUM($D$9:V9)=0,1,0)</f>
        <v>1</v>
      </c>
      <c r="X10" s="782">
        <f>IF(SUM($D$9:W9)=0,1,0)</f>
        <v>1</v>
      </c>
      <c r="Y10" s="782">
        <f>IF(SUM($D$9:X9)=0,1,0)</f>
        <v>1</v>
      </c>
      <c r="Z10" s="782">
        <f>IF(SUM($D$9:Y9)=0,1,0)</f>
        <v>1</v>
      </c>
      <c r="AA10" s="782">
        <f>IF(SUM($D$9:Z9)=0,1,0)</f>
        <v>1</v>
      </c>
      <c r="AB10" s="782">
        <f>IF(SUM($D$9:AA9)=0,1,0)</f>
        <v>1</v>
      </c>
      <c r="AC10" s="782">
        <f>IF(SUM($D$9:AB9)=0,1,0)</f>
        <v>1</v>
      </c>
      <c r="AD10" s="782">
        <f>IF(SUM($D$9:AC9)=0,1,0)</f>
        <v>1</v>
      </c>
      <c r="AE10" s="782">
        <f>IF(SUM($D$9:AD9)=0,1,0)</f>
        <v>1</v>
      </c>
      <c r="AF10" s="782">
        <f>IF(SUM($D$9:AE9)=0,1,0)</f>
        <v>1</v>
      </c>
      <c r="AG10" s="782">
        <f>IF(SUM($D$9:AF9)=0,1,0)</f>
        <v>1</v>
      </c>
      <c r="AH10" s="782">
        <f>IF(SUM($D$9:AG9)=0,1,0)</f>
        <v>1</v>
      </c>
      <c r="AI10" s="782">
        <f>IF(SUM($D$9:AH9)=0,1,0)</f>
        <v>1</v>
      </c>
      <c r="AJ10" s="782">
        <f>IF(SUM($D$9:AI9)=0,1,0)</f>
        <v>1</v>
      </c>
      <c r="AK10" s="782">
        <f>IF(SUM($D$9:AJ9)=0,1,0)</f>
        <v>1</v>
      </c>
      <c r="AL10" s="782">
        <f>IF(SUM($D$9:AK9)=0,1,0)</f>
        <v>0</v>
      </c>
      <c r="AM10" s="782">
        <f>IF(SUM($D$9:AL9)=0,1,0)</f>
        <v>0</v>
      </c>
      <c r="AN10" s="782">
        <f>IF(SUM($D$9:AM9)=0,1,0)</f>
        <v>0</v>
      </c>
      <c r="AO10" s="782">
        <f>IF(SUM($D$9:AN9)=0,1,0)</f>
        <v>0</v>
      </c>
      <c r="AP10" s="782">
        <f>IF(SUM($D$9:AO9)=0,1,0)</f>
        <v>0</v>
      </c>
      <c r="AQ10" s="782">
        <f>IF(SUM($D$9:AP9)=0,1,0)</f>
        <v>0</v>
      </c>
      <c r="AR10" s="782">
        <f>IF(SUM($D$9:AQ9)=0,1,0)</f>
        <v>0</v>
      </c>
      <c r="AS10" s="782">
        <f>IF(SUM($D$9:AR9)=0,1,0)</f>
        <v>0</v>
      </c>
      <c r="AT10" s="782">
        <f>IF(SUM($D$9:AS9)=0,1,0)</f>
        <v>0</v>
      </c>
      <c r="AU10" s="782">
        <f>IF(SUM($D$9:AT9)=0,1,0)</f>
        <v>0</v>
      </c>
      <c r="AV10" s="782">
        <f>IF(SUM($D$9:AU9)=0,1,0)</f>
        <v>0</v>
      </c>
      <c r="AW10" s="782">
        <f>IF(SUM($D$9:AV9)=0,1,0)</f>
        <v>0</v>
      </c>
      <c r="AX10" s="782">
        <f>IF(SUM($D$9:AW9)=0,1,0)</f>
        <v>0</v>
      </c>
      <c r="AY10" s="782">
        <f>IF(SUM($D$9:AX9)=0,1,0)</f>
        <v>0</v>
      </c>
      <c r="AZ10" s="782">
        <f>IF(SUM($D$9:AY9)=0,1,0)</f>
        <v>0</v>
      </c>
      <c r="BA10" s="782">
        <f>IF(SUM($D$9:AZ9)=0,1,0)</f>
        <v>0</v>
      </c>
      <c r="BB10" s="782">
        <f>IF(SUM($D$9:BA9)=0,1,0)</f>
        <v>0</v>
      </c>
      <c r="BC10" s="782">
        <f>IF(SUM($D$9:BB9)=0,1,0)</f>
        <v>0</v>
      </c>
      <c r="BD10" s="782">
        <f>IF(SUM($D$9:BC9)=0,1,0)</f>
        <v>0</v>
      </c>
      <c r="BE10" s="782">
        <f>IF(SUM($D$9:BD9)=0,1,0)</f>
        <v>0</v>
      </c>
      <c r="BF10" s="782">
        <f>IF(SUM($D$9:BE9)=0,1,0)</f>
        <v>0</v>
      </c>
      <c r="BG10" s="782">
        <f>IF(SUM($D$9:BF9)=0,1,0)</f>
        <v>0</v>
      </c>
      <c r="BH10" s="782">
        <f>IF(SUM($D$9:BG9)=0,1,0)</f>
        <v>0</v>
      </c>
      <c r="BI10" s="782">
        <f>IF(SUM($D$9:BH9)=0,1,0)</f>
        <v>0</v>
      </c>
      <c r="BJ10" s="782">
        <f>IF(SUM($D$9:BI9)=0,1,0)</f>
        <v>0</v>
      </c>
      <c r="BK10" s="782">
        <f>IF(SUM($D$9:BJ9)=0,1,0)</f>
        <v>0</v>
      </c>
      <c r="BL10" s="782">
        <f>IF(SUM($D$9:BK9)=0,1,0)</f>
        <v>0</v>
      </c>
      <c r="BM10" s="782">
        <f>IF(SUM($D$9:BL9)=0,1,0)</f>
        <v>0</v>
      </c>
      <c r="BN10" s="782">
        <f>IF(SUM($D$9:BM9)=0,1,0)</f>
        <v>0</v>
      </c>
      <c r="BO10" s="782">
        <f>IF(SUM($D$9:BN9)=0,1,0)</f>
        <v>0</v>
      </c>
      <c r="BP10" s="782">
        <f>IF(SUM($D$9:BO9)=0,1,0)</f>
        <v>0</v>
      </c>
      <c r="BQ10" s="782">
        <f>IF(SUM($D$9:BP9)=0,1,0)</f>
        <v>0</v>
      </c>
      <c r="BR10" s="782">
        <f>IF(SUM($D$9:BQ9)=0,1,0)</f>
        <v>0</v>
      </c>
      <c r="BS10" s="782">
        <f>IF(SUM($D$9:BR9)=0,1,0)</f>
        <v>0</v>
      </c>
      <c r="BT10" s="782">
        <f>IF(SUM($D$9:BS9)=0,1,0)</f>
        <v>0</v>
      </c>
      <c r="BU10" s="782">
        <f>IF(SUM($D$9:BT9)=0,1,0)</f>
        <v>0</v>
      </c>
      <c r="BV10" s="782">
        <f>IF(SUM($D$9:BU9)=0,1,0)</f>
        <v>0</v>
      </c>
      <c r="BW10" s="782">
        <f>IF(SUM($D$9:BV9)=0,1,0)</f>
        <v>0</v>
      </c>
      <c r="BX10" s="782">
        <f>IF(SUM($D$9:BW9)=0,1,0)</f>
        <v>0</v>
      </c>
      <c r="BY10" s="782">
        <f>IF(SUM($D$9:BX9)=0,1,0)</f>
        <v>0</v>
      </c>
      <c r="BZ10" s="782">
        <f>IF(SUM($D$9:BY9)=0,1,0)</f>
        <v>0</v>
      </c>
      <c r="CA10" s="782">
        <f>IF(SUM($D$9:BZ9)=0,1,0)</f>
        <v>0</v>
      </c>
      <c r="CB10" s="782">
        <f>IF(SUM($D$9:CA9)=0,1,0)</f>
        <v>0</v>
      </c>
      <c r="CC10" s="782">
        <f>IF(SUM($D$9:CB9)=0,1,0)</f>
        <v>0</v>
      </c>
      <c r="CD10" s="782">
        <f>IF(SUM($D$9:CC9)=0,1,0)</f>
        <v>0</v>
      </c>
      <c r="CE10" s="782">
        <f>IF(SUM($D$9:CD9)=0,1,0)</f>
        <v>0</v>
      </c>
      <c r="CF10" s="782">
        <f>IF(SUM($D$9:CE9)=0,1,0)</f>
        <v>0</v>
      </c>
      <c r="CG10" s="782">
        <f>IF(SUM($D$9:CF9)=0,1,0)</f>
        <v>0</v>
      </c>
      <c r="CH10" s="782">
        <f>IF(SUM($D$9:CG9)=0,1,0)</f>
        <v>0</v>
      </c>
      <c r="CI10" s="782">
        <f>IF(SUM($D$9:CH9)=0,1,0)</f>
        <v>0</v>
      </c>
      <c r="CJ10" s="782">
        <f>IF(SUM($D$9:CI9)=0,1,0)</f>
        <v>0</v>
      </c>
      <c r="CK10" s="782">
        <f>IF(SUM($D$9:CJ9)=0,1,0)</f>
        <v>0</v>
      </c>
      <c r="CL10" s="782">
        <f>IF(SUM($D$9:CK9)=0,1,0)</f>
        <v>0</v>
      </c>
      <c r="CM10" s="782">
        <f>IF(SUM($D$9:CL9)=0,1,0)</f>
        <v>0</v>
      </c>
      <c r="CN10" s="782">
        <f>IF(SUM($D$9:CM9)=0,1,0)</f>
        <v>0</v>
      </c>
      <c r="CO10" s="782">
        <f>IF(SUM($D$9:CN9)=0,1,0)</f>
        <v>0</v>
      </c>
      <c r="CP10" s="782">
        <f>IF(SUM($D$9:CO9)=0,1,0)</f>
        <v>0</v>
      </c>
      <c r="CQ10" s="782">
        <f>IF(SUM($D$9:CP9)=0,1,0)</f>
        <v>0</v>
      </c>
      <c r="CR10" s="782">
        <f>IF(SUM($D$9:CQ9)=0,1,0)</f>
        <v>0</v>
      </c>
      <c r="CS10" s="782">
        <f>IF(SUM($D$9:CR9)=0,1,0)</f>
        <v>0</v>
      </c>
      <c r="CT10" s="782">
        <f>IF(SUM($D$9:CS9)=0,1,0)</f>
        <v>0</v>
      </c>
      <c r="CU10" s="782">
        <f>IF(SUM($D$9:CT9)=0,1,0)</f>
        <v>0</v>
      </c>
      <c r="CV10" s="782">
        <f>IF(SUM($D$9:CU9)=0,1,0)</f>
        <v>0</v>
      </c>
      <c r="CW10" s="782">
        <f>IF(SUM($D$9:CV9)=0,1,0)</f>
        <v>0</v>
      </c>
      <c r="CX10" s="782">
        <f>IF(SUM($D$9:CW9)=0,1,0)</f>
        <v>0</v>
      </c>
      <c r="CY10" s="782">
        <f>IF(SUM($D$9:CX9)=0,1,0)</f>
        <v>0</v>
      </c>
      <c r="CZ10" s="782">
        <f>IF(SUM($D$9:CY9)=0,1,0)</f>
        <v>0</v>
      </c>
      <c r="DA10" s="782">
        <f>IF(SUM($D$9:CZ9)=0,1,0)</f>
        <v>0</v>
      </c>
      <c r="DB10" s="782">
        <f>IF(SUM($D$9:DA9)=0,1,0)</f>
        <v>0</v>
      </c>
      <c r="DC10" s="782">
        <f>IF(SUM($D$9:DB9)=0,1,0)</f>
        <v>0</v>
      </c>
      <c r="DD10" s="782">
        <f>IF(SUM($D$9:DC9)=0,1,0)</f>
        <v>0</v>
      </c>
      <c r="DE10" s="782">
        <f>IF(SUM($D$9:DD9)=0,1,0)</f>
        <v>0</v>
      </c>
      <c r="DF10" s="782">
        <f>IF(SUM($D$9:DE9)=0,1,0)</f>
        <v>0</v>
      </c>
      <c r="DG10" s="782">
        <f>IF(SUM($D$9:DF9)=0,1,0)</f>
        <v>0</v>
      </c>
      <c r="DH10" s="782">
        <f>IF(SUM($D$9:DG9)=0,1,0)</f>
        <v>0</v>
      </c>
      <c r="DI10" s="782">
        <f>IF(SUM($D$9:DH9)=0,1,0)</f>
        <v>0</v>
      </c>
      <c r="DJ10" s="782">
        <f>IF(SUM($D$9:DI9)=0,1,0)</f>
        <v>0</v>
      </c>
      <c r="DK10" s="782">
        <f>IF(SUM($D$9:DJ9)=0,1,0)</f>
        <v>0</v>
      </c>
      <c r="DL10" s="782">
        <f>IF(SUM($D$9:DK9)=0,1,0)</f>
        <v>0</v>
      </c>
      <c r="DM10" s="782">
        <f>IF(SUM($D$9:DL9)=0,1,0)</f>
        <v>0</v>
      </c>
      <c r="DN10" s="782">
        <f>IF(SUM($D$9:DM9)=0,1,0)</f>
        <v>0</v>
      </c>
      <c r="DO10" s="782">
        <f>IF(SUM($D$9:DN9)=0,1,0)</f>
        <v>0</v>
      </c>
      <c r="DP10" s="782">
        <f>IF(SUM($D$9:DO9)=0,1,0)</f>
        <v>0</v>
      </c>
      <c r="DQ10" s="782">
        <f>IF(SUM($D$9:DP9)=0,1,0)</f>
        <v>0</v>
      </c>
      <c r="DR10" s="782">
        <f>IF(SUM($D$9:DQ9)=0,1,0)</f>
        <v>0</v>
      </c>
      <c r="DS10" s="782">
        <f>IF(SUM($D$9:DR9)=0,1,0)</f>
        <v>0</v>
      </c>
      <c r="DT10" s="782">
        <f>IF(SUM($D$9:DS9)=0,1,0)</f>
        <v>0</v>
      </c>
      <c r="DU10" s="782">
        <f>IF(SUM($D$9:DT9)=0,1,0)</f>
        <v>0</v>
      </c>
      <c r="DV10" s="782">
        <f>IF(SUM($D$9:DU9)=0,1,0)</f>
        <v>0</v>
      </c>
      <c r="DW10" s="782">
        <f>IF(SUM($D$9:DV9)=0,1,0)</f>
        <v>0</v>
      </c>
      <c r="DX10" s="782">
        <f>IF(SUM($D$9:DW9)=0,1,0)</f>
        <v>0</v>
      </c>
      <c r="DY10" s="782">
        <f>IF(SUM($D$9:DX9)=0,1,0)</f>
        <v>0</v>
      </c>
      <c r="DZ10" s="782">
        <f>IF(SUM($D$9:DY9)=0,1,0)</f>
        <v>0</v>
      </c>
      <c r="EA10" s="782">
        <f>IF(SUM($D$9:DZ9)=0,1,0)</f>
        <v>0</v>
      </c>
      <c r="EB10" s="782">
        <f>IF(SUM($D$9:EA9)=0,1,0)</f>
        <v>0</v>
      </c>
      <c r="EC10" s="782">
        <f>IF(SUM($D$9:EB9)=0,1,0)</f>
        <v>0</v>
      </c>
      <c r="ED10" s="782">
        <f>IF(SUM($D$9:EC9)=0,1,0)</f>
        <v>0</v>
      </c>
      <c r="EE10" s="782">
        <f>IF(SUM($D$9:ED9)=0,1,0)</f>
        <v>0</v>
      </c>
      <c r="EF10" s="782">
        <f>IF(SUM($D$9:EE9)=0,1,0)</f>
        <v>0</v>
      </c>
      <c r="EG10" s="782">
        <f>IF(SUM($D$9:EF9)=0,1,0)</f>
        <v>0</v>
      </c>
      <c r="EH10" s="782"/>
    </row>
    <row r="11" spans="1:138" ht="12.75" customHeight="1" x14ac:dyDescent="0.3">
      <c r="A11" s="782"/>
      <c r="B11" s="792" t="s">
        <v>318</v>
      </c>
      <c r="C11" s="791"/>
      <c r="D11" s="782"/>
      <c r="E11" s="782">
        <f>1-E10</f>
        <v>0</v>
      </c>
      <c r="F11" s="782">
        <f t="shared" ref="F11:BQ11" si="8">1-F10</f>
        <v>0</v>
      </c>
      <c r="G11" s="782">
        <f t="shared" si="8"/>
        <v>0</v>
      </c>
      <c r="H11" s="782">
        <f t="shared" si="8"/>
        <v>0</v>
      </c>
      <c r="I11" s="782">
        <f t="shared" si="8"/>
        <v>0</v>
      </c>
      <c r="J11" s="782">
        <f t="shared" si="8"/>
        <v>0</v>
      </c>
      <c r="K11" s="782">
        <f t="shared" si="8"/>
        <v>0</v>
      </c>
      <c r="L11" s="782">
        <f t="shared" si="8"/>
        <v>0</v>
      </c>
      <c r="M11" s="782">
        <f t="shared" si="8"/>
        <v>0</v>
      </c>
      <c r="N11" s="782">
        <f t="shared" si="8"/>
        <v>0</v>
      </c>
      <c r="O11" s="782">
        <f t="shared" si="8"/>
        <v>0</v>
      </c>
      <c r="P11" s="782">
        <f t="shared" si="8"/>
        <v>0</v>
      </c>
      <c r="Q11" s="782">
        <f t="shared" si="8"/>
        <v>0</v>
      </c>
      <c r="R11" s="782">
        <f t="shared" si="8"/>
        <v>0</v>
      </c>
      <c r="S11" s="782">
        <f t="shared" si="8"/>
        <v>0</v>
      </c>
      <c r="T11" s="782">
        <f t="shared" si="8"/>
        <v>0</v>
      </c>
      <c r="U11" s="782">
        <f t="shared" si="8"/>
        <v>0</v>
      </c>
      <c r="V11" s="782">
        <f t="shared" si="8"/>
        <v>0</v>
      </c>
      <c r="W11" s="782">
        <f t="shared" si="8"/>
        <v>0</v>
      </c>
      <c r="X11" s="782">
        <f t="shared" si="8"/>
        <v>0</v>
      </c>
      <c r="Y11" s="782">
        <f t="shared" si="8"/>
        <v>0</v>
      </c>
      <c r="Z11" s="782">
        <f t="shared" si="8"/>
        <v>0</v>
      </c>
      <c r="AA11" s="782">
        <f t="shared" si="8"/>
        <v>0</v>
      </c>
      <c r="AB11" s="782">
        <f t="shared" si="8"/>
        <v>0</v>
      </c>
      <c r="AC11" s="782">
        <f t="shared" si="8"/>
        <v>0</v>
      </c>
      <c r="AD11" s="782">
        <f t="shared" si="8"/>
        <v>0</v>
      </c>
      <c r="AE11" s="782">
        <f t="shared" si="8"/>
        <v>0</v>
      </c>
      <c r="AF11" s="782">
        <f t="shared" si="8"/>
        <v>0</v>
      </c>
      <c r="AG11" s="782">
        <f t="shared" si="8"/>
        <v>0</v>
      </c>
      <c r="AH11" s="782">
        <f t="shared" si="8"/>
        <v>0</v>
      </c>
      <c r="AI11" s="782">
        <f t="shared" si="8"/>
        <v>0</v>
      </c>
      <c r="AJ11" s="782">
        <f t="shared" si="8"/>
        <v>0</v>
      </c>
      <c r="AK11" s="782">
        <f t="shared" si="8"/>
        <v>0</v>
      </c>
      <c r="AL11" s="782">
        <f t="shared" si="8"/>
        <v>1</v>
      </c>
      <c r="AM11" s="782">
        <f t="shared" si="8"/>
        <v>1</v>
      </c>
      <c r="AN11" s="782">
        <f t="shared" si="8"/>
        <v>1</v>
      </c>
      <c r="AO11" s="782">
        <f t="shared" si="8"/>
        <v>1</v>
      </c>
      <c r="AP11" s="782">
        <f t="shared" si="8"/>
        <v>1</v>
      </c>
      <c r="AQ11" s="782">
        <f t="shared" si="8"/>
        <v>1</v>
      </c>
      <c r="AR11" s="782">
        <f t="shared" si="8"/>
        <v>1</v>
      </c>
      <c r="AS11" s="782">
        <f t="shared" si="8"/>
        <v>1</v>
      </c>
      <c r="AT11" s="782">
        <f t="shared" si="8"/>
        <v>1</v>
      </c>
      <c r="AU11" s="782">
        <f t="shared" si="8"/>
        <v>1</v>
      </c>
      <c r="AV11" s="782">
        <f t="shared" si="8"/>
        <v>1</v>
      </c>
      <c r="AW11" s="782">
        <f t="shared" si="8"/>
        <v>1</v>
      </c>
      <c r="AX11" s="782">
        <f t="shared" si="8"/>
        <v>1</v>
      </c>
      <c r="AY11" s="782">
        <f t="shared" si="8"/>
        <v>1</v>
      </c>
      <c r="AZ11" s="782">
        <f t="shared" si="8"/>
        <v>1</v>
      </c>
      <c r="BA11" s="782">
        <f t="shared" si="8"/>
        <v>1</v>
      </c>
      <c r="BB11" s="782">
        <f t="shared" si="8"/>
        <v>1</v>
      </c>
      <c r="BC11" s="782">
        <f t="shared" si="8"/>
        <v>1</v>
      </c>
      <c r="BD11" s="782">
        <f t="shared" si="8"/>
        <v>1</v>
      </c>
      <c r="BE11" s="782">
        <f t="shared" si="8"/>
        <v>1</v>
      </c>
      <c r="BF11" s="782">
        <f t="shared" si="8"/>
        <v>1</v>
      </c>
      <c r="BG11" s="782">
        <f t="shared" si="8"/>
        <v>1</v>
      </c>
      <c r="BH11" s="782">
        <f t="shared" si="8"/>
        <v>1</v>
      </c>
      <c r="BI11" s="782">
        <f t="shared" si="8"/>
        <v>1</v>
      </c>
      <c r="BJ11" s="782">
        <f t="shared" si="8"/>
        <v>1</v>
      </c>
      <c r="BK11" s="782">
        <f t="shared" si="8"/>
        <v>1</v>
      </c>
      <c r="BL11" s="782">
        <f t="shared" si="8"/>
        <v>1</v>
      </c>
      <c r="BM11" s="782">
        <f t="shared" si="8"/>
        <v>1</v>
      </c>
      <c r="BN11" s="782">
        <f t="shared" si="8"/>
        <v>1</v>
      </c>
      <c r="BO11" s="782">
        <f t="shared" si="8"/>
        <v>1</v>
      </c>
      <c r="BP11" s="782">
        <f t="shared" si="8"/>
        <v>1</v>
      </c>
      <c r="BQ11" s="782">
        <f t="shared" si="8"/>
        <v>1</v>
      </c>
      <c r="BR11" s="782">
        <f t="shared" ref="BR11:EC11" si="9">1-BR10</f>
        <v>1</v>
      </c>
      <c r="BS11" s="782">
        <f t="shared" si="9"/>
        <v>1</v>
      </c>
      <c r="BT11" s="782">
        <f t="shared" si="9"/>
        <v>1</v>
      </c>
      <c r="BU11" s="782">
        <f t="shared" si="9"/>
        <v>1</v>
      </c>
      <c r="BV11" s="782">
        <f t="shared" si="9"/>
        <v>1</v>
      </c>
      <c r="BW11" s="782">
        <f t="shared" si="9"/>
        <v>1</v>
      </c>
      <c r="BX11" s="782">
        <f t="shared" si="9"/>
        <v>1</v>
      </c>
      <c r="BY11" s="782">
        <f t="shared" si="9"/>
        <v>1</v>
      </c>
      <c r="BZ11" s="782">
        <f t="shared" si="9"/>
        <v>1</v>
      </c>
      <c r="CA11" s="782">
        <f t="shared" si="9"/>
        <v>1</v>
      </c>
      <c r="CB11" s="782">
        <f t="shared" si="9"/>
        <v>1</v>
      </c>
      <c r="CC11" s="782">
        <f t="shared" si="9"/>
        <v>1</v>
      </c>
      <c r="CD11" s="782">
        <f t="shared" si="9"/>
        <v>1</v>
      </c>
      <c r="CE11" s="782">
        <f t="shared" si="9"/>
        <v>1</v>
      </c>
      <c r="CF11" s="782">
        <f t="shared" si="9"/>
        <v>1</v>
      </c>
      <c r="CG11" s="782">
        <f t="shared" si="9"/>
        <v>1</v>
      </c>
      <c r="CH11" s="782">
        <f t="shared" si="9"/>
        <v>1</v>
      </c>
      <c r="CI11" s="782">
        <f t="shared" si="9"/>
        <v>1</v>
      </c>
      <c r="CJ11" s="782">
        <f t="shared" si="9"/>
        <v>1</v>
      </c>
      <c r="CK11" s="782">
        <f t="shared" si="9"/>
        <v>1</v>
      </c>
      <c r="CL11" s="782">
        <f t="shared" si="9"/>
        <v>1</v>
      </c>
      <c r="CM11" s="782">
        <f t="shared" si="9"/>
        <v>1</v>
      </c>
      <c r="CN11" s="782">
        <f t="shared" si="9"/>
        <v>1</v>
      </c>
      <c r="CO11" s="782">
        <f t="shared" si="9"/>
        <v>1</v>
      </c>
      <c r="CP11" s="782">
        <f t="shared" si="9"/>
        <v>1</v>
      </c>
      <c r="CQ11" s="782">
        <f t="shared" si="9"/>
        <v>1</v>
      </c>
      <c r="CR11" s="782">
        <f t="shared" si="9"/>
        <v>1</v>
      </c>
      <c r="CS11" s="782">
        <f t="shared" si="9"/>
        <v>1</v>
      </c>
      <c r="CT11" s="782">
        <f t="shared" si="9"/>
        <v>1</v>
      </c>
      <c r="CU11" s="782">
        <f t="shared" si="9"/>
        <v>1</v>
      </c>
      <c r="CV11" s="782">
        <f t="shared" si="9"/>
        <v>1</v>
      </c>
      <c r="CW11" s="782">
        <f t="shared" si="9"/>
        <v>1</v>
      </c>
      <c r="CX11" s="782">
        <f t="shared" si="9"/>
        <v>1</v>
      </c>
      <c r="CY11" s="782">
        <f t="shared" si="9"/>
        <v>1</v>
      </c>
      <c r="CZ11" s="782">
        <f t="shared" si="9"/>
        <v>1</v>
      </c>
      <c r="DA11" s="782">
        <f t="shared" si="9"/>
        <v>1</v>
      </c>
      <c r="DB11" s="782">
        <f t="shared" si="9"/>
        <v>1</v>
      </c>
      <c r="DC11" s="782">
        <f t="shared" si="9"/>
        <v>1</v>
      </c>
      <c r="DD11" s="782">
        <f t="shared" si="9"/>
        <v>1</v>
      </c>
      <c r="DE11" s="782">
        <f t="shared" si="9"/>
        <v>1</v>
      </c>
      <c r="DF11" s="782">
        <f t="shared" si="9"/>
        <v>1</v>
      </c>
      <c r="DG11" s="782">
        <f t="shared" si="9"/>
        <v>1</v>
      </c>
      <c r="DH11" s="782">
        <f t="shared" si="9"/>
        <v>1</v>
      </c>
      <c r="DI11" s="782">
        <f t="shared" si="9"/>
        <v>1</v>
      </c>
      <c r="DJ11" s="782">
        <f t="shared" si="9"/>
        <v>1</v>
      </c>
      <c r="DK11" s="782">
        <f t="shared" si="9"/>
        <v>1</v>
      </c>
      <c r="DL11" s="782">
        <f t="shared" si="9"/>
        <v>1</v>
      </c>
      <c r="DM11" s="782">
        <f t="shared" si="9"/>
        <v>1</v>
      </c>
      <c r="DN11" s="782">
        <f t="shared" si="9"/>
        <v>1</v>
      </c>
      <c r="DO11" s="782">
        <f t="shared" si="9"/>
        <v>1</v>
      </c>
      <c r="DP11" s="782">
        <f t="shared" si="9"/>
        <v>1</v>
      </c>
      <c r="DQ11" s="782">
        <f t="shared" si="9"/>
        <v>1</v>
      </c>
      <c r="DR11" s="782">
        <f t="shared" si="9"/>
        <v>1</v>
      </c>
      <c r="DS11" s="782">
        <f t="shared" si="9"/>
        <v>1</v>
      </c>
      <c r="DT11" s="782">
        <f t="shared" si="9"/>
        <v>1</v>
      </c>
      <c r="DU11" s="782">
        <f t="shared" si="9"/>
        <v>1</v>
      </c>
      <c r="DV11" s="782">
        <f t="shared" si="9"/>
        <v>1</v>
      </c>
      <c r="DW11" s="782">
        <f t="shared" si="9"/>
        <v>1</v>
      </c>
      <c r="DX11" s="782">
        <f t="shared" si="9"/>
        <v>1</v>
      </c>
      <c r="DY11" s="782">
        <f t="shared" si="9"/>
        <v>1</v>
      </c>
      <c r="DZ11" s="782">
        <f t="shared" si="9"/>
        <v>1</v>
      </c>
      <c r="EA11" s="782">
        <f t="shared" si="9"/>
        <v>1</v>
      </c>
      <c r="EB11" s="782">
        <f t="shared" si="9"/>
        <v>1</v>
      </c>
      <c r="EC11" s="782">
        <f t="shared" si="9"/>
        <v>1</v>
      </c>
      <c r="ED11" s="782">
        <f>1-ED10</f>
        <v>1</v>
      </c>
      <c r="EE11" s="782">
        <f>1-EE10</f>
        <v>1</v>
      </c>
      <c r="EF11" s="782">
        <f>1-EF10</f>
        <v>1</v>
      </c>
      <c r="EG11" s="782">
        <f>1-EG10</f>
        <v>1</v>
      </c>
      <c r="EH11" s="782"/>
    </row>
    <row r="12" spans="1:138" ht="12.75" customHeight="1" x14ac:dyDescent="0.3">
      <c r="A12" s="782"/>
      <c r="B12" s="782" t="s">
        <v>319</v>
      </c>
      <c r="C12" s="782"/>
      <c r="D12" s="782"/>
      <c r="E12" s="782">
        <f>IF(E4&lt;='Venture Assumptions'!$F$8,1,0)</f>
        <v>1</v>
      </c>
      <c r="F12" s="782">
        <f>IF(F4&lt;='Venture Assumptions'!$F$8,1,0)</f>
        <v>1</v>
      </c>
      <c r="G12" s="782">
        <f>IF(G4&lt;='Venture Assumptions'!$F$8,1,0)</f>
        <v>1</v>
      </c>
      <c r="H12" s="782">
        <f>IF(H4&lt;='Venture Assumptions'!$F$8,1,0)</f>
        <v>1</v>
      </c>
      <c r="I12" s="782">
        <f>IF(I4&lt;='Venture Assumptions'!$F$8,1,0)</f>
        <v>1</v>
      </c>
      <c r="J12" s="782">
        <f>IF(J4&lt;='Venture Assumptions'!$F$8,1,0)</f>
        <v>1</v>
      </c>
      <c r="K12" s="782">
        <f>IF(K4&lt;='Venture Assumptions'!$F$8,1,0)</f>
        <v>1</v>
      </c>
      <c r="L12" s="782">
        <f>IF(L4&lt;='Venture Assumptions'!$F$8,1,0)</f>
        <v>1</v>
      </c>
      <c r="M12" s="782">
        <f>IF(M4&lt;='Venture Assumptions'!$F$8,1,0)</f>
        <v>1</v>
      </c>
      <c r="N12" s="782">
        <f>IF(N4&lt;='Venture Assumptions'!$F$8,1,0)</f>
        <v>1</v>
      </c>
      <c r="O12" s="782">
        <f>IF(O4&lt;='Venture Assumptions'!$F$8,1,0)</f>
        <v>1</v>
      </c>
      <c r="P12" s="782">
        <f>IF(P4&lt;='Venture Assumptions'!$F$8,1,0)</f>
        <v>1</v>
      </c>
      <c r="Q12" s="782">
        <f>IF(Q4&lt;='Venture Assumptions'!$F$8,1,0)</f>
        <v>1</v>
      </c>
      <c r="R12" s="782">
        <f>IF(R4&lt;='Venture Assumptions'!$F$8,1,0)</f>
        <v>1</v>
      </c>
      <c r="S12" s="782">
        <f>IF(S4&lt;='Venture Assumptions'!$F$8,1,0)</f>
        <v>1</v>
      </c>
      <c r="T12" s="782">
        <f>IF(T4&lt;='Venture Assumptions'!$F$8,1,0)</f>
        <v>1</v>
      </c>
      <c r="U12" s="782">
        <f>IF(U4&lt;='Venture Assumptions'!$F$8,1,0)</f>
        <v>1</v>
      </c>
      <c r="V12" s="782">
        <f>IF(V4&lt;='Venture Assumptions'!$F$8,1,0)</f>
        <v>1</v>
      </c>
      <c r="W12" s="782">
        <f>IF(W4&lt;='Venture Assumptions'!$F$8,1,0)</f>
        <v>1</v>
      </c>
      <c r="X12" s="782">
        <f>IF(X4&lt;='Venture Assumptions'!$F$8,1,0)</f>
        <v>1</v>
      </c>
      <c r="Y12" s="782">
        <f>IF(Y4&lt;='Venture Assumptions'!$F$8,1,0)</f>
        <v>1</v>
      </c>
      <c r="Z12" s="782">
        <f>IF(Z4&lt;='Venture Assumptions'!$F$8,1,0)</f>
        <v>1</v>
      </c>
      <c r="AA12" s="782">
        <f>IF(AA4&lt;='Venture Assumptions'!$F$8,1,0)</f>
        <v>1</v>
      </c>
      <c r="AB12" s="782">
        <f>IF(AB4&lt;='Venture Assumptions'!$F$8,1,0)</f>
        <v>1</v>
      </c>
      <c r="AC12" s="782">
        <f>IF(AC4&lt;='Venture Assumptions'!$F$8,1,0)</f>
        <v>1</v>
      </c>
      <c r="AD12" s="782">
        <f>IF(AD4&lt;='Venture Assumptions'!$F$8,1,0)</f>
        <v>1</v>
      </c>
      <c r="AE12" s="782">
        <f>IF(AE4&lt;='Venture Assumptions'!$F$8,1,0)</f>
        <v>1</v>
      </c>
      <c r="AF12" s="782">
        <f>IF(AF4&lt;='Venture Assumptions'!$F$8,1,0)</f>
        <v>1</v>
      </c>
      <c r="AG12" s="782">
        <f>IF(AG4&lt;='Venture Assumptions'!$F$8,1,0)</f>
        <v>1</v>
      </c>
      <c r="AH12" s="782">
        <f>IF(AH4&lt;='Venture Assumptions'!$F$8,1,0)</f>
        <v>1</v>
      </c>
      <c r="AI12" s="782">
        <f>IF(AI4&lt;='Venture Assumptions'!$F$8,1,0)</f>
        <v>1</v>
      </c>
      <c r="AJ12" s="782">
        <f>IF(AJ4&lt;='Venture Assumptions'!$F$8,1,0)</f>
        <v>1</v>
      </c>
      <c r="AK12" s="782">
        <f>IF(AK4&lt;='Venture Assumptions'!$F$8,1,0)</f>
        <v>1</v>
      </c>
      <c r="AL12" s="782">
        <f>IF(AL4&lt;='Venture Assumptions'!$F$8,1,0)</f>
        <v>1</v>
      </c>
      <c r="AM12" s="782">
        <f>IF(AM4&lt;='Venture Assumptions'!$F$8,1,0)</f>
        <v>1</v>
      </c>
      <c r="AN12" s="782">
        <f>IF(AN4&lt;='Venture Assumptions'!$F$8,1,0)</f>
        <v>1</v>
      </c>
      <c r="AO12" s="782">
        <f>IF(AO4&lt;='Venture Assumptions'!$F$8,1,0)</f>
        <v>1</v>
      </c>
      <c r="AP12" s="782">
        <f>IF(AP4&lt;='Venture Assumptions'!$F$8,1,0)</f>
        <v>1</v>
      </c>
      <c r="AQ12" s="782">
        <f>IF(AQ4&lt;='Venture Assumptions'!$F$8,1,0)</f>
        <v>1</v>
      </c>
      <c r="AR12" s="782">
        <f>IF(AR4&lt;='Venture Assumptions'!$F$8,1,0)</f>
        <v>1</v>
      </c>
      <c r="AS12" s="782">
        <f>IF(AS4&lt;='Venture Assumptions'!$F$8,1,0)</f>
        <v>1</v>
      </c>
      <c r="AT12" s="782">
        <f>IF(AT4&lt;='Venture Assumptions'!$F$8,1,0)</f>
        <v>1</v>
      </c>
      <c r="AU12" s="782">
        <f>IF(AU4&lt;='Venture Assumptions'!$F$8,1,0)</f>
        <v>1</v>
      </c>
      <c r="AV12" s="782">
        <f>IF(AV4&lt;='Venture Assumptions'!$F$8,1,0)</f>
        <v>1</v>
      </c>
      <c r="AW12" s="782">
        <f>IF(AW4&lt;='Venture Assumptions'!$F$8,1,0)</f>
        <v>1</v>
      </c>
      <c r="AX12" s="782">
        <f>IF(AX4&lt;='Venture Assumptions'!$F$8,1,0)</f>
        <v>1</v>
      </c>
      <c r="AY12" s="782">
        <f>IF(AY4&lt;='Venture Assumptions'!$F$8,1,0)</f>
        <v>1</v>
      </c>
      <c r="AZ12" s="782">
        <f>IF(AZ4&lt;='Venture Assumptions'!$F$8,1,0)</f>
        <v>1</v>
      </c>
      <c r="BA12" s="782">
        <f>IF(BA4&lt;='Venture Assumptions'!$F$8,1,0)</f>
        <v>1</v>
      </c>
      <c r="BB12" s="782">
        <f>IF(BB4&lt;='Venture Assumptions'!$F$8,1,0)</f>
        <v>1</v>
      </c>
      <c r="BC12" s="782">
        <f>IF(BC4&lt;='Venture Assumptions'!$F$8,1,0)</f>
        <v>1</v>
      </c>
      <c r="BD12" s="782">
        <f>IF(BD4&lt;='Venture Assumptions'!$F$8,1,0)</f>
        <v>1</v>
      </c>
      <c r="BE12" s="782">
        <f>IF(BE4&lt;='Venture Assumptions'!$F$8,1,0)</f>
        <v>1</v>
      </c>
      <c r="BF12" s="782">
        <f>IF(BF4&lt;='Venture Assumptions'!$F$8,1,0)</f>
        <v>1</v>
      </c>
      <c r="BG12" s="782">
        <f>IF(BG4&lt;='Venture Assumptions'!$F$8,1,0)</f>
        <v>1</v>
      </c>
      <c r="BH12" s="782">
        <f>IF(BH4&lt;='Venture Assumptions'!$F$8,1,0)</f>
        <v>1</v>
      </c>
      <c r="BI12" s="782">
        <f>IF(BI4&lt;='Venture Assumptions'!$F$8,1,0)</f>
        <v>1</v>
      </c>
      <c r="BJ12" s="782">
        <f>IF(BJ4&lt;='Venture Assumptions'!$F$8,1,0)</f>
        <v>1</v>
      </c>
      <c r="BK12" s="782">
        <f>IF(BK4&lt;='Venture Assumptions'!$F$8,1,0)</f>
        <v>1</v>
      </c>
      <c r="BL12" s="782">
        <f>IF(BL4&lt;='Venture Assumptions'!$F$8,1,0)</f>
        <v>1</v>
      </c>
      <c r="BM12" s="782">
        <f>IF(BM4&lt;='Venture Assumptions'!$F$8,1,0)</f>
        <v>1</v>
      </c>
      <c r="BN12" s="782">
        <f>IF(BN4&lt;='Venture Assumptions'!$F$8,1,0)</f>
        <v>1</v>
      </c>
      <c r="BO12" s="782">
        <f>IF(BO4&lt;='Venture Assumptions'!$F$8,1,0)</f>
        <v>1</v>
      </c>
      <c r="BP12" s="782">
        <f>IF(BP4&lt;='Venture Assumptions'!$F$8,1,0)</f>
        <v>1</v>
      </c>
      <c r="BQ12" s="782">
        <f>IF(BQ4&lt;='Venture Assumptions'!$F$8,1,0)</f>
        <v>1</v>
      </c>
      <c r="BR12" s="782">
        <f>IF(BR4&lt;='Venture Assumptions'!$F$8,1,0)</f>
        <v>1</v>
      </c>
      <c r="BS12" s="782">
        <f>IF(BS4&lt;='Venture Assumptions'!$F$8,1,0)</f>
        <v>1</v>
      </c>
      <c r="BT12" s="782">
        <f>IF(BT4&lt;='Venture Assumptions'!$F$8,1,0)</f>
        <v>1</v>
      </c>
      <c r="BU12" s="782">
        <f>IF(BU4&lt;='Venture Assumptions'!$F$8,1,0)</f>
        <v>1</v>
      </c>
      <c r="BV12" s="782">
        <f>IF(BV4&lt;='Venture Assumptions'!$F$8,1,0)</f>
        <v>1</v>
      </c>
      <c r="BW12" s="782">
        <f>IF(BW4&lt;='Venture Assumptions'!$F$8,1,0)</f>
        <v>1</v>
      </c>
      <c r="BX12" s="782">
        <f>IF(BX4&lt;='Venture Assumptions'!$F$8,1,0)</f>
        <v>1</v>
      </c>
      <c r="BY12" s="782">
        <f>IF(BY4&lt;='Venture Assumptions'!$F$8,1,0)</f>
        <v>1</v>
      </c>
      <c r="BZ12" s="782">
        <f>IF(BZ4&lt;='Venture Assumptions'!$F$8,1,0)</f>
        <v>1</v>
      </c>
      <c r="CA12" s="782">
        <f>IF(CA4&lt;='Venture Assumptions'!$F$8,1,0)</f>
        <v>1</v>
      </c>
      <c r="CB12" s="782">
        <f>IF(CB4&lt;='Venture Assumptions'!$F$8,1,0)</f>
        <v>1</v>
      </c>
      <c r="CC12" s="782">
        <f>IF(CC4&lt;='Venture Assumptions'!$F$8,1,0)</f>
        <v>1</v>
      </c>
      <c r="CD12" s="782">
        <f>IF(CD4&lt;='Venture Assumptions'!$F$8,1,0)</f>
        <v>1</v>
      </c>
      <c r="CE12" s="782">
        <f>IF(CE4&lt;='Venture Assumptions'!$F$8,1,0)</f>
        <v>1</v>
      </c>
      <c r="CF12" s="782">
        <f>IF(CF4&lt;='Venture Assumptions'!$F$8,1,0)</f>
        <v>1</v>
      </c>
      <c r="CG12" s="782">
        <f>IF(CG4&lt;='Venture Assumptions'!$F$8,1,0)</f>
        <v>1</v>
      </c>
      <c r="CH12" s="782">
        <f>IF(CH4&lt;='Venture Assumptions'!$F$8,1,0)</f>
        <v>1</v>
      </c>
      <c r="CI12" s="782">
        <f>IF(CI4&lt;='Venture Assumptions'!$F$8,1,0)</f>
        <v>1</v>
      </c>
      <c r="CJ12" s="782">
        <f>IF(CJ4&lt;='Venture Assumptions'!$F$8,1,0)</f>
        <v>1</v>
      </c>
      <c r="CK12" s="782">
        <f>IF(CK4&lt;='Venture Assumptions'!$F$8,1,0)</f>
        <v>1</v>
      </c>
      <c r="CL12" s="782">
        <f>IF(CL4&lt;='Venture Assumptions'!$F$8,1,0)</f>
        <v>1</v>
      </c>
      <c r="CM12" s="782">
        <f>IF(CM4&lt;='Venture Assumptions'!$F$8,1,0)</f>
        <v>1</v>
      </c>
      <c r="CN12" s="782">
        <f>IF(CN4&lt;='Venture Assumptions'!$F$8,1,0)</f>
        <v>1</v>
      </c>
      <c r="CO12" s="782">
        <f>IF(CO4&lt;='Venture Assumptions'!$F$8,1,0)</f>
        <v>1</v>
      </c>
      <c r="CP12" s="782">
        <f>IF(CP4&lt;='Venture Assumptions'!$F$8,1,0)</f>
        <v>1</v>
      </c>
      <c r="CQ12" s="782">
        <f>IF(CQ4&lt;='Venture Assumptions'!$F$8,1,0)</f>
        <v>1</v>
      </c>
      <c r="CR12" s="782">
        <f>IF(CR4&lt;='Venture Assumptions'!$F$8,1,0)</f>
        <v>1</v>
      </c>
      <c r="CS12" s="782">
        <f>IF(CS4&lt;='Venture Assumptions'!$F$8,1,0)</f>
        <v>1</v>
      </c>
      <c r="CT12" s="782">
        <f>IF(CT4&lt;='Venture Assumptions'!$F$8,1,0)</f>
        <v>1</v>
      </c>
      <c r="CU12" s="782">
        <f>IF(CU4&lt;='Venture Assumptions'!$F$8,1,0)</f>
        <v>1</v>
      </c>
      <c r="CV12" s="782">
        <f>IF(CV4&lt;='Venture Assumptions'!$F$8,1,0)</f>
        <v>1</v>
      </c>
      <c r="CW12" s="782">
        <f>IF(CW4&lt;='Venture Assumptions'!$F$8,1,0)</f>
        <v>1</v>
      </c>
      <c r="CX12" s="782">
        <f>IF(CX4&lt;='Venture Assumptions'!$F$8,1,0)</f>
        <v>0</v>
      </c>
      <c r="CY12" s="782">
        <f>IF(CY4&lt;='Venture Assumptions'!$F$8,1,0)</f>
        <v>0</v>
      </c>
      <c r="CZ12" s="782">
        <f>IF(CZ4&lt;='Venture Assumptions'!$F$8,1,0)</f>
        <v>0</v>
      </c>
      <c r="DA12" s="782">
        <f>IF(DA4&lt;='Venture Assumptions'!$F$8,1,0)</f>
        <v>0</v>
      </c>
      <c r="DB12" s="782">
        <f>IF(DB4&lt;='Venture Assumptions'!$F$8,1,0)</f>
        <v>0</v>
      </c>
      <c r="DC12" s="782">
        <f>IF(DC4&lt;='Venture Assumptions'!$F$8,1,0)</f>
        <v>0</v>
      </c>
      <c r="DD12" s="782">
        <f>IF(DD4&lt;='Venture Assumptions'!$F$8,1,0)</f>
        <v>0</v>
      </c>
      <c r="DE12" s="782">
        <f>IF(DE4&lt;='Venture Assumptions'!$F$8,1,0)</f>
        <v>0</v>
      </c>
      <c r="DF12" s="782">
        <f>IF(DF4&lt;='Venture Assumptions'!$F$8,1,0)</f>
        <v>0</v>
      </c>
      <c r="DG12" s="782">
        <f>IF(DG4&lt;='Venture Assumptions'!$F$8,1,0)</f>
        <v>0</v>
      </c>
      <c r="DH12" s="782">
        <f>IF(DH4&lt;='Venture Assumptions'!$F$8,1,0)</f>
        <v>0</v>
      </c>
      <c r="DI12" s="782">
        <f>IF(DI4&lt;='Venture Assumptions'!$F$8,1,0)</f>
        <v>0</v>
      </c>
      <c r="DJ12" s="782">
        <f>IF(DJ4&lt;='Venture Assumptions'!$F$8,1,0)</f>
        <v>0</v>
      </c>
      <c r="DK12" s="782">
        <f>IF(DK4&lt;='Venture Assumptions'!$F$8,1,0)</f>
        <v>0</v>
      </c>
      <c r="DL12" s="782">
        <f>IF(DL4&lt;='Venture Assumptions'!$F$8,1,0)</f>
        <v>0</v>
      </c>
      <c r="DM12" s="782">
        <f>IF(DM4&lt;='Venture Assumptions'!$F$8,1,0)</f>
        <v>0</v>
      </c>
      <c r="DN12" s="782">
        <f>IF(DN4&lt;='Venture Assumptions'!$F$8,1,0)</f>
        <v>0</v>
      </c>
      <c r="DO12" s="782">
        <f>IF(DO4&lt;='Venture Assumptions'!$F$8,1,0)</f>
        <v>0</v>
      </c>
      <c r="DP12" s="782">
        <f>IF(DP4&lt;='Venture Assumptions'!$F$8,1,0)</f>
        <v>0</v>
      </c>
      <c r="DQ12" s="782">
        <f>IF(DQ4&lt;='Venture Assumptions'!$F$8,1,0)</f>
        <v>0</v>
      </c>
      <c r="DR12" s="782">
        <f>IF(DR4&lt;='Venture Assumptions'!$F$8,1,0)</f>
        <v>0</v>
      </c>
      <c r="DS12" s="782">
        <f>IF(DS4&lt;='Venture Assumptions'!$F$8,1,0)</f>
        <v>0</v>
      </c>
      <c r="DT12" s="782">
        <f>IF(DT4&lt;='Venture Assumptions'!$F$8,1,0)</f>
        <v>0</v>
      </c>
      <c r="DU12" s="782">
        <f>IF(DU4&lt;='Venture Assumptions'!$F$8,1,0)</f>
        <v>0</v>
      </c>
      <c r="DV12" s="782">
        <f>IF(DV4&lt;='Venture Assumptions'!$F$8,1,0)</f>
        <v>0</v>
      </c>
      <c r="DW12" s="782">
        <f>IF(DW4&lt;='Venture Assumptions'!$F$8,1,0)</f>
        <v>0</v>
      </c>
      <c r="DX12" s="782">
        <f>IF(DX4&lt;='Venture Assumptions'!$F$8,1,0)</f>
        <v>0</v>
      </c>
      <c r="DY12" s="782">
        <f>IF(DY4&lt;='Venture Assumptions'!$F$8,1,0)</f>
        <v>0</v>
      </c>
      <c r="DZ12" s="782">
        <f>IF(DZ4&lt;='Venture Assumptions'!$F$8,1,0)</f>
        <v>0</v>
      </c>
      <c r="EA12" s="782">
        <f>IF(EA4&lt;='Venture Assumptions'!$F$8,1,0)</f>
        <v>0</v>
      </c>
      <c r="EB12" s="782">
        <f>IF(EB4&lt;='Venture Assumptions'!$F$8,1,0)</f>
        <v>0</v>
      </c>
      <c r="EC12" s="782">
        <f>IF(EC4&lt;='Venture Assumptions'!$F$8,1,0)</f>
        <v>0</v>
      </c>
      <c r="ED12" s="782">
        <f>IF(ED4&lt;='Venture Assumptions'!$F$8,1,0)</f>
        <v>0</v>
      </c>
      <c r="EE12" s="782">
        <f>IF(EE4&lt;='Venture Assumptions'!$F$8,1,0)</f>
        <v>0</v>
      </c>
      <c r="EF12" s="782">
        <f>IF(EF4&lt;='Venture Assumptions'!$F$8,1,0)</f>
        <v>0</v>
      </c>
      <c r="EG12" s="782">
        <f>IF(EG4&lt;='Venture Assumptions'!$F$8,1,0)</f>
        <v>0</v>
      </c>
      <c r="EH12" s="782"/>
    </row>
    <row r="13" spans="1:138" ht="12.75" customHeight="1" x14ac:dyDescent="0.3">
      <c r="A13" s="782"/>
      <c r="B13" s="782"/>
      <c r="C13" s="782"/>
      <c r="D13" s="782"/>
      <c r="E13" s="782"/>
      <c r="F13" s="782"/>
      <c r="G13" s="782"/>
      <c r="H13" s="782"/>
      <c r="I13" s="782"/>
      <c r="J13" s="782"/>
      <c r="K13" s="782"/>
      <c r="L13" s="782"/>
      <c r="M13" s="782"/>
      <c r="N13" s="782"/>
      <c r="O13" s="782"/>
      <c r="P13" s="782"/>
      <c r="Q13" s="782"/>
      <c r="R13" s="782"/>
      <c r="S13" s="782"/>
      <c r="T13" s="782"/>
      <c r="U13" s="782"/>
      <c r="V13" s="782"/>
      <c r="W13" s="782"/>
      <c r="X13" s="782"/>
      <c r="Y13" s="782"/>
      <c r="Z13" s="782"/>
      <c r="AA13" s="782"/>
      <c r="AB13" s="782"/>
      <c r="AC13" s="782"/>
      <c r="AD13" s="782"/>
      <c r="AE13" s="782"/>
      <c r="AF13" s="782"/>
      <c r="AG13" s="782"/>
      <c r="AH13" s="782"/>
      <c r="AI13" s="782"/>
      <c r="AJ13" s="782"/>
      <c r="AK13" s="782"/>
      <c r="AL13" s="782"/>
      <c r="AM13" s="782"/>
      <c r="AN13" s="782"/>
      <c r="AO13" s="782"/>
      <c r="AP13" s="782"/>
      <c r="AQ13" s="782"/>
      <c r="AR13" s="782"/>
      <c r="AS13" s="782"/>
      <c r="AT13" s="782"/>
      <c r="AU13" s="782"/>
      <c r="AV13" s="782"/>
      <c r="AW13" s="782"/>
      <c r="AX13" s="782"/>
      <c r="AY13" s="782"/>
      <c r="AZ13" s="782"/>
      <c r="BA13" s="782"/>
      <c r="BB13" s="782"/>
      <c r="BC13" s="782"/>
      <c r="BD13" s="782"/>
      <c r="BE13" s="782"/>
      <c r="BF13" s="782"/>
      <c r="BG13" s="782"/>
      <c r="BH13" s="782"/>
      <c r="BI13" s="782"/>
      <c r="BJ13" s="782"/>
      <c r="BK13" s="782"/>
      <c r="BL13" s="782"/>
      <c r="BM13" s="782"/>
      <c r="BN13" s="782"/>
      <c r="BO13" s="782"/>
      <c r="BP13" s="782"/>
      <c r="BQ13" s="782"/>
      <c r="BR13" s="782"/>
      <c r="BS13" s="782"/>
      <c r="BT13" s="782"/>
      <c r="BU13" s="782"/>
      <c r="BV13" s="782"/>
      <c r="BW13" s="782"/>
      <c r="BX13" s="782"/>
      <c r="BY13" s="782"/>
      <c r="BZ13" s="782"/>
      <c r="CA13" s="782"/>
      <c r="CB13" s="782"/>
      <c r="CC13" s="782"/>
      <c r="CD13" s="782"/>
      <c r="CE13" s="782"/>
      <c r="CF13" s="782"/>
      <c r="CG13" s="782"/>
      <c r="CH13" s="782"/>
      <c r="CI13" s="782"/>
      <c r="CJ13" s="782"/>
      <c r="CK13" s="782"/>
      <c r="CL13" s="782"/>
      <c r="CM13" s="782"/>
      <c r="CN13" s="782"/>
      <c r="CO13" s="782"/>
      <c r="CP13" s="782"/>
      <c r="CQ13" s="782"/>
      <c r="CR13" s="782"/>
      <c r="CS13" s="782"/>
      <c r="CT13" s="782"/>
      <c r="CU13" s="782"/>
      <c r="CV13" s="782"/>
      <c r="CW13" s="782"/>
      <c r="CX13" s="782"/>
      <c r="CY13" s="782"/>
      <c r="CZ13" s="782"/>
      <c r="DA13" s="782"/>
      <c r="DB13" s="782"/>
      <c r="DC13" s="782"/>
      <c r="DD13" s="782"/>
      <c r="DE13" s="782"/>
      <c r="DF13" s="782"/>
      <c r="DG13" s="782"/>
      <c r="DH13" s="782"/>
      <c r="DI13" s="782"/>
      <c r="DJ13" s="782"/>
      <c r="DK13" s="782"/>
      <c r="DL13" s="782"/>
      <c r="DM13" s="782"/>
      <c r="DN13" s="782"/>
      <c r="DO13" s="782"/>
      <c r="DP13" s="782"/>
      <c r="DQ13" s="782"/>
      <c r="DR13" s="782"/>
      <c r="DS13" s="782"/>
      <c r="DT13" s="782"/>
      <c r="DU13" s="782"/>
      <c r="DV13" s="782"/>
      <c r="DW13" s="782"/>
      <c r="DX13" s="782"/>
      <c r="DY13" s="782"/>
      <c r="DZ13" s="782"/>
      <c r="EA13" s="782"/>
      <c r="EB13" s="782"/>
      <c r="EC13" s="782"/>
      <c r="ED13" s="782"/>
      <c r="EE13" s="782"/>
      <c r="EF13" s="782"/>
      <c r="EG13" s="782"/>
      <c r="EH13" s="782"/>
    </row>
    <row r="14" spans="1:138" s="795" customFormat="1" ht="12.75" customHeight="1" x14ac:dyDescent="0.3">
      <c r="A14" s="1146"/>
      <c r="B14" s="793" t="s">
        <v>5</v>
      </c>
      <c r="C14" s="794"/>
      <c r="D14" s="794"/>
      <c r="E14" s="794"/>
      <c r="F14" s="794"/>
      <c r="G14" s="794"/>
      <c r="H14" s="794"/>
      <c r="I14" s="794"/>
      <c r="J14" s="794"/>
      <c r="K14" s="794"/>
      <c r="L14" s="794"/>
      <c r="M14" s="794"/>
      <c r="N14" s="794"/>
      <c r="O14" s="794"/>
      <c r="P14" s="794"/>
      <c r="Q14" s="794"/>
      <c r="R14" s="794"/>
      <c r="S14" s="794"/>
      <c r="T14" s="794"/>
      <c r="U14" s="794"/>
      <c r="V14" s="794"/>
      <c r="W14" s="794"/>
      <c r="X14" s="794"/>
      <c r="Y14" s="794"/>
      <c r="Z14" s="794"/>
      <c r="AA14" s="794"/>
      <c r="AB14" s="794"/>
      <c r="AC14" s="794"/>
      <c r="AD14" s="794"/>
      <c r="AE14" s="794"/>
      <c r="AF14" s="794"/>
      <c r="AG14" s="794"/>
      <c r="AH14" s="794"/>
      <c r="AI14" s="794"/>
      <c r="AJ14" s="794"/>
      <c r="AK14" s="794"/>
      <c r="AL14" s="794"/>
      <c r="AM14" s="794"/>
      <c r="AN14" s="794"/>
      <c r="AO14" s="794"/>
      <c r="AP14" s="794"/>
      <c r="AQ14" s="794"/>
      <c r="AR14" s="794"/>
      <c r="AS14" s="794"/>
      <c r="AT14" s="794"/>
      <c r="AU14" s="794"/>
      <c r="AV14" s="794"/>
      <c r="AW14" s="794"/>
      <c r="AX14" s="794"/>
      <c r="AY14" s="794"/>
      <c r="AZ14" s="794"/>
      <c r="BA14" s="794"/>
      <c r="BB14" s="794"/>
      <c r="BC14" s="794"/>
      <c r="BD14" s="794"/>
      <c r="BE14" s="794"/>
      <c r="BF14" s="794"/>
      <c r="BG14" s="794"/>
      <c r="BH14" s="794"/>
      <c r="BI14" s="794"/>
      <c r="BJ14" s="794"/>
      <c r="BK14" s="794"/>
      <c r="BL14" s="794"/>
      <c r="BM14" s="794"/>
      <c r="BN14" s="794"/>
      <c r="BO14" s="794"/>
      <c r="BP14" s="794"/>
      <c r="BQ14" s="794"/>
      <c r="BR14" s="794"/>
      <c r="BS14" s="794"/>
      <c r="BT14" s="794"/>
      <c r="BU14" s="794"/>
      <c r="BV14" s="794"/>
      <c r="BW14" s="794"/>
      <c r="BX14" s="794"/>
      <c r="BY14" s="794"/>
      <c r="BZ14" s="794"/>
      <c r="CA14" s="794"/>
      <c r="CB14" s="794"/>
      <c r="CC14" s="794"/>
      <c r="CD14" s="794"/>
      <c r="CE14" s="794"/>
      <c r="CF14" s="794"/>
      <c r="CG14" s="794"/>
      <c r="CH14" s="794"/>
      <c r="CI14" s="794"/>
      <c r="CJ14" s="794"/>
      <c r="CK14" s="794"/>
      <c r="CL14" s="794"/>
      <c r="CM14" s="794"/>
      <c r="CN14" s="794"/>
      <c r="CO14" s="794"/>
      <c r="CP14" s="794"/>
      <c r="CQ14" s="794"/>
      <c r="CR14" s="794"/>
      <c r="CS14" s="794"/>
      <c r="CT14" s="794"/>
      <c r="CU14" s="794"/>
      <c r="CV14" s="794"/>
      <c r="CW14" s="794"/>
      <c r="CX14" s="794"/>
      <c r="CY14" s="794"/>
      <c r="CZ14" s="794"/>
      <c r="DA14" s="794"/>
      <c r="DB14" s="794"/>
      <c r="DC14" s="794"/>
      <c r="DD14" s="794"/>
      <c r="DE14" s="794"/>
      <c r="DF14" s="794"/>
      <c r="DG14" s="794"/>
      <c r="DH14" s="794"/>
      <c r="DI14" s="794"/>
      <c r="DJ14" s="794"/>
      <c r="DK14" s="794"/>
      <c r="DL14" s="794"/>
      <c r="DM14" s="794"/>
      <c r="DN14" s="794"/>
      <c r="DO14" s="794"/>
      <c r="DP14" s="794"/>
      <c r="DQ14" s="794"/>
      <c r="DR14" s="794"/>
      <c r="DS14" s="794"/>
      <c r="DT14" s="794"/>
      <c r="DU14" s="794"/>
      <c r="DV14" s="794"/>
      <c r="DW14" s="794"/>
      <c r="DX14" s="794"/>
      <c r="DY14" s="794"/>
      <c r="DZ14" s="794"/>
      <c r="EA14" s="794"/>
      <c r="EB14" s="794"/>
      <c r="EC14" s="794"/>
      <c r="ED14" s="794"/>
      <c r="EE14" s="794"/>
      <c r="EF14" s="794"/>
      <c r="EG14" s="794"/>
      <c r="EH14" s="794"/>
    </row>
    <row r="15" spans="1:138" ht="12.75" customHeight="1" x14ac:dyDescent="0.3">
      <c r="A15" s="782"/>
      <c r="B15" s="782"/>
      <c r="C15" s="782"/>
      <c r="D15" s="782"/>
      <c r="E15" s="782"/>
      <c r="F15" s="782"/>
      <c r="G15" s="782"/>
      <c r="H15" s="782"/>
      <c r="I15" s="782"/>
      <c r="J15" s="782"/>
      <c r="K15" s="782"/>
      <c r="L15" s="782"/>
      <c r="M15" s="782"/>
      <c r="N15" s="782"/>
      <c r="O15" s="782"/>
      <c r="P15" s="782"/>
      <c r="Q15" s="782"/>
      <c r="R15" s="782"/>
      <c r="S15" s="782"/>
      <c r="T15" s="782"/>
      <c r="U15" s="782"/>
      <c r="V15" s="782"/>
      <c r="W15" s="782"/>
      <c r="X15" s="782"/>
      <c r="Y15" s="782"/>
      <c r="Z15" s="782"/>
      <c r="AA15" s="782"/>
      <c r="AB15" s="782"/>
      <c r="AC15" s="782"/>
      <c r="AD15" s="782"/>
      <c r="AE15" s="782"/>
      <c r="AF15" s="782"/>
      <c r="AG15" s="782"/>
      <c r="AH15" s="782"/>
      <c r="AI15" s="782"/>
      <c r="AJ15" s="782"/>
      <c r="AK15" s="782"/>
      <c r="AL15" s="782"/>
      <c r="AM15" s="782"/>
      <c r="AN15" s="782"/>
      <c r="AO15" s="782"/>
      <c r="AP15" s="782"/>
      <c r="AQ15" s="782"/>
      <c r="AR15" s="782"/>
      <c r="AS15" s="782"/>
      <c r="AT15" s="782"/>
      <c r="AU15" s="782"/>
      <c r="AV15" s="782"/>
      <c r="AW15" s="782"/>
      <c r="AX15" s="782"/>
      <c r="AY15" s="782"/>
      <c r="AZ15" s="782"/>
      <c r="BA15" s="782"/>
      <c r="BB15" s="782"/>
      <c r="BC15" s="782"/>
      <c r="BD15" s="782"/>
      <c r="BE15" s="782"/>
      <c r="BF15" s="782"/>
      <c r="BG15" s="782"/>
      <c r="BH15" s="782"/>
      <c r="BI15" s="782"/>
      <c r="BJ15" s="782"/>
      <c r="BK15" s="782"/>
      <c r="BL15" s="782"/>
      <c r="BM15" s="782"/>
      <c r="BN15" s="782"/>
      <c r="BO15" s="782"/>
      <c r="BP15" s="782"/>
      <c r="BQ15" s="782"/>
      <c r="BR15" s="782"/>
      <c r="BS15" s="782"/>
      <c r="BT15" s="782"/>
      <c r="BU15" s="782"/>
      <c r="BV15" s="782"/>
      <c r="BW15" s="782"/>
      <c r="BX15" s="782"/>
      <c r="BY15" s="782"/>
      <c r="BZ15" s="782"/>
      <c r="CA15" s="782"/>
      <c r="CB15" s="782"/>
      <c r="CC15" s="782"/>
      <c r="CD15" s="782"/>
      <c r="CE15" s="782"/>
      <c r="CF15" s="782"/>
      <c r="CG15" s="782"/>
      <c r="CH15" s="782"/>
      <c r="CI15" s="782"/>
      <c r="CJ15" s="782"/>
      <c r="CK15" s="782"/>
      <c r="CL15" s="782"/>
      <c r="CM15" s="782"/>
      <c r="CN15" s="782"/>
      <c r="CO15" s="782"/>
      <c r="CP15" s="782"/>
      <c r="CQ15" s="782"/>
      <c r="CR15" s="782"/>
      <c r="CS15" s="782"/>
      <c r="CT15" s="782"/>
      <c r="CU15" s="782"/>
      <c r="CV15" s="782"/>
      <c r="CW15" s="782"/>
      <c r="CX15" s="782"/>
      <c r="CY15" s="782"/>
      <c r="CZ15" s="782"/>
      <c r="DA15" s="782"/>
      <c r="DB15" s="782"/>
      <c r="DC15" s="782"/>
      <c r="DD15" s="782"/>
      <c r="DE15" s="782"/>
      <c r="DF15" s="782"/>
      <c r="DG15" s="782"/>
      <c r="DH15" s="782"/>
      <c r="DI15" s="782"/>
      <c r="DJ15" s="782"/>
      <c r="DK15" s="782"/>
      <c r="DL15" s="782"/>
      <c r="DM15" s="782"/>
      <c r="DN15" s="782"/>
      <c r="DO15" s="782"/>
      <c r="DP15" s="782"/>
      <c r="DQ15" s="782"/>
      <c r="DR15" s="782"/>
      <c r="DS15" s="782"/>
      <c r="DT15" s="782"/>
      <c r="DU15" s="782"/>
      <c r="DV15" s="782"/>
      <c r="DW15" s="782"/>
      <c r="DX15" s="782"/>
      <c r="DY15" s="782"/>
      <c r="DZ15" s="782"/>
      <c r="EA15" s="782"/>
      <c r="EB15" s="782"/>
      <c r="EC15" s="782"/>
      <c r="ED15" s="782"/>
      <c r="EE15" s="782"/>
      <c r="EF15" s="782"/>
      <c r="EG15" s="782"/>
      <c r="EH15" s="782"/>
    </row>
    <row r="16" spans="1:138" ht="12.75" customHeight="1" x14ac:dyDescent="0.3">
      <c r="A16" s="782"/>
      <c r="B16" s="796" t="s">
        <v>6</v>
      </c>
      <c r="C16" s="782"/>
      <c r="D16" s="782"/>
      <c r="E16" s="797"/>
      <c r="F16" s="782"/>
      <c r="G16" s="782"/>
      <c r="H16" s="782"/>
      <c r="I16" s="782"/>
      <c r="J16" s="782"/>
      <c r="K16" s="782"/>
      <c r="L16" s="782"/>
      <c r="M16" s="782"/>
      <c r="N16" s="782"/>
      <c r="O16" s="782"/>
      <c r="P16" s="782"/>
      <c r="Q16" s="782"/>
      <c r="R16" s="782"/>
      <c r="S16" s="782"/>
      <c r="T16" s="782"/>
      <c r="U16" s="782"/>
      <c r="V16" s="782"/>
      <c r="W16" s="782"/>
      <c r="X16" s="782"/>
      <c r="Y16" s="782"/>
      <c r="Z16" s="782"/>
      <c r="AA16" s="782"/>
      <c r="AB16" s="782"/>
      <c r="AC16" s="782"/>
      <c r="AD16" s="782"/>
      <c r="AE16" s="782"/>
      <c r="AF16" s="782"/>
      <c r="AG16" s="782"/>
      <c r="AH16" s="782"/>
      <c r="AI16" s="782"/>
      <c r="AJ16" s="782"/>
      <c r="AK16" s="782"/>
      <c r="AL16" s="782"/>
      <c r="AM16" s="782"/>
      <c r="AN16" s="782"/>
      <c r="AO16" s="782"/>
      <c r="AP16" s="782"/>
      <c r="AQ16" s="782"/>
      <c r="AR16" s="782"/>
      <c r="AS16" s="782"/>
      <c r="AT16" s="782"/>
      <c r="AU16" s="782"/>
      <c r="AV16" s="782"/>
      <c r="AW16" s="782"/>
      <c r="AX16" s="782"/>
      <c r="AY16" s="782"/>
      <c r="AZ16" s="782"/>
      <c r="BA16" s="782"/>
      <c r="BB16" s="782"/>
      <c r="BC16" s="782"/>
      <c r="BD16" s="782"/>
      <c r="BE16" s="782"/>
      <c r="BF16" s="782"/>
      <c r="BG16" s="782"/>
      <c r="BH16" s="782"/>
      <c r="BI16" s="782"/>
      <c r="BJ16" s="782"/>
      <c r="BK16" s="782"/>
      <c r="BL16" s="782"/>
      <c r="BM16" s="782"/>
      <c r="BN16" s="782"/>
      <c r="BO16" s="782"/>
      <c r="BP16" s="782"/>
      <c r="BQ16" s="782"/>
      <c r="BR16" s="782"/>
      <c r="BS16" s="782"/>
      <c r="BT16" s="782"/>
      <c r="BU16" s="782"/>
      <c r="BV16" s="782"/>
      <c r="BW16" s="782"/>
      <c r="BX16" s="782"/>
      <c r="BY16" s="782"/>
      <c r="BZ16" s="782"/>
      <c r="CA16" s="782"/>
      <c r="CB16" s="782"/>
      <c r="CC16" s="782"/>
      <c r="CD16" s="782"/>
      <c r="CE16" s="782"/>
      <c r="CF16" s="782"/>
      <c r="CG16" s="782"/>
      <c r="CH16" s="782"/>
      <c r="CI16" s="782"/>
      <c r="CJ16" s="782"/>
      <c r="CK16" s="782"/>
      <c r="CL16" s="782"/>
      <c r="CM16" s="782"/>
      <c r="CN16" s="782"/>
      <c r="CO16" s="782"/>
      <c r="CP16" s="782"/>
      <c r="CQ16" s="782"/>
      <c r="CR16" s="782"/>
      <c r="CS16" s="782"/>
      <c r="CT16" s="782"/>
      <c r="CU16" s="782"/>
      <c r="CV16" s="782"/>
      <c r="CW16" s="782"/>
      <c r="CX16" s="782"/>
      <c r="CY16" s="782"/>
      <c r="CZ16" s="782"/>
      <c r="DA16" s="782"/>
      <c r="DB16" s="782"/>
      <c r="DC16" s="782"/>
      <c r="DD16" s="782"/>
      <c r="DE16" s="782"/>
      <c r="DF16" s="782"/>
      <c r="DG16" s="782"/>
      <c r="DH16" s="782"/>
      <c r="DI16" s="782"/>
      <c r="DJ16" s="782"/>
      <c r="DK16" s="782"/>
      <c r="DL16" s="782"/>
      <c r="DM16" s="782"/>
      <c r="DN16" s="782"/>
      <c r="DO16" s="782"/>
      <c r="DP16" s="782"/>
      <c r="DQ16" s="782"/>
      <c r="DR16" s="782"/>
      <c r="DS16" s="782"/>
      <c r="DT16" s="782"/>
      <c r="DU16" s="782"/>
      <c r="DV16" s="782"/>
      <c r="DW16" s="782"/>
      <c r="DX16" s="782"/>
      <c r="DY16" s="782"/>
      <c r="DZ16" s="782"/>
      <c r="EA16" s="782"/>
      <c r="EB16" s="782"/>
      <c r="EC16" s="782"/>
      <c r="ED16" s="782"/>
      <c r="EE16" s="782"/>
      <c r="EF16" s="782"/>
      <c r="EG16" s="782"/>
      <c r="EH16" s="782"/>
    </row>
    <row r="17" spans="1:138" ht="12.75" customHeight="1" x14ac:dyDescent="0.3">
      <c r="A17" s="782"/>
      <c r="B17" s="782"/>
      <c r="C17" s="782"/>
      <c r="D17" s="782"/>
      <c r="E17" s="782"/>
      <c r="F17" s="782"/>
      <c r="G17" s="782"/>
      <c r="H17" s="782"/>
      <c r="I17" s="782"/>
      <c r="J17" s="782"/>
      <c r="K17" s="782"/>
      <c r="L17" s="782"/>
      <c r="M17" s="782"/>
      <c r="N17" s="782"/>
      <c r="O17" s="782"/>
      <c r="P17" s="782"/>
      <c r="Q17" s="782"/>
      <c r="R17" s="782"/>
      <c r="S17" s="782"/>
      <c r="T17" s="782"/>
      <c r="U17" s="782"/>
      <c r="V17" s="782"/>
      <c r="W17" s="782"/>
      <c r="X17" s="782"/>
      <c r="Y17" s="782"/>
      <c r="Z17" s="782"/>
      <c r="AA17" s="782"/>
      <c r="AB17" s="782"/>
      <c r="AC17" s="782"/>
      <c r="AD17" s="782"/>
      <c r="AE17" s="782"/>
      <c r="AF17" s="782"/>
      <c r="AG17" s="782"/>
      <c r="AH17" s="782"/>
      <c r="AI17" s="782"/>
      <c r="AJ17" s="782"/>
      <c r="AK17" s="782"/>
      <c r="AL17" s="782"/>
      <c r="AM17" s="782"/>
      <c r="AN17" s="782"/>
      <c r="AO17" s="782"/>
      <c r="AP17" s="782"/>
      <c r="AQ17" s="782"/>
      <c r="AR17" s="782"/>
      <c r="AS17" s="782"/>
      <c r="AT17" s="782"/>
      <c r="AU17" s="782"/>
      <c r="AV17" s="782"/>
      <c r="AW17" s="782"/>
      <c r="AX17" s="782"/>
      <c r="AY17" s="782"/>
      <c r="AZ17" s="782"/>
      <c r="BA17" s="782"/>
      <c r="BB17" s="782"/>
      <c r="BC17" s="782"/>
      <c r="BD17" s="782"/>
      <c r="BE17" s="782"/>
      <c r="BF17" s="782"/>
      <c r="BG17" s="782"/>
      <c r="BH17" s="782"/>
      <c r="BI17" s="782"/>
      <c r="BJ17" s="782"/>
      <c r="BK17" s="782"/>
      <c r="BL17" s="782"/>
      <c r="BM17" s="782"/>
      <c r="BN17" s="782"/>
      <c r="BO17" s="782"/>
      <c r="BP17" s="782"/>
      <c r="BQ17" s="782"/>
      <c r="BR17" s="782"/>
      <c r="BS17" s="782"/>
      <c r="BT17" s="782"/>
      <c r="BU17" s="782"/>
      <c r="BV17" s="782"/>
      <c r="BW17" s="782"/>
      <c r="BX17" s="782"/>
      <c r="BY17" s="782"/>
      <c r="BZ17" s="782"/>
      <c r="CA17" s="782"/>
      <c r="CB17" s="782"/>
      <c r="CC17" s="782"/>
      <c r="CD17" s="782"/>
      <c r="CE17" s="782"/>
      <c r="CF17" s="782"/>
      <c r="CG17" s="782"/>
      <c r="CH17" s="782"/>
      <c r="CI17" s="782"/>
      <c r="CJ17" s="782"/>
      <c r="CK17" s="782"/>
      <c r="CL17" s="782"/>
      <c r="CM17" s="782"/>
      <c r="CN17" s="782"/>
      <c r="CO17" s="782"/>
      <c r="CP17" s="782"/>
      <c r="CQ17" s="782"/>
      <c r="CR17" s="782"/>
      <c r="CS17" s="782"/>
      <c r="CT17" s="782"/>
      <c r="CU17" s="782"/>
      <c r="CV17" s="782"/>
      <c r="CW17" s="782"/>
      <c r="CX17" s="782"/>
      <c r="CY17" s="782"/>
      <c r="CZ17" s="782"/>
      <c r="DA17" s="782"/>
      <c r="DB17" s="782"/>
      <c r="DC17" s="782"/>
      <c r="DD17" s="782"/>
      <c r="DE17" s="782"/>
      <c r="DF17" s="782"/>
      <c r="DG17" s="782"/>
      <c r="DH17" s="782"/>
      <c r="DI17" s="782"/>
      <c r="DJ17" s="782"/>
      <c r="DK17" s="782"/>
      <c r="DL17" s="782"/>
      <c r="DM17" s="782"/>
      <c r="DN17" s="782"/>
      <c r="DO17" s="782"/>
      <c r="DP17" s="782"/>
      <c r="DQ17" s="782"/>
      <c r="DR17" s="782"/>
      <c r="DS17" s="782"/>
      <c r="DT17" s="782"/>
      <c r="DU17" s="782"/>
      <c r="DV17" s="782"/>
      <c r="DW17" s="782"/>
      <c r="DX17" s="782"/>
      <c r="DY17" s="782"/>
      <c r="DZ17" s="782"/>
      <c r="EA17" s="782"/>
      <c r="EB17" s="782"/>
      <c r="EC17" s="782"/>
      <c r="ED17" s="782"/>
      <c r="EE17" s="782"/>
      <c r="EF17" s="782"/>
      <c r="EG17" s="782"/>
      <c r="EH17" s="782"/>
    </row>
    <row r="18" spans="1:138" ht="12.75" customHeight="1" x14ac:dyDescent="0.3">
      <c r="A18" s="782"/>
      <c r="B18" s="782" t="s">
        <v>7</v>
      </c>
      <c r="C18" s="798">
        <f t="shared" ref="C18:C23" si="10">SUM(E18:EG18)</f>
        <v>-75647698.216711149</v>
      </c>
      <c r="D18" s="782"/>
      <c r="E18" s="798">
        <f>E144+E146+E147+E148</f>
        <v>-1050423.5</v>
      </c>
      <c r="F18" s="798">
        <f t="shared" ref="F18:BQ18" si="11">F144+F146+F147+F148</f>
        <v>-15196690.31702359</v>
      </c>
      <c r="G18" s="798">
        <f t="shared" si="11"/>
        <v>-474509.54329989548</v>
      </c>
      <c r="H18" s="798">
        <f t="shared" si="11"/>
        <v>-722018.0475038616</v>
      </c>
      <c r="I18" s="798">
        <f t="shared" si="11"/>
        <v>-1228351.4260033614</v>
      </c>
      <c r="J18" s="798">
        <f t="shared" si="11"/>
        <v>-2006445.0862433794</v>
      </c>
      <c r="K18" s="798">
        <f t="shared" si="11"/>
        <v>-2065277.2828140815</v>
      </c>
      <c r="L18" s="798">
        <f t="shared" si="11"/>
        <v>-2632556.0946173389</v>
      </c>
      <c r="M18" s="798">
        <f t="shared" si="11"/>
        <v>-3123311.3752459437</v>
      </c>
      <c r="N18" s="798">
        <f t="shared" si="11"/>
        <v>-3656644.6239059591</v>
      </c>
      <c r="O18" s="798">
        <f t="shared" si="11"/>
        <v>-3785748.5469404557</v>
      </c>
      <c r="P18" s="798">
        <f t="shared" si="11"/>
        <v>-3973227.8916334044</v>
      </c>
      <c r="Q18" s="798">
        <f t="shared" si="11"/>
        <v>-4002111.7846771218</v>
      </c>
      <c r="R18" s="798">
        <f t="shared" si="11"/>
        <v>-4019169.6259984085</v>
      </c>
      <c r="S18" s="798">
        <f t="shared" si="11"/>
        <v>-3656461.0218301825</v>
      </c>
      <c r="T18" s="798">
        <f t="shared" si="11"/>
        <v>-3526727.9926010724</v>
      </c>
      <c r="U18" s="798">
        <f t="shared" si="11"/>
        <v>-3233512.1230194378</v>
      </c>
      <c r="V18" s="798">
        <f t="shared" si="11"/>
        <v>-2908178.6030497667</v>
      </c>
      <c r="W18" s="798">
        <f t="shared" si="11"/>
        <v>-2908042.6298841243</v>
      </c>
      <c r="X18" s="798">
        <f t="shared" si="11"/>
        <v>-2688345.4322236395</v>
      </c>
      <c r="Y18" s="798">
        <f t="shared" si="11"/>
        <v>-2277774.3160375813</v>
      </c>
      <c r="Z18" s="798">
        <f t="shared" si="11"/>
        <v>-1970758.1678499444</v>
      </c>
      <c r="AA18" s="798">
        <f t="shared" si="11"/>
        <v>-1683724.0887717006</v>
      </c>
      <c r="AB18" s="798">
        <f t="shared" si="11"/>
        <v>-1195203.6710752379</v>
      </c>
      <c r="AC18" s="798">
        <f t="shared" si="11"/>
        <v>-987780.74024430034</v>
      </c>
      <c r="AD18" s="798">
        <f t="shared" si="11"/>
        <v>-674704.28421734134</v>
      </c>
      <c r="AE18" s="798">
        <f t="shared" si="11"/>
        <v>0</v>
      </c>
      <c r="AF18" s="798">
        <f t="shared" si="11"/>
        <v>0</v>
      </c>
      <c r="AG18" s="798">
        <f t="shared" si="11"/>
        <v>0</v>
      </c>
      <c r="AH18" s="798">
        <f t="shared" si="11"/>
        <v>0</v>
      </c>
      <c r="AI18" s="798">
        <f t="shared" si="11"/>
        <v>0</v>
      </c>
      <c r="AJ18" s="798">
        <f t="shared" si="11"/>
        <v>0</v>
      </c>
      <c r="AK18" s="798">
        <f t="shared" si="11"/>
        <v>0</v>
      </c>
      <c r="AL18" s="798">
        <f t="shared" si="11"/>
        <v>0</v>
      </c>
      <c r="AM18" s="798">
        <f t="shared" si="11"/>
        <v>0</v>
      </c>
      <c r="AN18" s="798">
        <f t="shared" si="11"/>
        <v>0</v>
      </c>
      <c r="AO18" s="798">
        <f t="shared" si="11"/>
        <v>0</v>
      </c>
      <c r="AP18" s="798">
        <f t="shared" si="11"/>
        <v>0</v>
      </c>
      <c r="AQ18" s="798">
        <f t="shared" si="11"/>
        <v>0</v>
      </c>
      <c r="AR18" s="798">
        <f t="shared" si="11"/>
        <v>0</v>
      </c>
      <c r="AS18" s="798">
        <f t="shared" si="11"/>
        <v>0</v>
      </c>
      <c r="AT18" s="798">
        <f t="shared" si="11"/>
        <v>0</v>
      </c>
      <c r="AU18" s="798">
        <f t="shared" si="11"/>
        <v>0</v>
      </c>
      <c r="AV18" s="798">
        <f t="shared" si="11"/>
        <v>0</v>
      </c>
      <c r="AW18" s="798">
        <f t="shared" si="11"/>
        <v>0</v>
      </c>
      <c r="AX18" s="798">
        <f t="shared" si="11"/>
        <v>0</v>
      </c>
      <c r="AY18" s="798">
        <f t="shared" si="11"/>
        <v>0</v>
      </c>
      <c r="AZ18" s="798">
        <f t="shared" si="11"/>
        <v>0</v>
      </c>
      <c r="BA18" s="798">
        <f t="shared" si="11"/>
        <v>0</v>
      </c>
      <c r="BB18" s="798">
        <f t="shared" si="11"/>
        <v>0</v>
      </c>
      <c r="BC18" s="798">
        <f t="shared" si="11"/>
        <v>0</v>
      </c>
      <c r="BD18" s="798">
        <f t="shared" si="11"/>
        <v>0</v>
      </c>
      <c r="BE18" s="798">
        <f t="shared" si="11"/>
        <v>0</v>
      </c>
      <c r="BF18" s="798">
        <f t="shared" si="11"/>
        <v>0</v>
      </c>
      <c r="BG18" s="798">
        <f t="shared" si="11"/>
        <v>0</v>
      </c>
      <c r="BH18" s="798">
        <f t="shared" si="11"/>
        <v>0</v>
      </c>
      <c r="BI18" s="798">
        <f t="shared" si="11"/>
        <v>0</v>
      </c>
      <c r="BJ18" s="798">
        <f t="shared" si="11"/>
        <v>0</v>
      </c>
      <c r="BK18" s="798">
        <f t="shared" si="11"/>
        <v>0</v>
      </c>
      <c r="BL18" s="798">
        <f t="shared" si="11"/>
        <v>0</v>
      </c>
      <c r="BM18" s="798">
        <f t="shared" si="11"/>
        <v>0</v>
      </c>
      <c r="BN18" s="798">
        <f t="shared" si="11"/>
        <v>0</v>
      </c>
      <c r="BO18" s="798">
        <f t="shared" si="11"/>
        <v>0</v>
      </c>
      <c r="BP18" s="798">
        <f t="shared" si="11"/>
        <v>0</v>
      </c>
      <c r="BQ18" s="798">
        <f t="shared" si="11"/>
        <v>0</v>
      </c>
      <c r="BR18" s="798">
        <f t="shared" ref="BR18:EC18" si="12">BR144+BR146+BR147+BR148</f>
        <v>0</v>
      </c>
      <c r="BS18" s="798">
        <f t="shared" si="12"/>
        <v>0</v>
      </c>
      <c r="BT18" s="798">
        <f t="shared" si="12"/>
        <v>0</v>
      </c>
      <c r="BU18" s="798">
        <f t="shared" si="12"/>
        <v>0</v>
      </c>
      <c r="BV18" s="798">
        <f t="shared" si="12"/>
        <v>0</v>
      </c>
      <c r="BW18" s="798">
        <f t="shared" si="12"/>
        <v>0</v>
      </c>
      <c r="BX18" s="798">
        <f t="shared" si="12"/>
        <v>0</v>
      </c>
      <c r="BY18" s="798">
        <f t="shared" si="12"/>
        <v>0</v>
      </c>
      <c r="BZ18" s="798">
        <f t="shared" si="12"/>
        <v>0</v>
      </c>
      <c r="CA18" s="798">
        <f t="shared" si="12"/>
        <v>0</v>
      </c>
      <c r="CB18" s="798">
        <f t="shared" si="12"/>
        <v>0</v>
      </c>
      <c r="CC18" s="798">
        <f t="shared" si="12"/>
        <v>0</v>
      </c>
      <c r="CD18" s="798">
        <f t="shared" si="12"/>
        <v>0</v>
      </c>
      <c r="CE18" s="798">
        <f t="shared" si="12"/>
        <v>0</v>
      </c>
      <c r="CF18" s="798">
        <f t="shared" si="12"/>
        <v>0</v>
      </c>
      <c r="CG18" s="798">
        <f t="shared" si="12"/>
        <v>0</v>
      </c>
      <c r="CH18" s="798">
        <f t="shared" si="12"/>
        <v>0</v>
      </c>
      <c r="CI18" s="798">
        <f t="shared" si="12"/>
        <v>0</v>
      </c>
      <c r="CJ18" s="798">
        <f t="shared" si="12"/>
        <v>0</v>
      </c>
      <c r="CK18" s="798">
        <f t="shared" si="12"/>
        <v>0</v>
      </c>
      <c r="CL18" s="798">
        <f t="shared" si="12"/>
        <v>0</v>
      </c>
      <c r="CM18" s="798">
        <f t="shared" si="12"/>
        <v>0</v>
      </c>
      <c r="CN18" s="798">
        <f t="shared" si="12"/>
        <v>0</v>
      </c>
      <c r="CO18" s="798">
        <f t="shared" si="12"/>
        <v>0</v>
      </c>
      <c r="CP18" s="798">
        <f t="shared" si="12"/>
        <v>0</v>
      </c>
      <c r="CQ18" s="798">
        <f t="shared" si="12"/>
        <v>0</v>
      </c>
      <c r="CR18" s="798">
        <f t="shared" si="12"/>
        <v>0</v>
      </c>
      <c r="CS18" s="798">
        <f t="shared" si="12"/>
        <v>0</v>
      </c>
      <c r="CT18" s="798">
        <f t="shared" si="12"/>
        <v>0</v>
      </c>
      <c r="CU18" s="798">
        <f t="shared" si="12"/>
        <v>0</v>
      </c>
      <c r="CV18" s="798">
        <f t="shared" si="12"/>
        <v>0</v>
      </c>
      <c r="CW18" s="798">
        <f t="shared" si="12"/>
        <v>0</v>
      </c>
      <c r="CX18" s="798">
        <f t="shared" si="12"/>
        <v>0</v>
      </c>
      <c r="CY18" s="798">
        <f t="shared" si="12"/>
        <v>0</v>
      </c>
      <c r="CZ18" s="798">
        <f t="shared" si="12"/>
        <v>0</v>
      </c>
      <c r="DA18" s="798">
        <f t="shared" si="12"/>
        <v>0</v>
      </c>
      <c r="DB18" s="798">
        <f t="shared" si="12"/>
        <v>0</v>
      </c>
      <c r="DC18" s="798">
        <f t="shared" si="12"/>
        <v>0</v>
      </c>
      <c r="DD18" s="798">
        <f t="shared" si="12"/>
        <v>0</v>
      </c>
      <c r="DE18" s="798">
        <f t="shared" si="12"/>
        <v>0</v>
      </c>
      <c r="DF18" s="798">
        <f t="shared" si="12"/>
        <v>0</v>
      </c>
      <c r="DG18" s="798">
        <f t="shared" si="12"/>
        <v>0</v>
      </c>
      <c r="DH18" s="798">
        <f t="shared" si="12"/>
        <v>0</v>
      </c>
      <c r="DI18" s="798">
        <f t="shared" si="12"/>
        <v>0</v>
      </c>
      <c r="DJ18" s="798">
        <f t="shared" si="12"/>
        <v>0</v>
      </c>
      <c r="DK18" s="798">
        <f t="shared" si="12"/>
        <v>0</v>
      </c>
      <c r="DL18" s="798">
        <f t="shared" si="12"/>
        <v>0</v>
      </c>
      <c r="DM18" s="798">
        <f t="shared" si="12"/>
        <v>0</v>
      </c>
      <c r="DN18" s="798">
        <f t="shared" si="12"/>
        <v>0</v>
      </c>
      <c r="DO18" s="798">
        <f t="shared" si="12"/>
        <v>0</v>
      </c>
      <c r="DP18" s="798">
        <f t="shared" si="12"/>
        <v>0</v>
      </c>
      <c r="DQ18" s="798">
        <f t="shared" si="12"/>
        <v>0</v>
      </c>
      <c r="DR18" s="798">
        <f t="shared" si="12"/>
        <v>0</v>
      </c>
      <c r="DS18" s="798">
        <f t="shared" si="12"/>
        <v>0</v>
      </c>
      <c r="DT18" s="798">
        <f t="shared" si="12"/>
        <v>0</v>
      </c>
      <c r="DU18" s="798">
        <f t="shared" si="12"/>
        <v>0</v>
      </c>
      <c r="DV18" s="798">
        <f t="shared" si="12"/>
        <v>0</v>
      </c>
      <c r="DW18" s="798">
        <f t="shared" si="12"/>
        <v>0</v>
      </c>
      <c r="DX18" s="798">
        <f t="shared" si="12"/>
        <v>0</v>
      </c>
      <c r="DY18" s="798">
        <f t="shared" si="12"/>
        <v>0</v>
      </c>
      <c r="DZ18" s="798">
        <f t="shared" si="12"/>
        <v>0</v>
      </c>
      <c r="EA18" s="798">
        <f t="shared" si="12"/>
        <v>0</v>
      </c>
      <c r="EB18" s="798">
        <f t="shared" si="12"/>
        <v>0</v>
      </c>
      <c r="EC18" s="798">
        <f t="shared" si="12"/>
        <v>0</v>
      </c>
      <c r="ED18" s="798">
        <f>ED144+ED146+ED147+ED148</f>
        <v>0</v>
      </c>
      <c r="EE18" s="798">
        <f>EE144+EE146+EE147+EE148</f>
        <v>0</v>
      </c>
      <c r="EF18" s="798">
        <f>EF144+EF146+EF147+EF148</f>
        <v>0</v>
      </c>
      <c r="EG18" s="798">
        <f>EG144+EG146+EG147+EG148</f>
        <v>0</v>
      </c>
      <c r="EH18" s="782"/>
    </row>
    <row r="19" spans="1:138" ht="12.75" customHeight="1" x14ac:dyDescent="0.3">
      <c r="A19" s="782"/>
      <c r="B19" s="782" t="s">
        <v>8</v>
      </c>
      <c r="C19" s="798">
        <f t="shared" si="10"/>
        <v>37413661.974816911</v>
      </c>
      <c r="D19" s="782"/>
      <c r="E19" s="798">
        <f t="shared" ref="E19:BP19" si="13">E166*E12</f>
        <v>0</v>
      </c>
      <c r="F19" s="798">
        <f t="shared" si="13"/>
        <v>0</v>
      </c>
      <c r="G19" s="798">
        <f t="shared" si="13"/>
        <v>0</v>
      </c>
      <c r="H19" s="798">
        <f t="shared" si="13"/>
        <v>0</v>
      </c>
      <c r="I19" s="798">
        <f t="shared" si="13"/>
        <v>0</v>
      </c>
      <c r="J19" s="798">
        <f t="shared" si="13"/>
        <v>0</v>
      </c>
      <c r="K19" s="798">
        <f t="shared" si="13"/>
        <v>0</v>
      </c>
      <c r="L19" s="798">
        <f t="shared" si="13"/>
        <v>0</v>
      </c>
      <c r="M19" s="798">
        <f t="shared" si="13"/>
        <v>0</v>
      </c>
      <c r="N19" s="798">
        <f t="shared" si="13"/>
        <v>0</v>
      </c>
      <c r="O19" s="798">
        <f t="shared" si="13"/>
        <v>0</v>
      </c>
      <c r="P19" s="798">
        <f t="shared" si="13"/>
        <v>0</v>
      </c>
      <c r="Q19" s="798">
        <f t="shared" si="13"/>
        <v>0</v>
      </c>
      <c r="R19" s="798">
        <f t="shared" si="13"/>
        <v>0</v>
      </c>
      <c r="S19" s="798">
        <f t="shared" si="13"/>
        <v>-79914.316796474115</v>
      </c>
      <c r="T19" s="798">
        <f t="shared" si="13"/>
        <v>-82060.245337504763</v>
      </c>
      <c r="U19" s="798">
        <f t="shared" si="13"/>
        <v>-86595.158524060025</v>
      </c>
      <c r="V19" s="798">
        <f t="shared" si="13"/>
        <v>-56402.494005308195</v>
      </c>
      <c r="W19" s="798">
        <f t="shared" si="13"/>
        <v>-24108.319380961417</v>
      </c>
      <c r="X19" s="798">
        <f t="shared" si="13"/>
        <v>18209.854825437622</v>
      </c>
      <c r="Y19" s="798">
        <f t="shared" si="13"/>
        <v>56500.143230712856</v>
      </c>
      <c r="Z19" s="798">
        <f t="shared" si="13"/>
        <v>102946.80735325644</v>
      </c>
      <c r="AA19" s="798">
        <f t="shared" si="13"/>
        <v>157875.37404944244</v>
      </c>
      <c r="AB19" s="798">
        <f t="shared" si="13"/>
        <v>212821.87139084551</v>
      </c>
      <c r="AC19" s="798">
        <f t="shared" si="13"/>
        <v>267330.11645634141</v>
      </c>
      <c r="AD19" s="798">
        <f t="shared" si="13"/>
        <v>312914.23836094659</v>
      </c>
      <c r="AE19" s="798">
        <f t="shared" si="13"/>
        <v>362378.97728815104</v>
      </c>
      <c r="AF19" s="798">
        <f t="shared" si="13"/>
        <v>451816.95146866475</v>
      </c>
      <c r="AG19" s="798">
        <f t="shared" si="13"/>
        <v>455463.29312051495</v>
      </c>
      <c r="AH19" s="798">
        <f t="shared" si="13"/>
        <v>456766.44205825822</v>
      </c>
      <c r="AI19" s="798">
        <f t="shared" si="13"/>
        <v>458065.3754418912</v>
      </c>
      <c r="AJ19" s="798">
        <f t="shared" si="13"/>
        <v>460654.32296283479</v>
      </c>
      <c r="AK19" s="798">
        <f t="shared" si="13"/>
        <v>463449.9474365738</v>
      </c>
      <c r="AL19" s="798">
        <f t="shared" si="13"/>
        <v>466234.96025121264</v>
      </c>
      <c r="AM19" s="798">
        <f t="shared" si="13"/>
        <v>469009.17238545342</v>
      </c>
      <c r="AN19" s="798">
        <f t="shared" si="13"/>
        <v>471772.39311618236</v>
      </c>
      <c r="AO19" s="798">
        <f t="shared" si="13"/>
        <v>474524.4300057377</v>
      </c>
      <c r="AP19" s="798">
        <f t="shared" si="13"/>
        <v>476427.92519972794</v>
      </c>
      <c r="AQ19" s="798">
        <f t="shared" si="13"/>
        <v>479995.52264995797</v>
      </c>
      <c r="AR19" s="798">
        <f t="shared" si="13"/>
        <v>483111.49464400188</v>
      </c>
      <c r="AS19" s="798">
        <f t="shared" si="13"/>
        <v>478559.14972743276</v>
      </c>
      <c r="AT19" s="798">
        <f t="shared" si="13"/>
        <v>480413.89549620287</v>
      </c>
      <c r="AU19" s="798">
        <f t="shared" si="13"/>
        <v>482234.3525080363</v>
      </c>
      <c r="AV19" s="798">
        <f t="shared" si="13"/>
        <v>484797.01012287044</v>
      </c>
      <c r="AW19" s="798">
        <f t="shared" si="13"/>
        <v>487280.88465593872</v>
      </c>
      <c r="AX19" s="798">
        <f t="shared" si="13"/>
        <v>489685.28103279974</v>
      </c>
      <c r="AY19" s="798">
        <f t="shared" si="13"/>
        <v>492009.49970698566</v>
      </c>
      <c r="AZ19" s="798">
        <f t="shared" si="13"/>
        <v>494252.8366343138</v>
      </c>
      <c r="BA19" s="798">
        <f t="shared" si="13"/>
        <v>496414.58324705553</v>
      </c>
      <c r="BB19" s="798">
        <f t="shared" si="13"/>
        <v>497879.55965090473</v>
      </c>
      <c r="BC19" s="798">
        <f t="shared" si="13"/>
        <v>500499.7377364086</v>
      </c>
      <c r="BD19" s="798">
        <f t="shared" si="13"/>
        <v>502739.51848888909</v>
      </c>
      <c r="BE19" s="798">
        <f t="shared" si="13"/>
        <v>498921.91795716895</v>
      </c>
      <c r="BF19" s="798">
        <f t="shared" si="13"/>
        <v>500300.31760032848</v>
      </c>
      <c r="BG19" s="798">
        <f t="shared" si="13"/>
        <v>501702.61423743202</v>
      </c>
      <c r="BH19" s="798">
        <f t="shared" si="13"/>
        <v>503722.29047982744</v>
      </c>
      <c r="BI19" s="798">
        <f t="shared" si="13"/>
        <v>505795.49071748916</v>
      </c>
      <c r="BJ19" s="798">
        <f t="shared" si="13"/>
        <v>507922.58421359764</v>
      </c>
      <c r="BK19" s="798">
        <f t="shared" si="13"/>
        <v>510103.94224300748</v>
      </c>
      <c r="BL19" s="798">
        <f t="shared" si="13"/>
        <v>512339.93810215546</v>
      </c>
      <c r="BM19" s="798">
        <f t="shared" si="13"/>
        <v>514630.94711901579</v>
      </c>
      <c r="BN19" s="798">
        <f t="shared" si="13"/>
        <v>516276.25486014324</v>
      </c>
      <c r="BO19" s="798">
        <f t="shared" si="13"/>
        <v>519373.38611788041</v>
      </c>
      <c r="BP19" s="798">
        <f t="shared" si="13"/>
        <v>522135.37663094845</v>
      </c>
      <c r="BQ19" s="798">
        <f t="shared" ref="BQ19:EB19" si="14">BQ166*BQ12</f>
        <v>518419.06054923532</v>
      </c>
      <c r="BR19" s="798">
        <f t="shared" si="14"/>
        <v>520144.75562531978</v>
      </c>
      <c r="BS19" s="798">
        <f t="shared" si="14"/>
        <v>521875.14890061959</v>
      </c>
      <c r="BT19" s="798">
        <f t="shared" si="14"/>
        <v>524354.43330257526</v>
      </c>
      <c r="BU19" s="798">
        <f t="shared" si="14"/>
        <v>526843.58570303489</v>
      </c>
      <c r="BV19" s="798">
        <f t="shared" si="14"/>
        <v>529342.6460064312</v>
      </c>
      <c r="BW19" s="798">
        <f t="shared" si="14"/>
        <v>531851.65428017685</v>
      </c>
      <c r="BX19" s="798">
        <f t="shared" si="14"/>
        <v>534370.65075533488</v>
      </c>
      <c r="BY19" s="798">
        <f t="shared" si="14"/>
        <v>536899.67582729051</v>
      </c>
      <c r="BZ19" s="798">
        <f t="shared" si="14"/>
        <v>538675.87793313875</v>
      </c>
      <c r="CA19" s="798">
        <f t="shared" si="14"/>
        <v>541986.9194704449</v>
      </c>
      <c r="CB19" s="798">
        <f t="shared" si="14"/>
        <v>544900.04299266823</v>
      </c>
      <c r="CC19" s="798">
        <f t="shared" si="14"/>
        <v>541074.88530461828</v>
      </c>
      <c r="CD19" s="798">
        <f t="shared" si="14"/>
        <v>542870.51224912284</v>
      </c>
      <c r="CE19" s="798">
        <f t="shared" si="14"/>
        <v>544671.0285540293</v>
      </c>
      <c r="CF19" s="798">
        <f t="shared" si="14"/>
        <v>547252.08386614639</v>
      </c>
      <c r="CG19" s="798">
        <f t="shared" si="14"/>
        <v>549843.4168266108</v>
      </c>
      <c r="CH19" s="798">
        <f t="shared" si="14"/>
        <v>552445.06900818518</v>
      </c>
      <c r="CI19" s="798">
        <f t="shared" si="14"/>
        <v>555057.08215345629</v>
      </c>
      <c r="CJ19" s="798">
        <f t="shared" si="14"/>
        <v>557679.49817553197</v>
      </c>
      <c r="CK19" s="798">
        <f t="shared" si="14"/>
        <v>560312.35915874364</v>
      </c>
      <c r="CL19" s="798">
        <f t="shared" si="14"/>
        <v>562160.56809083058</v>
      </c>
      <c r="CM19" s="798">
        <f t="shared" si="14"/>
        <v>565608.48592620192</v>
      </c>
      <c r="CN19" s="798">
        <f t="shared" si="14"/>
        <v>568641.65831461549</v>
      </c>
      <c r="CO19" s="798">
        <f t="shared" si="14"/>
        <v>564703.83189703058</v>
      </c>
      <c r="CP19" s="798">
        <f t="shared" si="14"/>
        <v>566572.25632490334</v>
      </c>
      <c r="CQ19" s="798">
        <f t="shared" si="14"/>
        <v>568445.76913177711</v>
      </c>
      <c r="CR19" s="798">
        <f t="shared" si="14"/>
        <v>571132.80634623789</v>
      </c>
      <c r="CS19" s="798">
        <f t="shared" si="14"/>
        <v>573830.54795062961</v>
      </c>
      <c r="CT19" s="798">
        <f t="shared" si="14"/>
        <v>576539.03725601151</v>
      </c>
      <c r="CU19" s="798">
        <f t="shared" si="14"/>
        <v>579258.317750399</v>
      </c>
      <c r="CV19" s="798">
        <f t="shared" si="14"/>
        <v>581988.43309949036</v>
      </c>
      <c r="CW19" s="798">
        <f t="shared" si="14"/>
        <v>584729.42714739719</v>
      </c>
      <c r="CX19" s="798">
        <f t="shared" si="14"/>
        <v>0</v>
      </c>
      <c r="CY19" s="798">
        <f t="shared" si="14"/>
        <v>0</v>
      </c>
      <c r="CZ19" s="798">
        <f t="shared" si="14"/>
        <v>0</v>
      </c>
      <c r="DA19" s="798">
        <f t="shared" si="14"/>
        <v>0</v>
      </c>
      <c r="DB19" s="798">
        <f t="shared" si="14"/>
        <v>0</v>
      </c>
      <c r="DC19" s="798">
        <f t="shared" si="14"/>
        <v>0</v>
      </c>
      <c r="DD19" s="798">
        <f t="shared" si="14"/>
        <v>0</v>
      </c>
      <c r="DE19" s="798">
        <f t="shared" si="14"/>
        <v>0</v>
      </c>
      <c r="DF19" s="798">
        <f t="shared" si="14"/>
        <v>0</v>
      </c>
      <c r="DG19" s="798">
        <f t="shared" si="14"/>
        <v>0</v>
      </c>
      <c r="DH19" s="798">
        <f t="shared" si="14"/>
        <v>0</v>
      </c>
      <c r="DI19" s="798">
        <f t="shared" si="14"/>
        <v>0</v>
      </c>
      <c r="DJ19" s="798">
        <f t="shared" si="14"/>
        <v>0</v>
      </c>
      <c r="DK19" s="798">
        <f t="shared" si="14"/>
        <v>0</v>
      </c>
      <c r="DL19" s="798">
        <f t="shared" si="14"/>
        <v>0</v>
      </c>
      <c r="DM19" s="798">
        <f t="shared" si="14"/>
        <v>0</v>
      </c>
      <c r="DN19" s="798">
        <f t="shared" si="14"/>
        <v>0</v>
      </c>
      <c r="DO19" s="798">
        <f t="shared" si="14"/>
        <v>0</v>
      </c>
      <c r="DP19" s="798">
        <f t="shared" si="14"/>
        <v>0</v>
      </c>
      <c r="DQ19" s="798">
        <f t="shared" si="14"/>
        <v>0</v>
      </c>
      <c r="DR19" s="798">
        <f t="shared" si="14"/>
        <v>0</v>
      </c>
      <c r="DS19" s="798">
        <f t="shared" si="14"/>
        <v>0</v>
      </c>
      <c r="DT19" s="798">
        <f t="shared" si="14"/>
        <v>0</v>
      </c>
      <c r="DU19" s="798">
        <f t="shared" si="14"/>
        <v>0</v>
      </c>
      <c r="DV19" s="798">
        <f t="shared" si="14"/>
        <v>0</v>
      </c>
      <c r="DW19" s="798">
        <f t="shared" si="14"/>
        <v>0</v>
      </c>
      <c r="DX19" s="798">
        <f t="shared" si="14"/>
        <v>0</v>
      </c>
      <c r="DY19" s="798">
        <f t="shared" si="14"/>
        <v>0</v>
      </c>
      <c r="DZ19" s="798">
        <f t="shared" si="14"/>
        <v>0</v>
      </c>
      <c r="EA19" s="798">
        <f t="shared" si="14"/>
        <v>0</v>
      </c>
      <c r="EB19" s="798">
        <f t="shared" si="14"/>
        <v>0</v>
      </c>
      <c r="EC19" s="798">
        <f>EC166*EC12</f>
        <v>0</v>
      </c>
      <c r="ED19" s="798">
        <f>ED166*ED12</f>
        <v>0</v>
      </c>
      <c r="EE19" s="798">
        <f>EE166*EE12</f>
        <v>0</v>
      </c>
      <c r="EF19" s="798">
        <f>EF166*EF12</f>
        <v>0</v>
      </c>
      <c r="EG19" s="798">
        <f>EG166*EG12</f>
        <v>0</v>
      </c>
      <c r="EH19" s="782"/>
    </row>
    <row r="20" spans="1:138" ht="12.75" customHeight="1" x14ac:dyDescent="0.3">
      <c r="A20" s="782"/>
      <c r="B20" s="782" t="s">
        <v>9</v>
      </c>
      <c r="C20" s="798">
        <f t="shared" si="10"/>
        <v>-71428.57142857142</v>
      </c>
      <c r="D20" s="782"/>
      <c r="E20" s="798">
        <f>(E5=0)*-'Venture Assumptions'!$F$24*'Venture Assumptions'!$F$22</f>
        <v>-71428.57142857142</v>
      </c>
      <c r="F20" s="798">
        <f>(F5=0)*-'Venture Assumptions'!$F$24*'Venture Assumptions'!$F$22</f>
        <v>0</v>
      </c>
      <c r="G20" s="798">
        <f>(G5=0)*-'Venture Assumptions'!$F$24*'Venture Assumptions'!$F$22</f>
        <v>0</v>
      </c>
      <c r="H20" s="798">
        <f>(H5=0)*-'Venture Assumptions'!$F$24*'Venture Assumptions'!$F$22</f>
        <v>0</v>
      </c>
      <c r="I20" s="798">
        <f>(I5=0)*-'Venture Assumptions'!$F$24*'Venture Assumptions'!$F$22</f>
        <v>0</v>
      </c>
      <c r="J20" s="798">
        <f>(J5=0)*-'Venture Assumptions'!$F$24*'Venture Assumptions'!$F$22</f>
        <v>0</v>
      </c>
      <c r="K20" s="798">
        <f>(K5=0)*-'Venture Assumptions'!$F$24*'Venture Assumptions'!$F$22</f>
        <v>0</v>
      </c>
      <c r="L20" s="798">
        <f>(L5=0)*-'Venture Assumptions'!$F$24*'Venture Assumptions'!$F$22</f>
        <v>0</v>
      </c>
      <c r="M20" s="798">
        <f>(M5=0)*-'Venture Assumptions'!$F$24*'Venture Assumptions'!$F$22</f>
        <v>0</v>
      </c>
      <c r="N20" s="798">
        <f>(N5=0)*-'Venture Assumptions'!$F$24*'Venture Assumptions'!$F$22</f>
        <v>0</v>
      </c>
      <c r="O20" s="798">
        <f>(O5=0)*-'Venture Assumptions'!$F$24*'Venture Assumptions'!$F$22</f>
        <v>0</v>
      </c>
      <c r="P20" s="798">
        <f>(P5=0)*-'Venture Assumptions'!$F$24*'Venture Assumptions'!$F$22</f>
        <v>0</v>
      </c>
      <c r="Q20" s="798">
        <f>(Q5=0)*-'Venture Assumptions'!$F$24*'Venture Assumptions'!$F$22</f>
        <v>0</v>
      </c>
      <c r="R20" s="798">
        <f>(R5=0)*-'Venture Assumptions'!$F$24*'Venture Assumptions'!$F$22</f>
        <v>0</v>
      </c>
      <c r="S20" s="798">
        <f>(S5=0)*-'Venture Assumptions'!$F$24*'Venture Assumptions'!$F$22</f>
        <v>0</v>
      </c>
      <c r="T20" s="798">
        <f>(T5=0)*-'Venture Assumptions'!$F$24*'Venture Assumptions'!$F$22</f>
        <v>0</v>
      </c>
      <c r="U20" s="798">
        <f>(U5=0)*-'Venture Assumptions'!$F$24*'Venture Assumptions'!$F$22</f>
        <v>0</v>
      </c>
      <c r="V20" s="798">
        <f>(V5=0)*-'Venture Assumptions'!$F$24*'Venture Assumptions'!$F$22</f>
        <v>0</v>
      </c>
      <c r="W20" s="798">
        <f>(W5=0)*-'Venture Assumptions'!$F$24*'Venture Assumptions'!$F$22</f>
        <v>0</v>
      </c>
      <c r="X20" s="798">
        <f>(X5=0)*-'Venture Assumptions'!$F$24*'Venture Assumptions'!$F$22</f>
        <v>0</v>
      </c>
      <c r="Y20" s="798">
        <f>(Y5=0)*-'Venture Assumptions'!$F$24*'Venture Assumptions'!$F$22</f>
        <v>0</v>
      </c>
      <c r="Z20" s="798">
        <f>(Z5=0)*-'Venture Assumptions'!$F$24*'Venture Assumptions'!$F$22</f>
        <v>0</v>
      </c>
      <c r="AA20" s="798">
        <f>(AA5=0)*-'Venture Assumptions'!$F$24*'Venture Assumptions'!$F$22</f>
        <v>0</v>
      </c>
      <c r="AB20" s="798">
        <f>(AB5=0)*-'Venture Assumptions'!$F$24*'Venture Assumptions'!$F$22</f>
        <v>0</v>
      </c>
      <c r="AC20" s="798">
        <f>(AC5=0)*-'Venture Assumptions'!$F$24*'Venture Assumptions'!$F$22</f>
        <v>0</v>
      </c>
      <c r="AD20" s="798">
        <f>(AD5=0)*-'Venture Assumptions'!$F$24*'Venture Assumptions'!$F$22</f>
        <v>0</v>
      </c>
      <c r="AE20" s="798">
        <f>(AE5=0)*-'Venture Assumptions'!$F$24*'Venture Assumptions'!$F$22</f>
        <v>0</v>
      </c>
      <c r="AF20" s="798">
        <f>(AF5=0)*-'Venture Assumptions'!$F$24*'Venture Assumptions'!$F$22</f>
        <v>0</v>
      </c>
      <c r="AG20" s="798">
        <f>(AG5=0)*-'Venture Assumptions'!$F$24*'Venture Assumptions'!$F$22</f>
        <v>0</v>
      </c>
      <c r="AH20" s="798">
        <f>(AH5=0)*-'Venture Assumptions'!$F$24*'Venture Assumptions'!$F$22</f>
        <v>0</v>
      </c>
      <c r="AI20" s="798">
        <f>(AI5=0)*-'Venture Assumptions'!$F$24*'Venture Assumptions'!$F$22</f>
        <v>0</v>
      </c>
      <c r="AJ20" s="798">
        <f>(AJ5=0)*-'Venture Assumptions'!$F$24*'Venture Assumptions'!$F$22</f>
        <v>0</v>
      </c>
      <c r="AK20" s="798">
        <f>(AK5=0)*-'Venture Assumptions'!$F$24*'Venture Assumptions'!$F$22</f>
        <v>0</v>
      </c>
      <c r="AL20" s="798">
        <f>(AL5=0)*-'Venture Assumptions'!$F$24*'Venture Assumptions'!$F$22</f>
        <v>0</v>
      </c>
      <c r="AM20" s="798">
        <f>(AM5=0)*-'Venture Assumptions'!$F$24*'Venture Assumptions'!$F$22</f>
        <v>0</v>
      </c>
      <c r="AN20" s="798">
        <f>(AN5=0)*-'Venture Assumptions'!$F$24*'Venture Assumptions'!$F$22</f>
        <v>0</v>
      </c>
      <c r="AO20" s="798">
        <f>(AO5=0)*-'Venture Assumptions'!$F$24*'Venture Assumptions'!$F$22</f>
        <v>0</v>
      </c>
      <c r="AP20" s="798">
        <f>(AP5=0)*-'Venture Assumptions'!$F$24*'Venture Assumptions'!$F$22</f>
        <v>0</v>
      </c>
      <c r="AQ20" s="798">
        <f>(AQ5=0)*-'Venture Assumptions'!$F$24*'Venture Assumptions'!$F$22</f>
        <v>0</v>
      </c>
      <c r="AR20" s="798">
        <f>(AR5=0)*-'Venture Assumptions'!$F$24*'Venture Assumptions'!$F$22</f>
        <v>0</v>
      </c>
      <c r="AS20" s="798">
        <f>(AS5=0)*-'Venture Assumptions'!$F$24*'Venture Assumptions'!$F$22</f>
        <v>0</v>
      </c>
      <c r="AT20" s="798">
        <f>(AT5=0)*-'Venture Assumptions'!$F$24*'Venture Assumptions'!$F$22</f>
        <v>0</v>
      </c>
      <c r="AU20" s="798">
        <f>(AU5=0)*-'Venture Assumptions'!$F$24*'Venture Assumptions'!$F$22</f>
        <v>0</v>
      </c>
      <c r="AV20" s="798">
        <f>(AV5=0)*-'Venture Assumptions'!$F$24*'Venture Assumptions'!$F$22</f>
        <v>0</v>
      </c>
      <c r="AW20" s="798">
        <f>(AW5=0)*-'Venture Assumptions'!$F$24*'Venture Assumptions'!$F$22</f>
        <v>0</v>
      </c>
      <c r="AX20" s="798">
        <f>(AX5=0)*-'Venture Assumptions'!$F$24*'Venture Assumptions'!$F$22</f>
        <v>0</v>
      </c>
      <c r="AY20" s="798">
        <f>(AY5=0)*-'Venture Assumptions'!$F$24*'Venture Assumptions'!$F$22</f>
        <v>0</v>
      </c>
      <c r="AZ20" s="798">
        <f>(AZ5=0)*-'Venture Assumptions'!$F$24*'Venture Assumptions'!$F$22</f>
        <v>0</v>
      </c>
      <c r="BA20" s="798">
        <f>(BA5=0)*-'Venture Assumptions'!$F$24*'Venture Assumptions'!$F$22</f>
        <v>0</v>
      </c>
      <c r="BB20" s="798">
        <f>(BB5=0)*-'Venture Assumptions'!$F$24*'Venture Assumptions'!$F$22</f>
        <v>0</v>
      </c>
      <c r="BC20" s="798">
        <f>(BC5=0)*-'Venture Assumptions'!$F$24*'Venture Assumptions'!$F$22</f>
        <v>0</v>
      </c>
      <c r="BD20" s="798">
        <f>(BD5=0)*-'Venture Assumptions'!$F$24*'Venture Assumptions'!$F$22</f>
        <v>0</v>
      </c>
      <c r="BE20" s="798">
        <f>(BE5=0)*-'Venture Assumptions'!$F$24*'Venture Assumptions'!$F$22</f>
        <v>0</v>
      </c>
      <c r="BF20" s="798">
        <f>(BF5=0)*-'Venture Assumptions'!$F$24*'Venture Assumptions'!$F$22</f>
        <v>0</v>
      </c>
      <c r="BG20" s="798">
        <f>(BG5=0)*-'Venture Assumptions'!$F$24*'Venture Assumptions'!$F$22</f>
        <v>0</v>
      </c>
      <c r="BH20" s="798">
        <f>(BH5=0)*-'Venture Assumptions'!$F$24*'Venture Assumptions'!$F$22</f>
        <v>0</v>
      </c>
      <c r="BI20" s="798">
        <f>(BI5=0)*-'Venture Assumptions'!$F$24*'Venture Assumptions'!$F$22</f>
        <v>0</v>
      </c>
      <c r="BJ20" s="798">
        <f>(BJ5=0)*-'Venture Assumptions'!$F$24*'Venture Assumptions'!$F$22</f>
        <v>0</v>
      </c>
      <c r="BK20" s="798">
        <f>(BK5=0)*-'Venture Assumptions'!$F$24*'Venture Assumptions'!$F$22</f>
        <v>0</v>
      </c>
      <c r="BL20" s="798">
        <f>(BL5=0)*-'Venture Assumptions'!$F$24*'Venture Assumptions'!$F$22</f>
        <v>0</v>
      </c>
      <c r="BM20" s="798">
        <f>(BM5=0)*-'Venture Assumptions'!$F$24*'Venture Assumptions'!$F$22</f>
        <v>0</v>
      </c>
      <c r="BN20" s="798">
        <f>(BN5=0)*-'Venture Assumptions'!$F$24*'Venture Assumptions'!$F$22</f>
        <v>0</v>
      </c>
      <c r="BO20" s="798">
        <f>(BO5=0)*-'Venture Assumptions'!$F$24*'Venture Assumptions'!$F$22</f>
        <v>0</v>
      </c>
      <c r="BP20" s="798">
        <f>(BP5=0)*-'Venture Assumptions'!$F$24*'Venture Assumptions'!$F$22</f>
        <v>0</v>
      </c>
      <c r="BQ20" s="798">
        <f>(BQ5=0)*-'Venture Assumptions'!$F$24*'Venture Assumptions'!$F$22</f>
        <v>0</v>
      </c>
      <c r="BR20" s="798">
        <f>(BR5=0)*-'Venture Assumptions'!$F$24*'Venture Assumptions'!$F$22</f>
        <v>0</v>
      </c>
      <c r="BS20" s="798">
        <f>(BS5=0)*-'Venture Assumptions'!$F$24*'Venture Assumptions'!$F$22</f>
        <v>0</v>
      </c>
      <c r="BT20" s="798">
        <f>(BT5=0)*-'Venture Assumptions'!$F$24*'Venture Assumptions'!$F$22</f>
        <v>0</v>
      </c>
      <c r="BU20" s="798">
        <f>(BU5=0)*-'Venture Assumptions'!$F$24*'Venture Assumptions'!$F$22</f>
        <v>0</v>
      </c>
      <c r="BV20" s="798">
        <f>(BV5=0)*-'Venture Assumptions'!$F$24*'Venture Assumptions'!$F$22</f>
        <v>0</v>
      </c>
      <c r="BW20" s="798">
        <f>(BW5=0)*-'Venture Assumptions'!$F$24*'Venture Assumptions'!$F$22</f>
        <v>0</v>
      </c>
      <c r="BX20" s="798">
        <f>(BX5=0)*-'Venture Assumptions'!$F$24*'Venture Assumptions'!$F$22</f>
        <v>0</v>
      </c>
      <c r="BY20" s="798">
        <f>(BY5=0)*-'Venture Assumptions'!$F$24*'Venture Assumptions'!$F$22</f>
        <v>0</v>
      </c>
      <c r="BZ20" s="798">
        <f>(BZ5=0)*-'Venture Assumptions'!$F$24*'Venture Assumptions'!$F$22</f>
        <v>0</v>
      </c>
      <c r="CA20" s="798">
        <f>(CA5=0)*-'Venture Assumptions'!$F$24*'Venture Assumptions'!$F$22</f>
        <v>0</v>
      </c>
      <c r="CB20" s="798">
        <f>(CB5=0)*-'Venture Assumptions'!$F$24*'Venture Assumptions'!$F$22</f>
        <v>0</v>
      </c>
      <c r="CC20" s="798">
        <f>(CC5=0)*-'Venture Assumptions'!$F$24*'Venture Assumptions'!$F$22</f>
        <v>0</v>
      </c>
      <c r="CD20" s="798">
        <f>(CD5=0)*-'Venture Assumptions'!$F$24*'Venture Assumptions'!$F$22</f>
        <v>0</v>
      </c>
      <c r="CE20" s="798">
        <f>(CE5=0)*-'Venture Assumptions'!$F$24*'Venture Assumptions'!$F$22</f>
        <v>0</v>
      </c>
      <c r="CF20" s="798">
        <f>(CF5=0)*-'Venture Assumptions'!$F$24*'Venture Assumptions'!$F$22</f>
        <v>0</v>
      </c>
      <c r="CG20" s="798">
        <f>(CG5=0)*-'Venture Assumptions'!$F$24*'Venture Assumptions'!$F$22</f>
        <v>0</v>
      </c>
      <c r="CH20" s="798">
        <f>(CH5=0)*-'Venture Assumptions'!$F$24*'Venture Assumptions'!$F$22</f>
        <v>0</v>
      </c>
      <c r="CI20" s="798">
        <f>(CI5=0)*-'Venture Assumptions'!$F$24*'Venture Assumptions'!$F$22</f>
        <v>0</v>
      </c>
      <c r="CJ20" s="798">
        <f>(CJ5=0)*-'Venture Assumptions'!$F$24*'Venture Assumptions'!$F$22</f>
        <v>0</v>
      </c>
      <c r="CK20" s="798">
        <f>(CK5=0)*-'Venture Assumptions'!$F$24*'Venture Assumptions'!$F$22</f>
        <v>0</v>
      </c>
      <c r="CL20" s="798">
        <f>(CL5=0)*-'Venture Assumptions'!$F$24*'Venture Assumptions'!$F$22</f>
        <v>0</v>
      </c>
      <c r="CM20" s="798">
        <f>(CM5=0)*-'Venture Assumptions'!$F$24*'Venture Assumptions'!$F$22</f>
        <v>0</v>
      </c>
      <c r="CN20" s="798">
        <f>(CN5=0)*-'Venture Assumptions'!$F$24*'Venture Assumptions'!$F$22</f>
        <v>0</v>
      </c>
      <c r="CO20" s="798">
        <f>(CO5=0)*-'Venture Assumptions'!$F$24*'Venture Assumptions'!$F$22</f>
        <v>0</v>
      </c>
      <c r="CP20" s="798">
        <f>(CP5=0)*-'Venture Assumptions'!$F$24*'Venture Assumptions'!$F$22</f>
        <v>0</v>
      </c>
      <c r="CQ20" s="798">
        <f>(CQ5=0)*-'Venture Assumptions'!$F$24*'Venture Assumptions'!$F$22</f>
        <v>0</v>
      </c>
      <c r="CR20" s="798">
        <f>(CR5=0)*-'Venture Assumptions'!$F$24*'Venture Assumptions'!$F$22</f>
        <v>0</v>
      </c>
      <c r="CS20" s="798">
        <f>(CS5=0)*-'Venture Assumptions'!$F$24*'Venture Assumptions'!$F$22</f>
        <v>0</v>
      </c>
      <c r="CT20" s="798">
        <f>(CT5=0)*-'Venture Assumptions'!$F$24*'Venture Assumptions'!$F$22</f>
        <v>0</v>
      </c>
      <c r="CU20" s="798">
        <f>(CU5=0)*-'Venture Assumptions'!$F$24*'Venture Assumptions'!$F$22</f>
        <v>0</v>
      </c>
      <c r="CV20" s="798">
        <f>(CV5=0)*-'Venture Assumptions'!$F$24*'Venture Assumptions'!$F$22</f>
        <v>0</v>
      </c>
      <c r="CW20" s="798">
        <f>(CW5=0)*-'Venture Assumptions'!$F$24*'Venture Assumptions'!$F$22</f>
        <v>0</v>
      </c>
      <c r="CX20" s="798">
        <f>(CX5=0)*-'Venture Assumptions'!$F$24*'Venture Assumptions'!$F$22</f>
        <v>0</v>
      </c>
      <c r="CY20" s="798">
        <f>(CY5=0)*-'Venture Assumptions'!$F$24*'Venture Assumptions'!$F$22</f>
        <v>0</v>
      </c>
      <c r="CZ20" s="798">
        <f>(CZ5=0)*-'Venture Assumptions'!$F$24*'Venture Assumptions'!$F$22</f>
        <v>0</v>
      </c>
      <c r="DA20" s="798">
        <f>(DA5=0)*-'Venture Assumptions'!$F$24*'Venture Assumptions'!$F$22</f>
        <v>0</v>
      </c>
      <c r="DB20" s="798">
        <f>(DB5=0)*-'Venture Assumptions'!$F$24*'Venture Assumptions'!$F$22</f>
        <v>0</v>
      </c>
      <c r="DC20" s="798">
        <f>(DC5=0)*-'Venture Assumptions'!$F$24*'Venture Assumptions'!$F$22</f>
        <v>0</v>
      </c>
      <c r="DD20" s="798">
        <f>(DD5=0)*-'Venture Assumptions'!$F$24*'Venture Assumptions'!$F$22</f>
        <v>0</v>
      </c>
      <c r="DE20" s="798">
        <f>(DE5=0)*-'Venture Assumptions'!$F$24*'Venture Assumptions'!$F$22</f>
        <v>0</v>
      </c>
      <c r="DF20" s="798">
        <f>(DF5=0)*-'Venture Assumptions'!$F$24*'Venture Assumptions'!$F$22</f>
        <v>0</v>
      </c>
      <c r="DG20" s="798">
        <f>(DG5=0)*-'Venture Assumptions'!$F$24*'Venture Assumptions'!$F$22</f>
        <v>0</v>
      </c>
      <c r="DH20" s="798">
        <f>(DH5=0)*-'Venture Assumptions'!$F$24*'Venture Assumptions'!$F$22</f>
        <v>0</v>
      </c>
      <c r="DI20" s="798">
        <f>(DI5=0)*-'Venture Assumptions'!$F$24*'Venture Assumptions'!$F$22</f>
        <v>0</v>
      </c>
      <c r="DJ20" s="798">
        <f>(DJ5=0)*-'Venture Assumptions'!$F$24*'Venture Assumptions'!$F$22</f>
        <v>0</v>
      </c>
      <c r="DK20" s="798">
        <f>(DK5=0)*-'Venture Assumptions'!$F$24*'Venture Assumptions'!$F$22</f>
        <v>0</v>
      </c>
      <c r="DL20" s="798">
        <f>(DL5=0)*-'Venture Assumptions'!$F$24*'Venture Assumptions'!$F$22</f>
        <v>0</v>
      </c>
      <c r="DM20" s="798">
        <f>(DM5=0)*-'Venture Assumptions'!$F$24*'Venture Assumptions'!$F$22</f>
        <v>0</v>
      </c>
      <c r="DN20" s="798">
        <f>(DN5=0)*-'Venture Assumptions'!$F$24*'Venture Assumptions'!$F$22</f>
        <v>0</v>
      </c>
      <c r="DO20" s="798">
        <f>(DO5=0)*-'Venture Assumptions'!$F$24*'Venture Assumptions'!$F$22</f>
        <v>0</v>
      </c>
      <c r="DP20" s="798">
        <f>(DP5=0)*-'Venture Assumptions'!$F$24*'Venture Assumptions'!$F$22</f>
        <v>0</v>
      </c>
      <c r="DQ20" s="798">
        <f>(DQ5=0)*-'Venture Assumptions'!$F$24*'Venture Assumptions'!$F$22</f>
        <v>0</v>
      </c>
      <c r="DR20" s="798">
        <f>(DR5=0)*-'Venture Assumptions'!$F$24*'Venture Assumptions'!$F$22</f>
        <v>0</v>
      </c>
      <c r="DS20" s="798">
        <f>(DS5=0)*-'Venture Assumptions'!$F$24*'Venture Assumptions'!$F$22</f>
        <v>0</v>
      </c>
      <c r="DT20" s="798">
        <f>(DT5=0)*-'Venture Assumptions'!$F$24*'Venture Assumptions'!$F$22</f>
        <v>0</v>
      </c>
      <c r="DU20" s="798">
        <f>(DU5=0)*-'Venture Assumptions'!$F$24*'Venture Assumptions'!$F$22</f>
        <v>0</v>
      </c>
      <c r="DV20" s="798">
        <f>(DV5=0)*-'Venture Assumptions'!$F$24*'Venture Assumptions'!$F$22</f>
        <v>0</v>
      </c>
      <c r="DW20" s="798">
        <f>(DW5=0)*-'Venture Assumptions'!$F$24*'Venture Assumptions'!$F$22</f>
        <v>0</v>
      </c>
      <c r="DX20" s="798"/>
      <c r="DY20" s="798">
        <v>0</v>
      </c>
      <c r="DZ20" s="798">
        <v>0</v>
      </c>
      <c r="EA20" s="798">
        <v>0</v>
      </c>
      <c r="EB20" s="798">
        <v>0</v>
      </c>
      <c r="EC20" s="798">
        <v>0</v>
      </c>
      <c r="ED20" s="798">
        <v>0</v>
      </c>
      <c r="EE20" s="798">
        <v>0</v>
      </c>
      <c r="EF20" s="798">
        <v>0</v>
      </c>
      <c r="EG20" s="798">
        <v>0</v>
      </c>
      <c r="EH20" s="782"/>
    </row>
    <row r="21" spans="1:138" ht="12.75" customHeight="1" x14ac:dyDescent="0.3">
      <c r="A21" s="782"/>
      <c r="B21" s="782" t="s">
        <v>10</v>
      </c>
      <c r="C21" s="798">
        <f t="shared" si="10"/>
        <v>-800000.00000000081</v>
      </c>
      <c r="D21" s="782"/>
      <c r="E21" s="798">
        <f>IF(E5&gt;0,-'Venture Assumptions'!$F$25/12,0)*(E4&lt;='Venture Assumptions'!$F$8)*'Venture Assumptions'!$F$22</f>
        <v>0</v>
      </c>
      <c r="F21" s="798">
        <f>IF(F5&gt;0,-'Venture Assumptions'!$F$25/12,0)*(F4&lt;='Venture Assumptions'!$F$8)*'Venture Assumptions'!$F$22</f>
        <v>-8333.3333333333339</v>
      </c>
      <c r="G21" s="798">
        <f>IF(G5&gt;0,-'Venture Assumptions'!$F$25/12,0)*(G4&lt;='Venture Assumptions'!$F$8)*'Venture Assumptions'!$F$22</f>
        <v>-8333.3333333333339</v>
      </c>
      <c r="H21" s="798">
        <f>IF(H5&gt;0,-'Venture Assumptions'!$F$25/12,0)*(H4&lt;='Venture Assumptions'!$F$8)*'Venture Assumptions'!$F$22</f>
        <v>-8333.3333333333339</v>
      </c>
      <c r="I21" s="798">
        <f>IF(I5&gt;0,-'Venture Assumptions'!$F$25/12,0)*(I4&lt;='Venture Assumptions'!$F$8)*'Venture Assumptions'!$F$22</f>
        <v>-8333.3333333333339</v>
      </c>
      <c r="J21" s="798">
        <f>IF(J5&gt;0,-'Venture Assumptions'!$F$25/12,0)*(J4&lt;='Venture Assumptions'!$F$8)*'Venture Assumptions'!$F$22</f>
        <v>-8333.3333333333339</v>
      </c>
      <c r="K21" s="798">
        <f>IF(K5&gt;0,-'Venture Assumptions'!$F$25/12,0)*(K4&lt;='Venture Assumptions'!$F$8)*'Venture Assumptions'!$F$22</f>
        <v>-8333.3333333333339</v>
      </c>
      <c r="L21" s="798">
        <f>IF(L5&gt;0,-'Venture Assumptions'!$F$25/12,0)*(L4&lt;='Venture Assumptions'!$F$8)*'Venture Assumptions'!$F$22</f>
        <v>-8333.3333333333339</v>
      </c>
      <c r="M21" s="798">
        <f>IF(M5&gt;0,-'Venture Assumptions'!$F$25/12,0)*(M4&lt;='Venture Assumptions'!$F$8)*'Venture Assumptions'!$F$22</f>
        <v>-8333.3333333333339</v>
      </c>
      <c r="N21" s="798">
        <f>IF(N5&gt;0,-'Venture Assumptions'!$F$25/12,0)*(N4&lt;='Venture Assumptions'!$F$8)*'Venture Assumptions'!$F$22</f>
        <v>-8333.3333333333339</v>
      </c>
      <c r="O21" s="798">
        <f>IF(O5&gt;0,-'Venture Assumptions'!$F$25/12,0)*(O4&lt;='Venture Assumptions'!$F$8)*'Venture Assumptions'!$F$22</f>
        <v>-8333.3333333333339</v>
      </c>
      <c r="P21" s="798">
        <f>IF(P5&gt;0,-'Venture Assumptions'!$F$25/12,0)*(P4&lt;='Venture Assumptions'!$F$8)*'Venture Assumptions'!$F$22</f>
        <v>-8333.3333333333339</v>
      </c>
      <c r="Q21" s="798">
        <f>IF(Q5&gt;0,-'Venture Assumptions'!$F$25/12,0)*(Q4&lt;='Venture Assumptions'!$F$8)*'Venture Assumptions'!$F$22</f>
        <v>-8333.3333333333339</v>
      </c>
      <c r="R21" s="798">
        <f>IF(R5&gt;0,-'Venture Assumptions'!$F$25/12,0)*(R4&lt;='Venture Assumptions'!$F$8)*'Venture Assumptions'!$F$22</f>
        <v>-8333.3333333333339</v>
      </c>
      <c r="S21" s="798">
        <f>IF(S5&gt;0,-'Venture Assumptions'!$F$25/12,0)*(S4&lt;='Venture Assumptions'!$F$8)*'Venture Assumptions'!$F$22</f>
        <v>-8333.3333333333339</v>
      </c>
      <c r="T21" s="798">
        <f>IF(T5&gt;0,-'Venture Assumptions'!$F$25/12,0)*(T4&lt;='Venture Assumptions'!$F$8)*'Venture Assumptions'!$F$22</f>
        <v>-8333.3333333333339</v>
      </c>
      <c r="U21" s="798">
        <f>IF(U5&gt;0,-'Venture Assumptions'!$F$25/12,0)*(U4&lt;='Venture Assumptions'!$F$8)*'Venture Assumptions'!$F$22</f>
        <v>-8333.3333333333339</v>
      </c>
      <c r="V21" s="798">
        <f>IF(V5&gt;0,-'Venture Assumptions'!$F$25/12,0)*(V4&lt;='Venture Assumptions'!$F$8)*'Venture Assumptions'!$F$22</f>
        <v>-8333.3333333333339</v>
      </c>
      <c r="W21" s="798">
        <f>IF(W5&gt;0,-'Venture Assumptions'!$F$25/12,0)*(W4&lt;='Venture Assumptions'!$F$8)*'Venture Assumptions'!$F$22</f>
        <v>-8333.3333333333339</v>
      </c>
      <c r="X21" s="798">
        <f>IF(X5&gt;0,-'Venture Assumptions'!$F$25/12,0)*(X4&lt;='Venture Assumptions'!$F$8)*'Venture Assumptions'!$F$22</f>
        <v>-8333.3333333333339</v>
      </c>
      <c r="Y21" s="798">
        <f>IF(Y5&gt;0,-'Venture Assumptions'!$F$25/12,0)*(Y4&lt;='Venture Assumptions'!$F$8)*'Venture Assumptions'!$F$22</f>
        <v>-8333.3333333333339</v>
      </c>
      <c r="Z21" s="798">
        <f>IF(Z5&gt;0,-'Venture Assumptions'!$F$25/12,0)*(Z4&lt;='Venture Assumptions'!$F$8)*'Venture Assumptions'!$F$22</f>
        <v>-8333.3333333333339</v>
      </c>
      <c r="AA21" s="798">
        <f>IF(AA5&gt;0,-'Venture Assumptions'!$F$25/12,0)*(AA4&lt;='Venture Assumptions'!$F$8)*'Venture Assumptions'!$F$22</f>
        <v>-8333.3333333333339</v>
      </c>
      <c r="AB21" s="798">
        <f>IF(AB5&gt;0,-'Venture Assumptions'!$F$25/12,0)*(AB4&lt;='Venture Assumptions'!$F$8)*'Venture Assumptions'!$F$22</f>
        <v>-8333.3333333333339</v>
      </c>
      <c r="AC21" s="798">
        <f>IF(AC5&gt;0,-'Venture Assumptions'!$F$25/12,0)*(AC4&lt;='Venture Assumptions'!$F$8)*'Venture Assumptions'!$F$22</f>
        <v>-8333.3333333333339</v>
      </c>
      <c r="AD21" s="798">
        <f>IF(AD5&gt;0,-'Venture Assumptions'!$F$25/12,0)*(AD4&lt;='Venture Assumptions'!$F$8)*'Venture Assumptions'!$F$22</f>
        <v>-8333.3333333333339</v>
      </c>
      <c r="AE21" s="798">
        <f>IF(AE5&gt;0,-'Venture Assumptions'!$F$25/12,0)*(AE4&lt;='Venture Assumptions'!$F$8)*'Venture Assumptions'!$F$22</f>
        <v>-8333.3333333333339</v>
      </c>
      <c r="AF21" s="798">
        <f>IF(AF5&gt;0,-'Venture Assumptions'!$F$25/12,0)*(AF4&lt;='Venture Assumptions'!$F$8)*'Venture Assumptions'!$F$22</f>
        <v>-8333.3333333333339</v>
      </c>
      <c r="AG21" s="798">
        <f>IF(AG5&gt;0,-'Venture Assumptions'!$F$25/12,0)*(AG4&lt;='Venture Assumptions'!$F$8)*'Venture Assumptions'!$F$22</f>
        <v>-8333.3333333333339</v>
      </c>
      <c r="AH21" s="798">
        <f>IF(AH5&gt;0,-'Venture Assumptions'!$F$25/12,0)*(AH4&lt;='Venture Assumptions'!$F$8)*'Venture Assumptions'!$F$22</f>
        <v>-8333.3333333333339</v>
      </c>
      <c r="AI21" s="798">
        <f>IF(AI5&gt;0,-'Venture Assumptions'!$F$25/12,0)*(AI4&lt;='Venture Assumptions'!$F$8)*'Venture Assumptions'!$F$22</f>
        <v>-8333.3333333333339</v>
      </c>
      <c r="AJ21" s="798">
        <f>IF(AJ5&gt;0,-'Venture Assumptions'!$F$25/12,0)*(AJ4&lt;='Venture Assumptions'!$F$8)*'Venture Assumptions'!$F$22</f>
        <v>-8333.3333333333339</v>
      </c>
      <c r="AK21" s="798">
        <f>IF(AK5&gt;0,-'Venture Assumptions'!$F$25/12,0)*(AK4&lt;='Venture Assumptions'!$F$8)*'Venture Assumptions'!$F$22</f>
        <v>-8333.3333333333339</v>
      </c>
      <c r="AL21" s="798">
        <f>IF(AL5&gt;0,-'Venture Assumptions'!$F$25/12,0)*(AL4&lt;='Venture Assumptions'!$F$8)*'Venture Assumptions'!$F$22</f>
        <v>-8333.3333333333339</v>
      </c>
      <c r="AM21" s="798">
        <f>IF(AM5&gt;0,-'Venture Assumptions'!$F$25/12,0)*(AM4&lt;='Venture Assumptions'!$F$8)*'Venture Assumptions'!$F$22</f>
        <v>-8333.3333333333339</v>
      </c>
      <c r="AN21" s="798">
        <f>IF(AN5&gt;0,-'Venture Assumptions'!$F$25/12,0)*(AN4&lt;='Venture Assumptions'!$F$8)*'Venture Assumptions'!$F$22</f>
        <v>-8333.3333333333339</v>
      </c>
      <c r="AO21" s="798">
        <f>IF(AO5&gt;0,-'Venture Assumptions'!$F$25/12,0)*(AO4&lt;='Venture Assumptions'!$F$8)*'Venture Assumptions'!$F$22</f>
        <v>-8333.3333333333339</v>
      </c>
      <c r="AP21" s="798">
        <f>IF(AP5&gt;0,-'Venture Assumptions'!$F$25/12,0)*(AP4&lt;='Venture Assumptions'!$F$8)*'Venture Assumptions'!$F$22</f>
        <v>-8333.3333333333339</v>
      </c>
      <c r="AQ21" s="798">
        <f>IF(AQ5&gt;0,-'Venture Assumptions'!$F$25/12,0)*(AQ4&lt;='Venture Assumptions'!$F$8)*'Venture Assumptions'!$F$22</f>
        <v>-8333.3333333333339</v>
      </c>
      <c r="AR21" s="798">
        <f>IF(AR5&gt;0,-'Venture Assumptions'!$F$25/12,0)*(AR4&lt;='Venture Assumptions'!$F$8)*'Venture Assumptions'!$F$22</f>
        <v>-8333.3333333333339</v>
      </c>
      <c r="AS21" s="798">
        <f>IF(AS5&gt;0,-'Venture Assumptions'!$F$25/12,0)*(AS4&lt;='Venture Assumptions'!$F$8)*'Venture Assumptions'!$F$22</f>
        <v>-8333.3333333333339</v>
      </c>
      <c r="AT21" s="798">
        <f>IF(AT5&gt;0,-'Venture Assumptions'!$F$25/12,0)*(AT4&lt;='Venture Assumptions'!$F$8)*'Venture Assumptions'!$F$22</f>
        <v>-8333.3333333333339</v>
      </c>
      <c r="AU21" s="798">
        <f>IF(AU5&gt;0,-'Venture Assumptions'!$F$25/12,0)*(AU4&lt;='Venture Assumptions'!$F$8)*'Venture Assumptions'!$F$22</f>
        <v>-8333.3333333333339</v>
      </c>
      <c r="AV21" s="798">
        <f>IF(AV5&gt;0,-'Venture Assumptions'!$F$25/12,0)*(AV4&lt;='Venture Assumptions'!$F$8)*'Venture Assumptions'!$F$22</f>
        <v>-8333.3333333333339</v>
      </c>
      <c r="AW21" s="798">
        <f>IF(AW5&gt;0,-'Venture Assumptions'!$F$25/12,0)*(AW4&lt;='Venture Assumptions'!$F$8)*'Venture Assumptions'!$F$22</f>
        <v>-8333.3333333333339</v>
      </c>
      <c r="AX21" s="798">
        <f>IF(AX5&gt;0,-'Venture Assumptions'!$F$25/12,0)*(AX4&lt;='Venture Assumptions'!$F$8)*'Venture Assumptions'!$F$22</f>
        <v>-8333.3333333333339</v>
      </c>
      <c r="AY21" s="798">
        <f>IF(AY5&gt;0,-'Venture Assumptions'!$F$25/12,0)*(AY4&lt;='Venture Assumptions'!$F$8)*'Venture Assumptions'!$F$22</f>
        <v>-8333.3333333333339</v>
      </c>
      <c r="AZ21" s="798">
        <f>IF(AZ5&gt;0,-'Venture Assumptions'!$F$25/12,0)*(AZ4&lt;='Venture Assumptions'!$F$8)*'Venture Assumptions'!$F$22</f>
        <v>-8333.3333333333339</v>
      </c>
      <c r="BA21" s="798">
        <f>IF(BA5&gt;0,-'Venture Assumptions'!$F$25/12,0)*(BA4&lt;='Venture Assumptions'!$F$8)*'Venture Assumptions'!$F$22</f>
        <v>-8333.3333333333339</v>
      </c>
      <c r="BB21" s="798">
        <f>IF(BB5&gt;0,-'Venture Assumptions'!$F$25/12,0)*(BB4&lt;='Venture Assumptions'!$F$8)*'Venture Assumptions'!$F$22</f>
        <v>-8333.3333333333339</v>
      </c>
      <c r="BC21" s="798">
        <f>IF(BC5&gt;0,-'Venture Assumptions'!$F$25/12,0)*(BC4&lt;='Venture Assumptions'!$F$8)*'Venture Assumptions'!$F$22</f>
        <v>-8333.3333333333339</v>
      </c>
      <c r="BD21" s="798">
        <f>IF(BD5&gt;0,-'Venture Assumptions'!$F$25/12,0)*(BD4&lt;='Venture Assumptions'!$F$8)*'Venture Assumptions'!$F$22</f>
        <v>-8333.3333333333339</v>
      </c>
      <c r="BE21" s="798">
        <f>IF(BE5&gt;0,-'Venture Assumptions'!$F$25/12,0)*(BE4&lt;='Venture Assumptions'!$F$8)*'Venture Assumptions'!$F$22</f>
        <v>-8333.3333333333339</v>
      </c>
      <c r="BF21" s="798">
        <f>IF(BF5&gt;0,-'Venture Assumptions'!$F$25/12,0)*(BF4&lt;='Venture Assumptions'!$F$8)*'Venture Assumptions'!$F$22</f>
        <v>-8333.3333333333339</v>
      </c>
      <c r="BG21" s="798">
        <f>IF(BG5&gt;0,-'Venture Assumptions'!$F$25/12,0)*(BG4&lt;='Venture Assumptions'!$F$8)*'Venture Assumptions'!$F$22</f>
        <v>-8333.3333333333339</v>
      </c>
      <c r="BH21" s="798">
        <f>IF(BH5&gt;0,-'Venture Assumptions'!$F$25/12,0)*(BH4&lt;='Venture Assumptions'!$F$8)*'Venture Assumptions'!$F$22</f>
        <v>-8333.3333333333339</v>
      </c>
      <c r="BI21" s="798">
        <f>IF(BI5&gt;0,-'Venture Assumptions'!$F$25/12,0)*(BI4&lt;='Venture Assumptions'!$F$8)*'Venture Assumptions'!$F$22</f>
        <v>-8333.3333333333339</v>
      </c>
      <c r="BJ21" s="798">
        <f>IF(BJ5&gt;0,-'Venture Assumptions'!$F$25/12,0)*(BJ4&lt;='Venture Assumptions'!$F$8)*'Venture Assumptions'!$F$22</f>
        <v>-8333.3333333333339</v>
      </c>
      <c r="BK21" s="798">
        <f>IF(BK5&gt;0,-'Venture Assumptions'!$F$25/12,0)*(BK4&lt;='Venture Assumptions'!$F$8)*'Venture Assumptions'!$F$22</f>
        <v>-8333.3333333333339</v>
      </c>
      <c r="BL21" s="798">
        <f>IF(BL5&gt;0,-'Venture Assumptions'!$F$25/12,0)*(BL4&lt;='Venture Assumptions'!$F$8)*'Venture Assumptions'!$F$22</f>
        <v>-8333.3333333333339</v>
      </c>
      <c r="BM21" s="798">
        <f>IF(BM5&gt;0,-'Venture Assumptions'!$F$25/12,0)*(BM4&lt;='Venture Assumptions'!$F$8)*'Venture Assumptions'!$F$22</f>
        <v>-8333.3333333333339</v>
      </c>
      <c r="BN21" s="798">
        <f>IF(BN5&gt;0,-'Venture Assumptions'!$F$25/12,0)*(BN4&lt;='Venture Assumptions'!$F$8)*'Venture Assumptions'!$F$22</f>
        <v>-8333.3333333333339</v>
      </c>
      <c r="BO21" s="798">
        <f>IF(BO5&gt;0,-'Venture Assumptions'!$F$25/12,0)*(BO4&lt;='Venture Assumptions'!$F$8)*'Venture Assumptions'!$F$22</f>
        <v>-8333.3333333333339</v>
      </c>
      <c r="BP21" s="798">
        <f>IF(BP5&gt;0,-'Venture Assumptions'!$F$25/12,0)*(BP4&lt;='Venture Assumptions'!$F$8)*'Venture Assumptions'!$F$22</f>
        <v>-8333.3333333333339</v>
      </c>
      <c r="BQ21" s="798">
        <f>IF(BQ5&gt;0,-'Venture Assumptions'!$F$25/12,0)*(BQ4&lt;='Venture Assumptions'!$F$8)*'Venture Assumptions'!$F$22</f>
        <v>-8333.3333333333339</v>
      </c>
      <c r="BR21" s="798">
        <f>IF(BR5&gt;0,-'Venture Assumptions'!$F$25/12,0)*(BR4&lt;='Venture Assumptions'!$F$8)*'Venture Assumptions'!$F$22</f>
        <v>-8333.3333333333339</v>
      </c>
      <c r="BS21" s="798">
        <f>IF(BS5&gt;0,-'Venture Assumptions'!$F$25/12,0)*(BS4&lt;='Venture Assumptions'!$F$8)*'Venture Assumptions'!$F$22</f>
        <v>-8333.3333333333339</v>
      </c>
      <c r="BT21" s="798">
        <f>IF(BT5&gt;0,-'Venture Assumptions'!$F$25/12,0)*(BT4&lt;='Venture Assumptions'!$F$8)*'Venture Assumptions'!$F$22</f>
        <v>-8333.3333333333339</v>
      </c>
      <c r="BU21" s="798">
        <f>IF(BU5&gt;0,-'Venture Assumptions'!$F$25/12,0)*(BU4&lt;='Venture Assumptions'!$F$8)*'Venture Assumptions'!$F$22</f>
        <v>-8333.3333333333339</v>
      </c>
      <c r="BV21" s="798">
        <f>IF(BV5&gt;0,-'Venture Assumptions'!$F$25/12,0)*(BV4&lt;='Venture Assumptions'!$F$8)*'Venture Assumptions'!$F$22</f>
        <v>-8333.3333333333339</v>
      </c>
      <c r="BW21" s="798">
        <f>IF(BW5&gt;0,-'Venture Assumptions'!$F$25/12,0)*(BW4&lt;='Venture Assumptions'!$F$8)*'Venture Assumptions'!$F$22</f>
        <v>-8333.3333333333339</v>
      </c>
      <c r="BX21" s="798">
        <f>IF(BX5&gt;0,-'Venture Assumptions'!$F$25/12,0)*(BX4&lt;='Venture Assumptions'!$F$8)*'Venture Assumptions'!$F$22</f>
        <v>-8333.3333333333339</v>
      </c>
      <c r="BY21" s="798">
        <f>IF(BY5&gt;0,-'Venture Assumptions'!$F$25/12,0)*(BY4&lt;='Venture Assumptions'!$F$8)*'Venture Assumptions'!$F$22</f>
        <v>-8333.3333333333339</v>
      </c>
      <c r="BZ21" s="798">
        <f>IF(BZ5&gt;0,-'Venture Assumptions'!$F$25/12,0)*(BZ4&lt;='Venture Assumptions'!$F$8)*'Venture Assumptions'!$F$22</f>
        <v>-8333.3333333333339</v>
      </c>
      <c r="CA21" s="798">
        <f>IF(CA5&gt;0,-'Venture Assumptions'!$F$25/12,0)*(CA4&lt;='Venture Assumptions'!$F$8)*'Venture Assumptions'!$F$22</f>
        <v>-8333.3333333333339</v>
      </c>
      <c r="CB21" s="798">
        <f>IF(CB5&gt;0,-'Venture Assumptions'!$F$25/12,0)*(CB4&lt;='Venture Assumptions'!$F$8)*'Venture Assumptions'!$F$22</f>
        <v>-8333.3333333333339</v>
      </c>
      <c r="CC21" s="798">
        <f>IF(CC5&gt;0,-'Venture Assumptions'!$F$25/12,0)*(CC4&lt;='Venture Assumptions'!$F$8)*'Venture Assumptions'!$F$22</f>
        <v>-8333.3333333333339</v>
      </c>
      <c r="CD21" s="798">
        <f>IF(CD5&gt;0,-'Venture Assumptions'!$F$25/12,0)*(CD4&lt;='Venture Assumptions'!$F$8)*'Venture Assumptions'!$F$22</f>
        <v>-8333.3333333333339</v>
      </c>
      <c r="CE21" s="798">
        <f>IF(CE5&gt;0,-'Venture Assumptions'!$F$25/12,0)*(CE4&lt;='Venture Assumptions'!$F$8)*'Venture Assumptions'!$F$22</f>
        <v>-8333.3333333333339</v>
      </c>
      <c r="CF21" s="798">
        <f>IF(CF5&gt;0,-'Venture Assumptions'!$F$25/12,0)*(CF4&lt;='Venture Assumptions'!$F$8)*'Venture Assumptions'!$F$22</f>
        <v>-8333.3333333333339</v>
      </c>
      <c r="CG21" s="798">
        <f>IF(CG5&gt;0,-'Venture Assumptions'!$F$25/12,0)*(CG4&lt;='Venture Assumptions'!$F$8)*'Venture Assumptions'!$F$22</f>
        <v>-8333.3333333333339</v>
      </c>
      <c r="CH21" s="798">
        <f>IF(CH5&gt;0,-'Venture Assumptions'!$F$25/12,0)*(CH4&lt;='Venture Assumptions'!$F$8)*'Venture Assumptions'!$F$22</f>
        <v>-8333.3333333333339</v>
      </c>
      <c r="CI21" s="798">
        <f>IF(CI5&gt;0,-'Venture Assumptions'!$F$25/12,0)*(CI4&lt;='Venture Assumptions'!$F$8)*'Venture Assumptions'!$F$22</f>
        <v>-8333.3333333333339</v>
      </c>
      <c r="CJ21" s="798">
        <f>IF(CJ5&gt;0,-'Venture Assumptions'!$F$25/12,0)*(CJ4&lt;='Venture Assumptions'!$F$8)*'Venture Assumptions'!$F$22</f>
        <v>-8333.3333333333339</v>
      </c>
      <c r="CK21" s="798">
        <f>IF(CK5&gt;0,-'Venture Assumptions'!$F$25/12,0)*(CK4&lt;='Venture Assumptions'!$F$8)*'Venture Assumptions'!$F$22</f>
        <v>-8333.3333333333339</v>
      </c>
      <c r="CL21" s="798">
        <f>IF(CL5&gt;0,-'Venture Assumptions'!$F$25/12,0)*(CL4&lt;='Venture Assumptions'!$F$8)*'Venture Assumptions'!$F$22</f>
        <v>-8333.3333333333339</v>
      </c>
      <c r="CM21" s="798">
        <f>IF(CM5&gt;0,-'Venture Assumptions'!$F$25/12,0)*(CM4&lt;='Venture Assumptions'!$F$8)*'Venture Assumptions'!$F$22</f>
        <v>-8333.3333333333339</v>
      </c>
      <c r="CN21" s="798">
        <f>IF(CN5&gt;0,-'Venture Assumptions'!$F$25/12,0)*(CN4&lt;='Venture Assumptions'!$F$8)*'Venture Assumptions'!$F$22</f>
        <v>-8333.3333333333339</v>
      </c>
      <c r="CO21" s="798">
        <f>IF(CO5&gt;0,-'Venture Assumptions'!$F$25/12,0)*(CO4&lt;='Venture Assumptions'!$F$8)*'Venture Assumptions'!$F$22</f>
        <v>-8333.3333333333339</v>
      </c>
      <c r="CP21" s="798">
        <f>IF(CP5&gt;0,-'Venture Assumptions'!$F$25/12,0)*(CP4&lt;='Venture Assumptions'!$F$8)*'Venture Assumptions'!$F$22</f>
        <v>-8333.3333333333339</v>
      </c>
      <c r="CQ21" s="798">
        <f>IF(CQ5&gt;0,-'Venture Assumptions'!$F$25/12,0)*(CQ4&lt;='Venture Assumptions'!$F$8)*'Venture Assumptions'!$F$22</f>
        <v>-8333.3333333333339</v>
      </c>
      <c r="CR21" s="798">
        <f>IF(CR5&gt;0,-'Venture Assumptions'!$F$25/12,0)*(CR4&lt;='Venture Assumptions'!$F$8)*'Venture Assumptions'!$F$22</f>
        <v>-8333.3333333333339</v>
      </c>
      <c r="CS21" s="798">
        <f>IF(CS5&gt;0,-'Venture Assumptions'!$F$25/12,0)*(CS4&lt;='Venture Assumptions'!$F$8)*'Venture Assumptions'!$F$22</f>
        <v>-8333.3333333333339</v>
      </c>
      <c r="CT21" s="798">
        <f>IF(CT5&gt;0,-'Venture Assumptions'!$F$25/12,0)*(CT4&lt;='Venture Assumptions'!$F$8)*'Venture Assumptions'!$F$22</f>
        <v>-8333.3333333333339</v>
      </c>
      <c r="CU21" s="798">
        <f>IF(CU5&gt;0,-'Venture Assumptions'!$F$25/12,0)*(CU4&lt;='Venture Assumptions'!$F$8)*'Venture Assumptions'!$F$22</f>
        <v>-8333.3333333333339</v>
      </c>
      <c r="CV21" s="798">
        <f>IF(CV5&gt;0,-'Venture Assumptions'!$F$25/12,0)*(CV4&lt;='Venture Assumptions'!$F$8)*'Venture Assumptions'!$F$22</f>
        <v>-8333.3333333333339</v>
      </c>
      <c r="CW21" s="798">
        <f>IF(CW5&gt;0,-'Venture Assumptions'!$F$25/12,0)*(CW4&lt;='Venture Assumptions'!$F$8)*'Venture Assumptions'!$F$22</f>
        <v>-8333.3333333333339</v>
      </c>
      <c r="CX21" s="798">
        <f>IF(CX5&gt;0,-'Venture Assumptions'!$F$25/12,0)*(CX4&lt;='Venture Assumptions'!$F$8)*'Venture Assumptions'!$F$22</f>
        <v>0</v>
      </c>
      <c r="CY21" s="798">
        <f>IF(CY5&gt;0,-'Venture Assumptions'!$F$25/12,0)*(CY4&lt;='Venture Assumptions'!$F$8)*'Venture Assumptions'!$F$22</f>
        <v>0</v>
      </c>
      <c r="CZ21" s="798">
        <f>IF(CZ5&gt;0,-'Venture Assumptions'!$F$25/12,0)*(CZ4&lt;='Venture Assumptions'!$F$8)*'Venture Assumptions'!$F$22</f>
        <v>0</v>
      </c>
      <c r="DA21" s="798">
        <f>IF(DA5&gt;0,-'Venture Assumptions'!$F$25/12,0)*(DA4&lt;='Venture Assumptions'!$F$8)*'Venture Assumptions'!$F$22</f>
        <v>0</v>
      </c>
      <c r="DB21" s="798">
        <f>IF(DB5&gt;0,-'Venture Assumptions'!$F$25/12,0)*(DB4&lt;='Venture Assumptions'!$F$8)*'Venture Assumptions'!$F$22</f>
        <v>0</v>
      </c>
      <c r="DC21" s="798">
        <f>IF(DC5&gt;0,-'Venture Assumptions'!$F$25/12,0)*(DC4&lt;='Venture Assumptions'!$F$8)*'Venture Assumptions'!$F$22</f>
        <v>0</v>
      </c>
      <c r="DD21" s="798">
        <f>IF(DD5&gt;0,-'Venture Assumptions'!$F$25/12,0)*(DD4&lt;='Venture Assumptions'!$F$8)*'Venture Assumptions'!$F$22</f>
        <v>0</v>
      </c>
      <c r="DE21" s="798">
        <f>IF(DE5&gt;0,-'Venture Assumptions'!$F$25/12,0)*(DE4&lt;='Venture Assumptions'!$F$8)*'Venture Assumptions'!$F$22</f>
        <v>0</v>
      </c>
      <c r="DF21" s="798">
        <f>IF(DF5&gt;0,-'Venture Assumptions'!$F$25/12,0)*(DF4&lt;='Venture Assumptions'!$F$8)*'Venture Assumptions'!$F$22</f>
        <v>0</v>
      </c>
      <c r="DG21" s="798">
        <f>IF(DG5&gt;0,-'Venture Assumptions'!$F$25/12,0)*(DG4&lt;='Venture Assumptions'!$F$8)*'Venture Assumptions'!$F$22</f>
        <v>0</v>
      </c>
      <c r="DH21" s="798">
        <f>IF(DH5&gt;0,-'Venture Assumptions'!$F$25/12,0)*(DH4&lt;='Venture Assumptions'!$F$8)*'Venture Assumptions'!$F$22</f>
        <v>0</v>
      </c>
      <c r="DI21" s="798">
        <f>IF(DI5&gt;0,-'Venture Assumptions'!$F$25/12,0)*(DI4&lt;='Venture Assumptions'!$F$8)*'Venture Assumptions'!$F$22</f>
        <v>0</v>
      </c>
      <c r="DJ21" s="798">
        <f>IF(DJ5&gt;0,-'Venture Assumptions'!$F$25/12,0)*(DJ4&lt;='Venture Assumptions'!$F$8)*'Venture Assumptions'!$F$22</f>
        <v>0</v>
      </c>
      <c r="DK21" s="798">
        <f>IF(DK5&gt;0,-'Venture Assumptions'!$F$25/12,0)*(DK4&lt;='Venture Assumptions'!$F$8)*'Venture Assumptions'!$F$22</f>
        <v>0</v>
      </c>
      <c r="DL21" s="798">
        <f>IF(DL5&gt;0,-'Venture Assumptions'!$F$25/12,0)*(DL4&lt;='Venture Assumptions'!$F$8)*'Venture Assumptions'!$F$22</f>
        <v>0</v>
      </c>
      <c r="DM21" s="798">
        <f>IF(DM5&gt;0,-'Venture Assumptions'!$F$25/12,0)*(DM4&lt;='Venture Assumptions'!$F$8)*'Venture Assumptions'!$F$22</f>
        <v>0</v>
      </c>
      <c r="DN21" s="798">
        <f>IF(DN5&gt;0,-'Venture Assumptions'!$F$25/12,0)*(DN4&lt;='Venture Assumptions'!$F$8)*'Venture Assumptions'!$F$22</f>
        <v>0</v>
      </c>
      <c r="DO21" s="798">
        <f>IF(DO5&gt;0,-'Venture Assumptions'!$F$25/12,0)*(DO4&lt;='Venture Assumptions'!$F$8)*'Venture Assumptions'!$F$22</f>
        <v>0</v>
      </c>
      <c r="DP21" s="798">
        <f>IF(DP5&gt;0,-'Venture Assumptions'!$F$25/12,0)*(DP4&lt;='Venture Assumptions'!$F$8)*'Venture Assumptions'!$F$22</f>
        <v>0</v>
      </c>
      <c r="DQ21" s="798">
        <f>IF(DQ5&gt;0,-'Venture Assumptions'!$F$25/12,0)*(DQ4&lt;='Venture Assumptions'!$F$8)*'Venture Assumptions'!$F$22</f>
        <v>0</v>
      </c>
      <c r="DR21" s="798">
        <f>IF(DR5&gt;0,-'Venture Assumptions'!$F$25/12,0)*(DR4&lt;='Venture Assumptions'!$F$8)*'Venture Assumptions'!$F$22</f>
        <v>0</v>
      </c>
      <c r="DS21" s="798">
        <f>IF(DS5&gt;0,-'Venture Assumptions'!$F$25/12,0)*(DS4&lt;='Venture Assumptions'!$F$8)*'Venture Assumptions'!$F$22</f>
        <v>0</v>
      </c>
      <c r="DT21" s="798">
        <f>IF(DT5&gt;0,-'Venture Assumptions'!$F$25/12,0)*(DT4&lt;='Venture Assumptions'!$F$8)*'Venture Assumptions'!$F$22</f>
        <v>0</v>
      </c>
      <c r="DU21" s="798">
        <f>IF(DU5&gt;0,-'Venture Assumptions'!$F$25/12,0)*(DU4&lt;='Venture Assumptions'!$F$8)*'Venture Assumptions'!$F$22</f>
        <v>0</v>
      </c>
      <c r="DV21" s="798">
        <f>IF(DV5&gt;0,-'Venture Assumptions'!$F$25/12,0)*(DV4&lt;='Venture Assumptions'!$F$8)*'Venture Assumptions'!$F$22</f>
        <v>0</v>
      </c>
      <c r="DW21" s="798">
        <f>IF(DW5&gt;0,-'Venture Assumptions'!$F$25/12,0)*(DW4&lt;='Venture Assumptions'!$F$8)*'Venture Assumptions'!$F$22</f>
        <v>0</v>
      </c>
      <c r="DX21" s="798">
        <f>IF(DX5&gt;0,-'Venture Assumptions'!$F$25/12,0)*(DX4&lt;='Venture Assumptions'!$F$8)*'Venture Assumptions'!$F$22</f>
        <v>0</v>
      </c>
      <c r="DY21" s="798">
        <f>IF(DY5&gt;0,-'Venture Assumptions'!$F$25/12,0)*(DY4&lt;='Venture Assumptions'!$F$8)*'Venture Assumptions'!$F$22</f>
        <v>0</v>
      </c>
      <c r="DZ21" s="798">
        <f>IF(DZ5&gt;0,-'Venture Assumptions'!$F$25/12,0)*(DZ4&lt;='Venture Assumptions'!$F$8)*'Venture Assumptions'!$F$22</f>
        <v>0</v>
      </c>
      <c r="EA21" s="798">
        <f>IF(EA5&gt;0,-'Venture Assumptions'!$F$25/12,0)*(EA4&lt;='Venture Assumptions'!$F$8)*'Venture Assumptions'!$F$22</f>
        <v>0</v>
      </c>
      <c r="EB21" s="798">
        <f>IF(EB5&gt;0,-'Venture Assumptions'!$F$25/12,0)*(EB4&lt;='Venture Assumptions'!$F$8)*'Venture Assumptions'!$F$22</f>
        <v>0</v>
      </c>
      <c r="EC21" s="798">
        <f>IF(EC5&gt;0,-'Venture Assumptions'!$F$25/12,0)*(EC4&lt;='Venture Assumptions'!$F$8)*'Venture Assumptions'!$F$22</f>
        <v>0</v>
      </c>
      <c r="ED21" s="798">
        <f>IF(ED5&gt;0,-'Venture Assumptions'!$F$25/12,0)*(ED4&lt;='Venture Assumptions'!$F$8)*'Venture Assumptions'!$F$22</f>
        <v>0</v>
      </c>
      <c r="EE21" s="798">
        <f>IF(EE5&gt;0,-'Venture Assumptions'!$F$25/12,0)*(EE4&lt;='Venture Assumptions'!$F$8)*'Venture Assumptions'!$F$22</f>
        <v>0</v>
      </c>
      <c r="EF21" s="798">
        <f>IF(EF5&gt;0,-'Venture Assumptions'!$F$25/12,0)*(EF4&lt;='Venture Assumptions'!$F$8)*'Venture Assumptions'!$F$22</f>
        <v>0</v>
      </c>
      <c r="EG21" s="798">
        <f>IF(EG5&gt;0,-'Venture Assumptions'!$F$25/12,0)*(EG4&lt;='Venture Assumptions'!$F$8)*'Venture Assumptions'!$F$22</f>
        <v>0</v>
      </c>
      <c r="EH21" s="782"/>
    </row>
    <row r="22" spans="1:138" ht="12.75" customHeight="1" x14ac:dyDescent="0.3">
      <c r="A22" s="782"/>
      <c r="B22" s="781" t="s">
        <v>11</v>
      </c>
      <c r="C22" s="799">
        <f t="shared" si="10"/>
        <v>129660985.44941077</v>
      </c>
      <c r="D22" s="781"/>
      <c r="E22" s="799">
        <f>IF(E4='Venture Assumptions'!$F$8,SUM(E196,E199:E202),0)</f>
        <v>0</v>
      </c>
      <c r="F22" s="799">
        <f>IF(F4='Venture Assumptions'!$F$8,SUM(F196,F199:F202),0)</f>
        <v>0</v>
      </c>
      <c r="G22" s="799">
        <f>IF(G4='Venture Assumptions'!$F$8,SUM(G196,G199:G202),0)</f>
        <v>0</v>
      </c>
      <c r="H22" s="799">
        <f>IF(H4='Venture Assumptions'!$F$8,SUM(H196,H199:H202),0)</f>
        <v>0</v>
      </c>
      <c r="I22" s="799">
        <f>IF(I4='Venture Assumptions'!$F$8,SUM(I196,I199:I202),0)</f>
        <v>0</v>
      </c>
      <c r="J22" s="799">
        <f>IF(J4='Venture Assumptions'!$F$8,SUM(J196,J199:J202),0)</f>
        <v>0</v>
      </c>
      <c r="K22" s="799">
        <f>IF(K4='Venture Assumptions'!$F$8,SUM(K196,K199:K202),0)</f>
        <v>0</v>
      </c>
      <c r="L22" s="799">
        <f>IF(L4='Venture Assumptions'!$F$8,SUM(L196,L199:L202),0)</f>
        <v>0</v>
      </c>
      <c r="M22" s="799">
        <f>IF(M4='Venture Assumptions'!$F$8,SUM(M196,M199:M202),0)</f>
        <v>0</v>
      </c>
      <c r="N22" s="799">
        <f>IF(N4='Venture Assumptions'!$F$8,SUM(N196,N199:N202),0)</f>
        <v>0</v>
      </c>
      <c r="O22" s="799">
        <f>IF(O4='Venture Assumptions'!$F$8,SUM(O196,O199:O202),0)</f>
        <v>0</v>
      </c>
      <c r="P22" s="799">
        <f>IF(P4='Venture Assumptions'!$F$8,SUM(P196,P199:P202),0)</f>
        <v>0</v>
      </c>
      <c r="Q22" s="799">
        <f>IF(Q4='Venture Assumptions'!$F$8,SUM(Q196,Q199:Q202),0)</f>
        <v>0</v>
      </c>
      <c r="R22" s="799">
        <f>IF(R4='Venture Assumptions'!$F$8,SUM(R196,R199:R202),0)</f>
        <v>0</v>
      </c>
      <c r="S22" s="799">
        <f>IF(S4='Venture Assumptions'!$F$8,SUM(S196,S199:S202),0)</f>
        <v>0</v>
      </c>
      <c r="T22" s="799">
        <f>IF(T4='Venture Assumptions'!$F$8,SUM(T196,T199:T202),0)</f>
        <v>0</v>
      </c>
      <c r="U22" s="799">
        <f>IF(U4='Venture Assumptions'!$F$8,SUM(U196,U199:U202),0)</f>
        <v>0</v>
      </c>
      <c r="V22" s="799">
        <f>IF(V4='Venture Assumptions'!$F$8,SUM(V196,V199:V202),0)</f>
        <v>0</v>
      </c>
      <c r="W22" s="799">
        <f>IF(W4='Venture Assumptions'!$F$8,SUM(W196,W199:W202),0)</f>
        <v>0</v>
      </c>
      <c r="X22" s="799">
        <f>IF(X4='Venture Assumptions'!$F$8,SUM(X196,X199:X202),0)</f>
        <v>0</v>
      </c>
      <c r="Y22" s="799">
        <f>IF(Y4='Venture Assumptions'!$F$8,SUM(Y196,Y199:Y202),0)</f>
        <v>0</v>
      </c>
      <c r="Z22" s="799">
        <f>IF(Z4='Venture Assumptions'!$F$8,SUM(Z196,Z199:Z202),0)</f>
        <v>0</v>
      </c>
      <c r="AA22" s="799">
        <f>IF(AA4='Venture Assumptions'!$F$8,SUM(AA196,AA199:AA202),0)</f>
        <v>0</v>
      </c>
      <c r="AB22" s="799">
        <f>IF(AB4='Venture Assumptions'!$F$8,SUM(AB196,AB199:AB202),0)</f>
        <v>0</v>
      </c>
      <c r="AC22" s="799">
        <f>IF(AC4='Venture Assumptions'!$F$8,SUM(AC196,AC199:AC202),0)</f>
        <v>0</v>
      </c>
      <c r="AD22" s="799">
        <f>IF(AD4='Venture Assumptions'!$F$8,SUM(AD196,AD199:AD202),0)</f>
        <v>0</v>
      </c>
      <c r="AE22" s="799">
        <f>IF(AE4='Venture Assumptions'!$F$8,SUM(AE196,AE199:AE202),0)</f>
        <v>0</v>
      </c>
      <c r="AF22" s="799">
        <f>IF(AF4='Venture Assumptions'!$F$8,SUM(AF196,AF199:AF202),0)</f>
        <v>0</v>
      </c>
      <c r="AG22" s="799">
        <f>IF(AG4='Venture Assumptions'!$F$8,SUM(AG196,AG199:AG202),0)</f>
        <v>0</v>
      </c>
      <c r="AH22" s="799">
        <f>IF(AH4='Venture Assumptions'!$F$8,SUM(AH196,AH199:AH202),0)</f>
        <v>0</v>
      </c>
      <c r="AI22" s="799">
        <f>IF(AI4='Venture Assumptions'!$F$8,SUM(AI196,AI199:AI202),0)</f>
        <v>0</v>
      </c>
      <c r="AJ22" s="799">
        <f>IF(AJ4='Venture Assumptions'!$F$8,SUM(AJ196,AJ199:AJ202),0)</f>
        <v>0</v>
      </c>
      <c r="AK22" s="799">
        <f>IF(AK4='Venture Assumptions'!$F$8,SUM(AK196,AK199:AK202),0)</f>
        <v>0</v>
      </c>
      <c r="AL22" s="799">
        <f>IF(AL4='Venture Assumptions'!$F$8,SUM(AL196,AL199:AL202),0)</f>
        <v>0</v>
      </c>
      <c r="AM22" s="799">
        <f>IF(AM4='Venture Assumptions'!$F$8,SUM(AM196,AM199:AM202),0)</f>
        <v>0</v>
      </c>
      <c r="AN22" s="799">
        <f>IF(AN4='Venture Assumptions'!$F$8,SUM(AN196,AN199:AN202),0)</f>
        <v>0</v>
      </c>
      <c r="AO22" s="799">
        <f>IF(AO4='Venture Assumptions'!$F$8,SUM(AO196,AO199:AO202),0)</f>
        <v>0</v>
      </c>
      <c r="AP22" s="799">
        <f>IF(AP4='Venture Assumptions'!$F$8,SUM(AP196,AP199:AP202),0)</f>
        <v>0</v>
      </c>
      <c r="AQ22" s="799">
        <f>IF(AQ4='Venture Assumptions'!$F$8,SUM(AQ196,AQ199:AQ202),0)</f>
        <v>0</v>
      </c>
      <c r="AR22" s="799">
        <f>IF(AR4='Venture Assumptions'!$F$8,SUM(AR196,AR199:AR202),0)</f>
        <v>0</v>
      </c>
      <c r="AS22" s="799">
        <f>IF(AS4='Venture Assumptions'!$F$8,SUM(AS196,AS199:AS202),0)</f>
        <v>0</v>
      </c>
      <c r="AT22" s="799">
        <f>IF(AT4='Venture Assumptions'!$F$8,SUM(AT196,AT199:AT202),0)</f>
        <v>0</v>
      </c>
      <c r="AU22" s="799">
        <f>IF(AU4='Venture Assumptions'!$F$8,SUM(AU196,AU199:AU202),0)</f>
        <v>0</v>
      </c>
      <c r="AV22" s="799">
        <f>IF(AV4='Venture Assumptions'!$F$8,SUM(AV196,AV199:AV202),0)</f>
        <v>0</v>
      </c>
      <c r="AW22" s="799">
        <f>IF(AW4='Venture Assumptions'!$F$8,SUM(AW196,AW199:AW202),0)</f>
        <v>0</v>
      </c>
      <c r="AX22" s="799">
        <f>IF(AX4='Venture Assumptions'!$F$8,SUM(AX196,AX199:AX202),0)</f>
        <v>0</v>
      </c>
      <c r="AY22" s="799">
        <f>IF(AY4='Venture Assumptions'!$F$8,SUM(AY196,AY199:AY202),0)</f>
        <v>0</v>
      </c>
      <c r="AZ22" s="799">
        <f>IF(AZ4='Venture Assumptions'!$F$8,SUM(AZ196,AZ199:AZ202),0)</f>
        <v>0</v>
      </c>
      <c r="BA22" s="799">
        <f>IF(BA4='Venture Assumptions'!$F$8,SUM(BA196,BA199:BA202),0)</f>
        <v>0</v>
      </c>
      <c r="BB22" s="799">
        <f>IF(BB4='Venture Assumptions'!$F$8,SUM(BB196,BB199:BB202),0)</f>
        <v>0</v>
      </c>
      <c r="BC22" s="799">
        <f>IF(BC4='Venture Assumptions'!$F$8,SUM(BC196,BC199:BC202),0)</f>
        <v>0</v>
      </c>
      <c r="BD22" s="799">
        <f>IF(BD4='Venture Assumptions'!$F$8,SUM(BD196,BD199:BD202),0)</f>
        <v>0</v>
      </c>
      <c r="BE22" s="799">
        <f>IF(BE4='Venture Assumptions'!$F$8,SUM(BE196,BE199:BE202),0)</f>
        <v>0</v>
      </c>
      <c r="BF22" s="799">
        <f>IF(BF4='Venture Assumptions'!$F$8,SUM(BF196,BF199:BF202),0)</f>
        <v>0</v>
      </c>
      <c r="BG22" s="799">
        <f>IF(BG4='Venture Assumptions'!$F$8,SUM(BG196,BG199:BG202),0)</f>
        <v>0</v>
      </c>
      <c r="BH22" s="799">
        <f>IF(BH4='Venture Assumptions'!$F$8,SUM(BH196,BH199:BH202),0)</f>
        <v>0</v>
      </c>
      <c r="BI22" s="799">
        <f>IF(BI4='Venture Assumptions'!$F$8,SUM(BI196,BI199:BI202),0)</f>
        <v>0</v>
      </c>
      <c r="BJ22" s="799">
        <f>IF(BJ4='Venture Assumptions'!$F$8,SUM(BJ196,BJ199:BJ202),0)</f>
        <v>0</v>
      </c>
      <c r="BK22" s="799">
        <f>IF(BK4='Venture Assumptions'!$F$8,SUM(BK196,BK199:BK202),0)</f>
        <v>0</v>
      </c>
      <c r="BL22" s="799">
        <f>IF(BL4='Venture Assumptions'!$F$8,SUM(BL196,BL199:BL202),0)</f>
        <v>0</v>
      </c>
      <c r="BM22" s="799">
        <f>IF(BM4='Venture Assumptions'!$F$8,SUM(BM196,BM199:BM202),0)</f>
        <v>0</v>
      </c>
      <c r="BN22" s="799">
        <f>IF(BN4='Venture Assumptions'!$F$8,SUM(BN196,BN199:BN202),0)</f>
        <v>0</v>
      </c>
      <c r="BO22" s="799">
        <f>IF(BO4='Venture Assumptions'!$F$8,SUM(BO196,BO199:BO202),0)</f>
        <v>0</v>
      </c>
      <c r="BP22" s="799">
        <f>IF(BP4='Venture Assumptions'!$F$8,SUM(BP196,BP199:BP202),0)</f>
        <v>0</v>
      </c>
      <c r="BQ22" s="799">
        <f>IF(BQ4='Venture Assumptions'!$F$8,SUM(BQ196,BQ199:BQ202),0)</f>
        <v>0</v>
      </c>
      <c r="BR22" s="799">
        <f>IF(BR4='Venture Assumptions'!$F$8,SUM(BR196,BR199:BR202),0)</f>
        <v>0</v>
      </c>
      <c r="BS22" s="799">
        <f>IF(BS4='Venture Assumptions'!$F$8,SUM(BS196,BS199:BS202),0)</f>
        <v>0</v>
      </c>
      <c r="BT22" s="799">
        <f>IF(BT4='Venture Assumptions'!$F$8,SUM(BT196,BT199:BT202),0)</f>
        <v>0</v>
      </c>
      <c r="BU22" s="799">
        <f>IF(BU4='Venture Assumptions'!$F$8,SUM(BU196,BU199:BU202),0)</f>
        <v>0</v>
      </c>
      <c r="BV22" s="799">
        <f>IF(BV4='Venture Assumptions'!$F$8,SUM(BV196,BV199:BV202),0)</f>
        <v>0</v>
      </c>
      <c r="BW22" s="799">
        <f>IF(BW4='Venture Assumptions'!$F$8,SUM(BW196,BW199:BW202),0)</f>
        <v>0</v>
      </c>
      <c r="BX22" s="799">
        <f>IF(BX4='Venture Assumptions'!$F$8,SUM(BX196,BX199:BX202),0)</f>
        <v>0</v>
      </c>
      <c r="BY22" s="799">
        <f>IF(BY4='Venture Assumptions'!$F$8,SUM(BY196,BY199:BY202),0)</f>
        <v>0</v>
      </c>
      <c r="BZ22" s="799">
        <f>IF(BZ4='Venture Assumptions'!$F$8,SUM(BZ196,BZ199:BZ202),0)</f>
        <v>0</v>
      </c>
      <c r="CA22" s="799">
        <f>IF(CA4='Venture Assumptions'!$F$8,SUM(CA196,CA199:CA202),0)</f>
        <v>0</v>
      </c>
      <c r="CB22" s="799">
        <f>IF(CB4='Venture Assumptions'!$F$8,SUM(CB196,CB199:CB202),0)</f>
        <v>0</v>
      </c>
      <c r="CC22" s="799">
        <f>IF(CC4='Venture Assumptions'!$F$8,SUM(CC196,CC199:CC202),0)</f>
        <v>0</v>
      </c>
      <c r="CD22" s="799">
        <f>IF(CD4='Venture Assumptions'!$F$8,SUM(CD196,CD199:CD202),0)</f>
        <v>0</v>
      </c>
      <c r="CE22" s="799">
        <f>IF(CE4='Venture Assumptions'!$F$8,SUM(CE196,CE199:CE202),0)</f>
        <v>0</v>
      </c>
      <c r="CF22" s="799">
        <f>IF(CF4='Venture Assumptions'!$F$8,SUM(CF196,CF199:CF202),0)</f>
        <v>0</v>
      </c>
      <c r="CG22" s="799">
        <f>IF(CG4='Venture Assumptions'!$F$8,SUM(CG196,CG199:CG202),0)</f>
        <v>0</v>
      </c>
      <c r="CH22" s="799">
        <f>IF(CH4='Venture Assumptions'!$F$8,SUM(CH196,CH199:CH202),0)</f>
        <v>0</v>
      </c>
      <c r="CI22" s="799">
        <f>IF(CI4='Venture Assumptions'!$F$8,SUM(CI196,CI199:CI202),0)</f>
        <v>0</v>
      </c>
      <c r="CJ22" s="799">
        <f>IF(CJ4='Venture Assumptions'!$F$8,SUM(CJ196,CJ199:CJ202),0)</f>
        <v>0</v>
      </c>
      <c r="CK22" s="799">
        <f>IF(CK4='Venture Assumptions'!$F$8,SUM(CK196,CK199:CK202),0)</f>
        <v>0</v>
      </c>
      <c r="CL22" s="799">
        <f>IF(CL4='Venture Assumptions'!$F$8,SUM(CL196,CL199:CL202),0)</f>
        <v>0</v>
      </c>
      <c r="CM22" s="799">
        <f>IF(CM4='Venture Assumptions'!$F$8,SUM(CM196,CM199:CM202),0)</f>
        <v>0</v>
      </c>
      <c r="CN22" s="799">
        <f>IF(CN4='Venture Assumptions'!$F$8,SUM(CN196,CN199:CN202),0)</f>
        <v>0</v>
      </c>
      <c r="CO22" s="799">
        <f>IF(CO4='Venture Assumptions'!$F$8,SUM(CO196,CO199:CO202),0)</f>
        <v>0</v>
      </c>
      <c r="CP22" s="799">
        <f>IF(CP4='Venture Assumptions'!$F$8,SUM(CP196,CP199:CP202),0)</f>
        <v>0</v>
      </c>
      <c r="CQ22" s="799">
        <f>IF(CQ4='Venture Assumptions'!$F$8,SUM(CQ196,CQ199:CQ202),0)</f>
        <v>0</v>
      </c>
      <c r="CR22" s="799">
        <f>IF(CR4='Venture Assumptions'!$F$8,SUM(CR196,CR199:CR202),0)</f>
        <v>0</v>
      </c>
      <c r="CS22" s="799">
        <f>IF(CS4='Venture Assumptions'!$F$8,SUM(CS196,CS199:CS202),0)</f>
        <v>0</v>
      </c>
      <c r="CT22" s="799">
        <f>IF(CT4='Venture Assumptions'!$F$8,SUM(CT196,CT199:CT202),0)</f>
        <v>0</v>
      </c>
      <c r="CU22" s="799">
        <f>IF(CU4='Venture Assumptions'!$F$8,SUM(CU196,CU199:CU202),0)</f>
        <v>0</v>
      </c>
      <c r="CV22" s="799">
        <f>IF(CV4='Venture Assumptions'!$F$8,SUM(CV196,CV199:CV202),0)</f>
        <v>0</v>
      </c>
      <c r="CW22" s="799">
        <f>IF(CW4='Venture Assumptions'!$F$8,SUM(CW196,CW199:CW202),0)</f>
        <v>129660985.44941077</v>
      </c>
      <c r="CX22" s="799">
        <f>IF(CX4='Venture Assumptions'!$F$8,SUM(CX196,CX199:CX202),0)</f>
        <v>0</v>
      </c>
      <c r="CY22" s="799">
        <f>IF(CY4='Venture Assumptions'!$F$8,SUM(CY196,CY199:CY202),0)</f>
        <v>0</v>
      </c>
      <c r="CZ22" s="799">
        <f>IF(CZ4='Venture Assumptions'!$F$8,SUM(CZ196,CZ199:CZ202),0)</f>
        <v>0</v>
      </c>
      <c r="DA22" s="799">
        <f>IF(DA4='Venture Assumptions'!$F$8,SUM(DA196,DA199:DA202),0)</f>
        <v>0</v>
      </c>
      <c r="DB22" s="799">
        <f>IF(DB4='Venture Assumptions'!$F$8,SUM(DB196,DB199:DB202),0)</f>
        <v>0</v>
      </c>
      <c r="DC22" s="799">
        <f>IF(DC4='Venture Assumptions'!$F$8,SUM(DC196,DC199:DC202),0)</f>
        <v>0</v>
      </c>
      <c r="DD22" s="799">
        <f>IF(DD4='Venture Assumptions'!$F$8,SUM(DD196,DD199:DD202),0)</f>
        <v>0</v>
      </c>
      <c r="DE22" s="799">
        <f>IF(DE4='Venture Assumptions'!$F$8,SUM(DE196,DE199:DE202),0)</f>
        <v>0</v>
      </c>
      <c r="DF22" s="799">
        <f>IF(DF4='Venture Assumptions'!$F$8,SUM(DF196,DF199:DF202),0)</f>
        <v>0</v>
      </c>
      <c r="DG22" s="799">
        <f>IF(DG4='Venture Assumptions'!$F$8,SUM(DG196,DG199:DG202),0)</f>
        <v>0</v>
      </c>
      <c r="DH22" s="799">
        <f>IF(DH4='Venture Assumptions'!$F$8,SUM(DH196,DH199:DH202),0)</f>
        <v>0</v>
      </c>
      <c r="DI22" s="799">
        <f>IF(DI4='Venture Assumptions'!$F$8,SUM(DI196,DI199:DI202),0)</f>
        <v>0</v>
      </c>
      <c r="DJ22" s="799">
        <f>IF(DJ4='Venture Assumptions'!$F$8,SUM(DJ196,DJ199:DJ202),0)</f>
        <v>0</v>
      </c>
      <c r="DK22" s="799">
        <f>IF(DK4='Venture Assumptions'!$F$8,SUM(DK196,DK199:DK202),0)</f>
        <v>0</v>
      </c>
      <c r="DL22" s="799">
        <f>IF(DL4='Venture Assumptions'!$F$8,SUM(DL196,DL199:DL202),0)</f>
        <v>0</v>
      </c>
      <c r="DM22" s="799">
        <f>IF(DM4='Venture Assumptions'!$F$8,SUM(DM196,DM199:DM202),0)</f>
        <v>0</v>
      </c>
      <c r="DN22" s="799">
        <f>IF(DN4='Venture Assumptions'!$F$8,SUM(DN196,DN199:DN202),0)</f>
        <v>0</v>
      </c>
      <c r="DO22" s="799">
        <f>IF(DO4='Venture Assumptions'!$F$8,SUM(DO196,DO199:DO202),0)</f>
        <v>0</v>
      </c>
      <c r="DP22" s="799">
        <f>IF(DP4='Venture Assumptions'!$F$8,SUM(DP196,DP199:DP202),0)</f>
        <v>0</v>
      </c>
      <c r="DQ22" s="799">
        <f>IF(DQ4='Venture Assumptions'!$F$8,SUM(DQ196,DQ199:DQ202),0)</f>
        <v>0</v>
      </c>
      <c r="DR22" s="799">
        <f>IF(DR4='Venture Assumptions'!$F$8,SUM(DR196,DR199:DR202),0)</f>
        <v>0</v>
      </c>
      <c r="DS22" s="799">
        <f>IF(DS4='Venture Assumptions'!$F$8,SUM(DS196,DS199:DS202),0)</f>
        <v>0</v>
      </c>
      <c r="DT22" s="799">
        <f>IF(DT4='Venture Assumptions'!$F$8,SUM(DT196,DT199:DT202),0)</f>
        <v>0</v>
      </c>
      <c r="DU22" s="799">
        <f>IF(DU4='Venture Assumptions'!$F$8,SUM(DU196,DU199:DU202),0)</f>
        <v>0</v>
      </c>
      <c r="DV22" s="799">
        <f>IF(DV4='Venture Assumptions'!$F$8,SUM(DV196,DV199:DV202),0)</f>
        <v>0</v>
      </c>
      <c r="DW22" s="799">
        <f>IF(DW4='Venture Assumptions'!$F$8,SUM(DW196,DW199:DW202),0)</f>
        <v>0</v>
      </c>
      <c r="DX22" s="799">
        <f>IF(DX4='Venture Assumptions'!$F$8,SUM(DX196,DX199:DX202),0)</f>
        <v>0</v>
      </c>
      <c r="DY22" s="799">
        <f>IF(DY4='Venture Assumptions'!$F$8,SUM(DY196,DY199:DY202),0)</f>
        <v>0</v>
      </c>
      <c r="DZ22" s="799">
        <f>IF(DZ4='Venture Assumptions'!$F$8,SUM(DZ196,DZ199:DZ202),0)</f>
        <v>0</v>
      </c>
      <c r="EA22" s="799">
        <f>IF(EA4='Venture Assumptions'!$F$8,SUM(EA196,EA199:EA202),0)</f>
        <v>0</v>
      </c>
      <c r="EB22" s="799">
        <f>IF(EB4='Venture Assumptions'!$F$8,SUM(EB196,EB199:EB202),0)</f>
        <v>0</v>
      </c>
      <c r="EC22" s="799">
        <f>IF(EC4='Venture Assumptions'!$F$8,SUM(EC196,EC199:EC202),0)</f>
        <v>0</v>
      </c>
      <c r="ED22" s="799">
        <f>IF(ED4='Venture Assumptions'!$F$8,SUM(ED196,ED199:ED202),0)</f>
        <v>0</v>
      </c>
      <c r="EE22" s="799">
        <f>IF(EE4='Venture Assumptions'!$F$8,SUM(EE196,EE199:EE202),0)</f>
        <v>0</v>
      </c>
      <c r="EF22" s="799">
        <f>IF(EF4='Venture Assumptions'!$F$8,SUM(EF196,EF199:EF202),0)</f>
        <v>0</v>
      </c>
      <c r="EG22" s="799">
        <f>IF(EG4='Venture Assumptions'!$F$8,SUM(EG196,EG199:EG202),0)</f>
        <v>0</v>
      </c>
      <c r="EH22" s="782"/>
    </row>
    <row r="23" spans="1:138" ht="12.75" customHeight="1" x14ac:dyDescent="0.3">
      <c r="A23" s="782"/>
      <c r="B23" s="782" t="s">
        <v>12</v>
      </c>
      <c r="C23" s="798">
        <f t="shared" si="10"/>
        <v>90555520.636087999</v>
      </c>
      <c r="D23" s="782"/>
      <c r="E23" s="798">
        <f>SUM(E18:E22)</f>
        <v>-1121852.0714285714</v>
      </c>
      <c r="F23" s="798">
        <f t="shared" ref="F23:BQ23" si="15">SUM(F18:F22)</f>
        <v>-15205023.650356924</v>
      </c>
      <c r="G23" s="798">
        <f t="shared" si="15"/>
        <v>-482842.87663322879</v>
      </c>
      <c r="H23" s="798">
        <f t="shared" si="15"/>
        <v>-730351.38083719497</v>
      </c>
      <c r="I23" s="798">
        <f t="shared" si="15"/>
        <v>-1236684.7593366946</v>
      </c>
      <c r="J23" s="798">
        <f t="shared" si="15"/>
        <v>-2014778.4195767127</v>
      </c>
      <c r="K23" s="798">
        <f t="shared" si="15"/>
        <v>-2073610.6161474148</v>
      </c>
      <c r="L23" s="798">
        <f t="shared" si="15"/>
        <v>-2640889.4279506723</v>
      </c>
      <c r="M23" s="798">
        <f t="shared" si="15"/>
        <v>-3131644.7085792772</v>
      </c>
      <c r="N23" s="798">
        <f t="shared" si="15"/>
        <v>-3664977.9572392926</v>
      </c>
      <c r="O23" s="798">
        <f t="shared" si="15"/>
        <v>-3794081.8802737892</v>
      </c>
      <c r="P23" s="798">
        <f t="shared" si="15"/>
        <v>-3981561.2249667379</v>
      </c>
      <c r="Q23" s="798">
        <f t="shared" si="15"/>
        <v>-4010445.1180104553</v>
      </c>
      <c r="R23" s="798">
        <f t="shared" si="15"/>
        <v>-4027502.959331742</v>
      </c>
      <c r="S23" s="798">
        <f t="shared" si="15"/>
        <v>-3744708.6719599902</v>
      </c>
      <c r="T23" s="798">
        <f t="shared" si="15"/>
        <v>-3617121.5712719108</v>
      </c>
      <c r="U23" s="798">
        <f t="shared" si="15"/>
        <v>-3328440.6148768314</v>
      </c>
      <c r="V23" s="798">
        <f t="shared" si="15"/>
        <v>-2972914.4303884082</v>
      </c>
      <c r="W23" s="798">
        <f t="shared" si="15"/>
        <v>-2940484.2825984191</v>
      </c>
      <c r="X23" s="798">
        <f t="shared" si="15"/>
        <v>-2678468.9107315354</v>
      </c>
      <c r="Y23" s="798">
        <f t="shared" si="15"/>
        <v>-2229607.5061402018</v>
      </c>
      <c r="Z23" s="798">
        <f t="shared" si="15"/>
        <v>-1876144.6938300212</v>
      </c>
      <c r="AA23" s="798">
        <f t="shared" si="15"/>
        <v>-1534182.0480555915</v>
      </c>
      <c r="AB23" s="798">
        <f t="shared" si="15"/>
        <v>-990715.13301772578</v>
      </c>
      <c r="AC23" s="798">
        <f t="shared" si="15"/>
        <v>-728783.95712129225</v>
      </c>
      <c r="AD23" s="798">
        <f t="shared" si="15"/>
        <v>-370123.37918972806</v>
      </c>
      <c r="AE23" s="798">
        <f t="shared" si="15"/>
        <v>354045.64395481773</v>
      </c>
      <c r="AF23" s="798">
        <f t="shared" si="15"/>
        <v>443483.61813533143</v>
      </c>
      <c r="AG23" s="798">
        <f t="shared" si="15"/>
        <v>447129.95978718164</v>
      </c>
      <c r="AH23" s="798">
        <f t="shared" si="15"/>
        <v>448433.10872492491</v>
      </c>
      <c r="AI23" s="798">
        <f t="shared" si="15"/>
        <v>449732.04210855789</v>
      </c>
      <c r="AJ23" s="798">
        <f t="shared" si="15"/>
        <v>452320.98962950148</v>
      </c>
      <c r="AK23" s="798">
        <f t="shared" si="15"/>
        <v>455116.61410324048</v>
      </c>
      <c r="AL23" s="798">
        <f t="shared" si="15"/>
        <v>457901.62691787933</v>
      </c>
      <c r="AM23" s="798">
        <f t="shared" si="15"/>
        <v>460675.83905212011</v>
      </c>
      <c r="AN23" s="798">
        <f t="shared" si="15"/>
        <v>463439.05978284904</v>
      </c>
      <c r="AO23" s="798">
        <f t="shared" si="15"/>
        <v>466191.09667240438</v>
      </c>
      <c r="AP23" s="798">
        <f t="shared" si="15"/>
        <v>468094.59186639462</v>
      </c>
      <c r="AQ23" s="798">
        <f t="shared" si="15"/>
        <v>471662.18931662466</v>
      </c>
      <c r="AR23" s="798">
        <f t="shared" si="15"/>
        <v>474778.16131066857</v>
      </c>
      <c r="AS23" s="798">
        <f t="shared" si="15"/>
        <v>470225.81639409944</v>
      </c>
      <c r="AT23" s="798">
        <f t="shared" si="15"/>
        <v>472080.56216286955</v>
      </c>
      <c r="AU23" s="798">
        <f t="shared" si="15"/>
        <v>473901.01917470299</v>
      </c>
      <c r="AV23" s="798">
        <f t="shared" si="15"/>
        <v>476463.67678953713</v>
      </c>
      <c r="AW23" s="798">
        <f t="shared" si="15"/>
        <v>478947.5513226054</v>
      </c>
      <c r="AX23" s="798">
        <f t="shared" si="15"/>
        <v>481351.94769946643</v>
      </c>
      <c r="AY23" s="798">
        <f t="shared" si="15"/>
        <v>483676.16637365235</v>
      </c>
      <c r="AZ23" s="798">
        <f t="shared" si="15"/>
        <v>485919.50330098049</v>
      </c>
      <c r="BA23" s="798">
        <f t="shared" si="15"/>
        <v>488081.24991372222</v>
      </c>
      <c r="BB23" s="798">
        <f t="shared" si="15"/>
        <v>489546.22631757142</v>
      </c>
      <c r="BC23" s="798">
        <f t="shared" si="15"/>
        <v>492166.40440307528</v>
      </c>
      <c r="BD23" s="798">
        <f t="shared" si="15"/>
        <v>494406.18515555578</v>
      </c>
      <c r="BE23" s="798">
        <f t="shared" si="15"/>
        <v>490588.58462383563</v>
      </c>
      <c r="BF23" s="798">
        <f t="shared" si="15"/>
        <v>491966.98426699516</v>
      </c>
      <c r="BG23" s="798">
        <f t="shared" si="15"/>
        <v>493369.2809040987</v>
      </c>
      <c r="BH23" s="798">
        <f t="shared" si="15"/>
        <v>495388.95714649413</v>
      </c>
      <c r="BI23" s="798">
        <f t="shared" si="15"/>
        <v>497462.15738415584</v>
      </c>
      <c r="BJ23" s="798">
        <f t="shared" si="15"/>
        <v>499589.25088026433</v>
      </c>
      <c r="BK23" s="798">
        <f t="shared" si="15"/>
        <v>501770.60890967416</v>
      </c>
      <c r="BL23" s="798">
        <f t="shared" si="15"/>
        <v>504006.60476882214</v>
      </c>
      <c r="BM23" s="798">
        <f t="shared" si="15"/>
        <v>506297.61378568248</v>
      </c>
      <c r="BN23" s="798">
        <f t="shared" si="15"/>
        <v>507942.92152680992</v>
      </c>
      <c r="BO23" s="798">
        <f t="shared" si="15"/>
        <v>511040.05278454709</v>
      </c>
      <c r="BP23" s="798">
        <f t="shared" si="15"/>
        <v>513802.04329761514</v>
      </c>
      <c r="BQ23" s="798">
        <f t="shared" si="15"/>
        <v>510085.72721590201</v>
      </c>
      <c r="BR23" s="798">
        <f t="shared" ref="BR23:EC23" si="16">SUM(BR18:BR22)</f>
        <v>511811.42229198647</v>
      </c>
      <c r="BS23" s="798">
        <f t="shared" si="16"/>
        <v>513541.81556728628</v>
      </c>
      <c r="BT23" s="798">
        <f t="shared" si="16"/>
        <v>516021.09996924194</v>
      </c>
      <c r="BU23" s="798">
        <f t="shared" si="16"/>
        <v>518510.25236970157</v>
      </c>
      <c r="BV23" s="798">
        <f t="shared" si="16"/>
        <v>521009.31267309788</v>
      </c>
      <c r="BW23" s="798">
        <f t="shared" si="16"/>
        <v>523518.32094684354</v>
      </c>
      <c r="BX23" s="798">
        <f t="shared" si="16"/>
        <v>526037.31742200151</v>
      </c>
      <c r="BY23" s="798">
        <f t="shared" si="16"/>
        <v>528566.34249395714</v>
      </c>
      <c r="BZ23" s="798">
        <f t="shared" si="16"/>
        <v>530342.54459980538</v>
      </c>
      <c r="CA23" s="798">
        <f t="shared" si="16"/>
        <v>533653.58613711153</v>
      </c>
      <c r="CB23" s="798">
        <f t="shared" si="16"/>
        <v>536566.70965933485</v>
      </c>
      <c r="CC23" s="798">
        <f t="shared" si="16"/>
        <v>532741.55197128491</v>
      </c>
      <c r="CD23" s="798">
        <f t="shared" si="16"/>
        <v>534537.17891578947</v>
      </c>
      <c r="CE23" s="798">
        <f t="shared" si="16"/>
        <v>536337.69522069592</v>
      </c>
      <c r="CF23" s="798">
        <f t="shared" si="16"/>
        <v>538918.75053281302</v>
      </c>
      <c r="CG23" s="798">
        <f t="shared" si="16"/>
        <v>541510.08349327743</v>
      </c>
      <c r="CH23" s="798">
        <f t="shared" si="16"/>
        <v>544111.73567485181</v>
      </c>
      <c r="CI23" s="798">
        <f t="shared" si="16"/>
        <v>546723.74882012291</v>
      </c>
      <c r="CJ23" s="798">
        <f t="shared" si="16"/>
        <v>549346.1648421986</v>
      </c>
      <c r="CK23" s="798">
        <f t="shared" si="16"/>
        <v>551979.02582541027</v>
      </c>
      <c r="CL23" s="798">
        <f t="shared" si="16"/>
        <v>553827.23475749721</v>
      </c>
      <c r="CM23" s="798">
        <f t="shared" si="16"/>
        <v>557275.15259286854</v>
      </c>
      <c r="CN23" s="798">
        <f t="shared" si="16"/>
        <v>560308.32498128212</v>
      </c>
      <c r="CO23" s="798">
        <f t="shared" si="16"/>
        <v>556370.49856369721</v>
      </c>
      <c r="CP23" s="798">
        <f t="shared" si="16"/>
        <v>558238.92299156997</v>
      </c>
      <c r="CQ23" s="798">
        <f t="shared" si="16"/>
        <v>560112.43579844374</v>
      </c>
      <c r="CR23" s="798">
        <f t="shared" si="16"/>
        <v>562799.47301290452</v>
      </c>
      <c r="CS23" s="798">
        <f t="shared" si="16"/>
        <v>565497.21461729624</v>
      </c>
      <c r="CT23" s="798">
        <f t="shared" si="16"/>
        <v>568205.70392267813</v>
      </c>
      <c r="CU23" s="798">
        <f t="shared" si="16"/>
        <v>570924.98441706563</v>
      </c>
      <c r="CV23" s="798">
        <f t="shared" si="16"/>
        <v>573655.09976615699</v>
      </c>
      <c r="CW23" s="798">
        <f t="shared" si="16"/>
        <v>130237381.54322483</v>
      </c>
      <c r="CX23" s="798">
        <f t="shared" si="16"/>
        <v>0</v>
      </c>
      <c r="CY23" s="798">
        <f t="shared" si="16"/>
        <v>0</v>
      </c>
      <c r="CZ23" s="798">
        <f t="shared" si="16"/>
        <v>0</v>
      </c>
      <c r="DA23" s="798">
        <f t="shared" si="16"/>
        <v>0</v>
      </c>
      <c r="DB23" s="798">
        <f t="shared" si="16"/>
        <v>0</v>
      </c>
      <c r="DC23" s="798">
        <f t="shared" si="16"/>
        <v>0</v>
      </c>
      <c r="DD23" s="798">
        <f t="shared" si="16"/>
        <v>0</v>
      </c>
      <c r="DE23" s="798">
        <f t="shared" si="16"/>
        <v>0</v>
      </c>
      <c r="DF23" s="798">
        <f t="shared" si="16"/>
        <v>0</v>
      </c>
      <c r="DG23" s="798">
        <f t="shared" si="16"/>
        <v>0</v>
      </c>
      <c r="DH23" s="798">
        <f t="shared" si="16"/>
        <v>0</v>
      </c>
      <c r="DI23" s="798">
        <f t="shared" si="16"/>
        <v>0</v>
      </c>
      <c r="DJ23" s="798">
        <f t="shared" si="16"/>
        <v>0</v>
      </c>
      <c r="DK23" s="798">
        <f t="shared" si="16"/>
        <v>0</v>
      </c>
      <c r="DL23" s="798">
        <f t="shared" si="16"/>
        <v>0</v>
      </c>
      <c r="DM23" s="798">
        <f t="shared" si="16"/>
        <v>0</v>
      </c>
      <c r="DN23" s="798">
        <f t="shared" si="16"/>
        <v>0</v>
      </c>
      <c r="DO23" s="798">
        <f t="shared" si="16"/>
        <v>0</v>
      </c>
      <c r="DP23" s="798">
        <f t="shared" si="16"/>
        <v>0</v>
      </c>
      <c r="DQ23" s="798">
        <f t="shared" si="16"/>
        <v>0</v>
      </c>
      <c r="DR23" s="798">
        <f t="shared" si="16"/>
        <v>0</v>
      </c>
      <c r="DS23" s="798">
        <f t="shared" si="16"/>
        <v>0</v>
      </c>
      <c r="DT23" s="798">
        <f t="shared" si="16"/>
        <v>0</v>
      </c>
      <c r="DU23" s="798">
        <f t="shared" si="16"/>
        <v>0</v>
      </c>
      <c r="DV23" s="798">
        <f t="shared" si="16"/>
        <v>0</v>
      </c>
      <c r="DW23" s="798">
        <f t="shared" si="16"/>
        <v>0</v>
      </c>
      <c r="DX23" s="798">
        <f t="shared" si="16"/>
        <v>0</v>
      </c>
      <c r="DY23" s="798">
        <f t="shared" si="16"/>
        <v>0</v>
      </c>
      <c r="DZ23" s="798">
        <f t="shared" si="16"/>
        <v>0</v>
      </c>
      <c r="EA23" s="798">
        <f t="shared" si="16"/>
        <v>0</v>
      </c>
      <c r="EB23" s="798">
        <f t="shared" si="16"/>
        <v>0</v>
      </c>
      <c r="EC23" s="798">
        <f t="shared" si="16"/>
        <v>0</v>
      </c>
      <c r="ED23" s="798">
        <f>SUM(ED18:ED22)</f>
        <v>0</v>
      </c>
      <c r="EE23" s="798">
        <f>SUM(EE18:EE22)</f>
        <v>0</v>
      </c>
      <c r="EF23" s="798">
        <f>SUM(EF18:EF22)</f>
        <v>0</v>
      </c>
      <c r="EG23" s="798">
        <f>SUM(EG18:EG22)</f>
        <v>0</v>
      </c>
      <c r="EH23" s="782"/>
    </row>
    <row r="24" spans="1:138" ht="12.75" customHeight="1" x14ac:dyDescent="0.3">
      <c r="A24" s="782"/>
      <c r="B24" s="800" t="s">
        <v>13</v>
      </c>
      <c r="C24" s="801">
        <f>XIRR(OFFSET(E23,0,$C$141):EG23,OFFSET($E$4,0,$C$141):$EG$4)</f>
        <v>0.13132647871971129</v>
      </c>
      <c r="D24" s="782"/>
      <c r="E24" s="798"/>
      <c r="F24" s="798"/>
      <c r="G24" s="798"/>
      <c r="H24" s="798"/>
      <c r="I24" s="798"/>
      <c r="J24" s="798"/>
      <c r="K24" s="798"/>
      <c r="L24" s="798"/>
      <c r="M24" s="798"/>
      <c r="N24" s="798"/>
      <c r="O24" s="798"/>
      <c r="P24" s="798"/>
      <c r="Q24" s="798"/>
      <c r="R24" s="798"/>
      <c r="S24" s="798"/>
      <c r="T24" s="798"/>
      <c r="U24" s="798"/>
      <c r="V24" s="798"/>
      <c r="W24" s="798"/>
      <c r="X24" s="798"/>
      <c r="Y24" s="798"/>
      <c r="Z24" s="798"/>
      <c r="AA24" s="798"/>
      <c r="AB24" s="798"/>
      <c r="AC24" s="798"/>
      <c r="AD24" s="798"/>
      <c r="AE24" s="798"/>
      <c r="AF24" s="798"/>
      <c r="AG24" s="798"/>
      <c r="AH24" s="798"/>
      <c r="AI24" s="798"/>
      <c r="AJ24" s="798"/>
      <c r="AK24" s="798"/>
      <c r="AL24" s="798"/>
      <c r="AM24" s="798"/>
      <c r="AN24" s="798"/>
      <c r="AO24" s="798"/>
      <c r="AP24" s="798"/>
      <c r="AQ24" s="798"/>
      <c r="AR24" s="798"/>
      <c r="AS24" s="798"/>
      <c r="AT24" s="798"/>
      <c r="AU24" s="798"/>
      <c r="AV24" s="798"/>
      <c r="AW24" s="798"/>
      <c r="AX24" s="798"/>
      <c r="AY24" s="798"/>
      <c r="AZ24" s="798"/>
      <c r="BA24" s="798"/>
      <c r="BB24" s="798"/>
      <c r="BC24" s="798"/>
      <c r="BD24" s="798"/>
      <c r="BE24" s="798"/>
      <c r="BF24" s="798"/>
      <c r="BG24" s="798"/>
      <c r="BH24" s="798"/>
      <c r="BI24" s="798"/>
      <c r="BJ24" s="798"/>
      <c r="BK24" s="798"/>
      <c r="BL24" s="798"/>
      <c r="BM24" s="798"/>
      <c r="BN24" s="798"/>
      <c r="BO24" s="798"/>
      <c r="BP24" s="798"/>
      <c r="BQ24" s="798"/>
      <c r="BR24" s="798"/>
      <c r="BS24" s="798"/>
      <c r="BT24" s="798"/>
      <c r="BU24" s="798"/>
      <c r="BV24" s="798"/>
      <c r="BW24" s="798"/>
      <c r="BX24" s="798"/>
      <c r="BY24" s="798"/>
      <c r="BZ24" s="798"/>
      <c r="CA24" s="798"/>
      <c r="CB24" s="798"/>
      <c r="CC24" s="798"/>
      <c r="CD24" s="798"/>
      <c r="CE24" s="798"/>
      <c r="CF24" s="798"/>
      <c r="CG24" s="798"/>
      <c r="CH24" s="798"/>
      <c r="CI24" s="798"/>
      <c r="CJ24" s="798"/>
      <c r="CK24" s="798"/>
      <c r="CL24" s="798"/>
      <c r="CM24" s="798"/>
      <c r="CN24" s="798"/>
      <c r="CO24" s="798"/>
      <c r="CP24" s="798"/>
      <c r="CQ24" s="798"/>
      <c r="CR24" s="798"/>
      <c r="CS24" s="798"/>
      <c r="CT24" s="798"/>
      <c r="CU24" s="798"/>
      <c r="CV24" s="798"/>
      <c r="CW24" s="798"/>
      <c r="CX24" s="798"/>
      <c r="CY24" s="798"/>
      <c r="CZ24" s="798"/>
      <c r="DA24" s="798"/>
      <c r="DB24" s="798"/>
      <c r="DC24" s="798"/>
      <c r="DD24" s="798"/>
      <c r="DE24" s="798"/>
      <c r="DF24" s="798"/>
      <c r="DG24" s="798"/>
      <c r="DH24" s="798"/>
      <c r="DI24" s="798"/>
      <c r="DJ24" s="798"/>
      <c r="DK24" s="798"/>
      <c r="DL24" s="798"/>
      <c r="DM24" s="798"/>
      <c r="DN24" s="798"/>
      <c r="DO24" s="798"/>
      <c r="DP24" s="798"/>
      <c r="DQ24" s="798"/>
      <c r="DR24" s="798"/>
      <c r="DS24" s="798"/>
      <c r="DT24" s="798"/>
      <c r="DU24" s="798"/>
      <c r="DV24" s="798"/>
      <c r="DW24" s="798"/>
      <c r="DX24" s="798"/>
      <c r="DY24" s="798"/>
      <c r="DZ24" s="798"/>
      <c r="EA24" s="798"/>
      <c r="EB24" s="798"/>
      <c r="EC24" s="798"/>
      <c r="ED24" s="798"/>
      <c r="EE24" s="798"/>
      <c r="EF24" s="798"/>
      <c r="EG24" s="798"/>
      <c r="EH24" s="782"/>
    </row>
    <row r="25" spans="1:138" ht="12.75" customHeight="1" x14ac:dyDescent="0.3">
      <c r="A25" s="782"/>
      <c r="B25" s="782"/>
      <c r="C25" s="782"/>
      <c r="D25" s="782"/>
      <c r="E25" s="782"/>
      <c r="F25" s="782"/>
      <c r="G25" s="782"/>
      <c r="H25" s="782"/>
      <c r="I25" s="782"/>
      <c r="J25" s="782"/>
      <c r="K25" s="782"/>
      <c r="L25" s="782"/>
      <c r="M25" s="782"/>
      <c r="N25" s="782"/>
      <c r="O25" s="782"/>
      <c r="P25" s="782"/>
      <c r="Q25" s="782"/>
      <c r="R25" s="782"/>
      <c r="S25" s="782"/>
      <c r="T25" s="782"/>
      <c r="U25" s="782"/>
      <c r="V25" s="782"/>
      <c r="W25" s="782"/>
      <c r="X25" s="782"/>
      <c r="Y25" s="782"/>
      <c r="Z25" s="782"/>
      <c r="AA25" s="782"/>
      <c r="AB25" s="782"/>
      <c r="AC25" s="782"/>
      <c r="AD25" s="782"/>
      <c r="AE25" s="782"/>
      <c r="AF25" s="782"/>
      <c r="AG25" s="782"/>
      <c r="AH25" s="782"/>
      <c r="AI25" s="782"/>
      <c r="AJ25" s="782"/>
      <c r="AK25" s="782"/>
      <c r="AL25" s="782"/>
      <c r="AM25" s="782"/>
      <c r="AN25" s="782"/>
      <c r="AO25" s="782"/>
      <c r="AP25" s="782"/>
      <c r="AQ25" s="782"/>
      <c r="AR25" s="782"/>
      <c r="AS25" s="782"/>
      <c r="AT25" s="782"/>
      <c r="AU25" s="782"/>
      <c r="AV25" s="782"/>
      <c r="AW25" s="782"/>
      <c r="AX25" s="782"/>
      <c r="AY25" s="782"/>
      <c r="AZ25" s="782"/>
      <c r="BA25" s="782"/>
      <c r="BB25" s="782"/>
      <c r="BC25" s="782"/>
      <c r="BD25" s="782"/>
      <c r="BE25" s="782"/>
      <c r="BF25" s="782"/>
      <c r="BG25" s="782"/>
      <c r="BH25" s="782"/>
      <c r="BI25" s="782"/>
      <c r="BJ25" s="782"/>
      <c r="BK25" s="782"/>
      <c r="BL25" s="782"/>
      <c r="BM25" s="782"/>
      <c r="BN25" s="782"/>
      <c r="BO25" s="782"/>
      <c r="BP25" s="782"/>
      <c r="BQ25" s="782"/>
      <c r="BR25" s="782"/>
      <c r="BS25" s="782"/>
      <c r="BT25" s="782"/>
      <c r="BU25" s="782"/>
      <c r="BV25" s="782"/>
      <c r="BW25" s="782"/>
      <c r="BX25" s="782"/>
      <c r="BY25" s="782"/>
      <c r="BZ25" s="782"/>
      <c r="CA25" s="782"/>
      <c r="CB25" s="782"/>
      <c r="CC25" s="782"/>
      <c r="CD25" s="782"/>
      <c r="CE25" s="782"/>
      <c r="CF25" s="782"/>
      <c r="CG25" s="782"/>
      <c r="CH25" s="782"/>
      <c r="CI25" s="782"/>
      <c r="CJ25" s="782"/>
      <c r="CK25" s="782"/>
      <c r="CL25" s="782"/>
      <c r="CM25" s="782"/>
      <c r="CN25" s="782"/>
      <c r="CO25" s="782"/>
      <c r="CP25" s="782"/>
      <c r="CQ25" s="782"/>
      <c r="CR25" s="782"/>
      <c r="CS25" s="782"/>
      <c r="CT25" s="782"/>
      <c r="CU25" s="782"/>
      <c r="CV25" s="782"/>
      <c r="CW25" s="782"/>
      <c r="CX25" s="782"/>
      <c r="CY25" s="782"/>
      <c r="CZ25" s="782"/>
      <c r="DA25" s="782"/>
      <c r="DB25" s="782"/>
      <c r="DC25" s="782"/>
      <c r="DD25" s="782"/>
      <c r="DE25" s="782"/>
      <c r="DF25" s="782"/>
      <c r="DG25" s="782"/>
      <c r="DH25" s="782"/>
      <c r="DI25" s="782"/>
      <c r="DJ25" s="782"/>
      <c r="DK25" s="782"/>
      <c r="DL25" s="782"/>
      <c r="DM25" s="782"/>
      <c r="DN25" s="782"/>
      <c r="DO25" s="782"/>
      <c r="DP25" s="782"/>
      <c r="DQ25" s="782"/>
      <c r="DR25" s="782"/>
      <c r="DS25" s="782"/>
      <c r="DT25" s="782"/>
      <c r="DU25" s="782"/>
      <c r="DV25" s="782"/>
      <c r="DW25" s="782"/>
      <c r="DX25" s="782"/>
      <c r="DY25" s="782"/>
      <c r="DZ25" s="782"/>
      <c r="EA25" s="782"/>
      <c r="EB25" s="782"/>
      <c r="EC25" s="782"/>
      <c r="ED25" s="782"/>
      <c r="EE25" s="782"/>
      <c r="EF25" s="782"/>
      <c r="EG25" s="782"/>
      <c r="EH25" s="782"/>
    </row>
    <row r="26" spans="1:138" ht="12.75" customHeight="1" x14ac:dyDescent="0.3">
      <c r="A26" s="782"/>
      <c r="B26" s="782" t="s">
        <v>14</v>
      </c>
      <c r="C26" s="798">
        <f t="shared" ref="C26:C33" si="17">SUM(E26:EG26)</f>
        <v>-1470019.5694877617</v>
      </c>
      <c r="D26" s="782"/>
      <c r="E26" s="798">
        <f t="shared" ref="E26:BP26" si="18">-E146+E182</f>
        <v>-821583.45041148621</v>
      </c>
      <c r="F26" s="798">
        <f t="shared" si="18"/>
        <v>-3000</v>
      </c>
      <c r="G26" s="798">
        <f t="shared" si="18"/>
        <v>-3000</v>
      </c>
      <c r="H26" s="798">
        <f t="shared" si="18"/>
        <v>-3000</v>
      </c>
      <c r="I26" s="798">
        <f t="shared" si="18"/>
        <v>-3000</v>
      </c>
      <c r="J26" s="798">
        <f t="shared" si="18"/>
        <v>-3000</v>
      </c>
      <c r="K26" s="798">
        <f t="shared" si="18"/>
        <v>-3000</v>
      </c>
      <c r="L26" s="798">
        <f t="shared" si="18"/>
        <v>-3000</v>
      </c>
      <c r="M26" s="798">
        <f t="shared" si="18"/>
        <v>-3000</v>
      </c>
      <c r="N26" s="798">
        <f t="shared" si="18"/>
        <v>-3000</v>
      </c>
      <c r="O26" s="798">
        <f t="shared" si="18"/>
        <v>-3000</v>
      </c>
      <c r="P26" s="798">
        <f t="shared" si="18"/>
        <v>-3000</v>
      </c>
      <c r="Q26" s="798">
        <f t="shared" si="18"/>
        <v>-3000</v>
      </c>
      <c r="R26" s="798">
        <f t="shared" si="18"/>
        <v>-3000</v>
      </c>
      <c r="S26" s="798">
        <f t="shared" si="18"/>
        <v>-3000</v>
      </c>
      <c r="T26" s="798">
        <f t="shared" si="18"/>
        <v>-3000</v>
      </c>
      <c r="U26" s="798">
        <f t="shared" si="18"/>
        <v>-3000</v>
      </c>
      <c r="V26" s="798">
        <f t="shared" si="18"/>
        <v>-3000</v>
      </c>
      <c r="W26" s="798">
        <f t="shared" si="18"/>
        <v>-3000</v>
      </c>
      <c r="X26" s="798">
        <f t="shared" si="18"/>
        <v>-3000</v>
      </c>
      <c r="Y26" s="798">
        <f t="shared" si="18"/>
        <v>-3000</v>
      </c>
      <c r="Z26" s="798">
        <f t="shared" si="18"/>
        <v>-3000</v>
      </c>
      <c r="AA26" s="798">
        <f t="shared" si="18"/>
        <v>-3000</v>
      </c>
      <c r="AB26" s="798">
        <f t="shared" si="18"/>
        <v>-3000</v>
      </c>
      <c r="AC26" s="798">
        <f t="shared" si="18"/>
        <v>-3000</v>
      </c>
      <c r="AD26" s="798">
        <f t="shared" si="18"/>
        <v>-3000</v>
      </c>
      <c r="AE26" s="798">
        <f t="shared" si="18"/>
        <v>0</v>
      </c>
      <c r="AF26" s="798">
        <f t="shared" si="18"/>
        <v>0</v>
      </c>
      <c r="AG26" s="798">
        <f t="shared" si="18"/>
        <v>0</v>
      </c>
      <c r="AH26" s="798">
        <f t="shared" si="18"/>
        <v>0</v>
      </c>
      <c r="AI26" s="798">
        <f t="shared" si="18"/>
        <v>0</v>
      </c>
      <c r="AJ26" s="798">
        <f t="shared" si="18"/>
        <v>0</v>
      </c>
      <c r="AK26" s="798">
        <f t="shared" si="18"/>
        <v>0</v>
      </c>
      <c r="AL26" s="798">
        <f t="shared" si="18"/>
        <v>-573436.1190762755</v>
      </c>
      <c r="AM26" s="798">
        <f t="shared" si="18"/>
        <v>0</v>
      </c>
      <c r="AN26" s="798">
        <f t="shared" si="18"/>
        <v>0</v>
      </c>
      <c r="AO26" s="798">
        <f t="shared" si="18"/>
        <v>0</v>
      </c>
      <c r="AP26" s="798">
        <f t="shared" si="18"/>
        <v>0</v>
      </c>
      <c r="AQ26" s="798">
        <f t="shared" si="18"/>
        <v>0</v>
      </c>
      <c r="AR26" s="798">
        <f t="shared" si="18"/>
        <v>0</v>
      </c>
      <c r="AS26" s="798">
        <f t="shared" si="18"/>
        <v>0</v>
      </c>
      <c r="AT26" s="798">
        <f t="shared" si="18"/>
        <v>0</v>
      </c>
      <c r="AU26" s="798">
        <f t="shared" si="18"/>
        <v>0</v>
      </c>
      <c r="AV26" s="798">
        <f t="shared" si="18"/>
        <v>0</v>
      </c>
      <c r="AW26" s="798">
        <f t="shared" si="18"/>
        <v>0</v>
      </c>
      <c r="AX26" s="798">
        <f t="shared" si="18"/>
        <v>0</v>
      </c>
      <c r="AY26" s="798">
        <f t="shared" si="18"/>
        <v>0</v>
      </c>
      <c r="AZ26" s="798">
        <f t="shared" si="18"/>
        <v>0</v>
      </c>
      <c r="BA26" s="798">
        <f t="shared" si="18"/>
        <v>0</v>
      </c>
      <c r="BB26" s="798">
        <f t="shared" si="18"/>
        <v>0</v>
      </c>
      <c r="BC26" s="798">
        <f t="shared" si="18"/>
        <v>0</v>
      </c>
      <c r="BD26" s="798">
        <f t="shared" si="18"/>
        <v>0</v>
      </c>
      <c r="BE26" s="798">
        <f t="shared" si="18"/>
        <v>0</v>
      </c>
      <c r="BF26" s="798">
        <f t="shared" si="18"/>
        <v>0</v>
      </c>
      <c r="BG26" s="798">
        <f t="shared" si="18"/>
        <v>0</v>
      </c>
      <c r="BH26" s="798">
        <f t="shared" si="18"/>
        <v>0</v>
      </c>
      <c r="BI26" s="798">
        <f t="shared" si="18"/>
        <v>0</v>
      </c>
      <c r="BJ26" s="798">
        <f t="shared" si="18"/>
        <v>0</v>
      </c>
      <c r="BK26" s="798">
        <f t="shared" si="18"/>
        <v>0</v>
      </c>
      <c r="BL26" s="798">
        <f t="shared" si="18"/>
        <v>0</v>
      </c>
      <c r="BM26" s="798">
        <f t="shared" si="18"/>
        <v>0</v>
      </c>
      <c r="BN26" s="798">
        <f t="shared" si="18"/>
        <v>0</v>
      </c>
      <c r="BO26" s="798">
        <f t="shared" si="18"/>
        <v>0</v>
      </c>
      <c r="BP26" s="798">
        <f t="shared" si="18"/>
        <v>0</v>
      </c>
      <c r="BQ26" s="798">
        <f t="shared" ref="BQ26:EB26" si="19">-BQ146+BQ182</f>
        <v>0</v>
      </c>
      <c r="BR26" s="798">
        <f t="shared" si="19"/>
        <v>0</v>
      </c>
      <c r="BS26" s="798">
        <f t="shared" si="19"/>
        <v>0</v>
      </c>
      <c r="BT26" s="798">
        <f t="shared" si="19"/>
        <v>0</v>
      </c>
      <c r="BU26" s="798">
        <f t="shared" si="19"/>
        <v>0</v>
      </c>
      <c r="BV26" s="798">
        <f t="shared" si="19"/>
        <v>0</v>
      </c>
      <c r="BW26" s="798">
        <f t="shared" si="19"/>
        <v>0</v>
      </c>
      <c r="BX26" s="798">
        <f t="shared" si="19"/>
        <v>0</v>
      </c>
      <c r="BY26" s="798">
        <f t="shared" si="19"/>
        <v>0</v>
      </c>
      <c r="BZ26" s="798">
        <f t="shared" si="19"/>
        <v>0</v>
      </c>
      <c r="CA26" s="798">
        <f t="shared" si="19"/>
        <v>0</v>
      </c>
      <c r="CB26" s="798">
        <f t="shared" si="19"/>
        <v>0</v>
      </c>
      <c r="CC26" s="798">
        <f t="shared" si="19"/>
        <v>0</v>
      </c>
      <c r="CD26" s="798">
        <f t="shared" si="19"/>
        <v>0</v>
      </c>
      <c r="CE26" s="798">
        <f t="shared" si="19"/>
        <v>0</v>
      </c>
      <c r="CF26" s="798">
        <f t="shared" si="19"/>
        <v>0</v>
      </c>
      <c r="CG26" s="798">
        <f t="shared" si="19"/>
        <v>0</v>
      </c>
      <c r="CH26" s="798">
        <f t="shared" si="19"/>
        <v>0</v>
      </c>
      <c r="CI26" s="798">
        <f t="shared" si="19"/>
        <v>0</v>
      </c>
      <c r="CJ26" s="798">
        <f t="shared" si="19"/>
        <v>0</v>
      </c>
      <c r="CK26" s="798">
        <f t="shared" si="19"/>
        <v>0</v>
      </c>
      <c r="CL26" s="798">
        <f t="shared" si="19"/>
        <v>0</v>
      </c>
      <c r="CM26" s="798">
        <f t="shared" si="19"/>
        <v>0</v>
      </c>
      <c r="CN26" s="798">
        <f t="shared" si="19"/>
        <v>0</v>
      </c>
      <c r="CO26" s="798">
        <f t="shared" si="19"/>
        <v>0</v>
      </c>
      <c r="CP26" s="798">
        <f t="shared" si="19"/>
        <v>0</v>
      </c>
      <c r="CQ26" s="798">
        <f t="shared" si="19"/>
        <v>0</v>
      </c>
      <c r="CR26" s="798">
        <f t="shared" si="19"/>
        <v>0</v>
      </c>
      <c r="CS26" s="798">
        <f t="shared" si="19"/>
        <v>0</v>
      </c>
      <c r="CT26" s="798">
        <f t="shared" si="19"/>
        <v>0</v>
      </c>
      <c r="CU26" s="798">
        <f t="shared" si="19"/>
        <v>0</v>
      </c>
      <c r="CV26" s="798">
        <f t="shared" si="19"/>
        <v>0</v>
      </c>
      <c r="CW26" s="798">
        <f t="shared" si="19"/>
        <v>0</v>
      </c>
      <c r="CX26" s="798">
        <f t="shared" si="19"/>
        <v>0</v>
      </c>
      <c r="CY26" s="798">
        <f t="shared" si="19"/>
        <v>0</v>
      </c>
      <c r="CZ26" s="798">
        <f t="shared" si="19"/>
        <v>0</v>
      </c>
      <c r="DA26" s="798">
        <f t="shared" si="19"/>
        <v>0</v>
      </c>
      <c r="DB26" s="798">
        <f t="shared" si="19"/>
        <v>0</v>
      </c>
      <c r="DC26" s="798">
        <f t="shared" si="19"/>
        <v>0</v>
      </c>
      <c r="DD26" s="798">
        <f t="shared" si="19"/>
        <v>0</v>
      </c>
      <c r="DE26" s="798">
        <f t="shared" si="19"/>
        <v>0</v>
      </c>
      <c r="DF26" s="798">
        <f t="shared" si="19"/>
        <v>0</v>
      </c>
      <c r="DG26" s="798">
        <f t="shared" si="19"/>
        <v>0</v>
      </c>
      <c r="DH26" s="798">
        <f t="shared" si="19"/>
        <v>0</v>
      </c>
      <c r="DI26" s="798">
        <f t="shared" si="19"/>
        <v>0</v>
      </c>
      <c r="DJ26" s="798">
        <f t="shared" si="19"/>
        <v>0</v>
      </c>
      <c r="DK26" s="798">
        <f t="shared" si="19"/>
        <v>0</v>
      </c>
      <c r="DL26" s="798">
        <f t="shared" si="19"/>
        <v>0</v>
      </c>
      <c r="DM26" s="798">
        <f t="shared" si="19"/>
        <v>0</v>
      </c>
      <c r="DN26" s="798">
        <f t="shared" si="19"/>
        <v>0</v>
      </c>
      <c r="DO26" s="798">
        <f t="shared" si="19"/>
        <v>0</v>
      </c>
      <c r="DP26" s="798">
        <f t="shared" si="19"/>
        <v>0</v>
      </c>
      <c r="DQ26" s="798">
        <f t="shared" si="19"/>
        <v>0</v>
      </c>
      <c r="DR26" s="798">
        <f t="shared" si="19"/>
        <v>0</v>
      </c>
      <c r="DS26" s="798">
        <f t="shared" si="19"/>
        <v>0</v>
      </c>
      <c r="DT26" s="798">
        <f t="shared" si="19"/>
        <v>0</v>
      </c>
      <c r="DU26" s="798">
        <f t="shared" si="19"/>
        <v>0</v>
      </c>
      <c r="DV26" s="798">
        <f t="shared" si="19"/>
        <v>0</v>
      </c>
      <c r="DW26" s="798">
        <f t="shared" si="19"/>
        <v>0</v>
      </c>
      <c r="DX26" s="798">
        <f t="shared" si="19"/>
        <v>0</v>
      </c>
      <c r="DY26" s="798">
        <f t="shared" si="19"/>
        <v>0</v>
      </c>
      <c r="DZ26" s="798">
        <f t="shared" si="19"/>
        <v>0</v>
      </c>
      <c r="EA26" s="798">
        <f t="shared" si="19"/>
        <v>0</v>
      </c>
      <c r="EB26" s="798">
        <f t="shared" si="19"/>
        <v>0</v>
      </c>
      <c r="EC26" s="798">
        <f>-EC146+EC182</f>
        <v>0</v>
      </c>
      <c r="ED26" s="798">
        <f>-ED146+ED182</f>
        <v>0</v>
      </c>
      <c r="EE26" s="798">
        <f>-EE146+EE182</f>
        <v>0</v>
      </c>
      <c r="EF26" s="798">
        <f>-EF146+EF182</f>
        <v>0</v>
      </c>
      <c r="EG26" s="798">
        <f>-EG146+EG182</f>
        <v>0</v>
      </c>
      <c r="EH26" s="782"/>
    </row>
    <row r="27" spans="1:138" ht="12.75" customHeight="1" x14ac:dyDescent="0.3">
      <c r="A27" s="782"/>
      <c r="B27" s="782" t="s">
        <v>15</v>
      </c>
      <c r="C27" s="798">
        <f t="shared" si="17"/>
        <v>-3015435.9515204169</v>
      </c>
      <c r="D27" s="782"/>
      <c r="E27" s="798">
        <f>E174</f>
        <v>0</v>
      </c>
      <c r="F27" s="798">
        <f t="shared" ref="F27:BQ27" si="20">F174</f>
        <v>0</v>
      </c>
      <c r="G27" s="798">
        <f t="shared" si="20"/>
        <v>0</v>
      </c>
      <c r="H27" s="798">
        <f t="shared" si="20"/>
        <v>0</v>
      </c>
      <c r="I27" s="798">
        <f t="shared" si="20"/>
        <v>0</v>
      </c>
      <c r="J27" s="798">
        <f t="shared" si="20"/>
        <v>0</v>
      </c>
      <c r="K27" s="798">
        <f t="shared" si="20"/>
        <v>0</v>
      </c>
      <c r="L27" s="798">
        <f t="shared" si="20"/>
        <v>0</v>
      </c>
      <c r="M27" s="798">
        <f t="shared" si="20"/>
        <v>0</v>
      </c>
      <c r="N27" s="798">
        <f t="shared" si="20"/>
        <v>0</v>
      </c>
      <c r="O27" s="798">
        <f t="shared" si="20"/>
        <v>0</v>
      </c>
      <c r="P27" s="798">
        <f t="shared" si="20"/>
        <v>-9271.8618416666668</v>
      </c>
      <c r="Q27" s="798">
        <f t="shared" si="20"/>
        <v>-30859.985503750006</v>
      </c>
      <c r="R27" s="798">
        <f t="shared" si="20"/>
        <v>-52721.499257916672</v>
      </c>
      <c r="S27" s="798">
        <f t="shared" si="20"/>
        <v>-74793.826184999998</v>
      </c>
      <c r="T27" s="798">
        <f t="shared" si="20"/>
        <v>-95453.90916208335</v>
      </c>
      <c r="U27" s="798">
        <f t="shared" si="20"/>
        <v>-115534.80412500001</v>
      </c>
      <c r="V27" s="798">
        <f t="shared" si="20"/>
        <v>-134160.78209083332</v>
      </c>
      <c r="W27" s="798">
        <f t="shared" si="20"/>
        <v>-150961.88393541667</v>
      </c>
      <c r="X27" s="798">
        <f t="shared" si="20"/>
        <v>-167678.32844750001</v>
      </c>
      <c r="Y27" s="798">
        <f t="shared" si="20"/>
        <v>-183066.07043833335</v>
      </c>
      <c r="Z27" s="798">
        <f t="shared" si="20"/>
        <v>-196105.83008791669</v>
      </c>
      <c r="AA27" s="798">
        <f t="shared" si="20"/>
        <v>-207301.63153916667</v>
      </c>
      <c r="AB27" s="798">
        <f t="shared" si="20"/>
        <v>-216705.7792466667</v>
      </c>
      <c r="AC27" s="798">
        <f t="shared" si="20"/>
        <v>-223217.08696625006</v>
      </c>
      <c r="AD27" s="798">
        <f t="shared" si="20"/>
        <v>-228583.81597458338</v>
      </c>
      <c r="AE27" s="798">
        <f t="shared" si="20"/>
        <v>-232254.71417958339</v>
      </c>
      <c r="AF27" s="798">
        <f t="shared" si="20"/>
        <v>-232254.71417958339</v>
      </c>
      <c r="AG27" s="798">
        <f t="shared" si="20"/>
        <v>-232254.71417958339</v>
      </c>
      <c r="AH27" s="798">
        <f t="shared" si="20"/>
        <v>-232254.71417958339</v>
      </c>
      <c r="AI27" s="798">
        <f t="shared" si="20"/>
        <v>0</v>
      </c>
      <c r="AJ27" s="798">
        <f t="shared" si="20"/>
        <v>0</v>
      </c>
      <c r="AK27" s="798">
        <f t="shared" si="20"/>
        <v>0</v>
      </c>
      <c r="AL27" s="798">
        <f t="shared" si="20"/>
        <v>0</v>
      </c>
      <c r="AM27" s="798">
        <f t="shared" si="20"/>
        <v>0</v>
      </c>
      <c r="AN27" s="798">
        <f t="shared" si="20"/>
        <v>0</v>
      </c>
      <c r="AO27" s="798">
        <f t="shared" si="20"/>
        <v>0</v>
      </c>
      <c r="AP27" s="798">
        <f t="shared" si="20"/>
        <v>0</v>
      </c>
      <c r="AQ27" s="798">
        <f t="shared" si="20"/>
        <v>0</v>
      </c>
      <c r="AR27" s="798">
        <f t="shared" si="20"/>
        <v>0</v>
      </c>
      <c r="AS27" s="798">
        <f t="shared" si="20"/>
        <v>0</v>
      </c>
      <c r="AT27" s="798">
        <f t="shared" si="20"/>
        <v>0</v>
      </c>
      <c r="AU27" s="798">
        <f t="shared" si="20"/>
        <v>0</v>
      </c>
      <c r="AV27" s="798">
        <f t="shared" si="20"/>
        <v>0</v>
      </c>
      <c r="AW27" s="798">
        <f t="shared" si="20"/>
        <v>0</v>
      </c>
      <c r="AX27" s="798">
        <f t="shared" si="20"/>
        <v>0</v>
      </c>
      <c r="AY27" s="798">
        <f t="shared" si="20"/>
        <v>0</v>
      </c>
      <c r="AZ27" s="798">
        <f t="shared" si="20"/>
        <v>0</v>
      </c>
      <c r="BA27" s="798">
        <f t="shared" si="20"/>
        <v>0</v>
      </c>
      <c r="BB27" s="798">
        <f t="shared" si="20"/>
        <v>0</v>
      </c>
      <c r="BC27" s="798">
        <f t="shared" si="20"/>
        <v>0</v>
      </c>
      <c r="BD27" s="798">
        <f t="shared" si="20"/>
        <v>0</v>
      </c>
      <c r="BE27" s="798">
        <f t="shared" si="20"/>
        <v>0</v>
      </c>
      <c r="BF27" s="798">
        <f t="shared" si="20"/>
        <v>0</v>
      </c>
      <c r="BG27" s="798">
        <f t="shared" si="20"/>
        <v>0</v>
      </c>
      <c r="BH27" s="798">
        <f t="shared" si="20"/>
        <v>0</v>
      </c>
      <c r="BI27" s="798">
        <f t="shared" si="20"/>
        <v>0</v>
      </c>
      <c r="BJ27" s="798">
        <f t="shared" si="20"/>
        <v>0</v>
      </c>
      <c r="BK27" s="798">
        <f t="shared" si="20"/>
        <v>0</v>
      </c>
      <c r="BL27" s="798">
        <f t="shared" si="20"/>
        <v>0</v>
      </c>
      <c r="BM27" s="798">
        <f t="shared" si="20"/>
        <v>0</v>
      </c>
      <c r="BN27" s="798">
        <f t="shared" si="20"/>
        <v>0</v>
      </c>
      <c r="BO27" s="798">
        <f t="shared" si="20"/>
        <v>0</v>
      </c>
      <c r="BP27" s="798">
        <f t="shared" si="20"/>
        <v>0</v>
      </c>
      <c r="BQ27" s="798">
        <f t="shared" si="20"/>
        <v>0</v>
      </c>
      <c r="BR27" s="798">
        <f t="shared" ref="BR27:EC27" si="21">BR174</f>
        <v>0</v>
      </c>
      <c r="BS27" s="798">
        <f t="shared" si="21"/>
        <v>0</v>
      </c>
      <c r="BT27" s="798">
        <f t="shared" si="21"/>
        <v>0</v>
      </c>
      <c r="BU27" s="798">
        <f t="shared" si="21"/>
        <v>0</v>
      </c>
      <c r="BV27" s="798">
        <f t="shared" si="21"/>
        <v>0</v>
      </c>
      <c r="BW27" s="798">
        <f t="shared" si="21"/>
        <v>0</v>
      </c>
      <c r="BX27" s="798">
        <f t="shared" si="21"/>
        <v>0</v>
      </c>
      <c r="BY27" s="798">
        <f t="shared" si="21"/>
        <v>0</v>
      </c>
      <c r="BZ27" s="798">
        <f t="shared" si="21"/>
        <v>0</v>
      </c>
      <c r="CA27" s="798">
        <f t="shared" si="21"/>
        <v>0</v>
      </c>
      <c r="CB27" s="798">
        <f t="shared" si="21"/>
        <v>0</v>
      </c>
      <c r="CC27" s="798">
        <f t="shared" si="21"/>
        <v>0</v>
      </c>
      <c r="CD27" s="798">
        <f t="shared" si="21"/>
        <v>0</v>
      </c>
      <c r="CE27" s="798">
        <f t="shared" si="21"/>
        <v>0</v>
      </c>
      <c r="CF27" s="798">
        <f t="shared" si="21"/>
        <v>0</v>
      </c>
      <c r="CG27" s="798">
        <f t="shared" si="21"/>
        <v>0</v>
      </c>
      <c r="CH27" s="798">
        <f t="shared" si="21"/>
        <v>0</v>
      </c>
      <c r="CI27" s="798">
        <f t="shared" si="21"/>
        <v>0</v>
      </c>
      <c r="CJ27" s="798">
        <f t="shared" si="21"/>
        <v>0</v>
      </c>
      <c r="CK27" s="798">
        <f t="shared" si="21"/>
        <v>0</v>
      </c>
      <c r="CL27" s="798">
        <f t="shared" si="21"/>
        <v>0</v>
      </c>
      <c r="CM27" s="798">
        <f t="shared" si="21"/>
        <v>0</v>
      </c>
      <c r="CN27" s="798">
        <f t="shared" si="21"/>
        <v>0</v>
      </c>
      <c r="CO27" s="798">
        <f t="shared" si="21"/>
        <v>0</v>
      </c>
      <c r="CP27" s="798">
        <f t="shared" si="21"/>
        <v>0</v>
      </c>
      <c r="CQ27" s="798">
        <f t="shared" si="21"/>
        <v>0</v>
      </c>
      <c r="CR27" s="798">
        <f t="shared" si="21"/>
        <v>0</v>
      </c>
      <c r="CS27" s="798">
        <f t="shared" si="21"/>
        <v>0</v>
      </c>
      <c r="CT27" s="798">
        <f t="shared" si="21"/>
        <v>0</v>
      </c>
      <c r="CU27" s="798">
        <f t="shared" si="21"/>
        <v>0</v>
      </c>
      <c r="CV27" s="798">
        <f t="shared" si="21"/>
        <v>0</v>
      </c>
      <c r="CW27" s="798">
        <f t="shared" si="21"/>
        <v>0</v>
      </c>
      <c r="CX27" s="798">
        <f t="shared" si="21"/>
        <v>0</v>
      </c>
      <c r="CY27" s="798">
        <f t="shared" si="21"/>
        <v>0</v>
      </c>
      <c r="CZ27" s="798">
        <f t="shared" si="21"/>
        <v>0</v>
      </c>
      <c r="DA27" s="798">
        <f t="shared" si="21"/>
        <v>0</v>
      </c>
      <c r="DB27" s="798">
        <f t="shared" si="21"/>
        <v>0</v>
      </c>
      <c r="DC27" s="798">
        <f t="shared" si="21"/>
        <v>0</v>
      </c>
      <c r="DD27" s="798">
        <f t="shared" si="21"/>
        <v>0</v>
      </c>
      <c r="DE27" s="798">
        <f t="shared" si="21"/>
        <v>0</v>
      </c>
      <c r="DF27" s="798">
        <f t="shared" si="21"/>
        <v>0</v>
      </c>
      <c r="DG27" s="798">
        <f t="shared" si="21"/>
        <v>0</v>
      </c>
      <c r="DH27" s="798">
        <f t="shared" si="21"/>
        <v>0</v>
      </c>
      <c r="DI27" s="798">
        <f t="shared" si="21"/>
        <v>0</v>
      </c>
      <c r="DJ27" s="798">
        <f t="shared" si="21"/>
        <v>0</v>
      </c>
      <c r="DK27" s="798">
        <f t="shared" si="21"/>
        <v>0</v>
      </c>
      <c r="DL27" s="798">
        <f t="shared" si="21"/>
        <v>0</v>
      </c>
      <c r="DM27" s="798">
        <f t="shared" si="21"/>
        <v>0</v>
      </c>
      <c r="DN27" s="798">
        <f t="shared" si="21"/>
        <v>0</v>
      </c>
      <c r="DO27" s="798">
        <f t="shared" si="21"/>
        <v>0</v>
      </c>
      <c r="DP27" s="798">
        <f t="shared" si="21"/>
        <v>0</v>
      </c>
      <c r="DQ27" s="798">
        <f t="shared" si="21"/>
        <v>0</v>
      </c>
      <c r="DR27" s="798">
        <f t="shared" si="21"/>
        <v>0</v>
      </c>
      <c r="DS27" s="798">
        <f t="shared" si="21"/>
        <v>0</v>
      </c>
      <c r="DT27" s="798">
        <f t="shared" si="21"/>
        <v>0</v>
      </c>
      <c r="DU27" s="798">
        <f t="shared" si="21"/>
        <v>0</v>
      </c>
      <c r="DV27" s="798">
        <f t="shared" si="21"/>
        <v>0</v>
      </c>
      <c r="DW27" s="798">
        <f t="shared" si="21"/>
        <v>0</v>
      </c>
      <c r="DX27" s="798">
        <f t="shared" si="21"/>
        <v>0</v>
      </c>
      <c r="DY27" s="798">
        <f t="shared" si="21"/>
        <v>0</v>
      </c>
      <c r="DZ27" s="798">
        <f t="shared" si="21"/>
        <v>0</v>
      </c>
      <c r="EA27" s="798">
        <f t="shared" si="21"/>
        <v>0</v>
      </c>
      <c r="EB27" s="798">
        <f t="shared" si="21"/>
        <v>0</v>
      </c>
      <c r="EC27" s="798">
        <f t="shared" si="21"/>
        <v>0</v>
      </c>
      <c r="ED27" s="798">
        <f>ED174</f>
        <v>0</v>
      </c>
      <c r="EE27" s="798">
        <f>EE174</f>
        <v>0</v>
      </c>
      <c r="EF27" s="798">
        <f>EF174</f>
        <v>0</v>
      </c>
      <c r="EG27" s="798">
        <f>EG174</f>
        <v>0</v>
      </c>
      <c r="EH27" s="782"/>
    </row>
    <row r="28" spans="1:138" ht="12.75" customHeight="1" x14ac:dyDescent="0.3">
      <c r="A28" s="782"/>
      <c r="B28" s="782" t="s">
        <v>16</v>
      </c>
      <c r="C28" s="798">
        <f t="shared" si="17"/>
        <v>42877793.387000009</v>
      </c>
      <c r="D28" s="782"/>
      <c r="E28" s="798">
        <f>E171</f>
        <v>0</v>
      </c>
      <c r="F28" s="798">
        <f t="shared" ref="F28:BQ29" si="22">F171</f>
        <v>0</v>
      </c>
      <c r="G28" s="798">
        <f t="shared" si="22"/>
        <v>0</v>
      </c>
      <c r="H28" s="798">
        <f t="shared" si="22"/>
        <v>0</v>
      </c>
      <c r="I28" s="798">
        <f t="shared" si="22"/>
        <v>0</v>
      </c>
      <c r="J28" s="798">
        <f t="shared" si="22"/>
        <v>0</v>
      </c>
      <c r="K28" s="798">
        <f t="shared" si="22"/>
        <v>0</v>
      </c>
      <c r="L28" s="798">
        <f t="shared" si="22"/>
        <v>0</v>
      </c>
      <c r="M28" s="798">
        <f t="shared" si="22"/>
        <v>0</v>
      </c>
      <c r="N28" s="798">
        <f t="shared" si="22"/>
        <v>0</v>
      </c>
      <c r="O28" s="798">
        <f t="shared" si="22"/>
        <v>1711728.34</v>
      </c>
      <c r="P28" s="798">
        <f t="shared" si="22"/>
        <v>3985499.753</v>
      </c>
      <c r="Q28" s="798">
        <f t="shared" si="22"/>
        <v>4035971.77</v>
      </c>
      <c r="R28" s="798">
        <f t="shared" si="22"/>
        <v>4074891.125</v>
      </c>
      <c r="S28" s="798">
        <f t="shared" si="22"/>
        <v>3814169.165</v>
      </c>
      <c r="T28" s="798">
        <f t="shared" si="22"/>
        <v>3707242.1469999999</v>
      </c>
      <c r="U28" s="798">
        <f t="shared" si="22"/>
        <v>3438642.0860000001</v>
      </c>
      <c r="V28" s="798">
        <f t="shared" si="22"/>
        <v>3101741.8790000002</v>
      </c>
      <c r="W28" s="798">
        <f t="shared" si="22"/>
        <v>3086112.8330000001</v>
      </c>
      <c r="X28" s="798">
        <f t="shared" si="22"/>
        <v>2840813.906</v>
      </c>
      <c r="Y28" s="798">
        <f t="shared" si="22"/>
        <v>2407340.2429999998</v>
      </c>
      <c r="Z28" s="798">
        <f t="shared" si="22"/>
        <v>2066917.1910000001</v>
      </c>
      <c r="AA28" s="798">
        <f t="shared" si="22"/>
        <v>1736150.3459999999</v>
      </c>
      <c r="AB28" s="798">
        <f t="shared" si="22"/>
        <v>1202087.5789999999</v>
      </c>
      <c r="AC28" s="798">
        <f t="shared" si="22"/>
        <v>990780.74</v>
      </c>
      <c r="AD28" s="798">
        <f t="shared" si="22"/>
        <v>677704.28399999999</v>
      </c>
      <c r="AE28" s="798">
        <f t="shared" si="22"/>
        <v>0</v>
      </c>
      <c r="AF28" s="798">
        <f t="shared" si="22"/>
        <v>0</v>
      </c>
      <c r="AG28" s="798">
        <f t="shared" si="22"/>
        <v>0</v>
      </c>
      <c r="AH28" s="798">
        <f t="shared" si="22"/>
        <v>0</v>
      </c>
      <c r="AI28" s="798">
        <f t="shared" si="22"/>
        <v>0</v>
      </c>
      <c r="AJ28" s="798">
        <f t="shared" si="22"/>
        <v>0</v>
      </c>
      <c r="AK28" s="798">
        <f t="shared" si="22"/>
        <v>0</v>
      </c>
      <c r="AL28" s="798">
        <f t="shared" si="22"/>
        <v>0</v>
      </c>
      <c r="AM28" s="798">
        <f t="shared" si="22"/>
        <v>0</v>
      </c>
      <c r="AN28" s="798">
        <f t="shared" si="22"/>
        <v>0</v>
      </c>
      <c r="AO28" s="798">
        <f t="shared" si="22"/>
        <v>0</v>
      </c>
      <c r="AP28" s="798">
        <f t="shared" si="22"/>
        <v>0</v>
      </c>
      <c r="AQ28" s="798">
        <f t="shared" si="22"/>
        <v>0</v>
      </c>
      <c r="AR28" s="798">
        <f t="shared" si="22"/>
        <v>0</v>
      </c>
      <c r="AS28" s="798">
        <f t="shared" si="22"/>
        <v>0</v>
      </c>
      <c r="AT28" s="798">
        <f t="shared" si="22"/>
        <v>0</v>
      </c>
      <c r="AU28" s="798">
        <f t="shared" si="22"/>
        <v>0</v>
      </c>
      <c r="AV28" s="798">
        <f t="shared" si="22"/>
        <v>0</v>
      </c>
      <c r="AW28" s="798">
        <f t="shared" si="22"/>
        <v>0</v>
      </c>
      <c r="AX28" s="798">
        <f t="shared" si="22"/>
        <v>0</v>
      </c>
      <c r="AY28" s="798">
        <f t="shared" si="22"/>
        <v>0</v>
      </c>
      <c r="AZ28" s="798">
        <f t="shared" si="22"/>
        <v>0</v>
      </c>
      <c r="BA28" s="798">
        <f t="shared" si="22"/>
        <v>0</v>
      </c>
      <c r="BB28" s="798">
        <f t="shared" si="22"/>
        <v>0</v>
      </c>
      <c r="BC28" s="798">
        <f t="shared" si="22"/>
        <v>0</v>
      </c>
      <c r="BD28" s="798">
        <f t="shared" si="22"/>
        <v>0</v>
      </c>
      <c r="BE28" s="798">
        <f t="shared" si="22"/>
        <v>0</v>
      </c>
      <c r="BF28" s="798">
        <f t="shared" si="22"/>
        <v>0</v>
      </c>
      <c r="BG28" s="798">
        <f t="shared" si="22"/>
        <v>0</v>
      </c>
      <c r="BH28" s="798">
        <f t="shared" si="22"/>
        <v>0</v>
      </c>
      <c r="BI28" s="798">
        <f t="shared" si="22"/>
        <v>0</v>
      </c>
      <c r="BJ28" s="798">
        <f t="shared" si="22"/>
        <v>0</v>
      </c>
      <c r="BK28" s="798">
        <f t="shared" si="22"/>
        <v>0</v>
      </c>
      <c r="BL28" s="798">
        <f t="shared" si="22"/>
        <v>0</v>
      </c>
      <c r="BM28" s="798">
        <f t="shared" si="22"/>
        <v>0</v>
      </c>
      <c r="BN28" s="798">
        <f t="shared" si="22"/>
        <v>0</v>
      </c>
      <c r="BO28" s="798">
        <f t="shared" si="22"/>
        <v>0</v>
      </c>
      <c r="BP28" s="798">
        <f t="shared" si="22"/>
        <v>0</v>
      </c>
      <c r="BQ28" s="798">
        <f t="shared" si="22"/>
        <v>0</v>
      </c>
      <c r="BR28" s="798">
        <f t="shared" ref="BR28:EC29" si="23">BR171</f>
        <v>0</v>
      </c>
      <c r="BS28" s="798">
        <f t="shared" si="23"/>
        <v>0</v>
      </c>
      <c r="BT28" s="798">
        <f t="shared" si="23"/>
        <v>0</v>
      </c>
      <c r="BU28" s="798">
        <f t="shared" si="23"/>
        <v>0</v>
      </c>
      <c r="BV28" s="798">
        <f t="shared" si="23"/>
        <v>0</v>
      </c>
      <c r="BW28" s="798">
        <f t="shared" si="23"/>
        <v>0</v>
      </c>
      <c r="BX28" s="798">
        <f t="shared" si="23"/>
        <v>0</v>
      </c>
      <c r="BY28" s="798">
        <f t="shared" si="23"/>
        <v>0</v>
      </c>
      <c r="BZ28" s="798">
        <f t="shared" si="23"/>
        <v>0</v>
      </c>
      <c r="CA28" s="798">
        <f t="shared" si="23"/>
        <v>0</v>
      </c>
      <c r="CB28" s="798">
        <f t="shared" si="23"/>
        <v>0</v>
      </c>
      <c r="CC28" s="798">
        <f t="shared" si="23"/>
        <v>0</v>
      </c>
      <c r="CD28" s="798">
        <f t="shared" si="23"/>
        <v>0</v>
      </c>
      <c r="CE28" s="798">
        <f t="shared" si="23"/>
        <v>0</v>
      </c>
      <c r="CF28" s="798">
        <f t="shared" si="23"/>
        <v>0</v>
      </c>
      <c r="CG28" s="798">
        <f t="shared" si="23"/>
        <v>0</v>
      </c>
      <c r="CH28" s="798">
        <f t="shared" si="23"/>
        <v>0</v>
      </c>
      <c r="CI28" s="798">
        <f t="shared" si="23"/>
        <v>0</v>
      </c>
      <c r="CJ28" s="798">
        <f t="shared" si="23"/>
        <v>0</v>
      </c>
      <c r="CK28" s="798">
        <f t="shared" si="23"/>
        <v>0</v>
      </c>
      <c r="CL28" s="798">
        <f t="shared" si="23"/>
        <v>0</v>
      </c>
      <c r="CM28" s="798">
        <f t="shared" si="23"/>
        <v>0</v>
      </c>
      <c r="CN28" s="798">
        <f t="shared" si="23"/>
        <v>0</v>
      </c>
      <c r="CO28" s="798">
        <f t="shared" si="23"/>
        <v>0</v>
      </c>
      <c r="CP28" s="798">
        <f t="shared" si="23"/>
        <v>0</v>
      </c>
      <c r="CQ28" s="798">
        <f t="shared" si="23"/>
        <v>0</v>
      </c>
      <c r="CR28" s="798">
        <f t="shared" si="23"/>
        <v>0</v>
      </c>
      <c r="CS28" s="798">
        <f t="shared" si="23"/>
        <v>0</v>
      </c>
      <c r="CT28" s="798">
        <f t="shared" si="23"/>
        <v>0</v>
      </c>
      <c r="CU28" s="798">
        <f t="shared" si="23"/>
        <v>0</v>
      </c>
      <c r="CV28" s="798">
        <f t="shared" si="23"/>
        <v>0</v>
      </c>
      <c r="CW28" s="798">
        <f t="shared" si="23"/>
        <v>0</v>
      </c>
      <c r="CX28" s="798">
        <f t="shared" si="23"/>
        <v>0</v>
      </c>
      <c r="CY28" s="798">
        <f t="shared" si="23"/>
        <v>0</v>
      </c>
      <c r="CZ28" s="798">
        <f t="shared" si="23"/>
        <v>0</v>
      </c>
      <c r="DA28" s="798">
        <f t="shared" si="23"/>
        <v>0</v>
      </c>
      <c r="DB28" s="798">
        <f t="shared" si="23"/>
        <v>0</v>
      </c>
      <c r="DC28" s="798">
        <f t="shared" si="23"/>
        <v>0</v>
      </c>
      <c r="DD28" s="798">
        <f t="shared" si="23"/>
        <v>0</v>
      </c>
      <c r="DE28" s="798">
        <f t="shared" si="23"/>
        <v>0</v>
      </c>
      <c r="DF28" s="798">
        <f t="shared" si="23"/>
        <v>0</v>
      </c>
      <c r="DG28" s="798">
        <f t="shared" si="23"/>
        <v>0</v>
      </c>
      <c r="DH28" s="798">
        <f t="shared" si="23"/>
        <v>0</v>
      </c>
      <c r="DI28" s="798">
        <f t="shared" si="23"/>
        <v>0</v>
      </c>
      <c r="DJ28" s="798">
        <f t="shared" si="23"/>
        <v>0</v>
      </c>
      <c r="DK28" s="798">
        <f t="shared" si="23"/>
        <v>0</v>
      </c>
      <c r="DL28" s="798">
        <f t="shared" si="23"/>
        <v>0</v>
      </c>
      <c r="DM28" s="798">
        <f t="shared" si="23"/>
        <v>0</v>
      </c>
      <c r="DN28" s="798">
        <f t="shared" si="23"/>
        <v>0</v>
      </c>
      <c r="DO28" s="798">
        <f t="shared" si="23"/>
        <v>0</v>
      </c>
      <c r="DP28" s="798">
        <f t="shared" si="23"/>
        <v>0</v>
      </c>
      <c r="DQ28" s="798">
        <f t="shared" si="23"/>
        <v>0</v>
      </c>
      <c r="DR28" s="798">
        <f t="shared" si="23"/>
        <v>0</v>
      </c>
      <c r="DS28" s="798">
        <f t="shared" si="23"/>
        <v>0</v>
      </c>
      <c r="DT28" s="798">
        <f t="shared" si="23"/>
        <v>0</v>
      </c>
      <c r="DU28" s="798">
        <f t="shared" si="23"/>
        <v>0</v>
      </c>
      <c r="DV28" s="798">
        <f t="shared" si="23"/>
        <v>0</v>
      </c>
      <c r="DW28" s="798">
        <f t="shared" si="23"/>
        <v>0</v>
      </c>
      <c r="DX28" s="798">
        <f t="shared" si="23"/>
        <v>0</v>
      </c>
      <c r="DY28" s="798">
        <f t="shared" si="23"/>
        <v>0</v>
      </c>
      <c r="DZ28" s="798">
        <f t="shared" si="23"/>
        <v>0</v>
      </c>
      <c r="EA28" s="798">
        <f t="shared" si="23"/>
        <v>0</v>
      </c>
      <c r="EB28" s="798">
        <f t="shared" si="23"/>
        <v>0</v>
      </c>
      <c r="EC28" s="798">
        <f t="shared" si="23"/>
        <v>0</v>
      </c>
      <c r="ED28" s="798">
        <f t="shared" ref="ED28:EG29" si="24">ED171</f>
        <v>0</v>
      </c>
      <c r="EE28" s="798">
        <f t="shared" si="24"/>
        <v>0</v>
      </c>
      <c r="EF28" s="798">
        <f t="shared" si="24"/>
        <v>0</v>
      </c>
      <c r="EG28" s="798">
        <f t="shared" si="24"/>
        <v>0</v>
      </c>
      <c r="EH28" s="782"/>
    </row>
    <row r="29" spans="1:138" ht="12.75" customHeight="1" x14ac:dyDescent="0.3">
      <c r="A29" s="782"/>
      <c r="B29" s="782" t="s">
        <v>17</v>
      </c>
      <c r="C29" s="798">
        <f t="shared" si="17"/>
        <v>-42877793.387000009</v>
      </c>
      <c r="D29" s="782"/>
      <c r="E29" s="798">
        <f>E172</f>
        <v>0</v>
      </c>
      <c r="F29" s="798">
        <f t="shared" si="22"/>
        <v>0</v>
      </c>
      <c r="G29" s="798">
        <f t="shared" si="22"/>
        <v>0</v>
      </c>
      <c r="H29" s="798">
        <f t="shared" si="22"/>
        <v>0</v>
      </c>
      <c r="I29" s="798">
        <f t="shared" si="22"/>
        <v>0</v>
      </c>
      <c r="J29" s="798">
        <f t="shared" si="22"/>
        <v>0</v>
      </c>
      <c r="K29" s="798">
        <f t="shared" si="22"/>
        <v>0</v>
      </c>
      <c r="L29" s="798">
        <f t="shared" si="22"/>
        <v>0</v>
      </c>
      <c r="M29" s="798">
        <f t="shared" si="22"/>
        <v>0</v>
      </c>
      <c r="N29" s="798">
        <f t="shared" si="22"/>
        <v>0</v>
      </c>
      <c r="O29" s="798">
        <f t="shared" si="22"/>
        <v>0</v>
      </c>
      <c r="P29" s="798">
        <f t="shared" si="22"/>
        <v>0</v>
      </c>
      <c r="Q29" s="798">
        <f t="shared" si="22"/>
        <v>0</v>
      </c>
      <c r="R29" s="798">
        <f t="shared" si="22"/>
        <v>0</v>
      </c>
      <c r="S29" s="798">
        <f t="shared" si="22"/>
        <v>0</v>
      </c>
      <c r="T29" s="798">
        <f t="shared" si="22"/>
        <v>0</v>
      </c>
      <c r="U29" s="798">
        <f t="shared" si="22"/>
        <v>0</v>
      </c>
      <c r="V29" s="798">
        <f t="shared" si="22"/>
        <v>0</v>
      </c>
      <c r="W29" s="798">
        <f t="shared" si="22"/>
        <v>0</v>
      </c>
      <c r="X29" s="798">
        <f t="shared" si="22"/>
        <v>0</v>
      </c>
      <c r="Y29" s="798">
        <f t="shared" si="22"/>
        <v>0</v>
      </c>
      <c r="Z29" s="798">
        <f t="shared" si="22"/>
        <v>0</v>
      </c>
      <c r="AA29" s="798">
        <f t="shared" si="22"/>
        <v>0</v>
      </c>
      <c r="AB29" s="798">
        <f t="shared" si="22"/>
        <v>0</v>
      </c>
      <c r="AC29" s="798">
        <f t="shared" si="22"/>
        <v>0</v>
      </c>
      <c r="AD29" s="798">
        <f t="shared" si="22"/>
        <v>0</v>
      </c>
      <c r="AE29" s="798">
        <f t="shared" si="22"/>
        <v>0</v>
      </c>
      <c r="AF29" s="798">
        <f t="shared" si="22"/>
        <v>0</v>
      </c>
      <c r="AG29" s="798">
        <f t="shared" si="22"/>
        <v>0</v>
      </c>
      <c r="AH29" s="798">
        <f t="shared" si="22"/>
        <v>0</v>
      </c>
      <c r="AI29" s="798">
        <f t="shared" si="22"/>
        <v>0</v>
      </c>
      <c r="AJ29" s="798">
        <f t="shared" si="22"/>
        <v>0</v>
      </c>
      <c r="AK29" s="798">
        <f t="shared" si="22"/>
        <v>0</v>
      </c>
      <c r="AL29" s="798">
        <f t="shared" si="22"/>
        <v>-42877793.387000009</v>
      </c>
      <c r="AM29" s="798">
        <f t="shared" si="22"/>
        <v>0</v>
      </c>
      <c r="AN29" s="798">
        <f t="shared" si="22"/>
        <v>0</v>
      </c>
      <c r="AO29" s="798">
        <f t="shared" si="22"/>
        <v>0</v>
      </c>
      <c r="AP29" s="798">
        <f t="shared" si="22"/>
        <v>0</v>
      </c>
      <c r="AQ29" s="798">
        <f t="shared" si="22"/>
        <v>0</v>
      </c>
      <c r="AR29" s="798">
        <f t="shared" si="22"/>
        <v>0</v>
      </c>
      <c r="AS29" s="798">
        <f t="shared" si="22"/>
        <v>0</v>
      </c>
      <c r="AT29" s="798">
        <f t="shared" si="22"/>
        <v>0</v>
      </c>
      <c r="AU29" s="798">
        <f t="shared" si="22"/>
        <v>0</v>
      </c>
      <c r="AV29" s="798">
        <f t="shared" si="22"/>
        <v>0</v>
      </c>
      <c r="AW29" s="798">
        <f t="shared" si="22"/>
        <v>0</v>
      </c>
      <c r="AX29" s="798">
        <f t="shared" si="22"/>
        <v>0</v>
      </c>
      <c r="AY29" s="798">
        <f t="shared" si="22"/>
        <v>0</v>
      </c>
      <c r="AZ29" s="798">
        <f t="shared" si="22"/>
        <v>0</v>
      </c>
      <c r="BA29" s="798">
        <f t="shared" si="22"/>
        <v>0</v>
      </c>
      <c r="BB29" s="798">
        <f t="shared" si="22"/>
        <v>0</v>
      </c>
      <c r="BC29" s="798">
        <f t="shared" si="22"/>
        <v>0</v>
      </c>
      <c r="BD29" s="798">
        <f t="shared" si="22"/>
        <v>0</v>
      </c>
      <c r="BE29" s="798">
        <f t="shared" si="22"/>
        <v>0</v>
      </c>
      <c r="BF29" s="798">
        <f t="shared" si="22"/>
        <v>0</v>
      </c>
      <c r="BG29" s="798">
        <f t="shared" si="22"/>
        <v>0</v>
      </c>
      <c r="BH29" s="798">
        <f t="shared" si="22"/>
        <v>0</v>
      </c>
      <c r="BI29" s="798">
        <f t="shared" si="22"/>
        <v>0</v>
      </c>
      <c r="BJ29" s="798">
        <f t="shared" si="22"/>
        <v>0</v>
      </c>
      <c r="BK29" s="798">
        <f t="shared" si="22"/>
        <v>0</v>
      </c>
      <c r="BL29" s="798">
        <f t="shared" si="22"/>
        <v>0</v>
      </c>
      <c r="BM29" s="798">
        <f t="shared" si="22"/>
        <v>0</v>
      </c>
      <c r="BN29" s="798">
        <f t="shared" si="22"/>
        <v>0</v>
      </c>
      <c r="BO29" s="798">
        <f t="shared" si="22"/>
        <v>0</v>
      </c>
      <c r="BP29" s="798">
        <f t="shared" si="22"/>
        <v>0</v>
      </c>
      <c r="BQ29" s="798">
        <f t="shared" si="22"/>
        <v>0</v>
      </c>
      <c r="BR29" s="798">
        <f t="shared" si="23"/>
        <v>0</v>
      </c>
      <c r="BS29" s="798">
        <f t="shared" si="23"/>
        <v>0</v>
      </c>
      <c r="BT29" s="798">
        <f t="shared" si="23"/>
        <v>0</v>
      </c>
      <c r="BU29" s="798">
        <f t="shared" si="23"/>
        <v>0</v>
      </c>
      <c r="BV29" s="798">
        <f t="shared" si="23"/>
        <v>0</v>
      </c>
      <c r="BW29" s="798">
        <f t="shared" si="23"/>
        <v>0</v>
      </c>
      <c r="BX29" s="798">
        <f t="shared" si="23"/>
        <v>0</v>
      </c>
      <c r="BY29" s="798">
        <f t="shared" si="23"/>
        <v>0</v>
      </c>
      <c r="BZ29" s="798">
        <f t="shared" si="23"/>
        <v>0</v>
      </c>
      <c r="CA29" s="798">
        <f t="shared" si="23"/>
        <v>0</v>
      </c>
      <c r="CB29" s="798">
        <f t="shared" si="23"/>
        <v>0</v>
      </c>
      <c r="CC29" s="798">
        <f t="shared" si="23"/>
        <v>0</v>
      </c>
      <c r="CD29" s="798">
        <f t="shared" si="23"/>
        <v>0</v>
      </c>
      <c r="CE29" s="798">
        <f t="shared" si="23"/>
        <v>0</v>
      </c>
      <c r="CF29" s="798">
        <f t="shared" si="23"/>
        <v>0</v>
      </c>
      <c r="CG29" s="798">
        <f t="shared" si="23"/>
        <v>0</v>
      </c>
      <c r="CH29" s="798">
        <f t="shared" si="23"/>
        <v>0</v>
      </c>
      <c r="CI29" s="798">
        <f t="shared" si="23"/>
        <v>0</v>
      </c>
      <c r="CJ29" s="798">
        <f t="shared" si="23"/>
        <v>0</v>
      </c>
      <c r="CK29" s="798">
        <f t="shared" si="23"/>
        <v>0</v>
      </c>
      <c r="CL29" s="798">
        <f t="shared" si="23"/>
        <v>0</v>
      </c>
      <c r="CM29" s="798">
        <f t="shared" si="23"/>
        <v>0</v>
      </c>
      <c r="CN29" s="798">
        <f t="shared" si="23"/>
        <v>0</v>
      </c>
      <c r="CO29" s="798">
        <f t="shared" si="23"/>
        <v>0</v>
      </c>
      <c r="CP29" s="798">
        <f t="shared" si="23"/>
        <v>0</v>
      </c>
      <c r="CQ29" s="798">
        <f t="shared" si="23"/>
        <v>0</v>
      </c>
      <c r="CR29" s="798">
        <f t="shared" si="23"/>
        <v>0</v>
      </c>
      <c r="CS29" s="798">
        <f t="shared" si="23"/>
        <v>0</v>
      </c>
      <c r="CT29" s="798">
        <f t="shared" si="23"/>
        <v>0</v>
      </c>
      <c r="CU29" s="798">
        <f t="shared" si="23"/>
        <v>0</v>
      </c>
      <c r="CV29" s="798">
        <f t="shared" si="23"/>
        <v>0</v>
      </c>
      <c r="CW29" s="798">
        <f t="shared" si="23"/>
        <v>0</v>
      </c>
      <c r="CX29" s="798">
        <f t="shared" si="23"/>
        <v>0</v>
      </c>
      <c r="CY29" s="798">
        <f t="shared" si="23"/>
        <v>0</v>
      </c>
      <c r="CZ29" s="798">
        <f t="shared" si="23"/>
        <v>0</v>
      </c>
      <c r="DA29" s="798">
        <f t="shared" si="23"/>
        <v>0</v>
      </c>
      <c r="DB29" s="798">
        <f t="shared" si="23"/>
        <v>0</v>
      </c>
      <c r="DC29" s="798">
        <f t="shared" si="23"/>
        <v>0</v>
      </c>
      <c r="DD29" s="798">
        <f t="shared" si="23"/>
        <v>0</v>
      </c>
      <c r="DE29" s="798">
        <f t="shared" si="23"/>
        <v>0</v>
      </c>
      <c r="DF29" s="798">
        <f t="shared" si="23"/>
        <v>0</v>
      </c>
      <c r="DG29" s="798">
        <f t="shared" si="23"/>
        <v>0</v>
      </c>
      <c r="DH29" s="798">
        <f t="shared" si="23"/>
        <v>0</v>
      </c>
      <c r="DI29" s="798">
        <f t="shared" si="23"/>
        <v>0</v>
      </c>
      <c r="DJ29" s="798">
        <f t="shared" si="23"/>
        <v>0</v>
      </c>
      <c r="DK29" s="798">
        <f t="shared" si="23"/>
        <v>0</v>
      </c>
      <c r="DL29" s="798">
        <f t="shared" si="23"/>
        <v>0</v>
      </c>
      <c r="DM29" s="798">
        <f t="shared" si="23"/>
        <v>0</v>
      </c>
      <c r="DN29" s="798">
        <f t="shared" si="23"/>
        <v>0</v>
      </c>
      <c r="DO29" s="798">
        <f t="shared" si="23"/>
        <v>0</v>
      </c>
      <c r="DP29" s="798">
        <f t="shared" si="23"/>
        <v>0</v>
      </c>
      <c r="DQ29" s="798">
        <f t="shared" si="23"/>
        <v>0</v>
      </c>
      <c r="DR29" s="798">
        <f t="shared" si="23"/>
        <v>0</v>
      </c>
      <c r="DS29" s="798">
        <f t="shared" si="23"/>
        <v>0</v>
      </c>
      <c r="DT29" s="798">
        <f t="shared" si="23"/>
        <v>0</v>
      </c>
      <c r="DU29" s="798">
        <f t="shared" si="23"/>
        <v>0</v>
      </c>
      <c r="DV29" s="798">
        <f t="shared" si="23"/>
        <v>0</v>
      </c>
      <c r="DW29" s="798">
        <f t="shared" si="23"/>
        <v>0</v>
      </c>
      <c r="DX29" s="798">
        <f t="shared" si="23"/>
        <v>0</v>
      </c>
      <c r="DY29" s="798">
        <f t="shared" si="23"/>
        <v>0</v>
      </c>
      <c r="DZ29" s="798">
        <f t="shared" si="23"/>
        <v>0</v>
      </c>
      <c r="EA29" s="798">
        <f t="shared" si="23"/>
        <v>0</v>
      </c>
      <c r="EB29" s="798">
        <f t="shared" si="23"/>
        <v>0</v>
      </c>
      <c r="EC29" s="798">
        <f t="shared" si="23"/>
        <v>0</v>
      </c>
      <c r="ED29" s="798">
        <f t="shared" si="24"/>
        <v>0</v>
      </c>
      <c r="EE29" s="798">
        <f t="shared" si="24"/>
        <v>0</v>
      </c>
      <c r="EF29" s="798">
        <f t="shared" si="24"/>
        <v>0</v>
      </c>
      <c r="EG29" s="798">
        <f t="shared" si="24"/>
        <v>0</v>
      </c>
      <c r="EH29" s="782"/>
    </row>
    <row r="30" spans="1:138" ht="12.75" customHeight="1" x14ac:dyDescent="0.3">
      <c r="A30" s="782"/>
      <c r="B30" s="782" t="s">
        <v>18</v>
      </c>
      <c r="C30" s="798">
        <f t="shared" si="17"/>
        <v>57343611.907627545</v>
      </c>
      <c r="D30" s="782"/>
      <c r="E30" s="798">
        <f>E179</f>
        <v>0</v>
      </c>
      <c r="F30" s="798">
        <f t="shared" ref="F30:BQ30" si="25">F179</f>
        <v>0</v>
      </c>
      <c r="G30" s="798">
        <f t="shared" si="25"/>
        <v>0</v>
      </c>
      <c r="H30" s="798">
        <f t="shared" si="25"/>
        <v>0</v>
      </c>
      <c r="I30" s="798">
        <f t="shared" si="25"/>
        <v>0</v>
      </c>
      <c r="J30" s="798">
        <f t="shared" si="25"/>
        <v>0</v>
      </c>
      <c r="K30" s="798">
        <f t="shared" si="25"/>
        <v>0</v>
      </c>
      <c r="L30" s="798">
        <f t="shared" si="25"/>
        <v>0</v>
      </c>
      <c r="M30" s="798">
        <f t="shared" si="25"/>
        <v>0</v>
      </c>
      <c r="N30" s="798">
        <f t="shared" si="25"/>
        <v>0</v>
      </c>
      <c r="O30" s="798">
        <f t="shared" si="25"/>
        <v>0</v>
      </c>
      <c r="P30" s="798">
        <f t="shared" si="25"/>
        <v>0</v>
      </c>
      <c r="Q30" s="798">
        <f t="shared" si="25"/>
        <v>0</v>
      </c>
      <c r="R30" s="798">
        <f t="shared" si="25"/>
        <v>0</v>
      </c>
      <c r="S30" s="798">
        <f t="shared" si="25"/>
        <v>0</v>
      </c>
      <c r="T30" s="798">
        <f t="shared" si="25"/>
        <v>0</v>
      </c>
      <c r="U30" s="798">
        <f t="shared" si="25"/>
        <v>0</v>
      </c>
      <c r="V30" s="798">
        <f t="shared" si="25"/>
        <v>0</v>
      </c>
      <c r="W30" s="798">
        <f t="shared" si="25"/>
        <v>0</v>
      </c>
      <c r="X30" s="798">
        <f t="shared" si="25"/>
        <v>0</v>
      </c>
      <c r="Y30" s="798">
        <f t="shared" si="25"/>
        <v>0</v>
      </c>
      <c r="Z30" s="798">
        <f t="shared" si="25"/>
        <v>0</v>
      </c>
      <c r="AA30" s="798">
        <f t="shared" si="25"/>
        <v>0</v>
      </c>
      <c r="AB30" s="798">
        <f t="shared" si="25"/>
        <v>0</v>
      </c>
      <c r="AC30" s="798">
        <f t="shared" si="25"/>
        <v>0</v>
      </c>
      <c r="AD30" s="798">
        <f t="shared" si="25"/>
        <v>0</v>
      </c>
      <c r="AE30" s="798">
        <f t="shared" si="25"/>
        <v>0</v>
      </c>
      <c r="AF30" s="798">
        <f t="shared" si="25"/>
        <v>0</v>
      </c>
      <c r="AG30" s="798">
        <f t="shared" si="25"/>
        <v>0</v>
      </c>
      <c r="AH30" s="798">
        <f t="shared" si="25"/>
        <v>0</v>
      </c>
      <c r="AI30" s="798">
        <f t="shared" si="25"/>
        <v>0</v>
      </c>
      <c r="AJ30" s="798">
        <f t="shared" si="25"/>
        <v>0</v>
      </c>
      <c r="AK30" s="798">
        <f t="shared" si="25"/>
        <v>0</v>
      </c>
      <c r="AL30" s="798">
        <f t="shared" si="25"/>
        <v>57343611.907627545</v>
      </c>
      <c r="AM30" s="798">
        <f t="shared" si="25"/>
        <v>0</v>
      </c>
      <c r="AN30" s="798">
        <f t="shared" si="25"/>
        <v>0</v>
      </c>
      <c r="AO30" s="798">
        <f t="shared" si="25"/>
        <v>0</v>
      </c>
      <c r="AP30" s="798">
        <f t="shared" si="25"/>
        <v>0</v>
      </c>
      <c r="AQ30" s="798">
        <f t="shared" si="25"/>
        <v>0</v>
      </c>
      <c r="AR30" s="798">
        <f t="shared" si="25"/>
        <v>0</v>
      </c>
      <c r="AS30" s="798">
        <f t="shared" si="25"/>
        <v>0</v>
      </c>
      <c r="AT30" s="798">
        <f t="shared" si="25"/>
        <v>0</v>
      </c>
      <c r="AU30" s="798">
        <f t="shared" si="25"/>
        <v>0</v>
      </c>
      <c r="AV30" s="798">
        <f t="shared" si="25"/>
        <v>0</v>
      </c>
      <c r="AW30" s="798">
        <f t="shared" si="25"/>
        <v>0</v>
      </c>
      <c r="AX30" s="798">
        <f t="shared" si="25"/>
        <v>0</v>
      </c>
      <c r="AY30" s="798">
        <f t="shared" si="25"/>
        <v>0</v>
      </c>
      <c r="AZ30" s="798">
        <f t="shared" si="25"/>
        <v>0</v>
      </c>
      <c r="BA30" s="798">
        <f t="shared" si="25"/>
        <v>0</v>
      </c>
      <c r="BB30" s="798">
        <f t="shared" si="25"/>
        <v>0</v>
      </c>
      <c r="BC30" s="798">
        <f t="shared" si="25"/>
        <v>0</v>
      </c>
      <c r="BD30" s="798">
        <f t="shared" si="25"/>
        <v>0</v>
      </c>
      <c r="BE30" s="798">
        <f t="shared" si="25"/>
        <v>0</v>
      </c>
      <c r="BF30" s="798">
        <f t="shared" si="25"/>
        <v>0</v>
      </c>
      <c r="BG30" s="798">
        <f t="shared" si="25"/>
        <v>0</v>
      </c>
      <c r="BH30" s="798">
        <f t="shared" si="25"/>
        <v>0</v>
      </c>
      <c r="BI30" s="798">
        <f t="shared" si="25"/>
        <v>0</v>
      </c>
      <c r="BJ30" s="798">
        <f t="shared" si="25"/>
        <v>0</v>
      </c>
      <c r="BK30" s="798">
        <f t="shared" si="25"/>
        <v>0</v>
      </c>
      <c r="BL30" s="798">
        <f t="shared" si="25"/>
        <v>0</v>
      </c>
      <c r="BM30" s="798">
        <f t="shared" si="25"/>
        <v>0</v>
      </c>
      <c r="BN30" s="798">
        <f t="shared" si="25"/>
        <v>0</v>
      </c>
      <c r="BO30" s="798">
        <f t="shared" si="25"/>
        <v>0</v>
      </c>
      <c r="BP30" s="798">
        <f t="shared" si="25"/>
        <v>0</v>
      </c>
      <c r="BQ30" s="798">
        <f t="shared" si="25"/>
        <v>0</v>
      </c>
      <c r="BR30" s="798">
        <f t="shared" ref="BR30:EC30" si="26">BR179</f>
        <v>0</v>
      </c>
      <c r="BS30" s="798">
        <f t="shared" si="26"/>
        <v>0</v>
      </c>
      <c r="BT30" s="798">
        <f t="shared" si="26"/>
        <v>0</v>
      </c>
      <c r="BU30" s="798">
        <f t="shared" si="26"/>
        <v>0</v>
      </c>
      <c r="BV30" s="798">
        <f t="shared" si="26"/>
        <v>0</v>
      </c>
      <c r="BW30" s="798">
        <f t="shared" si="26"/>
        <v>0</v>
      </c>
      <c r="BX30" s="798">
        <f t="shared" si="26"/>
        <v>0</v>
      </c>
      <c r="BY30" s="798">
        <f t="shared" si="26"/>
        <v>0</v>
      </c>
      <c r="BZ30" s="798">
        <f t="shared" si="26"/>
        <v>0</v>
      </c>
      <c r="CA30" s="798">
        <f t="shared" si="26"/>
        <v>0</v>
      </c>
      <c r="CB30" s="798">
        <f t="shared" si="26"/>
        <v>0</v>
      </c>
      <c r="CC30" s="798">
        <f t="shared" si="26"/>
        <v>0</v>
      </c>
      <c r="CD30" s="798">
        <f t="shared" si="26"/>
        <v>0</v>
      </c>
      <c r="CE30" s="798">
        <f t="shared" si="26"/>
        <v>0</v>
      </c>
      <c r="CF30" s="798">
        <f t="shared" si="26"/>
        <v>0</v>
      </c>
      <c r="CG30" s="798">
        <f t="shared" si="26"/>
        <v>0</v>
      </c>
      <c r="CH30" s="798">
        <f t="shared" si="26"/>
        <v>0</v>
      </c>
      <c r="CI30" s="798">
        <f t="shared" si="26"/>
        <v>0</v>
      </c>
      <c r="CJ30" s="798">
        <f t="shared" si="26"/>
        <v>0</v>
      </c>
      <c r="CK30" s="798">
        <f t="shared" si="26"/>
        <v>0</v>
      </c>
      <c r="CL30" s="798">
        <f t="shared" si="26"/>
        <v>0</v>
      </c>
      <c r="CM30" s="798">
        <f t="shared" si="26"/>
        <v>0</v>
      </c>
      <c r="CN30" s="798">
        <f t="shared" si="26"/>
        <v>0</v>
      </c>
      <c r="CO30" s="798">
        <f t="shared" si="26"/>
        <v>0</v>
      </c>
      <c r="CP30" s="798">
        <f t="shared" si="26"/>
        <v>0</v>
      </c>
      <c r="CQ30" s="798">
        <f t="shared" si="26"/>
        <v>0</v>
      </c>
      <c r="CR30" s="798">
        <f t="shared" si="26"/>
        <v>0</v>
      </c>
      <c r="CS30" s="798">
        <f t="shared" si="26"/>
        <v>0</v>
      </c>
      <c r="CT30" s="798">
        <f t="shared" si="26"/>
        <v>0</v>
      </c>
      <c r="CU30" s="798">
        <f t="shared" si="26"/>
        <v>0</v>
      </c>
      <c r="CV30" s="798">
        <f t="shared" si="26"/>
        <v>0</v>
      </c>
      <c r="CW30" s="798">
        <f t="shared" si="26"/>
        <v>0</v>
      </c>
      <c r="CX30" s="798">
        <f t="shared" si="26"/>
        <v>0</v>
      </c>
      <c r="CY30" s="798">
        <f t="shared" si="26"/>
        <v>0</v>
      </c>
      <c r="CZ30" s="798">
        <f t="shared" si="26"/>
        <v>0</v>
      </c>
      <c r="DA30" s="798">
        <f t="shared" si="26"/>
        <v>0</v>
      </c>
      <c r="DB30" s="798">
        <f t="shared" si="26"/>
        <v>0</v>
      </c>
      <c r="DC30" s="798">
        <f t="shared" si="26"/>
        <v>0</v>
      </c>
      <c r="DD30" s="798">
        <f t="shared" si="26"/>
        <v>0</v>
      </c>
      <c r="DE30" s="798">
        <f t="shared" si="26"/>
        <v>0</v>
      </c>
      <c r="DF30" s="798">
        <f t="shared" si="26"/>
        <v>0</v>
      </c>
      <c r="DG30" s="798">
        <f t="shared" si="26"/>
        <v>0</v>
      </c>
      <c r="DH30" s="798">
        <f t="shared" si="26"/>
        <v>0</v>
      </c>
      <c r="DI30" s="798">
        <f t="shared" si="26"/>
        <v>0</v>
      </c>
      <c r="DJ30" s="798">
        <f t="shared" si="26"/>
        <v>0</v>
      </c>
      <c r="DK30" s="798">
        <f t="shared" si="26"/>
        <v>0</v>
      </c>
      <c r="DL30" s="798">
        <f t="shared" si="26"/>
        <v>0</v>
      </c>
      <c r="DM30" s="798">
        <f t="shared" si="26"/>
        <v>0</v>
      </c>
      <c r="DN30" s="798">
        <f t="shared" si="26"/>
        <v>0</v>
      </c>
      <c r="DO30" s="798">
        <f t="shared" si="26"/>
        <v>0</v>
      </c>
      <c r="DP30" s="798">
        <f t="shared" si="26"/>
        <v>0</v>
      </c>
      <c r="DQ30" s="798">
        <f t="shared" si="26"/>
        <v>0</v>
      </c>
      <c r="DR30" s="798">
        <f t="shared" si="26"/>
        <v>0</v>
      </c>
      <c r="DS30" s="798">
        <f t="shared" si="26"/>
        <v>0</v>
      </c>
      <c r="DT30" s="798">
        <f t="shared" si="26"/>
        <v>0</v>
      </c>
      <c r="DU30" s="798">
        <f t="shared" si="26"/>
        <v>0</v>
      </c>
      <c r="DV30" s="798">
        <f t="shared" si="26"/>
        <v>0</v>
      </c>
      <c r="DW30" s="798">
        <f t="shared" si="26"/>
        <v>0</v>
      </c>
      <c r="DX30" s="798">
        <f t="shared" si="26"/>
        <v>0</v>
      </c>
      <c r="DY30" s="798">
        <f t="shared" si="26"/>
        <v>0</v>
      </c>
      <c r="DZ30" s="798">
        <f t="shared" si="26"/>
        <v>0</v>
      </c>
      <c r="EA30" s="798">
        <f t="shared" si="26"/>
        <v>0</v>
      </c>
      <c r="EB30" s="798">
        <f t="shared" si="26"/>
        <v>0</v>
      </c>
      <c r="EC30" s="798">
        <f t="shared" si="26"/>
        <v>0</v>
      </c>
      <c r="ED30" s="798">
        <f>ED179</f>
        <v>0</v>
      </c>
      <c r="EE30" s="798">
        <f>EE179</f>
        <v>0</v>
      </c>
      <c r="EF30" s="798">
        <f>EF179</f>
        <v>0</v>
      </c>
      <c r="EG30" s="798">
        <f>EG179</f>
        <v>0</v>
      </c>
      <c r="EH30" s="782"/>
    </row>
    <row r="31" spans="1:138" ht="12.75" customHeight="1" x14ac:dyDescent="0.3">
      <c r="A31" s="782"/>
      <c r="B31" s="782" t="s">
        <v>19</v>
      </c>
      <c r="C31" s="798">
        <f t="shared" si="17"/>
        <v>0</v>
      </c>
      <c r="D31" s="782"/>
      <c r="E31" s="798">
        <f t="shared" ref="E31:BP31" si="27">E180*E12</f>
        <v>0</v>
      </c>
      <c r="F31" s="798">
        <f t="shared" si="27"/>
        <v>0</v>
      </c>
      <c r="G31" s="798">
        <f t="shared" si="27"/>
        <v>0</v>
      </c>
      <c r="H31" s="798">
        <f t="shared" si="27"/>
        <v>0</v>
      </c>
      <c r="I31" s="798">
        <f t="shared" si="27"/>
        <v>0</v>
      </c>
      <c r="J31" s="798">
        <f t="shared" si="27"/>
        <v>0</v>
      </c>
      <c r="K31" s="798">
        <f t="shared" si="27"/>
        <v>0</v>
      </c>
      <c r="L31" s="798">
        <f t="shared" si="27"/>
        <v>0</v>
      </c>
      <c r="M31" s="798">
        <f t="shared" si="27"/>
        <v>0</v>
      </c>
      <c r="N31" s="798">
        <f t="shared" si="27"/>
        <v>0</v>
      </c>
      <c r="O31" s="798">
        <f t="shared" si="27"/>
        <v>0</v>
      </c>
      <c r="P31" s="798">
        <f t="shared" si="27"/>
        <v>0</v>
      </c>
      <c r="Q31" s="798">
        <f t="shared" si="27"/>
        <v>0</v>
      </c>
      <c r="R31" s="798">
        <f t="shared" si="27"/>
        <v>0</v>
      </c>
      <c r="S31" s="798">
        <f t="shared" si="27"/>
        <v>0</v>
      </c>
      <c r="T31" s="798">
        <f t="shared" si="27"/>
        <v>0</v>
      </c>
      <c r="U31" s="798">
        <f t="shared" si="27"/>
        <v>0</v>
      </c>
      <c r="V31" s="798">
        <f t="shared" si="27"/>
        <v>0</v>
      </c>
      <c r="W31" s="798">
        <f t="shared" si="27"/>
        <v>0</v>
      </c>
      <c r="X31" s="798">
        <f t="shared" si="27"/>
        <v>0</v>
      </c>
      <c r="Y31" s="798">
        <f t="shared" si="27"/>
        <v>0</v>
      </c>
      <c r="Z31" s="798">
        <f t="shared" si="27"/>
        <v>0</v>
      </c>
      <c r="AA31" s="798">
        <f t="shared" si="27"/>
        <v>0</v>
      </c>
      <c r="AB31" s="798">
        <f t="shared" si="27"/>
        <v>0</v>
      </c>
      <c r="AC31" s="798">
        <f t="shared" si="27"/>
        <v>0</v>
      </c>
      <c r="AD31" s="798">
        <f t="shared" si="27"/>
        <v>0</v>
      </c>
      <c r="AE31" s="798">
        <f t="shared" si="27"/>
        <v>0</v>
      </c>
      <c r="AF31" s="798">
        <f t="shared" si="27"/>
        <v>0</v>
      </c>
      <c r="AG31" s="798">
        <f t="shared" si="27"/>
        <v>0</v>
      </c>
      <c r="AH31" s="798">
        <f t="shared" si="27"/>
        <v>0</v>
      </c>
      <c r="AI31" s="798">
        <f t="shared" si="27"/>
        <v>0</v>
      </c>
      <c r="AJ31" s="798">
        <f t="shared" si="27"/>
        <v>0</v>
      </c>
      <c r="AK31" s="798">
        <f t="shared" si="27"/>
        <v>0</v>
      </c>
      <c r="AL31" s="798">
        <f t="shared" si="27"/>
        <v>0</v>
      </c>
      <c r="AM31" s="798">
        <f t="shared" si="27"/>
        <v>0</v>
      </c>
      <c r="AN31" s="798">
        <f t="shared" si="27"/>
        <v>0</v>
      </c>
      <c r="AO31" s="798">
        <f t="shared" si="27"/>
        <v>0</v>
      </c>
      <c r="AP31" s="798">
        <f t="shared" si="27"/>
        <v>0</v>
      </c>
      <c r="AQ31" s="798">
        <f t="shared" si="27"/>
        <v>0</v>
      </c>
      <c r="AR31" s="798">
        <f t="shared" si="27"/>
        <v>0</v>
      </c>
      <c r="AS31" s="798">
        <f t="shared" si="27"/>
        <v>0</v>
      </c>
      <c r="AT31" s="798">
        <f t="shared" si="27"/>
        <v>0</v>
      </c>
      <c r="AU31" s="798">
        <f t="shared" si="27"/>
        <v>0</v>
      </c>
      <c r="AV31" s="798">
        <f t="shared" si="27"/>
        <v>0</v>
      </c>
      <c r="AW31" s="798">
        <f t="shared" si="27"/>
        <v>0</v>
      </c>
      <c r="AX31" s="798">
        <f t="shared" si="27"/>
        <v>0</v>
      </c>
      <c r="AY31" s="798">
        <f t="shared" si="27"/>
        <v>0</v>
      </c>
      <c r="AZ31" s="798">
        <f t="shared" si="27"/>
        <v>0</v>
      </c>
      <c r="BA31" s="798">
        <f t="shared" si="27"/>
        <v>0</v>
      </c>
      <c r="BB31" s="798">
        <f t="shared" si="27"/>
        <v>0</v>
      </c>
      <c r="BC31" s="798">
        <f t="shared" si="27"/>
        <v>0</v>
      </c>
      <c r="BD31" s="798">
        <f t="shared" si="27"/>
        <v>0</v>
      </c>
      <c r="BE31" s="798">
        <f t="shared" si="27"/>
        <v>0</v>
      </c>
      <c r="BF31" s="798">
        <f t="shared" si="27"/>
        <v>0</v>
      </c>
      <c r="BG31" s="798">
        <f t="shared" si="27"/>
        <v>0</v>
      </c>
      <c r="BH31" s="798">
        <f t="shared" si="27"/>
        <v>0</v>
      </c>
      <c r="BI31" s="798">
        <f t="shared" si="27"/>
        <v>0</v>
      </c>
      <c r="BJ31" s="798">
        <f t="shared" si="27"/>
        <v>0</v>
      </c>
      <c r="BK31" s="798">
        <f t="shared" si="27"/>
        <v>0</v>
      </c>
      <c r="BL31" s="798">
        <f t="shared" si="27"/>
        <v>0</v>
      </c>
      <c r="BM31" s="798">
        <f t="shared" si="27"/>
        <v>0</v>
      </c>
      <c r="BN31" s="798">
        <f t="shared" si="27"/>
        <v>0</v>
      </c>
      <c r="BO31" s="798">
        <f t="shared" si="27"/>
        <v>0</v>
      </c>
      <c r="BP31" s="798">
        <f t="shared" si="27"/>
        <v>0</v>
      </c>
      <c r="BQ31" s="798">
        <f t="shared" ref="BQ31:EB31" si="28">BQ180*BQ12</f>
        <v>0</v>
      </c>
      <c r="BR31" s="798">
        <f t="shared" si="28"/>
        <v>0</v>
      </c>
      <c r="BS31" s="798">
        <f t="shared" si="28"/>
        <v>0</v>
      </c>
      <c r="BT31" s="798">
        <f t="shared" si="28"/>
        <v>0</v>
      </c>
      <c r="BU31" s="798">
        <f t="shared" si="28"/>
        <v>0</v>
      </c>
      <c r="BV31" s="798">
        <f t="shared" si="28"/>
        <v>0</v>
      </c>
      <c r="BW31" s="798">
        <f t="shared" si="28"/>
        <v>0</v>
      </c>
      <c r="BX31" s="798">
        <f t="shared" si="28"/>
        <v>0</v>
      </c>
      <c r="BY31" s="798">
        <f t="shared" si="28"/>
        <v>0</v>
      </c>
      <c r="BZ31" s="798">
        <f t="shared" si="28"/>
        <v>0</v>
      </c>
      <c r="CA31" s="798">
        <f t="shared" si="28"/>
        <v>0</v>
      </c>
      <c r="CB31" s="798">
        <f t="shared" si="28"/>
        <v>0</v>
      </c>
      <c r="CC31" s="798">
        <f t="shared" si="28"/>
        <v>0</v>
      </c>
      <c r="CD31" s="798">
        <f t="shared" si="28"/>
        <v>0</v>
      </c>
      <c r="CE31" s="798">
        <f t="shared" si="28"/>
        <v>0</v>
      </c>
      <c r="CF31" s="798">
        <f t="shared" si="28"/>
        <v>0</v>
      </c>
      <c r="CG31" s="798">
        <f t="shared" si="28"/>
        <v>0</v>
      </c>
      <c r="CH31" s="798">
        <f t="shared" si="28"/>
        <v>0</v>
      </c>
      <c r="CI31" s="798">
        <f t="shared" si="28"/>
        <v>0</v>
      </c>
      <c r="CJ31" s="798">
        <f t="shared" si="28"/>
        <v>0</v>
      </c>
      <c r="CK31" s="798">
        <f t="shared" si="28"/>
        <v>0</v>
      </c>
      <c r="CL31" s="798">
        <f t="shared" si="28"/>
        <v>0</v>
      </c>
      <c r="CM31" s="798">
        <f t="shared" si="28"/>
        <v>0</v>
      </c>
      <c r="CN31" s="798">
        <f t="shared" si="28"/>
        <v>0</v>
      </c>
      <c r="CO31" s="798">
        <f t="shared" si="28"/>
        <v>0</v>
      </c>
      <c r="CP31" s="798">
        <f t="shared" si="28"/>
        <v>0</v>
      </c>
      <c r="CQ31" s="798">
        <f t="shared" si="28"/>
        <v>0</v>
      </c>
      <c r="CR31" s="798">
        <f t="shared" si="28"/>
        <v>0</v>
      </c>
      <c r="CS31" s="798">
        <f t="shared" si="28"/>
        <v>0</v>
      </c>
      <c r="CT31" s="798">
        <f t="shared" si="28"/>
        <v>0</v>
      </c>
      <c r="CU31" s="798">
        <f t="shared" si="28"/>
        <v>0</v>
      </c>
      <c r="CV31" s="798">
        <f t="shared" si="28"/>
        <v>0</v>
      </c>
      <c r="CW31" s="798">
        <f t="shared" si="28"/>
        <v>0</v>
      </c>
      <c r="CX31" s="798">
        <f t="shared" si="28"/>
        <v>0</v>
      </c>
      <c r="CY31" s="798">
        <f t="shared" si="28"/>
        <v>0</v>
      </c>
      <c r="CZ31" s="798">
        <f t="shared" si="28"/>
        <v>0</v>
      </c>
      <c r="DA31" s="798">
        <f t="shared" si="28"/>
        <v>0</v>
      </c>
      <c r="DB31" s="798">
        <f t="shared" si="28"/>
        <v>0</v>
      </c>
      <c r="DC31" s="798">
        <f t="shared" si="28"/>
        <v>0</v>
      </c>
      <c r="DD31" s="798">
        <f t="shared" si="28"/>
        <v>0</v>
      </c>
      <c r="DE31" s="798">
        <f t="shared" si="28"/>
        <v>0</v>
      </c>
      <c r="DF31" s="798">
        <f t="shared" si="28"/>
        <v>0</v>
      </c>
      <c r="DG31" s="798">
        <f t="shared" si="28"/>
        <v>0</v>
      </c>
      <c r="DH31" s="798">
        <f t="shared" si="28"/>
        <v>0</v>
      </c>
      <c r="DI31" s="798">
        <f t="shared" si="28"/>
        <v>0</v>
      </c>
      <c r="DJ31" s="798">
        <f t="shared" si="28"/>
        <v>0</v>
      </c>
      <c r="DK31" s="798">
        <f t="shared" si="28"/>
        <v>0</v>
      </c>
      <c r="DL31" s="798">
        <f t="shared" si="28"/>
        <v>0</v>
      </c>
      <c r="DM31" s="798">
        <f t="shared" si="28"/>
        <v>0</v>
      </c>
      <c r="DN31" s="798">
        <f t="shared" si="28"/>
        <v>0</v>
      </c>
      <c r="DO31" s="798">
        <f t="shared" si="28"/>
        <v>0</v>
      </c>
      <c r="DP31" s="798">
        <f t="shared" si="28"/>
        <v>0</v>
      </c>
      <c r="DQ31" s="798">
        <f t="shared" si="28"/>
        <v>0</v>
      </c>
      <c r="DR31" s="798">
        <f t="shared" si="28"/>
        <v>0</v>
      </c>
      <c r="DS31" s="798">
        <f t="shared" si="28"/>
        <v>0</v>
      </c>
      <c r="DT31" s="798">
        <f t="shared" si="28"/>
        <v>0</v>
      </c>
      <c r="DU31" s="798">
        <f t="shared" si="28"/>
        <v>0</v>
      </c>
      <c r="DV31" s="798">
        <f t="shared" si="28"/>
        <v>0</v>
      </c>
      <c r="DW31" s="798">
        <f t="shared" si="28"/>
        <v>0</v>
      </c>
      <c r="DX31" s="798">
        <f t="shared" si="28"/>
        <v>0</v>
      </c>
      <c r="DY31" s="798">
        <f t="shared" si="28"/>
        <v>0</v>
      </c>
      <c r="DZ31" s="798">
        <f t="shared" si="28"/>
        <v>0</v>
      </c>
      <c r="EA31" s="798">
        <f t="shared" si="28"/>
        <v>0</v>
      </c>
      <c r="EB31" s="798">
        <f t="shared" si="28"/>
        <v>0</v>
      </c>
      <c r="EC31" s="798">
        <f>EC180*EC12</f>
        <v>0</v>
      </c>
      <c r="ED31" s="798">
        <f>ED180*ED12</f>
        <v>0</v>
      </c>
      <c r="EE31" s="798">
        <f>EE180*EE12</f>
        <v>0</v>
      </c>
      <c r="EF31" s="798">
        <f>EF180*EF12</f>
        <v>0</v>
      </c>
      <c r="EG31" s="798">
        <f>EG180*EG12</f>
        <v>0</v>
      </c>
      <c r="EH31" s="782"/>
    </row>
    <row r="32" spans="1:138" ht="12.75" customHeight="1" x14ac:dyDescent="0.3">
      <c r="A32" s="782"/>
      <c r="B32" s="782" t="s">
        <v>20</v>
      </c>
      <c r="C32" s="798">
        <f t="shared" si="17"/>
        <v>-14404145.697984423</v>
      </c>
      <c r="D32" s="782"/>
      <c r="E32" s="798">
        <f t="shared" ref="E32:BP32" si="29">E183*E12</f>
        <v>0</v>
      </c>
      <c r="F32" s="798">
        <f t="shared" si="29"/>
        <v>0</v>
      </c>
      <c r="G32" s="798">
        <f t="shared" si="29"/>
        <v>0</v>
      </c>
      <c r="H32" s="798">
        <f t="shared" si="29"/>
        <v>0</v>
      </c>
      <c r="I32" s="798">
        <f t="shared" si="29"/>
        <v>0</v>
      </c>
      <c r="J32" s="798">
        <f t="shared" si="29"/>
        <v>0</v>
      </c>
      <c r="K32" s="798">
        <f t="shared" si="29"/>
        <v>0</v>
      </c>
      <c r="L32" s="798">
        <f t="shared" si="29"/>
        <v>0</v>
      </c>
      <c r="M32" s="798">
        <f t="shared" si="29"/>
        <v>0</v>
      </c>
      <c r="N32" s="798">
        <f t="shared" si="29"/>
        <v>0</v>
      </c>
      <c r="O32" s="798">
        <f t="shared" si="29"/>
        <v>0</v>
      </c>
      <c r="P32" s="798">
        <f t="shared" si="29"/>
        <v>0</v>
      </c>
      <c r="Q32" s="798">
        <f t="shared" si="29"/>
        <v>0</v>
      </c>
      <c r="R32" s="798">
        <f t="shared" si="29"/>
        <v>0</v>
      </c>
      <c r="S32" s="798">
        <f t="shared" si="29"/>
        <v>0</v>
      </c>
      <c r="T32" s="798">
        <f t="shared" si="29"/>
        <v>0</v>
      </c>
      <c r="U32" s="798">
        <f t="shared" si="29"/>
        <v>0</v>
      </c>
      <c r="V32" s="798">
        <f t="shared" si="29"/>
        <v>0</v>
      </c>
      <c r="W32" s="798">
        <f t="shared" si="29"/>
        <v>0</v>
      </c>
      <c r="X32" s="798">
        <f t="shared" si="29"/>
        <v>0</v>
      </c>
      <c r="Y32" s="798">
        <f t="shared" si="29"/>
        <v>0</v>
      </c>
      <c r="Z32" s="798">
        <f t="shared" si="29"/>
        <v>0</v>
      </c>
      <c r="AA32" s="798">
        <f t="shared" si="29"/>
        <v>0</v>
      </c>
      <c r="AB32" s="798">
        <f t="shared" si="29"/>
        <v>0</v>
      </c>
      <c r="AC32" s="798">
        <f t="shared" si="29"/>
        <v>0</v>
      </c>
      <c r="AD32" s="798">
        <f t="shared" si="29"/>
        <v>0</v>
      </c>
      <c r="AE32" s="798">
        <f t="shared" si="29"/>
        <v>0</v>
      </c>
      <c r="AF32" s="798">
        <f t="shared" si="29"/>
        <v>0</v>
      </c>
      <c r="AG32" s="798">
        <f t="shared" si="29"/>
        <v>0</v>
      </c>
      <c r="AH32" s="798">
        <f t="shared" si="29"/>
        <v>0</v>
      </c>
      <c r="AI32" s="798">
        <f t="shared" si="29"/>
        <v>0</v>
      </c>
      <c r="AJ32" s="798">
        <f t="shared" si="29"/>
        <v>0</v>
      </c>
      <c r="AK32" s="798">
        <f t="shared" si="29"/>
        <v>0</v>
      </c>
      <c r="AL32" s="798">
        <f t="shared" si="29"/>
        <v>0</v>
      </c>
      <c r="AM32" s="798">
        <f t="shared" si="29"/>
        <v>-220486.6656482605</v>
      </c>
      <c r="AN32" s="798">
        <f t="shared" si="29"/>
        <v>-220610.43227729443</v>
      </c>
      <c r="AO32" s="798">
        <f t="shared" si="29"/>
        <v>-220759.52566825427</v>
      </c>
      <c r="AP32" s="798">
        <f t="shared" si="29"/>
        <v>-220904.79615175357</v>
      </c>
      <c r="AQ32" s="798">
        <f t="shared" si="29"/>
        <v>-221040.0315031691</v>
      </c>
      <c r="AR32" s="798">
        <f t="shared" si="29"/>
        <v>-221206.80584113376</v>
      </c>
      <c r="AS32" s="798">
        <f t="shared" si="29"/>
        <v>-221367.36795447514</v>
      </c>
      <c r="AT32" s="798">
        <f t="shared" si="29"/>
        <v>-221509.77125737903</v>
      </c>
      <c r="AU32" s="798">
        <f t="shared" si="29"/>
        <v>-221715.2525333814</v>
      </c>
      <c r="AV32" s="798">
        <f t="shared" si="29"/>
        <v>-221908.78722356964</v>
      </c>
      <c r="AW32" s="798">
        <f t="shared" si="29"/>
        <v>-222117.61354359993</v>
      </c>
      <c r="AX32" s="798">
        <f t="shared" si="29"/>
        <v>-222375.18193375168</v>
      </c>
      <c r="AY32" s="798">
        <f t="shared" si="29"/>
        <v>-222633.70605076858</v>
      </c>
      <c r="AZ32" s="798">
        <f t="shared" si="29"/>
        <v>-222884.58435286445</v>
      </c>
      <c r="BA32" s="798">
        <f t="shared" si="29"/>
        <v>-223180.3818176213</v>
      </c>
      <c r="BB32" s="798">
        <f t="shared" si="29"/>
        <v>-223494.81595624812</v>
      </c>
      <c r="BC32" s="798">
        <f t="shared" si="29"/>
        <v>-223806.38291427953</v>
      </c>
      <c r="BD32" s="798">
        <f t="shared" si="29"/>
        <v>-224156.17894691607</v>
      </c>
      <c r="BE32" s="798">
        <f t="shared" si="29"/>
        <v>-224525.56738028771</v>
      </c>
      <c r="BF32" s="798">
        <f t="shared" si="29"/>
        <v>-224887.30999873838</v>
      </c>
      <c r="BG32" s="798">
        <f t="shared" si="29"/>
        <v>-225267.21142762637</v>
      </c>
      <c r="BH32" s="798">
        <f t="shared" si="29"/>
        <v>-225632.77695353748</v>
      </c>
      <c r="BI32" s="798">
        <f t="shared" si="29"/>
        <v>-226024.14710480705</v>
      </c>
      <c r="BJ32" s="798">
        <f t="shared" si="29"/>
        <v>-226380.15536206687</v>
      </c>
      <c r="BK32" s="798">
        <f t="shared" si="29"/>
        <v>-226715.13762829395</v>
      </c>
      <c r="BL32" s="798">
        <f t="shared" si="29"/>
        <v>-227090.26042285634</v>
      </c>
      <c r="BM32" s="798">
        <f t="shared" si="29"/>
        <v>-227428.10986967882</v>
      </c>
      <c r="BN32" s="798">
        <f t="shared" si="29"/>
        <v>-227747.32264263128</v>
      </c>
      <c r="BO32" s="798">
        <f t="shared" si="29"/>
        <v>-228083.738499156</v>
      </c>
      <c r="BP32" s="798">
        <f t="shared" si="29"/>
        <v>-228413.94213105741</v>
      </c>
      <c r="BQ32" s="798">
        <f t="shared" ref="BQ32:EB32" si="30">BQ183*BQ12</f>
        <v>-228748.44653385191</v>
      </c>
      <c r="BR32" s="798">
        <f t="shared" si="30"/>
        <v>-229036.1203202552</v>
      </c>
      <c r="BS32" s="798">
        <f t="shared" si="30"/>
        <v>-229349.59873201689</v>
      </c>
      <c r="BT32" s="798">
        <f t="shared" si="30"/>
        <v>-229626.75952290374</v>
      </c>
      <c r="BU32" s="798">
        <f t="shared" si="30"/>
        <v>-229939.28220780031</v>
      </c>
      <c r="BV32" s="798">
        <f t="shared" si="30"/>
        <v>-230234.60180912461</v>
      </c>
      <c r="BW32" s="798">
        <f t="shared" si="30"/>
        <v>-230506.0282388207</v>
      </c>
      <c r="BX32" s="798">
        <f t="shared" si="30"/>
        <v>-230800.3921132799</v>
      </c>
      <c r="BY32" s="798">
        <f t="shared" si="30"/>
        <v>-231068.47349894801</v>
      </c>
      <c r="BZ32" s="798">
        <f t="shared" si="30"/>
        <v>-231352.80224132331</v>
      </c>
      <c r="CA32" s="798">
        <f t="shared" si="30"/>
        <v>-231607.98131431229</v>
      </c>
      <c r="CB32" s="798">
        <f t="shared" si="30"/>
        <v>-231853.1252552174</v>
      </c>
      <c r="CC32" s="798">
        <f t="shared" si="30"/>
        <v>-232118.33946029012</v>
      </c>
      <c r="CD32" s="798">
        <f t="shared" si="30"/>
        <v>-232339.11236613453</v>
      </c>
      <c r="CE32" s="798">
        <f t="shared" si="30"/>
        <v>-232592.85784882578</v>
      </c>
      <c r="CF32" s="798">
        <f t="shared" si="30"/>
        <v>-232825.09947705167</v>
      </c>
      <c r="CG32" s="798">
        <f t="shared" si="30"/>
        <v>-233075.97777914754</v>
      </c>
      <c r="CH32" s="798">
        <f t="shared" si="30"/>
        <v>-233316.34308572704</v>
      </c>
      <c r="CI32" s="798">
        <f t="shared" si="30"/>
        <v>-233586.81378855801</v>
      </c>
      <c r="CJ32" s="798">
        <f t="shared" si="30"/>
        <v>-233833.86918319334</v>
      </c>
      <c r="CK32" s="798">
        <f t="shared" si="30"/>
        <v>-234057.98713306565</v>
      </c>
      <c r="CL32" s="798">
        <f t="shared" si="30"/>
        <v>-234319.37843067796</v>
      </c>
      <c r="CM32" s="798">
        <f t="shared" si="30"/>
        <v>-234557.83228352715</v>
      </c>
      <c r="CN32" s="798">
        <f t="shared" si="30"/>
        <v>-234801.54263413456</v>
      </c>
      <c r="CO32" s="798">
        <f t="shared" si="30"/>
        <v>-235051.94307279788</v>
      </c>
      <c r="CP32" s="798">
        <f t="shared" si="30"/>
        <v>-235273.19384207478</v>
      </c>
      <c r="CQ32" s="798">
        <f t="shared" si="30"/>
        <v>-235528.37291506375</v>
      </c>
      <c r="CR32" s="798">
        <f t="shared" si="30"/>
        <v>-235788.33062237833</v>
      </c>
      <c r="CS32" s="798">
        <f t="shared" si="30"/>
        <v>-236037.29747074397</v>
      </c>
      <c r="CT32" s="798">
        <f t="shared" si="30"/>
        <v>-236261.8932840488</v>
      </c>
      <c r="CU32" s="798">
        <f t="shared" si="30"/>
        <v>-236523.76244509366</v>
      </c>
      <c r="CV32" s="798">
        <f t="shared" si="30"/>
        <v>-236772.72929345924</v>
      </c>
      <c r="CW32" s="798">
        <f t="shared" si="30"/>
        <v>-237005.44878511771</v>
      </c>
      <c r="CX32" s="798">
        <f t="shared" si="30"/>
        <v>0</v>
      </c>
      <c r="CY32" s="798">
        <f t="shared" si="30"/>
        <v>0</v>
      </c>
      <c r="CZ32" s="798">
        <f t="shared" si="30"/>
        <v>0</v>
      </c>
      <c r="DA32" s="798">
        <f t="shared" si="30"/>
        <v>0</v>
      </c>
      <c r="DB32" s="798">
        <f t="shared" si="30"/>
        <v>0</v>
      </c>
      <c r="DC32" s="798">
        <f t="shared" si="30"/>
        <v>0</v>
      </c>
      <c r="DD32" s="798">
        <f t="shared" si="30"/>
        <v>0</v>
      </c>
      <c r="DE32" s="798">
        <f t="shared" si="30"/>
        <v>0</v>
      </c>
      <c r="DF32" s="798">
        <f t="shared" si="30"/>
        <v>0</v>
      </c>
      <c r="DG32" s="798">
        <f t="shared" si="30"/>
        <v>0</v>
      </c>
      <c r="DH32" s="798">
        <f t="shared" si="30"/>
        <v>0</v>
      </c>
      <c r="DI32" s="798">
        <f t="shared" si="30"/>
        <v>0</v>
      </c>
      <c r="DJ32" s="798">
        <f t="shared" si="30"/>
        <v>0</v>
      </c>
      <c r="DK32" s="798">
        <f t="shared" si="30"/>
        <v>0</v>
      </c>
      <c r="DL32" s="798">
        <f t="shared" si="30"/>
        <v>0</v>
      </c>
      <c r="DM32" s="798">
        <f t="shared" si="30"/>
        <v>0</v>
      </c>
      <c r="DN32" s="798">
        <f t="shared" si="30"/>
        <v>0</v>
      </c>
      <c r="DO32" s="798">
        <f t="shared" si="30"/>
        <v>0</v>
      </c>
      <c r="DP32" s="798">
        <f t="shared" si="30"/>
        <v>0</v>
      </c>
      <c r="DQ32" s="798">
        <f t="shared" si="30"/>
        <v>0</v>
      </c>
      <c r="DR32" s="798">
        <f t="shared" si="30"/>
        <v>0</v>
      </c>
      <c r="DS32" s="798">
        <f t="shared" si="30"/>
        <v>0</v>
      </c>
      <c r="DT32" s="798">
        <f t="shared" si="30"/>
        <v>0</v>
      </c>
      <c r="DU32" s="798">
        <f t="shared" si="30"/>
        <v>0</v>
      </c>
      <c r="DV32" s="798">
        <f t="shared" si="30"/>
        <v>0</v>
      </c>
      <c r="DW32" s="798">
        <f t="shared" si="30"/>
        <v>0</v>
      </c>
      <c r="DX32" s="798">
        <f t="shared" si="30"/>
        <v>0</v>
      </c>
      <c r="DY32" s="798">
        <f t="shared" si="30"/>
        <v>0</v>
      </c>
      <c r="DZ32" s="798">
        <f t="shared" si="30"/>
        <v>0</v>
      </c>
      <c r="EA32" s="798">
        <f t="shared" si="30"/>
        <v>0</v>
      </c>
      <c r="EB32" s="798">
        <f t="shared" si="30"/>
        <v>0</v>
      </c>
      <c r="EC32" s="798">
        <f>EC183*EC12</f>
        <v>0</v>
      </c>
      <c r="ED32" s="798">
        <f>ED183*ED12</f>
        <v>0</v>
      </c>
      <c r="EE32" s="798">
        <f>EE183*EE12</f>
        <v>0</v>
      </c>
      <c r="EF32" s="798">
        <f>EF183*EF12</f>
        <v>0</v>
      </c>
      <c r="EG32" s="798">
        <f>EG183*EG12</f>
        <v>0</v>
      </c>
      <c r="EH32" s="782"/>
    </row>
    <row r="33" spans="1:138" ht="12.75" customHeight="1" x14ac:dyDescent="0.3">
      <c r="A33" s="782"/>
      <c r="B33" s="781" t="s">
        <v>21</v>
      </c>
      <c r="C33" s="799">
        <f t="shared" si="17"/>
        <v>-57343611.907627545</v>
      </c>
      <c r="D33" s="781"/>
      <c r="E33" s="799">
        <f t="shared" ref="E33:BP33" si="31">IF(AND(F12=0,E12=1),-E181,0)</f>
        <v>0</v>
      </c>
      <c r="F33" s="799">
        <f t="shared" si="31"/>
        <v>0</v>
      </c>
      <c r="G33" s="799">
        <f t="shared" si="31"/>
        <v>0</v>
      </c>
      <c r="H33" s="799">
        <f t="shared" si="31"/>
        <v>0</v>
      </c>
      <c r="I33" s="799">
        <f t="shared" si="31"/>
        <v>0</v>
      </c>
      <c r="J33" s="799">
        <f t="shared" si="31"/>
        <v>0</v>
      </c>
      <c r="K33" s="799">
        <f t="shared" si="31"/>
        <v>0</v>
      </c>
      <c r="L33" s="799">
        <f t="shared" si="31"/>
        <v>0</v>
      </c>
      <c r="M33" s="799">
        <f t="shared" si="31"/>
        <v>0</v>
      </c>
      <c r="N33" s="799">
        <f t="shared" si="31"/>
        <v>0</v>
      </c>
      <c r="O33" s="799">
        <f t="shared" si="31"/>
        <v>0</v>
      </c>
      <c r="P33" s="799">
        <f t="shared" si="31"/>
        <v>0</v>
      </c>
      <c r="Q33" s="799">
        <f t="shared" si="31"/>
        <v>0</v>
      </c>
      <c r="R33" s="799">
        <f t="shared" si="31"/>
        <v>0</v>
      </c>
      <c r="S33" s="799">
        <f t="shared" si="31"/>
        <v>0</v>
      </c>
      <c r="T33" s="799">
        <f t="shared" si="31"/>
        <v>0</v>
      </c>
      <c r="U33" s="799">
        <f t="shared" si="31"/>
        <v>0</v>
      </c>
      <c r="V33" s="799">
        <f t="shared" si="31"/>
        <v>0</v>
      </c>
      <c r="W33" s="799">
        <f t="shared" si="31"/>
        <v>0</v>
      </c>
      <c r="X33" s="799">
        <f t="shared" si="31"/>
        <v>0</v>
      </c>
      <c r="Y33" s="799">
        <f t="shared" si="31"/>
        <v>0</v>
      </c>
      <c r="Z33" s="799">
        <f t="shared" si="31"/>
        <v>0</v>
      </c>
      <c r="AA33" s="799">
        <f t="shared" si="31"/>
        <v>0</v>
      </c>
      <c r="AB33" s="799">
        <f t="shared" si="31"/>
        <v>0</v>
      </c>
      <c r="AC33" s="799">
        <f t="shared" si="31"/>
        <v>0</v>
      </c>
      <c r="AD33" s="799">
        <f t="shared" si="31"/>
        <v>0</v>
      </c>
      <c r="AE33" s="799">
        <f t="shared" si="31"/>
        <v>0</v>
      </c>
      <c r="AF33" s="799">
        <f t="shared" si="31"/>
        <v>0</v>
      </c>
      <c r="AG33" s="799">
        <f t="shared" si="31"/>
        <v>0</v>
      </c>
      <c r="AH33" s="799">
        <f t="shared" si="31"/>
        <v>0</v>
      </c>
      <c r="AI33" s="799">
        <f t="shared" si="31"/>
        <v>0</v>
      </c>
      <c r="AJ33" s="799">
        <f t="shared" si="31"/>
        <v>0</v>
      </c>
      <c r="AK33" s="799">
        <f t="shared" si="31"/>
        <v>0</v>
      </c>
      <c r="AL33" s="799">
        <f t="shared" si="31"/>
        <v>0</v>
      </c>
      <c r="AM33" s="799">
        <f t="shared" si="31"/>
        <v>0</v>
      </c>
      <c r="AN33" s="799">
        <f t="shared" si="31"/>
        <v>0</v>
      </c>
      <c r="AO33" s="799">
        <f t="shared" si="31"/>
        <v>0</v>
      </c>
      <c r="AP33" s="799">
        <f t="shared" si="31"/>
        <v>0</v>
      </c>
      <c r="AQ33" s="799">
        <f t="shared" si="31"/>
        <v>0</v>
      </c>
      <c r="AR33" s="799">
        <f t="shared" si="31"/>
        <v>0</v>
      </c>
      <c r="AS33" s="799">
        <f t="shared" si="31"/>
        <v>0</v>
      </c>
      <c r="AT33" s="799">
        <f t="shared" si="31"/>
        <v>0</v>
      </c>
      <c r="AU33" s="799">
        <f t="shared" si="31"/>
        <v>0</v>
      </c>
      <c r="AV33" s="799">
        <f t="shared" si="31"/>
        <v>0</v>
      </c>
      <c r="AW33" s="799">
        <f t="shared" si="31"/>
        <v>0</v>
      </c>
      <c r="AX33" s="799">
        <f t="shared" si="31"/>
        <v>0</v>
      </c>
      <c r="AY33" s="799">
        <f t="shared" si="31"/>
        <v>0</v>
      </c>
      <c r="AZ33" s="799">
        <f t="shared" si="31"/>
        <v>0</v>
      </c>
      <c r="BA33" s="799">
        <f t="shared" si="31"/>
        <v>0</v>
      </c>
      <c r="BB33" s="799">
        <f t="shared" si="31"/>
        <v>0</v>
      </c>
      <c r="BC33" s="799">
        <f t="shared" si="31"/>
        <v>0</v>
      </c>
      <c r="BD33" s="799">
        <f t="shared" si="31"/>
        <v>0</v>
      </c>
      <c r="BE33" s="799">
        <f t="shared" si="31"/>
        <v>0</v>
      </c>
      <c r="BF33" s="799">
        <f t="shared" si="31"/>
        <v>0</v>
      </c>
      <c r="BG33" s="799">
        <f t="shared" si="31"/>
        <v>0</v>
      </c>
      <c r="BH33" s="799">
        <f t="shared" si="31"/>
        <v>0</v>
      </c>
      <c r="BI33" s="799">
        <f t="shared" si="31"/>
        <v>0</v>
      </c>
      <c r="BJ33" s="799">
        <f t="shared" si="31"/>
        <v>0</v>
      </c>
      <c r="BK33" s="799">
        <f t="shared" si="31"/>
        <v>0</v>
      </c>
      <c r="BL33" s="799">
        <f t="shared" si="31"/>
        <v>0</v>
      </c>
      <c r="BM33" s="799">
        <f t="shared" si="31"/>
        <v>0</v>
      </c>
      <c r="BN33" s="799">
        <f t="shared" si="31"/>
        <v>0</v>
      </c>
      <c r="BO33" s="799">
        <f t="shared" si="31"/>
        <v>0</v>
      </c>
      <c r="BP33" s="799">
        <f t="shared" si="31"/>
        <v>0</v>
      </c>
      <c r="BQ33" s="799">
        <f t="shared" ref="BQ33:EB33" si="32">IF(AND(BR12=0,BQ12=1),-BQ181,0)</f>
        <v>0</v>
      </c>
      <c r="BR33" s="799">
        <f t="shared" si="32"/>
        <v>0</v>
      </c>
      <c r="BS33" s="799">
        <f t="shared" si="32"/>
        <v>0</v>
      </c>
      <c r="BT33" s="799">
        <f t="shared" si="32"/>
        <v>0</v>
      </c>
      <c r="BU33" s="799">
        <f t="shared" si="32"/>
        <v>0</v>
      </c>
      <c r="BV33" s="799">
        <f t="shared" si="32"/>
        <v>0</v>
      </c>
      <c r="BW33" s="799">
        <f t="shared" si="32"/>
        <v>0</v>
      </c>
      <c r="BX33" s="799">
        <f t="shared" si="32"/>
        <v>0</v>
      </c>
      <c r="BY33" s="799">
        <f t="shared" si="32"/>
        <v>0</v>
      </c>
      <c r="BZ33" s="799">
        <f t="shared" si="32"/>
        <v>0</v>
      </c>
      <c r="CA33" s="799">
        <f t="shared" si="32"/>
        <v>0</v>
      </c>
      <c r="CB33" s="799">
        <f t="shared" si="32"/>
        <v>0</v>
      </c>
      <c r="CC33" s="799">
        <f t="shared" si="32"/>
        <v>0</v>
      </c>
      <c r="CD33" s="799">
        <f t="shared" si="32"/>
        <v>0</v>
      </c>
      <c r="CE33" s="799">
        <f t="shared" si="32"/>
        <v>0</v>
      </c>
      <c r="CF33" s="799">
        <f t="shared" si="32"/>
        <v>0</v>
      </c>
      <c r="CG33" s="799">
        <f t="shared" si="32"/>
        <v>0</v>
      </c>
      <c r="CH33" s="799">
        <f t="shared" si="32"/>
        <v>0</v>
      </c>
      <c r="CI33" s="799">
        <f t="shared" si="32"/>
        <v>0</v>
      </c>
      <c r="CJ33" s="799">
        <f t="shared" si="32"/>
        <v>0</v>
      </c>
      <c r="CK33" s="799">
        <f t="shared" si="32"/>
        <v>0</v>
      </c>
      <c r="CL33" s="799">
        <f t="shared" si="32"/>
        <v>0</v>
      </c>
      <c r="CM33" s="799">
        <f t="shared" si="32"/>
        <v>0</v>
      </c>
      <c r="CN33" s="799">
        <f t="shared" si="32"/>
        <v>0</v>
      </c>
      <c r="CO33" s="799">
        <f t="shared" si="32"/>
        <v>0</v>
      </c>
      <c r="CP33" s="799">
        <f t="shared" si="32"/>
        <v>0</v>
      </c>
      <c r="CQ33" s="799">
        <f t="shared" si="32"/>
        <v>0</v>
      </c>
      <c r="CR33" s="799">
        <f t="shared" si="32"/>
        <v>0</v>
      </c>
      <c r="CS33" s="799">
        <f t="shared" si="32"/>
        <v>0</v>
      </c>
      <c r="CT33" s="799">
        <f t="shared" si="32"/>
        <v>0</v>
      </c>
      <c r="CU33" s="799">
        <f t="shared" si="32"/>
        <v>0</v>
      </c>
      <c r="CV33" s="799">
        <f t="shared" si="32"/>
        <v>0</v>
      </c>
      <c r="CW33" s="799">
        <f t="shared" si="32"/>
        <v>-57343611.907627545</v>
      </c>
      <c r="CX33" s="799">
        <f t="shared" si="32"/>
        <v>0</v>
      </c>
      <c r="CY33" s="799">
        <f t="shared" si="32"/>
        <v>0</v>
      </c>
      <c r="CZ33" s="799">
        <f t="shared" si="32"/>
        <v>0</v>
      </c>
      <c r="DA33" s="799">
        <f t="shared" si="32"/>
        <v>0</v>
      </c>
      <c r="DB33" s="799">
        <f t="shared" si="32"/>
        <v>0</v>
      </c>
      <c r="DC33" s="799">
        <f t="shared" si="32"/>
        <v>0</v>
      </c>
      <c r="DD33" s="799">
        <f t="shared" si="32"/>
        <v>0</v>
      </c>
      <c r="DE33" s="799">
        <f t="shared" si="32"/>
        <v>0</v>
      </c>
      <c r="DF33" s="799">
        <f t="shared" si="32"/>
        <v>0</v>
      </c>
      <c r="DG33" s="799">
        <f t="shared" si="32"/>
        <v>0</v>
      </c>
      <c r="DH33" s="799">
        <f t="shared" si="32"/>
        <v>0</v>
      </c>
      <c r="DI33" s="799">
        <f t="shared" si="32"/>
        <v>0</v>
      </c>
      <c r="DJ33" s="799">
        <f t="shared" si="32"/>
        <v>0</v>
      </c>
      <c r="DK33" s="799">
        <f t="shared" si="32"/>
        <v>0</v>
      </c>
      <c r="DL33" s="799">
        <f t="shared" si="32"/>
        <v>0</v>
      </c>
      <c r="DM33" s="799">
        <f t="shared" si="32"/>
        <v>0</v>
      </c>
      <c r="DN33" s="799">
        <f t="shared" si="32"/>
        <v>0</v>
      </c>
      <c r="DO33" s="799">
        <f t="shared" si="32"/>
        <v>0</v>
      </c>
      <c r="DP33" s="799">
        <f t="shared" si="32"/>
        <v>0</v>
      </c>
      <c r="DQ33" s="799">
        <f t="shared" si="32"/>
        <v>0</v>
      </c>
      <c r="DR33" s="799">
        <f t="shared" si="32"/>
        <v>0</v>
      </c>
      <c r="DS33" s="799">
        <f t="shared" si="32"/>
        <v>0</v>
      </c>
      <c r="DT33" s="799">
        <f t="shared" si="32"/>
        <v>0</v>
      </c>
      <c r="DU33" s="799">
        <f t="shared" si="32"/>
        <v>0</v>
      </c>
      <c r="DV33" s="799">
        <f t="shared" si="32"/>
        <v>0</v>
      </c>
      <c r="DW33" s="799">
        <f t="shared" si="32"/>
        <v>0</v>
      </c>
      <c r="DX33" s="799">
        <f t="shared" si="32"/>
        <v>0</v>
      </c>
      <c r="DY33" s="799">
        <f t="shared" si="32"/>
        <v>0</v>
      </c>
      <c r="DZ33" s="799">
        <f t="shared" si="32"/>
        <v>0</v>
      </c>
      <c r="EA33" s="799">
        <f t="shared" si="32"/>
        <v>0</v>
      </c>
      <c r="EB33" s="799">
        <f t="shared" si="32"/>
        <v>0</v>
      </c>
      <c r="EC33" s="799">
        <f>IF(AND(ED12=0,EC12=1),-EC181,0)</f>
        <v>0</v>
      </c>
      <c r="ED33" s="799">
        <f>IF(AND(EE12=0,ED12=1),-ED181,0)</f>
        <v>0</v>
      </c>
      <c r="EE33" s="799">
        <f>IF(AND(EF12=0,EE12=1),-EE181,0)</f>
        <v>0</v>
      </c>
      <c r="EF33" s="799">
        <f>IF(AND(EG12=0,EF12=1),-EF181,0)</f>
        <v>0</v>
      </c>
      <c r="EG33" s="799">
        <f>IF(AND(EH12=0,EG12=1),-EG181,0)</f>
        <v>0</v>
      </c>
      <c r="EH33" s="782"/>
    </row>
    <row r="34" spans="1:138" ht="12.75" customHeight="1" x14ac:dyDescent="0.3">
      <c r="A34" s="782"/>
      <c r="B34" s="782" t="s">
        <v>22</v>
      </c>
      <c r="C34" s="798">
        <f>SUM(E34:EG34)</f>
        <v>71665919.417095348</v>
      </c>
      <c r="D34" s="782"/>
      <c r="E34" s="798">
        <f>SUM(E26:E33,E23)</f>
        <v>-1943435.5218400576</v>
      </c>
      <c r="F34" s="798">
        <f t="shared" ref="F34:BQ34" si="33">SUM(F26:F33,F23)</f>
        <v>-15208023.650356924</v>
      </c>
      <c r="G34" s="798">
        <f t="shared" si="33"/>
        <v>-485842.87663322879</v>
      </c>
      <c r="H34" s="798">
        <f t="shared" si="33"/>
        <v>-733351.38083719497</v>
      </c>
      <c r="I34" s="798">
        <f t="shared" si="33"/>
        <v>-1239684.7593366946</v>
      </c>
      <c r="J34" s="798">
        <f t="shared" si="33"/>
        <v>-2017778.4195767127</v>
      </c>
      <c r="K34" s="798">
        <f t="shared" si="33"/>
        <v>-2076610.6161474148</v>
      </c>
      <c r="L34" s="798">
        <f t="shared" si="33"/>
        <v>-2643889.4279506723</v>
      </c>
      <c r="M34" s="798">
        <f t="shared" si="33"/>
        <v>-3134644.7085792772</v>
      </c>
      <c r="N34" s="798">
        <f t="shared" si="33"/>
        <v>-3667977.9572392926</v>
      </c>
      <c r="O34" s="798">
        <f t="shared" si="33"/>
        <v>-2085353.5402737891</v>
      </c>
      <c r="P34" s="798">
        <f t="shared" si="33"/>
        <v>-8333.3338084043935</v>
      </c>
      <c r="Q34" s="798">
        <f t="shared" si="33"/>
        <v>-8333.3335142051801</v>
      </c>
      <c r="R34" s="798">
        <f t="shared" si="33"/>
        <v>-8333.3335896586068</v>
      </c>
      <c r="S34" s="798">
        <f t="shared" si="33"/>
        <v>-8333.3331449902616</v>
      </c>
      <c r="T34" s="798">
        <f t="shared" si="33"/>
        <v>-8333.333433994092</v>
      </c>
      <c r="U34" s="798">
        <f t="shared" si="33"/>
        <v>-8333.3330018310808</v>
      </c>
      <c r="V34" s="798">
        <f t="shared" si="33"/>
        <v>-8333.333479241468</v>
      </c>
      <c r="W34" s="798">
        <f t="shared" si="33"/>
        <v>-8333.3335338355973</v>
      </c>
      <c r="X34" s="798">
        <f t="shared" si="33"/>
        <v>-8333.333179035224</v>
      </c>
      <c r="Y34" s="798">
        <f t="shared" si="33"/>
        <v>-8333.3335785353556</v>
      </c>
      <c r="Z34" s="798">
        <f t="shared" si="33"/>
        <v>-8333.3329179377761</v>
      </c>
      <c r="AA34" s="798">
        <f t="shared" si="33"/>
        <v>-8333.3335947582964</v>
      </c>
      <c r="AB34" s="798">
        <f t="shared" si="33"/>
        <v>-8333.3332643925678</v>
      </c>
      <c r="AC34" s="798">
        <f t="shared" si="33"/>
        <v>35779.695912457653</v>
      </c>
      <c r="AD34" s="798">
        <f t="shared" si="33"/>
        <v>75997.088835688541</v>
      </c>
      <c r="AE34" s="798">
        <f t="shared" si="33"/>
        <v>121790.92977523434</v>
      </c>
      <c r="AF34" s="798">
        <f t="shared" si="33"/>
        <v>211228.90395574804</v>
      </c>
      <c r="AG34" s="798">
        <f t="shared" si="33"/>
        <v>214875.24560759825</v>
      </c>
      <c r="AH34" s="798">
        <f t="shared" si="33"/>
        <v>216178.39454534152</v>
      </c>
      <c r="AI34" s="798">
        <f t="shared" si="33"/>
        <v>449732.04210855789</v>
      </c>
      <c r="AJ34" s="798">
        <f t="shared" si="33"/>
        <v>452320.98962950148</v>
      </c>
      <c r="AK34" s="798">
        <f t="shared" si="33"/>
        <v>455116.61410324048</v>
      </c>
      <c r="AL34" s="798">
        <f t="shared" si="33"/>
        <v>14350284.028469142</v>
      </c>
      <c r="AM34" s="798">
        <f t="shared" si="33"/>
        <v>240189.1734038596</v>
      </c>
      <c r="AN34" s="798">
        <f t="shared" si="33"/>
        <v>242828.62750555461</v>
      </c>
      <c r="AO34" s="798">
        <f t="shared" si="33"/>
        <v>245431.57100415012</v>
      </c>
      <c r="AP34" s="798">
        <f t="shared" si="33"/>
        <v>247189.79571464105</v>
      </c>
      <c r="AQ34" s="798">
        <f t="shared" si="33"/>
        <v>250622.15781345556</v>
      </c>
      <c r="AR34" s="798">
        <f t="shared" si="33"/>
        <v>253571.35546953481</v>
      </c>
      <c r="AS34" s="798">
        <f t="shared" si="33"/>
        <v>248858.44843962431</v>
      </c>
      <c r="AT34" s="798">
        <f t="shared" si="33"/>
        <v>250570.79090549052</v>
      </c>
      <c r="AU34" s="798">
        <f t="shared" si="33"/>
        <v>252185.76664132159</v>
      </c>
      <c r="AV34" s="798">
        <f t="shared" si="33"/>
        <v>254554.88956596749</v>
      </c>
      <c r="AW34" s="798">
        <f t="shared" si="33"/>
        <v>256829.93777900547</v>
      </c>
      <c r="AX34" s="798">
        <f t="shared" si="33"/>
        <v>258976.76576571475</v>
      </c>
      <c r="AY34" s="798">
        <f t="shared" si="33"/>
        <v>261042.46032288377</v>
      </c>
      <c r="AZ34" s="798">
        <f t="shared" si="33"/>
        <v>263034.91894811601</v>
      </c>
      <c r="BA34" s="798">
        <f t="shared" si="33"/>
        <v>264900.86809610092</v>
      </c>
      <c r="BB34" s="798">
        <f t="shared" si="33"/>
        <v>266051.41036132327</v>
      </c>
      <c r="BC34" s="798">
        <f t="shared" si="33"/>
        <v>268360.02148879576</v>
      </c>
      <c r="BD34" s="798">
        <f t="shared" si="33"/>
        <v>270250.00620863971</v>
      </c>
      <c r="BE34" s="798">
        <f t="shared" si="33"/>
        <v>266063.01724354795</v>
      </c>
      <c r="BF34" s="798">
        <f t="shared" si="33"/>
        <v>267079.67426825676</v>
      </c>
      <c r="BG34" s="798">
        <f t="shared" si="33"/>
        <v>268102.06947647233</v>
      </c>
      <c r="BH34" s="798">
        <f t="shared" si="33"/>
        <v>269756.18019295664</v>
      </c>
      <c r="BI34" s="798">
        <f t="shared" si="33"/>
        <v>271438.01027934882</v>
      </c>
      <c r="BJ34" s="798">
        <f t="shared" si="33"/>
        <v>273209.09551819746</v>
      </c>
      <c r="BK34" s="798">
        <f t="shared" si="33"/>
        <v>275055.47128138022</v>
      </c>
      <c r="BL34" s="798">
        <f t="shared" si="33"/>
        <v>276916.34434596577</v>
      </c>
      <c r="BM34" s="798">
        <f t="shared" si="33"/>
        <v>278869.50391600362</v>
      </c>
      <c r="BN34" s="798">
        <f t="shared" si="33"/>
        <v>280195.59888417867</v>
      </c>
      <c r="BO34" s="798">
        <f t="shared" si="33"/>
        <v>282956.31428539113</v>
      </c>
      <c r="BP34" s="798">
        <f t="shared" si="33"/>
        <v>285388.10116655775</v>
      </c>
      <c r="BQ34" s="798">
        <f t="shared" si="33"/>
        <v>281337.2806820501</v>
      </c>
      <c r="BR34" s="798">
        <f t="shared" ref="BR34:EC34" si="34">SUM(BR26:BR33,BR23)</f>
        <v>282775.30197173124</v>
      </c>
      <c r="BS34" s="798">
        <f t="shared" si="34"/>
        <v>284192.21683526936</v>
      </c>
      <c r="BT34" s="798">
        <f t="shared" si="34"/>
        <v>286394.34044633817</v>
      </c>
      <c r="BU34" s="798">
        <f t="shared" si="34"/>
        <v>288570.97016190126</v>
      </c>
      <c r="BV34" s="798">
        <f t="shared" si="34"/>
        <v>290774.71086397325</v>
      </c>
      <c r="BW34" s="798">
        <f t="shared" si="34"/>
        <v>293012.29270802287</v>
      </c>
      <c r="BX34" s="798">
        <f t="shared" si="34"/>
        <v>295236.92530872161</v>
      </c>
      <c r="BY34" s="798">
        <f t="shared" si="34"/>
        <v>297497.86899500911</v>
      </c>
      <c r="BZ34" s="798">
        <f t="shared" si="34"/>
        <v>298989.74235848209</v>
      </c>
      <c r="CA34" s="798">
        <f t="shared" si="34"/>
        <v>302045.60482279921</v>
      </c>
      <c r="CB34" s="798">
        <f t="shared" si="34"/>
        <v>304713.58440411743</v>
      </c>
      <c r="CC34" s="798">
        <f t="shared" si="34"/>
        <v>300623.21251099475</v>
      </c>
      <c r="CD34" s="798">
        <f t="shared" si="34"/>
        <v>302198.06654965493</v>
      </c>
      <c r="CE34" s="798">
        <f t="shared" si="34"/>
        <v>303744.83737187018</v>
      </c>
      <c r="CF34" s="798">
        <f t="shared" si="34"/>
        <v>306093.65105576138</v>
      </c>
      <c r="CG34" s="798">
        <f t="shared" si="34"/>
        <v>308434.10571412987</v>
      </c>
      <c r="CH34" s="798">
        <f t="shared" si="34"/>
        <v>310795.39258912473</v>
      </c>
      <c r="CI34" s="798">
        <f t="shared" si="34"/>
        <v>313136.93503156491</v>
      </c>
      <c r="CJ34" s="798">
        <f t="shared" si="34"/>
        <v>315512.29565900529</v>
      </c>
      <c r="CK34" s="798">
        <f t="shared" si="34"/>
        <v>317921.03869234462</v>
      </c>
      <c r="CL34" s="798">
        <f t="shared" si="34"/>
        <v>319507.85632681928</v>
      </c>
      <c r="CM34" s="798">
        <f t="shared" si="34"/>
        <v>322717.32030934142</v>
      </c>
      <c r="CN34" s="798">
        <f t="shared" si="34"/>
        <v>325506.78234714759</v>
      </c>
      <c r="CO34" s="798">
        <f t="shared" si="34"/>
        <v>321318.55549089937</v>
      </c>
      <c r="CP34" s="798">
        <f t="shared" si="34"/>
        <v>322965.72914949519</v>
      </c>
      <c r="CQ34" s="798">
        <f t="shared" si="34"/>
        <v>324584.06288337999</v>
      </c>
      <c r="CR34" s="798">
        <f t="shared" si="34"/>
        <v>327011.14239052619</v>
      </c>
      <c r="CS34" s="798">
        <f t="shared" si="34"/>
        <v>329459.91714655224</v>
      </c>
      <c r="CT34" s="798">
        <f t="shared" si="34"/>
        <v>331943.81063862937</v>
      </c>
      <c r="CU34" s="798">
        <f t="shared" si="34"/>
        <v>334401.22197197197</v>
      </c>
      <c r="CV34" s="798">
        <f t="shared" si="34"/>
        <v>336882.37047269777</v>
      </c>
      <c r="CW34" s="798">
        <f t="shared" si="34"/>
        <v>72656764.186812162</v>
      </c>
      <c r="CX34" s="798">
        <f t="shared" si="34"/>
        <v>0</v>
      </c>
      <c r="CY34" s="798">
        <f t="shared" si="34"/>
        <v>0</v>
      </c>
      <c r="CZ34" s="798">
        <f t="shared" si="34"/>
        <v>0</v>
      </c>
      <c r="DA34" s="798">
        <f t="shared" si="34"/>
        <v>0</v>
      </c>
      <c r="DB34" s="798">
        <f t="shared" si="34"/>
        <v>0</v>
      </c>
      <c r="DC34" s="798">
        <f t="shared" si="34"/>
        <v>0</v>
      </c>
      <c r="DD34" s="798">
        <f t="shared" si="34"/>
        <v>0</v>
      </c>
      <c r="DE34" s="798">
        <f t="shared" si="34"/>
        <v>0</v>
      </c>
      <c r="DF34" s="798">
        <f t="shared" si="34"/>
        <v>0</v>
      </c>
      <c r="DG34" s="798">
        <f t="shared" si="34"/>
        <v>0</v>
      </c>
      <c r="DH34" s="798">
        <f t="shared" si="34"/>
        <v>0</v>
      </c>
      <c r="DI34" s="798">
        <f t="shared" si="34"/>
        <v>0</v>
      </c>
      <c r="DJ34" s="798">
        <f t="shared" si="34"/>
        <v>0</v>
      </c>
      <c r="DK34" s="798">
        <f t="shared" si="34"/>
        <v>0</v>
      </c>
      <c r="DL34" s="798">
        <f t="shared" si="34"/>
        <v>0</v>
      </c>
      <c r="DM34" s="798">
        <f t="shared" si="34"/>
        <v>0</v>
      </c>
      <c r="DN34" s="798">
        <f t="shared" si="34"/>
        <v>0</v>
      </c>
      <c r="DO34" s="798">
        <f t="shared" si="34"/>
        <v>0</v>
      </c>
      <c r="DP34" s="798">
        <f t="shared" si="34"/>
        <v>0</v>
      </c>
      <c r="DQ34" s="798">
        <f t="shared" si="34"/>
        <v>0</v>
      </c>
      <c r="DR34" s="798">
        <f t="shared" si="34"/>
        <v>0</v>
      </c>
      <c r="DS34" s="798">
        <f t="shared" si="34"/>
        <v>0</v>
      </c>
      <c r="DT34" s="798">
        <f t="shared" si="34"/>
        <v>0</v>
      </c>
      <c r="DU34" s="798">
        <f t="shared" si="34"/>
        <v>0</v>
      </c>
      <c r="DV34" s="798">
        <f t="shared" si="34"/>
        <v>0</v>
      </c>
      <c r="DW34" s="798">
        <f t="shared" si="34"/>
        <v>0</v>
      </c>
      <c r="DX34" s="798">
        <f t="shared" si="34"/>
        <v>0</v>
      </c>
      <c r="DY34" s="798">
        <f t="shared" si="34"/>
        <v>0</v>
      </c>
      <c r="DZ34" s="798">
        <f t="shared" si="34"/>
        <v>0</v>
      </c>
      <c r="EA34" s="798">
        <f t="shared" si="34"/>
        <v>0</v>
      </c>
      <c r="EB34" s="798">
        <f t="shared" si="34"/>
        <v>0</v>
      </c>
      <c r="EC34" s="798">
        <f t="shared" si="34"/>
        <v>0</v>
      </c>
      <c r="ED34" s="798">
        <f>SUM(ED26:ED33,ED23)</f>
        <v>0</v>
      </c>
      <c r="EE34" s="798">
        <f>SUM(EE26:EE33,EE23)</f>
        <v>0</v>
      </c>
      <c r="EF34" s="798">
        <f>SUM(EF26:EF33,EF23)</f>
        <v>0</v>
      </c>
      <c r="EG34" s="798">
        <f>SUM(EG26:EG33,EG23)</f>
        <v>0</v>
      </c>
      <c r="EH34" s="782"/>
    </row>
    <row r="35" spans="1:138" ht="12.75" customHeight="1" x14ac:dyDescent="0.3">
      <c r="A35" s="782"/>
      <c r="B35" s="800" t="s">
        <v>23</v>
      </c>
      <c r="C35" s="801">
        <f>XIRR(OFFSET(E34,0,$C$141):EG34,OFFSET($E$4,0,$C$141):$EG$4)</f>
        <v>0.20314757227897645</v>
      </c>
      <c r="D35" s="782"/>
      <c r="E35" s="782"/>
      <c r="F35" s="782"/>
      <c r="G35" s="782"/>
      <c r="H35" s="782"/>
      <c r="I35" s="782"/>
      <c r="J35" s="782"/>
      <c r="K35" s="782"/>
      <c r="L35" s="782"/>
      <c r="M35" s="782"/>
      <c r="N35" s="782"/>
      <c r="O35" s="782"/>
      <c r="P35" s="782"/>
      <c r="Q35" s="782"/>
      <c r="R35" s="782"/>
      <c r="S35" s="782"/>
      <c r="T35" s="782"/>
      <c r="U35" s="782"/>
      <c r="V35" s="782"/>
      <c r="W35" s="782"/>
      <c r="X35" s="782"/>
      <c r="Y35" s="782"/>
      <c r="Z35" s="782"/>
      <c r="AA35" s="782"/>
      <c r="AB35" s="782"/>
      <c r="AC35" s="782"/>
      <c r="AD35" s="782"/>
      <c r="AE35" s="782"/>
      <c r="AF35" s="782"/>
      <c r="AG35" s="782"/>
      <c r="AH35" s="782"/>
      <c r="AI35" s="782"/>
      <c r="AJ35" s="782"/>
      <c r="AK35" s="782"/>
      <c r="AL35" s="782"/>
      <c r="AM35" s="782"/>
      <c r="AN35" s="782"/>
      <c r="AO35" s="782"/>
      <c r="AP35" s="782"/>
      <c r="AQ35" s="782"/>
      <c r="AR35" s="782"/>
      <c r="AS35" s="782"/>
      <c r="AT35" s="782"/>
      <c r="AU35" s="782"/>
      <c r="AV35" s="782"/>
      <c r="AW35" s="782"/>
      <c r="AX35" s="782"/>
      <c r="AY35" s="782"/>
      <c r="AZ35" s="782"/>
      <c r="BA35" s="782"/>
      <c r="BB35" s="782"/>
      <c r="BC35" s="782"/>
      <c r="BD35" s="782"/>
      <c r="BE35" s="782"/>
      <c r="BF35" s="782"/>
      <c r="BG35" s="782"/>
      <c r="BH35" s="782"/>
      <c r="BI35" s="782"/>
      <c r="BJ35" s="782"/>
      <c r="BK35" s="782"/>
      <c r="BL35" s="782"/>
      <c r="BM35" s="782"/>
      <c r="BN35" s="782"/>
      <c r="BO35" s="782"/>
      <c r="BP35" s="782"/>
      <c r="BQ35" s="782"/>
      <c r="BR35" s="782"/>
      <c r="BS35" s="782"/>
      <c r="BT35" s="782"/>
      <c r="BU35" s="782"/>
      <c r="BV35" s="782"/>
      <c r="BW35" s="782"/>
      <c r="BX35" s="782"/>
      <c r="BY35" s="782"/>
      <c r="BZ35" s="782"/>
      <c r="CA35" s="782"/>
      <c r="CB35" s="782"/>
      <c r="CC35" s="782"/>
      <c r="CD35" s="782"/>
      <c r="CE35" s="782"/>
      <c r="CF35" s="782"/>
      <c r="CG35" s="782"/>
      <c r="CH35" s="782"/>
      <c r="CI35" s="782"/>
      <c r="CJ35" s="782"/>
      <c r="CK35" s="782"/>
      <c r="CL35" s="782"/>
      <c r="CM35" s="782"/>
      <c r="CN35" s="782"/>
      <c r="CO35" s="782"/>
      <c r="CP35" s="782"/>
      <c r="CQ35" s="782"/>
      <c r="CR35" s="782"/>
      <c r="CS35" s="782"/>
      <c r="CT35" s="782"/>
      <c r="CU35" s="782"/>
      <c r="CV35" s="782"/>
      <c r="CW35" s="782"/>
      <c r="CX35" s="782"/>
      <c r="CY35" s="782"/>
      <c r="CZ35" s="782"/>
      <c r="DA35" s="782"/>
      <c r="DB35" s="782"/>
      <c r="DC35" s="782"/>
      <c r="DD35" s="782"/>
      <c r="DE35" s="782"/>
      <c r="DF35" s="782"/>
      <c r="DG35" s="782"/>
      <c r="DH35" s="782"/>
      <c r="DI35" s="782"/>
      <c r="DJ35" s="782"/>
      <c r="DK35" s="782"/>
      <c r="DL35" s="782"/>
      <c r="DM35" s="782"/>
      <c r="DN35" s="782"/>
      <c r="DO35" s="782"/>
      <c r="DP35" s="782"/>
      <c r="DQ35" s="782"/>
      <c r="DR35" s="782"/>
      <c r="DS35" s="782"/>
      <c r="DT35" s="782"/>
      <c r="DU35" s="782"/>
      <c r="DV35" s="782"/>
      <c r="DW35" s="782"/>
      <c r="DX35" s="782"/>
      <c r="DY35" s="782"/>
      <c r="DZ35" s="782"/>
      <c r="EA35" s="782"/>
      <c r="EB35" s="782"/>
      <c r="EC35" s="782"/>
      <c r="ED35" s="782"/>
      <c r="EE35" s="782"/>
      <c r="EF35" s="782"/>
      <c r="EG35" s="782"/>
      <c r="EH35" s="782"/>
    </row>
    <row r="36" spans="1:138" ht="12.75" customHeight="1" x14ac:dyDescent="0.3">
      <c r="A36" s="782"/>
      <c r="B36" s="1354" t="s">
        <v>320</v>
      </c>
      <c r="C36" s="1355">
        <f>SUMIF($E$34:$EG$34,"&gt;0")/-SUMIF($E$34:$EG$34,"&lt;0")</f>
        <v>3.0276154779938311</v>
      </c>
      <c r="D36" s="782"/>
      <c r="E36" s="782"/>
      <c r="F36" s="782"/>
      <c r="G36" s="782"/>
      <c r="H36" s="782"/>
      <c r="I36" s="782"/>
      <c r="J36" s="782"/>
      <c r="K36" s="782"/>
      <c r="L36" s="782"/>
      <c r="M36" s="782"/>
      <c r="N36" s="782"/>
      <c r="O36" s="782"/>
      <c r="P36" s="782"/>
      <c r="Q36" s="782"/>
      <c r="R36" s="782"/>
      <c r="S36" s="782"/>
      <c r="T36" s="782"/>
      <c r="U36" s="782"/>
      <c r="V36" s="782"/>
      <c r="W36" s="782"/>
      <c r="X36" s="782"/>
      <c r="Y36" s="782"/>
      <c r="Z36" s="782"/>
      <c r="AA36" s="782"/>
      <c r="AB36" s="782"/>
      <c r="AC36" s="782"/>
      <c r="AD36" s="782"/>
      <c r="AE36" s="782"/>
      <c r="AF36" s="782"/>
      <c r="AG36" s="782"/>
      <c r="AH36" s="782"/>
      <c r="AI36" s="782"/>
      <c r="AJ36" s="782"/>
      <c r="AK36" s="782"/>
      <c r="AL36" s="782"/>
      <c r="AM36" s="782"/>
      <c r="AN36" s="782"/>
      <c r="AO36" s="782"/>
      <c r="AP36" s="782"/>
      <c r="AQ36" s="782"/>
      <c r="AR36" s="782"/>
      <c r="AS36" s="782"/>
      <c r="AT36" s="782"/>
      <c r="AU36" s="782"/>
      <c r="AV36" s="782"/>
      <c r="AW36" s="782"/>
      <c r="AX36" s="782"/>
      <c r="AY36" s="782"/>
      <c r="AZ36" s="782"/>
      <c r="BA36" s="782"/>
      <c r="BB36" s="782"/>
      <c r="BC36" s="782"/>
      <c r="BD36" s="782"/>
      <c r="BE36" s="782"/>
      <c r="BF36" s="782"/>
      <c r="BG36" s="782"/>
      <c r="BH36" s="782"/>
      <c r="BI36" s="782"/>
      <c r="BJ36" s="782"/>
      <c r="BK36" s="782"/>
      <c r="BL36" s="782"/>
      <c r="BM36" s="782"/>
      <c r="BN36" s="782"/>
      <c r="BO36" s="782"/>
      <c r="BP36" s="782"/>
      <c r="BQ36" s="782"/>
      <c r="BR36" s="782"/>
      <c r="BS36" s="782"/>
      <c r="BT36" s="782"/>
      <c r="BU36" s="782"/>
      <c r="BV36" s="782"/>
      <c r="BW36" s="782"/>
      <c r="BX36" s="782"/>
      <c r="BY36" s="782"/>
      <c r="BZ36" s="782"/>
      <c r="CA36" s="782"/>
      <c r="CB36" s="782"/>
      <c r="CC36" s="782"/>
      <c r="CD36" s="782"/>
      <c r="CE36" s="782"/>
      <c r="CF36" s="782"/>
      <c r="CG36" s="782"/>
      <c r="CH36" s="782"/>
      <c r="CI36" s="782"/>
      <c r="CJ36" s="782"/>
      <c r="CK36" s="782"/>
      <c r="CL36" s="782"/>
      <c r="CM36" s="782"/>
      <c r="CN36" s="782"/>
      <c r="CO36" s="782"/>
      <c r="CP36" s="782"/>
      <c r="CQ36" s="782"/>
      <c r="CR36" s="782"/>
      <c r="CS36" s="782"/>
      <c r="CT36" s="782"/>
      <c r="CU36" s="782"/>
      <c r="CV36" s="782"/>
      <c r="CW36" s="782"/>
      <c r="CX36" s="782"/>
      <c r="CY36" s="782"/>
      <c r="CZ36" s="782"/>
      <c r="DA36" s="782"/>
      <c r="DB36" s="782"/>
      <c r="DC36" s="782"/>
      <c r="DD36" s="782"/>
      <c r="DE36" s="782"/>
      <c r="DF36" s="782"/>
      <c r="DG36" s="782"/>
      <c r="DH36" s="782"/>
      <c r="DI36" s="782"/>
      <c r="DJ36" s="782"/>
      <c r="DK36" s="782"/>
      <c r="DL36" s="782"/>
      <c r="DM36" s="782"/>
      <c r="DN36" s="782"/>
      <c r="DO36" s="782"/>
      <c r="DP36" s="782"/>
      <c r="DQ36" s="782"/>
      <c r="DR36" s="782"/>
      <c r="DS36" s="782"/>
      <c r="DT36" s="782"/>
      <c r="DU36" s="782"/>
      <c r="DV36" s="782"/>
      <c r="DW36" s="782"/>
      <c r="DX36" s="782"/>
      <c r="DY36" s="782"/>
      <c r="DZ36" s="782"/>
      <c r="EA36" s="782"/>
      <c r="EB36" s="782"/>
      <c r="EC36" s="782"/>
      <c r="ED36" s="782"/>
      <c r="EE36" s="782"/>
      <c r="EF36" s="782"/>
      <c r="EG36" s="782"/>
      <c r="EH36" s="782"/>
    </row>
    <row r="37" spans="1:138" ht="12.75" customHeight="1" x14ac:dyDescent="0.3">
      <c r="A37" s="782"/>
      <c r="B37" s="781" t="s">
        <v>24</v>
      </c>
      <c r="C37" s="799">
        <f>SUM(E37:EG37)</f>
        <v>-3022291.0014259908</v>
      </c>
      <c r="D37" s="781"/>
      <c r="E37" s="799">
        <f>((D152*-'Venture Assumptions'!$F$17/12)*E10+E11*(D196*-'Venture Assumptions'!$F$17/12))*E12</f>
        <v>0</v>
      </c>
      <c r="F37" s="799">
        <f>((E152*-'Venture Assumptions'!$F$17/12)*F10+F11*(E196*-'Venture Assumptions'!$F$17/12))*F12</f>
        <v>-624.00231680382876</v>
      </c>
      <c r="G37" s="799">
        <f>((F152*-'Venture Assumptions'!$F$17/12)*G10+G11*(F196*-'Venture Assumptions'!$F$17/12))*G12</f>
        <v>-5655.1249228157039</v>
      </c>
      <c r="H37" s="799">
        <f>((G152*-'Venture Assumptions'!$F$17/12)*H10+H11*(G196*-'Venture Assumptions'!$F$17/12))*H12</f>
        <v>-5778.8539375863475</v>
      </c>
      <c r="I37" s="799">
        <f>((H152*-'Venture Assumptions'!$F$17/12)*I10+I11*(H196*-'Venture Assumptions'!$F$17/12))*I12</f>
        <v>-5985.085787091647</v>
      </c>
      <c r="J37" s="799">
        <f>((I152*-'Venture Assumptions'!$F$17/12)*J10+J11*(I196*-'Venture Assumptions'!$F$17/12))*J12</f>
        <v>-6360.0954294301118</v>
      </c>
      <c r="K37" s="799">
        <f>((J152*-'Venture Assumptions'!$F$17/12)*K10+K11*(J196*-'Venture Assumptions'!$F$17/12))*K12</f>
        <v>-6994.4696251819178</v>
      </c>
      <c r="L37" s="799">
        <f>((K152*-'Venture Assumptions'!$F$17/12)*L10+L11*(K196*-'Venture Assumptions'!$F$17/12))*L12</f>
        <v>-7648.4545531239564</v>
      </c>
      <c r="M37" s="799">
        <f>((L152*-'Venture Assumptions'!$F$17/12)*M10+M11*(L196*-'Venture Assumptions'!$F$17/12))*M12</f>
        <v>-8491.532418333747</v>
      </c>
      <c r="N37" s="799">
        <f>((M152*-'Venture Assumptions'!$F$17/12)*N10+N11*(M196*-'Venture Assumptions'!$F$17/12))*N12</f>
        <v>-9498.1953770864056</v>
      </c>
      <c r="O37" s="799">
        <f>((N152*-'Venture Assumptions'!$F$17/12)*O10+O11*(N196*-'Venture Assumptions'!$F$17/12))*O12</f>
        <v>-10682.636085392403</v>
      </c>
      <c r="P37" s="799">
        <f>((O152*-'Venture Assumptions'!$F$17/12)*P10+P11*(O196*-'Venture Assumptions'!$F$17/12))*P12</f>
        <v>-11910.111434709901</v>
      </c>
      <c r="Q37" s="799">
        <f>((P152*-'Venture Assumptions'!$F$17/12)*Q10+Q11*(P196*-'Venture Assumptions'!$F$17/12))*Q12</f>
        <v>-13203.170519538937</v>
      </c>
      <c r="R37" s="799">
        <f>((Q152*-'Venture Assumptions'!$F$17/12)*R10+R11*(Q196*-'Venture Assumptions'!$F$17/12))*R12</f>
        <v>-14513.053609936573</v>
      </c>
      <c r="S37" s="799">
        <f>((R152*-'Venture Assumptions'!$F$17/12)*S10+S11*(R196*-'Venture Assumptions'!$F$17/12))*S12</f>
        <v>-15835.909818692693</v>
      </c>
      <c r="T37" s="799">
        <f>((S152*-'Venture Assumptions'!$F$17/12)*T10+T11*(S196*-'Venture Assumptions'!$F$17/12))*T12</f>
        <v>-17071.858707300587</v>
      </c>
      <c r="U37" s="799">
        <f>((T152*-'Venture Assumptions'!$F$17/12)*U10+U11*(T196*-'Venture Assumptions'!$F$17/12))*U12</f>
        <v>-18272.165256671487</v>
      </c>
      <c r="V37" s="799">
        <f>((U152*-'Venture Assumptions'!$F$17/12)*V10+V11*(U196*-'Venture Assumptions'!$F$17/12))*V12</f>
        <v>-19382.938452231665</v>
      </c>
      <c r="W37" s="799">
        <f>((V152*-'Venture Assumptions'!$F$17/12)*W10+W11*(V196*-'Venture Assumptions'!$F$17/12))*W12</f>
        <v>-20381.411578950978</v>
      </c>
      <c r="X37" s="799">
        <f>((W152*-'Venture Assumptions'!$F$17/12)*X10+X11*(W196*-'Venture Assumptions'!$F$17/12))*X12</f>
        <v>-21374.675023688487</v>
      </c>
      <c r="Y37" s="799">
        <f>((X152*-'Venture Assumptions'!$F$17/12)*Y10+Y11*(X196*-'Venture Assumptions'!$F$17/12))*Y12</f>
        <v>-22286.172159307695</v>
      </c>
      <c r="Z37" s="799">
        <f>((Y152*-'Venture Assumptions'!$F$17/12)*Z10+Z11*(Y196*-'Venture Assumptions'!$F$17/12))*Z12</f>
        <v>-23053.178074060099</v>
      </c>
      <c r="AA37" s="799">
        <f>((Z152*-'Venture Assumptions'!$F$17/12)*AA10+AA11*(Z196*-'Venture Assumptions'!$F$17/12))*AA12</f>
        <v>-23706.70963792564</v>
      </c>
      <c r="AB37" s="799">
        <f>((AA152*-'Venture Assumptions'!$F$17/12)*AB10+AB11*(AA196*-'Venture Assumptions'!$F$17/12))*AB12</f>
        <v>-24249.985587016792</v>
      </c>
      <c r="AC37" s="799">
        <f>((AB152*-'Venture Assumptions'!$F$17/12)*AC10+AC11*(AB196*-'Venture Assumptions'!$F$17/12))*AC12</f>
        <v>-24615.24061366449</v>
      </c>
      <c r="AD37" s="799">
        <f>((AC152*-'Venture Assumptions'!$F$17/12)*AD10+AD11*(AC196*-'Venture Assumptions'!$F$17/12))*AD12</f>
        <v>-24910.060027416595</v>
      </c>
      <c r="AE37" s="799">
        <f>((AD152*-'Venture Assumptions'!$F$17/12)*AE10+AE11*(AD196*-'Venture Assumptions'!$F$17/12))*AE12</f>
        <v>-25100.520622493055</v>
      </c>
      <c r="AF37" s="799">
        <f>((AE152*-'Venture Assumptions'!$F$17/12)*AF10+AF11*(AE196*-'Venture Assumptions'!$F$17/12))*AF12</f>
        <v>-25100.520622493055</v>
      </c>
      <c r="AG37" s="799">
        <f>((AF152*-'Venture Assumptions'!$F$17/12)*AG10+AG11*(AF196*-'Venture Assumptions'!$F$17/12))*AG12</f>
        <v>-25100.520622493055</v>
      </c>
      <c r="AH37" s="799">
        <f>((AG152*-'Venture Assumptions'!$F$17/12)*AH10+AH11*(AG196*-'Venture Assumptions'!$F$17/12))*AH12</f>
        <v>-25100.520622493055</v>
      </c>
      <c r="AI37" s="799">
        <f>((AH152*-'Venture Assumptions'!$F$17/12)*AI10+AI11*(AH196*-'Venture Assumptions'!$F$17/12))*AI12</f>
        <v>-25100.520622493055</v>
      </c>
      <c r="AJ37" s="799">
        <f>((AI152*-'Venture Assumptions'!$F$17/12)*AJ10+AJ11*(AI196*-'Venture Assumptions'!$F$17/12))*AJ12</f>
        <v>-25100.520622493055</v>
      </c>
      <c r="AK37" s="799">
        <f>((AJ152*-'Venture Assumptions'!$F$17/12)*AK10+AK11*(AJ196*-'Venture Assumptions'!$F$17/12))*AK12</f>
        <v>-25100.520622493055</v>
      </c>
      <c r="AL37" s="799">
        <f>((AK152*-'Venture Assumptions'!$F$17/12)*AL10+AL11*(AK196*-'Venture Assumptions'!$F$17/12))*AL12</f>
        <v>-34753.704186440933</v>
      </c>
      <c r="AM37" s="799">
        <f>((AL152*-'Venture Assumptions'!$F$17/12)*AM10+AM11*(AL196*-'Venture Assumptions'!$F$17/12))*AM12</f>
        <v>-34895.827342692981</v>
      </c>
      <c r="AN37" s="799">
        <f>((AM152*-'Venture Assumptions'!$F$17/12)*AN10+AN11*(AM196*-'Venture Assumptions'!$F$17/12))*AN12</f>
        <v>-35035.223265853776</v>
      </c>
      <c r="AO37" s="799">
        <f>((AN152*-'Venture Assumptions'!$F$17/12)*AO10+AO11*(AN196*-'Venture Assumptions'!$F$17/12))*AO12</f>
        <v>-35171.468378084879</v>
      </c>
      <c r="AP37" s="799">
        <f>((AO152*-'Venture Assumptions'!$F$17/12)*AP10+AP11*(AO196*-'Venture Assumptions'!$F$17/12))*AP12</f>
        <v>-35304.135973486802</v>
      </c>
      <c r="AQ37" s="799">
        <f>((AP152*-'Venture Assumptions'!$F$17/12)*AQ10+AQ11*(AP196*-'Venture Assumptions'!$F$17/12))*AQ12</f>
        <v>-35434.145879251511</v>
      </c>
      <c r="AR37" s="799">
        <f>((AQ152*-'Venture Assumptions'!$F$17/12)*AR10+AR11*(AQ196*-'Venture Assumptions'!$F$17/12))*AR12</f>
        <v>-35558.413849472425</v>
      </c>
      <c r="AS37" s="799">
        <f>((AR152*-'Venture Assumptions'!$F$17/12)*AS10+AS11*(AR196*-'Venture Assumptions'!$F$17/12))*AS12</f>
        <v>-35677.371569744464</v>
      </c>
      <c r="AT37" s="799">
        <f>((AS152*-'Venture Assumptions'!$F$17/12)*AT10+AT11*(AS196*-'Venture Assumptions'!$F$17/12))*AT12</f>
        <v>-35800.782286288326</v>
      </c>
      <c r="AU37" s="799">
        <f>((AT152*-'Venture Assumptions'!$F$17/12)*AU10+AU11*(AT196*-'Venture Assumptions'!$F$17/12))*AU12</f>
        <v>-35921.306056616362</v>
      </c>
      <c r="AV37" s="799">
        <f>((AU152*-'Venture Assumptions'!$F$17/12)*AV10+AV11*(AU196*-'Venture Assumptions'!$F$17/12))*AV12</f>
        <v>-36039.295521643005</v>
      </c>
      <c r="AW37" s="799">
        <f>((AV152*-'Venture Assumptions'!$F$17/12)*AW10+AW11*(AV196*-'Venture Assumptions'!$F$17/12))*AW12</f>
        <v>-36153.994190473044</v>
      </c>
      <c r="AX37" s="799">
        <f>((AW152*-'Venture Assumptions'!$F$17/12)*AX10+AX11*(AW196*-'Venture Assumptions'!$F$17/12))*AX12</f>
        <v>-36266.203924179419</v>
      </c>
      <c r="AY37" s="799">
        <f>((AX152*-'Venture Assumptions'!$F$17/12)*AY10+AY11*(AX196*-'Venture Assumptions'!$F$17/12))*AY12</f>
        <v>-36376.733034366072</v>
      </c>
      <c r="AZ37" s="799">
        <f>((AY152*-'Venture Assumptions'!$F$17/12)*AZ10+AZ11*(AY196*-'Venture Assumptions'!$F$17/12))*AZ12</f>
        <v>-36486.396322463166</v>
      </c>
      <c r="BA37" s="799">
        <f>((AZ152*-'Venture Assumptions'!$F$17/12)*BA10+BA11*(AZ196*-'Venture Assumptions'!$F$17/12))*BA12</f>
        <v>-36596.015119237964</v>
      </c>
      <c r="BB37" s="799">
        <f>((BA152*-'Venture Assumptions'!$F$17/12)*BB10+BB11*(BA196*-'Venture Assumptions'!$F$17/12))*BB12</f>
        <v>-36706.417324522576</v>
      </c>
      <c r="BC37" s="799">
        <f>((BB152*-'Venture Assumptions'!$F$17/12)*BC10+BC11*(BB196*-'Venture Assumptions'!$F$17/12))*BC12</f>
        <v>-36817.912447002811</v>
      </c>
      <c r="BD37" s="799">
        <f>((BC152*-'Venture Assumptions'!$F$17/12)*BD10+BD11*(BC196*-'Venture Assumptions'!$F$17/12))*BD12</f>
        <v>-36932.298194769312</v>
      </c>
      <c r="BE37" s="799">
        <f>((BD152*-'Venture Assumptions'!$F$17/12)*BE10+BE11*(BD196*-'Venture Assumptions'!$F$17/12))*BE12</f>
        <v>-37049.848850175731</v>
      </c>
      <c r="BF37" s="799">
        <f>((BE152*-'Venture Assumptions'!$F$17/12)*BF10+BF11*(BE196*-'Venture Assumptions'!$F$17/12))*BF12</f>
        <v>-37168.013350733701</v>
      </c>
      <c r="BG37" s="799">
        <f>((BF152*-'Venture Assumptions'!$F$17/12)*BG10+BG11*(BF196*-'Venture Assumptions'!$F$17/12))*BG12</f>
        <v>-37288.282672097288</v>
      </c>
      <c r="BH37" s="799">
        <f>((BG152*-'Venture Assumptions'!$F$17/12)*BH10+BH11*(BG196*-'Venture Assumptions'!$F$17/12))*BH12</f>
        <v>-37410.540457934789</v>
      </c>
      <c r="BI37" s="799">
        <f>((BH152*-'Venture Assumptions'!$F$17/12)*BI10+BI11*(BH196*-'Venture Assumptions'!$F$17/12))*BI12</f>
        <v>-37535.583747769619</v>
      </c>
      <c r="BJ37" s="799">
        <f>((BI152*-'Venture Assumptions'!$F$17/12)*BJ10+BJ11*(BI196*-'Venture Assumptions'!$F$17/12))*BJ12</f>
        <v>-37663.147959803231</v>
      </c>
      <c r="BK37" s="799">
        <f>((BJ152*-'Venture Assumptions'!$F$17/12)*BK10+BK11*(BJ196*-'Venture Assumptions'!$F$17/12))*BK12</f>
        <v>-37792.966516123437</v>
      </c>
      <c r="BL37" s="799">
        <f>((BK152*-'Venture Assumptions'!$F$17/12)*BL10+BL11*(BK196*-'Venture Assumptions'!$F$17/12))*BL12</f>
        <v>-37924.770831500216</v>
      </c>
      <c r="BM37" s="799">
        <f>((BL152*-'Venture Assumptions'!$F$17/12)*BM10+BM11*(BL196*-'Venture Assumptions'!$F$17/12))*BM12</f>
        <v>-38058.290302125541</v>
      </c>
      <c r="BN37" s="799">
        <f>((BM152*-'Venture Assumptions'!$F$17/12)*BN10+BN11*(BM196*-'Venture Assumptions'!$F$17/12))*BN12</f>
        <v>-38193.252294296908</v>
      </c>
      <c r="BO37" s="799">
        <f>((BN152*-'Venture Assumptions'!$F$17/12)*BO10+BO11*(BN196*-'Venture Assumptions'!$F$17/12))*BO12</f>
        <v>-38329.007585648404</v>
      </c>
      <c r="BP37" s="799">
        <f>((BO152*-'Venture Assumptions'!$F$17/12)*BP10+BP11*(BO196*-'Venture Assumptions'!$F$17/12))*BP12</f>
        <v>-38466.059302936665</v>
      </c>
      <c r="BQ37" s="799">
        <f>((BP152*-'Venture Assumptions'!$F$17/12)*BQ10+BQ11*(BP196*-'Venture Assumptions'!$F$17/12))*BQ12</f>
        <v>-38604.026977856192</v>
      </c>
      <c r="BR37" s="799">
        <f>((BQ152*-'Venture Assumptions'!$F$17/12)*BR10+BR11*(BQ196*-'Venture Assumptions'!$F$17/12))*BR12</f>
        <v>-38741.335006676694</v>
      </c>
      <c r="BS37" s="799">
        <f>((BR152*-'Venture Assumptions'!$F$17/12)*BS10+BS11*(BR196*-'Venture Assumptions'!$F$17/12))*BS12</f>
        <v>-38879.066865002773</v>
      </c>
      <c r="BT37" s="799">
        <f>((BS152*-'Venture Assumptions'!$F$17/12)*BT10+BT11*(BS196*-'Venture Assumptions'!$F$17/12))*BT12</f>
        <v>-39017.223711387065</v>
      </c>
      <c r="BU37" s="799">
        <f>((BT152*-'Venture Assumptions'!$F$17/12)*BU10+BU11*(BT196*-'Venture Assumptions'!$F$17/12))*BU12</f>
        <v>-39155.99735116629</v>
      </c>
      <c r="BV37" s="799">
        <f>((BU152*-'Venture Assumptions'!$F$17/12)*BV10+BV11*(BU196*-'Venture Assumptions'!$F$17/12))*BV12</f>
        <v>-39295.390267066752</v>
      </c>
      <c r="BW37" s="799">
        <f>((BV152*-'Venture Assumptions'!$F$17/12)*BW10+BW11*(BV196*-'Venture Assumptions'!$F$17/12))*BW12</f>
        <v>-39435.404951925862</v>
      </c>
      <c r="BX37" s="799">
        <f>((BW152*-'Venture Assumptions'!$F$17/12)*BX10+BX11*(BW196*-'Venture Assumptions'!$F$17/12))*BX12</f>
        <v>-39576.04390873362</v>
      </c>
      <c r="BY37" s="799">
        <f>((BX152*-'Venture Assumptions'!$F$17/12)*BY10+BY11*(BX196*-'Venture Assumptions'!$F$17/12))*BY12</f>
        <v>-39717.3096506742</v>
      </c>
      <c r="BZ37" s="799">
        <f>((BY152*-'Venture Assumptions'!$F$17/12)*BZ10+BZ11*(BY196*-'Venture Assumptions'!$F$17/12))*BZ12</f>
        <v>-39859.204701167859</v>
      </c>
      <c r="CA37" s="799">
        <f>((BZ152*-'Venture Assumptions'!$F$17/12)*CA10+CA11*(BZ196*-'Venture Assumptions'!$F$17/12))*CA12</f>
        <v>-40001.536156669019</v>
      </c>
      <c r="CB37" s="799">
        <f>((CA152*-'Venture Assumptions'!$F$17/12)*CB10+CB11*(CA196*-'Venture Assumptions'!$F$17/12))*CB12</f>
        <v>-40144.697165491794</v>
      </c>
      <c r="CC37" s="799">
        <f>((CB152*-'Venture Assumptions'!$F$17/12)*CC10+CC11*(CB196*-'Venture Assumptions'!$F$17/12))*CC12</f>
        <v>-40288.585743200565</v>
      </c>
      <c r="CD37" s="799">
        <f>((CC152*-'Venture Assumptions'!$F$17/12)*CD10+CD11*(CC196*-'Venture Assumptions'!$F$17/12))*CD12</f>
        <v>-40431.79148012428</v>
      </c>
      <c r="CE37" s="799">
        <f>((CD152*-'Venture Assumptions'!$F$17/12)*CE10+CE11*(CD196*-'Venture Assumptions'!$F$17/12))*CE12</f>
        <v>-40575.438413916876</v>
      </c>
      <c r="CF37" s="799">
        <f>((CE152*-'Venture Assumptions'!$F$17/12)*CF10+CF11*(CE196*-'Venture Assumptions'!$F$17/12))*CF12</f>
        <v>-40719.527750751709</v>
      </c>
      <c r="CG37" s="799">
        <f>((CF152*-'Venture Assumptions'!$F$17/12)*CG10+CG11*(CF196*-'Venture Assumptions'!$F$17/12))*CG12</f>
        <v>-40864.259402146206</v>
      </c>
      <c r="CH37" s="799">
        <f>((CG152*-'Venture Assumptions'!$F$17/12)*CH10+CH11*(CG196*-'Venture Assumptions'!$F$17/12))*CH12</f>
        <v>-41009.635954412988</v>
      </c>
      <c r="CI37" s="799">
        <f>((CH152*-'Venture Assumptions'!$F$17/12)*CI10+CI11*(CH196*-'Venture Assumptions'!$F$17/12))*CI12</f>
        <v>-41155.660004399819</v>
      </c>
      <c r="CJ37" s="799">
        <f>((CI152*-'Venture Assumptions'!$F$17/12)*CJ10+CJ11*(CI196*-'Venture Assumptions'!$F$17/12))*CJ12</f>
        <v>-41302.334159532802</v>
      </c>
      <c r="CK37" s="799">
        <f>((CJ152*-'Venture Assumptions'!$F$17/12)*CK10+CK11*(CJ196*-'Venture Assumptions'!$F$17/12))*CK12</f>
        <v>-41449.661037859827</v>
      </c>
      <c r="CL37" s="799">
        <f>((CK152*-'Venture Assumptions'!$F$17/12)*CL10+CL11*(CK196*-'Venture Assumptions'!$F$17/12))*CL12</f>
        <v>-41597.643268094085</v>
      </c>
      <c r="CM37" s="799">
        <f>((CL152*-'Venture Assumptions'!$F$17/12)*CM10+CM11*(CL196*-'Venture Assumptions'!$F$17/12))*CM12</f>
        <v>-41746.079791359865</v>
      </c>
      <c r="CN37" s="799">
        <f>((CM152*-'Venture Assumptions'!$F$17/12)*CN10+CN11*(CM196*-'Venture Assumptions'!$F$17/12))*CN12</f>
        <v>-41895.380372815656</v>
      </c>
      <c r="CO37" s="799">
        <f>((CN152*-'Venture Assumptions'!$F$17/12)*CO10+CO11*(CN196*-'Venture Assumptions'!$F$17/12))*CO12</f>
        <v>-42045.43871580335</v>
      </c>
      <c r="CP37" s="799">
        <f>((CO152*-'Venture Assumptions'!$F$17/12)*CP10+CP11*(CO196*-'Venture Assumptions'!$F$17/12))*CP12</f>
        <v>-42194.78976299744</v>
      </c>
      <c r="CQ37" s="799">
        <f>((CP152*-'Venture Assumptions'!$F$17/12)*CQ10+CQ11*(CP196*-'Venture Assumptions'!$F$17/12))*CQ12</f>
        <v>-42344.600092103043</v>
      </c>
      <c r="CR37" s="799">
        <f>((CQ152*-'Venture Assumptions'!$F$17/12)*CR10+CR11*(CQ196*-'Venture Assumptions'!$F$17/12))*CR12</f>
        <v>-42494.870958886546</v>
      </c>
      <c r="CS37" s="799">
        <f>((CR152*-'Venture Assumptions'!$F$17/12)*CS10+CS11*(CR196*-'Venture Assumptions'!$F$17/12))*CS12</f>
        <v>-42645.810723650524</v>
      </c>
      <c r="CT37" s="799">
        <f>((CS152*-'Venture Assumptions'!$F$17/12)*CT10+CT11*(CS196*-'Venture Assumptions'!$F$17/12))*CT12</f>
        <v>-42797.422080631724</v>
      </c>
      <c r="CU37" s="799">
        <f>((CT152*-'Venture Assumptions'!$F$17/12)*CU10+CU11*(CT196*-'Venture Assumptions'!$F$17/12))*CU12</f>
        <v>-42949.707735043899</v>
      </c>
      <c r="CV37" s="799">
        <f>((CU152*-'Venture Assumptions'!$F$17/12)*CV10+CV11*(CU196*-'Venture Assumptions'!$F$17/12))*CV12</f>
        <v>-43102.670403122851</v>
      </c>
      <c r="CW37" s="799">
        <f>((CV152*-'Venture Assumptions'!$F$17/12)*CW10+CW11*(CV196*-'Venture Assumptions'!$F$17/12))*CW12</f>
        <v>-43256.312812171636</v>
      </c>
      <c r="CX37" s="799">
        <f>((CW152*-'Venture Assumptions'!$F$17/12)*CX10+CX11*(CW196*-'Venture Assumptions'!$F$17/12))*CX12</f>
        <v>0</v>
      </c>
      <c r="CY37" s="799">
        <f>((CX152*-'Venture Assumptions'!$F$17/12)*CY10+CY11*(CX196*-'Venture Assumptions'!$F$17/12))*CY12</f>
        <v>0</v>
      </c>
      <c r="CZ37" s="799">
        <f>((CY152*-'Venture Assumptions'!$F$17/12)*CZ10+CZ11*(CY196*-'Venture Assumptions'!$F$17/12))*CZ12</f>
        <v>0</v>
      </c>
      <c r="DA37" s="799">
        <f>((CZ152*-'Venture Assumptions'!$F$17/12)*DA10+DA11*(CZ196*-'Venture Assumptions'!$F$17/12))*DA12</f>
        <v>0</v>
      </c>
      <c r="DB37" s="799">
        <f>((DA152*-'Venture Assumptions'!$F$17/12)*DB10+DB11*(DA196*-'Venture Assumptions'!$F$17/12))*DB12</f>
        <v>0</v>
      </c>
      <c r="DC37" s="799">
        <f>((DB152*-'Venture Assumptions'!$F$17/12)*DC10+DC11*(DB196*-'Venture Assumptions'!$F$17/12))*DC12</f>
        <v>0</v>
      </c>
      <c r="DD37" s="799">
        <f>((DC152*-'Venture Assumptions'!$F$17/12)*DD10+DD11*(DC196*-'Venture Assumptions'!$F$17/12))*DD12</f>
        <v>0</v>
      </c>
      <c r="DE37" s="799">
        <f>((DD152*-'Venture Assumptions'!$F$17/12)*DE10+DE11*(DD196*-'Venture Assumptions'!$F$17/12))*DE12</f>
        <v>0</v>
      </c>
      <c r="DF37" s="799">
        <f>((DE152*-'Venture Assumptions'!$F$17/12)*DF10+DF11*(DE196*-'Venture Assumptions'!$F$17/12))*DF12</f>
        <v>0</v>
      </c>
      <c r="DG37" s="799">
        <f>((DF152*-'Venture Assumptions'!$F$17/12)*DG10+DG11*(DF196*-'Venture Assumptions'!$F$17/12))*DG12</f>
        <v>0</v>
      </c>
      <c r="DH37" s="799">
        <f>((DG152*-'Venture Assumptions'!$F$17/12)*DH10+DH11*(DG196*-'Venture Assumptions'!$F$17/12))*DH12</f>
        <v>0</v>
      </c>
      <c r="DI37" s="799">
        <f>((DH152*-'Venture Assumptions'!$F$17/12)*DI10+DI11*(DH196*-'Venture Assumptions'!$F$17/12))*DI12</f>
        <v>0</v>
      </c>
      <c r="DJ37" s="799">
        <f>((DI152*-'Venture Assumptions'!$F$17/12)*DJ10+DJ11*(DI196*-'Venture Assumptions'!$F$17/12))*DJ12</f>
        <v>0</v>
      </c>
      <c r="DK37" s="799">
        <f>((DJ152*-'Venture Assumptions'!$F$17/12)*DK10+DK11*(DJ196*-'Venture Assumptions'!$F$17/12))*DK12</f>
        <v>0</v>
      </c>
      <c r="DL37" s="799">
        <f>((DK152*-'Venture Assumptions'!$F$17/12)*DL10+DL11*(DK196*-'Venture Assumptions'!$F$17/12))*DL12</f>
        <v>0</v>
      </c>
      <c r="DM37" s="799">
        <f>((DL152*-'Venture Assumptions'!$F$17/12)*DM10+DM11*(DL196*-'Venture Assumptions'!$F$17/12))*DM12</f>
        <v>0</v>
      </c>
      <c r="DN37" s="799">
        <f>((DM152*-'Venture Assumptions'!$F$17/12)*DN10+DN11*(DM196*-'Venture Assumptions'!$F$17/12))*DN12</f>
        <v>0</v>
      </c>
      <c r="DO37" s="799">
        <f>((DN152*-'Venture Assumptions'!$F$17/12)*DO10+DO11*(DN196*-'Venture Assumptions'!$F$17/12))*DO12</f>
        <v>0</v>
      </c>
      <c r="DP37" s="799">
        <f>((DO152*-'Venture Assumptions'!$F$17/12)*DP10+DP11*(DO196*-'Venture Assumptions'!$F$17/12))*DP12</f>
        <v>0</v>
      </c>
      <c r="DQ37" s="799">
        <f>((DP152*-'Venture Assumptions'!$F$17/12)*DQ10+DQ11*(DP196*-'Venture Assumptions'!$F$17/12))*DQ12</f>
        <v>0</v>
      </c>
      <c r="DR37" s="799">
        <f>((DQ152*-'Venture Assumptions'!$F$17/12)*DR10+DR11*(DQ196*-'Venture Assumptions'!$F$17/12))*DR12</f>
        <v>0</v>
      </c>
      <c r="DS37" s="799">
        <f>((DR152*-'Venture Assumptions'!$F$17/12)*DS10+DS11*(DR196*-'Venture Assumptions'!$F$17/12))*DS12</f>
        <v>0</v>
      </c>
      <c r="DT37" s="799">
        <f>((DS152*-'Venture Assumptions'!$F$17/12)*DT10+DT11*(DS196*-'Venture Assumptions'!$F$17/12))*DT12</f>
        <v>0</v>
      </c>
      <c r="DU37" s="799">
        <f>((DT152*-'Venture Assumptions'!$F$17/12)*DU10+DU11*(DT196*-'Venture Assumptions'!$F$17/12))*DU12</f>
        <v>0</v>
      </c>
      <c r="DV37" s="799">
        <f>((DU152*-'Venture Assumptions'!$F$17/12)*DV10+DV11*(DU196*-'Venture Assumptions'!$F$17/12))*DV12</f>
        <v>0</v>
      </c>
      <c r="DW37" s="799">
        <f>((DV152*-'Venture Assumptions'!$F$17/12)*DW10+DW11*(DV196*-'Venture Assumptions'!$F$17/12))*DW12</f>
        <v>0</v>
      </c>
      <c r="DX37" s="799">
        <f>((DW152*-'Venture Assumptions'!$F$17/12)*DX10+DX11*(DW196*-'Venture Assumptions'!$F$17/12))*DX12</f>
        <v>0</v>
      </c>
      <c r="DY37" s="799">
        <f>((DX152*-'Venture Assumptions'!$F$17/12)*DY10+DY11*(DX196*-'Venture Assumptions'!$F$17/12))*DY12</f>
        <v>0</v>
      </c>
      <c r="DZ37" s="799">
        <f>((DY152*-'Venture Assumptions'!$F$17/12)*DZ10+DZ11*(DY196*-'Venture Assumptions'!$F$17/12))*DZ12</f>
        <v>0</v>
      </c>
      <c r="EA37" s="799">
        <f>((DZ152*-'Venture Assumptions'!$F$17/12)*EA10+EA11*(DZ196*-'Venture Assumptions'!$F$17/12))*EA12</f>
        <v>0</v>
      </c>
      <c r="EB37" s="799">
        <f>((EA152*-'Venture Assumptions'!$F$17/12)*EB10+EB11*(EA196*-'Venture Assumptions'!$F$17/12))*EB12</f>
        <v>0</v>
      </c>
      <c r="EC37" s="799">
        <f>((EB152*-'Venture Assumptions'!$F$17/12)*EC10+EC11*(EB196*-'Venture Assumptions'!$F$17/12))*EC12</f>
        <v>0</v>
      </c>
      <c r="ED37" s="799">
        <f>((EC152*-'Venture Assumptions'!$F$17/12)*ED10+ED11*(EC196*-'Venture Assumptions'!$F$17/12))*ED12</f>
        <v>0</v>
      </c>
      <c r="EE37" s="799">
        <f>((ED152*-'Venture Assumptions'!$F$17/12)*EE10+EE11*(ED196*-'Venture Assumptions'!$F$17/12))*EE12</f>
        <v>0</v>
      </c>
      <c r="EF37" s="799">
        <f>((EE152*-'Venture Assumptions'!$F$17/12)*EF10+EF11*(EE196*-'Venture Assumptions'!$F$17/12))*EF12</f>
        <v>0</v>
      </c>
      <c r="EG37" s="799">
        <f>((EF152*-'Venture Assumptions'!$F$17/12)*EG10+EG11*(EF196*-'Venture Assumptions'!$F$17/12))*EG12</f>
        <v>0</v>
      </c>
      <c r="EH37" s="782"/>
    </row>
    <row r="38" spans="1:138" ht="12.75" customHeight="1" x14ac:dyDescent="0.3">
      <c r="A38" s="782"/>
      <c r="B38" s="782" t="s">
        <v>25</v>
      </c>
      <c r="C38" s="798">
        <f>SUM(E38:EG38)</f>
        <v>68643628.415669382</v>
      </c>
      <c r="D38" s="782"/>
      <c r="E38" s="798">
        <f>SUM(E34,E37)</f>
        <v>-1943435.5218400576</v>
      </c>
      <c r="F38" s="798">
        <f t="shared" ref="F38:BQ38" si="35">SUM(F34,F37)</f>
        <v>-15208647.652673729</v>
      </c>
      <c r="G38" s="798">
        <f t="shared" si="35"/>
        <v>-491498.0015560445</v>
      </c>
      <c r="H38" s="798">
        <f t="shared" si="35"/>
        <v>-739130.23477478127</v>
      </c>
      <c r="I38" s="798">
        <f t="shared" si="35"/>
        <v>-1245669.8451237862</v>
      </c>
      <c r="J38" s="798">
        <f t="shared" si="35"/>
        <v>-2024138.5150061427</v>
      </c>
      <c r="K38" s="798">
        <f t="shared" si="35"/>
        <v>-2083605.0857725968</v>
      </c>
      <c r="L38" s="798">
        <f t="shared" si="35"/>
        <v>-2651537.8825037964</v>
      </c>
      <c r="M38" s="798">
        <f t="shared" si="35"/>
        <v>-3143136.2409976111</v>
      </c>
      <c r="N38" s="798">
        <f t="shared" si="35"/>
        <v>-3677476.1526163789</v>
      </c>
      <c r="O38" s="798">
        <f t="shared" si="35"/>
        <v>-2096036.1763591815</v>
      </c>
      <c r="P38" s="798">
        <f t="shared" si="35"/>
        <v>-20243.445243114293</v>
      </c>
      <c r="Q38" s="798">
        <f t="shared" si="35"/>
        <v>-21536.504033744117</v>
      </c>
      <c r="R38" s="798">
        <f t="shared" si="35"/>
        <v>-22846.387199595178</v>
      </c>
      <c r="S38" s="798">
        <f t="shared" si="35"/>
        <v>-24169.242963682955</v>
      </c>
      <c r="T38" s="798">
        <f t="shared" si="35"/>
        <v>-25405.192141294679</v>
      </c>
      <c r="U38" s="798">
        <f t="shared" si="35"/>
        <v>-26605.498258502568</v>
      </c>
      <c r="V38" s="798">
        <f t="shared" si="35"/>
        <v>-27716.271931473133</v>
      </c>
      <c r="W38" s="798">
        <f t="shared" si="35"/>
        <v>-28714.745112786575</v>
      </c>
      <c r="X38" s="798">
        <f t="shared" si="35"/>
        <v>-29708.008202723711</v>
      </c>
      <c r="Y38" s="798">
        <f t="shared" si="35"/>
        <v>-30619.50573784305</v>
      </c>
      <c r="Z38" s="798">
        <f t="shared" si="35"/>
        <v>-31386.510991997875</v>
      </c>
      <c r="AA38" s="798">
        <f t="shared" si="35"/>
        <v>-32040.043232683936</v>
      </c>
      <c r="AB38" s="798">
        <f t="shared" si="35"/>
        <v>-32583.31885140936</v>
      </c>
      <c r="AC38" s="798">
        <f t="shared" si="35"/>
        <v>11164.455298793164</v>
      </c>
      <c r="AD38" s="798">
        <f t="shared" si="35"/>
        <v>51087.028808271949</v>
      </c>
      <c r="AE38" s="798">
        <f t="shared" si="35"/>
        <v>96690.409152741282</v>
      </c>
      <c r="AF38" s="798">
        <f t="shared" si="35"/>
        <v>186128.38333325498</v>
      </c>
      <c r="AG38" s="798">
        <f t="shared" si="35"/>
        <v>189774.72498510519</v>
      </c>
      <c r="AH38" s="798">
        <f t="shared" si="35"/>
        <v>191077.87392284846</v>
      </c>
      <c r="AI38" s="798">
        <f t="shared" si="35"/>
        <v>424631.52148606483</v>
      </c>
      <c r="AJ38" s="798">
        <f t="shared" si="35"/>
        <v>427220.46900700842</v>
      </c>
      <c r="AK38" s="798">
        <f t="shared" si="35"/>
        <v>430016.09348074743</v>
      </c>
      <c r="AL38" s="798">
        <f t="shared" si="35"/>
        <v>14315530.3242827</v>
      </c>
      <c r="AM38" s="798">
        <f t="shared" si="35"/>
        <v>205293.34606116661</v>
      </c>
      <c r="AN38" s="798">
        <f t="shared" si="35"/>
        <v>207793.40423970085</v>
      </c>
      <c r="AO38" s="798">
        <f t="shared" si="35"/>
        <v>210260.10262606523</v>
      </c>
      <c r="AP38" s="798">
        <f t="shared" si="35"/>
        <v>211885.65974115423</v>
      </c>
      <c r="AQ38" s="798">
        <f t="shared" si="35"/>
        <v>215188.01193420406</v>
      </c>
      <c r="AR38" s="798">
        <f t="shared" si="35"/>
        <v>218012.9416200624</v>
      </c>
      <c r="AS38" s="798">
        <f t="shared" si="35"/>
        <v>213181.07686987985</v>
      </c>
      <c r="AT38" s="798">
        <f t="shared" si="35"/>
        <v>214770.00861920218</v>
      </c>
      <c r="AU38" s="798">
        <f t="shared" si="35"/>
        <v>216264.46058470523</v>
      </c>
      <c r="AV38" s="798">
        <f t="shared" si="35"/>
        <v>218515.59404432448</v>
      </c>
      <c r="AW38" s="798">
        <f t="shared" si="35"/>
        <v>220675.94358853242</v>
      </c>
      <c r="AX38" s="798">
        <f t="shared" si="35"/>
        <v>222710.56184153532</v>
      </c>
      <c r="AY38" s="798">
        <f t="shared" si="35"/>
        <v>224665.72728851769</v>
      </c>
      <c r="AZ38" s="798">
        <f t="shared" si="35"/>
        <v>226548.52262565284</v>
      </c>
      <c r="BA38" s="798">
        <f t="shared" si="35"/>
        <v>228304.85297686295</v>
      </c>
      <c r="BB38" s="798">
        <f t="shared" si="35"/>
        <v>229344.9930368007</v>
      </c>
      <c r="BC38" s="798">
        <f t="shared" si="35"/>
        <v>231542.10904179295</v>
      </c>
      <c r="BD38" s="798">
        <f t="shared" si="35"/>
        <v>233317.7080138704</v>
      </c>
      <c r="BE38" s="798">
        <f t="shared" si="35"/>
        <v>229013.16839337221</v>
      </c>
      <c r="BF38" s="798">
        <f t="shared" si="35"/>
        <v>229911.66091752306</v>
      </c>
      <c r="BG38" s="798">
        <f t="shared" si="35"/>
        <v>230813.78680437503</v>
      </c>
      <c r="BH38" s="798">
        <f t="shared" si="35"/>
        <v>232345.63973502186</v>
      </c>
      <c r="BI38" s="798">
        <f t="shared" si="35"/>
        <v>233902.4265315792</v>
      </c>
      <c r="BJ38" s="798">
        <f t="shared" si="35"/>
        <v>235545.94755839423</v>
      </c>
      <c r="BK38" s="798">
        <f t="shared" si="35"/>
        <v>237262.50476525677</v>
      </c>
      <c r="BL38" s="798">
        <f t="shared" si="35"/>
        <v>238991.57351446556</v>
      </c>
      <c r="BM38" s="798">
        <f t="shared" si="35"/>
        <v>240811.21361387809</v>
      </c>
      <c r="BN38" s="798">
        <f t="shared" si="35"/>
        <v>242002.34658988175</v>
      </c>
      <c r="BO38" s="798">
        <f t="shared" si="35"/>
        <v>244627.30669974274</v>
      </c>
      <c r="BP38" s="798">
        <f t="shared" si="35"/>
        <v>246922.0418636211</v>
      </c>
      <c r="BQ38" s="798">
        <f t="shared" si="35"/>
        <v>242733.25370419392</v>
      </c>
      <c r="BR38" s="798">
        <f t="shared" ref="BR38:EC38" si="36">SUM(BR34,BR37)</f>
        <v>244033.96696505454</v>
      </c>
      <c r="BS38" s="798">
        <f t="shared" si="36"/>
        <v>245313.14997026659</v>
      </c>
      <c r="BT38" s="798">
        <f t="shared" si="36"/>
        <v>247377.11673495109</v>
      </c>
      <c r="BU38" s="798">
        <f t="shared" si="36"/>
        <v>249414.97281073497</v>
      </c>
      <c r="BV38" s="798">
        <f t="shared" si="36"/>
        <v>251479.3205969065</v>
      </c>
      <c r="BW38" s="798">
        <f t="shared" si="36"/>
        <v>253576.88775609701</v>
      </c>
      <c r="BX38" s="798">
        <f t="shared" si="36"/>
        <v>255660.88139998799</v>
      </c>
      <c r="BY38" s="798">
        <f t="shared" si="36"/>
        <v>257780.55934433491</v>
      </c>
      <c r="BZ38" s="798">
        <f t="shared" si="36"/>
        <v>259130.53765731424</v>
      </c>
      <c r="CA38" s="798">
        <f t="shared" si="36"/>
        <v>262044.06866613019</v>
      </c>
      <c r="CB38" s="798">
        <f t="shared" si="36"/>
        <v>264568.88723862561</v>
      </c>
      <c r="CC38" s="798">
        <f t="shared" si="36"/>
        <v>260334.62676779419</v>
      </c>
      <c r="CD38" s="798">
        <f t="shared" si="36"/>
        <v>261766.27506953065</v>
      </c>
      <c r="CE38" s="798">
        <f t="shared" si="36"/>
        <v>263169.39895795332</v>
      </c>
      <c r="CF38" s="798">
        <f t="shared" si="36"/>
        <v>265374.12330500968</v>
      </c>
      <c r="CG38" s="798">
        <f t="shared" si="36"/>
        <v>267569.84631198365</v>
      </c>
      <c r="CH38" s="798">
        <f t="shared" si="36"/>
        <v>269785.75663471175</v>
      </c>
      <c r="CI38" s="798">
        <f t="shared" si="36"/>
        <v>271981.27502716507</v>
      </c>
      <c r="CJ38" s="798">
        <f t="shared" si="36"/>
        <v>274209.9614994725</v>
      </c>
      <c r="CK38" s="798">
        <f t="shared" si="36"/>
        <v>276471.37765448482</v>
      </c>
      <c r="CL38" s="798">
        <f t="shared" si="36"/>
        <v>277910.21305872517</v>
      </c>
      <c r="CM38" s="798">
        <f t="shared" si="36"/>
        <v>280971.24051798158</v>
      </c>
      <c r="CN38" s="798">
        <f t="shared" si="36"/>
        <v>283611.40197433194</v>
      </c>
      <c r="CO38" s="798">
        <f t="shared" si="36"/>
        <v>279273.11677509604</v>
      </c>
      <c r="CP38" s="798">
        <f t="shared" si="36"/>
        <v>280770.93938649778</v>
      </c>
      <c r="CQ38" s="798">
        <f t="shared" si="36"/>
        <v>282239.46279127692</v>
      </c>
      <c r="CR38" s="798">
        <f t="shared" si="36"/>
        <v>284516.27143163967</v>
      </c>
      <c r="CS38" s="798">
        <f t="shared" si="36"/>
        <v>286814.10642290174</v>
      </c>
      <c r="CT38" s="798">
        <f t="shared" si="36"/>
        <v>289146.38855799765</v>
      </c>
      <c r="CU38" s="798">
        <f t="shared" si="36"/>
        <v>291451.51423692808</v>
      </c>
      <c r="CV38" s="798">
        <f t="shared" si="36"/>
        <v>293779.70006957493</v>
      </c>
      <c r="CW38" s="798">
        <f t="shared" si="36"/>
        <v>72613507.873999998</v>
      </c>
      <c r="CX38" s="798">
        <f t="shared" si="36"/>
        <v>0</v>
      </c>
      <c r="CY38" s="798">
        <f t="shared" si="36"/>
        <v>0</v>
      </c>
      <c r="CZ38" s="798">
        <f t="shared" si="36"/>
        <v>0</v>
      </c>
      <c r="DA38" s="798">
        <f t="shared" si="36"/>
        <v>0</v>
      </c>
      <c r="DB38" s="798">
        <f t="shared" si="36"/>
        <v>0</v>
      </c>
      <c r="DC38" s="798">
        <f t="shared" si="36"/>
        <v>0</v>
      </c>
      <c r="DD38" s="798">
        <f t="shared" si="36"/>
        <v>0</v>
      </c>
      <c r="DE38" s="798">
        <f t="shared" si="36"/>
        <v>0</v>
      </c>
      <c r="DF38" s="798">
        <f t="shared" si="36"/>
        <v>0</v>
      </c>
      <c r="DG38" s="798">
        <f t="shared" si="36"/>
        <v>0</v>
      </c>
      <c r="DH38" s="798">
        <f t="shared" si="36"/>
        <v>0</v>
      </c>
      <c r="DI38" s="798">
        <f t="shared" si="36"/>
        <v>0</v>
      </c>
      <c r="DJ38" s="798">
        <f t="shared" si="36"/>
        <v>0</v>
      </c>
      <c r="DK38" s="798">
        <f t="shared" si="36"/>
        <v>0</v>
      </c>
      <c r="DL38" s="798">
        <f t="shared" si="36"/>
        <v>0</v>
      </c>
      <c r="DM38" s="798">
        <f t="shared" si="36"/>
        <v>0</v>
      </c>
      <c r="DN38" s="798">
        <f t="shared" si="36"/>
        <v>0</v>
      </c>
      <c r="DO38" s="798">
        <f t="shared" si="36"/>
        <v>0</v>
      </c>
      <c r="DP38" s="798">
        <f t="shared" si="36"/>
        <v>0</v>
      </c>
      <c r="DQ38" s="798">
        <f t="shared" si="36"/>
        <v>0</v>
      </c>
      <c r="DR38" s="798">
        <f t="shared" si="36"/>
        <v>0</v>
      </c>
      <c r="DS38" s="798">
        <f t="shared" si="36"/>
        <v>0</v>
      </c>
      <c r="DT38" s="798">
        <f t="shared" si="36"/>
        <v>0</v>
      </c>
      <c r="DU38" s="798">
        <f t="shared" si="36"/>
        <v>0</v>
      </c>
      <c r="DV38" s="798">
        <f t="shared" si="36"/>
        <v>0</v>
      </c>
      <c r="DW38" s="798">
        <f t="shared" si="36"/>
        <v>0</v>
      </c>
      <c r="DX38" s="798">
        <f t="shared" si="36"/>
        <v>0</v>
      </c>
      <c r="DY38" s="798">
        <f t="shared" si="36"/>
        <v>0</v>
      </c>
      <c r="DZ38" s="798">
        <f t="shared" si="36"/>
        <v>0</v>
      </c>
      <c r="EA38" s="798">
        <f t="shared" si="36"/>
        <v>0</v>
      </c>
      <c r="EB38" s="798">
        <f t="shared" si="36"/>
        <v>0</v>
      </c>
      <c r="EC38" s="798">
        <f t="shared" si="36"/>
        <v>0</v>
      </c>
      <c r="ED38" s="798">
        <f>SUM(ED34,ED37)</f>
        <v>0</v>
      </c>
      <c r="EE38" s="798">
        <f>SUM(EE34,EE37)</f>
        <v>0</v>
      </c>
      <c r="EF38" s="798">
        <f>SUM(EF34,EF37)</f>
        <v>0</v>
      </c>
      <c r="EG38" s="798">
        <f>SUM(EG34,EG37)</f>
        <v>0</v>
      </c>
      <c r="EH38" s="782"/>
    </row>
    <row r="39" spans="1:138" ht="12.75" customHeight="1" x14ac:dyDescent="0.3">
      <c r="A39" s="782"/>
      <c r="B39" s="800" t="s">
        <v>26</v>
      </c>
      <c r="C39" s="801">
        <f>XIRR(OFFSET(E38,0,$C$141):EG38,OFFSET(E4,0,$C$141):EG4)</f>
        <v>0.194367915391922</v>
      </c>
      <c r="D39" s="782"/>
      <c r="EH39" s="782"/>
    </row>
    <row r="40" spans="1:138" ht="12.75" customHeight="1" x14ac:dyDescent="0.3">
      <c r="A40" s="782"/>
      <c r="B40" s="796"/>
      <c r="C40" s="823"/>
      <c r="D40" s="782"/>
      <c r="E40" s="798"/>
      <c r="F40" s="798"/>
      <c r="G40" s="798"/>
      <c r="H40" s="798"/>
      <c r="I40" s="798"/>
      <c r="J40" s="798"/>
      <c r="K40" s="798"/>
      <c r="L40" s="798"/>
      <c r="M40" s="798"/>
      <c r="N40" s="798"/>
      <c r="O40" s="798"/>
      <c r="P40" s="798"/>
      <c r="Q40" s="798"/>
      <c r="R40" s="798"/>
      <c r="S40" s="798"/>
      <c r="T40" s="798"/>
      <c r="U40" s="798"/>
      <c r="V40" s="798"/>
      <c r="W40" s="798"/>
      <c r="X40" s="798"/>
      <c r="Y40" s="798"/>
      <c r="Z40" s="798"/>
      <c r="AA40" s="798"/>
      <c r="AB40" s="798"/>
      <c r="AC40" s="798"/>
      <c r="AD40" s="798"/>
      <c r="AE40" s="798"/>
      <c r="AF40" s="798"/>
      <c r="AG40" s="798"/>
      <c r="AH40" s="798"/>
      <c r="AI40" s="798"/>
      <c r="AJ40" s="798"/>
      <c r="AK40" s="798"/>
      <c r="AL40" s="798"/>
      <c r="AM40" s="798"/>
      <c r="AN40" s="798"/>
      <c r="AO40" s="798"/>
      <c r="AP40" s="798"/>
      <c r="AQ40" s="798"/>
      <c r="AR40" s="798"/>
      <c r="AS40" s="798"/>
      <c r="AT40" s="798"/>
      <c r="AU40" s="798"/>
      <c r="AV40" s="798"/>
      <c r="AW40" s="798"/>
      <c r="AX40" s="798"/>
      <c r="AY40" s="798"/>
      <c r="AZ40" s="798"/>
      <c r="BA40" s="798"/>
      <c r="BB40" s="798"/>
      <c r="BC40" s="798"/>
      <c r="BD40" s="798"/>
      <c r="BE40" s="798"/>
      <c r="BF40" s="798"/>
      <c r="BG40" s="798"/>
      <c r="BH40" s="798"/>
      <c r="BI40" s="798"/>
      <c r="BJ40" s="798"/>
      <c r="BK40" s="798"/>
      <c r="BL40" s="798"/>
      <c r="BM40" s="798"/>
      <c r="BN40" s="798"/>
      <c r="BO40" s="798"/>
      <c r="BP40" s="798"/>
      <c r="BQ40" s="798"/>
      <c r="BR40" s="798"/>
      <c r="BS40" s="798"/>
      <c r="BT40" s="798"/>
      <c r="BU40" s="798"/>
      <c r="BV40" s="798"/>
      <c r="BW40" s="798"/>
      <c r="BX40" s="798"/>
      <c r="BY40" s="798"/>
      <c r="BZ40" s="798"/>
      <c r="CA40" s="798"/>
      <c r="CB40" s="798"/>
      <c r="CC40" s="798"/>
      <c r="CD40" s="798"/>
      <c r="CE40" s="798"/>
      <c r="CF40" s="798"/>
      <c r="CG40" s="798"/>
      <c r="CH40" s="798"/>
      <c r="CI40" s="798"/>
      <c r="CJ40" s="798"/>
      <c r="CK40" s="798"/>
      <c r="CL40" s="798"/>
      <c r="CM40" s="798"/>
      <c r="CN40" s="798"/>
      <c r="CO40" s="798"/>
      <c r="CP40" s="798"/>
      <c r="CQ40" s="798"/>
      <c r="CR40" s="798"/>
      <c r="CS40" s="798"/>
      <c r="CT40" s="798"/>
      <c r="CU40" s="798"/>
      <c r="CV40" s="798"/>
      <c r="CW40" s="798"/>
      <c r="CX40" s="798"/>
      <c r="CY40" s="798"/>
      <c r="CZ40" s="798"/>
      <c r="DA40" s="798"/>
      <c r="DB40" s="798"/>
      <c r="DC40" s="798"/>
      <c r="DD40" s="798"/>
      <c r="DE40" s="798"/>
      <c r="DF40" s="798"/>
      <c r="DG40" s="798"/>
      <c r="DH40" s="798"/>
      <c r="DI40" s="798"/>
      <c r="DJ40" s="798"/>
      <c r="DK40" s="798"/>
      <c r="DL40" s="798"/>
      <c r="DM40" s="798"/>
      <c r="DN40" s="798"/>
      <c r="DO40" s="798"/>
      <c r="DP40" s="798"/>
      <c r="DQ40" s="798"/>
      <c r="DR40" s="798"/>
      <c r="DS40" s="798"/>
      <c r="DT40" s="798"/>
      <c r="DU40" s="798"/>
      <c r="DV40" s="798"/>
      <c r="DW40" s="798"/>
      <c r="DX40" s="798"/>
      <c r="DY40" s="798"/>
      <c r="DZ40" s="798"/>
      <c r="EA40" s="798"/>
      <c r="EB40" s="798"/>
      <c r="EC40" s="798"/>
      <c r="ED40" s="798"/>
      <c r="EE40" s="798"/>
      <c r="EF40" s="798"/>
      <c r="EG40" s="798"/>
      <c r="EH40" s="782"/>
    </row>
    <row r="41" spans="1:138" s="337" customFormat="1" ht="12.75" customHeight="1" x14ac:dyDescent="0.3">
      <c r="A41" s="803"/>
      <c r="B41" s="803" t="s">
        <v>27</v>
      </c>
      <c r="C41" s="802">
        <f>SUM(E41:EG41)</f>
        <v>87533229.634661928</v>
      </c>
      <c r="D41" s="803"/>
      <c r="E41" s="802">
        <f t="shared" ref="E41:BP41" si="37">E37+E23</f>
        <v>-1121852.0714285714</v>
      </c>
      <c r="F41" s="802">
        <f t="shared" si="37"/>
        <v>-15205647.652673729</v>
      </c>
      <c r="G41" s="802">
        <f t="shared" si="37"/>
        <v>-488498.0015560445</v>
      </c>
      <c r="H41" s="802">
        <f t="shared" si="37"/>
        <v>-736130.23477478127</v>
      </c>
      <c r="I41" s="802">
        <f t="shared" si="37"/>
        <v>-1242669.8451237862</v>
      </c>
      <c r="J41" s="802">
        <f t="shared" si="37"/>
        <v>-2021138.5150061427</v>
      </c>
      <c r="K41" s="802">
        <f t="shared" si="37"/>
        <v>-2080605.0857725968</v>
      </c>
      <c r="L41" s="802">
        <f t="shared" si="37"/>
        <v>-2648537.8825037964</v>
      </c>
      <c r="M41" s="802">
        <f t="shared" si="37"/>
        <v>-3140136.2409976111</v>
      </c>
      <c r="N41" s="802">
        <f t="shared" si="37"/>
        <v>-3674476.1526163789</v>
      </c>
      <c r="O41" s="802">
        <f t="shared" si="37"/>
        <v>-3804764.5163591816</v>
      </c>
      <c r="P41" s="802">
        <f t="shared" si="37"/>
        <v>-3993471.3364014477</v>
      </c>
      <c r="Q41" s="802">
        <f t="shared" si="37"/>
        <v>-4023648.2885299944</v>
      </c>
      <c r="R41" s="802">
        <f t="shared" si="37"/>
        <v>-4042016.0129416785</v>
      </c>
      <c r="S41" s="802">
        <f t="shared" si="37"/>
        <v>-3760544.5817786828</v>
      </c>
      <c r="T41" s="802">
        <f t="shared" si="37"/>
        <v>-3634193.4299792112</v>
      </c>
      <c r="U41" s="802">
        <f t="shared" si="37"/>
        <v>-3346712.780133503</v>
      </c>
      <c r="V41" s="802">
        <f t="shared" si="37"/>
        <v>-2992297.3688406399</v>
      </c>
      <c r="W41" s="802">
        <f t="shared" si="37"/>
        <v>-2960865.6941773701</v>
      </c>
      <c r="X41" s="802">
        <f t="shared" si="37"/>
        <v>-2699843.5857552239</v>
      </c>
      <c r="Y41" s="802">
        <f t="shared" si="37"/>
        <v>-2251893.6782995095</v>
      </c>
      <c r="Z41" s="802">
        <f t="shared" si="37"/>
        <v>-1899197.8719040812</v>
      </c>
      <c r="AA41" s="802">
        <f t="shared" si="37"/>
        <v>-1557888.7576935173</v>
      </c>
      <c r="AB41" s="802">
        <f t="shared" si="37"/>
        <v>-1014965.1186047426</v>
      </c>
      <c r="AC41" s="802">
        <f t="shared" si="37"/>
        <v>-753399.19773495675</v>
      </c>
      <c r="AD41" s="802">
        <f t="shared" si="37"/>
        <v>-395033.43921714468</v>
      </c>
      <c r="AE41" s="802">
        <f t="shared" si="37"/>
        <v>328945.12333232467</v>
      </c>
      <c r="AF41" s="802">
        <f t="shared" si="37"/>
        <v>418383.09751283837</v>
      </c>
      <c r="AG41" s="802">
        <f t="shared" si="37"/>
        <v>422029.43916468858</v>
      </c>
      <c r="AH41" s="802">
        <f t="shared" si="37"/>
        <v>423332.58810243185</v>
      </c>
      <c r="AI41" s="802">
        <f t="shared" si="37"/>
        <v>424631.52148606483</v>
      </c>
      <c r="AJ41" s="802">
        <f t="shared" si="37"/>
        <v>427220.46900700842</v>
      </c>
      <c r="AK41" s="802">
        <f t="shared" si="37"/>
        <v>430016.09348074743</v>
      </c>
      <c r="AL41" s="802">
        <f t="shared" si="37"/>
        <v>423147.92273143842</v>
      </c>
      <c r="AM41" s="802">
        <f t="shared" si="37"/>
        <v>425780.01170942711</v>
      </c>
      <c r="AN41" s="802">
        <f t="shared" si="37"/>
        <v>428403.83651699527</v>
      </c>
      <c r="AO41" s="802">
        <f t="shared" si="37"/>
        <v>431019.6282943195</v>
      </c>
      <c r="AP41" s="802">
        <f t="shared" si="37"/>
        <v>432790.4558929078</v>
      </c>
      <c r="AQ41" s="802">
        <f t="shared" si="37"/>
        <v>436228.04343737313</v>
      </c>
      <c r="AR41" s="802">
        <f t="shared" si="37"/>
        <v>439219.74746119615</v>
      </c>
      <c r="AS41" s="802">
        <f t="shared" si="37"/>
        <v>434548.44482435496</v>
      </c>
      <c r="AT41" s="802">
        <f t="shared" si="37"/>
        <v>436279.77987658122</v>
      </c>
      <c r="AU41" s="802">
        <f t="shared" si="37"/>
        <v>437979.71311808663</v>
      </c>
      <c r="AV41" s="802">
        <f t="shared" si="37"/>
        <v>440424.38126789412</v>
      </c>
      <c r="AW41" s="802">
        <f t="shared" si="37"/>
        <v>442793.55713213235</v>
      </c>
      <c r="AX41" s="802">
        <f t="shared" si="37"/>
        <v>445085.743775287</v>
      </c>
      <c r="AY41" s="802">
        <f t="shared" si="37"/>
        <v>447299.43333928625</v>
      </c>
      <c r="AZ41" s="802">
        <f t="shared" si="37"/>
        <v>449433.10697851732</v>
      </c>
      <c r="BA41" s="802">
        <f t="shared" si="37"/>
        <v>451485.23479448428</v>
      </c>
      <c r="BB41" s="802">
        <f t="shared" si="37"/>
        <v>452839.80899304885</v>
      </c>
      <c r="BC41" s="802">
        <f t="shared" si="37"/>
        <v>455348.49195607245</v>
      </c>
      <c r="BD41" s="802">
        <f t="shared" si="37"/>
        <v>457473.88696078648</v>
      </c>
      <c r="BE41" s="802">
        <f t="shared" si="37"/>
        <v>453538.73577365989</v>
      </c>
      <c r="BF41" s="802">
        <f t="shared" si="37"/>
        <v>454798.97091626143</v>
      </c>
      <c r="BG41" s="802">
        <f t="shared" si="37"/>
        <v>456080.99823200144</v>
      </c>
      <c r="BH41" s="802">
        <f t="shared" si="37"/>
        <v>457978.41668855934</v>
      </c>
      <c r="BI41" s="802">
        <f t="shared" si="37"/>
        <v>459926.57363638619</v>
      </c>
      <c r="BJ41" s="802">
        <f t="shared" si="37"/>
        <v>461926.1029204611</v>
      </c>
      <c r="BK41" s="802">
        <f t="shared" si="37"/>
        <v>463977.64239355072</v>
      </c>
      <c r="BL41" s="802">
        <f t="shared" si="37"/>
        <v>466081.83393732191</v>
      </c>
      <c r="BM41" s="802">
        <f t="shared" si="37"/>
        <v>468239.32348355692</v>
      </c>
      <c r="BN41" s="802">
        <f t="shared" si="37"/>
        <v>469749.669232513</v>
      </c>
      <c r="BO41" s="802">
        <f t="shared" si="37"/>
        <v>472711.0451988987</v>
      </c>
      <c r="BP41" s="802">
        <f t="shared" si="37"/>
        <v>475335.98399467848</v>
      </c>
      <c r="BQ41" s="802">
        <f t="shared" ref="BQ41:EB41" si="38">BQ37+BQ23</f>
        <v>471481.70023804583</v>
      </c>
      <c r="BR41" s="802">
        <f t="shared" si="38"/>
        <v>473070.0872853098</v>
      </c>
      <c r="BS41" s="802">
        <f t="shared" si="38"/>
        <v>474662.74870228348</v>
      </c>
      <c r="BT41" s="802">
        <f t="shared" si="38"/>
        <v>477003.87625785486</v>
      </c>
      <c r="BU41" s="802">
        <f t="shared" si="38"/>
        <v>479354.2550185353</v>
      </c>
      <c r="BV41" s="802">
        <f t="shared" si="38"/>
        <v>481713.92240603111</v>
      </c>
      <c r="BW41" s="802">
        <f t="shared" si="38"/>
        <v>484082.91599491768</v>
      </c>
      <c r="BX41" s="802">
        <f t="shared" si="38"/>
        <v>486461.27351326786</v>
      </c>
      <c r="BY41" s="802">
        <f t="shared" si="38"/>
        <v>488849.03284328291</v>
      </c>
      <c r="BZ41" s="802">
        <f t="shared" si="38"/>
        <v>490483.3398986375</v>
      </c>
      <c r="CA41" s="802">
        <f t="shared" si="38"/>
        <v>493652.04998044251</v>
      </c>
      <c r="CB41" s="802">
        <f t="shared" si="38"/>
        <v>496422.01249384304</v>
      </c>
      <c r="CC41" s="802">
        <f t="shared" si="38"/>
        <v>492452.96622808435</v>
      </c>
      <c r="CD41" s="802">
        <f t="shared" si="38"/>
        <v>494105.38743566518</v>
      </c>
      <c r="CE41" s="802">
        <f t="shared" si="38"/>
        <v>495762.25680677907</v>
      </c>
      <c r="CF41" s="802">
        <f t="shared" si="38"/>
        <v>498199.22278206132</v>
      </c>
      <c r="CG41" s="802">
        <f t="shared" si="38"/>
        <v>500645.82409113122</v>
      </c>
      <c r="CH41" s="802">
        <f t="shared" si="38"/>
        <v>503102.09972043883</v>
      </c>
      <c r="CI41" s="802">
        <f t="shared" si="38"/>
        <v>505568.08881572308</v>
      </c>
      <c r="CJ41" s="802">
        <f t="shared" si="38"/>
        <v>508043.83068266581</v>
      </c>
      <c r="CK41" s="802">
        <f t="shared" si="38"/>
        <v>510529.36478755041</v>
      </c>
      <c r="CL41" s="802">
        <f t="shared" si="38"/>
        <v>512229.5914894031</v>
      </c>
      <c r="CM41" s="802">
        <f t="shared" si="38"/>
        <v>515529.07280150871</v>
      </c>
      <c r="CN41" s="802">
        <f t="shared" si="38"/>
        <v>518412.94460846647</v>
      </c>
      <c r="CO41" s="802">
        <f t="shared" si="38"/>
        <v>514325.05984789389</v>
      </c>
      <c r="CP41" s="802">
        <f t="shared" si="38"/>
        <v>516044.13322857255</v>
      </c>
      <c r="CQ41" s="802">
        <f t="shared" si="38"/>
        <v>517767.83570634067</v>
      </c>
      <c r="CR41" s="802">
        <f t="shared" si="38"/>
        <v>520304.60205401795</v>
      </c>
      <c r="CS41" s="802">
        <f t="shared" si="38"/>
        <v>522851.40389364574</v>
      </c>
      <c r="CT41" s="802">
        <f t="shared" si="38"/>
        <v>525408.28184204642</v>
      </c>
      <c r="CU41" s="802">
        <f t="shared" si="38"/>
        <v>527975.27668202168</v>
      </c>
      <c r="CV41" s="802">
        <f t="shared" si="38"/>
        <v>530552.42936303408</v>
      </c>
      <c r="CW41" s="802">
        <f t="shared" si="38"/>
        <v>130194125.23041266</v>
      </c>
      <c r="CX41" s="802">
        <f t="shared" si="38"/>
        <v>0</v>
      </c>
      <c r="CY41" s="802">
        <f t="shared" si="38"/>
        <v>0</v>
      </c>
      <c r="CZ41" s="802">
        <f t="shared" si="38"/>
        <v>0</v>
      </c>
      <c r="DA41" s="802">
        <f t="shared" si="38"/>
        <v>0</v>
      </c>
      <c r="DB41" s="802">
        <f t="shared" si="38"/>
        <v>0</v>
      </c>
      <c r="DC41" s="802">
        <f t="shared" si="38"/>
        <v>0</v>
      </c>
      <c r="DD41" s="802">
        <f t="shared" si="38"/>
        <v>0</v>
      </c>
      <c r="DE41" s="802">
        <f t="shared" si="38"/>
        <v>0</v>
      </c>
      <c r="DF41" s="802">
        <f t="shared" si="38"/>
        <v>0</v>
      </c>
      <c r="DG41" s="802">
        <f t="shared" si="38"/>
        <v>0</v>
      </c>
      <c r="DH41" s="802">
        <f t="shared" si="38"/>
        <v>0</v>
      </c>
      <c r="DI41" s="802">
        <f t="shared" si="38"/>
        <v>0</v>
      </c>
      <c r="DJ41" s="802">
        <f t="shared" si="38"/>
        <v>0</v>
      </c>
      <c r="DK41" s="802">
        <f t="shared" si="38"/>
        <v>0</v>
      </c>
      <c r="DL41" s="802">
        <f t="shared" si="38"/>
        <v>0</v>
      </c>
      <c r="DM41" s="802">
        <f t="shared" si="38"/>
        <v>0</v>
      </c>
      <c r="DN41" s="802">
        <f t="shared" si="38"/>
        <v>0</v>
      </c>
      <c r="DO41" s="802">
        <f t="shared" si="38"/>
        <v>0</v>
      </c>
      <c r="DP41" s="802">
        <f t="shared" si="38"/>
        <v>0</v>
      </c>
      <c r="DQ41" s="802">
        <f t="shared" si="38"/>
        <v>0</v>
      </c>
      <c r="DR41" s="802">
        <f t="shared" si="38"/>
        <v>0</v>
      </c>
      <c r="DS41" s="802">
        <f t="shared" si="38"/>
        <v>0</v>
      </c>
      <c r="DT41" s="802">
        <f t="shared" si="38"/>
        <v>0</v>
      </c>
      <c r="DU41" s="802">
        <f t="shared" si="38"/>
        <v>0</v>
      </c>
      <c r="DV41" s="802">
        <f t="shared" si="38"/>
        <v>0</v>
      </c>
      <c r="DW41" s="802">
        <f t="shared" si="38"/>
        <v>0</v>
      </c>
      <c r="DX41" s="802">
        <f t="shared" si="38"/>
        <v>0</v>
      </c>
      <c r="DY41" s="802">
        <f t="shared" si="38"/>
        <v>0</v>
      </c>
      <c r="DZ41" s="802">
        <f t="shared" si="38"/>
        <v>0</v>
      </c>
      <c r="EA41" s="802">
        <f t="shared" si="38"/>
        <v>0</v>
      </c>
      <c r="EB41" s="802">
        <f t="shared" si="38"/>
        <v>0</v>
      </c>
      <c r="EC41" s="802">
        <f>EC37+EC23</f>
        <v>0</v>
      </c>
      <c r="ED41" s="802">
        <f>ED37+ED23</f>
        <v>0</v>
      </c>
      <c r="EE41" s="802">
        <f>EE37+EE23</f>
        <v>0</v>
      </c>
      <c r="EF41" s="802">
        <f>EF37+EF23</f>
        <v>0</v>
      </c>
      <c r="EG41" s="802">
        <f>EG37+EG23</f>
        <v>0</v>
      </c>
      <c r="EH41" s="803"/>
    </row>
    <row r="42" spans="1:138" ht="12.75" customHeight="1" x14ac:dyDescent="0.3">
      <c r="A42" s="782"/>
      <c r="B42" s="782"/>
      <c r="C42" s="782"/>
      <c r="D42" s="782"/>
      <c r="E42" s="782"/>
      <c r="F42" s="782"/>
      <c r="G42" s="782"/>
      <c r="H42" s="782"/>
      <c r="I42" s="782"/>
      <c r="J42" s="782"/>
      <c r="K42" s="782"/>
      <c r="L42" s="782"/>
      <c r="M42" s="782"/>
      <c r="N42" s="782"/>
      <c r="O42" s="782"/>
      <c r="P42" s="782"/>
      <c r="Q42" s="782"/>
      <c r="R42" s="782"/>
      <c r="S42" s="782"/>
      <c r="T42" s="782"/>
      <c r="U42" s="782"/>
      <c r="V42" s="782"/>
      <c r="W42" s="782"/>
      <c r="X42" s="782"/>
      <c r="Y42" s="782"/>
      <c r="Z42" s="782"/>
      <c r="AA42" s="782"/>
      <c r="AB42" s="782"/>
      <c r="AC42" s="782"/>
      <c r="AD42" s="782"/>
      <c r="AE42" s="782"/>
      <c r="AF42" s="782"/>
      <c r="AG42" s="782"/>
      <c r="AH42" s="782"/>
      <c r="AI42" s="782"/>
      <c r="AJ42" s="782"/>
      <c r="AK42" s="782"/>
      <c r="AL42" s="782"/>
      <c r="AM42" s="782"/>
      <c r="AN42" s="782"/>
      <c r="AO42" s="782"/>
      <c r="AP42" s="782"/>
      <c r="AQ42" s="782"/>
      <c r="AR42" s="782"/>
      <c r="AS42" s="782"/>
      <c r="AT42" s="782"/>
      <c r="AU42" s="782"/>
      <c r="AV42" s="782"/>
      <c r="AW42" s="782"/>
      <c r="AX42" s="782"/>
      <c r="AY42" s="782"/>
      <c r="AZ42" s="782"/>
      <c r="BA42" s="782"/>
      <c r="BB42" s="782"/>
      <c r="BC42" s="782"/>
      <c r="BD42" s="782"/>
      <c r="BE42" s="782"/>
      <c r="BF42" s="782"/>
      <c r="BG42" s="782"/>
      <c r="BH42" s="782"/>
      <c r="BI42" s="782"/>
      <c r="BJ42" s="782"/>
      <c r="BK42" s="782"/>
      <c r="BL42" s="782"/>
      <c r="BM42" s="782"/>
      <c r="BN42" s="782"/>
      <c r="BO42" s="782"/>
      <c r="BP42" s="782"/>
      <c r="BQ42" s="782"/>
      <c r="BR42" s="782"/>
      <c r="BS42" s="782"/>
      <c r="BT42" s="782"/>
      <c r="BU42" s="782"/>
      <c r="BV42" s="782"/>
      <c r="BW42" s="782"/>
      <c r="BX42" s="782"/>
      <c r="BY42" s="782"/>
      <c r="BZ42" s="782"/>
      <c r="CA42" s="782"/>
      <c r="CB42" s="782"/>
      <c r="CC42" s="782"/>
      <c r="CD42" s="782"/>
      <c r="CE42" s="782"/>
      <c r="CF42" s="782"/>
      <c r="CG42" s="782"/>
      <c r="CH42" s="782"/>
      <c r="CI42" s="782"/>
      <c r="CJ42" s="782"/>
      <c r="CK42" s="782"/>
      <c r="CL42" s="782"/>
      <c r="CM42" s="782"/>
      <c r="CN42" s="782"/>
      <c r="CO42" s="782"/>
      <c r="CP42" s="782"/>
      <c r="CQ42" s="782"/>
      <c r="CR42" s="782"/>
      <c r="CS42" s="782"/>
      <c r="CT42" s="782"/>
      <c r="CU42" s="782"/>
      <c r="CV42" s="782"/>
      <c r="CW42" s="782"/>
      <c r="CX42" s="782"/>
      <c r="CY42" s="782"/>
      <c r="CZ42" s="782"/>
      <c r="DA42" s="782"/>
      <c r="DB42" s="782"/>
      <c r="DC42" s="782"/>
      <c r="DD42" s="782"/>
      <c r="DE42" s="782"/>
      <c r="DF42" s="782"/>
      <c r="DG42" s="782"/>
      <c r="DH42" s="782"/>
      <c r="DI42" s="782"/>
      <c r="DJ42" s="782"/>
      <c r="DK42" s="782"/>
      <c r="DL42" s="782"/>
      <c r="DM42" s="782"/>
      <c r="DN42" s="782"/>
      <c r="DO42" s="782"/>
      <c r="DP42" s="782"/>
      <c r="DQ42" s="782"/>
      <c r="DR42" s="782"/>
      <c r="DS42" s="782"/>
      <c r="DT42" s="782"/>
      <c r="DU42" s="782"/>
      <c r="DV42" s="782"/>
      <c r="DW42" s="782"/>
      <c r="DX42" s="782"/>
      <c r="DY42" s="782"/>
      <c r="DZ42" s="782"/>
      <c r="EA42" s="782"/>
      <c r="EB42" s="782"/>
      <c r="EC42" s="782"/>
      <c r="ED42" s="782"/>
      <c r="EE42" s="782"/>
      <c r="EF42" s="782"/>
      <c r="EG42" s="782"/>
      <c r="EH42" s="782"/>
    </row>
    <row r="43" spans="1:138" s="795" customFormat="1" ht="12.75" customHeight="1" x14ac:dyDescent="0.3">
      <c r="A43" s="1146"/>
      <c r="B43" s="793" t="s">
        <v>28</v>
      </c>
      <c r="C43" s="794"/>
      <c r="D43" s="794"/>
      <c r="E43" s="794"/>
      <c r="F43" s="794"/>
      <c r="G43" s="794"/>
      <c r="H43" s="794"/>
      <c r="I43" s="794"/>
      <c r="J43" s="794"/>
      <c r="K43" s="794"/>
      <c r="L43" s="794"/>
      <c r="M43" s="794"/>
      <c r="N43" s="794"/>
      <c r="O43" s="794"/>
      <c r="P43" s="794"/>
      <c r="Q43" s="794"/>
      <c r="R43" s="794"/>
      <c r="S43" s="794"/>
      <c r="T43" s="794"/>
      <c r="U43" s="794"/>
      <c r="V43" s="794"/>
      <c r="W43" s="794"/>
      <c r="X43" s="794"/>
      <c r="Y43" s="794"/>
      <c r="Z43" s="794"/>
      <c r="AA43" s="794"/>
      <c r="AB43" s="794"/>
      <c r="AC43" s="794"/>
      <c r="AD43" s="794"/>
      <c r="AE43" s="794"/>
      <c r="AF43" s="794"/>
      <c r="AG43" s="794"/>
      <c r="AH43" s="794"/>
      <c r="AI43" s="794"/>
      <c r="AJ43" s="794"/>
      <c r="AK43" s="794"/>
      <c r="AL43" s="794"/>
      <c r="AM43" s="794"/>
      <c r="AN43" s="794"/>
      <c r="AO43" s="794"/>
      <c r="AP43" s="794"/>
      <c r="AQ43" s="794"/>
      <c r="AR43" s="794"/>
      <c r="AS43" s="794"/>
      <c r="AT43" s="794"/>
      <c r="AU43" s="794"/>
      <c r="AV43" s="794"/>
      <c r="AW43" s="794"/>
      <c r="AX43" s="794"/>
      <c r="AY43" s="794"/>
      <c r="AZ43" s="794"/>
      <c r="BA43" s="794"/>
      <c r="BB43" s="794"/>
      <c r="BC43" s="794"/>
      <c r="BD43" s="794"/>
      <c r="BE43" s="794"/>
      <c r="BF43" s="794"/>
      <c r="BG43" s="794"/>
      <c r="BH43" s="794"/>
      <c r="BI43" s="794"/>
      <c r="BJ43" s="794"/>
      <c r="BK43" s="794"/>
      <c r="BL43" s="794"/>
      <c r="BM43" s="794"/>
      <c r="BN43" s="794"/>
      <c r="BO43" s="794"/>
      <c r="BP43" s="794"/>
      <c r="BQ43" s="794"/>
      <c r="BR43" s="794"/>
      <c r="BS43" s="794"/>
      <c r="BT43" s="794"/>
      <c r="BU43" s="794"/>
      <c r="BV43" s="794"/>
      <c r="BW43" s="794"/>
      <c r="BX43" s="794"/>
      <c r="BY43" s="794"/>
      <c r="BZ43" s="794"/>
      <c r="CA43" s="794"/>
      <c r="CB43" s="794"/>
      <c r="CC43" s="794"/>
      <c r="CD43" s="794"/>
      <c r="CE43" s="794"/>
      <c r="CF43" s="794"/>
      <c r="CG43" s="794"/>
      <c r="CH43" s="794"/>
      <c r="CI43" s="794"/>
      <c r="CJ43" s="794"/>
      <c r="CK43" s="794"/>
      <c r="CL43" s="794"/>
      <c r="CM43" s="794"/>
      <c r="CN43" s="794"/>
      <c r="CO43" s="794"/>
      <c r="CP43" s="794"/>
      <c r="CQ43" s="794"/>
      <c r="CR43" s="794"/>
      <c r="CS43" s="794"/>
      <c r="CT43" s="794"/>
      <c r="CU43" s="794"/>
      <c r="CV43" s="794"/>
      <c r="CW43" s="794"/>
      <c r="CX43" s="794"/>
      <c r="CY43" s="794"/>
      <c r="CZ43" s="794"/>
      <c r="DA43" s="794"/>
      <c r="DB43" s="794"/>
      <c r="DC43" s="794"/>
      <c r="DD43" s="794"/>
      <c r="DE43" s="794"/>
      <c r="DF43" s="794"/>
      <c r="DG43" s="794"/>
      <c r="DH43" s="794"/>
      <c r="DI43" s="794"/>
      <c r="DJ43" s="794"/>
      <c r="DK43" s="794"/>
      <c r="DL43" s="794"/>
      <c r="DM43" s="794"/>
      <c r="DN43" s="794"/>
      <c r="DO43" s="794"/>
      <c r="DP43" s="794"/>
      <c r="DQ43" s="794"/>
      <c r="DR43" s="794"/>
      <c r="DS43" s="794"/>
      <c r="DT43" s="794"/>
      <c r="DU43" s="794"/>
      <c r="DV43" s="794"/>
      <c r="DW43" s="794"/>
      <c r="DX43" s="794"/>
      <c r="DY43" s="794"/>
      <c r="DZ43" s="794"/>
      <c r="EA43" s="794"/>
      <c r="EB43" s="794"/>
      <c r="EC43" s="794"/>
      <c r="ED43" s="794"/>
      <c r="EE43" s="794"/>
      <c r="EF43" s="794"/>
      <c r="EG43" s="794"/>
      <c r="EH43" s="794"/>
    </row>
    <row r="44" spans="1:138" ht="12.75" customHeight="1" x14ac:dyDescent="0.3">
      <c r="A44" s="782"/>
      <c r="B44" s="782"/>
      <c r="C44" s="782"/>
      <c r="D44" s="782"/>
      <c r="E44" s="782"/>
      <c r="F44" s="782"/>
      <c r="G44" s="782"/>
      <c r="H44" s="782"/>
      <c r="I44" s="782"/>
      <c r="J44" s="782"/>
      <c r="K44" s="782"/>
      <c r="L44" s="782"/>
      <c r="M44" s="782"/>
      <c r="N44" s="782"/>
      <c r="O44" s="782"/>
      <c r="P44" s="782"/>
      <c r="Q44" s="782"/>
      <c r="R44" s="782"/>
      <c r="S44" s="782"/>
      <c r="T44" s="782"/>
      <c r="U44" s="782"/>
      <c r="V44" s="782"/>
      <c r="W44" s="782"/>
      <c r="X44" s="782"/>
      <c r="Y44" s="782"/>
      <c r="Z44" s="782"/>
      <c r="AA44" s="782"/>
      <c r="AB44" s="782"/>
      <c r="AC44" s="782"/>
      <c r="AD44" s="782"/>
      <c r="AE44" s="782"/>
      <c r="AF44" s="782"/>
      <c r="AG44" s="782"/>
      <c r="AH44" s="782"/>
      <c r="AI44" s="782"/>
      <c r="AJ44" s="782"/>
      <c r="AK44" s="782"/>
      <c r="AL44" s="782"/>
      <c r="AM44" s="782"/>
      <c r="AN44" s="782"/>
      <c r="AO44" s="782"/>
      <c r="AP44" s="782"/>
      <c r="AQ44" s="782"/>
      <c r="AR44" s="782"/>
      <c r="AS44" s="782"/>
      <c r="AT44" s="782"/>
      <c r="AU44" s="782"/>
      <c r="AV44" s="782"/>
      <c r="AW44" s="782"/>
      <c r="AX44" s="782"/>
      <c r="AY44" s="782"/>
      <c r="AZ44" s="782"/>
      <c r="BA44" s="782"/>
      <c r="BB44" s="782"/>
      <c r="BC44" s="782"/>
      <c r="BD44" s="782"/>
      <c r="BE44" s="782"/>
      <c r="BF44" s="782"/>
      <c r="BG44" s="782"/>
      <c r="BH44" s="782"/>
      <c r="BI44" s="782"/>
      <c r="BJ44" s="782"/>
      <c r="BK44" s="782"/>
      <c r="BL44" s="782"/>
      <c r="BM44" s="782"/>
      <c r="BN44" s="782"/>
      <c r="BO44" s="782"/>
      <c r="BP44" s="782"/>
      <c r="BQ44" s="782"/>
      <c r="BR44" s="782"/>
      <c r="BS44" s="782"/>
      <c r="BT44" s="782"/>
      <c r="BU44" s="782"/>
      <c r="BV44" s="782"/>
      <c r="BW44" s="782"/>
      <c r="BX44" s="782"/>
      <c r="BY44" s="782"/>
      <c r="BZ44" s="782"/>
      <c r="CA44" s="782"/>
      <c r="CB44" s="782"/>
      <c r="CC44" s="782"/>
      <c r="CD44" s="782"/>
      <c r="CE44" s="782"/>
      <c r="CF44" s="782"/>
      <c r="CG44" s="782"/>
      <c r="CH44" s="782"/>
      <c r="CI44" s="782"/>
      <c r="CJ44" s="782"/>
      <c r="CK44" s="782"/>
      <c r="CL44" s="782"/>
      <c r="CM44" s="782"/>
      <c r="CN44" s="782"/>
      <c r="CO44" s="782"/>
      <c r="CP44" s="782"/>
      <c r="CQ44" s="782"/>
      <c r="CR44" s="782"/>
      <c r="CS44" s="782"/>
      <c r="CT44" s="782"/>
      <c r="CU44" s="782"/>
      <c r="CV44" s="782"/>
      <c r="CW44" s="782"/>
      <c r="CX44" s="782"/>
      <c r="CY44" s="782"/>
      <c r="CZ44" s="782"/>
      <c r="DA44" s="782"/>
      <c r="DB44" s="782"/>
      <c r="DC44" s="782"/>
      <c r="DD44" s="782"/>
      <c r="DE44" s="782"/>
      <c r="DF44" s="782"/>
      <c r="DG44" s="782"/>
      <c r="DH44" s="782"/>
      <c r="DI44" s="782"/>
      <c r="DJ44" s="782"/>
      <c r="DK44" s="782"/>
      <c r="DL44" s="782"/>
      <c r="DM44" s="782"/>
      <c r="DN44" s="782"/>
      <c r="DO44" s="782"/>
      <c r="DP44" s="782"/>
      <c r="DQ44" s="782"/>
      <c r="DR44" s="782"/>
      <c r="DS44" s="782"/>
      <c r="DT44" s="782"/>
      <c r="DU44" s="782"/>
      <c r="DV44" s="782"/>
      <c r="DW44" s="782"/>
      <c r="DX44" s="782"/>
      <c r="DY44" s="782"/>
      <c r="DZ44" s="782"/>
      <c r="EA44" s="782"/>
      <c r="EB44" s="782"/>
      <c r="EC44" s="782"/>
      <c r="ED44" s="782"/>
      <c r="EE44" s="782"/>
      <c r="EF44" s="782"/>
      <c r="EG44" s="782"/>
      <c r="EH44" s="782"/>
    </row>
    <row r="45" spans="1:138" ht="12.75" customHeight="1" x14ac:dyDescent="0.3">
      <c r="A45" s="782"/>
      <c r="B45" s="782" t="s">
        <v>7</v>
      </c>
      <c r="C45" s="798">
        <f t="shared" ref="C45:C50" si="39">SUM(E45:EG45)</f>
        <v>-75647698.216711149</v>
      </c>
      <c r="D45" s="782"/>
      <c r="E45" s="798">
        <f t="shared" ref="E45:BP45" si="40">E18*E10</f>
        <v>-1050423.5</v>
      </c>
      <c r="F45" s="798">
        <f t="shared" si="40"/>
        <v>-15196690.31702359</v>
      </c>
      <c r="G45" s="798">
        <f t="shared" si="40"/>
        <v>-474509.54329989548</v>
      </c>
      <c r="H45" s="798">
        <f t="shared" si="40"/>
        <v>-722018.0475038616</v>
      </c>
      <c r="I45" s="798">
        <f t="shared" si="40"/>
        <v>-1228351.4260033614</v>
      </c>
      <c r="J45" s="798">
        <f t="shared" si="40"/>
        <v>-2006445.0862433794</v>
      </c>
      <c r="K45" s="798">
        <f t="shared" si="40"/>
        <v>-2065277.2828140815</v>
      </c>
      <c r="L45" s="798">
        <f t="shared" si="40"/>
        <v>-2632556.0946173389</v>
      </c>
      <c r="M45" s="798">
        <f t="shared" si="40"/>
        <v>-3123311.3752459437</v>
      </c>
      <c r="N45" s="798">
        <f t="shared" si="40"/>
        <v>-3656644.6239059591</v>
      </c>
      <c r="O45" s="798">
        <f t="shared" si="40"/>
        <v>-3785748.5469404557</v>
      </c>
      <c r="P45" s="798">
        <f t="shared" si="40"/>
        <v>-3973227.8916334044</v>
      </c>
      <c r="Q45" s="798">
        <f t="shared" si="40"/>
        <v>-4002111.7846771218</v>
      </c>
      <c r="R45" s="798">
        <f t="shared" si="40"/>
        <v>-4019169.6259984085</v>
      </c>
      <c r="S45" s="798">
        <f t="shared" si="40"/>
        <v>-3656461.0218301825</v>
      </c>
      <c r="T45" s="798">
        <f t="shared" si="40"/>
        <v>-3526727.9926010724</v>
      </c>
      <c r="U45" s="798">
        <f t="shared" si="40"/>
        <v>-3233512.1230194378</v>
      </c>
      <c r="V45" s="798">
        <f t="shared" si="40"/>
        <v>-2908178.6030497667</v>
      </c>
      <c r="W45" s="798">
        <f t="shared" si="40"/>
        <v>-2908042.6298841243</v>
      </c>
      <c r="X45" s="798">
        <f t="shared" si="40"/>
        <v>-2688345.4322236395</v>
      </c>
      <c r="Y45" s="798">
        <f t="shared" si="40"/>
        <v>-2277774.3160375813</v>
      </c>
      <c r="Z45" s="798">
        <f t="shared" si="40"/>
        <v>-1970758.1678499444</v>
      </c>
      <c r="AA45" s="798">
        <f t="shared" si="40"/>
        <v>-1683724.0887717006</v>
      </c>
      <c r="AB45" s="798">
        <f t="shared" si="40"/>
        <v>-1195203.6710752379</v>
      </c>
      <c r="AC45" s="798">
        <f t="shared" si="40"/>
        <v>-987780.74024430034</v>
      </c>
      <c r="AD45" s="798">
        <f t="shared" si="40"/>
        <v>-674704.28421734134</v>
      </c>
      <c r="AE45" s="798">
        <f t="shared" si="40"/>
        <v>0</v>
      </c>
      <c r="AF45" s="798">
        <f t="shared" si="40"/>
        <v>0</v>
      </c>
      <c r="AG45" s="798">
        <f t="shared" si="40"/>
        <v>0</v>
      </c>
      <c r="AH45" s="798">
        <f t="shared" si="40"/>
        <v>0</v>
      </c>
      <c r="AI45" s="798">
        <f t="shared" si="40"/>
        <v>0</v>
      </c>
      <c r="AJ45" s="798">
        <f t="shared" si="40"/>
        <v>0</v>
      </c>
      <c r="AK45" s="798">
        <f t="shared" si="40"/>
        <v>0</v>
      </c>
      <c r="AL45" s="798">
        <f t="shared" si="40"/>
        <v>0</v>
      </c>
      <c r="AM45" s="798">
        <f t="shared" si="40"/>
        <v>0</v>
      </c>
      <c r="AN45" s="798">
        <f t="shared" si="40"/>
        <v>0</v>
      </c>
      <c r="AO45" s="798">
        <f t="shared" si="40"/>
        <v>0</v>
      </c>
      <c r="AP45" s="798">
        <f t="shared" si="40"/>
        <v>0</v>
      </c>
      <c r="AQ45" s="798">
        <f t="shared" si="40"/>
        <v>0</v>
      </c>
      <c r="AR45" s="798">
        <f t="shared" si="40"/>
        <v>0</v>
      </c>
      <c r="AS45" s="798">
        <f t="shared" si="40"/>
        <v>0</v>
      </c>
      <c r="AT45" s="798">
        <f t="shared" si="40"/>
        <v>0</v>
      </c>
      <c r="AU45" s="798">
        <f t="shared" si="40"/>
        <v>0</v>
      </c>
      <c r="AV45" s="798">
        <f t="shared" si="40"/>
        <v>0</v>
      </c>
      <c r="AW45" s="798">
        <f t="shared" si="40"/>
        <v>0</v>
      </c>
      <c r="AX45" s="798">
        <f t="shared" si="40"/>
        <v>0</v>
      </c>
      <c r="AY45" s="798">
        <f t="shared" si="40"/>
        <v>0</v>
      </c>
      <c r="AZ45" s="798">
        <f t="shared" si="40"/>
        <v>0</v>
      </c>
      <c r="BA45" s="798">
        <f t="shared" si="40"/>
        <v>0</v>
      </c>
      <c r="BB45" s="798">
        <f t="shared" si="40"/>
        <v>0</v>
      </c>
      <c r="BC45" s="798">
        <f t="shared" si="40"/>
        <v>0</v>
      </c>
      <c r="BD45" s="798">
        <f t="shared" si="40"/>
        <v>0</v>
      </c>
      <c r="BE45" s="798">
        <f t="shared" si="40"/>
        <v>0</v>
      </c>
      <c r="BF45" s="798">
        <f t="shared" si="40"/>
        <v>0</v>
      </c>
      <c r="BG45" s="798">
        <f t="shared" si="40"/>
        <v>0</v>
      </c>
      <c r="BH45" s="798">
        <f t="shared" si="40"/>
        <v>0</v>
      </c>
      <c r="BI45" s="798">
        <f t="shared" si="40"/>
        <v>0</v>
      </c>
      <c r="BJ45" s="798">
        <f t="shared" si="40"/>
        <v>0</v>
      </c>
      <c r="BK45" s="798">
        <f t="shared" si="40"/>
        <v>0</v>
      </c>
      <c r="BL45" s="798">
        <f t="shared" si="40"/>
        <v>0</v>
      </c>
      <c r="BM45" s="798">
        <f t="shared" si="40"/>
        <v>0</v>
      </c>
      <c r="BN45" s="798">
        <f t="shared" si="40"/>
        <v>0</v>
      </c>
      <c r="BO45" s="798">
        <f t="shared" si="40"/>
        <v>0</v>
      </c>
      <c r="BP45" s="798">
        <f t="shared" si="40"/>
        <v>0</v>
      </c>
      <c r="BQ45" s="798">
        <f t="shared" ref="BQ45:EB45" si="41">BQ18*BQ10</f>
        <v>0</v>
      </c>
      <c r="BR45" s="798">
        <f t="shared" si="41"/>
        <v>0</v>
      </c>
      <c r="BS45" s="798">
        <f t="shared" si="41"/>
        <v>0</v>
      </c>
      <c r="BT45" s="798">
        <f t="shared" si="41"/>
        <v>0</v>
      </c>
      <c r="BU45" s="798">
        <f t="shared" si="41"/>
        <v>0</v>
      </c>
      <c r="BV45" s="798">
        <f t="shared" si="41"/>
        <v>0</v>
      </c>
      <c r="BW45" s="798">
        <f t="shared" si="41"/>
        <v>0</v>
      </c>
      <c r="BX45" s="798">
        <f t="shared" si="41"/>
        <v>0</v>
      </c>
      <c r="BY45" s="798">
        <f t="shared" si="41"/>
        <v>0</v>
      </c>
      <c r="BZ45" s="798">
        <f t="shared" si="41"/>
        <v>0</v>
      </c>
      <c r="CA45" s="798">
        <f t="shared" si="41"/>
        <v>0</v>
      </c>
      <c r="CB45" s="798">
        <f t="shared" si="41"/>
        <v>0</v>
      </c>
      <c r="CC45" s="798">
        <f t="shared" si="41"/>
        <v>0</v>
      </c>
      <c r="CD45" s="798">
        <f t="shared" si="41"/>
        <v>0</v>
      </c>
      <c r="CE45" s="798">
        <f t="shared" si="41"/>
        <v>0</v>
      </c>
      <c r="CF45" s="798">
        <f t="shared" si="41"/>
        <v>0</v>
      </c>
      <c r="CG45" s="798">
        <f t="shared" si="41"/>
        <v>0</v>
      </c>
      <c r="CH45" s="798">
        <f t="shared" si="41"/>
        <v>0</v>
      </c>
      <c r="CI45" s="798">
        <f t="shared" si="41"/>
        <v>0</v>
      </c>
      <c r="CJ45" s="798">
        <f t="shared" si="41"/>
        <v>0</v>
      </c>
      <c r="CK45" s="798">
        <f t="shared" si="41"/>
        <v>0</v>
      </c>
      <c r="CL45" s="798">
        <f t="shared" si="41"/>
        <v>0</v>
      </c>
      <c r="CM45" s="798">
        <f t="shared" si="41"/>
        <v>0</v>
      </c>
      <c r="CN45" s="798">
        <f t="shared" si="41"/>
        <v>0</v>
      </c>
      <c r="CO45" s="798">
        <f t="shared" si="41"/>
        <v>0</v>
      </c>
      <c r="CP45" s="798">
        <f t="shared" si="41"/>
        <v>0</v>
      </c>
      <c r="CQ45" s="798">
        <f t="shared" si="41"/>
        <v>0</v>
      </c>
      <c r="CR45" s="798">
        <f t="shared" si="41"/>
        <v>0</v>
      </c>
      <c r="CS45" s="798">
        <f t="shared" si="41"/>
        <v>0</v>
      </c>
      <c r="CT45" s="798">
        <f t="shared" si="41"/>
        <v>0</v>
      </c>
      <c r="CU45" s="798">
        <f t="shared" si="41"/>
        <v>0</v>
      </c>
      <c r="CV45" s="798">
        <f t="shared" si="41"/>
        <v>0</v>
      </c>
      <c r="CW45" s="798">
        <f t="shared" si="41"/>
        <v>0</v>
      </c>
      <c r="CX45" s="798">
        <f t="shared" si="41"/>
        <v>0</v>
      </c>
      <c r="CY45" s="798">
        <f t="shared" si="41"/>
        <v>0</v>
      </c>
      <c r="CZ45" s="798">
        <f t="shared" si="41"/>
        <v>0</v>
      </c>
      <c r="DA45" s="798">
        <f t="shared" si="41"/>
        <v>0</v>
      </c>
      <c r="DB45" s="798">
        <f t="shared" si="41"/>
        <v>0</v>
      </c>
      <c r="DC45" s="798">
        <f t="shared" si="41"/>
        <v>0</v>
      </c>
      <c r="DD45" s="798">
        <f t="shared" si="41"/>
        <v>0</v>
      </c>
      <c r="DE45" s="798">
        <f t="shared" si="41"/>
        <v>0</v>
      </c>
      <c r="DF45" s="798">
        <f t="shared" si="41"/>
        <v>0</v>
      </c>
      <c r="DG45" s="798">
        <f t="shared" si="41"/>
        <v>0</v>
      </c>
      <c r="DH45" s="798">
        <f t="shared" si="41"/>
        <v>0</v>
      </c>
      <c r="DI45" s="798">
        <f t="shared" si="41"/>
        <v>0</v>
      </c>
      <c r="DJ45" s="798">
        <f t="shared" si="41"/>
        <v>0</v>
      </c>
      <c r="DK45" s="798">
        <f t="shared" si="41"/>
        <v>0</v>
      </c>
      <c r="DL45" s="798">
        <f t="shared" si="41"/>
        <v>0</v>
      </c>
      <c r="DM45" s="798">
        <f t="shared" si="41"/>
        <v>0</v>
      </c>
      <c r="DN45" s="798">
        <f t="shared" si="41"/>
        <v>0</v>
      </c>
      <c r="DO45" s="798">
        <f t="shared" si="41"/>
        <v>0</v>
      </c>
      <c r="DP45" s="798">
        <f t="shared" si="41"/>
        <v>0</v>
      </c>
      <c r="DQ45" s="798">
        <f t="shared" si="41"/>
        <v>0</v>
      </c>
      <c r="DR45" s="798">
        <f t="shared" si="41"/>
        <v>0</v>
      </c>
      <c r="DS45" s="798">
        <f t="shared" si="41"/>
        <v>0</v>
      </c>
      <c r="DT45" s="798">
        <f t="shared" si="41"/>
        <v>0</v>
      </c>
      <c r="DU45" s="798">
        <f t="shared" si="41"/>
        <v>0</v>
      </c>
      <c r="DV45" s="798">
        <f t="shared" si="41"/>
        <v>0</v>
      </c>
      <c r="DW45" s="798">
        <f t="shared" si="41"/>
        <v>0</v>
      </c>
      <c r="DX45" s="798">
        <f t="shared" si="41"/>
        <v>0</v>
      </c>
      <c r="DY45" s="798">
        <f t="shared" si="41"/>
        <v>0</v>
      </c>
      <c r="DZ45" s="798">
        <f t="shared" si="41"/>
        <v>0</v>
      </c>
      <c r="EA45" s="798">
        <f t="shared" si="41"/>
        <v>0</v>
      </c>
      <c r="EB45" s="798">
        <f t="shared" si="41"/>
        <v>0</v>
      </c>
      <c r="EC45" s="798">
        <f>EC18*EC10</f>
        <v>0</v>
      </c>
      <c r="ED45" s="798">
        <f>ED18*ED10</f>
        <v>0</v>
      </c>
      <c r="EE45" s="798">
        <f>EE18*EE10</f>
        <v>0</v>
      </c>
      <c r="EF45" s="798">
        <f>EF18*EF10</f>
        <v>0</v>
      </c>
      <c r="EG45" s="798">
        <f>EG18*EG10</f>
        <v>0</v>
      </c>
      <c r="EH45" s="782"/>
    </row>
    <row r="46" spans="1:138" ht="12.75" customHeight="1" x14ac:dyDescent="0.3">
      <c r="A46" s="782"/>
      <c r="B46" s="782" t="s">
        <v>8</v>
      </c>
      <c r="C46" s="798">
        <f t="shared" si="39"/>
        <v>3908113.1813995633</v>
      </c>
      <c r="D46" s="782"/>
      <c r="E46" s="798">
        <f>E19*E$10</f>
        <v>0</v>
      </c>
      <c r="F46" s="798">
        <f t="shared" ref="F46:BQ46" si="42">F19*F10</f>
        <v>0</v>
      </c>
      <c r="G46" s="798">
        <f t="shared" si="42"/>
        <v>0</v>
      </c>
      <c r="H46" s="798">
        <f t="shared" si="42"/>
        <v>0</v>
      </c>
      <c r="I46" s="798">
        <f t="shared" si="42"/>
        <v>0</v>
      </c>
      <c r="J46" s="798">
        <f t="shared" si="42"/>
        <v>0</v>
      </c>
      <c r="K46" s="798">
        <f t="shared" si="42"/>
        <v>0</v>
      </c>
      <c r="L46" s="798">
        <f t="shared" si="42"/>
        <v>0</v>
      </c>
      <c r="M46" s="798">
        <f t="shared" si="42"/>
        <v>0</v>
      </c>
      <c r="N46" s="798">
        <f t="shared" si="42"/>
        <v>0</v>
      </c>
      <c r="O46" s="798">
        <f t="shared" si="42"/>
        <v>0</v>
      </c>
      <c r="P46" s="798">
        <f t="shared" si="42"/>
        <v>0</v>
      </c>
      <c r="Q46" s="798">
        <f t="shared" si="42"/>
        <v>0</v>
      </c>
      <c r="R46" s="798">
        <f t="shared" si="42"/>
        <v>0</v>
      </c>
      <c r="S46" s="798">
        <f t="shared" si="42"/>
        <v>-79914.316796474115</v>
      </c>
      <c r="T46" s="798">
        <f t="shared" si="42"/>
        <v>-82060.245337504763</v>
      </c>
      <c r="U46" s="798">
        <f t="shared" si="42"/>
        <v>-86595.158524060025</v>
      </c>
      <c r="V46" s="798">
        <f t="shared" si="42"/>
        <v>-56402.494005308195</v>
      </c>
      <c r="W46" s="798">
        <f t="shared" si="42"/>
        <v>-24108.319380961417</v>
      </c>
      <c r="X46" s="798">
        <f t="shared" si="42"/>
        <v>18209.854825437622</v>
      </c>
      <c r="Y46" s="798">
        <f t="shared" si="42"/>
        <v>56500.143230712856</v>
      </c>
      <c r="Z46" s="798">
        <f t="shared" si="42"/>
        <v>102946.80735325644</v>
      </c>
      <c r="AA46" s="798">
        <f t="shared" si="42"/>
        <v>157875.37404944244</v>
      </c>
      <c r="AB46" s="798">
        <f t="shared" si="42"/>
        <v>212821.87139084551</v>
      </c>
      <c r="AC46" s="798">
        <f t="shared" si="42"/>
        <v>267330.11645634141</v>
      </c>
      <c r="AD46" s="798">
        <f t="shared" si="42"/>
        <v>312914.23836094659</v>
      </c>
      <c r="AE46" s="798">
        <f t="shared" si="42"/>
        <v>362378.97728815104</v>
      </c>
      <c r="AF46" s="798">
        <f t="shared" si="42"/>
        <v>451816.95146866475</v>
      </c>
      <c r="AG46" s="798">
        <f t="shared" si="42"/>
        <v>455463.29312051495</v>
      </c>
      <c r="AH46" s="798">
        <f t="shared" si="42"/>
        <v>456766.44205825822</v>
      </c>
      <c r="AI46" s="798">
        <f t="shared" si="42"/>
        <v>458065.3754418912</v>
      </c>
      <c r="AJ46" s="798">
        <f t="shared" si="42"/>
        <v>460654.32296283479</v>
      </c>
      <c r="AK46" s="798">
        <f t="shared" si="42"/>
        <v>463449.9474365738</v>
      </c>
      <c r="AL46" s="798">
        <f t="shared" si="42"/>
        <v>0</v>
      </c>
      <c r="AM46" s="798">
        <f t="shared" si="42"/>
        <v>0</v>
      </c>
      <c r="AN46" s="798">
        <f t="shared" si="42"/>
        <v>0</v>
      </c>
      <c r="AO46" s="798">
        <f t="shared" si="42"/>
        <v>0</v>
      </c>
      <c r="AP46" s="798">
        <f t="shared" si="42"/>
        <v>0</v>
      </c>
      <c r="AQ46" s="798">
        <f t="shared" si="42"/>
        <v>0</v>
      </c>
      <c r="AR46" s="798">
        <f t="shared" si="42"/>
        <v>0</v>
      </c>
      <c r="AS46" s="798">
        <f t="shared" si="42"/>
        <v>0</v>
      </c>
      <c r="AT46" s="798">
        <f t="shared" si="42"/>
        <v>0</v>
      </c>
      <c r="AU46" s="798">
        <f t="shared" si="42"/>
        <v>0</v>
      </c>
      <c r="AV46" s="798">
        <f t="shared" si="42"/>
        <v>0</v>
      </c>
      <c r="AW46" s="798">
        <f t="shared" si="42"/>
        <v>0</v>
      </c>
      <c r="AX46" s="798">
        <f t="shared" si="42"/>
        <v>0</v>
      </c>
      <c r="AY46" s="798">
        <f t="shared" si="42"/>
        <v>0</v>
      </c>
      <c r="AZ46" s="798">
        <f t="shared" si="42"/>
        <v>0</v>
      </c>
      <c r="BA46" s="798">
        <f t="shared" si="42"/>
        <v>0</v>
      </c>
      <c r="BB46" s="798">
        <f t="shared" si="42"/>
        <v>0</v>
      </c>
      <c r="BC46" s="798">
        <f t="shared" si="42"/>
        <v>0</v>
      </c>
      <c r="BD46" s="798">
        <f t="shared" si="42"/>
        <v>0</v>
      </c>
      <c r="BE46" s="798">
        <f t="shared" si="42"/>
        <v>0</v>
      </c>
      <c r="BF46" s="798">
        <f t="shared" si="42"/>
        <v>0</v>
      </c>
      <c r="BG46" s="798">
        <f t="shared" si="42"/>
        <v>0</v>
      </c>
      <c r="BH46" s="798">
        <f t="shared" si="42"/>
        <v>0</v>
      </c>
      <c r="BI46" s="798">
        <f t="shared" si="42"/>
        <v>0</v>
      </c>
      <c r="BJ46" s="798">
        <f t="shared" si="42"/>
        <v>0</v>
      </c>
      <c r="BK46" s="798">
        <f t="shared" si="42"/>
        <v>0</v>
      </c>
      <c r="BL46" s="798">
        <f t="shared" si="42"/>
        <v>0</v>
      </c>
      <c r="BM46" s="798">
        <f t="shared" si="42"/>
        <v>0</v>
      </c>
      <c r="BN46" s="798">
        <f t="shared" si="42"/>
        <v>0</v>
      </c>
      <c r="BO46" s="798">
        <f t="shared" si="42"/>
        <v>0</v>
      </c>
      <c r="BP46" s="798">
        <f t="shared" si="42"/>
        <v>0</v>
      </c>
      <c r="BQ46" s="798">
        <f t="shared" si="42"/>
        <v>0</v>
      </c>
      <c r="BR46" s="798">
        <f t="shared" ref="BR46:EC46" si="43">BR19*BR10</f>
        <v>0</v>
      </c>
      <c r="BS46" s="798">
        <f t="shared" si="43"/>
        <v>0</v>
      </c>
      <c r="BT46" s="798">
        <f t="shared" si="43"/>
        <v>0</v>
      </c>
      <c r="BU46" s="798">
        <f t="shared" si="43"/>
        <v>0</v>
      </c>
      <c r="BV46" s="798">
        <f t="shared" si="43"/>
        <v>0</v>
      </c>
      <c r="BW46" s="798">
        <f t="shared" si="43"/>
        <v>0</v>
      </c>
      <c r="BX46" s="798">
        <f t="shared" si="43"/>
        <v>0</v>
      </c>
      <c r="BY46" s="798">
        <f t="shared" si="43"/>
        <v>0</v>
      </c>
      <c r="BZ46" s="798">
        <f t="shared" si="43"/>
        <v>0</v>
      </c>
      <c r="CA46" s="798">
        <f t="shared" si="43"/>
        <v>0</v>
      </c>
      <c r="CB46" s="798">
        <f t="shared" si="43"/>
        <v>0</v>
      </c>
      <c r="CC46" s="798">
        <f t="shared" si="43"/>
        <v>0</v>
      </c>
      <c r="CD46" s="798">
        <f t="shared" si="43"/>
        <v>0</v>
      </c>
      <c r="CE46" s="798">
        <f t="shared" si="43"/>
        <v>0</v>
      </c>
      <c r="CF46" s="798">
        <f t="shared" si="43"/>
        <v>0</v>
      </c>
      <c r="CG46" s="798">
        <f t="shared" si="43"/>
        <v>0</v>
      </c>
      <c r="CH46" s="798">
        <f t="shared" si="43"/>
        <v>0</v>
      </c>
      <c r="CI46" s="798">
        <f t="shared" si="43"/>
        <v>0</v>
      </c>
      <c r="CJ46" s="798">
        <f t="shared" si="43"/>
        <v>0</v>
      </c>
      <c r="CK46" s="798">
        <f t="shared" si="43"/>
        <v>0</v>
      </c>
      <c r="CL46" s="798">
        <f t="shared" si="43"/>
        <v>0</v>
      </c>
      <c r="CM46" s="798">
        <f t="shared" si="43"/>
        <v>0</v>
      </c>
      <c r="CN46" s="798">
        <f t="shared" si="43"/>
        <v>0</v>
      </c>
      <c r="CO46" s="798">
        <f t="shared" si="43"/>
        <v>0</v>
      </c>
      <c r="CP46" s="798">
        <f t="shared" si="43"/>
        <v>0</v>
      </c>
      <c r="CQ46" s="798">
        <f t="shared" si="43"/>
        <v>0</v>
      </c>
      <c r="CR46" s="798">
        <f t="shared" si="43"/>
        <v>0</v>
      </c>
      <c r="CS46" s="798">
        <f t="shared" si="43"/>
        <v>0</v>
      </c>
      <c r="CT46" s="798">
        <f t="shared" si="43"/>
        <v>0</v>
      </c>
      <c r="CU46" s="798">
        <f t="shared" si="43"/>
        <v>0</v>
      </c>
      <c r="CV46" s="798">
        <f t="shared" si="43"/>
        <v>0</v>
      </c>
      <c r="CW46" s="798">
        <f t="shared" si="43"/>
        <v>0</v>
      </c>
      <c r="CX46" s="798">
        <f t="shared" si="43"/>
        <v>0</v>
      </c>
      <c r="CY46" s="798">
        <f t="shared" si="43"/>
        <v>0</v>
      </c>
      <c r="CZ46" s="798">
        <f t="shared" si="43"/>
        <v>0</v>
      </c>
      <c r="DA46" s="798">
        <f t="shared" si="43"/>
        <v>0</v>
      </c>
      <c r="DB46" s="798">
        <f t="shared" si="43"/>
        <v>0</v>
      </c>
      <c r="DC46" s="798">
        <f t="shared" si="43"/>
        <v>0</v>
      </c>
      <c r="DD46" s="798">
        <f t="shared" si="43"/>
        <v>0</v>
      </c>
      <c r="DE46" s="798">
        <f t="shared" si="43"/>
        <v>0</v>
      </c>
      <c r="DF46" s="798">
        <f t="shared" si="43"/>
        <v>0</v>
      </c>
      <c r="DG46" s="798">
        <f t="shared" si="43"/>
        <v>0</v>
      </c>
      <c r="DH46" s="798">
        <f t="shared" si="43"/>
        <v>0</v>
      </c>
      <c r="DI46" s="798">
        <f t="shared" si="43"/>
        <v>0</v>
      </c>
      <c r="DJ46" s="798">
        <f t="shared" si="43"/>
        <v>0</v>
      </c>
      <c r="DK46" s="798">
        <f t="shared" si="43"/>
        <v>0</v>
      </c>
      <c r="DL46" s="798">
        <f t="shared" si="43"/>
        <v>0</v>
      </c>
      <c r="DM46" s="798">
        <f t="shared" si="43"/>
        <v>0</v>
      </c>
      <c r="DN46" s="798">
        <f t="shared" si="43"/>
        <v>0</v>
      </c>
      <c r="DO46" s="798">
        <f t="shared" si="43"/>
        <v>0</v>
      </c>
      <c r="DP46" s="798">
        <f t="shared" si="43"/>
        <v>0</v>
      </c>
      <c r="DQ46" s="798">
        <f t="shared" si="43"/>
        <v>0</v>
      </c>
      <c r="DR46" s="798">
        <f t="shared" si="43"/>
        <v>0</v>
      </c>
      <c r="DS46" s="798">
        <f t="shared" si="43"/>
        <v>0</v>
      </c>
      <c r="DT46" s="798">
        <f t="shared" si="43"/>
        <v>0</v>
      </c>
      <c r="DU46" s="798">
        <f t="shared" si="43"/>
        <v>0</v>
      </c>
      <c r="DV46" s="798">
        <f t="shared" si="43"/>
        <v>0</v>
      </c>
      <c r="DW46" s="798">
        <f t="shared" si="43"/>
        <v>0</v>
      </c>
      <c r="DX46" s="798">
        <f t="shared" si="43"/>
        <v>0</v>
      </c>
      <c r="DY46" s="798">
        <f t="shared" si="43"/>
        <v>0</v>
      </c>
      <c r="DZ46" s="798">
        <f t="shared" si="43"/>
        <v>0</v>
      </c>
      <c r="EA46" s="798">
        <f t="shared" si="43"/>
        <v>0</v>
      </c>
      <c r="EB46" s="798">
        <f t="shared" si="43"/>
        <v>0</v>
      </c>
      <c r="EC46" s="798">
        <f t="shared" si="43"/>
        <v>0</v>
      </c>
      <c r="ED46" s="798">
        <f>ED19*ED10</f>
        <v>0</v>
      </c>
      <c r="EE46" s="798">
        <f>EE19*EE10</f>
        <v>0</v>
      </c>
      <c r="EF46" s="798">
        <f>EF19*EF10</f>
        <v>0</v>
      </c>
      <c r="EG46" s="798">
        <f>EG19*EG10</f>
        <v>0</v>
      </c>
      <c r="EH46" s="782"/>
    </row>
    <row r="47" spans="1:138" ht="12.75" customHeight="1" x14ac:dyDescent="0.3">
      <c r="A47" s="782"/>
      <c r="B47" s="782" t="s">
        <v>9</v>
      </c>
      <c r="C47" s="798">
        <f t="shared" si="39"/>
        <v>-71428.57142857142</v>
      </c>
      <c r="D47" s="782"/>
      <c r="E47" s="798">
        <f>E20*E$10</f>
        <v>-71428.57142857142</v>
      </c>
      <c r="F47" s="798">
        <f t="shared" ref="F47:BQ48" si="44">F20*F$10</f>
        <v>0</v>
      </c>
      <c r="G47" s="798">
        <f t="shared" si="44"/>
        <v>0</v>
      </c>
      <c r="H47" s="798">
        <f t="shared" si="44"/>
        <v>0</v>
      </c>
      <c r="I47" s="798">
        <f t="shared" si="44"/>
        <v>0</v>
      </c>
      <c r="J47" s="798">
        <f t="shared" si="44"/>
        <v>0</v>
      </c>
      <c r="K47" s="798">
        <f t="shared" si="44"/>
        <v>0</v>
      </c>
      <c r="L47" s="798">
        <f t="shared" si="44"/>
        <v>0</v>
      </c>
      <c r="M47" s="798">
        <f t="shared" si="44"/>
        <v>0</v>
      </c>
      <c r="N47" s="798">
        <f t="shared" si="44"/>
        <v>0</v>
      </c>
      <c r="O47" s="798">
        <f t="shared" si="44"/>
        <v>0</v>
      </c>
      <c r="P47" s="798">
        <f t="shared" si="44"/>
        <v>0</v>
      </c>
      <c r="Q47" s="798">
        <f t="shared" si="44"/>
        <v>0</v>
      </c>
      <c r="R47" s="798">
        <f t="shared" si="44"/>
        <v>0</v>
      </c>
      <c r="S47" s="798">
        <f t="shared" si="44"/>
        <v>0</v>
      </c>
      <c r="T47" s="798">
        <f t="shared" si="44"/>
        <v>0</v>
      </c>
      <c r="U47" s="798">
        <f t="shared" si="44"/>
        <v>0</v>
      </c>
      <c r="V47" s="798">
        <f t="shared" si="44"/>
        <v>0</v>
      </c>
      <c r="W47" s="798">
        <f t="shared" si="44"/>
        <v>0</v>
      </c>
      <c r="X47" s="798">
        <f t="shared" si="44"/>
        <v>0</v>
      </c>
      <c r="Y47" s="798">
        <f t="shared" si="44"/>
        <v>0</v>
      </c>
      <c r="Z47" s="798">
        <f t="shared" si="44"/>
        <v>0</v>
      </c>
      <c r="AA47" s="798">
        <f t="shared" si="44"/>
        <v>0</v>
      </c>
      <c r="AB47" s="798">
        <f t="shared" si="44"/>
        <v>0</v>
      </c>
      <c r="AC47" s="798">
        <f t="shared" si="44"/>
        <v>0</v>
      </c>
      <c r="AD47" s="798">
        <f t="shared" si="44"/>
        <v>0</v>
      </c>
      <c r="AE47" s="798">
        <f t="shared" si="44"/>
        <v>0</v>
      </c>
      <c r="AF47" s="798">
        <f t="shared" si="44"/>
        <v>0</v>
      </c>
      <c r="AG47" s="798">
        <f t="shared" si="44"/>
        <v>0</v>
      </c>
      <c r="AH47" s="798">
        <f t="shared" si="44"/>
        <v>0</v>
      </c>
      <c r="AI47" s="798">
        <f t="shared" si="44"/>
        <v>0</v>
      </c>
      <c r="AJ47" s="798">
        <f t="shared" si="44"/>
        <v>0</v>
      </c>
      <c r="AK47" s="798">
        <f t="shared" si="44"/>
        <v>0</v>
      </c>
      <c r="AL47" s="798">
        <f t="shared" si="44"/>
        <v>0</v>
      </c>
      <c r="AM47" s="798">
        <f t="shared" si="44"/>
        <v>0</v>
      </c>
      <c r="AN47" s="798">
        <f t="shared" si="44"/>
        <v>0</v>
      </c>
      <c r="AO47" s="798">
        <f t="shared" si="44"/>
        <v>0</v>
      </c>
      <c r="AP47" s="798">
        <f t="shared" si="44"/>
        <v>0</v>
      </c>
      <c r="AQ47" s="798">
        <f t="shared" si="44"/>
        <v>0</v>
      </c>
      <c r="AR47" s="798">
        <f t="shared" si="44"/>
        <v>0</v>
      </c>
      <c r="AS47" s="798">
        <f t="shared" si="44"/>
        <v>0</v>
      </c>
      <c r="AT47" s="798">
        <f t="shared" si="44"/>
        <v>0</v>
      </c>
      <c r="AU47" s="798">
        <f t="shared" si="44"/>
        <v>0</v>
      </c>
      <c r="AV47" s="798">
        <f t="shared" si="44"/>
        <v>0</v>
      </c>
      <c r="AW47" s="798">
        <f t="shared" si="44"/>
        <v>0</v>
      </c>
      <c r="AX47" s="798">
        <f t="shared" si="44"/>
        <v>0</v>
      </c>
      <c r="AY47" s="798">
        <f t="shared" si="44"/>
        <v>0</v>
      </c>
      <c r="AZ47" s="798">
        <f t="shared" si="44"/>
        <v>0</v>
      </c>
      <c r="BA47" s="798">
        <f t="shared" si="44"/>
        <v>0</v>
      </c>
      <c r="BB47" s="798">
        <f t="shared" si="44"/>
        <v>0</v>
      </c>
      <c r="BC47" s="798">
        <f t="shared" si="44"/>
        <v>0</v>
      </c>
      <c r="BD47" s="798">
        <f t="shared" si="44"/>
        <v>0</v>
      </c>
      <c r="BE47" s="798">
        <f t="shared" si="44"/>
        <v>0</v>
      </c>
      <c r="BF47" s="798">
        <f t="shared" si="44"/>
        <v>0</v>
      </c>
      <c r="BG47" s="798">
        <f t="shared" si="44"/>
        <v>0</v>
      </c>
      <c r="BH47" s="798">
        <f t="shared" si="44"/>
        <v>0</v>
      </c>
      <c r="BI47" s="798">
        <f t="shared" si="44"/>
        <v>0</v>
      </c>
      <c r="BJ47" s="798">
        <f t="shared" si="44"/>
        <v>0</v>
      </c>
      <c r="BK47" s="798">
        <f t="shared" si="44"/>
        <v>0</v>
      </c>
      <c r="BL47" s="798">
        <f t="shared" si="44"/>
        <v>0</v>
      </c>
      <c r="BM47" s="798">
        <f t="shared" si="44"/>
        <v>0</v>
      </c>
      <c r="BN47" s="798">
        <f t="shared" si="44"/>
        <v>0</v>
      </c>
      <c r="BO47" s="798">
        <f t="shared" si="44"/>
        <v>0</v>
      </c>
      <c r="BP47" s="798">
        <f t="shared" si="44"/>
        <v>0</v>
      </c>
      <c r="BQ47" s="798">
        <f t="shared" si="44"/>
        <v>0</v>
      </c>
      <c r="BR47" s="798">
        <f t="shared" ref="BR47:EC48" si="45">BR20*BR$10</f>
        <v>0</v>
      </c>
      <c r="BS47" s="798">
        <f t="shared" si="45"/>
        <v>0</v>
      </c>
      <c r="BT47" s="798">
        <f t="shared" si="45"/>
        <v>0</v>
      </c>
      <c r="BU47" s="798">
        <f t="shared" si="45"/>
        <v>0</v>
      </c>
      <c r="BV47" s="798">
        <f t="shared" si="45"/>
        <v>0</v>
      </c>
      <c r="BW47" s="798">
        <f t="shared" si="45"/>
        <v>0</v>
      </c>
      <c r="BX47" s="798">
        <f t="shared" si="45"/>
        <v>0</v>
      </c>
      <c r="BY47" s="798">
        <f t="shared" si="45"/>
        <v>0</v>
      </c>
      <c r="BZ47" s="798">
        <f t="shared" si="45"/>
        <v>0</v>
      </c>
      <c r="CA47" s="798">
        <f t="shared" si="45"/>
        <v>0</v>
      </c>
      <c r="CB47" s="798">
        <f t="shared" si="45"/>
        <v>0</v>
      </c>
      <c r="CC47" s="798">
        <f t="shared" si="45"/>
        <v>0</v>
      </c>
      <c r="CD47" s="798">
        <f t="shared" si="45"/>
        <v>0</v>
      </c>
      <c r="CE47" s="798">
        <f t="shared" si="45"/>
        <v>0</v>
      </c>
      <c r="CF47" s="798">
        <f t="shared" si="45"/>
        <v>0</v>
      </c>
      <c r="CG47" s="798">
        <f t="shared" si="45"/>
        <v>0</v>
      </c>
      <c r="CH47" s="798">
        <f t="shared" si="45"/>
        <v>0</v>
      </c>
      <c r="CI47" s="798">
        <f t="shared" si="45"/>
        <v>0</v>
      </c>
      <c r="CJ47" s="798">
        <f t="shared" si="45"/>
        <v>0</v>
      </c>
      <c r="CK47" s="798">
        <f t="shared" si="45"/>
        <v>0</v>
      </c>
      <c r="CL47" s="798">
        <f t="shared" si="45"/>
        <v>0</v>
      </c>
      <c r="CM47" s="798">
        <f t="shared" si="45"/>
        <v>0</v>
      </c>
      <c r="CN47" s="798">
        <f t="shared" si="45"/>
        <v>0</v>
      </c>
      <c r="CO47" s="798">
        <f t="shared" si="45"/>
        <v>0</v>
      </c>
      <c r="CP47" s="798">
        <f t="shared" si="45"/>
        <v>0</v>
      </c>
      <c r="CQ47" s="798">
        <f t="shared" si="45"/>
        <v>0</v>
      </c>
      <c r="CR47" s="798">
        <f t="shared" si="45"/>
        <v>0</v>
      </c>
      <c r="CS47" s="798">
        <f t="shared" si="45"/>
        <v>0</v>
      </c>
      <c r="CT47" s="798">
        <f t="shared" si="45"/>
        <v>0</v>
      </c>
      <c r="CU47" s="798">
        <f t="shared" si="45"/>
        <v>0</v>
      </c>
      <c r="CV47" s="798">
        <f t="shared" si="45"/>
        <v>0</v>
      </c>
      <c r="CW47" s="798">
        <f t="shared" si="45"/>
        <v>0</v>
      </c>
      <c r="CX47" s="798">
        <f t="shared" si="45"/>
        <v>0</v>
      </c>
      <c r="CY47" s="798">
        <f t="shared" si="45"/>
        <v>0</v>
      </c>
      <c r="CZ47" s="798">
        <f t="shared" si="45"/>
        <v>0</v>
      </c>
      <c r="DA47" s="798">
        <f t="shared" si="45"/>
        <v>0</v>
      </c>
      <c r="DB47" s="798">
        <f t="shared" si="45"/>
        <v>0</v>
      </c>
      <c r="DC47" s="798">
        <f t="shared" si="45"/>
        <v>0</v>
      </c>
      <c r="DD47" s="798">
        <f t="shared" si="45"/>
        <v>0</v>
      </c>
      <c r="DE47" s="798">
        <f t="shared" si="45"/>
        <v>0</v>
      </c>
      <c r="DF47" s="798">
        <f t="shared" si="45"/>
        <v>0</v>
      </c>
      <c r="DG47" s="798">
        <f t="shared" si="45"/>
        <v>0</v>
      </c>
      <c r="DH47" s="798">
        <f t="shared" si="45"/>
        <v>0</v>
      </c>
      <c r="DI47" s="798">
        <f t="shared" si="45"/>
        <v>0</v>
      </c>
      <c r="DJ47" s="798">
        <f t="shared" si="45"/>
        <v>0</v>
      </c>
      <c r="DK47" s="798">
        <f t="shared" si="45"/>
        <v>0</v>
      </c>
      <c r="DL47" s="798">
        <f t="shared" si="45"/>
        <v>0</v>
      </c>
      <c r="DM47" s="798">
        <f t="shared" si="45"/>
        <v>0</v>
      </c>
      <c r="DN47" s="798">
        <f t="shared" si="45"/>
        <v>0</v>
      </c>
      <c r="DO47" s="798">
        <f t="shared" si="45"/>
        <v>0</v>
      </c>
      <c r="DP47" s="798">
        <f t="shared" si="45"/>
        <v>0</v>
      </c>
      <c r="DQ47" s="798">
        <f t="shared" si="45"/>
        <v>0</v>
      </c>
      <c r="DR47" s="798">
        <f t="shared" si="45"/>
        <v>0</v>
      </c>
      <c r="DS47" s="798">
        <f t="shared" si="45"/>
        <v>0</v>
      </c>
      <c r="DT47" s="798">
        <f t="shared" si="45"/>
        <v>0</v>
      </c>
      <c r="DU47" s="798">
        <f t="shared" si="45"/>
        <v>0</v>
      </c>
      <c r="DV47" s="798">
        <f t="shared" si="45"/>
        <v>0</v>
      </c>
      <c r="DW47" s="798">
        <f t="shared" si="45"/>
        <v>0</v>
      </c>
      <c r="DX47" s="798">
        <f t="shared" si="45"/>
        <v>0</v>
      </c>
      <c r="DY47" s="798">
        <f t="shared" si="45"/>
        <v>0</v>
      </c>
      <c r="DZ47" s="798">
        <f t="shared" si="45"/>
        <v>0</v>
      </c>
      <c r="EA47" s="798">
        <f t="shared" si="45"/>
        <v>0</v>
      </c>
      <c r="EB47" s="798">
        <f t="shared" si="45"/>
        <v>0</v>
      </c>
      <c r="EC47" s="798">
        <f t="shared" si="45"/>
        <v>0</v>
      </c>
      <c r="ED47" s="798">
        <f t="shared" ref="ED47:EG48" si="46">ED20*ED$10</f>
        <v>0</v>
      </c>
      <c r="EE47" s="798">
        <f t="shared" si="46"/>
        <v>0</v>
      </c>
      <c r="EF47" s="798">
        <f t="shared" si="46"/>
        <v>0</v>
      </c>
      <c r="EG47" s="798">
        <f t="shared" si="46"/>
        <v>0</v>
      </c>
      <c r="EH47" s="782"/>
    </row>
    <row r="48" spans="1:138" ht="12.75" customHeight="1" x14ac:dyDescent="0.3">
      <c r="A48" s="782"/>
      <c r="B48" s="782" t="s">
        <v>10</v>
      </c>
      <c r="C48" s="798">
        <f t="shared" si="39"/>
        <v>-266666.6666666668</v>
      </c>
      <c r="D48" s="782"/>
      <c r="E48" s="798">
        <f>E21*E$10</f>
        <v>0</v>
      </c>
      <c r="F48" s="798">
        <f t="shared" si="44"/>
        <v>-8333.3333333333339</v>
      </c>
      <c r="G48" s="798">
        <f t="shared" si="44"/>
        <v>-8333.3333333333339</v>
      </c>
      <c r="H48" s="798">
        <f t="shared" si="44"/>
        <v>-8333.3333333333339</v>
      </c>
      <c r="I48" s="798">
        <f t="shared" si="44"/>
        <v>-8333.3333333333339</v>
      </c>
      <c r="J48" s="798">
        <f t="shared" si="44"/>
        <v>-8333.3333333333339</v>
      </c>
      <c r="K48" s="798">
        <f t="shared" si="44"/>
        <v>-8333.3333333333339</v>
      </c>
      <c r="L48" s="798">
        <f t="shared" si="44"/>
        <v>-8333.3333333333339</v>
      </c>
      <c r="M48" s="798">
        <f t="shared" si="44"/>
        <v>-8333.3333333333339</v>
      </c>
      <c r="N48" s="798">
        <f t="shared" si="44"/>
        <v>-8333.3333333333339</v>
      </c>
      <c r="O48" s="798">
        <f t="shared" si="44"/>
        <v>-8333.3333333333339</v>
      </c>
      <c r="P48" s="798">
        <f t="shared" si="44"/>
        <v>-8333.3333333333339</v>
      </c>
      <c r="Q48" s="798">
        <f t="shared" si="44"/>
        <v>-8333.3333333333339</v>
      </c>
      <c r="R48" s="798">
        <f t="shared" si="44"/>
        <v>-8333.3333333333339</v>
      </c>
      <c r="S48" s="798">
        <f t="shared" si="44"/>
        <v>-8333.3333333333339</v>
      </c>
      <c r="T48" s="798">
        <f t="shared" si="44"/>
        <v>-8333.3333333333339</v>
      </c>
      <c r="U48" s="798">
        <f t="shared" si="44"/>
        <v>-8333.3333333333339</v>
      </c>
      <c r="V48" s="798">
        <f t="shared" si="44"/>
        <v>-8333.3333333333339</v>
      </c>
      <c r="W48" s="798">
        <f t="shared" si="44"/>
        <v>-8333.3333333333339</v>
      </c>
      <c r="X48" s="798">
        <f t="shared" si="44"/>
        <v>-8333.3333333333339</v>
      </c>
      <c r="Y48" s="798">
        <f t="shared" si="44"/>
        <v>-8333.3333333333339</v>
      </c>
      <c r="Z48" s="798">
        <f t="shared" si="44"/>
        <v>-8333.3333333333339</v>
      </c>
      <c r="AA48" s="798">
        <f t="shared" si="44"/>
        <v>-8333.3333333333339</v>
      </c>
      <c r="AB48" s="798">
        <f t="shared" si="44"/>
        <v>-8333.3333333333339</v>
      </c>
      <c r="AC48" s="798">
        <f t="shared" si="44"/>
        <v>-8333.3333333333339</v>
      </c>
      <c r="AD48" s="798">
        <f t="shared" si="44"/>
        <v>-8333.3333333333339</v>
      </c>
      <c r="AE48" s="798">
        <f t="shared" si="44"/>
        <v>-8333.3333333333339</v>
      </c>
      <c r="AF48" s="798">
        <f t="shared" si="44"/>
        <v>-8333.3333333333339</v>
      </c>
      <c r="AG48" s="798">
        <f t="shared" si="44"/>
        <v>-8333.3333333333339</v>
      </c>
      <c r="AH48" s="798">
        <f t="shared" si="44"/>
        <v>-8333.3333333333339</v>
      </c>
      <c r="AI48" s="798">
        <f t="shared" si="44"/>
        <v>-8333.3333333333339</v>
      </c>
      <c r="AJ48" s="798">
        <f t="shared" si="44"/>
        <v>-8333.3333333333339</v>
      </c>
      <c r="AK48" s="798">
        <f t="shared" si="44"/>
        <v>-8333.3333333333339</v>
      </c>
      <c r="AL48" s="798">
        <f t="shared" si="44"/>
        <v>0</v>
      </c>
      <c r="AM48" s="798">
        <f t="shared" si="44"/>
        <v>0</v>
      </c>
      <c r="AN48" s="798">
        <f t="shared" si="44"/>
        <v>0</v>
      </c>
      <c r="AO48" s="798">
        <f t="shared" si="44"/>
        <v>0</v>
      </c>
      <c r="AP48" s="798">
        <f t="shared" si="44"/>
        <v>0</v>
      </c>
      <c r="AQ48" s="798">
        <f t="shared" si="44"/>
        <v>0</v>
      </c>
      <c r="AR48" s="798">
        <f t="shared" si="44"/>
        <v>0</v>
      </c>
      <c r="AS48" s="798">
        <f t="shared" si="44"/>
        <v>0</v>
      </c>
      <c r="AT48" s="798">
        <f t="shared" si="44"/>
        <v>0</v>
      </c>
      <c r="AU48" s="798">
        <f t="shared" si="44"/>
        <v>0</v>
      </c>
      <c r="AV48" s="798">
        <f t="shared" si="44"/>
        <v>0</v>
      </c>
      <c r="AW48" s="798">
        <f t="shared" si="44"/>
        <v>0</v>
      </c>
      <c r="AX48" s="798">
        <f t="shared" si="44"/>
        <v>0</v>
      </c>
      <c r="AY48" s="798">
        <f t="shared" si="44"/>
        <v>0</v>
      </c>
      <c r="AZ48" s="798">
        <f t="shared" si="44"/>
        <v>0</v>
      </c>
      <c r="BA48" s="798">
        <f t="shared" si="44"/>
        <v>0</v>
      </c>
      <c r="BB48" s="798">
        <f t="shared" si="44"/>
        <v>0</v>
      </c>
      <c r="BC48" s="798">
        <f t="shared" si="44"/>
        <v>0</v>
      </c>
      <c r="BD48" s="798">
        <f t="shared" si="44"/>
        <v>0</v>
      </c>
      <c r="BE48" s="798">
        <f t="shared" si="44"/>
        <v>0</v>
      </c>
      <c r="BF48" s="798">
        <f t="shared" si="44"/>
        <v>0</v>
      </c>
      <c r="BG48" s="798">
        <f t="shared" si="44"/>
        <v>0</v>
      </c>
      <c r="BH48" s="798">
        <f t="shared" si="44"/>
        <v>0</v>
      </c>
      <c r="BI48" s="798">
        <f t="shared" si="44"/>
        <v>0</v>
      </c>
      <c r="BJ48" s="798">
        <f t="shared" si="44"/>
        <v>0</v>
      </c>
      <c r="BK48" s="798">
        <f t="shared" si="44"/>
        <v>0</v>
      </c>
      <c r="BL48" s="798">
        <f t="shared" si="44"/>
        <v>0</v>
      </c>
      <c r="BM48" s="798">
        <f t="shared" si="44"/>
        <v>0</v>
      </c>
      <c r="BN48" s="798">
        <f t="shared" si="44"/>
        <v>0</v>
      </c>
      <c r="BO48" s="798">
        <f t="shared" si="44"/>
        <v>0</v>
      </c>
      <c r="BP48" s="798">
        <f t="shared" si="44"/>
        <v>0</v>
      </c>
      <c r="BQ48" s="798">
        <f t="shared" si="44"/>
        <v>0</v>
      </c>
      <c r="BR48" s="798">
        <f t="shared" si="45"/>
        <v>0</v>
      </c>
      <c r="BS48" s="798">
        <f t="shared" si="45"/>
        <v>0</v>
      </c>
      <c r="BT48" s="798">
        <f t="shared" si="45"/>
        <v>0</v>
      </c>
      <c r="BU48" s="798">
        <f t="shared" si="45"/>
        <v>0</v>
      </c>
      <c r="BV48" s="798">
        <f t="shared" si="45"/>
        <v>0</v>
      </c>
      <c r="BW48" s="798">
        <f t="shared" si="45"/>
        <v>0</v>
      </c>
      <c r="BX48" s="798">
        <f t="shared" si="45"/>
        <v>0</v>
      </c>
      <c r="BY48" s="798">
        <f t="shared" si="45"/>
        <v>0</v>
      </c>
      <c r="BZ48" s="798">
        <f t="shared" si="45"/>
        <v>0</v>
      </c>
      <c r="CA48" s="798">
        <f t="shared" si="45"/>
        <v>0</v>
      </c>
      <c r="CB48" s="798">
        <f t="shared" si="45"/>
        <v>0</v>
      </c>
      <c r="CC48" s="798">
        <f t="shared" si="45"/>
        <v>0</v>
      </c>
      <c r="CD48" s="798">
        <f t="shared" si="45"/>
        <v>0</v>
      </c>
      <c r="CE48" s="798">
        <f t="shared" si="45"/>
        <v>0</v>
      </c>
      <c r="CF48" s="798">
        <f t="shared" si="45"/>
        <v>0</v>
      </c>
      <c r="CG48" s="798">
        <f t="shared" si="45"/>
        <v>0</v>
      </c>
      <c r="CH48" s="798">
        <f t="shared" si="45"/>
        <v>0</v>
      </c>
      <c r="CI48" s="798">
        <f t="shared" si="45"/>
        <v>0</v>
      </c>
      <c r="CJ48" s="798">
        <f t="shared" si="45"/>
        <v>0</v>
      </c>
      <c r="CK48" s="798">
        <f t="shared" si="45"/>
        <v>0</v>
      </c>
      <c r="CL48" s="798">
        <f t="shared" si="45"/>
        <v>0</v>
      </c>
      <c r="CM48" s="798">
        <f t="shared" si="45"/>
        <v>0</v>
      </c>
      <c r="CN48" s="798">
        <f t="shared" si="45"/>
        <v>0</v>
      </c>
      <c r="CO48" s="798">
        <f t="shared" si="45"/>
        <v>0</v>
      </c>
      <c r="CP48" s="798">
        <f t="shared" si="45"/>
        <v>0</v>
      </c>
      <c r="CQ48" s="798">
        <f t="shared" si="45"/>
        <v>0</v>
      </c>
      <c r="CR48" s="798">
        <f t="shared" si="45"/>
        <v>0</v>
      </c>
      <c r="CS48" s="798">
        <f t="shared" si="45"/>
        <v>0</v>
      </c>
      <c r="CT48" s="798">
        <f t="shared" si="45"/>
        <v>0</v>
      </c>
      <c r="CU48" s="798">
        <f t="shared" si="45"/>
        <v>0</v>
      </c>
      <c r="CV48" s="798">
        <f t="shared" si="45"/>
        <v>0</v>
      </c>
      <c r="CW48" s="798">
        <f t="shared" si="45"/>
        <v>0</v>
      </c>
      <c r="CX48" s="798">
        <f t="shared" si="45"/>
        <v>0</v>
      </c>
      <c r="CY48" s="798">
        <f t="shared" si="45"/>
        <v>0</v>
      </c>
      <c r="CZ48" s="798">
        <f t="shared" si="45"/>
        <v>0</v>
      </c>
      <c r="DA48" s="798">
        <f t="shared" si="45"/>
        <v>0</v>
      </c>
      <c r="DB48" s="798">
        <f t="shared" si="45"/>
        <v>0</v>
      </c>
      <c r="DC48" s="798">
        <f t="shared" si="45"/>
        <v>0</v>
      </c>
      <c r="DD48" s="798">
        <f t="shared" si="45"/>
        <v>0</v>
      </c>
      <c r="DE48" s="798">
        <f t="shared" si="45"/>
        <v>0</v>
      </c>
      <c r="DF48" s="798">
        <f t="shared" si="45"/>
        <v>0</v>
      </c>
      <c r="DG48" s="798">
        <f t="shared" si="45"/>
        <v>0</v>
      </c>
      <c r="DH48" s="798">
        <f t="shared" si="45"/>
        <v>0</v>
      </c>
      <c r="DI48" s="798">
        <f t="shared" si="45"/>
        <v>0</v>
      </c>
      <c r="DJ48" s="798">
        <f t="shared" si="45"/>
        <v>0</v>
      </c>
      <c r="DK48" s="798">
        <f t="shared" si="45"/>
        <v>0</v>
      </c>
      <c r="DL48" s="798">
        <f t="shared" si="45"/>
        <v>0</v>
      </c>
      <c r="DM48" s="798">
        <f t="shared" si="45"/>
        <v>0</v>
      </c>
      <c r="DN48" s="798">
        <f t="shared" si="45"/>
        <v>0</v>
      </c>
      <c r="DO48" s="798">
        <f t="shared" si="45"/>
        <v>0</v>
      </c>
      <c r="DP48" s="798">
        <f t="shared" si="45"/>
        <v>0</v>
      </c>
      <c r="DQ48" s="798">
        <f t="shared" si="45"/>
        <v>0</v>
      </c>
      <c r="DR48" s="798">
        <f t="shared" si="45"/>
        <v>0</v>
      </c>
      <c r="DS48" s="798">
        <f t="shared" si="45"/>
        <v>0</v>
      </c>
      <c r="DT48" s="798">
        <f t="shared" si="45"/>
        <v>0</v>
      </c>
      <c r="DU48" s="798">
        <f t="shared" si="45"/>
        <v>0</v>
      </c>
      <c r="DV48" s="798">
        <f t="shared" si="45"/>
        <v>0</v>
      </c>
      <c r="DW48" s="798">
        <f t="shared" si="45"/>
        <v>0</v>
      </c>
      <c r="DX48" s="798">
        <f t="shared" si="45"/>
        <v>0</v>
      </c>
      <c r="DY48" s="798">
        <f t="shared" si="45"/>
        <v>0</v>
      </c>
      <c r="DZ48" s="798">
        <f t="shared" si="45"/>
        <v>0</v>
      </c>
      <c r="EA48" s="798">
        <f t="shared" si="45"/>
        <v>0</v>
      </c>
      <c r="EB48" s="798">
        <f t="shared" si="45"/>
        <v>0</v>
      </c>
      <c r="EC48" s="798">
        <f t="shared" si="45"/>
        <v>0</v>
      </c>
      <c r="ED48" s="798">
        <f t="shared" si="46"/>
        <v>0</v>
      </c>
      <c r="EE48" s="798">
        <f t="shared" si="46"/>
        <v>0</v>
      </c>
      <c r="EF48" s="798">
        <f t="shared" si="46"/>
        <v>0</v>
      </c>
      <c r="EG48" s="798">
        <f t="shared" si="46"/>
        <v>0</v>
      </c>
      <c r="EH48" s="782"/>
    </row>
    <row r="49" spans="1:138" ht="12.75" customHeight="1" x14ac:dyDescent="0.3">
      <c r="A49" s="782"/>
      <c r="B49" s="781" t="s">
        <v>29</v>
      </c>
      <c r="C49" s="799">
        <f t="shared" si="39"/>
        <v>103794068.10908552</v>
      </c>
      <c r="D49" s="781"/>
      <c r="E49" s="799">
        <f t="shared" ref="E49:BP49" si="47">IF(E9=1,SUM(E196,E199:E202),0)</f>
        <v>0</v>
      </c>
      <c r="F49" s="799">
        <f t="shared" si="47"/>
        <v>0</v>
      </c>
      <c r="G49" s="799">
        <f t="shared" si="47"/>
        <v>0</v>
      </c>
      <c r="H49" s="799">
        <f t="shared" si="47"/>
        <v>0</v>
      </c>
      <c r="I49" s="799">
        <f t="shared" si="47"/>
        <v>0</v>
      </c>
      <c r="J49" s="799">
        <f t="shared" si="47"/>
        <v>0</v>
      </c>
      <c r="K49" s="799">
        <f t="shared" si="47"/>
        <v>0</v>
      </c>
      <c r="L49" s="799">
        <f t="shared" si="47"/>
        <v>0</v>
      </c>
      <c r="M49" s="799">
        <f t="shared" si="47"/>
        <v>0</v>
      </c>
      <c r="N49" s="799">
        <f t="shared" si="47"/>
        <v>0</v>
      </c>
      <c r="O49" s="799">
        <f t="shared" si="47"/>
        <v>0</v>
      </c>
      <c r="P49" s="799">
        <f t="shared" si="47"/>
        <v>0</v>
      </c>
      <c r="Q49" s="799">
        <f t="shared" si="47"/>
        <v>0</v>
      </c>
      <c r="R49" s="799">
        <f t="shared" si="47"/>
        <v>0</v>
      </c>
      <c r="S49" s="799">
        <f t="shared" si="47"/>
        <v>0</v>
      </c>
      <c r="T49" s="799">
        <f t="shared" si="47"/>
        <v>0</v>
      </c>
      <c r="U49" s="799">
        <f t="shared" si="47"/>
        <v>0</v>
      </c>
      <c r="V49" s="799">
        <f t="shared" si="47"/>
        <v>0</v>
      </c>
      <c r="W49" s="799">
        <f t="shared" si="47"/>
        <v>0</v>
      </c>
      <c r="X49" s="799">
        <f t="shared" si="47"/>
        <v>0</v>
      </c>
      <c r="Y49" s="799">
        <f t="shared" si="47"/>
        <v>0</v>
      </c>
      <c r="Z49" s="799">
        <f t="shared" si="47"/>
        <v>0</v>
      </c>
      <c r="AA49" s="799">
        <f t="shared" si="47"/>
        <v>0</v>
      </c>
      <c r="AB49" s="799">
        <f t="shared" si="47"/>
        <v>0</v>
      </c>
      <c r="AC49" s="799">
        <f t="shared" si="47"/>
        <v>0</v>
      </c>
      <c r="AD49" s="799">
        <f t="shared" si="47"/>
        <v>0</v>
      </c>
      <c r="AE49" s="799">
        <f t="shared" si="47"/>
        <v>0</v>
      </c>
      <c r="AF49" s="799">
        <f t="shared" si="47"/>
        <v>0</v>
      </c>
      <c r="AG49" s="799">
        <f t="shared" si="47"/>
        <v>0</v>
      </c>
      <c r="AH49" s="799">
        <f t="shared" si="47"/>
        <v>0</v>
      </c>
      <c r="AI49" s="799">
        <f t="shared" si="47"/>
        <v>0</v>
      </c>
      <c r="AJ49" s="799">
        <f t="shared" si="47"/>
        <v>0</v>
      </c>
      <c r="AK49" s="799">
        <f t="shared" si="47"/>
        <v>103794068.10908552</v>
      </c>
      <c r="AL49" s="799">
        <f t="shared" si="47"/>
        <v>0</v>
      </c>
      <c r="AM49" s="799">
        <f t="shared" si="47"/>
        <v>0</v>
      </c>
      <c r="AN49" s="799">
        <f t="shared" si="47"/>
        <v>0</v>
      </c>
      <c r="AO49" s="799">
        <f t="shared" si="47"/>
        <v>0</v>
      </c>
      <c r="AP49" s="799">
        <f t="shared" si="47"/>
        <v>0</v>
      </c>
      <c r="AQ49" s="799">
        <f t="shared" si="47"/>
        <v>0</v>
      </c>
      <c r="AR49" s="799">
        <f t="shared" si="47"/>
        <v>0</v>
      </c>
      <c r="AS49" s="799">
        <f t="shared" si="47"/>
        <v>0</v>
      </c>
      <c r="AT49" s="799">
        <f t="shared" si="47"/>
        <v>0</v>
      </c>
      <c r="AU49" s="799">
        <f t="shared" si="47"/>
        <v>0</v>
      </c>
      <c r="AV49" s="799">
        <f t="shared" si="47"/>
        <v>0</v>
      </c>
      <c r="AW49" s="799">
        <f t="shared" si="47"/>
        <v>0</v>
      </c>
      <c r="AX49" s="799">
        <f t="shared" si="47"/>
        <v>0</v>
      </c>
      <c r="AY49" s="799">
        <f t="shared" si="47"/>
        <v>0</v>
      </c>
      <c r="AZ49" s="799">
        <f t="shared" si="47"/>
        <v>0</v>
      </c>
      <c r="BA49" s="799">
        <f t="shared" si="47"/>
        <v>0</v>
      </c>
      <c r="BB49" s="799">
        <f t="shared" si="47"/>
        <v>0</v>
      </c>
      <c r="BC49" s="799">
        <f t="shared" si="47"/>
        <v>0</v>
      </c>
      <c r="BD49" s="799">
        <f t="shared" si="47"/>
        <v>0</v>
      </c>
      <c r="BE49" s="799">
        <f t="shared" si="47"/>
        <v>0</v>
      </c>
      <c r="BF49" s="799">
        <f t="shared" si="47"/>
        <v>0</v>
      </c>
      <c r="BG49" s="799">
        <f t="shared" si="47"/>
        <v>0</v>
      </c>
      <c r="BH49" s="799">
        <f t="shared" si="47"/>
        <v>0</v>
      </c>
      <c r="BI49" s="799">
        <f t="shared" si="47"/>
        <v>0</v>
      </c>
      <c r="BJ49" s="799">
        <f t="shared" si="47"/>
        <v>0</v>
      </c>
      <c r="BK49" s="799">
        <f t="shared" si="47"/>
        <v>0</v>
      </c>
      <c r="BL49" s="799">
        <f t="shared" si="47"/>
        <v>0</v>
      </c>
      <c r="BM49" s="799">
        <f t="shared" si="47"/>
        <v>0</v>
      </c>
      <c r="BN49" s="799">
        <f t="shared" si="47"/>
        <v>0</v>
      </c>
      <c r="BO49" s="799">
        <f t="shared" si="47"/>
        <v>0</v>
      </c>
      <c r="BP49" s="799">
        <f t="shared" si="47"/>
        <v>0</v>
      </c>
      <c r="BQ49" s="799">
        <f t="shared" ref="BQ49:EB49" si="48">IF(BQ9=1,SUM(BQ196,BQ199:BQ202),0)</f>
        <v>0</v>
      </c>
      <c r="BR49" s="799">
        <f t="shared" si="48"/>
        <v>0</v>
      </c>
      <c r="BS49" s="799">
        <f t="shared" si="48"/>
        <v>0</v>
      </c>
      <c r="BT49" s="799">
        <f t="shared" si="48"/>
        <v>0</v>
      </c>
      <c r="BU49" s="799">
        <f t="shared" si="48"/>
        <v>0</v>
      </c>
      <c r="BV49" s="799">
        <f t="shared" si="48"/>
        <v>0</v>
      </c>
      <c r="BW49" s="799">
        <f t="shared" si="48"/>
        <v>0</v>
      </c>
      <c r="BX49" s="799">
        <f t="shared" si="48"/>
        <v>0</v>
      </c>
      <c r="BY49" s="799">
        <f t="shared" si="48"/>
        <v>0</v>
      </c>
      <c r="BZ49" s="799">
        <f t="shared" si="48"/>
        <v>0</v>
      </c>
      <c r="CA49" s="799">
        <f t="shared" si="48"/>
        <v>0</v>
      </c>
      <c r="CB49" s="799">
        <f t="shared" si="48"/>
        <v>0</v>
      </c>
      <c r="CC49" s="799">
        <f t="shared" si="48"/>
        <v>0</v>
      </c>
      <c r="CD49" s="799">
        <f t="shared" si="48"/>
        <v>0</v>
      </c>
      <c r="CE49" s="799">
        <f t="shared" si="48"/>
        <v>0</v>
      </c>
      <c r="CF49" s="799">
        <f t="shared" si="48"/>
        <v>0</v>
      </c>
      <c r="CG49" s="799">
        <f t="shared" si="48"/>
        <v>0</v>
      </c>
      <c r="CH49" s="799">
        <f t="shared" si="48"/>
        <v>0</v>
      </c>
      <c r="CI49" s="799">
        <f t="shared" si="48"/>
        <v>0</v>
      </c>
      <c r="CJ49" s="799">
        <f t="shared" si="48"/>
        <v>0</v>
      </c>
      <c r="CK49" s="799">
        <f t="shared" si="48"/>
        <v>0</v>
      </c>
      <c r="CL49" s="799">
        <f t="shared" si="48"/>
        <v>0</v>
      </c>
      <c r="CM49" s="799">
        <f t="shared" si="48"/>
        <v>0</v>
      </c>
      <c r="CN49" s="799">
        <f t="shared" si="48"/>
        <v>0</v>
      </c>
      <c r="CO49" s="799">
        <f t="shared" si="48"/>
        <v>0</v>
      </c>
      <c r="CP49" s="799">
        <f t="shared" si="48"/>
        <v>0</v>
      </c>
      <c r="CQ49" s="799">
        <f t="shared" si="48"/>
        <v>0</v>
      </c>
      <c r="CR49" s="799">
        <f t="shared" si="48"/>
        <v>0</v>
      </c>
      <c r="CS49" s="799">
        <f t="shared" si="48"/>
        <v>0</v>
      </c>
      <c r="CT49" s="799">
        <f t="shared" si="48"/>
        <v>0</v>
      </c>
      <c r="CU49" s="799">
        <f t="shared" si="48"/>
        <v>0</v>
      </c>
      <c r="CV49" s="799">
        <f t="shared" si="48"/>
        <v>0</v>
      </c>
      <c r="CW49" s="799">
        <f t="shared" si="48"/>
        <v>0</v>
      </c>
      <c r="CX49" s="799">
        <f t="shared" si="48"/>
        <v>0</v>
      </c>
      <c r="CY49" s="799">
        <f t="shared" si="48"/>
        <v>0</v>
      </c>
      <c r="CZ49" s="799">
        <f t="shared" si="48"/>
        <v>0</v>
      </c>
      <c r="DA49" s="799">
        <f t="shared" si="48"/>
        <v>0</v>
      </c>
      <c r="DB49" s="799">
        <f t="shared" si="48"/>
        <v>0</v>
      </c>
      <c r="DC49" s="799">
        <f t="shared" si="48"/>
        <v>0</v>
      </c>
      <c r="DD49" s="799">
        <f t="shared" si="48"/>
        <v>0</v>
      </c>
      <c r="DE49" s="799">
        <f t="shared" si="48"/>
        <v>0</v>
      </c>
      <c r="DF49" s="799">
        <f t="shared" si="48"/>
        <v>0</v>
      </c>
      <c r="DG49" s="799">
        <f t="shared" si="48"/>
        <v>0</v>
      </c>
      <c r="DH49" s="799">
        <f t="shared" si="48"/>
        <v>0</v>
      </c>
      <c r="DI49" s="799">
        <f t="shared" si="48"/>
        <v>0</v>
      </c>
      <c r="DJ49" s="799">
        <f t="shared" si="48"/>
        <v>0</v>
      </c>
      <c r="DK49" s="799">
        <f t="shared" si="48"/>
        <v>0</v>
      </c>
      <c r="DL49" s="799">
        <f t="shared" si="48"/>
        <v>0</v>
      </c>
      <c r="DM49" s="799">
        <f t="shared" si="48"/>
        <v>0</v>
      </c>
      <c r="DN49" s="799">
        <f t="shared" si="48"/>
        <v>0</v>
      </c>
      <c r="DO49" s="799">
        <f t="shared" si="48"/>
        <v>0</v>
      </c>
      <c r="DP49" s="799">
        <f t="shared" si="48"/>
        <v>0</v>
      </c>
      <c r="DQ49" s="799">
        <f t="shared" si="48"/>
        <v>0</v>
      </c>
      <c r="DR49" s="799">
        <f t="shared" si="48"/>
        <v>0</v>
      </c>
      <c r="DS49" s="799">
        <f t="shared" si="48"/>
        <v>0</v>
      </c>
      <c r="DT49" s="799">
        <f t="shared" si="48"/>
        <v>0</v>
      </c>
      <c r="DU49" s="799">
        <f t="shared" si="48"/>
        <v>0</v>
      </c>
      <c r="DV49" s="799">
        <f t="shared" si="48"/>
        <v>0</v>
      </c>
      <c r="DW49" s="799">
        <f t="shared" si="48"/>
        <v>0</v>
      </c>
      <c r="DX49" s="799">
        <f t="shared" si="48"/>
        <v>0</v>
      </c>
      <c r="DY49" s="799">
        <f t="shared" si="48"/>
        <v>0</v>
      </c>
      <c r="DZ49" s="799">
        <f t="shared" si="48"/>
        <v>0</v>
      </c>
      <c r="EA49" s="799">
        <f t="shared" si="48"/>
        <v>0</v>
      </c>
      <c r="EB49" s="799">
        <f t="shared" si="48"/>
        <v>0</v>
      </c>
      <c r="EC49" s="799">
        <f>IF(EC9=1,SUM(EC196,EC199:EC202),0)</f>
        <v>0</v>
      </c>
      <c r="ED49" s="799">
        <f>IF(ED9=1,SUM(ED196,ED199:ED202),0)</f>
        <v>0</v>
      </c>
      <c r="EE49" s="799">
        <f>IF(EE9=1,SUM(EE196,EE199:EE202),0)</f>
        <v>0</v>
      </c>
      <c r="EF49" s="799">
        <f>IF(EF9=1,SUM(EF196,EF199:EF202),0)</f>
        <v>0</v>
      </c>
      <c r="EG49" s="799">
        <f>IF(EG9=1,SUM(EG196,EG199:EG202),0)</f>
        <v>0</v>
      </c>
      <c r="EH49" s="782"/>
    </row>
    <row r="50" spans="1:138" ht="12.75" customHeight="1" x14ac:dyDescent="0.3">
      <c r="A50" s="782"/>
      <c r="B50" s="782" t="s">
        <v>30</v>
      </c>
      <c r="C50" s="798">
        <f t="shared" si="39"/>
        <v>31716387.835678697</v>
      </c>
      <c r="D50" s="782"/>
      <c r="E50" s="798">
        <f>SUM(E45:E49)</f>
        <v>-1121852.0714285714</v>
      </c>
      <c r="F50" s="798">
        <f t="shared" ref="F50:BQ50" si="49">SUM(F45:F49)</f>
        <v>-15205023.650356924</v>
      </c>
      <c r="G50" s="798">
        <f t="shared" si="49"/>
        <v>-482842.87663322879</v>
      </c>
      <c r="H50" s="798">
        <f t="shared" si="49"/>
        <v>-730351.38083719497</v>
      </c>
      <c r="I50" s="798">
        <f t="shared" si="49"/>
        <v>-1236684.7593366946</v>
      </c>
      <c r="J50" s="798">
        <f t="shared" si="49"/>
        <v>-2014778.4195767127</v>
      </c>
      <c r="K50" s="798">
        <f t="shared" si="49"/>
        <v>-2073610.6161474148</v>
      </c>
      <c r="L50" s="798">
        <f t="shared" si="49"/>
        <v>-2640889.4279506723</v>
      </c>
      <c r="M50" s="798">
        <f t="shared" si="49"/>
        <v>-3131644.7085792772</v>
      </c>
      <c r="N50" s="798">
        <f t="shared" si="49"/>
        <v>-3664977.9572392926</v>
      </c>
      <c r="O50" s="798">
        <f t="shared" si="49"/>
        <v>-3794081.8802737892</v>
      </c>
      <c r="P50" s="798">
        <f t="shared" si="49"/>
        <v>-3981561.2249667379</v>
      </c>
      <c r="Q50" s="798">
        <f t="shared" si="49"/>
        <v>-4010445.1180104553</v>
      </c>
      <c r="R50" s="798">
        <f t="shared" si="49"/>
        <v>-4027502.959331742</v>
      </c>
      <c r="S50" s="798">
        <f t="shared" si="49"/>
        <v>-3744708.6719599902</v>
      </c>
      <c r="T50" s="798">
        <f t="shared" si="49"/>
        <v>-3617121.5712719108</v>
      </c>
      <c r="U50" s="798">
        <f t="shared" si="49"/>
        <v>-3328440.6148768314</v>
      </c>
      <c r="V50" s="798">
        <f t="shared" si="49"/>
        <v>-2972914.4303884082</v>
      </c>
      <c r="W50" s="798">
        <f t="shared" si="49"/>
        <v>-2940484.2825984191</v>
      </c>
      <c r="X50" s="798">
        <f t="shared" si="49"/>
        <v>-2678468.9107315354</v>
      </c>
      <c r="Y50" s="798">
        <f t="shared" si="49"/>
        <v>-2229607.5061402018</v>
      </c>
      <c r="Z50" s="798">
        <f t="shared" si="49"/>
        <v>-1876144.6938300212</v>
      </c>
      <c r="AA50" s="798">
        <f t="shared" si="49"/>
        <v>-1534182.0480555915</v>
      </c>
      <c r="AB50" s="798">
        <f t="shared" si="49"/>
        <v>-990715.13301772578</v>
      </c>
      <c r="AC50" s="798">
        <f t="shared" si="49"/>
        <v>-728783.95712129225</v>
      </c>
      <c r="AD50" s="798">
        <f t="shared" si="49"/>
        <v>-370123.37918972806</v>
      </c>
      <c r="AE50" s="798">
        <f t="shared" si="49"/>
        <v>354045.64395481773</v>
      </c>
      <c r="AF50" s="798">
        <f t="shared" si="49"/>
        <v>443483.61813533143</v>
      </c>
      <c r="AG50" s="798">
        <f t="shared" si="49"/>
        <v>447129.95978718164</v>
      </c>
      <c r="AH50" s="798">
        <f t="shared" si="49"/>
        <v>448433.10872492491</v>
      </c>
      <c r="AI50" s="798">
        <f t="shared" si="49"/>
        <v>449732.04210855789</v>
      </c>
      <c r="AJ50" s="798">
        <f t="shared" si="49"/>
        <v>452320.98962950148</v>
      </c>
      <c r="AK50" s="798">
        <f t="shared" si="49"/>
        <v>104249184.72318876</v>
      </c>
      <c r="AL50" s="798">
        <f t="shared" si="49"/>
        <v>0</v>
      </c>
      <c r="AM50" s="798">
        <f t="shared" si="49"/>
        <v>0</v>
      </c>
      <c r="AN50" s="798">
        <f t="shared" si="49"/>
        <v>0</v>
      </c>
      <c r="AO50" s="798">
        <f t="shared" si="49"/>
        <v>0</v>
      </c>
      <c r="AP50" s="798">
        <f t="shared" si="49"/>
        <v>0</v>
      </c>
      <c r="AQ50" s="798">
        <f t="shared" si="49"/>
        <v>0</v>
      </c>
      <c r="AR50" s="798">
        <f t="shared" si="49"/>
        <v>0</v>
      </c>
      <c r="AS50" s="798">
        <f t="shared" si="49"/>
        <v>0</v>
      </c>
      <c r="AT50" s="798">
        <f t="shared" si="49"/>
        <v>0</v>
      </c>
      <c r="AU50" s="798">
        <f t="shared" si="49"/>
        <v>0</v>
      </c>
      <c r="AV50" s="798">
        <f t="shared" si="49"/>
        <v>0</v>
      </c>
      <c r="AW50" s="798">
        <f t="shared" si="49"/>
        <v>0</v>
      </c>
      <c r="AX50" s="798">
        <f t="shared" si="49"/>
        <v>0</v>
      </c>
      <c r="AY50" s="798">
        <f t="shared" si="49"/>
        <v>0</v>
      </c>
      <c r="AZ50" s="798">
        <f t="shared" si="49"/>
        <v>0</v>
      </c>
      <c r="BA50" s="798">
        <f t="shared" si="49"/>
        <v>0</v>
      </c>
      <c r="BB50" s="798">
        <f t="shared" si="49"/>
        <v>0</v>
      </c>
      <c r="BC50" s="798">
        <f t="shared" si="49"/>
        <v>0</v>
      </c>
      <c r="BD50" s="798">
        <f t="shared" si="49"/>
        <v>0</v>
      </c>
      <c r="BE50" s="798">
        <f t="shared" si="49"/>
        <v>0</v>
      </c>
      <c r="BF50" s="798">
        <f t="shared" si="49"/>
        <v>0</v>
      </c>
      <c r="BG50" s="798">
        <f t="shared" si="49"/>
        <v>0</v>
      </c>
      <c r="BH50" s="798">
        <f t="shared" si="49"/>
        <v>0</v>
      </c>
      <c r="BI50" s="798">
        <f t="shared" si="49"/>
        <v>0</v>
      </c>
      <c r="BJ50" s="798">
        <f t="shared" si="49"/>
        <v>0</v>
      </c>
      <c r="BK50" s="798">
        <f t="shared" si="49"/>
        <v>0</v>
      </c>
      <c r="BL50" s="798">
        <f t="shared" si="49"/>
        <v>0</v>
      </c>
      <c r="BM50" s="798">
        <f t="shared" si="49"/>
        <v>0</v>
      </c>
      <c r="BN50" s="798">
        <f t="shared" si="49"/>
        <v>0</v>
      </c>
      <c r="BO50" s="798">
        <f t="shared" si="49"/>
        <v>0</v>
      </c>
      <c r="BP50" s="798">
        <f t="shared" si="49"/>
        <v>0</v>
      </c>
      <c r="BQ50" s="798">
        <f t="shared" si="49"/>
        <v>0</v>
      </c>
      <c r="BR50" s="798">
        <f t="shared" ref="BR50:EC50" si="50">SUM(BR45:BR49)</f>
        <v>0</v>
      </c>
      <c r="BS50" s="798">
        <f t="shared" si="50"/>
        <v>0</v>
      </c>
      <c r="BT50" s="798">
        <f t="shared" si="50"/>
        <v>0</v>
      </c>
      <c r="BU50" s="798">
        <f t="shared" si="50"/>
        <v>0</v>
      </c>
      <c r="BV50" s="798">
        <f t="shared" si="50"/>
        <v>0</v>
      </c>
      <c r="BW50" s="798">
        <f t="shared" si="50"/>
        <v>0</v>
      </c>
      <c r="BX50" s="798">
        <f t="shared" si="50"/>
        <v>0</v>
      </c>
      <c r="BY50" s="798">
        <f t="shared" si="50"/>
        <v>0</v>
      </c>
      <c r="BZ50" s="798">
        <f t="shared" si="50"/>
        <v>0</v>
      </c>
      <c r="CA50" s="798">
        <f t="shared" si="50"/>
        <v>0</v>
      </c>
      <c r="CB50" s="798">
        <f t="shared" si="50"/>
        <v>0</v>
      </c>
      <c r="CC50" s="798">
        <f t="shared" si="50"/>
        <v>0</v>
      </c>
      <c r="CD50" s="798">
        <f t="shared" si="50"/>
        <v>0</v>
      </c>
      <c r="CE50" s="798">
        <f t="shared" si="50"/>
        <v>0</v>
      </c>
      <c r="CF50" s="798">
        <f t="shared" si="50"/>
        <v>0</v>
      </c>
      <c r="CG50" s="798">
        <f t="shared" si="50"/>
        <v>0</v>
      </c>
      <c r="CH50" s="798">
        <f t="shared" si="50"/>
        <v>0</v>
      </c>
      <c r="CI50" s="798">
        <f t="shared" si="50"/>
        <v>0</v>
      </c>
      <c r="CJ50" s="798">
        <f t="shared" si="50"/>
        <v>0</v>
      </c>
      <c r="CK50" s="798">
        <f t="shared" si="50"/>
        <v>0</v>
      </c>
      <c r="CL50" s="798">
        <f t="shared" si="50"/>
        <v>0</v>
      </c>
      <c r="CM50" s="798">
        <f t="shared" si="50"/>
        <v>0</v>
      </c>
      <c r="CN50" s="798">
        <f t="shared" si="50"/>
        <v>0</v>
      </c>
      <c r="CO50" s="798">
        <f t="shared" si="50"/>
        <v>0</v>
      </c>
      <c r="CP50" s="798">
        <f t="shared" si="50"/>
        <v>0</v>
      </c>
      <c r="CQ50" s="798">
        <f t="shared" si="50"/>
        <v>0</v>
      </c>
      <c r="CR50" s="798">
        <f t="shared" si="50"/>
        <v>0</v>
      </c>
      <c r="CS50" s="798">
        <f t="shared" si="50"/>
        <v>0</v>
      </c>
      <c r="CT50" s="798">
        <f t="shared" si="50"/>
        <v>0</v>
      </c>
      <c r="CU50" s="798">
        <f t="shared" si="50"/>
        <v>0</v>
      </c>
      <c r="CV50" s="798">
        <f t="shared" si="50"/>
        <v>0</v>
      </c>
      <c r="CW50" s="798">
        <f t="shared" si="50"/>
        <v>0</v>
      </c>
      <c r="CX50" s="798">
        <f t="shared" si="50"/>
        <v>0</v>
      </c>
      <c r="CY50" s="798">
        <f t="shared" si="50"/>
        <v>0</v>
      </c>
      <c r="CZ50" s="798">
        <f t="shared" si="50"/>
        <v>0</v>
      </c>
      <c r="DA50" s="798">
        <f t="shared" si="50"/>
        <v>0</v>
      </c>
      <c r="DB50" s="798">
        <f t="shared" si="50"/>
        <v>0</v>
      </c>
      <c r="DC50" s="798">
        <f t="shared" si="50"/>
        <v>0</v>
      </c>
      <c r="DD50" s="798">
        <f t="shared" si="50"/>
        <v>0</v>
      </c>
      <c r="DE50" s="798">
        <f t="shared" si="50"/>
        <v>0</v>
      </c>
      <c r="DF50" s="798">
        <f t="shared" si="50"/>
        <v>0</v>
      </c>
      <c r="DG50" s="798">
        <f t="shared" si="50"/>
        <v>0</v>
      </c>
      <c r="DH50" s="798">
        <f t="shared" si="50"/>
        <v>0</v>
      </c>
      <c r="DI50" s="798">
        <f t="shared" si="50"/>
        <v>0</v>
      </c>
      <c r="DJ50" s="798">
        <f t="shared" si="50"/>
        <v>0</v>
      </c>
      <c r="DK50" s="798">
        <f t="shared" si="50"/>
        <v>0</v>
      </c>
      <c r="DL50" s="798">
        <f t="shared" si="50"/>
        <v>0</v>
      </c>
      <c r="DM50" s="798">
        <f t="shared" si="50"/>
        <v>0</v>
      </c>
      <c r="DN50" s="798">
        <f t="shared" si="50"/>
        <v>0</v>
      </c>
      <c r="DO50" s="798">
        <f t="shared" si="50"/>
        <v>0</v>
      </c>
      <c r="DP50" s="798">
        <f t="shared" si="50"/>
        <v>0</v>
      </c>
      <c r="DQ50" s="798">
        <f t="shared" si="50"/>
        <v>0</v>
      </c>
      <c r="DR50" s="798">
        <f t="shared" si="50"/>
        <v>0</v>
      </c>
      <c r="DS50" s="798">
        <f t="shared" si="50"/>
        <v>0</v>
      </c>
      <c r="DT50" s="798">
        <f t="shared" si="50"/>
        <v>0</v>
      </c>
      <c r="DU50" s="798">
        <f t="shared" si="50"/>
        <v>0</v>
      </c>
      <c r="DV50" s="798">
        <f t="shared" si="50"/>
        <v>0</v>
      </c>
      <c r="DW50" s="798">
        <f t="shared" si="50"/>
        <v>0</v>
      </c>
      <c r="DX50" s="798">
        <f t="shared" si="50"/>
        <v>0</v>
      </c>
      <c r="DY50" s="798">
        <f t="shared" si="50"/>
        <v>0</v>
      </c>
      <c r="DZ50" s="798">
        <f t="shared" si="50"/>
        <v>0</v>
      </c>
      <c r="EA50" s="798">
        <f t="shared" si="50"/>
        <v>0</v>
      </c>
      <c r="EB50" s="798">
        <f t="shared" si="50"/>
        <v>0</v>
      </c>
      <c r="EC50" s="798">
        <f t="shared" si="50"/>
        <v>0</v>
      </c>
      <c r="ED50" s="798">
        <f>SUM(ED45:ED49)</f>
        <v>0</v>
      </c>
      <c r="EE50" s="798">
        <f>SUM(EE45:EE49)</f>
        <v>0</v>
      </c>
      <c r="EF50" s="798">
        <f>SUM(EF45:EF49)</f>
        <v>0</v>
      </c>
      <c r="EG50" s="798">
        <f>SUM(EG45:EG49)</f>
        <v>0</v>
      </c>
      <c r="EH50" s="782"/>
    </row>
    <row r="51" spans="1:138" ht="12.75" customHeight="1" x14ac:dyDescent="0.3">
      <c r="A51" s="782"/>
      <c r="B51" s="800" t="s">
        <v>31</v>
      </c>
      <c r="C51" s="801">
        <f>XIRR(OFFSET(E50,0,$C$141):EG50,OFFSET($E$4,0,$C$141):$EG$4)</f>
        <v>0.21382752060890195</v>
      </c>
      <c r="D51" s="782"/>
      <c r="E51" s="798"/>
      <c r="F51" s="798"/>
      <c r="G51" s="798"/>
      <c r="H51" s="798"/>
      <c r="I51" s="798"/>
      <c r="J51" s="798"/>
      <c r="K51" s="798"/>
      <c r="L51" s="798"/>
      <c r="M51" s="798"/>
      <c r="N51" s="798"/>
      <c r="O51" s="798"/>
      <c r="P51" s="798"/>
      <c r="Q51" s="798"/>
      <c r="R51" s="798"/>
      <c r="S51" s="798"/>
      <c r="T51" s="798"/>
      <c r="U51" s="798"/>
      <c r="V51" s="798"/>
      <c r="W51" s="798"/>
      <c r="X51" s="798"/>
      <c r="Y51" s="798"/>
      <c r="Z51" s="798"/>
      <c r="AA51" s="798"/>
      <c r="AB51" s="798"/>
      <c r="AC51" s="798"/>
      <c r="AD51" s="798"/>
      <c r="AE51" s="798"/>
      <c r="AF51" s="798"/>
      <c r="AG51" s="798"/>
      <c r="AH51" s="798"/>
      <c r="AI51" s="798"/>
      <c r="AJ51" s="798"/>
      <c r="AK51" s="798"/>
      <c r="AL51" s="798"/>
      <c r="AM51" s="798"/>
      <c r="AN51" s="798"/>
      <c r="AO51" s="798"/>
      <c r="AP51" s="798"/>
      <c r="AQ51" s="798"/>
      <c r="AR51" s="798"/>
      <c r="AS51" s="798"/>
      <c r="AT51" s="798"/>
      <c r="AU51" s="798"/>
      <c r="AV51" s="798"/>
      <c r="AW51" s="798"/>
      <c r="AX51" s="798"/>
      <c r="AY51" s="798"/>
      <c r="AZ51" s="798"/>
      <c r="BA51" s="798"/>
      <c r="BB51" s="798"/>
      <c r="BC51" s="798"/>
      <c r="BD51" s="798"/>
      <c r="BE51" s="798"/>
      <c r="BF51" s="798"/>
      <c r="BG51" s="798"/>
      <c r="BH51" s="798"/>
      <c r="BI51" s="798"/>
      <c r="BJ51" s="798"/>
      <c r="BK51" s="798"/>
      <c r="BL51" s="798"/>
      <c r="BM51" s="798"/>
      <c r="BN51" s="798"/>
      <c r="BO51" s="798"/>
      <c r="BP51" s="798"/>
      <c r="BQ51" s="798"/>
      <c r="BR51" s="798"/>
      <c r="BS51" s="798"/>
      <c r="BT51" s="798"/>
      <c r="BU51" s="798"/>
      <c r="BV51" s="798"/>
      <c r="BW51" s="798"/>
      <c r="BX51" s="798"/>
      <c r="BY51" s="798"/>
      <c r="BZ51" s="798"/>
      <c r="CA51" s="798"/>
      <c r="CB51" s="798"/>
      <c r="CC51" s="798"/>
      <c r="CD51" s="798"/>
      <c r="CE51" s="798"/>
      <c r="CF51" s="798"/>
      <c r="CG51" s="798"/>
      <c r="CH51" s="798"/>
      <c r="CI51" s="798"/>
      <c r="CJ51" s="798"/>
      <c r="CK51" s="798"/>
      <c r="CL51" s="798"/>
      <c r="CM51" s="798"/>
      <c r="CN51" s="798"/>
      <c r="CO51" s="798"/>
      <c r="CP51" s="798"/>
      <c r="CQ51" s="798"/>
      <c r="CR51" s="798"/>
      <c r="CS51" s="798"/>
      <c r="CT51" s="798"/>
      <c r="CU51" s="798"/>
      <c r="CV51" s="798"/>
      <c r="CW51" s="798"/>
      <c r="CX51" s="798"/>
      <c r="CY51" s="798"/>
      <c r="CZ51" s="798"/>
      <c r="DA51" s="798"/>
      <c r="DB51" s="798"/>
      <c r="DC51" s="798"/>
      <c r="DD51" s="798"/>
      <c r="DE51" s="798"/>
      <c r="DF51" s="798"/>
      <c r="DG51" s="798"/>
      <c r="DH51" s="798"/>
      <c r="DI51" s="798"/>
      <c r="DJ51" s="798"/>
      <c r="DK51" s="798"/>
      <c r="DL51" s="798"/>
      <c r="DM51" s="798"/>
      <c r="DN51" s="798"/>
      <c r="DO51" s="798"/>
      <c r="DP51" s="798"/>
      <c r="DQ51" s="798"/>
      <c r="DR51" s="798"/>
      <c r="DS51" s="798"/>
      <c r="DT51" s="798"/>
      <c r="DU51" s="798"/>
      <c r="DV51" s="798"/>
      <c r="DW51" s="798"/>
      <c r="DX51" s="798"/>
      <c r="DY51" s="798"/>
      <c r="DZ51" s="798"/>
      <c r="EA51" s="798"/>
      <c r="EB51" s="798"/>
      <c r="EC51" s="798"/>
      <c r="ED51" s="798"/>
      <c r="EE51" s="798"/>
      <c r="EF51" s="798"/>
      <c r="EG51" s="798"/>
      <c r="EH51" s="782"/>
    </row>
    <row r="52" spans="1:138" ht="12.75" customHeight="1" x14ac:dyDescent="0.3">
      <c r="A52" s="782"/>
      <c r="B52" s="782"/>
      <c r="C52" s="782"/>
      <c r="D52" s="782"/>
      <c r="E52" s="782"/>
      <c r="F52" s="782"/>
      <c r="G52" s="782"/>
      <c r="H52" s="782"/>
      <c r="I52" s="782"/>
      <c r="J52" s="782"/>
      <c r="K52" s="782"/>
      <c r="L52" s="782"/>
      <c r="M52" s="782"/>
      <c r="N52" s="782"/>
      <c r="O52" s="782"/>
      <c r="P52" s="782"/>
      <c r="Q52" s="782"/>
      <c r="R52" s="782"/>
      <c r="S52" s="782"/>
      <c r="T52" s="782"/>
      <c r="U52" s="782"/>
      <c r="V52" s="782"/>
      <c r="W52" s="782"/>
      <c r="X52" s="782"/>
      <c r="Y52" s="782"/>
      <c r="Z52" s="782"/>
      <c r="AA52" s="782"/>
      <c r="AB52" s="782"/>
      <c r="AC52" s="782"/>
      <c r="AD52" s="782"/>
      <c r="AE52" s="782"/>
      <c r="AF52" s="782"/>
      <c r="AG52" s="782"/>
      <c r="AH52" s="782"/>
      <c r="AI52" s="782"/>
      <c r="AJ52" s="782"/>
      <c r="AK52" s="782"/>
      <c r="AL52" s="782"/>
      <c r="AM52" s="782"/>
      <c r="AN52" s="782"/>
      <c r="AO52" s="782"/>
      <c r="AP52" s="782"/>
      <c r="AQ52" s="782"/>
      <c r="AR52" s="782"/>
      <c r="AS52" s="782"/>
      <c r="AT52" s="782"/>
      <c r="AU52" s="782"/>
      <c r="AV52" s="782"/>
      <c r="AW52" s="782"/>
      <c r="AX52" s="782"/>
      <c r="AY52" s="782"/>
      <c r="AZ52" s="782"/>
      <c r="BA52" s="782"/>
      <c r="BB52" s="782"/>
      <c r="BC52" s="782"/>
      <c r="BD52" s="782"/>
      <c r="BE52" s="782"/>
      <c r="BF52" s="782"/>
      <c r="BG52" s="782"/>
      <c r="BH52" s="782"/>
      <c r="BI52" s="782"/>
      <c r="BJ52" s="782"/>
      <c r="BK52" s="782"/>
      <c r="BL52" s="782"/>
      <c r="BM52" s="782"/>
      <c r="BN52" s="782"/>
      <c r="BO52" s="782"/>
      <c r="BP52" s="782"/>
      <c r="BQ52" s="782"/>
      <c r="BR52" s="782"/>
      <c r="BS52" s="782"/>
      <c r="BT52" s="782"/>
      <c r="BU52" s="782"/>
      <c r="BV52" s="782"/>
      <c r="BW52" s="782"/>
      <c r="BX52" s="782"/>
      <c r="BY52" s="782"/>
      <c r="BZ52" s="782"/>
      <c r="CA52" s="782"/>
      <c r="CB52" s="782"/>
      <c r="CC52" s="782"/>
      <c r="CD52" s="782"/>
      <c r="CE52" s="782"/>
      <c r="CF52" s="782"/>
      <c r="CG52" s="782"/>
      <c r="CH52" s="782"/>
      <c r="CI52" s="782"/>
      <c r="CJ52" s="782"/>
      <c r="CK52" s="782"/>
      <c r="CL52" s="782"/>
      <c r="CM52" s="782"/>
      <c r="CN52" s="782"/>
      <c r="CO52" s="782"/>
      <c r="CP52" s="782"/>
      <c r="CQ52" s="782"/>
      <c r="CR52" s="782"/>
      <c r="CS52" s="782"/>
      <c r="CT52" s="782"/>
      <c r="CU52" s="782"/>
      <c r="CV52" s="782"/>
      <c r="CW52" s="782"/>
      <c r="CX52" s="782"/>
      <c r="CY52" s="782"/>
      <c r="CZ52" s="782"/>
      <c r="DA52" s="782"/>
      <c r="DB52" s="782"/>
      <c r="DC52" s="782"/>
      <c r="DD52" s="782"/>
      <c r="DE52" s="782"/>
      <c r="DF52" s="782"/>
      <c r="DG52" s="782"/>
      <c r="DH52" s="782"/>
      <c r="DI52" s="782"/>
      <c r="DJ52" s="782"/>
      <c r="DK52" s="782"/>
      <c r="DL52" s="782"/>
      <c r="DM52" s="782"/>
      <c r="DN52" s="782"/>
      <c r="DO52" s="782"/>
      <c r="DP52" s="782"/>
      <c r="DQ52" s="782"/>
      <c r="DR52" s="782"/>
      <c r="DS52" s="782"/>
      <c r="DT52" s="782"/>
      <c r="DU52" s="782"/>
      <c r="DV52" s="782"/>
      <c r="DW52" s="782"/>
      <c r="DX52" s="782"/>
      <c r="DY52" s="782"/>
      <c r="DZ52" s="782"/>
      <c r="EA52" s="782"/>
      <c r="EB52" s="782"/>
      <c r="EC52" s="782"/>
      <c r="ED52" s="782"/>
      <c r="EE52" s="782"/>
      <c r="EF52" s="782"/>
      <c r="EG52" s="782"/>
      <c r="EH52" s="782"/>
    </row>
    <row r="53" spans="1:138" ht="12.75" customHeight="1" x14ac:dyDescent="0.3">
      <c r="A53" s="782"/>
      <c r="B53" s="782" t="s">
        <v>14</v>
      </c>
      <c r="C53" s="1356">
        <f>SUM(E53:EG53)</f>
        <v>-896583.45041148621</v>
      </c>
      <c r="D53" s="782"/>
      <c r="E53" s="798">
        <f>E26*E$10</f>
        <v>-821583.45041148621</v>
      </c>
      <c r="F53" s="798">
        <f t="shared" ref="F53:BQ55" si="51">F26*F$10</f>
        <v>-3000</v>
      </c>
      <c r="G53" s="798">
        <f t="shared" si="51"/>
        <v>-3000</v>
      </c>
      <c r="H53" s="798">
        <f t="shared" si="51"/>
        <v>-3000</v>
      </c>
      <c r="I53" s="798">
        <f t="shared" si="51"/>
        <v>-3000</v>
      </c>
      <c r="J53" s="798">
        <f t="shared" si="51"/>
        <v>-3000</v>
      </c>
      <c r="K53" s="798">
        <f t="shared" si="51"/>
        <v>-3000</v>
      </c>
      <c r="L53" s="798">
        <f t="shared" si="51"/>
        <v>-3000</v>
      </c>
      <c r="M53" s="798">
        <f t="shared" si="51"/>
        <v>-3000</v>
      </c>
      <c r="N53" s="798">
        <f t="shared" si="51"/>
        <v>-3000</v>
      </c>
      <c r="O53" s="798">
        <f t="shared" si="51"/>
        <v>-3000</v>
      </c>
      <c r="P53" s="798">
        <f t="shared" si="51"/>
        <v>-3000</v>
      </c>
      <c r="Q53" s="798">
        <f t="shared" si="51"/>
        <v>-3000</v>
      </c>
      <c r="R53" s="798">
        <f t="shared" si="51"/>
        <v>-3000</v>
      </c>
      <c r="S53" s="798">
        <f t="shared" si="51"/>
        <v>-3000</v>
      </c>
      <c r="T53" s="798">
        <f t="shared" si="51"/>
        <v>-3000</v>
      </c>
      <c r="U53" s="798">
        <f t="shared" si="51"/>
        <v>-3000</v>
      </c>
      <c r="V53" s="798">
        <f t="shared" si="51"/>
        <v>-3000</v>
      </c>
      <c r="W53" s="798">
        <f t="shared" si="51"/>
        <v>-3000</v>
      </c>
      <c r="X53" s="798">
        <f t="shared" si="51"/>
        <v>-3000</v>
      </c>
      <c r="Y53" s="798">
        <f t="shared" si="51"/>
        <v>-3000</v>
      </c>
      <c r="Z53" s="798">
        <f t="shared" si="51"/>
        <v>-3000</v>
      </c>
      <c r="AA53" s="798">
        <f t="shared" si="51"/>
        <v>-3000</v>
      </c>
      <c r="AB53" s="798">
        <f t="shared" si="51"/>
        <v>-3000</v>
      </c>
      <c r="AC53" s="798">
        <f t="shared" si="51"/>
        <v>-3000</v>
      </c>
      <c r="AD53" s="798">
        <f t="shared" si="51"/>
        <v>-3000</v>
      </c>
      <c r="AE53" s="798">
        <f t="shared" si="51"/>
        <v>0</v>
      </c>
      <c r="AF53" s="798">
        <f t="shared" si="51"/>
        <v>0</v>
      </c>
      <c r="AG53" s="798">
        <f t="shared" si="51"/>
        <v>0</v>
      </c>
      <c r="AH53" s="798">
        <f t="shared" si="51"/>
        <v>0</v>
      </c>
      <c r="AI53" s="798">
        <f t="shared" si="51"/>
        <v>0</v>
      </c>
      <c r="AJ53" s="798">
        <f t="shared" si="51"/>
        <v>0</v>
      </c>
      <c r="AK53" s="798">
        <f t="shared" si="51"/>
        <v>0</v>
      </c>
      <c r="AL53" s="798">
        <f t="shared" si="51"/>
        <v>0</v>
      </c>
      <c r="AM53" s="798">
        <f t="shared" si="51"/>
        <v>0</v>
      </c>
      <c r="AN53" s="798">
        <f t="shared" si="51"/>
        <v>0</v>
      </c>
      <c r="AO53" s="798">
        <f t="shared" si="51"/>
        <v>0</v>
      </c>
      <c r="AP53" s="798">
        <f t="shared" si="51"/>
        <v>0</v>
      </c>
      <c r="AQ53" s="798">
        <f t="shared" si="51"/>
        <v>0</v>
      </c>
      <c r="AR53" s="798">
        <f t="shared" si="51"/>
        <v>0</v>
      </c>
      <c r="AS53" s="798">
        <f t="shared" si="51"/>
        <v>0</v>
      </c>
      <c r="AT53" s="798">
        <f t="shared" si="51"/>
        <v>0</v>
      </c>
      <c r="AU53" s="798">
        <f t="shared" si="51"/>
        <v>0</v>
      </c>
      <c r="AV53" s="798">
        <f t="shared" si="51"/>
        <v>0</v>
      </c>
      <c r="AW53" s="798">
        <f t="shared" si="51"/>
        <v>0</v>
      </c>
      <c r="AX53" s="798">
        <f t="shared" si="51"/>
        <v>0</v>
      </c>
      <c r="AY53" s="798">
        <f t="shared" si="51"/>
        <v>0</v>
      </c>
      <c r="AZ53" s="798">
        <f t="shared" si="51"/>
        <v>0</v>
      </c>
      <c r="BA53" s="798">
        <f t="shared" si="51"/>
        <v>0</v>
      </c>
      <c r="BB53" s="798">
        <f t="shared" si="51"/>
        <v>0</v>
      </c>
      <c r="BC53" s="798">
        <f t="shared" si="51"/>
        <v>0</v>
      </c>
      <c r="BD53" s="798">
        <f t="shared" si="51"/>
        <v>0</v>
      </c>
      <c r="BE53" s="798">
        <f t="shared" si="51"/>
        <v>0</v>
      </c>
      <c r="BF53" s="798">
        <f t="shared" si="51"/>
        <v>0</v>
      </c>
      <c r="BG53" s="798">
        <f t="shared" si="51"/>
        <v>0</v>
      </c>
      <c r="BH53" s="798">
        <f t="shared" si="51"/>
        <v>0</v>
      </c>
      <c r="BI53" s="798">
        <f t="shared" si="51"/>
        <v>0</v>
      </c>
      <c r="BJ53" s="798">
        <f t="shared" si="51"/>
        <v>0</v>
      </c>
      <c r="BK53" s="798">
        <f t="shared" si="51"/>
        <v>0</v>
      </c>
      <c r="BL53" s="798">
        <f t="shared" si="51"/>
        <v>0</v>
      </c>
      <c r="BM53" s="798">
        <f t="shared" si="51"/>
        <v>0</v>
      </c>
      <c r="BN53" s="798">
        <f t="shared" si="51"/>
        <v>0</v>
      </c>
      <c r="BO53" s="798">
        <f t="shared" si="51"/>
        <v>0</v>
      </c>
      <c r="BP53" s="798">
        <f t="shared" si="51"/>
        <v>0</v>
      </c>
      <c r="BQ53" s="798">
        <f t="shared" si="51"/>
        <v>0</v>
      </c>
      <c r="BR53" s="798">
        <f t="shared" ref="BR53:EC55" si="52">BR26*BR$10</f>
        <v>0</v>
      </c>
      <c r="BS53" s="798">
        <f t="shared" si="52"/>
        <v>0</v>
      </c>
      <c r="BT53" s="798">
        <f t="shared" si="52"/>
        <v>0</v>
      </c>
      <c r="BU53" s="798">
        <f t="shared" si="52"/>
        <v>0</v>
      </c>
      <c r="BV53" s="798">
        <f t="shared" si="52"/>
        <v>0</v>
      </c>
      <c r="BW53" s="798">
        <f t="shared" si="52"/>
        <v>0</v>
      </c>
      <c r="BX53" s="798">
        <f t="shared" si="52"/>
        <v>0</v>
      </c>
      <c r="BY53" s="798">
        <f t="shared" si="52"/>
        <v>0</v>
      </c>
      <c r="BZ53" s="798">
        <f t="shared" si="52"/>
        <v>0</v>
      </c>
      <c r="CA53" s="798">
        <f t="shared" si="52"/>
        <v>0</v>
      </c>
      <c r="CB53" s="798">
        <f t="shared" si="52"/>
        <v>0</v>
      </c>
      <c r="CC53" s="798">
        <f t="shared" si="52"/>
        <v>0</v>
      </c>
      <c r="CD53" s="798">
        <f t="shared" si="52"/>
        <v>0</v>
      </c>
      <c r="CE53" s="798">
        <f t="shared" si="52"/>
        <v>0</v>
      </c>
      <c r="CF53" s="798">
        <f t="shared" si="52"/>
        <v>0</v>
      </c>
      <c r="CG53" s="798">
        <f t="shared" si="52"/>
        <v>0</v>
      </c>
      <c r="CH53" s="798">
        <f t="shared" si="52"/>
        <v>0</v>
      </c>
      <c r="CI53" s="798">
        <f t="shared" si="52"/>
        <v>0</v>
      </c>
      <c r="CJ53" s="798">
        <f t="shared" si="52"/>
        <v>0</v>
      </c>
      <c r="CK53" s="798">
        <f t="shared" si="52"/>
        <v>0</v>
      </c>
      <c r="CL53" s="798">
        <f t="shared" si="52"/>
        <v>0</v>
      </c>
      <c r="CM53" s="798">
        <f t="shared" si="52"/>
        <v>0</v>
      </c>
      <c r="CN53" s="798">
        <f t="shared" si="52"/>
        <v>0</v>
      </c>
      <c r="CO53" s="798">
        <f t="shared" si="52"/>
        <v>0</v>
      </c>
      <c r="CP53" s="798">
        <f t="shared" si="52"/>
        <v>0</v>
      </c>
      <c r="CQ53" s="798">
        <f t="shared" si="52"/>
        <v>0</v>
      </c>
      <c r="CR53" s="798">
        <f t="shared" si="52"/>
        <v>0</v>
      </c>
      <c r="CS53" s="798">
        <f t="shared" si="52"/>
        <v>0</v>
      </c>
      <c r="CT53" s="798">
        <f t="shared" si="52"/>
        <v>0</v>
      </c>
      <c r="CU53" s="798">
        <f t="shared" si="52"/>
        <v>0</v>
      </c>
      <c r="CV53" s="798">
        <f t="shared" si="52"/>
        <v>0</v>
      </c>
      <c r="CW53" s="798">
        <f t="shared" si="52"/>
        <v>0</v>
      </c>
      <c r="CX53" s="798">
        <f t="shared" si="52"/>
        <v>0</v>
      </c>
      <c r="CY53" s="798">
        <f t="shared" si="52"/>
        <v>0</v>
      </c>
      <c r="CZ53" s="798">
        <f t="shared" si="52"/>
        <v>0</v>
      </c>
      <c r="DA53" s="798">
        <f t="shared" si="52"/>
        <v>0</v>
      </c>
      <c r="DB53" s="798">
        <f t="shared" si="52"/>
        <v>0</v>
      </c>
      <c r="DC53" s="798">
        <f t="shared" si="52"/>
        <v>0</v>
      </c>
      <c r="DD53" s="798">
        <f t="shared" si="52"/>
        <v>0</v>
      </c>
      <c r="DE53" s="798">
        <f t="shared" si="52"/>
        <v>0</v>
      </c>
      <c r="DF53" s="798">
        <f t="shared" si="52"/>
        <v>0</v>
      </c>
      <c r="DG53" s="798">
        <f t="shared" si="52"/>
        <v>0</v>
      </c>
      <c r="DH53" s="798">
        <f t="shared" si="52"/>
        <v>0</v>
      </c>
      <c r="DI53" s="798">
        <f t="shared" si="52"/>
        <v>0</v>
      </c>
      <c r="DJ53" s="798">
        <f t="shared" si="52"/>
        <v>0</v>
      </c>
      <c r="DK53" s="798">
        <f t="shared" si="52"/>
        <v>0</v>
      </c>
      <c r="DL53" s="798">
        <f t="shared" si="52"/>
        <v>0</v>
      </c>
      <c r="DM53" s="798">
        <f t="shared" si="52"/>
        <v>0</v>
      </c>
      <c r="DN53" s="798">
        <f t="shared" si="52"/>
        <v>0</v>
      </c>
      <c r="DO53" s="798">
        <f t="shared" si="52"/>
        <v>0</v>
      </c>
      <c r="DP53" s="798">
        <f t="shared" si="52"/>
        <v>0</v>
      </c>
      <c r="DQ53" s="798">
        <f t="shared" si="52"/>
        <v>0</v>
      </c>
      <c r="DR53" s="798">
        <f t="shared" si="52"/>
        <v>0</v>
      </c>
      <c r="DS53" s="798">
        <f t="shared" si="52"/>
        <v>0</v>
      </c>
      <c r="DT53" s="798">
        <f t="shared" si="52"/>
        <v>0</v>
      </c>
      <c r="DU53" s="798">
        <f t="shared" si="52"/>
        <v>0</v>
      </c>
      <c r="DV53" s="798">
        <f t="shared" si="52"/>
        <v>0</v>
      </c>
      <c r="DW53" s="798">
        <f t="shared" si="52"/>
        <v>0</v>
      </c>
      <c r="DX53" s="798">
        <f t="shared" si="52"/>
        <v>0</v>
      </c>
      <c r="DY53" s="798">
        <f t="shared" si="52"/>
        <v>0</v>
      </c>
      <c r="DZ53" s="798">
        <f t="shared" si="52"/>
        <v>0</v>
      </c>
      <c r="EA53" s="798">
        <f t="shared" si="52"/>
        <v>0</v>
      </c>
      <c r="EB53" s="798">
        <f t="shared" si="52"/>
        <v>0</v>
      </c>
      <c r="EC53" s="798">
        <f t="shared" si="52"/>
        <v>0</v>
      </c>
      <c r="ED53" s="798">
        <f t="shared" ref="ED53:EG55" si="53">ED26*ED$10</f>
        <v>0</v>
      </c>
      <c r="EE53" s="798">
        <f t="shared" si="53"/>
        <v>0</v>
      </c>
      <c r="EF53" s="798">
        <f t="shared" si="53"/>
        <v>0</v>
      </c>
      <c r="EG53" s="798">
        <f t="shared" si="53"/>
        <v>0</v>
      </c>
      <c r="EH53" s="782"/>
    </row>
    <row r="54" spans="1:138" ht="12.75" customHeight="1" x14ac:dyDescent="0.3">
      <c r="A54" s="782"/>
      <c r="B54" s="782" t="s">
        <v>15</v>
      </c>
      <c r="C54" s="1356">
        <f>SUM(E54:EG54)</f>
        <v>-3015435.9515204169</v>
      </c>
      <c r="D54" s="782"/>
      <c r="E54" s="798">
        <f t="shared" ref="E54:T55" si="54">E27*E$10</f>
        <v>0</v>
      </c>
      <c r="F54" s="798">
        <f t="shared" si="54"/>
        <v>0</v>
      </c>
      <c r="G54" s="798">
        <f t="shared" si="54"/>
        <v>0</v>
      </c>
      <c r="H54" s="798">
        <f t="shared" si="51"/>
        <v>0</v>
      </c>
      <c r="I54" s="798">
        <f t="shared" si="51"/>
        <v>0</v>
      </c>
      <c r="J54" s="798">
        <f t="shared" si="51"/>
        <v>0</v>
      </c>
      <c r="K54" s="798">
        <f t="shared" si="54"/>
        <v>0</v>
      </c>
      <c r="L54" s="798">
        <f t="shared" si="54"/>
        <v>0</v>
      </c>
      <c r="M54" s="798">
        <f t="shared" si="54"/>
        <v>0</v>
      </c>
      <c r="N54" s="798">
        <f t="shared" si="54"/>
        <v>0</v>
      </c>
      <c r="O54" s="798">
        <f t="shared" si="54"/>
        <v>0</v>
      </c>
      <c r="P54" s="798">
        <f t="shared" si="54"/>
        <v>-9271.8618416666668</v>
      </c>
      <c r="Q54" s="798">
        <f t="shared" si="54"/>
        <v>-30859.985503750006</v>
      </c>
      <c r="R54" s="798">
        <f t="shared" si="54"/>
        <v>-52721.499257916672</v>
      </c>
      <c r="S54" s="798">
        <f t="shared" si="54"/>
        <v>-74793.826184999998</v>
      </c>
      <c r="T54" s="798">
        <f t="shared" si="54"/>
        <v>-95453.90916208335</v>
      </c>
      <c r="U54" s="798">
        <f t="shared" si="51"/>
        <v>-115534.80412500001</v>
      </c>
      <c r="V54" s="798">
        <f t="shared" si="51"/>
        <v>-134160.78209083332</v>
      </c>
      <c r="W54" s="798">
        <f t="shared" si="51"/>
        <v>-150961.88393541667</v>
      </c>
      <c r="X54" s="798">
        <f t="shared" si="51"/>
        <v>-167678.32844750001</v>
      </c>
      <c r="Y54" s="798">
        <f t="shared" si="51"/>
        <v>-183066.07043833335</v>
      </c>
      <c r="Z54" s="798">
        <f t="shared" si="51"/>
        <v>-196105.83008791669</v>
      </c>
      <c r="AA54" s="798">
        <f t="shared" si="51"/>
        <v>-207301.63153916667</v>
      </c>
      <c r="AB54" s="798">
        <f t="shared" si="51"/>
        <v>-216705.7792466667</v>
      </c>
      <c r="AC54" s="798">
        <f t="shared" si="51"/>
        <v>-223217.08696625006</v>
      </c>
      <c r="AD54" s="798">
        <f t="shared" si="51"/>
        <v>-228583.81597458338</v>
      </c>
      <c r="AE54" s="798">
        <f t="shared" si="51"/>
        <v>-232254.71417958339</v>
      </c>
      <c r="AF54" s="798">
        <f t="shared" si="51"/>
        <v>-232254.71417958339</v>
      </c>
      <c r="AG54" s="798">
        <f t="shared" si="51"/>
        <v>-232254.71417958339</v>
      </c>
      <c r="AH54" s="798">
        <f t="shared" si="51"/>
        <v>-232254.71417958339</v>
      </c>
      <c r="AI54" s="798">
        <f t="shared" si="51"/>
        <v>0</v>
      </c>
      <c r="AJ54" s="798">
        <f t="shared" si="51"/>
        <v>0</v>
      </c>
      <c r="AK54" s="798">
        <f t="shared" si="51"/>
        <v>0</v>
      </c>
      <c r="AL54" s="798">
        <f t="shared" si="51"/>
        <v>0</v>
      </c>
      <c r="AM54" s="798">
        <f t="shared" si="51"/>
        <v>0</v>
      </c>
      <c r="AN54" s="798">
        <f t="shared" si="51"/>
        <v>0</v>
      </c>
      <c r="AO54" s="798">
        <f t="shared" si="51"/>
        <v>0</v>
      </c>
      <c r="AP54" s="798">
        <f t="shared" si="51"/>
        <v>0</v>
      </c>
      <c r="AQ54" s="798">
        <f t="shared" si="51"/>
        <v>0</v>
      </c>
      <c r="AR54" s="798">
        <f t="shared" si="51"/>
        <v>0</v>
      </c>
      <c r="AS54" s="798">
        <f t="shared" si="51"/>
        <v>0</v>
      </c>
      <c r="AT54" s="798">
        <f t="shared" si="51"/>
        <v>0</v>
      </c>
      <c r="AU54" s="798">
        <f t="shared" si="51"/>
        <v>0</v>
      </c>
      <c r="AV54" s="798">
        <f t="shared" si="51"/>
        <v>0</v>
      </c>
      <c r="AW54" s="798">
        <f t="shared" si="51"/>
        <v>0</v>
      </c>
      <c r="AX54" s="798">
        <f t="shared" si="51"/>
        <v>0</v>
      </c>
      <c r="AY54" s="798">
        <f t="shared" si="51"/>
        <v>0</v>
      </c>
      <c r="AZ54" s="798">
        <f t="shared" si="51"/>
        <v>0</v>
      </c>
      <c r="BA54" s="798">
        <f t="shared" si="51"/>
        <v>0</v>
      </c>
      <c r="BB54" s="798">
        <f t="shared" si="51"/>
        <v>0</v>
      </c>
      <c r="BC54" s="798">
        <f t="shared" si="51"/>
        <v>0</v>
      </c>
      <c r="BD54" s="798">
        <f t="shared" si="51"/>
        <v>0</v>
      </c>
      <c r="BE54" s="798">
        <f t="shared" si="51"/>
        <v>0</v>
      </c>
      <c r="BF54" s="798">
        <f t="shared" si="51"/>
        <v>0</v>
      </c>
      <c r="BG54" s="798">
        <f t="shared" si="51"/>
        <v>0</v>
      </c>
      <c r="BH54" s="798">
        <f t="shared" si="51"/>
        <v>0</v>
      </c>
      <c r="BI54" s="798">
        <f t="shared" si="51"/>
        <v>0</v>
      </c>
      <c r="BJ54" s="798">
        <f t="shared" si="51"/>
        <v>0</v>
      </c>
      <c r="BK54" s="798">
        <f t="shared" si="51"/>
        <v>0</v>
      </c>
      <c r="BL54" s="798">
        <f t="shared" si="51"/>
        <v>0</v>
      </c>
      <c r="BM54" s="798">
        <f t="shared" si="51"/>
        <v>0</v>
      </c>
      <c r="BN54" s="798">
        <f t="shared" si="51"/>
        <v>0</v>
      </c>
      <c r="BO54" s="798">
        <f t="shared" si="51"/>
        <v>0</v>
      </c>
      <c r="BP54" s="798">
        <f t="shared" si="51"/>
        <v>0</v>
      </c>
      <c r="BQ54" s="798">
        <f t="shared" si="51"/>
        <v>0</v>
      </c>
      <c r="BR54" s="798">
        <f t="shared" si="52"/>
        <v>0</v>
      </c>
      <c r="BS54" s="798">
        <f t="shared" si="52"/>
        <v>0</v>
      </c>
      <c r="BT54" s="798">
        <f t="shared" si="52"/>
        <v>0</v>
      </c>
      <c r="BU54" s="798">
        <f t="shared" si="52"/>
        <v>0</v>
      </c>
      <c r="BV54" s="798">
        <f t="shared" si="52"/>
        <v>0</v>
      </c>
      <c r="BW54" s="798">
        <f t="shared" si="52"/>
        <v>0</v>
      </c>
      <c r="BX54" s="798">
        <f t="shared" si="52"/>
        <v>0</v>
      </c>
      <c r="BY54" s="798">
        <f t="shared" si="52"/>
        <v>0</v>
      </c>
      <c r="BZ54" s="798">
        <f t="shared" si="52"/>
        <v>0</v>
      </c>
      <c r="CA54" s="798">
        <f t="shared" si="52"/>
        <v>0</v>
      </c>
      <c r="CB54" s="798">
        <f t="shared" si="52"/>
        <v>0</v>
      </c>
      <c r="CC54" s="798">
        <f t="shared" si="52"/>
        <v>0</v>
      </c>
      <c r="CD54" s="798">
        <f t="shared" si="52"/>
        <v>0</v>
      </c>
      <c r="CE54" s="798">
        <f t="shared" si="52"/>
        <v>0</v>
      </c>
      <c r="CF54" s="798">
        <f t="shared" si="52"/>
        <v>0</v>
      </c>
      <c r="CG54" s="798">
        <f t="shared" si="52"/>
        <v>0</v>
      </c>
      <c r="CH54" s="798">
        <f t="shared" si="52"/>
        <v>0</v>
      </c>
      <c r="CI54" s="798">
        <f t="shared" si="52"/>
        <v>0</v>
      </c>
      <c r="CJ54" s="798">
        <f t="shared" si="52"/>
        <v>0</v>
      </c>
      <c r="CK54" s="798">
        <f t="shared" si="52"/>
        <v>0</v>
      </c>
      <c r="CL54" s="798">
        <f t="shared" si="52"/>
        <v>0</v>
      </c>
      <c r="CM54" s="798">
        <f t="shared" si="52"/>
        <v>0</v>
      </c>
      <c r="CN54" s="798">
        <f t="shared" si="52"/>
        <v>0</v>
      </c>
      <c r="CO54" s="798">
        <f t="shared" si="52"/>
        <v>0</v>
      </c>
      <c r="CP54" s="798">
        <f t="shared" si="52"/>
        <v>0</v>
      </c>
      <c r="CQ54" s="798">
        <f t="shared" si="52"/>
        <v>0</v>
      </c>
      <c r="CR54" s="798">
        <f t="shared" si="52"/>
        <v>0</v>
      </c>
      <c r="CS54" s="798">
        <f t="shared" si="52"/>
        <v>0</v>
      </c>
      <c r="CT54" s="798">
        <f t="shared" si="52"/>
        <v>0</v>
      </c>
      <c r="CU54" s="798">
        <f t="shared" si="52"/>
        <v>0</v>
      </c>
      <c r="CV54" s="798">
        <f t="shared" si="52"/>
        <v>0</v>
      </c>
      <c r="CW54" s="798">
        <f t="shared" si="52"/>
        <v>0</v>
      </c>
      <c r="CX54" s="798">
        <f t="shared" si="52"/>
        <v>0</v>
      </c>
      <c r="CY54" s="798">
        <f t="shared" si="52"/>
        <v>0</v>
      </c>
      <c r="CZ54" s="798">
        <f t="shared" si="52"/>
        <v>0</v>
      </c>
      <c r="DA54" s="798">
        <f t="shared" si="52"/>
        <v>0</v>
      </c>
      <c r="DB54" s="798">
        <f t="shared" si="52"/>
        <v>0</v>
      </c>
      <c r="DC54" s="798">
        <f t="shared" si="52"/>
        <v>0</v>
      </c>
      <c r="DD54" s="798">
        <f t="shared" si="52"/>
        <v>0</v>
      </c>
      <c r="DE54" s="798">
        <f t="shared" si="52"/>
        <v>0</v>
      </c>
      <c r="DF54" s="798">
        <f t="shared" si="52"/>
        <v>0</v>
      </c>
      <c r="DG54" s="798">
        <f t="shared" si="52"/>
        <v>0</v>
      </c>
      <c r="DH54" s="798">
        <f t="shared" si="52"/>
        <v>0</v>
      </c>
      <c r="DI54" s="798">
        <f t="shared" si="52"/>
        <v>0</v>
      </c>
      <c r="DJ54" s="798">
        <f t="shared" si="52"/>
        <v>0</v>
      </c>
      <c r="DK54" s="798">
        <f t="shared" si="52"/>
        <v>0</v>
      </c>
      <c r="DL54" s="798">
        <f t="shared" si="52"/>
        <v>0</v>
      </c>
      <c r="DM54" s="798">
        <f t="shared" si="52"/>
        <v>0</v>
      </c>
      <c r="DN54" s="798">
        <f t="shared" si="52"/>
        <v>0</v>
      </c>
      <c r="DO54" s="798">
        <f t="shared" si="52"/>
        <v>0</v>
      </c>
      <c r="DP54" s="798">
        <f t="shared" si="52"/>
        <v>0</v>
      </c>
      <c r="DQ54" s="798">
        <f t="shared" si="52"/>
        <v>0</v>
      </c>
      <c r="DR54" s="798">
        <f t="shared" si="52"/>
        <v>0</v>
      </c>
      <c r="DS54" s="798">
        <f t="shared" si="52"/>
        <v>0</v>
      </c>
      <c r="DT54" s="798">
        <f t="shared" si="52"/>
        <v>0</v>
      </c>
      <c r="DU54" s="798">
        <f t="shared" si="52"/>
        <v>0</v>
      </c>
      <c r="DV54" s="798">
        <f t="shared" si="52"/>
        <v>0</v>
      </c>
      <c r="DW54" s="798">
        <f t="shared" si="52"/>
        <v>0</v>
      </c>
      <c r="DX54" s="798">
        <f t="shared" si="52"/>
        <v>0</v>
      </c>
      <c r="DY54" s="798">
        <f t="shared" si="52"/>
        <v>0</v>
      </c>
      <c r="DZ54" s="798">
        <f t="shared" si="52"/>
        <v>0</v>
      </c>
      <c r="EA54" s="798">
        <f t="shared" si="52"/>
        <v>0</v>
      </c>
      <c r="EB54" s="798">
        <f t="shared" si="52"/>
        <v>0</v>
      </c>
      <c r="EC54" s="798">
        <f t="shared" si="52"/>
        <v>0</v>
      </c>
      <c r="ED54" s="798">
        <f t="shared" si="53"/>
        <v>0</v>
      </c>
      <c r="EE54" s="798">
        <f t="shared" si="53"/>
        <v>0</v>
      </c>
      <c r="EF54" s="798">
        <f t="shared" si="53"/>
        <v>0</v>
      </c>
      <c r="EG54" s="798">
        <f t="shared" si="53"/>
        <v>0</v>
      </c>
      <c r="EH54" s="782"/>
    </row>
    <row r="55" spans="1:138" ht="12.75" customHeight="1" x14ac:dyDescent="0.3">
      <c r="A55" s="782"/>
      <c r="B55" s="782" t="s">
        <v>16</v>
      </c>
      <c r="C55" s="1356">
        <f>SUM(E55:EG55)</f>
        <v>42877793.387000009</v>
      </c>
      <c r="D55" s="782"/>
      <c r="E55" s="798">
        <f t="shared" si="54"/>
        <v>0</v>
      </c>
      <c r="F55" s="798">
        <f t="shared" si="54"/>
        <v>0</v>
      </c>
      <c r="G55" s="798">
        <f t="shared" si="54"/>
        <v>0</v>
      </c>
      <c r="H55" s="798">
        <f t="shared" si="51"/>
        <v>0</v>
      </c>
      <c r="I55" s="798">
        <f t="shared" si="51"/>
        <v>0</v>
      </c>
      <c r="J55" s="798">
        <f t="shared" si="51"/>
        <v>0</v>
      </c>
      <c r="K55" s="798">
        <f t="shared" si="54"/>
        <v>0</v>
      </c>
      <c r="L55" s="798">
        <f t="shared" si="54"/>
        <v>0</v>
      </c>
      <c r="M55" s="798">
        <f t="shared" si="54"/>
        <v>0</v>
      </c>
      <c r="N55" s="798">
        <f t="shared" si="54"/>
        <v>0</v>
      </c>
      <c r="O55" s="798">
        <f t="shared" si="54"/>
        <v>1711728.34</v>
      </c>
      <c r="P55" s="798">
        <f t="shared" si="54"/>
        <v>3985499.753</v>
      </c>
      <c r="Q55" s="798">
        <f t="shared" si="54"/>
        <v>4035971.77</v>
      </c>
      <c r="R55" s="798">
        <f t="shared" si="54"/>
        <v>4074891.125</v>
      </c>
      <c r="S55" s="798">
        <f t="shared" si="54"/>
        <v>3814169.165</v>
      </c>
      <c r="T55" s="798">
        <f t="shared" si="54"/>
        <v>3707242.1469999999</v>
      </c>
      <c r="U55" s="798">
        <f t="shared" si="51"/>
        <v>3438642.0860000001</v>
      </c>
      <c r="V55" s="798">
        <f t="shared" si="51"/>
        <v>3101741.8790000002</v>
      </c>
      <c r="W55" s="798">
        <f t="shared" si="51"/>
        <v>3086112.8330000001</v>
      </c>
      <c r="X55" s="798">
        <f t="shared" si="51"/>
        <v>2840813.906</v>
      </c>
      <c r="Y55" s="798">
        <f t="shared" si="51"/>
        <v>2407340.2429999998</v>
      </c>
      <c r="Z55" s="798">
        <f t="shared" si="51"/>
        <v>2066917.1910000001</v>
      </c>
      <c r="AA55" s="798">
        <f t="shared" si="51"/>
        <v>1736150.3459999999</v>
      </c>
      <c r="AB55" s="798">
        <f t="shared" si="51"/>
        <v>1202087.5789999999</v>
      </c>
      <c r="AC55" s="798">
        <f t="shared" si="51"/>
        <v>990780.74</v>
      </c>
      <c r="AD55" s="798">
        <f t="shared" si="51"/>
        <v>677704.28399999999</v>
      </c>
      <c r="AE55" s="798">
        <f t="shared" si="51"/>
        <v>0</v>
      </c>
      <c r="AF55" s="798">
        <f t="shared" si="51"/>
        <v>0</v>
      </c>
      <c r="AG55" s="798">
        <f t="shared" si="51"/>
        <v>0</v>
      </c>
      <c r="AH55" s="798">
        <f t="shared" si="51"/>
        <v>0</v>
      </c>
      <c r="AI55" s="798">
        <f t="shared" si="51"/>
        <v>0</v>
      </c>
      <c r="AJ55" s="798">
        <f t="shared" si="51"/>
        <v>0</v>
      </c>
      <c r="AK55" s="798">
        <f t="shared" si="51"/>
        <v>0</v>
      </c>
      <c r="AL55" s="798">
        <f t="shared" si="51"/>
        <v>0</v>
      </c>
      <c r="AM55" s="798">
        <f t="shared" si="51"/>
        <v>0</v>
      </c>
      <c r="AN55" s="798">
        <f t="shared" si="51"/>
        <v>0</v>
      </c>
      <c r="AO55" s="798">
        <f t="shared" si="51"/>
        <v>0</v>
      </c>
      <c r="AP55" s="798">
        <f t="shared" si="51"/>
        <v>0</v>
      </c>
      <c r="AQ55" s="798">
        <f t="shared" si="51"/>
        <v>0</v>
      </c>
      <c r="AR55" s="798">
        <f t="shared" si="51"/>
        <v>0</v>
      </c>
      <c r="AS55" s="798">
        <f t="shared" si="51"/>
        <v>0</v>
      </c>
      <c r="AT55" s="798">
        <f t="shared" si="51"/>
        <v>0</v>
      </c>
      <c r="AU55" s="798">
        <f t="shared" si="51"/>
        <v>0</v>
      </c>
      <c r="AV55" s="798">
        <f t="shared" si="51"/>
        <v>0</v>
      </c>
      <c r="AW55" s="798">
        <f t="shared" si="51"/>
        <v>0</v>
      </c>
      <c r="AX55" s="798">
        <f t="shared" si="51"/>
        <v>0</v>
      </c>
      <c r="AY55" s="798">
        <f t="shared" si="51"/>
        <v>0</v>
      </c>
      <c r="AZ55" s="798">
        <f t="shared" si="51"/>
        <v>0</v>
      </c>
      <c r="BA55" s="798">
        <f t="shared" si="51"/>
        <v>0</v>
      </c>
      <c r="BB55" s="798">
        <f t="shared" si="51"/>
        <v>0</v>
      </c>
      <c r="BC55" s="798">
        <f t="shared" si="51"/>
        <v>0</v>
      </c>
      <c r="BD55" s="798">
        <f t="shared" si="51"/>
        <v>0</v>
      </c>
      <c r="BE55" s="798">
        <f t="shared" si="51"/>
        <v>0</v>
      </c>
      <c r="BF55" s="798">
        <f t="shared" si="51"/>
        <v>0</v>
      </c>
      <c r="BG55" s="798">
        <f t="shared" si="51"/>
        <v>0</v>
      </c>
      <c r="BH55" s="798">
        <f t="shared" si="51"/>
        <v>0</v>
      </c>
      <c r="BI55" s="798">
        <f t="shared" si="51"/>
        <v>0</v>
      </c>
      <c r="BJ55" s="798">
        <f t="shared" si="51"/>
        <v>0</v>
      </c>
      <c r="BK55" s="798">
        <f t="shared" si="51"/>
        <v>0</v>
      </c>
      <c r="BL55" s="798">
        <f t="shared" si="51"/>
        <v>0</v>
      </c>
      <c r="BM55" s="798">
        <f t="shared" si="51"/>
        <v>0</v>
      </c>
      <c r="BN55" s="798">
        <f t="shared" si="51"/>
        <v>0</v>
      </c>
      <c r="BO55" s="798">
        <f t="shared" si="51"/>
        <v>0</v>
      </c>
      <c r="BP55" s="798">
        <f t="shared" si="51"/>
        <v>0</v>
      </c>
      <c r="BQ55" s="798">
        <f t="shared" si="51"/>
        <v>0</v>
      </c>
      <c r="BR55" s="798">
        <f t="shared" si="52"/>
        <v>0</v>
      </c>
      <c r="BS55" s="798">
        <f t="shared" si="52"/>
        <v>0</v>
      </c>
      <c r="BT55" s="798">
        <f t="shared" si="52"/>
        <v>0</v>
      </c>
      <c r="BU55" s="798">
        <f t="shared" si="52"/>
        <v>0</v>
      </c>
      <c r="BV55" s="798">
        <f t="shared" si="52"/>
        <v>0</v>
      </c>
      <c r="BW55" s="798">
        <f t="shared" si="52"/>
        <v>0</v>
      </c>
      <c r="BX55" s="798">
        <f t="shared" si="52"/>
        <v>0</v>
      </c>
      <c r="BY55" s="798">
        <f t="shared" si="52"/>
        <v>0</v>
      </c>
      <c r="BZ55" s="798">
        <f t="shared" si="52"/>
        <v>0</v>
      </c>
      <c r="CA55" s="798">
        <f t="shared" si="52"/>
        <v>0</v>
      </c>
      <c r="CB55" s="798">
        <f t="shared" si="52"/>
        <v>0</v>
      </c>
      <c r="CC55" s="798">
        <f t="shared" si="52"/>
        <v>0</v>
      </c>
      <c r="CD55" s="798">
        <f t="shared" si="52"/>
        <v>0</v>
      </c>
      <c r="CE55" s="798">
        <f t="shared" si="52"/>
        <v>0</v>
      </c>
      <c r="CF55" s="798">
        <f t="shared" si="52"/>
        <v>0</v>
      </c>
      <c r="CG55" s="798">
        <f t="shared" si="52"/>
        <v>0</v>
      </c>
      <c r="CH55" s="798">
        <f t="shared" si="52"/>
        <v>0</v>
      </c>
      <c r="CI55" s="798">
        <f t="shared" si="52"/>
        <v>0</v>
      </c>
      <c r="CJ55" s="798">
        <f t="shared" si="52"/>
        <v>0</v>
      </c>
      <c r="CK55" s="798">
        <f t="shared" si="52"/>
        <v>0</v>
      </c>
      <c r="CL55" s="798">
        <f t="shared" si="52"/>
        <v>0</v>
      </c>
      <c r="CM55" s="798">
        <f t="shared" si="52"/>
        <v>0</v>
      </c>
      <c r="CN55" s="798">
        <f t="shared" si="52"/>
        <v>0</v>
      </c>
      <c r="CO55" s="798">
        <f t="shared" si="52"/>
        <v>0</v>
      </c>
      <c r="CP55" s="798">
        <f t="shared" si="52"/>
        <v>0</v>
      </c>
      <c r="CQ55" s="798">
        <f t="shared" si="52"/>
        <v>0</v>
      </c>
      <c r="CR55" s="798">
        <f t="shared" si="52"/>
        <v>0</v>
      </c>
      <c r="CS55" s="798">
        <f t="shared" si="52"/>
        <v>0</v>
      </c>
      <c r="CT55" s="798">
        <f t="shared" si="52"/>
        <v>0</v>
      </c>
      <c r="CU55" s="798">
        <f t="shared" si="52"/>
        <v>0</v>
      </c>
      <c r="CV55" s="798">
        <f t="shared" si="52"/>
        <v>0</v>
      </c>
      <c r="CW55" s="798">
        <f t="shared" si="52"/>
        <v>0</v>
      </c>
      <c r="CX55" s="798">
        <f t="shared" si="52"/>
        <v>0</v>
      </c>
      <c r="CY55" s="798">
        <f t="shared" si="52"/>
        <v>0</v>
      </c>
      <c r="CZ55" s="798">
        <f t="shared" si="52"/>
        <v>0</v>
      </c>
      <c r="DA55" s="798">
        <f t="shared" si="52"/>
        <v>0</v>
      </c>
      <c r="DB55" s="798">
        <f t="shared" si="52"/>
        <v>0</v>
      </c>
      <c r="DC55" s="798">
        <f t="shared" si="52"/>
        <v>0</v>
      </c>
      <c r="DD55" s="798">
        <f t="shared" si="52"/>
        <v>0</v>
      </c>
      <c r="DE55" s="798">
        <f t="shared" si="52"/>
        <v>0</v>
      </c>
      <c r="DF55" s="798">
        <f t="shared" si="52"/>
        <v>0</v>
      </c>
      <c r="DG55" s="798">
        <f t="shared" si="52"/>
        <v>0</v>
      </c>
      <c r="DH55" s="798">
        <f t="shared" si="52"/>
        <v>0</v>
      </c>
      <c r="DI55" s="798">
        <f t="shared" si="52"/>
        <v>0</v>
      </c>
      <c r="DJ55" s="798">
        <f t="shared" si="52"/>
        <v>0</v>
      </c>
      <c r="DK55" s="798">
        <f t="shared" si="52"/>
        <v>0</v>
      </c>
      <c r="DL55" s="798">
        <f t="shared" si="52"/>
        <v>0</v>
      </c>
      <c r="DM55" s="798">
        <f t="shared" si="52"/>
        <v>0</v>
      </c>
      <c r="DN55" s="798">
        <f t="shared" si="52"/>
        <v>0</v>
      </c>
      <c r="DO55" s="798">
        <f t="shared" si="52"/>
        <v>0</v>
      </c>
      <c r="DP55" s="798">
        <f t="shared" si="52"/>
        <v>0</v>
      </c>
      <c r="DQ55" s="798">
        <f t="shared" si="52"/>
        <v>0</v>
      </c>
      <c r="DR55" s="798">
        <f t="shared" si="52"/>
        <v>0</v>
      </c>
      <c r="DS55" s="798">
        <f t="shared" si="52"/>
        <v>0</v>
      </c>
      <c r="DT55" s="798">
        <f t="shared" si="52"/>
        <v>0</v>
      </c>
      <c r="DU55" s="798">
        <f t="shared" si="52"/>
        <v>0</v>
      </c>
      <c r="DV55" s="798">
        <f t="shared" si="52"/>
        <v>0</v>
      </c>
      <c r="DW55" s="798">
        <f t="shared" si="52"/>
        <v>0</v>
      </c>
      <c r="DX55" s="798">
        <f t="shared" si="52"/>
        <v>0</v>
      </c>
      <c r="DY55" s="798">
        <f t="shared" si="52"/>
        <v>0</v>
      </c>
      <c r="DZ55" s="798">
        <f t="shared" si="52"/>
        <v>0</v>
      </c>
      <c r="EA55" s="798">
        <f t="shared" si="52"/>
        <v>0</v>
      </c>
      <c r="EB55" s="798">
        <f t="shared" si="52"/>
        <v>0</v>
      </c>
      <c r="EC55" s="798">
        <f t="shared" si="52"/>
        <v>0</v>
      </c>
      <c r="ED55" s="798">
        <f t="shared" si="53"/>
        <v>0</v>
      </c>
      <c r="EE55" s="798">
        <f t="shared" si="53"/>
        <v>0</v>
      </c>
      <c r="EF55" s="798">
        <f t="shared" si="53"/>
        <v>0</v>
      </c>
      <c r="EG55" s="798">
        <f t="shared" si="53"/>
        <v>0</v>
      </c>
      <c r="EH55" s="782"/>
    </row>
    <row r="56" spans="1:138" ht="12.75" customHeight="1" x14ac:dyDescent="0.3">
      <c r="A56" s="782"/>
      <c r="B56" s="781" t="s">
        <v>32</v>
      </c>
      <c r="C56" s="799">
        <f>SUM(E56:EG56)</f>
        <v>-42877793.387000009</v>
      </c>
      <c r="D56" s="781"/>
      <c r="E56" s="799">
        <f t="shared" ref="E56:BP56" si="55">IF(E9=1,-E173,0)</f>
        <v>0</v>
      </c>
      <c r="F56" s="799">
        <f t="shared" si="55"/>
        <v>0</v>
      </c>
      <c r="G56" s="799">
        <f t="shared" si="55"/>
        <v>0</v>
      </c>
      <c r="H56" s="799">
        <f t="shared" si="55"/>
        <v>0</v>
      </c>
      <c r="I56" s="799">
        <f t="shared" si="55"/>
        <v>0</v>
      </c>
      <c r="J56" s="799">
        <f t="shared" si="55"/>
        <v>0</v>
      </c>
      <c r="K56" s="799">
        <f t="shared" si="55"/>
        <v>0</v>
      </c>
      <c r="L56" s="799">
        <f t="shared" si="55"/>
        <v>0</v>
      </c>
      <c r="M56" s="799">
        <f t="shared" si="55"/>
        <v>0</v>
      </c>
      <c r="N56" s="799">
        <f t="shared" si="55"/>
        <v>0</v>
      </c>
      <c r="O56" s="799">
        <f t="shared" si="55"/>
        <v>0</v>
      </c>
      <c r="P56" s="799">
        <f t="shared" si="55"/>
        <v>0</v>
      </c>
      <c r="Q56" s="799">
        <f t="shared" si="55"/>
        <v>0</v>
      </c>
      <c r="R56" s="799">
        <f t="shared" si="55"/>
        <v>0</v>
      </c>
      <c r="S56" s="799">
        <f t="shared" si="55"/>
        <v>0</v>
      </c>
      <c r="T56" s="799">
        <f t="shared" si="55"/>
        <v>0</v>
      </c>
      <c r="U56" s="799">
        <f t="shared" si="55"/>
        <v>0</v>
      </c>
      <c r="V56" s="799">
        <f t="shared" si="55"/>
        <v>0</v>
      </c>
      <c r="W56" s="799">
        <f t="shared" si="55"/>
        <v>0</v>
      </c>
      <c r="X56" s="799">
        <f t="shared" si="55"/>
        <v>0</v>
      </c>
      <c r="Y56" s="799">
        <f t="shared" si="55"/>
        <v>0</v>
      </c>
      <c r="Z56" s="799">
        <f t="shared" si="55"/>
        <v>0</v>
      </c>
      <c r="AA56" s="799">
        <f t="shared" si="55"/>
        <v>0</v>
      </c>
      <c r="AB56" s="799">
        <f t="shared" si="55"/>
        <v>0</v>
      </c>
      <c r="AC56" s="799">
        <f t="shared" si="55"/>
        <v>0</v>
      </c>
      <c r="AD56" s="799">
        <f t="shared" si="55"/>
        <v>0</v>
      </c>
      <c r="AE56" s="799">
        <f t="shared" si="55"/>
        <v>0</v>
      </c>
      <c r="AF56" s="799">
        <f t="shared" si="55"/>
        <v>0</v>
      </c>
      <c r="AG56" s="799">
        <f t="shared" si="55"/>
        <v>0</v>
      </c>
      <c r="AH56" s="799">
        <f t="shared" si="55"/>
        <v>0</v>
      </c>
      <c r="AI56" s="799">
        <f t="shared" si="55"/>
        <v>0</v>
      </c>
      <c r="AJ56" s="799">
        <f t="shared" si="55"/>
        <v>0</v>
      </c>
      <c r="AK56" s="799">
        <f t="shared" si="55"/>
        <v>-42877793.387000009</v>
      </c>
      <c r="AL56" s="799">
        <f t="shared" si="55"/>
        <v>0</v>
      </c>
      <c r="AM56" s="799">
        <f t="shared" si="55"/>
        <v>0</v>
      </c>
      <c r="AN56" s="799">
        <f t="shared" si="55"/>
        <v>0</v>
      </c>
      <c r="AO56" s="799">
        <f t="shared" si="55"/>
        <v>0</v>
      </c>
      <c r="AP56" s="799">
        <f t="shared" si="55"/>
        <v>0</v>
      </c>
      <c r="AQ56" s="799">
        <f t="shared" si="55"/>
        <v>0</v>
      </c>
      <c r="AR56" s="799">
        <f t="shared" si="55"/>
        <v>0</v>
      </c>
      <c r="AS56" s="799">
        <f t="shared" si="55"/>
        <v>0</v>
      </c>
      <c r="AT56" s="799">
        <f t="shared" si="55"/>
        <v>0</v>
      </c>
      <c r="AU56" s="799">
        <f t="shared" si="55"/>
        <v>0</v>
      </c>
      <c r="AV56" s="799">
        <f t="shared" si="55"/>
        <v>0</v>
      </c>
      <c r="AW56" s="799">
        <f t="shared" si="55"/>
        <v>0</v>
      </c>
      <c r="AX56" s="799">
        <f t="shared" si="55"/>
        <v>0</v>
      </c>
      <c r="AY56" s="799">
        <f t="shared" si="55"/>
        <v>0</v>
      </c>
      <c r="AZ56" s="799">
        <f t="shared" si="55"/>
        <v>0</v>
      </c>
      <c r="BA56" s="799">
        <f t="shared" si="55"/>
        <v>0</v>
      </c>
      <c r="BB56" s="799">
        <f t="shared" si="55"/>
        <v>0</v>
      </c>
      <c r="BC56" s="799">
        <f t="shared" si="55"/>
        <v>0</v>
      </c>
      <c r="BD56" s="799">
        <f t="shared" si="55"/>
        <v>0</v>
      </c>
      <c r="BE56" s="799">
        <f t="shared" si="55"/>
        <v>0</v>
      </c>
      <c r="BF56" s="799">
        <f t="shared" si="55"/>
        <v>0</v>
      </c>
      <c r="BG56" s="799">
        <f t="shared" si="55"/>
        <v>0</v>
      </c>
      <c r="BH56" s="799">
        <f t="shared" si="55"/>
        <v>0</v>
      </c>
      <c r="BI56" s="799">
        <f t="shared" si="55"/>
        <v>0</v>
      </c>
      <c r="BJ56" s="799">
        <f t="shared" si="55"/>
        <v>0</v>
      </c>
      <c r="BK56" s="799">
        <f t="shared" si="55"/>
        <v>0</v>
      </c>
      <c r="BL56" s="799">
        <f t="shared" si="55"/>
        <v>0</v>
      </c>
      <c r="BM56" s="799">
        <f t="shared" si="55"/>
        <v>0</v>
      </c>
      <c r="BN56" s="799">
        <f t="shared" si="55"/>
        <v>0</v>
      </c>
      <c r="BO56" s="799">
        <f t="shared" si="55"/>
        <v>0</v>
      </c>
      <c r="BP56" s="799">
        <f t="shared" si="55"/>
        <v>0</v>
      </c>
      <c r="BQ56" s="799">
        <f t="shared" ref="BQ56:EB56" si="56">IF(BQ9=1,-BQ173,0)</f>
        <v>0</v>
      </c>
      <c r="BR56" s="799">
        <f t="shared" si="56"/>
        <v>0</v>
      </c>
      <c r="BS56" s="799">
        <f t="shared" si="56"/>
        <v>0</v>
      </c>
      <c r="BT56" s="799">
        <f t="shared" si="56"/>
        <v>0</v>
      </c>
      <c r="BU56" s="799">
        <f t="shared" si="56"/>
        <v>0</v>
      </c>
      <c r="BV56" s="799">
        <f t="shared" si="56"/>
        <v>0</v>
      </c>
      <c r="BW56" s="799">
        <f t="shared" si="56"/>
        <v>0</v>
      </c>
      <c r="BX56" s="799">
        <f t="shared" si="56"/>
        <v>0</v>
      </c>
      <c r="BY56" s="799">
        <f t="shared" si="56"/>
        <v>0</v>
      </c>
      <c r="BZ56" s="799">
        <f t="shared" si="56"/>
        <v>0</v>
      </c>
      <c r="CA56" s="799">
        <f t="shared" si="56"/>
        <v>0</v>
      </c>
      <c r="CB56" s="799">
        <f t="shared" si="56"/>
        <v>0</v>
      </c>
      <c r="CC56" s="799">
        <f t="shared" si="56"/>
        <v>0</v>
      </c>
      <c r="CD56" s="799">
        <f t="shared" si="56"/>
        <v>0</v>
      </c>
      <c r="CE56" s="799">
        <f t="shared" si="56"/>
        <v>0</v>
      </c>
      <c r="CF56" s="799">
        <f t="shared" si="56"/>
        <v>0</v>
      </c>
      <c r="CG56" s="799">
        <f t="shared" si="56"/>
        <v>0</v>
      </c>
      <c r="CH56" s="799">
        <f t="shared" si="56"/>
        <v>0</v>
      </c>
      <c r="CI56" s="799">
        <f t="shared" si="56"/>
        <v>0</v>
      </c>
      <c r="CJ56" s="799">
        <f t="shared" si="56"/>
        <v>0</v>
      </c>
      <c r="CK56" s="799">
        <f t="shared" si="56"/>
        <v>0</v>
      </c>
      <c r="CL56" s="799">
        <f t="shared" si="56"/>
        <v>0</v>
      </c>
      <c r="CM56" s="799">
        <f t="shared" si="56"/>
        <v>0</v>
      </c>
      <c r="CN56" s="799">
        <f t="shared" si="56"/>
        <v>0</v>
      </c>
      <c r="CO56" s="799">
        <f t="shared" si="56"/>
        <v>0</v>
      </c>
      <c r="CP56" s="799">
        <f t="shared" si="56"/>
        <v>0</v>
      </c>
      <c r="CQ56" s="799">
        <f t="shared" si="56"/>
        <v>0</v>
      </c>
      <c r="CR56" s="799">
        <f t="shared" si="56"/>
        <v>0</v>
      </c>
      <c r="CS56" s="799">
        <f t="shared" si="56"/>
        <v>0</v>
      </c>
      <c r="CT56" s="799">
        <f t="shared" si="56"/>
        <v>0</v>
      </c>
      <c r="CU56" s="799">
        <f t="shared" si="56"/>
        <v>0</v>
      </c>
      <c r="CV56" s="799">
        <f t="shared" si="56"/>
        <v>0</v>
      </c>
      <c r="CW56" s="799">
        <f t="shared" si="56"/>
        <v>0</v>
      </c>
      <c r="CX56" s="799">
        <f t="shared" si="56"/>
        <v>0</v>
      </c>
      <c r="CY56" s="799">
        <f t="shared" si="56"/>
        <v>0</v>
      </c>
      <c r="CZ56" s="799">
        <f t="shared" si="56"/>
        <v>0</v>
      </c>
      <c r="DA56" s="799">
        <f t="shared" si="56"/>
        <v>0</v>
      </c>
      <c r="DB56" s="799">
        <f t="shared" si="56"/>
        <v>0</v>
      </c>
      <c r="DC56" s="799">
        <f t="shared" si="56"/>
        <v>0</v>
      </c>
      <c r="DD56" s="799">
        <f t="shared" si="56"/>
        <v>0</v>
      </c>
      <c r="DE56" s="799">
        <f t="shared" si="56"/>
        <v>0</v>
      </c>
      <c r="DF56" s="799">
        <f t="shared" si="56"/>
        <v>0</v>
      </c>
      <c r="DG56" s="799">
        <f t="shared" si="56"/>
        <v>0</v>
      </c>
      <c r="DH56" s="799">
        <f t="shared" si="56"/>
        <v>0</v>
      </c>
      <c r="DI56" s="799">
        <f t="shared" si="56"/>
        <v>0</v>
      </c>
      <c r="DJ56" s="799">
        <f t="shared" si="56"/>
        <v>0</v>
      </c>
      <c r="DK56" s="799">
        <f t="shared" si="56"/>
        <v>0</v>
      </c>
      <c r="DL56" s="799">
        <f t="shared" si="56"/>
        <v>0</v>
      </c>
      <c r="DM56" s="799">
        <f t="shared" si="56"/>
        <v>0</v>
      </c>
      <c r="DN56" s="799">
        <f t="shared" si="56"/>
        <v>0</v>
      </c>
      <c r="DO56" s="799">
        <f t="shared" si="56"/>
        <v>0</v>
      </c>
      <c r="DP56" s="799">
        <f t="shared" si="56"/>
        <v>0</v>
      </c>
      <c r="DQ56" s="799">
        <f t="shared" si="56"/>
        <v>0</v>
      </c>
      <c r="DR56" s="799">
        <f t="shared" si="56"/>
        <v>0</v>
      </c>
      <c r="DS56" s="799">
        <f t="shared" si="56"/>
        <v>0</v>
      </c>
      <c r="DT56" s="799">
        <f t="shared" si="56"/>
        <v>0</v>
      </c>
      <c r="DU56" s="799">
        <f t="shared" si="56"/>
        <v>0</v>
      </c>
      <c r="DV56" s="799">
        <f t="shared" si="56"/>
        <v>0</v>
      </c>
      <c r="DW56" s="799">
        <f t="shared" si="56"/>
        <v>0</v>
      </c>
      <c r="DX56" s="799">
        <f t="shared" si="56"/>
        <v>0</v>
      </c>
      <c r="DY56" s="799">
        <f t="shared" si="56"/>
        <v>0</v>
      </c>
      <c r="DZ56" s="799">
        <f t="shared" si="56"/>
        <v>0</v>
      </c>
      <c r="EA56" s="799">
        <f t="shared" si="56"/>
        <v>0</v>
      </c>
      <c r="EB56" s="799">
        <f t="shared" si="56"/>
        <v>0</v>
      </c>
      <c r="EC56" s="799">
        <f>IF(EC9=1,-EC173,0)</f>
        <v>0</v>
      </c>
      <c r="ED56" s="799">
        <f>IF(ED9=1,-ED173,0)</f>
        <v>0</v>
      </c>
      <c r="EE56" s="799">
        <f>IF(EE9=1,-EE173,0)</f>
        <v>0</v>
      </c>
      <c r="EF56" s="799">
        <f>IF(EF9=1,-EF173,0)</f>
        <v>0</v>
      </c>
      <c r="EG56" s="799">
        <f>IF(EG9=1,-EG173,0)</f>
        <v>0</v>
      </c>
      <c r="EH56" s="782"/>
    </row>
    <row r="57" spans="1:138" ht="12.75" customHeight="1" x14ac:dyDescent="0.3">
      <c r="A57" s="782"/>
      <c r="B57" s="782" t="s">
        <v>33</v>
      </c>
      <c r="C57" s="798">
        <f>SUM(E57:EG57)</f>
        <v>27804368.433746792</v>
      </c>
      <c r="D57" s="782"/>
      <c r="E57" s="798">
        <f>SUM(E53:E56,E50)</f>
        <v>-1943435.5218400576</v>
      </c>
      <c r="F57" s="798">
        <f t="shared" ref="F57:BQ57" si="57">SUM(F53:F56,F50)</f>
        <v>-15208023.650356924</v>
      </c>
      <c r="G57" s="798">
        <f t="shared" si="57"/>
        <v>-485842.87663322879</v>
      </c>
      <c r="H57" s="798">
        <f t="shared" si="57"/>
        <v>-733351.38083719497</v>
      </c>
      <c r="I57" s="798">
        <f t="shared" si="57"/>
        <v>-1239684.7593366946</v>
      </c>
      <c r="J57" s="798">
        <f t="shared" si="57"/>
        <v>-2017778.4195767127</v>
      </c>
      <c r="K57" s="798">
        <f t="shared" si="57"/>
        <v>-2076610.6161474148</v>
      </c>
      <c r="L57" s="798">
        <f t="shared" si="57"/>
        <v>-2643889.4279506723</v>
      </c>
      <c r="M57" s="798">
        <f t="shared" si="57"/>
        <v>-3134644.7085792772</v>
      </c>
      <c r="N57" s="798">
        <f t="shared" si="57"/>
        <v>-3667977.9572392926</v>
      </c>
      <c r="O57" s="798">
        <f t="shared" si="57"/>
        <v>-2085353.5402737891</v>
      </c>
      <c r="P57" s="798">
        <f t="shared" si="57"/>
        <v>-8333.3338084043935</v>
      </c>
      <c r="Q57" s="798">
        <f t="shared" si="57"/>
        <v>-8333.3335142051801</v>
      </c>
      <c r="R57" s="798">
        <f t="shared" si="57"/>
        <v>-8333.3335896586068</v>
      </c>
      <c r="S57" s="798">
        <f t="shared" si="57"/>
        <v>-8333.3331449902616</v>
      </c>
      <c r="T57" s="798">
        <f t="shared" si="57"/>
        <v>-8333.333433994092</v>
      </c>
      <c r="U57" s="798">
        <f t="shared" si="57"/>
        <v>-8333.3330018310808</v>
      </c>
      <c r="V57" s="798">
        <f t="shared" si="57"/>
        <v>-8333.333479241468</v>
      </c>
      <c r="W57" s="798">
        <f t="shared" si="57"/>
        <v>-8333.3335338355973</v>
      </c>
      <c r="X57" s="798">
        <f t="shared" si="57"/>
        <v>-8333.333179035224</v>
      </c>
      <c r="Y57" s="798">
        <f t="shared" si="57"/>
        <v>-8333.3335785353556</v>
      </c>
      <c r="Z57" s="798">
        <f t="shared" si="57"/>
        <v>-8333.3329179377761</v>
      </c>
      <c r="AA57" s="798">
        <f t="shared" si="57"/>
        <v>-8333.3335947582964</v>
      </c>
      <c r="AB57" s="798">
        <f t="shared" si="57"/>
        <v>-8333.3332643925678</v>
      </c>
      <c r="AC57" s="798">
        <f t="shared" si="57"/>
        <v>35779.695912457653</v>
      </c>
      <c r="AD57" s="798">
        <f t="shared" si="57"/>
        <v>75997.088835688541</v>
      </c>
      <c r="AE57" s="798">
        <f t="shared" si="57"/>
        <v>121790.92977523434</v>
      </c>
      <c r="AF57" s="798">
        <f t="shared" si="57"/>
        <v>211228.90395574804</v>
      </c>
      <c r="AG57" s="798">
        <f t="shared" si="57"/>
        <v>214875.24560759825</v>
      </c>
      <c r="AH57" s="798">
        <f t="shared" si="57"/>
        <v>216178.39454534152</v>
      </c>
      <c r="AI57" s="798">
        <f t="shared" si="57"/>
        <v>449732.04210855789</v>
      </c>
      <c r="AJ57" s="798">
        <f t="shared" si="57"/>
        <v>452320.98962950148</v>
      </c>
      <c r="AK57" s="798">
        <f t="shared" si="57"/>
        <v>61371391.336188748</v>
      </c>
      <c r="AL57" s="798">
        <f t="shared" si="57"/>
        <v>0</v>
      </c>
      <c r="AM57" s="798">
        <f t="shared" si="57"/>
        <v>0</v>
      </c>
      <c r="AN57" s="798">
        <f t="shared" si="57"/>
        <v>0</v>
      </c>
      <c r="AO57" s="798">
        <f t="shared" si="57"/>
        <v>0</v>
      </c>
      <c r="AP57" s="798">
        <f t="shared" si="57"/>
        <v>0</v>
      </c>
      <c r="AQ57" s="798">
        <f t="shared" si="57"/>
        <v>0</v>
      </c>
      <c r="AR57" s="798">
        <f t="shared" si="57"/>
        <v>0</v>
      </c>
      <c r="AS57" s="798">
        <f t="shared" si="57"/>
        <v>0</v>
      </c>
      <c r="AT57" s="798">
        <f t="shared" si="57"/>
        <v>0</v>
      </c>
      <c r="AU57" s="798">
        <f t="shared" si="57"/>
        <v>0</v>
      </c>
      <c r="AV57" s="798">
        <f t="shared" si="57"/>
        <v>0</v>
      </c>
      <c r="AW57" s="798">
        <f t="shared" si="57"/>
        <v>0</v>
      </c>
      <c r="AX57" s="798">
        <f t="shared" si="57"/>
        <v>0</v>
      </c>
      <c r="AY57" s="798">
        <f t="shared" si="57"/>
        <v>0</v>
      </c>
      <c r="AZ57" s="798">
        <f t="shared" si="57"/>
        <v>0</v>
      </c>
      <c r="BA57" s="798">
        <f t="shared" si="57"/>
        <v>0</v>
      </c>
      <c r="BB57" s="798">
        <f t="shared" si="57"/>
        <v>0</v>
      </c>
      <c r="BC57" s="798">
        <f t="shared" si="57"/>
        <v>0</v>
      </c>
      <c r="BD57" s="798">
        <f t="shared" si="57"/>
        <v>0</v>
      </c>
      <c r="BE57" s="798">
        <f t="shared" si="57"/>
        <v>0</v>
      </c>
      <c r="BF57" s="798">
        <f t="shared" si="57"/>
        <v>0</v>
      </c>
      <c r="BG57" s="798">
        <f t="shared" si="57"/>
        <v>0</v>
      </c>
      <c r="BH57" s="798">
        <f t="shared" si="57"/>
        <v>0</v>
      </c>
      <c r="BI57" s="798">
        <f t="shared" si="57"/>
        <v>0</v>
      </c>
      <c r="BJ57" s="798">
        <f t="shared" si="57"/>
        <v>0</v>
      </c>
      <c r="BK57" s="798">
        <f t="shared" si="57"/>
        <v>0</v>
      </c>
      <c r="BL57" s="798">
        <f t="shared" si="57"/>
        <v>0</v>
      </c>
      <c r="BM57" s="798">
        <f t="shared" si="57"/>
        <v>0</v>
      </c>
      <c r="BN57" s="798">
        <f t="shared" si="57"/>
        <v>0</v>
      </c>
      <c r="BO57" s="798">
        <f t="shared" si="57"/>
        <v>0</v>
      </c>
      <c r="BP57" s="798">
        <f t="shared" si="57"/>
        <v>0</v>
      </c>
      <c r="BQ57" s="798">
        <f t="shared" si="57"/>
        <v>0</v>
      </c>
      <c r="BR57" s="798">
        <f t="shared" ref="BR57:EC57" si="58">SUM(BR53:BR56,BR50)</f>
        <v>0</v>
      </c>
      <c r="BS57" s="798">
        <f t="shared" si="58"/>
        <v>0</v>
      </c>
      <c r="BT57" s="798">
        <f t="shared" si="58"/>
        <v>0</v>
      </c>
      <c r="BU57" s="798">
        <f t="shared" si="58"/>
        <v>0</v>
      </c>
      <c r="BV57" s="798">
        <f t="shared" si="58"/>
        <v>0</v>
      </c>
      <c r="BW57" s="798">
        <f t="shared" si="58"/>
        <v>0</v>
      </c>
      <c r="BX57" s="798">
        <f t="shared" si="58"/>
        <v>0</v>
      </c>
      <c r="BY57" s="798">
        <f t="shared" si="58"/>
        <v>0</v>
      </c>
      <c r="BZ57" s="798">
        <f t="shared" si="58"/>
        <v>0</v>
      </c>
      <c r="CA57" s="798">
        <f t="shared" si="58"/>
        <v>0</v>
      </c>
      <c r="CB57" s="798">
        <f t="shared" si="58"/>
        <v>0</v>
      </c>
      <c r="CC57" s="798">
        <f t="shared" si="58"/>
        <v>0</v>
      </c>
      <c r="CD57" s="798">
        <f t="shared" si="58"/>
        <v>0</v>
      </c>
      <c r="CE57" s="798">
        <f t="shared" si="58"/>
        <v>0</v>
      </c>
      <c r="CF57" s="798">
        <f t="shared" si="58"/>
        <v>0</v>
      </c>
      <c r="CG57" s="798">
        <f t="shared" si="58"/>
        <v>0</v>
      </c>
      <c r="CH57" s="798">
        <f t="shared" si="58"/>
        <v>0</v>
      </c>
      <c r="CI57" s="798">
        <f t="shared" si="58"/>
        <v>0</v>
      </c>
      <c r="CJ57" s="798">
        <f t="shared" si="58"/>
        <v>0</v>
      </c>
      <c r="CK57" s="798">
        <f t="shared" si="58"/>
        <v>0</v>
      </c>
      <c r="CL57" s="798">
        <f t="shared" si="58"/>
        <v>0</v>
      </c>
      <c r="CM57" s="798">
        <f t="shared" si="58"/>
        <v>0</v>
      </c>
      <c r="CN57" s="798">
        <f t="shared" si="58"/>
        <v>0</v>
      </c>
      <c r="CO57" s="798">
        <f t="shared" si="58"/>
        <v>0</v>
      </c>
      <c r="CP57" s="798">
        <f t="shared" si="58"/>
        <v>0</v>
      </c>
      <c r="CQ57" s="798">
        <f t="shared" si="58"/>
        <v>0</v>
      </c>
      <c r="CR57" s="798">
        <f t="shared" si="58"/>
        <v>0</v>
      </c>
      <c r="CS57" s="798">
        <f t="shared" si="58"/>
        <v>0</v>
      </c>
      <c r="CT57" s="798">
        <f t="shared" si="58"/>
        <v>0</v>
      </c>
      <c r="CU57" s="798">
        <f t="shared" si="58"/>
        <v>0</v>
      </c>
      <c r="CV57" s="798">
        <f t="shared" si="58"/>
        <v>0</v>
      </c>
      <c r="CW57" s="798">
        <f t="shared" si="58"/>
        <v>0</v>
      </c>
      <c r="CX57" s="798">
        <f t="shared" si="58"/>
        <v>0</v>
      </c>
      <c r="CY57" s="798">
        <f t="shared" si="58"/>
        <v>0</v>
      </c>
      <c r="CZ57" s="798">
        <f t="shared" si="58"/>
        <v>0</v>
      </c>
      <c r="DA57" s="798">
        <f t="shared" si="58"/>
        <v>0</v>
      </c>
      <c r="DB57" s="798">
        <f t="shared" si="58"/>
        <v>0</v>
      </c>
      <c r="DC57" s="798">
        <f t="shared" si="58"/>
        <v>0</v>
      </c>
      <c r="DD57" s="798">
        <f t="shared" si="58"/>
        <v>0</v>
      </c>
      <c r="DE57" s="798">
        <f t="shared" si="58"/>
        <v>0</v>
      </c>
      <c r="DF57" s="798">
        <f t="shared" si="58"/>
        <v>0</v>
      </c>
      <c r="DG57" s="798">
        <f t="shared" si="58"/>
        <v>0</v>
      </c>
      <c r="DH57" s="798">
        <f t="shared" si="58"/>
        <v>0</v>
      </c>
      <c r="DI57" s="798">
        <f t="shared" si="58"/>
        <v>0</v>
      </c>
      <c r="DJ57" s="798">
        <f t="shared" si="58"/>
        <v>0</v>
      </c>
      <c r="DK57" s="798">
        <f t="shared" si="58"/>
        <v>0</v>
      </c>
      <c r="DL57" s="798">
        <f t="shared" si="58"/>
        <v>0</v>
      </c>
      <c r="DM57" s="798">
        <f t="shared" si="58"/>
        <v>0</v>
      </c>
      <c r="DN57" s="798">
        <f t="shared" si="58"/>
        <v>0</v>
      </c>
      <c r="DO57" s="798">
        <f t="shared" si="58"/>
        <v>0</v>
      </c>
      <c r="DP57" s="798">
        <f t="shared" si="58"/>
        <v>0</v>
      </c>
      <c r="DQ57" s="798">
        <f t="shared" si="58"/>
        <v>0</v>
      </c>
      <c r="DR57" s="798">
        <f t="shared" si="58"/>
        <v>0</v>
      </c>
      <c r="DS57" s="798">
        <f t="shared" si="58"/>
        <v>0</v>
      </c>
      <c r="DT57" s="798">
        <f t="shared" si="58"/>
        <v>0</v>
      </c>
      <c r="DU57" s="798">
        <f t="shared" si="58"/>
        <v>0</v>
      </c>
      <c r="DV57" s="798">
        <f t="shared" si="58"/>
        <v>0</v>
      </c>
      <c r="DW57" s="798">
        <f t="shared" si="58"/>
        <v>0</v>
      </c>
      <c r="DX57" s="798">
        <f t="shared" si="58"/>
        <v>0</v>
      </c>
      <c r="DY57" s="798">
        <f t="shared" si="58"/>
        <v>0</v>
      </c>
      <c r="DZ57" s="798">
        <f t="shared" si="58"/>
        <v>0</v>
      </c>
      <c r="EA57" s="798">
        <f t="shared" si="58"/>
        <v>0</v>
      </c>
      <c r="EB57" s="798">
        <f t="shared" si="58"/>
        <v>0</v>
      </c>
      <c r="EC57" s="798">
        <f t="shared" si="58"/>
        <v>0</v>
      </c>
      <c r="ED57" s="798">
        <f>SUM(ED53:ED56,ED50)</f>
        <v>0</v>
      </c>
      <c r="EE57" s="798">
        <f>SUM(EE53:EE56,EE50)</f>
        <v>0</v>
      </c>
      <c r="EF57" s="798">
        <f>SUM(EF53:EF56,EF50)</f>
        <v>0</v>
      </c>
      <c r="EG57" s="798">
        <f>SUM(EG53:EG56,EG50)</f>
        <v>0</v>
      </c>
      <c r="EH57" s="782"/>
    </row>
    <row r="58" spans="1:138" ht="12.75" customHeight="1" x14ac:dyDescent="0.3">
      <c r="A58" s="782"/>
      <c r="B58" s="800" t="s">
        <v>34</v>
      </c>
      <c r="C58" s="801">
        <f>XIRR(OFFSET(E57,0,$C$141):EG57,OFFSET($E$4,0,$C$141):$EG$4)</f>
        <v>0.28323593735694885</v>
      </c>
      <c r="D58" s="782"/>
      <c r="E58" s="805"/>
      <c r="F58" s="805"/>
      <c r="G58" s="805"/>
      <c r="H58" s="805"/>
      <c r="I58" s="805"/>
      <c r="J58" s="805"/>
      <c r="K58" s="805"/>
      <c r="L58" s="805"/>
      <c r="M58" s="805"/>
      <c r="N58" s="805"/>
      <c r="O58" s="805"/>
      <c r="P58" s="805"/>
      <c r="Q58" s="805"/>
      <c r="R58" s="805"/>
      <c r="S58" s="805"/>
      <c r="T58" s="805"/>
      <c r="U58" s="805"/>
      <c r="V58" s="805"/>
      <c r="W58" s="805"/>
      <c r="X58" s="805"/>
      <c r="Y58" s="805"/>
      <c r="Z58" s="805"/>
      <c r="AA58" s="805"/>
      <c r="AB58" s="805"/>
      <c r="AC58" s="805"/>
      <c r="AD58" s="805"/>
      <c r="AE58" s="805"/>
      <c r="AF58" s="805"/>
      <c r="AG58" s="805"/>
      <c r="AH58" s="805"/>
      <c r="AI58" s="805"/>
      <c r="AJ58" s="805"/>
      <c r="AK58" s="805"/>
      <c r="AL58" s="805"/>
      <c r="AM58" s="805"/>
      <c r="AN58" s="805"/>
      <c r="AO58" s="805"/>
      <c r="AP58" s="805"/>
      <c r="AQ58" s="805"/>
      <c r="AR58" s="805"/>
      <c r="AS58" s="805"/>
      <c r="AT58" s="805"/>
      <c r="AU58" s="805"/>
      <c r="AV58" s="805"/>
      <c r="AW58" s="805"/>
      <c r="AX58" s="805"/>
      <c r="AY58" s="805"/>
      <c r="AZ58" s="805"/>
      <c r="BA58" s="805"/>
      <c r="BB58" s="805"/>
      <c r="BC58" s="805"/>
      <c r="BD58" s="805"/>
      <c r="BE58" s="805"/>
      <c r="BF58" s="805"/>
      <c r="BG58" s="805"/>
      <c r="BH58" s="805"/>
      <c r="BI58" s="805"/>
      <c r="BJ58" s="805"/>
      <c r="BK58" s="805"/>
      <c r="BL58" s="805"/>
      <c r="BM58" s="805"/>
      <c r="BN58" s="805"/>
      <c r="BO58" s="805"/>
      <c r="BP58" s="805"/>
      <c r="BQ58" s="805"/>
      <c r="BR58" s="805"/>
      <c r="BS58" s="805"/>
      <c r="BT58" s="805"/>
      <c r="BU58" s="805"/>
      <c r="BV58" s="805"/>
      <c r="BW58" s="805"/>
      <c r="BX58" s="805"/>
      <c r="BY58" s="805"/>
      <c r="BZ58" s="805"/>
      <c r="CA58" s="805"/>
      <c r="CB58" s="805"/>
      <c r="CC58" s="805"/>
      <c r="CD58" s="805"/>
      <c r="CE58" s="805"/>
      <c r="CF58" s="805"/>
      <c r="CG58" s="805"/>
      <c r="CH58" s="805"/>
      <c r="CI58" s="805"/>
      <c r="CJ58" s="805"/>
      <c r="CK58" s="805"/>
      <c r="CL58" s="805"/>
      <c r="CM58" s="805"/>
      <c r="CN58" s="805"/>
      <c r="CO58" s="805"/>
      <c r="CP58" s="805"/>
      <c r="CQ58" s="805"/>
      <c r="CR58" s="805"/>
      <c r="CS58" s="805"/>
      <c r="CT58" s="805"/>
      <c r="CU58" s="805"/>
      <c r="CV58" s="805"/>
      <c r="CW58" s="805"/>
      <c r="CX58" s="805"/>
      <c r="CY58" s="805"/>
      <c r="CZ58" s="805"/>
      <c r="DA58" s="805"/>
      <c r="DB58" s="805"/>
      <c r="DC58" s="805"/>
      <c r="DD58" s="805"/>
      <c r="DE58" s="805"/>
      <c r="DF58" s="805"/>
      <c r="DG58" s="805"/>
      <c r="DH58" s="805"/>
      <c r="DI58" s="805"/>
      <c r="DJ58" s="805"/>
      <c r="DK58" s="805"/>
      <c r="DL58" s="805"/>
      <c r="DM58" s="805"/>
      <c r="DN58" s="805"/>
      <c r="DO58" s="805"/>
      <c r="DP58" s="805"/>
      <c r="DQ58" s="805"/>
      <c r="DR58" s="805"/>
      <c r="DS58" s="805"/>
      <c r="DT58" s="805"/>
      <c r="DU58" s="805"/>
      <c r="DV58" s="782"/>
      <c r="DW58" s="782"/>
      <c r="DX58" s="782"/>
      <c r="DY58" s="782"/>
      <c r="DZ58" s="782"/>
      <c r="EA58" s="782"/>
      <c r="EB58" s="782"/>
      <c r="EC58" s="782"/>
      <c r="ED58" s="782"/>
      <c r="EE58" s="782"/>
      <c r="EF58" s="782"/>
      <c r="EG58" s="782"/>
      <c r="EH58" s="782"/>
    </row>
    <row r="59" spans="1:138" ht="12.75" customHeight="1" x14ac:dyDescent="0.3">
      <c r="A59" s="782"/>
      <c r="B59" s="782"/>
      <c r="C59" s="782"/>
      <c r="D59" s="782"/>
      <c r="E59" s="805"/>
      <c r="F59" s="805"/>
      <c r="G59" s="805"/>
      <c r="H59" s="805"/>
      <c r="I59" s="805"/>
      <c r="J59" s="805"/>
      <c r="K59" s="805"/>
      <c r="L59" s="805"/>
      <c r="M59" s="805"/>
      <c r="N59" s="805"/>
      <c r="O59" s="805"/>
      <c r="P59" s="805"/>
      <c r="Q59" s="805"/>
      <c r="R59" s="805"/>
      <c r="S59" s="805"/>
      <c r="T59" s="805"/>
      <c r="U59" s="805"/>
      <c r="V59" s="805"/>
      <c r="W59" s="805"/>
      <c r="X59" s="805"/>
      <c r="Y59" s="805"/>
      <c r="Z59" s="805"/>
      <c r="AA59" s="805"/>
      <c r="AB59" s="805"/>
      <c r="AC59" s="805"/>
      <c r="AD59" s="805"/>
      <c r="AE59" s="805"/>
      <c r="AF59" s="805"/>
      <c r="AG59" s="805"/>
      <c r="AH59" s="805"/>
      <c r="AI59" s="805"/>
      <c r="AJ59" s="805"/>
      <c r="AK59" s="805"/>
      <c r="AL59" s="805"/>
      <c r="AM59" s="805"/>
      <c r="AN59" s="805"/>
      <c r="AO59" s="805"/>
      <c r="AP59" s="805"/>
      <c r="AQ59" s="805"/>
      <c r="AR59" s="805"/>
      <c r="AS59" s="805"/>
      <c r="AT59" s="805"/>
      <c r="AU59" s="805"/>
      <c r="AV59" s="805"/>
      <c r="AW59" s="805"/>
      <c r="AX59" s="805"/>
      <c r="AY59" s="805"/>
      <c r="AZ59" s="805"/>
      <c r="BA59" s="805"/>
      <c r="BB59" s="805"/>
      <c r="BC59" s="805"/>
      <c r="BD59" s="805"/>
      <c r="BE59" s="805"/>
      <c r="BF59" s="805"/>
      <c r="BG59" s="805"/>
      <c r="BH59" s="805"/>
      <c r="BI59" s="805"/>
      <c r="BJ59" s="805"/>
      <c r="BK59" s="805"/>
      <c r="BL59" s="805"/>
      <c r="BM59" s="805"/>
      <c r="BN59" s="805"/>
      <c r="BO59" s="805"/>
      <c r="BP59" s="805"/>
      <c r="BQ59" s="805"/>
      <c r="BR59" s="805"/>
      <c r="BS59" s="805"/>
      <c r="BT59" s="805"/>
      <c r="BU59" s="805"/>
      <c r="BV59" s="805"/>
      <c r="BW59" s="805"/>
      <c r="BX59" s="805"/>
      <c r="BY59" s="805"/>
      <c r="BZ59" s="805"/>
      <c r="CA59" s="805"/>
      <c r="CB59" s="805"/>
      <c r="CC59" s="805"/>
      <c r="CD59" s="805"/>
      <c r="CE59" s="805"/>
      <c r="CF59" s="805"/>
      <c r="CG59" s="805"/>
      <c r="CH59" s="805"/>
      <c r="CI59" s="805"/>
      <c r="CJ59" s="805"/>
      <c r="CK59" s="805"/>
      <c r="CL59" s="805"/>
      <c r="CM59" s="805"/>
      <c r="CN59" s="805"/>
      <c r="CO59" s="805"/>
      <c r="CP59" s="805"/>
      <c r="CQ59" s="805"/>
      <c r="CR59" s="805"/>
      <c r="CS59" s="805"/>
      <c r="CT59" s="805"/>
      <c r="CU59" s="805"/>
      <c r="CV59" s="805"/>
      <c r="CW59" s="805"/>
      <c r="CX59" s="805"/>
      <c r="CY59" s="805"/>
      <c r="CZ59" s="805"/>
      <c r="DA59" s="805"/>
      <c r="DB59" s="805"/>
      <c r="DC59" s="805"/>
      <c r="DD59" s="805"/>
      <c r="DE59" s="805"/>
      <c r="DF59" s="805"/>
      <c r="DG59" s="805"/>
      <c r="DH59" s="805"/>
      <c r="DI59" s="805"/>
      <c r="DJ59" s="805"/>
      <c r="DK59" s="805"/>
      <c r="DL59" s="805"/>
      <c r="DM59" s="805"/>
      <c r="DN59" s="805"/>
      <c r="DO59" s="805"/>
      <c r="DP59" s="805"/>
      <c r="DQ59" s="805"/>
      <c r="DR59" s="805"/>
      <c r="DS59" s="805"/>
      <c r="DT59" s="805"/>
      <c r="DU59" s="805"/>
      <c r="DV59" s="782"/>
      <c r="DW59" s="782"/>
      <c r="DX59" s="782"/>
      <c r="DY59" s="782"/>
      <c r="DZ59" s="782"/>
      <c r="EA59" s="782"/>
      <c r="EB59" s="782"/>
      <c r="EC59" s="782"/>
      <c r="ED59" s="782"/>
      <c r="EE59" s="782"/>
      <c r="EF59" s="782"/>
      <c r="EG59" s="782"/>
      <c r="EH59" s="782"/>
    </row>
    <row r="60" spans="1:138" ht="12.75" customHeight="1" x14ac:dyDescent="0.3">
      <c r="A60" s="782"/>
      <c r="B60" s="781" t="s">
        <v>24</v>
      </c>
      <c r="C60" s="799">
        <f>SUM(E60:EG60)</f>
        <v>-538188.73531141016</v>
      </c>
      <c r="D60" s="781"/>
      <c r="E60" s="799">
        <f t="shared" ref="E60:BP60" si="59">E37*E10</f>
        <v>0</v>
      </c>
      <c r="F60" s="799">
        <f t="shared" si="59"/>
        <v>-624.00231680382876</v>
      </c>
      <c r="G60" s="799">
        <f t="shared" si="59"/>
        <v>-5655.1249228157039</v>
      </c>
      <c r="H60" s="799">
        <f t="shared" si="59"/>
        <v>-5778.8539375863475</v>
      </c>
      <c r="I60" s="799">
        <f t="shared" si="59"/>
        <v>-5985.085787091647</v>
      </c>
      <c r="J60" s="799">
        <f t="shared" si="59"/>
        <v>-6360.0954294301118</v>
      </c>
      <c r="K60" s="799">
        <f t="shared" si="59"/>
        <v>-6994.4696251819178</v>
      </c>
      <c r="L60" s="799">
        <f t="shared" si="59"/>
        <v>-7648.4545531239564</v>
      </c>
      <c r="M60" s="799">
        <f t="shared" si="59"/>
        <v>-8491.532418333747</v>
      </c>
      <c r="N60" s="799">
        <f t="shared" si="59"/>
        <v>-9498.1953770864056</v>
      </c>
      <c r="O60" s="799">
        <f t="shared" si="59"/>
        <v>-10682.636085392403</v>
      </c>
      <c r="P60" s="799">
        <f t="shared" si="59"/>
        <v>-11910.111434709901</v>
      </c>
      <c r="Q60" s="799">
        <f t="shared" si="59"/>
        <v>-13203.170519538937</v>
      </c>
      <c r="R60" s="799">
        <f t="shared" si="59"/>
        <v>-14513.053609936573</v>
      </c>
      <c r="S60" s="799">
        <f t="shared" si="59"/>
        <v>-15835.909818692693</v>
      </c>
      <c r="T60" s="799">
        <f t="shared" si="59"/>
        <v>-17071.858707300587</v>
      </c>
      <c r="U60" s="799">
        <f t="shared" si="59"/>
        <v>-18272.165256671487</v>
      </c>
      <c r="V60" s="799">
        <f t="shared" si="59"/>
        <v>-19382.938452231665</v>
      </c>
      <c r="W60" s="799">
        <f t="shared" si="59"/>
        <v>-20381.411578950978</v>
      </c>
      <c r="X60" s="799">
        <f t="shared" si="59"/>
        <v>-21374.675023688487</v>
      </c>
      <c r="Y60" s="799">
        <f t="shared" si="59"/>
        <v>-22286.172159307695</v>
      </c>
      <c r="Z60" s="799">
        <f t="shared" si="59"/>
        <v>-23053.178074060099</v>
      </c>
      <c r="AA60" s="799">
        <f t="shared" si="59"/>
        <v>-23706.70963792564</v>
      </c>
      <c r="AB60" s="799">
        <f t="shared" si="59"/>
        <v>-24249.985587016792</v>
      </c>
      <c r="AC60" s="799">
        <f t="shared" si="59"/>
        <v>-24615.24061366449</v>
      </c>
      <c r="AD60" s="799">
        <f t="shared" si="59"/>
        <v>-24910.060027416595</v>
      </c>
      <c r="AE60" s="799">
        <f t="shared" si="59"/>
        <v>-25100.520622493055</v>
      </c>
      <c r="AF60" s="799">
        <f t="shared" si="59"/>
        <v>-25100.520622493055</v>
      </c>
      <c r="AG60" s="799">
        <f t="shared" si="59"/>
        <v>-25100.520622493055</v>
      </c>
      <c r="AH60" s="799">
        <f t="shared" si="59"/>
        <v>-25100.520622493055</v>
      </c>
      <c r="AI60" s="799">
        <f t="shared" si="59"/>
        <v>-25100.520622493055</v>
      </c>
      <c r="AJ60" s="799">
        <f t="shared" si="59"/>
        <v>-25100.520622493055</v>
      </c>
      <c r="AK60" s="799">
        <f t="shared" si="59"/>
        <v>-25100.520622493055</v>
      </c>
      <c r="AL60" s="799">
        <f t="shared" si="59"/>
        <v>0</v>
      </c>
      <c r="AM60" s="799">
        <f t="shared" si="59"/>
        <v>0</v>
      </c>
      <c r="AN60" s="799">
        <f t="shared" si="59"/>
        <v>0</v>
      </c>
      <c r="AO60" s="799">
        <f t="shared" si="59"/>
        <v>0</v>
      </c>
      <c r="AP60" s="799">
        <f t="shared" si="59"/>
        <v>0</v>
      </c>
      <c r="AQ60" s="799">
        <f t="shared" si="59"/>
        <v>0</v>
      </c>
      <c r="AR60" s="799">
        <f t="shared" si="59"/>
        <v>0</v>
      </c>
      <c r="AS60" s="799">
        <f t="shared" si="59"/>
        <v>0</v>
      </c>
      <c r="AT60" s="799">
        <f t="shared" si="59"/>
        <v>0</v>
      </c>
      <c r="AU60" s="799">
        <f t="shared" si="59"/>
        <v>0</v>
      </c>
      <c r="AV60" s="799">
        <f t="shared" si="59"/>
        <v>0</v>
      </c>
      <c r="AW60" s="799">
        <f t="shared" si="59"/>
        <v>0</v>
      </c>
      <c r="AX60" s="799">
        <f t="shared" si="59"/>
        <v>0</v>
      </c>
      <c r="AY60" s="799">
        <f t="shared" si="59"/>
        <v>0</v>
      </c>
      <c r="AZ60" s="799">
        <f t="shared" si="59"/>
        <v>0</v>
      </c>
      <c r="BA60" s="799">
        <f t="shared" si="59"/>
        <v>0</v>
      </c>
      <c r="BB60" s="799">
        <f t="shared" si="59"/>
        <v>0</v>
      </c>
      <c r="BC60" s="799">
        <f t="shared" si="59"/>
        <v>0</v>
      </c>
      <c r="BD60" s="799">
        <f t="shared" si="59"/>
        <v>0</v>
      </c>
      <c r="BE60" s="799">
        <f t="shared" si="59"/>
        <v>0</v>
      </c>
      <c r="BF60" s="799">
        <f t="shared" si="59"/>
        <v>0</v>
      </c>
      <c r="BG60" s="799">
        <f t="shared" si="59"/>
        <v>0</v>
      </c>
      <c r="BH60" s="799">
        <f t="shared" si="59"/>
        <v>0</v>
      </c>
      <c r="BI60" s="799">
        <f t="shared" si="59"/>
        <v>0</v>
      </c>
      <c r="BJ60" s="799">
        <f t="shared" si="59"/>
        <v>0</v>
      </c>
      <c r="BK60" s="799">
        <f t="shared" si="59"/>
        <v>0</v>
      </c>
      <c r="BL60" s="799">
        <f t="shared" si="59"/>
        <v>0</v>
      </c>
      <c r="BM60" s="799">
        <f t="shared" si="59"/>
        <v>0</v>
      </c>
      <c r="BN60" s="799">
        <f t="shared" si="59"/>
        <v>0</v>
      </c>
      <c r="BO60" s="799">
        <f t="shared" si="59"/>
        <v>0</v>
      </c>
      <c r="BP60" s="799">
        <f t="shared" si="59"/>
        <v>0</v>
      </c>
      <c r="BQ60" s="799">
        <f t="shared" ref="BQ60:EB60" si="60">BQ37*BQ10</f>
        <v>0</v>
      </c>
      <c r="BR60" s="799">
        <f t="shared" si="60"/>
        <v>0</v>
      </c>
      <c r="BS60" s="799">
        <f t="shared" si="60"/>
        <v>0</v>
      </c>
      <c r="BT60" s="799">
        <f t="shared" si="60"/>
        <v>0</v>
      </c>
      <c r="BU60" s="799">
        <f t="shared" si="60"/>
        <v>0</v>
      </c>
      <c r="BV60" s="799">
        <f t="shared" si="60"/>
        <v>0</v>
      </c>
      <c r="BW60" s="799">
        <f t="shared" si="60"/>
        <v>0</v>
      </c>
      <c r="BX60" s="799">
        <f t="shared" si="60"/>
        <v>0</v>
      </c>
      <c r="BY60" s="799">
        <f t="shared" si="60"/>
        <v>0</v>
      </c>
      <c r="BZ60" s="799">
        <f t="shared" si="60"/>
        <v>0</v>
      </c>
      <c r="CA60" s="799">
        <f t="shared" si="60"/>
        <v>0</v>
      </c>
      <c r="CB60" s="799">
        <f t="shared" si="60"/>
        <v>0</v>
      </c>
      <c r="CC60" s="799">
        <f t="shared" si="60"/>
        <v>0</v>
      </c>
      <c r="CD60" s="799">
        <f t="shared" si="60"/>
        <v>0</v>
      </c>
      <c r="CE60" s="799">
        <f t="shared" si="60"/>
        <v>0</v>
      </c>
      <c r="CF60" s="799">
        <f t="shared" si="60"/>
        <v>0</v>
      </c>
      <c r="CG60" s="799">
        <f t="shared" si="60"/>
        <v>0</v>
      </c>
      <c r="CH60" s="799">
        <f t="shared" si="60"/>
        <v>0</v>
      </c>
      <c r="CI60" s="799">
        <f t="shared" si="60"/>
        <v>0</v>
      </c>
      <c r="CJ60" s="799">
        <f t="shared" si="60"/>
        <v>0</v>
      </c>
      <c r="CK60" s="799">
        <f t="shared" si="60"/>
        <v>0</v>
      </c>
      <c r="CL60" s="799">
        <f t="shared" si="60"/>
        <v>0</v>
      </c>
      <c r="CM60" s="799">
        <f t="shared" si="60"/>
        <v>0</v>
      </c>
      <c r="CN60" s="799">
        <f t="shared" si="60"/>
        <v>0</v>
      </c>
      <c r="CO60" s="799">
        <f t="shared" si="60"/>
        <v>0</v>
      </c>
      <c r="CP60" s="799">
        <f t="shared" si="60"/>
        <v>0</v>
      </c>
      <c r="CQ60" s="799">
        <f t="shared" si="60"/>
        <v>0</v>
      </c>
      <c r="CR60" s="799">
        <f t="shared" si="60"/>
        <v>0</v>
      </c>
      <c r="CS60" s="799">
        <f t="shared" si="60"/>
        <v>0</v>
      </c>
      <c r="CT60" s="799">
        <f t="shared" si="60"/>
        <v>0</v>
      </c>
      <c r="CU60" s="799">
        <f t="shared" si="60"/>
        <v>0</v>
      </c>
      <c r="CV60" s="799">
        <f t="shared" si="60"/>
        <v>0</v>
      </c>
      <c r="CW60" s="799">
        <f t="shared" si="60"/>
        <v>0</v>
      </c>
      <c r="CX60" s="799">
        <f t="shared" si="60"/>
        <v>0</v>
      </c>
      <c r="CY60" s="799">
        <f t="shared" si="60"/>
        <v>0</v>
      </c>
      <c r="CZ60" s="799">
        <f t="shared" si="60"/>
        <v>0</v>
      </c>
      <c r="DA60" s="799">
        <f t="shared" si="60"/>
        <v>0</v>
      </c>
      <c r="DB60" s="799">
        <f t="shared" si="60"/>
        <v>0</v>
      </c>
      <c r="DC60" s="799">
        <f t="shared" si="60"/>
        <v>0</v>
      </c>
      <c r="DD60" s="799">
        <f t="shared" si="60"/>
        <v>0</v>
      </c>
      <c r="DE60" s="799">
        <f t="shared" si="60"/>
        <v>0</v>
      </c>
      <c r="DF60" s="799">
        <f t="shared" si="60"/>
        <v>0</v>
      </c>
      <c r="DG60" s="799">
        <f t="shared" si="60"/>
        <v>0</v>
      </c>
      <c r="DH60" s="799">
        <f t="shared" si="60"/>
        <v>0</v>
      </c>
      <c r="DI60" s="799">
        <f t="shared" si="60"/>
        <v>0</v>
      </c>
      <c r="DJ60" s="799">
        <f t="shared" si="60"/>
        <v>0</v>
      </c>
      <c r="DK60" s="799">
        <f t="shared" si="60"/>
        <v>0</v>
      </c>
      <c r="DL60" s="799">
        <f t="shared" si="60"/>
        <v>0</v>
      </c>
      <c r="DM60" s="799">
        <f t="shared" si="60"/>
        <v>0</v>
      </c>
      <c r="DN60" s="799">
        <f t="shared" si="60"/>
        <v>0</v>
      </c>
      <c r="DO60" s="799">
        <f t="shared" si="60"/>
        <v>0</v>
      </c>
      <c r="DP60" s="799">
        <f t="shared" si="60"/>
        <v>0</v>
      </c>
      <c r="DQ60" s="799">
        <f t="shared" si="60"/>
        <v>0</v>
      </c>
      <c r="DR60" s="799">
        <f t="shared" si="60"/>
        <v>0</v>
      </c>
      <c r="DS60" s="799">
        <f t="shared" si="60"/>
        <v>0</v>
      </c>
      <c r="DT60" s="799">
        <f t="shared" si="60"/>
        <v>0</v>
      </c>
      <c r="DU60" s="799">
        <f t="shared" si="60"/>
        <v>0</v>
      </c>
      <c r="DV60" s="799">
        <f t="shared" si="60"/>
        <v>0</v>
      </c>
      <c r="DW60" s="799">
        <f t="shared" si="60"/>
        <v>0</v>
      </c>
      <c r="DX60" s="799">
        <f t="shared" si="60"/>
        <v>0</v>
      </c>
      <c r="DY60" s="799">
        <f t="shared" si="60"/>
        <v>0</v>
      </c>
      <c r="DZ60" s="799">
        <f t="shared" si="60"/>
        <v>0</v>
      </c>
      <c r="EA60" s="799">
        <f t="shared" si="60"/>
        <v>0</v>
      </c>
      <c r="EB60" s="799">
        <f t="shared" si="60"/>
        <v>0</v>
      </c>
      <c r="EC60" s="799">
        <f>EC37*EC10</f>
        <v>0</v>
      </c>
      <c r="ED60" s="799">
        <f>ED37*ED10</f>
        <v>0</v>
      </c>
      <c r="EE60" s="799">
        <f>EE37*EE10</f>
        <v>0</v>
      </c>
      <c r="EF60" s="799">
        <f>EF37*EF10</f>
        <v>0</v>
      </c>
      <c r="EG60" s="799">
        <f>EG37*EG10</f>
        <v>0</v>
      </c>
      <c r="EH60" s="782"/>
    </row>
    <row r="61" spans="1:138" ht="12.75" customHeight="1" x14ac:dyDescent="0.3">
      <c r="A61" s="782"/>
      <c r="B61" s="782" t="s">
        <v>35</v>
      </c>
      <c r="C61" s="798">
        <f>SUM(E61:EG61)</f>
        <v>27266179.698435396</v>
      </c>
      <c r="D61" s="782"/>
      <c r="E61" s="798">
        <f>SUM(E57,E60)</f>
        <v>-1943435.5218400576</v>
      </c>
      <c r="F61" s="798">
        <f t="shared" ref="F61:BQ61" si="61">SUM(F57,F60)</f>
        <v>-15208647.652673729</v>
      </c>
      <c r="G61" s="798">
        <f t="shared" si="61"/>
        <v>-491498.0015560445</v>
      </c>
      <c r="H61" s="798">
        <f t="shared" si="61"/>
        <v>-739130.23477478127</v>
      </c>
      <c r="I61" s="798">
        <f t="shared" si="61"/>
        <v>-1245669.8451237862</v>
      </c>
      <c r="J61" s="798">
        <f t="shared" si="61"/>
        <v>-2024138.5150061427</v>
      </c>
      <c r="K61" s="798">
        <f t="shared" si="61"/>
        <v>-2083605.0857725968</v>
      </c>
      <c r="L61" s="798">
        <f t="shared" si="61"/>
        <v>-2651537.8825037964</v>
      </c>
      <c r="M61" s="798">
        <f t="shared" si="61"/>
        <v>-3143136.2409976111</v>
      </c>
      <c r="N61" s="798">
        <f t="shared" si="61"/>
        <v>-3677476.1526163789</v>
      </c>
      <c r="O61" s="798">
        <f t="shared" si="61"/>
        <v>-2096036.1763591815</v>
      </c>
      <c r="P61" s="798">
        <f t="shared" si="61"/>
        <v>-20243.445243114293</v>
      </c>
      <c r="Q61" s="798">
        <f t="shared" si="61"/>
        <v>-21536.504033744117</v>
      </c>
      <c r="R61" s="798">
        <f t="shared" si="61"/>
        <v>-22846.387199595178</v>
      </c>
      <c r="S61" s="798">
        <f t="shared" si="61"/>
        <v>-24169.242963682955</v>
      </c>
      <c r="T61" s="798">
        <f t="shared" si="61"/>
        <v>-25405.192141294679</v>
      </c>
      <c r="U61" s="798">
        <f t="shared" si="61"/>
        <v>-26605.498258502568</v>
      </c>
      <c r="V61" s="798">
        <f t="shared" si="61"/>
        <v>-27716.271931473133</v>
      </c>
      <c r="W61" s="798">
        <f t="shared" si="61"/>
        <v>-28714.745112786575</v>
      </c>
      <c r="X61" s="798">
        <f t="shared" si="61"/>
        <v>-29708.008202723711</v>
      </c>
      <c r="Y61" s="798">
        <f t="shared" si="61"/>
        <v>-30619.50573784305</v>
      </c>
      <c r="Z61" s="798">
        <f t="shared" si="61"/>
        <v>-31386.510991997875</v>
      </c>
      <c r="AA61" s="798">
        <f t="shared" si="61"/>
        <v>-32040.043232683936</v>
      </c>
      <c r="AB61" s="798">
        <f t="shared" si="61"/>
        <v>-32583.31885140936</v>
      </c>
      <c r="AC61" s="798">
        <f t="shared" si="61"/>
        <v>11164.455298793164</v>
      </c>
      <c r="AD61" s="798">
        <f t="shared" si="61"/>
        <v>51087.028808271949</v>
      </c>
      <c r="AE61" s="798">
        <f t="shared" si="61"/>
        <v>96690.409152741282</v>
      </c>
      <c r="AF61" s="798">
        <f t="shared" si="61"/>
        <v>186128.38333325498</v>
      </c>
      <c r="AG61" s="798">
        <f t="shared" si="61"/>
        <v>189774.72498510519</v>
      </c>
      <c r="AH61" s="798">
        <f t="shared" si="61"/>
        <v>191077.87392284846</v>
      </c>
      <c r="AI61" s="798">
        <f t="shared" si="61"/>
        <v>424631.52148606483</v>
      </c>
      <c r="AJ61" s="798">
        <f t="shared" si="61"/>
        <v>427220.46900700842</v>
      </c>
      <c r="AK61" s="798">
        <f t="shared" si="61"/>
        <v>61346290.815566257</v>
      </c>
      <c r="AL61" s="798">
        <f t="shared" si="61"/>
        <v>0</v>
      </c>
      <c r="AM61" s="798">
        <f t="shared" si="61"/>
        <v>0</v>
      </c>
      <c r="AN61" s="798">
        <f t="shared" si="61"/>
        <v>0</v>
      </c>
      <c r="AO61" s="798">
        <f t="shared" si="61"/>
        <v>0</v>
      </c>
      <c r="AP61" s="798">
        <f t="shared" si="61"/>
        <v>0</v>
      </c>
      <c r="AQ61" s="798">
        <f t="shared" si="61"/>
        <v>0</v>
      </c>
      <c r="AR61" s="798">
        <f t="shared" si="61"/>
        <v>0</v>
      </c>
      <c r="AS61" s="798">
        <f t="shared" si="61"/>
        <v>0</v>
      </c>
      <c r="AT61" s="798">
        <f t="shared" si="61"/>
        <v>0</v>
      </c>
      <c r="AU61" s="798">
        <f t="shared" si="61"/>
        <v>0</v>
      </c>
      <c r="AV61" s="798">
        <f t="shared" si="61"/>
        <v>0</v>
      </c>
      <c r="AW61" s="798">
        <f t="shared" si="61"/>
        <v>0</v>
      </c>
      <c r="AX61" s="798">
        <f t="shared" si="61"/>
        <v>0</v>
      </c>
      <c r="AY61" s="798">
        <f t="shared" si="61"/>
        <v>0</v>
      </c>
      <c r="AZ61" s="798">
        <f t="shared" si="61"/>
        <v>0</v>
      </c>
      <c r="BA61" s="798">
        <f t="shared" si="61"/>
        <v>0</v>
      </c>
      <c r="BB61" s="798">
        <f t="shared" si="61"/>
        <v>0</v>
      </c>
      <c r="BC61" s="798">
        <f t="shared" si="61"/>
        <v>0</v>
      </c>
      <c r="BD61" s="798">
        <f t="shared" si="61"/>
        <v>0</v>
      </c>
      <c r="BE61" s="798">
        <f t="shared" si="61"/>
        <v>0</v>
      </c>
      <c r="BF61" s="798">
        <f t="shared" si="61"/>
        <v>0</v>
      </c>
      <c r="BG61" s="798">
        <f t="shared" si="61"/>
        <v>0</v>
      </c>
      <c r="BH61" s="798">
        <f t="shared" si="61"/>
        <v>0</v>
      </c>
      <c r="BI61" s="798">
        <f t="shared" si="61"/>
        <v>0</v>
      </c>
      <c r="BJ61" s="798">
        <f t="shared" si="61"/>
        <v>0</v>
      </c>
      <c r="BK61" s="798">
        <f t="shared" si="61"/>
        <v>0</v>
      </c>
      <c r="BL61" s="798">
        <f t="shared" si="61"/>
        <v>0</v>
      </c>
      <c r="BM61" s="798">
        <f t="shared" si="61"/>
        <v>0</v>
      </c>
      <c r="BN61" s="798">
        <f t="shared" si="61"/>
        <v>0</v>
      </c>
      <c r="BO61" s="798">
        <f t="shared" si="61"/>
        <v>0</v>
      </c>
      <c r="BP61" s="798">
        <f t="shared" si="61"/>
        <v>0</v>
      </c>
      <c r="BQ61" s="798">
        <f t="shared" si="61"/>
        <v>0</v>
      </c>
      <c r="BR61" s="798">
        <f t="shared" ref="BR61:EC61" si="62">SUM(BR57,BR60)</f>
        <v>0</v>
      </c>
      <c r="BS61" s="798">
        <f t="shared" si="62"/>
        <v>0</v>
      </c>
      <c r="BT61" s="798">
        <f t="shared" si="62"/>
        <v>0</v>
      </c>
      <c r="BU61" s="798">
        <f t="shared" si="62"/>
        <v>0</v>
      </c>
      <c r="BV61" s="798">
        <f t="shared" si="62"/>
        <v>0</v>
      </c>
      <c r="BW61" s="798">
        <f t="shared" si="62"/>
        <v>0</v>
      </c>
      <c r="BX61" s="798">
        <f t="shared" si="62"/>
        <v>0</v>
      </c>
      <c r="BY61" s="798">
        <f t="shared" si="62"/>
        <v>0</v>
      </c>
      <c r="BZ61" s="798">
        <f t="shared" si="62"/>
        <v>0</v>
      </c>
      <c r="CA61" s="798">
        <f t="shared" si="62"/>
        <v>0</v>
      </c>
      <c r="CB61" s="798">
        <f t="shared" si="62"/>
        <v>0</v>
      </c>
      <c r="CC61" s="798">
        <f t="shared" si="62"/>
        <v>0</v>
      </c>
      <c r="CD61" s="798">
        <f t="shared" si="62"/>
        <v>0</v>
      </c>
      <c r="CE61" s="798">
        <f t="shared" si="62"/>
        <v>0</v>
      </c>
      <c r="CF61" s="798">
        <f t="shared" si="62"/>
        <v>0</v>
      </c>
      <c r="CG61" s="798">
        <f t="shared" si="62"/>
        <v>0</v>
      </c>
      <c r="CH61" s="798">
        <f t="shared" si="62"/>
        <v>0</v>
      </c>
      <c r="CI61" s="798">
        <f t="shared" si="62"/>
        <v>0</v>
      </c>
      <c r="CJ61" s="798">
        <f t="shared" si="62"/>
        <v>0</v>
      </c>
      <c r="CK61" s="798">
        <f t="shared" si="62"/>
        <v>0</v>
      </c>
      <c r="CL61" s="798">
        <f t="shared" si="62"/>
        <v>0</v>
      </c>
      <c r="CM61" s="798">
        <f t="shared" si="62"/>
        <v>0</v>
      </c>
      <c r="CN61" s="798">
        <f t="shared" si="62"/>
        <v>0</v>
      </c>
      <c r="CO61" s="798">
        <f t="shared" si="62"/>
        <v>0</v>
      </c>
      <c r="CP61" s="798">
        <f t="shared" si="62"/>
        <v>0</v>
      </c>
      <c r="CQ61" s="798">
        <f t="shared" si="62"/>
        <v>0</v>
      </c>
      <c r="CR61" s="798">
        <f t="shared" si="62"/>
        <v>0</v>
      </c>
      <c r="CS61" s="798">
        <f t="shared" si="62"/>
        <v>0</v>
      </c>
      <c r="CT61" s="798">
        <f t="shared" si="62"/>
        <v>0</v>
      </c>
      <c r="CU61" s="798">
        <f t="shared" si="62"/>
        <v>0</v>
      </c>
      <c r="CV61" s="798">
        <f t="shared" si="62"/>
        <v>0</v>
      </c>
      <c r="CW61" s="798">
        <f t="shared" si="62"/>
        <v>0</v>
      </c>
      <c r="CX61" s="798">
        <f t="shared" si="62"/>
        <v>0</v>
      </c>
      <c r="CY61" s="798">
        <f t="shared" si="62"/>
        <v>0</v>
      </c>
      <c r="CZ61" s="798">
        <f t="shared" si="62"/>
        <v>0</v>
      </c>
      <c r="DA61" s="798">
        <f t="shared" si="62"/>
        <v>0</v>
      </c>
      <c r="DB61" s="798">
        <f t="shared" si="62"/>
        <v>0</v>
      </c>
      <c r="DC61" s="798">
        <f t="shared" si="62"/>
        <v>0</v>
      </c>
      <c r="DD61" s="798">
        <f t="shared" si="62"/>
        <v>0</v>
      </c>
      <c r="DE61" s="798">
        <f t="shared" si="62"/>
        <v>0</v>
      </c>
      <c r="DF61" s="798">
        <f t="shared" si="62"/>
        <v>0</v>
      </c>
      <c r="DG61" s="798">
        <f t="shared" si="62"/>
        <v>0</v>
      </c>
      <c r="DH61" s="798">
        <f t="shared" si="62"/>
        <v>0</v>
      </c>
      <c r="DI61" s="798">
        <f t="shared" si="62"/>
        <v>0</v>
      </c>
      <c r="DJ61" s="798">
        <f t="shared" si="62"/>
        <v>0</v>
      </c>
      <c r="DK61" s="798">
        <f t="shared" si="62"/>
        <v>0</v>
      </c>
      <c r="DL61" s="798">
        <f t="shared" si="62"/>
        <v>0</v>
      </c>
      <c r="DM61" s="798">
        <f t="shared" si="62"/>
        <v>0</v>
      </c>
      <c r="DN61" s="798">
        <f t="shared" si="62"/>
        <v>0</v>
      </c>
      <c r="DO61" s="798">
        <f t="shared" si="62"/>
        <v>0</v>
      </c>
      <c r="DP61" s="798">
        <f t="shared" si="62"/>
        <v>0</v>
      </c>
      <c r="DQ61" s="798">
        <f t="shared" si="62"/>
        <v>0</v>
      </c>
      <c r="DR61" s="798">
        <f t="shared" si="62"/>
        <v>0</v>
      </c>
      <c r="DS61" s="798">
        <f t="shared" si="62"/>
        <v>0</v>
      </c>
      <c r="DT61" s="798">
        <f t="shared" si="62"/>
        <v>0</v>
      </c>
      <c r="DU61" s="798">
        <f t="shared" si="62"/>
        <v>0</v>
      </c>
      <c r="DV61" s="798">
        <f t="shared" si="62"/>
        <v>0</v>
      </c>
      <c r="DW61" s="798">
        <f t="shared" si="62"/>
        <v>0</v>
      </c>
      <c r="DX61" s="798">
        <f t="shared" si="62"/>
        <v>0</v>
      </c>
      <c r="DY61" s="798">
        <f t="shared" si="62"/>
        <v>0</v>
      </c>
      <c r="DZ61" s="798">
        <f t="shared" si="62"/>
        <v>0</v>
      </c>
      <c r="EA61" s="798">
        <f t="shared" si="62"/>
        <v>0</v>
      </c>
      <c r="EB61" s="798">
        <f t="shared" si="62"/>
        <v>0</v>
      </c>
      <c r="EC61" s="798">
        <f t="shared" si="62"/>
        <v>0</v>
      </c>
      <c r="ED61" s="798">
        <f>SUM(ED57,ED60)</f>
        <v>0</v>
      </c>
      <c r="EE61" s="798">
        <f>SUM(EE57,EE60)</f>
        <v>0</v>
      </c>
      <c r="EF61" s="798">
        <f>SUM(EF57,EF60)</f>
        <v>0</v>
      </c>
      <c r="EG61" s="798">
        <f>SUM(EG57,EG60)</f>
        <v>0</v>
      </c>
      <c r="EH61" s="782"/>
    </row>
    <row r="62" spans="1:138" ht="12.75" customHeight="1" x14ac:dyDescent="0.3">
      <c r="A62" s="782"/>
      <c r="B62" s="800" t="s">
        <v>36</v>
      </c>
      <c r="C62" s="801">
        <f>XIRR(OFFSET(E61,0,$C$141):EG61,OFFSET($E$4,0,$C$141):$EG$4)</f>
        <v>0.27725512385368345</v>
      </c>
      <c r="D62" s="782"/>
      <c r="E62" s="782"/>
      <c r="F62" s="782"/>
      <c r="G62" s="782"/>
      <c r="H62" s="782"/>
      <c r="I62" s="782"/>
      <c r="J62" s="782"/>
      <c r="K62" s="782"/>
      <c r="L62" s="782"/>
      <c r="M62" s="782"/>
      <c r="N62" s="782"/>
      <c r="O62" s="782"/>
      <c r="P62" s="782"/>
      <c r="Q62" s="782"/>
      <c r="R62" s="782"/>
      <c r="S62" s="782"/>
      <c r="T62" s="782"/>
      <c r="U62" s="782"/>
      <c r="V62" s="782"/>
      <c r="W62" s="782"/>
      <c r="X62" s="782"/>
      <c r="Y62" s="782"/>
      <c r="Z62" s="782"/>
      <c r="AA62" s="782"/>
      <c r="AB62" s="782"/>
      <c r="AC62" s="782"/>
      <c r="AD62" s="782"/>
      <c r="AE62" s="782"/>
      <c r="AF62" s="782"/>
      <c r="AG62" s="782"/>
      <c r="AH62" s="782"/>
      <c r="AI62" s="782"/>
      <c r="AJ62" s="782"/>
      <c r="AK62" s="782"/>
      <c r="AL62" s="782"/>
      <c r="AM62" s="782"/>
      <c r="AN62" s="782"/>
      <c r="AO62" s="782"/>
      <c r="AP62" s="782"/>
      <c r="AQ62" s="782"/>
      <c r="AR62" s="782"/>
      <c r="AS62" s="782"/>
      <c r="AT62" s="782"/>
      <c r="AU62" s="782"/>
      <c r="AV62" s="782"/>
      <c r="AW62" s="782"/>
      <c r="AX62" s="782"/>
      <c r="AY62" s="782"/>
      <c r="AZ62" s="782"/>
      <c r="BA62" s="782"/>
      <c r="BB62" s="782"/>
      <c r="BC62" s="782"/>
      <c r="BD62" s="782"/>
      <c r="BE62" s="782"/>
      <c r="BF62" s="782"/>
      <c r="BG62" s="782"/>
      <c r="BH62" s="782"/>
      <c r="BI62" s="782"/>
      <c r="BJ62" s="782"/>
      <c r="BK62" s="782"/>
      <c r="BL62" s="782"/>
      <c r="BM62" s="782"/>
      <c r="BN62" s="782"/>
      <c r="BO62" s="782"/>
      <c r="BP62" s="782"/>
      <c r="BQ62" s="782"/>
      <c r="BR62" s="782"/>
      <c r="BS62" s="782"/>
      <c r="BT62" s="782"/>
      <c r="BU62" s="782"/>
      <c r="BV62" s="782"/>
      <c r="BW62" s="782"/>
      <c r="BX62" s="782"/>
      <c r="BY62" s="782"/>
      <c r="BZ62" s="782"/>
      <c r="CA62" s="782"/>
      <c r="CB62" s="782"/>
      <c r="CC62" s="782"/>
      <c r="CD62" s="782"/>
      <c r="CE62" s="782"/>
      <c r="CF62" s="782"/>
      <c r="CG62" s="782"/>
      <c r="CH62" s="782"/>
      <c r="CI62" s="782"/>
      <c r="CJ62" s="782"/>
      <c r="CK62" s="782"/>
      <c r="CL62" s="782"/>
      <c r="CM62" s="782"/>
      <c r="CN62" s="782"/>
      <c r="CO62" s="782"/>
      <c r="CP62" s="782"/>
      <c r="CQ62" s="782"/>
      <c r="CR62" s="782"/>
      <c r="CS62" s="782"/>
      <c r="CT62" s="782"/>
      <c r="CU62" s="782"/>
      <c r="CV62" s="782"/>
      <c r="CW62" s="782"/>
      <c r="CX62" s="782"/>
      <c r="CY62" s="782"/>
      <c r="CZ62" s="782"/>
      <c r="DA62" s="782"/>
      <c r="DB62" s="782"/>
      <c r="DC62" s="782"/>
      <c r="DD62" s="782"/>
      <c r="DE62" s="782"/>
      <c r="DF62" s="782"/>
      <c r="DG62" s="782"/>
      <c r="DH62" s="782"/>
      <c r="DI62" s="782"/>
      <c r="DJ62" s="782"/>
      <c r="DK62" s="782"/>
      <c r="DL62" s="782"/>
      <c r="DM62" s="782"/>
      <c r="DN62" s="782"/>
      <c r="DO62" s="782"/>
      <c r="DP62" s="782"/>
      <c r="DQ62" s="782"/>
      <c r="DR62" s="782"/>
      <c r="DS62" s="782"/>
      <c r="DT62" s="782"/>
      <c r="DU62" s="782"/>
      <c r="DV62" s="782"/>
      <c r="DW62" s="782"/>
      <c r="DX62" s="782"/>
      <c r="DY62" s="782"/>
      <c r="DZ62" s="782"/>
      <c r="EA62" s="782"/>
      <c r="EB62" s="782"/>
      <c r="EC62" s="782"/>
      <c r="ED62" s="782"/>
      <c r="EE62" s="782"/>
      <c r="EF62" s="782"/>
      <c r="EG62" s="782"/>
      <c r="EH62" s="782"/>
    </row>
    <row r="63" spans="1:138" ht="12.75" customHeight="1" x14ac:dyDescent="0.3">
      <c r="A63" s="782"/>
      <c r="B63" s="782"/>
      <c r="C63" s="782"/>
      <c r="D63" s="782"/>
      <c r="E63" s="782"/>
      <c r="F63" s="782"/>
      <c r="G63" s="782"/>
      <c r="H63" s="782"/>
      <c r="I63" s="782"/>
      <c r="J63" s="782"/>
      <c r="K63" s="782"/>
      <c r="L63" s="782"/>
      <c r="M63" s="782"/>
      <c r="N63" s="782"/>
      <c r="O63" s="782"/>
      <c r="P63" s="782"/>
      <c r="Q63" s="782"/>
      <c r="R63" s="782"/>
      <c r="S63" s="782"/>
      <c r="T63" s="782"/>
      <c r="U63" s="782"/>
      <c r="V63" s="782"/>
      <c r="W63" s="782"/>
      <c r="X63" s="782"/>
      <c r="Y63" s="782"/>
      <c r="Z63" s="782"/>
      <c r="AA63" s="782"/>
      <c r="AB63" s="782"/>
      <c r="AC63" s="782"/>
      <c r="AD63" s="782"/>
      <c r="AE63" s="782"/>
      <c r="AF63" s="782"/>
      <c r="AG63" s="782"/>
      <c r="AH63" s="782"/>
      <c r="AI63" s="782"/>
      <c r="AJ63" s="782"/>
      <c r="AK63" s="782"/>
      <c r="AL63" s="782"/>
      <c r="AM63" s="782"/>
      <c r="AN63" s="782"/>
      <c r="AO63" s="782"/>
      <c r="AP63" s="782"/>
      <c r="AQ63" s="782"/>
      <c r="AR63" s="782"/>
      <c r="AS63" s="782"/>
      <c r="AT63" s="782"/>
      <c r="AU63" s="782"/>
      <c r="AV63" s="782"/>
      <c r="AW63" s="782"/>
      <c r="AX63" s="782"/>
      <c r="AY63" s="782"/>
      <c r="AZ63" s="782"/>
      <c r="BA63" s="782"/>
      <c r="BB63" s="782"/>
      <c r="BC63" s="782"/>
      <c r="BD63" s="782"/>
      <c r="BE63" s="782"/>
      <c r="BF63" s="782"/>
      <c r="BG63" s="782"/>
      <c r="BH63" s="782"/>
      <c r="BI63" s="782"/>
      <c r="BJ63" s="782"/>
      <c r="BK63" s="782"/>
      <c r="BL63" s="782"/>
      <c r="BM63" s="782"/>
      <c r="BN63" s="782"/>
      <c r="BO63" s="782"/>
      <c r="BP63" s="782"/>
      <c r="BQ63" s="782"/>
      <c r="BR63" s="782"/>
      <c r="BS63" s="782"/>
      <c r="BT63" s="782"/>
      <c r="BU63" s="782"/>
      <c r="BV63" s="782"/>
      <c r="BW63" s="782"/>
      <c r="BX63" s="782"/>
      <c r="BY63" s="782"/>
      <c r="BZ63" s="782"/>
      <c r="CA63" s="782"/>
      <c r="CB63" s="782"/>
      <c r="CC63" s="782"/>
      <c r="CD63" s="782"/>
      <c r="CE63" s="782"/>
      <c r="CF63" s="782"/>
      <c r="CG63" s="782"/>
      <c r="CH63" s="782"/>
      <c r="CI63" s="782"/>
      <c r="CJ63" s="782"/>
      <c r="CK63" s="782"/>
      <c r="CL63" s="782"/>
      <c r="CM63" s="782"/>
      <c r="CN63" s="782"/>
      <c r="CO63" s="782"/>
      <c r="CP63" s="782"/>
      <c r="CQ63" s="782"/>
      <c r="CR63" s="782"/>
      <c r="CS63" s="782"/>
      <c r="CT63" s="782"/>
      <c r="CU63" s="782"/>
      <c r="CV63" s="782"/>
      <c r="CW63" s="782"/>
      <c r="CX63" s="782"/>
      <c r="CY63" s="782"/>
      <c r="CZ63" s="782"/>
      <c r="DA63" s="782"/>
      <c r="DB63" s="782"/>
      <c r="DC63" s="782"/>
      <c r="DD63" s="782"/>
      <c r="DE63" s="782"/>
      <c r="DF63" s="782"/>
      <c r="DG63" s="782"/>
      <c r="DH63" s="782"/>
      <c r="DI63" s="782"/>
      <c r="DJ63" s="782"/>
      <c r="DK63" s="782"/>
      <c r="DL63" s="782"/>
      <c r="DM63" s="782"/>
      <c r="DN63" s="782"/>
      <c r="DO63" s="782"/>
      <c r="DP63" s="782"/>
      <c r="DQ63" s="782"/>
      <c r="DR63" s="782"/>
      <c r="DS63" s="782"/>
      <c r="DT63" s="782"/>
      <c r="DU63" s="782"/>
      <c r="DV63" s="782"/>
      <c r="DW63" s="782"/>
      <c r="DX63" s="782"/>
      <c r="DY63" s="782"/>
      <c r="DZ63" s="782"/>
      <c r="EA63" s="782"/>
      <c r="EB63" s="782"/>
      <c r="EC63" s="782"/>
      <c r="ED63" s="782"/>
      <c r="EE63" s="782"/>
      <c r="EF63" s="782"/>
      <c r="EG63" s="782"/>
      <c r="EH63" s="782"/>
    </row>
    <row r="64" spans="1:138" ht="12.75" customHeight="1" x14ac:dyDescent="0.3">
      <c r="A64" s="782"/>
      <c r="B64" s="781" t="s">
        <v>37</v>
      </c>
      <c r="C64" s="799">
        <f>SUM(E64:EG64)</f>
        <v>-6868726.7816661661</v>
      </c>
      <c r="D64" s="781"/>
      <c r="E64" s="799">
        <f>-E110</f>
        <v>0</v>
      </c>
      <c r="F64" s="799">
        <f t="shared" ref="F64:BQ64" si="63">-F110</f>
        <v>0</v>
      </c>
      <c r="G64" s="799">
        <f t="shared" si="63"/>
        <v>0</v>
      </c>
      <c r="H64" s="799">
        <f t="shared" si="63"/>
        <v>0</v>
      </c>
      <c r="I64" s="799">
        <f t="shared" si="63"/>
        <v>0</v>
      </c>
      <c r="J64" s="799">
        <f t="shared" si="63"/>
        <v>0</v>
      </c>
      <c r="K64" s="799">
        <f t="shared" si="63"/>
        <v>0</v>
      </c>
      <c r="L64" s="799">
        <f t="shared" si="63"/>
        <v>0</v>
      </c>
      <c r="M64" s="799">
        <f t="shared" si="63"/>
        <v>0</v>
      </c>
      <c r="N64" s="799">
        <f t="shared" si="63"/>
        <v>0</v>
      </c>
      <c r="O64" s="799">
        <f t="shared" si="63"/>
        <v>0</v>
      </c>
      <c r="P64" s="799">
        <f t="shared" si="63"/>
        <v>0</v>
      </c>
      <c r="Q64" s="799">
        <f t="shared" si="63"/>
        <v>0</v>
      </c>
      <c r="R64" s="799">
        <f t="shared" si="63"/>
        <v>0</v>
      </c>
      <c r="S64" s="799">
        <f t="shared" si="63"/>
        <v>0</v>
      </c>
      <c r="T64" s="799">
        <f t="shared" si="63"/>
        <v>0</v>
      </c>
      <c r="U64" s="799">
        <f t="shared" si="63"/>
        <v>0</v>
      </c>
      <c r="V64" s="799">
        <f t="shared" si="63"/>
        <v>0</v>
      </c>
      <c r="W64" s="799">
        <f t="shared" si="63"/>
        <v>0</v>
      </c>
      <c r="X64" s="799">
        <f t="shared" si="63"/>
        <v>0</v>
      </c>
      <c r="Y64" s="799">
        <f t="shared" si="63"/>
        <v>0</v>
      </c>
      <c r="Z64" s="799">
        <f t="shared" si="63"/>
        <v>0</v>
      </c>
      <c r="AA64" s="799">
        <f t="shared" si="63"/>
        <v>0</v>
      </c>
      <c r="AB64" s="799">
        <f t="shared" si="63"/>
        <v>0</v>
      </c>
      <c r="AC64" s="799">
        <f t="shared" si="63"/>
        <v>0</v>
      </c>
      <c r="AD64" s="799">
        <f t="shared" si="63"/>
        <v>0</v>
      </c>
      <c r="AE64" s="799">
        <f t="shared" si="63"/>
        <v>0</v>
      </c>
      <c r="AF64" s="799">
        <f t="shared" si="63"/>
        <v>0</v>
      </c>
      <c r="AG64" s="799">
        <f t="shared" si="63"/>
        <v>0</v>
      </c>
      <c r="AH64" s="799">
        <f t="shared" si="63"/>
        <v>0</v>
      </c>
      <c r="AI64" s="799">
        <f t="shared" si="63"/>
        <v>0</v>
      </c>
      <c r="AJ64" s="799">
        <f t="shared" si="63"/>
        <v>0</v>
      </c>
      <c r="AK64" s="799">
        <f t="shared" si="63"/>
        <v>-6868726.7816661661</v>
      </c>
      <c r="AL64" s="799">
        <f t="shared" si="63"/>
        <v>0</v>
      </c>
      <c r="AM64" s="799">
        <f t="shared" si="63"/>
        <v>0</v>
      </c>
      <c r="AN64" s="799">
        <f t="shared" si="63"/>
        <v>0</v>
      </c>
      <c r="AO64" s="799">
        <f t="shared" si="63"/>
        <v>0</v>
      </c>
      <c r="AP64" s="799">
        <f t="shared" si="63"/>
        <v>0</v>
      </c>
      <c r="AQ64" s="799">
        <f t="shared" si="63"/>
        <v>0</v>
      </c>
      <c r="AR64" s="799">
        <f t="shared" si="63"/>
        <v>0</v>
      </c>
      <c r="AS64" s="799">
        <f t="shared" si="63"/>
        <v>0</v>
      </c>
      <c r="AT64" s="799">
        <f t="shared" si="63"/>
        <v>0</v>
      </c>
      <c r="AU64" s="799">
        <f t="shared" si="63"/>
        <v>0</v>
      </c>
      <c r="AV64" s="799">
        <f t="shared" si="63"/>
        <v>0</v>
      </c>
      <c r="AW64" s="799">
        <f t="shared" si="63"/>
        <v>0</v>
      </c>
      <c r="AX64" s="799">
        <f t="shared" si="63"/>
        <v>0</v>
      </c>
      <c r="AY64" s="799">
        <f t="shared" si="63"/>
        <v>0</v>
      </c>
      <c r="AZ64" s="799">
        <f t="shared" si="63"/>
        <v>0</v>
      </c>
      <c r="BA64" s="799">
        <f t="shared" si="63"/>
        <v>0</v>
      </c>
      <c r="BB64" s="799">
        <f t="shared" si="63"/>
        <v>0</v>
      </c>
      <c r="BC64" s="799">
        <f t="shared" si="63"/>
        <v>0</v>
      </c>
      <c r="BD64" s="799">
        <f t="shared" si="63"/>
        <v>0</v>
      </c>
      <c r="BE64" s="799">
        <f t="shared" si="63"/>
        <v>0</v>
      </c>
      <c r="BF64" s="799">
        <f t="shared" si="63"/>
        <v>0</v>
      </c>
      <c r="BG64" s="799">
        <f t="shared" si="63"/>
        <v>0</v>
      </c>
      <c r="BH64" s="799">
        <f t="shared" si="63"/>
        <v>0</v>
      </c>
      <c r="BI64" s="799">
        <f t="shared" si="63"/>
        <v>0</v>
      </c>
      <c r="BJ64" s="799">
        <f t="shared" si="63"/>
        <v>0</v>
      </c>
      <c r="BK64" s="799">
        <f t="shared" si="63"/>
        <v>0</v>
      </c>
      <c r="BL64" s="799">
        <f t="shared" si="63"/>
        <v>0</v>
      </c>
      <c r="BM64" s="799">
        <f t="shared" si="63"/>
        <v>0</v>
      </c>
      <c r="BN64" s="799">
        <f t="shared" si="63"/>
        <v>0</v>
      </c>
      <c r="BO64" s="799">
        <f t="shared" si="63"/>
        <v>0</v>
      </c>
      <c r="BP64" s="799">
        <f t="shared" si="63"/>
        <v>0</v>
      </c>
      <c r="BQ64" s="799">
        <f t="shared" si="63"/>
        <v>0</v>
      </c>
      <c r="BR64" s="799">
        <f t="shared" ref="BR64:EB64" si="64">-BR110</f>
        <v>0</v>
      </c>
      <c r="BS64" s="799">
        <f t="shared" si="64"/>
        <v>0</v>
      </c>
      <c r="BT64" s="799">
        <f t="shared" si="64"/>
        <v>0</v>
      </c>
      <c r="BU64" s="799">
        <f t="shared" si="64"/>
        <v>0</v>
      </c>
      <c r="BV64" s="799">
        <f t="shared" si="64"/>
        <v>0</v>
      </c>
      <c r="BW64" s="799">
        <f t="shared" si="64"/>
        <v>0</v>
      </c>
      <c r="BX64" s="799">
        <f t="shared" si="64"/>
        <v>0</v>
      </c>
      <c r="BY64" s="799">
        <f t="shared" si="64"/>
        <v>0</v>
      </c>
      <c r="BZ64" s="799">
        <f t="shared" si="64"/>
        <v>0</v>
      </c>
      <c r="CA64" s="799">
        <f t="shared" si="64"/>
        <v>0</v>
      </c>
      <c r="CB64" s="799">
        <f t="shared" si="64"/>
        <v>0</v>
      </c>
      <c r="CC64" s="799">
        <f t="shared" si="64"/>
        <v>0</v>
      </c>
      <c r="CD64" s="799">
        <f t="shared" si="64"/>
        <v>0</v>
      </c>
      <c r="CE64" s="799">
        <f t="shared" si="64"/>
        <v>0</v>
      </c>
      <c r="CF64" s="799">
        <f t="shared" si="64"/>
        <v>0</v>
      </c>
      <c r="CG64" s="799">
        <f t="shared" si="64"/>
        <v>0</v>
      </c>
      <c r="CH64" s="799">
        <f t="shared" si="64"/>
        <v>0</v>
      </c>
      <c r="CI64" s="799">
        <f t="shared" si="64"/>
        <v>0</v>
      </c>
      <c r="CJ64" s="799">
        <f t="shared" si="64"/>
        <v>0</v>
      </c>
      <c r="CK64" s="799">
        <f t="shared" si="64"/>
        <v>0</v>
      </c>
      <c r="CL64" s="799">
        <f t="shared" si="64"/>
        <v>0</v>
      </c>
      <c r="CM64" s="799">
        <f t="shared" si="64"/>
        <v>0</v>
      </c>
      <c r="CN64" s="799">
        <f t="shared" si="64"/>
        <v>0</v>
      </c>
      <c r="CO64" s="799">
        <f t="shared" si="64"/>
        <v>0</v>
      </c>
      <c r="CP64" s="799">
        <f t="shared" si="64"/>
        <v>0</v>
      </c>
      <c r="CQ64" s="799">
        <f t="shared" si="64"/>
        <v>0</v>
      </c>
      <c r="CR64" s="799">
        <f t="shared" si="64"/>
        <v>0</v>
      </c>
      <c r="CS64" s="799">
        <f t="shared" si="64"/>
        <v>0</v>
      </c>
      <c r="CT64" s="799">
        <f t="shared" si="64"/>
        <v>0</v>
      </c>
      <c r="CU64" s="799">
        <f t="shared" si="64"/>
        <v>0</v>
      </c>
      <c r="CV64" s="799">
        <f t="shared" si="64"/>
        <v>0</v>
      </c>
      <c r="CW64" s="799">
        <f t="shared" si="64"/>
        <v>0</v>
      </c>
      <c r="CX64" s="799">
        <f t="shared" si="64"/>
        <v>0</v>
      </c>
      <c r="CY64" s="799">
        <f t="shared" si="64"/>
        <v>0</v>
      </c>
      <c r="CZ64" s="799">
        <f t="shared" si="64"/>
        <v>0</v>
      </c>
      <c r="DA64" s="799">
        <f t="shared" si="64"/>
        <v>0</v>
      </c>
      <c r="DB64" s="799">
        <f t="shared" si="64"/>
        <v>0</v>
      </c>
      <c r="DC64" s="799">
        <f t="shared" si="64"/>
        <v>0</v>
      </c>
      <c r="DD64" s="799">
        <f t="shared" si="64"/>
        <v>0</v>
      </c>
      <c r="DE64" s="799">
        <f t="shared" si="64"/>
        <v>0</v>
      </c>
      <c r="DF64" s="799">
        <f t="shared" si="64"/>
        <v>0</v>
      </c>
      <c r="DG64" s="799">
        <f t="shared" si="64"/>
        <v>0</v>
      </c>
      <c r="DH64" s="799">
        <f t="shared" si="64"/>
        <v>0</v>
      </c>
      <c r="DI64" s="799">
        <f t="shared" si="64"/>
        <v>0</v>
      </c>
      <c r="DJ64" s="799">
        <f t="shared" si="64"/>
        <v>0</v>
      </c>
      <c r="DK64" s="799">
        <f t="shared" si="64"/>
        <v>0</v>
      </c>
      <c r="DL64" s="799">
        <f t="shared" si="64"/>
        <v>0</v>
      </c>
      <c r="DM64" s="799">
        <f t="shared" si="64"/>
        <v>0</v>
      </c>
      <c r="DN64" s="799">
        <f t="shared" si="64"/>
        <v>0</v>
      </c>
      <c r="DO64" s="799">
        <f t="shared" si="64"/>
        <v>0</v>
      </c>
      <c r="DP64" s="799">
        <f t="shared" si="64"/>
        <v>0</v>
      </c>
      <c r="DQ64" s="799">
        <f t="shared" si="64"/>
        <v>0</v>
      </c>
      <c r="DR64" s="799">
        <f t="shared" si="64"/>
        <v>0</v>
      </c>
      <c r="DS64" s="799">
        <f t="shared" si="64"/>
        <v>0</v>
      </c>
      <c r="DT64" s="799">
        <f t="shared" si="64"/>
        <v>0</v>
      </c>
      <c r="DU64" s="799">
        <f t="shared" si="64"/>
        <v>0</v>
      </c>
      <c r="DV64" s="799">
        <f t="shared" si="64"/>
        <v>0</v>
      </c>
      <c r="DW64" s="799">
        <f t="shared" si="64"/>
        <v>0</v>
      </c>
      <c r="DX64" s="799">
        <f t="shared" si="64"/>
        <v>0</v>
      </c>
      <c r="DY64" s="799">
        <f t="shared" si="64"/>
        <v>0</v>
      </c>
      <c r="DZ64" s="799">
        <f t="shared" si="64"/>
        <v>0</v>
      </c>
      <c r="EA64" s="799">
        <f t="shared" si="64"/>
        <v>0</v>
      </c>
      <c r="EB64" s="799">
        <f t="shared" si="64"/>
        <v>0</v>
      </c>
      <c r="EC64" s="799">
        <f>-EC110</f>
        <v>0</v>
      </c>
      <c r="ED64" s="799">
        <f>-ED110</f>
        <v>0</v>
      </c>
      <c r="EE64" s="799">
        <f>-EE110</f>
        <v>0</v>
      </c>
      <c r="EF64" s="799">
        <f>-EF110</f>
        <v>0</v>
      </c>
      <c r="EG64" s="799">
        <f>-EG110</f>
        <v>0</v>
      </c>
      <c r="EH64" s="782"/>
    </row>
    <row r="65" spans="1:138" ht="12.75" customHeight="1" x14ac:dyDescent="0.3">
      <c r="A65" s="782"/>
      <c r="B65" s="782" t="s">
        <v>38</v>
      </c>
      <c r="C65" s="798">
        <f>SUM(E65:EG65)</f>
        <v>20397452.916769229</v>
      </c>
      <c r="D65" s="782"/>
      <c r="E65" s="798">
        <f t="shared" ref="E65:BP65" si="65">SUM(E64,E61)</f>
        <v>-1943435.5218400576</v>
      </c>
      <c r="F65" s="798">
        <f t="shared" si="65"/>
        <v>-15208647.652673729</v>
      </c>
      <c r="G65" s="798">
        <f t="shared" si="65"/>
        <v>-491498.0015560445</v>
      </c>
      <c r="H65" s="798">
        <f t="shared" si="65"/>
        <v>-739130.23477478127</v>
      </c>
      <c r="I65" s="798">
        <f t="shared" si="65"/>
        <v>-1245669.8451237862</v>
      </c>
      <c r="J65" s="798">
        <f t="shared" si="65"/>
        <v>-2024138.5150061427</v>
      </c>
      <c r="K65" s="798">
        <f t="shared" si="65"/>
        <v>-2083605.0857725968</v>
      </c>
      <c r="L65" s="798">
        <f t="shared" si="65"/>
        <v>-2651537.8825037964</v>
      </c>
      <c r="M65" s="798">
        <f t="shared" si="65"/>
        <v>-3143136.2409976111</v>
      </c>
      <c r="N65" s="798">
        <f t="shared" si="65"/>
        <v>-3677476.1526163789</v>
      </c>
      <c r="O65" s="798">
        <f t="shared" si="65"/>
        <v>-2096036.1763591815</v>
      </c>
      <c r="P65" s="798">
        <f t="shared" si="65"/>
        <v>-20243.445243114293</v>
      </c>
      <c r="Q65" s="798">
        <f t="shared" si="65"/>
        <v>-21536.504033744117</v>
      </c>
      <c r="R65" s="798">
        <f t="shared" si="65"/>
        <v>-22846.387199595178</v>
      </c>
      <c r="S65" s="798">
        <f t="shared" si="65"/>
        <v>-24169.242963682955</v>
      </c>
      <c r="T65" s="798">
        <f t="shared" si="65"/>
        <v>-25405.192141294679</v>
      </c>
      <c r="U65" s="798">
        <f t="shared" si="65"/>
        <v>-26605.498258502568</v>
      </c>
      <c r="V65" s="798">
        <f t="shared" si="65"/>
        <v>-27716.271931473133</v>
      </c>
      <c r="W65" s="798">
        <f t="shared" si="65"/>
        <v>-28714.745112786575</v>
      </c>
      <c r="X65" s="798">
        <f t="shared" si="65"/>
        <v>-29708.008202723711</v>
      </c>
      <c r="Y65" s="798">
        <f t="shared" si="65"/>
        <v>-30619.50573784305</v>
      </c>
      <c r="Z65" s="798">
        <f t="shared" si="65"/>
        <v>-31386.510991997875</v>
      </c>
      <c r="AA65" s="798">
        <f t="shared" si="65"/>
        <v>-32040.043232683936</v>
      </c>
      <c r="AB65" s="798">
        <f t="shared" si="65"/>
        <v>-32583.31885140936</v>
      </c>
      <c r="AC65" s="798">
        <f t="shared" si="65"/>
        <v>11164.455298793164</v>
      </c>
      <c r="AD65" s="798">
        <f t="shared" si="65"/>
        <v>51087.028808271949</v>
      </c>
      <c r="AE65" s="798">
        <f t="shared" si="65"/>
        <v>96690.409152741282</v>
      </c>
      <c r="AF65" s="798">
        <f t="shared" si="65"/>
        <v>186128.38333325498</v>
      </c>
      <c r="AG65" s="798">
        <f t="shared" si="65"/>
        <v>189774.72498510519</v>
      </c>
      <c r="AH65" s="798">
        <f t="shared" si="65"/>
        <v>191077.87392284846</v>
      </c>
      <c r="AI65" s="798">
        <f t="shared" si="65"/>
        <v>424631.52148606483</v>
      </c>
      <c r="AJ65" s="798">
        <f t="shared" si="65"/>
        <v>427220.46900700842</v>
      </c>
      <c r="AK65" s="798">
        <f t="shared" si="65"/>
        <v>54477564.03390009</v>
      </c>
      <c r="AL65" s="798">
        <f t="shared" si="65"/>
        <v>0</v>
      </c>
      <c r="AM65" s="798">
        <f t="shared" si="65"/>
        <v>0</v>
      </c>
      <c r="AN65" s="798">
        <f t="shared" si="65"/>
        <v>0</v>
      </c>
      <c r="AO65" s="798">
        <f t="shared" si="65"/>
        <v>0</v>
      </c>
      <c r="AP65" s="798">
        <f t="shared" si="65"/>
        <v>0</v>
      </c>
      <c r="AQ65" s="798">
        <f t="shared" si="65"/>
        <v>0</v>
      </c>
      <c r="AR65" s="798">
        <f t="shared" si="65"/>
        <v>0</v>
      </c>
      <c r="AS65" s="798">
        <f t="shared" si="65"/>
        <v>0</v>
      </c>
      <c r="AT65" s="798">
        <f t="shared" si="65"/>
        <v>0</v>
      </c>
      <c r="AU65" s="798">
        <f t="shared" si="65"/>
        <v>0</v>
      </c>
      <c r="AV65" s="798">
        <f t="shared" si="65"/>
        <v>0</v>
      </c>
      <c r="AW65" s="798">
        <f t="shared" si="65"/>
        <v>0</v>
      </c>
      <c r="AX65" s="798">
        <f t="shared" si="65"/>
        <v>0</v>
      </c>
      <c r="AY65" s="798">
        <f t="shared" si="65"/>
        <v>0</v>
      </c>
      <c r="AZ65" s="798">
        <f t="shared" si="65"/>
        <v>0</v>
      </c>
      <c r="BA65" s="798">
        <f t="shared" si="65"/>
        <v>0</v>
      </c>
      <c r="BB65" s="798">
        <f t="shared" si="65"/>
        <v>0</v>
      </c>
      <c r="BC65" s="798">
        <f t="shared" si="65"/>
        <v>0</v>
      </c>
      <c r="BD65" s="798">
        <f t="shared" si="65"/>
        <v>0</v>
      </c>
      <c r="BE65" s="798">
        <f t="shared" si="65"/>
        <v>0</v>
      </c>
      <c r="BF65" s="798">
        <f t="shared" si="65"/>
        <v>0</v>
      </c>
      <c r="BG65" s="798">
        <f t="shared" si="65"/>
        <v>0</v>
      </c>
      <c r="BH65" s="798">
        <f t="shared" si="65"/>
        <v>0</v>
      </c>
      <c r="BI65" s="798">
        <f t="shared" si="65"/>
        <v>0</v>
      </c>
      <c r="BJ65" s="798">
        <f t="shared" si="65"/>
        <v>0</v>
      </c>
      <c r="BK65" s="798">
        <f t="shared" si="65"/>
        <v>0</v>
      </c>
      <c r="BL65" s="798">
        <f t="shared" si="65"/>
        <v>0</v>
      </c>
      <c r="BM65" s="798">
        <f t="shared" si="65"/>
        <v>0</v>
      </c>
      <c r="BN65" s="798">
        <f t="shared" si="65"/>
        <v>0</v>
      </c>
      <c r="BO65" s="798">
        <f t="shared" si="65"/>
        <v>0</v>
      </c>
      <c r="BP65" s="798">
        <f t="shared" si="65"/>
        <v>0</v>
      </c>
      <c r="BQ65" s="798">
        <f t="shared" ref="BQ65:EB65" si="66">SUM(BQ64,BQ61)</f>
        <v>0</v>
      </c>
      <c r="BR65" s="798">
        <f t="shared" si="66"/>
        <v>0</v>
      </c>
      <c r="BS65" s="798">
        <f t="shared" si="66"/>
        <v>0</v>
      </c>
      <c r="BT65" s="798">
        <f t="shared" si="66"/>
        <v>0</v>
      </c>
      <c r="BU65" s="798">
        <f t="shared" si="66"/>
        <v>0</v>
      </c>
      <c r="BV65" s="798">
        <f t="shared" si="66"/>
        <v>0</v>
      </c>
      <c r="BW65" s="798">
        <f t="shared" si="66"/>
        <v>0</v>
      </c>
      <c r="BX65" s="798">
        <f t="shared" si="66"/>
        <v>0</v>
      </c>
      <c r="BY65" s="798">
        <f t="shared" si="66"/>
        <v>0</v>
      </c>
      <c r="BZ65" s="798">
        <f t="shared" si="66"/>
        <v>0</v>
      </c>
      <c r="CA65" s="798">
        <f t="shared" si="66"/>
        <v>0</v>
      </c>
      <c r="CB65" s="798">
        <f t="shared" si="66"/>
        <v>0</v>
      </c>
      <c r="CC65" s="798">
        <f t="shared" si="66"/>
        <v>0</v>
      </c>
      <c r="CD65" s="798">
        <f t="shared" si="66"/>
        <v>0</v>
      </c>
      <c r="CE65" s="798">
        <f t="shared" si="66"/>
        <v>0</v>
      </c>
      <c r="CF65" s="798">
        <f t="shared" si="66"/>
        <v>0</v>
      </c>
      <c r="CG65" s="798">
        <f t="shared" si="66"/>
        <v>0</v>
      </c>
      <c r="CH65" s="798">
        <f t="shared" si="66"/>
        <v>0</v>
      </c>
      <c r="CI65" s="798">
        <f t="shared" si="66"/>
        <v>0</v>
      </c>
      <c r="CJ65" s="798">
        <f t="shared" si="66"/>
        <v>0</v>
      </c>
      <c r="CK65" s="798">
        <f t="shared" si="66"/>
        <v>0</v>
      </c>
      <c r="CL65" s="798">
        <f t="shared" si="66"/>
        <v>0</v>
      </c>
      <c r="CM65" s="798">
        <f t="shared" si="66"/>
        <v>0</v>
      </c>
      <c r="CN65" s="798">
        <f t="shared" si="66"/>
        <v>0</v>
      </c>
      <c r="CO65" s="798">
        <f t="shared" si="66"/>
        <v>0</v>
      </c>
      <c r="CP65" s="798">
        <f t="shared" si="66"/>
        <v>0</v>
      </c>
      <c r="CQ65" s="798">
        <f t="shared" si="66"/>
        <v>0</v>
      </c>
      <c r="CR65" s="798">
        <f t="shared" si="66"/>
        <v>0</v>
      </c>
      <c r="CS65" s="798">
        <f t="shared" si="66"/>
        <v>0</v>
      </c>
      <c r="CT65" s="798">
        <f t="shared" si="66"/>
        <v>0</v>
      </c>
      <c r="CU65" s="798">
        <f t="shared" si="66"/>
        <v>0</v>
      </c>
      <c r="CV65" s="798">
        <f t="shared" si="66"/>
        <v>0</v>
      </c>
      <c r="CW65" s="798">
        <f t="shared" si="66"/>
        <v>0</v>
      </c>
      <c r="CX65" s="798">
        <f t="shared" si="66"/>
        <v>0</v>
      </c>
      <c r="CY65" s="798">
        <f t="shared" si="66"/>
        <v>0</v>
      </c>
      <c r="CZ65" s="798">
        <f t="shared" si="66"/>
        <v>0</v>
      </c>
      <c r="DA65" s="798">
        <f t="shared" si="66"/>
        <v>0</v>
      </c>
      <c r="DB65" s="798">
        <f t="shared" si="66"/>
        <v>0</v>
      </c>
      <c r="DC65" s="798">
        <f t="shared" si="66"/>
        <v>0</v>
      </c>
      <c r="DD65" s="798">
        <f t="shared" si="66"/>
        <v>0</v>
      </c>
      <c r="DE65" s="798">
        <f t="shared" si="66"/>
        <v>0</v>
      </c>
      <c r="DF65" s="798">
        <f t="shared" si="66"/>
        <v>0</v>
      </c>
      <c r="DG65" s="798">
        <f t="shared" si="66"/>
        <v>0</v>
      </c>
      <c r="DH65" s="798">
        <f t="shared" si="66"/>
        <v>0</v>
      </c>
      <c r="DI65" s="798">
        <f t="shared" si="66"/>
        <v>0</v>
      </c>
      <c r="DJ65" s="798">
        <f t="shared" si="66"/>
        <v>0</v>
      </c>
      <c r="DK65" s="798">
        <f t="shared" si="66"/>
        <v>0</v>
      </c>
      <c r="DL65" s="798">
        <f t="shared" si="66"/>
        <v>0</v>
      </c>
      <c r="DM65" s="798">
        <f t="shared" si="66"/>
        <v>0</v>
      </c>
      <c r="DN65" s="798">
        <f t="shared" si="66"/>
        <v>0</v>
      </c>
      <c r="DO65" s="798">
        <f t="shared" si="66"/>
        <v>0</v>
      </c>
      <c r="DP65" s="798">
        <f t="shared" si="66"/>
        <v>0</v>
      </c>
      <c r="DQ65" s="798">
        <f t="shared" si="66"/>
        <v>0</v>
      </c>
      <c r="DR65" s="798">
        <f t="shared" si="66"/>
        <v>0</v>
      </c>
      <c r="DS65" s="798">
        <f t="shared" si="66"/>
        <v>0</v>
      </c>
      <c r="DT65" s="798">
        <f t="shared" si="66"/>
        <v>0</v>
      </c>
      <c r="DU65" s="798">
        <f t="shared" si="66"/>
        <v>0</v>
      </c>
      <c r="DV65" s="798">
        <f t="shared" si="66"/>
        <v>0</v>
      </c>
      <c r="DW65" s="798">
        <f t="shared" si="66"/>
        <v>0</v>
      </c>
      <c r="DX65" s="798">
        <f t="shared" si="66"/>
        <v>0</v>
      </c>
      <c r="DY65" s="798">
        <f t="shared" si="66"/>
        <v>0</v>
      </c>
      <c r="DZ65" s="798">
        <f t="shared" si="66"/>
        <v>0</v>
      </c>
      <c r="EA65" s="798">
        <f t="shared" si="66"/>
        <v>0</v>
      </c>
      <c r="EB65" s="798">
        <f t="shared" si="66"/>
        <v>0</v>
      </c>
      <c r="EC65" s="798">
        <f>SUM(EC64,EC61)</f>
        <v>0</v>
      </c>
      <c r="ED65" s="798">
        <f>SUM(ED64,ED61)</f>
        <v>0</v>
      </c>
      <c r="EE65" s="798">
        <f>SUM(EE64,EE61)</f>
        <v>0</v>
      </c>
      <c r="EF65" s="798">
        <f>SUM(EF64,EF61)</f>
        <v>0</v>
      </c>
      <c r="EG65" s="798">
        <f>SUM(EG64,EG61)</f>
        <v>0</v>
      </c>
      <c r="EH65" s="782"/>
    </row>
    <row r="66" spans="1:138" ht="12.75" customHeight="1" x14ac:dyDescent="0.3">
      <c r="A66" s="782"/>
      <c r="B66" s="800" t="s">
        <v>39</v>
      </c>
      <c r="C66" s="801">
        <f>XIRR(OFFSET(E65,0,$C$141):EG65,OFFSET($E$4,0,$C$141):$EG$4)</f>
        <v>0.21550791859626769</v>
      </c>
      <c r="D66" s="782"/>
      <c r="E66" s="782"/>
      <c r="F66" s="782"/>
      <c r="G66" s="782"/>
      <c r="H66" s="782"/>
      <c r="I66" s="782"/>
      <c r="J66" s="782"/>
      <c r="K66" s="782"/>
      <c r="L66" s="782"/>
      <c r="M66" s="782"/>
      <c r="N66" s="782"/>
      <c r="O66" s="782"/>
      <c r="P66" s="782"/>
      <c r="Q66" s="782"/>
      <c r="R66" s="782"/>
      <c r="S66" s="782"/>
      <c r="T66" s="782"/>
      <c r="U66" s="782"/>
      <c r="V66" s="782"/>
      <c r="W66" s="782"/>
      <c r="X66" s="782"/>
      <c r="Y66" s="782"/>
      <c r="Z66" s="782"/>
      <c r="AA66" s="782"/>
      <c r="AB66" s="782"/>
      <c r="AC66" s="782"/>
      <c r="AD66" s="782"/>
      <c r="AE66" s="782"/>
      <c r="AF66" s="782"/>
      <c r="AG66" s="782"/>
      <c r="AH66" s="782"/>
      <c r="AI66" s="782"/>
      <c r="AJ66" s="782"/>
      <c r="AK66" s="782"/>
      <c r="AL66" s="782"/>
      <c r="AM66" s="782"/>
      <c r="AN66" s="782"/>
      <c r="AO66" s="782"/>
      <c r="AP66" s="782"/>
      <c r="AQ66" s="782"/>
      <c r="AR66" s="782"/>
      <c r="AS66" s="782"/>
      <c r="AT66" s="782"/>
      <c r="AU66" s="782"/>
      <c r="AV66" s="782"/>
      <c r="AW66" s="782"/>
      <c r="AX66" s="782"/>
      <c r="AY66" s="782"/>
      <c r="AZ66" s="782"/>
      <c r="BA66" s="782"/>
      <c r="BB66" s="782"/>
      <c r="BC66" s="782"/>
      <c r="BD66" s="782"/>
      <c r="BE66" s="782"/>
      <c r="BF66" s="782"/>
      <c r="BG66" s="782"/>
      <c r="BH66" s="782"/>
      <c r="BI66" s="782"/>
      <c r="BJ66" s="782"/>
      <c r="BK66" s="782"/>
      <c r="BL66" s="782"/>
      <c r="BM66" s="782"/>
      <c r="BN66" s="782"/>
      <c r="BO66" s="782"/>
      <c r="BP66" s="782"/>
      <c r="BQ66" s="782"/>
      <c r="BR66" s="782"/>
      <c r="BS66" s="782"/>
      <c r="BT66" s="782"/>
      <c r="BU66" s="782"/>
      <c r="BV66" s="782"/>
      <c r="BW66" s="782"/>
      <c r="BX66" s="782"/>
      <c r="BY66" s="782"/>
      <c r="BZ66" s="782"/>
      <c r="CA66" s="782"/>
      <c r="CB66" s="782"/>
      <c r="CC66" s="782"/>
      <c r="CD66" s="782"/>
      <c r="CE66" s="782"/>
      <c r="CF66" s="782"/>
      <c r="CG66" s="782"/>
      <c r="CH66" s="782"/>
      <c r="CI66" s="782"/>
      <c r="CJ66" s="782"/>
      <c r="CK66" s="782"/>
      <c r="CL66" s="782"/>
      <c r="CM66" s="782"/>
      <c r="CN66" s="782"/>
      <c r="CO66" s="782"/>
      <c r="CP66" s="782"/>
      <c r="CQ66" s="782"/>
      <c r="CR66" s="782"/>
      <c r="CS66" s="782"/>
      <c r="CT66" s="782"/>
      <c r="CU66" s="782"/>
      <c r="CV66" s="782"/>
      <c r="CW66" s="782"/>
      <c r="CX66" s="782"/>
      <c r="CY66" s="782"/>
      <c r="CZ66" s="782"/>
      <c r="DA66" s="782"/>
      <c r="DB66" s="782"/>
      <c r="DC66" s="782"/>
      <c r="DD66" s="782"/>
      <c r="DE66" s="782"/>
      <c r="DF66" s="782"/>
      <c r="DG66" s="782"/>
      <c r="DH66" s="782"/>
      <c r="DI66" s="782"/>
      <c r="DJ66" s="782"/>
      <c r="DK66" s="782"/>
      <c r="DL66" s="782"/>
      <c r="DM66" s="782"/>
      <c r="DN66" s="782"/>
      <c r="DO66" s="782"/>
      <c r="DP66" s="782"/>
      <c r="DQ66" s="782"/>
      <c r="DR66" s="782"/>
      <c r="DS66" s="782"/>
      <c r="DT66" s="782"/>
      <c r="DU66" s="782"/>
      <c r="DV66" s="782"/>
      <c r="DW66" s="782"/>
      <c r="DX66" s="782"/>
      <c r="DY66" s="782"/>
      <c r="DZ66" s="782"/>
      <c r="EA66" s="782"/>
      <c r="EB66" s="782"/>
      <c r="EC66" s="782"/>
      <c r="ED66" s="782"/>
      <c r="EE66" s="782"/>
      <c r="EF66" s="782"/>
      <c r="EG66" s="782"/>
      <c r="EH66" s="782"/>
    </row>
    <row r="67" spans="1:138" ht="12.75" customHeight="1" x14ac:dyDescent="0.3">
      <c r="A67" s="782"/>
      <c r="B67" s="782"/>
      <c r="C67" s="806"/>
      <c r="D67" s="782"/>
      <c r="E67" s="782"/>
      <c r="F67" s="782"/>
      <c r="G67" s="782"/>
      <c r="H67" s="782"/>
      <c r="I67" s="782"/>
      <c r="J67" s="782"/>
      <c r="K67" s="782"/>
      <c r="L67" s="782"/>
      <c r="M67" s="782"/>
      <c r="N67" s="782"/>
      <c r="O67" s="782"/>
      <c r="P67" s="782"/>
      <c r="Q67" s="782"/>
      <c r="R67" s="782"/>
      <c r="S67" s="782"/>
      <c r="T67" s="782"/>
      <c r="U67" s="782"/>
      <c r="V67" s="782"/>
      <c r="W67" s="782"/>
      <c r="X67" s="782"/>
      <c r="Y67" s="782"/>
      <c r="Z67" s="782"/>
      <c r="AA67" s="782"/>
      <c r="AB67" s="782"/>
      <c r="AC67" s="782"/>
      <c r="AD67" s="782"/>
      <c r="AE67" s="782"/>
      <c r="AF67" s="782"/>
      <c r="AG67" s="782"/>
      <c r="AH67" s="782"/>
      <c r="AI67" s="782"/>
      <c r="AJ67" s="782"/>
      <c r="AK67" s="782"/>
      <c r="AL67" s="782"/>
      <c r="AM67" s="782"/>
      <c r="AN67" s="782"/>
      <c r="AO67" s="782"/>
      <c r="AP67" s="782"/>
      <c r="AQ67" s="782"/>
      <c r="AR67" s="782"/>
      <c r="AS67" s="782"/>
      <c r="AT67" s="782"/>
      <c r="AU67" s="782"/>
      <c r="AV67" s="782"/>
      <c r="AW67" s="782"/>
      <c r="AX67" s="782"/>
      <c r="AY67" s="782"/>
      <c r="AZ67" s="782"/>
      <c r="BA67" s="782"/>
      <c r="BB67" s="782"/>
      <c r="BC67" s="782"/>
      <c r="BD67" s="782"/>
      <c r="BE67" s="782"/>
      <c r="BF67" s="782"/>
      <c r="BG67" s="782"/>
      <c r="BH67" s="782"/>
      <c r="BI67" s="782"/>
      <c r="BJ67" s="782"/>
      <c r="BK67" s="782"/>
      <c r="BL67" s="782"/>
      <c r="BM67" s="782"/>
      <c r="BN67" s="782"/>
      <c r="BO67" s="782"/>
      <c r="BP67" s="782"/>
      <c r="BQ67" s="782"/>
      <c r="BR67" s="782"/>
      <c r="BS67" s="782"/>
      <c r="BT67" s="782"/>
      <c r="BU67" s="782"/>
      <c r="BV67" s="782"/>
      <c r="BW67" s="782"/>
      <c r="BX67" s="782"/>
      <c r="BY67" s="782"/>
      <c r="BZ67" s="782"/>
      <c r="CA67" s="782"/>
      <c r="CB67" s="782"/>
      <c r="CC67" s="782"/>
      <c r="CD67" s="782"/>
      <c r="CE67" s="782"/>
      <c r="CF67" s="782"/>
      <c r="CG67" s="782"/>
      <c r="CH67" s="782"/>
      <c r="CI67" s="782"/>
      <c r="CJ67" s="782"/>
      <c r="CK67" s="782"/>
      <c r="CL67" s="782"/>
      <c r="CM67" s="782"/>
      <c r="CN67" s="782"/>
      <c r="CO67" s="782"/>
      <c r="CP67" s="782"/>
      <c r="CQ67" s="782"/>
      <c r="CR67" s="782"/>
      <c r="CS67" s="782"/>
      <c r="CT67" s="782"/>
      <c r="CU67" s="782"/>
      <c r="CV67" s="782"/>
      <c r="CW67" s="782"/>
      <c r="CX67" s="782"/>
      <c r="CY67" s="782"/>
      <c r="CZ67" s="782"/>
      <c r="DA67" s="782"/>
      <c r="DB67" s="782"/>
      <c r="DC67" s="782"/>
      <c r="DD67" s="782"/>
      <c r="DE67" s="782"/>
      <c r="DF67" s="782"/>
      <c r="DG67" s="782"/>
      <c r="DH67" s="782"/>
      <c r="DI67" s="782"/>
      <c r="DJ67" s="782"/>
      <c r="DK67" s="782"/>
      <c r="DL67" s="782"/>
      <c r="DM67" s="782"/>
      <c r="DN67" s="782"/>
      <c r="DO67" s="782"/>
      <c r="DP67" s="782"/>
      <c r="DQ67" s="782"/>
      <c r="DR67" s="782"/>
      <c r="DS67" s="782"/>
      <c r="DT67" s="782"/>
      <c r="DU67" s="782"/>
      <c r="DV67" s="782"/>
      <c r="DW67" s="782"/>
      <c r="DX67" s="782"/>
      <c r="DY67" s="782"/>
      <c r="DZ67" s="782"/>
      <c r="EA67" s="782"/>
      <c r="EB67" s="782"/>
      <c r="EC67" s="782"/>
      <c r="ED67" s="782"/>
      <c r="EE67" s="782"/>
      <c r="EF67" s="782"/>
      <c r="EG67" s="782"/>
      <c r="EH67" s="782"/>
    </row>
    <row r="68" spans="1:138" ht="12.75" customHeight="1" x14ac:dyDescent="0.3">
      <c r="A68" s="782"/>
      <c r="B68" s="793" t="s">
        <v>40</v>
      </c>
      <c r="C68" s="794"/>
      <c r="D68" s="794"/>
      <c r="E68" s="794"/>
      <c r="F68" s="794"/>
      <c r="G68" s="794"/>
      <c r="H68" s="794"/>
      <c r="I68" s="794"/>
      <c r="J68" s="794"/>
      <c r="K68" s="794"/>
      <c r="L68" s="794"/>
      <c r="M68" s="794"/>
      <c r="N68" s="794"/>
      <c r="O68" s="794"/>
      <c r="P68" s="794"/>
      <c r="Q68" s="794"/>
      <c r="R68" s="794"/>
      <c r="S68" s="794"/>
      <c r="T68" s="794"/>
      <c r="U68" s="794"/>
      <c r="V68" s="794"/>
      <c r="W68" s="794"/>
      <c r="X68" s="794"/>
      <c r="Y68" s="794"/>
      <c r="Z68" s="794"/>
      <c r="AA68" s="794"/>
      <c r="AB68" s="794"/>
      <c r="AC68" s="794"/>
      <c r="AD68" s="794"/>
      <c r="AE68" s="794"/>
      <c r="AF68" s="794"/>
      <c r="AG68" s="794"/>
      <c r="AH68" s="794"/>
      <c r="AI68" s="794"/>
      <c r="AJ68" s="794"/>
      <c r="AK68" s="794"/>
      <c r="AL68" s="794"/>
      <c r="AM68" s="794"/>
      <c r="AN68" s="794"/>
      <c r="AO68" s="794"/>
      <c r="AP68" s="794"/>
      <c r="AQ68" s="794"/>
      <c r="AR68" s="794"/>
      <c r="AS68" s="794"/>
      <c r="AT68" s="794"/>
      <c r="AU68" s="794"/>
      <c r="AV68" s="794"/>
      <c r="AW68" s="794"/>
      <c r="AX68" s="794"/>
      <c r="AY68" s="794"/>
      <c r="AZ68" s="794"/>
      <c r="BA68" s="794"/>
      <c r="BB68" s="794"/>
      <c r="BC68" s="794"/>
      <c r="BD68" s="794"/>
      <c r="BE68" s="794"/>
      <c r="BF68" s="794"/>
      <c r="BG68" s="794"/>
      <c r="BH68" s="794"/>
      <c r="BI68" s="794"/>
      <c r="BJ68" s="794"/>
      <c r="BK68" s="794"/>
      <c r="BL68" s="794"/>
      <c r="BM68" s="794"/>
      <c r="BN68" s="794"/>
      <c r="BO68" s="794"/>
      <c r="BP68" s="794"/>
      <c r="BQ68" s="794"/>
      <c r="BR68" s="794"/>
      <c r="BS68" s="794"/>
      <c r="BT68" s="794"/>
      <c r="BU68" s="794"/>
      <c r="BV68" s="794"/>
      <c r="BW68" s="794"/>
      <c r="BX68" s="794"/>
      <c r="BY68" s="794"/>
      <c r="BZ68" s="794"/>
      <c r="CA68" s="794"/>
      <c r="CB68" s="794"/>
      <c r="CC68" s="794"/>
      <c r="CD68" s="794"/>
      <c r="CE68" s="794"/>
      <c r="CF68" s="794"/>
      <c r="CG68" s="794"/>
      <c r="CH68" s="794"/>
      <c r="CI68" s="794"/>
      <c r="CJ68" s="794"/>
      <c r="CK68" s="794"/>
      <c r="CL68" s="794"/>
      <c r="CM68" s="794"/>
      <c r="CN68" s="794"/>
      <c r="CO68" s="794"/>
      <c r="CP68" s="794"/>
      <c r="CQ68" s="794"/>
      <c r="CR68" s="794"/>
      <c r="CS68" s="794"/>
      <c r="CT68" s="794"/>
      <c r="CU68" s="794"/>
      <c r="CV68" s="794"/>
      <c r="CW68" s="794"/>
      <c r="CX68" s="794"/>
      <c r="CY68" s="794"/>
      <c r="CZ68" s="794"/>
      <c r="DA68" s="794"/>
      <c r="DB68" s="794"/>
      <c r="DC68" s="794"/>
      <c r="DD68" s="794"/>
      <c r="DE68" s="794"/>
      <c r="DF68" s="794"/>
      <c r="DG68" s="794"/>
      <c r="DH68" s="794"/>
      <c r="DI68" s="794"/>
      <c r="DJ68" s="794"/>
      <c r="DK68" s="794"/>
      <c r="DL68" s="794"/>
      <c r="DM68" s="794"/>
      <c r="DN68" s="794"/>
      <c r="DO68" s="794"/>
      <c r="DP68" s="794"/>
      <c r="DQ68" s="794"/>
      <c r="DR68" s="794"/>
      <c r="DS68" s="794"/>
      <c r="DT68" s="794"/>
      <c r="DU68" s="794"/>
      <c r="DV68" s="794"/>
      <c r="DW68" s="794"/>
      <c r="DX68" s="794"/>
      <c r="DY68" s="794"/>
      <c r="DZ68" s="794"/>
      <c r="EA68" s="794"/>
      <c r="EB68" s="794"/>
      <c r="EC68" s="794"/>
      <c r="ED68" s="794"/>
      <c r="EE68" s="794"/>
      <c r="EF68" s="794"/>
      <c r="EG68" s="794"/>
      <c r="EH68" s="794"/>
    </row>
    <row r="69" spans="1:138" ht="12.75" customHeight="1" x14ac:dyDescent="0.3">
      <c r="A69" s="782"/>
      <c r="B69" s="807"/>
      <c r="C69" s="782"/>
      <c r="D69" s="782"/>
      <c r="E69" s="782"/>
      <c r="F69" s="782"/>
      <c r="G69" s="782"/>
      <c r="H69" s="782"/>
      <c r="I69" s="782"/>
      <c r="J69" s="782"/>
      <c r="K69" s="782"/>
      <c r="L69" s="782"/>
      <c r="M69" s="782"/>
      <c r="N69" s="782"/>
      <c r="O69" s="782"/>
      <c r="P69" s="782"/>
      <c r="Q69" s="782"/>
      <c r="R69" s="782"/>
      <c r="S69" s="782"/>
      <c r="T69" s="782"/>
      <c r="U69" s="782"/>
      <c r="V69" s="782"/>
      <c r="W69" s="782"/>
      <c r="X69" s="782"/>
      <c r="Y69" s="782"/>
      <c r="Z69" s="782"/>
      <c r="AA69" s="782"/>
      <c r="AB69" s="782"/>
      <c r="AC69" s="782"/>
      <c r="AD69" s="782"/>
      <c r="AE69" s="782"/>
      <c r="AF69" s="782"/>
      <c r="AG69" s="782"/>
      <c r="AH69" s="782"/>
      <c r="AI69" s="782"/>
      <c r="AJ69" s="782"/>
      <c r="AK69" s="782"/>
      <c r="AL69" s="782"/>
      <c r="AM69" s="782"/>
      <c r="AN69" s="782"/>
      <c r="AO69" s="782"/>
      <c r="AP69" s="782"/>
      <c r="AQ69" s="782"/>
      <c r="AR69" s="782"/>
      <c r="AS69" s="782"/>
      <c r="AT69" s="782"/>
      <c r="AU69" s="782"/>
      <c r="AV69" s="782"/>
      <c r="AW69" s="782"/>
      <c r="AX69" s="782"/>
      <c r="AY69" s="782"/>
      <c r="AZ69" s="782"/>
      <c r="BA69" s="782"/>
      <c r="BB69" s="782"/>
      <c r="BC69" s="782"/>
      <c r="BD69" s="782"/>
      <c r="BE69" s="782"/>
      <c r="BF69" s="782"/>
      <c r="BG69" s="782"/>
      <c r="BH69" s="782"/>
      <c r="BI69" s="782"/>
      <c r="BJ69" s="782"/>
      <c r="BK69" s="782"/>
      <c r="BL69" s="782"/>
      <c r="BM69" s="782"/>
      <c r="BN69" s="782"/>
      <c r="BO69" s="782"/>
      <c r="BP69" s="782"/>
      <c r="BQ69" s="782"/>
      <c r="BR69" s="782"/>
      <c r="BS69" s="782"/>
      <c r="BT69" s="782"/>
      <c r="BU69" s="782"/>
      <c r="BV69" s="782"/>
      <c r="BW69" s="782"/>
      <c r="BX69" s="782"/>
      <c r="BY69" s="782"/>
      <c r="BZ69" s="782"/>
      <c r="CA69" s="782"/>
      <c r="CB69" s="782"/>
      <c r="CC69" s="782"/>
      <c r="CD69" s="782"/>
      <c r="CE69" s="782"/>
      <c r="CF69" s="782"/>
      <c r="CG69" s="782"/>
      <c r="CH69" s="782"/>
      <c r="CI69" s="782"/>
      <c r="CJ69" s="782"/>
      <c r="CK69" s="782"/>
      <c r="CL69" s="782"/>
      <c r="CM69" s="782"/>
      <c r="CN69" s="782"/>
      <c r="CO69" s="782"/>
      <c r="CP69" s="782"/>
      <c r="CQ69" s="782"/>
      <c r="CR69" s="782"/>
      <c r="CS69" s="782"/>
      <c r="CT69" s="782"/>
      <c r="CU69" s="782"/>
      <c r="CV69" s="782"/>
      <c r="CW69" s="782"/>
      <c r="CX69" s="782"/>
      <c r="CY69" s="782"/>
      <c r="CZ69" s="782"/>
      <c r="DA69" s="782"/>
      <c r="DB69" s="782"/>
      <c r="DC69" s="782"/>
      <c r="DD69" s="782"/>
      <c r="DE69" s="782"/>
      <c r="DF69" s="782"/>
      <c r="DG69" s="782"/>
      <c r="DH69" s="782"/>
      <c r="DI69" s="782"/>
      <c r="DJ69" s="782"/>
      <c r="DK69" s="782"/>
      <c r="DL69" s="782"/>
      <c r="DM69" s="782"/>
      <c r="DN69" s="782"/>
      <c r="DO69" s="782"/>
      <c r="DP69" s="782"/>
      <c r="DQ69" s="782"/>
      <c r="DR69" s="782"/>
      <c r="DS69" s="782"/>
      <c r="DT69" s="782"/>
      <c r="DU69" s="782"/>
      <c r="DV69" s="782"/>
      <c r="DW69" s="782"/>
      <c r="DX69" s="782"/>
      <c r="DY69" s="782"/>
      <c r="DZ69" s="782"/>
      <c r="EA69" s="782"/>
      <c r="EB69" s="782"/>
      <c r="EC69" s="782"/>
      <c r="ED69" s="782"/>
      <c r="EE69" s="782"/>
      <c r="EF69" s="782"/>
      <c r="EG69" s="782"/>
      <c r="EH69" s="782"/>
    </row>
    <row r="70" spans="1:138" ht="12.75" customHeight="1" x14ac:dyDescent="0.3">
      <c r="A70" s="782"/>
      <c r="B70" s="782" t="s">
        <v>41</v>
      </c>
      <c r="C70" s="808">
        <f>+'Venture Assumptions'!F32</f>
        <v>0.1</v>
      </c>
      <c r="D70" s="782"/>
      <c r="E70" s="782"/>
      <c r="F70" s="782"/>
      <c r="G70" s="782"/>
      <c r="H70" s="782"/>
      <c r="I70" s="782"/>
      <c r="J70" s="782"/>
      <c r="K70" s="782"/>
      <c r="L70" s="782"/>
      <c r="M70" s="782"/>
      <c r="N70" s="782"/>
      <c r="O70" s="782"/>
      <c r="P70" s="782"/>
      <c r="Q70" s="782"/>
      <c r="R70" s="782"/>
      <c r="S70" s="782"/>
      <c r="T70" s="782"/>
      <c r="U70" s="782"/>
      <c r="V70" s="782"/>
      <c r="W70" s="782"/>
      <c r="X70" s="782"/>
      <c r="Y70" s="782"/>
      <c r="Z70" s="782"/>
      <c r="AA70" s="782"/>
      <c r="AB70" s="782"/>
      <c r="AC70" s="782"/>
      <c r="AD70" s="782"/>
      <c r="AE70" s="782"/>
      <c r="AF70" s="782"/>
      <c r="AG70" s="782"/>
      <c r="AH70" s="782"/>
      <c r="AI70" s="782"/>
      <c r="AJ70" s="782"/>
      <c r="AK70" s="782"/>
      <c r="AL70" s="782"/>
      <c r="AM70" s="782"/>
      <c r="AN70" s="782"/>
      <c r="AO70" s="782"/>
      <c r="AP70" s="782"/>
      <c r="AQ70" s="782"/>
      <c r="AR70" s="782"/>
      <c r="AS70" s="782"/>
      <c r="AT70" s="782"/>
      <c r="AU70" s="782"/>
      <c r="AV70" s="782"/>
      <c r="AW70" s="782"/>
      <c r="AX70" s="782"/>
      <c r="AY70" s="782"/>
      <c r="AZ70" s="782"/>
      <c r="BA70" s="782"/>
      <c r="BB70" s="782"/>
      <c r="BC70" s="782"/>
      <c r="BD70" s="782"/>
      <c r="BE70" s="782"/>
      <c r="BF70" s="782"/>
      <c r="BG70" s="782"/>
      <c r="BH70" s="782"/>
      <c r="BI70" s="782"/>
      <c r="BJ70" s="782"/>
      <c r="BK70" s="782"/>
      <c r="BL70" s="782"/>
      <c r="BM70" s="782"/>
      <c r="BN70" s="782"/>
      <c r="BO70" s="782"/>
      <c r="BP70" s="782"/>
      <c r="BQ70" s="782"/>
      <c r="BR70" s="782"/>
      <c r="BS70" s="782"/>
      <c r="BT70" s="782"/>
      <c r="BU70" s="782"/>
      <c r="BV70" s="782"/>
      <c r="BW70" s="782"/>
      <c r="BX70" s="782"/>
      <c r="BY70" s="782"/>
      <c r="BZ70" s="782"/>
      <c r="CA70" s="782"/>
      <c r="CB70" s="782"/>
      <c r="CC70" s="782"/>
      <c r="CD70" s="782"/>
      <c r="CE70" s="782"/>
      <c r="CF70" s="782"/>
      <c r="CG70" s="782"/>
      <c r="CH70" s="782"/>
      <c r="CI70" s="782"/>
      <c r="CJ70" s="782"/>
      <c r="CK70" s="782"/>
      <c r="CL70" s="782"/>
      <c r="CM70" s="782"/>
      <c r="CN70" s="782"/>
      <c r="CO70" s="782"/>
      <c r="CP70" s="782"/>
      <c r="CQ70" s="782"/>
      <c r="CR70" s="782"/>
      <c r="CS70" s="782"/>
      <c r="CT70" s="782"/>
      <c r="CU70" s="782"/>
      <c r="CV70" s="782"/>
      <c r="CW70" s="782"/>
      <c r="CX70" s="782"/>
      <c r="CY70" s="782"/>
      <c r="CZ70" s="782"/>
      <c r="DA70" s="782"/>
      <c r="DB70" s="782"/>
      <c r="DC70" s="782"/>
      <c r="DD70" s="782"/>
      <c r="DE70" s="782"/>
      <c r="DF70" s="782"/>
      <c r="DG70" s="782"/>
      <c r="DH70" s="782"/>
      <c r="DI70" s="782"/>
      <c r="DJ70" s="782"/>
      <c r="DK70" s="782"/>
      <c r="DL70" s="782"/>
      <c r="DM70" s="782"/>
      <c r="DN70" s="782"/>
      <c r="DO70" s="782"/>
      <c r="DP70" s="782"/>
      <c r="DQ70" s="782"/>
      <c r="DR70" s="782"/>
      <c r="DS70" s="782"/>
      <c r="DT70" s="782"/>
      <c r="DU70" s="782"/>
      <c r="DV70" s="782"/>
      <c r="DW70" s="782"/>
      <c r="DX70" s="782"/>
      <c r="DY70" s="782"/>
      <c r="DZ70" s="782"/>
      <c r="EA70" s="782"/>
      <c r="EB70" s="782"/>
      <c r="EC70" s="782"/>
      <c r="ED70" s="782"/>
      <c r="EE70" s="782"/>
      <c r="EF70" s="782"/>
      <c r="EG70" s="782"/>
      <c r="EH70" s="782"/>
    </row>
    <row r="71" spans="1:138" ht="12.75" customHeight="1" x14ac:dyDescent="0.3">
      <c r="A71" s="782"/>
      <c r="B71" s="782" t="s">
        <v>42</v>
      </c>
      <c r="C71" s="808">
        <f>(1+C70)^(1/365)-1</f>
        <v>2.6115787606784124E-4</v>
      </c>
      <c r="D71" s="782"/>
      <c r="E71" s="782"/>
      <c r="F71" s="782"/>
      <c r="G71" s="782"/>
      <c r="H71" s="782"/>
      <c r="I71" s="782"/>
      <c r="J71" s="782"/>
      <c r="K71" s="782"/>
      <c r="L71" s="782"/>
      <c r="M71" s="782"/>
      <c r="N71" s="782"/>
      <c r="O71" s="782"/>
      <c r="P71" s="782"/>
      <c r="Q71" s="782"/>
      <c r="R71" s="782"/>
      <c r="S71" s="782"/>
      <c r="T71" s="782"/>
      <c r="U71" s="782"/>
      <c r="V71" s="782"/>
      <c r="W71" s="782"/>
      <c r="X71" s="782"/>
      <c r="Y71" s="782"/>
      <c r="Z71" s="782"/>
      <c r="AA71" s="782"/>
      <c r="AB71" s="782"/>
      <c r="AC71" s="782"/>
      <c r="AD71" s="782"/>
      <c r="AE71" s="782"/>
      <c r="AF71" s="782"/>
      <c r="AG71" s="782"/>
      <c r="AH71" s="782"/>
      <c r="AI71" s="782"/>
      <c r="AJ71" s="782"/>
      <c r="AK71" s="782"/>
      <c r="AL71" s="782"/>
      <c r="AM71" s="782"/>
      <c r="AN71" s="782"/>
      <c r="AO71" s="782"/>
      <c r="AP71" s="782"/>
      <c r="AQ71" s="782"/>
      <c r="AR71" s="782"/>
      <c r="AS71" s="782"/>
      <c r="AT71" s="782"/>
      <c r="AU71" s="782"/>
      <c r="AV71" s="782"/>
      <c r="AW71" s="782"/>
      <c r="AX71" s="782"/>
      <c r="AY71" s="782"/>
      <c r="AZ71" s="782"/>
      <c r="BA71" s="782"/>
      <c r="BB71" s="782"/>
      <c r="BC71" s="782"/>
      <c r="BD71" s="782"/>
      <c r="BE71" s="782"/>
      <c r="BF71" s="782"/>
      <c r="BG71" s="782"/>
      <c r="BH71" s="782"/>
      <c r="BI71" s="782"/>
      <c r="BJ71" s="782"/>
      <c r="BK71" s="782"/>
      <c r="BL71" s="782"/>
      <c r="BM71" s="782"/>
      <c r="BN71" s="782"/>
      <c r="BO71" s="782"/>
      <c r="BP71" s="782"/>
      <c r="BQ71" s="782"/>
      <c r="BR71" s="782"/>
      <c r="BS71" s="782"/>
      <c r="BT71" s="782"/>
      <c r="BU71" s="782"/>
      <c r="BV71" s="782"/>
      <c r="BW71" s="782"/>
      <c r="BX71" s="782"/>
      <c r="BY71" s="782"/>
      <c r="BZ71" s="782"/>
      <c r="CA71" s="782"/>
      <c r="CB71" s="782"/>
      <c r="CC71" s="782"/>
      <c r="CD71" s="782"/>
      <c r="CE71" s="782"/>
      <c r="CF71" s="782"/>
      <c r="CG71" s="782"/>
      <c r="CH71" s="782"/>
      <c r="CI71" s="782"/>
      <c r="CJ71" s="782"/>
      <c r="CK71" s="782"/>
      <c r="CL71" s="782"/>
      <c r="CM71" s="782"/>
      <c r="CN71" s="782"/>
      <c r="CO71" s="782"/>
      <c r="CP71" s="782"/>
      <c r="CQ71" s="782"/>
      <c r="CR71" s="782"/>
      <c r="CS71" s="782"/>
      <c r="CT71" s="782"/>
      <c r="CU71" s="782"/>
      <c r="CV71" s="782"/>
      <c r="CW71" s="782"/>
      <c r="CX71" s="782"/>
      <c r="CY71" s="782"/>
      <c r="CZ71" s="782"/>
      <c r="DA71" s="782"/>
      <c r="DB71" s="782"/>
      <c r="DC71" s="782"/>
      <c r="DD71" s="782"/>
      <c r="DE71" s="782"/>
      <c r="DF71" s="782"/>
      <c r="DG71" s="782"/>
      <c r="DH71" s="782"/>
      <c r="DI71" s="782"/>
      <c r="DJ71" s="782"/>
      <c r="DK71" s="782"/>
      <c r="DL71" s="782"/>
      <c r="DM71" s="782"/>
      <c r="DN71" s="782"/>
      <c r="DO71" s="782"/>
      <c r="DP71" s="782"/>
      <c r="DQ71" s="782"/>
      <c r="DR71" s="782"/>
      <c r="DS71" s="782"/>
      <c r="DT71" s="782"/>
      <c r="DU71" s="782"/>
      <c r="DV71" s="782"/>
      <c r="DW71" s="782"/>
      <c r="DX71" s="782"/>
      <c r="DY71" s="782"/>
      <c r="DZ71" s="782"/>
      <c r="EA71" s="782"/>
      <c r="EB71" s="782"/>
      <c r="EC71" s="782"/>
      <c r="ED71" s="782"/>
      <c r="EE71" s="782"/>
      <c r="EF71" s="782"/>
      <c r="EG71" s="782"/>
      <c r="EH71" s="782"/>
    </row>
    <row r="72" spans="1:138" ht="12.75" customHeight="1" x14ac:dyDescent="0.3">
      <c r="A72" s="782"/>
      <c r="B72" s="782" t="s">
        <v>43</v>
      </c>
      <c r="C72" s="808">
        <f>+'Venture Assumptions'!F35</f>
        <v>0.14000000000000001</v>
      </c>
      <c r="D72" s="782"/>
      <c r="E72" s="782"/>
      <c r="F72" s="782"/>
      <c r="G72" s="782"/>
      <c r="H72" s="782"/>
      <c r="I72" s="782"/>
      <c r="J72" s="782"/>
      <c r="K72" s="782"/>
      <c r="L72" s="782"/>
      <c r="M72" s="782"/>
      <c r="N72" s="782"/>
      <c r="O72" s="782"/>
      <c r="P72" s="782"/>
      <c r="Q72" s="782"/>
      <c r="R72" s="782"/>
      <c r="S72" s="782"/>
      <c r="T72" s="782"/>
      <c r="U72" s="782"/>
      <c r="V72" s="782"/>
      <c r="W72" s="782"/>
      <c r="X72" s="782"/>
      <c r="Y72" s="782"/>
      <c r="Z72" s="782"/>
      <c r="AA72" s="782"/>
      <c r="AB72" s="782"/>
      <c r="AC72" s="782"/>
      <c r="AD72" s="782"/>
      <c r="AE72" s="782"/>
      <c r="AF72" s="782"/>
      <c r="AG72" s="782"/>
      <c r="AH72" s="782"/>
      <c r="AI72" s="782"/>
      <c r="AJ72" s="782"/>
      <c r="AK72" s="782"/>
      <c r="AL72" s="782"/>
      <c r="AM72" s="782"/>
      <c r="AN72" s="782"/>
      <c r="AO72" s="782"/>
      <c r="AP72" s="782"/>
      <c r="AQ72" s="782"/>
      <c r="AR72" s="782"/>
      <c r="AS72" s="782"/>
      <c r="AT72" s="782"/>
      <c r="AU72" s="782"/>
      <c r="AV72" s="782"/>
      <c r="AW72" s="782"/>
      <c r="AX72" s="782"/>
      <c r="AY72" s="782"/>
      <c r="AZ72" s="782"/>
      <c r="BA72" s="782"/>
      <c r="BB72" s="782"/>
      <c r="BC72" s="782"/>
      <c r="BD72" s="782"/>
      <c r="BE72" s="782"/>
      <c r="BF72" s="782"/>
      <c r="BG72" s="782"/>
      <c r="BH72" s="782"/>
      <c r="BI72" s="782"/>
      <c r="BJ72" s="782"/>
      <c r="BK72" s="782"/>
      <c r="BL72" s="782"/>
      <c r="BM72" s="782"/>
      <c r="BN72" s="782"/>
      <c r="BO72" s="782"/>
      <c r="BP72" s="782"/>
      <c r="BQ72" s="782"/>
      <c r="BR72" s="782"/>
      <c r="BS72" s="782"/>
      <c r="BT72" s="782"/>
      <c r="BU72" s="782"/>
      <c r="BV72" s="782"/>
      <c r="BW72" s="782"/>
      <c r="BX72" s="782"/>
      <c r="BY72" s="782"/>
      <c r="BZ72" s="782"/>
      <c r="CA72" s="782"/>
      <c r="CB72" s="782"/>
      <c r="CC72" s="782"/>
      <c r="CD72" s="782"/>
      <c r="CE72" s="782"/>
      <c r="CF72" s="782"/>
      <c r="CG72" s="782"/>
      <c r="CH72" s="782"/>
      <c r="CI72" s="782"/>
      <c r="CJ72" s="782"/>
      <c r="CK72" s="782"/>
      <c r="CL72" s="782"/>
      <c r="CM72" s="782"/>
      <c r="CN72" s="782"/>
      <c r="CO72" s="782"/>
      <c r="CP72" s="782"/>
      <c r="CQ72" s="782"/>
      <c r="CR72" s="782"/>
      <c r="CS72" s="782"/>
      <c r="CT72" s="782"/>
      <c r="CU72" s="782"/>
      <c r="CV72" s="782"/>
      <c r="CW72" s="782"/>
      <c r="CX72" s="782"/>
      <c r="CY72" s="782"/>
      <c r="CZ72" s="782"/>
      <c r="DA72" s="782"/>
      <c r="DB72" s="782"/>
      <c r="DC72" s="782"/>
      <c r="DD72" s="782"/>
      <c r="DE72" s="782"/>
      <c r="DF72" s="782"/>
      <c r="DG72" s="782"/>
      <c r="DH72" s="782"/>
      <c r="DI72" s="782"/>
      <c r="DJ72" s="782"/>
      <c r="DK72" s="782"/>
      <c r="DL72" s="782"/>
      <c r="DM72" s="782"/>
      <c r="DN72" s="782"/>
      <c r="DO72" s="782"/>
      <c r="DP72" s="782"/>
      <c r="DQ72" s="782"/>
      <c r="DR72" s="782"/>
      <c r="DS72" s="782"/>
      <c r="DT72" s="782"/>
      <c r="DU72" s="782"/>
      <c r="DV72" s="782"/>
      <c r="DW72" s="782"/>
      <c r="DX72" s="782"/>
      <c r="DY72" s="782"/>
      <c r="DZ72" s="782"/>
      <c r="EA72" s="782"/>
      <c r="EB72" s="782"/>
      <c r="EC72" s="782"/>
      <c r="ED72" s="782"/>
      <c r="EE72" s="782"/>
      <c r="EF72" s="782"/>
      <c r="EG72" s="782"/>
      <c r="EH72" s="782"/>
    </row>
    <row r="73" spans="1:138" ht="12.75" customHeight="1" x14ac:dyDescent="0.3">
      <c r="A73" s="782"/>
      <c r="B73" s="782" t="s">
        <v>44</v>
      </c>
      <c r="C73" s="808">
        <f>(1+C72)^(1/365)-1</f>
        <v>3.5904598242364472E-4</v>
      </c>
      <c r="D73" s="782"/>
      <c r="E73" s="782"/>
      <c r="F73" s="782"/>
      <c r="G73" s="782"/>
      <c r="H73" s="782"/>
      <c r="I73" s="782"/>
      <c r="J73" s="782"/>
      <c r="K73" s="782"/>
      <c r="L73" s="782"/>
      <c r="M73" s="782"/>
      <c r="N73" s="782"/>
      <c r="O73" s="782"/>
      <c r="P73" s="782"/>
      <c r="Q73" s="782"/>
      <c r="R73" s="782"/>
      <c r="S73" s="782"/>
      <c r="T73" s="782"/>
      <c r="U73" s="782"/>
      <c r="V73" s="782"/>
      <c r="W73" s="782"/>
      <c r="X73" s="782"/>
      <c r="Y73" s="782"/>
      <c r="Z73" s="782"/>
      <c r="AA73" s="782"/>
      <c r="AB73" s="782"/>
      <c r="AC73" s="782"/>
      <c r="AD73" s="782"/>
      <c r="AE73" s="782"/>
      <c r="AF73" s="782"/>
      <c r="AG73" s="782"/>
      <c r="AH73" s="782"/>
      <c r="AI73" s="782"/>
      <c r="AJ73" s="782"/>
      <c r="AK73" s="782"/>
      <c r="AL73" s="782"/>
      <c r="AM73" s="782"/>
      <c r="AN73" s="782"/>
      <c r="AO73" s="782"/>
      <c r="AP73" s="782"/>
      <c r="AQ73" s="782"/>
      <c r="AR73" s="782"/>
      <c r="AS73" s="782"/>
      <c r="AT73" s="782"/>
      <c r="AU73" s="782"/>
      <c r="AV73" s="782"/>
      <c r="AW73" s="782"/>
      <c r="AX73" s="782"/>
      <c r="AY73" s="782"/>
      <c r="AZ73" s="782"/>
      <c r="BA73" s="782"/>
      <c r="BB73" s="782"/>
      <c r="BC73" s="782"/>
      <c r="BD73" s="782"/>
      <c r="BE73" s="782"/>
      <c r="BF73" s="782"/>
      <c r="BG73" s="782"/>
      <c r="BH73" s="782"/>
      <c r="BI73" s="782"/>
      <c r="BJ73" s="782"/>
      <c r="BK73" s="782"/>
      <c r="BL73" s="782"/>
      <c r="BM73" s="782"/>
      <c r="BN73" s="782"/>
      <c r="BO73" s="782"/>
      <c r="BP73" s="782"/>
      <c r="BQ73" s="782"/>
      <c r="BR73" s="782"/>
      <c r="BS73" s="782"/>
      <c r="BT73" s="782"/>
      <c r="BU73" s="782"/>
      <c r="BV73" s="782"/>
      <c r="BW73" s="782"/>
      <c r="BX73" s="782"/>
      <c r="BY73" s="782"/>
      <c r="BZ73" s="782"/>
      <c r="CA73" s="782"/>
      <c r="CB73" s="782"/>
      <c r="CC73" s="782"/>
      <c r="CD73" s="782"/>
      <c r="CE73" s="782"/>
      <c r="CF73" s="782"/>
      <c r="CG73" s="782"/>
      <c r="CH73" s="782"/>
      <c r="CI73" s="782"/>
      <c r="CJ73" s="782"/>
      <c r="CK73" s="782"/>
      <c r="CL73" s="782"/>
      <c r="CM73" s="782"/>
      <c r="CN73" s="782"/>
      <c r="CO73" s="782"/>
      <c r="CP73" s="782"/>
      <c r="CQ73" s="782"/>
      <c r="CR73" s="782"/>
      <c r="CS73" s="782"/>
      <c r="CT73" s="782"/>
      <c r="CU73" s="782"/>
      <c r="CV73" s="782"/>
      <c r="CW73" s="782"/>
      <c r="CX73" s="782"/>
      <c r="CY73" s="782"/>
      <c r="CZ73" s="782"/>
      <c r="DA73" s="782"/>
      <c r="DB73" s="782"/>
      <c r="DC73" s="782"/>
      <c r="DD73" s="782"/>
      <c r="DE73" s="782"/>
      <c r="DF73" s="782"/>
      <c r="DG73" s="782"/>
      <c r="DH73" s="782"/>
      <c r="DI73" s="782"/>
      <c r="DJ73" s="782"/>
      <c r="DK73" s="782"/>
      <c r="DL73" s="782"/>
      <c r="DM73" s="782"/>
      <c r="DN73" s="782"/>
      <c r="DO73" s="782"/>
      <c r="DP73" s="782"/>
      <c r="DQ73" s="782"/>
      <c r="DR73" s="782"/>
      <c r="DS73" s="782"/>
      <c r="DT73" s="782"/>
      <c r="DU73" s="782"/>
      <c r="DV73" s="782"/>
      <c r="DW73" s="782"/>
      <c r="DX73" s="782"/>
      <c r="DY73" s="782"/>
      <c r="DZ73" s="782"/>
      <c r="EA73" s="782"/>
      <c r="EB73" s="782"/>
      <c r="EC73" s="782"/>
      <c r="ED73" s="782"/>
      <c r="EE73" s="782"/>
      <c r="EF73" s="782"/>
      <c r="EG73" s="782"/>
      <c r="EH73" s="782"/>
    </row>
    <row r="74" spans="1:138" ht="12.75" customHeight="1" x14ac:dyDescent="0.3">
      <c r="A74" s="782"/>
      <c r="B74" s="782" t="s">
        <v>45</v>
      </c>
      <c r="C74" s="808">
        <f>+'Venture Assumptions'!F38</f>
        <v>0.18</v>
      </c>
      <c r="D74" s="782"/>
      <c r="E74" s="782"/>
      <c r="F74" s="782"/>
      <c r="G74" s="782"/>
      <c r="H74" s="782"/>
      <c r="I74" s="782"/>
      <c r="J74" s="782"/>
      <c r="K74" s="782"/>
      <c r="L74" s="782"/>
      <c r="M74" s="782"/>
      <c r="N74" s="782"/>
      <c r="O74" s="782"/>
      <c r="P74" s="782"/>
      <c r="Q74" s="782"/>
      <c r="R74" s="782"/>
      <c r="S74" s="782"/>
      <c r="T74" s="782"/>
      <c r="U74" s="782"/>
      <c r="V74" s="782"/>
      <c r="W74" s="782"/>
      <c r="X74" s="782"/>
      <c r="Y74" s="782"/>
      <c r="Z74" s="782"/>
      <c r="AA74" s="782"/>
      <c r="AB74" s="782"/>
      <c r="AC74" s="782"/>
      <c r="AD74" s="782"/>
      <c r="AE74" s="782"/>
      <c r="AF74" s="782"/>
      <c r="AG74" s="782"/>
      <c r="AH74" s="782"/>
      <c r="AI74" s="782"/>
      <c r="AJ74" s="782"/>
      <c r="AK74" s="782"/>
      <c r="AL74" s="782"/>
      <c r="AM74" s="782"/>
      <c r="AN74" s="782"/>
      <c r="AO74" s="782"/>
      <c r="AP74" s="782"/>
      <c r="AQ74" s="782"/>
      <c r="AR74" s="782"/>
      <c r="AS74" s="782"/>
      <c r="AT74" s="782"/>
      <c r="AU74" s="782"/>
      <c r="AV74" s="782"/>
      <c r="AW74" s="782"/>
      <c r="AX74" s="782"/>
      <c r="AY74" s="782"/>
      <c r="AZ74" s="782"/>
      <c r="BA74" s="782"/>
      <c r="BB74" s="782"/>
      <c r="BC74" s="782"/>
      <c r="BD74" s="782"/>
      <c r="BE74" s="782"/>
      <c r="BF74" s="782"/>
      <c r="BG74" s="782"/>
      <c r="BH74" s="782"/>
      <c r="BI74" s="782"/>
      <c r="BJ74" s="782"/>
      <c r="BK74" s="782"/>
      <c r="BL74" s="782"/>
      <c r="BM74" s="782"/>
      <c r="BN74" s="782"/>
      <c r="BO74" s="782"/>
      <c r="BP74" s="782"/>
      <c r="BQ74" s="782"/>
      <c r="BR74" s="782"/>
      <c r="BS74" s="782"/>
      <c r="BT74" s="782"/>
      <c r="BU74" s="782"/>
      <c r="BV74" s="782"/>
      <c r="BW74" s="782"/>
      <c r="BX74" s="782"/>
      <c r="BY74" s="782"/>
      <c r="BZ74" s="782"/>
      <c r="CA74" s="782"/>
      <c r="CB74" s="782"/>
      <c r="CC74" s="782"/>
      <c r="CD74" s="782"/>
      <c r="CE74" s="782"/>
      <c r="CF74" s="782"/>
      <c r="CG74" s="782"/>
      <c r="CH74" s="782"/>
      <c r="CI74" s="782"/>
      <c r="CJ74" s="782"/>
      <c r="CK74" s="782"/>
      <c r="CL74" s="782"/>
      <c r="CM74" s="782"/>
      <c r="CN74" s="782"/>
      <c r="CO74" s="782"/>
      <c r="CP74" s="782"/>
      <c r="CQ74" s="782"/>
      <c r="CR74" s="782"/>
      <c r="CS74" s="782"/>
      <c r="CT74" s="782"/>
      <c r="CU74" s="782"/>
      <c r="CV74" s="782"/>
      <c r="CW74" s="782"/>
      <c r="CX74" s="782"/>
      <c r="CY74" s="782"/>
      <c r="CZ74" s="782"/>
      <c r="DA74" s="782"/>
      <c r="DB74" s="782"/>
      <c r="DC74" s="782"/>
      <c r="DD74" s="782"/>
      <c r="DE74" s="782"/>
      <c r="DF74" s="782"/>
      <c r="DG74" s="782"/>
      <c r="DH74" s="782"/>
      <c r="DI74" s="782"/>
      <c r="DJ74" s="782"/>
      <c r="DK74" s="782"/>
      <c r="DL74" s="782"/>
      <c r="DM74" s="782"/>
      <c r="DN74" s="782"/>
      <c r="DO74" s="782"/>
      <c r="DP74" s="782"/>
      <c r="DQ74" s="782"/>
      <c r="DR74" s="782"/>
      <c r="DS74" s="782"/>
      <c r="DT74" s="782"/>
      <c r="DU74" s="782"/>
      <c r="DV74" s="782"/>
      <c r="DW74" s="782"/>
      <c r="DX74" s="782"/>
      <c r="DY74" s="782"/>
      <c r="DZ74" s="782"/>
      <c r="EA74" s="782"/>
      <c r="EB74" s="782"/>
      <c r="EC74" s="782"/>
      <c r="ED74" s="782"/>
      <c r="EE74" s="782"/>
      <c r="EF74" s="782"/>
      <c r="EG74" s="782"/>
      <c r="EH74" s="782"/>
    </row>
    <row r="75" spans="1:138" ht="12.75" customHeight="1" x14ac:dyDescent="0.3">
      <c r="A75" s="782"/>
      <c r="B75" s="782" t="s">
        <v>46</v>
      </c>
      <c r="C75" s="808">
        <f>(1+C74)^(1/365)-1</f>
        <v>4.5356704544685655E-4</v>
      </c>
      <c r="D75" s="782"/>
      <c r="E75" s="782"/>
      <c r="F75" s="782"/>
      <c r="G75" s="782"/>
      <c r="H75" s="782"/>
      <c r="I75" s="782"/>
      <c r="J75" s="782"/>
      <c r="K75" s="782"/>
      <c r="L75" s="782"/>
      <c r="M75" s="782"/>
      <c r="N75" s="782"/>
      <c r="O75" s="782"/>
      <c r="P75" s="782"/>
      <c r="Q75" s="782"/>
      <c r="R75" s="782"/>
      <c r="S75" s="782"/>
      <c r="T75" s="782"/>
      <c r="U75" s="782"/>
      <c r="V75" s="782"/>
      <c r="W75" s="782"/>
      <c r="X75" s="782"/>
      <c r="Y75" s="782"/>
      <c r="Z75" s="782"/>
      <c r="AA75" s="782"/>
      <c r="AB75" s="782"/>
      <c r="AC75" s="782"/>
      <c r="AD75" s="782"/>
      <c r="AE75" s="782"/>
      <c r="AF75" s="782"/>
      <c r="AG75" s="782"/>
      <c r="AH75" s="782"/>
      <c r="AI75" s="782"/>
      <c r="AJ75" s="782"/>
      <c r="AK75" s="782"/>
      <c r="AL75" s="782"/>
      <c r="AM75" s="782"/>
      <c r="AN75" s="782"/>
      <c r="AO75" s="782"/>
      <c r="AP75" s="782"/>
      <c r="AQ75" s="782"/>
      <c r="AR75" s="782"/>
      <c r="AS75" s="782"/>
      <c r="AT75" s="782"/>
      <c r="AU75" s="782"/>
      <c r="AV75" s="782"/>
      <c r="AW75" s="782"/>
      <c r="AX75" s="782"/>
      <c r="AY75" s="782"/>
      <c r="AZ75" s="782"/>
      <c r="BA75" s="782"/>
      <c r="BB75" s="782"/>
      <c r="BC75" s="782"/>
      <c r="BD75" s="782"/>
      <c r="BE75" s="782"/>
      <c r="BF75" s="782"/>
      <c r="BG75" s="782"/>
      <c r="BH75" s="782"/>
      <c r="BI75" s="782"/>
      <c r="BJ75" s="782"/>
      <c r="BK75" s="782"/>
      <c r="BL75" s="782"/>
      <c r="BM75" s="782"/>
      <c r="BN75" s="782"/>
      <c r="BO75" s="782"/>
      <c r="BP75" s="782"/>
      <c r="BQ75" s="782"/>
      <c r="BR75" s="782"/>
      <c r="BS75" s="782"/>
      <c r="BT75" s="782"/>
      <c r="BU75" s="782"/>
      <c r="BV75" s="782"/>
      <c r="BW75" s="782"/>
      <c r="BX75" s="782"/>
      <c r="BY75" s="782"/>
      <c r="BZ75" s="782"/>
      <c r="CA75" s="782"/>
      <c r="CB75" s="782"/>
      <c r="CC75" s="782"/>
      <c r="CD75" s="782"/>
      <c r="CE75" s="782"/>
      <c r="CF75" s="782"/>
      <c r="CG75" s="782"/>
      <c r="CH75" s="782"/>
      <c r="CI75" s="782"/>
      <c r="CJ75" s="782"/>
      <c r="CK75" s="782"/>
      <c r="CL75" s="782"/>
      <c r="CM75" s="782"/>
      <c r="CN75" s="782"/>
      <c r="CO75" s="782"/>
      <c r="CP75" s="782"/>
      <c r="CQ75" s="782"/>
      <c r="CR75" s="782"/>
      <c r="CS75" s="782"/>
      <c r="CT75" s="782"/>
      <c r="CU75" s="782"/>
      <c r="CV75" s="782"/>
      <c r="CW75" s="782"/>
      <c r="CX75" s="782"/>
      <c r="CY75" s="782"/>
      <c r="CZ75" s="782"/>
      <c r="DA75" s="782"/>
      <c r="DB75" s="782"/>
      <c r="DC75" s="782"/>
      <c r="DD75" s="782"/>
      <c r="DE75" s="782"/>
      <c r="DF75" s="782"/>
      <c r="DG75" s="782"/>
      <c r="DH75" s="782"/>
      <c r="DI75" s="782"/>
      <c r="DJ75" s="782"/>
      <c r="DK75" s="782"/>
      <c r="DL75" s="782"/>
      <c r="DM75" s="782"/>
      <c r="DN75" s="782"/>
      <c r="DO75" s="782"/>
      <c r="DP75" s="782"/>
      <c r="DQ75" s="782"/>
      <c r="DR75" s="782"/>
      <c r="DS75" s="782"/>
      <c r="DT75" s="782"/>
      <c r="DU75" s="782"/>
      <c r="DV75" s="782"/>
      <c r="DW75" s="782"/>
      <c r="DX75" s="782"/>
      <c r="DY75" s="782"/>
      <c r="DZ75" s="782"/>
      <c r="EA75" s="782"/>
      <c r="EB75" s="782"/>
      <c r="EC75" s="782"/>
      <c r="ED75" s="782"/>
      <c r="EE75" s="782"/>
      <c r="EF75" s="782"/>
      <c r="EG75" s="782"/>
      <c r="EH75" s="782"/>
    </row>
    <row r="76" spans="1:138" ht="12.75" customHeight="1" x14ac:dyDescent="0.3">
      <c r="A76" s="782"/>
      <c r="B76" s="782"/>
      <c r="C76" s="782"/>
      <c r="D76" s="782"/>
      <c r="E76" s="782"/>
      <c r="F76" s="782"/>
      <c r="G76" s="782"/>
      <c r="H76" s="782"/>
      <c r="I76" s="782"/>
      <c r="J76" s="782"/>
      <c r="K76" s="782"/>
      <c r="L76" s="782"/>
      <c r="M76" s="782"/>
      <c r="N76" s="782"/>
      <c r="O76" s="782"/>
      <c r="P76" s="782"/>
      <c r="Q76" s="782"/>
      <c r="R76" s="782"/>
      <c r="S76" s="782"/>
      <c r="T76" s="782"/>
      <c r="U76" s="782"/>
      <c r="V76" s="782"/>
      <c r="W76" s="782"/>
      <c r="X76" s="782"/>
      <c r="Y76" s="782"/>
      <c r="Z76" s="782"/>
      <c r="AA76" s="782"/>
      <c r="AB76" s="782"/>
      <c r="AC76" s="782"/>
      <c r="AD76" s="782"/>
      <c r="AE76" s="782"/>
      <c r="AF76" s="782"/>
      <c r="AG76" s="782"/>
      <c r="AH76" s="782"/>
      <c r="AI76" s="782"/>
      <c r="AJ76" s="782"/>
      <c r="AK76" s="782"/>
      <c r="AL76" s="782"/>
      <c r="AM76" s="782"/>
      <c r="AN76" s="782"/>
      <c r="AO76" s="782"/>
      <c r="AP76" s="782"/>
      <c r="AQ76" s="782"/>
      <c r="AR76" s="782"/>
      <c r="AS76" s="782"/>
      <c r="AT76" s="782"/>
      <c r="AU76" s="782"/>
      <c r="AV76" s="782"/>
      <c r="AW76" s="782"/>
      <c r="AX76" s="782"/>
      <c r="AY76" s="782"/>
      <c r="AZ76" s="782"/>
      <c r="BA76" s="782"/>
      <c r="BB76" s="782"/>
      <c r="BC76" s="782"/>
      <c r="BD76" s="782"/>
      <c r="BE76" s="782"/>
      <c r="BF76" s="782"/>
      <c r="BG76" s="782"/>
      <c r="BH76" s="782"/>
      <c r="BI76" s="782"/>
      <c r="BJ76" s="782"/>
      <c r="BK76" s="782"/>
      <c r="BL76" s="782"/>
      <c r="BM76" s="782"/>
      <c r="BN76" s="782"/>
      <c r="BO76" s="782"/>
      <c r="BP76" s="782"/>
      <c r="BQ76" s="782"/>
      <c r="BR76" s="782"/>
      <c r="BS76" s="782"/>
      <c r="BT76" s="782"/>
      <c r="BU76" s="782"/>
      <c r="BV76" s="782"/>
      <c r="BW76" s="782"/>
      <c r="BX76" s="782"/>
      <c r="BY76" s="782"/>
      <c r="BZ76" s="782"/>
      <c r="CA76" s="782"/>
      <c r="CB76" s="782"/>
      <c r="CC76" s="782"/>
      <c r="CD76" s="782"/>
      <c r="CE76" s="782"/>
      <c r="CF76" s="782"/>
      <c r="CG76" s="782"/>
      <c r="CH76" s="782"/>
      <c r="CI76" s="782"/>
      <c r="CJ76" s="782"/>
      <c r="CK76" s="782"/>
      <c r="CL76" s="782"/>
      <c r="CM76" s="782"/>
      <c r="CN76" s="782"/>
      <c r="CO76" s="782"/>
      <c r="CP76" s="782"/>
      <c r="CQ76" s="782"/>
      <c r="CR76" s="782"/>
      <c r="CS76" s="782"/>
      <c r="CT76" s="782"/>
      <c r="CU76" s="782"/>
      <c r="CV76" s="782"/>
      <c r="CW76" s="782"/>
      <c r="CX76" s="782"/>
      <c r="CY76" s="782"/>
      <c r="CZ76" s="782"/>
      <c r="DA76" s="782"/>
      <c r="DB76" s="782"/>
      <c r="DC76" s="782"/>
      <c r="DD76" s="782"/>
      <c r="DE76" s="782"/>
      <c r="DF76" s="782"/>
      <c r="DG76" s="782"/>
      <c r="DH76" s="782"/>
      <c r="DI76" s="782"/>
      <c r="DJ76" s="782"/>
      <c r="DK76" s="782"/>
      <c r="DL76" s="782"/>
      <c r="DM76" s="782"/>
      <c r="DN76" s="782"/>
      <c r="DO76" s="782"/>
      <c r="DP76" s="782"/>
      <c r="DQ76" s="782"/>
      <c r="DR76" s="782"/>
      <c r="DS76" s="782"/>
      <c r="DT76" s="782"/>
      <c r="DU76" s="782"/>
      <c r="DV76" s="782"/>
      <c r="DW76" s="782"/>
      <c r="DX76" s="782"/>
      <c r="DY76" s="782"/>
      <c r="DZ76" s="782"/>
      <c r="EA76" s="782"/>
      <c r="EB76" s="782"/>
      <c r="EC76" s="782"/>
      <c r="ED76" s="782"/>
      <c r="EE76" s="782"/>
      <c r="EF76" s="782"/>
      <c r="EG76" s="782"/>
      <c r="EH76" s="782"/>
    </row>
    <row r="77" spans="1:138" ht="12.75" customHeight="1" x14ac:dyDescent="0.3">
      <c r="A77" s="782"/>
      <c r="B77" s="1357" t="s">
        <v>321</v>
      </c>
      <c r="C77" s="1358">
        <f>SUM(E77:EG77)</f>
        <v>-33650095.02365011</v>
      </c>
      <c r="D77" s="1357"/>
      <c r="E77" s="1358">
        <f>SUM(E45:E48)+E60+SUM(E53:E55)</f>
        <v>-1943435.5218400576</v>
      </c>
      <c r="F77" s="1358">
        <f t="shared" ref="F77:BQ77" si="67">SUM(F45:F48)+F60+SUM(F53:F55)</f>
        <v>-15208647.652673729</v>
      </c>
      <c r="G77" s="1358">
        <f t="shared" si="67"/>
        <v>-491498.0015560445</v>
      </c>
      <c r="H77" s="1358">
        <f t="shared" si="67"/>
        <v>-739130.23477478127</v>
      </c>
      <c r="I77" s="1358">
        <f t="shared" si="67"/>
        <v>-1245669.8451237862</v>
      </c>
      <c r="J77" s="1358">
        <f t="shared" si="67"/>
        <v>-2024138.5150061427</v>
      </c>
      <c r="K77" s="1358">
        <f t="shared" si="67"/>
        <v>-2083605.0857725968</v>
      </c>
      <c r="L77" s="1358">
        <f t="shared" si="67"/>
        <v>-2651537.8825037964</v>
      </c>
      <c r="M77" s="1358">
        <f t="shared" si="67"/>
        <v>-3143136.2409976111</v>
      </c>
      <c r="N77" s="1358">
        <f t="shared" si="67"/>
        <v>-3677476.1526163789</v>
      </c>
      <c r="O77" s="1358">
        <f t="shared" si="67"/>
        <v>-2096036.1763591815</v>
      </c>
      <c r="P77" s="1358">
        <f t="shared" si="67"/>
        <v>-20243.44524311414</v>
      </c>
      <c r="Q77" s="1358">
        <f t="shared" si="67"/>
        <v>-21536.504033744335</v>
      </c>
      <c r="R77" s="1358">
        <f t="shared" si="67"/>
        <v>-22846.387199595105</v>
      </c>
      <c r="S77" s="1358">
        <f t="shared" si="67"/>
        <v>-24169.24296368286</v>
      </c>
      <c r="T77" s="1358">
        <f t="shared" si="67"/>
        <v>-25405.192141294479</v>
      </c>
      <c r="U77" s="1358">
        <f t="shared" si="67"/>
        <v>-26605.498258502688</v>
      </c>
      <c r="V77" s="1358">
        <f t="shared" si="67"/>
        <v>-27716.271931473166</v>
      </c>
      <c r="W77" s="1358">
        <f t="shared" si="67"/>
        <v>-28714.745112786535</v>
      </c>
      <c r="X77" s="1358">
        <f t="shared" si="67"/>
        <v>-29708.008202723693</v>
      </c>
      <c r="Y77" s="1358">
        <f t="shared" si="67"/>
        <v>-30619.505737842992</v>
      </c>
      <c r="Z77" s="1358">
        <f t="shared" si="67"/>
        <v>-31386.510991997784</v>
      </c>
      <c r="AA77" s="1358">
        <f t="shared" si="67"/>
        <v>-32040.043232684024</v>
      </c>
      <c r="AB77" s="1358">
        <f t="shared" si="67"/>
        <v>-32583.318851409364</v>
      </c>
      <c r="AC77" s="1358">
        <f t="shared" si="67"/>
        <v>11164.455298793153</v>
      </c>
      <c r="AD77" s="1358">
        <f t="shared" si="67"/>
        <v>51087.02880827192</v>
      </c>
      <c r="AE77" s="1358">
        <f t="shared" si="67"/>
        <v>96690.409152741282</v>
      </c>
      <c r="AF77" s="1358">
        <f t="shared" si="67"/>
        <v>186128.38333325498</v>
      </c>
      <c r="AG77" s="1358">
        <f t="shared" si="67"/>
        <v>189774.72498510519</v>
      </c>
      <c r="AH77" s="1358">
        <f t="shared" si="67"/>
        <v>191077.87392284846</v>
      </c>
      <c r="AI77" s="1358">
        <f t="shared" si="67"/>
        <v>424631.52148606483</v>
      </c>
      <c r="AJ77" s="1358">
        <f t="shared" si="67"/>
        <v>427220.46900700842</v>
      </c>
      <c r="AK77" s="1358">
        <f t="shared" si="67"/>
        <v>430016.09348074743</v>
      </c>
      <c r="AL77" s="1358">
        <f t="shared" si="67"/>
        <v>0</v>
      </c>
      <c r="AM77" s="1358">
        <f t="shared" si="67"/>
        <v>0</v>
      </c>
      <c r="AN77" s="1358">
        <f t="shared" si="67"/>
        <v>0</v>
      </c>
      <c r="AO77" s="1358">
        <f t="shared" si="67"/>
        <v>0</v>
      </c>
      <c r="AP77" s="1358">
        <f t="shared" si="67"/>
        <v>0</v>
      </c>
      <c r="AQ77" s="1358">
        <f t="shared" si="67"/>
        <v>0</v>
      </c>
      <c r="AR77" s="1358">
        <f t="shared" si="67"/>
        <v>0</v>
      </c>
      <c r="AS77" s="1358">
        <f t="shared" si="67"/>
        <v>0</v>
      </c>
      <c r="AT77" s="1358">
        <f t="shared" si="67"/>
        <v>0</v>
      </c>
      <c r="AU77" s="1358">
        <f t="shared" si="67"/>
        <v>0</v>
      </c>
      <c r="AV77" s="1358">
        <f t="shared" si="67"/>
        <v>0</v>
      </c>
      <c r="AW77" s="1358">
        <f t="shared" si="67"/>
        <v>0</v>
      </c>
      <c r="AX77" s="1358">
        <f t="shared" si="67"/>
        <v>0</v>
      </c>
      <c r="AY77" s="1358">
        <f t="shared" si="67"/>
        <v>0</v>
      </c>
      <c r="AZ77" s="1358">
        <f t="shared" si="67"/>
        <v>0</v>
      </c>
      <c r="BA77" s="1358">
        <f t="shared" si="67"/>
        <v>0</v>
      </c>
      <c r="BB77" s="1358">
        <f t="shared" si="67"/>
        <v>0</v>
      </c>
      <c r="BC77" s="1358">
        <f t="shared" si="67"/>
        <v>0</v>
      </c>
      <c r="BD77" s="1358">
        <f t="shared" si="67"/>
        <v>0</v>
      </c>
      <c r="BE77" s="1358">
        <f t="shared" si="67"/>
        <v>0</v>
      </c>
      <c r="BF77" s="1358">
        <f t="shared" si="67"/>
        <v>0</v>
      </c>
      <c r="BG77" s="1358">
        <f t="shared" si="67"/>
        <v>0</v>
      </c>
      <c r="BH77" s="1358">
        <f t="shared" si="67"/>
        <v>0</v>
      </c>
      <c r="BI77" s="1358">
        <f t="shared" si="67"/>
        <v>0</v>
      </c>
      <c r="BJ77" s="1358">
        <f t="shared" si="67"/>
        <v>0</v>
      </c>
      <c r="BK77" s="1358">
        <f t="shared" si="67"/>
        <v>0</v>
      </c>
      <c r="BL77" s="1358">
        <f t="shared" si="67"/>
        <v>0</v>
      </c>
      <c r="BM77" s="1358">
        <f t="shared" si="67"/>
        <v>0</v>
      </c>
      <c r="BN77" s="1358">
        <f t="shared" si="67"/>
        <v>0</v>
      </c>
      <c r="BO77" s="1358">
        <f t="shared" si="67"/>
        <v>0</v>
      </c>
      <c r="BP77" s="1358">
        <f t="shared" si="67"/>
        <v>0</v>
      </c>
      <c r="BQ77" s="1358">
        <f t="shared" si="67"/>
        <v>0</v>
      </c>
      <c r="BR77" s="1358">
        <f t="shared" ref="BR77:EC77" si="68">SUM(BR45:BR48)+BR60+SUM(BR53:BR55)</f>
        <v>0</v>
      </c>
      <c r="BS77" s="1358">
        <f t="shared" si="68"/>
        <v>0</v>
      </c>
      <c r="BT77" s="1358">
        <f t="shared" si="68"/>
        <v>0</v>
      </c>
      <c r="BU77" s="1358">
        <f t="shared" si="68"/>
        <v>0</v>
      </c>
      <c r="BV77" s="1358">
        <f t="shared" si="68"/>
        <v>0</v>
      </c>
      <c r="BW77" s="1358">
        <f t="shared" si="68"/>
        <v>0</v>
      </c>
      <c r="BX77" s="1358">
        <f t="shared" si="68"/>
        <v>0</v>
      </c>
      <c r="BY77" s="1358">
        <f t="shared" si="68"/>
        <v>0</v>
      </c>
      <c r="BZ77" s="1358">
        <f t="shared" si="68"/>
        <v>0</v>
      </c>
      <c r="CA77" s="1358">
        <f t="shared" si="68"/>
        <v>0</v>
      </c>
      <c r="CB77" s="1358">
        <f t="shared" si="68"/>
        <v>0</v>
      </c>
      <c r="CC77" s="1358">
        <f t="shared" si="68"/>
        <v>0</v>
      </c>
      <c r="CD77" s="1358">
        <f t="shared" si="68"/>
        <v>0</v>
      </c>
      <c r="CE77" s="1358">
        <f t="shared" si="68"/>
        <v>0</v>
      </c>
      <c r="CF77" s="1358">
        <f t="shared" si="68"/>
        <v>0</v>
      </c>
      <c r="CG77" s="1358">
        <f t="shared" si="68"/>
        <v>0</v>
      </c>
      <c r="CH77" s="1358">
        <f t="shared" si="68"/>
        <v>0</v>
      </c>
      <c r="CI77" s="1358">
        <f t="shared" si="68"/>
        <v>0</v>
      </c>
      <c r="CJ77" s="1358">
        <f t="shared" si="68"/>
        <v>0</v>
      </c>
      <c r="CK77" s="1358">
        <f t="shared" si="68"/>
        <v>0</v>
      </c>
      <c r="CL77" s="1358">
        <f t="shared" si="68"/>
        <v>0</v>
      </c>
      <c r="CM77" s="1358">
        <f t="shared" si="68"/>
        <v>0</v>
      </c>
      <c r="CN77" s="1358">
        <f t="shared" si="68"/>
        <v>0</v>
      </c>
      <c r="CO77" s="1358">
        <f t="shared" si="68"/>
        <v>0</v>
      </c>
      <c r="CP77" s="1358">
        <f t="shared" si="68"/>
        <v>0</v>
      </c>
      <c r="CQ77" s="1358">
        <f t="shared" si="68"/>
        <v>0</v>
      </c>
      <c r="CR77" s="1358">
        <f t="shared" si="68"/>
        <v>0</v>
      </c>
      <c r="CS77" s="1358">
        <f t="shared" si="68"/>
        <v>0</v>
      </c>
      <c r="CT77" s="1358">
        <f t="shared" si="68"/>
        <v>0</v>
      </c>
      <c r="CU77" s="1358">
        <f t="shared" si="68"/>
        <v>0</v>
      </c>
      <c r="CV77" s="1358">
        <f t="shared" si="68"/>
        <v>0</v>
      </c>
      <c r="CW77" s="1358">
        <f t="shared" si="68"/>
        <v>0</v>
      </c>
      <c r="CX77" s="1358">
        <f t="shared" si="68"/>
        <v>0</v>
      </c>
      <c r="CY77" s="1358">
        <f t="shared" si="68"/>
        <v>0</v>
      </c>
      <c r="CZ77" s="1358">
        <f t="shared" si="68"/>
        <v>0</v>
      </c>
      <c r="DA77" s="1358">
        <f t="shared" si="68"/>
        <v>0</v>
      </c>
      <c r="DB77" s="1358">
        <f t="shared" si="68"/>
        <v>0</v>
      </c>
      <c r="DC77" s="1358">
        <f t="shared" si="68"/>
        <v>0</v>
      </c>
      <c r="DD77" s="1358">
        <f t="shared" si="68"/>
        <v>0</v>
      </c>
      <c r="DE77" s="1358">
        <f t="shared" si="68"/>
        <v>0</v>
      </c>
      <c r="DF77" s="1358">
        <f t="shared" si="68"/>
        <v>0</v>
      </c>
      <c r="DG77" s="1358">
        <f t="shared" si="68"/>
        <v>0</v>
      </c>
      <c r="DH77" s="1358">
        <f t="shared" si="68"/>
        <v>0</v>
      </c>
      <c r="DI77" s="1358">
        <f t="shared" si="68"/>
        <v>0</v>
      </c>
      <c r="DJ77" s="1358">
        <f t="shared" si="68"/>
        <v>0</v>
      </c>
      <c r="DK77" s="1358">
        <f t="shared" si="68"/>
        <v>0</v>
      </c>
      <c r="DL77" s="1358">
        <f t="shared" si="68"/>
        <v>0</v>
      </c>
      <c r="DM77" s="1358">
        <f t="shared" si="68"/>
        <v>0</v>
      </c>
      <c r="DN77" s="1358">
        <f t="shared" si="68"/>
        <v>0</v>
      </c>
      <c r="DO77" s="1358">
        <f t="shared" si="68"/>
        <v>0</v>
      </c>
      <c r="DP77" s="1358">
        <f t="shared" si="68"/>
        <v>0</v>
      </c>
      <c r="DQ77" s="1358">
        <f t="shared" si="68"/>
        <v>0</v>
      </c>
      <c r="DR77" s="1358">
        <f t="shared" si="68"/>
        <v>0</v>
      </c>
      <c r="DS77" s="1358">
        <f t="shared" si="68"/>
        <v>0</v>
      </c>
      <c r="DT77" s="1358">
        <f t="shared" si="68"/>
        <v>0</v>
      </c>
      <c r="DU77" s="1358">
        <f t="shared" si="68"/>
        <v>0</v>
      </c>
      <c r="DV77" s="1358">
        <f t="shared" si="68"/>
        <v>0</v>
      </c>
      <c r="DW77" s="1358">
        <f t="shared" si="68"/>
        <v>0</v>
      </c>
      <c r="DX77" s="1358">
        <f t="shared" si="68"/>
        <v>0</v>
      </c>
      <c r="DY77" s="1358">
        <f t="shared" si="68"/>
        <v>0</v>
      </c>
      <c r="DZ77" s="1358">
        <f t="shared" si="68"/>
        <v>0</v>
      </c>
      <c r="EA77" s="1358">
        <f t="shared" si="68"/>
        <v>0</v>
      </c>
      <c r="EB77" s="1358">
        <f t="shared" si="68"/>
        <v>0</v>
      </c>
      <c r="EC77" s="1358">
        <f t="shared" si="68"/>
        <v>0</v>
      </c>
      <c r="ED77" s="1358">
        <f>SUM(ED45:ED48)+ED60+SUM(ED53:ED55)</f>
        <v>0</v>
      </c>
      <c r="EE77" s="1358">
        <f>SUM(EE45:EE48)+EE60+SUM(EE53:EE55)</f>
        <v>0</v>
      </c>
      <c r="EF77" s="1358">
        <f>SUM(EF45:EF48)+EF60+SUM(EF53:EF55)</f>
        <v>0</v>
      </c>
      <c r="EG77" s="1358">
        <f>SUM(EG45:EG48)+EG60+SUM(EG53:EG55)</f>
        <v>0</v>
      </c>
      <c r="EH77" s="782"/>
    </row>
    <row r="78" spans="1:138" ht="12.75" customHeight="1" x14ac:dyDescent="0.3">
      <c r="A78" s="782"/>
      <c r="B78" s="1359" t="s">
        <v>322</v>
      </c>
      <c r="C78" s="1360">
        <f>SUM(E78:EG78)</f>
        <v>60916274.722085506</v>
      </c>
      <c r="D78" s="1359"/>
      <c r="E78" s="1360">
        <f>E49+E56</f>
        <v>0</v>
      </c>
      <c r="F78" s="1360">
        <f t="shared" ref="F78:BQ78" si="69">F49+F56</f>
        <v>0</v>
      </c>
      <c r="G78" s="1360">
        <f t="shared" si="69"/>
        <v>0</v>
      </c>
      <c r="H78" s="1360">
        <f t="shared" si="69"/>
        <v>0</v>
      </c>
      <c r="I78" s="1360">
        <f t="shared" si="69"/>
        <v>0</v>
      </c>
      <c r="J78" s="1360">
        <f t="shared" si="69"/>
        <v>0</v>
      </c>
      <c r="K78" s="1360">
        <f t="shared" si="69"/>
        <v>0</v>
      </c>
      <c r="L78" s="1360">
        <f t="shared" si="69"/>
        <v>0</v>
      </c>
      <c r="M78" s="1360">
        <f t="shared" si="69"/>
        <v>0</v>
      </c>
      <c r="N78" s="1360">
        <f t="shared" si="69"/>
        <v>0</v>
      </c>
      <c r="O78" s="1360">
        <f t="shared" si="69"/>
        <v>0</v>
      </c>
      <c r="P78" s="1360">
        <f t="shared" si="69"/>
        <v>0</v>
      </c>
      <c r="Q78" s="1360">
        <f t="shared" si="69"/>
        <v>0</v>
      </c>
      <c r="R78" s="1360">
        <f t="shared" si="69"/>
        <v>0</v>
      </c>
      <c r="S78" s="1360">
        <f t="shared" si="69"/>
        <v>0</v>
      </c>
      <c r="T78" s="1360">
        <f t="shared" si="69"/>
        <v>0</v>
      </c>
      <c r="U78" s="1360">
        <f t="shared" si="69"/>
        <v>0</v>
      </c>
      <c r="V78" s="1360">
        <f t="shared" si="69"/>
        <v>0</v>
      </c>
      <c r="W78" s="1360">
        <f t="shared" si="69"/>
        <v>0</v>
      </c>
      <c r="X78" s="1360">
        <f t="shared" si="69"/>
        <v>0</v>
      </c>
      <c r="Y78" s="1360">
        <f t="shared" si="69"/>
        <v>0</v>
      </c>
      <c r="Z78" s="1360">
        <f t="shared" si="69"/>
        <v>0</v>
      </c>
      <c r="AA78" s="1360">
        <f t="shared" si="69"/>
        <v>0</v>
      </c>
      <c r="AB78" s="1360">
        <f t="shared" si="69"/>
        <v>0</v>
      </c>
      <c r="AC78" s="1360">
        <f t="shared" si="69"/>
        <v>0</v>
      </c>
      <c r="AD78" s="1360">
        <f t="shared" si="69"/>
        <v>0</v>
      </c>
      <c r="AE78" s="1360">
        <f t="shared" si="69"/>
        <v>0</v>
      </c>
      <c r="AF78" s="1360">
        <f t="shared" si="69"/>
        <v>0</v>
      </c>
      <c r="AG78" s="1360">
        <f t="shared" si="69"/>
        <v>0</v>
      </c>
      <c r="AH78" s="1360">
        <f t="shared" si="69"/>
        <v>0</v>
      </c>
      <c r="AI78" s="1360">
        <f t="shared" si="69"/>
        <v>0</v>
      </c>
      <c r="AJ78" s="1360">
        <f t="shared" si="69"/>
        <v>0</v>
      </c>
      <c r="AK78" s="1360">
        <f t="shared" si="69"/>
        <v>60916274.722085506</v>
      </c>
      <c r="AL78" s="1360">
        <f t="shared" si="69"/>
        <v>0</v>
      </c>
      <c r="AM78" s="1360">
        <f t="shared" si="69"/>
        <v>0</v>
      </c>
      <c r="AN78" s="1360">
        <f t="shared" si="69"/>
        <v>0</v>
      </c>
      <c r="AO78" s="1360">
        <f t="shared" si="69"/>
        <v>0</v>
      </c>
      <c r="AP78" s="1360">
        <f t="shared" si="69"/>
        <v>0</v>
      </c>
      <c r="AQ78" s="1360">
        <f t="shared" si="69"/>
        <v>0</v>
      </c>
      <c r="AR78" s="1360">
        <f t="shared" si="69"/>
        <v>0</v>
      </c>
      <c r="AS78" s="1360">
        <f t="shared" si="69"/>
        <v>0</v>
      </c>
      <c r="AT78" s="1360">
        <f t="shared" si="69"/>
        <v>0</v>
      </c>
      <c r="AU78" s="1360">
        <f t="shared" si="69"/>
        <v>0</v>
      </c>
      <c r="AV78" s="1360">
        <f t="shared" si="69"/>
        <v>0</v>
      </c>
      <c r="AW78" s="1360">
        <f t="shared" si="69"/>
        <v>0</v>
      </c>
      <c r="AX78" s="1360">
        <f t="shared" si="69"/>
        <v>0</v>
      </c>
      <c r="AY78" s="1360">
        <f t="shared" si="69"/>
        <v>0</v>
      </c>
      <c r="AZ78" s="1360">
        <f t="shared" si="69"/>
        <v>0</v>
      </c>
      <c r="BA78" s="1360">
        <f t="shared" si="69"/>
        <v>0</v>
      </c>
      <c r="BB78" s="1360">
        <f t="shared" si="69"/>
        <v>0</v>
      </c>
      <c r="BC78" s="1360">
        <f t="shared" si="69"/>
        <v>0</v>
      </c>
      <c r="BD78" s="1360">
        <f t="shared" si="69"/>
        <v>0</v>
      </c>
      <c r="BE78" s="1360">
        <f t="shared" si="69"/>
        <v>0</v>
      </c>
      <c r="BF78" s="1360">
        <f t="shared" si="69"/>
        <v>0</v>
      </c>
      <c r="BG78" s="1360">
        <f t="shared" si="69"/>
        <v>0</v>
      </c>
      <c r="BH78" s="1360">
        <f t="shared" si="69"/>
        <v>0</v>
      </c>
      <c r="BI78" s="1360">
        <f t="shared" si="69"/>
        <v>0</v>
      </c>
      <c r="BJ78" s="1360">
        <f t="shared" si="69"/>
        <v>0</v>
      </c>
      <c r="BK78" s="1360">
        <f t="shared" si="69"/>
        <v>0</v>
      </c>
      <c r="BL78" s="1360">
        <f t="shared" si="69"/>
        <v>0</v>
      </c>
      <c r="BM78" s="1360">
        <f t="shared" si="69"/>
        <v>0</v>
      </c>
      <c r="BN78" s="1360">
        <f t="shared" si="69"/>
        <v>0</v>
      </c>
      <c r="BO78" s="1360">
        <f t="shared" si="69"/>
        <v>0</v>
      </c>
      <c r="BP78" s="1360">
        <f t="shared" si="69"/>
        <v>0</v>
      </c>
      <c r="BQ78" s="1360">
        <f t="shared" si="69"/>
        <v>0</v>
      </c>
      <c r="BR78" s="1360">
        <f t="shared" ref="BR78:EC78" si="70">BR49+BR56</f>
        <v>0</v>
      </c>
      <c r="BS78" s="1360">
        <f t="shared" si="70"/>
        <v>0</v>
      </c>
      <c r="BT78" s="1360">
        <f t="shared" si="70"/>
        <v>0</v>
      </c>
      <c r="BU78" s="1360">
        <f t="shared" si="70"/>
        <v>0</v>
      </c>
      <c r="BV78" s="1360">
        <f t="shared" si="70"/>
        <v>0</v>
      </c>
      <c r="BW78" s="1360">
        <f t="shared" si="70"/>
        <v>0</v>
      </c>
      <c r="BX78" s="1360">
        <f t="shared" si="70"/>
        <v>0</v>
      </c>
      <c r="BY78" s="1360">
        <f t="shared" si="70"/>
        <v>0</v>
      </c>
      <c r="BZ78" s="1360">
        <f t="shared" si="70"/>
        <v>0</v>
      </c>
      <c r="CA78" s="1360">
        <f t="shared" si="70"/>
        <v>0</v>
      </c>
      <c r="CB78" s="1360">
        <f t="shared" si="70"/>
        <v>0</v>
      </c>
      <c r="CC78" s="1360">
        <f t="shared" si="70"/>
        <v>0</v>
      </c>
      <c r="CD78" s="1360">
        <f t="shared" si="70"/>
        <v>0</v>
      </c>
      <c r="CE78" s="1360">
        <f t="shared" si="70"/>
        <v>0</v>
      </c>
      <c r="CF78" s="1360">
        <f t="shared" si="70"/>
        <v>0</v>
      </c>
      <c r="CG78" s="1360">
        <f t="shared" si="70"/>
        <v>0</v>
      </c>
      <c r="CH78" s="1360">
        <f t="shared" si="70"/>
        <v>0</v>
      </c>
      <c r="CI78" s="1360">
        <f t="shared" si="70"/>
        <v>0</v>
      </c>
      <c r="CJ78" s="1360">
        <f t="shared" si="70"/>
        <v>0</v>
      </c>
      <c r="CK78" s="1360">
        <f t="shared" si="70"/>
        <v>0</v>
      </c>
      <c r="CL78" s="1360">
        <f t="shared" si="70"/>
        <v>0</v>
      </c>
      <c r="CM78" s="1360">
        <f t="shared" si="70"/>
        <v>0</v>
      </c>
      <c r="CN78" s="1360">
        <f t="shared" si="70"/>
        <v>0</v>
      </c>
      <c r="CO78" s="1360">
        <f t="shared" si="70"/>
        <v>0</v>
      </c>
      <c r="CP78" s="1360">
        <f t="shared" si="70"/>
        <v>0</v>
      </c>
      <c r="CQ78" s="1360">
        <f t="shared" si="70"/>
        <v>0</v>
      </c>
      <c r="CR78" s="1360">
        <f t="shared" si="70"/>
        <v>0</v>
      </c>
      <c r="CS78" s="1360">
        <f t="shared" si="70"/>
        <v>0</v>
      </c>
      <c r="CT78" s="1360">
        <f t="shared" si="70"/>
        <v>0</v>
      </c>
      <c r="CU78" s="1360">
        <f t="shared" si="70"/>
        <v>0</v>
      </c>
      <c r="CV78" s="1360">
        <f t="shared" si="70"/>
        <v>0</v>
      </c>
      <c r="CW78" s="1360">
        <f t="shared" si="70"/>
        <v>0</v>
      </c>
      <c r="CX78" s="1360">
        <f t="shared" si="70"/>
        <v>0</v>
      </c>
      <c r="CY78" s="1360">
        <f t="shared" si="70"/>
        <v>0</v>
      </c>
      <c r="CZ78" s="1360">
        <f t="shared" si="70"/>
        <v>0</v>
      </c>
      <c r="DA78" s="1360">
        <f t="shared" si="70"/>
        <v>0</v>
      </c>
      <c r="DB78" s="1360">
        <f t="shared" si="70"/>
        <v>0</v>
      </c>
      <c r="DC78" s="1360">
        <f t="shared" si="70"/>
        <v>0</v>
      </c>
      <c r="DD78" s="1360">
        <f t="shared" si="70"/>
        <v>0</v>
      </c>
      <c r="DE78" s="1360">
        <f t="shared" si="70"/>
        <v>0</v>
      </c>
      <c r="DF78" s="1360">
        <f t="shared" si="70"/>
        <v>0</v>
      </c>
      <c r="DG78" s="1360">
        <f t="shared" si="70"/>
        <v>0</v>
      </c>
      <c r="DH78" s="1360">
        <f t="shared" si="70"/>
        <v>0</v>
      </c>
      <c r="DI78" s="1360">
        <f t="shared" si="70"/>
        <v>0</v>
      </c>
      <c r="DJ78" s="1360">
        <f t="shared" si="70"/>
        <v>0</v>
      </c>
      <c r="DK78" s="1360">
        <f t="shared" si="70"/>
        <v>0</v>
      </c>
      <c r="DL78" s="1360">
        <f t="shared" si="70"/>
        <v>0</v>
      </c>
      <c r="DM78" s="1360">
        <f t="shared" si="70"/>
        <v>0</v>
      </c>
      <c r="DN78" s="1360">
        <f t="shared" si="70"/>
        <v>0</v>
      </c>
      <c r="DO78" s="1360">
        <f t="shared" si="70"/>
        <v>0</v>
      </c>
      <c r="DP78" s="1360">
        <f t="shared" si="70"/>
        <v>0</v>
      </c>
      <c r="DQ78" s="1360">
        <f t="shared" si="70"/>
        <v>0</v>
      </c>
      <c r="DR78" s="1360">
        <f t="shared" si="70"/>
        <v>0</v>
      </c>
      <c r="DS78" s="1360">
        <f t="shared" si="70"/>
        <v>0</v>
      </c>
      <c r="DT78" s="1360">
        <f t="shared" si="70"/>
        <v>0</v>
      </c>
      <c r="DU78" s="1360">
        <f t="shared" si="70"/>
        <v>0</v>
      </c>
      <c r="DV78" s="1360">
        <f t="shared" si="70"/>
        <v>0</v>
      </c>
      <c r="DW78" s="1360">
        <f t="shared" si="70"/>
        <v>0</v>
      </c>
      <c r="DX78" s="1360">
        <f t="shared" si="70"/>
        <v>0</v>
      </c>
      <c r="DY78" s="1360">
        <f t="shared" si="70"/>
        <v>0</v>
      </c>
      <c r="DZ78" s="1360">
        <f t="shared" si="70"/>
        <v>0</v>
      </c>
      <c r="EA78" s="1360">
        <f t="shared" si="70"/>
        <v>0</v>
      </c>
      <c r="EB78" s="1360">
        <f t="shared" si="70"/>
        <v>0</v>
      </c>
      <c r="EC78" s="1360">
        <f t="shared" si="70"/>
        <v>0</v>
      </c>
      <c r="ED78" s="1360">
        <f>ED49+ED56</f>
        <v>0</v>
      </c>
      <c r="EE78" s="1360">
        <f>EE49+EE56</f>
        <v>0</v>
      </c>
      <c r="EF78" s="1360">
        <f>EF49+EF56</f>
        <v>0</v>
      </c>
      <c r="EG78" s="1360">
        <f>EG49+EG56</f>
        <v>0</v>
      </c>
      <c r="EH78" s="782"/>
    </row>
    <row r="79" spans="1:138" ht="12.75" customHeight="1" x14ac:dyDescent="0.3">
      <c r="A79" s="782"/>
      <c r="B79" s="782" t="s">
        <v>323</v>
      </c>
      <c r="C79" s="798">
        <f>SUM(E79:EG79)</f>
        <v>27266179.698435396</v>
      </c>
      <c r="D79" s="782"/>
      <c r="E79" s="798">
        <f>SUM(E77:E78)</f>
        <v>-1943435.5218400576</v>
      </c>
      <c r="F79" s="798">
        <f t="shared" ref="F79:BQ79" si="71">SUM(F77:F78)</f>
        <v>-15208647.652673729</v>
      </c>
      <c r="G79" s="798">
        <f t="shared" si="71"/>
        <v>-491498.0015560445</v>
      </c>
      <c r="H79" s="798">
        <f t="shared" si="71"/>
        <v>-739130.23477478127</v>
      </c>
      <c r="I79" s="798">
        <f t="shared" si="71"/>
        <v>-1245669.8451237862</v>
      </c>
      <c r="J79" s="798">
        <f t="shared" si="71"/>
        <v>-2024138.5150061427</v>
      </c>
      <c r="K79" s="798">
        <f t="shared" si="71"/>
        <v>-2083605.0857725968</v>
      </c>
      <c r="L79" s="798">
        <f t="shared" si="71"/>
        <v>-2651537.8825037964</v>
      </c>
      <c r="M79" s="798">
        <f t="shared" si="71"/>
        <v>-3143136.2409976111</v>
      </c>
      <c r="N79" s="798">
        <f t="shared" si="71"/>
        <v>-3677476.1526163789</v>
      </c>
      <c r="O79" s="798">
        <f t="shared" si="71"/>
        <v>-2096036.1763591815</v>
      </c>
      <c r="P79" s="798">
        <f t="shared" si="71"/>
        <v>-20243.44524311414</v>
      </c>
      <c r="Q79" s="798">
        <f t="shared" si="71"/>
        <v>-21536.504033744335</v>
      </c>
      <c r="R79" s="798">
        <f t="shared" si="71"/>
        <v>-22846.387199595105</v>
      </c>
      <c r="S79" s="798">
        <f t="shared" si="71"/>
        <v>-24169.24296368286</v>
      </c>
      <c r="T79" s="798">
        <f t="shared" si="71"/>
        <v>-25405.192141294479</v>
      </c>
      <c r="U79" s="798">
        <f t="shared" si="71"/>
        <v>-26605.498258502688</v>
      </c>
      <c r="V79" s="798">
        <f t="shared" si="71"/>
        <v>-27716.271931473166</v>
      </c>
      <c r="W79" s="798">
        <f t="shared" si="71"/>
        <v>-28714.745112786535</v>
      </c>
      <c r="X79" s="798">
        <f t="shared" si="71"/>
        <v>-29708.008202723693</v>
      </c>
      <c r="Y79" s="798">
        <f t="shared" si="71"/>
        <v>-30619.505737842992</v>
      </c>
      <c r="Z79" s="798">
        <f t="shared" si="71"/>
        <v>-31386.510991997784</v>
      </c>
      <c r="AA79" s="798">
        <f t="shared" si="71"/>
        <v>-32040.043232684024</v>
      </c>
      <c r="AB79" s="798">
        <f t="shared" si="71"/>
        <v>-32583.318851409364</v>
      </c>
      <c r="AC79" s="798">
        <f t="shared" si="71"/>
        <v>11164.455298793153</v>
      </c>
      <c r="AD79" s="798">
        <f t="shared" si="71"/>
        <v>51087.02880827192</v>
      </c>
      <c r="AE79" s="798">
        <f t="shared" si="71"/>
        <v>96690.409152741282</v>
      </c>
      <c r="AF79" s="798">
        <f t="shared" si="71"/>
        <v>186128.38333325498</v>
      </c>
      <c r="AG79" s="798">
        <f t="shared" si="71"/>
        <v>189774.72498510519</v>
      </c>
      <c r="AH79" s="798">
        <f t="shared" si="71"/>
        <v>191077.87392284846</v>
      </c>
      <c r="AI79" s="798">
        <f t="shared" si="71"/>
        <v>424631.52148606483</v>
      </c>
      <c r="AJ79" s="798">
        <f t="shared" si="71"/>
        <v>427220.46900700842</v>
      </c>
      <c r="AK79" s="798">
        <f t="shared" si="71"/>
        <v>61346290.815566257</v>
      </c>
      <c r="AL79" s="798">
        <f t="shared" si="71"/>
        <v>0</v>
      </c>
      <c r="AM79" s="798">
        <f t="shared" si="71"/>
        <v>0</v>
      </c>
      <c r="AN79" s="798">
        <f t="shared" si="71"/>
        <v>0</v>
      </c>
      <c r="AO79" s="798">
        <f t="shared" si="71"/>
        <v>0</v>
      </c>
      <c r="AP79" s="798">
        <f t="shared" si="71"/>
        <v>0</v>
      </c>
      <c r="AQ79" s="798">
        <f t="shared" si="71"/>
        <v>0</v>
      </c>
      <c r="AR79" s="798">
        <f t="shared" si="71"/>
        <v>0</v>
      </c>
      <c r="AS79" s="798">
        <f t="shared" si="71"/>
        <v>0</v>
      </c>
      <c r="AT79" s="798">
        <f t="shared" si="71"/>
        <v>0</v>
      </c>
      <c r="AU79" s="798">
        <f t="shared" si="71"/>
        <v>0</v>
      </c>
      <c r="AV79" s="798">
        <f t="shared" si="71"/>
        <v>0</v>
      </c>
      <c r="AW79" s="798">
        <f t="shared" si="71"/>
        <v>0</v>
      </c>
      <c r="AX79" s="798">
        <f t="shared" si="71"/>
        <v>0</v>
      </c>
      <c r="AY79" s="798">
        <f t="shared" si="71"/>
        <v>0</v>
      </c>
      <c r="AZ79" s="798">
        <f t="shared" si="71"/>
        <v>0</v>
      </c>
      <c r="BA79" s="798">
        <f t="shared" si="71"/>
        <v>0</v>
      </c>
      <c r="BB79" s="798">
        <f t="shared" si="71"/>
        <v>0</v>
      </c>
      <c r="BC79" s="798">
        <f t="shared" si="71"/>
        <v>0</v>
      </c>
      <c r="BD79" s="798">
        <f t="shared" si="71"/>
        <v>0</v>
      </c>
      <c r="BE79" s="798">
        <f t="shared" si="71"/>
        <v>0</v>
      </c>
      <c r="BF79" s="798">
        <f t="shared" si="71"/>
        <v>0</v>
      </c>
      <c r="BG79" s="798">
        <f t="shared" si="71"/>
        <v>0</v>
      </c>
      <c r="BH79" s="798">
        <f t="shared" si="71"/>
        <v>0</v>
      </c>
      <c r="BI79" s="798">
        <f t="shared" si="71"/>
        <v>0</v>
      </c>
      <c r="BJ79" s="798">
        <f t="shared" si="71"/>
        <v>0</v>
      </c>
      <c r="BK79" s="798">
        <f t="shared" si="71"/>
        <v>0</v>
      </c>
      <c r="BL79" s="798">
        <f t="shared" si="71"/>
        <v>0</v>
      </c>
      <c r="BM79" s="798">
        <f t="shared" si="71"/>
        <v>0</v>
      </c>
      <c r="BN79" s="798">
        <f t="shared" si="71"/>
        <v>0</v>
      </c>
      <c r="BO79" s="798">
        <f t="shared" si="71"/>
        <v>0</v>
      </c>
      <c r="BP79" s="798">
        <f t="shared" si="71"/>
        <v>0</v>
      </c>
      <c r="BQ79" s="798">
        <f t="shared" si="71"/>
        <v>0</v>
      </c>
      <c r="BR79" s="798">
        <f t="shared" ref="BR79:EC79" si="72">SUM(BR77:BR78)</f>
        <v>0</v>
      </c>
      <c r="BS79" s="798">
        <f t="shared" si="72"/>
        <v>0</v>
      </c>
      <c r="BT79" s="798">
        <f t="shared" si="72"/>
        <v>0</v>
      </c>
      <c r="BU79" s="798">
        <f t="shared" si="72"/>
        <v>0</v>
      </c>
      <c r="BV79" s="798">
        <f t="shared" si="72"/>
        <v>0</v>
      </c>
      <c r="BW79" s="798">
        <f t="shared" si="72"/>
        <v>0</v>
      </c>
      <c r="BX79" s="798">
        <f t="shared" si="72"/>
        <v>0</v>
      </c>
      <c r="BY79" s="798">
        <f t="shared" si="72"/>
        <v>0</v>
      </c>
      <c r="BZ79" s="798">
        <f t="shared" si="72"/>
        <v>0</v>
      </c>
      <c r="CA79" s="798">
        <f t="shared" si="72"/>
        <v>0</v>
      </c>
      <c r="CB79" s="798">
        <f t="shared" si="72"/>
        <v>0</v>
      </c>
      <c r="CC79" s="798">
        <f t="shared" si="72"/>
        <v>0</v>
      </c>
      <c r="CD79" s="798">
        <f t="shared" si="72"/>
        <v>0</v>
      </c>
      <c r="CE79" s="798">
        <f t="shared" si="72"/>
        <v>0</v>
      </c>
      <c r="CF79" s="798">
        <f t="shared" si="72"/>
        <v>0</v>
      </c>
      <c r="CG79" s="798">
        <f t="shared" si="72"/>
        <v>0</v>
      </c>
      <c r="CH79" s="798">
        <f t="shared" si="72"/>
        <v>0</v>
      </c>
      <c r="CI79" s="798">
        <f t="shared" si="72"/>
        <v>0</v>
      </c>
      <c r="CJ79" s="798">
        <f t="shared" si="72"/>
        <v>0</v>
      </c>
      <c r="CK79" s="798">
        <f t="shared" si="72"/>
        <v>0</v>
      </c>
      <c r="CL79" s="798">
        <f t="shared" si="72"/>
        <v>0</v>
      </c>
      <c r="CM79" s="798">
        <f t="shared" si="72"/>
        <v>0</v>
      </c>
      <c r="CN79" s="798">
        <f t="shared" si="72"/>
        <v>0</v>
      </c>
      <c r="CO79" s="798">
        <f t="shared" si="72"/>
        <v>0</v>
      </c>
      <c r="CP79" s="798">
        <f t="shared" si="72"/>
        <v>0</v>
      </c>
      <c r="CQ79" s="798">
        <f t="shared" si="72"/>
        <v>0</v>
      </c>
      <c r="CR79" s="798">
        <f t="shared" si="72"/>
        <v>0</v>
      </c>
      <c r="CS79" s="798">
        <f t="shared" si="72"/>
        <v>0</v>
      </c>
      <c r="CT79" s="798">
        <f t="shared" si="72"/>
        <v>0</v>
      </c>
      <c r="CU79" s="798">
        <f t="shared" si="72"/>
        <v>0</v>
      </c>
      <c r="CV79" s="798">
        <f t="shared" si="72"/>
        <v>0</v>
      </c>
      <c r="CW79" s="798">
        <f t="shared" si="72"/>
        <v>0</v>
      </c>
      <c r="CX79" s="798">
        <f t="shared" si="72"/>
        <v>0</v>
      </c>
      <c r="CY79" s="798">
        <f t="shared" si="72"/>
        <v>0</v>
      </c>
      <c r="CZ79" s="798">
        <f t="shared" si="72"/>
        <v>0</v>
      </c>
      <c r="DA79" s="798">
        <f t="shared" si="72"/>
        <v>0</v>
      </c>
      <c r="DB79" s="798">
        <f t="shared" si="72"/>
        <v>0</v>
      </c>
      <c r="DC79" s="798">
        <f t="shared" si="72"/>
        <v>0</v>
      </c>
      <c r="DD79" s="798">
        <f t="shared" si="72"/>
        <v>0</v>
      </c>
      <c r="DE79" s="798">
        <f t="shared" si="72"/>
        <v>0</v>
      </c>
      <c r="DF79" s="798">
        <f t="shared" si="72"/>
        <v>0</v>
      </c>
      <c r="DG79" s="798">
        <f t="shared" si="72"/>
        <v>0</v>
      </c>
      <c r="DH79" s="798">
        <f t="shared" si="72"/>
        <v>0</v>
      </c>
      <c r="DI79" s="798">
        <f t="shared" si="72"/>
        <v>0</v>
      </c>
      <c r="DJ79" s="798">
        <f t="shared" si="72"/>
        <v>0</v>
      </c>
      <c r="DK79" s="798">
        <f t="shared" si="72"/>
        <v>0</v>
      </c>
      <c r="DL79" s="798">
        <f t="shared" si="72"/>
        <v>0</v>
      </c>
      <c r="DM79" s="798">
        <f t="shared" si="72"/>
        <v>0</v>
      </c>
      <c r="DN79" s="798">
        <f t="shared" si="72"/>
        <v>0</v>
      </c>
      <c r="DO79" s="798">
        <f t="shared" si="72"/>
        <v>0</v>
      </c>
      <c r="DP79" s="798">
        <f t="shared" si="72"/>
        <v>0</v>
      </c>
      <c r="DQ79" s="798">
        <f t="shared" si="72"/>
        <v>0</v>
      </c>
      <c r="DR79" s="798">
        <f t="shared" si="72"/>
        <v>0</v>
      </c>
      <c r="DS79" s="798">
        <f t="shared" si="72"/>
        <v>0</v>
      </c>
      <c r="DT79" s="798">
        <f t="shared" si="72"/>
        <v>0</v>
      </c>
      <c r="DU79" s="798">
        <f t="shared" si="72"/>
        <v>0</v>
      </c>
      <c r="DV79" s="798">
        <f t="shared" si="72"/>
        <v>0</v>
      </c>
      <c r="DW79" s="798">
        <f t="shared" si="72"/>
        <v>0</v>
      </c>
      <c r="DX79" s="798">
        <f t="shared" si="72"/>
        <v>0</v>
      </c>
      <c r="DY79" s="798">
        <f t="shared" si="72"/>
        <v>0</v>
      </c>
      <c r="DZ79" s="798">
        <f t="shared" si="72"/>
        <v>0</v>
      </c>
      <c r="EA79" s="798">
        <f t="shared" si="72"/>
        <v>0</v>
      </c>
      <c r="EB79" s="798">
        <f t="shared" si="72"/>
        <v>0</v>
      </c>
      <c r="EC79" s="798">
        <f t="shared" si="72"/>
        <v>0</v>
      </c>
      <c r="ED79" s="798">
        <f>SUM(ED77:ED78)</f>
        <v>0</v>
      </c>
      <c r="EE79" s="798">
        <f>SUM(EE77:EE78)</f>
        <v>0</v>
      </c>
      <c r="EF79" s="798">
        <f>SUM(EF77:EF78)</f>
        <v>0</v>
      </c>
      <c r="EG79" s="798">
        <f>SUM(EG77:EG78)</f>
        <v>0</v>
      </c>
      <c r="EH79" s="782"/>
    </row>
    <row r="80" spans="1:138" ht="12.75" customHeight="1" x14ac:dyDescent="0.3">
      <c r="A80" s="782"/>
      <c r="B80" s="782" t="s">
        <v>50</v>
      </c>
      <c r="C80" s="806">
        <f>XIRR(OFFSET(E79,0,$C$141):EG79,OFFSET($E$4,0,$C$141):$EG$4)</f>
        <v>0.27725512385368345</v>
      </c>
      <c r="D80" s="782"/>
      <c r="E80" s="782"/>
      <c r="F80" s="782"/>
      <c r="G80" s="782"/>
      <c r="H80" s="782"/>
      <c r="I80" s="782"/>
      <c r="J80" s="782"/>
      <c r="K80" s="782"/>
      <c r="L80" s="782"/>
      <c r="M80" s="782"/>
      <c r="N80" s="782"/>
      <c r="O80" s="782"/>
      <c r="P80" s="782"/>
      <c r="Q80" s="782"/>
      <c r="R80" s="782"/>
      <c r="S80" s="782"/>
      <c r="T80" s="782"/>
      <c r="U80" s="782"/>
      <c r="V80" s="782"/>
      <c r="W80" s="782"/>
      <c r="X80" s="782"/>
      <c r="Y80" s="782"/>
      <c r="Z80" s="782"/>
      <c r="AA80" s="782"/>
      <c r="AB80" s="782"/>
      <c r="AC80" s="782"/>
      <c r="AD80" s="782"/>
      <c r="AE80" s="782"/>
      <c r="AF80" s="782"/>
      <c r="AG80" s="782"/>
      <c r="AH80" s="782"/>
      <c r="AI80" s="782"/>
      <c r="AJ80" s="782"/>
      <c r="AK80" s="782"/>
      <c r="AL80" s="782"/>
      <c r="AM80" s="782"/>
      <c r="AN80" s="782"/>
      <c r="AO80" s="782"/>
      <c r="AP80" s="782"/>
      <c r="AQ80" s="782"/>
      <c r="AR80" s="782"/>
      <c r="AS80" s="782"/>
      <c r="AT80" s="782"/>
      <c r="AU80" s="782"/>
      <c r="AV80" s="782"/>
      <c r="AW80" s="782"/>
      <c r="AX80" s="782"/>
      <c r="AY80" s="782"/>
      <c r="AZ80" s="782"/>
      <c r="BA80" s="782"/>
      <c r="BB80" s="782"/>
      <c r="BC80" s="782"/>
      <c r="BD80" s="782"/>
      <c r="BE80" s="782"/>
      <c r="BF80" s="782"/>
      <c r="BG80" s="782"/>
      <c r="BH80" s="782"/>
      <c r="BI80" s="782"/>
      <c r="BJ80" s="782"/>
      <c r="BK80" s="782"/>
      <c r="BL80" s="782"/>
      <c r="BM80" s="782"/>
      <c r="BN80" s="782"/>
      <c r="BO80" s="782"/>
      <c r="BP80" s="782"/>
      <c r="BQ80" s="782"/>
      <c r="BR80" s="782"/>
      <c r="BS80" s="782"/>
      <c r="BT80" s="782"/>
      <c r="BU80" s="782"/>
      <c r="BV80" s="782"/>
      <c r="BW80" s="782"/>
      <c r="BX80" s="782"/>
      <c r="BY80" s="782"/>
      <c r="BZ80" s="782"/>
      <c r="CA80" s="782"/>
      <c r="CB80" s="782"/>
      <c r="CC80" s="782"/>
      <c r="CD80" s="782"/>
      <c r="CE80" s="782"/>
      <c r="CF80" s="782"/>
      <c r="CG80" s="782"/>
      <c r="CH80" s="782"/>
      <c r="CI80" s="782"/>
      <c r="CJ80" s="782"/>
      <c r="CK80" s="782"/>
      <c r="CL80" s="782"/>
      <c r="CM80" s="782"/>
      <c r="CN80" s="782"/>
      <c r="CO80" s="782"/>
      <c r="CP80" s="782"/>
      <c r="CQ80" s="782"/>
      <c r="CR80" s="782"/>
      <c r="CS80" s="782"/>
      <c r="CT80" s="782"/>
      <c r="CU80" s="782"/>
      <c r="CV80" s="782"/>
      <c r="CW80" s="782"/>
      <c r="CX80" s="782"/>
      <c r="CY80" s="782"/>
      <c r="CZ80" s="782"/>
      <c r="DA80" s="782"/>
      <c r="DB80" s="782"/>
      <c r="DC80" s="782"/>
      <c r="DD80" s="782"/>
      <c r="DE80" s="782"/>
      <c r="DF80" s="782"/>
      <c r="DG80" s="782"/>
      <c r="DH80" s="782"/>
      <c r="DI80" s="782"/>
      <c r="DJ80" s="782"/>
      <c r="DK80" s="782"/>
      <c r="DL80" s="782"/>
      <c r="DM80" s="782"/>
      <c r="DN80" s="782"/>
      <c r="DO80" s="782"/>
      <c r="DP80" s="782"/>
      <c r="DQ80" s="782"/>
      <c r="DR80" s="782"/>
      <c r="DS80" s="782"/>
      <c r="DT80" s="782"/>
      <c r="DU80" s="782"/>
      <c r="DV80" s="782"/>
      <c r="DW80" s="782"/>
      <c r="DX80" s="782"/>
      <c r="DY80" s="782"/>
      <c r="DZ80" s="782"/>
      <c r="EA80" s="782"/>
      <c r="EB80" s="782"/>
      <c r="EC80" s="782"/>
      <c r="ED80" s="782"/>
      <c r="EE80" s="782"/>
      <c r="EF80" s="782"/>
      <c r="EG80" s="782"/>
      <c r="EH80" s="782"/>
    </row>
    <row r="81" spans="1:138" ht="12.75" customHeight="1" x14ac:dyDescent="0.3">
      <c r="A81" s="782"/>
      <c r="B81" s="782"/>
      <c r="C81" s="782"/>
      <c r="D81" s="782"/>
      <c r="E81" s="782"/>
      <c r="F81" s="782"/>
      <c r="G81" s="782"/>
      <c r="H81" s="782"/>
      <c r="I81" s="782"/>
      <c r="J81" s="782"/>
      <c r="K81" s="782"/>
      <c r="L81" s="782"/>
      <c r="M81" s="782"/>
      <c r="N81" s="782"/>
      <c r="O81" s="782"/>
      <c r="P81" s="782"/>
      <c r="Q81" s="782"/>
      <c r="R81" s="782"/>
      <c r="S81" s="782"/>
      <c r="T81" s="782"/>
      <c r="U81" s="782"/>
      <c r="V81" s="782"/>
      <c r="W81" s="782"/>
      <c r="X81" s="782"/>
      <c r="Y81" s="782"/>
      <c r="Z81" s="782"/>
      <c r="AA81" s="782"/>
      <c r="AB81" s="782"/>
      <c r="AC81" s="782"/>
      <c r="AD81" s="782"/>
      <c r="AE81" s="782"/>
      <c r="AF81" s="782"/>
      <c r="AG81" s="782"/>
      <c r="AH81" s="782"/>
      <c r="AI81" s="782"/>
      <c r="AJ81" s="782"/>
      <c r="AK81" s="782"/>
      <c r="AL81" s="782"/>
      <c r="AM81" s="782"/>
      <c r="AN81" s="782"/>
      <c r="AO81" s="782"/>
      <c r="AP81" s="782"/>
      <c r="AQ81" s="782"/>
      <c r="AR81" s="782"/>
      <c r="AS81" s="782"/>
      <c r="AT81" s="782"/>
      <c r="AU81" s="782"/>
      <c r="AV81" s="782"/>
      <c r="AW81" s="782"/>
      <c r="AX81" s="782"/>
      <c r="AY81" s="782"/>
      <c r="AZ81" s="782"/>
      <c r="BA81" s="782"/>
      <c r="BB81" s="782"/>
      <c r="BC81" s="782"/>
      <c r="BD81" s="782"/>
      <c r="BE81" s="782"/>
      <c r="BF81" s="782"/>
      <c r="BG81" s="782"/>
      <c r="BH81" s="782"/>
      <c r="BI81" s="782"/>
      <c r="BJ81" s="782"/>
      <c r="BK81" s="782"/>
      <c r="BL81" s="782"/>
      <c r="BM81" s="782"/>
      <c r="BN81" s="782"/>
      <c r="BO81" s="782"/>
      <c r="BP81" s="782"/>
      <c r="BQ81" s="782"/>
      <c r="BR81" s="782"/>
      <c r="BS81" s="782"/>
      <c r="BT81" s="782"/>
      <c r="BU81" s="782"/>
      <c r="BV81" s="782"/>
      <c r="BW81" s="782"/>
      <c r="BX81" s="782"/>
      <c r="BY81" s="782"/>
      <c r="BZ81" s="782"/>
      <c r="CA81" s="782"/>
      <c r="CB81" s="782"/>
      <c r="CC81" s="782"/>
      <c r="CD81" s="782"/>
      <c r="CE81" s="782"/>
      <c r="CF81" s="782"/>
      <c r="CG81" s="782"/>
      <c r="CH81" s="782"/>
      <c r="CI81" s="782"/>
      <c r="CJ81" s="782"/>
      <c r="CK81" s="782"/>
      <c r="CL81" s="782"/>
      <c r="CM81" s="782"/>
      <c r="CN81" s="782"/>
      <c r="CO81" s="782"/>
      <c r="CP81" s="782"/>
      <c r="CQ81" s="782"/>
      <c r="CR81" s="782"/>
      <c r="CS81" s="782"/>
      <c r="CT81" s="782"/>
      <c r="CU81" s="782"/>
      <c r="CV81" s="782"/>
      <c r="CW81" s="782"/>
      <c r="CX81" s="782"/>
      <c r="CY81" s="782"/>
      <c r="CZ81" s="782"/>
      <c r="DA81" s="782"/>
      <c r="DB81" s="782"/>
      <c r="DC81" s="782"/>
      <c r="DD81" s="782"/>
      <c r="DE81" s="782"/>
      <c r="DF81" s="782"/>
      <c r="DG81" s="782"/>
      <c r="DH81" s="782"/>
      <c r="DI81" s="782"/>
      <c r="DJ81" s="782"/>
      <c r="DK81" s="782"/>
      <c r="DL81" s="782"/>
      <c r="DM81" s="782"/>
      <c r="DN81" s="782"/>
      <c r="DO81" s="782"/>
      <c r="DP81" s="782"/>
      <c r="DQ81" s="782"/>
      <c r="DR81" s="782"/>
      <c r="DS81" s="782"/>
      <c r="DT81" s="782"/>
      <c r="DU81" s="782"/>
      <c r="DV81" s="782"/>
      <c r="DW81" s="782"/>
      <c r="DX81" s="782"/>
      <c r="DY81" s="782"/>
      <c r="DZ81" s="782"/>
      <c r="EA81" s="782"/>
      <c r="EB81" s="782"/>
      <c r="EC81" s="782"/>
      <c r="ED81" s="782"/>
      <c r="EE81" s="782"/>
      <c r="EF81" s="782"/>
      <c r="EG81" s="782"/>
      <c r="EH81" s="782"/>
    </row>
    <row r="82" spans="1:138" ht="12.75" customHeight="1" x14ac:dyDescent="0.3">
      <c r="A82" s="782"/>
      <c r="B82" s="782" t="s">
        <v>51</v>
      </c>
      <c r="C82" s="806">
        <f>+'Venture Assumptions'!$F$31</f>
        <v>1</v>
      </c>
      <c r="D82" s="782"/>
      <c r="E82" s="798">
        <f>MIN(E78,FV($C$71,(E4-OFFSET($D$4,0,1)),,XNPV($C$70,OFFSET($D$77,0,1):E77,OFFSET($D$4,0,1):E4)))*E9</f>
        <v>0</v>
      </c>
      <c r="F82" s="798">
        <f>MIN(F78,FV($C$71,(F4-OFFSET($D$4,0,1)),,XNPV($C$70,OFFSET($D$77,0,1):F77,OFFSET($D$4,0,1):F4)))*F9</f>
        <v>0</v>
      </c>
      <c r="G82" s="798">
        <f>MIN(G78,FV($C$71,(G4-OFFSET($D$4,0,1)),,XNPV($C$70,OFFSET($D$77,0,1):G77,OFFSET($D$4,0,1):G4)))*G9</f>
        <v>0</v>
      </c>
      <c r="H82" s="798">
        <f>MIN(H78,FV($C$71,(H4-OFFSET($D$4,0,1)),,XNPV($C$70,OFFSET($D$77,0,1):H77,OFFSET($D$4,0,1):H4)))*H9</f>
        <v>0</v>
      </c>
      <c r="I82" s="798">
        <f>MIN(I78,FV($C$71,(I4-OFFSET($D$4,0,1)),,XNPV($C$70,OFFSET($D$77,0,1):I77,OFFSET($D$4,0,1):I4)))*I9</f>
        <v>0</v>
      </c>
      <c r="J82" s="798">
        <f>MIN(J78,FV($C$71,(J4-OFFSET($D$4,0,1)),,XNPV($C$70,OFFSET($D$77,0,1):J77,OFFSET($D$4,0,1):J4)))*J9</f>
        <v>0</v>
      </c>
      <c r="K82" s="798">
        <f>MIN(K78,FV($C$71,(K4-OFFSET($D$4,0,1)),,XNPV($C$70,OFFSET($D$77,0,1):K77,OFFSET($D$4,0,1):K4)))*K9</f>
        <v>0</v>
      </c>
      <c r="L82" s="798">
        <f>MIN(L78,FV($C$71,(L4-OFFSET($D$4,0,1)),,XNPV($C$70,OFFSET($D$77,0,1):L77,OFFSET($D$4,0,1):L4)))*L9</f>
        <v>0</v>
      </c>
      <c r="M82" s="798">
        <f>MIN(M78,FV($C$71,(M4-OFFSET($D$4,0,1)),,XNPV($C$70,OFFSET($D$77,0,1):M77,OFFSET($D$4,0,1):M4)))*M9</f>
        <v>0</v>
      </c>
      <c r="N82" s="798">
        <f>MIN(N78,FV($C$71,(N4-OFFSET($D$4,0,1)),,XNPV($C$70,OFFSET($D$77,0,1):N77,OFFSET($D$4,0,1):N4)))*N9</f>
        <v>0</v>
      </c>
      <c r="O82" s="798">
        <f>MIN(O78,FV($C$71,(O4-OFFSET($D$4,0,1)),,XNPV($C$70,OFFSET($D$77,0,1):O77,OFFSET($D$4,0,1):O4)))*O9</f>
        <v>0</v>
      </c>
      <c r="P82" s="798">
        <f>MIN(P78,FV($C$71,(P4-OFFSET($D$4,0,1)),,XNPV($C$70,OFFSET($D$77,0,1):P77,OFFSET($D$4,0,1):P4)))*P9</f>
        <v>0</v>
      </c>
      <c r="Q82" s="798">
        <f>MIN(Q78,FV($C$71,(Q4-OFFSET($D$4,0,1)),,XNPV($C$70,OFFSET($D$77,0,1):Q77,OFFSET($D$4,0,1):Q4)))*Q9</f>
        <v>0</v>
      </c>
      <c r="R82" s="798">
        <f>MIN(R78,FV($C$71,(R4-OFFSET($D$4,0,1)),,XNPV($C$70,OFFSET($D$77,0,1):R77,OFFSET($D$4,0,1):R4)))*R9</f>
        <v>0</v>
      </c>
      <c r="S82" s="798">
        <f>MIN(S78,FV($C$71,(S4-OFFSET($D$4,0,1)),,XNPV($C$70,OFFSET($D$77,0,1):S77,OFFSET($D$4,0,1):S4)))*S9</f>
        <v>0</v>
      </c>
      <c r="T82" s="798">
        <f>MIN(T78,FV($C$71,(T4-OFFSET($D$4,0,1)),,XNPV($C$70,OFFSET($D$77,0,1):T77,OFFSET($D$4,0,1):T4)))*T9</f>
        <v>0</v>
      </c>
      <c r="U82" s="798">
        <f>MIN(U78,FV($C$71,(U4-OFFSET($D$4,0,1)),,XNPV($C$70,OFFSET($D$77,0,1):U77,OFFSET($D$4,0,1):U4)))*U9</f>
        <v>0</v>
      </c>
      <c r="V82" s="798">
        <f>MIN(V78,FV($C$71,(V4-OFFSET($D$4,0,1)),,XNPV($C$70,OFFSET($D$77,0,1):V77,OFFSET($D$4,0,1):V4)))*V9</f>
        <v>0</v>
      </c>
      <c r="W82" s="798">
        <f>MIN(W78,FV($C$71,(W4-OFFSET($D$4,0,1)),,XNPV($C$70,OFFSET($D$77,0,1):W77,OFFSET($D$4,0,1):W4)))*W9</f>
        <v>0</v>
      </c>
      <c r="X82" s="798">
        <f>MIN(X78,FV($C$71,(X4-OFFSET($D$4,0,1)),,XNPV($C$70,OFFSET($D$77,0,1):X77,OFFSET($D$4,0,1):X4)))*X9</f>
        <v>0</v>
      </c>
      <c r="Y82" s="798">
        <f>MIN(Y78,FV($C$71,(Y4-OFFSET($D$4,0,1)),,XNPV($C$70,OFFSET($D$77,0,1):Y77,OFFSET($D$4,0,1):Y4)))*Y9</f>
        <v>0</v>
      </c>
      <c r="Z82" s="798">
        <f>MIN(Z78,FV($C$71,(Z4-OFFSET($D$4,0,1)),,XNPV($C$70,OFFSET($D$77,0,1):Z77,OFFSET($D$4,0,1):Z4)))*Z9</f>
        <v>0</v>
      </c>
      <c r="AA82" s="798">
        <f>MIN(AA78,FV($C$71,(AA4-OFFSET($D$4,0,1)),,XNPV($C$70,OFFSET($D$77,0,1):AA77,OFFSET($D$4,0,1):AA4)))*AA9</f>
        <v>0</v>
      </c>
      <c r="AB82" s="798">
        <f>MIN(AB78,FV($C$71,(AB4-OFFSET($D$4,0,1)),,XNPV($C$70,OFFSET($D$77,0,1):AB77,OFFSET($D$4,0,1):AB4)))*AB9</f>
        <v>0</v>
      </c>
      <c r="AC82" s="798">
        <f>MIN(AC78,FV($C$71,(AC4-OFFSET($D$4,0,1)),,XNPV($C$70,OFFSET($D$77,0,1):AC77,OFFSET($D$4,0,1):AC4)))*AC9</f>
        <v>0</v>
      </c>
      <c r="AD82" s="798">
        <f>MIN(AD78,FV($C$71,(AD4-OFFSET($D$4,0,1)),,XNPV($C$70,OFFSET($D$77,0,1):AD77,OFFSET($D$4,0,1):AD4)))*AD9</f>
        <v>0</v>
      </c>
      <c r="AE82" s="798">
        <f>MIN(AE78,FV($C$71,(AE4-OFFSET($D$4,0,1)),,XNPV($C$70,OFFSET($D$77,0,1):AE77,OFFSET($D$4,0,1):AE4)))*AE9</f>
        <v>0</v>
      </c>
      <c r="AF82" s="798">
        <f>MIN(AF78,FV($C$71,(AF4-OFFSET($D$4,0,1)),,XNPV($C$70,OFFSET($D$77,0,1):AF77,OFFSET($D$4,0,1):AF4)))*AF9</f>
        <v>0</v>
      </c>
      <c r="AG82" s="798">
        <f>MIN(AG78,FV($C$71,(AG4-OFFSET($D$4,0,1)),,XNPV($C$70,OFFSET($D$77,0,1):AG77,OFFSET($D$4,0,1):AG4)))*AG9</f>
        <v>0</v>
      </c>
      <c r="AH82" s="798">
        <f>MIN(AH78,FV($C$71,(AH4-OFFSET($D$4,0,1)),,XNPV($C$70,OFFSET($D$77,0,1):AH77,OFFSET($D$4,0,1):AH4)))*AH9</f>
        <v>0</v>
      </c>
      <c r="AI82" s="798">
        <f>MIN(AI78,FV($C$71,(AI4-OFFSET($D$4,0,1)),,XNPV($C$70,OFFSET($D$77,0,1):AI77,OFFSET($D$4,0,1):AI4)))*AI9</f>
        <v>0</v>
      </c>
      <c r="AJ82" s="798">
        <f>MIN(AJ78,FV($C$71,(AJ4-OFFSET($D$4,0,1)),,XNPV($C$70,OFFSET($D$77,0,1):AJ77,OFFSET($D$4,0,1):AJ4)))*AJ9</f>
        <v>0</v>
      </c>
      <c r="AK82" s="798">
        <f>MIN(AK78,FV($C$71,(AK4-OFFSET($D$4,0,1)),,XNPV($C$70,OFFSET($D$77,0,1):AK77,OFFSET($D$4,0,1):AK4)))*AK9</f>
        <v>42438726.661692351</v>
      </c>
      <c r="AL82" s="798">
        <f>MIN(AL78,FV($C$71,(AL4-OFFSET($D$4,0,1)),,XNPV($C$70,OFFSET($D$77,0,1):AL77,OFFSET($D$4,0,1):AL4)))*AL9</f>
        <v>0</v>
      </c>
      <c r="AM82" s="798">
        <f>MIN(AM78,FV($C$71,(AM4-OFFSET($D$4,0,1)),,XNPV($C$70,OFFSET($D$77,0,1):AM77,OFFSET($D$4,0,1):AM4)))*AM9</f>
        <v>0</v>
      </c>
      <c r="AN82" s="798">
        <f>MIN(AN78,FV($C$71,(AN4-OFFSET($D$4,0,1)),,XNPV($C$70,OFFSET($D$77,0,1):AN77,OFFSET($D$4,0,1):AN4)))*AN9</f>
        <v>0</v>
      </c>
      <c r="AO82" s="798">
        <f>MIN(AO78,FV($C$71,(AO4-OFFSET($D$4,0,1)),,XNPV($C$70,OFFSET($D$77,0,1):AO77,OFFSET($D$4,0,1):AO4)))*AO9</f>
        <v>0</v>
      </c>
      <c r="AP82" s="798">
        <f>MIN(AP78,FV($C$71,(AP4-OFFSET($D$4,0,1)),,XNPV($C$70,OFFSET($D$77,0,1):AP77,OFFSET($D$4,0,1):AP4)))*AP9</f>
        <v>0</v>
      </c>
      <c r="AQ82" s="798">
        <f>MIN(AQ78,FV($C$71,(AQ4-OFFSET($D$4,0,1)),,XNPV($C$70,OFFSET($D$77,0,1):AQ77,OFFSET($D$4,0,1):AQ4)))*AQ9</f>
        <v>0</v>
      </c>
      <c r="AR82" s="798">
        <f>MIN(AR78,FV($C$71,(AR4-OFFSET($D$4,0,1)),,XNPV($C$70,OFFSET($D$77,0,1):AR77,OFFSET($D$4,0,1):AR4)))*AR9</f>
        <v>0</v>
      </c>
      <c r="AS82" s="798">
        <f>MIN(AS78,FV($C$71,(AS4-OFFSET($D$4,0,1)),,XNPV($C$70,OFFSET($D$77,0,1):AS77,OFFSET($D$4,0,1):AS4)))*AS9</f>
        <v>0</v>
      </c>
      <c r="AT82" s="798">
        <f>MIN(AT78,FV($C$71,(AT4-OFFSET($D$4,0,1)),,XNPV($C$70,OFFSET($D$77,0,1):AT77,OFFSET($D$4,0,1):AT4)))*AT9</f>
        <v>0</v>
      </c>
      <c r="AU82" s="798">
        <f>MIN(AU78,FV($C$71,(AU4-OFFSET($D$4,0,1)),,XNPV($C$70,OFFSET($D$77,0,1):AU77,OFFSET($D$4,0,1):AU4)))*AU9</f>
        <v>0</v>
      </c>
      <c r="AV82" s="798">
        <f>MIN(AV78,FV($C$71,(AV4-OFFSET($D$4,0,1)),,XNPV($C$70,OFFSET($D$77,0,1):AV77,OFFSET($D$4,0,1):AV4)))*AV9</f>
        <v>0</v>
      </c>
      <c r="AW82" s="798">
        <f>MIN(AW78,FV($C$71,(AW4-OFFSET($D$4,0,1)),,XNPV($C$70,OFFSET($D$77,0,1):AW77,OFFSET($D$4,0,1):AW4)))*AW9</f>
        <v>0</v>
      </c>
      <c r="AX82" s="798">
        <f>MIN(AX78,FV($C$71,(AX4-OFFSET($D$4,0,1)),,XNPV($C$70,OFFSET($D$77,0,1):AX77,OFFSET($D$4,0,1):AX4)))*AX9</f>
        <v>0</v>
      </c>
      <c r="AY82" s="798">
        <f>MIN(AY78,FV($C$71,(AY4-OFFSET($D$4,0,1)),,XNPV($C$70,OFFSET($D$77,0,1):AY77,OFFSET($D$4,0,1):AY4)))*AY9</f>
        <v>0</v>
      </c>
      <c r="AZ82" s="798">
        <f>MIN(AZ78,FV($C$71,(AZ4-OFFSET($D$4,0,1)),,XNPV($C$70,OFFSET($D$77,0,1):AZ77,OFFSET($D$4,0,1):AZ4)))*AZ9</f>
        <v>0</v>
      </c>
      <c r="BA82" s="798">
        <f>MIN(BA78,FV($C$71,(BA4-OFFSET($D$4,0,1)),,XNPV($C$70,OFFSET($D$77,0,1):BA77,OFFSET($D$4,0,1):BA4)))*BA9</f>
        <v>0</v>
      </c>
      <c r="BB82" s="798">
        <f>MIN(BB78,FV($C$71,(BB4-OFFSET($D$4,0,1)),,XNPV($C$70,OFFSET($D$77,0,1):BB77,OFFSET($D$4,0,1):BB4)))*BB9</f>
        <v>0</v>
      </c>
      <c r="BC82" s="798">
        <f>MIN(BC78,FV($C$71,(BC4-OFFSET($D$4,0,1)),,XNPV($C$70,OFFSET($D$77,0,1):BC77,OFFSET($D$4,0,1):BC4)))*BC9</f>
        <v>0</v>
      </c>
      <c r="BD82" s="798">
        <f>MIN(BD78,FV($C$71,(BD4-OFFSET($D$4,0,1)),,XNPV($C$70,OFFSET($D$77,0,1):BD77,OFFSET($D$4,0,1):BD4)))*BD9</f>
        <v>0</v>
      </c>
      <c r="BE82" s="798">
        <f>MIN(BE78,FV($C$71,(BE4-OFFSET($D$4,0,1)),,XNPV($C$70,OFFSET($D$77,0,1):BE77,OFFSET($D$4,0,1):BE4)))*BE9</f>
        <v>0</v>
      </c>
      <c r="BF82" s="798">
        <f>MIN(BF78,FV($C$71,(BF4-OFFSET($D$4,0,1)),,XNPV($C$70,OFFSET($D$77,0,1):BF77,OFFSET($D$4,0,1):BF4)))*BF9</f>
        <v>0</v>
      </c>
      <c r="BG82" s="798">
        <f>MIN(BG78,FV($C$71,(BG4-OFFSET($D$4,0,1)),,XNPV($C$70,OFFSET($D$77,0,1):BG77,OFFSET($D$4,0,1):BG4)))*BG9</f>
        <v>0</v>
      </c>
      <c r="BH82" s="798">
        <f>MIN(BH78,FV($C$71,(BH4-OFFSET($D$4,0,1)),,XNPV($C$70,OFFSET($D$77,0,1):BH77,OFFSET($D$4,0,1):BH4)))*BH9</f>
        <v>0</v>
      </c>
      <c r="BI82" s="798">
        <f>MIN(BI78,FV($C$71,(BI4-OFFSET($D$4,0,1)),,XNPV($C$70,OFFSET($D$77,0,1):BI77,OFFSET($D$4,0,1):BI4)))*BI9</f>
        <v>0</v>
      </c>
      <c r="BJ82" s="798">
        <f>MIN(BJ78,FV($C$71,(BJ4-OFFSET($D$4,0,1)),,XNPV($C$70,OFFSET($D$77,0,1):BJ77,OFFSET($D$4,0,1):BJ4)))*BJ9</f>
        <v>0</v>
      </c>
      <c r="BK82" s="798">
        <f>MIN(BK78,FV($C$71,(BK4-OFFSET($D$4,0,1)),,XNPV($C$70,OFFSET($D$77,0,1):BK77,OFFSET($D$4,0,1):BK4)))*BK9</f>
        <v>0</v>
      </c>
      <c r="BL82" s="798">
        <f>MIN(BL78,FV($C$71,(BL4-OFFSET($D$4,0,1)),,XNPV($C$70,OFFSET($D$77,0,1):BL77,OFFSET($D$4,0,1):BL4)))*BL9</f>
        <v>0</v>
      </c>
      <c r="BM82" s="798">
        <f>MIN(BM78,FV($C$71,(BM4-OFFSET($D$4,0,1)),,XNPV($C$70,OFFSET($D$77,0,1):BM77,OFFSET($D$4,0,1):BM4)))*BM9</f>
        <v>0</v>
      </c>
      <c r="BN82" s="798">
        <f>MIN(BN78,FV($C$71,(BN4-OFFSET($D$4,0,1)),,XNPV($C$70,OFFSET($D$77,0,1):BN77,OFFSET($D$4,0,1):BN4)))*BN9</f>
        <v>0</v>
      </c>
      <c r="BO82" s="798">
        <f>MIN(BO78,FV($C$71,(BO4-OFFSET($D$4,0,1)),,XNPV($C$70,OFFSET($D$77,0,1):BO77,OFFSET($D$4,0,1):BO4)))*BO9</f>
        <v>0</v>
      </c>
      <c r="BP82" s="798">
        <f>MIN(BP78,FV($C$71,(BP4-OFFSET($D$4,0,1)),,XNPV($C$70,OFFSET($D$77,0,1):BP77,OFFSET($D$4,0,1):BP4)))*BP9</f>
        <v>0</v>
      </c>
      <c r="BQ82" s="798">
        <f>MIN(BQ78,FV($C$71,(BQ4-OFFSET($D$4,0,1)),,XNPV($C$70,OFFSET($D$77,0,1):BQ77,OFFSET($D$4,0,1):BQ4)))*BQ9</f>
        <v>0</v>
      </c>
      <c r="BR82" s="798">
        <f>MIN(BR78,FV($C$71,(BR4-OFFSET($D$4,0,1)),,XNPV($C$70,OFFSET($D$77,0,1):BR77,OFFSET($D$4,0,1):BR4)))*BR9</f>
        <v>0</v>
      </c>
      <c r="BS82" s="798">
        <f>MIN(BS78,FV($C$71,(BS4-OFFSET($D$4,0,1)),,XNPV($C$70,OFFSET($D$77,0,1):BS77,OFFSET($D$4,0,1):BS4)))*BS9</f>
        <v>0</v>
      </c>
      <c r="BT82" s="798">
        <f>MIN(BT78,FV($C$71,(BT4-OFFSET($D$4,0,1)),,XNPV($C$70,OFFSET($D$77,0,1):BT77,OFFSET($D$4,0,1):BT4)))*BT9</f>
        <v>0</v>
      </c>
      <c r="BU82" s="798">
        <f>MIN(BU78,FV($C$71,(BU4-OFFSET($D$4,0,1)),,XNPV($C$70,OFFSET($D$77,0,1):BU77,OFFSET($D$4,0,1):BU4)))*BU9</f>
        <v>0</v>
      </c>
      <c r="BV82" s="798">
        <f>MIN(BV78,FV($C$71,(BV4-OFFSET($D$4,0,1)),,XNPV($C$70,OFFSET($D$77,0,1):BV77,OFFSET($D$4,0,1):BV4)))*BV9</f>
        <v>0</v>
      </c>
      <c r="BW82" s="798">
        <f>MIN(BW78,FV($C$71,(BW4-OFFSET($D$4,0,1)),,XNPV($C$70,OFFSET($D$77,0,1):BW77,OFFSET($D$4,0,1):BW4)))*BW9</f>
        <v>0</v>
      </c>
      <c r="BX82" s="798">
        <f>MIN(BX78,FV($C$71,(BX4-OFFSET($D$4,0,1)),,XNPV($C$70,OFFSET($D$77,0,1):BX77,OFFSET($D$4,0,1):BX4)))*BX9</f>
        <v>0</v>
      </c>
      <c r="BY82" s="798">
        <f>MIN(BY78,FV($C$71,(BY4-OFFSET($D$4,0,1)),,XNPV($C$70,OFFSET($D$77,0,1):BY77,OFFSET($D$4,0,1):BY4)))*BY9</f>
        <v>0</v>
      </c>
      <c r="BZ82" s="798">
        <f>MIN(BZ78,FV($C$71,(BZ4-OFFSET($D$4,0,1)),,XNPV($C$70,OFFSET($D$77,0,1):BZ77,OFFSET($D$4,0,1):BZ4)))*BZ9</f>
        <v>0</v>
      </c>
      <c r="CA82" s="798">
        <f>MIN(CA78,FV($C$71,(CA4-OFFSET($D$4,0,1)),,XNPV($C$70,OFFSET($D$77,0,1):CA77,OFFSET($D$4,0,1):CA4)))*CA9</f>
        <v>0</v>
      </c>
      <c r="CB82" s="798">
        <f>MIN(CB78,FV($C$71,(CB4-OFFSET($D$4,0,1)),,XNPV($C$70,OFFSET($D$77,0,1):CB77,OFFSET($D$4,0,1):CB4)))*CB9</f>
        <v>0</v>
      </c>
      <c r="CC82" s="798">
        <f>MIN(CC78,FV($C$71,(CC4-OFFSET($D$4,0,1)),,XNPV($C$70,OFFSET($D$77,0,1):CC77,OFFSET($D$4,0,1):CC4)))*CC9</f>
        <v>0</v>
      </c>
      <c r="CD82" s="798">
        <f>MIN(CD78,FV($C$71,(CD4-OFFSET($D$4,0,1)),,XNPV($C$70,OFFSET($D$77,0,1):CD77,OFFSET($D$4,0,1):CD4)))*CD9</f>
        <v>0</v>
      </c>
      <c r="CE82" s="798">
        <f>MIN(CE78,FV($C$71,(CE4-OFFSET($D$4,0,1)),,XNPV($C$70,OFFSET($D$77,0,1):CE77,OFFSET($D$4,0,1):CE4)))*CE9</f>
        <v>0</v>
      </c>
      <c r="CF82" s="798">
        <f>MIN(CF78,FV($C$71,(CF4-OFFSET($D$4,0,1)),,XNPV($C$70,OFFSET($D$77,0,1):CF77,OFFSET($D$4,0,1):CF4)))*CF9</f>
        <v>0</v>
      </c>
      <c r="CG82" s="798">
        <f>MIN(CG78,FV($C$71,(CG4-OFFSET($D$4,0,1)),,XNPV($C$70,OFFSET($D$77,0,1):CG77,OFFSET($D$4,0,1):CG4)))*CG9</f>
        <v>0</v>
      </c>
      <c r="CH82" s="798">
        <f>MIN(CH78,FV($C$71,(CH4-OFFSET($D$4,0,1)),,XNPV($C$70,OFFSET($D$77,0,1):CH77,OFFSET($D$4,0,1):CH4)))*CH9</f>
        <v>0</v>
      </c>
      <c r="CI82" s="798">
        <f>MIN(CI78,FV($C$71,(CI4-OFFSET($D$4,0,1)),,XNPV($C$70,OFFSET($D$77,0,1):CI77,OFFSET($D$4,0,1):CI4)))*CI9</f>
        <v>0</v>
      </c>
      <c r="CJ82" s="798">
        <f>MIN(CJ78,FV($C$71,(CJ4-OFFSET($D$4,0,1)),,XNPV($C$70,OFFSET($D$77,0,1):CJ77,OFFSET($D$4,0,1):CJ4)))*CJ9</f>
        <v>0</v>
      </c>
      <c r="CK82" s="798">
        <f>MIN(CK78,FV($C$71,(CK4-OFFSET($D$4,0,1)),,XNPV($C$70,OFFSET($D$77,0,1):CK77,OFFSET($D$4,0,1):CK4)))*CK9</f>
        <v>0</v>
      </c>
      <c r="CL82" s="798">
        <f>MIN(CL78,FV($C$71,(CL4-OFFSET($D$4,0,1)),,XNPV($C$70,OFFSET($D$77,0,1):CL77,OFFSET($D$4,0,1):CL4)))*CL9</f>
        <v>0</v>
      </c>
      <c r="CM82" s="798">
        <f>MIN(CM78,FV($C$71,(CM4-OFFSET($D$4,0,1)),,XNPV($C$70,OFFSET($D$77,0,1):CM77,OFFSET($D$4,0,1):CM4)))*CM9</f>
        <v>0</v>
      </c>
      <c r="CN82" s="798">
        <f>MIN(CN78,FV($C$71,(CN4-OFFSET($D$4,0,1)),,XNPV($C$70,OFFSET($D$77,0,1):CN77,OFFSET($D$4,0,1):CN4)))*CN9</f>
        <v>0</v>
      </c>
      <c r="CO82" s="798">
        <f>MIN(CO78,FV($C$71,(CO4-OFFSET($D$4,0,1)),,XNPV($C$70,OFFSET($D$77,0,1):CO77,OFFSET($D$4,0,1):CO4)))*CO9</f>
        <v>0</v>
      </c>
      <c r="CP82" s="798">
        <f>MIN(CP78,FV($C$71,(CP4-OFFSET($D$4,0,1)),,XNPV($C$70,OFFSET($D$77,0,1):CP77,OFFSET($D$4,0,1):CP4)))*CP9</f>
        <v>0</v>
      </c>
      <c r="CQ82" s="798">
        <f>MIN(CQ78,FV($C$71,(CQ4-OFFSET($D$4,0,1)),,XNPV($C$70,OFFSET($D$77,0,1):CQ77,OFFSET($D$4,0,1):CQ4)))*CQ9</f>
        <v>0</v>
      </c>
      <c r="CR82" s="798">
        <f>MIN(CR78,FV($C$71,(CR4-OFFSET($D$4,0,1)),,XNPV($C$70,OFFSET($D$77,0,1):CR77,OFFSET($D$4,0,1):CR4)))*CR9</f>
        <v>0</v>
      </c>
      <c r="CS82" s="798">
        <f>MIN(CS78,FV($C$71,(CS4-OFFSET($D$4,0,1)),,XNPV($C$70,OFFSET($D$77,0,1):CS77,OFFSET($D$4,0,1):CS4)))*CS9</f>
        <v>0</v>
      </c>
      <c r="CT82" s="798">
        <f>MIN(CT78,FV($C$71,(CT4-OFFSET($D$4,0,1)),,XNPV($C$70,OFFSET($D$77,0,1):CT77,OFFSET($D$4,0,1):CT4)))*CT9</f>
        <v>0</v>
      </c>
      <c r="CU82" s="798">
        <f>MIN(CU78,FV($C$71,(CU4-OFFSET($D$4,0,1)),,XNPV($C$70,OFFSET($D$77,0,1):CU77,OFFSET($D$4,0,1):CU4)))*CU9</f>
        <v>0</v>
      </c>
      <c r="CV82" s="798">
        <f>MIN(CV78,FV($C$71,(CV4-OFFSET($D$4,0,1)),,XNPV($C$70,OFFSET($D$77,0,1):CV77,OFFSET($D$4,0,1):CV4)))*CV9</f>
        <v>0</v>
      </c>
      <c r="CW82" s="798">
        <f>MIN(CW78,FV($C$71,(CW4-OFFSET($D$4,0,1)),,XNPV($C$70,OFFSET($D$77,0,1):CW77,OFFSET($D$4,0,1):CW4)))*CW9</f>
        <v>0</v>
      </c>
      <c r="CX82" s="798">
        <f>MIN(CX78,FV($C$71,(CX4-OFFSET($D$4,0,1)),,XNPV($C$70,OFFSET($D$77,0,1):CX77,OFFSET($D$4,0,1):CX4)))*CX9</f>
        <v>0</v>
      </c>
      <c r="CY82" s="798">
        <f>MIN(CY78,FV($C$71,(CY4-OFFSET($D$4,0,1)),,XNPV($C$70,OFFSET($D$77,0,1):CY77,OFFSET($D$4,0,1):CY4)))*CY9</f>
        <v>0</v>
      </c>
      <c r="CZ82" s="798">
        <f>MIN(CZ78,FV($C$71,(CZ4-OFFSET($D$4,0,1)),,XNPV($C$70,OFFSET($D$77,0,1):CZ77,OFFSET($D$4,0,1):CZ4)))*CZ9</f>
        <v>0</v>
      </c>
      <c r="DA82" s="798">
        <f>MIN(DA78,FV($C$71,(DA4-OFFSET($D$4,0,1)),,XNPV($C$70,OFFSET($D$77,0,1):DA77,OFFSET($D$4,0,1):DA4)))*DA9</f>
        <v>0</v>
      </c>
      <c r="DB82" s="798">
        <f>MIN(DB78,FV($C$71,(DB4-OFFSET($D$4,0,1)),,XNPV($C$70,OFFSET($D$77,0,1):DB77,OFFSET($D$4,0,1):DB4)))*DB9</f>
        <v>0</v>
      </c>
      <c r="DC82" s="798">
        <f>MIN(DC78,FV($C$71,(DC4-OFFSET($D$4,0,1)),,XNPV($C$70,OFFSET($D$77,0,1):DC77,OFFSET($D$4,0,1):DC4)))*DC9</f>
        <v>0</v>
      </c>
      <c r="DD82" s="798">
        <f>MIN(DD78,FV($C$71,(DD4-OFFSET($D$4,0,1)),,XNPV($C$70,OFFSET($D$77,0,1):DD77,OFFSET($D$4,0,1):DD4)))*DD9</f>
        <v>0</v>
      </c>
      <c r="DE82" s="798">
        <f>MIN(DE78,FV($C$71,(DE4-OFFSET($D$4,0,1)),,XNPV($C$70,OFFSET($D$77,0,1):DE77,OFFSET($D$4,0,1):DE4)))*DE9</f>
        <v>0</v>
      </c>
      <c r="DF82" s="798">
        <f>MIN(DF78,FV($C$71,(DF4-OFFSET($D$4,0,1)),,XNPV($C$70,OFFSET($D$77,0,1):DF77,OFFSET($D$4,0,1):DF4)))*DF9</f>
        <v>0</v>
      </c>
      <c r="DG82" s="798">
        <f>MIN(DG78,FV($C$71,(DG4-OFFSET($D$4,0,1)),,XNPV($C$70,OFFSET($D$77,0,1):DG77,OFFSET($D$4,0,1):DG4)))*DG9</f>
        <v>0</v>
      </c>
      <c r="DH82" s="798">
        <f>MIN(DH78,FV($C$71,(DH4-OFFSET($D$4,0,1)),,XNPV($C$70,OFFSET($D$77,0,1):DH77,OFFSET($D$4,0,1):DH4)))*DH9</f>
        <v>0</v>
      </c>
      <c r="DI82" s="798">
        <f>MIN(DI78,FV($C$71,(DI4-OFFSET($D$4,0,1)),,XNPV($C$70,OFFSET($D$77,0,1):DI77,OFFSET($D$4,0,1):DI4)))*DI9</f>
        <v>0</v>
      </c>
      <c r="DJ82" s="798">
        <f>MIN(DJ78,FV($C$71,(DJ4-OFFSET($D$4,0,1)),,XNPV($C$70,OFFSET($D$77,0,1):DJ77,OFFSET($D$4,0,1):DJ4)))*DJ9</f>
        <v>0</v>
      </c>
      <c r="DK82" s="798">
        <f>MIN(DK78,FV($C$71,(DK4-OFFSET($D$4,0,1)),,XNPV($C$70,OFFSET($D$77,0,1):DK77,OFFSET($D$4,0,1):DK4)))*DK9</f>
        <v>0</v>
      </c>
      <c r="DL82" s="798">
        <f>MIN(DL78,FV($C$71,(DL4-OFFSET($D$4,0,1)),,XNPV($C$70,OFFSET($D$77,0,1):DL77,OFFSET($D$4,0,1):DL4)))*DL9</f>
        <v>0</v>
      </c>
      <c r="DM82" s="798">
        <f>MIN(DM78,FV($C$71,(DM4-OFFSET($D$4,0,1)),,XNPV($C$70,OFFSET($D$77,0,1):DM77,OFFSET($D$4,0,1):DM4)))*DM9</f>
        <v>0</v>
      </c>
      <c r="DN82" s="798">
        <f>MIN(DN78,FV($C$71,(DN4-OFFSET($D$4,0,1)),,XNPV($C$70,OFFSET($D$77,0,1):DN77,OFFSET($D$4,0,1):DN4)))*DN9</f>
        <v>0</v>
      </c>
      <c r="DO82" s="798">
        <f>MIN(DO78,FV($C$71,(DO4-OFFSET($D$4,0,1)),,XNPV($C$70,OFFSET($D$77,0,1):DO77,OFFSET($D$4,0,1):DO4)))*DO9</f>
        <v>0</v>
      </c>
      <c r="DP82" s="798">
        <f>MIN(DP78,FV($C$71,(DP4-OFFSET($D$4,0,1)),,XNPV($C$70,OFFSET($D$77,0,1):DP77,OFFSET($D$4,0,1):DP4)))*DP9</f>
        <v>0</v>
      </c>
      <c r="DQ82" s="798">
        <f>MIN(DQ78,FV($C$71,(DQ4-OFFSET($D$4,0,1)),,XNPV($C$70,OFFSET($D$77,0,1):DQ77,OFFSET($D$4,0,1):DQ4)))*DQ9</f>
        <v>0</v>
      </c>
      <c r="DR82" s="798">
        <f>MIN(DR78,FV($C$71,(DR4-OFFSET($D$4,0,1)),,XNPV($C$70,OFFSET($D$77,0,1):DR77,OFFSET($D$4,0,1):DR4)))*DR9</f>
        <v>0</v>
      </c>
      <c r="DS82" s="798">
        <f>MIN(DS78,FV($C$71,(DS4-OFFSET($D$4,0,1)),,XNPV($C$70,OFFSET($D$77,0,1):DS77,OFFSET($D$4,0,1):DS4)))*DS9</f>
        <v>0</v>
      </c>
      <c r="DT82" s="798">
        <f>MIN(DT78,FV($C$71,(DT4-OFFSET($D$4,0,1)),,XNPV($C$70,OFFSET($D$77,0,1):DT77,OFFSET($D$4,0,1):DT4)))*DT9</f>
        <v>0</v>
      </c>
      <c r="DU82" s="798">
        <f>MIN(DU78,FV($C$71,(DU4-OFFSET($D$4,0,1)),,XNPV($C$70,OFFSET($D$77,0,1):DU77,OFFSET($D$4,0,1):DU4)))*DU9</f>
        <v>0</v>
      </c>
      <c r="DV82" s="798">
        <f>MIN(DV78,FV($C$71,(DV4-OFFSET($D$4,0,1)),,XNPV($C$70,OFFSET($D$77,0,1):DV77,OFFSET($D$4,0,1):DV4)))*DV9</f>
        <v>0</v>
      </c>
      <c r="DW82" s="798">
        <f>MIN(DW78,FV($C$71,(DW4-OFFSET($D$4,0,1)),,XNPV($C$70,OFFSET($D$77,0,1):DW77,OFFSET($D$4,0,1):DW4)))*DW9</f>
        <v>0</v>
      </c>
      <c r="DX82" s="798">
        <f>MIN(DX78,FV($C$71,(DX4-OFFSET($D$4,0,1)),,XNPV($C$70,OFFSET($D$77,0,1):DX77,OFFSET($D$4,0,1):DX4)))*DX9</f>
        <v>0</v>
      </c>
      <c r="DY82" s="798">
        <f>MIN(DY78,FV($C$71,(DY4-OFFSET($D$4,0,1)),,XNPV($C$70,OFFSET($D$77,0,1):DY77,OFFSET($D$4,0,1):DY4)))*DY9</f>
        <v>0</v>
      </c>
      <c r="DZ82" s="798">
        <f>MIN(DZ78,FV($C$71,(DZ4-OFFSET($D$4,0,1)),,XNPV($C$70,OFFSET($D$77,0,1):DZ77,OFFSET($D$4,0,1):DZ4)))*DZ9</f>
        <v>0</v>
      </c>
      <c r="EA82" s="798">
        <f>MIN(EA78,FV($C$71,(EA4-OFFSET($D$4,0,1)),,XNPV($C$70,OFFSET($D$77,0,1):EA77,OFFSET($D$4,0,1):EA4)))*EA9</f>
        <v>0</v>
      </c>
      <c r="EB82" s="798">
        <f>MIN(EB78,FV($C$71,(EB4-OFFSET($D$4,0,1)),,XNPV($C$70,OFFSET($D$77,0,1):EB77,OFFSET($D$4,0,1):EB4)))*EB9</f>
        <v>0</v>
      </c>
      <c r="EC82" s="798">
        <f>MIN(EC78,FV($C$71,(EC4-OFFSET($D$4,0,1)),,XNPV($C$70,OFFSET($D$77,0,1):EC77,OFFSET($D$4,0,1):EC4)))*EC9</f>
        <v>0</v>
      </c>
      <c r="ED82" s="798">
        <f>MIN(ED78,FV($C$71,(ED4-OFFSET($D$4,0,1)),,XNPV($C$70,OFFSET($D$77,0,1):ED77,OFFSET($D$4,0,1):ED4)))*ED9</f>
        <v>0</v>
      </c>
      <c r="EE82" s="798">
        <f>MIN(EE78,FV($C$71,(EE4-OFFSET($D$4,0,1)),,XNPV($C$70,OFFSET($D$77,0,1):EE77,OFFSET($D$4,0,1):EE4)))*EE9</f>
        <v>0</v>
      </c>
      <c r="EF82" s="798">
        <f>MIN(EF78,FV($C$71,(EF4-OFFSET($D$4,0,1)),,XNPV($C$70,OFFSET($D$77,0,1):EF77,OFFSET($D$4,0,1):EF4)))*EF9</f>
        <v>0</v>
      </c>
      <c r="EG82" s="798">
        <f>MIN(EG78,FV($C$71,(EG4-OFFSET($D$4,0,1)),,XNPV($C$70,OFFSET($D$77,0,1):EG77,OFFSET($D$4,0,1):EG4)))*EG9</f>
        <v>0</v>
      </c>
      <c r="EH82" s="782"/>
    </row>
    <row r="83" spans="1:138" ht="12.75" customHeight="1" x14ac:dyDescent="0.3">
      <c r="A83" s="782"/>
      <c r="B83" s="782" t="s">
        <v>52</v>
      </c>
      <c r="C83" s="806">
        <f>+'Venture Assumptions'!F30</f>
        <v>0</v>
      </c>
      <c r="D83" s="782"/>
      <c r="E83" s="798">
        <f>$C$83/$C$82*E82</f>
        <v>0</v>
      </c>
      <c r="F83" s="798">
        <f t="shared" ref="F83:BQ83" si="73">$C$83/$C$82*F82</f>
        <v>0</v>
      </c>
      <c r="G83" s="798">
        <f t="shared" si="73"/>
        <v>0</v>
      </c>
      <c r="H83" s="798">
        <f t="shared" si="73"/>
        <v>0</v>
      </c>
      <c r="I83" s="798">
        <f t="shared" si="73"/>
        <v>0</v>
      </c>
      <c r="J83" s="798">
        <f t="shared" si="73"/>
        <v>0</v>
      </c>
      <c r="K83" s="798">
        <f t="shared" si="73"/>
        <v>0</v>
      </c>
      <c r="L83" s="798">
        <f t="shared" si="73"/>
        <v>0</v>
      </c>
      <c r="M83" s="798">
        <f t="shared" si="73"/>
        <v>0</v>
      </c>
      <c r="N83" s="798">
        <f t="shared" si="73"/>
        <v>0</v>
      </c>
      <c r="O83" s="798">
        <f t="shared" si="73"/>
        <v>0</v>
      </c>
      <c r="P83" s="798">
        <f t="shared" si="73"/>
        <v>0</v>
      </c>
      <c r="Q83" s="798">
        <f t="shared" si="73"/>
        <v>0</v>
      </c>
      <c r="R83" s="798">
        <f t="shared" si="73"/>
        <v>0</v>
      </c>
      <c r="S83" s="798">
        <f t="shared" si="73"/>
        <v>0</v>
      </c>
      <c r="T83" s="798">
        <f t="shared" si="73"/>
        <v>0</v>
      </c>
      <c r="U83" s="798">
        <f t="shared" si="73"/>
        <v>0</v>
      </c>
      <c r="V83" s="798">
        <f t="shared" si="73"/>
        <v>0</v>
      </c>
      <c r="W83" s="798">
        <f t="shared" si="73"/>
        <v>0</v>
      </c>
      <c r="X83" s="798">
        <f t="shared" si="73"/>
        <v>0</v>
      </c>
      <c r="Y83" s="798">
        <f t="shared" si="73"/>
        <v>0</v>
      </c>
      <c r="Z83" s="798">
        <f t="shared" si="73"/>
        <v>0</v>
      </c>
      <c r="AA83" s="798">
        <f t="shared" si="73"/>
        <v>0</v>
      </c>
      <c r="AB83" s="798">
        <f t="shared" si="73"/>
        <v>0</v>
      </c>
      <c r="AC83" s="798">
        <f t="shared" si="73"/>
        <v>0</v>
      </c>
      <c r="AD83" s="798">
        <f t="shared" si="73"/>
        <v>0</v>
      </c>
      <c r="AE83" s="798">
        <f t="shared" si="73"/>
        <v>0</v>
      </c>
      <c r="AF83" s="798">
        <f t="shared" si="73"/>
        <v>0</v>
      </c>
      <c r="AG83" s="798">
        <f t="shared" si="73"/>
        <v>0</v>
      </c>
      <c r="AH83" s="798">
        <f t="shared" si="73"/>
        <v>0</v>
      </c>
      <c r="AI83" s="798">
        <f t="shared" si="73"/>
        <v>0</v>
      </c>
      <c r="AJ83" s="798">
        <f t="shared" si="73"/>
        <v>0</v>
      </c>
      <c r="AK83" s="798">
        <f t="shared" si="73"/>
        <v>0</v>
      </c>
      <c r="AL83" s="798">
        <f t="shared" si="73"/>
        <v>0</v>
      </c>
      <c r="AM83" s="798">
        <f t="shared" si="73"/>
        <v>0</v>
      </c>
      <c r="AN83" s="798">
        <f t="shared" si="73"/>
        <v>0</v>
      </c>
      <c r="AO83" s="798">
        <f t="shared" si="73"/>
        <v>0</v>
      </c>
      <c r="AP83" s="798">
        <f t="shared" si="73"/>
        <v>0</v>
      </c>
      <c r="AQ83" s="798">
        <f t="shared" si="73"/>
        <v>0</v>
      </c>
      <c r="AR83" s="798">
        <f t="shared" si="73"/>
        <v>0</v>
      </c>
      <c r="AS83" s="798">
        <f t="shared" si="73"/>
        <v>0</v>
      </c>
      <c r="AT83" s="798">
        <f t="shared" si="73"/>
        <v>0</v>
      </c>
      <c r="AU83" s="798">
        <f t="shared" si="73"/>
        <v>0</v>
      </c>
      <c r="AV83" s="798">
        <f t="shared" si="73"/>
        <v>0</v>
      </c>
      <c r="AW83" s="798">
        <f t="shared" si="73"/>
        <v>0</v>
      </c>
      <c r="AX83" s="798">
        <f t="shared" si="73"/>
        <v>0</v>
      </c>
      <c r="AY83" s="798">
        <f t="shared" si="73"/>
        <v>0</v>
      </c>
      <c r="AZ83" s="798">
        <f t="shared" si="73"/>
        <v>0</v>
      </c>
      <c r="BA83" s="798">
        <f t="shared" si="73"/>
        <v>0</v>
      </c>
      <c r="BB83" s="798">
        <f t="shared" si="73"/>
        <v>0</v>
      </c>
      <c r="BC83" s="798">
        <f t="shared" si="73"/>
        <v>0</v>
      </c>
      <c r="BD83" s="798">
        <f t="shared" si="73"/>
        <v>0</v>
      </c>
      <c r="BE83" s="798">
        <f t="shared" si="73"/>
        <v>0</v>
      </c>
      <c r="BF83" s="798">
        <f t="shared" si="73"/>
        <v>0</v>
      </c>
      <c r="BG83" s="798">
        <f t="shared" si="73"/>
        <v>0</v>
      </c>
      <c r="BH83" s="798">
        <f t="shared" si="73"/>
        <v>0</v>
      </c>
      <c r="BI83" s="798">
        <f t="shared" si="73"/>
        <v>0</v>
      </c>
      <c r="BJ83" s="798">
        <f t="shared" si="73"/>
        <v>0</v>
      </c>
      <c r="BK83" s="798">
        <f t="shared" si="73"/>
        <v>0</v>
      </c>
      <c r="BL83" s="798">
        <f t="shared" si="73"/>
        <v>0</v>
      </c>
      <c r="BM83" s="798">
        <f t="shared" si="73"/>
        <v>0</v>
      </c>
      <c r="BN83" s="798">
        <f t="shared" si="73"/>
        <v>0</v>
      </c>
      <c r="BO83" s="798">
        <f t="shared" si="73"/>
        <v>0</v>
      </c>
      <c r="BP83" s="798">
        <f t="shared" si="73"/>
        <v>0</v>
      </c>
      <c r="BQ83" s="798">
        <f t="shared" si="73"/>
        <v>0</v>
      </c>
      <c r="BR83" s="798">
        <f t="shared" ref="BR83:EC83" si="74">$C$83/$C$82*BR82</f>
        <v>0</v>
      </c>
      <c r="BS83" s="798">
        <f t="shared" si="74"/>
        <v>0</v>
      </c>
      <c r="BT83" s="798">
        <f t="shared" si="74"/>
        <v>0</v>
      </c>
      <c r="BU83" s="798">
        <f t="shared" si="74"/>
        <v>0</v>
      </c>
      <c r="BV83" s="798">
        <f t="shared" si="74"/>
        <v>0</v>
      </c>
      <c r="BW83" s="798">
        <f t="shared" si="74"/>
        <v>0</v>
      </c>
      <c r="BX83" s="798">
        <f t="shared" si="74"/>
        <v>0</v>
      </c>
      <c r="BY83" s="798">
        <f t="shared" si="74"/>
        <v>0</v>
      </c>
      <c r="BZ83" s="798">
        <f t="shared" si="74"/>
        <v>0</v>
      </c>
      <c r="CA83" s="798">
        <f t="shared" si="74"/>
        <v>0</v>
      </c>
      <c r="CB83" s="798">
        <f t="shared" si="74"/>
        <v>0</v>
      </c>
      <c r="CC83" s="798">
        <f t="shared" si="74"/>
        <v>0</v>
      </c>
      <c r="CD83" s="798">
        <f t="shared" si="74"/>
        <v>0</v>
      </c>
      <c r="CE83" s="798">
        <f t="shared" si="74"/>
        <v>0</v>
      </c>
      <c r="CF83" s="798">
        <f t="shared" si="74"/>
        <v>0</v>
      </c>
      <c r="CG83" s="798">
        <f t="shared" si="74"/>
        <v>0</v>
      </c>
      <c r="CH83" s="798">
        <f t="shared" si="74"/>
        <v>0</v>
      </c>
      <c r="CI83" s="798">
        <f t="shared" si="74"/>
        <v>0</v>
      </c>
      <c r="CJ83" s="798">
        <f t="shared" si="74"/>
        <v>0</v>
      </c>
      <c r="CK83" s="798">
        <f t="shared" si="74"/>
        <v>0</v>
      </c>
      <c r="CL83" s="798">
        <f t="shared" si="74"/>
        <v>0</v>
      </c>
      <c r="CM83" s="798">
        <f t="shared" si="74"/>
        <v>0</v>
      </c>
      <c r="CN83" s="798">
        <f t="shared" si="74"/>
        <v>0</v>
      </c>
      <c r="CO83" s="798">
        <f t="shared" si="74"/>
        <v>0</v>
      </c>
      <c r="CP83" s="798">
        <f t="shared" si="74"/>
        <v>0</v>
      </c>
      <c r="CQ83" s="798">
        <f t="shared" si="74"/>
        <v>0</v>
      </c>
      <c r="CR83" s="798">
        <f t="shared" si="74"/>
        <v>0</v>
      </c>
      <c r="CS83" s="798">
        <f t="shared" si="74"/>
        <v>0</v>
      </c>
      <c r="CT83" s="798">
        <f t="shared" si="74"/>
        <v>0</v>
      </c>
      <c r="CU83" s="798">
        <f t="shared" si="74"/>
        <v>0</v>
      </c>
      <c r="CV83" s="798">
        <f t="shared" si="74"/>
        <v>0</v>
      </c>
      <c r="CW83" s="798">
        <f t="shared" si="74"/>
        <v>0</v>
      </c>
      <c r="CX83" s="798">
        <f t="shared" si="74"/>
        <v>0</v>
      </c>
      <c r="CY83" s="798">
        <f t="shared" si="74"/>
        <v>0</v>
      </c>
      <c r="CZ83" s="798">
        <f t="shared" si="74"/>
        <v>0</v>
      </c>
      <c r="DA83" s="798">
        <f t="shared" si="74"/>
        <v>0</v>
      </c>
      <c r="DB83" s="798">
        <f t="shared" si="74"/>
        <v>0</v>
      </c>
      <c r="DC83" s="798">
        <f t="shared" si="74"/>
        <v>0</v>
      </c>
      <c r="DD83" s="798">
        <f t="shared" si="74"/>
        <v>0</v>
      </c>
      <c r="DE83" s="798">
        <f t="shared" si="74"/>
        <v>0</v>
      </c>
      <c r="DF83" s="798">
        <f t="shared" si="74"/>
        <v>0</v>
      </c>
      <c r="DG83" s="798">
        <f t="shared" si="74"/>
        <v>0</v>
      </c>
      <c r="DH83" s="798">
        <f t="shared" si="74"/>
        <v>0</v>
      </c>
      <c r="DI83" s="798">
        <f t="shared" si="74"/>
        <v>0</v>
      </c>
      <c r="DJ83" s="798">
        <f t="shared" si="74"/>
        <v>0</v>
      </c>
      <c r="DK83" s="798">
        <f t="shared" si="74"/>
        <v>0</v>
      </c>
      <c r="DL83" s="798">
        <f t="shared" si="74"/>
        <v>0</v>
      </c>
      <c r="DM83" s="798">
        <f t="shared" si="74"/>
        <v>0</v>
      </c>
      <c r="DN83" s="798">
        <f t="shared" si="74"/>
        <v>0</v>
      </c>
      <c r="DO83" s="798">
        <f t="shared" si="74"/>
        <v>0</v>
      </c>
      <c r="DP83" s="798">
        <f t="shared" si="74"/>
        <v>0</v>
      </c>
      <c r="DQ83" s="798">
        <f t="shared" si="74"/>
        <v>0</v>
      </c>
      <c r="DR83" s="798">
        <f t="shared" si="74"/>
        <v>0</v>
      </c>
      <c r="DS83" s="798">
        <f t="shared" si="74"/>
        <v>0</v>
      </c>
      <c r="DT83" s="798">
        <f t="shared" si="74"/>
        <v>0</v>
      </c>
      <c r="DU83" s="798">
        <f t="shared" si="74"/>
        <v>0</v>
      </c>
      <c r="DV83" s="798">
        <f t="shared" si="74"/>
        <v>0</v>
      </c>
      <c r="DW83" s="798">
        <f t="shared" si="74"/>
        <v>0</v>
      </c>
      <c r="DX83" s="798">
        <f t="shared" si="74"/>
        <v>0</v>
      </c>
      <c r="DY83" s="798">
        <f t="shared" si="74"/>
        <v>0</v>
      </c>
      <c r="DZ83" s="798">
        <f t="shared" si="74"/>
        <v>0</v>
      </c>
      <c r="EA83" s="798">
        <f t="shared" si="74"/>
        <v>0</v>
      </c>
      <c r="EB83" s="798">
        <f t="shared" si="74"/>
        <v>0</v>
      </c>
      <c r="EC83" s="798">
        <f t="shared" si="74"/>
        <v>0</v>
      </c>
      <c r="ED83" s="798">
        <f>$C$83/$C$82*ED82</f>
        <v>0</v>
      </c>
      <c r="EE83" s="798">
        <f>$C$83/$C$82*EE82</f>
        <v>0</v>
      </c>
      <c r="EF83" s="798">
        <f>$C$83/$C$82*EF82</f>
        <v>0</v>
      </c>
      <c r="EG83" s="798">
        <f>$C$83/$C$82*EG82</f>
        <v>0</v>
      </c>
      <c r="EH83" s="782"/>
    </row>
    <row r="84" spans="1:138" ht="12.75" customHeight="1" x14ac:dyDescent="0.3">
      <c r="A84" s="782"/>
      <c r="B84" s="782"/>
      <c r="C84" s="782"/>
      <c r="D84" s="782"/>
      <c r="E84" s="782"/>
      <c r="F84" s="782"/>
      <c r="G84" s="782"/>
      <c r="H84" s="782"/>
      <c r="I84" s="782"/>
      <c r="J84" s="782"/>
      <c r="K84" s="782"/>
      <c r="L84" s="782"/>
      <c r="M84" s="782"/>
      <c r="N84" s="782"/>
      <c r="O84" s="782"/>
      <c r="P84" s="782"/>
      <c r="Q84" s="782"/>
      <c r="R84" s="782"/>
      <c r="S84" s="782"/>
      <c r="T84" s="782"/>
      <c r="U84" s="782"/>
      <c r="V84" s="782"/>
      <c r="W84" s="782"/>
      <c r="X84" s="782"/>
      <c r="Y84" s="782"/>
      <c r="Z84" s="782"/>
      <c r="AA84" s="782"/>
      <c r="AB84" s="782"/>
      <c r="AC84" s="782"/>
      <c r="AD84" s="782"/>
      <c r="AE84" s="782"/>
      <c r="AF84" s="782"/>
      <c r="AG84" s="782"/>
      <c r="AH84" s="782"/>
      <c r="AI84" s="782"/>
      <c r="AJ84" s="782"/>
      <c r="AK84" s="782"/>
      <c r="AL84" s="782"/>
      <c r="AM84" s="782"/>
      <c r="AN84" s="782"/>
      <c r="AO84" s="782"/>
      <c r="AP84" s="782"/>
      <c r="AQ84" s="782"/>
      <c r="AR84" s="782"/>
      <c r="AS84" s="782"/>
      <c r="AT84" s="782"/>
      <c r="AU84" s="782"/>
      <c r="AV84" s="782"/>
      <c r="AW84" s="782"/>
      <c r="AX84" s="782"/>
      <c r="AY84" s="782"/>
      <c r="AZ84" s="782"/>
      <c r="BA84" s="782"/>
      <c r="BB84" s="782"/>
      <c r="BC84" s="782"/>
      <c r="BD84" s="782"/>
      <c r="BE84" s="782"/>
      <c r="BF84" s="782"/>
      <c r="BG84" s="782"/>
      <c r="BH84" s="782"/>
      <c r="BI84" s="782"/>
      <c r="BJ84" s="782"/>
      <c r="BK84" s="782"/>
      <c r="BL84" s="782"/>
      <c r="BM84" s="782"/>
      <c r="BN84" s="782"/>
      <c r="BO84" s="782"/>
      <c r="BP84" s="782"/>
      <c r="BQ84" s="782"/>
      <c r="BR84" s="782"/>
      <c r="BS84" s="782"/>
      <c r="BT84" s="782"/>
      <c r="BU84" s="782"/>
      <c r="BV84" s="782"/>
      <c r="BW84" s="782"/>
      <c r="BX84" s="782"/>
      <c r="BY84" s="782"/>
      <c r="BZ84" s="782"/>
      <c r="CA84" s="782"/>
      <c r="CB84" s="782"/>
      <c r="CC84" s="782"/>
      <c r="CD84" s="782"/>
      <c r="CE84" s="782"/>
      <c r="CF84" s="782"/>
      <c r="CG84" s="782"/>
      <c r="CH84" s="782"/>
      <c r="CI84" s="782"/>
      <c r="CJ84" s="782"/>
      <c r="CK84" s="782"/>
      <c r="CL84" s="782"/>
      <c r="CM84" s="782"/>
      <c r="CN84" s="782"/>
      <c r="CO84" s="782"/>
      <c r="CP84" s="782"/>
      <c r="CQ84" s="782"/>
      <c r="CR84" s="782"/>
      <c r="CS84" s="782"/>
      <c r="CT84" s="782"/>
      <c r="CU84" s="782"/>
      <c r="CV84" s="782"/>
      <c r="CW84" s="782"/>
      <c r="CX84" s="782"/>
      <c r="CY84" s="782"/>
      <c r="CZ84" s="782"/>
      <c r="DA84" s="782"/>
      <c r="DB84" s="782"/>
      <c r="DC84" s="782"/>
      <c r="DD84" s="782"/>
      <c r="DE84" s="782"/>
      <c r="DF84" s="782"/>
      <c r="DG84" s="782"/>
      <c r="DH84" s="782"/>
      <c r="DI84" s="782"/>
      <c r="DJ84" s="782"/>
      <c r="DK84" s="782"/>
      <c r="DL84" s="782"/>
      <c r="DM84" s="782"/>
      <c r="DN84" s="782"/>
      <c r="DO84" s="782"/>
      <c r="DP84" s="782"/>
      <c r="DQ84" s="782"/>
      <c r="DR84" s="782"/>
      <c r="DS84" s="782"/>
      <c r="DT84" s="782"/>
      <c r="DU84" s="782"/>
      <c r="DV84" s="782"/>
      <c r="DW84" s="782"/>
      <c r="DX84" s="782"/>
      <c r="DY84" s="782"/>
      <c r="DZ84" s="782"/>
      <c r="EA84" s="782"/>
      <c r="EB84" s="782"/>
      <c r="EC84" s="782"/>
      <c r="ED84" s="782"/>
      <c r="EE84" s="782"/>
      <c r="EF84" s="782"/>
      <c r="EG84" s="782"/>
      <c r="EH84" s="782"/>
    </row>
    <row r="85" spans="1:138" ht="12.75" customHeight="1" x14ac:dyDescent="0.3">
      <c r="A85" s="782"/>
      <c r="B85" s="782" t="s">
        <v>324</v>
      </c>
      <c r="C85" s="798">
        <f>SUM(E85:EG85)</f>
        <v>8788631.6380422413</v>
      </c>
      <c r="D85" s="782"/>
      <c r="E85" s="798">
        <f>E77+E82</f>
        <v>-1943435.5218400576</v>
      </c>
      <c r="F85" s="798">
        <f t="shared" ref="F85:BQ85" si="75">F77+F82</f>
        <v>-15208647.652673729</v>
      </c>
      <c r="G85" s="798">
        <f t="shared" si="75"/>
        <v>-491498.0015560445</v>
      </c>
      <c r="H85" s="798">
        <f t="shared" si="75"/>
        <v>-739130.23477478127</v>
      </c>
      <c r="I85" s="798">
        <f t="shared" si="75"/>
        <v>-1245669.8451237862</v>
      </c>
      <c r="J85" s="798">
        <f t="shared" si="75"/>
        <v>-2024138.5150061427</v>
      </c>
      <c r="K85" s="798">
        <f t="shared" si="75"/>
        <v>-2083605.0857725968</v>
      </c>
      <c r="L85" s="798">
        <f t="shared" si="75"/>
        <v>-2651537.8825037964</v>
      </c>
      <c r="M85" s="798">
        <f t="shared" si="75"/>
        <v>-3143136.2409976111</v>
      </c>
      <c r="N85" s="798">
        <f t="shared" si="75"/>
        <v>-3677476.1526163789</v>
      </c>
      <c r="O85" s="798">
        <f t="shared" si="75"/>
        <v>-2096036.1763591815</v>
      </c>
      <c r="P85" s="798">
        <f t="shared" si="75"/>
        <v>-20243.44524311414</v>
      </c>
      <c r="Q85" s="798">
        <f t="shared" si="75"/>
        <v>-21536.504033744335</v>
      </c>
      <c r="R85" s="798">
        <f t="shared" si="75"/>
        <v>-22846.387199595105</v>
      </c>
      <c r="S85" s="798">
        <f t="shared" si="75"/>
        <v>-24169.24296368286</v>
      </c>
      <c r="T85" s="798">
        <f t="shared" si="75"/>
        <v>-25405.192141294479</v>
      </c>
      <c r="U85" s="798">
        <f t="shared" si="75"/>
        <v>-26605.498258502688</v>
      </c>
      <c r="V85" s="798">
        <f t="shared" si="75"/>
        <v>-27716.271931473166</v>
      </c>
      <c r="W85" s="798">
        <f t="shared" si="75"/>
        <v>-28714.745112786535</v>
      </c>
      <c r="X85" s="798">
        <f t="shared" si="75"/>
        <v>-29708.008202723693</v>
      </c>
      <c r="Y85" s="798">
        <f t="shared" si="75"/>
        <v>-30619.505737842992</v>
      </c>
      <c r="Z85" s="798">
        <f t="shared" si="75"/>
        <v>-31386.510991997784</v>
      </c>
      <c r="AA85" s="798">
        <f t="shared" si="75"/>
        <v>-32040.043232684024</v>
      </c>
      <c r="AB85" s="798">
        <f t="shared" si="75"/>
        <v>-32583.318851409364</v>
      </c>
      <c r="AC85" s="798">
        <f t="shared" si="75"/>
        <v>11164.455298793153</v>
      </c>
      <c r="AD85" s="798">
        <f t="shared" si="75"/>
        <v>51087.02880827192</v>
      </c>
      <c r="AE85" s="798">
        <f t="shared" si="75"/>
        <v>96690.409152741282</v>
      </c>
      <c r="AF85" s="798">
        <f t="shared" si="75"/>
        <v>186128.38333325498</v>
      </c>
      <c r="AG85" s="798">
        <f t="shared" si="75"/>
        <v>189774.72498510519</v>
      </c>
      <c r="AH85" s="798">
        <f t="shared" si="75"/>
        <v>191077.87392284846</v>
      </c>
      <c r="AI85" s="798">
        <f t="shared" si="75"/>
        <v>424631.52148606483</v>
      </c>
      <c r="AJ85" s="798">
        <f t="shared" si="75"/>
        <v>427220.46900700842</v>
      </c>
      <c r="AK85" s="798">
        <f t="shared" si="75"/>
        <v>42868742.755173102</v>
      </c>
      <c r="AL85" s="798">
        <f t="shared" si="75"/>
        <v>0</v>
      </c>
      <c r="AM85" s="798">
        <f t="shared" si="75"/>
        <v>0</v>
      </c>
      <c r="AN85" s="798">
        <f t="shared" si="75"/>
        <v>0</v>
      </c>
      <c r="AO85" s="798">
        <f t="shared" si="75"/>
        <v>0</v>
      </c>
      <c r="AP85" s="798">
        <f t="shared" si="75"/>
        <v>0</v>
      </c>
      <c r="AQ85" s="798">
        <f t="shared" si="75"/>
        <v>0</v>
      </c>
      <c r="AR85" s="798">
        <f t="shared" si="75"/>
        <v>0</v>
      </c>
      <c r="AS85" s="798">
        <f t="shared" si="75"/>
        <v>0</v>
      </c>
      <c r="AT85" s="798">
        <f t="shared" si="75"/>
        <v>0</v>
      </c>
      <c r="AU85" s="798">
        <f t="shared" si="75"/>
        <v>0</v>
      </c>
      <c r="AV85" s="798">
        <f t="shared" si="75"/>
        <v>0</v>
      </c>
      <c r="AW85" s="798">
        <f t="shared" si="75"/>
        <v>0</v>
      </c>
      <c r="AX85" s="798">
        <f t="shared" si="75"/>
        <v>0</v>
      </c>
      <c r="AY85" s="798">
        <f t="shared" si="75"/>
        <v>0</v>
      </c>
      <c r="AZ85" s="798">
        <f t="shared" si="75"/>
        <v>0</v>
      </c>
      <c r="BA85" s="798">
        <f t="shared" si="75"/>
        <v>0</v>
      </c>
      <c r="BB85" s="798">
        <f t="shared" si="75"/>
        <v>0</v>
      </c>
      <c r="BC85" s="798">
        <f t="shared" si="75"/>
        <v>0</v>
      </c>
      <c r="BD85" s="798">
        <f t="shared" si="75"/>
        <v>0</v>
      </c>
      <c r="BE85" s="798">
        <f t="shared" si="75"/>
        <v>0</v>
      </c>
      <c r="BF85" s="798">
        <f t="shared" si="75"/>
        <v>0</v>
      </c>
      <c r="BG85" s="798">
        <f t="shared" si="75"/>
        <v>0</v>
      </c>
      <c r="BH85" s="798">
        <f t="shared" si="75"/>
        <v>0</v>
      </c>
      <c r="BI85" s="798">
        <f t="shared" si="75"/>
        <v>0</v>
      </c>
      <c r="BJ85" s="798">
        <f t="shared" si="75"/>
        <v>0</v>
      </c>
      <c r="BK85" s="798">
        <f t="shared" si="75"/>
        <v>0</v>
      </c>
      <c r="BL85" s="798">
        <f t="shared" si="75"/>
        <v>0</v>
      </c>
      <c r="BM85" s="798">
        <f t="shared" si="75"/>
        <v>0</v>
      </c>
      <c r="BN85" s="798">
        <f t="shared" si="75"/>
        <v>0</v>
      </c>
      <c r="BO85" s="798">
        <f t="shared" si="75"/>
        <v>0</v>
      </c>
      <c r="BP85" s="798">
        <f t="shared" si="75"/>
        <v>0</v>
      </c>
      <c r="BQ85" s="798">
        <f t="shared" si="75"/>
        <v>0</v>
      </c>
      <c r="BR85" s="798">
        <f t="shared" ref="BR85:EC85" si="76">BR77+BR82</f>
        <v>0</v>
      </c>
      <c r="BS85" s="798">
        <f t="shared" si="76"/>
        <v>0</v>
      </c>
      <c r="BT85" s="798">
        <f t="shared" si="76"/>
        <v>0</v>
      </c>
      <c r="BU85" s="798">
        <f t="shared" si="76"/>
        <v>0</v>
      </c>
      <c r="BV85" s="798">
        <f t="shared" si="76"/>
        <v>0</v>
      </c>
      <c r="BW85" s="798">
        <f t="shared" si="76"/>
        <v>0</v>
      </c>
      <c r="BX85" s="798">
        <f t="shared" si="76"/>
        <v>0</v>
      </c>
      <c r="BY85" s="798">
        <f t="shared" si="76"/>
        <v>0</v>
      </c>
      <c r="BZ85" s="798">
        <f t="shared" si="76"/>
        <v>0</v>
      </c>
      <c r="CA85" s="798">
        <f t="shared" si="76"/>
        <v>0</v>
      </c>
      <c r="CB85" s="798">
        <f t="shared" si="76"/>
        <v>0</v>
      </c>
      <c r="CC85" s="798">
        <f t="shared" si="76"/>
        <v>0</v>
      </c>
      <c r="CD85" s="798">
        <f t="shared" si="76"/>
        <v>0</v>
      </c>
      <c r="CE85" s="798">
        <f t="shared" si="76"/>
        <v>0</v>
      </c>
      <c r="CF85" s="798">
        <f t="shared" si="76"/>
        <v>0</v>
      </c>
      <c r="CG85" s="798">
        <f t="shared" si="76"/>
        <v>0</v>
      </c>
      <c r="CH85" s="798">
        <f t="shared" si="76"/>
        <v>0</v>
      </c>
      <c r="CI85" s="798">
        <f t="shared" si="76"/>
        <v>0</v>
      </c>
      <c r="CJ85" s="798">
        <f t="shared" si="76"/>
        <v>0</v>
      </c>
      <c r="CK85" s="798">
        <f t="shared" si="76"/>
        <v>0</v>
      </c>
      <c r="CL85" s="798">
        <f t="shared" si="76"/>
        <v>0</v>
      </c>
      <c r="CM85" s="798">
        <f t="shared" si="76"/>
        <v>0</v>
      </c>
      <c r="CN85" s="798">
        <f t="shared" si="76"/>
        <v>0</v>
      </c>
      <c r="CO85" s="798">
        <f t="shared" si="76"/>
        <v>0</v>
      </c>
      <c r="CP85" s="798">
        <f t="shared" si="76"/>
        <v>0</v>
      </c>
      <c r="CQ85" s="798">
        <f t="shared" si="76"/>
        <v>0</v>
      </c>
      <c r="CR85" s="798">
        <f t="shared" si="76"/>
        <v>0</v>
      </c>
      <c r="CS85" s="798">
        <f t="shared" si="76"/>
        <v>0</v>
      </c>
      <c r="CT85" s="798">
        <f t="shared" si="76"/>
        <v>0</v>
      </c>
      <c r="CU85" s="798">
        <f t="shared" si="76"/>
        <v>0</v>
      </c>
      <c r="CV85" s="798">
        <f t="shared" si="76"/>
        <v>0</v>
      </c>
      <c r="CW85" s="798">
        <f t="shared" si="76"/>
        <v>0</v>
      </c>
      <c r="CX85" s="798">
        <f t="shared" si="76"/>
        <v>0</v>
      </c>
      <c r="CY85" s="798">
        <f t="shared" si="76"/>
        <v>0</v>
      </c>
      <c r="CZ85" s="798">
        <f t="shared" si="76"/>
        <v>0</v>
      </c>
      <c r="DA85" s="798">
        <f t="shared" si="76"/>
        <v>0</v>
      </c>
      <c r="DB85" s="798">
        <f t="shared" si="76"/>
        <v>0</v>
      </c>
      <c r="DC85" s="798">
        <f t="shared" si="76"/>
        <v>0</v>
      </c>
      <c r="DD85" s="798">
        <f t="shared" si="76"/>
        <v>0</v>
      </c>
      <c r="DE85" s="798">
        <f t="shared" si="76"/>
        <v>0</v>
      </c>
      <c r="DF85" s="798">
        <f t="shared" si="76"/>
        <v>0</v>
      </c>
      <c r="DG85" s="798">
        <f t="shared" si="76"/>
        <v>0</v>
      </c>
      <c r="DH85" s="798">
        <f t="shared" si="76"/>
        <v>0</v>
      </c>
      <c r="DI85" s="798">
        <f t="shared" si="76"/>
        <v>0</v>
      </c>
      <c r="DJ85" s="798">
        <f t="shared" si="76"/>
        <v>0</v>
      </c>
      <c r="DK85" s="798">
        <f t="shared" si="76"/>
        <v>0</v>
      </c>
      <c r="DL85" s="798">
        <f t="shared" si="76"/>
        <v>0</v>
      </c>
      <c r="DM85" s="798">
        <f t="shared" si="76"/>
        <v>0</v>
      </c>
      <c r="DN85" s="798">
        <f t="shared" si="76"/>
        <v>0</v>
      </c>
      <c r="DO85" s="798">
        <f t="shared" si="76"/>
        <v>0</v>
      </c>
      <c r="DP85" s="798">
        <f t="shared" si="76"/>
        <v>0</v>
      </c>
      <c r="DQ85" s="798">
        <f t="shared" si="76"/>
        <v>0</v>
      </c>
      <c r="DR85" s="798">
        <f t="shared" si="76"/>
        <v>0</v>
      </c>
      <c r="DS85" s="798">
        <f t="shared" si="76"/>
        <v>0</v>
      </c>
      <c r="DT85" s="798">
        <f t="shared" si="76"/>
        <v>0</v>
      </c>
      <c r="DU85" s="798">
        <f t="shared" si="76"/>
        <v>0</v>
      </c>
      <c r="DV85" s="798">
        <f t="shared" si="76"/>
        <v>0</v>
      </c>
      <c r="DW85" s="798">
        <f t="shared" si="76"/>
        <v>0</v>
      </c>
      <c r="DX85" s="798">
        <f t="shared" si="76"/>
        <v>0</v>
      </c>
      <c r="DY85" s="798">
        <f t="shared" si="76"/>
        <v>0</v>
      </c>
      <c r="DZ85" s="798">
        <f t="shared" si="76"/>
        <v>0</v>
      </c>
      <c r="EA85" s="798">
        <f t="shared" si="76"/>
        <v>0</v>
      </c>
      <c r="EB85" s="798">
        <f t="shared" si="76"/>
        <v>0</v>
      </c>
      <c r="EC85" s="798">
        <f t="shared" si="76"/>
        <v>0</v>
      </c>
      <c r="ED85" s="798">
        <f>ED77+ED82</f>
        <v>0</v>
      </c>
      <c r="EE85" s="798">
        <f>EE77+EE82</f>
        <v>0</v>
      </c>
      <c r="EF85" s="798">
        <f>EF77+EF82</f>
        <v>0</v>
      </c>
      <c r="EG85" s="798">
        <f>EG77+EG82</f>
        <v>0</v>
      </c>
      <c r="EH85" s="782"/>
    </row>
    <row r="86" spans="1:138" ht="12.75" customHeight="1" x14ac:dyDescent="0.3">
      <c r="A86" s="782"/>
      <c r="B86" s="782" t="s">
        <v>54</v>
      </c>
      <c r="C86" s="806">
        <f>XIRR(OFFSET(E85,0,$C$141):EG85,OFFSET($E$4,0,$C$141):$EG$4)</f>
        <v>0.10000000596046449</v>
      </c>
      <c r="D86" s="782"/>
      <c r="E86" s="782"/>
      <c r="F86" s="782"/>
      <c r="G86" s="782"/>
      <c r="H86" s="782"/>
      <c r="I86" s="782"/>
      <c r="J86" s="782"/>
      <c r="K86" s="782"/>
      <c r="L86" s="782"/>
      <c r="M86" s="782"/>
      <c r="N86" s="782"/>
      <c r="O86" s="782"/>
      <c r="P86" s="782"/>
      <c r="Q86" s="782"/>
      <c r="R86" s="782"/>
      <c r="S86" s="782"/>
      <c r="T86" s="782"/>
      <c r="U86" s="782"/>
      <c r="V86" s="782"/>
      <c r="W86" s="782"/>
      <c r="X86" s="782"/>
      <c r="Y86" s="782"/>
      <c r="Z86" s="782"/>
      <c r="AA86" s="782"/>
      <c r="AB86" s="782"/>
      <c r="AC86" s="782"/>
      <c r="AD86" s="782"/>
      <c r="AE86" s="782"/>
      <c r="AF86" s="782"/>
      <c r="AG86" s="782"/>
      <c r="AH86" s="782"/>
      <c r="AI86" s="782"/>
      <c r="AJ86" s="782"/>
      <c r="AK86" s="782"/>
      <c r="AL86" s="782"/>
      <c r="AM86" s="782"/>
      <c r="AN86" s="782"/>
      <c r="AO86" s="782"/>
      <c r="AP86" s="782"/>
      <c r="AQ86" s="782"/>
      <c r="AR86" s="782"/>
      <c r="AS86" s="782"/>
      <c r="AT86" s="782"/>
      <c r="AU86" s="782"/>
      <c r="AV86" s="782"/>
      <c r="AW86" s="782"/>
      <c r="AX86" s="782"/>
      <c r="AY86" s="782"/>
      <c r="AZ86" s="782"/>
      <c r="BA86" s="782"/>
      <c r="BB86" s="782"/>
      <c r="BC86" s="782"/>
      <c r="BD86" s="782"/>
      <c r="BE86" s="782"/>
      <c r="BF86" s="782"/>
      <c r="BG86" s="782"/>
      <c r="BH86" s="782"/>
      <c r="BI86" s="782"/>
      <c r="BJ86" s="782"/>
      <c r="BK86" s="782"/>
      <c r="BL86" s="782"/>
      <c r="BM86" s="782"/>
      <c r="BN86" s="782"/>
      <c r="BO86" s="782"/>
      <c r="BP86" s="782"/>
      <c r="BQ86" s="782"/>
      <c r="BR86" s="782"/>
      <c r="BS86" s="782"/>
      <c r="BT86" s="782"/>
      <c r="BU86" s="782"/>
      <c r="BV86" s="782"/>
      <c r="BW86" s="782"/>
      <c r="BX86" s="782"/>
      <c r="BY86" s="782"/>
      <c r="BZ86" s="782"/>
      <c r="CA86" s="782"/>
      <c r="CB86" s="782"/>
      <c r="CC86" s="782"/>
      <c r="CD86" s="782"/>
      <c r="CE86" s="782"/>
      <c r="CF86" s="782"/>
      <c r="CG86" s="782"/>
      <c r="CH86" s="782"/>
      <c r="CI86" s="782"/>
      <c r="CJ86" s="782"/>
      <c r="CK86" s="782"/>
      <c r="CL86" s="782"/>
      <c r="CM86" s="782"/>
      <c r="CN86" s="782"/>
      <c r="CO86" s="782"/>
      <c r="CP86" s="782"/>
      <c r="CQ86" s="782"/>
      <c r="CR86" s="782"/>
      <c r="CS86" s="782"/>
      <c r="CT86" s="782"/>
      <c r="CU86" s="782"/>
      <c r="CV86" s="782"/>
      <c r="CW86" s="782"/>
      <c r="CX86" s="782"/>
      <c r="CY86" s="782"/>
      <c r="CZ86" s="782"/>
      <c r="DA86" s="782"/>
      <c r="DB86" s="782"/>
      <c r="DC86" s="782"/>
      <c r="DD86" s="782"/>
      <c r="DE86" s="782"/>
      <c r="DF86" s="782"/>
      <c r="DG86" s="782"/>
      <c r="DH86" s="782"/>
      <c r="DI86" s="782"/>
      <c r="DJ86" s="782"/>
      <c r="DK86" s="782"/>
      <c r="DL86" s="782"/>
      <c r="DM86" s="782"/>
      <c r="DN86" s="782"/>
      <c r="DO86" s="782"/>
      <c r="DP86" s="782"/>
      <c r="DQ86" s="782"/>
      <c r="DR86" s="782"/>
      <c r="DS86" s="782"/>
      <c r="DT86" s="782"/>
      <c r="DU86" s="782"/>
      <c r="DV86" s="782"/>
      <c r="DW86" s="782"/>
      <c r="DX86" s="782"/>
      <c r="DY86" s="782"/>
      <c r="DZ86" s="782"/>
      <c r="EA86" s="782"/>
      <c r="EB86" s="782"/>
      <c r="EC86" s="782"/>
      <c r="ED86" s="782"/>
      <c r="EE86" s="782"/>
      <c r="EF86" s="782"/>
      <c r="EG86" s="782"/>
      <c r="EH86" s="782"/>
    </row>
    <row r="87" spans="1:138" ht="12.75" customHeight="1" x14ac:dyDescent="0.3">
      <c r="A87" s="782"/>
      <c r="B87" s="782"/>
      <c r="C87" s="782"/>
      <c r="D87" s="782"/>
      <c r="E87" s="782"/>
      <c r="F87" s="782"/>
      <c r="G87" s="782"/>
      <c r="H87" s="782"/>
      <c r="I87" s="782"/>
      <c r="J87" s="782"/>
      <c r="K87" s="782"/>
      <c r="L87" s="782"/>
      <c r="M87" s="782"/>
      <c r="N87" s="782"/>
      <c r="O87" s="782"/>
      <c r="P87" s="782"/>
      <c r="Q87" s="782"/>
      <c r="R87" s="782"/>
      <c r="S87" s="782"/>
      <c r="T87" s="782"/>
      <c r="U87" s="782"/>
      <c r="V87" s="782"/>
      <c r="W87" s="782"/>
      <c r="X87" s="782"/>
      <c r="Y87" s="782"/>
      <c r="Z87" s="782"/>
      <c r="AA87" s="782"/>
      <c r="AB87" s="782"/>
      <c r="AC87" s="782"/>
      <c r="AD87" s="782"/>
      <c r="AE87" s="782"/>
      <c r="AF87" s="782"/>
      <c r="AG87" s="782"/>
      <c r="AH87" s="782"/>
      <c r="AI87" s="782"/>
      <c r="AJ87" s="782"/>
      <c r="AK87" s="782"/>
      <c r="AL87" s="782"/>
      <c r="AM87" s="782"/>
      <c r="AN87" s="782"/>
      <c r="AO87" s="782"/>
      <c r="AP87" s="782"/>
      <c r="AQ87" s="782"/>
      <c r="AR87" s="782"/>
      <c r="AS87" s="782"/>
      <c r="AT87" s="782"/>
      <c r="AU87" s="782"/>
      <c r="AV87" s="782"/>
      <c r="AW87" s="782"/>
      <c r="AX87" s="782"/>
      <c r="AY87" s="782"/>
      <c r="AZ87" s="782"/>
      <c r="BA87" s="782"/>
      <c r="BB87" s="782"/>
      <c r="BC87" s="782"/>
      <c r="BD87" s="782"/>
      <c r="BE87" s="782"/>
      <c r="BF87" s="782"/>
      <c r="BG87" s="782"/>
      <c r="BH87" s="782"/>
      <c r="BI87" s="782"/>
      <c r="BJ87" s="782"/>
      <c r="BK87" s="782"/>
      <c r="BL87" s="782"/>
      <c r="BM87" s="782"/>
      <c r="BN87" s="782"/>
      <c r="BO87" s="782"/>
      <c r="BP87" s="782"/>
      <c r="BQ87" s="782"/>
      <c r="BR87" s="782"/>
      <c r="BS87" s="782"/>
      <c r="BT87" s="782"/>
      <c r="BU87" s="782"/>
      <c r="BV87" s="782"/>
      <c r="BW87" s="782"/>
      <c r="BX87" s="782"/>
      <c r="BY87" s="782"/>
      <c r="BZ87" s="782"/>
      <c r="CA87" s="782"/>
      <c r="CB87" s="782"/>
      <c r="CC87" s="782"/>
      <c r="CD87" s="782"/>
      <c r="CE87" s="782"/>
      <c r="CF87" s="782"/>
      <c r="CG87" s="782"/>
      <c r="CH87" s="782"/>
      <c r="CI87" s="782"/>
      <c r="CJ87" s="782"/>
      <c r="CK87" s="782"/>
      <c r="CL87" s="782"/>
      <c r="CM87" s="782"/>
      <c r="CN87" s="782"/>
      <c r="CO87" s="782"/>
      <c r="CP87" s="782"/>
      <c r="CQ87" s="782"/>
      <c r="CR87" s="782"/>
      <c r="CS87" s="782"/>
      <c r="CT87" s="782"/>
      <c r="CU87" s="782"/>
      <c r="CV87" s="782"/>
      <c r="CW87" s="782"/>
      <c r="CX87" s="782"/>
      <c r="CY87" s="782"/>
      <c r="CZ87" s="782"/>
      <c r="DA87" s="782"/>
      <c r="DB87" s="782"/>
      <c r="DC87" s="782"/>
      <c r="DD87" s="782"/>
      <c r="DE87" s="782"/>
      <c r="DF87" s="782"/>
      <c r="DG87" s="782"/>
      <c r="DH87" s="782"/>
      <c r="DI87" s="782"/>
      <c r="DJ87" s="782"/>
      <c r="DK87" s="782"/>
      <c r="DL87" s="782"/>
      <c r="DM87" s="782"/>
      <c r="DN87" s="782"/>
      <c r="DO87" s="782"/>
      <c r="DP87" s="782"/>
      <c r="DQ87" s="782"/>
      <c r="DR87" s="782"/>
      <c r="DS87" s="782"/>
      <c r="DT87" s="782"/>
      <c r="DU87" s="782"/>
      <c r="DV87" s="782"/>
      <c r="DW87" s="782"/>
      <c r="DX87" s="782"/>
      <c r="DY87" s="782"/>
      <c r="DZ87" s="782"/>
      <c r="EA87" s="782"/>
      <c r="EB87" s="782"/>
      <c r="EC87" s="782"/>
      <c r="ED87" s="782"/>
      <c r="EE87" s="782"/>
      <c r="EF87" s="782"/>
      <c r="EG87" s="782"/>
      <c r="EH87" s="782"/>
    </row>
    <row r="88" spans="1:138" ht="12.75" customHeight="1" x14ac:dyDescent="0.3">
      <c r="A88" s="782"/>
      <c r="B88" s="782" t="s">
        <v>55</v>
      </c>
      <c r="C88" s="798">
        <f>SUM(E88:EG88)</f>
        <v>42438726.661692351</v>
      </c>
      <c r="D88" s="782"/>
      <c r="E88" s="798">
        <f>SUM(E82:E83)</f>
        <v>0</v>
      </c>
      <c r="F88" s="798">
        <f t="shared" ref="F88:BQ88" si="77">SUM(F82:F83)</f>
        <v>0</v>
      </c>
      <c r="G88" s="798">
        <f t="shared" si="77"/>
        <v>0</v>
      </c>
      <c r="H88" s="798">
        <f t="shared" si="77"/>
        <v>0</v>
      </c>
      <c r="I88" s="798">
        <f t="shared" si="77"/>
        <v>0</v>
      </c>
      <c r="J88" s="798">
        <f t="shared" si="77"/>
        <v>0</v>
      </c>
      <c r="K88" s="798">
        <f t="shared" si="77"/>
        <v>0</v>
      </c>
      <c r="L88" s="798">
        <f t="shared" si="77"/>
        <v>0</v>
      </c>
      <c r="M88" s="798">
        <f t="shared" si="77"/>
        <v>0</v>
      </c>
      <c r="N88" s="798">
        <f t="shared" si="77"/>
        <v>0</v>
      </c>
      <c r="O88" s="798">
        <f t="shared" si="77"/>
        <v>0</v>
      </c>
      <c r="P88" s="798">
        <f t="shared" si="77"/>
        <v>0</v>
      </c>
      <c r="Q88" s="798">
        <f t="shared" si="77"/>
        <v>0</v>
      </c>
      <c r="R88" s="798">
        <f t="shared" si="77"/>
        <v>0</v>
      </c>
      <c r="S88" s="798">
        <f t="shared" si="77"/>
        <v>0</v>
      </c>
      <c r="T88" s="798">
        <f t="shared" si="77"/>
        <v>0</v>
      </c>
      <c r="U88" s="798">
        <f t="shared" si="77"/>
        <v>0</v>
      </c>
      <c r="V88" s="798">
        <f t="shared" si="77"/>
        <v>0</v>
      </c>
      <c r="W88" s="798">
        <f t="shared" si="77"/>
        <v>0</v>
      </c>
      <c r="X88" s="798">
        <f t="shared" si="77"/>
        <v>0</v>
      </c>
      <c r="Y88" s="798">
        <f t="shared" si="77"/>
        <v>0</v>
      </c>
      <c r="Z88" s="798">
        <f t="shared" si="77"/>
        <v>0</v>
      </c>
      <c r="AA88" s="798">
        <f t="shared" si="77"/>
        <v>0</v>
      </c>
      <c r="AB88" s="798">
        <f t="shared" si="77"/>
        <v>0</v>
      </c>
      <c r="AC88" s="798">
        <f t="shared" si="77"/>
        <v>0</v>
      </c>
      <c r="AD88" s="798">
        <f t="shared" si="77"/>
        <v>0</v>
      </c>
      <c r="AE88" s="798">
        <f t="shared" si="77"/>
        <v>0</v>
      </c>
      <c r="AF88" s="798">
        <f t="shared" si="77"/>
        <v>0</v>
      </c>
      <c r="AG88" s="798">
        <f t="shared" si="77"/>
        <v>0</v>
      </c>
      <c r="AH88" s="798">
        <f t="shared" si="77"/>
        <v>0</v>
      </c>
      <c r="AI88" s="798">
        <f t="shared" si="77"/>
        <v>0</v>
      </c>
      <c r="AJ88" s="798">
        <f t="shared" si="77"/>
        <v>0</v>
      </c>
      <c r="AK88" s="798">
        <f t="shared" si="77"/>
        <v>42438726.661692351</v>
      </c>
      <c r="AL88" s="798">
        <f t="shared" si="77"/>
        <v>0</v>
      </c>
      <c r="AM88" s="798">
        <f t="shared" si="77"/>
        <v>0</v>
      </c>
      <c r="AN88" s="798">
        <f t="shared" si="77"/>
        <v>0</v>
      </c>
      <c r="AO88" s="798">
        <f t="shared" si="77"/>
        <v>0</v>
      </c>
      <c r="AP88" s="798">
        <f t="shared" si="77"/>
        <v>0</v>
      </c>
      <c r="AQ88" s="798">
        <f t="shared" si="77"/>
        <v>0</v>
      </c>
      <c r="AR88" s="798">
        <f t="shared" si="77"/>
        <v>0</v>
      </c>
      <c r="AS88" s="798">
        <f t="shared" si="77"/>
        <v>0</v>
      </c>
      <c r="AT88" s="798">
        <f t="shared" si="77"/>
        <v>0</v>
      </c>
      <c r="AU88" s="798">
        <f t="shared" si="77"/>
        <v>0</v>
      </c>
      <c r="AV88" s="798">
        <f t="shared" si="77"/>
        <v>0</v>
      </c>
      <c r="AW88" s="798">
        <f t="shared" si="77"/>
        <v>0</v>
      </c>
      <c r="AX88" s="798">
        <f t="shared" si="77"/>
        <v>0</v>
      </c>
      <c r="AY88" s="798">
        <f t="shared" si="77"/>
        <v>0</v>
      </c>
      <c r="AZ88" s="798">
        <f t="shared" si="77"/>
        <v>0</v>
      </c>
      <c r="BA88" s="798">
        <f t="shared" si="77"/>
        <v>0</v>
      </c>
      <c r="BB88" s="798">
        <f t="shared" si="77"/>
        <v>0</v>
      </c>
      <c r="BC88" s="798">
        <f t="shared" si="77"/>
        <v>0</v>
      </c>
      <c r="BD88" s="798">
        <f t="shared" si="77"/>
        <v>0</v>
      </c>
      <c r="BE88" s="798">
        <f t="shared" si="77"/>
        <v>0</v>
      </c>
      <c r="BF88" s="798">
        <f t="shared" si="77"/>
        <v>0</v>
      </c>
      <c r="BG88" s="798">
        <f t="shared" si="77"/>
        <v>0</v>
      </c>
      <c r="BH88" s="798">
        <f t="shared" si="77"/>
        <v>0</v>
      </c>
      <c r="BI88" s="798">
        <f t="shared" si="77"/>
        <v>0</v>
      </c>
      <c r="BJ88" s="798">
        <f t="shared" si="77"/>
        <v>0</v>
      </c>
      <c r="BK88" s="798">
        <f t="shared" si="77"/>
        <v>0</v>
      </c>
      <c r="BL88" s="798">
        <f t="shared" si="77"/>
        <v>0</v>
      </c>
      <c r="BM88" s="798">
        <f t="shared" si="77"/>
        <v>0</v>
      </c>
      <c r="BN88" s="798">
        <f t="shared" si="77"/>
        <v>0</v>
      </c>
      <c r="BO88" s="798">
        <f t="shared" si="77"/>
        <v>0</v>
      </c>
      <c r="BP88" s="798">
        <f t="shared" si="77"/>
        <v>0</v>
      </c>
      <c r="BQ88" s="798">
        <f t="shared" si="77"/>
        <v>0</v>
      </c>
      <c r="BR88" s="798">
        <f t="shared" ref="BR88:EC88" si="78">SUM(BR82:BR83)</f>
        <v>0</v>
      </c>
      <c r="BS88" s="798">
        <f t="shared" si="78"/>
        <v>0</v>
      </c>
      <c r="BT88" s="798">
        <f t="shared" si="78"/>
        <v>0</v>
      </c>
      <c r="BU88" s="798">
        <f t="shared" si="78"/>
        <v>0</v>
      </c>
      <c r="BV88" s="798">
        <f t="shared" si="78"/>
        <v>0</v>
      </c>
      <c r="BW88" s="798">
        <f t="shared" si="78"/>
        <v>0</v>
      </c>
      <c r="BX88" s="798">
        <f t="shared" si="78"/>
        <v>0</v>
      </c>
      <c r="BY88" s="798">
        <f t="shared" si="78"/>
        <v>0</v>
      </c>
      <c r="BZ88" s="798">
        <f t="shared" si="78"/>
        <v>0</v>
      </c>
      <c r="CA88" s="798">
        <f t="shared" si="78"/>
        <v>0</v>
      </c>
      <c r="CB88" s="798">
        <f t="shared" si="78"/>
        <v>0</v>
      </c>
      <c r="CC88" s="798">
        <f t="shared" si="78"/>
        <v>0</v>
      </c>
      <c r="CD88" s="798">
        <f t="shared" si="78"/>
        <v>0</v>
      </c>
      <c r="CE88" s="798">
        <f t="shared" si="78"/>
        <v>0</v>
      </c>
      <c r="CF88" s="798">
        <f t="shared" si="78"/>
        <v>0</v>
      </c>
      <c r="CG88" s="798">
        <f t="shared" si="78"/>
        <v>0</v>
      </c>
      <c r="CH88" s="798">
        <f t="shared" si="78"/>
        <v>0</v>
      </c>
      <c r="CI88" s="798">
        <f t="shared" si="78"/>
        <v>0</v>
      </c>
      <c r="CJ88" s="798">
        <f t="shared" si="78"/>
        <v>0</v>
      </c>
      <c r="CK88" s="798">
        <f t="shared" si="78"/>
        <v>0</v>
      </c>
      <c r="CL88" s="798">
        <f t="shared" si="78"/>
        <v>0</v>
      </c>
      <c r="CM88" s="798">
        <f t="shared" si="78"/>
        <v>0</v>
      </c>
      <c r="CN88" s="798">
        <f t="shared" si="78"/>
        <v>0</v>
      </c>
      <c r="CO88" s="798">
        <f t="shared" si="78"/>
        <v>0</v>
      </c>
      <c r="CP88" s="798">
        <f t="shared" si="78"/>
        <v>0</v>
      </c>
      <c r="CQ88" s="798">
        <f t="shared" si="78"/>
        <v>0</v>
      </c>
      <c r="CR88" s="798">
        <f t="shared" si="78"/>
        <v>0</v>
      </c>
      <c r="CS88" s="798">
        <f t="shared" si="78"/>
        <v>0</v>
      </c>
      <c r="CT88" s="798">
        <f t="shared" si="78"/>
        <v>0</v>
      </c>
      <c r="CU88" s="798">
        <f t="shared" si="78"/>
        <v>0</v>
      </c>
      <c r="CV88" s="798">
        <f t="shared" si="78"/>
        <v>0</v>
      </c>
      <c r="CW88" s="798">
        <f t="shared" si="78"/>
        <v>0</v>
      </c>
      <c r="CX88" s="798">
        <f t="shared" si="78"/>
        <v>0</v>
      </c>
      <c r="CY88" s="798">
        <f t="shared" si="78"/>
        <v>0</v>
      </c>
      <c r="CZ88" s="798">
        <f t="shared" si="78"/>
        <v>0</v>
      </c>
      <c r="DA88" s="798">
        <f t="shared" si="78"/>
        <v>0</v>
      </c>
      <c r="DB88" s="798">
        <f t="shared" si="78"/>
        <v>0</v>
      </c>
      <c r="DC88" s="798">
        <f t="shared" si="78"/>
        <v>0</v>
      </c>
      <c r="DD88" s="798">
        <f t="shared" si="78"/>
        <v>0</v>
      </c>
      <c r="DE88" s="798">
        <f t="shared" si="78"/>
        <v>0</v>
      </c>
      <c r="DF88" s="798">
        <f t="shared" si="78"/>
        <v>0</v>
      </c>
      <c r="DG88" s="798">
        <f t="shared" si="78"/>
        <v>0</v>
      </c>
      <c r="DH88" s="798">
        <f t="shared" si="78"/>
        <v>0</v>
      </c>
      <c r="DI88" s="798">
        <f t="shared" si="78"/>
        <v>0</v>
      </c>
      <c r="DJ88" s="798">
        <f t="shared" si="78"/>
        <v>0</v>
      </c>
      <c r="DK88" s="798">
        <f t="shared" si="78"/>
        <v>0</v>
      </c>
      <c r="DL88" s="798">
        <f t="shared" si="78"/>
        <v>0</v>
      </c>
      <c r="DM88" s="798">
        <f t="shared" si="78"/>
        <v>0</v>
      </c>
      <c r="DN88" s="798">
        <f t="shared" si="78"/>
        <v>0</v>
      </c>
      <c r="DO88" s="798">
        <f t="shared" si="78"/>
        <v>0</v>
      </c>
      <c r="DP88" s="798">
        <f t="shared" si="78"/>
        <v>0</v>
      </c>
      <c r="DQ88" s="798">
        <f t="shared" si="78"/>
        <v>0</v>
      </c>
      <c r="DR88" s="798">
        <f t="shared" si="78"/>
        <v>0</v>
      </c>
      <c r="DS88" s="798">
        <f t="shared" si="78"/>
        <v>0</v>
      </c>
      <c r="DT88" s="798">
        <f t="shared" si="78"/>
        <v>0</v>
      </c>
      <c r="DU88" s="798">
        <f t="shared" si="78"/>
        <v>0</v>
      </c>
      <c r="DV88" s="798">
        <f t="shared" si="78"/>
        <v>0</v>
      </c>
      <c r="DW88" s="798">
        <f t="shared" si="78"/>
        <v>0</v>
      </c>
      <c r="DX88" s="798">
        <f t="shared" si="78"/>
        <v>0</v>
      </c>
      <c r="DY88" s="798">
        <f t="shared" si="78"/>
        <v>0</v>
      </c>
      <c r="DZ88" s="798">
        <f t="shared" si="78"/>
        <v>0</v>
      </c>
      <c r="EA88" s="798">
        <f t="shared" si="78"/>
        <v>0</v>
      </c>
      <c r="EB88" s="798">
        <f t="shared" si="78"/>
        <v>0</v>
      </c>
      <c r="EC88" s="798">
        <f t="shared" si="78"/>
        <v>0</v>
      </c>
      <c r="ED88" s="798">
        <f>SUM(ED82:ED83)</f>
        <v>0</v>
      </c>
      <c r="EE88" s="798">
        <f>SUM(EE82:EE83)</f>
        <v>0</v>
      </c>
      <c r="EF88" s="798">
        <f>SUM(EF82:EF83)</f>
        <v>0</v>
      </c>
      <c r="EG88" s="798">
        <f>SUM(EG82:EG83)</f>
        <v>0</v>
      </c>
      <c r="EH88" s="782"/>
    </row>
    <row r="89" spans="1:138" ht="12.75" customHeight="1" x14ac:dyDescent="0.3">
      <c r="A89" s="782"/>
      <c r="B89" s="782"/>
      <c r="C89" s="782"/>
      <c r="D89" s="782"/>
      <c r="E89" s="782"/>
      <c r="F89" s="782"/>
      <c r="G89" s="782"/>
      <c r="H89" s="782"/>
      <c r="I89" s="782"/>
      <c r="J89" s="782"/>
      <c r="K89" s="782"/>
      <c r="L89" s="782"/>
      <c r="M89" s="782"/>
      <c r="N89" s="782"/>
      <c r="O89" s="782"/>
      <c r="P89" s="782"/>
      <c r="Q89" s="782"/>
      <c r="R89" s="782"/>
      <c r="S89" s="782"/>
      <c r="T89" s="782"/>
      <c r="U89" s="782"/>
      <c r="V89" s="782"/>
      <c r="W89" s="782"/>
      <c r="X89" s="782"/>
      <c r="Y89" s="782"/>
      <c r="Z89" s="782"/>
      <c r="AA89" s="782"/>
      <c r="AB89" s="782"/>
      <c r="AC89" s="782"/>
      <c r="AD89" s="782"/>
      <c r="AE89" s="782"/>
      <c r="AF89" s="782"/>
      <c r="AG89" s="782"/>
      <c r="AH89" s="782"/>
      <c r="AI89" s="782"/>
      <c r="AJ89" s="782"/>
      <c r="AK89" s="782"/>
      <c r="AL89" s="782"/>
      <c r="AM89" s="782"/>
      <c r="AN89" s="782"/>
      <c r="AO89" s="782"/>
      <c r="AP89" s="782"/>
      <c r="AQ89" s="782"/>
      <c r="AR89" s="782"/>
      <c r="AS89" s="782"/>
      <c r="AT89" s="782"/>
      <c r="AU89" s="782"/>
      <c r="AV89" s="782"/>
      <c r="AW89" s="782"/>
      <c r="AX89" s="782"/>
      <c r="AY89" s="782"/>
      <c r="AZ89" s="782"/>
      <c r="BA89" s="782"/>
      <c r="BB89" s="782"/>
      <c r="BC89" s="782"/>
      <c r="BD89" s="782"/>
      <c r="BE89" s="782"/>
      <c r="BF89" s="782"/>
      <c r="BG89" s="782"/>
      <c r="BH89" s="782"/>
      <c r="BI89" s="782"/>
      <c r="BJ89" s="782"/>
      <c r="BK89" s="782"/>
      <c r="BL89" s="782"/>
      <c r="BM89" s="782"/>
      <c r="BN89" s="782"/>
      <c r="BO89" s="782"/>
      <c r="BP89" s="782"/>
      <c r="BQ89" s="782"/>
      <c r="BR89" s="782"/>
      <c r="BS89" s="782"/>
      <c r="BT89" s="782"/>
      <c r="BU89" s="782"/>
      <c r="BV89" s="782"/>
      <c r="BW89" s="782"/>
      <c r="BX89" s="782"/>
      <c r="BY89" s="782"/>
      <c r="BZ89" s="782"/>
      <c r="CA89" s="782"/>
      <c r="CB89" s="782"/>
      <c r="CC89" s="782"/>
      <c r="CD89" s="782"/>
      <c r="CE89" s="782"/>
      <c r="CF89" s="782"/>
      <c r="CG89" s="782"/>
      <c r="CH89" s="782"/>
      <c r="CI89" s="782"/>
      <c r="CJ89" s="782"/>
      <c r="CK89" s="782"/>
      <c r="CL89" s="782"/>
      <c r="CM89" s="782"/>
      <c r="CN89" s="782"/>
      <c r="CO89" s="782"/>
      <c r="CP89" s="782"/>
      <c r="CQ89" s="782"/>
      <c r="CR89" s="782"/>
      <c r="CS89" s="782"/>
      <c r="CT89" s="782"/>
      <c r="CU89" s="782"/>
      <c r="CV89" s="782"/>
      <c r="CW89" s="782"/>
      <c r="CX89" s="782"/>
      <c r="CY89" s="782"/>
      <c r="CZ89" s="782"/>
      <c r="DA89" s="782"/>
      <c r="DB89" s="782"/>
      <c r="DC89" s="782"/>
      <c r="DD89" s="782"/>
      <c r="DE89" s="782"/>
      <c r="DF89" s="782"/>
      <c r="DG89" s="782"/>
      <c r="DH89" s="782"/>
      <c r="DI89" s="782"/>
      <c r="DJ89" s="782"/>
      <c r="DK89" s="782"/>
      <c r="DL89" s="782"/>
      <c r="DM89" s="782"/>
      <c r="DN89" s="782"/>
      <c r="DO89" s="782"/>
      <c r="DP89" s="782"/>
      <c r="DQ89" s="782"/>
      <c r="DR89" s="782"/>
      <c r="DS89" s="782"/>
      <c r="DT89" s="782"/>
      <c r="DU89" s="782"/>
      <c r="DV89" s="782"/>
      <c r="DW89" s="782"/>
      <c r="DX89" s="782"/>
      <c r="DY89" s="782"/>
      <c r="DZ89" s="782"/>
      <c r="EA89" s="782"/>
      <c r="EB89" s="782"/>
      <c r="EC89" s="782"/>
      <c r="ED89" s="782"/>
      <c r="EE89" s="782"/>
      <c r="EF89" s="782"/>
      <c r="EG89" s="782"/>
      <c r="EH89" s="782"/>
    </row>
    <row r="90" spans="1:138" ht="12.75" customHeight="1" x14ac:dyDescent="0.3">
      <c r="A90" s="782"/>
      <c r="B90" s="782" t="s">
        <v>56</v>
      </c>
      <c r="C90" s="806">
        <f>+'Venture Assumptions'!F34</f>
        <v>0.8</v>
      </c>
      <c r="D90" s="782"/>
      <c r="E90" s="798">
        <f>MIN((E78-E88)*$C$90,FV($C$73,(E4-OFFSET($D$4,0,1)),,XNPV($C$72,OFFSET($D$85,0,1):E85,OFFSET($D$4,0,1):E4)))*E9</f>
        <v>0</v>
      </c>
      <c r="F90" s="798">
        <f>MIN((F78-F88)*$C$90,FV($C$73,(F4-OFFSET($D$4,0,1)),,XNPV($C$72,OFFSET($D$85,0,1):F85,OFFSET($D$4,0,1):F4)))*F9</f>
        <v>0</v>
      </c>
      <c r="G90" s="798">
        <f>MIN((G78-G88)*$C$90,FV($C$73,(G4-OFFSET($D$4,0,1)),,XNPV($C$72,OFFSET($D$85,0,1):G85,OFFSET($D$4,0,1):G4)))*G9</f>
        <v>0</v>
      </c>
      <c r="H90" s="798">
        <f>MIN((H78-H88)*$C$90,FV($C$73,(H4-OFFSET($D$4,0,1)),,XNPV($C$72,OFFSET($D$85,0,1):H85,OFFSET($D$4,0,1):H4)))*H9</f>
        <v>0</v>
      </c>
      <c r="I90" s="798">
        <f>MIN((I78-I88)*$C$90,FV($C$73,(I4-OFFSET($D$4,0,1)),,XNPV($C$72,OFFSET($D$85,0,1):I85,OFFSET($D$4,0,1):I4)))*I9</f>
        <v>0</v>
      </c>
      <c r="J90" s="798">
        <f>MIN((J78-J88)*$C$90,FV($C$73,(J4-OFFSET($D$4,0,1)),,XNPV($C$72,OFFSET($D$85,0,1):J85,OFFSET($D$4,0,1):J4)))*J9</f>
        <v>0</v>
      </c>
      <c r="K90" s="798">
        <f>MIN((K78-K88)*$C$90,FV($C$73,(K4-OFFSET($D$4,0,1)),,XNPV($C$72,OFFSET($D$85,0,1):K85,OFFSET($D$4,0,1):K4)))*K9</f>
        <v>0</v>
      </c>
      <c r="L90" s="798">
        <f>MIN((L78-L88)*$C$90,FV($C$73,(L4-OFFSET($D$4,0,1)),,XNPV($C$72,OFFSET($D$85,0,1):L85,OFFSET($D$4,0,1):L4)))*L9</f>
        <v>0</v>
      </c>
      <c r="M90" s="798">
        <f>MIN((M78-M88)*$C$90,FV($C$73,(M4-OFFSET($D$4,0,1)),,XNPV($C$72,OFFSET($D$85,0,1):M85,OFFSET($D$4,0,1):M4)))*M9</f>
        <v>0</v>
      </c>
      <c r="N90" s="798">
        <f>MIN((N78-N88)*$C$90,FV($C$73,(N4-OFFSET($D$4,0,1)),,XNPV($C$72,OFFSET($D$85,0,1):N85,OFFSET($D$4,0,1):N4)))*N9</f>
        <v>0</v>
      </c>
      <c r="O90" s="798">
        <f>MIN((O78-O88)*$C$90,FV($C$73,(O4-OFFSET($D$4,0,1)),,XNPV($C$72,OFFSET($D$85,0,1):O85,OFFSET($D$4,0,1):O4)))*O9</f>
        <v>0</v>
      </c>
      <c r="P90" s="798">
        <f>MIN((P78-P88)*$C$90,FV($C$73,(P4-OFFSET($D$4,0,1)),,XNPV($C$72,OFFSET($D$85,0,1):P85,OFFSET($D$4,0,1):P4)))*P9</f>
        <v>0</v>
      </c>
      <c r="Q90" s="798">
        <f>MIN((Q78-Q88)*$C$90,FV($C$73,(Q4-OFFSET($D$4,0,1)),,XNPV($C$72,OFFSET($D$85,0,1):Q85,OFFSET($D$4,0,1):Q4)))*Q9</f>
        <v>0</v>
      </c>
      <c r="R90" s="798">
        <f>MIN((R78-R88)*$C$90,FV($C$73,(R4-OFFSET($D$4,0,1)),,XNPV($C$72,OFFSET($D$85,0,1):R85,OFFSET($D$4,0,1):R4)))*R9</f>
        <v>0</v>
      </c>
      <c r="S90" s="798">
        <f>MIN((S78-S88)*$C$90,FV($C$73,(S4-OFFSET($D$4,0,1)),,XNPV($C$72,OFFSET($D$85,0,1):S85,OFFSET($D$4,0,1):S4)))*S9</f>
        <v>0</v>
      </c>
      <c r="T90" s="798">
        <f>MIN((T78-T88)*$C$90,FV($C$73,(T4-OFFSET($D$4,0,1)),,XNPV($C$72,OFFSET($D$85,0,1):T85,OFFSET($D$4,0,1):T4)))*T9</f>
        <v>0</v>
      </c>
      <c r="U90" s="798">
        <f>MIN((U78-U88)*$C$90,FV($C$73,(U4-OFFSET($D$4,0,1)),,XNPV($C$72,OFFSET($D$85,0,1):U85,OFFSET($D$4,0,1):U4)))*U9</f>
        <v>0</v>
      </c>
      <c r="V90" s="798">
        <f>MIN((V78-V88)*$C$90,FV($C$73,(V4-OFFSET($D$4,0,1)),,XNPV($C$72,OFFSET($D$85,0,1):V85,OFFSET($D$4,0,1):V4)))*V9</f>
        <v>0</v>
      </c>
      <c r="W90" s="798">
        <f>MIN((W78-W88)*$C$90,FV($C$73,(W4-OFFSET($D$4,0,1)),,XNPV($C$72,OFFSET($D$85,0,1):W85,OFFSET($D$4,0,1):W4)))*W9</f>
        <v>0</v>
      </c>
      <c r="X90" s="798">
        <f>MIN((X78-X88)*$C$90,FV($C$73,(X4-OFFSET($D$4,0,1)),,XNPV($C$72,OFFSET($D$85,0,1):X85,OFFSET($D$4,0,1):X4)))*X9</f>
        <v>0</v>
      </c>
      <c r="Y90" s="798">
        <f>MIN((Y78-Y88)*$C$90,FV($C$73,(Y4-OFFSET($D$4,0,1)),,XNPV($C$72,OFFSET($D$85,0,1):Y85,OFFSET($D$4,0,1):Y4)))*Y9</f>
        <v>0</v>
      </c>
      <c r="Z90" s="798">
        <f>MIN((Z78-Z88)*$C$90,FV($C$73,(Z4-OFFSET($D$4,0,1)),,XNPV($C$72,OFFSET($D$85,0,1):Z85,OFFSET($D$4,0,1):Z4)))*Z9</f>
        <v>0</v>
      </c>
      <c r="AA90" s="798">
        <f>MIN((AA78-AA88)*$C$90,FV($C$73,(AA4-OFFSET($D$4,0,1)),,XNPV($C$72,OFFSET($D$85,0,1):AA85,OFFSET($D$4,0,1):AA4)))*AA9</f>
        <v>0</v>
      </c>
      <c r="AB90" s="798">
        <f>MIN((AB78-AB88)*$C$90,FV($C$73,(AB4-OFFSET($D$4,0,1)),,XNPV($C$72,OFFSET($D$85,0,1):AB85,OFFSET($D$4,0,1):AB4)))*AB9</f>
        <v>0</v>
      </c>
      <c r="AC90" s="798">
        <f>MIN((AC78-AC88)*$C$90,FV($C$73,(AC4-OFFSET($D$4,0,1)),,XNPV($C$72,OFFSET($D$85,0,1):AC85,OFFSET($D$4,0,1):AC4)))*AC9</f>
        <v>0</v>
      </c>
      <c r="AD90" s="798">
        <f>MIN((AD78-AD88)*$C$90,FV($C$73,(AD4-OFFSET($D$4,0,1)),,XNPV($C$72,OFFSET($D$85,0,1):AD85,OFFSET($D$4,0,1):AD4)))*AD9</f>
        <v>0</v>
      </c>
      <c r="AE90" s="798">
        <f>MIN((AE78-AE88)*$C$90,FV($C$73,(AE4-OFFSET($D$4,0,1)),,XNPV($C$72,OFFSET($D$85,0,1):AE85,OFFSET($D$4,0,1):AE4)))*AE9</f>
        <v>0</v>
      </c>
      <c r="AF90" s="798">
        <f>MIN((AF78-AF88)*$C$90,FV($C$73,(AF4-OFFSET($D$4,0,1)),,XNPV($C$72,OFFSET($D$85,0,1):AF85,OFFSET($D$4,0,1):AF4)))*AF9</f>
        <v>0</v>
      </c>
      <c r="AG90" s="798">
        <f>MIN((AG78-AG88)*$C$90,FV($C$73,(AG4-OFFSET($D$4,0,1)),,XNPV($C$72,OFFSET($D$85,0,1):AG85,OFFSET($D$4,0,1):AG4)))*AG9</f>
        <v>0</v>
      </c>
      <c r="AH90" s="798">
        <f>MIN((AH78-AH88)*$C$90,FV($C$73,(AH4-OFFSET($D$4,0,1)),,XNPV($C$72,OFFSET($D$85,0,1):AH85,OFFSET($D$4,0,1):AH4)))*AH9</f>
        <v>0</v>
      </c>
      <c r="AI90" s="798">
        <f>MIN((AI78-AI88)*$C$90,FV($C$73,(AI4-OFFSET($D$4,0,1)),,XNPV($C$72,OFFSET($D$85,0,1):AI85,OFFSET($D$4,0,1):AI4)))*AI9</f>
        <v>0</v>
      </c>
      <c r="AJ90" s="798">
        <f>MIN((AJ78-AJ88)*$C$90,FV($C$73,(AJ4-OFFSET($D$4,0,1)),,XNPV($C$72,OFFSET($D$85,0,1):AJ85,OFFSET($D$4,0,1):AJ4)))*AJ9</f>
        <v>0</v>
      </c>
      <c r="AK90" s="798">
        <f>MIN((AK78-AK88)*$C$90,FV($C$73,(AK4-OFFSET($D$4,0,1)),,XNPV($C$72,OFFSET($D$85,0,1):AK85,OFFSET($D$4,0,1):AK4)))*AK9</f>
        <v>3840143.816019203</v>
      </c>
      <c r="AL90" s="798">
        <f>MIN((AL78-AL88)*$C$90,FV($C$73,(AL4-OFFSET($D$4,0,1)),,XNPV($C$72,OFFSET($D$85,0,1):AL85,OFFSET($D$4,0,1):AL4)))*AL9</f>
        <v>0</v>
      </c>
      <c r="AM90" s="798">
        <f>MIN((AM78-AM88)*$C$90,FV($C$73,(AM4-OFFSET($D$4,0,1)),,XNPV($C$72,OFFSET($D$85,0,1):AM85,OFFSET($D$4,0,1):AM4)))*AM9</f>
        <v>0</v>
      </c>
      <c r="AN90" s="798">
        <f>MIN((AN78-AN88)*$C$90,FV($C$73,(AN4-OFFSET($D$4,0,1)),,XNPV($C$72,OFFSET($D$85,0,1):AN85,OFFSET($D$4,0,1):AN4)))*AN9</f>
        <v>0</v>
      </c>
      <c r="AO90" s="798">
        <f>MIN((AO78-AO88)*$C$90,FV($C$73,(AO4-OFFSET($D$4,0,1)),,XNPV($C$72,OFFSET($D$85,0,1):AO85,OFFSET($D$4,0,1):AO4)))*AO9</f>
        <v>0</v>
      </c>
      <c r="AP90" s="798">
        <f>MIN((AP78-AP88)*$C$90,FV($C$73,(AP4-OFFSET($D$4,0,1)),,XNPV($C$72,OFFSET($D$85,0,1):AP85,OFFSET($D$4,0,1):AP4)))*AP9</f>
        <v>0</v>
      </c>
      <c r="AQ90" s="798">
        <f>MIN((AQ78-AQ88)*$C$90,FV($C$73,(AQ4-OFFSET($D$4,0,1)),,XNPV($C$72,OFFSET($D$85,0,1):AQ85,OFFSET($D$4,0,1):AQ4)))*AQ9</f>
        <v>0</v>
      </c>
      <c r="AR90" s="798">
        <f>MIN((AR78-AR88)*$C$90,FV($C$73,(AR4-OFFSET($D$4,0,1)),,XNPV($C$72,OFFSET($D$85,0,1):AR85,OFFSET($D$4,0,1):AR4)))*AR9</f>
        <v>0</v>
      </c>
      <c r="AS90" s="798">
        <f>MIN((AS78-AS88)*$C$90,FV($C$73,(AS4-OFFSET($D$4,0,1)),,XNPV($C$72,OFFSET($D$85,0,1):AS85,OFFSET($D$4,0,1):AS4)))*AS9</f>
        <v>0</v>
      </c>
      <c r="AT90" s="798">
        <f>MIN((AT78-AT88)*$C$90,FV($C$73,(AT4-OFFSET($D$4,0,1)),,XNPV($C$72,OFFSET($D$85,0,1):AT85,OFFSET($D$4,0,1):AT4)))*AT9</f>
        <v>0</v>
      </c>
      <c r="AU90" s="798">
        <f>MIN((AU78-AU88)*$C$90,FV($C$73,(AU4-OFFSET($D$4,0,1)),,XNPV($C$72,OFFSET($D$85,0,1):AU85,OFFSET($D$4,0,1):AU4)))*AU9</f>
        <v>0</v>
      </c>
      <c r="AV90" s="798">
        <f>MIN((AV78-AV88)*$C$90,FV($C$73,(AV4-OFFSET($D$4,0,1)),,XNPV($C$72,OFFSET($D$85,0,1):AV85,OFFSET($D$4,0,1):AV4)))*AV9</f>
        <v>0</v>
      </c>
      <c r="AW90" s="798">
        <f>MIN((AW78-AW88)*$C$90,FV($C$73,(AW4-OFFSET($D$4,0,1)),,XNPV($C$72,OFFSET($D$85,0,1):AW85,OFFSET($D$4,0,1):AW4)))*AW9</f>
        <v>0</v>
      </c>
      <c r="AX90" s="798">
        <f>MIN((AX78-AX88)*$C$90,FV($C$73,(AX4-OFFSET($D$4,0,1)),,XNPV($C$72,OFFSET($D$85,0,1):AX85,OFFSET($D$4,0,1):AX4)))*AX9</f>
        <v>0</v>
      </c>
      <c r="AY90" s="798">
        <f>MIN((AY78-AY88)*$C$90,FV($C$73,(AY4-OFFSET($D$4,0,1)),,XNPV($C$72,OFFSET($D$85,0,1):AY85,OFFSET($D$4,0,1):AY4)))*AY9</f>
        <v>0</v>
      </c>
      <c r="AZ90" s="798">
        <f>MIN((AZ78-AZ88)*$C$90,FV($C$73,(AZ4-OFFSET($D$4,0,1)),,XNPV($C$72,OFFSET($D$85,0,1):AZ85,OFFSET($D$4,0,1):AZ4)))*AZ9</f>
        <v>0</v>
      </c>
      <c r="BA90" s="798">
        <f>MIN((BA78-BA88)*$C$90,FV($C$73,(BA4-OFFSET($D$4,0,1)),,XNPV($C$72,OFFSET($D$85,0,1):BA85,OFFSET($D$4,0,1):BA4)))*BA9</f>
        <v>0</v>
      </c>
      <c r="BB90" s="798">
        <f>MIN((BB78-BB88)*$C$90,FV($C$73,(BB4-OFFSET($D$4,0,1)),,XNPV($C$72,OFFSET($D$85,0,1):BB85,OFFSET($D$4,0,1):BB4)))*BB9</f>
        <v>0</v>
      </c>
      <c r="BC90" s="798">
        <f>MIN((BC78-BC88)*$C$90,FV($C$73,(BC4-OFFSET($D$4,0,1)),,XNPV($C$72,OFFSET($D$85,0,1):BC85,OFFSET($D$4,0,1):BC4)))*BC9</f>
        <v>0</v>
      </c>
      <c r="BD90" s="798">
        <f>MIN((BD78-BD88)*$C$90,FV($C$73,(BD4-OFFSET($D$4,0,1)),,XNPV($C$72,OFFSET($D$85,0,1):BD85,OFFSET($D$4,0,1):BD4)))*BD9</f>
        <v>0</v>
      </c>
      <c r="BE90" s="798">
        <f>MIN((BE78-BE88)*$C$90,FV($C$73,(BE4-OFFSET($D$4,0,1)),,XNPV($C$72,OFFSET($D$85,0,1):BE85,OFFSET($D$4,0,1):BE4)))*BE9</f>
        <v>0</v>
      </c>
      <c r="BF90" s="798">
        <f>MIN((BF78-BF88)*$C$90,FV($C$73,(BF4-OFFSET($D$4,0,1)),,XNPV($C$72,OFFSET($D$85,0,1):BF85,OFFSET($D$4,0,1):BF4)))*BF9</f>
        <v>0</v>
      </c>
      <c r="BG90" s="798">
        <f>MIN((BG78-BG88)*$C$90,FV($C$73,(BG4-OFFSET($D$4,0,1)),,XNPV($C$72,OFFSET($D$85,0,1):BG85,OFFSET($D$4,0,1):BG4)))*BG9</f>
        <v>0</v>
      </c>
      <c r="BH90" s="798">
        <f>MIN((BH78-BH88)*$C$90,FV($C$73,(BH4-OFFSET($D$4,0,1)),,XNPV($C$72,OFFSET($D$85,0,1):BH85,OFFSET($D$4,0,1):BH4)))*BH9</f>
        <v>0</v>
      </c>
      <c r="BI90" s="798">
        <f>MIN((BI78-BI88)*$C$90,FV($C$73,(BI4-OFFSET($D$4,0,1)),,XNPV($C$72,OFFSET($D$85,0,1):BI85,OFFSET($D$4,0,1):BI4)))*BI9</f>
        <v>0</v>
      </c>
      <c r="BJ90" s="798">
        <f>MIN((BJ78-BJ88)*$C$90,FV($C$73,(BJ4-OFFSET($D$4,0,1)),,XNPV($C$72,OFFSET($D$85,0,1):BJ85,OFFSET($D$4,0,1):BJ4)))*BJ9</f>
        <v>0</v>
      </c>
      <c r="BK90" s="798">
        <f>MIN((BK78-BK88)*$C$90,FV($C$73,(BK4-OFFSET($D$4,0,1)),,XNPV($C$72,OFFSET($D$85,0,1):BK85,OFFSET($D$4,0,1):BK4)))*BK9</f>
        <v>0</v>
      </c>
      <c r="BL90" s="798">
        <f>MIN((BL78-BL88)*$C$90,FV($C$73,(BL4-OFFSET($D$4,0,1)),,XNPV($C$72,OFFSET($D$85,0,1):BL85,OFFSET($D$4,0,1):BL4)))*BL9</f>
        <v>0</v>
      </c>
      <c r="BM90" s="798">
        <f>MIN((BM78-BM88)*$C$90,FV($C$73,(BM4-OFFSET($D$4,0,1)),,XNPV($C$72,OFFSET($D$85,0,1):BM85,OFFSET($D$4,0,1):BM4)))*BM9</f>
        <v>0</v>
      </c>
      <c r="BN90" s="798">
        <f>MIN((BN78-BN88)*$C$90,FV($C$73,(BN4-OFFSET($D$4,0,1)),,XNPV($C$72,OFFSET($D$85,0,1):BN85,OFFSET($D$4,0,1):BN4)))*BN9</f>
        <v>0</v>
      </c>
      <c r="BO90" s="798">
        <f>MIN((BO78-BO88)*$C$90,FV($C$73,(BO4-OFFSET($D$4,0,1)),,XNPV($C$72,OFFSET($D$85,0,1):BO85,OFFSET($D$4,0,1):BO4)))*BO9</f>
        <v>0</v>
      </c>
      <c r="BP90" s="798">
        <f>MIN((BP78-BP88)*$C$90,FV($C$73,(BP4-OFFSET($D$4,0,1)),,XNPV($C$72,OFFSET($D$85,0,1):BP85,OFFSET($D$4,0,1):BP4)))*BP9</f>
        <v>0</v>
      </c>
      <c r="BQ90" s="798">
        <f>MIN((BQ78-BQ88)*$C$90,FV($C$73,(BQ4-OFFSET($D$4,0,1)),,XNPV($C$72,OFFSET($D$85,0,1):BQ85,OFFSET($D$4,0,1):BQ4)))*BQ9</f>
        <v>0</v>
      </c>
      <c r="BR90" s="798">
        <f>MIN((BR78-BR88)*$C$90,FV($C$73,(BR4-OFFSET($D$4,0,1)),,XNPV($C$72,OFFSET($D$85,0,1):BR85,OFFSET($D$4,0,1):BR4)))*BR9</f>
        <v>0</v>
      </c>
      <c r="BS90" s="798">
        <f>MIN((BS78-BS88)*$C$90,FV($C$73,(BS4-OFFSET($D$4,0,1)),,XNPV($C$72,OFFSET($D$85,0,1):BS85,OFFSET($D$4,0,1):BS4)))*BS9</f>
        <v>0</v>
      </c>
      <c r="BT90" s="798">
        <f>MIN((BT78-BT88)*$C$90,FV($C$73,(BT4-OFFSET($D$4,0,1)),,XNPV($C$72,OFFSET($D$85,0,1):BT85,OFFSET($D$4,0,1):BT4)))*BT9</f>
        <v>0</v>
      </c>
      <c r="BU90" s="798">
        <f>MIN((BU78-BU88)*$C$90,FV($C$73,(BU4-OFFSET($D$4,0,1)),,XNPV($C$72,OFFSET($D$85,0,1):BU85,OFFSET($D$4,0,1):BU4)))*BU9</f>
        <v>0</v>
      </c>
      <c r="BV90" s="798">
        <f>MIN((BV78-BV88)*$C$90,FV($C$73,(BV4-OFFSET($D$4,0,1)),,XNPV($C$72,OFFSET($D$85,0,1):BV85,OFFSET($D$4,0,1):BV4)))*BV9</f>
        <v>0</v>
      </c>
      <c r="BW90" s="798">
        <f>MIN((BW78-BW88)*$C$90,FV($C$73,(BW4-OFFSET($D$4,0,1)),,XNPV($C$72,OFFSET($D$85,0,1):BW85,OFFSET($D$4,0,1):BW4)))*BW9</f>
        <v>0</v>
      </c>
      <c r="BX90" s="798">
        <f>MIN((BX78-BX88)*$C$90,FV($C$73,(BX4-OFFSET($D$4,0,1)),,XNPV($C$72,OFFSET($D$85,0,1):BX85,OFFSET($D$4,0,1):BX4)))*BX9</f>
        <v>0</v>
      </c>
      <c r="BY90" s="798">
        <f>MIN((BY78-BY88)*$C$90,FV($C$73,(BY4-OFFSET($D$4,0,1)),,XNPV($C$72,OFFSET($D$85,0,1):BY85,OFFSET($D$4,0,1):BY4)))*BY9</f>
        <v>0</v>
      </c>
      <c r="BZ90" s="798">
        <f>MIN((BZ78-BZ88)*$C$90,FV($C$73,(BZ4-OFFSET($D$4,0,1)),,XNPV($C$72,OFFSET($D$85,0,1):BZ85,OFFSET($D$4,0,1):BZ4)))*BZ9</f>
        <v>0</v>
      </c>
      <c r="CA90" s="798">
        <f>MIN((CA78-CA88)*$C$90,FV($C$73,(CA4-OFFSET($D$4,0,1)),,XNPV($C$72,OFFSET($D$85,0,1):CA85,OFFSET($D$4,0,1):CA4)))*CA9</f>
        <v>0</v>
      </c>
      <c r="CB90" s="798">
        <f>MIN((CB78-CB88)*$C$90,FV($C$73,(CB4-OFFSET($D$4,0,1)),,XNPV($C$72,OFFSET($D$85,0,1):CB85,OFFSET($D$4,0,1):CB4)))*CB9</f>
        <v>0</v>
      </c>
      <c r="CC90" s="798">
        <f>MIN((CC78-CC88)*$C$90,FV($C$73,(CC4-OFFSET($D$4,0,1)),,XNPV($C$72,OFFSET($D$85,0,1):CC85,OFFSET($D$4,0,1):CC4)))*CC9</f>
        <v>0</v>
      </c>
      <c r="CD90" s="798">
        <f>MIN((CD78-CD88)*$C$90,FV($C$73,(CD4-OFFSET($D$4,0,1)),,XNPV($C$72,OFFSET($D$85,0,1):CD85,OFFSET($D$4,0,1):CD4)))*CD9</f>
        <v>0</v>
      </c>
      <c r="CE90" s="798">
        <f>MIN((CE78-CE88)*$C$90,FV($C$73,(CE4-OFFSET($D$4,0,1)),,XNPV($C$72,OFFSET($D$85,0,1):CE85,OFFSET($D$4,0,1):CE4)))*CE9</f>
        <v>0</v>
      </c>
      <c r="CF90" s="798">
        <f>MIN((CF78-CF88)*$C$90,FV($C$73,(CF4-OFFSET($D$4,0,1)),,XNPV($C$72,OFFSET($D$85,0,1):CF85,OFFSET($D$4,0,1):CF4)))*CF9</f>
        <v>0</v>
      </c>
      <c r="CG90" s="798">
        <f>MIN((CG78-CG88)*$C$90,FV($C$73,(CG4-OFFSET($D$4,0,1)),,XNPV($C$72,OFFSET($D$85,0,1):CG85,OFFSET($D$4,0,1):CG4)))*CG9</f>
        <v>0</v>
      </c>
      <c r="CH90" s="798">
        <f>MIN((CH78-CH88)*$C$90,FV($C$73,(CH4-OFFSET($D$4,0,1)),,XNPV($C$72,OFFSET($D$85,0,1):CH85,OFFSET($D$4,0,1):CH4)))*CH9</f>
        <v>0</v>
      </c>
      <c r="CI90" s="798">
        <f>MIN((CI78-CI88)*$C$90,FV($C$73,(CI4-OFFSET($D$4,0,1)),,XNPV($C$72,OFFSET($D$85,0,1):CI85,OFFSET($D$4,0,1):CI4)))*CI9</f>
        <v>0</v>
      </c>
      <c r="CJ90" s="798">
        <f>MIN((CJ78-CJ88)*$C$90,FV($C$73,(CJ4-OFFSET($D$4,0,1)),,XNPV($C$72,OFFSET($D$85,0,1):CJ85,OFFSET($D$4,0,1):CJ4)))*CJ9</f>
        <v>0</v>
      </c>
      <c r="CK90" s="798">
        <f>MIN((CK78-CK88)*$C$90,FV($C$73,(CK4-OFFSET($D$4,0,1)),,XNPV($C$72,OFFSET($D$85,0,1):CK85,OFFSET($D$4,0,1):CK4)))*CK9</f>
        <v>0</v>
      </c>
      <c r="CL90" s="798">
        <f>MIN((CL78-CL88)*$C$90,FV($C$73,(CL4-OFFSET($D$4,0,1)),,XNPV($C$72,OFFSET($D$85,0,1):CL85,OFFSET($D$4,0,1):CL4)))*CL9</f>
        <v>0</v>
      </c>
      <c r="CM90" s="798">
        <f>MIN((CM78-CM88)*$C$90,FV($C$73,(CM4-OFFSET($D$4,0,1)),,XNPV($C$72,OFFSET($D$85,0,1):CM85,OFFSET($D$4,0,1):CM4)))*CM9</f>
        <v>0</v>
      </c>
      <c r="CN90" s="798">
        <f>MIN((CN78-CN88)*$C$90,FV($C$73,(CN4-OFFSET($D$4,0,1)),,XNPV($C$72,OFFSET($D$85,0,1):CN85,OFFSET($D$4,0,1):CN4)))*CN9</f>
        <v>0</v>
      </c>
      <c r="CO90" s="798">
        <f>MIN((CO78-CO88)*$C$90,FV($C$73,(CO4-OFFSET($D$4,0,1)),,XNPV($C$72,OFFSET($D$85,0,1):CO85,OFFSET($D$4,0,1):CO4)))*CO9</f>
        <v>0</v>
      </c>
      <c r="CP90" s="798">
        <f>MIN((CP78-CP88)*$C$90,FV($C$73,(CP4-OFFSET($D$4,0,1)),,XNPV($C$72,OFFSET($D$85,0,1):CP85,OFFSET($D$4,0,1):CP4)))*CP9</f>
        <v>0</v>
      </c>
      <c r="CQ90" s="798">
        <f>MIN((CQ78-CQ88)*$C$90,FV($C$73,(CQ4-OFFSET($D$4,0,1)),,XNPV($C$72,OFFSET($D$85,0,1):CQ85,OFFSET($D$4,0,1):CQ4)))*CQ9</f>
        <v>0</v>
      </c>
      <c r="CR90" s="798">
        <f>MIN((CR78-CR88)*$C$90,FV($C$73,(CR4-OFFSET($D$4,0,1)),,XNPV($C$72,OFFSET($D$85,0,1):CR85,OFFSET($D$4,0,1):CR4)))*CR9</f>
        <v>0</v>
      </c>
      <c r="CS90" s="798">
        <f>MIN((CS78-CS88)*$C$90,FV($C$73,(CS4-OFFSET($D$4,0,1)),,XNPV($C$72,OFFSET($D$85,0,1):CS85,OFFSET($D$4,0,1):CS4)))*CS9</f>
        <v>0</v>
      </c>
      <c r="CT90" s="798">
        <f>MIN((CT78-CT88)*$C$90,FV($C$73,(CT4-OFFSET($D$4,0,1)),,XNPV($C$72,OFFSET($D$85,0,1):CT85,OFFSET($D$4,0,1):CT4)))*CT9</f>
        <v>0</v>
      </c>
      <c r="CU90" s="798">
        <f>MIN((CU78-CU88)*$C$90,FV($C$73,(CU4-OFFSET($D$4,0,1)),,XNPV($C$72,OFFSET($D$85,0,1):CU85,OFFSET($D$4,0,1):CU4)))*CU9</f>
        <v>0</v>
      </c>
      <c r="CV90" s="798">
        <f>MIN((CV78-CV88)*$C$90,FV($C$73,(CV4-OFFSET($D$4,0,1)),,XNPV($C$72,OFFSET($D$85,0,1):CV85,OFFSET($D$4,0,1):CV4)))*CV9</f>
        <v>0</v>
      </c>
      <c r="CW90" s="798">
        <f>MIN((CW78-CW88)*$C$90,FV($C$73,(CW4-OFFSET($D$4,0,1)),,XNPV($C$72,OFFSET($D$85,0,1):CW85,OFFSET($D$4,0,1):CW4)))*CW9</f>
        <v>0</v>
      </c>
      <c r="CX90" s="798">
        <f>MIN((CX78-CX88)*$C$90,FV($C$73,(CX4-OFFSET($D$4,0,1)),,XNPV($C$72,OFFSET($D$85,0,1):CX85,OFFSET($D$4,0,1):CX4)))*CX9</f>
        <v>0</v>
      </c>
      <c r="CY90" s="798">
        <f>MIN((CY78-CY88)*$C$90,FV($C$73,(CY4-OFFSET($D$4,0,1)),,XNPV($C$72,OFFSET($D$85,0,1):CY85,OFFSET($D$4,0,1):CY4)))*CY9</f>
        <v>0</v>
      </c>
      <c r="CZ90" s="798">
        <f>MIN((CZ78-CZ88)*$C$90,FV($C$73,(CZ4-OFFSET($D$4,0,1)),,XNPV($C$72,OFFSET($D$85,0,1):CZ85,OFFSET($D$4,0,1):CZ4)))*CZ9</f>
        <v>0</v>
      </c>
      <c r="DA90" s="798">
        <f>MIN((DA78-DA88)*$C$90,FV($C$73,(DA4-OFFSET($D$4,0,1)),,XNPV($C$72,OFFSET($D$85,0,1):DA85,OFFSET($D$4,0,1):DA4)))*DA9</f>
        <v>0</v>
      </c>
      <c r="DB90" s="798">
        <f>MIN((DB78-DB88)*$C$90,FV($C$73,(DB4-OFFSET($D$4,0,1)),,XNPV($C$72,OFFSET($D$85,0,1):DB85,OFFSET($D$4,0,1):DB4)))*DB9</f>
        <v>0</v>
      </c>
      <c r="DC90" s="798">
        <f>MIN((DC78-DC88)*$C$90,FV($C$73,(DC4-OFFSET($D$4,0,1)),,XNPV($C$72,OFFSET($D$85,0,1):DC85,OFFSET($D$4,0,1):DC4)))*DC9</f>
        <v>0</v>
      </c>
      <c r="DD90" s="798">
        <f>MIN((DD78-DD88)*$C$90,FV($C$73,(DD4-OFFSET($D$4,0,1)),,XNPV($C$72,OFFSET($D$85,0,1):DD85,OFFSET($D$4,0,1):DD4)))*DD9</f>
        <v>0</v>
      </c>
      <c r="DE90" s="798">
        <f>MIN((DE78-DE88)*$C$90,FV($C$73,(DE4-OFFSET($D$4,0,1)),,XNPV($C$72,OFFSET($D$85,0,1):DE85,OFFSET($D$4,0,1):DE4)))*DE9</f>
        <v>0</v>
      </c>
      <c r="DF90" s="798">
        <f>MIN((DF78-DF88)*$C$90,FV($C$73,(DF4-OFFSET($D$4,0,1)),,XNPV($C$72,OFFSET($D$85,0,1):DF85,OFFSET($D$4,0,1):DF4)))*DF9</f>
        <v>0</v>
      </c>
      <c r="DG90" s="798">
        <f>MIN((DG78-DG88)*$C$90,FV($C$73,(DG4-OFFSET($D$4,0,1)),,XNPV($C$72,OFFSET($D$85,0,1):DG85,OFFSET($D$4,0,1):DG4)))*DG9</f>
        <v>0</v>
      </c>
      <c r="DH90" s="798">
        <f>MIN((DH78-DH88)*$C$90,FV($C$73,(DH4-OFFSET($D$4,0,1)),,XNPV($C$72,OFFSET($D$85,0,1):DH85,OFFSET($D$4,0,1):DH4)))*DH9</f>
        <v>0</v>
      </c>
      <c r="DI90" s="798">
        <f>MIN((DI78-DI88)*$C$90,FV($C$73,(DI4-OFFSET($D$4,0,1)),,XNPV($C$72,OFFSET($D$85,0,1):DI85,OFFSET($D$4,0,1):DI4)))*DI9</f>
        <v>0</v>
      </c>
      <c r="DJ90" s="798">
        <f>MIN((DJ78-DJ88)*$C$90,FV($C$73,(DJ4-OFFSET($D$4,0,1)),,XNPV($C$72,OFFSET($D$85,0,1):DJ85,OFFSET($D$4,0,1):DJ4)))*DJ9</f>
        <v>0</v>
      </c>
      <c r="DK90" s="798">
        <f>MIN((DK78-DK88)*$C$90,FV($C$73,(DK4-OFFSET($D$4,0,1)),,XNPV($C$72,OFFSET($D$85,0,1):DK85,OFFSET($D$4,0,1):DK4)))*DK9</f>
        <v>0</v>
      </c>
      <c r="DL90" s="798">
        <f>MIN((DL78-DL88)*$C$90,FV($C$73,(DL4-OFFSET($D$4,0,1)),,XNPV($C$72,OFFSET($D$85,0,1):DL85,OFFSET($D$4,0,1):DL4)))*DL9</f>
        <v>0</v>
      </c>
      <c r="DM90" s="798">
        <f>MIN((DM78-DM88)*$C$90,FV($C$73,(DM4-OFFSET($D$4,0,1)),,XNPV($C$72,OFFSET($D$85,0,1):DM85,OFFSET($D$4,0,1):DM4)))*DM9</f>
        <v>0</v>
      </c>
      <c r="DN90" s="798">
        <f>MIN((DN78-DN88)*$C$90,FV($C$73,(DN4-OFFSET($D$4,0,1)),,XNPV($C$72,OFFSET($D$85,0,1):DN85,OFFSET($D$4,0,1):DN4)))*DN9</f>
        <v>0</v>
      </c>
      <c r="DO90" s="798">
        <f>MIN((DO78-DO88)*$C$90,FV($C$73,(DO4-OFFSET($D$4,0,1)),,XNPV($C$72,OFFSET($D$85,0,1):DO85,OFFSET($D$4,0,1):DO4)))*DO9</f>
        <v>0</v>
      </c>
      <c r="DP90" s="798">
        <f>MIN((DP78-DP88)*$C$90,FV($C$73,(DP4-OFFSET($D$4,0,1)),,XNPV($C$72,OFFSET($D$85,0,1):DP85,OFFSET($D$4,0,1):DP4)))*DP9</f>
        <v>0</v>
      </c>
      <c r="DQ90" s="798">
        <f>MIN((DQ78-DQ88)*$C$90,FV($C$73,(DQ4-OFFSET($D$4,0,1)),,XNPV($C$72,OFFSET($D$85,0,1):DQ85,OFFSET($D$4,0,1):DQ4)))*DQ9</f>
        <v>0</v>
      </c>
      <c r="DR90" s="798">
        <f>MIN((DR78-DR88)*$C$90,FV($C$73,(DR4-OFFSET($D$4,0,1)),,XNPV($C$72,OFFSET($D$85,0,1):DR85,OFFSET($D$4,0,1):DR4)))*DR9</f>
        <v>0</v>
      </c>
      <c r="DS90" s="798">
        <f>MIN((DS78-DS88)*$C$90,FV($C$73,(DS4-OFFSET($D$4,0,1)),,XNPV($C$72,OFFSET($D$85,0,1):DS85,OFFSET($D$4,0,1):DS4)))*DS9</f>
        <v>0</v>
      </c>
      <c r="DT90" s="798">
        <f>MIN((DT78-DT88)*$C$90,FV($C$73,(DT4-OFFSET($D$4,0,1)),,XNPV($C$72,OFFSET($D$85,0,1):DT85,OFFSET($D$4,0,1):DT4)))*DT9</f>
        <v>0</v>
      </c>
      <c r="DU90" s="798">
        <f>MIN((DU78-DU88)*$C$90,FV($C$73,(DU4-OFFSET($D$4,0,1)),,XNPV($C$72,OFFSET($D$85,0,1):DU85,OFFSET($D$4,0,1):DU4)))*DU9</f>
        <v>0</v>
      </c>
      <c r="DV90" s="798">
        <f>MIN((DV78-DV88)*$C$90,FV($C$73,(DV4-OFFSET($D$4,0,1)),,XNPV($C$72,OFFSET($D$85,0,1):DV85,OFFSET($D$4,0,1):DV4)))*DV9</f>
        <v>0</v>
      </c>
      <c r="DW90" s="798">
        <f>MIN((DW78-DW88)*$C$90,FV($C$73,(DW4-OFFSET($D$4,0,1)),,XNPV($C$72,OFFSET($D$85,0,1):DW85,OFFSET($D$4,0,1):DW4)))*DW9</f>
        <v>0</v>
      </c>
      <c r="DX90" s="798">
        <f>MIN((DX78-DX88)*$C$90,FV($C$73,(DX4-OFFSET($D$4,0,1)),,XNPV($C$72,OFFSET($D$85,0,1):DX85,OFFSET($D$4,0,1):DX4)))*DX9</f>
        <v>0</v>
      </c>
      <c r="DY90" s="798">
        <f>MIN((DY78-DY88)*$C$90,FV($C$73,(DY4-OFFSET($D$4,0,1)),,XNPV($C$72,OFFSET($D$85,0,1):DY85,OFFSET($D$4,0,1):DY4)))*DY9</f>
        <v>0</v>
      </c>
      <c r="DZ90" s="798">
        <f>MIN((DZ78-DZ88)*$C$90,FV($C$73,(DZ4-OFFSET($D$4,0,1)),,XNPV($C$72,OFFSET($D$85,0,1):DZ85,OFFSET($D$4,0,1):DZ4)))*DZ9</f>
        <v>0</v>
      </c>
      <c r="EA90" s="798">
        <f>MIN((EA78-EA88)*$C$90,FV($C$73,(EA4-OFFSET($D$4,0,1)),,XNPV($C$72,OFFSET($D$85,0,1):EA85,OFFSET($D$4,0,1):EA4)))*EA9</f>
        <v>0</v>
      </c>
      <c r="EB90" s="798">
        <f>MIN((EB78-EB88)*$C$90,FV($C$73,(EB4-OFFSET($D$4,0,1)),,XNPV($C$72,OFFSET($D$85,0,1):EB85,OFFSET($D$4,0,1):EB4)))*EB9</f>
        <v>0</v>
      </c>
      <c r="EC90" s="798">
        <f>MIN((EC78-EC88)*$C$90,FV($C$73,(EC4-OFFSET($D$4,0,1)),,XNPV($C$72,OFFSET($D$85,0,1):EC85,OFFSET($D$4,0,1):EC4)))*EC9</f>
        <v>0</v>
      </c>
      <c r="ED90" s="798">
        <f>MIN((ED78-ED88)*$C$90,FV($C$73,(ED4-OFFSET($D$4,0,1)),,XNPV($C$72,OFFSET($D$85,0,1):ED85,OFFSET($D$4,0,1):ED4)))*ED9</f>
        <v>0</v>
      </c>
      <c r="EE90" s="798">
        <f>MIN((EE78-EE88)*$C$90,FV($C$73,(EE4-OFFSET($D$4,0,1)),,XNPV($C$72,OFFSET($D$85,0,1):EE85,OFFSET($D$4,0,1):EE4)))*EE9</f>
        <v>0</v>
      </c>
      <c r="EF90" s="798">
        <f>MIN((EF78-EF88)*$C$90,FV($C$73,(EF4-OFFSET($D$4,0,1)),,XNPV($C$72,OFFSET($D$85,0,1):EF85,OFFSET($D$4,0,1):EF4)))*EF9</f>
        <v>0</v>
      </c>
      <c r="EG90" s="798">
        <f>MIN((EG78-EG88)*$C$90,FV($C$73,(EG4-OFFSET($D$4,0,1)),,XNPV($C$72,OFFSET($D$85,0,1):EG85,OFFSET($D$4,0,1):EG4)))*EG9</f>
        <v>0</v>
      </c>
      <c r="EH90" s="782"/>
    </row>
    <row r="91" spans="1:138" ht="12.75" customHeight="1" x14ac:dyDescent="0.3">
      <c r="A91" s="782"/>
      <c r="B91" s="782" t="s">
        <v>57</v>
      </c>
      <c r="C91" s="806">
        <f>+'Venture Assumptions'!F33</f>
        <v>0.2</v>
      </c>
      <c r="D91" s="782"/>
      <c r="E91" s="798">
        <f>$C$91/$C$90*E90</f>
        <v>0</v>
      </c>
      <c r="F91" s="798">
        <f t="shared" ref="F91:BQ91" si="79">$C$91/$C$90*F90</f>
        <v>0</v>
      </c>
      <c r="G91" s="798">
        <f t="shared" si="79"/>
        <v>0</v>
      </c>
      <c r="H91" s="798">
        <f t="shared" si="79"/>
        <v>0</v>
      </c>
      <c r="I91" s="798">
        <f t="shared" si="79"/>
        <v>0</v>
      </c>
      <c r="J91" s="798">
        <f t="shared" si="79"/>
        <v>0</v>
      </c>
      <c r="K91" s="798">
        <f t="shared" si="79"/>
        <v>0</v>
      </c>
      <c r="L91" s="798">
        <f t="shared" si="79"/>
        <v>0</v>
      </c>
      <c r="M91" s="798">
        <f t="shared" si="79"/>
        <v>0</v>
      </c>
      <c r="N91" s="798">
        <f t="shared" si="79"/>
        <v>0</v>
      </c>
      <c r="O91" s="798">
        <f t="shared" si="79"/>
        <v>0</v>
      </c>
      <c r="P91" s="798">
        <f t="shared" si="79"/>
        <v>0</v>
      </c>
      <c r="Q91" s="798">
        <f t="shared" si="79"/>
        <v>0</v>
      </c>
      <c r="R91" s="798">
        <f t="shared" si="79"/>
        <v>0</v>
      </c>
      <c r="S91" s="798">
        <f t="shared" si="79"/>
        <v>0</v>
      </c>
      <c r="T91" s="798">
        <f t="shared" si="79"/>
        <v>0</v>
      </c>
      <c r="U91" s="798">
        <f t="shared" si="79"/>
        <v>0</v>
      </c>
      <c r="V91" s="798">
        <f t="shared" si="79"/>
        <v>0</v>
      </c>
      <c r="W91" s="798">
        <f t="shared" si="79"/>
        <v>0</v>
      </c>
      <c r="X91" s="798">
        <f t="shared" si="79"/>
        <v>0</v>
      </c>
      <c r="Y91" s="798">
        <f t="shared" si="79"/>
        <v>0</v>
      </c>
      <c r="Z91" s="798">
        <f t="shared" si="79"/>
        <v>0</v>
      </c>
      <c r="AA91" s="798">
        <f t="shared" si="79"/>
        <v>0</v>
      </c>
      <c r="AB91" s="798">
        <f t="shared" si="79"/>
        <v>0</v>
      </c>
      <c r="AC91" s="798">
        <f t="shared" si="79"/>
        <v>0</v>
      </c>
      <c r="AD91" s="798">
        <f t="shared" si="79"/>
        <v>0</v>
      </c>
      <c r="AE91" s="798">
        <f t="shared" si="79"/>
        <v>0</v>
      </c>
      <c r="AF91" s="798">
        <f t="shared" si="79"/>
        <v>0</v>
      </c>
      <c r="AG91" s="798">
        <f t="shared" si="79"/>
        <v>0</v>
      </c>
      <c r="AH91" s="798">
        <f t="shared" si="79"/>
        <v>0</v>
      </c>
      <c r="AI91" s="798">
        <f t="shared" si="79"/>
        <v>0</v>
      </c>
      <c r="AJ91" s="798">
        <f t="shared" si="79"/>
        <v>0</v>
      </c>
      <c r="AK91" s="798">
        <f t="shared" si="79"/>
        <v>960035.95400480076</v>
      </c>
      <c r="AL91" s="798">
        <f t="shared" si="79"/>
        <v>0</v>
      </c>
      <c r="AM91" s="798">
        <f t="shared" si="79"/>
        <v>0</v>
      </c>
      <c r="AN91" s="798">
        <f t="shared" si="79"/>
        <v>0</v>
      </c>
      <c r="AO91" s="798">
        <f t="shared" si="79"/>
        <v>0</v>
      </c>
      <c r="AP91" s="798">
        <f t="shared" si="79"/>
        <v>0</v>
      </c>
      <c r="AQ91" s="798">
        <f t="shared" si="79"/>
        <v>0</v>
      </c>
      <c r="AR91" s="798">
        <f t="shared" si="79"/>
        <v>0</v>
      </c>
      <c r="AS91" s="798">
        <f t="shared" si="79"/>
        <v>0</v>
      </c>
      <c r="AT91" s="798">
        <f t="shared" si="79"/>
        <v>0</v>
      </c>
      <c r="AU91" s="798">
        <f t="shared" si="79"/>
        <v>0</v>
      </c>
      <c r="AV91" s="798">
        <f t="shared" si="79"/>
        <v>0</v>
      </c>
      <c r="AW91" s="798">
        <f t="shared" si="79"/>
        <v>0</v>
      </c>
      <c r="AX91" s="798">
        <f t="shared" si="79"/>
        <v>0</v>
      </c>
      <c r="AY91" s="798">
        <f t="shared" si="79"/>
        <v>0</v>
      </c>
      <c r="AZ91" s="798">
        <f t="shared" si="79"/>
        <v>0</v>
      </c>
      <c r="BA91" s="798">
        <f t="shared" si="79"/>
        <v>0</v>
      </c>
      <c r="BB91" s="798">
        <f t="shared" si="79"/>
        <v>0</v>
      </c>
      <c r="BC91" s="798">
        <f t="shared" si="79"/>
        <v>0</v>
      </c>
      <c r="BD91" s="798">
        <f t="shared" si="79"/>
        <v>0</v>
      </c>
      <c r="BE91" s="798">
        <f t="shared" si="79"/>
        <v>0</v>
      </c>
      <c r="BF91" s="798">
        <f t="shared" si="79"/>
        <v>0</v>
      </c>
      <c r="BG91" s="798">
        <f t="shared" si="79"/>
        <v>0</v>
      </c>
      <c r="BH91" s="798">
        <f t="shared" si="79"/>
        <v>0</v>
      </c>
      <c r="BI91" s="798">
        <f t="shared" si="79"/>
        <v>0</v>
      </c>
      <c r="BJ91" s="798">
        <f t="shared" si="79"/>
        <v>0</v>
      </c>
      <c r="BK91" s="798">
        <f t="shared" si="79"/>
        <v>0</v>
      </c>
      <c r="BL91" s="798">
        <f t="shared" si="79"/>
        <v>0</v>
      </c>
      <c r="BM91" s="798">
        <f t="shared" si="79"/>
        <v>0</v>
      </c>
      <c r="BN91" s="798">
        <f t="shared" si="79"/>
        <v>0</v>
      </c>
      <c r="BO91" s="798">
        <f t="shared" si="79"/>
        <v>0</v>
      </c>
      <c r="BP91" s="798">
        <f t="shared" si="79"/>
        <v>0</v>
      </c>
      <c r="BQ91" s="798">
        <f t="shared" si="79"/>
        <v>0</v>
      </c>
      <c r="BR91" s="798">
        <f t="shared" ref="BR91:EC91" si="80">$C$91/$C$90*BR90</f>
        <v>0</v>
      </c>
      <c r="BS91" s="798">
        <f t="shared" si="80"/>
        <v>0</v>
      </c>
      <c r="BT91" s="798">
        <f t="shared" si="80"/>
        <v>0</v>
      </c>
      <c r="BU91" s="798">
        <f t="shared" si="80"/>
        <v>0</v>
      </c>
      <c r="BV91" s="798">
        <f t="shared" si="80"/>
        <v>0</v>
      </c>
      <c r="BW91" s="798">
        <f t="shared" si="80"/>
        <v>0</v>
      </c>
      <c r="BX91" s="798">
        <f t="shared" si="80"/>
        <v>0</v>
      </c>
      <c r="BY91" s="798">
        <f t="shared" si="80"/>
        <v>0</v>
      </c>
      <c r="BZ91" s="798">
        <f t="shared" si="80"/>
        <v>0</v>
      </c>
      <c r="CA91" s="798">
        <f t="shared" si="80"/>
        <v>0</v>
      </c>
      <c r="CB91" s="798">
        <f t="shared" si="80"/>
        <v>0</v>
      </c>
      <c r="CC91" s="798">
        <f t="shared" si="80"/>
        <v>0</v>
      </c>
      <c r="CD91" s="798">
        <f t="shared" si="80"/>
        <v>0</v>
      </c>
      <c r="CE91" s="798">
        <f t="shared" si="80"/>
        <v>0</v>
      </c>
      <c r="CF91" s="798">
        <f t="shared" si="80"/>
        <v>0</v>
      </c>
      <c r="CG91" s="798">
        <f t="shared" si="80"/>
        <v>0</v>
      </c>
      <c r="CH91" s="798">
        <f t="shared" si="80"/>
        <v>0</v>
      </c>
      <c r="CI91" s="798">
        <f t="shared" si="80"/>
        <v>0</v>
      </c>
      <c r="CJ91" s="798">
        <f t="shared" si="80"/>
        <v>0</v>
      </c>
      <c r="CK91" s="798">
        <f t="shared" si="80"/>
        <v>0</v>
      </c>
      <c r="CL91" s="798">
        <f t="shared" si="80"/>
        <v>0</v>
      </c>
      <c r="CM91" s="798">
        <f t="shared" si="80"/>
        <v>0</v>
      </c>
      <c r="CN91" s="798">
        <f t="shared" si="80"/>
        <v>0</v>
      </c>
      <c r="CO91" s="798">
        <f t="shared" si="80"/>
        <v>0</v>
      </c>
      <c r="CP91" s="798">
        <f t="shared" si="80"/>
        <v>0</v>
      </c>
      <c r="CQ91" s="798">
        <f t="shared" si="80"/>
        <v>0</v>
      </c>
      <c r="CR91" s="798">
        <f t="shared" si="80"/>
        <v>0</v>
      </c>
      <c r="CS91" s="798">
        <f t="shared" si="80"/>
        <v>0</v>
      </c>
      <c r="CT91" s="798">
        <f t="shared" si="80"/>
        <v>0</v>
      </c>
      <c r="CU91" s="798">
        <f t="shared" si="80"/>
        <v>0</v>
      </c>
      <c r="CV91" s="798">
        <f t="shared" si="80"/>
        <v>0</v>
      </c>
      <c r="CW91" s="798">
        <f t="shared" si="80"/>
        <v>0</v>
      </c>
      <c r="CX91" s="798">
        <f t="shared" si="80"/>
        <v>0</v>
      </c>
      <c r="CY91" s="798">
        <f t="shared" si="80"/>
        <v>0</v>
      </c>
      <c r="CZ91" s="798">
        <f t="shared" si="80"/>
        <v>0</v>
      </c>
      <c r="DA91" s="798">
        <f t="shared" si="80"/>
        <v>0</v>
      </c>
      <c r="DB91" s="798">
        <f t="shared" si="80"/>
        <v>0</v>
      </c>
      <c r="DC91" s="798">
        <f t="shared" si="80"/>
        <v>0</v>
      </c>
      <c r="DD91" s="798">
        <f t="shared" si="80"/>
        <v>0</v>
      </c>
      <c r="DE91" s="798">
        <f t="shared" si="80"/>
        <v>0</v>
      </c>
      <c r="DF91" s="798">
        <f t="shared" si="80"/>
        <v>0</v>
      </c>
      <c r="DG91" s="798">
        <f t="shared" si="80"/>
        <v>0</v>
      </c>
      <c r="DH91" s="798">
        <f t="shared" si="80"/>
        <v>0</v>
      </c>
      <c r="DI91" s="798">
        <f t="shared" si="80"/>
        <v>0</v>
      </c>
      <c r="DJ91" s="798">
        <f t="shared" si="80"/>
        <v>0</v>
      </c>
      <c r="DK91" s="798">
        <f t="shared" si="80"/>
        <v>0</v>
      </c>
      <c r="DL91" s="798">
        <f t="shared" si="80"/>
        <v>0</v>
      </c>
      <c r="DM91" s="798">
        <f t="shared" si="80"/>
        <v>0</v>
      </c>
      <c r="DN91" s="798">
        <f t="shared" si="80"/>
        <v>0</v>
      </c>
      <c r="DO91" s="798">
        <f t="shared" si="80"/>
        <v>0</v>
      </c>
      <c r="DP91" s="798">
        <f t="shared" si="80"/>
        <v>0</v>
      </c>
      <c r="DQ91" s="798">
        <f t="shared" si="80"/>
        <v>0</v>
      </c>
      <c r="DR91" s="798">
        <f t="shared" si="80"/>
        <v>0</v>
      </c>
      <c r="DS91" s="798">
        <f t="shared" si="80"/>
        <v>0</v>
      </c>
      <c r="DT91" s="798">
        <f t="shared" si="80"/>
        <v>0</v>
      </c>
      <c r="DU91" s="798">
        <f t="shared" si="80"/>
        <v>0</v>
      </c>
      <c r="DV91" s="798">
        <f t="shared" si="80"/>
        <v>0</v>
      </c>
      <c r="DW91" s="798">
        <f t="shared" si="80"/>
        <v>0</v>
      </c>
      <c r="DX91" s="798">
        <f t="shared" si="80"/>
        <v>0</v>
      </c>
      <c r="DY91" s="798">
        <f t="shared" si="80"/>
        <v>0</v>
      </c>
      <c r="DZ91" s="798">
        <f t="shared" si="80"/>
        <v>0</v>
      </c>
      <c r="EA91" s="798">
        <f t="shared" si="80"/>
        <v>0</v>
      </c>
      <c r="EB91" s="798">
        <f t="shared" si="80"/>
        <v>0</v>
      </c>
      <c r="EC91" s="798">
        <f t="shared" si="80"/>
        <v>0</v>
      </c>
      <c r="ED91" s="798">
        <f>$C$91/$C$90*ED90</f>
        <v>0</v>
      </c>
      <c r="EE91" s="798">
        <f>$C$91/$C$90*EE90</f>
        <v>0</v>
      </c>
      <c r="EF91" s="798">
        <f>$C$91/$C$90*EF90</f>
        <v>0</v>
      </c>
      <c r="EG91" s="798">
        <f>$C$91/$C$90*EG90</f>
        <v>0</v>
      </c>
      <c r="EH91" s="782"/>
    </row>
    <row r="92" spans="1:138" ht="12.75" customHeight="1" x14ac:dyDescent="0.3">
      <c r="A92" s="782"/>
      <c r="B92" s="782"/>
      <c r="C92" s="808"/>
      <c r="D92" s="782"/>
      <c r="E92" s="798"/>
      <c r="F92" s="798"/>
      <c r="G92" s="798"/>
      <c r="H92" s="798"/>
      <c r="I92" s="798"/>
      <c r="J92" s="798"/>
      <c r="K92" s="798"/>
      <c r="L92" s="798"/>
      <c r="M92" s="798"/>
      <c r="N92" s="798"/>
      <c r="O92" s="798"/>
      <c r="P92" s="798"/>
      <c r="Q92" s="798"/>
      <c r="R92" s="798"/>
      <c r="S92" s="798"/>
      <c r="T92" s="798"/>
      <c r="U92" s="798"/>
      <c r="V92" s="798"/>
      <c r="W92" s="798"/>
      <c r="X92" s="798"/>
      <c r="Y92" s="798"/>
      <c r="Z92" s="798"/>
      <c r="AA92" s="798"/>
      <c r="AB92" s="798"/>
      <c r="AC92" s="798"/>
      <c r="AD92" s="798"/>
      <c r="AE92" s="798"/>
      <c r="AF92" s="798"/>
      <c r="AG92" s="798"/>
      <c r="AH92" s="798"/>
      <c r="AI92" s="798"/>
      <c r="AJ92" s="798"/>
      <c r="AK92" s="782"/>
      <c r="AL92" s="782"/>
      <c r="AM92" s="782"/>
      <c r="AN92" s="782"/>
      <c r="AO92" s="782"/>
      <c r="AP92" s="782"/>
      <c r="AQ92" s="782"/>
      <c r="AR92" s="782"/>
      <c r="AS92" s="782"/>
      <c r="AT92" s="782"/>
      <c r="AU92" s="782"/>
      <c r="AV92" s="782"/>
      <c r="AW92" s="782"/>
      <c r="AX92" s="782"/>
      <c r="AY92" s="782"/>
      <c r="AZ92" s="782"/>
      <c r="BA92" s="782"/>
      <c r="BB92" s="782"/>
      <c r="BC92" s="782"/>
      <c r="BD92" s="782"/>
      <c r="BE92" s="782"/>
      <c r="BF92" s="782"/>
      <c r="BG92" s="782"/>
      <c r="BH92" s="782"/>
      <c r="BI92" s="782"/>
      <c r="BJ92" s="782"/>
      <c r="BK92" s="782"/>
      <c r="BL92" s="782"/>
      <c r="BM92" s="782"/>
      <c r="BN92" s="782"/>
      <c r="BO92" s="782"/>
      <c r="BP92" s="782"/>
      <c r="BQ92" s="782"/>
      <c r="BR92" s="782"/>
      <c r="BS92" s="782"/>
      <c r="BT92" s="782"/>
      <c r="BU92" s="782"/>
      <c r="BV92" s="782"/>
      <c r="BW92" s="782"/>
      <c r="BX92" s="782"/>
      <c r="BY92" s="782"/>
      <c r="BZ92" s="782"/>
      <c r="CA92" s="782"/>
      <c r="CB92" s="782"/>
      <c r="CC92" s="782"/>
      <c r="CD92" s="782"/>
      <c r="CE92" s="782"/>
      <c r="CF92" s="782"/>
      <c r="CG92" s="782"/>
      <c r="CH92" s="782"/>
      <c r="CI92" s="782"/>
      <c r="CJ92" s="782"/>
      <c r="CK92" s="782"/>
      <c r="CL92" s="782"/>
      <c r="CM92" s="782"/>
      <c r="CN92" s="782"/>
      <c r="CO92" s="782"/>
      <c r="CP92" s="782"/>
      <c r="CQ92" s="782"/>
      <c r="CR92" s="782"/>
      <c r="CS92" s="782"/>
      <c r="CT92" s="782"/>
      <c r="CU92" s="782"/>
      <c r="CV92" s="782"/>
      <c r="CW92" s="782"/>
      <c r="CX92" s="782"/>
      <c r="CY92" s="782"/>
      <c r="CZ92" s="782"/>
      <c r="DA92" s="782"/>
      <c r="DB92" s="782"/>
      <c r="DC92" s="782"/>
      <c r="DD92" s="782"/>
      <c r="DE92" s="782"/>
      <c r="DF92" s="782"/>
      <c r="DG92" s="782"/>
      <c r="DH92" s="782"/>
      <c r="DI92" s="782"/>
      <c r="DJ92" s="782"/>
      <c r="DK92" s="782"/>
      <c r="DL92" s="782"/>
      <c r="DM92" s="782"/>
      <c r="DN92" s="782"/>
      <c r="DO92" s="782"/>
      <c r="DP92" s="782"/>
      <c r="DQ92" s="782"/>
      <c r="DR92" s="782"/>
      <c r="DS92" s="782"/>
      <c r="DT92" s="782"/>
      <c r="DU92" s="782"/>
      <c r="DV92" s="782"/>
      <c r="DW92" s="782"/>
      <c r="DX92" s="782"/>
      <c r="DY92" s="782"/>
      <c r="DZ92" s="782"/>
      <c r="EA92" s="782"/>
      <c r="EB92" s="782"/>
      <c r="EC92" s="782"/>
      <c r="ED92" s="782"/>
      <c r="EE92" s="782"/>
      <c r="EF92" s="782"/>
      <c r="EG92" s="782"/>
      <c r="EH92" s="782"/>
    </row>
    <row r="93" spans="1:138" ht="12.75" customHeight="1" x14ac:dyDescent="0.3">
      <c r="A93" s="782"/>
      <c r="B93" s="782" t="s">
        <v>325</v>
      </c>
      <c r="C93" s="798">
        <f>SUM(E93:EG93)</f>
        <v>12628775.454061441</v>
      </c>
      <c r="D93" s="782"/>
      <c r="E93" s="798">
        <f>E85+E90</f>
        <v>-1943435.5218400576</v>
      </c>
      <c r="F93" s="798">
        <f t="shared" ref="F93:BQ93" si="81">F85+F90</f>
        <v>-15208647.652673729</v>
      </c>
      <c r="G93" s="798">
        <f t="shared" si="81"/>
        <v>-491498.0015560445</v>
      </c>
      <c r="H93" s="798">
        <f t="shared" si="81"/>
        <v>-739130.23477478127</v>
      </c>
      <c r="I93" s="798">
        <f t="shared" si="81"/>
        <v>-1245669.8451237862</v>
      </c>
      <c r="J93" s="798">
        <f t="shared" si="81"/>
        <v>-2024138.5150061427</v>
      </c>
      <c r="K93" s="798">
        <f t="shared" si="81"/>
        <v>-2083605.0857725968</v>
      </c>
      <c r="L93" s="798">
        <f t="shared" si="81"/>
        <v>-2651537.8825037964</v>
      </c>
      <c r="M93" s="798">
        <f t="shared" si="81"/>
        <v>-3143136.2409976111</v>
      </c>
      <c r="N93" s="798">
        <f t="shared" si="81"/>
        <v>-3677476.1526163789</v>
      </c>
      <c r="O93" s="798">
        <f t="shared" si="81"/>
        <v>-2096036.1763591815</v>
      </c>
      <c r="P93" s="798">
        <f t="shared" si="81"/>
        <v>-20243.44524311414</v>
      </c>
      <c r="Q93" s="798">
        <f t="shared" si="81"/>
        <v>-21536.504033744335</v>
      </c>
      <c r="R93" s="798">
        <f t="shared" si="81"/>
        <v>-22846.387199595105</v>
      </c>
      <c r="S93" s="798">
        <f t="shared" si="81"/>
        <v>-24169.24296368286</v>
      </c>
      <c r="T93" s="798">
        <f t="shared" si="81"/>
        <v>-25405.192141294479</v>
      </c>
      <c r="U93" s="798">
        <f t="shared" si="81"/>
        <v>-26605.498258502688</v>
      </c>
      <c r="V93" s="798">
        <f t="shared" si="81"/>
        <v>-27716.271931473166</v>
      </c>
      <c r="W93" s="798">
        <f t="shared" si="81"/>
        <v>-28714.745112786535</v>
      </c>
      <c r="X93" s="798">
        <f t="shared" si="81"/>
        <v>-29708.008202723693</v>
      </c>
      <c r="Y93" s="798">
        <f t="shared" si="81"/>
        <v>-30619.505737842992</v>
      </c>
      <c r="Z93" s="798">
        <f t="shared" si="81"/>
        <v>-31386.510991997784</v>
      </c>
      <c r="AA93" s="798">
        <f t="shared" si="81"/>
        <v>-32040.043232684024</v>
      </c>
      <c r="AB93" s="798">
        <f t="shared" si="81"/>
        <v>-32583.318851409364</v>
      </c>
      <c r="AC93" s="798">
        <f t="shared" si="81"/>
        <v>11164.455298793153</v>
      </c>
      <c r="AD93" s="798">
        <f t="shared" si="81"/>
        <v>51087.02880827192</v>
      </c>
      <c r="AE93" s="798">
        <f t="shared" si="81"/>
        <v>96690.409152741282</v>
      </c>
      <c r="AF93" s="798">
        <f t="shared" si="81"/>
        <v>186128.38333325498</v>
      </c>
      <c r="AG93" s="798">
        <f t="shared" si="81"/>
        <v>189774.72498510519</v>
      </c>
      <c r="AH93" s="798">
        <f t="shared" si="81"/>
        <v>191077.87392284846</v>
      </c>
      <c r="AI93" s="798">
        <f t="shared" si="81"/>
        <v>424631.52148606483</v>
      </c>
      <c r="AJ93" s="798">
        <f t="shared" si="81"/>
        <v>427220.46900700842</v>
      </c>
      <c r="AK93" s="798">
        <f t="shared" si="81"/>
        <v>46708886.571192302</v>
      </c>
      <c r="AL93" s="798">
        <f t="shared" si="81"/>
        <v>0</v>
      </c>
      <c r="AM93" s="798">
        <f t="shared" si="81"/>
        <v>0</v>
      </c>
      <c r="AN93" s="798">
        <f t="shared" si="81"/>
        <v>0</v>
      </c>
      <c r="AO93" s="798">
        <f t="shared" si="81"/>
        <v>0</v>
      </c>
      <c r="AP93" s="798">
        <f t="shared" si="81"/>
        <v>0</v>
      </c>
      <c r="AQ93" s="798">
        <f t="shared" si="81"/>
        <v>0</v>
      </c>
      <c r="AR93" s="798">
        <f t="shared" si="81"/>
        <v>0</v>
      </c>
      <c r="AS93" s="798">
        <f t="shared" si="81"/>
        <v>0</v>
      </c>
      <c r="AT93" s="798">
        <f t="shared" si="81"/>
        <v>0</v>
      </c>
      <c r="AU93" s="798">
        <f t="shared" si="81"/>
        <v>0</v>
      </c>
      <c r="AV93" s="798">
        <f t="shared" si="81"/>
        <v>0</v>
      </c>
      <c r="AW93" s="798">
        <f t="shared" si="81"/>
        <v>0</v>
      </c>
      <c r="AX93" s="798">
        <f t="shared" si="81"/>
        <v>0</v>
      </c>
      <c r="AY93" s="798">
        <f t="shared" si="81"/>
        <v>0</v>
      </c>
      <c r="AZ93" s="798">
        <f t="shared" si="81"/>
        <v>0</v>
      </c>
      <c r="BA93" s="798">
        <f t="shared" si="81"/>
        <v>0</v>
      </c>
      <c r="BB93" s="798">
        <f t="shared" si="81"/>
        <v>0</v>
      </c>
      <c r="BC93" s="798">
        <f t="shared" si="81"/>
        <v>0</v>
      </c>
      <c r="BD93" s="798">
        <f t="shared" si="81"/>
        <v>0</v>
      </c>
      <c r="BE93" s="798">
        <f t="shared" si="81"/>
        <v>0</v>
      </c>
      <c r="BF93" s="798">
        <f t="shared" si="81"/>
        <v>0</v>
      </c>
      <c r="BG93" s="798">
        <f t="shared" si="81"/>
        <v>0</v>
      </c>
      <c r="BH93" s="798">
        <f t="shared" si="81"/>
        <v>0</v>
      </c>
      <c r="BI93" s="798">
        <f t="shared" si="81"/>
        <v>0</v>
      </c>
      <c r="BJ93" s="798">
        <f t="shared" si="81"/>
        <v>0</v>
      </c>
      <c r="BK93" s="798">
        <f t="shared" si="81"/>
        <v>0</v>
      </c>
      <c r="BL93" s="798">
        <f t="shared" si="81"/>
        <v>0</v>
      </c>
      <c r="BM93" s="798">
        <f t="shared" si="81"/>
        <v>0</v>
      </c>
      <c r="BN93" s="798">
        <f t="shared" si="81"/>
        <v>0</v>
      </c>
      <c r="BO93" s="798">
        <f t="shared" si="81"/>
        <v>0</v>
      </c>
      <c r="BP93" s="798">
        <f t="shared" si="81"/>
        <v>0</v>
      </c>
      <c r="BQ93" s="798">
        <f t="shared" si="81"/>
        <v>0</v>
      </c>
      <c r="BR93" s="798">
        <f t="shared" ref="BR93:EC93" si="82">BR85+BR90</f>
        <v>0</v>
      </c>
      <c r="BS93" s="798">
        <f t="shared" si="82"/>
        <v>0</v>
      </c>
      <c r="BT93" s="798">
        <f t="shared" si="82"/>
        <v>0</v>
      </c>
      <c r="BU93" s="798">
        <f t="shared" si="82"/>
        <v>0</v>
      </c>
      <c r="BV93" s="798">
        <f t="shared" si="82"/>
        <v>0</v>
      </c>
      <c r="BW93" s="798">
        <f t="shared" si="82"/>
        <v>0</v>
      </c>
      <c r="BX93" s="798">
        <f t="shared" si="82"/>
        <v>0</v>
      </c>
      <c r="BY93" s="798">
        <f t="shared" si="82"/>
        <v>0</v>
      </c>
      <c r="BZ93" s="798">
        <f t="shared" si="82"/>
        <v>0</v>
      </c>
      <c r="CA93" s="798">
        <f t="shared" si="82"/>
        <v>0</v>
      </c>
      <c r="CB93" s="798">
        <f t="shared" si="82"/>
        <v>0</v>
      </c>
      <c r="CC93" s="798">
        <f t="shared" si="82"/>
        <v>0</v>
      </c>
      <c r="CD93" s="798">
        <f t="shared" si="82"/>
        <v>0</v>
      </c>
      <c r="CE93" s="798">
        <f t="shared" si="82"/>
        <v>0</v>
      </c>
      <c r="CF93" s="798">
        <f t="shared" si="82"/>
        <v>0</v>
      </c>
      <c r="CG93" s="798">
        <f t="shared" si="82"/>
        <v>0</v>
      </c>
      <c r="CH93" s="798">
        <f t="shared" si="82"/>
        <v>0</v>
      </c>
      <c r="CI93" s="798">
        <f t="shared" si="82"/>
        <v>0</v>
      </c>
      <c r="CJ93" s="798">
        <f t="shared" si="82"/>
        <v>0</v>
      </c>
      <c r="CK93" s="798">
        <f t="shared" si="82"/>
        <v>0</v>
      </c>
      <c r="CL93" s="798">
        <f t="shared" si="82"/>
        <v>0</v>
      </c>
      <c r="CM93" s="798">
        <f t="shared" si="82"/>
        <v>0</v>
      </c>
      <c r="CN93" s="798">
        <f t="shared" si="82"/>
        <v>0</v>
      </c>
      <c r="CO93" s="798">
        <f t="shared" si="82"/>
        <v>0</v>
      </c>
      <c r="CP93" s="798">
        <f t="shared" si="82"/>
        <v>0</v>
      </c>
      <c r="CQ93" s="798">
        <f t="shared" si="82"/>
        <v>0</v>
      </c>
      <c r="CR93" s="798">
        <f t="shared" si="82"/>
        <v>0</v>
      </c>
      <c r="CS93" s="798">
        <f t="shared" si="82"/>
        <v>0</v>
      </c>
      <c r="CT93" s="798">
        <f t="shared" si="82"/>
        <v>0</v>
      </c>
      <c r="CU93" s="798">
        <f t="shared" si="82"/>
        <v>0</v>
      </c>
      <c r="CV93" s="798">
        <f t="shared" si="82"/>
        <v>0</v>
      </c>
      <c r="CW93" s="798">
        <f t="shared" si="82"/>
        <v>0</v>
      </c>
      <c r="CX93" s="798">
        <f t="shared" si="82"/>
        <v>0</v>
      </c>
      <c r="CY93" s="798">
        <f t="shared" si="82"/>
        <v>0</v>
      </c>
      <c r="CZ93" s="798">
        <f t="shared" si="82"/>
        <v>0</v>
      </c>
      <c r="DA93" s="798">
        <f t="shared" si="82"/>
        <v>0</v>
      </c>
      <c r="DB93" s="798">
        <f t="shared" si="82"/>
        <v>0</v>
      </c>
      <c r="DC93" s="798">
        <f t="shared" si="82"/>
        <v>0</v>
      </c>
      <c r="DD93" s="798">
        <f t="shared" si="82"/>
        <v>0</v>
      </c>
      <c r="DE93" s="798">
        <f t="shared" si="82"/>
        <v>0</v>
      </c>
      <c r="DF93" s="798">
        <f t="shared" si="82"/>
        <v>0</v>
      </c>
      <c r="DG93" s="798">
        <f t="shared" si="82"/>
        <v>0</v>
      </c>
      <c r="DH93" s="798">
        <f t="shared" si="82"/>
        <v>0</v>
      </c>
      <c r="DI93" s="798">
        <f t="shared" si="82"/>
        <v>0</v>
      </c>
      <c r="DJ93" s="798">
        <f t="shared" si="82"/>
        <v>0</v>
      </c>
      <c r="DK93" s="798">
        <f t="shared" si="82"/>
        <v>0</v>
      </c>
      <c r="DL93" s="798">
        <f t="shared" si="82"/>
        <v>0</v>
      </c>
      <c r="DM93" s="798">
        <f t="shared" si="82"/>
        <v>0</v>
      </c>
      <c r="DN93" s="798">
        <f t="shared" si="82"/>
        <v>0</v>
      </c>
      <c r="DO93" s="798">
        <f t="shared" si="82"/>
        <v>0</v>
      </c>
      <c r="DP93" s="798">
        <f t="shared" si="82"/>
        <v>0</v>
      </c>
      <c r="DQ93" s="798">
        <f t="shared" si="82"/>
        <v>0</v>
      </c>
      <c r="DR93" s="798">
        <f t="shared" si="82"/>
        <v>0</v>
      </c>
      <c r="DS93" s="798">
        <f t="shared" si="82"/>
        <v>0</v>
      </c>
      <c r="DT93" s="798">
        <f t="shared" si="82"/>
        <v>0</v>
      </c>
      <c r="DU93" s="798">
        <f t="shared" si="82"/>
        <v>0</v>
      </c>
      <c r="DV93" s="798">
        <f t="shared" si="82"/>
        <v>0</v>
      </c>
      <c r="DW93" s="798">
        <f t="shared" si="82"/>
        <v>0</v>
      </c>
      <c r="DX93" s="798">
        <f t="shared" si="82"/>
        <v>0</v>
      </c>
      <c r="DY93" s="798">
        <f t="shared" si="82"/>
        <v>0</v>
      </c>
      <c r="DZ93" s="798">
        <f t="shared" si="82"/>
        <v>0</v>
      </c>
      <c r="EA93" s="798">
        <f t="shared" si="82"/>
        <v>0</v>
      </c>
      <c r="EB93" s="798">
        <f t="shared" si="82"/>
        <v>0</v>
      </c>
      <c r="EC93" s="798">
        <f t="shared" si="82"/>
        <v>0</v>
      </c>
      <c r="ED93" s="798">
        <f>ED85+ED90</f>
        <v>0</v>
      </c>
      <c r="EE93" s="798">
        <f>EE85+EE90</f>
        <v>0</v>
      </c>
      <c r="EF93" s="798">
        <f>EF85+EF90</f>
        <v>0</v>
      </c>
      <c r="EG93" s="798">
        <f>EG85+EG90</f>
        <v>0</v>
      </c>
      <c r="EH93" s="782"/>
    </row>
    <row r="94" spans="1:138" ht="12.75" customHeight="1" x14ac:dyDescent="0.3">
      <c r="A94" s="782"/>
      <c r="B94" s="782" t="s">
        <v>59</v>
      </c>
      <c r="C94" s="806">
        <f>XIRR(OFFSET(E93,0,$C$141):EG93,OFFSET($E$4,0,$C$141):$EG$4)</f>
        <v>0.14000000357627859</v>
      </c>
      <c r="D94" s="782"/>
      <c r="E94" s="782"/>
      <c r="F94" s="782"/>
      <c r="G94" s="782"/>
      <c r="H94" s="782"/>
      <c r="I94" s="782"/>
      <c r="J94" s="782"/>
      <c r="K94" s="782"/>
      <c r="L94" s="782"/>
      <c r="M94" s="782"/>
      <c r="N94" s="782"/>
      <c r="O94" s="782"/>
      <c r="P94" s="782"/>
      <c r="Q94" s="782"/>
      <c r="R94" s="782"/>
      <c r="S94" s="782"/>
      <c r="T94" s="782"/>
      <c r="U94" s="782"/>
      <c r="V94" s="782"/>
      <c r="W94" s="782"/>
      <c r="X94" s="782"/>
      <c r="Y94" s="782"/>
      <c r="Z94" s="782"/>
      <c r="AA94" s="782"/>
      <c r="AB94" s="782"/>
      <c r="AC94" s="782"/>
      <c r="AD94" s="782"/>
      <c r="AE94" s="782"/>
      <c r="AF94" s="782"/>
      <c r="AG94" s="782"/>
      <c r="AH94" s="782"/>
      <c r="AI94" s="782"/>
      <c r="AJ94" s="782"/>
      <c r="AK94" s="782"/>
      <c r="AL94" s="782"/>
      <c r="AM94" s="782"/>
      <c r="AN94" s="782"/>
      <c r="AO94" s="782"/>
      <c r="AP94" s="782"/>
      <c r="AQ94" s="782"/>
      <c r="AR94" s="782"/>
      <c r="AS94" s="782"/>
      <c r="AT94" s="782"/>
      <c r="AU94" s="782"/>
      <c r="AV94" s="782"/>
      <c r="AW94" s="782"/>
      <c r="AX94" s="782"/>
      <c r="AY94" s="782"/>
      <c r="AZ94" s="782"/>
      <c r="BA94" s="782"/>
      <c r="BB94" s="782"/>
      <c r="BC94" s="782"/>
      <c r="BD94" s="782"/>
      <c r="BE94" s="782"/>
      <c r="BF94" s="782"/>
      <c r="BG94" s="782"/>
      <c r="BH94" s="782"/>
      <c r="BI94" s="782"/>
      <c r="BJ94" s="782"/>
      <c r="BK94" s="782"/>
      <c r="BL94" s="782"/>
      <c r="BM94" s="782"/>
      <c r="BN94" s="782"/>
      <c r="BO94" s="782"/>
      <c r="BP94" s="782"/>
      <c r="BQ94" s="782"/>
      <c r="BR94" s="782"/>
      <c r="BS94" s="782"/>
      <c r="BT94" s="782"/>
      <c r="BU94" s="782"/>
      <c r="BV94" s="782"/>
      <c r="BW94" s="782"/>
      <c r="BX94" s="782"/>
      <c r="BY94" s="782"/>
      <c r="BZ94" s="782"/>
      <c r="CA94" s="782"/>
      <c r="CB94" s="782"/>
      <c r="CC94" s="782"/>
      <c r="CD94" s="782"/>
      <c r="CE94" s="782"/>
      <c r="CF94" s="782"/>
      <c r="CG94" s="782"/>
      <c r="CH94" s="782"/>
      <c r="CI94" s="782"/>
      <c r="CJ94" s="782"/>
      <c r="CK94" s="782"/>
      <c r="CL94" s="782"/>
      <c r="CM94" s="782"/>
      <c r="CN94" s="782"/>
      <c r="CO94" s="782"/>
      <c r="CP94" s="782"/>
      <c r="CQ94" s="782"/>
      <c r="CR94" s="782"/>
      <c r="CS94" s="782"/>
      <c r="CT94" s="782"/>
      <c r="CU94" s="782"/>
      <c r="CV94" s="782"/>
      <c r="CW94" s="782"/>
      <c r="CX94" s="782"/>
      <c r="CY94" s="782"/>
      <c r="CZ94" s="782"/>
      <c r="DA94" s="782"/>
      <c r="DB94" s="782"/>
      <c r="DC94" s="782"/>
      <c r="DD94" s="782"/>
      <c r="DE94" s="782"/>
      <c r="DF94" s="782"/>
      <c r="DG94" s="782"/>
      <c r="DH94" s="782"/>
      <c r="DI94" s="782"/>
      <c r="DJ94" s="782"/>
      <c r="DK94" s="782"/>
      <c r="DL94" s="782"/>
      <c r="DM94" s="782"/>
      <c r="DN94" s="782"/>
      <c r="DO94" s="782"/>
      <c r="DP94" s="782"/>
      <c r="DQ94" s="782"/>
      <c r="DR94" s="782"/>
      <c r="DS94" s="782"/>
      <c r="DT94" s="782"/>
      <c r="DU94" s="782"/>
      <c r="DV94" s="782"/>
      <c r="DW94" s="782"/>
      <c r="DX94" s="782"/>
      <c r="DY94" s="782"/>
      <c r="DZ94" s="782"/>
      <c r="EA94" s="782"/>
      <c r="EB94" s="782"/>
      <c r="EC94" s="782"/>
      <c r="ED94" s="782"/>
      <c r="EE94" s="782"/>
      <c r="EF94" s="782"/>
      <c r="EG94" s="782"/>
      <c r="EH94" s="782"/>
    </row>
    <row r="95" spans="1:138" ht="12.75" customHeight="1" x14ac:dyDescent="0.3">
      <c r="A95" s="782"/>
      <c r="B95" s="782"/>
      <c r="C95" s="782"/>
      <c r="D95" s="782"/>
      <c r="E95" s="782"/>
      <c r="F95" s="782"/>
      <c r="G95" s="782"/>
      <c r="H95" s="782"/>
      <c r="I95" s="782"/>
      <c r="J95" s="782"/>
      <c r="K95" s="782"/>
      <c r="L95" s="782"/>
      <c r="M95" s="782"/>
      <c r="N95" s="782"/>
      <c r="O95" s="782"/>
      <c r="P95" s="782"/>
      <c r="Q95" s="782"/>
      <c r="R95" s="782"/>
      <c r="S95" s="782"/>
      <c r="T95" s="782"/>
      <c r="U95" s="782"/>
      <c r="V95" s="782"/>
      <c r="W95" s="782"/>
      <c r="X95" s="782"/>
      <c r="Y95" s="782"/>
      <c r="Z95" s="782"/>
      <c r="AA95" s="782"/>
      <c r="AB95" s="782"/>
      <c r="AC95" s="782"/>
      <c r="AD95" s="782"/>
      <c r="AE95" s="782"/>
      <c r="AF95" s="782"/>
      <c r="AG95" s="782"/>
      <c r="AH95" s="782"/>
      <c r="AI95" s="782"/>
      <c r="AJ95" s="782"/>
      <c r="AK95" s="782"/>
      <c r="AL95" s="782"/>
      <c r="AM95" s="782"/>
      <c r="AN95" s="782"/>
      <c r="AO95" s="782"/>
      <c r="AP95" s="782"/>
      <c r="AQ95" s="782"/>
      <c r="AR95" s="782"/>
      <c r="AS95" s="782"/>
      <c r="AT95" s="782"/>
      <c r="AU95" s="782"/>
      <c r="AV95" s="782"/>
      <c r="AW95" s="782"/>
      <c r="AX95" s="782"/>
      <c r="AY95" s="782"/>
      <c r="AZ95" s="782"/>
      <c r="BA95" s="782"/>
      <c r="BB95" s="782"/>
      <c r="BC95" s="782"/>
      <c r="BD95" s="782"/>
      <c r="BE95" s="782"/>
      <c r="BF95" s="782"/>
      <c r="BG95" s="782"/>
      <c r="BH95" s="782"/>
      <c r="BI95" s="782"/>
      <c r="BJ95" s="782"/>
      <c r="BK95" s="782"/>
      <c r="BL95" s="782"/>
      <c r="BM95" s="782"/>
      <c r="BN95" s="782"/>
      <c r="BO95" s="782"/>
      <c r="BP95" s="782"/>
      <c r="BQ95" s="782"/>
      <c r="BR95" s="782"/>
      <c r="BS95" s="782"/>
      <c r="BT95" s="782"/>
      <c r="BU95" s="782"/>
      <c r="BV95" s="782"/>
      <c r="BW95" s="782"/>
      <c r="BX95" s="782"/>
      <c r="BY95" s="782"/>
      <c r="BZ95" s="782"/>
      <c r="CA95" s="782"/>
      <c r="CB95" s="782"/>
      <c r="CC95" s="782"/>
      <c r="CD95" s="782"/>
      <c r="CE95" s="782"/>
      <c r="CF95" s="782"/>
      <c r="CG95" s="782"/>
      <c r="CH95" s="782"/>
      <c r="CI95" s="782"/>
      <c r="CJ95" s="782"/>
      <c r="CK95" s="782"/>
      <c r="CL95" s="782"/>
      <c r="CM95" s="782"/>
      <c r="CN95" s="782"/>
      <c r="CO95" s="782"/>
      <c r="CP95" s="782"/>
      <c r="CQ95" s="782"/>
      <c r="CR95" s="782"/>
      <c r="CS95" s="782"/>
      <c r="CT95" s="782"/>
      <c r="CU95" s="782"/>
      <c r="CV95" s="782"/>
      <c r="CW95" s="782"/>
      <c r="CX95" s="782"/>
      <c r="CY95" s="782"/>
      <c r="CZ95" s="782"/>
      <c r="DA95" s="782"/>
      <c r="DB95" s="782"/>
      <c r="DC95" s="782"/>
      <c r="DD95" s="782"/>
      <c r="DE95" s="782"/>
      <c r="DF95" s="782"/>
      <c r="DG95" s="782"/>
      <c r="DH95" s="782"/>
      <c r="DI95" s="782"/>
      <c r="DJ95" s="782"/>
      <c r="DK95" s="782"/>
      <c r="DL95" s="782"/>
      <c r="DM95" s="782"/>
      <c r="DN95" s="782"/>
      <c r="DO95" s="782"/>
      <c r="DP95" s="782"/>
      <c r="DQ95" s="782"/>
      <c r="DR95" s="782"/>
      <c r="DS95" s="782"/>
      <c r="DT95" s="782"/>
      <c r="DU95" s="782"/>
      <c r="DV95" s="782"/>
      <c r="DW95" s="782"/>
      <c r="DX95" s="782"/>
      <c r="DY95" s="782"/>
      <c r="DZ95" s="782"/>
      <c r="EA95" s="782"/>
      <c r="EB95" s="782"/>
      <c r="EC95" s="782"/>
      <c r="ED95" s="782"/>
      <c r="EE95" s="782"/>
      <c r="EF95" s="782"/>
      <c r="EG95" s="782"/>
      <c r="EH95" s="782"/>
    </row>
    <row r="96" spans="1:138" ht="12.75" customHeight="1" x14ac:dyDescent="0.3">
      <c r="A96" s="782"/>
      <c r="B96" s="782" t="s">
        <v>60</v>
      </c>
      <c r="C96" s="798">
        <f>SUM(E96:EG96)</f>
        <v>4800179.7700240035</v>
      </c>
      <c r="D96" s="782"/>
      <c r="E96" s="798">
        <f>SUM(E90:E91)</f>
        <v>0</v>
      </c>
      <c r="F96" s="798">
        <f t="shared" ref="F96:BQ96" si="83">SUM(F90:F91)</f>
        <v>0</v>
      </c>
      <c r="G96" s="798">
        <f t="shared" si="83"/>
        <v>0</v>
      </c>
      <c r="H96" s="798">
        <f t="shared" si="83"/>
        <v>0</v>
      </c>
      <c r="I96" s="798">
        <f t="shared" si="83"/>
        <v>0</v>
      </c>
      <c r="J96" s="798">
        <f t="shared" si="83"/>
        <v>0</v>
      </c>
      <c r="K96" s="798">
        <f t="shared" si="83"/>
        <v>0</v>
      </c>
      <c r="L96" s="798">
        <f t="shared" si="83"/>
        <v>0</v>
      </c>
      <c r="M96" s="798">
        <f t="shared" si="83"/>
        <v>0</v>
      </c>
      <c r="N96" s="798">
        <f t="shared" si="83"/>
        <v>0</v>
      </c>
      <c r="O96" s="798">
        <f t="shared" si="83"/>
        <v>0</v>
      </c>
      <c r="P96" s="798">
        <f t="shared" si="83"/>
        <v>0</v>
      </c>
      <c r="Q96" s="798">
        <f t="shared" si="83"/>
        <v>0</v>
      </c>
      <c r="R96" s="798">
        <f t="shared" si="83"/>
        <v>0</v>
      </c>
      <c r="S96" s="798">
        <f t="shared" si="83"/>
        <v>0</v>
      </c>
      <c r="T96" s="798">
        <f t="shared" si="83"/>
        <v>0</v>
      </c>
      <c r="U96" s="798">
        <f t="shared" si="83"/>
        <v>0</v>
      </c>
      <c r="V96" s="798">
        <f t="shared" si="83"/>
        <v>0</v>
      </c>
      <c r="W96" s="798">
        <f t="shared" si="83"/>
        <v>0</v>
      </c>
      <c r="X96" s="798">
        <f t="shared" si="83"/>
        <v>0</v>
      </c>
      <c r="Y96" s="798">
        <f t="shared" si="83"/>
        <v>0</v>
      </c>
      <c r="Z96" s="798">
        <f t="shared" si="83"/>
        <v>0</v>
      </c>
      <c r="AA96" s="798">
        <f t="shared" si="83"/>
        <v>0</v>
      </c>
      <c r="AB96" s="798">
        <f t="shared" si="83"/>
        <v>0</v>
      </c>
      <c r="AC96" s="798">
        <f t="shared" si="83"/>
        <v>0</v>
      </c>
      <c r="AD96" s="798">
        <f t="shared" si="83"/>
        <v>0</v>
      </c>
      <c r="AE96" s="798">
        <f t="shared" si="83"/>
        <v>0</v>
      </c>
      <c r="AF96" s="798">
        <f t="shared" si="83"/>
        <v>0</v>
      </c>
      <c r="AG96" s="798">
        <f t="shared" si="83"/>
        <v>0</v>
      </c>
      <c r="AH96" s="798">
        <f t="shared" si="83"/>
        <v>0</v>
      </c>
      <c r="AI96" s="798">
        <f t="shared" si="83"/>
        <v>0</v>
      </c>
      <c r="AJ96" s="798">
        <f t="shared" si="83"/>
        <v>0</v>
      </c>
      <c r="AK96" s="798">
        <f t="shared" si="83"/>
        <v>4800179.7700240035</v>
      </c>
      <c r="AL96" s="798">
        <f t="shared" si="83"/>
        <v>0</v>
      </c>
      <c r="AM96" s="798">
        <f t="shared" si="83"/>
        <v>0</v>
      </c>
      <c r="AN96" s="798">
        <f t="shared" si="83"/>
        <v>0</v>
      </c>
      <c r="AO96" s="798">
        <f t="shared" si="83"/>
        <v>0</v>
      </c>
      <c r="AP96" s="798">
        <f t="shared" si="83"/>
        <v>0</v>
      </c>
      <c r="AQ96" s="798">
        <f t="shared" si="83"/>
        <v>0</v>
      </c>
      <c r="AR96" s="798">
        <f t="shared" si="83"/>
        <v>0</v>
      </c>
      <c r="AS96" s="798">
        <f t="shared" si="83"/>
        <v>0</v>
      </c>
      <c r="AT96" s="798">
        <f t="shared" si="83"/>
        <v>0</v>
      </c>
      <c r="AU96" s="798">
        <f t="shared" si="83"/>
        <v>0</v>
      </c>
      <c r="AV96" s="798">
        <f t="shared" si="83"/>
        <v>0</v>
      </c>
      <c r="AW96" s="798">
        <f t="shared" si="83"/>
        <v>0</v>
      </c>
      <c r="AX96" s="798">
        <f t="shared" si="83"/>
        <v>0</v>
      </c>
      <c r="AY96" s="798">
        <f t="shared" si="83"/>
        <v>0</v>
      </c>
      <c r="AZ96" s="798">
        <f t="shared" si="83"/>
        <v>0</v>
      </c>
      <c r="BA96" s="798">
        <f t="shared" si="83"/>
        <v>0</v>
      </c>
      <c r="BB96" s="798">
        <f t="shared" si="83"/>
        <v>0</v>
      </c>
      <c r="BC96" s="798">
        <f t="shared" si="83"/>
        <v>0</v>
      </c>
      <c r="BD96" s="798">
        <f t="shared" si="83"/>
        <v>0</v>
      </c>
      <c r="BE96" s="798">
        <f t="shared" si="83"/>
        <v>0</v>
      </c>
      <c r="BF96" s="798">
        <f t="shared" si="83"/>
        <v>0</v>
      </c>
      <c r="BG96" s="798">
        <f t="shared" si="83"/>
        <v>0</v>
      </c>
      <c r="BH96" s="798">
        <f t="shared" si="83"/>
        <v>0</v>
      </c>
      <c r="BI96" s="798">
        <f t="shared" si="83"/>
        <v>0</v>
      </c>
      <c r="BJ96" s="798">
        <f t="shared" si="83"/>
        <v>0</v>
      </c>
      <c r="BK96" s="798">
        <f t="shared" si="83"/>
        <v>0</v>
      </c>
      <c r="BL96" s="798">
        <f t="shared" si="83"/>
        <v>0</v>
      </c>
      <c r="BM96" s="798">
        <f t="shared" si="83"/>
        <v>0</v>
      </c>
      <c r="BN96" s="798">
        <f t="shared" si="83"/>
        <v>0</v>
      </c>
      <c r="BO96" s="798">
        <f t="shared" si="83"/>
        <v>0</v>
      </c>
      <c r="BP96" s="798">
        <f t="shared" si="83"/>
        <v>0</v>
      </c>
      <c r="BQ96" s="798">
        <f t="shared" si="83"/>
        <v>0</v>
      </c>
      <c r="BR96" s="798">
        <f t="shared" ref="BR96:EC96" si="84">SUM(BR90:BR91)</f>
        <v>0</v>
      </c>
      <c r="BS96" s="798">
        <f t="shared" si="84"/>
        <v>0</v>
      </c>
      <c r="BT96" s="798">
        <f t="shared" si="84"/>
        <v>0</v>
      </c>
      <c r="BU96" s="798">
        <f t="shared" si="84"/>
        <v>0</v>
      </c>
      <c r="BV96" s="798">
        <f t="shared" si="84"/>
        <v>0</v>
      </c>
      <c r="BW96" s="798">
        <f t="shared" si="84"/>
        <v>0</v>
      </c>
      <c r="BX96" s="798">
        <f t="shared" si="84"/>
        <v>0</v>
      </c>
      <c r="BY96" s="798">
        <f t="shared" si="84"/>
        <v>0</v>
      </c>
      <c r="BZ96" s="798">
        <f t="shared" si="84"/>
        <v>0</v>
      </c>
      <c r="CA96" s="798">
        <f t="shared" si="84"/>
        <v>0</v>
      </c>
      <c r="CB96" s="798">
        <f t="shared" si="84"/>
        <v>0</v>
      </c>
      <c r="CC96" s="798">
        <f t="shared" si="84"/>
        <v>0</v>
      </c>
      <c r="CD96" s="798">
        <f t="shared" si="84"/>
        <v>0</v>
      </c>
      <c r="CE96" s="798">
        <f t="shared" si="84"/>
        <v>0</v>
      </c>
      <c r="CF96" s="798">
        <f t="shared" si="84"/>
        <v>0</v>
      </c>
      <c r="CG96" s="798">
        <f t="shared" si="84"/>
        <v>0</v>
      </c>
      <c r="CH96" s="798">
        <f t="shared" si="84"/>
        <v>0</v>
      </c>
      <c r="CI96" s="798">
        <f t="shared" si="84"/>
        <v>0</v>
      </c>
      <c r="CJ96" s="798">
        <f t="shared" si="84"/>
        <v>0</v>
      </c>
      <c r="CK96" s="798">
        <f t="shared" si="84"/>
        <v>0</v>
      </c>
      <c r="CL96" s="798">
        <f t="shared" si="84"/>
        <v>0</v>
      </c>
      <c r="CM96" s="798">
        <f t="shared" si="84"/>
        <v>0</v>
      </c>
      <c r="CN96" s="798">
        <f t="shared" si="84"/>
        <v>0</v>
      </c>
      <c r="CO96" s="798">
        <f t="shared" si="84"/>
        <v>0</v>
      </c>
      <c r="CP96" s="798">
        <f t="shared" si="84"/>
        <v>0</v>
      </c>
      <c r="CQ96" s="798">
        <f t="shared" si="84"/>
        <v>0</v>
      </c>
      <c r="CR96" s="798">
        <f t="shared" si="84"/>
        <v>0</v>
      </c>
      <c r="CS96" s="798">
        <f t="shared" si="84"/>
        <v>0</v>
      </c>
      <c r="CT96" s="798">
        <f t="shared" si="84"/>
        <v>0</v>
      </c>
      <c r="CU96" s="798">
        <f t="shared" si="84"/>
        <v>0</v>
      </c>
      <c r="CV96" s="798">
        <f t="shared" si="84"/>
        <v>0</v>
      </c>
      <c r="CW96" s="798">
        <f t="shared" si="84"/>
        <v>0</v>
      </c>
      <c r="CX96" s="798">
        <f t="shared" si="84"/>
        <v>0</v>
      </c>
      <c r="CY96" s="798">
        <f t="shared" si="84"/>
        <v>0</v>
      </c>
      <c r="CZ96" s="798">
        <f t="shared" si="84"/>
        <v>0</v>
      </c>
      <c r="DA96" s="798">
        <f t="shared" si="84"/>
        <v>0</v>
      </c>
      <c r="DB96" s="798">
        <f t="shared" si="84"/>
        <v>0</v>
      </c>
      <c r="DC96" s="798">
        <f t="shared" si="84"/>
        <v>0</v>
      </c>
      <c r="DD96" s="798">
        <f t="shared" si="84"/>
        <v>0</v>
      </c>
      <c r="DE96" s="798">
        <f t="shared" si="84"/>
        <v>0</v>
      </c>
      <c r="DF96" s="798">
        <f t="shared" si="84"/>
        <v>0</v>
      </c>
      <c r="DG96" s="798">
        <f t="shared" si="84"/>
        <v>0</v>
      </c>
      <c r="DH96" s="798">
        <f t="shared" si="84"/>
        <v>0</v>
      </c>
      <c r="DI96" s="798">
        <f t="shared" si="84"/>
        <v>0</v>
      </c>
      <c r="DJ96" s="798">
        <f t="shared" si="84"/>
        <v>0</v>
      </c>
      <c r="DK96" s="798">
        <f t="shared" si="84"/>
        <v>0</v>
      </c>
      <c r="DL96" s="798">
        <f t="shared" si="84"/>
        <v>0</v>
      </c>
      <c r="DM96" s="798">
        <f t="shared" si="84"/>
        <v>0</v>
      </c>
      <c r="DN96" s="798">
        <f t="shared" si="84"/>
        <v>0</v>
      </c>
      <c r="DO96" s="798">
        <f t="shared" si="84"/>
        <v>0</v>
      </c>
      <c r="DP96" s="798">
        <f t="shared" si="84"/>
        <v>0</v>
      </c>
      <c r="DQ96" s="798">
        <f t="shared" si="84"/>
        <v>0</v>
      </c>
      <c r="DR96" s="798">
        <f t="shared" si="84"/>
        <v>0</v>
      </c>
      <c r="DS96" s="798">
        <f t="shared" si="84"/>
        <v>0</v>
      </c>
      <c r="DT96" s="798">
        <f t="shared" si="84"/>
        <v>0</v>
      </c>
      <c r="DU96" s="798">
        <f t="shared" si="84"/>
        <v>0</v>
      </c>
      <c r="DV96" s="798">
        <f t="shared" si="84"/>
        <v>0</v>
      </c>
      <c r="DW96" s="798">
        <f t="shared" si="84"/>
        <v>0</v>
      </c>
      <c r="DX96" s="798">
        <f t="shared" si="84"/>
        <v>0</v>
      </c>
      <c r="DY96" s="798">
        <f t="shared" si="84"/>
        <v>0</v>
      </c>
      <c r="DZ96" s="798">
        <f t="shared" si="84"/>
        <v>0</v>
      </c>
      <c r="EA96" s="798">
        <f t="shared" si="84"/>
        <v>0</v>
      </c>
      <c r="EB96" s="798">
        <f t="shared" si="84"/>
        <v>0</v>
      </c>
      <c r="EC96" s="798">
        <f t="shared" si="84"/>
        <v>0</v>
      </c>
      <c r="ED96" s="798">
        <f>SUM(ED90:ED91)</f>
        <v>0</v>
      </c>
      <c r="EE96" s="798">
        <f>SUM(EE90:EE91)</f>
        <v>0</v>
      </c>
      <c r="EF96" s="798">
        <f>SUM(EF90:EF91)</f>
        <v>0</v>
      </c>
      <c r="EG96" s="798">
        <f>SUM(EG90:EG91)</f>
        <v>0</v>
      </c>
      <c r="EH96" s="782"/>
    </row>
    <row r="97" spans="1:138" ht="12.75" customHeight="1" x14ac:dyDescent="0.3">
      <c r="A97" s="782"/>
      <c r="B97" s="782"/>
      <c r="C97" s="782"/>
      <c r="D97" s="782"/>
      <c r="E97" s="782"/>
      <c r="F97" s="782"/>
      <c r="G97" s="782"/>
      <c r="H97" s="782"/>
      <c r="I97" s="782"/>
      <c r="J97" s="782"/>
      <c r="K97" s="782"/>
      <c r="L97" s="782"/>
      <c r="M97" s="782"/>
      <c r="N97" s="782"/>
      <c r="O97" s="782"/>
      <c r="P97" s="782"/>
      <c r="Q97" s="782"/>
      <c r="R97" s="782"/>
      <c r="S97" s="782"/>
      <c r="T97" s="782"/>
      <c r="U97" s="782"/>
      <c r="V97" s="782"/>
      <c r="W97" s="782"/>
      <c r="X97" s="782"/>
      <c r="Y97" s="782"/>
      <c r="Z97" s="782"/>
      <c r="AA97" s="782"/>
      <c r="AB97" s="782"/>
      <c r="AC97" s="782"/>
      <c r="AD97" s="782"/>
      <c r="AE97" s="782"/>
      <c r="AF97" s="782"/>
      <c r="AG97" s="782"/>
      <c r="AH97" s="782"/>
      <c r="AI97" s="782"/>
      <c r="AJ97" s="782"/>
      <c r="AK97" s="782"/>
      <c r="AL97" s="782"/>
      <c r="AM97" s="782"/>
      <c r="AN97" s="782"/>
      <c r="AO97" s="782"/>
      <c r="AP97" s="782"/>
      <c r="AQ97" s="782"/>
      <c r="AR97" s="782"/>
      <c r="AS97" s="782"/>
      <c r="AT97" s="782"/>
      <c r="AU97" s="782"/>
      <c r="AV97" s="782"/>
      <c r="AW97" s="782"/>
      <c r="AX97" s="782"/>
      <c r="AY97" s="782"/>
      <c r="AZ97" s="782"/>
      <c r="BA97" s="782"/>
      <c r="BB97" s="782"/>
      <c r="BC97" s="782"/>
      <c r="BD97" s="782"/>
      <c r="BE97" s="782"/>
      <c r="BF97" s="782"/>
      <c r="BG97" s="782"/>
      <c r="BH97" s="782"/>
      <c r="BI97" s="782"/>
      <c r="BJ97" s="782"/>
      <c r="BK97" s="782"/>
      <c r="BL97" s="782"/>
      <c r="BM97" s="782"/>
      <c r="BN97" s="782"/>
      <c r="BO97" s="782"/>
      <c r="BP97" s="782"/>
      <c r="BQ97" s="782"/>
      <c r="BR97" s="782"/>
      <c r="BS97" s="782"/>
      <c r="BT97" s="782"/>
      <c r="BU97" s="782"/>
      <c r="BV97" s="782"/>
      <c r="BW97" s="782"/>
      <c r="BX97" s="782"/>
      <c r="BY97" s="782"/>
      <c r="BZ97" s="782"/>
      <c r="CA97" s="782"/>
      <c r="CB97" s="782"/>
      <c r="CC97" s="782"/>
      <c r="CD97" s="782"/>
      <c r="CE97" s="782"/>
      <c r="CF97" s="782"/>
      <c r="CG97" s="782"/>
      <c r="CH97" s="782"/>
      <c r="CI97" s="782"/>
      <c r="CJ97" s="782"/>
      <c r="CK97" s="782"/>
      <c r="CL97" s="782"/>
      <c r="CM97" s="782"/>
      <c r="CN97" s="782"/>
      <c r="CO97" s="782"/>
      <c r="CP97" s="782"/>
      <c r="CQ97" s="782"/>
      <c r="CR97" s="782"/>
      <c r="CS97" s="782"/>
      <c r="CT97" s="782"/>
      <c r="CU97" s="782"/>
      <c r="CV97" s="782"/>
      <c r="CW97" s="782"/>
      <c r="CX97" s="782"/>
      <c r="CY97" s="782"/>
      <c r="CZ97" s="782"/>
      <c r="DA97" s="782"/>
      <c r="DB97" s="782"/>
      <c r="DC97" s="782"/>
      <c r="DD97" s="782"/>
      <c r="DE97" s="782"/>
      <c r="DF97" s="782"/>
      <c r="DG97" s="782"/>
      <c r="DH97" s="782"/>
      <c r="DI97" s="782"/>
      <c r="DJ97" s="782"/>
      <c r="DK97" s="782"/>
      <c r="DL97" s="782"/>
      <c r="DM97" s="782"/>
      <c r="DN97" s="782"/>
      <c r="DO97" s="782"/>
      <c r="DP97" s="782"/>
      <c r="DQ97" s="782"/>
      <c r="DR97" s="782"/>
      <c r="DS97" s="782"/>
      <c r="DT97" s="782"/>
      <c r="DU97" s="782"/>
      <c r="DV97" s="782"/>
      <c r="DW97" s="782"/>
      <c r="DX97" s="782"/>
      <c r="DY97" s="782"/>
      <c r="DZ97" s="782"/>
      <c r="EA97" s="782"/>
      <c r="EB97" s="782"/>
      <c r="EC97" s="782"/>
      <c r="ED97" s="782"/>
      <c r="EE97" s="782"/>
      <c r="EF97" s="782"/>
      <c r="EG97" s="782"/>
      <c r="EH97" s="782"/>
    </row>
    <row r="98" spans="1:138" ht="12.75" customHeight="1" x14ac:dyDescent="0.3">
      <c r="A98" s="782"/>
      <c r="B98" s="782" t="s">
        <v>61</v>
      </c>
      <c r="C98" s="806">
        <f>+'Venture Assumptions'!F37</f>
        <v>0.65</v>
      </c>
      <c r="D98" s="782"/>
      <c r="E98" s="798">
        <f>MIN((E78-E88-E96)*$C$98,FV($C$75,(E4-OFFSET($D$4,0,1)),,XNPV($C$74,OFFSET($D$93,0,1):E93,OFFSET($D$4,0,1):E4)))*E9</f>
        <v>0</v>
      </c>
      <c r="F98" s="798">
        <f>MIN((F78-F88-F96)*$C$98,FV($C$75,(F4-OFFSET($D$4,0,1)),,XNPV($C$74,OFFSET($D$93,0,1):F93,OFFSET($D$4,0,1):F4)))*F9</f>
        <v>0</v>
      </c>
      <c r="G98" s="798">
        <f>MIN((G78-G88-G96)*$C$98,FV($C$75,(G4-OFFSET($D$4,0,1)),,XNPV($C$74,OFFSET($D$93,0,1):G93,OFFSET($D$4,0,1):G4)))*G9</f>
        <v>0</v>
      </c>
      <c r="H98" s="798">
        <f>MIN((H78-H88-H96)*$C$98,FV($C$75,(H4-OFFSET($D$4,0,1)),,XNPV($C$74,OFFSET($D$93,0,1):H93,OFFSET($D$4,0,1):H4)))*H9</f>
        <v>0</v>
      </c>
      <c r="I98" s="798">
        <f>MIN((I78-I88-I96)*$C$98,FV($C$75,(I4-OFFSET($D$4,0,1)),,XNPV($C$74,OFFSET($D$93,0,1):I93,OFFSET($D$4,0,1):I4)))*I9</f>
        <v>0</v>
      </c>
      <c r="J98" s="798">
        <f>MIN((J78-J88-J96)*$C$98,FV($C$75,(J4-OFFSET($D$4,0,1)),,XNPV($C$74,OFFSET($D$93,0,1):J93,OFFSET($D$4,0,1):J4)))*J9</f>
        <v>0</v>
      </c>
      <c r="K98" s="798">
        <f>MIN((K78-K88-K96)*$C$98,FV($C$75,(K4-OFFSET($D$4,0,1)),,XNPV($C$74,OFFSET($D$93,0,1):K93,OFFSET($D$4,0,1):K4)))*K9</f>
        <v>0</v>
      </c>
      <c r="L98" s="798">
        <f>MIN((L78-L88-L96)*$C$98,FV($C$75,(L4-OFFSET($D$4,0,1)),,XNPV($C$74,OFFSET($D$93,0,1):L93,OFFSET($D$4,0,1):L4)))*L9</f>
        <v>0</v>
      </c>
      <c r="M98" s="798">
        <f>MIN((M78-M88-M96)*$C$98,FV($C$75,(M4-OFFSET($D$4,0,1)),,XNPV($C$74,OFFSET($D$93,0,1):M93,OFFSET($D$4,0,1):M4)))*M9</f>
        <v>0</v>
      </c>
      <c r="N98" s="798">
        <f>MIN((N78-N88-N96)*$C$98,FV($C$75,(N4-OFFSET($D$4,0,1)),,XNPV($C$74,OFFSET($D$93,0,1):N93,OFFSET($D$4,0,1):N4)))*N9</f>
        <v>0</v>
      </c>
      <c r="O98" s="798">
        <f>MIN((O78-O88-O96)*$C$98,FV($C$75,(O4-OFFSET($D$4,0,1)),,XNPV($C$74,OFFSET($D$93,0,1):O93,OFFSET($D$4,0,1):O4)))*O9</f>
        <v>0</v>
      </c>
      <c r="P98" s="798">
        <f>MIN((P78-P88-P96)*$C$98,FV($C$75,(P4-OFFSET($D$4,0,1)),,XNPV($C$74,OFFSET($D$93,0,1):P93,OFFSET($D$4,0,1):P4)))*P9</f>
        <v>0</v>
      </c>
      <c r="Q98" s="798">
        <f>MIN((Q78-Q88-Q96)*$C$98,FV($C$75,(Q4-OFFSET($D$4,0,1)),,XNPV($C$74,OFFSET($D$93,0,1):Q93,OFFSET($D$4,0,1):Q4)))*Q9</f>
        <v>0</v>
      </c>
      <c r="R98" s="798">
        <f>MIN((R78-R88-R96)*$C$98,FV($C$75,(R4-OFFSET($D$4,0,1)),,XNPV($C$74,OFFSET($D$93,0,1):R93,OFFSET($D$4,0,1):R4)))*R9</f>
        <v>0</v>
      </c>
      <c r="S98" s="798">
        <f>MIN((S78-S88-S96)*$C$98,FV($C$75,(S4-OFFSET($D$4,0,1)),,XNPV($C$74,OFFSET($D$93,0,1):S93,OFFSET($D$4,0,1):S4)))*S9</f>
        <v>0</v>
      </c>
      <c r="T98" s="798">
        <f>MIN((T78-T88-T96)*$C$98,FV($C$75,(T4-OFFSET($D$4,0,1)),,XNPV($C$74,OFFSET($D$93,0,1):T93,OFFSET($D$4,0,1):T4)))*T9</f>
        <v>0</v>
      </c>
      <c r="U98" s="798">
        <f>MIN((U78-U88-U96)*$C$98,FV($C$75,(U4-OFFSET($D$4,0,1)),,XNPV($C$74,OFFSET($D$93,0,1):U93,OFFSET($D$4,0,1):U4)))*U9</f>
        <v>0</v>
      </c>
      <c r="V98" s="798">
        <f>MIN((V78-V88-V96)*$C$98,FV($C$75,(V4-OFFSET($D$4,0,1)),,XNPV($C$74,OFFSET($D$93,0,1):V93,OFFSET($D$4,0,1):V4)))*V9</f>
        <v>0</v>
      </c>
      <c r="W98" s="798">
        <f>MIN((W78-W88-W96)*$C$98,FV($C$75,(W4-OFFSET($D$4,0,1)),,XNPV($C$74,OFFSET($D$93,0,1):W93,OFFSET($D$4,0,1):W4)))*W9</f>
        <v>0</v>
      </c>
      <c r="X98" s="798">
        <f>MIN((X78-X88-X96)*$C$98,FV($C$75,(X4-OFFSET($D$4,0,1)),,XNPV($C$74,OFFSET($D$93,0,1):X93,OFFSET($D$4,0,1):X4)))*X9</f>
        <v>0</v>
      </c>
      <c r="Y98" s="798">
        <f>MIN((Y78-Y88-Y96)*$C$98,FV($C$75,(Y4-OFFSET($D$4,0,1)),,XNPV($C$74,OFFSET($D$93,0,1):Y93,OFFSET($D$4,0,1):Y4)))*Y9</f>
        <v>0</v>
      </c>
      <c r="Z98" s="798">
        <f>MIN((Z78-Z88-Z96)*$C$98,FV($C$75,(Z4-OFFSET($D$4,0,1)),,XNPV($C$74,OFFSET($D$93,0,1):Z93,OFFSET($D$4,0,1):Z4)))*Z9</f>
        <v>0</v>
      </c>
      <c r="AA98" s="798">
        <f>MIN((AA78-AA88-AA96)*$C$98,FV($C$75,(AA4-OFFSET($D$4,0,1)),,XNPV($C$74,OFFSET($D$93,0,1):AA93,OFFSET($D$4,0,1):AA4)))*AA9</f>
        <v>0</v>
      </c>
      <c r="AB98" s="798">
        <f>MIN((AB78-AB88-AB96)*$C$98,FV($C$75,(AB4-OFFSET($D$4,0,1)),,XNPV($C$74,OFFSET($D$93,0,1):AB93,OFFSET($D$4,0,1):AB4)))*AB9</f>
        <v>0</v>
      </c>
      <c r="AC98" s="798">
        <f>MIN((AC78-AC88-AC96)*$C$98,FV($C$75,(AC4-OFFSET($D$4,0,1)),,XNPV($C$74,OFFSET($D$93,0,1):AC93,OFFSET($D$4,0,1):AC4)))*AC9</f>
        <v>0</v>
      </c>
      <c r="AD98" s="798">
        <f>MIN((AD78-AD88-AD96)*$C$98,FV($C$75,(AD4-OFFSET($D$4,0,1)),,XNPV($C$74,OFFSET($D$93,0,1):AD93,OFFSET($D$4,0,1):AD4)))*AD9</f>
        <v>0</v>
      </c>
      <c r="AE98" s="798">
        <f>MIN((AE78-AE88-AE96)*$C$98,FV($C$75,(AE4-OFFSET($D$4,0,1)),,XNPV($C$74,OFFSET($D$93,0,1):AE93,OFFSET($D$4,0,1):AE4)))*AE9</f>
        <v>0</v>
      </c>
      <c r="AF98" s="798">
        <f>MIN((AF78-AF88-AF96)*$C$98,FV($C$75,(AF4-OFFSET($D$4,0,1)),,XNPV($C$74,OFFSET($D$93,0,1):AF93,OFFSET($D$4,0,1):AF4)))*AF9</f>
        <v>0</v>
      </c>
      <c r="AG98" s="798">
        <f>MIN((AG78-AG88-AG96)*$C$98,FV($C$75,(AG4-OFFSET($D$4,0,1)),,XNPV($C$74,OFFSET($D$93,0,1):AG93,OFFSET($D$4,0,1):AG4)))*AG9</f>
        <v>0</v>
      </c>
      <c r="AH98" s="798">
        <f>MIN((AH78-AH88-AH96)*$C$98,FV($C$75,(AH4-OFFSET($D$4,0,1)),,XNPV($C$74,OFFSET($D$93,0,1):AH93,OFFSET($D$4,0,1):AH4)))*AH9</f>
        <v>0</v>
      </c>
      <c r="AI98" s="798">
        <f>MIN((AI78-AI88-AI96)*$C$98,FV($C$75,(AI4-OFFSET($D$4,0,1)),,XNPV($C$74,OFFSET($D$93,0,1):AI93,OFFSET($D$4,0,1):AI4)))*AI9</f>
        <v>0</v>
      </c>
      <c r="AJ98" s="798">
        <f>MIN((AJ78-AJ88-AJ96)*$C$98,FV($C$75,(AJ4-OFFSET($D$4,0,1)),,XNPV($C$74,OFFSET($D$93,0,1):AJ93,OFFSET($D$4,0,1):AJ4)))*AJ9</f>
        <v>0</v>
      </c>
      <c r="AK98" s="798">
        <f>MIN((AK78-AK88-AK96)*$C$98,FV($C$75,(AK4-OFFSET($D$4,0,1)),,XNPV($C$74,OFFSET($D$93,0,1):AK93,OFFSET($D$4,0,1):AK4)))*AK9</f>
        <v>4029971.0426005777</v>
      </c>
      <c r="AL98" s="798">
        <f>MIN((AL78-AL88-AL96)*$C$98,FV($C$75,(AL4-OFFSET($D$4,0,1)),,XNPV($C$74,OFFSET($D$93,0,1):AL93,OFFSET($D$4,0,1):AL4)))*AL9</f>
        <v>0</v>
      </c>
      <c r="AM98" s="798">
        <f>MIN((AM78-AM88-AM96)*$C$98,FV($C$75,(AM4-OFFSET($D$4,0,1)),,XNPV($C$74,OFFSET($D$93,0,1):AM93,OFFSET($D$4,0,1):AM4)))*AM9</f>
        <v>0</v>
      </c>
      <c r="AN98" s="798">
        <f>MIN((AN78-AN88-AN96)*$C$98,FV($C$75,(AN4-OFFSET($D$4,0,1)),,XNPV($C$74,OFFSET($D$93,0,1):AN93,OFFSET($D$4,0,1):AN4)))*AN9</f>
        <v>0</v>
      </c>
      <c r="AO98" s="798">
        <f>MIN((AO78-AO88-AO96)*$C$98,FV($C$75,(AO4-OFFSET($D$4,0,1)),,XNPV($C$74,OFFSET($D$93,0,1):AO93,OFFSET($D$4,0,1):AO4)))*AO9</f>
        <v>0</v>
      </c>
      <c r="AP98" s="798">
        <f>MIN((AP78-AP88-AP96)*$C$98,FV($C$75,(AP4-OFFSET($D$4,0,1)),,XNPV($C$74,OFFSET($D$93,0,1):AP93,OFFSET($D$4,0,1):AP4)))*AP9</f>
        <v>0</v>
      </c>
      <c r="AQ98" s="798">
        <f>MIN((AQ78-AQ88-AQ96)*$C$98,FV($C$75,(AQ4-OFFSET($D$4,0,1)),,XNPV($C$74,OFFSET($D$93,0,1):AQ93,OFFSET($D$4,0,1):AQ4)))*AQ9</f>
        <v>0</v>
      </c>
      <c r="AR98" s="798">
        <f>MIN((AR78-AR88-AR96)*$C$98,FV($C$75,(AR4-OFFSET($D$4,0,1)),,XNPV($C$74,OFFSET($D$93,0,1):AR93,OFFSET($D$4,0,1):AR4)))*AR9</f>
        <v>0</v>
      </c>
      <c r="AS98" s="798">
        <f>MIN((AS78-AS88-AS96)*$C$98,FV($C$75,(AS4-OFFSET($D$4,0,1)),,XNPV($C$74,OFFSET($D$93,0,1):AS93,OFFSET($D$4,0,1):AS4)))*AS9</f>
        <v>0</v>
      </c>
      <c r="AT98" s="798">
        <f>MIN((AT78-AT88-AT96)*$C$98,FV($C$75,(AT4-OFFSET($D$4,0,1)),,XNPV($C$74,OFFSET($D$93,0,1):AT93,OFFSET($D$4,0,1):AT4)))*AT9</f>
        <v>0</v>
      </c>
      <c r="AU98" s="798">
        <f>MIN((AU78-AU88-AU96)*$C$98,FV($C$75,(AU4-OFFSET($D$4,0,1)),,XNPV($C$74,OFFSET($D$93,0,1):AU93,OFFSET($D$4,0,1):AU4)))*AU9</f>
        <v>0</v>
      </c>
      <c r="AV98" s="798">
        <f>MIN((AV78-AV88-AV96)*$C$98,FV($C$75,(AV4-OFFSET($D$4,0,1)),,XNPV($C$74,OFFSET($D$93,0,1):AV93,OFFSET($D$4,0,1):AV4)))*AV9</f>
        <v>0</v>
      </c>
      <c r="AW98" s="798">
        <f>MIN((AW78-AW88-AW96)*$C$98,FV($C$75,(AW4-OFFSET($D$4,0,1)),,XNPV($C$74,OFFSET($D$93,0,1):AW93,OFFSET($D$4,0,1):AW4)))*AW9</f>
        <v>0</v>
      </c>
      <c r="AX98" s="798">
        <f>MIN((AX78-AX88-AX96)*$C$98,FV($C$75,(AX4-OFFSET($D$4,0,1)),,XNPV($C$74,OFFSET($D$93,0,1):AX93,OFFSET($D$4,0,1):AX4)))*AX9</f>
        <v>0</v>
      </c>
      <c r="AY98" s="798">
        <f>MIN((AY78-AY88-AY96)*$C$98,FV($C$75,(AY4-OFFSET($D$4,0,1)),,XNPV($C$74,OFFSET($D$93,0,1):AY93,OFFSET($D$4,0,1):AY4)))*AY9</f>
        <v>0</v>
      </c>
      <c r="AZ98" s="798">
        <f>MIN((AZ78-AZ88-AZ96)*$C$98,FV($C$75,(AZ4-OFFSET($D$4,0,1)),,XNPV($C$74,OFFSET($D$93,0,1):AZ93,OFFSET($D$4,0,1):AZ4)))*AZ9</f>
        <v>0</v>
      </c>
      <c r="BA98" s="798">
        <f>MIN((BA78-BA88-BA96)*$C$98,FV($C$75,(BA4-OFFSET($D$4,0,1)),,XNPV($C$74,OFFSET($D$93,0,1):BA93,OFFSET($D$4,0,1):BA4)))*BA9</f>
        <v>0</v>
      </c>
      <c r="BB98" s="798">
        <f>MIN((BB78-BB88-BB96)*$C$98,FV($C$75,(BB4-OFFSET($D$4,0,1)),,XNPV($C$74,OFFSET($D$93,0,1):BB93,OFFSET($D$4,0,1):BB4)))*BB9</f>
        <v>0</v>
      </c>
      <c r="BC98" s="798">
        <f>MIN((BC78-BC88-BC96)*$C$98,FV($C$75,(BC4-OFFSET($D$4,0,1)),,XNPV($C$74,OFFSET($D$93,0,1):BC93,OFFSET($D$4,0,1):BC4)))*BC9</f>
        <v>0</v>
      </c>
      <c r="BD98" s="798">
        <f>MIN((BD78-BD88-BD96)*$C$98,FV($C$75,(BD4-OFFSET($D$4,0,1)),,XNPV($C$74,OFFSET($D$93,0,1):BD93,OFFSET($D$4,0,1):BD4)))*BD9</f>
        <v>0</v>
      </c>
      <c r="BE98" s="798">
        <f>MIN((BE78-BE88-BE96)*$C$98,FV($C$75,(BE4-OFFSET($D$4,0,1)),,XNPV($C$74,OFFSET($D$93,0,1):BE93,OFFSET($D$4,0,1):BE4)))*BE9</f>
        <v>0</v>
      </c>
      <c r="BF98" s="798">
        <f>MIN((BF78-BF88-BF96)*$C$98,FV($C$75,(BF4-OFFSET($D$4,0,1)),,XNPV($C$74,OFFSET($D$93,0,1):BF93,OFFSET($D$4,0,1):BF4)))*BF9</f>
        <v>0</v>
      </c>
      <c r="BG98" s="798">
        <f>MIN((BG78-BG88-BG96)*$C$98,FV($C$75,(BG4-OFFSET($D$4,0,1)),,XNPV($C$74,OFFSET($D$93,0,1):BG93,OFFSET($D$4,0,1):BG4)))*BG9</f>
        <v>0</v>
      </c>
      <c r="BH98" s="798">
        <f>MIN((BH78-BH88-BH96)*$C$98,FV($C$75,(BH4-OFFSET($D$4,0,1)),,XNPV($C$74,OFFSET($D$93,0,1):BH93,OFFSET($D$4,0,1):BH4)))*BH9</f>
        <v>0</v>
      </c>
      <c r="BI98" s="798">
        <f>MIN((BI78-BI88-BI96)*$C$98,FV($C$75,(BI4-OFFSET($D$4,0,1)),,XNPV($C$74,OFFSET($D$93,0,1):BI93,OFFSET($D$4,0,1):BI4)))*BI9</f>
        <v>0</v>
      </c>
      <c r="BJ98" s="798">
        <f>MIN((BJ78-BJ88-BJ96)*$C$98,FV($C$75,(BJ4-OFFSET($D$4,0,1)),,XNPV($C$74,OFFSET($D$93,0,1):BJ93,OFFSET($D$4,0,1):BJ4)))*BJ9</f>
        <v>0</v>
      </c>
      <c r="BK98" s="798">
        <f>MIN((BK78-BK88-BK96)*$C$98,FV($C$75,(BK4-OFFSET($D$4,0,1)),,XNPV($C$74,OFFSET($D$93,0,1):BK93,OFFSET($D$4,0,1):BK4)))*BK9</f>
        <v>0</v>
      </c>
      <c r="BL98" s="798">
        <f>MIN((BL78-BL88-BL96)*$C$98,FV($C$75,(BL4-OFFSET($D$4,0,1)),,XNPV($C$74,OFFSET($D$93,0,1):BL93,OFFSET($D$4,0,1):BL4)))*BL9</f>
        <v>0</v>
      </c>
      <c r="BM98" s="798">
        <f>MIN((BM78-BM88-BM96)*$C$98,FV($C$75,(BM4-OFFSET($D$4,0,1)),,XNPV($C$74,OFFSET($D$93,0,1):BM93,OFFSET($D$4,0,1):BM4)))*BM9</f>
        <v>0</v>
      </c>
      <c r="BN98" s="798">
        <f>MIN((BN78-BN88-BN96)*$C$98,FV($C$75,(BN4-OFFSET($D$4,0,1)),,XNPV($C$74,OFFSET($D$93,0,1):BN93,OFFSET($D$4,0,1):BN4)))*BN9</f>
        <v>0</v>
      </c>
      <c r="BO98" s="798">
        <f>MIN((BO78-BO88-BO96)*$C$98,FV($C$75,(BO4-OFFSET($D$4,0,1)),,XNPV($C$74,OFFSET($D$93,0,1):BO93,OFFSET($D$4,0,1):BO4)))*BO9</f>
        <v>0</v>
      </c>
      <c r="BP98" s="798">
        <f>MIN((BP78-BP88-BP96)*$C$98,FV($C$75,(BP4-OFFSET($D$4,0,1)),,XNPV($C$74,OFFSET($D$93,0,1):BP93,OFFSET($D$4,0,1):BP4)))*BP9</f>
        <v>0</v>
      </c>
      <c r="BQ98" s="798">
        <f>MIN((BQ78-BQ88-BQ96)*$C$98,FV($C$75,(BQ4-OFFSET($D$4,0,1)),,XNPV($C$74,OFFSET($D$93,0,1):BQ93,OFFSET($D$4,0,1):BQ4)))*BQ9</f>
        <v>0</v>
      </c>
      <c r="BR98" s="798">
        <f>MIN((BR78-BR88-BR96)*$C$98,FV($C$75,(BR4-OFFSET($D$4,0,1)),,XNPV($C$74,OFFSET($D$93,0,1):BR93,OFFSET($D$4,0,1):BR4)))*BR9</f>
        <v>0</v>
      </c>
      <c r="BS98" s="798">
        <f>MIN((BS78-BS88-BS96)*$C$98,FV($C$75,(BS4-OFFSET($D$4,0,1)),,XNPV($C$74,OFFSET($D$93,0,1):BS93,OFFSET($D$4,0,1):BS4)))*BS9</f>
        <v>0</v>
      </c>
      <c r="BT98" s="798">
        <f>MIN((BT78-BT88-BT96)*$C$98,FV($C$75,(BT4-OFFSET($D$4,0,1)),,XNPV($C$74,OFFSET($D$93,0,1):BT93,OFFSET($D$4,0,1):BT4)))*BT9</f>
        <v>0</v>
      </c>
      <c r="BU98" s="798">
        <f>MIN((BU78-BU88-BU96)*$C$98,FV($C$75,(BU4-OFFSET($D$4,0,1)),,XNPV($C$74,OFFSET($D$93,0,1):BU93,OFFSET($D$4,0,1):BU4)))*BU9</f>
        <v>0</v>
      </c>
      <c r="BV98" s="798">
        <f>MIN((BV78-BV88-BV96)*$C$98,FV($C$75,(BV4-OFFSET($D$4,0,1)),,XNPV($C$74,OFFSET($D$93,0,1):BV93,OFFSET($D$4,0,1):BV4)))*BV9</f>
        <v>0</v>
      </c>
      <c r="BW98" s="798">
        <f>MIN((BW78-BW88-BW96)*$C$98,FV($C$75,(BW4-OFFSET($D$4,0,1)),,XNPV($C$74,OFFSET($D$93,0,1):BW93,OFFSET($D$4,0,1):BW4)))*BW9</f>
        <v>0</v>
      </c>
      <c r="BX98" s="798">
        <f>MIN((BX78-BX88-BX96)*$C$98,FV($C$75,(BX4-OFFSET($D$4,0,1)),,XNPV($C$74,OFFSET($D$93,0,1):BX93,OFFSET($D$4,0,1):BX4)))*BX9</f>
        <v>0</v>
      </c>
      <c r="BY98" s="798">
        <f>MIN((BY78-BY88-BY96)*$C$98,FV($C$75,(BY4-OFFSET($D$4,0,1)),,XNPV($C$74,OFFSET($D$93,0,1):BY93,OFFSET($D$4,0,1):BY4)))*BY9</f>
        <v>0</v>
      </c>
      <c r="BZ98" s="798">
        <f>MIN((BZ78-BZ88-BZ96)*$C$98,FV($C$75,(BZ4-OFFSET($D$4,0,1)),,XNPV($C$74,OFFSET($D$93,0,1):BZ93,OFFSET($D$4,0,1):BZ4)))*BZ9</f>
        <v>0</v>
      </c>
      <c r="CA98" s="798">
        <f>MIN((CA78-CA88-CA96)*$C$98,FV($C$75,(CA4-OFFSET($D$4,0,1)),,XNPV($C$74,OFFSET($D$93,0,1):CA93,OFFSET($D$4,0,1):CA4)))*CA9</f>
        <v>0</v>
      </c>
      <c r="CB98" s="798">
        <f>MIN((CB78-CB88-CB96)*$C$98,FV($C$75,(CB4-OFFSET($D$4,0,1)),,XNPV($C$74,OFFSET($D$93,0,1):CB93,OFFSET($D$4,0,1):CB4)))*CB9</f>
        <v>0</v>
      </c>
      <c r="CC98" s="798">
        <f>MIN((CC78-CC88-CC96)*$C$98,FV($C$75,(CC4-OFFSET($D$4,0,1)),,XNPV($C$74,OFFSET($D$93,0,1):CC93,OFFSET($D$4,0,1):CC4)))*CC9</f>
        <v>0</v>
      </c>
      <c r="CD98" s="798">
        <f>MIN((CD78-CD88-CD96)*$C$98,FV($C$75,(CD4-OFFSET($D$4,0,1)),,XNPV($C$74,OFFSET($D$93,0,1):CD93,OFFSET($D$4,0,1):CD4)))*CD9</f>
        <v>0</v>
      </c>
      <c r="CE98" s="798">
        <f>MIN((CE78-CE88-CE96)*$C$98,FV($C$75,(CE4-OFFSET($D$4,0,1)),,XNPV($C$74,OFFSET($D$93,0,1):CE93,OFFSET($D$4,0,1):CE4)))*CE9</f>
        <v>0</v>
      </c>
      <c r="CF98" s="798">
        <f>MIN((CF78-CF88-CF96)*$C$98,FV($C$75,(CF4-OFFSET($D$4,0,1)),,XNPV($C$74,OFFSET($D$93,0,1):CF93,OFFSET($D$4,0,1):CF4)))*CF9</f>
        <v>0</v>
      </c>
      <c r="CG98" s="798">
        <f>MIN((CG78-CG88-CG96)*$C$98,FV($C$75,(CG4-OFFSET($D$4,0,1)),,XNPV($C$74,OFFSET($D$93,0,1):CG93,OFFSET($D$4,0,1):CG4)))*CG9</f>
        <v>0</v>
      </c>
      <c r="CH98" s="798">
        <f>MIN((CH78-CH88-CH96)*$C$98,FV($C$75,(CH4-OFFSET($D$4,0,1)),,XNPV($C$74,OFFSET($D$93,0,1):CH93,OFFSET($D$4,0,1):CH4)))*CH9</f>
        <v>0</v>
      </c>
      <c r="CI98" s="798">
        <f>MIN((CI78-CI88-CI96)*$C$98,FV($C$75,(CI4-OFFSET($D$4,0,1)),,XNPV($C$74,OFFSET($D$93,0,1):CI93,OFFSET($D$4,0,1):CI4)))*CI9</f>
        <v>0</v>
      </c>
      <c r="CJ98" s="798">
        <f>MIN((CJ78-CJ88-CJ96)*$C$98,FV($C$75,(CJ4-OFFSET($D$4,0,1)),,XNPV($C$74,OFFSET($D$93,0,1):CJ93,OFFSET($D$4,0,1):CJ4)))*CJ9</f>
        <v>0</v>
      </c>
      <c r="CK98" s="798">
        <f>MIN((CK78-CK88-CK96)*$C$98,FV($C$75,(CK4-OFFSET($D$4,0,1)),,XNPV($C$74,OFFSET($D$93,0,1):CK93,OFFSET($D$4,0,1):CK4)))*CK9</f>
        <v>0</v>
      </c>
      <c r="CL98" s="798">
        <f>MIN((CL78-CL88-CL96)*$C$98,FV($C$75,(CL4-OFFSET($D$4,0,1)),,XNPV($C$74,OFFSET($D$93,0,1):CL93,OFFSET($D$4,0,1):CL4)))*CL9</f>
        <v>0</v>
      </c>
      <c r="CM98" s="798">
        <f>MIN((CM78-CM88-CM96)*$C$98,FV($C$75,(CM4-OFFSET($D$4,0,1)),,XNPV($C$74,OFFSET($D$93,0,1):CM93,OFFSET($D$4,0,1):CM4)))*CM9</f>
        <v>0</v>
      </c>
      <c r="CN98" s="798">
        <f>MIN((CN78-CN88-CN96)*$C$98,FV($C$75,(CN4-OFFSET($D$4,0,1)),,XNPV($C$74,OFFSET($D$93,0,1):CN93,OFFSET($D$4,0,1):CN4)))*CN9</f>
        <v>0</v>
      </c>
      <c r="CO98" s="798">
        <f>MIN((CO78-CO88-CO96)*$C$98,FV($C$75,(CO4-OFFSET($D$4,0,1)),,XNPV($C$74,OFFSET($D$93,0,1):CO93,OFFSET($D$4,0,1):CO4)))*CO9</f>
        <v>0</v>
      </c>
      <c r="CP98" s="798">
        <f>MIN((CP78-CP88-CP96)*$C$98,FV($C$75,(CP4-OFFSET($D$4,0,1)),,XNPV($C$74,OFFSET($D$93,0,1):CP93,OFFSET($D$4,0,1):CP4)))*CP9</f>
        <v>0</v>
      </c>
      <c r="CQ98" s="798">
        <f>MIN((CQ78-CQ88-CQ96)*$C$98,FV($C$75,(CQ4-OFFSET($D$4,0,1)),,XNPV($C$74,OFFSET($D$93,0,1):CQ93,OFFSET($D$4,0,1):CQ4)))*CQ9</f>
        <v>0</v>
      </c>
      <c r="CR98" s="798">
        <f>MIN((CR78-CR88-CR96)*$C$98,FV($C$75,(CR4-OFFSET($D$4,0,1)),,XNPV($C$74,OFFSET($D$93,0,1):CR93,OFFSET($D$4,0,1):CR4)))*CR9</f>
        <v>0</v>
      </c>
      <c r="CS98" s="798">
        <f>MIN((CS78-CS88-CS96)*$C$98,FV($C$75,(CS4-OFFSET($D$4,0,1)),,XNPV($C$74,OFFSET($D$93,0,1):CS93,OFFSET($D$4,0,1):CS4)))*CS9</f>
        <v>0</v>
      </c>
      <c r="CT98" s="798">
        <f>MIN((CT78-CT88-CT96)*$C$98,FV($C$75,(CT4-OFFSET($D$4,0,1)),,XNPV($C$74,OFFSET($D$93,0,1):CT93,OFFSET($D$4,0,1):CT4)))*CT9</f>
        <v>0</v>
      </c>
      <c r="CU98" s="798">
        <f>MIN((CU78-CU88-CU96)*$C$98,FV($C$75,(CU4-OFFSET($D$4,0,1)),,XNPV($C$74,OFFSET($D$93,0,1):CU93,OFFSET($D$4,0,1):CU4)))*CU9</f>
        <v>0</v>
      </c>
      <c r="CV98" s="798">
        <f>MIN((CV78-CV88-CV96)*$C$98,FV($C$75,(CV4-OFFSET($D$4,0,1)),,XNPV($C$74,OFFSET($D$93,0,1):CV93,OFFSET($D$4,0,1):CV4)))*CV9</f>
        <v>0</v>
      </c>
      <c r="CW98" s="798">
        <f>MIN((CW78-CW88-CW96)*$C$98,FV($C$75,(CW4-OFFSET($D$4,0,1)),,XNPV($C$74,OFFSET($D$93,0,1):CW93,OFFSET($D$4,0,1):CW4)))*CW9</f>
        <v>0</v>
      </c>
      <c r="CX98" s="798">
        <f>MIN((CX78-CX88-CX96)*$C$98,FV($C$75,(CX4-OFFSET($D$4,0,1)),,XNPV($C$74,OFFSET($D$93,0,1):CX93,OFFSET($D$4,0,1):CX4)))*CX9</f>
        <v>0</v>
      </c>
      <c r="CY98" s="798">
        <f>MIN((CY78-CY88-CY96)*$C$98,FV($C$75,(CY4-OFFSET($D$4,0,1)),,XNPV($C$74,OFFSET($D$93,0,1):CY93,OFFSET($D$4,0,1):CY4)))*CY9</f>
        <v>0</v>
      </c>
      <c r="CZ98" s="798">
        <f>MIN((CZ78-CZ88-CZ96)*$C$98,FV($C$75,(CZ4-OFFSET($D$4,0,1)),,XNPV($C$74,OFFSET($D$93,0,1):CZ93,OFFSET($D$4,0,1):CZ4)))*CZ9</f>
        <v>0</v>
      </c>
      <c r="DA98" s="798">
        <f>MIN((DA78-DA88-DA96)*$C$98,FV($C$75,(DA4-OFFSET($D$4,0,1)),,XNPV($C$74,OFFSET($D$93,0,1):DA93,OFFSET($D$4,0,1):DA4)))*DA9</f>
        <v>0</v>
      </c>
      <c r="DB98" s="798">
        <f>MIN((DB78-DB88-DB96)*$C$98,FV($C$75,(DB4-OFFSET($D$4,0,1)),,XNPV($C$74,OFFSET($D$93,0,1):DB93,OFFSET($D$4,0,1):DB4)))*DB9</f>
        <v>0</v>
      </c>
      <c r="DC98" s="798">
        <f>MIN((DC78-DC88-DC96)*$C$98,FV($C$75,(DC4-OFFSET($D$4,0,1)),,XNPV($C$74,OFFSET($D$93,0,1):DC93,OFFSET($D$4,0,1):DC4)))*DC9</f>
        <v>0</v>
      </c>
      <c r="DD98" s="798">
        <f>MIN((DD78-DD88-DD96)*$C$98,FV($C$75,(DD4-OFFSET($D$4,0,1)),,XNPV($C$74,OFFSET($D$93,0,1):DD93,OFFSET($D$4,0,1):DD4)))*DD9</f>
        <v>0</v>
      </c>
      <c r="DE98" s="798">
        <f>MIN((DE78-DE88-DE96)*$C$98,FV($C$75,(DE4-OFFSET($D$4,0,1)),,XNPV($C$74,OFFSET($D$93,0,1):DE93,OFFSET($D$4,0,1):DE4)))*DE9</f>
        <v>0</v>
      </c>
      <c r="DF98" s="798">
        <f>MIN((DF78-DF88-DF96)*$C$98,FV($C$75,(DF4-OFFSET($D$4,0,1)),,XNPV($C$74,OFFSET($D$93,0,1):DF93,OFFSET($D$4,0,1):DF4)))*DF9</f>
        <v>0</v>
      </c>
      <c r="DG98" s="798">
        <f>MIN((DG78-DG88-DG96)*$C$98,FV($C$75,(DG4-OFFSET($D$4,0,1)),,XNPV($C$74,OFFSET($D$93,0,1):DG93,OFFSET($D$4,0,1):DG4)))*DG9</f>
        <v>0</v>
      </c>
      <c r="DH98" s="798">
        <f>MIN((DH78-DH88-DH96)*$C$98,FV($C$75,(DH4-OFFSET($D$4,0,1)),,XNPV($C$74,OFFSET($D$93,0,1):DH93,OFFSET($D$4,0,1):DH4)))*DH9</f>
        <v>0</v>
      </c>
      <c r="DI98" s="798">
        <f>MIN((DI78-DI88-DI96)*$C$98,FV($C$75,(DI4-OFFSET($D$4,0,1)),,XNPV($C$74,OFFSET($D$93,0,1):DI93,OFFSET($D$4,0,1):DI4)))*DI9</f>
        <v>0</v>
      </c>
      <c r="DJ98" s="798">
        <f>MIN((DJ78-DJ88-DJ96)*$C$98,FV($C$75,(DJ4-OFFSET($D$4,0,1)),,XNPV($C$74,OFFSET($D$93,0,1):DJ93,OFFSET($D$4,0,1):DJ4)))*DJ9</f>
        <v>0</v>
      </c>
      <c r="DK98" s="798">
        <f>MIN((DK78-DK88-DK96)*$C$98,FV($C$75,(DK4-OFFSET($D$4,0,1)),,XNPV($C$74,OFFSET($D$93,0,1):DK93,OFFSET($D$4,0,1):DK4)))*DK9</f>
        <v>0</v>
      </c>
      <c r="DL98" s="798">
        <f>MIN((DL78-DL88-DL96)*$C$98,FV($C$75,(DL4-OFFSET($D$4,0,1)),,XNPV($C$74,OFFSET($D$93,0,1):DL93,OFFSET($D$4,0,1):DL4)))*DL9</f>
        <v>0</v>
      </c>
      <c r="DM98" s="798">
        <f>MIN((DM78-DM88-DM96)*$C$98,FV($C$75,(DM4-OFFSET($D$4,0,1)),,XNPV($C$74,OFFSET($D$93,0,1):DM93,OFFSET($D$4,0,1):DM4)))*DM9</f>
        <v>0</v>
      </c>
      <c r="DN98" s="798">
        <f>MIN((DN78-DN88-DN96)*$C$98,FV($C$75,(DN4-OFFSET($D$4,0,1)),,XNPV($C$74,OFFSET($D$93,0,1):DN93,OFFSET($D$4,0,1):DN4)))*DN9</f>
        <v>0</v>
      </c>
      <c r="DO98" s="798">
        <f>MIN((DO78-DO88-DO96)*$C$98,FV($C$75,(DO4-OFFSET($D$4,0,1)),,XNPV($C$74,OFFSET($D$93,0,1):DO93,OFFSET($D$4,0,1):DO4)))*DO9</f>
        <v>0</v>
      </c>
      <c r="DP98" s="798">
        <f>MIN((DP78-DP88-DP96)*$C$98,FV($C$75,(DP4-OFFSET($D$4,0,1)),,XNPV($C$74,OFFSET($D$93,0,1):DP93,OFFSET($D$4,0,1):DP4)))*DP9</f>
        <v>0</v>
      </c>
      <c r="DQ98" s="798">
        <f>MIN((DQ78-DQ88-DQ96)*$C$98,FV($C$75,(DQ4-OFFSET($D$4,0,1)),,XNPV($C$74,OFFSET($D$93,0,1):DQ93,OFFSET($D$4,0,1):DQ4)))*DQ9</f>
        <v>0</v>
      </c>
      <c r="DR98" s="798">
        <f>MIN((DR78-DR88-DR96)*$C$98,FV($C$75,(DR4-OFFSET($D$4,0,1)),,XNPV($C$74,OFFSET($D$93,0,1):DR93,OFFSET($D$4,0,1):DR4)))*DR9</f>
        <v>0</v>
      </c>
      <c r="DS98" s="798">
        <f>MIN((DS78-DS88-DS96)*$C$98,FV($C$75,(DS4-OFFSET($D$4,0,1)),,XNPV($C$74,OFFSET($D$93,0,1):DS93,OFFSET($D$4,0,1):DS4)))*DS9</f>
        <v>0</v>
      </c>
      <c r="DT98" s="798">
        <f>MIN((DT78-DT88-DT96)*$C$98,FV($C$75,(DT4-OFFSET($D$4,0,1)),,XNPV($C$74,OFFSET($D$93,0,1):DT93,OFFSET($D$4,0,1):DT4)))*DT9</f>
        <v>0</v>
      </c>
      <c r="DU98" s="798">
        <f>MIN((DU78-DU88-DU96)*$C$98,FV($C$75,(DU4-OFFSET($D$4,0,1)),,XNPV($C$74,OFFSET($D$93,0,1):DU93,OFFSET($D$4,0,1):DU4)))*DU9</f>
        <v>0</v>
      </c>
      <c r="DV98" s="798">
        <f>MIN((DV78-DV88-DV96)*$C$98,FV($C$75,(DV4-OFFSET($D$4,0,1)),,XNPV($C$74,OFFSET($D$93,0,1):DV93,OFFSET($D$4,0,1):DV4)))*DV9</f>
        <v>0</v>
      </c>
      <c r="DW98" s="798">
        <f>MIN((DW78-DW88-DW96)*$C$98,FV($C$75,(DW4-OFFSET($D$4,0,1)),,XNPV($C$74,OFFSET($D$93,0,1):DW93,OFFSET($D$4,0,1):DW4)))*DW9</f>
        <v>0</v>
      </c>
      <c r="DX98" s="798">
        <f>MIN((DX78-DX88-DX96)*$C$98,FV($C$75,(DX4-OFFSET($D$4,0,1)),,XNPV($C$74,OFFSET($D$93,0,1):DX93,OFFSET($D$4,0,1):DX4)))*DX9</f>
        <v>0</v>
      </c>
      <c r="DY98" s="798">
        <f>MIN((DY78-DY88-DY96)*$C$98,FV($C$75,(DY4-OFFSET($D$4,0,1)),,XNPV($C$74,OFFSET($D$93,0,1):DY93,OFFSET($D$4,0,1):DY4)))*DY9</f>
        <v>0</v>
      </c>
      <c r="DZ98" s="798">
        <f>MIN((DZ78-DZ88-DZ96)*$C$98,FV($C$75,(DZ4-OFFSET($D$4,0,1)),,XNPV($C$74,OFFSET($D$93,0,1):DZ93,OFFSET($D$4,0,1):DZ4)))*DZ9</f>
        <v>0</v>
      </c>
      <c r="EA98" s="798">
        <f>MIN((EA78-EA88-EA96)*$C$98,FV($C$75,(EA4-OFFSET($D$4,0,1)),,XNPV($C$74,OFFSET($D$93,0,1):EA93,OFFSET($D$4,0,1):EA4)))*EA9</f>
        <v>0</v>
      </c>
      <c r="EB98" s="798">
        <f>MIN((EB78-EB88-EB96)*$C$98,FV($C$75,(EB4-OFFSET($D$4,0,1)),,XNPV($C$74,OFFSET($D$93,0,1):EB93,OFFSET($D$4,0,1):EB4)))*EB9</f>
        <v>0</v>
      </c>
      <c r="EC98" s="798">
        <f>MIN((EC78-EC88-EC96)*$C$98,FV($C$75,(EC4-OFFSET($D$4,0,1)),,XNPV($C$74,OFFSET($D$93,0,1):EC93,OFFSET($D$4,0,1):EC4)))*EC9</f>
        <v>0</v>
      </c>
      <c r="ED98" s="798">
        <f>MIN((ED78-ED88-ED96)*$C$98,FV($C$75,(ED4-OFFSET($D$4,0,1)),,XNPV($C$74,OFFSET($D$93,0,1):ED93,OFFSET($D$4,0,1):ED4)))*ED9</f>
        <v>0</v>
      </c>
      <c r="EE98" s="798">
        <f>MIN((EE78-EE88-EE96)*$C$98,FV($C$75,(EE4-OFFSET($D$4,0,1)),,XNPV($C$74,OFFSET($D$93,0,1):EE93,OFFSET($D$4,0,1):EE4)))*EE9</f>
        <v>0</v>
      </c>
      <c r="EF98" s="798">
        <f>MIN((EF78-EF88-EF96)*$C$98,FV($C$75,(EF4-OFFSET($D$4,0,1)),,XNPV($C$74,OFFSET($D$93,0,1):EF93,OFFSET($D$4,0,1):EF4)))*EF9</f>
        <v>0</v>
      </c>
      <c r="EG98" s="798">
        <f>MIN((EG78-EG88-EG96)*$C$98,FV($C$75,(EG4-OFFSET($D$4,0,1)),,XNPV($C$74,OFFSET($D$93,0,1):EG93,OFFSET($D$4,0,1):EG4)))*EG9</f>
        <v>0</v>
      </c>
      <c r="EH98" s="782"/>
    </row>
    <row r="99" spans="1:138" ht="12.75" customHeight="1" x14ac:dyDescent="0.3">
      <c r="A99" s="782"/>
      <c r="B99" s="782" t="s">
        <v>62</v>
      </c>
      <c r="C99" s="806">
        <f>+'Venture Assumptions'!F36</f>
        <v>0.35</v>
      </c>
      <c r="D99" s="782"/>
      <c r="E99" s="798">
        <f>$C$99/$C$98*E98</f>
        <v>0</v>
      </c>
      <c r="F99" s="798">
        <f t="shared" ref="F99:BQ99" si="85">$C$99/$C$98*F98</f>
        <v>0</v>
      </c>
      <c r="G99" s="798">
        <f t="shared" si="85"/>
        <v>0</v>
      </c>
      <c r="H99" s="798">
        <f t="shared" si="85"/>
        <v>0</v>
      </c>
      <c r="I99" s="798">
        <f t="shared" si="85"/>
        <v>0</v>
      </c>
      <c r="J99" s="798">
        <f t="shared" si="85"/>
        <v>0</v>
      </c>
      <c r="K99" s="798">
        <f t="shared" si="85"/>
        <v>0</v>
      </c>
      <c r="L99" s="798">
        <f t="shared" si="85"/>
        <v>0</v>
      </c>
      <c r="M99" s="798">
        <f t="shared" si="85"/>
        <v>0</v>
      </c>
      <c r="N99" s="798">
        <f t="shared" si="85"/>
        <v>0</v>
      </c>
      <c r="O99" s="798">
        <f t="shared" si="85"/>
        <v>0</v>
      </c>
      <c r="P99" s="798">
        <f t="shared" si="85"/>
        <v>0</v>
      </c>
      <c r="Q99" s="798">
        <f t="shared" si="85"/>
        <v>0</v>
      </c>
      <c r="R99" s="798">
        <f t="shared" si="85"/>
        <v>0</v>
      </c>
      <c r="S99" s="798">
        <f t="shared" si="85"/>
        <v>0</v>
      </c>
      <c r="T99" s="798">
        <f t="shared" si="85"/>
        <v>0</v>
      </c>
      <c r="U99" s="798">
        <f t="shared" si="85"/>
        <v>0</v>
      </c>
      <c r="V99" s="798">
        <f t="shared" si="85"/>
        <v>0</v>
      </c>
      <c r="W99" s="798">
        <f t="shared" si="85"/>
        <v>0</v>
      </c>
      <c r="X99" s="798">
        <f t="shared" si="85"/>
        <v>0</v>
      </c>
      <c r="Y99" s="798">
        <f t="shared" si="85"/>
        <v>0</v>
      </c>
      <c r="Z99" s="798">
        <f t="shared" si="85"/>
        <v>0</v>
      </c>
      <c r="AA99" s="798">
        <f t="shared" si="85"/>
        <v>0</v>
      </c>
      <c r="AB99" s="798">
        <f t="shared" si="85"/>
        <v>0</v>
      </c>
      <c r="AC99" s="798">
        <f t="shared" si="85"/>
        <v>0</v>
      </c>
      <c r="AD99" s="798">
        <f t="shared" si="85"/>
        <v>0</v>
      </c>
      <c r="AE99" s="798">
        <f t="shared" si="85"/>
        <v>0</v>
      </c>
      <c r="AF99" s="798">
        <f t="shared" si="85"/>
        <v>0</v>
      </c>
      <c r="AG99" s="798">
        <f t="shared" si="85"/>
        <v>0</v>
      </c>
      <c r="AH99" s="798">
        <f t="shared" si="85"/>
        <v>0</v>
      </c>
      <c r="AI99" s="798">
        <f t="shared" si="85"/>
        <v>0</v>
      </c>
      <c r="AJ99" s="798">
        <f t="shared" si="85"/>
        <v>0</v>
      </c>
      <c r="AK99" s="798">
        <f t="shared" si="85"/>
        <v>2169984.4075541571</v>
      </c>
      <c r="AL99" s="798">
        <f t="shared" si="85"/>
        <v>0</v>
      </c>
      <c r="AM99" s="798">
        <f t="shared" si="85"/>
        <v>0</v>
      </c>
      <c r="AN99" s="798">
        <f t="shared" si="85"/>
        <v>0</v>
      </c>
      <c r="AO99" s="798">
        <f t="shared" si="85"/>
        <v>0</v>
      </c>
      <c r="AP99" s="798">
        <f t="shared" si="85"/>
        <v>0</v>
      </c>
      <c r="AQ99" s="798">
        <f t="shared" si="85"/>
        <v>0</v>
      </c>
      <c r="AR99" s="798">
        <f t="shared" si="85"/>
        <v>0</v>
      </c>
      <c r="AS99" s="798">
        <f t="shared" si="85"/>
        <v>0</v>
      </c>
      <c r="AT99" s="798">
        <f t="shared" si="85"/>
        <v>0</v>
      </c>
      <c r="AU99" s="798">
        <f t="shared" si="85"/>
        <v>0</v>
      </c>
      <c r="AV99" s="798">
        <f t="shared" si="85"/>
        <v>0</v>
      </c>
      <c r="AW99" s="798">
        <f t="shared" si="85"/>
        <v>0</v>
      </c>
      <c r="AX99" s="798">
        <f t="shared" si="85"/>
        <v>0</v>
      </c>
      <c r="AY99" s="798">
        <f t="shared" si="85"/>
        <v>0</v>
      </c>
      <c r="AZ99" s="798">
        <f t="shared" si="85"/>
        <v>0</v>
      </c>
      <c r="BA99" s="798">
        <f t="shared" si="85"/>
        <v>0</v>
      </c>
      <c r="BB99" s="798">
        <f t="shared" si="85"/>
        <v>0</v>
      </c>
      <c r="BC99" s="798">
        <f t="shared" si="85"/>
        <v>0</v>
      </c>
      <c r="BD99" s="798">
        <f t="shared" si="85"/>
        <v>0</v>
      </c>
      <c r="BE99" s="798">
        <f t="shared" si="85"/>
        <v>0</v>
      </c>
      <c r="BF99" s="798">
        <f t="shared" si="85"/>
        <v>0</v>
      </c>
      <c r="BG99" s="798">
        <f t="shared" si="85"/>
        <v>0</v>
      </c>
      <c r="BH99" s="798">
        <f t="shared" si="85"/>
        <v>0</v>
      </c>
      <c r="BI99" s="798">
        <f t="shared" si="85"/>
        <v>0</v>
      </c>
      <c r="BJ99" s="798">
        <f t="shared" si="85"/>
        <v>0</v>
      </c>
      <c r="BK99" s="798">
        <f t="shared" si="85"/>
        <v>0</v>
      </c>
      <c r="BL99" s="798">
        <f t="shared" si="85"/>
        <v>0</v>
      </c>
      <c r="BM99" s="798">
        <f t="shared" si="85"/>
        <v>0</v>
      </c>
      <c r="BN99" s="798">
        <f t="shared" si="85"/>
        <v>0</v>
      </c>
      <c r="BO99" s="798">
        <f t="shared" si="85"/>
        <v>0</v>
      </c>
      <c r="BP99" s="798">
        <f t="shared" si="85"/>
        <v>0</v>
      </c>
      <c r="BQ99" s="798">
        <f t="shared" si="85"/>
        <v>0</v>
      </c>
      <c r="BR99" s="798">
        <f t="shared" ref="BR99:EC99" si="86">$C$99/$C$98*BR98</f>
        <v>0</v>
      </c>
      <c r="BS99" s="798">
        <f t="shared" si="86"/>
        <v>0</v>
      </c>
      <c r="BT99" s="798">
        <f t="shared" si="86"/>
        <v>0</v>
      </c>
      <c r="BU99" s="798">
        <f t="shared" si="86"/>
        <v>0</v>
      </c>
      <c r="BV99" s="798">
        <f t="shared" si="86"/>
        <v>0</v>
      </c>
      <c r="BW99" s="798">
        <f t="shared" si="86"/>
        <v>0</v>
      </c>
      <c r="BX99" s="798">
        <f t="shared" si="86"/>
        <v>0</v>
      </c>
      <c r="BY99" s="798">
        <f t="shared" si="86"/>
        <v>0</v>
      </c>
      <c r="BZ99" s="798">
        <f t="shared" si="86"/>
        <v>0</v>
      </c>
      <c r="CA99" s="798">
        <f t="shared" si="86"/>
        <v>0</v>
      </c>
      <c r="CB99" s="798">
        <f t="shared" si="86"/>
        <v>0</v>
      </c>
      <c r="CC99" s="798">
        <f t="shared" si="86"/>
        <v>0</v>
      </c>
      <c r="CD99" s="798">
        <f t="shared" si="86"/>
        <v>0</v>
      </c>
      <c r="CE99" s="798">
        <f t="shared" si="86"/>
        <v>0</v>
      </c>
      <c r="CF99" s="798">
        <f t="shared" si="86"/>
        <v>0</v>
      </c>
      <c r="CG99" s="798">
        <f t="shared" si="86"/>
        <v>0</v>
      </c>
      <c r="CH99" s="798">
        <f t="shared" si="86"/>
        <v>0</v>
      </c>
      <c r="CI99" s="798">
        <f t="shared" si="86"/>
        <v>0</v>
      </c>
      <c r="CJ99" s="798">
        <f t="shared" si="86"/>
        <v>0</v>
      </c>
      <c r="CK99" s="798">
        <f t="shared" si="86"/>
        <v>0</v>
      </c>
      <c r="CL99" s="798">
        <f t="shared" si="86"/>
        <v>0</v>
      </c>
      <c r="CM99" s="798">
        <f t="shared" si="86"/>
        <v>0</v>
      </c>
      <c r="CN99" s="798">
        <f t="shared" si="86"/>
        <v>0</v>
      </c>
      <c r="CO99" s="798">
        <f t="shared" si="86"/>
        <v>0</v>
      </c>
      <c r="CP99" s="798">
        <f t="shared" si="86"/>
        <v>0</v>
      </c>
      <c r="CQ99" s="798">
        <f t="shared" si="86"/>
        <v>0</v>
      </c>
      <c r="CR99" s="798">
        <f t="shared" si="86"/>
        <v>0</v>
      </c>
      <c r="CS99" s="798">
        <f t="shared" si="86"/>
        <v>0</v>
      </c>
      <c r="CT99" s="798">
        <f t="shared" si="86"/>
        <v>0</v>
      </c>
      <c r="CU99" s="798">
        <f t="shared" si="86"/>
        <v>0</v>
      </c>
      <c r="CV99" s="798">
        <f t="shared" si="86"/>
        <v>0</v>
      </c>
      <c r="CW99" s="798">
        <f t="shared" si="86"/>
        <v>0</v>
      </c>
      <c r="CX99" s="798">
        <f t="shared" si="86"/>
        <v>0</v>
      </c>
      <c r="CY99" s="798">
        <f t="shared" si="86"/>
        <v>0</v>
      </c>
      <c r="CZ99" s="798">
        <f t="shared" si="86"/>
        <v>0</v>
      </c>
      <c r="DA99" s="798">
        <f t="shared" si="86"/>
        <v>0</v>
      </c>
      <c r="DB99" s="798">
        <f t="shared" si="86"/>
        <v>0</v>
      </c>
      <c r="DC99" s="798">
        <f t="shared" si="86"/>
        <v>0</v>
      </c>
      <c r="DD99" s="798">
        <f t="shared" si="86"/>
        <v>0</v>
      </c>
      <c r="DE99" s="798">
        <f t="shared" si="86"/>
        <v>0</v>
      </c>
      <c r="DF99" s="798">
        <f t="shared" si="86"/>
        <v>0</v>
      </c>
      <c r="DG99" s="798">
        <f t="shared" si="86"/>
        <v>0</v>
      </c>
      <c r="DH99" s="798">
        <f t="shared" si="86"/>
        <v>0</v>
      </c>
      <c r="DI99" s="798">
        <f t="shared" si="86"/>
        <v>0</v>
      </c>
      <c r="DJ99" s="798">
        <f t="shared" si="86"/>
        <v>0</v>
      </c>
      <c r="DK99" s="798">
        <f t="shared" si="86"/>
        <v>0</v>
      </c>
      <c r="DL99" s="798">
        <f t="shared" si="86"/>
        <v>0</v>
      </c>
      <c r="DM99" s="798">
        <f t="shared" si="86"/>
        <v>0</v>
      </c>
      <c r="DN99" s="798">
        <f t="shared" si="86"/>
        <v>0</v>
      </c>
      <c r="DO99" s="798">
        <f t="shared" si="86"/>
        <v>0</v>
      </c>
      <c r="DP99" s="798">
        <f t="shared" si="86"/>
        <v>0</v>
      </c>
      <c r="DQ99" s="798">
        <f t="shared" si="86"/>
        <v>0</v>
      </c>
      <c r="DR99" s="798">
        <f t="shared" si="86"/>
        <v>0</v>
      </c>
      <c r="DS99" s="798">
        <f t="shared" si="86"/>
        <v>0</v>
      </c>
      <c r="DT99" s="798">
        <f t="shared" si="86"/>
        <v>0</v>
      </c>
      <c r="DU99" s="798">
        <f t="shared" si="86"/>
        <v>0</v>
      </c>
      <c r="DV99" s="798">
        <f t="shared" si="86"/>
        <v>0</v>
      </c>
      <c r="DW99" s="798">
        <f t="shared" si="86"/>
        <v>0</v>
      </c>
      <c r="DX99" s="798">
        <f t="shared" si="86"/>
        <v>0</v>
      </c>
      <c r="DY99" s="798">
        <f t="shared" si="86"/>
        <v>0</v>
      </c>
      <c r="DZ99" s="798">
        <f t="shared" si="86"/>
        <v>0</v>
      </c>
      <c r="EA99" s="798">
        <f t="shared" si="86"/>
        <v>0</v>
      </c>
      <c r="EB99" s="798">
        <f t="shared" si="86"/>
        <v>0</v>
      </c>
      <c r="EC99" s="798">
        <f t="shared" si="86"/>
        <v>0</v>
      </c>
      <c r="ED99" s="798">
        <f>$C$99/$C$98*ED98</f>
        <v>0</v>
      </c>
      <c r="EE99" s="798">
        <f>$C$99/$C$98*EE98</f>
        <v>0</v>
      </c>
      <c r="EF99" s="798">
        <f>$C$99/$C$98*EF98</f>
        <v>0</v>
      </c>
      <c r="EG99" s="798">
        <f>$C$99/$C$98*EG98</f>
        <v>0</v>
      </c>
      <c r="EH99" s="782"/>
    </row>
    <row r="100" spans="1:138" ht="12.75" customHeight="1" x14ac:dyDescent="0.3">
      <c r="A100" s="782"/>
      <c r="B100" s="782"/>
      <c r="C100" s="782"/>
      <c r="D100" s="782"/>
      <c r="E100" s="782"/>
      <c r="F100" s="782"/>
      <c r="G100" s="782"/>
      <c r="H100" s="782"/>
      <c r="I100" s="782"/>
      <c r="J100" s="782"/>
      <c r="K100" s="782"/>
      <c r="L100" s="782"/>
      <c r="M100" s="782"/>
      <c r="N100" s="782"/>
      <c r="O100" s="782"/>
      <c r="P100" s="782"/>
      <c r="Q100" s="782"/>
      <c r="R100" s="782"/>
      <c r="S100" s="782"/>
      <c r="T100" s="782"/>
      <c r="U100" s="782"/>
      <c r="V100" s="782"/>
      <c r="W100" s="782"/>
      <c r="X100" s="782"/>
      <c r="Y100" s="782"/>
      <c r="Z100" s="782"/>
      <c r="AA100" s="782"/>
      <c r="AB100" s="782"/>
      <c r="AC100" s="782"/>
      <c r="AD100" s="782"/>
      <c r="AE100" s="782"/>
      <c r="AF100" s="782"/>
      <c r="AG100" s="782"/>
      <c r="AH100" s="782"/>
      <c r="AI100" s="782"/>
      <c r="AJ100" s="782"/>
      <c r="AK100" s="782"/>
      <c r="AL100" s="782"/>
      <c r="AM100" s="782"/>
      <c r="AN100" s="782"/>
      <c r="AO100" s="782"/>
      <c r="AP100" s="782"/>
      <c r="AQ100" s="782"/>
      <c r="AR100" s="782"/>
      <c r="AS100" s="782"/>
      <c r="AT100" s="782"/>
      <c r="AU100" s="782"/>
      <c r="AV100" s="782"/>
      <c r="AW100" s="782"/>
      <c r="AX100" s="782"/>
      <c r="AY100" s="782"/>
      <c r="AZ100" s="782"/>
      <c r="BA100" s="782"/>
      <c r="BB100" s="782"/>
      <c r="BC100" s="782"/>
      <c r="BD100" s="782"/>
      <c r="BE100" s="782"/>
      <c r="BF100" s="782"/>
      <c r="BG100" s="782"/>
      <c r="BH100" s="782"/>
      <c r="BI100" s="782"/>
      <c r="BJ100" s="782"/>
      <c r="BK100" s="782"/>
      <c r="BL100" s="782"/>
      <c r="BM100" s="782"/>
      <c r="BN100" s="782"/>
      <c r="BO100" s="782"/>
      <c r="BP100" s="782"/>
      <c r="BQ100" s="782"/>
      <c r="BR100" s="782"/>
      <c r="BS100" s="782"/>
      <c r="BT100" s="782"/>
      <c r="BU100" s="782"/>
      <c r="BV100" s="782"/>
      <c r="BW100" s="782"/>
      <c r="BX100" s="782"/>
      <c r="BY100" s="782"/>
      <c r="BZ100" s="782"/>
      <c r="CA100" s="782"/>
      <c r="CB100" s="782"/>
      <c r="CC100" s="782"/>
      <c r="CD100" s="782"/>
      <c r="CE100" s="782"/>
      <c r="CF100" s="782"/>
      <c r="CG100" s="782"/>
      <c r="CH100" s="782"/>
      <c r="CI100" s="782"/>
      <c r="CJ100" s="782"/>
      <c r="CK100" s="782"/>
      <c r="CL100" s="782"/>
      <c r="CM100" s="782"/>
      <c r="CN100" s="782"/>
      <c r="CO100" s="782"/>
      <c r="CP100" s="782"/>
      <c r="CQ100" s="782"/>
      <c r="CR100" s="782"/>
      <c r="CS100" s="782"/>
      <c r="CT100" s="782"/>
      <c r="CU100" s="782"/>
      <c r="CV100" s="782"/>
      <c r="CW100" s="782"/>
      <c r="CX100" s="782"/>
      <c r="CY100" s="782"/>
      <c r="CZ100" s="782"/>
      <c r="DA100" s="782"/>
      <c r="DB100" s="782"/>
      <c r="DC100" s="782"/>
      <c r="DD100" s="782"/>
      <c r="DE100" s="782"/>
      <c r="DF100" s="782"/>
      <c r="DG100" s="782"/>
      <c r="DH100" s="782"/>
      <c r="DI100" s="782"/>
      <c r="DJ100" s="782"/>
      <c r="DK100" s="782"/>
      <c r="DL100" s="782"/>
      <c r="DM100" s="782"/>
      <c r="DN100" s="782"/>
      <c r="DO100" s="782"/>
      <c r="DP100" s="782"/>
      <c r="DQ100" s="782"/>
      <c r="DR100" s="782"/>
      <c r="DS100" s="782"/>
      <c r="DT100" s="782"/>
      <c r="DU100" s="782"/>
      <c r="DV100" s="782"/>
      <c r="DW100" s="782"/>
      <c r="DX100" s="782"/>
      <c r="DY100" s="782"/>
      <c r="DZ100" s="782"/>
      <c r="EA100" s="782"/>
      <c r="EB100" s="782"/>
      <c r="EC100" s="782"/>
      <c r="ED100" s="782"/>
      <c r="EE100" s="782"/>
      <c r="EF100" s="782"/>
      <c r="EG100" s="782"/>
      <c r="EH100" s="782"/>
    </row>
    <row r="101" spans="1:138" ht="12.75" customHeight="1" x14ac:dyDescent="0.3">
      <c r="A101" s="782"/>
      <c r="B101" s="782" t="s">
        <v>326</v>
      </c>
      <c r="C101" s="798">
        <f>SUM(E101:EG101)</f>
        <v>16658746.496662021</v>
      </c>
      <c r="D101" s="782"/>
      <c r="E101" s="798">
        <f>E93+E98</f>
        <v>-1943435.5218400576</v>
      </c>
      <c r="F101" s="798">
        <f t="shared" ref="F101:BQ101" si="87">F93+F98</f>
        <v>-15208647.652673729</v>
      </c>
      <c r="G101" s="798">
        <f t="shared" si="87"/>
        <v>-491498.0015560445</v>
      </c>
      <c r="H101" s="798">
        <f t="shared" si="87"/>
        <v>-739130.23477478127</v>
      </c>
      <c r="I101" s="798">
        <f t="shared" si="87"/>
        <v>-1245669.8451237862</v>
      </c>
      <c r="J101" s="798">
        <f t="shared" si="87"/>
        <v>-2024138.5150061427</v>
      </c>
      <c r="K101" s="798">
        <f t="shared" si="87"/>
        <v>-2083605.0857725968</v>
      </c>
      <c r="L101" s="798">
        <f t="shared" si="87"/>
        <v>-2651537.8825037964</v>
      </c>
      <c r="M101" s="798">
        <f t="shared" si="87"/>
        <v>-3143136.2409976111</v>
      </c>
      <c r="N101" s="798">
        <f t="shared" si="87"/>
        <v>-3677476.1526163789</v>
      </c>
      <c r="O101" s="798">
        <f t="shared" si="87"/>
        <v>-2096036.1763591815</v>
      </c>
      <c r="P101" s="798">
        <f t="shared" si="87"/>
        <v>-20243.44524311414</v>
      </c>
      <c r="Q101" s="798">
        <f t="shared" si="87"/>
        <v>-21536.504033744335</v>
      </c>
      <c r="R101" s="798">
        <f t="shared" si="87"/>
        <v>-22846.387199595105</v>
      </c>
      <c r="S101" s="798">
        <f t="shared" si="87"/>
        <v>-24169.24296368286</v>
      </c>
      <c r="T101" s="798">
        <f t="shared" si="87"/>
        <v>-25405.192141294479</v>
      </c>
      <c r="U101" s="798">
        <f t="shared" si="87"/>
        <v>-26605.498258502688</v>
      </c>
      <c r="V101" s="798">
        <f t="shared" si="87"/>
        <v>-27716.271931473166</v>
      </c>
      <c r="W101" s="798">
        <f t="shared" si="87"/>
        <v>-28714.745112786535</v>
      </c>
      <c r="X101" s="798">
        <f t="shared" si="87"/>
        <v>-29708.008202723693</v>
      </c>
      <c r="Y101" s="798">
        <f t="shared" si="87"/>
        <v>-30619.505737842992</v>
      </c>
      <c r="Z101" s="798">
        <f t="shared" si="87"/>
        <v>-31386.510991997784</v>
      </c>
      <c r="AA101" s="798">
        <f t="shared" si="87"/>
        <v>-32040.043232684024</v>
      </c>
      <c r="AB101" s="798">
        <f t="shared" si="87"/>
        <v>-32583.318851409364</v>
      </c>
      <c r="AC101" s="798">
        <f t="shared" si="87"/>
        <v>11164.455298793153</v>
      </c>
      <c r="AD101" s="798">
        <f t="shared" si="87"/>
        <v>51087.02880827192</v>
      </c>
      <c r="AE101" s="798">
        <f t="shared" si="87"/>
        <v>96690.409152741282</v>
      </c>
      <c r="AF101" s="798">
        <f t="shared" si="87"/>
        <v>186128.38333325498</v>
      </c>
      <c r="AG101" s="798">
        <f t="shared" si="87"/>
        <v>189774.72498510519</v>
      </c>
      <c r="AH101" s="798">
        <f t="shared" si="87"/>
        <v>191077.87392284846</v>
      </c>
      <c r="AI101" s="798">
        <f t="shared" si="87"/>
        <v>424631.52148606483</v>
      </c>
      <c r="AJ101" s="798">
        <f t="shared" si="87"/>
        <v>427220.46900700842</v>
      </c>
      <c r="AK101" s="798">
        <f t="shared" si="87"/>
        <v>50738857.613792881</v>
      </c>
      <c r="AL101" s="798">
        <f t="shared" si="87"/>
        <v>0</v>
      </c>
      <c r="AM101" s="798">
        <f t="shared" si="87"/>
        <v>0</v>
      </c>
      <c r="AN101" s="798">
        <f t="shared" si="87"/>
        <v>0</v>
      </c>
      <c r="AO101" s="798">
        <f t="shared" si="87"/>
        <v>0</v>
      </c>
      <c r="AP101" s="798">
        <f t="shared" si="87"/>
        <v>0</v>
      </c>
      <c r="AQ101" s="798">
        <f t="shared" si="87"/>
        <v>0</v>
      </c>
      <c r="AR101" s="798">
        <f t="shared" si="87"/>
        <v>0</v>
      </c>
      <c r="AS101" s="798">
        <f t="shared" si="87"/>
        <v>0</v>
      </c>
      <c r="AT101" s="798">
        <f t="shared" si="87"/>
        <v>0</v>
      </c>
      <c r="AU101" s="798">
        <f t="shared" si="87"/>
        <v>0</v>
      </c>
      <c r="AV101" s="798">
        <f t="shared" si="87"/>
        <v>0</v>
      </c>
      <c r="AW101" s="798">
        <f t="shared" si="87"/>
        <v>0</v>
      </c>
      <c r="AX101" s="798">
        <f t="shared" si="87"/>
        <v>0</v>
      </c>
      <c r="AY101" s="798">
        <f t="shared" si="87"/>
        <v>0</v>
      </c>
      <c r="AZ101" s="798">
        <f t="shared" si="87"/>
        <v>0</v>
      </c>
      <c r="BA101" s="798">
        <f t="shared" si="87"/>
        <v>0</v>
      </c>
      <c r="BB101" s="798">
        <f t="shared" si="87"/>
        <v>0</v>
      </c>
      <c r="BC101" s="798">
        <f t="shared" si="87"/>
        <v>0</v>
      </c>
      <c r="BD101" s="798">
        <f t="shared" si="87"/>
        <v>0</v>
      </c>
      <c r="BE101" s="798">
        <f t="shared" si="87"/>
        <v>0</v>
      </c>
      <c r="BF101" s="798">
        <f t="shared" si="87"/>
        <v>0</v>
      </c>
      <c r="BG101" s="798">
        <f t="shared" si="87"/>
        <v>0</v>
      </c>
      <c r="BH101" s="798">
        <f t="shared" si="87"/>
        <v>0</v>
      </c>
      <c r="BI101" s="798">
        <f t="shared" si="87"/>
        <v>0</v>
      </c>
      <c r="BJ101" s="798">
        <f t="shared" si="87"/>
        <v>0</v>
      </c>
      <c r="BK101" s="798">
        <f t="shared" si="87"/>
        <v>0</v>
      </c>
      <c r="BL101" s="798">
        <f t="shared" si="87"/>
        <v>0</v>
      </c>
      <c r="BM101" s="798">
        <f t="shared" si="87"/>
        <v>0</v>
      </c>
      <c r="BN101" s="798">
        <f t="shared" si="87"/>
        <v>0</v>
      </c>
      <c r="BO101" s="798">
        <f t="shared" si="87"/>
        <v>0</v>
      </c>
      <c r="BP101" s="798">
        <f t="shared" si="87"/>
        <v>0</v>
      </c>
      <c r="BQ101" s="798">
        <f t="shared" si="87"/>
        <v>0</v>
      </c>
      <c r="BR101" s="798">
        <f t="shared" ref="BR101:EC101" si="88">BR93+BR98</f>
        <v>0</v>
      </c>
      <c r="BS101" s="798">
        <f t="shared" si="88"/>
        <v>0</v>
      </c>
      <c r="BT101" s="798">
        <f t="shared" si="88"/>
        <v>0</v>
      </c>
      <c r="BU101" s="798">
        <f t="shared" si="88"/>
        <v>0</v>
      </c>
      <c r="BV101" s="798">
        <f t="shared" si="88"/>
        <v>0</v>
      </c>
      <c r="BW101" s="798">
        <f t="shared" si="88"/>
        <v>0</v>
      </c>
      <c r="BX101" s="798">
        <f t="shared" si="88"/>
        <v>0</v>
      </c>
      <c r="BY101" s="798">
        <f t="shared" si="88"/>
        <v>0</v>
      </c>
      <c r="BZ101" s="798">
        <f t="shared" si="88"/>
        <v>0</v>
      </c>
      <c r="CA101" s="798">
        <f t="shared" si="88"/>
        <v>0</v>
      </c>
      <c r="CB101" s="798">
        <f t="shared" si="88"/>
        <v>0</v>
      </c>
      <c r="CC101" s="798">
        <f t="shared" si="88"/>
        <v>0</v>
      </c>
      <c r="CD101" s="798">
        <f t="shared" si="88"/>
        <v>0</v>
      </c>
      <c r="CE101" s="798">
        <f t="shared" si="88"/>
        <v>0</v>
      </c>
      <c r="CF101" s="798">
        <f t="shared" si="88"/>
        <v>0</v>
      </c>
      <c r="CG101" s="798">
        <f t="shared" si="88"/>
        <v>0</v>
      </c>
      <c r="CH101" s="798">
        <f t="shared" si="88"/>
        <v>0</v>
      </c>
      <c r="CI101" s="798">
        <f t="shared" si="88"/>
        <v>0</v>
      </c>
      <c r="CJ101" s="798">
        <f t="shared" si="88"/>
        <v>0</v>
      </c>
      <c r="CK101" s="798">
        <f t="shared" si="88"/>
        <v>0</v>
      </c>
      <c r="CL101" s="798">
        <f t="shared" si="88"/>
        <v>0</v>
      </c>
      <c r="CM101" s="798">
        <f t="shared" si="88"/>
        <v>0</v>
      </c>
      <c r="CN101" s="798">
        <f t="shared" si="88"/>
        <v>0</v>
      </c>
      <c r="CO101" s="798">
        <f t="shared" si="88"/>
        <v>0</v>
      </c>
      <c r="CP101" s="798">
        <f t="shared" si="88"/>
        <v>0</v>
      </c>
      <c r="CQ101" s="798">
        <f t="shared" si="88"/>
        <v>0</v>
      </c>
      <c r="CR101" s="798">
        <f t="shared" si="88"/>
        <v>0</v>
      </c>
      <c r="CS101" s="798">
        <f t="shared" si="88"/>
        <v>0</v>
      </c>
      <c r="CT101" s="798">
        <f t="shared" si="88"/>
        <v>0</v>
      </c>
      <c r="CU101" s="798">
        <f t="shared" si="88"/>
        <v>0</v>
      </c>
      <c r="CV101" s="798">
        <f t="shared" si="88"/>
        <v>0</v>
      </c>
      <c r="CW101" s="798">
        <f t="shared" si="88"/>
        <v>0</v>
      </c>
      <c r="CX101" s="798">
        <f t="shared" si="88"/>
        <v>0</v>
      </c>
      <c r="CY101" s="798">
        <f t="shared" si="88"/>
        <v>0</v>
      </c>
      <c r="CZ101" s="798">
        <f t="shared" si="88"/>
        <v>0</v>
      </c>
      <c r="DA101" s="798">
        <f t="shared" si="88"/>
        <v>0</v>
      </c>
      <c r="DB101" s="798">
        <f t="shared" si="88"/>
        <v>0</v>
      </c>
      <c r="DC101" s="798">
        <f t="shared" si="88"/>
        <v>0</v>
      </c>
      <c r="DD101" s="798">
        <f t="shared" si="88"/>
        <v>0</v>
      </c>
      <c r="DE101" s="798">
        <f t="shared" si="88"/>
        <v>0</v>
      </c>
      <c r="DF101" s="798">
        <f t="shared" si="88"/>
        <v>0</v>
      </c>
      <c r="DG101" s="798">
        <f t="shared" si="88"/>
        <v>0</v>
      </c>
      <c r="DH101" s="798">
        <f t="shared" si="88"/>
        <v>0</v>
      </c>
      <c r="DI101" s="798">
        <f t="shared" si="88"/>
        <v>0</v>
      </c>
      <c r="DJ101" s="798">
        <f t="shared" si="88"/>
        <v>0</v>
      </c>
      <c r="DK101" s="798">
        <f t="shared" si="88"/>
        <v>0</v>
      </c>
      <c r="DL101" s="798">
        <f t="shared" si="88"/>
        <v>0</v>
      </c>
      <c r="DM101" s="798">
        <f t="shared" si="88"/>
        <v>0</v>
      </c>
      <c r="DN101" s="798">
        <f t="shared" si="88"/>
        <v>0</v>
      </c>
      <c r="DO101" s="798">
        <f t="shared" si="88"/>
        <v>0</v>
      </c>
      <c r="DP101" s="798">
        <f t="shared" si="88"/>
        <v>0</v>
      </c>
      <c r="DQ101" s="798">
        <f t="shared" si="88"/>
        <v>0</v>
      </c>
      <c r="DR101" s="798">
        <f t="shared" si="88"/>
        <v>0</v>
      </c>
      <c r="DS101" s="798">
        <f t="shared" si="88"/>
        <v>0</v>
      </c>
      <c r="DT101" s="798">
        <f t="shared" si="88"/>
        <v>0</v>
      </c>
      <c r="DU101" s="798">
        <f t="shared" si="88"/>
        <v>0</v>
      </c>
      <c r="DV101" s="798">
        <f t="shared" si="88"/>
        <v>0</v>
      </c>
      <c r="DW101" s="798">
        <f t="shared" si="88"/>
        <v>0</v>
      </c>
      <c r="DX101" s="798">
        <f t="shared" si="88"/>
        <v>0</v>
      </c>
      <c r="DY101" s="798">
        <f t="shared" si="88"/>
        <v>0</v>
      </c>
      <c r="DZ101" s="798">
        <f t="shared" si="88"/>
        <v>0</v>
      </c>
      <c r="EA101" s="798">
        <f t="shared" si="88"/>
        <v>0</v>
      </c>
      <c r="EB101" s="798">
        <f t="shared" si="88"/>
        <v>0</v>
      </c>
      <c r="EC101" s="798">
        <f t="shared" si="88"/>
        <v>0</v>
      </c>
      <c r="ED101" s="798">
        <f>ED93+ED98</f>
        <v>0</v>
      </c>
      <c r="EE101" s="798">
        <f>EE93+EE98</f>
        <v>0</v>
      </c>
      <c r="EF101" s="798">
        <f>EF93+EF98</f>
        <v>0</v>
      </c>
      <c r="EG101" s="798">
        <f>EG93+EG98</f>
        <v>0</v>
      </c>
      <c r="EH101" s="782"/>
    </row>
    <row r="102" spans="1:138" ht="12.75" customHeight="1" x14ac:dyDescent="0.3">
      <c r="A102" s="782"/>
      <c r="B102" s="782" t="s">
        <v>64</v>
      </c>
      <c r="C102" s="806">
        <f>XIRR(OFFSET(E101,0,$C$141):EG101,OFFSET($E$4,0,$C$141):$EG$4)</f>
        <v>0.18000000119209297</v>
      </c>
      <c r="D102" s="782"/>
      <c r="E102" s="782"/>
      <c r="F102" s="782"/>
      <c r="G102" s="782"/>
      <c r="H102" s="782"/>
      <c r="I102" s="782"/>
      <c r="J102" s="782"/>
      <c r="K102" s="782"/>
      <c r="L102" s="782"/>
      <c r="M102" s="782"/>
      <c r="N102" s="782"/>
      <c r="O102" s="782"/>
      <c r="P102" s="782"/>
      <c r="Q102" s="782"/>
      <c r="R102" s="782"/>
      <c r="S102" s="782"/>
      <c r="T102" s="782"/>
      <c r="U102" s="782"/>
      <c r="V102" s="782"/>
      <c r="W102" s="782"/>
      <c r="X102" s="782"/>
      <c r="Y102" s="782"/>
      <c r="Z102" s="782"/>
      <c r="AA102" s="782"/>
      <c r="AB102" s="782"/>
      <c r="AC102" s="782"/>
      <c r="AD102" s="782"/>
      <c r="AE102" s="782"/>
      <c r="AF102" s="782"/>
      <c r="AG102" s="782"/>
      <c r="AH102" s="782"/>
      <c r="AI102" s="782"/>
      <c r="AJ102" s="782"/>
      <c r="AK102" s="782"/>
      <c r="AL102" s="782"/>
      <c r="AM102" s="782"/>
      <c r="AN102" s="782"/>
      <c r="AO102" s="782"/>
      <c r="AP102" s="782"/>
      <c r="AQ102" s="782"/>
      <c r="AR102" s="782"/>
      <c r="AS102" s="782"/>
      <c r="AT102" s="782"/>
      <c r="AU102" s="782"/>
      <c r="AV102" s="782"/>
      <c r="AW102" s="782"/>
      <c r="AX102" s="782"/>
      <c r="AY102" s="782"/>
      <c r="AZ102" s="782"/>
      <c r="BA102" s="782"/>
      <c r="BB102" s="782"/>
      <c r="BC102" s="782"/>
      <c r="BD102" s="782"/>
      <c r="BE102" s="782"/>
      <c r="BF102" s="782"/>
      <c r="BG102" s="782"/>
      <c r="BH102" s="782"/>
      <c r="BI102" s="782"/>
      <c r="BJ102" s="782"/>
      <c r="BK102" s="782"/>
      <c r="BL102" s="782"/>
      <c r="BM102" s="782"/>
      <c r="BN102" s="782"/>
      <c r="BO102" s="782"/>
      <c r="BP102" s="782"/>
      <c r="BQ102" s="782"/>
      <c r="BR102" s="782"/>
      <c r="BS102" s="782"/>
      <c r="BT102" s="782"/>
      <c r="BU102" s="782"/>
      <c r="BV102" s="782"/>
      <c r="BW102" s="782"/>
      <c r="BX102" s="782"/>
      <c r="BY102" s="782"/>
      <c r="BZ102" s="782"/>
      <c r="CA102" s="782"/>
      <c r="CB102" s="782"/>
      <c r="CC102" s="782"/>
      <c r="CD102" s="782"/>
      <c r="CE102" s="782"/>
      <c r="CF102" s="782"/>
      <c r="CG102" s="782"/>
      <c r="CH102" s="782"/>
      <c r="CI102" s="782"/>
      <c r="CJ102" s="782"/>
      <c r="CK102" s="782"/>
      <c r="CL102" s="782"/>
      <c r="CM102" s="782"/>
      <c r="CN102" s="782"/>
      <c r="CO102" s="782"/>
      <c r="CP102" s="782"/>
      <c r="CQ102" s="782"/>
      <c r="CR102" s="782"/>
      <c r="CS102" s="782"/>
      <c r="CT102" s="782"/>
      <c r="CU102" s="782"/>
      <c r="CV102" s="782"/>
      <c r="CW102" s="782"/>
      <c r="CX102" s="782"/>
      <c r="CY102" s="782"/>
      <c r="CZ102" s="782"/>
      <c r="DA102" s="782"/>
      <c r="DB102" s="782"/>
      <c r="DC102" s="782"/>
      <c r="DD102" s="782"/>
      <c r="DE102" s="782"/>
      <c r="DF102" s="782"/>
      <c r="DG102" s="782"/>
      <c r="DH102" s="782"/>
      <c r="DI102" s="782"/>
      <c r="DJ102" s="782"/>
      <c r="DK102" s="782"/>
      <c r="DL102" s="782"/>
      <c r="DM102" s="782"/>
      <c r="DN102" s="782"/>
      <c r="DO102" s="782"/>
      <c r="DP102" s="782"/>
      <c r="DQ102" s="782"/>
      <c r="DR102" s="782"/>
      <c r="DS102" s="782"/>
      <c r="DT102" s="782"/>
      <c r="DU102" s="782"/>
      <c r="DV102" s="782"/>
      <c r="DW102" s="782"/>
      <c r="DX102" s="782"/>
      <c r="DY102" s="782"/>
      <c r="DZ102" s="782"/>
      <c r="EA102" s="782"/>
      <c r="EB102" s="782"/>
      <c r="EC102" s="782"/>
      <c r="ED102" s="782"/>
      <c r="EE102" s="782"/>
      <c r="EF102" s="782"/>
      <c r="EG102" s="782"/>
      <c r="EH102" s="782"/>
    </row>
    <row r="103" spans="1:138" ht="12.75" customHeight="1" x14ac:dyDescent="0.3">
      <c r="A103" s="782"/>
      <c r="B103" s="782"/>
      <c r="C103" s="782"/>
      <c r="D103" s="782"/>
      <c r="E103" s="782"/>
      <c r="F103" s="782"/>
      <c r="G103" s="782"/>
      <c r="H103" s="782"/>
      <c r="I103" s="782"/>
      <c r="J103" s="782"/>
      <c r="K103" s="782"/>
      <c r="L103" s="782"/>
      <c r="M103" s="782"/>
      <c r="N103" s="782"/>
      <c r="O103" s="782"/>
      <c r="P103" s="782"/>
      <c r="Q103" s="782"/>
      <c r="R103" s="782"/>
      <c r="S103" s="782"/>
      <c r="T103" s="782"/>
      <c r="U103" s="782"/>
      <c r="V103" s="782"/>
      <c r="W103" s="782"/>
      <c r="X103" s="782"/>
      <c r="Y103" s="782"/>
      <c r="Z103" s="782"/>
      <c r="AA103" s="782"/>
      <c r="AB103" s="782"/>
      <c r="AC103" s="782"/>
      <c r="AD103" s="782"/>
      <c r="AE103" s="782"/>
      <c r="AF103" s="782"/>
      <c r="AG103" s="782"/>
      <c r="AH103" s="782"/>
      <c r="AI103" s="782"/>
      <c r="AJ103" s="782"/>
      <c r="AK103" s="782"/>
      <c r="AL103" s="782"/>
      <c r="AM103" s="782"/>
      <c r="AN103" s="782"/>
      <c r="AO103" s="782"/>
      <c r="AP103" s="782"/>
      <c r="AQ103" s="782"/>
      <c r="AR103" s="782"/>
      <c r="AS103" s="782"/>
      <c r="AT103" s="782"/>
      <c r="AU103" s="782"/>
      <c r="AV103" s="782"/>
      <c r="AW103" s="782"/>
      <c r="AX103" s="782"/>
      <c r="AY103" s="782"/>
      <c r="AZ103" s="782"/>
      <c r="BA103" s="782"/>
      <c r="BB103" s="782"/>
      <c r="BC103" s="782"/>
      <c r="BD103" s="782"/>
      <c r="BE103" s="782"/>
      <c r="BF103" s="782"/>
      <c r="BG103" s="782"/>
      <c r="BH103" s="782"/>
      <c r="BI103" s="782"/>
      <c r="BJ103" s="782"/>
      <c r="BK103" s="782"/>
      <c r="BL103" s="782"/>
      <c r="BM103" s="782"/>
      <c r="BN103" s="782"/>
      <c r="BO103" s="782"/>
      <c r="BP103" s="782"/>
      <c r="BQ103" s="782"/>
      <c r="BR103" s="782"/>
      <c r="BS103" s="782"/>
      <c r="BT103" s="782"/>
      <c r="BU103" s="782"/>
      <c r="BV103" s="782"/>
      <c r="BW103" s="782"/>
      <c r="BX103" s="782"/>
      <c r="BY103" s="782"/>
      <c r="BZ103" s="782"/>
      <c r="CA103" s="782"/>
      <c r="CB103" s="782"/>
      <c r="CC103" s="782"/>
      <c r="CD103" s="782"/>
      <c r="CE103" s="782"/>
      <c r="CF103" s="782"/>
      <c r="CG103" s="782"/>
      <c r="CH103" s="782"/>
      <c r="CI103" s="782"/>
      <c r="CJ103" s="782"/>
      <c r="CK103" s="782"/>
      <c r="CL103" s="782"/>
      <c r="CM103" s="782"/>
      <c r="CN103" s="782"/>
      <c r="CO103" s="782"/>
      <c r="CP103" s="782"/>
      <c r="CQ103" s="782"/>
      <c r="CR103" s="782"/>
      <c r="CS103" s="782"/>
      <c r="CT103" s="782"/>
      <c r="CU103" s="782"/>
      <c r="CV103" s="782"/>
      <c r="CW103" s="782"/>
      <c r="CX103" s="782"/>
      <c r="CY103" s="782"/>
      <c r="CZ103" s="782"/>
      <c r="DA103" s="782"/>
      <c r="DB103" s="782"/>
      <c r="DC103" s="782"/>
      <c r="DD103" s="782"/>
      <c r="DE103" s="782"/>
      <c r="DF103" s="782"/>
      <c r="DG103" s="782"/>
      <c r="DH103" s="782"/>
      <c r="DI103" s="782"/>
      <c r="DJ103" s="782"/>
      <c r="DK103" s="782"/>
      <c r="DL103" s="782"/>
      <c r="DM103" s="782"/>
      <c r="DN103" s="782"/>
      <c r="DO103" s="782"/>
      <c r="DP103" s="782"/>
      <c r="DQ103" s="782"/>
      <c r="DR103" s="782"/>
      <c r="DS103" s="782"/>
      <c r="DT103" s="782"/>
      <c r="DU103" s="782"/>
      <c r="DV103" s="782"/>
      <c r="DW103" s="782"/>
      <c r="DX103" s="782"/>
      <c r="DY103" s="782"/>
      <c r="DZ103" s="782"/>
      <c r="EA103" s="782"/>
      <c r="EB103" s="782"/>
      <c r="EC103" s="782"/>
      <c r="ED103" s="782"/>
      <c r="EE103" s="782"/>
      <c r="EF103" s="782"/>
      <c r="EG103" s="782"/>
      <c r="EH103" s="782"/>
    </row>
    <row r="104" spans="1:138" ht="12.75" customHeight="1" x14ac:dyDescent="0.3">
      <c r="A104" s="782"/>
      <c r="B104" s="782" t="s">
        <v>65</v>
      </c>
      <c r="C104" s="798">
        <f>SUM(E104:EG104)</f>
        <v>6199955.4501547348</v>
      </c>
      <c r="D104" s="782"/>
      <c r="E104" s="798">
        <f>SUM(E98:E99)</f>
        <v>0</v>
      </c>
      <c r="F104" s="798">
        <f t="shared" ref="F104:BQ104" si="89">SUM(F98:F99)</f>
        <v>0</v>
      </c>
      <c r="G104" s="798">
        <f t="shared" si="89"/>
        <v>0</v>
      </c>
      <c r="H104" s="798">
        <f t="shared" si="89"/>
        <v>0</v>
      </c>
      <c r="I104" s="798">
        <f t="shared" si="89"/>
        <v>0</v>
      </c>
      <c r="J104" s="798">
        <f t="shared" si="89"/>
        <v>0</v>
      </c>
      <c r="K104" s="798">
        <f t="shared" si="89"/>
        <v>0</v>
      </c>
      <c r="L104" s="798">
        <f t="shared" si="89"/>
        <v>0</v>
      </c>
      <c r="M104" s="798">
        <f t="shared" si="89"/>
        <v>0</v>
      </c>
      <c r="N104" s="798">
        <f t="shared" si="89"/>
        <v>0</v>
      </c>
      <c r="O104" s="798">
        <f t="shared" si="89"/>
        <v>0</v>
      </c>
      <c r="P104" s="798">
        <f t="shared" si="89"/>
        <v>0</v>
      </c>
      <c r="Q104" s="798">
        <f t="shared" si="89"/>
        <v>0</v>
      </c>
      <c r="R104" s="798">
        <f t="shared" si="89"/>
        <v>0</v>
      </c>
      <c r="S104" s="798">
        <f t="shared" si="89"/>
        <v>0</v>
      </c>
      <c r="T104" s="798">
        <f t="shared" si="89"/>
        <v>0</v>
      </c>
      <c r="U104" s="798">
        <f t="shared" si="89"/>
        <v>0</v>
      </c>
      <c r="V104" s="798">
        <f t="shared" si="89"/>
        <v>0</v>
      </c>
      <c r="W104" s="798">
        <f t="shared" si="89"/>
        <v>0</v>
      </c>
      <c r="X104" s="798">
        <f t="shared" si="89"/>
        <v>0</v>
      </c>
      <c r="Y104" s="798">
        <f t="shared" si="89"/>
        <v>0</v>
      </c>
      <c r="Z104" s="798">
        <f t="shared" si="89"/>
        <v>0</v>
      </c>
      <c r="AA104" s="798">
        <f t="shared" si="89"/>
        <v>0</v>
      </c>
      <c r="AB104" s="798">
        <f t="shared" si="89"/>
        <v>0</v>
      </c>
      <c r="AC104" s="798">
        <f t="shared" si="89"/>
        <v>0</v>
      </c>
      <c r="AD104" s="798">
        <f t="shared" si="89"/>
        <v>0</v>
      </c>
      <c r="AE104" s="798">
        <f t="shared" si="89"/>
        <v>0</v>
      </c>
      <c r="AF104" s="798">
        <f t="shared" si="89"/>
        <v>0</v>
      </c>
      <c r="AG104" s="798">
        <f t="shared" si="89"/>
        <v>0</v>
      </c>
      <c r="AH104" s="798">
        <f t="shared" si="89"/>
        <v>0</v>
      </c>
      <c r="AI104" s="798">
        <f t="shared" si="89"/>
        <v>0</v>
      </c>
      <c r="AJ104" s="798">
        <f t="shared" si="89"/>
        <v>0</v>
      </c>
      <c r="AK104" s="798">
        <f t="shared" si="89"/>
        <v>6199955.4501547348</v>
      </c>
      <c r="AL104" s="798">
        <f t="shared" si="89"/>
        <v>0</v>
      </c>
      <c r="AM104" s="798">
        <f t="shared" si="89"/>
        <v>0</v>
      </c>
      <c r="AN104" s="798">
        <f t="shared" si="89"/>
        <v>0</v>
      </c>
      <c r="AO104" s="798">
        <f t="shared" si="89"/>
        <v>0</v>
      </c>
      <c r="AP104" s="798">
        <f t="shared" si="89"/>
        <v>0</v>
      </c>
      <c r="AQ104" s="798">
        <f t="shared" si="89"/>
        <v>0</v>
      </c>
      <c r="AR104" s="798">
        <f t="shared" si="89"/>
        <v>0</v>
      </c>
      <c r="AS104" s="798">
        <f t="shared" si="89"/>
        <v>0</v>
      </c>
      <c r="AT104" s="798">
        <f t="shared" si="89"/>
        <v>0</v>
      </c>
      <c r="AU104" s="798">
        <f t="shared" si="89"/>
        <v>0</v>
      </c>
      <c r="AV104" s="798">
        <f t="shared" si="89"/>
        <v>0</v>
      </c>
      <c r="AW104" s="798">
        <f t="shared" si="89"/>
        <v>0</v>
      </c>
      <c r="AX104" s="798">
        <f t="shared" si="89"/>
        <v>0</v>
      </c>
      <c r="AY104" s="798">
        <f t="shared" si="89"/>
        <v>0</v>
      </c>
      <c r="AZ104" s="798">
        <f t="shared" si="89"/>
        <v>0</v>
      </c>
      <c r="BA104" s="798">
        <f t="shared" si="89"/>
        <v>0</v>
      </c>
      <c r="BB104" s="798">
        <f t="shared" si="89"/>
        <v>0</v>
      </c>
      <c r="BC104" s="798">
        <f t="shared" si="89"/>
        <v>0</v>
      </c>
      <c r="BD104" s="798">
        <f t="shared" si="89"/>
        <v>0</v>
      </c>
      <c r="BE104" s="798">
        <f t="shared" si="89"/>
        <v>0</v>
      </c>
      <c r="BF104" s="798">
        <f t="shared" si="89"/>
        <v>0</v>
      </c>
      <c r="BG104" s="798">
        <f t="shared" si="89"/>
        <v>0</v>
      </c>
      <c r="BH104" s="798">
        <f t="shared" si="89"/>
        <v>0</v>
      </c>
      <c r="BI104" s="798">
        <f t="shared" si="89"/>
        <v>0</v>
      </c>
      <c r="BJ104" s="798">
        <f t="shared" si="89"/>
        <v>0</v>
      </c>
      <c r="BK104" s="798">
        <f t="shared" si="89"/>
        <v>0</v>
      </c>
      <c r="BL104" s="798">
        <f t="shared" si="89"/>
        <v>0</v>
      </c>
      <c r="BM104" s="798">
        <f t="shared" si="89"/>
        <v>0</v>
      </c>
      <c r="BN104" s="798">
        <f t="shared" si="89"/>
        <v>0</v>
      </c>
      <c r="BO104" s="798">
        <f t="shared" si="89"/>
        <v>0</v>
      </c>
      <c r="BP104" s="798">
        <f t="shared" si="89"/>
        <v>0</v>
      </c>
      <c r="BQ104" s="798">
        <f t="shared" si="89"/>
        <v>0</v>
      </c>
      <c r="BR104" s="798">
        <f t="shared" ref="BR104:EC104" si="90">SUM(BR98:BR99)</f>
        <v>0</v>
      </c>
      <c r="BS104" s="798">
        <f t="shared" si="90"/>
        <v>0</v>
      </c>
      <c r="BT104" s="798">
        <f t="shared" si="90"/>
        <v>0</v>
      </c>
      <c r="BU104" s="798">
        <f t="shared" si="90"/>
        <v>0</v>
      </c>
      <c r="BV104" s="798">
        <f t="shared" si="90"/>
        <v>0</v>
      </c>
      <c r="BW104" s="798">
        <f t="shared" si="90"/>
        <v>0</v>
      </c>
      <c r="BX104" s="798">
        <f t="shared" si="90"/>
        <v>0</v>
      </c>
      <c r="BY104" s="798">
        <f t="shared" si="90"/>
        <v>0</v>
      </c>
      <c r="BZ104" s="798">
        <f t="shared" si="90"/>
        <v>0</v>
      </c>
      <c r="CA104" s="798">
        <f t="shared" si="90"/>
        <v>0</v>
      </c>
      <c r="CB104" s="798">
        <f t="shared" si="90"/>
        <v>0</v>
      </c>
      <c r="CC104" s="798">
        <f t="shared" si="90"/>
        <v>0</v>
      </c>
      <c r="CD104" s="798">
        <f t="shared" si="90"/>
        <v>0</v>
      </c>
      <c r="CE104" s="798">
        <f t="shared" si="90"/>
        <v>0</v>
      </c>
      <c r="CF104" s="798">
        <f t="shared" si="90"/>
        <v>0</v>
      </c>
      <c r="CG104" s="798">
        <f t="shared" si="90"/>
        <v>0</v>
      </c>
      <c r="CH104" s="798">
        <f t="shared" si="90"/>
        <v>0</v>
      </c>
      <c r="CI104" s="798">
        <f t="shared" si="90"/>
        <v>0</v>
      </c>
      <c r="CJ104" s="798">
        <f t="shared" si="90"/>
        <v>0</v>
      </c>
      <c r="CK104" s="798">
        <f t="shared" si="90"/>
        <v>0</v>
      </c>
      <c r="CL104" s="798">
        <f t="shared" si="90"/>
        <v>0</v>
      </c>
      <c r="CM104" s="798">
        <f t="shared" si="90"/>
        <v>0</v>
      </c>
      <c r="CN104" s="798">
        <f t="shared" si="90"/>
        <v>0</v>
      </c>
      <c r="CO104" s="798">
        <f t="shared" si="90"/>
        <v>0</v>
      </c>
      <c r="CP104" s="798">
        <f t="shared" si="90"/>
        <v>0</v>
      </c>
      <c r="CQ104" s="798">
        <f t="shared" si="90"/>
        <v>0</v>
      </c>
      <c r="CR104" s="798">
        <f t="shared" si="90"/>
        <v>0</v>
      </c>
      <c r="CS104" s="798">
        <f t="shared" si="90"/>
        <v>0</v>
      </c>
      <c r="CT104" s="798">
        <f t="shared" si="90"/>
        <v>0</v>
      </c>
      <c r="CU104" s="798">
        <f t="shared" si="90"/>
        <v>0</v>
      </c>
      <c r="CV104" s="798">
        <f t="shared" si="90"/>
        <v>0</v>
      </c>
      <c r="CW104" s="798">
        <f t="shared" si="90"/>
        <v>0</v>
      </c>
      <c r="CX104" s="798">
        <f t="shared" si="90"/>
        <v>0</v>
      </c>
      <c r="CY104" s="798">
        <f t="shared" si="90"/>
        <v>0</v>
      </c>
      <c r="CZ104" s="798">
        <f t="shared" si="90"/>
        <v>0</v>
      </c>
      <c r="DA104" s="798">
        <f t="shared" si="90"/>
        <v>0</v>
      </c>
      <c r="DB104" s="798">
        <f t="shared" si="90"/>
        <v>0</v>
      </c>
      <c r="DC104" s="798">
        <f t="shared" si="90"/>
        <v>0</v>
      </c>
      <c r="DD104" s="798">
        <f t="shared" si="90"/>
        <v>0</v>
      </c>
      <c r="DE104" s="798">
        <f t="shared" si="90"/>
        <v>0</v>
      </c>
      <c r="DF104" s="798">
        <f t="shared" si="90"/>
        <v>0</v>
      </c>
      <c r="DG104" s="798">
        <f t="shared" si="90"/>
        <v>0</v>
      </c>
      <c r="DH104" s="798">
        <f t="shared" si="90"/>
        <v>0</v>
      </c>
      <c r="DI104" s="798">
        <f t="shared" si="90"/>
        <v>0</v>
      </c>
      <c r="DJ104" s="798">
        <f t="shared" si="90"/>
        <v>0</v>
      </c>
      <c r="DK104" s="798">
        <f t="shared" si="90"/>
        <v>0</v>
      </c>
      <c r="DL104" s="798">
        <f t="shared" si="90"/>
        <v>0</v>
      </c>
      <c r="DM104" s="798">
        <f t="shared" si="90"/>
        <v>0</v>
      </c>
      <c r="DN104" s="798">
        <f t="shared" si="90"/>
        <v>0</v>
      </c>
      <c r="DO104" s="798">
        <f t="shared" si="90"/>
        <v>0</v>
      </c>
      <c r="DP104" s="798">
        <f t="shared" si="90"/>
        <v>0</v>
      </c>
      <c r="DQ104" s="798">
        <f t="shared" si="90"/>
        <v>0</v>
      </c>
      <c r="DR104" s="798">
        <f t="shared" si="90"/>
        <v>0</v>
      </c>
      <c r="DS104" s="798">
        <f t="shared" si="90"/>
        <v>0</v>
      </c>
      <c r="DT104" s="798">
        <f t="shared" si="90"/>
        <v>0</v>
      </c>
      <c r="DU104" s="798">
        <f t="shared" si="90"/>
        <v>0</v>
      </c>
      <c r="DV104" s="798">
        <f t="shared" si="90"/>
        <v>0</v>
      </c>
      <c r="DW104" s="798">
        <f t="shared" si="90"/>
        <v>0</v>
      </c>
      <c r="DX104" s="798">
        <f t="shared" si="90"/>
        <v>0</v>
      </c>
      <c r="DY104" s="798">
        <f t="shared" si="90"/>
        <v>0</v>
      </c>
      <c r="DZ104" s="798">
        <f t="shared" si="90"/>
        <v>0</v>
      </c>
      <c r="EA104" s="798">
        <f t="shared" si="90"/>
        <v>0</v>
      </c>
      <c r="EB104" s="798">
        <f t="shared" si="90"/>
        <v>0</v>
      </c>
      <c r="EC104" s="798">
        <f t="shared" si="90"/>
        <v>0</v>
      </c>
      <c r="ED104" s="798">
        <f>SUM(ED98:ED99)</f>
        <v>0</v>
      </c>
      <c r="EE104" s="798">
        <f>SUM(EE98:EE99)</f>
        <v>0</v>
      </c>
      <c r="EF104" s="798">
        <f>SUM(EF98:EF99)</f>
        <v>0</v>
      </c>
      <c r="EG104" s="798">
        <f>SUM(EG98:EG99)</f>
        <v>0</v>
      </c>
      <c r="EH104" s="782"/>
    </row>
    <row r="105" spans="1:138" ht="12.75" customHeight="1" x14ac:dyDescent="0.3">
      <c r="A105" s="782"/>
      <c r="B105" s="782"/>
      <c r="C105" s="782"/>
      <c r="D105" s="782"/>
      <c r="E105" s="782"/>
      <c r="F105" s="782"/>
      <c r="G105" s="782"/>
      <c r="H105" s="782"/>
      <c r="I105" s="782"/>
      <c r="J105" s="782"/>
      <c r="K105" s="782"/>
      <c r="L105" s="782"/>
      <c r="M105" s="782"/>
      <c r="N105" s="782"/>
      <c r="O105" s="782"/>
      <c r="P105" s="782"/>
      <c r="Q105" s="782"/>
      <c r="R105" s="782"/>
      <c r="S105" s="782"/>
      <c r="T105" s="782"/>
      <c r="U105" s="782"/>
      <c r="V105" s="782"/>
      <c r="W105" s="782"/>
      <c r="X105" s="782"/>
      <c r="Y105" s="782"/>
      <c r="Z105" s="782"/>
      <c r="AA105" s="782"/>
      <c r="AB105" s="782"/>
      <c r="AC105" s="782"/>
      <c r="AD105" s="782"/>
      <c r="AE105" s="782"/>
      <c r="AF105" s="782"/>
      <c r="AG105" s="782"/>
      <c r="AH105" s="782"/>
      <c r="AI105" s="782"/>
      <c r="AJ105" s="782"/>
      <c r="AK105" s="782"/>
      <c r="AL105" s="782"/>
      <c r="AM105" s="782"/>
      <c r="AN105" s="782"/>
      <c r="AO105" s="782"/>
      <c r="AP105" s="782"/>
      <c r="AQ105" s="782"/>
      <c r="AR105" s="782"/>
      <c r="AS105" s="782"/>
      <c r="AT105" s="782"/>
      <c r="AU105" s="782"/>
      <c r="AV105" s="782"/>
      <c r="AW105" s="782"/>
      <c r="AX105" s="782"/>
      <c r="AY105" s="782"/>
      <c r="AZ105" s="782"/>
      <c r="BA105" s="782"/>
      <c r="BB105" s="782"/>
      <c r="BC105" s="782"/>
      <c r="BD105" s="782"/>
      <c r="BE105" s="782"/>
      <c r="BF105" s="782"/>
      <c r="BG105" s="782"/>
      <c r="BH105" s="782"/>
      <c r="BI105" s="782"/>
      <c r="BJ105" s="782"/>
      <c r="BK105" s="782"/>
      <c r="BL105" s="782"/>
      <c r="BM105" s="782"/>
      <c r="BN105" s="782"/>
      <c r="BO105" s="782"/>
      <c r="BP105" s="782"/>
      <c r="BQ105" s="782"/>
      <c r="BR105" s="782"/>
      <c r="BS105" s="782"/>
      <c r="BT105" s="782"/>
      <c r="BU105" s="782"/>
      <c r="BV105" s="782"/>
      <c r="BW105" s="782"/>
      <c r="BX105" s="782"/>
      <c r="BY105" s="782"/>
      <c r="BZ105" s="782"/>
      <c r="CA105" s="782"/>
      <c r="CB105" s="782"/>
      <c r="CC105" s="782"/>
      <c r="CD105" s="782"/>
      <c r="CE105" s="782"/>
      <c r="CF105" s="782"/>
      <c r="CG105" s="782"/>
      <c r="CH105" s="782"/>
      <c r="CI105" s="782"/>
      <c r="CJ105" s="782"/>
      <c r="CK105" s="782"/>
      <c r="CL105" s="782"/>
      <c r="CM105" s="782"/>
      <c r="CN105" s="782"/>
      <c r="CO105" s="782"/>
      <c r="CP105" s="782"/>
      <c r="CQ105" s="782"/>
      <c r="CR105" s="782"/>
      <c r="CS105" s="782"/>
      <c r="CT105" s="782"/>
      <c r="CU105" s="782"/>
      <c r="CV105" s="782"/>
      <c r="CW105" s="782"/>
      <c r="CX105" s="782"/>
      <c r="CY105" s="782"/>
      <c r="CZ105" s="782"/>
      <c r="DA105" s="782"/>
      <c r="DB105" s="782"/>
      <c r="DC105" s="782"/>
      <c r="DD105" s="782"/>
      <c r="DE105" s="782"/>
      <c r="DF105" s="782"/>
      <c r="DG105" s="782"/>
      <c r="DH105" s="782"/>
      <c r="DI105" s="782"/>
      <c r="DJ105" s="782"/>
      <c r="DK105" s="782"/>
      <c r="DL105" s="782"/>
      <c r="DM105" s="782"/>
      <c r="DN105" s="782"/>
      <c r="DO105" s="782"/>
      <c r="DP105" s="782"/>
      <c r="DQ105" s="782"/>
      <c r="DR105" s="782"/>
      <c r="DS105" s="782"/>
      <c r="DT105" s="782"/>
      <c r="DU105" s="782"/>
      <c r="DV105" s="782"/>
      <c r="DW105" s="782"/>
      <c r="DX105" s="782"/>
      <c r="DY105" s="782"/>
      <c r="DZ105" s="782"/>
      <c r="EA105" s="782"/>
      <c r="EB105" s="782"/>
      <c r="EC105" s="782"/>
      <c r="ED105" s="782"/>
      <c r="EE105" s="782"/>
      <c r="EF105" s="782"/>
      <c r="EG105" s="782"/>
      <c r="EH105" s="782"/>
    </row>
    <row r="106" spans="1:138" ht="12.75" customHeight="1" x14ac:dyDescent="0.3">
      <c r="A106" s="782"/>
      <c r="B106" s="782" t="s">
        <v>66</v>
      </c>
      <c r="C106" s="798">
        <f>SUM(E106:EG106)</f>
        <v>7477412.8402144164</v>
      </c>
      <c r="D106" s="782"/>
      <c r="E106" s="798">
        <f>E78-E88-E96-E104</f>
        <v>0</v>
      </c>
      <c r="F106" s="798">
        <f t="shared" ref="F106:BQ106" si="91">F78-F88-F96-F104</f>
        <v>0</v>
      </c>
      <c r="G106" s="798">
        <f t="shared" si="91"/>
        <v>0</v>
      </c>
      <c r="H106" s="798">
        <f t="shared" si="91"/>
        <v>0</v>
      </c>
      <c r="I106" s="798">
        <f t="shared" si="91"/>
        <v>0</v>
      </c>
      <c r="J106" s="798">
        <f t="shared" si="91"/>
        <v>0</v>
      </c>
      <c r="K106" s="798">
        <f t="shared" si="91"/>
        <v>0</v>
      </c>
      <c r="L106" s="798">
        <f t="shared" si="91"/>
        <v>0</v>
      </c>
      <c r="M106" s="798">
        <f t="shared" si="91"/>
        <v>0</v>
      </c>
      <c r="N106" s="798">
        <f t="shared" si="91"/>
        <v>0</v>
      </c>
      <c r="O106" s="798">
        <f t="shared" si="91"/>
        <v>0</v>
      </c>
      <c r="P106" s="798">
        <f t="shared" si="91"/>
        <v>0</v>
      </c>
      <c r="Q106" s="798">
        <f t="shared" si="91"/>
        <v>0</v>
      </c>
      <c r="R106" s="798">
        <f t="shared" si="91"/>
        <v>0</v>
      </c>
      <c r="S106" s="798">
        <f t="shared" si="91"/>
        <v>0</v>
      </c>
      <c r="T106" s="798">
        <f t="shared" si="91"/>
        <v>0</v>
      </c>
      <c r="U106" s="798">
        <f t="shared" si="91"/>
        <v>0</v>
      </c>
      <c r="V106" s="798">
        <f t="shared" si="91"/>
        <v>0</v>
      </c>
      <c r="W106" s="798">
        <f t="shared" si="91"/>
        <v>0</v>
      </c>
      <c r="X106" s="798">
        <f t="shared" si="91"/>
        <v>0</v>
      </c>
      <c r="Y106" s="798">
        <f t="shared" si="91"/>
        <v>0</v>
      </c>
      <c r="Z106" s="798">
        <f t="shared" si="91"/>
        <v>0</v>
      </c>
      <c r="AA106" s="798">
        <f t="shared" si="91"/>
        <v>0</v>
      </c>
      <c r="AB106" s="798">
        <f t="shared" si="91"/>
        <v>0</v>
      </c>
      <c r="AC106" s="798">
        <f t="shared" si="91"/>
        <v>0</v>
      </c>
      <c r="AD106" s="798">
        <f t="shared" si="91"/>
        <v>0</v>
      </c>
      <c r="AE106" s="798">
        <f t="shared" si="91"/>
        <v>0</v>
      </c>
      <c r="AF106" s="798">
        <f t="shared" si="91"/>
        <v>0</v>
      </c>
      <c r="AG106" s="798">
        <f t="shared" si="91"/>
        <v>0</v>
      </c>
      <c r="AH106" s="798">
        <f t="shared" si="91"/>
        <v>0</v>
      </c>
      <c r="AI106" s="798">
        <f t="shared" si="91"/>
        <v>0</v>
      </c>
      <c r="AJ106" s="798">
        <f t="shared" si="91"/>
        <v>0</v>
      </c>
      <c r="AK106" s="798">
        <f t="shared" si="91"/>
        <v>7477412.8402144164</v>
      </c>
      <c r="AL106" s="798">
        <f t="shared" si="91"/>
        <v>0</v>
      </c>
      <c r="AM106" s="798">
        <f t="shared" si="91"/>
        <v>0</v>
      </c>
      <c r="AN106" s="798">
        <f t="shared" si="91"/>
        <v>0</v>
      </c>
      <c r="AO106" s="798">
        <f t="shared" si="91"/>
        <v>0</v>
      </c>
      <c r="AP106" s="798">
        <f t="shared" si="91"/>
        <v>0</v>
      </c>
      <c r="AQ106" s="798">
        <f t="shared" si="91"/>
        <v>0</v>
      </c>
      <c r="AR106" s="798">
        <f t="shared" si="91"/>
        <v>0</v>
      </c>
      <c r="AS106" s="798">
        <f t="shared" si="91"/>
        <v>0</v>
      </c>
      <c r="AT106" s="798">
        <f t="shared" si="91"/>
        <v>0</v>
      </c>
      <c r="AU106" s="798">
        <f t="shared" si="91"/>
        <v>0</v>
      </c>
      <c r="AV106" s="798">
        <f t="shared" si="91"/>
        <v>0</v>
      </c>
      <c r="AW106" s="798">
        <f t="shared" si="91"/>
        <v>0</v>
      </c>
      <c r="AX106" s="798">
        <f t="shared" si="91"/>
        <v>0</v>
      </c>
      <c r="AY106" s="798">
        <f t="shared" si="91"/>
        <v>0</v>
      </c>
      <c r="AZ106" s="798">
        <f t="shared" si="91"/>
        <v>0</v>
      </c>
      <c r="BA106" s="798">
        <f t="shared" si="91"/>
        <v>0</v>
      </c>
      <c r="BB106" s="798">
        <f t="shared" si="91"/>
        <v>0</v>
      </c>
      <c r="BC106" s="798">
        <f t="shared" si="91"/>
        <v>0</v>
      </c>
      <c r="BD106" s="798">
        <f t="shared" si="91"/>
        <v>0</v>
      </c>
      <c r="BE106" s="798">
        <f t="shared" si="91"/>
        <v>0</v>
      </c>
      <c r="BF106" s="798">
        <f t="shared" si="91"/>
        <v>0</v>
      </c>
      <c r="BG106" s="798">
        <f t="shared" si="91"/>
        <v>0</v>
      </c>
      <c r="BH106" s="798">
        <f t="shared" si="91"/>
        <v>0</v>
      </c>
      <c r="BI106" s="798">
        <f t="shared" si="91"/>
        <v>0</v>
      </c>
      <c r="BJ106" s="798">
        <f t="shared" si="91"/>
        <v>0</v>
      </c>
      <c r="BK106" s="798">
        <f t="shared" si="91"/>
        <v>0</v>
      </c>
      <c r="BL106" s="798">
        <f t="shared" si="91"/>
        <v>0</v>
      </c>
      <c r="BM106" s="798">
        <f t="shared" si="91"/>
        <v>0</v>
      </c>
      <c r="BN106" s="798">
        <f t="shared" si="91"/>
        <v>0</v>
      </c>
      <c r="BO106" s="798">
        <f t="shared" si="91"/>
        <v>0</v>
      </c>
      <c r="BP106" s="798">
        <f t="shared" si="91"/>
        <v>0</v>
      </c>
      <c r="BQ106" s="798">
        <f t="shared" si="91"/>
        <v>0</v>
      </c>
      <c r="BR106" s="798">
        <f t="shared" ref="BR106:EC106" si="92">BR78-BR88-BR96-BR104</f>
        <v>0</v>
      </c>
      <c r="BS106" s="798">
        <f t="shared" si="92"/>
        <v>0</v>
      </c>
      <c r="BT106" s="798">
        <f t="shared" si="92"/>
        <v>0</v>
      </c>
      <c r="BU106" s="798">
        <f t="shared" si="92"/>
        <v>0</v>
      </c>
      <c r="BV106" s="798">
        <f t="shared" si="92"/>
        <v>0</v>
      </c>
      <c r="BW106" s="798">
        <f t="shared" si="92"/>
        <v>0</v>
      </c>
      <c r="BX106" s="798">
        <f t="shared" si="92"/>
        <v>0</v>
      </c>
      <c r="BY106" s="798">
        <f t="shared" si="92"/>
        <v>0</v>
      </c>
      <c r="BZ106" s="798">
        <f t="shared" si="92"/>
        <v>0</v>
      </c>
      <c r="CA106" s="798">
        <f t="shared" si="92"/>
        <v>0</v>
      </c>
      <c r="CB106" s="798">
        <f t="shared" si="92"/>
        <v>0</v>
      </c>
      <c r="CC106" s="798">
        <f t="shared" si="92"/>
        <v>0</v>
      </c>
      <c r="CD106" s="798">
        <f t="shared" si="92"/>
        <v>0</v>
      </c>
      <c r="CE106" s="798">
        <f t="shared" si="92"/>
        <v>0</v>
      </c>
      <c r="CF106" s="798">
        <f t="shared" si="92"/>
        <v>0</v>
      </c>
      <c r="CG106" s="798">
        <f t="shared" si="92"/>
        <v>0</v>
      </c>
      <c r="CH106" s="798">
        <f t="shared" si="92"/>
        <v>0</v>
      </c>
      <c r="CI106" s="798">
        <f t="shared" si="92"/>
        <v>0</v>
      </c>
      <c r="CJ106" s="798">
        <f t="shared" si="92"/>
        <v>0</v>
      </c>
      <c r="CK106" s="798">
        <f t="shared" si="92"/>
        <v>0</v>
      </c>
      <c r="CL106" s="798">
        <f t="shared" si="92"/>
        <v>0</v>
      </c>
      <c r="CM106" s="798">
        <f t="shared" si="92"/>
        <v>0</v>
      </c>
      <c r="CN106" s="798">
        <f t="shared" si="92"/>
        <v>0</v>
      </c>
      <c r="CO106" s="798">
        <f t="shared" si="92"/>
        <v>0</v>
      </c>
      <c r="CP106" s="798">
        <f t="shared" si="92"/>
        <v>0</v>
      </c>
      <c r="CQ106" s="798">
        <f t="shared" si="92"/>
        <v>0</v>
      </c>
      <c r="CR106" s="798">
        <f t="shared" si="92"/>
        <v>0</v>
      </c>
      <c r="CS106" s="798">
        <f t="shared" si="92"/>
        <v>0</v>
      </c>
      <c r="CT106" s="798">
        <f t="shared" si="92"/>
        <v>0</v>
      </c>
      <c r="CU106" s="798">
        <f t="shared" si="92"/>
        <v>0</v>
      </c>
      <c r="CV106" s="798">
        <f t="shared" si="92"/>
        <v>0</v>
      </c>
      <c r="CW106" s="798">
        <f t="shared" si="92"/>
        <v>0</v>
      </c>
      <c r="CX106" s="798">
        <f t="shared" si="92"/>
        <v>0</v>
      </c>
      <c r="CY106" s="798">
        <f t="shared" si="92"/>
        <v>0</v>
      </c>
      <c r="CZ106" s="798">
        <f t="shared" si="92"/>
        <v>0</v>
      </c>
      <c r="DA106" s="798">
        <f t="shared" si="92"/>
        <v>0</v>
      </c>
      <c r="DB106" s="798">
        <f t="shared" si="92"/>
        <v>0</v>
      </c>
      <c r="DC106" s="798">
        <f t="shared" si="92"/>
        <v>0</v>
      </c>
      <c r="DD106" s="798">
        <f t="shared" si="92"/>
        <v>0</v>
      </c>
      <c r="DE106" s="798">
        <f t="shared" si="92"/>
        <v>0</v>
      </c>
      <c r="DF106" s="798">
        <f t="shared" si="92"/>
        <v>0</v>
      </c>
      <c r="DG106" s="798">
        <f t="shared" si="92"/>
        <v>0</v>
      </c>
      <c r="DH106" s="798">
        <f t="shared" si="92"/>
        <v>0</v>
      </c>
      <c r="DI106" s="798">
        <f t="shared" si="92"/>
        <v>0</v>
      </c>
      <c r="DJ106" s="798">
        <f t="shared" si="92"/>
        <v>0</v>
      </c>
      <c r="DK106" s="798">
        <f t="shared" si="92"/>
        <v>0</v>
      </c>
      <c r="DL106" s="798">
        <f t="shared" si="92"/>
        <v>0</v>
      </c>
      <c r="DM106" s="798">
        <f t="shared" si="92"/>
        <v>0</v>
      </c>
      <c r="DN106" s="798">
        <f t="shared" si="92"/>
        <v>0</v>
      </c>
      <c r="DO106" s="798">
        <f t="shared" si="92"/>
        <v>0</v>
      </c>
      <c r="DP106" s="798">
        <f t="shared" si="92"/>
        <v>0</v>
      </c>
      <c r="DQ106" s="798">
        <f t="shared" si="92"/>
        <v>0</v>
      </c>
      <c r="DR106" s="798">
        <f t="shared" si="92"/>
        <v>0</v>
      </c>
      <c r="DS106" s="798">
        <f t="shared" si="92"/>
        <v>0</v>
      </c>
      <c r="DT106" s="798">
        <f t="shared" si="92"/>
        <v>0</v>
      </c>
      <c r="DU106" s="798">
        <f t="shared" si="92"/>
        <v>0</v>
      </c>
      <c r="DV106" s="798">
        <f t="shared" si="92"/>
        <v>0</v>
      </c>
      <c r="DW106" s="798">
        <f t="shared" si="92"/>
        <v>0</v>
      </c>
      <c r="DX106" s="798">
        <f t="shared" si="92"/>
        <v>0</v>
      </c>
      <c r="DY106" s="798">
        <f t="shared" si="92"/>
        <v>0</v>
      </c>
      <c r="DZ106" s="798">
        <f t="shared" si="92"/>
        <v>0</v>
      </c>
      <c r="EA106" s="798">
        <f t="shared" si="92"/>
        <v>0</v>
      </c>
      <c r="EB106" s="798">
        <f t="shared" si="92"/>
        <v>0</v>
      </c>
      <c r="EC106" s="798">
        <f t="shared" si="92"/>
        <v>0</v>
      </c>
      <c r="ED106" s="798">
        <f>ED78-ED88-ED96-ED104</f>
        <v>0</v>
      </c>
      <c r="EE106" s="798">
        <f>EE78-EE88-EE96-EE104</f>
        <v>0</v>
      </c>
      <c r="EF106" s="798">
        <f>EF78-EF88-EF96-EF104</f>
        <v>0</v>
      </c>
      <c r="EG106" s="798">
        <f>EG78-EG88-EG96-EG104</f>
        <v>0</v>
      </c>
      <c r="EH106" s="782"/>
    </row>
    <row r="107" spans="1:138" ht="12.75" customHeight="1" x14ac:dyDescent="0.3">
      <c r="A107" s="782"/>
      <c r="B107" s="782" t="s">
        <v>67</v>
      </c>
      <c r="C107" s="806">
        <f>+'Venture Assumptions'!F40</f>
        <v>0.5</v>
      </c>
      <c r="D107" s="782"/>
      <c r="E107" s="798">
        <f>E106*$C$107</f>
        <v>0</v>
      </c>
      <c r="F107" s="798">
        <f t="shared" ref="F107:BQ107" si="93">F106*$C$107</f>
        <v>0</v>
      </c>
      <c r="G107" s="798">
        <f t="shared" si="93"/>
        <v>0</v>
      </c>
      <c r="H107" s="798">
        <f t="shared" si="93"/>
        <v>0</v>
      </c>
      <c r="I107" s="798">
        <f t="shared" si="93"/>
        <v>0</v>
      </c>
      <c r="J107" s="798">
        <f t="shared" si="93"/>
        <v>0</v>
      </c>
      <c r="K107" s="798">
        <f t="shared" si="93"/>
        <v>0</v>
      </c>
      <c r="L107" s="798">
        <f t="shared" si="93"/>
        <v>0</v>
      </c>
      <c r="M107" s="798">
        <f t="shared" si="93"/>
        <v>0</v>
      </c>
      <c r="N107" s="798">
        <f t="shared" si="93"/>
        <v>0</v>
      </c>
      <c r="O107" s="798">
        <f t="shared" si="93"/>
        <v>0</v>
      </c>
      <c r="P107" s="798">
        <f t="shared" si="93"/>
        <v>0</v>
      </c>
      <c r="Q107" s="798">
        <f t="shared" si="93"/>
        <v>0</v>
      </c>
      <c r="R107" s="798">
        <f t="shared" si="93"/>
        <v>0</v>
      </c>
      <c r="S107" s="798">
        <f t="shared" si="93"/>
        <v>0</v>
      </c>
      <c r="T107" s="798">
        <f t="shared" si="93"/>
        <v>0</v>
      </c>
      <c r="U107" s="798">
        <f t="shared" si="93"/>
        <v>0</v>
      </c>
      <c r="V107" s="798">
        <f t="shared" si="93"/>
        <v>0</v>
      </c>
      <c r="W107" s="798">
        <f t="shared" si="93"/>
        <v>0</v>
      </c>
      <c r="X107" s="798">
        <f t="shared" si="93"/>
        <v>0</v>
      </c>
      <c r="Y107" s="798">
        <f t="shared" si="93"/>
        <v>0</v>
      </c>
      <c r="Z107" s="798">
        <f t="shared" si="93"/>
        <v>0</v>
      </c>
      <c r="AA107" s="798">
        <f t="shared" si="93"/>
        <v>0</v>
      </c>
      <c r="AB107" s="798">
        <f t="shared" si="93"/>
        <v>0</v>
      </c>
      <c r="AC107" s="798">
        <f t="shared" si="93"/>
        <v>0</v>
      </c>
      <c r="AD107" s="798">
        <f t="shared" si="93"/>
        <v>0</v>
      </c>
      <c r="AE107" s="798">
        <f t="shared" si="93"/>
        <v>0</v>
      </c>
      <c r="AF107" s="798">
        <f t="shared" si="93"/>
        <v>0</v>
      </c>
      <c r="AG107" s="798">
        <f t="shared" si="93"/>
        <v>0</v>
      </c>
      <c r="AH107" s="798">
        <f t="shared" si="93"/>
        <v>0</v>
      </c>
      <c r="AI107" s="798">
        <f t="shared" si="93"/>
        <v>0</v>
      </c>
      <c r="AJ107" s="798">
        <f t="shared" si="93"/>
        <v>0</v>
      </c>
      <c r="AK107" s="798">
        <f t="shared" si="93"/>
        <v>3738706.4201072082</v>
      </c>
      <c r="AL107" s="798">
        <f t="shared" si="93"/>
        <v>0</v>
      </c>
      <c r="AM107" s="798">
        <f t="shared" si="93"/>
        <v>0</v>
      </c>
      <c r="AN107" s="798">
        <f t="shared" si="93"/>
        <v>0</v>
      </c>
      <c r="AO107" s="798">
        <f t="shared" si="93"/>
        <v>0</v>
      </c>
      <c r="AP107" s="798">
        <f t="shared" si="93"/>
        <v>0</v>
      </c>
      <c r="AQ107" s="798">
        <f t="shared" si="93"/>
        <v>0</v>
      </c>
      <c r="AR107" s="798">
        <f t="shared" si="93"/>
        <v>0</v>
      </c>
      <c r="AS107" s="798">
        <f t="shared" si="93"/>
        <v>0</v>
      </c>
      <c r="AT107" s="798">
        <f t="shared" si="93"/>
        <v>0</v>
      </c>
      <c r="AU107" s="798">
        <f t="shared" si="93"/>
        <v>0</v>
      </c>
      <c r="AV107" s="798">
        <f t="shared" si="93"/>
        <v>0</v>
      </c>
      <c r="AW107" s="798">
        <f t="shared" si="93"/>
        <v>0</v>
      </c>
      <c r="AX107" s="798">
        <f t="shared" si="93"/>
        <v>0</v>
      </c>
      <c r="AY107" s="798">
        <f t="shared" si="93"/>
        <v>0</v>
      </c>
      <c r="AZ107" s="798">
        <f t="shared" si="93"/>
        <v>0</v>
      </c>
      <c r="BA107" s="798">
        <f t="shared" si="93"/>
        <v>0</v>
      </c>
      <c r="BB107" s="798">
        <f t="shared" si="93"/>
        <v>0</v>
      </c>
      <c r="BC107" s="798">
        <f t="shared" si="93"/>
        <v>0</v>
      </c>
      <c r="BD107" s="798">
        <f t="shared" si="93"/>
        <v>0</v>
      </c>
      <c r="BE107" s="798">
        <f t="shared" si="93"/>
        <v>0</v>
      </c>
      <c r="BF107" s="798">
        <f t="shared" si="93"/>
        <v>0</v>
      </c>
      <c r="BG107" s="798">
        <f t="shared" si="93"/>
        <v>0</v>
      </c>
      <c r="BH107" s="798">
        <f t="shared" si="93"/>
        <v>0</v>
      </c>
      <c r="BI107" s="798">
        <f t="shared" si="93"/>
        <v>0</v>
      </c>
      <c r="BJ107" s="798">
        <f t="shared" si="93"/>
        <v>0</v>
      </c>
      <c r="BK107" s="798">
        <f t="shared" si="93"/>
        <v>0</v>
      </c>
      <c r="BL107" s="798">
        <f t="shared" si="93"/>
        <v>0</v>
      </c>
      <c r="BM107" s="798">
        <f t="shared" si="93"/>
        <v>0</v>
      </c>
      <c r="BN107" s="798">
        <f t="shared" si="93"/>
        <v>0</v>
      </c>
      <c r="BO107" s="798">
        <f t="shared" si="93"/>
        <v>0</v>
      </c>
      <c r="BP107" s="798">
        <f t="shared" si="93"/>
        <v>0</v>
      </c>
      <c r="BQ107" s="798">
        <f t="shared" si="93"/>
        <v>0</v>
      </c>
      <c r="BR107" s="798">
        <f t="shared" ref="BR107:EC107" si="94">BR106*$C$107</f>
        <v>0</v>
      </c>
      <c r="BS107" s="798">
        <f t="shared" si="94"/>
        <v>0</v>
      </c>
      <c r="BT107" s="798">
        <f t="shared" si="94"/>
        <v>0</v>
      </c>
      <c r="BU107" s="798">
        <f t="shared" si="94"/>
        <v>0</v>
      </c>
      <c r="BV107" s="798">
        <f t="shared" si="94"/>
        <v>0</v>
      </c>
      <c r="BW107" s="798">
        <f t="shared" si="94"/>
        <v>0</v>
      </c>
      <c r="BX107" s="798">
        <f t="shared" si="94"/>
        <v>0</v>
      </c>
      <c r="BY107" s="798">
        <f t="shared" si="94"/>
        <v>0</v>
      </c>
      <c r="BZ107" s="798">
        <f t="shared" si="94"/>
        <v>0</v>
      </c>
      <c r="CA107" s="798">
        <f t="shared" si="94"/>
        <v>0</v>
      </c>
      <c r="CB107" s="798">
        <f t="shared" si="94"/>
        <v>0</v>
      </c>
      <c r="CC107" s="798">
        <f t="shared" si="94"/>
        <v>0</v>
      </c>
      <c r="CD107" s="798">
        <f t="shared" si="94"/>
        <v>0</v>
      </c>
      <c r="CE107" s="798">
        <f t="shared" si="94"/>
        <v>0</v>
      </c>
      <c r="CF107" s="798">
        <f t="shared" si="94"/>
        <v>0</v>
      </c>
      <c r="CG107" s="798">
        <f t="shared" si="94"/>
        <v>0</v>
      </c>
      <c r="CH107" s="798">
        <f t="shared" si="94"/>
        <v>0</v>
      </c>
      <c r="CI107" s="798">
        <f t="shared" si="94"/>
        <v>0</v>
      </c>
      <c r="CJ107" s="798">
        <f t="shared" si="94"/>
        <v>0</v>
      </c>
      <c r="CK107" s="798">
        <f t="shared" si="94"/>
        <v>0</v>
      </c>
      <c r="CL107" s="798">
        <f t="shared" si="94"/>
        <v>0</v>
      </c>
      <c r="CM107" s="798">
        <f t="shared" si="94"/>
        <v>0</v>
      </c>
      <c r="CN107" s="798">
        <f t="shared" si="94"/>
        <v>0</v>
      </c>
      <c r="CO107" s="798">
        <f t="shared" si="94"/>
        <v>0</v>
      </c>
      <c r="CP107" s="798">
        <f t="shared" si="94"/>
        <v>0</v>
      </c>
      <c r="CQ107" s="798">
        <f t="shared" si="94"/>
        <v>0</v>
      </c>
      <c r="CR107" s="798">
        <f t="shared" si="94"/>
        <v>0</v>
      </c>
      <c r="CS107" s="798">
        <f t="shared" si="94"/>
        <v>0</v>
      </c>
      <c r="CT107" s="798">
        <f t="shared" si="94"/>
        <v>0</v>
      </c>
      <c r="CU107" s="798">
        <f t="shared" si="94"/>
        <v>0</v>
      </c>
      <c r="CV107" s="798">
        <f t="shared" si="94"/>
        <v>0</v>
      </c>
      <c r="CW107" s="798">
        <f t="shared" si="94"/>
        <v>0</v>
      </c>
      <c r="CX107" s="798">
        <f t="shared" si="94"/>
        <v>0</v>
      </c>
      <c r="CY107" s="798">
        <f t="shared" si="94"/>
        <v>0</v>
      </c>
      <c r="CZ107" s="798">
        <f t="shared" si="94"/>
        <v>0</v>
      </c>
      <c r="DA107" s="798">
        <f t="shared" si="94"/>
        <v>0</v>
      </c>
      <c r="DB107" s="798">
        <f t="shared" si="94"/>
        <v>0</v>
      </c>
      <c r="DC107" s="798">
        <f t="shared" si="94"/>
        <v>0</v>
      </c>
      <c r="DD107" s="798">
        <f t="shared" si="94"/>
        <v>0</v>
      </c>
      <c r="DE107" s="798">
        <f t="shared" si="94"/>
        <v>0</v>
      </c>
      <c r="DF107" s="798">
        <f t="shared" si="94"/>
        <v>0</v>
      </c>
      <c r="DG107" s="798">
        <f t="shared" si="94"/>
        <v>0</v>
      </c>
      <c r="DH107" s="798">
        <f t="shared" si="94"/>
        <v>0</v>
      </c>
      <c r="DI107" s="798">
        <f t="shared" si="94"/>
        <v>0</v>
      </c>
      <c r="DJ107" s="798">
        <f t="shared" si="94"/>
        <v>0</v>
      </c>
      <c r="DK107" s="798">
        <f t="shared" si="94"/>
        <v>0</v>
      </c>
      <c r="DL107" s="798">
        <f t="shared" si="94"/>
        <v>0</v>
      </c>
      <c r="DM107" s="798">
        <f t="shared" si="94"/>
        <v>0</v>
      </c>
      <c r="DN107" s="798">
        <f t="shared" si="94"/>
        <v>0</v>
      </c>
      <c r="DO107" s="798">
        <f t="shared" si="94"/>
        <v>0</v>
      </c>
      <c r="DP107" s="798">
        <f t="shared" si="94"/>
        <v>0</v>
      </c>
      <c r="DQ107" s="798">
        <f t="shared" si="94"/>
        <v>0</v>
      </c>
      <c r="DR107" s="798">
        <f t="shared" si="94"/>
        <v>0</v>
      </c>
      <c r="DS107" s="798">
        <f t="shared" si="94"/>
        <v>0</v>
      </c>
      <c r="DT107" s="798">
        <f t="shared" si="94"/>
        <v>0</v>
      </c>
      <c r="DU107" s="798">
        <f t="shared" si="94"/>
        <v>0</v>
      </c>
      <c r="DV107" s="798">
        <f t="shared" si="94"/>
        <v>0</v>
      </c>
      <c r="DW107" s="798">
        <f t="shared" si="94"/>
        <v>0</v>
      </c>
      <c r="DX107" s="798">
        <f t="shared" si="94"/>
        <v>0</v>
      </c>
      <c r="DY107" s="798">
        <f t="shared" si="94"/>
        <v>0</v>
      </c>
      <c r="DZ107" s="798">
        <f t="shared" si="94"/>
        <v>0</v>
      </c>
      <c r="EA107" s="798">
        <f t="shared" si="94"/>
        <v>0</v>
      </c>
      <c r="EB107" s="798">
        <f t="shared" si="94"/>
        <v>0</v>
      </c>
      <c r="EC107" s="798">
        <f t="shared" si="94"/>
        <v>0</v>
      </c>
      <c r="ED107" s="798">
        <f>ED106*$C$107</f>
        <v>0</v>
      </c>
      <c r="EE107" s="798">
        <f>EE106*$C$107</f>
        <v>0</v>
      </c>
      <c r="EF107" s="798">
        <f>EF106*$C$107</f>
        <v>0</v>
      </c>
      <c r="EG107" s="798">
        <f>EG106*$C$107</f>
        <v>0</v>
      </c>
      <c r="EH107" s="782"/>
    </row>
    <row r="108" spans="1:138" ht="12.75" customHeight="1" x14ac:dyDescent="0.3">
      <c r="A108" s="782"/>
      <c r="B108" s="782" t="s">
        <v>68</v>
      </c>
      <c r="C108" s="806">
        <f>+'Venture Assumptions'!F39</f>
        <v>0.5</v>
      </c>
      <c r="D108" s="782"/>
      <c r="E108" s="798">
        <f>E106*$C$108</f>
        <v>0</v>
      </c>
      <c r="F108" s="798">
        <f t="shared" ref="F108:BQ108" si="95">F106*$C$108</f>
        <v>0</v>
      </c>
      <c r="G108" s="798">
        <f t="shared" si="95"/>
        <v>0</v>
      </c>
      <c r="H108" s="798">
        <f t="shared" si="95"/>
        <v>0</v>
      </c>
      <c r="I108" s="798">
        <f t="shared" si="95"/>
        <v>0</v>
      </c>
      <c r="J108" s="798">
        <f t="shared" si="95"/>
        <v>0</v>
      </c>
      <c r="K108" s="798">
        <f t="shared" si="95"/>
        <v>0</v>
      </c>
      <c r="L108" s="798">
        <f t="shared" si="95"/>
        <v>0</v>
      </c>
      <c r="M108" s="798">
        <f t="shared" si="95"/>
        <v>0</v>
      </c>
      <c r="N108" s="798">
        <f t="shared" si="95"/>
        <v>0</v>
      </c>
      <c r="O108" s="798">
        <f t="shared" si="95"/>
        <v>0</v>
      </c>
      <c r="P108" s="798">
        <f t="shared" si="95"/>
        <v>0</v>
      </c>
      <c r="Q108" s="798">
        <f t="shared" si="95"/>
        <v>0</v>
      </c>
      <c r="R108" s="798">
        <f t="shared" si="95"/>
        <v>0</v>
      </c>
      <c r="S108" s="798">
        <f t="shared" si="95"/>
        <v>0</v>
      </c>
      <c r="T108" s="798">
        <f t="shared" si="95"/>
        <v>0</v>
      </c>
      <c r="U108" s="798">
        <f t="shared" si="95"/>
        <v>0</v>
      </c>
      <c r="V108" s="798">
        <f t="shared" si="95"/>
        <v>0</v>
      </c>
      <c r="W108" s="798">
        <f t="shared" si="95"/>
        <v>0</v>
      </c>
      <c r="X108" s="798">
        <f t="shared" si="95"/>
        <v>0</v>
      </c>
      <c r="Y108" s="798">
        <f t="shared" si="95"/>
        <v>0</v>
      </c>
      <c r="Z108" s="798">
        <f t="shared" si="95"/>
        <v>0</v>
      </c>
      <c r="AA108" s="798">
        <f t="shared" si="95"/>
        <v>0</v>
      </c>
      <c r="AB108" s="798">
        <f t="shared" si="95"/>
        <v>0</v>
      </c>
      <c r="AC108" s="798">
        <f t="shared" si="95"/>
        <v>0</v>
      </c>
      <c r="AD108" s="798">
        <f t="shared" si="95"/>
        <v>0</v>
      </c>
      <c r="AE108" s="798">
        <f t="shared" si="95"/>
        <v>0</v>
      </c>
      <c r="AF108" s="798">
        <f t="shared" si="95"/>
        <v>0</v>
      </c>
      <c r="AG108" s="798">
        <f t="shared" si="95"/>
        <v>0</v>
      </c>
      <c r="AH108" s="798">
        <f t="shared" si="95"/>
        <v>0</v>
      </c>
      <c r="AI108" s="798">
        <f t="shared" si="95"/>
        <v>0</v>
      </c>
      <c r="AJ108" s="798">
        <f t="shared" si="95"/>
        <v>0</v>
      </c>
      <c r="AK108" s="798">
        <f t="shared" si="95"/>
        <v>3738706.4201072082</v>
      </c>
      <c r="AL108" s="798">
        <f t="shared" si="95"/>
        <v>0</v>
      </c>
      <c r="AM108" s="798">
        <f t="shared" si="95"/>
        <v>0</v>
      </c>
      <c r="AN108" s="798">
        <f t="shared" si="95"/>
        <v>0</v>
      </c>
      <c r="AO108" s="798">
        <f t="shared" si="95"/>
        <v>0</v>
      </c>
      <c r="AP108" s="798">
        <f t="shared" si="95"/>
        <v>0</v>
      </c>
      <c r="AQ108" s="798">
        <f t="shared" si="95"/>
        <v>0</v>
      </c>
      <c r="AR108" s="798">
        <f t="shared" si="95"/>
        <v>0</v>
      </c>
      <c r="AS108" s="798">
        <f t="shared" si="95"/>
        <v>0</v>
      </c>
      <c r="AT108" s="798">
        <f t="shared" si="95"/>
        <v>0</v>
      </c>
      <c r="AU108" s="798">
        <f t="shared" si="95"/>
        <v>0</v>
      </c>
      <c r="AV108" s="798">
        <f t="shared" si="95"/>
        <v>0</v>
      </c>
      <c r="AW108" s="798">
        <f t="shared" si="95"/>
        <v>0</v>
      </c>
      <c r="AX108" s="798">
        <f t="shared" si="95"/>
        <v>0</v>
      </c>
      <c r="AY108" s="798">
        <f t="shared" si="95"/>
        <v>0</v>
      </c>
      <c r="AZ108" s="798">
        <f t="shared" si="95"/>
        <v>0</v>
      </c>
      <c r="BA108" s="798">
        <f t="shared" si="95"/>
        <v>0</v>
      </c>
      <c r="BB108" s="798">
        <f t="shared" si="95"/>
        <v>0</v>
      </c>
      <c r="BC108" s="798">
        <f t="shared" si="95"/>
        <v>0</v>
      </c>
      <c r="BD108" s="798">
        <f t="shared" si="95"/>
        <v>0</v>
      </c>
      <c r="BE108" s="798">
        <f t="shared" si="95"/>
        <v>0</v>
      </c>
      <c r="BF108" s="798">
        <f t="shared" si="95"/>
        <v>0</v>
      </c>
      <c r="BG108" s="798">
        <f t="shared" si="95"/>
        <v>0</v>
      </c>
      <c r="BH108" s="798">
        <f t="shared" si="95"/>
        <v>0</v>
      </c>
      <c r="BI108" s="798">
        <f t="shared" si="95"/>
        <v>0</v>
      </c>
      <c r="BJ108" s="798">
        <f t="shared" si="95"/>
        <v>0</v>
      </c>
      <c r="BK108" s="798">
        <f t="shared" si="95"/>
        <v>0</v>
      </c>
      <c r="BL108" s="798">
        <f t="shared" si="95"/>
        <v>0</v>
      </c>
      <c r="BM108" s="798">
        <f t="shared" si="95"/>
        <v>0</v>
      </c>
      <c r="BN108" s="798">
        <f t="shared" si="95"/>
        <v>0</v>
      </c>
      <c r="BO108" s="798">
        <f t="shared" si="95"/>
        <v>0</v>
      </c>
      <c r="BP108" s="798">
        <f t="shared" si="95"/>
        <v>0</v>
      </c>
      <c r="BQ108" s="798">
        <f t="shared" si="95"/>
        <v>0</v>
      </c>
      <c r="BR108" s="798">
        <f t="shared" ref="BR108:EC108" si="96">BR106*$C$108</f>
        <v>0</v>
      </c>
      <c r="BS108" s="798">
        <f t="shared" si="96"/>
        <v>0</v>
      </c>
      <c r="BT108" s="798">
        <f t="shared" si="96"/>
        <v>0</v>
      </c>
      <c r="BU108" s="798">
        <f t="shared" si="96"/>
        <v>0</v>
      </c>
      <c r="BV108" s="798">
        <f t="shared" si="96"/>
        <v>0</v>
      </c>
      <c r="BW108" s="798">
        <f t="shared" si="96"/>
        <v>0</v>
      </c>
      <c r="BX108" s="798">
        <f t="shared" si="96"/>
        <v>0</v>
      </c>
      <c r="BY108" s="798">
        <f t="shared" si="96"/>
        <v>0</v>
      </c>
      <c r="BZ108" s="798">
        <f t="shared" si="96"/>
        <v>0</v>
      </c>
      <c r="CA108" s="798">
        <f t="shared" si="96"/>
        <v>0</v>
      </c>
      <c r="CB108" s="798">
        <f t="shared" si="96"/>
        <v>0</v>
      </c>
      <c r="CC108" s="798">
        <f t="shared" si="96"/>
        <v>0</v>
      </c>
      <c r="CD108" s="798">
        <f t="shared" si="96"/>
        <v>0</v>
      </c>
      <c r="CE108" s="798">
        <f t="shared" si="96"/>
        <v>0</v>
      </c>
      <c r="CF108" s="798">
        <f t="shared" si="96"/>
        <v>0</v>
      </c>
      <c r="CG108" s="798">
        <f t="shared" si="96"/>
        <v>0</v>
      </c>
      <c r="CH108" s="798">
        <f t="shared" si="96"/>
        <v>0</v>
      </c>
      <c r="CI108" s="798">
        <f t="shared" si="96"/>
        <v>0</v>
      </c>
      <c r="CJ108" s="798">
        <f t="shared" si="96"/>
        <v>0</v>
      </c>
      <c r="CK108" s="798">
        <f t="shared" si="96"/>
        <v>0</v>
      </c>
      <c r="CL108" s="798">
        <f t="shared" si="96"/>
        <v>0</v>
      </c>
      <c r="CM108" s="798">
        <f t="shared" si="96"/>
        <v>0</v>
      </c>
      <c r="CN108" s="798">
        <f t="shared" si="96"/>
        <v>0</v>
      </c>
      <c r="CO108" s="798">
        <f t="shared" si="96"/>
        <v>0</v>
      </c>
      <c r="CP108" s="798">
        <f t="shared" si="96"/>
        <v>0</v>
      </c>
      <c r="CQ108" s="798">
        <f t="shared" si="96"/>
        <v>0</v>
      </c>
      <c r="CR108" s="798">
        <f t="shared" si="96"/>
        <v>0</v>
      </c>
      <c r="CS108" s="798">
        <f t="shared" si="96"/>
        <v>0</v>
      </c>
      <c r="CT108" s="798">
        <f t="shared" si="96"/>
        <v>0</v>
      </c>
      <c r="CU108" s="798">
        <f t="shared" si="96"/>
        <v>0</v>
      </c>
      <c r="CV108" s="798">
        <f t="shared" si="96"/>
        <v>0</v>
      </c>
      <c r="CW108" s="798">
        <f t="shared" si="96"/>
        <v>0</v>
      </c>
      <c r="CX108" s="798">
        <f t="shared" si="96"/>
        <v>0</v>
      </c>
      <c r="CY108" s="798">
        <f t="shared" si="96"/>
        <v>0</v>
      </c>
      <c r="CZ108" s="798">
        <f t="shared" si="96"/>
        <v>0</v>
      </c>
      <c r="DA108" s="798">
        <f t="shared" si="96"/>
        <v>0</v>
      </c>
      <c r="DB108" s="798">
        <f t="shared" si="96"/>
        <v>0</v>
      </c>
      <c r="DC108" s="798">
        <f t="shared" si="96"/>
        <v>0</v>
      </c>
      <c r="DD108" s="798">
        <f t="shared" si="96"/>
        <v>0</v>
      </c>
      <c r="DE108" s="798">
        <f t="shared" si="96"/>
        <v>0</v>
      </c>
      <c r="DF108" s="798">
        <f t="shared" si="96"/>
        <v>0</v>
      </c>
      <c r="DG108" s="798">
        <f t="shared" si="96"/>
        <v>0</v>
      </c>
      <c r="DH108" s="798">
        <f t="shared" si="96"/>
        <v>0</v>
      </c>
      <c r="DI108" s="798">
        <f t="shared" si="96"/>
        <v>0</v>
      </c>
      <c r="DJ108" s="798">
        <f t="shared" si="96"/>
        <v>0</v>
      </c>
      <c r="DK108" s="798">
        <f t="shared" si="96"/>
        <v>0</v>
      </c>
      <c r="DL108" s="798">
        <f t="shared" si="96"/>
        <v>0</v>
      </c>
      <c r="DM108" s="798">
        <f t="shared" si="96"/>
        <v>0</v>
      </c>
      <c r="DN108" s="798">
        <f t="shared" si="96"/>
        <v>0</v>
      </c>
      <c r="DO108" s="798">
        <f t="shared" si="96"/>
        <v>0</v>
      </c>
      <c r="DP108" s="798">
        <f t="shared" si="96"/>
        <v>0</v>
      </c>
      <c r="DQ108" s="798">
        <f t="shared" si="96"/>
        <v>0</v>
      </c>
      <c r="DR108" s="798">
        <f t="shared" si="96"/>
        <v>0</v>
      </c>
      <c r="DS108" s="798">
        <f t="shared" si="96"/>
        <v>0</v>
      </c>
      <c r="DT108" s="798">
        <f t="shared" si="96"/>
        <v>0</v>
      </c>
      <c r="DU108" s="798">
        <f t="shared" si="96"/>
        <v>0</v>
      </c>
      <c r="DV108" s="798">
        <f t="shared" si="96"/>
        <v>0</v>
      </c>
      <c r="DW108" s="798">
        <f t="shared" si="96"/>
        <v>0</v>
      </c>
      <c r="DX108" s="798">
        <f t="shared" si="96"/>
        <v>0</v>
      </c>
      <c r="DY108" s="798">
        <f t="shared" si="96"/>
        <v>0</v>
      </c>
      <c r="DZ108" s="798">
        <f t="shared" si="96"/>
        <v>0</v>
      </c>
      <c r="EA108" s="798">
        <f t="shared" si="96"/>
        <v>0</v>
      </c>
      <c r="EB108" s="798">
        <f t="shared" si="96"/>
        <v>0</v>
      </c>
      <c r="EC108" s="798">
        <f t="shared" si="96"/>
        <v>0</v>
      </c>
      <c r="ED108" s="798">
        <f>ED106*$C$108</f>
        <v>0</v>
      </c>
      <c r="EE108" s="798">
        <f>EE106*$C$108</f>
        <v>0</v>
      </c>
      <c r="EF108" s="798">
        <f>EF106*$C$108</f>
        <v>0</v>
      </c>
      <c r="EG108" s="798">
        <f>EG106*$C$108</f>
        <v>0</v>
      </c>
      <c r="EH108" s="782"/>
    </row>
    <row r="109" spans="1:138" ht="12.75" customHeight="1" x14ac:dyDescent="0.3">
      <c r="A109" s="782"/>
      <c r="B109" s="782"/>
      <c r="C109" s="782"/>
      <c r="D109" s="782"/>
      <c r="E109" s="798"/>
      <c r="F109" s="798"/>
      <c r="G109" s="798"/>
      <c r="H109" s="798"/>
      <c r="I109" s="798"/>
      <c r="J109" s="798"/>
      <c r="K109" s="798"/>
      <c r="L109" s="798"/>
      <c r="M109" s="798"/>
      <c r="N109" s="798"/>
      <c r="O109" s="798"/>
      <c r="P109" s="798"/>
      <c r="Q109" s="798"/>
      <c r="R109" s="798"/>
      <c r="S109" s="798"/>
      <c r="T109" s="798"/>
      <c r="U109" s="798"/>
      <c r="V109" s="798"/>
      <c r="W109" s="798"/>
      <c r="X109" s="798"/>
      <c r="Y109" s="798"/>
      <c r="Z109" s="798"/>
      <c r="AA109" s="798"/>
      <c r="AB109" s="798"/>
      <c r="AC109" s="798"/>
      <c r="AD109" s="798"/>
      <c r="AE109" s="798"/>
      <c r="AF109" s="798"/>
      <c r="AG109" s="798"/>
      <c r="AH109" s="798"/>
      <c r="AI109" s="798"/>
      <c r="AJ109" s="798"/>
      <c r="AK109" s="798"/>
      <c r="AL109" s="798"/>
      <c r="AM109" s="798"/>
      <c r="AN109" s="798"/>
      <c r="AO109" s="798"/>
      <c r="AP109" s="798"/>
      <c r="AQ109" s="798"/>
      <c r="AR109" s="798"/>
      <c r="AS109" s="798"/>
      <c r="AT109" s="798"/>
      <c r="AU109" s="798"/>
      <c r="AV109" s="798"/>
      <c r="AW109" s="798"/>
      <c r="AX109" s="798"/>
      <c r="AY109" s="798"/>
      <c r="AZ109" s="798"/>
      <c r="BA109" s="798"/>
      <c r="BB109" s="798"/>
      <c r="BC109" s="798"/>
      <c r="BD109" s="798"/>
      <c r="BE109" s="798"/>
      <c r="BF109" s="798"/>
      <c r="BG109" s="798"/>
      <c r="BH109" s="798"/>
      <c r="BI109" s="798"/>
      <c r="BJ109" s="798"/>
      <c r="BK109" s="798"/>
      <c r="BL109" s="798"/>
      <c r="BM109" s="798"/>
      <c r="BN109" s="798"/>
      <c r="BO109" s="798"/>
      <c r="BP109" s="798"/>
      <c r="BQ109" s="798"/>
      <c r="BR109" s="798"/>
      <c r="BS109" s="798"/>
      <c r="BT109" s="798"/>
      <c r="BU109" s="798"/>
      <c r="BV109" s="798"/>
      <c r="BW109" s="798"/>
      <c r="BX109" s="798"/>
      <c r="BY109" s="798"/>
      <c r="BZ109" s="798"/>
      <c r="CA109" s="798"/>
      <c r="CB109" s="798"/>
      <c r="CC109" s="798"/>
      <c r="CD109" s="798"/>
      <c r="CE109" s="798"/>
      <c r="CF109" s="798"/>
      <c r="CG109" s="798"/>
      <c r="CH109" s="798"/>
      <c r="CI109" s="798"/>
      <c r="CJ109" s="798"/>
      <c r="CK109" s="798"/>
      <c r="CL109" s="798"/>
      <c r="CM109" s="798"/>
      <c r="CN109" s="798"/>
      <c r="CO109" s="798"/>
      <c r="CP109" s="798"/>
      <c r="CQ109" s="798"/>
      <c r="CR109" s="798"/>
      <c r="CS109" s="798"/>
      <c r="CT109" s="798"/>
      <c r="CU109" s="798"/>
      <c r="CV109" s="798"/>
      <c r="CW109" s="798"/>
      <c r="CX109" s="798"/>
      <c r="CY109" s="798"/>
      <c r="CZ109" s="798"/>
      <c r="DA109" s="798"/>
      <c r="DB109" s="798"/>
      <c r="DC109" s="798"/>
      <c r="DD109" s="798"/>
      <c r="DE109" s="798"/>
      <c r="DF109" s="798"/>
      <c r="DG109" s="798"/>
      <c r="DH109" s="798"/>
      <c r="DI109" s="798"/>
      <c r="DJ109" s="798"/>
      <c r="DK109" s="798"/>
      <c r="DL109" s="798"/>
      <c r="DM109" s="798"/>
      <c r="DN109" s="798"/>
      <c r="DO109" s="798"/>
      <c r="DP109" s="798"/>
      <c r="DQ109" s="798"/>
      <c r="DR109" s="798"/>
      <c r="DS109" s="798"/>
      <c r="DT109" s="798"/>
      <c r="DU109" s="798"/>
      <c r="DV109" s="798"/>
      <c r="DW109" s="798"/>
      <c r="DX109" s="798"/>
      <c r="DY109" s="798"/>
      <c r="DZ109" s="798"/>
      <c r="EA109" s="798"/>
      <c r="EB109" s="798"/>
      <c r="EC109" s="798"/>
      <c r="ED109" s="798"/>
      <c r="EE109" s="798"/>
      <c r="EF109" s="798"/>
      <c r="EG109" s="798"/>
      <c r="EH109" s="782"/>
    </row>
    <row r="110" spans="1:138" ht="12.75" customHeight="1" x14ac:dyDescent="0.3">
      <c r="A110" s="782"/>
      <c r="B110" s="782" t="s">
        <v>69</v>
      </c>
      <c r="C110" s="798">
        <f>SUM(E110:EG110)</f>
        <v>6868726.7816661661</v>
      </c>
      <c r="D110" s="782"/>
      <c r="E110" s="798">
        <f>SUM(E108,E99,E83,E91)</f>
        <v>0</v>
      </c>
      <c r="F110" s="798">
        <f t="shared" ref="F110:BQ110" si="97">SUM(F108,F99,F83,F91)</f>
        <v>0</v>
      </c>
      <c r="G110" s="798">
        <f t="shared" si="97"/>
        <v>0</v>
      </c>
      <c r="H110" s="798">
        <f t="shared" si="97"/>
        <v>0</v>
      </c>
      <c r="I110" s="798">
        <f t="shared" si="97"/>
        <v>0</v>
      </c>
      <c r="J110" s="798">
        <f t="shared" si="97"/>
        <v>0</v>
      </c>
      <c r="K110" s="798">
        <f t="shared" si="97"/>
        <v>0</v>
      </c>
      <c r="L110" s="798">
        <f t="shared" si="97"/>
        <v>0</v>
      </c>
      <c r="M110" s="798">
        <f t="shared" si="97"/>
        <v>0</v>
      </c>
      <c r="N110" s="798">
        <f t="shared" si="97"/>
        <v>0</v>
      </c>
      <c r="O110" s="798">
        <f t="shared" si="97"/>
        <v>0</v>
      </c>
      <c r="P110" s="798">
        <f t="shared" si="97"/>
        <v>0</v>
      </c>
      <c r="Q110" s="798">
        <f t="shared" si="97"/>
        <v>0</v>
      </c>
      <c r="R110" s="798">
        <f t="shared" si="97"/>
        <v>0</v>
      </c>
      <c r="S110" s="798">
        <f t="shared" si="97"/>
        <v>0</v>
      </c>
      <c r="T110" s="798">
        <f t="shared" si="97"/>
        <v>0</v>
      </c>
      <c r="U110" s="798">
        <f t="shared" si="97"/>
        <v>0</v>
      </c>
      <c r="V110" s="798">
        <f t="shared" si="97"/>
        <v>0</v>
      </c>
      <c r="W110" s="798">
        <f t="shared" si="97"/>
        <v>0</v>
      </c>
      <c r="X110" s="798">
        <f t="shared" si="97"/>
        <v>0</v>
      </c>
      <c r="Y110" s="798">
        <f t="shared" si="97"/>
        <v>0</v>
      </c>
      <c r="Z110" s="798">
        <f t="shared" si="97"/>
        <v>0</v>
      </c>
      <c r="AA110" s="798">
        <f t="shared" si="97"/>
        <v>0</v>
      </c>
      <c r="AB110" s="798">
        <f t="shared" si="97"/>
        <v>0</v>
      </c>
      <c r="AC110" s="798">
        <f t="shared" si="97"/>
        <v>0</v>
      </c>
      <c r="AD110" s="798">
        <f t="shared" si="97"/>
        <v>0</v>
      </c>
      <c r="AE110" s="798">
        <f t="shared" si="97"/>
        <v>0</v>
      </c>
      <c r="AF110" s="798">
        <f t="shared" si="97"/>
        <v>0</v>
      </c>
      <c r="AG110" s="798">
        <f t="shared" si="97"/>
        <v>0</v>
      </c>
      <c r="AH110" s="798">
        <f t="shared" si="97"/>
        <v>0</v>
      </c>
      <c r="AI110" s="798">
        <f t="shared" si="97"/>
        <v>0</v>
      </c>
      <c r="AJ110" s="798">
        <f t="shared" si="97"/>
        <v>0</v>
      </c>
      <c r="AK110" s="798">
        <f t="shared" si="97"/>
        <v>6868726.7816661661</v>
      </c>
      <c r="AL110" s="798">
        <f t="shared" si="97"/>
        <v>0</v>
      </c>
      <c r="AM110" s="798">
        <f t="shared" si="97"/>
        <v>0</v>
      </c>
      <c r="AN110" s="798">
        <f t="shared" si="97"/>
        <v>0</v>
      </c>
      <c r="AO110" s="798">
        <f t="shared" si="97"/>
        <v>0</v>
      </c>
      <c r="AP110" s="798">
        <f t="shared" si="97"/>
        <v>0</v>
      </c>
      <c r="AQ110" s="798">
        <f t="shared" si="97"/>
        <v>0</v>
      </c>
      <c r="AR110" s="798">
        <f t="shared" si="97"/>
        <v>0</v>
      </c>
      <c r="AS110" s="798">
        <f t="shared" si="97"/>
        <v>0</v>
      </c>
      <c r="AT110" s="798">
        <f t="shared" si="97"/>
        <v>0</v>
      </c>
      <c r="AU110" s="798">
        <f t="shared" si="97"/>
        <v>0</v>
      </c>
      <c r="AV110" s="798">
        <f t="shared" si="97"/>
        <v>0</v>
      </c>
      <c r="AW110" s="798">
        <f t="shared" si="97"/>
        <v>0</v>
      </c>
      <c r="AX110" s="798">
        <f t="shared" si="97"/>
        <v>0</v>
      </c>
      <c r="AY110" s="798">
        <f t="shared" si="97"/>
        <v>0</v>
      </c>
      <c r="AZ110" s="798">
        <f t="shared" si="97"/>
        <v>0</v>
      </c>
      <c r="BA110" s="798">
        <f t="shared" si="97"/>
        <v>0</v>
      </c>
      <c r="BB110" s="798">
        <f t="shared" si="97"/>
        <v>0</v>
      </c>
      <c r="BC110" s="798">
        <f t="shared" si="97"/>
        <v>0</v>
      </c>
      <c r="BD110" s="798">
        <f t="shared" si="97"/>
        <v>0</v>
      </c>
      <c r="BE110" s="798">
        <f t="shared" si="97"/>
        <v>0</v>
      </c>
      <c r="BF110" s="798">
        <f t="shared" si="97"/>
        <v>0</v>
      </c>
      <c r="BG110" s="798">
        <f t="shared" si="97"/>
        <v>0</v>
      </c>
      <c r="BH110" s="798">
        <f t="shared" si="97"/>
        <v>0</v>
      </c>
      <c r="BI110" s="798">
        <f t="shared" si="97"/>
        <v>0</v>
      </c>
      <c r="BJ110" s="798">
        <f t="shared" si="97"/>
        <v>0</v>
      </c>
      <c r="BK110" s="798">
        <f t="shared" si="97"/>
        <v>0</v>
      </c>
      <c r="BL110" s="798">
        <f t="shared" si="97"/>
        <v>0</v>
      </c>
      <c r="BM110" s="798">
        <f t="shared" si="97"/>
        <v>0</v>
      </c>
      <c r="BN110" s="798">
        <f t="shared" si="97"/>
        <v>0</v>
      </c>
      <c r="BO110" s="798">
        <f t="shared" si="97"/>
        <v>0</v>
      </c>
      <c r="BP110" s="798">
        <f t="shared" si="97"/>
        <v>0</v>
      </c>
      <c r="BQ110" s="798">
        <f t="shared" si="97"/>
        <v>0</v>
      </c>
      <c r="BR110" s="798">
        <f t="shared" ref="BR110:EC110" si="98">SUM(BR108,BR99,BR83,BR91)</f>
        <v>0</v>
      </c>
      <c r="BS110" s="798">
        <f t="shared" si="98"/>
        <v>0</v>
      </c>
      <c r="BT110" s="798">
        <f t="shared" si="98"/>
        <v>0</v>
      </c>
      <c r="BU110" s="798">
        <f t="shared" si="98"/>
        <v>0</v>
      </c>
      <c r="BV110" s="798">
        <f t="shared" si="98"/>
        <v>0</v>
      </c>
      <c r="BW110" s="798">
        <f t="shared" si="98"/>
        <v>0</v>
      </c>
      <c r="BX110" s="798">
        <f t="shared" si="98"/>
        <v>0</v>
      </c>
      <c r="BY110" s="798">
        <f t="shared" si="98"/>
        <v>0</v>
      </c>
      <c r="BZ110" s="798">
        <f t="shared" si="98"/>
        <v>0</v>
      </c>
      <c r="CA110" s="798">
        <f t="shared" si="98"/>
        <v>0</v>
      </c>
      <c r="CB110" s="798">
        <f t="shared" si="98"/>
        <v>0</v>
      </c>
      <c r="CC110" s="798">
        <f t="shared" si="98"/>
        <v>0</v>
      </c>
      <c r="CD110" s="798">
        <f t="shared" si="98"/>
        <v>0</v>
      </c>
      <c r="CE110" s="798">
        <f t="shared" si="98"/>
        <v>0</v>
      </c>
      <c r="CF110" s="798">
        <f t="shared" si="98"/>
        <v>0</v>
      </c>
      <c r="CG110" s="798">
        <f t="shared" si="98"/>
        <v>0</v>
      </c>
      <c r="CH110" s="798">
        <f t="shared" si="98"/>
        <v>0</v>
      </c>
      <c r="CI110" s="798">
        <f t="shared" si="98"/>
        <v>0</v>
      </c>
      <c r="CJ110" s="798">
        <f t="shared" si="98"/>
        <v>0</v>
      </c>
      <c r="CK110" s="798">
        <f t="shared" si="98"/>
        <v>0</v>
      </c>
      <c r="CL110" s="798">
        <f t="shared" si="98"/>
        <v>0</v>
      </c>
      <c r="CM110" s="798">
        <f t="shared" si="98"/>
        <v>0</v>
      </c>
      <c r="CN110" s="798">
        <f t="shared" si="98"/>
        <v>0</v>
      </c>
      <c r="CO110" s="798">
        <f t="shared" si="98"/>
        <v>0</v>
      </c>
      <c r="CP110" s="798">
        <f t="shared" si="98"/>
        <v>0</v>
      </c>
      <c r="CQ110" s="798">
        <f t="shared" si="98"/>
        <v>0</v>
      </c>
      <c r="CR110" s="798">
        <f t="shared" si="98"/>
        <v>0</v>
      </c>
      <c r="CS110" s="798">
        <f t="shared" si="98"/>
        <v>0</v>
      </c>
      <c r="CT110" s="798">
        <f t="shared" si="98"/>
        <v>0</v>
      </c>
      <c r="CU110" s="798">
        <f t="shared" si="98"/>
        <v>0</v>
      </c>
      <c r="CV110" s="798">
        <f t="shared" si="98"/>
        <v>0</v>
      </c>
      <c r="CW110" s="798">
        <f t="shared" si="98"/>
        <v>0</v>
      </c>
      <c r="CX110" s="798">
        <f t="shared" si="98"/>
        <v>0</v>
      </c>
      <c r="CY110" s="798">
        <f t="shared" si="98"/>
        <v>0</v>
      </c>
      <c r="CZ110" s="798">
        <f t="shared" si="98"/>
        <v>0</v>
      </c>
      <c r="DA110" s="798">
        <f t="shared" si="98"/>
        <v>0</v>
      </c>
      <c r="DB110" s="798">
        <f t="shared" si="98"/>
        <v>0</v>
      </c>
      <c r="DC110" s="798">
        <f t="shared" si="98"/>
        <v>0</v>
      </c>
      <c r="DD110" s="798">
        <f t="shared" si="98"/>
        <v>0</v>
      </c>
      <c r="DE110" s="798">
        <f t="shared" si="98"/>
        <v>0</v>
      </c>
      <c r="DF110" s="798">
        <f t="shared" si="98"/>
        <v>0</v>
      </c>
      <c r="DG110" s="798">
        <f t="shared" si="98"/>
        <v>0</v>
      </c>
      <c r="DH110" s="798">
        <f t="shared" si="98"/>
        <v>0</v>
      </c>
      <c r="DI110" s="798">
        <f t="shared" si="98"/>
        <v>0</v>
      </c>
      <c r="DJ110" s="798">
        <f t="shared" si="98"/>
        <v>0</v>
      </c>
      <c r="DK110" s="798">
        <f t="shared" si="98"/>
        <v>0</v>
      </c>
      <c r="DL110" s="798">
        <f t="shared" si="98"/>
        <v>0</v>
      </c>
      <c r="DM110" s="798">
        <f t="shared" si="98"/>
        <v>0</v>
      </c>
      <c r="DN110" s="798">
        <f t="shared" si="98"/>
        <v>0</v>
      </c>
      <c r="DO110" s="798">
        <f t="shared" si="98"/>
        <v>0</v>
      </c>
      <c r="DP110" s="798">
        <f t="shared" si="98"/>
        <v>0</v>
      </c>
      <c r="DQ110" s="798">
        <f t="shared" si="98"/>
        <v>0</v>
      </c>
      <c r="DR110" s="798">
        <f t="shared" si="98"/>
        <v>0</v>
      </c>
      <c r="DS110" s="798">
        <f t="shared" si="98"/>
        <v>0</v>
      </c>
      <c r="DT110" s="798">
        <f t="shared" si="98"/>
        <v>0</v>
      </c>
      <c r="DU110" s="798">
        <f t="shared" si="98"/>
        <v>0</v>
      </c>
      <c r="DV110" s="798">
        <f t="shared" si="98"/>
        <v>0</v>
      </c>
      <c r="DW110" s="798">
        <f t="shared" si="98"/>
        <v>0</v>
      </c>
      <c r="DX110" s="798">
        <f t="shared" si="98"/>
        <v>0</v>
      </c>
      <c r="DY110" s="798">
        <f t="shared" si="98"/>
        <v>0</v>
      </c>
      <c r="DZ110" s="798">
        <f t="shared" si="98"/>
        <v>0</v>
      </c>
      <c r="EA110" s="798">
        <f t="shared" si="98"/>
        <v>0</v>
      </c>
      <c r="EB110" s="798">
        <f t="shared" si="98"/>
        <v>0</v>
      </c>
      <c r="EC110" s="798">
        <f t="shared" si="98"/>
        <v>0</v>
      </c>
      <c r="ED110" s="798">
        <f>SUM(ED108,ED99,ED83,ED91)</f>
        <v>0</v>
      </c>
      <c r="EE110" s="798">
        <f>SUM(EE108,EE99,EE83,EE91)</f>
        <v>0</v>
      </c>
      <c r="EF110" s="798">
        <f>SUM(EF108,EF99,EF83,EF91)</f>
        <v>0</v>
      </c>
      <c r="EG110" s="798">
        <f>SUM(EG108,EG99,EG83,EG91)</f>
        <v>0</v>
      </c>
      <c r="EH110" s="782"/>
    </row>
    <row r="111" spans="1:138" ht="12.75" customHeight="1" x14ac:dyDescent="0.3">
      <c r="A111" s="782"/>
      <c r="B111" s="782"/>
      <c r="C111" s="782"/>
      <c r="D111" s="782"/>
      <c r="E111" s="782"/>
      <c r="F111" s="782"/>
      <c r="G111" s="782"/>
      <c r="H111" s="782"/>
      <c r="I111" s="782"/>
      <c r="J111" s="782"/>
      <c r="K111" s="782"/>
      <c r="L111" s="782"/>
      <c r="M111" s="782"/>
      <c r="N111" s="782"/>
      <c r="O111" s="782"/>
      <c r="P111" s="782"/>
      <c r="Q111" s="782"/>
      <c r="R111" s="782"/>
      <c r="S111" s="782"/>
      <c r="T111" s="782"/>
      <c r="U111" s="782"/>
      <c r="V111" s="782"/>
      <c r="W111" s="782"/>
      <c r="X111" s="782"/>
      <c r="Y111" s="782"/>
      <c r="Z111" s="782"/>
      <c r="AA111" s="782"/>
      <c r="AB111" s="782"/>
      <c r="AC111" s="782"/>
      <c r="AD111" s="782"/>
      <c r="AE111" s="782"/>
      <c r="AF111" s="782"/>
      <c r="AG111" s="782"/>
      <c r="AH111" s="782"/>
      <c r="AI111" s="782"/>
      <c r="AJ111" s="782"/>
      <c r="AK111" s="782"/>
      <c r="AL111" s="782"/>
      <c r="AM111" s="782"/>
      <c r="AN111" s="782"/>
      <c r="AO111" s="782"/>
      <c r="AP111" s="782"/>
      <c r="AQ111" s="782"/>
      <c r="AR111" s="782"/>
      <c r="AS111" s="782"/>
      <c r="AT111" s="782"/>
      <c r="AU111" s="782"/>
      <c r="AV111" s="782"/>
      <c r="AW111" s="782"/>
      <c r="AX111" s="782"/>
      <c r="AY111" s="782"/>
      <c r="AZ111" s="782"/>
      <c r="BA111" s="782"/>
      <c r="BB111" s="782"/>
      <c r="BC111" s="782"/>
      <c r="BD111" s="782"/>
      <c r="BE111" s="782"/>
      <c r="BF111" s="782"/>
      <c r="BG111" s="782"/>
      <c r="BH111" s="782"/>
      <c r="BI111" s="782"/>
      <c r="BJ111" s="782"/>
      <c r="BK111" s="782"/>
      <c r="BL111" s="782"/>
      <c r="BM111" s="782"/>
      <c r="BN111" s="782"/>
      <c r="BO111" s="782"/>
      <c r="BP111" s="782"/>
      <c r="BQ111" s="782"/>
      <c r="BR111" s="782"/>
      <c r="BS111" s="782"/>
      <c r="BT111" s="782"/>
      <c r="BU111" s="782"/>
      <c r="BV111" s="782"/>
      <c r="BW111" s="782"/>
      <c r="BX111" s="782"/>
      <c r="BY111" s="782"/>
      <c r="BZ111" s="782"/>
      <c r="CA111" s="782"/>
      <c r="CB111" s="782"/>
      <c r="CC111" s="782"/>
      <c r="CD111" s="782"/>
      <c r="CE111" s="782"/>
      <c r="CF111" s="782"/>
      <c r="CG111" s="782"/>
      <c r="CH111" s="782"/>
      <c r="CI111" s="782"/>
      <c r="CJ111" s="782"/>
      <c r="CK111" s="782"/>
      <c r="CL111" s="782"/>
      <c r="CM111" s="782"/>
      <c r="CN111" s="782"/>
      <c r="CO111" s="782"/>
      <c r="CP111" s="782"/>
      <c r="CQ111" s="782"/>
      <c r="CR111" s="782"/>
      <c r="CS111" s="782"/>
      <c r="CT111" s="782"/>
      <c r="CU111" s="782"/>
      <c r="CV111" s="782"/>
      <c r="CW111" s="782"/>
      <c r="CX111" s="782"/>
      <c r="CY111" s="782"/>
      <c r="CZ111" s="782"/>
      <c r="DA111" s="782"/>
      <c r="DB111" s="782"/>
      <c r="DC111" s="782"/>
      <c r="DD111" s="782"/>
      <c r="DE111" s="782"/>
      <c r="DF111" s="782"/>
      <c r="DG111" s="782"/>
      <c r="DH111" s="782"/>
      <c r="DI111" s="782"/>
      <c r="DJ111" s="782"/>
      <c r="DK111" s="782"/>
      <c r="DL111" s="782"/>
      <c r="DM111" s="782"/>
      <c r="DN111" s="782"/>
      <c r="DO111" s="782"/>
      <c r="DP111" s="782"/>
      <c r="DQ111" s="782"/>
      <c r="DR111" s="782"/>
      <c r="DS111" s="782"/>
      <c r="DT111" s="782"/>
      <c r="DU111" s="782"/>
      <c r="DV111" s="782"/>
      <c r="DW111" s="782"/>
      <c r="DX111" s="782"/>
      <c r="DY111" s="782"/>
      <c r="DZ111" s="782"/>
      <c r="EA111" s="782"/>
      <c r="EB111" s="782"/>
      <c r="EC111" s="782"/>
      <c r="ED111" s="782"/>
      <c r="EE111" s="782"/>
      <c r="EF111" s="782"/>
      <c r="EG111" s="782"/>
      <c r="EH111" s="782"/>
    </row>
    <row r="112" spans="1:138" ht="12.75" customHeight="1" x14ac:dyDescent="0.3">
      <c r="A112" s="782"/>
      <c r="B112" s="793" t="s">
        <v>70</v>
      </c>
      <c r="C112" s="794"/>
      <c r="D112" s="794"/>
      <c r="E112" s="794"/>
      <c r="F112" s="794"/>
      <c r="G112" s="794"/>
      <c r="H112" s="794"/>
      <c r="I112" s="794"/>
      <c r="J112" s="794"/>
      <c r="K112" s="794"/>
      <c r="L112" s="794"/>
      <c r="M112" s="794"/>
      <c r="N112" s="794"/>
      <c r="O112" s="794"/>
      <c r="P112" s="794"/>
      <c r="Q112" s="794"/>
      <c r="R112" s="794"/>
      <c r="S112" s="794"/>
      <c r="T112" s="794"/>
      <c r="U112" s="794"/>
      <c r="V112" s="794"/>
      <c r="W112" s="794"/>
      <c r="X112" s="794"/>
      <c r="Y112" s="794"/>
      <c r="Z112" s="794"/>
      <c r="AA112" s="794"/>
      <c r="AB112" s="794"/>
      <c r="AC112" s="794"/>
      <c r="AD112" s="794"/>
      <c r="AE112" s="794"/>
      <c r="AF112" s="794"/>
      <c r="AG112" s="794"/>
      <c r="AH112" s="794"/>
      <c r="AI112" s="794"/>
      <c r="AJ112" s="794"/>
      <c r="AK112" s="794"/>
      <c r="AL112" s="794"/>
      <c r="AM112" s="794"/>
      <c r="AN112" s="794"/>
      <c r="AO112" s="794"/>
      <c r="AP112" s="794"/>
      <c r="AQ112" s="794"/>
      <c r="AR112" s="794"/>
      <c r="AS112" s="794"/>
      <c r="AT112" s="794"/>
      <c r="AU112" s="794"/>
      <c r="AV112" s="794"/>
      <c r="AW112" s="794"/>
      <c r="AX112" s="794"/>
      <c r="AY112" s="794"/>
      <c r="AZ112" s="794"/>
      <c r="BA112" s="794"/>
      <c r="BB112" s="794"/>
      <c r="BC112" s="794"/>
      <c r="BD112" s="794"/>
      <c r="BE112" s="794"/>
      <c r="BF112" s="794"/>
      <c r="BG112" s="794"/>
      <c r="BH112" s="794"/>
      <c r="BI112" s="794"/>
      <c r="BJ112" s="794"/>
      <c r="BK112" s="794"/>
      <c r="BL112" s="794"/>
      <c r="BM112" s="794"/>
      <c r="BN112" s="794"/>
      <c r="BO112" s="794"/>
      <c r="BP112" s="794"/>
      <c r="BQ112" s="794"/>
      <c r="BR112" s="794"/>
      <c r="BS112" s="794"/>
      <c r="BT112" s="794"/>
      <c r="BU112" s="794"/>
      <c r="BV112" s="794"/>
      <c r="BW112" s="794"/>
      <c r="BX112" s="794"/>
      <c r="BY112" s="794"/>
      <c r="BZ112" s="794"/>
      <c r="CA112" s="794"/>
      <c r="CB112" s="794"/>
      <c r="CC112" s="794"/>
      <c r="CD112" s="794"/>
      <c r="CE112" s="794"/>
      <c r="CF112" s="794"/>
      <c r="CG112" s="794"/>
      <c r="CH112" s="794"/>
      <c r="CI112" s="794"/>
      <c r="CJ112" s="794"/>
      <c r="CK112" s="794"/>
      <c r="CL112" s="794"/>
      <c r="CM112" s="794"/>
      <c r="CN112" s="794"/>
      <c r="CO112" s="794"/>
      <c r="CP112" s="794"/>
      <c r="CQ112" s="794"/>
      <c r="CR112" s="794"/>
      <c r="CS112" s="794"/>
      <c r="CT112" s="794"/>
      <c r="CU112" s="794"/>
      <c r="CV112" s="794"/>
      <c r="CW112" s="794"/>
      <c r="CX112" s="794"/>
      <c r="CY112" s="794"/>
      <c r="CZ112" s="794"/>
      <c r="DA112" s="794"/>
      <c r="DB112" s="794"/>
      <c r="DC112" s="794"/>
      <c r="DD112" s="794"/>
      <c r="DE112" s="794"/>
      <c r="DF112" s="794"/>
      <c r="DG112" s="794"/>
      <c r="DH112" s="794"/>
      <c r="DI112" s="794"/>
      <c r="DJ112" s="794"/>
      <c r="DK112" s="794"/>
      <c r="DL112" s="794"/>
      <c r="DM112" s="794"/>
      <c r="DN112" s="794"/>
      <c r="DO112" s="794"/>
      <c r="DP112" s="794"/>
      <c r="DQ112" s="794"/>
      <c r="DR112" s="794"/>
      <c r="DS112" s="794"/>
      <c r="DT112" s="794"/>
      <c r="DU112" s="794"/>
      <c r="DV112" s="794"/>
      <c r="DW112" s="794"/>
      <c r="DX112" s="794"/>
      <c r="DY112" s="794"/>
      <c r="DZ112" s="794"/>
      <c r="EA112" s="794"/>
      <c r="EB112" s="794"/>
      <c r="EC112" s="794"/>
      <c r="ED112" s="794"/>
      <c r="EE112" s="794"/>
      <c r="EF112" s="794"/>
      <c r="EG112" s="794"/>
      <c r="EH112" s="794"/>
    </row>
    <row r="113" spans="1:138" ht="12.75" customHeight="1" x14ac:dyDescent="0.3">
      <c r="A113" s="782"/>
      <c r="B113" s="782"/>
      <c r="C113" s="782"/>
      <c r="D113" s="782"/>
      <c r="E113" s="782"/>
      <c r="F113" s="782"/>
      <c r="G113" s="782"/>
      <c r="H113" s="782"/>
      <c r="I113" s="782"/>
      <c r="J113" s="782"/>
      <c r="K113" s="782"/>
      <c r="L113" s="782"/>
      <c r="M113" s="782"/>
      <c r="N113" s="782"/>
      <c r="O113" s="782"/>
      <c r="P113" s="782"/>
      <c r="Q113" s="782"/>
      <c r="R113" s="782"/>
      <c r="S113" s="782"/>
      <c r="T113" s="782"/>
      <c r="U113" s="782"/>
      <c r="V113" s="782"/>
      <c r="W113" s="782"/>
      <c r="X113" s="782"/>
      <c r="Y113" s="782"/>
      <c r="Z113" s="782"/>
      <c r="AA113" s="782"/>
      <c r="AB113" s="782"/>
      <c r="AC113" s="782"/>
      <c r="AD113" s="782"/>
      <c r="AE113" s="782"/>
      <c r="AF113" s="782"/>
      <c r="AG113" s="782"/>
      <c r="AH113" s="782"/>
      <c r="AI113" s="782"/>
      <c r="AJ113" s="782"/>
      <c r="AK113" s="782"/>
      <c r="AL113" s="782"/>
      <c r="AM113" s="782"/>
      <c r="AN113" s="782"/>
      <c r="AO113" s="782"/>
      <c r="AP113" s="782"/>
      <c r="AQ113" s="782"/>
      <c r="AR113" s="782"/>
      <c r="AS113" s="782"/>
      <c r="AT113" s="782"/>
      <c r="AU113" s="782"/>
      <c r="AV113" s="782"/>
      <c r="AW113" s="782"/>
      <c r="AX113" s="782"/>
      <c r="AY113" s="782"/>
      <c r="AZ113" s="782"/>
      <c r="BA113" s="782"/>
      <c r="BB113" s="782"/>
      <c r="BC113" s="782"/>
      <c r="BD113" s="782"/>
      <c r="BE113" s="782"/>
      <c r="BF113" s="782"/>
      <c r="BG113" s="782"/>
      <c r="BH113" s="782"/>
      <c r="BI113" s="782"/>
      <c r="BJ113" s="782"/>
      <c r="BK113" s="782"/>
      <c r="BL113" s="782"/>
      <c r="BM113" s="782"/>
      <c r="BN113" s="782"/>
      <c r="BO113" s="782"/>
      <c r="BP113" s="782"/>
      <c r="BQ113" s="782"/>
      <c r="BR113" s="782"/>
      <c r="BS113" s="782"/>
      <c r="BT113" s="782"/>
      <c r="BU113" s="782"/>
      <c r="BV113" s="782"/>
      <c r="BW113" s="782"/>
      <c r="BX113" s="782"/>
      <c r="BY113" s="782"/>
      <c r="BZ113" s="782"/>
      <c r="CA113" s="782"/>
      <c r="CB113" s="782"/>
      <c r="CC113" s="782"/>
      <c r="CD113" s="782"/>
      <c r="CE113" s="782"/>
      <c r="CF113" s="782"/>
      <c r="CG113" s="782"/>
      <c r="CH113" s="782"/>
      <c r="CI113" s="782"/>
      <c r="CJ113" s="782"/>
      <c r="CK113" s="782"/>
      <c r="CL113" s="782"/>
      <c r="CM113" s="782"/>
      <c r="CN113" s="782"/>
      <c r="CO113" s="782"/>
      <c r="CP113" s="782"/>
      <c r="CQ113" s="782"/>
      <c r="CR113" s="782"/>
      <c r="CS113" s="782"/>
      <c r="CT113" s="782"/>
      <c r="CU113" s="782"/>
      <c r="CV113" s="782"/>
      <c r="CW113" s="782"/>
      <c r="CX113" s="782"/>
      <c r="CY113" s="782"/>
      <c r="CZ113" s="782"/>
      <c r="DA113" s="782"/>
      <c r="DB113" s="782"/>
      <c r="DC113" s="782"/>
      <c r="DD113" s="782"/>
      <c r="DE113" s="782"/>
      <c r="DF113" s="782"/>
      <c r="DG113" s="782"/>
      <c r="DH113" s="782"/>
      <c r="DI113" s="782"/>
      <c r="DJ113" s="782"/>
      <c r="DK113" s="782"/>
      <c r="DL113" s="782"/>
      <c r="DM113" s="782"/>
      <c r="DN113" s="782"/>
      <c r="DO113" s="782"/>
      <c r="DP113" s="782"/>
      <c r="DQ113" s="782"/>
      <c r="DR113" s="782"/>
      <c r="DS113" s="782"/>
      <c r="DT113" s="782"/>
      <c r="DU113" s="782"/>
      <c r="DV113" s="782"/>
      <c r="DW113" s="782"/>
      <c r="DX113" s="782"/>
      <c r="DY113" s="782"/>
      <c r="DZ113" s="782"/>
      <c r="EA113" s="782"/>
      <c r="EB113" s="782"/>
      <c r="EC113" s="782"/>
      <c r="ED113" s="782"/>
      <c r="EE113" s="782"/>
      <c r="EF113" s="782"/>
      <c r="EG113" s="782"/>
      <c r="EH113" s="782"/>
    </row>
    <row r="114" spans="1:138" ht="12.75" customHeight="1" x14ac:dyDescent="0.3">
      <c r="A114" s="782"/>
      <c r="B114" s="782" t="s">
        <v>71</v>
      </c>
      <c r="C114" s="798">
        <f t="shared" ref="C114:C120" si="99">SUM(E114:EG114)</f>
        <v>-104261112.5593228</v>
      </c>
      <c r="D114" s="782"/>
      <c r="E114" s="798">
        <f t="shared" ref="E114:BP114" si="100">-E196*E9</f>
        <v>0</v>
      </c>
      <c r="F114" s="798">
        <f t="shared" si="100"/>
        <v>0</v>
      </c>
      <c r="G114" s="798">
        <f t="shared" si="100"/>
        <v>0</v>
      </c>
      <c r="H114" s="798">
        <f t="shared" si="100"/>
        <v>0</v>
      </c>
      <c r="I114" s="798">
        <f t="shared" si="100"/>
        <v>0</v>
      </c>
      <c r="J114" s="798">
        <f t="shared" si="100"/>
        <v>0</v>
      </c>
      <c r="K114" s="798">
        <f t="shared" si="100"/>
        <v>0</v>
      </c>
      <c r="L114" s="798">
        <f t="shared" si="100"/>
        <v>0</v>
      </c>
      <c r="M114" s="798">
        <f t="shared" si="100"/>
        <v>0</v>
      </c>
      <c r="N114" s="798">
        <f t="shared" si="100"/>
        <v>0</v>
      </c>
      <c r="O114" s="798">
        <f t="shared" si="100"/>
        <v>0</v>
      </c>
      <c r="P114" s="798">
        <f t="shared" si="100"/>
        <v>0</v>
      </c>
      <c r="Q114" s="798">
        <f t="shared" si="100"/>
        <v>0</v>
      </c>
      <c r="R114" s="798">
        <f t="shared" si="100"/>
        <v>0</v>
      </c>
      <c r="S114" s="798">
        <f t="shared" si="100"/>
        <v>0</v>
      </c>
      <c r="T114" s="798">
        <f t="shared" si="100"/>
        <v>0</v>
      </c>
      <c r="U114" s="798">
        <f t="shared" si="100"/>
        <v>0</v>
      </c>
      <c r="V114" s="798">
        <f t="shared" si="100"/>
        <v>0</v>
      </c>
      <c r="W114" s="798">
        <f t="shared" si="100"/>
        <v>0</v>
      </c>
      <c r="X114" s="798">
        <f t="shared" si="100"/>
        <v>0</v>
      </c>
      <c r="Y114" s="798">
        <f t="shared" si="100"/>
        <v>0</v>
      </c>
      <c r="Z114" s="798">
        <f t="shared" si="100"/>
        <v>0</v>
      </c>
      <c r="AA114" s="798">
        <f t="shared" si="100"/>
        <v>0</v>
      </c>
      <c r="AB114" s="798">
        <f t="shared" si="100"/>
        <v>0</v>
      </c>
      <c r="AC114" s="798">
        <f t="shared" si="100"/>
        <v>0</v>
      </c>
      <c r="AD114" s="798">
        <f t="shared" si="100"/>
        <v>0</v>
      </c>
      <c r="AE114" s="798">
        <f t="shared" si="100"/>
        <v>0</v>
      </c>
      <c r="AF114" s="798">
        <f t="shared" si="100"/>
        <v>0</v>
      </c>
      <c r="AG114" s="798">
        <f t="shared" si="100"/>
        <v>0</v>
      </c>
      <c r="AH114" s="798">
        <f t="shared" si="100"/>
        <v>0</v>
      </c>
      <c r="AI114" s="798">
        <f t="shared" si="100"/>
        <v>0</v>
      </c>
      <c r="AJ114" s="798">
        <f t="shared" si="100"/>
        <v>0</v>
      </c>
      <c r="AK114" s="798">
        <f t="shared" si="100"/>
        <v>-104261112.5593228</v>
      </c>
      <c r="AL114" s="798">
        <f t="shared" si="100"/>
        <v>0</v>
      </c>
      <c r="AM114" s="798">
        <f t="shared" si="100"/>
        <v>0</v>
      </c>
      <c r="AN114" s="798">
        <f t="shared" si="100"/>
        <v>0</v>
      </c>
      <c r="AO114" s="798">
        <f t="shared" si="100"/>
        <v>0</v>
      </c>
      <c r="AP114" s="798">
        <f t="shared" si="100"/>
        <v>0</v>
      </c>
      <c r="AQ114" s="798">
        <f t="shared" si="100"/>
        <v>0</v>
      </c>
      <c r="AR114" s="798">
        <f t="shared" si="100"/>
        <v>0</v>
      </c>
      <c r="AS114" s="798">
        <f t="shared" si="100"/>
        <v>0</v>
      </c>
      <c r="AT114" s="798">
        <f t="shared" si="100"/>
        <v>0</v>
      </c>
      <c r="AU114" s="798">
        <f t="shared" si="100"/>
        <v>0</v>
      </c>
      <c r="AV114" s="798">
        <f t="shared" si="100"/>
        <v>0</v>
      </c>
      <c r="AW114" s="798">
        <f t="shared" si="100"/>
        <v>0</v>
      </c>
      <c r="AX114" s="798">
        <f t="shared" si="100"/>
        <v>0</v>
      </c>
      <c r="AY114" s="798">
        <f t="shared" si="100"/>
        <v>0</v>
      </c>
      <c r="AZ114" s="798">
        <f t="shared" si="100"/>
        <v>0</v>
      </c>
      <c r="BA114" s="798">
        <f t="shared" si="100"/>
        <v>0</v>
      </c>
      <c r="BB114" s="798">
        <f t="shared" si="100"/>
        <v>0</v>
      </c>
      <c r="BC114" s="798">
        <f t="shared" si="100"/>
        <v>0</v>
      </c>
      <c r="BD114" s="798">
        <f t="shared" si="100"/>
        <v>0</v>
      </c>
      <c r="BE114" s="798">
        <f t="shared" si="100"/>
        <v>0</v>
      </c>
      <c r="BF114" s="798">
        <f t="shared" si="100"/>
        <v>0</v>
      </c>
      <c r="BG114" s="798">
        <f t="shared" si="100"/>
        <v>0</v>
      </c>
      <c r="BH114" s="798">
        <f t="shared" si="100"/>
        <v>0</v>
      </c>
      <c r="BI114" s="798">
        <f t="shared" si="100"/>
        <v>0</v>
      </c>
      <c r="BJ114" s="798">
        <f t="shared" si="100"/>
        <v>0</v>
      </c>
      <c r="BK114" s="798">
        <f t="shared" si="100"/>
        <v>0</v>
      </c>
      <c r="BL114" s="798">
        <f t="shared" si="100"/>
        <v>0</v>
      </c>
      <c r="BM114" s="798">
        <f t="shared" si="100"/>
        <v>0</v>
      </c>
      <c r="BN114" s="798">
        <f t="shared" si="100"/>
        <v>0</v>
      </c>
      <c r="BO114" s="798">
        <f t="shared" si="100"/>
        <v>0</v>
      </c>
      <c r="BP114" s="798">
        <f t="shared" si="100"/>
        <v>0</v>
      </c>
      <c r="BQ114" s="798">
        <f t="shared" ref="BQ114:EB114" si="101">-BQ196*BQ9</f>
        <v>0</v>
      </c>
      <c r="BR114" s="798">
        <f t="shared" si="101"/>
        <v>0</v>
      </c>
      <c r="BS114" s="798">
        <f t="shared" si="101"/>
        <v>0</v>
      </c>
      <c r="BT114" s="798">
        <f t="shared" si="101"/>
        <v>0</v>
      </c>
      <c r="BU114" s="798">
        <f t="shared" si="101"/>
        <v>0</v>
      </c>
      <c r="BV114" s="798">
        <f t="shared" si="101"/>
        <v>0</v>
      </c>
      <c r="BW114" s="798">
        <f t="shared" si="101"/>
        <v>0</v>
      </c>
      <c r="BX114" s="798">
        <f t="shared" si="101"/>
        <v>0</v>
      </c>
      <c r="BY114" s="798">
        <f t="shared" si="101"/>
        <v>0</v>
      </c>
      <c r="BZ114" s="798">
        <f t="shared" si="101"/>
        <v>0</v>
      </c>
      <c r="CA114" s="798">
        <f t="shared" si="101"/>
        <v>0</v>
      </c>
      <c r="CB114" s="798">
        <f t="shared" si="101"/>
        <v>0</v>
      </c>
      <c r="CC114" s="798">
        <f t="shared" si="101"/>
        <v>0</v>
      </c>
      <c r="CD114" s="798">
        <f t="shared" si="101"/>
        <v>0</v>
      </c>
      <c r="CE114" s="798">
        <f t="shared" si="101"/>
        <v>0</v>
      </c>
      <c r="CF114" s="798">
        <f t="shared" si="101"/>
        <v>0</v>
      </c>
      <c r="CG114" s="798">
        <f t="shared" si="101"/>
        <v>0</v>
      </c>
      <c r="CH114" s="798">
        <f t="shared" si="101"/>
        <v>0</v>
      </c>
      <c r="CI114" s="798">
        <f t="shared" si="101"/>
        <v>0</v>
      </c>
      <c r="CJ114" s="798">
        <f t="shared" si="101"/>
        <v>0</v>
      </c>
      <c r="CK114" s="798">
        <f t="shared" si="101"/>
        <v>0</v>
      </c>
      <c r="CL114" s="798">
        <f t="shared" si="101"/>
        <v>0</v>
      </c>
      <c r="CM114" s="798">
        <f t="shared" si="101"/>
        <v>0</v>
      </c>
      <c r="CN114" s="798">
        <f t="shared" si="101"/>
        <v>0</v>
      </c>
      <c r="CO114" s="798">
        <f t="shared" si="101"/>
        <v>0</v>
      </c>
      <c r="CP114" s="798">
        <f t="shared" si="101"/>
        <v>0</v>
      </c>
      <c r="CQ114" s="798">
        <f t="shared" si="101"/>
        <v>0</v>
      </c>
      <c r="CR114" s="798">
        <f t="shared" si="101"/>
        <v>0</v>
      </c>
      <c r="CS114" s="798">
        <f t="shared" si="101"/>
        <v>0</v>
      </c>
      <c r="CT114" s="798">
        <f t="shared" si="101"/>
        <v>0</v>
      </c>
      <c r="CU114" s="798">
        <f t="shared" si="101"/>
        <v>0</v>
      </c>
      <c r="CV114" s="798">
        <f t="shared" si="101"/>
        <v>0</v>
      </c>
      <c r="CW114" s="798">
        <f t="shared" si="101"/>
        <v>0</v>
      </c>
      <c r="CX114" s="798">
        <f t="shared" si="101"/>
        <v>0</v>
      </c>
      <c r="CY114" s="798">
        <f t="shared" si="101"/>
        <v>0</v>
      </c>
      <c r="CZ114" s="798">
        <f t="shared" si="101"/>
        <v>0</v>
      </c>
      <c r="DA114" s="798">
        <f t="shared" si="101"/>
        <v>0</v>
      </c>
      <c r="DB114" s="798">
        <f t="shared" si="101"/>
        <v>0</v>
      </c>
      <c r="DC114" s="798">
        <f t="shared" si="101"/>
        <v>0</v>
      </c>
      <c r="DD114" s="798">
        <f t="shared" si="101"/>
        <v>0</v>
      </c>
      <c r="DE114" s="798">
        <f t="shared" si="101"/>
        <v>0</v>
      </c>
      <c r="DF114" s="798">
        <f t="shared" si="101"/>
        <v>0</v>
      </c>
      <c r="DG114" s="798">
        <f t="shared" si="101"/>
        <v>0</v>
      </c>
      <c r="DH114" s="798">
        <f t="shared" si="101"/>
        <v>0</v>
      </c>
      <c r="DI114" s="798">
        <f t="shared" si="101"/>
        <v>0</v>
      </c>
      <c r="DJ114" s="798">
        <f t="shared" si="101"/>
        <v>0</v>
      </c>
      <c r="DK114" s="798">
        <f t="shared" si="101"/>
        <v>0</v>
      </c>
      <c r="DL114" s="798">
        <f t="shared" si="101"/>
        <v>0</v>
      </c>
      <c r="DM114" s="798">
        <f t="shared" si="101"/>
        <v>0</v>
      </c>
      <c r="DN114" s="798">
        <f t="shared" si="101"/>
        <v>0</v>
      </c>
      <c r="DO114" s="798">
        <f t="shared" si="101"/>
        <v>0</v>
      </c>
      <c r="DP114" s="798">
        <f t="shared" si="101"/>
        <v>0</v>
      </c>
      <c r="DQ114" s="798">
        <f t="shared" si="101"/>
        <v>0</v>
      </c>
      <c r="DR114" s="798">
        <f t="shared" si="101"/>
        <v>0</v>
      </c>
      <c r="DS114" s="798">
        <f t="shared" si="101"/>
        <v>0</v>
      </c>
      <c r="DT114" s="798">
        <f t="shared" si="101"/>
        <v>0</v>
      </c>
      <c r="DU114" s="798">
        <f t="shared" si="101"/>
        <v>0</v>
      </c>
      <c r="DV114" s="798">
        <f t="shared" si="101"/>
        <v>0</v>
      </c>
      <c r="DW114" s="798">
        <f t="shared" si="101"/>
        <v>0</v>
      </c>
      <c r="DX114" s="798">
        <f t="shared" si="101"/>
        <v>0</v>
      </c>
      <c r="DY114" s="798">
        <f t="shared" si="101"/>
        <v>0</v>
      </c>
      <c r="DZ114" s="798">
        <f t="shared" si="101"/>
        <v>0</v>
      </c>
      <c r="EA114" s="798">
        <f t="shared" si="101"/>
        <v>0</v>
      </c>
      <c r="EB114" s="798">
        <f t="shared" si="101"/>
        <v>0</v>
      </c>
      <c r="EC114" s="798">
        <f>-EC196*EC9</f>
        <v>0</v>
      </c>
      <c r="ED114" s="798">
        <f>-ED196*ED9</f>
        <v>0</v>
      </c>
      <c r="EE114" s="798">
        <f>-EE196*EE9</f>
        <v>0</v>
      </c>
      <c r="EF114" s="798">
        <f>-EF196*EF9</f>
        <v>0</v>
      </c>
      <c r="EG114" s="798">
        <f>-EG196*EG9</f>
        <v>0</v>
      </c>
      <c r="EH114" s="782"/>
    </row>
    <row r="115" spans="1:138" ht="12.75" customHeight="1" x14ac:dyDescent="0.3">
      <c r="A115" s="782"/>
      <c r="B115" s="782" t="s">
        <v>72</v>
      </c>
      <c r="C115" s="798">
        <f t="shared" si="99"/>
        <v>0</v>
      </c>
      <c r="D115" s="782"/>
      <c r="E115" s="798">
        <f t="shared" ref="E115:BP115" si="102">E18*E11</f>
        <v>0</v>
      </c>
      <c r="F115" s="798">
        <f t="shared" si="102"/>
        <v>0</v>
      </c>
      <c r="G115" s="798">
        <f t="shared" si="102"/>
        <v>0</v>
      </c>
      <c r="H115" s="798">
        <f t="shared" si="102"/>
        <v>0</v>
      </c>
      <c r="I115" s="798">
        <f t="shared" si="102"/>
        <v>0</v>
      </c>
      <c r="J115" s="798">
        <f t="shared" si="102"/>
        <v>0</v>
      </c>
      <c r="K115" s="798">
        <f t="shared" si="102"/>
        <v>0</v>
      </c>
      <c r="L115" s="798">
        <f t="shared" si="102"/>
        <v>0</v>
      </c>
      <c r="M115" s="798">
        <f t="shared" si="102"/>
        <v>0</v>
      </c>
      <c r="N115" s="798">
        <f t="shared" si="102"/>
        <v>0</v>
      </c>
      <c r="O115" s="798">
        <f t="shared" si="102"/>
        <v>0</v>
      </c>
      <c r="P115" s="798">
        <f t="shared" si="102"/>
        <v>0</v>
      </c>
      <c r="Q115" s="798">
        <f t="shared" si="102"/>
        <v>0</v>
      </c>
      <c r="R115" s="798">
        <f t="shared" si="102"/>
        <v>0</v>
      </c>
      <c r="S115" s="798">
        <f t="shared" si="102"/>
        <v>0</v>
      </c>
      <c r="T115" s="798">
        <f t="shared" si="102"/>
        <v>0</v>
      </c>
      <c r="U115" s="798">
        <f t="shared" si="102"/>
        <v>0</v>
      </c>
      <c r="V115" s="798">
        <f t="shared" si="102"/>
        <v>0</v>
      </c>
      <c r="W115" s="798">
        <f t="shared" si="102"/>
        <v>0</v>
      </c>
      <c r="X115" s="798">
        <f t="shared" si="102"/>
        <v>0</v>
      </c>
      <c r="Y115" s="798">
        <f t="shared" si="102"/>
        <v>0</v>
      </c>
      <c r="Z115" s="798">
        <f t="shared" si="102"/>
        <v>0</v>
      </c>
      <c r="AA115" s="798">
        <f t="shared" si="102"/>
        <v>0</v>
      </c>
      <c r="AB115" s="798">
        <f t="shared" si="102"/>
        <v>0</v>
      </c>
      <c r="AC115" s="798">
        <f t="shared" si="102"/>
        <v>0</v>
      </c>
      <c r="AD115" s="798">
        <f t="shared" si="102"/>
        <v>0</v>
      </c>
      <c r="AE115" s="798">
        <f t="shared" si="102"/>
        <v>0</v>
      </c>
      <c r="AF115" s="798">
        <f t="shared" si="102"/>
        <v>0</v>
      </c>
      <c r="AG115" s="798">
        <f t="shared" si="102"/>
        <v>0</v>
      </c>
      <c r="AH115" s="798">
        <f t="shared" si="102"/>
        <v>0</v>
      </c>
      <c r="AI115" s="798">
        <f t="shared" si="102"/>
        <v>0</v>
      </c>
      <c r="AJ115" s="798">
        <f t="shared" si="102"/>
        <v>0</v>
      </c>
      <c r="AK115" s="798">
        <f t="shared" si="102"/>
        <v>0</v>
      </c>
      <c r="AL115" s="798">
        <f t="shared" si="102"/>
        <v>0</v>
      </c>
      <c r="AM115" s="798">
        <f t="shared" si="102"/>
        <v>0</v>
      </c>
      <c r="AN115" s="798">
        <f t="shared" si="102"/>
        <v>0</v>
      </c>
      <c r="AO115" s="798">
        <f t="shared" si="102"/>
        <v>0</v>
      </c>
      <c r="AP115" s="798">
        <f t="shared" si="102"/>
        <v>0</v>
      </c>
      <c r="AQ115" s="798">
        <f t="shared" si="102"/>
        <v>0</v>
      </c>
      <c r="AR115" s="798">
        <f t="shared" si="102"/>
        <v>0</v>
      </c>
      <c r="AS115" s="798">
        <f t="shared" si="102"/>
        <v>0</v>
      </c>
      <c r="AT115" s="798">
        <f t="shared" si="102"/>
        <v>0</v>
      </c>
      <c r="AU115" s="798">
        <f t="shared" si="102"/>
        <v>0</v>
      </c>
      <c r="AV115" s="798">
        <f t="shared" si="102"/>
        <v>0</v>
      </c>
      <c r="AW115" s="798">
        <f t="shared" si="102"/>
        <v>0</v>
      </c>
      <c r="AX115" s="798">
        <f t="shared" si="102"/>
        <v>0</v>
      </c>
      <c r="AY115" s="798">
        <f t="shared" si="102"/>
        <v>0</v>
      </c>
      <c r="AZ115" s="798">
        <f t="shared" si="102"/>
        <v>0</v>
      </c>
      <c r="BA115" s="798">
        <f t="shared" si="102"/>
        <v>0</v>
      </c>
      <c r="BB115" s="798">
        <f t="shared" si="102"/>
        <v>0</v>
      </c>
      <c r="BC115" s="798">
        <f t="shared" si="102"/>
        <v>0</v>
      </c>
      <c r="BD115" s="798">
        <f t="shared" si="102"/>
        <v>0</v>
      </c>
      <c r="BE115" s="798">
        <f t="shared" si="102"/>
        <v>0</v>
      </c>
      <c r="BF115" s="798">
        <f t="shared" si="102"/>
        <v>0</v>
      </c>
      <c r="BG115" s="798">
        <f t="shared" si="102"/>
        <v>0</v>
      </c>
      <c r="BH115" s="798">
        <f t="shared" si="102"/>
        <v>0</v>
      </c>
      <c r="BI115" s="798">
        <f t="shared" si="102"/>
        <v>0</v>
      </c>
      <c r="BJ115" s="798">
        <f t="shared" si="102"/>
        <v>0</v>
      </c>
      <c r="BK115" s="798">
        <f t="shared" si="102"/>
        <v>0</v>
      </c>
      <c r="BL115" s="798">
        <f t="shared" si="102"/>
        <v>0</v>
      </c>
      <c r="BM115" s="798">
        <f t="shared" si="102"/>
        <v>0</v>
      </c>
      <c r="BN115" s="798">
        <f t="shared" si="102"/>
        <v>0</v>
      </c>
      <c r="BO115" s="798">
        <f t="shared" si="102"/>
        <v>0</v>
      </c>
      <c r="BP115" s="798">
        <f t="shared" si="102"/>
        <v>0</v>
      </c>
      <c r="BQ115" s="798">
        <f t="shared" ref="BQ115:EB115" si="103">BQ18*BQ11</f>
        <v>0</v>
      </c>
      <c r="BR115" s="798">
        <f t="shared" si="103"/>
        <v>0</v>
      </c>
      <c r="BS115" s="798">
        <f t="shared" si="103"/>
        <v>0</v>
      </c>
      <c r="BT115" s="798">
        <f t="shared" si="103"/>
        <v>0</v>
      </c>
      <c r="BU115" s="798">
        <f t="shared" si="103"/>
        <v>0</v>
      </c>
      <c r="BV115" s="798">
        <f t="shared" si="103"/>
        <v>0</v>
      </c>
      <c r="BW115" s="798">
        <f t="shared" si="103"/>
        <v>0</v>
      </c>
      <c r="BX115" s="798">
        <f t="shared" si="103"/>
        <v>0</v>
      </c>
      <c r="BY115" s="798">
        <f t="shared" si="103"/>
        <v>0</v>
      </c>
      <c r="BZ115" s="798">
        <f t="shared" si="103"/>
        <v>0</v>
      </c>
      <c r="CA115" s="798">
        <f t="shared" si="103"/>
        <v>0</v>
      </c>
      <c r="CB115" s="798">
        <f t="shared" si="103"/>
        <v>0</v>
      </c>
      <c r="CC115" s="798">
        <f t="shared" si="103"/>
        <v>0</v>
      </c>
      <c r="CD115" s="798">
        <f t="shared" si="103"/>
        <v>0</v>
      </c>
      <c r="CE115" s="798">
        <f t="shared" si="103"/>
        <v>0</v>
      </c>
      <c r="CF115" s="798">
        <f t="shared" si="103"/>
        <v>0</v>
      </c>
      <c r="CG115" s="798">
        <f t="shared" si="103"/>
        <v>0</v>
      </c>
      <c r="CH115" s="798">
        <f t="shared" si="103"/>
        <v>0</v>
      </c>
      <c r="CI115" s="798">
        <f t="shared" si="103"/>
        <v>0</v>
      </c>
      <c r="CJ115" s="798">
        <f t="shared" si="103"/>
        <v>0</v>
      </c>
      <c r="CK115" s="798">
        <f t="shared" si="103"/>
        <v>0</v>
      </c>
      <c r="CL115" s="798">
        <f t="shared" si="103"/>
        <v>0</v>
      </c>
      <c r="CM115" s="798">
        <f t="shared" si="103"/>
        <v>0</v>
      </c>
      <c r="CN115" s="798">
        <f t="shared" si="103"/>
        <v>0</v>
      </c>
      <c r="CO115" s="798">
        <f t="shared" si="103"/>
        <v>0</v>
      </c>
      <c r="CP115" s="798">
        <f t="shared" si="103"/>
        <v>0</v>
      </c>
      <c r="CQ115" s="798">
        <f t="shared" si="103"/>
        <v>0</v>
      </c>
      <c r="CR115" s="798">
        <f t="shared" si="103"/>
        <v>0</v>
      </c>
      <c r="CS115" s="798">
        <f t="shared" si="103"/>
        <v>0</v>
      </c>
      <c r="CT115" s="798">
        <f t="shared" si="103"/>
        <v>0</v>
      </c>
      <c r="CU115" s="798">
        <f t="shared" si="103"/>
        <v>0</v>
      </c>
      <c r="CV115" s="798">
        <f t="shared" si="103"/>
        <v>0</v>
      </c>
      <c r="CW115" s="798">
        <f t="shared" si="103"/>
        <v>0</v>
      </c>
      <c r="CX115" s="798">
        <f t="shared" si="103"/>
        <v>0</v>
      </c>
      <c r="CY115" s="798">
        <f t="shared" si="103"/>
        <v>0</v>
      </c>
      <c r="CZ115" s="798">
        <f t="shared" si="103"/>
        <v>0</v>
      </c>
      <c r="DA115" s="798">
        <f t="shared" si="103"/>
        <v>0</v>
      </c>
      <c r="DB115" s="798">
        <f t="shared" si="103"/>
        <v>0</v>
      </c>
      <c r="DC115" s="798">
        <f t="shared" si="103"/>
        <v>0</v>
      </c>
      <c r="DD115" s="798">
        <f t="shared" si="103"/>
        <v>0</v>
      </c>
      <c r="DE115" s="798">
        <f t="shared" si="103"/>
        <v>0</v>
      </c>
      <c r="DF115" s="798">
        <f t="shared" si="103"/>
        <v>0</v>
      </c>
      <c r="DG115" s="798">
        <f t="shared" si="103"/>
        <v>0</v>
      </c>
      <c r="DH115" s="798">
        <f t="shared" si="103"/>
        <v>0</v>
      </c>
      <c r="DI115" s="798">
        <f t="shared" si="103"/>
        <v>0</v>
      </c>
      <c r="DJ115" s="798">
        <f t="shared" si="103"/>
        <v>0</v>
      </c>
      <c r="DK115" s="798">
        <f t="shared" si="103"/>
        <v>0</v>
      </c>
      <c r="DL115" s="798">
        <f t="shared" si="103"/>
        <v>0</v>
      </c>
      <c r="DM115" s="798">
        <f t="shared" si="103"/>
        <v>0</v>
      </c>
      <c r="DN115" s="798">
        <f t="shared" si="103"/>
        <v>0</v>
      </c>
      <c r="DO115" s="798">
        <f t="shared" si="103"/>
        <v>0</v>
      </c>
      <c r="DP115" s="798">
        <f t="shared" si="103"/>
        <v>0</v>
      </c>
      <c r="DQ115" s="798">
        <f t="shared" si="103"/>
        <v>0</v>
      </c>
      <c r="DR115" s="798">
        <f t="shared" si="103"/>
        <v>0</v>
      </c>
      <c r="DS115" s="798">
        <f t="shared" si="103"/>
        <v>0</v>
      </c>
      <c r="DT115" s="798">
        <f t="shared" si="103"/>
        <v>0</v>
      </c>
      <c r="DU115" s="798">
        <f t="shared" si="103"/>
        <v>0</v>
      </c>
      <c r="DV115" s="798">
        <f t="shared" si="103"/>
        <v>0</v>
      </c>
      <c r="DW115" s="798">
        <f t="shared" si="103"/>
        <v>0</v>
      </c>
      <c r="DX115" s="798">
        <f t="shared" si="103"/>
        <v>0</v>
      </c>
      <c r="DY115" s="798">
        <f t="shared" si="103"/>
        <v>0</v>
      </c>
      <c r="DZ115" s="798">
        <f t="shared" si="103"/>
        <v>0</v>
      </c>
      <c r="EA115" s="798">
        <f t="shared" si="103"/>
        <v>0</v>
      </c>
      <c r="EB115" s="798">
        <f t="shared" si="103"/>
        <v>0</v>
      </c>
      <c r="EC115" s="798">
        <f>EC18*EC11</f>
        <v>0</v>
      </c>
      <c r="ED115" s="798">
        <f>ED18*ED11</f>
        <v>0</v>
      </c>
      <c r="EE115" s="798">
        <f>EE18*EE11</f>
        <v>0</v>
      </c>
      <c r="EF115" s="798">
        <f>EF18*EF11</f>
        <v>0</v>
      </c>
      <c r="EG115" s="798">
        <f>EG18*EG11</f>
        <v>0</v>
      </c>
      <c r="EH115" s="782"/>
    </row>
    <row r="116" spans="1:138" ht="12.75" customHeight="1" x14ac:dyDescent="0.3">
      <c r="A116" s="782"/>
      <c r="B116" s="782" t="s">
        <v>8</v>
      </c>
      <c r="C116" s="798">
        <f t="shared" si="99"/>
        <v>33505548.793417338</v>
      </c>
      <c r="D116" s="782"/>
      <c r="E116" s="798">
        <f>E19*E$11</f>
        <v>0</v>
      </c>
      <c r="F116" s="798">
        <f t="shared" ref="F116:BQ116" si="104">F19*F11</f>
        <v>0</v>
      </c>
      <c r="G116" s="798">
        <f t="shared" si="104"/>
        <v>0</v>
      </c>
      <c r="H116" s="798">
        <f t="shared" si="104"/>
        <v>0</v>
      </c>
      <c r="I116" s="798">
        <f t="shared" si="104"/>
        <v>0</v>
      </c>
      <c r="J116" s="798">
        <f t="shared" si="104"/>
        <v>0</v>
      </c>
      <c r="K116" s="798">
        <f t="shared" si="104"/>
        <v>0</v>
      </c>
      <c r="L116" s="798">
        <f t="shared" si="104"/>
        <v>0</v>
      </c>
      <c r="M116" s="798">
        <f t="shared" si="104"/>
        <v>0</v>
      </c>
      <c r="N116" s="798">
        <f t="shared" si="104"/>
        <v>0</v>
      </c>
      <c r="O116" s="798">
        <f t="shared" si="104"/>
        <v>0</v>
      </c>
      <c r="P116" s="798">
        <f t="shared" si="104"/>
        <v>0</v>
      </c>
      <c r="Q116" s="798">
        <f t="shared" si="104"/>
        <v>0</v>
      </c>
      <c r="R116" s="798">
        <f t="shared" si="104"/>
        <v>0</v>
      </c>
      <c r="S116" s="798">
        <f t="shared" si="104"/>
        <v>0</v>
      </c>
      <c r="T116" s="798">
        <f t="shared" si="104"/>
        <v>0</v>
      </c>
      <c r="U116" s="798">
        <f t="shared" si="104"/>
        <v>0</v>
      </c>
      <c r="V116" s="798">
        <f t="shared" si="104"/>
        <v>0</v>
      </c>
      <c r="W116" s="798">
        <f t="shared" si="104"/>
        <v>0</v>
      </c>
      <c r="X116" s="798">
        <f t="shared" si="104"/>
        <v>0</v>
      </c>
      <c r="Y116" s="798">
        <f t="shared" si="104"/>
        <v>0</v>
      </c>
      <c r="Z116" s="798">
        <f t="shared" si="104"/>
        <v>0</v>
      </c>
      <c r="AA116" s="798">
        <f t="shared" si="104"/>
        <v>0</v>
      </c>
      <c r="AB116" s="798">
        <f t="shared" si="104"/>
        <v>0</v>
      </c>
      <c r="AC116" s="798">
        <f t="shared" si="104"/>
        <v>0</v>
      </c>
      <c r="AD116" s="798">
        <f t="shared" si="104"/>
        <v>0</v>
      </c>
      <c r="AE116" s="798">
        <f t="shared" si="104"/>
        <v>0</v>
      </c>
      <c r="AF116" s="798">
        <f t="shared" si="104"/>
        <v>0</v>
      </c>
      <c r="AG116" s="798">
        <f t="shared" si="104"/>
        <v>0</v>
      </c>
      <c r="AH116" s="798">
        <f t="shared" si="104"/>
        <v>0</v>
      </c>
      <c r="AI116" s="798">
        <f t="shared" si="104"/>
        <v>0</v>
      </c>
      <c r="AJ116" s="798">
        <f t="shared" si="104"/>
        <v>0</v>
      </c>
      <c r="AK116" s="798">
        <f t="shared" si="104"/>
        <v>0</v>
      </c>
      <c r="AL116" s="798">
        <f t="shared" si="104"/>
        <v>466234.96025121264</v>
      </c>
      <c r="AM116" s="798">
        <f t="shared" si="104"/>
        <v>469009.17238545342</v>
      </c>
      <c r="AN116" s="798">
        <f t="shared" si="104"/>
        <v>471772.39311618236</v>
      </c>
      <c r="AO116" s="798">
        <f t="shared" si="104"/>
        <v>474524.4300057377</v>
      </c>
      <c r="AP116" s="798">
        <f t="shared" si="104"/>
        <v>476427.92519972794</v>
      </c>
      <c r="AQ116" s="798">
        <f t="shared" si="104"/>
        <v>479995.52264995797</v>
      </c>
      <c r="AR116" s="798">
        <f t="shared" si="104"/>
        <v>483111.49464400188</v>
      </c>
      <c r="AS116" s="798">
        <f t="shared" si="104"/>
        <v>478559.14972743276</v>
      </c>
      <c r="AT116" s="798">
        <f t="shared" si="104"/>
        <v>480413.89549620287</v>
      </c>
      <c r="AU116" s="798">
        <f t="shared" si="104"/>
        <v>482234.3525080363</v>
      </c>
      <c r="AV116" s="798">
        <f t="shared" si="104"/>
        <v>484797.01012287044</v>
      </c>
      <c r="AW116" s="798">
        <f t="shared" si="104"/>
        <v>487280.88465593872</v>
      </c>
      <c r="AX116" s="798">
        <f t="shared" si="104"/>
        <v>489685.28103279974</v>
      </c>
      <c r="AY116" s="798">
        <f t="shared" si="104"/>
        <v>492009.49970698566</v>
      </c>
      <c r="AZ116" s="798">
        <f t="shared" si="104"/>
        <v>494252.8366343138</v>
      </c>
      <c r="BA116" s="798">
        <f t="shared" si="104"/>
        <v>496414.58324705553</v>
      </c>
      <c r="BB116" s="798">
        <f t="shared" si="104"/>
        <v>497879.55965090473</v>
      </c>
      <c r="BC116" s="798">
        <f t="shared" si="104"/>
        <v>500499.7377364086</v>
      </c>
      <c r="BD116" s="798">
        <f t="shared" si="104"/>
        <v>502739.51848888909</v>
      </c>
      <c r="BE116" s="798">
        <f t="shared" si="104"/>
        <v>498921.91795716895</v>
      </c>
      <c r="BF116" s="798">
        <f t="shared" si="104"/>
        <v>500300.31760032848</v>
      </c>
      <c r="BG116" s="798">
        <f t="shared" si="104"/>
        <v>501702.61423743202</v>
      </c>
      <c r="BH116" s="798">
        <f t="shared" si="104"/>
        <v>503722.29047982744</v>
      </c>
      <c r="BI116" s="798">
        <f t="shared" si="104"/>
        <v>505795.49071748916</v>
      </c>
      <c r="BJ116" s="798">
        <f t="shared" si="104"/>
        <v>507922.58421359764</v>
      </c>
      <c r="BK116" s="798">
        <f t="shared" si="104"/>
        <v>510103.94224300748</v>
      </c>
      <c r="BL116" s="798">
        <f t="shared" si="104"/>
        <v>512339.93810215546</v>
      </c>
      <c r="BM116" s="798">
        <f t="shared" si="104"/>
        <v>514630.94711901579</v>
      </c>
      <c r="BN116" s="798">
        <f t="shared" si="104"/>
        <v>516276.25486014324</v>
      </c>
      <c r="BO116" s="798">
        <f t="shared" si="104"/>
        <v>519373.38611788041</v>
      </c>
      <c r="BP116" s="798">
        <f t="shared" si="104"/>
        <v>522135.37663094845</v>
      </c>
      <c r="BQ116" s="798">
        <f t="shared" si="104"/>
        <v>518419.06054923532</v>
      </c>
      <c r="BR116" s="798">
        <f t="shared" ref="BR116:EC116" si="105">BR19*BR11</f>
        <v>520144.75562531978</v>
      </c>
      <c r="BS116" s="798">
        <f t="shared" si="105"/>
        <v>521875.14890061959</v>
      </c>
      <c r="BT116" s="798">
        <f t="shared" si="105"/>
        <v>524354.43330257526</v>
      </c>
      <c r="BU116" s="798">
        <f t="shared" si="105"/>
        <v>526843.58570303489</v>
      </c>
      <c r="BV116" s="798">
        <f t="shared" si="105"/>
        <v>529342.6460064312</v>
      </c>
      <c r="BW116" s="798">
        <f t="shared" si="105"/>
        <v>531851.65428017685</v>
      </c>
      <c r="BX116" s="798">
        <f t="shared" si="105"/>
        <v>534370.65075533488</v>
      </c>
      <c r="BY116" s="798">
        <f t="shared" si="105"/>
        <v>536899.67582729051</v>
      </c>
      <c r="BZ116" s="798">
        <f t="shared" si="105"/>
        <v>538675.87793313875</v>
      </c>
      <c r="CA116" s="798">
        <f t="shared" si="105"/>
        <v>541986.9194704449</v>
      </c>
      <c r="CB116" s="798">
        <f t="shared" si="105"/>
        <v>544900.04299266823</v>
      </c>
      <c r="CC116" s="798">
        <f t="shared" si="105"/>
        <v>541074.88530461828</v>
      </c>
      <c r="CD116" s="798">
        <f t="shared" si="105"/>
        <v>542870.51224912284</v>
      </c>
      <c r="CE116" s="798">
        <f t="shared" si="105"/>
        <v>544671.0285540293</v>
      </c>
      <c r="CF116" s="798">
        <f t="shared" si="105"/>
        <v>547252.08386614639</v>
      </c>
      <c r="CG116" s="798">
        <f t="shared" si="105"/>
        <v>549843.4168266108</v>
      </c>
      <c r="CH116" s="798">
        <f t="shared" si="105"/>
        <v>552445.06900818518</v>
      </c>
      <c r="CI116" s="798">
        <f t="shared" si="105"/>
        <v>555057.08215345629</v>
      </c>
      <c r="CJ116" s="798">
        <f t="shared" si="105"/>
        <v>557679.49817553197</v>
      </c>
      <c r="CK116" s="798">
        <f t="shared" si="105"/>
        <v>560312.35915874364</v>
      </c>
      <c r="CL116" s="798">
        <f t="shared" si="105"/>
        <v>562160.56809083058</v>
      </c>
      <c r="CM116" s="798">
        <f t="shared" si="105"/>
        <v>565608.48592620192</v>
      </c>
      <c r="CN116" s="798">
        <f t="shared" si="105"/>
        <v>568641.65831461549</v>
      </c>
      <c r="CO116" s="798">
        <f t="shared" si="105"/>
        <v>564703.83189703058</v>
      </c>
      <c r="CP116" s="798">
        <f t="shared" si="105"/>
        <v>566572.25632490334</v>
      </c>
      <c r="CQ116" s="798">
        <f t="shared" si="105"/>
        <v>568445.76913177711</v>
      </c>
      <c r="CR116" s="798">
        <f t="shared" si="105"/>
        <v>571132.80634623789</v>
      </c>
      <c r="CS116" s="798">
        <f t="shared" si="105"/>
        <v>573830.54795062961</v>
      </c>
      <c r="CT116" s="798">
        <f t="shared" si="105"/>
        <v>576539.03725601151</v>
      </c>
      <c r="CU116" s="798">
        <f t="shared" si="105"/>
        <v>579258.317750399</v>
      </c>
      <c r="CV116" s="798">
        <f t="shared" si="105"/>
        <v>581988.43309949036</v>
      </c>
      <c r="CW116" s="798">
        <f t="shared" si="105"/>
        <v>584729.42714739719</v>
      </c>
      <c r="CX116" s="798">
        <f t="shared" si="105"/>
        <v>0</v>
      </c>
      <c r="CY116" s="798">
        <f t="shared" si="105"/>
        <v>0</v>
      </c>
      <c r="CZ116" s="798">
        <f t="shared" si="105"/>
        <v>0</v>
      </c>
      <c r="DA116" s="798">
        <f t="shared" si="105"/>
        <v>0</v>
      </c>
      <c r="DB116" s="798">
        <f t="shared" si="105"/>
        <v>0</v>
      </c>
      <c r="DC116" s="798">
        <f t="shared" si="105"/>
        <v>0</v>
      </c>
      <c r="DD116" s="798">
        <f t="shared" si="105"/>
        <v>0</v>
      </c>
      <c r="DE116" s="798">
        <f t="shared" si="105"/>
        <v>0</v>
      </c>
      <c r="DF116" s="798">
        <f t="shared" si="105"/>
        <v>0</v>
      </c>
      <c r="DG116" s="798">
        <f t="shared" si="105"/>
        <v>0</v>
      </c>
      <c r="DH116" s="798">
        <f t="shared" si="105"/>
        <v>0</v>
      </c>
      <c r="DI116" s="798">
        <f t="shared" si="105"/>
        <v>0</v>
      </c>
      <c r="DJ116" s="798">
        <f t="shared" si="105"/>
        <v>0</v>
      </c>
      <c r="DK116" s="798">
        <f t="shared" si="105"/>
        <v>0</v>
      </c>
      <c r="DL116" s="798">
        <f t="shared" si="105"/>
        <v>0</v>
      </c>
      <c r="DM116" s="798">
        <f t="shared" si="105"/>
        <v>0</v>
      </c>
      <c r="DN116" s="798">
        <f t="shared" si="105"/>
        <v>0</v>
      </c>
      <c r="DO116" s="798">
        <f t="shared" si="105"/>
        <v>0</v>
      </c>
      <c r="DP116" s="798">
        <f t="shared" si="105"/>
        <v>0</v>
      </c>
      <c r="DQ116" s="798">
        <f t="shared" si="105"/>
        <v>0</v>
      </c>
      <c r="DR116" s="798">
        <f t="shared" si="105"/>
        <v>0</v>
      </c>
      <c r="DS116" s="798">
        <f t="shared" si="105"/>
        <v>0</v>
      </c>
      <c r="DT116" s="798">
        <f t="shared" si="105"/>
        <v>0</v>
      </c>
      <c r="DU116" s="798">
        <f t="shared" si="105"/>
        <v>0</v>
      </c>
      <c r="DV116" s="798">
        <f t="shared" si="105"/>
        <v>0</v>
      </c>
      <c r="DW116" s="798">
        <f t="shared" si="105"/>
        <v>0</v>
      </c>
      <c r="DX116" s="798">
        <f t="shared" si="105"/>
        <v>0</v>
      </c>
      <c r="DY116" s="798">
        <f t="shared" si="105"/>
        <v>0</v>
      </c>
      <c r="DZ116" s="798">
        <f t="shared" si="105"/>
        <v>0</v>
      </c>
      <c r="EA116" s="798">
        <f t="shared" si="105"/>
        <v>0</v>
      </c>
      <c r="EB116" s="798">
        <f t="shared" si="105"/>
        <v>0</v>
      </c>
      <c r="EC116" s="798">
        <f t="shared" si="105"/>
        <v>0</v>
      </c>
      <c r="ED116" s="798">
        <f>ED19*ED11</f>
        <v>0</v>
      </c>
      <c r="EE116" s="798">
        <f>EE19*EE11</f>
        <v>0</v>
      </c>
      <c r="EF116" s="798">
        <f>EF19*EF11</f>
        <v>0</v>
      </c>
      <c r="EG116" s="798">
        <f>EG19*EG11</f>
        <v>0</v>
      </c>
      <c r="EH116" s="782"/>
    </row>
    <row r="117" spans="1:138" ht="12.75" customHeight="1" x14ac:dyDescent="0.3">
      <c r="A117" s="782"/>
      <c r="B117" s="782" t="s">
        <v>9</v>
      </c>
      <c r="C117" s="798">
        <f>SUM(E117:EG117)</f>
        <v>0</v>
      </c>
      <c r="D117" s="782"/>
      <c r="E117" s="798">
        <f>E20*E$11</f>
        <v>0</v>
      </c>
      <c r="F117" s="798">
        <f t="shared" ref="F117:BQ118" si="106">F20*F$11</f>
        <v>0</v>
      </c>
      <c r="G117" s="798">
        <f t="shared" si="106"/>
        <v>0</v>
      </c>
      <c r="H117" s="798">
        <f t="shared" si="106"/>
        <v>0</v>
      </c>
      <c r="I117" s="798">
        <f t="shared" si="106"/>
        <v>0</v>
      </c>
      <c r="J117" s="798">
        <f t="shared" si="106"/>
        <v>0</v>
      </c>
      <c r="K117" s="798">
        <f t="shared" si="106"/>
        <v>0</v>
      </c>
      <c r="L117" s="798">
        <f t="shared" si="106"/>
        <v>0</v>
      </c>
      <c r="M117" s="798">
        <f t="shared" si="106"/>
        <v>0</v>
      </c>
      <c r="N117" s="798">
        <f t="shared" si="106"/>
        <v>0</v>
      </c>
      <c r="O117" s="798">
        <f t="shared" si="106"/>
        <v>0</v>
      </c>
      <c r="P117" s="798">
        <f t="shared" si="106"/>
        <v>0</v>
      </c>
      <c r="Q117" s="798">
        <f t="shared" si="106"/>
        <v>0</v>
      </c>
      <c r="R117" s="798">
        <f t="shared" si="106"/>
        <v>0</v>
      </c>
      <c r="S117" s="798">
        <f t="shared" si="106"/>
        <v>0</v>
      </c>
      <c r="T117" s="798">
        <f t="shared" si="106"/>
        <v>0</v>
      </c>
      <c r="U117" s="798">
        <f t="shared" si="106"/>
        <v>0</v>
      </c>
      <c r="V117" s="798">
        <f t="shared" si="106"/>
        <v>0</v>
      </c>
      <c r="W117" s="798">
        <f t="shared" si="106"/>
        <v>0</v>
      </c>
      <c r="X117" s="798">
        <f t="shared" si="106"/>
        <v>0</v>
      </c>
      <c r="Y117" s="798">
        <f t="shared" si="106"/>
        <v>0</v>
      </c>
      <c r="Z117" s="798">
        <f t="shared" si="106"/>
        <v>0</v>
      </c>
      <c r="AA117" s="798">
        <f t="shared" si="106"/>
        <v>0</v>
      </c>
      <c r="AB117" s="798">
        <f t="shared" si="106"/>
        <v>0</v>
      </c>
      <c r="AC117" s="798">
        <f t="shared" si="106"/>
        <v>0</v>
      </c>
      <c r="AD117" s="798">
        <f t="shared" si="106"/>
        <v>0</v>
      </c>
      <c r="AE117" s="798">
        <f t="shared" si="106"/>
        <v>0</v>
      </c>
      <c r="AF117" s="798">
        <f t="shared" si="106"/>
        <v>0</v>
      </c>
      <c r="AG117" s="798">
        <f t="shared" si="106"/>
        <v>0</v>
      </c>
      <c r="AH117" s="798">
        <f t="shared" si="106"/>
        <v>0</v>
      </c>
      <c r="AI117" s="798">
        <f t="shared" si="106"/>
        <v>0</v>
      </c>
      <c r="AJ117" s="798">
        <f t="shared" si="106"/>
        <v>0</v>
      </c>
      <c r="AK117" s="798">
        <f t="shared" si="106"/>
        <v>0</v>
      </c>
      <c r="AL117" s="798">
        <f t="shared" si="106"/>
        <v>0</v>
      </c>
      <c r="AM117" s="798">
        <f t="shared" si="106"/>
        <v>0</v>
      </c>
      <c r="AN117" s="798">
        <f t="shared" si="106"/>
        <v>0</v>
      </c>
      <c r="AO117" s="798">
        <f t="shared" si="106"/>
        <v>0</v>
      </c>
      <c r="AP117" s="798">
        <f t="shared" si="106"/>
        <v>0</v>
      </c>
      <c r="AQ117" s="798">
        <f t="shared" si="106"/>
        <v>0</v>
      </c>
      <c r="AR117" s="798">
        <f t="shared" si="106"/>
        <v>0</v>
      </c>
      <c r="AS117" s="798">
        <f t="shared" si="106"/>
        <v>0</v>
      </c>
      <c r="AT117" s="798">
        <f t="shared" si="106"/>
        <v>0</v>
      </c>
      <c r="AU117" s="798">
        <f t="shared" si="106"/>
        <v>0</v>
      </c>
      <c r="AV117" s="798">
        <f t="shared" si="106"/>
        <v>0</v>
      </c>
      <c r="AW117" s="798">
        <f t="shared" si="106"/>
        <v>0</v>
      </c>
      <c r="AX117" s="798">
        <f t="shared" si="106"/>
        <v>0</v>
      </c>
      <c r="AY117" s="798">
        <f t="shared" si="106"/>
        <v>0</v>
      </c>
      <c r="AZ117" s="798">
        <f t="shared" si="106"/>
        <v>0</v>
      </c>
      <c r="BA117" s="798">
        <f t="shared" si="106"/>
        <v>0</v>
      </c>
      <c r="BB117" s="798">
        <f t="shared" si="106"/>
        <v>0</v>
      </c>
      <c r="BC117" s="798">
        <f t="shared" si="106"/>
        <v>0</v>
      </c>
      <c r="BD117" s="798">
        <f t="shared" si="106"/>
        <v>0</v>
      </c>
      <c r="BE117" s="798">
        <f t="shared" si="106"/>
        <v>0</v>
      </c>
      <c r="BF117" s="798">
        <f t="shared" si="106"/>
        <v>0</v>
      </c>
      <c r="BG117" s="798">
        <f t="shared" si="106"/>
        <v>0</v>
      </c>
      <c r="BH117" s="798">
        <f t="shared" si="106"/>
        <v>0</v>
      </c>
      <c r="BI117" s="798">
        <f t="shared" si="106"/>
        <v>0</v>
      </c>
      <c r="BJ117" s="798">
        <f t="shared" si="106"/>
        <v>0</v>
      </c>
      <c r="BK117" s="798">
        <f t="shared" si="106"/>
        <v>0</v>
      </c>
      <c r="BL117" s="798">
        <f t="shared" si="106"/>
        <v>0</v>
      </c>
      <c r="BM117" s="798">
        <f t="shared" si="106"/>
        <v>0</v>
      </c>
      <c r="BN117" s="798">
        <f t="shared" si="106"/>
        <v>0</v>
      </c>
      <c r="BO117" s="798">
        <f t="shared" si="106"/>
        <v>0</v>
      </c>
      <c r="BP117" s="798">
        <f t="shared" si="106"/>
        <v>0</v>
      </c>
      <c r="BQ117" s="798">
        <f t="shared" si="106"/>
        <v>0</v>
      </c>
      <c r="BR117" s="798">
        <f t="shared" ref="BR117:EC118" si="107">BR20*BR$11</f>
        <v>0</v>
      </c>
      <c r="BS117" s="798">
        <f t="shared" si="107"/>
        <v>0</v>
      </c>
      <c r="BT117" s="798">
        <f t="shared" si="107"/>
        <v>0</v>
      </c>
      <c r="BU117" s="798">
        <f t="shared" si="107"/>
        <v>0</v>
      </c>
      <c r="BV117" s="798">
        <f t="shared" si="107"/>
        <v>0</v>
      </c>
      <c r="BW117" s="798">
        <f t="shared" si="107"/>
        <v>0</v>
      </c>
      <c r="BX117" s="798">
        <f t="shared" si="107"/>
        <v>0</v>
      </c>
      <c r="BY117" s="798">
        <f t="shared" si="107"/>
        <v>0</v>
      </c>
      <c r="BZ117" s="798">
        <f t="shared" si="107"/>
        <v>0</v>
      </c>
      <c r="CA117" s="798">
        <f t="shared" si="107"/>
        <v>0</v>
      </c>
      <c r="CB117" s="798">
        <f t="shared" si="107"/>
        <v>0</v>
      </c>
      <c r="CC117" s="798">
        <f t="shared" si="107"/>
        <v>0</v>
      </c>
      <c r="CD117" s="798">
        <f t="shared" si="107"/>
        <v>0</v>
      </c>
      <c r="CE117" s="798">
        <f t="shared" si="107"/>
        <v>0</v>
      </c>
      <c r="CF117" s="798">
        <f t="shared" si="107"/>
        <v>0</v>
      </c>
      <c r="CG117" s="798">
        <f t="shared" si="107"/>
        <v>0</v>
      </c>
      <c r="CH117" s="798">
        <f t="shared" si="107"/>
        <v>0</v>
      </c>
      <c r="CI117" s="798">
        <f t="shared" si="107"/>
        <v>0</v>
      </c>
      <c r="CJ117" s="798">
        <f t="shared" si="107"/>
        <v>0</v>
      </c>
      <c r="CK117" s="798">
        <f t="shared" si="107"/>
        <v>0</v>
      </c>
      <c r="CL117" s="798">
        <f t="shared" si="107"/>
        <v>0</v>
      </c>
      <c r="CM117" s="798">
        <f t="shared" si="107"/>
        <v>0</v>
      </c>
      <c r="CN117" s="798">
        <f t="shared" si="107"/>
        <v>0</v>
      </c>
      <c r="CO117" s="798">
        <f t="shared" si="107"/>
        <v>0</v>
      </c>
      <c r="CP117" s="798">
        <f t="shared" si="107"/>
        <v>0</v>
      </c>
      <c r="CQ117" s="798">
        <f t="shared" si="107"/>
        <v>0</v>
      </c>
      <c r="CR117" s="798">
        <f t="shared" si="107"/>
        <v>0</v>
      </c>
      <c r="CS117" s="798">
        <f t="shared" si="107"/>
        <v>0</v>
      </c>
      <c r="CT117" s="798">
        <f t="shared" si="107"/>
        <v>0</v>
      </c>
      <c r="CU117" s="798">
        <f t="shared" si="107"/>
        <v>0</v>
      </c>
      <c r="CV117" s="798">
        <f t="shared" si="107"/>
        <v>0</v>
      </c>
      <c r="CW117" s="798">
        <f t="shared" si="107"/>
        <v>0</v>
      </c>
      <c r="CX117" s="798">
        <f t="shared" si="107"/>
        <v>0</v>
      </c>
      <c r="CY117" s="798">
        <f t="shared" si="107"/>
        <v>0</v>
      </c>
      <c r="CZ117" s="798">
        <f t="shared" si="107"/>
        <v>0</v>
      </c>
      <c r="DA117" s="798">
        <f t="shared" si="107"/>
        <v>0</v>
      </c>
      <c r="DB117" s="798">
        <f t="shared" si="107"/>
        <v>0</v>
      </c>
      <c r="DC117" s="798">
        <f t="shared" si="107"/>
        <v>0</v>
      </c>
      <c r="DD117" s="798">
        <f t="shared" si="107"/>
        <v>0</v>
      </c>
      <c r="DE117" s="798">
        <f t="shared" si="107"/>
        <v>0</v>
      </c>
      <c r="DF117" s="798">
        <f t="shared" si="107"/>
        <v>0</v>
      </c>
      <c r="DG117" s="798">
        <f t="shared" si="107"/>
        <v>0</v>
      </c>
      <c r="DH117" s="798">
        <f t="shared" si="107"/>
        <v>0</v>
      </c>
      <c r="DI117" s="798">
        <f t="shared" si="107"/>
        <v>0</v>
      </c>
      <c r="DJ117" s="798">
        <f t="shared" si="107"/>
        <v>0</v>
      </c>
      <c r="DK117" s="798">
        <f t="shared" si="107"/>
        <v>0</v>
      </c>
      <c r="DL117" s="798">
        <f t="shared" si="107"/>
        <v>0</v>
      </c>
      <c r="DM117" s="798">
        <f t="shared" si="107"/>
        <v>0</v>
      </c>
      <c r="DN117" s="798">
        <f t="shared" si="107"/>
        <v>0</v>
      </c>
      <c r="DO117" s="798">
        <f t="shared" si="107"/>
        <v>0</v>
      </c>
      <c r="DP117" s="798">
        <f t="shared" si="107"/>
        <v>0</v>
      </c>
      <c r="DQ117" s="798">
        <f t="shared" si="107"/>
        <v>0</v>
      </c>
      <c r="DR117" s="798">
        <f t="shared" si="107"/>
        <v>0</v>
      </c>
      <c r="DS117" s="798">
        <f t="shared" si="107"/>
        <v>0</v>
      </c>
      <c r="DT117" s="798">
        <f t="shared" si="107"/>
        <v>0</v>
      </c>
      <c r="DU117" s="798">
        <f t="shared" si="107"/>
        <v>0</v>
      </c>
      <c r="DV117" s="798">
        <f t="shared" si="107"/>
        <v>0</v>
      </c>
      <c r="DW117" s="798">
        <f t="shared" si="107"/>
        <v>0</v>
      </c>
      <c r="DX117" s="798">
        <f t="shared" si="107"/>
        <v>0</v>
      </c>
      <c r="DY117" s="798">
        <f t="shared" si="107"/>
        <v>0</v>
      </c>
      <c r="DZ117" s="798">
        <f t="shared" si="107"/>
        <v>0</v>
      </c>
      <c r="EA117" s="798">
        <f t="shared" si="107"/>
        <v>0</v>
      </c>
      <c r="EB117" s="798">
        <f t="shared" si="107"/>
        <v>0</v>
      </c>
      <c r="EC117" s="798">
        <f t="shared" si="107"/>
        <v>0</v>
      </c>
      <c r="ED117" s="798">
        <f t="shared" ref="ED117:EG118" si="108">ED20*ED$11</f>
        <v>0</v>
      </c>
      <c r="EE117" s="798">
        <f t="shared" si="108"/>
        <v>0</v>
      </c>
      <c r="EF117" s="798">
        <f t="shared" si="108"/>
        <v>0</v>
      </c>
      <c r="EG117" s="798">
        <f t="shared" si="108"/>
        <v>0</v>
      </c>
      <c r="EH117" s="782"/>
    </row>
    <row r="118" spans="1:138" ht="12.75" customHeight="1" x14ac:dyDescent="0.3">
      <c r="A118" s="782"/>
      <c r="B118" s="782" t="s">
        <v>10</v>
      </c>
      <c r="C118" s="798">
        <f t="shared" si="99"/>
        <v>-533333.33333333291</v>
      </c>
      <c r="D118" s="782"/>
      <c r="E118" s="798">
        <f>E21*E$11</f>
        <v>0</v>
      </c>
      <c r="F118" s="798">
        <f t="shared" si="106"/>
        <v>0</v>
      </c>
      <c r="G118" s="798">
        <f t="shared" si="106"/>
        <v>0</v>
      </c>
      <c r="H118" s="798">
        <f t="shared" si="106"/>
        <v>0</v>
      </c>
      <c r="I118" s="798">
        <f t="shared" si="106"/>
        <v>0</v>
      </c>
      <c r="J118" s="798">
        <f t="shared" si="106"/>
        <v>0</v>
      </c>
      <c r="K118" s="798">
        <f t="shared" si="106"/>
        <v>0</v>
      </c>
      <c r="L118" s="798">
        <f t="shared" si="106"/>
        <v>0</v>
      </c>
      <c r="M118" s="798">
        <f t="shared" si="106"/>
        <v>0</v>
      </c>
      <c r="N118" s="798">
        <f t="shared" si="106"/>
        <v>0</v>
      </c>
      <c r="O118" s="798">
        <f t="shared" si="106"/>
        <v>0</v>
      </c>
      <c r="P118" s="798">
        <f t="shared" si="106"/>
        <v>0</v>
      </c>
      <c r="Q118" s="798">
        <f t="shared" si="106"/>
        <v>0</v>
      </c>
      <c r="R118" s="798">
        <f t="shared" si="106"/>
        <v>0</v>
      </c>
      <c r="S118" s="798">
        <f t="shared" si="106"/>
        <v>0</v>
      </c>
      <c r="T118" s="798">
        <f t="shared" si="106"/>
        <v>0</v>
      </c>
      <c r="U118" s="798">
        <f t="shared" si="106"/>
        <v>0</v>
      </c>
      <c r="V118" s="798">
        <f t="shared" si="106"/>
        <v>0</v>
      </c>
      <c r="W118" s="798">
        <f t="shared" si="106"/>
        <v>0</v>
      </c>
      <c r="X118" s="798">
        <f t="shared" si="106"/>
        <v>0</v>
      </c>
      <c r="Y118" s="798">
        <f t="shared" si="106"/>
        <v>0</v>
      </c>
      <c r="Z118" s="798">
        <f t="shared" si="106"/>
        <v>0</v>
      </c>
      <c r="AA118" s="798">
        <f t="shared" si="106"/>
        <v>0</v>
      </c>
      <c r="AB118" s="798">
        <f t="shared" si="106"/>
        <v>0</v>
      </c>
      <c r="AC118" s="798">
        <f t="shared" si="106"/>
        <v>0</v>
      </c>
      <c r="AD118" s="798">
        <f t="shared" si="106"/>
        <v>0</v>
      </c>
      <c r="AE118" s="798">
        <f t="shared" si="106"/>
        <v>0</v>
      </c>
      <c r="AF118" s="798">
        <f t="shared" si="106"/>
        <v>0</v>
      </c>
      <c r="AG118" s="798">
        <f t="shared" si="106"/>
        <v>0</v>
      </c>
      <c r="AH118" s="798">
        <f t="shared" si="106"/>
        <v>0</v>
      </c>
      <c r="AI118" s="798">
        <f t="shared" si="106"/>
        <v>0</v>
      </c>
      <c r="AJ118" s="798">
        <f t="shared" si="106"/>
        <v>0</v>
      </c>
      <c r="AK118" s="798">
        <f t="shared" si="106"/>
        <v>0</v>
      </c>
      <c r="AL118" s="798">
        <f t="shared" si="106"/>
        <v>-8333.3333333333339</v>
      </c>
      <c r="AM118" s="798">
        <f t="shared" si="106"/>
        <v>-8333.3333333333339</v>
      </c>
      <c r="AN118" s="798">
        <f t="shared" si="106"/>
        <v>-8333.3333333333339</v>
      </c>
      <c r="AO118" s="798">
        <f t="shared" si="106"/>
        <v>-8333.3333333333339</v>
      </c>
      <c r="AP118" s="798">
        <f t="shared" si="106"/>
        <v>-8333.3333333333339</v>
      </c>
      <c r="AQ118" s="798">
        <f t="shared" si="106"/>
        <v>-8333.3333333333339</v>
      </c>
      <c r="AR118" s="798">
        <f t="shared" si="106"/>
        <v>-8333.3333333333339</v>
      </c>
      <c r="AS118" s="798">
        <f t="shared" si="106"/>
        <v>-8333.3333333333339</v>
      </c>
      <c r="AT118" s="798">
        <f t="shared" si="106"/>
        <v>-8333.3333333333339</v>
      </c>
      <c r="AU118" s="798">
        <f t="shared" si="106"/>
        <v>-8333.3333333333339</v>
      </c>
      <c r="AV118" s="798">
        <f t="shared" si="106"/>
        <v>-8333.3333333333339</v>
      </c>
      <c r="AW118" s="798">
        <f t="shared" si="106"/>
        <v>-8333.3333333333339</v>
      </c>
      <c r="AX118" s="798">
        <f t="shared" si="106"/>
        <v>-8333.3333333333339</v>
      </c>
      <c r="AY118" s="798">
        <f t="shared" si="106"/>
        <v>-8333.3333333333339</v>
      </c>
      <c r="AZ118" s="798">
        <f t="shared" si="106"/>
        <v>-8333.3333333333339</v>
      </c>
      <c r="BA118" s="798">
        <f t="shared" si="106"/>
        <v>-8333.3333333333339</v>
      </c>
      <c r="BB118" s="798">
        <f t="shared" si="106"/>
        <v>-8333.3333333333339</v>
      </c>
      <c r="BC118" s="798">
        <f t="shared" si="106"/>
        <v>-8333.3333333333339</v>
      </c>
      <c r="BD118" s="798">
        <f t="shared" si="106"/>
        <v>-8333.3333333333339</v>
      </c>
      <c r="BE118" s="798">
        <f t="shared" si="106"/>
        <v>-8333.3333333333339</v>
      </c>
      <c r="BF118" s="798">
        <f t="shared" si="106"/>
        <v>-8333.3333333333339</v>
      </c>
      <c r="BG118" s="798">
        <f t="shared" si="106"/>
        <v>-8333.3333333333339</v>
      </c>
      <c r="BH118" s="798">
        <f t="shared" si="106"/>
        <v>-8333.3333333333339</v>
      </c>
      <c r="BI118" s="798">
        <f t="shared" si="106"/>
        <v>-8333.3333333333339</v>
      </c>
      <c r="BJ118" s="798">
        <f t="shared" si="106"/>
        <v>-8333.3333333333339</v>
      </c>
      <c r="BK118" s="798">
        <f t="shared" si="106"/>
        <v>-8333.3333333333339</v>
      </c>
      <c r="BL118" s="798">
        <f t="shared" si="106"/>
        <v>-8333.3333333333339</v>
      </c>
      <c r="BM118" s="798">
        <f t="shared" si="106"/>
        <v>-8333.3333333333339</v>
      </c>
      <c r="BN118" s="798">
        <f t="shared" si="106"/>
        <v>-8333.3333333333339</v>
      </c>
      <c r="BO118" s="798">
        <f t="shared" si="106"/>
        <v>-8333.3333333333339</v>
      </c>
      <c r="BP118" s="798">
        <f t="shared" si="106"/>
        <v>-8333.3333333333339</v>
      </c>
      <c r="BQ118" s="798">
        <f t="shared" si="106"/>
        <v>-8333.3333333333339</v>
      </c>
      <c r="BR118" s="798">
        <f t="shared" si="107"/>
        <v>-8333.3333333333339</v>
      </c>
      <c r="BS118" s="798">
        <f t="shared" si="107"/>
        <v>-8333.3333333333339</v>
      </c>
      <c r="BT118" s="798">
        <f t="shared" si="107"/>
        <v>-8333.3333333333339</v>
      </c>
      <c r="BU118" s="798">
        <f t="shared" si="107"/>
        <v>-8333.3333333333339</v>
      </c>
      <c r="BV118" s="798">
        <f t="shared" si="107"/>
        <v>-8333.3333333333339</v>
      </c>
      <c r="BW118" s="798">
        <f t="shared" si="107"/>
        <v>-8333.3333333333339</v>
      </c>
      <c r="BX118" s="798">
        <f t="shared" si="107"/>
        <v>-8333.3333333333339</v>
      </c>
      <c r="BY118" s="798">
        <f t="shared" si="107"/>
        <v>-8333.3333333333339</v>
      </c>
      <c r="BZ118" s="798">
        <f t="shared" si="107"/>
        <v>-8333.3333333333339</v>
      </c>
      <c r="CA118" s="798">
        <f t="shared" si="107"/>
        <v>-8333.3333333333339</v>
      </c>
      <c r="CB118" s="798">
        <f t="shared" si="107"/>
        <v>-8333.3333333333339</v>
      </c>
      <c r="CC118" s="798">
        <f t="shared" si="107"/>
        <v>-8333.3333333333339</v>
      </c>
      <c r="CD118" s="798">
        <f t="shared" si="107"/>
        <v>-8333.3333333333339</v>
      </c>
      <c r="CE118" s="798">
        <f t="shared" si="107"/>
        <v>-8333.3333333333339</v>
      </c>
      <c r="CF118" s="798">
        <f t="shared" si="107"/>
        <v>-8333.3333333333339</v>
      </c>
      <c r="CG118" s="798">
        <f t="shared" si="107"/>
        <v>-8333.3333333333339</v>
      </c>
      <c r="CH118" s="798">
        <f t="shared" si="107"/>
        <v>-8333.3333333333339</v>
      </c>
      <c r="CI118" s="798">
        <f t="shared" si="107"/>
        <v>-8333.3333333333339</v>
      </c>
      <c r="CJ118" s="798">
        <f t="shared" si="107"/>
        <v>-8333.3333333333339</v>
      </c>
      <c r="CK118" s="798">
        <f t="shared" si="107"/>
        <v>-8333.3333333333339</v>
      </c>
      <c r="CL118" s="798">
        <f t="shared" si="107"/>
        <v>-8333.3333333333339</v>
      </c>
      <c r="CM118" s="798">
        <f t="shared" si="107"/>
        <v>-8333.3333333333339</v>
      </c>
      <c r="CN118" s="798">
        <f t="shared" si="107"/>
        <v>-8333.3333333333339</v>
      </c>
      <c r="CO118" s="798">
        <f t="shared" si="107"/>
        <v>-8333.3333333333339</v>
      </c>
      <c r="CP118" s="798">
        <f t="shared" si="107"/>
        <v>-8333.3333333333339</v>
      </c>
      <c r="CQ118" s="798">
        <f t="shared" si="107"/>
        <v>-8333.3333333333339</v>
      </c>
      <c r="CR118" s="798">
        <f t="shared" si="107"/>
        <v>-8333.3333333333339</v>
      </c>
      <c r="CS118" s="798">
        <f t="shared" si="107"/>
        <v>-8333.3333333333339</v>
      </c>
      <c r="CT118" s="798">
        <f t="shared" si="107"/>
        <v>-8333.3333333333339</v>
      </c>
      <c r="CU118" s="798">
        <f t="shared" si="107"/>
        <v>-8333.3333333333339</v>
      </c>
      <c r="CV118" s="798">
        <f t="shared" si="107"/>
        <v>-8333.3333333333339</v>
      </c>
      <c r="CW118" s="798">
        <f t="shared" si="107"/>
        <v>-8333.3333333333339</v>
      </c>
      <c r="CX118" s="798">
        <f t="shared" si="107"/>
        <v>0</v>
      </c>
      <c r="CY118" s="798">
        <f t="shared" si="107"/>
        <v>0</v>
      </c>
      <c r="CZ118" s="798">
        <f t="shared" si="107"/>
        <v>0</v>
      </c>
      <c r="DA118" s="798">
        <f t="shared" si="107"/>
        <v>0</v>
      </c>
      <c r="DB118" s="798">
        <f t="shared" si="107"/>
        <v>0</v>
      </c>
      <c r="DC118" s="798">
        <f t="shared" si="107"/>
        <v>0</v>
      </c>
      <c r="DD118" s="798">
        <f t="shared" si="107"/>
        <v>0</v>
      </c>
      <c r="DE118" s="798">
        <f t="shared" si="107"/>
        <v>0</v>
      </c>
      <c r="DF118" s="798">
        <f t="shared" si="107"/>
        <v>0</v>
      </c>
      <c r="DG118" s="798">
        <f t="shared" si="107"/>
        <v>0</v>
      </c>
      <c r="DH118" s="798">
        <f t="shared" si="107"/>
        <v>0</v>
      </c>
      <c r="DI118" s="798">
        <f t="shared" si="107"/>
        <v>0</v>
      </c>
      <c r="DJ118" s="798">
        <f t="shared" si="107"/>
        <v>0</v>
      </c>
      <c r="DK118" s="798">
        <f t="shared" si="107"/>
        <v>0</v>
      </c>
      <c r="DL118" s="798">
        <f t="shared" si="107"/>
        <v>0</v>
      </c>
      <c r="DM118" s="798">
        <f t="shared" si="107"/>
        <v>0</v>
      </c>
      <c r="DN118" s="798">
        <f t="shared" si="107"/>
        <v>0</v>
      </c>
      <c r="DO118" s="798">
        <f t="shared" si="107"/>
        <v>0</v>
      </c>
      <c r="DP118" s="798">
        <f t="shared" si="107"/>
        <v>0</v>
      </c>
      <c r="DQ118" s="798">
        <f t="shared" si="107"/>
        <v>0</v>
      </c>
      <c r="DR118" s="798">
        <f t="shared" si="107"/>
        <v>0</v>
      </c>
      <c r="DS118" s="798">
        <f t="shared" si="107"/>
        <v>0</v>
      </c>
      <c r="DT118" s="798">
        <f t="shared" si="107"/>
        <v>0</v>
      </c>
      <c r="DU118" s="798">
        <f t="shared" si="107"/>
        <v>0</v>
      </c>
      <c r="DV118" s="798">
        <f t="shared" si="107"/>
        <v>0</v>
      </c>
      <c r="DW118" s="798">
        <f t="shared" si="107"/>
        <v>0</v>
      </c>
      <c r="DX118" s="798">
        <f t="shared" si="107"/>
        <v>0</v>
      </c>
      <c r="DY118" s="798">
        <f t="shared" si="107"/>
        <v>0</v>
      </c>
      <c r="DZ118" s="798">
        <f t="shared" si="107"/>
        <v>0</v>
      </c>
      <c r="EA118" s="798">
        <f t="shared" si="107"/>
        <v>0</v>
      </c>
      <c r="EB118" s="798">
        <f t="shared" si="107"/>
        <v>0</v>
      </c>
      <c r="EC118" s="798">
        <f t="shared" si="107"/>
        <v>0</v>
      </c>
      <c r="ED118" s="798">
        <f t="shared" si="108"/>
        <v>0</v>
      </c>
      <c r="EE118" s="798">
        <f t="shared" si="108"/>
        <v>0</v>
      </c>
      <c r="EF118" s="798">
        <f t="shared" si="108"/>
        <v>0</v>
      </c>
      <c r="EG118" s="798">
        <f t="shared" si="108"/>
        <v>0</v>
      </c>
      <c r="EH118" s="782"/>
    </row>
    <row r="119" spans="1:138" ht="12.75" customHeight="1" x14ac:dyDescent="0.3">
      <c r="A119" s="782"/>
      <c r="B119" s="781" t="s">
        <v>11</v>
      </c>
      <c r="C119" s="799">
        <f t="shared" si="99"/>
        <v>129660985.44941077</v>
      </c>
      <c r="D119" s="781"/>
      <c r="E119" s="799">
        <f>E22*E11</f>
        <v>0</v>
      </c>
      <c r="F119" s="799">
        <f t="shared" ref="F119:BQ119" si="109">F22*F11</f>
        <v>0</v>
      </c>
      <c r="G119" s="799">
        <f t="shared" si="109"/>
        <v>0</v>
      </c>
      <c r="H119" s="799">
        <f t="shared" si="109"/>
        <v>0</v>
      </c>
      <c r="I119" s="799">
        <f t="shared" si="109"/>
        <v>0</v>
      </c>
      <c r="J119" s="799">
        <f t="shared" si="109"/>
        <v>0</v>
      </c>
      <c r="K119" s="799">
        <f t="shared" si="109"/>
        <v>0</v>
      </c>
      <c r="L119" s="799">
        <f t="shared" si="109"/>
        <v>0</v>
      </c>
      <c r="M119" s="799">
        <f t="shared" si="109"/>
        <v>0</v>
      </c>
      <c r="N119" s="799">
        <f t="shared" si="109"/>
        <v>0</v>
      </c>
      <c r="O119" s="799">
        <f t="shared" si="109"/>
        <v>0</v>
      </c>
      <c r="P119" s="799">
        <f t="shared" si="109"/>
        <v>0</v>
      </c>
      <c r="Q119" s="799">
        <f t="shared" si="109"/>
        <v>0</v>
      </c>
      <c r="R119" s="799">
        <f t="shared" si="109"/>
        <v>0</v>
      </c>
      <c r="S119" s="799">
        <f t="shared" si="109"/>
        <v>0</v>
      </c>
      <c r="T119" s="799">
        <f t="shared" si="109"/>
        <v>0</v>
      </c>
      <c r="U119" s="799">
        <f t="shared" si="109"/>
        <v>0</v>
      </c>
      <c r="V119" s="799">
        <f t="shared" si="109"/>
        <v>0</v>
      </c>
      <c r="W119" s="799">
        <f t="shared" si="109"/>
        <v>0</v>
      </c>
      <c r="X119" s="799">
        <f t="shared" si="109"/>
        <v>0</v>
      </c>
      <c r="Y119" s="799">
        <f t="shared" si="109"/>
        <v>0</v>
      </c>
      <c r="Z119" s="799">
        <f t="shared" si="109"/>
        <v>0</v>
      </c>
      <c r="AA119" s="799">
        <f t="shared" si="109"/>
        <v>0</v>
      </c>
      <c r="AB119" s="799">
        <f t="shared" si="109"/>
        <v>0</v>
      </c>
      <c r="AC119" s="799">
        <f t="shared" si="109"/>
        <v>0</v>
      </c>
      <c r="AD119" s="799">
        <f t="shared" si="109"/>
        <v>0</v>
      </c>
      <c r="AE119" s="799">
        <f t="shared" si="109"/>
        <v>0</v>
      </c>
      <c r="AF119" s="799">
        <f t="shared" si="109"/>
        <v>0</v>
      </c>
      <c r="AG119" s="799">
        <f t="shared" si="109"/>
        <v>0</v>
      </c>
      <c r="AH119" s="799">
        <f t="shared" si="109"/>
        <v>0</v>
      </c>
      <c r="AI119" s="799">
        <f t="shared" si="109"/>
        <v>0</v>
      </c>
      <c r="AJ119" s="799">
        <f t="shared" si="109"/>
        <v>0</v>
      </c>
      <c r="AK119" s="799">
        <f t="shared" si="109"/>
        <v>0</v>
      </c>
      <c r="AL119" s="799">
        <f t="shared" si="109"/>
        <v>0</v>
      </c>
      <c r="AM119" s="799">
        <f t="shared" si="109"/>
        <v>0</v>
      </c>
      <c r="AN119" s="799">
        <f t="shared" si="109"/>
        <v>0</v>
      </c>
      <c r="AO119" s="799">
        <f t="shared" si="109"/>
        <v>0</v>
      </c>
      <c r="AP119" s="799">
        <f t="shared" si="109"/>
        <v>0</v>
      </c>
      <c r="AQ119" s="799">
        <f t="shared" si="109"/>
        <v>0</v>
      </c>
      <c r="AR119" s="799">
        <f t="shared" si="109"/>
        <v>0</v>
      </c>
      <c r="AS119" s="799">
        <f t="shared" si="109"/>
        <v>0</v>
      </c>
      <c r="AT119" s="799">
        <f t="shared" si="109"/>
        <v>0</v>
      </c>
      <c r="AU119" s="799">
        <f t="shared" si="109"/>
        <v>0</v>
      </c>
      <c r="AV119" s="799">
        <f t="shared" si="109"/>
        <v>0</v>
      </c>
      <c r="AW119" s="799">
        <f t="shared" si="109"/>
        <v>0</v>
      </c>
      <c r="AX119" s="799">
        <f t="shared" si="109"/>
        <v>0</v>
      </c>
      <c r="AY119" s="799">
        <f t="shared" si="109"/>
        <v>0</v>
      </c>
      <c r="AZ119" s="799">
        <f t="shared" si="109"/>
        <v>0</v>
      </c>
      <c r="BA119" s="799">
        <f t="shared" si="109"/>
        <v>0</v>
      </c>
      <c r="BB119" s="799">
        <f t="shared" si="109"/>
        <v>0</v>
      </c>
      <c r="BC119" s="799">
        <f t="shared" si="109"/>
        <v>0</v>
      </c>
      <c r="BD119" s="799">
        <f t="shared" si="109"/>
        <v>0</v>
      </c>
      <c r="BE119" s="799">
        <f t="shared" si="109"/>
        <v>0</v>
      </c>
      <c r="BF119" s="799">
        <f t="shared" si="109"/>
        <v>0</v>
      </c>
      <c r="BG119" s="799">
        <f t="shared" si="109"/>
        <v>0</v>
      </c>
      <c r="BH119" s="799">
        <f t="shared" si="109"/>
        <v>0</v>
      </c>
      <c r="BI119" s="799">
        <f t="shared" si="109"/>
        <v>0</v>
      </c>
      <c r="BJ119" s="799">
        <f t="shared" si="109"/>
        <v>0</v>
      </c>
      <c r="BK119" s="799">
        <f t="shared" si="109"/>
        <v>0</v>
      </c>
      <c r="BL119" s="799">
        <f t="shared" si="109"/>
        <v>0</v>
      </c>
      <c r="BM119" s="799">
        <f t="shared" si="109"/>
        <v>0</v>
      </c>
      <c r="BN119" s="799">
        <f t="shared" si="109"/>
        <v>0</v>
      </c>
      <c r="BO119" s="799">
        <f t="shared" si="109"/>
        <v>0</v>
      </c>
      <c r="BP119" s="799">
        <f t="shared" si="109"/>
        <v>0</v>
      </c>
      <c r="BQ119" s="799">
        <f t="shared" si="109"/>
        <v>0</v>
      </c>
      <c r="BR119" s="799">
        <f t="shared" ref="BR119:EB119" si="110">BR22*BR11</f>
        <v>0</v>
      </c>
      <c r="BS119" s="799">
        <f t="shared" si="110"/>
        <v>0</v>
      </c>
      <c r="BT119" s="799">
        <f t="shared" si="110"/>
        <v>0</v>
      </c>
      <c r="BU119" s="799">
        <f t="shared" si="110"/>
        <v>0</v>
      </c>
      <c r="BV119" s="799">
        <f t="shared" si="110"/>
        <v>0</v>
      </c>
      <c r="BW119" s="799">
        <f t="shared" si="110"/>
        <v>0</v>
      </c>
      <c r="BX119" s="799">
        <f t="shared" si="110"/>
        <v>0</v>
      </c>
      <c r="BY119" s="799">
        <f t="shared" si="110"/>
        <v>0</v>
      </c>
      <c r="BZ119" s="799">
        <f t="shared" si="110"/>
        <v>0</v>
      </c>
      <c r="CA119" s="799">
        <f t="shared" si="110"/>
        <v>0</v>
      </c>
      <c r="CB119" s="799">
        <f t="shared" si="110"/>
        <v>0</v>
      </c>
      <c r="CC119" s="799">
        <f t="shared" si="110"/>
        <v>0</v>
      </c>
      <c r="CD119" s="799">
        <f t="shared" si="110"/>
        <v>0</v>
      </c>
      <c r="CE119" s="799">
        <f t="shared" si="110"/>
        <v>0</v>
      </c>
      <c r="CF119" s="799">
        <f t="shared" si="110"/>
        <v>0</v>
      </c>
      <c r="CG119" s="799">
        <f t="shared" si="110"/>
        <v>0</v>
      </c>
      <c r="CH119" s="799">
        <f t="shared" si="110"/>
        <v>0</v>
      </c>
      <c r="CI119" s="799">
        <f t="shared" si="110"/>
        <v>0</v>
      </c>
      <c r="CJ119" s="799">
        <f t="shared" si="110"/>
        <v>0</v>
      </c>
      <c r="CK119" s="799">
        <f t="shared" si="110"/>
        <v>0</v>
      </c>
      <c r="CL119" s="799">
        <f t="shared" si="110"/>
        <v>0</v>
      </c>
      <c r="CM119" s="799">
        <f t="shared" si="110"/>
        <v>0</v>
      </c>
      <c r="CN119" s="799">
        <f t="shared" si="110"/>
        <v>0</v>
      </c>
      <c r="CO119" s="799">
        <f t="shared" si="110"/>
        <v>0</v>
      </c>
      <c r="CP119" s="799">
        <f t="shared" si="110"/>
        <v>0</v>
      </c>
      <c r="CQ119" s="799">
        <f t="shared" si="110"/>
        <v>0</v>
      </c>
      <c r="CR119" s="799">
        <f t="shared" si="110"/>
        <v>0</v>
      </c>
      <c r="CS119" s="799">
        <f t="shared" si="110"/>
        <v>0</v>
      </c>
      <c r="CT119" s="799">
        <f t="shared" si="110"/>
        <v>0</v>
      </c>
      <c r="CU119" s="799">
        <f t="shared" si="110"/>
        <v>0</v>
      </c>
      <c r="CV119" s="799">
        <f t="shared" si="110"/>
        <v>0</v>
      </c>
      <c r="CW119" s="799">
        <f t="shared" si="110"/>
        <v>129660985.44941077</v>
      </c>
      <c r="CX119" s="799">
        <f t="shared" si="110"/>
        <v>0</v>
      </c>
      <c r="CY119" s="799">
        <f t="shared" si="110"/>
        <v>0</v>
      </c>
      <c r="CZ119" s="799">
        <f t="shared" si="110"/>
        <v>0</v>
      </c>
      <c r="DA119" s="799">
        <f t="shared" si="110"/>
        <v>0</v>
      </c>
      <c r="DB119" s="799">
        <f t="shared" si="110"/>
        <v>0</v>
      </c>
      <c r="DC119" s="799">
        <f t="shared" si="110"/>
        <v>0</v>
      </c>
      <c r="DD119" s="799">
        <f t="shared" si="110"/>
        <v>0</v>
      </c>
      <c r="DE119" s="799">
        <f t="shared" si="110"/>
        <v>0</v>
      </c>
      <c r="DF119" s="799">
        <f t="shared" si="110"/>
        <v>0</v>
      </c>
      <c r="DG119" s="799">
        <f t="shared" si="110"/>
        <v>0</v>
      </c>
      <c r="DH119" s="799">
        <f t="shared" si="110"/>
        <v>0</v>
      </c>
      <c r="DI119" s="799">
        <f t="shared" si="110"/>
        <v>0</v>
      </c>
      <c r="DJ119" s="799">
        <f t="shared" si="110"/>
        <v>0</v>
      </c>
      <c r="DK119" s="799">
        <f t="shared" si="110"/>
        <v>0</v>
      </c>
      <c r="DL119" s="799">
        <f t="shared" si="110"/>
        <v>0</v>
      </c>
      <c r="DM119" s="799">
        <f t="shared" si="110"/>
        <v>0</v>
      </c>
      <c r="DN119" s="799">
        <f t="shared" si="110"/>
        <v>0</v>
      </c>
      <c r="DO119" s="799">
        <f t="shared" si="110"/>
        <v>0</v>
      </c>
      <c r="DP119" s="799">
        <f t="shared" si="110"/>
        <v>0</v>
      </c>
      <c r="DQ119" s="799">
        <f t="shared" si="110"/>
        <v>0</v>
      </c>
      <c r="DR119" s="799">
        <f t="shared" si="110"/>
        <v>0</v>
      </c>
      <c r="DS119" s="799">
        <f t="shared" si="110"/>
        <v>0</v>
      </c>
      <c r="DT119" s="799">
        <f t="shared" si="110"/>
        <v>0</v>
      </c>
      <c r="DU119" s="799">
        <f t="shared" si="110"/>
        <v>0</v>
      </c>
      <c r="DV119" s="799">
        <f t="shared" si="110"/>
        <v>0</v>
      </c>
      <c r="DW119" s="799">
        <f t="shared" si="110"/>
        <v>0</v>
      </c>
      <c r="DX119" s="799">
        <f t="shared" si="110"/>
        <v>0</v>
      </c>
      <c r="DY119" s="799">
        <f t="shared" si="110"/>
        <v>0</v>
      </c>
      <c r="DZ119" s="799">
        <f t="shared" si="110"/>
        <v>0</v>
      </c>
      <c r="EA119" s="799">
        <f t="shared" si="110"/>
        <v>0</v>
      </c>
      <c r="EB119" s="799">
        <f t="shared" si="110"/>
        <v>0</v>
      </c>
      <c r="EC119" s="799">
        <f>EC22*EC11</f>
        <v>0</v>
      </c>
      <c r="ED119" s="799">
        <f>ED22*ED11</f>
        <v>0</v>
      </c>
      <c r="EE119" s="799">
        <f>EE22*EE11</f>
        <v>0</v>
      </c>
      <c r="EF119" s="799">
        <f>EF22*EF11</f>
        <v>0</v>
      </c>
      <c r="EG119" s="799">
        <f>EG22*EG11</f>
        <v>0</v>
      </c>
      <c r="EH119" s="782"/>
    </row>
    <row r="120" spans="1:138" ht="12.75" customHeight="1" x14ac:dyDescent="0.3">
      <c r="A120" s="782"/>
      <c r="B120" s="782" t="s">
        <v>12</v>
      </c>
      <c r="C120" s="798">
        <f t="shared" si="99"/>
        <v>58372088.350171998</v>
      </c>
      <c r="D120" s="782"/>
      <c r="E120" s="798">
        <f>SUM(E114:E119)</f>
        <v>0</v>
      </c>
      <c r="F120" s="798">
        <f t="shared" ref="F120:BQ120" si="111">SUM(F114:F119)</f>
        <v>0</v>
      </c>
      <c r="G120" s="798">
        <f t="shared" si="111"/>
        <v>0</v>
      </c>
      <c r="H120" s="798">
        <f t="shared" si="111"/>
        <v>0</v>
      </c>
      <c r="I120" s="798">
        <f t="shared" si="111"/>
        <v>0</v>
      </c>
      <c r="J120" s="798">
        <f t="shared" si="111"/>
        <v>0</v>
      </c>
      <c r="K120" s="798">
        <f t="shared" si="111"/>
        <v>0</v>
      </c>
      <c r="L120" s="798">
        <f t="shared" si="111"/>
        <v>0</v>
      </c>
      <c r="M120" s="798">
        <f t="shared" si="111"/>
        <v>0</v>
      </c>
      <c r="N120" s="798">
        <f t="shared" si="111"/>
        <v>0</v>
      </c>
      <c r="O120" s="798">
        <f t="shared" si="111"/>
        <v>0</v>
      </c>
      <c r="P120" s="798">
        <f t="shared" si="111"/>
        <v>0</v>
      </c>
      <c r="Q120" s="798">
        <f t="shared" si="111"/>
        <v>0</v>
      </c>
      <c r="R120" s="798">
        <f t="shared" si="111"/>
        <v>0</v>
      </c>
      <c r="S120" s="798">
        <f t="shared" si="111"/>
        <v>0</v>
      </c>
      <c r="T120" s="798">
        <f t="shared" si="111"/>
        <v>0</v>
      </c>
      <c r="U120" s="798">
        <f t="shared" si="111"/>
        <v>0</v>
      </c>
      <c r="V120" s="798">
        <f t="shared" si="111"/>
        <v>0</v>
      </c>
      <c r="W120" s="798">
        <f t="shared" si="111"/>
        <v>0</v>
      </c>
      <c r="X120" s="798">
        <f t="shared" si="111"/>
        <v>0</v>
      </c>
      <c r="Y120" s="798">
        <f t="shared" si="111"/>
        <v>0</v>
      </c>
      <c r="Z120" s="798">
        <f t="shared" si="111"/>
        <v>0</v>
      </c>
      <c r="AA120" s="798">
        <f t="shared" si="111"/>
        <v>0</v>
      </c>
      <c r="AB120" s="798">
        <f t="shared" si="111"/>
        <v>0</v>
      </c>
      <c r="AC120" s="798">
        <f t="shared" si="111"/>
        <v>0</v>
      </c>
      <c r="AD120" s="798">
        <f t="shared" si="111"/>
        <v>0</v>
      </c>
      <c r="AE120" s="798">
        <f t="shared" si="111"/>
        <v>0</v>
      </c>
      <c r="AF120" s="798">
        <f t="shared" si="111"/>
        <v>0</v>
      </c>
      <c r="AG120" s="798">
        <f t="shared" si="111"/>
        <v>0</v>
      </c>
      <c r="AH120" s="798">
        <f t="shared" si="111"/>
        <v>0</v>
      </c>
      <c r="AI120" s="798">
        <f t="shared" si="111"/>
        <v>0</v>
      </c>
      <c r="AJ120" s="798">
        <f t="shared" si="111"/>
        <v>0</v>
      </c>
      <c r="AK120" s="798">
        <f t="shared" si="111"/>
        <v>-104261112.5593228</v>
      </c>
      <c r="AL120" s="798">
        <f t="shared" si="111"/>
        <v>457901.62691787933</v>
      </c>
      <c r="AM120" s="798">
        <f t="shared" si="111"/>
        <v>460675.83905212011</v>
      </c>
      <c r="AN120" s="798">
        <f t="shared" si="111"/>
        <v>463439.05978284904</v>
      </c>
      <c r="AO120" s="798">
        <f t="shared" si="111"/>
        <v>466191.09667240438</v>
      </c>
      <c r="AP120" s="798">
        <f t="shared" si="111"/>
        <v>468094.59186639462</v>
      </c>
      <c r="AQ120" s="798">
        <f t="shared" si="111"/>
        <v>471662.18931662466</v>
      </c>
      <c r="AR120" s="798">
        <f t="shared" si="111"/>
        <v>474778.16131066857</v>
      </c>
      <c r="AS120" s="798">
        <f t="shared" si="111"/>
        <v>470225.81639409944</v>
      </c>
      <c r="AT120" s="798">
        <f t="shared" si="111"/>
        <v>472080.56216286955</v>
      </c>
      <c r="AU120" s="798">
        <f t="shared" si="111"/>
        <v>473901.01917470299</v>
      </c>
      <c r="AV120" s="798">
        <f t="shared" si="111"/>
        <v>476463.67678953713</v>
      </c>
      <c r="AW120" s="798">
        <f t="shared" si="111"/>
        <v>478947.5513226054</v>
      </c>
      <c r="AX120" s="798">
        <f t="shared" si="111"/>
        <v>481351.94769946643</v>
      </c>
      <c r="AY120" s="798">
        <f t="shared" si="111"/>
        <v>483676.16637365235</v>
      </c>
      <c r="AZ120" s="798">
        <f t="shared" si="111"/>
        <v>485919.50330098049</v>
      </c>
      <c r="BA120" s="798">
        <f t="shared" si="111"/>
        <v>488081.24991372222</v>
      </c>
      <c r="BB120" s="798">
        <f t="shared" si="111"/>
        <v>489546.22631757142</v>
      </c>
      <c r="BC120" s="798">
        <f t="shared" si="111"/>
        <v>492166.40440307528</v>
      </c>
      <c r="BD120" s="798">
        <f t="shared" si="111"/>
        <v>494406.18515555578</v>
      </c>
      <c r="BE120" s="798">
        <f t="shared" si="111"/>
        <v>490588.58462383563</v>
      </c>
      <c r="BF120" s="798">
        <f t="shared" si="111"/>
        <v>491966.98426699516</v>
      </c>
      <c r="BG120" s="798">
        <f t="shared" si="111"/>
        <v>493369.2809040987</v>
      </c>
      <c r="BH120" s="798">
        <f t="shared" si="111"/>
        <v>495388.95714649413</v>
      </c>
      <c r="BI120" s="798">
        <f t="shared" si="111"/>
        <v>497462.15738415584</v>
      </c>
      <c r="BJ120" s="798">
        <f t="shared" si="111"/>
        <v>499589.25088026433</v>
      </c>
      <c r="BK120" s="798">
        <f t="shared" si="111"/>
        <v>501770.60890967416</v>
      </c>
      <c r="BL120" s="798">
        <f t="shared" si="111"/>
        <v>504006.60476882214</v>
      </c>
      <c r="BM120" s="798">
        <f t="shared" si="111"/>
        <v>506297.61378568248</v>
      </c>
      <c r="BN120" s="798">
        <f t="shared" si="111"/>
        <v>507942.92152680992</v>
      </c>
      <c r="BO120" s="798">
        <f t="shared" si="111"/>
        <v>511040.05278454709</v>
      </c>
      <c r="BP120" s="798">
        <f t="shared" si="111"/>
        <v>513802.04329761514</v>
      </c>
      <c r="BQ120" s="798">
        <f t="shared" si="111"/>
        <v>510085.72721590201</v>
      </c>
      <c r="BR120" s="798">
        <f t="shared" ref="BR120:EC120" si="112">SUM(BR114:BR119)</f>
        <v>511811.42229198647</v>
      </c>
      <c r="BS120" s="798">
        <f t="shared" si="112"/>
        <v>513541.81556728628</v>
      </c>
      <c r="BT120" s="798">
        <f t="shared" si="112"/>
        <v>516021.09996924194</v>
      </c>
      <c r="BU120" s="798">
        <f t="shared" si="112"/>
        <v>518510.25236970157</v>
      </c>
      <c r="BV120" s="798">
        <f t="shared" si="112"/>
        <v>521009.31267309788</v>
      </c>
      <c r="BW120" s="798">
        <f t="shared" si="112"/>
        <v>523518.32094684354</v>
      </c>
      <c r="BX120" s="798">
        <f t="shared" si="112"/>
        <v>526037.31742200151</v>
      </c>
      <c r="BY120" s="798">
        <f t="shared" si="112"/>
        <v>528566.34249395714</v>
      </c>
      <c r="BZ120" s="798">
        <f t="shared" si="112"/>
        <v>530342.54459980538</v>
      </c>
      <c r="CA120" s="798">
        <f t="shared" si="112"/>
        <v>533653.58613711153</v>
      </c>
      <c r="CB120" s="798">
        <f t="shared" si="112"/>
        <v>536566.70965933485</v>
      </c>
      <c r="CC120" s="798">
        <f t="shared" si="112"/>
        <v>532741.55197128491</v>
      </c>
      <c r="CD120" s="798">
        <f t="shared" si="112"/>
        <v>534537.17891578947</v>
      </c>
      <c r="CE120" s="798">
        <f t="shared" si="112"/>
        <v>536337.69522069592</v>
      </c>
      <c r="CF120" s="798">
        <f t="shared" si="112"/>
        <v>538918.75053281302</v>
      </c>
      <c r="CG120" s="798">
        <f t="shared" si="112"/>
        <v>541510.08349327743</v>
      </c>
      <c r="CH120" s="798">
        <f t="shared" si="112"/>
        <v>544111.73567485181</v>
      </c>
      <c r="CI120" s="798">
        <f t="shared" si="112"/>
        <v>546723.74882012291</v>
      </c>
      <c r="CJ120" s="798">
        <f t="shared" si="112"/>
        <v>549346.1648421986</v>
      </c>
      <c r="CK120" s="798">
        <f t="shared" si="112"/>
        <v>551979.02582541027</v>
      </c>
      <c r="CL120" s="798">
        <f t="shared" si="112"/>
        <v>553827.23475749721</v>
      </c>
      <c r="CM120" s="798">
        <f t="shared" si="112"/>
        <v>557275.15259286854</v>
      </c>
      <c r="CN120" s="798">
        <f t="shared" si="112"/>
        <v>560308.32498128212</v>
      </c>
      <c r="CO120" s="798">
        <f t="shared" si="112"/>
        <v>556370.49856369721</v>
      </c>
      <c r="CP120" s="798">
        <f t="shared" si="112"/>
        <v>558238.92299156997</v>
      </c>
      <c r="CQ120" s="798">
        <f t="shared" si="112"/>
        <v>560112.43579844374</v>
      </c>
      <c r="CR120" s="798">
        <f t="shared" si="112"/>
        <v>562799.47301290452</v>
      </c>
      <c r="CS120" s="798">
        <f t="shared" si="112"/>
        <v>565497.21461729624</v>
      </c>
      <c r="CT120" s="798">
        <f t="shared" si="112"/>
        <v>568205.70392267813</v>
      </c>
      <c r="CU120" s="798">
        <f t="shared" si="112"/>
        <v>570924.98441706563</v>
      </c>
      <c r="CV120" s="798">
        <f t="shared" si="112"/>
        <v>573655.09976615699</v>
      </c>
      <c r="CW120" s="798">
        <f t="shared" si="112"/>
        <v>130237381.54322483</v>
      </c>
      <c r="CX120" s="798">
        <f t="shared" si="112"/>
        <v>0</v>
      </c>
      <c r="CY120" s="798">
        <f t="shared" si="112"/>
        <v>0</v>
      </c>
      <c r="CZ120" s="798">
        <f t="shared" si="112"/>
        <v>0</v>
      </c>
      <c r="DA120" s="798">
        <f t="shared" si="112"/>
        <v>0</v>
      </c>
      <c r="DB120" s="798">
        <f t="shared" si="112"/>
        <v>0</v>
      </c>
      <c r="DC120" s="798">
        <f t="shared" si="112"/>
        <v>0</v>
      </c>
      <c r="DD120" s="798">
        <f t="shared" si="112"/>
        <v>0</v>
      </c>
      <c r="DE120" s="798">
        <f t="shared" si="112"/>
        <v>0</v>
      </c>
      <c r="DF120" s="798">
        <f t="shared" si="112"/>
        <v>0</v>
      </c>
      <c r="DG120" s="798">
        <f t="shared" si="112"/>
        <v>0</v>
      </c>
      <c r="DH120" s="798">
        <f t="shared" si="112"/>
        <v>0</v>
      </c>
      <c r="DI120" s="798">
        <f t="shared" si="112"/>
        <v>0</v>
      </c>
      <c r="DJ120" s="798">
        <f t="shared" si="112"/>
        <v>0</v>
      </c>
      <c r="DK120" s="798">
        <f t="shared" si="112"/>
        <v>0</v>
      </c>
      <c r="DL120" s="798">
        <f t="shared" si="112"/>
        <v>0</v>
      </c>
      <c r="DM120" s="798">
        <f t="shared" si="112"/>
        <v>0</v>
      </c>
      <c r="DN120" s="798">
        <f t="shared" si="112"/>
        <v>0</v>
      </c>
      <c r="DO120" s="798">
        <f t="shared" si="112"/>
        <v>0</v>
      </c>
      <c r="DP120" s="798">
        <f t="shared" si="112"/>
        <v>0</v>
      </c>
      <c r="DQ120" s="798">
        <f t="shared" si="112"/>
        <v>0</v>
      </c>
      <c r="DR120" s="798">
        <f t="shared" si="112"/>
        <v>0</v>
      </c>
      <c r="DS120" s="798">
        <f t="shared" si="112"/>
        <v>0</v>
      </c>
      <c r="DT120" s="798">
        <f t="shared" si="112"/>
        <v>0</v>
      </c>
      <c r="DU120" s="798">
        <f t="shared" si="112"/>
        <v>0</v>
      </c>
      <c r="DV120" s="798">
        <f t="shared" si="112"/>
        <v>0</v>
      </c>
      <c r="DW120" s="798">
        <f t="shared" si="112"/>
        <v>0</v>
      </c>
      <c r="DX120" s="798">
        <f t="shared" si="112"/>
        <v>0</v>
      </c>
      <c r="DY120" s="798">
        <f t="shared" si="112"/>
        <v>0</v>
      </c>
      <c r="DZ120" s="798">
        <f t="shared" si="112"/>
        <v>0</v>
      </c>
      <c r="EA120" s="798">
        <f t="shared" si="112"/>
        <v>0</v>
      </c>
      <c r="EB120" s="798">
        <f t="shared" si="112"/>
        <v>0</v>
      </c>
      <c r="EC120" s="798">
        <f t="shared" si="112"/>
        <v>0</v>
      </c>
      <c r="ED120" s="798">
        <f>SUM(ED114:ED119)</f>
        <v>0</v>
      </c>
      <c r="EE120" s="798">
        <f>SUM(EE114:EE119)</f>
        <v>0</v>
      </c>
      <c r="EF120" s="798">
        <f>SUM(EF114:EF119)</f>
        <v>0</v>
      </c>
      <c r="EG120" s="798">
        <f>SUM(EG114:EG119)</f>
        <v>0</v>
      </c>
      <c r="EH120" s="782"/>
    </row>
    <row r="121" spans="1:138" ht="12.75" customHeight="1" x14ac:dyDescent="0.3">
      <c r="A121" s="782"/>
      <c r="B121" s="800" t="s">
        <v>73</v>
      </c>
      <c r="C121" s="801">
        <f>XIRR(OFFSET(E120,0,SUMPRODUCT($E$9:$EG$9,$E$5:$EG$5)):EG120,OFFSET($E$4,0,SUMPRODUCT($E$9:$EG$9,$E$5:$EG$5)):$EG$4)</f>
        <v>9.813267588615418E-2</v>
      </c>
      <c r="D121" s="782"/>
      <c r="E121" s="798"/>
      <c r="F121" s="798"/>
      <c r="G121" s="798"/>
      <c r="H121" s="798"/>
      <c r="I121" s="798"/>
      <c r="J121" s="798"/>
      <c r="K121" s="798"/>
      <c r="L121" s="798"/>
      <c r="M121" s="798"/>
      <c r="N121" s="798"/>
      <c r="O121" s="798"/>
      <c r="P121" s="798"/>
      <c r="Q121" s="798"/>
      <c r="R121" s="798"/>
      <c r="S121" s="798"/>
      <c r="T121" s="798"/>
      <c r="U121" s="798"/>
      <c r="V121" s="798"/>
      <c r="W121" s="798"/>
      <c r="X121" s="798"/>
      <c r="Y121" s="798"/>
      <c r="Z121" s="798"/>
      <c r="AA121" s="798"/>
      <c r="AB121" s="798"/>
      <c r="AC121" s="798"/>
      <c r="AD121" s="798"/>
      <c r="AE121" s="798"/>
      <c r="AF121" s="798"/>
      <c r="AG121" s="798"/>
      <c r="AH121" s="798"/>
      <c r="AI121" s="798"/>
      <c r="AJ121" s="806"/>
      <c r="AK121" s="798"/>
      <c r="AL121" s="798"/>
      <c r="AM121" s="798"/>
      <c r="AN121" s="798"/>
      <c r="AO121" s="798"/>
      <c r="AP121" s="798"/>
      <c r="AQ121" s="798"/>
      <c r="AR121" s="798"/>
      <c r="AS121" s="798"/>
      <c r="AT121" s="798"/>
      <c r="AU121" s="798"/>
      <c r="AV121" s="798"/>
      <c r="AW121" s="798"/>
      <c r="AX121" s="798"/>
      <c r="AY121" s="798"/>
      <c r="AZ121" s="798"/>
      <c r="BA121" s="798"/>
      <c r="BB121" s="798"/>
      <c r="BC121" s="798"/>
      <c r="BD121" s="798"/>
      <c r="BE121" s="798"/>
      <c r="BF121" s="798"/>
      <c r="BG121" s="798"/>
      <c r="BH121" s="798"/>
      <c r="BI121" s="798"/>
      <c r="BJ121" s="798"/>
      <c r="BK121" s="798"/>
      <c r="BL121" s="798"/>
      <c r="BM121" s="798"/>
      <c r="BN121" s="798"/>
      <c r="BO121" s="798"/>
      <c r="BP121" s="798"/>
      <c r="BQ121" s="798"/>
      <c r="BR121" s="798"/>
      <c r="BS121" s="798"/>
      <c r="BT121" s="798"/>
      <c r="BU121" s="798"/>
      <c r="BV121" s="798"/>
      <c r="BW121" s="798"/>
      <c r="BX121" s="798"/>
      <c r="BY121" s="798"/>
      <c r="BZ121" s="798"/>
      <c r="CA121" s="798"/>
      <c r="CB121" s="798"/>
      <c r="CC121" s="798"/>
      <c r="CD121" s="798"/>
      <c r="CE121" s="798"/>
      <c r="CF121" s="798"/>
      <c r="CG121" s="798"/>
      <c r="CH121" s="798"/>
      <c r="CI121" s="798"/>
      <c r="CJ121" s="798"/>
      <c r="CK121" s="798"/>
      <c r="CL121" s="798"/>
      <c r="CM121" s="798"/>
      <c r="CN121" s="798"/>
      <c r="CO121" s="798"/>
      <c r="CP121" s="798"/>
      <c r="CQ121" s="798"/>
      <c r="CR121" s="798"/>
      <c r="CS121" s="798"/>
      <c r="CT121" s="798"/>
      <c r="CU121" s="798"/>
      <c r="CV121" s="798"/>
      <c r="CW121" s="798"/>
      <c r="CX121" s="798"/>
      <c r="CY121" s="798"/>
      <c r="CZ121" s="798"/>
      <c r="DA121" s="798"/>
      <c r="DB121" s="798"/>
      <c r="DC121" s="798"/>
      <c r="DD121" s="798"/>
      <c r="DE121" s="798"/>
      <c r="DF121" s="798"/>
      <c r="DG121" s="798"/>
      <c r="DH121" s="798"/>
      <c r="DI121" s="798"/>
      <c r="DJ121" s="798"/>
      <c r="DK121" s="798"/>
      <c r="DL121" s="798"/>
      <c r="DM121" s="798"/>
      <c r="DN121" s="798"/>
      <c r="DO121" s="798"/>
      <c r="DP121" s="798"/>
      <c r="DQ121" s="798"/>
      <c r="DR121" s="798"/>
      <c r="DS121" s="798"/>
      <c r="DT121" s="798"/>
      <c r="DU121" s="798"/>
      <c r="DV121" s="798"/>
      <c r="DW121" s="798"/>
      <c r="DX121" s="798"/>
      <c r="DY121" s="798"/>
      <c r="DZ121" s="798"/>
      <c r="EA121" s="798"/>
      <c r="EB121" s="798"/>
      <c r="EC121" s="798"/>
      <c r="ED121" s="798"/>
      <c r="EE121" s="798"/>
      <c r="EF121" s="798"/>
      <c r="EG121" s="798"/>
      <c r="EH121" s="782"/>
    </row>
    <row r="122" spans="1:138" ht="12.75" customHeight="1" x14ac:dyDescent="0.3">
      <c r="A122" s="782"/>
      <c r="B122" s="782"/>
      <c r="C122" s="782"/>
      <c r="D122" s="782"/>
      <c r="E122" s="782"/>
      <c r="F122" s="782"/>
      <c r="G122" s="782"/>
      <c r="H122" s="782"/>
      <c r="I122" s="782"/>
      <c r="J122" s="782"/>
      <c r="K122" s="782"/>
      <c r="L122" s="782"/>
      <c r="M122" s="782"/>
      <c r="N122" s="782"/>
      <c r="O122" s="782"/>
      <c r="P122" s="782"/>
      <c r="Q122" s="782"/>
      <c r="R122" s="782"/>
      <c r="S122" s="782"/>
      <c r="T122" s="782"/>
      <c r="U122" s="782"/>
      <c r="V122" s="782"/>
      <c r="W122" s="782"/>
      <c r="X122" s="782"/>
      <c r="Y122" s="782"/>
      <c r="Z122" s="782"/>
      <c r="AA122" s="782"/>
      <c r="AB122" s="782"/>
      <c r="AC122" s="782"/>
      <c r="AD122" s="782"/>
      <c r="AE122" s="782"/>
      <c r="AF122" s="782"/>
      <c r="AG122" s="782"/>
      <c r="AH122" s="782"/>
      <c r="AI122" s="782"/>
      <c r="AJ122" s="782"/>
      <c r="AK122" s="782"/>
      <c r="AL122" s="782"/>
      <c r="AM122" s="782"/>
      <c r="AN122" s="782"/>
      <c r="AO122" s="782"/>
      <c r="AP122" s="782"/>
      <c r="AQ122" s="782"/>
      <c r="AR122" s="782"/>
      <c r="AS122" s="782"/>
      <c r="AT122" s="782"/>
      <c r="AU122" s="782"/>
      <c r="AV122" s="782"/>
      <c r="AW122" s="782"/>
      <c r="AX122" s="782"/>
      <c r="AY122" s="782"/>
      <c r="AZ122" s="782"/>
      <c r="BA122" s="782"/>
      <c r="BB122" s="782"/>
      <c r="BC122" s="782"/>
      <c r="BD122" s="782"/>
      <c r="BE122" s="782"/>
      <c r="BF122" s="782"/>
      <c r="BG122" s="782"/>
      <c r="BH122" s="782"/>
      <c r="BI122" s="782"/>
      <c r="BJ122" s="782"/>
      <c r="BK122" s="782"/>
      <c r="BL122" s="782"/>
      <c r="BM122" s="782"/>
      <c r="BN122" s="782"/>
      <c r="BO122" s="782"/>
      <c r="BP122" s="782"/>
      <c r="BQ122" s="782"/>
      <c r="BR122" s="782"/>
      <c r="BS122" s="782"/>
      <c r="BT122" s="782"/>
      <c r="BU122" s="782"/>
      <c r="BV122" s="782"/>
      <c r="BW122" s="782"/>
      <c r="BX122" s="782"/>
      <c r="BY122" s="782"/>
      <c r="BZ122" s="782"/>
      <c r="CA122" s="782"/>
      <c r="CB122" s="782"/>
      <c r="CC122" s="782"/>
      <c r="CD122" s="782"/>
      <c r="CE122" s="782"/>
      <c r="CF122" s="782"/>
      <c r="CG122" s="782"/>
      <c r="CH122" s="782"/>
      <c r="CI122" s="782"/>
      <c r="CJ122" s="782"/>
      <c r="CK122" s="782"/>
      <c r="CL122" s="782"/>
      <c r="CM122" s="782"/>
      <c r="CN122" s="782"/>
      <c r="CO122" s="782"/>
      <c r="CP122" s="782"/>
      <c r="CQ122" s="782"/>
      <c r="CR122" s="782"/>
      <c r="CS122" s="782"/>
      <c r="CT122" s="782"/>
      <c r="CU122" s="782"/>
      <c r="CV122" s="782"/>
      <c r="CW122" s="782"/>
      <c r="CX122" s="782"/>
      <c r="CY122" s="782"/>
      <c r="CZ122" s="782"/>
      <c r="DA122" s="782"/>
      <c r="DB122" s="782"/>
      <c r="DC122" s="782"/>
      <c r="DD122" s="782"/>
      <c r="DE122" s="782"/>
      <c r="DF122" s="782"/>
      <c r="DG122" s="782"/>
      <c r="DH122" s="782"/>
      <c r="DI122" s="782"/>
      <c r="DJ122" s="782"/>
      <c r="DK122" s="782"/>
      <c r="DL122" s="782"/>
      <c r="DM122" s="782"/>
      <c r="DN122" s="782"/>
      <c r="DO122" s="782"/>
      <c r="DP122" s="782"/>
      <c r="DQ122" s="782"/>
      <c r="DR122" s="782"/>
      <c r="DS122" s="782"/>
      <c r="DT122" s="782"/>
      <c r="DU122" s="782"/>
      <c r="DV122" s="782"/>
      <c r="DW122" s="782"/>
      <c r="DX122" s="782"/>
      <c r="DY122" s="782"/>
      <c r="DZ122" s="782"/>
      <c r="EA122" s="782"/>
      <c r="EB122" s="782"/>
      <c r="EC122" s="782"/>
      <c r="ED122" s="782"/>
      <c r="EE122" s="782"/>
      <c r="EF122" s="782"/>
      <c r="EG122" s="782"/>
      <c r="EH122" s="782"/>
    </row>
    <row r="123" spans="1:138" ht="12.75" customHeight="1" x14ac:dyDescent="0.3">
      <c r="A123" s="782"/>
      <c r="B123" s="782" t="s">
        <v>14</v>
      </c>
      <c r="C123" s="798">
        <f t="shared" ref="C123:C128" si="113">SUM(E123:EG123)</f>
        <v>-573436.1190762755</v>
      </c>
      <c r="D123" s="782"/>
      <c r="E123" s="798">
        <f t="shared" ref="E123:BP123" si="114">E26*E11</f>
        <v>0</v>
      </c>
      <c r="F123" s="798">
        <f t="shared" si="114"/>
        <v>0</v>
      </c>
      <c r="G123" s="798">
        <f t="shared" si="114"/>
        <v>0</v>
      </c>
      <c r="H123" s="798">
        <f t="shared" si="114"/>
        <v>0</v>
      </c>
      <c r="I123" s="798">
        <f t="shared" si="114"/>
        <v>0</v>
      </c>
      <c r="J123" s="798">
        <f t="shared" si="114"/>
        <v>0</v>
      </c>
      <c r="K123" s="798">
        <f t="shared" si="114"/>
        <v>0</v>
      </c>
      <c r="L123" s="798">
        <f t="shared" si="114"/>
        <v>0</v>
      </c>
      <c r="M123" s="798">
        <f t="shared" si="114"/>
        <v>0</v>
      </c>
      <c r="N123" s="798">
        <f t="shared" si="114"/>
        <v>0</v>
      </c>
      <c r="O123" s="798">
        <f t="shared" si="114"/>
        <v>0</v>
      </c>
      <c r="P123" s="798">
        <f t="shared" si="114"/>
        <v>0</v>
      </c>
      <c r="Q123" s="798">
        <f t="shared" si="114"/>
        <v>0</v>
      </c>
      <c r="R123" s="798">
        <f t="shared" si="114"/>
        <v>0</v>
      </c>
      <c r="S123" s="798">
        <f t="shared" si="114"/>
        <v>0</v>
      </c>
      <c r="T123" s="798">
        <f t="shared" si="114"/>
        <v>0</v>
      </c>
      <c r="U123" s="798">
        <f t="shared" si="114"/>
        <v>0</v>
      </c>
      <c r="V123" s="798">
        <f t="shared" si="114"/>
        <v>0</v>
      </c>
      <c r="W123" s="798">
        <f t="shared" si="114"/>
        <v>0</v>
      </c>
      <c r="X123" s="798">
        <f t="shared" si="114"/>
        <v>0</v>
      </c>
      <c r="Y123" s="798">
        <f t="shared" si="114"/>
        <v>0</v>
      </c>
      <c r="Z123" s="798">
        <f t="shared" si="114"/>
        <v>0</v>
      </c>
      <c r="AA123" s="798">
        <f t="shared" si="114"/>
        <v>0</v>
      </c>
      <c r="AB123" s="798">
        <f t="shared" si="114"/>
        <v>0</v>
      </c>
      <c r="AC123" s="798">
        <f t="shared" si="114"/>
        <v>0</v>
      </c>
      <c r="AD123" s="798">
        <f t="shared" si="114"/>
        <v>0</v>
      </c>
      <c r="AE123" s="798">
        <f t="shared" si="114"/>
        <v>0</v>
      </c>
      <c r="AF123" s="798">
        <f t="shared" si="114"/>
        <v>0</v>
      </c>
      <c r="AG123" s="798">
        <f t="shared" si="114"/>
        <v>0</v>
      </c>
      <c r="AH123" s="798">
        <f t="shared" si="114"/>
        <v>0</v>
      </c>
      <c r="AI123" s="798">
        <f t="shared" si="114"/>
        <v>0</v>
      </c>
      <c r="AJ123" s="798">
        <f t="shared" si="114"/>
        <v>0</v>
      </c>
      <c r="AK123" s="798">
        <f t="shared" si="114"/>
        <v>0</v>
      </c>
      <c r="AL123" s="798">
        <f t="shared" si="114"/>
        <v>-573436.1190762755</v>
      </c>
      <c r="AM123" s="798">
        <f t="shared" si="114"/>
        <v>0</v>
      </c>
      <c r="AN123" s="798">
        <f t="shared" si="114"/>
        <v>0</v>
      </c>
      <c r="AO123" s="798">
        <f t="shared" si="114"/>
        <v>0</v>
      </c>
      <c r="AP123" s="798">
        <f t="shared" si="114"/>
        <v>0</v>
      </c>
      <c r="AQ123" s="798">
        <f t="shared" si="114"/>
        <v>0</v>
      </c>
      <c r="AR123" s="798">
        <f t="shared" si="114"/>
        <v>0</v>
      </c>
      <c r="AS123" s="798">
        <f t="shared" si="114"/>
        <v>0</v>
      </c>
      <c r="AT123" s="798">
        <f t="shared" si="114"/>
        <v>0</v>
      </c>
      <c r="AU123" s="798">
        <f t="shared" si="114"/>
        <v>0</v>
      </c>
      <c r="AV123" s="798">
        <f t="shared" si="114"/>
        <v>0</v>
      </c>
      <c r="AW123" s="798">
        <f t="shared" si="114"/>
        <v>0</v>
      </c>
      <c r="AX123" s="798">
        <f t="shared" si="114"/>
        <v>0</v>
      </c>
      <c r="AY123" s="798">
        <f t="shared" si="114"/>
        <v>0</v>
      </c>
      <c r="AZ123" s="798">
        <f t="shared" si="114"/>
        <v>0</v>
      </c>
      <c r="BA123" s="798">
        <f t="shared" si="114"/>
        <v>0</v>
      </c>
      <c r="BB123" s="798">
        <f t="shared" si="114"/>
        <v>0</v>
      </c>
      <c r="BC123" s="798">
        <f t="shared" si="114"/>
        <v>0</v>
      </c>
      <c r="BD123" s="798">
        <f t="shared" si="114"/>
        <v>0</v>
      </c>
      <c r="BE123" s="798">
        <f t="shared" si="114"/>
        <v>0</v>
      </c>
      <c r="BF123" s="798">
        <f t="shared" si="114"/>
        <v>0</v>
      </c>
      <c r="BG123" s="798">
        <f t="shared" si="114"/>
        <v>0</v>
      </c>
      <c r="BH123" s="798">
        <f t="shared" si="114"/>
        <v>0</v>
      </c>
      <c r="BI123" s="798">
        <f t="shared" si="114"/>
        <v>0</v>
      </c>
      <c r="BJ123" s="798">
        <f t="shared" si="114"/>
        <v>0</v>
      </c>
      <c r="BK123" s="798">
        <f t="shared" si="114"/>
        <v>0</v>
      </c>
      <c r="BL123" s="798">
        <f t="shared" si="114"/>
        <v>0</v>
      </c>
      <c r="BM123" s="798">
        <f t="shared" si="114"/>
        <v>0</v>
      </c>
      <c r="BN123" s="798">
        <f t="shared" si="114"/>
        <v>0</v>
      </c>
      <c r="BO123" s="798">
        <f t="shared" si="114"/>
        <v>0</v>
      </c>
      <c r="BP123" s="798">
        <f t="shared" si="114"/>
        <v>0</v>
      </c>
      <c r="BQ123" s="798">
        <f t="shared" ref="BQ123:EB123" si="115">BQ26*BQ11</f>
        <v>0</v>
      </c>
      <c r="BR123" s="798">
        <f t="shared" si="115"/>
        <v>0</v>
      </c>
      <c r="BS123" s="798">
        <f t="shared" si="115"/>
        <v>0</v>
      </c>
      <c r="BT123" s="798">
        <f t="shared" si="115"/>
        <v>0</v>
      </c>
      <c r="BU123" s="798">
        <f t="shared" si="115"/>
        <v>0</v>
      </c>
      <c r="BV123" s="798">
        <f t="shared" si="115"/>
        <v>0</v>
      </c>
      <c r="BW123" s="798">
        <f t="shared" si="115"/>
        <v>0</v>
      </c>
      <c r="BX123" s="798">
        <f t="shared" si="115"/>
        <v>0</v>
      </c>
      <c r="BY123" s="798">
        <f t="shared" si="115"/>
        <v>0</v>
      </c>
      <c r="BZ123" s="798">
        <f t="shared" si="115"/>
        <v>0</v>
      </c>
      <c r="CA123" s="798">
        <f t="shared" si="115"/>
        <v>0</v>
      </c>
      <c r="CB123" s="798">
        <f t="shared" si="115"/>
        <v>0</v>
      </c>
      <c r="CC123" s="798">
        <f t="shared" si="115"/>
        <v>0</v>
      </c>
      <c r="CD123" s="798">
        <f t="shared" si="115"/>
        <v>0</v>
      </c>
      <c r="CE123" s="798">
        <f t="shared" si="115"/>
        <v>0</v>
      </c>
      <c r="CF123" s="798">
        <f t="shared" si="115"/>
        <v>0</v>
      </c>
      <c r="CG123" s="798">
        <f t="shared" si="115"/>
        <v>0</v>
      </c>
      <c r="CH123" s="798">
        <f t="shared" si="115"/>
        <v>0</v>
      </c>
      <c r="CI123" s="798">
        <f t="shared" si="115"/>
        <v>0</v>
      </c>
      <c r="CJ123" s="798">
        <f t="shared" si="115"/>
        <v>0</v>
      </c>
      <c r="CK123" s="798">
        <f t="shared" si="115"/>
        <v>0</v>
      </c>
      <c r="CL123" s="798">
        <f t="shared" si="115"/>
        <v>0</v>
      </c>
      <c r="CM123" s="798">
        <f t="shared" si="115"/>
        <v>0</v>
      </c>
      <c r="CN123" s="798">
        <f t="shared" si="115"/>
        <v>0</v>
      </c>
      <c r="CO123" s="798">
        <f t="shared" si="115"/>
        <v>0</v>
      </c>
      <c r="CP123" s="798">
        <f t="shared" si="115"/>
        <v>0</v>
      </c>
      <c r="CQ123" s="798">
        <f t="shared" si="115"/>
        <v>0</v>
      </c>
      <c r="CR123" s="798">
        <f t="shared" si="115"/>
        <v>0</v>
      </c>
      <c r="CS123" s="798">
        <f t="shared" si="115"/>
        <v>0</v>
      </c>
      <c r="CT123" s="798">
        <f t="shared" si="115"/>
        <v>0</v>
      </c>
      <c r="CU123" s="798">
        <f t="shared" si="115"/>
        <v>0</v>
      </c>
      <c r="CV123" s="798">
        <f t="shared" si="115"/>
        <v>0</v>
      </c>
      <c r="CW123" s="798">
        <f t="shared" si="115"/>
        <v>0</v>
      </c>
      <c r="CX123" s="798">
        <f t="shared" si="115"/>
        <v>0</v>
      </c>
      <c r="CY123" s="798">
        <f t="shared" si="115"/>
        <v>0</v>
      </c>
      <c r="CZ123" s="798">
        <f t="shared" si="115"/>
        <v>0</v>
      </c>
      <c r="DA123" s="798">
        <f t="shared" si="115"/>
        <v>0</v>
      </c>
      <c r="DB123" s="798">
        <f t="shared" si="115"/>
        <v>0</v>
      </c>
      <c r="DC123" s="798">
        <f t="shared" si="115"/>
        <v>0</v>
      </c>
      <c r="DD123" s="798">
        <f t="shared" si="115"/>
        <v>0</v>
      </c>
      <c r="DE123" s="798">
        <f t="shared" si="115"/>
        <v>0</v>
      </c>
      <c r="DF123" s="798">
        <f t="shared" si="115"/>
        <v>0</v>
      </c>
      <c r="DG123" s="798">
        <f t="shared" si="115"/>
        <v>0</v>
      </c>
      <c r="DH123" s="798">
        <f t="shared" si="115"/>
        <v>0</v>
      </c>
      <c r="DI123" s="798">
        <f t="shared" si="115"/>
        <v>0</v>
      </c>
      <c r="DJ123" s="798">
        <f t="shared" si="115"/>
        <v>0</v>
      </c>
      <c r="DK123" s="798">
        <f t="shared" si="115"/>
        <v>0</v>
      </c>
      <c r="DL123" s="798">
        <f t="shared" si="115"/>
        <v>0</v>
      </c>
      <c r="DM123" s="798">
        <f t="shared" si="115"/>
        <v>0</v>
      </c>
      <c r="DN123" s="798">
        <f t="shared" si="115"/>
        <v>0</v>
      </c>
      <c r="DO123" s="798">
        <f t="shared" si="115"/>
        <v>0</v>
      </c>
      <c r="DP123" s="798">
        <f t="shared" si="115"/>
        <v>0</v>
      </c>
      <c r="DQ123" s="798">
        <f t="shared" si="115"/>
        <v>0</v>
      </c>
      <c r="DR123" s="798">
        <f t="shared" si="115"/>
        <v>0</v>
      </c>
      <c r="DS123" s="798">
        <f t="shared" si="115"/>
        <v>0</v>
      </c>
      <c r="DT123" s="798">
        <f t="shared" si="115"/>
        <v>0</v>
      </c>
      <c r="DU123" s="798">
        <f t="shared" si="115"/>
        <v>0</v>
      </c>
      <c r="DV123" s="798">
        <f t="shared" si="115"/>
        <v>0</v>
      </c>
      <c r="DW123" s="798">
        <f t="shared" si="115"/>
        <v>0</v>
      </c>
      <c r="DX123" s="798">
        <f t="shared" si="115"/>
        <v>0</v>
      </c>
      <c r="DY123" s="798">
        <f t="shared" si="115"/>
        <v>0</v>
      </c>
      <c r="DZ123" s="798">
        <f t="shared" si="115"/>
        <v>0</v>
      </c>
      <c r="EA123" s="798">
        <f t="shared" si="115"/>
        <v>0</v>
      </c>
      <c r="EB123" s="798">
        <f t="shared" si="115"/>
        <v>0</v>
      </c>
      <c r="EC123" s="798">
        <f>EC26*EC11</f>
        <v>0</v>
      </c>
      <c r="ED123" s="798">
        <f>ED26*ED11</f>
        <v>0</v>
      </c>
      <c r="EE123" s="798">
        <f>EE26*EE11</f>
        <v>0</v>
      </c>
      <c r="EF123" s="798">
        <f>EF26*EF11</f>
        <v>0</v>
      </c>
      <c r="EG123" s="798">
        <f>EG26*EG11</f>
        <v>0</v>
      </c>
      <c r="EH123" s="782"/>
    </row>
    <row r="124" spans="1:138" ht="12.75" customHeight="1" x14ac:dyDescent="0.3">
      <c r="A124" s="782"/>
      <c r="B124" s="782" t="s">
        <v>74</v>
      </c>
      <c r="C124" s="798">
        <f t="shared" si="113"/>
        <v>42877793.387000009</v>
      </c>
      <c r="D124" s="782"/>
      <c r="E124" s="798">
        <f t="shared" ref="E124:BP124" si="116">E9*E173</f>
        <v>0</v>
      </c>
      <c r="F124" s="798">
        <f t="shared" si="116"/>
        <v>0</v>
      </c>
      <c r="G124" s="798">
        <f t="shared" si="116"/>
        <v>0</v>
      </c>
      <c r="H124" s="798">
        <f t="shared" si="116"/>
        <v>0</v>
      </c>
      <c r="I124" s="798">
        <f t="shared" si="116"/>
        <v>0</v>
      </c>
      <c r="J124" s="798">
        <f t="shared" si="116"/>
        <v>0</v>
      </c>
      <c r="K124" s="798">
        <f t="shared" si="116"/>
        <v>0</v>
      </c>
      <c r="L124" s="798">
        <f t="shared" si="116"/>
        <v>0</v>
      </c>
      <c r="M124" s="798">
        <f t="shared" si="116"/>
        <v>0</v>
      </c>
      <c r="N124" s="798">
        <f t="shared" si="116"/>
        <v>0</v>
      </c>
      <c r="O124" s="798">
        <f t="shared" si="116"/>
        <v>0</v>
      </c>
      <c r="P124" s="798">
        <f t="shared" si="116"/>
        <v>0</v>
      </c>
      <c r="Q124" s="798">
        <f t="shared" si="116"/>
        <v>0</v>
      </c>
      <c r="R124" s="798">
        <f t="shared" si="116"/>
        <v>0</v>
      </c>
      <c r="S124" s="798">
        <f t="shared" si="116"/>
        <v>0</v>
      </c>
      <c r="T124" s="798">
        <f t="shared" si="116"/>
        <v>0</v>
      </c>
      <c r="U124" s="798">
        <f t="shared" si="116"/>
        <v>0</v>
      </c>
      <c r="V124" s="798">
        <f t="shared" si="116"/>
        <v>0</v>
      </c>
      <c r="W124" s="798">
        <f t="shared" si="116"/>
        <v>0</v>
      </c>
      <c r="X124" s="798">
        <f t="shared" si="116"/>
        <v>0</v>
      </c>
      <c r="Y124" s="798">
        <f t="shared" si="116"/>
        <v>0</v>
      </c>
      <c r="Z124" s="798">
        <f t="shared" si="116"/>
        <v>0</v>
      </c>
      <c r="AA124" s="798">
        <f t="shared" si="116"/>
        <v>0</v>
      </c>
      <c r="AB124" s="798">
        <f t="shared" si="116"/>
        <v>0</v>
      </c>
      <c r="AC124" s="798">
        <f t="shared" si="116"/>
        <v>0</v>
      </c>
      <c r="AD124" s="798">
        <f t="shared" si="116"/>
        <v>0</v>
      </c>
      <c r="AE124" s="798">
        <f t="shared" si="116"/>
        <v>0</v>
      </c>
      <c r="AF124" s="798">
        <f t="shared" si="116"/>
        <v>0</v>
      </c>
      <c r="AG124" s="798">
        <f t="shared" si="116"/>
        <v>0</v>
      </c>
      <c r="AH124" s="798">
        <f t="shared" si="116"/>
        <v>0</v>
      </c>
      <c r="AI124" s="798">
        <f t="shared" si="116"/>
        <v>0</v>
      </c>
      <c r="AJ124" s="798">
        <f t="shared" si="116"/>
        <v>0</v>
      </c>
      <c r="AK124" s="798">
        <f t="shared" si="116"/>
        <v>42877793.387000009</v>
      </c>
      <c r="AL124" s="798">
        <f t="shared" si="116"/>
        <v>0</v>
      </c>
      <c r="AM124" s="798">
        <f t="shared" si="116"/>
        <v>0</v>
      </c>
      <c r="AN124" s="798">
        <f t="shared" si="116"/>
        <v>0</v>
      </c>
      <c r="AO124" s="798">
        <f t="shared" si="116"/>
        <v>0</v>
      </c>
      <c r="AP124" s="798">
        <f t="shared" si="116"/>
        <v>0</v>
      </c>
      <c r="AQ124" s="798">
        <f t="shared" si="116"/>
        <v>0</v>
      </c>
      <c r="AR124" s="798">
        <f t="shared" si="116"/>
        <v>0</v>
      </c>
      <c r="AS124" s="798">
        <f t="shared" si="116"/>
        <v>0</v>
      </c>
      <c r="AT124" s="798">
        <f t="shared" si="116"/>
        <v>0</v>
      </c>
      <c r="AU124" s="798">
        <f t="shared" si="116"/>
        <v>0</v>
      </c>
      <c r="AV124" s="798">
        <f t="shared" si="116"/>
        <v>0</v>
      </c>
      <c r="AW124" s="798">
        <f t="shared" si="116"/>
        <v>0</v>
      </c>
      <c r="AX124" s="798">
        <f t="shared" si="116"/>
        <v>0</v>
      </c>
      <c r="AY124" s="798">
        <f t="shared" si="116"/>
        <v>0</v>
      </c>
      <c r="AZ124" s="798">
        <f t="shared" si="116"/>
        <v>0</v>
      </c>
      <c r="BA124" s="798">
        <f t="shared" si="116"/>
        <v>0</v>
      </c>
      <c r="BB124" s="798">
        <f t="shared" si="116"/>
        <v>0</v>
      </c>
      <c r="BC124" s="798">
        <f t="shared" si="116"/>
        <v>0</v>
      </c>
      <c r="BD124" s="798">
        <f t="shared" si="116"/>
        <v>0</v>
      </c>
      <c r="BE124" s="798">
        <f t="shared" si="116"/>
        <v>0</v>
      </c>
      <c r="BF124" s="798">
        <f t="shared" si="116"/>
        <v>0</v>
      </c>
      <c r="BG124" s="798">
        <f t="shared" si="116"/>
        <v>0</v>
      </c>
      <c r="BH124" s="798">
        <f t="shared" si="116"/>
        <v>0</v>
      </c>
      <c r="BI124" s="798">
        <f t="shared" si="116"/>
        <v>0</v>
      </c>
      <c r="BJ124" s="798">
        <f t="shared" si="116"/>
        <v>0</v>
      </c>
      <c r="BK124" s="798">
        <f t="shared" si="116"/>
        <v>0</v>
      </c>
      <c r="BL124" s="798">
        <f t="shared" si="116"/>
        <v>0</v>
      </c>
      <c r="BM124" s="798">
        <f t="shared" si="116"/>
        <v>0</v>
      </c>
      <c r="BN124" s="798">
        <f t="shared" si="116"/>
        <v>0</v>
      </c>
      <c r="BO124" s="798">
        <f t="shared" si="116"/>
        <v>0</v>
      </c>
      <c r="BP124" s="798">
        <f t="shared" si="116"/>
        <v>0</v>
      </c>
      <c r="BQ124" s="798">
        <f t="shared" ref="BQ124:EB124" si="117">BQ9*BQ173</f>
        <v>0</v>
      </c>
      <c r="BR124" s="798">
        <f t="shared" si="117"/>
        <v>0</v>
      </c>
      <c r="BS124" s="798">
        <f t="shared" si="117"/>
        <v>0</v>
      </c>
      <c r="BT124" s="798">
        <f t="shared" si="117"/>
        <v>0</v>
      </c>
      <c r="BU124" s="798">
        <f t="shared" si="117"/>
        <v>0</v>
      </c>
      <c r="BV124" s="798">
        <f t="shared" si="117"/>
        <v>0</v>
      </c>
      <c r="BW124" s="798">
        <f t="shared" si="117"/>
        <v>0</v>
      </c>
      <c r="BX124" s="798">
        <f t="shared" si="117"/>
        <v>0</v>
      </c>
      <c r="BY124" s="798">
        <f t="shared" si="117"/>
        <v>0</v>
      </c>
      <c r="BZ124" s="798">
        <f t="shared" si="117"/>
        <v>0</v>
      </c>
      <c r="CA124" s="798">
        <f t="shared" si="117"/>
        <v>0</v>
      </c>
      <c r="CB124" s="798">
        <f t="shared" si="117"/>
        <v>0</v>
      </c>
      <c r="CC124" s="798">
        <f t="shared" si="117"/>
        <v>0</v>
      </c>
      <c r="CD124" s="798">
        <f t="shared" si="117"/>
        <v>0</v>
      </c>
      <c r="CE124" s="798">
        <f t="shared" si="117"/>
        <v>0</v>
      </c>
      <c r="CF124" s="798">
        <f t="shared" si="117"/>
        <v>0</v>
      </c>
      <c r="CG124" s="798">
        <f t="shared" si="117"/>
        <v>0</v>
      </c>
      <c r="CH124" s="798">
        <f t="shared" si="117"/>
        <v>0</v>
      </c>
      <c r="CI124" s="798">
        <f t="shared" si="117"/>
        <v>0</v>
      </c>
      <c r="CJ124" s="798">
        <f t="shared" si="117"/>
        <v>0</v>
      </c>
      <c r="CK124" s="798">
        <f t="shared" si="117"/>
        <v>0</v>
      </c>
      <c r="CL124" s="798">
        <f t="shared" si="117"/>
        <v>0</v>
      </c>
      <c r="CM124" s="798">
        <f t="shared" si="117"/>
        <v>0</v>
      </c>
      <c r="CN124" s="798">
        <f t="shared" si="117"/>
        <v>0</v>
      </c>
      <c r="CO124" s="798">
        <f t="shared" si="117"/>
        <v>0</v>
      </c>
      <c r="CP124" s="798">
        <f t="shared" si="117"/>
        <v>0</v>
      </c>
      <c r="CQ124" s="798">
        <f t="shared" si="117"/>
        <v>0</v>
      </c>
      <c r="CR124" s="798">
        <f t="shared" si="117"/>
        <v>0</v>
      </c>
      <c r="CS124" s="798">
        <f t="shared" si="117"/>
        <v>0</v>
      </c>
      <c r="CT124" s="798">
        <f t="shared" si="117"/>
        <v>0</v>
      </c>
      <c r="CU124" s="798">
        <f t="shared" si="117"/>
        <v>0</v>
      </c>
      <c r="CV124" s="798">
        <f t="shared" si="117"/>
        <v>0</v>
      </c>
      <c r="CW124" s="798">
        <f t="shared" si="117"/>
        <v>0</v>
      </c>
      <c r="CX124" s="798">
        <f t="shared" si="117"/>
        <v>0</v>
      </c>
      <c r="CY124" s="798">
        <f t="shared" si="117"/>
        <v>0</v>
      </c>
      <c r="CZ124" s="798">
        <f t="shared" si="117"/>
        <v>0</v>
      </c>
      <c r="DA124" s="798">
        <f t="shared" si="117"/>
        <v>0</v>
      </c>
      <c r="DB124" s="798">
        <f t="shared" si="117"/>
        <v>0</v>
      </c>
      <c r="DC124" s="798">
        <f t="shared" si="117"/>
        <v>0</v>
      </c>
      <c r="DD124" s="798">
        <f t="shared" si="117"/>
        <v>0</v>
      </c>
      <c r="DE124" s="798">
        <f t="shared" si="117"/>
        <v>0</v>
      </c>
      <c r="DF124" s="798">
        <f t="shared" si="117"/>
        <v>0</v>
      </c>
      <c r="DG124" s="798">
        <f t="shared" si="117"/>
        <v>0</v>
      </c>
      <c r="DH124" s="798">
        <f t="shared" si="117"/>
        <v>0</v>
      </c>
      <c r="DI124" s="798">
        <f t="shared" si="117"/>
        <v>0</v>
      </c>
      <c r="DJ124" s="798">
        <f t="shared" si="117"/>
        <v>0</v>
      </c>
      <c r="DK124" s="798">
        <f t="shared" si="117"/>
        <v>0</v>
      </c>
      <c r="DL124" s="798">
        <f t="shared" si="117"/>
        <v>0</v>
      </c>
      <c r="DM124" s="798">
        <f t="shared" si="117"/>
        <v>0</v>
      </c>
      <c r="DN124" s="798">
        <f t="shared" si="117"/>
        <v>0</v>
      </c>
      <c r="DO124" s="798">
        <f t="shared" si="117"/>
        <v>0</v>
      </c>
      <c r="DP124" s="798">
        <f t="shared" si="117"/>
        <v>0</v>
      </c>
      <c r="DQ124" s="798">
        <f t="shared" si="117"/>
        <v>0</v>
      </c>
      <c r="DR124" s="798">
        <f t="shared" si="117"/>
        <v>0</v>
      </c>
      <c r="DS124" s="798">
        <f t="shared" si="117"/>
        <v>0</v>
      </c>
      <c r="DT124" s="798">
        <f t="shared" si="117"/>
        <v>0</v>
      </c>
      <c r="DU124" s="798">
        <f t="shared" si="117"/>
        <v>0</v>
      </c>
      <c r="DV124" s="798">
        <f t="shared" si="117"/>
        <v>0</v>
      </c>
      <c r="DW124" s="798">
        <f t="shared" si="117"/>
        <v>0</v>
      </c>
      <c r="DX124" s="798">
        <f t="shared" si="117"/>
        <v>0</v>
      </c>
      <c r="DY124" s="798">
        <f t="shared" si="117"/>
        <v>0</v>
      </c>
      <c r="DZ124" s="798">
        <f t="shared" si="117"/>
        <v>0</v>
      </c>
      <c r="EA124" s="798">
        <f t="shared" si="117"/>
        <v>0</v>
      </c>
      <c r="EB124" s="798">
        <f t="shared" si="117"/>
        <v>0</v>
      </c>
      <c r="EC124" s="798">
        <f>EC9*EC173</f>
        <v>0</v>
      </c>
      <c r="ED124" s="798">
        <f>ED9*ED173</f>
        <v>0</v>
      </c>
      <c r="EE124" s="798">
        <f>EE9*EE173</f>
        <v>0</v>
      </c>
      <c r="EF124" s="798">
        <f>EF9*EF173</f>
        <v>0</v>
      </c>
      <c r="EG124" s="798">
        <f>EG9*EG173</f>
        <v>0</v>
      </c>
      <c r="EH124" s="782"/>
    </row>
    <row r="125" spans="1:138" ht="12.75" customHeight="1" x14ac:dyDescent="0.3">
      <c r="A125" s="782"/>
      <c r="B125" s="782" t="s">
        <v>15</v>
      </c>
      <c r="C125" s="798">
        <f t="shared" si="113"/>
        <v>0</v>
      </c>
      <c r="D125" s="782"/>
      <c r="E125" s="798">
        <f t="shared" ref="E125:BP125" si="118">E27*E11</f>
        <v>0</v>
      </c>
      <c r="F125" s="798">
        <f t="shared" si="118"/>
        <v>0</v>
      </c>
      <c r="G125" s="798">
        <f t="shared" si="118"/>
        <v>0</v>
      </c>
      <c r="H125" s="798">
        <f t="shared" si="118"/>
        <v>0</v>
      </c>
      <c r="I125" s="798">
        <f t="shared" si="118"/>
        <v>0</v>
      </c>
      <c r="J125" s="798">
        <f t="shared" si="118"/>
        <v>0</v>
      </c>
      <c r="K125" s="798">
        <f t="shared" si="118"/>
        <v>0</v>
      </c>
      <c r="L125" s="798">
        <f t="shared" si="118"/>
        <v>0</v>
      </c>
      <c r="M125" s="798">
        <f t="shared" si="118"/>
        <v>0</v>
      </c>
      <c r="N125" s="798">
        <f t="shared" si="118"/>
        <v>0</v>
      </c>
      <c r="O125" s="798">
        <f t="shared" si="118"/>
        <v>0</v>
      </c>
      <c r="P125" s="798">
        <f t="shared" si="118"/>
        <v>0</v>
      </c>
      <c r="Q125" s="798">
        <f t="shared" si="118"/>
        <v>0</v>
      </c>
      <c r="R125" s="798">
        <f t="shared" si="118"/>
        <v>0</v>
      </c>
      <c r="S125" s="798">
        <f t="shared" si="118"/>
        <v>0</v>
      </c>
      <c r="T125" s="798">
        <f t="shared" si="118"/>
        <v>0</v>
      </c>
      <c r="U125" s="798">
        <f t="shared" si="118"/>
        <v>0</v>
      </c>
      <c r="V125" s="798">
        <f t="shared" si="118"/>
        <v>0</v>
      </c>
      <c r="W125" s="798">
        <f t="shared" si="118"/>
        <v>0</v>
      </c>
      <c r="X125" s="798">
        <f t="shared" si="118"/>
        <v>0</v>
      </c>
      <c r="Y125" s="798">
        <f t="shared" si="118"/>
        <v>0</v>
      </c>
      <c r="Z125" s="798">
        <f t="shared" si="118"/>
        <v>0</v>
      </c>
      <c r="AA125" s="798">
        <f t="shared" si="118"/>
        <v>0</v>
      </c>
      <c r="AB125" s="798">
        <f t="shared" si="118"/>
        <v>0</v>
      </c>
      <c r="AC125" s="798">
        <f t="shared" si="118"/>
        <v>0</v>
      </c>
      <c r="AD125" s="798">
        <f t="shared" si="118"/>
        <v>0</v>
      </c>
      <c r="AE125" s="798">
        <f t="shared" si="118"/>
        <v>0</v>
      </c>
      <c r="AF125" s="798">
        <f t="shared" si="118"/>
        <v>0</v>
      </c>
      <c r="AG125" s="798">
        <f t="shared" si="118"/>
        <v>0</v>
      </c>
      <c r="AH125" s="798">
        <f t="shared" si="118"/>
        <v>0</v>
      </c>
      <c r="AI125" s="798">
        <f t="shared" si="118"/>
        <v>0</v>
      </c>
      <c r="AJ125" s="798">
        <f t="shared" si="118"/>
        <v>0</v>
      </c>
      <c r="AK125" s="798">
        <f t="shared" si="118"/>
        <v>0</v>
      </c>
      <c r="AL125" s="798">
        <f t="shared" si="118"/>
        <v>0</v>
      </c>
      <c r="AM125" s="798">
        <f t="shared" si="118"/>
        <v>0</v>
      </c>
      <c r="AN125" s="798">
        <f t="shared" si="118"/>
        <v>0</v>
      </c>
      <c r="AO125" s="798">
        <f t="shared" si="118"/>
        <v>0</v>
      </c>
      <c r="AP125" s="798">
        <f t="shared" si="118"/>
        <v>0</v>
      </c>
      <c r="AQ125" s="798">
        <f t="shared" si="118"/>
        <v>0</v>
      </c>
      <c r="AR125" s="798">
        <f t="shared" si="118"/>
        <v>0</v>
      </c>
      <c r="AS125" s="798">
        <f t="shared" si="118"/>
        <v>0</v>
      </c>
      <c r="AT125" s="798">
        <f t="shared" si="118"/>
        <v>0</v>
      </c>
      <c r="AU125" s="798">
        <f t="shared" si="118"/>
        <v>0</v>
      </c>
      <c r="AV125" s="798">
        <f t="shared" si="118"/>
        <v>0</v>
      </c>
      <c r="AW125" s="798">
        <f t="shared" si="118"/>
        <v>0</v>
      </c>
      <c r="AX125" s="798">
        <f t="shared" si="118"/>
        <v>0</v>
      </c>
      <c r="AY125" s="798">
        <f t="shared" si="118"/>
        <v>0</v>
      </c>
      <c r="AZ125" s="798">
        <f t="shared" si="118"/>
        <v>0</v>
      </c>
      <c r="BA125" s="798">
        <f t="shared" si="118"/>
        <v>0</v>
      </c>
      <c r="BB125" s="798">
        <f t="shared" si="118"/>
        <v>0</v>
      </c>
      <c r="BC125" s="798">
        <f t="shared" si="118"/>
        <v>0</v>
      </c>
      <c r="BD125" s="798">
        <f t="shared" si="118"/>
        <v>0</v>
      </c>
      <c r="BE125" s="798">
        <f t="shared" si="118"/>
        <v>0</v>
      </c>
      <c r="BF125" s="798">
        <f t="shared" si="118"/>
        <v>0</v>
      </c>
      <c r="BG125" s="798">
        <f t="shared" si="118"/>
        <v>0</v>
      </c>
      <c r="BH125" s="798">
        <f t="shared" si="118"/>
        <v>0</v>
      </c>
      <c r="BI125" s="798">
        <f t="shared" si="118"/>
        <v>0</v>
      </c>
      <c r="BJ125" s="798">
        <f t="shared" si="118"/>
        <v>0</v>
      </c>
      <c r="BK125" s="798">
        <f t="shared" si="118"/>
        <v>0</v>
      </c>
      <c r="BL125" s="798">
        <f t="shared" si="118"/>
        <v>0</v>
      </c>
      <c r="BM125" s="798">
        <f t="shared" si="118"/>
        <v>0</v>
      </c>
      <c r="BN125" s="798">
        <f t="shared" si="118"/>
        <v>0</v>
      </c>
      <c r="BO125" s="798">
        <f t="shared" si="118"/>
        <v>0</v>
      </c>
      <c r="BP125" s="798">
        <f t="shared" si="118"/>
        <v>0</v>
      </c>
      <c r="BQ125" s="798">
        <f t="shared" ref="BQ125:EB125" si="119">BQ27*BQ11</f>
        <v>0</v>
      </c>
      <c r="BR125" s="798">
        <f t="shared" si="119"/>
        <v>0</v>
      </c>
      <c r="BS125" s="798">
        <f t="shared" si="119"/>
        <v>0</v>
      </c>
      <c r="BT125" s="798">
        <f t="shared" si="119"/>
        <v>0</v>
      </c>
      <c r="BU125" s="798">
        <f t="shared" si="119"/>
        <v>0</v>
      </c>
      <c r="BV125" s="798">
        <f t="shared" si="119"/>
        <v>0</v>
      </c>
      <c r="BW125" s="798">
        <f t="shared" si="119"/>
        <v>0</v>
      </c>
      <c r="BX125" s="798">
        <f t="shared" si="119"/>
        <v>0</v>
      </c>
      <c r="BY125" s="798">
        <f t="shared" si="119"/>
        <v>0</v>
      </c>
      <c r="BZ125" s="798">
        <f t="shared" si="119"/>
        <v>0</v>
      </c>
      <c r="CA125" s="798">
        <f t="shared" si="119"/>
        <v>0</v>
      </c>
      <c r="CB125" s="798">
        <f t="shared" si="119"/>
        <v>0</v>
      </c>
      <c r="CC125" s="798">
        <f t="shared" si="119"/>
        <v>0</v>
      </c>
      <c r="CD125" s="798">
        <f t="shared" si="119"/>
        <v>0</v>
      </c>
      <c r="CE125" s="798">
        <f t="shared" si="119"/>
        <v>0</v>
      </c>
      <c r="CF125" s="798">
        <f t="shared" si="119"/>
        <v>0</v>
      </c>
      <c r="CG125" s="798">
        <f t="shared" si="119"/>
        <v>0</v>
      </c>
      <c r="CH125" s="798">
        <f t="shared" si="119"/>
        <v>0</v>
      </c>
      <c r="CI125" s="798">
        <f t="shared" si="119"/>
        <v>0</v>
      </c>
      <c r="CJ125" s="798">
        <f t="shared" si="119"/>
        <v>0</v>
      </c>
      <c r="CK125" s="798">
        <f t="shared" si="119"/>
        <v>0</v>
      </c>
      <c r="CL125" s="798">
        <f t="shared" si="119"/>
        <v>0</v>
      </c>
      <c r="CM125" s="798">
        <f t="shared" si="119"/>
        <v>0</v>
      </c>
      <c r="CN125" s="798">
        <f t="shared" si="119"/>
        <v>0</v>
      </c>
      <c r="CO125" s="798">
        <f t="shared" si="119"/>
        <v>0</v>
      </c>
      <c r="CP125" s="798">
        <f t="shared" si="119"/>
        <v>0</v>
      </c>
      <c r="CQ125" s="798">
        <f t="shared" si="119"/>
        <v>0</v>
      </c>
      <c r="CR125" s="798">
        <f t="shared" si="119"/>
        <v>0</v>
      </c>
      <c r="CS125" s="798">
        <f t="shared" si="119"/>
        <v>0</v>
      </c>
      <c r="CT125" s="798">
        <f t="shared" si="119"/>
        <v>0</v>
      </c>
      <c r="CU125" s="798">
        <f t="shared" si="119"/>
        <v>0</v>
      </c>
      <c r="CV125" s="798">
        <f t="shared" si="119"/>
        <v>0</v>
      </c>
      <c r="CW125" s="798">
        <f t="shared" si="119"/>
        <v>0</v>
      </c>
      <c r="CX125" s="798">
        <f t="shared" si="119"/>
        <v>0</v>
      </c>
      <c r="CY125" s="798">
        <f t="shared" si="119"/>
        <v>0</v>
      </c>
      <c r="CZ125" s="798">
        <f t="shared" si="119"/>
        <v>0</v>
      </c>
      <c r="DA125" s="798">
        <f t="shared" si="119"/>
        <v>0</v>
      </c>
      <c r="DB125" s="798">
        <f t="shared" si="119"/>
        <v>0</v>
      </c>
      <c r="DC125" s="798">
        <f t="shared" si="119"/>
        <v>0</v>
      </c>
      <c r="DD125" s="798">
        <f t="shared" si="119"/>
        <v>0</v>
      </c>
      <c r="DE125" s="798">
        <f t="shared" si="119"/>
        <v>0</v>
      </c>
      <c r="DF125" s="798">
        <f t="shared" si="119"/>
        <v>0</v>
      </c>
      <c r="DG125" s="798">
        <f t="shared" si="119"/>
        <v>0</v>
      </c>
      <c r="DH125" s="798">
        <f t="shared" si="119"/>
        <v>0</v>
      </c>
      <c r="DI125" s="798">
        <f t="shared" si="119"/>
        <v>0</v>
      </c>
      <c r="DJ125" s="798">
        <f t="shared" si="119"/>
        <v>0</v>
      </c>
      <c r="DK125" s="798">
        <f t="shared" si="119"/>
        <v>0</v>
      </c>
      <c r="DL125" s="798">
        <f t="shared" si="119"/>
        <v>0</v>
      </c>
      <c r="DM125" s="798">
        <f t="shared" si="119"/>
        <v>0</v>
      </c>
      <c r="DN125" s="798">
        <f t="shared" si="119"/>
        <v>0</v>
      </c>
      <c r="DO125" s="798">
        <f t="shared" si="119"/>
        <v>0</v>
      </c>
      <c r="DP125" s="798">
        <f t="shared" si="119"/>
        <v>0</v>
      </c>
      <c r="DQ125" s="798">
        <f t="shared" si="119"/>
        <v>0</v>
      </c>
      <c r="DR125" s="798">
        <f t="shared" si="119"/>
        <v>0</v>
      </c>
      <c r="DS125" s="798">
        <f t="shared" si="119"/>
        <v>0</v>
      </c>
      <c r="DT125" s="798">
        <f t="shared" si="119"/>
        <v>0</v>
      </c>
      <c r="DU125" s="798">
        <f t="shared" si="119"/>
        <v>0</v>
      </c>
      <c r="DV125" s="798">
        <f t="shared" si="119"/>
        <v>0</v>
      </c>
      <c r="DW125" s="798">
        <f t="shared" si="119"/>
        <v>0</v>
      </c>
      <c r="DX125" s="798">
        <f t="shared" si="119"/>
        <v>0</v>
      </c>
      <c r="DY125" s="798">
        <f t="shared" si="119"/>
        <v>0</v>
      </c>
      <c r="DZ125" s="798">
        <f t="shared" si="119"/>
        <v>0</v>
      </c>
      <c r="EA125" s="798">
        <f t="shared" si="119"/>
        <v>0</v>
      </c>
      <c r="EB125" s="798">
        <f t="shared" si="119"/>
        <v>0</v>
      </c>
      <c r="EC125" s="798">
        <f>EC27*EC11</f>
        <v>0</v>
      </c>
      <c r="ED125" s="798">
        <f>ED27*ED11</f>
        <v>0</v>
      </c>
      <c r="EE125" s="798">
        <f>EE27*EE11</f>
        <v>0</v>
      </c>
      <c r="EF125" s="798">
        <f>EF27*EF11</f>
        <v>0</v>
      </c>
      <c r="EG125" s="798">
        <f>EG27*EG11</f>
        <v>0</v>
      </c>
      <c r="EH125" s="782"/>
    </row>
    <row r="126" spans="1:138" ht="12.75" customHeight="1" x14ac:dyDescent="0.3">
      <c r="A126" s="782"/>
      <c r="B126" s="782" t="s">
        <v>17</v>
      </c>
      <c r="C126" s="798">
        <f t="shared" si="113"/>
        <v>-42877793.387000009</v>
      </c>
      <c r="D126" s="782"/>
      <c r="E126" s="798">
        <f>E29*E$11</f>
        <v>0</v>
      </c>
      <c r="F126" s="798">
        <f t="shared" ref="F126:BQ126" si="120">F29*F11</f>
        <v>0</v>
      </c>
      <c r="G126" s="798">
        <f t="shared" si="120"/>
        <v>0</v>
      </c>
      <c r="H126" s="798">
        <f t="shared" si="120"/>
        <v>0</v>
      </c>
      <c r="I126" s="798">
        <f t="shared" si="120"/>
        <v>0</v>
      </c>
      <c r="J126" s="798">
        <f t="shared" si="120"/>
        <v>0</v>
      </c>
      <c r="K126" s="798">
        <f t="shared" si="120"/>
        <v>0</v>
      </c>
      <c r="L126" s="798">
        <f t="shared" si="120"/>
        <v>0</v>
      </c>
      <c r="M126" s="798">
        <f t="shared" si="120"/>
        <v>0</v>
      </c>
      <c r="N126" s="798">
        <f t="shared" si="120"/>
        <v>0</v>
      </c>
      <c r="O126" s="798">
        <f t="shared" si="120"/>
        <v>0</v>
      </c>
      <c r="P126" s="798">
        <f t="shared" si="120"/>
        <v>0</v>
      </c>
      <c r="Q126" s="798">
        <f t="shared" si="120"/>
        <v>0</v>
      </c>
      <c r="R126" s="798">
        <f t="shared" si="120"/>
        <v>0</v>
      </c>
      <c r="S126" s="798">
        <f t="shared" si="120"/>
        <v>0</v>
      </c>
      <c r="T126" s="798">
        <f t="shared" si="120"/>
        <v>0</v>
      </c>
      <c r="U126" s="798">
        <f t="shared" si="120"/>
        <v>0</v>
      </c>
      <c r="V126" s="798">
        <f t="shared" si="120"/>
        <v>0</v>
      </c>
      <c r="W126" s="798">
        <f t="shared" si="120"/>
        <v>0</v>
      </c>
      <c r="X126" s="798">
        <f t="shared" si="120"/>
        <v>0</v>
      </c>
      <c r="Y126" s="798">
        <f t="shared" si="120"/>
        <v>0</v>
      </c>
      <c r="Z126" s="798">
        <f t="shared" si="120"/>
        <v>0</v>
      </c>
      <c r="AA126" s="798">
        <f t="shared" si="120"/>
        <v>0</v>
      </c>
      <c r="AB126" s="798">
        <f t="shared" si="120"/>
        <v>0</v>
      </c>
      <c r="AC126" s="798">
        <f t="shared" si="120"/>
        <v>0</v>
      </c>
      <c r="AD126" s="798">
        <f t="shared" si="120"/>
        <v>0</v>
      </c>
      <c r="AE126" s="798">
        <f t="shared" si="120"/>
        <v>0</v>
      </c>
      <c r="AF126" s="798">
        <f t="shared" si="120"/>
        <v>0</v>
      </c>
      <c r="AG126" s="798">
        <f t="shared" si="120"/>
        <v>0</v>
      </c>
      <c r="AH126" s="798">
        <f t="shared" si="120"/>
        <v>0</v>
      </c>
      <c r="AI126" s="798">
        <f t="shared" si="120"/>
        <v>0</v>
      </c>
      <c r="AJ126" s="798">
        <f t="shared" si="120"/>
        <v>0</v>
      </c>
      <c r="AK126" s="798">
        <f t="shared" si="120"/>
        <v>0</v>
      </c>
      <c r="AL126" s="798">
        <f t="shared" si="120"/>
        <v>-42877793.387000009</v>
      </c>
      <c r="AM126" s="798">
        <f t="shared" si="120"/>
        <v>0</v>
      </c>
      <c r="AN126" s="798">
        <f t="shared" si="120"/>
        <v>0</v>
      </c>
      <c r="AO126" s="798">
        <f t="shared" si="120"/>
        <v>0</v>
      </c>
      <c r="AP126" s="798">
        <f t="shared" si="120"/>
        <v>0</v>
      </c>
      <c r="AQ126" s="798">
        <f t="shared" si="120"/>
        <v>0</v>
      </c>
      <c r="AR126" s="798">
        <f t="shared" si="120"/>
        <v>0</v>
      </c>
      <c r="AS126" s="798">
        <f t="shared" si="120"/>
        <v>0</v>
      </c>
      <c r="AT126" s="798">
        <f t="shared" si="120"/>
        <v>0</v>
      </c>
      <c r="AU126" s="798">
        <f t="shared" si="120"/>
        <v>0</v>
      </c>
      <c r="AV126" s="798">
        <f t="shared" si="120"/>
        <v>0</v>
      </c>
      <c r="AW126" s="798">
        <f t="shared" si="120"/>
        <v>0</v>
      </c>
      <c r="AX126" s="798">
        <f t="shared" si="120"/>
        <v>0</v>
      </c>
      <c r="AY126" s="798">
        <f t="shared" si="120"/>
        <v>0</v>
      </c>
      <c r="AZ126" s="798">
        <f t="shared" si="120"/>
        <v>0</v>
      </c>
      <c r="BA126" s="798">
        <f t="shared" si="120"/>
        <v>0</v>
      </c>
      <c r="BB126" s="798">
        <f t="shared" si="120"/>
        <v>0</v>
      </c>
      <c r="BC126" s="798">
        <f t="shared" si="120"/>
        <v>0</v>
      </c>
      <c r="BD126" s="798">
        <f t="shared" si="120"/>
        <v>0</v>
      </c>
      <c r="BE126" s="798">
        <f t="shared" si="120"/>
        <v>0</v>
      </c>
      <c r="BF126" s="798">
        <f t="shared" si="120"/>
        <v>0</v>
      </c>
      <c r="BG126" s="798">
        <f t="shared" si="120"/>
        <v>0</v>
      </c>
      <c r="BH126" s="798">
        <f t="shared" si="120"/>
        <v>0</v>
      </c>
      <c r="BI126" s="798">
        <f t="shared" si="120"/>
        <v>0</v>
      </c>
      <c r="BJ126" s="798">
        <f t="shared" si="120"/>
        <v>0</v>
      </c>
      <c r="BK126" s="798">
        <f t="shared" si="120"/>
        <v>0</v>
      </c>
      <c r="BL126" s="798">
        <f t="shared" si="120"/>
        <v>0</v>
      </c>
      <c r="BM126" s="798">
        <f t="shared" si="120"/>
        <v>0</v>
      </c>
      <c r="BN126" s="798">
        <f t="shared" si="120"/>
        <v>0</v>
      </c>
      <c r="BO126" s="798">
        <f t="shared" si="120"/>
        <v>0</v>
      </c>
      <c r="BP126" s="798">
        <f t="shared" si="120"/>
        <v>0</v>
      </c>
      <c r="BQ126" s="798">
        <f t="shared" si="120"/>
        <v>0</v>
      </c>
      <c r="BR126" s="798">
        <f t="shared" ref="BR126:EC126" si="121">BR29*BR11</f>
        <v>0</v>
      </c>
      <c r="BS126" s="798">
        <f t="shared" si="121"/>
        <v>0</v>
      </c>
      <c r="BT126" s="798">
        <f t="shared" si="121"/>
        <v>0</v>
      </c>
      <c r="BU126" s="798">
        <f t="shared" si="121"/>
        <v>0</v>
      </c>
      <c r="BV126" s="798">
        <f t="shared" si="121"/>
        <v>0</v>
      </c>
      <c r="BW126" s="798">
        <f t="shared" si="121"/>
        <v>0</v>
      </c>
      <c r="BX126" s="798">
        <f t="shared" si="121"/>
        <v>0</v>
      </c>
      <c r="BY126" s="798">
        <f t="shared" si="121"/>
        <v>0</v>
      </c>
      <c r="BZ126" s="798">
        <f t="shared" si="121"/>
        <v>0</v>
      </c>
      <c r="CA126" s="798">
        <f t="shared" si="121"/>
        <v>0</v>
      </c>
      <c r="CB126" s="798">
        <f t="shared" si="121"/>
        <v>0</v>
      </c>
      <c r="CC126" s="798">
        <f t="shared" si="121"/>
        <v>0</v>
      </c>
      <c r="CD126" s="798">
        <f t="shared" si="121"/>
        <v>0</v>
      </c>
      <c r="CE126" s="798">
        <f t="shared" si="121"/>
        <v>0</v>
      </c>
      <c r="CF126" s="798">
        <f t="shared" si="121"/>
        <v>0</v>
      </c>
      <c r="CG126" s="798">
        <f t="shared" si="121"/>
        <v>0</v>
      </c>
      <c r="CH126" s="798">
        <f t="shared" si="121"/>
        <v>0</v>
      </c>
      <c r="CI126" s="798">
        <f t="shared" si="121"/>
        <v>0</v>
      </c>
      <c r="CJ126" s="798">
        <f t="shared" si="121"/>
        <v>0</v>
      </c>
      <c r="CK126" s="798">
        <f t="shared" si="121"/>
        <v>0</v>
      </c>
      <c r="CL126" s="798">
        <f t="shared" si="121"/>
        <v>0</v>
      </c>
      <c r="CM126" s="798">
        <f t="shared" si="121"/>
        <v>0</v>
      </c>
      <c r="CN126" s="798">
        <f t="shared" si="121"/>
        <v>0</v>
      </c>
      <c r="CO126" s="798">
        <f t="shared" si="121"/>
        <v>0</v>
      </c>
      <c r="CP126" s="798">
        <f t="shared" si="121"/>
        <v>0</v>
      </c>
      <c r="CQ126" s="798">
        <f t="shared" si="121"/>
        <v>0</v>
      </c>
      <c r="CR126" s="798">
        <f t="shared" si="121"/>
        <v>0</v>
      </c>
      <c r="CS126" s="798">
        <f t="shared" si="121"/>
        <v>0</v>
      </c>
      <c r="CT126" s="798">
        <f t="shared" si="121"/>
        <v>0</v>
      </c>
      <c r="CU126" s="798">
        <f t="shared" si="121"/>
        <v>0</v>
      </c>
      <c r="CV126" s="798">
        <f t="shared" si="121"/>
        <v>0</v>
      </c>
      <c r="CW126" s="798">
        <f t="shared" si="121"/>
        <v>0</v>
      </c>
      <c r="CX126" s="798">
        <f t="shared" si="121"/>
        <v>0</v>
      </c>
      <c r="CY126" s="798">
        <f t="shared" si="121"/>
        <v>0</v>
      </c>
      <c r="CZ126" s="798">
        <f t="shared" si="121"/>
        <v>0</v>
      </c>
      <c r="DA126" s="798">
        <f t="shared" si="121"/>
        <v>0</v>
      </c>
      <c r="DB126" s="798">
        <f t="shared" si="121"/>
        <v>0</v>
      </c>
      <c r="DC126" s="798">
        <f t="shared" si="121"/>
        <v>0</v>
      </c>
      <c r="DD126" s="798">
        <f t="shared" si="121"/>
        <v>0</v>
      </c>
      <c r="DE126" s="798">
        <f t="shared" si="121"/>
        <v>0</v>
      </c>
      <c r="DF126" s="798">
        <f t="shared" si="121"/>
        <v>0</v>
      </c>
      <c r="DG126" s="798">
        <f t="shared" si="121"/>
        <v>0</v>
      </c>
      <c r="DH126" s="798">
        <f t="shared" si="121"/>
        <v>0</v>
      </c>
      <c r="DI126" s="798">
        <f t="shared" si="121"/>
        <v>0</v>
      </c>
      <c r="DJ126" s="798">
        <f t="shared" si="121"/>
        <v>0</v>
      </c>
      <c r="DK126" s="798">
        <f t="shared" si="121"/>
        <v>0</v>
      </c>
      <c r="DL126" s="798">
        <f t="shared" si="121"/>
        <v>0</v>
      </c>
      <c r="DM126" s="798">
        <f t="shared" si="121"/>
        <v>0</v>
      </c>
      <c r="DN126" s="798">
        <f t="shared" si="121"/>
        <v>0</v>
      </c>
      <c r="DO126" s="798">
        <f t="shared" si="121"/>
        <v>0</v>
      </c>
      <c r="DP126" s="798">
        <f t="shared" si="121"/>
        <v>0</v>
      </c>
      <c r="DQ126" s="798">
        <f t="shared" si="121"/>
        <v>0</v>
      </c>
      <c r="DR126" s="798">
        <f t="shared" si="121"/>
        <v>0</v>
      </c>
      <c r="DS126" s="798">
        <f t="shared" si="121"/>
        <v>0</v>
      </c>
      <c r="DT126" s="798">
        <f t="shared" si="121"/>
        <v>0</v>
      </c>
      <c r="DU126" s="798">
        <f t="shared" si="121"/>
        <v>0</v>
      </c>
      <c r="DV126" s="798">
        <f t="shared" si="121"/>
        <v>0</v>
      </c>
      <c r="DW126" s="798">
        <f t="shared" si="121"/>
        <v>0</v>
      </c>
      <c r="DX126" s="798">
        <f t="shared" si="121"/>
        <v>0</v>
      </c>
      <c r="DY126" s="798">
        <f t="shared" si="121"/>
        <v>0</v>
      </c>
      <c r="DZ126" s="798">
        <f t="shared" si="121"/>
        <v>0</v>
      </c>
      <c r="EA126" s="798">
        <f t="shared" si="121"/>
        <v>0</v>
      </c>
      <c r="EB126" s="798">
        <f t="shared" si="121"/>
        <v>0</v>
      </c>
      <c r="EC126" s="798">
        <f t="shared" si="121"/>
        <v>0</v>
      </c>
      <c r="ED126" s="798">
        <f>ED29*ED11</f>
        <v>0</v>
      </c>
      <c r="EE126" s="798">
        <f>EE29*EE11</f>
        <v>0</v>
      </c>
      <c r="EF126" s="798">
        <f>EF29*EF11</f>
        <v>0</v>
      </c>
      <c r="EG126" s="798">
        <f>EG29*EG11</f>
        <v>0</v>
      </c>
      <c r="EH126" s="782"/>
    </row>
    <row r="127" spans="1:138" ht="12.75" customHeight="1" x14ac:dyDescent="0.3">
      <c r="A127" s="782"/>
      <c r="B127" s="782" t="s">
        <v>18</v>
      </c>
      <c r="C127" s="798">
        <f t="shared" si="113"/>
        <v>57343611.907627545</v>
      </c>
      <c r="D127" s="782"/>
      <c r="E127" s="798">
        <f t="shared" ref="E127:BP130" si="122">E30*E$11</f>
        <v>0</v>
      </c>
      <c r="F127" s="798">
        <f t="shared" si="122"/>
        <v>0</v>
      </c>
      <c r="G127" s="798">
        <f t="shared" si="122"/>
        <v>0</v>
      </c>
      <c r="H127" s="798">
        <f t="shared" si="122"/>
        <v>0</v>
      </c>
      <c r="I127" s="798">
        <f t="shared" si="122"/>
        <v>0</v>
      </c>
      <c r="J127" s="798">
        <f t="shared" si="122"/>
        <v>0</v>
      </c>
      <c r="K127" s="798">
        <f t="shared" si="122"/>
        <v>0</v>
      </c>
      <c r="L127" s="798">
        <f t="shared" si="122"/>
        <v>0</v>
      </c>
      <c r="M127" s="798">
        <f t="shared" si="122"/>
        <v>0</v>
      </c>
      <c r="N127" s="798">
        <f t="shared" si="122"/>
        <v>0</v>
      </c>
      <c r="O127" s="798">
        <f t="shared" si="122"/>
        <v>0</v>
      </c>
      <c r="P127" s="798">
        <f t="shared" si="122"/>
        <v>0</v>
      </c>
      <c r="Q127" s="798">
        <f t="shared" si="122"/>
        <v>0</v>
      </c>
      <c r="R127" s="798">
        <f t="shared" si="122"/>
        <v>0</v>
      </c>
      <c r="S127" s="798">
        <f t="shared" si="122"/>
        <v>0</v>
      </c>
      <c r="T127" s="798">
        <f t="shared" si="122"/>
        <v>0</v>
      </c>
      <c r="U127" s="798">
        <f t="shared" si="122"/>
        <v>0</v>
      </c>
      <c r="V127" s="798">
        <f t="shared" si="122"/>
        <v>0</v>
      </c>
      <c r="W127" s="798">
        <f t="shared" si="122"/>
        <v>0</v>
      </c>
      <c r="X127" s="798">
        <f t="shared" si="122"/>
        <v>0</v>
      </c>
      <c r="Y127" s="798">
        <f t="shared" si="122"/>
        <v>0</v>
      </c>
      <c r="Z127" s="798">
        <f t="shared" si="122"/>
        <v>0</v>
      </c>
      <c r="AA127" s="798">
        <f t="shared" si="122"/>
        <v>0</v>
      </c>
      <c r="AB127" s="798">
        <f t="shared" si="122"/>
        <v>0</v>
      </c>
      <c r="AC127" s="798">
        <f t="shared" si="122"/>
        <v>0</v>
      </c>
      <c r="AD127" s="798">
        <f t="shared" si="122"/>
        <v>0</v>
      </c>
      <c r="AE127" s="798">
        <f t="shared" si="122"/>
        <v>0</v>
      </c>
      <c r="AF127" s="798">
        <f t="shared" si="122"/>
        <v>0</v>
      </c>
      <c r="AG127" s="798">
        <f t="shared" si="122"/>
        <v>0</v>
      </c>
      <c r="AH127" s="798">
        <f t="shared" si="122"/>
        <v>0</v>
      </c>
      <c r="AI127" s="798">
        <f t="shared" si="122"/>
        <v>0</v>
      </c>
      <c r="AJ127" s="798">
        <f t="shared" si="122"/>
        <v>0</v>
      </c>
      <c r="AK127" s="798">
        <f t="shared" si="122"/>
        <v>0</v>
      </c>
      <c r="AL127" s="798">
        <f t="shared" si="122"/>
        <v>57343611.907627545</v>
      </c>
      <c r="AM127" s="798">
        <f t="shared" si="122"/>
        <v>0</v>
      </c>
      <c r="AN127" s="798">
        <f t="shared" si="122"/>
        <v>0</v>
      </c>
      <c r="AO127" s="798">
        <f t="shared" si="122"/>
        <v>0</v>
      </c>
      <c r="AP127" s="798">
        <f t="shared" si="122"/>
        <v>0</v>
      </c>
      <c r="AQ127" s="798">
        <f t="shared" si="122"/>
        <v>0</v>
      </c>
      <c r="AR127" s="798">
        <f t="shared" si="122"/>
        <v>0</v>
      </c>
      <c r="AS127" s="798">
        <f t="shared" si="122"/>
        <v>0</v>
      </c>
      <c r="AT127" s="798">
        <f t="shared" si="122"/>
        <v>0</v>
      </c>
      <c r="AU127" s="798">
        <f t="shared" si="122"/>
        <v>0</v>
      </c>
      <c r="AV127" s="798">
        <f t="shared" si="122"/>
        <v>0</v>
      </c>
      <c r="AW127" s="798">
        <f t="shared" si="122"/>
        <v>0</v>
      </c>
      <c r="AX127" s="798">
        <f t="shared" si="122"/>
        <v>0</v>
      </c>
      <c r="AY127" s="798">
        <f t="shared" si="122"/>
        <v>0</v>
      </c>
      <c r="AZ127" s="798">
        <f t="shared" si="122"/>
        <v>0</v>
      </c>
      <c r="BA127" s="798">
        <f t="shared" si="122"/>
        <v>0</v>
      </c>
      <c r="BB127" s="798">
        <f t="shared" si="122"/>
        <v>0</v>
      </c>
      <c r="BC127" s="798">
        <f t="shared" si="122"/>
        <v>0</v>
      </c>
      <c r="BD127" s="798">
        <f t="shared" si="122"/>
        <v>0</v>
      </c>
      <c r="BE127" s="798">
        <f t="shared" si="122"/>
        <v>0</v>
      </c>
      <c r="BF127" s="798">
        <f t="shared" si="122"/>
        <v>0</v>
      </c>
      <c r="BG127" s="798">
        <f t="shared" si="122"/>
        <v>0</v>
      </c>
      <c r="BH127" s="798">
        <f t="shared" si="122"/>
        <v>0</v>
      </c>
      <c r="BI127" s="798">
        <f t="shared" si="122"/>
        <v>0</v>
      </c>
      <c r="BJ127" s="798">
        <f t="shared" si="122"/>
        <v>0</v>
      </c>
      <c r="BK127" s="798">
        <f t="shared" si="122"/>
        <v>0</v>
      </c>
      <c r="BL127" s="798">
        <f t="shared" si="122"/>
        <v>0</v>
      </c>
      <c r="BM127" s="798">
        <f t="shared" si="122"/>
        <v>0</v>
      </c>
      <c r="BN127" s="798">
        <f t="shared" si="122"/>
        <v>0</v>
      </c>
      <c r="BO127" s="798">
        <f t="shared" si="122"/>
        <v>0</v>
      </c>
      <c r="BP127" s="798">
        <f t="shared" si="122"/>
        <v>0</v>
      </c>
      <c r="BQ127" s="798">
        <f t="shared" ref="BQ127:EB130" si="123">BQ30*BQ$11</f>
        <v>0</v>
      </c>
      <c r="BR127" s="798">
        <f t="shared" si="123"/>
        <v>0</v>
      </c>
      <c r="BS127" s="798">
        <f t="shared" si="123"/>
        <v>0</v>
      </c>
      <c r="BT127" s="798">
        <f t="shared" si="123"/>
        <v>0</v>
      </c>
      <c r="BU127" s="798">
        <f t="shared" si="123"/>
        <v>0</v>
      </c>
      <c r="BV127" s="798">
        <f t="shared" si="123"/>
        <v>0</v>
      </c>
      <c r="BW127" s="798">
        <f t="shared" si="123"/>
        <v>0</v>
      </c>
      <c r="BX127" s="798">
        <f t="shared" si="123"/>
        <v>0</v>
      </c>
      <c r="BY127" s="798">
        <f t="shared" si="123"/>
        <v>0</v>
      </c>
      <c r="BZ127" s="798">
        <f t="shared" si="123"/>
        <v>0</v>
      </c>
      <c r="CA127" s="798">
        <f t="shared" si="123"/>
        <v>0</v>
      </c>
      <c r="CB127" s="798">
        <f t="shared" si="123"/>
        <v>0</v>
      </c>
      <c r="CC127" s="798">
        <f t="shared" si="123"/>
        <v>0</v>
      </c>
      <c r="CD127" s="798">
        <f t="shared" si="123"/>
        <v>0</v>
      </c>
      <c r="CE127" s="798">
        <f t="shared" si="123"/>
        <v>0</v>
      </c>
      <c r="CF127" s="798">
        <f t="shared" si="123"/>
        <v>0</v>
      </c>
      <c r="CG127" s="798">
        <f t="shared" si="123"/>
        <v>0</v>
      </c>
      <c r="CH127" s="798">
        <f t="shared" si="123"/>
        <v>0</v>
      </c>
      <c r="CI127" s="798">
        <f t="shared" si="123"/>
        <v>0</v>
      </c>
      <c r="CJ127" s="798">
        <f t="shared" si="123"/>
        <v>0</v>
      </c>
      <c r="CK127" s="798">
        <f t="shared" si="123"/>
        <v>0</v>
      </c>
      <c r="CL127" s="798">
        <f t="shared" si="123"/>
        <v>0</v>
      </c>
      <c r="CM127" s="798">
        <f t="shared" si="123"/>
        <v>0</v>
      </c>
      <c r="CN127" s="798">
        <f t="shared" si="123"/>
        <v>0</v>
      </c>
      <c r="CO127" s="798">
        <f t="shared" si="123"/>
        <v>0</v>
      </c>
      <c r="CP127" s="798">
        <f t="shared" si="123"/>
        <v>0</v>
      </c>
      <c r="CQ127" s="798">
        <f t="shared" si="123"/>
        <v>0</v>
      </c>
      <c r="CR127" s="798">
        <f t="shared" si="123"/>
        <v>0</v>
      </c>
      <c r="CS127" s="798">
        <f t="shared" si="123"/>
        <v>0</v>
      </c>
      <c r="CT127" s="798">
        <f t="shared" si="123"/>
        <v>0</v>
      </c>
      <c r="CU127" s="798">
        <f t="shared" si="123"/>
        <v>0</v>
      </c>
      <c r="CV127" s="798">
        <f t="shared" si="123"/>
        <v>0</v>
      </c>
      <c r="CW127" s="798">
        <f t="shared" si="123"/>
        <v>0</v>
      </c>
      <c r="CX127" s="798">
        <f t="shared" si="123"/>
        <v>0</v>
      </c>
      <c r="CY127" s="798">
        <f t="shared" si="123"/>
        <v>0</v>
      </c>
      <c r="CZ127" s="798">
        <f t="shared" si="123"/>
        <v>0</v>
      </c>
      <c r="DA127" s="798">
        <f t="shared" si="123"/>
        <v>0</v>
      </c>
      <c r="DB127" s="798">
        <f t="shared" si="123"/>
        <v>0</v>
      </c>
      <c r="DC127" s="798">
        <f t="shared" si="123"/>
        <v>0</v>
      </c>
      <c r="DD127" s="798">
        <f t="shared" si="123"/>
        <v>0</v>
      </c>
      <c r="DE127" s="798">
        <f t="shared" si="123"/>
        <v>0</v>
      </c>
      <c r="DF127" s="798">
        <f t="shared" si="123"/>
        <v>0</v>
      </c>
      <c r="DG127" s="798">
        <f t="shared" si="123"/>
        <v>0</v>
      </c>
      <c r="DH127" s="798">
        <f t="shared" si="123"/>
        <v>0</v>
      </c>
      <c r="DI127" s="798">
        <f t="shared" si="123"/>
        <v>0</v>
      </c>
      <c r="DJ127" s="798">
        <f t="shared" si="123"/>
        <v>0</v>
      </c>
      <c r="DK127" s="798">
        <f t="shared" si="123"/>
        <v>0</v>
      </c>
      <c r="DL127" s="798">
        <f t="shared" si="123"/>
        <v>0</v>
      </c>
      <c r="DM127" s="798">
        <f t="shared" si="123"/>
        <v>0</v>
      </c>
      <c r="DN127" s="798">
        <f t="shared" si="123"/>
        <v>0</v>
      </c>
      <c r="DO127" s="798">
        <f t="shared" si="123"/>
        <v>0</v>
      </c>
      <c r="DP127" s="798">
        <f t="shared" si="123"/>
        <v>0</v>
      </c>
      <c r="DQ127" s="798">
        <f t="shared" si="123"/>
        <v>0</v>
      </c>
      <c r="DR127" s="798">
        <f t="shared" si="123"/>
        <v>0</v>
      </c>
      <c r="DS127" s="798">
        <f t="shared" si="123"/>
        <v>0</v>
      </c>
      <c r="DT127" s="798">
        <f t="shared" si="123"/>
        <v>0</v>
      </c>
      <c r="DU127" s="798">
        <f t="shared" si="123"/>
        <v>0</v>
      </c>
      <c r="DV127" s="798">
        <f t="shared" si="123"/>
        <v>0</v>
      </c>
      <c r="DW127" s="798">
        <f t="shared" si="123"/>
        <v>0</v>
      </c>
      <c r="DX127" s="798">
        <f t="shared" si="123"/>
        <v>0</v>
      </c>
      <c r="DY127" s="798">
        <f t="shared" si="123"/>
        <v>0</v>
      </c>
      <c r="DZ127" s="798">
        <f t="shared" si="123"/>
        <v>0</v>
      </c>
      <c r="EA127" s="798">
        <f t="shared" si="123"/>
        <v>0</v>
      </c>
      <c r="EB127" s="798">
        <f t="shared" si="123"/>
        <v>0</v>
      </c>
      <c r="EC127" s="798">
        <f t="shared" ref="EC127:EG130" si="124">EC30*EC$11</f>
        <v>0</v>
      </c>
      <c r="ED127" s="798">
        <f t="shared" si="124"/>
        <v>0</v>
      </c>
      <c r="EE127" s="798">
        <f t="shared" si="124"/>
        <v>0</v>
      </c>
      <c r="EF127" s="798">
        <f t="shared" si="124"/>
        <v>0</v>
      </c>
      <c r="EG127" s="798">
        <f t="shared" si="124"/>
        <v>0</v>
      </c>
      <c r="EH127" s="782"/>
    </row>
    <row r="128" spans="1:138" ht="12.75" customHeight="1" x14ac:dyDescent="0.3">
      <c r="A128" s="782"/>
      <c r="B128" s="782" t="s">
        <v>19</v>
      </c>
      <c r="C128" s="798">
        <f t="shared" si="113"/>
        <v>0</v>
      </c>
      <c r="D128" s="782"/>
      <c r="E128" s="798">
        <f t="shared" si="122"/>
        <v>0</v>
      </c>
      <c r="F128" s="798">
        <f t="shared" si="122"/>
        <v>0</v>
      </c>
      <c r="G128" s="798">
        <f t="shared" si="122"/>
        <v>0</v>
      </c>
      <c r="H128" s="798">
        <f t="shared" si="122"/>
        <v>0</v>
      </c>
      <c r="I128" s="798">
        <f t="shared" si="122"/>
        <v>0</v>
      </c>
      <c r="J128" s="798">
        <f t="shared" si="122"/>
        <v>0</v>
      </c>
      <c r="K128" s="798">
        <f t="shared" si="122"/>
        <v>0</v>
      </c>
      <c r="L128" s="798">
        <f t="shared" si="122"/>
        <v>0</v>
      </c>
      <c r="M128" s="798">
        <f t="shared" si="122"/>
        <v>0</v>
      </c>
      <c r="N128" s="798">
        <f t="shared" si="122"/>
        <v>0</v>
      </c>
      <c r="O128" s="798">
        <f t="shared" si="122"/>
        <v>0</v>
      </c>
      <c r="P128" s="798">
        <f t="shared" si="122"/>
        <v>0</v>
      </c>
      <c r="Q128" s="798">
        <f t="shared" si="122"/>
        <v>0</v>
      </c>
      <c r="R128" s="798">
        <f t="shared" si="122"/>
        <v>0</v>
      </c>
      <c r="S128" s="798">
        <f t="shared" si="122"/>
        <v>0</v>
      </c>
      <c r="T128" s="798">
        <f t="shared" si="122"/>
        <v>0</v>
      </c>
      <c r="U128" s="798">
        <f t="shared" si="122"/>
        <v>0</v>
      </c>
      <c r="V128" s="798">
        <f t="shared" si="122"/>
        <v>0</v>
      </c>
      <c r="W128" s="798">
        <f t="shared" si="122"/>
        <v>0</v>
      </c>
      <c r="X128" s="798">
        <f t="shared" si="122"/>
        <v>0</v>
      </c>
      <c r="Y128" s="798">
        <f t="shared" si="122"/>
        <v>0</v>
      </c>
      <c r="Z128" s="798">
        <f t="shared" si="122"/>
        <v>0</v>
      </c>
      <c r="AA128" s="798">
        <f t="shared" si="122"/>
        <v>0</v>
      </c>
      <c r="AB128" s="798">
        <f t="shared" si="122"/>
        <v>0</v>
      </c>
      <c r="AC128" s="798">
        <f t="shared" si="122"/>
        <v>0</v>
      </c>
      <c r="AD128" s="798">
        <f t="shared" si="122"/>
        <v>0</v>
      </c>
      <c r="AE128" s="798">
        <f t="shared" si="122"/>
        <v>0</v>
      </c>
      <c r="AF128" s="798">
        <f t="shared" si="122"/>
        <v>0</v>
      </c>
      <c r="AG128" s="798">
        <f t="shared" si="122"/>
        <v>0</v>
      </c>
      <c r="AH128" s="798">
        <f t="shared" si="122"/>
        <v>0</v>
      </c>
      <c r="AI128" s="798">
        <f t="shared" si="122"/>
        <v>0</v>
      </c>
      <c r="AJ128" s="798">
        <f t="shared" si="122"/>
        <v>0</v>
      </c>
      <c r="AK128" s="798">
        <f t="shared" si="122"/>
        <v>0</v>
      </c>
      <c r="AL128" s="798">
        <f t="shared" si="122"/>
        <v>0</v>
      </c>
      <c r="AM128" s="798">
        <f t="shared" si="122"/>
        <v>0</v>
      </c>
      <c r="AN128" s="798">
        <f t="shared" si="122"/>
        <v>0</v>
      </c>
      <c r="AO128" s="798">
        <f t="shared" si="122"/>
        <v>0</v>
      </c>
      <c r="AP128" s="798">
        <f t="shared" si="122"/>
        <v>0</v>
      </c>
      <c r="AQ128" s="798">
        <f t="shared" si="122"/>
        <v>0</v>
      </c>
      <c r="AR128" s="798">
        <f t="shared" si="122"/>
        <v>0</v>
      </c>
      <c r="AS128" s="798">
        <f t="shared" si="122"/>
        <v>0</v>
      </c>
      <c r="AT128" s="798">
        <f t="shared" si="122"/>
        <v>0</v>
      </c>
      <c r="AU128" s="798">
        <f t="shared" si="122"/>
        <v>0</v>
      </c>
      <c r="AV128" s="798">
        <f t="shared" si="122"/>
        <v>0</v>
      </c>
      <c r="AW128" s="798">
        <f t="shared" si="122"/>
        <v>0</v>
      </c>
      <c r="AX128" s="798">
        <f t="shared" si="122"/>
        <v>0</v>
      </c>
      <c r="AY128" s="798">
        <f t="shared" si="122"/>
        <v>0</v>
      </c>
      <c r="AZ128" s="798">
        <f t="shared" si="122"/>
        <v>0</v>
      </c>
      <c r="BA128" s="798">
        <f t="shared" si="122"/>
        <v>0</v>
      </c>
      <c r="BB128" s="798">
        <f t="shared" si="122"/>
        <v>0</v>
      </c>
      <c r="BC128" s="798">
        <f t="shared" si="122"/>
        <v>0</v>
      </c>
      <c r="BD128" s="798">
        <f t="shared" si="122"/>
        <v>0</v>
      </c>
      <c r="BE128" s="798">
        <f t="shared" si="122"/>
        <v>0</v>
      </c>
      <c r="BF128" s="798">
        <f t="shared" si="122"/>
        <v>0</v>
      </c>
      <c r="BG128" s="798">
        <f t="shared" si="122"/>
        <v>0</v>
      </c>
      <c r="BH128" s="798">
        <f t="shared" si="122"/>
        <v>0</v>
      </c>
      <c r="BI128" s="798">
        <f t="shared" si="122"/>
        <v>0</v>
      </c>
      <c r="BJ128" s="798">
        <f t="shared" si="122"/>
        <v>0</v>
      </c>
      <c r="BK128" s="798">
        <f t="shared" si="122"/>
        <v>0</v>
      </c>
      <c r="BL128" s="798">
        <f t="shared" si="122"/>
        <v>0</v>
      </c>
      <c r="BM128" s="798">
        <f t="shared" si="122"/>
        <v>0</v>
      </c>
      <c r="BN128" s="798">
        <f t="shared" si="122"/>
        <v>0</v>
      </c>
      <c r="BO128" s="798">
        <f t="shared" si="122"/>
        <v>0</v>
      </c>
      <c r="BP128" s="798">
        <f t="shared" si="122"/>
        <v>0</v>
      </c>
      <c r="BQ128" s="798">
        <f t="shared" si="123"/>
        <v>0</v>
      </c>
      <c r="BR128" s="798">
        <f t="shared" si="123"/>
        <v>0</v>
      </c>
      <c r="BS128" s="798">
        <f t="shared" si="123"/>
        <v>0</v>
      </c>
      <c r="BT128" s="798">
        <f t="shared" si="123"/>
        <v>0</v>
      </c>
      <c r="BU128" s="798">
        <f t="shared" si="123"/>
        <v>0</v>
      </c>
      <c r="BV128" s="798">
        <f t="shared" si="123"/>
        <v>0</v>
      </c>
      <c r="BW128" s="798">
        <f t="shared" si="123"/>
        <v>0</v>
      </c>
      <c r="BX128" s="798">
        <f t="shared" si="123"/>
        <v>0</v>
      </c>
      <c r="BY128" s="798">
        <f t="shared" si="123"/>
        <v>0</v>
      </c>
      <c r="BZ128" s="798">
        <f t="shared" si="123"/>
        <v>0</v>
      </c>
      <c r="CA128" s="798">
        <f t="shared" si="123"/>
        <v>0</v>
      </c>
      <c r="CB128" s="798">
        <f t="shared" si="123"/>
        <v>0</v>
      </c>
      <c r="CC128" s="798">
        <f t="shared" si="123"/>
        <v>0</v>
      </c>
      <c r="CD128" s="798">
        <f t="shared" si="123"/>
        <v>0</v>
      </c>
      <c r="CE128" s="798">
        <f t="shared" si="123"/>
        <v>0</v>
      </c>
      <c r="CF128" s="798">
        <f t="shared" si="123"/>
        <v>0</v>
      </c>
      <c r="CG128" s="798">
        <f t="shared" si="123"/>
        <v>0</v>
      </c>
      <c r="CH128" s="798">
        <f t="shared" si="123"/>
        <v>0</v>
      </c>
      <c r="CI128" s="798">
        <f t="shared" si="123"/>
        <v>0</v>
      </c>
      <c r="CJ128" s="798">
        <f t="shared" si="123"/>
        <v>0</v>
      </c>
      <c r="CK128" s="798">
        <f t="shared" si="123"/>
        <v>0</v>
      </c>
      <c r="CL128" s="798">
        <f t="shared" si="123"/>
        <v>0</v>
      </c>
      <c r="CM128" s="798">
        <f t="shared" si="123"/>
        <v>0</v>
      </c>
      <c r="CN128" s="798">
        <f t="shared" si="123"/>
        <v>0</v>
      </c>
      <c r="CO128" s="798">
        <f t="shared" si="123"/>
        <v>0</v>
      </c>
      <c r="CP128" s="798">
        <f t="shared" si="123"/>
        <v>0</v>
      </c>
      <c r="CQ128" s="798">
        <f t="shared" si="123"/>
        <v>0</v>
      </c>
      <c r="CR128" s="798">
        <f t="shared" si="123"/>
        <v>0</v>
      </c>
      <c r="CS128" s="798">
        <f t="shared" si="123"/>
        <v>0</v>
      </c>
      <c r="CT128" s="798">
        <f t="shared" si="123"/>
        <v>0</v>
      </c>
      <c r="CU128" s="798">
        <f t="shared" si="123"/>
        <v>0</v>
      </c>
      <c r="CV128" s="798">
        <f t="shared" si="123"/>
        <v>0</v>
      </c>
      <c r="CW128" s="798">
        <f t="shared" si="123"/>
        <v>0</v>
      </c>
      <c r="CX128" s="798">
        <f t="shared" si="123"/>
        <v>0</v>
      </c>
      <c r="CY128" s="798">
        <f t="shared" si="123"/>
        <v>0</v>
      </c>
      <c r="CZ128" s="798">
        <f t="shared" si="123"/>
        <v>0</v>
      </c>
      <c r="DA128" s="798">
        <f t="shared" si="123"/>
        <v>0</v>
      </c>
      <c r="DB128" s="798">
        <f t="shared" si="123"/>
        <v>0</v>
      </c>
      <c r="DC128" s="798">
        <f t="shared" si="123"/>
        <v>0</v>
      </c>
      <c r="DD128" s="798">
        <f t="shared" si="123"/>
        <v>0</v>
      </c>
      <c r="DE128" s="798">
        <f t="shared" si="123"/>
        <v>0</v>
      </c>
      <c r="DF128" s="798">
        <f t="shared" si="123"/>
        <v>0</v>
      </c>
      <c r="DG128" s="798">
        <f t="shared" si="123"/>
        <v>0</v>
      </c>
      <c r="DH128" s="798">
        <f t="shared" si="123"/>
        <v>0</v>
      </c>
      <c r="DI128" s="798">
        <f t="shared" si="123"/>
        <v>0</v>
      </c>
      <c r="DJ128" s="798">
        <f t="shared" si="123"/>
        <v>0</v>
      </c>
      <c r="DK128" s="798">
        <f t="shared" si="123"/>
        <v>0</v>
      </c>
      <c r="DL128" s="798">
        <f t="shared" si="123"/>
        <v>0</v>
      </c>
      <c r="DM128" s="798">
        <f t="shared" si="123"/>
        <v>0</v>
      </c>
      <c r="DN128" s="798">
        <f t="shared" si="123"/>
        <v>0</v>
      </c>
      <c r="DO128" s="798">
        <f t="shared" si="123"/>
        <v>0</v>
      </c>
      <c r="DP128" s="798">
        <f t="shared" si="123"/>
        <v>0</v>
      </c>
      <c r="DQ128" s="798">
        <f t="shared" si="123"/>
        <v>0</v>
      </c>
      <c r="DR128" s="798">
        <f t="shared" si="123"/>
        <v>0</v>
      </c>
      <c r="DS128" s="798">
        <f t="shared" si="123"/>
        <v>0</v>
      </c>
      <c r="DT128" s="798">
        <f t="shared" si="123"/>
        <v>0</v>
      </c>
      <c r="DU128" s="798">
        <f t="shared" si="123"/>
        <v>0</v>
      </c>
      <c r="DV128" s="798">
        <f t="shared" si="123"/>
        <v>0</v>
      </c>
      <c r="DW128" s="798">
        <f t="shared" si="123"/>
        <v>0</v>
      </c>
      <c r="DX128" s="798">
        <f t="shared" si="123"/>
        <v>0</v>
      </c>
      <c r="DY128" s="798">
        <f t="shared" si="123"/>
        <v>0</v>
      </c>
      <c r="DZ128" s="798">
        <f t="shared" si="123"/>
        <v>0</v>
      </c>
      <c r="EA128" s="798">
        <f t="shared" si="123"/>
        <v>0</v>
      </c>
      <c r="EB128" s="798">
        <f t="shared" si="123"/>
        <v>0</v>
      </c>
      <c r="EC128" s="798">
        <f t="shared" si="124"/>
        <v>0</v>
      </c>
      <c r="ED128" s="798">
        <f t="shared" si="124"/>
        <v>0</v>
      </c>
      <c r="EE128" s="798">
        <f t="shared" si="124"/>
        <v>0</v>
      </c>
      <c r="EF128" s="798">
        <f t="shared" si="124"/>
        <v>0</v>
      </c>
      <c r="EG128" s="798">
        <f t="shared" si="124"/>
        <v>0</v>
      </c>
      <c r="EH128" s="782"/>
    </row>
    <row r="129" spans="1:138" ht="12.75" customHeight="1" x14ac:dyDescent="0.3">
      <c r="A129" s="782"/>
      <c r="B129" s="782" t="s">
        <v>20</v>
      </c>
      <c r="C129" s="798">
        <f>SUM(E129:EG129)</f>
        <v>-14404145.697984423</v>
      </c>
      <c r="D129" s="782"/>
      <c r="E129" s="798">
        <f t="shared" si="122"/>
        <v>0</v>
      </c>
      <c r="F129" s="798">
        <f t="shared" si="122"/>
        <v>0</v>
      </c>
      <c r="G129" s="798">
        <f t="shared" si="122"/>
        <v>0</v>
      </c>
      <c r="H129" s="798">
        <f t="shared" si="122"/>
        <v>0</v>
      </c>
      <c r="I129" s="798">
        <f t="shared" si="122"/>
        <v>0</v>
      </c>
      <c r="J129" s="798">
        <f t="shared" si="122"/>
        <v>0</v>
      </c>
      <c r="K129" s="798">
        <f t="shared" si="122"/>
        <v>0</v>
      </c>
      <c r="L129" s="798">
        <f t="shared" si="122"/>
        <v>0</v>
      </c>
      <c r="M129" s="798">
        <f t="shared" si="122"/>
        <v>0</v>
      </c>
      <c r="N129" s="798">
        <f t="shared" si="122"/>
        <v>0</v>
      </c>
      <c r="O129" s="798">
        <f t="shared" si="122"/>
        <v>0</v>
      </c>
      <c r="P129" s="798">
        <f t="shared" si="122"/>
        <v>0</v>
      </c>
      <c r="Q129" s="798">
        <f t="shared" si="122"/>
        <v>0</v>
      </c>
      <c r="R129" s="798">
        <f t="shared" si="122"/>
        <v>0</v>
      </c>
      <c r="S129" s="798">
        <f t="shared" si="122"/>
        <v>0</v>
      </c>
      <c r="T129" s="798">
        <f t="shared" si="122"/>
        <v>0</v>
      </c>
      <c r="U129" s="798">
        <f t="shared" si="122"/>
        <v>0</v>
      </c>
      <c r="V129" s="798">
        <f t="shared" si="122"/>
        <v>0</v>
      </c>
      <c r="W129" s="798">
        <f t="shared" si="122"/>
        <v>0</v>
      </c>
      <c r="X129" s="798">
        <f t="shared" si="122"/>
        <v>0</v>
      </c>
      <c r="Y129" s="798">
        <f t="shared" si="122"/>
        <v>0</v>
      </c>
      <c r="Z129" s="798">
        <f t="shared" si="122"/>
        <v>0</v>
      </c>
      <c r="AA129" s="798">
        <f t="shared" si="122"/>
        <v>0</v>
      </c>
      <c r="AB129" s="798">
        <f t="shared" si="122"/>
        <v>0</v>
      </c>
      <c r="AC129" s="798">
        <f t="shared" si="122"/>
        <v>0</v>
      </c>
      <c r="AD129" s="798">
        <f t="shared" si="122"/>
        <v>0</v>
      </c>
      <c r="AE129" s="798">
        <f t="shared" si="122"/>
        <v>0</v>
      </c>
      <c r="AF129" s="798">
        <f t="shared" si="122"/>
        <v>0</v>
      </c>
      <c r="AG129" s="798">
        <f t="shared" si="122"/>
        <v>0</v>
      </c>
      <c r="AH129" s="798">
        <f t="shared" si="122"/>
        <v>0</v>
      </c>
      <c r="AI129" s="798">
        <f t="shared" si="122"/>
        <v>0</v>
      </c>
      <c r="AJ129" s="798">
        <f t="shared" si="122"/>
        <v>0</v>
      </c>
      <c r="AK129" s="798">
        <f t="shared" si="122"/>
        <v>0</v>
      </c>
      <c r="AL129" s="798">
        <f t="shared" si="122"/>
        <v>0</v>
      </c>
      <c r="AM129" s="798">
        <f t="shared" si="122"/>
        <v>-220486.6656482605</v>
      </c>
      <c r="AN129" s="798">
        <f t="shared" si="122"/>
        <v>-220610.43227729443</v>
      </c>
      <c r="AO129" s="798">
        <f t="shared" si="122"/>
        <v>-220759.52566825427</v>
      </c>
      <c r="AP129" s="798">
        <f t="shared" si="122"/>
        <v>-220904.79615175357</v>
      </c>
      <c r="AQ129" s="798">
        <f t="shared" si="122"/>
        <v>-221040.0315031691</v>
      </c>
      <c r="AR129" s="798">
        <f t="shared" si="122"/>
        <v>-221206.80584113376</v>
      </c>
      <c r="AS129" s="798">
        <f t="shared" si="122"/>
        <v>-221367.36795447514</v>
      </c>
      <c r="AT129" s="798">
        <f t="shared" si="122"/>
        <v>-221509.77125737903</v>
      </c>
      <c r="AU129" s="798">
        <f t="shared" si="122"/>
        <v>-221715.2525333814</v>
      </c>
      <c r="AV129" s="798">
        <f t="shared" si="122"/>
        <v>-221908.78722356964</v>
      </c>
      <c r="AW129" s="798">
        <f t="shared" si="122"/>
        <v>-222117.61354359993</v>
      </c>
      <c r="AX129" s="798">
        <f t="shared" si="122"/>
        <v>-222375.18193375168</v>
      </c>
      <c r="AY129" s="798">
        <f t="shared" si="122"/>
        <v>-222633.70605076858</v>
      </c>
      <c r="AZ129" s="798">
        <f t="shared" si="122"/>
        <v>-222884.58435286445</v>
      </c>
      <c r="BA129" s="798">
        <f t="shared" si="122"/>
        <v>-223180.3818176213</v>
      </c>
      <c r="BB129" s="798">
        <f t="shared" si="122"/>
        <v>-223494.81595624812</v>
      </c>
      <c r="BC129" s="798">
        <f t="shared" si="122"/>
        <v>-223806.38291427953</v>
      </c>
      <c r="BD129" s="798">
        <f t="shared" si="122"/>
        <v>-224156.17894691607</v>
      </c>
      <c r="BE129" s="798">
        <f t="shared" si="122"/>
        <v>-224525.56738028771</v>
      </c>
      <c r="BF129" s="798">
        <f t="shared" si="122"/>
        <v>-224887.30999873838</v>
      </c>
      <c r="BG129" s="798">
        <f t="shared" si="122"/>
        <v>-225267.21142762637</v>
      </c>
      <c r="BH129" s="798">
        <f t="shared" si="122"/>
        <v>-225632.77695353748</v>
      </c>
      <c r="BI129" s="798">
        <f t="shared" si="122"/>
        <v>-226024.14710480705</v>
      </c>
      <c r="BJ129" s="798">
        <f t="shared" si="122"/>
        <v>-226380.15536206687</v>
      </c>
      <c r="BK129" s="798">
        <f t="shared" si="122"/>
        <v>-226715.13762829395</v>
      </c>
      <c r="BL129" s="798">
        <f t="shared" si="122"/>
        <v>-227090.26042285634</v>
      </c>
      <c r="BM129" s="798">
        <f t="shared" si="122"/>
        <v>-227428.10986967882</v>
      </c>
      <c r="BN129" s="798">
        <f t="shared" si="122"/>
        <v>-227747.32264263128</v>
      </c>
      <c r="BO129" s="798">
        <f t="shared" si="122"/>
        <v>-228083.738499156</v>
      </c>
      <c r="BP129" s="798">
        <f t="shared" si="122"/>
        <v>-228413.94213105741</v>
      </c>
      <c r="BQ129" s="798">
        <f t="shared" si="123"/>
        <v>-228748.44653385191</v>
      </c>
      <c r="BR129" s="798">
        <f t="shared" si="123"/>
        <v>-229036.1203202552</v>
      </c>
      <c r="BS129" s="798">
        <f t="shared" si="123"/>
        <v>-229349.59873201689</v>
      </c>
      <c r="BT129" s="798">
        <f t="shared" si="123"/>
        <v>-229626.75952290374</v>
      </c>
      <c r="BU129" s="798">
        <f t="shared" si="123"/>
        <v>-229939.28220780031</v>
      </c>
      <c r="BV129" s="798">
        <f t="shared" si="123"/>
        <v>-230234.60180912461</v>
      </c>
      <c r="BW129" s="798">
        <f t="shared" si="123"/>
        <v>-230506.0282388207</v>
      </c>
      <c r="BX129" s="798">
        <f t="shared" si="123"/>
        <v>-230800.3921132799</v>
      </c>
      <c r="BY129" s="798">
        <f t="shared" si="123"/>
        <v>-231068.47349894801</v>
      </c>
      <c r="BZ129" s="798">
        <f t="shared" si="123"/>
        <v>-231352.80224132331</v>
      </c>
      <c r="CA129" s="798">
        <f t="shared" si="123"/>
        <v>-231607.98131431229</v>
      </c>
      <c r="CB129" s="798">
        <f t="shared" si="123"/>
        <v>-231853.1252552174</v>
      </c>
      <c r="CC129" s="798">
        <f t="shared" si="123"/>
        <v>-232118.33946029012</v>
      </c>
      <c r="CD129" s="798">
        <f t="shared" si="123"/>
        <v>-232339.11236613453</v>
      </c>
      <c r="CE129" s="798">
        <f t="shared" si="123"/>
        <v>-232592.85784882578</v>
      </c>
      <c r="CF129" s="798">
        <f t="shared" si="123"/>
        <v>-232825.09947705167</v>
      </c>
      <c r="CG129" s="798">
        <f t="shared" si="123"/>
        <v>-233075.97777914754</v>
      </c>
      <c r="CH129" s="798">
        <f t="shared" si="123"/>
        <v>-233316.34308572704</v>
      </c>
      <c r="CI129" s="798">
        <f t="shared" si="123"/>
        <v>-233586.81378855801</v>
      </c>
      <c r="CJ129" s="798">
        <f t="shared" si="123"/>
        <v>-233833.86918319334</v>
      </c>
      <c r="CK129" s="798">
        <f t="shared" si="123"/>
        <v>-234057.98713306565</v>
      </c>
      <c r="CL129" s="798">
        <f t="shared" si="123"/>
        <v>-234319.37843067796</v>
      </c>
      <c r="CM129" s="798">
        <f t="shared" si="123"/>
        <v>-234557.83228352715</v>
      </c>
      <c r="CN129" s="798">
        <f t="shared" si="123"/>
        <v>-234801.54263413456</v>
      </c>
      <c r="CO129" s="798">
        <f t="shared" si="123"/>
        <v>-235051.94307279788</v>
      </c>
      <c r="CP129" s="798">
        <f t="shared" si="123"/>
        <v>-235273.19384207478</v>
      </c>
      <c r="CQ129" s="798">
        <f t="shared" si="123"/>
        <v>-235528.37291506375</v>
      </c>
      <c r="CR129" s="798">
        <f t="shared" si="123"/>
        <v>-235788.33062237833</v>
      </c>
      <c r="CS129" s="798">
        <f t="shared" si="123"/>
        <v>-236037.29747074397</v>
      </c>
      <c r="CT129" s="798">
        <f t="shared" si="123"/>
        <v>-236261.8932840488</v>
      </c>
      <c r="CU129" s="798">
        <f t="shared" si="123"/>
        <v>-236523.76244509366</v>
      </c>
      <c r="CV129" s="798">
        <f t="shared" si="123"/>
        <v>-236772.72929345924</v>
      </c>
      <c r="CW129" s="798">
        <f t="shared" si="123"/>
        <v>-237005.44878511771</v>
      </c>
      <c r="CX129" s="798">
        <f t="shared" si="123"/>
        <v>0</v>
      </c>
      <c r="CY129" s="798">
        <f t="shared" si="123"/>
        <v>0</v>
      </c>
      <c r="CZ129" s="798">
        <f t="shared" si="123"/>
        <v>0</v>
      </c>
      <c r="DA129" s="798">
        <f t="shared" si="123"/>
        <v>0</v>
      </c>
      <c r="DB129" s="798">
        <f t="shared" si="123"/>
        <v>0</v>
      </c>
      <c r="DC129" s="798">
        <f t="shared" si="123"/>
        <v>0</v>
      </c>
      <c r="DD129" s="798">
        <f t="shared" si="123"/>
        <v>0</v>
      </c>
      <c r="DE129" s="798">
        <f t="shared" si="123"/>
        <v>0</v>
      </c>
      <c r="DF129" s="798">
        <f t="shared" si="123"/>
        <v>0</v>
      </c>
      <c r="DG129" s="798">
        <f t="shared" si="123"/>
        <v>0</v>
      </c>
      <c r="DH129" s="798">
        <f t="shared" si="123"/>
        <v>0</v>
      </c>
      <c r="DI129" s="798">
        <f t="shared" si="123"/>
        <v>0</v>
      </c>
      <c r="DJ129" s="798">
        <f t="shared" si="123"/>
        <v>0</v>
      </c>
      <c r="DK129" s="798">
        <f t="shared" si="123"/>
        <v>0</v>
      </c>
      <c r="DL129" s="798">
        <f t="shared" si="123"/>
        <v>0</v>
      </c>
      <c r="DM129" s="798">
        <f t="shared" si="123"/>
        <v>0</v>
      </c>
      <c r="DN129" s="798">
        <f t="shared" si="123"/>
        <v>0</v>
      </c>
      <c r="DO129" s="798">
        <f t="shared" si="123"/>
        <v>0</v>
      </c>
      <c r="DP129" s="798">
        <f t="shared" si="123"/>
        <v>0</v>
      </c>
      <c r="DQ129" s="798">
        <f t="shared" si="123"/>
        <v>0</v>
      </c>
      <c r="DR129" s="798">
        <f t="shared" si="123"/>
        <v>0</v>
      </c>
      <c r="DS129" s="798">
        <f t="shared" si="123"/>
        <v>0</v>
      </c>
      <c r="DT129" s="798">
        <f t="shared" si="123"/>
        <v>0</v>
      </c>
      <c r="DU129" s="798">
        <f t="shared" si="123"/>
        <v>0</v>
      </c>
      <c r="DV129" s="798">
        <f t="shared" si="123"/>
        <v>0</v>
      </c>
      <c r="DW129" s="798">
        <f t="shared" si="123"/>
        <v>0</v>
      </c>
      <c r="DX129" s="798">
        <f t="shared" si="123"/>
        <v>0</v>
      </c>
      <c r="DY129" s="798">
        <f t="shared" si="123"/>
        <v>0</v>
      </c>
      <c r="DZ129" s="798">
        <f t="shared" si="123"/>
        <v>0</v>
      </c>
      <c r="EA129" s="798">
        <f t="shared" si="123"/>
        <v>0</v>
      </c>
      <c r="EB129" s="798">
        <f t="shared" si="123"/>
        <v>0</v>
      </c>
      <c r="EC129" s="798">
        <f t="shared" si="124"/>
        <v>0</v>
      </c>
      <c r="ED129" s="798">
        <f t="shared" si="124"/>
        <v>0</v>
      </c>
      <c r="EE129" s="798">
        <f t="shared" si="124"/>
        <v>0</v>
      </c>
      <c r="EF129" s="798">
        <f t="shared" si="124"/>
        <v>0</v>
      </c>
      <c r="EG129" s="798">
        <f t="shared" si="124"/>
        <v>0</v>
      </c>
      <c r="EH129" s="782"/>
    </row>
    <row r="130" spans="1:138" ht="12.75" customHeight="1" x14ac:dyDescent="0.3">
      <c r="A130" s="782"/>
      <c r="B130" s="781" t="s">
        <v>21</v>
      </c>
      <c r="C130" s="799">
        <f>SUM(E130:EG130)</f>
        <v>-57343611.907627545</v>
      </c>
      <c r="D130" s="781"/>
      <c r="E130" s="799">
        <f>E33*E$11</f>
        <v>0</v>
      </c>
      <c r="F130" s="799">
        <f t="shared" si="122"/>
        <v>0</v>
      </c>
      <c r="G130" s="799">
        <f t="shared" si="122"/>
        <v>0</v>
      </c>
      <c r="H130" s="799">
        <f t="shared" si="122"/>
        <v>0</v>
      </c>
      <c r="I130" s="799">
        <f t="shared" si="122"/>
        <v>0</v>
      </c>
      <c r="J130" s="799">
        <f t="shared" si="122"/>
        <v>0</v>
      </c>
      <c r="K130" s="799">
        <f t="shared" si="122"/>
        <v>0</v>
      </c>
      <c r="L130" s="799">
        <f t="shared" si="122"/>
        <v>0</v>
      </c>
      <c r="M130" s="799">
        <f t="shared" si="122"/>
        <v>0</v>
      </c>
      <c r="N130" s="799">
        <f t="shared" si="122"/>
        <v>0</v>
      </c>
      <c r="O130" s="799">
        <f t="shared" si="122"/>
        <v>0</v>
      </c>
      <c r="P130" s="799">
        <f t="shared" si="122"/>
        <v>0</v>
      </c>
      <c r="Q130" s="799">
        <f t="shared" si="122"/>
        <v>0</v>
      </c>
      <c r="R130" s="799">
        <f t="shared" si="122"/>
        <v>0</v>
      </c>
      <c r="S130" s="799">
        <f t="shared" si="122"/>
        <v>0</v>
      </c>
      <c r="T130" s="799">
        <f t="shared" si="122"/>
        <v>0</v>
      </c>
      <c r="U130" s="799">
        <f t="shared" si="122"/>
        <v>0</v>
      </c>
      <c r="V130" s="799">
        <f t="shared" si="122"/>
        <v>0</v>
      </c>
      <c r="W130" s="799">
        <f t="shared" si="122"/>
        <v>0</v>
      </c>
      <c r="X130" s="799">
        <f t="shared" si="122"/>
        <v>0</v>
      </c>
      <c r="Y130" s="799">
        <f t="shared" si="122"/>
        <v>0</v>
      </c>
      <c r="Z130" s="799">
        <f t="shared" si="122"/>
        <v>0</v>
      </c>
      <c r="AA130" s="799">
        <f t="shared" si="122"/>
        <v>0</v>
      </c>
      <c r="AB130" s="799">
        <f t="shared" si="122"/>
        <v>0</v>
      </c>
      <c r="AC130" s="799">
        <f t="shared" si="122"/>
        <v>0</v>
      </c>
      <c r="AD130" s="799">
        <f t="shared" si="122"/>
        <v>0</v>
      </c>
      <c r="AE130" s="799">
        <f t="shared" si="122"/>
        <v>0</v>
      </c>
      <c r="AF130" s="799">
        <f t="shared" si="122"/>
        <v>0</v>
      </c>
      <c r="AG130" s="799">
        <f t="shared" si="122"/>
        <v>0</v>
      </c>
      <c r="AH130" s="799">
        <f t="shared" si="122"/>
        <v>0</v>
      </c>
      <c r="AI130" s="799">
        <f t="shared" si="122"/>
        <v>0</v>
      </c>
      <c r="AJ130" s="799">
        <f t="shared" si="122"/>
        <v>0</v>
      </c>
      <c r="AK130" s="799">
        <f t="shared" si="122"/>
        <v>0</v>
      </c>
      <c r="AL130" s="799">
        <f t="shared" si="122"/>
        <v>0</v>
      </c>
      <c r="AM130" s="799">
        <f t="shared" si="122"/>
        <v>0</v>
      </c>
      <c r="AN130" s="799">
        <f t="shared" si="122"/>
        <v>0</v>
      </c>
      <c r="AO130" s="799">
        <f t="shared" si="122"/>
        <v>0</v>
      </c>
      <c r="AP130" s="799">
        <f t="shared" si="122"/>
        <v>0</v>
      </c>
      <c r="AQ130" s="799">
        <f t="shared" si="122"/>
        <v>0</v>
      </c>
      <c r="AR130" s="799">
        <f t="shared" si="122"/>
        <v>0</v>
      </c>
      <c r="AS130" s="799">
        <f t="shared" si="122"/>
        <v>0</v>
      </c>
      <c r="AT130" s="799">
        <f t="shared" si="122"/>
        <v>0</v>
      </c>
      <c r="AU130" s="799">
        <f t="shared" si="122"/>
        <v>0</v>
      </c>
      <c r="AV130" s="799">
        <f t="shared" si="122"/>
        <v>0</v>
      </c>
      <c r="AW130" s="799">
        <f t="shared" si="122"/>
        <v>0</v>
      </c>
      <c r="AX130" s="799">
        <f t="shared" si="122"/>
        <v>0</v>
      </c>
      <c r="AY130" s="799">
        <f t="shared" si="122"/>
        <v>0</v>
      </c>
      <c r="AZ130" s="799">
        <f t="shared" si="122"/>
        <v>0</v>
      </c>
      <c r="BA130" s="799">
        <f t="shared" si="122"/>
        <v>0</v>
      </c>
      <c r="BB130" s="799">
        <f t="shared" si="122"/>
        <v>0</v>
      </c>
      <c r="BC130" s="799">
        <f t="shared" si="122"/>
        <v>0</v>
      </c>
      <c r="BD130" s="799">
        <f t="shared" si="122"/>
        <v>0</v>
      </c>
      <c r="BE130" s="799">
        <f t="shared" si="122"/>
        <v>0</v>
      </c>
      <c r="BF130" s="799">
        <f t="shared" si="122"/>
        <v>0</v>
      </c>
      <c r="BG130" s="799">
        <f t="shared" si="122"/>
        <v>0</v>
      </c>
      <c r="BH130" s="799">
        <f t="shared" si="122"/>
        <v>0</v>
      </c>
      <c r="BI130" s="799">
        <f t="shared" si="122"/>
        <v>0</v>
      </c>
      <c r="BJ130" s="799">
        <f t="shared" si="122"/>
        <v>0</v>
      </c>
      <c r="BK130" s="799">
        <f t="shared" si="122"/>
        <v>0</v>
      </c>
      <c r="BL130" s="799">
        <f t="shared" si="122"/>
        <v>0</v>
      </c>
      <c r="BM130" s="799">
        <f t="shared" si="122"/>
        <v>0</v>
      </c>
      <c r="BN130" s="799">
        <f t="shared" si="122"/>
        <v>0</v>
      </c>
      <c r="BO130" s="799">
        <f t="shared" si="122"/>
        <v>0</v>
      </c>
      <c r="BP130" s="799">
        <f t="shared" si="122"/>
        <v>0</v>
      </c>
      <c r="BQ130" s="799">
        <f t="shared" si="123"/>
        <v>0</v>
      </c>
      <c r="BR130" s="799">
        <f t="shared" si="123"/>
        <v>0</v>
      </c>
      <c r="BS130" s="799">
        <f t="shared" si="123"/>
        <v>0</v>
      </c>
      <c r="BT130" s="799">
        <f t="shared" si="123"/>
        <v>0</v>
      </c>
      <c r="BU130" s="799">
        <f t="shared" si="123"/>
        <v>0</v>
      </c>
      <c r="BV130" s="799">
        <f t="shared" si="123"/>
        <v>0</v>
      </c>
      <c r="BW130" s="799">
        <f t="shared" si="123"/>
        <v>0</v>
      </c>
      <c r="BX130" s="799">
        <f t="shared" si="123"/>
        <v>0</v>
      </c>
      <c r="BY130" s="799">
        <f t="shared" si="123"/>
        <v>0</v>
      </c>
      <c r="BZ130" s="799">
        <f t="shared" si="123"/>
        <v>0</v>
      </c>
      <c r="CA130" s="799">
        <f t="shared" si="123"/>
        <v>0</v>
      </c>
      <c r="CB130" s="799">
        <f t="shared" si="123"/>
        <v>0</v>
      </c>
      <c r="CC130" s="799">
        <f t="shared" si="123"/>
        <v>0</v>
      </c>
      <c r="CD130" s="799">
        <f t="shared" si="123"/>
        <v>0</v>
      </c>
      <c r="CE130" s="799">
        <f t="shared" si="123"/>
        <v>0</v>
      </c>
      <c r="CF130" s="799">
        <f t="shared" si="123"/>
        <v>0</v>
      </c>
      <c r="CG130" s="799">
        <f t="shared" si="123"/>
        <v>0</v>
      </c>
      <c r="CH130" s="799">
        <f t="shared" si="123"/>
        <v>0</v>
      </c>
      <c r="CI130" s="799">
        <f t="shared" si="123"/>
        <v>0</v>
      </c>
      <c r="CJ130" s="799">
        <f t="shared" si="123"/>
        <v>0</v>
      </c>
      <c r="CK130" s="799">
        <f t="shared" si="123"/>
        <v>0</v>
      </c>
      <c r="CL130" s="799">
        <f t="shared" si="123"/>
        <v>0</v>
      </c>
      <c r="CM130" s="799">
        <f t="shared" si="123"/>
        <v>0</v>
      </c>
      <c r="CN130" s="799">
        <f t="shared" si="123"/>
        <v>0</v>
      </c>
      <c r="CO130" s="799">
        <f t="shared" si="123"/>
        <v>0</v>
      </c>
      <c r="CP130" s="799">
        <f t="shared" si="123"/>
        <v>0</v>
      </c>
      <c r="CQ130" s="799">
        <f t="shared" si="123"/>
        <v>0</v>
      </c>
      <c r="CR130" s="799">
        <f t="shared" si="123"/>
        <v>0</v>
      </c>
      <c r="CS130" s="799">
        <f t="shared" si="123"/>
        <v>0</v>
      </c>
      <c r="CT130" s="799">
        <f t="shared" si="123"/>
        <v>0</v>
      </c>
      <c r="CU130" s="799">
        <f t="shared" si="123"/>
        <v>0</v>
      </c>
      <c r="CV130" s="799">
        <f t="shared" si="123"/>
        <v>0</v>
      </c>
      <c r="CW130" s="799">
        <f t="shared" si="123"/>
        <v>-57343611.907627545</v>
      </c>
      <c r="CX130" s="799">
        <f t="shared" si="123"/>
        <v>0</v>
      </c>
      <c r="CY130" s="799">
        <f t="shared" si="123"/>
        <v>0</v>
      </c>
      <c r="CZ130" s="799">
        <f t="shared" si="123"/>
        <v>0</v>
      </c>
      <c r="DA130" s="799">
        <f t="shared" si="123"/>
        <v>0</v>
      </c>
      <c r="DB130" s="799">
        <f t="shared" si="123"/>
        <v>0</v>
      </c>
      <c r="DC130" s="799">
        <f t="shared" si="123"/>
        <v>0</v>
      </c>
      <c r="DD130" s="799">
        <f t="shared" si="123"/>
        <v>0</v>
      </c>
      <c r="DE130" s="799">
        <f t="shared" si="123"/>
        <v>0</v>
      </c>
      <c r="DF130" s="799">
        <f t="shared" si="123"/>
        <v>0</v>
      </c>
      <c r="DG130" s="799">
        <f t="shared" si="123"/>
        <v>0</v>
      </c>
      <c r="DH130" s="799">
        <f t="shared" si="123"/>
        <v>0</v>
      </c>
      <c r="DI130" s="799">
        <f t="shared" si="123"/>
        <v>0</v>
      </c>
      <c r="DJ130" s="799">
        <f t="shared" si="123"/>
        <v>0</v>
      </c>
      <c r="DK130" s="799">
        <f t="shared" si="123"/>
        <v>0</v>
      </c>
      <c r="DL130" s="799">
        <f t="shared" si="123"/>
        <v>0</v>
      </c>
      <c r="DM130" s="799">
        <f t="shared" si="123"/>
        <v>0</v>
      </c>
      <c r="DN130" s="799">
        <f t="shared" si="123"/>
        <v>0</v>
      </c>
      <c r="DO130" s="799">
        <f t="shared" si="123"/>
        <v>0</v>
      </c>
      <c r="DP130" s="799">
        <f t="shared" si="123"/>
        <v>0</v>
      </c>
      <c r="DQ130" s="799">
        <f t="shared" si="123"/>
        <v>0</v>
      </c>
      <c r="DR130" s="799">
        <f t="shared" si="123"/>
        <v>0</v>
      </c>
      <c r="DS130" s="799">
        <f t="shared" si="123"/>
        <v>0</v>
      </c>
      <c r="DT130" s="799">
        <f t="shared" si="123"/>
        <v>0</v>
      </c>
      <c r="DU130" s="799">
        <f t="shared" si="123"/>
        <v>0</v>
      </c>
      <c r="DV130" s="799">
        <f t="shared" si="123"/>
        <v>0</v>
      </c>
      <c r="DW130" s="799">
        <f t="shared" si="123"/>
        <v>0</v>
      </c>
      <c r="DX130" s="799">
        <f t="shared" si="123"/>
        <v>0</v>
      </c>
      <c r="DY130" s="799">
        <f t="shared" si="123"/>
        <v>0</v>
      </c>
      <c r="DZ130" s="799">
        <f t="shared" si="123"/>
        <v>0</v>
      </c>
      <c r="EA130" s="799">
        <f t="shared" si="123"/>
        <v>0</v>
      </c>
      <c r="EB130" s="799">
        <f>EB33*EB$11</f>
        <v>0</v>
      </c>
      <c r="EC130" s="799">
        <f>EC33*EC$11</f>
        <v>0</v>
      </c>
      <c r="ED130" s="799">
        <f t="shared" si="124"/>
        <v>0</v>
      </c>
      <c r="EE130" s="799">
        <f t="shared" si="124"/>
        <v>0</v>
      </c>
      <c r="EF130" s="799">
        <f t="shared" si="124"/>
        <v>0</v>
      </c>
      <c r="EG130" s="799">
        <f t="shared" si="124"/>
        <v>0</v>
      </c>
      <c r="EH130" s="782"/>
    </row>
    <row r="131" spans="1:138" ht="12.75" customHeight="1" x14ac:dyDescent="0.3">
      <c r="A131" s="782"/>
      <c r="B131" s="782" t="s">
        <v>22</v>
      </c>
      <c r="C131" s="798">
        <f>SUM(E131:EG131)</f>
        <v>43394506.533111244</v>
      </c>
      <c r="D131" s="782"/>
      <c r="E131" s="798">
        <f>SUM(E123:E130,E120)</f>
        <v>0</v>
      </c>
      <c r="F131" s="798">
        <f t="shared" ref="F131:BQ131" si="125">SUM(F123:F130,F120)</f>
        <v>0</v>
      </c>
      <c r="G131" s="798">
        <f t="shared" si="125"/>
        <v>0</v>
      </c>
      <c r="H131" s="798">
        <f t="shared" si="125"/>
        <v>0</v>
      </c>
      <c r="I131" s="798">
        <f t="shared" si="125"/>
        <v>0</v>
      </c>
      <c r="J131" s="798">
        <f t="shared" si="125"/>
        <v>0</v>
      </c>
      <c r="K131" s="798">
        <f t="shared" si="125"/>
        <v>0</v>
      </c>
      <c r="L131" s="798">
        <f t="shared" si="125"/>
        <v>0</v>
      </c>
      <c r="M131" s="798">
        <f t="shared" si="125"/>
        <v>0</v>
      </c>
      <c r="N131" s="798">
        <f t="shared" si="125"/>
        <v>0</v>
      </c>
      <c r="O131" s="798">
        <f t="shared" si="125"/>
        <v>0</v>
      </c>
      <c r="P131" s="798">
        <f t="shared" si="125"/>
        <v>0</v>
      </c>
      <c r="Q131" s="798">
        <f t="shared" si="125"/>
        <v>0</v>
      </c>
      <c r="R131" s="798">
        <f t="shared" si="125"/>
        <v>0</v>
      </c>
      <c r="S131" s="798">
        <f t="shared" si="125"/>
        <v>0</v>
      </c>
      <c r="T131" s="798">
        <f t="shared" si="125"/>
        <v>0</v>
      </c>
      <c r="U131" s="798">
        <f t="shared" si="125"/>
        <v>0</v>
      </c>
      <c r="V131" s="798">
        <f t="shared" si="125"/>
        <v>0</v>
      </c>
      <c r="W131" s="798">
        <f t="shared" si="125"/>
        <v>0</v>
      </c>
      <c r="X131" s="798">
        <f t="shared" si="125"/>
        <v>0</v>
      </c>
      <c r="Y131" s="798">
        <f t="shared" si="125"/>
        <v>0</v>
      </c>
      <c r="Z131" s="798">
        <f t="shared" si="125"/>
        <v>0</v>
      </c>
      <c r="AA131" s="798">
        <f t="shared" si="125"/>
        <v>0</v>
      </c>
      <c r="AB131" s="798">
        <f t="shared" si="125"/>
        <v>0</v>
      </c>
      <c r="AC131" s="798">
        <f t="shared" si="125"/>
        <v>0</v>
      </c>
      <c r="AD131" s="798">
        <f t="shared" si="125"/>
        <v>0</v>
      </c>
      <c r="AE131" s="798">
        <f t="shared" si="125"/>
        <v>0</v>
      </c>
      <c r="AF131" s="798">
        <f t="shared" si="125"/>
        <v>0</v>
      </c>
      <c r="AG131" s="798">
        <f t="shared" si="125"/>
        <v>0</v>
      </c>
      <c r="AH131" s="798">
        <f t="shared" si="125"/>
        <v>0</v>
      </c>
      <c r="AI131" s="798">
        <f t="shared" si="125"/>
        <v>0</v>
      </c>
      <c r="AJ131" s="798">
        <f t="shared" si="125"/>
        <v>0</v>
      </c>
      <c r="AK131" s="798">
        <f t="shared" si="125"/>
        <v>-61383319.172322795</v>
      </c>
      <c r="AL131" s="798">
        <f t="shared" si="125"/>
        <v>14350284.028469142</v>
      </c>
      <c r="AM131" s="798">
        <f t="shared" si="125"/>
        <v>240189.1734038596</v>
      </c>
      <c r="AN131" s="798">
        <f t="shared" si="125"/>
        <v>242828.62750555461</v>
      </c>
      <c r="AO131" s="798">
        <f t="shared" si="125"/>
        <v>245431.57100415012</v>
      </c>
      <c r="AP131" s="798">
        <f t="shared" si="125"/>
        <v>247189.79571464105</v>
      </c>
      <c r="AQ131" s="798">
        <f t="shared" si="125"/>
        <v>250622.15781345556</v>
      </c>
      <c r="AR131" s="798">
        <f t="shared" si="125"/>
        <v>253571.35546953481</v>
      </c>
      <c r="AS131" s="798">
        <f t="shared" si="125"/>
        <v>248858.44843962431</v>
      </c>
      <c r="AT131" s="798">
        <f t="shared" si="125"/>
        <v>250570.79090549052</v>
      </c>
      <c r="AU131" s="798">
        <f t="shared" si="125"/>
        <v>252185.76664132159</v>
      </c>
      <c r="AV131" s="798">
        <f t="shared" si="125"/>
        <v>254554.88956596749</v>
      </c>
      <c r="AW131" s="798">
        <f t="shared" si="125"/>
        <v>256829.93777900547</v>
      </c>
      <c r="AX131" s="798">
        <f t="shared" si="125"/>
        <v>258976.76576571475</v>
      </c>
      <c r="AY131" s="798">
        <f t="shared" si="125"/>
        <v>261042.46032288377</v>
      </c>
      <c r="AZ131" s="798">
        <f t="shared" si="125"/>
        <v>263034.91894811601</v>
      </c>
      <c r="BA131" s="798">
        <f t="shared" si="125"/>
        <v>264900.86809610092</v>
      </c>
      <c r="BB131" s="798">
        <f t="shared" si="125"/>
        <v>266051.41036132327</v>
      </c>
      <c r="BC131" s="798">
        <f t="shared" si="125"/>
        <v>268360.02148879576</v>
      </c>
      <c r="BD131" s="798">
        <f t="shared" si="125"/>
        <v>270250.00620863971</v>
      </c>
      <c r="BE131" s="798">
        <f t="shared" si="125"/>
        <v>266063.01724354795</v>
      </c>
      <c r="BF131" s="798">
        <f t="shared" si="125"/>
        <v>267079.67426825676</v>
      </c>
      <c r="BG131" s="798">
        <f t="shared" si="125"/>
        <v>268102.06947647233</v>
      </c>
      <c r="BH131" s="798">
        <f t="shared" si="125"/>
        <v>269756.18019295664</v>
      </c>
      <c r="BI131" s="798">
        <f t="shared" si="125"/>
        <v>271438.01027934882</v>
      </c>
      <c r="BJ131" s="798">
        <f t="shared" si="125"/>
        <v>273209.09551819746</v>
      </c>
      <c r="BK131" s="798">
        <f t="shared" si="125"/>
        <v>275055.47128138022</v>
      </c>
      <c r="BL131" s="798">
        <f t="shared" si="125"/>
        <v>276916.34434596577</v>
      </c>
      <c r="BM131" s="798">
        <f t="shared" si="125"/>
        <v>278869.50391600362</v>
      </c>
      <c r="BN131" s="798">
        <f t="shared" si="125"/>
        <v>280195.59888417867</v>
      </c>
      <c r="BO131" s="798">
        <f t="shared" si="125"/>
        <v>282956.31428539113</v>
      </c>
      <c r="BP131" s="798">
        <f t="shared" si="125"/>
        <v>285388.10116655775</v>
      </c>
      <c r="BQ131" s="798">
        <f t="shared" si="125"/>
        <v>281337.2806820501</v>
      </c>
      <c r="BR131" s="798">
        <f t="shared" ref="BR131:EC131" si="126">SUM(BR123:BR130,BR120)</f>
        <v>282775.30197173124</v>
      </c>
      <c r="BS131" s="798">
        <f t="shared" si="126"/>
        <v>284192.21683526936</v>
      </c>
      <c r="BT131" s="798">
        <f t="shared" si="126"/>
        <v>286394.34044633817</v>
      </c>
      <c r="BU131" s="798">
        <f t="shared" si="126"/>
        <v>288570.97016190126</v>
      </c>
      <c r="BV131" s="798">
        <f t="shared" si="126"/>
        <v>290774.71086397325</v>
      </c>
      <c r="BW131" s="798">
        <f t="shared" si="126"/>
        <v>293012.29270802287</v>
      </c>
      <c r="BX131" s="798">
        <f t="shared" si="126"/>
        <v>295236.92530872161</v>
      </c>
      <c r="BY131" s="798">
        <f t="shared" si="126"/>
        <v>297497.86899500911</v>
      </c>
      <c r="BZ131" s="798">
        <f t="shared" si="126"/>
        <v>298989.74235848209</v>
      </c>
      <c r="CA131" s="798">
        <f t="shared" si="126"/>
        <v>302045.60482279921</v>
      </c>
      <c r="CB131" s="798">
        <f t="shared" si="126"/>
        <v>304713.58440411743</v>
      </c>
      <c r="CC131" s="798">
        <f t="shared" si="126"/>
        <v>300623.21251099475</v>
      </c>
      <c r="CD131" s="798">
        <f t="shared" si="126"/>
        <v>302198.06654965493</v>
      </c>
      <c r="CE131" s="798">
        <f t="shared" si="126"/>
        <v>303744.83737187018</v>
      </c>
      <c r="CF131" s="798">
        <f t="shared" si="126"/>
        <v>306093.65105576138</v>
      </c>
      <c r="CG131" s="798">
        <f t="shared" si="126"/>
        <v>308434.10571412987</v>
      </c>
      <c r="CH131" s="798">
        <f t="shared" si="126"/>
        <v>310795.39258912473</v>
      </c>
      <c r="CI131" s="798">
        <f t="shared" si="126"/>
        <v>313136.93503156491</v>
      </c>
      <c r="CJ131" s="798">
        <f t="shared" si="126"/>
        <v>315512.29565900529</v>
      </c>
      <c r="CK131" s="798">
        <f t="shared" si="126"/>
        <v>317921.03869234462</v>
      </c>
      <c r="CL131" s="798">
        <f t="shared" si="126"/>
        <v>319507.85632681928</v>
      </c>
      <c r="CM131" s="798">
        <f t="shared" si="126"/>
        <v>322717.32030934142</v>
      </c>
      <c r="CN131" s="798">
        <f t="shared" si="126"/>
        <v>325506.78234714759</v>
      </c>
      <c r="CO131" s="798">
        <f t="shared" si="126"/>
        <v>321318.55549089937</v>
      </c>
      <c r="CP131" s="798">
        <f t="shared" si="126"/>
        <v>322965.72914949519</v>
      </c>
      <c r="CQ131" s="798">
        <f t="shared" si="126"/>
        <v>324584.06288337999</v>
      </c>
      <c r="CR131" s="798">
        <f t="shared" si="126"/>
        <v>327011.14239052619</v>
      </c>
      <c r="CS131" s="798">
        <f t="shared" si="126"/>
        <v>329459.91714655224</v>
      </c>
      <c r="CT131" s="798">
        <f t="shared" si="126"/>
        <v>331943.81063862937</v>
      </c>
      <c r="CU131" s="798">
        <f t="shared" si="126"/>
        <v>334401.22197197197</v>
      </c>
      <c r="CV131" s="798">
        <f t="shared" si="126"/>
        <v>336882.37047269777</v>
      </c>
      <c r="CW131" s="798">
        <f t="shared" si="126"/>
        <v>72656764.186812162</v>
      </c>
      <c r="CX131" s="798">
        <f t="shared" si="126"/>
        <v>0</v>
      </c>
      <c r="CY131" s="798">
        <f t="shared" si="126"/>
        <v>0</v>
      </c>
      <c r="CZ131" s="798">
        <f t="shared" si="126"/>
        <v>0</v>
      </c>
      <c r="DA131" s="798">
        <f t="shared" si="126"/>
        <v>0</v>
      </c>
      <c r="DB131" s="798">
        <f t="shared" si="126"/>
        <v>0</v>
      </c>
      <c r="DC131" s="798">
        <f t="shared" si="126"/>
        <v>0</v>
      </c>
      <c r="DD131" s="798">
        <f t="shared" si="126"/>
        <v>0</v>
      </c>
      <c r="DE131" s="798">
        <f t="shared" si="126"/>
        <v>0</v>
      </c>
      <c r="DF131" s="798">
        <f t="shared" si="126"/>
        <v>0</v>
      </c>
      <c r="DG131" s="798">
        <f t="shared" si="126"/>
        <v>0</v>
      </c>
      <c r="DH131" s="798">
        <f t="shared" si="126"/>
        <v>0</v>
      </c>
      <c r="DI131" s="798">
        <f t="shared" si="126"/>
        <v>0</v>
      </c>
      <c r="DJ131" s="798">
        <f t="shared" si="126"/>
        <v>0</v>
      </c>
      <c r="DK131" s="798">
        <f t="shared" si="126"/>
        <v>0</v>
      </c>
      <c r="DL131" s="798">
        <f t="shared" si="126"/>
        <v>0</v>
      </c>
      <c r="DM131" s="798">
        <f t="shared" si="126"/>
        <v>0</v>
      </c>
      <c r="DN131" s="798">
        <f t="shared" si="126"/>
        <v>0</v>
      </c>
      <c r="DO131" s="798">
        <f t="shared" si="126"/>
        <v>0</v>
      </c>
      <c r="DP131" s="798">
        <f t="shared" si="126"/>
        <v>0</v>
      </c>
      <c r="DQ131" s="798">
        <f t="shared" si="126"/>
        <v>0</v>
      </c>
      <c r="DR131" s="798">
        <f t="shared" si="126"/>
        <v>0</v>
      </c>
      <c r="DS131" s="798">
        <f t="shared" si="126"/>
        <v>0</v>
      </c>
      <c r="DT131" s="798">
        <f t="shared" si="126"/>
        <v>0</v>
      </c>
      <c r="DU131" s="798">
        <f t="shared" si="126"/>
        <v>0</v>
      </c>
      <c r="DV131" s="798">
        <f t="shared" si="126"/>
        <v>0</v>
      </c>
      <c r="DW131" s="798">
        <f t="shared" si="126"/>
        <v>0</v>
      </c>
      <c r="DX131" s="798">
        <f t="shared" si="126"/>
        <v>0</v>
      </c>
      <c r="DY131" s="798">
        <f t="shared" si="126"/>
        <v>0</v>
      </c>
      <c r="DZ131" s="798">
        <f t="shared" si="126"/>
        <v>0</v>
      </c>
      <c r="EA131" s="798">
        <f t="shared" si="126"/>
        <v>0</v>
      </c>
      <c r="EB131" s="798">
        <f t="shared" si="126"/>
        <v>0</v>
      </c>
      <c r="EC131" s="798">
        <f t="shared" si="126"/>
        <v>0</v>
      </c>
      <c r="ED131" s="798">
        <f>SUM(ED123:ED130,ED120)</f>
        <v>0</v>
      </c>
      <c r="EE131" s="798">
        <f>SUM(EE123:EE130,EE120)</f>
        <v>0</v>
      </c>
      <c r="EF131" s="798">
        <f>SUM(EF123:EF130,EF120)</f>
        <v>0</v>
      </c>
      <c r="EG131" s="798">
        <f>SUM(EG123:EG130,EG120)</f>
        <v>0</v>
      </c>
      <c r="EH131" s="782"/>
    </row>
    <row r="132" spans="1:138" ht="12.75" customHeight="1" x14ac:dyDescent="0.3">
      <c r="A132" s="782"/>
      <c r="B132" s="800" t="s">
        <v>75</v>
      </c>
      <c r="C132" s="801">
        <f>XIRR(OFFSET(E131,0,SUMPRODUCT($E$9:$EG$9,$E$5:$EG$5)):EG131,OFFSET($E$4,0,SUMPRODUCT($E$9:$EG$9,$E$5:$EG$5)):$EG$4)</f>
        <v>0.14702246785163881</v>
      </c>
      <c r="D132" s="782"/>
      <c r="E132" s="782"/>
      <c r="F132" s="782"/>
      <c r="G132" s="782"/>
      <c r="H132" s="782"/>
      <c r="I132" s="782"/>
      <c r="J132" s="782"/>
      <c r="K132" s="782"/>
      <c r="L132" s="782"/>
      <c r="M132" s="782"/>
      <c r="N132" s="782"/>
      <c r="O132" s="782"/>
      <c r="P132" s="782"/>
      <c r="Q132" s="782"/>
      <c r="R132" s="782"/>
      <c r="S132" s="782"/>
      <c r="T132" s="782"/>
      <c r="U132" s="782"/>
      <c r="V132" s="782"/>
      <c r="W132" s="782"/>
      <c r="X132" s="782"/>
      <c r="Y132" s="782"/>
      <c r="Z132" s="782"/>
      <c r="AA132" s="782"/>
      <c r="AB132" s="782"/>
      <c r="AC132" s="782"/>
      <c r="AD132" s="782"/>
      <c r="AE132" s="782"/>
      <c r="AF132" s="782"/>
      <c r="AG132" s="782"/>
      <c r="AH132" s="782"/>
      <c r="AI132" s="782"/>
      <c r="AJ132" s="782"/>
      <c r="AK132" s="782"/>
      <c r="AL132" s="782"/>
      <c r="AM132" s="782"/>
      <c r="AN132" s="782"/>
      <c r="AO132" s="782"/>
      <c r="AP132" s="782"/>
      <c r="AQ132" s="782"/>
      <c r="AR132" s="782"/>
      <c r="AS132" s="782"/>
      <c r="AT132" s="782"/>
      <c r="AU132" s="782"/>
      <c r="AV132" s="782"/>
      <c r="AW132" s="782"/>
      <c r="AX132" s="782"/>
      <c r="AY132" s="782"/>
      <c r="AZ132" s="782"/>
      <c r="BA132" s="782"/>
      <c r="BB132" s="782"/>
      <c r="BC132" s="782"/>
      <c r="BD132" s="782"/>
      <c r="BE132" s="782"/>
      <c r="BF132" s="782"/>
      <c r="BG132" s="782"/>
      <c r="BH132" s="782"/>
      <c r="BI132" s="782"/>
      <c r="BJ132" s="782"/>
      <c r="BK132" s="782"/>
      <c r="BL132" s="782"/>
      <c r="BM132" s="782"/>
      <c r="BN132" s="782"/>
      <c r="BO132" s="782"/>
      <c r="BP132" s="782"/>
      <c r="BQ132" s="782"/>
      <c r="BR132" s="782"/>
      <c r="BS132" s="782"/>
      <c r="BT132" s="782"/>
      <c r="BU132" s="782"/>
      <c r="BV132" s="782"/>
      <c r="BW132" s="782"/>
      <c r="BX132" s="782"/>
      <c r="BY132" s="782"/>
      <c r="BZ132" s="782"/>
      <c r="CA132" s="782"/>
      <c r="CB132" s="782"/>
      <c r="CC132" s="782"/>
      <c r="CD132" s="782"/>
      <c r="CE132" s="782"/>
      <c r="CF132" s="782"/>
      <c r="CG132" s="782"/>
      <c r="CH132" s="782"/>
      <c r="CI132" s="782"/>
      <c r="CJ132" s="782"/>
      <c r="CK132" s="782"/>
      <c r="CL132" s="782"/>
      <c r="CM132" s="782"/>
      <c r="CN132" s="782"/>
      <c r="CO132" s="782"/>
      <c r="CP132" s="782"/>
      <c r="CQ132" s="782"/>
      <c r="CR132" s="782"/>
      <c r="CS132" s="782"/>
      <c r="CT132" s="782"/>
      <c r="CU132" s="782"/>
      <c r="CV132" s="782"/>
      <c r="CW132" s="782"/>
      <c r="CX132" s="782"/>
      <c r="CY132" s="782"/>
      <c r="CZ132" s="782"/>
      <c r="DA132" s="782"/>
      <c r="DB132" s="782"/>
      <c r="DC132" s="782"/>
      <c r="DD132" s="782"/>
      <c r="DE132" s="782"/>
      <c r="DF132" s="782"/>
      <c r="DG132" s="782"/>
      <c r="DH132" s="782"/>
      <c r="DI132" s="782"/>
      <c r="DJ132" s="782"/>
      <c r="DK132" s="782"/>
      <c r="DL132" s="782"/>
      <c r="DM132" s="782"/>
      <c r="DN132" s="782"/>
      <c r="DO132" s="782"/>
      <c r="DP132" s="782"/>
      <c r="DQ132" s="782"/>
      <c r="DR132" s="782"/>
      <c r="DS132" s="782"/>
      <c r="DT132" s="782"/>
      <c r="DU132" s="782"/>
      <c r="DV132" s="782"/>
      <c r="DW132" s="782"/>
      <c r="DX132" s="782"/>
      <c r="DY132" s="782"/>
      <c r="DZ132" s="782"/>
      <c r="EA132" s="782"/>
      <c r="EB132" s="782"/>
      <c r="EC132" s="782"/>
      <c r="ED132" s="782"/>
      <c r="EE132" s="782"/>
      <c r="EF132" s="782"/>
      <c r="EG132" s="782"/>
      <c r="EH132" s="782"/>
    </row>
    <row r="133" spans="1:138" ht="12.75" customHeight="1" x14ac:dyDescent="0.3">
      <c r="A133" s="782"/>
      <c r="B133" s="782"/>
      <c r="C133" s="782"/>
      <c r="D133" s="782"/>
      <c r="E133" s="782"/>
      <c r="F133" s="782"/>
      <c r="G133" s="782"/>
      <c r="H133" s="782"/>
      <c r="I133" s="782"/>
      <c r="J133" s="782"/>
      <c r="K133" s="782"/>
      <c r="L133" s="782"/>
      <c r="M133" s="782"/>
      <c r="N133" s="782"/>
      <c r="O133" s="782"/>
      <c r="P133" s="782"/>
      <c r="Q133" s="782"/>
      <c r="R133" s="782"/>
      <c r="S133" s="782"/>
      <c r="T133" s="782"/>
      <c r="U133" s="782"/>
      <c r="V133" s="782"/>
      <c r="W133" s="782"/>
      <c r="X133" s="782"/>
      <c r="Y133" s="782"/>
      <c r="Z133" s="782"/>
      <c r="AA133" s="782"/>
      <c r="AB133" s="782"/>
      <c r="AC133" s="782"/>
      <c r="AD133" s="782"/>
      <c r="AE133" s="782"/>
      <c r="AF133" s="782"/>
      <c r="AG133" s="782"/>
      <c r="AH133" s="782"/>
      <c r="AI133" s="782"/>
      <c r="AJ133" s="782"/>
      <c r="AK133" s="782"/>
      <c r="AL133" s="782"/>
      <c r="AM133" s="782"/>
      <c r="AN133" s="782"/>
      <c r="AO133" s="782"/>
      <c r="AP133" s="782"/>
      <c r="AQ133" s="782"/>
      <c r="AR133" s="782"/>
      <c r="AS133" s="782"/>
      <c r="AT133" s="782"/>
      <c r="AU133" s="782"/>
      <c r="AV133" s="782"/>
      <c r="AW133" s="782"/>
      <c r="AX133" s="782"/>
      <c r="AY133" s="782"/>
      <c r="AZ133" s="782"/>
      <c r="BA133" s="782"/>
      <c r="BB133" s="782"/>
      <c r="BC133" s="782"/>
      <c r="BD133" s="782"/>
      <c r="BE133" s="782"/>
      <c r="BF133" s="782"/>
      <c r="BG133" s="782"/>
      <c r="BH133" s="782"/>
      <c r="BI133" s="782"/>
      <c r="BJ133" s="782"/>
      <c r="BK133" s="782"/>
      <c r="BL133" s="782"/>
      <c r="BM133" s="782"/>
      <c r="BN133" s="782"/>
      <c r="BO133" s="782"/>
      <c r="BP133" s="782"/>
      <c r="BQ133" s="782"/>
      <c r="BR133" s="782"/>
      <c r="BS133" s="782"/>
      <c r="BT133" s="782"/>
      <c r="BU133" s="782"/>
      <c r="BV133" s="782"/>
      <c r="BW133" s="782"/>
      <c r="BX133" s="782"/>
      <c r="BY133" s="782"/>
      <c r="BZ133" s="782"/>
      <c r="CA133" s="782"/>
      <c r="CB133" s="782"/>
      <c r="CC133" s="782"/>
      <c r="CD133" s="782"/>
      <c r="CE133" s="782"/>
      <c r="CF133" s="782"/>
      <c r="CG133" s="782"/>
      <c r="CH133" s="782"/>
      <c r="CI133" s="782"/>
      <c r="CJ133" s="782"/>
      <c r="CK133" s="782"/>
      <c r="CL133" s="782"/>
      <c r="CM133" s="782"/>
      <c r="CN133" s="782"/>
      <c r="CO133" s="782"/>
      <c r="CP133" s="782"/>
      <c r="CQ133" s="782"/>
      <c r="CR133" s="782"/>
      <c r="CS133" s="782"/>
      <c r="CT133" s="782"/>
      <c r="CU133" s="782"/>
      <c r="CV133" s="782"/>
      <c r="CW133" s="782"/>
      <c r="CX133" s="782"/>
      <c r="CY133" s="782"/>
      <c r="CZ133" s="782"/>
      <c r="DA133" s="782"/>
      <c r="DB133" s="782"/>
      <c r="DC133" s="782"/>
      <c r="DD133" s="782"/>
      <c r="DE133" s="782"/>
      <c r="DF133" s="782"/>
      <c r="DG133" s="782"/>
      <c r="DH133" s="782"/>
      <c r="DI133" s="782"/>
      <c r="DJ133" s="782"/>
      <c r="DK133" s="782"/>
      <c r="DL133" s="782"/>
      <c r="DM133" s="782"/>
      <c r="DN133" s="782"/>
      <c r="DO133" s="782"/>
      <c r="DP133" s="782"/>
      <c r="DQ133" s="782"/>
      <c r="DR133" s="782"/>
      <c r="DS133" s="782"/>
      <c r="DT133" s="782"/>
      <c r="DU133" s="782"/>
      <c r="DV133" s="782"/>
      <c r="DW133" s="782"/>
      <c r="DX133" s="782"/>
      <c r="DY133" s="782"/>
      <c r="DZ133" s="782"/>
      <c r="EA133" s="782"/>
      <c r="EB133" s="782"/>
      <c r="EC133" s="782"/>
      <c r="ED133" s="782"/>
      <c r="EE133" s="782"/>
      <c r="EF133" s="782"/>
      <c r="EG133" s="782"/>
      <c r="EH133" s="782"/>
    </row>
    <row r="134" spans="1:138" ht="12.75" customHeight="1" x14ac:dyDescent="0.3">
      <c r="A134" s="782"/>
      <c r="B134" s="781" t="s">
        <v>24</v>
      </c>
      <c r="C134" s="799">
        <f>SUM(E134:EG134)</f>
        <v>-2484102.2661145795</v>
      </c>
      <c r="D134" s="781"/>
      <c r="E134" s="799">
        <f t="shared" ref="E134:BP134" si="127">E11*E37</f>
        <v>0</v>
      </c>
      <c r="F134" s="799">
        <f t="shared" si="127"/>
        <v>0</v>
      </c>
      <c r="G134" s="799">
        <f t="shared" si="127"/>
        <v>0</v>
      </c>
      <c r="H134" s="799">
        <f t="shared" si="127"/>
        <v>0</v>
      </c>
      <c r="I134" s="799">
        <f t="shared" si="127"/>
        <v>0</v>
      </c>
      <c r="J134" s="799">
        <f t="shared" si="127"/>
        <v>0</v>
      </c>
      <c r="K134" s="799">
        <f t="shared" si="127"/>
        <v>0</v>
      </c>
      <c r="L134" s="799">
        <f t="shared" si="127"/>
        <v>0</v>
      </c>
      <c r="M134" s="799">
        <f t="shared" si="127"/>
        <v>0</v>
      </c>
      <c r="N134" s="799">
        <f t="shared" si="127"/>
        <v>0</v>
      </c>
      <c r="O134" s="799">
        <f t="shared" si="127"/>
        <v>0</v>
      </c>
      <c r="P134" s="799">
        <f t="shared" si="127"/>
        <v>0</v>
      </c>
      <c r="Q134" s="799">
        <f t="shared" si="127"/>
        <v>0</v>
      </c>
      <c r="R134" s="799">
        <f t="shared" si="127"/>
        <v>0</v>
      </c>
      <c r="S134" s="799">
        <f t="shared" si="127"/>
        <v>0</v>
      </c>
      <c r="T134" s="799">
        <f t="shared" si="127"/>
        <v>0</v>
      </c>
      <c r="U134" s="799">
        <f t="shared" si="127"/>
        <v>0</v>
      </c>
      <c r="V134" s="799">
        <f t="shared" si="127"/>
        <v>0</v>
      </c>
      <c r="W134" s="799">
        <f t="shared" si="127"/>
        <v>0</v>
      </c>
      <c r="X134" s="799">
        <f t="shared" si="127"/>
        <v>0</v>
      </c>
      <c r="Y134" s="799">
        <f t="shared" si="127"/>
        <v>0</v>
      </c>
      <c r="Z134" s="799">
        <f t="shared" si="127"/>
        <v>0</v>
      </c>
      <c r="AA134" s="799">
        <f t="shared" si="127"/>
        <v>0</v>
      </c>
      <c r="AB134" s="799">
        <f t="shared" si="127"/>
        <v>0</v>
      </c>
      <c r="AC134" s="799">
        <f t="shared" si="127"/>
        <v>0</v>
      </c>
      <c r="AD134" s="799">
        <f t="shared" si="127"/>
        <v>0</v>
      </c>
      <c r="AE134" s="799">
        <f t="shared" si="127"/>
        <v>0</v>
      </c>
      <c r="AF134" s="799">
        <f t="shared" si="127"/>
        <v>0</v>
      </c>
      <c r="AG134" s="799">
        <f t="shared" si="127"/>
        <v>0</v>
      </c>
      <c r="AH134" s="799">
        <f t="shared" si="127"/>
        <v>0</v>
      </c>
      <c r="AI134" s="799">
        <f t="shared" si="127"/>
        <v>0</v>
      </c>
      <c r="AJ134" s="799">
        <f t="shared" si="127"/>
        <v>0</v>
      </c>
      <c r="AK134" s="799">
        <f t="shared" si="127"/>
        <v>0</v>
      </c>
      <c r="AL134" s="799">
        <f t="shared" si="127"/>
        <v>-34753.704186440933</v>
      </c>
      <c r="AM134" s="799">
        <f t="shared" si="127"/>
        <v>-34895.827342692981</v>
      </c>
      <c r="AN134" s="799">
        <f t="shared" si="127"/>
        <v>-35035.223265853776</v>
      </c>
      <c r="AO134" s="799">
        <f t="shared" si="127"/>
        <v>-35171.468378084879</v>
      </c>
      <c r="AP134" s="799">
        <f t="shared" si="127"/>
        <v>-35304.135973486802</v>
      </c>
      <c r="AQ134" s="799">
        <f t="shared" si="127"/>
        <v>-35434.145879251511</v>
      </c>
      <c r="AR134" s="799">
        <f t="shared" si="127"/>
        <v>-35558.413849472425</v>
      </c>
      <c r="AS134" s="799">
        <f t="shared" si="127"/>
        <v>-35677.371569744464</v>
      </c>
      <c r="AT134" s="799">
        <f t="shared" si="127"/>
        <v>-35800.782286288326</v>
      </c>
      <c r="AU134" s="799">
        <f t="shared" si="127"/>
        <v>-35921.306056616362</v>
      </c>
      <c r="AV134" s="799">
        <f t="shared" si="127"/>
        <v>-36039.295521643005</v>
      </c>
      <c r="AW134" s="799">
        <f t="shared" si="127"/>
        <v>-36153.994190473044</v>
      </c>
      <c r="AX134" s="799">
        <f t="shared" si="127"/>
        <v>-36266.203924179419</v>
      </c>
      <c r="AY134" s="799">
        <f t="shared" si="127"/>
        <v>-36376.733034366072</v>
      </c>
      <c r="AZ134" s="799">
        <f t="shared" si="127"/>
        <v>-36486.396322463166</v>
      </c>
      <c r="BA134" s="799">
        <f t="shared" si="127"/>
        <v>-36596.015119237964</v>
      </c>
      <c r="BB134" s="799">
        <f t="shared" si="127"/>
        <v>-36706.417324522576</v>
      </c>
      <c r="BC134" s="799">
        <f t="shared" si="127"/>
        <v>-36817.912447002811</v>
      </c>
      <c r="BD134" s="799">
        <f t="shared" si="127"/>
        <v>-36932.298194769312</v>
      </c>
      <c r="BE134" s="799">
        <f t="shared" si="127"/>
        <v>-37049.848850175731</v>
      </c>
      <c r="BF134" s="799">
        <f t="shared" si="127"/>
        <v>-37168.013350733701</v>
      </c>
      <c r="BG134" s="799">
        <f t="shared" si="127"/>
        <v>-37288.282672097288</v>
      </c>
      <c r="BH134" s="799">
        <f t="shared" si="127"/>
        <v>-37410.540457934789</v>
      </c>
      <c r="BI134" s="799">
        <f t="shared" si="127"/>
        <v>-37535.583747769619</v>
      </c>
      <c r="BJ134" s="799">
        <f t="shared" si="127"/>
        <v>-37663.147959803231</v>
      </c>
      <c r="BK134" s="799">
        <f t="shared" si="127"/>
        <v>-37792.966516123437</v>
      </c>
      <c r="BL134" s="799">
        <f t="shared" si="127"/>
        <v>-37924.770831500216</v>
      </c>
      <c r="BM134" s="799">
        <f t="shared" si="127"/>
        <v>-38058.290302125541</v>
      </c>
      <c r="BN134" s="799">
        <f t="shared" si="127"/>
        <v>-38193.252294296908</v>
      </c>
      <c r="BO134" s="799">
        <f t="shared" si="127"/>
        <v>-38329.007585648404</v>
      </c>
      <c r="BP134" s="799">
        <f t="shared" si="127"/>
        <v>-38466.059302936665</v>
      </c>
      <c r="BQ134" s="799">
        <f t="shared" ref="BQ134:EB134" si="128">BQ11*BQ37</f>
        <v>-38604.026977856192</v>
      </c>
      <c r="BR134" s="799">
        <f t="shared" si="128"/>
        <v>-38741.335006676694</v>
      </c>
      <c r="BS134" s="799">
        <f t="shared" si="128"/>
        <v>-38879.066865002773</v>
      </c>
      <c r="BT134" s="799">
        <f t="shared" si="128"/>
        <v>-39017.223711387065</v>
      </c>
      <c r="BU134" s="799">
        <f t="shared" si="128"/>
        <v>-39155.99735116629</v>
      </c>
      <c r="BV134" s="799">
        <f t="shared" si="128"/>
        <v>-39295.390267066752</v>
      </c>
      <c r="BW134" s="799">
        <f t="shared" si="128"/>
        <v>-39435.404951925862</v>
      </c>
      <c r="BX134" s="799">
        <f t="shared" si="128"/>
        <v>-39576.04390873362</v>
      </c>
      <c r="BY134" s="799">
        <f t="shared" si="128"/>
        <v>-39717.3096506742</v>
      </c>
      <c r="BZ134" s="799">
        <f t="shared" si="128"/>
        <v>-39859.204701167859</v>
      </c>
      <c r="CA134" s="799">
        <f t="shared" si="128"/>
        <v>-40001.536156669019</v>
      </c>
      <c r="CB134" s="799">
        <f t="shared" si="128"/>
        <v>-40144.697165491794</v>
      </c>
      <c r="CC134" s="799">
        <f t="shared" si="128"/>
        <v>-40288.585743200565</v>
      </c>
      <c r="CD134" s="799">
        <f t="shared" si="128"/>
        <v>-40431.79148012428</v>
      </c>
      <c r="CE134" s="799">
        <f t="shared" si="128"/>
        <v>-40575.438413916876</v>
      </c>
      <c r="CF134" s="799">
        <f t="shared" si="128"/>
        <v>-40719.527750751709</v>
      </c>
      <c r="CG134" s="799">
        <f t="shared" si="128"/>
        <v>-40864.259402146206</v>
      </c>
      <c r="CH134" s="799">
        <f t="shared" si="128"/>
        <v>-41009.635954412988</v>
      </c>
      <c r="CI134" s="799">
        <f t="shared" si="128"/>
        <v>-41155.660004399819</v>
      </c>
      <c r="CJ134" s="799">
        <f t="shared" si="128"/>
        <v>-41302.334159532802</v>
      </c>
      <c r="CK134" s="799">
        <f t="shared" si="128"/>
        <v>-41449.661037859827</v>
      </c>
      <c r="CL134" s="799">
        <f t="shared" si="128"/>
        <v>-41597.643268094085</v>
      </c>
      <c r="CM134" s="799">
        <f t="shared" si="128"/>
        <v>-41746.079791359865</v>
      </c>
      <c r="CN134" s="799">
        <f t="shared" si="128"/>
        <v>-41895.380372815656</v>
      </c>
      <c r="CO134" s="799">
        <f t="shared" si="128"/>
        <v>-42045.43871580335</v>
      </c>
      <c r="CP134" s="799">
        <f t="shared" si="128"/>
        <v>-42194.78976299744</v>
      </c>
      <c r="CQ134" s="799">
        <f t="shared" si="128"/>
        <v>-42344.600092103043</v>
      </c>
      <c r="CR134" s="799">
        <f t="shared" si="128"/>
        <v>-42494.870958886546</v>
      </c>
      <c r="CS134" s="799">
        <f t="shared" si="128"/>
        <v>-42645.810723650524</v>
      </c>
      <c r="CT134" s="799">
        <f t="shared" si="128"/>
        <v>-42797.422080631724</v>
      </c>
      <c r="CU134" s="799">
        <f t="shared" si="128"/>
        <v>-42949.707735043899</v>
      </c>
      <c r="CV134" s="799">
        <f t="shared" si="128"/>
        <v>-43102.670403122851</v>
      </c>
      <c r="CW134" s="799">
        <f t="shared" si="128"/>
        <v>-43256.312812171636</v>
      </c>
      <c r="CX134" s="799">
        <f t="shared" si="128"/>
        <v>0</v>
      </c>
      <c r="CY134" s="799">
        <f t="shared" si="128"/>
        <v>0</v>
      </c>
      <c r="CZ134" s="799">
        <f t="shared" si="128"/>
        <v>0</v>
      </c>
      <c r="DA134" s="799">
        <f t="shared" si="128"/>
        <v>0</v>
      </c>
      <c r="DB134" s="799">
        <f t="shared" si="128"/>
        <v>0</v>
      </c>
      <c r="DC134" s="799">
        <f t="shared" si="128"/>
        <v>0</v>
      </c>
      <c r="DD134" s="799">
        <f t="shared" si="128"/>
        <v>0</v>
      </c>
      <c r="DE134" s="799">
        <f t="shared" si="128"/>
        <v>0</v>
      </c>
      <c r="DF134" s="799">
        <f t="shared" si="128"/>
        <v>0</v>
      </c>
      <c r="DG134" s="799">
        <f t="shared" si="128"/>
        <v>0</v>
      </c>
      <c r="DH134" s="799">
        <f t="shared" si="128"/>
        <v>0</v>
      </c>
      <c r="DI134" s="799">
        <f t="shared" si="128"/>
        <v>0</v>
      </c>
      <c r="DJ134" s="799">
        <f t="shared" si="128"/>
        <v>0</v>
      </c>
      <c r="DK134" s="799">
        <f t="shared" si="128"/>
        <v>0</v>
      </c>
      <c r="DL134" s="799">
        <f t="shared" si="128"/>
        <v>0</v>
      </c>
      <c r="DM134" s="799">
        <f t="shared" si="128"/>
        <v>0</v>
      </c>
      <c r="DN134" s="799">
        <f t="shared" si="128"/>
        <v>0</v>
      </c>
      <c r="DO134" s="799">
        <f t="shared" si="128"/>
        <v>0</v>
      </c>
      <c r="DP134" s="799">
        <f t="shared" si="128"/>
        <v>0</v>
      </c>
      <c r="DQ134" s="799">
        <f t="shared" si="128"/>
        <v>0</v>
      </c>
      <c r="DR134" s="799">
        <f t="shared" si="128"/>
        <v>0</v>
      </c>
      <c r="DS134" s="799">
        <f t="shared" si="128"/>
        <v>0</v>
      </c>
      <c r="DT134" s="799">
        <f t="shared" si="128"/>
        <v>0</v>
      </c>
      <c r="DU134" s="799">
        <f t="shared" si="128"/>
        <v>0</v>
      </c>
      <c r="DV134" s="799">
        <f t="shared" si="128"/>
        <v>0</v>
      </c>
      <c r="DW134" s="799">
        <f t="shared" si="128"/>
        <v>0</v>
      </c>
      <c r="DX134" s="799">
        <f t="shared" si="128"/>
        <v>0</v>
      </c>
      <c r="DY134" s="799">
        <f t="shared" si="128"/>
        <v>0</v>
      </c>
      <c r="DZ134" s="799">
        <f t="shared" si="128"/>
        <v>0</v>
      </c>
      <c r="EA134" s="799">
        <f t="shared" si="128"/>
        <v>0</v>
      </c>
      <c r="EB134" s="799">
        <f t="shared" si="128"/>
        <v>0</v>
      </c>
      <c r="EC134" s="799">
        <f>EC11*EC37</f>
        <v>0</v>
      </c>
      <c r="ED134" s="799">
        <f>ED11*ED37</f>
        <v>0</v>
      </c>
      <c r="EE134" s="799">
        <f>EE11*EE37</f>
        <v>0</v>
      </c>
      <c r="EF134" s="799">
        <f>EF11*EF37</f>
        <v>0</v>
      </c>
      <c r="EG134" s="799">
        <f>EG11*EG37</f>
        <v>0</v>
      </c>
      <c r="EH134" s="782"/>
    </row>
    <row r="135" spans="1:138" ht="12.75" customHeight="1" x14ac:dyDescent="0.3">
      <c r="A135" s="782"/>
      <c r="B135" s="782" t="s">
        <v>25</v>
      </c>
      <c r="C135" s="798">
        <f>SUM(E135:EG135)</f>
        <v>40910404.266996697</v>
      </c>
      <c r="D135" s="782"/>
      <c r="E135" s="798">
        <f>SUM(E134,E131)</f>
        <v>0</v>
      </c>
      <c r="F135" s="798">
        <f t="shared" ref="F135:BQ135" si="129">SUM(F134,F131)</f>
        <v>0</v>
      </c>
      <c r="G135" s="798">
        <f t="shared" si="129"/>
        <v>0</v>
      </c>
      <c r="H135" s="798">
        <f t="shared" si="129"/>
        <v>0</v>
      </c>
      <c r="I135" s="798">
        <f t="shared" si="129"/>
        <v>0</v>
      </c>
      <c r="J135" s="798">
        <f t="shared" si="129"/>
        <v>0</v>
      </c>
      <c r="K135" s="798">
        <f t="shared" si="129"/>
        <v>0</v>
      </c>
      <c r="L135" s="798">
        <f t="shared" si="129"/>
        <v>0</v>
      </c>
      <c r="M135" s="798">
        <f t="shared" si="129"/>
        <v>0</v>
      </c>
      <c r="N135" s="798">
        <f t="shared" si="129"/>
        <v>0</v>
      </c>
      <c r="O135" s="798">
        <f t="shared" si="129"/>
        <v>0</v>
      </c>
      <c r="P135" s="798">
        <f t="shared" si="129"/>
        <v>0</v>
      </c>
      <c r="Q135" s="798">
        <f t="shared" si="129"/>
        <v>0</v>
      </c>
      <c r="R135" s="798">
        <f t="shared" si="129"/>
        <v>0</v>
      </c>
      <c r="S135" s="798">
        <f t="shared" si="129"/>
        <v>0</v>
      </c>
      <c r="T135" s="798">
        <f t="shared" si="129"/>
        <v>0</v>
      </c>
      <c r="U135" s="798">
        <f t="shared" si="129"/>
        <v>0</v>
      </c>
      <c r="V135" s="798">
        <f t="shared" si="129"/>
        <v>0</v>
      </c>
      <c r="W135" s="798">
        <f t="shared" si="129"/>
        <v>0</v>
      </c>
      <c r="X135" s="798">
        <f t="shared" si="129"/>
        <v>0</v>
      </c>
      <c r="Y135" s="798">
        <f t="shared" si="129"/>
        <v>0</v>
      </c>
      <c r="Z135" s="798">
        <f t="shared" si="129"/>
        <v>0</v>
      </c>
      <c r="AA135" s="798">
        <f t="shared" si="129"/>
        <v>0</v>
      </c>
      <c r="AB135" s="798">
        <f t="shared" si="129"/>
        <v>0</v>
      </c>
      <c r="AC135" s="798">
        <f t="shared" si="129"/>
        <v>0</v>
      </c>
      <c r="AD135" s="798">
        <f t="shared" si="129"/>
        <v>0</v>
      </c>
      <c r="AE135" s="798">
        <f t="shared" si="129"/>
        <v>0</v>
      </c>
      <c r="AF135" s="798">
        <f t="shared" si="129"/>
        <v>0</v>
      </c>
      <c r="AG135" s="798">
        <f t="shared" si="129"/>
        <v>0</v>
      </c>
      <c r="AH135" s="798">
        <f t="shared" si="129"/>
        <v>0</v>
      </c>
      <c r="AI135" s="798">
        <f t="shared" si="129"/>
        <v>0</v>
      </c>
      <c r="AJ135" s="798">
        <f t="shared" si="129"/>
        <v>0</v>
      </c>
      <c r="AK135" s="798">
        <f t="shared" si="129"/>
        <v>-61383319.172322795</v>
      </c>
      <c r="AL135" s="798">
        <f t="shared" si="129"/>
        <v>14315530.3242827</v>
      </c>
      <c r="AM135" s="798">
        <f t="shared" si="129"/>
        <v>205293.34606116661</v>
      </c>
      <c r="AN135" s="798">
        <f t="shared" si="129"/>
        <v>207793.40423970085</v>
      </c>
      <c r="AO135" s="798">
        <f t="shared" si="129"/>
        <v>210260.10262606523</v>
      </c>
      <c r="AP135" s="798">
        <f t="shared" si="129"/>
        <v>211885.65974115423</v>
      </c>
      <c r="AQ135" s="798">
        <f t="shared" si="129"/>
        <v>215188.01193420406</v>
      </c>
      <c r="AR135" s="798">
        <f t="shared" si="129"/>
        <v>218012.9416200624</v>
      </c>
      <c r="AS135" s="798">
        <f t="shared" si="129"/>
        <v>213181.07686987985</v>
      </c>
      <c r="AT135" s="798">
        <f t="shared" si="129"/>
        <v>214770.00861920218</v>
      </c>
      <c r="AU135" s="798">
        <f t="shared" si="129"/>
        <v>216264.46058470523</v>
      </c>
      <c r="AV135" s="798">
        <f t="shared" si="129"/>
        <v>218515.59404432448</v>
      </c>
      <c r="AW135" s="798">
        <f t="shared" si="129"/>
        <v>220675.94358853242</v>
      </c>
      <c r="AX135" s="798">
        <f t="shared" si="129"/>
        <v>222710.56184153532</v>
      </c>
      <c r="AY135" s="798">
        <f t="shared" si="129"/>
        <v>224665.72728851769</v>
      </c>
      <c r="AZ135" s="798">
        <f t="shared" si="129"/>
        <v>226548.52262565284</v>
      </c>
      <c r="BA135" s="798">
        <f t="shared" si="129"/>
        <v>228304.85297686295</v>
      </c>
      <c r="BB135" s="798">
        <f t="shared" si="129"/>
        <v>229344.9930368007</v>
      </c>
      <c r="BC135" s="798">
        <f t="shared" si="129"/>
        <v>231542.10904179295</v>
      </c>
      <c r="BD135" s="798">
        <f t="shared" si="129"/>
        <v>233317.7080138704</v>
      </c>
      <c r="BE135" s="798">
        <f t="shared" si="129"/>
        <v>229013.16839337221</v>
      </c>
      <c r="BF135" s="798">
        <f t="shared" si="129"/>
        <v>229911.66091752306</v>
      </c>
      <c r="BG135" s="798">
        <f t="shared" si="129"/>
        <v>230813.78680437503</v>
      </c>
      <c r="BH135" s="798">
        <f t="shared" si="129"/>
        <v>232345.63973502186</v>
      </c>
      <c r="BI135" s="798">
        <f t="shared" si="129"/>
        <v>233902.4265315792</v>
      </c>
      <c r="BJ135" s="798">
        <f t="shared" si="129"/>
        <v>235545.94755839423</v>
      </c>
      <c r="BK135" s="798">
        <f t="shared" si="129"/>
        <v>237262.50476525677</v>
      </c>
      <c r="BL135" s="798">
        <f t="shared" si="129"/>
        <v>238991.57351446556</v>
      </c>
      <c r="BM135" s="798">
        <f t="shared" si="129"/>
        <v>240811.21361387809</v>
      </c>
      <c r="BN135" s="798">
        <f t="shared" si="129"/>
        <v>242002.34658988175</v>
      </c>
      <c r="BO135" s="798">
        <f t="shared" si="129"/>
        <v>244627.30669974274</v>
      </c>
      <c r="BP135" s="798">
        <f t="shared" si="129"/>
        <v>246922.0418636211</v>
      </c>
      <c r="BQ135" s="798">
        <f t="shared" si="129"/>
        <v>242733.25370419392</v>
      </c>
      <c r="BR135" s="798">
        <f t="shared" ref="BR135:EC135" si="130">SUM(BR134,BR131)</f>
        <v>244033.96696505454</v>
      </c>
      <c r="BS135" s="798">
        <f t="shared" si="130"/>
        <v>245313.14997026659</v>
      </c>
      <c r="BT135" s="798">
        <f t="shared" si="130"/>
        <v>247377.11673495109</v>
      </c>
      <c r="BU135" s="798">
        <f t="shared" si="130"/>
        <v>249414.97281073497</v>
      </c>
      <c r="BV135" s="798">
        <f t="shared" si="130"/>
        <v>251479.3205969065</v>
      </c>
      <c r="BW135" s="798">
        <f t="shared" si="130"/>
        <v>253576.88775609701</v>
      </c>
      <c r="BX135" s="798">
        <f t="shared" si="130"/>
        <v>255660.88139998799</v>
      </c>
      <c r="BY135" s="798">
        <f t="shared" si="130"/>
        <v>257780.55934433491</v>
      </c>
      <c r="BZ135" s="798">
        <f t="shared" si="130"/>
        <v>259130.53765731424</v>
      </c>
      <c r="CA135" s="798">
        <f t="shared" si="130"/>
        <v>262044.06866613019</v>
      </c>
      <c r="CB135" s="798">
        <f t="shared" si="130"/>
        <v>264568.88723862561</v>
      </c>
      <c r="CC135" s="798">
        <f t="shared" si="130"/>
        <v>260334.62676779419</v>
      </c>
      <c r="CD135" s="798">
        <f t="shared" si="130"/>
        <v>261766.27506953065</v>
      </c>
      <c r="CE135" s="798">
        <f t="shared" si="130"/>
        <v>263169.39895795332</v>
      </c>
      <c r="CF135" s="798">
        <f t="shared" si="130"/>
        <v>265374.12330500968</v>
      </c>
      <c r="CG135" s="798">
        <f t="shared" si="130"/>
        <v>267569.84631198365</v>
      </c>
      <c r="CH135" s="798">
        <f t="shared" si="130"/>
        <v>269785.75663471175</v>
      </c>
      <c r="CI135" s="798">
        <f t="shared" si="130"/>
        <v>271981.27502716507</v>
      </c>
      <c r="CJ135" s="798">
        <f t="shared" si="130"/>
        <v>274209.9614994725</v>
      </c>
      <c r="CK135" s="798">
        <f t="shared" si="130"/>
        <v>276471.37765448482</v>
      </c>
      <c r="CL135" s="798">
        <f t="shared" si="130"/>
        <v>277910.21305872517</v>
      </c>
      <c r="CM135" s="798">
        <f t="shared" si="130"/>
        <v>280971.24051798158</v>
      </c>
      <c r="CN135" s="798">
        <f t="shared" si="130"/>
        <v>283611.40197433194</v>
      </c>
      <c r="CO135" s="798">
        <f t="shared" si="130"/>
        <v>279273.11677509604</v>
      </c>
      <c r="CP135" s="798">
        <f t="shared" si="130"/>
        <v>280770.93938649778</v>
      </c>
      <c r="CQ135" s="798">
        <f t="shared" si="130"/>
        <v>282239.46279127692</v>
      </c>
      <c r="CR135" s="798">
        <f t="shared" si="130"/>
        <v>284516.27143163967</v>
      </c>
      <c r="CS135" s="798">
        <f t="shared" si="130"/>
        <v>286814.10642290174</v>
      </c>
      <c r="CT135" s="798">
        <f t="shared" si="130"/>
        <v>289146.38855799765</v>
      </c>
      <c r="CU135" s="798">
        <f t="shared" si="130"/>
        <v>291451.51423692808</v>
      </c>
      <c r="CV135" s="798">
        <f t="shared" si="130"/>
        <v>293779.70006957493</v>
      </c>
      <c r="CW135" s="798">
        <f t="shared" si="130"/>
        <v>72613507.873999998</v>
      </c>
      <c r="CX135" s="798">
        <f t="shared" si="130"/>
        <v>0</v>
      </c>
      <c r="CY135" s="798">
        <f t="shared" si="130"/>
        <v>0</v>
      </c>
      <c r="CZ135" s="798">
        <f t="shared" si="130"/>
        <v>0</v>
      </c>
      <c r="DA135" s="798">
        <f t="shared" si="130"/>
        <v>0</v>
      </c>
      <c r="DB135" s="798">
        <f t="shared" si="130"/>
        <v>0</v>
      </c>
      <c r="DC135" s="798">
        <f t="shared" si="130"/>
        <v>0</v>
      </c>
      <c r="DD135" s="798">
        <f t="shared" si="130"/>
        <v>0</v>
      </c>
      <c r="DE135" s="798">
        <f t="shared" si="130"/>
        <v>0</v>
      </c>
      <c r="DF135" s="798">
        <f t="shared" si="130"/>
        <v>0</v>
      </c>
      <c r="DG135" s="798">
        <f t="shared" si="130"/>
        <v>0</v>
      </c>
      <c r="DH135" s="798">
        <f t="shared" si="130"/>
        <v>0</v>
      </c>
      <c r="DI135" s="798">
        <f t="shared" si="130"/>
        <v>0</v>
      </c>
      <c r="DJ135" s="798">
        <f t="shared" si="130"/>
        <v>0</v>
      </c>
      <c r="DK135" s="798">
        <f t="shared" si="130"/>
        <v>0</v>
      </c>
      <c r="DL135" s="798">
        <f t="shared" si="130"/>
        <v>0</v>
      </c>
      <c r="DM135" s="798">
        <f t="shared" si="130"/>
        <v>0</v>
      </c>
      <c r="DN135" s="798">
        <f t="shared" si="130"/>
        <v>0</v>
      </c>
      <c r="DO135" s="798">
        <f t="shared" si="130"/>
        <v>0</v>
      </c>
      <c r="DP135" s="798">
        <f t="shared" si="130"/>
        <v>0</v>
      </c>
      <c r="DQ135" s="798">
        <f t="shared" si="130"/>
        <v>0</v>
      </c>
      <c r="DR135" s="798">
        <f t="shared" si="130"/>
        <v>0</v>
      </c>
      <c r="DS135" s="798">
        <f t="shared" si="130"/>
        <v>0</v>
      </c>
      <c r="DT135" s="798">
        <f t="shared" si="130"/>
        <v>0</v>
      </c>
      <c r="DU135" s="798">
        <f t="shared" si="130"/>
        <v>0</v>
      </c>
      <c r="DV135" s="798">
        <f t="shared" si="130"/>
        <v>0</v>
      </c>
      <c r="DW135" s="798">
        <f t="shared" si="130"/>
        <v>0</v>
      </c>
      <c r="DX135" s="798">
        <f t="shared" si="130"/>
        <v>0</v>
      </c>
      <c r="DY135" s="798">
        <f t="shared" si="130"/>
        <v>0</v>
      </c>
      <c r="DZ135" s="798">
        <f t="shared" si="130"/>
        <v>0</v>
      </c>
      <c r="EA135" s="798">
        <f t="shared" si="130"/>
        <v>0</v>
      </c>
      <c r="EB135" s="798">
        <f t="shared" si="130"/>
        <v>0</v>
      </c>
      <c r="EC135" s="798">
        <f t="shared" si="130"/>
        <v>0</v>
      </c>
      <c r="ED135" s="798">
        <f>SUM(ED134,ED131)</f>
        <v>0</v>
      </c>
      <c r="EE135" s="798">
        <f>SUM(EE134,EE131)</f>
        <v>0</v>
      </c>
      <c r="EF135" s="798">
        <f>SUM(EF134,EF131)</f>
        <v>0</v>
      </c>
      <c r="EG135" s="798">
        <f>SUM(EG134,EG131)</f>
        <v>0</v>
      </c>
      <c r="EH135" s="782"/>
    </row>
    <row r="136" spans="1:138" ht="12.75" customHeight="1" x14ac:dyDescent="0.3">
      <c r="A136" s="782"/>
      <c r="B136" s="800" t="s">
        <v>76</v>
      </c>
      <c r="C136" s="1147">
        <f>XIRR(OFFSET(E135,0,SUMPRODUCT($E$9:$EG$9,$E$5:$EG$5)):EG135,OFFSET($E$4,0,SUMPRODUCT($E$9:$EG$9,$E$5:$EG$5)):$EG$4)</f>
        <v>0.13801112771034243</v>
      </c>
      <c r="D136" s="782"/>
      <c r="E136" s="782"/>
      <c r="F136" s="782"/>
      <c r="G136" s="782"/>
      <c r="H136" s="782"/>
      <c r="I136" s="782"/>
      <c r="J136" s="782"/>
      <c r="K136" s="782"/>
      <c r="L136" s="782"/>
      <c r="M136" s="782"/>
      <c r="N136" s="782"/>
      <c r="O136" s="782"/>
      <c r="P136" s="782"/>
      <c r="Q136" s="782"/>
      <c r="R136" s="782"/>
      <c r="S136" s="782"/>
      <c r="T136" s="782"/>
      <c r="U136" s="782"/>
      <c r="V136" s="782"/>
      <c r="W136" s="782"/>
      <c r="X136" s="782"/>
      <c r="Y136" s="782"/>
      <c r="Z136" s="782"/>
      <c r="AA136" s="782"/>
      <c r="AB136" s="782"/>
      <c r="AC136" s="782"/>
      <c r="AD136" s="782"/>
      <c r="AE136" s="782"/>
      <c r="AF136" s="782"/>
      <c r="AG136" s="782"/>
      <c r="AH136" s="782"/>
      <c r="AI136" s="782"/>
      <c r="AJ136" s="782"/>
      <c r="AK136" s="782"/>
      <c r="AL136" s="782"/>
      <c r="AM136" s="782"/>
      <c r="AN136" s="782"/>
      <c r="AO136" s="782"/>
      <c r="AP136" s="782"/>
      <c r="AQ136" s="782"/>
      <c r="AR136" s="782"/>
      <c r="AS136" s="782"/>
      <c r="AT136" s="782"/>
      <c r="AU136" s="782"/>
      <c r="AV136" s="782"/>
      <c r="AW136" s="782"/>
      <c r="AX136" s="782"/>
      <c r="AY136" s="782"/>
      <c r="AZ136" s="782"/>
      <c r="BA136" s="782"/>
      <c r="BB136" s="782"/>
      <c r="BC136" s="782"/>
      <c r="BD136" s="782"/>
      <c r="BE136" s="782"/>
      <c r="BF136" s="782"/>
      <c r="BG136" s="782"/>
      <c r="BH136" s="782"/>
      <c r="BI136" s="782"/>
      <c r="BJ136" s="782"/>
      <c r="BK136" s="782"/>
      <c r="BL136" s="782"/>
      <c r="BM136" s="782"/>
      <c r="BN136" s="782"/>
      <c r="BO136" s="782"/>
      <c r="BP136" s="782"/>
      <c r="BQ136" s="782"/>
      <c r="BR136" s="782"/>
      <c r="BS136" s="782"/>
      <c r="BT136" s="782"/>
      <c r="BU136" s="782"/>
      <c r="BV136" s="782"/>
      <c r="BW136" s="782"/>
      <c r="BX136" s="782"/>
      <c r="BY136" s="782"/>
      <c r="BZ136" s="782"/>
      <c r="CA136" s="782"/>
      <c r="CB136" s="782"/>
      <c r="CC136" s="782"/>
      <c r="CD136" s="782"/>
      <c r="CE136" s="782"/>
      <c r="CF136" s="782"/>
      <c r="CG136" s="782"/>
      <c r="CH136" s="782"/>
      <c r="CI136" s="782"/>
      <c r="CJ136" s="782"/>
      <c r="CK136" s="782"/>
      <c r="CL136" s="782"/>
      <c r="CM136" s="782"/>
      <c r="CN136" s="782"/>
      <c r="CO136" s="782"/>
      <c r="CP136" s="782"/>
      <c r="CQ136" s="782"/>
      <c r="CR136" s="782"/>
      <c r="CS136" s="782"/>
      <c r="CT136" s="782"/>
      <c r="CU136" s="782"/>
      <c r="CV136" s="782"/>
      <c r="CW136" s="782"/>
      <c r="CX136" s="782"/>
      <c r="CY136" s="782"/>
      <c r="CZ136" s="782"/>
      <c r="DA136" s="782"/>
      <c r="DB136" s="782"/>
      <c r="DC136" s="782"/>
      <c r="DD136" s="782"/>
      <c r="DE136" s="782"/>
      <c r="DF136" s="782"/>
      <c r="DG136" s="782"/>
      <c r="DH136" s="782"/>
      <c r="DI136" s="782"/>
      <c r="DJ136" s="782"/>
      <c r="DK136" s="782"/>
      <c r="DL136" s="782"/>
      <c r="DM136" s="782"/>
      <c r="DN136" s="782"/>
      <c r="DO136" s="782"/>
      <c r="DP136" s="782"/>
      <c r="DQ136" s="782"/>
      <c r="DR136" s="782"/>
      <c r="DS136" s="782"/>
      <c r="DT136" s="782"/>
      <c r="DU136" s="782"/>
      <c r="DV136" s="782"/>
      <c r="DW136" s="782"/>
      <c r="DX136" s="782"/>
      <c r="DY136" s="782"/>
      <c r="DZ136" s="782"/>
      <c r="EA136" s="782"/>
      <c r="EB136" s="782"/>
      <c r="EC136" s="782"/>
      <c r="ED136" s="782"/>
      <c r="EE136" s="782"/>
      <c r="EF136" s="782"/>
      <c r="EG136" s="782"/>
      <c r="EH136" s="782"/>
    </row>
    <row r="137" spans="1:138" ht="12.75" customHeight="1" x14ac:dyDescent="0.3">
      <c r="A137" s="782"/>
      <c r="B137" s="782"/>
      <c r="C137" s="782"/>
      <c r="D137" s="782"/>
      <c r="E137" s="782"/>
      <c r="F137" s="782"/>
      <c r="G137" s="782"/>
      <c r="H137" s="782"/>
      <c r="I137" s="782"/>
      <c r="J137" s="782"/>
      <c r="K137" s="782"/>
      <c r="L137" s="782"/>
      <c r="M137" s="782"/>
      <c r="N137" s="782"/>
      <c r="O137" s="782"/>
      <c r="P137" s="782"/>
      <c r="Q137" s="782"/>
      <c r="R137" s="782"/>
      <c r="S137" s="782"/>
      <c r="T137" s="782"/>
      <c r="U137" s="782"/>
      <c r="V137" s="782"/>
      <c r="W137" s="782"/>
      <c r="X137" s="782"/>
      <c r="Y137" s="782"/>
      <c r="Z137" s="782"/>
      <c r="AA137" s="782"/>
      <c r="AB137" s="782"/>
      <c r="AC137" s="782"/>
      <c r="AD137" s="782"/>
      <c r="AE137" s="809"/>
      <c r="AF137" s="782"/>
      <c r="AG137" s="798"/>
      <c r="AH137" s="782"/>
      <c r="AI137" s="782"/>
      <c r="AJ137" s="782"/>
      <c r="AK137" s="782"/>
      <c r="AL137" s="782"/>
      <c r="AM137" s="782"/>
      <c r="AN137" s="782"/>
      <c r="AO137" s="782"/>
      <c r="AP137" s="782"/>
      <c r="AQ137" s="782"/>
      <c r="AR137" s="782"/>
      <c r="AS137" s="782"/>
      <c r="AT137" s="782"/>
      <c r="AU137" s="782"/>
      <c r="AV137" s="782"/>
      <c r="AW137" s="782"/>
      <c r="AX137" s="782"/>
      <c r="AY137" s="782"/>
      <c r="AZ137" s="782"/>
      <c r="BA137" s="782"/>
      <c r="BB137" s="782"/>
      <c r="BC137" s="782"/>
      <c r="BD137" s="782"/>
      <c r="BE137" s="782"/>
      <c r="BF137" s="782"/>
      <c r="BG137" s="782"/>
      <c r="BH137" s="782"/>
      <c r="BI137" s="782"/>
      <c r="BJ137" s="782"/>
      <c r="BK137" s="782"/>
      <c r="BL137" s="782"/>
      <c r="BM137" s="782"/>
      <c r="BN137" s="782"/>
      <c r="BO137" s="782"/>
      <c r="BP137" s="782"/>
      <c r="BQ137" s="782"/>
      <c r="BR137" s="782"/>
      <c r="BS137" s="782"/>
      <c r="BT137" s="782"/>
      <c r="BU137" s="782"/>
      <c r="BV137" s="782"/>
      <c r="BW137" s="782"/>
      <c r="BX137" s="782"/>
      <c r="BY137" s="782"/>
      <c r="BZ137" s="782"/>
      <c r="CA137" s="782"/>
      <c r="CB137" s="782"/>
      <c r="CC137" s="782"/>
      <c r="CD137" s="782"/>
      <c r="CE137" s="782"/>
      <c r="CF137" s="782"/>
      <c r="CG137" s="782"/>
      <c r="CH137" s="782"/>
      <c r="CI137" s="782"/>
      <c r="CJ137" s="782"/>
      <c r="CK137" s="782"/>
      <c r="CL137" s="782"/>
      <c r="CM137" s="782"/>
      <c r="CN137" s="782"/>
      <c r="CO137" s="782"/>
      <c r="CP137" s="782"/>
      <c r="CQ137" s="782"/>
      <c r="CR137" s="782"/>
      <c r="CS137" s="782"/>
      <c r="CT137" s="782"/>
      <c r="CU137" s="782"/>
      <c r="CV137" s="782"/>
      <c r="CW137" s="782"/>
      <c r="CX137" s="782"/>
      <c r="CY137" s="782"/>
      <c r="CZ137" s="782"/>
      <c r="DA137" s="782"/>
      <c r="DB137" s="782"/>
      <c r="DC137" s="782"/>
      <c r="DD137" s="782"/>
      <c r="DE137" s="782"/>
      <c r="DF137" s="782"/>
      <c r="DG137" s="782"/>
      <c r="DH137" s="782"/>
      <c r="DI137" s="782"/>
      <c r="DJ137" s="782"/>
      <c r="DK137" s="782"/>
      <c r="DL137" s="782"/>
      <c r="DM137" s="782"/>
      <c r="DN137" s="782"/>
      <c r="DO137" s="782"/>
      <c r="DP137" s="782"/>
      <c r="DQ137" s="782"/>
      <c r="DR137" s="782"/>
      <c r="DS137" s="782"/>
      <c r="DT137" s="782"/>
      <c r="DU137" s="782"/>
      <c r="DV137" s="782"/>
      <c r="DW137" s="782"/>
      <c r="DX137" s="782"/>
      <c r="DY137" s="782"/>
      <c r="DZ137" s="782"/>
      <c r="EA137" s="782"/>
      <c r="EB137" s="782"/>
      <c r="EC137" s="782"/>
      <c r="ED137" s="782"/>
      <c r="EE137" s="782"/>
      <c r="EF137" s="782"/>
      <c r="EG137" s="782"/>
      <c r="EH137" s="782"/>
    </row>
    <row r="138" spans="1:138" ht="12.75" customHeight="1" x14ac:dyDescent="0.3">
      <c r="A138" s="782"/>
      <c r="B138" s="793" t="s">
        <v>77</v>
      </c>
      <c r="C138" s="794"/>
      <c r="D138" s="794"/>
      <c r="E138" s="794"/>
      <c r="F138" s="794"/>
      <c r="G138" s="794"/>
      <c r="H138" s="794"/>
      <c r="I138" s="794"/>
      <c r="J138" s="794"/>
      <c r="K138" s="794"/>
      <c r="L138" s="794"/>
      <c r="M138" s="794"/>
      <c r="N138" s="794"/>
      <c r="O138" s="794"/>
      <c r="P138" s="794"/>
      <c r="Q138" s="794"/>
      <c r="R138" s="794"/>
      <c r="S138" s="794"/>
      <c r="T138" s="794"/>
      <c r="U138" s="794"/>
      <c r="V138" s="794"/>
      <c r="W138" s="794"/>
      <c r="X138" s="794"/>
      <c r="Y138" s="794"/>
      <c r="Z138" s="794"/>
      <c r="AA138" s="794"/>
      <c r="AB138" s="794"/>
      <c r="AC138" s="794"/>
      <c r="AD138" s="794"/>
      <c r="AE138" s="794"/>
      <c r="AF138" s="794"/>
      <c r="AG138" s="794"/>
      <c r="AH138" s="794"/>
      <c r="AI138" s="794"/>
      <c r="AJ138" s="794"/>
      <c r="AK138" s="794"/>
      <c r="AL138" s="794"/>
      <c r="AM138" s="794"/>
      <c r="AN138" s="794"/>
      <c r="AO138" s="794"/>
      <c r="AP138" s="794"/>
      <c r="AQ138" s="794"/>
      <c r="AR138" s="794"/>
      <c r="AS138" s="794"/>
      <c r="AT138" s="794"/>
      <c r="AU138" s="794"/>
      <c r="AV138" s="794"/>
      <c r="AW138" s="794"/>
      <c r="AX138" s="794"/>
      <c r="AY138" s="794"/>
      <c r="AZ138" s="794"/>
      <c r="BA138" s="794"/>
      <c r="BB138" s="794"/>
      <c r="BC138" s="794"/>
      <c r="BD138" s="794"/>
      <c r="BE138" s="794"/>
      <c r="BF138" s="794"/>
      <c r="BG138" s="794"/>
      <c r="BH138" s="794"/>
      <c r="BI138" s="794"/>
      <c r="BJ138" s="794"/>
      <c r="BK138" s="794"/>
      <c r="BL138" s="794"/>
      <c r="BM138" s="794"/>
      <c r="BN138" s="794"/>
      <c r="BO138" s="794"/>
      <c r="BP138" s="794"/>
      <c r="BQ138" s="794"/>
      <c r="BR138" s="794"/>
      <c r="BS138" s="794"/>
      <c r="BT138" s="794"/>
      <c r="BU138" s="794"/>
      <c r="BV138" s="794"/>
      <c r="BW138" s="794"/>
      <c r="BX138" s="794"/>
      <c r="BY138" s="794"/>
      <c r="BZ138" s="794"/>
      <c r="CA138" s="794"/>
      <c r="CB138" s="794"/>
      <c r="CC138" s="794"/>
      <c r="CD138" s="794"/>
      <c r="CE138" s="794"/>
      <c r="CF138" s="794"/>
      <c r="CG138" s="794"/>
      <c r="CH138" s="794"/>
      <c r="CI138" s="794"/>
      <c r="CJ138" s="794"/>
      <c r="CK138" s="794"/>
      <c r="CL138" s="794"/>
      <c r="CM138" s="794"/>
      <c r="CN138" s="794"/>
      <c r="CO138" s="794"/>
      <c r="CP138" s="794"/>
      <c r="CQ138" s="794"/>
      <c r="CR138" s="794"/>
      <c r="CS138" s="794"/>
      <c r="CT138" s="794"/>
      <c r="CU138" s="794"/>
      <c r="CV138" s="794"/>
      <c r="CW138" s="794"/>
      <c r="CX138" s="794"/>
      <c r="CY138" s="794"/>
      <c r="CZ138" s="794"/>
      <c r="DA138" s="794"/>
      <c r="DB138" s="794"/>
      <c r="DC138" s="794"/>
      <c r="DD138" s="794"/>
      <c r="DE138" s="794"/>
      <c r="DF138" s="794"/>
      <c r="DG138" s="794"/>
      <c r="DH138" s="794"/>
      <c r="DI138" s="794"/>
      <c r="DJ138" s="794"/>
      <c r="DK138" s="794"/>
      <c r="DL138" s="794"/>
      <c r="DM138" s="794"/>
      <c r="DN138" s="794"/>
      <c r="DO138" s="794"/>
      <c r="DP138" s="794"/>
      <c r="DQ138" s="794"/>
      <c r="DR138" s="794"/>
      <c r="DS138" s="794"/>
      <c r="DT138" s="794"/>
      <c r="DU138" s="794"/>
      <c r="DV138" s="794"/>
      <c r="DW138" s="794"/>
      <c r="DX138" s="794"/>
      <c r="DY138" s="794"/>
      <c r="DZ138" s="794"/>
      <c r="EA138" s="794"/>
      <c r="EB138" s="794"/>
      <c r="EC138" s="794"/>
      <c r="ED138" s="794"/>
      <c r="EE138" s="794"/>
      <c r="EF138" s="794"/>
      <c r="EG138" s="794"/>
      <c r="EH138" s="794"/>
    </row>
    <row r="139" spans="1:138" ht="12.75" customHeight="1" x14ac:dyDescent="0.3">
      <c r="A139" s="782"/>
      <c r="B139" s="782"/>
      <c r="C139" s="798"/>
      <c r="D139" s="782"/>
      <c r="E139" s="798"/>
      <c r="F139" s="798"/>
      <c r="G139" s="798"/>
      <c r="H139" s="798"/>
      <c r="I139" s="798"/>
      <c r="J139" s="798"/>
      <c r="K139" s="798"/>
      <c r="L139" s="798"/>
      <c r="M139" s="798"/>
      <c r="N139" s="798"/>
      <c r="O139" s="798"/>
      <c r="P139" s="798"/>
      <c r="Q139" s="798"/>
      <c r="R139" s="798"/>
      <c r="S139" s="798"/>
      <c r="T139" s="798"/>
      <c r="U139" s="798"/>
      <c r="V139" s="798"/>
      <c r="W139" s="798"/>
      <c r="X139" s="798"/>
      <c r="Y139" s="798"/>
      <c r="Z139" s="798"/>
      <c r="AA139" s="798"/>
      <c r="AB139" s="798"/>
      <c r="AC139" s="798"/>
      <c r="AD139" s="798"/>
      <c r="AE139" s="798"/>
      <c r="AF139" s="809"/>
      <c r="AG139" s="809"/>
      <c r="AH139" s="798"/>
      <c r="AI139" s="798"/>
      <c r="AJ139" s="798"/>
      <c r="AK139" s="798"/>
      <c r="AL139" s="798"/>
      <c r="AM139" s="798"/>
      <c r="AN139" s="798"/>
      <c r="AO139" s="798"/>
      <c r="AP139" s="798"/>
      <c r="AQ139" s="798"/>
      <c r="AR139" s="798"/>
      <c r="AS139" s="798"/>
      <c r="AT139" s="798"/>
      <c r="AU139" s="798"/>
      <c r="AV139" s="798"/>
      <c r="AW139" s="798"/>
      <c r="AX139" s="798"/>
      <c r="AY139" s="798"/>
      <c r="AZ139" s="798"/>
      <c r="BA139" s="798"/>
      <c r="BB139" s="798"/>
      <c r="BC139" s="798"/>
      <c r="BD139" s="798"/>
      <c r="BE139" s="798"/>
      <c r="BF139" s="798"/>
      <c r="BG139" s="798"/>
      <c r="BH139" s="798"/>
      <c r="BI139" s="798"/>
      <c r="BJ139" s="798"/>
      <c r="BK139" s="798"/>
      <c r="BL139" s="798"/>
      <c r="BM139" s="798"/>
      <c r="BN139" s="798"/>
      <c r="BO139" s="798"/>
      <c r="BP139" s="798"/>
      <c r="BQ139" s="798"/>
      <c r="BR139" s="798"/>
      <c r="BS139" s="798"/>
      <c r="BT139" s="798"/>
      <c r="BU139" s="798"/>
      <c r="BV139" s="798"/>
      <c r="BW139" s="798"/>
      <c r="BX139" s="798"/>
      <c r="BY139" s="798"/>
      <c r="BZ139" s="798"/>
      <c r="CA139" s="798"/>
      <c r="CB139" s="798"/>
      <c r="CC139" s="798"/>
      <c r="CD139" s="798"/>
      <c r="CE139" s="798"/>
      <c r="CF139" s="798"/>
      <c r="CG139" s="798"/>
      <c r="CH139" s="798"/>
      <c r="CI139" s="798"/>
      <c r="CJ139" s="798"/>
      <c r="CK139" s="798"/>
      <c r="CL139" s="798"/>
      <c r="CM139" s="798"/>
      <c r="CN139" s="798"/>
      <c r="CO139" s="798"/>
      <c r="CP139" s="798"/>
      <c r="CQ139" s="798"/>
      <c r="CR139" s="798"/>
      <c r="CS139" s="798"/>
      <c r="CT139" s="798"/>
      <c r="CU139" s="798"/>
      <c r="CV139" s="798"/>
      <c r="CW139" s="798"/>
      <c r="CX139" s="798"/>
      <c r="CY139" s="798"/>
      <c r="CZ139" s="798"/>
      <c r="DA139" s="798"/>
      <c r="DB139" s="798"/>
      <c r="DC139" s="798"/>
      <c r="DD139" s="798"/>
      <c r="DE139" s="798"/>
      <c r="DF139" s="798"/>
      <c r="DG139" s="798"/>
      <c r="DH139" s="798"/>
      <c r="DI139" s="798"/>
      <c r="DJ139" s="798"/>
      <c r="DK139" s="798"/>
      <c r="DL139" s="798"/>
      <c r="DM139" s="798"/>
      <c r="DN139" s="798"/>
      <c r="DO139" s="798"/>
      <c r="DP139" s="798"/>
      <c r="DQ139" s="798"/>
      <c r="DR139" s="798"/>
      <c r="DS139" s="798"/>
      <c r="DT139" s="798"/>
      <c r="DU139" s="798"/>
      <c r="DV139" s="798"/>
      <c r="DW139" s="798"/>
      <c r="DX139" s="798"/>
      <c r="DY139" s="798"/>
      <c r="DZ139" s="798"/>
      <c r="EA139" s="798"/>
      <c r="EB139" s="798"/>
      <c r="EC139" s="798"/>
      <c r="ED139" s="798"/>
      <c r="EE139" s="798"/>
      <c r="EF139" s="798"/>
      <c r="EG139" s="798"/>
      <c r="EH139" s="782"/>
    </row>
    <row r="140" spans="1:138" ht="12.75" customHeight="1" x14ac:dyDescent="0.3">
      <c r="A140" s="782"/>
      <c r="B140" s="782" t="s">
        <v>78</v>
      </c>
      <c r="C140" s="792">
        <f>INDEX($E$4:$EG$4,MATCH(1,INDEX(ISNUMBER(E85:EG85)*(E85:EG85&lt;=0),0),0))</f>
        <v>45169</v>
      </c>
      <c r="D140" s="782"/>
      <c r="E140" s="798"/>
      <c r="F140" s="798"/>
      <c r="G140" s="798"/>
      <c r="H140" s="798"/>
      <c r="I140" s="798"/>
      <c r="J140" s="798"/>
      <c r="K140" s="798"/>
      <c r="L140" s="798"/>
      <c r="M140" s="798"/>
      <c r="N140" s="798"/>
      <c r="O140" s="798"/>
      <c r="P140" s="798"/>
      <c r="Q140" s="798"/>
      <c r="R140" s="798"/>
      <c r="S140" s="798"/>
      <c r="T140" s="798"/>
      <c r="U140" s="798"/>
      <c r="V140" s="798"/>
      <c r="W140" s="798"/>
      <c r="X140" s="798"/>
      <c r="Y140" s="798"/>
      <c r="Z140" s="798"/>
      <c r="AA140" s="798"/>
      <c r="AB140" s="798"/>
      <c r="AC140" s="798"/>
      <c r="AD140" s="798"/>
      <c r="AE140" s="798"/>
      <c r="AF140" s="798"/>
      <c r="AG140" s="798"/>
      <c r="AH140" s="798"/>
      <c r="AI140" s="798"/>
      <c r="AJ140" s="798"/>
      <c r="AK140" s="798"/>
      <c r="AL140" s="798"/>
      <c r="AM140" s="798"/>
      <c r="AN140" s="798"/>
      <c r="AO140" s="798"/>
      <c r="AP140" s="798"/>
      <c r="AQ140" s="798"/>
      <c r="AR140" s="798"/>
      <c r="AS140" s="798"/>
      <c r="AT140" s="798"/>
      <c r="AU140" s="798"/>
      <c r="AV140" s="798"/>
      <c r="AW140" s="798"/>
      <c r="AX140" s="798"/>
      <c r="AY140" s="798"/>
      <c r="AZ140" s="798"/>
      <c r="BA140" s="798"/>
      <c r="BB140" s="798"/>
      <c r="BC140" s="798"/>
      <c r="BD140" s="798"/>
      <c r="BE140" s="798"/>
      <c r="BF140" s="798"/>
      <c r="BG140" s="798"/>
      <c r="BH140" s="798"/>
      <c r="BI140" s="798"/>
      <c r="BJ140" s="798"/>
      <c r="BK140" s="798"/>
      <c r="BL140" s="798"/>
      <c r="BM140" s="798"/>
      <c r="BN140" s="798"/>
      <c r="BO140" s="798"/>
      <c r="BP140" s="798"/>
      <c r="BQ140" s="798"/>
      <c r="BR140" s="798"/>
      <c r="BS140" s="798"/>
      <c r="BT140" s="798"/>
      <c r="BU140" s="798"/>
      <c r="BV140" s="798"/>
      <c r="BW140" s="798"/>
      <c r="BX140" s="798"/>
      <c r="BY140" s="798"/>
      <c r="BZ140" s="798"/>
      <c r="CA140" s="798"/>
      <c r="CB140" s="798"/>
      <c r="CC140" s="798"/>
      <c r="CD140" s="798"/>
      <c r="CE140" s="798"/>
      <c r="CF140" s="798"/>
      <c r="CG140" s="798"/>
      <c r="CH140" s="798"/>
      <c r="CI140" s="798"/>
      <c r="CJ140" s="798"/>
      <c r="CK140" s="798"/>
      <c r="CL140" s="798"/>
      <c r="CM140" s="798"/>
      <c r="CN140" s="798"/>
      <c r="CO140" s="798"/>
      <c r="CP140" s="798"/>
      <c r="CQ140" s="798"/>
      <c r="CR140" s="798"/>
      <c r="CS140" s="798"/>
      <c r="CT140" s="798"/>
      <c r="CU140" s="798"/>
      <c r="CV140" s="798"/>
      <c r="CW140" s="798"/>
      <c r="CX140" s="798"/>
      <c r="CY140" s="798"/>
      <c r="CZ140" s="798"/>
      <c r="DA140" s="798"/>
      <c r="DB140" s="798"/>
      <c r="DC140" s="798"/>
      <c r="DD140" s="798"/>
      <c r="DE140" s="798"/>
      <c r="DF140" s="798"/>
      <c r="DG140" s="798"/>
      <c r="DH140" s="798"/>
      <c r="DI140" s="798"/>
      <c r="DJ140" s="798"/>
      <c r="DK140" s="798"/>
      <c r="DL140" s="798"/>
      <c r="DM140" s="798"/>
      <c r="DN140" s="798"/>
      <c r="DO140" s="798"/>
      <c r="DP140" s="798"/>
      <c r="DQ140" s="798"/>
      <c r="DR140" s="798"/>
      <c r="DS140" s="798"/>
      <c r="DT140" s="798"/>
      <c r="DU140" s="798"/>
      <c r="DV140" s="798"/>
      <c r="DW140" s="798"/>
      <c r="DX140" s="798"/>
      <c r="DY140" s="798"/>
      <c r="DZ140" s="798"/>
      <c r="EA140" s="798"/>
      <c r="EB140" s="798"/>
      <c r="EC140" s="798"/>
      <c r="ED140" s="798"/>
      <c r="EE140" s="798"/>
      <c r="EF140" s="798"/>
      <c r="EG140" s="798"/>
      <c r="EH140" s="782"/>
    </row>
    <row r="141" spans="1:138" ht="12.75" customHeight="1" x14ac:dyDescent="0.3">
      <c r="A141" s="782"/>
      <c r="B141" s="782" t="s">
        <v>79</v>
      </c>
      <c r="C141" s="810">
        <f>MATCH(C140,$E$4:$EG$4)-1</f>
        <v>0</v>
      </c>
      <c r="D141" s="782"/>
      <c r="E141" s="798"/>
      <c r="F141" s="798"/>
      <c r="G141" s="798"/>
      <c r="H141" s="798"/>
      <c r="I141" s="798"/>
      <c r="J141" s="798"/>
      <c r="K141" s="798"/>
      <c r="L141" s="798"/>
      <c r="M141" s="798"/>
      <c r="N141" s="798"/>
      <c r="O141" s="798"/>
      <c r="P141" s="798"/>
      <c r="Q141" s="798"/>
      <c r="R141" s="798"/>
      <c r="S141" s="798"/>
      <c r="T141" s="798"/>
      <c r="U141" s="798"/>
      <c r="V141" s="798"/>
      <c r="W141" s="798"/>
      <c r="X141" s="798"/>
      <c r="Y141" s="798"/>
      <c r="Z141" s="798"/>
      <c r="AA141" s="798"/>
      <c r="AB141" s="798"/>
      <c r="AC141" s="798"/>
      <c r="AD141" s="798"/>
      <c r="AE141" s="798"/>
      <c r="AF141" s="798"/>
      <c r="AG141" s="798"/>
      <c r="AH141" s="798"/>
      <c r="AI141" s="798"/>
      <c r="AJ141" s="798"/>
      <c r="AK141" s="798"/>
      <c r="AL141" s="798"/>
      <c r="AM141" s="798"/>
      <c r="AN141" s="798"/>
      <c r="AO141" s="798"/>
      <c r="AP141" s="798"/>
      <c r="AQ141" s="798"/>
      <c r="AR141" s="798"/>
      <c r="AS141" s="798"/>
      <c r="AT141" s="798"/>
      <c r="AU141" s="798"/>
      <c r="AV141" s="798"/>
      <c r="AW141" s="798"/>
      <c r="AX141" s="798"/>
      <c r="AY141" s="798"/>
      <c r="AZ141" s="798"/>
      <c r="BA141" s="798"/>
      <c r="BB141" s="798"/>
      <c r="BC141" s="798"/>
      <c r="BD141" s="798"/>
      <c r="BE141" s="798"/>
      <c r="BF141" s="798"/>
      <c r="BG141" s="798"/>
      <c r="BH141" s="798"/>
      <c r="BI141" s="798"/>
      <c r="BJ141" s="798"/>
      <c r="BK141" s="798"/>
      <c r="BL141" s="798"/>
      <c r="BM141" s="798"/>
      <c r="BN141" s="798"/>
      <c r="BO141" s="798"/>
      <c r="BP141" s="798"/>
      <c r="BQ141" s="798"/>
      <c r="BR141" s="798"/>
      <c r="BS141" s="798"/>
      <c r="BT141" s="798"/>
      <c r="BU141" s="798"/>
      <c r="BV141" s="798"/>
      <c r="BW141" s="798"/>
      <c r="BX141" s="798"/>
      <c r="BY141" s="798"/>
      <c r="BZ141" s="798"/>
      <c r="CA141" s="798"/>
      <c r="CB141" s="798"/>
      <c r="CC141" s="798"/>
      <c r="CD141" s="798"/>
      <c r="CE141" s="798"/>
      <c r="CF141" s="798"/>
      <c r="CG141" s="798"/>
      <c r="CH141" s="798"/>
      <c r="CI141" s="798"/>
      <c r="CJ141" s="798"/>
      <c r="CK141" s="798"/>
      <c r="CL141" s="798"/>
      <c r="CM141" s="798"/>
      <c r="CN141" s="798"/>
      <c r="CO141" s="798"/>
      <c r="CP141" s="798"/>
      <c r="CQ141" s="798"/>
      <c r="CR141" s="798"/>
      <c r="CS141" s="798"/>
      <c r="CT141" s="798"/>
      <c r="CU141" s="798"/>
      <c r="CV141" s="798"/>
      <c r="CW141" s="798"/>
      <c r="CX141" s="798"/>
      <c r="CY141" s="798"/>
      <c r="CZ141" s="798"/>
      <c r="DA141" s="798"/>
      <c r="DB141" s="798"/>
      <c r="DC141" s="798"/>
      <c r="DD141" s="798"/>
      <c r="DE141" s="798"/>
      <c r="DF141" s="798"/>
      <c r="DG141" s="798"/>
      <c r="DH141" s="798"/>
      <c r="DI141" s="798"/>
      <c r="DJ141" s="798"/>
      <c r="DK141" s="798"/>
      <c r="DL141" s="798"/>
      <c r="DM141" s="798"/>
      <c r="DN141" s="798"/>
      <c r="DO141" s="798"/>
      <c r="DP141" s="798"/>
      <c r="DQ141" s="798"/>
      <c r="DR141" s="798"/>
      <c r="DS141" s="798"/>
      <c r="DT141" s="798"/>
      <c r="DU141" s="798"/>
      <c r="DV141" s="798"/>
      <c r="DW141" s="798"/>
      <c r="DX141" s="798"/>
      <c r="DY141" s="798"/>
      <c r="DZ141" s="798"/>
      <c r="EA141" s="798"/>
      <c r="EB141" s="798"/>
      <c r="EC141" s="798"/>
      <c r="ED141" s="798"/>
      <c r="EE141" s="798"/>
      <c r="EF141" s="798"/>
      <c r="EG141" s="798"/>
      <c r="EH141" s="782"/>
    </row>
    <row r="142" spans="1:138" ht="12.75" customHeight="1" x14ac:dyDescent="0.3">
      <c r="A142" s="782"/>
      <c r="B142" s="782" t="s">
        <v>80</v>
      </c>
      <c r="C142" s="797">
        <f t="array" ref="C142">INDEX($E$4:$EG$4,1,MATCH(TRUE,$E$144:$EG$144&lt;0,0))</f>
        <v>45169</v>
      </c>
      <c r="D142" s="782"/>
      <c r="E142" s="798"/>
      <c r="F142" s="798"/>
      <c r="G142" s="798"/>
      <c r="H142" s="798"/>
      <c r="I142" s="798"/>
      <c r="J142" s="798"/>
      <c r="K142" s="798"/>
      <c r="L142" s="798"/>
      <c r="M142" s="798"/>
      <c r="N142" s="798"/>
      <c r="O142" s="798"/>
      <c r="P142" s="798"/>
      <c r="Q142" s="798"/>
      <c r="R142" s="798"/>
      <c r="S142" s="798"/>
      <c r="T142" s="798"/>
      <c r="U142" s="798"/>
      <c r="V142" s="798"/>
      <c r="W142" s="798"/>
      <c r="X142" s="798"/>
      <c r="Y142" s="798"/>
      <c r="Z142" s="798"/>
      <c r="AA142" s="798"/>
      <c r="AB142" s="798"/>
      <c r="AC142" s="798"/>
      <c r="AD142" s="798"/>
      <c r="AE142" s="798"/>
      <c r="AF142" s="798"/>
      <c r="AG142" s="798"/>
      <c r="AH142" s="798"/>
      <c r="AI142" s="798"/>
      <c r="AJ142" s="798"/>
      <c r="AK142" s="798"/>
      <c r="AL142" s="798"/>
      <c r="AM142" s="798"/>
      <c r="AN142" s="798"/>
      <c r="AO142" s="798"/>
      <c r="AP142" s="798"/>
      <c r="AQ142" s="798"/>
      <c r="AR142" s="798"/>
      <c r="AS142" s="798"/>
      <c r="AT142" s="798"/>
      <c r="AU142" s="798"/>
      <c r="AV142" s="798"/>
      <c r="AW142" s="798"/>
      <c r="AX142" s="798"/>
      <c r="AY142" s="798"/>
      <c r="AZ142" s="798"/>
      <c r="BA142" s="798"/>
      <c r="BB142" s="798"/>
      <c r="BC142" s="798"/>
      <c r="BD142" s="798"/>
      <c r="BE142" s="798"/>
      <c r="BF142" s="798"/>
      <c r="BG142" s="798"/>
      <c r="BH142" s="798"/>
      <c r="BI142" s="798"/>
      <c r="BJ142" s="798"/>
      <c r="BK142" s="798"/>
      <c r="BL142" s="798"/>
      <c r="BM142" s="798"/>
      <c r="BN142" s="798"/>
      <c r="BO142" s="798"/>
      <c r="BP142" s="798"/>
      <c r="BQ142" s="798"/>
      <c r="BR142" s="798"/>
      <c r="BS142" s="798"/>
      <c r="BT142" s="798"/>
      <c r="BU142" s="798"/>
      <c r="BV142" s="798"/>
      <c r="BW142" s="798"/>
      <c r="BX142" s="798"/>
      <c r="BY142" s="798"/>
      <c r="BZ142" s="798"/>
      <c r="CA142" s="798"/>
      <c r="CB142" s="798"/>
      <c r="CC142" s="798"/>
      <c r="CD142" s="798"/>
      <c r="CE142" s="798"/>
      <c r="CF142" s="798"/>
      <c r="CG142" s="798"/>
      <c r="CH142" s="798"/>
      <c r="CI142" s="798"/>
      <c r="CJ142" s="798"/>
      <c r="CK142" s="798"/>
      <c r="CL142" s="798"/>
      <c r="CM142" s="798"/>
      <c r="CN142" s="798"/>
      <c r="CO142" s="798"/>
      <c r="CP142" s="798"/>
      <c r="CQ142" s="798"/>
      <c r="CR142" s="798"/>
      <c r="CS142" s="798"/>
      <c r="CT142" s="798"/>
      <c r="CU142" s="798"/>
      <c r="CV142" s="798"/>
      <c r="CW142" s="798"/>
      <c r="CX142" s="798"/>
      <c r="CY142" s="798"/>
      <c r="CZ142" s="798"/>
      <c r="DA142" s="798"/>
      <c r="DB142" s="798"/>
      <c r="DC142" s="798"/>
      <c r="DD142" s="798"/>
      <c r="DE142" s="798"/>
      <c r="DF142" s="798"/>
      <c r="DG142" s="798"/>
      <c r="DH142" s="798"/>
      <c r="DI142" s="798"/>
      <c r="DJ142" s="798"/>
      <c r="DK142" s="798"/>
      <c r="DL142" s="798"/>
      <c r="DM142" s="798"/>
      <c r="DN142" s="798"/>
      <c r="DO142" s="798"/>
      <c r="DP142" s="798"/>
      <c r="DQ142" s="798"/>
      <c r="DR142" s="798"/>
      <c r="DS142" s="798"/>
      <c r="DT142" s="798"/>
      <c r="DU142" s="798"/>
      <c r="DV142" s="798"/>
      <c r="DW142" s="798"/>
      <c r="DX142" s="798"/>
      <c r="DY142" s="798"/>
      <c r="DZ142" s="798"/>
      <c r="EA142" s="798"/>
      <c r="EB142" s="798"/>
      <c r="EC142" s="798"/>
      <c r="ED142" s="798"/>
      <c r="EE142" s="798"/>
      <c r="EF142" s="798"/>
      <c r="EG142" s="798"/>
      <c r="EH142" s="782"/>
    </row>
    <row r="143" spans="1:138" ht="12.75" customHeight="1" x14ac:dyDescent="0.3">
      <c r="A143" s="782"/>
      <c r="B143" s="782"/>
      <c r="C143" s="798"/>
      <c r="D143" s="782"/>
      <c r="E143" s="798"/>
      <c r="F143" s="798"/>
      <c r="G143" s="798"/>
      <c r="H143" s="798"/>
      <c r="I143" s="798"/>
      <c r="J143" s="798"/>
      <c r="K143" s="798"/>
      <c r="L143" s="798"/>
      <c r="M143" s="798"/>
      <c r="N143" s="798"/>
      <c r="O143" s="798"/>
      <c r="P143" s="798"/>
      <c r="Q143" s="798"/>
      <c r="R143" s="798"/>
      <c r="S143" s="798"/>
      <c r="T143" s="798"/>
      <c r="U143" s="798"/>
      <c r="V143" s="798"/>
      <c r="W143" s="798"/>
      <c r="X143" s="798"/>
      <c r="Y143" s="798"/>
      <c r="Z143" s="798"/>
      <c r="AA143" s="798"/>
      <c r="AB143" s="798"/>
      <c r="AC143" s="798"/>
      <c r="AD143" s="798"/>
      <c r="AE143" s="798"/>
      <c r="AF143" s="798"/>
      <c r="AG143" s="798"/>
      <c r="AH143" s="798"/>
      <c r="AI143" s="798"/>
      <c r="AJ143" s="798"/>
      <c r="AK143" s="798"/>
      <c r="AL143" s="798"/>
      <c r="AM143" s="798"/>
      <c r="AN143" s="798"/>
      <c r="AO143" s="798"/>
      <c r="AP143" s="798"/>
      <c r="AQ143" s="798"/>
      <c r="AR143" s="798"/>
      <c r="AS143" s="798"/>
      <c r="AT143" s="798"/>
      <c r="AU143" s="798"/>
      <c r="AV143" s="798"/>
      <c r="AW143" s="798"/>
      <c r="AX143" s="798"/>
      <c r="AY143" s="798"/>
      <c r="AZ143" s="798"/>
      <c r="BA143" s="798"/>
      <c r="BB143" s="798"/>
      <c r="BC143" s="798"/>
      <c r="BD143" s="798"/>
      <c r="BE143" s="798"/>
      <c r="BF143" s="798"/>
      <c r="BG143" s="798"/>
      <c r="BH143" s="798"/>
      <c r="BI143" s="798"/>
      <c r="BJ143" s="798"/>
      <c r="BK143" s="798"/>
      <c r="BL143" s="798"/>
      <c r="BM143" s="798"/>
      <c r="BN143" s="798"/>
      <c r="BO143" s="798"/>
      <c r="BP143" s="798"/>
      <c r="BQ143" s="798"/>
      <c r="BR143" s="798"/>
      <c r="BS143" s="798"/>
      <c r="BT143" s="798"/>
      <c r="BU143" s="798"/>
      <c r="BV143" s="798"/>
      <c r="BW143" s="798"/>
      <c r="BX143" s="798"/>
      <c r="BY143" s="798"/>
      <c r="BZ143" s="798"/>
      <c r="CA143" s="798"/>
      <c r="CB143" s="798"/>
      <c r="CC143" s="798"/>
      <c r="CD143" s="798"/>
      <c r="CE143" s="798"/>
      <c r="CF143" s="798"/>
      <c r="CG143" s="798"/>
      <c r="CH143" s="798"/>
      <c r="CI143" s="798"/>
      <c r="CJ143" s="798"/>
      <c r="CK143" s="798"/>
      <c r="CL143" s="798"/>
      <c r="CM143" s="798"/>
      <c r="CN143" s="798"/>
      <c r="CO143" s="798"/>
      <c r="CP143" s="798"/>
      <c r="CQ143" s="798"/>
      <c r="CR143" s="798"/>
      <c r="CS143" s="798"/>
      <c r="CT143" s="798"/>
      <c r="CU143" s="798"/>
      <c r="CV143" s="798"/>
      <c r="CW143" s="798"/>
      <c r="CX143" s="798"/>
      <c r="CY143" s="798"/>
      <c r="CZ143" s="798"/>
      <c r="DA143" s="798"/>
      <c r="DB143" s="798"/>
      <c r="DC143" s="798"/>
      <c r="DD143" s="798"/>
      <c r="DE143" s="798"/>
      <c r="DF143" s="798"/>
      <c r="DG143" s="798"/>
      <c r="DH143" s="798"/>
      <c r="DI143" s="798"/>
      <c r="DJ143" s="798"/>
      <c r="DK143" s="798"/>
      <c r="DL143" s="798"/>
      <c r="DM143" s="798"/>
      <c r="DN143" s="798"/>
      <c r="DO143" s="798"/>
      <c r="DP143" s="798"/>
      <c r="DQ143" s="798"/>
      <c r="DR143" s="798"/>
      <c r="DS143" s="798"/>
      <c r="DT143" s="798"/>
      <c r="DU143" s="798"/>
      <c r="DV143" s="798"/>
      <c r="DW143" s="798"/>
      <c r="DX143" s="798"/>
      <c r="DY143" s="798"/>
      <c r="DZ143" s="798"/>
      <c r="EA143" s="798"/>
      <c r="EB143" s="798"/>
      <c r="EC143" s="798"/>
      <c r="ED143" s="798"/>
      <c r="EE143" s="798"/>
      <c r="EF143" s="798"/>
      <c r="EG143" s="798"/>
      <c r="EH143" s="782"/>
    </row>
    <row r="144" spans="1:138" ht="12.75" customHeight="1" x14ac:dyDescent="0.3">
      <c r="A144" s="782"/>
      <c r="B144" s="782" t="s">
        <v>81</v>
      </c>
      <c r="C144" s="798">
        <f t="shared" ref="C144:C149" si="131">SUM(E144:EG144)</f>
        <v>-77959624.342178479</v>
      </c>
      <c r="D144" s="782"/>
      <c r="E144" s="1148">
        <f>IFERROR(-INDEX(DevBdgt!$E$48:$EG$48,MATCH('Venture Summary - Mthly'!E5-INDEX('Venture Assumptions'!$J$6:$J$40,MATCH($B$2,'Venture Assumptions'!$I$6:$I$40,0)),DevBdgt!$E$6:$EG$6,0)),0)</f>
        <v>-1872006.9504114862</v>
      </c>
      <c r="F144" s="1148">
        <f>IFERROR(-INDEX(DevBdgt!$E$48:$EG$48,MATCH('Venture Summary - Mthly'!F5-INDEX('Venture Assumptions'!$J$6:$J$40,MATCH($B$2,'Venture Assumptions'!$I$6:$I$40,0)),DevBdgt!$E$6:$EG$6,0)),0)</f>
        <v>-15199690.31702359</v>
      </c>
      <c r="G144" s="1148">
        <f>IFERROR(-INDEX(DevBdgt!$E$48:$EG$48,MATCH('Venture Summary - Mthly'!G5-INDEX('Venture Assumptions'!$J$6:$J$40,MATCH($B$2,'Venture Assumptions'!$I$6:$I$40,0)),DevBdgt!$E$6:$EG$6,0)),0)</f>
        <v>-477509.54329989548</v>
      </c>
      <c r="H144" s="1148">
        <f>IFERROR(-INDEX(DevBdgt!$E$48:$EG$48,MATCH('Venture Summary - Mthly'!H5-INDEX('Venture Assumptions'!$J$6:$J$40,MATCH($B$2,'Venture Assumptions'!$I$6:$I$40,0)),DevBdgt!$E$6:$EG$6,0)),0)</f>
        <v>-725018.0475038616</v>
      </c>
      <c r="I144" s="1148">
        <f>IFERROR(-INDEX(DevBdgt!$E$48:$EG$48,MATCH('Venture Summary - Mthly'!I5-INDEX('Venture Assumptions'!$J$6:$J$40,MATCH($B$2,'Venture Assumptions'!$I$6:$I$40,0)),DevBdgt!$E$6:$EG$6,0)),0)</f>
        <v>-1231351.4260033614</v>
      </c>
      <c r="J144" s="1148">
        <f>IFERROR(-INDEX(DevBdgt!$E$48:$EG$48,MATCH('Venture Summary - Mthly'!J5-INDEX('Venture Assumptions'!$J$6:$J$40,MATCH($B$2,'Venture Assumptions'!$I$6:$I$40,0)),DevBdgt!$E$6:$EG$6,0)),0)</f>
        <v>-2009445.0862433794</v>
      </c>
      <c r="K144" s="1148">
        <f>IFERROR(-INDEX(DevBdgt!$E$48:$EG$48,MATCH('Venture Summary - Mthly'!K5-INDEX('Venture Assumptions'!$J$6:$J$40,MATCH($B$2,'Venture Assumptions'!$I$6:$I$40,0)),DevBdgt!$E$6:$EG$6,0)),0)</f>
        <v>-2068277.2828140815</v>
      </c>
      <c r="L144" s="1148">
        <f>IFERROR(-INDEX(DevBdgt!$E$48:$EG$48,MATCH('Venture Summary - Mthly'!L5-INDEX('Venture Assumptions'!$J$6:$J$40,MATCH($B$2,'Venture Assumptions'!$I$6:$I$40,0)),DevBdgt!$E$6:$EG$6,0)),0)</f>
        <v>-2635556.0946173389</v>
      </c>
      <c r="M144" s="1148">
        <f>IFERROR(-INDEX(DevBdgt!$E$48:$EG$48,MATCH('Venture Summary - Mthly'!M5-INDEX('Venture Assumptions'!$J$6:$J$40,MATCH($B$2,'Venture Assumptions'!$I$6:$I$40,0)),DevBdgt!$E$6:$EG$6,0)),0)</f>
        <v>-3126311.3752459437</v>
      </c>
      <c r="N144" s="1148">
        <f>IFERROR(-INDEX(DevBdgt!$E$48:$EG$48,MATCH('Venture Summary - Mthly'!N5-INDEX('Venture Assumptions'!$J$6:$J$40,MATCH($B$2,'Venture Assumptions'!$I$6:$I$40,0)),DevBdgt!$E$6:$EG$6,0)),0)</f>
        <v>-3659644.6239059591</v>
      </c>
      <c r="O144" s="1148">
        <f>IFERROR(-INDEX(DevBdgt!$E$48:$EG$48,MATCH('Venture Summary - Mthly'!O5-INDEX('Venture Assumptions'!$J$6:$J$40,MATCH($B$2,'Venture Assumptions'!$I$6:$I$40,0)),DevBdgt!$E$6:$EG$6,0)),0)</f>
        <v>-3788748.5469404557</v>
      </c>
      <c r="P144" s="1148">
        <f>IFERROR(-INDEX(DevBdgt!$E$48:$EG$48,MATCH('Venture Summary - Mthly'!P5-INDEX('Venture Assumptions'!$J$6:$J$40,MATCH($B$2,'Venture Assumptions'!$I$6:$I$40,0)),DevBdgt!$E$6:$EG$6,0)),0)</f>
        <v>-3985499.7534750709</v>
      </c>
      <c r="Q144" s="1148">
        <f>IFERROR(-INDEX(DevBdgt!$E$48:$EG$48,MATCH('Venture Summary - Mthly'!Q5-INDEX('Venture Assumptions'!$J$6:$J$40,MATCH($B$2,'Venture Assumptions'!$I$6:$I$40,0)),DevBdgt!$E$6:$EG$6,0)),0)</f>
        <v>-4035971.7701808717</v>
      </c>
      <c r="R144" s="1148">
        <f>IFERROR(-INDEX(DevBdgt!$E$48:$EG$48,MATCH('Venture Summary - Mthly'!R5-INDEX('Venture Assumptions'!$J$6:$J$40,MATCH($B$2,'Venture Assumptions'!$I$6:$I$40,0)),DevBdgt!$E$6:$EG$6,0)),0)</f>
        <v>-4074891.1252563251</v>
      </c>
      <c r="S144" s="1148">
        <f>IFERROR(-INDEX(DevBdgt!$E$48:$EG$48,MATCH('Venture Summary - Mthly'!S5-INDEX('Venture Assumptions'!$J$6:$J$40,MATCH($B$2,'Venture Assumptions'!$I$6:$I$40,0)),DevBdgt!$E$6:$EG$6,0)),0)</f>
        <v>-3814169.1648116568</v>
      </c>
      <c r="T144" s="1148">
        <f>IFERROR(-INDEX(DevBdgt!$E$48:$EG$48,MATCH('Venture Summary - Mthly'!T5-INDEX('Venture Assumptions'!$J$6:$J$40,MATCH($B$2,'Venture Assumptions'!$I$6:$I$40,0)),DevBdgt!$E$6:$EG$6,0)),0)</f>
        <v>-3707242.1471006605</v>
      </c>
      <c r="U144" s="1148">
        <f>IFERROR(-INDEX(DevBdgt!$E$48:$EG$48,MATCH('Venture Summary - Mthly'!U5-INDEX('Venture Assumptions'!$J$6:$J$40,MATCH($B$2,'Venture Assumptions'!$I$6:$I$40,0)),DevBdgt!$E$6:$EG$6,0)),0)</f>
        <v>-3438642.0856684977</v>
      </c>
      <c r="V144" s="1148">
        <f>IFERROR(-INDEX(DevBdgt!$E$48:$EG$48,MATCH('Venture Summary - Mthly'!V5-INDEX('Venture Assumptions'!$J$6:$J$40,MATCH($B$2,'Venture Assumptions'!$I$6:$I$40,0)),DevBdgt!$E$6:$EG$6,0)),0)</f>
        <v>-3101741.8791459082</v>
      </c>
      <c r="W144" s="1148">
        <f>IFERROR(-INDEX(DevBdgt!$E$48:$EG$48,MATCH('Venture Summary - Mthly'!W5-INDEX('Venture Assumptions'!$J$6:$J$40,MATCH($B$2,'Venture Assumptions'!$I$6:$I$40,0)),DevBdgt!$E$6:$EG$6,0)),0)</f>
        <v>-3086112.8332005022</v>
      </c>
      <c r="X144" s="1148">
        <f>IFERROR(-INDEX(DevBdgt!$E$48:$EG$48,MATCH('Venture Summary - Mthly'!X5-INDEX('Venture Assumptions'!$J$6:$J$40,MATCH($B$2,'Venture Assumptions'!$I$6:$I$40,0)),DevBdgt!$E$6:$EG$6,0)),0)</f>
        <v>-2840813.9058457017</v>
      </c>
      <c r="Y144" s="1148">
        <f>IFERROR(-INDEX(DevBdgt!$E$48:$EG$48,MATCH('Venture Summary - Mthly'!Y5-INDEX('Venture Assumptions'!$J$6:$J$40,MATCH($B$2,'Venture Assumptions'!$I$6:$I$40,0)),DevBdgt!$E$6:$EG$6,0)),0)</f>
        <v>-2407340.2432452017</v>
      </c>
      <c r="Z144" s="1148">
        <f>IFERROR(-INDEX(DevBdgt!$E$48:$EG$48,MATCH('Venture Summary - Mthly'!Z5-INDEX('Venture Assumptions'!$J$6:$J$40,MATCH($B$2,'Venture Assumptions'!$I$6:$I$40,0)),DevBdgt!$E$6:$EG$6,0)),0)</f>
        <v>-2066917.1905846046</v>
      </c>
      <c r="AA144" s="1148">
        <f>IFERROR(-INDEX(DevBdgt!$E$48:$EG$48,MATCH('Venture Summary - Mthly'!AA5-INDEX('Venture Assumptions'!$J$6:$J$40,MATCH($B$2,'Venture Assumptions'!$I$6:$I$40,0)),DevBdgt!$E$6:$EG$6,0)),0)</f>
        <v>-1736150.3462614249</v>
      </c>
      <c r="AB144" s="1148">
        <f>IFERROR(-INDEX(DevBdgt!$E$48:$EG$48,MATCH('Venture Summary - Mthly'!AB5-INDEX('Venture Assumptions'!$J$6:$J$40,MATCH($B$2,'Venture Assumptions'!$I$6:$I$40,0)),DevBdgt!$E$6:$EG$6,0)),0)</f>
        <v>-1202087.578931059</v>
      </c>
      <c r="AC144" s="1148">
        <f>IFERROR(-INDEX(DevBdgt!$E$48:$EG$48,MATCH('Venture Summary - Mthly'!AC5-INDEX('Venture Assumptions'!$J$6:$J$40,MATCH($B$2,'Venture Assumptions'!$I$6:$I$40,0)),DevBdgt!$E$6:$EG$6,0)),0)</f>
        <v>-990780.74024430034</v>
      </c>
      <c r="AD144" s="1148">
        <f>IFERROR(-INDEX(DevBdgt!$E$48:$EG$48,MATCH('Venture Summary - Mthly'!AD5-INDEX('Venture Assumptions'!$J$6:$J$40,MATCH($B$2,'Venture Assumptions'!$I$6:$I$40,0)),DevBdgt!$E$6:$EG$6,0)),0)</f>
        <v>-677704.28421734134</v>
      </c>
      <c r="AE144" s="1148">
        <f>IFERROR(-INDEX(DevBdgt!$E$48:$EG$48,MATCH('Venture Summary - Mthly'!AE5-INDEX('Venture Assumptions'!$J$6:$J$40,MATCH($B$2,'Venture Assumptions'!$I$6:$I$40,0)),DevBdgt!$E$6:$EG$6,0)),0)</f>
        <v>0</v>
      </c>
      <c r="AF144" s="1148">
        <f>IFERROR(-INDEX(DevBdgt!$E$48:$EG$48,MATCH('Venture Summary - Mthly'!AF5-INDEX('Venture Assumptions'!$J$6:$J$40,MATCH($B$2,'Venture Assumptions'!$I$6:$I$40,0)),DevBdgt!$E$6:$EG$6,0)),0)</f>
        <v>0</v>
      </c>
      <c r="AG144" s="1148">
        <f>IFERROR(-INDEX(DevBdgt!$E$48:$EG$48,MATCH('Venture Summary - Mthly'!AG5-INDEX('Venture Assumptions'!$J$6:$J$40,MATCH($B$2,'Venture Assumptions'!$I$6:$I$40,0)),DevBdgt!$E$6:$EG$6,0)),0)</f>
        <v>0</v>
      </c>
      <c r="AH144" s="1148">
        <f>IFERROR(-INDEX(DevBdgt!$E$48:$EG$48,MATCH('Venture Summary - Mthly'!AH5-INDEX('Venture Assumptions'!$J$6:$J$40,MATCH($B$2,'Venture Assumptions'!$I$6:$I$40,0)),DevBdgt!$E$6:$EG$6,0)),0)</f>
        <v>0</v>
      </c>
      <c r="AI144" s="1148">
        <f>IFERROR(-INDEX(DevBdgt!$E$48:$EG$48,MATCH('Venture Summary - Mthly'!AI5-INDEX('Venture Assumptions'!$J$6:$J$40,MATCH($B$2,'Venture Assumptions'!$I$6:$I$40,0)),DevBdgt!$E$6:$EG$6,0)),0)</f>
        <v>0</v>
      </c>
      <c r="AJ144" s="1148">
        <f>IFERROR(-INDEX(DevBdgt!$E$48:$EG$48,MATCH('Venture Summary - Mthly'!AJ5-INDEX('Venture Assumptions'!$J$6:$J$40,MATCH($B$2,'Venture Assumptions'!$I$6:$I$40,0)),DevBdgt!$E$6:$EG$6,0)),0)</f>
        <v>0</v>
      </c>
      <c r="AK144" s="1148">
        <f>IFERROR(-INDEX(DevBdgt!$E$48:$EG$48,MATCH('Venture Summary - Mthly'!AK5-INDEX('Venture Assumptions'!$J$6:$J$40,MATCH($B$2,'Venture Assumptions'!$I$6:$I$40,0)),DevBdgt!$E$6:$EG$6,0)),0)</f>
        <v>0</v>
      </c>
      <c r="AL144" s="1148">
        <f>IFERROR(-INDEX(DevBdgt!$E$48:$EG$48,MATCH('Venture Summary - Mthly'!AL5-INDEX('Venture Assumptions'!$J$6:$J$40,MATCH($B$2,'Venture Assumptions'!$I$6:$I$40,0)),DevBdgt!$E$6:$EG$6,0)),0)</f>
        <v>0</v>
      </c>
      <c r="AM144" s="1148">
        <f>IFERROR(-INDEX(DevBdgt!$E$48:$EG$48,MATCH('Venture Summary - Mthly'!AM5-INDEX('Venture Assumptions'!$J$6:$J$40,MATCH($B$2,'Venture Assumptions'!$I$6:$I$40,0)),DevBdgt!$E$6:$EG$6,0)),0)</f>
        <v>0</v>
      </c>
      <c r="AN144" s="1148">
        <f>IFERROR(-INDEX(DevBdgt!$E$48:$EG$48,MATCH('Venture Summary - Mthly'!AN5-INDEX('Venture Assumptions'!$J$6:$J$40,MATCH($B$2,'Venture Assumptions'!$I$6:$I$40,0)),DevBdgt!$E$6:$EG$6,0)),0)</f>
        <v>0</v>
      </c>
      <c r="AO144" s="1148">
        <f>IFERROR(-INDEX(DevBdgt!$E$48:$EG$48,MATCH('Venture Summary - Mthly'!AO5-INDEX('Venture Assumptions'!$J$6:$J$40,MATCH($B$2,'Venture Assumptions'!$I$6:$I$40,0)),DevBdgt!$E$6:$EG$6,0)),0)</f>
        <v>0</v>
      </c>
      <c r="AP144" s="1148">
        <f>IFERROR(-INDEX(DevBdgt!$E$48:$EG$48,MATCH('Venture Summary - Mthly'!AP5-INDEX('Venture Assumptions'!$J$6:$J$40,MATCH($B$2,'Venture Assumptions'!$I$6:$I$40,0)),DevBdgt!$E$6:$EG$6,0)),0)</f>
        <v>0</v>
      </c>
      <c r="AQ144" s="1148">
        <f>IFERROR(-INDEX(DevBdgt!$E$48:$EG$48,MATCH('Venture Summary - Mthly'!AQ5-INDEX('Venture Assumptions'!$J$6:$J$40,MATCH($B$2,'Venture Assumptions'!$I$6:$I$40,0)),DevBdgt!$E$6:$EG$6,0)),0)</f>
        <v>0</v>
      </c>
      <c r="AR144" s="1148">
        <f>IFERROR(-INDEX(DevBdgt!$E$48:$EG$48,MATCH('Venture Summary - Mthly'!AR5-INDEX('Venture Assumptions'!$J$6:$J$40,MATCH($B$2,'Venture Assumptions'!$I$6:$I$40,0)),DevBdgt!$E$6:$EG$6,0)),0)</f>
        <v>0</v>
      </c>
      <c r="AS144" s="1148">
        <f>IFERROR(-INDEX(DevBdgt!$E$48:$EG$48,MATCH('Venture Summary - Mthly'!AS5-INDEX('Venture Assumptions'!$J$6:$J$40,MATCH($B$2,'Venture Assumptions'!$I$6:$I$40,0)),DevBdgt!$E$6:$EG$6,0)),0)</f>
        <v>0</v>
      </c>
      <c r="AT144" s="1148">
        <f>IFERROR(-INDEX(DevBdgt!$E$48:$EG$48,MATCH('Venture Summary - Mthly'!AT5-INDEX('Venture Assumptions'!$J$6:$J$40,MATCH($B$2,'Venture Assumptions'!$I$6:$I$40,0)),DevBdgt!$E$6:$EG$6,0)),0)</f>
        <v>0</v>
      </c>
      <c r="AU144" s="1148">
        <f>IFERROR(-INDEX(DevBdgt!$E$48:$EG$48,MATCH('Venture Summary - Mthly'!AU5-INDEX('Venture Assumptions'!$J$6:$J$40,MATCH($B$2,'Venture Assumptions'!$I$6:$I$40,0)),DevBdgt!$E$6:$EG$6,0)),0)</f>
        <v>0</v>
      </c>
      <c r="AV144" s="1148">
        <f>IFERROR(-INDEX(DevBdgt!$E$48:$EG$48,MATCH('Venture Summary - Mthly'!AV5-INDEX('Venture Assumptions'!$J$6:$J$40,MATCH($B$2,'Venture Assumptions'!$I$6:$I$40,0)),DevBdgt!$E$6:$EG$6,0)),0)</f>
        <v>0</v>
      </c>
      <c r="AW144" s="1148">
        <f>IFERROR(-INDEX(DevBdgt!$E$48:$EG$48,MATCH('Venture Summary - Mthly'!AW5-INDEX('Venture Assumptions'!$J$6:$J$40,MATCH($B$2,'Venture Assumptions'!$I$6:$I$40,0)),DevBdgt!$E$6:$EG$6,0)),0)</f>
        <v>0</v>
      </c>
      <c r="AX144" s="1148">
        <f>IFERROR(-INDEX(DevBdgt!$E$48:$EG$48,MATCH('Venture Summary - Mthly'!AX5-INDEX('Venture Assumptions'!$J$6:$J$40,MATCH($B$2,'Venture Assumptions'!$I$6:$I$40,0)),DevBdgt!$E$6:$EG$6,0)),0)</f>
        <v>0</v>
      </c>
      <c r="AY144" s="1148">
        <f>IFERROR(-INDEX(DevBdgt!$E$48:$EG$48,MATCH('Venture Summary - Mthly'!AY5-INDEX('Venture Assumptions'!$J$6:$J$40,MATCH($B$2,'Venture Assumptions'!$I$6:$I$40,0)),DevBdgt!$E$6:$EG$6,0)),0)</f>
        <v>0</v>
      </c>
      <c r="AZ144" s="1148">
        <f>IFERROR(-INDEX(DevBdgt!$E$48:$EG$48,MATCH('Venture Summary - Mthly'!AZ5-INDEX('Venture Assumptions'!$J$6:$J$40,MATCH($B$2,'Venture Assumptions'!$I$6:$I$40,0)),DevBdgt!$E$6:$EG$6,0)),0)</f>
        <v>0</v>
      </c>
      <c r="BA144" s="1148">
        <f>IFERROR(-INDEX(DevBdgt!$E$48:$EG$48,MATCH('Venture Summary - Mthly'!BA5-INDEX('Venture Assumptions'!$J$6:$J$40,MATCH($B$2,'Venture Assumptions'!$I$6:$I$40,0)),DevBdgt!$E$6:$EG$6,0)),0)</f>
        <v>0</v>
      </c>
      <c r="BB144" s="1148">
        <f>IFERROR(-INDEX(DevBdgt!$E$48:$EG$48,MATCH('Venture Summary - Mthly'!BB5-INDEX('Venture Assumptions'!$J$6:$J$40,MATCH($B$2,'Venture Assumptions'!$I$6:$I$40,0)),DevBdgt!$E$6:$EG$6,0)),0)</f>
        <v>0</v>
      </c>
      <c r="BC144" s="1148">
        <f>IFERROR(-INDEX(DevBdgt!$E$48:$EG$48,MATCH('Venture Summary - Mthly'!BC5-INDEX('Venture Assumptions'!$J$6:$J$40,MATCH($B$2,'Venture Assumptions'!$I$6:$I$40,0)),DevBdgt!$E$6:$EG$6,0)),0)</f>
        <v>0</v>
      </c>
      <c r="BD144" s="1148">
        <f>IFERROR(-INDEX(DevBdgt!$E$48:$EG$48,MATCH('Venture Summary - Mthly'!BD5-INDEX('Venture Assumptions'!$J$6:$J$40,MATCH($B$2,'Venture Assumptions'!$I$6:$I$40,0)),DevBdgt!$E$6:$EG$6,0)),0)</f>
        <v>0</v>
      </c>
      <c r="BE144" s="1148">
        <f>IFERROR(-INDEX(DevBdgt!$E$48:$EG$48,MATCH('Venture Summary - Mthly'!BE5-INDEX('Venture Assumptions'!$J$6:$J$40,MATCH($B$2,'Venture Assumptions'!$I$6:$I$40,0)),DevBdgt!$E$6:$EG$6,0)),0)</f>
        <v>0</v>
      </c>
      <c r="BF144" s="1148">
        <f>IFERROR(-INDEX(DevBdgt!$E$48:$EG$48,MATCH('Venture Summary - Mthly'!BF5-INDEX('Venture Assumptions'!$J$6:$J$40,MATCH($B$2,'Venture Assumptions'!$I$6:$I$40,0)),DevBdgt!$E$6:$EG$6,0)),0)</f>
        <v>0</v>
      </c>
      <c r="BG144" s="1148">
        <f>IFERROR(-INDEX(DevBdgt!$E$48:$EG$48,MATCH('Venture Summary - Mthly'!BG5-INDEX('Venture Assumptions'!$J$6:$J$40,MATCH($B$2,'Venture Assumptions'!$I$6:$I$40,0)),DevBdgt!$E$6:$EG$6,0)),0)</f>
        <v>0</v>
      </c>
      <c r="BH144" s="1148">
        <f>IFERROR(-INDEX(DevBdgt!$E$48:$EG$48,MATCH('Venture Summary - Mthly'!BH5-INDEX('Venture Assumptions'!$J$6:$J$40,MATCH($B$2,'Venture Assumptions'!$I$6:$I$40,0)),DevBdgt!$E$6:$EG$6,0)),0)</f>
        <v>0</v>
      </c>
      <c r="BI144" s="1148">
        <f>IFERROR(-INDEX(DevBdgt!$E$48:$EG$48,MATCH('Venture Summary - Mthly'!BI5-INDEX('Venture Assumptions'!$J$6:$J$40,MATCH($B$2,'Venture Assumptions'!$I$6:$I$40,0)),DevBdgt!$E$6:$EG$6,0)),0)</f>
        <v>0</v>
      </c>
      <c r="BJ144" s="1148">
        <f>IFERROR(-INDEX(DevBdgt!$E$48:$EG$48,MATCH('Venture Summary - Mthly'!BJ5-INDEX('Venture Assumptions'!$J$6:$J$40,MATCH($B$2,'Venture Assumptions'!$I$6:$I$40,0)),DevBdgt!$E$6:$EG$6,0)),0)</f>
        <v>0</v>
      </c>
      <c r="BK144" s="1148">
        <f>IFERROR(-INDEX(DevBdgt!$E$48:$EG$48,MATCH('Venture Summary - Mthly'!BK5-INDEX('Venture Assumptions'!$J$6:$J$40,MATCH($B$2,'Venture Assumptions'!$I$6:$I$40,0)),DevBdgt!$E$6:$EG$6,0)),0)</f>
        <v>0</v>
      </c>
      <c r="BL144" s="1148">
        <f>IFERROR(-INDEX(DevBdgt!$E$48:$EG$48,MATCH('Venture Summary - Mthly'!BL5-INDEX('Venture Assumptions'!$J$6:$J$40,MATCH($B$2,'Venture Assumptions'!$I$6:$I$40,0)),DevBdgt!$E$6:$EG$6,0)),0)</f>
        <v>0</v>
      </c>
      <c r="BM144" s="1148">
        <f>IFERROR(-INDEX(DevBdgt!$E$48:$EG$48,MATCH('Venture Summary - Mthly'!BM5-INDEX('Venture Assumptions'!$J$6:$J$40,MATCH($B$2,'Venture Assumptions'!$I$6:$I$40,0)),DevBdgt!$E$6:$EG$6,0)),0)</f>
        <v>0</v>
      </c>
      <c r="BN144" s="1148">
        <f>IFERROR(-INDEX(DevBdgt!$E$48:$EG$48,MATCH('Venture Summary - Mthly'!BN5-INDEX('Venture Assumptions'!$J$6:$J$40,MATCH($B$2,'Venture Assumptions'!$I$6:$I$40,0)),DevBdgt!$E$6:$EG$6,0)),0)</f>
        <v>0</v>
      </c>
      <c r="BO144" s="1148">
        <f>IFERROR(-INDEX(DevBdgt!$E$48:$EG$48,MATCH('Venture Summary - Mthly'!BO5-INDEX('Venture Assumptions'!$J$6:$J$40,MATCH($B$2,'Venture Assumptions'!$I$6:$I$40,0)),DevBdgt!$E$6:$EG$6,0)),0)</f>
        <v>0</v>
      </c>
      <c r="BP144" s="1148">
        <f>IFERROR(-INDEX(DevBdgt!$E$48:$EG$48,MATCH('Venture Summary - Mthly'!BP5-INDEX('Venture Assumptions'!$J$6:$J$40,MATCH($B$2,'Venture Assumptions'!$I$6:$I$40,0)),DevBdgt!$E$6:$EG$6,0)),0)</f>
        <v>0</v>
      </c>
      <c r="BQ144" s="1148">
        <f>IFERROR(-INDEX(DevBdgt!$E$48:$EG$48,MATCH('Venture Summary - Mthly'!BQ5-INDEX('Venture Assumptions'!$J$6:$J$40,MATCH($B$2,'Venture Assumptions'!$I$6:$I$40,0)),DevBdgt!$E$6:$EG$6,0)),0)</f>
        <v>0</v>
      </c>
      <c r="BR144" s="1148">
        <f>IFERROR(-INDEX(DevBdgt!$E$48:$EG$48,MATCH('Venture Summary - Mthly'!BR5-INDEX('Venture Assumptions'!$J$6:$J$40,MATCH($B$2,'Venture Assumptions'!$I$6:$I$40,0)),DevBdgt!$E$6:$EG$6,0)),0)</f>
        <v>0</v>
      </c>
      <c r="BS144" s="1148">
        <f>IFERROR(-INDEX(DevBdgt!$E$48:$EG$48,MATCH('Venture Summary - Mthly'!BS5-INDEX('Venture Assumptions'!$J$6:$J$40,MATCH($B$2,'Venture Assumptions'!$I$6:$I$40,0)),DevBdgt!$E$6:$EG$6,0)),0)</f>
        <v>0</v>
      </c>
      <c r="BT144" s="1148">
        <f>IFERROR(-INDEX(DevBdgt!$E$48:$EG$48,MATCH('Venture Summary - Mthly'!BT5-INDEX('Venture Assumptions'!$J$6:$J$40,MATCH($B$2,'Venture Assumptions'!$I$6:$I$40,0)),DevBdgt!$E$6:$EG$6,0)),0)</f>
        <v>0</v>
      </c>
      <c r="BU144" s="1148">
        <f>IFERROR(-INDEX(DevBdgt!$E$48:$EG$48,MATCH('Venture Summary - Mthly'!BU5-INDEX('Venture Assumptions'!$J$6:$J$40,MATCH($B$2,'Venture Assumptions'!$I$6:$I$40,0)),DevBdgt!$E$6:$EG$6,0)),0)</f>
        <v>0</v>
      </c>
      <c r="BV144" s="1148">
        <f>IFERROR(-INDEX(DevBdgt!$E$48:$EG$48,MATCH('Venture Summary - Mthly'!BV5-INDEX('Venture Assumptions'!$J$6:$J$40,MATCH($B$2,'Venture Assumptions'!$I$6:$I$40,0)),DevBdgt!$E$6:$EG$6,0)),0)</f>
        <v>0</v>
      </c>
      <c r="BW144" s="1148">
        <f>IFERROR(-INDEX(DevBdgt!$E$48:$EG$48,MATCH('Venture Summary - Mthly'!BW5-INDEX('Venture Assumptions'!$J$6:$J$40,MATCH($B$2,'Venture Assumptions'!$I$6:$I$40,0)),DevBdgt!$E$6:$EG$6,0)),0)</f>
        <v>0</v>
      </c>
      <c r="BX144" s="1148">
        <f>IFERROR(-INDEX(DevBdgt!$E$48:$EG$48,MATCH('Venture Summary - Mthly'!BX5-INDEX('Venture Assumptions'!$J$6:$J$40,MATCH($B$2,'Venture Assumptions'!$I$6:$I$40,0)),DevBdgt!$E$6:$EG$6,0)),0)</f>
        <v>0</v>
      </c>
      <c r="BY144" s="1148">
        <f>IFERROR(-INDEX(DevBdgt!$E$48:$EG$48,MATCH('Venture Summary - Mthly'!BY5-INDEX('Venture Assumptions'!$J$6:$J$40,MATCH($B$2,'Venture Assumptions'!$I$6:$I$40,0)),DevBdgt!$E$6:$EG$6,0)),0)</f>
        <v>0</v>
      </c>
      <c r="BZ144" s="1148">
        <f>IFERROR(-INDEX(DevBdgt!$E$48:$EG$48,MATCH('Venture Summary - Mthly'!BZ5-INDEX('Venture Assumptions'!$J$6:$J$40,MATCH($B$2,'Venture Assumptions'!$I$6:$I$40,0)),DevBdgt!$E$6:$EG$6,0)),0)</f>
        <v>0</v>
      </c>
      <c r="CA144" s="1148">
        <f>IFERROR(-INDEX(DevBdgt!$E$48:$EG$48,MATCH('Venture Summary - Mthly'!CA5-INDEX('Venture Assumptions'!$J$6:$J$40,MATCH($B$2,'Venture Assumptions'!$I$6:$I$40,0)),DevBdgt!$E$6:$EG$6,0)),0)</f>
        <v>0</v>
      </c>
      <c r="CB144" s="1148">
        <f>IFERROR(-INDEX(DevBdgt!$E$48:$EG$48,MATCH('Venture Summary - Mthly'!CB5-INDEX('Venture Assumptions'!$J$6:$J$40,MATCH($B$2,'Venture Assumptions'!$I$6:$I$40,0)),DevBdgt!$E$6:$EG$6,0)),0)</f>
        <v>0</v>
      </c>
      <c r="CC144" s="1148">
        <f>IFERROR(-INDEX(DevBdgt!$E$48:$EG$48,MATCH('Venture Summary - Mthly'!CC5-INDEX('Venture Assumptions'!$J$6:$J$40,MATCH($B$2,'Venture Assumptions'!$I$6:$I$40,0)),DevBdgt!$E$6:$EG$6,0)),0)</f>
        <v>0</v>
      </c>
      <c r="CD144" s="1148">
        <f>IFERROR(-INDEX(DevBdgt!$E$48:$EG$48,MATCH('Venture Summary - Mthly'!CD5-INDEX('Venture Assumptions'!$J$6:$J$40,MATCH($B$2,'Venture Assumptions'!$I$6:$I$40,0)),DevBdgt!$E$6:$EG$6,0)),0)</f>
        <v>0</v>
      </c>
      <c r="CE144" s="1148">
        <f>IFERROR(-INDEX(DevBdgt!$E$48:$EG$48,MATCH('Venture Summary - Mthly'!CE5-INDEX('Venture Assumptions'!$J$6:$J$40,MATCH($B$2,'Venture Assumptions'!$I$6:$I$40,0)),DevBdgt!$E$6:$EG$6,0)),0)</f>
        <v>0</v>
      </c>
      <c r="CF144" s="1148">
        <f>IFERROR(-INDEX(DevBdgt!$E$48:$EG$48,MATCH('Venture Summary - Mthly'!CF5-INDEX('Venture Assumptions'!$J$6:$J$40,MATCH($B$2,'Venture Assumptions'!$I$6:$I$40,0)),DevBdgt!$E$6:$EG$6,0)),0)</f>
        <v>0</v>
      </c>
      <c r="CG144" s="1148">
        <f>IFERROR(-INDEX(DevBdgt!$E$48:$EG$48,MATCH('Venture Summary - Mthly'!CG5-INDEX('Venture Assumptions'!$J$6:$J$40,MATCH($B$2,'Venture Assumptions'!$I$6:$I$40,0)),DevBdgt!$E$6:$EG$6,0)),0)</f>
        <v>0</v>
      </c>
      <c r="CH144" s="1148">
        <f>IFERROR(-INDEX(DevBdgt!$E$48:$EG$48,MATCH('Venture Summary - Mthly'!CH5-INDEX('Venture Assumptions'!$J$6:$J$40,MATCH($B$2,'Venture Assumptions'!$I$6:$I$40,0)),DevBdgt!$E$6:$EG$6,0)),0)</f>
        <v>0</v>
      </c>
      <c r="CI144" s="1148">
        <f>IFERROR(-INDEX(DevBdgt!$E$48:$EG$48,MATCH('Venture Summary - Mthly'!CI5-INDEX('Venture Assumptions'!$J$6:$J$40,MATCH($B$2,'Venture Assumptions'!$I$6:$I$40,0)),DevBdgt!$E$6:$EG$6,0)),0)</f>
        <v>0</v>
      </c>
      <c r="CJ144" s="1148">
        <f>IFERROR(-INDEX(DevBdgt!$E$48:$EG$48,MATCH('Venture Summary - Mthly'!CJ5-INDEX('Venture Assumptions'!$J$6:$J$40,MATCH($B$2,'Venture Assumptions'!$I$6:$I$40,0)),DevBdgt!$E$6:$EG$6,0)),0)</f>
        <v>0</v>
      </c>
      <c r="CK144" s="1148">
        <f>IFERROR(-INDEX(DevBdgt!$E$48:$EG$48,MATCH('Venture Summary - Mthly'!CK5-INDEX('Venture Assumptions'!$J$6:$J$40,MATCH($B$2,'Venture Assumptions'!$I$6:$I$40,0)),DevBdgt!$E$6:$EG$6,0)),0)</f>
        <v>0</v>
      </c>
      <c r="CL144" s="1148">
        <f>IFERROR(-INDEX(DevBdgt!$E$48:$EG$48,MATCH('Venture Summary - Mthly'!CL5-INDEX('Venture Assumptions'!$J$6:$J$40,MATCH($B$2,'Venture Assumptions'!$I$6:$I$40,0)),DevBdgt!$E$6:$EG$6,0)),0)</f>
        <v>0</v>
      </c>
      <c r="CM144" s="1148">
        <f>IFERROR(-INDEX(DevBdgt!$E$48:$EG$48,MATCH('Venture Summary - Mthly'!CM5-INDEX('Venture Assumptions'!$J$6:$J$40,MATCH($B$2,'Venture Assumptions'!$I$6:$I$40,0)),DevBdgt!$E$6:$EG$6,0)),0)</f>
        <v>0</v>
      </c>
      <c r="CN144" s="1148">
        <f>IFERROR(-INDEX(DevBdgt!$E$48:$EG$48,MATCH('Venture Summary - Mthly'!CN5-INDEX('Venture Assumptions'!$J$6:$J$40,MATCH($B$2,'Venture Assumptions'!$I$6:$I$40,0)),DevBdgt!$E$6:$EG$6,0)),0)</f>
        <v>0</v>
      </c>
      <c r="CO144" s="1148">
        <f>IFERROR(-INDEX(DevBdgt!$E$48:$EG$48,MATCH('Venture Summary - Mthly'!CO5-INDEX('Venture Assumptions'!$J$6:$J$40,MATCH($B$2,'Venture Assumptions'!$I$6:$I$40,0)),DevBdgt!$E$6:$EG$6,0)),0)</f>
        <v>0</v>
      </c>
      <c r="CP144" s="1148">
        <f>IFERROR(-INDEX(DevBdgt!$E$48:$EG$48,MATCH('Venture Summary - Mthly'!CP5-INDEX('Venture Assumptions'!$J$6:$J$40,MATCH($B$2,'Venture Assumptions'!$I$6:$I$40,0)),DevBdgt!$E$6:$EG$6,0)),0)</f>
        <v>0</v>
      </c>
      <c r="CQ144" s="1148">
        <f>IFERROR(-INDEX(DevBdgt!$E$48:$EG$48,MATCH('Venture Summary - Mthly'!CQ5-INDEX('Venture Assumptions'!$J$6:$J$40,MATCH($B$2,'Venture Assumptions'!$I$6:$I$40,0)),DevBdgt!$E$6:$EG$6,0)),0)</f>
        <v>0</v>
      </c>
      <c r="CR144" s="1148">
        <f>IFERROR(-INDEX(DevBdgt!$E$48:$EG$48,MATCH('Venture Summary - Mthly'!CR5-INDEX('Venture Assumptions'!$J$6:$J$40,MATCH($B$2,'Venture Assumptions'!$I$6:$I$40,0)),DevBdgt!$E$6:$EG$6,0)),0)</f>
        <v>0</v>
      </c>
      <c r="CS144" s="1148">
        <f>IFERROR(-INDEX(DevBdgt!$E$48:$EG$48,MATCH('Venture Summary - Mthly'!CS5-INDEX('Venture Assumptions'!$J$6:$J$40,MATCH($B$2,'Venture Assumptions'!$I$6:$I$40,0)),DevBdgt!$E$6:$EG$6,0)),0)</f>
        <v>0</v>
      </c>
      <c r="CT144" s="1148">
        <f>IFERROR(-INDEX(DevBdgt!$E$48:$EG$48,MATCH('Venture Summary - Mthly'!CT5-INDEX('Venture Assumptions'!$J$6:$J$40,MATCH($B$2,'Venture Assumptions'!$I$6:$I$40,0)),DevBdgt!$E$6:$EG$6,0)),0)</f>
        <v>0</v>
      </c>
      <c r="CU144" s="1148">
        <f>IFERROR(-INDEX(DevBdgt!$E$48:$EG$48,MATCH('Venture Summary - Mthly'!CU5-INDEX('Venture Assumptions'!$J$6:$J$40,MATCH($B$2,'Venture Assumptions'!$I$6:$I$40,0)),DevBdgt!$E$6:$EG$6,0)),0)</f>
        <v>0</v>
      </c>
      <c r="CV144" s="1148">
        <f>IFERROR(-INDEX(DevBdgt!$E$48:$EG$48,MATCH('Venture Summary - Mthly'!CV5-INDEX('Venture Assumptions'!$J$6:$J$40,MATCH($B$2,'Venture Assumptions'!$I$6:$I$40,0)),DevBdgt!$E$6:$EG$6,0)),0)</f>
        <v>0</v>
      </c>
      <c r="CW144" s="1148">
        <f>IFERROR(-INDEX(DevBdgt!$E$48:$EG$48,MATCH('Venture Summary - Mthly'!CW5-INDEX('Venture Assumptions'!$J$6:$J$40,MATCH($B$2,'Venture Assumptions'!$I$6:$I$40,0)),DevBdgt!$E$6:$EG$6,0)),0)</f>
        <v>0</v>
      </c>
      <c r="CX144" s="1148">
        <f>IFERROR(-INDEX(DevBdgt!$E$48:$EG$48,MATCH('Venture Summary - Mthly'!CX5-INDEX('Venture Assumptions'!$J$6:$J$40,MATCH($B$2,'Venture Assumptions'!$I$6:$I$40,0)),DevBdgt!$E$6:$EG$6,0)),0)</f>
        <v>0</v>
      </c>
      <c r="CY144" s="1148">
        <f>IFERROR(-INDEX(DevBdgt!$E$48:$EG$48,MATCH('Venture Summary - Mthly'!CY5-INDEX('Venture Assumptions'!$J$6:$J$40,MATCH($B$2,'Venture Assumptions'!$I$6:$I$40,0)),DevBdgt!$E$6:$EG$6,0)),0)</f>
        <v>0</v>
      </c>
      <c r="CZ144" s="1148">
        <f>IFERROR(-INDEX(DevBdgt!$E$48:$EG$48,MATCH('Venture Summary - Mthly'!CZ5-INDEX('Venture Assumptions'!$J$6:$J$40,MATCH($B$2,'Venture Assumptions'!$I$6:$I$40,0)),DevBdgt!$E$6:$EG$6,0)),0)</f>
        <v>0</v>
      </c>
      <c r="DA144" s="1148">
        <f>IFERROR(-INDEX(DevBdgt!$E$48:$EG$48,MATCH('Venture Summary - Mthly'!DA5-INDEX('Venture Assumptions'!$J$6:$J$40,MATCH($B$2,'Venture Assumptions'!$I$6:$I$40,0)),DevBdgt!$E$6:$EG$6,0)),0)</f>
        <v>0</v>
      </c>
      <c r="DB144" s="1148">
        <f>IFERROR(-INDEX(DevBdgt!$E$48:$EG$48,MATCH('Venture Summary - Mthly'!DB5-INDEX('Venture Assumptions'!$J$6:$J$40,MATCH($B$2,'Venture Assumptions'!$I$6:$I$40,0)),DevBdgt!$E$6:$EG$6,0)),0)</f>
        <v>0</v>
      </c>
      <c r="DC144" s="1148">
        <f>IFERROR(-INDEX(DevBdgt!$E$48:$EG$48,MATCH('Venture Summary - Mthly'!DC5-INDEX('Venture Assumptions'!$J$6:$J$40,MATCH($B$2,'Venture Assumptions'!$I$6:$I$40,0)),DevBdgt!$E$6:$EG$6,0)),0)</f>
        <v>0</v>
      </c>
      <c r="DD144" s="1148">
        <f>IFERROR(-INDEX(DevBdgt!$E$48:$EG$48,MATCH('Venture Summary - Mthly'!DD5-INDEX('Venture Assumptions'!$J$6:$J$40,MATCH($B$2,'Venture Assumptions'!$I$6:$I$40,0)),DevBdgt!$E$6:$EG$6,0)),0)</f>
        <v>0</v>
      </c>
      <c r="DE144" s="1148">
        <f>IFERROR(-INDEX(DevBdgt!$E$48:$EG$48,MATCH('Venture Summary - Mthly'!DE5-INDEX('Venture Assumptions'!$J$6:$J$40,MATCH($B$2,'Venture Assumptions'!$I$6:$I$40,0)),DevBdgt!$E$6:$EG$6,0)),0)</f>
        <v>0</v>
      </c>
      <c r="DF144" s="1148">
        <f>IFERROR(-INDEX(DevBdgt!$E$48:$EG$48,MATCH('Venture Summary - Mthly'!DF5-INDEX('Venture Assumptions'!$J$6:$J$40,MATCH($B$2,'Venture Assumptions'!$I$6:$I$40,0)),DevBdgt!$E$6:$EG$6,0)),0)</f>
        <v>0</v>
      </c>
      <c r="DG144" s="1148">
        <f>IFERROR(-INDEX(DevBdgt!$E$48:$EG$48,MATCH('Venture Summary - Mthly'!DG5-INDEX('Venture Assumptions'!$J$6:$J$40,MATCH($B$2,'Venture Assumptions'!$I$6:$I$40,0)),DevBdgt!$E$6:$EG$6,0)),0)</f>
        <v>0</v>
      </c>
      <c r="DH144" s="1148">
        <f>IFERROR(-INDEX(DevBdgt!$E$48:$EG$48,MATCH('Venture Summary - Mthly'!DH5-INDEX('Venture Assumptions'!$J$6:$J$40,MATCH($B$2,'Venture Assumptions'!$I$6:$I$40,0)),DevBdgt!$E$6:$EG$6,0)),0)</f>
        <v>0</v>
      </c>
      <c r="DI144" s="1148">
        <f>IFERROR(-INDEX(DevBdgt!$E$48:$EG$48,MATCH('Venture Summary - Mthly'!DI5-INDEX('Venture Assumptions'!$J$6:$J$40,MATCH($B$2,'Venture Assumptions'!$I$6:$I$40,0)),DevBdgt!$E$6:$EG$6,0)),0)</f>
        <v>0</v>
      </c>
      <c r="DJ144" s="1148">
        <f>IFERROR(-INDEX(DevBdgt!$E$48:$EG$48,MATCH('Venture Summary - Mthly'!DJ5-INDEX('Venture Assumptions'!$J$6:$J$40,MATCH($B$2,'Venture Assumptions'!$I$6:$I$40,0)),DevBdgt!$E$6:$EG$6,0)),0)</f>
        <v>0</v>
      </c>
      <c r="DK144" s="1148">
        <f>IFERROR(-INDEX(DevBdgt!$E$48:$EG$48,MATCH('Venture Summary - Mthly'!DK5-INDEX('Venture Assumptions'!$J$6:$J$40,MATCH($B$2,'Venture Assumptions'!$I$6:$I$40,0)),DevBdgt!$E$6:$EG$6,0)),0)</f>
        <v>0</v>
      </c>
      <c r="DL144" s="1148">
        <f>IFERROR(-INDEX(DevBdgt!$E$48:$EG$48,MATCH('Venture Summary - Mthly'!DL5-INDEX('Venture Assumptions'!$J$6:$J$40,MATCH($B$2,'Venture Assumptions'!$I$6:$I$40,0)),DevBdgt!$E$6:$EG$6,0)),0)</f>
        <v>0</v>
      </c>
      <c r="DM144" s="1148">
        <f>IFERROR(-INDEX(DevBdgt!$E$48:$EG$48,MATCH('Venture Summary - Mthly'!DM5-INDEX('Venture Assumptions'!$J$6:$J$40,MATCH($B$2,'Venture Assumptions'!$I$6:$I$40,0)),DevBdgt!$E$6:$EG$6,0)),0)</f>
        <v>0</v>
      </c>
      <c r="DN144" s="1148">
        <f>IFERROR(-INDEX(DevBdgt!$E$48:$EG$48,MATCH('Venture Summary - Mthly'!DN5-INDEX('Venture Assumptions'!$J$6:$J$40,MATCH($B$2,'Venture Assumptions'!$I$6:$I$40,0)),DevBdgt!$E$6:$EG$6,0)),0)</f>
        <v>0</v>
      </c>
      <c r="DO144" s="1148">
        <f>IFERROR(-INDEX(DevBdgt!$E$48:$EG$48,MATCH('Venture Summary - Mthly'!DO5-INDEX('Venture Assumptions'!$J$6:$J$40,MATCH($B$2,'Venture Assumptions'!$I$6:$I$40,0)),DevBdgt!$E$6:$EG$6,0)),0)</f>
        <v>0</v>
      </c>
      <c r="DP144" s="1148">
        <f>IFERROR(-INDEX(DevBdgt!$E$48:$EG$48,MATCH('Venture Summary - Mthly'!DP5-INDEX('Venture Assumptions'!$J$6:$J$40,MATCH($B$2,'Venture Assumptions'!$I$6:$I$40,0)),DevBdgt!$E$6:$EG$6,0)),0)</f>
        <v>0</v>
      </c>
      <c r="DQ144" s="1148">
        <f>IFERROR(-INDEX(DevBdgt!$E$48:$EG$48,MATCH('Venture Summary - Mthly'!DQ5-INDEX('Venture Assumptions'!$J$6:$J$40,MATCH($B$2,'Venture Assumptions'!$I$6:$I$40,0)),DevBdgt!$E$6:$EG$6,0)),0)</f>
        <v>0</v>
      </c>
      <c r="DR144" s="1148">
        <f>IFERROR(-INDEX(DevBdgt!$E$48:$EG$48,MATCH('Venture Summary - Mthly'!DR5-INDEX('Venture Assumptions'!$J$6:$J$40,MATCH($B$2,'Venture Assumptions'!$I$6:$I$40,0)),DevBdgt!$E$6:$EG$6,0)),0)</f>
        <v>0</v>
      </c>
      <c r="DS144" s="1148">
        <f>IFERROR(-INDEX(DevBdgt!$E$48:$EG$48,MATCH('Venture Summary - Mthly'!DS5-INDEX('Venture Assumptions'!$J$6:$J$40,MATCH($B$2,'Venture Assumptions'!$I$6:$I$40,0)),DevBdgt!$E$6:$EG$6,0)),0)</f>
        <v>0</v>
      </c>
      <c r="DT144" s="1148">
        <f>IFERROR(-INDEX(DevBdgt!$E$48:$EG$48,MATCH('Venture Summary - Mthly'!DT5-INDEX('Venture Assumptions'!$J$6:$J$40,MATCH($B$2,'Venture Assumptions'!$I$6:$I$40,0)),DevBdgt!$E$6:$EG$6,0)),0)</f>
        <v>0</v>
      </c>
      <c r="DU144" s="1148">
        <f>IFERROR(-INDEX(DevBdgt!$E$48:$EG$48,MATCH('Venture Summary - Mthly'!DU5-INDEX('Venture Assumptions'!$J$6:$J$40,MATCH($B$2,'Venture Assumptions'!$I$6:$I$40,0)),DevBdgt!$E$6:$EG$6,0)),0)</f>
        <v>0</v>
      </c>
      <c r="DV144" s="1148">
        <f>IFERROR(-INDEX(DevBdgt!$E$48:$EG$48,MATCH('Venture Summary - Mthly'!DV5-INDEX('Venture Assumptions'!$J$6:$J$40,MATCH($B$2,'Venture Assumptions'!$I$6:$I$40,0)),DevBdgt!$E$6:$EG$6,0)),0)</f>
        <v>0</v>
      </c>
      <c r="DW144" s="1148">
        <f>IFERROR(-INDEX(DevBdgt!$E$48:$EG$48,MATCH('Venture Summary - Mthly'!DW5-INDEX('Venture Assumptions'!$J$6:$J$40,MATCH($B$2,'Venture Assumptions'!$I$6:$I$40,0)),DevBdgt!$E$6:$EG$6,0)),0)</f>
        <v>0</v>
      </c>
      <c r="DX144" s="1148">
        <f>IFERROR(-INDEX(DevBdgt!$E$48:$EG$48,MATCH('Venture Summary - Mthly'!DX5-INDEX('Venture Assumptions'!$J$6:$J$40,MATCH($B$2,'Venture Assumptions'!$I$6:$I$40,0)),DevBdgt!$E$6:$EG$6,0)),0)</f>
        <v>0</v>
      </c>
      <c r="DY144" s="1148">
        <f>IFERROR(-INDEX(DevBdgt!$E$48:$EG$48,MATCH('Venture Summary - Mthly'!DY5-INDEX('Venture Assumptions'!$J$6:$J$40,MATCH($B$2,'Venture Assumptions'!$I$6:$I$40,0)),DevBdgt!$E$6:$EG$6,0)),0)</f>
        <v>0</v>
      </c>
      <c r="DZ144" s="1148">
        <f>IFERROR(-INDEX(DevBdgt!$E$48:$EG$48,MATCH('Venture Summary - Mthly'!DZ5-INDEX('Venture Assumptions'!$J$6:$J$40,MATCH($B$2,'Venture Assumptions'!$I$6:$I$40,0)),DevBdgt!$E$6:$EG$6,0)),0)</f>
        <v>0</v>
      </c>
      <c r="EA144" s="1148">
        <f>IFERROR(-INDEX(DevBdgt!$E$48:$EG$48,MATCH('Venture Summary - Mthly'!EA5-INDEX('Venture Assumptions'!$J$6:$J$40,MATCH($B$2,'Venture Assumptions'!$I$6:$I$40,0)),DevBdgt!$E$6:$EG$6,0)),0)</f>
        <v>0</v>
      </c>
      <c r="EB144" s="1148">
        <f>IFERROR(-INDEX(DevBdgt!$E$48:$EG$48,MATCH('Venture Summary - Mthly'!EB5-INDEX('Venture Assumptions'!$J$6:$J$40,MATCH($B$2,'Venture Assumptions'!$I$6:$I$40,0)),DevBdgt!$E$6:$EG$6,0)),0)</f>
        <v>0</v>
      </c>
      <c r="EC144" s="1148">
        <f>IFERROR(-INDEX(DevBdgt!$E$48:$EG$48,MATCH('Venture Summary - Mthly'!EC5-INDEX('Venture Assumptions'!$J$6:$J$40,MATCH($B$2,'Venture Assumptions'!$I$6:$I$40,0)),DevBdgt!$E$6:$EG$6,0)),0)</f>
        <v>0</v>
      </c>
      <c r="ED144" s="1148">
        <f>IFERROR(-INDEX(DevBdgt!$E$48:$EG$48,MATCH('Venture Summary - Mthly'!ED5-INDEX('Venture Assumptions'!$J$6:$J$40,MATCH($B$2,'Venture Assumptions'!$I$6:$I$40,0)),DevBdgt!$E$6:$EG$6,0)),0)</f>
        <v>0</v>
      </c>
      <c r="EE144" s="1148">
        <f>IFERROR(-INDEX(DevBdgt!$E$48:$EG$48,MATCH('Venture Summary - Mthly'!EE5-INDEX('Venture Assumptions'!$J$6:$J$40,MATCH($B$2,'Venture Assumptions'!$I$6:$I$40,0)),DevBdgt!$E$6:$EG$6,0)),0)</f>
        <v>0</v>
      </c>
      <c r="EF144" s="1148">
        <f>IFERROR(-INDEX(DevBdgt!$E$48:$EG$48,MATCH('Venture Summary - Mthly'!EF5-INDEX('Venture Assumptions'!$J$6:$J$40,MATCH($B$2,'Venture Assumptions'!$I$6:$I$40,0)),DevBdgt!$E$6:$EG$6,0)),0)</f>
        <v>0</v>
      </c>
      <c r="EG144" s="1148">
        <f>IFERROR(-INDEX(DevBdgt!$E$48:$EG$48,MATCH('Venture Summary - Mthly'!EG5-INDEX('Venture Assumptions'!$J$6:$J$40,MATCH($B$2,'Venture Assumptions'!$I$6:$I$40,0)),DevBdgt!$E$6:$EG$6,0)),0)</f>
        <v>0</v>
      </c>
      <c r="EH144" s="782"/>
    </row>
    <row r="145" spans="1:138" ht="12.75" customHeight="1" x14ac:dyDescent="0.3">
      <c r="A145" s="782"/>
      <c r="B145" s="782" t="s">
        <v>82</v>
      </c>
      <c r="C145" s="798">
        <f t="shared" si="131"/>
        <v>9092959.6243421789</v>
      </c>
      <c r="D145" s="782"/>
      <c r="E145" s="1149">
        <f>IFERROR(INDEX(DevBdgt!$E$30:$EG$30,MATCH('Venture Summary - Mthly'!E5-INDEX('Venture Assumptions'!$J$6:$J$40,MATCH($B$2,'Venture Assumptions'!$I$6:$I$40,0)),DevBdgt!$E$6:$EG$6,0))+INDEX(DevBdgt!$E$31:$EG$31,MATCH('Venture Summary - Mthly'!E5-INDEX('Venture Assumptions'!$J$6:$J$40,MATCH($B$2,'Venture Assumptions'!$I$6:$I$40,0)),DevBdgt!$E$6:$EG$6,0)),0)</f>
        <v>0</v>
      </c>
      <c r="F145" s="1149">
        <f>IFERROR(INDEX(DevBdgt!$E$30:$EG$30,MATCH('Venture Summary - Mthly'!F5-INDEX('Venture Assumptions'!$J$6:$J$40,MATCH($B$2,'Venture Assumptions'!$I$6:$I$40,0)),DevBdgt!$E$6:$EG$6,0))+INDEX(DevBdgt!$E$31:$EG$31,MATCH('Venture Summary - Mthly'!F5-INDEX('Venture Assumptions'!$J$6:$J$40,MATCH($B$2,'Venture Assumptions'!$I$6:$I$40,0)),DevBdgt!$E$6:$EG$6,0)),0)</f>
        <v>9092959.6243421789</v>
      </c>
      <c r="G145" s="1149">
        <f>IFERROR(INDEX(DevBdgt!$E$30:$EG$30,MATCH('Venture Summary - Mthly'!G5-INDEX('Venture Assumptions'!$J$6:$J$40,MATCH($B$2,'Venture Assumptions'!$I$6:$I$40,0)),DevBdgt!$E$6:$EG$6,0))+INDEX(DevBdgt!$E$31:$EG$31,MATCH('Venture Summary - Mthly'!G5-INDEX('Venture Assumptions'!$J$6:$J$40,MATCH($B$2,'Venture Assumptions'!$I$6:$I$40,0)),DevBdgt!$E$6:$EG$6,0)),0)</f>
        <v>0</v>
      </c>
      <c r="H145" s="1149">
        <f>IFERROR(INDEX(DevBdgt!$E$30:$EG$30,MATCH('Venture Summary - Mthly'!H5-INDEX('Venture Assumptions'!$J$6:$J$40,MATCH($B$2,'Venture Assumptions'!$I$6:$I$40,0)),DevBdgt!$E$6:$EG$6,0))+INDEX(DevBdgt!$E$31:$EG$31,MATCH('Venture Summary - Mthly'!H5-INDEX('Venture Assumptions'!$J$6:$J$40,MATCH($B$2,'Venture Assumptions'!$I$6:$I$40,0)),DevBdgt!$E$6:$EG$6,0)),0)</f>
        <v>0</v>
      </c>
      <c r="I145" s="1149">
        <f>IFERROR(INDEX(DevBdgt!$E$30:$EG$30,MATCH('Venture Summary - Mthly'!I5-INDEX('Venture Assumptions'!$J$6:$J$40,MATCH($B$2,'Venture Assumptions'!$I$6:$I$40,0)),DevBdgt!$E$6:$EG$6,0))+INDEX(DevBdgt!$E$31:$EG$31,MATCH('Venture Summary - Mthly'!I5-INDEX('Venture Assumptions'!$J$6:$J$40,MATCH($B$2,'Venture Assumptions'!$I$6:$I$40,0)),DevBdgt!$E$6:$EG$6,0)),0)</f>
        <v>0</v>
      </c>
      <c r="J145" s="1149">
        <f>IFERROR(INDEX(DevBdgt!$E$30:$EG$30,MATCH('Venture Summary - Mthly'!J5-INDEX('Venture Assumptions'!$J$6:$J$40,MATCH($B$2,'Venture Assumptions'!$I$6:$I$40,0)),DevBdgt!$E$6:$EG$6,0))+INDEX(DevBdgt!$E$31:$EG$31,MATCH('Venture Summary - Mthly'!J5-INDEX('Venture Assumptions'!$J$6:$J$40,MATCH($B$2,'Venture Assumptions'!$I$6:$I$40,0)),DevBdgt!$E$6:$EG$6,0)),0)</f>
        <v>0</v>
      </c>
      <c r="K145" s="1149">
        <f>IFERROR(INDEX(DevBdgt!$E$30:$EG$30,MATCH('Venture Summary - Mthly'!K5-INDEX('Venture Assumptions'!$J$6:$J$40,MATCH($B$2,'Venture Assumptions'!$I$6:$I$40,0)),DevBdgt!$E$6:$EG$6,0))+INDEX(DevBdgt!$E$31:$EG$31,MATCH('Venture Summary - Mthly'!K5-INDEX('Venture Assumptions'!$J$6:$J$40,MATCH($B$2,'Venture Assumptions'!$I$6:$I$40,0)),DevBdgt!$E$6:$EG$6,0)),0)</f>
        <v>0</v>
      </c>
      <c r="L145" s="1149">
        <f>IFERROR(INDEX(DevBdgt!$E$30:$EG$30,MATCH('Venture Summary - Mthly'!L5-INDEX('Venture Assumptions'!$J$6:$J$40,MATCH($B$2,'Venture Assumptions'!$I$6:$I$40,0)),DevBdgt!$E$6:$EG$6,0))+INDEX(DevBdgt!$E$31:$EG$31,MATCH('Venture Summary - Mthly'!L5-INDEX('Venture Assumptions'!$J$6:$J$40,MATCH($B$2,'Venture Assumptions'!$I$6:$I$40,0)),DevBdgt!$E$6:$EG$6,0)),0)</f>
        <v>0</v>
      </c>
      <c r="M145" s="1149">
        <f>IFERROR(INDEX(DevBdgt!$E$30:$EG$30,MATCH('Venture Summary - Mthly'!M5-INDEX('Venture Assumptions'!$J$6:$J$40,MATCH($B$2,'Venture Assumptions'!$I$6:$I$40,0)),DevBdgt!$E$6:$EG$6,0))+INDEX(DevBdgt!$E$31:$EG$31,MATCH('Venture Summary - Mthly'!M5-INDEX('Venture Assumptions'!$J$6:$J$40,MATCH($B$2,'Venture Assumptions'!$I$6:$I$40,0)),DevBdgt!$E$6:$EG$6,0)),0)</f>
        <v>0</v>
      </c>
      <c r="N145" s="1149">
        <f>IFERROR(INDEX(DevBdgt!$E$30:$EG$30,MATCH('Venture Summary - Mthly'!N5-INDEX('Venture Assumptions'!$J$6:$J$40,MATCH($B$2,'Venture Assumptions'!$I$6:$I$40,0)),DevBdgt!$E$6:$EG$6,0))+INDEX(DevBdgt!$E$31:$EG$31,MATCH('Venture Summary - Mthly'!N5-INDEX('Venture Assumptions'!$J$6:$J$40,MATCH($B$2,'Venture Assumptions'!$I$6:$I$40,0)),DevBdgt!$E$6:$EG$6,0)),0)</f>
        <v>0</v>
      </c>
      <c r="O145" s="1149">
        <f>IFERROR(INDEX(DevBdgt!$E$30:$EG$30,MATCH('Venture Summary - Mthly'!O5-INDEX('Venture Assumptions'!$J$6:$J$40,MATCH($B$2,'Venture Assumptions'!$I$6:$I$40,0)),DevBdgt!$E$6:$EG$6,0))+INDEX(DevBdgt!$E$31:$EG$31,MATCH('Venture Summary - Mthly'!O5-INDEX('Venture Assumptions'!$J$6:$J$40,MATCH($B$2,'Venture Assumptions'!$I$6:$I$40,0)),DevBdgt!$E$6:$EG$6,0)),0)</f>
        <v>0</v>
      </c>
      <c r="P145" s="1149">
        <f>IFERROR(INDEX(DevBdgt!$E$30:$EG$30,MATCH('Venture Summary - Mthly'!P5-INDEX('Venture Assumptions'!$J$6:$J$40,MATCH($B$2,'Venture Assumptions'!$I$6:$I$40,0)),DevBdgt!$E$6:$EG$6,0))+INDEX(DevBdgt!$E$31:$EG$31,MATCH('Venture Summary - Mthly'!P5-INDEX('Venture Assumptions'!$J$6:$J$40,MATCH($B$2,'Venture Assumptions'!$I$6:$I$40,0)),DevBdgt!$E$6:$EG$6,0)),0)</f>
        <v>0</v>
      </c>
      <c r="Q145" s="1149">
        <f>IFERROR(INDEX(DevBdgt!$E$30:$EG$30,MATCH('Venture Summary - Mthly'!Q5-INDEX('Venture Assumptions'!$J$6:$J$40,MATCH($B$2,'Venture Assumptions'!$I$6:$I$40,0)),DevBdgt!$E$6:$EG$6,0))+INDEX(DevBdgt!$E$31:$EG$31,MATCH('Venture Summary - Mthly'!Q5-INDEX('Venture Assumptions'!$J$6:$J$40,MATCH($B$2,'Venture Assumptions'!$I$6:$I$40,0)),DevBdgt!$E$6:$EG$6,0)),0)</f>
        <v>0</v>
      </c>
      <c r="R145" s="1149">
        <f>IFERROR(INDEX(DevBdgt!$E$30:$EG$30,MATCH('Venture Summary - Mthly'!R5-INDEX('Venture Assumptions'!$J$6:$J$40,MATCH($B$2,'Venture Assumptions'!$I$6:$I$40,0)),DevBdgt!$E$6:$EG$6,0))+INDEX(DevBdgt!$E$31:$EG$31,MATCH('Venture Summary - Mthly'!R5-INDEX('Venture Assumptions'!$J$6:$J$40,MATCH($B$2,'Venture Assumptions'!$I$6:$I$40,0)),DevBdgt!$E$6:$EG$6,0)),0)</f>
        <v>0</v>
      </c>
      <c r="S145" s="1149">
        <f>IFERROR(INDEX(DevBdgt!$E$30:$EG$30,MATCH('Venture Summary - Mthly'!S5-INDEX('Venture Assumptions'!$J$6:$J$40,MATCH($B$2,'Venture Assumptions'!$I$6:$I$40,0)),DevBdgt!$E$6:$EG$6,0))+INDEX(DevBdgt!$E$31:$EG$31,MATCH('Venture Summary - Mthly'!S5-INDEX('Venture Assumptions'!$J$6:$J$40,MATCH($B$2,'Venture Assumptions'!$I$6:$I$40,0)),DevBdgt!$E$6:$EG$6,0)),0)</f>
        <v>0</v>
      </c>
      <c r="T145" s="1149">
        <f>IFERROR(INDEX(DevBdgt!$E$30:$EG$30,MATCH('Venture Summary - Mthly'!T5-INDEX('Venture Assumptions'!$J$6:$J$40,MATCH($B$2,'Venture Assumptions'!$I$6:$I$40,0)),DevBdgt!$E$6:$EG$6,0))+INDEX(DevBdgt!$E$31:$EG$31,MATCH('Venture Summary - Mthly'!T5-INDEX('Venture Assumptions'!$J$6:$J$40,MATCH($B$2,'Venture Assumptions'!$I$6:$I$40,0)),DevBdgt!$E$6:$EG$6,0)),0)</f>
        <v>0</v>
      </c>
      <c r="U145" s="1149">
        <f>IFERROR(INDEX(DevBdgt!$E$30:$EG$30,MATCH('Venture Summary - Mthly'!U5-INDEX('Venture Assumptions'!$J$6:$J$40,MATCH($B$2,'Venture Assumptions'!$I$6:$I$40,0)),DevBdgt!$E$6:$EG$6,0))+INDEX(DevBdgt!$E$31:$EG$31,MATCH('Venture Summary - Mthly'!U5-INDEX('Venture Assumptions'!$J$6:$J$40,MATCH($B$2,'Venture Assumptions'!$I$6:$I$40,0)),DevBdgt!$E$6:$EG$6,0)),0)</f>
        <v>0</v>
      </c>
      <c r="V145" s="1149">
        <f>IFERROR(INDEX(DevBdgt!$E$30:$EG$30,MATCH('Venture Summary - Mthly'!V5-INDEX('Venture Assumptions'!$J$6:$J$40,MATCH($B$2,'Venture Assumptions'!$I$6:$I$40,0)),DevBdgt!$E$6:$EG$6,0))+INDEX(DevBdgt!$E$31:$EG$31,MATCH('Venture Summary - Mthly'!V5-INDEX('Venture Assumptions'!$J$6:$J$40,MATCH($B$2,'Venture Assumptions'!$I$6:$I$40,0)),DevBdgt!$E$6:$EG$6,0)),0)</f>
        <v>0</v>
      </c>
      <c r="W145" s="1149">
        <f>IFERROR(INDEX(DevBdgt!$E$30:$EG$30,MATCH('Venture Summary - Mthly'!W5-INDEX('Venture Assumptions'!$J$6:$J$40,MATCH($B$2,'Venture Assumptions'!$I$6:$I$40,0)),DevBdgt!$E$6:$EG$6,0))+INDEX(DevBdgt!$E$31:$EG$31,MATCH('Venture Summary - Mthly'!W5-INDEX('Venture Assumptions'!$J$6:$J$40,MATCH($B$2,'Venture Assumptions'!$I$6:$I$40,0)),DevBdgt!$E$6:$EG$6,0)),0)</f>
        <v>0</v>
      </c>
      <c r="X145" s="1149">
        <f>IFERROR(INDEX(DevBdgt!$E$30:$EG$30,MATCH('Venture Summary - Mthly'!X5-INDEX('Venture Assumptions'!$J$6:$J$40,MATCH($B$2,'Venture Assumptions'!$I$6:$I$40,0)),DevBdgt!$E$6:$EG$6,0))+INDEX(DevBdgt!$E$31:$EG$31,MATCH('Venture Summary - Mthly'!X5-INDEX('Venture Assumptions'!$J$6:$J$40,MATCH($B$2,'Venture Assumptions'!$I$6:$I$40,0)),DevBdgt!$E$6:$EG$6,0)),0)</f>
        <v>0</v>
      </c>
      <c r="Y145" s="1149">
        <f>IFERROR(INDEX(DevBdgt!$E$30:$EG$30,MATCH('Venture Summary - Mthly'!Y5-INDEX('Venture Assumptions'!$J$6:$J$40,MATCH($B$2,'Venture Assumptions'!$I$6:$I$40,0)),DevBdgt!$E$6:$EG$6,0))+INDEX(DevBdgt!$E$31:$EG$31,MATCH('Venture Summary - Mthly'!Y5-INDEX('Venture Assumptions'!$J$6:$J$40,MATCH($B$2,'Venture Assumptions'!$I$6:$I$40,0)),DevBdgt!$E$6:$EG$6,0)),0)</f>
        <v>0</v>
      </c>
      <c r="Z145" s="1149">
        <f>IFERROR(INDEX(DevBdgt!$E$30:$EG$30,MATCH('Venture Summary - Mthly'!Z5-INDEX('Venture Assumptions'!$J$6:$J$40,MATCH($B$2,'Venture Assumptions'!$I$6:$I$40,0)),DevBdgt!$E$6:$EG$6,0))+INDEX(DevBdgt!$E$31:$EG$31,MATCH('Venture Summary - Mthly'!Z5-INDEX('Venture Assumptions'!$J$6:$J$40,MATCH($B$2,'Venture Assumptions'!$I$6:$I$40,0)),DevBdgt!$E$6:$EG$6,0)),0)</f>
        <v>0</v>
      </c>
      <c r="AA145" s="1149">
        <f>IFERROR(INDEX(DevBdgt!$E$30:$EG$30,MATCH('Venture Summary - Mthly'!AA5-INDEX('Venture Assumptions'!$J$6:$J$40,MATCH($B$2,'Venture Assumptions'!$I$6:$I$40,0)),DevBdgt!$E$6:$EG$6,0))+INDEX(DevBdgt!$E$31:$EG$31,MATCH('Venture Summary - Mthly'!AA5-INDEX('Venture Assumptions'!$J$6:$J$40,MATCH($B$2,'Venture Assumptions'!$I$6:$I$40,0)),DevBdgt!$E$6:$EG$6,0)),0)</f>
        <v>0</v>
      </c>
      <c r="AB145" s="1149">
        <f>IFERROR(INDEX(DevBdgt!$E$30:$EG$30,MATCH('Venture Summary - Mthly'!AB5-INDEX('Venture Assumptions'!$J$6:$J$40,MATCH($B$2,'Venture Assumptions'!$I$6:$I$40,0)),DevBdgt!$E$6:$EG$6,0))+INDEX(DevBdgt!$E$31:$EG$31,MATCH('Venture Summary - Mthly'!AB5-INDEX('Venture Assumptions'!$J$6:$J$40,MATCH($B$2,'Venture Assumptions'!$I$6:$I$40,0)),DevBdgt!$E$6:$EG$6,0)),0)</f>
        <v>0</v>
      </c>
      <c r="AC145" s="1149">
        <f>IFERROR(INDEX(DevBdgt!$E$30:$EG$30,MATCH('Venture Summary - Mthly'!AC5-INDEX('Venture Assumptions'!$J$6:$J$40,MATCH($B$2,'Venture Assumptions'!$I$6:$I$40,0)),DevBdgt!$E$6:$EG$6,0))+INDEX(DevBdgt!$E$31:$EG$31,MATCH('Venture Summary - Mthly'!AC5-INDEX('Venture Assumptions'!$J$6:$J$40,MATCH($B$2,'Venture Assumptions'!$I$6:$I$40,0)),DevBdgt!$E$6:$EG$6,0)),0)</f>
        <v>0</v>
      </c>
      <c r="AD145" s="1149">
        <f>IFERROR(INDEX(DevBdgt!$E$30:$EG$30,MATCH('Venture Summary - Mthly'!AD5-INDEX('Venture Assumptions'!$J$6:$J$40,MATCH($B$2,'Venture Assumptions'!$I$6:$I$40,0)),DevBdgt!$E$6:$EG$6,0))+INDEX(DevBdgt!$E$31:$EG$31,MATCH('Venture Summary - Mthly'!AD5-INDEX('Venture Assumptions'!$J$6:$J$40,MATCH($B$2,'Venture Assumptions'!$I$6:$I$40,0)),DevBdgt!$E$6:$EG$6,0)),0)</f>
        <v>0</v>
      </c>
      <c r="AE145" s="1149">
        <f>IFERROR(INDEX(DevBdgt!$E$30:$EG$30,MATCH('Venture Summary - Mthly'!AE5-INDEX('Venture Assumptions'!$J$6:$J$40,MATCH($B$2,'Venture Assumptions'!$I$6:$I$40,0)),DevBdgt!$E$6:$EG$6,0))+INDEX(DevBdgt!$E$31:$EG$31,MATCH('Venture Summary - Mthly'!AE5-INDEX('Venture Assumptions'!$J$6:$J$40,MATCH($B$2,'Venture Assumptions'!$I$6:$I$40,0)),DevBdgt!$E$6:$EG$6,0)),0)</f>
        <v>0</v>
      </c>
      <c r="AF145" s="1149">
        <f>IFERROR(INDEX(DevBdgt!$E$30:$EG$30,MATCH('Venture Summary - Mthly'!AF5-INDEX('Venture Assumptions'!$J$6:$J$40,MATCH($B$2,'Venture Assumptions'!$I$6:$I$40,0)),DevBdgt!$E$6:$EG$6,0))+INDEX(DevBdgt!$E$31:$EG$31,MATCH('Venture Summary - Mthly'!AF5-INDEX('Venture Assumptions'!$J$6:$J$40,MATCH($B$2,'Venture Assumptions'!$I$6:$I$40,0)),DevBdgt!$E$6:$EG$6,0)),0)</f>
        <v>0</v>
      </c>
      <c r="AG145" s="1149">
        <f>IFERROR(INDEX(DevBdgt!$E$30:$EG$30,MATCH('Venture Summary - Mthly'!AG5-INDEX('Venture Assumptions'!$J$6:$J$40,MATCH($B$2,'Venture Assumptions'!$I$6:$I$40,0)),DevBdgt!$E$6:$EG$6,0))+INDEX(DevBdgt!$E$31:$EG$31,MATCH('Venture Summary - Mthly'!AG5-INDEX('Venture Assumptions'!$J$6:$J$40,MATCH($B$2,'Venture Assumptions'!$I$6:$I$40,0)),DevBdgt!$E$6:$EG$6,0)),0)</f>
        <v>0</v>
      </c>
      <c r="AH145" s="1149">
        <f>IFERROR(INDEX(DevBdgt!$E$30:$EG$30,MATCH('Venture Summary - Mthly'!AH5-INDEX('Venture Assumptions'!$J$6:$J$40,MATCH($B$2,'Venture Assumptions'!$I$6:$I$40,0)),DevBdgt!$E$6:$EG$6,0))+INDEX(DevBdgt!$E$31:$EG$31,MATCH('Venture Summary - Mthly'!AH5-INDEX('Venture Assumptions'!$J$6:$J$40,MATCH($B$2,'Venture Assumptions'!$I$6:$I$40,0)),DevBdgt!$E$6:$EG$6,0)),0)</f>
        <v>0</v>
      </c>
      <c r="AI145" s="1149">
        <f>IFERROR(INDEX(DevBdgt!$E$30:$EG$30,MATCH('Venture Summary - Mthly'!AI5-INDEX('Venture Assumptions'!$J$6:$J$40,MATCH($B$2,'Venture Assumptions'!$I$6:$I$40,0)),DevBdgt!$E$6:$EG$6,0))+INDEX(DevBdgt!$E$31:$EG$31,MATCH('Venture Summary - Mthly'!AI5-INDEX('Venture Assumptions'!$J$6:$J$40,MATCH($B$2,'Venture Assumptions'!$I$6:$I$40,0)),DevBdgt!$E$6:$EG$6,0)),0)</f>
        <v>0</v>
      </c>
      <c r="AJ145" s="1149">
        <f>IFERROR(INDEX(DevBdgt!$E$30:$EG$30,MATCH('Venture Summary - Mthly'!AJ5-INDEX('Venture Assumptions'!$J$6:$J$40,MATCH($B$2,'Venture Assumptions'!$I$6:$I$40,0)),DevBdgt!$E$6:$EG$6,0))+INDEX(DevBdgt!$E$31:$EG$31,MATCH('Venture Summary - Mthly'!AJ5-INDEX('Venture Assumptions'!$J$6:$J$40,MATCH($B$2,'Venture Assumptions'!$I$6:$I$40,0)),DevBdgt!$E$6:$EG$6,0)),0)</f>
        <v>0</v>
      </c>
      <c r="AK145" s="1149">
        <f>IFERROR(INDEX(DevBdgt!$E$30:$EG$30,MATCH('Venture Summary - Mthly'!AK5-INDEX('Venture Assumptions'!$J$6:$J$40,MATCH($B$2,'Venture Assumptions'!$I$6:$I$40,0)),DevBdgt!$E$6:$EG$6,0))+INDEX(DevBdgt!$E$31:$EG$31,MATCH('Venture Summary - Mthly'!AK5-INDEX('Venture Assumptions'!$J$6:$J$40,MATCH($B$2,'Venture Assumptions'!$I$6:$I$40,0)),DevBdgt!$E$6:$EG$6,0)),0)</f>
        <v>0</v>
      </c>
      <c r="AL145" s="1149">
        <f>IFERROR(INDEX(DevBdgt!$E$30:$EG$30,MATCH('Venture Summary - Mthly'!AL5-INDEX('Venture Assumptions'!$J$6:$J$40,MATCH($B$2,'Venture Assumptions'!$I$6:$I$40,0)),DevBdgt!$E$6:$EG$6,0))+INDEX(DevBdgt!$E$31:$EG$31,MATCH('Venture Summary - Mthly'!AL5-INDEX('Venture Assumptions'!$J$6:$J$40,MATCH($B$2,'Venture Assumptions'!$I$6:$I$40,0)),DevBdgt!$E$6:$EG$6,0)),0)</f>
        <v>0</v>
      </c>
      <c r="AM145" s="1149">
        <f>IFERROR(INDEX(DevBdgt!$E$30:$EG$30,MATCH('Venture Summary - Mthly'!AM5-INDEX('Venture Assumptions'!$J$6:$J$40,MATCH($B$2,'Venture Assumptions'!$I$6:$I$40,0)),DevBdgt!$E$6:$EG$6,0))+INDEX(DevBdgt!$E$31:$EG$31,MATCH('Venture Summary - Mthly'!AM5-INDEX('Venture Assumptions'!$J$6:$J$40,MATCH($B$2,'Venture Assumptions'!$I$6:$I$40,0)),DevBdgt!$E$6:$EG$6,0)),0)</f>
        <v>0</v>
      </c>
      <c r="AN145" s="1149">
        <f>IFERROR(INDEX(DevBdgt!$E$30:$EG$30,MATCH('Venture Summary - Mthly'!AN5-INDEX('Venture Assumptions'!$J$6:$J$40,MATCH($B$2,'Venture Assumptions'!$I$6:$I$40,0)),DevBdgt!$E$6:$EG$6,0))+INDEX(DevBdgt!$E$31:$EG$31,MATCH('Venture Summary - Mthly'!AN5-INDEX('Venture Assumptions'!$J$6:$J$40,MATCH($B$2,'Venture Assumptions'!$I$6:$I$40,0)),DevBdgt!$E$6:$EG$6,0)),0)</f>
        <v>0</v>
      </c>
      <c r="AO145" s="1149">
        <f>IFERROR(INDEX(DevBdgt!$E$30:$EG$30,MATCH('Venture Summary - Mthly'!AO5-INDEX('Venture Assumptions'!$J$6:$J$40,MATCH($B$2,'Venture Assumptions'!$I$6:$I$40,0)),DevBdgt!$E$6:$EG$6,0))+INDEX(DevBdgt!$E$31:$EG$31,MATCH('Venture Summary - Mthly'!AO5-INDEX('Venture Assumptions'!$J$6:$J$40,MATCH($B$2,'Venture Assumptions'!$I$6:$I$40,0)),DevBdgt!$E$6:$EG$6,0)),0)</f>
        <v>0</v>
      </c>
      <c r="AP145" s="1149">
        <f>IFERROR(INDEX(DevBdgt!$E$30:$EG$30,MATCH('Venture Summary - Mthly'!AP5-INDEX('Venture Assumptions'!$J$6:$J$40,MATCH($B$2,'Venture Assumptions'!$I$6:$I$40,0)),DevBdgt!$E$6:$EG$6,0))+INDEX(DevBdgt!$E$31:$EG$31,MATCH('Venture Summary - Mthly'!AP5-INDEX('Venture Assumptions'!$J$6:$J$40,MATCH($B$2,'Venture Assumptions'!$I$6:$I$40,0)),DevBdgt!$E$6:$EG$6,0)),0)</f>
        <v>0</v>
      </c>
      <c r="AQ145" s="1149">
        <f>IFERROR(INDEX(DevBdgt!$E$30:$EG$30,MATCH('Venture Summary - Mthly'!AQ5-INDEX('Venture Assumptions'!$J$6:$J$40,MATCH($B$2,'Venture Assumptions'!$I$6:$I$40,0)),DevBdgt!$E$6:$EG$6,0))+INDEX(DevBdgt!$E$31:$EG$31,MATCH('Venture Summary - Mthly'!AQ5-INDEX('Venture Assumptions'!$J$6:$J$40,MATCH($B$2,'Venture Assumptions'!$I$6:$I$40,0)),DevBdgt!$E$6:$EG$6,0)),0)</f>
        <v>0</v>
      </c>
      <c r="AR145" s="1149">
        <f>IFERROR(INDEX(DevBdgt!$E$30:$EG$30,MATCH('Venture Summary - Mthly'!AR5-INDEX('Venture Assumptions'!$J$6:$J$40,MATCH($B$2,'Venture Assumptions'!$I$6:$I$40,0)),DevBdgt!$E$6:$EG$6,0))+INDEX(DevBdgt!$E$31:$EG$31,MATCH('Venture Summary - Mthly'!AR5-INDEX('Venture Assumptions'!$J$6:$J$40,MATCH($B$2,'Venture Assumptions'!$I$6:$I$40,0)),DevBdgt!$E$6:$EG$6,0)),0)</f>
        <v>0</v>
      </c>
      <c r="AS145" s="1149">
        <f>IFERROR(INDEX(DevBdgt!$E$30:$EG$30,MATCH('Venture Summary - Mthly'!AS5-INDEX('Venture Assumptions'!$J$6:$J$40,MATCH($B$2,'Venture Assumptions'!$I$6:$I$40,0)),DevBdgt!$E$6:$EG$6,0))+INDEX(DevBdgt!$E$31:$EG$31,MATCH('Venture Summary - Mthly'!AS5-INDEX('Venture Assumptions'!$J$6:$J$40,MATCH($B$2,'Venture Assumptions'!$I$6:$I$40,0)),DevBdgt!$E$6:$EG$6,0)),0)</f>
        <v>0</v>
      </c>
      <c r="AT145" s="1149">
        <f>IFERROR(INDEX(DevBdgt!$E$30:$EG$30,MATCH('Venture Summary - Mthly'!AT5-INDEX('Venture Assumptions'!$J$6:$J$40,MATCH($B$2,'Venture Assumptions'!$I$6:$I$40,0)),DevBdgt!$E$6:$EG$6,0))+INDEX(DevBdgt!$E$31:$EG$31,MATCH('Venture Summary - Mthly'!AT5-INDEX('Venture Assumptions'!$J$6:$J$40,MATCH($B$2,'Venture Assumptions'!$I$6:$I$40,0)),DevBdgt!$E$6:$EG$6,0)),0)</f>
        <v>0</v>
      </c>
      <c r="AU145" s="1149">
        <f>IFERROR(INDEX(DevBdgt!$E$30:$EG$30,MATCH('Venture Summary - Mthly'!AU5-INDEX('Venture Assumptions'!$J$6:$J$40,MATCH($B$2,'Venture Assumptions'!$I$6:$I$40,0)),DevBdgt!$E$6:$EG$6,0))+INDEX(DevBdgt!$E$31:$EG$31,MATCH('Venture Summary - Mthly'!AU5-INDEX('Venture Assumptions'!$J$6:$J$40,MATCH($B$2,'Venture Assumptions'!$I$6:$I$40,0)),DevBdgt!$E$6:$EG$6,0)),0)</f>
        <v>0</v>
      </c>
      <c r="AV145" s="1149">
        <f>IFERROR(INDEX(DevBdgt!$E$30:$EG$30,MATCH('Venture Summary - Mthly'!AV5-INDEX('Venture Assumptions'!$J$6:$J$40,MATCH($B$2,'Venture Assumptions'!$I$6:$I$40,0)),DevBdgt!$E$6:$EG$6,0))+INDEX(DevBdgt!$E$31:$EG$31,MATCH('Venture Summary - Mthly'!AV5-INDEX('Venture Assumptions'!$J$6:$J$40,MATCH($B$2,'Venture Assumptions'!$I$6:$I$40,0)),DevBdgt!$E$6:$EG$6,0)),0)</f>
        <v>0</v>
      </c>
      <c r="AW145" s="1149">
        <f>IFERROR(INDEX(DevBdgt!$E$30:$EG$30,MATCH('Venture Summary - Mthly'!AW5-INDEX('Venture Assumptions'!$J$6:$J$40,MATCH($B$2,'Venture Assumptions'!$I$6:$I$40,0)),DevBdgt!$E$6:$EG$6,0))+INDEX(DevBdgt!$E$31:$EG$31,MATCH('Venture Summary - Mthly'!AW5-INDEX('Venture Assumptions'!$J$6:$J$40,MATCH($B$2,'Venture Assumptions'!$I$6:$I$40,0)),DevBdgt!$E$6:$EG$6,0)),0)</f>
        <v>0</v>
      </c>
      <c r="AX145" s="1149">
        <f>IFERROR(INDEX(DevBdgt!$E$30:$EG$30,MATCH('Venture Summary - Mthly'!AX5-INDEX('Venture Assumptions'!$J$6:$J$40,MATCH($B$2,'Venture Assumptions'!$I$6:$I$40,0)),DevBdgt!$E$6:$EG$6,0))+INDEX(DevBdgt!$E$31:$EG$31,MATCH('Venture Summary - Mthly'!AX5-INDEX('Venture Assumptions'!$J$6:$J$40,MATCH($B$2,'Venture Assumptions'!$I$6:$I$40,0)),DevBdgt!$E$6:$EG$6,0)),0)</f>
        <v>0</v>
      </c>
      <c r="AY145" s="1149">
        <f>IFERROR(INDEX(DevBdgt!$E$30:$EG$30,MATCH('Venture Summary - Mthly'!AY5-INDEX('Venture Assumptions'!$J$6:$J$40,MATCH($B$2,'Venture Assumptions'!$I$6:$I$40,0)),DevBdgt!$E$6:$EG$6,0))+INDEX(DevBdgt!$E$31:$EG$31,MATCH('Venture Summary - Mthly'!AY5-INDEX('Venture Assumptions'!$J$6:$J$40,MATCH($B$2,'Venture Assumptions'!$I$6:$I$40,0)),DevBdgt!$E$6:$EG$6,0)),0)</f>
        <v>0</v>
      </c>
      <c r="AZ145" s="1149">
        <f>IFERROR(INDEX(DevBdgt!$E$30:$EG$30,MATCH('Venture Summary - Mthly'!AZ5-INDEX('Venture Assumptions'!$J$6:$J$40,MATCH($B$2,'Venture Assumptions'!$I$6:$I$40,0)),DevBdgt!$E$6:$EG$6,0))+INDEX(DevBdgt!$E$31:$EG$31,MATCH('Venture Summary - Mthly'!AZ5-INDEX('Venture Assumptions'!$J$6:$J$40,MATCH($B$2,'Venture Assumptions'!$I$6:$I$40,0)),DevBdgt!$E$6:$EG$6,0)),0)</f>
        <v>0</v>
      </c>
      <c r="BA145" s="1149">
        <f>IFERROR(INDEX(DevBdgt!$E$30:$EG$30,MATCH('Venture Summary - Mthly'!BA5-INDEX('Venture Assumptions'!$J$6:$J$40,MATCH($B$2,'Venture Assumptions'!$I$6:$I$40,0)),DevBdgt!$E$6:$EG$6,0))+INDEX(DevBdgt!$E$31:$EG$31,MATCH('Venture Summary - Mthly'!BA5-INDEX('Venture Assumptions'!$J$6:$J$40,MATCH($B$2,'Venture Assumptions'!$I$6:$I$40,0)),DevBdgt!$E$6:$EG$6,0)),0)</f>
        <v>0</v>
      </c>
      <c r="BB145" s="1149">
        <f>IFERROR(INDEX(DevBdgt!$E$30:$EG$30,MATCH('Venture Summary - Mthly'!BB5-INDEX('Venture Assumptions'!$J$6:$J$40,MATCH($B$2,'Venture Assumptions'!$I$6:$I$40,0)),DevBdgt!$E$6:$EG$6,0))+INDEX(DevBdgt!$E$31:$EG$31,MATCH('Venture Summary - Mthly'!BB5-INDEX('Venture Assumptions'!$J$6:$J$40,MATCH($B$2,'Venture Assumptions'!$I$6:$I$40,0)),DevBdgt!$E$6:$EG$6,0)),0)</f>
        <v>0</v>
      </c>
      <c r="BC145" s="1149">
        <f>IFERROR(INDEX(DevBdgt!$E$30:$EG$30,MATCH('Venture Summary - Mthly'!BC5-INDEX('Venture Assumptions'!$J$6:$J$40,MATCH($B$2,'Venture Assumptions'!$I$6:$I$40,0)),DevBdgt!$E$6:$EG$6,0))+INDEX(DevBdgt!$E$31:$EG$31,MATCH('Venture Summary - Mthly'!BC5-INDEX('Venture Assumptions'!$J$6:$J$40,MATCH($B$2,'Venture Assumptions'!$I$6:$I$40,0)),DevBdgt!$E$6:$EG$6,0)),0)</f>
        <v>0</v>
      </c>
      <c r="BD145" s="1149">
        <f>IFERROR(INDEX(DevBdgt!$E$30:$EG$30,MATCH('Venture Summary - Mthly'!BD5-INDEX('Venture Assumptions'!$J$6:$J$40,MATCH($B$2,'Venture Assumptions'!$I$6:$I$40,0)),DevBdgt!$E$6:$EG$6,0))+INDEX(DevBdgt!$E$31:$EG$31,MATCH('Venture Summary - Mthly'!BD5-INDEX('Venture Assumptions'!$J$6:$J$40,MATCH($B$2,'Venture Assumptions'!$I$6:$I$40,0)),DevBdgt!$E$6:$EG$6,0)),0)</f>
        <v>0</v>
      </c>
      <c r="BE145" s="1149">
        <f>IFERROR(INDEX(DevBdgt!$E$30:$EG$30,MATCH('Venture Summary - Mthly'!BE5-INDEX('Venture Assumptions'!$J$6:$J$40,MATCH($B$2,'Venture Assumptions'!$I$6:$I$40,0)),DevBdgt!$E$6:$EG$6,0))+INDEX(DevBdgt!$E$31:$EG$31,MATCH('Venture Summary - Mthly'!BE5-INDEX('Venture Assumptions'!$J$6:$J$40,MATCH($B$2,'Venture Assumptions'!$I$6:$I$40,0)),DevBdgt!$E$6:$EG$6,0)),0)</f>
        <v>0</v>
      </c>
      <c r="BF145" s="1149">
        <f>IFERROR(INDEX(DevBdgt!$E$30:$EG$30,MATCH('Venture Summary - Mthly'!BF5-INDEX('Venture Assumptions'!$J$6:$J$40,MATCH($B$2,'Venture Assumptions'!$I$6:$I$40,0)),DevBdgt!$E$6:$EG$6,0))+INDEX(DevBdgt!$E$31:$EG$31,MATCH('Venture Summary - Mthly'!BF5-INDEX('Venture Assumptions'!$J$6:$J$40,MATCH($B$2,'Venture Assumptions'!$I$6:$I$40,0)),DevBdgt!$E$6:$EG$6,0)),0)</f>
        <v>0</v>
      </c>
      <c r="BG145" s="1149">
        <f>IFERROR(INDEX(DevBdgt!$E$30:$EG$30,MATCH('Venture Summary - Mthly'!BG5-INDEX('Venture Assumptions'!$J$6:$J$40,MATCH($B$2,'Venture Assumptions'!$I$6:$I$40,0)),DevBdgt!$E$6:$EG$6,0))+INDEX(DevBdgt!$E$31:$EG$31,MATCH('Venture Summary - Mthly'!BG5-INDEX('Venture Assumptions'!$J$6:$J$40,MATCH($B$2,'Venture Assumptions'!$I$6:$I$40,0)),DevBdgt!$E$6:$EG$6,0)),0)</f>
        <v>0</v>
      </c>
      <c r="BH145" s="1149">
        <f>IFERROR(INDEX(DevBdgt!$E$30:$EG$30,MATCH('Venture Summary - Mthly'!BH5-INDEX('Venture Assumptions'!$J$6:$J$40,MATCH($B$2,'Venture Assumptions'!$I$6:$I$40,0)),DevBdgt!$E$6:$EG$6,0))+INDEX(DevBdgt!$E$31:$EG$31,MATCH('Venture Summary - Mthly'!BH5-INDEX('Venture Assumptions'!$J$6:$J$40,MATCH($B$2,'Venture Assumptions'!$I$6:$I$40,0)),DevBdgt!$E$6:$EG$6,0)),0)</f>
        <v>0</v>
      </c>
      <c r="BI145" s="1149">
        <f>IFERROR(INDEX(DevBdgt!$E$30:$EG$30,MATCH('Venture Summary - Mthly'!BI5-INDEX('Venture Assumptions'!$J$6:$J$40,MATCH($B$2,'Venture Assumptions'!$I$6:$I$40,0)),DevBdgt!$E$6:$EG$6,0))+INDEX(DevBdgt!$E$31:$EG$31,MATCH('Venture Summary - Mthly'!BI5-INDEX('Venture Assumptions'!$J$6:$J$40,MATCH($B$2,'Venture Assumptions'!$I$6:$I$40,0)),DevBdgt!$E$6:$EG$6,0)),0)</f>
        <v>0</v>
      </c>
      <c r="BJ145" s="1149">
        <f>IFERROR(INDEX(DevBdgt!$E$30:$EG$30,MATCH('Venture Summary - Mthly'!BJ5-INDEX('Venture Assumptions'!$J$6:$J$40,MATCH($B$2,'Venture Assumptions'!$I$6:$I$40,0)),DevBdgt!$E$6:$EG$6,0))+INDEX(DevBdgt!$E$31:$EG$31,MATCH('Venture Summary - Mthly'!BJ5-INDEX('Venture Assumptions'!$J$6:$J$40,MATCH($B$2,'Venture Assumptions'!$I$6:$I$40,0)),DevBdgt!$E$6:$EG$6,0)),0)</f>
        <v>0</v>
      </c>
      <c r="BK145" s="1149">
        <f>IFERROR(INDEX(DevBdgt!$E$30:$EG$30,MATCH('Venture Summary - Mthly'!BK5-INDEX('Venture Assumptions'!$J$6:$J$40,MATCH($B$2,'Venture Assumptions'!$I$6:$I$40,0)),DevBdgt!$E$6:$EG$6,0))+INDEX(DevBdgt!$E$31:$EG$31,MATCH('Venture Summary - Mthly'!BK5-INDEX('Venture Assumptions'!$J$6:$J$40,MATCH($B$2,'Venture Assumptions'!$I$6:$I$40,0)),DevBdgt!$E$6:$EG$6,0)),0)</f>
        <v>0</v>
      </c>
      <c r="BL145" s="1149">
        <f>IFERROR(INDEX(DevBdgt!$E$30:$EG$30,MATCH('Venture Summary - Mthly'!BL5-INDEX('Venture Assumptions'!$J$6:$J$40,MATCH($B$2,'Venture Assumptions'!$I$6:$I$40,0)),DevBdgt!$E$6:$EG$6,0))+INDEX(DevBdgt!$E$31:$EG$31,MATCH('Venture Summary - Mthly'!BL5-INDEX('Venture Assumptions'!$J$6:$J$40,MATCH($B$2,'Venture Assumptions'!$I$6:$I$40,0)),DevBdgt!$E$6:$EG$6,0)),0)</f>
        <v>0</v>
      </c>
      <c r="BM145" s="1149">
        <f>IFERROR(INDEX(DevBdgt!$E$30:$EG$30,MATCH('Venture Summary - Mthly'!BM5-INDEX('Venture Assumptions'!$J$6:$J$40,MATCH($B$2,'Venture Assumptions'!$I$6:$I$40,0)),DevBdgt!$E$6:$EG$6,0))+INDEX(DevBdgt!$E$31:$EG$31,MATCH('Venture Summary - Mthly'!BM5-INDEX('Venture Assumptions'!$J$6:$J$40,MATCH($B$2,'Venture Assumptions'!$I$6:$I$40,0)),DevBdgt!$E$6:$EG$6,0)),0)</f>
        <v>0</v>
      </c>
      <c r="BN145" s="1149">
        <f>IFERROR(INDEX(DevBdgt!$E$30:$EG$30,MATCH('Venture Summary - Mthly'!BN5-INDEX('Venture Assumptions'!$J$6:$J$40,MATCH($B$2,'Venture Assumptions'!$I$6:$I$40,0)),DevBdgt!$E$6:$EG$6,0))+INDEX(DevBdgt!$E$31:$EG$31,MATCH('Venture Summary - Mthly'!BN5-INDEX('Venture Assumptions'!$J$6:$J$40,MATCH($B$2,'Venture Assumptions'!$I$6:$I$40,0)),DevBdgt!$E$6:$EG$6,0)),0)</f>
        <v>0</v>
      </c>
      <c r="BO145" s="1149">
        <f>IFERROR(INDEX(DevBdgt!$E$30:$EG$30,MATCH('Venture Summary - Mthly'!BO5-INDEX('Venture Assumptions'!$J$6:$J$40,MATCH($B$2,'Venture Assumptions'!$I$6:$I$40,0)),DevBdgt!$E$6:$EG$6,0))+INDEX(DevBdgt!$E$31:$EG$31,MATCH('Venture Summary - Mthly'!BO5-INDEX('Venture Assumptions'!$J$6:$J$40,MATCH($B$2,'Venture Assumptions'!$I$6:$I$40,0)),DevBdgt!$E$6:$EG$6,0)),0)</f>
        <v>0</v>
      </c>
      <c r="BP145" s="1149">
        <f>IFERROR(INDEX(DevBdgt!$E$30:$EG$30,MATCH('Venture Summary - Mthly'!BP5-INDEX('Venture Assumptions'!$J$6:$J$40,MATCH($B$2,'Venture Assumptions'!$I$6:$I$40,0)),DevBdgt!$E$6:$EG$6,0))+INDEX(DevBdgt!$E$31:$EG$31,MATCH('Venture Summary - Mthly'!BP5-INDEX('Venture Assumptions'!$J$6:$J$40,MATCH($B$2,'Venture Assumptions'!$I$6:$I$40,0)),DevBdgt!$E$6:$EG$6,0)),0)</f>
        <v>0</v>
      </c>
      <c r="BQ145" s="1149">
        <f>IFERROR(INDEX(DevBdgt!$E$30:$EG$30,MATCH('Venture Summary - Mthly'!BQ5-INDEX('Venture Assumptions'!$J$6:$J$40,MATCH($B$2,'Venture Assumptions'!$I$6:$I$40,0)),DevBdgt!$E$6:$EG$6,0))+INDEX(DevBdgt!$E$31:$EG$31,MATCH('Venture Summary - Mthly'!BQ5-INDEX('Venture Assumptions'!$J$6:$J$40,MATCH($B$2,'Venture Assumptions'!$I$6:$I$40,0)),DevBdgt!$E$6:$EG$6,0)),0)</f>
        <v>0</v>
      </c>
      <c r="BR145" s="1149">
        <f>IFERROR(INDEX(DevBdgt!$E$30:$EG$30,MATCH('Venture Summary - Mthly'!BR5-INDEX('Venture Assumptions'!$J$6:$J$40,MATCH($B$2,'Venture Assumptions'!$I$6:$I$40,0)),DevBdgt!$E$6:$EG$6,0))+INDEX(DevBdgt!$E$31:$EG$31,MATCH('Venture Summary - Mthly'!BR5-INDEX('Venture Assumptions'!$J$6:$J$40,MATCH($B$2,'Venture Assumptions'!$I$6:$I$40,0)),DevBdgt!$E$6:$EG$6,0)),0)</f>
        <v>0</v>
      </c>
      <c r="BS145" s="1149">
        <f>IFERROR(INDEX(DevBdgt!$E$30:$EG$30,MATCH('Venture Summary - Mthly'!BS5-INDEX('Venture Assumptions'!$J$6:$J$40,MATCH($B$2,'Venture Assumptions'!$I$6:$I$40,0)),DevBdgt!$E$6:$EG$6,0))+INDEX(DevBdgt!$E$31:$EG$31,MATCH('Venture Summary - Mthly'!BS5-INDEX('Venture Assumptions'!$J$6:$J$40,MATCH($B$2,'Venture Assumptions'!$I$6:$I$40,0)),DevBdgt!$E$6:$EG$6,0)),0)</f>
        <v>0</v>
      </c>
      <c r="BT145" s="1149">
        <f>IFERROR(INDEX(DevBdgt!$E$30:$EG$30,MATCH('Venture Summary - Mthly'!BT5-INDEX('Venture Assumptions'!$J$6:$J$40,MATCH($B$2,'Venture Assumptions'!$I$6:$I$40,0)),DevBdgt!$E$6:$EG$6,0))+INDEX(DevBdgt!$E$31:$EG$31,MATCH('Venture Summary - Mthly'!BT5-INDEX('Venture Assumptions'!$J$6:$J$40,MATCH($B$2,'Venture Assumptions'!$I$6:$I$40,0)),DevBdgt!$E$6:$EG$6,0)),0)</f>
        <v>0</v>
      </c>
      <c r="BU145" s="1149">
        <f>IFERROR(INDEX(DevBdgt!$E$30:$EG$30,MATCH('Venture Summary - Mthly'!BU5-INDEX('Venture Assumptions'!$J$6:$J$40,MATCH($B$2,'Venture Assumptions'!$I$6:$I$40,0)),DevBdgt!$E$6:$EG$6,0))+INDEX(DevBdgt!$E$31:$EG$31,MATCH('Venture Summary - Mthly'!BU5-INDEX('Venture Assumptions'!$J$6:$J$40,MATCH($B$2,'Venture Assumptions'!$I$6:$I$40,0)),DevBdgt!$E$6:$EG$6,0)),0)</f>
        <v>0</v>
      </c>
      <c r="BV145" s="1149">
        <f>IFERROR(INDEX(DevBdgt!$E$30:$EG$30,MATCH('Venture Summary - Mthly'!BV5-INDEX('Venture Assumptions'!$J$6:$J$40,MATCH($B$2,'Venture Assumptions'!$I$6:$I$40,0)),DevBdgt!$E$6:$EG$6,0))+INDEX(DevBdgt!$E$31:$EG$31,MATCH('Venture Summary - Mthly'!BV5-INDEX('Venture Assumptions'!$J$6:$J$40,MATCH($B$2,'Venture Assumptions'!$I$6:$I$40,0)),DevBdgt!$E$6:$EG$6,0)),0)</f>
        <v>0</v>
      </c>
      <c r="BW145" s="1149">
        <f>IFERROR(INDEX(DevBdgt!$E$30:$EG$30,MATCH('Venture Summary - Mthly'!BW5-INDEX('Venture Assumptions'!$J$6:$J$40,MATCH($B$2,'Venture Assumptions'!$I$6:$I$40,0)),DevBdgt!$E$6:$EG$6,0))+INDEX(DevBdgt!$E$31:$EG$31,MATCH('Venture Summary - Mthly'!BW5-INDEX('Venture Assumptions'!$J$6:$J$40,MATCH($B$2,'Venture Assumptions'!$I$6:$I$40,0)),DevBdgt!$E$6:$EG$6,0)),0)</f>
        <v>0</v>
      </c>
      <c r="BX145" s="1149">
        <f>IFERROR(INDEX(DevBdgt!$E$30:$EG$30,MATCH('Venture Summary - Mthly'!BX5-INDEX('Venture Assumptions'!$J$6:$J$40,MATCH($B$2,'Venture Assumptions'!$I$6:$I$40,0)),DevBdgt!$E$6:$EG$6,0))+INDEX(DevBdgt!$E$31:$EG$31,MATCH('Venture Summary - Mthly'!BX5-INDEX('Venture Assumptions'!$J$6:$J$40,MATCH($B$2,'Venture Assumptions'!$I$6:$I$40,0)),DevBdgt!$E$6:$EG$6,0)),0)</f>
        <v>0</v>
      </c>
      <c r="BY145" s="1149">
        <f>IFERROR(INDEX(DevBdgt!$E$30:$EG$30,MATCH('Venture Summary - Mthly'!BY5-INDEX('Venture Assumptions'!$J$6:$J$40,MATCH($B$2,'Venture Assumptions'!$I$6:$I$40,0)),DevBdgt!$E$6:$EG$6,0))+INDEX(DevBdgt!$E$31:$EG$31,MATCH('Venture Summary - Mthly'!BY5-INDEX('Venture Assumptions'!$J$6:$J$40,MATCH($B$2,'Venture Assumptions'!$I$6:$I$40,0)),DevBdgt!$E$6:$EG$6,0)),0)</f>
        <v>0</v>
      </c>
      <c r="BZ145" s="1149">
        <f>IFERROR(INDEX(DevBdgt!$E$30:$EG$30,MATCH('Venture Summary - Mthly'!BZ5-INDEX('Venture Assumptions'!$J$6:$J$40,MATCH($B$2,'Venture Assumptions'!$I$6:$I$40,0)),DevBdgt!$E$6:$EG$6,0))+INDEX(DevBdgt!$E$31:$EG$31,MATCH('Venture Summary - Mthly'!BZ5-INDEX('Venture Assumptions'!$J$6:$J$40,MATCH($B$2,'Venture Assumptions'!$I$6:$I$40,0)),DevBdgt!$E$6:$EG$6,0)),0)</f>
        <v>0</v>
      </c>
      <c r="CA145" s="1149">
        <f>IFERROR(INDEX(DevBdgt!$E$30:$EG$30,MATCH('Venture Summary - Mthly'!CA5-INDEX('Venture Assumptions'!$J$6:$J$40,MATCH($B$2,'Venture Assumptions'!$I$6:$I$40,0)),DevBdgt!$E$6:$EG$6,0))+INDEX(DevBdgt!$E$31:$EG$31,MATCH('Venture Summary - Mthly'!CA5-INDEX('Venture Assumptions'!$J$6:$J$40,MATCH($B$2,'Venture Assumptions'!$I$6:$I$40,0)),DevBdgt!$E$6:$EG$6,0)),0)</f>
        <v>0</v>
      </c>
      <c r="CB145" s="1149">
        <f>IFERROR(INDEX(DevBdgt!$E$30:$EG$30,MATCH('Venture Summary - Mthly'!CB5-INDEX('Venture Assumptions'!$J$6:$J$40,MATCH($B$2,'Venture Assumptions'!$I$6:$I$40,0)),DevBdgt!$E$6:$EG$6,0))+INDEX(DevBdgt!$E$31:$EG$31,MATCH('Venture Summary - Mthly'!CB5-INDEX('Venture Assumptions'!$J$6:$J$40,MATCH($B$2,'Venture Assumptions'!$I$6:$I$40,0)),DevBdgt!$E$6:$EG$6,0)),0)</f>
        <v>0</v>
      </c>
      <c r="CC145" s="1149">
        <f>IFERROR(INDEX(DevBdgt!$E$30:$EG$30,MATCH('Venture Summary - Mthly'!CC5-INDEX('Venture Assumptions'!$J$6:$J$40,MATCH($B$2,'Venture Assumptions'!$I$6:$I$40,0)),DevBdgt!$E$6:$EG$6,0))+INDEX(DevBdgt!$E$31:$EG$31,MATCH('Venture Summary - Mthly'!CC5-INDEX('Venture Assumptions'!$J$6:$J$40,MATCH($B$2,'Venture Assumptions'!$I$6:$I$40,0)),DevBdgt!$E$6:$EG$6,0)),0)</f>
        <v>0</v>
      </c>
      <c r="CD145" s="1149">
        <f>IFERROR(INDEX(DevBdgt!$E$30:$EG$30,MATCH('Venture Summary - Mthly'!CD5-INDEX('Venture Assumptions'!$J$6:$J$40,MATCH($B$2,'Venture Assumptions'!$I$6:$I$40,0)),DevBdgt!$E$6:$EG$6,0))+INDEX(DevBdgt!$E$31:$EG$31,MATCH('Venture Summary - Mthly'!CD5-INDEX('Venture Assumptions'!$J$6:$J$40,MATCH($B$2,'Venture Assumptions'!$I$6:$I$40,0)),DevBdgt!$E$6:$EG$6,0)),0)</f>
        <v>0</v>
      </c>
      <c r="CE145" s="1149">
        <f>IFERROR(INDEX(DevBdgt!$E$30:$EG$30,MATCH('Venture Summary - Mthly'!CE5-INDEX('Venture Assumptions'!$J$6:$J$40,MATCH($B$2,'Venture Assumptions'!$I$6:$I$40,0)),DevBdgt!$E$6:$EG$6,0))+INDEX(DevBdgt!$E$31:$EG$31,MATCH('Venture Summary - Mthly'!CE5-INDEX('Venture Assumptions'!$J$6:$J$40,MATCH($B$2,'Venture Assumptions'!$I$6:$I$40,0)),DevBdgt!$E$6:$EG$6,0)),0)</f>
        <v>0</v>
      </c>
      <c r="CF145" s="1149">
        <f>IFERROR(INDEX(DevBdgt!$E$30:$EG$30,MATCH('Venture Summary - Mthly'!CF5-INDEX('Venture Assumptions'!$J$6:$J$40,MATCH($B$2,'Venture Assumptions'!$I$6:$I$40,0)),DevBdgt!$E$6:$EG$6,0))+INDEX(DevBdgt!$E$31:$EG$31,MATCH('Venture Summary - Mthly'!CF5-INDEX('Venture Assumptions'!$J$6:$J$40,MATCH($B$2,'Venture Assumptions'!$I$6:$I$40,0)),DevBdgt!$E$6:$EG$6,0)),0)</f>
        <v>0</v>
      </c>
      <c r="CG145" s="1149">
        <f>IFERROR(INDEX(DevBdgt!$E$30:$EG$30,MATCH('Venture Summary - Mthly'!CG5-INDEX('Venture Assumptions'!$J$6:$J$40,MATCH($B$2,'Venture Assumptions'!$I$6:$I$40,0)),DevBdgt!$E$6:$EG$6,0))+INDEX(DevBdgt!$E$31:$EG$31,MATCH('Venture Summary - Mthly'!CG5-INDEX('Venture Assumptions'!$J$6:$J$40,MATCH($B$2,'Venture Assumptions'!$I$6:$I$40,0)),DevBdgt!$E$6:$EG$6,0)),0)</f>
        <v>0</v>
      </c>
      <c r="CH145" s="1149">
        <f>IFERROR(INDEX(DevBdgt!$E$30:$EG$30,MATCH('Venture Summary - Mthly'!CH5-INDEX('Venture Assumptions'!$J$6:$J$40,MATCH($B$2,'Venture Assumptions'!$I$6:$I$40,0)),DevBdgt!$E$6:$EG$6,0))+INDEX(DevBdgt!$E$31:$EG$31,MATCH('Venture Summary - Mthly'!CH5-INDEX('Venture Assumptions'!$J$6:$J$40,MATCH($B$2,'Venture Assumptions'!$I$6:$I$40,0)),DevBdgt!$E$6:$EG$6,0)),0)</f>
        <v>0</v>
      </c>
      <c r="CI145" s="1149">
        <f>IFERROR(INDEX(DevBdgt!$E$30:$EG$30,MATCH('Venture Summary - Mthly'!CI5-INDEX('Venture Assumptions'!$J$6:$J$40,MATCH($B$2,'Venture Assumptions'!$I$6:$I$40,0)),DevBdgt!$E$6:$EG$6,0))+INDEX(DevBdgt!$E$31:$EG$31,MATCH('Venture Summary - Mthly'!CI5-INDEX('Venture Assumptions'!$J$6:$J$40,MATCH($B$2,'Venture Assumptions'!$I$6:$I$40,0)),DevBdgt!$E$6:$EG$6,0)),0)</f>
        <v>0</v>
      </c>
      <c r="CJ145" s="1149">
        <f>IFERROR(INDEX(DevBdgt!$E$30:$EG$30,MATCH('Venture Summary - Mthly'!CJ5-INDEX('Venture Assumptions'!$J$6:$J$40,MATCH($B$2,'Venture Assumptions'!$I$6:$I$40,0)),DevBdgt!$E$6:$EG$6,0))+INDEX(DevBdgt!$E$31:$EG$31,MATCH('Venture Summary - Mthly'!CJ5-INDEX('Venture Assumptions'!$J$6:$J$40,MATCH($B$2,'Venture Assumptions'!$I$6:$I$40,0)),DevBdgt!$E$6:$EG$6,0)),0)</f>
        <v>0</v>
      </c>
      <c r="CK145" s="1149">
        <f>IFERROR(INDEX(DevBdgt!$E$30:$EG$30,MATCH('Venture Summary - Mthly'!CK5-INDEX('Venture Assumptions'!$J$6:$J$40,MATCH($B$2,'Venture Assumptions'!$I$6:$I$40,0)),DevBdgt!$E$6:$EG$6,0))+INDEX(DevBdgt!$E$31:$EG$31,MATCH('Venture Summary - Mthly'!CK5-INDEX('Venture Assumptions'!$J$6:$J$40,MATCH($B$2,'Venture Assumptions'!$I$6:$I$40,0)),DevBdgt!$E$6:$EG$6,0)),0)</f>
        <v>0</v>
      </c>
      <c r="CL145" s="1149">
        <f>IFERROR(INDEX(DevBdgt!$E$30:$EG$30,MATCH('Venture Summary - Mthly'!CL5-INDEX('Venture Assumptions'!$J$6:$J$40,MATCH($B$2,'Venture Assumptions'!$I$6:$I$40,0)),DevBdgt!$E$6:$EG$6,0))+INDEX(DevBdgt!$E$31:$EG$31,MATCH('Venture Summary - Mthly'!CL5-INDEX('Venture Assumptions'!$J$6:$J$40,MATCH($B$2,'Venture Assumptions'!$I$6:$I$40,0)),DevBdgt!$E$6:$EG$6,0)),0)</f>
        <v>0</v>
      </c>
      <c r="CM145" s="1149">
        <f>IFERROR(INDEX(DevBdgt!$E$30:$EG$30,MATCH('Venture Summary - Mthly'!CM5-INDEX('Venture Assumptions'!$J$6:$J$40,MATCH($B$2,'Venture Assumptions'!$I$6:$I$40,0)),DevBdgt!$E$6:$EG$6,0))+INDEX(DevBdgt!$E$31:$EG$31,MATCH('Venture Summary - Mthly'!CM5-INDEX('Venture Assumptions'!$J$6:$J$40,MATCH($B$2,'Venture Assumptions'!$I$6:$I$40,0)),DevBdgt!$E$6:$EG$6,0)),0)</f>
        <v>0</v>
      </c>
      <c r="CN145" s="1149">
        <f>IFERROR(INDEX(DevBdgt!$E$30:$EG$30,MATCH('Venture Summary - Mthly'!CN5-INDEX('Venture Assumptions'!$J$6:$J$40,MATCH($B$2,'Venture Assumptions'!$I$6:$I$40,0)),DevBdgt!$E$6:$EG$6,0))+INDEX(DevBdgt!$E$31:$EG$31,MATCH('Venture Summary - Mthly'!CN5-INDEX('Venture Assumptions'!$J$6:$J$40,MATCH($B$2,'Venture Assumptions'!$I$6:$I$40,0)),DevBdgt!$E$6:$EG$6,0)),0)</f>
        <v>0</v>
      </c>
      <c r="CO145" s="1149">
        <f>IFERROR(INDEX(DevBdgt!$E$30:$EG$30,MATCH('Venture Summary - Mthly'!CO5-INDEX('Venture Assumptions'!$J$6:$J$40,MATCH($B$2,'Venture Assumptions'!$I$6:$I$40,0)),DevBdgt!$E$6:$EG$6,0))+INDEX(DevBdgt!$E$31:$EG$31,MATCH('Venture Summary - Mthly'!CO5-INDEX('Venture Assumptions'!$J$6:$J$40,MATCH($B$2,'Venture Assumptions'!$I$6:$I$40,0)),DevBdgt!$E$6:$EG$6,0)),0)</f>
        <v>0</v>
      </c>
      <c r="CP145" s="1149">
        <f>IFERROR(INDEX(DevBdgt!$E$30:$EG$30,MATCH('Venture Summary - Mthly'!CP5-INDEX('Venture Assumptions'!$J$6:$J$40,MATCH($B$2,'Venture Assumptions'!$I$6:$I$40,0)),DevBdgt!$E$6:$EG$6,0))+INDEX(DevBdgt!$E$31:$EG$31,MATCH('Venture Summary - Mthly'!CP5-INDEX('Venture Assumptions'!$J$6:$J$40,MATCH($B$2,'Venture Assumptions'!$I$6:$I$40,0)),DevBdgt!$E$6:$EG$6,0)),0)</f>
        <v>0</v>
      </c>
      <c r="CQ145" s="1149">
        <f>IFERROR(INDEX(DevBdgt!$E$30:$EG$30,MATCH('Venture Summary - Mthly'!CQ5-INDEX('Venture Assumptions'!$J$6:$J$40,MATCH($B$2,'Venture Assumptions'!$I$6:$I$40,0)),DevBdgt!$E$6:$EG$6,0))+INDEX(DevBdgt!$E$31:$EG$31,MATCH('Venture Summary - Mthly'!CQ5-INDEX('Venture Assumptions'!$J$6:$J$40,MATCH($B$2,'Venture Assumptions'!$I$6:$I$40,0)),DevBdgt!$E$6:$EG$6,0)),0)</f>
        <v>0</v>
      </c>
      <c r="CR145" s="1149">
        <f>IFERROR(INDEX(DevBdgt!$E$30:$EG$30,MATCH('Venture Summary - Mthly'!CR5-INDEX('Venture Assumptions'!$J$6:$J$40,MATCH($B$2,'Venture Assumptions'!$I$6:$I$40,0)),DevBdgt!$E$6:$EG$6,0))+INDEX(DevBdgt!$E$31:$EG$31,MATCH('Venture Summary - Mthly'!CR5-INDEX('Venture Assumptions'!$J$6:$J$40,MATCH($B$2,'Venture Assumptions'!$I$6:$I$40,0)),DevBdgt!$E$6:$EG$6,0)),0)</f>
        <v>0</v>
      </c>
      <c r="CS145" s="1149">
        <f>IFERROR(INDEX(DevBdgt!$E$30:$EG$30,MATCH('Venture Summary - Mthly'!CS5-INDEX('Venture Assumptions'!$J$6:$J$40,MATCH($B$2,'Venture Assumptions'!$I$6:$I$40,0)),DevBdgt!$E$6:$EG$6,0))+INDEX(DevBdgt!$E$31:$EG$31,MATCH('Venture Summary - Mthly'!CS5-INDEX('Venture Assumptions'!$J$6:$J$40,MATCH($B$2,'Venture Assumptions'!$I$6:$I$40,0)),DevBdgt!$E$6:$EG$6,0)),0)</f>
        <v>0</v>
      </c>
      <c r="CT145" s="1149">
        <f>IFERROR(INDEX(DevBdgt!$E$30:$EG$30,MATCH('Venture Summary - Mthly'!CT5-INDEX('Venture Assumptions'!$J$6:$J$40,MATCH($B$2,'Venture Assumptions'!$I$6:$I$40,0)),DevBdgt!$E$6:$EG$6,0))+INDEX(DevBdgt!$E$31:$EG$31,MATCH('Venture Summary - Mthly'!CT5-INDEX('Venture Assumptions'!$J$6:$J$40,MATCH($B$2,'Venture Assumptions'!$I$6:$I$40,0)),DevBdgt!$E$6:$EG$6,0)),0)</f>
        <v>0</v>
      </c>
      <c r="CU145" s="1149">
        <f>IFERROR(INDEX(DevBdgt!$E$30:$EG$30,MATCH('Venture Summary - Mthly'!CU5-INDEX('Venture Assumptions'!$J$6:$J$40,MATCH($B$2,'Venture Assumptions'!$I$6:$I$40,0)),DevBdgt!$E$6:$EG$6,0))+INDEX(DevBdgt!$E$31:$EG$31,MATCH('Venture Summary - Mthly'!CU5-INDEX('Venture Assumptions'!$J$6:$J$40,MATCH($B$2,'Venture Assumptions'!$I$6:$I$40,0)),DevBdgt!$E$6:$EG$6,0)),0)</f>
        <v>0</v>
      </c>
      <c r="CV145" s="1149">
        <f>IFERROR(INDEX(DevBdgt!$E$30:$EG$30,MATCH('Venture Summary - Mthly'!CV5-INDEX('Venture Assumptions'!$J$6:$J$40,MATCH($B$2,'Venture Assumptions'!$I$6:$I$40,0)),DevBdgt!$E$6:$EG$6,0))+INDEX(DevBdgt!$E$31:$EG$31,MATCH('Venture Summary - Mthly'!CV5-INDEX('Venture Assumptions'!$J$6:$J$40,MATCH($B$2,'Venture Assumptions'!$I$6:$I$40,0)),DevBdgt!$E$6:$EG$6,0)),0)</f>
        <v>0</v>
      </c>
      <c r="CW145" s="1149">
        <f>IFERROR(INDEX(DevBdgt!$E$30:$EG$30,MATCH('Venture Summary - Mthly'!CW5-INDEX('Venture Assumptions'!$J$6:$J$40,MATCH($B$2,'Venture Assumptions'!$I$6:$I$40,0)),DevBdgt!$E$6:$EG$6,0))+INDEX(DevBdgt!$E$31:$EG$31,MATCH('Venture Summary - Mthly'!CW5-INDEX('Venture Assumptions'!$J$6:$J$40,MATCH($B$2,'Venture Assumptions'!$I$6:$I$40,0)),DevBdgt!$E$6:$EG$6,0)),0)</f>
        <v>0</v>
      </c>
      <c r="CX145" s="1149">
        <f>IFERROR(INDEX(DevBdgt!$E$30:$EG$30,MATCH('Venture Summary - Mthly'!CX5-INDEX('Venture Assumptions'!$J$6:$J$40,MATCH($B$2,'Venture Assumptions'!$I$6:$I$40,0)),DevBdgt!$E$6:$EG$6,0))+INDEX(DevBdgt!$E$31:$EG$31,MATCH('Venture Summary - Mthly'!CX5-INDEX('Venture Assumptions'!$J$6:$J$40,MATCH($B$2,'Venture Assumptions'!$I$6:$I$40,0)),DevBdgt!$E$6:$EG$6,0)),0)</f>
        <v>0</v>
      </c>
      <c r="CY145" s="1149">
        <f>IFERROR(INDEX(DevBdgt!$E$30:$EG$30,MATCH('Venture Summary - Mthly'!CY5-INDEX('Venture Assumptions'!$J$6:$J$40,MATCH($B$2,'Venture Assumptions'!$I$6:$I$40,0)),DevBdgt!$E$6:$EG$6,0))+INDEX(DevBdgt!$E$31:$EG$31,MATCH('Venture Summary - Mthly'!CY5-INDEX('Venture Assumptions'!$J$6:$J$40,MATCH($B$2,'Venture Assumptions'!$I$6:$I$40,0)),DevBdgt!$E$6:$EG$6,0)),0)</f>
        <v>0</v>
      </c>
      <c r="CZ145" s="1149">
        <f>IFERROR(INDEX(DevBdgt!$E$30:$EG$30,MATCH('Venture Summary - Mthly'!CZ5-INDEX('Venture Assumptions'!$J$6:$J$40,MATCH($B$2,'Venture Assumptions'!$I$6:$I$40,0)),DevBdgt!$E$6:$EG$6,0))+INDEX(DevBdgt!$E$31:$EG$31,MATCH('Venture Summary - Mthly'!CZ5-INDEX('Venture Assumptions'!$J$6:$J$40,MATCH($B$2,'Venture Assumptions'!$I$6:$I$40,0)),DevBdgt!$E$6:$EG$6,0)),0)</f>
        <v>0</v>
      </c>
      <c r="DA145" s="1149">
        <f>IFERROR(INDEX(DevBdgt!$E$30:$EG$30,MATCH('Venture Summary - Mthly'!DA5-INDEX('Venture Assumptions'!$J$6:$J$40,MATCH($B$2,'Venture Assumptions'!$I$6:$I$40,0)),DevBdgt!$E$6:$EG$6,0))+INDEX(DevBdgt!$E$31:$EG$31,MATCH('Venture Summary - Mthly'!DA5-INDEX('Venture Assumptions'!$J$6:$J$40,MATCH($B$2,'Venture Assumptions'!$I$6:$I$40,0)),DevBdgt!$E$6:$EG$6,0)),0)</f>
        <v>0</v>
      </c>
      <c r="DB145" s="1149">
        <f>IFERROR(INDEX(DevBdgt!$E$30:$EG$30,MATCH('Venture Summary - Mthly'!DB5-INDEX('Venture Assumptions'!$J$6:$J$40,MATCH($B$2,'Venture Assumptions'!$I$6:$I$40,0)),DevBdgt!$E$6:$EG$6,0))+INDEX(DevBdgt!$E$31:$EG$31,MATCH('Venture Summary - Mthly'!DB5-INDEX('Venture Assumptions'!$J$6:$J$40,MATCH($B$2,'Venture Assumptions'!$I$6:$I$40,0)),DevBdgt!$E$6:$EG$6,0)),0)</f>
        <v>0</v>
      </c>
      <c r="DC145" s="1149">
        <f>IFERROR(INDEX(DevBdgt!$E$30:$EG$30,MATCH('Venture Summary - Mthly'!DC5-INDEX('Venture Assumptions'!$J$6:$J$40,MATCH($B$2,'Venture Assumptions'!$I$6:$I$40,0)),DevBdgt!$E$6:$EG$6,0))+INDEX(DevBdgt!$E$31:$EG$31,MATCH('Venture Summary - Mthly'!DC5-INDEX('Venture Assumptions'!$J$6:$J$40,MATCH($B$2,'Venture Assumptions'!$I$6:$I$40,0)),DevBdgt!$E$6:$EG$6,0)),0)</f>
        <v>0</v>
      </c>
      <c r="DD145" s="1149">
        <f>IFERROR(INDEX(DevBdgt!$E$30:$EG$30,MATCH('Venture Summary - Mthly'!DD5-INDEX('Venture Assumptions'!$J$6:$J$40,MATCH($B$2,'Venture Assumptions'!$I$6:$I$40,0)),DevBdgt!$E$6:$EG$6,0))+INDEX(DevBdgt!$E$31:$EG$31,MATCH('Venture Summary - Mthly'!DD5-INDEX('Venture Assumptions'!$J$6:$J$40,MATCH($B$2,'Venture Assumptions'!$I$6:$I$40,0)),DevBdgt!$E$6:$EG$6,0)),0)</f>
        <v>0</v>
      </c>
      <c r="DE145" s="1149">
        <f>IFERROR(INDEX(DevBdgt!$E$30:$EG$30,MATCH('Venture Summary - Mthly'!DE5-INDEX('Venture Assumptions'!$J$6:$J$40,MATCH($B$2,'Venture Assumptions'!$I$6:$I$40,0)),DevBdgt!$E$6:$EG$6,0))+INDEX(DevBdgt!$E$31:$EG$31,MATCH('Venture Summary - Mthly'!DE5-INDEX('Venture Assumptions'!$J$6:$J$40,MATCH($B$2,'Venture Assumptions'!$I$6:$I$40,0)),DevBdgt!$E$6:$EG$6,0)),0)</f>
        <v>0</v>
      </c>
      <c r="DF145" s="1149">
        <f>IFERROR(INDEX(DevBdgt!$E$30:$EG$30,MATCH('Venture Summary - Mthly'!DF5-INDEX('Venture Assumptions'!$J$6:$J$40,MATCH($B$2,'Venture Assumptions'!$I$6:$I$40,0)),DevBdgt!$E$6:$EG$6,0))+INDEX(DevBdgt!$E$31:$EG$31,MATCH('Venture Summary - Mthly'!DF5-INDEX('Venture Assumptions'!$J$6:$J$40,MATCH($B$2,'Venture Assumptions'!$I$6:$I$40,0)),DevBdgt!$E$6:$EG$6,0)),0)</f>
        <v>0</v>
      </c>
      <c r="DG145" s="1149">
        <f>IFERROR(INDEX(DevBdgt!$E$30:$EG$30,MATCH('Venture Summary - Mthly'!DG5-INDEX('Venture Assumptions'!$J$6:$J$40,MATCH($B$2,'Venture Assumptions'!$I$6:$I$40,0)),DevBdgt!$E$6:$EG$6,0))+INDEX(DevBdgt!$E$31:$EG$31,MATCH('Venture Summary - Mthly'!DG5-INDEX('Venture Assumptions'!$J$6:$J$40,MATCH($B$2,'Venture Assumptions'!$I$6:$I$40,0)),DevBdgt!$E$6:$EG$6,0)),0)</f>
        <v>0</v>
      </c>
      <c r="DH145" s="1149">
        <f>IFERROR(INDEX(DevBdgt!$E$30:$EG$30,MATCH('Venture Summary - Mthly'!DH5-INDEX('Venture Assumptions'!$J$6:$J$40,MATCH($B$2,'Venture Assumptions'!$I$6:$I$40,0)),DevBdgt!$E$6:$EG$6,0))+INDEX(DevBdgt!$E$31:$EG$31,MATCH('Venture Summary - Mthly'!DH5-INDEX('Venture Assumptions'!$J$6:$J$40,MATCH($B$2,'Venture Assumptions'!$I$6:$I$40,0)),DevBdgt!$E$6:$EG$6,0)),0)</f>
        <v>0</v>
      </c>
      <c r="DI145" s="1149">
        <f>IFERROR(INDEX(DevBdgt!$E$30:$EG$30,MATCH('Venture Summary - Mthly'!DI5-INDEX('Venture Assumptions'!$J$6:$J$40,MATCH($B$2,'Venture Assumptions'!$I$6:$I$40,0)),DevBdgt!$E$6:$EG$6,0))+INDEX(DevBdgt!$E$31:$EG$31,MATCH('Venture Summary - Mthly'!DI5-INDEX('Venture Assumptions'!$J$6:$J$40,MATCH($B$2,'Venture Assumptions'!$I$6:$I$40,0)),DevBdgt!$E$6:$EG$6,0)),0)</f>
        <v>0</v>
      </c>
      <c r="DJ145" s="1149">
        <f>IFERROR(INDEX(DevBdgt!$E$30:$EG$30,MATCH('Venture Summary - Mthly'!DJ5-INDEX('Venture Assumptions'!$J$6:$J$40,MATCH($B$2,'Venture Assumptions'!$I$6:$I$40,0)),DevBdgt!$E$6:$EG$6,0))+INDEX(DevBdgt!$E$31:$EG$31,MATCH('Venture Summary - Mthly'!DJ5-INDEX('Venture Assumptions'!$J$6:$J$40,MATCH($B$2,'Venture Assumptions'!$I$6:$I$40,0)),DevBdgt!$E$6:$EG$6,0)),0)</f>
        <v>0</v>
      </c>
      <c r="DK145" s="1149">
        <f>IFERROR(INDEX(DevBdgt!$E$30:$EG$30,MATCH('Venture Summary - Mthly'!DK5-INDEX('Venture Assumptions'!$J$6:$J$40,MATCH($B$2,'Venture Assumptions'!$I$6:$I$40,0)),DevBdgt!$E$6:$EG$6,0))+INDEX(DevBdgt!$E$31:$EG$31,MATCH('Venture Summary - Mthly'!DK5-INDEX('Venture Assumptions'!$J$6:$J$40,MATCH($B$2,'Venture Assumptions'!$I$6:$I$40,0)),DevBdgt!$E$6:$EG$6,0)),0)</f>
        <v>0</v>
      </c>
      <c r="DL145" s="1149">
        <f>IFERROR(INDEX(DevBdgt!$E$30:$EG$30,MATCH('Venture Summary - Mthly'!DL5-INDEX('Venture Assumptions'!$J$6:$J$40,MATCH($B$2,'Venture Assumptions'!$I$6:$I$40,0)),DevBdgt!$E$6:$EG$6,0))+INDEX(DevBdgt!$E$31:$EG$31,MATCH('Venture Summary - Mthly'!DL5-INDEX('Venture Assumptions'!$J$6:$J$40,MATCH($B$2,'Venture Assumptions'!$I$6:$I$40,0)),DevBdgt!$E$6:$EG$6,0)),0)</f>
        <v>0</v>
      </c>
      <c r="DM145" s="1149">
        <f>IFERROR(INDEX(DevBdgt!$E$30:$EG$30,MATCH('Venture Summary - Mthly'!DM5-INDEX('Venture Assumptions'!$J$6:$J$40,MATCH($B$2,'Venture Assumptions'!$I$6:$I$40,0)),DevBdgt!$E$6:$EG$6,0))+INDEX(DevBdgt!$E$31:$EG$31,MATCH('Venture Summary - Mthly'!DM5-INDEX('Venture Assumptions'!$J$6:$J$40,MATCH($B$2,'Venture Assumptions'!$I$6:$I$40,0)),DevBdgt!$E$6:$EG$6,0)),0)</f>
        <v>0</v>
      </c>
      <c r="DN145" s="1149">
        <f>IFERROR(INDEX(DevBdgt!$E$30:$EG$30,MATCH('Venture Summary - Mthly'!DN5-INDEX('Venture Assumptions'!$J$6:$J$40,MATCH($B$2,'Venture Assumptions'!$I$6:$I$40,0)),DevBdgt!$E$6:$EG$6,0))+INDEX(DevBdgt!$E$31:$EG$31,MATCH('Venture Summary - Mthly'!DN5-INDEX('Venture Assumptions'!$J$6:$J$40,MATCH($B$2,'Venture Assumptions'!$I$6:$I$40,0)),DevBdgt!$E$6:$EG$6,0)),0)</f>
        <v>0</v>
      </c>
      <c r="DO145" s="1149">
        <f>IFERROR(INDEX(DevBdgt!$E$30:$EG$30,MATCH('Venture Summary - Mthly'!DO5-INDEX('Venture Assumptions'!$J$6:$J$40,MATCH($B$2,'Venture Assumptions'!$I$6:$I$40,0)),DevBdgt!$E$6:$EG$6,0))+INDEX(DevBdgt!$E$31:$EG$31,MATCH('Venture Summary - Mthly'!DO5-INDEX('Venture Assumptions'!$J$6:$J$40,MATCH($B$2,'Venture Assumptions'!$I$6:$I$40,0)),DevBdgt!$E$6:$EG$6,0)),0)</f>
        <v>0</v>
      </c>
      <c r="DP145" s="1149">
        <f>IFERROR(INDEX(DevBdgt!$E$30:$EG$30,MATCH('Venture Summary - Mthly'!DP5-INDEX('Venture Assumptions'!$J$6:$J$40,MATCH($B$2,'Venture Assumptions'!$I$6:$I$40,0)),DevBdgt!$E$6:$EG$6,0))+INDEX(DevBdgt!$E$31:$EG$31,MATCH('Venture Summary - Mthly'!DP5-INDEX('Venture Assumptions'!$J$6:$J$40,MATCH($B$2,'Venture Assumptions'!$I$6:$I$40,0)),DevBdgt!$E$6:$EG$6,0)),0)</f>
        <v>0</v>
      </c>
      <c r="DQ145" s="1149">
        <f>IFERROR(INDEX(DevBdgt!$E$30:$EG$30,MATCH('Venture Summary - Mthly'!DQ5-INDEX('Venture Assumptions'!$J$6:$J$40,MATCH($B$2,'Venture Assumptions'!$I$6:$I$40,0)),DevBdgt!$E$6:$EG$6,0))+INDEX(DevBdgt!$E$31:$EG$31,MATCH('Venture Summary - Mthly'!DQ5-INDEX('Venture Assumptions'!$J$6:$J$40,MATCH($B$2,'Venture Assumptions'!$I$6:$I$40,0)),DevBdgt!$E$6:$EG$6,0)),0)</f>
        <v>0</v>
      </c>
      <c r="DR145" s="1149">
        <f>IFERROR(INDEX(DevBdgt!$E$30:$EG$30,MATCH('Venture Summary - Mthly'!DR5-INDEX('Venture Assumptions'!$J$6:$J$40,MATCH($B$2,'Venture Assumptions'!$I$6:$I$40,0)),DevBdgt!$E$6:$EG$6,0))+INDEX(DevBdgt!$E$31:$EG$31,MATCH('Venture Summary - Mthly'!DR5-INDEX('Venture Assumptions'!$J$6:$J$40,MATCH($B$2,'Venture Assumptions'!$I$6:$I$40,0)),DevBdgt!$E$6:$EG$6,0)),0)</f>
        <v>0</v>
      </c>
      <c r="DS145" s="1149">
        <f>IFERROR(INDEX(DevBdgt!$E$30:$EG$30,MATCH('Venture Summary - Mthly'!DS5-INDEX('Venture Assumptions'!$J$6:$J$40,MATCH($B$2,'Venture Assumptions'!$I$6:$I$40,0)),DevBdgt!$E$6:$EG$6,0))+INDEX(DevBdgt!$E$31:$EG$31,MATCH('Venture Summary - Mthly'!DS5-INDEX('Venture Assumptions'!$J$6:$J$40,MATCH($B$2,'Venture Assumptions'!$I$6:$I$40,0)),DevBdgt!$E$6:$EG$6,0)),0)</f>
        <v>0</v>
      </c>
      <c r="DT145" s="1149">
        <f>IFERROR(INDEX(DevBdgt!$E$30:$EG$30,MATCH('Venture Summary - Mthly'!DT5-INDEX('Venture Assumptions'!$J$6:$J$40,MATCH($B$2,'Venture Assumptions'!$I$6:$I$40,0)),DevBdgt!$E$6:$EG$6,0))+INDEX(DevBdgt!$E$31:$EG$31,MATCH('Venture Summary - Mthly'!DT5-INDEX('Venture Assumptions'!$J$6:$J$40,MATCH($B$2,'Venture Assumptions'!$I$6:$I$40,0)),DevBdgt!$E$6:$EG$6,0)),0)</f>
        <v>0</v>
      </c>
      <c r="DU145" s="1149">
        <f>IFERROR(INDEX(DevBdgt!$E$30:$EG$30,MATCH('Venture Summary - Mthly'!DU5-INDEX('Venture Assumptions'!$J$6:$J$40,MATCH($B$2,'Venture Assumptions'!$I$6:$I$40,0)),DevBdgt!$E$6:$EG$6,0))+INDEX(DevBdgt!$E$31:$EG$31,MATCH('Venture Summary - Mthly'!DU5-INDEX('Venture Assumptions'!$J$6:$J$40,MATCH($B$2,'Venture Assumptions'!$I$6:$I$40,0)),DevBdgt!$E$6:$EG$6,0)),0)</f>
        <v>0</v>
      </c>
      <c r="DV145" s="1149">
        <f>IFERROR(INDEX(DevBdgt!$E$30:$EG$30,MATCH('Venture Summary - Mthly'!DV5-INDEX('Venture Assumptions'!$J$6:$J$40,MATCH($B$2,'Venture Assumptions'!$I$6:$I$40,0)),DevBdgt!$E$6:$EG$6,0))+INDEX(DevBdgt!$E$31:$EG$31,MATCH('Venture Summary - Mthly'!DV5-INDEX('Venture Assumptions'!$J$6:$J$40,MATCH($B$2,'Venture Assumptions'!$I$6:$I$40,0)),DevBdgt!$E$6:$EG$6,0)),0)</f>
        <v>0</v>
      </c>
      <c r="DW145" s="1149">
        <f>IFERROR(INDEX(DevBdgt!$E$30:$EG$30,MATCH('Venture Summary - Mthly'!DW5-INDEX('Venture Assumptions'!$J$6:$J$40,MATCH($B$2,'Venture Assumptions'!$I$6:$I$40,0)),DevBdgt!$E$6:$EG$6,0))+INDEX(DevBdgt!$E$31:$EG$31,MATCH('Venture Summary - Mthly'!DW5-INDEX('Venture Assumptions'!$J$6:$J$40,MATCH($B$2,'Venture Assumptions'!$I$6:$I$40,0)),DevBdgt!$E$6:$EG$6,0)),0)</f>
        <v>0</v>
      </c>
      <c r="DX145" s="1149">
        <f>IFERROR(INDEX(DevBdgt!$E$30:$EG$30,MATCH('Venture Summary - Mthly'!DX5-INDEX('Venture Assumptions'!$J$6:$J$40,MATCH($B$2,'Venture Assumptions'!$I$6:$I$40,0)),DevBdgt!$E$6:$EG$6,0))+INDEX(DevBdgt!$E$31:$EG$31,MATCH('Venture Summary - Mthly'!DX5-INDEX('Venture Assumptions'!$J$6:$J$40,MATCH($B$2,'Venture Assumptions'!$I$6:$I$40,0)),DevBdgt!$E$6:$EG$6,0)),0)</f>
        <v>0</v>
      </c>
      <c r="DY145" s="1149">
        <f>IFERROR(INDEX(DevBdgt!$E$30:$EG$30,MATCH('Venture Summary - Mthly'!DY5-INDEX('Venture Assumptions'!$J$6:$J$40,MATCH($B$2,'Venture Assumptions'!$I$6:$I$40,0)),DevBdgt!$E$6:$EG$6,0))+INDEX(DevBdgt!$E$31:$EG$31,MATCH('Venture Summary - Mthly'!DY5-INDEX('Venture Assumptions'!$J$6:$J$40,MATCH($B$2,'Venture Assumptions'!$I$6:$I$40,0)),DevBdgt!$E$6:$EG$6,0)),0)</f>
        <v>0</v>
      </c>
      <c r="DZ145" s="1149">
        <f>IFERROR(INDEX(DevBdgt!$E$30:$EG$30,MATCH('Venture Summary - Mthly'!DZ5-INDEX('Venture Assumptions'!$J$6:$J$40,MATCH($B$2,'Venture Assumptions'!$I$6:$I$40,0)),DevBdgt!$E$6:$EG$6,0))+INDEX(DevBdgt!$E$31:$EG$31,MATCH('Venture Summary - Mthly'!DZ5-INDEX('Venture Assumptions'!$J$6:$J$40,MATCH($B$2,'Venture Assumptions'!$I$6:$I$40,0)),DevBdgt!$E$6:$EG$6,0)),0)</f>
        <v>0</v>
      </c>
      <c r="EA145" s="1149">
        <f>IFERROR(INDEX(DevBdgt!$E$30:$EG$30,MATCH('Venture Summary - Mthly'!EA5-INDEX('Venture Assumptions'!$J$6:$J$40,MATCH($B$2,'Venture Assumptions'!$I$6:$I$40,0)),DevBdgt!$E$6:$EG$6,0))+INDEX(DevBdgt!$E$31:$EG$31,MATCH('Venture Summary - Mthly'!EA5-INDEX('Venture Assumptions'!$J$6:$J$40,MATCH($B$2,'Venture Assumptions'!$I$6:$I$40,0)),DevBdgt!$E$6:$EG$6,0)),0)</f>
        <v>0</v>
      </c>
      <c r="EB145" s="1149">
        <f>IFERROR(INDEX(DevBdgt!$E$30:$EG$30,MATCH('Venture Summary - Mthly'!EB5-INDEX('Venture Assumptions'!$J$6:$J$40,MATCH($B$2,'Venture Assumptions'!$I$6:$I$40,0)),DevBdgt!$E$6:$EG$6,0))+INDEX(DevBdgt!$E$31:$EG$31,MATCH('Venture Summary - Mthly'!EB5-INDEX('Venture Assumptions'!$J$6:$J$40,MATCH($B$2,'Venture Assumptions'!$I$6:$I$40,0)),DevBdgt!$E$6:$EG$6,0)),0)</f>
        <v>0</v>
      </c>
      <c r="EC145" s="1149">
        <f>IFERROR(INDEX(DevBdgt!$E$30:$EG$30,MATCH('Venture Summary - Mthly'!EC5-INDEX('Venture Assumptions'!$J$6:$J$40,MATCH($B$2,'Venture Assumptions'!$I$6:$I$40,0)),DevBdgt!$E$6:$EG$6,0))+INDEX(DevBdgt!$E$31:$EG$31,MATCH('Venture Summary - Mthly'!EC5-INDEX('Venture Assumptions'!$J$6:$J$40,MATCH($B$2,'Venture Assumptions'!$I$6:$I$40,0)),DevBdgt!$E$6:$EG$6,0)),0)</f>
        <v>0</v>
      </c>
      <c r="ED145" s="1149">
        <f>IFERROR(INDEX(DevBdgt!$E$30:$EG$30,MATCH('Venture Summary - Mthly'!ED5-INDEX('Venture Assumptions'!$J$6:$J$40,MATCH($B$2,'Venture Assumptions'!$I$6:$I$40,0)),DevBdgt!$E$6:$EG$6,0))+INDEX(DevBdgt!$E$31:$EG$31,MATCH('Venture Summary - Mthly'!ED5-INDEX('Venture Assumptions'!$J$6:$J$40,MATCH($B$2,'Venture Assumptions'!$I$6:$I$40,0)),DevBdgt!$E$6:$EG$6,0)),0)</f>
        <v>0</v>
      </c>
      <c r="EE145" s="1149">
        <f>IFERROR(INDEX(DevBdgt!$E$30:$EG$30,MATCH('Venture Summary - Mthly'!EE5-INDEX('Venture Assumptions'!$J$6:$J$40,MATCH($B$2,'Venture Assumptions'!$I$6:$I$40,0)),DevBdgt!$E$6:$EG$6,0))+INDEX(DevBdgt!$E$31:$EG$31,MATCH('Venture Summary - Mthly'!EE5-INDEX('Venture Assumptions'!$J$6:$J$40,MATCH($B$2,'Venture Assumptions'!$I$6:$I$40,0)),DevBdgt!$E$6:$EG$6,0)),0)</f>
        <v>0</v>
      </c>
      <c r="EF145" s="1149">
        <f>IFERROR(INDEX(DevBdgt!$E$30:$EG$30,MATCH('Venture Summary - Mthly'!EF5-INDEX('Venture Assumptions'!$J$6:$J$40,MATCH($B$2,'Venture Assumptions'!$I$6:$I$40,0)),DevBdgt!$E$6:$EG$6,0))+INDEX(DevBdgt!$E$31:$EG$31,MATCH('Venture Summary - Mthly'!EF5-INDEX('Venture Assumptions'!$J$6:$J$40,MATCH($B$2,'Venture Assumptions'!$I$6:$I$40,0)),DevBdgt!$E$6:$EG$6,0)),0)</f>
        <v>0</v>
      </c>
      <c r="EG145" s="1149">
        <f>IFERROR(INDEX(DevBdgt!$E$30:$EG$30,MATCH('Venture Summary - Mthly'!EG5-INDEX('Venture Assumptions'!$J$6:$J$40,MATCH($B$2,'Venture Assumptions'!$I$6:$I$40,0)),DevBdgt!$E$6:$EG$6,0))+INDEX(DevBdgt!$E$31:$EG$31,MATCH('Venture Summary - Mthly'!EG5-INDEX('Venture Assumptions'!$J$6:$J$40,MATCH($B$2,'Venture Assumptions'!$I$6:$I$40,0)),DevBdgt!$E$6:$EG$6,0)),0)</f>
        <v>0</v>
      </c>
      <c r="EH145" s="782"/>
    </row>
    <row r="146" spans="1:138" ht="12.75" customHeight="1" x14ac:dyDescent="0.3">
      <c r="A146" s="782"/>
      <c r="B146" s="782" t="s">
        <v>83</v>
      </c>
      <c r="C146" s="798">
        <f t="shared" si="131"/>
        <v>896583.45041148621</v>
      </c>
      <c r="D146" s="782"/>
      <c r="E146" s="798">
        <f>IFERROR(INDEX(DevBdgt!$E$36:$EG$36,MATCH('Venture Summary - Mthly'!E5-INDEX('Venture Assumptions'!$J$6:$J$40,MATCH($B$2,'Venture Assumptions'!$I$6:$I$40,0)),DevBdgt!$E$6:$EG$6,0)),0)</f>
        <v>821583.45041148621</v>
      </c>
      <c r="F146" s="798">
        <f>IFERROR(INDEX(DevBdgt!$E$36:$EG$36,MATCH('Venture Summary - Mthly'!F5-INDEX('Venture Assumptions'!$J$6:$J$40,MATCH($B$2,'Venture Assumptions'!$I$6:$I$40,0)),DevBdgt!$E$6:$EG$6,0)),0)</f>
        <v>3000</v>
      </c>
      <c r="G146" s="798">
        <f>IFERROR(INDEX(DevBdgt!$E$36:$EG$36,MATCH('Venture Summary - Mthly'!G5-INDEX('Venture Assumptions'!$J$6:$J$40,MATCH($B$2,'Venture Assumptions'!$I$6:$I$40,0)),DevBdgt!$E$6:$EG$6,0)),0)</f>
        <v>3000</v>
      </c>
      <c r="H146" s="798">
        <f>IFERROR(INDEX(DevBdgt!$E$36:$EG$36,MATCH('Venture Summary - Mthly'!H5-INDEX('Venture Assumptions'!$J$6:$J$40,MATCH($B$2,'Venture Assumptions'!$I$6:$I$40,0)),DevBdgt!$E$6:$EG$6,0)),0)</f>
        <v>3000</v>
      </c>
      <c r="I146" s="798">
        <f>IFERROR(INDEX(DevBdgt!$E$36:$EG$36,MATCH('Venture Summary - Mthly'!I5-INDEX('Venture Assumptions'!$J$6:$J$40,MATCH($B$2,'Venture Assumptions'!$I$6:$I$40,0)),DevBdgt!$E$6:$EG$6,0)),0)</f>
        <v>3000</v>
      </c>
      <c r="J146" s="798">
        <f>IFERROR(INDEX(DevBdgt!$E$36:$EG$36,MATCH('Venture Summary - Mthly'!J5-INDEX('Venture Assumptions'!$J$6:$J$40,MATCH($B$2,'Venture Assumptions'!$I$6:$I$40,0)),DevBdgt!$E$6:$EG$6,0)),0)</f>
        <v>3000</v>
      </c>
      <c r="K146" s="798">
        <f>IFERROR(INDEX(DevBdgt!$E$36:$EG$36,MATCH('Venture Summary - Mthly'!K5-INDEX('Venture Assumptions'!$J$6:$J$40,MATCH($B$2,'Venture Assumptions'!$I$6:$I$40,0)),DevBdgt!$E$6:$EG$6,0)),0)</f>
        <v>3000</v>
      </c>
      <c r="L146" s="798">
        <f>IFERROR(INDEX(DevBdgt!$E$36:$EG$36,MATCH('Venture Summary - Mthly'!L5-INDEX('Venture Assumptions'!$J$6:$J$40,MATCH($B$2,'Venture Assumptions'!$I$6:$I$40,0)),DevBdgt!$E$6:$EG$6,0)),0)</f>
        <v>3000</v>
      </c>
      <c r="M146" s="798">
        <f>IFERROR(INDEX(DevBdgt!$E$36:$EG$36,MATCH('Venture Summary - Mthly'!M5-INDEX('Venture Assumptions'!$J$6:$J$40,MATCH($B$2,'Venture Assumptions'!$I$6:$I$40,0)),DevBdgt!$E$6:$EG$6,0)),0)</f>
        <v>3000</v>
      </c>
      <c r="N146" s="798">
        <f>IFERROR(INDEX(DevBdgt!$E$36:$EG$36,MATCH('Venture Summary - Mthly'!N5-INDEX('Venture Assumptions'!$J$6:$J$40,MATCH($B$2,'Venture Assumptions'!$I$6:$I$40,0)),DevBdgt!$E$6:$EG$6,0)),0)</f>
        <v>3000</v>
      </c>
      <c r="O146" s="798">
        <f>IFERROR(INDEX(DevBdgt!$E$36:$EG$36,MATCH('Venture Summary - Mthly'!O5-INDEX('Venture Assumptions'!$J$6:$J$40,MATCH($B$2,'Venture Assumptions'!$I$6:$I$40,0)),DevBdgt!$E$6:$EG$6,0)),0)</f>
        <v>3000</v>
      </c>
      <c r="P146" s="798">
        <f>IFERROR(INDEX(DevBdgt!$E$36:$EG$36,MATCH('Venture Summary - Mthly'!P5-INDEX('Venture Assumptions'!$J$6:$J$40,MATCH($B$2,'Venture Assumptions'!$I$6:$I$40,0)),DevBdgt!$E$6:$EG$6,0)),0)</f>
        <v>3000</v>
      </c>
      <c r="Q146" s="798">
        <f>IFERROR(INDEX(DevBdgt!$E$36:$EG$36,MATCH('Venture Summary - Mthly'!Q5-INDEX('Venture Assumptions'!$J$6:$J$40,MATCH($B$2,'Venture Assumptions'!$I$6:$I$40,0)),DevBdgt!$E$6:$EG$6,0)),0)</f>
        <v>3000</v>
      </c>
      <c r="R146" s="798">
        <f>IFERROR(INDEX(DevBdgt!$E$36:$EG$36,MATCH('Venture Summary - Mthly'!R5-INDEX('Venture Assumptions'!$J$6:$J$40,MATCH($B$2,'Venture Assumptions'!$I$6:$I$40,0)),DevBdgt!$E$6:$EG$6,0)),0)</f>
        <v>3000</v>
      </c>
      <c r="S146" s="798">
        <f>IFERROR(INDEX(DevBdgt!$E$36:$EG$36,MATCH('Venture Summary - Mthly'!S5-INDEX('Venture Assumptions'!$J$6:$J$40,MATCH($B$2,'Venture Assumptions'!$I$6:$I$40,0)),DevBdgt!$E$6:$EG$6,0)),0)</f>
        <v>3000</v>
      </c>
      <c r="T146" s="798">
        <f>IFERROR(INDEX(DevBdgt!$E$36:$EG$36,MATCH('Venture Summary - Mthly'!T5-INDEX('Venture Assumptions'!$J$6:$J$40,MATCH($B$2,'Venture Assumptions'!$I$6:$I$40,0)),DevBdgt!$E$6:$EG$6,0)),0)</f>
        <v>3000</v>
      </c>
      <c r="U146" s="798">
        <f>IFERROR(INDEX(DevBdgt!$E$36:$EG$36,MATCH('Venture Summary - Mthly'!U5-INDEX('Venture Assumptions'!$J$6:$J$40,MATCH($B$2,'Venture Assumptions'!$I$6:$I$40,0)),DevBdgt!$E$6:$EG$6,0)),0)</f>
        <v>3000</v>
      </c>
      <c r="V146" s="798">
        <f>IFERROR(INDEX(DevBdgt!$E$36:$EG$36,MATCH('Venture Summary - Mthly'!V5-INDEX('Venture Assumptions'!$J$6:$J$40,MATCH($B$2,'Venture Assumptions'!$I$6:$I$40,0)),DevBdgt!$E$6:$EG$6,0)),0)</f>
        <v>3000</v>
      </c>
      <c r="W146" s="798">
        <f>IFERROR(INDEX(DevBdgt!$E$36:$EG$36,MATCH('Venture Summary - Mthly'!W5-INDEX('Venture Assumptions'!$J$6:$J$40,MATCH($B$2,'Venture Assumptions'!$I$6:$I$40,0)),DevBdgt!$E$6:$EG$6,0)),0)</f>
        <v>3000</v>
      </c>
      <c r="X146" s="798">
        <f>IFERROR(INDEX(DevBdgt!$E$36:$EG$36,MATCH('Venture Summary - Mthly'!X5-INDEX('Venture Assumptions'!$J$6:$J$40,MATCH($B$2,'Venture Assumptions'!$I$6:$I$40,0)),DevBdgt!$E$6:$EG$6,0)),0)</f>
        <v>3000</v>
      </c>
      <c r="Y146" s="798">
        <f>IFERROR(INDEX(DevBdgt!$E$36:$EG$36,MATCH('Venture Summary - Mthly'!Y5-INDEX('Venture Assumptions'!$J$6:$J$40,MATCH($B$2,'Venture Assumptions'!$I$6:$I$40,0)),DevBdgt!$E$6:$EG$6,0)),0)</f>
        <v>3000</v>
      </c>
      <c r="Z146" s="798">
        <f>IFERROR(INDEX(DevBdgt!$E$36:$EG$36,MATCH('Venture Summary - Mthly'!Z5-INDEX('Venture Assumptions'!$J$6:$J$40,MATCH($B$2,'Venture Assumptions'!$I$6:$I$40,0)),DevBdgt!$E$6:$EG$6,0)),0)</f>
        <v>3000</v>
      </c>
      <c r="AA146" s="798">
        <f>IFERROR(INDEX(DevBdgt!$E$36:$EG$36,MATCH('Venture Summary - Mthly'!AA5-INDEX('Venture Assumptions'!$J$6:$J$40,MATCH($B$2,'Venture Assumptions'!$I$6:$I$40,0)),DevBdgt!$E$6:$EG$6,0)),0)</f>
        <v>3000</v>
      </c>
      <c r="AB146" s="798">
        <f>IFERROR(INDEX(DevBdgt!$E$36:$EG$36,MATCH('Venture Summary - Mthly'!AB5-INDEX('Venture Assumptions'!$J$6:$J$40,MATCH($B$2,'Venture Assumptions'!$I$6:$I$40,0)),DevBdgt!$E$6:$EG$6,0)),0)</f>
        <v>3000</v>
      </c>
      <c r="AC146" s="798">
        <f>IFERROR(INDEX(DevBdgt!$E$36:$EG$36,MATCH('Venture Summary - Mthly'!AC5-INDEX('Venture Assumptions'!$J$6:$J$40,MATCH($B$2,'Venture Assumptions'!$I$6:$I$40,0)),DevBdgt!$E$6:$EG$6,0)),0)</f>
        <v>3000</v>
      </c>
      <c r="AD146" s="798">
        <f>IFERROR(INDEX(DevBdgt!$E$36:$EG$36,MATCH('Venture Summary - Mthly'!AD5-INDEX('Venture Assumptions'!$J$6:$J$40,MATCH($B$2,'Venture Assumptions'!$I$6:$I$40,0)),DevBdgt!$E$6:$EG$6,0)),0)</f>
        <v>3000</v>
      </c>
      <c r="AE146" s="798">
        <f>IFERROR(INDEX(DevBdgt!$E$36:$EG$36,MATCH('Venture Summary - Mthly'!AE5-INDEX('Venture Assumptions'!$J$6:$J$40,MATCH($B$2,'Venture Assumptions'!$I$6:$I$40,0)),DevBdgt!$E$6:$EG$6,0)),0)</f>
        <v>0</v>
      </c>
      <c r="AF146" s="798">
        <f>IFERROR(INDEX(DevBdgt!$E$36:$EG$36,MATCH('Venture Summary - Mthly'!AF5-INDEX('Venture Assumptions'!$J$6:$J$40,MATCH($B$2,'Venture Assumptions'!$I$6:$I$40,0)),DevBdgt!$E$6:$EG$6,0)),0)</f>
        <v>0</v>
      </c>
      <c r="AG146" s="798">
        <f>IFERROR(INDEX(DevBdgt!$E$36:$EG$36,MATCH('Venture Summary - Mthly'!AG5-INDEX('Venture Assumptions'!$J$6:$J$40,MATCH($B$2,'Venture Assumptions'!$I$6:$I$40,0)),DevBdgt!$E$6:$EG$6,0)),0)</f>
        <v>0</v>
      </c>
      <c r="AH146" s="798">
        <f>IFERROR(INDEX(DevBdgt!$E$36:$EG$36,MATCH('Venture Summary - Mthly'!AH5-INDEX('Venture Assumptions'!$J$6:$J$40,MATCH($B$2,'Venture Assumptions'!$I$6:$I$40,0)),DevBdgt!$E$6:$EG$6,0)),0)</f>
        <v>0</v>
      </c>
      <c r="AI146" s="798">
        <f>IFERROR(INDEX(DevBdgt!$E$36:$EG$36,MATCH('Venture Summary - Mthly'!AI5-INDEX('Venture Assumptions'!$J$6:$J$40,MATCH($B$2,'Venture Assumptions'!$I$6:$I$40,0)),DevBdgt!$E$6:$EG$6,0)),0)</f>
        <v>0</v>
      </c>
      <c r="AJ146" s="798">
        <f>IFERROR(INDEX(DevBdgt!$E$36:$EG$36,MATCH('Venture Summary - Mthly'!AJ5-INDEX('Venture Assumptions'!$J$6:$J$40,MATCH($B$2,'Venture Assumptions'!$I$6:$I$40,0)),DevBdgt!$E$6:$EG$6,0)),0)</f>
        <v>0</v>
      </c>
      <c r="AK146" s="798">
        <f>IFERROR(INDEX(DevBdgt!$E$36:$EG$36,MATCH('Venture Summary - Mthly'!AK5-INDEX('Venture Assumptions'!$J$6:$J$40,MATCH($B$2,'Venture Assumptions'!$I$6:$I$40,0)),DevBdgt!$E$6:$EG$6,0)),0)</f>
        <v>0</v>
      </c>
      <c r="AL146" s="798">
        <f>IFERROR(INDEX(DevBdgt!$E$36:$EG$36,MATCH('Venture Summary - Mthly'!AL5-INDEX('Venture Assumptions'!$J$6:$J$40,MATCH($B$2,'Venture Assumptions'!$I$6:$I$40,0)),DevBdgt!$E$6:$EG$6,0)),0)</f>
        <v>0</v>
      </c>
      <c r="AM146" s="798">
        <f>IFERROR(INDEX(DevBdgt!$E$36:$EG$36,MATCH('Venture Summary - Mthly'!AM5-INDEX('Venture Assumptions'!$J$6:$J$40,MATCH($B$2,'Venture Assumptions'!$I$6:$I$40,0)),DevBdgt!$E$6:$EG$6,0)),0)</f>
        <v>0</v>
      </c>
      <c r="AN146" s="798">
        <f>IFERROR(INDEX(DevBdgt!$E$36:$EG$36,MATCH('Venture Summary - Mthly'!AN5-INDEX('Venture Assumptions'!$J$6:$J$40,MATCH($B$2,'Venture Assumptions'!$I$6:$I$40,0)),DevBdgt!$E$6:$EG$6,0)),0)</f>
        <v>0</v>
      </c>
      <c r="AO146" s="798">
        <f>IFERROR(INDEX(DevBdgt!$E$36:$EG$36,MATCH('Venture Summary - Mthly'!AO5-INDEX('Venture Assumptions'!$J$6:$J$40,MATCH($B$2,'Venture Assumptions'!$I$6:$I$40,0)),DevBdgt!$E$6:$EG$6,0)),0)</f>
        <v>0</v>
      </c>
      <c r="AP146" s="798">
        <f>IFERROR(INDEX(DevBdgt!$E$36:$EG$36,MATCH('Venture Summary - Mthly'!AP5-INDEX('Venture Assumptions'!$J$6:$J$40,MATCH($B$2,'Venture Assumptions'!$I$6:$I$40,0)),DevBdgt!$E$6:$EG$6,0)),0)</f>
        <v>0</v>
      </c>
      <c r="AQ146" s="798">
        <f>IFERROR(INDEX(DevBdgt!$E$36:$EG$36,MATCH('Venture Summary - Mthly'!AQ5-INDEX('Venture Assumptions'!$J$6:$J$40,MATCH($B$2,'Venture Assumptions'!$I$6:$I$40,0)),DevBdgt!$E$6:$EG$6,0)),0)</f>
        <v>0</v>
      </c>
      <c r="AR146" s="798">
        <f>IFERROR(INDEX(DevBdgt!$E$36:$EG$36,MATCH('Venture Summary - Mthly'!AR5-INDEX('Venture Assumptions'!$J$6:$J$40,MATCH($B$2,'Venture Assumptions'!$I$6:$I$40,0)),DevBdgt!$E$6:$EG$6,0)),0)</f>
        <v>0</v>
      </c>
      <c r="AS146" s="798">
        <f>IFERROR(INDEX(DevBdgt!$E$36:$EG$36,MATCH('Venture Summary - Mthly'!AS5-INDEX('Venture Assumptions'!$J$6:$J$40,MATCH($B$2,'Venture Assumptions'!$I$6:$I$40,0)),DevBdgt!$E$6:$EG$6,0)),0)</f>
        <v>0</v>
      </c>
      <c r="AT146" s="798">
        <f>IFERROR(INDEX(DevBdgt!$E$36:$EG$36,MATCH('Venture Summary - Mthly'!AT5-INDEX('Venture Assumptions'!$J$6:$J$40,MATCH($B$2,'Venture Assumptions'!$I$6:$I$40,0)),DevBdgt!$E$6:$EG$6,0)),0)</f>
        <v>0</v>
      </c>
      <c r="AU146" s="798">
        <f>IFERROR(INDEX(DevBdgt!$E$36:$EG$36,MATCH('Venture Summary - Mthly'!AU5-INDEX('Venture Assumptions'!$J$6:$J$40,MATCH($B$2,'Venture Assumptions'!$I$6:$I$40,0)),DevBdgt!$E$6:$EG$6,0)),0)</f>
        <v>0</v>
      </c>
      <c r="AV146" s="798">
        <f>IFERROR(INDEX(DevBdgt!$E$36:$EG$36,MATCH('Venture Summary - Mthly'!AV5-INDEX('Venture Assumptions'!$J$6:$J$40,MATCH($B$2,'Venture Assumptions'!$I$6:$I$40,0)),DevBdgt!$E$6:$EG$6,0)),0)</f>
        <v>0</v>
      </c>
      <c r="AW146" s="798">
        <f>IFERROR(INDEX(DevBdgt!$E$36:$EG$36,MATCH('Venture Summary - Mthly'!AW5-INDEX('Venture Assumptions'!$J$6:$J$40,MATCH($B$2,'Venture Assumptions'!$I$6:$I$40,0)),DevBdgt!$E$6:$EG$6,0)),0)</f>
        <v>0</v>
      </c>
      <c r="AX146" s="798">
        <f>IFERROR(INDEX(DevBdgt!$E$36:$EG$36,MATCH('Venture Summary - Mthly'!AX5-INDEX('Venture Assumptions'!$J$6:$J$40,MATCH($B$2,'Venture Assumptions'!$I$6:$I$40,0)),DevBdgt!$E$6:$EG$6,0)),0)</f>
        <v>0</v>
      </c>
      <c r="AY146" s="798">
        <f>IFERROR(INDEX(DevBdgt!$E$36:$EG$36,MATCH('Venture Summary - Mthly'!AY5-INDEX('Venture Assumptions'!$J$6:$J$40,MATCH($B$2,'Venture Assumptions'!$I$6:$I$40,0)),DevBdgt!$E$6:$EG$6,0)),0)</f>
        <v>0</v>
      </c>
      <c r="AZ146" s="798">
        <f>IFERROR(INDEX(DevBdgt!$E$36:$EG$36,MATCH('Venture Summary - Mthly'!AZ5-INDEX('Venture Assumptions'!$J$6:$J$40,MATCH($B$2,'Venture Assumptions'!$I$6:$I$40,0)),DevBdgt!$E$6:$EG$6,0)),0)</f>
        <v>0</v>
      </c>
      <c r="BA146" s="798">
        <f>IFERROR(INDEX(DevBdgt!$E$36:$EG$36,MATCH('Venture Summary - Mthly'!BA5-INDEX('Venture Assumptions'!$J$6:$J$40,MATCH($B$2,'Venture Assumptions'!$I$6:$I$40,0)),DevBdgt!$E$6:$EG$6,0)),0)</f>
        <v>0</v>
      </c>
      <c r="BB146" s="798">
        <f>IFERROR(INDEX(DevBdgt!$E$36:$EG$36,MATCH('Venture Summary - Mthly'!BB5-INDEX('Venture Assumptions'!$J$6:$J$40,MATCH($B$2,'Venture Assumptions'!$I$6:$I$40,0)),DevBdgt!$E$6:$EG$6,0)),0)</f>
        <v>0</v>
      </c>
      <c r="BC146" s="798">
        <f>IFERROR(INDEX(DevBdgt!$E$36:$EG$36,MATCH('Venture Summary - Mthly'!BC5-INDEX('Venture Assumptions'!$J$6:$J$40,MATCH($B$2,'Venture Assumptions'!$I$6:$I$40,0)),DevBdgt!$E$6:$EG$6,0)),0)</f>
        <v>0</v>
      </c>
      <c r="BD146" s="798">
        <f>IFERROR(INDEX(DevBdgt!$E$36:$EG$36,MATCH('Venture Summary - Mthly'!BD5-INDEX('Venture Assumptions'!$J$6:$J$40,MATCH($B$2,'Venture Assumptions'!$I$6:$I$40,0)),DevBdgt!$E$6:$EG$6,0)),0)</f>
        <v>0</v>
      </c>
      <c r="BE146" s="798">
        <f>IFERROR(INDEX(DevBdgt!$E$36:$EG$36,MATCH('Venture Summary - Mthly'!BE5-INDEX('Venture Assumptions'!$J$6:$J$40,MATCH($B$2,'Venture Assumptions'!$I$6:$I$40,0)),DevBdgt!$E$6:$EG$6,0)),0)</f>
        <v>0</v>
      </c>
      <c r="BF146" s="798">
        <f>IFERROR(INDEX(DevBdgt!$E$36:$EG$36,MATCH('Venture Summary - Mthly'!BF5-INDEX('Venture Assumptions'!$J$6:$J$40,MATCH($B$2,'Venture Assumptions'!$I$6:$I$40,0)),DevBdgt!$E$6:$EG$6,0)),0)</f>
        <v>0</v>
      </c>
      <c r="BG146" s="798">
        <f>IFERROR(INDEX(DevBdgt!$E$36:$EG$36,MATCH('Venture Summary - Mthly'!BG5-INDEX('Venture Assumptions'!$J$6:$J$40,MATCH($B$2,'Venture Assumptions'!$I$6:$I$40,0)),DevBdgt!$E$6:$EG$6,0)),0)</f>
        <v>0</v>
      </c>
      <c r="BH146" s="798">
        <f>IFERROR(INDEX(DevBdgt!$E$36:$EG$36,MATCH('Venture Summary - Mthly'!BH5-INDEX('Venture Assumptions'!$J$6:$J$40,MATCH($B$2,'Venture Assumptions'!$I$6:$I$40,0)),DevBdgt!$E$6:$EG$6,0)),0)</f>
        <v>0</v>
      </c>
      <c r="BI146" s="798">
        <f>IFERROR(INDEX(DevBdgt!$E$36:$EG$36,MATCH('Venture Summary - Mthly'!BI5-INDEX('Venture Assumptions'!$J$6:$J$40,MATCH($B$2,'Venture Assumptions'!$I$6:$I$40,0)),DevBdgt!$E$6:$EG$6,0)),0)</f>
        <v>0</v>
      </c>
      <c r="BJ146" s="798">
        <f>IFERROR(INDEX(DevBdgt!$E$36:$EG$36,MATCH('Venture Summary - Mthly'!BJ5-INDEX('Venture Assumptions'!$J$6:$J$40,MATCH($B$2,'Venture Assumptions'!$I$6:$I$40,0)),DevBdgt!$E$6:$EG$6,0)),0)</f>
        <v>0</v>
      </c>
      <c r="BK146" s="798">
        <f>IFERROR(INDEX(DevBdgt!$E$36:$EG$36,MATCH('Venture Summary - Mthly'!BK5-INDEX('Venture Assumptions'!$J$6:$J$40,MATCH($B$2,'Venture Assumptions'!$I$6:$I$40,0)),DevBdgt!$E$6:$EG$6,0)),0)</f>
        <v>0</v>
      </c>
      <c r="BL146" s="798">
        <f>IFERROR(INDEX(DevBdgt!$E$36:$EG$36,MATCH('Venture Summary - Mthly'!BL5-INDEX('Venture Assumptions'!$J$6:$J$40,MATCH($B$2,'Venture Assumptions'!$I$6:$I$40,0)),DevBdgt!$E$6:$EG$6,0)),0)</f>
        <v>0</v>
      </c>
      <c r="BM146" s="798">
        <f>IFERROR(INDEX(DevBdgt!$E$36:$EG$36,MATCH('Venture Summary - Mthly'!BM5-INDEX('Venture Assumptions'!$J$6:$J$40,MATCH($B$2,'Venture Assumptions'!$I$6:$I$40,0)),DevBdgt!$E$6:$EG$6,0)),0)</f>
        <v>0</v>
      </c>
      <c r="BN146" s="798">
        <f>IFERROR(INDEX(DevBdgt!$E$36:$EG$36,MATCH('Venture Summary - Mthly'!BN5-INDEX('Venture Assumptions'!$J$6:$J$40,MATCH($B$2,'Venture Assumptions'!$I$6:$I$40,0)),DevBdgt!$E$6:$EG$6,0)),0)</f>
        <v>0</v>
      </c>
      <c r="BO146" s="798">
        <f>IFERROR(INDEX(DevBdgt!$E$36:$EG$36,MATCH('Venture Summary - Mthly'!BO5-INDEX('Venture Assumptions'!$J$6:$J$40,MATCH($B$2,'Venture Assumptions'!$I$6:$I$40,0)),DevBdgt!$E$6:$EG$6,0)),0)</f>
        <v>0</v>
      </c>
      <c r="BP146" s="798">
        <f>IFERROR(INDEX(DevBdgt!$E$36:$EG$36,MATCH('Venture Summary - Mthly'!BP5-INDEX('Venture Assumptions'!$J$6:$J$40,MATCH($B$2,'Venture Assumptions'!$I$6:$I$40,0)),DevBdgt!$E$6:$EG$6,0)),0)</f>
        <v>0</v>
      </c>
      <c r="BQ146" s="798">
        <f>IFERROR(INDEX(DevBdgt!$E$36:$EG$36,MATCH('Venture Summary - Mthly'!BQ5-INDEX('Venture Assumptions'!$J$6:$J$40,MATCH($B$2,'Venture Assumptions'!$I$6:$I$40,0)),DevBdgt!$E$6:$EG$6,0)),0)</f>
        <v>0</v>
      </c>
      <c r="BR146" s="798">
        <f>IFERROR(INDEX(DevBdgt!$E$36:$EG$36,MATCH('Venture Summary - Mthly'!BR5-INDEX('Venture Assumptions'!$J$6:$J$40,MATCH($B$2,'Venture Assumptions'!$I$6:$I$40,0)),DevBdgt!$E$6:$EG$6,0)),0)</f>
        <v>0</v>
      </c>
      <c r="BS146" s="798">
        <f>IFERROR(INDEX(DevBdgt!$E$36:$EG$36,MATCH('Venture Summary - Mthly'!BS5-INDEX('Venture Assumptions'!$J$6:$J$40,MATCH($B$2,'Venture Assumptions'!$I$6:$I$40,0)),DevBdgt!$E$6:$EG$6,0)),0)</f>
        <v>0</v>
      </c>
      <c r="BT146" s="798">
        <f>IFERROR(INDEX(DevBdgt!$E$36:$EG$36,MATCH('Venture Summary - Mthly'!BT5-INDEX('Venture Assumptions'!$J$6:$J$40,MATCH($B$2,'Venture Assumptions'!$I$6:$I$40,0)),DevBdgt!$E$6:$EG$6,0)),0)</f>
        <v>0</v>
      </c>
      <c r="BU146" s="798">
        <f>IFERROR(INDEX(DevBdgt!$E$36:$EG$36,MATCH('Venture Summary - Mthly'!BU5-INDEX('Venture Assumptions'!$J$6:$J$40,MATCH($B$2,'Venture Assumptions'!$I$6:$I$40,0)),DevBdgt!$E$6:$EG$6,0)),0)</f>
        <v>0</v>
      </c>
      <c r="BV146" s="798">
        <f>IFERROR(INDEX(DevBdgt!$E$36:$EG$36,MATCH('Venture Summary - Mthly'!BV5-INDEX('Venture Assumptions'!$J$6:$J$40,MATCH($B$2,'Venture Assumptions'!$I$6:$I$40,0)),DevBdgt!$E$6:$EG$6,0)),0)</f>
        <v>0</v>
      </c>
      <c r="BW146" s="798">
        <f>IFERROR(INDEX(DevBdgt!$E$36:$EG$36,MATCH('Venture Summary - Mthly'!BW5-INDEX('Venture Assumptions'!$J$6:$J$40,MATCH($B$2,'Venture Assumptions'!$I$6:$I$40,0)),DevBdgt!$E$6:$EG$6,0)),0)</f>
        <v>0</v>
      </c>
      <c r="BX146" s="798">
        <f>IFERROR(INDEX(DevBdgt!$E$36:$EG$36,MATCH('Venture Summary - Mthly'!BX5-INDEX('Venture Assumptions'!$J$6:$J$40,MATCH($B$2,'Venture Assumptions'!$I$6:$I$40,0)),DevBdgt!$E$6:$EG$6,0)),0)</f>
        <v>0</v>
      </c>
      <c r="BY146" s="798">
        <f>IFERROR(INDEX(DevBdgt!$E$36:$EG$36,MATCH('Venture Summary - Mthly'!BY5-INDEX('Venture Assumptions'!$J$6:$J$40,MATCH($B$2,'Venture Assumptions'!$I$6:$I$40,0)),DevBdgt!$E$6:$EG$6,0)),0)</f>
        <v>0</v>
      </c>
      <c r="BZ146" s="798">
        <f>IFERROR(INDEX(DevBdgt!$E$36:$EG$36,MATCH('Venture Summary - Mthly'!BZ5-INDEX('Venture Assumptions'!$J$6:$J$40,MATCH($B$2,'Venture Assumptions'!$I$6:$I$40,0)),DevBdgt!$E$6:$EG$6,0)),0)</f>
        <v>0</v>
      </c>
      <c r="CA146" s="798">
        <f>IFERROR(INDEX(DevBdgt!$E$36:$EG$36,MATCH('Venture Summary - Mthly'!CA5-INDEX('Venture Assumptions'!$J$6:$J$40,MATCH($B$2,'Venture Assumptions'!$I$6:$I$40,0)),DevBdgt!$E$6:$EG$6,0)),0)</f>
        <v>0</v>
      </c>
      <c r="CB146" s="798">
        <f>IFERROR(INDEX(DevBdgt!$E$36:$EG$36,MATCH('Venture Summary - Mthly'!CB5-INDEX('Venture Assumptions'!$J$6:$J$40,MATCH($B$2,'Venture Assumptions'!$I$6:$I$40,0)),DevBdgt!$E$6:$EG$6,0)),0)</f>
        <v>0</v>
      </c>
      <c r="CC146" s="798">
        <f>IFERROR(INDEX(DevBdgt!$E$36:$EG$36,MATCH('Venture Summary - Mthly'!CC5-INDEX('Venture Assumptions'!$J$6:$J$40,MATCH($B$2,'Venture Assumptions'!$I$6:$I$40,0)),DevBdgt!$E$6:$EG$6,0)),0)</f>
        <v>0</v>
      </c>
      <c r="CD146" s="798">
        <f>IFERROR(INDEX(DevBdgt!$E$36:$EG$36,MATCH('Venture Summary - Mthly'!CD5-INDEX('Venture Assumptions'!$J$6:$J$40,MATCH($B$2,'Venture Assumptions'!$I$6:$I$40,0)),DevBdgt!$E$6:$EG$6,0)),0)</f>
        <v>0</v>
      </c>
      <c r="CE146" s="798">
        <f>IFERROR(INDEX(DevBdgt!$E$36:$EG$36,MATCH('Venture Summary - Mthly'!CE5-INDEX('Venture Assumptions'!$J$6:$J$40,MATCH($B$2,'Venture Assumptions'!$I$6:$I$40,0)),DevBdgt!$E$6:$EG$6,0)),0)</f>
        <v>0</v>
      </c>
      <c r="CF146" s="798">
        <f>IFERROR(INDEX(DevBdgt!$E$36:$EG$36,MATCH('Venture Summary - Mthly'!CF5-INDEX('Venture Assumptions'!$J$6:$J$40,MATCH($B$2,'Venture Assumptions'!$I$6:$I$40,0)),DevBdgt!$E$6:$EG$6,0)),0)</f>
        <v>0</v>
      </c>
      <c r="CG146" s="798">
        <f>IFERROR(INDEX(DevBdgt!$E$36:$EG$36,MATCH('Venture Summary - Mthly'!CG5-INDEX('Venture Assumptions'!$J$6:$J$40,MATCH($B$2,'Venture Assumptions'!$I$6:$I$40,0)),DevBdgt!$E$6:$EG$6,0)),0)</f>
        <v>0</v>
      </c>
      <c r="CH146" s="798">
        <f>IFERROR(INDEX(DevBdgt!$E$36:$EG$36,MATCH('Venture Summary - Mthly'!CH5-INDEX('Venture Assumptions'!$J$6:$J$40,MATCH($B$2,'Venture Assumptions'!$I$6:$I$40,0)),DevBdgt!$E$6:$EG$6,0)),0)</f>
        <v>0</v>
      </c>
      <c r="CI146" s="798">
        <f>IFERROR(INDEX(DevBdgt!$E$36:$EG$36,MATCH('Venture Summary - Mthly'!CI5-INDEX('Venture Assumptions'!$J$6:$J$40,MATCH($B$2,'Venture Assumptions'!$I$6:$I$40,0)),DevBdgt!$E$6:$EG$6,0)),0)</f>
        <v>0</v>
      </c>
      <c r="CJ146" s="798">
        <f>IFERROR(INDEX(DevBdgt!$E$36:$EG$36,MATCH('Venture Summary - Mthly'!CJ5-INDEX('Venture Assumptions'!$J$6:$J$40,MATCH($B$2,'Venture Assumptions'!$I$6:$I$40,0)),DevBdgt!$E$6:$EG$6,0)),0)</f>
        <v>0</v>
      </c>
      <c r="CK146" s="798">
        <f>IFERROR(INDEX(DevBdgt!$E$36:$EG$36,MATCH('Venture Summary - Mthly'!CK5-INDEX('Venture Assumptions'!$J$6:$J$40,MATCH($B$2,'Venture Assumptions'!$I$6:$I$40,0)),DevBdgt!$E$6:$EG$6,0)),0)</f>
        <v>0</v>
      </c>
      <c r="CL146" s="798">
        <f>IFERROR(INDEX(DevBdgt!$E$36:$EG$36,MATCH('Venture Summary - Mthly'!CL5-INDEX('Venture Assumptions'!$J$6:$J$40,MATCH($B$2,'Venture Assumptions'!$I$6:$I$40,0)),DevBdgt!$E$6:$EG$6,0)),0)</f>
        <v>0</v>
      </c>
      <c r="CM146" s="798">
        <f>IFERROR(INDEX(DevBdgt!$E$36:$EG$36,MATCH('Venture Summary - Mthly'!CM5-INDEX('Venture Assumptions'!$J$6:$J$40,MATCH($B$2,'Venture Assumptions'!$I$6:$I$40,0)),DevBdgt!$E$6:$EG$6,0)),0)</f>
        <v>0</v>
      </c>
      <c r="CN146" s="798">
        <f>IFERROR(INDEX(DevBdgt!$E$36:$EG$36,MATCH('Venture Summary - Mthly'!CN5-INDEX('Venture Assumptions'!$J$6:$J$40,MATCH($B$2,'Venture Assumptions'!$I$6:$I$40,0)),DevBdgt!$E$6:$EG$6,0)),0)</f>
        <v>0</v>
      </c>
      <c r="CO146" s="798">
        <f>IFERROR(INDEX(DevBdgt!$E$36:$EG$36,MATCH('Venture Summary - Mthly'!CO5-INDEX('Venture Assumptions'!$J$6:$J$40,MATCH($B$2,'Venture Assumptions'!$I$6:$I$40,0)),DevBdgt!$E$6:$EG$6,0)),0)</f>
        <v>0</v>
      </c>
      <c r="CP146" s="798">
        <f>IFERROR(INDEX(DevBdgt!$E$36:$EG$36,MATCH('Venture Summary - Mthly'!CP5-INDEX('Venture Assumptions'!$J$6:$J$40,MATCH($B$2,'Venture Assumptions'!$I$6:$I$40,0)),DevBdgt!$E$6:$EG$6,0)),0)</f>
        <v>0</v>
      </c>
      <c r="CQ146" s="798">
        <f>IFERROR(INDEX(DevBdgt!$E$36:$EG$36,MATCH('Venture Summary - Mthly'!CQ5-INDEX('Venture Assumptions'!$J$6:$J$40,MATCH($B$2,'Venture Assumptions'!$I$6:$I$40,0)),DevBdgt!$E$6:$EG$6,0)),0)</f>
        <v>0</v>
      </c>
      <c r="CR146" s="798">
        <f>IFERROR(INDEX(DevBdgt!$E$36:$EG$36,MATCH('Venture Summary - Mthly'!CR5-INDEX('Venture Assumptions'!$J$6:$J$40,MATCH($B$2,'Venture Assumptions'!$I$6:$I$40,0)),DevBdgt!$E$6:$EG$6,0)),0)</f>
        <v>0</v>
      </c>
      <c r="CS146" s="798">
        <f>IFERROR(INDEX(DevBdgt!$E$36:$EG$36,MATCH('Venture Summary - Mthly'!CS5-INDEX('Venture Assumptions'!$J$6:$J$40,MATCH($B$2,'Venture Assumptions'!$I$6:$I$40,0)),DevBdgt!$E$6:$EG$6,0)),0)</f>
        <v>0</v>
      </c>
      <c r="CT146" s="798">
        <f>IFERROR(INDEX(DevBdgt!$E$36:$EG$36,MATCH('Venture Summary - Mthly'!CT5-INDEX('Venture Assumptions'!$J$6:$J$40,MATCH($B$2,'Venture Assumptions'!$I$6:$I$40,0)),DevBdgt!$E$6:$EG$6,0)),0)</f>
        <v>0</v>
      </c>
      <c r="CU146" s="798">
        <f>IFERROR(INDEX(DevBdgt!$E$36:$EG$36,MATCH('Venture Summary - Mthly'!CU5-INDEX('Venture Assumptions'!$J$6:$J$40,MATCH($B$2,'Venture Assumptions'!$I$6:$I$40,0)),DevBdgt!$E$6:$EG$6,0)),0)</f>
        <v>0</v>
      </c>
      <c r="CV146" s="798">
        <f>IFERROR(INDEX(DevBdgt!$E$36:$EG$36,MATCH('Venture Summary - Mthly'!CV5-INDEX('Venture Assumptions'!$J$6:$J$40,MATCH($B$2,'Venture Assumptions'!$I$6:$I$40,0)),DevBdgt!$E$6:$EG$6,0)),0)</f>
        <v>0</v>
      </c>
      <c r="CW146" s="798">
        <f>IFERROR(INDEX(DevBdgt!$E$36:$EG$36,MATCH('Venture Summary - Mthly'!CW5-INDEX('Venture Assumptions'!$J$6:$J$40,MATCH($B$2,'Venture Assumptions'!$I$6:$I$40,0)),DevBdgt!$E$6:$EG$6,0)),0)</f>
        <v>0</v>
      </c>
      <c r="CX146" s="798">
        <f>IFERROR(INDEX(DevBdgt!$E$36:$EG$36,MATCH('Venture Summary - Mthly'!CX5-INDEX('Venture Assumptions'!$J$6:$J$40,MATCH($B$2,'Venture Assumptions'!$I$6:$I$40,0)),DevBdgt!$E$6:$EG$6,0)),0)</f>
        <v>0</v>
      </c>
      <c r="CY146" s="798">
        <f>IFERROR(INDEX(DevBdgt!$E$36:$EG$36,MATCH('Venture Summary - Mthly'!CY5-INDEX('Venture Assumptions'!$J$6:$J$40,MATCH($B$2,'Venture Assumptions'!$I$6:$I$40,0)),DevBdgt!$E$6:$EG$6,0)),0)</f>
        <v>0</v>
      </c>
      <c r="CZ146" s="798">
        <f>IFERROR(INDEX(DevBdgt!$E$36:$EG$36,MATCH('Venture Summary - Mthly'!CZ5-INDEX('Venture Assumptions'!$J$6:$J$40,MATCH($B$2,'Venture Assumptions'!$I$6:$I$40,0)),DevBdgt!$E$6:$EG$6,0)),0)</f>
        <v>0</v>
      </c>
      <c r="DA146" s="798">
        <f>IFERROR(INDEX(DevBdgt!$E$36:$EG$36,MATCH('Venture Summary - Mthly'!DA5-INDEX('Venture Assumptions'!$J$6:$J$40,MATCH($B$2,'Venture Assumptions'!$I$6:$I$40,0)),DevBdgt!$E$6:$EG$6,0)),0)</f>
        <v>0</v>
      </c>
      <c r="DB146" s="798">
        <f>IFERROR(INDEX(DevBdgt!$E$36:$EG$36,MATCH('Venture Summary - Mthly'!DB5-INDEX('Venture Assumptions'!$J$6:$J$40,MATCH($B$2,'Venture Assumptions'!$I$6:$I$40,0)),DevBdgt!$E$6:$EG$6,0)),0)</f>
        <v>0</v>
      </c>
      <c r="DC146" s="798">
        <f>IFERROR(INDEX(DevBdgt!$E$36:$EG$36,MATCH('Venture Summary - Mthly'!DC5-INDEX('Venture Assumptions'!$J$6:$J$40,MATCH($B$2,'Venture Assumptions'!$I$6:$I$40,0)),DevBdgt!$E$6:$EG$6,0)),0)</f>
        <v>0</v>
      </c>
      <c r="DD146" s="798">
        <f>IFERROR(INDEX(DevBdgt!$E$36:$EG$36,MATCH('Venture Summary - Mthly'!DD5-INDEX('Venture Assumptions'!$J$6:$J$40,MATCH($B$2,'Venture Assumptions'!$I$6:$I$40,0)),DevBdgt!$E$6:$EG$6,0)),0)</f>
        <v>0</v>
      </c>
      <c r="DE146" s="798">
        <f>IFERROR(INDEX(DevBdgt!$E$36:$EG$36,MATCH('Venture Summary - Mthly'!DE5-INDEX('Venture Assumptions'!$J$6:$J$40,MATCH($B$2,'Venture Assumptions'!$I$6:$I$40,0)),DevBdgt!$E$6:$EG$6,0)),0)</f>
        <v>0</v>
      </c>
      <c r="DF146" s="798">
        <f>IFERROR(INDEX(DevBdgt!$E$36:$EG$36,MATCH('Venture Summary - Mthly'!DF5-INDEX('Venture Assumptions'!$J$6:$J$40,MATCH($B$2,'Venture Assumptions'!$I$6:$I$40,0)),DevBdgt!$E$6:$EG$6,0)),0)</f>
        <v>0</v>
      </c>
      <c r="DG146" s="798">
        <f>IFERROR(INDEX(DevBdgt!$E$36:$EG$36,MATCH('Venture Summary - Mthly'!DG5-INDEX('Venture Assumptions'!$J$6:$J$40,MATCH($B$2,'Venture Assumptions'!$I$6:$I$40,0)),DevBdgt!$E$6:$EG$6,0)),0)</f>
        <v>0</v>
      </c>
      <c r="DH146" s="798">
        <f>IFERROR(INDEX(DevBdgt!$E$36:$EG$36,MATCH('Venture Summary - Mthly'!DH5-INDEX('Venture Assumptions'!$J$6:$J$40,MATCH($B$2,'Venture Assumptions'!$I$6:$I$40,0)),DevBdgt!$E$6:$EG$6,0)),0)</f>
        <v>0</v>
      </c>
      <c r="DI146" s="798">
        <f>IFERROR(INDEX(DevBdgt!$E$36:$EG$36,MATCH('Venture Summary - Mthly'!DI5-INDEX('Venture Assumptions'!$J$6:$J$40,MATCH($B$2,'Venture Assumptions'!$I$6:$I$40,0)),DevBdgt!$E$6:$EG$6,0)),0)</f>
        <v>0</v>
      </c>
      <c r="DJ146" s="798">
        <f>IFERROR(INDEX(DevBdgt!$E$36:$EG$36,MATCH('Venture Summary - Mthly'!DJ5-INDEX('Venture Assumptions'!$J$6:$J$40,MATCH($B$2,'Venture Assumptions'!$I$6:$I$40,0)),DevBdgt!$E$6:$EG$6,0)),0)</f>
        <v>0</v>
      </c>
      <c r="DK146" s="798">
        <f>IFERROR(INDEX(DevBdgt!$E$36:$EG$36,MATCH('Venture Summary - Mthly'!DK5-INDEX('Venture Assumptions'!$J$6:$J$40,MATCH($B$2,'Venture Assumptions'!$I$6:$I$40,0)),DevBdgt!$E$6:$EG$6,0)),0)</f>
        <v>0</v>
      </c>
      <c r="DL146" s="798">
        <f>IFERROR(INDEX(DevBdgt!$E$36:$EG$36,MATCH('Venture Summary - Mthly'!DL5-INDEX('Venture Assumptions'!$J$6:$J$40,MATCH($B$2,'Venture Assumptions'!$I$6:$I$40,0)),DevBdgt!$E$6:$EG$6,0)),0)</f>
        <v>0</v>
      </c>
      <c r="DM146" s="798">
        <f>IFERROR(INDEX(DevBdgt!$E$36:$EG$36,MATCH('Venture Summary - Mthly'!DM5-INDEX('Venture Assumptions'!$J$6:$J$40,MATCH($B$2,'Venture Assumptions'!$I$6:$I$40,0)),DevBdgt!$E$6:$EG$6,0)),0)</f>
        <v>0</v>
      </c>
      <c r="DN146" s="798">
        <f>IFERROR(INDEX(DevBdgt!$E$36:$EG$36,MATCH('Venture Summary - Mthly'!DN5-INDEX('Venture Assumptions'!$J$6:$J$40,MATCH($B$2,'Venture Assumptions'!$I$6:$I$40,0)),DevBdgt!$E$6:$EG$6,0)),0)</f>
        <v>0</v>
      </c>
      <c r="DO146" s="798">
        <f>IFERROR(INDEX(DevBdgt!$E$36:$EG$36,MATCH('Venture Summary - Mthly'!DO5-INDEX('Venture Assumptions'!$J$6:$J$40,MATCH($B$2,'Venture Assumptions'!$I$6:$I$40,0)),DevBdgt!$E$6:$EG$6,0)),0)</f>
        <v>0</v>
      </c>
      <c r="DP146" s="798">
        <f>IFERROR(INDEX(DevBdgt!$E$36:$EG$36,MATCH('Venture Summary - Mthly'!DP5-INDEX('Venture Assumptions'!$J$6:$J$40,MATCH($B$2,'Venture Assumptions'!$I$6:$I$40,0)),DevBdgt!$E$6:$EG$6,0)),0)</f>
        <v>0</v>
      </c>
      <c r="DQ146" s="798">
        <f>IFERROR(INDEX(DevBdgt!$E$36:$EG$36,MATCH('Venture Summary - Mthly'!DQ5-INDEX('Venture Assumptions'!$J$6:$J$40,MATCH($B$2,'Venture Assumptions'!$I$6:$I$40,0)),DevBdgt!$E$6:$EG$6,0)),0)</f>
        <v>0</v>
      </c>
      <c r="DR146" s="798">
        <f>IFERROR(INDEX(DevBdgt!$E$36:$EG$36,MATCH('Venture Summary - Mthly'!DR5-INDEX('Venture Assumptions'!$J$6:$J$40,MATCH($B$2,'Venture Assumptions'!$I$6:$I$40,0)),DevBdgt!$E$6:$EG$6,0)),0)</f>
        <v>0</v>
      </c>
      <c r="DS146" s="798">
        <f>IFERROR(INDEX(DevBdgt!$E$36:$EG$36,MATCH('Venture Summary - Mthly'!DS5-INDEX('Venture Assumptions'!$J$6:$J$40,MATCH($B$2,'Venture Assumptions'!$I$6:$I$40,0)),DevBdgt!$E$6:$EG$6,0)),0)</f>
        <v>0</v>
      </c>
      <c r="DT146" s="798">
        <f>IFERROR(INDEX(DevBdgt!$E$36:$EG$36,MATCH('Venture Summary - Mthly'!DT5-INDEX('Venture Assumptions'!$J$6:$J$40,MATCH($B$2,'Venture Assumptions'!$I$6:$I$40,0)),DevBdgt!$E$6:$EG$6,0)),0)</f>
        <v>0</v>
      </c>
      <c r="DU146" s="798">
        <f>IFERROR(INDEX(DevBdgt!$E$36:$EG$36,MATCH('Venture Summary - Mthly'!DU5-INDEX('Venture Assumptions'!$J$6:$J$40,MATCH($B$2,'Venture Assumptions'!$I$6:$I$40,0)),DevBdgt!$E$6:$EG$6,0)),0)</f>
        <v>0</v>
      </c>
      <c r="DV146" s="798">
        <f>IFERROR(INDEX(DevBdgt!$E$36:$EG$36,MATCH('Venture Summary - Mthly'!DV5-INDEX('Venture Assumptions'!$J$6:$J$40,MATCH($B$2,'Venture Assumptions'!$I$6:$I$40,0)),DevBdgt!$E$6:$EG$6,0)),0)</f>
        <v>0</v>
      </c>
      <c r="DW146" s="798">
        <f>IFERROR(INDEX(DevBdgt!$E$36:$EG$36,MATCH('Venture Summary - Mthly'!DW5-INDEX('Venture Assumptions'!$J$6:$J$40,MATCH($B$2,'Venture Assumptions'!$I$6:$I$40,0)),DevBdgt!$E$6:$EG$6,0)),0)</f>
        <v>0</v>
      </c>
      <c r="DX146" s="798">
        <f>IFERROR(INDEX(DevBdgt!$E$36:$EG$36,MATCH('Venture Summary - Mthly'!DX5-INDEX('Venture Assumptions'!$J$6:$J$40,MATCH($B$2,'Venture Assumptions'!$I$6:$I$40,0)),DevBdgt!$E$6:$EG$6,0)),0)</f>
        <v>0</v>
      </c>
      <c r="DY146" s="798">
        <f>IFERROR(INDEX(DevBdgt!$E$36:$EG$36,MATCH('Venture Summary - Mthly'!DY5-INDEX('Venture Assumptions'!$J$6:$J$40,MATCH($B$2,'Venture Assumptions'!$I$6:$I$40,0)),DevBdgt!$E$6:$EG$6,0)),0)</f>
        <v>0</v>
      </c>
      <c r="DZ146" s="798">
        <f>IFERROR(INDEX(DevBdgt!$E$36:$EG$36,MATCH('Venture Summary - Mthly'!DZ5-INDEX('Venture Assumptions'!$J$6:$J$40,MATCH($B$2,'Venture Assumptions'!$I$6:$I$40,0)),DevBdgt!$E$6:$EG$6,0)),0)</f>
        <v>0</v>
      </c>
      <c r="EA146" s="798">
        <f>IFERROR(INDEX(DevBdgt!$E$36:$EG$36,MATCH('Venture Summary - Mthly'!EA5-INDEX('Venture Assumptions'!$J$6:$J$40,MATCH($B$2,'Venture Assumptions'!$I$6:$I$40,0)),DevBdgt!$E$6:$EG$6,0)),0)</f>
        <v>0</v>
      </c>
      <c r="EB146" s="798">
        <f>IFERROR(INDEX(DevBdgt!$E$36:$EG$36,MATCH('Venture Summary - Mthly'!EB5-INDEX('Venture Assumptions'!$J$6:$J$40,MATCH($B$2,'Venture Assumptions'!$I$6:$I$40,0)),DevBdgt!$E$6:$EG$6,0)),0)</f>
        <v>0</v>
      </c>
      <c r="EC146" s="798">
        <f>IFERROR(INDEX(DevBdgt!$E$36:$EG$36,MATCH('Venture Summary - Mthly'!EC5-INDEX('Venture Assumptions'!$J$6:$J$40,MATCH($B$2,'Venture Assumptions'!$I$6:$I$40,0)),DevBdgt!$E$6:$EG$6,0)),0)</f>
        <v>0</v>
      </c>
      <c r="ED146" s="798">
        <f>IFERROR(INDEX(DevBdgt!$E$36:$EG$36,MATCH('Venture Summary - Mthly'!ED5-INDEX('Venture Assumptions'!$J$6:$J$40,MATCH($B$2,'Venture Assumptions'!$I$6:$I$40,0)),DevBdgt!$E$6:$EG$6,0)),0)</f>
        <v>0</v>
      </c>
      <c r="EE146" s="798">
        <f>IFERROR(INDEX(DevBdgt!$E$36:$EG$36,MATCH('Venture Summary - Mthly'!EE5-INDEX('Venture Assumptions'!$J$6:$J$40,MATCH($B$2,'Venture Assumptions'!$I$6:$I$40,0)),DevBdgt!$E$6:$EG$6,0)),0)</f>
        <v>0</v>
      </c>
      <c r="EF146" s="798">
        <f>IFERROR(INDEX(DevBdgt!$E$36:$EG$36,MATCH('Venture Summary - Mthly'!EF5-INDEX('Venture Assumptions'!$J$6:$J$40,MATCH($B$2,'Venture Assumptions'!$I$6:$I$40,0)),DevBdgt!$E$6:$EG$6,0)),0)</f>
        <v>0</v>
      </c>
      <c r="EG146" s="798">
        <f>IFERROR(INDEX(DevBdgt!$E$36:$EG$36,MATCH('Venture Summary - Mthly'!EG5-INDEX('Venture Assumptions'!$J$6:$J$40,MATCH($B$2,'Venture Assumptions'!$I$6:$I$40,0)),DevBdgt!$E$6:$EG$6,0)),0)</f>
        <v>0</v>
      </c>
      <c r="EH146" s="782"/>
    </row>
    <row r="147" spans="1:138" ht="12.75" customHeight="1" x14ac:dyDescent="0.3">
      <c r="A147" s="782"/>
      <c r="B147" s="782" t="s">
        <v>84</v>
      </c>
      <c r="C147" s="798">
        <f t="shared" si="131"/>
        <v>1086262.1410115552</v>
      </c>
      <c r="D147" s="782"/>
      <c r="E147" s="798">
        <f>IFERROR(INDEX(DevBdgt!$E$35:$EG$35,MATCH('Venture Summary - Mthly'!E5-INDEX('Venture Assumptions'!$J$6:$J$40,MATCH($B$2,'Venture Assumptions'!$I$6:$I$40,0)),DevBdgt!$E$6:$EG$6,0)),0)</f>
        <v>0</v>
      </c>
      <c r="F147" s="798">
        <f>IFERROR(INDEX(DevBdgt!$E$35:$EG$35,MATCH('Venture Summary - Mthly'!F5-INDEX('Venture Assumptions'!$J$6:$J$40,MATCH($B$2,'Venture Assumptions'!$I$6:$I$40,0)),DevBdgt!$E$6:$EG$6,0)),0)</f>
        <v>0</v>
      </c>
      <c r="G147" s="798">
        <f>IFERROR(INDEX(DevBdgt!$E$35:$EG$35,MATCH('Venture Summary - Mthly'!G5-INDEX('Venture Assumptions'!$J$6:$J$40,MATCH($B$2,'Venture Assumptions'!$I$6:$I$40,0)),DevBdgt!$E$6:$EG$6,0)),0)</f>
        <v>0</v>
      </c>
      <c r="H147" s="798">
        <f>IFERROR(INDEX(DevBdgt!$E$35:$EG$35,MATCH('Venture Summary - Mthly'!H5-INDEX('Venture Assumptions'!$J$6:$J$40,MATCH($B$2,'Venture Assumptions'!$I$6:$I$40,0)),DevBdgt!$E$6:$EG$6,0)),0)</f>
        <v>0</v>
      </c>
      <c r="I147" s="798">
        <f>IFERROR(INDEX(DevBdgt!$E$35:$EG$35,MATCH('Venture Summary - Mthly'!I5-INDEX('Venture Assumptions'!$J$6:$J$40,MATCH($B$2,'Venture Assumptions'!$I$6:$I$40,0)),DevBdgt!$E$6:$EG$6,0)),0)</f>
        <v>0</v>
      </c>
      <c r="J147" s="798">
        <f>IFERROR(INDEX(DevBdgt!$E$35:$EG$35,MATCH('Venture Summary - Mthly'!J5-INDEX('Venture Assumptions'!$J$6:$J$40,MATCH($B$2,'Venture Assumptions'!$I$6:$I$40,0)),DevBdgt!$E$6:$EG$6,0)),0)</f>
        <v>0</v>
      </c>
      <c r="K147" s="798">
        <f>IFERROR(INDEX(DevBdgt!$E$35:$EG$35,MATCH('Venture Summary - Mthly'!K5-INDEX('Venture Assumptions'!$J$6:$J$40,MATCH($B$2,'Venture Assumptions'!$I$6:$I$40,0)),DevBdgt!$E$6:$EG$6,0)),0)</f>
        <v>0</v>
      </c>
      <c r="L147" s="798">
        <f>IFERROR(INDEX(DevBdgt!$E$35:$EG$35,MATCH('Venture Summary - Mthly'!L5-INDEX('Venture Assumptions'!$J$6:$J$40,MATCH($B$2,'Venture Assumptions'!$I$6:$I$40,0)),DevBdgt!$E$6:$EG$6,0)),0)</f>
        <v>0</v>
      </c>
      <c r="M147" s="798">
        <f>IFERROR(INDEX(DevBdgt!$E$35:$EG$35,MATCH('Venture Summary - Mthly'!M5-INDEX('Venture Assumptions'!$J$6:$J$40,MATCH($B$2,'Venture Assumptions'!$I$6:$I$40,0)),DevBdgt!$E$6:$EG$6,0)),0)</f>
        <v>0</v>
      </c>
      <c r="N147" s="798">
        <f>IFERROR(INDEX(DevBdgt!$E$35:$EG$35,MATCH('Venture Summary - Mthly'!N5-INDEX('Venture Assumptions'!$J$6:$J$40,MATCH($B$2,'Venture Assumptions'!$I$6:$I$40,0)),DevBdgt!$E$6:$EG$6,0)),0)</f>
        <v>0</v>
      </c>
      <c r="O147" s="798">
        <f>IFERROR(INDEX(DevBdgt!$E$35:$EG$35,MATCH('Venture Summary - Mthly'!O5-INDEX('Venture Assumptions'!$J$6:$J$40,MATCH($B$2,'Venture Assumptions'!$I$6:$I$40,0)),DevBdgt!$E$6:$EG$6,0)),0)</f>
        <v>0</v>
      </c>
      <c r="P147" s="798">
        <f>IFERROR(INDEX(DevBdgt!$E$35:$EG$35,MATCH('Venture Summary - Mthly'!P5-INDEX('Venture Assumptions'!$J$6:$J$40,MATCH($B$2,'Venture Assumptions'!$I$6:$I$40,0)),DevBdgt!$E$6:$EG$6,0)),0)</f>
        <v>9271.8618416666668</v>
      </c>
      <c r="Q147" s="798">
        <f>IFERROR(INDEX(DevBdgt!$E$35:$EG$35,MATCH('Venture Summary - Mthly'!Q5-INDEX('Venture Assumptions'!$J$6:$J$40,MATCH($B$2,'Venture Assumptions'!$I$6:$I$40,0)),DevBdgt!$E$6:$EG$6,0)),0)</f>
        <v>30859.985503750006</v>
      </c>
      <c r="R147" s="798">
        <f>IFERROR(INDEX(DevBdgt!$E$35:$EG$35,MATCH('Venture Summary - Mthly'!R5-INDEX('Venture Assumptions'!$J$6:$J$40,MATCH($B$2,'Venture Assumptions'!$I$6:$I$40,0)),DevBdgt!$E$6:$EG$6,0)),0)</f>
        <v>52721.499257916672</v>
      </c>
      <c r="S147" s="798">
        <f>IFERROR(INDEX(DevBdgt!$E$35:$EG$35,MATCH('Venture Summary - Mthly'!S5-INDEX('Venture Assumptions'!$J$6:$J$40,MATCH($B$2,'Venture Assumptions'!$I$6:$I$40,0)),DevBdgt!$E$6:$EG$6,0)),0)</f>
        <v>74793.826184999998</v>
      </c>
      <c r="T147" s="798">
        <f>IFERROR(INDEX(DevBdgt!$E$35:$EG$35,MATCH('Venture Summary - Mthly'!T5-INDEX('Venture Assumptions'!$J$6:$J$40,MATCH($B$2,'Venture Assumptions'!$I$6:$I$40,0)),DevBdgt!$E$6:$EG$6,0)),0)</f>
        <v>95453.90916208335</v>
      </c>
      <c r="U147" s="798">
        <f>IFERROR(INDEX(DevBdgt!$E$35:$EG$35,MATCH('Venture Summary - Mthly'!U5-INDEX('Venture Assumptions'!$J$6:$J$40,MATCH($B$2,'Venture Assumptions'!$I$6:$I$40,0)),DevBdgt!$E$6:$EG$6,0)),0)</f>
        <v>115534.80412500001</v>
      </c>
      <c r="V147" s="798">
        <f>IFERROR(INDEX(DevBdgt!$E$35:$EG$35,MATCH('Venture Summary - Mthly'!V5-INDEX('Venture Assumptions'!$J$6:$J$40,MATCH($B$2,'Venture Assumptions'!$I$6:$I$40,0)),DevBdgt!$E$6:$EG$6,0)),0)</f>
        <v>134160.78209083332</v>
      </c>
      <c r="W147" s="798">
        <f>IFERROR(INDEX(DevBdgt!$E$35:$EG$35,MATCH('Venture Summary - Mthly'!W5-INDEX('Venture Assumptions'!$J$6:$J$40,MATCH($B$2,'Venture Assumptions'!$I$6:$I$40,0)),DevBdgt!$E$6:$EG$6,0)),0)</f>
        <v>150961.88393541667</v>
      </c>
      <c r="X147" s="798">
        <f>IFERROR(INDEX(DevBdgt!$E$35:$EG$35,MATCH('Venture Summary - Mthly'!X5-INDEX('Venture Assumptions'!$J$6:$J$40,MATCH($B$2,'Venture Assumptions'!$I$6:$I$40,0)),DevBdgt!$E$6:$EG$6,0)),0)</f>
        <v>149468.47362206239</v>
      </c>
      <c r="Y147" s="798">
        <f>IFERROR(INDEX(DevBdgt!$E$35:$EG$35,MATCH('Venture Summary - Mthly'!Y5-INDEX('Venture Assumptions'!$J$6:$J$40,MATCH($B$2,'Venture Assumptions'!$I$6:$I$40,0)),DevBdgt!$E$6:$EG$6,0)),0)</f>
        <v>126565.92720762049</v>
      </c>
      <c r="Z147" s="798">
        <f>IFERROR(INDEX(DevBdgt!$E$35:$EG$35,MATCH('Venture Summary - Mthly'!Z5-INDEX('Venture Assumptions'!$J$6:$J$40,MATCH($B$2,'Venture Assumptions'!$I$6:$I$40,0)),DevBdgt!$E$6:$EG$6,0)),0)</f>
        <v>93159.022734660248</v>
      </c>
      <c r="AA147" s="798">
        <f>IFERROR(INDEX(DevBdgt!$E$35:$EG$35,MATCH('Venture Summary - Mthly'!AA5-INDEX('Venture Assumptions'!$J$6:$J$40,MATCH($B$2,'Venture Assumptions'!$I$6:$I$40,0)),DevBdgt!$E$6:$EG$6,0)),0)</f>
        <v>49426.25748972423</v>
      </c>
      <c r="AB147" s="798">
        <f>IFERROR(INDEX(DevBdgt!$E$35:$EG$35,MATCH('Venture Summary - Mthly'!AB5-INDEX('Venture Assumptions'!$J$6:$J$40,MATCH($B$2,'Venture Assumptions'!$I$6:$I$40,0)),DevBdgt!$E$6:$EG$6,0)),0)</f>
        <v>3883.9078558211913</v>
      </c>
      <c r="AC147" s="798">
        <f>IFERROR(INDEX(DevBdgt!$E$35:$EG$35,MATCH('Venture Summary - Mthly'!AC5-INDEX('Venture Assumptions'!$J$6:$J$40,MATCH($B$2,'Venture Assumptions'!$I$6:$I$40,0)),DevBdgt!$E$6:$EG$6,0)),0)</f>
        <v>0</v>
      </c>
      <c r="AD147" s="798">
        <f>IFERROR(INDEX(DevBdgt!$E$35:$EG$35,MATCH('Venture Summary - Mthly'!AD5-INDEX('Venture Assumptions'!$J$6:$J$40,MATCH($B$2,'Venture Assumptions'!$I$6:$I$40,0)),DevBdgt!$E$6:$EG$6,0)),0)</f>
        <v>0</v>
      </c>
      <c r="AE147" s="798">
        <f>IFERROR(INDEX(DevBdgt!$E$35:$EG$35,MATCH('Venture Summary - Mthly'!AE5-INDEX('Venture Assumptions'!$J$6:$J$40,MATCH($B$2,'Venture Assumptions'!$I$6:$I$40,0)),DevBdgt!$E$6:$EG$6,0)),0)</f>
        <v>0</v>
      </c>
      <c r="AF147" s="798">
        <f>IFERROR(INDEX(DevBdgt!$E$35:$EG$35,MATCH('Venture Summary - Mthly'!AF5-INDEX('Venture Assumptions'!$J$6:$J$40,MATCH($B$2,'Venture Assumptions'!$I$6:$I$40,0)),DevBdgt!$E$6:$EG$6,0)),0)</f>
        <v>0</v>
      </c>
      <c r="AG147" s="798">
        <f>IFERROR(INDEX(DevBdgt!$E$35:$EG$35,MATCH('Venture Summary - Mthly'!AG5-INDEX('Venture Assumptions'!$J$6:$J$40,MATCH($B$2,'Venture Assumptions'!$I$6:$I$40,0)),DevBdgt!$E$6:$EG$6,0)),0)</f>
        <v>0</v>
      </c>
      <c r="AH147" s="798">
        <f>IFERROR(INDEX(DevBdgt!$E$35:$EG$35,MATCH('Venture Summary - Mthly'!AH5-INDEX('Venture Assumptions'!$J$6:$J$40,MATCH($B$2,'Venture Assumptions'!$I$6:$I$40,0)),DevBdgt!$E$6:$EG$6,0)),0)</f>
        <v>0</v>
      </c>
      <c r="AI147" s="798">
        <f>IFERROR(INDEX(DevBdgt!$E$35:$EG$35,MATCH('Venture Summary - Mthly'!AI5-INDEX('Venture Assumptions'!$J$6:$J$40,MATCH($B$2,'Venture Assumptions'!$I$6:$I$40,0)),DevBdgt!$E$6:$EG$6,0)),0)</f>
        <v>0</v>
      </c>
      <c r="AJ147" s="798">
        <f>IFERROR(INDEX(DevBdgt!$E$35:$EG$35,MATCH('Venture Summary - Mthly'!AJ5-INDEX('Venture Assumptions'!$J$6:$J$40,MATCH($B$2,'Venture Assumptions'!$I$6:$I$40,0)),DevBdgt!$E$6:$EG$6,0)),0)</f>
        <v>0</v>
      </c>
      <c r="AK147" s="798">
        <f>IFERROR(INDEX(DevBdgt!$E$35:$EG$35,MATCH('Venture Summary - Mthly'!AK5-INDEX('Venture Assumptions'!$J$6:$J$40,MATCH($B$2,'Venture Assumptions'!$I$6:$I$40,0)),DevBdgt!$E$6:$EG$6,0)),0)</f>
        <v>0</v>
      </c>
      <c r="AL147" s="798">
        <f>IFERROR(INDEX(DevBdgt!$E$35:$EG$35,MATCH('Venture Summary - Mthly'!AL5-INDEX('Venture Assumptions'!$J$6:$J$40,MATCH($B$2,'Venture Assumptions'!$I$6:$I$40,0)),DevBdgt!$E$6:$EG$6,0)),0)</f>
        <v>0</v>
      </c>
      <c r="AM147" s="798">
        <f>IFERROR(INDEX(DevBdgt!$E$35:$EG$35,MATCH('Venture Summary - Mthly'!AM5-INDEX('Venture Assumptions'!$J$6:$J$40,MATCH($B$2,'Venture Assumptions'!$I$6:$I$40,0)),DevBdgt!$E$6:$EG$6,0)),0)</f>
        <v>0</v>
      </c>
      <c r="AN147" s="798">
        <f>IFERROR(INDEX(DevBdgt!$E$35:$EG$35,MATCH('Venture Summary - Mthly'!AN5-INDEX('Venture Assumptions'!$J$6:$J$40,MATCH($B$2,'Venture Assumptions'!$I$6:$I$40,0)),DevBdgt!$E$6:$EG$6,0)),0)</f>
        <v>0</v>
      </c>
      <c r="AO147" s="798">
        <f>IFERROR(INDEX(DevBdgt!$E$35:$EG$35,MATCH('Venture Summary - Mthly'!AO5-INDEX('Venture Assumptions'!$J$6:$J$40,MATCH($B$2,'Venture Assumptions'!$I$6:$I$40,0)),DevBdgt!$E$6:$EG$6,0)),0)</f>
        <v>0</v>
      </c>
      <c r="AP147" s="798">
        <f>IFERROR(INDEX(DevBdgt!$E$35:$EG$35,MATCH('Venture Summary - Mthly'!AP5-INDEX('Venture Assumptions'!$J$6:$J$40,MATCH($B$2,'Venture Assumptions'!$I$6:$I$40,0)),DevBdgt!$E$6:$EG$6,0)),0)</f>
        <v>0</v>
      </c>
      <c r="AQ147" s="798">
        <f>IFERROR(INDEX(DevBdgt!$E$35:$EG$35,MATCH('Venture Summary - Mthly'!AQ5-INDEX('Venture Assumptions'!$J$6:$J$40,MATCH($B$2,'Venture Assumptions'!$I$6:$I$40,0)),DevBdgt!$E$6:$EG$6,0)),0)</f>
        <v>0</v>
      </c>
      <c r="AR147" s="798">
        <f>IFERROR(INDEX(DevBdgt!$E$35:$EG$35,MATCH('Venture Summary - Mthly'!AR5-INDEX('Venture Assumptions'!$J$6:$J$40,MATCH($B$2,'Venture Assumptions'!$I$6:$I$40,0)),DevBdgt!$E$6:$EG$6,0)),0)</f>
        <v>0</v>
      </c>
      <c r="AS147" s="798">
        <f>IFERROR(INDEX(DevBdgt!$E$35:$EG$35,MATCH('Venture Summary - Mthly'!AS5-INDEX('Venture Assumptions'!$J$6:$J$40,MATCH($B$2,'Venture Assumptions'!$I$6:$I$40,0)),DevBdgt!$E$6:$EG$6,0)),0)</f>
        <v>0</v>
      </c>
      <c r="AT147" s="798">
        <f>IFERROR(INDEX(DevBdgt!$E$35:$EG$35,MATCH('Venture Summary - Mthly'!AT5-INDEX('Venture Assumptions'!$J$6:$J$40,MATCH($B$2,'Venture Assumptions'!$I$6:$I$40,0)),DevBdgt!$E$6:$EG$6,0)),0)</f>
        <v>0</v>
      </c>
      <c r="AU147" s="798">
        <f>IFERROR(INDEX(DevBdgt!$E$35:$EG$35,MATCH('Venture Summary - Mthly'!AU5-INDEX('Venture Assumptions'!$J$6:$J$40,MATCH($B$2,'Venture Assumptions'!$I$6:$I$40,0)),DevBdgt!$E$6:$EG$6,0)),0)</f>
        <v>0</v>
      </c>
      <c r="AV147" s="798">
        <f>IFERROR(INDEX(DevBdgt!$E$35:$EG$35,MATCH('Venture Summary - Mthly'!AV5-INDEX('Venture Assumptions'!$J$6:$J$40,MATCH($B$2,'Venture Assumptions'!$I$6:$I$40,0)),DevBdgt!$E$6:$EG$6,0)),0)</f>
        <v>0</v>
      </c>
      <c r="AW147" s="798">
        <f>IFERROR(INDEX(DevBdgt!$E$35:$EG$35,MATCH('Venture Summary - Mthly'!AW5-INDEX('Venture Assumptions'!$J$6:$J$40,MATCH($B$2,'Venture Assumptions'!$I$6:$I$40,0)),DevBdgt!$E$6:$EG$6,0)),0)</f>
        <v>0</v>
      </c>
      <c r="AX147" s="798">
        <f>IFERROR(INDEX(DevBdgt!$E$35:$EG$35,MATCH('Venture Summary - Mthly'!AX5-INDEX('Venture Assumptions'!$J$6:$J$40,MATCH($B$2,'Venture Assumptions'!$I$6:$I$40,0)),DevBdgt!$E$6:$EG$6,0)),0)</f>
        <v>0</v>
      </c>
      <c r="AY147" s="798">
        <f>IFERROR(INDEX(DevBdgt!$E$35:$EG$35,MATCH('Venture Summary - Mthly'!AY5-INDEX('Venture Assumptions'!$J$6:$J$40,MATCH($B$2,'Venture Assumptions'!$I$6:$I$40,0)),DevBdgt!$E$6:$EG$6,0)),0)</f>
        <v>0</v>
      </c>
      <c r="AZ147" s="798">
        <f>IFERROR(INDEX(DevBdgt!$E$35:$EG$35,MATCH('Venture Summary - Mthly'!AZ5-INDEX('Venture Assumptions'!$J$6:$J$40,MATCH($B$2,'Venture Assumptions'!$I$6:$I$40,0)),DevBdgt!$E$6:$EG$6,0)),0)</f>
        <v>0</v>
      </c>
      <c r="BA147" s="798">
        <f>IFERROR(INDEX(DevBdgt!$E$35:$EG$35,MATCH('Venture Summary - Mthly'!BA5-INDEX('Venture Assumptions'!$J$6:$J$40,MATCH($B$2,'Venture Assumptions'!$I$6:$I$40,0)),DevBdgt!$E$6:$EG$6,0)),0)</f>
        <v>0</v>
      </c>
      <c r="BB147" s="798">
        <f>IFERROR(INDEX(DevBdgt!$E$35:$EG$35,MATCH('Venture Summary - Mthly'!BB5-INDEX('Venture Assumptions'!$J$6:$J$40,MATCH($B$2,'Venture Assumptions'!$I$6:$I$40,0)),DevBdgt!$E$6:$EG$6,0)),0)</f>
        <v>0</v>
      </c>
      <c r="BC147" s="798">
        <f>IFERROR(INDEX(DevBdgt!$E$35:$EG$35,MATCH('Venture Summary - Mthly'!BC5-INDEX('Venture Assumptions'!$J$6:$J$40,MATCH($B$2,'Venture Assumptions'!$I$6:$I$40,0)),DevBdgt!$E$6:$EG$6,0)),0)</f>
        <v>0</v>
      </c>
      <c r="BD147" s="798">
        <f>IFERROR(INDEX(DevBdgt!$E$35:$EG$35,MATCH('Venture Summary - Mthly'!BD5-INDEX('Venture Assumptions'!$J$6:$J$40,MATCH($B$2,'Venture Assumptions'!$I$6:$I$40,0)),DevBdgt!$E$6:$EG$6,0)),0)</f>
        <v>0</v>
      </c>
      <c r="BE147" s="798">
        <f>IFERROR(INDEX(DevBdgt!$E$35:$EG$35,MATCH('Venture Summary - Mthly'!BE5-INDEX('Venture Assumptions'!$J$6:$J$40,MATCH($B$2,'Venture Assumptions'!$I$6:$I$40,0)),DevBdgt!$E$6:$EG$6,0)),0)</f>
        <v>0</v>
      </c>
      <c r="BF147" s="798">
        <f>IFERROR(INDEX(DevBdgt!$E$35:$EG$35,MATCH('Venture Summary - Mthly'!BF5-INDEX('Venture Assumptions'!$J$6:$J$40,MATCH($B$2,'Venture Assumptions'!$I$6:$I$40,0)),DevBdgt!$E$6:$EG$6,0)),0)</f>
        <v>0</v>
      </c>
      <c r="BG147" s="798">
        <f>IFERROR(INDEX(DevBdgt!$E$35:$EG$35,MATCH('Venture Summary - Mthly'!BG5-INDEX('Venture Assumptions'!$J$6:$J$40,MATCH($B$2,'Venture Assumptions'!$I$6:$I$40,0)),DevBdgt!$E$6:$EG$6,0)),0)</f>
        <v>0</v>
      </c>
      <c r="BH147" s="798">
        <f>IFERROR(INDEX(DevBdgt!$E$35:$EG$35,MATCH('Venture Summary - Mthly'!BH5-INDEX('Venture Assumptions'!$J$6:$J$40,MATCH($B$2,'Venture Assumptions'!$I$6:$I$40,0)),DevBdgt!$E$6:$EG$6,0)),0)</f>
        <v>0</v>
      </c>
      <c r="BI147" s="798">
        <f>IFERROR(INDEX(DevBdgt!$E$35:$EG$35,MATCH('Venture Summary - Mthly'!BI5-INDEX('Venture Assumptions'!$J$6:$J$40,MATCH($B$2,'Venture Assumptions'!$I$6:$I$40,0)),DevBdgt!$E$6:$EG$6,0)),0)</f>
        <v>0</v>
      </c>
      <c r="BJ147" s="798">
        <f>IFERROR(INDEX(DevBdgt!$E$35:$EG$35,MATCH('Venture Summary - Mthly'!BJ5-INDEX('Venture Assumptions'!$J$6:$J$40,MATCH($B$2,'Venture Assumptions'!$I$6:$I$40,0)),DevBdgt!$E$6:$EG$6,0)),0)</f>
        <v>0</v>
      </c>
      <c r="BK147" s="798">
        <f>IFERROR(INDEX(DevBdgt!$E$35:$EG$35,MATCH('Venture Summary - Mthly'!BK5-INDEX('Venture Assumptions'!$J$6:$J$40,MATCH($B$2,'Venture Assumptions'!$I$6:$I$40,0)),DevBdgt!$E$6:$EG$6,0)),0)</f>
        <v>0</v>
      </c>
      <c r="BL147" s="798">
        <f>IFERROR(INDEX(DevBdgt!$E$35:$EG$35,MATCH('Venture Summary - Mthly'!BL5-INDEX('Venture Assumptions'!$J$6:$J$40,MATCH($B$2,'Venture Assumptions'!$I$6:$I$40,0)),DevBdgt!$E$6:$EG$6,0)),0)</f>
        <v>0</v>
      </c>
      <c r="BM147" s="798">
        <f>IFERROR(INDEX(DevBdgt!$E$35:$EG$35,MATCH('Venture Summary - Mthly'!BM5-INDEX('Venture Assumptions'!$J$6:$J$40,MATCH($B$2,'Venture Assumptions'!$I$6:$I$40,0)),DevBdgt!$E$6:$EG$6,0)),0)</f>
        <v>0</v>
      </c>
      <c r="BN147" s="798">
        <f>IFERROR(INDEX(DevBdgt!$E$35:$EG$35,MATCH('Venture Summary - Mthly'!BN5-INDEX('Venture Assumptions'!$J$6:$J$40,MATCH($B$2,'Venture Assumptions'!$I$6:$I$40,0)),DevBdgt!$E$6:$EG$6,0)),0)</f>
        <v>0</v>
      </c>
      <c r="BO147" s="798">
        <f>IFERROR(INDEX(DevBdgt!$E$35:$EG$35,MATCH('Venture Summary - Mthly'!BO5-INDEX('Venture Assumptions'!$J$6:$J$40,MATCH($B$2,'Venture Assumptions'!$I$6:$I$40,0)),DevBdgt!$E$6:$EG$6,0)),0)</f>
        <v>0</v>
      </c>
      <c r="BP147" s="798">
        <f>IFERROR(INDEX(DevBdgt!$E$35:$EG$35,MATCH('Venture Summary - Mthly'!BP5-INDEX('Venture Assumptions'!$J$6:$J$40,MATCH($B$2,'Venture Assumptions'!$I$6:$I$40,0)),DevBdgt!$E$6:$EG$6,0)),0)</f>
        <v>0</v>
      </c>
      <c r="BQ147" s="798">
        <f>IFERROR(INDEX(DevBdgt!$E$35:$EG$35,MATCH('Venture Summary - Mthly'!BQ5-INDEX('Venture Assumptions'!$J$6:$J$40,MATCH($B$2,'Venture Assumptions'!$I$6:$I$40,0)),DevBdgt!$E$6:$EG$6,0)),0)</f>
        <v>0</v>
      </c>
      <c r="BR147" s="798">
        <f>IFERROR(INDEX(DevBdgt!$E$35:$EG$35,MATCH('Venture Summary - Mthly'!BR5-INDEX('Venture Assumptions'!$J$6:$J$40,MATCH($B$2,'Venture Assumptions'!$I$6:$I$40,0)),DevBdgt!$E$6:$EG$6,0)),0)</f>
        <v>0</v>
      </c>
      <c r="BS147" s="798">
        <f>IFERROR(INDEX(DevBdgt!$E$35:$EG$35,MATCH('Venture Summary - Mthly'!BS5-INDEX('Venture Assumptions'!$J$6:$J$40,MATCH($B$2,'Venture Assumptions'!$I$6:$I$40,0)),DevBdgt!$E$6:$EG$6,0)),0)</f>
        <v>0</v>
      </c>
      <c r="BT147" s="798">
        <f>IFERROR(INDEX(DevBdgt!$E$35:$EG$35,MATCH('Venture Summary - Mthly'!BT5-INDEX('Venture Assumptions'!$J$6:$J$40,MATCH($B$2,'Venture Assumptions'!$I$6:$I$40,0)),DevBdgt!$E$6:$EG$6,0)),0)</f>
        <v>0</v>
      </c>
      <c r="BU147" s="798">
        <f>IFERROR(INDEX(DevBdgt!$E$35:$EG$35,MATCH('Venture Summary - Mthly'!BU5-INDEX('Venture Assumptions'!$J$6:$J$40,MATCH($B$2,'Venture Assumptions'!$I$6:$I$40,0)),DevBdgt!$E$6:$EG$6,0)),0)</f>
        <v>0</v>
      </c>
      <c r="BV147" s="798">
        <f>IFERROR(INDEX(DevBdgt!$E$35:$EG$35,MATCH('Venture Summary - Mthly'!BV5-INDEX('Venture Assumptions'!$J$6:$J$40,MATCH($B$2,'Venture Assumptions'!$I$6:$I$40,0)),DevBdgt!$E$6:$EG$6,0)),0)</f>
        <v>0</v>
      </c>
      <c r="BW147" s="798">
        <f>IFERROR(INDEX(DevBdgt!$E$35:$EG$35,MATCH('Venture Summary - Mthly'!BW5-INDEX('Venture Assumptions'!$J$6:$J$40,MATCH($B$2,'Venture Assumptions'!$I$6:$I$40,0)),DevBdgt!$E$6:$EG$6,0)),0)</f>
        <v>0</v>
      </c>
      <c r="BX147" s="798">
        <f>IFERROR(INDEX(DevBdgt!$E$35:$EG$35,MATCH('Venture Summary - Mthly'!BX5-INDEX('Venture Assumptions'!$J$6:$J$40,MATCH($B$2,'Venture Assumptions'!$I$6:$I$40,0)),DevBdgt!$E$6:$EG$6,0)),0)</f>
        <v>0</v>
      </c>
      <c r="BY147" s="798">
        <f>IFERROR(INDEX(DevBdgt!$E$35:$EG$35,MATCH('Venture Summary - Mthly'!BY5-INDEX('Venture Assumptions'!$J$6:$J$40,MATCH($B$2,'Venture Assumptions'!$I$6:$I$40,0)),DevBdgt!$E$6:$EG$6,0)),0)</f>
        <v>0</v>
      </c>
      <c r="BZ147" s="798">
        <f>IFERROR(INDEX(DevBdgt!$E$35:$EG$35,MATCH('Venture Summary - Mthly'!BZ5-INDEX('Venture Assumptions'!$J$6:$J$40,MATCH($B$2,'Venture Assumptions'!$I$6:$I$40,0)),DevBdgt!$E$6:$EG$6,0)),0)</f>
        <v>0</v>
      </c>
      <c r="CA147" s="798">
        <f>IFERROR(INDEX(DevBdgt!$E$35:$EG$35,MATCH('Venture Summary - Mthly'!CA5-INDEX('Venture Assumptions'!$J$6:$J$40,MATCH($B$2,'Venture Assumptions'!$I$6:$I$40,0)),DevBdgt!$E$6:$EG$6,0)),0)</f>
        <v>0</v>
      </c>
      <c r="CB147" s="798">
        <f>IFERROR(INDEX(DevBdgt!$E$35:$EG$35,MATCH('Venture Summary - Mthly'!CB5-INDEX('Venture Assumptions'!$J$6:$J$40,MATCH($B$2,'Venture Assumptions'!$I$6:$I$40,0)),DevBdgt!$E$6:$EG$6,0)),0)</f>
        <v>0</v>
      </c>
      <c r="CC147" s="798">
        <f>IFERROR(INDEX(DevBdgt!$E$35:$EG$35,MATCH('Venture Summary - Mthly'!CC5-INDEX('Venture Assumptions'!$J$6:$J$40,MATCH($B$2,'Venture Assumptions'!$I$6:$I$40,0)),DevBdgt!$E$6:$EG$6,0)),0)</f>
        <v>0</v>
      </c>
      <c r="CD147" s="798">
        <f>IFERROR(INDEX(DevBdgt!$E$35:$EG$35,MATCH('Venture Summary - Mthly'!CD5-INDEX('Venture Assumptions'!$J$6:$J$40,MATCH($B$2,'Venture Assumptions'!$I$6:$I$40,0)),DevBdgt!$E$6:$EG$6,0)),0)</f>
        <v>0</v>
      </c>
      <c r="CE147" s="798">
        <f>IFERROR(INDEX(DevBdgt!$E$35:$EG$35,MATCH('Venture Summary - Mthly'!CE5-INDEX('Venture Assumptions'!$J$6:$J$40,MATCH($B$2,'Venture Assumptions'!$I$6:$I$40,0)),DevBdgt!$E$6:$EG$6,0)),0)</f>
        <v>0</v>
      </c>
      <c r="CF147" s="798">
        <f>IFERROR(INDEX(DevBdgt!$E$35:$EG$35,MATCH('Venture Summary - Mthly'!CF5-INDEX('Venture Assumptions'!$J$6:$J$40,MATCH($B$2,'Venture Assumptions'!$I$6:$I$40,0)),DevBdgt!$E$6:$EG$6,0)),0)</f>
        <v>0</v>
      </c>
      <c r="CG147" s="798">
        <f>IFERROR(INDEX(DevBdgt!$E$35:$EG$35,MATCH('Venture Summary - Mthly'!CG5-INDEX('Venture Assumptions'!$J$6:$J$40,MATCH($B$2,'Venture Assumptions'!$I$6:$I$40,0)),DevBdgt!$E$6:$EG$6,0)),0)</f>
        <v>0</v>
      </c>
      <c r="CH147" s="798">
        <f>IFERROR(INDEX(DevBdgt!$E$35:$EG$35,MATCH('Venture Summary - Mthly'!CH5-INDEX('Venture Assumptions'!$J$6:$J$40,MATCH($B$2,'Venture Assumptions'!$I$6:$I$40,0)),DevBdgt!$E$6:$EG$6,0)),0)</f>
        <v>0</v>
      </c>
      <c r="CI147" s="798">
        <f>IFERROR(INDEX(DevBdgt!$E$35:$EG$35,MATCH('Venture Summary - Mthly'!CI5-INDEX('Venture Assumptions'!$J$6:$J$40,MATCH($B$2,'Venture Assumptions'!$I$6:$I$40,0)),DevBdgt!$E$6:$EG$6,0)),0)</f>
        <v>0</v>
      </c>
      <c r="CJ147" s="798">
        <f>IFERROR(INDEX(DevBdgt!$E$35:$EG$35,MATCH('Venture Summary - Mthly'!CJ5-INDEX('Venture Assumptions'!$J$6:$J$40,MATCH($B$2,'Venture Assumptions'!$I$6:$I$40,0)),DevBdgt!$E$6:$EG$6,0)),0)</f>
        <v>0</v>
      </c>
      <c r="CK147" s="798">
        <f>IFERROR(INDEX(DevBdgt!$E$35:$EG$35,MATCH('Venture Summary - Mthly'!CK5-INDEX('Venture Assumptions'!$J$6:$J$40,MATCH($B$2,'Venture Assumptions'!$I$6:$I$40,0)),DevBdgt!$E$6:$EG$6,0)),0)</f>
        <v>0</v>
      </c>
      <c r="CL147" s="798">
        <f>IFERROR(INDEX(DevBdgt!$E$35:$EG$35,MATCH('Venture Summary - Mthly'!CL5-INDEX('Venture Assumptions'!$J$6:$J$40,MATCH($B$2,'Venture Assumptions'!$I$6:$I$40,0)),DevBdgt!$E$6:$EG$6,0)),0)</f>
        <v>0</v>
      </c>
      <c r="CM147" s="798">
        <f>IFERROR(INDEX(DevBdgt!$E$35:$EG$35,MATCH('Venture Summary - Mthly'!CM5-INDEX('Venture Assumptions'!$J$6:$J$40,MATCH($B$2,'Venture Assumptions'!$I$6:$I$40,0)),DevBdgt!$E$6:$EG$6,0)),0)</f>
        <v>0</v>
      </c>
      <c r="CN147" s="798">
        <f>IFERROR(INDEX(DevBdgt!$E$35:$EG$35,MATCH('Venture Summary - Mthly'!CN5-INDEX('Venture Assumptions'!$J$6:$J$40,MATCH($B$2,'Venture Assumptions'!$I$6:$I$40,0)),DevBdgt!$E$6:$EG$6,0)),0)</f>
        <v>0</v>
      </c>
      <c r="CO147" s="798">
        <f>IFERROR(INDEX(DevBdgt!$E$35:$EG$35,MATCH('Venture Summary - Mthly'!CO5-INDEX('Venture Assumptions'!$J$6:$J$40,MATCH($B$2,'Venture Assumptions'!$I$6:$I$40,0)),DevBdgt!$E$6:$EG$6,0)),0)</f>
        <v>0</v>
      </c>
      <c r="CP147" s="798">
        <f>IFERROR(INDEX(DevBdgt!$E$35:$EG$35,MATCH('Venture Summary - Mthly'!CP5-INDEX('Venture Assumptions'!$J$6:$J$40,MATCH($B$2,'Venture Assumptions'!$I$6:$I$40,0)),DevBdgt!$E$6:$EG$6,0)),0)</f>
        <v>0</v>
      </c>
      <c r="CQ147" s="798">
        <f>IFERROR(INDEX(DevBdgt!$E$35:$EG$35,MATCH('Venture Summary - Mthly'!CQ5-INDEX('Venture Assumptions'!$J$6:$J$40,MATCH($B$2,'Venture Assumptions'!$I$6:$I$40,0)),DevBdgt!$E$6:$EG$6,0)),0)</f>
        <v>0</v>
      </c>
      <c r="CR147" s="798">
        <f>IFERROR(INDEX(DevBdgt!$E$35:$EG$35,MATCH('Venture Summary - Mthly'!CR5-INDEX('Venture Assumptions'!$J$6:$J$40,MATCH($B$2,'Venture Assumptions'!$I$6:$I$40,0)),DevBdgt!$E$6:$EG$6,0)),0)</f>
        <v>0</v>
      </c>
      <c r="CS147" s="798">
        <f>IFERROR(INDEX(DevBdgt!$E$35:$EG$35,MATCH('Venture Summary - Mthly'!CS5-INDEX('Venture Assumptions'!$J$6:$J$40,MATCH($B$2,'Venture Assumptions'!$I$6:$I$40,0)),DevBdgt!$E$6:$EG$6,0)),0)</f>
        <v>0</v>
      </c>
      <c r="CT147" s="798">
        <f>IFERROR(INDEX(DevBdgt!$E$35:$EG$35,MATCH('Venture Summary - Mthly'!CT5-INDEX('Venture Assumptions'!$J$6:$J$40,MATCH($B$2,'Venture Assumptions'!$I$6:$I$40,0)),DevBdgt!$E$6:$EG$6,0)),0)</f>
        <v>0</v>
      </c>
      <c r="CU147" s="798">
        <f>IFERROR(INDEX(DevBdgt!$E$35:$EG$35,MATCH('Venture Summary - Mthly'!CU5-INDEX('Venture Assumptions'!$J$6:$J$40,MATCH($B$2,'Venture Assumptions'!$I$6:$I$40,0)),DevBdgt!$E$6:$EG$6,0)),0)</f>
        <v>0</v>
      </c>
      <c r="CV147" s="798">
        <f>IFERROR(INDEX(DevBdgt!$E$35:$EG$35,MATCH('Venture Summary - Mthly'!CV5-INDEX('Venture Assumptions'!$J$6:$J$40,MATCH($B$2,'Venture Assumptions'!$I$6:$I$40,0)),DevBdgt!$E$6:$EG$6,0)),0)</f>
        <v>0</v>
      </c>
      <c r="CW147" s="798">
        <f>IFERROR(INDEX(DevBdgt!$E$35:$EG$35,MATCH('Venture Summary - Mthly'!CW5-INDEX('Venture Assumptions'!$J$6:$J$40,MATCH($B$2,'Venture Assumptions'!$I$6:$I$40,0)),DevBdgt!$E$6:$EG$6,0)),0)</f>
        <v>0</v>
      </c>
      <c r="CX147" s="798">
        <f>IFERROR(INDEX(DevBdgt!$E$35:$EG$35,MATCH('Venture Summary - Mthly'!CX5-INDEX('Venture Assumptions'!$J$6:$J$40,MATCH($B$2,'Venture Assumptions'!$I$6:$I$40,0)),DevBdgt!$E$6:$EG$6,0)),0)</f>
        <v>0</v>
      </c>
      <c r="CY147" s="798">
        <f>IFERROR(INDEX(DevBdgt!$E$35:$EG$35,MATCH('Venture Summary - Mthly'!CY5-INDEX('Venture Assumptions'!$J$6:$J$40,MATCH($B$2,'Venture Assumptions'!$I$6:$I$40,0)),DevBdgt!$E$6:$EG$6,0)),0)</f>
        <v>0</v>
      </c>
      <c r="CZ147" s="798">
        <f>IFERROR(INDEX(DevBdgt!$E$35:$EG$35,MATCH('Venture Summary - Mthly'!CZ5-INDEX('Venture Assumptions'!$J$6:$J$40,MATCH($B$2,'Venture Assumptions'!$I$6:$I$40,0)),DevBdgt!$E$6:$EG$6,0)),0)</f>
        <v>0</v>
      </c>
      <c r="DA147" s="798">
        <f>IFERROR(INDEX(DevBdgt!$E$35:$EG$35,MATCH('Venture Summary - Mthly'!DA5-INDEX('Venture Assumptions'!$J$6:$J$40,MATCH($B$2,'Venture Assumptions'!$I$6:$I$40,0)),DevBdgt!$E$6:$EG$6,0)),0)</f>
        <v>0</v>
      </c>
      <c r="DB147" s="798">
        <f>IFERROR(INDEX(DevBdgt!$E$35:$EG$35,MATCH('Venture Summary - Mthly'!DB5-INDEX('Venture Assumptions'!$J$6:$J$40,MATCH($B$2,'Venture Assumptions'!$I$6:$I$40,0)),DevBdgt!$E$6:$EG$6,0)),0)</f>
        <v>0</v>
      </c>
      <c r="DC147" s="798">
        <f>IFERROR(INDEX(DevBdgt!$E$35:$EG$35,MATCH('Venture Summary - Mthly'!DC5-INDEX('Venture Assumptions'!$J$6:$J$40,MATCH($B$2,'Venture Assumptions'!$I$6:$I$40,0)),DevBdgt!$E$6:$EG$6,0)),0)</f>
        <v>0</v>
      </c>
      <c r="DD147" s="798">
        <f>IFERROR(INDEX(DevBdgt!$E$35:$EG$35,MATCH('Venture Summary - Mthly'!DD5-INDEX('Venture Assumptions'!$J$6:$J$40,MATCH($B$2,'Venture Assumptions'!$I$6:$I$40,0)),DevBdgt!$E$6:$EG$6,0)),0)</f>
        <v>0</v>
      </c>
      <c r="DE147" s="798">
        <f>IFERROR(INDEX(DevBdgt!$E$35:$EG$35,MATCH('Venture Summary - Mthly'!DE5-INDEX('Venture Assumptions'!$J$6:$J$40,MATCH($B$2,'Venture Assumptions'!$I$6:$I$40,0)),DevBdgt!$E$6:$EG$6,0)),0)</f>
        <v>0</v>
      </c>
      <c r="DF147" s="798">
        <f>IFERROR(INDEX(DevBdgt!$E$35:$EG$35,MATCH('Venture Summary - Mthly'!DF5-INDEX('Venture Assumptions'!$J$6:$J$40,MATCH($B$2,'Venture Assumptions'!$I$6:$I$40,0)),DevBdgt!$E$6:$EG$6,0)),0)</f>
        <v>0</v>
      </c>
      <c r="DG147" s="798">
        <f>IFERROR(INDEX(DevBdgt!$E$35:$EG$35,MATCH('Venture Summary - Mthly'!DG5-INDEX('Venture Assumptions'!$J$6:$J$40,MATCH($B$2,'Venture Assumptions'!$I$6:$I$40,0)),DevBdgt!$E$6:$EG$6,0)),0)</f>
        <v>0</v>
      </c>
      <c r="DH147" s="798">
        <f>IFERROR(INDEX(DevBdgt!$E$35:$EG$35,MATCH('Venture Summary - Mthly'!DH5-INDEX('Venture Assumptions'!$J$6:$J$40,MATCH($B$2,'Venture Assumptions'!$I$6:$I$40,0)),DevBdgt!$E$6:$EG$6,0)),0)</f>
        <v>0</v>
      </c>
      <c r="DI147" s="798">
        <f>IFERROR(INDEX(DevBdgt!$E$35:$EG$35,MATCH('Venture Summary - Mthly'!DI5-INDEX('Venture Assumptions'!$J$6:$J$40,MATCH($B$2,'Venture Assumptions'!$I$6:$I$40,0)),DevBdgt!$E$6:$EG$6,0)),0)</f>
        <v>0</v>
      </c>
      <c r="DJ147" s="798">
        <f>IFERROR(INDEX(DevBdgt!$E$35:$EG$35,MATCH('Venture Summary - Mthly'!DJ5-INDEX('Venture Assumptions'!$J$6:$J$40,MATCH($B$2,'Venture Assumptions'!$I$6:$I$40,0)),DevBdgt!$E$6:$EG$6,0)),0)</f>
        <v>0</v>
      </c>
      <c r="DK147" s="798">
        <f>IFERROR(INDEX(DevBdgt!$E$35:$EG$35,MATCH('Venture Summary - Mthly'!DK5-INDEX('Venture Assumptions'!$J$6:$J$40,MATCH($B$2,'Venture Assumptions'!$I$6:$I$40,0)),DevBdgt!$E$6:$EG$6,0)),0)</f>
        <v>0</v>
      </c>
      <c r="DL147" s="798">
        <f>IFERROR(INDEX(DevBdgt!$E$35:$EG$35,MATCH('Venture Summary - Mthly'!DL5-INDEX('Venture Assumptions'!$J$6:$J$40,MATCH($B$2,'Venture Assumptions'!$I$6:$I$40,0)),DevBdgt!$E$6:$EG$6,0)),0)</f>
        <v>0</v>
      </c>
      <c r="DM147" s="798">
        <f>IFERROR(INDEX(DevBdgt!$E$35:$EG$35,MATCH('Venture Summary - Mthly'!DM5-INDEX('Venture Assumptions'!$J$6:$J$40,MATCH($B$2,'Venture Assumptions'!$I$6:$I$40,0)),DevBdgt!$E$6:$EG$6,0)),0)</f>
        <v>0</v>
      </c>
      <c r="DN147" s="798">
        <f>IFERROR(INDEX(DevBdgt!$E$35:$EG$35,MATCH('Venture Summary - Mthly'!DN5-INDEX('Venture Assumptions'!$J$6:$J$40,MATCH($B$2,'Venture Assumptions'!$I$6:$I$40,0)),DevBdgt!$E$6:$EG$6,0)),0)</f>
        <v>0</v>
      </c>
      <c r="DO147" s="798">
        <f>IFERROR(INDEX(DevBdgt!$E$35:$EG$35,MATCH('Venture Summary - Mthly'!DO5-INDEX('Venture Assumptions'!$J$6:$J$40,MATCH($B$2,'Venture Assumptions'!$I$6:$I$40,0)),DevBdgt!$E$6:$EG$6,0)),0)</f>
        <v>0</v>
      </c>
      <c r="DP147" s="798">
        <f>IFERROR(INDEX(DevBdgt!$E$35:$EG$35,MATCH('Venture Summary - Mthly'!DP5-INDEX('Venture Assumptions'!$J$6:$J$40,MATCH($B$2,'Venture Assumptions'!$I$6:$I$40,0)),DevBdgt!$E$6:$EG$6,0)),0)</f>
        <v>0</v>
      </c>
      <c r="DQ147" s="798">
        <f>IFERROR(INDEX(DevBdgt!$E$35:$EG$35,MATCH('Venture Summary - Mthly'!DQ5-INDEX('Venture Assumptions'!$J$6:$J$40,MATCH($B$2,'Venture Assumptions'!$I$6:$I$40,0)),DevBdgt!$E$6:$EG$6,0)),0)</f>
        <v>0</v>
      </c>
      <c r="DR147" s="798">
        <f>IFERROR(INDEX(DevBdgt!$E$35:$EG$35,MATCH('Venture Summary - Mthly'!DR5-INDEX('Venture Assumptions'!$J$6:$J$40,MATCH($B$2,'Venture Assumptions'!$I$6:$I$40,0)),DevBdgt!$E$6:$EG$6,0)),0)</f>
        <v>0</v>
      </c>
      <c r="DS147" s="798">
        <f>IFERROR(INDEX(DevBdgt!$E$35:$EG$35,MATCH('Venture Summary - Mthly'!DS5-INDEX('Venture Assumptions'!$J$6:$J$40,MATCH($B$2,'Venture Assumptions'!$I$6:$I$40,0)),DevBdgt!$E$6:$EG$6,0)),0)</f>
        <v>0</v>
      </c>
      <c r="DT147" s="798">
        <f>IFERROR(INDEX(DevBdgt!$E$35:$EG$35,MATCH('Venture Summary - Mthly'!DT5-INDEX('Venture Assumptions'!$J$6:$J$40,MATCH($B$2,'Venture Assumptions'!$I$6:$I$40,0)),DevBdgt!$E$6:$EG$6,0)),0)</f>
        <v>0</v>
      </c>
      <c r="DU147" s="798">
        <f>IFERROR(INDEX(DevBdgt!$E$35:$EG$35,MATCH('Venture Summary - Mthly'!DU5-INDEX('Venture Assumptions'!$J$6:$J$40,MATCH($B$2,'Venture Assumptions'!$I$6:$I$40,0)),DevBdgt!$E$6:$EG$6,0)),0)</f>
        <v>0</v>
      </c>
      <c r="DV147" s="798">
        <f>IFERROR(INDEX(DevBdgt!$E$35:$EG$35,MATCH('Venture Summary - Mthly'!DV5-INDEX('Venture Assumptions'!$J$6:$J$40,MATCH($B$2,'Venture Assumptions'!$I$6:$I$40,0)),DevBdgt!$E$6:$EG$6,0)),0)</f>
        <v>0</v>
      </c>
      <c r="DW147" s="798">
        <f>IFERROR(INDEX(DevBdgt!$E$35:$EG$35,MATCH('Venture Summary - Mthly'!DW5-INDEX('Venture Assumptions'!$J$6:$J$40,MATCH($B$2,'Venture Assumptions'!$I$6:$I$40,0)),DevBdgt!$E$6:$EG$6,0)),0)</f>
        <v>0</v>
      </c>
      <c r="DX147" s="798">
        <f>IFERROR(INDEX(DevBdgt!$E$35:$EG$35,MATCH('Venture Summary - Mthly'!DX5-INDEX('Venture Assumptions'!$J$6:$J$40,MATCH($B$2,'Venture Assumptions'!$I$6:$I$40,0)),DevBdgt!$E$6:$EG$6,0)),0)</f>
        <v>0</v>
      </c>
      <c r="DY147" s="798">
        <f>IFERROR(INDEX(DevBdgt!$E$35:$EG$35,MATCH('Venture Summary - Mthly'!DY5-INDEX('Venture Assumptions'!$J$6:$J$40,MATCH($B$2,'Venture Assumptions'!$I$6:$I$40,0)),DevBdgt!$E$6:$EG$6,0)),0)</f>
        <v>0</v>
      </c>
      <c r="DZ147" s="798">
        <f>IFERROR(INDEX(DevBdgt!$E$35:$EG$35,MATCH('Venture Summary - Mthly'!DZ5-INDEX('Venture Assumptions'!$J$6:$J$40,MATCH($B$2,'Venture Assumptions'!$I$6:$I$40,0)),DevBdgt!$E$6:$EG$6,0)),0)</f>
        <v>0</v>
      </c>
      <c r="EA147" s="798">
        <f>IFERROR(INDEX(DevBdgt!$E$35:$EG$35,MATCH('Venture Summary - Mthly'!EA5-INDEX('Venture Assumptions'!$J$6:$J$40,MATCH($B$2,'Venture Assumptions'!$I$6:$I$40,0)),DevBdgt!$E$6:$EG$6,0)),0)</f>
        <v>0</v>
      </c>
      <c r="EB147" s="798">
        <f>IFERROR(INDEX(DevBdgt!$E$35:$EG$35,MATCH('Venture Summary - Mthly'!EB5-INDEX('Venture Assumptions'!$J$6:$J$40,MATCH($B$2,'Venture Assumptions'!$I$6:$I$40,0)),DevBdgt!$E$6:$EG$6,0)),0)</f>
        <v>0</v>
      </c>
      <c r="EC147" s="798">
        <f>IFERROR(INDEX(DevBdgt!$E$35:$EG$35,MATCH('Venture Summary - Mthly'!EC5-INDEX('Venture Assumptions'!$J$6:$J$40,MATCH($B$2,'Venture Assumptions'!$I$6:$I$40,0)),DevBdgt!$E$6:$EG$6,0)),0)</f>
        <v>0</v>
      </c>
      <c r="ED147" s="798">
        <f>IFERROR(INDEX(DevBdgt!$E$35:$EG$35,MATCH('Venture Summary - Mthly'!ED5-INDEX('Venture Assumptions'!$J$6:$J$40,MATCH($B$2,'Venture Assumptions'!$I$6:$I$40,0)),DevBdgt!$E$6:$EG$6,0)),0)</f>
        <v>0</v>
      </c>
      <c r="EE147" s="798">
        <f>IFERROR(INDEX(DevBdgt!$E$35:$EG$35,MATCH('Venture Summary - Mthly'!EE5-INDEX('Venture Assumptions'!$J$6:$J$40,MATCH($B$2,'Venture Assumptions'!$I$6:$I$40,0)),DevBdgt!$E$6:$EG$6,0)),0)</f>
        <v>0</v>
      </c>
      <c r="EF147" s="798">
        <f>IFERROR(INDEX(DevBdgt!$E$35:$EG$35,MATCH('Venture Summary - Mthly'!EF5-INDEX('Venture Assumptions'!$J$6:$J$40,MATCH($B$2,'Venture Assumptions'!$I$6:$I$40,0)),DevBdgt!$E$6:$EG$6,0)),0)</f>
        <v>0</v>
      </c>
      <c r="EG147" s="798">
        <f>IFERROR(INDEX(DevBdgt!$E$35:$EG$35,MATCH('Venture Summary - Mthly'!EG5-INDEX('Venture Assumptions'!$J$6:$J$40,MATCH($B$2,'Venture Assumptions'!$I$6:$I$40,0)),DevBdgt!$E$6:$EG$6,0)),0)</f>
        <v>0</v>
      </c>
      <c r="EH147" s="782"/>
    </row>
    <row r="148" spans="1:138" ht="12.75" customHeight="1" x14ac:dyDescent="0.3">
      <c r="A148" s="782"/>
      <c r="B148" s="782" t="s">
        <v>85</v>
      </c>
      <c r="C148" s="798">
        <f t="shared" si="131"/>
        <v>329080.53404430853</v>
      </c>
      <c r="D148" s="782"/>
      <c r="E148" s="798">
        <f>IFERROR(INDEX(DevBdgt!$E$40:$EG$40,MATCH('Venture Summary - Mthly'!E5-INDEX('Venture Assumptions'!$J$6:$J$40,MATCH($B$2,'Venture Assumptions'!$I$6:$I$40,0)),DevBdgt!$E$6:$EG$6,0)),0)</f>
        <v>0</v>
      </c>
      <c r="F148" s="798">
        <f>IFERROR(INDEX(DevBdgt!$E$40:$EG$40,MATCH('Venture Summary - Mthly'!F5-INDEX('Venture Assumptions'!$J$6:$J$40,MATCH($B$2,'Venture Assumptions'!$I$6:$I$40,0)),DevBdgt!$E$6:$EG$6,0)),0)</f>
        <v>0</v>
      </c>
      <c r="G148" s="798">
        <f>IFERROR(INDEX(DevBdgt!$E$40:$EG$40,MATCH('Venture Summary - Mthly'!G5-INDEX('Venture Assumptions'!$J$6:$J$40,MATCH($B$2,'Venture Assumptions'!$I$6:$I$40,0)),DevBdgt!$E$6:$EG$6,0)),0)</f>
        <v>0</v>
      </c>
      <c r="H148" s="798">
        <f>IFERROR(INDEX(DevBdgt!$E$40:$EG$40,MATCH('Venture Summary - Mthly'!H5-INDEX('Venture Assumptions'!$J$6:$J$40,MATCH($B$2,'Venture Assumptions'!$I$6:$I$40,0)),DevBdgt!$E$6:$EG$6,0)),0)</f>
        <v>0</v>
      </c>
      <c r="I148" s="798">
        <f>IFERROR(INDEX(DevBdgt!$E$40:$EG$40,MATCH('Venture Summary - Mthly'!I5-INDEX('Venture Assumptions'!$J$6:$J$40,MATCH($B$2,'Venture Assumptions'!$I$6:$I$40,0)),DevBdgt!$E$6:$EG$6,0)),0)</f>
        <v>0</v>
      </c>
      <c r="J148" s="798">
        <f>IFERROR(INDEX(DevBdgt!$E$40:$EG$40,MATCH('Venture Summary - Mthly'!J5-INDEX('Venture Assumptions'!$J$6:$J$40,MATCH($B$2,'Venture Assumptions'!$I$6:$I$40,0)),DevBdgt!$E$6:$EG$6,0)),0)</f>
        <v>0</v>
      </c>
      <c r="K148" s="798">
        <f>IFERROR(INDEX(DevBdgt!$E$40:$EG$40,MATCH('Venture Summary - Mthly'!K5-INDEX('Venture Assumptions'!$J$6:$J$40,MATCH($B$2,'Venture Assumptions'!$I$6:$I$40,0)),DevBdgt!$E$6:$EG$6,0)),0)</f>
        <v>0</v>
      </c>
      <c r="L148" s="798">
        <f>IFERROR(INDEX(DevBdgt!$E$40:$EG$40,MATCH('Venture Summary - Mthly'!L5-INDEX('Venture Assumptions'!$J$6:$J$40,MATCH($B$2,'Venture Assumptions'!$I$6:$I$40,0)),DevBdgt!$E$6:$EG$6,0)),0)</f>
        <v>0</v>
      </c>
      <c r="M148" s="798">
        <f>IFERROR(INDEX(DevBdgt!$E$40:$EG$40,MATCH('Venture Summary - Mthly'!M5-INDEX('Venture Assumptions'!$J$6:$J$40,MATCH($B$2,'Venture Assumptions'!$I$6:$I$40,0)),DevBdgt!$E$6:$EG$6,0)),0)</f>
        <v>0</v>
      </c>
      <c r="N148" s="798">
        <f>IFERROR(INDEX(DevBdgt!$E$40:$EG$40,MATCH('Venture Summary - Mthly'!N5-INDEX('Venture Assumptions'!$J$6:$J$40,MATCH($B$2,'Venture Assumptions'!$I$6:$I$40,0)),DevBdgt!$E$6:$EG$6,0)),0)</f>
        <v>0</v>
      </c>
      <c r="O148" s="798">
        <f>IFERROR(INDEX(DevBdgt!$E$40:$EG$40,MATCH('Venture Summary - Mthly'!O5-INDEX('Venture Assumptions'!$J$6:$J$40,MATCH($B$2,'Venture Assumptions'!$I$6:$I$40,0)),DevBdgt!$E$6:$EG$6,0)),0)</f>
        <v>0</v>
      </c>
      <c r="P148" s="798">
        <f>IFERROR(INDEX(DevBdgt!$E$40:$EG$40,MATCH('Venture Summary - Mthly'!P5-INDEX('Venture Assumptions'!$J$6:$J$40,MATCH($B$2,'Venture Assumptions'!$I$6:$I$40,0)),DevBdgt!$E$6:$EG$6,0)),0)</f>
        <v>0</v>
      </c>
      <c r="Q148" s="798">
        <f>IFERROR(INDEX(DevBdgt!$E$40:$EG$40,MATCH('Venture Summary - Mthly'!Q5-INDEX('Venture Assumptions'!$J$6:$J$40,MATCH($B$2,'Venture Assumptions'!$I$6:$I$40,0)),DevBdgt!$E$6:$EG$6,0)),0)</f>
        <v>0</v>
      </c>
      <c r="R148" s="798">
        <f>IFERROR(INDEX(DevBdgt!$E$40:$EG$40,MATCH('Venture Summary - Mthly'!R5-INDEX('Venture Assumptions'!$J$6:$J$40,MATCH($B$2,'Venture Assumptions'!$I$6:$I$40,0)),DevBdgt!$E$6:$EG$6,0)),0)</f>
        <v>0</v>
      </c>
      <c r="S148" s="798">
        <f>IFERROR(INDEX(DevBdgt!$E$40:$EG$40,MATCH('Venture Summary - Mthly'!S5-INDEX('Venture Assumptions'!$J$6:$J$40,MATCH($B$2,'Venture Assumptions'!$I$6:$I$40,0)),DevBdgt!$E$6:$EG$6,0)),0)</f>
        <v>79914.316796474115</v>
      </c>
      <c r="T148" s="798">
        <f>IFERROR(INDEX(DevBdgt!$E$40:$EG$40,MATCH('Venture Summary - Mthly'!T5-INDEX('Venture Assumptions'!$J$6:$J$40,MATCH($B$2,'Venture Assumptions'!$I$6:$I$40,0)),DevBdgt!$E$6:$EG$6,0)),0)</f>
        <v>82060.245337504777</v>
      </c>
      <c r="U148" s="798">
        <f>IFERROR(INDEX(DevBdgt!$E$40:$EG$40,MATCH('Venture Summary - Mthly'!U5-INDEX('Venture Assumptions'!$J$6:$J$40,MATCH($B$2,'Venture Assumptions'!$I$6:$I$40,0)),DevBdgt!$E$6:$EG$6,0)),0)</f>
        <v>86595.158524060025</v>
      </c>
      <c r="V148" s="798">
        <f>IFERROR(INDEX(DevBdgt!$E$40:$EG$40,MATCH('Venture Summary - Mthly'!V5-INDEX('Venture Assumptions'!$J$6:$J$40,MATCH($B$2,'Venture Assumptions'!$I$6:$I$40,0)),DevBdgt!$E$6:$EG$6,0)),0)</f>
        <v>56402.494005308195</v>
      </c>
      <c r="W148" s="798">
        <f>IFERROR(INDEX(DevBdgt!$E$40:$EG$40,MATCH('Venture Summary - Mthly'!W5-INDEX('Venture Assumptions'!$J$6:$J$40,MATCH($B$2,'Venture Assumptions'!$I$6:$I$40,0)),DevBdgt!$E$6:$EG$6,0)),0)</f>
        <v>24108.319380961417</v>
      </c>
      <c r="X148" s="798">
        <f>IFERROR(INDEX(DevBdgt!$E$40:$EG$40,MATCH('Venture Summary - Mthly'!X5-INDEX('Venture Assumptions'!$J$6:$J$40,MATCH($B$2,'Venture Assumptions'!$I$6:$I$40,0)),DevBdgt!$E$6:$EG$6,0)),0)</f>
        <v>0</v>
      </c>
      <c r="Y148" s="798">
        <f>IFERROR(INDEX(DevBdgt!$E$40:$EG$40,MATCH('Venture Summary - Mthly'!Y5-INDEX('Venture Assumptions'!$J$6:$J$40,MATCH($B$2,'Venture Assumptions'!$I$6:$I$40,0)),DevBdgt!$E$6:$EG$6,0)),0)</f>
        <v>0</v>
      </c>
      <c r="Z148" s="798">
        <f>IFERROR(INDEX(DevBdgt!$E$40:$EG$40,MATCH('Venture Summary - Mthly'!Z5-INDEX('Venture Assumptions'!$J$6:$J$40,MATCH($B$2,'Venture Assumptions'!$I$6:$I$40,0)),DevBdgt!$E$6:$EG$6,0)),0)</f>
        <v>0</v>
      </c>
      <c r="AA148" s="798">
        <f>IFERROR(INDEX(DevBdgt!$E$40:$EG$40,MATCH('Venture Summary - Mthly'!AA5-INDEX('Venture Assumptions'!$J$6:$J$40,MATCH($B$2,'Venture Assumptions'!$I$6:$I$40,0)),DevBdgt!$E$6:$EG$6,0)),0)</f>
        <v>0</v>
      </c>
      <c r="AB148" s="798">
        <f>IFERROR(INDEX(DevBdgt!$E$40:$EG$40,MATCH('Venture Summary - Mthly'!AB5-INDEX('Venture Assumptions'!$J$6:$J$40,MATCH($B$2,'Venture Assumptions'!$I$6:$I$40,0)),DevBdgt!$E$6:$EG$6,0)),0)</f>
        <v>0</v>
      </c>
      <c r="AC148" s="798">
        <f>IFERROR(INDEX(DevBdgt!$E$40:$EG$40,MATCH('Venture Summary - Mthly'!AC5-INDEX('Venture Assumptions'!$J$6:$J$40,MATCH($B$2,'Venture Assumptions'!$I$6:$I$40,0)),DevBdgt!$E$6:$EG$6,0)),0)</f>
        <v>0</v>
      </c>
      <c r="AD148" s="798">
        <f>IFERROR(INDEX(DevBdgt!$E$40:$EG$40,MATCH('Venture Summary - Mthly'!AD5-INDEX('Venture Assumptions'!$J$6:$J$40,MATCH($B$2,'Venture Assumptions'!$I$6:$I$40,0)),DevBdgt!$E$6:$EG$6,0)),0)</f>
        <v>0</v>
      </c>
      <c r="AE148" s="798">
        <f>IFERROR(INDEX(DevBdgt!$E$40:$EG$40,MATCH('Venture Summary - Mthly'!AE5-INDEX('Venture Assumptions'!$J$6:$J$40,MATCH($B$2,'Venture Assumptions'!$I$6:$I$40,0)),DevBdgt!$E$6:$EG$6,0)),0)</f>
        <v>0</v>
      </c>
      <c r="AF148" s="798">
        <f>IFERROR(INDEX(DevBdgt!$E$40:$EG$40,MATCH('Venture Summary - Mthly'!AF5-INDEX('Venture Assumptions'!$J$6:$J$40,MATCH($B$2,'Venture Assumptions'!$I$6:$I$40,0)),DevBdgt!$E$6:$EG$6,0)),0)</f>
        <v>0</v>
      </c>
      <c r="AG148" s="798">
        <f>IFERROR(INDEX(DevBdgt!$E$40:$EG$40,MATCH('Venture Summary - Mthly'!AG5-INDEX('Venture Assumptions'!$J$6:$J$40,MATCH($B$2,'Venture Assumptions'!$I$6:$I$40,0)),DevBdgt!$E$6:$EG$6,0)),0)</f>
        <v>0</v>
      </c>
      <c r="AH148" s="798">
        <f>IFERROR(INDEX(DevBdgt!$E$40:$EG$40,MATCH('Venture Summary - Mthly'!AH5-INDEX('Venture Assumptions'!$J$6:$J$40,MATCH($B$2,'Venture Assumptions'!$I$6:$I$40,0)),DevBdgt!$E$6:$EG$6,0)),0)</f>
        <v>0</v>
      </c>
      <c r="AI148" s="798">
        <f>IFERROR(INDEX(DevBdgt!$E$40:$EG$40,MATCH('Venture Summary - Mthly'!AI5-INDEX('Venture Assumptions'!$J$6:$J$40,MATCH($B$2,'Venture Assumptions'!$I$6:$I$40,0)),DevBdgt!$E$6:$EG$6,0)),0)</f>
        <v>0</v>
      </c>
      <c r="AJ148" s="798">
        <f>IFERROR(INDEX(DevBdgt!$E$40:$EG$40,MATCH('Venture Summary - Mthly'!AJ5-INDEX('Venture Assumptions'!$J$6:$J$40,MATCH($B$2,'Venture Assumptions'!$I$6:$I$40,0)),DevBdgt!$E$6:$EG$6,0)),0)</f>
        <v>0</v>
      </c>
      <c r="AK148" s="798">
        <f>IFERROR(INDEX(DevBdgt!$E$40:$EG$40,MATCH('Venture Summary - Mthly'!AK5-INDEX('Venture Assumptions'!$J$6:$J$40,MATCH($B$2,'Venture Assumptions'!$I$6:$I$40,0)),DevBdgt!$E$6:$EG$6,0)),0)</f>
        <v>0</v>
      </c>
      <c r="AL148" s="798">
        <f>IFERROR(INDEX(DevBdgt!$E$40:$EG$40,MATCH('Venture Summary - Mthly'!AL5-INDEX('Venture Assumptions'!$J$6:$J$40,MATCH($B$2,'Venture Assumptions'!$I$6:$I$40,0)),DevBdgt!$E$6:$EG$6,0)),0)</f>
        <v>0</v>
      </c>
      <c r="AM148" s="798">
        <f>IFERROR(INDEX(DevBdgt!$E$40:$EG$40,MATCH('Venture Summary - Mthly'!AM5-INDEX('Venture Assumptions'!$J$6:$J$40,MATCH($B$2,'Venture Assumptions'!$I$6:$I$40,0)),DevBdgt!$E$6:$EG$6,0)),0)</f>
        <v>0</v>
      </c>
      <c r="AN148" s="798">
        <f>IFERROR(INDEX(DevBdgt!$E$40:$EG$40,MATCH('Venture Summary - Mthly'!AN5-INDEX('Venture Assumptions'!$J$6:$J$40,MATCH($B$2,'Venture Assumptions'!$I$6:$I$40,0)),DevBdgt!$E$6:$EG$6,0)),0)</f>
        <v>0</v>
      </c>
      <c r="AO148" s="798">
        <f>IFERROR(INDEX(DevBdgt!$E$40:$EG$40,MATCH('Venture Summary - Mthly'!AO5-INDEX('Venture Assumptions'!$J$6:$J$40,MATCH($B$2,'Venture Assumptions'!$I$6:$I$40,0)),DevBdgt!$E$6:$EG$6,0)),0)</f>
        <v>0</v>
      </c>
      <c r="AP148" s="798">
        <f>IFERROR(INDEX(DevBdgt!$E$40:$EG$40,MATCH('Venture Summary - Mthly'!AP5-INDEX('Venture Assumptions'!$J$6:$J$40,MATCH($B$2,'Venture Assumptions'!$I$6:$I$40,0)),DevBdgt!$E$6:$EG$6,0)),0)</f>
        <v>0</v>
      </c>
      <c r="AQ148" s="798">
        <f>IFERROR(INDEX(DevBdgt!$E$40:$EG$40,MATCH('Venture Summary - Mthly'!AQ5-INDEX('Venture Assumptions'!$J$6:$J$40,MATCH($B$2,'Venture Assumptions'!$I$6:$I$40,0)),DevBdgt!$E$6:$EG$6,0)),0)</f>
        <v>0</v>
      </c>
      <c r="AR148" s="798">
        <f>IFERROR(INDEX(DevBdgt!$E$40:$EG$40,MATCH('Venture Summary - Mthly'!AR5-INDEX('Venture Assumptions'!$J$6:$J$40,MATCH($B$2,'Venture Assumptions'!$I$6:$I$40,0)),DevBdgt!$E$6:$EG$6,0)),0)</f>
        <v>0</v>
      </c>
      <c r="AS148" s="798">
        <f>IFERROR(INDEX(DevBdgt!$E$40:$EG$40,MATCH('Venture Summary - Mthly'!AS5-INDEX('Venture Assumptions'!$J$6:$J$40,MATCH($B$2,'Venture Assumptions'!$I$6:$I$40,0)),DevBdgt!$E$6:$EG$6,0)),0)</f>
        <v>0</v>
      </c>
      <c r="AT148" s="798">
        <f>IFERROR(INDEX(DevBdgt!$E$40:$EG$40,MATCH('Venture Summary - Mthly'!AT5-INDEX('Venture Assumptions'!$J$6:$J$40,MATCH($B$2,'Venture Assumptions'!$I$6:$I$40,0)),DevBdgt!$E$6:$EG$6,0)),0)</f>
        <v>0</v>
      </c>
      <c r="AU148" s="798">
        <f>IFERROR(INDEX(DevBdgt!$E$40:$EG$40,MATCH('Venture Summary - Mthly'!AU5-INDEX('Venture Assumptions'!$J$6:$J$40,MATCH($B$2,'Venture Assumptions'!$I$6:$I$40,0)),DevBdgt!$E$6:$EG$6,0)),0)</f>
        <v>0</v>
      </c>
      <c r="AV148" s="798">
        <f>IFERROR(INDEX(DevBdgt!$E$40:$EG$40,MATCH('Venture Summary - Mthly'!AV5-INDEX('Venture Assumptions'!$J$6:$J$40,MATCH($B$2,'Venture Assumptions'!$I$6:$I$40,0)),DevBdgt!$E$6:$EG$6,0)),0)</f>
        <v>0</v>
      </c>
      <c r="AW148" s="798">
        <f>IFERROR(INDEX(DevBdgt!$E$40:$EG$40,MATCH('Venture Summary - Mthly'!AW5-INDEX('Venture Assumptions'!$J$6:$J$40,MATCH($B$2,'Venture Assumptions'!$I$6:$I$40,0)),DevBdgt!$E$6:$EG$6,0)),0)</f>
        <v>0</v>
      </c>
      <c r="AX148" s="798">
        <f>IFERROR(INDEX(DevBdgt!$E$40:$EG$40,MATCH('Venture Summary - Mthly'!AX5-INDEX('Venture Assumptions'!$J$6:$J$40,MATCH($B$2,'Venture Assumptions'!$I$6:$I$40,0)),DevBdgt!$E$6:$EG$6,0)),0)</f>
        <v>0</v>
      </c>
      <c r="AY148" s="798">
        <f>IFERROR(INDEX(DevBdgt!$E$40:$EG$40,MATCH('Venture Summary - Mthly'!AY5-INDEX('Venture Assumptions'!$J$6:$J$40,MATCH($B$2,'Venture Assumptions'!$I$6:$I$40,0)),DevBdgt!$E$6:$EG$6,0)),0)</f>
        <v>0</v>
      </c>
      <c r="AZ148" s="798">
        <f>IFERROR(INDEX(DevBdgt!$E$40:$EG$40,MATCH('Venture Summary - Mthly'!AZ5-INDEX('Venture Assumptions'!$J$6:$J$40,MATCH($B$2,'Venture Assumptions'!$I$6:$I$40,0)),DevBdgt!$E$6:$EG$6,0)),0)</f>
        <v>0</v>
      </c>
      <c r="BA148" s="798">
        <f>IFERROR(INDEX(DevBdgt!$E$40:$EG$40,MATCH('Venture Summary - Mthly'!BA5-INDEX('Venture Assumptions'!$J$6:$J$40,MATCH($B$2,'Venture Assumptions'!$I$6:$I$40,0)),DevBdgt!$E$6:$EG$6,0)),0)</f>
        <v>0</v>
      </c>
      <c r="BB148" s="798">
        <f>IFERROR(INDEX(DevBdgt!$E$40:$EG$40,MATCH('Venture Summary - Mthly'!BB5-INDEX('Venture Assumptions'!$J$6:$J$40,MATCH($B$2,'Venture Assumptions'!$I$6:$I$40,0)),DevBdgt!$E$6:$EG$6,0)),0)</f>
        <v>0</v>
      </c>
      <c r="BC148" s="798">
        <f>IFERROR(INDEX(DevBdgt!$E$40:$EG$40,MATCH('Venture Summary - Mthly'!BC5-INDEX('Venture Assumptions'!$J$6:$J$40,MATCH($B$2,'Venture Assumptions'!$I$6:$I$40,0)),DevBdgt!$E$6:$EG$6,0)),0)</f>
        <v>0</v>
      </c>
      <c r="BD148" s="798">
        <f>IFERROR(INDEX(DevBdgt!$E$40:$EG$40,MATCH('Venture Summary - Mthly'!BD5-INDEX('Venture Assumptions'!$J$6:$J$40,MATCH($B$2,'Venture Assumptions'!$I$6:$I$40,0)),DevBdgt!$E$6:$EG$6,0)),0)</f>
        <v>0</v>
      </c>
      <c r="BE148" s="798">
        <f>IFERROR(INDEX(DevBdgt!$E$40:$EG$40,MATCH('Venture Summary - Mthly'!BE5-INDEX('Venture Assumptions'!$J$6:$J$40,MATCH($B$2,'Venture Assumptions'!$I$6:$I$40,0)),DevBdgt!$E$6:$EG$6,0)),0)</f>
        <v>0</v>
      </c>
      <c r="BF148" s="798">
        <f>IFERROR(INDEX(DevBdgt!$E$40:$EG$40,MATCH('Venture Summary - Mthly'!BF5-INDEX('Venture Assumptions'!$J$6:$J$40,MATCH($B$2,'Venture Assumptions'!$I$6:$I$40,0)),DevBdgt!$E$6:$EG$6,0)),0)</f>
        <v>0</v>
      </c>
      <c r="BG148" s="798">
        <f>IFERROR(INDEX(DevBdgt!$E$40:$EG$40,MATCH('Venture Summary - Mthly'!BG5-INDEX('Venture Assumptions'!$J$6:$J$40,MATCH($B$2,'Venture Assumptions'!$I$6:$I$40,0)),DevBdgt!$E$6:$EG$6,0)),0)</f>
        <v>0</v>
      </c>
      <c r="BH148" s="798">
        <f>IFERROR(INDEX(DevBdgt!$E$40:$EG$40,MATCH('Venture Summary - Mthly'!BH5-INDEX('Venture Assumptions'!$J$6:$J$40,MATCH($B$2,'Venture Assumptions'!$I$6:$I$40,0)),DevBdgt!$E$6:$EG$6,0)),0)</f>
        <v>0</v>
      </c>
      <c r="BI148" s="798">
        <f>IFERROR(INDEX(DevBdgt!$E$40:$EG$40,MATCH('Venture Summary - Mthly'!BI5-INDEX('Venture Assumptions'!$J$6:$J$40,MATCH($B$2,'Venture Assumptions'!$I$6:$I$40,0)),DevBdgt!$E$6:$EG$6,0)),0)</f>
        <v>0</v>
      </c>
      <c r="BJ148" s="798">
        <f>IFERROR(INDEX(DevBdgt!$E$40:$EG$40,MATCH('Venture Summary - Mthly'!BJ5-INDEX('Venture Assumptions'!$J$6:$J$40,MATCH($B$2,'Venture Assumptions'!$I$6:$I$40,0)),DevBdgt!$E$6:$EG$6,0)),0)</f>
        <v>0</v>
      </c>
      <c r="BK148" s="798">
        <f>IFERROR(INDEX(DevBdgt!$E$40:$EG$40,MATCH('Venture Summary - Mthly'!BK5-INDEX('Venture Assumptions'!$J$6:$J$40,MATCH($B$2,'Venture Assumptions'!$I$6:$I$40,0)),DevBdgt!$E$6:$EG$6,0)),0)</f>
        <v>0</v>
      </c>
      <c r="BL148" s="798">
        <f>IFERROR(INDEX(DevBdgt!$E$40:$EG$40,MATCH('Venture Summary - Mthly'!BL5-INDEX('Venture Assumptions'!$J$6:$J$40,MATCH($B$2,'Venture Assumptions'!$I$6:$I$40,0)),DevBdgt!$E$6:$EG$6,0)),0)</f>
        <v>0</v>
      </c>
      <c r="BM148" s="798">
        <f>IFERROR(INDEX(DevBdgt!$E$40:$EG$40,MATCH('Venture Summary - Mthly'!BM5-INDEX('Venture Assumptions'!$J$6:$J$40,MATCH($B$2,'Venture Assumptions'!$I$6:$I$40,0)),DevBdgt!$E$6:$EG$6,0)),0)</f>
        <v>0</v>
      </c>
      <c r="BN148" s="798">
        <f>IFERROR(INDEX(DevBdgt!$E$40:$EG$40,MATCH('Venture Summary - Mthly'!BN5-INDEX('Venture Assumptions'!$J$6:$J$40,MATCH($B$2,'Venture Assumptions'!$I$6:$I$40,0)),DevBdgt!$E$6:$EG$6,0)),0)</f>
        <v>0</v>
      </c>
      <c r="BO148" s="798">
        <f>IFERROR(INDEX(DevBdgt!$E$40:$EG$40,MATCH('Venture Summary - Mthly'!BO5-INDEX('Venture Assumptions'!$J$6:$J$40,MATCH($B$2,'Venture Assumptions'!$I$6:$I$40,0)),DevBdgt!$E$6:$EG$6,0)),0)</f>
        <v>0</v>
      </c>
      <c r="BP148" s="798">
        <f>IFERROR(INDEX(DevBdgt!$E$40:$EG$40,MATCH('Venture Summary - Mthly'!BP5-INDEX('Venture Assumptions'!$J$6:$J$40,MATCH($B$2,'Venture Assumptions'!$I$6:$I$40,0)),DevBdgt!$E$6:$EG$6,0)),0)</f>
        <v>0</v>
      </c>
      <c r="BQ148" s="798">
        <f>IFERROR(INDEX(DevBdgt!$E$40:$EG$40,MATCH('Venture Summary - Mthly'!BQ5-INDEX('Venture Assumptions'!$J$6:$J$40,MATCH($B$2,'Venture Assumptions'!$I$6:$I$40,0)),DevBdgt!$E$6:$EG$6,0)),0)</f>
        <v>0</v>
      </c>
      <c r="BR148" s="798">
        <f>IFERROR(INDEX(DevBdgt!$E$40:$EG$40,MATCH('Venture Summary - Mthly'!BR5-INDEX('Venture Assumptions'!$J$6:$J$40,MATCH($B$2,'Venture Assumptions'!$I$6:$I$40,0)),DevBdgt!$E$6:$EG$6,0)),0)</f>
        <v>0</v>
      </c>
      <c r="BS148" s="798">
        <f>IFERROR(INDEX(DevBdgt!$E$40:$EG$40,MATCH('Venture Summary - Mthly'!BS5-INDEX('Venture Assumptions'!$J$6:$J$40,MATCH($B$2,'Venture Assumptions'!$I$6:$I$40,0)),DevBdgt!$E$6:$EG$6,0)),0)</f>
        <v>0</v>
      </c>
      <c r="BT148" s="798">
        <f>IFERROR(INDEX(DevBdgt!$E$40:$EG$40,MATCH('Venture Summary - Mthly'!BT5-INDEX('Venture Assumptions'!$J$6:$J$40,MATCH($B$2,'Venture Assumptions'!$I$6:$I$40,0)),DevBdgt!$E$6:$EG$6,0)),0)</f>
        <v>0</v>
      </c>
      <c r="BU148" s="798">
        <f>IFERROR(INDEX(DevBdgt!$E$40:$EG$40,MATCH('Venture Summary - Mthly'!BU5-INDEX('Venture Assumptions'!$J$6:$J$40,MATCH($B$2,'Venture Assumptions'!$I$6:$I$40,0)),DevBdgt!$E$6:$EG$6,0)),0)</f>
        <v>0</v>
      </c>
      <c r="BV148" s="798">
        <f>IFERROR(INDEX(DevBdgt!$E$40:$EG$40,MATCH('Venture Summary - Mthly'!BV5-INDEX('Venture Assumptions'!$J$6:$J$40,MATCH($B$2,'Venture Assumptions'!$I$6:$I$40,0)),DevBdgt!$E$6:$EG$6,0)),0)</f>
        <v>0</v>
      </c>
      <c r="BW148" s="798">
        <f>IFERROR(INDEX(DevBdgt!$E$40:$EG$40,MATCH('Venture Summary - Mthly'!BW5-INDEX('Venture Assumptions'!$J$6:$J$40,MATCH($B$2,'Venture Assumptions'!$I$6:$I$40,0)),DevBdgt!$E$6:$EG$6,0)),0)</f>
        <v>0</v>
      </c>
      <c r="BX148" s="798">
        <f>IFERROR(INDEX(DevBdgt!$E$40:$EG$40,MATCH('Venture Summary - Mthly'!BX5-INDEX('Venture Assumptions'!$J$6:$J$40,MATCH($B$2,'Venture Assumptions'!$I$6:$I$40,0)),DevBdgt!$E$6:$EG$6,0)),0)</f>
        <v>0</v>
      </c>
      <c r="BY148" s="798">
        <f>IFERROR(INDEX(DevBdgt!$E$40:$EG$40,MATCH('Venture Summary - Mthly'!BY5-INDEX('Venture Assumptions'!$J$6:$J$40,MATCH($B$2,'Venture Assumptions'!$I$6:$I$40,0)),DevBdgt!$E$6:$EG$6,0)),0)</f>
        <v>0</v>
      </c>
      <c r="BZ148" s="798">
        <f>IFERROR(INDEX(DevBdgt!$E$40:$EG$40,MATCH('Venture Summary - Mthly'!BZ5-INDEX('Venture Assumptions'!$J$6:$J$40,MATCH($B$2,'Venture Assumptions'!$I$6:$I$40,0)),DevBdgt!$E$6:$EG$6,0)),0)</f>
        <v>0</v>
      </c>
      <c r="CA148" s="798">
        <f>IFERROR(INDEX(DevBdgt!$E$40:$EG$40,MATCH('Venture Summary - Mthly'!CA5-INDEX('Venture Assumptions'!$J$6:$J$40,MATCH($B$2,'Venture Assumptions'!$I$6:$I$40,0)),DevBdgt!$E$6:$EG$6,0)),0)</f>
        <v>0</v>
      </c>
      <c r="CB148" s="798">
        <f>IFERROR(INDEX(DevBdgt!$E$40:$EG$40,MATCH('Venture Summary - Mthly'!CB5-INDEX('Venture Assumptions'!$J$6:$J$40,MATCH($B$2,'Venture Assumptions'!$I$6:$I$40,0)),DevBdgt!$E$6:$EG$6,0)),0)</f>
        <v>0</v>
      </c>
      <c r="CC148" s="798">
        <f>IFERROR(INDEX(DevBdgt!$E$40:$EG$40,MATCH('Venture Summary - Mthly'!CC5-INDEX('Venture Assumptions'!$J$6:$J$40,MATCH($B$2,'Venture Assumptions'!$I$6:$I$40,0)),DevBdgt!$E$6:$EG$6,0)),0)</f>
        <v>0</v>
      </c>
      <c r="CD148" s="798">
        <f>IFERROR(INDEX(DevBdgt!$E$40:$EG$40,MATCH('Venture Summary - Mthly'!CD5-INDEX('Venture Assumptions'!$J$6:$J$40,MATCH($B$2,'Venture Assumptions'!$I$6:$I$40,0)),DevBdgt!$E$6:$EG$6,0)),0)</f>
        <v>0</v>
      </c>
      <c r="CE148" s="798">
        <f>IFERROR(INDEX(DevBdgt!$E$40:$EG$40,MATCH('Venture Summary - Mthly'!CE5-INDEX('Venture Assumptions'!$J$6:$J$40,MATCH($B$2,'Venture Assumptions'!$I$6:$I$40,0)),DevBdgt!$E$6:$EG$6,0)),0)</f>
        <v>0</v>
      </c>
      <c r="CF148" s="798">
        <f>IFERROR(INDEX(DevBdgt!$E$40:$EG$40,MATCH('Venture Summary - Mthly'!CF5-INDEX('Venture Assumptions'!$J$6:$J$40,MATCH($B$2,'Venture Assumptions'!$I$6:$I$40,0)),DevBdgt!$E$6:$EG$6,0)),0)</f>
        <v>0</v>
      </c>
      <c r="CG148" s="798">
        <f>IFERROR(INDEX(DevBdgt!$E$40:$EG$40,MATCH('Venture Summary - Mthly'!CG5-INDEX('Venture Assumptions'!$J$6:$J$40,MATCH($B$2,'Venture Assumptions'!$I$6:$I$40,0)),DevBdgt!$E$6:$EG$6,0)),0)</f>
        <v>0</v>
      </c>
      <c r="CH148" s="798">
        <f>IFERROR(INDEX(DevBdgt!$E$40:$EG$40,MATCH('Venture Summary - Mthly'!CH5-INDEX('Venture Assumptions'!$J$6:$J$40,MATCH($B$2,'Venture Assumptions'!$I$6:$I$40,0)),DevBdgt!$E$6:$EG$6,0)),0)</f>
        <v>0</v>
      </c>
      <c r="CI148" s="798">
        <f>IFERROR(INDEX(DevBdgt!$E$40:$EG$40,MATCH('Venture Summary - Mthly'!CI5-INDEX('Venture Assumptions'!$J$6:$J$40,MATCH($B$2,'Venture Assumptions'!$I$6:$I$40,0)),DevBdgt!$E$6:$EG$6,0)),0)</f>
        <v>0</v>
      </c>
      <c r="CJ148" s="798">
        <f>IFERROR(INDEX(DevBdgt!$E$40:$EG$40,MATCH('Venture Summary - Mthly'!CJ5-INDEX('Venture Assumptions'!$J$6:$J$40,MATCH($B$2,'Venture Assumptions'!$I$6:$I$40,0)),DevBdgt!$E$6:$EG$6,0)),0)</f>
        <v>0</v>
      </c>
      <c r="CK148" s="798">
        <f>IFERROR(INDEX(DevBdgt!$E$40:$EG$40,MATCH('Venture Summary - Mthly'!CK5-INDEX('Venture Assumptions'!$J$6:$J$40,MATCH($B$2,'Venture Assumptions'!$I$6:$I$40,0)),DevBdgt!$E$6:$EG$6,0)),0)</f>
        <v>0</v>
      </c>
      <c r="CL148" s="798">
        <f>IFERROR(INDEX(DevBdgt!$E$40:$EG$40,MATCH('Venture Summary - Mthly'!CL5-INDEX('Venture Assumptions'!$J$6:$J$40,MATCH($B$2,'Venture Assumptions'!$I$6:$I$40,0)),DevBdgt!$E$6:$EG$6,0)),0)</f>
        <v>0</v>
      </c>
      <c r="CM148" s="798">
        <f>IFERROR(INDEX(DevBdgt!$E$40:$EG$40,MATCH('Venture Summary - Mthly'!CM5-INDEX('Venture Assumptions'!$J$6:$J$40,MATCH($B$2,'Venture Assumptions'!$I$6:$I$40,0)),DevBdgt!$E$6:$EG$6,0)),0)</f>
        <v>0</v>
      </c>
      <c r="CN148" s="798">
        <f>IFERROR(INDEX(DevBdgt!$E$40:$EG$40,MATCH('Venture Summary - Mthly'!CN5-INDEX('Venture Assumptions'!$J$6:$J$40,MATCH($B$2,'Venture Assumptions'!$I$6:$I$40,0)),DevBdgt!$E$6:$EG$6,0)),0)</f>
        <v>0</v>
      </c>
      <c r="CO148" s="798">
        <f>IFERROR(INDEX(DevBdgt!$E$40:$EG$40,MATCH('Venture Summary - Mthly'!CO5-INDEX('Venture Assumptions'!$J$6:$J$40,MATCH($B$2,'Venture Assumptions'!$I$6:$I$40,0)),DevBdgt!$E$6:$EG$6,0)),0)</f>
        <v>0</v>
      </c>
      <c r="CP148" s="798">
        <f>IFERROR(INDEX(DevBdgt!$E$40:$EG$40,MATCH('Venture Summary - Mthly'!CP5-INDEX('Venture Assumptions'!$J$6:$J$40,MATCH($B$2,'Venture Assumptions'!$I$6:$I$40,0)),DevBdgt!$E$6:$EG$6,0)),0)</f>
        <v>0</v>
      </c>
      <c r="CQ148" s="798">
        <f>IFERROR(INDEX(DevBdgt!$E$40:$EG$40,MATCH('Venture Summary - Mthly'!CQ5-INDEX('Venture Assumptions'!$J$6:$J$40,MATCH($B$2,'Venture Assumptions'!$I$6:$I$40,0)),DevBdgt!$E$6:$EG$6,0)),0)</f>
        <v>0</v>
      </c>
      <c r="CR148" s="798">
        <f>IFERROR(INDEX(DevBdgt!$E$40:$EG$40,MATCH('Venture Summary - Mthly'!CR5-INDEX('Venture Assumptions'!$J$6:$J$40,MATCH($B$2,'Venture Assumptions'!$I$6:$I$40,0)),DevBdgt!$E$6:$EG$6,0)),0)</f>
        <v>0</v>
      </c>
      <c r="CS148" s="798">
        <f>IFERROR(INDEX(DevBdgt!$E$40:$EG$40,MATCH('Venture Summary - Mthly'!CS5-INDEX('Venture Assumptions'!$J$6:$J$40,MATCH($B$2,'Venture Assumptions'!$I$6:$I$40,0)),DevBdgt!$E$6:$EG$6,0)),0)</f>
        <v>0</v>
      </c>
      <c r="CT148" s="798">
        <f>IFERROR(INDEX(DevBdgt!$E$40:$EG$40,MATCH('Venture Summary - Mthly'!CT5-INDEX('Venture Assumptions'!$J$6:$J$40,MATCH($B$2,'Venture Assumptions'!$I$6:$I$40,0)),DevBdgt!$E$6:$EG$6,0)),0)</f>
        <v>0</v>
      </c>
      <c r="CU148" s="798">
        <f>IFERROR(INDEX(DevBdgt!$E$40:$EG$40,MATCH('Venture Summary - Mthly'!CU5-INDEX('Venture Assumptions'!$J$6:$J$40,MATCH($B$2,'Venture Assumptions'!$I$6:$I$40,0)),DevBdgt!$E$6:$EG$6,0)),0)</f>
        <v>0</v>
      </c>
      <c r="CV148" s="798">
        <f>IFERROR(INDEX(DevBdgt!$E$40:$EG$40,MATCH('Venture Summary - Mthly'!CV5-INDEX('Venture Assumptions'!$J$6:$J$40,MATCH($B$2,'Venture Assumptions'!$I$6:$I$40,0)),DevBdgt!$E$6:$EG$6,0)),0)</f>
        <v>0</v>
      </c>
      <c r="CW148" s="798">
        <f>IFERROR(INDEX(DevBdgt!$E$40:$EG$40,MATCH('Venture Summary - Mthly'!CW5-INDEX('Venture Assumptions'!$J$6:$J$40,MATCH($B$2,'Venture Assumptions'!$I$6:$I$40,0)),DevBdgt!$E$6:$EG$6,0)),0)</f>
        <v>0</v>
      </c>
      <c r="CX148" s="798">
        <f>IFERROR(INDEX(DevBdgt!$E$40:$EG$40,MATCH('Venture Summary - Mthly'!CX5-INDEX('Venture Assumptions'!$J$6:$J$40,MATCH($B$2,'Venture Assumptions'!$I$6:$I$40,0)),DevBdgt!$E$6:$EG$6,0)),0)</f>
        <v>0</v>
      </c>
      <c r="CY148" s="798">
        <f>IFERROR(INDEX(DevBdgt!$E$40:$EG$40,MATCH('Venture Summary - Mthly'!CY5-INDEX('Venture Assumptions'!$J$6:$J$40,MATCH($B$2,'Venture Assumptions'!$I$6:$I$40,0)),DevBdgt!$E$6:$EG$6,0)),0)</f>
        <v>0</v>
      </c>
      <c r="CZ148" s="798">
        <f>IFERROR(INDEX(DevBdgt!$E$40:$EG$40,MATCH('Venture Summary - Mthly'!CZ5-INDEX('Venture Assumptions'!$J$6:$J$40,MATCH($B$2,'Venture Assumptions'!$I$6:$I$40,0)),DevBdgt!$E$6:$EG$6,0)),0)</f>
        <v>0</v>
      </c>
      <c r="DA148" s="798">
        <f>IFERROR(INDEX(DevBdgt!$E$40:$EG$40,MATCH('Venture Summary - Mthly'!DA5-INDEX('Venture Assumptions'!$J$6:$J$40,MATCH($B$2,'Venture Assumptions'!$I$6:$I$40,0)),DevBdgt!$E$6:$EG$6,0)),0)</f>
        <v>0</v>
      </c>
      <c r="DB148" s="798">
        <f>IFERROR(INDEX(DevBdgt!$E$40:$EG$40,MATCH('Venture Summary - Mthly'!DB5-INDEX('Venture Assumptions'!$J$6:$J$40,MATCH($B$2,'Venture Assumptions'!$I$6:$I$40,0)),DevBdgt!$E$6:$EG$6,0)),0)</f>
        <v>0</v>
      </c>
      <c r="DC148" s="798">
        <f>IFERROR(INDEX(DevBdgt!$E$40:$EG$40,MATCH('Venture Summary - Mthly'!DC5-INDEX('Venture Assumptions'!$J$6:$J$40,MATCH($B$2,'Venture Assumptions'!$I$6:$I$40,0)),DevBdgt!$E$6:$EG$6,0)),0)</f>
        <v>0</v>
      </c>
      <c r="DD148" s="798">
        <f>IFERROR(INDEX(DevBdgt!$E$40:$EG$40,MATCH('Venture Summary - Mthly'!DD5-INDEX('Venture Assumptions'!$J$6:$J$40,MATCH($B$2,'Venture Assumptions'!$I$6:$I$40,0)),DevBdgt!$E$6:$EG$6,0)),0)</f>
        <v>0</v>
      </c>
      <c r="DE148" s="798">
        <f>IFERROR(INDEX(DevBdgt!$E$40:$EG$40,MATCH('Venture Summary - Mthly'!DE5-INDEX('Venture Assumptions'!$J$6:$J$40,MATCH($B$2,'Venture Assumptions'!$I$6:$I$40,0)),DevBdgt!$E$6:$EG$6,0)),0)</f>
        <v>0</v>
      </c>
      <c r="DF148" s="798">
        <f>IFERROR(INDEX(DevBdgt!$E$40:$EG$40,MATCH('Venture Summary - Mthly'!DF5-INDEX('Venture Assumptions'!$J$6:$J$40,MATCH($B$2,'Venture Assumptions'!$I$6:$I$40,0)),DevBdgt!$E$6:$EG$6,0)),0)</f>
        <v>0</v>
      </c>
      <c r="DG148" s="798">
        <f>IFERROR(INDEX(DevBdgt!$E$40:$EG$40,MATCH('Venture Summary - Mthly'!DG5-INDEX('Venture Assumptions'!$J$6:$J$40,MATCH($B$2,'Venture Assumptions'!$I$6:$I$40,0)),DevBdgt!$E$6:$EG$6,0)),0)</f>
        <v>0</v>
      </c>
      <c r="DH148" s="798">
        <f>IFERROR(INDEX(DevBdgt!$E$40:$EG$40,MATCH('Venture Summary - Mthly'!DH5-INDEX('Venture Assumptions'!$J$6:$J$40,MATCH($B$2,'Venture Assumptions'!$I$6:$I$40,0)),DevBdgt!$E$6:$EG$6,0)),0)</f>
        <v>0</v>
      </c>
      <c r="DI148" s="798">
        <f>IFERROR(INDEX(DevBdgt!$E$40:$EG$40,MATCH('Venture Summary - Mthly'!DI5-INDEX('Venture Assumptions'!$J$6:$J$40,MATCH($B$2,'Venture Assumptions'!$I$6:$I$40,0)),DevBdgt!$E$6:$EG$6,0)),0)</f>
        <v>0</v>
      </c>
      <c r="DJ148" s="798">
        <f>IFERROR(INDEX(DevBdgt!$E$40:$EG$40,MATCH('Venture Summary - Mthly'!DJ5-INDEX('Venture Assumptions'!$J$6:$J$40,MATCH($B$2,'Venture Assumptions'!$I$6:$I$40,0)),DevBdgt!$E$6:$EG$6,0)),0)</f>
        <v>0</v>
      </c>
      <c r="DK148" s="798">
        <f>IFERROR(INDEX(DevBdgt!$E$40:$EG$40,MATCH('Venture Summary - Mthly'!DK5-INDEX('Venture Assumptions'!$J$6:$J$40,MATCH($B$2,'Venture Assumptions'!$I$6:$I$40,0)),DevBdgt!$E$6:$EG$6,0)),0)</f>
        <v>0</v>
      </c>
      <c r="DL148" s="798">
        <f>IFERROR(INDEX(DevBdgt!$E$40:$EG$40,MATCH('Venture Summary - Mthly'!DL5-INDEX('Venture Assumptions'!$J$6:$J$40,MATCH($B$2,'Venture Assumptions'!$I$6:$I$40,0)),DevBdgt!$E$6:$EG$6,0)),0)</f>
        <v>0</v>
      </c>
      <c r="DM148" s="798">
        <f>IFERROR(INDEX(DevBdgt!$E$40:$EG$40,MATCH('Venture Summary - Mthly'!DM5-INDEX('Venture Assumptions'!$J$6:$J$40,MATCH($B$2,'Venture Assumptions'!$I$6:$I$40,0)),DevBdgt!$E$6:$EG$6,0)),0)</f>
        <v>0</v>
      </c>
      <c r="DN148" s="798">
        <f>IFERROR(INDEX(DevBdgt!$E$40:$EG$40,MATCH('Venture Summary - Mthly'!DN5-INDEX('Venture Assumptions'!$J$6:$J$40,MATCH($B$2,'Venture Assumptions'!$I$6:$I$40,0)),DevBdgt!$E$6:$EG$6,0)),0)</f>
        <v>0</v>
      </c>
      <c r="DO148" s="798">
        <f>IFERROR(INDEX(DevBdgt!$E$40:$EG$40,MATCH('Venture Summary - Mthly'!DO5-INDEX('Venture Assumptions'!$J$6:$J$40,MATCH($B$2,'Venture Assumptions'!$I$6:$I$40,0)),DevBdgt!$E$6:$EG$6,0)),0)</f>
        <v>0</v>
      </c>
      <c r="DP148" s="798">
        <f>IFERROR(INDEX(DevBdgt!$E$40:$EG$40,MATCH('Venture Summary - Mthly'!DP5-INDEX('Venture Assumptions'!$J$6:$J$40,MATCH($B$2,'Venture Assumptions'!$I$6:$I$40,0)),DevBdgt!$E$6:$EG$6,0)),0)</f>
        <v>0</v>
      </c>
      <c r="DQ148" s="798">
        <f>IFERROR(INDEX(DevBdgt!$E$40:$EG$40,MATCH('Venture Summary - Mthly'!DQ5-INDEX('Venture Assumptions'!$J$6:$J$40,MATCH($B$2,'Venture Assumptions'!$I$6:$I$40,0)),DevBdgt!$E$6:$EG$6,0)),0)</f>
        <v>0</v>
      </c>
      <c r="DR148" s="798">
        <f>IFERROR(INDEX(DevBdgt!$E$40:$EG$40,MATCH('Venture Summary - Mthly'!DR5-INDEX('Venture Assumptions'!$J$6:$J$40,MATCH($B$2,'Venture Assumptions'!$I$6:$I$40,0)),DevBdgt!$E$6:$EG$6,0)),0)</f>
        <v>0</v>
      </c>
      <c r="DS148" s="798">
        <f>IFERROR(INDEX(DevBdgt!$E$40:$EG$40,MATCH('Venture Summary - Mthly'!DS5-INDEX('Venture Assumptions'!$J$6:$J$40,MATCH($B$2,'Venture Assumptions'!$I$6:$I$40,0)),DevBdgt!$E$6:$EG$6,0)),0)</f>
        <v>0</v>
      </c>
      <c r="DT148" s="798">
        <f>IFERROR(INDEX(DevBdgt!$E$40:$EG$40,MATCH('Venture Summary - Mthly'!DT5-INDEX('Venture Assumptions'!$J$6:$J$40,MATCH($B$2,'Venture Assumptions'!$I$6:$I$40,0)),DevBdgt!$E$6:$EG$6,0)),0)</f>
        <v>0</v>
      </c>
      <c r="DU148" s="798">
        <f>IFERROR(INDEX(DevBdgt!$E$40:$EG$40,MATCH('Venture Summary - Mthly'!DU5-INDEX('Venture Assumptions'!$J$6:$J$40,MATCH($B$2,'Venture Assumptions'!$I$6:$I$40,0)),DevBdgt!$E$6:$EG$6,0)),0)</f>
        <v>0</v>
      </c>
      <c r="DV148" s="798">
        <f>IFERROR(INDEX(DevBdgt!$E$40:$EG$40,MATCH('Venture Summary - Mthly'!DV5-INDEX('Venture Assumptions'!$J$6:$J$40,MATCH($B$2,'Venture Assumptions'!$I$6:$I$40,0)),DevBdgt!$E$6:$EG$6,0)),0)</f>
        <v>0</v>
      </c>
      <c r="DW148" s="798">
        <f>IFERROR(INDEX(DevBdgt!$E$40:$EG$40,MATCH('Venture Summary - Mthly'!DW5-INDEX('Venture Assumptions'!$J$6:$J$40,MATCH($B$2,'Venture Assumptions'!$I$6:$I$40,0)),DevBdgt!$E$6:$EG$6,0)),0)</f>
        <v>0</v>
      </c>
      <c r="DX148" s="798">
        <f>IFERROR(INDEX(DevBdgt!$E$40:$EG$40,MATCH('Venture Summary - Mthly'!DX5-INDEX('Venture Assumptions'!$J$6:$J$40,MATCH($B$2,'Venture Assumptions'!$I$6:$I$40,0)),DevBdgt!$E$6:$EG$6,0)),0)</f>
        <v>0</v>
      </c>
      <c r="DY148" s="798">
        <f>IFERROR(INDEX(DevBdgt!$E$40:$EG$40,MATCH('Venture Summary - Mthly'!DY5-INDEX('Venture Assumptions'!$J$6:$J$40,MATCH($B$2,'Venture Assumptions'!$I$6:$I$40,0)),DevBdgt!$E$6:$EG$6,0)),0)</f>
        <v>0</v>
      </c>
      <c r="DZ148" s="798">
        <f>IFERROR(INDEX(DevBdgt!$E$40:$EG$40,MATCH('Venture Summary - Mthly'!DZ5-INDEX('Venture Assumptions'!$J$6:$J$40,MATCH($B$2,'Venture Assumptions'!$I$6:$I$40,0)),DevBdgt!$E$6:$EG$6,0)),0)</f>
        <v>0</v>
      </c>
      <c r="EA148" s="798">
        <f>IFERROR(INDEX(DevBdgt!$E$40:$EG$40,MATCH('Venture Summary - Mthly'!EA5-INDEX('Venture Assumptions'!$J$6:$J$40,MATCH($B$2,'Venture Assumptions'!$I$6:$I$40,0)),DevBdgt!$E$6:$EG$6,0)),0)</f>
        <v>0</v>
      </c>
      <c r="EB148" s="798">
        <f>IFERROR(INDEX(DevBdgt!$E$40:$EG$40,MATCH('Venture Summary - Mthly'!EB5-INDEX('Venture Assumptions'!$J$6:$J$40,MATCH($B$2,'Venture Assumptions'!$I$6:$I$40,0)),DevBdgt!$E$6:$EG$6,0)),0)</f>
        <v>0</v>
      </c>
      <c r="EC148" s="798">
        <f>IFERROR(INDEX(DevBdgt!$E$40:$EG$40,MATCH('Venture Summary - Mthly'!EC5-INDEX('Venture Assumptions'!$J$6:$J$40,MATCH($B$2,'Venture Assumptions'!$I$6:$I$40,0)),DevBdgt!$E$6:$EG$6,0)),0)</f>
        <v>0</v>
      </c>
      <c r="ED148" s="798">
        <f>IFERROR(INDEX(DevBdgt!$E$40:$EG$40,MATCH('Venture Summary - Mthly'!ED5-INDEX('Venture Assumptions'!$J$6:$J$40,MATCH($B$2,'Venture Assumptions'!$I$6:$I$40,0)),DevBdgt!$E$6:$EG$6,0)),0)</f>
        <v>0</v>
      </c>
      <c r="EE148" s="798">
        <f>IFERROR(INDEX(DevBdgt!$E$40:$EG$40,MATCH('Venture Summary - Mthly'!EE5-INDEX('Venture Assumptions'!$J$6:$J$40,MATCH($B$2,'Venture Assumptions'!$I$6:$I$40,0)),DevBdgt!$E$6:$EG$6,0)),0)</f>
        <v>0</v>
      </c>
      <c r="EF148" s="798">
        <f>IFERROR(INDEX(DevBdgt!$E$40:$EG$40,MATCH('Venture Summary - Mthly'!EF5-INDEX('Venture Assumptions'!$J$6:$J$40,MATCH($B$2,'Venture Assumptions'!$I$6:$I$40,0)),DevBdgt!$E$6:$EG$6,0)),0)</f>
        <v>0</v>
      </c>
      <c r="EG148" s="798">
        <f>IFERROR(INDEX(DevBdgt!$E$40:$EG$40,MATCH('Venture Summary - Mthly'!EG5-INDEX('Venture Assumptions'!$J$6:$J$40,MATCH($B$2,'Venture Assumptions'!$I$6:$I$40,0)),DevBdgt!$E$6:$EG$6,0)),0)</f>
        <v>0</v>
      </c>
      <c r="EH148" s="782"/>
    </row>
    <row r="149" spans="1:138" ht="12.75" customHeight="1" x14ac:dyDescent="0.3">
      <c r="A149" s="782"/>
      <c r="B149" s="781" t="s">
        <v>86</v>
      </c>
      <c r="C149" s="799">
        <f t="shared" si="131"/>
        <v>2658062.4746991713</v>
      </c>
      <c r="D149" s="781"/>
      <c r="E149" s="799">
        <f>IFERROR(INDEX(DevBdgt!$E$41:$EG$41,MATCH('Venture Summary - Mthly'!E5-INDEX('Venture Assumptions'!$J$6:$J$40,MATCH($B$2,'Venture Assumptions'!$I$6:$I$40,0)),DevBdgt!$E$6:$EG$6,0)),0)</f>
        <v>0</v>
      </c>
      <c r="F149" s="799">
        <f>IFERROR(INDEX(DevBdgt!$E$41:$EG$41,MATCH('Venture Summary - Mthly'!F5-INDEX('Venture Assumptions'!$J$6:$J$40,MATCH($B$2,'Venture Assumptions'!$I$6:$I$40,0)),DevBdgt!$E$6:$EG$6,0)),0)</f>
        <v>106322.4989879669</v>
      </c>
      <c r="G149" s="799">
        <f>IFERROR(INDEX(DevBdgt!$E$41:$EG$41,MATCH('Venture Summary - Mthly'!G5-INDEX('Venture Assumptions'!$J$6:$J$40,MATCH($B$2,'Venture Assumptions'!$I$6:$I$40,0)),DevBdgt!$E$6:$EG$6,0)),0)</f>
        <v>106322.4989879669</v>
      </c>
      <c r="H149" s="799">
        <f>IFERROR(INDEX(DevBdgt!$E$41:$EG$41,MATCH('Venture Summary - Mthly'!H5-INDEX('Venture Assumptions'!$J$6:$J$40,MATCH($B$2,'Venture Assumptions'!$I$6:$I$40,0)),DevBdgt!$E$6:$EG$6,0)),0)</f>
        <v>106322.4989879669</v>
      </c>
      <c r="I149" s="799">
        <f>IFERROR(INDEX(DevBdgt!$E$41:$EG$41,MATCH('Venture Summary - Mthly'!I5-INDEX('Venture Assumptions'!$J$6:$J$40,MATCH($B$2,'Venture Assumptions'!$I$6:$I$40,0)),DevBdgt!$E$6:$EG$6,0)),0)</f>
        <v>106322.4989879669</v>
      </c>
      <c r="J149" s="799">
        <f>IFERROR(INDEX(DevBdgt!$E$41:$EG$41,MATCH('Venture Summary - Mthly'!J5-INDEX('Venture Assumptions'!$J$6:$J$40,MATCH($B$2,'Venture Assumptions'!$I$6:$I$40,0)),DevBdgt!$E$6:$EG$6,0)),0)</f>
        <v>106322.4989879669</v>
      </c>
      <c r="K149" s="799">
        <f>IFERROR(INDEX(DevBdgt!$E$41:$EG$41,MATCH('Venture Summary - Mthly'!K5-INDEX('Venture Assumptions'!$J$6:$J$40,MATCH($B$2,'Venture Assumptions'!$I$6:$I$40,0)),DevBdgt!$E$6:$EG$6,0)),0)</f>
        <v>106322.4989879669</v>
      </c>
      <c r="L149" s="799">
        <f>IFERROR(INDEX(DevBdgt!$E$41:$EG$41,MATCH('Venture Summary - Mthly'!L5-INDEX('Venture Assumptions'!$J$6:$J$40,MATCH($B$2,'Venture Assumptions'!$I$6:$I$40,0)),DevBdgt!$E$6:$EG$6,0)),0)</f>
        <v>106322.4989879669</v>
      </c>
      <c r="M149" s="799">
        <f>IFERROR(INDEX(DevBdgt!$E$41:$EG$41,MATCH('Venture Summary - Mthly'!M5-INDEX('Venture Assumptions'!$J$6:$J$40,MATCH($B$2,'Venture Assumptions'!$I$6:$I$40,0)),DevBdgt!$E$6:$EG$6,0)),0)</f>
        <v>106322.4989879669</v>
      </c>
      <c r="N149" s="799">
        <f>IFERROR(INDEX(DevBdgt!$E$41:$EG$41,MATCH('Venture Summary - Mthly'!N5-INDEX('Venture Assumptions'!$J$6:$J$40,MATCH($B$2,'Venture Assumptions'!$I$6:$I$40,0)),DevBdgt!$E$6:$EG$6,0)),0)</f>
        <v>106322.4989879669</v>
      </c>
      <c r="O149" s="799">
        <f>IFERROR(INDEX(DevBdgt!$E$41:$EG$41,MATCH('Venture Summary - Mthly'!O5-INDEX('Venture Assumptions'!$J$6:$J$40,MATCH($B$2,'Venture Assumptions'!$I$6:$I$40,0)),DevBdgt!$E$6:$EG$6,0)),0)</f>
        <v>106322.4989879669</v>
      </c>
      <c r="P149" s="799">
        <f>IFERROR(INDEX(DevBdgt!$E$41:$EG$41,MATCH('Venture Summary - Mthly'!P5-INDEX('Venture Assumptions'!$J$6:$J$40,MATCH($B$2,'Venture Assumptions'!$I$6:$I$40,0)),DevBdgt!$E$6:$EG$6,0)),0)</f>
        <v>106322.4989879669</v>
      </c>
      <c r="Q149" s="799">
        <f>IFERROR(INDEX(DevBdgt!$E$41:$EG$41,MATCH('Venture Summary - Mthly'!Q5-INDEX('Venture Assumptions'!$J$6:$J$40,MATCH($B$2,'Venture Assumptions'!$I$6:$I$40,0)),DevBdgt!$E$6:$EG$6,0)),0)</f>
        <v>106322.4989879669</v>
      </c>
      <c r="R149" s="799">
        <f>IFERROR(INDEX(DevBdgt!$E$41:$EG$41,MATCH('Venture Summary - Mthly'!R5-INDEX('Venture Assumptions'!$J$6:$J$40,MATCH($B$2,'Venture Assumptions'!$I$6:$I$40,0)),DevBdgt!$E$6:$EG$6,0)),0)</f>
        <v>106322.4989879669</v>
      </c>
      <c r="S149" s="799">
        <f>IFERROR(INDEX(DevBdgt!$E$41:$EG$41,MATCH('Venture Summary - Mthly'!S5-INDEX('Venture Assumptions'!$J$6:$J$40,MATCH($B$2,'Venture Assumptions'!$I$6:$I$40,0)),DevBdgt!$E$6:$EG$6,0)),0)</f>
        <v>106322.4989879669</v>
      </c>
      <c r="T149" s="799">
        <f>IFERROR(INDEX(DevBdgt!$E$41:$EG$41,MATCH('Venture Summary - Mthly'!T5-INDEX('Venture Assumptions'!$J$6:$J$40,MATCH($B$2,'Venture Assumptions'!$I$6:$I$40,0)),DevBdgt!$E$6:$EG$6,0)),0)</f>
        <v>106322.4989879669</v>
      </c>
      <c r="U149" s="799">
        <f>IFERROR(INDEX(DevBdgt!$E$41:$EG$41,MATCH('Venture Summary - Mthly'!U5-INDEX('Venture Assumptions'!$J$6:$J$40,MATCH($B$2,'Venture Assumptions'!$I$6:$I$40,0)),DevBdgt!$E$6:$EG$6,0)),0)</f>
        <v>106322.4989879669</v>
      </c>
      <c r="V149" s="799">
        <f>IFERROR(INDEX(DevBdgt!$E$41:$EG$41,MATCH('Venture Summary - Mthly'!V5-INDEX('Venture Assumptions'!$J$6:$J$40,MATCH($B$2,'Venture Assumptions'!$I$6:$I$40,0)),DevBdgt!$E$6:$EG$6,0)),0)</f>
        <v>106322.4989879669</v>
      </c>
      <c r="W149" s="799">
        <f>IFERROR(INDEX(DevBdgt!$E$41:$EG$41,MATCH('Venture Summary - Mthly'!W5-INDEX('Venture Assumptions'!$J$6:$J$40,MATCH($B$2,'Venture Assumptions'!$I$6:$I$40,0)),DevBdgt!$E$6:$EG$6,0)),0)</f>
        <v>106322.4989879669</v>
      </c>
      <c r="X149" s="799">
        <f>IFERROR(INDEX(DevBdgt!$E$41:$EG$41,MATCH('Venture Summary - Mthly'!X5-INDEX('Venture Assumptions'!$J$6:$J$40,MATCH($B$2,'Venture Assumptions'!$I$6:$I$40,0)),DevBdgt!$E$6:$EG$6,0)),0)</f>
        <v>106322.4989879669</v>
      </c>
      <c r="Y149" s="799">
        <f>IFERROR(INDEX(DevBdgt!$E$41:$EG$41,MATCH('Venture Summary - Mthly'!Y5-INDEX('Venture Assumptions'!$J$6:$J$40,MATCH($B$2,'Venture Assumptions'!$I$6:$I$40,0)),DevBdgt!$E$6:$EG$6,0)),0)</f>
        <v>106322.4989879669</v>
      </c>
      <c r="Z149" s="799">
        <f>IFERROR(INDEX(DevBdgt!$E$41:$EG$41,MATCH('Venture Summary - Mthly'!Z5-INDEX('Venture Assumptions'!$J$6:$J$40,MATCH($B$2,'Venture Assumptions'!$I$6:$I$40,0)),DevBdgt!$E$6:$EG$6,0)),0)</f>
        <v>106322.4989879669</v>
      </c>
      <c r="AA149" s="799">
        <f>IFERROR(INDEX(DevBdgt!$E$41:$EG$41,MATCH('Venture Summary - Mthly'!AA5-INDEX('Venture Assumptions'!$J$6:$J$40,MATCH($B$2,'Venture Assumptions'!$I$6:$I$40,0)),DevBdgt!$E$6:$EG$6,0)),0)</f>
        <v>106322.4989879669</v>
      </c>
      <c r="AB149" s="799">
        <f>IFERROR(INDEX(DevBdgt!$E$41:$EG$41,MATCH('Venture Summary - Mthly'!AB5-INDEX('Venture Assumptions'!$J$6:$J$40,MATCH($B$2,'Venture Assumptions'!$I$6:$I$40,0)),DevBdgt!$E$6:$EG$6,0)),0)</f>
        <v>106322.4989879669</v>
      </c>
      <c r="AC149" s="799">
        <f>IFERROR(INDEX(DevBdgt!$E$41:$EG$41,MATCH('Venture Summary - Mthly'!AC5-INDEX('Venture Assumptions'!$J$6:$J$40,MATCH($B$2,'Venture Assumptions'!$I$6:$I$40,0)),DevBdgt!$E$6:$EG$6,0)),0)</f>
        <v>106322.4989879669</v>
      </c>
      <c r="AD149" s="799">
        <f>IFERROR(INDEX(DevBdgt!$E$41:$EG$41,MATCH('Venture Summary - Mthly'!AD5-INDEX('Venture Assumptions'!$J$6:$J$40,MATCH($B$2,'Venture Assumptions'!$I$6:$I$40,0)),DevBdgt!$E$6:$EG$6,0)),0)</f>
        <v>106322.4989879669</v>
      </c>
      <c r="AE149" s="799">
        <f>IFERROR(INDEX(DevBdgt!$E$41:$EG$41,MATCH('Venture Summary - Mthly'!AE5-INDEX('Venture Assumptions'!$J$6:$J$40,MATCH($B$2,'Venture Assumptions'!$I$6:$I$40,0)),DevBdgt!$E$6:$EG$6,0)),0)</f>
        <v>0</v>
      </c>
      <c r="AF149" s="799">
        <f>IFERROR(INDEX(DevBdgt!$E$41:$EG$41,MATCH('Venture Summary - Mthly'!AF5-INDEX('Venture Assumptions'!$J$6:$J$40,MATCH($B$2,'Venture Assumptions'!$I$6:$I$40,0)),DevBdgt!$E$6:$EG$6,0)),0)</f>
        <v>0</v>
      </c>
      <c r="AG149" s="799">
        <f>IFERROR(INDEX(DevBdgt!$E$41:$EG$41,MATCH('Venture Summary - Mthly'!AG5-INDEX('Venture Assumptions'!$J$6:$J$40,MATCH($B$2,'Venture Assumptions'!$I$6:$I$40,0)),DevBdgt!$E$6:$EG$6,0)),0)</f>
        <v>0</v>
      </c>
      <c r="AH149" s="799">
        <f>IFERROR(INDEX(DevBdgt!$E$41:$EG$41,MATCH('Venture Summary - Mthly'!AH5-INDEX('Venture Assumptions'!$J$6:$J$40,MATCH($B$2,'Venture Assumptions'!$I$6:$I$40,0)),DevBdgt!$E$6:$EG$6,0)),0)</f>
        <v>0</v>
      </c>
      <c r="AI149" s="799">
        <f>IFERROR(INDEX(DevBdgt!$E$41:$EG$41,MATCH('Venture Summary - Mthly'!AI5-INDEX('Venture Assumptions'!$J$6:$J$40,MATCH($B$2,'Venture Assumptions'!$I$6:$I$40,0)),DevBdgt!$E$6:$EG$6,0)),0)</f>
        <v>0</v>
      </c>
      <c r="AJ149" s="799">
        <f>IFERROR(INDEX(DevBdgt!$E$41:$EG$41,MATCH('Venture Summary - Mthly'!AJ5-INDEX('Venture Assumptions'!$J$6:$J$40,MATCH($B$2,'Venture Assumptions'!$I$6:$I$40,0)),DevBdgt!$E$6:$EG$6,0)),0)</f>
        <v>0</v>
      </c>
      <c r="AK149" s="799">
        <f>IFERROR(INDEX(DevBdgt!$E$41:$EG$41,MATCH('Venture Summary - Mthly'!AK5-INDEX('Venture Assumptions'!$J$6:$J$40,MATCH($B$2,'Venture Assumptions'!$I$6:$I$40,0)),DevBdgt!$E$6:$EG$6,0)),0)</f>
        <v>0</v>
      </c>
      <c r="AL149" s="799">
        <f>IFERROR(INDEX(DevBdgt!$E$41:$EG$41,MATCH('Venture Summary - Mthly'!AL5-INDEX('Venture Assumptions'!$J$6:$J$40,MATCH($B$2,'Venture Assumptions'!$I$6:$I$40,0)),DevBdgt!$E$6:$EG$6,0)),0)</f>
        <v>0</v>
      </c>
      <c r="AM149" s="799">
        <f>IFERROR(INDEX(DevBdgt!$E$41:$EG$41,MATCH('Venture Summary - Mthly'!AM5-INDEX('Venture Assumptions'!$J$6:$J$40,MATCH($B$2,'Venture Assumptions'!$I$6:$I$40,0)),DevBdgt!$E$6:$EG$6,0)),0)</f>
        <v>0</v>
      </c>
      <c r="AN149" s="799">
        <f>IFERROR(INDEX(DevBdgt!$E$41:$EG$41,MATCH('Venture Summary - Mthly'!AN5-INDEX('Venture Assumptions'!$J$6:$J$40,MATCH($B$2,'Venture Assumptions'!$I$6:$I$40,0)),DevBdgt!$E$6:$EG$6,0)),0)</f>
        <v>0</v>
      </c>
      <c r="AO149" s="799">
        <f>IFERROR(INDEX(DevBdgt!$E$41:$EG$41,MATCH('Venture Summary - Mthly'!AO5-INDEX('Venture Assumptions'!$J$6:$J$40,MATCH($B$2,'Venture Assumptions'!$I$6:$I$40,0)),DevBdgt!$E$6:$EG$6,0)),0)</f>
        <v>0</v>
      </c>
      <c r="AP149" s="799">
        <f>IFERROR(INDEX(DevBdgt!$E$41:$EG$41,MATCH('Venture Summary - Mthly'!AP5-INDEX('Venture Assumptions'!$J$6:$J$40,MATCH($B$2,'Venture Assumptions'!$I$6:$I$40,0)),DevBdgt!$E$6:$EG$6,0)),0)</f>
        <v>0</v>
      </c>
      <c r="AQ149" s="799">
        <f>IFERROR(INDEX(DevBdgt!$E$41:$EG$41,MATCH('Venture Summary - Mthly'!AQ5-INDEX('Venture Assumptions'!$J$6:$J$40,MATCH($B$2,'Venture Assumptions'!$I$6:$I$40,0)),DevBdgt!$E$6:$EG$6,0)),0)</f>
        <v>0</v>
      </c>
      <c r="AR149" s="799">
        <f>IFERROR(INDEX(DevBdgt!$E$41:$EG$41,MATCH('Venture Summary - Mthly'!AR5-INDEX('Venture Assumptions'!$J$6:$J$40,MATCH($B$2,'Venture Assumptions'!$I$6:$I$40,0)),DevBdgt!$E$6:$EG$6,0)),0)</f>
        <v>0</v>
      </c>
      <c r="AS149" s="799">
        <f>IFERROR(INDEX(DevBdgt!$E$41:$EG$41,MATCH('Venture Summary - Mthly'!AS5-INDEX('Venture Assumptions'!$J$6:$J$40,MATCH($B$2,'Venture Assumptions'!$I$6:$I$40,0)),DevBdgt!$E$6:$EG$6,0)),0)</f>
        <v>0</v>
      </c>
      <c r="AT149" s="799">
        <f>IFERROR(INDEX(DevBdgt!$E$41:$EG$41,MATCH('Venture Summary - Mthly'!AT5-INDEX('Venture Assumptions'!$J$6:$J$40,MATCH($B$2,'Venture Assumptions'!$I$6:$I$40,0)),DevBdgt!$E$6:$EG$6,0)),0)</f>
        <v>0</v>
      </c>
      <c r="AU149" s="799">
        <f>IFERROR(INDEX(DevBdgt!$E$41:$EG$41,MATCH('Venture Summary - Mthly'!AU5-INDEX('Venture Assumptions'!$J$6:$J$40,MATCH($B$2,'Venture Assumptions'!$I$6:$I$40,0)),DevBdgt!$E$6:$EG$6,0)),0)</f>
        <v>0</v>
      </c>
      <c r="AV149" s="799">
        <f>IFERROR(INDEX(DevBdgt!$E$41:$EG$41,MATCH('Venture Summary - Mthly'!AV5-INDEX('Venture Assumptions'!$J$6:$J$40,MATCH($B$2,'Venture Assumptions'!$I$6:$I$40,0)),DevBdgt!$E$6:$EG$6,0)),0)</f>
        <v>0</v>
      </c>
      <c r="AW149" s="799">
        <f>IFERROR(INDEX(DevBdgt!$E$41:$EG$41,MATCH('Venture Summary - Mthly'!AW5-INDEX('Venture Assumptions'!$J$6:$J$40,MATCH($B$2,'Venture Assumptions'!$I$6:$I$40,0)),DevBdgt!$E$6:$EG$6,0)),0)</f>
        <v>0</v>
      </c>
      <c r="AX149" s="799">
        <f>IFERROR(INDEX(DevBdgt!$E$41:$EG$41,MATCH('Venture Summary - Mthly'!AX5-INDEX('Venture Assumptions'!$J$6:$J$40,MATCH($B$2,'Venture Assumptions'!$I$6:$I$40,0)),DevBdgt!$E$6:$EG$6,0)),0)</f>
        <v>0</v>
      </c>
      <c r="AY149" s="799">
        <f>IFERROR(INDEX(DevBdgt!$E$41:$EG$41,MATCH('Venture Summary - Mthly'!AY5-INDEX('Venture Assumptions'!$J$6:$J$40,MATCH($B$2,'Venture Assumptions'!$I$6:$I$40,0)),DevBdgt!$E$6:$EG$6,0)),0)</f>
        <v>0</v>
      </c>
      <c r="AZ149" s="799">
        <f>IFERROR(INDEX(DevBdgt!$E$41:$EG$41,MATCH('Venture Summary - Mthly'!AZ5-INDEX('Venture Assumptions'!$J$6:$J$40,MATCH($B$2,'Venture Assumptions'!$I$6:$I$40,0)),DevBdgt!$E$6:$EG$6,0)),0)</f>
        <v>0</v>
      </c>
      <c r="BA149" s="799">
        <f>IFERROR(INDEX(DevBdgt!$E$41:$EG$41,MATCH('Venture Summary - Mthly'!BA5-INDEX('Venture Assumptions'!$J$6:$J$40,MATCH($B$2,'Venture Assumptions'!$I$6:$I$40,0)),DevBdgt!$E$6:$EG$6,0)),0)</f>
        <v>0</v>
      </c>
      <c r="BB149" s="799">
        <f>IFERROR(INDEX(DevBdgt!$E$41:$EG$41,MATCH('Venture Summary - Mthly'!BB5-INDEX('Venture Assumptions'!$J$6:$J$40,MATCH($B$2,'Venture Assumptions'!$I$6:$I$40,0)),DevBdgt!$E$6:$EG$6,0)),0)</f>
        <v>0</v>
      </c>
      <c r="BC149" s="799">
        <f>IFERROR(INDEX(DevBdgt!$E$41:$EG$41,MATCH('Venture Summary - Mthly'!BC5-INDEX('Venture Assumptions'!$J$6:$J$40,MATCH($B$2,'Venture Assumptions'!$I$6:$I$40,0)),DevBdgt!$E$6:$EG$6,0)),0)</f>
        <v>0</v>
      </c>
      <c r="BD149" s="799">
        <f>IFERROR(INDEX(DevBdgt!$E$41:$EG$41,MATCH('Venture Summary - Mthly'!BD5-INDEX('Venture Assumptions'!$J$6:$J$40,MATCH($B$2,'Venture Assumptions'!$I$6:$I$40,0)),DevBdgt!$E$6:$EG$6,0)),0)</f>
        <v>0</v>
      </c>
      <c r="BE149" s="799">
        <f>IFERROR(INDEX(DevBdgt!$E$41:$EG$41,MATCH('Venture Summary - Mthly'!BE5-INDEX('Venture Assumptions'!$J$6:$J$40,MATCH($B$2,'Venture Assumptions'!$I$6:$I$40,0)),DevBdgt!$E$6:$EG$6,0)),0)</f>
        <v>0</v>
      </c>
      <c r="BF149" s="799">
        <f>IFERROR(INDEX(DevBdgt!$E$41:$EG$41,MATCH('Venture Summary - Mthly'!BF5-INDEX('Venture Assumptions'!$J$6:$J$40,MATCH($B$2,'Venture Assumptions'!$I$6:$I$40,0)),DevBdgt!$E$6:$EG$6,0)),0)</f>
        <v>0</v>
      </c>
      <c r="BG149" s="799">
        <f>IFERROR(INDEX(DevBdgt!$E$41:$EG$41,MATCH('Venture Summary - Mthly'!BG5-INDEX('Venture Assumptions'!$J$6:$J$40,MATCH($B$2,'Venture Assumptions'!$I$6:$I$40,0)),DevBdgt!$E$6:$EG$6,0)),0)</f>
        <v>0</v>
      </c>
      <c r="BH149" s="799">
        <f>IFERROR(INDEX(DevBdgt!$E$41:$EG$41,MATCH('Venture Summary - Mthly'!BH5-INDEX('Venture Assumptions'!$J$6:$J$40,MATCH($B$2,'Venture Assumptions'!$I$6:$I$40,0)),DevBdgt!$E$6:$EG$6,0)),0)</f>
        <v>0</v>
      </c>
      <c r="BI149" s="799">
        <f>IFERROR(INDEX(DevBdgt!$E$41:$EG$41,MATCH('Venture Summary - Mthly'!BI5-INDEX('Venture Assumptions'!$J$6:$J$40,MATCH($B$2,'Venture Assumptions'!$I$6:$I$40,0)),DevBdgt!$E$6:$EG$6,0)),0)</f>
        <v>0</v>
      </c>
      <c r="BJ149" s="799">
        <f>IFERROR(INDEX(DevBdgt!$E$41:$EG$41,MATCH('Venture Summary - Mthly'!BJ5-INDEX('Venture Assumptions'!$J$6:$J$40,MATCH($B$2,'Venture Assumptions'!$I$6:$I$40,0)),DevBdgt!$E$6:$EG$6,0)),0)</f>
        <v>0</v>
      </c>
      <c r="BK149" s="799">
        <f>IFERROR(INDEX(DevBdgt!$E$41:$EG$41,MATCH('Venture Summary - Mthly'!BK5-INDEX('Venture Assumptions'!$J$6:$J$40,MATCH($B$2,'Venture Assumptions'!$I$6:$I$40,0)),DevBdgt!$E$6:$EG$6,0)),0)</f>
        <v>0</v>
      </c>
      <c r="BL149" s="799">
        <f>IFERROR(INDEX(DevBdgt!$E$41:$EG$41,MATCH('Venture Summary - Mthly'!BL5-INDEX('Venture Assumptions'!$J$6:$J$40,MATCH($B$2,'Venture Assumptions'!$I$6:$I$40,0)),DevBdgt!$E$6:$EG$6,0)),0)</f>
        <v>0</v>
      </c>
      <c r="BM149" s="799">
        <f>IFERROR(INDEX(DevBdgt!$E$41:$EG$41,MATCH('Venture Summary - Mthly'!BM5-INDEX('Venture Assumptions'!$J$6:$J$40,MATCH($B$2,'Venture Assumptions'!$I$6:$I$40,0)),DevBdgt!$E$6:$EG$6,0)),0)</f>
        <v>0</v>
      </c>
      <c r="BN149" s="799">
        <f>IFERROR(INDEX(DevBdgt!$E$41:$EG$41,MATCH('Venture Summary - Mthly'!BN5-INDEX('Venture Assumptions'!$J$6:$J$40,MATCH($B$2,'Venture Assumptions'!$I$6:$I$40,0)),DevBdgt!$E$6:$EG$6,0)),0)</f>
        <v>0</v>
      </c>
      <c r="BO149" s="799">
        <f>IFERROR(INDEX(DevBdgt!$E$41:$EG$41,MATCH('Venture Summary - Mthly'!BO5-INDEX('Venture Assumptions'!$J$6:$J$40,MATCH($B$2,'Venture Assumptions'!$I$6:$I$40,0)),DevBdgt!$E$6:$EG$6,0)),0)</f>
        <v>0</v>
      </c>
      <c r="BP149" s="799">
        <f>IFERROR(INDEX(DevBdgt!$E$41:$EG$41,MATCH('Venture Summary - Mthly'!BP5-INDEX('Venture Assumptions'!$J$6:$J$40,MATCH($B$2,'Venture Assumptions'!$I$6:$I$40,0)),DevBdgt!$E$6:$EG$6,0)),0)</f>
        <v>0</v>
      </c>
      <c r="BQ149" s="799">
        <f>IFERROR(INDEX(DevBdgt!$E$41:$EG$41,MATCH('Venture Summary - Mthly'!BQ5-INDEX('Venture Assumptions'!$J$6:$J$40,MATCH($B$2,'Venture Assumptions'!$I$6:$I$40,0)),DevBdgt!$E$6:$EG$6,0)),0)</f>
        <v>0</v>
      </c>
      <c r="BR149" s="799">
        <f>IFERROR(INDEX(DevBdgt!$E$41:$EG$41,MATCH('Venture Summary - Mthly'!BR5-INDEX('Venture Assumptions'!$J$6:$J$40,MATCH($B$2,'Venture Assumptions'!$I$6:$I$40,0)),DevBdgt!$E$6:$EG$6,0)),0)</f>
        <v>0</v>
      </c>
      <c r="BS149" s="799">
        <f>IFERROR(INDEX(DevBdgt!$E$41:$EG$41,MATCH('Venture Summary - Mthly'!BS5-INDEX('Venture Assumptions'!$J$6:$J$40,MATCH($B$2,'Venture Assumptions'!$I$6:$I$40,0)),DevBdgt!$E$6:$EG$6,0)),0)</f>
        <v>0</v>
      </c>
      <c r="BT149" s="799">
        <f>IFERROR(INDEX(DevBdgt!$E$41:$EG$41,MATCH('Venture Summary - Mthly'!BT5-INDEX('Venture Assumptions'!$J$6:$J$40,MATCH($B$2,'Venture Assumptions'!$I$6:$I$40,0)),DevBdgt!$E$6:$EG$6,0)),0)</f>
        <v>0</v>
      </c>
      <c r="BU149" s="799">
        <f>IFERROR(INDEX(DevBdgt!$E$41:$EG$41,MATCH('Venture Summary - Mthly'!BU5-INDEX('Venture Assumptions'!$J$6:$J$40,MATCH($B$2,'Venture Assumptions'!$I$6:$I$40,0)),DevBdgt!$E$6:$EG$6,0)),0)</f>
        <v>0</v>
      </c>
      <c r="BV149" s="799">
        <f>IFERROR(INDEX(DevBdgt!$E$41:$EG$41,MATCH('Venture Summary - Mthly'!BV5-INDEX('Venture Assumptions'!$J$6:$J$40,MATCH($B$2,'Venture Assumptions'!$I$6:$I$40,0)),DevBdgt!$E$6:$EG$6,0)),0)</f>
        <v>0</v>
      </c>
      <c r="BW149" s="799">
        <f>IFERROR(INDEX(DevBdgt!$E$41:$EG$41,MATCH('Venture Summary - Mthly'!BW5-INDEX('Venture Assumptions'!$J$6:$J$40,MATCH($B$2,'Venture Assumptions'!$I$6:$I$40,0)),DevBdgt!$E$6:$EG$6,0)),0)</f>
        <v>0</v>
      </c>
      <c r="BX149" s="799">
        <f>IFERROR(INDEX(DevBdgt!$E$41:$EG$41,MATCH('Venture Summary - Mthly'!BX5-INDEX('Venture Assumptions'!$J$6:$J$40,MATCH($B$2,'Venture Assumptions'!$I$6:$I$40,0)),DevBdgt!$E$6:$EG$6,0)),0)</f>
        <v>0</v>
      </c>
      <c r="BY149" s="799">
        <f>IFERROR(INDEX(DevBdgt!$E$41:$EG$41,MATCH('Venture Summary - Mthly'!BY5-INDEX('Venture Assumptions'!$J$6:$J$40,MATCH($B$2,'Venture Assumptions'!$I$6:$I$40,0)),DevBdgt!$E$6:$EG$6,0)),0)</f>
        <v>0</v>
      </c>
      <c r="BZ149" s="799">
        <f>IFERROR(INDEX(DevBdgt!$E$41:$EG$41,MATCH('Venture Summary - Mthly'!BZ5-INDEX('Venture Assumptions'!$J$6:$J$40,MATCH($B$2,'Venture Assumptions'!$I$6:$I$40,0)),DevBdgt!$E$6:$EG$6,0)),0)</f>
        <v>0</v>
      </c>
      <c r="CA149" s="799">
        <f>IFERROR(INDEX(DevBdgt!$E$41:$EG$41,MATCH('Venture Summary - Mthly'!CA5-INDEX('Venture Assumptions'!$J$6:$J$40,MATCH($B$2,'Venture Assumptions'!$I$6:$I$40,0)),DevBdgt!$E$6:$EG$6,0)),0)</f>
        <v>0</v>
      </c>
      <c r="CB149" s="799">
        <f>IFERROR(INDEX(DevBdgt!$E$41:$EG$41,MATCH('Venture Summary - Mthly'!CB5-INDEX('Venture Assumptions'!$J$6:$J$40,MATCH($B$2,'Venture Assumptions'!$I$6:$I$40,0)),DevBdgt!$E$6:$EG$6,0)),0)</f>
        <v>0</v>
      </c>
      <c r="CC149" s="799">
        <f>IFERROR(INDEX(DevBdgt!$E$41:$EG$41,MATCH('Venture Summary - Mthly'!CC5-INDEX('Venture Assumptions'!$J$6:$J$40,MATCH($B$2,'Venture Assumptions'!$I$6:$I$40,0)),DevBdgt!$E$6:$EG$6,0)),0)</f>
        <v>0</v>
      </c>
      <c r="CD149" s="799">
        <f>IFERROR(INDEX(DevBdgt!$E$41:$EG$41,MATCH('Venture Summary - Mthly'!CD5-INDEX('Venture Assumptions'!$J$6:$J$40,MATCH($B$2,'Venture Assumptions'!$I$6:$I$40,0)),DevBdgt!$E$6:$EG$6,0)),0)</f>
        <v>0</v>
      </c>
      <c r="CE149" s="799">
        <f>IFERROR(INDEX(DevBdgt!$E$41:$EG$41,MATCH('Venture Summary - Mthly'!CE5-INDEX('Venture Assumptions'!$J$6:$J$40,MATCH($B$2,'Venture Assumptions'!$I$6:$I$40,0)),DevBdgt!$E$6:$EG$6,0)),0)</f>
        <v>0</v>
      </c>
      <c r="CF149" s="799">
        <f>IFERROR(INDEX(DevBdgt!$E$41:$EG$41,MATCH('Venture Summary - Mthly'!CF5-INDEX('Venture Assumptions'!$J$6:$J$40,MATCH($B$2,'Venture Assumptions'!$I$6:$I$40,0)),DevBdgt!$E$6:$EG$6,0)),0)</f>
        <v>0</v>
      </c>
      <c r="CG149" s="799">
        <f>IFERROR(INDEX(DevBdgt!$E$41:$EG$41,MATCH('Venture Summary - Mthly'!CG5-INDEX('Venture Assumptions'!$J$6:$J$40,MATCH($B$2,'Venture Assumptions'!$I$6:$I$40,0)),DevBdgt!$E$6:$EG$6,0)),0)</f>
        <v>0</v>
      </c>
      <c r="CH149" s="799">
        <f>IFERROR(INDEX(DevBdgt!$E$41:$EG$41,MATCH('Venture Summary - Mthly'!CH5-INDEX('Venture Assumptions'!$J$6:$J$40,MATCH($B$2,'Venture Assumptions'!$I$6:$I$40,0)),DevBdgt!$E$6:$EG$6,0)),0)</f>
        <v>0</v>
      </c>
      <c r="CI149" s="799">
        <f>IFERROR(INDEX(DevBdgt!$E$41:$EG$41,MATCH('Venture Summary - Mthly'!CI5-INDEX('Venture Assumptions'!$J$6:$J$40,MATCH($B$2,'Venture Assumptions'!$I$6:$I$40,0)),DevBdgt!$E$6:$EG$6,0)),0)</f>
        <v>0</v>
      </c>
      <c r="CJ149" s="799">
        <f>IFERROR(INDEX(DevBdgt!$E$41:$EG$41,MATCH('Venture Summary - Mthly'!CJ5-INDEX('Venture Assumptions'!$J$6:$J$40,MATCH($B$2,'Venture Assumptions'!$I$6:$I$40,0)),DevBdgt!$E$6:$EG$6,0)),0)</f>
        <v>0</v>
      </c>
      <c r="CK149" s="799">
        <f>IFERROR(INDEX(DevBdgt!$E$41:$EG$41,MATCH('Venture Summary - Mthly'!CK5-INDEX('Venture Assumptions'!$J$6:$J$40,MATCH($B$2,'Venture Assumptions'!$I$6:$I$40,0)),DevBdgt!$E$6:$EG$6,0)),0)</f>
        <v>0</v>
      </c>
      <c r="CL149" s="799">
        <f>IFERROR(INDEX(DevBdgt!$E$41:$EG$41,MATCH('Venture Summary - Mthly'!CL5-INDEX('Venture Assumptions'!$J$6:$J$40,MATCH($B$2,'Venture Assumptions'!$I$6:$I$40,0)),DevBdgt!$E$6:$EG$6,0)),0)</f>
        <v>0</v>
      </c>
      <c r="CM149" s="799">
        <f>IFERROR(INDEX(DevBdgt!$E$41:$EG$41,MATCH('Venture Summary - Mthly'!CM5-INDEX('Venture Assumptions'!$J$6:$J$40,MATCH($B$2,'Venture Assumptions'!$I$6:$I$40,0)),DevBdgt!$E$6:$EG$6,0)),0)</f>
        <v>0</v>
      </c>
      <c r="CN149" s="799">
        <f>IFERROR(INDEX(DevBdgt!$E$41:$EG$41,MATCH('Venture Summary - Mthly'!CN5-INDEX('Venture Assumptions'!$J$6:$J$40,MATCH($B$2,'Venture Assumptions'!$I$6:$I$40,0)),DevBdgt!$E$6:$EG$6,0)),0)</f>
        <v>0</v>
      </c>
      <c r="CO149" s="799">
        <f>IFERROR(INDEX(DevBdgt!$E$41:$EG$41,MATCH('Venture Summary - Mthly'!CO5-INDEX('Venture Assumptions'!$J$6:$J$40,MATCH($B$2,'Venture Assumptions'!$I$6:$I$40,0)),DevBdgt!$E$6:$EG$6,0)),0)</f>
        <v>0</v>
      </c>
      <c r="CP149" s="799">
        <f>IFERROR(INDEX(DevBdgt!$E$41:$EG$41,MATCH('Venture Summary - Mthly'!CP5-INDEX('Venture Assumptions'!$J$6:$J$40,MATCH($B$2,'Venture Assumptions'!$I$6:$I$40,0)),DevBdgt!$E$6:$EG$6,0)),0)</f>
        <v>0</v>
      </c>
      <c r="CQ149" s="799">
        <f>IFERROR(INDEX(DevBdgt!$E$41:$EG$41,MATCH('Venture Summary - Mthly'!CQ5-INDEX('Venture Assumptions'!$J$6:$J$40,MATCH($B$2,'Venture Assumptions'!$I$6:$I$40,0)),DevBdgt!$E$6:$EG$6,0)),0)</f>
        <v>0</v>
      </c>
      <c r="CR149" s="799">
        <f>IFERROR(INDEX(DevBdgt!$E$41:$EG$41,MATCH('Venture Summary - Mthly'!CR5-INDEX('Venture Assumptions'!$J$6:$J$40,MATCH($B$2,'Venture Assumptions'!$I$6:$I$40,0)),DevBdgt!$E$6:$EG$6,0)),0)</f>
        <v>0</v>
      </c>
      <c r="CS149" s="799">
        <f>IFERROR(INDEX(DevBdgt!$E$41:$EG$41,MATCH('Venture Summary - Mthly'!CS5-INDEX('Venture Assumptions'!$J$6:$J$40,MATCH($B$2,'Venture Assumptions'!$I$6:$I$40,0)),DevBdgt!$E$6:$EG$6,0)),0)</f>
        <v>0</v>
      </c>
      <c r="CT149" s="799">
        <f>IFERROR(INDEX(DevBdgt!$E$41:$EG$41,MATCH('Venture Summary - Mthly'!CT5-INDEX('Venture Assumptions'!$J$6:$J$40,MATCH($B$2,'Venture Assumptions'!$I$6:$I$40,0)),DevBdgt!$E$6:$EG$6,0)),0)</f>
        <v>0</v>
      </c>
      <c r="CU149" s="799">
        <f>IFERROR(INDEX(DevBdgt!$E$41:$EG$41,MATCH('Venture Summary - Mthly'!CU5-INDEX('Venture Assumptions'!$J$6:$J$40,MATCH($B$2,'Venture Assumptions'!$I$6:$I$40,0)),DevBdgt!$E$6:$EG$6,0)),0)</f>
        <v>0</v>
      </c>
      <c r="CV149" s="799">
        <f>IFERROR(INDEX(DevBdgt!$E$41:$EG$41,MATCH('Venture Summary - Mthly'!CV5-INDEX('Venture Assumptions'!$J$6:$J$40,MATCH($B$2,'Venture Assumptions'!$I$6:$I$40,0)),DevBdgt!$E$6:$EG$6,0)),0)</f>
        <v>0</v>
      </c>
      <c r="CW149" s="799">
        <f>IFERROR(INDEX(DevBdgt!$E$41:$EG$41,MATCH('Venture Summary - Mthly'!CW5-INDEX('Venture Assumptions'!$J$6:$J$40,MATCH($B$2,'Venture Assumptions'!$I$6:$I$40,0)),DevBdgt!$E$6:$EG$6,0)),0)</f>
        <v>0</v>
      </c>
      <c r="CX149" s="799">
        <f>IFERROR(INDEX(DevBdgt!$E$41:$EG$41,MATCH('Venture Summary - Mthly'!CX5-INDEX('Venture Assumptions'!$J$6:$J$40,MATCH($B$2,'Venture Assumptions'!$I$6:$I$40,0)),DevBdgt!$E$6:$EG$6,0)),0)</f>
        <v>0</v>
      </c>
      <c r="CY149" s="799">
        <f>IFERROR(INDEX(DevBdgt!$E$41:$EG$41,MATCH('Venture Summary - Mthly'!CY5-INDEX('Venture Assumptions'!$J$6:$J$40,MATCH($B$2,'Venture Assumptions'!$I$6:$I$40,0)),DevBdgt!$E$6:$EG$6,0)),0)</f>
        <v>0</v>
      </c>
      <c r="CZ149" s="799">
        <f>IFERROR(INDEX(DevBdgt!$E$41:$EG$41,MATCH('Venture Summary - Mthly'!CZ5-INDEX('Venture Assumptions'!$J$6:$J$40,MATCH($B$2,'Venture Assumptions'!$I$6:$I$40,0)),DevBdgt!$E$6:$EG$6,0)),0)</f>
        <v>0</v>
      </c>
      <c r="DA149" s="799">
        <f>IFERROR(INDEX(DevBdgt!$E$41:$EG$41,MATCH('Venture Summary - Mthly'!DA5-INDEX('Venture Assumptions'!$J$6:$J$40,MATCH($B$2,'Venture Assumptions'!$I$6:$I$40,0)),DevBdgt!$E$6:$EG$6,0)),0)</f>
        <v>0</v>
      </c>
      <c r="DB149" s="799">
        <f>IFERROR(INDEX(DevBdgt!$E$41:$EG$41,MATCH('Venture Summary - Mthly'!DB5-INDEX('Venture Assumptions'!$J$6:$J$40,MATCH($B$2,'Venture Assumptions'!$I$6:$I$40,0)),DevBdgt!$E$6:$EG$6,0)),0)</f>
        <v>0</v>
      </c>
      <c r="DC149" s="799">
        <f>IFERROR(INDEX(DevBdgt!$E$41:$EG$41,MATCH('Venture Summary - Mthly'!DC5-INDEX('Venture Assumptions'!$J$6:$J$40,MATCH($B$2,'Venture Assumptions'!$I$6:$I$40,0)),DevBdgt!$E$6:$EG$6,0)),0)</f>
        <v>0</v>
      </c>
      <c r="DD149" s="799">
        <f>IFERROR(INDEX(DevBdgt!$E$41:$EG$41,MATCH('Venture Summary - Mthly'!DD5-INDEX('Venture Assumptions'!$J$6:$J$40,MATCH($B$2,'Venture Assumptions'!$I$6:$I$40,0)),DevBdgt!$E$6:$EG$6,0)),0)</f>
        <v>0</v>
      </c>
      <c r="DE149" s="799">
        <f>IFERROR(INDEX(DevBdgt!$E$41:$EG$41,MATCH('Venture Summary - Mthly'!DE5-INDEX('Venture Assumptions'!$J$6:$J$40,MATCH($B$2,'Venture Assumptions'!$I$6:$I$40,0)),DevBdgt!$E$6:$EG$6,0)),0)</f>
        <v>0</v>
      </c>
      <c r="DF149" s="799">
        <f>IFERROR(INDEX(DevBdgt!$E$41:$EG$41,MATCH('Venture Summary - Mthly'!DF5-INDEX('Venture Assumptions'!$J$6:$J$40,MATCH($B$2,'Venture Assumptions'!$I$6:$I$40,0)),DevBdgt!$E$6:$EG$6,0)),0)</f>
        <v>0</v>
      </c>
      <c r="DG149" s="799">
        <f>IFERROR(INDEX(DevBdgt!$E$41:$EG$41,MATCH('Venture Summary - Mthly'!DG5-INDEX('Venture Assumptions'!$J$6:$J$40,MATCH($B$2,'Venture Assumptions'!$I$6:$I$40,0)),DevBdgt!$E$6:$EG$6,0)),0)</f>
        <v>0</v>
      </c>
      <c r="DH149" s="799">
        <f>IFERROR(INDEX(DevBdgt!$E$41:$EG$41,MATCH('Venture Summary - Mthly'!DH5-INDEX('Venture Assumptions'!$J$6:$J$40,MATCH($B$2,'Venture Assumptions'!$I$6:$I$40,0)),DevBdgt!$E$6:$EG$6,0)),0)</f>
        <v>0</v>
      </c>
      <c r="DI149" s="799">
        <f>IFERROR(INDEX(DevBdgt!$E$41:$EG$41,MATCH('Venture Summary - Mthly'!DI5-INDEX('Venture Assumptions'!$J$6:$J$40,MATCH($B$2,'Venture Assumptions'!$I$6:$I$40,0)),DevBdgt!$E$6:$EG$6,0)),0)</f>
        <v>0</v>
      </c>
      <c r="DJ149" s="799">
        <f>IFERROR(INDEX(DevBdgt!$E$41:$EG$41,MATCH('Venture Summary - Mthly'!DJ5-INDEX('Venture Assumptions'!$J$6:$J$40,MATCH($B$2,'Venture Assumptions'!$I$6:$I$40,0)),DevBdgt!$E$6:$EG$6,0)),0)</f>
        <v>0</v>
      </c>
      <c r="DK149" s="799">
        <f>IFERROR(INDEX(DevBdgt!$E$41:$EG$41,MATCH('Venture Summary - Mthly'!DK5-INDEX('Venture Assumptions'!$J$6:$J$40,MATCH($B$2,'Venture Assumptions'!$I$6:$I$40,0)),DevBdgt!$E$6:$EG$6,0)),0)</f>
        <v>0</v>
      </c>
      <c r="DL149" s="799">
        <f>IFERROR(INDEX(DevBdgt!$E$41:$EG$41,MATCH('Venture Summary - Mthly'!DL5-INDEX('Venture Assumptions'!$J$6:$J$40,MATCH($B$2,'Venture Assumptions'!$I$6:$I$40,0)),DevBdgt!$E$6:$EG$6,0)),0)</f>
        <v>0</v>
      </c>
      <c r="DM149" s="799">
        <f>IFERROR(INDEX(DevBdgt!$E$41:$EG$41,MATCH('Venture Summary - Mthly'!DM5-INDEX('Venture Assumptions'!$J$6:$J$40,MATCH($B$2,'Venture Assumptions'!$I$6:$I$40,0)),DevBdgt!$E$6:$EG$6,0)),0)</f>
        <v>0</v>
      </c>
      <c r="DN149" s="799">
        <f>IFERROR(INDEX(DevBdgt!$E$41:$EG$41,MATCH('Venture Summary - Mthly'!DN5-INDEX('Venture Assumptions'!$J$6:$J$40,MATCH($B$2,'Venture Assumptions'!$I$6:$I$40,0)),DevBdgt!$E$6:$EG$6,0)),0)</f>
        <v>0</v>
      </c>
      <c r="DO149" s="799">
        <f>IFERROR(INDEX(DevBdgt!$E$41:$EG$41,MATCH('Venture Summary - Mthly'!DO5-INDEX('Venture Assumptions'!$J$6:$J$40,MATCH($B$2,'Venture Assumptions'!$I$6:$I$40,0)),DevBdgt!$E$6:$EG$6,0)),0)</f>
        <v>0</v>
      </c>
      <c r="DP149" s="799">
        <f>IFERROR(INDEX(DevBdgt!$E$41:$EG$41,MATCH('Venture Summary - Mthly'!DP5-INDEX('Venture Assumptions'!$J$6:$J$40,MATCH($B$2,'Venture Assumptions'!$I$6:$I$40,0)),DevBdgt!$E$6:$EG$6,0)),0)</f>
        <v>0</v>
      </c>
      <c r="DQ149" s="799">
        <f>IFERROR(INDEX(DevBdgt!$E$41:$EG$41,MATCH('Venture Summary - Mthly'!DQ5-INDEX('Venture Assumptions'!$J$6:$J$40,MATCH($B$2,'Venture Assumptions'!$I$6:$I$40,0)),DevBdgt!$E$6:$EG$6,0)),0)</f>
        <v>0</v>
      </c>
      <c r="DR149" s="799">
        <f>IFERROR(INDEX(DevBdgt!$E$41:$EG$41,MATCH('Venture Summary - Mthly'!DR5-INDEX('Venture Assumptions'!$J$6:$J$40,MATCH($B$2,'Venture Assumptions'!$I$6:$I$40,0)),DevBdgt!$E$6:$EG$6,0)),0)</f>
        <v>0</v>
      </c>
      <c r="DS149" s="799">
        <f>IFERROR(INDEX(DevBdgt!$E$41:$EG$41,MATCH('Venture Summary - Mthly'!DS5-INDEX('Venture Assumptions'!$J$6:$J$40,MATCH($B$2,'Venture Assumptions'!$I$6:$I$40,0)),DevBdgt!$E$6:$EG$6,0)),0)</f>
        <v>0</v>
      </c>
      <c r="DT149" s="799">
        <f>IFERROR(INDEX(DevBdgt!$E$41:$EG$41,MATCH('Venture Summary - Mthly'!DT5-INDEX('Venture Assumptions'!$J$6:$J$40,MATCH($B$2,'Venture Assumptions'!$I$6:$I$40,0)),DevBdgt!$E$6:$EG$6,0)),0)</f>
        <v>0</v>
      </c>
      <c r="DU149" s="799">
        <f>IFERROR(INDEX(DevBdgt!$E$41:$EG$41,MATCH('Venture Summary - Mthly'!DU5-INDEX('Venture Assumptions'!$J$6:$J$40,MATCH($B$2,'Venture Assumptions'!$I$6:$I$40,0)),DevBdgt!$E$6:$EG$6,0)),0)</f>
        <v>0</v>
      </c>
      <c r="DV149" s="799">
        <f>IFERROR(INDEX(DevBdgt!$E$41:$EG$41,MATCH('Venture Summary - Mthly'!DV5-INDEX('Venture Assumptions'!$J$6:$J$40,MATCH($B$2,'Venture Assumptions'!$I$6:$I$40,0)),DevBdgt!$E$6:$EG$6,0)),0)</f>
        <v>0</v>
      </c>
      <c r="DW149" s="799">
        <f>IFERROR(INDEX(DevBdgt!$E$41:$EG$41,MATCH('Venture Summary - Mthly'!DW5-INDEX('Venture Assumptions'!$J$6:$J$40,MATCH($B$2,'Venture Assumptions'!$I$6:$I$40,0)),DevBdgt!$E$6:$EG$6,0)),0)</f>
        <v>0</v>
      </c>
      <c r="DX149" s="799">
        <f>IFERROR(INDEX(DevBdgt!$E$41:$EG$41,MATCH('Venture Summary - Mthly'!DX5-INDEX('Venture Assumptions'!$J$6:$J$40,MATCH($B$2,'Venture Assumptions'!$I$6:$I$40,0)),DevBdgt!$E$6:$EG$6,0)),0)</f>
        <v>0</v>
      </c>
      <c r="DY149" s="799">
        <f>IFERROR(INDEX(DevBdgt!$E$41:$EG$41,MATCH('Venture Summary - Mthly'!DY5-INDEX('Venture Assumptions'!$J$6:$J$40,MATCH($B$2,'Venture Assumptions'!$I$6:$I$40,0)),DevBdgt!$E$6:$EG$6,0)),0)</f>
        <v>0</v>
      </c>
      <c r="DZ149" s="799">
        <f>IFERROR(INDEX(DevBdgt!$E$41:$EG$41,MATCH('Venture Summary - Mthly'!DZ5-INDEX('Venture Assumptions'!$J$6:$J$40,MATCH($B$2,'Venture Assumptions'!$I$6:$I$40,0)),DevBdgt!$E$6:$EG$6,0)),0)</f>
        <v>0</v>
      </c>
      <c r="EA149" s="799">
        <f>IFERROR(INDEX(DevBdgt!$E$41:$EG$41,MATCH('Venture Summary - Mthly'!EA5-INDEX('Venture Assumptions'!$J$6:$J$40,MATCH($B$2,'Venture Assumptions'!$I$6:$I$40,0)),DevBdgt!$E$6:$EG$6,0)),0)</f>
        <v>0</v>
      </c>
      <c r="EB149" s="799">
        <f>IFERROR(INDEX(DevBdgt!$E$41:$EG$41,MATCH('Venture Summary - Mthly'!EB5-INDEX('Venture Assumptions'!$J$6:$J$40,MATCH($B$2,'Venture Assumptions'!$I$6:$I$40,0)),DevBdgt!$E$6:$EG$6,0)),0)</f>
        <v>0</v>
      </c>
      <c r="EC149" s="799">
        <f>IFERROR(INDEX(DevBdgt!$E$41:$EG$41,MATCH('Venture Summary - Mthly'!EC5-INDEX('Venture Assumptions'!$J$6:$J$40,MATCH($B$2,'Venture Assumptions'!$I$6:$I$40,0)),DevBdgt!$E$6:$EG$6,0)),0)</f>
        <v>0</v>
      </c>
      <c r="ED149" s="799">
        <f>IFERROR(INDEX(DevBdgt!$E$41:$EG$41,MATCH('Venture Summary - Mthly'!ED5-INDEX('Venture Assumptions'!$J$6:$J$40,MATCH($B$2,'Venture Assumptions'!$I$6:$I$40,0)),DevBdgt!$E$6:$EG$6,0)),0)</f>
        <v>0</v>
      </c>
      <c r="EE149" s="799">
        <f>IFERROR(INDEX(DevBdgt!$E$41:$EG$41,MATCH('Venture Summary - Mthly'!EE5-INDEX('Venture Assumptions'!$J$6:$J$40,MATCH($B$2,'Venture Assumptions'!$I$6:$I$40,0)),DevBdgt!$E$6:$EG$6,0)),0)</f>
        <v>0</v>
      </c>
      <c r="EF149" s="799">
        <f>IFERROR(INDEX(DevBdgt!$E$41:$EG$41,MATCH('Venture Summary - Mthly'!EF5-INDEX('Venture Assumptions'!$J$6:$J$40,MATCH($B$2,'Venture Assumptions'!$I$6:$I$40,0)),DevBdgt!$E$6:$EG$6,0)),0)</f>
        <v>0</v>
      </c>
      <c r="EG149" s="799">
        <f>IFERROR(INDEX(DevBdgt!$E$41:$EG$41,MATCH('Venture Summary - Mthly'!EG5-INDEX('Venture Assumptions'!$J$6:$J$40,MATCH($B$2,'Venture Assumptions'!$I$6:$I$40,0)),DevBdgt!$E$6:$EG$6,0)),0)</f>
        <v>0</v>
      </c>
      <c r="EH149" s="782"/>
    </row>
    <row r="150" spans="1:138" ht="12.75" customHeight="1" x14ac:dyDescent="0.3">
      <c r="A150" s="782"/>
      <c r="B150" s="782" t="s">
        <v>87</v>
      </c>
      <c r="C150" s="798">
        <f>SUM(C144:C149)</f>
        <v>-63896676.117669784</v>
      </c>
      <c r="D150" s="782"/>
      <c r="E150" s="798">
        <f>SUM(E144:E149)</f>
        <v>-1050423.5</v>
      </c>
      <c r="F150" s="798">
        <f>SUM(F144:F149)</f>
        <v>-5997408.1936934441</v>
      </c>
      <c r="G150" s="798">
        <f>SUM(G144:G149)</f>
        <v>-368187.04431192856</v>
      </c>
      <c r="H150" s="798">
        <f t="shared" ref="H150:BS150" si="132">SUM(H144:H149)</f>
        <v>-615695.54851589468</v>
      </c>
      <c r="I150" s="798">
        <f t="shared" si="132"/>
        <v>-1122028.9270153944</v>
      </c>
      <c r="J150" s="798">
        <f t="shared" si="132"/>
        <v>-1900122.5872554125</v>
      </c>
      <c r="K150" s="798">
        <f t="shared" si="132"/>
        <v>-1958954.7838261146</v>
      </c>
      <c r="L150" s="798">
        <f t="shared" si="132"/>
        <v>-2526233.5956293722</v>
      </c>
      <c r="M150" s="798">
        <f t="shared" si="132"/>
        <v>-3016988.876257977</v>
      </c>
      <c r="N150" s="798">
        <f t="shared" si="132"/>
        <v>-3550322.1249179924</v>
      </c>
      <c r="O150" s="798">
        <f t="shared" si="132"/>
        <v>-3679426.047952489</v>
      </c>
      <c r="P150" s="798">
        <f t="shared" si="132"/>
        <v>-3866905.3926454377</v>
      </c>
      <c r="Q150" s="798">
        <f t="shared" si="132"/>
        <v>-3895789.2856891551</v>
      </c>
      <c r="R150" s="798">
        <f t="shared" si="132"/>
        <v>-3912847.1270104419</v>
      </c>
      <c r="S150" s="798">
        <f t="shared" si="132"/>
        <v>-3550138.5228422158</v>
      </c>
      <c r="T150" s="798">
        <f t="shared" si="132"/>
        <v>-3420405.4936131057</v>
      </c>
      <c r="U150" s="798">
        <f t="shared" si="132"/>
        <v>-3127189.6240314711</v>
      </c>
      <c r="V150" s="798">
        <f t="shared" si="132"/>
        <v>-2801856.1040618001</v>
      </c>
      <c r="W150" s="798">
        <f t="shared" si="132"/>
        <v>-2801720.1308961576</v>
      </c>
      <c r="X150" s="798">
        <f t="shared" si="132"/>
        <v>-2582022.9332356728</v>
      </c>
      <c r="Y150" s="798">
        <f t="shared" si="132"/>
        <v>-2171451.8170496146</v>
      </c>
      <c r="Z150" s="798">
        <f t="shared" si="132"/>
        <v>-1864435.6688619775</v>
      </c>
      <c r="AA150" s="798">
        <f t="shared" si="132"/>
        <v>-1577401.5897837337</v>
      </c>
      <c r="AB150" s="798">
        <f t="shared" si="132"/>
        <v>-1088881.172087271</v>
      </c>
      <c r="AC150" s="798">
        <f t="shared" si="132"/>
        <v>-881458.24125633342</v>
      </c>
      <c r="AD150" s="798">
        <f t="shared" si="132"/>
        <v>-568381.78522937442</v>
      </c>
      <c r="AE150" s="798">
        <f t="shared" si="132"/>
        <v>0</v>
      </c>
      <c r="AF150" s="798">
        <f t="shared" si="132"/>
        <v>0</v>
      </c>
      <c r="AG150" s="798">
        <f t="shared" si="132"/>
        <v>0</v>
      </c>
      <c r="AH150" s="798">
        <f t="shared" si="132"/>
        <v>0</v>
      </c>
      <c r="AI150" s="798">
        <f t="shared" si="132"/>
        <v>0</v>
      </c>
      <c r="AJ150" s="798">
        <f t="shared" si="132"/>
        <v>0</v>
      </c>
      <c r="AK150" s="798">
        <f t="shared" si="132"/>
        <v>0</v>
      </c>
      <c r="AL150" s="798">
        <f t="shared" si="132"/>
        <v>0</v>
      </c>
      <c r="AM150" s="798">
        <f t="shared" si="132"/>
        <v>0</v>
      </c>
      <c r="AN150" s="798">
        <f t="shared" si="132"/>
        <v>0</v>
      </c>
      <c r="AO150" s="798">
        <f t="shared" si="132"/>
        <v>0</v>
      </c>
      <c r="AP150" s="798">
        <f t="shared" si="132"/>
        <v>0</v>
      </c>
      <c r="AQ150" s="798">
        <f t="shared" si="132"/>
        <v>0</v>
      </c>
      <c r="AR150" s="798">
        <f t="shared" si="132"/>
        <v>0</v>
      </c>
      <c r="AS150" s="798">
        <f t="shared" si="132"/>
        <v>0</v>
      </c>
      <c r="AT150" s="798">
        <f t="shared" si="132"/>
        <v>0</v>
      </c>
      <c r="AU150" s="798">
        <f t="shared" si="132"/>
        <v>0</v>
      </c>
      <c r="AV150" s="798">
        <f t="shared" si="132"/>
        <v>0</v>
      </c>
      <c r="AW150" s="798">
        <f t="shared" si="132"/>
        <v>0</v>
      </c>
      <c r="AX150" s="798">
        <f t="shared" si="132"/>
        <v>0</v>
      </c>
      <c r="AY150" s="798">
        <f t="shared" si="132"/>
        <v>0</v>
      </c>
      <c r="AZ150" s="798">
        <f t="shared" si="132"/>
        <v>0</v>
      </c>
      <c r="BA150" s="798">
        <f t="shared" si="132"/>
        <v>0</v>
      </c>
      <c r="BB150" s="798">
        <f t="shared" si="132"/>
        <v>0</v>
      </c>
      <c r="BC150" s="798">
        <f t="shared" si="132"/>
        <v>0</v>
      </c>
      <c r="BD150" s="798">
        <f t="shared" si="132"/>
        <v>0</v>
      </c>
      <c r="BE150" s="798">
        <f t="shared" si="132"/>
        <v>0</v>
      </c>
      <c r="BF150" s="798">
        <f t="shared" si="132"/>
        <v>0</v>
      </c>
      <c r="BG150" s="798">
        <f t="shared" si="132"/>
        <v>0</v>
      </c>
      <c r="BH150" s="798">
        <f t="shared" si="132"/>
        <v>0</v>
      </c>
      <c r="BI150" s="798">
        <f t="shared" si="132"/>
        <v>0</v>
      </c>
      <c r="BJ150" s="798">
        <f t="shared" si="132"/>
        <v>0</v>
      </c>
      <c r="BK150" s="798">
        <f t="shared" si="132"/>
        <v>0</v>
      </c>
      <c r="BL150" s="798">
        <f t="shared" si="132"/>
        <v>0</v>
      </c>
      <c r="BM150" s="798">
        <f t="shared" si="132"/>
        <v>0</v>
      </c>
      <c r="BN150" s="798">
        <f t="shared" si="132"/>
        <v>0</v>
      </c>
      <c r="BO150" s="798">
        <f t="shared" si="132"/>
        <v>0</v>
      </c>
      <c r="BP150" s="798">
        <f t="shared" si="132"/>
        <v>0</v>
      </c>
      <c r="BQ150" s="798">
        <f t="shared" si="132"/>
        <v>0</v>
      </c>
      <c r="BR150" s="798">
        <f t="shared" si="132"/>
        <v>0</v>
      </c>
      <c r="BS150" s="798">
        <f t="shared" si="132"/>
        <v>0</v>
      </c>
      <c r="BT150" s="798">
        <f t="shared" ref="BT150:EC150" si="133">SUM(BT144:BT149)</f>
        <v>0</v>
      </c>
      <c r="BU150" s="798">
        <f t="shared" si="133"/>
        <v>0</v>
      </c>
      <c r="BV150" s="798">
        <f t="shared" si="133"/>
        <v>0</v>
      </c>
      <c r="BW150" s="798">
        <f t="shared" si="133"/>
        <v>0</v>
      </c>
      <c r="BX150" s="798">
        <f t="shared" si="133"/>
        <v>0</v>
      </c>
      <c r="BY150" s="798">
        <f t="shared" si="133"/>
        <v>0</v>
      </c>
      <c r="BZ150" s="798">
        <f t="shared" si="133"/>
        <v>0</v>
      </c>
      <c r="CA150" s="798">
        <f t="shared" si="133"/>
        <v>0</v>
      </c>
      <c r="CB150" s="798">
        <f t="shared" si="133"/>
        <v>0</v>
      </c>
      <c r="CC150" s="798">
        <f t="shared" si="133"/>
        <v>0</v>
      </c>
      <c r="CD150" s="798">
        <f t="shared" si="133"/>
        <v>0</v>
      </c>
      <c r="CE150" s="798">
        <f t="shared" si="133"/>
        <v>0</v>
      </c>
      <c r="CF150" s="798">
        <f t="shared" si="133"/>
        <v>0</v>
      </c>
      <c r="CG150" s="798">
        <f t="shared" si="133"/>
        <v>0</v>
      </c>
      <c r="CH150" s="798">
        <f t="shared" si="133"/>
        <v>0</v>
      </c>
      <c r="CI150" s="798">
        <f t="shared" si="133"/>
        <v>0</v>
      </c>
      <c r="CJ150" s="798">
        <f t="shared" si="133"/>
        <v>0</v>
      </c>
      <c r="CK150" s="798">
        <f t="shared" si="133"/>
        <v>0</v>
      </c>
      <c r="CL150" s="798">
        <f t="shared" si="133"/>
        <v>0</v>
      </c>
      <c r="CM150" s="798">
        <f t="shared" si="133"/>
        <v>0</v>
      </c>
      <c r="CN150" s="798">
        <f t="shared" si="133"/>
        <v>0</v>
      </c>
      <c r="CO150" s="798">
        <f t="shared" si="133"/>
        <v>0</v>
      </c>
      <c r="CP150" s="798">
        <f t="shared" si="133"/>
        <v>0</v>
      </c>
      <c r="CQ150" s="798">
        <f t="shared" si="133"/>
        <v>0</v>
      </c>
      <c r="CR150" s="798">
        <f t="shared" si="133"/>
        <v>0</v>
      </c>
      <c r="CS150" s="798">
        <f t="shared" si="133"/>
        <v>0</v>
      </c>
      <c r="CT150" s="798">
        <f t="shared" si="133"/>
        <v>0</v>
      </c>
      <c r="CU150" s="798">
        <f t="shared" si="133"/>
        <v>0</v>
      </c>
      <c r="CV150" s="798">
        <f t="shared" si="133"/>
        <v>0</v>
      </c>
      <c r="CW150" s="798">
        <f t="shared" si="133"/>
        <v>0</v>
      </c>
      <c r="CX150" s="798">
        <f t="shared" si="133"/>
        <v>0</v>
      </c>
      <c r="CY150" s="798">
        <f t="shared" si="133"/>
        <v>0</v>
      </c>
      <c r="CZ150" s="798">
        <f t="shared" si="133"/>
        <v>0</v>
      </c>
      <c r="DA150" s="798">
        <f t="shared" si="133"/>
        <v>0</v>
      </c>
      <c r="DB150" s="798">
        <f t="shared" si="133"/>
        <v>0</v>
      </c>
      <c r="DC150" s="798">
        <f t="shared" si="133"/>
        <v>0</v>
      </c>
      <c r="DD150" s="798">
        <f t="shared" si="133"/>
        <v>0</v>
      </c>
      <c r="DE150" s="798">
        <f t="shared" si="133"/>
        <v>0</v>
      </c>
      <c r="DF150" s="798">
        <f t="shared" si="133"/>
        <v>0</v>
      </c>
      <c r="DG150" s="798">
        <f t="shared" si="133"/>
        <v>0</v>
      </c>
      <c r="DH150" s="798">
        <f t="shared" si="133"/>
        <v>0</v>
      </c>
      <c r="DI150" s="798">
        <f t="shared" si="133"/>
        <v>0</v>
      </c>
      <c r="DJ150" s="798">
        <f t="shared" si="133"/>
        <v>0</v>
      </c>
      <c r="DK150" s="798">
        <f t="shared" si="133"/>
        <v>0</v>
      </c>
      <c r="DL150" s="798">
        <f t="shared" si="133"/>
        <v>0</v>
      </c>
      <c r="DM150" s="798">
        <f t="shared" si="133"/>
        <v>0</v>
      </c>
      <c r="DN150" s="798">
        <f t="shared" si="133"/>
        <v>0</v>
      </c>
      <c r="DO150" s="798">
        <f t="shared" si="133"/>
        <v>0</v>
      </c>
      <c r="DP150" s="798">
        <f t="shared" si="133"/>
        <v>0</v>
      </c>
      <c r="DQ150" s="798">
        <f t="shared" si="133"/>
        <v>0</v>
      </c>
      <c r="DR150" s="798">
        <f t="shared" si="133"/>
        <v>0</v>
      </c>
      <c r="DS150" s="798">
        <f t="shared" si="133"/>
        <v>0</v>
      </c>
      <c r="DT150" s="798">
        <f t="shared" si="133"/>
        <v>0</v>
      </c>
      <c r="DU150" s="798">
        <f t="shared" si="133"/>
        <v>0</v>
      </c>
      <c r="DV150" s="798">
        <f t="shared" si="133"/>
        <v>0</v>
      </c>
      <c r="DW150" s="798">
        <f t="shared" si="133"/>
        <v>0</v>
      </c>
      <c r="DX150" s="798">
        <f t="shared" si="133"/>
        <v>0</v>
      </c>
      <c r="DY150" s="798">
        <f t="shared" si="133"/>
        <v>0</v>
      </c>
      <c r="DZ150" s="798">
        <f t="shared" si="133"/>
        <v>0</v>
      </c>
      <c r="EA150" s="798">
        <f t="shared" si="133"/>
        <v>0</v>
      </c>
      <c r="EB150" s="798">
        <f t="shared" si="133"/>
        <v>0</v>
      </c>
      <c r="EC150" s="798">
        <f t="shared" si="133"/>
        <v>0</v>
      </c>
      <c r="ED150" s="798">
        <f>SUM(ED144:ED149)</f>
        <v>0</v>
      </c>
      <c r="EE150" s="798">
        <f>SUM(EE144:EE149)</f>
        <v>0</v>
      </c>
      <c r="EF150" s="798">
        <f>SUM(EF144:EF149)</f>
        <v>0</v>
      </c>
      <c r="EG150" s="798">
        <f>SUM(EG144:EG149)</f>
        <v>0</v>
      </c>
      <c r="EH150" s="782"/>
    </row>
    <row r="151" spans="1:138" ht="12.75" customHeight="1" x14ac:dyDescent="0.3">
      <c r="A151" s="782"/>
      <c r="B151" s="782"/>
      <c r="C151" s="798"/>
      <c r="D151" s="782"/>
      <c r="E151" s="798"/>
      <c r="F151" s="798"/>
      <c r="G151" s="798"/>
      <c r="H151" s="798"/>
      <c r="I151" s="798"/>
      <c r="J151" s="798"/>
      <c r="K151" s="798"/>
      <c r="L151" s="798"/>
      <c r="M151" s="798"/>
      <c r="N151" s="798"/>
      <c r="O151" s="798"/>
      <c r="P151" s="798"/>
      <c r="Q151" s="798"/>
      <c r="R151" s="798"/>
      <c r="S151" s="798"/>
      <c r="T151" s="798"/>
      <c r="U151" s="798"/>
      <c r="V151" s="798"/>
      <c r="W151" s="798"/>
      <c r="X151" s="798"/>
      <c r="Y151" s="798"/>
      <c r="Z151" s="798"/>
      <c r="AA151" s="798"/>
      <c r="AB151" s="798"/>
      <c r="AC151" s="798"/>
      <c r="AD151" s="798"/>
      <c r="AE151" s="798"/>
      <c r="AF151" s="798"/>
      <c r="AG151" s="798"/>
      <c r="AH151" s="798"/>
      <c r="AI151" s="798"/>
      <c r="AJ151" s="798"/>
      <c r="AK151" s="798"/>
      <c r="AL151" s="798"/>
      <c r="AM151" s="798"/>
      <c r="AN151" s="798"/>
      <c r="AO151" s="798"/>
      <c r="AP151" s="798"/>
      <c r="AQ151" s="798"/>
      <c r="AR151" s="798"/>
      <c r="AS151" s="798"/>
      <c r="AT151" s="798"/>
      <c r="AU151" s="798"/>
      <c r="AV151" s="798"/>
      <c r="AW151" s="798"/>
      <c r="AX151" s="798"/>
      <c r="AY151" s="798"/>
      <c r="AZ151" s="798"/>
      <c r="BA151" s="798"/>
      <c r="BB151" s="798"/>
      <c r="BC151" s="798"/>
      <c r="BD151" s="798"/>
      <c r="BE151" s="798"/>
      <c r="BF151" s="798"/>
      <c r="BG151" s="798"/>
      <c r="BH151" s="798"/>
      <c r="BI151" s="798"/>
      <c r="BJ151" s="798"/>
      <c r="BK151" s="798"/>
      <c r="BL151" s="798"/>
      <c r="BM151" s="798"/>
      <c r="BN151" s="798"/>
      <c r="BO151" s="798"/>
      <c r="BP151" s="798"/>
      <c r="BQ151" s="798"/>
      <c r="BR151" s="798"/>
      <c r="BS151" s="798"/>
      <c r="BT151" s="798"/>
      <c r="BU151" s="798"/>
      <c r="BV151" s="798"/>
      <c r="BW151" s="798"/>
      <c r="BX151" s="798"/>
      <c r="BY151" s="798"/>
      <c r="BZ151" s="798"/>
      <c r="CA151" s="798"/>
      <c r="CB151" s="798"/>
      <c r="CC151" s="798"/>
      <c r="CD151" s="798"/>
      <c r="CE151" s="798"/>
      <c r="CF151" s="798"/>
      <c r="CG151" s="798"/>
      <c r="CH151" s="798"/>
      <c r="CI151" s="798"/>
      <c r="CJ151" s="798"/>
      <c r="CK151" s="798"/>
      <c r="CL151" s="798"/>
      <c r="CM151" s="798"/>
      <c r="CN151" s="798"/>
      <c r="CO151" s="798"/>
      <c r="CP151" s="798"/>
      <c r="CQ151" s="798"/>
      <c r="CR151" s="798"/>
      <c r="CS151" s="798"/>
      <c r="CT151" s="798"/>
      <c r="CU151" s="798"/>
      <c r="CV151" s="798"/>
      <c r="CW151" s="798"/>
      <c r="CX151" s="798"/>
      <c r="CY151" s="798"/>
      <c r="CZ151" s="798"/>
      <c r="DA151" s="798"/>
      <c r="DB151" s="798"/>
      <c r="DC151" s="798"/>
      <c r="DD151" s="798"/>
      <c r="DE151" s="798"/>
      <c r="DF151" s="798"/>
      <c r="DG151" s="798"/>
      <c r="DH151" s="798"/>
      <c r="DI151" s="798"/>
      <c r="DJ151" s="798"/>
      <c r="DK151" s="798"/>
      <c r="DL151" s="798"/>
      <c r="DM151" s="798"/>
      <c r="DN151" s="798"/>
      <c r="DO151" s="798"/>
      <c r="DP151" s="798"/>
      <c r="DQ151" s="798"/>
      <c r="DR151" s="798"/>
      <c r="DS151" s="798"/>
      <c r="DT151" s="798"/>
      <c r="DU151" s="798"/>
      <c r="DV151" s="798"/>
      <c r="DW151" s="798"/>
      <c r="DX151" s="798"/>
      <c r="DY151" s="798"/>
      <c r="DZ151" s="798"/>
      <c r="EA151" s="798"/>
      <c r="EB151" s="798"/>
      <c r="EC151" s="798"/>
      <c r="ED151" s="798"/>
      <c r="EE151" s="798"/>
      <c r="EF151" s="798"/>
      <c r="EG151" s="798"/>
      <c r="EH151" s="782"/>
    </row>
    <row r="152" spans="1:138" ht="12.75" customHeight="1" x14ac:dyDescent="0.3">
      <c r="A152" s="782"/>
      <c r="B152" s="782" t="s">
        <v>88</v>
      </c>
      <c r="C152" s="798"/>
      <c r="D152" s="782"/>
      <c r="E152" s="798">
        <f>-SUM($E$144:E144,$E$149:E149)</f>
        <v>1872006.9504114862</v>
      </c>
      <c r="F152" s="798">
        <f>-SUM($E$144:F144,$E$149:F149)</f>
        <v>16965374.768447112</v>
      </c>
      <c r="G152" s="798">
        <f>-SUM($E$144:G144,$E$149:G149)</f>
        <v>17336561.812759042</v>
      </c>
      <c r="H152" s="798">
        <f>-SUM($E$144:H144,$E$149:H149)</f>
        <v>17955257.361274939</v>
      </c>
      <c r="I152" s="798">
        <f>-SUM($E$144:I144,$E$149:I149)</f>
        <v>19080286.288290337</v>
      </c>
      <c r="J152" s="798">
        <f>-SUM($E$144:J144,$E$149:J149)</f>
        <v>20983408.875545751</v>
      </c>
      <c r="K152" s="798">
        <f>-SUM($E$144:K144,$E$149:K149)</f>
        <v>22945363.659371868</v>
      </c>
      <c r="L152" s="798">
        <f>-SUM($E$144:L144,$E$149:L149)</f>
        <v>25474597.255001239</v>
      </c>
      <c r="M152" s="798">
        <f>-SUM($E$144:M144,$E$149:M149)</f>
        <v>28494586.131259218</v>
      </c>
      <c r="N152" s="798">
        <f>-SUM($E$144:N144,$E$149:N149)</f>
        <v>32047908.256177213</v>
      </c>
      <c r="O152" s="798">
        <f>-SUM($E$144:O144,$E$149:O149)</f>
        <v>35730334.304129705</v>
      </c>
      <c r="P152" s="798">
        <f>-SUM($E$144:P144,$E$149:P149)</f>
        <v>39609511.55861681</v>
      </c>
      <c r="Q152" s="798">
        <f>-SUM($E$144:Q144,$E$149:Q149)</f>
        <v>43539160.829809718</v>
      </c>
      <c r="R152" s="798">
        <f>-SUM($E$144:R144,$E$149:R149)</f>
        <v>47507729.456078075</v>
      </c>
      <c r="S152" s="798">
        <f>-SUM($E$144:S144,$E$149:S149)</f>
        <v>51215576.121901765</v>
      </c>
      <c r="T152" s="798">
        <f>-SUM($E$144:T144,$E$149:T149)</f>
        <v>54816495.770014457</v>
      </c>
      <c r="U152" s="798">
        <f>-SUM($E$144:U144,$E$149:U149)</f>
        <v>58148815.356694989</v>
      </c>
      <c r="V152" s="798">
        <f>-SUM($E$144:V144,$E$149:V149)</f>
        <v>61144234.736852929</v>
      </c>
      <c r="W152" s="798">
        <f>-SUM($E$144:W144,$E$149:W149)</f>
        <v>64124025.071065463</v>
      </c>
      <c r="X152" s="798">
        <f>-SUM($E$144:X144,$E$149:X149)</f>
        <v>66858516.477923088</v>
      </c>
      <c r="Y152" s="798">
        <f>-SUM($E$144:Y144,$E$149:Y149)</f>
        <v>69159534.222180292</v>
      </c>
      <c r="Z152" s="798">
        <f>-SUM($E$144:Z144,$E$149:Z149)</f>
        <v>71120128.913776919</v>
      </c>
      <c r="AA152" s="798">
        <f>-SUM($E$144:AA144,$E$149:AA149)</f>
        <v>72749956.761050373</v>
      </c>
      <c r="AB152" s="798">
        <f>-SUM($E$144:AB144,$E$149:AB149)</f>
        <v>73845721.840993464</v>
      </c>
      <c r="AC152" s="798">
        <f>-SUM($E$144:AC144,$E$149:AC149)</f>
        <v>74730180.08224979</v>
      </c>
      <c r="AD152" s="798">
        <f>-SUM($E$144:AD144,$E$149:AD149)</f>
        <v>75301561.86747916</v>
      </c>
      <c r="AE152" s="798">
        <f>-SUM($E$144:AE144,$E$149:AE149)</f>
        <v>75301561.86747916</v>
      </c>
      <c r="AF152" s="798">
        <f>-SUM($E$144:AF144,$E$149:AF149)</f>
        <v>75301561.86747916</v>
      </c>
      <c r="AG152" s="798">
        <f>-SUM($E$144:AG144,$E$149:AG149)</f>
        <v>75301561.86747916</v>
      </c>
      <c r="AH152" s="798">
        <f>-SUM($E$144:AH144,$E$149:AH149)</f>
        <v>75301561.86747916</v>
      </c>
      <c r="AI152" s="798">
        <f>-SUM($E$144:AI144,$E$149:AI149)</f>
        <v>75301561.86747916</v>
      </c>
      <c r="AJ152" s="798">
        <f>-SUM($E$144:AJ144,$E$149:AJ149)</f>
        <v>75301561.86747916</v>
      </c>
      <c r="AK152" s="798">
        <f>-SUM($E$144:AK144,$E$149:AK149)</f>
        <v>75301561.86747916</v>
      </c>
      <c r="AL152" s="798">
        <f>-SUM($E$144:AL144,$E$149:AL149)</f>
        <v>75301561.86747916</v>
      </c>
      <c r="AM152" s="798">
        <f>-SUM($E$144:AM144,$E$149:AM149)</f>
        <v>75301561.86747916</v>
      </c>
      <c r="AN152" s="798">
        <f>-SUM($E$144:AN144,$E$149:AN149)</f>
        <v>75301561.86747916</v>
      </c>
      <c r="AO152" s="798">
        <f>-SUM($E$144:AO144,$E$149:AO149)</f>
        <v>75301561.86747916</v>
      </c>
      <c r="AP152" s="798">
        <f>-SUM($E$144:AP144,$E$149:AP149)</f>
        <v>75301561.86747916</v>
      </c>
      <c r="AQ152" s="798">
        <f>-SUM($E$144:AQ144,$E$149:AQ149)</f>
        <v>75301561.86747916</v>
      </c>
      <c r="AR152" s="798">
        <f>-SUM($E$144:AR144,$E$149:AR149)</f>
        <v>75301561.86747916</v>
      </c>
      <c r="AS152" s="798">
        <f>-SUM($E$144:AS144,$E$149:AS149)</f>
        <v>75301561.86747916</v>
      </c>
      <c r="AT152" s="798">
        <f>-SUM($E$144:AT144,$E$149:AT149)</f>
        <v>75301561.86747916</v>
      </c>
      <c r="AU152" s="798">
        <f>-SUM($E$144:AU144,$E$149:AU149)</f>
        <v>75301561.86747916</v>
      </c>
      <c r="AV152" s="798">
        <f>-SUM($E$144:AV144,$E$149:AV149)</f>
        <v>75301561.86747916</v>
      </c>
      <c r="AW152" s="798">
        <f>-SUM($E$144:AW144,$E$149:AW149)</f>
        <v>75301561.86747916</v>
      </c>
      <c r="AX152" s="798">
        <f>-SUM($E$144:AX144,$E$149:AX149)</f>
        <v>75301561.86747916</v>
      </c>
      <c r="AY152" s="798">
        <f>-SUM($E$144:AY144,$E$149:AY149)</f>
        <v>75301561.86747916</v>
      </c>
      <c r="AZ152" s="798">
        <f>-SUM($E$144:AZ144,$E$149:AZ149)</f>
        <v>75301561.86747916</v>
      </c>
      <c r="BA152" s="798">
        <f>-SUM($E$144:BA144,$E$149:BA149)</f>
        <v>75301561.86747916</v>
      </c>
      <c r="BB152" s="798">
        <f>-SUM($E$144:BB144,$E$149:BB149)</f>
        <v>75301561.86747916</v>
      </c>
      <c r="BC152" s="798">
        <f>-SUM($E$144:BC144,$E$149:BC149)</f>
        <v>75301561.86747916</v>
      </c>
      <c r="BD152" s="798">
        <f>-SUM($E$144:BD144,$E$149:BD149)</f>
        <v>75301561.86747916</v>
      </c>
      <c r="BE152" s="798">
        <f>-SUM($E$144:BE144,$E$149:BE149)</f>
        <v>75301561.86747916</v>
      </c>
      <c r="BF152" s="798">
        <f>-SUM($E$144:BF144,$E$149:BF149)</f>
        <v>75301561.86747916</v>
      </c>
      <c r="BG152" s="798">
        <f>-SUM($E$144:BG144,$E$149:BG149)</f>
        <v>75301561.86747916</v>
      </c>
      <c r="BH152" s="798">
        <f>-SUM($E$144:BH144,$E$149:BH149)</f>
        <v>75301561.86747916</v>
      </c>
      <c r="BI152" s="798">
        <f>-SUM($E$144:BI144,$E$149:BI149)</f>
        <v>75301561.86747916</v>
      </c>
      <c r="BJ152" s="798">
        <f>-SUM($E$144:BJ144,$E$149:BJ149)</f>
        <v>75301561.86747916</v>
      </c>
      <c r="BK152" s="798">
        <f>-SUM($E$144:BK144,$E$149:BK149)</f>
        <v>75301561.86747916</v>
      </c>
      <c r="BL152" s="798">
        <f>-SUM($E$144:BL144,$E$149:BL149)</f>
        <v>75301561.86747916</v>
      </c>
      <c r="BM152" s="798">
        <f>-SUM($E$144:BM144,$E$149:BM149)</f>
        <v>75301561.86747916</v>
      </c>
      <c r="BN152" s="798">
        <f>-SUM($E$144:BN144,$E$149:BN149)</f>
        <v>75301561.86747916</v>
      </c>
      <c r="BO152" s="798">
        <f>-SUM($E$144:BO144,$E$149:BO149)</f>
        <v>75301561.86747916</v>
      </c>
      <c r="BP152" s="798">
        <f>-SUM($E$144:BP144,$E$149:BP149)</f>
        <v>75301561.86747916</v>
      </c>
      <c r="BQ152" s="798">
        <f>-SUM($E$144:BQ144,$E$149:BQ149)</f>
        <v>75301561.86747916</v>
      </c>
      <c r="BR152" s="798">
        <f>-SUM($E$144:BR144,$E$149:BR149)</f>
        <v>75301561.86747916</v>
      </c>
      <c r="BS152" s="798">
        <f>-SUM($E$144:BS144,$E$149:BS149)</f>
        <v>75301561.86747916</v>
      </c>
      <c r="BT152" s="798">
        <f>-SUM($E$144:BT144,$E$149:BT149)</f>
        <v>75301561.86747916</v>
      </c>
      <c r="BU152" s="798">
        <f>-SUM($E$144:BU144,$E$149:BU149)</f>
        <v>75301561.86747916</v>
      </c>
      <c r="BV152" s="798">
        <f>-SUM($E$144:BV144,$E$149:BV149)</f>
        <v>75301561.86747916</v>
      </c>
      <c r="BW152" s="798">
        <f>-SUM($E$144:BW144,$E$149:BW149)</f>
        <v>75301561.86747916</v>
      </c>
      <c r="BX152" s="798">
        <f>-SUM($E$144:BX144,$E$149:BX149)</f>
        <v>75301561.86747916</v>
      </c>
      <c r="BY152" s="798">
        <f>-SUM($E$144:BY144,$E$149:BY149)</f>
        <v>75301561.86747916</v>
      </c>
      <c r="BZ152" s="798">
        <f>-SUM($E$144:BZ144,$E$149:BZ149)</f>
        <v>75301561.86747916</v>
      </c>
      <c r="CA152" s="798">
        <f>-SUM($E$144:CA144,$E$149:CA149)</f>
        <v>75301561.86747916</v>
      </c>
      <c r="CB152" s="798">
        <f>-SUM($E$144:CB144,$E$149:CB149)</f>
        <v>75301561.86747916</v>
      </c>
      <c r="CC152" s="798">
        <f>-SUM($E$144:CC144,$E$149:CC149)</f>
        <v>75301561.86747916</v>
      </c>
      <c r="CD152" s="798">
        <f>-SUM($E$144:CD144,$E$149:CD149)</f>
        <v>75301561.86747916</v>
      </c>
      <c r="CE152" s="798">
        <f>-SUM($E$144:CE144,$E$149:CE149)</f>
        <v>75301561.86747916</v>
      </c>
      <c r="CF152" s="798">
        <f>-SUM($E$144:CF144,$E$149:CF149)</f>
        <v>75301561.86747916</v>
      </c>
      <c r="CG152" s="798">
        <f>-SUM($E$144:CG144,$E$149:CG149)</f>
        <v>75301561.86747916</v>
      </c>
      <c r="CH152" s="798">
        <f>-SUM($E$144:CH144,$E$149:CH149)</f>
        <v>75301561.86747916</v>
      </c>
      <c r="CI152" s="798">
        <f>-SUM($E$144:CI144,$E$149:CI149)</f>
        <v>75301561.86747916</v>
      </c>
      <c r="CJ152" s="798">
        <f>-SUM($E$144:CJ144,$E$149:CJ149)</f>
        <v>75301561.86747916</v>
      </c>
      <c r="CK152" s="798">
        <f>-SUM($E$144:CK144,$E$149:CK149)</f>
        <v>75301561.86747916</v>
      </c>
      <c r="CL152" s="798">
        <f>-SUM($E$144:CL144,$E$149:CL149)</f>
        <v>75301561.86747916</v>
      </c>
      <c r="CM152" s="798">
        <f>-SUM($E$144:CM144,$E$149:CM149)</f>
        <v>75301561.86747916</v>
      </c>
      <c r="CN152" s="798">
        <f>-SUM($E$144:CN144,$E$149:CN149)</f>
        <v>75301561.86747916</v>
      </c>
      <c r="CO152" s="798">
        <f>-SUM($E$144:CO144,$E$149:CO149)</f>
        <v>75301561.86747916</v>
      </c>
      <c r="CP152" s="798">
        <f>-SUM($E$144:CP144,$E$149:CP149)</f>
        <v>75301561.86747916</v>
      </c>
      <c r="CQ152" s="798">
        <f>-SUM($E$144:CQ144,$E$149:CQ149)</f>
        <v>75301561.86747916</v>
      </c>
      <c r="CR152" s="798">
        <f>-SUM($E$144:CR144,$E$149:CR149)</f>
        <v>75301561.86747916</v>
      </c>
      <c r="CS152" s="798">
        <f>-SUM($E$144:CS144,$E$149:CS149)</f>
        <v>75301561.86747916</v>
      </c>
      <c r="CT152" s="798">
        <f>-SUM($E$144:CT144,$E$149:CT149)</f>
        <v>75301561.86747916</v>
      </c>
      <c r="CU152" s="798">
        <f>-SUM($E$144:CU144,$E$149:CU149)</f>
        <v>75301561.86747916</v>
      </c>
      <c r="CV152" s="798">
        <f>-SUM($E$144:CV144,$E$149:CV149)</f>
        <v>75301561.86747916</v>
      </c>
      <c r="CW152" s="798">
        <f>-SUM($E$144:CW144,$E$149:CW149)</f>
        <v>75301561.86747916</v>
      </c>
      <c r="CX152" s="798">
        <f>-SUM($E$144:CX144,$E$149:CX149)</f>
        <v>75301561.86747916</v>
      </c>
      <c r="CY152" s="798">
        <f>-SUM($E$144:CY144,$E$149:CY149)</f>
        <v>75301561.86747916</v>
      </c>
      <c r="CZ152" s="798">
        <f>-SUM($E$144:CZ144,$E$149:CZ149)</f>
        <v>75301561.86747916</v>
      </c>
      <c r="DA152" s="798">
        <f>-SUM($E$144:DA144,$E$149:DA149)</f>
        <v>75301561.86747916</v>
      </c>
      <c r="DB152" s="798">
        <f>-SUM($E$144:DB144,$E$149:DB149)</f>
        <v>75301561.86747916</v>
      </c>
      <c r="DC152" s="798">
        <f>-SUM($E$144:DC144,$E$149:DC149)</f>
        <v>75301561.86747916</v>
      </c>
      <c r="DD152" s="798">
        <f>-SUM($E$144:DD144,$E$149:DD149)</f>
        <v>75301561.86747916</v>
      </c>
      <c r="DE152" s="798">
        <f>-SUM($E$144:DE144,$E$149:DE149)</f>
        <v>75301561.86747916</v>
      </c>
      <c r="DF152" s="798">
        <f>-SUM($E$144:DF144,$E$149:DF149)</f>
        <v>75301561.86747916</v>
      </c>
      <c r="DG152" s="798">
        <f>-SUM($E$144:DG144,$E$149:DG149)</f>
        <v>75301561.86747916</v>
      </c>
      <c r="DH152" s="798">
        <f>-SUM($E$144:DH144,$E$149:DH149)</f>
        <v>75301561.86747916</v>
      </c>
      <c r="DI152" s="798">
        <f>-SUM($E$144:DI144,$E$149:DI149)</f>
        <v>75301561.86747916</v>
      </c>
      <c r="DJ152" s="798">
        <f>-SUM($E$144:DJ144,$E$149:DJ149)</f>
        <v>75301561.86747916</v>
      </c>
      <c r="DK152" s="798">
        <f>-SUM($E$144:DK144,$E$149:DK149)</f>
        <v>75301561.86747916</v>
      </c>
      <c r="DL152" s="798">
        <f>-SUM($E$144:DL144,$E$149:DL149)</f>
        <v>75301561.86747916</v>
      </c>
      <c r="DM152" s="798">
        <f>-SUM($E$144:DM144,$E$149:DM149)</f>
        <v>75301561.86747916</v>
      </c>
      <c r="DN152" s="798">
        <f>-SUM($E$144:DN144,$E$149:DN149)</f>
        <v>75301561.86747916</v>
      </c>
      <c r="DO152" s="798">
        <f>-SUM($E$144:DO144,$E$149:DO149)</f>
        <v>75301561.86747916</v>
      </c>
      <c r="DP152" s="798">
        <f>-SUM($E$144:DP144,$E$149:DP149)</f>
        <v>75301561.86747916</v>
      </c>
      <c r="DQ152" s="798">
        <f>-SUM($E$144:DQ144,$E$149:DQ149)</f>
        <v>75301561.86747916</v>
      </c>
      <c r="DR152" s="798">
        <f>-SUM($E$144:DR144,$E$149:DR149)</f>
        <v>75301561.86747916</v>
      </c>
      <c r="DS152" s="798">
        <f>-SUM($E$144:DS144,$E$149:DS149)</f>
        <v>75301561.86747916</v>
      </c>
      <c r="DT152" s="798">
        <f>-SUM($E$144:DT144,$E$149:DT149)</f>
        <v>75301561.86747916</v>
      </c>
      <c r="DU152" s="798">
        <f>-SUM($E$144:DU144,$E$149:DU149)</f>
        <v>75301561.86747916</v>
      </c>
      <c r="DV152" s="798">
        <f>-SUM($E$144:DV144,$E$149:DV149)</f>
        <v>75301561.86747916</v>
      </c>
      <c r="DW152" s="798">
        <f>-SUM($E$144:DW144,$E$149:DW149)</f>
        <v>75301561.86747916</v>
      </c>
      <c r="DX152" s="798">
        <f>-SUM($E$144:DX144,$E$149:DX149)</f>
        <v>75301561.86747916</v>
      </c>
      <c r="DY152" s="798">
        <f>-SUM($E$144:DY144,$E$149:DY149)</f>
        <v>75301561.86747916</v>
      </c>
      <c r="DZ152" s="798">
        <f>-SUM($E$144:DZ144,$E$149:DZ149)</f>
        <v>75301561.86747916</v>
      </c>
      <c r="EA152" s="798">
        <f>-SUM($E$144:EA144,$E$149:EA149)</f>
        <v>75301561.86747916</v>
      </c>
      <c r="EB152" s="798">
        <f>-SUM($E$144:EB144,$E$149:EB149)</f>
        <v>75301561.86747916</v>
      </c>
      <c r="EC152" s="798">
        <f>-SUM($E$144:EC144,$E$149:EC149)</f>
        <v>75301561.86747916</v>
      </c>
      <c r="ED152" s="798">
        <f>-SUM($E$144:ED144,$E$149:ED149)</f>
        <v>75301561.86747916</v>
      </c>
      <c r="EE152" s="798">
        <f>-SUM($E$144:EE144,$E$149:EE149)</f>
        <v>75301561.86747916</v>
      </c>
      <c r="EF152" s="798">
        <f>-SUM($E$144:EF144,$E$149:EF149)</f>
        <v>75301561.86747916</v>
      </c>
      <c r="EG152" s="798">
        <f>-SUM($E$144:EG144,$E$149:EG149)</f>
        <v>75301561.86747916</v>
      </c>
      <c r="EH152" s="782"/>
    </row>
    <row r="153" spans="1:138" ht="12.75" customHeight="1" x14ac:dyDescent="0.3">
      <c r="A153" s="782"/>
      <c r="B153" s="782"/>
      <c r="C153" s="798"/>
      <c r="D153" s="782"/>
      <c r="E153" s="798"/>
      <c r="F153" s="798"/>
      <c r="G153" s="798"/>
      <c r="H153" s="798"/>
      <c r="I153" s="798"/>
      <c r="J153" s="798"/>
      <c r="K153" s="798"/>
      <c r="L153" s="798"/>
      <c r="M153" s="798"/>
      <c r="N153" s="798"/>
      <c r="O153" s="798"/>
      <c r="P153" s="798"/>
      <c r="Q153" s="798"/>
      <c r="R153" s="798"/>
      <c r="S153" s="798"/>
      <c r="T153" s="798"/>
      <c r="U153" s="798"/>
      <c r="V153" s="798"/>
      <c r="W153" s="798"/>
      <c r="X153" s="798"/>
      <c r="Y153" s="798"/>
      <c r="Z153" s="798"/>
      <c r="AA153" s="798"/>
      <c r="AB153" s="798"/>
      <c r="AC153" s="798"/>
      <c r="AD153" s="798"/>
      <c r="AE153" s="798"/>
      <c r="AF153" s="798"/>
      <c r="AG153" s="798"/>
      <c r="AH153" s="798"/>
      <c r="AI153" s="798"/>
      <c r="AJ153" s="798"/>
      <c r="AK153" s="798"/>
      <c r="AL153" s="798"/>
      <c r="AM153" s="798"/>
      <c r="AN153" s="798"/>
      <c r="AO153" s="798"/>
      <c r="AP153" s="798"/>
      <c r="AQ153" s="798"/>
      <c r="AR153" s="798"/>
      <c r="AS153" s="798"/>
      <c r="AT153" s="798"/>
      <c r="AU153" s="798"/>
      <c r="AV153" s="798"/>
      <c r="AW153" s="798"/>
      <c r="AX153" s="798"/>
      <c r="AY153" s="798"/>
      <c r="AZ153" s="798"/>
      <c r="BA153" s="798"/>
      <c r="BB153" s="798"/>
      <c r="BC153" s="798"/>
      <c r="BD153" s="798"/>
      <c r="BE153" s="798"/>
      <c r="BF153" s="798"/>
      <c r="BG153" s="798"/>
      <c r="BH153" s="798"/>
      <c r="BI153" s="798"/>
      <c r="BJ153" s="798"/>
      <c r="BK153" s="798"/>
      <c r="BL153" s="798"/>
      <c r="BM153" s="798"/>
      <c r="BN153" s="798"/>
      <c r="BO153" s="798"/>
      <c r="BP153" s="798"/>
      <c r="BQ153" s="798"/>
      <c r="BR153" s="798"/>
      <c r="BS153" s="798"/>
      <c r="BT153" s="798"/>
      <c r="BU153" s="798"/>
      <c r="BV153" s="798"/>
      <c r="BW153" s="798"/>
      <c r="BX153" s="798"/>
      <c r="BY153" s="798"/>
      <c r="BZ153" s="798"/>
      <c r="CA153" s="798"/>
      <c r="CB153" s="798"/>
      <c r="CC153" s="798"/>
      <c r="CD153" s="798"/>
      <c r="CE153" s="798"/>
      <c r="CF153" s="798"/>
      <c r="CG153" s="798"/>
      <c r="CH153" s="798"/>
      <c r="CI153" s="798"/>
      <c r="CJ153" s="798"/>
      <c r="CK153" s="798"/>
      <c r="CL153" s="798"/>
      <c r="CM153" s="798"/>
      <c r="CN153" s="798"/>
      <c r="CO153" s="798"/>
      <c r="CP153" s="798"/>
      <c r="CQ153" s="798"/>
      <c r="CR153" s="798"/>
      <c r="CS153" s="798"/>
      <c r="CT153" s="798"/>
      <c r="CU153" s="798"/>
      <c r="CV153" s="798"/>
      <c r="CW153" s="798"/>
      <c r="CX153" s="798"/>
      <c r="CY153" s="798"/>
      <c r="CZ153" s="798"/>
      <c r="DA153" s="798"/>
      <c r="DB153" s="798"/>
      <c r="DC153" s="798"/>
      <c r="DD153" s="798"/>
      <c r="DE153" s="798"/>
      <c r="DF153" s="798"/>
      <c r="DG153" s="798"/>
      <c r="DH153" s="798"/>
      <c r="DI153" s="798"/>
      <c r="DJ153" s="798"/>
      <c r="DK153" s="798"/>
      <c r="DL153" s="798"/>
      <c r="DM153" s="798"/>
      <c r="DN153" s="798"/>
      <c r="DO153" s="798"/>
      <c r="DP153" s="798"/>
      <c r="DQ153" s="798"/>
      <c r="DR153" s="798"/>
      <c r="DS153" s="798"/>
      <c r="DT153" s="798"/>
      <c r="DU153" s="798"/>
      <c r="DV153" s="798"/>
      <c r="DW153" s="798"/>
      <c r="DX153" s="798"/>
      <c r="DY153" s="798"/>
      <c r="DZ153" s="798"/>
      <c r="EA153" s="798"/>
      <c r="EB153" s="798"/>
      <c r="EC153" s="798"/>
      <c r="ED153" s="798"/>
      <c r="EE153" s="798"/>
      <c r="EF153" s="798"/>
      <c r="EG153" s="798"/>
      <c r="EH153" s="782"/>
    </row>
    <row r="154" spans="1:138" ht="12.75" customHeight="1" x14ac:dyDescent="0.3">
      <c r="A154" s="782"/>
      <c r="B154" s="793" t="s">
        <v>89</v>
      </c>
      <c r="C154" s="794"/>
      <c r="D154" s="794"/>
      <c r="E154" s="794"/>
      <c r="F154" s="794"/>
      <c r="G154" s="794"/>
      <c r="H154" s="794"/>
      <c r="I154" s="794"/>
      <c r="J154" s="794"/>
      <c r="K154" s="794"/>
      <c r="L154" s="794"/>
      <c r="M154" s="794"/>
      <c r="N154" s="794"/>
      <c r="O154" s="794"/>
      <c r="P154" s="794"/>
      <c r="Q154" s="794"/>
      <c r="R154" s="794"/>
      <c r="S154" s="794"/>
      <c r="T154" s="794"/>
      <c r="U154" s="794"/>
      <c r="V154" s="794"/>
      <c r="W154" s="794"/>
      <c r="X154" s="794"/>
      <c r="Y154" s="794"/>
      <c r="Z154" s="794"/>
      <c r="AA154" s="794"/>
      <c r="AB154" s="794"/>
      <c r="AC154" s="794"/>
      <c r="AD154" s="794"/>
      <c r="AE154" s="794"/>
      <c r="AF154" s="794"/>
      <c r="AG154" s="794"/>
      <c r="AH154" s="794"/>
      <c r="AI154" s="794"/>
      <c r="AJ154" s="794"/>
      <c r="AK154" s="794"/>
      <c r="AL154" s="794"/>
      <c r="AM154" s="794"/>
      <c r="AN154" s="794"/>
      <c r="AO154" s="794"/>
      <c r="AP154" s="794"/>
      <c r="AQ154" s="794"/>
      <c r="AR154" s="794"/>
      <c r="AS154" s="794"/>
      <c r="AT154" s="794"/>
      <c r="AU154" s="794"/>
      <c r="AV154" s="794"/>
      <c r="AW154" s="794"/>
      <c r="AX154" s="794"/>
      <c r="AY154" s="794"/>
      <c r="AZ154" s="794"/>
      <c r="BA154" s="794"/>
      <c r="BB154" s="794"/>
      <c r="BC154" s="794"/>
      <c r="BD154" s="794"/>
      <c r="BE154" s="794"/>
      <c r="BF154" s="794"/>
      <c r="BG154" s="794"/>
      <c r="BH154" s="794"/>
      <c r="BI154" s="794"/>
      <c r="BJ154" s="794"/>
      <c r="BK154" s="794"/>
      <c r="BL154" s="794"/>
      <c r="BM154" s="794"/>
      <c r="BN154" s="794"/>
      <c r="BO154" s="794"/>
      <c r="BP154" s="794"/>
      <c r="BQ154" s="794"/>
      <c r="BR154" s="794"/>
      <c r="BS154" s="794"/>
      <c r="BT154" s="794"/>
      <c r="BU154" s="794"/>
      <c r="BV154" s="794"/>
      <c r="BW154" s="794"/>
      <c r="BX154" s="794"/>
      <c r="BY154" s="794"/>
      <c r="BZ154" s="794"/>
      <c r="CA154" s="794"/>
      <c r="CB154" s="794"/>
      <c r="CC154" s="794"/>
      <c r="CD154" s="794"/>
      <c r="CE154" s="794"/>
      <c r="CF154" s="794"/>
      <c r="CG154" s="794"/>
      <c r="CH154" s="794"/>
      <c r="CI154" s="794"/>
      <c r="CJ154" s="794"/>
      <c r="CK154" s="794"/>
      <c r="CL154" s="794"/>
      <c r="CM154" s="794"/>
      <c r="CN154" s="794"/>
      <c r="CO154" s="794"/>
      <c r="CP154" s="794"/>
      <c r="CQ154" s="794"/>
      <c r="CR154" s="794"/>
      <c r="CS154" s="794"/>
      <c r="CT154" s="794"/>
      <c r="CU154" s="794"/>
      <c r="CV154" s="794"/>
      <c r="CW154" s="794"/>
      <c r="CX154" s="794"/>
      <c r="CY154" s="794"/>
      <c r="CZ154" s="794"/>
      <c r="DA154" s="794"/>
      <c r="DB154" s="794"/>
      <c r="DC154" s="794"/>
      <c r="DD154" s="794"/>
      <c r="DE154" s="794"/>
      <c r="DF154" s="794"/>
      <c r="DG154" s="794"/>
      <c r="DH154" s="794"/>
      <c r="DI154" s="794"/>
      <c r="DJ154" s="794"/>
      <c r="DK154" s="794"/>
      <c r="DL154" s="794"/>
      <c r="DM154" s="794"/>
      <c r="DN154" s="794"/>
      <c r="DO154" s="794"/>
      <c r="DP154" s="794"/>
      <c r="DQ154" s="794"/>
      <c r="DR154" s="794"/>
      <c r="DS154" s="794"/>
      <c r="DT154" s="794"/>
      <c r="DU154" s="794"/>
      <c r="DV154" s="794"/>
      <c r="DW154" s="794"/>
      <c r="DX154" s="794"/>
      <c r="DY154" s="794"/>
      <c r="DZ154" s="794"/>
      <c r="EA154" s="794"/>
      <c r="EB154" s="794"/>
      <c r="EC154" s="794"/>
      <c r="ED154" s="794"/>
      <c r="EE154" s="794"/>
      <c r="EF154" s="794"/>
      <c r="EG154" s="794"/>
      <c r="EH154" s="794"/>
    </row>
    <row r="155" spans="1:138" ht="12.75" customHeight="1" x14ac:dyDescent="0.3">
      <c r="A155" s="782"/>
      <c r="B155" s="782"/>
      <c r="C155" s="782"/>
      <c r="D155" s="782"/>
      <c r="E155" s="782"/>
      <c r="F155" s="782"/>
      <c r="G155" s="782"/>
      <c r="H155" s="782"/>
      <c r="I155" s="782"/>
      <c r="J155" s="782"/>
      <c r="K155" s="782"/>
      <c r="L155" s="782"/>
      <c r="M155" s="782"/>
      <c r="N155" s="782"/>
      <c r="O155" s="782"/>
      <c r="P155" s="782"/>
      <c r="Q155" s="782"/>
      <c r="R155" s="782"/>
      <c r="S155" s="782"/>
      <c r="T155" s="782"/>
      <c r="U155" s="782"/>
      <c r="V155" s="782"/>
      <c r="W155" s="782"/>
      <c r="X155" s="782"/>
      <c r="Y155" s="782"/>
      <c r="Z155" s="782"/>
      <c r="AA155" s="782"/>
      <c r="AB155" s="782"/>
      <c r="AC155" s="782"/>
      <c r="AD155" s="782"/>
      <c r="AE155" s="782"/>
      <c r="AF155" s="782"/>
      <c r="AG155" s="782"/>
      <c r="AH155" s="782"/>
      <c r="AI155" s="782"/>
      <c r="AJ155" s="782"/>
      <c r="AK155" s="782"/>
      <c r="AL155" s="782"/>
      <c r="AM155" s="782"/>
      <c r="AN155" s="782"/>
      <c r="AO155" s="782"/>
      <c r="AP155" s="782"/>
      <c r="AQ155" s="782"/>
      <c r="AR155" s="782"/>
      <c r="AS155" s="782"/>
      <c r="AT155" s="782"/>
      <c r="AU155" s="782"/>
      <c r="AV155" s="782"/>
      <c r="AW155" s="782"/>
      <c r="AX155" s="782"/>
      <c r="AY155" s="782"/>
      <c r="AZ155" s="782"/>
      <c r="BA155" s="782"/>
      <c r="BB155" s="782"/>
      <c r="BC155" s="782"/>
      <c r="BD155" s="782"/>
      <c r="BE155" s="782"/>
      <c r="BF155" s="782"/>
      <c r="BG155" s="782"/>
      <c r="BH155" s="782"/>
      <c r="BI155" s="782"/>
      <c r="BJ155" s="782"/>
      <c r="BK155" s="782"/>
      <c r="BL155" s="782"/>
      <c r="BM155" s="782"/>
      <c r="BN155" s="782"/>
      <c r="BO155" s="782"/>
      <c r="BP155" s="782"/>
      <c r="BQ155" s="782"/>
      <c r="BR155" s="782"/>
      <c r="BS155" s="782"/>
      <c r="BT155" s="782"/>
      <c r="BU155" s="782"/>
      <c r="BV155" s="782"/>
      <c r="BW155" s="782"/>
      <c r="BX155" s="782"/>
      <c r="BY155" s="782"/>
      <c r="BZ155" s="782"/>
      <c r="CA155" s="782"/>
      <c r="CB155" s="782"/>
      <c r="CC155" s="782"/>
      <c r="CD155" s="782"/>
      <c r="CE155" s="782"/>
      <c r="CF155" s="782"/>
      <c r="CG155" s="782"/>
      <c r="CH155" s="782"/>
      <c r="CI155" s="782"/>
      <c r="CJ155" s="782"/>
      <c r="CK155" s="782"/>
      <c r="CL155" s="782"/>
      <c r="CM155" s="782"/>
      <c r="CN155" s="782"/>
      <c r="CO155" s="782"/>
      <c r="CP155" s="782"/>
      <c r="CQ155" s="782"/>
      <c r="CR155" s="782"/>
      <c r="CS155" s="782"/>
      <c r="CT155" s="782"/>
      <c r="CU155" s="782"/>
      <c r="CV155" s="782"/>
      <c r="CW155" s="782"/>
      <c r="CX155" s="782"/>
      <c r="CY155" s="782"/>
      <c r="CZ155" s="782"/>
      <c r="DA155" s="782"/>
      <c r="DB155" s="782"/>
      <c r="DC155" s="782"/>
      <c r="DD155" s="782"/>
      <c r="DE155" s="782"/>
      <c r="DF155" s="782"/>
      <c r="DG155" s="782"/>
      <c r="DH155" s="782"/>
      <c r="DI155" s="782"/>
      <c r="DJ155" s="782"/>
      <c r="DK155" s="782"/>
      <c r="DL155" s="782"/>
      <c r="DM155" s="782"/>
      <c r="DN155" s="782"/>
      <c r="DO155" s="782"/>
      <c r="DP155" s="782"/>
      <c r="DQ155" s="782"/>
      <c r="DR155" s="782"/>
      <c r="DS155" s="782"/>
      <c r="DT155" s="782"/>
      <c r="DU155" s="782"/>
      <c r="DV155" s="782"/>
      <c r="DW155" s="782"/>
      <c r="DX155" s="782"/>
      <c r="DY155" s="782"/>
      <c r="DZ155" s="782"/>
      <c r="EA155" s="782"/>
      <c r="EB155" s="782"/>
      <c r="EC155" s="782"/>
      <c r="ED155" s="782"/>
      <c r="EE155" s="782"/>
      <c r="EF155" s="782"/>
      <c r="EG155" s="782"/>
      <c r="EH155" s="782"/>
    </row>
    <row r="156" spans="1:138" ht="12.75" customHeight="1" x14ac:dyDescent="0.3">
      <c r="A156" s="782"/>
      <c r="B156" s="782" t="s">
        <v>90</v>
      </c>
      <c r="C156" s="1150">
        <f>+MAX(E156:EG156)</f>
        <v>256</v>
      </c>
      <c r="D156" s="782"/>
      <c r="E156" s="798">
        <f>IFERROR(INDEX(OperBgt!$G$19:$EH$19,MATCH('Venture Summary - Mthly'!E5-INDEX('Venture Assumptions'!$J$6:$J$40,MATCH($B$2,'Venture Assumptions'!$I$6:$I$40,0)),OperBgt!$G$5:$EH$5,0)),0)</f>
        <v>0</v>
      </c>
      <c r="F156" s="798">
        <f>IFERROR(INDEX(OperBgt!$G$19:$EH$19,MATCH('Venture Summary - Mthly'!F5-INDEX('Venture Assumptions'!$J$6:$J$40,MATCH($B$2,'Venture Assumptions'!$I$6:$I$40,0)),OperBgt!$G$5:$EH$5,0)),0)</f>
        <v>0</v>
      </c>
      <c r="G156" s="798">
        <f>IFERROR(INDEX(OperBgt!$G$19:$EH$19,MATCH('Venture Summary - Mthly'!G5-INDEX('Venture Assumptions'!$J$6:$J$40,MATCH($B$2,'Venture Assumptions'!$I$6:$I$40,0)),OperBgt!$G$5:$EH$5,0)),0)</f>
        <v>0</v>
      </c>
      <c r="H156" s="798">
        <f>IFERROR(INDEX(OperBgt!$G$19:$EH$19,MATCH('Venture Summary - Mthly'!H5-INDEX('Venture Assumptions'!$J$6:$J$40,MATCH($B$2,'Venture Assumptions'!$I$6:$I$40,0)),OperBgt!$G$5:$EH$5,0)),0)</f>
        <v>0</v>
      </c>
      <c r="I156" s="798">
        <f>IFERROR(INDEX(OperBgt!$G$19:$EH$19,MATCH('Venture Summary - Mthly'!I5-INDEX('Venture Assumptions'!$J$6:$J$40,MATCH($B$2,'Venture Assumptions'!$I$6:$I$40,0)),OperBgt!$G$5:$EH$5,0)),0)</f>
        <v>0</v>
      </c>
      <c r="J156" s="798">
        <f>IFERROR(INDEX(OperBgt!$G$19:$EH$19,MATCH('Venture Summary - Mthly'!J5-INDEX('Venture Assumptions'!$J$6:$J$40,MATCH($B$2,'Venture Assumptions'!$I$6:$I$40,0)),OperBgt!$G$5:$EH$5,0)),0)</f>
        <v>0</v>
      </c>
      <c r="K156" s="798">
        <f>IFERROR(INDEX(OperBgt!$G$19:$EH$19,MATCH('Venture Summary - Mthly'!K5-INDEX('Venture Assumptions'!$J$6:$J$40,MATCH($B$2,'Venture Assumptions'!$I$6:$I$40,0)),OperBgt!$G$5:$EH$5,0)),0)</f>
        <v>0</v>
      </c>
      <c r="L156" s="798">
        <f>IFERROR(INDEX(OperBgt!$G$19:$EH$19,MATCH('Venture Summary - Mthly'!L5-INDEX('Venture Assumptions'!$J$6:$J$40,MATCH($B$2,'Venture Assumptions'!$I$6:$I$40,0)),OperBgt!$G$5:$EH$5,0)),0)</f>
        <v>0</v>
      </c>
      <c r="M156" s="798">
        <f>IFERROR(INDEX(OperBgt!$G$19:$EH$19,MATCH('Venture Summary - Mthly'!M5-INDEX('Venture Assumptions'!$J$6:$J$40,MATCH($B$2,'Venture Assumptions'!$I$6:$I$40,0)),OperBgt!$G$5:$EH$5,0)),0)</f>
        <v>0</v>
      </c>
      <c r="N156" s="798">
        <f>IFERROR(INDEX(OperBgt!$G$19:$EH$19,MATCH('Venture Summary - Mthly'!N5-INDEX('Venture Assumptions'!$J$6:$J$40,MATCH($B$2,'Venture Assumptions'!$I$6:$I$40,0)),OperBgt!$G$5:$EH$5,0)),0)</f>
        <v>0</v>
      </c>
      <c r="O156" s="798">
        <f>IFERROR(INDEX(OperBgt!$G$19:$EH$19,MATCH('Venture Summary - Mthly'!O5-INDEX('Venture Assumptions'!$J$6:$J$40,MATCH($B$2,'Venture Assumptions'!$I$6:$I$40,0)),OperBgt!$G$5:$EH$5,0)),0)</f>
        <v>0</v>
      </c>
      <c r="P156" s="798">
        <f>IFERROR(INDEX(OperBgt!$G$19:$EH$19,MATCH('Venture Summary - Mthly'!P5-INDEX('Venture Assumptions'!$J$6:$J$40,MATCH($B$2,'Venture Assumptions'!$I$6:$I$40,0)),OperBgt!$G$5:$EH$5,0)),0)</f>
        <v>0</v>
      </c>
      <c r="Q156" s="798">
        <f>IFERROR(INDEX(OperBgt!$G$19:$EH$19,MATCH('Venture Summary - Mthly'!Q5-INDEX('Venture Assumptions'!$J$6:$J$40,MATCH($B$2,'Venture Assumptions'!$I$6:$I$40,0)),OperBgt!$G$5:$EH$5,0)),0)</f>
        <v>0</v>
      </c>
      <c r="R156" s="798">
        <f>IFERROR(INDEX(OperBgt!$G$19:$EH$19,MATCH('Venture Summary - Mthly'!R5-INDEX('Venture Assumptions'!$J$6:$J$40,MATCH($B$2,'Venture Assumptions'!$I$6:$I$40,0)),OperBgt!$G$5:$EH$5,0)),0)</f>
        <v>0</v>
      </c>
      <c r="S156" s="798">
        <f>IFERROR(INDEX(OperBgt!$G$19:$EH$19,MATCH('Venture Summary - Mthly'!S5-INDEX('Venture Assumptions'!$J$6:$J$40,MATCH($B$2,'Venture Assumptions'!$I$6:$I$40,0)),OperBgt!$G$5:$EH$5,0)),0)</f>
        <v>21.333333333333332</v>
      </c>
      <c r="T156" s="798">
        <f>IFERROR(INDEX(OperBgt!$G$19:$EH$19,MATCH('Venture Summary - Mthly'!T5-INDEX('Venture Assumptions'!$J$6:$J$40,MATCH($B$2,'Venture Assumptions'!$I$6:$I$40,0)),OperBgt!$G$5:$EH$5,0)),0)</f>
        <v>42.666666666666664</v>
      </c>
      <c r="U156" s="798">
        <f>IFERROR(INDEX(OperBgt!$G$19:$EH$19,MATCH('Venture Summary - Mthly'!U5-INDEX('Venture Assumptions'!$J$6:$J$40,MATCH($B$2,'Venture Assumptions'!$I$6:$I$40,0)),OperBgt!$G$5:$EH$5,0)),0)</f>
        <v>64</v>
      </c>
      <c r="V156" s="798">
        <f>IFERROR(INDEX(OperBgt!$G$19:$EH$19,MATCH('Venture Summary - Mthly'!V5-INDEX('Venture Assumptions'!$J$6:$J$40,MATCH($B$2,'Venture Assumptions'!$I$6:$I$40,0)),OperBgt!$G$5:$EH$5,0)),0)</f>
        <v>85.333333333333329</v>
      </c>
      <c r="W156" s="798">
        <f>IFERROR(INDEX(OperBgt!$G$19:$EH$19,MATCH('Venture Summary - Mthly'!W5-INDEX('Venture Assumptions'!$J$6:$J$40,MATCH($B$2,'Venture Assumptions'!$I$6:$I$40,0)),OperBgt!$G$5:$EH$5,0)),0)</f>
        <v>106.66666666666666</v>
      </c>
      <c r="X156" s="798">
        <f>IFERROR(INDEX(OperBgt!$G$19:$EH$19,MATCH('Venture Summary - Mthly'!X5-INDEX('Venture Assumptions'!$J$6:$J$40,MATCH($B$2,'Venture Assumptions'!$I$6:$I$40,0)),OperBgt!$G$5:$EH$5,0)),0)</f>
        <v>127.99999999999999</v>
      </c>
      <c r="Y156" s="798">
        <f>IFERROR(INDEX(OperBgt!$G$19:$EH$19,MATCH('Venture Summary - Mthly'!Y5-INDEX('Venture Assumptions'!$J$6:$J$40,MATCH($B$2,'Venture Assumptions'!$I$6:$I$40,0)),OperBgt!$G$5:$EH$5,0)),0)</f>
        <v>149.33333333333331</v>
      </c>
      <c r="Z156" s="798">
        <f>IFERROR(INDEX(OperBgt!$G$19:$EH$19,MATCH('Venture Summary - Mthly'!Z5-INDEX('Venture Assumptions'!$J$6:$J$40,MATCH($B$2,'Venture Assumptions'!$I$6:$I$40,0)),OperBgt!$G$5:$EH$5,0)),0)</f>
        <v>170.66666666666666</v>
      </c>
      <c r="AA156" s="798">
        <f>IFERROR(INDEX(OperBgt!$G$19:$EH$19,MATCH('Venture Summary - Mthly'!AA5-INDEX('Venture Assumptions'!$J$6:$J$40,MATCH($B$2,'Venture Assumptions'!$I$6:$I$40,0)),OperBgt!$G$5:$EH$5,0)),0)</f>
        <v>192</v>
      </c>
      <c r="AB156" s="798">
        <f>IFERROR(INDEX(OperBgt!$G$19:$EH$19,MATCH('Venture Summary - Mthly'!AB5-INDEX('Venture Assumptions'!$J$6:$J$40,MATCH($B$2,'Venture Assumptions'!$I$6:$I$40,0)),OperBgt!$G$5:$EH$5,0)),0)</f>
        <v>213.33333333333334</v>
      </c>
      <c r="AC156" s="798">
        <f>IFERROR(INDEX(OperBgt!$G$19:$EH$19,MATCH('Venture Summary - Mthly'!AC5-INDEX('Venture Assumptions'!$J$6:$J$40,MATCH($B$2,'Venture Assumptions'!$I$6:$I$40,0)),OperBgt!$G$5:$EH$5,0)),0)</f>
        <v>234.66666666666669</v>
      </c>
      <c r="AD156" s="798">
        <f>IFERROR(INDEX(OperBgt!$G$19:$EH$19,MATCH('Venture Summary - Mthly'!AD5-INDEX('Venture Assumptions'!$J$6:$J$40,MATCH($B$2,'Venture Assumptions'!$I$6:$I$40,0)),OperBgt!$G$5:$EH$5,0)),0)</f>
        <v>256</v>
      </c>
      <c r="AE156" s="798">
        <f>IFERROR(INDEX(OperBgt!$G$19:$EH$19,MATCH('Venture Summary - Mthly'!AE5-INDEX('Venture Assumptions'!$J$6:$J$40,MATCH($B$2,'Venture Assumptions'!$I$6:$I$40,0)),OperBgt!$G$5:$EH$5,0)),0)</f>
        <v>256</v>
      </c>
      <c r="AF156" s="798">
        <f>IFERROR(INDEX(OperBgt!$G$19:$EH$19,MATCH('Venture Summary - Mthly'!AF5-INDEX('Venture Assumptions'!$J$6:$J$40,MATCH($B$2,'Venture Assumptions'!$I$6:$I$40,0)),OperBgt!$G$5:$EH$5,0)),0)</f>
        <v>256</v>
      </c>
      <c r="AG156" s="798">
        <f>IFERROR(INDEX(OperBgt!$G$19:$EH$19,MATCH('Venture Summary - Mthly'!AG5-INDEX('Venture Assumptions'!$J$6:$J$40,MATCH($B$2,'Venture Assumptions'!$I$6:$I$40,0)),OperBgt!$G$5:$EH$5,0)),0)</f>
        <v>256</v>
      </c>
      <c r="AH156" s="798">
        <f>IFERROR(INDEX(OperBgt!$G$19:$EH$19,MATCH('Venture Summary - Mthly'!AH5-INDEX('Venture Assumptions'!$J$6:$J$40,MATCH($B$2,'Venture Assumptions'!$I$6:$I$40,0)),OperBgt!$G$5:$EH$5,0)),0)</f>
        <v>256</v>
      </c>
      <c r="AI156" s="798">
        <f>IFERROR(INDEX(OperBgt!$G$19:$EH$19,MATCH('Venture Summary - Mthly'!AI5-INDEX('Venture Assumptions'!$J$6:$J$40,MATCH($B$2,'Venture Assumptions'!$I$6:$I$40,0)),OperBgt!$G$5:$EH$5,0)),0)</f>
        <v>256</v>
      </c>
      <c r="AJ156" s="798">
        <f>IFERROR(INDEX(OperBgt!$G$19:$EH$19,MATCH('Venture Summary - Mthly'!AJ5-INDEX('Venture Assumptions'!$J$6:$J$40,MATCH($B$2,'Venture Assumptions'!$I$6:$I$40,0)),OperBgt!$G$5:$EH$5,0)),0)</f>
        <v>256</v>
      </c>
      <c r="AK156" s="798">
        <f>IFERROR(INDEX(OperBgt!$G$19:$EH$19,MATCH('Venture Summary - Mthly'!AK5-INDEX('Venture Assumptions'!$J$6:$J$40,MATCH($B$2,'Venture Assumptions'!$I$6:$I$40,0)),OperBgt!$G$5:$EH$5,0)),0)</f>
        <v>256</v>
      </c>
      <c r="AL156" s="798">
        <f>IFERROR(INDEX(OperBgt!$G$19:$EH$19,MATCH('Venture Summary - Mthly'!AL5-INDEX('Venture Assumptions'!$J$6:$J$40,MATCH($B$2,'Venture Assumptions'!$I$6:$I$40,0)),OperBgt!$G$5:$EH$5,0)),0)</f>
        <v>256</v>
      </c>
      <c r="AM156" s="798">
        <f>IFERROR(INDEX(OperBgt!$G$19:$EH$19,MATCH('Venture Summary - Mthly'!AM5-INDEX('Venture Assumptions'!$J$6:$J$40,MATCH($B$2,'Venture Assumptions'!$I$6:$I$40,0)),OperBgt!$G$5:$EH$5,0)),0)</f>
        <v>256</v>
      </c>
      <c r="AN156" s="798">
        <f>IFERROR(INDEX(OperBgt!$G$19:$EH$19,MATCH('Venture Summary - Mthly'!AN5-INDEX('Venture Assumptions'!$J$6:$J$40,MATCH($B$2,'Venture Assumptions'!$I$6:$I$40,0)),OperBgt!$G$5:$EH$5,0)),0)</f>
        <v>256</v>
      </c>
      <c r="AO156" s="798">
        <f>IFERROR(INDEX(OperBgt!$G$19:$EH$19,MATCH('Venture Summary - Mthly'!AO5-INDEX('Venture Assumptions'!$J$6:$J$40,MATCH($B$2,'Venture Assumptions'!$I$6:$I$40,0)),OperBgt!$G$5:$EH$5,0)),0)</f>
        <v>256</v>
      </c>
      <c r="AP156" s="798">
        <f>IFERROR(INDEX(OperBgt!$G$19:$EH$19,MATCH('Venture Summary - Mthly'!AP5-INDEX('Venture Assumptions'!$J$6:$J$40,MATCH($B$2,'Venture Assumptions'!$I$6:$I$40,0)),OperBgt!$G$5:$EH$5,0)),0)</f>
        <v>256</v>
      </c>
      <c r="AQ156" s="798">
        <f>IFERROR(INDEX(OperBgt!$G$19:$EH$19,MATCH('Venture Summary - Mthly'!AQ5-INDEX('Venture Assumptions'!$J$6:$J$40,MATCH($B$2,'Venture Assumptions'!$I$6:$I$40,0)),OperBgt!$G$5:$EH$5,0)),0)</f>
        <v>256</v>
      </c>
      <c r="AR156" s="798">
        <f>IFERROR(INDEX(OperBgt!$G$19:$EH$19,MATCH('Venture Summary - Mthly'!AR5-INDEX('Venture Assumptions'!$J$6:$J$40,MATCH($B$2,'Venture Assumptions'!$I$6:$I$40,0)),OperBgt!$G$5:$EH$5,0)),0)</f>
        <v>256</v>
      </c>
      <c r="AS156" s="798">
        <f>IFERROR(INDEX(OperBgt!$G$19:$EH$19,MATCH('Venture Summary - Mthly'!AS5-INDEX('Venture Assumptions'!$J$6:$J$40,MATCH($B$2,'Venture Assumptions'!$I$6:$I$40,0)),OperBgt!$G$5:$EH$5,0)),0)</f>
        <v>256</v>
      </c>
      <c r="AT156" s="798">
        <f>IFERROR(INDEX(OperBgt!$G$19:$EH$19,MATCH('Venture Summary - Mthly'!AT5-INDEX('Venture Assumptions'!$J$6:$J$40,MATCH($B$2,'Venture Assumptions'!$I$6:$I$40,0)),OperBgt!$G$5:$EH$5,0)),0)</f>
        <v>256</v>
      </c>
      <c r="AU156" s="798">
        <f>IFERROR(INDEX(OperBgt!$G$19:$EH$19,MATCH('Venture Summary - Mthly'!AU5-INDEX('Venture Assumptions'!$J$6:$J$40,MATCH($B$2,'Venture Assumptions'!$I$6:$I$40,0)),OperBgt!$G$5:$EH$5,0)),0)</f>
        <v>256</v>
      </c>
      <c r="AV156" s="798">
        <f>IFERROR(INDEX(OperBgt!$G$19:$EH$19,MATCH('Venture Summary - Mthly'!AV5-INDEX('Venture Assumptions'!$J$6:$J$40,MATCH($B$2,'Venture Assumptions'!$I$6:$I$40,0)),OperBgt!$G$5:$EH$5,0)),0)</f>
        <v>256</v>
      </c>
      <c r="AW156" s="798">
        <f>IFERROR(INDEX(OperBgt!$G$19:$EH$19,MATCH('Venture Summary - Mthly'!AW5-INDEX('Venture Assumptions'!$J$6:$J$40,MATCH($B$2,'Venture Assumptions'!$I$6:$I$40,0)),OperBgt!$G$5:$EH$5,0)),0)</f>
        <v>256</v>
      </c>
      <c r="AX156" s="798">
        <f>IFERROR(INDEX(OperBgt!$G$19:$EH$19,MATCH('Venture Summary - Mthly'!AX5-INDEX('Venture Assumptions'!$J$6:$J$40,MATCH($B$2,'Venture Assumptions'!$I$6:$I$40,0)),OperBgt!$G$5:$EH$5,0)),0)</f>
        <v>256</v>
      </c>
      <c r="AY156" s="798">
        <f>IFERROR(INDEX(OperBgt!$G$19:$EH$19,MATCH('Venture Summary - Mthly'!AY5-INDEX('Venture Assumptions'!$J$6:$J$40,MATCH($B$2,'Venture Assumptions'!$I$6:$I$40,0)),OperBgt!$G$5:$EH$5,0)),0)</f>
        <v>256</v>
      </c>
      <c r="AZ156" s="798">
        <f>IFERROR(INDEX(OperBgt!$G$19:$EH$19,MATCH('Venture Summary - Mthly'!AZ5-INDEX('Venture Assumptions'!$J$6:$J$40,MATCH($B$2,'Venture Assumptions'!$I$6:$I$40,0)),OperBgt!$G$5:$EH$5,0)),0)</f>
        <v>256</v>
      </c>
      <c r="BA156" s="798">
        <f>IFERROR(INDEX(OperBgt!$G$19:$EH$19,MATCH('Venture Summary - Mthly'!BA5-INDEX('Venture Assumptions'!$J$6:$J$40,MATCH($B$2,'Venture Assumptions'!$I$6:$I$40,0)),OperBgt!$G$5:$EH$5,0)),0)</f>
        <v>256</v>
      </c>
      <c r="BB156" s="798">
        <f>IFERROR(INDEX(OperBgt!$G$19:$EH$19,MATCH('Venture Summary - Mthly'!BB5-INDEX('Venture Assumptions'!$J$6:$J$40,MATCH($B$2,'Venture Assumptions'!$I$6:$I$40,0)),OperBgt!$G$5:$EH$5,0)),0)</f>
        <v>256</v>
      </c>
      <c r="BC156" s="798">
        <f>IFERROR(INDEX(OperBgt!$G$19:$EH$19,MATCH('Venture Summary - Mthly'!BC5-INDEX('Venture Assumptions'!$J$6:$J$40,MATCH($B$2,'Venture Assumptions'!$I$6:$I$40,0)),OperBgt!$G$5:$EH$5,0)),0)</f>
        <v>256</v>
      </c>
      <c r="BD156" s="798">
        <f>IFERROR(INDEX(OperBgt!$G$19:$EH$19,MATCH('Venture Summary - Mthly'!BD5-INDEX('Venture Assumptions'!$J$6:$J$40,MATCH($B$2,'Venture Assumptions'!$I$6:$I$40,0)),OperBgt!$G$5:$EH$5,0)),0)</f>
        <v>256</v>
      </c>
      <c r="BE156" s="798">
        <f>IFERROR(INDEX(OperBgt!$G$19:$EH$19,MATCH('Venture Summary - Mthly'!BE5-INDEX('Venture Assumptions'!$J$6:$J$40,MATCH($B$2,'Venture Assumptions'!$I$6:$I$40,0)),OperBgt!$G$5:$EH$5,0)),0)</f>
        <v>256</v>
      </c>
      <c r="BF156" s="798">
        <f>IFERROR(INDEX(OperBgt!$G$19:$EH$19,MATCH('Venture Summary - Mthly'!BF5-INDEX('Venture Assumptions'!$J$6:$J$40,MATCH($B$2,'Venture Assumptions'!$I$6:$I$40,0)),OperBgt!$G$5:$EH$5,0)),0)</f>
        <v>256</v>
      </c>
      <c r="BG156" s="798">
        <f>IFERROR(INDEX(OperBgt!$G$19:$EH$19,MATCH('Venture Summary - Mthly'!BG5-INDEX('Venture Assumptions'!$J$6:$J$40,MATCH($B$2,'Venture Assumptions'!$I$6:$I$40,0)),OperBgt!$G$5:$EH$5,0)),0)</f>
        <v>256</v>
      </c>
      <c r="BH156" s="798">
        <f>IFERROR(INDEX(OperBgt!$G$19:$EH$19,MATCH('Venture Summary - Mthly'!BH5-INDEX('Venture Assumptions'!$J$6:$J$40,MATCH($B$2,'Venture Assumptions'!$I$6:$I$40,0)),OperBgt!$G$5:$EH$5,0)),0)</f>
        <v>256</v>
      </c>
      <c r="BI156" s="798">
        <f>IFERROR(INDEX(OperBgt!$G$19:$EH$19,MATCH('Venture Summary - Mthly'!BI5-INDEX('Venture Assumptions'!$J$6:$J$40,MATCH($B$2,'Venture Assumptions'!$I$6:$I$40,0)),OperBgt!$G$5:$EH$5,0)),0)</f>
        <v>256</v>
      </c>
      <c r="BJ156" s="798">
        <f>IFERROR(INDEX(OperBgt!$G$19:$EH$19,MATCH('Venture Summary - Mthly'!BJ5-INDEX('Venture Assumptions'!$J$6:$J$40,MATCH($B$2,'Venture Assumptions'!$I$6:$I$40,0)),OperBgt!$G$5:$EH$5,0)),0)</f>
        <v>256</v>
      </c>
      <c r="BK156" s="798">
        <f>IFERROR(INDEX(OperBgt!$G$19:$EH$19,MATCH('Venture Summary - Mthly'!BK5-INDEX('Venture Assumptions'!$J$6:$J$40,MATCH($B$2,'Venture Assumptions'!$I$6:$I$40,0)),OperBgt!$G$5:$EH$5,0)),0)</f>
        <v>256</v>
      </c>
      <c r="BL156" s="798">
        <f>IFERROR(INDEX(OperBgt!$G$19:$EH$19,MATCH('Venture Summary - Mthly'!BL5-INDEX('Venture Assumptions'!$J$6:$J$40,MATCH($B$2,'Venture Assumptions'!$I$6:$I$40,0)),OperBgt!$G$5:$EH$5,0)),0)</f>
        <v>256</v>
      </c>
      <c r="BM156" s="798">
        <f>IFERROR(INDEX(OperBgt!$G$19:$EH$19,MATCH('Venture Summary - Mthly'!BM5-INDEX('Venture Assumptions'!$J$6:$J$40,MATCH($B$2,'Venture Assumptions'!$I$6:$I$40,0)),OperBgt!$G$5:$EH$5,0)),0)</f>
        <v>256</v>
      </c>
      <c r="BN156" s="798">
        <f>IFERROR(INDEX(OperBgt!$G$19:$EH$19,MATCH('Venture Summary - Mthly'!BN5-INDEX('Venture Assumptions'!$J$6:$J$40,MATCH($B$2,'Venture Assumptions'!$I$6:$I$40,0)),OperBgt!$G$5:$EH$5,0)),0)</f>
        <v>256</v>
      </c>
      <c r="BO156" s="798">
        <f>IFERROR(INDEX(OperBgt!$G$19:$EH$19,MATCH('Venture Summary - Mthly'!BO5-INDEX('Venture Assumptions'!$J$6:$J$40,MATCH($B$2,'Venture Assumptions'!$I$6:$I$40,0)),OperBgt!$G$5:$EH$5,0)),0)</f>
        <v>256</v>
      </c>
      <c r="BP156" s="798">
        <f>IFERROR(INDEX(OperBgt!$G$19:$EH$19,MATCH('Venture Summary - Mthly'!BP5-INDEX('Venture Assumptions'!$J$6:$J$40,MATCH($B$2,'Venture Assumptions'!$I$6:$I$40,0)),OperBgt!$G$5:$EH$5,0)),0)</f>
        <v>256</v>
      </c>
      <c r="BQ156" s="798">
        <f>IFERROR(INDEX(OperBgt!$G$19:$EH$19,MATCH('Venture Summary - Mthly'!BQ5-INDEX('Venture Assumptions'!$J$6:$J$40,MATCH($B$2,'Venture Assumptions'!$I$6:$I$40,0)),OperBgt!$G$5:$EH$5,0)),0)</f>
        <v>256</v>
      </c>
      <c r="BR156" s="798">
        <f>IFERROR(INDEX(OperBgt!$G$19:$EH$19,MATCH('Venture Summary - Mthly'!BR5-INDEX('Venture Assumptions'!$J$6:$J$40,MATCH($B$2,'Venture Assumptions'!$I$6:$I$40,0)),OperBgt!$G$5:$EH$5,0)),0)</f>
        <v>256</v>
      </c>
      <c r="BS156" s="798">
        <f>IFERROR(INDEX(OperBgt!$G$19:$EH$19,MATCH('Venture Summary - Mthly'!BS5-INDEX('Venture Assumptions'!$J$6:$J$40,MATCH($B$2,'Venture Assumptions'!$I$6:$I$40,0)),OperBgt!$G$5:$EH$5,0)),0)</f>
        <v>256</v>
      </c>
      <c r="BT156" s="798">
        <f>IFERROR(INDEX(OperBgt!$G$19:$EH$19,MATCH('Venture Summary - Mthly'!BT5-INDEX('Venture Assumptions'!$J$6:$J$40,MATCH($B$2,'Venture Assumptions'!$I$6:$I$40,0)),OperBgt!$G$5:$EH$5,0)),0)</f>
        <v>256</v>
      </c>
      <c r="BU156" s="798">
        <f>IFERROR(INDEX(OperBgt!$G$19:$EH$19,MATCH('Venture Summary - Mthly'!BU5-INDEX('Venture Assumptions'!$J$6:$J$40,MATCH($B$2,'Venture Assumptions'!$I$6:$I$40,0)),OperBgt!$G$5:$EH$5,0)),0)</f>
        <v>256</v>
      </c>
      <c r="BV156" s="798">
        <f>IFERROR(INDEX(OperBgt!$G$19:$EH$19,MATCH('Venture Summary - Mthly'!BV5-INDEX('Venture Assumptions'!$J$6:$J$40,MATCH($B$2,'Venture Assumptions'!$I$6:$I$40,0)),OperBgt!$G$5:$EH$5,0)),0)</f>
        <v>256</v>
      </c>
      <c r="BW156" s="798">
        <f>IFERROR(INDEX(OperBgt!$G$19:$EH$19,MATCH('Venture Summary - Mthly'!BW5-INDEX('Venture Assumptions'!$J$6:$J$40,MATCH($B$2,'Venture Assumptions'!$I$6:$I$40,0)),OperBgt!$G$5:$EH$5,0)),0)</f>
        <v>256</v>
      </c>
      <c r="BX156" s="798">
        <f>IFERROR(INDEX(OperBgt!$G$19:$EH$19,MATCH('Venture Summary - Mthly'!BX5-INDEX('Venture Assumptions'!$J$6:$J$40,MATCH($B$2,'Venture Assumptions'!$I$6:$I$40,0)),OperBgt!$G$5:$EH$5,0)),0)</f>
        <v>256</v>
      </c>
      <c r="BY156" s="798">
        <f>IFERROR(INDEX(OperBgt!$G$19:$EH$19,MATCH('Venture Summary - Mthly'!BY5-INDEX('Venture Assumptions'!$J$6:$J$40,MATCH($B$2,'Venture Assumptions'!$I$6:$I$40,0)),OperBgt!$G$5:$EH$5,0)),0)</f>
        <v>256</v>
      </c>
      <c r="BZ156" s="798">
        <f>IFERROR(INDEX(OperBgt!$G$19:$EH$19,MATCH('Venture Summary - Mthly'!BZ5-INDEX('Venture Assumptions'!$J$6:$J$40,MATCH($B$2,'Venture Assumptions'!$I$6:$I$40,0)),OperBgt!$G$5:$EH$5,0)),0)</f>
        <v>256</v>
      </c>
      <c r="CA156" s="798">
        <f>IFERROR(INDEX(OperBgt!$G$19:$EH$19,MATCH('Venture Summary - Mthly'!CA5-INDEX('Venture Assumptions'!$J$6:$J$40,MATCH($B$2,'Venture Assumptions'!$I$6:$I$40,0)),OperBgt!$G$5:$EH$5,0)),0)</f>
        <v>256</v>
      </c>
      <c r="CB156" s="798">
        <f>IFERROR(INDEX(OperBgt!$G$19:$EH$19,MATCH('Venture Summary - Mthly'!CB5-INDEX('Venture Assumptions'!$J$6:$J$40,MATCH($B$2,'Venture Assumptions'!$I$6:$I$40,0)),OperBgt!$G$5:$EH$5,0)),0)</f>
        <v>256</v>
      </c>
      <c r="CC156" s="798">
        <f>IFERROR(INDEX(OperBgt!$G$19:$EH$19,MATCH('Venture Summary - Mthly'!CC5-INDEX('Venture Assumptions'!$J$6:$J$40,MATCH($B$2,'Venture Assumptions'!$I$6:$I$40,0)),OperBgt!$G$5:$EH$5,0)),0)</f>
        <v>256</v>
      </c>
      <c r="CD156" s="798">
        <f>IFERROR(INDEX(OperBgt!$G$19:$EH$19,MATCH('Venture Summary - Mthly'!CD5-INDEX('Venture Assumptions'!$J$6:$J$40,MATCH($B$2,'Venture Assumptions'!$I$6:$I$40,0)),OperBgt!$G$5:$EH$5,0)),0)</f>
        <v>256</v>
      </c>
      <c r="CE156" s="798">
        <f>IFERROR(INDEX(OperBgt!$G$19:$EH$19,MATCH('Venture Summary - Mthly'!CE5-INDEX('Venture Assumptions'!$J$6:$J$40,MATCH($B$2,'Venture Assumptions'!$I$6:$I$40,0)),OperBgt!$G$5:$EH$5,0)),0)</f>
        <v>256</v>
      </c>
      <c r="CF156" s="798">
        <f>IFERROR(INDEX(OperBgt!$G$19:$EH$19,MATCH('Venture Summary - Mthly'!CF5-INDEX('Venture Assumptions'!$J$6:$J$40,MATCH($B$2,'Venture Assumptions'!$I$6:$I$40,0)),OperBgt!$G$5:$EH$5,0)),0)</f>
        <v>256</v>
      </c>
      <c r="CG156" s="798">
        <f>IFERROR(INDEX(OperBgt!$G$19:$EH$19,MATCH('Venture Summary - Mthly'!CG5-INDEX('Venture Assumptions'!$J$6:$J$40,MATCH($B$2,'Venture Assumptions'!$I$6:$I$40,0)),OperBgt!$G$5:$EH$5,0)),0)</f>
        <v>256</v>
      </c>
      <c r="CH156" s="798">
        <f>IFERROR(INDEX(OperBgt!$G$19:$EH$19,MATCH('Venture Summary - Mthly'!CH5-INDEX('Venture Assumptions'!$J$6:$J$40,MATCH($B$2,'Venture Assumptions'!$I$6:$I$40,0)),OperBgt!$G$5:$EH$5,0)),0)</f>
        <v>256</v>
      </c>
      <c r="CI156" s="798">
        <f>IFERROR(INDEX(OperBgt!$G$19:$EH$19,MATCH('Venture Summary - Mthly'!CI5-INDEX('Venture Assumptions'!$J$6:$J$40,MATCH($B$2,'Venture Assumptions'!$I$6:$I$40,0)),OperBgt!$G$5:$EH$5,0)),0)</f>
        <v>256</v>
      </c>
      <c r="CJ156" s="798">
        <f>IFERROR(INDEX(OperBgt!$G$19:$EH$19,MATCH('Venture Summary - Mthly'!CJ5-INDEX('Venture Assumptions'!$J$6:$J$40,MATCH($B$2,'Venture Assumptions'!$I$6:$I$40,0)),OperBgt!$G$5:$EH$5,0)),0)</f>
        <v>256</v>
      </c>
      <c r="CK156" s="798">
        <f>IFERROR(INDEX(OperBgt!$G$19:$EH$19,MATCH('Venture Summary - Mthly'!CK5-INDEX('Venture Assumptions'!$J$6:$J$40,MATCH($B$2,'Venture Assumptions'!$I$6:$I$40,0)),OperBgt!$G$5:$EH$5,0)),0)</f>
        <v>256</v>
      </c>
      <c r="CL156" s="798">
        <f>IFERROR(INDEX(OperBgt!$G$19:$EH$19,MATCH('Venture Summary - Mthly'!CL5-INDEX('Venture Assumptions'!$J$6:$J$40,MATCH($B$2,'Venture Assumptions'!$I$6:$I$40,0)),OperBgt!$G$5:$EH$5,0)),0)</f>
        <v>256</v>
      </c>
      <c r="CM156" s="798">
        <f>IFERROR(INDEX(OperBgt!$G$19:$EH$19,MATCH('Venture Summary - Mthly'!CM5-INDEX('Venture Assumptions'!$J$6:$J$40,MATCH($B$2,'Venture Assumptions'!$I$6:$I$40,0)),OperBgt!$G$5:$EH$5,0)),0)</f>
        <v>256</v>
      </c>
      <c r="CN156" s="798">
        <f>IFERROR(INDEX(OperBgt!$G$19:$EH$19,MATCH('Venture Summary - Mthly'!CN5-INDEX('Venture Assumptions'!$J$6:$J$40,MATCH($B$2,'Venture Assumptions'!$I$6:$I$40,0)),OperBgt!$G$5:$EH$5,0)),0)</f>
        <v>256</v>
      </c>
      <c r="CO156" s="798">
        <f>IFERROR(INDEX(OperBgt!$G$19:$EH$19,MATCH('Venture Summary - Mthly'!CO5-INDEX('Venture Assumptions'!$J$6:$J$40,MATCH($B$2,'Venture Assumptions'!$I$6:$I$40,0)),OperBgt!$G$5:$EH$5,0)),0)</f>
        <v>256</v>
      </c>
      <c r="CP156" s="798">
        <f>IFERROR(INDEX(OperBgt!$G$19:$EH$19,MATCH('Venture Summary - Mthly'!CP5-INDEX('Venture Assumptions'!$J$6:$J$40,MATCH($B$2,'Venture Assumptions'!$I$6:$I$40,0)),OperBgt!$G$5:$EH$5,0)),0)</f>
        <v>256</v>
      </c>
      <c r="CQ156" s="798">
        <f>IFERROR(INDEX(OperBgt!$G$19:$EH$19,MATCH('Venture Summary - Mthly'!CQ5-INDEX('Venture Assumptions'!$J$6:$J$40,MATCH($B$2,'Venture Assumptions'!$I$6:$I$40,0)),OperBgt!$G$5:$EH$5,0)),0)</f>
        <v>256</v>
      </c>
      <c r="CR156" s="798">
        <f>IFERROR(INDEX(OperBgt!$G$19:$EH$19,MATCH('Venture Summary - Mthly'!CR5-INDEX('Venture Assumptions'!$J$6:$J$40,MATCH($B$2,'Venture Assumptions'!$I$6:$I$40,0)),OperBgt!$G$5:$EH$5,0)),0)</f>
        <v>256</v>
      </c>
      <c r="CS156" s="798">
        <f>IFERROR(INDEX(OperBgt!$G$19:$EH$19,MATCH('Venture Summary - Mthly'!CS5-INDEX('Venture Assumptions'!$J$6:$J$40,MATCH($B$2,'Venture Assumptions'!$I$6:$I$40,0)),OperBgt!$G$5:$EH$5,0)),0)</f>
        <v>256</v>
      </c>
      <c r="CT156" s="798">
        <f>IFERROR(INDEX(OperBgt!$G$19:$EH$19,MATCH('Venture Summary - Mthly'!CT5-INDEX('Venture Assumptions'!$J$6:$J$40,MATCH($B$2,'Venture Assumptions'!$I$6:$I$40,0)),OperBgt!$G$5:$EH$5,0)),0)</f>
        <v>256</v>
      </c>
      <c r="CU156" s="798">
        <f>IFERROR(INDEX(OperBgt!$G$19:$EH$19,MATCH('Venture Summary - Mthly'!CU5-INDEX('Venture Assumptions'!$J$6:$J$40,MATCH($B$2,'Venture Assumptions'!$I$6:$I$40,0)),OperBgt!$G$5:$EH$5,0)),0)</f>
        <v>256</v>
      </c>
      <c r="CV156" s="798">
        <f>IFERROR(INDEX(OperBgt!$G$19:$EH$19,MATCH('Venture Summary - Mthly'!CV5-INDEX('Venture Assumptions'!$J$6:$J$40,MATCH($B$2,'Venture Assumptions'!$I$6:$I$40,0)),OperBgt!$G$5:$EH$5,0)),0)</f>
        <v>256</v>
      </c>
      <c r="CW156" s="798">
        <f>IFERROR(INDEX(OperBgt!$G$19:$EH$19,MATCH('Venture Summary - Mthly'!CW5-INDEX('Venture Assumptions'!$J$6:$J$40,MATCH($B$2,'Venture Assumptions'!$I$6:$I$40,0)),OperBgt!$G$5:$EH$5,0)),0)</f>
        <v>256</v>
      </c>
      <c r="CX156" s="798">
        <f>IFERROR(INDEX(OperBgt!$G$19:$EH$19,MATCH('Venture Summary - Mthly'!CX5-INDEX('Venture Assumptions'!$J$6:$J$40,MATCH($B$2,'Venture Assumptions'!$I$6:$I$40,0)),OperBgt!$G$5:$EH$5,0)),0)</f>
        <v>256</v>
      </c>
      <c r="CY156" s="798">
        <f>IFERROR(INDEX(OperBgt!$G$19:$EH$19,MATCH('Venture Summary - Mthly'!CY5-INDEX('Venture Assumptions'!$J$6:$J$40,MATCH($B$2,'Venture Assumptions'!$I$6:$I$40,0)),OperBgt!$G$5:$EH$5,0)),0)</f>
        <v>256</v>
      </c>
      <c r="CZ156" s="798">
        <f>IFERROR(INDEX(OperBgt!$G$19:$EH$19,MATCH('Venture Summary - Mthly'!CZ5-INDEX('Venture Assumptions'!$J$6:$J$40,MATCH($B$2,'Venture Assumptions'!$I$6:$I$40,0)),OperBgt!$G$5:$EH$5,0)),0)</f>
        <v>256</v>
      </c>
      <c r="DA156" s="798">
        <f>IFERROR(INDEX(OperBgt!$G$19:$EH$19,MATCH('Venture Summary - Mthly'!DA5-INDEX('Venture Assumptions'!$J$6:$J$40,MATCH($B$2,'Venture Assumptions'!$I$6:$I$40,0)),OperBgt!$G$5:$EH$5,0)),0)</f>
        <v>256</v>
      </c>
      <c r="DB156" s="798">
        <f>IFERROR(INDEX(OperBgt!$G$19:$EH$19,MATCH('Venture Summary - Mthly'!DB5-INDEX('Venture Assumptions'!$J$6:$J$40,MATCH($B$2,'Venture Assumptions'!$I$6:$I$40,0)),OperBgt!$G$5:$EH$5,0)),0)</f>
        <v>256</v>
      </c>
      <c r="DC156" s="798">
        <f>IFERROR(INDEX(OperBgt!$G$19:$EH$19,MATCH('Venture Summary - Mthly'!DC5-INDEX('Venture Assumptions'!$J$6:$J$40,MATCH($B$2,'Venture Assumptions'!$I$6:$I$40,0)),OperBgt!$G$5:$EH$5,0)),0)</f>
        <v>256</v>
      </c>
      <c r="DD156" s="798">
        <f>IFERROR(INDEX(OperBgt!$G$19:$EH$19,MATCH('Venture Summary - Mthly'!DD5-INDEX('Venture Assumptions'!$J$6:$J$40,MATCH($B$2,'Venture Assumptions'!$I$6:$I$40,0)),OperBgt!$G$5:$EH$5,0)),0)</f>
        <v>256</v>
      </c>
      <c r="DE156" s="798">
        <f>IFERROR(INDEX(OperBgt!$G$19:$EH$19,MATCH('Venture Summary - Mthly'!DE5-INDEX('Venture Assumptions'!$J$6:$J$40,MATCH($B$2,'Venture Assumptions'!$I$6:$I$40,0)),OperBgt!$G$5:$EH$5,0)),0)</f>
        <v>256</v>
      </c>
      <c r="DF156" s="798">
        <f>IFERROR(INDEX(OperBgt!$G$19:$EH$19,MATCH('Venture Summary - Mthly'!DF5-INDEX('Venture Assumptions'!$J$6:$J$40,MATCH($B$2,'Venture Assumptions'!$I$6:$I$40,0)),OperBgt!$G$5:$EH$5,0)),0)</f>
        <v>256</v>
      </c>
      <c r="DG156" s="798">
        <f>IFERROR(INDEX(OperBgt!$G$19:$EH$19,MATCH('Venture Summary - Mthly'!DG5-INDEX('Venture Assumptions'!$J$6:$J$40,MATCH($B$2,'Venture Assumptions'!$I$6:$I$40,0)),OperBgt!$G$5:$EH$5,0)),0)</f>
        <v>256</v>
      </c>
      <c r="DH156" s="798">
        <f>IFERROR(INDEX(OperBgt!$G$19:$EH$19,MATCH('Venture Summary - Mthly'!DH5-INDEX('Venture Assumptions'!$J$6:$J$40,MATCH($B$2,'Venture Assumptions'!$I$6:$I$40,0)),OperBgt!$G$5:$EH$5,0)),0)</f>
        <v>256</v>
      </c>
      <c r="DI156" s="798">
        <f>IFERROR(INDEX(OperBgt!$G$19:$EH$19,MATCH('Venture Summary - Mthly'!DI5-INDEX('Venture Assumptions'!$J$6:$J$40,MATCH($B$2,'Venture Assumptions'!$I$6:$I$40,0)),OperBgt!$G$5:$EH$5,0)),0)</f>
        <v>256</v>
      </c>
      <c r="DJ156" s="798">
        <f>IFERROR(INDEX(OperBgt!$G$19:$EH$19,MATCH('Venture Summary - Mthly'!DJ5-INDEX('Venture Assumptions'!$J$6:$J$40,MATCH($B$2,'Venture Assumptions'!$I$6:$I$40,0)),OperBgt!$G$5:$EH$5,0)),0)</f>
        <v>256</v>
      </c>
      <c r="DK156" s="798">
        <f>IFERROR(INDEX(OperBgt!$G$19:$EH$19,MATCH('Venture Summary - Mthly'!DK5-INDEX('Venture Assumptions'!$J$6:$J$40,MATCH($B$2,'Venture Assumptions'!$I$6:$I$40,0)),OperBgt!$G$5:$EH$5,0)),0)</f>
        <v>256</v>
      </c>
      <c r="DL156" s="798">
        <f>IFERROR(INDEX(OperBgt!$G$19:$EH$19,MATCH('Venture Summary - Mthly'!DL5-INDEX('Venture Assumptions'!$J$6:$J$40,MATCH($B$2,'Venture Assumptions'!$I$6:$I$40,0)),OperBgt!$G$5:$EH$5,0)),0)</f>
        <v>256</v>
      </c>
      <c r="DM156" s="798">
        <f>IFERROR(INDEX(OperBgt!$G$19:$EH$19,MATCH('Venture Summary - Mthly'!DM5-INDEX('Venture Assumptions'!$J$6:$J$40,MATCH($B$2,'Venture Assumptions'!$I$6:$I$40,0)),OperBgt!$G$5:$EH$5,0)),0)</f>
        <v>256</v>
      </c>
      <c r="DN156" s="798">
        <f>IFERROR(INDEX(OperBgt!$G$19:$EH$19,MATCH('Venture Summary - Mthly'!DN5-INDEX('Venture Assumptions'!$J$6:$J$40,MATCH($B$2,'Venture Assumptions'!$I$6:$I$40,0)),OperBgt!$G$5:$EH$5,0)),0)</f>
        <v>256</v>
      </c>
      <c r="DO156" s="798">
        <f>IFERROR(INDEX(OperBgt!$G$19:$EH$19,MATCH('Venture Summary - Mthly'!DO5-INDEX('Venture Assumptions'!$J$6:$J$40,MATCH($B$2,'Venture Assumptions'!$I$6:$I$40,0)),OperBgt!$G$5:$EH$5,0)),0)</f>
        <v>256</v>
      </c>
      <c r="DP156" s="798">
        <f>IFERROR(INDEX(OperBgt!$G$19:$EH$19,MATCH('Venture Summary - Mthly'!DP5-INDEX('Venture Assumptions'!$J$6:$J$40,MATCH($B$2,'Venture Assumptions'!$I$6:$I$40,0)),OperBgt!$G$5:$EH$5,0)),0)</f>
        <v>256</v>
      </c>
      <c r="DQ156" s="798">
        <f>IFERROR(INDEX(OperBgt!$G$19:$EH$19,MATCH('Venture Summary - Mthly'!DQ5-INDEX('Venture Assumptions'!$J$6:$J$40,MATCH($B$2,'Venture Assumptions'!$I$6:$I$40,0)),OperBgt!$G$5:$EH$5,0)),0)</f>
        <v>256</v>
      </c>
      <c r="DR156" s="798">
        <f>IFERROR(INDEX(OperBgt!$G$19:$EH$19,MATCH('Venture Summary - Mthly'!DR5-INDEX('Venture Assumptions'!$J$6:$J$40,MATCH($B$2,'Venture Assumptions'!$I$6:$I$40,0)),OperBgt!$G$5:$EH$5,0)),0)</f>
        <v>256</v>
      </c>
      <c r="DS156" s="798">
        <f>IFERROR(INDEX(OperBgt!$G$19:$EH$19,MATCH('Venture Summary - Mthly'!DS5-INDEX('Venture Assumptions'!$J$6:$J$40,MATCH($B$2,'Venture Assumptions'!$I$6:$I$40,0)),OperBgt!$G$5:$EH$5,0)),0)</f>
        <v>256</v>
      </c>
      <c r="DT156" s="798">
        <f>IFERROR(INDEX(OperBgt!$G$19:$EH$19,MATCH('Venture Summary - Mthly'!DT5-INDEX('Venture Assumptions'!$J$6:$J$40,MATCH($B$2,'Venture Assumptions'!$I$6:$I$40,0)),OperBgt!$G$5:$EH$5,0)),0)</f>
        <v>256</v>
      </c>
      <c r="DU156" s="798">
        <f>IFERROR(INDEX(OperBgt!$G$19:$EH$19,MATCH('Venture Summary - Mthly'!DU5-INDEX('Venture Assumptions'!$J$6:$J$40,MATCH($B$2,'Venture Assumptions'!$I$6:$I$40,0)),OperBgt!$G$5:$EH$5,0)),0)</f>
        <v>256</v>
      </c>
      <c r="DV156" s="798">
        <f>IFERROR(INDEX(OperBgt!$G$19:$EH$19,MATCH('Venture Summary - Mthly'!DV5-INDEX('Venture Assumptions'!$J$6:$J$40,MATCH($B$2,'Venture Assumptions'!$I$6:$I$40,0)),OperBgt!$G$5:$EH$5,0)),0)</f>
        <v>256</v>
      </c>
      <c r="DW156" s="798">
        <f>IFERROR(INDEX(OperBgt!$G$19:$EH$19,MATCH('Venture Summary - Mthly'!DW5-INDEX('Venture Assumptions'!$J$6:$J$40,MATCH($B$2,'Venture Assumptions'!$I$6:$I$40,0)),OperBgt!$G$5:$EH$5,0)),0)</f>
        <v>256</v>
      </c>
      <c r="DX156" s="798">
        <f>IFERROR(INDEX(OperBgt!$G$19:$EH$19,MATCH('Venture Summary - Mthly'!DX5-INDEX('Venture Assumptions'!$J$6:$J$40,MATCH($B$2,'Venture Assumptions'!$I$6:$I$40,0)),OperBgt!$G$5:$EH$5,0)),0)</f>
        <v>256</v>
      </c>
      <c r="DY156" s="798">
        <f>IFERROR(INDEX(OperBgt!$G$19:$EH$19,MATCH('Venture Summary - Mthly'!DY5-INDEX('Venture Assumptions'!$J$6:$J$40,MATCH($B$2,'Venture Assumptions'!$I$6:$I$40,0)),OperBgt!$G$5:$EH$5,0)),0)</f>
        <v>256</v>
      </c>
      <c r="DZ156" s="798">
        <f>IFERROR(INDEX(OperBgt!$G$19:$EH$19,MATCH('Venture Summary - Mthly'!DZ5-INDEX('Venture Assumptions'!$J$6:$J$40,MATCH($B$2,'Venture Assumptions'!$I$6:$I$40,0)),OperBgt!$G$5:$EH$5,0)),0)</f>
        <v>256</v>
      </c>
      <c r="EA156" s="798">
        <f>IFERROR(INDEX(OperBgt!$G$19:$EH$19,MATCH('Venture Summary - Mthly'!EA5-INDEX('Venture Assumptions'!$J$6:$J$40,MATCH($B$2,'Venture Assumptions'!$I$6:$I$40,0)),OperBgt!$G$5:$EH$5,0)),0)</f>
        <v>256</v>
      </c>
      <c r="EB156" s="798">
        <f>IFERROR(INDEX(OperBgt!$G$19:$EH$19,MATCH('Venture Summary - Mthly'!EB5-INDEX('Venture Assumptions'!$J$6:$J$40,MATCH($B$2,'Venture Assumptions'!$I$6:$I$40,0)),OperBgt!$G$5:$EH$5,0)),0)</f>
        <v>256</v>
      </c>
      <c r="EC156" s="798">
        <f>IFERROR(INDEX(OperBgt!$G$19:$EH$19,MATCH('Venture Summary - Mthly'!EC5-INDEX('Venture Assumptions'!$J$6:$J$40,MATCH($B$2,'Venture Assumptions'!$I$6:$I$40,0)),OperBgt!$G$5:$EH$5,0)),0)</f>
        <v>256</v>
      </c>
      <c r="ED156" s="798">
        <f>IFERROR(INDEX(OperBgt!$G$19:$EH$19,MATCH('Venture Summary - Mthly'!ED5-INDEX('Venture Assumptions'!$J$6:$J$40,MATCH($B$2,'Venture Assumptions'!$I$6:$I$40,0)),OperBgt!$G$5:$EH$5,0)),0)</f>
        <v>256</v>
      </c>
      <c r="EE156" s="798">
        <f>IFERROR(INDEX(OperBgt!$G$19:$EH$19,MATCH('Venture Summary - Mthly'!EE5-INDEX('Venture Assumptions'!$J$6:$J$40,MATCH($B$2,'Venture Assumptions'!$I$6:$I$40,0)),OperBgt!$G$5:$EH$5,0)),0)</f>
        <v>256</v>
      </c>
      <c r="EF156" s="798">
        <f>IFERROR(INDEX(OperBgt!$G$19:$EH$19,MATCH('Venture Summary - Mthly'!EF5-INDEX('Venture Assumptions'!$J$6:$J$40,MATCH($B$2,'Venture Assumptions'!$I$6:$I$40,0)),OperBgt!$G$5:$EH$5,0)),0)</f>
        <v>256</v>
      </c>
      <c r="EG156" s="798">
        <f>IFERROR(INDEX(OperBgt!$G$19:$EH$19,MATCH('Venture Summary - Mthly'!EG5-INDEX('Venture Assumptions'!$J$6:$J$40,MATCH($B$2,'Venture Assumptions'!$I$6:$I$40,0)),OperBgt!$G$5:$EH$5,0)),0)</f>
        <v>256</v>
      </c>
      <c r="EH156" s="782"/>
    </row>
    <row r="157" spans="1:138" ht="12.75" customHeight="1" x14ac:dyDescent="0.3">
      <c r="A157" s="782"/>
      <c r="B157" s="782" t="s">
        <v>91</v>
      </c>
      <c r="C157" s="782"/>
      <c r="D157" s="782"/>
      <c r="E157" s="798">
        <f>IFERROR(INDEX(OperBgt!$G$36:$EH$36,MATCH('Venture Summary - Mthly'!E5-INDEX('Venture Assumptions'!$J$6:$J$40,MATCH($B$2,'Venture Assumptions'!$I$6:$I$40,0)),OperBgt!$G$5:$EH$5,0)),0)</f>
        <v>0</v>
      </c>
      <c r="F157" s="798">
        <f>IFERROR(INDEX(OperBgt!$G$36:$EH$36,MATCH('Venture Summary - Mthly'!F5-INDEX('Venture Assumptions'!$J$6:$J$40,MATCH($B$2,'Venture Assumptions'!$I$6:$I$40,0)),OperBgt!$G$5:$EH$5,0)),0)</f>
        <v>0</v>
      </c>
      <c r="G157" s="798">
        <f>IFERROR(INDEX(OperBgt!$G$36:$EH$36,MATCH('Venture Summary - Mthly'!G5-INDEX('Venture Assumptions'!$J$6:$J$40,MATCH($B$2,'Venture Assumptions'!$I$6:$I$40,0)),OperBgt!$G$5:$EH$5,0)),0)</f>
        <v>0</v>
      </c>
      <c r="H157" s="798">
        <f>IFERROR(INDEX(OperBgt!$G$36:$EH$36,MATCH('Venture Summary - Mthly'!H5-INDEX('Venture Assumptions'!$J$6:$J$40,MATCH($B$2,'Venture Assumptions'!$I$6:$I$40,0)),OperBgt!$G$5:$EH$5,0)),0)</f>
        <v>0</v>
      </c>
      <c r="I157" s="798">
        <f>IFERROR(INDEX(OperBgt!$G$36:$EH$36,MATCH('Venture Summary - Mthly'!I5-INDEX('Venture Assumptions'!$J$6:$J$40,MATCH($B$2,'Venture Assumptions'!$I$6:$I$40,0)),OperBgt!$G$5:$EH$5,0)),0)</f>
        <v>0</v>
      </c>
      <c r="J157" s="798">
        <f>IFERROR(INDEX(OperBgt!$G$36:$EH$36,MATCH('Venture Summary - Mthly'!J5-INDEX('Venture Assumptions'!$J$6:$J$40,MATCH($B$2,'Venture Assumptions'!$I$6:$I$40,0)),OperBgt!$G$5:$EH$5,0)),0)</f>
        <v>0</v>
      </c>
      <c r="K157" s="798">
        <f>IFERROR(INDEX(OperBgt!$G$36:$EH$36,MATCH('Venture Summary - Mthly'!K5-INDEX('Venture Assumptions'!$J$6:$J$40,MATCH($B$2,'Venture Assumptions'!$I$6:$I$40,0)),OperBgt!$G$5:$EH$5,0)),0)</f>
        <v>0</v>
      </c>
      <c r="L157" s="798">
        <f>IFERROR(INDEX(OperBgt!$G$36:$EH$36,MATCH('Venture Summary - Mthly'!L5-INDEX('Venture Assumptions'!$J$6:$J$40,MATCH($B$2,'Venture Assumptions'!$I$6:$I$40,0)),OperBgt!$G$5:$EH$5,0)),0)</f>
        <v>0</v>
      </c>
      <c r="M157" s="798">
        <f>IFERROR(INDEX(OperBgt!$G$36:$EH$36,MATCH('Venture Summary - Mthly'!M5-INDEX('Venture Assumptions'!$J$6:$J$40,MATCH($B$2,'Venture Assumptions'!$I$6:$I$40,0)),OperBgt!$G$5:$EH$5,0)),0)</f>
        <v>0</v>
      </c>
      <c r="N157" s="798">
        <f>IFERROR(INDEX(OperBgt!$G$36:$EH$36,MATCH('Venture Summary - Mthly'!N5-INDEX('Venture Assumptions'!$J$6:$J$40,MATCH($B$2,'Venture Assumptions'!$I$6:$I$40,0)),OperBgt!$G$5:$EH$5,0)),0)</f>
        <v>0</v>
      </c>
      <c r="O157" s="798">
        <f>IFERROR(INDEX(OperBgt!$G$36:$EH$36,MATCH('Venture Summary - Mthly'!O5-INDEX('Venture Assumptions'!$J$6:$J$40,MATCH($B$2,'Venture Assumptions'!$I$6:$I$40,0)),OperBgt!$G$5:$EH$5,0)),0)</f>
        <v>0</v>
      </c>
      <c r="P157" s="798">
        <f>IFERROR(INDEX(OperBgt!$G$36:$EH$36,MATCH('Venture Summary - Mthly'!P5-INDEX('Venture Assumptions'!$J$6:$J$40,MATCH($B$2,'Venture Assumptions'!$I$6:$I$40,0)),OperBgt!$G$5:$EH$5,0)),0)</f>
        <v>0</v>
      </c>
      <c r="Q157" s="798">
        <f>IFERROR(INDEX(OperBgt!$G$36:$EH$36,MATCH('Venture Summary - Mthly'!Q5-INDEX('Venture Assumptions'!$J$6:$J$40,MATCH($B$2,'Venture Assumptions'!$I$6:$I$40,0)),OperBgt!$G$5:$EH$5,0)),0)</f>
        <v>0</v>
      </c>
      <c r="R157" s="798">
        <f>IFERROR(INDEX(OperBgt!$G$36:$EH$36,MATCH('Venture Summary - Mthly'!R5-INDEX('Venture Assumptions'!$J$6:$J$40,MATCH($B$2,'Venture Assumptions'!$I$6:$I$40,0)),OperBgt!$G$5:$EH$5,0)),0)</f>
        <v>0</v>
      </c>
      <c r="S157" s="798">
        <f>IFERROR(INDEX(OperBgt!$G$36:$EH$36,MATCH('Venture Summary - Mthly'!S5-INDEX('Venture Assumptions'!$J$6:$J$40,MATCH($B$2,'Venture Assumptions'!$I$6:$I$40,0)),OperBgt!$G$5:$EH$5,0)),0)</f>
        <v>14.4</v>
      </c>
      <c r="T157" s="798">
        <f>IFERROR(INDEX(OperBgt!$G$36:$EH$36,MATCH('Venture Summary - Mthly'!T5-INDEX('Venture Assumptions'!$J$6:$J$40,MATCH($B$2,'Venture Assumptions'!$I$6:$I$40,0)),OperBgt!$G$5:$EH$5,0)),0)</f>
        <v>28.8</v>
      </c>
      <c r="U157" s="798">
        <f>IFERROR(INDEX(OperBgt!$G$36:$EH$36,MATCH('Venture Summary - Mthly'!U5-INDEX('Venture Assumptions'!$J$6:$J$40,MATCH($B$2,'Venture Assumptions'!$I$6:$I$40,0)),OperBgt!$G$5:$EH$5,0)),0)</f>
        <v>43.2</v>
      </c>
      <c r="V157" s="798">
        <f>IFERROR(INDEX(OperBgt!$G$36:$EH$36,MATCH('Venture Summary - Mthly'!V5-INDEX('Venture Assumptions'!$J$6:$J$40,MATCH($B$2,'Venture Assumptions'!$I$6:$I$40,0)),OperBgt!$G$5:$EH$5,0)),0)</f>
        <v>57.6</v>
      </c>
      <c r="W157" s="798">
        <f>IFERROR(INDEX(OperBgt!$G$36:$EH$36,MATCH('Venture Summary - Mthly'!W5-INDEX('Venture Assumptions'!$J$6:$J$40,MATCH($B$2,'Venture Assumptions'!$I$6:$I$40,0)),OperBgt!$G$5:$EH$5,0)),0)</f>
        <v>72</v>
      </c>
      <c r="X157" s="798">
        <f>IFERROR(INDEX(OperBgt!$G$36:$EH$36,MATCH('Venture Summary - Mthly'!X5-INDEX('Venture Assumptions'!$J$6:$J$40,MATCH($B$2,'Venture Assumptions'!$I$6:$I$40,0)),OperBgt!$G$5:$EH$5,0)),0)</f>
        <v>93.6</v>
      </c>
      <c r="Y157" s="798">
        <f>IFERROR(INDEX(OperBgt!$G$36:$EH$36,MATCH('Venture Summary - Mthly'!Y5-INDEX('Venture Assumptions'!$J$6:$J$40,MATCH($B$2,'Venture Assumptions'!$I$6:$I$40,0)),OperBgt!$G$5:$EH$5,0)),0)</f>
        <v>115.19999999999999</v>
      </c>
      <c r="Z157" s="798">
        <f>IFERROR(INDEX(OperBgt!$G$36:$EH$36,MATCH('Venture Summary - Mthly'!Z5-INDEX('Venture Assumptions'!$J$6:$J$40,MATCH($B$2,'Venture Assumptions'!$I$6:$I$40,0)),OperBgt!$G$5:$EH$5,0)),0)</f>
        <v>136.79999999999998</v>
      </c>
      <c r="AA157" s="798">
        <f>IFERROR(INDEX(OperBgt!$G$36:$EH$36,MATCH('Venture Summary - Mthly'!AA5-INDEX('Venture Assumptions'!$J$6:$J$40,MATCH($B$2,'Venture Assumptions'!$I$6:$I$40,0)),OperBgt!$G$5:$EH$5,0)),0)</f>
        <v>158.39999999999998</v>
      </c>
      <c r="AB157" s="798">
        <f>IFERROR(INDEX(OperBgt!$G$36:$EH$36,MATCH('Venture Summary - Mthly'!AB5-INDEX('Venture Assumptions'!$J$6:$J$40,MATCH($B$2,'Venture Assumptions'!$I$6:$I$40,0)),OperBgt!$G$5:$EH$5,0)),0)</f>
        <v>179.99999999999997</v>
      </c>
      <c r="AC157" s="798">
        <f>IFERROR(INDEX(OperBgt!$G$36:$EH$36,MATCH('Venture Summary - Mthly'!AC5-INDEX('Venture Assumptions'!$J$6:$J$40,MATCH($B$2,'Venture Assumptions'!$I$6:$I$40,0)),OperBgt!$G$5:$EH$5,0)),0)</f>
        <v>201.59999999999997</v>
      </c>
      <c r="AD157" s="798">
        <f>IFERROR(INDEX(OperBgt!$G$36:$EH$36,MATCH('Venture Summary - Mthly'!AD5-INDEX('Venture Assumptions'!$J$6:$J$40,MATCH($B$2,'Venture Assumptions'!$I$6:$I$40,0)),OperBgt!$G$5:$EH$5,0)),0)</f>
        <v>215.99999999999997</v>
      </c>
      <c r="AE157" s="798">
        <f>IFERROR(INDEX(OperBgt!$G$36:$EH$36,MATCH('Venture Summary - Mthly'!AE5-INDEX('Venture Assumptions'!$J$6:$J$40,MATCH($B$2,'Venture Assumptions'!$I$6:$I$40,0)),OperBgt!$G$5:$EH$5,0)),0)</f>
        <v>230.39999999999998</v>
      </c>
      <c r="AF157" s="798">
        <f>IFERROR(INDEX(OperBgt!$G$36:$EH$36,MATCH('Venture Summary - Mthly'!AF5-INDEX('Venture Assumptions'!$J$6:$J$40,MATCH($B$2,'Venture Assumptions'!$I$6:$I$40,0)),OperBgt!$G$5:$EH$5,0)),0)</f>
        <v>240.98</v>
      </c>
      <c r="AG157" s="798">
        <f>IFERROR(INDEX(OperBgt!$G$36:$EH$36,MATCH('Venture Summary - Mthly'!AG5-INDEX('Venture Assumptions'!$J$6:$J$40,MATCH($B$2,'Venture Assumptions'!$I$6:$I$40,0)),OperBgt!$G$5:$EH$5,0)),0)</f>
        <v>240.98</v>
      </c>
      <c r="AH157" s="798">
        <f>IFERROR(INDEX(OperBgt!$G$36:$EH$36,MATCH('Venture Summary - Mthly'!AH5-INDEX('Venture Assumptions'!$J$6:$J$40,MATCH($B$2,'Venture Assumptions'!$I$6:$I$40,0)),OperBgt!$G$5:$EH$5,0)),0)</f>
        <v>240.98</v>
      </c>
      <c r="AI157" s="798">
        <f>IFERROR(INDEX(OperBgt!$G$36:$EH$36,MATCH('Venture Summary - Mthly'!AI5-INDEX('Venture Assumptions'!$J$6:$J$40,MATCH($B$2,'Venture Assumptions'!$I$6:$I$40,0)),OperBgt!$G$5:$EH$5,0)),0)</f>
        <v>240.98</v>
      </c>
      <c r="AJ157" s="798">
        <f>IFERROR(INDEX(OperBgt!$G$36:$EH$36,MATCH('Venture Summary - Mthly'!AJ5-INDEX('Venture Assumptions'!$J$6:$J$40,MATCH($B$2,'Venture Assumptions'!$I$6:$I$40,0)),OperBgt!$G$5:$EH$5,0)),0)</f>
        <v>240.98</v>
      </c>
      <c r="AK157" s="798">
        <f>IFERROR(INDEX(OperBgt!$G$36:$EH$36,MATCH('Venture Summary - Mthly'!AK5-INDEX('Venture Assumptions'!$J$6:$J$40,MATCH($B$2,'Venture Assumptions'!$I$6:$I$40,0)),OperBgt!$G$5:$EH$5,0)),0)</f>
        <v>240.98</v>
      </c>
      <c r="AL157" s="798">
        <f>IFERROR(INDEX(OperBgt!$G$36:$EH$36,MATCH('Venture Summary - Mthly'!AL5-INDEX('Venture Assumptions'!$J$6:$J$40,MATCH($B$2,'Venture Assumptions'!$I$6:$I$40,0)),OperBgt!$G$5:$EH$5,0)),0)</f>
        <v>240.98</v>
      </c>
      <c r="AM157" s="798">
        <f>IFERROR(INDEX(OperBgt!$G$36:$EH$36,MATCH('Venture Summary - Mthly'!AM5-INDEX('Venture Assumptions'!$J$6:$J$40,MATCH($B$2,'Venture Assumptions'!$I$6:$I$40,0)),OperBgt!$G$5:$EH$5,0)),0)</f>
        <v>240.98</v>
      </c>
      <c r="AN157" s="798">
        <f>IFERROR(INDEX(OperBgt!$G$36:$EH$36,MATCH('Venture Summary - Mthly'!AN5-INDEX('Venture Assumptions'!$J$6:$J$40,MATCH($B$2,'Venture Assumptions'!$I$6:$I$40,0)),OperBgt!$G$5:$EH$5,0)),0)</f>
        <v>240.98</v>
      </c>
      <c r="AO157" s="798">
        <f>IFERROR(INDEX(OperBgt!$G$36:$EH$36,MATCH('Venture Summary - Mthly'!AO5-INDEX('Venture Assumptions'!$J$6:$J$40,MATCH($B$2,'Venture Assumptions'!$I$6:$I$40,0)),OperBgt!$G$5:$EH$5,0)),0)</f>
        <v>240.98</v>
      </c>
      <c r="AP157" s="798">
        <f>IFERROR(INDEX(OperBgt!$G$36:$EH$36,MATCH('Venture Summary - Mthly'!AP5-INDEX('Venture Assumptions'!$J$6:$J$40,MATCH($B$2,'Venture Assumptions'!$I$6:$I$40,0)),OperBgt!$G$5:$EH$5,0)),0)</f>
        <v>240.98</v>
      </c>
      <c r="AQ157" s="798">
        <f>IFERROR(INDEX(OperBgt!$G$36:$EH$36,MATCH('Venture Summary - Mthly'!AQ5-INDEX('Venture Assumptions'!$J$6:$J$40,MATCH($B$2,'Venture Assumptions'!$I$6:$I$40,0)),OperBgt!$G$5:$EH$5,0)),0)</f>
        <v>240.98</v>
      </c>
      <c r="AR157" s="798">
        <f>IFERROR(INDEX(OperBgt!$G$36:$EH$36,MATCH('Venture Summary - Mthly'!AR5-INDEX('Venture Assumptions'!$J$6:$J$40,MATCH($B$2,'Venture Assumptions'!$I$6:$I$40,0)),OperBgt!$G$5:$EH$5,0)),0)</f>
        <v>240.98</v>
      </c>
      <c r="AS157" s="798">
        <f>IFERROR(INDEX(OperBgt!$G$36:$EH$36,MATCH('Venture Summary - Mthly'!AS5-INDEX('Venture Assumptions'!$J$6:$J$40,MATCH($B$2,'Venture Assumptions'!$I$6:$I$40,0)),OperBgt!$G$5:$EH$5,0)),0)</f>
        <v>240.98</v>
      </c>
      <c r="AT157" s="798">
        <f>IFERROR(INDEX(OperBgt!$G$36:$EH$36,MATCH('Venture Summary - Mthly'!AT5-INDEX('Venture Assumptions'!$J$6:$J$40,MATCH($B$2,'Venture Assumptions'!$I$6:$I$40,0)),OperBgt!$G$5:$EH$5,0)),0)</f>
        <v>240.98</v>
      </c>
      <c r="AU157" s="798">
        <f>IFERROR(INDEX(OperBgt!$G$36:$EH$36,MATCH('Venture Summary - Mthly'!AU5-INDEX('Venture Assumptions'!$J$6:$J$40,MATCH($B$2,'Venture Assumptions'!$I$6:$I$40,0)),OperBgt!$G$5:$EH$5,0)),0)</f>
        <v>240.98</v>
      </c>
      <c r="AV157" s="798">
        <f>IFERROR(INDEX(OperBgt!$G$36:$EH$36,MATCH('Venture Summary - Mthly'!AV5-INDEX('Venture Assumptions'!$J$6:$J$40,MATCH($B$2,'Venture Assumptions'!$I$6:$I$40,0)),OperBgt!$G$5:$EH$5,0)),0)</f>
        <v>240.98</v>
      </c>
      <c r="AW157" s="798">
        <f>IFERROR(INDEX(OperBgt!$G$36:$EH$36,MATCH('Venture Summary - Mthly'!AW5-INDEX('Venture Assumptions'!$J$6:$J$40,MATCH($B$2,'Venture Assumptions'!$I$6:$I$40,0)),OperBgt!$G$5:$EH$5,0)),0)</f>
        <v>240.98</v>
      </c>
      <c r="AX157" s="798">
        <f>IFERROR(INDEX(OperBgt!$G$36:$EH$36,MATCH('Venture Summary - Mthly'!AX5-INDEX('Venture Assumptions'!$J$6:$J$40,MATCH($B$2,'Venture Assumptions'!$I$6:$I$40,0)),OperBgt!$G$5:$EH$5,0)),0)</f>
        <v>240.98</v>
      </c>
      <c r="AY157" s="798">
        <f>IFERROR(INDEX(OperBgt!$G$36:$EH$36,MATCH('Venture Summary - Mthly'!AY5-INDEX('Venture Assumptions'!$J$6:$J$40,MATCH($B$2,'Venture Assumptions'!$I$6:$I$40,0)),OperBgt!$G$5:$EH$5,0)),0)</f>
        <v>240.98</v>
      </c>
      <c r="AZ157" s="798">
        <f>IFERROR(INDEX(OperBgt!$G$36:$EH$36,MATCH('Venture Summary - Mthly'!AZ5-INDEX('Venture Assumptions'!$J$6:$J$40,MATCH($B$2,'Venture Assumptions'!$I$6:$I$40,0)),OperBgt!$G$5:$EH$5,0)),0)</f>
        <v>240.98</v>
      </c>
      <c r="BA157" s="798">
        <f>IFERROR(INDEX(OperBgt!$G$36:$EH$36,MATCH('Venture Summary - Mthly'!BA5-INDEX('Venture Assumptions'!$J$6:$J$40,MATCH($B$2,'Venture Assumptions'!$I$6:$I$40,0)),OperBgt!$G$5:$EH$5,0)),0)</f>
        <v>240.98</v>
      </c>
      <c r="BB157" s="798">
        <f>IFERROR(INDEX(OperBgt!$G$36:$EH$36,MATCH('Venture Summary - Mthly'!BB5-INDEX('Venture Assumptions'!$J$6:$J$40,MATCH($B$2,'Venture Assumptions'!$I$6:$I$40,0)),OperBgt!$G$5:$EH$5,0)),0)</f>
        <v>240.98</v>
      </c>
      <c r="BC157" s="798">
        <f>IFERROR(INDEX(OperBgt!$G$36:$EH$36,MATCH('Venture Summary - Mthly'!BC5-INDEX('Venture Assumptions'!$J$6:$J$40,MATCH($B$2,'Venture Assumptions'!$I$6:$I$40,0)),OperBgt!$G$5:$EH$5,0)),0)</f>
        <v>240.98</v>
      </c>
      <c r="BD157" s="798">
        <f>IFERROR(INDEX(OperBgt!$G$36:$EH$36,MATCH('Venture Summary - Mthly'!BD5-INDEX('Venture Assumptions'!$J$6:$J$40,MATCH($B$2,'Venture Assumptions'!$I$6:$I$40,0)),OperBgt!$G$5:$EH$5,0)),0)</f>
        <v>240.98</v>
      </c>
      <c r="BE157" s="798">
        <f>IFERROR(INDEX(OperBgt!$G$36:$EH$36,MATCH('Venture Summary - Mthly'!BE5-INDEX('Venture Assumptions'!$J$6:$J$40,MATCH($B$2,'Venture Assumptions'!$I$6:$I$40,0)),OperBgt!$G$5:$EH$5,0)),0)</f>
        <v>240.98</v>
      </c>
      <c r="BF157" s="798">
        <f>IFERROR(INDEX(OperBgt!$G$36:$EH$36,MATCH('Venture Summary - Mthly'!BF5-INDEX('Venture Assumptions'!$J$6:$J$40,MATCH($B$2,'Venture Assumptions'!$I$6:$I$40,0)),OperBgt!$G$5:$EH$5,0)),0)</f>
        <v>240.98</v>
      </c>
      <c r="BG157" s="798">
        <f>IFERROR(INDEX(OperBgt!$G$36:$EH$36,MATCH('Venture Summary - Mthly'!BG5-INDEX('Venture Assumptions'!$J$6:$J$40,MATCH($B$2,'Venture Assumptions'!$I$6:$I$40,0)),OperBgt!$G$5:$EH$5,0)),0)</f>
        <v>240.98</v>
      </c>
      <c r="BH157" s="798">
        <f>IFERROR(INDEX(OperBgt!$G$36:$EH$36,MATCH('Venture Summary - Mthly'!BH5-INDEX('Venture Assumptions'!$J$6:$J$40,MATCH($B$2,'Venture Assumptions'!$I$6:$I$40,0)),OperBgt!$G$5:$EH$5,0)),0)</f>
        <v>240.98</v>
      </c>
      <c r="BI157" s="798">
        <f>IFERROR(INDEX(OperBgt!$G$36:$EH$36,MATCH('Venture Summary - Mthly'!BI5-INDEX('Venture Assumptions'!$J$6:$J$40,MATCH($B$2,'Venture Assumptions'!$I$6:$I$40,0)),OperBgt!$G$5:$EH$5,0)),0)</f>
        <v>240.98</v>
      </c>
      <c r="BJ157" s="798">
        <f>IFERROR(INDEX(OperBgt!$G$36:$EH$36,MATCH('Venture Summary - Mthly'!BJ5-INDEX('Venture Assumptions'!$J$6:$J$40,MATCH($B$2,'Venture Assumptions'!$I$6:$I$40,0)),OperBgt!$G$5:$EH$5,0)),0)</f>
        <v>240.98</v>
      </c>
      <c r="BK157" s="798">
        <f>IFERROR(INDEX(OperBgt!$G$36:$EH$36,MATCH('Venture Summary - Mthly'!BK5-INDEX('Venture Assumptions'!$J$6:$J$40,MATCH($B$2,'Venture Assumptions'!$I$6:$I$40,0)),OperBgt!$G$5:$EH$5,0)),0)</f>
        <v>240.98</v>
      </c>
      <c r="BL157" s="798">
        <f>IFERROR(INDEX(OperBgt!$G$36:$EH$36,MATCH('Venture Summary - Mthly'!BL5-INDEX('Venture Assumptions'!$J$6:$J$40,MATCH($B$2,'Venture Assumptions'!$I$6:$I$40,0)),OperBgt!$G$5:$EH$5,0)),0)</f>
        <v>240.98</v>
      </c>
      <c r="BM157" s="798">
        <f>IFERROR(INDEX(OperBgt!$G$36:$EH$36,MATCH('Venture Summary - Mthly'!BM5-INDEX('Venture Assumptions'!$J$6:$J$40,MATCH($B$2,'Venture Assumptions'!$I$6:$I$40,0)),OperBgt!$G$5:$EH$5,0)),0)</f>
        <v>240.98</v>
      </c>
      <c r="BN157" s="798">
        <f>IFERROR(INDEX(OperBgt!$G$36:$EH$36,MATCH('Venture Summary - Mthly'!BN5-INDEX('Venture Assumptions'!$J$6:$J$40,MATCH($B$2,'Venture Assumptions'!$I$6:$I$40,0)),OperBgt!$G$5:$EH$5,0)),0)</f>
        <v>240.98</v>
      </c>
      <c r="BO157" s="798">
        <f>IFERROR(INDEX(OperBgt!$G$36:$EH$36,MATCH('Venture Summary - Mthly'!BO5-INDEX('Venture Assumptions'!$J$6:$J$40,MATCH($B$2,'Venture Assumptions'!$I$6:$I$40,0)),OperBgt!$G$5:$EH$5,0)),0)</f>
        <v>240.98</v>
      </c>
      <c r="BP157" s="798">
        <f>IFERROR(INDEX(OperBgt!$G$36:$EH$36,MATCH('Venture Summary - Mthly'!BP5-INDEX('Venture Assumptions'!$J$6:$J$40,MATCH($B$2,'Venture Assumptions'!$I$6:$I$40,0)),OperBgt!$G$5:$EH$5,0)),0)</f>
        <v>240.98</v>
      </c>
      <c r="BQ157" s="798">
        <f>IFERROR(INDEX(OperBgt!$G$36:$EH$36,MATCH('Venture Summary - Mthly'!BQ5-INDEX('Venture Assumptions'!$J$6:$J$40,MATCH($B$2,'Venture Assumptions'!$I$6:$I$40,0)),OperBgt!$G$5:$EH$5,0)),0)</f>
        <v>240.98</v>
      </c>
      <c r="BR157" s="798">
        <f>IFERROR(INDEX(OperBgt!$G$36:$EH$36,MATCH('Venture Summary - Mthly'!BR5-INDEX('Venture Assumptions'!$J$6:$J$40,MATCH($B$2,'Venture Assumptions'!$I$6:$I$40,0)),OperBgt!$G$5:$EH$5,0)),0)</f>
        <v>240.98</v>
      </c>
      <c r="BS157" s="798">
        <f>IFERROR(INDEX(OperBgt!$G$36:$EH$36,MATCH('Venture Summary - Mthly'!BS5-INDEX('Venture Assumptions'!$J$6:$J$40,MATCH($B$2,'Venture Assumptions'!$I$6:$I$40,0)),OperBgt!$G$5:$EH$5,0)),0)</f>
        <v>240.98</v>
      </c>
      <c r="BT157" s="798">
        <f>IFERROR(INDEX(OperBgt!$G$36:$EH$36,MATCH('Venture Summary - Mthly'!BT5-INDEX('Venture Assumptions'!$J$6:$J$40,MATCH($B$2,'Venture Assumptions'!$I$6:$I$40,0)),OperBgt!$G$5:$EH$5,0)),0)</f>
        <v>240.98</v>
      </c>
      <c r="BU157" s="798">
        <f>IFERROR(INDEX(OperBgt!$G$36:$EH$36,MATCH('Venture Summary - Mthly'!BU5-INDEX('Venture Assumptions'!$J$6:$J$40,MATCH($B$2,'Venture Assumptions'!$I$6:$I$40,0)),OperBgt!$G$5:$EH$5,0)),0)</f>
        <v>240.98</v>
      </c>
      <c r="BV157" s="798">
        <f>IFERROR(INDEX(OperBgt!$G$36:$EH$36,MATCH('Venture Summary - Mthly'!BV5-INDEX('Venture Assumptions'!$J$6:$J$40,MATCH($B$2,'Venture Assumptions'!$I$6:$I$40,0)),OperBgt!$G$5:$EH$5,0)),0)</f>
        <v>240.98</v>
      </c>
      <c r="BW157" s="798">
        <f>IFERROR(INDEX(OperBgt!$G$36:$EH$36,MATCH('Venture Summary - Mthly'!BW5-INDEX('Venture Assumptions'!$J$6:$J$40,MATCH($B$2,'Venture Assumptions'!$I$6:$I$40,0)),OperBgt!$G$5:$EH$5,0)),0)</f>
        <v>240.98</v>
      </c>
      <c r="BX157" s="798">
        <f>IFERROR(INDEX(OperBgt!$G$36:$EH$36,MATCH('Venture Summary - Mthly'!BX5-INDEX('Venture Assumptions'!$J$6:$J$40,MATCH($B$2,'Venture Assumptions'!$I$6:$I$40,0)),OperBgt!$G$5:$EH$5,0)),0)</f>
        <v>240.98</v>
      </c>
      <c r="BY157" s="798">
        <f>IFERROR(INDEX(OperBgt!$G$36:$EH$36,MATCH('Venture Summary - Mthly'!BY5-INDEX('Venture Assumptions'!$J$6:$J$40,MATCH($B$2,'Venture Assumptions'!$I$6:$I$40,0)),OperBgt!$G$5:$EH$5,0)),0)</f>
        <v>240.98</v>
      </c>
      <c r="BZ157" s="798">
        <f>IFERROR(INDEX(OperBgt!$G$36:$EH$36,MATCH('Venture Summary - Mthly'!BZ5-INDEX('Venture Assumptions'!$J$6:$J$40,MATCH($B$2,'Venture Assumptions'!$I$6:$I$40,0)),OperBgt!$G$5:$EH$5,0)),0)</f>
        <v>240.98</v>
      </c>
      <c r="CA157" s="798">
        <f>IFERROR(INDEX(OperBgt!$G$36:$EH$36,MATCH('Venture Summary - Mthly'!CA5-INDEX('Venture Assumptions'!$J$6:$J$40,MATCH($B$2,'Venture Assumptions'!$I$6:$I$40,0)),OperBgt!$G$5:$EH$5,0)),0)</f>
        <v>240.98</v>
      </c>
      <c r="CB157" s="798">
        <f>IFERROR(INDEX(OperBgt!$G$36:$EH$36,MATCH('Venture Summary - Mthly'!CB5-INDEX('Venture Assumptions'!$J$6:$J$40,MATCH($B$2,'Venture Assumptions'!$I$6:$I$40,0)),OperBgt!$G$5:$EH$5,0)),0)</f>
        <v>240.98</v>
      </c>
      <c r="CC157" s="798">
        <f>IFERROR(INDEX(OperBgt!$G$36:$EH$36,MATCH('Venture Summary - Mthly'!CC5-INDEX('Venture Assumptions'!$J$6:$J$40,MATCH($B$2,'Venture Assumptions'!$I$6:$I$40,0)),OperBgt!$G$5:$EH$5,0)),0)</f>
        <v>240.98</v>
      </c>
      <c r="CD157" s="798">
        <f>IFERROR(INDEX(OperBgt!$G$36:$EH$36,MATCH('Venture Summary - Mthly'!CD5-INDEX('Venture Assumptions'!$J$6:$J$40,MATCH($B$2,'Venture Assumptions'!$I$6:$I$40,0)),OperBgt!$G$5:$EH$5,0)),0)</f>
        <v>240.98</v>
      </c>
      <c r="CE157" s="798">
        <f>IFERROR(INDEX(OperBgt!$G$36:$EH$36,MATCH('Venture Summary - Mthly'!CE5-INDEX('Venture Assumptions'!$J$6:$J$40,MATCH($B$2,'Venture Assumptions'!$I$6:$I$40,0)),OperBgt!$G$5:$EH$5,0)),0)</f>
        <v>240.98</v>
      </c>
      <c r="CF157" s="798">
        <f>IFERROR(INDEX(OperBgt!$G$36:$EH$36,MATCH('Venture Summary - Mthly'!CF5-INDEX('Venture Assumptions'!$J$6:$J$40,MATCH($B$2,'Venture Assumptions'!$I$6:$I$40,0)),OperBgt!$G$5:$EH$5,0)),0)</f>
        <v>240.98</v>
      </c>
      <c r="CG157" s="798">
        <f>IFERROR(INDEX(OperBgt!$G$36:$EH$36,MATCH('Venture Summary - Mthly'!CG5-INDEX('Venture Assumptions'!$J$6:$J$40,MATCH($B$2,'Venture Assumptions'!$I$6:$I$40,0)),OperBgt!$G$5:$EH$5,0)),0)</f>
        <v>240.98</v>
      </c>
      <c r="CH157" s="798">
        <f>IFERROR(INDEX(OperBgt!$G$36:$EH$36,MATCH('Venture Summary - Mthly'!CH5-INDEX('Venture Assumptions'!$J$6:$J$40,MATCH($B$2,'Venture Assumptions'!$I$6:$I$40,0)),OperBgt!$G$5:$EH$5,0)),0)</f>
        <v>240.98</v>
      </c>
      <c r="CI157" s="798">
        <f>IFERROR(INDEX(OperBgt!$G$36:$EH$36,MATCH('Venture Summary - Mthly'!CI5-INDEX('Venture Assumptions'!$J$6:$J$40,MATCH($B$2,'Venture Assumptions'!$I$6:$I$40,0)),OperBgt!$G$5:$EH$5,0)),0)</f>
        <v>240.98</v>
      </c>
      <c r="CJ157" s="798">
        <f>IFERROR(INDEX(OperBgt!$G$36:$EH$36,MATCH('Venture Summary - Mthly'!CJ5-INDEX('Venture Assumptions'!$J$6:$J$40,MATCH($B$2,'Venture Assumptions'!$I$6:$I$40,0)),OperBgt!$G$5:$EH$5,0)),0)</f>
        <v>240.98</v>
      </c>
      <c r="CK157" s="798">
        <f>IFERROR(INDEX(OperBgt!$G$36:$EH$36,MATCH('Venture Summary - Mthly'!CK5-INDEX('Venture Assumptions'!$J$6:$J$40,MATCH($B$2,'Venture Assumptions'!$I$6:$I$40,0)),OperBgt!$G$5:$EH$5,0)),0)</f>
        <v>240.98</v>
      </c>
      <c r="CL157" s="798">
        <f>IFERROR(INDEX(OperBgt!$G$36:$EH$36,MATCH('Venture Summary - Mthly'!CL5-INDEX('Venture Assumptions'!$J$6:$J$40,MATCH($B$2,'Venture Assumptions'!$I$6:$I$40,0)),OperBgt!$G$5:$EH$5,0)),0)</f>
        <v>240.98</v>
      </c>
      <c r="CM157" s="798">
        <f>IFERROR(INDEX(OperBgt!$G$36:$EH$36,MATCH('Venture Summary - Mthly'!CM5-INDEX('Venture Assumptions'!$J$6:$J$40,MATCH($B$2,'Venture Assumptions'!$I$6:$I$40,0)),OperBgt!$G$5:$EH$5,0)),0)</f>
        <v>240.98</v>
      </c>
      <c r="CN157" s="798">
        <f>IFERROR(INDEX(OperBgt!$G$36:$EH$36,MATCH('Venture Summary - Mthly'!CN5-INDEX('Venture Assumptions'!$J$6:$J$40,MATCH($B$2,'Venture Assumptions'!$I$6:$I$40,0)),OperBgt!$G$5:$EH$5,0)),0)</f>
        <v>240.98</v>
      </c>
      <c r="CO157" s="798">
        <f>IFERROR(INDEX(OperBgt!$G$36:$EH$36,MATCH('Venture Summary - Mthly'!CO5-INDEX('Venture Assumptions'!$J$6:$J$40,MATCH($B$2,'Venture Assumptions'!$I$6:$I$40,0)),OperBgt!$G$5:$EH$5,0)),0)</f>
        <v>240.98</v>
      </c>
      <c r="CP157" s="798">
        <f>IFERROR(INDEX(OperBgt!$G$36:$EH$36,MATCH('Venture Summary - Mthly'!CP5-INDEX('Venture Assumptions'!$J$6:$J$40,MATCH($B$2,'Venture Assumptions'!$I$6:$I$40,0)),OperBgt!$G$5:$EH$5,0)),0)</f>
        <v>240.98</v>
      </c>
      <c r="CQ157" s="798">
        <f>IFERROR(INDEX(OperBgt!$G$36:$EH$36,MATCH('Venture Summary - Mthly'!CQ5-INDEX('Venture Assumptions'!$J$6:$J$40,MATCH($B$2,'Venture Assumptions'!$I$6:$I$40,0)),OperBgt!$G$5:$EH$5,0)),0)</f>
        <v>240.98</v>
      </c>
      <c r="CR157" s="798">
        <f>IFERROR(INDEX(OperBgt!$G$36:$EH$36,MATCH('Venture Summary - Mthly'!CR5-INDEX('Venture Assumptions'!$J$6:$J$40,MATCH($B$2,'Venture Assumptions'!$I$6:$I$40,0)),OperBgt!$G$5:$EH$5,0)),0)</f>
        <v>240.98</v>
      </c>
      <c r="CS157" s="798">
        <f>IFERROR(INDEX(OperBgt!$G$36:$EH$36,MATCH('Venture Summary - Mthly'!CS5-INDEX('Venture Assumptions'!$J$6:$J$40,MATCH($B$2,'Venture Assumptions'!$I$6:$I$40,0)),OperBgt!$G$5:$EH$5,0)),0)</f>
        <v>240.98</v>
      </c>
      <c r="CT157" s="798">
        <f>IFERROR(INDEX(OperBgt!$G$36:$EH$36,MATCH('Venture Summary - Mthly'!CT5-INDEX('Venture Assumptions'!$J$6:$J$40,MATCH($B$2,'Venture Assumptions'!$I$6:$I$40,0)),OperBgt!$G$5:$EH$5,0)),0)</f>
        <v>240.98</v>
      </c>
      <c r="CU157" s="798">
        <f>IFERROR(INDEX(OperBgt!$G$36:$EH$36,MATCH('Venture Summary - Mthly'!CU5-INDEX('Venture Assumptions'!$J$6:$J$40,MATCH($B$2,'Venture Assumptions'!$I$6:$I$40,0)),OperBgt!$G$5:$EH$5,0)),0)</f>
        <v>240.98</v>
      </c>
      <c r="CV157" s="798">
        <f>IFERROR(INDEX(OperBgt!$G$36:$EH$36,MATCH('Venture Summary - Mthly'!CV5-INDEX('Venture Assumptions'!$J$6:$J$40,MATCH($B$2,'Venture Assumptions'!$I$6:$I$40,0)),OperBgt!$G$5:$EH$5,0)),0)</f>
        <v>240.98</v>
      </c>
      <c r="CW157" s="798">
        <f>IFERROR(INDEX(OperBgt!$G$36:$EH$36,MATCH('Venture Summary - Mthly'!CW5-INDEX('Venture Assumptions'!$J$6:$J$40,MATCH($B$2,'Venture Assumptions'!$I$6:$I$40,0)),OperBgt!$G$5:$EH$5,0)),0)</f>
        <v>240.98</v>
      </c>
      <c r="CX157" s="798">
        <f>IFERROR(INDEX(OperBgt!$G$36:$EH$36,MATCH('Venture Summary - Mthly'!CX5-INDEX('Venture Assumptions'!$J$6:$J$40,MATCH($B$2,'Venture Assumptions'!$I$6:$I$40,0)),OperBgt!$G$5:$EH$5,0)),0)</f>
        <v>240.98</v>
      </c>
      <c r="CY157" s="798">
        <f>IFERROR(INDEX(OperBgt!$G$36:$EH$36,MATCH('Venture Summary - Mthly'!CY5-INDEX('Venture Assumptions'!$J$6:$J$40,MATCH($B$2,'Venture Assumptions'!$I$6:$I$40,0)),OperBgt!$G$5:$EH$5,0)),0)</f>
        <v>240.98</v>
      </c>
      <c r="CZ157" s="798">
        <f>IFERROR(INDEX(OperBgt!$G$36:$EH$36,MATCH('Venture Summary - Mthly'!CZ5-INDEX('Venture Assumptions'!$J$6:$J$40,MATCH($B$2,'Venture Assumptions'!$I$6:$I$40,0)),OperBgt!$G$5:$EH$5,0)),0)</f>
        <v>240.98</v>
      </c>
      <c r="DA157" s="798">
        <f>IFERROR(INDEX(OperBgt!$G$36:$EH$36,MATCH('Venture Summary - Mthly'!DA5-INDEX('Venture Assumptions'!$J$6:$J$40,MATCH($B$2,'Venture Assumptions'!$I$6:$I$40,0)),OperBgt!$G$5:$EH$5,0)),0)</f>
        <v>240.98</v>
      </c>
      <c r="DB157" s="798">
        <f>IFERROR(INDEX(OperBgt!$G$36:$EH$36,MATCH('Venture Summary - Mthly'!DB5-INDEX('Venture Assumptions'!$J$6:$J$40,MATCH($B$2,'Venture Assumptions'!$I$6:$I$40,0)),OperBgt!$G$5:$EH$5,0)),0)</f>
        <v>240.98</v>
      </c>
      <c r="DC157" s="798">
        <f>IFERROR(INDEX(OperBgt!$G$36:$EH$36,MATCH('Venture Summary - Mthly'!DC5-INDEX('Venture Assumptions'!$J$6:$J$40,MATCH($B$2,'Venture Assumptions'!$I$6:$I$40,0)),OperBgt!$G$5:$EH$5,0)),0)</f>
        <v>240.98</v>
      </c>
      <c r="DD157" s="798">
        <f>IFERROR(INDEX(OperBgt!$G$36:$EH$36,MATCH('Venture Summary - Mthly'!DD5-INDEX('Venture Assumptions'!$J$6:$J$40,MATCH($B$2,'Venture Assumptions'!$I$6:$I$40,0)),OperBgt!$G$5:$EH$5,0)),0)</f>
        <v>240.98</v>
      </c>
      <c r="DE157" s="798">
        <f>IFERROR(INDEX(OperBgt!$G$36:$EH$36,MATCH('Venture Summary - Mthly'!DE5-INDEX('Venture Assumptions'!$J$6:$J$40,MATCH($B$2,'Venture Assumptions'!$I$6:$I$40,0)),OperBgt!$G$5:$EH$5,0)),0)</f>
        <v>240.98</v>
      </c>
      <c r="DF157" s="798">
        <f>IFERROR(INDEX(OperBgt!$G$36:$EH$36,MATCH('Venture Summary - Mthly'!DF5-INDEX('Venture Assumptions'!$J$6:$J$40,MATCH($B$2,'Venture Assumptions'!$I$6:$I$40,0)),OperBgt!$G$5:$EH$5,0)),0)</f>
        <v>240.98</v>
      </c>
      <c r="DG157" s="798">
        <f>IFERROR(INDEX(OperBgt!$G$36:$EH$36,MATCH('Venture Summary - Mthly'!DG5-INDEX('Venture Assumptions'!$J$6:$J$40,MATCH($B$2,'Venture Assumptions'!$I$6:$I$40,0)),OperBgt!$G$5:$EH$5,0)),0)</f>
        <v>240.98</v>
      </c>
      <c r="DH157" s="798">
        <f>IFERROR(INDEX(OperBgt!$G$36:$EH$36,MATCH('Venture Summary - Mthly'!DH5-INDEX('Venture Assumptions'!$J$6:$J$40,MATCH($B$2,'Venture Assumptions'!$I$6:$I$40,0)),OperBgt!$G$5:$EH$5,0)),0)</f>
        <v>240.98</v>
      </c>
      <c r="DI157" s="798">
        <f>IFERROR(INDEX(OperBgt!$G$36:$EH$36,MATCH('Venture Summary - Mthly'!DI5-INDEX('Venture Assumptions'!$J$6:$J$40,MATCH($B$2,'Venture Assumptions'!$I$6:$I$40,0)),OperBgt!$G$5:$EH$5,0)),0)</f>
        <v>240.98</v>
      </c>
      <c r="DJ157" s="798">
        <f>IFERROR(INDEX(OperBgt!$G$36:$EH$36,MATCH('Venture Summary - Mthly'!DJ5-INDEX('Venture Assumptions'!$J$6:$J$40,MATCH($B$2,'Venture Assumptions'!$I$6:$I$40,0)),OperBgt!$G$5:$EH$5,0)),0)</f>
        <v>240.98</v>
      </c>
      <c r="DK157" s="798">
        <f>IFERROR(INDEX(OperBgt!$G$36:$EH$36,MATCH('Venture Summary - Mthly'!DK5-INDEX('Venture Assumptions'!$J$6:$J$40,MATCH($B$2,'Venture Assumptions'!$I$6:$I$40,0)),OperBgt!$G$5:$EH$5,0)),0)</f>
        <v>240.98</v>
      </c>
      <c r="DL157" s="798">
        <f>IFERROR(INDEX(OperBgt!$G$36:$EH$36,MATCH('Venture Summary - Mthly'!DL5-INDEX('Venture Assumptions'!$J$6:$J$40,MATCH($B$2,'Venture Assumptions'!$I$6:$I$40,0)),OperBgt!$G$5:$EH$5,0)),0)</f>
        <v>240.98</v>
      </c>
      <c r="DM157" s="798">
        <f>IFERROR(INDEX(OperBgt!$G$36:$EH$36,MATCH('Venture Summary - Mthly'!DM5-INDEX('Venture Assumptions'!$J$6:$J$40,MATCH($B$2,'Venture Assumptions'!$I$6:$I$40,0)),OperBgt!$G$5:$EH$5,0)),0)</f>
        <v>240.98</v>
      </c>
      <c r="DN157" s="798">
        <f>IFERROR(INDEX(OperBgt!$G$36:$EH$36,MATCH('Venture Summary - Mthly'!DN5-INDEX('Venture Assumptions'!$J$6:$J$40,MATCH($B$2,'Venture Assumptions'!$I$6:$I$40,0)),OperBgt!$G$5:$EH$5,0)),0)</f>
        <v>240.98</v>
      </c>
      <c r="DO157" s="798">
        <f>IFERROR(INDEX(OperBgt!$G$36:$EH$36,MATCH('Venture Summary - Mthly'!DO5-INDEX('Venture Assumptions'!$J$6:$J$40,MATCH($B$2,'Venture Assumptions'!$I$6:$I$40,0)),OperBgt!$G$5:$EH$5,0)),0)</f>
        <v>240.98</v>
      </c>
      <c r="DP157" s="798">
        <f>IFERROR(INDEX(OperBgt!$G$36:$EH$36,MATCH('Venture Summary - Mthly'!DP5-INDEX('Venture Assumptions'!$J$6:$J$40,MATCH($B$2,'Venture Assumptions'!$I$6:$I$40,0)),OperBgt!$G$5:$EH$5,0)),0)</f>
        <v>240.98</v>
      </c>
      <c r="DQ157" s="798">
        <f>IFERROR(INDEX(OperBgt!$G$36:$EH$36,MATCH('Venture Summary - Mthly'!DQ5-INDEX('Venture Assumptions'!$J$6:$J$40,MATCH($B$2,'Venture Assumptions'!$I$6:$I$40,0)),OperBgt!$G$5:$EH$5,0)),0)</f>
        <v>240.98</v>
      </c>
      <c r="DR157" s="798">
        <f>IFERROR(INDEX(OperBgt!$G$36:$EH$36,MATCH('Venture Summary - Mthly'!DR5-INDEX('Venture Assumptions'!$J$6:$J$40,MATCH($B$2,'Venture Assumptions'!$I$6:$I$40,0)),OperBgt!$G$5:$EH$5,0)),0)</f>
        <v>240.98</v>
      </c>
      <c r="DS157" s="798">
        <f>IFERROR(INDEX(OperBgt!$G$36:$EH$36,MATCH('Venture Summary - Mthly'!DS5-INDEX('Venture Assumptions'!$J$6:$J$40,MATCH($B$2,'Venture Assumptions'!$I$6:$I$40,0)),OperBgt!$G$5:$EH$5,0)),0)</f>
        <v>240.98</v>
      </c>
      <c r="DT157" s="798">
        <f>IFERROR(INDEX(OperBgt!$G$36:$EH$36,MATCH('Venture Summary - Mthly'!DT5-INDEX('Venture Assumptions'!$J$6:$J$40,MATCH($B$2,'Venture Assumptions'!$I$6:$I$40,0)),OperBgt!$G$5:$EH$5,0)),0)</f>
        <v>240.98</v>
      </c>
      <c r="DU157" s="798">
        <f>IFERROR(INDEX(OperBgt!$G$36:$EH$36,MATCH('Venture Summary - Mthly'!DU5-INDEX('Venture Assumptions'!$J$6:$J$40,MATCH($B$2,'Venture Assumptions'!$I$6:$I$40,0)),OperBgt!$G$5:$EH$5,0)),0)</f>
        <v>240.98</v>
      </c>
      <c r="DV157" s="798">
        <f>IFERROR(INDEX(OperBgt!$G$36:$EH$36,MATCH('Venture Summary - Mthly'!DV5-INDEX('Venture Assumptions'!$J$6:$J$40,MATCH($B$2,'Venture Assumptions'!$I$6:$I$40,0)),OperBgt!$G$5:$EH$5,0)),0)</f>
        <v>240.98</v>
      </c>
      <c r="DW157" s="798">
        <f>IFERROR(INDEX(OperBgt!$G$36:$EH$36,MATCH('Venture Summary - Mthly'!DW5-INDEX('Venture Assumptions'!$J$6:$J$40,MATCH($B$2,'Venture Assumptions'!$I$6:$I$40,0)),OperBgt!$G$5:$EH$5,0)),0)</f>
        <v>240.98</v>
      </c>
      <c r="DX157" s="798">
        <f>IFERROR(INDEX(OperBgt!$G$36:$EH$36,MATCH('Venture Summary - Mthly'!DX5-INDEX('Venture Assumptions'!$J$6:$J$40,MATCH($B$2,'Venture Assumptions'!$I$6:$I$40,0)),OperBgt!$G$5:$EH$5,0)),0)</f>
        <v>240.98</v>
      </c>
      <c r="DY157" s="798">
        <f>IFERROR(INDEX(OperBgt!$G$36:$EH$36,MATCH('Venture Summary - Mthly'!DY5-INDEX('Venture Assumptions'!$J$6:$J$40,MATCH($B$2,'Venture Assumptions'!$I$6:$I$40,0)),OperBgt!$G$5:$EH$5,0)),0)</f>
        <v>240.98</v>
      </c>
      <c r="DZ157" s="798">
        <f>IFERROR(INDEX(OperBgt!$G$36:$EH$36,MATCH('Venture Summary - Mthly'!DZ5-INDEX('Venture Assumptions'!$J$6:$J$40,MATCH($B$2,'Venture Assumptions'!$I$6:$I$40,0)),OperBgt!$G$5:$EH$5,0)),0)</f>
        <v>240.98</v>
      </c>
      <c r="EA157" s="798">
        <f>IFERROR(INDEX(OperBgt!$G$36:$EH$36,MATCH('Venture Summary - Mthly'!EA5-INDEX('Venture Assumptions'!$J$6:$J$40,MATCH($B$2,'Venture Assumptions'!$I$6:$I$40,0)),OperBgt!$G$5:$EH$5,0)),0)</f>
        <v>240.98</v>
      </c>
      <c r="EB157" s="798">
        <f>IFERROR(INDEX(OperBgt!$G$36:$EH$36,MATCH('Venture Summary - Mthly'!EB5-INDEX('Venture Assumptions'!$J$6:$J$40,MATCH($B$2,'Venture Assumptions'!$I$6:$I$40,0)),OperBgt!$G$5:$EH$5,0)),0)</f>
        <v>240.98</v>
      </c>
      <c r="EC157" s="798">
        <f>IFERROR(INDEX(OperBgt!$G$36:$EH$36,MATCH('Venture Summary - Mthly'!EC5-INDEX('Venture Assumptions'!$J$6:$J$40,MATCH($B$2,'Venture Assumptions'!$I$6:$I$40,0)),OperBgt!$G$5:$EH$5,0)),0)</f>
        <v>240.98</v>
      </c>
      <c r="ED157" s="798">
        <f>IFERROR(INDEX(OperBgt!$G$36:$EH$36,MATCH('Venture Summary - Mthly'!ED5-INDEX('Venture Assumptions'!$J$6:$J$40,MATCH($B$2,'Venture Assumptions'!$I$6:$I$40,0)),OperBgt!$G$5:$EH$5,0)),0)</f>
        <v>240.98</v>
      </c>
      <c r="EE157" s="798">
        <f>IFERROR(INDEX(OperBgt!$G$36:$EH$36,MATCH('Venture Summary - Mthly'!EE5-INDEX('Venture Assumptions'!$J$6:$J$40,MATCH($B$2,'Venture Assumptions'!$I$6:$I$40,0)),OperBgt!$G$5:$EH$5,0)),0)</f>
        <v>240.98</v>
      </c>
      <c r="EF157" s="798">
        <f>IFERROR(INDEX(OperBgt!$G$36:$EH$36,MATCH('Venture Summary - Mthly'!EF5-INDEX('Venture Assumptions'!$J$6:$J$40,MATCH($B$2,'Venture Assumptions'!$I$6:$I$40,0)),OperBgt!$G$5:$EH$5,0)),0)</f>
        <v>240.98</v>
      </c>
      <c r="EG157" s="798">
        <f>IFERROR(INDEX(OperBgt!$G$36:$EH$36,MATCH('Venture Summary - Mthly'!EG5-INDEX('Venture Assumptions'!$J$6:$J$40,MATCH($B$2,'Venture Assumptions'!$I$6:$I$40,0)),OperBgt!$G$5:$EH$5,0)),0)</f>
        <v>240.98</v>
      </c>
      <c r="EH157" s="782"/>
    </row>
    <row r="158" spans="1:138" ht="12.75" customHeight="1" x14ac:dyDescent="0.3">
      <c r="A158" s="782"/>
      <c r="B158" s="782" t="s">
        <v>92</v>
      </c>
      <c r="C158" s="782"/>
      <c r="D158" s="782"/>
      <c r="E158" s="806">
        <f>E157/MAX($E$156:$EG$156)</f>
        <v>0</v>
      </c>
      <c r="F158" s="806">
        <f t="shared" ref="F158:BQ158" si="134">F157/MAX($E$156:$EG$156)</f>
        <v>0</v>
      </c>
      <c r="G158" s="806">
        <f t="shared" si="134"/>
        <v>0</v>
      </c>
      <c r="H158" s="806">
        <f t="shared" si="134"/>
        <v>0</v>
      </c>
      <c r="I158" s="806">
        <f t="shared" si="134"/>
        <v>0</v>
      </c>
      <c r="J158" s="806">
        <f t="shared" si="134"/>
        <v>0</v>
      </c>
      <c r="K158" s="806">
        <f t="shared" si="134"/>
        <v>0</v>
      </c>
      <c r="L158" s="806">
        <f t="shared" si="134"/>
        <v>0</v>
      </c>
      <c r="M158" s="806">
        <f t="shared" si="134"/>
        <v>0</v>
      </c>
      <c r="N158" s="806">
        <f t="shared" si="134"/>
        <v>0</v>
      </c>
      <c r="O158" s="806">
        <f t="shared" si="134"/>
        <v>0</v>
      </c>
      <c r="P158" s="806">
        <f t="shared" si="134"/>
        <v>0</v>
      </c>
      <c r="Q158" s="806">
        <f t="shared" si="134"/>
        <v>0</v>
      </c>
      <c r="R158" s="806">
        <f t="shared" si="134"/>
        <v>0</v>
      </c>
      <c r="S158" s="806">
        <f t="shared" si="134"/>
        <v>5.6250000000000001E-2</v>
      </c>
      <c r="T158" s="806">
        <f t="shared" si="134"/>
        <v>0.1125</v>
      </c>
      <c r="U158" s="806">
        <f t="shared" si="134"/>
        <v>0.16875000000000001</v>
      </c>
      <c r="V158" s="806">
        <f t="shared" si="134"/>
        <v>0.22500000000000001</v>
      </c>
      <c r="W158" s="806">
        <f t="shared" si="134"/>
        <v>0.28125</v>
      </c>
      <c r="X158" s="806">
        <f t="shared" si="134"/>
        <v>0.36562499999999998</v>
      </c>
      <c r="Y158" s="806">
        <f t="shared" si="134"/>
        <v>0.44999999999999996</v>
      </c>
      <c r="Z158" s="806">
        <f t="shared" si="134"/>
        <v>0.53437499999999993</v>
      </c>
      <c r="AA158" s="806">
        <f t="shared" si="134"/>
        <v>0.61874999999999991</v>
      </c>
      <c r="AB158" s="806">
        <f t="shared" si="134"/>
        <v>0.70312499999999989</v>
      </c>
      <c r="AC158" s="806">
        <f t="shared" si="134"/>
        <v>0.78749999999999987</v>
      </c>
      <c r="AD158" s="806">
        <f t="shared" si="134"/>
        <v>0.84374999999999989</v>
      </c>
      <c r="AE158" s="806">
        <f t="shared" si="134"/>
        <v>0.89999999999999991</v>
      </c>
      <c r="AF158" s="806">
        <f t="shared" si="134"/>
        <v>0.94132812499999996</v>
      </c>
      <c r="AG158" s="806">
        <f t="shared" si="134"/>
        <v>0.94132812499999996</v>
      </c>
      <c r="AH158" s="806">
        <f t="shared" si="134"/>
        <v>0.94132812499999996</v>
      </c>
      <c r="AI158" s="806">
        <f t="shared" si="134"/>
        <v>0.94132812499999996</v>
      </c>
      <c r="AJ158" s="806">
        <f t="shared" si="134"/>
        <v>0.94132812499999996</v>
      </c>
      <c r="AK158" s="806">
        <f t="shared" si="134"/>
        <v>0.94132812499999996</v>
      </c>
      <c r="AL158" s="806">
        <f t="shared" si="134"/>
        <v>0.94132812499999996</v>
      </c>
      <c r="AM158" s="806">
        <f t="shared" si="134"/>
        <v>0.94132812499999996</v>
      </c>
      <c r="AN158" s="806">
        <f t="shared" si="134"/>
        <v>0.94132812499999996</v>
      </c>
      <c r="AO158" s="806">
        <f t="shared" si="134"/>
        <v>0.94132812499999996</v>
      </c>
      <c r="AP158" s="806">
        <f t="shared" si="134"/>
        <v>0.94132812499999996</v>
      </c>
      <c r="AQ158" s="806">
        <f t="shared" si="134"/>
        <v>0.94132812499999996</v>
      </c>
      <c r="AR158" s="806">
        <f t="shared" si="134"/>
        <v>0.94132812499999996</v>
      </c>
      <c r="AS158" s="806">
        <f t="shared" si="134"/>
        <v>0.94132812499999996</v>
      </c>
      <c r="AT158" s="806">
        <f t="shared" si="134"/>
        <v>0.94132812499999996</v>
      </c>
      <c r="AU158" s="806">
        <f t="shared" si="134"/>
        <v>0.94132812499999996</v>
      </c>
      <c r="AV158" s="806">
        <f t="shared" si="134"/>
        <v>0.94132812499999996</v>
      </c>
      <c r="AW158" s="806">
        <f t="shared" si="134"/>
        <v>0.94132812499999996</v>
      </c>
      <c r="AX158" s="806">
        <f t="shared" si="134"/>
        <v>0.94132812499999996</v>
      </c>
      <c r="AY158" s="806">
        <f t="shared" si="134"/>
        <v>0.94132812499999996</v>
      </c>
      <c r="AZ158" s="806">
        <f t="shared" si="134"/>
        <v>0.94132812499999996</v>
      </c>
      <c r="BA158" s="806">
        <f t="shared" si="134"/>
        <v>0.94132812499999996</v>
      </c>
      <c r="BB158" s="806">
        <f t="shared" si="134"/>
        <v>0.94132812499999996</v>
      </c>
      <c r="BC158" s="806">
        <f t="shared" si="134"/>
        <v>0.94132812499999996</v>
      </c>
      <c r="BD158" s="806">
        <f t="shared" si="134"/>
        <v>0.94132812499999996</v>
      </c>
      <c r="BE158" s="806">
        <f t="shared" si="134"/>
        <v>0.94132812499999996</v>
      </c>
      <c r="BF158" s="806">
        <f t="shared" si="134"/>
        <v>0.94132812499999996</v>
      </c>
      <c r="BG158" s="806">
        <f t="shared" si="134"/>
        <v>0.94132812499999996</v>
      </c>
      <c r="BH158" s="806">
        <f t="shared" si="134"/>
        <v>0.94132812499999996</v>
      </c>
      <c r="BI158" s="806">
        <f t="shared" si="134"/>
        <v>0.94132812499999996</v>
      </c>
      <c r="BJ158" s="806">
        <f t="shared" si="134"/>
        <v>0.94132812499999996</v>
      </c>
      <c r="BK158" s="806">
        <f t="shared" si="134"/>
        <v>0.94132812499999996</v>
      </c>
      <c r="BL158" s="806">
        <f t="shared" si="134"/>
        <v>0.94132812499999996</v>
      </c>
      <c r="BM158" s="806">
        <f t="shared" si="134"/>
        <v>0.94132812499999996</v>
      </c>
      <c r="BN158" s="806">
        <f t="shared" si="134"/>
        <v>0.94132812499999996</v>
      </c>
      <c r="BO158" s="806">
        <f t="shared" si="134"/>
        <v>0.94132812499999996</v>
      </c>
      <c r="BP158" s="806">
        <f t="shared" si="134"/>
        <v>0.94132812499999996</v>
      </c>
      <c r="BQ158" s="806">
        <f t="shared" si="134"/>
        <v>0.94132812499999996</v>
      </c>
      <c r="BR158" s="806">
        <f t="shared" ref="BR158:EC158" si="135">BR157/MAX($E$156:$EG$156)</f>
        <v>0.94132812499999996</v>
      </c>
      <c r="BS158" s="806">
        <f t="shared" si="135"/>
        <v>0.94132812499999996</v>
      </c>
      <c r="BT158" s="806">
        <f t="shared" si="135"/>
        <v>0.94132812499999996</v>
      </c>
      <c r="BU158" s="806">
        <f t="shared" si="135"/>
        <v>0.94132812499999996</v>
      </c>
      <c r="BV158" s="806">
        <f t="shared" si="135"/>
        <v>0.94132812499999996</v>
      </c>
      <c r="BW158" s="806">
        <f t="shared" si="135"/>
        <v>0.94132812499999996</v>
      </c>
      <c r="BX158" s="806">
        <f t="shared" si="135"/>
        <v>0.94132812499999996</v>
      </c>
      <c r="BY158" s="806">
        <f t="shared" si="135"/>
        <v>0.94132812499999996</v>
      </c>
      <c r="BZ158" s="806">
        <f t="shared" si="135"/>
        <v>0.94132812499999996</v>
      </c>
      <c r="CA158" s="806">
        <f t="shared" si="135"/>
        <v>0.94132812499999996</v>
      </c>
      <c r="CB158" s="806">
        <f t="shared" si="135"/>
        <v>0.94132812499999996</v>
      </c>
      <c r="CC158" s="806">
        <f t="shared" si="135"/>
        <v>0.94132812499999996</v>
      </c>
      <c r="CD158" s="806">
        <f t="shared" si="135"/>
        <v>0.94132812499999996</v>
      </c>
      <c r="CE158" s="806">
        <f t="shared" si="135"/>
        <v>0.94132812499999996</v>
      </c>
      <c r="CF158" s="806">
        <f t="shared" si="135"/>
        <v>0.94132812499999996</v>
      </c>
      <c r="CG158" s="806">
        <f t="shared" si="135"/>
        <v>0.94132812499999996</v>
      </c>
      <c r="CH158" s="806">
        <f t="shared" si="135"/>
        <v>0.94132812499999996</v>
      </c>
      <c r="CI158" s="806">
        <f t="shared" si="135"/>
        <v>0.94132812499999996</v>
      </c>
      <c r="CJ158" s="806">
        <f t="shared" si="135"/>
        <v>0.94132812499999996</v>
      </c>
      <c r="CK158" s="806">
        <f t="shared" si="135"/>
        <v>0.94132812499999996</v>
      </c>
      <c r="CL158" s="806">
        <f t="shared" si="135"/>
        <v>0.94132812499999996</v>
      </c>
      <c r="CM158" s="806">
        <f t="shared" si="135"/>
        <v>0.94132812499999996</v>
      </c>
      <c r="CN158" s="806">
        <f t="shared" si="135"/>
        <v>0.94132812499999996</v>
      </c>
      <c r="CO158" s="806">
        <f t="shared" si="135"/>
        <v>0.94132812499999996</v>
      </c>
      <c r="CP158" s="806">
        <f t="shared" si="135"/>
        <v>0.94132812499999996</v>
      </c>
      <c r="CQ158" s="806">
        <f t="shared" si="135"/>
        <v>0.94132812499999996</v>
      </c>
      <c r="CR158" s="806">
        <f t="shared" si="135"/>
        <v>0.94132812499999996</v>
      </c>
      <c r="CS158" s="806">
        <f t="shared" si="135"/>
        <v>0.94132812499999996</v>
      </c>
      <c r="CT158" s="806">
        <f t="shared" si="135"/>
        <v>0.94132812499999996</v>
      </c>
      <c r="CU158" s="806">
        <f t="shared" si="135"/>
        <v>0.94132812499999996</v>
      </c>
      <c r="CV158" s="806">
        <f t="shared" si="135"/>
        <v>0.94132812499999996</v>
      </c>
      <c r="CW158" s="806">
        <f t="shared" si="135"/>
        <v>0.94132812499999996</v>
      </c>
      <c r="CX158" s="806">
        <f t="shared" si="135"/>
        <v>0.94132812499999996</v>
      </c>
      <c r="CY158" s="806">
        <f t="shared" si="135"/>
        <v>0.94132812499999996</v>
      </c>
      <c r="CZ158" s="806">
        <f t="shared" si="135"/>
        <v>0.94132812499999996</v>
      </c>
      <c r="DA158" s="806">
        <f t="shared" si="135"/>
        <v>0.94132812499999996</v>
      </c>
      <c r="DB158" s="806">
        <f t="shared" si="135"/>
        <v>0.94132812499999996</v>
      </c>
      <c r="DC158" s="806">
        <f t="shared" si="135"/>
        <v>0.94132812499999996</v>
      </c>
      <c r="DD158" s="806">
        <f t="shared" si="135"/>
        <v>0.94132812499999996</v>
      </c>
      <c r="DE158" s="806">
        <f t="shared" si="135"/>
        <v>0.94132812499999996</v>
      </c>
      <c r="DF158" s="806">
        <f t="shared" si="135"/>
        <v>0.94132812499999996</v>
      </c>
      <c r="DG158" s="806">
        <f t="shared" si="135"/>
        <v>0.94132812499999996</v>
      </c>
      <c r="DH158" s="806">
        <f t="shared" si="135"/>
        <v>0.94132812499999996</v>
      </c>
      <c r="DI158" s="806">
        <f t="shared" si="135"/>
        <v>0.94132812499999996</v>
      </c>
      <c r="DJ158" s="806">
        <f t="shared" si="135"/>
        <v>0.94132812499999996</v>
      </c>
      <c r="DK158" s="806">
        <f t="shared" si="135"/>
        <v>0.94132812499999996</v>
      </c>
      <c r="DL158" s="806">
        <f t="shared" si="135"/>
        <v>0.94132812499999996</v>
      </c>
      <c r="DM158" s="806">
        <f t="shared" si="135"/>
        <v>0.94132812499999996</v>
      </c>
      <c r="DN158" s="806">
        <f t="shared" si="135"/>
        <v>0.94132812499999996</v>
      </c>
      <c r="DO158" s="806">
        <f t="shared" si="135"/>
        <v>0.94132812499999996</v>
      </c>
      <c r="DP158" s="806">
        <f t="shared" si="135"/>
        <v>0.94132812499999996</v>
      </c>
      <c r="DQ158" s="806">
        <f t="shared" si="135"/>
        <v>0.94132812499999996</v>
      </c>
      <c r="DR158" s="806">
        <f t="shared" si="135"/>
        <v>0.94132812499999996</v>
      </c>
      <c r="DS158" s="806">
        <f t="shared" si="135"/>
        <v>0.94132812499999996</v>
      </c>
      <c r="DT158" s="806">
        <f t="shared" si="135"/>
        <v>0.94132812499999996</v>
      </c>
      <c r="DU158" s="806">
        <f t="shared" si="135"/>
        <v>0.94132812499999996</v>
      </c>
      <c r="DV158" s="806">
        <f t="shared" si="135"/>
        <v>0.94132812499999996</v>
      </c>
      <c r="DW158" s="806">
        <f t="shared" si="135"/>
        <v>0.94132812499999996</v>
      </c>
      <c r="DX158" s="806">
        <f t="shared" si="135"/>
        <v>0.94132812499999996</v>
      </c>
      <c r="DY158" s="806">
        <f t="shared" si="135"/>
        <v>0.94132812499999996</v>
      </c>
      <c r="DZ158" s="806">
        <f t="shared" si="135"/>
        <v>0.94132812499999996</v>
      </c>
      <c r="EA158" s="806">
        <f t="shared" si="135"/>
        <v>0.94132812499999996</v>
      </c>
      <c r="EB158" s="806">
        <f t="shared" si="135"/>
        <v>0.94132812499999996</v>
      </c>
      <c r="EC158" s="806">
        <f t="shared" si="135"/>
        <v>0.94132812499999996</v>
      </c>
      <c r="ED158" s="806">
        <f>ED157/MAX($E$156:$EG$156)</f>
        <v>0.94132812499999996</v>
      </c>
      <c r="EE158" s="806">
        <f>EE157/MAX($E$156:$EG$156)</f>
        <v>0.94132812499999996</v>
      </c>
      <c r="EF158" s="806">
        <f>EF157/MAX($E$156:$EG$156)</f>
        <v>0.94132812499999996</v>
      </c>
      <c r="EG158" s="806">
        <f>EG157/MAX($E$156:$EG$156)</f>
        <v>0.94132812499999996</v>
      </c>
      <c r="EH158" s="782"/>
    </row>
    <row r="159" spans="1:138" ht="12.75" customHeight="1" x14ac:dyDescent="0.3">
      <c r="A159" s="782"/>
      <c r="B159" s="782" t="s">
        <v>93</v>
      </c>
      <c r="C159" s="782"/>
      <c r="D159" s="782"/>
      <c r="E159" s="782">
        <f>IF(E158&gt;='Venture Assumptions'!$F$58,1,0)</f>
        <v>0</v>
      </c>
      <c r="F159" s="782">
        <f>IF(F158&gt;='Venture Assumptions'!$F$58,1,0)</f>
        <v>0</v>
      </c>
      <c r="G159" s="782">
        <f>IF(G158&gt;='Venture Assumptions'!$F$58,1,0)</f>
        <v>0</v>
      </c>
      <c r="H159" s="782">
        <f>IF(H158&gt;='Venture Assumptions'!$F$58,1,0)</f>
        <v>0</v>
      </c>
      <c r="I159" s="782">
        <f>IF(I158&gt;='Venture Assumptions'!$F$58,1,0)</f>
        <v>0</v>
      </c>
      <c r="J159" s="782">
        <f>IF(J158&gt;='Venture Assumptions'!$F$58,1,0)</f>
        <v>0</v>
      </c>
      <c r="K159" s="782">
        <f>IF(K158&gt;='Venture Assumptions'!$F$58,1,0)</f>
        <v>0</v>
      </c>
      <c r="L159" s="782">
        <f>IF(L158&gt;='Venture Assumptions'!$F$58,1,0)</f>
        <v>0</v>
      </c>
      <c r="M159" s="782">
        <f>IF(M158&gt;='Venture Assumptions'!$F$58,1,0)</f>
        <v>0</v>
      </c>
      <c r="N159" s="782">
        <f>IF(N158&gt;='Venture Assumptions'!$F$58,1,0)</f>
        <v>0</v>
      </c>
      <c r="O159" s="782">
        <f>IF(O158&gt;='Venture Assumptions'!$F$58,1,0)</f>
        <v>0</v>
      </c>
      <c r="P159" s="782">
        <f>IF(P158&gt;='Venture Assumptions'!$F$58,1,0)</f>
        <v>0</v>
      </c>
      <c r="Q159" s="782">
        <f>IF(Q158&gt;='Venture Assumptions'!$F$58,1,0)</f>
        <v>0</v>
      </c>
      <c r="R159" s="782">
        <f>IF(R158&gt;='Venture Assumptions'!$F$58,1,0)</f>
        <v>0</v>
      </c>
      <c r="S159" s="782">
        <f>IF(S158&gt;='Venture Assumptions'!$F$58,1,0)</f>
        <v>0</v>
      </c>
      <c r="T159" s="782">
        <f>IF(T158&gt;='Venture Assumptions'!$F$58,1,0)</f>
        <v>0</v>
      </c>
      <c r="U159" s="782">
        <f>IF(U158&gt;='Venture Assumptions'!$F$58,1,0)</f>
        <v>0</v>
      </c>
      <c r="V159" s="782">
        <f>IF(V158&gt;='Venture Assumptions'!$F$58,1,0)</f>
        <v>0</v>
      </c>
      <c r="W159" s="782">
        <f>IF(W158&gt;='Venture Assumptions'!$F$58,1,0)</f>
        <v>0</v>
      </c>
      <c r="X159" s="782">
        <f>IF(X158&gt;='Venture Assumptions'!$F$58,1,0)</f>
        <v>0</v>
      </c>
      <c r="Y159" s="782">
        <f>IF(Y158&gt;='Venture Assumptions'!$F$58,1,0)</f>
        <v>0</v>
      </c>
      <c r="Z159" s="782">
        <f>IF(Z158&gt;='Venture Assumptions'!$F$58,1,0)</f>
        <v>0</v>
      </c>
      <c r="AA159" s="782">
        <f>IF(AA158&gt;='Venture Assumptions'!$F$58,1,0)</f>
        <v>0</v>
      </c>
      <c r="AB159" s="782">
        <f>IF(AB158&gt;='Venture Assumptions'!$F$58,1,0)</f>
        <v>0</v>
      </c>
      <c r="AC159" s="782">
        <f>IF(AC158&gt;='Venture Assumptions'!$F$58,1,0)</f>
        <v>0</v>
      </c>
      <c r="AD159" s="782">
        <f>IF(AD158&gt;='Venture Assumptions'!$F$58,1,0)</f>
        <v>0</v>
      </c>
      <c r="AE159" s="782">
        <f>IF(AE158&gt;='Venture Assumptions'!$F$58,1,0)</f>
        <v>0</v>
      </c>
      <c r="AF159" s="782">
        <f>IF(AF158&gt;='Venture Assumptions'!$F$58,1,0)</f>
        <v>1</v>
      </c>
      <c r="AG159" s="782">
        <f>IF(AG158&gt;='Venture Assumptions'!$F$58,1,0)</f>
        <v>1</v>
      </c>
      <c r="AH159" s="782">
        <f>IF(AH158&gt;='Venture Assumptions'!$F$58,1,0)</f>
        <v>1</v>
      </c>
      <c r="AI159" s="782">
        <f>IF(AI158&gt;='Venture Assumptions'!$F$58,1,0)</f>
        <v>1</v>
      </c>
      <c r="AJ159" s="782">
        <f>IF(AJ158&gt;='Venture Assumptions'!$F$58,1,0)</f>
        <v>1</v>
      </c>
      <c r="AK159" s="782">
        <f>IF(AK158&gt;='Venture Assumptions'!$F$58,1,0)</f>
        <v>1</v>
      </c>
      <c r="AL159" s="782">
        <f>IF(AL158&gt;='Venture Assumptions'!$F$58,1,0)</f>
        <v>1</v>
      </c>
      <c r="AM159" s="782">
        <f>IF(AM158&gt;='Venture Assumptions'!$F$58,1,0)</f>
        <v>1</v>
      </c>
      <c r="AN159" s="782">
        <f>IF(AN158&gt;='Venture Assumptions'!$F$58,1,0)</f>
        <v>1</v>
      </c>
      <c r="AO159" s="782">
        <f>IF(AO158&gt;='Venture Assumptions'!$F$58,1,0)</f>
        <v>1</v>
      </c>
      <c r="AP159" s="782">
        <f>IF(AP158&gt;='Venture Assumptions'!$F$58,1,0)</f>
        <v>1</v>
      </c>
      <c r="AQ159" s="782">
        <f>IF(AQ158&gt;='Venture Assumptions'!$F$58,1,0)</f>
        <v>1</v>
      </c>
      <c r="AR159" s="782">
        <f>IF(AR158&gt;='Venture Assumptions'!$F$58,1,0)</f>
        <v>1</v>
      </c>
      <c r="AS159" s="782">
        <f>IF(AS158&gt;='Venture Assumptions'!$F$58,1,0)</f>
        <v>1</v>
      </c>
      <c r="AT159" s="782">
        <f>IF(AT158&gt;='Venture Assumptions'!$F$58,1,0)</f>
        <v>1</v>
      </c>
      <c r="AU159" s="782">
        <f>IF(AU158&gt;='Venture Assumptions'!$F$58,1,0)</f>
        <v>1</v>
      </c>
      <c r="AV159" s="782">
        <f>IF(AV158&gt;='Venture Assumptions'!$F$58,1,0)</f>
        <v>1</v>
      </c>
      <c r="AW159" s="782">
        <f>IF(AW158&gt;='Venture Assumptions'!$F$58,1,0)</f>
        <v>1</v>
      </c>
      <c r="AX159" s="782">
        <f>IF(AX158&gt;='Venture Assumptions'!$F$58,1,0)</f>
        <v>1</v>
      </c>
      <c r="AY159" s="782">
        <f>IF(AY158&gt;='Venture Assumptions'!$F$58,1,0)</f>
        <v>1</v>
      </c>
      <c r="AZ159" s="782">
        <f>IF(AZ158&gt;='Venture Assumptions'!$F$58,1,0)</f>
        <v>1</v>
      </c>
      <c r="BA159" s="782">
        <f>IF(BA158&gt;='Venture Assumptions'!$F$58,1,0)</f>
        <v>1</v>
      </c>
      <c r="BB159" s="782">
        <f>IF(BB158&gt;='Venture Assumptions'!$F$58,1,0)</f>
        <v>1</v>
      </c>
      <c r="BC159" s="782">
        <f>IF(BC158&gt;='Venture Assumptions'!$F$58,1,0)</f>
        <v>1</v>
      </c>
      <c r="BD159" s="782">
        <f>IF(BD158&gt;='Venture Assumptions'!$F$58,1,0)</f>
        <v>1</v>
      </c>
      <c r="BE159" s="782">
        <f>IF(BE158&gt;='Venture Assumptions'!$F$58,1,0)</f>
        <v>1</v>
      </c>
      <c r="BF159" s="782">
        <f>IF(BF158&gt;='Venture Assumptions'!$F$58,1,0)</f>
        <v>1</v>
      </c>
      <c r="BG159" s="782">
        <f>IF(BG158&gt;='Venture Assumptions'!$F$58,1,0)</f>
        <v>1</v>
      </c>
      <c r="BH159" s="782">
        <f>IF(BH158&gt;='Venture Assumptions'!$F$58,1,0)</f>
        <v>1</v>
      </c>
      <c r="BI159" s="782">
        <f>IF(BI158&gt;='Venture Assumptions'!$F$58,1,0)</f>
        <v>1</v>
      </c>
      <c r="BJ159" s="782">
        <f>IF(BJ158&gt;='Venture Assumptions'!$F$58,1,0)</f>
        <v>1</v>
      </c>
      <c r="BK159" s="782">
        <f>IF(BK158&gt;='Venture Assumptions'!$F$58,1,0)</f>
        <v>1</v>
      </c>
      <c r="BL159" s="782">
        <f>IF(BL158&gt;='Venture Assumptions'!$F$58,1,0)</f>
        <v>1</v>
      </c>
      <c r="BM159" s="782">
        <f>IF(BM158&gt;='Venture Assumptions'!$F$58,1,0)</f>
        <v>1</v>
      </c>
      <c r="BN159" s="782">
        <f>IF(BN158&gt;='Venture Assumptions'!$F$58,1,0)</f>
        <v>1</v>
      </c>
      <c r="BO159" s="782">
        <f>IF(BO158&gt;='Venture Assumptions'!$F$58,1,0)</f>
        <v>1</v>
      </c>
      <c r="BP159" s="782">
        <f>IF(BP158&gt;='Venture Assumptions'!$F$58,1,0)</f>
        <v>1</v>
      </c>
      <c r="BQ159" s="782">
        <f>IF(BQ158&gt;='Venture Assumptions'!$F$58,1,0)</f>
        <v>1</v>
      </c>
      <c r="BR159" s="782">
        <f>IF(BR158&gt;='Venture Assumptions'!$F$58,1,0)</f>
        <v>1</v>
      </c>
      <c r="BS159" s="782">
        <f>IF(BS158&gt;='Venture Assumptions'!$F$58,1,0)</f>
        <v>1</v>
      </c>
      <c r="BT159" s="782">
        <f>IF(BT158&gt;='Venture Assumptions'!$F$58,1,0)</f>
        <v>1</v>
      </c>
      <c r="BU159" s="782">
        <f>IF(BU158&gt;='Venture Assumptions'!$F$58,1,0)</f>
        <v>1</v>
      </c>
      <c r="BV159" s="782">
        <f>IF(BV158&gt;='Venture Assumptions'!$F$58,1,0)</f>
        <v>1</v>
      </c>
      <c r="BW159" s="782">
        <f>IF(BW158&gt;='Venture Assumptions'!$F$58,1,0)</f>
        <v>1</v>
      </c>
      <c r="BX159" s="782">
        <f>IF(BX158&gt;='Venture Assumptions'!$F$58,1,0)</f>
        <v>1</v>
      </c>
      <c r="BY159" s="782">
        <f>IF(BY158&gt;='Venture Assumptions'!$F$58,1,0)</f>
        <v>1</v>
      </c>
      <c r="BZ159" s="782">
        <f>IF(BZ158&gt;='Venture Assumptions'!$F$58,1,0)</f>
        <v>1</v>
      </c>
      <c r="CA159" s="782">
        <f>IF(CA158&gt;='Venture Assumptions'!$F$58,1,0)</f>
        <v>1</v>
      </c>
      <c r="CB159" s="782">
        <f>IF(CB158&gt;='Venture Assumptions'!$F$58,1,0)</f>
        <v>1</v>
      </c>
      <c r="CC159" s="782">
        <f>IF(CC158&gt;='Venture Assumptions'!$F$58,1,0)</f>
        <v>1</v>
      </c>
      <c r="CD159" s="782">
        <f>IF(CD158&gt;='Venture Assumptions'!$F$58,1,0)</f>
        <v>1</v>
      </c>
      <c r="CE159" s="782">
        <f>IF(CE158&gt;='Venture Assumptions'!$F$58,1,0)</f>
        <v>1</v>
      </c>
      <c r="CF159" s="782">
        <f>IF(CF158&gt;='Venture Assumptions'!$F$58,1,0)</f>
        <v>1</v>
      </c>
      <c r="CG159" s="782">
        <f>IF(CG158&gt;='Venture Assumptions'!$F$58,1,0)</f>
        <v>1</v>
      </c>
      <c r="CH159" s="782">
        <f>IF(CH158&gt;='Venture Assumptions'!$F$58,1,0)</f>
        <v>1</v>
      </c>
      <c r="CI159" s="782">
        <f>IF(CI158&gt;='Venture Assumptions'!$F$58,1,0)</f>
        <v>1</v>
      </c>
      <c r="CJ159" s="782">
        <f>IF(CJ158&gt;='Venture Assumptions'!$F$58,1,0)</f>
        <v>1</v>
      </c>
      <c r="CK159" s="782">
        <f>IF(CK158&gt;='Venture Assumptions'!$F$58,1,0)</f>
        <v>1</v>
      </c>
      <c r="CL159" s="782">
        <f>IF(CL158&gt;='Venture Assumptions'!$F$58,1,0)</f>
        <v>1</v>
      </c>
      <c r="CM159" s="782">
        <f>IF(CM158&gt;='Venture Assumptions'!$F$58,1,0)</f>
        <v>1</v>
      </c>
      <c r="CN159" s="782">
        <f>IF(CN158&gt;='Venture Assumptions'!$F$58,1,0)</f>
        <v>1</v>
      </c>
      <c r="CO159" s="782">
        <f>IF(CO158&gt;='Venture Assumptions'!$F$58,1,0)</f>
        <v>1</v>
      </c>
      <c r="CP159" s="782">
        <f>IF(CP158&gt;='Venture Assumptions'!$F$58,1,0)</f>
        <v>1</v>
      </c>
      <c r="CQ159" s="782">
        <f>IF(CQ158&gt;='Venture Assumptions'!$F$58,1,0)</f>
        <v>1</v>
      </c>
      <c r="CR159" s="782">
        <f>IF(CR158&gt;='Venture Assumptions'!$F$58,1,0)</f>
        <v>1</v>
      </c>
      <c r="CS159" s="782">
        <f>IF(CS158&gt;='Venture Assumptions'!$F$58,1,0)</f>
        <v>1</v>
      </c>
      <c r="CT159" s="782">
        <f>IF(CT158&gt;='Venture Assumptions'!$F$58,1,0)</f>
        <v>1</v>
      </c>
      <c r="CU159" s="782">
        <f>IF(CU158&gt;='Venture Assumptions'!$F$58,1,0)</f>
        <v>1</v>
      </c>
      <c r="CV159" s="782">
        <f>IF(CV158&gt;='Venture Assumptions'!$F$58,1,0)</f>
        <v>1</v>
      </c>
      <c r="CW159" s="782">
        <f>IF(CW158&gt;='Venture Assumptions'!$F$58,1,0)</f>
        <v>1</v>
      </c>
      <c r="CX159" s="782">
        <f>IF(CX158&gt;='Venture Assumptions'!$F$58,1,0)</f>
        <v>1</v>
      </c>
      <c r="CY159" s="782">
        <f>IF(CY158&gt;='Venture Assumptions'!$F$58,1,0)</f>
        <v>1</v>
      </c>
      <c r="CZ159" s="782">
        <f>IF(CZ158&gt;='Venture Assumptions'!$F$58,1,0)</f>
        <v>1</v>
      </c>
      <c r="DA159" s="782">
        <f>IF(DA158&gt;='Venture Assumptions'!$F$58,1,0)</f>
        <v>1</v>
      </c>
      <c r="DB159" s="782">
        <f>IF(DB158&gt;='Venture Assumptions'!$F$58,1,0)</f>
        <v>1</v>
      </c>
      <c r="DC159" s="782">
        <f>IF(DC158&gt;='Venture Assumptions'!$F$58,1,0)</f>
        <v>1</v>
      </c>
      <c r="DD159" s="782">
        <f>IF(DD158&gt;='Venture Assumptions'!$F$58,1,0)</f>
        <v>1</v>
      </c>
      <c r="DE159" s="782">
        <f>IF(DE158&gt;='Venture Assumptions'!$F$58,1,0)</f>
        <v>1</v>
      </c>
      <c r="DF159" s="782">
        <f>IF(DF158&gt;='Venture Assumptions'!$F$58,1,0)</f>
        <v>1</v>
      </c>
      <c r="DG159" s="782">
        <f>IF(DG158&gt;='Venture Assumptions'!$F$58,1,0)</f>
        <v>1</v>
      </c>
      <c r="DH159" s="782">
        <f>IF(DH158&gt;='Venture Assumptions'!$F$58,1,0)</f>
        <v>1</v>
      </c>
      <c r="DI159" s="782">
        <f>IF(DI158&gt;='Venture Assumptions'!$F$58,1,0)</f>
        <v>1</v>
      </c>
      <c r="DJ159" s="782">
        <f>IF(DJ158&gt;='Venture Assumptions'!$F$58,1,0)</f>
        <v>1</v>
      </c>
      <c r="DK159" s="782">
        <f>IF(DK158&gt;='Venture Assumptions'!$F$58,1,0)</f>
        <v>1</v>
      </c>
      <c r="DL159" s="782">
        <f>IF(DL158&gt;='Venture Assumptions'!$F$58,1,0)</f>
        <v>1</v>
      </c>
      <c r="DM159" s="782">
        <f>IF(DM158&gt;='Venture Assumptions'!$F$58,1,0)</f>
        <v>1</v>
      </c>
      <c r="DN159" s="782">
        <f>IF(DN158&gt;='Venture Assumptions'!$F$58,1,0)</f>
        <v>1</v>
      </c>
      <c r="DO159" s="782">
        <f>IF(DO158&gt;='Venture Assumptions'!$F$58,1,0)</f>
        <v>1</v>
      </c>
      <c r="DP159" s="782">
        <f>IF(DP158&gt;='Venture Assumptions'!$F$58,1,0)</f>
        <v>1</v>
      </c>
      <c r="DQ159" s="782">
        <f>IF(DQ158&gt;='Venture Assumptions'!$F$58,1,0)</f>
        <v>1</v>
      </c>
      <c r="DR159" s="782">
        <f>IF(DR158&gt;='Venture Assumptions'!$F$58,1,0)</f>
        <v>1</v>
      </c>
      <c r="DS159" s="782">
        <f>IF(DS158&gt;='Venture Assumptions'!$F$58,1,0)</f>
        <v>1</v>
      </c>
      <c r="DT159" s="782">
        <f>IF(DT158&gt;='Venture Assumptions'!$F$58,1,0)</f>
        <v>1</v>
      </c>
      <c r="DU159" s="782">
        <f>IF(DU158&gt;='Venture Assumptions'!$F$58,1,0)</f>
        <v>1</v>
      </c>
      <c r="DV159" s="782">
        <f>IF(DV158&gt;='Venture Assumptions'!$F$58,1,0)</f>
        <v>1</v>
      </c>
      <c r="DW159" s="782">
        <f>IF(DW158&gt;='Venture Assumptions'!$F$58,1,0)</f>
        <v>1</v>
      </c>
      <c r="DX159" s="782">
        <f>IF(DX158&gt;='Venture Assumptions'!$F$58,1,0)</f>
        <v>1</v>
      </c>
      <c r="DY159" s="782">
        <f>IF(DY158&gt;='Venture Assumptions'!$F$58,1,0)</f>
        <v>1</v>
      </c>
      <c r="DZ159" s="782">
        <f>IF(DZ158&gt;='Venture Assumptions'!$F$58,1,0)</f>
        <v>1</v>
      </c>
      <c r="EA159" s="782">
        <f>IF(EA158&gt;='Venture Assumptions'!$F$58,1,0)</f>
        <v>1</v>
      </c>
      <c r="EB159" s="782">
        <f>IF(EB158&gt;='Venture Assumptions'!$F$58,1,0)</f>
        <v>1</v>
      </c>
      <c r="EC159" s="782">
        <f>IF(EC158&gt;='Venture Assumptions'!$F$58,1,0)</f>
        <v>1</v>
      </c>
      <c r="ED159" s="782">
        <f>IF(ED158&gt;='Venture Assumptions'!$F$58,1,0)</f>
        <v>1</v>
      </c>
      <c r="EE159" s="782">
        <f>IF(EE158&gt;='Venture Assumptions'!$F$58,1,0)</f>
        <v>1</v>
      </c>
      <c r="EF159" s="782">
        <f>IF(EF158&gt;='Venture Assumptions'!$F$58,1,0)</f>
        <v>1</v>
      </c>
      <c r="EG159" s="782">
        <f>IF(EG158&gt;='Venture Assumptions'!$F$58,1,0)</f>
        <v>1</v>
      </c>
      <c r="EH159" s="782"/>
    </row>
    <row r="160" spans="1:138" ht="12.75" customHeight="1" x14ac:dyDescent="0.3">
      <c r="A160" s="782"/>
      <c r="B160" s="782" t="s">
        <v>94</v>
      </c>
      <c r="C160" s="782"/>
      <c r="D160" s="782"/>
      <c r="E160" s="782">
        <f>SUM($E$159:E159)</f>
        <v>0</v>
      </c>
      <c r="F160" s="782">
        <f>SUM($E$159:F159)</f>
        <v>0</v>
      </c>
      <c r="G160" s="782">
        <f>SUM($E$159:G159)</f>
        <v>0</v>
      </c>
      <c r="H160" s="782">
        <f>SUM($E$159:H159)</f>
        <v>0</v>
      </c>
      <c r="I160" s="782">
        <f>SUM($E$159:I159)</f>
        <v>0</v>
      </c>
      <c r="J160" s="782">
        <f>SUM($E$159:J159)</f>
        <v>0</v>
      </c>
      <c r="K160" s="782">
        <f>SUM($E$159:K159)</f>
        <v>0</v>
      </c>
      <c r="L160" s="782">
        <f>SUM($E$159:L159)</f>
        <v>0</v>
      </c>
      <c r="M160" s="782">
        <f>SUM($E$159:M159)</f>
        <v>0</v>
      </c>
      <c r="N160" s="782">
        <f>SUM($E$159:N159)</f>
        <v>0</v>
      </c>
      <c r="O160" s="782">
        <f>SUM($E$159:O159)</f>
        <v>0</v>
      </c>
      <c r="P160" s="782">
        <f>SUM($E$159:P159)</f>
        <v>0</v>
      </c>
      <c r="Q160" s="782">
        <f>SUM($E$159:Q159)</f>
        <v>0</v>
      </c>
      <c r="R160" s="782">
        <f>SUM($E$159:R159)</f>
        <v>0</v>
      </c>
      <c r="S160" s="782">
        <f>SUM($E$159:S159)</f>
        <v>0</v>
      </c>
      <c r="T160" s="782">
        <f>SUM($E$159:T159)</f>
        <v>0</v>
      </c>
      <c r="U160" s="782">
        <f>SUM($E$159:U159)</f>
        <v>0</v>
      </c>
      <c r="V160" s="782">
        <f>SUM($E$159:V159)</f>
        <v>0</v>
      </c>
      <c r="W160" s="782">
        <f>SUM($E$159:W159)</f>
        <v>0</v>
      </c>
      <c r="X160" s="782">
        <f>SUM($E$159:X159)</f>
        <v>0</v>
      </c>
      <c r="Y160" s="782">
        <f>SUM($E$159:Y159)</f>
        <v>0</v>
      </c>
      <c r="Z160" s="782">
        <f>SUM($E$159:Z159)</f>
        <v>0</v>
      </c>
      <c r="AA160" s="782">
        <f>SUM($E$159:AA159)</f>
        <v>0</v>
      </c>
      <c r="AB160" s="782">
        <f>SUM($E$159:AB159)</f>
        <v>0</v>
      </c>
      <c r="AC160" s="782">
        <f>SUM($E$159:AC159)</f>
        <v>0</v>
      </c>
      <c r="AD160" s="782">
        <f>SUM($E$159:AD159)</f>
        <v>0</v>
      </c>
      <c r="AE160" s="782">
        <f>SUM($E$159:AE159)</f>
        <v>0</v>
      </c>
      <c r="AF160" s="782">
        <f>SUM($E$159:AF159)</f>
        <v>1</v>
      </c>
      <c r="AG160" s="782">
        <f>SUM($E$159:AG159)</f>
        <v>2</v>
      </c>
      <c r="AH160" s="782">
        <f>SUM($E$159:AH159)</f>
        <v>3</v>
      </c>
      <c r="AI160" s="782">
        <f>SUM($E$159:AI159)</f>
        <v>4</v>
      </c>
      <c r="AJ160" s="782">
        <f>SUM($E$159:AJ159)</f>
        <v>5</v>
      </c>
      <c r="AK160" s="782">
        <f>SUM($E$159:AK159)</f>
        <v>6</v>
      </c>
      <c r="AL160" s="782">
        <f>SUM($E$159:AL159)</f>
        <v>7</v>
      </c>
      <c r="AM160" s="782">
        <f>SUM($E$159:AM159)</f>
        <v>8</v>
      </c>
      <c r="AN160" s="782">
        <f>SUM($E$159:AN159)</f>
        <v>9</v>
      </c>
      <c r="AO160" s="782">
        <f>SUM($E$159:AO159)</f>
        <v>10</v>
      </c>
      <c r="AP160" s="782">
        <f>SUM($E$159:AP159)</f>
        <v>11</v>
      </c>
      <c r="AQ160" s="782">
        <f>SUM($E$159:AQ159)</f>
        <v>12</v>
      </c>
      <c r="AR160" s="782">
        <f>SUM($E$159:AR159)</f>
        <v>13</v>
      </c>
      <c r="AS160" s="782">
        <f>SUM($E$159:AS159)</f>
        <v>14</v>
      </c>
      <c r="AT160" s="782">
        <f>SUM($E$159:AT159)</f>
        <v>15</v>
      </c>
      <c r="AU160" s="782">
        <f>SUM($E$159:AU159)</f>
        <v>16</v>
      </c>
      <c r="AV160" s="782">
        <f>SUM($E$159:AV159)</f>
        <v>17</v>
      </c>
      <c r="AW160" s="782">
        <f>SUM($E$159:AW159)</f>
        <v>18</v>
      </c>
      <c r="AX160" s="782">
        <f>SUM($E$159:AX159)</f>
        <v>19</v>
      </c>
      <c r="AY160" s="782">
        <f>SUM($E$159:AY159)</f>
        <v>20</v>
      </c>
      <c r="AZ160" s="782">
        <f>SUM($E$159:AZ159)</f>
        <v>21</v>
      </c>
      <c r="BA160" s="782">
        <f>SUM($E$159:BA159)</f>
        <v>22</v>
      </c>
      <c r="BB160" s="782">
        <f>SUM($E$159:BB159)</f>
        <v>23</v>
      </c>
      <c r="BC160" s="782">
        <f>SUM($E$159:BC159)</f>
        <v>24</v>
      </c>
      <c r="BD160" s="782">
        <f>SUM($E$159:BD159)</f>
        <v>25</v>
      </c>
      <c r="BE160" s="782">
        <f>SUM($E$159:BE159)</f>
        <v>26</v>
      </c>
      <c r="BF160" s="782">
        <f>SUM($E$159:BF159)</f>
        <v>27</v>
      </c>
      <c r="BG160" s="782">
        <f>SUM($E$159:BG159)</f>
        <v>28</v>
      </c>
      <c r="BH160" s="782">
        <f>SUM($E$159:BH159)</f>
        <v>29</v>
      </c>
      <c r="BI160" s="782">
        <f>SUM($E$159:BI159)</f>
        <v>30</v>
      </c>
      <c r="BJ160" s="782">
        <f>SUM($E$159:BJ159)</f>
        <v>31</v>
      </c>
      <c r="BK160" s="782">
        <f>SUM($E$159:BK159)</f>
        <v>32</v>
      </c>
      <c r="BL160" s="782">
        <f>SUM($E$159:BL159)</f>
        <v>33</v>
      </c>
      <c r="BM160" s="782">
        <f>SUM($E$159:BM159)</f>
        <v>34</v>
      </c>
      <c r="BN160" s="782">
        <f>SUM($E$159:BN159)</f>
        <v>35</v>
      </c>
      <c r="BO160" s="782">
        <f>SUM($E$159:BO159)</f>
        <v>36</v>
      </c>
      <c r="BP160" s="782">
        <f>SUM($E$159:BP159)</f>
        <v>37</v>
      </c>
      <c r="BQ160" s="782">
        <f>SUM($E$159:BQ159)</f>
        <v>38</v>
      </c>
      <c r="BR160" s="782">
        <f>SUM($E$159:BR159)</f>
        <v>39</v>
      </c>
      <c r="BS160" s="782">
        <f>SUM($E$159:BS159)</f>
        <v>40</v>
      </c>
      <c r="BT160" s="782">
        <f>SUM($E$159:BT159)</f>
        <v>41</v>
      </c>
      <c r="BU160" s="782">
        <f>SUM($E$159:BU159)</f>
        <v>42</v>
      </c>
      <c r="BV160" s="782">
        <f>SUM($E$159:BV159)</f>
        <v>43</v>
      </c>
      <c r="BW160" s="782">
        <f>SUM($E$159:BW159)</f>
        <v>44</v>
      </c>
      <c r="BX160" s="782">
        <f>SUM($E$159:BX159)</f>
        <v>45</v>
      </c>
      <c r="BY160" s="782">
        <f>SUM($E$159:BY159)</f>
        <v>46</v>
      </c>
      <c r="BZ160" s="782">
        <f>SUM($E$159:BZ159)</f>
        <v>47</v>
      </c>
      <c r="CA160" s="782">
        <f>SUM($E$159:CA159)</f>
        <v>48</v>
      </c>
      <c r="CB160" s="782">
        <f>SUM($E$159:CB159)</f>
        <v>49</v>
      </c>
      <c r="CC160" s="782">
        <f>SUM($E$159:CC159)</f>
        <v>50</v>
      </c>
      <c r="CD160" s="782">
        <f>SUM($E$159:CD159)</f>
        <v>51</v>
      </c>
      <c r="CE160" s="782">
        <f>SUM($E$159:CE159)</f>
        <v>52</v>
      </c>
      <c r="CF160" s="782">
        <f>SUM($E$159:CF159)</f>
        <v>53</v>
      </c>
      <c r="CG160" s="782">
        <f>SUM($E$159:CG159)</f>
        <v>54</v>
      </c>
      <c r="CH160" s="782">
        <f>SUM($E$159:CH159)</f>
        <v>55</v>
      </c>
      <c r="CI160" s="782">
        <f>SUM($E$159:CI159)</f>
        <v>56</v>
      </c>
      <c r="CJ160" s="782">
        <f>SUM($E$159:CJ159)</f>
        <v>57</v>
      </c>
      <c r="CK160" s="782">
        <f>SUM($E$159:CK159)</f>
        <v>58</v>
      </c>
      <c r="CL160" s="782">
        <f>SUM($E$159:CL159)</f>
        <v>59</v>
      </c>
      <c r="CM160" s="782">
        <f>SUM($E$159:CM159)</f>
        <v>60</v>
      </c>
      <c r="CN160" s="782">
        <f>SUM($E$159:CN159)</f>
        <v>61</v>
      </c>
      <c r="CO160" s="782">
        <f>SUM($E$159:CO159)</f>
        <v>62</v>
      </c>
      <c r="CP160" s="782">
        <f>SUM($E$159:CP159)</f>
        <v>63</v>
      </c>
      <c r="CQ160" s="782">
        <f>SUM($E$159:CQ159)</f>
        <v>64</v>
      </c>
      <c r="CR160" s="782">
        <f>SUM($E$159:CR159)</f>
        <v>65</v>
      </c>
      <c r="CS160" s="782">
        <f>SUM($E$159:CS159)</f>
        <v>66</v>
      </c>
      <c r="CT160" s="782">
        <f>SUM($E$159:CT159)</f>
        <v>67</v>
      </c>
      <c r="CU160" s="782">
        <f>SUM($E$159:CU159)</f>
        <v>68</v>
      </c>
      <c r="CV160" s="782">
        <f>SUM($E$159:CV159)</f>
        <v>69</v>
      </c>
      <c r="CW160" s="782">
        <f>SUM($E$159:CW159)</f>
        <v>70</v>
      </c>
      <c r="CX160" s="782">
        <f>SUM($E$159:CX159)</f>
        <v>71</v>
      </c>
      <c r="CY160" s="782">
        <f>SUM($E$159:CY159)</f>
        <v>72</v>
      </c>
      <c r="CZ160" s="782">
        <f>SUM($E$159:CZ159)</f>
        <v>73</v>
      </c>
      <c r="DA160" s="782">
        <f>SUM($E$159:DA159)</f>
        <v>74</v>
      </c>
      <c r="DB160" s="782">
        <f>SUM($E$159:DB159)</f>
        <v>75</v>
      </c>
      <c r="DC160" s="782">
        <f>SUM($E$159:DC159)</f>
        <v>76</v>
      </c>
      <c r="DD160" s="782">
        <f>SUM($E$159:DD159)</f>
        <v>77</v>
      </c>
      <c r="DE160" s="782">
        <f>SUM($E$159:DE159)</f>
        <v>78</v>
      </c>
      <c r="DF160" s="782">
        <f>SUM($E$159:DF159)</f>
        <v>79</v>
      </c>
      <c r="DG160" s="782">
        <f>SUM($E$159:DG159)</f>
        <v>80</v>
      </c>
      <c r="DH160" s="782">
        <f>SUM($E$159:DH159)</f>
        <v>81</v>
      </c>
      <c r="DI160" s="782">
        <f>SUM($E$159:DI159)</f>
        <v>82</v>
      </c>
      <c r="DJ160" s="782">
        <f>SUM($E$159:DJ159)</f>
        <v>83</v>
      </c>
      <c r="DK160" s="782">
        <f>SUM($E$159:DK159)</f>
        <v>84</v>
      </c>
      <c r="DL160" s="782">
        <f>SUM($E$159:DL159)</f>
        <v>85</v>
      </c>
      <c r="DM160" s="782">
        <f>SUM($E$159:DM159)</f>
        <v>86</v>
      </c>
      <c r="DN160" s="782">
        <f>SUM($E$159:DN159)</f>
        <v>87</v>
      </c>
      <c r="DO160" s="782">
        <f>SUM($E$159:DO159)</f>
        <v>88</v>
      </c>
      <c r="DP160" s="782">
        <f>SUM($E$159:DP159)</f>
        <v>89</v>
      </c>
      <c r="DQ160" s="782">
        <f>SUM($E$159:DQ159)</f>
        <v>90</v>
      </c>
      <c r="DR160" s="782">
        <f>SUM($E$159:DR159)</f>
        <v>91</v>
      </c>
      <c r="DS160" s="782">
        <f>SUM($E$159:DS159)</f>
        <v>92</v>
      </c>
      <c r="DT160" s="782">
        <f>SUM($E$159:DT159)</f>
        <v>93</v>
      </c>
      <c r="DU160" s="782">
        <f>SUM($E$159:DU159)</f>
        <v>94</v>
      </c>
      <c r="DV160" s="782">
        <f>SUM($E$159:DV159)</f>
        <v>95</v>
      </c>
      <c r="DW160" s="782">
        <f>SUM($E$159:DW159)</f>
        <v>96</v>
      </c>
      <c r="DX160" s="782">
        <f>SUM($E$159:DX159)</f>
        <v>97</v>
      </c>
      <c r="DY160" s="782">
        <f>SUM($E$159:DY159)</f>
        <v>98</v>
      </c>
      <c r="DZ160" s="782">
        <f>SUM($E$159:DZ159)</f>
        <v>99</v>
      </c>
      <c r="EA160" s="782">
        <f>SUM($E$159:EA159)</f>
        <v>100</v>
      </c>
      <c r="EB160" s="782">
        <f>SUM($E$159:EB159)</f>
        <v>101</v>
      </c>
      <c r="EC160" s="782">
        <f>SUM($E$159:EC159)</f>
        <v>102</v>
      </c>
      <c r="ED160" s="782">
        <f>SUM($E$159:ED159)</f>
        <v>103</v>
      </c>
      <c r="EE160" s="782">
        <f>SUM($E$159:EE159)</f>
        <v>104</v>
      </c>
      <c r="EF160" s="782">
        <f>SUM($E$159:EF159)</f>
        <v>105</v>
      </c>
      <c r="EG160" s="782">
        <f>SUM($E$159:EG159)</f>
        <v>106</v>
      </c>
      <c r="EH160" s="782"/>
    </row>
    <row r="161" spans="1:138" ht="12.75" customHeight="1" x14ac:dyDescent="0.3">
      <c r="A161" s="782"/>
      <c r="B161" s="782"/>
      <c r="C161" s="782"/>
      <c r="D161" s="782"/>
      <c r="E161" s="782"/>
      <c r="F161" s="782"/>
      <c r="G161" s="782"/>
      <c r="H161" s="782"/>
      <c r="I161" s="782"/>
      <c r="J161" s="782"/>
      <c r="K161" s="782"/>
      <c r="L161" s="782"/>
      <c r="M161" s="782"/>
      <c r="N161" s="782"/>
      <c r="O161" s="782"/>
      <c r="P161" s="782"/>
      <c r="Q161" s="782"/>
      <c r="R161" s="782"/>
      <c r="S161" s="782"/>
      <c r="T161" s="782"/>
      <c r="U161" s="782"/>
      <c r="V161" s="782"/>
      <c r="W161" s="782"/>
      <c r="X161" s="782"/>
      <c r="Y161" s="782"/>
      <c r="Z161" s="782"/>
      <c r="AA161" s="782"/>
      <c r="AB161" s="782"/>
      <c r="AC161" s="782"/>
      <c r="AD161" s="782"/>
      <c r="AE161" s="782"/>
      <c r="AF161" s="782"/>
      <c r="AG161" s="782"/>
      <c r="AH161" s="782"/>
      <c r="AI161" s="782"/>
      <c r="AJ161" s="782"/>
      <c r="AK161" s="782"/>
      <c r="AL161" s="782"/>
      <c r="AM161" s="782"/>
      <c r="AN161" s="782"/>
      <c r="AO161" s="782"/>
      <c r="AP161" s="782"/>
      <c r="AQ161" s="782"/>
      <c r="AR161" s="782"/>
      <c r="AS161" s="782"/>
      <c r="AT161" s="782"/>
      <c r="AU161" s="782"/>
      <c r="AV161" s="782"/>
      <c r="AW161" s="782"/>
      <c r="AX161" s="782"/>
      <c r="AY161" s="782"/>
      <c r="AZ161" s="782"/>
      <c r="BA161" s="782"/>
      <c r="BB161" s="782"/>
      <c r="BC161" s="782"/>
      <c r="BD161" s="782"/>
      <c r="BE161" s="782"/>
      <c r="BF161" s="782"/>
      <c r="BG161" s="782"/>
      <c r="BH161" s="782"/>
      <c r="BI161" s="782"/>
      <c r="BJ161" s="782"/>
      <c r="BK161" s="782"/>
      <c r="BL161" s="782"/>
      <c r="BM161" s="782"/>
      <c r="BN161" s="782"/>
      <c r="BO161" s="782"/>
      <c r="BP161" s="782"/>
      <c r="BQ161" s="782"/>
      <c r="BR161" s="782"/>
      <c r="BS161" s="782"/>
      <c r="BT161" s="782"/>
      <c r="BU161" s="782"/>
      <c r="BV161" s="782"/>
      <c r="BW161" s="782"/>
      <c r="BX161" s="782"/>
      <c r="BY161" s="782"/>
      <c r="BZ161" s="782"/>
      <c r="CA161" s="782"/>
      <c r="CB161" s="782"/>
      <c r="CC161" s="782"/>
      <c r="CD161" s="782"/>
      <c r="CE161" s="782"/>
      <c r="CF161" s="782"/>
      <c r="CG161" s="782"/>
      <c r="CH161" s="782"/>
      <c r="CI161" s="782"/>
      <c r="CJ161" s="782"/>
      <c r="CK161" s="782"/>
      <c r="CL161" s="782"/>
      <c r="CM161" s="782"/>
      <c r="CN161" s="782"/>
      <c r="CO161" s="782"/>
      <c r="CP161" s="782"/>
      <c r="CQ161" s="782"/>
      <c r="CR161" s="782"/>
      <c r="CS161" s="782"/>
      <c r="CT161" s="782"/>
      <c r="CU161" s="782"/>
      <c r="CV161" s="782"/>
      <c r="CW161" s="782"/>
      <c r="CX161" s="782"/>
      <c r="CY161" s="782"/>
      <c r="CZ161" s="782"/>
      <c r="DA161" s="782"/>
      <c r="DB161" s="782"/>
      <c r="DC161" s="782"/>
      <c r="DD161" s="782"/>
      <c r="DE161" s="782"/>
      <c r="DF161" s="782"/>
      <c r="DG161" s="782"/>
      <c r="DH161" s="782"/>
      <c r="DI161" s="782"/>
      <c r="DJ161" s="782"/>
      <c r="DK161" s="782"/>
      <c r="DL161" s="782"/>
      <c r="DM161" s="782"/>
      <c r="DN161" s="782"/>
      <c r="DO161" s="782"/>
      <c r="DP161" s="782"/>
      <c r="DQ161" s="782"/>
      <c r="DR161" s="782"/>
      <c r="DS161" s="782"/>
      <c r="DT161" s="782"/>
      <c r="DU161" s="782"/>
      <c r="DV161" s="782"/>
      <c r="DW161" s="782"/>
      <c r="DX161" s="782"/>
      <c r="DY161" s="782"/>
      <c r="DZ161" s="782"/>
      <c r="EA161" s="782"/>
      <c r="EB161" s="782"/>
      <c r="EC161" s="782"/>
      <c r="ED161" s="782"/>
      <c r="EE161" s="782"/>
      <c r="EF161" s="782"/>
      <c r="EG161" s="782"/>
      <c r="EH161" s="782"/>
    </row>
    <row r="162" spans="1:138" ht="12.75" customHeight="1" x14ac:dyDescent="0.3">
      <c r="A162" s="782"/>
      <c r="B162" s="782" t="s">
        <v>95</v>
      </c>
      <c r="C162" s="798"/>
      <c r="D162" s="782"/>
      <c r="E162" s="798">
        <f>IFERROR(INDEX(OperBgt!$G$66:$EH$66,MATCH('Venture Summary - Mthly'!E5-INDEX('Venture Assumptions'!$J$6:$J$40,MATCH($B$2,'Venture Assumptions'!$I$6:$I$40,0)),OperBgt!$G$5:$EH$5,0)),0)</f>
        <v>0</v>
      </c>
      <c r="F162" s="1149">
        <f>IFERROR(INDEX(OperBgt!$G$66:$EH$66,MATCH('Venture Summary - Mthly'!F5-INDEX('Venture Assumptions'!$J$6:$J$40,MATCH($B$2,'Venture Assumptions'!$I$6:$I$40,0)),OperBgt!$G$5:$EH$5,0)),0)</f>
        <v>0</v>
      </c>
      <c r="G162" s="1149">
        <f>IFERROR(INDEX(OperBgt!$G$66:$EH$66,MATCH('Venture Summary - Mthly'!G5-INDEX('Venture Assumptions'!$J$6:$J$40,MATCH($B$2,'Venture Assumptions'!$I$6:$I$40,0)),OperBgt!$G$5:$EH$5,0)),0)</f>
        <v>0</v>
      </c>
      <c r="H162" s="1149">
        <f>IFERROR(INDEX(OperBgt!$G$66:$EH$66,MATCH('Venture Summary - Mthly'!H5-INDEX('Venture Assumptions'!$J$6:$J$40,MATCH($B$2,'Venture Assumptions'!$I$6:$I$40,0)),OperBgt!$G$5:$EH$5,0)),0)</f>
        <v>0</v>
      </c>
      <c r="I162" s="1149">
        <f>IFERROR(INDEX(OperBgt!$G$66:$EH$66,MATCH('Venture Summary - Mthly'!I5-INDEX('Venture Assumptions'!$J$6:$J$40,MATCH($B$2,'Venture Assumptions'!$I$6:$I$40,0)),OperBgt!$G$5:$EH$5,0)),0)</f>
        <v>0</v>
      </c>
      <c r="J162" s="1149">
        <f>IFERROR(INDEX(OperBgt!$G$66:$EH$66,MATCH('Venture Summary - Mthly'!J5-INDEX('Venture Assumptions'!$J$6:$J$40,MATCH($B$2,'Venture Assumptions'!$I$6:$I$40,0)),OperBgt!$G$5:$EH$5,0)),0)</f>
        <v>0</v>
      </c>
      <c r="K162" s="1149">
        <f>IFERROR(INDEX(OperBgt!$G$66:$EH$66,MATCH('Venture Summary - Mthly'!K5-INDEX('Venture Assumptions'!$J$6:$J$40,MATCH($B$2,'Venture Assumptions'!$I$6:$I$40,0)),OperBgt!$G$5:$EH$5,0)),0)</f>
        <v>0</v>
      </c>
      <c r="L162" s="1149">
        <f>IFERROR(INDEX(OperBgt!$G$66:$EH$66,MATCH('Venture Summary - Mthly'!L5-INDEX('Venture Assumptions'!$J$6:$J$40,MATCH($B$2,'Venture Assumptions'!$I$6:$I$40,0)),OperBgt!$G$5:$EH$5,0)),0)</f>
        <v>0</v>
      </c>
      <c r="M162" s="1149">
        <f>IFERROR(INDEX(OperBgt!$G$66:$EH$66,MATCH('Venture Summary - Mthly'!M5-INDEX('Venture Assumptions'!$J$6:$J$40,MATCH($B$2,'Venture Assumptions'!$I$6:$I$40,0)),OperBgt!$G$5:$EH$5,0)),0)</f>
        <v>0</v>
      </c>
      <c r="N162" s="1149">
        <f>IFERROR(INDEX(OperBgt!$G$66:$EH$66,MATCH('Venture Summary - Mthly'!N5-INDEX('Venture Assumptions'!$J$6:$J$40,MATCH($B$2,'Venture Assumptions'!$I$6:$I$40,0)),OperBgt!$G$5:$EH$5,0)),0)</f>
        <v>0</v>
      </c>
      <c r="O162" s="1149">
        <f>IFERROR(INDEX(OperBgt!$G$66:$EH$66,MATCH('Venture Summary - Mthly'!O5-INDEX('Venture Assumptions'!$J$6:$J$40,MATCH($B$2,'Venture Assumptions'!$I$6:$I$40,0)),OperBgt!$G$5:$EH$5,0)),0)</f>
        <v>0</v>
      </c>
      <c r="P162" s="1149">
        <f>IFERROR(INDEX(OperBgt!$G$66:$EH$66,MATCH('Venture Summary - Mthly'!P5-INDEX('Venture Assumptions'!$J$6:$J$40,MATCH($B$2,'Venture Assumptions'!$I$6:$I$40,0)),OperBgt!$G$5:$EH$5,0)),0)</f>
        <v>0</v>
      </c>
      <c r="Q162" s="1149">
        <f>IFERROR(INDEX(OperBgt!$G$66:$EH$66,MATCH('Venture Summary - Mthly'!Q5-INDEX('Venture Assumptions'!$J$6:$J$40,MATCH($B$2,'Venture Assumptions'!$I$6:$I$40,0)),OperBgt!$G$5:$EH$5,0)),0)</f>
        <v>0</v>
      </c>
      <c r="R162" s="1149">
        <f>IFERROR(INDEX(OperBgt!$G$66:$EH$66,MATCH('Venture Summary - Mthly'!R5-INDEX('Venture Assumptions'!$J$6:$J$40,MATCH($B$2,'Venture Assumptions'!$I$6:$I$40,0)),OperBgt!$G$5:$EH$5,0)),0)</f>
        <v>0</v>
      </c>
      <c r="S162" s="1149">
        <f>IFERROR(INDEX(OperBgt!$G$66:$EH$66,MATCH('Venture Summary - Mthly'!S5-INDEX('Venture Assumptions'!$J$6:$J$40,MATCH($B$2,'Venture Assumptions'!$I$6:$I$40,0)),OperBgt!$G$5:$EH$5,0)),0)</f>
        <v>18311.022254397161</v>
      </c>
      <c r="T162" s="1149">
        <f>IFERROR(INDEX(OperBgt!$G$66:$EH$66,MATCH('Venture Summary - Mthly'!T5-INDEX('Venture Assumptions'!$J$6:$J$40,MATCH($B$2,'Venture Assumptions'!$I$6:$I$40,0)),OperBgt!$G$5:$EH$5,0)),0)</f>
        <v>23728.029924862149</v>
      </c>
      <c r="U162" s="1149">
        <f>IFERROR(INDEX(OperBgt!$G$66:$EH$66,MATCH('Venture Summary - Mthly'!U5-INDEX('Venture Assumptions'!$J$6:$J$40,MATCH($B$2,'Venture Assumptions'!$I$6:$I$40,0)),OperBgt!$G$5:$EH$5,0)),0)</f>
        <v>44789.741448419154</v>
      </c>
      <c r="V162" s="1149">
        <f>IFERROR(INDEX(OperBgt!$G$66:$EH$66,MATCH('Venture Summary - Mthly'!V5-INDEX('Venture Assumptions'!$J$6:$J$40,MATCH($B$2,'Venture Assumptions'!$I$6:$I$40,0)),OperBgt!$G$5:$EH$5,0)),0)</f>
        <v>81554.146312186989</v>
      </c>
      <c r="W162" s="1149">
        <f>IFERROR(INDEX(OperBgt!$G$66:$EH$66,MATCH('Venture Summary - Mthly'!W5-INDEX('Venture Assumptions'!$J$6:$J$40,MATCH($B$2,'Venture Assumptions'!$I$6:$I$40,0)),OperBgt!$G$5:$EH$5,0)),0)</f>
        <v>118428.87395034943</v>
      </c>
      <c r="X162" s="1149">
        <f>IFERROR(INDEX(OperBgt!$G$66:$EH$66,MATCH('Venture Summary - Mthly'!X5-INDEX('Venture Assumptions'!$J$6:$J$40,MATCH($B$2,'Venture Assumptions'!$I$6:$I$40,0)),OperBgt!$G$5:$EH$5,0)),0)</f>
        <v>164671.35556270971</v>
      </c>
      <c r="Y162" s="1149">
        <f>IFERROR(INDEX(OperBgt!$G$66:$EH$66,MATCH('Venture Summary - Mthly'!Y5-INDEX('Venture Assumptions'!$J$6:$J$40,MATCH($B$2,'Venture Assumptions'!$I$6:$I$40,0)),OperBgt!$G$5:$EH$5,0)),0)</f>
        <v>204514.25672099867</v>
      </c>
      <c r="Z162" s="1149">
        <f>IFERROR(INDEX(OperBgt!$G$66:$EH$66,MATCH('Venture Summary - Mthly'!Z5-INDEX('Venture Assumptions'!$J$6:$J$40,MATCH($B$2,'Venture Assumptions'!$I$6:$I$40,0)),OperBgt!$G$5:$EH$5,0)),0)</f>
        <v>252513.53359655599</v>
      </c>
      <c r="AA162" s="1149">
        <f>IFERROR(INDEX(OperBgt!$G$66:$EH$66,MATCH('Venture Summary - Mthly'!AA5-INDEX('Venture Assumptions'!$J$6:$J$40,MATCH($B$2,'Venture Assumptions'!$I$6:$I$40,0)),OperBgt!$G$5:$EH$5,0)),0)</f>
        <v>308743.72788345348</v>
      </c>
      <c r="AB162" s="1149">
        <f>IFERROR(INDEX(OperBgt!$G$66:$EH$66,MATCH('Venture Summary - Mthly'!AB5-INDEX('Venture Assumptions'!$J$6:$J$40,MATCH($B$2,'Venture Assumptions'!$I$6:$I$40,0)),OperBgt!$G$5:$EH$5,0)),0)</f>
        <v>365280.98871075135</v>
      </c>
      <c r="AC162" s="1149">
        <f>IFERROR(INDEX(OperBgt!$G$66:$EH$66,MATCH('Venture Summary - Mthly'!AC5-INDEX('Venture Assumptions'!$J$6:$J$40,MATCH($B$2,'Venture Assumptions'!$I$6:$I$40,0)),OperBgt!$G$5:$EH$5,0)),0)</f>
        <v>422126.94632937829</v>
      </c>
      <c r="AD162" s="1149">
        <f>IFERROR(INDEX(OperBgt!$G$66:$EH$66,MATCH('Venture Summary - Mthly'!AD5-INDEX('Venture Assumptions'!$J$6:$J$40,MATCH($B$2,'Venture Assumptions'!$I$6:$I$40,0)),OperBgt!$G$5:$EH$5,0)),0)</f>
        <v>469772.77697801485</v>
      </c>
      <c r="AE162" s="1149">
        <f>IFERROR(INDEX(OperBgt!$G$66:$EH$66,MATCH('Venture Summary - Mthly'!AE5-INDEX('Venture Assumptions'!$J$6:$J$40,MATCH($B$2,'Venture Assumptions'!$I$6:$I$40,0)),OperBgt!$G$5:$EH$5,0)),0)</f>
        <v>526166.90593430062</v>
      </c>
      <c r="AF162" s="1149">
        <f>IFERROR(INDEX(OperBgt!$G$66:$EH$66,MATCH('Venture Summary - Mthly'!AF5-INDEX('Venture Assumptions'!$J$6:$J$40,MATCH($B$2,'Venture Assumptions'!$I$6:$I$40,0)),OperBgt!$G$5:$EH$5,0)),0)</f>
        <v>619022.89356840984</v>
      </c>
      <c r="AG162" s="1149">
        <f>IFERROR(INDEX(OperBgt!$G$66:$EH$66,MATCH('Venture Summary - Mthly'!AG5-INDEX('Venture Assumptions'!$J$6:$J$40,MATCH($B$2,'Venture Assumptions'!$I$6:$I$40,0)),OperBgt!$G$5:$EH$5,0)),0)</f>
        <v>635273.24064903962</v>
      </c>
      <c r="AH162" s="1149">
        <f>IFERROR(INDEX(OperBgt!$G$66:$EH$66,MATCH('Venture Summary - Mthly'!AH5-INDEX('Venture Assumptions'!$J$6:$J$40,MATCH($B$2,'Venture Assumptions'!$I$6:$I$40,0)),OperBgt!$G$5:$EH$5,0)),0)</f>
        <v>637288.14041919704</v>
      </c>
      <c r="AI162" s="1149">
        <f>IFERROR(INDEX(OperBgt!$G$66:$EH$66,MATCH('Venture Summary - Mthly'!AI5-INDEX('Venture Assumptions'!$J$6:$J$40,MATCH($B$2,'Venture Assumptions'!$I$6:$I$40,0)),OperBgt!$G$5:$EH$5,0)),0)</f>
        <v>639298.69425728195</v>
      </c>
      <c r="AJ162" s="1149">
        <f>IFERROR(INDEX(OperBgt!$G$66:$EH$66,MATCH('Venture Summary - Mthly'!AJ5-INDEX('Venture Assumptions'!$J$6:$J$40,MATCH($B$2,'Venture Assumptions'!$I$6:$I$40,0)),OperBgt!$G$5:$EH$5,0)),0)</f>
        <v>642191.52807245043</v>
      </c>
      <c r="AK162" s="1149">
        <f>IFERROR(INDEX(OperBgt!$G$66:$EH$66,MATCH('Venture Summary - Mthly'!AK5-INDEX('Venture Assumptions'!$J$6:$J$40,MATCH($B$2,'Venture Assumptions'!$I$6:$I$40,0)),OperBgt!$G$5:$EH$5,0)),0)</f>
        <v>645073.61515877931</v>
      </c>
      <c r="AL162" s="1149">
        <f>IFERROR(INDEX(OperBgt!$G$66:$EH$66,MATCH('Venture Summary - Mthly'!AL5-INDEX('Venture Assumptions'!$J$6:$J$40,MATCH($B$2,'Venture Assumptions'!$I$6:$I$40,0)),OperBgt!$G$5:$EH$5,0)),0)</f>
        <v>647944.76239036571</v>
      </c>
      <c r="AM162" s="1149">
        <f>IFERROR(INDEX(OperBgt!$G$66:$EH$66,MATCH('Venture Summary - Mthly'!AM5-INDEX('Venture Assumptions'!$J$6:$J$40,MATCH($B$2,'Venture Assumptions'!$I$6:$I$40,0)),OperBgt!$G$5:$EH$5,0)),0)</f>
        <v>650804.77489989228</v>
      </c>
      <c r="AN162" s="1149">
        <f>IFERROR(INDEX(OperBgt!$G$66:$EH$66,MATCH('Venture Summary - Mthly'!AN5-INDEX('Venture Assumptions'!$J$6:$J$40,MATCH($B$2,'Venture Assumptions'!$I$6:$I$40,0)),OperBgt!$G$5:$EH$5,0)),0)</f>
        <v>653653.45606559224</v>
      </c>
      <c r="AO162" s="1149">
        <f>IFERROR(INDEX(OperBgt!$G$66:$EH$66,MATCH('Venture Summary - Mthly'!AO5-INDEX('Venture Assumptions'!$J$6:$J$40,MATCH($B$2,'Venture Assumptions'!$I$6:$I$40,0)),OperBgt!$G$5:$EH$5,0)),0)</f>
        <v>656490.60749812354</v>
      </c>
      <c r="AP162" s="1149">
        <f>IFERROR(INDEX(OperBgt!$G$66:$EH$66,MATCH('Venture Summary - Mthly'!AP5-INDEX('Venture Assumptions'!$J$6:$J$40,MATCH($B$2,'Venture Assumptions'!$I$6:$I$40,0)),OperBgt!$G$5:$EH$5,0)),0)</f>
        <v>658452.97367749491</v>
      </c>
      <c r="AQ162" s="1149">
        <f>IFERROR(INDEX(OperBgt!$G$66:$EH$66,MATCH('Venture Summary - Mthly'!AQ5-INDEX('Venture Assumptions'!$J$6:$J$40,MATCH($B$2,'Venture Assumptions'!$I$6:$I$40,0)),OperBgt!$G$5:$EH$5,0)),0)</f>
        <v>662130.90919319598</v>
      </c>
      <c r="AR162" s="1149">
        <f>IFERROR(INDEX(OperBgt!$G$66:$EH$66,MATCH('Venture Summary - Mthly'!AR5-INDEX('Venture Assumptions'!$J$6:$J$40,MATCH($B$2,'Venture Assumptions'!$I$6:$I$40,0)),OperBgt!$G$5:$EH$5,0)),0)</f>
        <v>665343.25145509688</v>
      </c>
      <c r="AS162" s="1149">
        <f>IFERROR(INDEX(OperBgt!$G$66:$EH$66,MATCH('Venture Summary - Mthly'!AS5-INDEX('Venture Assumptions'!$J$6:$J$40,MATCH($B$2,'Venture Assumptions'!$I$6:$I$40,0)),OperBgt!$G$5:$EH$5,0)),0)</f>
        <v>667290.50114044489</v>
      </c>
      <c r="AT162" s="1149">
        <f>IFERROR(INDEX(OperBgt!$G$66:$EH$66,MATCH('Venture Summary - Mthly'!AT5-INDEX('Venture Assumptions'!$J$6:$J$40,MATCH($B$2,'Venture Assumptions'!$I$6:$I$40,0)),OperBgt!$G$5:$EH$5,0)),0)</f>
        <v>669202.61018041417</v>
      </c>
      <c r="AU162" s="1149">
        <f>IFERROR(INDEX(OperBgt!$G$66:$EH$66,MATCH('Venture Summary - Mthly'!AU5-INDEX('Venture Assumptions'!$J$6:$J$40,MATCH($B$2,'Venture Assumptions'!$I$6:$I$40,0)),OperBgt!$G$5:$EH$5,0)),0)</f>
        <v>671079.36998642795</v>
      </c>
      <c r="AV162" s="1149">
        <f>IFERROR(INDEX(OperBgt!$G$66:$EH$66,MATCH('Venture Summary - Mthly'!AV5-INDEX('Venture Assumptions'!$J$6:$J$40,MATCH($B$2,'Venture Assumptions'!$I$6:$I$40,0)),OperBgt!$G$5:$EH$5,0)),0)</f>
        <v>673721.28505326726</v>
      </c>
      <c r="AW162" s="1149">
        <f>IFERROR(INDEX(OperBgt!$G$66:$EH$66,MATCH('Venture Summary - Mthly'!AW5-INDEX('Venture Assumptions'!$J$6:$J$40,MATCH($B$2,'Venture Assumptions'!$I$6:$I$40,0)),OperBgt!$G$5:$EH$5,0)),0)</f>
        <v>676281.98044818302</v>
      </c>
      <c r="AX162" s="1149">
        <f>IFERROR(INDEX(OperBgt!$G$66:$EH$66,MATCH('Venture Summary - Mthly'!AX5-INDEX('Venture Assumptions'!$J$6:$J$40,MATCH($B$2,'Venture Assumptions'!$I$6:$I$40,0)),OperBgt!$G$5:$EH$5,0)),0)</f>
        <v>678760.73959958612</v>
      </c>
      <c r="AY162" s="1149">
        <f>IFERROR(INDEX(OperBgt!$G$66:$EH$66,MATCH('Venture Summary - Mthly'!AY5-INDEX('Venture Assumptions'!$J$6:$J$40,MATCH($B$2,'Venture Assumptions'!$I$6:$I$40,0)),OperBgt!$G$5:$EH$5,0)),0)</f>
        <v>681156.84132555104</v>
      </c>
      <c r="AZ162" s="1149">
        <f>IFERROR(INDEX(OperBgt!$G$66:$EH$66,MATCH('Venture Summary - Mthly'!AZ5-INDEX('Venture Assumptions'!$J$6:$J$40,MATCH($B$2,'Venture Assumptions'!$I$6:$I$40,0)),OperBgt!$G$5:$EH$5,0)),0)</f>
        <v>683469.55980733258</v>
      </c>
      <c r="BA162" s="1149">
        <f>IFERROR(INDEX(OperBgt!$G$66:$EH$66,MATCH('Venture Summary - Mthly'!BA5-INDEX('Venture Assumptions'!$J$6:$J$40,MATCH($B$2,'Venture Assumptions'!$I$6:$I$40,0)),OperBgt!$G$5:$EH$5,0)),0)</f>
        <v>685698.16456273641</v>
      </c>
      <c r="BB162" s="1149">
        <f>IFERROR(INDEX(OperBgt!$G$66:$EH$66,MATCH('Venture Summary - Mthly'!BB5-INDEX('Venture Assumptions'!$J$6:$J$40,MATCH($B$2,'Venture Assumptions'!$I$6:$I$40,0)),OperBgt!$G$5:$EH$5,0)),0)</f>
        <v>687208.44951515831</v>
      </c>
      <c r="BC162" s="1149">
        <f>IFERROR(INDEX(OperBgt!$G$66:$EH$66,MATCH('Venture Summary - Mthly'!BC5-INDEX('Venture Assumptions'!$J$6:$J$40,MATCH($B$2,'Venture Assumptions'!$I$6:$I$40,0)),OperBgt!$G$5:$EH$5,0)),0)</f>
        <v>689909.66403629631</v>
      </c>
      <c r="BD162" s="1149">
        <f>IFERROR(INDEX(OperBgt!$G$66:$EH$66,MATCH('Venture Summary - Mthly'!BD5-INDEX('Venture Assumptions'!$J$6:$J$40,MATCH($B$2,'Venture Assumptions'!$I$6:$I$40,0)),OperBgt!$G$5:$EH$5,0)),0)</f>
        <v>692218.71635844116</v>
      </c>
      <c r="BE162" s="1149">
        <f>IFERROR(INDEX(OperBgt!$G$66:$EH$66,MATCH('Venture Summary - Mthly'!BE5-INDEX('Venture Assumptions'!$J$6:$J$40,MATCH($B$2,'Venture Assumptions'!$I$6:$I$40,0)),OperBgt!$G$5:$EH$5,0)),0)</f>
        <v>693615.2234646033</v>
      </c>
      <c r="BF162" s="1149">
        <f>IFERROR(INDEX(OperBgt!$G$66:$EH$66,MATCH('Venture Summary - Mthly'!BF5-INDEX('Venture Assumptions'!$J$6:$J$40,MATCH($B$2,'Venture Assumptions'!$I$6:$I$40,0)),OperBgt!$G$5:$EH$5,0)),0)</f>
        <v>695036.25402456161</v>
      </c>
      <c r="BG162" s="1149">
        <f>IFERROR(INDEX(OperBgt!$G$66:$EH$66,MATCH('Venture Summary - Mthly'!BG5-INDEX('Venture Assumptions'!$J$6:$J$40,MATCH($B$2,'Venture Assumptions'!$I$6:$I$40,0)),OperBgt!$G$5:$EH$5,0)),0)</f>
        <v>696481.92066075082</v>
      </c>
      <c r="BH162" s="1149">
        <f>IFERROR(INDEX(OperBgt!$G$66:$EH$66,MATCH('Venture Summary - Mthly'!BH5-INDEX('Venture Assumptions'!$J$6:$J$40,MATCH($B$2,'Venture Assumptions'!$I$6:$I$40,0)),OperBgt!$G$5:$EH$5,0)),0)</f>
        <v>698564.06111682858</v>
      </c>
      <c r="BI162" s="1149">
        <f>IFERROR(INDEX(OperBgt!$G$66:$EH$66,MATCH('Venture Summary - Mthly'!BI5-INDEX('Venture Assumptions'!$J$6:$J$40,MATCH($B$2,'Venture Assumptions'!$I$6:$I$40,0)),OperBgt!$G$5:$EH$5,0)),0)</f>
        <v>700701.38094946952</v>
      </c>
      <c r="BJ162" s="1149">
        <f>IFERROR(INDEX(OperBgt!$G$66:$EH$66,MATCH('Venture Summary - Mthly'!BJ5-INDEX('Venture Assumptions'!$J$6:$J$40,MATCH($B$2,'Venture Assumptions'!$I$6:$I$40,0)),OperBgt!$G$5:$EH$5,0)),0)</f>
        <v>702894.26084236486</v>
      </c>
      <c r="BK162" s="1149">
        <f>IFERROR(INDEX(OperBgt!$G$66:$EH$66,MATCH('Venture Summary - Mthly'!BK5-INDEX('Venture Assumptions'!$J$6:$J$40,MATCH($B$2,'Venture Assumptions'!$I$6:$I$40,0)),OperBgt!$G$5:$EH$5,0)),0)</f>
        <v>705143.08355309663</v>
      </c>
      <c r="BL162" s="1149">
        <f>IFERROR(INDEX(OperBgt!$G$66:$EH$66,MATCH('Venture Summary - Mthly'!BL5-INDEX('Venture Assumptions'!$J$6:$J$40,MATCH($B$2,'Venture Assumptions'!$I$6:$I$40,0)),OperBgt!$G$5:$EH$5,0)),0)</f>
        <v>707448.23392335244</v>
      </c>
      <c r="BM162" s="1149">
        <f>IFERROR(INDEX(OperBgt!$G$66:$EH$66,MATCH('Venture Summary - Mthly'!BM5-INDEX('Venture Assumptions'!$J$6:$J$40,MATCH($B$2,'Venture Assumptions'!$I$6:$I$40,0)),OperBgt!$G$5:$EH$5,0)),0)</f>
        <v>709810.09888918768</v>
      </c>
      <c r="BN162" s="1149">
        <f>IFERROR(INDEX(OperBgt!$G$66:$EH$66,MATCH('Venture Summary - Mthly'!BN5-INDEX('Venture Assumptions'!$J$6:$J$40,MATCH($B$2,'Venture Assumptions'!$I$6:$I$40,0)),OperBgt!$G$5:$EH$5,0)),0)</f>
        <v>711506.29243674176</v>
      </c>
      <c r="BO162" s="1149">
        <f>IFERROR(INDEX(OperBgt!$G$66:$EH$66,MATCH('Venture Summary - Mthly'!BO5-INDEX('Venture Assumptions'!$J$6:$J$40,MATCH($B$2,'Venture Assumptions'!$I$6:$I$40,0)),OperBgt!$G$5:$EH$5,0)),0)</f>
        <v>714699.21125915123</v>
      </c>
      <c r="BP162" s="1149">
        <f>IFERROR(INDEX(OperBgt!$G$66:$EH$66,MATCH('Venture Summary - Mthly'!BP5-INDEX('Venture Assumptions'!$J$6:$J$40,MATCH($B$2,'Venture Assumptions'!$I$6:$I$40,0)),OperBgt!$G$5:$EH$5,0)),0)</f>
        <v>717546.62415922142</v>
      </c>
      <c r="BQ162" s="1149">
        <f>IFERROR(INDEX(OperBgt!$G$66:$EH$66,MATCH('Venture Summary - Mthly'!BQ5-INDEX('Venture Assumptions'!$J$6:$J$40,MATCH($B$2,'Venture Assumptions'!$I$6:$I$40,0)),OperBgt!$G$5:$EH$5,0)),0)</f>
        <v>719320.86091346561</v>
      </c>
      <c r="BR162" s="1149">
        <f>IFERROR(INDEX(OperBgt!$G$66:$EH$66,MATCH('Venture Summary - Mthly'!BR5-INDEX('Venture Assumptions'!$J$6:$J$40,MATCH($B$2,'Venture Assumptions'!$I$6:$I$40,0)),OperBgt!$G$5:$EH$5,0)),0)</f>
        <v>721099.92800221231</v>
      </c>
      <c r="BS162" s="1149">
        <f>IFERROR(INDEX(OperBgt!$G$66:$EH$66,MATCH('Venture Summary - Mthly'!BS5-INDEX('Venture Assumptions'!$J$6:$J$40,MATCH($B$2,'Venture Assumptions'!$I$6:$I$40,0)),OperBgt!$G$5:$EH$5,0)),0)</f>
        <v>722883.8385953051</v>
      </c>
      <c r="BT162" s="1149">
        <f>IFERROR(INDEX(OperBgt!$G$66:$EH$66,MATCH('Venture Summary - Mthly'!BT5-INDEX('Venture Assumptions'!$J$6:$J$40,MATCH($B$2,'Venture Assumptions'!$I$6:$I$40,0)),OperBgt!$G$5:$EH$5,0)),0)</f>
        <v>725439.80189629027</v>
      </c>
      <c r="BU162" s="1149">
        <f>IFERROR(INDEX(OperBgt!$G$66:$EH$66,MATCH('Venture Summary - Mthly'!BU5-INDEX('Venture Assumptions'!$J$6:$J$40,MATCH($B$2,'Venture Assumptions'!$I$6:$I$40,0)),OperBgt!$G$5:$EH$5,0)),0)</f>
        <v>728005.93839160947</v>
      </c>
      <c r="BV162" s="1149">
        <f>IFERROR(INDEX(OperBgt!$G$66:$EH$66,MATCH('Venture Summary - Mthly'!BV5-INDEX('Venture Assumptions'!$J$6:$J$40,MATCH($B$2,'Venture Assumptions'!$I$6:$I$40,0)),OperBgt!$G$5:$EH$5,0)),0)</f>
        <v>730582.28921985312</v>
      </c>
      <c r="BW162" s="1149">
        <f>IFERROR(INDEX(OperBgt!$G$66:$EH$66,MATCH('Venture Summary - Mthly'!BW5-INDEX('Venture Assumptions'!$J$6:$J$40,MATCH($B$2,'Venture Assumptions'!$I$6:$I$40,0)),OperBgt!$G$5:$EH$5,0)),0)</f>
        <v>733168.89568763215</v>
      </c>
      <c r="BX162" s="1149">
        <f>IFERROR(INDEX(OperBgt!$G$66:$EH$66,MATCH('Venture Summary - Mthly'!BX5-INDEX('Venture Assumptions'!$J$6:$J$40,MATCH($B$2,'Venture Assumptions'!$I$6:$I$40,0)),OperBgt!$G$5:$EH$5,0)),0)</f>
        <v>735765.79927026923</v>
      </c>
      <c r="BY162" s="1149">
        <f>IFERROR(INDEX(OperBgt!$G$66:$EH$66,MATCH('Venture Summary - Mthly'!BY5-INDEX('Venture Assumptions'!$J$6:$J$40,MATCH($B$2,'Venture Assumptions'!$I$6:$I$40,0)),OperBgt!$G$5:$EH$5,0)),0)</f>
        <v>738373.04161249159</v>
      </c>
      <c r="BZ162" s="1149">
        <f>IFERROR(INDEX(OperBgt!$G$66:$EH$66,MATCH('Venture Summary - Mthly'!BZ5-INDEX('Venture Assumptions'!$J$6:$J$40,MATCH($B$2,'Venture Assumptions'!$I$6:$I$40,0)),OperBgt!$G$5:$EH$5,0)),0)</f>
        <v>740204.17780408775</v>
      </c>
      <c r="CA162" s="1149">
        <f>IFERROR(INDEX(OperBgt!$G$66:$EH$66,MATCH('Venture Summary - Mthly'!CA5-INDEX('Venture Assumptions'!$J$6:$J$40,MATCH($B$2,'Venture Assumptions'!$I$6:$I$40,0)),OperBgt!$G$5:$EH$5,0)),0)</f>
        <v>743617.62268790847</v>
      </c>
      <c r="CB162" s="1149">
        <f>IFERROR(INDEX(OperBgt!$G$66:$EH$66,MATCH('Venture Summary - Mthly'!CB5-INDEX('Venture Assumptions'!$J$6:$J$40,MATCH($B$2,'Venture Assumptions'!$I$6:$I$40,0)),OperBgt!$G$5:$EH$5,0)),0)</f>
        <v>746620.84281391185</v>
      </c>
      <c r="CC162" s="1149">
        <f>IFERROR(INDEX(OperBgt!$G$66:$EH$66,MATCH('Venture Summary - Mthly'!CC5-INDEX('Venture Assumptions'!$J$6:$J$40,MATCH($B$2,'Venture Assumptions'!$I$6:$I$40,0)),OperBgt!$G$5:$EH$5,0)),0)</f>
        <v>748466.97774231934</v>
      </c>
      <c r="CD162" s="1149">
        <f>IFERROR(INDEX(OperBgt!$G$66:$EH$66,MATCH('Venture Summary - Mthly'!CD5-INDEX('Venture Assumptions'!$J$6:$J$40,MATCH($B$2,'Venture Assumptions'!$I$6:$I$40,0)),OperBgt!$G$5:$EH$5,0)),0)</f>
        <v>750318.13954077766</v>
      </c>
      <c r="CE162" s="1149">
        <f>IFERROR(INDEX(OperBgt!$G$66:$EH$66,MATCH('Venture Summary - Mthly'!CE5-INDEX('Venture Assumptions'!$J$6:$J$40,MATCH($B$2,'Venture Assumptions'!$I$6:$I$40,0)),OperBgt!$G$5:$EH$5,0)),0)</f>
        <v>752174.34191696974</v>
      </c>
      <c r="CF162" s="1149">
        <f>IFERROR(INDEX(OperBgt!$G$66:$EH$66,MATCH('Venture Summary - Mthly'!CF5-INDEX('Venture Assumptions'!$J$6:$J$40,MATCH($B$2,'Venture Assumptions'!$I$6:$I$40,0)),OperBgt!$G$5:$EH$5,0)),0)</f>
        <v>754835.22368203895</v>
      </c>
      <c r="CG162" s="1149">
        <f>IFERROR(INDEX(OperBgt!$G$66:$EH$66,MATCH('Venture Summary - Mthly'!CG5-INDEX('Venture Assumptions'!$J$6:$J$40,MATCH($B$2,'Venture Assumptions'!$I$6:$I$40,0)),OperBgt!$G$5:$EH$5,0)),0)</f>
        <v>757506.70096086839</v>
      </c>
      <c r="CH162" s="1149">
        <f>IFERROR(INDEX(OperBgt!$G$66:$EH$66,MATCH('Venture Summary - Mthly'!CH5-INDEX('Venture Assumptions'!$J$6:$J$40,MATCH($B$2,'Venture Assumptions'!$I$6:$I$40,0)),OperBgt!$G$5:$EH$5,0)),0)</f>
        <v>760188.81661197601</v>
      </c>
      <c r="CI162" s="1149">
        <f>IFERROR(INDEX(OperBgt!$G$66:$EH$66,MATCH('Venture Summary - Mthly'!CI5-INDEX('Venture Assumptions'!$J$6:$J$40,MATCH($B$2,'Venture Assumptions'!$I$6:$I$40,0)),OperBgt!$G$5:$EH$5,0)),0)</f>
        <v>762881.61366895633</v>
      </c>
      <c r="CJ162" s="1149">
        <f>IFERROR(INDEX(OperBgt!$G$66:$EH$66,MATCH('Venture Summary - Mthly'!CJ5-INDEX('Venture Assumptions'!$J$6:$J$40,MATCH($B$2,'Venture Assumptions'!$I$6:$I$40,0)),OperBgt!$G$5:$EH$5,0)),0)</f>
        <v>765585.13534119935</v>
      </c>
      <c r="CK162" s="1149">
        <f>IFERROR(INDEX(OperBgt!$G$66:$EH$66,MATCH('Venture Summary - Mthly'!CK5-INDEX('Venture Assumptions'!$J$6:$J$40,MATCH($B$2,'Venture Assumptions'!$I$6:$I$40,0)),OperBgt!$G$5:$EH$5,0)),0)</f>
        <v>768299.42501461343</v>
      </c>
      <c r="CL162" s="1149">
        <f>IFERROR(INDEX(OperBgt!$G$66:$EH$66,MATCH('Venture Summary - Mthly'!CL5-INDEX('Venture Assumptions'!$J$6:$J$40,MATCH($B$2,'Venture Assumptions'!$I$6:$I$40,0)),OperBgt!$G$5:$EH$5,0)),0)</f>
        <v>770204.79504769284</v>
      </c>
      <c r="CM162" s="1149">
        <f>IFERROR(INDEX(OperBgt!$G$66:$EH$66,MATCH('Venture Summary - Mthly'!CM5-INDEX('Venture Assumptions'!$J$6:$J$40,MATCH($B$2,'Venture Assumptions'!$I$6:$I$40,0)),OperBgt!$G$5:$EH$5,0)),0)</f>
        <v>773759.34951714787</v>
      </c>
      <c r="CN162" s="1149">
        <f>IFERROR(INDEX(OperBgt!$G$66:$EH$66,MATCH('Venture Summary - Mthly'!CN5-INDEX('Venture Assumptions'!$J$6:$J$40,MATCH($B$2,'Venture Assumptions'!$I$6:$I$40,0)),OperBgt!$G$5:$EH$5,0)),0)</f>
        <v>776886.33136087318</v>
      </c>
      <c r="CO162" s="1149">
        <f>IFERROR(INDEX(OperBgt!$G$66:$EH$66,MATCH('Venture Summary - Mthly'!CO5-INDEX('Venture Assumptions'!$J$6:$J$40,MATCH($B$2,'Venture Assumptions'!$I$6:$I$40,0)),OperBgt!$G$5:$EH$5,0)),0)</f>
        <v>778807.3106274032</v>
      </c>
      <c r="CP162" s="1149">
        <f>IFERROR(INDEX(OperBgt!$G$66:$EH$66,MATCH('Venture Summary - Mthly'!CP5-INDEX('Venture Assumptions'!$J$6:$J$40,MATCH($B$2,'Venture Assumptions'!$I$6:$I$40,0)),OperBgt!$G$5:$EH$5,0)),0)</f>
        <v>780733.52137778758</v>
      </c>
      <c r="CQ162" s="1149">
        <f>IFERROR(INDEX(OperBgt!$G$66:$EH$66,MATCH('Venture Summary - Mthly'!CQ5-INDEX('Venture Assumptions'!$J$6:$J$40,MATCH($B$2,'Venture Assumptions'!$I$6:$I$40,0)),OperBgt!$G$5:$EH$5,0)),0)</f>
        <v>782664.97787971911</v>
      </c>
      <c r="CR162" s="1149">
        <f>IFERROR(INDEX(OperBgt!$G$66:$EH$66,MATCH('Venture Summary - Mthly'!CR5-INDEX('Venture Assumptions'!$J$6:$J$40,MATCH($B$2,'Venture Assumptions'!$I$6:$I$40,0)),OperBgt!$G$5:$EH$5,0)),0)</f>
        <v>785435.11933792627</v>
      </c>
      <c r="CS162" s="1149">
        <f>IFERROR(INDEX(OperBgt!$G$66:$EH$66,MATCH('Venture Summary - Mthly'!CS5-INDEX('Venture Assumptions'!$J$6:$J$40,MATCH($B$2,'Venture Assumptions'!$I$6:$I$40,0)),OperBgt!$G$5:$EH$5,0)),0)</f>
        <v>788216.29624967033</v>
      </c>
      <c r="CT162" s="1149">
        <f>IFERROR(INDEX(OperBgt!$G$66:$EH$66,MATCH('Venture Summary - Mthly'!CT5-INDEX('Venture Assumptions'!$J$6:$J$40,MATCH($B$2,'Venture Assumptions'!$I$6:$I$40,0)),OperBgt!$G$5:$EH$5,0)),0)</f>
        <v>791008.55326552794</v>
      </c>
      <c r="CU162" s="1149">
        <f>IFERROR(INDEX(OperBgt!$G$66:$EH$66,MATCH('Venture Summary - Mthly'!CU5-INDEX('Venture Assumptions'!$J$6:$J$40,MATCH($B$2,'Venture Assumptions'!$I$6:$I$40,0)),OperBgt!$G$5:$EH$5,0)),0)</f>
        <v>793811.93521850475</v>
      </c>
      <c r="CV162" s="1149">
        <f>IFERROR(INDEX(OperBgt!$G$66:$EH$66,MATCH('Venture Summary - Mthly'!CV5-INDEX('Venture Assumptions'!$J$6:$J$40,MATCH($B$2,'Venture Assumptions'!$I$6:$I$40,0)),OperBgt!$G$5:$EH$5,0)),0)</f>
        <v>796626.48712478438</v>
      </c>
      <c r="CW162" s="1149">
        <f>IFERROR(INDEX(OperBgt!$G$66:$EH$66,MATCH('Venture Summary - Mthly'!CW5-INDEX('Venture Assumptions'!$J$6:$J$40,MATCH($B$2,'Venture Assumptions'!$I$6:$I$40,0)),OperBgt!$G$5:$EH$5,0)),0)</f>
        <v>799452.25418448215</v>
      </c>
      <c r="CX162" s="1149">
        <f>IFERROR(INDEX(OperBgt!$G$66:$EH$66,MATCH('Venture Summary - Mthly'!CX5-INDEX('Venture Assumptions'!$J$6:$J$40,MATCH($B$2,'Venture Assumptions'!$I$6:$I$40,0)),OperBgt!$G$5:$EH$5,0)),0)</f>
        <v>801434.90086725261</v>
      </c>
      <c r="CY162" s="1149">
        <f>IFERROR(INDEX(OperBgt!$G$66:$EH$66,MATCH('Venture Summary - Mthly'!CY5-INDEX('Venture Assumptions'!$J$6:$J$40,MATCH($B$2,'Venture Assumptions'!$I$6:$I$40,0)),OperBgt!$G$5:$EH$5,0)),0)</f>
        <v>805136.43430717289</v>
      </c>
      <c r="CZ162" s="1149">
        <f>IFERROR(INDEX(OperBgt!$G$66:$EH$66,MATCH('Venture Summary - Mthly'!CZ5-INDEX('Venture Assumptions'!$J$6:$J$40,MATCH($B$2,'Venture Assumptions'!$I$6:$I$40,0)),OperBgt!$G$5:$EH$5,0)),0)</f>
        <v>808392.31373106746</v>
      </c>
      <c r="DA162" s="1149">
        <f>IFERROR(INDEX(OperBgt!$G$66:$EH$66,MATCH('Venture Summary - Mthly'!DA5-INDEX('Venture Assumptions'!$J$6:$J$40,MATCH($B$2,'Venture Assumptions'!$I$6:$I$40,0)),OperBgt!$G$5:$EH$5,0)),0)</f>
        <v>810391.20524455723</v>
      </c>
      <c r="DB162" s="1149">
        <f>IFERROR(INDEX(OperBgt!$G$66:$EH$66,MATCH('Venture Summary - Mthly'!DB5-INDEX('Venture Assumptions'!$J$6:$J$40,MATCH($B$2,'Venture Assumptions'!$I$6:$I$40,0)),OperBgt!$G$5:$EH$5,0)),0)</f>
        <v>812395.54126854998</v>
      </c>
      <c r="DC162" s="1149">
        <f>IFERROR(INDEX(OperBgt!$G$66:$EH$66,MATCH('Venture Summary - Mthly'!DC5-INDEX('Venture Assumptions'!$J$6:$J$40,MATCH($B$2,'Venture Assumptions'!$I$6:$I$40,0)),OperBgt!$G$5:$EH$5,0)),0)</f>
        <v>814405.33665383596</v>
      </c>
      <c r="DD162" s="1149">
        <f>IFERROR(INDEX(OperBgt!$G$66:$EH$66,MATCH('Venture Summary - Mthly'!DD5-INDEX('Venture Assumptions'!$J$6:$J$40,MATCH($B$2,'Venture Assumptions'!$I$6:$I$40,0)),OperBgt!$G$5:$EH$5,0)),0)</f>
        <v>817289.25972727779</v>
      </c>
      <c r="DE162" s="1149">
        <f>IFERROR(INDEX(OperBgt!$G$66:$EH$66,MATCH('Venture Summary - Mthly'!DE5-INDEX('Venture Assumptions'!$J$6:$J$40,MATCH($B$2,'Venture Assumptions'!$I$6:$I$40,0)),OperBgt!$G$5:$EH$5,0)),0)</f>
        <v>820184.67655226053</v>
      </c>
      <c r="DF162" s="1149">
        <f>IFERROR(INDEX(OperBgt!$G$66:$EH$66,MATCH('Venture Summary - Mthly'!DF5-INDEX('Venture Assumptions'!$J$6:$J$40,MATCH($B$2,'Venture Assumptions'!$I$6:$I$40,0)),OperBgt!$G$5:$EH$5,0)),0)</f>
        <v>823091.63364658353</v>
      </c>
      <c r="DG162" s="1149">
        <f>IFERROR(INDEX(OperBgt!$G$66:$EH$66,MATCH('Venture Summary - Mthly'!DG5-INDEX('Venture Assumptions'!$J$6:$J$40,MATCH($B$2,'Venture Assumptions'!$I$6:$I$40,0)),OperBgt!$G$5:$EH$5,0)),0)</f>
        <v>826010.1777181353</v>
      </c>
      <c r="DH162" s="1149">
        <f>IFERROR(INDEX(OperBgt!$G$66:$EH$66,MATCH('Venture Summary - Mthly'!DH5-INDEX('Venture Assumptions'!$J$6:$J$40,MATCH($B$2,'Venture Assumptions'!$I$6:$I$40,0)),OperBgt!$G$5:$EH$5,0)),0)</f>
        <v>828940.35566567641</v>
      </c>
      <c r="DI162" s="1149">
        <f>IFERROR(INDEX(OperBgt!$G$66:$EH$66,MATCH('Venture Summary - Mthly'!DI5-INDEX('Venture Assumptions'!$J$6:$J$40,MATCH($B$2,'Venture Assumptions'!$I$6:$I$40,0)),OperBgt!$G$5:$EH$5,0)),0)</f>
        <v>831882.21457962343</v>
      </c>
      <c r="DJ162" s="1149">
        <f>IFERROR(INDEX(OperBgt!$G$66:$EH$66,MATCH('Venture Summary - Mthly'!DJ5-INDEX('Venture Assumptions'!$J$6:$J$40,MATCH($B$2,'Venture Assumptions'!$I$6:$I$40,0)),OperBgt!$G$5:$EH$5,0)),0)</f>
        <v>833945.30648778158</v>
      </c>
      <c r="DK162" s="1149">
        <f>IFERROR(INDEX(OperBgt!$G$66:$EH$66,MATCH('Venture Summary - Mthly'!DK5-INDEX('Venture Assumptions'!$J$6:$J$40,MATCH($B$2,'Venture Assumptions'!$I$6:$I$40,0)),OperBgt!$G$5:$EH$5,0)),0)</f>
        <v>837799.93352172116</v>
      </c>
      <c r="DL162" s="1149">
        <f>IFERROR(INDEX(OperBgt!$G$66:$EH$66,MATCH('Venture Summary - Mthly'!DL5-INDEX('Venture Assumptions'!$J$6:$J$40,MATCH($B$2,'Venture Assumptions'!$I$6:$I$40,0)),OperBgt!$G$5:$EH$5,0)),0)</f>
        <v>841190.06061420753</v>
      </c>
      <c r="DM162" s="1149">
        <f>IFERROR(INDEX(OperBgt!$G$66:$EH$66,MATCH('Venture Summary - Mthly'!DM5-INDEX('Venture Assumptions'!$J$6:$J$40,MATCH($B$2,'Venture Assumptions'!$I$6:$I$40,0)),OperBgt!$G$5:$EH$5,0)),0)</f>
        <v>843270.05909083306</v>
      </c>
      <c r="DN162" s="1149">
        <f>IFERROR(INDEX(OperBgt!$G$66:$EH$66,MATCH('Venture Summary - Mthly'!DN5-INDEX('Venture Assumptions'!$J$6:$J$40,MATCH($B$2,'Venture Assumptions'!$I$6:$I$40,0)),OperBgt!$G$5:$EH$5,0)),0)</f>
        <v>845355.72386597854</v>
      </c>
      <c r="DO162" s="1149">
        <f>IFERROR(INDEX(OperBgt!$G$66:$EH$66,MATCH('Venture Summary - Mthly'!DO5-INDEX('Venture Assumptions'!$J$6:$J$40,MATCH($B$2,'Venture Assumptions'!$I$6:$I$40,0)),OperBgt!$G$5:$EH$5,0)),0)</f>
        <v>847447.07039757981</v>
      </c>
      <c r="DP162" s="1149">
        <f>IFERROR(INDEX(OperBgt!$G$66:$EH$66,MATCH('Venture Summary - Mthly'!DP5-INDEX('Venture Assumptions'!$J$6:$J$40,MATCH($B$2,'Venture Assumptions'!$I$6:$I$40,0)),OperBgt!$G$5:$EH$5,0)),0)</f>
        <v>850449.48525494861</v>
      </c>
      <c r="DQ162" s="1149">
        <f>IFERROR(INDEX(OperBgt!$G$66:$EH$66,MATCH('Venture Summary - Mthly'!DQ5-INDEX('Venture Assumptions'!$J$6:$J$40,MATCH($B$2,'Venture Assumptions'!$I$6:$I$40,0)),OperBgt!$G$5:$EH$5,0)),0)</f>
        <v>853463.87128895021</v>
      </c>
      <c r="DR162" s="1149">
        <f>IFERROR(INDEX(OperBgt!$G$66:$EH$66,MATCH('Venture Summary - Mthly'!DR5-INDEX('Venture Assumptions'!$J$6:$J$40,MATCH($B$2,'Venture Assumptions'!$I$6:$I$40,0)),OperBgt!$G$5:$EH$5,0)),0)</f>
        <v>856490.27696292778</v>
      </c>
      <c r="DS162" s="1149">
        <f>IFERROR(INDEX(OperBgt!$G$66:$EH$66,MATCH('Venture Summary - Mthly'!DS5-INDEX('Venture Assumptions'!$J$6:$J$40,MATCH($B$2,'Venture Assumptions'!$I$6:$I$40,0)),OperBgt!$G$5:$EH$5,0)),0)</f>
        <v>859528.75093829888</v>
      </c>
      <c r="DT162" s="1149">
        <f>IFERROR(INDEX(OperBgt!$G$66:$EH$66,MATCH('Venture Summary - Mthly'!DT5-INDEX('Venture Assumptions'!$J$6:$J$40,MATCH($B$2,'Venture Assumptions'!$I$6:$I$40,0)),OperBgt!$G$5:$EH$5,0)),0)</f>
        <v>862579.34207536897</v>
      </c>
      <c r="DU162" s="1149">
        <f>IFERROR(INDEX(OperBgt!$G$66:$EH$66,MATCH('Venture Summary - Mthly'!DU5-INDEX('Venture Assumptions'!$J$6:$J$40,MATCH($B$2,'Venture Assumptions'!$I$6:$I$40,0)),OperBgt!$G$5:$EH$5,0)),0)</f>
        <v>865642.09943414945</v>
      </c>
      <c r="DV162" s="1149">
        <f>IFERROR(INDEX(OperBgt!$G$66:$EH$66,MATCH('Venture Summary - Mthly'!DV5-INDEX('Venture Assumptions'!$J$6:$J$40,MATCH($B$2,'Venture Assumptions'!$I$6:$I$40,0)),OperBgt!$G$5:$EH$5,0)),0)</f>
        <v>867788.93614149897</v>
      </c>
      <c r="DW162" s="1149">
        <f>IFERROR(INDEX(OperBgt!$G$66:$EH$66,MATCH('Venture Summary - Mthly'!DW5-INDEX('Venture Assumptions'!$J$6:$J$40,MATCH($B$2,'Venture Assumptions'!$I$6:$I$40,0)),OperBgt!$G$5:$EH$5,0)),0)</f>
        <v>871803.02691214182</v>
      </c>
      <c r="DX162" s="1149">
        <f>IFERROR(INDEX(OperBgt!$G$66:$EH$66,MATCH('Venture Summary - Mthly'!DX5-INDEX('Venture Assumptions'!$J$6:$J$40,MATCH($B$2,'Venture Assumptions'!$I$6:$I$40,0)),OperBgt!$G$5:$EH$5,0)),0)</f>
        <v>875332.97495691932</v>
      </c>
      <c r="DY162" s="1149">
        <f>IFERROR(INDEX(OperBgt!$G$66:$EH$66,MATCH('Venture Summary - Mthly'!DY5-INDEX('Venture Assumptions'!$J$6:$J$40,MATCH($B$2,'Venture Assumptions'!$I$6:$I$40,0)),OperBgt!$G$5:$EH$5,0)),0)</f>
        <v>877497.40719413129</v>
      </c>
      <c r="DZ162" s="1149">
        <f>IFERROR(INDEX(OperBgt!$G$66:$EH$66,MATCH('Venture Summary - Mthly'!DZ5-INDEX('Venture Assumptions'!$J$6:$J$40,MATCH($B$2,'Venture Assumptions'!$I$6:$I$40,0)),OperBgt!$G$5:$EH$5,0)),0)</f>
        <v>879667.73664229328</v>
      </c>
      <c r="EA162" s="1149">
        <f>IFERROR(INDEX(OperBgt!$G$66:$EH$66,MATCH('Venture Summary - Mthly'!EA5-INDEX('Venture Assumptions'!$J$6:$J$40,MATCH($B$2,'Venture Assumptions'!$I$6:$I$40,0)),OperBgt!$G$5:$EH$5,0)),0)</f>
        <v>881843.9793915326</v>
      </c>
      <c r="EB162" s="1149">
        <f>IFERROR(INDEX(OperBgt!$G$66:$EH$66,MATCH('Venture Summary - Mthly'!EB5-INDEX('Venture Assumptions'!$J$6:$J$40,MATCH($B$2,'Venture Assumptions'!$I$6:$I$40,0)),OperBgt!$G$5:$EH$5,0)),0)</f>
        <v>884969.79231842747</v>
      </c>
      <c r="EC162" s="1149">
        <f>IFERROR(INDEX(OperBgt!$G$66:$EH$66,MATCH('Venture Summary - Mthly'!EC5-INDEX('Venture Assumptions'!$J$6:$J$40,MATCH($B$2,'Venture Assumptions'!$I$6:$I$40,0)),OperBgt!$G$5:$EH$5,0)),0)</f>
        <v>888108.07377527899</v>
      </c>
      <c r="ED162" s="1149">
        <f>IFERROR(INDEX(OperBgt!$G$66:$EH$66,MATCH('Venture Summary - Mthly'!ED5-INDEX('Venture Assumptions'!$J$6:$J$40,MATCH($B$2,'Venture Assumptions'!$I$6:$I$40,0)),OperBgt!$G$5:$EH$5,0)),0)</f>
        <v>891258.87425259012</v>
      </c>
      <c r="EE162" s="1149">
        <f>IFERROR(INDEX(OperBgt!$G$66:$EH$66,MATCH('Venture Summary - Mthly'!EE5-INDEX('Venture Assumptions'!$J$6:$J$40,MATCH($B$2,'Venture Assumptions'!$I$6:$I$40,0)),OperBgt!$G$5:$EH$5,0)),0)</f>
        <v>894422.24444725737</v>
      </c>
      <c r="EF162" s="1149">
        <f>IFERROR(INDEX(OperBgt!$G$66:$EH$66,MATCH('Venture Summary - Mthly'!EF5-INDEX('Venture Assumptions'!$J$6:$J$40,MATCH($B$2,'Venture Assumptions'!$I$6:$I$40,0)),OperBgt!$G$5:$EH$5,0)),0)</f>
        <v>897598.23526341922</v>
      </c>
      <c r="EG162" s="1149">
        <f>IFERROR(INDEX(OperBgt!$G$66:$EH$66,MATCH('Venture Summary - Mthly'!EG5-INDEX('Venture Assumptions'!$J$6:$J$40,MATCH($B$2,'Venture Assumptions'!$I$6:$I$40,0)),OperBgt!$G$5:$EH$5,0)),0)</f>
        <v>900786.89781330992</v>
      </c>
      <c r="EH162" s="782"/>
    </row>
    <row r="163" spans="1:138" ht="12.75" customHeight="1" x14ac:dyDescent="0.3">
      <c r="A163" s="782"/>
      <c r="B163" s="782" t="s">
        <v>96</v>
      </c>
      <c r="C163" s="798"/>
      <c r="D163" s="782"/>
      <c r="E163" s="838">
        <f>IFERROR(-((INDEX(OperBgt!$G$80:$EH$80,MATCH('Venture Summary - Mthly'!E5-INDEX('Venture Assumptions'!$J$6:$J$40,MATCH($B$2,'Venture Assumptions'!$I$6:$I$40,0)),OperBgt!$G$5:$EH$5,0))-INDEX(OperBgt!$G$77:$EH$77,MATCH('Venture Summary - Mthly'!E5-INDEX('Venture Assumptions'!$J$6:$J$40,MATCH($B$2,'Venture Assumptions'!$I$6:$I$40,0)),OperBgt!$G$5:$EH$5,0))-INDEX(OperBgt!$G$78:$EH$78,MATCH('Venture Summary - Mthly'!E5-INDEX('Venture Assumptions'!$J$6:$J$40,MATCH($B$2,'Venture Assumptions'!$I$6:$I$40,0)),OperBgt!$G$5:$EH$5,0)))),0)</f>
        <v>0</v>
      </c>
      <c r="F163" s="1151">
        <f>IFERROR(-((INDEX(OperBgt!$G$80:$EH$80,MATCH('Venture Summary - Mthly'!F5-INDEX('Venture Assumptions'!$J$6:$J$40,MATCH($B$2,'Venture Assumptions'!$I$6:$I$40,0)),OperBgt!$G$5:$EH$5,0))-INDEX(OperBgt!$G$77:$EH$77,MATCH('Venture Summary - Mthly'!F5-INDEX('Venture Assumptions'!$J$6:$J$40,MATCH($B$2,'Venture Assumptions'!$I$6:$I$40,0)),OperBgt!$G$5:$EH$5,0))-INDEX(OperBgt!$G$78:$EH$78,MATCH('Venture Summary - Mthly'!F5-INDEX('Venture Assumptions'!$J$6:$J$40,MATCH($B$2,'Venture Assumptions'!$I$6:$I$40,0)),OperBgt!$G$5:$EH$5,0)))),0)</f>
        <v>0</v>
      </c>
      <c r="G163" s="1151">
        <f>IFERROR(-((INDEX(OperBgt!$G$80:$EH$80,MATCH('Venture Summary - Mthly'!G5-INDEX('Venture Assumptions'!$J$6:$J$40,MATCH($B$2,'Venture Assumptions'!$I$6:$I$40,0)),OperBgt!$G$5:$EH$5,0))-INDEX(OperBgt!$G$77:$EH$77,MATCH('Venture Summary - Mthly'!G5-INDEX('Venture Assumptions'!$J$6:$J$40,MATCH($B$2,'Venture Assumptions'!$I$6:$I$40,0)),OperBgt!$G$5:$EH$5,0))-INDEX(OperBgt!$G$78:$EH$78,MATCH('Venture Summary - Mthly'!G5-INDEX('Venture Assumptions'!$J$6:$J$40,MATCH($B$2,'Venture Assumptions'!$I$6:$I$40,0)),OperBgt!$G$5:$EH$5,0)))),0)</f>
        <v>0</v>
      </c>
      <c r="H163" s="1151">
        <f>IFERROR(-((INDEX(OperBgt!$G$80:$EH$80,MATCH('Venture Summary - Mthly'!H5-INDEX('Venture Assumptions'!$J$6:$J$40,MATCH($B$2,'Venture Assumptions'!$I$6:$I$40,0)),OperBgt!$G$5:$EH$5,0))-INDEX(OperBgt!$G$77:$EH$77,MATCH('Venture Summary - Mthly'!H5-INDEX('Venture Assumptions'!$J$6:$J$40,MATCH($B$2,'Venture Assumptions'!$I$6:$I$40,0)),OperBgt!$G$5:$EH$5,0))-INDEX(OperBgt!$G$78:$EH$78,MATCH('Venture Summary - Mthly'!H5-INDEX('Venture Assumptions'!$J$6:$J$40,MATCH($B$2,'Venture Assumptions'!$I$6:$I$40,0)),OperBgt!$G$5:$EH$5,0)))),0)</f>
        <v>0</v>
      </c>
      <c r="I163" s="1151">
        <f>IFERROR(-((INDEX(OperBgt!$G$80:$EH$80,MATCH('Venture Summary - Mthly'!I5-INDEX('Venture Assumptions'!$J$6:$J$40,MATCH($B$2,'Venture Assumptions'!$I$6:$I$40,0)),OperBgt!$G$5:$EH$5,0))-INDEX(OperBgt!$G$77:$EH$77,MATCH('Venture Summary - Mthly'!I5-INDEX('Venture Assumptions'!$J$6:$J$40,MATCH($B$2,'Venture Assumptions'!$I$6:$I$40,0)),OperBgt!$G$5:$EH$5,0))-INDEX(OperBgt!$G$78:$EH$78,MATCH('Venture Summary - Mthly'!I5-INDEX('Venture Assumptions'!$J$6:$J$40,MATCH($B$2,'Venture Assumptions'!$I$6:$I$40,0)),OperBgt!$G$5:$EH$5,0)))),0)</f>
        <v>0</v>
      </c>
      <c r="J163" s="1151">
        <f>IFERROR(-((INDEX(OperBgt!$G$80:$EH$80,MATCH('Venture Summary - Mthly'!J5-INDEX('Venture Assumptions'!$J$6:$J$40,MATCH($B$2,'Venture Assumptions'!$I$6:$I$40,0)),OperBgt!$G$5:$EH$5,0))-INDEX(OperBgt!$G$77:$EH$77,MATCH('Venture Summary - Mthly'!J5-INDEX('Venture Assumptions'!$J$6:$J$40,MATCH($B$2,'Venture Assumptions'!$I$6:$I$40,0)),OperBgt!$G$5:$EH$5,0))-INDEX(OperBgt!$G$78:$EH$78,MATCH('Venture Summary - Mthly'!J5-INDEX('Venture Assumptions'!$J$6:$J$40,MATCH($B$2,'Venture Assumptions'!$I$6:$I$40,0)),OperBgt!$G$5:$EH$5,0)))),0)</f>
        <v>0</v>
      </c>
      <c r="K163" s="1151">
        <f>IFERROR(-((INDEX(OperBgt!$G$80:$EH$80,MATCH('Venture Summary - Mthly'!K5-INDEX('Venture Assumptions'!$J$6:$J$40,MATCH($B$2,'Venture Assumptions'!$I$6:$I$40,0)),OperBgt!$G$5:$EH$5,0))-INDEX(OperBgt!$G$77:$EH$77,MATCH('Venture Summary - Mthly'!K5-INDEX('Venture Assumptions'!$J$6:$J$40,MATCH($B$2,'Venture Assumptions'!$I$6:$I$40,0)),OperBgt!$G$5:$EH$5,0))-INDEX(OperBgt!$G$78:$EH$78,MATCH('Venture Summary - Mthly'!K5-INDEX('Venture Assumptions'!$J$6:$J$40,MATCH($B$2,'Venture Assumptions'!$I$6:$I$40,0)),OperBgt!$G$5:$EH$5,0)))),0)</f>
        <v>0</v>
      </c>
      <c r="L163" s="1151">
        <f>IFERROR(-((INDEX(OperBgt!$G$80:$EH$80,MATCH('Venture Summary - Mthly'!L5-INDEX('Venture Assumptions'!$J$6:$J$40,MATCH($B$2,'Venture Assumptions'!$I$6:$I$40,0)),OperBgt!$G$5:$EH$5,0))-INDEX(OperBgt!$G$77:$EH$77,MATCH('Venture Summary - Mthly'!L5-INDEX('Venture Assumptions'!$J$6:$J$40,MATCH($B$2,'Venture Assumptions'!$I$6:$I$40,0)),OperBgt!$G$5:$EH$5,0))-INDEX(OperBgt!$G$78:$EH$78,MATCH('Venture Summary - Mthly'!L5-INDEX('Venture Assumptions'!$J$6:$J$40,MATCH($B$2,'Venture Assumptions'!$I$6:$I$40,0)),OperBgt!$G$5:$EH$5,0)))),0)</f>
        <v>0</v>
      </c>
      <c r="M163" s="1151">
        <f>IFERROR(-((INDEX(OperBgt!$G$80:$EH$80,MATCH('Venture Summary - Mthly'!M5-INDEX('Venture Assumptions'!$J$6:$J$40,MATCH($B$2,'Venture Assumptions'!$I$6:$I$40,0)),OperBgt!$G$5:$EH$5,0))-INDEX(OperBgt!$G$77:$EH$77,MATCH('Venture Summary - Mthly'!M5-INDEX('Venture Assumptions'!$J$6:$J$40,MATCH($B$2,'Venture Assumptions'!$I$6:$I$40,0)),OperBgt!$G$5:$EH$5,0))-INDEX(OperBgt!$G$78:$EH$78,MATCH('Venture Summary - Mthly'!M5-INDEX('Venture Assumptions'!$J$6:$J$40,MATCH($B$2,'Venture Assumptions'!$I$6:$I$40,0)),OperBgt!$G$5:$EH$5,0)))),0)</f>
        <v>0</v>
      </c>
      <c r="N163" s="1151">
        <f>IFERROR(-((INDEX(OperBgt!$G$80:$EH$80,MATCH('Venture Summary - Mthly'!N5-INDEX('Venture Assumptions'!$J$6:$J$40,MATCH($B$2,'Venture Assumptions'!$I$6:$I$40,0)),OperBgt!$G$5:$EH$5,0))-INDEX(OperBgt!$G$77:$EH$77,MATCH('Venture Summary - Mthly'!N5-INDEX('Venture Assumptions'!$J$6:$J$40,MATCH($B$2,'Venture Assumptions'!$I$6:$I$40,0)),OperBgt!$G$5:$EH$5,0))-INDEX(OperBgt!$G$78:$EH$78,MATCH('Venture Summary - Mthly'!N5-INDEX('Venture Assumptions'!$J$6:$J$40,MATCH($B$2,'Venture Assumptions'!$I$6:$I$40,0)),OperBgt!$G$5:$EH$5,0)))),0)</f>
        <v>0</v>
      </c>
      <c r="O163" s="1151">
        <f>IFERROR(-((INDEX(OperBgt!$G$80:$EH$80,MATCH('Venture Summary - Mthly'!O5-INDEX('Venture Assumptions'!$J$6:$J$40,MATCH($B$2,'Venture Assumptions'!$I$6:$I$40,0)),OperBgt!$G$5:$EH$5,0))-INDEX(OperBgt!$G$77:$EH$77,MATCH('Venture Summary - Mthly'!O5-INDEX('Venture Assumptions'!$J$6:$J$40,MATCH($B$2,'Venture Assumptions'!$I$6:$I$40,0)),OperBgt!$G$5:$EH$5,0))-INDEX(OperBgt!$G$78:$EH$78,MATCH('Venture Summary - Mthly'!O5-INDEX('Venture Assumptions'!$J$6:$J$40,MATCH($B$2,'Venture Assumptions'!$I$6:$I$40,0)),OperBgt!$G$5:$EH$5,0)))),0)</f>
        <v>0</v>
      </c>
      <c r="P163" s="1151">
        <f>IFERROR(-((INDEX(OperBgt!$G$80:$EH$80,MATCH('Venture Summary - Mthly'!P5-INDEX('Venture Assumptions'!$J$6:$J$40,MATCH($B$2,'Venture Assumptions'!$I$6:$I$40,0)),OperBgt!$G$5:$EH$5,0))-INDEX(OperBgt!$G$77:$EH$77,MATCH('Venture Summary - Mthly'!P5-INDEX('Venture Assumptions'!$J$6:$J$40,MATCH($B$2,'Venture Assumptions'!$I$6:$I$40,0)),OperBgt!$G$5:$EH$5,0))-INDEX(OperBgt!$G$78:$EH$78,MATCH('Venture Summary - Mthly'!P5-INDEX('Venture Assumptions'!$J$6:$J$40,MATCH($B$2,'Venture Assumptions'!$I$6:$I$40,0)),OperBgt!$G$5:$EH$5,0)))),0)</f>
        <v>0</v>
      </c>
      <c r="Q163" s="1151">
        <f>IFERROR(-((INDEX(OperBgt!$G$80:$EH$80,MATCH('Venture Summary - Mthly'!Q5-INDEX('Venture Assumptions'!$J$6:$J$40,MATCH($B$2,'Venture Assumptions'!$I$6:$I$40,0)),OperBgt!$G$5:$EH$5,0))-INDEX(OperBgt!$G$77:$EH$77,MATCH('Venture Summary - Mthly'!Q5-INDEX('Venture Assumptions'!$J$6:$J$40,MATCH($B$2,'Venture Assumptions'!$I$6:$I$40,0)),OperBgt!$G$5:$EH$5,0))-INDEX(OperBgt!$G$78:$EH$78,MATCH('Venture Summary - Mthly'!Q5-INDEX('Venture Assumptions'!$J$6:$J$40,MATCH($B$2,'Venture Assumptions'!$I$6:$I$40,0)),OperBgt!$G$5:$EH$5,0)))),0)</f>
        <v>0</v>
      </c>
      <c r="R163" s="1151">
        <f>IFERROR(-((INDEX(OperBgt!$G$80:$EH$80,MATCH('Venture Summary - Mthly'!R5-INDEX('Venture Assumptions'!$J$6:$J$40,MATCH($B$2,'Venture Assumptions'!$I$6:$I$40,0)),OperBgt!$G$5:$EH$5,0))-INDEX(OperBgt!$G$77:$EH$77,MATCH('Venture Summary - Mthly'!R5-INDEX('Venture Assumptions'!$J$6:$J$40,MATCH($B$2,'Venture Assumptions'!$I$6:$I$40,0)),OperBgt!$G$5:$EH$5,0))-INDEX(OperBgt!$G$78:$EH$78,MATCH('Venture Summary - Mthly'!R5-INDEX('Venture Assumptions'!$J$6:$J$40,MATCH($B$2,'Venture Assumptions'!$I$6:$I$40,0)),OperBgt!$G$5:$EH$5,0)))),0)</f>
        <v>0</v>
      </c>
      <c r="S163" s="1151">
        <f>IFERROR(-((INDEX(OperBgt!$G$80:$EH$80,MATCH('Venture Summary - Mthly'!S5-INDEX('Venture Assumptions'!$J$6:$J$40,MATCH($B$2,'Venture Assumptions'!$I$6:$I$40,0)),OperBgt!$G$5:$EH$5,0))-INDEX(OperBgt!$G$77:$EH$77,MATCH('Venture Summary - Mthly'!S5-INDEX('Venture Assumptions'!$J$6:$J$40,MATCH($B$2,'Venture Assumptions'!$I$6:$I$40,0)),OperBgt!$G$5:$EH$5,0))-INDEX(OperBgt!$G$78:$EH$78,MATCH('Venture Summary - Mthly'!S5-INDEX('Venture Assumptions'!$J$6:$J$40,MATCH($B$2,'Venture Assumptions'!$I$6:$I$40,0)),OperBgt!$G$5:$EH$5,0)))),0)</f>
        <v>-88225.339050871276</v>
      </c>
      <c r="T163" s="1151">
        <f>IFERROR(-((INDEX(OperBgt!$G$80:$EH$80,MATCH('Venture Summary - Mthly'!T5-INDEX('Venture Assumptions'!$J$6:$J$40,MATCH($B$2,'Venture Assumptions'!$I$6:$I$40,0)),OperBgt!$G$5:$EH$5,0))-INDEX(OperBgt!$G$77:$EH$77,MATCH('Venture Summary - Mthly'!T5-INDEX('Venture Assumptions'!$J$6:$J$40,MATCH($B$2,'Venture Assumptions'!$I$6:$I$40,0)),OperBgt!$G$5:$EH$5,0))-INDEX(OperBgt!$G$78:$EH$78,MATCH('Venture Summary - Mthly'!T5-INDEX('Venture Assumptions'!$J$6:$J$40,MATCH($B$2,'Venture Assumptions'!$I$6:$I$40,0)),OperBgt!$G$5:$EH$5,0)))),0)</f>
        <v>-95788.275262366908</v>
      </c>
      <c r="U163" s="1151">
        <f>IFERROR(-((INDEX(OperBgt!$G$80:$EH$80,MATCH('Venture Summary - Mthly'!U5-INDEX('Venture Assumptions'!$J$6:$J$40,MATCH($B$2,'Venture Assumptions'!$I$6:$I$40,0)),OperBgt!$G$5:$EH$5,0))-INDEX(OperBgt!$G$77:$EH$77,MATCH('Venture Summary - Mthly'!U5-INDEX('Venture Assumptions'!$J$6:$J$40,MATCH($B$2,'Venture Assumptions'!$I$6:$I$40,0)),OperBgt!$G$5:$EH$5,0))-INDEX(OperBgt!$G$78:$EH$78,MATCH('Venture Summary - Mthly'!U5-INDEX('Venture Assumptions'!$J$6:$J$40,MATCH($B$2,'Venture Assumptions'!$I$6:$I$40,0)),OperBgt!$G$5:$EH$5,0)))),0)</f>
        <v>-121384.89997247918</v>
      </c>
      <c r="V163" s="1151">
        <f>IFERROR(-((INDEX(OperBgt!$G$80:$EH$80,MATCH('Venture Summary - Mthly'!V5-INDEX('Venture Assumptions'!$J$6:$J$40,MATCH($B$2,'Venture Assumptions'!$I$6:$I$40,0)),OperBgt!$G$5:$EH$5,0))-INDEX(OperBgt!$G$77:$EH$77,MATCH('Venture Summary - Mthly'!V5-INDEX('Venture Assumptions'!$J$6:$J$40,MATCH($B$2,'Venture Assumptions'!$I$6:$I$40,0)),OperBgt!$G$5:$EH$5,0))-INDEX(OperBgt!$G$78:$EH$78,MATCH('Venture Summary - Mthly'!V5-INDEX('Venture Assumptions'!$J$6:$J$40,MATCH($B$2,'Venture Assumptions'!$I$6:$I$40,0)),OperBgt!$G$5:$EH$5,0)))),0)</f>
        <v>-127956.64031749518</v>
      </c>
      <c r="W163" s="1151">
        <f>IFERROR(-((INDEX(OperBgt!$G$80:$EH$80,MATCH('Venture Summary - Mthly'!W5-INDEX('Venture Assumptions'!$J$6:$J$40,MATCH($B$2,'Venture Assumptions'!$I$6:$I$40,0)),OperBgt!$G$5:$EH$5,0))-INDEX(OperBgt!$G$77:$EH$77,MATCH('Venture Summary - Mthly'!W5-INDEX('Venture Assumptions'!$J$6:$J$40,MATCH($B$2,'Venture Assumptions'!$I$6:$I$40,0)),OperBgt!$G$5:$EH$5,0))-INDEX(OperBgt!$G$78:$EH$78,MATCH('Venture Summary - Mthly'!W5-INDEX('Venture Assumptions'!$J$6:$J$40,MATCH($B$2,'Venture Assumptions'!$I$6:$I$40,0)),OperBgt!$G$5:$EH$5,0)))),0)</f>
        <v>-132537.19333131085</v>
      </c>
      <c r="X163" s="1151">
        <f>IFERROR(-((INDEX(OperBgt!$G$80:$EH$80,MATCH('Venture Summary - Mthly'!X5-INDEX('Venture Assumptions'!$J$6:$J$40,MATCH($B$2,'Venture Assumptions'!$I$6:$I$40,0)),OperBgt!$G$5:$EH$5,0))-INDEX(OperBgt!$G$77:$EH$77,MATCH('Venture Summary - Mthly'!X5-INDEX('Venture Assumptions'!$J$6:$J$40,MATCH($B$2,'Venture Assumptions'!$I$6:$I$40,0)),OperBgt!$G$5:$EH$5,0))-INDEX(OperBgt!$G$78:$EH$78,MATCH('Venture Summary - Mthly'!X5-INDEX('Venture Assumptions'!$J$6:$J$40,MATCH($B$2,'Venture Assumptions'!$I$6:$I$40,0)),OperBgt!$G$5:$EH$5,0)))),0)</f>
        <v>-136461.50073727209</v>
      </c>
      <c r="Y163" s="1151">
        <f>IFERROR(-((INDEX(OperBgt!$G$80:$EH$80,MATCH('Venture Summary - Mthly'!Y5-INDEX('Venture Assumptions'!$J$6:$J$40,MATCH($B$2,'Venture Assumptions'!$I$6:$I$40,0)),OperBgt!$G$5:$EH$5,0))-INDEX(OperBgt!$G$77:$EH$77,MATCH('Venture Summary - Mthly'!Y5-INDEX('Venture Assumptions'!$J$6:$J$40,MATCH($B$2,'Venture Assumptions'!$I$6:$I$40,0)),OperBgt!$G$5:$EH$5,0))-INDEX(OperBgt!$G$78:$EH$78,MATCH('Venture Summary - Mthly'!Y5-INDEX('Venture Assumptions'!$J$6:$J$40,MATCH($B$2,'Venture Assumptions'!$I$6:$I$40,0)),OperBgt!$G$5:$EH$5,0)))),0)</f>
        <v>-138014.11349028582</v>
      </c>
      <c r="Z163" s="1151">
        <f>IFERROR(-((INDEX(OperBgt!$G$80:$EH$80,MATCH('Venture Summary - Mthly'!Z5-INDEX('Venture Assumptions'!$J$6:$J$40,MATCH($B$2,'Venture Assumptions'!$I$6:$I$40,0)),OperBgt!$G$5:$EH$5,0))-INDEX(OperBgt!$G$77:$EH$77,MATCH('Venture Summary - Mthly'!Z5-INDEX('Venture Assumptions'!$J$6:$J$40,MATCH($B$2,'Venture Assumptions'!$I$6:$I$40,0)),OperBgt!$G$5:$EH$5,0))-INDEX(OperBgt!$G$78:$EH$78,MATCH('Venture Summary - Mthly'!Z5-INDEX('Venture Assumptions'!$J$6:$J$40,MATCH($B$2,'Venture Assumptions'!$I$6:$I$40,0)),OperBgt!$G$5:$EH$5,0)))),0)</f>
        <v>-139566.72624329955</v>
      </c>
      <c r="AA163" s="1151">
        <f>IFERROR(-((INDEX(OperBgt!$G$80:$EH$80,MATCH('Venture Summary - Mthly'!AA5-INDEX('Venture Assumptions'!$J$6:$J$40,MATCH($B$2,'Venture Assumptions'!$I$6:$I$40,0)),OperBgt!$G$5:$EH$5,0))-INDEX(OperBgt!$G$77:$EH$77,MATCH('Venture Summary - Mthly'!AA5-INDEX('Venture Assumptions'!$J$6:$J$40,MATCH($B$2,'Venture Assumptions'!$I$6:$I$40,0)),OperBgt!$G$5:$EH$5,0))-INDEX(OperBgt!$G$78:$EH$78,MATCH('Venture Summary - Mthly'!AA5-INDEX('Venture Assumptions'!$J$6:$J$40,MATCH($B$2,'Venture Assumptions'!$I$6:$I$40,0)),OperBgt!$G$5:$EH$5,0)))),0)</f>
        <v>-140868.35383401104</v>
      </c>
      <c r="AB163" s="1151">
        <f>IFERROR(-((INDEX(OperBgt!$G$80:$EH$80,MATCH('Venture Summary - Mthly'!AB5-INDEX('Venture Assumptions'!$J$6:$J$40,MATCH($B$2,'Venture Assumptions'!$I$6:$I$40,0)),OperBgt!$G$5:$EH$5,0))-INDEX(OperBgt!$G$77:$EH$77,MATCH('Venture Summary - Mthly'!AB5-INDEX('Venture Assumptions'!$J$6:$J$40,MATCH($B$2,'Venture Assumptions'!$I$6:$I$40,0)),OperBgt!$G$5:$EH$5,0))-INDEX(OperBgt!$G$78:$EH$78,MATCH('Venture Summary - Mthly'!AB5-INDEX('Venture Assumptions'!$J$6:$J$40,MATCH($B$2,'Venture Assumptions'!$I$6:$I$40,0)),OperBgt!$G$5:$EH$5,0)))),0)</f>
        <v>-141500.68765858331</v>
      </c>
      <c r="AC163" s="1151">
        <f>IFERROR(-((INDEX(OperBgt!$G$80:$EH$80,MATCH('Venture Summary - Mthly'!AC5-INDEX('Venture Assumptions'!$J$6:$J$40,MATCH($B$2,'Venture Assumptions'!$I$6:$I$40,0)),OperBgt!$G$5:$EH$5,0))-INDEX(OperBgt!$G$77:$EH$77,MATCH('Venture Summary - Mthly'!AC5-INDEX('Venture Assumptions'!$J$6:$J$40,MATCH($B$2,'Venture Assumptions'!$I$6:$I$40,0)),OperBgt!$G$5:$EH$5,0))-INDEX(OperBgt!$G$78:$EH$78,MATCH('Venture Summary - Mthly'!AC5-INDEX('Venture Assumptions'!$J$6:$J$40,MATCH($B$2,'Venture Assumptions'!$I$6:$I$40,0)),OperBgt!$G$5:$EH$5,0)))),0)</f>
        <v>-142133.02148315555</v>
      </c>
      <c r="AD163" s="1151">
        <f>IFERROR(-((INDEX(OperBgt!$G$80:$EH$80,MATCH('Venture Summary - Mthly'!AD5-INDEX('Venture Assumptions'!$J$6:$J$40,MATCH($B$2,'Venture Assumptions'!$I$6:$I$40,0)),OperBgt!$G$5:$EH$5,0))-INDEX(OperBgt!$G$77:$EH$77,MATCH('Venture Summary - Mthly'!AD5-INDEX('Venture Assumptions'!$J$6:$J$40,MATCH($B$2,'Venture Assumptions'!$I$6:$I$40,0)),OperBgt!$G$5:$EH$5,0))-INDEX(OperBgt!$G$78:$EH$78,MATCH('Venture Summary - Mthly'!AD5-INDEX('Venture Assumptions'!$J$6:$J$40,MATCH($B$2,'Venture Assumptions'!$I$6:$I$40,0)),OperBgt!$G$5:$EH$5,0)))),0)</f>
        <v>-142765.35530772782</v>
      </c>
      <c r="AE163" s="1151">
        <f>IFERROR(-((INDEX(OperBgt!$G$80:$EH$80,MATCH('Venture Summary - Mthly'!AE5-INDEX('Venture Assumptions'!$J$6:$J$40,MATCH($B$2,'Venture Assumptions'!$I$6:$I$40,0)),OperBgt!$G$5:$EH$5,0))-INDEX(OperBgt!$G$77:$EH$77,MATCH('Venture Summary - Mthly'!AE5-INDEX('Venture Assumptions'!$J$6:$J$40,MATCH($B$2,'Venture Assumptions'!$I$6:$I$40,0)),OperBgt!$G$5:$EH$5,0))-INDEX(OperBgt!$G$78:$EH$78,MATCH('Venture Summary - Mthly'!AE5-INDEX('Venture Assumptions'!$J$6:$J$40,MATCH($B$2,'Venture Assumptions'!$I$6:$I$40,0)),OperBgt!$G$5:$EH$5,0)))),0)</f>
        <v>-143397.68913230009</v>
      </c>
      <c r="AF163" s="1151">
        <f>IFERROR(-((INDEX(OperBgt!$G$80:$EH$80,MATCH('Venture Summary - Mthly'!AF5-INDEX('Venture Assumptions'!$J$6:$J$40,MATCH($B$2,'Venture Assumptions'!$I$6:$I$40,0)),OperBgt!$G$5:$EH$5,0))-INDEX(OperBgt!$G$77:$EH$77,MATCH('Venture Summary - Mthly'!AF5-INDEX('Venture Assumptions'!$J$6:$J$40,MATCH($B$2,'Venture Assumptions'!$I$6:$I$40,0)),OperBgt!$G$5:$EH$5,0))-INDEX(OperBgt!$G$78:$EH$78,MATCH('Venture Summary - Mthly'!AF5-INDEX('Venture Assumptions'!$J$6:$J$40,MATCH($B$2,'Venture Assumptions'!$I$6:$I$40,0)),OperBgt!$G$5:$EH$5,0)))),0)</f>
        <v>-144030.02295687236</v>
      </c>
      <c r="AG163" s="1151">
        <f>IFERROR(-((INDEX(OperBgt!$G$80:$EH$80,MATCH('Venture Summary - Mthly'!AG5-INDEX('Venture Assumptions'!$J$6:$J$40,MATCH($B$2,'Venture Assumptions'!$I$6:$I$40,0)),OperBgt!$G$5:$EH$5,0))-INDEX(OperBgt!$G$77:$EH$77,MATCH('Venture Summary - Mthly'!AG5-INDEX('Venture Assumptions'!$J$6:$J$40,MATCH($B$2,'Venture Assumptions'!$I$6:$I$40,0)),OperBgt!$G$5:$EH$5,0))-INDEX(OperBgt!$G$78:$EH$78,MATCH('Venture Summary - Mthly'!AG5-INDEX('Venture Assumptions'!$J$6:$J$40,MATCH($B$2,'Venture Assumptions'!$I$6:$I$40,0)),OperBgt!$G$5:$EH$5,0)))),0)</f>
        <v>-156008.36100315838</v>
      </c>
      <c r="AH163" s="1151">
        <f>IFERROR(-((INDEX(OperBgt!$G$80:$EH$80,MATCH('Venture Summary - Mthly'!AH5-INDEX('Venture Assumptions'!$J$6:$J$40,MATCH($B$2,'Venture Assumptions'!$I$6:$I$40,0)),OperBgt!$G$5:$EH$5,0))-INDEX(OperBgt!$G$77:$EH$77,MATCH('Venture Summary - Mthly'!AH5-INDEX('Venture Assumptions'!$J$6:$J$40,MATCH($B$2,'Venture Assumptions'!$I$6:$I$40,0)),OperBgt!$G$5:$EH$5,0))-INDEX(OperBgt!$G$78:$EH$78,MATCH('Venture Summary - Mthly'!AH5-INDEX('Venture Assumptions'!$J$6:$J$40,MATCH($B$2,'Venture Assumptions'!$I$6:$I$40,0)),OperBgt!$G$5:$EH$5,0)))),0)</f>
        <v>-156659.66484246781</v>
      </c>
      <c r="AI163" s="1151">
        <f>IFERROR(-((INDEX(OperBgt!$G$80:$EH$80,MATCH('Venture Summary - Mthly'!AI5-INDEX('Venture Assumptions'!$J$6:$J$40,MATCH($B$2,'Venture Assumptions'!$I$6:$I$40,0)),OperBgt!$G$5:$EH$5,0))-INDEX(OperBgt!$G$77:$EH$77,MATCH('Venture Summary - Mthly'!AI5-INDEX('Venture Assumptions'!$J$6:$J$40,MATCH($B$2,'Venture Assumptions'!$I$6:$I$40,0)),OperBgt!$G$5:$EH$5,0))-INDEX(OperBgt!$G$78:$EH$78,MATCH('Venture Summary - Mthly'!AI5-INDEX('Venture Assumptions'!$J$6:$J$40,MATCH($B$2,'Venture Assumptions'!$I$6:$I$40,0)),OperBgt!$G$5:$EH$5,0)))),0)</f>
        <v>-157310.96868177727</v>
      </c>
      <c r="AJ163" s="1151">
        <f>IFERROR(-((INDEX(OperBgt!$G$80:$EH$80,MATCH('Venture Summary - Mthly'!AJ5-INDEX('Venture Assumptions'!$J$6:$J$40,MATCH($B$2,'Venture Assumptions'!$I$6:$I$40,0)),OperBgt!$G$5:$EH$5,0))-INDEX(OperBgt!$G$77:$EH$77,MATCH('Venture Summary - Mthly'!AJ5-INDEX('Venture Assumptions'!$J$6:$J$40,MATCH($B$2,'Venture Assumptions'!$I$6:$I$40,0)),OperBgt!$G$5:$EH$5,0))-INDEX(OperBgt!$G$78:$EH$78,MATCH('Venture Summary - Mthly'!AJ5-INDEX('Venture Assumptions'!$J$6:$J$40,MATCH($B$2,'Venture Assumptions'!$I$6:$I$40,0)),OperBgt!$G$5:$EH$5,0)))),0)</f>
        <v>-157528.06996154707</v>
      </c>
      <c r="AK163" s="1151">
        <f>IFERROR(-((INDEX(OperBgt!$G$80:$EH$80,MATCH('Venture Summary - Mthly'!AK5-INDEX('Venture Assumptions'!$J$6:$J$40,MATCH($B$2,'Venture Assumptions'!$I$6:$I$40,0)),OperBgt!$G$5:$EH$5,0))-INDEX(OperBgt!$G$77:$EH$77,MATCH('Venture Summary - Mthly'!AK5-INDEX('Venture Assumptions'!$J$6:$J$40,MATCH($B$2,'Venture Assumptions'!$I$6:$I$40,0)),OperBgt!$G$5:$EH$5,0))-INDEX(OperBgt!$G$78:$EH$78,MATCH('Venture Summary - Mthly'!AK5-INDEX('Venture Assumptions'!$J$6:$J$40,MATCH($B$2,'Venture Assumptions'!$I$6:$I$40,0)),OperBgt!$G$5:$EH$5,0)))),0)</f>
        <v>-157528.06996154707</v>
      </c>
      <c r="AL163" s="1151">
        <f>IFERROR(-((INDEX(OperBgt!$G$80:$EH$80,MATCH('Venture Summary - Mthly'!AL5-INDEX('Venture Assumptions'!$J$6:$J$40,MATCH($B$2,'Venture Assumptions'!$I$6:$I$40,0)),OperBgt!$G$5:$EH$5,0))-INDEX(OperBgt!$G$77:$EH$77,MATCH('Venture Summary - Mthly'!AL5-INDEX('Venture Assumptions'!$J$6:$J$40,MATCH($B$2,'Venture Assumptions'!$I$6:$I$40,0)),OperBgt!$G$5:$EH$5,0))-INDEX(OperBgt!$G$78:$EH$78,MATCH('Venture Summary - Mthly'!AL5-INDEX('Venture Assumptions'!$J$6:$J$40,MATCH($B$2,'Venture Assumptions'!$I$6:$I$40,0)),OperBgt!$G$5:$EH$5,0)))),0)</f>
        <v>-157528.06996154707</v>
      </c>
      <c r="AM163" s="1151">
        <f>IFERROR(-((INDEX(OperBgt!$G$80:$EH$80,MATCH('Venture Summary - Mthly'!AM5-INDEX('Venture Assumptions'!$J$6:$J$40,MATCH($B$2,'Venture Assumptions'!$I$6:$I$40,0)),OperBgt!$G$5:$EH$5,0))-INDEX(OperBgt!$G$77:$EH$77,MATCH('Venture Summary - Mthly'!AM5-INDEX('Venture Assumptions'!$J$6:$J$40,MATCH($B$2,'Venture Assumptions'!$I$6:$I$40,0)),OperBgt!$G$5:$EH$5,0))-INDEX(OperBgt!$G$78:$EH$78,MATCH('Venture Summary - Mthly'!AM5-INDEX('Venture Assumptions'!$J$6:$J$40,MATCH($B$2,'Venture Assumptions'!$I$6:$I$40,0)),OperBgt!$G$5:$EH$5,0)))),0)</f>
        <v>-157528.06996154707</v>
      </c>
      <c r="AN163" s="1151">
        <f>IFERROR(-((INDEX(OperBgt!$G$80:$EH$80,MATCH('Venture Summary - Mthly'!AN5-INDEX('Venture Assumptions'!$J$6:$J$40,MATCH($B$2,'Venture Assumptions'!$I$6:$I$40,0)),OperBgt!$G$5:$EH$5,0))-INDEX(OperBgt!$G$77:$EH$77,MATCH('Venture Summary - Mthly'!AN5-INDEX('Venture Assumptions'!$J$6:$J$40,MATCH($B$2,'Venture Assumptions'!$I$6:$I$40,0)),OperBgt!$G$5:$EH$5,0))-INDEX(OperBgt!$G$78:$EH$78,MATCH('Venture Summary - Mthly'!AN5-INDEX('Venture Assumptions'!$J$6:$J$40,MATCH($B$2,'Venture Assumptions'!$I$6:$I$40,0)),OperBgt!$G$5:$EH$5,0)))),0)</f>
        <v>-157528.06996154707</v>
      </c>
      <c r="AO163" s="1151">
        <f>IFERROR(-((INDEX(OperBgt!$G$80:$EH$80,MATCH('Venture Summary - Mthly'!AO5-INDEX('Venture Assumptions'!$J$6:$J$40,MATCH($B$2,'Venture Assumptions'!$I$6:$I$40,0)),OperBgt!$G$5:$EH$5,0))-INDEX(OperBgt!$G$77:$EH$77,MATCH('Venture Summary - Mthly'!AO5-INDEX('Venture Assumptions'!$J$6:$J$40,MATCH($B$2,'Venture Assumptions'!$I$6:$I$40,0)),OperBgt!$G$5:$EH$5,0))-INDEX(OperBgt!$G$78:$EH$78,MATCH('Venture Summary - Mthly'!AO5-INDEX('Venture Assumptions'!$J$6:$J$40,MATCH($B$2,'Venture Assumptions'!$I$6:$I$40,0)),OperBgt!$G$5:$EH$5,0)))),0)</f>
        <v>-157528.06996154707</v>
      </c>
      <c r="AP163" s="1151">
        <f>IFERROR(-((INDEX(OperBgt!$G$80:$EH$80,MATCH('Venture Summary - Mthly'!AP5-INDEX('Venture Assumptions'!$J$6:$J$40,MATCH($B$2,'Venture Assumptions'!$I$6:$I$40,0)),OperBgt!$G$5:$EH$5,0))-INDEX(OperBgt!$G$77:$EH$77,MATCH('Venture Summary - Mthly'!AP5-INDEX('Venture Assumptions'!$J$6:$J$40,MATCH($B$2,'Venture Assumptions'!$I$6:$I$40,0)),OperBgt!$G$5:$EH$5,0))-INDEX(OperBgt!$G$78:$EH$78,MATCH('Venture Summary - Mthly'!AP5-INDEX('Venture Assumptions'!$J$6:$J$40,MATCH($B$2,'Venture Assumptions'!$I$6:$I$40,0)),OperBgt!$G$5:$EH$5,0)))),0)</f>
        <v>-157528.06996154707</v>
      </c>
      <c r="AQ163" s="1151">
        <f>IFERROR(-((INDEX(OperBgt!$G$80:$EH$80,MATCH('Venture Summary - Mthly'!AQ5-INDEX('Venture Assumptions'!$J$6:$J$40,MATCH($B$2,'Venture Assumptions'!$I$6:$I$40,0)),OperBgt!$G$5:$EH$5,0))-INDEX(OperBgt!$G$77:$EH$77,MATCH('Venture Summary - Mthly'!AQ5-INDEX('Venture Assumptions'!$J$6:$J$40,MATCH($B$2,'Venture Assumptions'!$I$6:$I$40,0)),OperBgt!$G$5:$EH$5,0))-INDEX(OperBgt!$G$78:$EH$78,MATCH('Venture Summary - Mthly'!AQ5-INDEX('Venture Assumptions'!$J$6:$J$40,MATCH($B$2,'Venture Assumptions'!$I$6:$I$40,0)),OperBgt!$G$5:$EH$5,0)))),0)</f>
        <v>-157528.06996154707</v>
      </c>
      <c r="AR163" s="1151">
        <f>IFERROR(-((INDEX(OperBgt!$G$80:$EH$80,MATCH('Venture Summary - Mthly'!AR5-INDEX('Venture Assumptions'!$J$6:$J$40,MATCH($B$2,'Venture Assumptions'!$I$6:$I$40,0)),OperBgt!$G$5:$EH$5,0))-INDEX(OperBgt!$G$77:$EH$77,MATCH('Venture Summary - Mthly'!AR5-INDEX('Venture Assumptions'!$J$6:$J$40,MATCH($B$2,'Venture Assumptions'!$I$6:$I$40,0)),OperBgt!$G$5:$EH$5,0))-INDEX(OperBgt!$G$78:$EH$78,MATCH('Venture Summary - Mthly'!AR5-INDEX('Venture Assumptions'!$J$6:$J$40,MATCH($B$2,'Venture Assumptions'!$I$6:$I$40,0)),OperBgt!$G$5:$EH$5,0)))),0)</f>
        <v>-157528.06996154707</v>
      </c>
      <c r="AS163" s="1151">
        <f>IFERROR(-((INDEX(OperBgt!$G$80:$EH$80,MATCH('Venture Summary - Mthly'!AS5-INDEX('Venture Assumptions'!$J$6:$J$40,MATCH($B$2,'Venture Assumptions'!$I$6:$I$40,0)),OperBgt!$G$5:$EH$5,0))-INDEX(OperBgt!$G$77:$EH$77,MATCH('Venture Summary - Mthly'!AS5-INDEX('Venture Assumptions'!$J$6:$J$40,MATCH($B$2,'Venture Assumptions'!$I$6:$I$40,0)),OperBgt!$G$5:$EH$5,0))-INDEX(OperBgt!$G$78:$EH$78,MATCH('Venture Summary - Mthly'!AS5-INDEX('Venture Assumptions'!$J$6:$J$40,MATCH($B$2,'Venture Assumptions'!$I$6:$I$40,0)),OperBgt!$G$5:$EH$5,0)))),0)</f>
        <v>-163826.94539372696</v>
      </c>
      <c r="AT163" s="1151">
        <f>IFERROR(-((INDEX(OperBgt!$G$80:$EH$80,MATCH('Venture Summary - Mthly'!AT5-INDEX('Venture Assumptions'!$J$6:$J$40,MATCH($B$2,'Venture Assumptions'!$I$6:$I$40,0)),OperBgt!$G$5:$EH$5,0))-INDEX(OperBgt!$G$77:$EH$77,MATCH('Venture Summary - Mthly'!AT5-INDEX('Venture Assumptions'!$J$6:$J$40,MATCH($B$2,'Venture Assumptions'!$I$6:$I$40,0)),OperBgt!$G$5:$EH$5,0))-INDEX(OperBgt!$G$78:$EH$78,MATCH('Venture Summary - Mthly'!AT5-INDEX('Venture Assumptions'!$J$6:$J$40,MATCH($B$2,'Venture Assumptions'!$I$6:$I$40,0)),OperBgt!$G$5:$EH$5,0)))),0)</f>
        <v>-163826.94539372696</v>
      </c>
      <c r="AU163" s="1151">
        <f>IFERROR(-((INDEX(OperBgt!$G$80:$EH$80,MATCH('Venture Summary - Mthly'!AU5-INDEX('Venture Assumptions'!$J$6:$J$40,MATCH($B$2,'Venture Assumptions'!$I$6:$I$40,0)),OperBgt!$G$5:$EH$5,0))-INDEX(OperBgt!$G$77:$EH$77,MATCH('Venture Summary - Mthly'!AU5-INDEX('Venture Assumptions'!$J$6:$J$40,MATCH($B$2,'Venture Assumptions'!$I$6:$I$40,0)),OperBgt!$G$5:$EH$5,0))-INDEX(OperBgt!$G$78:$EH$78,MATCH('Venture Summary - Mthly'!AU5-INDEX('Venture Assumptions'!$J$6:$J$40,MATCH($B$2,'Venture Assumptions'!$I$6:$I$40,0)),OperBgt!$G$5:$EH$5,0)))),0)</f>
        <v>-163826.94539372696</v>
      </c>
      <c r="AV163" s="1151">
        <f>IFERROR(-((INDEX(OperBgt!$G$80:$EH$80,MATCH('Venture Summary - Mthly'!AV5-INDEX('Venture Assumptions'!$J$6:$J$40,MATCH($B$2,'Venture Assumptions'!$I$6:$I$40,0)),OperBgt!$G$5:$EH$5,0))-INDEX(OperBgt!$G$77:$EH$77,MATCH('Venture Summary - Mthly'!AV5-INDEX('Venture Assumptions'!$J$6:$J$40,MATCH($B$2,'Venture Assumptions'!$I$6:$I$40,0)),OperBgt!$G$5:$EH$5,0))-INDEX(OperBgt!$G$78:$EH$78,MATCH('Venture Summary - Mthly'!AV5-INDEX('Venture Assumptions'!$J$6:$J$40,MATCH($B$2,'Venture Assumptions'!$I$6:$I$40,0)),OperBgt!$G$5:$EH$5,0)))),0)</f>
        <v>-163826.94539372696</v>
      </c>
      <c r="AW163" s="1151">
        <f>IFERROR(-((INDEX(OperBgt!$G$80:$EH$80,MATCH('Venture Summary - Mthly'!AW5-INDEX('Venture Assumptions'!$J$6:$J$40,MATCH($B$2,'Venture Assumptions'!$I$6:$I$40,0)),OperBgt!$G$5:$EH$5,0))-INDEX(OperBgt!$G$77:$EH$77,MATCH('Venture Summary - Mthly'!AW5-INDEX('Venture Assumptions'!$J$6:$J$40,MATCH($B$2,'Venture Assumptions'!$I$6:$I$40,0)),OperBgt!$G$5:$EH$5,0))-INDEX(OperBgt!$G$78:$EH$78,MATCH('Venture Summary - Mthly'!AW5-INDEX('Venture Assumptions'!$J$6:$J$40,MATCH($B$2,'Venture Assumptions'!$I$6:$I$40,0)),OperBgt!$G$5:$EH$5,0)))),0)</f>
        <v>-163826.94539372696</v>
      </c>
      <c r="AX163" s="1151">
        <f>IFERROR(-((INDEX(OperBgt!$G$80:$EH$80,MATCH('Venture Summary - Mthly'!AX5-INDEX('Venture Assumptions'!$J$6:$J$40,MATCH($B$2,'Venture Assumptions'!$I$6:$I$40,0)),OperBgt!$G$5:$EH$5,0))-INDEX(OperBgt!$G$77:$EH$77,MATCH('Venture Summary - Mthly'!AX5-INDEX('Venture Assumptions'!$J$6:$J$40,MATCH($B$2,'Venture Assumptions'!$I$6:$I$40,0)),OperBgt!$G$5:$EH$5,0))-INDEX(OperBgt!$G$78:$EH$78,MATCH('Venture Summary - Mthly'!AX5-INDEX('Venture Assumptions'!$J$6:$J$40,MATCH($B$2,'Venture Assumptions'!$I$6:$I$40,0)),OperBgt!$G$5:$EH$5,0)))),0)</f>
        <v>-163826.94539372696</v>
      </c>
      <c r="AY163" s="1151">
        <f>IFERROR(-((INDEX(OperBgt!$G$80:$EH$80,MATCH('Venture Summary - Mthly'!AY5-INDEX('Venture Assumptions'!$J$6:$J$40,MATCH($B$2,'Venture Assumptions'!$I$6:$I$40,0)),OperBgt!$G$5:$EH$5,0))-INDEX(OperBgt!$G$77:$EH$77,MATCH('Venture Summary - Mthly'!AY5-INDEX('Venture Assumptions'!$J$6:$J$40,MATCH($B$2,'Venture Assumptions'!$I$6:$I$40,0)),OperBgt!$G$5:$EH$5,0))-INDEX(OperBgt!$G$78:$EH$78,MATCH('Venture Summary - Mthly'!AY5-INDEX('Venture Assumptions'!$J$6:$J$40,MATCH($B$2,'Venture Assumptions'!$I$6:$I$40,0)),OperBgt!$G$5:$EH$5,0)))),0)</f>
        <v>-163826.94539372696</v>
      </c>
      <c r="AZ163" s="1151">
        <f>IFERROR(-((INDEX(OperBgt!$G$80:$EH$80,MATCH('Venture Summary - Mthly'!AZ5-INDEX('Venture Assumptions'!$J$6:$J$40,MATCH($B$2,'Venture Assumptions'!$I$6:$I$40,0)),OperBgt!$G$5:$EH$5,0))-INDEX(OperBgt!$G$77:$EH$77,MATCH('Venture Summary - Mthly'!AZ5-INDEX('Venture Assumptions'!$J$6:$J$40,MATCH($B$2,'Venture Assumptions'!$I$6:$I$40,0)),OperBgt!$G$5:$EH$5,0))-INDEX(OperBgt!$G$78:$EH$78,MATCH('Venture Summary - Mthly'!AZ5-INDEX('Venture Assumptions'!$J$6:$J$40,MATCH($B$2,'Venture Assumptions'!$I$6:$I$40,0)),OperBgt!$G$5:$EH$5,0)))),0)</f>
        <v>-163826.94539372696</v>
      </c>
      <c r="BA163" s="1151">
        <f>IFERROR(-((INDEX(OperBgt!$G$80:$EH$80,MATCH('Venture Summary - Mthly'!BA5-INDEX('Venture Assumptions'!$J$6:$J$40,MATCH($B$2,'Venture Assumptions'!$I$6:$I$40,0)),OperBgt!$G$5:$EH$5,0))-INDEX(OperBgt!$G$77:$EH$77,MATCH('Venture Summary - Mthly'!BA5-INDEX('Venture Assumptions'!$J$6:$J$40,MATCH($B$2,'Venture Assumptions'!$I$6:$I$40,0)),OperBgt!$G$5:$EH$5,0))-INDEX(OperBgt!$G$78:$EH$78,MATCH('Venture Summary - Mthly'!BA5-INDEX('Venture Assumptions'!$J$6:$J$40,MATCH($B$2,'Venture Assumptions'!$I$6:$I$40,0)),OperBgt!$G$5:$EH$5,0)))),0)</f>
        <v>-163826.94539372696</v>
      </c>
      <c r="BB163" s="1151">
        <f>IFERROR(-((INDEX(OperBgt!$G$80:$EH$80,MATCH('Venture Summary - Mthly'!BB5-INDEX('Venture Assumptions'!$J$6:$J$40,MATCH($B$2,'Venture Assumptions'!$I$6:$I$40,0)),OperBgt!$G$5:$EH$5,0))-INDEX(OperBgt!$G$77:$EH$77,MATCH('Venture Summary - Mthly'!BB5-INDEX('Venture Assumptions'!$J$6:$J$40,MATCH($B$2,'Venture Assumptions'!$I$6:$I$40,0)),OperBgt!$G$5:$EH$5,0))-INDEX(OperBgt!$G$78:$EH$78,MATCH('Venture Summary - Mthly'!BB5-INDEX('Venture Assumptions'!$J$6:$J$40,MATCH($B$2,'Venture Assumptions'!$I$6:$I$40,0)),OperBgt!$G$5:$EH$5,0)))),0)</f>
        <v>-163826.94539372696</v>
      </c>
      <c r="BC163" s="1151">
        <f>IFERROR(-((INDEX(OperBgt!$G$80:$EH$80,MATCH('Venture Summary - Mthly'!BC5-INDEX('Venture Assumptions'!$J$6:$J$40,MATCH($B$2,'Venture Assumptions'!$I$6:$I$40,0)),OperBgt!$G$5:$EH$5,0))-INDEX(OperBgt!$G$77:$EH$77,MATCH('Venture Summary - Mthly'!BC5-INDEX('Venture Assumptions'!$J$6:$J$40,MATCH($B$2,'Venture Assumptions'!$I$6:$I$40,0)),OperBgt!$G$5:$EH$5,0))-INDEX(OperBgt!$G$78:$EH$78,MATCH('Venture Summary - Mthly'!BC5-INDEX('Venture Assumptions'!$J$6:$J$40,MATCH($B$2,'Venture Assumptions'!$I$6:$I$40,0)),OperBgt!$G$5:$EH$5,0)))),0)</f>
        <v>-163826.94539372696</v>
      </c>
      <c r="BD163" s="1151">
        <f>IFERROR(-((INDEX(OperBgt!$G$80:$EH$80,MATCH('Venture Summary - Mthly'!BD5-INDEX('Venture Assumptions'!$J$6:$J$40,MATCH($B$2,'Venture Assumptions'!$I$6:$I$40,0)),OperBgt!$G$5:$EH$5,0))-INDEX(OperBgt!$G$77:$EH$77,MATCH('Venture Summary - Mthly'!BD5-INDEX('Venture Assumptions'!$J$6:$J$40,MATCH($B$2,'Venture Assumptions'!$I$6:$I$40,0)),OperBgt!$G$5:$EH$5,0))-INDEX(OperBgt!$G$78:$EH$78,MATCH('Venture Summary - Mthly'!BD5-INDEX('Venture Assumptions'!$J$6:$J$40,MATCH($B$2,'Venture Assumptions'!$I$6:$I$40,0)),OperBgt!$G$5:$EH$5,0)))),0)</f>
        <v>-163826.94539372696</v>
      </c>
      <c r="BE163" s="1151">
        <f>IFERROR(-((INDEX(OperBgt!$G$80:$EH$80,MATCH('Venture Summary - Mthly'!BE5-INDEX('Venture Assumptions'!$J$6:$J$40,MATCH($B$2,'Venture Assumptions'!$I$6:$I$40,0)),OperBgt!$G$5:$EH$5,0))-INDEX(OperBgt!$G$77:$EH$77,MATCH('Venture Summary - Mthly'!BE5-INDEX('Venture Assumptions'!$J$6:$J$40,MATCH($B$2,'Venture Assumptions'!$I$6:$I$40,0)),OperBgt!$G$5:$EH$5,0))-INDEX(OperBgt!$G$78:$EH$78,MATCH('Venture Summary - Mthly'!BE5-INDEX('Venture Assumptions'!$J$6:$J$40,MATCH($B$2,'Venture Assumptions'!$I$6:$I$40,0)),OperBgt!$G$5:$EH$5,0)))),0)</f>
        <v>-168852.58708887224</v>
      </c>
      <c r="BF163" s="1151">
        <f>IFERROR(-((INDEX(OperBgt!$G$80:$EH$80,MATCH('Venture Summary - Mthly'!BF5-INDEX('Venture Assumptions'!$J$6:$J$40,MATCH($B$2,'Venture Assumptions'!$I$6:$I$40,0)),OperBgt!$G$5:$EH$5,0))-INDEX(OperBgt!$G$77:$EH$77,MATCH('Venture Summary - Mthly'!BF5-INDEX('Venture Assumptions'!$J$6:$J$40,MATCH($B$2,'Venture Assumptions'!$I$6:$I$40,0)),OperBgt!$G$5:$EH$5,0))-INDEX(OperBgt!$G$78:$EH$78,MATCH('Venture Summary - Mthly'!BF5-INDEX('Venture Assumptions'!$J$6:$J$40,MATCH($B$2,'Venture Assumptions'!$I$6:$I$40,0)),OperBgt!$G$5:$EH$5,0)))),0)</f>
        <v>-168852.58708887224</v>
      </c>
      <c r="BG163" s="1151">
        <f>IFERROR(-((INDEX(OperBgt!$G$80:$EH$80,MATCH('Venture Summary - Mthly'!BG5-INDEX('Venture Assumptions'!$J$6:$J$40,MATCH($B$2,'Venture Assumptions'!$I$6:$I$40,0)),OperBgt!$G$5:$EH$5,0))-INDEX(OperBgt!$G$77:$EH$77,MATCH('Venture Summary - Mthly'!BG5-INDEX('Venture Assumptions'!$J$6:$J$40,MATCH($B$2,'Venture Assumptions'!$I$6:$I$40,0)),OperBgt!$G$5:$EH$5,0))-INDEX(OperBgt!$G$78:$EH$78,MATCH('Venture Summary - Mthly'!BG5-INDEX('Venture Assumptions'!$J$6:$J$40,MATCH($B$2,'Venture Assumptions'!$I$6:$I$40,0)),OperBgt!$G$5:$EH$5,0)))),0)</f>
        <v>-168852.58708887224</v>
      </c>
      <c r="BH163" s="1151">
        <f>IFERROR(-((INDEX(OperBgt!$G$80:$EH$80,MATCH('Venture Summary - Mthly'!BH5-INDEX('Venture Assumptions'!$J$6:$J$40,MATCH($B$2,'Venture Assumptions'!$I$6:$I$40,0)),OperBgt!$G$5:$EH$5,0))-INDEX(OperBgt!$G$77:$EH$77,MATCH('Venture Summary - Mthly'!BH5-INDEX('Venture Assumptions'!$J$6:$J$40,MATCH($B$2,'Venture Assumptions'!$I$6:$I$40,0)),OperBgt!$G$5:$EH$5,0))-INDEX(OperBgt!$G$78:$EH$78,MATCH('Venture Summary - Mthly'!BH5-INDEX('Venture Assumptions'!$J$6:$J$40,MATCH($B$2,'Venture Assumptions'!$I$6:$I$40,0)),OperBgt!$G$5:$EH$5,0)))),0)</f>
        <v>-168852.58708887224</v>
      </c>
      <c r="BI163" s="1151">
        <f>IFERROR(-((INDEX(OperBgt!$G$80:$EH$80,MATCH('Venture Summary - Mthly'!BI5-INDEX('Venture Assumptions'!$J$6:$J$40,MATCH($B$2,'Venture Assumptions'!$I$6:$I$40,0)),OperBgt!$G$5:$EH$5,0))-INDEX(OperBgt!$G$77:$EH$77,MATCH('Venture Summary - Mthly'!BI5-INDEX('Venture Assumptions'!$J$6:$J$40,MATCH($B$2,'Venture Assumptions'!$I$6:$I$40,0)),OperBgt!$G$5:$EH$5,0))-INDEX(OperBgt!$G$78:$EH$78,MATCH('Venture Summary - Mthly'!BI5-INDEX('Venture Assumptions'!$J$6:$J$40,MATCH($B$2,'Venture Assumptions'!$I$6:$I$40,0)),OperBgt!$G$5:$EH$5,0)))),0)</f>
        <v>-168852.58708887224</v>
      </c>
      <c r="BJ163" s="1151">
        <f>IFERROR(-((INDEX(OperBgt!$G$80:$EH$80,MATCH('Venture Summary - Mthly'!BJ5-INDEX('Venture Assumptions'!$J$6:$J$40,MATCH($B$2,'Venture Assumptions'!$I$6:$I$40,0)),OperBgt!$G$5:$EH$5,0))-INDEX(OperBgt!$G$77:$EH$77,MATCH('Venture Summary - Mthly'!BJ5-INDEX('Venture Assumptions'!$J$6:$J$40,MATCH($B$2,'Venture Assumptions'!$I$6:$I$40,0)),OperBgt!$G$5:$EH$5,0))-INDEX(OperBgt!$G$78:$EH$78,MATCH('Venture Summary - Mthly'!BJ5-INDEX('Venture Assumptions'!$J$6:$J$40,MATCH($B$2,'Venture Assumptions'!$I$6:$I$40,0)),OperBgt!$G$5:$EH$5,0)))),0)</f>
        <v>-168852.58708887224</v>
      </c>
      <c r="BK163" s="1151">
        <f>IFERROR(-((INDEX(OperBgt!$G$80:$EH$80,MATCH('Venture Summary - Mthly'!BK5-INDEX('Venture Assumptions'!$J$6:$J$40,MATCH($B$2,'Venture Assumptions'!$I$6:$I$40,0)),OperBgt!$G$5:$EH$5,0))-INDEX(OperBgt!$G$77:$EH$77,MATCH('Venture Summary - Mthly'!BK5-INDEX('Venture Assumptions'!$J$6:$J$40,MATCH($B$2,'Venture Assumptions'!$I$6:$I$40,0)),OperBgt!$G$5:$EH$5,0))-INDEX(OperBgt!$G$78:$EH$78,MATCH('Venture Summary - Mthly'!BK5-INDEX('Venture Assumptions'!$J$6:$J$40,MATCH($B$2,'Venture Assumptions'!$I$6:$I$40,0)),OperBgt!$G$5:$EH$5,0)))),0)</f>
        <v>-168852.58708887224</v>
      </c>
      <c r="BL163" s="1151">
        <f>IFERROR(-((INDEX(OperBgt!$G$80:$EH$80,MATCH('Venture Summary - Mthly'!BL5-INDEX('Venture Assumptions'!$J$6:$J$40,MATCH($B$2,'Venture Assumptions'!$I$6:$I$40,0)),OperBgt!$G$5:$EH$5,0))-INDEX(OperBgt!$G$77:$EH$77,MATCH('Venture Summary - Mthly'!BL5-INDEX('Venture Assumptions'!$J$6:$J$40,MATCH($B$2,'Venture Assumptions'!$I$6:$I$40,0)),OperBgt!$G$5:$EH$5,0))-INDEX(OperBgt!$G$78:$EH$78,MATCH('Venture Summary - Mthly'!BL5-INDEX('Venture Assumptions'!$J$6:$J$40,MATCH($B$2,'Venture Assumptions'!$I$6:$I$40,0)),OperBgt!$G$5:$EH$5,0)))),0)</f>
        <v>-168852.58708887227</v>
      </c>
      <c r="BM163" s="1151">
        <f>IFERROR(-((INDEX(OperBgt!$G$80:$EH$80,MATCH('Venture Summary - Mthly'!BM5-INDEX('Venture Assumptions'!$J$6:$J$40,MATCH($B$2,'Venture Assumptions'!$I$6:$I$40,0)),OperBgt!$G$5:$EH$5,0))-INDEX(OperBgt!$G$77:$EH$77,MATCH('Venture Summary - Mthly'!BM5-INDEX('Venture Assumptions'!$J$6:$J$40,MATCH($B$2,'Venture Assumptions'!$I$6:$I$40,0)),OperBgt!$G$5:$EH$5,0))-INDEX(OperBgt!$G$78:$EH$78,MATCH('Venture Summary - Mthly'!BM5-INDEX('Venture Assumptions'!$J$6:$J$40,MATCH($B$2,'Venture Assumptions'!$I$6:$I$40,0)),OperBgt!$G$5:$EH$5,0)))),0)</f>
        <v>-168852.58708887224</v>
      </c>
      <c r="BN163" s="1151">
        <f>IFERROR(-((INDEX(OperBgt!$G$80:$EH$80,MATCH('Venture Summary - Mthly'!BN5-INDEX('Venture Assumptions'!$J$6:$J$40,MATCH($B$2,'Venture Assumptions'!$I$6:$I$40,0)),OperBgt!$G$5:$EH$5,0))-INDEX(OperBgt!$G$77:$EH$77,MATCH('Venture Summary - Mthly'!BN5-INDEX('Venture Assumptions'!$J$6:$J$40,MATCH($B$2,'Venture Assumptions'!$I$6:$I$40,0)),OperBgt!$G$5:$EH$5,0))-INDEX(OperBgt!$G$78:$EH$78,MATCH('Venture Summary - Mthly'!BN5-INDEX('Venture Assumptions'!$J$6:$J$40,MATCH($B$2,'Venture Assumptions'!$I$6:$I$40,0)),OperBgt!$G$5:$EH$5,0)))),0)</f>
        <v>-168852.58708887224</v>
      </c>
      <c r="BO163" s="1151">
        <f>IFERROR(-((INDEX(OperBgt!$G$80:$EH$80,MATCH('Venture Summary - Mthly'!BO5-INDEX('Venture Assumptions'!$J$6:$J$40,MATCH($B$2,'Venture Assumptions'!$I$6:$I$40,0)),OperBgt!$G$5:$EH$5,0))-INDEX(OperBgt!$G$77:$EH$77,MATCH('Venture Summary - Mthly'!BO5-INDEX('Venture Assumptions'!$J$6:$J$40,MATCH($B$2,'Venture Assumptions'!$I$6:$I$40,0)),OperBgt!$G$5:$EH$5,0))-INDEX(OperBgt!$G$78:$EH$78,MATCH('Venture Summary - Mthly'!BO5-INDEX('Venture Assumptions'!$J$6:$J$40,MATCH($B$2,'Venture Assumptions'!$I$6:$I$40,0)),OperBgt!$G$5:$EH$5,0)))),0)</f>
        <v>-168852.58708887224</v>
      </c>
      <c r="BP163" s="1151">
        <f>IFERROR(-((INDEX(OperBgt!$G$80:$EH$80,MATCH('Venture Summary - Mthly'!BP5-INDEX('Venture Assumptions'!$J$6:$J$40,MATCH($B$2,'Venture Assumptions'!$I$6:$I$40,0)),OperBgt!$G$5:$EH$5,0))-INDEX(OperBgt!$G$77:$EH$77,MATCH('Venture Summary - Mthly'!BP5-INDEX('Venture Assumptions'!$J$6:$J$40,MATCH($B$2,'Venture Assumptions'!$I$6:$I$40,0)),OperBgt!$G$5:$EH$5,0))-INDEX(OperBgt!$G$78:$EH$78,MATCH('Venture Summary - Mthly'!BP5-INDEX('Venture Assumptions'!$J$6:$J$40,MATCH($B$2,'Venture Assumptions'!$I$6:$I$40,0)),OperBgt!$G$5:$EH$5,0)))),0)</f>
        <v>-168852.58708887224</v>
      </c>
      <c r="BQ163" s="1151">
        <f>IFERROR(-((INDEX(OperBgt!$G$80:$EH$80,MATCH('Venture Summary - Mthly'!BQ5-INDEX('Venture Assumptions'!$J$6:$J$40,MATCH($B$2,'Venture Assumptions'!$I$6:$I$40,0)),OperBgt!$G$5:$EH$5,0))-INDEX(OperBgt!$G$77:$EH$77,MATCH('Venture Summary - Mthly'!BQ5-INDEX('Venture Assumptions'!$J$6:$J$40,MATCH($B$2,'Venture Assumptions'!$I$6:$I$40,0)),OperBgt!$G$5:$EH$5,0))-INDEX(OperBgt!$G$78:$EH$78,MATCH('Venture Summary - Mthly'!BQ5-INDEX('Venture Assumptions'!$J$6:$J$40,MATCH($B$2,'Venture Assumptions'!$I$6:$I$40,0)),OperBgt!$G$5:$EH$5,0)))),0)</f>
        <v>-174138.94497076349</v>
      </c>
      <c r="BR163" s="1151">
        <f>IFERROR(-((INDEX(OperBgt!$G$80:$EH$80,MATCH('Venture Summary - Mthly'!BR5-INDEX('Venture Assumptions'!$J$6:$J$40,MATCH($B$2,'Venture Assumptions'!$I$6:$I$40,0)),OperBgt!$G$5:$EH$5,0))-INDEX(OperBgt!$G$77:$EH$77,MATCH('Venture Summary - Mthly'!BR5-INDEX('Venture Assumptions'!$J$6:$J$40,MATCH($B$2,'Venture Assumptions'!$I$6:$I$40,0)),OperBgt!$G$5:$EH$5,0))-INDEX(OperBgt!$G$78:$EH$78,MATCH('Venture Summary - Mthly'!BR5-INDEX('Venture Assumptions'!$J$6:$J$40,MATCH($B$2,'Venture Assumptions'!$I$6:$I$40,0)),OperBgt!$G$5:$EH$5,0)))),0)</f>
        <v>-174138.94497076346</v>
      </c>
      <c r="BS163" s="1151">
        <f>IFERROR(-((INDEX(OperBgt!$G$80:$EH$80,MATCH('Venture Summary - Mthly'!BS5-INDEX('Venture Assumptions'!$J$6:$J$40,MATCH($B$2,'Venture Assumptions'!$I$6:$I$40,0)),OperBgt!$G$5:$EH$5,0))-INDEX(OperBgt!$G$77:$EH$77,MATCH('Venture Summary - Mthly'!BS5-INDEX('Venture Assumptions'!$J$6:$J$40,MATCH($B$2,'Venture Assumptions'!$I$6:$I$40,0)),OperBgt!$G$5:$EH$5,0))-INDEX(OperBgt!$G$78:$EH$78,MATCH('Venture Summary - Mthly'!BS5-INDEX('Venture Assumptions'!$J$6:$J$40,MATCH($B$2,'Venture Assumptions'!$I$6:$I$40,0)),OperBgt!$G$5:$EH$5,0)))),0)</f>
        <v>-174138.94497076349</v>
      </c>
      <c r="BT163" s="1151">
        <f>IFERROR(-((INDEX(OperBgt!$G$80:$EH$80,MATCH('Venture Summary - Mthly'!BT5-INDEX('Venture Assumptions'!$J$6:$J$40,MATCH($B$2,'Venture Assumptions'!$I$6:$I$40,0)),OperBgt!$G$5:$EH$5,0))-INDEX(OperBgt!$G$77:$EH$77,MATCH('Venture Summary - Mthly'!BT5-INDEX('Venture Assumptions'!$J$6:$J$40,MATCH($B$2,'Venture Assumptions'!$I$6:$I$40,0)),OperBgt!$G$5:$EH$5,0))-INDEX(OperBgt!$G$78:$EH$78,MATCH('Venture Summary - Mthly'!BT5-INDEX('Venture Assumptions'!$J$6:$J$40,MATCH($B$2,'Venture Assumptions'!$I$6:$I$40,0)),OperBgt!$G$5:$EH$5,0)))),0)</f>
        <v>-174138.94497076352</v>
      </c>
      <c r="BU163" s="1151">
        <f>IFERROR(-((INDEX(OperBgt!$G$80:$EH$80,MATCH('Venture Summary - Mthly'!BU5-INDEX('Venture Assumptions'!$J$6:$J$40,MATCH($B$2,'Venture Assumptions'!$I$6:$I$40,0)),OperBgt!$G$5:$EH$5,0))-INDEX(OperBgt!$G$77:$EH$77,MATCH('Venture Summary - Mthly'!BU5-INDEX('Venture Assumptions'!$J$6:$J$40,MATCH($B$2,'Venture Assumptions'!$I$6:$I$40,0)),OperBgt!$G$5:$EH$5,0))-INDEX(OperBgt!$G$78:$EH$78,MATCH('Venture Summary - Mthly'!BU5-INDEX('Venture Assumptions'!$J$6:$J$40,MATCH($B$2,'Venture Assumptions'!$I$6:$I$40,0)),OperBgt!$G$5:$EH$5,0)))),0)</f>
        <v>-174138.94497076349</v>
      </c>
      <c r="BV163" s="1151">
        <f>IFERROR(-((INDEX(OperBgt!$G$80:$EH$80,MATCH('Venture Summary - Mthly'!BV5-INDEX('Venture Assumptions'!$J$6:$J$40,MATCH($B$2,'Venture Assumptions'!$I$6:$I$40,0)),OperBgt!$G$5:$EH$5,0))-INDEX(OperBgt!$G$77:$EH$77,MATCH('Venture Summary - Mthly'!BV5-INDEX('Venture Assumptions'!$J$6:$J$40,MATCH($B$2,'Venture Assumptions'!$I$6:$I$40,0)),OperBgt!$G$5:$EH$5,0))-INDEX(OperBgt!$G$78:$EH$78,MATCH('Venture Summary - Mthly'!BV5-INDEX('Venture Assumptions'!$J$6:$J$40,MATCH($B$2,'Venture Assumptions'!$I$6:$I$40,0)),OperBgt!$G$5:$EH$5,0)))),0)</f>
        <v>-174138.94497076349</v>
      </c>
      <c r="BW163" s="1151">
        <f>IFERROR(-((INDEX(OperBgt!$G$80:$EH$80,MATCH('Venture Summary - Mthly'!BW5-INDEX('Venture Assumptions'!$J$6:$J$40,MATCH($B$2,'Venture Assumptions'!$I$6:$I$40,0)),OperBgt!$G$5:$EH$5,0))-INDEX(OperBgt!$G$77:$EH$77,MATCH('Venture Summary - Mthly'!BW5-INDEX('Venture Assumptions'!$J$6:$J$40,MATCH($B$2,'Venture Assumptions'!$I$6:$I$40,0)),OperBgt!$G$5:$EH$5,0))-INDEX(OperBgt!$G$78:$EH$78,MATCH('Venture Summary - Mthly'!BW5-INDEX('Venture Assumptions'!$J$6:$J$40,MATCH($B$2,'Venture Assumptions'!$I$6:$I$40,0)),OperBgt!$G$5:$EH$5,0)))),0)</f>
        <v>-174138.94497076349</v>
      </c>
      <c r="BX163" s="1151">
        <f>IFERROR(-((INDEX(OperBgt!$G$80:$EH$80,MATCH('Venture Summary - Mthly'!BX5-INDEX('Venture Assumptions'!$J$6:$J$40,MATCH($B$2,'Venture Assumptions'!$I$6:$I$40,0)),OperBgt!$G$5:$EH$5,0))-INDEX(OperBgt!$G$77:$EH$77,MATCH('Venture Summary - Mthly'!BX5-INDEX('Venture Assumptions'!$J$6:$J$40,MATCH($B$2,'Venture Assumptions'!$I$6:$I$40,0)),OperBgt!$G$5:$EH$5,0))-INDEX(OperBgt!$G$78:$EH$78,MATCH('Venture Summary - Mthly'!BX5-INDEX('Venture Assumptions'!$J$6:$J$40,MATCH($B$2,'Venture Assumptions'!$I$6:$I$40,0)),OperBgt!$G$5:$EH$5,0)))),0)</f>
        <v>-174138.94497076349</v>
      </c>
      <c r="BY163" s="1151">
        <f>IFERROR(-((INDEX(OperBgt!$G$80:$EH$80,MATCH('Venture Summary - Mthly'!BY5-INDEX('Venture Assumptions'!$J$6:$J$40,MATCH($B$2,'Venture Assumptions'!$I$6:$I$40,0)),OperBgt!$G$5:$EH$5,0))-INDEX(OperBgt!$G$77:$EH$77,MATCH('Venture Summary - Mthly'!BY5-INDEX('Venture Assumptions'!$J$6:$J$40,MATCH($B$2,'Venture Assumptions'!$I$6:$I$40,0)),OperBgt!$G$5:$EH$5,0))-INDEX(OperBgt!$G$78:$EH$78,MATCH('Venture Summary - Mthly'!BY5-INDEX('Venture Assumptions'!$J$6:$J$40,MATCH($B$2,'Venture Assumptions'!$I$6:$I$40,0)),OperBgt!$G$5:$EH$5,0)))),0)</f>
        <v>-174138.94497076349</v>
      </c>
      <c r="BZ163" s="1151">
        <f>IFERROR(-((INDEX(OperBgt!$G$80:$EH$80,MATCH('Venture Summary - Mthly'!BZ5-INDEX('Venture Assumptions'!$J$6:$J$40,MATCH($B$2,'Venture Assumptions'!$I$6:$I$40,0)),OperBgt!$G$5:$EH$5,0))-INDEX(OperBgt!$G$77:$EH$77,MATCH('Venture Summary - Mthly'!BZ5-INDEX('Venture Assumptions'!$J$6:$J$40,MATCH($B$2,'Venture Assumptions'!$I$6:$I$40,0)),OperBgt!$G$5:$EH$5,0))-INDEX(OperBgt!$G$78:$EH$78,MATCH('Venture Summary - Mthly'!BZ5-INDEX('Venture Assumptions'!$J$6:$J$40,MATCH($B$2,'Venture Assumptions'!$I$6:$I$40,0)),OperBgt!$G$5:$EH$5,0)))),0)</f>
        <v>-174138.94497076349</v>
      </c>
      <c r="CA163" s="1151">
        <f>IFERROR(-((INDEX(OperBgt!$G$80:$EH$80,MATCH('Venture Summary - Mthly'!CA5-INDEX('Venture Assumptions'!$J$6:$J$40,MATCH($B$2,'Venture Assumptions'!$I$6:$I$40,0)),OperBgt!$G$5:$EH$5,0))-INDEX(OperBgt!$G$77:$EH$77,MATCH('Venture Summary - Mthly'!CA5-INDEX('Venture Assumptions'!$J$6:$J$40,MATCH($B$2,'Venture Assumptions'!$I$6:$I$40,0)),OperBgt!$G$5:$EH$5,0))-INDEX(OperBgt!$G$78:$EH$78,MATCH('Venture Summary - Mthly'!CA5-INDEX('Venture Assumptions'!$J$6:$J$40,MATCH($B$2,'Venture Assumptions'!$I$6:$I$40,0)),OperBgt!$G$5:$EH$5,0)))),0)</f>
        <v>-174138.94497076349</v>
      </c>
      <c r="CB163" s="1151">
        <f>IFERROR(-((INDEX(OperBgt!$G$80:$EH$80,MATCH('Venture Summary - Mthly'!CB5-INDEX('Venture Assumptions'!$J$6:$J$40,MATCH($B$2,'Venture Assumptions'!$I$6:$I$40,0)),OperBgt!$G$5:$EH$5,0))-INDEX(OperBgt!$G$77:$EH$77,MATCH('Venture Summary - Mthly'!CB5-INDEX('Venture Assumptions'!$J$6:$J$40,MATCH($B$2,'Venture Assumptions'!$I$6:$I$40,0)),OperBgt!$G$5:$EH$5,0))-INDEX(OperBgt!$G$78:$EH$78,MATCH('Venture Summary - Mthly'!CB5-INDEX('Venture Assumptions'!$J$6:$J$40,MATCH($B$2,'Venture Assumptions'!$I$6:$I$40,0)),OperBgt!$G$5:$EH$5,0)))),0)</f>
        <v>-174138.94497076349</v>
      </c>
      <c r="CC163" s="1151">
        <f>IFERROR(-((INDEX(OperBgt!$G$80:$EH$80,MATCH('Venture Summary - Mthly'!CC5-INDEX('Venture Assumptions'!$J$6:$J$40,MATCH($B$2,'Venture Assumptions'!$I$6:$I$40,0)),OperBgt!$G$5:$EH$5,0))-INDEX(OperBgt!$G$77:$EH$77,MATCH('Venture Summary - Mthly'!CC5-INDEX('Venture Assumptions'!$J$6:$J$40,MATCH($B$2,'Venture Assumptions'!$I$6:$I$40,0)),OperBgt!$G$5:$EH$5,0))-INDEX(OperBgt!$G$78:$EH$78,MATCH('Venture Summary - Mthly'!CC5-INDEX('Venture Assumptions'!$J$6:$J$40,MATCH($B$2,'Venture Assumptions'!$I$6:$I$40,0)),OperBgt!$G$5:$EH$5,0)))),0)</f>
        <v>-179599.35665238678</v>
      </c>
      <c r="CD163" s="1151">
        <f>IFERROR(-((INDEX(OperBgt!$G$80:$EH$80,MATCH('Venture Summary - Mthly'!CD5-INDEX('Venture Assumptions'!$J$6:$J$40,MATCH($B$2,'Venture Assumptions'!$I$6:$I$40,0)),OperBgt!$G$5:$EH$5,0))-INDEX(OperBgt!$G$77:$EH$77,MATCH('Venture Summary - Mthly'!CD5-INDEX('Venture Assumptions'!$J$6:$J$40,MATCH($B$2,'Venture Assumptions'!$I$6:$I$40,0)),OperBgt!$G$5:$EH$5,0))-INDEX(OperBgt!$G$78:$EH$78,MATCH('Venture Summary - Mthly'!CD5-INDEX('Venture Assumptions'!$J$6:$J$40,MATCH($B$2,'Venture Assumptions'!$I$6:$I$40,0)),OperBgt!$G$5:$EH$5,0)))),0)</f>
        <v>-179599.35665238678</v>
      </c>
      <c r="CE163" s="1151">
        <f>IFERROR(-((INDEX(OperBgt!$G$80:$EH$80,MATCH('Venture Summary - Mthly'!CE5-INDEX('Venture Assumptions'!$J$6:$J$40,MATCH($B$2,'Venture Assumptions'!$I$6:$I$40,0)),OperBgt!$G$5:$EH$5,0))-INDEX(OperBgt!$G$77:$EH$77,MATCH('Venture Summary - Mthly'!CE5-INDEX('Venture Assumptions'!$J$6:$J$40,MATCH($B$2,'Venture Assumptions'!$I$6:$I$40,0)),OperBgt!$G$5:$EH$5,0))-INDEX(OperBgt!$G$78:$EH$78,MATCH('Venture Summary - Mthly'!CE5-INDEX('Venture Assumptions'!$J$6:$J$40,MATCH($B$2,'Venture Assumptions'!$I$6:$I$40,0)),OperBgt!$G$5:$EH$5,0)))),0)</f>
        <v>-179599.35665238678</v>
      </c>
      <c r="CF163" s="1151">
        <f>IFERROR(-((INDEX(OperBgt!$G$80:$EH$80,MATCH('Venture Summary - Mthly'!CF5-INDEX('Venture Assumptions'!$J$6:$J$40,MATCH($B$2,'Venture Assumptions'!$I$6:$I$40,0)),OperBgt!$G$5:$EH$5,0))-INDEX(OperBgt!$G$77:$EH$77,MATCH('Venture Summary - Mthly'!CF5-INDEX('Venture Assumptions'!$J$6:$J$40,MATCH($B$2,'Venture Assumptions'!$I$6:$I$40,0)),OperBgt!$G$5:$EH$5,0))-INDEX(OperBgt!$G$78:$EH$78,MATCH('Venture Summary - Mthly'!CF5-INDEX('Venture Assumptions'!$J$6:$J$40,MATCH($B$2,'Venture Assumptions'!$I$6:$I$40,0)),OperBgt!$G$5:$EH$5,0)))),0)</f>
        <v>-179599.35665238678</v>
      </c>
      <c r="CG163" s="1151">
        <f>IFERROR(-((INDEX(OperBgt!$G$80:$EH$80,MATCH('Venture Summary - Mthly'!CG5-INDEX('Venture Assumptions'!$J$6:$J$40,MATCH($B$2,'Venture Assumptions'!$I$6:$I$40,0)),OperBgt!$G$5:$EH$5,0))-INDEX(OperBgt!$G$77:$EH$77,MATCH('Venture Summary - Mthly'!CG5-INDEX('Venture Assumptions'!$J$6:$J$40,MATCH($B$2,'Venture Assumptions'!$I$6:$I$40,0)),OperBgt!$G$5:$EH$5,0))-INDEX(OperBgt!$G$78:$EH$78,MATCH('Venture Summary - Mthly'!CG5-INDEX('Venture Assumptions'!$J$6:$J$40,MATCH($B$2,'Venture Assumptions'!$I$6:$I$40,0)),OperBgt!$G$5:$EH$5,0)))),0)</f>
        <v>-179599.35665238678</v>
      </c>
      <c r="CH163" s="1151">
        <f>IFERROR(-((INDEX(OperBgt!$G$80:$EH$80,MATCH('Venture Summary - Mthly'!CH5-INDEX('Venture Assumptions'!$J$6:$J$40,MATCH($B$2,'Venture Assumptions'!$I$6:$I$40,0)),OperBgt!$G$5:$EH$5,0))-INDEX(OperBgt!$G$77:$EH$77,MATCH('Venture Summary - Mthly'!CH5-INDEX('Venture Assumptions'!$J$6:$J$40,MATCH($B$2,'Venture Assumptions'!$I$6:$I$40,0)),OperBgt!$G$5:$EH$5,0))-INDEX(OperBgt!$G$78:$EH$78,MATCH('Venture Summary - Mthly'!CH5-INDEX('Venture Assumptions'!$J$6:$J$40,MATCH($B$2,'Venture Assumptions'!$I$6:$I$40,0)),OperBgt!$G$5:$EH$5,0)))),0)</f>
        <v>-179599.35665238678</v>
      </c>
      <c r="CI163" s="1151">
        <f>IFERROR(-((INDEX(OperBgt!$G$80:$EH$80,MATCH('Venture Summary - Mthly'!CI5-INDEX('Venture Assumptions'!$J$6:$J$40,MATCH($B$2,'Venture Assumptions'!$I$6:$I$40,0)),OperBgt!$G$5:$EH$5,0))-INDEX(OperBgt!$G$77:$EH$77,MATCH('Venture Summary - Mthly'!CI5-INDEX('Venture Assumptions'!$J$6:$J$40,MATCH($B$2,'Venture Assumptions'!$I$6:$I$40,0)),OperBgt!$G$5:$EH$5,0))-INDEX(OperBgt!$G$78:$EH$78,MATCH('Venture Summary - Mthly'!CI5-INDEX('Venture Assumptions'!$J$6:$J$40,MATCH($B$2,'Venture Assumptions'!$I$6:$I$40,0)),OperBgt!$G$5:$EH$5,0)))),0)</f>
        <v>-179599.35665238678</v>
      </c>
      <c r="CJ163" s="1151">
        <f>IFERROR(-((INDEX(OperBgt!$G$80:$EH$80,MATCH('Venture Summary - Mthly'!CJ5-INDEX('Venture Assumptions'!$J$6:$J$40,MATCH($B$2,'Venture Assumptions'!$I$6:$I$40,0)),OperBgt!$G$5:$EH$5,0))-INDEX(OperBgt!$G$77:$EH$77,MATCH('Venture Summary - Mthly'!CJ5-INDEX('Venture Assumptions'!$J$6:$J$40,MATCH($B$2,'Venture Assumptions'!$I$6:$I$40,0)),OperBgt!$G$5:$EH$5,0))-INDEX(OperBgt!$G$78:$EH$78,MATCH('Venture Summary - Mthly'!CJ5-INDEX('Venture Assumptions'!$J$6:$J$40,MATCH($B$2,'Venture Assumptions'!$I$6:$I$40,0)),OperBgt!$G$5:$EH$5,0)))),0)</f>
        <v>-179599.35665238678</v>
      </c>
      <c r="CK163" s="1151">
        <f>IFERROR(-((INDEX(OperBgt!$G$80:$EH$80,MATCH('Venture Summary - Mthly'!CK5-INDEX('Venture Assumptions'!$J$6:$J$40,MATCH($B$2,'Venture Assumptions'!$I$6:$I$40,0)),OperBgt!$G$5:$EH$5,0))-INDEX(OperBgt!$G$77:$EH$77,MATCH('Venture Summary - Mthly'!CK5-INDEX('Venture Assumptions'!$J$6:$J$40,MATCH($B$2,'Venture Assumptions'!$I$6:$I$40,0)),OperBgt!$G$5:$EH$5,0))-INDEX(OperBgt!$G$78:$EH$78,MATCH('Venture Summary - Mthly'!CK5-INDEX('Venture Assumptions'!$J$6:$J$40,MATCH($B$2,'Venture Assumptions'!$I$6:$I$40,0)),OperBgt!$G$5:$EH$5,0)))),0)</f>
        <v>-179599.35665238678</v>
      </c>
      <c r="CL163" s="1151">
        <f>IFERROR(-((INDEX(OperBgt!$G$80:$EH$80,MATCH('Venture Summary - Mthly'!CL5-INDEX('Venture Assumptions'!$J$6:$J$40,MATCH($B$2,'Venture Assumptions'!$I$6:$I$40,0)),OperBgt!$G$5:$EH$5,0))-INDEX(OperBgt!$G$77:$EH$77,MATCH('Venture Summary - Mthly'!CL5-INDEX('Venture Assumptions'!$J$6:$J$40,MATCH($B$2,'Venture Assumptions'!$I$6:$I$40,0)),OperBgt!$G$5:$EH$5,0))-INDEX(OperBgt!$G$78:$EH$78,MATCH('Venture Summary - Mthly'!CL5-INDEX('Venture Assumptions'!$J$6:$J$40,MATCH($B$2,'Venture Assumptions'!$I$6:$I$40,0)),OperBgt!$G$5:$EH$5,0)))),0)</f>
        <v>-179599.35665238678</v>
      </c>
      <c r="CM163" s="1151">
        <f>IFERROR(-((INDEX(OperBgt!$G$80:$EH$80,MATCH('Venture Summary - Mthly'!CM5-INDEX('Venture Assumptions'!$J$6:$J$40,MATCH($B$2,'Venture Assumptions'!$I$6:$I$40,0)),OperBgt!$G$5:$EH$5,0))-INDEX(OperBgt!$G$77:$EH$77,MATCH('Venture Summary - Mthly'!CM5-INDEX('Venture Assumptions'!$J$6:$J$40,MATCH($B$2,'Venture Assumptions'!$I$6:$I$40,0)),OperBgt!$G$5:$EH$5,0))-INDEX(OperBgt!$G$78:$EH$78,MATCH('Venture Summary - Mthly'!CM5-INDEX('Venture Assumptions'!$J$6:$J$40,MATCH($B$2,'Venture Assumptions'!$I$6:$I$40,0)),OperBgt!$G$5:$EH$5,0)))),0)</f>
        <v>-179599.35665238678</v>
      </c>
      <c r="CN163" s="1151">
        <f>IFERROR(-((INDEX(OperBgt!$G$80:$EH$80,MATCH('Venture Summary - Mthly'!CN5-INDEX('Venture Assumptions'!$J$6:$J$40,MATCH($B$2,'Venture Assumptions'!$I$6:$I$40,0)),OperBgt!$G$5:$EH$5,0))-INDEX(OperBgt!$G$77:$EH$77,MATCH('Venture Summary - Mthly'!CN5-INDEX('Venture Assumptions'!$J$6:$J$40,MATCH($B$2,'Venture Assumptions'!$I$6:$I$40,0)),OperBgt!$G$5:$EH$5,0))-INDEX(OperBgt!$G$78:$EH$78,MATCH('Venture Summary - Mthly'!CN5-INDEX('Venture Assumptions'!$J$6:$J$40,MATCH($B$2,'Venture Assumptions'!$I$6:$I$40,0)),OperBgt!$G$5:$EH$5,0)))),0)</f>
        <v>-179599.35665238678</v>
      </c>
      <c r="CO163" s="1151">
        <f>IFERROR(-((INDEX(OperBgt!$G$80:$EH$80,MATCH('Venture Summary - Mthly'!CO5-INDEX('Venture Assumptions'!$J$6:$J$40,MATCH($B$2,'Venture Assumptions'!$I$6:$I$40,0)),OperBgt!$G$5:$EH$5,0))-INDEX(OperBgt!$G$77:$EH$77,MATCH('Venture Summary - Mthly'!CO5-INDEX('Venture Assumptions'!$J$6:$J$40,MATCH($B$2,'Venture Assumptions'!$I$6:$I$40,0)),OperBgt!$G$5:$EH$5,0))-INDEX(OperBgt!$G$78:$EH$78,MATCH('Venture Summary - Mthly'!CO5-INDEX('Venture Assumptions'!$J$6:$J$40,MATCH($B$2,'Venture Assumptions'!$I$6:$I$40,0)),OperBgt!$G$5:$EH$5,0)))),0)</f>
        <v>-185240.37116491451</v>
      </c>
      <c r="CP163" s="1151">
        <f>IFERROR(-((INDEX(OperBgt!$G$80:$EH$80,MATCH('Venture Summary - Mthly'!CP5-INDEX('Venture Assumptions'!$J$6:$J$40,MATCH($B$2,'Venture Assumptions'!$I$6:$I$40,0)),OperBgt!$G$5:$EH$5,0))-INDEX(OperBgt!$G$77:$EH$77,MATCH('Venture Summary - Mthly'!CP5-INDEX('Venture Assumptions'!$J$6:$J$40,MATCH($B$2,'Venture Assumptions'!$I$6:$I$40,0)),OperBgt!$G$5:$EH$5,0))-INDEX(OperBgt!$G$78:$EH$78,MATCH('Venture Summary - Mthly'!CP5-INDEX('Venture Assumptions'!$J$6:$J$40,MATCH($B$2,'Venture Assumptions'!$I$6:$I$40,0)),OperBgt!$G$5:$EH$5,0)))),0)</f>
        <v>-185240.37116491451</v>
      </c>
      <c r="CQ163" s="1151">
        <f>IFERROR(-((INDEX(OperBgt!$G$80:$EH$80,MATCH('Venture Summary - Mthly'!CQ5-INDEX('Venture Assumptions'!$J$6:$J$40,MATCH($B$2,'Venture Assumptions'!$I$6:$I$40,0)),OperBgt!$G$5:$EH$5,0))-INDEX(OperBgt!$G$77:$EH$77,MATCH('Venture Summary - Mthly'!CQ5-INDEX('Venture Assumptions'!$J$6:$J$40,MATCH($B$2,'Venture Assumptions'!$I$6:$I$40,0)),OperBgt!$G$5:$EH$5,0))-INDEX(OperBgt!$G$78:$EH$78,MATCH('Venture Summary - Mthly'!CQ5-INDEX('Venture Assumptions'!$J$6:$J$40,MATCH($B$2,'Venture Assumptions'!$I$6:$I$40,0)),OperBgt!$G$5:$EH$5,0)))),0)</f>
        <v>-185240.37116491451</v>
      </c>
      <c r="CR163" s="1151">
        <f>IFERROR(-((INDEX(OperBgt!$G$80:$EH$80,MATCH('Venture Summary - Mthly'!CR5-INDEX('Venture Assumptions'!$J$6:$J$40,MATCH($B$2,'Venture Assumptions'!$I$6:$I$40,0)),OperBgt!$G$5:$EH$5,0))-INDEX(OperBgt!$G$77:$EH$77,MATCH('Venture Summary - Mthly'!CR5-INDEX('Venture Assumptions'!$J$6:$J$40,MATCH($B$2,'Venture Assumptions'!$I$6:$I$40,0)),OperBgt!$G$5:$EH$5,0))-INDEX(OperBgt!$G$78:$EH$78,MATCH('Venture Summary - Mthly'!CR5-INDEX('Venture Assumptions'!$J$6:$J$40,MATCH($B$2,'Venture Assumptions'!$I$6:$I$40,0)),OperBgt!$G$5:$EH$5,0)))),0)</f>
        <v>-185240.37116491451</v>
      </c>
      <c r="CS163" s="1151">
        <f>IFERROR(-((INDEX(OperBgt!$G$80:$EH$80,MATCH('Venture Summary - Mthly'!CS5-INDEX('Venture Assumptions'!$J$6:$J$40,MATCH($B$2,'Venture Assumptions'!$I$6:$I$40,0)),OperBgt!$G$5:$EH$5,0))-INDEX(OperBgt!$G$77:$EH$77,MATCH('Venture Summary - Mthly'!CS5-INDEX('Venture Assumptions'!$J$6:$J$40,MATCH($B$2,'Venture Assumptions'!$I$6:$I$40,0)),OperBgt!$G$5:$EH$5,0))-INDEX(OperBgt!$G$78:$EH$78,MATCH('Venture Summary - Mthly'!CS5-INDEX('Venture Assumptions'!$J$6:$J$40,MATCH($B$2,'Venture Assumptions'!$I$6:$I$40,0)),OperBgt!$G$5:$EH$5,0)))),0)</f>
        <v>-185240.37116491451</v>
      </c>
      <c r="CT163" s="1151">
        <f>IFERROR(-((INDEX(OperBgt!$G$80:$EH$80,MATCH('Venture Summary - Mthly'!CT5-INDEX('Venture Assumptions'!$J$6:$J$40,MATCH($B$2,'Venture Assumptions'!$I$6:$I$40,0)),OperBgt!$G$5:$EH$5,0))-INDEX(OperBgt!$G$77:$EH$77,MATCH('Venture Summary - Mthly'!CT5-INDEX('Venture Assumptions'!$J$6:$J$40,MATCH($B$2,'Venture Assumptions'!$I$6:$I$40,0)),OperBgt!$G$5:$EH$5,0))-INDEX(OperBgt!$G$78:$EH$78,MATCH('Venture Summary - Mthly'!CT5-INDEX('Venture Assumptions'!$J$6:$J$40,MATCH($B$2,'Venture Assumptions'!$I$6:$I$40,0)),OperBgt!$G$5:$EH$5,0)))),0)</f>
        <v>-185240.37116491451</v>
      </c>
      <c r="CU163" s="1151">
        <f>IFERROR(-((INDEX(OperBgt!$G$80:$EH$80,MATCH('Venture Summary - Mthly'!CU5-INDEX('Venture Assumptions'!$J$6:$J$40,MATCH($B$2,'Venture Assumptions'!$I$6:$I$40,0)),OperBgt!$G$5:$EH$5,0))-INDEX(OperBgt!$G$77:$EH$77,MATCH('Venture Summary - Mthly'!CU5-INDEX('Venture Assumptions'!$J$6:$J$40,MATCH($B$2,'Venture Assumptions'!$I$6:$I$40,0)),OperBgt!$G$5:$EH$5,0))-INDEX(OperBgt!$G$78:$EH$78,MATCH('Venture Summary - Mthly'!CU5-INDEX('Venture Assumptions'!$J$6:$J$40,MATCH($B$2,'Venture Assumptions'!$I$6:$I$40,0)),OperBgt!$G$5:$EH$5,0)))),0)</f>
        <v>-185240.37116491451</v>
      </c>
      <c r="CV163" s="1151">
        <f>IFERROR(-((INDEX(OperBgt!$G$80:$EH$80,MATCH('Venture Summary - Mthly'!CV5-INDEX('Venture Assumptions'!$J$6:$J$40,MATCH($B$2,'Venture Assumptions'!$I$6:$I$40,0)),OperBgt!$G$5:$EH$5,0))-INDEX(OperBgt!$G$77:$EH$77,MATCH('Venture Summary - Mthly'!CV5-INDEX('Venture Assumptions'!$J$6:$J$40,MATCH($B$2,'Venture Assumptions'!$I$6:$I$40,0)),OperBgt!$G$5:$EH$5,0))-INDEX(OperBgt!$G$78:$EH$78,MATCH('Venture Summary - Mthly'!CV5-INDEX('Venture Assumptions'!$J$6:$J$40,MATCH($B$2,'Venture Assumptions'!$I$6:$I$40,0)),OperBgt!$G$5:$EH$5,0)))),0)</f>
        <v>-185240.37116491451</v>
      </c>
      <c r="CW163" s="1151">
        <f>IFERROR(-((INDEX(OperBgt!$G$80:$EH$80,MATCH('Venture Summary - Mthly'!CW5-INDEX('Venture Assumptions'!$J$6:$J$40,MATCH($B$2,'Venture Assumptions'!$I$6:$I$40,0)),OperBgt!$G$5:$EH$5,0))-INDEX(OperBgt!$G$77:$EH$77,MATCH('Venture Summary - Mthly'!CW5-INDEX('Venture Assumptions'!$J$6:$J$40,MATCH($B$2,'Venture Assumptions'!$I$6:$I$40,0)),OperBgt!$G$5:$EH$5,0))-INDEX(OperBgt!$G$78:$EH$78,MATCH('Venture Summary - Mthly'!CW5-INDEX('Venture Assumptions'!$J$6:$J$40,MATCH($B$2,'Venture Assumptions'!$I$6:$I$40,0)),OperBgt!$G$5:$EH$5,0)))),0)</f>
        <v>-185240.37116491451</v>
      </c>
      <c r="CX163" s="1151">
        <f>IFERROR(-((INDEX(OperBgt!$G$80:$EH$80,MATCH('Venture Summary - Mthly'!CX5-INDEX('Venture Assumptions'!$J$6:$J$40,MATCH($B$2,'Venture Assumptions'!$I$6:$I$40,0)),OperBgt!$G$5:$EH$5,0))-INDEX(OperBgt!$G$77:$EH$77,MATCH('Venture Summary - Mthly'!CX5-INDEX('Venture Assumptions'!$J$6:$J$40,MATCH($B$2,'Venture Assumptions'!$I$6:$I$40,0)),OperBgt!$G$5:$EH$5,0))-INDEX(OperBgt!$G$78:$EH$78,MATCH('Venture Summary - Mthly'!CX5-INDEX('Venture Assumptions'!$J$6:$J$40,MATCH($B$2,'Venture Assumptions'!$I$6:$I$40,0)),OperBgt!$G$5:$EH$5,0)))),0)</f>
        <v>-185240.37116491451</v>
      </c>
      <c r="CY163" s="1151">
        <f>IFERROR(-((INDEX(OperBgt!$G$80:$EH$80,MATCH('Venture Summary - Mthly'!CY5-INDEX('Venture Assumptions'!$J$6:$J$40,MATCH($B$2,'Venture Assumptions'!$I$6:$I$40,0)),OperBgt!$G$5:$EH$5,0))-INDEX(OperBgt!$G$77:$EH$77,MATCH('Venture Summary - Mthly'!CY5-INDEX('Venture Assumptions'!$J$6:$J$40,MATCH($B$2,'Venture Assumptions'!$I$6:$I$40,0)),OperBgt!$G$5:$EH$5,0))-INDEX(OperBgt!$G$78:$EH$78,MATCH('Venture Summary - Mthly'!CY5-INDEX('Venture Assumptions'!$J$6:$J$40,MATCH($B$2,'Venture Assumptions'!$I$6:$I$40,0)),OperBgt!$G$5:$EH$5,0)))),0)</f>
        <v>-185240.37116491451</v>
      </c>
      <c r="CZ163" s="1151">
        <f>IFERROR(-((INDEX(OperBgt!$G$80:$EH$80,MATCH('Venture Summary - Mthly'!CZ5-INDEX('Venture Assumptions'!$J$6:$J$40,MATCH($B$2,'Venture Assumptions'!$I$6:$I$40,0)),OperBgt!$G$5:$EH$5,0))-INDEX(OperBgt!$G$77:$EH$77,MATCH('Venture Summary - Mthly'!CZ5-INDEX('Venture Assumptions'!$J$6:$J$40,MATCH($B$2,'Venture Assumptions'!$I$6:$I$40,0)),OperBgt!$G$5:$EH$5,0))-INDEX(OperBgt!$G$78:$EH$78,MATCH('Venture Summary - Mthly'!CZ5-INDEX('Venture Assumptions'!$J$6:$J$40,MATCH($B$2,'Venture Assumptions'!$I$6:$I$40,0)),OperBgt!$G$5:$EH$5,0)))),0)</f>
        <v>-185240.37116491451</v>
      </c>
      <c r="DA163" s="1151">
        <f>IFERROR(-((INDEX(OperBgt!$G$80:$EH$80,MATCH('Venture Summary - Mthly'!DA5-INDEX('Venture Assumptions'!$J$6:$J$40,MATCH($B$2,'Venture Assumptions'!$I$6:$I$40,0)),OperBgt!$G$5:$EH$5,0))-INDEX(OperBgt!$G$77:$EH$77,MATCH('Venture Summary - Mthly'!DA5-INDEX('Venture Assumptions'!$J$6:$J$40,MATCH($B$2,'Venture Assumptions'!$I$6:$I$40,0)),OperBgt!$G$5:$EH$5,0))-INDEX(OperBgt!$G$78:$EH$78,MATCH('Venture Summary - Mthly'!DA5-INDEX('Venture Assumptions'!$J$6:$J$40,MATCH($B$2,'Venture Assumptions'!$I$6:$I$40,0)),OperBgt!$G$5:$EH$5,0)))),0)</f>
        <v>-191068.85950913056</v>
      </c>
      <c r="DB163" s="1151">
        <f>IFERROR(-((INDEX(OperBgt!$G$80:$EH$80,MATCH('Venture Summary - Mthly'!DB5-INDEX('Venture Assumptions'!$J$6:$J$40,MATCH($B$2,'Venture Assumptions'!$I$6:$I$40,0)),OperBgt!$G$5:$EH$5,0))-INDEX(OperBgt!$G$77:$EH$77,MATCH('Venture Summary - Mthly'!DB5-INDEX('Venture Assumptions'!$J$6:$J$40,MATCH($B$2,'Venture Assumptions'!$I$6:$I$40,0)),OperBgt!$G$5:$EH$5,0))-INDEX(OperBgt!$G$78:$EH$78,MATCH('Venture Summary - Mthly'!DB5-INDEX('Venture Assumptions'!$J$6:$J$40,MATCH($B$2,'Venture Assumptions'!$I$6:$I$40,0)),OperBgt!$G$5:$EH$5,0)))),0)</f>
        <v>-191068.85950913056</v>
      </c>
      <c r="DC163" s="1151">
        <f>IFERROR(-((INDEX(OperBgt!$G$80:$EH$80,MATCH('Venture Summary - Mthly'!DC5-INDEX('Venture Assumptions'!$J$6:$J$40,MATCH($B$2,'Venture Assumptions'!$I$6:$I$40,0)),OperBgt!$G$5:$EH$5,0))-INDEX(OperBgt!$G$77:$EH$77,MATCH('Venture Summary - Mthly'!DC5-INDEX('Venture Assumptions'!$J$6:$J$40,MATCH($B$2,'Venture Assumptions'!$I$6:$I$40,0)),OperBgt!$G$5:$EH$5,0))-INDEX(OperBgt!$G$78:$EH$78,MATCH('Venture Summary - Mthly'!DC5-INDEX('Venture Assumptions'!$J$6:$J$40,MATCH($B$2,'Venture Assumptions'!$I$6:$I$40,0)),OperBgt!$G$5:$EH$5,0)))),0)</f>
        <v>-191068.85950913056</v>
      </c>
      <c r="DD163" s="1151">
        <f>IFERROR(-((INDEX(OperBgt!$G$80:$EH$80,MATCH('Venture Summary - Mthly'!DD5-INDEX('Venture Assumptions'!$J$6:$J$40,MATCH($B$2,'Venture Assumptions'!$I$6:$I$40,0)),OperBgt!$G$5:$EH$5,0))-INDEX(OperBgt!$G$77:$EH$77,MATCH('Venture Summary - Mthly'!DD5-INDEX('Venture Assumptions'!$J$6:$J$40,MATCH($B$2,'Venture Assumptions'!$I$6:$I$40,0)),OperBgt!$G$5:$EH$5,0))-INDEX(OperBgt!$G$78:$EH$78,MATCH('Venture Summary - Mthly'!DD5-INDEX('Venture Assumptions'!$J$6:$J$40,MATCH($B$2,'Venture Assumptions'!$I$6:$I$40,0)),OperBgt!$G$5:$EH$5,0)))),0)</f>
        <v>-191068.85950913056</v>
      </c>
      <c r="DE163" s="1151">
        <f>IFERROR(-((INDEX(OperBgt!$G$80:$EH$80,MATCH('Venture Summary - Mthly'!DE5-INDEX('Venture Assumptions'!$J$6:$J$40,MATCH($B$2,'Venture Assumptions'!$I$6:$I$40,0)),OperBgt!$G$5:$EH$5,0))-INDEX(OperBgt!$G$77:$EH$77,MATCH('Venture Summary - Mthly'!DE5-INDEX('Venture Assumptions'!$J$6:$J$40,MATCH($B$2,'Venture Assumptions'!$I$6:$I$40,0)),OperBgt!$G$5:$EH$5,0))-INDEX(OperBgt!$G$78:$EH$78,MATCH('Venture Summary - Mthly'!DE5-INDEX('Venture Assumptions'!$J$6:$J$40,MATCH($B$2,'Venture Assumptions'!$I$6:$I$40,0)),OperBgt!$G$5:$EH$5,0)))),0)</f>
        <v>-191068.85950913056</v>
      </c>
      <c r="DF163" s="1151">
        <f>IFERROR(-((INDEX(OperBgt!$G$80:$EH$80,MATCH('Venture Summary - Mthly'!DF5-INDEX('Venture Assumptions'!$J$6:$J$40,MATCH($B$2,'Venture Assumptions'!$I$6:$I$40,0)),OperBgt!$G$5:$EH$5,0))-INDEX(OperBgt!$G$77:$EH$77,MATCH('Venture Summary - Mthly'!DF5-INDEX('Venture Assumptions'!$J$6:$J$40,MATCH($B$2,'Venture Assumptions'!$I$6:$I$40,0)),OperBgt!$G$5:$EH$5,0))-INDEX(OperBgt!$G$78:$EH$78,MATCH('Venture Summary - Mthly'!DF5-INDEX('Venture Assumptions'!$J$6:$J$40,MATCH($B$2,'Venture Assumptions'!$I$6:$I$40,0)),OperBgt!$G$5:$EH$5,0)))),0)</f>
        <v>-191068.85950913056</v>
      </c>
      <c r="DG163" s="1151">
        <f>IFERROR(-((INDEX(OperBgt!$G$80:$EH$80,MATCH('Venture Summary - Mthly'!DG5-INDEX('Venture Assumptions'!$J$6:$J$40,MATCH($B$2,'Venture Assumptions'!$I$6:$I$40,0)),OperBgt!$G$5:$EH$5,0))-INDEX(OperBgt!$G$77:$EH$77,MATCH('Venture Summary - Mthly'!DG5-INDEX('Venture Assumptions'!$J$6:$J$40,MATCH($B$2,'Venture Assumptions'!$I$6:$I$40,0)),OperBgt!$G$5:$EH$5,0))-INDEX(OperBgt!$G$78:$EH$78,MATCH('Venture Summary - Mthly'!DG5-INDEX('Venture Assumptions'!$J$6:$J$40,MATCH($B$2,'Venture Assumptions'!$I$6:$I$40,0)),OperBgt!$G$5:$EH$5,0)))),0)</f>
        <v>-191068.85950913056</v>
      </c>
      <c r="DH163" s="1151">
        <f>IFERROR(-((INDEX(OperBgt!$G$80:$EH$80,MATCH('Venture Summary - Mthly'!DH5-INDEX('Venture Assumptions'!$J$6:$J$40,MATCH($B$2,'Venture Assumptions'!$I$6:$I$40,0)),OperBgt!$G$5:$EH$5,0))-INDEX(OperBgt!$G$77:$EH$77,MATCH('Venture Summary - Mthly'!DH5-INDEX('Venture Assumptions'!$J$6:$J$40,MATCH($B$2,'Venture Assumptions'!$I$6:$I$40,0)),OperBgt!$G$5:$EH$5,0))-INDEX(OperBgt!$G$78:$EH$78,MATCH('Venture Summary - Mthly'!DH5-INDEX('Venture Assumptions'!$J$6:$J$40,MATCH($B$2,'Venture Assumptions'!$I$6:$I$40,0)),OperBgt!$G$5:$EH$5,0)))),0)</f>
        <v>-191068.85950913056</v>
      </c>
      <c r="DI163" s="1151">
        <f>IFERROR(-((INDEX(OperBgt!$G$80:$EH$80,MATCH('Venture Summary - Mthly'!DI5-INDEX('Venture Assumptions'!$J$6:$J$40,MATCH($B$2,'Venture Assumptions'!$I$6:$I$40,0)),OperBgt!$G$5:$EH$5,0))-INDEX(OperBgt!$G$77:$EH$77,MATCH('Venture Summary - Mthly'!DI5-INDEX('Venture Assumptions'!$J$6:$J$40,MATCH($B$2,'Venture Assumptions'!$I$6:$I$40,0)),OperBgt!$G$5:$EH$5,0))-INDEX(OperBgt!$G$78:$EH$78,MATCH('Venture Summary - Mthly'!DI5-INDEX('Venture Assumptions'!$J$6:$J$40,MATCH($B$2,'Venture Assumptions'!$I$6:$I$40,0)),OperBgt!$G$5:$EH$5,0)))),0)</f>
        <v>-191068.85950913056</v>
      </c>
      <c r="DJ163" s="1151">
        <f>IFERROR(-((INDEX(OperBgt!$G$80:$EH$80,MATCH('Venture Summary - Mthly'!DJ5-INDEX('Venture Assumptions'!$J$6:$J$40,MATCH($B$2,'Venture Assumptions'!$I$6:$I$40,0)),OperBgt!$G$5:$EH$5,0))-INDEX(OperBgt!$G$77:$EH$77,MATCH('Venture Summary - Mthly'!DJ5-INDEX('Venture Assumptions'!$J$6:$J$40,MATCH($B$2,'Venture Assumptions'!$I$6:$I$40,0)),OperBgt!$G$5:$EH$5,0))-INDEX(OperBgt!$G$78:$EH$78,MATCH('Venture Summary - Mthly'!DJ5-INDEX('Venture Assumptions'!$J$6:$J$40,MATCH($B$2,'Venture Assumptions'!$I$6:$I$40,0)),OperBgt!$G$5:$EH$5,0)))),0)</f>
        <v>-191068.85950913056</v>
      </c>
      <c r="DK163" s="1151">
        <f>IFERROR(-((INDEX(OperBgt!$G$80:$EH$80,MATCH('Venture Summary - Mthly'!DK5-INDEX('Venture Assumptions'!$J$6:$J$40,MATCH($B$2,'Venture Assumptions'!$I$6:$I$40,0)),OperBgt!$G$5:$EH$5,0))-INDEX(OperBgt!$G$77:$EH$77,MATCH('Venture Summary - Mthly'!DK5-INDEX('Venture Assumptions'!$J$6:$J$40,MATCH($B$2,'Venture Assumptions'!$I$6:$I$40,0)),OperBgt!$G$5:$EH$5,0))-INDEX(OperBgt!$G$78:$EH$78,MATCH('Venture Summary - Mthly'!DK5-INDEX('Venture Assumptions'!$J$6:$J$40,MATCH($B$2,'Venture Assumptions'!$I$6:$I$40,0)),OperBgt!$G$5:$EH$5,0)))),0)</f>
        <v>-191068.85950913056</v>
      </c>
      <c r="DL163" s="1151">
        <f>IFERROR(-((INDEX(OperBgt!$G$80:$EH$80,MATCH('Venture Summary - Mthly'!DL5-INDEX('Venture Assumptions'!$J$6:$J$40,MATCH($B$2,'Venture Assumptions'!$I$6:$I$40,0)),OperBgt!$G$5:$EH$5,0))-INDEX(OperBgt!$G$77:$EH$77,MATCH('Venture Summary - Mthly'!DL5-INDEX('Venture Assumptions'!$J$6:$J$40,MATCH($B$2,'Venture Assumptions'!$I$6:$I$40,0)),OperBgt!$G$5:$EH$5,0))-INDEX(OperBgt!$G$78:$EH$78,MATCH('Venture Summary - Mthly'!DL5-INDEX('Venture Assumptions'!$J$6:$J$40,MATCH($B$2,'Venture Assumptions'!$I$6:$I$40,0)),OperBgt!$G$5:$EH$5,0)))),0)</f>
        <v>-191068.85950913056</v>
      </c>
      <c r="DM163" s="1151">
        <f>IFERROR(-((INDEX(OperBgt!$G$80:$EH$80,MATCH('Venture Summary - Mthly'!DM5-INDEX('Venture Assumptions'!$J$6:$J$40,MATCH($B$2,'Venture Assumptions'!$I$6:$I$40,0)),OperBgt!$G$5:$EH$5,0))-INDEX(OperBgt!$G$77:$EH$77,MATCH('Venture Summary - Mthly'!DM5-INDEX('Venture Assumptions'!$J$6:$J$40,MATCH($B$2,'Venture Assumptions'!$I$6:$I$40,0)),OperBgt!$G$5:$EH$5,0))-INDEX(OperBgt!$G$78:$EH$78,MATCH('Venture Summary - Mthly'!DM5-INDEX('Venture Assumptions'!$J$6:$J$40,MATCH($B$2,'Venture Assumptions'!$I$6:$I$40,0)),OperBgt!$G$5:$EH$5,0)))),0)</f>
        <v>-197092.03662471354</v>
      </c>
      <c r="DN163" s="1151">
        <f>IFERROR(-((INDEX(OperBgt!$G$80:$EH$80,MATCH('Venture Summary - Mthly'!DN5-INDEX('Venture Assumptions'!$J$6:$J$40,MATCH($B$2,'Venture Assumptions'!$I$6:$I$40,0)),OperBgt!$G$5:$EH$5,0))-INDEX(OperBgt!$G$77:$EH$77,MATCH('Venture Summary - Mthly'!DN5-INDEX('Venture Assumptions'!$J$6:$J$40,MATCH($B$2,'Venture Assumptions'!$I$6:$I$40,0)),OperBgt!$G$5:$EH$5,0))-INDEX(OperBgt!$G$78:$EH$78,MATCH('Venture Summary - Mthly'!DN5-INDEX('Venture Assumptions'!$J$6:$J$40,MATCH($B$2,'Venture Assumptions'!$I$6:$I$40,0)),OperBgt!$G$5:$EH$5,0)))),0)</f>
        <v>-197092.03662471354</v>
      </c>
      <c r="DO163" s="1151">
        <f>IFERROR(-((INDEX(OperBgt!$G$80:$EH$80,MATCH('Venture Summary - Mthly'!DO5-INDEX('Venture Assumptions'!$J$6:$J$40,MATCH($B$2,'Venture Assumptions'!$I$6:$I$40,0)),OperBgt!$G$5:$EH$5,0))-INDEX(OperBgt!$G$77:$EH$77,MATCH('Venture Summary - Mthly'!DO5-INDEX('Venture Assumptions'!$J$6:$J$40,MATCH($B$2,'Venture Assumptions'!$I$6:$I$40,0)),OperBgt!$G$5:$EH$5,0))-INDEX(OperBgt!$G$78:$EH$78,MATCH('Venture Summary - Mthly'!DO5-INDEX('Venture Assumptions'!$J$6:$J$40,MATCH($B$2,'Venture Assumptions'!$I$6:$I$40,0)),OperBgt!$G$5:$EH$5,0)))),0)</f>
        <v>-197092.03662471354</v>
      </c>
      <c r="DP163" s="1151">
        <f>IFERROR(-((INDEX(OperBgt!$G$80:$EH$80,MATCH('Venture Summary - Mthly'!DP5-INDEX('Venture Assumptions'!$J$6:$J$40,MATCH($B$2,'Venture Assumptions'!$I$6:$I$40,0)),OperBgt!$G$5:$EH$5,0))-INDEX(OperBgt!$G$77:$EH$77,MATCH('Venture Summary - Mthly'!DP5-INDEX('Venture Assumptions'!$J$6:$J$40,MATCH($B$2,'Venture Assumptions'!$I$6:$I$40,0)),OperBgt!$G$5:$EH$5,0))-INDEX(OperBgt!$G$78:$EH$78,MATCH('Venture Summary - Mthly'!DP5-INDEX('Venture Assumptions'!$J$6:$J$40,MATCH($B$2,'Venture Assumptions'!$I$6:$I$40,0)),OperBgt!$G$5:$EH$5,0)))),0)</f>
        <v>-197092.03662471354</v>
      </c>
      <c r="DQ163" s="1151">
        <f>IFERROR(-((INDEX(OperBgt!$G$80:$EH$80,MATCH('Venture Summary - Mthly'!DQ5-INDEX('Venture Assumptions'!$J$6:$J$40,MATCH($B$2,'Venture Assumptions'!$I$6:$I$40,0)),OperBgt!$G$5:$EH$5,0))-INDEX(OperBgt!$G$77:$EH$77,MATCH('Venture Summary - Mthly'!DQ5-INDEX('Venture Assumptions'!$J$6:$J$40,MATCH($B$2,'Venture Assumptions'!$I$6:$I$40,0)),OperBgt!$G$5:$EH$5,0))-INDEX(OperBgt!$G$78:$EH$78,MATCH('Venture Summary - Mthly'!DQ5-INDEX('Venture Assumptions'!$J$6:$J$40,MATCH($B$2,'Venture Assumptions'!$I$6:$I$40,0)),OperBgt!$G$5:$EH$5,0)))),0)</f>
        <v>-197092.03662471354</v>
      </c>
      <c r="DR163" s="1151">
        <f>IFERROR(-((INDEX(OperBgt!$G$80:$EH$80,MATCH('Venture Summary - Mthly'!DR5-INDEX('Venture Assumptions'!$J$6:$J$40,MATCH($B$2,'Venture Assumptions'!$I$6:$I$40,0)),OperBgt!$G$5:$EH$5,0))-INDEX(OperBgt!$G$77:$EH$77,MATCH('Venture Summary - Mthly'!DR5-INDEX('Venture Assumptions'!$J$6:$J$40,MATCH($B$2,'Venture Assumptions'!$I$6:$I$40,0)),OperBgt!$G$5:$EH$5,0))-INDEX(OperBgt!$G$78:$EH$78,MATCH('Venture Summary - Mthly'!DR5-INDEX('Venture Assumptions'!$J$6:$J$40,MATCH($B$2,'Venture Assumptions'!$I$6:$I$40,0)),OperBgt!$G$5:$EH$5,0)))),0)</f>
        <v>-197092.03662471354</v>
      </c>
      <c r="DS163" s="1151">
        <f>IFERROR(-((INDEX(OperBgt!$G$80:$EH$80,MATCH('Venture Summary - Mthly'!DS5-INDEX('Venture Assumptions'!$J$6:$J$40,MATCH($B$2,'Venture Assumptions'!$I$6:$I$40,0)),OperBgt!$G$5:$EH$5,0))-INDEX(OperBgt!$G$77:$EH$77,MATCH('Venture Summary - Mthly'!DS5-INDEX('Venture Assumptions'!$J$6:$J$40,MATCH($B$2,'Venture Assumptions'!$I$6:$I$40,0)),OperBgt!$G$5:$EH$5,0))-INDEX(OperBgt!$G$78:$EH$78,MATCH('Venture Summary - Mthly'!DS5-INDEX('Venture Assumptions'!$J$6:$J$40,MATCH($B$2,'Venture Assumptions'!$I$6:$I$40,0)),OperBgt!$G$5:$EH$5,0)))),0)</f>
        <v>-197092.03662471351</v>
      </c>
      <c r="DT163" s="1151">
        <f>IFERROR(-((INDEX(OperBgt!$G$80:$EH$80,MATCH('Venture Summary - Mthly'!DT5-INDEX('Venture Assumptions'!$J$6:$J$40,MATCH($B$2,'Venture Assumptions'!$I$6:$I$40,0)),OperBgt!$G$5:$EH$5,0))-INDEX(OperBgt!$G$77:$EH$77,MATCH('Venture Summary - Mthly'!DT5-INDEX('Venture Assumptions'!$J$6:$J$40,MATCH($B$2,'Venture Assumptions'!$I$6:$I$40,0)),OperBgt!$G$5:$EH$5,0))-INDEX(OperBgt!$G$78:$EH$78,MATCH('Venture Summary - Mthly'!DT5-INDEX('Venture Assumptions'!$J$6:$J$40,MATCH($B$2,'Venture Assumptions'!$I$6:$I$40,0)),OperBgt!$G$5:$EH$5,0)))),0)</f>
        <v>-197092.03662471351</v>
      </c>
      <c r="DU163" s="1151">
        <f>IFERROR(-((INDEX(OperBgt!$G$80:$EH$80,MATCH('Venture Summary - Mthly'!DU5-INDEX('Venture Assumptions'!$J$6:$J$40,MATCH($B$2,'Venture Assumptions'!$I$6:$I$40,0)),OperBgt!$G$5:$EH$5,0))-INDEX(OperBgt!$G$77:$EH$77,MATCH('Venture Summary - Mthly'!DU5-INDEX('Venture Assumptions'!$J$6:$J$40,MATCH($B$2,'Venture Assumptions'!$I$6:$I$40,0)),OperBgt!$G$5:$EH$5,0))-INDEX(OperBgt!$G$78:$EH$78,MATCH('Venture Summary - Mthly'!DU5-INDEX('Venture Assumptions'!$J$6:$J$40,MATCH($B$2,'Venture Assumptions'!$I$6:$I$40,0)),OperBgt!$G$5:$EH$5,0)))),0)</f>
        <v>-197092.03662471357</v>
      </c>
      <c r="DV163" s="1151">
        <f>IFERROR(-((INDEX(OperBgt!$G$80:$EH$80,MATCH('Venture Summary - Mthly'!DV5-INDEX('Venture Assumptions'!$J$6:$J$40,MATCH($B$2,'Venture Assumptions'!$I$6:$I$40,0)),OperBgt!$G$5:$EH$5,0))-INDEX(OperBgt!$G$77:$EH$77,MATCH('Venture Summary - Mthly'!DV5-INDEX('Venture Assumptions'!$J$6:$J$40,MATCH($B$2,'Venture Assumptions'!$I$6:$I$40,0)),OperBgt!$G$5:$EH$5,0))-INDEX(OperBgt!$G$78:$EH$78,MATCH('Venture Summary - Mthly'!DV5-INDEX('Venture Assumptions'!$J$6:$J$40,MATCH($B$2,'Venture Assumptions'!$I$6:$I$40,0)),OperBgt!$G$5:$EH$5,0)))),0)</f>
        <v>-197092.03662471354</v>
      </c>
      <c r="DW163" s="1151">
        <f>IFERROR(-((INDEX(OperBgt!$G$80:$EH$80,MATCH('Venture Summary - Mthly'!DW5-INDEX('Venture Assumptions'!$J$6:$J$40,MATCH($B$2,'Venture Assumptions'!$I$6:$I$40,0)),OperBgt!$G$5:$EH$5,0))-INDEX(OperBgt!$G$77:$EH$77,MATCH('Venture Summary - Mthly'!DW5-INDEX('Venture Assumptions'!$J$6:$J$40,MATCH($B$2,'Venture Assumptions'!$I$6:$I$40,0)),OperBgt!$G$5:$EH$5,0))-INDEX(OperBgt!$G$78:$EH$78,MATCH('Venture Summary - Mthly'!DW5-INDEX('Venture Assumptions'!$J$6:$J$40,MATCH($B$2,'Venture Assumptions'!$I$6:$I$40,0)),OperBgt!$G$5:$EH$5,0)))),0)</f>
        <v>-197092.03662471354</v>
      </c>
      <c r="DX163" s="1151">
        <f>IFERROR(-((INDEX(OperBgt!$G$80:$EH$80,MATCH('Venture Summary - Mthly'!DX5-INDEX('Venture Assumptions'!$J$6:$J$40,MATCH($B$2,'Venture Assumptions'!$I$6:$I$40,0)),OperBgt!$G$5:$EH$5,0))-INDEX(OperBgt!$G$77:$EH$77,MATCH('Venture Summary - Mthly'!DX5-INDEX('Venture Assumptions'!$J$6:$J$40,MATCH($B$2,'Venture Assumptions'!$I$6:$I$40,0)),OperBgt!$G$5:$EH$5,0))-INDEX(OperBgt!$G$78:$EH$78,MATCH('Venture Summary - Mthly'!DX5-INDEX('Venture Assumptions'!$J$6:$J$40,MATCH($B$2,'Venture Assumptions'!$I$6:$I$40,0)),OperBgt!$G$5:$EH$5,0)))),0)</f>
        <v>-197092.03662471354</v>
      </c>
      <c r="DY163" s="1151">
        <f>IFERROR(-((INDEX(OperBgt!$G$80:$EH$80,MATCH('Venture Summary - Mthly'!DY5-INDEX('Venture Assumptions'!$J$6:$J$40,MATCH($B$2,'Venture Assumptions'!$I$6:$I$40,0)),OperBgt!$G$5:$EH$5,0))-INDEX(OperBgt!$G$77:$EH$77,MATCH('Venture Summary - Mthly'!DY5-INDEX('Venture Assumptions'!$J$6:$J$40,MATCH($B$2,'Venture Assumptions'!$I$6:$I$40,0)),OperBgt!$G$5:$EH$5,0))-INDEX(OperBgt!$G$78:$EH$78,MATCH('Venture Summary - Mthly'!DY5-INDEX('Venture Assumptions'!$J$6:$J$40,MATCH($B$2,'Venture Assumptions'!$I$6:$I$40,0)),OperBgt!$G$5:$EH$5,0)))),0)</f>
        <v>-203317.48524168835</v>
      </c>
      <c r="DZ163" s="1151">
        <f>IFERROR(-((INDEX(OperBgt!$G$80:$EH$80,MATCH('Venture Summary - Mthly'!DZ5-INDEX('Venture Assumptions'!$J$6:$J$40,MATCH($B$2,'Venture Assumptions'!$I$6:$I$40,0)),OperBgt!$G$5:$EH$5,0))-INDEX(OperBgt!$G$77:$EH$77,MATCH('Venture Summary - Mthly'!DZ5-INDEX('Venture Assumptions'!$J$6:$J$40,MATCH($B$2,'Venture Assumptions'!$I$6:$I$40,0)),OperBgt!$G$5:$EH$5,0))-INDEX(OperBgt!$G$78:$EH$78,MATCH('Venture Summary - Mthly'!DZ5-INDEX('Venture Assumptions'!$J$6:$J$40,MATCH($B$2,'Venture Assumptions'!$I$6:$I$40,0)),OperBgt!$G$5:$EH$5,0)))),0)</f>
        <v>-203317.48524168835</v>
      </c>
      <c r="EA163" s="1151">
        <f>IFERROR(-((INDEX(OperBgt!$G$80:$EH$80,MATCH('Venture Summary - Mthly'!EA5-INDEX('Venture Assumptions'!$J$6:$J$40,MATCH($B$2,'Venture Assumptions'!$I$6:$I$40,0)),OperBgt!$G$5:$EH$5,0))-INDEX(OperBgt!$G$77:$EH$77,MATCH('Venture Summary - Mthly'!EA5-INDEX('Venture Assumptions'!$J$6:$J$40,MATCH($B$2,'Venture Assumptions'!$I$6:$I$40,0)),OperBgt!$G$5:$EH$5,0))-INDEX(OperBgt!$G$78:$EH$78,MATCH('Venture Summary - Mthly'!EA5-INDEX('Venture Assumptions'!$J$6:$J$40,MATCH($B$2,'Venture Assumptions'!$I$6:$I$40,0)),OperBgt!$G$5:$EH$5,0)))),0)</f>
        <v>-203317.48524168835</v>
      </c>
      <c r="EB163" s="1151">
        <f>IFERROR(-((INDEX(OperBgt!$G$80:$EH$80,MATCH('Venture Summary - Mthly'!EB5-INDEX('Venture Assumptions'!$J$6:$J$40,MATCH($B$2,'Venture Assumptions'!$I$6:$I$40,0)),OperBgt!$G$5:$EH$5,0))-INDEX(OperBgt!$G$77:$EH$77,MATCH('Venture Summary - Mthly'!EB5-INDEX('Venture Assumptions'!$J$6:$J$40,MATCH($B$2,'Venture Assumptions'!$I$6:$I$40,0)),OperBgt!$G$5:$EH$5,0))-INDEX(OperBgt!$G$78:$EH$78,MATCH('Venture Summary - Mthly'!EB5-INDEX('Venture Assumptions'!$J$6:$J$40,MATCH($B$2,'Venture Assumptions'!$I$6:$I$40,0)),OperBgt!$G$5:$EH$5,0)))),0)</f>
        <v>-203317.48524168835</v>
      </c>
      <c r="EC163" s="1151">
        <f>IFERROR(-((INDEX(OperBgt!$G$80:$EH$80,MATCH('Venture Summary - Mthly'!EC5-INDEX('Venture Assumptions'!$J$6:$J$40,MATCH($B$2,'Venture Assumptions'!$I$6:$I$40,0)),OperBgt!$G$5:$EH$5,0))-INDEX(OperBgt!$G$77:$EH$77,MATCH('Venture Summary - Mthly'!EC5-INDEX('Venture Assumptions'!$J$6:$J$40,MATCH($B$2,'Venture Assumptions'!$I$6:$I$40,0)),OperBgt!$G$5:$EH$5,0))-INDEX(OperBgt!$G$78:$EH$78,MATCH('Venture Summary - Mthly'!EC5-INDEX('Venture Assumptions'!$J$6:$J$40,MATCH($B$2,'Venture Assumptions'!$I$6:$I$40,0)),OperBgt!$G$5:$EH$5,0)))),0)</f>
        <v>-203317.48524168835</v>
      </c>
      <c r="ED163" s="1151">
        <f>IFERROR(-((INDEX(OperBgt!$G$80:$EH$80,MATCH('Venture Summary - Mthly'!ED5-INDEX('Venture Assumptions'!$J$6:$J$40,MATCH($B$2,'Venture Assumptions'!$I$6:$I$40,0)),OperBgt!$G$5:$EH$5,0))-INDEX(OperBgt!$G$77:$EH$77,MATCH('Venture Summary - Mthly'!ED5-INDEX('Venture Assumptions'!$J$6:$J$40,MATCH($B$2,'Venture Assumptions'!$I$6:$I$40,0)),OperBgt!$G$5:$EH$5,0))-INDEX(OperBgt!$G$78:$EH$78,MATCH('Venture Summary - Mthly'!ED5-INDEX('Venture Assumptions'!$J$6:$J$40,MATCH($B$2,'Venture Assumptions'!$I$6:$I$40,0)),OperBgt!$G$5:$EH$5,0)))),0)</f>
        <v>-203317.48524168835</v>
      </c>
      <c r="EE163" s="1151">
        <f>IFERROR(-((INDEX(OperBgt!$G$80:$EH$80,MATCH('Venture Summary - Mthly'!EE5-INDEX('Venture Assumptions'!$J$6:$J$40,MATCH($B$2,'Venture Assumptions'!$I$6:$I$40,0)),OperBgt!$G$5:$EH$5,0))-INDEX(OperBgt!$G$77:$EH$77,MATCH('Venture Summary - Mthly'!EE5-INDEX('Venture Assumptions'!$J$6:$J$40,MATCH($B$2,'Venture Assumptions'!$I$6:$I$40,0)),OperBgt!$G$5:$EH$5,0))-INDEX(OperBgt!$G$78:$EH$78,MATCH('Venture Summary - Mthly'!EE5-INDEX('Venture Assumptions'!$J$6:$J$40,MATCH($B$2,'Venture Assumptions'!$I$6:$I$40,0)),OperBgt!$G$5:$EH$5,0)))),0)</f>
        <v>-203317.48524168835</v>
      </c>
      <c r="EF163" s="1151">
        <f>IFERROR(-((INDEX(OperBgt!$G$80:$EH$80,MATCH('Venture Summary - Mthly'!EF5-INDEX('Venture Assumptions'!$J$6:$J$40,MATCH($B$2,'Venture Assumptions'!$I$6:$I$40,0)),OperBgt!$G$5:$EH$5,0))-INDEX(OperBgt!$G$77:$EH$77,MATCH('Venture Summary - Mthly'!EF5-INDEX('Venture Assumptions'!$J$6:$J$40,MATCH($B$2,'Venture Assumptions'!$I$6:$I$40,0)),OperBgt!$G$5:$EH$5,0))-INDEX(OperBgt!$G$78:$EH$78,MATCH('Venture Summary - Mthly'!EF5-INDEX('Venture Assumptions'!$J$6:$J$40,MATCH($B$2,'Venture Assumptions'!$I$6:$I$40,0)),OperBgt!$G$5:$EH$5,0)))),0)</f>
        <v>-203317.48524168835</v>
      </c>
      <c r="EG163" s="1151">
        <f>IFERROR(-((INDEX(OperBgt!$G$80:$EH$80,MATCH('Venture Summary - Mthly'!EG5-INDEX('Venture Assumptions'!$J$6:$J$40,MATCH($B$2,'Venture Assumptions'!$I$6:$I$40,0)),OperBgt!$G$5:$EH$5,0))-INDEX(OperBgt!$G$77:$EH$77,MATCH('Venture Summary - Mthly'!EG5-INDEX('Venture Assumptions'!$J$6:$J$40,MATCH($B$2,'Venture Assumptions'!$I$6:$I$40,0)),OperBgt!$G$5:$EH$5,0))-INDEX(OperBgt!$G$78:$EH$78,MATCH('Venture Summary - Mthly'!EG5-INDEX('Venture Assumptions'!$J$6:$J$40,MATCH($B$2,'Venture Assumptions'!$I$6:$I$40,0)),OperBgt!$G$5:$EH$5,0)))),0)</f>
        <v>-203317.48524168835</v>
      </c>
      <c r="EH163" s="487"/>
    </row>
    <row r="164" spans="1:138" ht="12.75" customHeight="1" x14ac:dyDescent="0.3">
      <c r="A164" s="782"/>
      <c r="B164" s="782" t="s">
        <v>97</v>
      </c>
      <c r="C164" s="798"/>
      <c r="D164" s="782"/>
      <c r="E164" s="798">
        <f>IFERROR(-INDEX(OperBgt!$G$77:$EH$77,MATCH('Venture Summary - Mthly'!E5-INDEX('Venture Assumptions'!$J$6:$J$40,MATCH($B$2,'Venture Assumptions'!$I$6:$I$40,0)),OperBgt!$G$5:$EH$5,0)),0)</f>
        <v>0</v>
      </c>
      <c r="F164" s="798">
        <f>IFERROR(-INDEX(OperBgt!$G$77:$EH$77,MATCH('Venture Summary - Mthly'!F5-INDEX('Venture Assumptions'!$J$6:$J$40,MATCH($B$2,'Venture Assumptions'!$I$6:$I$40,0)),OperBgt!$G$5:$EH$5,0)),0)</f>
        <v>0</v>
      </c>
      <c r="G164" s="798">
        <f>IFERROR(-INDEX(OperBgt!$G$77:$EH$77,MATCH('Venture Summary - Mthly'!G5-INDEX('Venture Assumptions'!$J$6:$J$40,MATCH($B$2,'Venture Assumptions'!$I$6:$I$40,0)),OperBgt!$G$5:$EH$5,0)),0)</f>
        <v>0</v>
      </c>
      <c r="H164" s="798">
        <f>IFERROR(-INDEX(OperBgt!$G$77:$EH$77,MATCH('Venture Summary - Mthly'!H5-INDEX('Venture Assumptions'!$J$6:$J$40,MATCH($B$2,'Venture Assumptions'!$I$6:$I$40,0)),OperBgt!$G$5:$EH$5,0)),0)</f>
        <v>0</v>
      </c>
      <c r="I164" s="798">
        <f>IFERROR(-INDEX(OperBgt!$G$77:$EH$77,MATCH('Venture Summary - Mthly'!I5-INDEX('Venture Assumptions'!$J$6:$J$40,MATCH($B$2,'Venture Assumptions'!$I$6:$I$40,0)),OperBgt!$G$5:$EH$5,0)),0)</f>
        <v>0</v>
      </c>
      <c r="J164" s="798">
        <f>IFERROR(-INDEX(OperBgt!$G$77:$EH$77,MATCH('Venture Summary - Mthly'!J5-INDEX('Venture Assumptions'!$J$6:$J$40,MATCH($B$2,'Venture Assumptions'!$I$6:$I$40,0)),OperBgt!$G$5:$EH$5,0)),0)</f>
        <v>0</v>
      </c>
      <c r="K164" s="798">
        <f>IFERROR(-INDEX(OperBgt!$G$77:$EH$77,MATCH('Venture Summary - Mthly'!K5-INDEX('Venture Assumptions'!$J$6:$J$40,MATCH($B$2,'Venture Assumptions'!$I$6:$I$40,0)),OperBgt!$G$5:$EH$5,0)),0)</f>
        <v>0</v>
      </c>
      <c r="L164" s="798">
        <f>IFERROR(-INDEX(OperBgt!$G$77:$EH$77,MATCH('Venture Summary - Mthly'!L5-INDEX('Venture Assumptions'!$J$6:$J$40,MATCH($B$2,'Venture Assumptions'!$I$6:$I$40,0)),OperBgt!$G$5:$EH$5,0)),0)</f>
        <v>0</v>
      </c>
      <c r="M164" s="798">
        <f>IFERROR(-INDEX(OperBgt!$G$77:$EH$77,MATCH('Venture Summary - Mthly'!M5-INDEX('Venture Assumptions'!$J$6:$J$40,MATCH($B$2,'Venture Assumptions'!$I$6:$I$40,0)),OperBgt!$G$5:$EH$5,0)),0)</f>
        <v>0</v>
      </c>
      <c r="N164" s="798">
        <f>IFERROR(-INDEX(OperBgt!$G$77:$EH$77,MATCH('Venture Summary - Mthly'!N5-INDEX('Venture Assumptions'!$J$6:$J$40,MATCH($B$2,'Venture Assumptions'!$I$6:$I$40,0)),OperBgt!$G$5:$EH$5,0)),0)</f>
        <v>0</v>
      </c>
      <c r="O164" s="798">
        <f>IFERROR(-INDEX(OperBgt!$G$77:$EH$77,MATCH('Venture Summary - Mthly'!O5-INDEX('Venture Assumptions'!$J$6:$J$40,MATCH($B$2,'Venture Assumptions'!$I$6:$I$40,0)),OperBgt!$G$5:$EH$5,0)),0)</f>
        <v>0</v>
      </c>
      <c r="P164" s="798">
        <f>IFERROR(-INDEX(OperBgt!$G$77:$EH$77,MATCH('Venture Summary - Mthly'!P5-INDEX('Venture Assumptions'!$J$6:$J$40,MATCH($B$2,'Venture Assumptions'!$I$6:$I$40,0)),OperBgt!$G$5:$EH$5,0)),0)</f>
        <v>0</v>
      </c>
      <c r="Q164" s="798">
        <f>IFERROR(-INDEX(OperBgt!$G$77:$EH$77,MATCH('Venture Summary - Mthly'!Q5-INDEX('Venture Assumptions'!$J$6:$J$40,MATCH($B$2,'Venture Assumptions'!$I$6:$I$40,0)),OperBgt!$G$5:$EH$5,0)),0)</f>
        <v>0</v>
      </c>
      <c r="R164" s="798">
        <f>IFERROR(-INDEX(OperBgt!$G$77:$EH$77,MATCH('Venture Summary - Mthly'!R5-INDEX('Venture Assumptions'!$J$6:$J$40,MATCH($B$2,'Venture Assumptions'!$I$6:$I$40,0)),OperBgt!$G$5:$EH$5,0)),0)</f>
        <v>0</v>
      </c>
      <c r="S164" s="798">
        <f>IFERROR(-INDEX(OperBgt!$G$77:$EH$77,MATCH('Venture Summary - Mthly'!S5-INDEX('Venture Assumptions'!$J$6:$J$40,MATCH($B$2,'Venture Assumptions'!$I$6:$I$40,0)),OperBgt!$G$5:$EH$5,0)),0)</f>
        <v>-10000</v>
      </c>
      <c r="T164" s="798">
        <f>IFERROR(-INDEX(OperBgt!$G$77:$EH$77,MATCH('Venture Summary - Mthly'!T5-INDEX('Venture Assumptions'!$J$6:$J$40,MATCH($B$2,'Venture Assumptions'!$I$6:$I$40,0)),OperBgt!$G$5:$EH$5,0)),0)</f>
        <v>-10000</v>
      </c>
      <c r="U164" s="798">
        <f>IFERROR(-INDEX(OperBgt!$G$77:$EH$77,MATCH('Venture Summary - Mthly'!U5-INDEX('Venture Assumptions'!$J$6:$J$40,MATCH($B$2,'Venture Assumptions'!$I$6:$I$40,0)),OperBgt!$G$5:$EH$5,0)),0)</f>
        <v>-10000</v>
      </c>
      <c r="V164" s="798">
        <f>IFERROR(-INDEX(OperBgt!$G$77:$EH$77,MATCH('Venture Summary - Mthly'!V5-INDEX('Venture Assumptions'!$J$6:$J$40,MATCH($B$2,'Venture Assumptions'!$I$6:$I$40,0)),OperBgt!$G$5:$EH$5,0)),0)</f>
        <v>-10000</v>
      </c>
      <c r="W164" s="798">
        <f>IFERROR(-INDEX(OperBgt!$G$77:$EH$77,MATCH('Venture Summary - Mthly'!W5-INDEX('Venture Assumptions'!$J$6:$J$40,MATCH($B$2,'Venture Assumptions'!$I$6:$I$40,0)),OperBgt!$G$5:$EH$5,0)),0)</f>
        <v>-10000</v>
      </c>
      <c r="X164" s="798">
        <f>IFERROR(-INDEX(OperBgt!$G$77:$EH$77,MATCH('Venture Summary - Mthly'!X5-INDEX('Venture Assumptions'!$J$6:$J$40,MATCH($B$2,'Venture Assumptions'!$I$6:$I$40,0)),OperBgt!$G$5:$EH$5,0)),0)</f>
        <v>-10000</v>
      </c>
      <c r="Y164" s="798">
        <f>IFERROR(-INDEX(OperBgt!$G$77:$EH$77,MATCH('Venture Summary - Mthly'!Y5-INDEX('Venture Assumptions'!$J$6:$J$40,MATCH($B$2,'Venture Assumptions'!$I$6:$I$40,0)),OperBgt!$G$5:$EH$5,0)),0)</f>
        <v>-10000</v>
      </c>
      <c r="Z164" s="798">
        <f>IFERROR(-INDEX(OperBgt!$G$77:$EH$77,MATCH('Venture Summary - Mthly'!Z5-INDEX('Venture Assumptions'!$J$6:$J$40,MATCH($B$2,'Venture Assumptions'!$I$6:$I$40,0)),OperBgt!$G$5:$EH$5,0)),0)</f>
        <v>-10000</v>
      </c>
      <c r="AA164" s="798">
        <f>IFERROR(-INDEX(OperBgt!$G$77:$EH$77,MATCH('Venture Summary - Mthly'!AA5-INDEX('Venture Assumptions'!$J$6:$J$40,MATCH($B$2,'Venture Assumptions'!$I$6:$I$40,0)),OperBgt!$G$5:$EH$5,0)),0)</f>
        <v>-10000</v>
      </c>
      <c r="AB164" s="798">
        <f>IFERROR(-INDEX(OperBgt!$G$77:$EH$77,MATCH('Venture Summary - Mthly'!AB5-INDEX('Venture Assumptions'!$J$6:$J$40,MATCH($B$2,'Venture Assumptions'!$I$6:$I$40,0)),OperBgt!$G$5:$EH$5,0)),0)</f>
        <v>-10958.42966132254</v>
      </c>
      <c r="AC164" s="798">
        <f>IFERROR(-INDEX(OperBgt!$G$77:$EH$77,MATCH('Venture Summary - Mthly'!AC5-INDEX('Venture Assumptions'!$J$6:$J$40,MATCH($B$2,'Venture Assumptions'!$I$6:$I$40,0)),OperBgt!$G$5:$EH$5,0)),0)</f>
        <v>-12663.808389881347</v>
      </c>
      <c r="AD164" s="798">
        <f>IFERROR(-INDEX(OperBgt!$G$77:$EH$77,MATCH('Venture Summary - Mthly'!AD5-INDEX('Venture Assumptions'!$J$6:$J$40,MATCH($B$2,'Venture Assumptions'!$I$6:$I$40,0)),OperBgt!$G$5:$EH$5,0)),0)</f>
        <v>-14093.183309340446</v>
      </c>
      <c r="AE164" s="798">
        <f>IFERROR(-INDEX(OperBgt!$G$77:$EH$77,MATCH('Venture Summary - Mthly'!AE5-INDEX('Venture Assumptions'!$J$6:$J$40,MATCH($B$2,'Venture Assumptions'!$I$6:$I$40,0)),OperBgt!$G$5:$EH$5,0)),0)</f>
        <v>-15785.007178029018</v>
      </c>
      <c r="AF164" s="798">
        <f>IFERROR(-INDEX(OperBgt!$G$77:$EH$77,MATCH('Venture Summary - Mthly'!AF5-INDEX('Venture Assumptions'!$J$6:$J$40,MATCH($B$2,'Venture Assumptions'!$I$6:$I$40,0)),OperBgt!$G$5:$EH$5,0)),0)</f>
        <v>-18570.686807052294</v>
      </c>
      <c r="AG164" s="798">
        <f>IFERROR(-INDEX(OperBgt!$G$77:$EH$77,MATCH('Venture Summary - Mthly'!AG5-INDEX('Venture Assumptions'!$J$6:$J$40,MATCH($B$2,'Venture Assumptions'!$I$6:$I$40,0)),OperBgt!$G$5:$EH$5,0)),0)</f>
        <v>-19058.197219471189</v>
      </c>
      <c r="AH164" s="798">
        <f>IFERROR(-INDEX(OperBgt!$G$77:$EH$77,MATCH('Venture Summary - Mthly'!AH5-INDEX('Venture Assumptions'!$J$6:$J$40,MATCH($B$2,'Venture Assumptions'!$I$6:$I$40,0)),OperBgt!$G$5:$EH$5,0)),0)</f>
        <v>-19118.644212575909</v>
      </c>
      <c r="AI164" s="798">
        <f>IFERROR(-INDEX(OperBgt!$G$77:$EH$77,MATCH('Venture Summary - Mthly'!AI5-INDEX('Venture Assumptions'!$J$6:$J$40,MATCH($B$2,'Venture Assumptions'!$I$6:$I$40,0)),OperBgt!$G$5:$EH$5,0)),0)</f>
        <v>-19178.960827718456</v>
      </c>
      <c r="AJ164" s="798">
        <f>IFERROR(-INDEX(OperBgt!$G$77:$EH$77,MATCH('Venture Summary - Mthly'!AJ5-INDEX('Venture Assumptions'!$J$6:$J$40,MATCH($B$2,'Venture Assumptions'!$I$6:$I$40,0)),OperBgt!$G$5:$EH$5,0)),0)</f>
        <v>-19265.745842173514</v>
      </c>
      <c r="AK164" s="798">
        <f>IFERROR(-INDEX(OperBgt!$G$77:$EH$77,MATCH('Venture Summary - Mthly'!AK5-INDEX('Venture Assumptions'!$J$6:$J$40,MATCH($B$2,'Venture Assumptions'!$I$6:$I$40,0)),OperBgt!$G$5:$EH$5,0)),0)</f>
        <v>-19352.208454763379</v>
      </c>
      <c r="AL164" s="798">
        <f>IFERROR(-INDEX(OperBgt!$G$77:$EH$77,MATCH('Venture Summary - Mthly'!AL5-INDEX('Venture Assumptions'!$J$6:$J$40,MATCH($B$2,'Venture Assumptions'!$I$6:$I$40,0)),OperBgt!$G$5:$EH$5,0)),0)</f>
        <v>-19438.342871710971</v>
      </c>
      <c r="AM164" s="798">
        <f>IFERROR(-INDEX(OperBgt!$G$77:$EH$77,MATCH('Venture Summary - Mthly'!AM5-INDEX('Venture Assumptions'!$J$6:$J$40,MATCH($B$2,'Venture Assumptions'!$I$6:$I$40,0)),OperBgt!$G$5:$EH$5,0)),0)</f>
        <v>-19524.143246996766</v>
      </c>
      <c r="AN164" s="798">
        <f>IFERROR(-INDEX(OperBgt!$G$77:$EH$77,MATCH('Venture Summary - Mthly'!AN5-INDEX('Venture Assumptions'!$J$6:$J$40,MATCH($B$2,'Venture Assumptions'!$I$6:$I$40,0)),OperBgt!$G$5:$EH$5,0)),0)</f>
        <v>-19609.603681967765</v>
      </c>
      <c r="AO164" s="798">
        <f>IFERROR(-INDEX(OperBgt!$G$77:$EH$77,MATCH('Venture Summary - Mthly'!AO5-INDEX('Venture Assumptions'!$J$6:$J$40,MATCH($B$2,'Venture Assumptions'!$I$6:$I$40,0)),OperBgt!$G$5:$EH$5,0)),0)</f>
        <v>-19694.718224943706</v>
      </c>
      <c r="AP164" s="798">
        <f>IFERROR(-INDEX(OperBgt!$G$77:$EH$77,MATCH('Venture Summary - Mthly'!AP5-INDEX('Venture Assumptions'!$J$6:$J$40,MATCH($B$2,'Venture Assumptions'!$I$6:$I$40,0)),OperBgt!$G$5:$EH$5,0)),0)</f>
        <v>-19753.589210324848</v>
      </c>
      <c r="AQ164" s="798">
        <f>IFERROR(-INDEX(OperBgt!$G$77:$EH$77,MATCH('Venture Summary - Mthly'!AQ5-INDEX('Venture Assumptions'!$J$6:$J$40,MATCH($B$2,'Venture Assumptions'!$I$6:$I$40,0)),OperBgt!$G$5:$EH$5,0)),0)</f>
        <v>-19863.927275795879</v>
      </c>
      <c r="AR164" s="798">
        <f>IFERROR(-INDEX(OperBgt!$G$77:$EH$77,MATCH('Venture Summary - Mthly'!AR5-INDEX('Venture Assumptions'!$J$6:$J$40,MATCH($B$2,'Venture Assumptions'!$I$6:$I$40,0)),OperBgt!$G$5:$EH$5,0)),0)</f>
        <v>-19960.297543652905</v>
      </c>
      <c r="AS164" s="798">
        <f>IFERROR(-INDEX(OperBgt!$G$77:$EH$77,MATCH('Venture Summary - Mthly'!AS5-INDEX('Venture Assumptions'!$J$6:$J$40,MATCH($B$2,'Venture Assumptions'!$I$6:$I$40,0)),OperBgt!$G$5:$EH$5,0)),0)</f>
        <v>-20018.715034213346</v>
      </c>
      <c r="AT164" s="798">
        <f>IFERROR(-INDEX(OperBgt!$G$77:$EH$77,MATCH('Venture Summary - Mthly'!AT5-INDEX('Venture Assumptions'!$J$6:$J$40,MATCH($B$2,'Venture Assumptions'!$I$6:$I$40,0)),OperBgt!$G$5:$EH$5,0)),0)</f>
        <v>-20076.078305412426</v>
      </c>
      <c r="AU164" s="798">
        <f>IFERROR(-INDEX(OperBgt!$G$77:$EH$77,MATCH('Venture Summary - Mthly'!AU5-INDEX('Venture Assumptions'!$J$6:$J$40,MATCH($B$2,'Venture Assumptions'!$I$6:$I$40,0)),OperBgt!$G$5:$EH$5,0)),0)</f>
        <v>-20132.381099592836</v>
      </c>
      <c r="AV164" s="798">
        <f>IFERROR(-INDEX(OperBgt!$G$77:$EH$77,MATCH('Venture Summary - Mthly'!AV5-INDEX('Venture Assumptions'!$J$6:$J$40,MATCH($B$2,'Venture Assumptions'!$I$6:$I$40,0)),OperBgt!$G$5:$EH$5,0)),0)</f>
        <v>-20211.638551598018</v>
      </c>
      <c r="AW164" s="798">
        <f>IFERROR(-INDEX(OperBgt!$G$77:$EH$77,MATCH('Venture Summary - Mthly'!AW5-INDEX('Venture Assumptions'!$J$6:$J$40,MATCH($B$2,'Venture Assumptions'!$I$6:$I$40,0)),OperBgt!$G$5:$EH$5,0)),0)</f>
        <v>-20288.459413445489</v>
      </c>
      <c r="AX164" s="798">
        <f>IFERROR(-INDEX(OperBgt!$G$77:$EH$77,MATCH('Venture Summary - Mthly'!AX5-INDEX('Venture Assumptions'!$J$6:$J$40,MATCH($B$2,'Venture Assumptions'!$I$6:$I$40,0)),OperBgt!$G$5:$EH$5,0)),0)</f>
        <v>-20362.822187987582</v>
      </c>
      <c r="AY164" s="798">
        <f>IFERROR(-INDEX(OperBgt!$G$77:$EH$77,MATCH('Venture Summary - Mthly'!AY5-INDEX('Venture Assumptions'!$J$6:$J$40,MATCH($B$2,'Venture Assumptions'!$I$6:$I$40,0)),OperBgt!$G$5:$EH$5,0)),0)</f>
        <v>-20434.705239766532</v>
      </c>
      <c r="AZ164" s="798">
        <f>IFERROR(-INDEX(OperBgt!$G$77:$EH$77,MATCH('Venture Summary - Mthly'!AZ5-INDEX('Venture Assumptions'!$J$6:$J$40,MATCH($B$2,'Venture Assumptions'!$I$6:$I$40,0)),OperBgt!$G$5:$EH$5,0)),0)</f>
        <v>-20504.086794219977</v>
      </c>
      <c r="BA164" s="798">
        <f>IFERROR(-INDEX(OperBgt!$G$77:$EH$77,MATCH('Venture Summary - Mthly'!BA5-INDEX('Venture Assumptions'!$J$6:$J$40,MATCH($B$2,'Venture Assumptions'!$I$6:$I$40,0)),OperBgt!$G$5:$EH$5,0)),0)</f>
        <v>-20570.94493688209</v>
      </c>
      <c r="BB164" s="798">
        <f>IFERROR(-INDEX(OperBgt!$G$77:$EH$77,MATCH('Venture Summary - Mthly'!BB5-INDEX('Venture Assumptions'!$J$6:$J$40,MATCH($B$2,'Venture Assumptions'!$I$6:$I$40,0)),OperBgt!$G$5:$EH$5,0)),0)</f>
        <v>-20616.253485454748</v>
      </c>
      <c r="BC164" s="798">
        <f>IFERROR(-INDEX(OperBgt!$G$77:$EH$77,MATCH('Venture Summary - Mthly'!BC5-INDEX('Venture Assumptions'!$J$6:$J$40,MATCH($B$2,'Venture Assumptions'!$I$6:$I$40,0)),OperBgt!$G$5:$EH$5,0)),0)</f>
        <v>-20697.28992108889</v>
      </c>
      <c r="BD164" s="798">
        <f>IFERROR(-INDEX(OperBgt!$G$77:$EH$77,MATCH('Venture Summary - Mthly'!BD5-INDEX('Venture Assumptions'!$J$6:$J$40,MATCH($B$2,'Venture Assumptions'!$I$6:$I$40,0)),OperBgt!$G$5:$EH$5,0)),0)</f>
        <v>-20766.561490753233</v>
      </c>
      <c r="BE164" s="798">
        <f>IFERROR(-INDEX(OperBgt!$G$77:$EH$77,MATCH('Venture Summary - Mthly'!BE5-INDEX('Venture Assumptions'!$J$6:$J$40,MATCH($B$2,'Venture Assumptions'!$I$6:$I$40,0)),OperBgt!$G$5:$EH$5,0)),0)</f>
        <v>-20808.4567039381</v>
      </c>
      <c r="BF164" s="798">
        <f>IFERROR(-INDEX(OperBgt!$G$77:$EH$77,MATCH('Venture Summary - Mthly'!BF5-INDEX('Venture Assumptions'!$J$6:$J$40,MATCH($B$2,'Venture Assumptions'!$I$6:$I$40,0)),OperBgt!$G$5:$EH$5,0)),0)</f>
        <v>-20851.087620736849</v>
      </c>
      <c r="BG164" s="798">
        <f>IFERROR(-INDEX(OperBgt!$G$77:$EH$77,MATCH('Venture Summary - Mthly'!BG5-INDEX('Venture Assumptions'!$J$6:$J$40,MATCH($B$2,'Venture Assumptions'!$I$6:$I$40,0)),OperBgt!$G$5:$EH$5,0)),0)</f>
        <v>-20894.457619822522</v>
      </c>
      <c r="BH164" s="798">
        <f>IFERROR(-INDEX(OperBgt!$G$77:$EH$77,MATCH('Venture Summary - Mthly'!BH5-INDEX('Venture Assumptions'!$J$6:$J$40,MATCH($B$2,'Venture Assumptions'!$I$6:$I$40,0)),OperBgt!$G$5:$EH$5,0)),0)</f>
        <v>-20956.921833504857</v>
      </c>
      <c r="BI164" s="798">
        <f>IFERROR(-INDEX(OperBgt!$G$77:$EH$77,MATCH('Venture Summary - Mthly'!BI5-INDEX('Venture Assumptions'!$J$6:$J$40,MATCH($B$2,'Venture Assumptions'!$I$6:$I$40,0)),OperBgt!$G$5:$EH$5,0)),0)</f>
        <v>-21021.041428484084</v>
      </c>
      <c r="BJ164" s="798">
        <f>IFERROR(-INDEX(OperBgt!$G$77:$EH$77,MATCH('Venture Summary - Mthly'!BJ5-INDEX('Venture Assumptions'!$J$6:$J$40,MATCH($B$2,'Venture Assumptions'!$I$6:$I$40,0)),OperBgt!$G$5:$EH$5,0)),0)</f>
        <v>-21086.827825270946</v>
      </c>
      <c r="BK164" s="798">
        <f>IFERROR(-INDEX(OperBgt!$G$77:$EH$77,MATCH('Venture Summary - Mthly'!BK5-INDEX('Venture Assumptions'!$J$6:$J$40,MATCH($B$2,'Venture Assumptions'!$I$6:$I$40,0)),OperBgt!$G$5:$EH$5,0)),0)</f>
        <v>-21154.292506592898</v>
      </c>
      <c r="BL164" s="798">
        <f>IFERROR(-INDEX(OperBgt!$G$77:$EH$77,MATCH('Venture Summary - Mthly'!BL5-INDEX('Venture Assumptions'!$J$6:$J$40,MATCH($B$2,'Venture Assumptions'!$I$6:$I$40,0)),OperBgt!$G$5:$EH$5,0)),0)</f>
        <v>-21223.447017700571</v>
      </c>
      <c r="BM164" s="798">
        <f>IFERROR(-INDEX(OperBgt!$G$77:$EH$77,MATCH('Venture Summary - Mthly'!BM5-INDEX('Venture Assumptions'!$J$6:$J$40,MATCH($B$2,'Venture Assumptions'!$I$6:$I$40,0)),OperBgt!$G$5:$EH$5,0)),0)</f>
        <v>-21294.30296667563</v>
      </c>
      <c r="BN164" s="798">
        <f>IFERROR(-INDEX(OperBgt!$G$77:$EH$77,MATCH('Venture Summary - Mthly'!BN5-INDEX('Venture Assumptions'!$J$6:$J$40,MATCH($B$2,'Venture Assumptions'!$I$6:$I$40,0)),OperBgt!$G$5:$EH$5,0)),0)</f>
        <v>-21345.188773102251</v>
      </c>
      <c r="BO164" s="798">
        <f>IFERROR(-INDEX(OperBgt!$G$77:$EH$77,MATCH('Venture Summary - Mthly'!BO5-INDEX('Venture Assumptions'!$J$6:$J$40,MATCH($B$2,'Venture Assumptions'!$I$6:$I$40,0)),OperBgt!$G$5:$EH$5,0)),0)</f>
        <v>-21440.976337774537</v>
      </c>
      <c r="BP164" s="798">
        <f>IFERROR(-INDEX(OperBgt!$G$77:$EH$77,MATCH('Venture Summary - Mthly'!BP5-INDEX('Venture Assumptions'!$J$6:$J$40,MATCH($B$2,'Venture Assumptions'!$I$6:$I$40,0)),OperBgt!$G$5:$EH$5,0)),0)</f>
        <v>-21526.398724776642</v>
      </c>
      <c r="BQ164" s="798">
        <f>IFERROR(-INDEX(OperBgt!$G$77:$EH$77,MATCH('Venture Summary - Mthly'!BQ5-INDEX('Venture Assumptions'!$J$6:$J$40,MATCH($B$2,'Venture Assumptions'!$I$6:$I$40,0)),OperBgt!$G$5:$EH$5,0)),0)</f>
        <v>-21579.625827403968</v>
      </c>
      <c r="BR164" s="798">
        <f>IFERROR(-INDEX(OperBgt!$G$77:$EH$77,MATCH('Venture Summary - Mthly'!BR5-INDEX('Venture Assumptions'!$J$6:$J$40,MATCH($B$2,'Venture Assumptions'!$I$6:$I$40,0)),OperBgt!$G$5:$EH$5,0)),0)</f>
        <v>-21632.997840066368</v>
      </c>
      <c r="BS164" s="798">
        <f>IFERROR(-INDEX(OperBgt!$G$77:$EH$77,MATCH('Venture Summary - Mthly'!BS5-INDEX('Venture Assumptions'!$J$6:$J$40,MATCH($B$2,'Venture Assumptions'!$I$6:$I$40,0)),OperBgt!$G$5:$EH$5,0)),0)</f>
        <v>-21686.515157859154</v>
      </c>
      <c r="BT164" s="798">
        <f>IFERROR(-INDEX(OperBgt!$G$77:$EH$77,MATCH('Venture Summary - Mthly'!BT5-INDEX('Venture Assumptions'!$J$6:$J$40,MATCH($B$2,'Venture Assumptions'!$I$6:$I$40,0)),OperBgt!$G$5:$EH$5,0)),0)</f>
        <v>-21763.194056888708</v>
      </c>
      <c r="BU164" s="798">
        <f>IFERROR(-INDEX(OperBgt!$G$77:$EH$77,MATCH('Venture Summary - Mthly'!BU5-INDEX('Venture Assumptions'!$J$6:$J$40,MATCH($B$2,'Venture Assumptions'!$I$6:$I$40,0)),OperBgt!$G$5:$EH$5,0)),0)</f>
        <v>-21840.178151748281</v>
      </c>
      <c r="BV164" s="798">
        <f>IFERROR(-INDEX(OperBgt!$G$77:$EH$77,MATCH('Venture Summary - Mthly'!BV5-INDEX('Venture Assumptions'!$J$6:$J$40,MATCH($B$2,'Venture Assumptions'!$I$6:$I$40,0)),OperBgt!$G$5:$EH$5,0)),0)</f>
        <v>-21917.468676595592</v>
      </c>
      <c r="BW164" s="798">
        <f>IFERROR(-INDEX(OperBgt!$G$77:$EH$77,MATCH('Venture Summary - Mthly'!BW5-INDEX('Venture Assumptions'!$J$6:$J$40,MATCH($B$2,'Venture Assumptions'!$I$6:$I$40,0)),OperBgt!$G$5:$EH$5,0)),0)</f>
        <v>-21995.066870628965</v>
      </c>
      <c r="BX164" s="798">
        <f>IFERROR(-INDEX(OperBgt!$G$77:$EH$77,MATCH('Venture Summary - Mthly'!BX5-INDEX('Venture Assumptions'!$J$6:$J$40,MATCH($B$2,'Venture Assumptions'!$I$6:$I$40,0)),OperBgt!$G$5:$EH$5,0)),0)</f>
        <v>-22072.973978108075</v>
      </c>
      <c r="BY164" s="798">
        <f>IFERROR(-INDEX(OperBgt!$G$77:$EH$77,MATCH('Venture Summary - Mthly'!BY5-INDEX('Venture Assumptions'!$J$6:$J$40,MATCH($B$2,'Venture Assumptions'!$I$6:$I$40,0)),OperBgt!$G$5:$EH$5,0)),0)</f>
        <v>-22151.191248374747</v>
      </c>
      <c r="BZ164" s="798">
        <f>IFERROR(-INDEX(OperBgt!$G$77:$EH$77,MATCH('Venture Summary - Mthly'!BZ5-INDEX('Venture Assumptions'!$J$6:$J$40,MATCH($B$2,'Venture Assumptions'!$I$6:$I$40,0)),OperBgt!$G$5:$EH$5,0)),0)</f>
        <v>-22206.125334122633</v>
      </c>
      <c r="CA164" s="798">
        <f>IFERROR(-INDEX(OperBgt!$G$77:$EH$77,MATCH('Venture Summary - Mthly'!CA5-INDEX('Venture Assumptions'!$J$6:$J$40,MATCH($B$2,'Venture Assumptions'!$I$6:$I$40,0)),OperBgt!$G$5:$EH$5,0)),0)</f>
        <v>-22308.528680637253</v>
      </c>
      <c r="CB164" s="798">
        <f>IFERROR(-INDEX(OperBgt!$G$77:$EH$77,MATCH('Venture Summary - Mthly'!CB5-INDEX('Venture Assumptions'!$J$6:$J$40,MATCH($B$2,'Venture Assumptions'!$I$6:$I$40,0)),OperBgt!$G$5:$EH$5,0)),0)</f>
        <v>-22398.625284417354</v>
      </c>
      <c r="CC164" s="798">
        <f>IFERROR(-INDEX(OperBgt!$G$77:$EH$77,MATCH('Venture Summary - Mthly'!CC5-INDEX('Venture Assumptions'!$J$6:$J$40,MATCH($B$2,'Venture Assumptions'!$I$6:$I$40,0)),OperBgt!$G$5:$EH$5,0)),0)</f>
        <v>-22454.009332269579</v>
      </c>
      <c r="CD164" s="798">
        <f>IFERROR(-INDEX(OperBgt!$G$77:$EH$77,MATCH('Venture Summary - Mthly'!CD5-INDEX('Venture Assumptions'!$J$6:$J$40,MATCH($B$2,'Venture Assumptions'!$I$6:$I$40,0)),OperBgt!$G$5:$EH$5,0)),0)</f>
        <v>-22509.544186223327</v>
      </c>
      <c r="CE164" s="798">
        <f>IFERROR(-INDEX(OperBgt!$G$77:$EH$77,MATCH('Venture Summary - Mthly'!CE5-INDEX('Venture Assumptions'!$J$6:$J$40,MATCH($B$2,'Venture Assumptions'!$I$6:$I$40,0)),OperBgt!$G$5:$EH$5,0)),0)</f>
        <v>-22565.230257509091</v>
      </c>
      <c r="CF164" s="798">
        <f>IFERROR(-INDEX(OperBgt!$G$77:$EH$77,MATCH('Venture Summary - Mthly'!CF5-INDEX('Venture Assumptions'!$J$6:$J$40,MATCH($B$2,'Venture Assumptions'!$I$6:$I$40,0)),OperBgt!$G$5:$EH$5,0)),0)</f>
        <v>-22645.056710461169</v>
      </c>
      <c r="CG164" s="798">
        <f>IFERROR(-INDEX(OperBgt!$G$77:$EH$77,MATCH('Venture Summary - Mthly'!CG5-INDEX('Venture Assumptions'!$J$6:$J$40,MATCH($B$2,'Venture Assumptions'!$I$6:$I$40,0)),OperBgt!$G$5:$EH$5,0)),0)</f>
        <v>-22725.20102882605</v>
      </c>
      <c r="CH164" s="798">
        <f>IFERROR(-INDEX(OperBgt!$G$77:$EH$77,MATCH('Venture Summary - Mthly'!CH5-INDEX('Venture Assumptions'!$J$6:$J$40,MATCH($B$2,'Venture Assumptions'!$I$6:$I$40,0)),OperBgt!$G$5:$EH$5,0)),0)</f>
        <v>-22805.664498359278</v>
      </c>
      <c r="CI164" s="798">
        <f>IFERROR(-INDEX(OperBgt!$G$77:$EH$77,MATCH('Venture Summary - Mthly'!CI5-INDEX('Venture Assumptions'!$J$6:$J$40,MATCH($B$2,'Venture Assumptions'!$I$6:$I$40,0)),OperBgt!$G$5:$EH$5,0)),0)</f>
        <v>-22886.44841006869</v>
      </c>
      <c r="CJ164" s="798">
        <f>IFERROR(-INDEX(OperBgt!$G$77:$EH$77,MATCH('Venture Summary - Mthly'!CJ5-INDEX('Venture Assumptions'!$J$6:$J$40,MATCH($B$2,'Venture Assumptions'!$I$6:$I$40,0)),OperBgt!$G$5:$EH$5,0)),0)</f>
        <v>-22967.55406023598</v>
      </c>
      <c r="CK164" s="798">
        <f>IFERROR(-INDEX(OperBgt!$G$77:$EH$77,MATCH('Venture Summary - Mthly'!CK5-INDEX('Venture Assumptions'!$J$6:$J$40,MATCH($B$2,'Venture Assumptions'!$I$6:$I$40,0)),OperBgt!$G$5:$EH$5,0)),0)</f>
        <v>-23048.982750438401</v>
      </c>
      <c r="CL164" s="798">
        <f>IFERROR(-INDEX(OperBgt!$G$77:$EH$77,MATCH('Venture Summary - Mthly'!CL5-INDEX('Venture Assumptions'!$J$6:$J$40,MATCH($B$2,'Venture Assumptions'!$I$6:$I$40,0)),OperBgt!$G$5:$EH$5,0)),0)</f>
        <v>-23106.143851430785</v>
      </c>
      <c r="CM164" s="798">
        <f>IFERROR(-INDEX(OperBgt!$G$77:$EH$77,MATCH('Venture Summary - Mthly'!CM5-INDEX('Venture Assumptions'!$J$6:$J$40,MATCH($B$2,'Venture Assumptions'!$I$6:$I$40,0)),OperBgt!$G$5:$EH$5,0)),0)</f>
        <v>-23212.780485514435</v>
      </c>
      <c r="CN164" s="798">
        <f>IFERROR(-INDEX(OperBgt!$G$77:$EH$77,MATCH('Venture Summary - Mthly'!CN5-INDEX('Venture Assumptions'!$J$6:$J$40,MATCH($B$2,'Venture Assumptions'!$I$6:$I$40,0)),OperBgt!$G$5:$EH$5,0)),0)</f>
        <v>-23306.589940826194</v>
      </c>
      <c r="CO164" s="798">
        <f>IFERROR(-INDEX(OperBgt!$G$77:$EH$77,MATCH('Venture Summary - Mthly'!CO5-INDEX('Venture Assumptions'!$J$6:$J$40,MATCH($B$2,'Venture Assumptions'!$I$6:$I$40,0)),OperBgt!$G$5:$EH$5,0)),0)</f>
        <v>-23364.219318822095</v>
      </c>
      <c r="CP164" s="798">
        <f>IFERROR(-INDEX(OperBgt!$G$77:$EH$77,MATCH('Venture Summary - Mthly'!CP5-INDEX('Venture Assumptions'!$J$6:$J$40,MATCH($B$2,'Venture Assumptions'!$I$6:$I$40,0)),OperBgt!$G$5:$EH$5,0)),0)</f>
        <v>-23422.005641333628</v>
      </c>
      <c r="CQ164" s="798">
        <f>IFERROR(-INDEX(OperBgt!$G$77:$EH$77,MATCH('Venture Summary - Mthly'!CQ5-INDEX('Venture Assumptions'!$J$6:$J$40,MATCH($B$2,'Venture Assumptions'!$I$6:$I$40,0)),OperBgt!$G$5:$EH$5,0)),0)</f>
        <v>-23479.949336391572</v>
      </c>
      <c r="CR164" s="798">
        <f>IFERROR(-INDEX(OperBgt!$G$77:$EH$77,MATCH('Venture Summary - Mthly'!CR5-INDEX('Venture Assumptions'!$J$6:$J$40,MATCH($B$2,'Venture Assumptions'!$I$6:$I$40,0)),OperBgt!$G$5:$EH$5,0)),0)</f>
        <v>-23563.053580137788</v>
      </c>
      <c r="CS164" s="798">
        <f>IFERROR(-INDEX(OperBgt!$G$77:$EH$77,MATCH('Venture Summary - Mthly'!CS5-INDEX('Venture Assumptions'!$J$6:$J$40,MATCH($B$2,'Venture Assumptions'!$I$6:$I$40,0)),OperBgt!$G$5:$EH$5,0)),0)</f>
        <v>-23646.488887490108</v>
      </c>
      <c r="CT164" s="798">
        <f>IFERROR(-INDEX(OperBgt!$G$77:$EH$77,MATCH('Venture Summary - Mthly'!CT5-INDEX('Venture Assumptions'!$J$6:$J$40,MATCH($B$2,'Venture Assumptions'!$I$6:$I$40,0)),OperBgt!$G$5:$EH$5,0)),0)</f>
        <v>-23730.256597965836</v>
      </c>
      <c r="CU164" s="798">
        <f>IFERROR(-INDEX(OperBgt!$G$77:$EH$77,MATCH('Venture Summary - Mthly'!CU5-INDEX('Venture Assumptions'!$J$6:$J$40,MATCH($B$2,'Venture Assumptions'!$I$6:$I$40,0)),OperBgt!$G$5:$EH$5,0)),0)</f>
        <v>-23814.358056555142</v>
      </c>
      <c r="CV164" s="798">
        <f>IFERROR(-INDEX(OperBgt!$G$77:$EH$77,MATCH('Venture Summary - Mthly'!CV5-INDEX('Venture Assumptions'!$J$6:$J$40,MATCH($B$2,'Venture Assumptions'!$I$6:$I$40,0)),OperBgt!$G$5:$EH$5,0)),0)</f>
        <v>-23898.794613743532</v>
      </c>
      <c r="CW164" s="798">
        <f>IFERROR(-INDEX(OperBgt!$G$77:$EH$77,MATCH('Venture Summary - Mthly'!CW5-INDEX('Venture Assumptions'!$J$6:$J$40,MATCH($B$2,'Venture Assumptions'!$I$6:$I$40,0)),OperBgt!$G$5:$EH$5,0)),0)</f>
        <v>-23983.567625534462</v>
      </c>
      <c r="CX164" s="798">
        <f>IFERROR(-INDEX(OperBgt!$G$77:$EH$77,MATCH('Venture Summary - Mthly'!CX5-INDEX('Venture Assumptions'!$J$6:$J$40,MATCH($B$2,'Venture Assumptions'!$I$6:$I$40,0)),OperBgt!$G$5:$EH$5,0)),0)</f>
        <v>-24043.047026017579</v>
      </c>
      <c r="CY164" s="798">
        <f>IFERROR(-INDEX(OperBgt!$G$77:$EH$77,MATCH('Venture Summary - Mthly'!CY5-INDEX('Venture Assumptions'!$J$6:$J$40,MATCH($B$2,'Venture Assumptions'!$I$6:$I$40,0)),OperBgt!$G$5:$EH$5,0)),0)</f>
        <v>-24154.093029215186</v>
      </c>
      <c r="CZ164" s="798">
        <f>IFERROR(-INDEX(OperBgt!$G$77:$EH$77,MATCH('Venture Summary - Mthly'!CZ5-INDEX('Venture Assumptions'!$J$6:$J$40,MATCH($B$2,'Venture Assumptions'!$I$6:$I$40,0)),OperBgt!$G$5:$EH$5,0)),0)</f>
        <v>-24251.769411932022</v>
      </c>
      <c r="DA164" s="798">
        <f>IFERROR(-INDEX(OperBgt!$G$77:$EH$77,MATCH('Venture Summary - Mthly'!DA5-INDEX('Venture Assumptions'!$J$6:$J$40,MATCH($B$2,'Venture Assumptions'!$I$6:$I$40,0)),OperBgt!$G$5:$EH$5,0)),0)</f>
        <v>-24311.736157336716</v>
      </c>
      <c r="DB164" s="798">
        <f>IFERROR(-INDEX(OperBgt!$G$77:$EH$77,MATCH('Venture Summary - Mthly'!DB5-INDEX('Venture Assumptions'!$J$6:$J$40,MATCH($B$2,'Venture Assumptions'!$I$6:$I$40,0)),OperBgt!$G$5:$EH$5,0)),0)</f>
        <v>-24371.8662380565</v>
      </c>
      <c r="DC164" s="798">
        <f>IFERROR(-INDEX(OperBgt!$G$77:$EH$77,MATCH('Venture Summary - Mthly'!DC5-INDEX('Venture Assumptions'!$J$6:$J$40,MATCH($B$2,'Venture Assumptions'!$I$6:$I$40,0)),OperBgt!$G$5:$EH$5,0)),0)</f>
        <v>-24432.160099615077</v>
      </c>
      <c r="DD164" s="798">
        <f>IFERROR(-INDEX(OperBgt!$G$77:$EH$77,MATCH('Venture Summary - Mthly'!DD5-INDEX('Venture Assumptions'!$J$6:$J$40,MATCH($B$2,'Venture Assumptions'!$I$6:$I$40,0)),OperBgt!$G$5:$EH$5,0)),0)</f>
        <v>-24518.677791818332</v>
      </c>
      <c r="DE164" s="798">
        <f>IFERROR(-INDEX(OperBgt!$G$77:$EH$77,MATCH('Venture Summary - Mthly'!DE5-INDEX('Venture Assumptions'!$J$6:$J$40,MATCH($B$2,'Venture Assumptions'!$I$6:$I$40,0)),OperBgt!$G$5:$EH$5,0)),0)</f>
        <v>-24605.540296567815</v>
      </c>
      <c r="DF164" s="798">
        <f>IFERROR(-INDEX(OperBgt!$G$77:$EH$77,MATCH('Venture Summary - Mthly'!DF5-INDEX('Venture Assumptions'!$J$6:$J$40,MATCH($B$2,'Venture Assumptions'!$I$6:$I$40,0)),OperBgt!$G$5:$EH$5,0)),0)</f>
        <v>-24692.749009397507</v>
      </c>
      <c r="DG164" s="798">
        <f>IFERROR(-INDEX(OperBgt!$G$77:$EH$77,MATCH('Venture Summary - Mthly'!DG5-INDEX('Venture Assumptions'!$J$6:$J$40,MATCH($B$2,'Venture Assumptions'!$I$6:$I$40,0)),OperBgt!$G$5:$EH$5,0)),0)</f>
        <v>-24780.305331544059</v>
      </c>
      <c r="DH164" s="798">
        <f>IFERROR(-INDEX(OperBgt!$G$77:$EH$77,MATCH('Venture Summary - Mthly'!DH5-INDEX('Venture Assumptions'!$J$6:$J$40,MATCH($B$2,'Venture Assumptions'!$I$6:$I$40,0)),OperBgt!$G$5:$EH$5,0)),0)</f>
        <v>-24868.210669970293</v>
      </c>
      <c r="DI164" s="798">
        <f>IFERROR(-INDEX(OperBgt!$G$77:$EH$77,MATCH('Venture Summary - Mthly'!DI5-INDEX('Venture Assumptions'!$J$6:$J$40,MATCH($B$2,'Venture Assumptions'!$I$6:$I$40,0)),OperBgt!$G$5:$EH$5,0)),0)</f>
        <v>-24956.466437388703</v>
      </c>
      <c r="DJ164" s="798">
        <f>IFERROR(-INDEX(OperBgt!$G$77:$EH$77,MATCH('Venture Summary - Mthly'!DJ5-INDEX('Venture Assumptions'!$J$6:$J$40,MATCH($B$2,'Venture Assumptions'!$I$6:$I$40,0)),OperBgt!$G$5:$EH$5,0)),0)</f>
        <v>-25018.359194633445</v>
      </c>
      <c r="DK164" s="798">
        <f>IFERROR(-INDEX(OperBgt!$G$77:$EH$77,MATCH('Venture Summary - Mthly'!DK5-INDEX('Venture Assumptions'!$J$6:$J$40,MATCH($B$2,'Venture Assumptions'!$I$6:$I$40,0)),OperBgt!$G$5:$EH$5,0)),0)</f>
        <v>-25133.998005651632</v>
      </c>
      <c r="DL164" s="798">
        <f>IFERROR(-INDEX(OperBgt!$G$77:$EH$77,MATCH('Venture Summary - Mthly'!DL5-INDEX('Venture Assumptions'!$J$6:$J$40,MATCH($B$2,'Venture Assumptions'!$I$6:$I$40,0)),OperBgt!$G$5:$EH$5,0)),0)</f>
        <v>-25235.701818426223</v>
      </c>
      <c r="DM164" s="798">
        <f>IFERROR(-INDEX(OperBgt!$G$77:$EH$77,MATCH('Venture Summary - Mthly'!DM5-INDEX('Venture Assumptions'!$J$6:$J$40,MATCH($B$2,'Venture Assumptions'!$I$6:$I$40,0)),OperBgt!$G$5:$EH$5,0)),0)</f>
        <v>-25298.101772724993</v>
      </c>
      <c r="DN164" s="798">
        <f>IFERROR(-INDEX(OperBgt!$G$77:$EH$77,MATCH('Venture Summary - Mthly'!DN5-INDEX('Venture Assumptions'!$J$6:$J$40,MATCH($B$2,'Venture Assumptions'!$I$6:$I$40,0)),OperBgt!$G$5:$EH$5,0)),0)</f>
        <v>-25360.671715979355</v>
      </c>
      <c r="DO164" s="798">
        <f>IFERROR(-INDEX(OperBgt!$G$77:$EH$77,MATCH('Venture Summary - Mthly'!DO5-INDEX('Venture Assumptions'!$J$6:$J$40,MATCH($B$2,'Venture Assumptions'!$I$6:$I$40,0)),OperBgt!$G$5:$EH$5,0)),0)</f>
        <v>-25423.412111927395</v>
      </c>
      <c r="DP164" s="798">
        <f>IFERROR(-INDEX(OperBgt!$G$77:$EH$77,MATCH('Venture Summary - Mthly'!DP5-INDEX('Venture Assumptions'!$J$6:$J$40,MATCH($B$2,'Venture Assumptions'!$I$6:$I$40,0)),OperBgt!$G$5:$EH$5,0)),0)</f>
        <v>-25513.484557648459</v>
      </c>
      <c r="DQ164" s="798">
        <f>IFERROR(-INDEX(OperBgt!$G$77:$EH$77,MATCH('Venture Summary - Mthly'!DQ5-INDEX('Venture Assumptions'!$J$6:$J$40,MATCH($B$2,'Venture Assumptions'!$I$6:$I$40,0)),OperBgt!$G$5:$EH$5,0)),0)</f>
        <v>-25603.916138668505</v>
      </c>
      <c r="DR164" s="798">
        <f>IFERROR(-INDEX(OperBgt!$G$77:$EH$77,MATCH('Venture Summary - Mthly'!DR5-INDEX('Venture Assumptions'!$J$6:$J$40,MATCH($B$2,'Venture Assumptions'!$I$6:$I$40,0)),OperBgt!$G$5:$EH$5,0)),0)</f>
        <v>-25694.708308887832</v>
      </c>
      <c r="DS164" s="798">
        <f>IFERROR(-INDEX(OperBgt!$G$77:$EH$77,MATCH('Venture Summary - Mthly'!DS5-INDEX('Venture Assumptions'!$J$6:$J$40,MATCH($B$2,'Venture Assumptions'!$I$6:$I$40,0)),OperBgt!$G$5:$EH$5,0)),0)</f>
        <v>-25785.862528148966</v>
      </c>
      <c r="DT164" s="798">
        <f>IFERROR(-INDEX(OperBgt!$G$77:$EH$77,MATCH('Venture Summary - Mthly'!DT5-INDEX('Venture Assumptions'!$J$6:$J$40,MATCH($B$2,'Venture Assumptions'!$I$6:$I$40,0)),OperBgt!$G$5:$EH$5,0)),0)</f>
        <v>-25877.380262261067</v>
      </c>
      <c r="DU164" s="798">
        <f>IFERROR(-INDEX(OperBgt!$G$77:$EH$77,MATCH('Venture Summary - Mthly'!DU5-INDEX('Venture Assumptions'!$J$6:$J$40,MATCH($B$2,'Venture Assumptions'!$I$6:$I$40,0)),OperBgt!$G$5:$EH$5,0)),0)</f>
        <v>-25969.262983024484</v>
      </c>
      <c r="DV164" s="798">
        <f>IFERROR(-INDEX(OperBgt!$G$77:$EH$77,MATCH('Venture Summary - Mthly'!DV5-INDEX('Venture Assumptions'!$J$6:$J$40,MATCH($B$2,'Venture Assumptions'!$I$6:$I$40,0)),OperBgt!$G$5:$EH$5,0)),0)</f>
        <v>-26033.668084244968</v>
      </c>
      <c r="DW164" s="798">
        <f>IFERROR(-INDEX(OperBgt!$G$77:$EH$77,MATCH('Venture Summary - Mthly'!DW5-INDEX('Venture Assumptions'!$J$6:$J$40,MATCH($B$2,'Venture Assumptions'!$I$6:$I$40,0)),OperBgt!$G$5:$EH$5,0)),0)</f>
        <v>-26154.090807364253</v>
      </c>
      <c r="DX164" s="798">
        <f>IFERROR(-INDEX(OperBgt!$G$77:$EH$77,MATCH('Venture Summary - Mthly'!DX5-INDEX('Venture Assumptions'!$J$6:$J$40,MATCH($B$2,'Venture Assumptions'!$I$6:$I$40,0)),OperBgt!$G$5:$EH$5,0)),0)</f>
        <v>-26259.989248707578</v>
      </c>
      <c r="DY164" s="798">
        <f>IFERROR(-INDEX(OperBgt!$G$77:$EH$77,MATCH('Venture Summary - Mthly'!DY5-INDEX('Venture Assumptions'!$J$6:$J$40,MATCH($B$2,'Venture Assumptions'!$I$6:$I$40,0)),OperBgt!$G$5:$EH$5,0)),0)</f>
        <v>-26324.922215823939</v>
      </c>
      <c r="DZ164" s="798">
        <f>IFERROR(-INDEX(OperBgt!$G$77:$EH$77,MATCH('Venture Summary - Mthly'!DZ5-INDEX('Venture Assumptions'!$J$6:$J$40,MATCH($B$2,'Venture Assumptions'!$I$6:$I$40,0)),OperBgt!$G$5:$EH$5,0)),0)</f>
        <v>-26390.032099268796</v>
      </c>
      <c r="EA164" s="798">
        <f>IFERROR(-INDEX(OperBgt!$G$77:$EH$77,MATCH('Venture Summary - Mthly'!EA5-INDEX('Venture Assumptions'!$J$6:$J$40,MATCH($B$2,'Venture Assumptions'!$I$6:$I$40,0)),OperBgt!$G$5:$EH$5,0)),0)</f>
        <v>-26455.319381745976</v>
      </c>
      <c r="EB164" s="798">
        <f>IFERROR(-INDEX(OperBgt!$G$77:$EH$77,MATCH('Venture Summary - Mthly'!EB5-INDEX('Venture Assumptions'!$J$6:$J$40,MATCH($B$2,'Venture Assumptions'!$I$6:$I$40,0)),OperBgt!$G$5:$EH$5,0)),0)</f>
        <v>-26549.093769552823</v>
      </c>
      <c r="EC164" s="798">
        <f>IFERROR(-INDEX(OperBgt!$G$77:$EH$77,MATCH('Venture Summary - Mthly'!EC5-INDEX('Venture Assumptions'!$J$6:$J$40,MATCH($B$2,'Venture Assumptions'!$I$6:$I$40,0)),OperBgt!$G$5:$EH$5,0)),0)</f>
        <v>-26643.242213258367</v>
      </c>
      <c r="ED164" s="798">
        <f>IFERROR(-INDEX(OperBgt!$G$77:$EH$77,MATCH('Venture Summary - Mthly'!ED5-INDEX('Venture Assumptions'!$J$6:$J$40,MATCH($B$2,'Venture Assumptions'!$I$6:$I$40,0)),OperBgt!$G$5:$EH$5,0)),0)</f>
        <v>-26737.766227577704</v>
      </c>
      <c r="EE164" s="798">
        <f>IFERROR(-INDEX(OperBgt!$G$77:$EH$77,MATCH('Venture Summary - Mthly'!EE5-INDEX('Venture Assumptions'!$J$6:$J$40,MATCH($B$2,'Venture Assumptions'!$I$6:$I$40,0)),OperBgt!$G$5:$EH$5,0)),0)</f>
        <v>-26832.667333417721</v>
      </c>
      <c r="EF164" s="798">
        <f>IFERROR(-INDEX(OperBgt!$G$77:$EH$77,MATCH('Venture Summary - Mthly'!EF5-INDEX('Venture Assumptions'!$J$6:$J$40,MATCH($B$2,'Venture Assumptions'!$I$6:$I$40,0)),OperBgt!$G$5:$EH$5,0)),0)</f>
        <v>-26927.947057902576</v>
      </c>
      <c r="EG164" s="798">
        <f>IFERROR(-INDEX(OperBgt!$G$77:$EH$77,MATCH('Venture Summary - Mthly'!EG5-INDEX('Venture Assumptions'!$J$6:$J$40,MATCH($B$2,'Venture Assumptions'!$I$6:$I$40,0)),OperBgt!$G$5:$EH$5,0)),0)</f>
        <v>-27023.606934399297</v>
      </c>
      <c r="EH164" s="782"/>
    </row>
    <row r="165" spans="1:138" ht="12.75" customHeight="1" x14ac:dyDescent="0.3">
      <c r="A165" s="782"/>
      <c r="B165" s="781" t="s">
        <v>98</v>
      </c>
      <c r="C165" s="799"/>
      <c r="D165" s="781"/>
      <c r="E165" s="799">
        <f>IFERROR(-INDEX(OperBgt!$G$78:$EH$78,MATCH('Venture Summary - Mthly'!E5-INDEX('Venture Assumptions'!$J$6:$J$40,MATCH($B$2,'Venture Assumptions'!$I$6:$I$40,0)),OperBgt!$G$5:$EH$5,0)),0)</f>
        <v>0</v>
      </c>
      <c r="F165" s="799">
        <f>IFERROR(-INDEX(OperBgt!$G$78:$EH$78,MATCH('Venture Summary - Mthly'!F5-INDEX('Venture Assumptions'!$J$6:$J$40,MATCH($B$2,'Venture Assumptions'!$I$6:$I$40,0)),OperBgt!$G$5:$EH$5,0)),0)</f>
        <v>0</v>
      </c>
      <c r="G165" s="799">
        <f>IFERROR(-INDEX(OperBgt!$G$78:$EH$78,MATCH('Venture Summary - Mthly'!G5-INDEX('Venture Assumptions'!$J$6:$J$40,MATCH($B$2,'Venture Assumptions'!$I$6:$I$40,0)),OperBgt!$G$5:$EH$5,0)),0)</f>
        <v>0</v>
      </c>
      <c r="H165" s="799">
        <f>IFERROR(-INDEX(OperBgt!$G$78:$EH$78,MATCH('Venture Summary - Mthly'!H5-INDEX('Venture Assumptions'!$J$6:$J$40,MATCH($B$2,'Venture Assumptions'!$I$6:$I$40,0)),OperBgt!$G$5:$EH$5,0)),0)</f>
        <v>0</v>
      </c>
      <c r="I165" s="799">
        <f>IFERROR(-INDEX(OperBgt!$G$78:$EH$78,MATCH('Venture Summary - Mthly'!I5-INDEX('Venture Assumptions'!$J$6:$J$40,MATCH($B$2,'Venture Assumptions'!$I$6:$I$40,0)),OperBgt!$G$5:$EH$5,0)),0)</f>
        <v>0</v>
      </c>
      <c r="J165" s="799">
        <f>IFERROR(-INDEX(OperBgt!$G$78:$EH$78,MATCH('Venture Summary - Mthly'!J5-INDEX('Venture Assumptions'!$J$6:$J$40,MATCH($B$2,'Venture Assumptions'!$I$6:$I$40,0)),OperBgt!$G$5:$EH$5,0)),0)</f>
        <v>0</v>
      </c>
      <c r="K165" s="799">
        <f>IFERROR(-INDEX(OperBgt!$G$78:$EH$78,MATCH('Venture Summary - Mthly'!K5-INDEX('Venture Assumptions'!$J$6:$J$40,MATCH($B$2,'Venture Assumptions'!$I$6:$I$40,0)),OperBgt!$G$5:$EH$5,0)),0)</f>
        <v>0</v>
      </c>
      <c r="L165" s="799">
        <f>IFERROR(-INDEX(OperBgt!$G$78:$EH$78,MATCH('Venture Summary - Mthly'!L5-INDEX('Venture Assumptions'!$J$6:$J$40,MATCH($B$2,'Venture Assumptions'!$I$6:$I$40,0)),OperBgt!$G$5:$EH$5,0)),0)</f>
        <v>0</v>
      </c>
      <c r="M165" s="799">
        <f>IFERROR(-INDEX(OperBgt!$G$78:$EH$78,MATCH('Venture Summary - Mthly'!M5-INDEX('Venture Assumptions'!$J$6:$J$40,MATCH($B$2,'Venture Assumptions'!$I$6:$I$40,0)),OperBgt!$G$5:$EH$5,0)),0)</f>
        <v>0</v>
      </c>
      <c r="N165" s="799">
        <f>IFERROR(-INDEX(OperBgt!$G$78:$EH$78,MATCH('Venture Summary - Mthly'!N5-INDEX('Venture Assumptions'!$J$6:$J$40,MATCH($B$2,'Venture Assumptions'!$I$6:$I$40,0)),OperBgt!$G$5:$EH$5,0)),0)</f>
        <v>0</v>
      </c>
      <c r="O165" s="799">
        <f>IFERROR(-INDEX(OperBgt!$G$78:$EH$78,MATCH('Venture Summary - Mthly'!O5-INDEX('Venture Assumptions'!$J$6:$J$40,MATCH($B$2,'Venture Assumptions'!$I$6:$I$40,0)),OperBgt!$G$5:$EH$5,0)),0)</f>
        <v>0</v>
      </c>
      <c r="P165" s="799">
        <f>IFERROR(-INDEX(OperBgt!$G$78:$EH$78,MATCH('Venture Summary - Mthly'!P5-INDEX('Venture Assumptions'!$J$6:$J$40,MATCH($B$2,'Venture Assumptions'!$I$6:$I$40,0)),OperBgt!$G$5:$EH$5,0)),0)</f>
        <v>0</v>
      </c>
      <c r="Q165" s="799">
        <f>IFERROR(-INDEX(OperBgt!$G$78:$EH$78,MATCH('Venture Summary - Mthly'!Q5-INDEX('Venture Assumptions'!$J$6:$J$40,MATCH($B$2,'Venture Assumptions'!$I$6:$I$40,0)),OperBgt!$G$5:$EH$5,0)),0)</f>
        <v>0</v>
      </c>
      <c r="R165" s="799">
        <f>IFERROR(-INDEX(OperBgt!$G$78:$EH$78,MATCH('Venture Summary - Mthly'!R5-INDEX('Venture Assumptions'!$J$6:$J$40,MATCH($B$2,'Venture Assumptions'!$I$6:$I$40,0)),OperBgt!$G$5:$EH$5,0)),0)</f>
        <v>0</v>
      </c>
      <c r="S165" s="799">
        <f>IFERROR(-INDEX(OperBgt!$G$78:$EH$78,MATCH('Venture Summary - Mthly'!S5-INDEX('Venture Assumptions'!$J$6:$J$40,MATCH($B$2,'Venture Assumptions'!$I$6:$I$40,0)),OperBgt!$G$5:$EH$5,0)),0)</f>
        <v>0</v>
      </c>
      <c r="T165" s="799">
        <f>IFERROR(-INDEX(OperBgt!$G$78:$EH$78,MATCH('Venture Summary - Mthly'!T5-INDEX('Venture Assumptions'!$J$6:$J$40,MATCH($B$2,'Venture Assumptions'!$I$6:$I$40,0)),OperBgt!$G$5:$EH$5,0)),0)</f>
        <v>0</v>
      </c>
      <c r="U165" s="799">
        <f>IFERROR(-INDEX(OperBgt!$G$78:$EH$78,MATCH('Venture Summary - Mthly'!U5-INDEX('Venture Assumptions'!$J$6:$J$40,MATCH($B$2,'Venture Assumptions'!$I$6:$I$40,0)),OperBgt!$G$5:$EH$5,0)),0)</f>
        <v>0</v>
      </c>
      <c r="V165" s="799">
        <f>IFERROR(-INDEX(OperBgt!$G$78:$EH$78,MATCH('Venture Summary - Mthly'!V5-INDEX('Venture Assumptions'!$J$6:$J$40,MATCH($B$2,'Venture Assumptions'!$I$6:$I$40,0)),OperBgt!$G$5:$EH$5,0)),0)</f>
        <v>0</v>
      </c>
      <c r="W165" s="799">
        <f>IFERROR(-INDEX(OperBgt!$G$78:$EH$78,MATCH('Venture Summary - Mthly'!W5-INDEX('Venture Assumptions'!$J$6:$J$40,MATCH($B$2,'Venture Assumptions'!$I$6:$I$40,0)),OperBgt!$G$5:$EH$5,0)),0)</f>
        <v>0</v>
      </c>
      <c r="X165" s="799">
        <f>IFERROR(-INDEX(OperBgt!$G$78:$EH$78,MATCH('Venture Summary - Mthly'!X5-INDEX('Venture Assumptions'!$J$6:$J$40,MATCH($B$2,'Venture Assumptions'!$I$6:$I$40,0)),OperBgt!$G$5:$EH$5,0)),0)</f>
        <v>0</v>
      </c>
      <c r="Y165" s="799">
        <f>IFERROR(-INDEX(OperBgt!$G$78:$EH$78,MATCH('Venture Summary - Mthly'!Y5-INDEX('Venture Assumptions'!$J$6:$J$40,MATCH($B$2,'Venture Assumptions'!$I$6:$I$40,0)),OperBgt!$G$5:$EH$5,0)),0)</f>
        <v>0</v>
      </c>
      <c r="Z165" s="799">
        <f>IFERROR(-INDEX(OperBgt!$G$78:$EH$78,MATCH('Venture Summary - Mthly'!Z5-INDEX('Venture Assumptions'!$J$6:$J$40,MATCH($B$2,'Venture Assumptions'!$I$6:$I$40,0)),OperBgt!$G$5:$EH$5,0)),0)</f>
        <v>0</v>
      </c>
      <c r="AA165" s="799">
        <f>IFERROR(-INDEX(OperBgt!$G$78:$EH$78,MATCH('Venture Summary - Mthly'!AA5-INDEX('Venture Assumptions'!$J$6:$J$40,MATCH($B$2,'Venture Assumptions'!$I$6:$I$40,0)),OperBgt!$G$5:$EH$5,0)),0)</f>
        <v>0</v>
      </c>
      <c r="AB165" s="799">
        <f>IFERROR(-INDEX(OperBgt!$G$78:$EH$78,MATCH('Venture Summary - Mthly'!AB5-INDEX('Venture Assumptions'!$J$6:$J$40,MATCH($B$2,'Venture Assumptions'!$I$6:$I$40,0)),OperBgt!$G$5:$EH$5,0)),0)</f>
        <v>0</v>
      </c>
      <c r="AC165" s="799">
        <f>IFERROR(-INDEX(OperBgt!$G$78:$EH$78,MATCH('Venture Summary - Mthly'!AC5-INDEX('Venture Assumptions'!$J$6:$J$40,MATCH($B$2,'Venture Assumptions'!$I$6:$I$40,0)),OperBgt!$G$5:$EH$5,0)),0)</f>
        <v>0</v>
      </c>
      <c r="AD165" s="799">
        <f>IFERROR(-INDEX(OperBgt!$G$78:$EH$78,MATCH('Venture Summary - Mthly'!AD5-INDEX('Venture Assumptions'!$J$6:$J$40,MATCH($B$2,'Venture Assumptions'!$I$6:$I$40,0)),OperBgt!$G$5:$EH$5,0)),0)</f>
        <v>0</v>
      </c>
      <c r="AE165" s="799">
        <f>IFERROR(-INDEX(OperBgt!$G$78:$EH$78,MATCH('Venture Summary - Mthly'!AE5-INDEX('Venture Assumptions'!$J$6:$J$40,MATCH($B$2,'Venture Assumptions'!$I$6:$I$40,0)),OperBgt!$G$5:$EH$5,0)),0)</f>
        <v>-4605.2323358204339</v>
      </c>
      <c r="AF165" s="799">
        <f>IFERROR(-INDEX(OperBgt!$G$78:$EH$78,MATCH('Venture Summary - Mthly'!AF5-INDEX('Venture Assumptions'!$J$6:$J$40,MATCH($B$2,'Venture Assumptions'!$I$6:$I$40,0)),OperBgt!$G$5:$EH$5,0)),0)</f>
        <v>-4605.2323358204339</v>
      </c>
      <c r="AG165" s="799">
        <f>IFERROR(-INDEX(OperBgt!$G$78:$EH$78,MATCH('Venture Summary - Mthly'!AG5-INDEX('Venture Assumptions'!$J$6:$J$40,MATCH($B$2,'Venture Assumptions'!$I$6:$I$40,0)),OperBgt!$G$5:$EH$5,0)),0)</f>
        <v>-4743.3893058950525</v>
      </c>
      <c r="AH165" s="799">
        <f>IFERROR(-INDEX(OperBgt!$G$78:$EH$78,MATCH('Venture Summary - Mthly'!AH5-INDEX('Venture Assumptions'!$J$6:$J$40,MATCH($B$2,'Venture Assumptions'!$I$6:$I$40,0)),OperBgt!$G$5:$EH$5,0)),0)</f>
        <v>-4743.3893058950525</v>
      </c>
      <c r="AI165" s="799">
        <f>IFERROR(-INDEX(OperBgt!$G$78:$EH$78,MATCH('Venture Summary - Mthly'!AI5-INDEX('Venture Assumptions'!$J$6:$J$40,MATCH($B$2,'Venture Assumptions'!$I$6:$I$40,0)),OperBgt!$G$5:$EH$5,0)),0)</f>
        <v>-4743.3893058950525</v>
      </c>
      <c r="AJ165" s="799">
        <f>IFERROR(-INDEX(OperBgt!$G$78:$EH$78,MATCH('Venture Summary - Mthly'!AJ5-INDEX('Venture Assumptions'!$J$6:$J$40,MATCH($B$2,'Venture Assumptions'!$I$6:$I$40,0)),OperBgt!$G$5:$EH$5,0)),0)</f>
        <v>-4743.3893058950525</v>
      </c>
      <c r="AK165" s="799">
        <f>IFERROR(-INDEX(OperBgt!$G$78:$EH$78,MATCH('Venture Summary - Mthly'!AK5-INDEX('Venture Assumptions'!$J$6:$J$40,MATCH($B$2,'Venture Assumptions'!$I$6:$I$40,0)),OperBgt!$G$5:$EH$5,0)),0)</f>
        <v>-4743.3893058950525</v>
      </c>
      <c r="AL165" s="799">
        <f>IFERROR(-INDEX(OperBgt!$G$78:$EH$78,MATCH('Venture Summary - Mthly'!AL5-INDEX('Venture Assumptions'!$J$6:$J$40,MATCH($B$2,'Venture Assumptions'!$I$6:$I$40,0)),OperBgt!$G$5:$EH$5,0)),0)</f>
        <v>-4743.3893058950525</v>
      </c>
      <c r="AM165" s="799">
        <f>IFERROR(-INDEX(OperBgt!$G$78:$EH$78,MATCH('Venture Summary - Mthly'!AM5-INDEX('Venture Assumptions'!$J$6:$J$40,MATCH($B$2,'Venture Assumptions'!$I$6:$I$40,0)),OperBgt!$G$5:$EH$5,0)),0)</f>
        <v>-4743.3893058950525</v>
      </c>
      <c r="AN165" s="799">
        <f>IFERROR(-INDEX(OperBgt!$G$78:$EH$78,MATCH('Venture Summary - Mthly'!AN5-INDEX('Venture Assumptions'!$J$6:$J$40,MATCH($B$2,'Venture Assumptions'!$I$6:$I$40,0)),OperBgt!$G$5:$EH$5,0)),0)</f>
        <v>-4743.3893058950525</v>
      </c>
      <c r="AO165" s="799">
        <f>IFERROR(-INDEX(OperBgt!$G$78:$EH$78,MATCH('Venture Summary - Mthly'!AO5-INDEX('Venture Assumptions'!$J$6:$J$40,MATCH($B$2,'Venture Assumptions'!$I$6:$I$40,0)),OperBgt!$G$5:$EH$5,0)),0)</f>
        <v>-4743.3893058950525</v>
      </c>
      <c r="AP165" s="799">
        <f>IFERROR(-INDEX(OperBgt!$G$78:$EH$78,MATCH('Venture Summary - Mthly'!AP5-INDEX('Venture Assumptions'!$J$6:$J$40,MATCH($B$2,'Venture Assumptions'!$I$6:$I$40,0)),OperBgt!$G$5:$EH$5,0)),0)</f>
        <v>-4743.3893058950525</v>
      </c>
      <c r="AQ165" s="799">
        <f>IFERROR(-INDEX(OperBgt!$G$78:$EH$78,MATCH('Venture Summary - Mthly'!AQ5-INDEX('Venture Assumptions'!$J$6:$J$40,MATCH($B$2,'Venture Assumptions'!$I$6:$I$40,0)),OperBgt!$G$5:$EH$5,0)),0)</f>
        <v>-4743.3893058950525</v>
      </c>
      <c r="AR165" s="799">
        <f>IFERROR(-INDEX(OperBgt!$G$78:$EH$78,MATCH('Venture Summary - Mthly'!AR5-INDEX('Venture Assumptions'!$J$6:$J$40,MATCH($B$2,'Venture Assumptions'!$I$6:$I$40,0)),OperBgt!$G$5:$EH$5,0)),0)</f>
        <v>-4743.3893058950525</v>
      </c>
      <c r="AS165" s="799">
        <f>IFERROR(-INDEX(OperBgt!$G$78:$EH$78,MATCH('Venture Summary - Mthly'!AS5-INDEX('Venture Assumptions'!$J$6:$J$40,MATCH($B$2,'Venture Assumptions'!$I$6:$I$40,0)),OperBgt!$G$5:$EH$5,0)),0)</f>
        <v>-4885.6909850719094</v>
      </c>
      <c r="AT165" s="799">
        <f>IFERROR(-INDEX(OperBgt!$G$78:$EH$78,MATCH('Venture Summary - Mthly'!AT5-INDEX('Venture Assumptions'!$J$6:$J$40,MATCH($B$2,'Venture Assumptions'!$I$6:$I$40,0)),OperBgt!$G$5:$EH$5,0)),0)</f>
        <v>-4885.6909850719094</v>
      </c>
      <c r="AU165" s="799">
        <f>IFERROR(-INDEX(OperBgt!$G$78:$EH$78,MATCH('Venture Summary - Mthly'!AU5-INDEX('Venture Assumptions'!$J$6:$J$40,MATCH($B$2,'Venture Assumptions'!$I$6:$I$40,0)),OperBgt!$G$5:$EH$5,0)),0)</f>
        <v>-4885.6909850719094</v>
      </c>
      <c r="AV165" s="799">
        <f>IFERROR(-INDEX(OperBgt!$G$78:$EH$78,MATCH('Venture Summary - Mthly'!AV5-INDEX('Venture Assumptions'!$J$6:$J$40,MATCH($B$2,'Venture Assumptions'!$I$6:$I$40,0)),OperBgt!$G$5:$EH$5,0)),0)</f>
        <v>-4885.6909850719094</v>
      </c>
      <c r="AW165" s="799">
        <f>IFERROR(-INDEX(OperBgt!$G$78:$EH$78,MATCH('Venture Summary - Mthly'!AW5-INDEX('Venture Assumptions'!$J$6:$J$40,MATCH($B$2,'Venture Assumptions'!$I$6:$I$40,0)),OperBgt!$G$5:$EH$5,0)),0)</f>
        <v>-4885.6909850719094</v>
      </c>
      <c r="AX165" s="799">
        <f>IFERROR(-INDEX(OperBgt!$G$78:$EH$78,MATCH('Venture Summary - Mthly'!AX5-INDEX('Venture Assumptions'!$J$6:$J$40,MATCH($B$2,'Venture Assumptions'!$I$6:$I$40,0)),OperBgt!$G$5:$EH$5,0)),0)</f>
        <v>-4885.6909850719094</v>
      </c>
      <c r="AY165" s="799">
        <f>IFERROR(-INDEX(OperBgt!$G$78:$EH$78,MATCH('Venture Summary - Mthly'!AY5-INDEX('Venture Assumptions'!$J$6:$J$40,MATCH($B$2,'Venture Assumptions'!$I$6:$I$40,0)),OperBgt!$G$5:$EH$5,0)),0)</f>
        <v>-4885.6909850719094</v>
      </c>
      <c r="AZ165" s="799">
        <f>IFERROR(-INDEX(OperBgt!$G$78:$EH$78,MATCH('Venture Summary - Mthly'!AZ5-INDEX('Venture Assumptions'!$J$6:$J$40,MATCH($B$2,'Venture Assumptions'!$I$6:$I$40,0)),OperBgt!$G$5:$EH$5,0)),0)</f>
        <v>-4885.6909850719094</v>
      </c>
      <c r="BA165" s="799">
        <f>IFERROR(-INDEX(OperBgt!$G$78:$EH$78,MATCH('Venture Summary - Mthly'!BA5-INDEX('Venture Assumptions'!$J$6:$J$40,MATCH($B$2,'Venture Assumptions'!$I$6:$I$40,0)),OperBgt!$G$5:$EH$5,0)),0)</f>
        <v>-4885.6909850719094</v>
      </c>
      <c r="BB165" s="799">
        <f>IFERROR(-INDEX(OperBgt!$G$78:$EH$78,MATCH('Venture Summary - Mthly'!BB5-INDEX('Venture Assumptions'!$J$6:$J$40,MATCH($B$2,'Venture Assumptions'!$I$6:$I$40,0)),OperBgt!$G$5:$EH$5,0)),0)</f>
        <v>-4885.6909850719094</v>
      </c>
      <c r="BC165" s="799">
        <f>IFERROR(-INDEX(OperBgt!$G$78:$EH$78,MATCH('Venture Summary - Mthly'!BC5-INDEX('Venture Assumptions'!$J$6:$J$40,MATCH($B$2,'Venture Assumptions'!$I$6:$I$40,0)),OperBgt!$G$5:$EH$5,0)),0)</f>
        <v>-4885.6909850719094</v>
      </c>
      <c r="BD165" s="799">
        <f>IFERROR(-INDEX(OperBgt!$G$78:$EH$78,MATCH('Venture Summary - Mthly'!BD5-INDEX('Venture Assumptions'!$J$6:$J$40,MATCH($B$2,'Venture Assumptions'!$I$6:$I$40,0)),OperBgt!$G$5:$EH$5,0)),0)</f>
        <v>-4885.6909850719094</v>
      </c>
      <c r="BE165" s="799">
        <f>IFERROR(-INDEX(OperBgt!$G$78:$EH$78,MATCH('Venture Summary - Mthly'!BE5-INDEX('Venture Assumptions'!$J$6:$J$40,MATCH($B$2,'Venture Assumptions'!$I$6:$I$40,0)),OperBgt!$G$5:$EH$5,0)),0)</f>
        <v>-5032.2617146240718</v>
      </c>
      <c r="BF165" s="799">
        <f>IFERROR(-INDEX(OperBgt!$G$78:$EH$78,MATCH('Venture Summary - Mthly'!BF5-INDEX('Venture Assumptions'!$J$6:$J$40,MATCH($B$2,'Venture Assumptions'!$I$6:$I$40,0)),OperBgt!$G$5:$EH$5,0)),0)</f>
        <v>-5032.2617146240718</v>
      </c>
      <c r="BG165" s="799">
        <f>IFERROR(-INDEX(OperBgt!$G$78:$EH$78,MATCH('Venture Summary - Mthly'!BG5-INDEX('Venture Assumptions'!$J$6:$J$40,MATCH($B$2,'Venture Assumptions'!$I$6:$I$40,0)),OperBgt!$G$5:$EH$5,0)),0)</f>
        <v>-5032.2617146240718</v>
      </c>
      <c r="BH165" s="799">
        <f>IFERROR(-INDEX(OperBgt!$G$78:$EH$78,MATCH('Venture Summary - Mthly'!BH5-INDEX('Venture Assumptions'!$J$6:$J$40,MATCH($B$2,'Venture Assumptions'!$I$6:$I$40,0)),OperBgt!$G$5:$EH$5,0)),0)</f>
        <v>-5032.2617146240718</v>
      </c>
      <c r="BI165" s="799">
        <f>IFERROR(-INDEX(OperBgt!$G$78:$EH$78,MATCH('Venture Summary - Mthly'!BI5-INDEX('Venture Assumptions'!$J$6:$J$40,MATCH($B$2,'Venture Assumptions'!$I$6:$I$40,0)),OperBgt!$G$5:$EH$5,0)),0)</f>
        <v>-5032.2617146240718</v>
      </c>
      <c r="BJ165" s="799">
        <f>IFERROR(-INDEX(OperBgt!$G$78:$EH$78,MATCH('Venture Summary - Mthly'!BJ5-INDEX('Venture Assumptions'!$J$6:$J$40,MATCH($B$2,'Venture Assumptions'!$I$6:$I$40,0)),OperBgt!$G$5:$EH$5,0)),0)</f>
        <v>-5032.2617146240718</v>
      </c>
      <c r="BK165" s="799">
        <f>IFERROR(-INDEX(OperBgt!$G$78:$EH$78,MATCH('Venture Summary - Mthly'!BK5-INDEX('Venture Assumptions'!$J$6:$J$40,MATCH($B$2,'Venture Assumptions'!$I$6:$I$40,0)),OperBgt!$G$5:$EH$5,0)),0)</f>
        <v>-5032.2617146240718</v>
      </c>
      <c r="BL165" s="799">
        <f>IFERROR(-INDEX(OperBgt!$G$78:$EH$78,MATCH('Venture Summary - Mthly'!BL5-INDEX('Venture Assumptions'!$J$6:$J$40,MATCH($B$2,'Venture Assumptions'!$I$6:$I$40,0)),OperBgt!$G$5:$EH$5,0)),0)</f>
        <v>-5032.2617146240718</v>
      </c>
      <c r="BM165" s="799">
        <f>IFERROR(-INDEX(OperBgt!$G$78:$EH$78,MATCH('Venture Summary - Mthly'!BM5-INDEX('Venture Assumptions'!$J$6:$J$40,MATCH($B$2,'Venture Assumptions'!$I$6:$I$40,0)),OperBgt!$G$5:$EH$5,0)),0)</f>
        <v>-5032.2617146240718</v>
      </c>
      <c r="BN165" s="799">
        <f>IFERROR(-INDEX(OperBgt!$G$78:$EH$78,MATCH('Venture Summary - Mthly'!BN5-INDEX('Venture Assumptions'!$J$6:$J$40,MATCH($B$2,'Venture Assumptions'!$I$6:$I$40,0)),OperBgt!$G$5:$EH$5,0)),0)</f>
        <v>-5032.2617146240718</v>
      </c>
      <c r="BO165" s="799">
        <f>IFERROR(-INDEX(OperBgt!$G$78:$EH$78,MATCH('Venture Summary - Mthly'!BO5-INDEX('Venture Assumptions'!$J$6:$J$40,MATCH($B$2,'Venture Assumptions'!$I$6:$I$40,0)),OperBgt!$G$5:$EH$5,0)),0)</f>
        <v>-5032.2617146240718</v>
      </c>
      <c r="BP165" s="799">
        <f>IFERROR(-INDEX(OperBgt!$G$78:$EH$78,MATCH('Venture Summary - Mthly'!BP5-INDEX('Venture Assumptions'!$J$6:$J$40,MATCH($B$2,'Venture Assumptions'!$I$6:$I$40,0)),OperBgt!$G$5:$EH$5,0)),0)</f>
        <v>-5032.2617146240718</v>
      </c>
      <c r="BQ165" s="799">
        <f>IFERROR(-INDEX(OperBgt!$G$78:$EH$78,MATCH('Venture Summary - Mthly'!BQ5-INDEX('Venture Assumptions'!$J$6:$J$40,MATCH($B$2,'Venture Assumptions'!$I$6:$I$40,0)),OperBgt!$G$5:$EH$5,0)),0)</f>
        <v>-5183.2295660627988</v>
      </c>
      <c r="BR165" s="799">
        <f>IFERROR(-INDEX(OperBgt!$G$78:$EH$78,MATCH('Venture Summary - Mthly'!BR5-INDEX('Venture Assumptions'!$J$6:$J$40,MATCH($B$2,'Venture Assumptions'!$I$6:$I$40,0)),OperBgt!$G$5:$EH$5,0)),0)</f>
        <v>-5183.2295660627988</v>
      </c>
      <c r="BS165" s="799">
        <f>IFERROR(-INDEX(OperBgt!$G$78:$EH$78,MATCH('Venture Summary - Mthly'!BS5-INDEX('Venture Assumptions'!$J$6:$J$40,MATCH($B$2,'Venture Assumptions'!$I$6:$I$40,0)),OperBgt!$G$5:$EH$5,0)),0)</f>
        <v>-5183.2295660627988</v>
      </c>
      <c r="BT165" s="799">
        <f>IFERROR(-INDEX(OperBgt!$G$78:$EH$78,MATCH('Venture Summary - Mthly'!BT5-INDEX('Venture Assumptions'!$J$6:$J$40,MATCH($B$2,'Venture Assumptions'!$I$6:$I$40,0)),OperBgt!$G$5:$EH$5,0)),0)</f>
        <v>-5183.2295660627988</v>
      </c>
      <c r="BU165" s="799">
        <f>IFERROR(-INDEX(OperBgt!$G$78:$EH$78,MATCH('Venture Summary - Mthly'!BU5-INDEX('Venture Assumptions'!$J$6:$J$40,MATCH($B$2,'Venture Assumptions'!$I$6:$I$40,0)),OperBgt!$G$5:$EH$5,0)),0)</f>
        <v>-5183.2295660627988</v>
      </c>
      <c r="BV165" s="799">
        <f>IFERROR(-INDEX(OperBgt!$G$78:$EH$78,MATCH('Venture Summary - Mthly'!BV5-INDEX('Venture Assumptions'!$J$6:$J$40,MATCH($B$2,'Venture Assumptions'!$I$6:$I$40,0)),OperBgt!$G$5:$EH$5,0)),0)</f>
        <v>-5183.2295660627988</v>
      </c>
      <c r="BW165" s="799">
        <f>IFERROR(-INDEX(OperBgt!$G$78:$EH$78,MATCH('Venture Summary - Mthly'!BW5-INDEX('Venture Assumptions'!$J$6:$J$40,MATCH($B$2,'Venture Assumptions'!$I$6:$I$40,0)),OperBgt!$G$5:$EH$5,0)),0)</f>
        <v>-5183.2295660627988</v>
      </c>
      <c r="BX165" s="799">
        <f>IFERROR(-INDEX(OperBgt!$G$78:$EH$78,MATCH('Venture Summary - Mthly'!BX5-INDEX('Venture Assumptions'!$J$6:$J$40,MATCH($B$2,'Venture Assumptions'!$I$6:$I$40,0)),OperBgt!$G$5:$EH$5,0)),0)</f>
        <v>-5183.2295660627988</v>
      </c>
      <c r="BY165" s="799">
        <f>IFERROR(-INDEX(OperBgt!$G$78:$EH$78,MATCH('Venture Summary - Mthly'!BY5-INDEX('Venture Assumptions'!$J$6:$J$40,MATCH($B$2,'Venture Assumptions'!$I$6:$I$40,0)),OperBgt!$G$5:$EH$5,0)),0)</f>
        <v>-5183.2295660627988</v>
      </c>
      <c r="BZ165" s="799">
        <f>IFERROR(-INDEX(OperBgt!$G$78:$EH$78,MATCH('Venture Summary - Mthly'!BZ5-INDEX('Venture Assumptions'!$J$6:$J$40,MATCH($B$2,'Venture Assumptions'!$I$6:$I$40,0)),OperBgt!$G$5:$EH$5,0)),0)</f>
        <v>-5183.2295660627988</v>
      </c>
      <c r="CA165" s="799">
        <f>IFERROR(-INDEX(OperBgt!$G$78:$EH$78,MATCH('Venture Summary - Mthly'!CA5-INDEX('Venture Assumptions'!$J$6:$J$40,MATCH($B$2,'Venture Assumptions'!$I$6:$I$40,0)),OperBgt!$G$5:$EH$5,0)),0)</f>
        <v>-5183.2295660627988</v>
      </c>
      <c r="CB165" s="799">
        <f>IFERROR(-INDEX(OperBgt!$G$78:$EH$78,MATCH('Venture Summary - Mthly'!CB5-INDEX('Venture Assumptions'!$J$6:$J$40,MATCH($B$2,'Venture Assumptions'!$I$6:$I$40,0)),OperBgt!$G$5:$EH$5,0)),0)</f>
        <v>-5183.2295660627988</v>
      </c>
      <c r="CC165" s="799">
        <f>IFERROR(-INDEX(OperBgt!$G$78:$EH$78,MATCH('Venture Summary - Mthly'!CC5-INDEX('Venture Assumptions'!$J$6:$J$40,MATCH($B$2,'Venture Assumptions'!$I$6:$I$40,0)),OperBgt!$G$5:$EH$5,0)),0)</f>
        <v>-5338.7264530446892</v>
      </c>
      <c r="CD165" s="799">
        <f>IFERROR(-INDEX(OperBgt!$G$78:$EH$78,MATCH('Venture Summary - Mthly'!CD5-INDEX('Venture Assumptions'!$J$6:$J$40,MATCH($B$2,'Venture Assumptions'!$I$6:$I$40,0)),OperBgt!$G$5:$EH$5,0)),0)</f>
        <v>-5338.7264530446892</v>
      </c>
      <c r="CE165" s="799">
        <f>IFERROR(-INDEX(OperBgt!$G$78:$EH$78,MATCH('Venture Summary - Mthly'!CE5-INDEX('Venture Assumptions'!$J$6:$J$40,MATCH($B$2,'Venture Assumptions'!$I$6:$I$40,0)),OperBgt!$G$5:$EH$5,0)),0)</f>
        <v>-5338.7264530446892</v>
      </c>
      <c r="CF165" s="799">
        <f>IFERROR(-INDEX(OperBgt!$G$78:$EH$78,MATCH('Venture Summary - Mthly'!CF5-INDEX('Venture Assumptions'!$J$6:$J$40,MATCH($B$2,'Venture Assumptions'!$I$6:$I$40,0)),OperBgt!$G$5:$EH$5,0)),0)</f>
        <v>-5338.7264530446892</v>
      </c>
      <c r="CG165" s="799">
        <f>IFERROR(-INDEX(OperBgt!$G$78:$EH$78,MATCH('Venture Summary - Mthly'!CG5-INDEX('Venture Assumptions'!$J$6:$J$40,MATCH($B$2,'Venture Assumptions'!$I$6:$I$40,0)),OperBgt!$G$5:$EH$5,0)),0)</f>
        <v>-5338.7264530446892</v>
      </c>
      <c r="CH165" s="799">
        <f>IFERROR(-INDEX(OperBgt!$G$78:$EH$78,MATCH('Venture Summary - Mthly'!CH5-INDEX('Venture Assumptions'!$J$6:$J$40,MATCH($B$2,'Venture Assumptions'!$I$6:$I$40,0)),OperBgt!$G$5:$EH$5,0)),0)</f>
        <v>-5338.7264530446892</v>
      </c>
      <c r="CI165" s="799">
        <f>IFERROR(-INDEX(OperBgt!$G$78:$EH$78,MATCH('Venture Summary - Mthly'!CI5-INDEX('Venture Assumptions'!$J$6:$J$40,MATCH($B$2,'Venture Assumptions'!$I$6:$I$40,0)),OperBgt!$G$5:$EH$5,0)),0)</f>
        <v>-5338.7264530446892</v>
      </c>
      <c r="CJ165" s="799">
        <f>IFERROR(-INDEX(OperBgt!$G$78:$EH$78,MATCH('Venture Summary - Mthly'!CJ5-INDEX('Venture Assumptions'!$J$6:$J$40,MATCH($B$2,'Venture Assumptions'!$I$6:$I$40,0)),OperBgt!$G$5:$EH$5,0)),0)</f>
        <v>-5338.7264530446892</v>
      </c>
      <c r="CK165" s="799">
        <f>IFERROR(-INDEX(OperBgt!$G$78:$EH$78,MATCH('Venture Summary - Mthly'!CK5-INDEX('Venture Assumptions'!$J$6:$J$40,MATCH($B$2,'Venture Assumptions'!$I$6:$I$40,0)),OperBgt!$G$5:$EH$5,0)),0)</f>
        <v>-5338.7264530446892</v>
      </c>
      <c r="CL165" s="799">
        <f>IFERROR(-INDEX(OperBgt!$G$78:$EH$78,MATCH('Venture Summary - Mthly'!CL5-INDEX('Venture Assumptions'!$J$6:$J$40,MATCH($B$2,'Venture Assumptions'!$I$6:$I$40,0)),OperBgt!$G$5:$EH$5,0)),0)</f>
        <v>-5338.7264530446892</v>
      </c>
      <c r="CM165" s="799">
        <f>IFERROR(-INDEX(OperBgt!$G$78:$EH$78,MATCH('Venture Summary - Mthly'!CM5-INDEX('Venture Assumptions'!$J$6:$J$40,MATCH($B$2,'Venture Assumptions'!$I$6:$I$40,0)),OperBgt!$G$5:$EH$5,0)),0)</f>
        <v>-5338.7264530446892</v>
      </c>
      <c r="CN165" s="799">
        <f>IFERROR(-INDEX(OperBgt!$G$78:$EH$78,MATCH('Venture Summary - Mthly'!CN5-INDEX('Venture Assumptions'!$J$6:$J$40,MATCH($B$2,'Venture Assumptions'!$I$6:$I$40,0)),OperBgt!$G$5:$EH$5,0)),0)</f>
        <v>-5338.7264530446892</v>
      </c>
      <c r="CO165" s="799">
        <f>IFERROR(-INDEX(OperBgt!$G$78:$EH$78,MATCH('Venture Summary - Mthly'!CO5-INDEX('Venture Assumptions'!$J$6:$J$40,MATCH($B$2,'Venture Assumptions'!$I$6:$I$40,0)),OperBgt!$G$5:$EH$5,0)),0)</f>
        <v>-5498.8882466360337</v>
      </c>
      <c r="CP165" s="799">
        <f>IFERROR(-INDEX(OperBgt!$G$78:$EH$78,MATCH('Venture Summary - Mthly'!CP5-INDEX('Venture Assumptions'!$J$6:$J$40,MATCH($B$2,'Venture Assumptions'!$I$6:$I$40,0)),OperBgt!$G$5:$EH$5,0)),0)</f>
        <v>-5498.8882466360337</v>
      </c>
      <c r="CQ165" s="799">
        <f>IFERROR(-INDEX(OperBgt!$G$78:$EH$78,MATCH('Venture Summary - Mthly'!CQ5-INDEX('Venture Assumptions'!$J$6:$J$40,MATCH($B$2,'Venture Assumptions'!$I$6:$I$40,0)),OperBgt!$G$5:$EH$5,0)),0)</f>
        <v>-5498.8882466360337</v>
      </c>
      <c r="CR165" s="799">
        <f>IFERROR(-INDEX(OperBgt!$G$78:$EH$78,MATCH('Venture Summary - Mthly'!CR5-INDEX('Venture Assumptions'!$J$6:$J$40,MATCH($B$2,'Venture Assumptions'!$I$6:$I$40,0)),OperBgt!$G$5:$EH$5,0)),0)</f>
        <v>-5498.8882466360337</v>
      </c>
      <c r="CS165" s="799">
        <f>IFERROR(-INDEX(OperBgt!$G$78:$EH$78,MATCH('Venture Summary - Mthly'!CS5-INDEX('Venture Assumptions'!$J$6:$J$40,MATCH($B$2,'Venture Assumptions'!$I$6:$I$40,0)),OperBgt!$G$5:$EH$5,0)),0)</f>
        <v>-5498.8882466360337</v>
      </c>
      <c r="CT165" s="799">
        <f>IFERROR(-INDEX(OperBgt!$G$78:$EH$78,MATCH('Venture Summary - Mthly'!CT5-INDEX('Venture Assumptions'!$J$6:$J$40,MATCH($B$2,'Venture Assumptions'!$I$6:$I$40,0)),OperBgt!$G$5:$EH$5,0)),0)</f>
        <v>-5498.8882466360337</v>
      </c>
      <c r="CU165" s="799">
        <f>IFERROR(-INDEX(OperBgt!$G$78:$EH$78,MATCH('Venture Summary - Mthly'!CU5-INDEX('Venture Assumptions'!$J$6:$J$40,MATCH($B$2,'Venture Assumptions'!$I$6:$I$40,0)),OperBgt!$G$5:$EH$5,0)),0)</f>
        <v>-5498.8882466360337</v>
      </c>
      <c r="CV165" s="799">
        <f>IFERROR(-INDEX(OperBgt!$G$78:$EH$78,MATCH('Venture Summary - Mthly'!CV5-INDEX('Venture Assumptions'!$J$6:$J$40,MATCH($B$2,'Venture Assumptions'!$I$6:$I$40,0)),OperBgt!$G$5:$EH$5,0)),0)</f>
        <v>-5498.8882466360337</v>
      </c>
      <c r="CW165" s="799">
        <f>IFERROR(-INDEX(OperBgt!$G$78:$EH$78,MATCH('Venture Summary - Mthly'!CW5-INDEX('Venture Assumptions'!$J$6:$J$40,MATCH($B$2,'Venture Assumptions'!$I$6:$I$40,0)),OperBgt!$G$5:$EH$5,0)),0)</f>
        <v>-5498.8882466360337</v>
      </c>
      <c r="CX165" s="799">
        <f>IFERROR(-INDEX(OperBgt!$G$78:$EH$78,MATCH('Venture Summary - Mthly'!CX5-INDEX('Venture Assumptions'!$J$6:$J$40,MATCH($B$2,'Venture Assumptions'!$I$6:$I$40,0)),OperBgt!$G$5:$EH$5,0)),0)</f>
        <v>-5498.8882466360337</v>
      </c>
      <c r="CY165" s="799">
        <f>IFERROR(-INDEX(OperBgt!$G$78:$EH$78,MATCH('Venture Summary - Mthly'!CY5-INDEX('Venture Assumptions'!$J$6:$J$40,MATCH($B$2,'Venture Assumptions'!$I$6:$I$40,0)),OperBgt!$G$5:$EH$5,0)),0)</f>
        <v>-5498.8882466360337</v>
      </c>
      <c r="CZ165" s="799">
        <f>IFERROR(-INDEX(OperBgt!$G$78:$EH$78,MATCH('Venture Summary - Mthly'!CZ5-INDEX('Venture Assumptions'!$J$6:$J$40,MATCH($B$2,'Venture Assumptions'!$I$6:$I$40,0)),OperBgt!$G$5:$EH$5,0)),0)</f>
        <v>-5498.8882466360337</v>
      </c>
      <c r="DA165" s="799">
        <f>IFERROR(-INDEX(OperBgt!$G$78:$EH$78,MATCH('Venture Summary - Mthly'!DA5-INDEX('Venture Assumptions'!$J$6:$J$40,MATCH($B$2,'Venture Assumptions'!$I$6:$I$40,0)),OperBgt!$G$5:$EH$5,0)),0)</f>
        <v>-5663.8548940351211</v>
      </c>
      <c r="DB165" s="799">
        <f>IFERROR(-INDEX(OperBgt!$G$78:$EH$78,MATCH('Venture Summary - Mthly'!DB5-INDEX('Venture Assumptions'!$J$6:$J$40,MATCH($B$2,'Venture Assumptions'!$I$6:$I$40,0)),OperBgt!$G$5:$EH$5,0)),0)</f>
        <v>-5663.8548940351211</v>
      </c>
      <c r="DC165" s="799">
        <f>IFERROR(-INDEX(OperBgt!$G$78:$EH$78,MATCH('Venture Summary - Mthly'!DC5-INDEX('Venture Assumptions'!$J$6:$J$40,MATCH($B$2,'Venture Assumptions'!$I$6:$I$40,0)),OperBgt!$G$5:$EH$5,0)),0)</f>
        <v>-5663.8548940351211</v>
      </c>
      <c r="DD165" s="799">
        <f>IFERROR(-INDEX(OperBgt!$G$78:$EH$78,MATCH('Venture Summary - Mthly'!DD5-INDEX('Venture Assumptions'!$J$6:$J$40,MATCH($B$2,'Venture Assumptions'!$I$6:$I$40,0)),OperBgt!$G$5:$EH$5,0)),0)</f>
        <v>-5663.8548940351211</v>
      </c>
      <c r="DE165" s="799">
        <f>IFERROR(-INDEX(OperBgt!$G$78:$EH$78,MATCH('Venture Summary - Mthly'!DE5-INDEX('Venture Assumptions'!$J$6:$J$40,MATCH($B$2,'Venture Assumptions'!$I$6:$I$40,0)),OperBgt!$G$5:$EH$5,0)),0)</f>
        <v>-5663.8548940351211</v>
      </c>
      <c r="DF165" s="799">
        <f>IFERROR(-INDEX(OperBgt!$G$78:$EH$78,MATCH('Venture Summary - Mthly'!DF5-INDEX('Venture Assumptions'!$J$6:$J$40,MATCH($B$2,'Venture Assumptions'!$I$6:$I$40,0)),OperBgt!$G$5:$EH$5,0)),0)</f>
        <v>-5663.8548940351211</v>
      </c>
      <c r="DG165" s="799">
        <f>IFERROR(-INDEX(OperBgt!$G$78:$EH$78,MATCH('Venture Summary - Mthly'!DG5-INDEX('Venture Assumptions'!$J$6:$J$40,MATCH($B$2,'Venture Assumptions'!$I$6:$I$40,0)),OperBgt!$G$5:$EH$5,0)),0)</f>
        <v>-5663.8548940351211</v>
      </c>
      <c r="DH165" s="799">
        <f>IFERROR(-INDEX(OperBgt!$G$78:$EH$78,MATCH('Venture Summary - Mthly'!DH5-INDEX('Venture Assumptions'!$J$6:$J$40,MATCH($B$2,'Venture Assumptions'!$I$6:$I$40,0)),OperBgt!$G$5:$EH$5,0)),0)</f>
        <v>-5663.8548940351211</v>
      </c>
      <c r="DI165" s="799">
        <f>IFERROR(-INDEX(OperBgt!$G$78:$EH$78,MATCH('Venture Summary - Mthly'!DI5-INDEX('Venture Assumptions'!$J$6:$J$40,MATCH($B$2,'Venture Assumptions'!$I$6:$I$40,0)),OperBgt!$G$5:$EH$5,0)),0)</f>
        <v>-5663.8548940351211</v>
      </c>
      <c r="DJ165" s="799">
        <f>IFERROR(-INDEX(OperBgt!$G$78:$EH$78,MATCH('Venture Summary - Mthly'!DJ5-INDEX('Venture Assumptions'!$J$6:$J$40,MATCH($B$2,'Venture Assumptions'!$I$6:$I$40,0)),OperBgt!$G$5:$EH$5,0)),0)</f>
        <v>-5663.8548940351211</v>
      </c>
      <c r="DK165" s="799">
        <f>IFERROR(-INDEX(OperBgt!$G$78:$EH$78,MATCH('Venture Summary - Mthly'!DK5-INDEX('Venture Assumptions'!$J$6:$J$40,MATCH($B$2,'Venture Assumptions'!$I$6:$I$40,0)),OperBgt!$G$5:$EH$5,0)),0)</f>
        <v>-5663.8548940351211</v>
      </c>
      <c r="DL165" s="799">
        <f>IFERROR(-INDEX(OperBgt!$G$78:$EH$78,MATCH('Venture Summary - Mthly'!DL5-INDEX('Venture Assumptions'!$J$6:$J$40,MATCH($B$2,'Venture Assumptions'!$I$6:$I$40,0)),OperBgt!$G$5:$EH$5,0)),0)</f>
        <v>-5663.8548940351211</v>
      </c>
      <c r="DM165" s="799">
        <f>IFERROR(-INDEX(OperBgt!$G$78:$EH$78,MATCH('Venture Summary - Mthly'!DM5-INDEX('Venture Assumptions'!$J$6:$J$40,MATCH($B$2,'Venture Assumptions'!$I$6:$I$40,0)),OperBgt!$G$5:$EH$5,0)),0)</f>
        <v>-5833.7705408561815</v>
      </c>
      <c r="DN165" s="799">
        <f>IFERROR(-INDEX(OperBgt!$G$78:$EH$78,MATCH('Venture Summary - Mthly'!DN5-INDEX('Venture Assumptions'!$J$6:$J$40,MATCH($B$2,'Venture Assumptions'!$I$6:$I$40,0)),OperBgt!$G$5:$EH$5,0)),0)</f>
        <v>-5833.7705408561815</v>
      </c>
      <c r="DO165" s="799">
        <f>IFERROR(-INDEX(OperBgt!$G$78:$EH$78,MATCH('Venture Summary - Mthly'!DO5-INDEX('Venture Assumptions'!$J$6:$J$40,MATCH($B$2,'Venture Assumptions'!$I$6:$I$40,0)),OperBgt!$G$5:$EH$5,0)),0)</f>
        <v>-5833.7705408561815</v>
      </c>
      <c r="DP165" s="799">
        <f>IFERROR(-INDEX(OperBgt!$G$78:$EH$78,MATCH('Venture Summary - Mthly'!DP5-INDEX('Venture Assumptions'!$J$6:$J$40,MATCH($B$2,'Venture Assumptions'!$I$6:$I$40,0)),OperBgt!$G$5:$EH$5,0)),0)</f>
        <v>-5833.7705408561815</v>
      </c>
      <c r="DQ165" s="799">
        <f>IFERROR(-INDEX(OperBgt!$G$78:$EH$78,MATCH('Venture Summary - Mthly'!DQ5-INDEX('Venture Assumptions'!$J$6:$J$40,MATCH($B$2,'Venture Assumptions'!$I$6:$I$40,0)),OperBgt!$G$5:$EH$5,0)),0)</f>
        <v>-5833.7705408561815</v>
      </c>
      <c r="DR165" s="799">
        <f>IFERROR(-INDEX(OperBgt!$G$78:$EH$78,MATCH('Venture Summary - Mthly'!DR5-INDEX('Venture Assumptions'!$J$6:$J$40,MATCH($B$2,'Venture Assumptions'!$I$6:$I$40,0)),OperBgt!$G$5:$EH$5,0)),0)</f>
        <v>-5833.7705408561815</v>
      </c>
      <c r="DS165" s="799">
        <f>IFERROR(-INDEX(OperBgt!$G$78:$EH$78,MATCH('Venture Summary - Mthly'!DS5-INDEX('Venture Assumptions'!$J$6:$J$40,MATCH($B$2,'Venture Assumptions'!$I$6:$I$40,0)),OperBgt!$G$5:$EH$5,0)),0)</f>
        <v>-5833.7705408561815</v>
      </c>
      <c r="DT165" s="799">
        <f>IFERROR(-INDEX(OperBgt!$G$78:$EH$78,MATCH('Venture Summary - Mthly'!DT5-INDEX('Venture Assumptions'!$J$6:$J$40,MATCH($B$2,'Venture Assumptions'!$I$6:$I$40,0)),OperBgt!$G$5:$EH$5,0)),0)</f>
        <v>-5833.7705408561815</v>
      </c>
      <c r="DU165" s="799">
        <f>IFERROR(-INDEX(OperBgt!$G$78:$EH$78,MATCH('Venture Summary - Mthly'!DU5-INDEX('Venture Assumptions'!$J$6:$J$40,MATCH($B$2,'Venture Assumptions'!$I$6:$I$40,0)),OperBgt!$G$5:$EH$5,0)),0)</f>
        <v>-5833.7705408561815</v>
      </c>
      <c r="DV165" s="799">
        <f>IFERROR(-INDEX(OperBgt!$G$78:$EH$78,MATCH('Venture Summary - Mthly'!DV5-INDEX('Venture Assumptions'!$J$6:$J$40,MATCH($B$2,'Venture Assumptions'!$I$6:$I$40,0)),OperBgt!$G$5:$EH$5,0)),0)</f>
        <v>-5833.7705408561815</v>
      </c>
      <c r="DW165" s="799">
        <f>IFERROR(-INDEX(OperBgt!$G$78:$EH$78,MATCH('Venture Summary - Mthly'!DW5-INDEX('Venture Assumptions'!$J$6:$J$40,MATCH($B$2,'Venture Assumptions'!$I$6:$I$40,0)),OperBgt!$G$5:$EH$5,0)),0)</f>
        <v>-5833.7705408561815</v>
      </c>
      <c r="DX165" s="799">
        <f>IFERROR(-INDEX(OperBgt!$G$78:$EH$78,MATCH('Venture Summary - Mthly'!DX5-INDEX('Venture Assumptions'!$J$6:$J$40,MATCH($B$2,'Venture Assumptions'!$I$6:$I$40,0)),OperBgt!$G$5:$EH$5,0)),0)</f>
        <v>-5833.7705408561815</v>
      </c>
      <c r="DY165" s="799">
        <f>IFERROR(-INDEX(OperBgt!$G$78:$EH$78,MATCH('Venture Summary - Mthly'!DY5-INDEX('Venture Assumptions'!$J$6:$J$40,MATCH($B$2,'Venture Assumptions'!$I$6:$I$40,0)),OperBgt!$G$5:$EH$5,0)),0)</f>
        <v>-6008.7836570818736</v>
      </c>
      <c r="DZ165" s="799">
        <f>IFERROR(-INDEX(OperBgt!$G$78:$EH$78,MATCH('Venture Summary - Mthly'!DZ5-INDEX('Venture Assumptions'!$J$6:$J$40,MATCH($B$2,'Venture Assumptions'!$I$6:$I$40,0)),OperBgt!$G$5:$EH$5,0)),0)</f>
        <v>-6008.7836570818736</v>
      </c>
      <c r="EA165" s="799">
        <f>IFERROR(-INDEX(OperBgt!$G$78:$EH$78,MATCH('Venture Summary - Mthly'!EA5-INDEX('Venture Assumptions'!$J$6:$J$40,MATCH($B$2,'Venture Assumptions'!$I$6:$I$40,0)),OperBgt!$G$5:$EH$5,0)),0)</f>
        <v>-6008.7836570818736</v>
      </c>
      <c r="EB165" s="799">
        <f>IFERROR(-INDEX(OperBgt!$G$78:$EH$78,MATCH('Venture Summary - Mthly'!EB5-INDEX('Venture Assumptions'!$J$6:$J$40,MATCH($B$2,'Venture Assumptions'!$I$6:$I$40,0)),OperBgt!$G$5:$EH$5,0)),0)</f>
        <v>-6008.7836570818736</v>
      </c>
      <c r="EC165" s="799">
        <f>IFERROR(-INDEX(OperBgt!$G$78:$EH$78,MATCH('Venture Summary - Mthly'!EC5-INDEX('Venture Assumptions'!$J$6:$J$40,MATCH($B$2,'Venture Assumptions'!$I$6:$I$40,0)),OperBgt!$G$5:$EH$5,0)),0)</f>
        <v>-6008.7836570818736</v>
      </c>
      <c r="ED165" s="799">
        <f>IFERROR(-INDEX(OperBgt!$G$78:$EH$78,MATCH('Venture Summary - Mthly'!ED5-INDEX('Venture Assumptions'!$J$6:$J$40,MATCH($B$2,'Venture Assumptions'!$I$6:$I$40,0)),OperBgt!$G$5:$EH$5,0)),0)</f>
        <v>-6008.7836570818736</v>
      </c>
      <c r="EE165" s="799">
        <f>IFERROR(-INDEX(OperBgt!$G$78:$EH$78,MATCH('Venture Summary - Mthly'!EE5-INDEX('Venture Assumptions'!$J$6:$J$40,MATCH($B$2,'Venture Assumptions'!$I$6:$I$40,0)),OperBgt!$G$5:$EH$5,0)),0)</f>
        <v>-6008.7836570818736</v>
      </c>
      <c r="EF165" s="799">
        <f>IFERROR(-INDEX(OperBgt!$G$78:$EH$78,MATCH('Venture Summary - Mthly'!EF5-INDEX('Venture Assumptions'!$J$6:$J$40,MATCH($B$2,'Venture Assumptions'!$I$6:$I$40,0)),OperBgt!$G$5:$EH$5,0)),0)</f>
        <v>-6008.7836570818736</v>
      </c>
      <c r="EG165" s="799">
        <f>IFERROR(-INDEX(OperBgt!$G$78:$EH$78,MATCH('Venture Summary - Mthly'!EG5-INDEX('Venture Assumptions'!$J$6:$J$40,MATCH($B$2,'Venture Assumptions'!$I$6:$I$40,0)),OperBgt!$G$5:$EH$5,0)),0)</f>
        <v>-6008.7836570818736</v>
      </c>
      <c r="EH165" s="782"/>
    </row>
    <row r="166" spans="1:138" ht="12.75" customHeight="1" x14ac:dyDescent="0.3">
      <c r="A166" s="782"/>
      <c r="B166" s="782" t="s">
        <v>8</v>
      </c>
      <c r="C166" s="798"/>
      <c r="D166" s="782"/>
      <c r="E166" s="798">
        <f>SUM(E162:E165)</f>
        <v>0</v>
      </c>
      <c r="F166" s="798">
        <f t="shared" ref="F166:BQ166" si="136">SUM(F162:F165)</f>
        <v>0</v>
      </c>
      <c r="G166" s="798">
        <f t="shared" si="136"/>
        <v>0</v>
      </c>
      <c r="H166" s="798">
        <f t="shared" si="136"/>
        <v>0</v>
      </c>
      <c r="I166" s="798">
        <f t="shared" si="136"/>
        <v>0</v>
      </c>
      <c r="J166" s="798">
        <f t="shared" si="136"/>
        <v>0</v>
      </c>
      <c r="K166" s="798">
        <f t="shared" si="136"/>
        <v>0</v>
      </c>
      <c r="L166" s="798">
        <f t="shared" si="136"/>
        <v>0</v>
      </c>
      <c r="M166" s="798">
        <f t="shared" si="136"/>
        <v>0</v>
      </c>
      <c r="N166" s="798">
        <f t="shared" si="136"/>
        <v>0</v>
      </c>
      <c r="O166" s="798">
        <f t="shared" si="136"/>
        <v>0</v>
      </c>
      <c r="P166" s="798">
        <f t="shared" si="136"/>
        <v>0</v>
      </c>
      <c r="Q166" s="798">
        <f t="shared" si="136"/>
        <v>0</v>
      </c>
      <c r="R166" s="798">
        <f t="shared" si="136"/>
        <v>0</v>
      </c>
      <c r="S166" s="798">
        <f t="shared" si="136"/>
        <v>-79914.316796474115</v>
      </c>
      <c r="T166" s="798">
        <f t="shared" si="136"/>
        <v>-82060.245337504763</v>
      </c>
      <c r="U166" s="798">
        <f t="shared" si="136"/>
        <v>-86595.158524060025</v>
      </c>
      <c r="V166" s="798">
        <f t="shared" si="136"/>
        <v>-56402.494005308195</v>
      </c>
      <c r="W166" s="798">
        <f t="shared" si="136"/>
        <v>-24108.319380961417</v>
      </c>
      <c r="X166" s="798">
        <f t="shared" si="136"/>
        <v>18209.854825437622</v>
      </c>
      <c r="Y166" s="798">
        <f t="shared" si="136"/>
        <v>56500.143230712856</v>
      </c>
      <c r="Z166" s="798">
        <f t="shared" si="136"/>
        <v>102946.80735325644</v>
      </c>
      <c r="AA166" s="798">
        <f t="shared" si="136"/>
        <v>157875.37404944244</v>
      </c>
      <c r="AB166" s="798">
        <f t="shared" si="136"/>
        <v>212821.87139084551</v>
      </c>
      <c r="AC166" s="798">
        <f t="shared" si="136"/>
        <v>267330.11645634141</v>
      </c>
      <c r="AD166" s="798">
        <f t="shared" si="136"/>
        <v>312914.23836094659</v>
      </c>
      <c r="AE166" s="798">
        <f t="shared" si="136"/>
        <v>362378.97728815104</v>
      </c>
      <c r="AF166" s="798">
        <f t="shared" si="136"/>
        <v>451816.95146866475</v>
      </c>
      <c r="AG166" s="798">
        <f t="shared" si="136"/>
        <v>455463.29312051495</v>
      </c>
      <c r="AH166" s="798">
        <f t="shared" si="136"/>
        <v>456766.44205825822</v>
      </c>
      <c r="AI166" s="798">
        <f t="shared" si="136"/>
        <v>458065.3754418912</v>
      </c>
      <c r="AJ166" s="798">
        <f t="shared" si="136"/>
        <v>460654.32296283479</v>
      </c>
      <c r="AK166" s="798">
        <f t="shared" si="136"/>
        <v>463449.9474365738</v>
      </c>
      <c r="AL166" s="798">
        <f t="shared" si="136"/>
        <v>466234.96025121264</v>
      </c>
      <c r="AM166" s="798">
        <f t="shared" si="136"/>
        <v>469009.17238545342</v>
      </c>
      <c r="AN166" s="798">
        <f t="shared" si="136"/>
        <v>471772.39311618236</v>
      </c>
      <c r="AO166" s="798">
        <f t="shared" si="136"/>
        <v>474524.4300057377</v>
      </c>
      <c r="AP166" s="798">
        <f t="shared" si="136"/>
        <v>476427.92519972794</v>
      </c>
      <c r="AQ166" s="798">
        <f t="shared" si="136"/>
        <v>479995.52264995797</v>
      </c>
      <c r="AR166" s="798">
        <f t="shared" si="136"/>
        <v>483111.49464400188</v>
      </c>
      <c r="AS166" s="798">
        <f t="shared" si="136"/>
        <v>478559.14972743276</v>
      </c>
      <c r="AT166" s="798">
        <f t="shared" si="136"/>
        <v>480413.89549620287</v>
      </c>
      <c r="AU166" s="798">
        <f t="shared" si="136"/>
        <v>482234.3525080363</v>
      </c>
      <c r="AV166" s="798">
        <f t="shared" si="136"/>
        <v>484797.01012287044</v>
      </c>
      <c r="AW166" s="798">
        <f t="shared" si="136"/>
        <v>487280.88465593872</v>
      </c>
      <c r="AX166" s="798">
        <f t="shared" si="136"/>
        <v>489685.28103279974</v>
      </c>
      <c r="AY166" s="798">
        <f t="shared" si="136"/>
        <v>492009.49970698566</v>
      </c>
      <c r="AZ166" s="798">
        <f t="shared" si="136"/>
        <v>494252.8366343138</v>
      </c>
      <c r="BA166" s="798">
        <f t="shared" si="136"/>
        <v>496414.58324705553</v>
      </c>
      <c r="BB166" s="798">
        <f t="shared" si="136"/>
        <v>497879.55965090473</v>
      </c>
      <c r="BC166" s="798">
        <f t="shared" si="136"/>
        <v>500499.7377364086</v>
      </c>
      <c r="BD166" s="798">
        <f t="shared" si="136"/>
        <v>502739.51848888909</v>
      </c>
      <c r="BE166" s="798">
        <f t="shared" si="136"/>
        <v>498921.91795716895</v>
      </c>
      <c r="BF166" s="798">
        <f t="shared" si="136"/>
        <v>500300.31760032848</v>
      </c>
      <c r="BG166" s="798">
        <f t="shared" si="136"/>
        <v>501702.61423743202</v>
      </c>
      <c r="BH166" s="798">
        <f t="shared" si="136"/>
        <v>503722.29047982744</v>
      </c>
      <c r="BI166" s="798">
        <f t="shared" si="136"/>
        <v>505795.49071748916</v>
      </c>
      <c r="BJ166" s="798">
        <f t="shared" si="136"/>
        <v>507922.58421359764</v>
      </c>
      <c r="BK166" s="798">
        <f t="shared" si="136"/>
        <v>510103.94224300748</v>
      </c>
      <c r="BL166" s="798">
        <f t="shared" si="136"/>
        <v>512339.93810215546</v>
      </c>
      <c r="BM166" s="798">
        <f t="shared" si="136"/>
        <v>514630.94711901579</v>
      </c>
      <c r="BN166" s="798">
        <f t="shared" si="136"/>
        <v>516276.25486014324</v>
      </c>
      <c r="BO166" s="798">
        <f t="shared" si="136"/>
        <v>519373.38611788041</v>
      </c>
      <c r="BP166" s="798">
        <f t="shared" si="136"/>
        <v>522135.37663094845</v>
      </c>
      <c r="BQ166" s="798">
        <f t="shared" si="136"/>
        <v>518419.06054923532</v>
      </c>
      <c r="BR166" s="798">
        <f t="shared" ref="BR166:EC166" si="137">SUM(BR162:BR165)</f>
        <v>520144.75562531978</v>
      </c>
      <c r="BS166" s="798">
        <f t="shared" si="137"/>
        <v>521875.14890061959</v>
      </c>
      <c r="BT166" s="798">
        <f t="shared" si="137"/>
        <v>524354.43330257526</v>
      </c>
      <c r="BU166" s="798">
        <f t="shared" si="137"/>
        <v>526843.58570303489</v>
      </c>
      <c r="BV166" s="798">
        <f t="shared" si="137"/>
        <v>529342.6460064312</v>
      </c>
      <c r="BW166" s="798">
        <f t="shared" si="137"/>
        <v>531851.65428017685</v>
      </c>
      <c r="BX166" s="798">
        <f t="shared" si="137"/>
        <v>534370.65075533488</v>
      </c>
      <c r="BY166" s="798">
        <f t="shared" si="137"/>
        <v>536899.67582729051</v>
      </c>
      <c r="BZ166" s="798">
        <f t="shared" si="137"/>
        <v>538675.87793313875</v>
      </c>
      <c r="CA166" s="798">
        <f t="shared" si="137"/>
        <v>541986.9194704449</v>
      </c>
      <c r="CB166" s="798">
        <f t="shared" si="137"/>
        <v>544900.04299266823</v>
      </c>
      <c r="CC166" s="798">
        <f t="shared" si="137"/>
        <v>541074.88530461828</v>
      </c>
      <c r="CD166" s="798">
        <f t="shared" si="137"/>
        <v>542870.51224912284</v>
      </c>
      <c r="CE166" s="798">
        <f t="shared" si="137"/>
        <v>544671.0285540293</v>
      </c>
      <c r="CF166" s="798">
        <f t="shared" si="137"/>
        <v>547252.08386614639</v>
      </c>
      <c r="CG166" s="798">
        <f t="shared" si="137"/>
        <v>549843.4168266108</v>
      </c>
      <c r="CH166" s="798">
        <f t="shared" si="137"/>
        <v>552445.06900818518</v>
      </c>
      <c r="CI166" s="798">
        <f t="shared" si="137"/>
        <v>555057.08215345629</v>
      </c>
      <c r="CJ166" s="798">
        <f t="shared" si="137"/>
        <v>557679.49817553197</v>
      </c>
      <c r="CK166" s="798">
        <f t="shared" si="137"/>
        <v>560312.35915874364</v>
      </c>
      <c r="CL166" s="798">
        <f t="shared" si="137"/>
        <v>562160.56809083058</v>
      </c>
      <c r="CM166" s="798">
        <f t="shared" si="137"/>
        <v>565608.48592620192</v>
      </c>
      <c r="CN166" s="798">
        <f t="shared" si="137"/>
        <v>568641.65831461549</v>
      </c>
      <c r="CO166" s="798">
        <f t="shared" si="137"/>
        <v>564703.83189703058</v>
      </c>
      <c r="CP166" s="798">
        <f t="shared" si="137"/>
        <v>566572.25632490334</v>
      </c>
      <c r="CQ166" s="798">
        <f t="shared" si="137"/>
        <v>568445.76913177711</v>
      </c>
      <c r="CR166" s="798">
        <f t="shared" si="137"/>
        <v>571132.80634623789</v>
      </c>
      <c r="CS166" s="798">
        <f t="shared" si="137"/>
        <v>573830.54795062961</v>
      </c>
      <c r="CT166" s="798">
        <f t="shared" si="137"/>
        <v>576539.03725601151</v>
      </c>
      <c r="CU166" s="798">
        <f t="shared" si="137"/>
        <v>579258.317750399</v>
      </c>
      <c r="CV166" s="798">
        <f t="shared" si="137"/>
        <v>581988.43309949036</v>
      </c>
      <c r="CW166" s="798">
        <f t="shared" si="137"/>
        <v>584729.42714739719</v>
      </c>
      <c r="CX166" s="798">
        <f t="shared" si="137"/>
        <v>586652.59442968457</v>
      </c>
      <c r="CY166" s="798">
        <f t="shared" si="137"/>
        <v>590243.08186640718</v>
      </c>
      <c r="CZ166" s="798">
        <f t="shared" si="137"/>
        <v>593401.28490758489</v>
      </c>
      <c r="DA166" s="798">
        <f t="shared" si="137"/>
        <v>589346.75468405476</v>
      </c>
      <c r="DB166" s="798">
        <f t="shared" si="137"/>
        <v>591290.96062732779</v>
      </c>
      <c r="DC166" s="798">
        <f t="shared" si="137"/>
        <v>593240.46215105511</v>
      </c>
      <c r="DD166" s="798">
        <f t="shared" si="137"/>
        <v>596037.86753229378</v>
      </c>
      <c r="DE166" s="798">
        <f t="shared" si="137"/>
        <v>598846.42185252695</v>
      </c>
      <c r="DF166" s="798">
        <f t="shared" si="137"/>
        <v>601666.17023402033</v>
      </c>
      <c r="DG166" s="798">
        <f t="shared" si="137"/>
        <v>604497.15798342554</v>
      </c>
      <c r="DH166" s="798">
        <f t="shared" si="137"/>
        <v>607339.43059254042</v>
      </c>
      <c r="DI166" s="798">
        <f t="shared" si="137"/>
        <v>610193.03373906901</v>
      </c>
      <c r="DJ166" s="798">
        <f t="shared" si="137"/>
        <v>612194.23288998241</v>
      </c>
      <c r="DK166" s="798">
        <f t="shared" si="137"/>
        <v>615933.22111290379</v>
      </c>
      <c r="DL166" s="798">
        <f t="shared" si="137"/>
        <v>619221.64439261553</v>
      </c>
      <c r="DM166" s="798">
        <f t="shared" si="137"/>
        <v>615046.15015253832</v>
      </c>
      <c r="DN166" s="798">
        <f t="shared" si="137"/>
        <v>617069.24498442945</v>
      </c>
      <c r="DO166" s="798">
        <f t="shared" si="137"/>
        <v>619097.85112008266</v>
      </c>
      <c r="DP166" s="798">
        <f t="shared" si="137"/>
        <v>622010.19353173045</v>
      </c>
      <c r="DQ166" s="798">
        <f t="shared" si="137"/>
        <v>624934.14798471192</v>
      </c>
      <c r="DR166" s="798">
        <f t="shared" si="137"/>
        <v>627869.76148847025</v>
      </c>
      <c r="DS166" s="798">
        <f t="shared" si="137"/>
        <v>630817.08124458021</v>
      </c>
      <c r="DT166" s="798">
        <f t="shared" si="137"/>
        <v>633776.15464753832</v>
      </c>
      <c r="DU166" s="798">
        <f t="shared" si="137"/>
        <v>636747.02928555524</v>
      </c>
      <c r="DV166" s="798">
        <f t="shared" si="137"/>
        <v>638829.46089168428</v>
      </c>
      <c r="DW166" s="798">
        <f t="shared" si="137"/>
        <v>642723.12893920788</v>
      </c>
      <c r="DX166" s="798">
        <f t="shared" si="137"/>
        <v>646147.17854264204</v>
      </c>
      <c r="DY166" s="798">
        <f t="shared" si="137"/>
        <v>641846.21607953717</v>
      </c>
      <c r="DZ166" s="798">
        <f t="shared" si="137"/>
        <v>643951.43564425432</v>
      </c>
      <c r="EA166" s="798">
        <f t="shared" si="137"/>
        <v>646062.39111101639</v>
      </c>
      <c r="EB166" s="798">
        <f t="shared" si="137"/>
        <v>649094.42965010449</v>
      </c>
      <c r="EC166" s="798">
        <f t="shared" si="137"/>
        <v>652138.56266325037</v>
      </c>
      <c r="ED166" s="798">
        <f>SUM(ED162:ED165)</f>
        <v>655194.83912624221</v>
      </c>
      <c r="EE166" s="798">
        <f>SUM(EE162:EE165)</f>
        <v>658263.30821506947</v>
      </c>
      <c r="EF166" s="798">
        <f>SUM(EF162:EF165)</f>
        <v>661344.01930674643</v>
      </c>
      <c r="EG166" s="798">
        <f>SUM(EG162:EG165)</f>
        <v>664437.02198014036</v>
      </c>
      <c r="EH166" s="782"/>
    </row>
    <row r="167" spans="1:138" ht="12.75" customHeight="1" x14ac:dyDescent="0.3">
      <c r="A167" s="782"/>
      <c r="B167" s="782"/>
      <c r="C167" s="798"/>
      <c r="D167" s="782"/>
      <c r="E167" s="798"/>
      <c r="F167" s="798"/>
      <c r="G167" s="798"/>
      <c r="H167" s="798"/>
      <c r="I167" s="798"/>
      <c r="J167" s="798"/>
      <c r="K167" s="798"/>
      <c r="L167" s="798"/>
      <c r="M167" s="798"/>
      <c r="N167" s="798"/>
      <c r="O167" s="798"/>
      <c r="P167" s="798"/>
      <c r="Q167" s="798"/>
      <c r="R167" s="798"/>
      <c r="S167" s="798"/>
      <c r="T167" s="798"/>
      <c r="U167" s="798"/>
      <c r="V167" s="798"/>
      <c r="W167" s="798"/>
      <c r="X167" s="798"/>
      <c r="Y167" s="798"/>
      <c r="Z167" s="798"/>
      <c r="AA167" s="798"/>
      <c r="AB167" s="798"/>
      <c r="AC167" s="798"/>
      <c r="AD167" s="798"/>
      <c r="AE167" s="798"/>
      <c r="AF167" s="798"/>
      <c r="AG167" s="798"/>
      <c r="AH167" s="798"/>
      <c r="AI167" s="798"/>
      <c r="AJ167" s="798"/>
      <c r="AK167" s="798"/>
      <c r="AL167" s="798"/>
      <c r="AM167" s="798"/>
      <c r="AN167" s="798"/>
      <c r="AO167" s="798"/>
      <c r="AP167" s="798"/>
      <c r="AQ167" s="798"/>
      <c r="AR167" s="798"/>
      <c r="AS167" s="798"/>
      <c r="AT167" s="798"/>
      <c r="AU167" s="798"/>
      <c r="AV167" s="798"/>
      <c r="AW167" s="798"/>
      <c r="AX167" s="798"/>
      <c r="AY167" s="798"/>
      <c r="AZ167" s="798"/>
      <c r="BA167" s="798"/>
      <c r="BB167" s="798"/>
      <c r="BC167" s="798"/>
      <c r="BD167" s="798"/>
      <c r="BE167" s="798"/>
      <c r="BF167" s="798"/>
      <c r="BG167" s="798"/>
      <c r="BH167" s="798"/>
      <c r="BI167" s="798"/>
      <c r="BJ167" s="798"/>
      <c r="BK167" s="798"/>
      <c r="BL167" s="798"/>
      <c r="BM167" s="798"/>
      <c r="BN167" s="798"/>
      <c r="BO167" s="798"/>
      <c r="BP167" s="798"/>
      <c r="BQ167" s="798"/>
      <c r="BR167" s="798"/>
      <c r="BS167" s="798"/>
      <c r="BT167" s="798"/>
      <c r="BU167" s="798"/>
      <c r="BV167" s="798"/>
      <c r="BW167" s="798"/>
      <c r="BX167" s="798"/>
      <c r="BY167" s="798"/>
      <c r="BZ167" s="798"/>
      <c r="CA167" s="798"/>
      <c r="CB167" s="798"/>
      <c r="CC167" s="798"/>
      <c r="CD167" s="798"/>
      <c r="CE167" s="798"/>
      <c r="CF167" s="798"/>
      <c r="CG167" s="798"/>
      <c r="CH167" s="798"/>
      <c r="CI167" s="798"/>
      <c r="CJ167" s="798"/>
      <c r="CK167" s="798"/>
      <c r="CL167" s="798"/>
      <c r="CM167" s="798"/>
      <c r="CN167" s="798"/>
      <c r="CO167" s="798"/>
      <c r="CP167" s="798"/>
      <c r="CQ167" s="798"/>
      <c r="CR167" s="798"/>
      <c r="CS167" s="798"/>
      <c r="CT167" s="798"/>
      <c r="CU167" s="798"/>
      <c r="CV167" s="798"/>
      <c r="CW167" s="798"/>
      <c r="CX167" s="798"/>
      <c r="CY167" s="798"/>
      <c r="CZ167" s="798"/>
      <c r="DA167" s="798"/>
      <c r="DB167" s="798"/>
      <c r="DC167" s="798"/>
      <c r="DD167" s="798"/>
      <c r="DE167" s="798"/>
      <c r="DF167" s="798"/>
      <c r="DG167" s="798"/>
      <c r="DH167" s="798"/>
      <c r="DI167" s="798"/>
      <c r="DJ167" s="798"/>
      <c r="DK167" s="798"/>
      <c r="DL167" s="798"/>
      <c r="DM167" s="798"/>
      <c r="DN167" s="798"/>
      <c r="DO167" s="798"/>
      <c r="DP167" s="798"/>
      <c r="DQ167" s="798"/>
      <c r="DR167" s="798"/>
      <c r="DS167" s="798"/>
      <c r="DT167" s="798"/>
      <c r="DU167" s="798"/>
      <c r="DV167" s="798"/>
      <c r="DW167" s="798"/>
      <c r="DX167" s="798"/>
      <c r="DY167" s="798"/>
      <c r="DZ167" s="798"/>
      <c r="EA167" s="798"/>
      <c r="EB167" s="798"/>
      <c r="EC167" s="798"/>
      <c r="ED167" s="798"/>
      <c r="EE167" s="798"/>
      <c r="EF167" s="798"/>
      <c r="EG167" s="798"/>
      <c r="EH167" s="782"/>
    </row>
    <row r="168" spans="1:138" ht="12.75" customHeight="1" x14ac:dyDescent="0.3">
      <c r="A168" s="782"/>
      <c r="B168" s="793" t="s">
        <v>99</v>
      </c>
      <c r="C168" s="794"/>
      <c r="D168" s="794"/>
      <c r="E168" s="794"/>
      <c r="F168" s="794"/>
      <c r="G168" s="794"/>
      <c r="H168" s="794"/>
      <c r="I168" s="794"/>
      <c r="J168" s="794"/>
      <c r="K168" s="794"/>
      <c r="L168" s="794"/>
      <c r="M168" s="794"/>
      <c r="N168" s="794"/>
      <c r="O168" s="794"/>
      <c r="P168" s="794"/>
      <c r="Q168" s="794"/>
      <c r="R168" s="794"/>
      <c r="S168" s="794"/>
      <c r="T168" s="794"/>
      <c r="U168" s="794"/>
      <c r="V168" s="794"/>
      <c r="W168" s="794"/>
      <c r="X168" s="794"/>
      <c r="Y168" s="794"/>
      <c r="Z168" s="794"/>
      <c r="AA168" s="794"/>
      <c r="AB168" s="794"/>
      <c r="AC168" s="794"/>
      <c r="AD168" s="794"/>
      <c r="AE168" s="794"/>
      <c r="AF168" s="794"/>
      <c r="AG168" s="794"/>
      <c r="AH168" s="794"/>
      <c r="AI168" s="794"/>
      <c r="AJ168" s="794"/>
      <c r="AK168" s="794"/>
      <c r="AL168" s="794"/>
      <c r="AM168" s="794"/>
      <c r="AN168" s="794"/>
      <c r="AO168" s="794"/>
      <c r="AP168" s="794"/>
      <c r="AQ168" s="794"/>
      <c r="AR168" s="794"/>
      <c r="AS168" s="794"/>
      <c r="AT168" s="794"/>
      <c r="AU168" s="794"/>
      <c r="AV168" s="794"/>
      <c r="AW168" s="794"/>
      <c r="AX168" s="794"/>
      <c r="AY168" s="794"/>
      <c r="AZ168" s="794"/>
      <c r="BA168" s="794"/>
      <c r="BB168" s="794"/>
      <c r="BC168" s="794"/>
      <c r="BD168" s="794"/>
      <c r="BE168" s="794"/>
      <c r="BF168" s="794"/>
      <c r="BG168" s="794"/>
      <c r="BH168" s="794"/>
      <c r="BI168" s="794"/>
      <c r="BJ168" s="794"/>
      <c r="BK168" s="794"/>
      <c r="BL168" s="794"/>
      <c r="BM168" s="794"/>
      <c r="BN168" s="794"/>
      <c r="BO168" s="794"/>
      <c r="BP168" s="794"/>
      <c r="BQ168" s="794"/>
      <c r="BR168" s="794"/>
      <c r="BS168" s="794"/>
      <c r="BT168" s="794"/>
      <c r="BU168" s="794"/>
      <c r="BV168" s="794"/>
      <c r="BW168" s="794"/>
      <c r="BX168" s="794"/>
      <c r="BY168" s="794"/>
      <c r="BZ168" s="794"/>
      <c r="CA168" s="794"/>
      <c r="CB168" s="794"/>
      <c r="CC168" s="794"/>
      <c r="CD168" s="794"/>
      <c r="CE168" s="794"/>
      <c r="CF168" s="794"/>
      <c r="CG168" s="794"/>
      <c r="CH168" s="794"/>
      <c r="CI168" s="794"/>
      <c r="CJ168" s="794"/>
      <c r="CK168" s="794"/>
      <c r="CL168" s="794"/>
      <c r="CM168" s="794"/>
      <c r="CN168" s="794"/>
      <c r="CO168" s="794"/>
      <c r="CP168" s="794"/>
      <c r="CQ168" s="794"/>
      <c r="CR168" s="794"/>
      <c r="CS168" s="794"/>
      <c r="CT168" s="794"/>
      <c r="CU168" s="794"/>
      <c r="CV168" s="794"/>
      <c r="CW168" s="794"/>
      <c r="CX168" s="794"/>
      <c r="CY168" s="794"/>
      <c r="CZ168" s="794"/>
      <c r="DA168" s="794"/>
      <c r="DB168" s="794"/>
      <c r="DC168" s="794"/>
      <c r="DD168" s="794"/>
      <c r="DE168" s="794"/>
      <c r="DF168" s="794"/>
      <c r="DG168" s="794"/>
      <c r="DH168" s="794"/>
      <c r="DI168" s="794"/>
      <c r="DJ168" s="794"/>
      <c r="DK168" s="794"/>
      <c r="DL168" s="794"/>
      <c r="DM168" s="794"/>
      <c r="DN168" s="794"/>
      <c r="DO168" s="794"/>
      <c r="DP168" s="794"/>
      <c r="DQ168" s="794"/>
      <c r="DR168" s="794"/>
      <c r="DS168" s="794"/>
      <c r="DT168" s="794"/>
      <c r="DU168" s="794"/>
      <c r="DV168" s="794"/>
      <c r="DW168" s="794"/>
      <c r="DX168" s="794"/>
      <c r="DY168" s="794"/>
      <c r="DZ168" s="794"/>
      <c r="EA168" s="794"/>
      <c r="EB168" s="794"/>
      <c r="EC168" s="794"/>
      <c r="ED168" s="794"/>
      <c r="EE168" s="794"/>
      <c r="EF168" s="794"/>
      <c r="EG168" s="794"/>
      <c r="EH168" s="794"/>
    </row>
    <row r="169" spans="1:138" ht="12.75" customHeight="1" x14ac:dyDescent="0.3">
      <c r="A169" s="782"/>
      <c r="B169" s="782"/>
      <c r="C169" s="782"/>
      <c r="D169" s="782"/>
      <c r="E169" s="782"/>
      <c r="F169" s="782"/>
      <c r="G169" s="782"/>
      <c r="H169" s="782"/>
      <c r="I169" s="782"/>
      <c r="J169" s="782"/>
      <c r="K169" s="782"/>
      <c r="L169" s="782"/>
      <c r="M169" s="782"/>
      <c r="N169" s="782"/>
      <c r="O169" s="782"/>
      <c r="P169" s="782"/>
      <c r="Q169" s="782"/>
      <c r="R169" s="782"/>
      <c r="S169" s="782"/>
      <c r="T169" s="782"/>
      <c r="U169" s="782"/>
      <c r="V169" s="782"/>
      <c r="W169" s="782"/>
      <c r="X169" s="782"/>
      <c r="Y169" s="782"/>
      <c r="Z169" s="782"/>
      <c r="AA169" s="782"/>
      <c r="AB169" s="782"/>
      <c r="AC169" s="782"/>
      <c r="AD169" s="782"/>
      <c r="AE169" s="782"/>
      <c r="AF169" s="782"/>
      <c r="AG169" s="782"/>
      <c r="AH169" s="782"/>
      <c r="AI169" s="782"/>
      <c r="AJ169" s="782"/>
      <c r="AK169" s="782"/>
      <c r="AL169" s="782"/>
      <c r="AM169" s="782"/>
      <c r="AN169" s="782"/>
      <c r="AO169" s="782"/>
      <c r="AP169" s="782"/>
      <c r="AQ169" s="782"/>
      <c r="AR169" s="782"/>
      <c r="AS169" s="782"/>
      <c r="AT169" s="782"/>
      <c r="AU169" s="782"/>
      <c r="AV169" s="782"/>
      <c r="AW169" s="782"/>
      <c r="AX169" s="782"/>
      <c r="AY169" s="782"/>
      <c r="AZ169" s="782"/>
      <c r="BA169" s="782"/>
      <c r="BB169" s="782"/>
      <c r="BC169" s="782"/>
      <c r="BD169" s="782"/>
      <c r="BE169" s="782"/>
      <c r="BF169" s="782"/>
      <c r="BG169" s="782"/>
      <c r="BH169" s="782"/>
      <c r="BI169" s="782"/>
      <c r="BJ169" s="782"/>
      <c r="BK169" s="782"/>
      <c r="BL169" s="782"/>
      <c r="BM169" s="782"/>
      <c r="BN169" s="782"/>
      <c r="BO169" s="782"/>
      <c r="BP169" s="782"/>
      <c r="BQ169" s="782"/>
      <c r="BR169" s="782"/>
      <c r="BS169" s="782"/>
      <c r="BT169" s="782"/>
      <c r="BU169" s="782"/>
      <c r="BV169" s="782"/>
      <c r="BW169" s="782"/>
      <c r="BX169" s="782"/>
      <c r="BY169" s="782"/>
      <c r="BZ169" s="782"/>
      <c r="CA169" s="782"/>
      <c r="CB169" s="782"/>
      <c r="CC169" s="782"/>
      <c r="CD169" s="782"/>
      <c r="CE169" s="782"/>
      <c r="CF169" s="782"/>
      <c r="CG169" s="782"/>
      <c r="CH169" s="782"/>
      <c r="CI169" s="782"/>
      <c r="CJ169" s="782"/>
      <c r="CK169" s="782"/>
      <c r="CL169" s="782"/>
      <c r="CM169" s="782"/>
      <c r="CN169" s="782"/>
      <c r="CO169" s="782"/>
      <c r="CP169" s="782"/>
      <c r="CQ169" s="782"/>
      <c r="CR169" s="782"/>
      <c r="CS169" s="782"/>
      <c r="CT169" s="782"/>
      <c r="CU169" s="782"/>
      <c r="CV169" s="782"/>
      <c r="CW169" s="782"/>
      <c r="CX169" s="782"/>
      <c r="CY169" s="782"/>
      <c r="CZ169" s="782"/>
      <c r="DA169" s="782"/>
      <c r="DB169" s="782"/>
      <c r="DC169" s="782"/>
      <c r="DD169" s="782"/>
      <c r="DE169" s="782"/>
      <c r="DF169" s="782"/>
      <c r="DG169" s="782"/>
      <c r="DH169" s="782"/>
      <c r="DI169" s="782"/>
      <c r="DJ169" s="782"/>
      <c r="DK169" s="782"/>
      <c r="DL169" s="782"/>
      <c r="DM169" s="782"/>
      <c r="DN169" s="782"/>
      <c r="DO169" s="782"/>
      <c r="DP169" s="782"/>
      <c r="DQ169" s="782"/>
      <c r="DR169" s="782"/>
      <c r="DS169" s="782"/>
      <c r="DT169" s="782"/>
      <c r="DU169" s="782"/>
      <c r="DV169" s="782"/>
      <c r="DW169" s="782"/>
      <c r="DX169" s="782"/>
      <c r="DY169" s="782"/>
      <c r="DZ169" s="782"/>
      <c r="EA169" s="782"/>
      <c r="EB169" s="782"/>
      <c r="EC169" s="782"/>
      <c r="ED169" s="782"/>
      <c r="EE169" s="782"/>
      <c r="EF169" s="782"/>
      <c r="EG169" s="782"/>
      <c r="EH169" s="782"/>
    </row>
    <row r="170" spans="1:138" ht="12.75" customHeight="1" x14ac:dyDescent="0.3">
      <c r="A170" s="782"/>
      <c r="B170" s="781" t="s">
        <v>100</v>
      </c>
      <c r="C170" s="799"/>
      <c r="D170" s="781"/>
      <c r="E170" s="799">
        <v>0</v>
      </c>
      <c r="F170" s="799">
        <f>E173</f>
        <v>0</v>
      </c>
      <c r="G170" s="799">
        <f t="shared" ref="G170:BR170" si="138">F173</f>
        <v>0</v>
      </c>
      <c r="H170" s="799">
        <f t="shared" si="138"/>
        <v>0</v>
      </c>
      <c r="I170" s="799">
        <f t="shared" si="138"/>
        <v>0</v>
      </c>
      <c r="J170" s="799">
        <f t="shared" si="138"/>
        <v>0</v>
      </c>
      <c r="K170" s="799">
        <f t="shared" si="138"/>
        <v>0</v>
      </c>
      <c r="L170" s="799">
        <f t="shared" si="138"/>
        <v>0</v>
      </c>
      <c r="M170" s="799">
        <f t="shared" si="138"/>
        <v>0</v>
      </c>
      <c r="N170" s="799">
        <f t="shared" si="138"/>
        <v>0</v>
      </c>
      <c r="O170" s="799">
        <f t="shared" si="138"/>
        <v>0</v>
      </c>
      <c r="P170" s="799">
        <f t="shared" si="138"/>
        <v>1711728.34</v>
      </c>
      <c r="Q170" s="799">
        <f t="shared" si="138"/>
        <v>5697228.0930000003</v>
      </c>
      <c r="R170" s="799">
        <f t="shared" si="138"/>
        <v>9733199.8629999999</v>
      </c>
      <c r="S170" s="799">
        <f t="shared" si="138"/>
        <v>13808090.988</v>
      </c>
      <c r="T170" s="799">
        <f t="shared" si="138"/>
        <v>17622260.153000001</v>
      </c>
      <c r="U170" s="799">
        <f t="shared" si="138"/>
        <v>21329502.300000001</v>
      </c>
      <c r="V170" s="799">
        <f t="shared" si="138"/>
        <v>24768144.386</v>
      </c>
      <c r="W170" s="799">
        <f t="shared" si="138"/>
        <v>27869886.265000001</v>
      </c>
      <c r="X170" s="799">
        <f t="shared" si="138"/>
        <v>30955999.098000001</v>
      </c>
      <c r="Y170" s="799">
        <f t="shared" si="138"/>
        <v>33796813.004000001</v>
      </c>
      <c r="Z170" s="799">
        <f t="shared" si="138"/>
        <v>36204153.247000001</v>
      </c>
      <c r="AA170" s="799">
        <f t="shared" si="138"/>
        <v>38271070.438000001</v>
      </c>
      <c r="AB170" s="799">
        <f t="shared" si="138"/>
        <v>40007220.784000002</v>
      </c>
      <c r="AC170" s="799">
        <f t="shared" si="138"/>
        <v>41209308.363000005</v>
      </c>
      <c r="AD170" s="799">
        <f t="shared" si="138"/>
        <v>42200089.103000008</v>
      </c>
      <c r="AE170" s="799">
        <f t="shared" si="138"/>
        <v>42877793.387000009</v>
      </c>
      <c r="AF170" s="799">
        <f t="shared" si="138"/>
        <v>42877793.387000009</v>
      </c>
      <c r="AG170" s="799">
        <f t="shared" si="138"/>
        <v>42877793.387000009</v>
      </c>
      <c r="AH170" s="799">
        <f t="shared" si="138"/>
        <v>42877793.387000009</v>
      </c>
      <c r="AI170" s="799">
        <f t="shared" si="138"/>
        <v>42877793.387000009</v>
      </c>
      <c r="AJ170" s="799">
        <f t="shared" si="138"/>
        <v>42877793.387000009</v>
      </c>
      <c r="AK170" s="799">
        <f t="shared" si="138"/>
        <v>42877793.387000009</v>
      </c>
      <c r="AL170" s="799">
        <f t="shared" si="138"/>
        <v>42877793.387000009</v>
      </c>
      <c r="AM170" s="799">
        <f t="shared" si="138"/>
        <v>0</v>
      </c>
      <c r="AN170" s="799">
        <f t="shared" si="138"/>
        <v>0</v>
      </c>
      <c r="AO170" s="799">
        <f t="shared" si="138"/>
        <v>0</v>
      </c>
      <c r="AP170" s="799">
        <f t="shared" si="138"/>
        <v>0</v>
      </c>
      <c r="AQ170" s="799">
        <f t="shared" si="138"/>
        <v>0</v>
      </c>
      <c r="AR170" s="799">
        <f t="shared" si="138"/>
        <v>0</v>
      </c>
      <c r="AS170" s="799">
        <f t="shared" si="138"/>
        <v>0</v>
      </c>
      <c r="AT170" s="799">
        <f t="shared" si="138"/>
        <v>0</v>
      </c>
      <c r="AU170" s="799">
        <f t="shared" si="138"/>
        <v>0</v>
      </c>
      <c r="AV170" s="799">
        <f t="shared" si="138"/>
        <v>0</v>
      </c>
      <c r="AW170" s="799">
        <f t="shared" si="138"/>
        <v>0</v>
      </c>
      <c r="AX170" s="799">
        <f t="shared" si="138"/>
        <v>0</v>
      </c>
      <c r="AY170" s="799">
        <f t="shared" si="138"/>
        <v>0</v>
      </c>
      <c r="AZ170" s="799">
        <f t="shared" si="138"/>
        <v>0</v>
      </c>
      <c r="BA170" s="799">
        <f t="shared" si="138"/>
        <v>0</v>
      </c>
      <c r="BB170" s="799">
        <f t="shared" si="138"/>
        <v>0</v>
      </c>
      <c r="BC170" s="799">
        <f t="shared" si="138"/>
        <v>0</v>
      </c>
      <c r="BD170" s="799">
        <f t="shared" si="138"/>
        <v>0</v>
      </c>
      <c r="BE170" s="799">
        <f t="shared" si="138"/>
        <v>0</v>
      </c>
      <c r="BF170" s="799">
        <f t="shared" si="138"/>
        <v>0</v>
      </c>
      <c r="BG170" s="799">
        <f t="shared" si="138"/>
        <v>0</v>
      </c>
      <c r="BH170" s="799">
        <f t="shared" si="138"/>
        <v>0</v>
      </c>
      <c r="BI170" s="799">
        <f t="shared" si="138"/>
        <v>0</v>
      </c>
      <c r="BJ170" s="799">
        <f t="shared" si="138"/>
        <v>0</v>
      </c>
      <c r="BK170" s="799">
        <f t="shared" si="138"/>
        <v>0</v>
      </c>
      <c r="BL170" s="799">
        <f t="shared" si="138"/>
        <v>0</v>
      </c>
      <c r="BM170" s="799">
        <f t="shared" si="138"/>
        <v>0</v>
      </c>
      <c r="BN170" s="799">
        <f t="shared" si="138"/>
        <v>0</v>
      </c>
      <c r="BO170" s="799">
        <f t="shared" si="138"/>
        <v>0</v>
      </c>
      <c r="BP170" s="799">
        <f t="shared" si="138"/>
        <v>0</v>
      </c>
      <c r="BQ170" s="799">
        <f t="shared" si="138"/>
        <v>0</v>
      </c>
      <c r="BR170" s="799">
        <f t="shared" si="138"/>
        <v>0</v>
      </c>
      <c r="BS170" s="799">
        <f t="shared" ref="BS170:ED170" si="139">BR173</f>
        <v>0</v>
      </c>
      <c r="BT170" s="799">
        <f t="shared" si="139"/>
        <v>0</v>
      </c>
      <c r="BU170" s="799">
        <f t="shared" si="139"/>
        <v>0</v>
      </c>
      <c r="BV170" s="799">
        <f t="shared" si="139"/>
        <v>0</v>
      </c>
      <c r="BW170" s="799">
        <f t="shared" si="139"/>
        <v>0</v>
      </c>
      <c r="BX170" s="799">
        <f t="shared" si="139"/>
        <v>0</v>
      </c>
      <c r="BY170" s="799">
        <f t="shared" si="139"/>
        <v>0</v>
      </c>
      <c r="BZ170" s="799">
        <f t="shared" si="139"/>
        <v>0</v>
      </c>
      <c r="CA170" s="799">
        <f t="shared" si="139"/>
        <v>0</v>
      </c>
      <c r="CB170" s="799">
        <f t="shared" si="139"/>
        <v>0</v>
      </c>
      <c r="CC170" s="799">
        <f t="shared" si="139"/>
        <v>0</v>
      </c>
      <c r="CD170" s="799">
        <f t="shared" si="139"/>
        <v>0</v>
      </c>
      <c r="CE170" s="799">
        <f t="shared" si="139"/>
        <v>0</v>
      </c>
      <c r="CF170" s="799">
        <f t="shared" si="139"/>
        <v>0</v>
      </c>
      <c r="CG170" s="799">
        <f t="shared" si="139"/>
        <v>0</v>
      </c>
      <c r="CH170" s="799">
        <f t="shared" si="139"/>
        <v>0</v>
      </c>
      <c r="CI170" s="799">
        <f t="shared" si="139"/>
        <v>0</v>
      </c>
      <c r="CJ170" s="799">
        <f t="shared" si="139"/>
        <v>0</v>
      </c>
      <c r="CK170" s="799">
        <f t="shared" si="139"/>
        <v>0</v>
      </c>
      <c r="CL170" s="799">
        <f t="shared" si="139"/>
        <v>0</v>
      </c>
      <c r="CM170" s="799">
        <f t="shared" si="139"/>
        <v>0</v>
      </c>
      <c r="CN170" s="799">
        <f t="shared" si="139"/>
        <v>0</v>
      </c>
      <c r="CO170" s="799">
        <f t="shared" si="139"/>
        <v>0</v>
      </c>
      <c r="CP170" s="799">
        <f t="shared" si="139"/>
        <v>0</v>
      </c>
      <c r="CQ170" s="799">
        <f t="shared" si="139"/>
        <v>0</v>
      </c>
      <c r="CR170" s="799">
        <f t="shared" si="139"/>
        <v>0</v>
      </c>
      <c r="CS170" s="799">
        <f t="shared" si="139"/>
        <v>0</v>
      </c>
      <c r="CT170" s="799">
        <f t="shared" si="139"/>
        <v>0</v>
      </c>
      <c r="CU170" s="799">
        <f t="shared" si="139"/>
        <v>0</v>
      </c>
      <c r="CV170" s="799">
        <f t="shared" si="139"/>
        <v>0</v>
      </c>
      <c r="CW170" s="799">
        <f t="shared" si="139"/>
        <v>0</v>
      </c>
      <c r="CX170" s="799">
        <f t="shared" si="139"/>
        <v>0</v>
      </c>
      <c r="CY170" s="799">
        <f t="shared" si="139"/>
        <v>0</v>
      </c>
      <c r="CZ170" s="799">
        <f t="shared" si="139"/>
        <v>0</v>
      </c>
      <c r="DA170" s="799">
        <f t="shared" si="139"/>
        <v>0</v>
      </c>
      <c r="DB170" s="799">
        <f t="shared" si="139"/>
        <v>0</v>
      </c>
      <c r="DC170" s="799">
        <f t="shared" si="139"/>
        <v>0</v>
      </c>
      <c r="DD170" s="799">
        <f t="shared" si="139"/>
        <v>0</v>
      </c>
      <c r="DE170" s="799">
        <f t="shared" si="139"/>
        <v>0</v>
      </c>
      <c r="DF170" s="799">
        <f t="shared" si="139"/>
        <v>0</v>
      </c>
      <c r="DG170" s="799">
        <f t="shared" si="139"/>
        <v>0</v>
      </c>
      <c r="DH170" s="799">
        <f t="shared" si="139"/>
        <v>0</v>
      </c>
      <c r="DI170" s="799">
        <f t="shared" si="139"/>
        <v>0</v>
      </c>
      <c r="DJ170" s="799">
        <f t="shared" si="139"/>
        <v>0</v>
      </c>
      <c r="DK170" s="799">
        <f t="shared" si="139"/>
        <v>0</v>
      </c>
      <c r="DL170" s="799">
        <f t="shared" si="139"/>
        <v>0</v>
      </c>
      <c r="DM170" s="799">
        <f t="shared" si="139"/>
        <v>0</v>
      </c>
      <c r="DN170" s="799">
        <f t="shared" si="139"/>
        <v>0</v>
      </c>
      <c r="DO170" s="799">
        <f t="shared" si="139"/>
        <v>0</v>
      </c>
      <c r="DP170" s="799">
        <f t="shared" si="139"/>
        <v>0</v>
      </c>
      <c r="DQ170" s="799">
        <f t="shared" si="139"/>
        <v>0</v>
      </c>
      <c r="DR170" s="799">
        <f t="shared" si="139"/>
        <v>0</v>
      </c>
      <c r="DS170" s="799">
        <f t="shared" si="139"/>
        <v>0</v>
      </c>
      <c r="DT170" s="799">
        <f t="shared" si="139"/>
        <v>0</v>
      </c>
      <c r="DU170" s="799">
        <f t="shared" si="139"/>
        <v>0</v>
      </c>
      <c r="DV170" s="799">
        <f t="shared" si="139"/>
        <v>0</v>
      </c>
      <c r="DW170" s="799">
        <f t="shared" si="139"/>
        <v>0</v>
      </c>
      <c r="DX170" s="799">
        <f t="shared" si="139"/>
        <v>0</v>
      </c>
      <c r="DY170" s="799">
        <f t="shared" si="139"/>
        <v>0</v>
      </c>
      <c r="DZ170" s="799">
        <f t="shared" si="139"/>
        <v>0</v>
      </c>
      <c r="EA170" s="799">
        <f t="shared" si="139"/>
        <v>0</v>
      </c>
      <c r="EB170" s="799">
        <f t="shared" si="139"/>
        <v>0</v>
      </c>
      <c r="EC170" s="799">
        <f t="shared" si="139"/>
        <v>0</v>
      </c>
      <c r="ED170" s="799">
        <f t="shared" si="139"/>
        <v>0</v>
      </c>
      <c r="EE170" s="799">
        <f>ED173</f>
        <v>0</v>
      </c>
      <c r="EF170" s="799">
        <f>EE173</f>
        <v>0</v>
      </c>
      <c r="EG170" s="799">
        <f>EF173</f>
        <v>0</v>
      </c>
      <c r="EH170" s="782"/>
    </row>
    <row r="171" spans="1:138" ht="12.75" customHeight="1" x14ac:dyDescent="0.3">
      <c r="A171" s="782"/>
      <c r="B171" s="782" t="s">
        <v>101</v>
      </c>
      <c r="C171" s="798">
        <f>SUM(E171:EG171)</f>
        <v>42877793.387000009</v>
      </c>
      <c r="D171" s="782"/>
      <c r="E171" s="798">
        <f>IFERROR(INDEX(Waterfalls!$E$10:$EG$10,MATCH('Venture Summary - Mthly'!E5-INDEX('Venture Assumptions'!$J$6:$J$40,MATCH($B$2,'Venture Assumptions'!$I$6:$I$40,0)),Waterfalls!$E$5:$EG$5,0)),0)</f>
        <v>0</v>
      </c>
      <c r="F171" s="798">
        <f>IFERROR(INDEX(Waterfalls!$E$10:$EG$10,MATCH('Venture Summary - Mthly'!F5-INDEX('Venture Assumptions'!$J$6:$J$40,MATCH($B$2,'Venture Assumptions'!$I$6:$I$40,0)),Waterfalls!$E$5:$EG$5,0)),0)</f>
        <v>0</v>
      </c>
      <c r="G171" s="798">
        <f>IFERROR(INDEX(Waterfalls!$E$10:$EG$10,MATCH('Venture Summary - Mthly'!G5-INDEX('Venture Assumptions'!$J$6:$J$40,MATCH($B$2,'Venture Assumptions'!$I$6:$I$40,0)),Waterfalls!$E$5:$EG$5,0)),0)</f>
        <v>0</v>
      </c>
      <c r="H171" s="798">
        <f>IFERROR(INDEX(Waterfalls!$E$10:$EG$10,MATCH('Venture Summary - Mthly'!H5-INDEX('Venture Assumptions'!$J$6:$J$40,MATCH($B$2,'Venture Assumptions'!$I$6:$I$40,0)),Waterfalls!$E$5:$EG$5,0)),0)</f>
        <v>0</v>
      </c>
      <c r="I171" s="798">
        <f>IFERROR(INDEX(Waterfalls!$E$10:$EG$10,MATCH('Venture Summary - Mthly'!I5-INDEX('Venture Assumptions'!$J$6:$J$40,MATCH($B$2,'Venture Assumptions'!$I$6:$I$40,0)),Waterfalls!$E$5:$EG$5,0)),0)</f>
        <v>0</v>
      </c>
      <c r="J171" s="798">
        <f>IFERROR(INDEX(Waterfalls!$E$10:$EG$10,MATCH('Venture Summary - Mthly'!J5-INDEX('Venture Assumptions'!$J$6:$J$40,MATCH($B$2,'Venture Assumptions'!$I$6:$I$40,0)),Waterfalls!$E$5:$EG$5,0)),0)</f>
        <v>0</v>
      </c>
      <c r="K171" s="798">
        <f>IFERROR(INDEX(Waterfalls!$E$10:$EG$10,MATCH('Venture Summary - Mthly'!K5-INDEX('Venture Assumptions'!$J$6:$J$40,MATCH($B$2,'Venture Assumptions'!$I$6:$I$40,0)),Waterfalls!$E$5:$EG$5,0)),0)</f>
        <v>0</v>
      </c>
      <c r="L171" s="798">
        <f>IFERROR(INDEX(Waterfalls!$E$10:$EG$10,MATCH('Venture Summary - Mthly'!L5-INDEX('Venture Assumptions'!$J$6:$J$40,MATCH($B$2,'Venture Assumptions'!$I$6:$I$40,0)),Waterfalls!$E$5:$EG$5,0)),0)</f>
        <v>0</v>
      </c>
      <c r="M171" s="798">
        <f>IFERROR(INDEX(Waterfalls!$E$10:$EG$10,MATCH('Venture Summary - Mthly'!M5-INDEX('Venture Assumptions'!$J$6:$J$40,MATCH($B$2,'Venture Assumptions'!$I$6:$I$40,0)),Waterfalls!$E$5:$EG$5,0)),0)</f>
        <v>0</v>
      </c>
      <c r="N171" s="798">
        <f>IFERROR(INDEX(Waterfalls!$E$10:$EG$10,MATCH('Venture Summary - Mthly'!N5-INDEX('Venture Assumptions'!$J$6:$J$40,MATCH($B$2,'Venture Assumptions'!$I$6:$I$40,0)),Waterfalls!$E$5:$EG$5,0)),0)</f>
        <v>0</v>
      </c>
      <c r="O171" s="798">
        <f>IFERROR(INDEX(Waterfalls!$E$10:$EG$10,MATCH('Venture Summary - Mthly'!O5-INDEX('Venture Assumptions'!$J$6:$J$40,MATCH($B$2,'Venture Assumptions'!$I$6:$I$40,0)),Waterfalls!$E$5:$EG$5,0)),0)</f>
        <v>1711728.34</v>
      </c>
      <c r="P171" s="798">
        <f>IFERROR(INDEX(Waterfalls!$E$10:$EG$10,MATCH('Venture Summary - Mthly'!P5-INDEX('Venture Assumptions'!$J$6:$J$40,MATCH($B$2,'Venture Assumptions'!$I$6:$I$40,0)),Waterfalls!$E$5:$EG$5,0)),0)</f>
        <v>3985499.753</v>
      </c>
      <c r="Q171" s="798">
        <f>IFERROR(INDEX(Waterfalls!$E$10:$EG$10,MATCH('Venture Summary - Mthly'!Q5-INDEX('Venture Assumptions'!$J$6:$J$40,MATCH($B$2,'Venture Assumptions'!$I$6:$I$40,0)),Waterfalls!$E$5:$EG$5,0)),0)</f>
        <v>4035971.77</v>
      </c>
      <c r="R171" s="798">
        <f>IFERROR(INDEX(Waterfalls!$E$10:$EG$10,MATCH('Venture Summary - Mthly'!R5-INDEX('Venture Assumptions'!$J$6:$J$40,MATCH($B$2,'Venture Assumptions'!$I$6:$I$40,0)),Waterfalls!$E$5:$EG$5,0)),0)</f>
        <v>4074891.125</v>
      </c>
      <c r="S171" s="798">
        <f>IFERROR(INDEX(Waterfalls!$E$10:$EG$10,MATCH('Venture Summary - Mthly'!S5-INDEX('Venture Assumptions'!$J$6:$J$40,MATCH($B$2,'Venture Assumptions'!$I$6:$I$40,0)),Waterfalls!$E$5:$EG$5,0)),0)</f>
        <v>3814169.165</v>
      </c>
      <c r="T171" s="798">
        <f>IFERROR(INDEX(Waterfalls!$E$10:$EG$10,MATCH('Venture Summary - Mthly'!T5-INDEX('Venture Assumptions'!$J$6:$J$40,MATCH($B$2,'Venture Assumptions'!$I$6:$I$40,0)),Waterfalls!$E$5:$EG$5,0)),0)</f>
        <v>3707242.1469999999</v>
      </c>
      <c r="U171" s="798">
        <f>IFERROR(INDEX(Waterfalls!$E$10:$EG$10,MATCH('Venture Summary - Mthly'!U5-INDEX('Venture Assumptions'!$J$6:$J$40,MATCH($B$2,'Venture Assumptions'!$I$6:$I$40,0)),Waterfalls!$E$5:$EG$5,0)),0)</f>
        <v>3438642.0860000001</v>
      </c>
      <c r="V171" s="798">
        <f>IFERROR(INDEX(Waterfalls!$E$10:$EG$10,MATCH('Venture Summary - Mthly'!V5-INDEX('Venture Assumptions'!$J$6:$J$40,MATCH($B$2,'Venture Assumptions'!$I$6:$I$40,0)),Waterfalls!$E$5:$EG$5,0)),0)</f>
        <v>3101741.8790000002</v>
      </c>
      <c r="W171" s="798">
        <f>IFERROR(INDEX(Waterfalls!$E$10:$EG$10,MATCH('Venture Summary - Mthly'!W5-INDEX('Venture Assumptions'!$J$6:$J$40,MATCH($B$2,'Venture Assumptions'!$I$6:$I$40,0)),Waterfalls!$E$5:$EG$5,0)),0)</f>
        <v>3086112.8330000001</v>
      </c>
      <c r="X171" s="798">
        <f>IFERROR(INDEX(Waterfalls!$E$10:$EG$10,MATCH('Venture Summary - Mthly'!X5-INDEX('Venture Assumptions'!$J$6:$J$40,MATCH($B$2,'Venture Assumptions'!$I$6:$I$40,0)),Waterfalls!$E$5:$EG$5,0)),0)</f>
        <v>2840813.906</v>
      </c>
      <c r="Y171" s="798">
        <f>IFERROR(INDEX(Waterfalls!$E$10:$EG$10,MATCH('Venture Summary - Mthly'!Y5-INDEX('Venture Assumptions'!$J$6:$J$40,MATCH($B$2,'Venture Assumptions'!$I$6:$I$40,0)),Waterfalls!$E$5:$EG$5,0)),0)</f>
        <v>2407340.2429999998</v>
      </c>
      <c r="Z171" s="798">
        <f>IFERROR(INDEX(Waterfalls!$E$10:$EG$10,MATCH('Venture Summary - Mthly'!Z5-INDEX('Venture Assumptions'!$J$6:$J$40,MATCH($B$2,'Venture Assumptions'!$I$6:$I$40,0)),Waterfalls!$E$5:$EG$5,0)),0)</f>
        <v>2066917.1910000001</v>
      </c>
      <c r="AA171" s="798">
        <f>IFERROR(INDEX(Waterfalls!$E$10:$EG$10,MATCH('Venture Summary - Mthly'!AA5-INDEX('Venture Assumptions'!$J$6:$J$40,MATCH($B$2,'Venture Assumptions'!$I$6:$I$40,0)),Waterfalls!$E$5:$EG$5,0)),0)</f>
        <v>1736150.3459999999</v>
      </c>
      <c r="AB171" s="798">
        <f>IFERROR(INDEX(Waterfalls!$E$10:$EG$10,MATCH('Venture Summary - Mthly'!AB5-INDEX('Venture Assumptions'!$J$6:$J$40,MATCH($B$2,'Venture Assumptions'!$I$6:$I$40,0)),Waterfalls!$E$5:$EG$5,0)),0)</f>
        <v>1202087.5789999999</v>
      </c>
      <c r="AC171" s="798">
        <f>IFERROR(INDEX(Waterfalls!$E$10:$EG$10,MATCH('Venture Summary - Mthly'!AC5-INDEX('Venture Assumptions'!$J$6:$J$40,MATCH($B$2,'Venture Assumptions'!$I$6:$I$40,0)),Waterfalls!$E$5:$EG$5,0)),0)</f>
        <v>990780.74</v>
      </c>
      <c r="AD171" s="798">
        <f>IFERROR(INDEX(Waterfalls!$E$10:$EG$10,MATCH('Venture Summary - Mthly'!AD5-INDEX('Venture Assumptions'!$J$6:$J$40,MATCH($B$2,'Venture Assumptions'!$I$6:$I$40,0)),Waterfalls!$E$5:$EG$5,0)),0)</f>
        <v>677704.28399999999</v>
      </c>
      <c r="AE171" s="798">
        <f>IFERROR(INDEX(Waterfalls!$E$10:$EG$10,MATCH('Venture Summary - Mthly'!AE5-INDEX('Venture Assumptions'!$J$6:$J$40,MATCH($B$2,'Venture Assumptions'!$I$6:$I$40,0)),Waterfalls!$E$5:$EG$5,0)),0)</f>
        <v>0</v>
      </c>
      <c r="AF171" s="798">
        <f>IFERROR(INDEX(Waterfalls!$E$10:$EG$10,MATCH('Venture Summary - Mthly'!AF5-INDEX('Venture Assumptions'!$J$6:$J$40,MATCH($B$2,'Venture Assumptions'!$I$6:$I$40,0)),Waterfalls!$E$5:$EG$5,0)),0)</f>
        <v>0</v>
      </c>
      <c r="AG171" s="798">
        <f>IFERROR(INDEX(Waterfalls!$E$10:$EG$10,MATCH('Venture Summary - Mthly'!AG5-INDEX('Venture Assumptions'!$J$6:$J$40,MATCH($B$2,'Venture Assumptions'!$I$6:$I$40,0)),Waterfalls!$E$5:$EG$5,0)),0)</f>
        <v>0</v>
      </c>
      <c r="AH171" s="798">
        <f>IFERROR(INDEX(Waterfalls!$E$10:$EG$10,MATCH('Venture Summary - Mthly'!AH5-INDEX('Venture Assumptions'!$J$6:$J$40,MATCH($B$2,'Venture Assumptions'!$I$6:$I$40,0)),Waterfalls!$E$5:$EG$5,0)),0)</f>
        <v>0</v>
      </c>
      <c r="AI171" s="798">
        <f>IFERROR(INDEX(Waterfalls!$E$10:$EG$10,MATCH('Venture Summary - Mthly'!AI5-INDEX('Venture Assumptions'!$J$6:$J$40,MATCH($B$2,'Venture Assumptions'!$I$6:$I$40,0)),Waterfalls!$E$5:$EG$5,0)),0)</f>
        <v>0</v>
      </c>
      <c r="AJ171" s="798">
        <f>IFERROR(INDEX(Waterfalls!$E$10:$EG$10,MATCH('Venture Summary - Mthly'!AJ5-INDEX('Venture Assumptions'!$J$6:$J$40,MATCH($B$2,'Venture Assumptions'!$I$6:$I$40,0)),Waterfalls!$E$5:$EG$5,0)),0)</f>
        <v>0</v>
      </c>
      <c r="AK171" s="798">
        <f>IFERROR(INDEX(Waterfalls!$E$10:$EG$10,MATCH('Venture Summary - Mthly'!AK5-INDEX('Venture Assumptions'!$J$6:$J$40,MATCH($B$2,'Venture Assumptions'!$I$6:$I$40,0)),Waterfalls!$E$5:$EG$5,0)),0)</f>
        <v>0</v>
      </c>
      <c r="AL171" s="798">
        <f>IFERROR(INDEX(Waterfalls!$E$10:$EG$10,MATCH('Venture Summary - Mthly'!AL5-INDEX('Venture Assumptions'!$J$6:$J$40,MATCH($B$2,'Venture Assumptions'!$I$6:$I$40,0)),Waterfalls!$E$5:$EG$5,0)),0)</f>
        <v>0</v>
      </c>
      <c r="AM171" s="798">
        <f>IFERROR(INDEX(Waterfalls!$E$10:$EG$10,MATCH('Venture Summary - Mthly'!AM5-INDEX('Venture Assumptions'!$J$6:$J$40,MATCH($B$2,'Venture Assumptions'!$I$6:$I$40,0)),Waterfalls!$E$5:$EG$5,0)),0)</f>
        <v>0</v>
      </c>
      <c r="AN171" s="798">
        <f>IFERROR(INDEX(Waterfalls!$E$10:$EG$10,MATCH('Venture Summary - Mthly'!AN5-INDEX('Venture Assumptions'!$J$6:$J$40,MATCH($B$2,'Venture Assumptions'!$I$6:$I$40,0)),Waterfalls!$E$5:$EG$5,0)),0)</f>
        <v>0</v>
      </c>
      <c r="AO171" s="798">
        <f>IFERROR(INDEX(Waterfalls!$E$10:$EG$10,MATCH('Venture Summary - Mthly'!AO5-INDEX('Venture Assumptions'!$J$6:$J$40,MATCH($B$2,'Venture Assumptions'!$I$6:$I$40,0)),Waterfalls!$E$5:$EG$5,0)),0)</f>
        <v>0</v>
      </c>
      <c r="AP171" s="798">
        <f>IFERROR(INDEX(Waterfalls!$E$10:$EG$10,MATCH('Venture Summary - Mthly'!AP5-INDEX('Venture Assumptions'!$J$6:$J$40,MATCH($B$2,'Venture Assumptions'!$I$6:$I$40,0)),Waterfalls!$E$5:$EG$5,0)),0)</f>
        <v>0</v>
      </c>
      <c r="AQ171" s="798">
        <f>IFERROR(INDEX(Waterfalls!$E$10:$EG$10,MATCH('Venture Summary - Mthly'!AQ5-INDEX('Venture Assumptions'!$J$6:$J$40,MATCH($B$2,'Venture Assumptions'!$I$6:$I$40,0)),Waterfalls!$E$5:$EG$5,0)),0)</f>
        <v>0</v>
      </c>
      <c r="AR171" s="798">
        <f>IFERROR(INDEX(Waterfalls!$E$10:$EG$10,MATCH('Venture Summary - Mthly'!AR5-INDEX('Venture Assumptions'!$J$6:$J$40,MATCH($B$2,'Venture Assumptions'!$I$6:$I$40,0)),Waterfalls!$E$5:$EG$5,0)),0)</f>
        <v>0</v>
      </c>
      <c r="AS171" s="798">
        <f>IFERROR(INDEX(Waterfalls!$E$10:$EG$10,MATCH('Venture Summary - Mthly'!AS5-INDEX('Venture Assumptions'!$J$6:$J$40,MATCH($B$2,'Venture Assumptions'!$I$6:$I$40,0)),Waterfalls!$E$5:$EG$5,0)),0)</f>
        <v>0</v>
      </c>
      <c r="AT171" s="798">
        <f>IFERROR(INDEX(Waterfalls!$E$10:$EG$10,MATCH('Venture Summary - Mthly'!AT5-INDEX('Venture Assumptions'!$J$6:$J$40,MATCH($B$2,'Venture Assumptions'!$I$6:$I$40,0)),Waterfalls!$E$5:$EG$5,0)),0)</f>
        <v>0</v>
      </c>
      <c r="AU171" s="798">
        <f>IFERROR(INDEX(Waterfalls!$E$10:$EG$10,MATCH('Venture Summary - Mthly'!AU5-INDEX('Venture Assumptions'!$J$6:$J$40,MATCH($B$2,'Venture Assumptions'!$I$6:$I$40,0)),Waterfalls!$E$5:$EG$5,0)),0)</f>
        <v>0</v>
      </c>
      <c r="AV171" s="798">
        <f>IFERROR(INDEX(Waterfalls!$E$10:$EG$10,MATCH('Venture Summary - Mthly'!AV5-INDEX('Venture Assumptions'!$J$6:$J$40,MATCH($B$2,'Venture Assumptions'!$I$6:$I$40,0)),Waterfalls!$E$5:$EG$5,0)),0)</f>
        <v>0</v>
      </c>
      <c r="AW171" s="798">
        <f>IFERROR(INDEX(Waterfalls!$E$10:$EG$10,MATCH('Venture Summary - Mthly'!AW5-INDEX('Venture Assumptions'!$J$6:$J$40,MATCH($B$2,'Venture Assumptions'!$I$6:$I$40,0)),Waterfalls!$E$5:$EG$5,0)),0)</f>
        <v>0</v>
      </c>
      <c r="AX171" s="798">
        <f>IFERROR(INDEX(Waterfalls!$E$10:$EG$10,MATCH('Venture Summary - Mthly'!AX5-INDEX('Venture Assumptions'!$J$6:$J$40,MATCH($B$2,'Venture Assumptions'!$I$6:$I$40,0)),Waterfalls!$E$5:$EG$5,0)),0)</f>
        <v>0</v>
      </c>
      <c r="AY171" s="798">
        <f>IFERROR(INDEX(Waterfalls!$E$10:$EG$10,MATCH('Venture Summary - Mthly'!AY5-INDEX('Venture Assumptions'!$J$6:$J$40,MATCH($B$2,'Venture Assumptions'!$I$6:$I$40,0)),Waterfalls!$E$5:$EG$5,0)),0)</f>
        <v>0</v>
      </c>
      <c r="AZ171" s="798">
        <f>IFERROR(INDEX(Waterfalls!$E$10:$EG$10,MATCH('Venture Summary - Mthly'!AZ5-INDEX('Venture Assumptions'!$J$6:$J$40,MATCH($B$2,'Venture Assumptions'!$I$6:$I$40,0)),Waterfalls!$E$5:$EG$5,0)),0)</f>
        <v>0</v>
      </c>
      <c r="BA171" s="798">
        <f>IFERROR(INDEX(Waterfalls!$E$10:$EG$10,MATCH('Venture Summary - Mthly'!BA5-INDEX('Venture Assumptions'!$J$6:$J$40,MATCH($B$2,'Venture Assumptions'!$I$6:$I$40,0)),Waterfalls!$E$5:$EG$5,0)),0)</f>
        <v>0</v>
      </c>
      <c r="BB171" s="798">
        <f>IFERROR(INDEX(Waterfalls!$E$10:$EG$10,MATCH('Venture Summary - Mthly'!BB5-INDEX('Venture Assumptions'!$J$6:$J$40,MATCH($B$2,'Venture Assumptions'!$I$6:$I$40,0)),Waterfalls!$E$5:$EG$5,0)),0)</f>
        <v>0</v>
      </c>
      <c r="BC171" s="798">
        <f>IFERROR(INDEX(Waterfalls!$E$10:$EG$10,MATCH('Venture Summary - Mthly'!BC5-INDEX('Venture Assumptions'!$J$6:$J$40,MATCH($B$2,'Venture Assumptions'!$I$6:$I$40,0)),Waterfalls!$E$5:$EG$5,0)),0)</f>
        <v>0</v>
      </c>
      <c r="BD171" s="798">
        <f>IFERROR(INDEX(Waterfalls!$E$10:$EG$10,MATCH('Venture Summary - Mthly'!BD5-INDEX('Venture Assumptions'!$J$6:$J$40,MATCH($B$2,'Venture Assumptions'!$I$6:$I$40,0)),Waterfalls!$E$5:$EG$5,0)),0)</f>
        <v>0</v>
      </c>
      <c r="BE171" s="798">
        <f>IFERROR(INDEX(Waterfalls!$E$10:$EG$10,MATCH('Venture Summary - Mthly'!BE5-INDEX('Venture Assumptions'!$J$6:$J$40,MATCH($B$2,'Venture Assumptions'!$I$6:$I$40,0)),Waterfalls!$E$5:$EG$5,0)),0)</f>
        <v>0</v>
      </c>
      <c r="BF171" s="798">
        <f>IFERROR(INDEX(Waterfalls!$E$10:$EG$10,MATCH('Venture Summary - Mthly'!BF5-INDEX('Venture Assumptions'!$J$6:$J$40,MATCH($B$2,'Venture Assumptions'!$I$6:$I$40,0)),Waterfalls!$E$5:$EG$5,0)),0)</f>
        <v>0</v>
      </c>
      <c r="BG171" s="798">
        <f>IFERROR(INDEX(Waterfalls!$E$10:$EG$10,MATCH('Venture Summary - Mthly'!BG5-INDEX('Venture Assumptions'!$J$6:$J$40,MATCH($B$2,'Venture Assumptions'!$I$6:$I$40,0)),Waterfalls!$E$5:$EG$5,0)),0)</f>
        <v>0</v>
      </c>
      <c r="BH171" s="798">
        <f>IFERROR(INDEX(Waterfalls!$E$10:$EG$10,MATCH('Venture Summary - Mthly'!BH5-INDEX('Venture Assumptions'!$J$6:$J$40,MATCH($B$2,'Venture Assumptions'!$I$6:$I$40,0)),Waterfalls!$E$5:$EG$5,0)),0)</f>
        <v>0</v>
      </c>
      <c r="BI171" s="798">
        <f>IFERROR(INDEX(Waterfalls!$E$10:$EG$10,MATCH('Venture Summary - Mthly'!BI5-INDEX('Venture Assumptions'!$J$6:$J$40,MATCH($B$2,'Venture Assumptions'!$I$6:$I$40,0)),Waterfalls!$E$5:$EG$5,0)),0)</f>
        <v>0</v>
      </c>
      <c r="BJ171" s="798">
        <f>IFERROR(INDEX(Waterfalls!$E$10:$EG$10,MATCH('Venture Summary - Mthly'!BJ5-INDEX('Venture Assumptions'!$J$6:$J$40,MATCH($B$2,'Venture Assumptions'!$I$6:$I$40,0)),Waterfalls!$E$5:$EG$5,0)),0)</f>
        <v>0</v>
      </c>
      <c r="BK171" s="798">
        <f>IFERROR(INDEX(Waterfalls!$E$10:$EG$10,MATCH('Venture Summary - Mthly'!BK5-INDEX('Venture Assumptions'!$J$6:$J$40,MATCH($B$2,'Venture Assumptions'!$I$6:$I$40,0)),Waterfalls!$E$5:$EG$5,0)),0)</f>
        <v>0</v>
      </c>
      <c r="BL171" s="798">
        <f>IFERROR(INDEX(Waterfalls!$E$10:$EG$10,MATCH('Venture Summary - Mthly'!BL5-INDEX('Venture Assumptions'!$J$6:$J$40,MATCH($B$2,'Venture Assumptions'!$I$6:$I$40,0)),Waterfalls!$E$5:$EG$5,0)),0)</f>
        <v>0</v>
      </c>
      <c r="BM171" s="798">
        <f>IFERROR(INDEX(Waterfalls!$E$10:$EG$10,MATCH('Venture Summary - Mthly'!BM5-INDEX('Venture Assumptions'!$J$6:$J$40,MATCH($B$2,'Venture Assumptions'!$I$6:$I$40,0)),Waterfalls!$E$5:$EG$5,0)),0)</f>
        <v>0</v>
      </c>
      <c r="BN171" s="798">
        <f>IFERROR(INDEX(Waterfalls!$E$10:$EG$10,MATCH('Venture Summary - Mthly'!BN5-INDEX('Venture Assumptions'!$J$6:$J$40,MATCH($B$2,'Venture Assumptions'!$I$6:$I$40,0)),Waterfalls!$E$5:$EG$5,0)),0)</f>
        <v>0</v>
      </c>
      <c r="BO171" s="798">
        <f>IFERROR(INDEX(Waterfalls!$E$10:$EG$10,MATCH('Venture Summary - Mthly'!BO5-INDEX('Venture Assumptions'!$J$6:$J$40,MATCH($B$2,'Venture Assumptions'!$I$6:$I$40,0)),Waterfalls!$E$5:$EG$5,0)),0)</f>
        <v>0</v>
      </c>
      <c r="BP171" s="798">
        <f>IFERROR(INDEX(Waterfalls!$E$10:$EG$10,MATCH('Venture Summary - Mthly'!BP5-INDEX('Venture Assumptions'!$J$6:$J$40,MATCH($B$2,'Venture Assumptions'!$I$6:$I$40,0)),Waterfalls!$E$5:$EG$5,0)),0)</f>
        <v>0</v>
      </c>
      <c r="BQ171" s="798">
        <f>IFERROR(INDEX(Waterfalls!$E$10:$EG$10,MATCH('Venture Summary - Mthly'!BQ5-INDEX('Venture Assumptions'!$J$6:$J$40,MATCH($B$2,'Venture Assumptions'!$I$6:$I$40,0)),Waterfalls!$E$5:$EG$5,0)),0)</f>
        <v>0</v>
      </c>
      <c r="BR171" s="798">
        <f>IFERROR(INDEX(Waterfalls!$E$10:$EG$10,MATCH('Venture Summary - Mthly'!BR5-INDEX('Venture Assumptions'!$J$6:$J$40,MATCH($B$2,'Venture Assumptions'!$I$6:$I$40,0)),Waterfalls!$E$5:$EG$5,0)),0)</f>
        <v>0</v>
      </c>
      <c r="BS171" s="798">
        <f>IFERROR(INDEX(Waterfalls!$E$10:$EG$10,MATCH('Venture Summary - Mthly'!BS5-INDEX('Venture Assumptions'!$J$6:$J$40,MATCH($B$2,'Venture Assumptions'!$I$6:$I$40,0)),Waterfalls!$E$5:$EG$5,0)),0)</f>
        <v>0</v>
      </c>
      <c r="BT171" s="798">
        <f>IFERROR(INDEX(Waterfalls!$E$10:$EG$10,MATCH('Venture Summary - Mthly'!BT5-INDEX('Venture Assumptions'!$J$6:$J$40,MATCH($B$2,'Venture Assumptions'!$I$6:$I$40,0)),Waterfalls!$E$5:$EG$5,0)),0)</f>
        <v>0</v>
      </c>
      <c r="BU171" s="798">
        <f>IFERROR(INDEX(Waterfalls!$E$10:$EG$10,MATCH('Venture Summary - Mthly'!BU5-INDEX('Venture Assumptions'!$J$6:$J$40,MATCH($B$2,'Venture Assumptions'!$I$6:$I$40,0)),Waterfalls!$E$5:$EG$5,0)),0)</f>
        <v>0</v>
      </c>
      <c r="BV171" s="798">
        <f>IFERROR(INDEX(Waterfalls!$E$10:$EG$10,MATCH('Venture Summary - Mthly'!BV5-INDEX('Venture Assumptions'!$J$6:$J$40,MATCH($B$2,'Venture Assumptions'!$I$6:$I$40,0)),Waterfalls!$E$5:$EG$5,0)),0)</f>
        <v>0</v>
      </c>
      <c r="BW171" s="798">
        <f>IFERROR(INDEX(Waterfalls!$E$10:$EG$10,MATCH('Venture Summary - Mthly'!BW5-INDEX('Venture Assumptions'!$J$6:$J$40,MATCH($B$2,'Venture Assumptions'!$I$6:$I$40,0)),Waterfalls!$E$5:$EG$5,0)),0)</f>
        <v>0</v>
      </c>
      <c r="BX171" s="798">
        <f>IFERROR(INDEX(Waterfalls!$E$10:$EG$10,MATCH('Venture Summary - Mthly'!BX5-INDEX('Venture Assumptions'!$J$6:$J$40,MATCH($B$2,'Venture Assumptions'!$I$6:$I$40,0)),Waterfalls!$E$5:$EG$5,0)),0)</f>
        <v>0</v>
      </c>
      <c r="BY171" s="798">
        <f>IFERROR(INDEX(Waterfalls!$E$10:$EG$10,MATCH('Venture Summary - Mthly'!BY5-INDEX('Venture Assumptions'!$J$6:$J$40,MATCH($B$2,'Venture Assumptions'!$I$6:$I$40,0)),Waterfalls!$E$5:$EG$5,0)),0)</f>
        <v>0</v>
      </c>
      <c r="BZ171" s="798">
        <f>IFERROR(INDEX(Waterfalls!$E$10:$EG$10,MATCH('Venture Summary - Mthly'!BZ5-INDEX('Venture Assumptions'!$J$6:$J$40,MATCH($B$2,'Venture Assumptions'!$I$6:$I$40,0)),Waterfalls!$E$5:$EG$5,0)),0)</f>
        <v>0</v>
      </c>
      <c r="CA171" s="798">
        <f>IFERROR(INDEX(Waterfalls!$E$10:$EG$10,MATCH('Venture Summary - Mthly'!CA5-INDEX('Venture Assumptions'!$J$6:$J$40,MATCH($B$2,'Venture Assumptions'!$I$6:$I$40,0)),Waterfalls!$E$5:$EG$5,0)),0)</f>
        <v>0</v>
      </c>
      <c r="CB171" s="798">
        <f>IFERROR(INDEX(Waterfalls!$E$10:$EG$10,MATCH('Venture Summary - Mthly'!CB5-INDEX('Venture Assumptions'!$J$6:$J$40,MATCH($B$2,'Venture Assumptions'!$I$6:$I$40,0)),Waterfalls!$E$5:$EG$5,0)),0)</f>
        <v>0</v>
      </c>
      <c r="CC171" s="798">
        <f>IFERROR(INDEX(Waterfalls!$E$10:$EG$10,MATCH('Venture Summary - Mthly'!CC5-INDEX('Venture Assumptions'!$J$6:$J$40,MATCH($B$2,'Venture Assumptions'!$I$6:$I$40,0)),Waterfalls!$E$5:$EG$5,0)),0)</f>
        <v>0</v>
      </c>
      <c r="CD171" s="798">
        <f>IFERROR(INDEX(Waterfalls!$E$10:$EG$10,MATCH('Venture Summary - Mthly'!CD5-INDEX('Venture Assumptions'!$J$6:$J$40,MATCH($B$2,'Venture Assumptions'!$I$6:$I$40,0)),Waterfalls!$E$5:$EG$5,0)),0)</f>
        <v>0</v>
      </c>
      <c r="CE171" s="798">
        <f>IFERROR(INDEX(Waterfalls!$E$10:$EG$10,MATCH('Venture Summary - Mthly'!CE5-INDEX('Venture Assumptions'!$J$6:$J$40,MATCH($B$2,'Venture Assumptions'!$I$6:$I$40,0)),Waterfalls!$E$5:$EG$5,0)),0)</f>
        <v>0</v>
      </c>
      <c r="CF171" s="798">
        <f>IFERROR(INDEX(Waterfalls!$E$10:$EG$10,MATCH('Venture Summary - Mthly'!CF5-INDEX('Venture Assumptions'!$J$6:$J$40,MATCH($B$2,'Venture Assumptions'!$I$6:$I$40,0)),Waterfalls!$E$5:$EG$5,0)),0)</f>
        <v>0</v>
      </c>
      <c r="CG171" s="798">
        <f>IFERROR(INDEX(Waterfalls!$E$10:$EG$10,MATCH('Venture Summary - Mthly'!CG5-INDEX('Venture Assumptions'!$J$6:$J$40,MATCH($B$2,'Venture Assumptions'!$I$6:$I$40,0)),Waterfalls!$E$5:$EG$5,0)),0)</f>
        <v>0</v>
      </c>
      <c r="CH171" s="798">
        <f>IFERROR(INDEX(Waterfalls!$E$10:$EG$10,MATCH('Venture Summary - Mthly'!CH5-INDEX('Venture Assumptions'!$J$6:$J$40,MATCH($B$2,'Venture Assumptions'!$I$6:$I$40,0)),Waterfalls!$E$5:$EG$5,0)),0)</f>
        <v>0</v>
      </c>
      <c r="CI171" s="798">
        <f>IFERROR(INDEX(Waterfalls!$E$10:$EG$10,MATCH('Venture Summary - Mthly'!CI5-INDEX('Venture Assumptions'!$J$6:$J$40,MATCH($B$2,'Venture Assumptions'!$I$6:$I$40,0)),Waterfalls!$E$5:$EG$5,0)),0)</f>
        <v>0</v>
      </c>
      <c r="CJ171" s="798">
        <f>IFERROR(INDEX(Waterfalls!$E$10:$EG$10,MATCH('Venture Summary - Mthly'!CJ5-INDEX('Venture Assumptions'!$J$6:$J$40,MATCH($B$2,'Venture Assumptions'!$I$6:$I$40,0)),Waterfalls!$E$5:$EG$5,0)),0)</f>
        <v>0</v>
      </c>
      <c r="CK171" s="798">
        <f>IFERROR(INDEX(Waterfalls!$E$10:$EG$10,MATCH('Venture Summary - Mthly'!CK5-INDEX('Venture Assumptions'!$J$6:$J$40,MATCH($B$2,'Venture Assumptions'!$I$6:$I$40,0)),Waterfalls!$E$5:$EG$5,0)),0)</f>
        <v>0</v>
      </c>
      <c r="CL171" s="798">
        <f>IFERROR(INDEX(Waterfalls!$E$10:$EG$10,MATCH('Venture Summary - Mthly'!CL5-INDEX('Venture Assumptions'!$J$6:$J$40,MATCH($B$2,'Venture Assumptions'!$I$6:$I$40,0)),Waterfalls!$E$5:$EG$5,0)),0)</f>
        <v>0</v>
      </c>
      <c r="CM171" s="798">
        <f>IFERROR(INDEX(Waterfalls!$E$10:$EG$10,MATCH('Venture Summary - Mthly'!CM5-INDEX('Venture Assumptions'!$J$6:$J$40,MATCH($B$2,'Venture Assumptions'!$I$6:$I$40,0)),Waterfalls!$E$5:$EG$5,0)),0)</f>
        <v>0</v>
      </c>
      <c r="CN171" s="798">
        <f>IFERROR(INDEX(Waterfalls!$E$10:$EG$10,MATCH('Venture Summary - Mthly'!CN5-INDEX('Venture Assumptions'!$J$6:$J$40,MATCH($B$2,'Venture Assumptions'!$I$6:$I$40,0)),Waterfalls!$E$5:$EG$5,0)),0)</f>
        <v>0</v>
      </c>
      <c r="CO171" s="798">
        <f>IFERROR(INDEX(Waterfalls!$E$10:$EG$10,MATCH('Venture Summary - Mthly'!CO5-INDEX('Venture Assumptions'!$J$6:$J$40,MATCH($B$2,'Venture Assumptions'!$I$6:$I$40,0)),Waterfalls!$E$5:$EG$5,0)),0)</f>
        <v>0</v>
      </c>
      <c r="CP171" s="798">
        <f>IFERROR(INDEX(Waterfalls!$E$10:$EG$10,MATCH('Venture Summary - Mthly'!CP5-INDEX('Venture Assumptions'!$J$6:$J$40,MATCH($B$2,'Venture Assumptions'!$I$6:$I$40,0)),Waterfalls!$E$5:$EG$5,0)),0)</f>
        <v>0</v>
      </c>
      <c r="CQ171" s="798">
        <f>IFERROR(INDEX(Waterfalls!$E$10:$EG$10,MATCH('Venture Summary - Mthly'!CQ5-INDEX('Venture Assumptions'!$J$6:$J$40,MATCH($B$2,'Venture Assumptions'!$I$6:$I$40,0)),Waterfalls!$E$5:$EG$5,0)),0)</f>
        <v>0</v>
      </c>
      <c r="CR171" s="798">
        <f>IFERROR(INDEX(Waterfalls!$E$10:$EG$10,MATCH('Venture Summary - Mthly'!CR5-INDEX('Venture Assumptions'!$J$6:$J$40,MATCH($B$2,'Venture Assumptions'!$I$6:$I$40,0)),Waterfalls!$E$5:$EG$5,0)),0)</f>
        <v>0</v>
      </c>
      <c r="CS171" s="798">
        <f>IFERROR(INDEX(Waterfalls!$E$10:$EG$10,MATCH('Venture Summary - Mthly'!CS5-INDEX('Venture Assumptions'!$J$6:$J$40,MATCH($B$2,'Venture Assumptions'!$I$6:$I$40,0)),Waterfalls!$E$5:$EG$5,0)),0)</f>
        <v>0</v>
      </c>
      <c r="CT171" s="798">
        <f>IFERROR(INDEX(Waterfalls!$E$10:$EG$10,MATCH('Venture Summary - Mthly'!CT5-INDEX('Venture Assumptions'!$J$6:$J$40,MATCH($B$2,'Venture Assumptions'!$I$6:$I$40,0)),Waterfalls!$E$5:$EG$5,0)),0)</f>
        <v>0</v>
      </c>
      <c r="CU171" s="798">
        <f>IFERROR(INDEX(Waterfalls!$E$10:$EG$10,MATCH('Venture Summary - Mthly'!CU5-INDEX('Venture Assumptions'!$J$6:$J$40,MATCH($B$2,'Venture Assumptions'!$I$6:$I$40,0)),Waterfalls!$E$5:$EG$5,0)),0)</f>
        <v>0</v>
      </c>
      <c r="CV171" s="798">
        <f>IFERROR(INDEX(Waterfalls!$E$10:$EG$10,MATCH('Venture Summary - Mthly'!CV5-INDEX('Venture Assumptions'!$J$6:$J$40,MATCH($B$2,'Venture Assumptions'!$I$6:$I$40,0)),Waterfalls!$E$5:$EG$5,0)),0)</f>
        <v>0</v>
      </c>
      <c r="CW171" s="798">
        <f>IFERROR(INDEX(Waterfalls!$E$10:$EG$10,MATCH('Venture Summary - Mthly'!CW5-INDEX('Venture Assumptions'!$J$6:$J$40,MATCH($B$2,'Venture Assumptions'!$I$6:$I$40,0)),Waterfalls!$E$5:$EG$5,0)),0)</f>
        <v>0</v>
      </c>
      <c r="CX171" s="798">
        <f>IFERROR(INDEX(Waterfalls!$E$10:$EG$10,MATCH('Venture Summary - Mthly'!CX5-INDEX('Venture Assumptions'!$J$6:$J$40,MATCH($B$2,'Venture Assumptions'!$I$6:$I$40,0)),Waterfalls!$E$5:$EG$5,0)),0)</f>
        <v>0</v>
      </c>
      <c r="CY171" s="798">
        <f>IFERROR(INDEX(Waterfalls!$E$10:$EG$10,MATCH('Venture Summary - Mthly'!CY5-INDEX('Venture Assumptions'!$J$6:$J$40,MATCH($B$2,'Venture Assumptions'!$I$6:$I$40,0)),Waterfalls!$E$5:$EG$5,0)),0)</f>
        <v>0</v>
      </c>
      <c r="CZ171" s="798">
        <f>IFERROR(INDEX(Waterfalls!$E$10:$EG$10,MATCH('Venture Summary - Mthly'!CZ5-INDEX('Venture Assumptions'!$J$6:$J$40,MATCH($B$2,'Venture Assumptions'!$I$6:$I$40,0)),Waterfalls!$E$5:$EG$5,0)),0)</f>
        <v>0</v>
      </c>
      <c r="DA171" s="798">
        <f>IFERROR(INDEX(Waterfalls!$E$10:$EG$10,MATCH('Venture Summary - Mthly'!DA5-INDEX('Venture Assumptions'!$J$6:$J$40,MATCH($B$2,'Venture Assumptions'!$I$6:$I$40,0)),Waterfalls!$E$5:$EG$5,0)),0)</f>
        <v>0</v>
      </c>
      <c r="DB171" s="798">
        <f>IFERROR(INDEX(Waterfalls!$E$10:$EG$10,MATCH('Venture Summary - Mthly'!DB5-INDEX('Venture Assumptions'!$J$6:$J$40,MATCH($B$2,'Venture Assumptions'!$I$6:$I$40,0)),Waterfalls!$E$5:$EG$5,0)),0)</f>
        <v>0</v>
      </c>
      <c r="DC171" s="798">
        <f>IFERROR(INDEX(Waterfalls!$E$10:$EG$10,MATCH('Venture Summary - Mthly'!DC5-INDEX('Venture Assumptions'!$J$6:$J$40,MATCH($B$2,'Venture Assumptions'!$I$6:$I$40,0)),Waterfalls!$E$5:$EG$5,0)),0)</f>
        <v>0</v>
      </c>
      <c r="DD171" s="798">
        <f>IFERROR(INDEX(Waterfalls!$E$10:$EG$10,MATCH('Venture Summary - Mthly'!DD5-INDEX('Venture Assumptions'!$J$6:$J$40,MATCH($B$2,'Venture Assumptions'!$I$6:$I$40,0)),Waterfalls!$E$5:$EG$5,0)),0)</f>
        <v>0</v>
      </c>
      <c r="DE171" s="798">
        <f>IFERROR(INDEX(Waterfalls!$E$10:$EG$10,MATCH('Venture Summary - Mthly'!DE5-INDEX('Venture Assumptions'!$J$6:$J$40,MATCH($B$2,'Venture Assumptions'!$I$6:$I$40,0)),Waterfalls!$E$5:$EG$5,0)),0)</f>
        <v>0</v>
      </c>
      <c r="DF171" s="798">
        <f>IFERROR(INDEX(Waterfalls!$E$10:$EG$10,MATCH('Venture Summary - Mthly'!DF5-INDEX('Venture Assumptions'!$J$6:$J$40,MATCH($B$2,'Venture Assumptions'!$I$6:$I$40,0)),Waterfalls!$E$5:$EG$5,0)),0)</f>
        <v>0</v>
      </c>
      <c r="DG171" s="798">
        <f>IFERROR(INDEX(Waterfalls!$E$10:$EG$10,MATCH('Venture Summary - Mthly'!DG5-INDEX('Venture Assumptions'!$J$6:$J$40,MATCH($B$2,'Venture Assumptions'!$I$6:$I$40,0)),Waterfalls!$E$5:$EG$5,0)),0)</f>
        <v>0</v>
      </c>
      <c r="DH171" s="798">
        <f>IFERROR(INDEX(Waterfalls!$E$10:$EG$10,MATCH('Venture Summary - Mthly'!DH5-INDEX('Venture Assumptions'!$J$6:$J$40,MATCH($B$2,'Venture Assumptions'!$I$6:$I$40,0)),Waterfalls!$E$5:$EG$5,0)),0)</f>
        <v>0</v>
      </c>
      <c r="DI171" s="798">
        <f>IFERROR(INDEX(Waterfalls!$E$10:$EG$10,MATCH('Venture Summary - Mthly'!DI5-INDEX('Venture Assumptions'!$J$6:$J$40,MATCH($B$2,'Venture Assumptions'!$I$6:$I$40,0)),Waterfalls!$E$5:$EG$5,0)),0)</f>
        <v>0</v>
      </c>
      <c r="DJ171" s="798">
        <f>IFERROR(INDEX(Waterfalls!$E$10:$EG$10,MATCH('Venture Summary - Mthly'!DJ5-INDEX('Venture Assumptions'!$J$6:$J$40,MATCH($B$2,'Venture Assumptions'!$I$6:$I$40,0)),Waterfalls!$E$5:$EG$5,0)),0)</f>
        <v>0</v>
      </c>
      <c r="DK171" s="798">
        <f>IFERROR(INDEX(Waterfalls!$E$10:$EG$10,MATCH('Venture Summary - Mthly'!DK5-INDEX('Venture Assumptions'!$J$6:$J$40,MATCH($B$2,'Venture Assumptions'!$I$6:$I$40,0)),Waterfalls!$E$5:$EG$5,0)),0)</f>
        <v>0</v>
      </c>
      <c r="DL171" s="798">
        <f>IFERROR(INDEX(Waterfalls!$E$10:$EG$10,MATCH('Venture Summary - Mthly'!DL5-INDEX('Venture Assumptions'!$J$6:$J$40,MATCH($B$2,'Venture Assumptions'!$I$6:$I$40,0)),Waterfalls!$E$5:$EG$5,0)),0)</f>
        <v>0</v>
      </c>
      <c r="DM171" s="798">
        <f>IFERROR(INDEX(Waterfalls!$E$10:$EG$10,MATCH('Venture Summary - Mthly'!DM5-INDEX('Venture Assumptions'!$J$6:$J$40,MATCH($B$2,'Venture Assumptions'!$I$6:$I$40,0)),Waterfalls!$E$5:$EG$5,0)),0)</f>
        <v>0</v>
      </c>
      <c r="DN171" s="798">
        <f>IFERROR(INDEX(Waterfalls!$E$10:$EG$10,MATCH('Venture Summary - Mthly'!DN5-INDEX('Venture Assumptions'!$J$6:$J$40,MATCH($B$2,'Venture Assumptions'!$I$6:$I$40,0)),Waterfalls!$E$5:$EG$5,0)),0)</f>
        <v>0</v>
      </c>
      <c r="DO171" s="798">
        <f>IFERROR(INDEX(Waterfalls!$E$10:$EG$10,MATCH('Venture Summary - Mthly'!DO5-INDEX('Venture Assumptions'!$J$6:$J$40,MATCH($B$2,'Venture Assumptions'!$I$6:$I$40,0)),Waterfalls!$E$5:$EG$5,0)),0)</f>
        <v>0</v>
      </c>
      <c r="DP171" s="798">
        <f>IFERROR(INDEX(Waterfalls!$E$10:$EG$10,MATCH('Venture Summary - Mthly'!DP5-INDEX('Venture Assumptions'!$J$6:$J$40,MATCH($B$2,'Venture Assumptions'!$I$6:$I$40,0)),Waterfalls!$E$5:$EG$5,0)),0)</f>
        <v>0</v>
      </c>
      <c r="DQ171" s="798">
        <f>IFERROR(INDEX(Waterfalls!$E$10:$EG$10,MATCH('Venture Summary - Mthly'!DQ5-INDEX('Venture Assumptions'!$J$6:$J$40,MATCH($B$2,'Venture Assumptions'!$I$6:$I$40,0)),Waterfalls!$E$5:$EG$5,0)),0)</f>
        <v>0</v>
      </c>
      <c r="DR171" s="798">
        <f>IFERROR(INDEX(Waterfalls!$E$10:$EG$10,MATCH('Venture Summary - Mthly'!DR5-INDEX('Venture Assumptions'!$J$6:$J$40,MATCH($B$2,'Venture Assumptions'!$I$6:$I$40,0)),Waterfalls!$E$5:$EG$5,0)),0)</f>
        <v>0</v>
      </c>
      <c r="DS171" s="798">
        <f>IFERROR(INDEX(Waterfalls!$E$10:$EG$10,MATCH('Venture Summary - Mthly'!DS5-INDEX('Venture Assumptions'!$J$6:$J$40,MATCH($B$2,'Venture Assumptions'!$I$6:$I$40,0)),Waterfalls!$E$5:$EG$5,0)),0)</f>
        <v>0</v>
      </c>
      <c r="DT171" s="798">
        <f>IFERROR(INDEX(Waterfalls!$E$10:$EG$10,MATCH('Venture Summary - Mthly'!DT5-INDEX('Venture Assumptions'!$J$6:$J$40,MATCH($B$2,'Venture Assumptions'!$I$6:$I$40,0)),Waterfalls!$E$5:$EG$5,0)),0)</f>
        <v>0</v>
      </c>
      <c r="DU171" s="798">
        <f>IFERROR(INDEX(Waterfalls!$E$10:$EG$10,MATCH('Venture Summary - Mthly'!DU5-INDEX('Venture Assumptions'!$J$6:$J$40,MATCH($B$2,'Venture Assumptions'!$I$6:$I$40,0)),Waterfalls!$E$5:$EG$5,0)),0)</f>
        <v>0</v>
      </c>
      <c r="DV171" s="798">
        <f>IFERROR(INDEX(Waterfalls!$E$10:$EG$10,MATCH('Venture Summary - Mthly'!DV5-INDEX('Venture Assumptions'!$J$6:$J$40,MATCH($B$2,'Venture Assumptions'!$I$6:$I$40,0)),Waterfalls!$E$5:$EG$5,0)),0)</f>
        <v>0</v>
      </c>
      <c r="DW171" s="798">
        <f>IFERROR(INDEX(Waterfalls!$E$10:$EG$10,MATCH('Venture Summary - Mthly'!DW5-INDEX('Venture Assumptions'!$J$6:$J$40,MATCH($B$2,'Venture Assumptions'!$I$6:$I$40,0)),Waterfalls!$E$5:$EG$5,0)),0)</f>
        <v>0</v>
      </c>
      <c r="DX171" s="798">
        <f>IFERROR(INDEX(Waterfalls!$E$10:$EG$10,MATCH('Venture Summary - Mthly'!DX5-INDEX('Venture Assumptions'!$J$6:$J$40,MATCH($B$2,'Venture Assumptions'!$I$6:$I$40,0)),Waterfalls!$E$5:$EG$5,0)),0)</f>
        <v>0</v>
      </c>
      <c r="DY171" s="798">
        <f>IFERROR(INDEX(Waterfalls!$E$10:$EG$10,MATCH('Venture Summary - Mthly'!DY5-INDEX('Venture Assumptions'!$J$6:$J$40,MATCH($B$2,'Venture Assumptions'!$I$6:$I$40,0)),Waterfalls!$E$5:$EG$5,0)),0)</f>
        <v>0</v>
      </c>
      <c r="DZ171" s="798">
        <f>IFERROR(INDEX(Waterfalls!$E$10:$EG$10,MATCH('Venture Summary - Mthly'!DZ5-INDEX('Venture Assumptions'!$J$6:$J$40,MATCH($B$2,'Venture Assumptions'!$I$6:$I$40,0)),Waterfalls!$E$5:$EG$5,0)),0)</f>
        <v>0</v>
      </c>
      <c r="EA171" s="798">
        <f>IFERROR(INDEX(Waterfalls!$E$10:$EG$10,MATCH('Venture Summary - Mthly'!EA5-INDEX('Venture Assumptions'!$J$6:$J$40,MATCH($B$2,'Venture Assumptions'!$I$6:$I$40,0)),Waterfalls!$E$5:$EG$5,0)),0)</f>
        <v>0</v>
      </c>
      <c r="EB171" s="798">
        <f>IFERROR(INDEX(Waterfalls!$E$10:$EG$10,MATCH('Venture Summary - Mthly'!EB5-INDEX('Venture Assumptions'!$J$6:$J$40,MATCH($B$2,'Venture Assumptions'!$I$6:$I$40,0)),Waterfalls!$E$5:$EG$5,0)),0)</f>
        <v>0</v>
      </c>
      <c r="EC171" s="798">
        <f>IFERROR(INDEX(Waterfalls!$E$10:$EG$10,MATCH('Venture Summary - Mthly'!EC5-INDEX('Venture Assumptions'!$J$6:$J$40,MATCH($B$2,'Venture Assumptions'!$I$6:$I$40,0)),Waterfalls!$E$5:$EG$5,0)),0)</f>
        <v>0</v>
      </c>
      <c r="ED171" s="798">
        <f>IFERROR(INDEX(Waterfalls!$E$10:$EG$10,MATCH('Venture Summary - Mthly'!ED5-INDEX('Venture Assumptions'!$J$6:$J$40,MATCH($B$2,'Venture Assumptions'!$I$6:$I$40,0)),Waterfalls!$E$5:$EG$5,0)),0)</f>
        <v>0</v>
      </c>
      <c r="EE171" s="798">
        <f>IFERROR(INDEX(Waterfalls!$E$10:$EG$10,MATCH('Venture Summary - Mthly'!EE5-INDEX('Venture Assumptions'!$J$6:$J$40,MATCH($B$2,'Venture Assumptions'!$I$6:$I$40,0)),Waterfalls!$E$5:$EG$5,0)),0)</f>
        <v>0</v>
      </c>
      <c r="EF171" s="798">
        <f>IFERROR(INDEX(Waterfalls!$E$10:$EG$10,MATCH('Venture Summary - Mthly'!EF5-INDEX('Venture Assumptions'!$J$6:$J$40,MATCH($B$2,'Venture Assumptions'!$I$6:$I$40,0)),Waterfalls!$E$5:$EG$5,0)),0)</f>
        <v>0</v>
      </c>
      <c r="EG171" s="798">
        <f>IFERROR(INDEX(Waterfalls!$E$10:$EG$10,MATCH('Venture Summary - Mthly'!EG5-INDEX('Venture Assumptions'!$J$6:$J$40,MATCH($B$2,'Venture Assumptions'!$I$6:$I$40,0)),Waterfalls!$E$5:$EG$5,0)),0)</f>
        <v>0</v>
      </c>
      <c r="EH171" s="782"/>
    </row>
    <row r="172" spans="1:138" ht="12.75" customHeight="1" x14ac:dyDescent="0.3">
      <c r="A172" s="782"/>
      <c r="B172" s="781" t="s">
        <v>102</v>
      </c>
      <c r="C172" s="799"/>
      <c r="D172" s="781"/>
      <c r="E172" s="799">
        <f>IF(E4=EOMONTH(SUMPRODUCT($E$9:$EG$9,$E$4:$EG$4),'Venture Assumptions'!$F$66+INDEX('Venture Assumptions'!$J$43:$J$77,MATCH($B$2,'Venture Assumptions'!$I$43:$I$77,0))),-E170,0)</f>
        <v>0</v>
      </c>
      <c r="F172" s="799">
        <f>IF(F4=EOMONTH(SUMPRODUCT($E$9:$EG$9,$E$4:$EG$4),'Venture Assumptions'!$F$66+INDEX('Venture Assumptions'!$J$43:$J$77,MATCH($B$2,'Venture Assumptions'!$I$43:$I$77,0))),-F170,0)</f>
        <v>0</v>
      </c>
      <c r="G172" s="799">
        <f>IF(G4=EOMONTH(SUMPRODUCT($E$9:$EG$9,$E$4:$EG$4),'Venture Assumptions'!$F$66+INDEX('Venture Assumptions'!$J$43:$J$77,MATCH($B$2,'Venture Assumptions'!$I$43:$I$77,0))),-G170,0)</f>
        <v>0</v>
      </c>
      <c r="H172" s="799">
        <f>IF(H4=EOMONTH(SUMPRODUCT($E$9:$EG$9,$E$4:$EG$4),'Venture Assumptions'!$F$66+INDEX('Venture Assumptions'!$J$43:$J$77,MATCH($B$2,'Venture Assumptions'!$I$43:$I$77,0))),-H170,0)</f>
        <v>0</v>
      </c>
      <c r="I172" s="799">
        <f>IF(I4=EOMONTH(SUMPRODUCT($E$9:$EG$9,$E$4:$EG$4),'Venture Assumptions'!$F$66+INDEX('Venture Assumptions'!$J$43:$J$77,MATCH($B$2,'Venture Assumptions'!$I$43:$I$77,0))),-I170,0)</f>
        <v>0</v>
      </c>
      <c r="J172" s="799">
        <f>IF(J4=EOMONTH(SUMPRODUCT($E$9:$EG$9,$E$4:$EG$4),'Venture Assumptions'!$F$66+INDEX('Venture Assumptions'!$J$43:$J$77,MATCH($B$2,'Venture Assumptions'!$I$43:$I$77,0))),-J170,0)</f>
        <v>0</v>
      </c>
      <c r="K172" s="799">
        <f>IF(K4=EOMONTH(SUMPRODUCT($E$9:$EG$9,$E$4:$EG$4),'Venture Assumptions'!$F$66+INDEX('Venture Assumptions'!$J$43:$J$77,MATCH($B$2,'Venture Assumptions'!$I$43:$I$77,0))),-K170,0)</f>
        <v>0</v>
      </c>
      <c r="L172" s="799">
        <f>IF(L4=EOMONTH(SUMPRODUCT($E$9:$EG$9,$E$4:$EG$4),'Venture Assumptions'!$F$66+INDEX('Venture Assumptions'!$J$43:$J$77,MATCH($B$2,'Venture Assumptions'!$I$43:$I$77,0))),-L170,0)</f>
        <v>0</v>
      </c>
      <c r="M172" s="799">
        <f>IF(M4=EOMONTH(SUMPRODUCT($E$9:$EG$9,$E$4:$EG$4),'Venture Assumptions'!$F$66+INDEX('Venture Assumptions'!$J$43:$J$77,MATCH($B$2,'Venture Assumptions'!$I$43:$I$77,0))),-M170,0)</f>
        <v>0</v>
      </c>
      <c r="N172" s="799">
        <f>IF(N4=EOMONTH(SUMPRODUCT($E$9:$EG$9,$E$4:$EG$4),'Venture Assumptions'!$F$66+INDEX('Venture Assumptions'!$J$43:$J$77,MATCH($B$2,'Venture Assumptions'!$I$43:$I$77,0))),-N170,0)</f>
        <v>0</v>
      </c>
      <c r="O172" s="799">
        <f>IF(O4=EOMONTH(SUMPRODUCT($E$9:$EG$9,$E$4:$EG$4),'Venture Assumptions'!$F$66+INDEX('Venture Assumptions'!$J$43:$J$77,MATCH($B$2,'Venture Assumptions'!$I$43:$I$77,0))),-O170,0)</f>
        <v>0</v>
      </c>
      <c r="P172" s="799">
        <f>IF(P4=EOMONTH(SUMPRODUCT($E$9:$EG$9,$E$4:$EG$4),'Venture Assumptions'!$F$66+INDEX('Venture Assumptions'!$J$43:$J$77,MATCH($B$2,'Venture Assumptions'!$I$43:$I$77,0))),-P170,0)</f>
        <v>0</v>
      </c>
      <c r="Q172" s="799">
        <f>IF(Q4=EOMONTH(SUMPRODUCT($E$9:$EG$9,$E$4:$EG$4),'Venture Assumptions'!$F$66+INDEX('Venture Assumptions'!$J$43:$J$77,MATCH($B$2,'Venture Assumptions'!$I$43:$I$77,0))),-Q170,0)</f>
        <v>0</v>
      </c>
      <c r="R172" s="799">
        <f>IF(R4=EOMONTH(SUMPRODUCT($E$9:$EG$9,$E$4:$EG$4),'Venture Assumptions'!$F$66+INDEX('Venture Assumptions'!$J$43:$J$77,MATCH($B$2,'Venture Assumptions'!$I$43:$I$77,0))),-R170,0)</f>
        <v>0</v>
      </c>
      <c r="S172" s="799">
        <f>IF(S4=EOMONTH(SUMPRODUCT($E$9:$EG$9,$E$4:$EG$4),'Venture Assumptions'!$F$66+INDEX('Venture Assumptions'!$J$43:$J$77,MATCH($B$2,'Venture Assumptions'!$I$43:$I$77,0))),-S170,0)</f>
        <v>0</v>
      </c>
      <c r="T172" s="799">
        <f>IF(T4=EOMONTH(SUMPRODUCT($E$9:$EG$9,$E$4:$EG$4),'Venture Assumptions'!$F$66+INDEX('Venture Assumptions'!$J$43:$J$77,MATCH($B$2,'Venture Assumptions'!$I$43:$I$77,0))),-T170,0)</f>
        <v>0</v>
      </c>
      <c r="U172" s="799">
        <f>IF(U4=EOMONTH(SUMPRODUCT($E$9:$EG$9,$E$4:$EG$4),'Venture Assumptions'!$F$66+INDEX('Venture Assumptions'!$J$43:$J$77,MATCH($B$2,'Venture Assumptions'!$I$43:$I$77,0))),-U170,0)</f>
        <v>0</v>
      </c>
      <c r="V172" s="799">
        <f>IF(V4=EOMONTH(SUMPRODUCT($E$9:$EG$9,$E$4:$EG$4),'Venture Assumptions'!$F$66+INDEX('Venture Assumptions'!$J$43:$J$77,MATCH($B$2,'Venture Assumptions'!$I$43:$I$77,0))),-V170,0)</f>
        <v>0</v>
      </c>
      <c r="W172" s="799">
        <f>IF(W4=EOMONTH(SUMPRODUCT($E$9:$EG$9,$E$4:$EG$4),'Venture Assumptions'!$F$66+INDEX('Venture Assumptions'!$J$43:$J$77,MATCH($B$2,'Venture Assumptions'!$I$43:$I$77,0))),-W170,0)</f>
        <v>0</v>
      </c>
      <c r="X172" s="799">
        <f>IF(X4=EOMONTH(SUMPRODUCT($E$9:$EG$9,$E$4:$EG$4),'Venture Assumptions'!$F$66+INDEX('Venture Assumptions'!$J$43:$J$77,MATCH($B$2,'Venture Assumptions'!$I$43:$I$77,0))),-X170,0)</f>
        <v>0</v>
      </c>
      <c r="Y172" s="799">
        <f>IF(Y4=EOMONTH(SUMPRODUCT($E$9:$EG$9,$E$4:$EG$4),'Venture Assumptions'!$F$66+INDEX('Venture Assumptions'!$J$43:$J$77,MATCH($B$2,'Venture Assumptions'!$I$43:$I$77,0))),-Y170,0)</f>
        <v>0</v>
      </c>
      <c r="Z172" s="799">
        <f>IF(Z4=EOMONTH(SUMPRODUCT($E$9:$EG$9,$E$4:$EG$4),'Venture Assumptions'!$F$66+INDEX('Venture Assumptions'!$J$43:$J$77,MATCH($B$2,'Venture Assumptions'!$I$43:$I$77,0))),-Z170,0)</f>
        <v>0</v>
      </c>
      <c r="AA172" s="799">
        <f>IF(AA4=EOMONTH(SUMPRODUCT($E$9:$EG$9,$E$4:$EG$4),'Venture Assumptions'!$F$66+INDEX('Venture Assumptions'!$J$43:$J$77,MATCH($B$2,'Venture Assumptions'!$I$43:$I$77,0))),-AA170,0)</f>
        <v>0</v>
      </c>
      <c r="AB172" s="799">
        <f>IF(AB4=EOMONTH(SUMPRODUCT($E$9:$EG$9,$E$4:$EG$4),'Venture Assumptions'!$F$66+INDEX('Venture Assumptions'!$J$43:$J$77,MATCH($B$2,'Venture Assumptions'!$I$43:$I$77,0))),-AB170,0)</f>
        <v>0</v>
      </c>
      <c r="AC172" s="799">
        <f>IF(AC4=EOMONTH(SUMPRODUCT($E$9:$EG$9,$E$4:$EG$4),'Venture Assumptions'!$F$66+INDEX('Venture Assumptions'!$J$43:$J$77,MATCH($B$2,'Venture Assumptions'!$I$43:$I$77,0))),-AC170,0)</f>
        <v>0</v>
      </c>
      <c r="AD172" s="799">
        <f>IF(AD4=EOMONTH(SUMPRODUCT($E$9:$EG$9,$E$4:$EG$4),'Venture Assumptions'!$F$66+INDEX('Venture Assumptions'!$J$43:$J$77,MATCH($B$2,'Venture Assumptions'!$I$43:$I$77,0))),-AD170,0)</f>
        <v>0</v>
      </c>
      <c r="AE172" s="799">
        <f>IF(AE4=EOMONTH(SUMPRODUCT($E$9:$EG$9,$E$4:$EG$4),'Venture Assumptions'!$F$66+INDEX('Venture Assumptions'!$J$43:$J$77,MATCH($B$2,'Venture Assumptions'!$I$43:$I$77,0))),-AE170,0)</f>
        <v>0</v>
      </c>
      <c r="AF172" s="799">
        <f>IF(AF4=EOMONTH(SUMPRODUCT($E$9:$EG$9,$E$4:$EG$4),'Venture Assumptions'!$F$66+INDEX('Venture Assumptions'!$J$43:$J$77,MATCH($B$2,'Venture Assumptions'!$I$43:$I$77,0))),-AF170,0)</f>
        <v>0</v>
      </c>
      <c r="AG172" s="799">
        <f>IF(AG4=EOMONTH(SUMPRODUCT($E$9:$EG$9,$E$4:$EG$4),'Venture Assumptions'!$F$66+INDEX('Venture Assumptions'!$J$43:$J$77,MATCH($B$2,'Venture Assumptions'!$I$43:$I$77,0))),-AG170,0)</f>
        <v>0</v>
      </c>
      <c r="AH172" s="799">
        <f>IF(AH4=EOMONTH(SUMPRODUCT($E$9:$EG$9,$E$4:$EG$4),'Venture Assumptions'!$F$66+INDEX('Venture Assumptions'!$J$43:$J$77,MATCH($B$2,'Venture Assumptions'!$I$43:$I$77,0))),-AH170,0)</f>
        <v>0</v>
      </c>
      <c r="AI172" s="799">
        <f>IF(AI4=EOMONTH(SUMPRODUCT($E$9:$EG$9,$E$4:$EG$4),'Venture Assumptions'!$F$66+INDEX('Venture Assumptions'!$J$43:$J$77,MATCH($B$2,'Venture Assumptions'!$I$43:$I$77,0))),-AI170,0)</f>
        <v>0</v>
      </c>
      <c r="AJ172" s="799">
        <f>IF(AJ4=EOMONTH(SUMPRODUCT($E$9:$EG$9,$E$4:$EG$4),'Venture Assumptions'!$F$66+INDEX('Venture Assumptions'!$J$43:$J$77,MATCH($B$2,'Venture Assumptions'!$I$43:$I$77,0))),-AJ170,0)</f>
        <v>0</v>
      </c>
      <c r="AK172" s="799">
        <f>IF(AK4=EOMONTH(SUMPRODUCT($E$9:$EG$9,$E$4:$EG$4),'Venture Assumptions'!$F$66+INDEX('Venture Assumptions'!$J$43:$J$77,MATCH($B$2,'Venture Assumptions'!$I$43:$I$77,0))),-AK170,0)</f>
        <v>0</v>
      </c>
      <c r="AL172" s="799">
        <f>IF(AL4=EOMONTH(SUMPRODUCT($E$9:$EG$9,$E$4:$EG$4),'Venture Assumptions'!$F$66+INDEX('Venture Assumptions'!$J$43:$J$77,MATCH($B$2,'Venture Assumptions'!$I$43:$I$77,0))),-AL170,0)</f>
        <v>-42877793.387000009</v>
      </c>
      <c r="AM172" s="799">
        <f>IF(AM4=EOMONTH(SUMPRODUCT($E$9:$EG$9,$E$4:$EG$4),'Venture Assumptions'!$F$66+INDEX('Venture Assumptions'!$J$43:$J$77,MATCH($B$2,'Venture Assumptions'!$I$43:$I$77,0))),-AM170,0)</f>
        <v>0</v>
      </c>
      <c r="AN172" s="799">
        <f>IF(AN4=EOMONTH(SUMPRODUCT($E$9:$EG$9,$E$4:$EG$4),'Venture Assumptions'!$F$66+INDEX('Venture Assumptions'!$J$43:$J$77,MATCH($B$2,'Venture Assumptions'!$I$43:$I$77,0))),-AN170,0)</f>
        <v>0</v>
      </c>
      <c r="AO172" s="799">
        <f>IF(AO4=EOMONTH(SUMPRODUCT($E$9:$EG$9,$E$4:$EG$4),'Venture Assumptions'!$F$66+INDEX('Venture Assumptions'!$J$43:$J$77,MATCH($B$2,'Venture Assumptions'!$I$43:$I$77,0))),-AO170,0)</f>
        <v>0</v>
      </c>
      <c r="AP172" s="799">
        <f>IF(AP4=EOMONTH(SUMPRODUCT($E$9:$EG$9,$E$4:$EG$4),'Venture Assumptions'!$F$66+INDEX('Venture Assumptions'!$J$43:$J$77,MATCH($B$2,'Venture Assumptions'!$I$43:$I$77,0))),-AP170,0)</f>
        <v>0</v>
      </c>
      <c r="AQ172" s="799">
        <f>IF(AQ4=EOMONTH(SUMPRODUCT($E$9:$EG$9,$E$4:$EG$4),'Venture Assumptions'!$F$66+INDEX('Venture Assumptions'!$J$43:$J$77,MATCH($B$2,'Venture Assumptions'!$I$43:$I$77,0))),-AQ170,0)</f>
        <v>0</v>
      </c>
      <c r="AR172" s="799">
        <f>IF(AR4=EOMONTH(SUMPRODUCT($E$9:$EG$9,$E$4:$EG$4),'Venture Assumptions'!$F$66+INDEX('Venture Assumptions'!$J$43:$J$77,MATCH($B$2,'Venture Assumptions'!$I$43:$I$77,0))),-AR170,0)</f>
        <v>0</v>
      </c>
      <c r="AS172" s="799">
        <f>IF(AS4=EOMONTH(SUMPRODUCT($E$9:$EG$9,$E$4:$EG$4),'Venture Assumptions'!$F$66+INDEX('Venture Assumptions'!$J$43:$J$77,MATCH($B$2,'Venture Assumptions'!$I$43:$I$77,0))),-AS170,0)</f>
        <v>0</v>
      </c>
      <c r="AT172" s="799">
        <f>IF(AT4=EOMONTH(SUMPRODUCT($E$9:$EG$9,$E$4:$EG$4),'Venture Assumptions'!$F$66+INDEX('Venture Assumptions'!$J$43:$J$77,MATCH($B$2,'Venture Assumptions'!$I$43:$I$77,0))),-AT170,0)</f>
        <v>0</v>
      </c>
      <c r="AU172" s="799">
        <f>IF(AU4=EOMONTH(SUMPRODUCT($E$9:$EG$9,$E$4:$EG$4),'Venture Assumptions'!$F$66+INDEX('Venture Assumptions'!$J$43:$J$77,MATCH($B$2,'Venture Assumptions'!$I$43:$I$77,0))),-AU170,0)</f>
        <v>0</v>
      </c>
      <c r="AV172" s="799">
        <f>IF(AV4=EOMONTH(SUMPRODUCT($E$9:$EG$9,$E$4:$EG$4),'Venture Assumptions'!$F$66+INDEX('Venture Assumptions'!$J$43:$J$77,MATCH($B$2,'Venture Assumptions'!$I$43:$I$77,0))),-AV170,0)</f>
        <v>0</v>
      </c>
      <c r="AW172" s="799">
        <f>IF(AW4=EOMONTH(SUMPRODUCT($E$9:$EG$9,$E$4:$EG$4),'Venture Assumptions'!$F$66+INDEX('Venture Assumptions'!$J$43:$J$77,MATCH($B$2,'Venture Assumptions'!$I$43:$I$77,0))),-AW170,0)</f>
        <v>0</v>
      </c>
      <c r="AX172" s="799">
        <f>IF(AX4=EOMONTH(SUMPRODUCT($E$9:$EG$9,$E$4:$EG$4),'Venture Assumptions'!$F$66+INDEX('Venture Assumptions'!$J$43:$J$77,MATCH($B$2,'Venture Assumptions'!$I$43:$I$77,0))),-AX170,0)</f>
        <v>0</v>
      </c>
      <c r="AY172" s="799">
        <f>IF(AY4=EOMONTH(SUMPRODUCT($E$9:$EG$9,$E$4:$EG$4),'Venture Assumptions'!$F$66+INDEX('Venture Assumptions'!$J$43:$J$77,MATCH($B$2,'Venture Assumptions'!$I$43:$I$77,0))),-AY170,0)</f>
        <v>0</v>
      </c>
      <c r="AZ172" s="799">
        <f>IF(AZ4=EOMONTH(SUMPRODUCT($E$9:$EG$9,$E$4:$EG$4),'Venture Assumptions'!$F$66+INDEX('Venture Assumptions'!$J$43:$J$77,MATCH($B$2,'Venture Assumptions'!$I$43:$I$77,0))),-AZ170,0)</f>
        <v>0</v>
      </c>
      <c r="BA172" s="799">
        <f>IF(BA4=EOMONTH(SUMPRODUCT($E$9:$EG$9,$E$4:$EG$4),'Venture Assumptions'!$F$66+INDEX('Venture Assumptions'!$J$43:$J$77,MATCH($B$2,'Venture Assumptions'!$I$43:$I$77,0))),-BA170,0)</f>
        <v>0</v>
      </c>
      <c r="BB172" s="799">
        <f>IF(BB4=EOMONTH(SUMPRODUCT($E$9:$EG$9,$E$4:$EG$4),'Venture Assumptions'!$F$66+INDEX('Venture Assumptions'!$J$43:$J$77,MATCH($B$2,'Venture Assumptions'!$I$43:$I$77,0))),-BB170,0)</f>
        <v>0</v>
      </c>
      <c r="BC172" s="799">
        <f>IF(BC4=EOMONTH(SUMPRODUCT($E$9:$EG$9,$E$4:$EG$4),'Venture Assumptions'!$F$66+INDEX('Venture Assumptions'!$J$43:$J$77,MATCH($B$2,'Venture Assumptions'!$I$43:$I$77,0))),-BC170,0)</f>
        <v>0</v>
      </c>
      <c r="BD172" s="799">
        <f>IF(BD4=EOMONTH(SUMPRODUCT($E$9:$EG$9,$E$4:$EG$4),'Venture Assumptions'!$F$66+INDEX('Venture Assumptions'!$J$43:$J$77,MATCH($B$2,'Venture Assumptions'!$I$43:$I$77,0))),-BD170,0)</f>
        <v>0</v>
      </c>
      <c r="BE172" s="799">
        <f>IF(BE4=EOMONTH(SUMPRODUCT($E$9:$EG$9,$E$4:$EG$4),'Venture Assumptions'!$F$66+INDEX('Venture Assumptions'!$J$43:$J$77,MATCH($B$2,'Venture Assumptions'!$I$43:$I$77,0))),-BE170,0)</f>
        <v>0</v>
      </c>
      <c r="BF172" s="799">
        <f>IF(BF4=EOMONTH(SUMPRODUCT($E$9:$EG$9,$E$4:$EG$4),'Venture Assumptions'!$F$66+INDEX('Venture Assumptions'!$J$43:$J$77,MATCH($B$2,'Venture Assumptions'!$I$43:$I$77,0))),-BF170,0)</f>
        <v>0</v>
      </c>
      <c r="BG172" s="799">
        <f>IF(BG4=EOMONTH(SUMPRODUCT($E$9:$EG$9,$E$4:$EG$4),'Venture Assumptions'!$F$66+INDEX('Venture Assumptions'!$J$43:$J$77,MATCH($B$2,'Venture Assumptions'!$I$43:$I$77,0))),-BG170,0)</f>
        <v>0</v>
      </c>
      <c r="BH172" s="799">
        <f>IF(BH4=EOMONTH(SUMPRODUCT($E$9:$EG$9,$E$4:$EG$4),'Venture Assumptions'!$F$66+INDEX('Venture Assumptions'!$J$43:$J$77,MATCH($B$2,'Venture Assumptions'!$I$43:$I$77,0))),-BH170,0)</f>
        <v>0</v>
      </c>
      <c r="BI172" s="799">
        <f>IF(BI4=EOMONTH(SUMPRODUCT($E$9:$EG$9,$E$4:$EG$4),'Venture Assumptions'!$F$66+INDEX('Venture Assumptions'!$J$43:$J$77,MATCH($B$2,'Venture Assumptions'!$I$43:$I$77,0))),-BI170,0)</f>
        <v>0</v>
      </c>
      <c r="BJ172" s="799">
        <f>IF(BJ4=EOMONTH(SUMPRODUCT($E$9:$EG$9,$E$4:$EG$4),'Venture Assumptions'!$F$66+INDEX('Venture Assumptions'!$J$43:$J$77,MATCH($B$2,'Venture Assumptions'!$I$43:$I$77,0))),-BJ170,0)</f>
        <v>0</v>
      </c>
      <c r="BK172" s="799">
        <f>IF(BK4=EOMONTH(SUMPRODUCT($E$9:$EG$9,$E$4:$EG$4),'Venture Assumptions'!$F$66+INDEX('Venture Assumptions'!$J$43:$J$77,MATCH($B$2,'Venture Assumptions'!$I$43:$I$77,0))),-BK170,0)</f>
        <v>0</v>
      </c>
      <c r="BL172" s="799">
        <f>IF(BL4=EOMONTH(SUMPRODUCT($E$9:$EG$9,$E$4:$EG$4),'Venture Assumptions'!$F$66+INDEX('Venture Assumptions'!$J$43:$J$77,MATCH($B$2,'Venture Assumptions'!$I$43:$I$77,0))),-BL170,0)</f>
        <v>0</v>
      </c>
      <c r="BM172" s="799">
        <f>IF(BM4=EOMONTH(SUMPRODUCT($E$9:$EG$9,$E$4:$EG$4),'Venture Assumptions'!$F$66+INDEX('Venture Assumptions'!$J$43:$J$77,MATCH($B$2,'Venture Assumptions'!$I$43:$I$77,0))),-BM170,0)</f>
        <v>0</v>
      </c>
      <c r="BN172" s="799">
        <f>IF(BN4=EOMONTH(SUMPRODUCT($E$9:$EG$9,$E$4:$EG$4),'Venture Assumptions'!$F$66+INDEX('Venture Assumptions'!$J$43:$J$77,MATCH($B$2,'Venture Assumptions'!$I$43:$I$77,0))),-BN170,0)</f>
        <v>0</v>
      </c>
      <c r="BO172" s="799">
        <f>IF(BO4=EOMONTH(SUMPRODUCT($E$9:$EG$9,$E$4:$EG$4),'Venture Assumptions'!$F$66+INDEX('Venture Assumptions'!$J$43:$J$77,MATCH($B$2,'Venture Assumptions'!$I$43:$I$77,0))),-BO170,0)</f>
        <v>0</v>
      </c>
      <c r="BP172" s="799">
        <f>IF(BP4=EOMONTH(SUMPRODUCT($E$9:$EG$9,$E$4:$EG$4),'Venture Assumptions'!$F$66+INDEX('Venture Assumptions'!$J$43:$J$77,MATCH($B$2,'Venture Assumptions'!$I$43:$I$77,0))),-BP170,0)</f>
        <v>0</v>
      </c>
      <c r="BQ172" s="799">
        <f>IF(BQ4=EOMONTH(SUMPRODUCT($E$9:$EG$9,$E$4:$EG$4),'Venture Assumptions'!$F$66+INDEX('Venture Assumptions'!$J$43:$J$77,MATCH($B$2,'Venture Assumptions'!$I$43:$I$77,0))),-BQ170,0)</f>
        <v>0</v>
      </c>
      <c r="BR172" s="799">
        <f>IF(BR4=EOMONTH(SUMPRODUCT($E$9:$EG$9,$E$4:$EG$4),'Venture Assumptions'!$F$66+INDEX('Venture Assumptions'!$J$43:$J$77,MATCH($B$2,'Venture Assumptions'!$I$43:$I$77,0))),-BR170,0)</f>
        <v>0</v>
      </c>
      <c r="BS172" s="799">
        <f>IF(BS4=EOMONTH(SUMPRODUCT($E$9:$EG$9,$E$4:$EG$4),'Venture Assumptions'!$F$66+INDEX('Venture Assumptions'!$J$43:$J$77,MATCH($B$2,'Venture Assumptions'!$I$43:$I$77,0))),-BS170,0)</f>
        <v>0</v>
      </c>
      <c r="BT172" s="799">
        <f>IF(BT4=EOMONTH(SUMPRODUCT($E$9:$EG$9,$E$4:$EG$4),'Venture Assumptions'!$F$66+INDEX('Venture Assumptions'!$J$43:$J$77,MATCH($B$2,'Venture Assumptions'!$I$43:$I$77,0))),-BT170,0)</f>
        <v>0</v>
      </c>
      <c r="BU172" s="799">
        <f>IF(BU4=EOMONTH(SUMPRODUCT($E$9:$EG$9,$E$4:$EG$4),'Venture Assumptions'!$F$66+INDEX('Venture Assumptions'!$J$43:$J$77,MATCH($B$2,'Venture Assumptions'!$I$43:$I$77,0))),-BU170,0)</f>
        <v>0</v>
      </c>
      <c r="BV172" s="799">
        <f>IF(BV4=EOMONTH(SUMPRODUCT($E$9:$EG$9,$E$4:$EG$4),'Venture Assumptions'!$F$66+INDEX('Venture Assumptions'!$J$43:$J$77,MATCH($B$2,'Venture Assumptions'!$I$43:$I$77,0))),-BV170,0)</f>
        <v>0</v>
      </c>
      <c r="BW172" s="799">
        <f>IF(BW4=EOMONTH(SUMPRODUCT($E$9:$EG$9,$E$4:$EG$4),'Venture Assumptions'!$F$66+INDEX('Venture Assumptions'!$J$43:$J$77,MATCH($B$2,'Venture Assumptions'!$I$43:$I$77,0))),-BW170,0)</f>
        <v>0</v>
      </c>
      <c r="BX172" s="799">
        <f>IF(BX4=EOMONTH(SUMPRODUCT($E$9:$EG$9,$E$4:$EG$4),'Venture Assumptions'!$F$66+INDEX('Venture Assumptions'!$J$43:$J$77,MATCH($B$2,'Venture Assumptions'!$I$43:$I$77,0))),-BX170,0)</f>
        <v>0</v>
      </c>
      <c r="BY172" s="799">
        <f>IF(BY4=EOMONTH(SUMPRODUCT($E$9:$EG$9,$E$4:$EG$4),'Venture Assumptions'!$F$66+INDEX('Venture Assumptions'!$J$43:$J$77,MATCH($B$2,'Venture Assumptions'!$I$43:$I$77,0))),-BY170,0)</f>
        <v>0</v>
      </c>
      <c r="BZ172" s="799">
        <f>IF(BZ4=EOMONTH(SUMPRODUCT($E$9:$EG$9,$E$4:$EG$4),'Venture Assumptions'!$F$66+INDEX('Venture Assumptions'!$J$43:$J$77,MATCH($B$2,'Venture Assumptions'!$I$43:$I$77,0))),-BZ170,0)</f>
        <v>0</v>
      </c>
      <c r="CA172" s="799">
        <f>IF(CA4=EOMONTH(SUMPRODUCT($E$9:$EG$9,$E$4:$EG$4),'Venture Assumptions'!$F$66+INDEX('Venture Assumptions'!$J$43:$J$77,MATCH($B$2,'Venture Assumptions'!$I$43:$I$77,0))),-CA170,0)</f>
        <v>0</v>
      </c>
      <c r="CB172" s="799">
        <f>IF(CB4=EOMONTH(SUMPRODUCT($E$9:$EG$9,$E$4:$EG$4),'Venture Assumptions'!$F$66+INDEX('Venture Assumptions'!$J$43:$J$77,MATCH($B$2,'Venture Assumptions'!$I$43:$I$77,0))),-CB170,0)</f>
        <v>0</v>
      </c>
      <c r="CC172" s="799">
        <f>IF(CC4=EOMONTH(SUMPRODUCT($E$9:$EG$9,$E$4:$EG$4),'Venture Assumptions'!$F$66+INDEX('Venture Assumptions'!$J$43:$J$77,MATCH($B$2,'Venture Assumptions'!$I$43:$I$77,0))),-CC170,0)</f>
        <v>0</v>
      </c>
      <c r="CD172" s="799">
        <f>IF(CD4=EOMONTH(SUMPRODUCT($E$9:$EG$9,$E$4:$EG$4),'Venture Assumptions'!$F$66+INDEX('Venture Assumptions'!$J$43:$J$77,MATCH($B$2,'Venture Assumptions'!$I$43:$I$77,0))),-CD170,0)</f>
        <v>0</v>
      </c>
      <c r="CE172" s="799">
        <f>IF(CE4=EOMONTH(SUMPRODUCT($E$9:$EG$9,$E$4:$EG$4),'Venture Assumptions'!$F$66+INDEX('Venture Assumptions'!$J$43:$J$77,MATCH($B$2,'Venture Assumptions'!$I$43:$I$77,0))),-CE170,0)</f>
        <v>0</v>
      </c>
      <c r="CF172" s="799">
        <f>IF(CF4=EOMONTH(SUMPRODUCT($E$9:$EG$9,$E$4:$EG$4),'Venture Assumptions'!$F$66+INDEX('Venture Assumptions'!$J$43:$J$77,MATCH($B$2,'Venture Assumptions'!$I$43:$I$77,0))),-CF170,0)</f>
        <v>0</v>
      </c>
      <c r="CG172" s="799">
        <f>IF(CG4=EOMONTH(SUMPRODUCT($E$9:$EG$9,$E$4:$EG$4),'Venture Assumptions'!$F$66+INDEX('Venture Assumptions'!$J$43:$J$77,MATCH($B$2,'Venture Assumptions'!$I$43:$I$77,0))),-CG170,0)</f>
        <v>0</v>
      </c>
      <c r="CH172" s="799">
        <f>IF(CH4=EOMONTH(SUMPRODUCT($E$9:$EG$9,$E$4:$EG$4),'Venture Assumptions'!$F$66+INDEX('Venture Assumptions'!$J$43:$J$77,MATCH($B$2,'Venture Assumptions'!$I$43:$I$77,0))),-CH170,0)</f>
        <v>0</v>
      </c>
      <c r="CI172" s="799">
        <f>IF(CI4=EOMONTH(SUMPRODUCT($E$9:$EG$9,$E$4:$EG$4),'Venture Assumptions'!$F$66+INDEX('Venture Assumptions'!$J$43:$J$77,MATCH($B$2,'Venture Assumptions'!$I$43:$I$77,0))),-CI170,0)</f>
        <v>0</v>
      </c>
      <c r="CJ172" s="799">
        <f>IF(CJ4=EOMONTH(SUMPRODUCT($E$9:$EG$9,$E$4:$EG$4),'Venture Assumptions'!$F$66+INDEX('Venture Assumptions'!$J$43:$J$77,MATCH($B$2,'Venture Assumptions'!$I$43:$I$77,0))),-CJ170,0)</f>
        <v>0</v>
      </c>
      <c r="CK172" s="799">
        <f>IF(CK4=EOMONTH(SUMPRODUCT($E$9:$EG$9,$E$4:$EG$4),'Venture Assumptions'!$F$66+INDEX('Venture Assumptions'!$J$43:$J$77,MATCH($B$2,'Venture Assumptions'!$I$43:$I$77,0))),-CK170,0)</f>
        <v>0</v>
      </c>
      <c r="CL172" s="799">
        <f>IF(CL4=EOMONTH(SUMPRODUCT($E$9:$EG$9,$E$4:$EG$4),'Venture Assumptions'!$F$66+INDEX('Venture Assumptions'!$J$43:$J$77,MATCH($B$2,'Venture Assumptions'!$I$43:$I$77,0))),-CL170,0)</f>
        <v>0</v>
      </c>
      <c r="CM172" s="799">
        <f>IF(CM4=EOMONTH(SUMPRODUCT($E$9:$EG$9,$E$4:$EG$4),'Venture Assumptions'!$F$66+INDEX('Venture Assumptions'!$J$43:$J$77,MATCH($B$2,'Venture Assumptions'!$I$43:$I$77,0))),-CM170,0)</f>
        <v>0</v>
      </c>
      <c r="CN172" s="799">
        <f>IF(CN4=EOMONTH(SUMPRODUCT($E$9:$EG$9,$E$4:$EG$4),'Venture Assumptions'!$F$66+INDEX('Venture Assumptions'!$J$43:$J$77,MATCH($B$2,'Venture Assumptions'!$I$43:$I$77,0))),-CN170,0)</f>
        <v>0</v>
      </c>
      <c r="CO172" s="799">
        <f>IF(CO4=EOMONTH(SUMPRODUCT($E$9:$EG$9,$E$4:$EG$4),'Venture Assumptions'!$F$66+INDEX('Venture Assumptions'!$J$43:$J$77,MATCH($B$2,'Venture Assumptions'!$I$43:$I$77,0))),-CO170,0)</f>
        <v>0</v>
      </c>
      <c r="CP172" s="799">
        <f>IF(CP4=EOMONTH(SUMPRODUCT($E$9:$EG$9,$E$4:$EG$4),'Venture Assumptions'!$F$66+INDEX('Venture Assumptions'!$J$43:$J$77,MATCH($B$2,'Venture Assumptions'!$I$43:$I$77,0))),-CP170,0)</f>
        <v>0</v>
      </c>
      <c r="CQ172" s="799">
        <f>IF(CQ4=EOMONTH(SUMPRODUCT($E$9:$EG$9,$E$4:$EG$4),'Venture Assumptions'!$F$66+INDEX('Venture Assumptions'!$J$43:$J$77,MATCH($B$2,'Venture Assumptions'!$I$43:$I$77,0))),-CQ170,0)</f>
        <v>0</v>
      </c>
      <c r="CR172" s="799">
        <f>IF(CR4=EOMONTH(SUMPRODUCT($E$9:$EG$9,$E$4:$EG$4),'Venture Assumptions'!$F$66+INDEX('Venture Assumptions'!$J$43:$J$77,MATCH($B$2,'Venture Assumptions'!$I$43:$I$77,0))),-CR170,0)</f>
        <v>0</v>
      </c>
      <c r="CS172" s="799">
        <f>IF(CS4=EOMONTH(SUMPRODUCT($E$9:$EG$9,$E$4:$EG$4),'Venture Assumptions'!$F$66+INDEX('Venture Assumptions'!$J$43:$J$77,MATCH($B$2,'Venture Assumptions'!$I$43:$I$77,0))),-CS170,0)</f>
        <v>0</v>
      </c>
      <c r="CT172" s="799">
        <f>IF(CT4=EOMONTH(SUMPRODUCT($E$9:$EG$9,$E$4:$EG$4),'Venture Assumptions'!$F$66+INDEX('Venture Assumptions'!$J$43:$J$77,MATCH($B$2,'Venture Assumptions'!$I$43:$I$77,0))),-CT170,0)</f>
        <v>0</v>
      </c>
      <c r="CU172" s="799">
        <f>IF(CU4=EOMONTH(SUMPRODUCT($E$9:$EG$9,$E$4:$EG$4),'Venture Assumptions'!$F$66+INDEX('Venture Assumptions'!$J$43:$J$77,MATCH($B$2,'Venture Assumptions'!$I$43:$I$77,0))),-CU170,0)</f>
        <v>0</v>
      </c>
      <c r="CV172" s="799">
        <f>IF(CV4=EOMONTH(SUMPRODUCT($E$9:$EG$9,$E$4:$EG$4),'Venture Assumptions'!$F$66+INDEX('Venture Assumptions'!$J$43:$J$77,MATCH($B$2,'Venture Assumptions'!$I$43:$I$77,0))),-CV170,0)</f>
        <v>0</v>
      </c>
      <c r="CW172" s="799">
        <f>IF(CW4=EOMONTH(SUMPRODUCT($E$9:$EG$9,$E$4:$EG$4),'Venture Assumptions'!$F$66+INDEX('Venture Assumptions'!$J$43:$J$77,MATCH($B$2,'Venture Assumptions'!$I$43:$I$77,0))),-CW170,0)</f>
        <v>0</v>
      </c>
      <c r="CX172" s="799">
        <f>IF(CX4=EOMONTH(SUMPRODUCT($E$9:$EG$9,$E$4:$EG$4),'Venture Assumptions'!$F$66+INDEX('Venture Assumptions'!$J$43:$J$77,MATCH($B$2,'Venture Assumptions'!$I$43:$I$77,0))),-CX170,0)</f>
        <v>0</v>
      </c>
      <c r="CY172" s="799">
        <f>IF(CY4=EOMONTH(SUMPRODUCT($E$9:$EG$9,$E$4:$EG$4),'Venture Assumptions'!$F$66+INDEX('Venture Assumptions'!$J$43:$J$77,MATCH($B$2,'Venture Assumptions'!$I$43:$I$77,0))),-CY170,0)</f>
        <v>0</v>
      </c>
      <c r="CZ172" s="799">
        <f>IF(CZ4=EOMONTH(SUMPRODUCT($E$9:$EG$9,$E$4:$EG$4),'Venture Assumptions'!$F$66+INDEX('Venture Assumptions'!$J$43:$J$77,MATCH($B$2,'Venture Assumptions'!$I$43:$I$77,0))),-CZ170,0)</f>
        <v>0</v>
      </c>
      <c r="DA172" s="799">
        <f>IF(DA4=EOMONTH(SUMPRODUCT($E$9:$EG$9,$E$4:$EG$4),'Venture Assumptions'!$F$66+INDEX('Venture Assumptions'!$J$43:$J$77,MATCH($B$2,'Venture Assumptions'!$I$43:$I$77,0))),-DA170,0)</f>
        <v>0</v>
      </c>
      <c r="DB172" s="799">
        <f>IF(DB4=EOMONTH(SUMPRODUCT($E$9:$EG$9,$E$4:$EG$4),'Venture Assumptions'!$F$66+INDEX('Venture Assumptions'!$J$43:$J$77,MATCH($B$2,'Venture Assumptions'!$I$43:$I$77,0))),-DB170,0)</f>
        <v>0</v>
      </c>
      <c r="DC172" s="799">
        <f>IF(DC4=EOMONTH(SUMPRODUCT($E$9:$EG$9,$E$4:$EG$4),'Venture Assumptions'!$F$66+INDEX('Venture Assumptions'!$J$43:$J$77,MATCH($B$2,'Venture Assumptions'!$I$43:$I$77,0))),-DC170,0)</f>
        <v>0</v>
      </c>
      <c r="DD172" s="799">
        <f>IF(DD4=EOMONTH(SUMPRODUCT($E$9:$EG$9,$E$4:$EG$4),'Venture Assumptions'!$F$66+INDEX('Venture Assumptions'!$J$43:$J$77,MATCH($B$2,'Venture Assumptions'!$I$43:$I$77,0))),-DD170,0)</f>
        <v>0</v>
      </c>
      <c r="DE172" s="799">
        <f>IF(DE4=EOMONTH(SUMPRODUCT($E$9:$EG$9,$E$4:$EG$4),'Venture Assumptions'!$F$66+INDEX('Venture Assumptions'!$J$43:$J$77,MATCH($B$2,'Venture Assumptions'!$I$43:$I$77,0))),-DE170,0)</f>
        <v>0</v>
      </c>
      <c r="DF172" s="799">
        <f>IF(DF4=EOMONTH(SUMPRODUCT($E$9:$EG$9,$E$4:$EG$4),'Venture Assumptions'!$F$66+INDEX('Venture Assumptions'!$J$43:$J$77,MATCH($B$2,'Venture Assumptions'!$I$43:$I$77,0))),-DF170,0)</f>
        <v>0</v>
      </c>
      <c r="DG172" s="799">
        <f>IF(DG4=EOMONTH(SUMPRODUCT($E$9:$EG$9,$E$4:$EG$4),'Venture Assumptions'!$F$66+INDEX('Venture Assumptions'!$J$43:$J$77,MATCH($B$2,'Venture Assumptions'!$I$43:$I$77,0))),-DG170,0)</f>
        <v>0</v>
      </c>
      <c r="DH172" s="799">
        <f>IF(DH4=EOMONTH(SUMPRODUCT($E$9:$EG$9,$E$4:$EG$4),'Venture Assumptions'!$F$66+INDEX('Venture Assumptions'!$J$43:$J$77,MATCH($B$2,'Venture Assumptions'!$I$43:$I$77,0))),-DH170,0)</f>
        <v>0</v>
      </c>
      <c r="DI172" s="799">
        <f>IF(DI4=EOMONTH(SUMPRODUCT($E$9:$EG$9,$E$4:$EG$4),'Venture Assumptions'!$F$66+INDEX('Venture Assumptions'!$J$43:$J$77,MATCH($B$2,'Venture Assumptions'!$I$43:$I$77,0))),-DI170,0)</f>
        <v>0</v>
      </c>
      <c r="DJ172" s="799">
        <f>IF(DJ4=EOMONTH(SUMPRODUCT($E$9:$EG$9,$E$4:$EG$4),'Venture Assumptions'!$F$66+INDEX('Venture Assumptions'!$J$43:$J$77,MATCH($B$2,'Venture Assumptions'!$I$43:$I$77,0))),-DJ170,0)</f>
        <v>0</v>
      </c>
      <c r="DK172" s="799">
        <f>IF(DK4=EOMONTH(SUMPRODUCT($E$9:$EG$9,$E$4:$EG$4),'Venture Assumptions'!$F$66+INDEX('Venture Assumptions'!$J$43:$J$77,MATCH($B$2,'Venture Assumptions'!$I$43:$I$77,0))),-DK170,0)</f>
        <v>0</v>
      </c>
      <c r="DL172" s="799">
        <f>IF(DL4=EOMONTH(SUMPRODUCT($E$9:$EG$9,$E$4:$EG$4),'Venture Assumptions'!$F$66+INDEX('Venture Assumptions'!$J$43:$J$77,MATCH($B$2,'Venture Assumptions'!$I$43:$I$77,0))),-DL170,0)</f>
        <v>0</v>
      </c>
      <c r="DM172" s="799">
        <f>IF(DM4=EOMONTH(SUMPRODUCT($E$9:$EG$9,$E$4:$EG$4),'Venture Assumptions'!$F$66+INDEX('Venture Assumptions'!$J$43:$J$77,MATCH($B$2,'Venture Assumptions'!$I$43:$I$77,0))),-DM170,0)</f>
        <v>0</v>
      </c>
      <c r="DN172" s="799">
        <f>IF(DN4=EOMONTH(SUMPRODUCT($E$9:$EG$9,$E$4:$EG$4),'Venture Assumptions'!$F$66+INDEX('Venture Assumptions'!$J$43:$J$77,MATCH($B$2,'Venture Assumptions'!$I$43:$I$77,0))),-DN170,0)</f>
        <v>0</v>
      </c>
      <c r="DO172" s="799">
        <f>IF(DO4=EOMONTH(SUMPRODUCT($E$9:$EG$9,$E$4:$EG$4),'Venture Assumptions'!$F$66+INDEX('Venture Assumptions'!$J$43:$J$77,MATCH($B$2,'Venture Assumptions'!$I$43:$I$77,0))),-DO170,0)</f>
        <v>0</v>
      </c>
      <c r="DP172" s="799">
        <f>IF(DP4=EOMONTH(SUMPRODUCT($E$9:$EG$9,$E$4:$EG$4),'Venture Assumptions'!$F$66+INDEX('Venture Assumptions'!$J$43:$J$77,MATCH($B$2,'Venture Assumptions'!$I$43:$I$77,0))),-DP170,0)</f>
        <v>0</v>
      </c>
      <c r="DQ172" s="799">
        <f>IF(DQ4=EOMONTH(SUMPRODUCT($E$9:$EG$9,$E$4:$EG$4),'Venture Assumptions'!$F$66+INDEX('Venture Assumptions'!$J$43:$J$77,MATCH($B$2,'Venture Assumptions'!$I$43:$I$77,0))),-DQ170,0)</f>
        <v>0</v>
      </c>
      <c r="DR172" s="799">
        <f>IF(DR4=EOMONTH(SUMPRODUCT($E$9:$EG$9,$E$4:$EG$4),'Venture Assumptions'!$F$66+INDEX('Venture Assumptions'!$J$43:$J$77,MATCH($B$2,'Venture Assumptions'!$I$43:$I$77,0))),-DR170,0)</f>
        <v>0</v>
      </c>
      <c r="DS172" s="799">
        <f>IF(DS4=EOMONTH(SUMPRODUCT($E$9:$EG$9,$E$4:$EG$4),'Venture Assumptions'!$F$66+INDEX('Venture Assumptions'!$J$43:$J$77,MATCH($B$2,'Venture Assumptions'!$I$43:$I$77,0))),-DS170,0)</f>
        <v>0</v>
      </c>
      <c r="DT172" s="799">
        <f>IF(DT4=EOMONTH(SUMPRODUCT($E$9:$EG$9,$E$4:$EG$4),'Venture Assumptions'!$F$66+INDEX('Venture Assumptions'!$J$43:$J$77,MATCH($B$2,'Venture Assumptions'!$I$43:$I$77,0))),-DT170,0)</f>
        <v>0</v>
      </c>
      <c r="DU172" s="799">
        <f>IF(DU4=EOMONTH(SUMPRODUCT($E$9:$EG$9,$E$4:$EG$4),'Venture Assumptions'!$F$66+INDEX('Venture Assumptions'!$J$43:$J$77,MATCH($B$2,'Venture Assumptions'!$I$43:$I$77,0))),-DU170,0)</f>
        <v>0</v>
      </c>
      <c r="DV172" s="799">
        <f>IF(DV4=EOMONTH(SUMPRODUCT($E$9:$EG$9,$E$4:$EG$4),'Venture Assumptions'!$F$66+INDEX('Venture Assumptions'!$J$43:$J$77,MATCH($B$2,'Venture Assumptions'!$I$43:$I$77,0))),-DV170,0)</f>
        <v>0</v>
      </c>
      <c r="DW172" s="799">
        <f>IF(DW4=EOMONTH(SUMPRODUCT($E$9:$EG$9,$E$4:$EG$4),'Venture Assumptions'!$F$66+INDEX('Venture Assumptions'!$J$43:$J$77,MATCH($B$2,'Venture Assumptions'!$I$43:$I$77,0))),-DW170,0)</f>
        <v>0</v>
      </c>
      <c r="DX172" s="799">
        <f>IF(DX4=EOMONTH(SUMPRODUCT($E$9:$EG$9,$E$4:$EG$4),'Venture Assumptions'!$F$66+INDEX('Venture Assumptions'!$J$43:$J$77,MATCH($B$2,'Venture Assumptions'!$I$43:$I$77,0))),-DX170,0)</f>
        <v>0</v>
      </c>
      <c r="DY172" s="799">
        <f>IF(DY4=EOMONTH(SUMPRODUCT($E$9:$EG$9,$E$4:$EG$4),'Venture Assumptions'!$F$66+INDEX('Venture Assumptions'!$J$43:$J$77,MATCH($B$2,'Venture Assumptions'!$I$43:$I$77,0))),-DY170,0)</f>
        <v>0</v>
      </c>
      <c r="DZ172" s="799">
        <f>IF(DZ4=EOMONTH(SUMPRODUCT($E$9:$EG$9,$E$4:$EG$4),'Venture Assumptions'!$F$66+INDEX('Venture Assumptions'!$J$43:$J$77,MATCH($B$2,'Venture Assumptions'!$I$43:$I$77,0))),-DZ170,0)</f>
        <v>0</v>
      </c>
      <c r="EA172" s="799">
        <f>IF(EA4=EOMONTH(SUMPRODUCT($E$9:$EG$9,$E$4:$EG$4),'Venture Assumptions'!$F$66+INDEX('Venture Assumptions'!$J$43:$J$77,MATCH($B$2,'Venture Assumptions'!$I$43:$I$77,0))),-EA170,0)</f>
        <v>0</v>
      </c>
      <c r="EB172" s="799">
        <f>IF(EB4=EOMONTH(SUMPRODUCT($E$9:$EG$9,$E$4:$EG$4),'Venture Assumptions'!$F$66+INDEX('Venture Assumptions'!$J$43:$J$77,MATCH($B$2,'Venture Assumptions'!$I$43:$I$77,0))),-EB170,0)</f>
        <v>0</v>
      </c>
      <c r="EC172" s="799">
        <f>IF(EC4=EOMONTH(SUMPRODUCT($E$9:$EG$9,$E$4:$EG$4),'Venture Assumptions'!$F$66+INDEX('Venture Assumptions'!$J$43:$J$77,MATCH($B$2,'Venture Assumptions'!$I$43:$I$77,0))),-EC170,0)</f>
        <v>0</v>
      </c>
      <c r="ED172" s="799">
        <f>IF(ED4=EOMONTH(SUMPRODUCT($E$9:$EG$9,$E$4:$EG$4),'Venture Assumptions'!$F$66+INDEX('Venture Assumptions'!$J$43:$J$77,MATCH($B$2,'Venture Assumptions'!$I$43:$I$77,0))),-ED170,0)</f>
        <v>0</v>
      </c>
      <c r="EE172" s="799">
        <f>IF(EE4=EOMONTH(SUMPRODUCT($E$9:$EG$9,$E$4:$EG$4),'Venture Assumptions'!$F$66+INDEX('Venture Assumptions'!$J$43:$J$77,MATCH($B$2,'Venture Assumptions'!$I$43:$I$77,0))),-EE170,0)</f>
        <v>0</v>
      </c>
      <c r="EF172" s="799">
        <f>IF(EF4=EOMONTH(SUMPRODUCT($E$9:$EG$9,$E$4:$EG$4),'Venture Assumptions'!$F$66+INDEX('Venture Assumptions'!$J$43:$J$77,MATCH($B$2,'Venture Assumptions'!$I$43:$I$77,0))),-EF170,0)</f>
        <v>0</v>
      </c>
      <c r="EG172" s="799">
        <f>IF(EG4=EOMONTH(SUMPRODUCT($E$9:$EG$9,$E$4:$EG$4),'Venture Assumptions'!$F$66+INDEX('Venture Assumptions'!$J$43:$J$77,MATCH($B$2,'Venture Assumptions'!$I$43:$I$77,0))),-EG170,0)</f>
        <v>0</v>
      </c>
      <c r="EH172" s="782"/>
    </row>
    <row r="173" spans="1:138" ht="12.75" customHeight="1" x14ac:dyDescent="0.3">
      <c r="A173" s="782"/>
      <c r="B173" s="782" t="s">
        <v>103</v>
      </c>
      <c r="C173" s="798"/>
      <c r="D173" s="782"/>
      <c r="E173" s="798">
        <f>SUM(E170:E172)</f>
        <v>0</v>
      </c>
      <c r="F173" s="798">
        <f>SUM(F170:F172)</f>
        <v>0</v>
      </c>
      <c r="G173" s="798">
        <f t="shared" ref="G173:BR173" si="140">SUM(G170:G172)</f>
        <v>0</v>
      </c>
      <c r="H173" s="798">
        <f t="shared" si="140"/>
        <v>0</v>
      </c>
      <c r="I173" s="798">
        <f t="shared" si="140"/>
        <v>0</v>
      </c>
      <c r="J173" s="798">
        <f t="shared" si="140"/>
        <v>0</v>
      </c>
      <c r="K173" s="798">
        <f t="shared" si="140"/>
        <v>0</v>
      </c>
      <c r="L173" s="798">
        <f t="shared" si="140"/>
        <v>0</v>
      </c>
      <c r="M173" s="798">
        <f t="shared" si="140"/>
        <v>0</v>
      </c>
      <c r="N173" s="798">
        <f t="shared" si="140"/>
        <v>0</v>
      </c>
      <c r="O173" s="798">
        <f t="shared" si="140"/>
        <v>1711728.34</v>
      </c>
      <c r="P173" s="798">
        <f t="shared" si="140"/>
        <v>5697228.0930000003</v>
      </c>
      <c r="Q173" s="798">
        <f t="shared" si="140"/>
        <v>9733199.8629999999</v>
      </c>
      <c r="R173" s="798">
        <f t="shared" si="140"/>
        <v>13808090.988</v>
      </c>
      <c r="S173" s="798">
        <f t="shared" si="140"/>
        <v>17622260.153000001</v>
      </c>
      <c r="T173" s="798">
        <f t="shared" si="140"/>
        <v>21329502.300000001</v>
      </c>
      <c r="U173" s="798">
        <f t="shared" si="140"/>
        <v>24768144.386</v>
      </c>
      <c r="V173" s="798">
        <f t="shared" si="140"/>
        <v>27869886.265000001</v>
      </c>
      <c r="W173" s="798">
        <f t="shared" si="140"/>
        <v>30955999.098000001</v>
      </c>
      <c r="X173" s="798">
        <f t="shared" si="140"/>
        <v>33796813.004000001</v>
      </c>
      <c r="Y173" s="798">
        <f t="shared" si="140"/>
        <v>36204153.247000001</v>
      </c>
      <c r="Z173" s="798">
        <f t="shared" si="140"/>
        <v>38271070.438000001</v>
      </c>
      <c r="AA173" s="798">
        <f t="shared" si="140"/>
        <v>40007220.784000002</v>
      </c>
      <c r="AB173" s="798">
        <f t="shared" si="140"/>
        <v>41209308.363000005</v>
      </c>
      <c r="AC173" s="798">
        <f t="shared" si="140"/>
        <v>42200089.103000008</v>
      </c>
      <c r="AD173" s="798">
        <f t="shared" si="140"/>
        <v>42877793.387000009</v>
      </c>
      <c r="AE173" s="798">
        <f t="shared" si="140"/>
        <v>42877793.387000009</v>
      </c>
      <c r="AF173" s="798">
        <f t="shared" si="140"/>
        <v>42877793.387000009</v>
      </c>
      <c r="AG173" s="798">
        <f t="shared" si="140"/>
        <v>42877793.387000009</v>
      </c>
      <c r="AH173" s="798">
        <f t="shared" si="140"/>
        <v>42877793.387000009</v>
      </c>
      <c r="AI173" s="798">
        <f t="shared" si="140"/>
        <v>42877793.387000009</v>
      </c>
      <c r="AJ173" s="798">
        <f t="shared" si="140"/>
        <v>42877793.387000009</v>
      </c>
      <c r="AK173" s="798">
        <f t="shared" si="140"/>
        <v>42877793.387000009</v>
      </c>
      <c r="AL173" s="798">
        <f t="shared" si="140"/>
        <v>0</v>
      </c>
      <c r="AM173" s="798">
        <f t="shared" si="140"/>
        <v>0</v>
      </c>
      <c r="AN173" s="798">
        <f t="shared" si="140"/>
        <v>0</v>
      </c>
      <c r="AO173" s="798">
        <f t="shared" si="140"/>
        <v>0</v>
      </c>
      <c r="AP173" s="798">
        <f t="shared" si="140"/>
        <v>0</v>
      </c>
      <c r="AQ173" s="798">
        <f t="shared" si="140"/>
        <v>0</v>
      </c>
      <c r="AR173" s="798">
        <f t="shared" si="140"/>
        <v>0</v>
      </c>
      <c r="AS173" s="798">
        <f t="shared" si="140"/>
        <v>0</v>
      </c>
      <c r="AT173" s="798">
        <f t="shared" si="140"/>
        <v>0</v>
      </c>
      <c r="AU173" s="798">
        <f t="shared" si="140"/>
        <v>0</v>
      </c>
      <c r="AV173" s="798">
        <f t="shared" si="140"/>
        <v>0</v>
      </c>
      <c r="AW173" s="798">
        <f t="shared" si="140"/>
        <v>0</v>
      </c>
      <c r="AX173" s="798">
        <f t="shared" si="140"/>
        <v>0</v>
      </c>
      <c r="AY173" s="798">
        <f t="shared" si="140"/>
        <v>0</v>
      </c>
      <c r="AZ173" s="798">
        <f t="shared" si="140"/>
        <v>0</v>
      </c>
      <c r="BA173" s="798">
        <f t="shared" si="140"/>
        <v>0</v>
      </c>
      <c r="BB173" s="798">
        <f t="shared" si="140"/>
        <v>0</v>
      </c>
      <c r="BC173" s="798">
        <f t="shared" si="140"/>
        <v>0</v>
      </c>
      <c r="BD173" s="798">
        <f t="shared" si="140"/>
        <v>0</v>
      </c>
      <c r="BE173" s="798">
        <f t="shared" si="140"/>
        <v>0</v>
      </c>
      <c r="BF173" s="798">
        <f t="shared" si="140"/>
        <v>0</v>
      </c>
      <c r="BG173" s="798">
        <f t="shared" si="140"/>
        <v>0</v>
      </c>
      <c r="BH173" s="798">
        <f t="shared" si="140"/>
        <v>0</v>
      </c>
      <c r="BI173" s="798">
        <f t="shared" si="140"/>
        <v>0</v>
      </c>
      <c r="BJ173" s="798">
        <f t="shared" si="140"/>
        <v>0</v>
      </c>
      <c r="BK173" s="798">
        <f t="shared" si="140"/>
        <v>0</v>
      </c>
      <c r="BL173" s="798">
        <f t="shared" si="140"/>
        <v>0</v>
      </c>
      <c r="BM173" s="798">
        <f t="shared" si="140"/>
        <v>0</v>
      </c>
      <c r="BN173" s="798">
        <f t="shared" si="140"/>
        <v>0</v>
      </c>
      <c r="BO173" s="798">
        <f t="shared" si="140"/>
        <v>0</v>
      </c>
      <c r="BP173" s="798">
        <f t="shared" si="140"/>
        <v>0</v>
      </c>
      <c r="BQ173" s="798">
        <f t="shared" si="140"/>
        <v>0</v>
      </c>
      <c r="BR173" s="798">
        <f t="shared" si="140"/>
        <v>0</v>
      </c>
      <c r="BS173" s="798">
        <f t="shared" ref="BS173:ED173" si="141">SUM(BS170:BS172)</f>
        <v>0</v>
      </c>
      <c r="BT173" s="798">
        <f t="shared" si="141"/>
        <v>0</v>
      </c>
      <c r="BU173" s="798">
        <f t="shared" si="141"/>
        <v>0</v>
      </c>
      <c r="BV173" s="798">
        <f t="shared" si="141"/>
        <v>0</v>
      </c>
      <c r="BW173" s="798">
        <f t="shared" si="141"/>
        <v>0</v>
      </c>
      <c r="BX173" s="798">
        <f t="shared" si="141"/>
        <v>0</v>
      </c>
      <c r="BY173" s="798">
        <f t="shared" si="141"/>
        <v>0</v>
      </c>
      <c r="BZ173" s="798">
        <f t="shared" si="141"/>
        <v>0</v>
      </c>
      <c r="CA173" s="798">
        <f t="shared" si="141"/>
        <v>0</v>
      </c>
      <c r="CB173" s="798">
        <f t="shared" si="141"/>
        <v>0</v>
      </c>
      <c r="CC173" s="798">
        <f t="shared" si="141"/>
        <v>0</v>
      </c>
      <c r="CD173" s="798">
        <f t="shared" si="141"/>
        <v>0</v>
      </c>
      <c r="CE173" s="798">
        <f t="shared" si="141"/>
        <v>0</v>
      </c>
      <c r="CF173" s="798">
        <f t="shared" si="141"/>
        <v>0</v>
      </c>
      <c r="CG173" s="798">
        <f t="shared" si="141"/>
        <v>0</v>
      </c>
      <c r="CH173" s="798">
        <f t="shared" si="141"/>
        <v>0</v>
      </c>
      <c r="CI173" s="798">
        <f t="shared" si="141"/>
        <v>0</v>
      </c>
      <c r="CJ173" s="798">
        <f t="shared" si="141"/>
        <v>0</v>
      </c>
      <c r="CK173" s="798">
        <f t="shared" si="141"/>
        <v>0</v>
      </c>
      <c r="CL173" s="798">
        <f t="shared" si="141"/>
        <v>0</v>
      </c>
      <c r="CM173" s="798">
        <f t="shared" si="141"/>
        <v>0</v>
      </c>
      <c r="CN173" s="798">
        <f t="shared" si="141"/>
        <v>0</v>
      </c>
      <c r="CO173" s="798">
        <f t="shared" si="141"/>
        <v>0</v>
      </c>
      <c r="CP173" s="798">
        <f t="shared" si="141"/>
        <v>0</v>
      </c>
      <c r="CQ173" s="798">
        <f t="shared" si="141"/>
        <v>0</v>
      </c>
      <c r="CR173" s="798">
        <f t="shared" si="141"/>
        <v>0</v>
      </c>
      <c r="CS173" s="798">
        <f t="shared" si="141"/>
        <v>0</v>
      </c>
      <c r="CT173" s="798">
        <f t="shared" si="141"/>
        <v>0</v>
      </c>
      <c r="CU173" s="798">
        <f t="shared" si="141"/>
        <v>0</v>
      </c>
      <c r="CV173" s="798">
        <f t="shared" si="141"/>
        <v>0</v>
      </c>
      <c r="CW173" s="798">
        <f t="shared" si="141"/>
        <v>0</v>
      </c>
      <c r="CX173" s="798">
        <f t="shared" si="141"/>
        <v>0</v>
      </c>
      <c r="CY173" s="798">
        <f t="shared" si="141"/>
        <v>0</v>
      </c>
      <c r="CZ173" s="798">
        <f t="shared" si="141"/>
        <v>0</v>
      </c>
      <c r="DA173" s="798">
        <f t="shared" si="141"/>
        <v>0</v>
      </c>
      <c r="DB173" s="798">
        <f t="shared" si="141"/>
        <v>0</v>
      </c>
      <c r="DC173" s="798">
        <f t="shared" si="141"/>
        <v>0</v>
      </c>
      <c r="DD173" s="798">
        <f t="shared" si="141"/>
        <v>0</v>
      </c>
      <c r="DE173" s="798">
        <f t="shared" si="141"/>
        <v>0</v>
      </c>
      <c r="DF173" s="798">
        <f t="shared" si="141"/>
        <v>0</v>
      </c>
      <c r="DG173" s="798">
        <f t="shared" si="141"/>
        <v>0</v>
      </c>
      <c r="DH173" s="798">
        <f t="shared" si="141"/>
        <v>0</v>
      </c>
      <c r="DI173" s="798">
        <f t="shared" si="141"/>
        <v>0</v>
      </c>
      <c r="DJ173" s="798">
        <f t="shared" si="141"/>
        <v>0</v>
      </c>
      <c r="DK173" s="798">
        <f t="shared" si="141"/>
        <v>0</v>
      </c>
      <c r="DL173" s="798">
        <f t="shared" si="141"/>
        <v>0</v>
      </c>
      <c r="DM173" s="798">
        <f t="shared" si="141"/>
        <v>0</v>
      </c>
      <c r="DN173" s="798">
        <f t="shared" si="141"/>
        <v>0</v>
      </c>
      <c r="DO173" s="798">
        <f t="shared" si="141"/>
        <v>0</v>
      </c>
      <c r="DP173" s="798">
        <f t="shared" si="141"/>
        <v>0</v>
      </c>
      <c r="DQ173" s="798">
        <f t="shared" si="141"/>
        <v>0</v>
      </c>
      <c r="DR173" s="798">
        <f t="shared" si="141"/>
        <v>0</v>
      </c>
      <c r="DS173" s="798">
        <f t="shared" si="141"/>
        <v>0</v>
      </c>
      <c r="DT173" s="798">
        <f t="shared" si="141"/>
        <v>0</v>
      </c>
      <c r="DU173" s="798">
        <f t="shared" si="141"/>
        <v>0</v>
      </c>
      <c r="DV173" s="798">
        <f t="shared" si="141"/>
        <v>0</v>
      </c>
      <c r="DW173" s="798">
        <f t="shared" si="141"/>
        <v>0</v>
      </c>
      <c r="DX173" s="798">
        <f t="shared" si="141"/>
        <v>0</v>
      </c>
      <c r="DY173" s="798">
        <f t="shared" si="141"/>
        <v>0</v>
      </c>
      <c r="DZ173" s="798">
        <f t="shared" si="141"/>
        <v>0</v>
      </c>
      <c r="EA173" s="798">
        <f t="shared" si="141"/>
        <v>0</v>
      </c>
      <c r="EB173" s="798">
        <f t="shared" si="141"/>
        <v>0</v>
      </c>
      <c r="EC173" s="798">
        <f t="shared" si="141"/>
        <v>0</v>
      </c>
      <c r="ED173" s="798">
        <f t="shared" si="141"/>
        <v>0</v>
      </c>
      <c r="EE173" s="798">
        <f>SUM(EE170:EE172)</f>
        <v>0</v>
      </c>
      <c r="EF173" s="798">
        <f>SUM(EF170:EF172)</f>
        <v>0</v>
      </c>
      <c r="EG173" s="798">
        <f>SUM(EG170:EG172)</f>
        <v>0</v>
      </c>
      <c r="EH173" s="782"/>
    </row>
    <row r="174" spans="1:138" ht="12.75" customHeight="1" x14ac:dyDescent="0.3">
      <c r="A174" s="782"/>
      <c r="B174" s="782" t="s">
        <v>104</v>
      </c>
      <c r="C174" s="798">
        <f>SUM(E174:EG174)</f>
        <v>-3015435.9515204169</v>
      </c>
      <c r="D174" s="782"/>
      <c r="E174" s="798">
        <f>IFERROR((E170&gt;0)*INDEX(Waterfalls!$E$152:$EG$152,MATCH('Venture Summary - Mthly'!E5-INDEX('Venture Assumptions'!$J$6:$J$40,MATCH($B$2,'Venture Assumptions'!$I$6:$I$40,0)),Waterfalls!$E$5:$EG$5,0)),0)</f>
        <v>0</v>
      </c>
      <c r="F174" s="798">
        <f>IFERROR((F170&gt;0)*INDEX(Waterfalls!$E$152:$EG$152,MATCH('Venture Summary - Mthly'!F5-INDEX('Venture Assumptions'!$J$6:$J$40,MATCH($B$2,'Venture Assumptions'!$I$6:$I$40,0)),Waterfalls!$E$5:$EG$5,0)),0)</f>
        <v>0</v>
      </c>
      <c r="G174" s="798">
        <f>IFERROR((G170&gt;0)*INDEX(Waterfalls!$E$152:$EG$152,MATCH('Venture Summary - Mthly'!G5-INDEX('Venture Assumptions'!$J$6:$J$40,MATCH($B$2,'Venture Assumptions'!$I$6:$I$40,0)),Waterfalls!$E$5:$EG$5,0)),0)</f>
        <v>0</v>
      </c>
      <c r="H174" s="798">
        <f>IFERROR((H170&gt;0)*INDEX(Waterfalls!$E$152:$EG$152,MATCH('Venture Summary - Mthly'!H5-INDEX('Venture Assumptions'!$J$6:$J$40,MATCH($B$2,'Venture Assumptions'!$I$6:$I$40,0)),Waterfalls!$E$5:$EG$5,0)),0)</f>
        <v>0</v>
      </c>
      <c r="I174" s="798">
        <f>IFERROR((I170&gt;0)*INDEX(Waterfalls!$E$152:$EG$152,MATCH('Venture Summary - Mthly'!I5-INDEX('Venture Assumptions'!$J$6:$J$40,MATCH($B$2,'Venture Assumptions'!$I$6:$I$40,0)),Waterfalls!$E$5:$EG$5,0)),0)</f>
        <v>0</v>
      </c>
      <c r="J174" s="798">
        <f>IFERROR((J170&gt;0)*INDEX(Waterfalls!$E$152:$EG$152,MATCH('Venture Summary - Mthly'!J5-INDEX('Venture Assumptions'!$J$6:$J$40,MATCH($B$2,'Venture Assumptions'!$I$6:$I$40,0)),Waterfalls!$E$5:$EG$5,0)),0)</f>
        <v>0</v>
      </c>
      <c r="K174" s="798">
        <f>IFERROR((K170&gt;0)*INDEX(Waterfalls!$E$152:$EG$152,MATCH('Venture Summary - Mthly'!K5-INDEX('Venture Assumptions'!$J$6:$J$40,MATCH($B$2,'Venture Assumptions'!$I$6:$I$40,0)),Waterfalls!$E$5:$EG$5,0)),0)</f>
        <v>0</v>
      </c>
      <c r="L174" s="798">
        <f>IFERROR((L170&gt;0)*INDEX(Waterfalls!$E$152:$EG$152,MATCH('Venture Summary - Mthly'!L5-INDEX('Venture Assumptions'!$J$6:$J$40,MATCH($B$2,'Venture Assumptions'!$I$6:$I$40,0)),Waterfalls!$E$5:$EG$5,0)),0)</f>
        <v>0</v>
      </c>
      <c r="M174" s="798">
        <f>IFERROR((M170&gt;0)*INDEX(Waterfalls!$E$152:$EG$152,MATCH('Venture Summary - Mthly'!M5-INDEX('Venture Assumptions'!$J$6:$J$40,MATCH($B$2,'Venture Assumptions'!$I$6:$I$40,0)),Waterfalls!$E$5:$EG$5,0)),0)</f>
        <v>0</v>
      </c>
      <c r="N174" s="798">
        <f>IFERROR((N170&gt;0)*INDEX(Waterfalls!$E$152:$EG$152,MATCH('Venture Summary - Mthly'!N5-INDEX('Venture Assumptions'!$J$6:$J$40,MATCH($B$2,'Venture Assumptions'!$I$6:$I$40,0)),Waterfalls!$E$5:$EG$5,0)),0)</f>
        <v>0</v>
      </c>
      <c r="O174" s="798">
        <f>IFERROR((O170&gt;0)*INDEX(Waterfalls!$E$152:$EG$152,MATCH('Venture Summary - Mthly'!O5-INDEX('Venture Assumptions'!$J$6:$J$40,MATCH($B$2,'Venture Assumptions'!$I$6:$I$40,0)),Waterfalls!$E$5:$EG$5,0)),0)</f>
        <v>0</v>
      </c>
      <c r="P174" s="798">
        <f>IFERROR((P170&gt;0)*INDEX(Waterfalls!$E$152:$EG$152,MATCH('Venture Summary - Mthly'!P5-INDEX('Venture Assumptions'!$J$6:$J$40,MATCH($B$2,'Venture Assumptions'!$I$6:$I$40,0)),Waterfalls!$E$5:$EG$5,0)),0)</f>
        <v>-9271.8618416666668</v>
      </c>
      <c r="Q174" s="798">
        <f>IFERROR((Q170&gt;0)*INDEX(Waterfalls!$E$152:$EG$152,MATCH('Venture Summary - Mthly'!Q5-INDEX('Venture Assumptions'!$J$6:$J$40,MATCH($B$2,'Venture Assumptions'!$I$6:$I$40,0)),Waterfalls!$E$5:$EG$5,0)),0)</f>
        <v>-30859.985503750006</v>
      </c>
      <c r="R174" s="798">
        <f>IFERROR((R170&gt;0)*INDEX(Waterfalls!$E$152:$EG$152,MATCH('Venture Summary - Mthly'!R5-INDEX('Venture Assumptions'!$J$6:$J$40,MATCH($B$2,'Venture Assumptions'!$I$6:$I$40,0)),Waterfalls!$E$5:$EG$5,0)),0)</f>
        <v>-52721.499257916672</v>
      </c>
      <c r="S174" s="798">
        <f>IFERROR((S170&gt;0)*INDEX(Waterfalls!$E$152:$EG$152,MATCH('Venture Summary - Mthly'!S5-INDEX('Venture Assumptions'!$J$6:$J$40,MATCH($B$2,'Venture Assumptions'!$I$6:$I$40,0)),Waterfalls!$E$5:$EG$5,0)),0)</f>
        <v>-74793.826184999998</v>
      </c>
      <c r="T174" s="798">
        <f>IFERROR((T170&gt;0)*INDEX(Waterfalls!$E$152:$EG$152,MATCH('Venture Summary - Mthly'!T5-INDEX('Venture Assumptions'!$J$6:$J$40,MATCH($B$2,'Venture Assumptions'!$I$6:$I$40,0)),Waterfalls!$E$5:$EG$5,0)),0)</f>
        <v>-95453.90916208335</v>
      </c>
      <c r="U174" s="798">
        <f>IFERROR((U170&gt;0)*INDEX(Waterfalls!$E$152:$EG$152,MATCH('Venture Summary - Mthly'!U5-INDEX('Venture Assumptions'!$J$6:$J$40,MATCH($B$2,'Venture Assumptions'!$I$6:$I$40,0)),Waterfalls!$E$5:$EG$5,0)),0)</f>
        <v>-115534.80412500001</v>
      </c>
      <c r="V174" s="798">
        <f>IFERROR((V170&gt;0)*INDEX(Waterfalls!$E$152:$EG$152,MATCH('Venture Summary - Mthly'!V5-INDEX('Venture Assumptions'!$J$6:$J$40,MATCH($B$2,'Venture Assumptions'!$I$6:$I$40,0)),Waterfalls!$E$5:$EG$5,0)),0)</f>
        <v>-134160.78209083332</v>
      </c>
      <c r="W174" s="798">
        <f>IFERROR((W170&gt;0)*INDEX(Waterfalls!$E$152:$EG$152,MATCH('Venture Summary - Mthly'!W5-INDEX('Venture Assumptions'!$J$6:$J$40,MATCH($B$2,'Venture Assumptions'!$I$6:$I$40,0)),Waterfalls!$E$5:$EG$5,0)),0)</f>
        <v>-150961.88393541667</v>
      </c>
      <c r="X174" s="798">
        <f>IFERROR((X170&gt;0)*INDEX(Waterfalls!$E$152:$EG$152,MATCH('Venture Summary - Mthly'!X5-INDEX('Venture Assumptions'!$J$6:$J$40,MATCH($B$2,'Venture Assumptions'!$I$6:$I$40,0)),Waterfalls!$E$5:$EG$5,0)),0)</f>
        <v>-167678.32844750001</v>
      </c>
      <c r="Y174" s="798">
        <f>IFERROR((Y170&gt;0)*INDEX(Waterfalls!$E$152:$EG$152,MATCH('Venture Summary - Mthly'!Y5-INDEX('Venture Assumptions'!$J$6:$J$40,MATCH($B$2,'Venture Assumptions'!$I$6:$I$40,0)),Waterfalls!$E$5:$EG$5,0)),0)</f>
        <v>-183066.07043833335</v>
      </c>
      <c r="Z174" s="798">
        <f>IFERROR((Z170&gt;0)*INDEX(Waterfalls!$E$152:$EG$152,MATCH('Venture Summary - Mthly'!Z5-INDEX('Venture Assumptions'!$J$6:$J$40,MATCH($B$2,'Venture Assumptions'!$I$6:$I$40,0)),Waterfalls!$E$5:$EG$5,0)),0)</f>
        <v>-196105.83008791669</v>
      </c>
      <c r="AA174" s="798">
        <f>IFERROR((AA170&gt;0)*INDEX(Waterfalls!$E$152:$EG$152,MATCH('Venture Summary - Mthly'!AA5-INDEX('Venture Assumptions'!$J$6:$J$40,MATCH($B$2,'Venture Assumptions'!$I$6:$I$40,0)),Waterfalls!$E$5:$EG$5,0)),0)</f>
        <v>-207301.63153916667</v>
      </c>
      <c r="AB174" s="798">
        <f>IFERROR((AB170&gt;0)*INDEX(Waterfalls!$E$152:$EG$152,MATCH('Venture Summary - Mthly'!AB5-INDEX('Venture Assumptions'!$J$6:$J$40,MATCH($B$2,'Venture Assumptions'!$I$6:$I$40,0)),Waterfalls!$E$5:$EG$5,0)),0)</f>
        <v>-216705.7792466667</v>
      </c>
      <c r="AC174" s="798">
        <f>IFERROR((AC170&gt;0)*INDEX(Waterfalls!$E$152:$EG$152,MATCH('Venture Summary - Mthly'!AC5-INDEX('Venture Assumptions'!$J$6:$J$40,MATCH($B$2,'Venture Assumptions'!$I$6:$I$40,0)),Waterfalls!$E$5:$EG$5,0)),0)</f>
        <v>-223217.08696625006</v>
      </c>
      <c r="AD174" s="798">
        <f>IFERROR((AD170&gt;0)*INDEX(Waterfalls!$E$152:$EG$152,MATCH('Venture Summary - Mthly'!AD5-INDEX('Venture Assumptions'!$J$6:$J$40,MATCH($B$2,'Venture Assumptions'!$I$6:$I$40,0)),Waterfalls!$E$5:$EG$5,0)),0)</f>
        <v>-228583.81597458338</v>
      </c>
      <c r="AE174" s="798">
        <f>IFERROR((AE170&gt;0)*INDEX(Waterfalls!$E$152:$EG$152,MATCH('Venture Summary - Mthly'!AE5-INDEX('Venture Assumptions'!$J$6:$J$40,MATCH($B$2,'Venture Assumptions'!$I$6:$I$40,0)),Waterfalls!$E$5:$EG$5,0)),0)</f>
        <v>-232254.71417958339</v>
      </c>
      <c r="AF174" s="798">
        <f>IFERROR((AF170&gt;0)*INDEX(Waterfalls!$E$152:$EG$152,MATCH('Venture Summary - Mthly'!AF5-INDEX('Venture Assumptions'!$J$6:$J$40,MATCH($B$2,'Venture Assumptions'!$I$6:$I$40,0)),Waterfalls!$E$5:$EG$5,0)),0)</f>
        <v>-232254.71417958339</v>
      </c>
      <c r="AG174" s="798">
        <f>IFERROR((AG170&gt;0)*INDEX(Waterfalls!$E$152:$EG$152,MATCH('Venture Summary - Mthly'!AG5-INDEX('Venture Assumptions'!$J$6:$J$40,MATCH($B$2,'Venture Assumptions'!$I$6:$I$40,0)),Waterfalls!$E$5:$EG$5,0)),0)</f>
        <v>-232254.71417958339</v>
      </c>
      <c r="AH174" s="798">
        <f>IFERROR((AH170&gt;0)*INDEX(Waterfalls!$E$152:$EG$152,MATCH('Venture Summary - Mthly'!AH5-INDEX('Venture Assumptions'!$J$6:$J$40,MATCH($B$2,'Venture Assumptions'!$I$6:$I$40,0)),Waterfalls!$E$5:$EG$5,0)),0)</f>
        <v>-232254.71417958339</v>
      </c>
      <c r="AI174" s="798">
        <f>IFERROR((AI170&gt;0)*INDEX(Waterfalls!$E$152:$EG$152,MATCH('Venture Summary - Mthly'!AI5-INDEX('Venture Assumptions'!$J$6:$J$40,MATCH($B$2,'Venture Assumptions'!$I$6:$I$40,0)),Waterfalls!$E$5:$EG$5,0)),0)</f>
        <v>0</v>
      </c>
      <c r="AJ174" s="798">
        <f>IFERROR((AJ170&gt;0)*INDEX(Waterfalls!$E$152:$EG$152,MATCH('Venture Summary - Mthly'!AJ5-INDEX('Venture Assumptions'!$J$6:$J$40,MATCH($B$2,'Venture Assumptions'!$I$6:$I$40,0)),Waterfalls!$E$5:$EG$5,0)),0)</f>
        <v>0</v>
      </c>
      <c r="AK174" s="798">
        <f>IFERROR((AK170&gt;0)*INDEX(Waterfalls!$E$152:$EG$152,MATCH('Venture Summary - Mthly'!AK5-INDEX('Venture Assumptions'!$J$6:$J$40,MATCH($B$2,'Venture Assumptions'!$I$6:$I$40,0)),Waterfalls!$E$5:$EG$5,0)),0)</f>
        <v>0</v>
      </c>
      <c r="AL174" s="798">
        <f>IFERROR((AL170&gt;0)*INDEX(Waterfalls!$E$152:$EG$152,MATCH('Venture Summary - Mthly'!AL5-INDEX('Venture Assumptions'!$J$6:$J$40,MATCH($B$2,'Venture Assumptions'!$I$6:$I$40,0)),Waterfalls!$E$5:$EG$5,0)),0)</f>
        <v>0</v>
      </c>
      <c r="AM174" s="798">
        <f>IFERROR((AM170&gt;0)*INDEX(Waterfalls!$E$152:$EG$152,MATCH('Venture Summary - Mthly'!AM5-INDEX('Venture Assumptions'!$J$6:$J$40,MATCH($B$2,'Venture Assumptions'!$I$6:$I$40,0)),Waterfalls!$E$5:$EG$5,0)),0)</f>
        <v>0</v>
      </c>
      <c r="AN174" s="798">
        <f>IFERROR((AN170&gt;0)*INDEX(Waterfalls!$E$152:$EG$152,MATCH('Venture Summary - Mthly'!AN5-INDEX('Venture Assumptions'!$J$6:$J$40,MATCH($B$2,'Venture Assumptions'!$I$6:$I$40,0)),Waterfalls!$E$5:$EG$5,0)),0)</f>
        <v>0</v>
      </c>
      <c r="AO174" s="798">
        <f>IFERROR((AO170&gt;0)*INDEX(Waterfalls!$E$152:$EG$152,MATCH('Venture Summary - Mthly'!AO5-INDEX('Venture Assumptions'!$J$6:$J$40,MATCH($B$2,'Venture Assumptions'!$I$6:$I$40,0)),Waterfalls!$E$5:$EG$5,0)),0)</f>
        <v>0</v>
      </c>
      <c r="AP174" s="798">
        <f>IFERROR((AP170&gt;0)*INDEX(Waterfalls!$E$152:$EG$152,MATCH('Venture Summary - Mthly'!AP5-INDEX('Venture Assumptions'!$J$6:$J$40,MATCH($B$2,'Venture Assumptions'!$I$6:$I$40,0)),Waterfalls!$E$5:$EG$5,0)),0)</f>
        <v>0</v>
      </c>
      <c r="AQ174" s="798">
        <f>IFERROR((AQ170&gt;0)*INDEX(Waterfalls!$E$152:$EG$152,MATCH('Venture Summary - Mthly'!AQ5-INDEX('Venture Assumptions'!$J$6:$J$40,MATCH($B$2,'Venture Assumptions'!$I$6:$I$40,0)),Waterfalls!$E$5:$EG$5,0)),0)</f>
        <v>0</v>
      </c>
      <c r="AR174" s="798">
        <f>IFERROR((AR170&gt;0)*INDEX(Waterfalls!$E$152:$EG$152,MATCH('Venture Summary - Mthly'!AR5-INDEX('Venture Assumptions'!$J$6:$J$40,MATCH($B$2,'Venture Assumptions'!$I$6:$I$40,0)),Waterfalls!$E$5:$EG$5,0)),0)</f>
        <v>0</v>
      </c>
      <c r="AS174" s="798">
        <f>IFERROR((AS170&gt;0)*INDEX(Waterfalls!$E$152:$EG$152,MATCH('Venture Summary - Mthly'!AS5-INDEX('Venture Assumptions'!$J$6:$J$40,MATCH($B$2,'Venture Assumptions'!$I$6:$I$40,0)),Waterfalls!$E$5:$EG$5,0)),0)</f>
        <v>0</v>
      </c>
      <c r="AT174" s="798">
        <f>IFERROR((AT170&gt;0)*INDEX(Waterfalls!$E$152:$EG$152,MATCH('Venture Summary - Mthly'!AT5-INDEX('Venture Assumptions'!$J$6:$J$40,MATCH($B$2,'Venture Assumptions'!$I$6:$I$40,0)),Waterfalls!$E$5:$EG$5,0)),0)</f>
        <v>0</v>
      </c>
      <c r="AU174" s="798">
        <f>IFERROR((AU170&gt;0)*INDEX(Waterfalls!$E$152:$EG$152,MATCH('Venture Summary - Mthly'!AU5-INDEX('Venture Assumptions'!$J$6:$J$40,MATCH($B$2,'Venture Assumptions'!$I$6:$I$40,0)),Waterfalls!$E$5:$EG$5,0)),0)</f>
        <v>0</v>
      </c>
      <c r="AV174" s="798">
        <f>IFERROR((AV170&gt;0)*INDEX(Waterfalls!$E$152:$EG$152,MATCH('Venture Summary - Mthly'!AV5-INDEX('Venture Assumptions'!$J$6:$J$40,MATCH($B$2,'Venture Assumptions'!$I$6:$I$40,0)),Waterfalls!$E$5:$EG$5,0)),0)</f>
        <v>0</v>
      </c>
      <c r="AW174" s="798">
        <f>IFERROR((AW170&gt;0)*INDEX(Waterfalls!$E$152:$EG$152,MATCH('Venture Summary - Mthly'!AW5-INDEX('Venture Assumptions'!$J$6:$J$40,MATCH($B$2,'Venture Assumptions'!$I$6:$I$40,0)),Waterfalls!$E$5:$EG$5,0)),0)</f>
        <v>0</v>
      </c>
      <c r="AX174" s="798">
        <f>IFERROR((AX170&gt;0)*INDEX(Waterfalls!$E$152:$EG$152,MATCH('Venture Summary - Mthly'!AX5-INDEX('Venture Assumptions'!$J$6:$J$40,MATCH($B$2,'Venture Assumptions'!$I$6:$I$40,0)),Waterfalls!$E$5:$EG$5,0)),0)</f>
        <v>0</v>
      </c>
      <c r="AY174" s="798">
        <f>IFERROR((AY170&gt;0)*INDEX(Waterfalls!$E$152:$EG$152,MATCH('Venture Summary - Mthly'!AY5-INDEX('Venture Assumptions'!$J$6:$J$40,MATCH($B$2,'Venture Assumptions'!$I$6:$I$40,0)),Waterfalls!$E$5:$EG$5,0)),0)</f>
        <v>0</v>
      </c>
      <c r="AZ174" s="798">
        <f>IFERROR((AZ170&gt;0)*INDEX(Waterfalls!$E$152:$EG$152,MATCH('Venture Summary - Mthly'!AZ5-INDEX('Venture Assumptions'!$J$6:$J$40,MATCH($B$2,'Venture Assumptions'!$I$6:$I$40,0)),Waterfalls!$E$5:$EG$5,0)),0)</f>
        <v>0</v>
      </c>
      <c r="BA174" s="798">
        <f>IFERROR((BA170&gt;0)*INDEX(Waterfalls!$E$152:$EG$152,MATCH('Venture Summary - Mthly'!BA5-INDEX('Venture Assumptions'!$J$6:$J$40,MATCH($B$2,'Venture Assumptions'!$I$6:$I$40,0)),Waterfalls!$E$5:$EG$5,0)),0)</f>
        <v>0</v>
      </c>
      <c r="BB174" s="798">
        <f>IFERROR((BB170&gt;0)*INDEX(Waterfalls!$E$152:$EG$152,MATCH('Venture Summary - Mthly'!BB5-INDEX('Venture Assumptions'!$J$6:$J$40,MATCH($B$2,'Venture Assumptions'!$I$6:$I$40,0)),Waterfalls!$E$5:$EG$5,0)),0)</f>
        <v>0</v>
      </c>
      <c r="BC174" s="798">
        <f>IFERROR((BC170&gt;0)*INDEX(Waterfalls!$E$152:$EG$152,MATCH('Venture Summary - Mthly'!BC5-INDEX('Venture Assumptions'!$J$6:$J$40,MATCH($B$2,'Venture Assumptions'!$I$6:$I$40,0)),Waterfalls!$E$5:$EG$5,0)),0)</f>
        <v>0</v>
      </c>
      <c r="BD174" s="798">
        <f>IFERROR((BD170&gt;0)*INDEX(Waterfalls!$E$152:$EG$152,MATCH('Venture Summary - Mthly'!BD5-INDEX('Venture Assumptions'!$J$6:$J$40,MATCH($B$2,'Venture Assumptions'!$I$6:$I$40,0)),Waterfalls!$E$5:$EG$5,0)),0)</f>
        <v>0</v>
      </c>
      <c r="BE174" s="798">
        <f>IFERROR((BE170&gt;0)*INDEX(Waterfalls!$E$152:$EG$152,MATCH('Venture Summary - Mthly'!BE5-INDEX('Venture Assumptions'!$J$6:$J$40,MATCH($B$2,'Venture Assumptions'!$I$6:$I$40,0)),Waterfalls!$E$5:$EG$5,0)),0)</f>
        <v>0</v>
      </c>
      <c r="BF174" s="798">
        <f>IFERROR((BF170&gt;0)*INDEX(Waterfalls!$E$152:$EG$152,MATCH('Venture Summary - Mthly'!BF5-INDEX('Venture Assumptions'!$J$6:$J$40,MATCH($B$2,'Venture Assumptions'!$I$6:$I$40,0)),Waterfalls!$E$5:$EG$5,0)),0)</f>
        <v>0</v>
      </c>
      <c r="BG174" s="798">
        <f>IFERROR((BG170&gt;0)*INDEX(Waterfalls!$E$152:$EG$152,MATCH('Venture Summary - Mthly'!BG5-INDEX('Venture Assumptions'!$J$6:$J$40,MATCH($B$2,'Venture Assumptions'!$I$6:$I$40,0)),Waterfalls!$E$5:$EG$5,0)),0)</f>
        <v>0</v>
      </c>
      <c r="BH174" s="798">
        <f>IFERROR((BH170&gt;0)*INDEX(Waterfalls!$E$152:$EG$152,MATCH('Venture Summary - Mthly'!BH5-INDEX('Venture Assumptions'!$J$6:$J$40,MATCH($B$2,'Venture Assumptions'!$I$6:$I$40,0)),Waterfalls!$E$5:$EG$5,0)),0)</f>
        <v>0</v>
      </c>
      <c r="BI174" s="798">
        <f>IFERROR((BI170&gt;0)*INDEX(Waterfalls!$E$152:$EG$152,MATCH('Venture Summary - Mthly'!BI5-INDEX('Venture Assumptions'!$J$6:$J$40,MATCH($B$2,'Venture Assumptions'!$I$6:$I$40,0)),Waterfalls!$E$5:$EG$5,0)),0)</f>
        <v>0</v>
      </c>
      <c r="BJ174" s="798">
        <f>IFERROR((BJ170&gt;0)*INDEX(Waterfalls!$E$152:$EG$152,MATCH('Venture Summary - Mthly'!BJ5-INDEX('Venture Assumptions'!$J$6:$J$40,MATCH($B$2,'Venture Assumptions'!$I$6:$I$40,0)),Waterfalls!$E$5:$EG$5,0)),0)</f>
        <v>0</v>
      </c>
      <c r="BK174" s="798">
        <f>IFERROR((BK170&gt;0)*INDEX(Waterfalls!$E$152:$EG$152,MATCH('Venture Summary - Mthly'!BK5-INDEX('Venture Assumptions'!$J$6:$J$40,MATCH($B$2,'Venture Assumptions'!$I$6:$I$40,0)),Waterfalls!$E$5:$EG$5,0)),0)</f>
        <v>0</v>
      </c>
      <c r="BL174" s="798">
        <f>IFERROR((BL170&gt;0)*INDEX(Waterfalls!$E$152:$EG$152,MATCH('Venture Summary - Mthly'!BL5-INDEX('Venture Assumptions'!$J$6:$J$40,MATCH($B$2,'Venture Assumptions'!$I$6:$I$40,0)),Waterfalls!$E$5:$EG$5,0)),0)</f>
        <v>0</v>
      </c>
      <c r="BM174" s="798">
        <f>IFERROR((BM170&gt;0)*INDEX(Waterfalls!$E$152:$EG$152,MATCH('Venture Summary - Mthly'!BM5-INDEX('Venture Assumptions'!$J$6:$J$40,MATCH($B$2,'Venture Assumptions'!$I$6:$I$40,0)),Waterfalls!$E$5:$EG$5,0)),0)</f>
        <v>0</v>
      </c>
      <c r="BN174" s="798">
        <f>IFERROR((BN170&gt;0)*INDEX(Waterfalls!$E$152:$EG$152,MATCH('Venture Summary - Mthly'!BN5-INDEX('Venture Assumptions'!$J$6:$J$40,MATCH($B$2,'Venture Assumptions'!$I$6:$I$40,0)),Waterfalls!$E$5:$EG$5,0)),0)</f>
        <v>0</v>
      </c>
      <c r="BO174" s="798">
        <f>IFERROR((BO170&gt;0)*INDEX(Waterfalls!$E$152:$EG$152,MATCH('Venture Summary - Mthly'!BO5-INDEX('Venture Assumptions'!$J$6:$J$40,MATCH($B$2,'Venture Assumptions'!$I$6:$I$40,0)),Waterfalls!$E$5:$EG$5,0)),0)</f>
        <v>0</v>
      </c>
      <c r="BP174" s="798">
        <f>IFERROR((BP170&gt;0)*INDEX(Waterfalls!$E$152:$EG$152,MATCH('Venture Summary - Mthly'!BP5-INDEX('Venture Assumptions'!$J$6:$J$40,MATCH($B$2,'Venture Assumptions'!$I$6:$I$40,0)),Waterfalls!$E$5:$EG$5,0)),0)</f>
        <v>0</v>
      </c>
      <c r="BQ174" s="798">
        <f>IFERROR((BQ170&gt;0)*INDEX(Waterfalls!$E$152:$EG$152,MATCH('Venture Summary - Mthly'!BQ5-INDEX('Venture Assumptions'!$J$6:$J$40,MATCH($B$2,'Venture Assumptions'!$I$6:$I$40,0)),Waterfalls!$E$5:$EG$5,0)),0)</f>
        <v>0</v>
      </c>
      <c r="BR174" s="798">
        <f>IFERROR((BR170&gt;0)*INDEX(Waterfalls!$E$152:$EG$152,MATCH('Venture Summary - Mthly'!BR5-INDEX('Venture Assumptions'!$J$6:$J$40,MATCH($B$2,'Venture Assumptions'!$I$6:$I$40,0)),Waterfalls!$E$5:$EG$5,0)),0)</f>
        <v>0</v>
      </c>
      <c r="BS174" s="798">
        <f>IFERROR((BS170&gt;0)*INDEX(Waterfalls!$E$152:$EG$152,MATCH('Venture Summary - Mthly'!BS5-INDEX('Venture Assumptions'!$J$6:$J$40,MATCH($B$2,'Venture Assumptions'!$I$6:$I$40,0)),Waterfalls!$E$5:$EG$5,0)),0)</f>
        <v>0</v>
      </c>
      <c r="BT174" s="798">
        <f>IFERROR((BT170&gt;0)*INDEX(Waterfalls!$E$152:$EG$152,MATCH('Venture Summary - Mthly'!BT5-INDEX('Venture Assumptions'!$J$6:$J$40,MATCH($B$2,'Venture Assumptions'!$I$6:$I$40,0)),Waterfalls!$E$5:$EG$5,0)),0)</f>
        <v>0</v>
      </c>
      <c r="BU174" s="798">
        <f>IFERROR((BU170&gt;0)*INDEX(Waterfalls!$E$152:$EG$152,MATCH('Venture Summary - Mthly'!BU5-INDEX('Venture Assumptions'!$J$6:$J$40,MATCH($B$2,'Venture Assumptions'!$I$6:$I$40,0)),Waterfalls!$E$5:$EG$5,0)),0)</f>
        <v>0</v>
      </c>
      <c r="BV174" s="798">
        <f>IFERROR((BV170&gt;0)*INDEX(Waterfalls!$E$152:$EG$152,MATCH('Venture Summary - Mthly'!BV5-INDEX('Venture Assumptions'!$J$6:$J$40,MATCH($B$2,'Venture Assumptions'!$I$6:$I$40,0)),Waterfalls!$E$5:$EG$5,0)),0)</f>
        <v>0</v>
      </c>
      <c r="BW174" s="798">
        <f>IFERROR((BW170&gt;0)*INDEX(Waterfalls!$E$152:$EG$152,MATCH('Venture Summary - Mthly'!BW5-INDEX('Venture Assumptions'!$J$6:$J$40,MATCH($B$2,'Venture Assumptions'!$I$6:$I$40,0)),Waterfalls!$E$5:$EG$5,0)),0)</f>
        <v>0</v>
      </c>
      <c r="BX174" s="798">
        <f>IFERROR((BX170&gt;0)*INDEX(Waterfalls!$E$152:$EG$152,MATCH('Venture Summary - Mthly'!BX5-INDEX('Venture Assumptions'!$J$6:$J$40,MATCH($B$2,'Venture Assumptions'!$I$6:$I$40,0)),Waterfalls!$E$5:$EG$5,0)),0)</f>
        <v>0</v>
      </c>
      <c r="BY174" s="798">
        <f>IFERROR((BY170&gt;0)*INDEX(Waterfalls!$E$152:$EG$152,MATCH('Venture Summary - Mthly'!BY5-INDEX('Venture Assumptions'!$J$6:$J$40,MATCH($B$2,'Venture Assumptions'!$I$6:$I$40,0)),Waterfalls!$E$5:$EG$5,0)),0)</f>
        <v>0</v>
      </c>
      <c r="BZ174" s="798">
        <f>IFERROR((BZ170&gt;0)*INDEX(Waterfalls!$E$152:$EG$152,MATCH('Venture Summary - Mthly'!BZ5-INDEX('Venture Assumptions'!$J$6:$J$40,MATCH($B$2,'Venture Assumptions'!$I$6:$I$40,0)),Waterfalls!$E$5:$EG$5,0)),0)</f>
        <v>0</v>
      </c>
      <c r="CA174" s="798">
        <f>IFERROR((CA170&gt;0)*INDEX(Waterfalls!$E$152:$EG$152,MATCH('Venture Summary - Mthly'!CA5-INDEX('Venture Assumptions'!$J$6:$J$40,MATCH($B$2,'Venture Assumptions'!$I$6:$I$40,0)),Waterfalls!$E$5:$EG$5,0)),0)</f>
        <v>0</v>
      </c>
      <c r="CB174" s="798">
        <f>IFERROR((CB170&gt;0)*INDEX(Waterfalls!$E$152:$EG$152,MATCH('Venture Summary - Mthly'!CB5-INDEX('Venture Assumptions'!$J$6:$J$40,MATCH($B$2,'Venture Assumptions'!$I$6:$I$40,0)),Waterfalls!$E$5:$EG$5,0)),0)</f>
        <v>0</v>
      </c>
      <c r="CC174" s="798">
        <f>IFERROR((CC170&gt;0)*INDEX(Waterfalls!$E$152:$EG$152,MATCH('Venture Summary - Mthly'!CC5-INDEX('Venture Assumptions'!$J$6:$J$40,MATCH($B$2,'Venture Assumptions'!$I$6:$I$40,0)),Waterfalls!$E$5:$EG$5,0)),0)</f>
        <v>0</v>
      </c>
      <c r="CD174" s="798">
        <f>IFERROR((CD170&gt;0)*INDEX(Waterfalls!$E$152:$EG$152,MATCH('Venture Summary - Mthly'!CD5-INDEX('Venture Assumptions'!$J$6:$J$40,MATCH($B$2,'Venture Assumptions'!$I$6:$I$40,0)),Waterfalls!$E$5:$EG$5,0)),0)</f>
        <v>0</v>
      </c>
      <c r="CE174" s="798">
        <f>IFERROR((CE170&gt;0)*INDEX(Waterfalls!$E$152:$EG$152,MATCH('Venture Summary - Mthly'!CE5-INDEX('Venture Assumptions'!$J$6:$J$40,MATCH($B$2,'Venture Assumptions'!$I$6:$I$40,0)),Waterfalls!$E$5:$EG$5,0)),0)</f>
        <v>0</v>
      </c>
      <c r="CF174" s="798">
        <f>IFERROR((CF170&gt;0)*INDEX(Waterfalls!$E$152:$EG$152,MATCH('Venture Summary - Mthly'!CF5-INDEX('Venture Assumptions'!$J$6:$J$40,MATCH($B$2,'Venture Assumptions'!$I$6:$I$40,0)),Waterfalls!$E$5:$EG$5,0)),0)</f>
        <v>0</v>
      </c>
      <c r="CG174" s="798">
        <f>IFERROR((CG170&gt;0)*INDEX(Waterfalls!$E$152:$EG$152,MATCH('Venture Summary - Mthly'!CG5-INDEX('Venture Assumptions'!$J$6:$J$40,MATCH($B$2,'Venture Assumptions'!$I$6:$I$40,0)),Waterfalls!$E$5:$EG$5,0)),0)</f>
        <v>0</v>
      </c>
      <c r="CH174" s="798">
        <f>IFERROR((CH170&gt;0)*INDEX(Waterfalls!$E$152:$EG$152,MATCH('Venture Summary - Mthly'!CH5-INDEX('Venture Assumptions'!$J$6:$J$40,MATCH($B$2,'Venture Assumptions'!$I$6:$I$40,0)),Waterfalls!$E$5:$EG$5,0)),0)</f>
        <v>0</v>
      </c>
      <c r="CI174" s="798">
        <f>IFERROR((CI170&gt;0)*INDEX(Waterfalls!$E$152:$EG$152,MATCH('Venture Summary - Mthly'!CI5-INDEX('Venture Assumptions'!$J$6:$J$40,MATCH($B$2,'Venture Assumptions'!$I$6:$I$40,0)),Waterfalls!$E$5:$EG$5,0)),0)</f>
        <v>0</v>
      </c>
      <c r="CJ174" s="798">
        <f>IFERROR((CJ170&gt;0)*INDEX(Waterfalls!$E$152:$EG$152,MATCH('Venture Summary - Mthly'!CJ5-INDEX('Venture Assumptions'!$J$6:$J$40,MATCH($B$2,'Venture Assumptions'!$I$6:$I$40,0)),Waterfalls!$E$5:$EG$5,0)),0)</f>
        <v>0</v>
      </c>
      <c r="CK174" s="798">
        <f>IFERROR((CK170&gt;0)*INDEX(Waterfalls!$E$152:$EG$152,MATCH('Venture Summary - Mthly'!CK5-INDEX('Venture Assumptions'!$J$6:$J$40,MATCH($B$2,'Venture Assumptions'!$I$6:$I$40,0)),Waterfalls!$E$5:$EG$5,0)),0)</f>
        <v>0</v>
      </c>
      <c r="CL174" s="798">
        <f>IFERROR((CL170&gt;0)*INDEX(Waterfalls!$E$152:$EG$152,MATCH('Venture Summary - Mthly'!CL5-INDEX('Venture Assumptions'!$J$6:$J$40,MATCH($B$2,'Venture Assumptions'!$I$6:$I$40,0)),Waterfalls!$E$5:$EG$5,0)),0)</f>
        <v>0</v>
      </c>
      <c r="CM174" s="798">
        <f>IFERROR((CM170&gt;0)*INDEX(Waterfalls!$E$152:$EG$152,MATCH('Venture Summary - Mthly'!CM5-INDEX('Venture Assumptions'!$J$6:$J$40,MATCH($B$2,'Venture Assumptions'!$I$6:$I$40,0)),Waterfalls!$E$5:$EG$5,0)),0)</f>
        <v>0</v>
      </c>
      <c r="CN174" s="798">
        <f>IFERROR((CN170&gt;0)*INDEX(Waterfalls!$E$152:$EG$152,MATCH('Venture Summary - Mthly'!CN5-INDEX('Venture Assumptions'!$J$6:$J$40,MATCH($B$2,'Venture Assumptions'!$I$6:$I$40,0)),Waterfalls!$E$5:$EG$5,0)),0)</f>
        <v>0</v>
      </c>
      <c r="CO174" s="798">
        <f>IFERROR((CO170&gt;0)*INDEX(Waterfalls!$E$152:$EG$152,MATCH('Venture Summary - Mthly'!CO5-INDEX('Venture Assumptions'!$J$6:$J$40,MATCH($B$2,'Venture Assumptions'!$I$6:$I$40,0)),Waterfalls!$E$5:$EG$5,0)),0)</f>
        <v>0</v>
      </c>
      <c r="CP174" s="798">
        <f>IFERROR((CP170&gt;0)*INDEX(Waterfalls!$E$152:$EG$152,MATCH('Venture Summary - Mthly'!CP5-INDEX('Venture Assumptions'!$J$6:$J$40,MATCH($B$2,'Venture Assumptions'!$I$6:$I$40,0)),Waterfalls!$E$5:$EG$5,0)),0)</f>
        <v>0</v>
      </c>
      <c r="CQ174" s="798">
        <f>IFERROR((CQ170&gt;0)*INDEX(Waterfalls!$E$152:$EG$152,MATCH('Venture Summary - Mthly'!CQ5-INDEX('Venture Assumptions'!$J$6:$J$40,MATCH($B$2,'Venture Assumptions'!$I$6:$I$40,0)),Waterfalls!$E$5:$EG$5,0)),0)</f>
        <v>0</v>
      </c>
      <c r="CR174" s="798">
        <f>IFERROR((CR170&gt;0)*INDEX(Waterfalls!$E$152:$EG$152,MATCH('Venture Summary - Mthly'!CR5-INDEX('Venture Assumptions'!$J$6:$J$40,MATCH($B$2,'Venture Assumptions'!$I$6:$I$40,0)),Waterfalls!$E$5:$EG$5,0)),0)</f>
        <v>0</v>
      </c>
      <c r="CS174" s="798">
        <f>IFERROR((CS170&gt;0)*INDEX(Waterfalls!$E$152:$EG$152,MATCH('Venture Summary - Mthly'!CS5-INDEX('Venture Assumptions'!$J$6:$J$40,MATCH($B$2,'Venture Assumptions'!$I$6:$I$40,0)),Waterfalls!$E$5:$EG$5,0)),0)</f>
        <v>0</v>
      </c>
      <c r="CT174" s="798">
        <f>IFERROR((CT170&gt;0)*INDEX(Waterfalls!$E$152:$EG$152,MATCH('Venture Summary - Mthly'!CT5-INDEX('Venture Assumptions'!$J$6:$J$40,MATCH($B$2,'Venture Assumptions'!$I$6:$I$40,0)),Waterfalls!$E$5:$EG$5,0)),0)</f>
        <v>0</v>
      </c>
      <c r="CU174" s="798">
        <f>IFERROR((CU170&gt;0)*INDEX(Waterfalls!$E$152:$EG$152,MATCH('Venture Summary - Mthly'!CU5-INDEX('Venture Assumptions'!$J$6:$J$40,MATCH($B$2,'Venture Assumptions'!$I$6:$I$40,0)),Waterfalls!$E$5:$EG$5,0)),0)</f>
        <v>0</v>
      </c>
      <c r="CV174" s="798">
        <f>IFERROR((CV170&gt;0)*INDEX(Waterfalls!$E$152:$EG$152,MATCH('Venture Summary - Mthly'!CV5-INDEX('Venture Assumptions'!$J$6:$J$40,MATCH($B$2,'Venture Assumptions'!$I$6:$I$40,0)),Waterfalls!$E$5:$EG$5,0)),0)</f>
        <v>0</v>
      </c>
      <c r="CW174" s="798">
        <f>IFERROR((CW170&gt;0)*INDEX(Waterfalls!$E$152:$EG$152,MATCH('Venture Summary - Mthly'!CW5-INDEX('Venture Assumptions'!$J$6:$J$40,MATCH($B$2,'Venture Assumptions'!$I$6:$I$40,0)),Waterfalls!$E$5:$EG$5,0)),0)</f>
        <v>0</v>
      </c>
      <c r="CX174" s="798">
        <f>IFERROR((CX170&gt;0)*INDEX(Waterfalls!$E$152:$EG$152,MATCH('Venture Summary - Mthly'!CX5-INDEX('Venture Assumptions'!$J$6:$J$40,MATCH($B$2,'Venture Assumptions'!$I$6:$I$40,0)),Waterfalls!$E$5:$EG$5,0)),0)</f>
        <v>0</v>
      </c>
      <c r="CY174" s="798">
        <f>IFERROR((CY170&gt;0)*INDEX(Waterfalls!$E$152:$EG$152,MATCH('Venture Summary - Mthly'!CY5-INDEX('Venture Assumptions'!$J$6:$J$40,MATCH($B$2,'Venture Assumptions'!$I$6:$I$40,0)),Waterfalls!$E$5:$EG$5,0)),0)</f>
        <v>0</v>
      </c>
      <c r="CZ174" s="798">
        <f>IFERROR((CZ170&gt;0)*INDEX(Waterfalls!$E$152:$EG$152,MATCH('Venture Summary - Mthly'!CZ5-INDEX('Venture Assumptions'!$J$6:$J$40,MATCH($B$2,'Venture Assumptions'!$I$6:$I$40,0)),Waterfalls!$E$5:$EG$5,0)),0)</f>
        <v>0</v>
      </c>
      <c r="DA174" s="798">
        <f>IFERROR((DA170&gt;0)*INDEX(Waterfalls!$E$152:$EG$152,MATCH('Venture Summary - Mthly'!DA5-INDEX('Venture Assumptions'!$J$6:$J$40,MATCH($B$2,'Venture Assumptions'!$I$6:$I$40,0)),Waterfalls!$E$5:$EG$5,0)),0)</f>
        <v>0</v>
      </c>
      <c r="DB174" s="798">
        <f>IFERROR((DB170&gt;0)*INDEX(Waterfalls!$E$152:$EG$152,MATCH('Venture Summary - Mthly'!DB5-INDEX('Venture Assumptions'!$J$6:$J$40,MATCH($B$2,'Venture Assumptions'!$I$6:$I$40,0)),Waterfalls!$E$5:$EG$5,0)),0)</f>
        <v>0</v>
      </c>
      <c r="DC174" s="798">
        <f>IFERROR((DC170&gt;0)*INDEX(Waterfalls!$E$152:$EG$152,MATCH('Venture Summary - Mthly'!DC5-INDEX('Venture Assumptions'!$J$6:$J$40,MATCH($B$2,'Venture Assumptions'!$I$6:$I$40,0)),Waterfalls!$E$5:$EG$5,0)),0)</f>
        <v>0</v>
      </c>
      <c r="DD174" s="798">
        <f>IFERROR((DD170&gt;0)*INDEX(Waterfalls!$E$152:$EG$152,MATCH('Venture Summary - Mthly'!DD5-INDEX('Venture Assumptions'!$J$6:$J$40,MATCH($B$2,'Venture Assumptions'!$I$6:$I$40,0)),Waterfalls!$E$5:$EG$5,0)),0)</f>
        <v>0</v>
      </c>
      <c r="DE174" s="798">
        <f>IFERROR((DE170&gt;0)*INDEX(Waterfalls!$E$152:$EG$152,MATCH('Venture Summary - Mthly'!DE5-INDEX('Venture Assumptions'!$J$6:$J$40,MATCH($B$2,'Venture Assumptions'!$I$6:$I$40,0)),Waterfalls!$E$5:$EG$5,0)),0)</f>
        <v>0</v>
      </c>
      <c r="DF174" s="798">
        <f>IFERROR((DF170&gt;0)*INDEX(Waterfalls!$E$152:$EG$152,MATCH('Venture Summary - Mthly'!DF5-INDEX('Venture Assumptions'!$J$6:$J$40,MATCH($B$2,'Venture Assumptions'!$I$6:$I$40,0)),Waterfalls!$E$5:$EG$5,0)),0)</f>
        <v>0</v>
      </c>
      <c r="DG174" s="798">
        <f>IFERROR((DG170&gt;0)*INDEX(Waterfalls!$E$152:$EG$152,MATCH('Venture Summary - Mthly'!DG5-INDEX('Venture Assumptions'!$J$6:$J$40,MATCH($B$2,'Venture Assumptions'!$I$6:$I$40,0)),Waterfalls!$E$5:$EG$5,0)),0)</f>
        <v>0</v>
      </c>
      <c r="DH174" s="798">
        <f>IFERROR((DH170&gt;0)*INDEX(Waterfalls!$E$152:$EG$152,MATCH('Venture Summary - Mthly'!DH5-INDEX('Venture Assumptions'!$J$6:$J$40,MATCH($B$2,'Venture Assumptions'!$I$6:$I$40,0)),Waterfalls!$E$5:$EG$5,0)),0)</f>
        <v>0</v>
      </c>
      <c r="DI174" s="798">
        <f>IFERROR((DI170&gt;0)*INDEX(Waterfalls!$E$152:$EG$152,MATCH('Venture Summary - Mthly'!DI5-INDEX('Venture Assumptions'!$J$6:$J$40,MATCH($B$2,'Venture Assumptions'!$I$6:$I$40,0)),Waterfalls!$E$5:$EG$5,0)),0)</f>
        <v>0</v>
      </c>
      <c r="DJ174" s="798">
        <f>IFERROR((DJ170&gt;0)*INDEX(Waterfalls!$E$152:$EG$152,MATCH('Venture Summary - Mthly'!DJ5-INDEX('Venture Assumptions'!$J$6:$J$40,MATCH($B$2,'Venture Assumptions'!$I$6:$I$40,0)),Waterfalls!$E$5:$EG$5,0)),0)</f>
        <v>0</v>
      </c>
      <c r="DK174" s="798">
        <f>IFERROR((DK170&gt;0)*INDEX(Waterfalls!$E$152:$EG$152,MATCH('Venture Summary - Mthly'!DK5-INDEX('Venture Assumptions'!$J$6:$J$40,MATCH($B$2,'Venture Assumptions'!$I$6:$I$40,0)),Waterfalls!$E$5:$EG$5,0)),0)</f>
        <v>0</v>
      </c>
      <c r="DL174" s="798">
        <f>IFERROR((DL170&gt;0)*INDEX(Waterfalls!$E$152:$EG$152,MATCH('Venture Summary - Mthly'!DL5-INDEX('Venture Assumptions'!$J$6:$J$40,MATCH($B$2,'Venture Assumptions'!$I$6:$I$40,0)),Waterfalls!$E$5:$EG$5,0)),0)</f>
        <v>0</v>
      </c>
      <c r="DM174" s="798">
        <f>IFERROR((DM170&gt;0)*INDEX(Waterfalls!$E$152:$EG$152,MATCH('Venture Summary - Mthly'!DM5-INDEX('Venture Assumptions'!$J$6:$J$40,MATCH($B$2,'Venture Assumptions'!$I$6:$I$40,0)),Waterfalls!$E$5:$EG$5,0)),0)</f>
        <v>0</v>
      </c>
      <c r="DN174" s="798">
        <f>IFERROR((DN170&gt;0)*INDEX(Waterfalls!$E$152:$EG$152,MATCH('Venture Summary - Mthly'!DN5-INDEX('Venture Assumptions'!$J$6:$J$40,MATCH($B$2,'Venture Assumptions'!$I$6:$I$40,0)),Waterfalls!$E$5:$EG$5,0)),0)</f>
        <v>0</v>
      </c>
      <c r="DO174" s="798">
        <f>IFERROR((DO170&gt;0)*INDEX(Waterfalls!$E$152:$EG$152,MATCH('Venture Summary - Mthly'!DO5-INDEX('Venture Assumptions'!$J$6:$J$40,MATCH($B$2,'Venture Assumptions'!$I$6:$I$40,0)),Waterfalls!$E$5:$EG$5,0)),0)</f>
        <v>0</v>
      </c>
      <c r="DP174" s="798">
        <f>IFERROR((DP170&gt;0)*INDEX(Waterfalls!$E$152:$EG$152,MATCH('Venture Summary - Mthly'!DP5-INDEX('Venture Assumptions'!$J$6:$J$40,MATCH($B$2,'Venture Assumptions'!$I$6:$I$40,0)),Waterfalls!$E$5:$EG$5,0)),0)</f>
        <v>0</v>
      </c>
      <c r="DQ174" s="798">
        <f>IFERROR((DQ170&gt;0)*INDEX(Waterfalls!$E$152:$EG$152,MATCH('Venture Summary - Mthly'!DQ5-INDEX('Venture Assumptions'!$J$6:$J$40,MATCH($B$2,'Venture Assumptions'!$I$6:$I$40,0)),Waterfalls!$E$5:$EG$5,0)),0)</f>
        <v>0</v>
      </c>
      <c r="DR174" s="798">
        <f>IFERROR((DR170&gt;0)*INDEX(Waterfalls!$E$152:$EG$152,MATCH('Venture Summary - Mthly'!DR5-INDEX('Venture Assumptions'!$J$6:$J$40,MATCH($B$2,'Venture Assumptions'!$I$6:$I$40,0)),Waterfalls!$E$5:$EG$5,0)),0)</f>
        <v>0</v>
      </c>
      <c r="DS174" s="798">
        <f>IFERROR((DS170&gt;0)*INDEX(Waterfalls!$E$152:$EG$152,MATCH('Venture Summary - Mthly'!DS5-INDEX('Venture Assumptions'!$J$6:$J$40,MATCH($B$2,'Venture Assumptions'!$I$6:$I$40,0)),Waterfalls!$E$5:$EG$5,0)),0)</f>
        <v>0</v>
      </c>
      <c r="DT174" s="798">
        <f>IFERROR((DT170&gt;0)*INDEX(Waterfalls!$E$152:$EG$152,MATCH('Venture Summary - Mthly'!DT5-INDEX('Venture Assumptions'!$J$6:$J$40,MATCH($B$2,'Venture Assumptions'!$I$6:$I$40,0)),Waterfalls!$E$5:$EG$5,0)),0)</f>
        <v>0</v>
      </c>
      <c r="DU174" s="798">
        <f>IFERROR((DU170&gt;0)*INDEX(Waterfalls!$E$152:$EG$152,MATCH('Venture Summary - Mthly'!DU5-INDEX('Venture Assumptions'!$J$6:$J$40,MATCH($B$2,'Venture Assumptions'!$I$6:$I$40,0)),Waterfalls!$E$5:$EG$5,0)),0)</f>
        <v>0</v>
      </c>
      <c r="DV174" s="798">
        <f>IFERROR((DV170&gt;0)*INDEX(Waterfalls!$E$152:$EG$152,MATCH('Venture Summary - Mthly'!DV5-INDEX('Venture Assumptions'!$J$6:$J$40,MATCH($B$2,'Venture Assumptions'!$I$6:$I$40,0)),Waterfalls!$E$5:$EG$5,0)),0)</f>
        <v>0</v>
      </c>
      <c r="DW174" s="798">
        <f>IFERROR((DW170&gt;0)*INDEX(Waterfalls!$E$152:$EG$152,MATCH('Venture Summary - Mthly'!DW5-INDEX('Venture Assumptions'!$J$6:$J$40,MATCH($B$2,'Venture Assumptions'!$I$6:$I$40,0)),Waterfalls!$E$5:$EG$5,0)),0)</f>
        <v>0</v>
      </c>
      <c r="DX174" s="798">
        <f>IFERROR((DX170&gt;0)*INDEX(Waterfalls!$E$152:$EG$152,MATCH('Venture Summary - Mthly'!DX5-INDEX('Venture Assumptions'!$J$6:$J$40,MATCH($B$2,'Venture Assumptions'!$I$6:$I$40,0)),Waterfalls!$E$5:$EG$5,0)),0)</f>
        <v>0</v>
      </c>
      <c r="DY174" s="798">
        <f>IFERROR((DY170&gt;0)*INDEX(Waterfalls!$E$152:$EG$152,MATCH('Venture Summary - Mthly'!DY5-INDEX('Venture Assumptions'!$J$6:$J$40,MATCH($B$2,'Venture Assumptions'!$I$6:$I$40,0)),Waterfalls!$E$5:$EG$5,0)),0)</f>
        <v>0</v>
      </c>
      <c r="DZ174" s="798">
        <f>IFERROR((DZ170&gt;0)*INDEX(Waterfalls!$E$152:$EG$152,MATCH('Venture Summary - Mthly'!DZ5-INDEX('Venture Assumptions'!$J$6:$J$40,MATCH($B$2,'Venture Assumptions'!$I$6:$I$40,0)),Waterfalls!$E$5:$EG$5,0)),0)</f>
        <v>0</v>
      </c>
      <c r="EA174" s="798">
        <f>IFERROR((EA170&gt;0)*INDEX(Waterfalls!$E$152:$EG$152,MATCH('Venture Summary - Mthly'!EA5-INDEX('Venture Assumptions'!$J$6:$J$40,MATCH($B$2,'Venture Assumptions'!$I$6:$I$40,0)),Waterfalls!$E$5:$EG$5,0)),0)</f>
        <v>0</v>
      </c>
      <c r="EB174" s="798">
        <f>IFERROR((EB170&gt;0)*INDEX(Waterfalls!$E$152:$EG$152,MATCH('Venture Summary - Mthly'!EB5-INDEX('Venture Assumptions'!$J$6:$J$40,MATCH($B$2,'Venture Assumptions'!$I$6:$I$40,0)),Waterfalls!$E$5:$EG$5,0)),0)</f>
        <v>0</v>
      </c>
      <c r="EC174" s="798">
        <f>IFERROR((EC170&gt;0)*INDEX(Waterfalls!$E$152:$EG$152,MATCH('Venture Summary - Mthly'!EC5-INDEX('Venture Assumptions'!$J$6:$J$40,MATCH($B$2,'Venture Assumptions'!$I$6:$I$40,0)),Waterfalls!$E$5:$EG$5,0)),0)</f>
        <v>0</v>
      </c>
      <c r="ED174" s="798">
        <f>IFERROR((ED170&gt;0)*INDEX(Waterfalls!$E$152:$EG$152,MATCH('Venture Summary - Mthly'!ED5-INDEX('Venture Assumptions'!$J$6:$J$40,MATCH($B$2,'Venture Assumptions'!$I$6:$I$40,0)),Waterfalls!$E$5:$EG$5,0)),0)</f>
        <v>0</v>
      </c>
      <c r="EE174" s="798">
        <f>IFERROR((EE170&gt;0)*INDEX(Waterfalls!$E$152:$EG$152,MATCH('Venture Summary - Mthly'!EE5-INDEX('Venture Assumptions'!$J$6:$J$40,MATCH($B$2,'Venture Assumptions'!$I$6:$I$40,0)),Waterfalls!$E$5:$EG$5,0)),0)</f>
        <v>0</v>
      </c>
      <c r="EF174" s="798">
        <f>IFERROR((EF170&gt;0)*INDEX(Waterfalls!$E$152:$EG$152,MATCH('Venture Summary - Mthly'!EF5-INDEX('Venture Assumptions'!$J$6:$J$40,MATCH($B$2,'Venture Assumptions'!$I$6:$I$40,0)),Waterfalls!$E$5:$EG$5,0)),0)</f>
        <v>0</v>
      </c>
      <c r="EG174" s="798">
        <f>IFERROR((EG170&gt;0)*INDEX(Waterfalls!$E$152:$EG$152,MATCH('Venture Summary - Mthly'!EG5-INDEX('Venture Assumptions'!$J$6:$J$40,MATCH($B$2,'Venture Assumptions'!$I$6:$I$40,0)),Waterfalls!$E$5:$EG$5,0)),0)</f>
        <v>0</v>
      </c>
      <c r="EH174" s="782"/>
    </row>
    <row r="175" spans="1:138" ht="12.75" customHeight="1" x14ac:dyDescent="0.3">
      <c r="A175" s="782"/>
      <c r="B175" s="782"/>
      <c r="C175" s="798"/>
      <c r="D175" s="782"/>
      <c r="E175" s="798"/>
      <c r="F175" s="808"/>
      <c r="G175" s="808"/>
      <c r="H175" s="808"/>
      <c r="I175" s="808"/>
      <c r="J175" s="808"/>
      <c r="K175" s="808"/>
      <c r="L175" s="808"/>
      <c r="M175" s="808"/>
      <c r="N175" s="808"/>
      <c r="O175" s="808"/>
      <c r="P175" s="808"/>
      <c r="Q175" s="808"/>
      <c r="R175" s="808"/>
      <c r="S175" s="808"/>
      <c r="T175" s="808"/>
      <c r="U175" s="808"/>
      <c r="V175" s="808"/>
      <c r="W175" s="808"/>
      <c r="X175" s="808"/>
      <c r="Y175" s="808"/>
      <c r="Z175" s="808"/>
      <c r="AA175" s="808"/>
      <c r="AB175" s="808"/>
      <c r="AC175" s="808"/>
      <c r="AD175" s="808"/>
      <c r="AE175" s="808"/>
      <c r="AF175" s="808"/>
      <c r="AG175" s="808"/>
      <c r="AH175" s="808"/>
      <c r="AI175" s="808"/>
      <c r="AJ175" s="808"/>
      <c r="AK175" s="808"/>
      <c r="AL175" s="808"/>
      <c r="AM175" s="808"/>
      <c r="AN175" s="808"/>
      <c r="AO175" s="808"/>
      <c r="AP175" s="808"/>
      <c r="AQ175" s="808"/>
      <c r="AR175" s="808"/>
      <c r="AS175" s="808"/>
      <c r="AT175" s="808"/>
      <c r="AU175" s="808"/>
      <c r="AV175" s="808"/>
      <c r="AW175" s="808"/>
      <c r="AX175" s="808"/>
      <c r="AY175" s="808"/>
      <c r="AZ175" s="808"/>
      <c r="BA175" s="808"/>
      <c r="BB175" s="808"/>
      <c r="BC175" s="808"/>
      <c r="BD175" s="808"/>
      <c r="BE175" s="808"/>
      <c r="BF175" s="808"/>
      <c r="BG175" s="808"/>
      <c r="BH175" s="808"/>
      <c r="BI175" s="808"/>
      <c r="BJ175" s="808"/>
      <c r="BK175" s="808"/>
      <c r="BL175" s="808"/>
      <c r="BM175" s="808"/>
      <c r="BN175" s="808"/>
      <c r="BO175" s="808"/>
      <c r="BP175" s="808"/>
      <c r="BQ175" s="808"/>
      <c r="BR175" s="808"/>
      <c r="BS175" s="808"/>
      <c r="BT175" s="808"/>
      <c r="BU175" s="808"/>
      <c r="BV175" s="808"/>
      <c r="BW175" s="808"/>
      <c r="BX175" s="808"/>
      <c r="BY175" s="808"/>
      <c r="BZ175" s="808"/>
      <c r="CA175" s="808"/>
      <c r="CB175" s="808"/>
      <c r="CC175" s="808"/>
      <c r="CD175" s="808"/>
      <c r="CE175" s="808"/>
      <c r="CF175" s="808"/>
      <c r="CG175" s="808"/>
      <c r="CH175" s="808"/>
      <c r="CI175" s="808"/>
      <c r="CJ175" s="808"/>
      <c r="CK175" s="808"/>
      <c r="CL175" s="808"/>
      <c r="CM175" s="808"/>
      <c r="CN175" s="808"/>
      <c r="CO175" s="808"/>
      <c r="CP175" s="808"/>
      <c r="CQ175" s="808"/>
      <c r="CR175" s="808"/>
      <c r="CS175" s="808"/>
      <c r="CT175" s="808"/>
      <c r="CU175" s="808"/>
      <c r="CV175" s="808"/>
      <c r="CW175" s="808"/>
      <c r="CX175" s="808"/>
      <c r="CY175" s="808"/>
      <c r="CZ175" s="808"/>
      <c r="DA175" s="808"/>
      <c r="DB175" s="808"/>
      <c r="DC175" s="808"/>
      <c r="DD175" s="808"/>
      <c r="DE175" s="808"/>
      <c r="DF175" s="808"/>
      <c r="DG175" s="808"/>
      <c r="DH175" s="808"/>
      <c r="DI175" s="808"/>
      <c r="DJ175" s="808"/>
      <c r="DK175" s="808"/>
      <c r="DL175" s="808"/>
      <c r="DM175" s="808"/>
      <c r="DN175" s="808"/>
      <c r="DO175" s="808"/>
      <c r="DP175" s="808"/>
      <c r="DQ175" s="808"/>
      <c r="DR175" s="808"/>
      <c r="DS175" s="808"/>
      <c r="DT175" s="808"/>
      <c r="DU175" s="808"/>
      <c r="DV175" s="808"/>
      <c r="DW175" s="808"/>
      <c r="DX175" s="808"/>
      <c r="DY175" s="808"/>
      <c r="DZ175" s="808"/>
      <c r="EA175" s="808"/>
      <c r="EB175" s="808"/>
      <c r="EC175" s="808"/>
      <c r="ED175" s="808"/>
      <c r="EE175" s="808"/>
      <c r="EF175" s="808"/>
      <c r="EG175" s="808"/>
      <c r="EH175" s="782"/>
    </row>
    <row r="176" spans="1:138" ht="12.75" customHeight="1" x14ac:dyDescent="0.3">
      <c r="A176" s="782"/>
      <c r="B176" s="782" t="s">
        <v>105</v>
      </c>
      <c r="C176" s="798"/>
      <c r="D176" s="782"/>
      <c r="E176" s="798">
        <f>IF(E172&lt;0,1,0)</f>
        <v>0</v>
      </c>
      <c r="F176" s="798">
        <f t="shared" ref="F176:BQ176" si="142">IF(F172&lt;0,1,0)</f>
        <v>0</v>
      </c>
      <c r="G176" s="798">
        <f t="shared" si="142"/>
        <v>0</v>
      </c>
      <c r="H176" s="798">
        <f t="shared" si="142"/>
        <v>0</v>
      </c>
      <c r="I176" s="798">
        <f t="shared" si="142"/>
        <v>0</v>
      </c>
      <c r="J176" s="798">
        <f t="shared" si="142"/>
        <v>0</v>
      </c>
      <c r="K176" s="798">
        <f t="shared" si="142"/>
        <v>0</v>
      </c>
      <c r="L176" s="798">
        <f t="shared" si="142"/>
        <v>0</v>
      </c>
      <c r="M176" s="798">
        <f t="shared" si="142"/>
        <v>0</v>
      </c>
      <c r="N176" s="798">
        <f t="shared" si="142"/>
        <v>0</v>
      </c>
      <c r="O176" s="798">
        <f t="shared" si="142"/>
        <v>0</v>
      </c>
      <c r="P176" s="798">
        <f t="shared" si="142"/>
        <v>0</v>
      </c>
      <c r="Q176" s="798">
        <f t="shared" si="142"/>
        <v>0</v>
      </c>
      <c r="R176" s="798">
        <f t="shared" si="142"/>
        <v>0</v>
      </c>
      <c r="S176" s="798">
        <f t="shared" si="142"/>
        <v>0</v>
      </c>
      <c r="T176" s="798">
        <f t="shared" si="142"/>
        <v>0</v>
      </c>
      <c r="U176" s="798">
        <f t="shared" si="142"/>
        <v>0</v>
      </c>
      <c r="V176" s="798">
        <f t="shared" si="142"/>
        <v>0</v>
      </c>
      <c r="W176" s="798">
        <f t="shared" si="142"/>
        <v>0</v>
      </c>
      <c r="X176" s="798">
        <f t="shared" si="142"/>
        <v>0</v>
      </c>
      <c r="Y176" s="798">
        <f t="shared" si="142"/>
        <v>0</v>
      </c>
      <c r="Z176" s="798">
        <f t="shared" si="142"/>
        <v>0</v>
      </c>
      <c r="AA176" s="798">
        <f t="shared" si="142"/>
        <v>0</v>
      </c>
      <c r="AB176" s="798">
        <f t="shared" si="142"/>
        <v>0</v>
      </c>
      <c r="AC176" s="798">
        <f t="shared" si="142"/>
        <v>0</v>
      </c>
      <c r="AD176" s="798">
        <f t="shared" si="142"/>
        <v>0</v>
      </c>
      <c r="AE176" s="798">
        <f t="shared" si="142"/>
        <v>0</v>
      </c>
      <c r="AF176" s="798">
        <f t="shared" si="142"/>
        <v>0</v>
      </c>
      <c r="AG176" s="798">
        <f t="shared" si="142"/>
        <v>0</v>
      </c>
      <c r="AH176" s="798">
        <f t="shared" si="142"/>
        <v>0</v>
      </c>
      <c r="AI176" s="798">
        <f t="shared" si="142"/>
        <v>0</v>
      </c>
      <c r="AJ176" s="798">
        <f t="shared" si="142"/>
        <v>0</v>
      </c>
      <c r="AK176" s="798">
        <f t="shared" si="142"/>
        <v>0</v>
      </c>
      <c r="AL176" s="798">
        <f t="shared" si="142"/>
        <v>1</v>
      </c>
      <c r="AM176" s="798">
        <f t="shared" si="142"/>
        <v>0</v>
      </c>
      <c r="AN176" s="798">
        <f t="shared" si="142"/>
        <v>0</v>
      </c>
      <c r="AO176" s="798">
        <f t="shared" si="142"/>
        <v>0</v>
      </c>
      <c r="AP176" s="798">
        <f t="shared" si="142"/>
        <v>0</v>
      </c>
      <c r="AQ176" s="798">
        <f t="shared" si="142"/>
        <v>0</v>
      </c>
      <c r="AR176" s="798">
        <f t="shared" si="142"/>
        <v>0</v>
      </c>
      <c r="AS176" s="798">
        <f t="shared" si="142"/>
        <v>0</v>
      </c>
      <c r="AT176" s="798">
        <f t="shared" si="142"/>
        <v>0</v>
      </c>
      <c r="AU176" s="798">
        <f t="shared" si="142"/>
        <v>0</v>
      </c>
      <c r="AV176" s="798">
        <f t="shared" si="142"/>
        <v>0</v>
      </c>
      <c r="AW176" s="798">
        <f t="shared" si="142"/>
        <v>0</v>
      </c>
      <c r="AX176" s="798">
        <f t="shared" si="142"/>
        <v>0</v>
      </c>
      <c r="AY176" s="798">
        <f t="shared" si="142"/>
        <v>0</v>
      </c>
      <c r="AZ176" s="798">
        <f t="shared" si="142"/>
        <v>0</v>
      </c>
      <c r="BA176" s="798">
        <f t="shared" si="142"/>
        <v>0</v>
      </c>
      <c r="BB176" s="798">
        <f t="shared" si="142"/>
        <v>0</v>
      </c>
      <c r="BC176" s="798">
        <f t="shared" si="142"/>
        <v>0</v>
      </c>
      <c r="BD176" s="798">
        <f t="shared" si="142"/>
        <v>0</v>
      </c>
      <c r="BE176" s="798">
        <f t="shared" si="142"/>
        <v>0</v>
      </c>
      <c r="BF176" s="798">
        <f t="shared" si="142"/>
        <v>0</v>
      </c>
      <c r="BG176" s="798">
        <f t="shared" si="142"/>
        <v>0</v>
      </c>
      <c r="BH176" s="798">
        <f t="shared" si="142"/>
        <v>0</v>
      </c>
      <c r="BI176" s="798">
        <f t="shared" si="142"/>
        <v>0</v>
      </c>
      <c r="BJ176" s="798">
        <f t="shared" si="142"/>
        <v>0</v>
      </c>
      <c r="BK176" s="798">
        <f t="shared" si="142"/>
        <v>0</v>
      </c>
      <c r="BL176" s="798">
        <f t="shared" si="142"/>
        <v>0</v>
      </c>
      <c r="BM176" s="798">
        <f t="shared" si="142"/>
        <v>0</v>
      </c>
      <c r="BN176" s="798">
        <f t="shared" si="142"/>
        <v>0</v>
      </c>
      <c r="BO176" s="798">
        <f t="shared" si="142"/>
        <v>0</v>
      </c>
      <c r="BP176" s="798">
        <f t="shared" si="142"/>
        <v>0</v>
      </c>
      <c r="BQ176" s="798">
        <f t="shared" si="142"/>
        <v>0</v>
      </c>
      <c r="BR176" s="798">
        <f t="shared" ref="BR176:EC176" si="143">IF(BR172&lt;0,1,0)</f>
        <v>0</v>
      </c>
      <c r="BS176" s="798">
        <f t="shared" si="143"/>
        <v>0</v>
      </c>
      <c r="BT176" s="798">
        <f t="shared" si="143"/>
        <v>0</v>
      </c>
      <c r="BU176" s="798">
        <f t="shared" si="143"/>
        <v>0</v>
      </c>
      <c r="BV176" s="798">
        <f t="shared" si="143"/>
        <v>0</v>
      </c>
      <c r="BW176" s="798">
        <f t="shared" si="143"/>
        <v>0</v>
      </c>
      <c r="BX176" s="798">
        <f t="shared" si="143"/>
        <v>0</v>
      </c>
      <c r="BY176" s="798">
        <f t="shared" si="143"/>
        <v>0</v>
      </c>
      <c r="BZ176" s="798">
        <f t="shared" si="143"/>
        <v>0</v>
      </c>
      <c r="CA176" s="798">
        <f t="shared" si="143"/>
        <v>0</v>
      </c>
      <c r="CB176" s="798">
        <f t="shared" si="143"/>
        <v>0</v>
      </c>
      <c r="CC176" s="798">
        <f t="shared" si="143"/>
        <v>0</v>
      </c>
      <c r="CD176" s="798">
        <f t="shared" si="143"/>
        <v>0</v>
      </c>
      <c r="CE176" s="798">
        <f t="shared" si="143"/>
        <v>0</v>
      </c>
      <c r="CF176" s="798">
        <f t="shared" si="143"/>
        <v>0</v>
      </c>
      <c r="CG176" s="798">
        <f t="shared" si="143"/>
        <v>0</v>
      </c>
      <c r="CH176" s="798">
        <f t="shared" si="143"/>
        <v>0</v>
      </c>
      <c r="CI176" s="798">
        <f t="shared" si="143"/>
        <v>0</v>
      </c>
      <c r="CJ176" s="798">
        <f t="shared" si="143"/>
        <v>0</v>
      </c>
      <c r="CK176" s="798">
        <f t="shared" si="143"/>
        <v>0</v>
      </c>
      <c r="CL176" s="798">
        <f t="shared" si="143"/>
        <v>0</v>
      </c>
      <c r="CM176" s="798">
        <f t="shared" si="143"/>
        <v>0</v>
      </c>
      <c r="CN176" s="798">
        <f t="shared" si="143"/>
        <v>0</v>
      </c>
      <c r="CO176" s="798">
        <f t="shared" si="143"/>
        <v>0</v>
      </c>
      <c r="CP176" s="798">
        <f t="shared" si="143"/>
        <v>0</v>
      </c>
      <c r="CQ176" s="798">
        <f t="shared" si="143"/>
        <v>0</v>
      </c>
      <c r="CR176" s="798">
        <f t="shared" si="143"/>
        <v>0</v>
      </c>
      <c r="CS176" s="798">
        <f t="shared" si="143"/>
        <v>0</v>
      </c>
      <c r="CT176" s="798">
        <f t="shared" si="143"/>
        <v>0</v>
      </c>
      <c r="CU176" s="798">
        <f t="shared" si="143"/>
        <v>0</v>
      </c>
      <c r="CV176" s="798">
        <f t="shared" si="143"/>
        <v>0</v>
      </c>
      <c r="CW176" s="798">
        <f t="shared" si="143"/>
        <v>0</v>
      </c>
      <c r="CX176" s="798">
        <f t="shared" si="143"/>
        <v>0</v>
      </c>
      <c r="CY176" s="798">
        <f t="shared" si="143"/>
        <v>0</v>
      </c>
      <c r="CZ176" s="798">
        <f t="shared" si="143"/>
        <v>0</v>
      </c>
      <c r="DA176" s="798">
        <f t="shared" si="143"/>
        <v>0</v>
      </c>
      <c r="DB176" s="798">
        <f t="shared" si="143"/>
        <v>0</v>
      </c>
      <c r="DC176" s="798">
        <f t="shared" si="143"/>
        <v>0</v>
      </c>
      <c r="DD176" s="798">
        <f t="shared" si="143"/>
        <v>0</v>
      </c>
      <c r="DE176" s="798">
        <f t="shared" si="143"/>
        <v>0</v>
      </c>
      <c r="DF176" s="798">
        <f t="shared" si="143"/>
        <v>0</v>
      </c>
      <c r="DG176" s="798">
        <f t="shared" si="143"/>
        <v>0</v>
      </c>
      <c r="DH176" s="798">
        <f t="shared" si="143"/>
        <v>0</v>
      </c>
      <c r="DI176" s="798">
        <f t="shared" si="143"/>
        <v>0</v>
      </c>
      <c r="DJ176" s="798">
        <f t="shared" si="143"/>
        <v>0</v>
      </c>
      <c r="DK176" s="798">
        <f t="shared" si="143"/>
        <v>0</v>
      </c>
      <c r="DL176" s="798">
        <f t="shared" si="143"/>
        <v>0</v>
      </c>
      <c r="DM176" s="798">
        <f t="shared" si="143"/>
        <v>0</v>
      </c>
      <c r="DN176" s="798">
        <f t="shared" si="143"/>
        <v>0</v>
      </c>
      <c r="DO176" s="798">
        <f t="shared" si="143"/>
        <v>0</v>
      </c>
      <c r="DP176" s="798">
        <f t="shared" si="143"/>
        <v>0</v>
      </c>
      <c r="DQ176" s="798">
        <f t="shared" si="143"/>
        <v>0</v>
      </c>
      <c r="DR176" s="798">
        <f t="shared" si="143"/>
        <v>0</v>
      </c>
      <c r="DS176" s="798">
        <f t="shared" si="143"/>
        <v>0</v>
      </c>
      <c r="DT176" s="798">
        <f t="shared" si="143"/>
        <v>0</v>
      </c>
      <c r="DU176" s="798">
        <f t="shared" si="143"/>
        <v>0</v>
      </c>
      <c r="DV176" s="798">
        <f t="shared" si="143"/>
        <v>0</v>
      </c>
      <c r="DW176" s="798">
        <f t="shared" si="143"/>
        <v>0</v>
      </c>
      <c r="DX176" s="798">
        <f t="shared" si="143"/>
        <v>0</v>
      </c>
      <c r="DY176" s="798">
        <f t="shared" si="143"/>
        <v>0</v>
      </c>
      <c r="DZ176" s="798">
        <f t="shared" si="143"/>
        <v>0</v>
      </c>
      <c r="EA176" s="798">
        <f t="shared" si="143"/>
        <v>0</v>
      </c>
      <c r="EB176" s="798">
        <f t="shared" si="143"/>
        <v>0</v>
      </c>
      <c r="EC176" s="798">
        <f t="shared" si="143"/>
        <v>0</v>
      </c>
      <c r="ED176" s="798">
        <f>IF(ED172&lt;0,1,0)</f>
        <v>0</v>
      </c>
      <c r="EE176" s="798">
        <f>IF(EE172&lt;0,1,0)</f>
        <v>0</v>
      </c>
      <c r="EF176" s="798">
        <f>IF(EF172&lt;0,1,0)</f>
        <v>0</v>
      </c>
      <c r="EG176" s="798">
        <f>IF(EG172&lt;0,1,0)</f>
        <v>0</v>
      </c>
      <c r="EH176" s="782"/>
    </row>
    <row r="177" spans="1:138" ht="12.75" customHeight="1" x14ac:dyDescent="0.3">
      <c r="A177" s="782"/>
      <c r="B177" s="782"/>
      <c r="C177" s="798"/>
      <c r="D177" s="782"/>
      <c r="E177" s="798"/>
      <c r="F177" s="808"/>
      <c r="G177" s="808"/>
      <c r="H177" s="808"/>
      <c r="I177" s="808"/>
      <c r="J177" s="808"/>
      <c r="K177" s="808"/>
      <c r="L177" s="808"/>
      <c r="M177" s="808"/>
      <c r="N177" s="808"/>
      <c r="O177" s="808"/>
      <c r="P177" s="808"/>
      <c r="Q177" s="808"/>
      <c r="R177" s="808"/>
      <c r="S177" s="808"/>
      <c r="T177" s="808"/>
      <c r="U177" s="808"/>
      <c r="V177" s="808"/>
      <c r="W177" s="808"/>
      <c r="X177" s="808"/>
      <c r="Y177" s="808"/>
      <c r="Z177" s="808"/>
      <c r="AA177" s="808"/>
      <c r="AB177" s="808"/>
      <c r="AC177" s="808"/>
      <c r="AD177" s="808"/>
      <c r="AE177" s="808"/>
      <c r="AF177" s="808"/>
      <c r="AG177" s="808"/>
      <c r="AH177" s="808"/>
      <c r="AI177" s="808"/>
      <c r="AJ177" s="808"/>
      <c r="AK177" s="808"/>
      <c r="AL177" s="808"/>
      <c r="AM177" s="808"/>
      <c r="AN177" s="808"/>
      <c r="AO177" s="808"/>
      <c r="AP177" s="808"/>
      <c r="AQ177" s="808"/>
      <c r="AR177" s="808"/>
      <c r="AS177" s="808"/>
      <c r="AT177" s="808"/>
      <c r="AU177" s="808"/>
      <c r="AV177" s="808"/>
      <c r="AW177" s="808"/>
      <c r="AX177" s="808"/>
      <c r="AY177" s="808"/>
      <c r="AZ177" s="808"/>
      <c r="BA177" s="808"/>
      <c r="BB177" s="808"/>
      <c r="BC177" s="808"/>
      <c r="BD177" s="808"/>
      <c r="BE177" s="808"/>
      <c r="BF177" s="808"/>
      <c r="BG177" s="808"/>
      <c r="BH177" s="808"/>
      <c r="BI177" s="808"/>
      <c r="BJ177" s="808"/>
      <c r="BK177" s="808"/>
      <c r="BL177" s="808"/>
      <c r="BM177" s="808"/>
      <c r="BN177" s="808"/>
      <c r="BO177" s="808"/>
      <c r="BP177" s="808"/>
      <c r="BQ177" s="808"/>
      <c r="BR177" s="808"/>
      <c r="BS177" s="808"/>
      <c r="BT177" s="808"/>
      <c r="BU177" s="808"/>
      <c r="BV177" s="808"/>
      <c r="BW177" s="808"/>
      <c r="BX177" s="808"/>
      <c r="BY177" s="808"/>
      <c r="BZ177" s="808"/>
      <c r="CA177" s="808"/>
      <c r="CB177" s="808"/>
      <c r="CC177" s="808"/>
      <c r="CD177" s="808"/>
      <c r="CE177" s="808"/>
      <c r="CF177" s="808"/>
      <c r="CG177" s="808"/>
      <c r="CH177" s="808"/>
      <c r="CI177" s="808"/>
      <c r="CJ177" s="808"/>
      <c r="CK177" s="808"/>
      <c r="CL177" s="808"/>
      <c r="CM177" s="808"/>
      <c r="CN177" s="808"/>
      <c r="CO177" s="808"/>
      <c r="CP177" s="808"/>
      <c r="CQ177" s="808"/>
      <c r="CR177" s="808"/>
      <c r="CS177" s="808"/>
      <c r="CT177" s="808"/>
      <c r="CU177" s="808"/>
      <c r="CV177" s="808"/>
      <c r="CW177" s="808"/>
      <c r="CX177" s="808"/>
      <c r="CY177" s="808"/>
      <c r="CZ177" s="808"/>
      <c r="DA177" s="808"/>
      <c r="DB177" s="808"/>
      <c r="DC177" s="808"/>
      <c r="DD177" s="808"/>
      <c r="DE177" s="808"/>
      <c r="DF177" s="808"/>
      <c r="DG177" s="808"/>
      <c r="DH177" s="808"/>
      <c r="DI177" s="808"/>
      <c r="DJ177" s="808"/>
      <c r="DK177" s="808"/>
      <c r="DL177" s="808"/>
      <c r="DM177" s="808"/>
      <c r="DN177" s="808"/>
      <c r="DO177" s="808"/>
      <c r="DP177" s="808"/>
      <c r="DQ177" s="808"/>
      <c r="DR177" s="808"/>
      <c r="DS177" s="808"/>
      <c r="DT177" s="808"/>
      <c r="DU177" s="808"/>
      <c r="DV177" s="808"/>
      <c r="DW177" s="808"/>
      <c r="DX177" s="808"/>
      <c r="DY177" s="808"/>
      <c r="DZ177" s="808"/>
      <c r="EA177" s="808"/>
      <c r="EB177" s="808"/>
      <c r="EC177" s="808"/>
      <c r="ED177" s="808"/>
      <c r="EE177" s="808"/>
      <c r="EF177" s="808"/>
      <c r="EG177" s="808"/>
      <c r="EH177" s="782"/>
    </row>
    <row r="178" spans="1:138" ht="12.75" customHeight="1" x14ac:dyDescent="0.3">
      <c r="A178" s="782"/>
      <c r="B178" s="781" t="s">
        <v>106</v>
      </c>
      <c r="C178" s="799"/>
      <c r="D178" s="781"/>
      <c r="E178" s="799">
        <v>0</v>
      </c>
      <c r="F178" s="799">
        <f>E181</f>
        <v>0</v>
      </c>
      <c r="G178" s="799">
        <f t="shared" ref="G178:BR178" si="144">F181</f>
        <v>0</v>
      </c>
      <c r="H178" s="799">
        <f t="shared" si="144"/>
        <v>0</v>
      </c>
      <c r="I178" s="799">
        <f t="shared" si="144"/>
        <v>0</v>
      </c>
      <c r="J178" s="799">
        <f t="shared" si="144"/>
        <v>0</v>
      </c>
      <c r="K178" s="799">
        <f t="shared" si="144"/>
        <v>0</v>
      </c>
      <c r="L178" s="799">
        <f t="shared" si="144"/>
        <v>0</v>
      </c>
      <c r="M178" s="799">
        <f t="shared" si="144"/>
        <v>0</v>
      </c>
      <c r="N178" s="799">
        <f t="shared" si="144"/>
        <v>0</v>
      </c>
      <c r="O178" s="799">
        <f t="shared" si="144"/>
        <v>0</v>
      </c>
      <c r="P178" s="799">
        <f t="shared" si="144"/>
        <v>0</v>
      </c>
      <c r="Q178" s="799">
        <f t="shared" si="144"/>
        <v>0</v>
      </c>
      <c r="R178" s="799">
        <f t="shared" si="144"/>
        <v>0</v>
      </c>
      <c r="S178" s="799">
        <f t="shared" si="144"/>
        <v>0</v>
      </c>
      <c r="T178" s="799">
        <f t="shared" si="144"/>
        <v>0</v>
      </c>
      <c r="U178" s="799">
        <f t="shared" si="144"/>
        <v>0</v>
      </c>
      <c r="V178" s="799">
        <f t="shared" si="144"/>
        <v>0</v>
      </c>
      <c r="W178" s="799">
        <f t="shared" si="144"/>
        <v>0</v>
      </c>
      <c r="X178" s="799">
        <f t="shared" si="144"/>
        <v>0</v>
      </c>
      <c r="Y178" s="799">
        <f t="shared" si="144"/>
        <v>0</v>
      </c>
      <c r="Z178" s="799">
        <f t="shared" si="144"/>
        <v>0</v>
      </c>
      <c r="AA178" s="799">
        <f t="shared" si="144"/>
        <v>0</v>
      </c>
      <c r="AB178" s="799">
        <f t="shared" si="144"/>
        <v>0</v>
      </c>
      <c r="AC178" s="799">
        <f t="shared" si="144"/>
        <v>0</v>
      </c>
      <c r="AD178" s="799">
        <f t="shared" si="144"/>
        <v>0</v>
      </c>
      <c r="AE178" s="799">
        <f t="shared" si="144"/>
        <v>0</v>
      </c>
      <c r="AF178" s="799">
        <f t="shared" si="144"/>
        <v>0</v>
      </c>
      <c r="AG178" s="799">
        <f t="shared" si="144"/>
        <v>0</v>
      </c>
      <c r="AH178" s="799">
        <f t="shared" si="144"/>
        <v>0</v>
      </c>
      <c r="AI178" s="799">
        <f t="shared" si="144"/>
        <v>0</v>
      </c>
      <c r="AJ178" s="799">
        <f t="shared" si="144"/>
        <v>0</v>
      </c>
      <c r="AK178" s="799">
        <f t="shared" si="144"/>
        <v>0</v>
      </c>
      <c r="AL178" s="799">
        <f t="shared" si="144"/>
        <v>0</v>
      </c>
      <c r="AM178" s="799">
        <f t="shared" si="144"/>
        <v>57343611.907627545</v>
      </c>
      <c r="AN178" s="799">
        <f t="shared" si="144"/>
        <v>57343611.907627545</v>
      </c>
      <c r="AO178" s="799">
        <f t="shared" si="144"/>
        <v>57343611.907627545</v>
      </c>
      <c r="AP178" s="799">
        <f t="shared" si="144"/>
        <v>57343611.907627545</v>
      </c>
      <c r="AQ178" s="799">
        <f t="shared" si="144"/>
        <v>57343611.907627545</v>
      </c>
      <c r="AR178" s="799">
        <f t="shared" si="144"/>
        <v>57343611.907627545</v>
      </c>
      <c r="AS178" s="799">
        <f t="shared" si="144"/>
        <v>57343611.907627545</v>
      </c>
      <c r="AT178" s="799">
        <f t="shared" si="144"/>
        <v>57343611.907627545</v>
      </c>
      <c r="AU178" s="799">
        <f t="shared" si="144"/>
        <v>57343611.907627545</v>
      </c>
      <c r="AV178" s="799">
        <f t="shared" si="144"/>
        <v>57343611.907627545</v>
      </c>
      <c r="AW178" s="799">
        <f t="shared" si="144"/>
        <v>57343611.907627545</v>
      </c>
      <c r="AX178" s="799">
        <f t="shared" si="144"/>
        <v>57343611.907627545</v>
      </c>
      <c r="AY178" s="799">
        <f t="shared" si="144"/>
        <v>57343611.907627545</v>
      </c>
      <c r="AZ178" s="799">
        <f t="shared" si="144"/>
        <v>57343611.907627545</v>
      </c>
      <c r="BA178" s="799">
        <f>AZ181</f>
        <v>57343611.907627545</v>
      </c>
      <c r="BB178" s="799">
        <f t="shared" si="144"/>
        <v>57343611.907627545</v>
      </c>
      <c r="BC178" s="799">
        <f t="shared" si="144"/>
        <v>57343611.907627545</v>
      </c>
      <c r="BD178" s="799">
        <f t="shared" si="144"/>
        <v>57343611.907627545</v>
      </c>
      <c r="BE178" s="799">
        <f t="shared" si="144"/>
        <v>57343611.907627545</v>
      </c>
      <c r="BF178" s="799">
        <f t="shared" si="144"/>
        <v>57343611.907627545</v>
      </c>
      <c r="BG178" s="799">
        <f t="shared" si="144"/>
        <v>57343611.907627545</v>
      </c>
      <c r="BH178" s="799">
        <f t="shared" si="144"/>
        <v>57343611.907627545</v>
      </c>
      <c r="BI178" s="799">
        <f t="shared" si="144"/>
        <v>57343611.907627545</v>
      </c>
      <c r="BJ178" s="799">
        <f t="shared" si="144"/>
        <v>57343611.907627545</v>
      </c>
      <c r="BK178" s="799">
        <f t="shared" si="144"/>
        <v>57343611.907627545</v>
      </c>
      <c r="BL178" s="799">
        <f t="shared" si="144"/>
        <v>57343611.907627545</v>
      </c>
      <c r="BM178" s="799">
        <f t="shared" si="144"/>
        <v>57343611.907627545</v>
      </c>
      <c r="BN178" s="799">
        <f t="shared" si="144"/>
        <v>57343611.907627545</v>
      </c>
      <c r="BO178" s="799">
        <f t="shared" si="144"/>
        <v>57343611.907627545</v>
      </c>
      <c r="BP178" s="799">
        <f t="shared" si="144"/>
        <v>57343611.907627545</v>
      </c>
      <c r="BQ178" s="799">
        <f t="shared" si="144"/>
        <v>57343611.907627545</v>
      </c>
      <c r="BR178" s="799">
        <f t="shared" si="144"/>
        <v>57343611.907627545</v>
      </c>
      <c r="BS178" s="799">
        <f t="shared" ref="BS178:ED178" si="145">BR181</f>
        <v>57343611.907627545</v>
      </c>
      <c r="BT178" s="799">
        <f t="shared" si="145"/>
        <v>57343611.907627545</v>
      </c>
      <c r="BU178" s="799">
        <f t="shared" si="145"/>
        <v>57343611.907627545</v>
      </c>
      <c r="BV178" s="799">
        <f t="shared" si="145"/>
        <v>57343611.907627545</v>
      </c>
      <c r="BW178" s="799">
        <f t="shared" si="145"/>
        <v>57343611.907627545</v>
      </c>
      <c r="BX178" s="799">
        <f t="shared" si="145"/>
        <v>57343611.907627545</v>
      </c>
      <c r="BY178" s="799">
        <f t="shared" si="145"/>
        <v>57343611.907627545</v>
      </c>
      <c r="BZ178" s="799">
        <f t="shared" si="145"/>
        <v>57343611.907627545</v>
      </c>
      <c r="CA178" s="799">
        <f t="shared" si="145"/>
        <v>57343611.907627545</v>
      </c>
      <c r="CB178" s="799">
        <f t="shared" si="145"/>
        <v>57343611.907627545</v>
      </c>
      <c r="CC178" s="799">
        <f t="shared" si="145"/>
        <v>57343611.907627545</v>
      </c>
      <c r="CD178" s="799">
        <f t="shared" si="145"/>
        <v>57343611.907627545</v>
      </c>
      <c r="CE178" s="799">
        <f t="shared" si="145"/>
        <v>57343611.907627545</v>
      </c>
      <c r="CF178" s="799">
        <f t="shared" si="145"/>
        <v>57343611.907627545</v>
      </c>
      <c r="CG178" s="799">
        <f t="shared" si="145"/>
        <v>57343611.907627545</v>
      </c>
      <c r="CH178" s="799">
        <f t="shared" si="145"/>
        <v>57343611.907627545</v>
      </c>
      <c r="CI178" s="799">
        <f t="shared" si="145"/>
        <v>57343611.907627545</v>
      </c>
      <c r="CJ178" s="799">
        <f t="shared" si="145"/>
        <v>57343611.907627545</v>
      </c>
      <c r="CK178" s="799">
        <f t="shared" si="145"/>
        <v>57343611.907627545</v>
      </c>
      <c r="CL178" s="799">
        <f t="shared" si="145"/>
        <v>57343611.907627545</v>
      </c>
      <c r="CM178" s="799">
        <f t="shared" si="145"/>
        <v>57343611.907627545</v>
      </c>
      <c r="CN178" s="799">
        <f t="shared" si="145"/>
        <v>57343611.907627545</v>
      </c>
      <c r="CO178" s="799">
        <f t="shared" si="145"/>
        <v>57343611.907627545</v>
      </c>
      <c r="CP178" s="799">
        <f t="shared" si="145"/>
        <v>57343611.907627545</v>
      </c>
      <c r="CQ178" s="799">
        <f t="shared" si="145"/>
        <v>57343611.907627545</v>
      </c>
      <c r="CR178" s="799">
        <f t="shared" si="145"/>
        <v>57343611.907627545</v>
      </c>
      <c r="CS178" s="799">
        <f t="shared" si="145"/>
        <v>57343611.907627545</v>
      </c>
      <c r="CT178" s="799">
        <f t="shared" si="145"/>
        <v>57343611.907627545</v>
      </c>
      <c r="CU178" s="799">
        <f t="shared" si="145"/>
        <v>57343611.907627545</v>
      </c>
      <c r="CV178" s="799">
        <f t="shared" si="145"/>
        <v>57343611.907627545</v>
      </c>
      <c r="CW178" s="799">
        <f t="shared" si="145"/>
        <v>57343611.907627545</v>
      </c>
      <c r="CX178" s="799">
        <f t="shared" si="145"/>
        <v>57343611.907627545</v>
      </c>
      <c r="CY178" s="799">
        <f t="shared" si="145"/>
        <v>57343611.907627545</v>
      </c>
      <c r="CZ178" s="799">
        <f t="shared" si="145"/>
        <v>57343611.907627545</v>
      </c>
      <c r="DA178" s="799">
        <f t="shared" si="145"/>
        <v>57343611.907627545</v>
      </c>
      <c r="DB178" s="799">
        <f t="shared" si="145"/>
        <v>57343611.907627545</v>
      </c>
      <c r="DC178" s="799">
        <f t="shared" si="145"/>
        <v>57343611.907627545</v>
      </c>
      <c r="DD178" s="799">
        <f t="shared" si="145"/>
        <v>57343611.907627545</v>
      </c>
      <c r="DE178" s="799">
        <f t="shared" si="145"/>
        <v>57343611.907627545</v>
      </c>
      <c r="DF178" s="799">
        <f t="shared" si="145"/>
        <v>57343611.907627545</v>
      </c>
      <c r="DG178" s="799">
        <f t="shared" si="145"/>
        <v>57343611.907627545</v>
      </c>
      <c r="DH178" s="799">
        <f t="shared" si="145"/>
        <v>57343611.907627545</v>
      </c>
      <c r="DI178" s="799">
        <f t="shared" si="145"/>
        <v>57343611.907627545</v>
      </c>
      <c r="DJ178" s="799">
        <f t="shared" si="145"/>
        <v>57343611.907627545</v>
      </c>
      <c r="DK178" s="799">
        <f t="shared" si="145"/>
        <v>57343611.907627545</v>
      </c>
      <c r="DL178" s="799">
        <f t="shared" si="145"/>
        <v>57343611.907627545</v>
      </c>
      <c r="DM178" s="799">
        <f t="shared" si="145"/>
        <v>57343611.907627545</v>
      </c>
      <c r="DN178" s="799">
        <f t="shared" si="145"/>
        <v>57343611.907627545</v>
      </c>
      <c r="DO178" s="799">
        <f t="shared" si="145"/>
        <v>57343611.907627545</v>
      </c>
      <c r="DP178" s="799">
        <f t="shared" si="145"/>
        <v>57343611.907627545</v>
      </c>
      <c r="DQ178" s="799">
        <f t="shared" si="145"/>
        <v>57343611.907627545</v>
      </c>
      <c r="DR178" s="799">
        <f t="shared" si="145"/>
        <v>57343611.907627545</v>
      </c>
      <c r="DS178" s="799">
        <f t="shared" si="145"/>
        <v>57343611.907627545</v>
      </c>
      <c r="DT178" s="799">
        <f t="shared" si="145"/>
        <v>57343611.907627545</v>
      </c>
      <c r="DU178" s="799">
        <f t="shared" si="145"/>
        <v>57343611.907627545</v>
      </c>
      <c r="DV178" s="799">
        <f t="shared" si="145"/>
        <v>57343611.907627545</v>
      </c>
      <c r="DW178" s="799">
        <f t="shared" si="145"/>
        <v>57343611.907627545</v>
      </c>
      <c r="DX178" s="799">
        <f t="shared" si="145"/>
        <v>57343611.907627545</v>
      </c>
      <c r="DY178" s="799">
        <f t="shared" si="145"/>
        <v>57343611.907627545</v>
      </c>
      <c r="DZ178" s="799">
        <f t="shared" si="145"/>
        <v>57343611.907627545</v>
      </c>
      <c r="EA178" s="799">
        <f t="shared" si="145"/>
        <v>57343611.907627545</v>
      </c>
      <c r="EB178" s="799">
        <f t="shared" si="145"/>
        <v>57343611.907627545</v>
      </c>
      <c r="EC178" s="799">
        <f t="shared" si="145"/>
        <v>57343611.907627538</v>
      </c>
      <c r="ED178" s="799">
        <f t="shared" si="145"/>
        <v>57343611.907627538</v>
      </c>
      <c r="EE178" s="799">
        <f>ED181</f>
        <v>57343611.907626979</v>
      </c>
      <c r="EF178" s="799">
        <f>EE181</f>
        <v>57343611.907626964</v>
      </c>
      <c r="EG178" s="799">
        <f>EF181</f>
        <v>57343611.90762639</v>
      </c>
      <c r="EH178" s="782"/>
    </row>
    <row r="179" spans="1:138" ht="12.75" customHeight="1" x14ac:dyDescent="0.3">
      <c r="A179" s="782"/>
      <c r="B179" s="1361" t="s">
        <v>101</v>
      </c>
      <c r="C179" s="1362"/>
      <c r="D179" s="1361"/>
      <c r="E179" s="1362">
        <f>IF(E176=0,0,D196*'Venture Assumptions'!$F$69)</f>
        <v>0</v>
      </c>
      <c r="F179" s="1362">
        <f>IF(F176=0,0,E196*'Venture Assumptions'!$F$69)</f>
        <v>0</v>
      </c>
      <c r="G179" s="1362">
        <f>IF(G176=0,0,F196*'Venture Assumptions'!$F$69)</f>
        <v>0</v>
      </c>
      <c r="H179" s="1362">
        <f>IF(H176=0,0,G196*'Venture Assumptions'!$F$69)</f>
        <v>0</v>
      </c>
      <c r="I179" s="1362">
        <f>IF(I176=0,0,H196*'Venture Assumptions'!$F$69)</f>
        <v>0</v>
      </c>
      <c r="J179" s="1362">
        <f>IF(J176=0,0,I196*'Venture Assumptions'!$F$69)</f>
        <v>0</v>
      </c>
      <c r="K179" s="1362">
        <f>IF(K176=0,0,J196*'Venture Assumptions'!$F$69)</f>
        <v>0</v>
      </c>
      <c r="L179" s="1362">
        <f>IF(L176=0,0,K196*'Venture Assumptions'!$F$69)</f>
        <v>0</v>
      </c>
      <c r="M179" s="1362">
        <f>IF(M176=0,0,L196*'Venture Assumptions'!$F$69)</f>
        <v>0</v>
      </c>
      <c r="N179" s="1362">
        <f>IF(N176=0,0,M196*'Venture Assumptions'!$F$69)</f>
        <v>0</v>
      </c>
      <c r="O179" s="1362">
        <f>IF(O176=0,0,N196*'Venture Assumptions'!$F$69)</f>
        <v>0</v>
      </c>
      <c r="P179" s="1362">
        <f>IF(P176=0,0,O196*'Venture Assumptions'!$F$69)</f>
        <v>0</v>
      </c>
      <c r="Q179" s="1362">
        <f>IF(Q176=0,0,P196*'Venture Assumptions'!$F$69)</f>
        <v>0</v>
      </c>
      <c r="R179" s="1362">
        <f>IF(R176=0,0,Q196*'Venture Assumptions'!$F$69)</f>
        <v>0</v>
      </c>
      <c r="S179" s="1362">
        <f>IF(S176=0,0,R196*'Venture Assumptions'!$F$69)</f>
        <v>0</v>
      </c>
      <c r="T179" s="1362">
        <f>IF(T176=0,0,S196*'Venture Assumptions'!$F$69)</f>
        <v>0</v>
      </c>
      <c r="U179" s="1362">
        <f>IF(U176=0,0,T196*'Venture Assumptions'!$F$69)</f>
        <v>0</v>
      </c>
      <c r="V179" s="1362">
        <f>IF(V176=0,0,U196*'Venture Assumptions'!$F$69)</f>
        <v>0</v>
      </c>
      <c r="W179" s="1362">
        <f>IF(W176=0,0,V196*'Venture Assumptions'!$F$69)</f>
        <v>0</v>
      </c>
      <c r="X179" s="1362">
        <f>IF(X176=0,0,W196*'Venture Assumptions'!$F$69)</f>
        <v>0</v>
      </c>
      <c r="Y179" s="1362">
        <f>IF(Y176=0,0,X196*'Venture Assumptions'!$F$69)</f>
        <v>0</v>
      </c>
      <c r="Z179" s="1362">
        <f>IF(Z176=0,0,Y196*'Venture Assumptions'!$F$69)</f>
        <v>0</v>
      </c>
      <c r="AA179" s="1362">
        <f>IF(AA176=0,0,Z196*'Venture Assumptions'!$F$69)</f>
        <v>0</v>
      </c>
      <c r="AB179" s="1362">
        <f>IF(AB176=0,0,AA196*'Venture Assumptions'!$F$69)</f>
        <v>0</v>
      </c>
      <c r="AC179" s="1362">
        <f>IF(AC176=0,0,AB196*'Venture Assumptions'!$F$69)</f>
        <v>0</v>
      </c>
      <c r="AD179" s="1362">
        <f>IF(AD176=0,0,AC196*'Venture Assumptions'!$F$69)</f>
        <v>0</v>
      </c>
      <c r="AE179" s="1362">
        <f>IF(AE176=0,0,AD196*'Venture Assumptions'!$F$69)</f>
        <v>0</v>
      </c>
      <c r="AF179" s="1362">
        <f>IF(AF176=0,0,AE196*'Venture Assumptions'!$F$69)</f>
        <v>0</v>
      </c>
      <c r="AG179" s="1362">
        <f>IF(AG176=0,0,AF196*'Venture Assumptions'!$F$69)</f>
        <v>0</v>
      </c>
      <c r="AH179" s="1362">
        <f>IF(AH176=0,0,AG196*'Venture Assumptions'!$F$69)</f>
        <v>0</v>
      </c>
      <c r="AI179" s="1362">
        <f>IF(AI176=0,0,AH196*'Venture Assumptions'!$F$69)</f>
        <v>0</v>
      </c>
      <c r="AJ179" s="1362">
        <f>IF(AJ176=0,0,AI196*'Venture Assumptions'!$F$69)</f>
        <v>0</v>
      </c>
      <c r="AK179" s="1362">
        <f>IF(AK176=0,0,AJ196*'Venture Assumptions'!$F$69)</f>
        <v>0</v>
      </c>
      <c r="AL179" s="1362">
        <f>IF(AL176=0,0,AK196*'Venture Assumptions'!$F$69)</f>
        <v>57343611.907627545</v>
      </c>
      <c r="AM179" s="1362">
        <f>IF(AM176=0,0,AL196*'Venture Assumptions'!$F$69)</f>
        <v>0</v>
      </c>
      <c r="AN179" s="1362">
        <f>IF(AN176=0,0,AM196*'Venture Assumptions'!$F$69)</f>
        <v>0</v>
      </c>
      <c r="AO179" s="1362">
        <f>IF(AO176=0,0,AN196*'Venture Assumptions'!$F$69)</f>
        <v>0</v>
      </c>
      <c r="AP179" s="1362">
        <f>IF(AP176=0,0,AO196*'Venture Assumptions'!$F$69)</f>
        <v>0</v>
      </c>
      <c r="AQ179" s="1362">
        <f>IF(AQ176=0,0,AP196*'Venture Assumptions'!$F$69)</f>
        <v>0</v>
      </c>
      <c r="AR179" s="1362">
        <f>IF(AR176=0,0,AQ196*'Venture Assumptions'!$F$69)</f>
        <v>0</v>
      </c>
      <c r="AS179" s="1362">
        <f>IF(AS176=0,0,AR196*'Venture Assumptions'!$F$69)</f>
        <v>0</v>
      </c>
      <c r="AT179" s="1362">
        <f>IF(AT176=0,0,AS196*'Venture Assumptions'!$F$69)</f>
        <v>0</v>
      </c>
      <c r="AU179" s="1362">
        <f>IF(AU176=0,0,AT196*'Venture Assumptions'!$F$69)</f>
        <v>0</v>
      </c>
      <c r="AV179" s="1362">
        <f>IF(AV176=0,0,AU196*'Venture Assumptions'!$F$69)</f>
        <v>0</v>
      </c>
      <c r="AW179" s="1362">
        <f>IF(AW176=0,0,AV196*'Venture Assumptions'!$F$69)</f>
        <v>0</v>
      </c>
      <c r="AX179" s="1362">
        <f>IF(AX176=0,0,AW196*'Venture Assumptions'!$F$69)</f>
        <v>0</v>
      </c>
      <c r="AY179" s="1362">
        <f>IF(AY176=0,0,AX196*'Venture Assumptions'!$F$69)</f>
        <v>0</v>
      </c>
      <c r="AZ179" s="1362">
        <f>IF(AZ176=0,0,AY196*'Venture Assumptions'!$F$69)</f>
        <v>0</v>
      </c>
      <c r="BA179" s="1362">
        <f>IF(BA176=0,0,AZ196*'Venture Assumptions'!$F$69)</f>
        <v>0</v>
      </c>
      <c r="BB179" s="1362">
        <f>IF(BB176=0,0,BA196*'Venture Assumptions'!$F$69)</f>
        <v>0</v>
      </c>
      <c r="BC179" s="1362">
        <f>IF(BC176=0,0,BB196*'Venture Assumptions'!$F$69)</f>
        <v>0</v>
      </c>
      <c r="BD179" s="1362">
        <f>IF(BD176=0,0,BC196*'Venture Assumptions'!$F$69)</f>
        <v>0</v>
      </c>
      <c r="BE179" s="1362">
        <f>IF(BE176=0,0,BD196*'Venture Assumptions'!$F$69)</f>
        <v>0</v>
      </c>
      <c r="BF179" s="1362">
        <f>IF(BF176=0,0,BE196*'Venture Assumptions'!$F$69)</f>
        <v>0</v>
      </c>
      <c r="BG179" s="1362">
        <f>IF(BG176=0,0,BF196*'Venture Assumptions'!$F$69)</f>
        <v>0</v>
      </c>
      <c r="BH179" s="1362">
        <f>IF(BH176=0,0,BG196*'Venture Assumptions'!$F$69)</f>
        <v>0</v>
      </c>
      <c r="BI179" s="1362">
        <f>IF(BI176=0,0,BH196*'Venture Assumptions'!$F$69)</f>
        <v>0</v>
      </c>
      <c r="BJ179" s="1362">
        <f>IF(BJ176=0,0,BI196*'Venture Assumptions'!$F$69)</f>
        <v>0</v>
      </c>
      <c r="BK179" s="1362">
        <f>IF(BK176=0,0,BJ196*'Venture Assumptions'!$F$69)</f>
        <v>0</v>
      </c>
      <c r="BL179" s="1362">
        <f>IF(BL176=0,0,BK196*'Venture Assumptions'!$F$69)</f>
        <v>0</v>
      </c>
      <c r="BM179" s="1362">
        <f>IF(BM176=0,0,BL196*'Venture Assumptions'!$F$69)</f>
        <v>0</v>
      </c>
      <c r="BN179" s="1362">
        <f>IF(BN176=0,0,BM196*'Venture Assumptions'!$F$69)</f>
        <v>0</v>
      </c>
      <c r="BO179" s="1362">
        <f>IF(BO176=0,0,BN196*'Venture Assumptions'!$F$69)</f>
        <v>0</v>
      </c>
      <c r="BP179" s="1362">
        <f>IF(BP176=0,0,BO196*'Venture Assumptions'!$F$69)</f>
        <v>0</v>
      </c>
      <c r="BQ179" s="1362">
        <f>IF(BQ176=0,0,BP196*'Venture Assumptions'!$F$69)</f>
        <v>0</v>
      </c>
      <c r="BR179" s="1362">
        <f>IF(BR176=0,0,BQ196*'Venture Assumptions'!$F$69)</f>
        <v>0</v>
      </c>
      <c r="BS179" s="1362">
        <f>IF(BS176=0,0,BR196*'Venture Assumptions'!$F$69)</f>
        <v>0</v>
      </c>
      <c r="BT179" s="1362">
        <f>IF(BT176=0,0,BS196*'Venture Assumptions'!$F$69)</f>
        <v>0</v>
      </c>
      <c r="BU179" s="1362">
        <f>IF(BU176=0,0,BT196*'Venture Assumptions'!$F$69)</f>
        <v>0</v>
      </c>
      <c r="BV179" s="1362">
        <f>IF(BV176=0,0,BU196*'Venture Assumptions'!$F$69)</f>
        <v>0</v>
      </c>
      <c r="BW179" s="1362">
        <f>IF(BW176=0,0,BV196*'Venture Assumptions'!$F$69)</f>
        <v>0</v>
      </c>
      <c r="BX179" s="1362">
        <f>IF(BX176=0,0,BW196*'Venture Assumptions'!$F$69)</f>
        <v>0</v>
      </c>
      <c r="BY179" s="1362">
        <f>IF(BY176=0,0,BX196*'Venture Assumptions'!$F$69)</f>
        <v>0</v>
      </c>
      <c r="BZ179" s="1362">
        <f>IF(BZ176=0,0,BY196*'Venture Assumptions'!$F$69)</f>
        <v>0</v>
      </c>
      <c r="CA179" s="1362">
        <f>IF(CA176=0,0,BZ196*'Venture Assumptions'!$F$69)</f>
        <v>0</v>
      </c>
      <c r="CB179" s="1362">
        <f>IF(CB176=0,0,CA196*'Venture Assumptions'!$F$69)</f>
        <v>0</v>
      </c>
      <c r="CC179" s="1362">
        <f>IF(CC176=0,0,CB196*'Venture Assumptions'!$F$69)</f>
        <v>0</v>
      </c>
      <c r="CD179" s="1362">
        <f>IF(CD176=0,0,CC196*'Venture Assumptions'!$F$69)</f>
        <v>0</v>
      </c>
      <c r="CE179" s="1362">
        <f>IF(CE176=0,0,CD196*'Venture Assumptions'!$F$69)</f>
        <v>0</v>
      </c>
      <c r="CF179" s="1362">
        <f>IF(CF176=0,0,CE196*'Venture Assumptions'!$F$69)</f>
        <v>0</v>
      </c>
      <c r="CG179" s="1362">
        <f>IF(CG176=0,0,CF196*'Venture Assumptions'!$F$69)</f>
        <v>0</v>
      </c>
      <c r="CH179" s="1362">
        <f>IF(CH176=0,0,CG196*'Venture Assumptions'!$F$69)</f>
        <v>0</v>
      </c>
      <c r="CI179" s="1362">
        <f>IF(CI176=0,0,CH196*'Venture Assumptions'!$F$69)</f>
        <v>0</v>
      </c>
      <c r="CJ179" s="1362">
        <f>IF(CJ176=0,0,CI196*'Venture Assumptions'!$F$69)</f>
        <v>0</v>
      </c>
      <c r="CK179" s="1362">
        <f>IF(CK176=0,0,CJ196*'Venture Assumptions'!$F$69)</f>
        <v>0</v>
      </c>
      <c r="CL179" s="1362">
        <f>IF(CL176=0,0,CK196*'Venture Assumptions'!$F$69)</f>
        <v>0</v>
      </c>
      <c r="CM179" s="1362">
        <f>IF(CM176=0,0,CL196*'Venture Assumptions'!$F$69)</f>
        <v>0</v>
      </c>
      <c r="CN179" s="1362">
        <f>IF(CN176=0,0,CM196*'Venture Assumptions'!$F$69)</f>
        <v>0</v>
      </c>
      <c r="CO179" s="1362">
        <f>IF(CO176=0,0,CN196*'Venture Assumptions'!$F$69)</f>
        <v>0</v>
      </c>
      <c r="CP179" s="1362">
        <f>IF(CP176=0,0,CO196*'Venture Assumptions'!$F$69)</f>
        <v>0</v>
      </c>
      <c r="CQ179" s="1362">
        <f>IF(CQ176=0,0,CP196*'Venture Assumptions'!$F$69)</f>
        <v>0</v>
      </c>
      <c r="CR179" s="1362">
        <f>IF(CR176=0,0,CQ196*'Venture Assumptions'!$F$69)</f>
        <v>0</v>
      </c>
      <c r="CS179" s="1362">
        <f>IF(CS176=0,0,CR196*'Venture Assumptions'!$F$69)</f>
        <v>0</v>
      </c>
      <c r="CT179" s="1362">
        <f>IF(CT176=0,0,CS196*'Venture Assumptions'!$F$69)</f>
        <v>0</v>
      </c>
      <c r="CU179" s="1362">
        <f>IF(CU176=0,0,CT196*'Venture Assumptions'!$F$69)</f>
        <v>0</v>
      </c>
      <c r="CV179" s="1362">
        <f>IF(CV176=0,0,CU196*'Venture Assumptions'!$F$69)</f>
        <v>0</v>
      </c>
      <c r="CW179" s="1362">
        <f>IF(CW176=0,0,CV196*'Venture Assumptions'!$F$69)</f>
        <v>0</v>
      </c>
      <c r="CX179" s="1362">
        <f>IF(CX176=0,0,CW196*'Venture Assumptions'!$F$69)</f>
        <v>0</v>
      </c>
      <c r="CY179" s="1362">
        <f>IF(CY176=0,0,CX196*'Venture Assumptions'!$F$69)</f>
        <v>0</v>
      </c>
      <c r="CZ179" s="1362">
        <f>IF(CZ176=0,0,CY196*'Venture Assumptions'!$F$69)</f>
        <v>0</v>
      </c>
      <c r="DA179" s="1362">
        <f>IF(DA176=0,0,CZ196*'Venture Assumptions'!$F$69)</f>
        <v>0</v>
      </c>
      <c r="DB179" s="1362">
        <f>IF(DB176=0,0,DA196*'Venture Assumptions'!$F$69)</f>
        <v>0</v>
      </c>
      <c r="DC179" s="1362">
        <f>IF(DC176=0,0,DB196*'Venture Assumptions'!$F$69)</f>
        <v>0</v>
      </c>
      <c r="DD179" s="1362">
        <f>IF(DD176=0,0,DC196*'Venture Assumptions'!$F$69)</f>
        <v>0</v>
      </c>
      <c r="DE179" s="1362">
        <f>IF(DE176=0,0,DD196*'Venture Assumptions'!$F$69)</f>
        <v>0</v>
      </c>
      <c r="DF179" s="1362">
        <f>IF(DF176=0,0,DE196*'Venture Assumptions'!$F$69)</f>
        <v>0</v>
      </c>
      <c r="DG179" s="1362">
        <f>IF(DG176=0,0,DF196*'Venture Assumptions'!$F$69)</f>
        <v>0</v>
      </c>
      <c r="DH179" s="1362">
        <f>IF(DH176=0,0,DG196*'Venture Assumptions'!$F$69)</f>
        <v>0</v>
      </c>
      <c r="DI179" s="1362">
        <f>IF(DI176=0,0,DH196*'Venture Assumptions'!$F$69)</f>
        <v>0</v>
      </c>
      <c r="DJ179" s="1362">
        <f>IF(DJ176=0,0,DI196*'Venture Assumptions'!$F$69)</f>
        <v>0</v>
      </c>
      <c r="DK179" s="1362">
        <f>IF(DK176=0,0,DJ196*'Venture Assumptions'!$F$69)</f>
        <v>0</v>
      </c>
      <c r="DL179" s="1362">
        <f>IF(DL176=0,0,DK196*'Venture Assumptions'!$F$69)</f>
        <v>0</v>
      </c>
      <c r="DM179" s="1362">
        <f>IF(DM176=0,0,DL196*'Venture Assumptions'!$F$69)</f>
        <v>0</v>
      </c>
      <c r="DN179" s="1362">
        <f>IF(DN176=0,0,DM196*'Venture Assumptions'!$F$69)</f>
        <v>0</v>
      </c>
      <c r="DO179" s="1362">
        <f>IF(DO176=0,0,DN196*'Venture Assumptions'!$F$69)</f>
        <v>0</v>
      </c>
      <c r="DP179" s="1362">
        <f>IF(DP176=0,0,DO196*'Venture Assumptions'!$F$69)</f>
        <v>0</v>
      </c>
      <c r="DQ179" s="1362">
        <f>IF(DQ176=0,0,DP196*'Venture Assumptions'!$F$69)</f>
        <v>0</v>
      </c>
      <c r="DR179" s="1362">
        <f>IF(DR176=0,0,DQ196*'Venture Assumptions'!$F$69)</f>
        <v>0</v>
      </c>
      <c r="DS179" s="1362">
        <f>IF(DS176=0,0,DR196*'Venture Assumptions'!$F$69)</f>
        <v>0</v>
      </c>
      <c r="DT179" s="1362">
        <f>IF(DT176=0,0,DS196*'Venture Assumptions'!$F$69)</f>
        <v>0</v>
      </c>
      <c r="DU179" s="1362">
        <f>IF(DU176=0,0,DT196*'Venture Assumptions'!$F$69)</f>
        <v>0</v>
      </c>
      <c r="DV179" s="1362">
        <f>IF(DV176=0,0,DU196*'Venture Assumptions'!$F$69)</f>
        <v>0</v>
      </c>
      <c r="DW179" s="1362">
        <f>IF(DW176=0,0,DV196*'Venture Assumptions'!$F$69)</f>
        <v>0</v>
      </c>
      <c r="DX179" s="1362">
        <f>IF(DX176=0,0,DW196*'Venture Assumptions'!$F$69)</f>
        <v>0</v>
      </c>
      <c r="DY179" s="1362">
        <f>IF(DY176=0,0,DX196*'Venture Assumptions'!$F$69)</f>
        <v>0</v>
      </c>
      <c r="DZ179" s="1362">
        <f>IF(DZ176=0,0,DY196*'Venture Assumptions'!$F$69)</f>
        <v>0</v>
      </c>
      <c r="EA179" s="1362">
        <f>IF(EA176=0,0,DZ196*'Venture Assumptions'!$F$69)</f>
        <v>0</v>
      </c>
      <c r="EB179" s="1362">
        <f>IF(EB176=0,0,EA196*'Venture Assumptions'!$F$69)</f>
        <v>0</v>
      </c>
      <c r="EC179" s="1362">
        <f>IF(EC176=0,0,EB196*'Venture Assumptions'!$F$69)</f>
        <v>0</v>
      </c>
      <c r="ED179" s="1362">
        <f>IF(ED176=0,0,EC196*'Venture Assumptions'!$F$69)</f>
        <v>0</v>
      </c>
      <c r="EE179" s="1362">
        <f>IF(EE176=0,0,ED196*'Venture Assumptions'!$F$69)</f>
        <v>0</v>
      </c>
      <c r="EF179" s="1362">
        <f>IF(EF176=0,0,EE196*'Venture Assumptions'!$F$69)</f>
        <v>0</v>
      </c>
      <c r="EG179" s="1362">
        <f>IF(EG176=0,0,EF196*'Venture Assumptions'!$F$69)</f>
        <v>0</v>
      </c>
      <c r="EH179" s="782"/>
    </row>
    <row r="180" spans="1:138" ht="12.75" customHeight="1" x14ac:dyDescent="0.3">
      <c r="A180" s="782"/>
      <c r="B180" s="781" t="s">
        <v>107</v>
      </c>
      <c r="C180" s="799"/>
      <c r="D180" s="781"/>
      <c r="E180" s="799">
        <f>MIN((E184-E183),0)</f>
        <v>0</v>
      </c>
      <c r="F180" s="799">
        <f t="shared" ref="F180:BQ180" si="146">MIN((F184-F183),0)</f>
        <v>0</v>
      </c>
      <c r="G180" s="799">
        <f t="shared" si="146"/>
        <v>0</v>
      </c>
      <c r="H180" s="799">
        <f t="shared" si="146"/>
        <v>0</v>
      </c>
      <c r="I180" s="799">
        <f t="shared" si="146"/>
        <v>0</v>
      </c>
      <c r="J180" s="799">
        <f t="shared" si="146"/>
        <v>0</v>
      </c>
      <c r="K180" s="799">
        <f t="shared" si="146"/>
        <v>0</v>
      </c>
      <c r="L180" s="799">
        <f t="shared" si="146"/>
        <v>0</v>
      </c>
      <c r="M180" s="799">
        <f t="shared" si="146"/>
        <v>0</v>
      </c>
      <c r="N180" s="799">
        <f t="shared" si="146"/>
        <v>0</v>
      </c>
      <c r="O180" s="799">
        <f t="shared" si="146"/>
        <v>0</v>
      </c>
      <c r="P180" s="799">
        <f t="shared" si="146"/>
        <v>0</v>
      </c>
      <c r="Q180" s="799">
        <f t="shared" si="146"/>
        <v>0</v>
      </c>
      <c r="R180" s="799">
        <f t="shared" si="146"/>
        <v>0</v>
      </c>
      <c r="S180" s="799">
        <f t="shared" si="146"/>
        <v>0</v>
      </c>
      <c r="T180" s="799">
        <f t="shared" si="146"/>
        <v>0</v>
      </c>
      <c r="U180" s="799">
        <f t="shared" si="146"/>
        <v>0</v>
      </c>
      <c r="V180" s="799">
        <f t="shared" si="146"/>
        <v>0</v>
      </c>
      <c r="W180" s="799">
        <f t="shared" si="146"/>
        <v>0</v>
      </c>
      <c r="X180" s="799">
        <f t="shared" si="146"/>
        <v>0</v>
      </c>
      <c r="Y180" s="799">
        <f t="shared" si="146"/>
        <v>0</v>
      </c>
      <c r="Z180" s="799">
        <f t="shared" si="146"/>
        <v>0</v>
      </c>
      <c r="AA180" s="799">
        <f t="shared" si="146"/>
        <v>0</v>
      </c>
      <c r="AB180" s="799">
        <f t="shared" si="146"/>
        <v>0</v>
      </c>
      <c r="AC180" s="799">
        <f t="shared" si="146"/>
        <v>0</v>
      </c>
      <c r="AD180" s="799">
        <f t="shared" si="146"/>
        <v>0</v>
      </c>
      <c r="AE180" s="799">
        <f t="shared" si="146"/>
        <v>0</v>
      </c>
      <c r="AF180" s="799">
        <f t="shared" si="146"/>
        <v>0</v>
      </c>
      <c r="AG180" s="799">
        <f t="shared" si="146"/>
        <v>0</v>
      </c>
      <c r="AH180" s="799">
        <f t="shared" si="146"/>
        <v>0</v>
      </c>
      <c r="AI180" s="799">
        <f t="shared" si="146"/>
        <v>0</v>
      </c>
      <c r="AJ180" s="799">
        <f t="shared" si="146"/>
        <v>0</v>
      </c>
      <c r="AK180" s="799">
        <f t="shared" si="146"/>
        <v>0</v>
      </c>
      <c r="AL180" s="799">
        <f t="shared" si="146"/>
        <v>0</v>
      </c>
      <c r="AM180" s="799">
        <f t="shared" si="146"/>
        <v>0</v>
      </c>
      <c r="AN180" s="799">
        <f t="shared" si="146"/>
        <v>0</v>
      </c>
      <c r="AO180" s="799">
        <f t="shared" si="146"/>
        <v>0</v>
      </c>
      <c r="AP180" s="799">
        <f t="shared" si="146"/>
        <v>0</v>
      </c>
      <c r="AQ180" s="799">
        <f t="shared" si="146"/>
        <v>0</v>
      </c>
      <c r="AR180" s="799">
        <f t="shared" si="146"/>
        <v>0</v>
      </c>
      <c r="AS180" s="799">
        <f t="shared" si="146"/>
        <v>0</v>
      </c>
      <c r="AT180" s="799">
        <f t="shared" si="146"/>
        <v>0</v>
      </c>
      <c r="AU180" s="799">
        <f t="shared" si="146"/>
        <v>0</v>
      </c>
      <c r="AV180" s="799">
        <f t="shared" si="146"/>
        <v>0</v>
      </c>
      <c r="AW180" s="799">
        <f t="shared" si="146"/>
        <v>0</v>
      </c>
      <c r="AX180" s="799">
        <f t="shared" si="146"/>
        <v>0</v>
      </c>
      <c r="AY180" s="799">
        <f t="shared" si="146"/>
        <v>0</v>
      </c>
      <c r="AZ180" s="799">
        <f t="shared" si="146"/>
        <v>0</v>
      </c>
      <c r="BA180" s="799">
        <f t="shared" si="146"/>
        <v>0</v>
      </c>
      <c r="BB180" s="799">
        <f t="shared" si="146"/>
        <v>0</v>
      </c>
      <c r="BC180" s="799">
        <f t="shared" si="146"/>
        <v>0</v>
      </c>
      <c r="BD180" s="799">
        <f t="shared" si="146"/>
        <v>0</v>
      </c>
      <c r="BE180" s="799">
        <f t="shared" si="146"/>
        <v>0</v>
      </c>
      <c r="BF180" s="799">
        <f t="shared" si="146"/>
        <v>0</v>
      </c>
      <c r="BG180" s="799">
        <f t="shared" si="146"/>
        <v>0</v>
      </c>
      <c r="BH180" s="799">
        <f t="shared" si="146"/>
        <v>0</v>
      </c>
      <c r="BI180" s="799">
        <f t="shared" si="146"/>
        <v>0</v>
      </c>
      <c r="BJ180" s="799">
        <f t="shared" si="146"/>
        <v>0</v>
      </c>
      <c r="BK180" s="799">
        <f t="shared" si="146"/>
        <v>0</v>
      </c>
      <c r="BL180" s="799">
        <f t="shared" si="146"/>
        <v>0</v>
      </c>
      <c r="BM180" s="799">
        <f t="shared" si="146"/>
        <v>0</v>
      </c>
      <c r="BN180" s="799">
        <f t="shared" si="146"/>
        <v>0</v>
      </c>
      <c r="BO180" s="799">
        <f t="shared" si="146"/>
        <v>0</v>
      </c>
      <c r="BP180" s="799">
        <f t="shared" si="146"/>
        <v>0</v>
      </c>
      <c r="BQ180" s="799">
        <f t="shared" si="146"/>
        <v>0</v>
      </c>
      <c r="BR180" s="799">
        <f t="shared" ref="BR180:EC180" si="147">MIN((BR184-BR183),0)</f>
        <v>0</v>
      </c>
      <c r="BS180" s="799">
        <f t="shared" si="147"/>
        <v>0</v>
      </c>
      <c r="BT180" s="799">
        <f t="shared" si="147"/>
        <v>0</v>
      </c>
      <c r="BU180" s="799">
        <f t="shared" si="147"/>
        <v>0</v>
      </c>
      <c r="BV180" s="799">
        <f t="shared" si="147"/>
        <v>0</v>
      </c>
      <c r="BW180" s="799">
        <f t="shared" si="147"/>
        <v>0</v>
      </c>
      <c r="BX180" s="799">
        <f t="shared" si="147"/>
        <v>0</v>
      </c>
      <c r="BY180" s="799">
        <f t="shared" si="147"/>
        <v>0</v>
      </c>
      <c r="BZ180" s="799">
        <f t="shared" si="147"/>
        <v>0</v>
      </c>
      <c r="CA180" s="799">
        <f t="shared" si="147"/>
        <v>0</v>
      </c>
      <c r="CB180" s="799">
        <f t="shared" si="147"/>
        <v>0</v>
      </c>
      <c r="CC180" s="799">
        <f t="shared" si="147"/>
        <v>0</v>
      </c>
      <c r="CD180" s="799">
        <f t="shared" si="147"/>
        <v>0</v>
      </c>
      <c r="CE180" s="799">
        <f t="shared" si="147"/>
        <v>0</v>
      </c>
      <c r="CF180" s="799">
        <f t="shared" si="147"/>
        <v>0</v>
      </c>
      <c r="CG180" s="799">
        <f t="shared" si="147"/>
        <v>0</v>
      </c>
      <c r="CH180" s="799">
        <f t="shared" si="147"/>
        <v>0</v>
      </c>
      <c r="CI180" s="799">
        <f t="shared" si="147"/>
        <v>0</v>
      </c>
      <c r="CJ180" s="799">
        <f t="shared" si="147"/>
        <v>0</v>
      </c>
      <c r="CK180" s="799">
        <f t="shared" si="147"/>
        <v>0</v>
      </c>
      <c r="CL180" s="799">
        <f t="shared" si="147"/>
        <v>0</v>
      </c>
      <c r="CM180" s="799">
        <f t="shared" si="147"/>
        <v>0</v>
      </c>
      <c r="CN180" s="799">
        <f t="shared" si="147"/>
        <v>0</v>
      </c>
      <c r="CO180" s="799">
        <f t="shared" si="147"/>
        <v>0</v>
      </c>
      <c r="CP180" s="799">
        <f t="shared" si="147"/>
        <v>0</v>
      </c>
      <c r="CQ180" s="799">
        <f t="shared" si="147"/>
        <v>0</v>
      </c>
      <c r="CR180" s="799">
        <f t="shared" si="147"/>
        <v>0</v>
      </c>
      <c r="CS180" s="799">
        <f t="shared" si="147"/>
        <v>0</v>
      </c>
      <c r="CT180" s="799">
        <f t="shared" si="147"/>
        <v>0</v>
      </c>
      <c r="CU180" s="799">
        <f t="shared" si="147"/>
        <v>0</v>
      </c>
      <c r="CV180" s="799">
        <f t="shared" si="147"/>
        <v>0</v>
      </c>
      <c r="CW180" s="799">
        <f t="shared" si="147"/>
        <v>0</v>
      </c>
      <c r="CX180" s="799">
        <f t="shared" si="147"/>
        <v>0</v>
      </c>
      <c r="CY180" s="799">
        <f t="shared" si="147"/>
        <v>0</v>
      </c>
      <c r="CZ180" s="799">
        <f t="shared" si="147"/>
        <v>0</v>
      </c>
      <c r="DA180" s="799">
        <f t="shared" si="147"/>
        <v>0</v>
      </c>
      <c r="DB180" s="799">
        <f t="shared" si="147"/>
        <v>0</v>
      </c>
      <c r="DC180" s="799">
        <f t="shared" si="147"/>
        <v>0</v>
      </c>
      <c r="DD180" s="799">
        <f t="shared" si="147"/>
        <v>0</v>
      </c>
      <c r="DE180" s="799">
        <f t="shared" si="147"/>
        <v>0</v>
      </c>
      <c r="DF180" s="799">
        <f t="shared" si="147"/>
        <v>0</v>
      </c>
      <c r="DG180" s="799">
        <f t="shared" si="147"/>
        <v>0</v>
      </c>
      <c r="DH180" s="799">
        <f t="shared" si="147"/>
        <v>0</v>
      </c>
      <c r="DI180" s="799">
        <f t="shared" si="147"/>
        <v>0</v>
      </c>
      <c r="DJ180" s="799">
        <f t="shared" si="147"/>
        <v>0</v>
      </c>
      <c r="DK180" s="799">
        <f t="shared" si="147"/>
        <v>0</v>
      </c>
      <c r="DL180" s="799">
        <f t="shared" si="147"/>
        <v>0</v>
      </c>
      <c r="DM180" s="799">
        <f t="shared" si="147"/>
        <v>0</v>
      </c>
      <c r="DN180" s="799">
        <f t="shared" si="147"/>
        <v>0</v>
      </c>
      <c r="DO180" s="799">
        <f t="shared" si="147"/>
        <v>0</v>
      </c>
      <c r="DP180" s="799">
        <f t="shared" si="147"/>
        <v>0</v>
      </c>
      <c r="DQ180" s="799">
        <f t="shared" si="147"/>
        <v>0</v>
      </c>
      <c r="DR180" s="799">
        <f t="shared" si="147"/>
        <v>0</v>
      </c>
      <c r="DS180" s="799">
        <f t="shared" si="147"/>
        <v>0</v>
      </c>
      <c r="DT180" s="799">
        <f t="shared" si="147"/>
        <v>0</v>
      </c>
      <c r="DU180" s="799">
        <f t="shared" si="147"/>
        <v>0</v>
      </c>
      <c r="DV180" s="799">
        <f t="shared" si="147"/>
        <v>0</v>
      </c>
      <c r="DW180" s="799">
        <f t="shared" si="147"/>
        <v>0</v>
      </c>
      <c r="DX180" s="799">
        <f t="shared" si="147"/>
        <v>0</v>
      </c>
      <c r="DY180" s="799">
        <f t="shared" si="147"/>
        <v>0</v>
      </c>
      <c r="DZ180" s="799">
        <f t="shared" si="147"/>
        <v>0</v>
      </c>
      <c r="EA180" s="799">
        <f t="shared" si="147"/>
        <v>0</v>
      </c>
      <c r="EB180" s="799">
        <f t="shared" si="147"/>
        <v>0</v>
      </c>
      <c r="EC180" s="799">
        <f t="shared" si="147"/>
        <v>0</v>
      </c>
      <c r="ED180" s="799">
        <f>MIN((ED184-ED183),0)</f>
        <v>0</v>
      </c>
      <c r="EE180" s="799">
        <f>MIN((EE184-EE183),0)</f>
        <v>0</v>
      </c>
      <c r="EF180" s="799">
        <f>MIN((EF184-EF183),0)</f>
        <v>0</v>
      </c>
      <c r="EG180" s="799">
        <f>MIN((EG184-EG183),0)</f>
        <v>0</v>
      </c>
      <c r="EH180" s="782"/>
    </row>
    <row r="181" spans="1:138" ht="12.75" customHeight="1" x14ac:dyDescent="0.3">
      <c r="A181" s="782"/>
      <c r="B181" s="782" t="s">
        <v>108</v>
      </c>
      <c r="C181" s="798"/>
      <c r="D181" s="782"/>
      <c r="E181" s="798">
        <f>SUM(E178:E180)</f>
        <v>0</v>
      </c>
      <c r="F181" s="798">
        <f t="shared" ref="F181:BQ181" si="148">SUM(F178:F180)</f>
        <v>0</v>
      </c>
      <c r="G181" s="798">
        <f t="shared" si="148"/>
        <v>0</v>
      </c>
      <c r="H181" s="798">
        <f t="shared" si="148"/>
        <v>0</v>
      </c>
      <c r="I181" s="798">
        <f t="shared" si="148"/>
        <v>0</v>
      </c>
      <c r="J181" s="798">
        <f t="shared" si="148"/>
        <v>0</v>
      </c>
      <c r="K181" s="798">
        <f t="shared" si="148"/>
        <v>0</v>
      </c>
      <c r="L181" s="798">
        <f t="shared" si="148"/>
        <v>0</v>
      </c>
      <c r="M181" s="798">
        <f t="shared" si="148"/>
        <v>0</v>
      </c>
      <c r="N181" s="798">
        <f t="shared" si="148"/>
        <v>0</v>
      </c>
      <c r="O181" s="798">
        <f t="shared" si="148"/>
        <v>0</v>
      </c>
      <c r="P181" s="798">
        <f t="shared" si="148"/>
        <v>0</v>
      </c>
      <c r="Q181" s="798">
        <f t="shared" si="148"/>
        <v>0</v>
      </c>
      <c r="R181" s="798">
        <f t="shared" si="148"/>
        <v>0</v>
      </c>
      <c r="S181" s="798">
        <f t="shared" si="148"/>
        <v>0</v>
      </c>
      <c r="T181" s="798">
        <f t="shared" si="148"/>
        <v>0</v>
      </c>
      <c r="U181" s="798">
        <f t="shared" si="148"/>
        <v>0</v>
      </c>
      <c r="V181" s="798">
        <f t="shared" si="148"/>
        <v>0</v>
      </c>
      <c r="W181" s="798">
        <f t="shared" si="148"/>
        <v>0</v>
      </c>
      <c r="X181" s="798">
        <f t="shared" si="148"/>
        <v>0</v>
      </c>
      <c r="Y181" s="798">
        <f t="shared" si="148"/>
        <v>0</v>
      </c>
      <c r="Z181" s="798">
        <f t="shared" si="148"/>
        <v>0</v>
      </c>
      <c r="AA181" s="798">
        <f t="shared" si="148"/>
        <v>0</v>
      </c>
      <c r="AB181" s="798">
        <f t="shared" si="148"/>
        <v>0</v>
      </c>
      <c r="AC181" s="798">
        <f t="shared" si="148"/>
        <v>0</v>
      </c>
      <c r="AD181" s="798">
        <f t="shared" si="148"/>
        <v>0</v>
      </c>
      <c r="AE181" s="798">
        <f t="shared" si="148"/>
        <v>0</v>
      </c>
      <c r="AF181" s="798">
        <f t="shared" si="148"/>
        <v>0</v>
      </c>
      <c r="AG181" s="798">
        <f t="shared" si="148"/>
        <v>0</v>
      </c>
      <c r="AH181" s="798">
        <f t="shared" si="148"/>
        <v>0</v>
      </c>
      <c r="AI181" s="798">
        <f t="shared" si="148"/>
        <v>0</v>
      </c>
      <c r="AJ181" s="798">
        <f t="shared" si="148"/>
        <v>0</v>
      </c>
      <c r="AK181" s="798">
        <f t="shared" si="148"/>
        <v>0</v>
      </c>
      <c r="AL181" s="798">
        <f t="shared" si="148"/>
        <v>57343611.907627545</v>
      </c>
      <c r="AM181" s="798">
        <f t="shared" si="148"/>
        <v>57343611.907627545</v>
      </c>
      <c r="AN181" s="798">
        <f t="shared" si="148"/>
        <v>57343611.907627545</v>
      </c>
      <c r="AO181" s="798">
        <f t="shared" si="148"/>
        <v>57343611.907627545</v>
      </c>
      <c r="AP181" s="798">
        <f t="shared" si="148"/>
        <v>57343611.907627545</v>
      </c>
      <c r="AQ181" s="798">
        <f t="shared" si="148"/>
        <v>57343611.907627545</v>
      </c>
      <c r="AR181" s="798">
        <f t="shared" si="148"/>
        <v>57343611.907627545</v>
      </c>
      <c r="AS181" s="798">
        <f t="shared" si="148"/>
        <v>57343611.907627545</v>
      </c>
      <c r="AT181" s="798">
        <f t="shared" si="148"/>
        <v>57343611.907627545</v>
      </c>
      <c r="AU181" s="798">
        <f t="shared" si="148"/>
        <v>57343611.907627545</v>
      </c>
      <c r="AV181" s="798">
        <f t="shared" si="148"/>
        <v>57343611.907627545</v>
      </c>
      <c r="AW181" s="798">
        <f t="shared" si="148"/>
        <v>57343611.907627545</v>
      </c>
      <c r="AX181" s="798">
        <f t="shared" si="148"/>
        <v>57343611.907627545</v>
      </c>
      <c r="AY181" s="798">
        <f t="shared" si="148"/>
        <v>57343611.907627545</v>
      </c>
      <c r="AZ181" s="798">
        <f t="shared" si="148"/>
        <v>57343611.907627545</v>
      </c>
      <c r="BA181" s="798">
        <f t="shared" si="148"/>
        <v>57343611.907627545</v>
      </c>
      <c r="BB181" s="798">
        <f t="shared" si="148"/>
        <v>57343611.907627545</v>
      </c>
      <c r="BC181" s="798">
        <f t="shared" si="148"/>
        <v>57343611.907627545</v>
      </c>
      <c r="BD181" s="798">
        <f t="shared" si="148"/>
        <v>57343611.907627545</v>
      </c>
      <c r="BE181" s="798">
        <f t="shared" si="148"/>
        <v>57343611.907627545</v>
      </c>
      <c r="BF181" s="798">
        <f t="shared" si="148"/>
        <v>57343611.907627545</v>
      </c>
      <c r="BG181" s="798">
        <f t="shared" si="148"/>
        <v>57343611.907627545</v>
      </c>
      <c r="BH181" s="798">
        <f t="shared" si="148"/>
        <v>57343611.907627545</v>
      </c>
      <c r="BI181" s="798">
        <f t="shared" si="148"/>
        <v>57343611.907627545</v>
      </c>
      <c r="BJ181" s="798">
        <f t="shared" si="148"/>
        <v>57343611.907627545</v>
      </c>
      <c r="BK181" s="798">
        <f t="shared" si="148"/>
        <v>57343611.907627545</v>
      </c>
      <c r="BL181" s="798">
        <f t="shared" si="148"/>
        <v>57343611.907627545</v>
      </c>
      <c r="BM181" s="798">
        <f t="shared" si="148"/>
        <v>57343611.907627545</v>
      </c>
      <c r="BN181" s="798">
        <f t="shared" si="148"/>
        <v>57343611.907627545</v>
      </c>
      <c r="BO181" s="798">
        <f t="shared" si="148"/>
        <v>57343611.907627545</v>
      </c>
      <c r="BP181" s="798">
        <f t="shared" si="148"/>
        <v>57343611.907627545</v>
      </c>
      <c r="BQ181" s="798">
        <f t="shared" si="148"/>
        <v>57343611.907627545</v>
      </c>
      <c r="BR181" s="798">
        <f t="shared" ref="BR181:EC181" si="149">SUM(BR178:BR180)</f>
        <v>57343611.907627545</v>
      </c>
      <c r="BS181" s="798">
        <f t="shared" si="149"/>
        <v>57343611.907627545</v>
      </c>
      <c r="BT181" s="798">
        <f t="shared" si="149"/>
        <v>57343611.907627545</v>
      </c>
      <c r="BU181" s="798">
        <f t="shared" si="149"/>
        <v>57343611.907627545</v>
      </c>
      <c r="BV181" s="798">
        <f t="shared" si="149"/>
        <v>57343611.907627545</v>
      </c>
      <c r="BW181" s="798">
        <f t="shared" si="149"/>
        <v>57343611.907627545</v>
      </c>
      <c r="BX181" s="798">
        <f t="shared" si="149"/>
        <v>57343611.907627545</v>
      </c>
      <c r="BY181" s="798">
        <f t="shared" si="149"/>
        <v>57343611.907627545</v>
      </c>
      <c r="BZ181" s="798">
        <f t="shared" si="149"/>
        <v>57343611.907627545</v>
      </c>
      <c r="CA181" s="798">
        <f t="shared" si="149"/>
        <v>57343611.907627545</v>
      </c>
      <c r="CB181" s="798">
        <f t="shared" si="149"/>
        <v>57343611.907627545</v>
      </c>
      <c r="CC181" s="798">
        <f t="shared" si="149"/>
        <v>57343611.907627545</v>
      </c>
      <c r="CD181" s="798">
        <f t="shared" si="149"/>
        <v>57343611.907627545</v>
      </c>
      <c r="CE181" s="798">
        <f t="shared" si="149"/>
        <v>57343611.907627545</v>
      </c>
      <c r="CF181" s="798">
        <f t="shared" si="149"/>
        <v>57343611.907627545</v>
      </c>
      <c r="CG181" s="798">
        <f t="shared" si="149"/>
        <v>57343611.907627545</v>
      </c>
      <c r="CH181" s="798">
        <f t="shared" si="149"/>
        <v>57343611.907627545</v>
      </c>
      <c r="CI181" s="798">
        <f t="shared" si="149"/>
        <v>57343611.907627545</v>
      </c>
      <c r="CJ181" s="798">
        <f t="shared" si="149"/>
        <v>57343611.907627545</v>
      </c>
      <c r="CK181" s="798">
        <f t="shared" si="149"/>
        <v>57343611.907627545</v>
      </c>
      <c r="CL181" s="798">
        <f t="shared" si="149"/>
        <v>57343611.907627545</v>
      </c>
      <c r="CM181" s="798">
        <f t="shared" si="149"/>
        <v>57343611.907627545</v>
      </c>
      <c r="CN181" s="798">
        <f t="shared" si="149"/>
        <v>57343611.907627545</v>
      </c>
      <c r="CO181" s="798">
        <f t="shared" si="149"/>
        <v>57343611.907627545</v>
      </c>
      <c r="CP181" s="798">
        <f t="shared" si="149"/>
        <v>57343611.907627545</v>
      </c>
      <c r="CQ181" s="798">
        <f t="shared" si="149"/>
        <v>57343611.907627545</v>
      </c>
      <c r="CR181" s="798">
        <f t="shared" si="149"/>
        <v>57343611.907627545</v>
      </c>
      <c r="CS181" s="798">
        <f t="shared" si="149"/>
        <v>57343611.907627545</v>
      </c>
      <c r="CT181" s="798">
        <f t="shared" si="149"/>
        <v>57343611.907627545</v>
      </c>
      <c r="CU181" s="798">
        <f t="shared" si="149"/>
        <v>57343611.907627545</v>
      </c>
      <c r="CV181" s="798">
        <f t="shared" si="149"/>
        <v>57343611.907627545</v>
      </c>
      <c r="CW181" s="798">
        <f t="shared" si="149"/>
        <v>57343611.907627545</v>
      </c>
      <c r="CX181" s="798">
        <f t="shared" si="149"/>
        <v>57343611.907627545</v>
      </c>
      <c r="CY181" s="798">
        <f t="shared" si="149"/>
        <v>57343611.907627545</v>
      </c>
      <c r="CZ181" s="798">
        <f t="shared" si="149"/>
        <v>57343611.907627545</v>
      </c>
      <c r="DA181" s="798">
        <f t="shared" si="149"/>
        <v>57343611.907627545</v>
      </c>
      <c r="DB181" s="798">
        <f t="shared" si="149"/>
        <v>57343611.907627545</v>
      </c>
      <c r="DC181" s="798">
        <f t="shared" si="149"/>
        <v>57343611.907627545</v>
      </c>
      <c r="DD181" s="798">
        <f t="shared" si="149"/>
        <v>57343611.907627545</v>
      </c>
      <c r="DE181" s="798">
        <f t="shared" si="149"/>
        <v>57343611.907627545</v>
      </c>
      <c r="DF181" s="798">
        <f t="shared" si="149"/>
        <v>57343611.907627545</v>
      </c>
      <c r="DG181" s="798">
        <f t="shared" si="149"/>
        <v>57343611.907627545</v>
      </c>
      <c r="DH181" s="798">
        <f t="shared" si="149"/>
        <v>57343611.907627545</v>
      </c>
      <c r="DI181" s="798">
        <f t="shared" si="149"/>
        <v>57343611.907627545</v>
      </c>
      <c r="DJ181" s="798">
        <f t="shared" si="149"/>
        <v>57343611.907627545</v>
      </c>
      <c r="DK181" s="798">
        <f t="shared" si="149"/>
        <v>57343611.907627545</v>
      </c>
      <c r="DL181" s="798">
        <f t="shared" si="149"/>
        <v>57343611.907627545</v>
      </c>
      <c r="DM181" s="798">
        <f t="shared" si="149"/>
        <v>57343611.907627545</v>
      </c>
      <c r="DN181" s="798">
        <f t="shared" si="149"/>
        <v>57343611.907627545</v>
      </c>
      <c r="DO181" s="798">
        <f t="shared" si="149"/>
        <v>57343611.907627545</v>
      </c>
      <c r="DP181" s="798">
        <f t="shared" si="149"/>
        <v>57343611.907627545</v>
      </c>
      <c r="DQ181" s="798">
        <f t="shared" si="149"/>
        <v>57343611.907627545</v>
      </c>
      <c r="DR181" s="798">
        <f t="shared" si="149"/>
        <v>57343611.907627545</v>
      </c>
      <c r="DS181" s="798">
        <f t="shared" si="149"/>
        <v>57343611.907627545</v>
      </c>
      <c r="DT181" s="798">
        <f t="shared" si="149"/>
        <v>57343611.907627545</v>
      </c>
      <c r="DU181" s="798">
        <f t="shared" si="149"/>
        <v>57343611.907627545</v>
      </c>
      <c r="DV181" s="798">
        <f t="shared" si="149"/>
        <v>57343611.907627545</v>
      </c>
      <c r="DW181" s="798">
        <f t="shared" si="149"/>
        <v>57343611.907627545</v>
      </c>
      <c r="DX181" s="798">
        <f t="shared" si="149"/>
        <v>57343611.907627545</v>
      </c>
      <c r="DY181" s="798">
        <f t="shared" si="149"/>
        <v>57343611.907627545</v>
      </c>
      <c r="DZ181" s="798">
        <f t="shared" si="149"/>
        <v>57343611.907627545</v>
      </c>
      <c r="EA181" s="798">
        <f t="shared" si="149"/>
        <v>57343611.907627545</v>
      </c>
      <c r="EB181" s="798">
        <f t="shared" si="149"/>
        <v>57343611.907627545</v>
      </c>
      <c r="EC181" s="798">
        <f t="shared" si="149"/>
        <v>57343611.907627538</v>
      </c>
      <c r="ED181" s="798">
        <f>SUM(ED178:ED180)</f>
        <v>57343611.907627538</v>
      </c>
      <c r="EE181" s="798">
        <f>SUM(EE178:EE180)</f>
        <v>57343611.907626979</v>
      </c>
      <c r="EF181" s="798">
        <f>SUM(EF178:EF180)</f>
        <v>57343611.907626964</v>
      </c>
      <c r="EG181" s="798">
        <f>SUM(EG178:EG180)</f>
        <v>57343611.90762639</v>
      </c>
      <c r="EH181" s="782"/>
    </row>
    <row r="182" spans="1:138" ht="12.75" customHeight="1" x14ac:dyDescent="0.3">
      <c r="A182" s="782"/>
      <c r="B182" s="782" t="s">
        <v>109</v>
      </c>
      <c r="C182" s="798"/>
      <c r="D182" s="782"/>
      <c r="E182" s="798">
        <f>E179*-'Venture Assumptions'!$F$67</f>
        <v>0</v>
      </c>
      <c r="F182" s="798">
        <f>F179*-'Venture Assumptions'!$F$67</f>
        <v>0</v>
      </c>
      <c r="G182" s="798">
        <f>G179*-'Venture Assumptions'!$F$67</f>
        <v>0</v>
      </c>
      <c r="H182" s="798">
        <f>H179*-'Venture Assumptions'!$F$67</f>
        <v>0</v>
      </c>
      <c r="I182" s="798">
        <f>I179*-'Venture Assumptions'!$F$67</f>
        <v>0</v>
      </c>
      <c r="J182" s="798">
        <f>J179*-'Venture Assumptions'!$F$67</f>
        <v>0</v>
      </c>
      <c r="K182" s="798">
        <f>K179*-'Venture Assumptions'!$F$67</f>
        <v>0</v>
      </c>
      <c r="L182" s="798">
        <f>L179*-'Venture Assumptions'!$F$67</f>
        <v>0</v>
      </c>
      <c r="M182" s="798">
        <f>M179*-'Venture Assumptions'!$F$67</f>
        <v>0</v>
      </c>
      <c r="N182" s="798">
        <f>N179*-'Venture Assumptions'!$F$67</f>
        <v>0</v>
      </c>
      <c r="O182" s="798">
        <f>O179*-'Venture Assumptions'!$F$67</f>
        <v>0</v>
      </c>
      <c r="P182" s="798">
        <f>P179*-'Venture Assumptions'!$F$67</f>
        <v>0</v>
      </c>
      <c r="Q182" s="798">
        <f>Q179*-'Venture Assumptions'!$F$67</f>
        <v>0</v>
      </c>
      <c r="R182" s="798">
        <f>R179*-'Venture Assumptions'!$F$67</f>
        <v>0</v>
      </c>
      <c r="S182" s="798">
        <f>S179*-'Venture Assumptions'!$F$67</f>
        <v>0</v>
      </c>
      <c r="T182" s="798">
        <f>T179*-'Venture Assumptions'!$F$67</f>
        <v>0</v>
      </c>
      <c r="U182" s="798">
        <f>U179*-'Venture Assumptions'!$F$67</f>
        <v>0</v>
      </c>
      <c r="V182" s="798">
        <f>V179*-'Venture Assumptions'!$F$67</f>
        <v>0</v>
      </c>
      <c r="W182" s="798">
        <f>W179*-'Venture Assumptions'!$F$67</f>
        <v>0</v>
      </c>
      <c r="X182" s="798">
        <f>X179*-'Venture Assumptions'!$F$67</f>
        <v>0</v>
      </c>
      <c r="Y182" s="798">
        <f>Y179*-'Venture Assumptions'!$F$67</f>
        <v>0</v>
      </c>
      <c r="Z182" s="798">
        <f>Z179*-'Venture Assumptions'!$F$67</f>
        <v>0</v>
      </c>
      <c r="AA182" s="798">
        <f>AA179*-'Venture Assumptions'!$F$67</f>
        <v>0</v>
      </c>
      <c r="AB182" s="798">
        <f>AB179*-'Venture Assumptions'!$F$67</f>
        <v>0</v>
      </c>
      <c r="AC182" s="798">
        <f>AC179*-'Venture Assumptions'!$F$67</f>
        <v>0</v>
      </c>
      <c r="AD182" s="798">
        <f>AD179*-'Venture Assumptions'!$F$67</f>
        <v>0</v>
      </c>
      <c r="AE182" s="798">
        <f>AE179*-'Venture Assumptions'!$F$67</f>
        <v>0</v>
      </c>
      <c r="AF182" s="798">
        <f>AF179*-'Venture Assumptions'!$F$67</f>
        <v>0</v>
      </c>
      <c r="AG182" s="798">
        <f>AG179*-'Venture Assumptions'!$F$67</f>
        <v>0</v>
      </c>
      <c r="AH182" s="798">
        <f>AH179*-'Venture Assumptions'!$F$67</f>
        <v>0</v>
      </c>
      <c r="AI182" s="798">
        <f>AI179*-'Venture Assumptions'!$F$67</f>
        <v>0</v>
      </c>
      <c r="AJ182" s="798">
        <f>AJ179*-'Venture Assumptions'!$F$67</f>
        <v>0</v>
      </c>
      <c r="AK182" s="798">
        <f>AK179*-'Venture Assumptions'!$F$67</f>
        <v>0</v>
      </c>
      <c r="AL182" s="798">
        <f>AL179*-'Venture Assumptions'!$F$67</f>
        <v>-573436.1190762755</v>
      </c>
      <c r="AM182" s="798">
        <f>AM179*-'Venture Assumptions'!$F$67</f>
        <v>0</v>
      </c>
      <c r="AN182" s="798">
        <f>AN179*-'Venture Assumptions'!$F$67</f>
        <v>0</v>
      </c>
      <c r="AO182" s="798">
        <f>AO179*-'Venture Assumptions'!$F$67</f>
        <v>0</v>
      </c>
      <c r="AP182" s="798">
        <f>AP179*-'Venture Assumptions'!$F$67</f>
        <v>0</v>
      </c>
      <c r="AQ182" s="798">
        <f>AQ179*-'Venture Assumptions'!$F$67</f>
        <v>0</v>
      </c>
      <c r="AR182" s="798">
        <f>AR179*-'Venture Assumptions'!$F$67</f>
        <v>0</v>
      </c>
      <c r="AS182" s="798">
        <f>AS179*-'Venture Assumptions'!$F$67</f>
        <v>0</v>
      </c>
      <c r="AT182" s="798">
        <f>AT179*-'Venture Assumptions'!$F$67</f>
        <v>0</v>
      </c>
      <c r="AU182" s="798">
        <f>AU179*-'Venture Assumptions'!$F$67</f>
        <v>0</v>
      </c>
      <c r="AV182" s="798">
        <f>AV179*-'Venture Assumptions'!$F$67</f>
        <v>0</v>
      </c>
      <c r="AW182" s="798">
        <f>AW179*-'Venture Assumptions'!$F$67</f>
        <v>0</v>
      </c>
      <c r="AX182" s="798">
        <f>AX179*-'Venture Assumptions'!$F$67</f>
        <v>0</v>
      </c>
      <c r="AY182" s="798">
        <f>AY179*-'Venture Assumptions'!$F$67</f>
        <v>0</v>
      </c>
      <c r="AZ182" s="798">
        <f>AZ179*-'Venture Assumptions'!$F$67</f>
        <v>0</v>
      </c>
      <c r="BA182" s="798">
        <f>BA179*-'Venture Assumptions'!$F$67</f>
        <v>0</v>
      </c>
      <c r="BB182" s="798">
        <f>BB179*-'Venture Assumptions'!$F$67</f>
        <v>0</v>
      </c>
      <c r="BC182" s="798">
        <f>BC179*-'Venture Assumptions'!$F$67</f>
        <v>0</v>
      </c>
      <c r="BD182" s="798">
        <f>BD179*-'Venture Assumptions'!$F$67</f>
        <v>0</v>
      </c>
      <c r="BE182" s="798">
        <f>BE179*-'Venture Assumptions'!$F$67</f>
        <v>0</v>
      </c>
      <c r="BF182" s="798">
        <f>BF179*-'Venture Assumptions'!$F$67</f>
        <v>0</v>
      </c>
      <c r="BG182" s="798">
        <f>BG179*-'Venture Assumptions'!$F$67</f>
        <v>0</v>
      </c>
      <c r="BH182" s="798">
        <f>BH179*-'Venture Assumptions'!$F$67</f>
        <v>0</v>
      </c>
      <c r="BI182" s="798">
        <f>BI179*-'Venture Assumptions'!$F$67</f>
        <v>0</v>
      </c>
      <c r="BJ182" s="798">
        <f>BJ179*-'Venture Assumptions'!$F$67</f>
        <v>0</v>
      </c>
      <c r="BK182" s="798">
        <f>BK179*-'Venture Assumptions'!$F$67</f>
        <v>0</v>
      </c>
      <c r="BL182" s="798">
        <f>BL179*-'Venture Assumptions'!$F$67</f>
        <v>0</v>
      </c>
      <c r="BM182" s="798">
        <f>BM179*-'Venture Assumptions'!$F$67</f>
        <v>0</v>
      </c>
      <c r="BN182" s="798">
        <f>BN179*-'Venture Assumptions'!$F$67</f>
        <v>0</v>
      </c>
      <c r="BO182" s="798">
        <f>BO179*-'Venture Assumptions'!$F$67</f>
        <v>0</v>
      </c>
      <c r="BP182" s="798">
        <f>BP179*-'Venture Assumptions'!$F$67</f>
        <v>0</v>
      </c>
      <c r="BQ182" s="798">
        <f>BQ179*-'Venture Assumptions'!$F$67</f>
        <v>0</v>
      </c>
      <c r="BR182" s="798">
        <f>BR179*-'Venture Assumptions'!$F$67</f>
        <v>0</v>
      </c>
      <c r="BS182" s="798">
        <f>BS179*-'Venture Assumptions'!$F$67</f>
        <v>0</v>
      </c>
      <c r="BT182" s="798">
        <f>BT179*-'Venture Assumptions'!$F$67</f>
        <v>0</v>
      </c>
      <c r="BU182" s="798">
        <f>BU179*-'Venture Assumptions'!$F$67</f>
        <v>0</v>
      </c>
      <c r="BV182" s="798">
        <f>BV179*-'Venture Assumptions'!$F$67</f>
        <v>0</v>
      </c>
      <c r="BW182" s="798">
        <f>BW179*-'Venture Assumptions'!$F$67</f>
        <v>0</v>
      </c>
      <c r="BX182" s="798">
        <f>BX179*-'Venture Assumptions'!$F$67</f>
        <v>0</v>
      </c>
      <c r="BY182" s="798">
        <f>BY179*-'Venture Assumptions'!$F$67</f>
        <v>0</v>
      </c>
      <c r="BZ182" s="798">
        <f>BZ179*-'Venture Assumptions'!$F$67</f>
        <v>0</v>
      </c>
      <c r="CA182" s="798">
        <f>CA179*-'Venture Assumptions'!$F$67</f>
        <v>0</v>
      </c>
      <c r="CB182" s="798">
        <f>CB179*-'Venture Assumptions'!$F$67</f>
        <v>0</v>
      </c>
      <c r="CC182" s="798">
        <f>CC179*-'Venture Assumptions'!$F$67</f>
        <v>0</v>
      </c>
      <c r="CD182" s="798">
        <f>CD179*-'Venture Assumptions'!$F$67</f>
        <v>0</v>
      </c>
      <c r="CE182" s="798">
        <f>CE179*-'Venture Assumptions'!$F$67</f>
        <v>0</v>
      </c>
      <c r="CF182" s="798">
        <f>CF179*-'Venture Assumptions'!$F$67</f>
        <v>0</v>
      </c>
      <c r="CG182" s="798">
        <f>CG179*-'Venture Assumptions'!$F$67</f>
        <v>0</v>
      </c>
      <c r="CH182" s="798">
        <f>CH179*-'Venture Assumptions'!$F$67</f>
        <v>0</v>
      </c>
      <c r="CI182" s="798">
        <f>CI179*-'Venture Assumptions'!$F$67</f>
        <v>0</v>
      </c>
      <c r="CJ182" s="798">
        <f>CJ179*-'Venture Assumptions'!$F$67</f>
        <v>0</v>
      </c>
      <c r="CK182" s="798">
        <f>CK179*-'Venture Assumptions'!$F$67</f>
        <v>0</v>
      </c>
      <c r="CL182" s="798">
        <f>CL179*-'Venture Assumptions'!$F$67</f>
        <v>0</v>
      </c>
      <c r="CM182" s="798">
        <f>CM179*-'Venture Assumptions'!$F$67</f>
        <v>0</v>
      </c>
      <c r="CN182" s="798">
        <f>CN179*-'Venture Assumptions'!$F$67</f>
        <v>0</v>
      </c>
      <c r="CO182" s="798">
        <f>CO179*-'Venture Assumptions'!$F$67</f>
        <v>0</v>
      </c>
      <c r="CP182" s="798">
        <f>CP179*-'Venture Assumptions'!$F$67</f>
        <v>0</v>
      </c>
      <c r="CQ182" s="798">
        <f>CQ179*-'Venture Assumptions'!$F$67</f>
        <v>0</v>
      </c>
      <c r="CR182" s="798">
        <f>CR179*-'Venture Assumptions'!$F$67</f>
        <v>0</v>
      </c>
      <c r="CS182" s="798">
        <f>CS179*-'Venture Assumptions'!$F$67</f>
        <v>0</v>
      </c>
      <c r="CT182" s="798">
        <f>CT179*-'Venture Assumptions'!$F$67</f>
        <v>0</v>
      </c>
      <c r="CU182" s="798">
        <f>CU179*-'Venture Assumptions'!$F$67</f>
        <v>0</v>
      </c>
      <c r="CV182" s="798">
        <f>CV179*-'Venture Assumptions'!$F$67</f>
        <v>0</v>
      </c>
      <c r="CW182" s="798">
        <f>CW179*-'Venture Assumptions'!$F$67</f>
        <v>0</v>
      </c>
      <c r="CX182" s="798">
        <f>CX179*-'Venture Assumptions'!$F$67</f>
        <v>0</v>
      </c>
      <c r="CY182" s="798">
        <f>CY179*-'Venture Assumptions'!$F$67</f>
        <v>0</v>
      </c>
      <c r="CZ182" s="798">
        <f>CZ179*-'Venture Assumptions'!$F$67</f>
        <v>0</v>
      </c>
      <c r="DA182" s="798">
        <f>DA179*-'Venture Assumptions'!$F$67</f>
        <v>0</v>
      </c>
      <c r="DB182" s="798">
        <f>DB179*-'Venture Assumptions'!$F$67</f>
        <v>0</v>
      </c>
      <c r="DC182" s="798">
        <f>DC179*-'Venture Assumptions'!$F$67</f>
        <v>0</v>
      </c>
      <c r="DD182" s="798">
        <f>DD179*-'Venture Assumptions'!$F$67</f>
        <v>0</v>
      </c>
      <c r="DE182" s="798">
        <f>DE179*-'Venture Assumptions'!$F$67</f>
        <v>0</v>
      </c>
      <c r="DF182" s="798">
        <f>DF179*-'Venture Assumptions'!$F$67</f>
        <v>0</v>
      </c>
      <c r="DG182" s="798">
        <f>DG179*-'Venture Assumptions'!$F$67</f>
        <v>0</v>
      </c>
      <c r="DH182" s="798">
        <f>DH179*-'Venture Assumptions'!$F$67</f>
        <v>0</v>
      </c>
      <c r="DI182" s="798">
        <f>DI179*-'Venture Assumptions'!$F$67</f>
        <v>0</v>
      </c>
      <c r="DJ182" s="798">
        <f>DJ179*-'Venture Assumptions'!$F$67</f>
        <v>0</v>
      </c>
      <c r="DK182" s="798">
        <f>DK179*-'Venture Assumptions'!$F$67</f>
        <v>0</v>
      </c>
      <c r="DL182" s="798">
        <f>DL179*-'Venture Assumptions'!$F$67</f>
        <v>0</v>
      </c>
      <c r="DM182" s="798">
        <f>DM179*-'Venture Assumptions'!$F$67</f>
        <v>0</v>
      </c>
      <c r="DN182" s="798">
        <f>DN179*-'Venture Assumptions'!$F$67</f>
        <v>0</v>
      </c>
      <c r="DO182" s="798">
        <f>DO179*-'Venture Assumptions'!$F$67</f>
        <v>0</v>
      </c>
      <c r="DP182" s="798">
        <f>DP179*-'Venture Assumptions'!$F$67</f>
        <v>0</v>
      </c>
      <c r="DQ182" s="798">
        <f>DQ179*-'Venture Assumptions'!$F$67</f>
        <v>0</v>
      </c>
      <c r="DR182" s="798">
        <f>DR179*-'Venture Assumptions'!$F$67</f>
        <v>0</v>
      </c>
      <c r="DS182" s="798">
        <f>DS179*-'Venture Assumptions'!$F$67</f>
        <v>0</v>
      </c>
      <c r="DT182" s="798">
        <f>DT179*-'Venture Assumptions'!$F$67</f>
        <v>0</v>
      </c>
      <c r="DU182" s="798">
        <f>DU179*-'Venture Assumptions'!$F$67</f>
        <v>0</v>
      </c>
      <c r="DV182" s="798">
        <f>DV179*-'Venture Assumptions'!$F$67</f>
        <v>0</v>
      </c>
      <c r="DW182" s="798">
        <f>DW179*-'Venture Assumptions'!$F$67</f>
        <v>0</v>
      </c>
      <c r="DX182" s="798">
        <f>DX179*-'Venture Assumptions'!$F$67</f>
        <v>0</v>
      </c>
      <c r="DY182" s="798">
        <f>DY179*-'Venture Assumptions'!$F$67</f>
        <v>0</v>
      </c>
      <c r="DZ182" s="798">
        <f>DZ179*-'Venture Assumptions'!$F$67</f>
        <v>0</v>
      </c>
      <c r="EA182" s="798">
        <f>EA179*-'Venture Assumptions'!$F$67</f>
        <v>0</v>
      </c>
      <c r="EB182" s="798">
        <f>EB179*-'Venture Assumptions'!$F$67</f>
        <v>0</v>
      </c>
      <c r="EC182" s="798">
        <f>EC179*-'Venture Assumptions'!$F$67</f>
        <v>0</v>
      </c>
      <c r="ED182" s="798">
        <f>ED179*-'Venture Assumptions'!$F$67</f>
        <v>0</v>
      </c>
      <c r="EE182" s="798">
        <f>EE179*-'Venture Assumptions'!$F$67</f>
        <v>0</v>
      </c>
      <c r="EF182" s="798">
        <f>EF179*-'Venture Assumptions'!$F$67</f>
        <v>0</v>
      </c>
      <c r="EG182" s="798">
        <f>EG179*-'Venture Assumptions'!$F$67</f>
        <v>0</v>
      </c>
      <c r="EH182" s="782"/>
    </row>
    <row r="183" spans="1:138" ht="12.75" customHeight="1" x14ac:dyDescent="0.3">
      <c r="A183" s="782"/>
      <c r="B183" s="1363" t="s">
        <v>20</v>
      </c>
      <c r="C183" s="1364"/>
      <c r="D183" s="1363"/>
      <c r="E183" s="1364">
        <f>E178*-E660</f>
        <v>0</v>
      </c>
      <c r="F183" s="1364">
        <f t="shared" ref="F183:BQ183" si="150">F178*-F660</f>
        <v>0</v>
      </c>
      <c r="G183" s="1364">
        <f t="shared" si="150"/>
        <v>0</v>
      </c>
      <c r="H183" s="1364">
        <f t="shared" si="150"/>
        <v>0</v>
      </c>
      <c r="I183" s="1364">
        <f t="shared" si="150"/>
        <v>0</v>
      </c>
      <c r="J183" s="1364">
        <f t="shared" si="150"/>
        <v>0</v>
      </c>
      <c r="K183" s="1364">
        <f t="shared" si="150"/>
        <v>0</v>
      </c>
      <c r="L183" s="1364">
        <f t="shared" si="150"/>
        <v>0</v>
      </c>
      <c r="M183" s="1364">
        <f t="shared" si="150"/>
        <v>0</v>
      </c>
      <c r="N183" s="1364">
        <f t="shared" si="150"/>
        <v>0</v>
      </c>
      <c r="O183" s="1364">
        <f t="shared" si="150"/>
        <v>0</v>
      </c>
      <c r="P183" s="1364">
        <f t="shared" si="150"/>
        <v>0</v>
      </c>
      <c r="Q183" s="1364">
        <f t="shared" si="150"/>
        <v>0</v>
      </c>
      <c r="R183" s="1364">
        <f t="shared" si="150"/>
        <v>0</v>
      </c>
      <c r="S183" s="1364">
        <f t="shared" si="150"/>
        <v>0</v>
      </c>
      <c r="T183" s="1364">
        <f t="shared" si="150"/>
        <v>0</v>
      </c>
      <c r="U183" s="1364">
        <f t="shared" si="150"/>
        <v>0</v>
      </c>
      <c r="V183" s="1364">
        <f t="shared" si="150"/>
        <v>0</v>
      </c>
      <c r="W183" s="1364">
        <f t="shared" si="150"/>
        <v>0</v>
      </c>
      <c r="X183" s="1364">
        <f t="shared" si="150"/>
        <v>0</v>
      </c>
      <c r="Y183" s="1364">
        <f t="shared" si="150"/>
        <v>0</v>
      </c>
      <c r="Z183" s="1364">
        <f t="shared" si="150"/>
        <v>0</v>
      </c>
      <c r="AA183" s="1364">
        <f t="shared" si="150"/>
        <v>0</v>
      </c>
      <c r="AB183" s="1364">
        <f t="shared" si="150"/>
        <v>0</v>
      </c>
      <c r="AC183" s="1364">
        <f t="shared" si="150"/>
        <v>0</v>
      </c>
      <c r="AD183" s="1364">
        <f t="shared" si="150"/>
        <v>0</v>
      </c>
      <c r="AE183" s="1364">
        <f t="shared" si="150"/>
        <v>0</v>
      </c>
      <c r="AF183" s="1364">
        <f t="shared" si="150"/>
        <v>0</v>
      </c>
      <c r="AG183" s="1364">
        <f t="shared" si="150"/>
        <v>0</v>
      </c>
      <c r="AH183" s="1364">
        <f t="shared" si="150"/>
        <v>0</v>
      </c>
      <c r="AI183" s="1364">
        <f t="shared" si="150"/>
        <v>0</v>
      </c>
      <c r="AJ183" s="1364">
        <f t="shared" si="150"/>
        <v>0</v>
      </c>
      <c r="AK183" s="1364">
        <f t="shared" si="150"/>
        <v>0</v>
      </c>
      <c r="AL183" s="1364">
        <f t="shared" si="150"/>
        <v>0</v>
      </c>
      <c r="AM183" s="1364">
        <f t="shared" si="150"/>
        <v>-220486.6656482605</v>
      </c>
      <c r="AN183" s="1364">
        <f t="shared" si="150"/>
        <v>-220610.43227729443</v>
      </c>
      <c r="AO183" s="1364">
        <f t="shared" si="150"/>
        <v>-220759.52566825427</v>
      </c>
      <c r="AP183" s="1364">
        <f t="shared" si="150"/>
        <v>-220904.79615175357</v>
      </c>
      <c r="AQ183" s="1364">
        <f t="shared" si="150"/>
        <v>-221040.0315031691</v>
      </c>
      <c r="AR183" s="1364">
        <f t="shared" si="150"/>
        <v>-221206.80584113376</v>
      </c>
      <c r="AS183" s="1364">
        <f t="shared" si="150"/>
        <v>-221367.36795447514</v>
      </c>
      <c r="AT183" s="1364">
        <f t="shared" si="150"/>
        <v>-221509.77125737903</v>
      </c>
      <c r="AU183" s="1364">
        <f t="shared" si="150"/>
        <v>-221715.2525333814</v>
      </c>
      <c r="AV183" s="1364">
        <f t="shared" si="150"/>
        <v>-221908.78722356964</v>
      </c>
      <c r="AW183" s="1364">
        <f t="shared" si="150"/>
        <v>-222117.61354359993</v>
      </c>
      <c r="AX183" s="1364">
        <f t="shared" si="150"/>
        <v>-222375.18193375168</v>
      </c>
      <c r="AY183" s="1364">
        <f t="shared" si="150"/>
        <v>-222633.70605076858</v>
      </c>
      <c r="AZ183" s="1364">
        <f t="shared" si="150"/>
        <v>-222884.58435286445</v>
      </c>
      <c r="BA183" s="1364">
        <f t="shared" si="150"/>
        <v>-223180.3818176213</v>
      </c>
      <c r="BB183" s="1364">
        <f t="shared" si="150"/>
        <v>-223494.81595624812</v>
      </c>
      <c r="BC183" s="1364">
        <f t="shared" si="150"/>
        <v>-223806.38291427953</v>
      </c>
      <c r="BD183" s="1364">
        <f t="shared" si="150"/>
        <v>-224156.17894691607</v>
      </c>
      <c r="BE183" s="1364">
        <f t="shared" si="150"/>
        <v>-224525.56738028771</v>
      </c>
      <c r="BF183" s="1364">
        <f t="shared" si="150"/>
        <v>-224887.30999873838</v>
      </c>
      <c r="BG183" s="1364">
        <f t="shared" si="150"/>
        <v>-225267.21142762637</v>
      </c>
      <c r="BH183" s="1364">
        <f t="shared" si="150"/>
        <v>-225632.77695353748</v>
      </c>
      <c r="BI183" s="1364">
        <f t="shared" si="150"/>
        <v>-226024.14710480705</v>
      </c>
      <c r="BJ183" s="1364">
        <f t="shared" si="150"/>
        <v>-226380.15536206687</v>
      </c>
      <c r="BK183" s="1364">
        <f t="shared" si="150"/>
        <v>-226715.13762829395</v>
      </c>
      <c r="BL183" s="1364">
        <f t="shared" si="150"/>
        <v>-227090.26042285634</v>
      </c>
      <c r="BM183" s="1364">
        <f t="shared" si="150"/>
        <v>-227428.10986967882</v>
      </c>
      <c r="BN183" s="1364">
        <f t="shared" si="150"/>
        <v>-227747.32264263128</v>
      </c>
      <c r="BO183" s="1364">
        <f t="shared" si="150"/>
        <v>-228083.738499156</v>
      </c>
      <c r="BP183" s="1364">
        <f t="shared" si="150"/>
        <v>-228413.94213105741</v>
      </c>
      <c r="BQ183" s="1364">
        <f t="shared" si="150"/>
        <v>-228748.44653385191</v>
      </c>
      <c r="BR183" s="1364">
        <f t="shared" ref="BR183:EC183" si="151">BR178*-BR660</f>
        <v>-229036.1203202552</v>
      </c>
      <c r="BS183" s="1364">
        <f t="shared" si="151"/>
        <v>-229349.59873201689</v>
      </c>
      <c r="BT183" s="1364">
        <f t="shared" si="151"/>
        <v>-229626.75952290374</v>
      </c>
      <c r="BU183" s="1364">
        <f t="shared" si="151"/>
        <v>-229939.28220780031</v>
      </c>
      <c r="BV183" s="1364">
        <f t="shared" si="151"/>
        <v>-230234.60180912461</v>
      </c>
      <c r="BW183" s="1364">
        <f t="shared" si="151"/>
        <v>-230506.0282388207</v>
      </c>
      <c r="BX183" s="1364">
        <f t="shared" si="151"/>
        <v>-230800.3921132799</v>
      </c>
      <c r="BY183" s="1364">
        <f t="shared" si="151"/>
        <v>-231068.47349894801</v>
      </c>
      <c r="BZ183" s="1364">
        <f t="shared" si="151"/>
        <v>-231352.80224132331</v>
      </c>
      <c r="CA183" s="1364">
        <f t="shared" si="151"/>
        <v>-231607.98131431229</v>
      </c>
      <c r="CB183" s="1364">
        <f t="shared" si="151"/>
        <v>-231853.1252552174</v>
      </c>
      <c r="CC183" s="1364">
        <f t="shared" si="151"/>
        <v>-232118.33946029012</v>
      </c>
      <c r="CD183" s="1364">
        <f t="shared" si="151"/>
        <v>-232339.11236613453</v>
      </c>
      <c r="CE183" s="1364">
        <f t="shared" si="151"/>
        <v>-232592.85784882578</v>
      </c>
      <c r="CF183" s="1364">
        <f t="shared" si="151"/>
        <v>-232825.09947705167</v>
      </c>
      <c r="CG183" s="1364">
        <f t="shared" si="151"/>
        <v>-233075.97777914754</v>
      </c>
      <c r="CH183" s="1364">
        <f t="shared" si="151"/>
        <v>-233316.34308572704</v>
      </c>
      <c r="CI183" s="1364">
        <f t="shared" si="151"/>
        <v>-233586.81378855801</v>
      </c>
      <c r="CJ183" s="1364">
        <f t="shared" si="151"/>
        <v>-233833.86918319334</v>
      </c>
      <c r="CK183" s="1364">
        <f t="shared" si="151"/>
        <v>-234057.98713306565</v>
      </c>
      <c r="CL183" s="1364">
        <f t="shared" si="151"/>
        <v>-234319.37843067796</v>
      </c>
      <c r="CM183" s="1364">
        <f t="shared" si="151"/>
        <v>-234557.83228352715</v>
      </c>
      <c r="CN183" s="1364">
        <f t="shared" si="151"/>
        <v>-234801.54263413456</v>
      </c>
      <c r="CO183" s="1364">
        <f t="shared" si="151"/>
        <v>-235051.94307279788</v>
      </c>
      <c r="CP183" s="1364">
        <f t="shared" si="151"/>
        <v>-235273.19384207478</v>
      </c>
      <c r="CQ183" s="1364">
        <f t="shared" si="151"/>
        <v>-235528.37291506375</v>
      </c>
      <c r="CR183" s="1364">
        <f t="shared" si="151"/>
        <v>-235788.33062237833</v>
      </c>
      <c r="CS183" s="1364">
        <f t="shared" si="151"/>
        <v>-236037.29747074397</v>
      </c>
      <c r="CT183" s="1364">
        <f t="shared" si="151"/>
        <v>-236261.8932840488</v>
      </c>
      <c r="CU183" s="1364">
        <f t="shared" si="151"/>
        <v>-236523.76244509366</v>
      </c>
      <c r="CV183" s="1364">
        <f t="shared" si="151"/>
        <v>-236772.72929345924</v>
      </c>
      <c r="CW183" s="1364">
        <f t="shared" si="151"/>
        <v>-237005.44878511771</v>
      </c>
      <c r="CX183" s="1364">
        <f t="shared" si="151"/>
        <v>-237258.23854094383</v>
      </c>
      <c r="CY183" s="1364">
        <f t="shared" si="151"/>
        <v>-237499.08171095588</v>
      </c>
      <c r="CZ183" s="1364">
        <f t="shared" si="151"/>
        <v>-237771.94173094968</v>
      </c>
      <c r="DA183" s="1364">
        <f t="shared" si="151"/>
        <v>-238018.99712558504</v>
      </c>
      <c r="DB183" s="1364">
        <f t="shared" si="151"/>
        <v>-238234.03567023861</v>
      </c>
      <c r="DC183" s="1364">
        <f t="shared" si="151"/>
        <v>-238508.80714396265</v>
      </c>
      <c r="DD183" s="1364">
        <f t="shared" si="151"/>
        <v>-238746.30526994678</v>
      </c>
      <c r="DE183" s="1364">
        <f t="shared" si="151"/>
        <v>-238983.3255324983</v>
      </c>
      <c r="DF183" s="1364">
        <f t="shared" si="151"/>
        <v>-239254.75196219442</v>
      </c>
      <c r="DG183" s="1364">
        <f t="shared" si="151"/>
        <v>-239502.28522026233</v>
      </c>
      <c r="DH183" s="1364">
        <f t="shared" si="151"/>
        <v>-239729.27035073002</v>
      </c>
      <c r="DI183" s="1364">
        <f t="shared" si="151"/>
        <v>-239980.62651625843</v>
      </c>
      <c r="DJ183" s="1364">
        <f t="shared" si="151"/>
        <v>-240232.46054521948</v>
      </c>
      <c r="DK183" s="1364">
        <f t="shared" si="151"/>
        <v>-240465.6579003105</v>
      </c>
      <c r="DL183" s="1364">
        <f t="shared" si="151"/>
        <v>-240719.40338300174</v>
      </c>
      <c r="DM183" s="1364">
        <f t="shared" si="151"/>
        <v>-240971.23741196273</v>
      </c>
      <c r="DN183" s="1364">
        <f t="shared" si="151"/>
        <v>0</v>
      </c>
      <c r="DO183" s="1364">
        <f t="shared" si="151"/>
        <v>0</v>
      </c>
      <c r="DP183" s="1364">
        <f t="shared" si="151"/>
        <v>0</v>
      </c>
      <c r="DQ183" s="1364">
        <f t="shared" si="151"/>
        <v>0</v>
      </c>
      <c r="DR183" s="1364">
        <f t="shared" si="151"/>
        <v>0</v>
      </c>
      <c r="DS183" s="1364">
        <f t="shared" si="151"/>
        <v>0</v>
      </c>
      <c r="DT183" s="1364">
        <f t="shared" si="151"/>
        <v>0</v>
      </c>
      <c r="DU183" s="1364">
        <f t="shared" si="151"/>
        <v>0</v>
      </c>
      <c r="DV183" s="1364">
        <f t="shared" si="151"/>
        <v>0</v>
      </c>
      <c r="DW183" s="1364">
        <f t="shared" si="151"/>
        <v>0</v>
      </c>
      <c r="DX183" s="1364">
        <f t="shared" si="151"/>
        <v>0</v>
      </c>
      <c r="DY183" s="1364">
        <f t="shared" si="151"/>
        <v>0</v>
      </c>
      <c r="DZ183" s="1364">
        <f t="shared" si="151"/>
        <v>0</v>
      </c>
      <c r="EA183" s="1364">
        <f t="shared" si="151"/>
        <v>0</v>
      </c>
      <c r="EB183" s="1364">
        <f t="shared" si="151"/>
        <v>0</v>
      </c>
      <c r="EC183" s="1364">
        <f t="shared" si="151"/>
        <v>0</v>
      </c>
      <c r="ED183" s="1364">
        <f>ED178*-ED660</f>
        <v>0</v>
      </c>
      <c r="EE183" s="1364">
        <f>EE178*-EE660</f>
        <v>0</v>
      </c>
      <c r="EF183" s="1364">
        <f>EF178*-EF660</f>
        <v>0</v>
      </c>
      <c r="EG183" s="1364">
        <f>EG178*-EG660</f>
        <v>0</v>
      </c>
      <c r="EH183" s="782"/>
    </row>
    <row r="184" spans="1:138" ht="12.75" customHeight="1" x14ac:dyDescent="0.3">
      <c r="A184" s="782"/>
      <c r="B184" s="782" t="s">
        <v>110</v>
      </c>
      <c r="C184" s="798"/>
      <c r="D184" s="782"/>
      <c r="E184" s="798">
        <f>IF(AND(E178&gt;0,'Venture Assumptions'!$F$70&gt;0),PMT(INDEX('Venture Assumptions'!$L$83:$L$117,MATCH($B$2,'Venture Assumptions'!$I$83:$I$117,0)),'Venture Assumptions'!$F$70,SUM($E$179:$EG$179))/12,0)</f>
        <v>0</v>
      </c>
      <c r="F184" s="798">
        <f>IF(AND(F178&gt;0,'Venture Assumptions'!$F$70&gt;0),PMT(INDEX('Venture Assumptions'!$L$83:$L$117,MATCH($B$2,'Venture Assumptions'!$I$83:$I$117,0)),'Venture Assumptions'!$F$70,SUM($E$179:$EG$179))/12,0)</f>
        <v>0</v>
      </c>
      <c r="G184" s="798">
        <f>IF(AND(G178&gt;0,'Venture Assumptions'!$F$70&gt;0),PMT(INDEX('Venture Assumptions'!$L$83:$L$117,MATCH($B$2,'Venture Assumptions'!$I$83:$I$117,0)),'Venture Assumptions'!$F$70,SUM($E$179:$EG$179))/12,0)</f>
        <v>0</v>
      </c>
      <c r="H184" s="798">
        <f>IF(AND(H178&gt;0,'Venture Assumptions'!$F$70&gt;0),PMT(INDEX('Venture Assumptions'!$L$83:$L$117,MATCH($B$2,'Venture Assumptions'!$I$83:$I$117,0)),'Venture Assumptions'!$F$70,SUM($E$179:$EG$179))/12,0)</f>
        <v>0</v>
      </c>
      <c r="I184" s="798">
        <f>IF(AND(I178&gt;0,'Venture Assumptions'!$F$70&gt;0),PMT(INDEX('Venture Assumptions'!$L$83:$L$117,MATCH($B$2,'Venture Assumptions'!$I$83:$I$117,0)),'Venture Assumptions'!$F$70,SUM($E$179:$EG$179))/12,0)</f>
        <v>0</v>
      </c>
      <c r="J184" s="798">
        <f>IF(AND(J178&gt;0,'Venture Assumptions'!$F$70&gt;0),PMT(INDEX('Venture Assumptions'!$L$83:$L$117,MATCH($B$2,'Venture Assumptions'!$I$83:$I$117,0)),'Venture Assumptions'!$F$70,SUM($E$179:$EG$179))/12,0)</f>
        <v>0</v>
      </c>
      <c r="K184" s="798">
        <f>IF(AND(K178&gt;0,'Venture Assumptions'!$F$70&gt;0),PMT(INDEX('Venture Assumptions'!$L$83:$L$117,MATCH($B$2,'Venture Assumptions'!$I$83:$I$117,0)),'Venture Assumptions'!$F$70,SUM($E$179:$EG$179))/12,0)</f>
        <v>0</v>
      </c>
      <c r="L184" s="798">
        <f>IF(AND(L178&gt;0,'Venture Assumptions'!$F$70&gt;0),PMT(INDEX('Venture Assumptions'!$L$83:$L$117,MATCH($B$2,'Venture Assumptions'!$I$83:$I$117,0)),'Venture Assumptions'!$F$70,SUM($E$179:$EG$179))/12,0)</f>
        <v>0</v>
      </c>
      <c r="M184" s="798">
        <f>IF(AND(M178&gt;0,'Venture Assumptions'!$F$70&gt;0),PMT(INDEX('Venture Assumptions'!$L$83:$L$117,MATCH($B$2,'Venture Assumptions'!$I$83:$I$117,0)),'Venture Assumptions'!$F$70,SUM($E$179:$EG$179))/12,0)</f>
        <v>0</v>
      </c>
      <c r="N184" s="798">
        <f>IF(AND(N178&gt;0,'Venture Assumptions'!$F$70&gt;0),PMT(INDEX('Venture Assumptions'!$L$83:$L$117,MATCH($B$2,'Venture Assumptions'!$I$83:$I$117,0)),'Venture Assumptions'!$F$70,SUM($E$179:$EG$179))/12,0)</f>
        <v>0</v>
      </c>
      <c r="O184" s="798">
        <f>IF(AND(O178&gt;0,'Venture Assumptions'!$F$70&gt;0),PMT(INDEX('Venture Assumptions'!$L$83:$L$117,MATCH($B$2,'Venture Assumptions'!$I$83:$I$117,0)),'Venture Assumptions'!$F$70,SUM($E$179:$EG$179))/12,0)</f>
        <v>0</v>
      </c>
      <c r="P184" s="798">
        <f>IF(AND(P178&gt;0,'Venture Assumptions'!$F$70&gt;0),PMT(INDEX('Venture Assumptions'!$L$83:$L$117,MATCH($B$2,'Venture Assumptions'!$I$83:$I$117,0)),'Venture Assumptions'!$F$70,SUM($E$179:$EG$179))/12,0)</f>
        <v>0</v>
      </c>
      <c r="Q184" s="798">
        <f>IF(AND(Q178&gt;0,'Venture Assumptions'!$F$70&gt;0),PMT(INDEX('Venture Assumptions'!$L$83:$L$117,MATCH($B$2,'Venture Assumptions'!$I$83:$I$117,0)),'Venture Assumptions'!$F$70,SUM($E$179:$EG$179))/12,0)</f>
        <v>0</v>
      </c>
      <c r="R184" s="798">
        <f>IF(AND(R178&gt;0,'Venture Assumptions'!$F$70&gt;0),PMT(INDEX('Venture Assumptions'!$L$83:$L$117,MATCH($B$2,'Venture Assumptions'!$I$83:$I$117,0)),'Venture Assumptions'!$F$70,SUM($E$179:$EG$179))/12,0)</f>
        <v>0</v>
      </c>
      <c r="S184" s="798">
        <f>IF(AND(S178&gt;0,'Venture Assumptions'!$F$70&gt;0),PMT(INDEX('Venture Assumptions'!$L$83:$L$117,MATCH($B$2,'Venture Assumptions'!$I$83:$I$117,0)),'Venture Assumptions'!$F$70,SUM($E$179:$EG$179))/12,0)</f>
        <v>0</v>
      </c>
      <c r="T184" s="798">
        <f>IF(AND(T178&gt;0,'Venture Assumptions'!$F$70&gt;0),PMT(INDEX('Venture Assumptions'!$L$83:$L$117,MATCH($B$2,'Venture Assumptions'!$I$83:$I$117,0)),'Venture Assumptions'!$F$70,SUM($E$179:$EG$179))/12,0)</f>
        <v>0</v>
      </c>
      <c r="U184" s="798">
        <f>IF(AND(U178&gt;0,'Venture Assumptions'!$F$70&gt;0),PMT(INDEX('Venture Assumptions'!$L$83:$L$117,MATCH($B$2,'Venture Assumptions'!$I$83:$I$117,0)),'Venture Assumptions'!$F$70,SUM($E$179:$EG$179))/12,0)</f>
        <v>0</v>
      </c>
      <c r="V184" s="798">
        <f>IF(AND(V178&gt;0,'Venture Assumptions'!$F$70&gt;0),PMT(INDEX('Venture Assumptions'!$L$83:$L$117,MATCH($B$2,'Venture Assumptions'!$I$83:$I$117,0)),'Venture Assumptions'!$F$70,SUM($E$179:$EG$179))/12,0)</f>
        <v>0</v>
      </c>
      <c r="W184" s="798">
        <f>IF(AND(W178&gt;0,'Venture Assumptions'!$F$70&gt;0),PMT(INDEX('Venture Assumptions'!$L$83:$L$117,MATCH($B$2,'Venture Assumptions'!$I$83:$I$117,0)),'Venture Assumptions'!$F$70,SUM($E$179:$EG$179))/12,0)</f>
        <v>0</v>
      </c>
      <c r="X184" s="798">
        <f>IF(AND(X178&gt;0,'Venture Assumptions'!$F$70&gt;0),PMT(INDEX('Venture Assumptions'!$L$83:$L$117,MATCH($B$2,'Venture Assumptions'!$I$83:$I$117,0)),'Venture Assumptions'!$F$70,SUM($E$179:$EG$179))/12,0)</f>
        <v>0</v>
      </c>
      <c r="Y184" s="798">
        <f>IF(AND(Y178&gt;0,'Venture Assumptions'!$F$70&gt;0),PMT(INDEX('Venture Assumptions'!$L$83:$L$117,MATCH($B$2,'Venture Assumptions'!$I$83:$I$117,0)),'Venture Assumptions'!$F$70,SUM($E$179:$EG$179))/12,0)</f>
        <v>0</v>
      </c>
      <c r="Z184" s="798">
        <f>IF(AND(Z178&gt;0,'Venture Assumptions'!$F$70&gt;0),PMT(INDEX('Venture Assumptions'!$L$83:$L$117,MATCH($B$2,'Venture Assumptions'!$I$83:$I$117,0)),'Venture Assumptions'!$F$70,SUM($E$179:$EG$179))/12,0)</f>
        <v>0</v>
      </c>
      <c r="AA184" s="798">
        <f>IF(AND(AA178&gt;0,'Venture Assumptions'!$F$70&gt;0),PMT(INDEX('Venture Assumptions'!$L$83:$L$117,MATCH($B$2,'Venture Assumptions'!$I$83:$I$117,0)),'Venture Assumptions'!$F$70,SUM($E$179:$EG$179))/12,0)</f>
        <v>0</v>
      </c>
      <c r="AB184" s="798">
        <f>IF(AND(AB178&gt;0,'Venture Assumptions'!$F$70&gt;0),PMT(INDEX('Venture Assumptions'!$L$83:$L$117,MATCH($B$2,'Venture Assumptions'!$I$83:$I$117,0)),'Venture Assumptions'!$F$70,SUM($E$179:$EG$179))/12,0)</f>
        <v>0</v>
      </c>
      <c r="AC184" s="798">
        <f>IF(AND(AC178&gt;0,'Venture Assumptions'!$F$70&gt;0),PMT(INDEX('Venture Assumptions'!$L$83:$L$117,MATCH($B$2,'Venture Assumptions'!$I$83:$I$117,0)),'Venture Assumptions'!$F$70,SUM($E$179:$EG$179))/12,0)</f>
        <v>0</v>
      </c>
      <c r="AD184" s="798">
        <f>IF(AND(AD178&gt;0,'Venture Assumptions'!$F$70&gt;0),PMT(INDEX('Venture Assumptions'!$L$83:$L$117,MATCH($B$2,'Venture Assumptions'!$I$83:$I$117,0)),'Venture Assumptions'!$F$70,SUM($E$179:$EG$179))/12,0)</f>
        <v>0</v>
      </c>
      <c r="AE184" s="798">
        <f>IF(AND(AE178&gt;0,'Venture Assumptions'!$F$70&gt;0),PMT(INDEX('Venture Assumptions'!$L$83:$L$117,MATCH($B$2,'Venture Assumptions'!$I$83:$I$117,0)),'Venture Assumptions'!$F$70,SUM($E$179:$EG$179))/12,0)</f>
        <v>0</v>
      </c>
      <c r="AF184" s="798">
        <f>IF(AND(AF178&gt;0,'Venture Assumptions'!$F$70&gt;0),PMT(INDEX('Venture Assumptions'!$L$83:$L$117,MATCH($B$2,'Venture Assumptions'!$I$83:$I$117,0)),'Venture Assumptions'!$F$70,SUM($E$179:$EG$179))/12,0)</f>
        <v>0</v>
      </c>
      <c r="AG184" s="798">
        <f>IF(AND(AG178&gt;0,'Venture Assumptions'!$F$70&gt;0),PMT(INDEX('Venture Assumptions'!$L$83:$L$117,MATCH($B$2,'Venture Assumptions'!$I$83:$I$117,0)),'Venture Assumptions'!$F$70,SUM($E$179:$EG$179))/12,0)</f>
        <v>0</v>
      </c>
      <c r="AH184" s="798">
        <f>IF(AND(AH178&gt;0,'Venture Assumptions'!$F$70&gt;0),PMT(INDEX('Venture Assumptions'!$L$83:$L$117,MATCH($B$2,'Venture Assumptions'!$I$83:$I$117,0)),'Venture Assumptions'!$F$70,SUM($E$179:$EG$179))/12,0)</f>
        <v>0</v>
      </c>
      <c r="AI184" s="798">
        <f>IF(AND(AI178&gt;0,'Venture Assumptions'!$F$70&gt;0),PMT(INDEX('Venture Assumptions'!$L$83:$L$117,MATCH($B$2,'Venture Assumptions'!$I$83:$I$117,0)),'Venture Assumptions'!$F$70,SUM($E$179:$EG$179))/12,0)</f>
        <v>0</v>
      </c>
      <c r="AJ184" s="798">
        <f>IF(AND(AJ178&gt;0,'Venture Assumptions'!$F$70&gt;0),PMT(INDEX('Venture Assumptions'!$L$83:$L$117,MATCH($B$2,'Venture Assumptions'!$I$83:$I$117,0)),'Venture Assumptions'!$F$70,SUM($E$179:$EG$179))/12,0)</f>
        <v>0</v>
      </c>
      <c r="AK184" s="798">
        <f>IF(AND(AK178&gt;0,'Venture Assumptions'!$F$70&gt;0),PMT(INDEX('Venture Assumptions'!$L$83:$L$117,MATCH($B$2,'Venture Assumptions'!$I$83:$I$117,0)),'Venture Assumptions'!$F$70,SUM($E$179:$EG$179))/12,0)</f>
        <v>0</v>
      </c>
      <c r="AL184" s="798">
        <f>IF(AND(AL178&gt;0,'Venture Assumptions'!$F$70&gt;0),PMT(INDEX('Venture Assumptions'!$L$83:$L$117,MATCH($B$2,'Venture Assumptions'!$I$83:$I$117,0)),'Venture Assumptions'!$F$70,SUM($E$179:$EG$179))/12,0)</f>
        <v>0</v>
      </c>
      <c r="AM184" s="798">
        <f>IF(AND(AM178&gt;0,'Venture Assumptions'!$F$70&gt;0),PMT(INDEX('Venture Assumptions'!$L$83:$L$117,MATCH($B$2,'Venture Assumptions'!$I$83:$I$117,0)),'Venture Assumptions'!$F$70,SUM($E$179:$EG$179))/12,0)</f>
        <v>0</v>
      </c>
      <c r="AN184" s="798">
        <f>IF(AND(AN178&gt;0,'Venture Assumptions'!$F$70&gt;0),PMT(INDEX('Venture Assumptions'!$L$83:$L$117,MATCH($B$2,'Venture Assumptions'!$I$83:$I$117,0)),'Venture Assumptions'!$F$70,SUM($E$179:$EG$179))/12,0)</f>
        <v>0</v>
      </c>
      <c r="AO184" s="798">
        <f>IF(AND(AO178&gt;0,'Venture Assumptions'!$F$70&gt;0),PMT(INDEX('Venture Assumptions'!$L$83:$L$117,MATCH($B$2,'Venture Assumptions'!$I$83:$I$117,0)),'Venture Assumptions'!$F$70,SUM($E$179:$EG$179))/12,0)</f>
        <v>0</v>
      </c>
      <c r="AP184" s="798">
        <f>IF(AND(AP178&gt;0,'Venture Assumptions'!$F$70&gt;0),PMT(INDEX('Venture Assumptions'!$L$83:$L$117,MATCH($B$2,'Venture Assumptions'!$I$83:$I$117,0)),'Venture Assumptions'!$F$70,SUM($E$179:$EG$179))/12,0)</f>
        <v>0</v>
      </c>
      <c r="AQ184" s="798">
        <f>IF(AND(AQ178&gt;0,'Venture Assumptions'!$F$70&gt;0),PMT(INDEX('Venture Assumptions'!$L$83:$L$117,MATCH($B$2,'Venture Assumptions'!$I$83:$I$117,0)),'Venture Assumptions'!$F$70,SUM($E$179:$EG$179))/12,0)</f>
        <v>0</v>
      </c>
      <c r="AR184" s="798">
        <f>IF(AND(AR178&gt;0,'Venture Assumptions'!$F$70&gt;0),PMT(INDEX('Venture Assumptions'!$L$83:$L$117,MATCH($B$2,'Venture Assumptions'!$I$83:$I$117,0)),'Venture Assumptions'!$F$70,SUM($E$179:$EG$179))/12,0)</f>
        <v>0</v>
      </c>
      <c r="AS184" s="798">
        <f>IF(AND(AS178&gt;0,'Venture Assumptions'!$F$70&gt;0),PMT(INDEX('Venture Assumptions'!$L$83:$L$117,MATCH($B$2,'Venture Assumptions'!$I$83:$I$117,0)),'Venture Assumptions'!$F$70,SUM($E$179:$EG$179))/12,0)</f>
        <v>0</v>
      </c>
      <c r="AT184" s="798">
        <f>IF(AND(AT178&gt;0,'Venture Assumptions'!$F$70&gt;0),PMT(INDEX('Venture Assumptions'!$L$83:$L$117,MATCH($B$2,'Venture Assumptions'!$I$83:$I$117,0)),'Venture Assumptions'!$F$70,SUM($E$179:$EG$179))/12,0)</f>
        <v>0</v>
      </c>
      <c r="AU184" s="798">
        <f>IF(AND(AU178&gt;0,'Venture Assumptions'!$F$70&gt;0),PMT(INDEX('Venture Assumptions'!$L$83:$L$117,MATCH($B$2,'Venture Assumptions'!$I$83:$I$117,0)),'Venture Assumptions'!$F$70,SUM($E$179:$EG$179))/12,0)</f>
        <v>0</v>
      </c>
      <c r="AV184" s="798">
        <f>IF(AND(AV178&gt;0,'Venture Assumptions'!$F$70&gt;0),PMT(INDEX('Venture Assumptions'!$L$83:$L$117,MATCH($B$2,'Venture Assumptions'!$I$83:$I$117,0)),'Venture Assumptions'!$F$70,SUM($E$179:$EG$179))/12,0)</f>
        <v>0</v>
      </c>
      <c r="AW184" s="798">
        <f>IF(AND(AW178&gt;0,'Venture Assumptions'!$F$70&gt;0),PMT(INDEX('Venture Assumptions'!$L$83:$L$117,MATCH($B$2,'Venture Assumptions'!$I$83:$I$117,0)),'Venture Assumptions'!$F$70,SUM($E$179:$EG$179))/12,0)</f>
        <v>0</v>
      </c>
      <c r="AX184" s="798">
        <f>IF(AND(AX178&gt;0,'Venture Assumptions'!$F$70&gt;0),PMT(INDEX('Venture Assumptions'!$L$83:$L$117,MATCH($B$2,'Venture Assumptions'!$I$83:$I$117,0)),'Venture Assumptions'!$F$70,SUM($E$179:$EG$179))/12,0)</f>
        <v>0</v>
      </c>
      <c r="AY184" s="798">
        <f>IF(AND(AY178&gt;0,'Venture Assumptions'!$F$70&gt;0),PMT(INDEX('Venture Assumptions'!$L$83:$L$117,MATCH($B$2,'Venture Assumptions'!$I$83:$I$117,0)),'Venture Assumptions'!$F$70,SUM($E$179:$EG$179))/12,0)</f>
        <v>0</v>
      </c>
      <c r="AZ184" s="798">
        <f>IF(AND(AZ178&gt;0,'Venture Assumptions'!$F$70&gt;0),PMT(INDEX('Venture Assumptions'!$L$83:$L$117,MATCH($B$2,'Venture Assumptions'!$I$83:$I$117,0)),'Venture Assumptions'!$F$70,SUM($E$179:$EG$179))/12,0)</f>
        <v>0</v>
      </c>
      <c r="BA184" s="798">
        <f>IF(AND(BA178&gt;0,'Venture Assumptions'!$F$70&gt;0),PMT(INDEX('Venture Assumptions'!$L$83:$L$117,MATCH($B$2,'Venture Assumptions'!$I$83:$I$117,0)),'Venture Assumptions'!$F$70,SUM($E$179:$EG$179))/12,0)</f>
        <v>0</v>
      </c>
      <c r="BB184" s="798">
        <f>IF(AND(BB178&gt;0,'Venture Assumptions'!$F$70&gt;0),PMT(INDEX('Venture Assumptions'!$L$83:$L$117,MATCH($B$2,'Venture Assumptions'!$I$83:$I$117,0)),'Venture Assumptions'!$F$70,SUM($E$179:$EG$179))/12,0)</f>
        <v>0</v>
      </c>
      <c r="BC184" s="798">
        <f>IF(AND(BC178&gt;0,'Venture Assumptions'!$F$70&gt;0),PMT(INDEX('Venture Assumptions'!$L$83:$L$117,MATCH($B$2,'Venture Assumptions'!$I$83:$I$117,0)),'Venture Assumptions'!$F$70,SUM($E$179:$EG$179))/12,0)</f>
        <v>0</v>
      </c>
      <c r="BD184" s="798">
        <f>IF(AND(BD178&gt;0,'Venture Assumptions'!$F$70&gt;0),PMT(INDEX('Venture Assumptions'!$L$83:$L$117,MATCH($B$2,'Venture Assumptions'!$I$83:$I$117,0)),'Venture Assumptions'!$F$70,SUM($E$179:$EG$179))/12,0)</f>
        <v>0</v>
      </c>
      <c r="BE184" s="798">
        <f>IF(AND(BE178&gt;0,'Venture Assumptions'!$F$70&gt;0),PMT(INDEX('Venture Assumptions'!$L$83:$L$117,MATCH($B$2,'Venture Assumptions'!$I$83:$I$117,0)),'Venture Assumptions'!$F$70,SUM($E$179:$EG$179))/12,0)</f>
        <v>0</v>
      </c>
      <c r="BF184" s="798">
        <f>IF(AND(BF178&gt;0,'Venture Assumptions'!$F$70&gt;0),PMT(INDEX('Venture Assumptions'!$L$83:$L$117,MATCH($B$2,'Venture Assumptions'!$I$83:$I$117,0)),'Venture Assumptions'!$F$70,SUM($E$179:$EG$179))/12,0)</f>
        <v>0</v>
      </c>
      <c r="BG184" s="798">
        <f>IF(AND(BG178&gt;0,'Venture Assumptions'!$F$70&gt;0),PMT(INDEX('Venture Assumptions'!$L$83:$L$117,MATCH($B$2,'Venture Assumptions'!$I$83:$I$117,0)),'Venture Assumptions'!$F$70,SUM($E$179:$EG$179))/12,0)</f>
        <v>0</v>
      </c>
      <c r="BH184" s="798">
        <f>IF(AND(BH178&gt;0,'Venture Assumptions'!$F$70&gt;0),PMT(INDEX('Venture Assumptions'!$L$83:$L$117,MATCH($B$2,'Venture Assumptions'!$I$83:$I$117,0)),'Venture Assumptions'!$F$70,SUM($E$179:$EG$179))/12,0)</f>
        <v>0</v>
      </c>
      <c r="BI184" s="798">
        <f>IF(AND(BI178&gt;0,'Venture Assumptions'!$F$70&gt;0),PMT(INDEX('Venture Assumptions'!$L$83:$L$117,MATCH($B$2,'Venture Assumptions'!$I$83:$I$117,0)),'Venture Assumptions'!$F$70,SUM($E$179:$EG$179))/12,0)</f>
        <v>0</v>
      </c>
      <c r="BJ184" s="798">
        <f>IF(AND(BJ178&gt;0,'Venture Assumptions'!$F$70&gt;0),PMT(INDEX('Venture Assumptions'!$L$83:$L$117,MATCH($B$2,'Venture Assumptions'!$I$83:$I$117,0)),'Venture Assumptions'!$F$70,SUM($E$179:$EG$179))/12,0)</f>
        <v>0</v>
      </c>
      <c r="BK184" s="798">
        <f>IF(AND(BK178&gt;0,'Venture Assumptions'!$F$70&gt;0),PMT(INDEX('Venture Assumptions'!$L$83:$L$117,MATCH($B$2,'Venture Assumptions'!$I$83:$I$117,0)),'Venture Assumptions'!$F$70,SUM($E$179:$EG$179))/12,0)</f>
        <v>0</v>
      </c>
      <c r="BL184" s="798">
        <f>IF(AND(BL178&gt;0,'Venture Assumptions'!$F$70&gt;0),PMT(INDEX('Venture Assumptions'!$L$83:$L$117,MATCH($B$2,'Venture Assumptions'!$I$83:$I$117,0)),'Venture Assumptions'!$F$70,SUM($E$179:$EG$179))/12,0)</f>
        <v>0</v>
      </c>
      <c r="BM184" s="798">
        <f>IF(AND(BM178&gt;0,'Venture Assumptions'!$F$70&gt;0),PMT(INDEX('Venture Assumptions'!$L$83:$L$117,MATCH($B$2,'Venture Assumptions'!$I$83:$I$117,0)),'Venture Assumptions'!$F$70,SUM($E$179:$EG$179))/12,0)</f>
        <v>0</v>
      </c>
      <c r="BN184" s="798">
        <f>IF(AND(BN178&gt;0,'Venture Assumptions'!$F$70&gt;0),PMT(INDEX('Venture Assumptions'!$L$83:$L$117,MATCH($B$2,'Venture Assumptions'!$I$83:$I$117,0)),'Venture Assumptions'!$F$70,SUM($E$179:$EG$179))/12,0)</f>
        <v>0</v>
      </c>
      <c r="BO184" s="798">
        <f>IF(AND(BO178&gt;0,'Venture Assumptions'!$F$70&gt;0),PMT(INDEX('Venture Assumptions'!$L$83:$L$117,MATCH($B$2,'Venture Assumptions'!$I$83:$I$117,0)),'Venture Assumptions'!$F$70,SUM($E$179:$EG$179))/12,0)</f>
        <v>0</v>
      </c>
      <c r="BP184" s="798">
        <f>IF(AND(BP178&gt;0,'Venture Assumptions'!$F$70&gt;0),PMT(INDEX('Venture Assumptions'!$L$83:$L$117,MATCH($B$2,'Venture Assumptions'!$I$83:$I$117,0)),'Venture Assumptions'!$F$70,SUM($E$179:$EG$179))/12,0)</f>
        <v>0</v>
      </c>
      <c r="BQ184" s="798">
        <f>IF(AND(BQ178&gt;0,'Venture Assumptions'!$F$70&gt;0),PMT(INDEX('Venture Assumptions'!$L$83:$L$117,MATCH($B$2,'Venture Assumptions'!$I$83:$I$117,0)),'Venture Assumptions'!$F$70,SUM($E$179:$EG$179))/12,0)</f>
        <v>0</v>
      </c>
      <c r="BR184" s="798">
        <f>IF(AND(BR178&gt;0,'Venture Assumptions'!$F$70&gt;0),PMT(INDEX('Venture Assumptions'!$L$83:$L$117,MATCH($B$2,'Venture Assumptions'!$I$83:$I$117,0)),'Venture Assumptions'!$F$70,SUM($E$179:$EG$179))/12,0)</f>
        <v>0</v>
      </c>
      <c r="BS184" s="798">
        <f>IF(AND(BS178&gt;0,'Venture Assumptions'!$F$70&gt;0),PMT(INDEX('Venture Assumptions'!$L$83:$L$117,MATCH($B$2,'Venture Assumptions'!$I$83:$I$117,0)),'Venture Assumptions'!$F$70,SUM($E$179:$EG$179))/12,0)</f>
        <v>0</v>
      </c>
      <c r="BT184" s="798">
        <f>IF(AND(BT178&gt;0,'Venture Assumptions'!$F$70&gt;0),PMT(INDEX('Venture Assumptions'!$L$83:$L$117,MATCH($B$2,'Venture Assumptions'!$I$83:$I$117,0)),'Venture Assumptions'!$F$70,SUM($E$179:$EG$179))/12,0)</f>
        <v>0</v>
      </c>
      <c r="BU184" s="798">
        <f>IF(AND(BU178&gt;0,'Venture Assumptions'!$F$70&gt;0),PMT(INDEX('Venture Assumptions'!$L$83:$L$117,MATCH($B$2,'Venture Assumptions'!$I$83:$I$117,0)),'Venture Assumptions'!$F$70,SUM($E$179:$EG$179))/12,0)</f>
        <v>0</v>
      </c>
      <c r="BV184" s="798">
        <f>IF(AND(BV178&gt;0,'Venture Assumptions'!$F$70&gt;0),PMT(INDEX('Venture Assumptions'!$L$83:$L$117,MATCH($B$2,'Venture Assumptions'!$I$83:$I$117,0)),'Venture Assumptions'!$F$70,SUM($E$179:$EG$179))/12,0)</f>
        <v>0</v>
      </c>
      <c r="BW184" s="798">
        <f>IF(AND(BW178&gt;0,'Venture Assumptions'!$F$70&gt;0),PMT(INDEX('Venture Assumptions'!$L$83:$L$117,MATCH($B$2,'Venture Assumptions'!$I$83:$I$117,0)),'Venture Assumptions'!$F$70,SUM($E$179:$EG$179))/12,0)</f>
        <v>0</v>
      </c>
      <c r="BX184" s="798">
        <f>IF(AND(BX178&gt;0,'Venture Assumptions'!$F$70&gt;0),PMT(INDEX('Venture Assumptions'!$L$83:$L$117,MATCH($B$2,'Venture Assumptions'!$I$83:$I$117,0)),'Venture Assumptions'!$F$70,SUM($E$179:$EG$179))/12,0)</f>
        <v>0</v>
      </c>
      <c r="BY184" s="798">
        <f>IF(AND(BY178&gt;0,'Venture Assumptions'!$F$70&gt;0),PMT(INDEX('Venture Assumptions'!$L$83:$L$117,MATCH($B$2,'Venture Assumptions'!$I$83:$I$117,0)),'Venture Assumptions'!$F$70,SUM($E$179:$EG$179))/12,0)</f>
        <v>0</v>
      </c>
      <c r="BZ184" s="798">
        <f>IF(AND(BZ178&gt;0,'Venture Assumptions'!$F$70&gt;0),PMT(INDEX('Venture Assumptions'!$L$83:$L$117,MATCH($B$2,'Venture Assumptions'!$I$83:$I$117,0)),'Venture Assumptions'!$F$70,SUM($E$179:$EG$179))/12,0)</f>
        <v>0</v>
      </c>
      <c r="CA184" s="798">
        <f>IF(AND(CA178&gt;0,'Venture Assumptions'!$F$70&gt;0),PMT(INDEX('Venture Assumptions'!$L$83:$L$117,MATCH($B$2,'Venture Assumptions'!$I$83:$I$117,0)),'Venture Assumptions'!$F$70,SUM($E$179:$EG$179))/12,0)</f>
        <v>0</v>
      </c>
      <c r="CB184" s="798">
        <f>IF(AND(CB178&gt;0,'Venture Assumptions'!$F$70&gt;0),PMT(INDEX('Venture Assumptions'!$L$83:$L$117,MATCH($B$2,'Venture Assumptions'!$I$83:$I$117,0)),'Venture Assumptions'!$F$70,SUM($E$179:$EG$179))/12,0)</f>
        <v>0</v>
      </c>
      <c r="CC184" s="798">
        <f>IF(AND(CC178&gt;0,'Venture Assumptions'!$F$70&gt;0),PMT(INDEX('Venture Assumptions'!$L$83:$L$117,MATCH($B$2,'Venture Assumptions'!$I$83:$I$117,0)),'Venture Assumptions'!$F$70,SUM($E$179:$EG$179))/12,0)</f>
        <v>0</v>
      </c>
      <c r="CD184" s="798">
        <f>IF(AND(CD178&gt;0,'Venture Assumptions'!$F$70&gt;0),PMT(INDEX('Venture Assumptions'!$L$83:$L$117,MATCH($B$2,'Venture Assumptions'!$I$83:$I$117,0)),'Venture Assumptions'!$F$70,SUM($E$179:$EG$179))/12,0)</f>
        <v>0</v>
      </c>
      <c r="CE184" s="798">
        <f>IF(AND(CE178&gt;0,'Venture Assumptions'!$F$70&gt;0),PMT(INDEX('Venture Assumptions'!$L$83:$L$117,MATCH($B$2,'Venture Assumptions'!$I$83:$I$117,0)),'Venture Assumptions'!$F$70,SUM($E$179:$EG$179))/12,0)</f>
        <v>0</v>
      </c>
      <c r="CF184" s="798">
        <f>IF(AND(CF178&gt;0,'Venture Assumptions'!$F$70&gt;0),PMT(INDEX('Venture Assumptions'!$L$83:$L$117,MATCH($B$2,'Venture Assumptions'!$I$83:$I$117,0)),'Venture Assumptions'!$F$70,SUM($E$179:$EG$179))/12,0)</f>
        <v>0</v>
      </c>
      <c r="CG184" s="798">
        <f>IF(AND(CG178&gt;0,'Venture Assumptions'!$F$70&gt;0),PMT(INDEX('Venture Assumptions'!$L$83:$L$117,MATCH($B$2,'Venture Assumptions'!$I$83:$I$117,0)),'Venture Assumptions'!$F$70,SUM($E$179:$EG$179))/12,0)</f>
        <v>0</v>
      </c>
      <c r="CH184" s="798">
        <f>IF(AND(CH178&gt;0,'Venture Assumptions'!$F$70&gt;0),PMT(INDEX('Venture Assumptions'!$L$83:$L$117,MATCH($B$2,'Venture Assumptions'!$I$83:$I$117,0)),'Venture Assumptions'!$F$70,SUM($E$179:$EG$179))/12,0)</f>
        <v>0</v>
      </c>
      <c r="CI184" s="798">
        <f>IF(AND(CI178&gt;0,'Venture Assumptions'!$F$70&gt;0),PMT(INDEX('Venture Assumptions'!$L$83:$L$117,MATCH($B$2,'Venture Assumptions'!$I$83:$I$117,0)),'Venture Assumptions'!$F$70,SUM($E$179:$EG$179))/12,0)</f>
        <v>0</v>
      </c>
      <c r="CJ184" s="798">
        <f>IF(AND(CJ178&gt;0,'Venture Assumptions'!$F$70&gt;0),PMT(INDEX('Venture Assumptions'!$L$83:$L$117,MATCH($B$2,'Venture Assumptions'!$I$83:$I$117,0)),'Venture Assumptions'!$F$70,SUM($E$179:$EG$179))/12,0)</f>
        <v>0</v>
      </c>
      <c r="CK184" s="798">
        <f>IF(AND(CK178&gt;0,'Venture Assumptions'!$F$70&gt;0),PMT(INDEX('Venture Assumptions'!$L$83:$L$117,MATCH($B$2,'Venture Assumptions'!$I$83:$I$117,0)),'Venture Assumptions'!$F$70,SUM($E$179:$EG$179))/12,0)</f>
        <v>0</v>
      </c>
      <c r="CL184" s="798">
        <f>IF(AND(CL178&gt;0,'Venture Assumptions'!$F$70&gt;0),PMT(INDEX('Venture Assumptions'!$L$83:$L$117,MATCH($B$2,'Venture Assumptions'!$I$83:$I$117,0)),'Venture Assumptions'!$F$70,SUM($E$179:$EG$179))/12,0)</f>
        <v>0</v>
      </c>
      <c r="CM184" s="798">
        <f>IF(AND(CM178&gt;0,'Venture Assumptions'!$F$70&gt;0),PMT(INDEX('Venture Assumptions'!$L$83:$L$117,MATCH($B$2,'Venture Assumptions'!$I$83:$I$117,0)),'Venture Assumptions'!$F$70,SUM($E$179:$EG$179))/12,0)</f>
        <v>0</v>
      </c>
      <c r="CN184" s="798">
        <f>IF(AND(CN178&gt;0,'Venture Assumptions'!$F$70&gt;0),PMT(INDEX('Venture Assumptions'!$L$83:$L$117,MATCH($B$2,'Venture Assumptions'!$I$83:$I$117,0)),'Venture Assumptions'!$F$70,SUM($E$179:$EG$179))/12,0)</f>
        <v>0</v>
      </c>
      <c r="CO184" s="798">
        <f>IF(AND(CO178&gt;0,'Venture Assumptions'!$F$70&gt;0),PMT(INDEX('Venture Assumptions'!$L$83:$L$117,MATCH($B$2,'Venture Assumptions'!$I$83:$I$117,0)),'Venture Assumptions'!$F$70,SUM($E$179:$EG$179))/12,0)</f>
        <v>0</v>
      </c>
      <c r="CP184" s="798">
        <f>IF(AND(CP178&gt;0,'Venture Assumptions'!$F$70&gt;0),PMT(INDEX('Venture Assumptions'!$L$83:$L$117,MATCH($B$2,'Venture Assumptions'!$I$83:$I$117,0)),'Venture Assumptions'!$F$70,SUM($E$179:$EG$179))/12,0)</f>
        <v>0</v>
      </c>
      <c r="CQ184" s="798">
        <f>IF(AND(CQ178&gt;0,'Venture Assumptions'!$F$70&gt;0),PMT(INDEX('Venture Assumptions'!$L$83:$L$117,MATCH($B$2,'Venture Assumptions'!$I$83:$I$117,0)),'Venture Assumptions'!$F$70,SUM($E$179:$EG$179))/12,0)</f>
        <v>0</v>
      </c>
      <c r="CR184" s="798">
        <f>IF(AND(CR178&gt;0,'Venture Assumptions'!$F$70&gt;0),PMT(INDEX('Venture Assumptions'!$L$83:$L$117,MATCH($B$2,'Venture Assumptions'!$I$83:$I$117,0)),'Venture Assumptions'!$F$70,SUM($E$179:$EG$179))/12,0)</f>
        <v>0</v>
      </c>
      <c r="CS184" s="798">
        <f>IF(AND(CS178&gt;0,'Venture Assumptions'!$F$70&gt;0),PMT(INDEX('Venture Assumptions'!$L$83:$L$117,MATCH($B$2,'Venture Assumptions'!$I$83:$I$117,0)),'Venture Assumptions'!$F$70,SUM($E$179:$EG$179))/12,0)</f>
        <v>0</v>
      </c>
      <c r="CT184" s="798">
        <f>IF(AND(CT178&gt;0,'Venture Assumptions'!$F$70&gt;0),PMT(INDEX('Venture Assumptions'!$L$83:$L$117,MATCH($B$2,'Venture Assumptions'!$I$83:$I$117,0)),'Venture Assumptions'!$F$70,SUM($E$179:$EG$179))/12,0)</f>
        <v>0</v>
      </c>
      <c r="CU184" s="798">
        <f>IF(AND(CU178&gt;0,'Venture Assumptions'!$F$70&gt;0),PMT(INDEX('Venture Assumptions'!$L$83:$L$117,MATCH($B$2,'Venture Assumptions'!$I$83:$I$117,0)),'Venture Assumptions'!$F$70,SUM($E$179:$EG$179))/12,0)</f>
        <v>0</v>
      </c>
      <c r="CV184" s="798">
        <f>IF(AND(CV178&gt;0,'Venture Assumptions'!$F$70&gt;0),PMT(INDEX('Venture Assumptions'!$L$83:$L$117,MATCH($B$2,'Venture Assumptions'!$I$83:$I$117,0)),'Venture Assumptions'!$F$70,SUM($E$179:$EG$179))/12,0)</f>
        <v>0</v>
      </c>
      <c r="CW184" s="798">
        <f>IF(AND(CW178&gt;0,'Venture Assumptions'!$F$70&gt;0),PMT(INDEX('Venture Assumptions'!$L$83:$L$117,MATCH($B$2,'Venture Assumptions'!$I$83:$I$117,0)),'Venture Assumptions'!$F$70,SUM($E$179:$EG$179))/12,0)</f>
        <v>0</v>
      </c>
      <c r="CX184" s="798">
        <f>IF(AND(CX178&gt;0,'Venture Assumptions'!$F$70&gt;0),PMT(INDEX('Venture Assumptions'!$L$83:$L$117,MATCH($B$2,'Venture Assumptions'!$I$83:$I$117,0)),'Venture Assumptions'!$F$70,SUM($E$179:$EG$179))/12,0)</f>
        <v>0</v>
      </c>
      <c r="CY184" s="798">
        <f>IF(AND(CY178&gt;0,'Venture Assumptions'!$F$70&gt;0),PMT(INDEX('Venture Assumptions'!$L$83:$L$117,MATCH($B$2,'Venture Assumptions'!$I$83:$I$117,0)),'Venture Assumptions'!$F$70,SUM($E$179:$EG$179))/12,0)</f>
        <v>0</v>
      </c>
      <c r="CZ184" s="798">
        <f>IF(AND(CZ178&gt;0,'Venture Assumptions'!$F$70&gt;0),PMT(INDEX('Venture Assumptions'!$L$83:$L$117,MATCH($B$2,'Venture Assumptions'!$I$83:$I$117,0)),'Venture Assumptions'!$F$70,SUM($E$179:$EG$179))/12,0)</f>
        <v>0</v>
      </c>
      <c r="DA184" s="798">
        <f>IF(AND(DA178&gt;0,'Venture Assumptions'!$F$70&gt;0),PMT(INDEX('Venture Assumptions'!$L$83:$L$117,MATCH($B$2,'Venture Assumptions'!$I$83:$I$117,0)),'Venture Assumptions'!$F$70,SUM($E$179:$EG$179))/12,0)</f>
        <v>0</v>
      </c>
      <c r="DB184" s="798">
        <f>IF(AND(DB178&gt;0,'Venture Assumptions'!$F$70&gt;0),PMT(INDEX('Venture Assumptions'!$L$83:$L$117,MATCH($B$2,'Venture Assumptions'!$I$83:$I$117,0)),'Venture Assumptions'!$F$70,SUM($E$179:$EG$179))/12,0)</f>
        <v>0</v>
      </c>
      <c r="DC184" s="798">
        <f>IF(AND(DC178&gt;0,'Venture Assumptions'!$F$70&gt;0),PMT(INDEX('Venture Assumptions'!$L$83:$L$117,MATCH($B$2,'Venture Assumptions'!$I$83:$I$117,0)),'Venture Assumptions'!$F$70,SUM($E$179:$EG$179))/12,0)</f>
        <v>0</v>
      </c>
      <c r="DD184" s="798">
        <f>IF(AND(DD178&gt;0,'Venture Assumptions'!$F$70&gt;0),PMT(INDEX('Venture Assumptions'!$L$83:$L$117,MATCH($B$2,'Venture Assumptions'!$I$83:$I$117,0)),'Venture Assumptions'!$F$70,SUM($E$179:$EG$179))/12,0)</f>
        <v>0</v>
      </c>
      <c r="DE184" s="798">
        <f>IF(AND(DE178&gt;0,'Venture Assumptions'!$F$70&gt;0),PMT(INDEX('Venture Assumptions'!$L$83:$L$117,MATCH($B$2,'Venture Assumptions'!$I$83:$I$117,0)),'Venture Assumptions'!$F$70,SUM($E$179:$EG$179))/12,0)</f>
        <v>0</v>
      </c>
      <c r="DF184" s="798">
        <f>IF(AND(DF178&gt;0,'Venture Assumptions'!$F$70&gt;0),PMT(INDEX('Venture Assumptions'!$L$83:$L$117,MATCH($B$2,'Venture Assumptions'!$I$83:$I$117,0)),'Venture Assumptions'!$F$70,SUM($E$179:$EG$179))/12,0)</f>
        <v>0</v>
      </c>
      <c r="DG184" s="798">
        <f>IF(AND(DG178&gt;0,'Venture Assumptions'!$F$70&gt;0),PMT(INDEX('Venture Assumptions'!$L$83:$L$117,MATCH($B$2,'Venture Assumptions'!$I$83:$I$117,0)),'Venture Assumptions'!$F$70,SUM($E$179:$EG$179))/12,0)</f>
        <v>0</v>
      </c>
      <c r="DH184" s="798">
        <f>IF(AND(DH178&gt;0,'Venture Assumptions'!$F$70&gt;0),PMT(INDEX('Venture Assumptions'!$L$83:$L$117,MATCH($B$2,'Venture Assumptions'!$I$83:$I$117,0)),'Venture Assumptions'!$F$70,SUM($E$179:$EG$179))/12,0)</f>
        <v>0</v>
      </c>
      <c r="DI184" s="798">
        <f>IF(AND(DI178&gt;0,'Venture Assumptions'!$F$70&gt;0),PMT(INDEX('Venture Assumptions'!$L$83:$L$117,MATCH($B$2,'Venture Assumptions'!$I$83:$I$117,0)),'Venture Assumptions'!$F$70,SUM($E$179:$EG$179))/12,0)</f>
        <v>0</v>
      </c>
      <c r="DJ184" s="798">
        <f>IF(AND(DJ178&gt;0,'Venture Assumptions'!$F$70&gt;0),PMT(INDEX('Venture Assumptions'!$L$83:$L$117,MATCH($B$2,'Venture Assumptions'!$I$83:$I$117,0)),'Venture Assumptions'!$F$70,SUM($E$179:$EG$179))/12,0)</f>
        <v>0</v>
      </c>
      <c r="DK184" s="798">
        <f>IF(AND(DK178&gt;0,'Venture Assumptions'!$F$70&gt;0),PMT(INDEX('Venture Assumptions'!$L$83:$L$117,MATCH($B$2,'Venture Assumptions'!$I$83:$I$117,0)),'Venture Assumptions'!$F$70,SUM($E$179:$EG$179))/12,0)</f>
        <v>0</v>
      </c>
      <c r="DL184" s="798">
        <f>IF(AND(DL178&gt;0,'Venture Assumptions'!$F$70&gt;0),PMT(INDEX('Venture Assumptions'!$L$83:$L$117,MATCH($B$2,'Venture Assumptions'!$I$83:$I$117,0)),'Venture Assumptions'!$F$70,SUM($E$179:$EG$179))/12,0)</f>
        <v>0</v>
      </c>
      <c r="DM184" s="798">
        <f>IF(AND(DM178&gt;0,'Venture Assumptions'!$F$70&gt;0),PMT(INDEX('Venture Assumptions'!$L$83:$L$117,MATCH($B$2,'Venture Assumptions'!$I$83:$I$117,0)),'Venture Assumptions'!$F$70,SUM($E$179:$EG$179))/12,0)</f>
        <v>0</v>
      </c>
      <c r="DN184" s="798">
        <f>IF(AND(DN178&gt;0,'Venture Assumptions'!$F$70&gt;0),PMT(INDEX('Venture Assumptions'!$L$83:$L$117,MATCH($B$2,'Venture Assumptions'!$I$83:$I$117,0)),'Venture Assumptions'!$F$70,SUM($E$179:$EG$179))/12,0)</f>
        <v>0</v>
      </c>
      <c r="DO184" s="798">
        <f>IF(AND(DO178&gt;0,'Venture Assumptions'!$F$70&gt;0),PMT(INDEX('Venture Assumptions'!$L$83:$L$117,MATCH($B$2,'Venture Assumptions'!$I$83:$I$117,0)),'Venture Assumptions'!$F$70,SUM($E$179:$EG$179))/12,0)</f>
        <v>0</v>
      </c>
      <c r="DP184" s="798">
        <f>IF(AND(DP178&gt;0,'Venture Assumptions'!$F$70&gt;0),PMT(INDEX('Venture Assumptions'!$L$83:$L$117,MATCH($B$2,'Venture Assumptions'!$I$83:$I$117,0)),'Venture Assumptions'!$F$70,SUM($E$179:$EG$179))/12,0)</f>
        <v>0</v>
      </c>
      <c r="DQ184" s="798">
        <f>IF(AND(DQ178&gt;0,'Venture Assumptions'!$F$70&gt;0),PMT(INDEX('Venture Assumptions'!$L$83:$L$117,MATCH($B$2,'Venture Assumptions'!$I$83:$I$117,0)),'Venture Assumptions'!$F$70,SUM($E$179:$EG$179))/12,0)</f>
        <v>0</v>
      </c>
      <c r="DR184" s="798">
        <f>IF(AND(DR178&gt;0,'Venture Assumptions'!$F$70&gt;0),PMT(INDEX('Venture Assumptions'!$L$83:$L$117,MATCH($B$2,'Venture Assumptions'!$I$83:$I$117,0)),'Venture Assumptions'!$F$70,SUM($E$179:$EG$179))/12,0)</f>
        <v>0</v>
      </c>
      <c r="DS184" s="798">
        <f>IF(AND(DS178&gt;0,'Venture Assumptions'!$F$70&gt;0),PMT(INDEX('Venture Assumptions'!$L$83:$L$117,MATCH($B$2,'Venture Assumptions'!$I$83:$I$117,0)),'Venture Assumptions'!$F$70,SUM($E$179:$EG$179))/12,0)</f>
        <v>0</v>
      </c>
      <c r="DT184" s="798">
        <f>IF(AND(DT178&gt;0,'Venture Assumptions'!$F$70&gt;0),PMT(INDEX('Venture Assumptions'!$L$83:$L$117,MATCH($B$2,'Venture Assumptions'!$I$83:$I$117,0)),'Venture Assumptions'!$F$70,SUM($E$179:$EG$179))/12,0)</f>
        <v>0</v>
      </c>
      <c r="DU184" s="798">
        <f>IF(AND(DU178&gt;0,'Venture Assumptions'!$F$70&gt;0),PMT(INDEX('Venture Assumptions'!$L$83:$L$117,MATCH($B$2,'Venture Assumptions'!$I$83:$I$117,0)),'Venture Assumptions'!$F$70,SUM($E$179:$EG$179))/12,0)</f>
        <v>0</v>
      </c>
      <c r="DV184" s="798">
        <f>IF(AND(DV178&gt;0,'Venture Assumptions'!$F$70&gt;0),PMT(INDEX('Venture Assumptions'!$L$83:$L$117,MATCH($B$2,'Venture Assumptions'!$I$83:$I$117,0)),'Venture Assumptions'!$F$70,SUM($E$179:$EG$179))/12,0)</f>
        <v>0</v>
      </c>
      <c r="DW184" s="798">
        <f>IF(AND(DW178&gt;0,'Venture Assumptions'!$F$70&gt;0),PMT(INDEX('Venture Assumptions'!$L$83:$L$117,MATCH($B$2,'Venture Assumptions'!$I$83:$I$117,0)),'Venture Assumptions'!$F$70,SUM($E$179:$EG$179))/12,0)</f>
        <v>0</v>
      </c>
      <c r="DX184" s="798">
        <f>IF(AND(DX178&gt;0,'Venture Assumptions'!$F$70&gt;0),PMT(INDEX('Venture Assumptions'!$L$83:$L$117,MATCH($B$2,'Venture Assumptions'!$I$83:$I$117,0)),'Venture Assumptions'!$F$70,SUM($E$179:$EG$179))/12,0)</f>
        <v>0</v>
      </c>
      <c r="DY184" s="798">
        <f>IF(AND(DY178&gt;0,'Venture Assumptions'!$F$70&gt;0),PMT(INDEX('Venture Assumptions'!$L$83:$L$117,MATCH($B$2,'Venture Assumptions'!$I$83:$I$117,0)),'Venture Assumptions'!$F$70,SUM($E$179:$EG$179))/12,0)</f>
        <v>0</v>
      </c>
      <c r="DZ184" s="798">
        <f>IF(AND(DZ178&gt;0,'Venture Assumptions'!$F$70&gt;0),PMT(INDEX('Venture Assumptions'!$L$83:$L$117,MATCH($B$2,'Venture Assumptions'!$I$83:$I$117,0)),'Venture Assumptions'!$F$70,SUM($E$179:$EG$179))/12,0)</f>
        <v>0</v>
      </c>
      <c r="EA184" s="798">
        <f>IF(AND(EA178&gt;0,'Venture Assumptions'!$F$70&gt;0),PMT(INDEX('Venture Assumptions'!$L$83:$L$117,MATCH($B$2,'Venture Assumptions'!$I$83:$I$117,0)),'Venture Assumptions'!$F$70,SUM($E$179:$EG$179))/12,0)</f>
        <v>0</v>
      </c>
      <c r="EB184" s="798">
        <f>IF(AND(EB178&gt;0,'Venture Assumptions'!$F$70&gt;0),PMT(INDEX('Venture Assumptions'!$L$83:$L$117,MATCH($B$2,'Venture Assumptions'!$I$83:$I$117,0)),'Venture Assumptions'!$F$70,SUM($E$179:$EG$179))/12,0)</f>
        <v>0</v>
      </c>
      <c r="EC184" s="798">
        <f>IF(AND(EC178&gt;0,'Venture Assumptions'!$F$70&gt;0),PMT(INDEX('Venture Assumptions'!$L$83:$L$117,MATCH($B$2,'Venture Assumptions'!$I$83:$I$117,0)),'Venture Assumptions'!$F$70,SUM($E$179:$EG$179))/12,0)</f>
        <v>0</v>
      </c>
      <c r="ED184" s="798">
        <f>IF(AND(ED178&gt;0,'Venture Assumptions'!$F$70&gt;0),PMT(INDEX('Venture Assumptions'!$L$83:$L$117,MATCH($B$2,'Venture Assumptions'!$I$83:$I$117,0)),'Venture Assumptions'!$F$70,SUM($E$179:$EG$179))/12,0)</f>
        <v>0</v>
      </c>
      <c r="EE184" s="798">
        <f>IF(AND(EE178&gt;0,'Venture Assumptions'!$F$70&gt;0),PMT(INDEX('Venture Assumptions'!$L$83:$L$117,MATCH($B$2,'Venture Assumptions'!$I$83:$I$117,0)),'Venture Assumptions'!$F$70,SUM($E$179:$EG$179))/12,0)</f>
        <v>0</v>
      </c>
      <c r="EF184" s="798">
        <f>IF(AND(EF178&gt;0,'Venture Assumptions'!$F$70&gt;0),PMT(INDEX('Venture Assumptions'!$L$83:$L$117,MATCH($B$2,'Venture Assumptions'!$I$83:$I$117,0)),'Venture Assumptions'!$F$70,SUM($E$179:$EG$179))/12,0)</f>
        <v>0</v>
      </c>
      <c r="EG184" s="798">
        <f>IF(AND(EG178&gt;0,'Venture Assumptions'!$F$70&gt;0),PMT(INDEX('Venture Assumptions'!$L$83:$L$117,MATCH($B$2,'Venture Assumptions'!$I$83:$I$117,0)),'Venture Assumptions'!$F$70,SUM($E$179:$EG$179))/12,0)</f>
        <v>0</v>
      </c>
      <c r="EH184" s="782"/>
    </row>
    <row r="185" spans="1:138" ht="12.75" customHeight="1" x14ac:dyDescent="0.3">
      <c r="A185" s="782"/>
      <c r="B185" s="782" t="s">
        <v>111</v>
      </c>
      <c r="C185" s="798"/>
      <c r="D185" s="782"/>
      <c r="E185" s="811">
        <f>IFERROR(E166/SUM(-E183,-181),0)*(E178&gt;0)</f>
        <v>0</v>
      </c>
      <c r="F185" s="811">
        <f t="shared" ref="F185:BQ185" si="152">IFERROR(F166/SUM(-F183,-181),0)*(F178&gt;0)</f>
        <v>0</v>
      </c>
      <c r="G185" s="811">
        <f t="shared" si="152"/>
        <v>0</v>
      </c>
      <c r="H185" s="811">
        <f t="shared" si="152"/>
        <v>0</v>
      </c>
      <c r="I185" s="811">
        <f t="shared" si="152"/>
        <v>0</v>
      </c>
      <c r="J185" s="811">
        <f t="shared" si="152"/>
        <v>0</v>
      </c>
      <c r="K185" s="811">
        <f t="shared" si="152"/>
        <v>0</v>
      </c>
      <c r="L185" s="811">
        <f t="shared" si="152"/>
        <v>0</v>
      </c>
      <c r="M185" s="811">
        <f t="shared" si="152"/>
        <v>0</v>
      </c>
      <c r="N185" s="811">
        <f t="shared" si="152"/>
        <v>0</v>
      </c>
      <c r="O185" s="811">
        <f t="shared" si="152"/>
        <v>0</v>
      </c>
      <c r="P185" s="811">
        <f t="shared" si="152"/>
        <v>0</v>
      </c>
      <c r="Q185" s="811">
        <f t="shared" si="152"/>
        <v>0</v>
      </c>
      <c r="R185" s="811">
        <f t="shared" si="152"/>
        <v>0</v>
      </c>
      <c r="S185" s="811">
        <f t="shared" si="152"/>
        <v>0</v>
      </c>
      <c r="T185" s="811">
        <f t="shared" si="152"/>
        <v>0</v>
      </c>
      <c r="U185" s="811">
        <f t="shared" si="152"/>
        <v>0</v>
      </c>
      <c r="V185" s="811">
        <f t="shared" si="152"/>
        <v>0</v>
      </c>
      <c r="W185" s="811">
        <f t="shared" si="152"/>
        <v>0</v>
      </c>
      <c r="X185" s="811">
        <f t="shared" si="152"/>
        <v>0</v>
      </c>
      <c r="Y185" s="811">
        <f t="shared" si="152"/>
        <v>0</v>
      </c>
      <c r="Z185" s="811">
        <f t="shared" si="152"/>
        <v>0</v>
      </c>
      <c r="AA185" s="811">
        <f t="shared" si="152"/>
        <v>0</v>
      </c>
      <c r="AB185" s="811">
        <f t="shared" si="152"/>
        <v>0</v>
      </c>
      <c r="AC185" s="811">
        <f t="shared" si="152"/>
        <v>0</v>
      </c>
      <c r="AD185" s="811">
        <f t="shared" si="152"/>
        <v>0</v>
      </c>
      <c r="AE185" s="811">
        <f t="shared" si="152"/>
        <v>0</v>
      </c>
      <c r="AF185" s="811">
        <f t="shared" si="152"/>
        <v>0</v>
      </c>
      <c r="AG185" s="811">
        <f t="shared" si="152"/>
        <v>0</v>
      </c>
      <c r="AH185" s="811">
        <f t="shared" si="152"/>
        <v>0</v>
      </c>
      <c r="AI185" s="811">
        <f t="shared" si="152"/>
        <v>0</v>
      </c>
      <c r="AJ185" s="811">
        <f t="shared" si="152"/>
        <v>0</v>
      </c>
      <c r="AK185" s="811">
        <f t="shared" si="152"/>
        <v>0</v>
      </c>
      <c r="AL185" s="811">
        <f t="shared" si="152"/>
        <v>0</v>
      </c>
      <c r="AM185" s="811">
        <f t="shared" si="152"/>
        <v>2.1289020007968036</v>
      </c>
      <c r="AN185" s="811">
        <f t="shared" si="152"/>
        <v>2.1402422908874761</v>
      </c>
      <c r="AO185" s="811">
        <f t="shared" si="152"/>
        <v>2.151272108507122</v>
      </c>
      <c r="AP185" s="811">
        <f t="shared" si="152"/>
        <v>2.1584801163539744</v>
      </c>
      <c r="AQ185" s="811">
        <f t="shared" si="152"/>
        <v>2.1733117246014482</v>
      </c>
      <c r="AR185" s="811">
        <f t="shared" si="152"/>
        <v>2.1857696335750356</v>
      </c>
      <c r="AS185" s="811">
        <f t="shared" si="152"/>
        <v>2.1636014649235995</v>
      </c>
      <c r="AT185" s="811">
        <f t="shared" si="152"/>
        <v>2.1705894482987875</v>
      </c>
      <c r="AU185" s="811">
        <f t="shared" si="152"/>
        <v>2.1767936424881831</v>
      </c>
      <c r="AV185" s="811">
        <f t="shared" si="152"/>
        <v>2.1864513067730491</v>
      </c>
      <c r="AW185" s="811">
        <f t="shared" si="152"/>
        <v>2.1955858336110516</v>
      </c>
      <c r="AX185" s="811">
        <f t="shared" si="152"/>
        <v>2.203861850796804</v>
      </c>
      <c r="AY185" s="811">
        <f t="shared" si="152"/>
        <v>2.2117487732187815</v>
      </c>
      <c r="AZ185" s="811">
        <f t="shared" si="152"/>
        <v>2.2193304075932203</v>
      </c>
      <c r="BA185" s="811">
        <f t="shared" si="152"/>
        <v>2.2260805352951389</v>
      </c>
      <c r="BB185" s="811">
        <f t="shared" si="152"/>
        <v>2.2295063004451539</v>
      </c>
      <c r="BC185" s="811">
        <f t="shared" si="152"/>
        <v>2.2381168506629723</v>
      </c>
      <c r="BD185" s="811">
        <f t="shared" si="152"/>
        <v>2.2446215730361909</v>
      </c>
      <c r="BE185" s="811">
        <f t="shared" si="152"/>
        <v>2.2239090689075778</v>
      </c>
      <c r="BF185" s="811">
        <f t="shared" si="152"/>
        <v>2.226463144729391</v>
      </c>
      <c r="BG185" s="811">
        <f t="shared" si="152"/>
        <v>2.2289353535045309</v>
      </c>
      <c r="BH185" s="811">
        <f t="shared" si="152"/>
        <v>2.2342795310220054</v>
      </c>
      <c r="BI185" s="811">
        <f t="shared" si="152"/>
        <v>2.2395875066457722</v>
      </c>
      <c r="BJ185" s="811">
        <f t="shared" si="152"/>
        <v>2.2454663166208055</v>
      </c>
      <c r="BK185" s="811">
        <f t="shared" si="152"/>
        <v>2.2517751522289586</v>
      </c>
      <c r="BL185" s="811">
        <f t="shared" si="152"/>
        <v>2.2579066942767576</v>
      </c>
      <c r="BM185" s="811">
        <f t="shared" si="152"/>
        <v>2.2646314288183698</v>
      </c>
      <c r="BN185" s="811">
        <f t="shared" si="152"/>
        <v>2.2686847898443228</v>
      </c>
      <c r="BO185" s="811">
        <f t="shared" si="152"/>
        <v>2.2789256045723376</v>
      </c>
      <c r="BP185" s="811">
        <f t="shared" si="152"/>
        <v>2.2877301223726261</v>
      </c>
      <c r="BQ185" s="811">
        <f t="shared" si="152"/>
        <v>2.2681229038119173</v>
      </c>
      <c r="BR185" s="811">
        <f t="shared" ref="BR185:EC185" si="153">IFERROR(BR166/SUM(-BR183,-181),0)*(BR178&gt;0)</f>
        <v>2.272812401564098</v>
      </c>
      <c r="BS185" s="811">
        <f t="shared" si="153"/>
        <v>2.2772541778766349</v>
      </c>
      <c r="BT185" s="811">
        <f t="shared" si="153"/>
        <v>2.2853088869146574</v>
      </c>
      <c r="BU185" s="811">
        <f t="shared" si="153"/>
        <v>2.2930341428412215</v>
      </c>
      <c r="BV185" s="811">
        <f t="shared" si="153"/>
        <v>2.3009535249338398</v>
      </c>
      <c r="BW185" s="811">
        <f t="shared" si="153"/>
        <v>2.3091353047776795</v>
      </c>
      <c r="BX185" s="811">
        <f t="shared" si="153"/>
        <v>2.3171106551735807</v>
      </c>
      <c r="BY185" s="811">
        <f t="shared" si="153"/>
        <v>2.3253737748996453</v>
      </c>
      <c r="BZ185" s="811">
        <f t="shared" si="153"/>
        <v>2.3301971637994492</v>
      </c>
      <c r="CA185" s="811">
        <f t="shared" si="153"/>
        <v>2.3419348789514998</v>
      </c>
      <c r="CB185" s="811">
        <f t="shared" si="153"/>
        <v>2.3520310973639535</v>
      </c>
      <c r="CC185" s="811">
        <f t="shared" si="153"/>
        <v>2.3328494090847127</v>
      </c>
      <c r="CD185" s="811">
        <f t="shared" si="153"/>
        <v>2.338365464451083</v>
      </c>
      <c r="CE185" s="811">
        <f t="shared" si="153"/>
        <v>2.3435595481032432</v>
      </c>
      <c r="CF185" s="811">
        <f t="shared" si="153"/>
        <v>2.3523144799128168</v>
      </c>
      <c r="CG185" s="811">
        <f t="shared" si="153"/>
        <v>2.3609071439403171</v>
      </c>
      <c r="CH185" s="811">
        <f t="shared" si="153"/>
        <v>2.3696324276540239</v>
      </c>
      <c r="CI185" s="811">
        <f t="shared" si="153"/>
        <v>2.3780773629584124</v>
      </c>
      <c r="CJ185" s="811">
        <f t="shared" si="153"/>
        <v>2.3867864329039699</v>
      </c>
      <c r="CK185" s="811">
        <f t="shared" si="153"/>
        <v>2.3957567011069401</v>
      </c>
      <c r="CL185" s="811">
        <f t="shared" si="153"/>
        <v>2.4009757471574491</v>
      </c>
      <c r="CM185" s="811">
        <f t="shared" si="153"/>
        <v>2.413244007163565</v>
      </c>
      <c r="CN185" s="811">
        <f t="shared" si="153"/>
        <v>2.4236652593603063</v>
      </c>
      <c r="CO185" s="811">
        <f t="shared" si="153"/>
        <v>2.4043154274813872</v>
      </c>
      <c r="CP185" s="811">
        <f t="shared" si="153"/>
        <v>2.4100002942058687</v>
      </c>
      <c r="CQ185" s="811">
        <f t="shared" si="153"/>
        <v>2.4153478413244396</v>
      </c>
      <c r="CR185" s="811">
        <f t="shared" si="153"/>
        <v>2.4240875903034862</v>
      </c>
      <c r="CS185" s="811">
        <f t="shared" si="153"/>
        <v>2.4329668281246914</v>
      </c>
      <c r="CT185" s="811">
        <f t="shared" si="153"/>
        <v>2.4421249396169</v>
      </c>
      <c r="CU185" s="811">
        <f t="shared" si="153"/>
        <v>2.450924715263791</v>
      </c>
      <c r="CV185" s="811">
        <f t="shared" si="153"/>
        <v>2.4598849454184188</v>
      </c>
      <c r="CW185" s="811">
        <f t="shared" si="153"/>
        <v>2.4690416472918746</v>
      </c>
      <c r="CX185" s="811">
        <f t="shared" si="153"/>
        <v>2.4745209537623674</v>
      </c>
      <c r="CY185" s="811">
        <f t="shared" si="153"/>
        <v>2.4871391071890598</v>
      </c>
      <c r="CZ185" s="811">
        <f t="shared" si="153"/>
        <v>2.4975753729683783</v>
      </c>
      <c r="DA185" s="811">
        <f t="shared" si="153"/>
        <v>2.4779335590051383</v>
      </c>
      <c r="DB185" s="811">
        <f t="shared" si="153"/>
        <v>2.4838622996869053</v>
      </c>
      <c r="DC185" s="811">
        <f t="shared" si="153"/>
        <v>2.4891785363203813</v>
      </c>
      <c r="DD185" s="811">
        <f t="shared" si="153"/>
        <v>2.4984264449428286</v>
      </c>
      <c r="DE185" s="811">
        <f t="shared" si="153"/>
        <v>2.5077076637221891</v>
      </c>
      <c r="DF185" s="811">
        <f t="shared" si="153"/>
        <v>2.5166550710642794</v>
      </c>
      <c r="DG185" s="811">
        <f t="shared" si="153"/>
        <v>2.5258812956276291</v>
      </c>
      <c r="DH185" s="811">
        <f t="shared" si="153"/>
        <v>2.5353530196787313</v>
      </c>
      <c r="DI185" s="811">
        <f t="shared" si="153"/>
        <v>2.5445954299586782</v>
      </c>
      <c r="DJ185" s="811">
        <f t="shared" si="153"/>
        <v>2.5502624791348056</v>
      </c>
      <c r="DK185" s="811">
        <f t="shared" si="153"/>
        <v>2.5633480992716677</v>
      </c>
      <c r="DL185" s="811">
        <f t="shared" si="153"/>
        <v>2.5743151018037165</v>
      </c>
      <c r="DM185" s="811">
        <f t="shared" si="153"/>
        <v>2.5542819209080698</v>
      </c>
      <c r="DN185" s="811">
        <f t="shared" si="153"/>
        <v>-3409.2223479802733</v>
      </c>
      <c r="DO185" s="811">
        <f t="shared" si="153"/>
        <v>-3420.4301166855394</v>
      </c>
      <c r="DP185" s="811">
        <f t="shared" si="153"/>
        <v>-3436.5204062526545</v>
      </c>
      <c r="DQ185" s="811">
        <f t="shared" si="153"/>
        <v>-3452.6748507442649</v>
      </c>
      <c r="DR185" s="811">
        <f t="shared" si="153"/>
        <v>-3468.8937098810511</v>
      </c>
      <c r="DS185" s="811">
        <f t="shared" si="153"/>
        <v>-3485.1772444451944</v>
      </c>
      <c r="DT185" s="811">
        <f t="shared" si="153"/>
        <v>-3501.525716284742</v>
      </c>
      <c r="DU185" s="811">
        <f t="shared" si="153"/>
        <v>-3517.9393883179846</v>
      </c>
      <c r="DV185" s="811">
        <f t="shared" si="153"/>
        <v>-3529.4445353131728</v>
      </c>
      <c r="DW185" s="811">
        <f t="shared" si="153"/>
        <v>-3550.9565134762865</v>
      </c>
      <c r="DX185" s="811">
        <f t="shared" si="153"/>
        <v>-3569.8739146002322</v>
      </c>
      <c r="DY185" s="811">
        <f t="shared" si="153"/>
        <v>-3546.1116910471669</v>
      </c>
      <c r="DZ185" s="811">
        <f t="shared" si="153"/>
        <v>-3557.7427383660461</v>
      </c>
      <c r="EA185" s="811">
        <f t="shared" si="153"/>
        <v>-3569.4054757514718</v>
      </c>
      <c r="EB185" s="811">
        <f t="shared" si="153"/>
        <v>-3586.15706989008</v>
      </c>
      <c r="EC185" s="811">
        <f t="shared" si="153"/>
        <v>-3602.9754843273499</v>
      </c>
      <c r="ED185" s="811">
        <f>IFERROR(ED166/SUM(-ED183,-181),0)*(ED178&gt;0)</f>
        <v>-3619.8609896477469</v>
      </c>
      <c r="EE185" s="811">
        <f>IFERROR(EE166/SUM(-EE183,-181),0)*(EE178&gt;0)</f>
        <v>-3636.8138575418202</v>
      </c>
      <c r="EF185" s="811">
        <f>IFERROR(EF166/SUM(-EF183,-181),0)*(EF178&gt;0)</f>
        <v>-3653.8343608107539</v>
      </c>
      <c r="EG185" s="811">
        <f>IFERROR(EG166/SUM(-EG183,-181),0)*(EG178&gt;0)</f>
        <v>-3670.9227733709413</v>
      </c>
      <c r="EH185" s="782"/>
    </row>
    <row r="186" spans="1:138" ht="12.75" customHeight="1" x14ac:dyDescent="0.3">
      <c r="A186" s="782"/>
      <c r="B186" s="782"/>
      <c r="C186" s="798"/>
      <c r="D186" s="782"/>
      <c r="E186" s="798"/>
      <c r="F186" s="798"/>
      <c r="G186" s="798"/>
      <c r="H186" s="798"/>
      <c r="I186" s="798"/>
      <c r="J186" s="798"/>
      <c r="K186" s="798"/>
      <c r="L186" s="798"/>
      <c r="M186" s="798"/>
      <c r="N186" s="798"/>
      <c r="O186" s="798"/>
      <c r="P186" s="798"/>
      <c r="Q186" s="798"/>
      <c r="R186" s="798"/>
      <c r="S186" s="798"/>
      <c r="T186" s="798"/>
      <c r="U186" s="798"/>
      <c r="V186" s="798"/>
      <c r="W186" s="798"/>
      <c r="X186" s="798"/>
      <c r="Y186" s="798"/>
      <c r="Z186" s="798"/>
      <c r="AA186" s="798"/>
      <c r="AB186" s="798"/>
      <c r="AC186" s="798"/>
      <c r="AD186" s="798"/>
      <c r="AE186" s="798"/>
      <c r="AF186" s="798"/>
      <c r="AG186" s="798"/>
      <c r="AH186" s="798"/>
      <c r="AI186" s="798"/>
      <c r="AJ186" s="798"/>
      <c r="AK186" s="798"/>
      <c r="AL186" s="798"/>
      <c r="AM186" s="798"/>
      <c r="AN186" s="798"/>
      <c r="AO186" s="798"/>
      <c r="AP186" s="798"/>
      <c r="AQ186" s="798"/>
      <c r="AR186" s="798"/>
      <c r="AS186" s="798"/>
      <c r="AT186" s="798"/>
      <c r="AU186" s="798"/>
      <c r="AV186" s="798"/>
      <c r="AW186" s="798"/>
      <c r="AX186" s="798"/>
      <c r="AY186" s="798"/>
      <c r="AZ186" s="798"/>
      <c r="BA186" s="798"/>
      <c r="BB186" s="798"/>
      <c r="BC186" s="798"/>
      <c r="BD186" s="798"/>
      <c r="BE186" s="798"/>
      <c r="BF186" s="798"/>
      <c r="BG186" s="798"/>
      <c r="BH186" s="798"/>
      <c r="BI186" s="798"/>
      <c r="BJ186" s="798"/>
      <c r="BK186" s="798"/>
      <c r="BL186" s="798"/>
      <c r="BM186" s="798"/>
      <c r="BN186" s="798"/>
      <c r="BO186" s="798"/>
      <c r="BP186" s="798"/>
      <c r="BQ186" s="798"/>
      <c r="BR186" s="798"/>
      <c r="BS186" s="798"/>
      <c r="BT186" s="798"/>
      <c r="BU186" s="798"/>
      <c r="BV186" s="798"/>
      <c r="BW186" s="798"/>
      <c r="BX186" s="798"/>
      <c r="BY186" s="798"/>
      <c r="BZ186" s="798"/>
      <c r="CA186" s="798"/>
      <c r="CB186" s="798"/>
      <c r="CC186" s="798"/>
      <c r="CD186" s="798"/>
      <c r="CE186" s="798"/>
      <c r="CF186" s="798"/>
      <c r="CG186" s="798"/>
      <c r="CH186" s="798"/>
      <c r="CI186" s="798"/>
      <c r="CJ186" s="798"/>
      <c r="CK186" s="798"/>
      <c r="CL186" s="798"/>
      <c r="CM186" s="798"/>
      <c r="CN186" s="798"/>
      <c r="CO186" s="798"/>
      <c r="CP186" s="798"/>
      <c r="CQ186" s="798"/>
      <c r="CR186" s="798"/>
      <c r="CS186" s="798"/>
      <c r="CT186" s="798"/>
      <c r="CU186" s="798"/>
      <c r="CV186" s="798"/>
      <c r="CW186" s="798"/>
      <c r="CX186" s="798"/>
      <c r="CY186" s="798"/>
      <c r="CZ186" s="798"/>
      <c r="DA186" s="798"/>
      <c r="DB186" s="798"/>
      <c r="DC186" s="798"/>
      <c r="DD186" s="798"/>
      <c r="DE186" s="798"/>
      <c r="DF186" s="798"/>
      <c r="DG186" s="798"/>
      <c r="DH186" s="798"/>
      <c r="DI186" s="798"/>
      <c r="DJ186" s="798"/>
      <c r="DK186" s="798"/>
      <c r="DL186" s="798"/>
      <c r="DM186" s="798"/>
      <c r="DN186" s="798"/>
      <c r="DO186" s="798"/>
      <c r="DP186" s="798"/>
      <c r="DQ186" s="798"/>
      <c r="DR186" s="798"/>
      <c r="DS186" s="798"/>
      <c r="DT186" s="798"/>
      <c r="DU186" s="798"/>
      <c r="DV186" s="798"/>
      <c r="DW186" s="798"/>
      <c r="DX186" s="798"/>
      <c r="DY186" s="798"/>
      <c r="DZ186" s="798"/>
      <c r="EA186" s="798"/>
      <c r="EB186" s="798"/>
      <c r="EC186" s="798"/>
      <c r="ED186" s="798"/>
      <c r="EE186" s="798"/>
      <c r="EF186" s="798"/>
      <c r="EG186" s="798"/>
      <c r="EH186" s="782"/>
    </row>
    <row r="187" spans="1:138" ht="12.75" customHeight="1" x14ac:dyDescent="0.3">
      <c r="A187" s="782"/>
      <c r="B187" s="793" t="s">
        <v>112</v>
      </c>
      <c r="C187" s="794"/>
      <c r="D187" s="794"/>
      <c r="E187" s="794"/>
      <c r="F187" s="794"/>
      <c r="G187" s="794"/>
      <c r="H187" s="794"/>
      <c r="I187" s="794"/>
      <c r="J187" s="794"/>
      <c r="K187" s="794"/>
      <c r="L187" s="794"/>
      <c r="M187" s="794"/>
      <c r="N187" s="794"/>
      <c r="O187" s="794"/>
      <c r="P187" s="794"/>
      <c r="Q187" s="794"/>
      <c r="R187" s="794"/>
      <c r="S187" s="794"/>
      <c r="T187" s="794"/>
      <c r="U187" s="794"/>
      <c r="V187" s="794"/>
      <c r="W187" s="794"/>
      <c r="X187" s="794"/>
      <c r="Y187" s="794"/>
      <c r="Z187" s="794"/>
      <c r="AA187" s="794"/>
      <c r="AB187" s="794"/>
      <c r="AC187" s="794"/>
      <c r="AD187" s="794"/>
      <c r="AE187" s="794"/>
      <c r="AF187" s="794"/>
      <c r="AG187" s="794"/>
      <c r="AH187" s="794"/>
      <c r="AI187" s="794"/>
      <c r="AJ187" s="794"/>
      <c r="AK187" s="794"/>
      <c r="AL187" s="794"/>
      <c r="AM187" s="794"/>
      <c r="AN187" s="794"/>
      <c r="AO187" s="794"/>
      <c r="AP187" s="794"/>
      <c r="AQ187" s="794"/>
      <c r="AR187" s="794"/>
      <c r="AS187" s="794"/>
      <c r="AT187" s="794"/>
      <c r="AU187" s="794"/>
      <c r="AV187" s="794"/>
      <c r="AW187" s="794"/>
      <c r="AX187" s="794"/>
      <c r="AY187" s="794"/>
      <c r="AZ187" s="794"/>
      <c r="BA187" s="794"/>
      <c r="BB187" s="794"/>
      <c r="BC187" s="794"/>
      <c r="BD187" s="794"/>
      <c r="BE187" s="794"/>
      <c r="BF187" s="794"/>
      <c r="BG187" s="794"/>
      <c r="BH187" s="794"/>
      <c r="BI187" s="794"/>
      <c r="BJ187" s="794"/>
      <c r="BK187" s="794"/>
      <c r="BL187" s="794"/>
      <c r="BM187" s="794"/>
      <c r="BN187" s="794"/>
      <c r="BO187" s="794"/>
      <c r="BP187" s="794"/>
      <c r="BQ187" s="794"/>
      <c r="BR187" s="794"/>
      <c r="BS187" s="794"/>
      <c r="BT187" s="794"/>
      <c r="BU187" s="794"/>
      <c r="BV187" s="794"/>
      <c r="BW187" s="794"/>
      <c r="BX187" s="794"/>
      <c r="BY187" s="794"/>
      <c r="BZ187" s="794"/>
      <c r="CA187" s="794"/>
      <c r="CB187" s="794"/>
      <c r="CC187" s="794"/>
      <c r="CD187" s="794"/>
      <c r="CE187" s="794"/>
      <c r="CF187" s="794"/>
      <c r="CG187" s="794"/>
      <c r="CH187" s="794"/>
      <c r="CI187" s="794"/>
      <c r="CJ187" s="794"/>
      <c r="CK187" s="794"/>
      <c r="CL187" s="794"/>
      <c r="CM187" s="794"/>
      <c r="CN187" s="794"/>
      <c r="CO187" s="794"/>
      <c r="CP187" s="794"/>
      <c r="CQ187" s="794"/>
      <c r="CR187" s="794"/>
      <c r="CS187" s="794"/>
      <c r="CT187" s="794"/>
      <c r="CU187" s="794"/>
      <c r="CV187" s="794"/>
      <c r="CW187" s="794"/>
      <c r="CX187" s="794"/>
      <c r="CY187" s="794"/>
      <c r="CZ187" s="794"/>
      <c r="DA187" s="794"/>
      <c r="DB187" s="794"/>
      <c r="DC187" s="794"/>
      <c r="DD187" s="794"/>
      <c r="DE187" s="794"/>
      <c r="DF187" s="794"/>
      <c r="DG187" s="794"/>
      <c r="DH187" s="794"/>
      <c r="DI187" s="794"/>
      <c r="DJ187" s="794"/>
      <c r="DK187" s="794"/>
      <c r="DL187" s="794"/>
      <c r="DM187" s="794"/>
      <c r="DN187" s="794"/>
      <c r="DO187" s="794"/>
      <c r="DP187" s="794"/>
      <c r="DQ187" s="794"/>
      <c r="DR187" s="794"/>
      <c r="DS187" s="794"/>
      <c r="DT187" s="794"/>
      <c r="DU187" s="794"/>
      <c r="DV187" s="794"/>
      <c r="DW187" s="794"/>
      <c r="DX187" s="794"/>
      <c r="DY187" s="794"/>
      <c r="DZ187" s="794"/>
      <c r="EA187" s="794"/>
      <c r="EB187" s="794"/>
      <c r="EC187" s="794"/>
      <c r="ED187" s="794"/>
      <c r="EE187" s="794"/>
      <c r="EF187" s="794"/>
      <c r="EG187" s="794"/>
      <c r="EH187" s="794"/>
    </row>
    <row r="188" spans="1:138" ht="12.75" customHeight="1" x14ac:dyDescent="0.3">
      <c r="A188" s="782"/>
      <c r="B188" s="1365"/>
      <c r="C188" s="1366" t="s">
        <v>327</v>
      </c>
      <c r="D188" s="1365"/>
      <c r="E188" s="1366">
        <f>+'Tax Calcs'!D42</f>
        <v>0</v>
      </c>
      <c r="F188" s="1366">
        <f>+'Tax Calcs'!E42</f>
        <v>0</v>
      </c>
      <c r="G188" s="1366">
        <f>+'Tax Calcs'!F42</f>
        <v>0</v>
      </c>
      <c r="H188" s="1366">
        <f>+'Tax Calcs'!G42</f>
        <v>0</v>
      </c>
      <c r="I188" s="1366">
        <f>+'Tax Calcs'!H42</f>
        <v>0</v>
      </c>
      <c r="J188" s="1366">
        <f>+'Tax Calcs'!I42</f>
        <v>0</v>
      </c>
      <c r="K188" s="1366">
        <f>+'Tax Calcs'!J42</f>
        <v>0</v>
      </c>
      <c r="L188" s="1366">
        <f>+'Tax Calcs'!K42</f>
        <v>0</v>
      </c>
      <c r="M188" s="1366">
        <f>+'Tax Calcs'!L42</f>
        <v>0</v>
      </c>
      <c r="N188" s="1366">
        <f>+'Tax Calcs'!M42</f>
        <v>0</v>
      </c>
      <c r="O188" s="1366">
        <f>+'Tax Calcs'!N42</f>
        <v>0</v>
      </c>
      <c r="P188" s="1366">
        <f>+'Tax Calcs'!O42</f>
        <v>0</v>
      </c>
      <c r="Q188" s="1366">
        <f>+'Tax Calcs'!P42</f>
        <v>0</v>
      </c>
      <c r="R188" s="1366">
        <f>+'Tax Calcs'!Q42</f>
        <v>0</v>
      </c>
      <c r="S188" s="1366">
        <f>+'Tax Calcs'!R42</f>
        <v>0</v>
      </c>
      <c r="T188" s="1366">
        <f>+'Tax Calcs'!S42</f>
        <v>0</v>
      </c>
      <c r="U188" s="1366">
        <f>+'Tax Calcs'!T42</f>
        <v>0</v>
      </c>
      <c r="V188" s="1366">
        <f>+'Tax Calcs'!U42</f>
        <v>0</v>
      </c>
      <c r="W188" s="1366">
        <f>+'Tax Calcs'!V42</f>
        <v>0</v>
      </c>
      <c r="X188" s="1366">
        <f>+'Tax Calcs'!W42</f>
        <v>0</v>
      </c>
      <c r="Y188" s="1366">
        <f>+'Tax Calcs'!X42</f>
        <v>0</v>
      </c>
      <c r="Z188" s="1366">
        <f>+'Tax Calcs'!Y42</f>
        <v>0</v>
      </c>
      <c r="AA188" s="1366">
        <f>+'Tax Calcs'!Z42</f>
        <v>0</v>
      </c>
      <c r="AB188" s="1366">
        <f>+'Tax Calcs'!AA42</f>
        <v>0</v>
      </c>
      <c r="AC188" s="1366">
        <f>+'Tax Calcs'!AB42</f>
        <v>0</v>
      </c>
      <c r="AD188" s="1366">
        <f>+'Tax Calcs'!AC42</f>
        <v>0</v>
      </c>
      <c r="AE188" s="1366">
        <f>+'Tax Calcs'!AD42</f>
        <v>0</v>
      </c>
      <c r="AF188" s="1366">
        <f>+'Tax Calcs'!AE42</f>
        <v>0</v>
      </c>
      <c r="AG188" s="1366">
        <f>+'Tax Calcs'!AF42</f>
        <v>0</v>
      </c>
      <c r="AH188" s="1367">
        <f>+'Tax Calcs'!AG42</f>
        <v>0</v>
      </c>
      <c r="AI188" s="1366">
        <f>+'Tax Calcs'!AH42</f>
        <v>0</v>
      </c>
      <c r="AJ188" s="1366">
        <f>+'Tax Calcs'!AI42</f>
        <v>0</v>
      </c>
      <c r="AK188" s="1366">
        <f>+'Tax Calcs'!AJ42</f>
        <v>0</v>
      </c>
      <c r="AL188" s="1366">
        <f>+'Tax Calcs'!AK42</f>
        <v>0</v>
      </c>
      <c r="AM188" s="1366">
        <f>+'Tax Calcs'!AL42</f>
        <v>0</v>
      </c>
      <c r="AN188" s="1366">
        <f>+'Tax Calcs'!AM42</f>
        <v>0</v>
      </c>
      <c r="AO188" s="1366">
        <f>+'Tax Calcs'!AN42</f>
        <v>0</v>
      </c>
      <c r="AP188" s="1366">
        <f>+'Tax Calcs'!AO42</f>
        <v>0</v>
      </c>
      <c r="AQ188" s="1366">
        <f>+'Tax Calcs'!AP42</f>
        <v>0</v>
      </c>
      <c r="AR188" s="1366">
        <f>+'Tax Calcs'!AQ42</f>
        <v>0</v>
      </c>
      <c r="AS188" s="1366">
        <f>+'Tax Calcs'!AR42</f>
        <v>0</v>
      </c>
      <c r="AT188" s="1366">
        <f>+'Tax Calcs'!AS42</f>
        <v>0</v>
      </c>
      <c r="AU188" s="1366">
        <f>+'Tax Calcs'!AT42</f>
        <v>0</v>
      </c>
      <c r="AV188" s="1366">
        <f>+'Tax Calcs'!AU42</f>
        <v>0</v>
      </c>
      <c r="AW188" s="1366">
        <f>+'Tax Calcs'!AV42</f>
        <v>0</v>
      </c>
      <c r="AX188" s="1366">
        <f>+'Tax Calcs'!AW42</f>
        <v>0</v>
      </c>
      <c r="AY188" s="1366">
        <f>+'Tax Calcs'!AX42</f>
        <v>0</v>
      </c>
      <c r="AZ188" s="1366">
        <f>+'Tax Calcs'!AY42</f>
        <v>0</v>
      </c>
      <c r="BA188" s="1366">
        <f>+'Tax Calcs'!AZ42</f>
        <v>0</v>
      </c>
      <c r="BB188" s="1366">
        <f>+'Tax Calcs'!BA42</f>
        <v>0</v>
      </c>
      <c r="BC188" s="1366">
        <f>+'Tax Calcs'!BB42</f>
        <v>0</v>
      </c>
      <c r="BD188" s="1366">
        <f>+'Tax Calcs'!BC42</f>
        <v>0</v>
      </c>
      <c r="BE188" s="1366">
        <f>+'Tax Calcs'!BD42</f>
        <v>0</v>
      </c>
      <c r="BF188" s="1366">
        <f>+'Tax Calcs'!BE42</f>
        <v>0</v>
      </c>
      <c r="BG188" s="1366">
        <f>+'Tax Calcs'!BF42</f>
        <v>0</v>
      </c>
      <c r="BH188" s="1366">
        <f>+'Tax Calcs'!BG42</f>
        <v>0</v>
      </c>
      <c r="BI188" s="1366">
        <f>+'Tax Calcs'!BH42</f>
        <v>0</v>
      </c>
      <c r="BJ188" s="1366">
        <f>+'Tax Calcs'!BI42</f>
        <v>0</v>
      </c>
      <c r="BK188" s="1366">
        <f>+'Tax Calcs'!BJ42</f>
        <v>0</v>
      </c>
      <c r="BL188" s="1366">
        <f>+'Tax Calcs'!BK42</f>
        <v>0</v>
      </c>
      <c r="BM188" s="1366">
        <f>+'Tax Calcs'!BL42</f>
        <v>0</v>
      </c>
      <c r="BN188" s="1366">
        <f>+'Tax Calcs'!BM42</f>
        <v>0</v>
      </c>
      <c r="BO188" s="1366">
        <f>+'Tax Calcs'!BN42</f>
        <v>0</v>
      </c>
      <c r="BP188" s="1366">
        <f>+'Tax Calcs'!BO42</f>
        <v>0</v>
      </c>
      <c r="BQ188" s="1366">
        <f>+'Tax Calcs'!BP42</f>
        <v>0</v>
      </c>
      <c r="BR188" s="1366">
        <f>+'Tax Calcs'!BQ42</f>
        <v>0</v>
      </c>
      <c r="BS188" s="1366">
        <f>+'Tax Calcs'!BR42</f>
        <v>0</v>
      </c>
      <c r="BT188" s="1366">
        <f>+'Tax Calcs'!BS42</f>
        <v>0</v>
      </c>
      <c r="BU188" s="1366">
        <f>+'Tax Calcs'!BT42</f>
        <v>0</v>
      </c>
      <c r="BV188" s="1366">
        <f>+'Tax Calcs'!BU42</f>
        <v>0</v>
      </c>
      <c r="BW188" s="1366">
        <f>+'Tax Calcs'!BV42</f>
        <v>0</v>
      </c>
      <c r="BX188" s="1366">
        <f>+'Tax Calcs'!BW42</f>
        <v>0</v>
      </c>
      <c r="BY188" s="1366">
        <f>+'Tax Calcs'!BX42</f>
        <v>0</v>
      </c>
      <c r="BZ188" s="1366">
        <f>+'Tax Calcs'!BY42</f>
        <v>0</v>
      </c>
      <c r="CA188" s="1366">
        <f>+'Tax Calcs'!BZ42</f>
        <v>0</v>
      </c>
      <c r="CB188" s="1366">
        <f>+'Tax Calcs'!CA42</f>
        <v>0</v>
      </c>
      <c r="CC188" s="1366">
        <f>+'Tax Calcs'!CB42</f>
        <v>0</v>
      </c>
      <c r="CD188" s="1366">
        <f>+'Tax Calcs'!CC42</f>
        <v>0</v>
      </c>
      <c r="CE188" s="1366">
        <f>+'Tax Calcs'!CD42</f>
        <v>0</v>
      </c>
      <c r="CF188" s="1366">
        <f>+'Tax Calcs'!CE42</f>
        <v>0</v>
      </c>
      <c r="CG188" s="1366">
        <f>+'Tax Calcs'!CF42</f>
        <v>0</v>
      </c>
      <c r="CH188" s="1366">
        <f>+'Tax Calcs'!CG42</f>
        <v>0</v>
      </c>
      <c r="CI188" s="1366">
        <f>+'Tax Calcs'!CH42</f>
        <v>0</v>
      </c>
      <c r="CJ188" s="1366">
        <f>+'Tax Calcs'!CI42</f>
        <v>0</v>
      </c>
      <c r="CK188" s="1366">
        <f>+'Tax Calcs'!CJ42</f>
        <v>0</v>
      </c>
      <c r="CL188" s="1366">
        <f>+'Tax Calcs'!CK42</f>
        <v>0</v>
      </c>
      <c r="CM188" s="1366">
        <f>+'Tax Calcs'!CL42</f>
        <v>0</v>
      </c>
      <c r="CN188" s="1366">
        <f>+'Tax Calcs'!CM42</f>
        <v>0</v>
      </c>
      <c r="CO188" s="1366">
        <f>+'Tax Calcs'!CN42</f>
        <v>0</v>
      </c>
      <c r="CP188" s="1366">
        <f>+'Tax Calcs'!CO42</f>
        <v>0</v>
      </c>
      <c r="CQ188" s="1366">
        <f>+'Tax Calcs'!CP42</f>
        <v>0</v>
      </c>
      <c r="CR188" s="1366">
        <f>+'Tax Calcs'!CQ42</f>
        <v>0</v>
      </c>
      <c r="CS188" s="1366">
        <f>+'Tax Calcs'!CR42</f>
        <v>0</v>
      </c>
      <c r="CT188" s="1366">
        <f>+'Tax Calcs'!CS42</f>
        <v>0</v>
      </c>
      <c r="CU188" s="1366">
        <f>+'Tax Calcs'!CT42</f>
        <v>0</v>
      </c>
      <c r="CV188" s="1366">
        <f>+'Tax Calcs'!CU42</f>
        <v>0</v>
      </c>
      <c r="CW188" s="1366">
        <f>+'Tax Calcs'!CV42</f>
        <v>0</v>
      </c>
      <c r="CX188" s="1366">
        <f>+'Tax Calcs'!CW42</f>
        <v>0</v>
      </c>
      <c r="CY188" s="1366">
        <f>+'Tax Calcs'!CX42</f>
        <v>0</v>
      </c>
      <c r="CZ188" s="1366">
        <f>+'Tax Calcs'!CY42</f>
        <v>0</v>
      </c>
      <c r="DA188" s="1366">
        <f>+'Tax Calcs'!CZ42</f>
        <v>0</v>
      </c>
      <c r="DB188" s="1366">
        <f>+'Tax Calcs'!DA42</f>
        <v>0</v>
      </c>
      <c r="DC188" s="1366">
        <f>+'Tax Calcs'!DB42</f>
        <v>0</v>
      </c>
      <c r="DD188" s="1366">
        <f>+'Tax Calcs'!DC42</f>
        <v>0</v>
      </c>
      <c r="DE188" s="1366">
        <f>+'Tax Calcs'!DD42</f>
        <v>0</v>
      </c>
      <c r="DF188" s="1366">
        <f>+'Tax Calcs'!DE42</f>
        <v>0</v>
      </c>
      <c r="DG188" s="1366">
        <f>+'Tax Calcs'!DF42</f>
        <v>0</v>
      </c>
      <c r="DH188" s="1366">
        <f>+'Tax Calcs'!DG42</f>
        <v>0</v>
      </c>
      <c r="DI188" s="1366">
        <f>+'Tax Calcs'!DH42</f>
        <v>0</v>
      </c>
      <c r="DJ188" s="1366">
        <f>+'Tax Calcs'!DI42</f>
        <v>0</v>
      </c>
      <c r="DK188" s="1366">
        <f>+'Tax Calcs'!DJ42</f>
        <v>0</v>
      </c>
      <c r="DL188" s="1366">
        <f>+'Tax Calcs'!DK42</f>
        <v>0</v>
      </c>
      <c r="DM188" s="1366">
        <f>+'Tax Calcs'!DL42</f>
        <v>0</v>
      </c>
      <c r="DN188" s="1366">
        <f>+'Tax Calcs'!DM42</f>
        <v>0</v>
      </c>
      <c r="DO188" s="1366">
        <f>+'Tax Calcs'!DN42</f>
        <v>0</v>
      </c>
      <c r="DP188" s="1366">
        <f>+'Tax Calcs'!DO42</f>
        <v>0</v>
      </c>
      <c r="DQ188" s="1366">
        <f>+'Tax Calcs'!DP42</f>
        <v>0</v>
      </c>
      <c r="DR188" s="1366">
        <f>+'Tax Calcs'!DQ42</f>
        <v>0</v>
      </c>
      <c r="DS188" s="1366">
        <f>+'Tax Calcs'!DR42</f>
        <v>0</v>
      </c>
      <c r="DT188" s="1366">
        <f>+'Tax Calcs'!DS42</f>
        <v>0</v>
      </c>
      <c r="DU188" s="1366">
        <f>+'Tax Calcs'!DT42</f>
        <v>0</v>
      </c>
      <c r="DV188" s="1366">
        <f>+'Tax Calcs'!DU42</f>
        <v>0</v>
      </c>
      <c r="DW188" s="1366">
        <f>+'Tax Calcs'!DV42</f>
        <v>0</v>
      </c>
      <c r="DX188" s="1366">
        <f>+'Tax Calcs'!DW42</f>
        <v>0</v>
      </c>
      <c r="DY188" s="1366">
        <f>+'Tax Calcs'!DX42</f>
        <v>0</v>
      </c>
      <c r="DZ188" s="1366">
        <f>+'Tax Calcs'!DY42</f>
        <v>0</v>
      </c>
      <c r="EA188" s="1366">
        <f>+'Tax Calcs'!DZ42</f>
        <v>0</v>
      </c>
      <c r="EB188" s="1366">
        <f>+'Tax Calcs'!EA42</f>
        <v>0</v>
      </c>
      <c r="EC188" s="1366">
        <f>+'Tax Calcs'!EB42</f>
        <v>0</v>
      </c>
      <c r="ED188" s="1366">
        <f>+'Tax Calcs'!EC42</f>
        <v>0</v>
      </c>
      <c r="EE188" s="1366">
        <f>+'Tax Calcs'!ED42</f>
        <v>0</v>
      </c>
      <c r="EF188" s="1366">
        <f>+'Tax Calcs'!EE42</f>
        <v>0</v>
      </c>
      <c r="EG188" s="1366">
        <f>+'Tax Calcs'!EF42</f>
        <v>0</v>
      </c>
      <c r="EH188" s="782"/>
    </row>
    <row r="189" spans="1:138" ht="12.75" customHeight="1" x14ac:dyDescent="0.3">
      <c r="A189" s="782"/>
      <c r="B189" s="782" t="s">
        <v>113</v>
      </c>
      <c r="C189" s="798">
        <f t="shared" ref="C189:C195" si="154">SUM(E189:EG189)</f>
        <v>676615055.66400826</v>
      </c>
      <c r="D189" s="782"/>
      <c r="E189" s="798">
        <f>IFERROR(INDEX(Waterfalls!$E$181:$EG$181,MATCH('Venture Summary - Mthly'!E5-INDEX('Venture Assumptions'!$J$6:$J$40,MATCH($B$2,'Venture Assumptions'!$I$6:$I$40,0)),Waterfalls!$E$5:$EG$5,0)),0)</f>
        <v>0</v>
      </c>
      <c r="F189" s="798">
        <f>IFERROR(INDEX(Waterfalls!$E$181:$EG$181,MATCH('Venture Summary - Mthly'!F5-INDEX('Venture Assumptions'!$J$6:$J$40,MATCH($B$2,'Venture Assumptions'!$I$6:$I$40,0)),Waterfalls!$E$5:$EG$5,0)),0)</f>
        <v>0</v>
      </c>
      <c r="G189" s="798">
        <f>IFERROR(INDEX(Waterfalls!$E$181:$EG$181,MATCH('Venture Summary - Mthly'!G5-INDEX('Venture Assumptions'!$J$6:$J$40,MATCH($B$2,'Venture Assumptions'!$I$6:$I$40,0)),Waterfalls!$E$5:$EG$5,0)),0)</f>
        <v>0</v>
      </c>
      <c r="H189" s="798">
        <f>IFERROR(INDEX(Waterfalls!$E$181:$EG$181,MATCH('Venture Summary - Mthly'!H5-INDEX('Venture Assumptions'!$J$6:$J$40,MATCH($B$2,'Venture Assumptions'!$I$6:$I$40,0)),Waterfalls!$E$5:$EG$5,0)),0)</f>
        <v>0</v>
      </c>
      <c r="I189" s="798">
        <f>IFERROR(INDEX(Waterfalls!$E$181:$EG$181,MATCH('Venture Summary - Mthly'!I5-INDEX('Venture Assumptions'!$J$6:$J$40,MATCH($B$2,'Venture Assumptions'!$I$6:$I$40,0)),Waterfalls!$E$5:$EG$5,0)),0)</f>
        <v>0</v>
      </c>
      <c r="J189" s="798">
        <f>IFERROR(INDEX(Waterfalls!$E$181:$EG$181,MATCH('Venture Summary - Mthly'!J5-INDEX('Venture Assumptions'!$J$6:$J$40,MATCH($B$2,'Venture Assumptions'!$I$6:$I$40,0)),Waterfalls!$E$5:$EG$5,0)),0)</f>
        <v>0</v>
      </c>
      <c r="K189" s="798">
        <f>IFERROR(INDEX(Waterfalls!$E$181:$EG$181,MATCH('Venture Summary - Mthly'!K5-INDEX('Venture Assumptions'!$J$6:$J$40,MATCH($B$2,'Venture Assumptions'!$I$6:$I$40,0)),Waterfalls!$E$5:$EG$5,0)),0)</f>
        <v>0</v>
      </c>
      <c r="L189" s="798">
        <f>IFERROR(INDEX(Waterfalls!$E$181:$EG$181,MATCH('Venture Summary - Mthly'!L5-INDEX('Venture Assumptions'!$J$6:$J$40,MATCH($B$2,'Venture Assumptions'!$I$6:$I$40,0)),Waterfalls!$E$5:$EG$5,0)),0)</f>
        <v>0</v>
      </c>
      <c r="M189" s="798">
        <f>IFERROR(INDEX(Waterfalls!$E$181:$EG$181,MATCH('Venture Summary - Mthly'!M5-INDEX('Venture Assumptions'!$J$6:$J$40,MATCH($B$2,'Venture Assumptions'!$I$6:$I$40,0)),Waterfalls!$E$5:$EG$5,0)),0)</f>
        <v>0</v>
      </c>
      <c r="N189" s="798">
        <f>IFERROR(INDEX(Waterfalls!$E$181:$EG$181,MATCH('Venture Summary - Mthly'!N5-INDEX('Venture Assumptions'!$J$6:$J$40,MATCH($B$2,'Venture Assumptions'!$I$6:$I$40,0)),Waterfalls!$E$5:$EG$5,0)),0)</f>
        <v>0</v>
      </c>
      <c r="O189" s="798">
        <f>IFERROR(INDEX(Waterfalls!$E$181:$EG$181,MATCH('Venture Summary - Mthly'!O5-INDEX('Venture Assumptions'!$J$6:$J$40,MATCH($B$2,'Venture Assumptions'!$I$6:$I$40,0)),Waterfalls!$E$5:$EG$5,0)),0)</f>
        <v>0</v>
      </c>
      <c r="P189" s="798">
        <f>IFERROR(INDEX(Waterfalls!$E$181:$EG$181,MATCH('Venture Summary - Mthly'!P5-INDEX('Venture Assumptions'!$J$6:$J$40,MATCH($B$2,'Venture Assumptions'!$I$6:$I$40,0)),Waterfalls!$E$5:$EG$5,0)),0)</f>
        <v>0</v>
      </c>
      <c r="Q189" s="1149">
        <f>IFERROR(INDEX(Waterfalls!$E$181:$EG$181,MATCH('Venture Summary - Mthly'!Q5-INDEX('Venture Assumptions'!$J$6:$J$40,MATCH($B$2,'Venture Assumptions'!$I$6:$I$40,0)),Waterfalls!$E$5:$EG$5,0)),0)</f>
        <v>486603.63326172775</v>
      </c>
      <c r="R189" s="1149">
        <f>IFERROR(INDEX(Waterfalls!$E$181:$EG$181,MATCH('Venture Summary - Mthly'!R5-INDEX('Venture Assumptions'!$J$6:$J$40,MATCH($B$2,'Venture Assumptions'!$I$6:$I$40,0)),Waterfalls!$E$5:$EG$5,0)),0)</f>
        <v>799517.8716226744</v>
      </c>
      <c r="S189" s="1149">
        <f>IFERROR(INDEX(Waterfalls!$E$181:$EG$181,MATCH('Venture Summary - Mthly'!S5-INDEX('Venture Assumptions'!$J$6:$J$40,MATCH($B$2,'Venture Assumptions'!$I$6:$I$40,0)),Waterfalls!$E$5:$EG$5,0)),0)</f>
        <v>1241811.1657072995</v>
      </c>
      <c r="T189" s="1149">
        <f>IFERROR(INDEX(Waterfalls!$E$181:$EG$181,MATCH('Venture Summary - Mthly'!T5-INDEX('Venture Assumptions'!$J$6:$J$40,MATCH($B$2,'Venture Assumptions'!$I$6:$I$40,0)),Waterfalls!$E$5:$EG$5,0)),0)</f>
        <v>1775688.3625134691</v>
      </c>
      <c r="U189" s="1149">
        <f>IFERROR(INDEX(Waterfalls!$E$181:$EG$181,MATCH('Venture Summary - Mthly'!U5-INDEX('Venture Assumptions'!$J$6:$J$40,MATCH($B$2,'Venture Assumptions'!$I$6:$I$40,0)),Waterfalls!$E$5:$EG$5,0)),0)</f>
        <v>2317746.8141580438</v>
      </c>
      <c r="V189" s="1149">
        <f>IFERROR(INDEX(Waterfalls!$E$181:$EG$181,MATCH('Venture Summary - Mthly'!V5-INDEX('Venture Assumptions'!$J$6:$J$40,MATCH($B$2,'Venture Assumptions'!$I$6:$I$40,0)),Waterfalls!$E$5:$EG$5,0)),0)</f>
        <v>2830915.7502216105</v>
      </c>
      <c r="W189" s="1149">
        <f>IFERROR(INDEX(Waterfalls!$E$181:$EG$181,MATCH('Venture Summary - Mthly'!W5-INDEX('Venture Assumptions'!$J$6:$J$40,MATCH($B$2,'Venture Assumptions'!$I$6:$I$40,0)),Waterfalls!$E$5:$EG$5,0)),0)</f>
        <v>3313089.445044463</v>
      </c>
      <c r="X189" s="1149">
        <f>IFERROR(INDEX(Waterfalls!$E$181:$EG$181,MATCH('Venture Summary - Mthly'!X5-INDEX('Venture Assumptions'!$J$6:$J$40,MATCH($B$2,'Venture Assumptions'!$I$6:$I$40,0)),Waterfalls!$E$5:$EG$5,0)),0)</f>
        <v>3755533.9131818605</v>
      </c>
      <c r="Y189" s="1149">
        <f>IFERROR(INDEX(Waterfalls!$E$181:$EG$181,MATCH('Venture Summary - Mthly'!Y5-INDEX('Venture Assumptions'!$J$6:$J$40,MATCH($B$2,'Venture Assumptions'!$I$6:$I$40,0)),Waterfalls!$E$5:$EG$5,0)),0)</f>
        <v>4162483.7173877214</v>
      </c>
      <c r="Z189" s="1149">
        <f>IFERROR(INDEX(Waterfalls!$E$181:$EG$181,MATCH('Venture Summary - Mthly'!Z5-INDEX('Venture Assumptions'!$J$6:$J$40,MATCH($B$2,'Venture Assumptions'!$I$6:$I$40,0)),Waterfalls!$E$5:$EG$5,0)),0)</f>
        <v>4525771.8702856777</v>
      </c>
      <c r="AA189" s="1149">
        <f>IFERROR(INDEX(Waterfalls!$E$181:$EG$181,MATCH('Venture Summary - Mthly'!AA5-INDEX('Venture Assumptions'!$J$6:$J$40,MATCH($B$2,'Venture Assumptions'!$I$6:$I$40,0)),Waterfalls!$E$5:$EG$5,0)),0)</f>
        <v>4836905.6686216881</v>
      </c>
      <c r="AB189" s="1149">
        <f>IFERROR(INDEX(Waterfalls!$E$181:$EG$181,MATCH('Venture Summary - Mthly'!AB5-INDEX('Venture Assumptions'!$J$6:$J$40,MATCH($B$2,'Venture Assumptions'!$I$6:$I$40,0)),Waterfalls!$E$5:$EG$5,0)),0)</f>
        <v>5095856.1903470261</v>
      </c>
      <c r="AC189" s="1149">
        <f>IFERROR(INDEX(Waterfalls!$E$181:$EG$181,MATCH('Venture Summary - Mthly'!AC5-INDEX('Venture Assumptions'!$J$6:$J$40,MATCH($B$2,'Venture Assumptions'!$I$6:$I$40,0)),Waterfalls!$E$5:$EG$5,0)),0)</f>
        <v>5303050.5038964218</v>
      </c>
      <c r="AD189" s="1149">
        <f>IFERROR(INDEX(Waterfalls!$E$181:$EG$181,MATCH('Venture Summary - Mthly'!AD5-INDEX('Venture Assumptions'!$J$6:$J$40,MATCH($B$2,'Venture Assumptions'!$I$6:$I$40,0)),Waterfalls!$E$5:$EG$5,0)),0)</f>
        <v>5466564.1907352023</v>
      </c>
      <c r="AE189" s="1149">
        <f>IFERROR(INDEX(Waterfalls!$E$181:$EG$181,MATCH('Venture Summary - Mthly'!AE5-INDEX('Venture Assumptions'!$J$6:$J$40,MATCH($B$2,'Venture Assumptions'!$I$6:$I$40,0)),Waterfalls!$E$5:$EG$5,0)),0)</f>
        <v>5584180.7360970089</v>
      </c>
      <c r="AF189" s="1149">
        <f>IFERROR(INDEX(Waterfalls!$E$181:$EG$181,MATCH('Venture Summary - Mthly'!AF5-INDEX('Venture Assumptions'!$J$6:$J$40,MATCH($B$2,'Venture Assumptions'!$I$6:$I$40,0)),Waterfalls!$E$5:$EG$5,0)),0)</f>
        <v>5615475.2792723458</v>
      </c>
      <c r="AG189" s="1149">
        <f>IFERROR(INDEX(Waterfalls!$E$181:$EG$181,MATCH('Venture Summary - Mthly'!AG5-INDEX('Venture Assumptions'!$J$6:$J$40,MATCH($B$2,'Venture Assumptions'!$I$6:$I$40,0)),Waterfalls!$E$5:$EG$5,0)),0)</f>
        <v>5638571.1358792642</v>
      </c>
      <c r="AH189" s="1149">
        <f>IFERROR(INDEX(Waterfalls!$E$181:$EG$181,MATCH('Venture Summary - Mthly'!AH5-INDEX('Venture Assumptions'!$J$6:$J$40,MATCH($B$2,'Venture Assumptions'!$I$6:$I$40,0)),Waterfalls!$E$5:$EG$5,0)),0)</f>
        <v>5662218.5893172091</v>
      </c>
      <c r="AI189" s="1149">
        <f>IFERROR(INDEX(Waterfalls!$E$181:$EG$181,MATCH('Venture Summary - Mthly'!AI5-INDEX('Venture Assumptions'!$J$6:$J$40,MATCH($B$2,'Venture Assumptions'!$I$6:$I$40,0)),Waterfalls!$E$5:$EG$5,0)),0)</f>
        <v>5686387.5663833544</v>
      </c>
      <c r="AJ189" s="1149">
        <f>IFERROR(INDEX(Waterfalls!$E$181:$EG$181,MATCH('Venture Summary - Mthly'!AJ5-INDEX('Venture Assumptions'!$J$6:$J$40,MATCH($B$2,'Venture Assumptions'!$I$6:$I$40,0)),Waterfalls!$E$5:$EG$5,0)),0)</f>
        <v>5710530.25354339</v>
      </c>
      <c r="AK189" s="1149">
        <f>IFERROR(INDEX(Waterfalls!$E$181:$EG$181,MATCH('Venture Summary - Mthly'!AK5-INDEX('Venture Assumptions'!$J$6:$J$40,MATCH($B$2,'Venture Assumptions'!$I$6:$I$40,0)),Waterfalls!$E$5:$EG$5,0)),0)</f>
        <v>5734361.1907627545</v>
      </c>
      <c r="AL189" s="1149">
        <f>IFERROR(INDEX(Waterfalls!$E$181:$EG$181,MATCH('Venture Summary - Mthly'!AL5-INDEX('Venture Assumptions'!$J$6:$J$40,MATCH($B$2,'Venture Assumptions'!$I$6:$I$40,0)),Waterfalls!$E$5:$EG$5,0)),0)</f>
        <v>5757811.5115443422</v>
      </c>
      <c r="AM189" s="1149">
        <f>IFERROR(INDEX(Waterfalls!$E$181:$EG$181,MATCH('Venture Summary - Mthly'!AM5-INDEX('Venture Assumptions'!$J$6:$J$40,MATCH($B$2,'Venture Assumptions'!$I$6:$I$40,0)),Waterfalls!$E$5:$EG$5,0)),0)</f>
        <v>5780811.8388658734</v>
      </c>
      <c r="AN189" s="1149">
        <f>IFERROR(INDEX(Waterfalls!$E$181:$EG$181,MATCH('Venture Summary - Mthly'!AN5-INDEX('Venture Assumptions'!$J$6:$J$40,MATCH($B$2,'Venture Assumptions'!$I$6:$I$40,0)),Waterfalls!$E$5:$EG$5,0)),0)</f>
        <v>5803292.2823840054</v>
      </c>
      <c r="AO189" s="1149">
        <f>IFERROR(INDEX(Waterfalls!$E$181:$EG$181,MATCH('Venture Summary - Mthly'!AO5-INDEX('Venture Assumptions'!$J$6:$J$40,MATCH($B$2,'Venture Assumptions'!$I$6:$I$40,0)),Waterfalls!$E$5:$EG$5,0)),0)</f>
        <v>5825182.4356253222</v>
      </c>
      <c r="AP189" s="1149">
        <f>IFERROR(INDEX(Waterfalls!$E$181:$EG$181,MATCH('Venture Summary - Mthly'!AP5-INDEX('Venture Assumptions'!$J$6:$J$40,MATCH($B$2,'Venture Assumptions'!$I$6:$I$40,0)),Waterfalls!$E$5:$EG$5,0)),0)</f>
        <v>5846634.0700764991</v>
      </c>
      <c r="AQ189" s="1149">
        <f>IFERROR(INDEX(Waterfalls!$E$181:$EG$181,MATCH('Venture Summary - Mthly'!AQ5-INDEX('Venture Assumptions'!$J$6:$J$40,MATCH($B$2,'Venture Assumptions'!$I$6:$I$40,0)),Waterfalls!$E$5:$EG$5,0)),0)</f>
        <v>5867138.2851629499</v>
      </c>
      <c r="AR189" s="1149">
        <f>IFERROR(INDEX(Waterfalls!$E$181:$EG$181,MATCH('Venture Summary - Mthly'!AR5-INDEX('Venture Assumptions'!$J$6:$J$40,MATCH($B$2,'Venture Assumptions'!$I$6:$I$40,0)),Waterfalls!$E$5:$EG$5,0)),0)</f>
        <v>5886766.3090078365</v>
      </c>
      <c r="AS189" s="1149">
        <f>IFERROR(INDEX(Waterfalls!$E$181:$EG$181,MATCH('Venture Summary - Mthly'!AS5-INDEX('Venture Assumptions'!$J$6:$J$40,MATCH($B$2,'Venture Assumptions'!$I$6:$I$40,0)),Waterfalls!$E$5:$EG$5,0)),0)</f>
        <v>5907129.0772375735</v>
      </c>
      <c r="AT189" s="1149">
        <f>IFERROR(INDEX(Waterfalls!$E$181:$EG$181,MATCH('Venture Summary - Mthly'!AT5-INDEX('Venture Assumptions'!$J$6:$J$40,MATCH($B$2,'Venture Assumptions'!$I$6:$I$40,0)),Waterfalls!$E$5:$EG$5,0)),0)</f>
        <v>5927015.4993416993</v>
      </c>
      <c r="AU189" s="1149">
        <f>IFERROR(INDEX(Waterfalls!$E$181:$EG$181,MATCH('Venture Summary - Mthly'!AU5-INDEX('Venture Assumptions'!$J$6:$J$40,MATCH($B$2,'Venture Assumptions'!$I$6:$I$40,0)),Waterfalls!$E$5:$EG$5,0)),0)</f>
        <v>5946483.7610710952</v>
      </c>
      <c r="AV189" s="1149">
        <f>IFERROR(INDEX(Waterfalls!$E$181:$EG$181,MATCH('Venture Summary - Mthly'!AV5-INDEX('Venture Assumptions'!$J$6:$J$40,MATCH($B$2,'Venture Assumptions'!$I$6:$I$40,0)),Waterfalls!$E$5:$EG$5,0)),0)</f>
        <v>5965409.0414280528</v>
      </c>
      <c r="AW189" s="1149">
        <f>IFERROR(INDEX(Waterfalls!$E$181:$EG$181,MATCH('Venture Summary - Mthly'!AW5-INDEX('Venture Assumptions'!$J$6:$J$40,MATCH($B$2,'Venture Assumptions'!$I$6:$I$40,0)),Waterfalls!$E$5:$EG$5,0)),0)</f>
        <v>5983923.6474896045</v>
      </c>
      <c r="AX189" s="1149">
        <f>IFERROR(INDEX(Waterfalls!$E$181:$EG$181,MATCH('Venture Summary - Mthly'!AX5-INDEX('Venture Assumptions'!$J$6:$J$40,MATCH($B$2,'Venture Assumptions'!$I$6:$I$40,0)),Waterfalls!$E$5:$EG$5,0)),0)</f>
        <v>6002160.9506704016</v>
      </c>
      <c r="AY189" s="1149">
        <f>IFERROR(INDEX(Waterfalls!$E$181:$EG$181,MATCH('Venture Summary - Mthly'!AY5-INDEX('Venture Assumptions'!$J$6:$J$40,MATCH($B$2,'Venture Assumptions'!$I$6:$I$40,0)),Waterfalls!$E$5:$EG$5,0)),0)</f>
        <v>6020255.3932064222</v>
      </c>
      <c r="AZ189" s="1149">
        <f>IFERROR(INDEX(Waterfalls!$E$181:$EG$181,MATCH('Venture Summary - Mthly'!AZ5-INDEX('Venture Assumptions'!$J$6:$J$40,MATCH($B$2,'Venture Assumptions'!$I$6:$I$40,0)),Waterfalls!$E$5:$EG$5,0)),0)</f>
        <v>6038342.4946742645</v>
      </c>
      <c r="BA189" s="1149">
        <f>IFERROR(INDEX(Waterfalls!$E$181:$EG$181,MATCH('Venture Summary - Mthly'!BA5-INDEX('Venture Assumptions'!$J$6:$J$40,MATCH($B$2,'Venture Assumptions'!$I$6:$I$40,0)),Waterfalls!$E$5:$EG$5,0)),0)</f>
        <v>6056558.8585462254</v>
      </c>
      <c r="BB189" s="1149">
        <f>IFERROR(INDEX(Waterfalls!$E$181:$EG$181,MATCH('Venture Summary - Mthly'!BB5-INDEX('Venture Assumptions'!$J$6:$J$40,MATCH($B$2,'Venture Assumptions'!$I$6:$I$40,0)),Waterfalls!$E$5:$EG$5,0)),0)</f>
        <v>6074955.5537554631</v>
      </c>
      <c r="BC189" s="1149">
        <f>IFERROR(INDEX(Waterfalls!$E$181:$EG$181,MATCH('Venture Summary - Mthly'!BC5-INDEX('Venture Assumptions'!$J$6:$J$40,MATCH($B$2,'Venture Assumptions'!$I$6:$I$40,0)),Waterfalls!$E$5:$EG$5,0)),0)</f>
        <v>6093829.2021369357</v>
      </c>
      <c r="BD189" s="1149">
        <f>IFERROR(INDEX(Waterfalls!$E$181:$EG$181,MATCH('Venture Summary - Mthly'!BD5-INDEX('Venture Assumptions'!$J$6:$J$40,MATCH($B$2,'Venture Assumptions'!$I$6:$I$40,0)),Waterfalls!$E$5:$EG$5,0)),0)</f>
        <v>6113225.060278995</v>
      </c>
      <c r="BE189" s="1149">
        <f>IFERROR(INDEX(Waterfalls!$E$181:$EG$181,MATCH('Venture Summary - Mthly'!BE5-INDEX('Venture Assumptions'!$J$6:$J$40,MATCH($B$2,'Venture Assumptions'!$I$6:$I$40,0)),Waterfalls!$E$5:$EG$5,0)),0)</f>
        <v>6132722.2028710609</v>
      </c>
      <c r="BF189" s="1149">
        <f>IFERROR(INDEX(Waterfalls!$E$181:$EG$181,MATCH('Venture Summary - Mthly'!BF5-INDEX('Venture Assumptions'!$J$6:$J$40,MATCH($B$2,'Venture Assumptions'!$I$6:$I$40,0)),Waterfalls!$E$5:$EG$5,0)),0)</f>
        <v>6152566.6408960521</v>
      </c>
      <c r="BG189" s="1149">
        <f>IFERROR(INDEX(Waterfalls!$E$181:$EG$181,MATCH('Venture Summary - Mthly'!BG5-INDEX('Venture Assumptions'!$J$6:$J$40,MATCH($B$2,'Venture Assumptions'!$I$6:$I$40,0)),Waterfalls!$E$5:$EG$5,0)),0)</f>
        <v>6172739.1755592395</v>
      </c>
      <c r="BH189" s="1149">
        <f>IFERROR(INDEX(Waterfalls!$E$181:$EG$181,MATCH('Venture Summary - Mthly'!BH5-INDEX('Venture Assumptions'!$J$6:$J$40,MATCH($B$2,'Venture Assumptions'!$I$6:$I$40,0)),Waterfalls!$E$5:$EG$5,0)),0)</f>
        <v>6193371.3183819875</v>
      </c>
      <c r="BI189" s="1149">
        <f>IFERROR(INDEX(Waterfalls!$E$181:$EG$181,MATCH('Venture Summary - Mthly'!BI5-INDEX('Venture Assumptions'!$J$6:$J$40,MATCH($B$2,'Venture Assumptions'!$I$6:$I$40,0)),Waterfalls!$E$5:$EG$5,0)),0)</f>
        <v>6214419.4133675331</v>
      </c>
      <c r="BJ189" s="1149">
        <f>IFERROR(INDEX(Waterfalls!$E$181:$EG$181,MATCH('Venture Summary - Mthly'!BJ5-INDEX('Venture Assumptions'!$J$6:$J$40,MATCH($B$2,'Venture Assumptions'!$I$6:$I$40,0)),Waterfalls!$E$5:$EG$5,0)),0)</f>
        <v>6235839.4751603669</v>
      </c>
      <c r="BK189" s="1149">
        <f>IFERROR(INDEX(Waterfalls!$E$181:$EG$181,MATCH('Venture Summary - Mthly'!BK5-INDEX('Venture Assumptions'!$J$6:$J$40,MATCH($B$2,'Venture Assumptions'!$I$6:$I$40,0)),Waterfalls!$E$5:$EG$5,0)),0)</f>
        <v>6257587.1871975362</v>
      </c>
      <c r="BL189" s="1149">
        <f>IFERROR(INDEX(Waterfalls!$E$181:$EG$181,MATCH('Venture Summary - Mthly'!BL5-INDEX('Venture Assumptions'!$J$6:$J$40,MATCH($B$2,'Venture Assumptions'!$I$6:$I$40,0)),Waterfalls!$E$5:$EG$5,0)),0)</f>
        <v>6279617.899850715</v>
      </c>
      <c r="BM189" s="1149">
        <f>IFERROR(INDEX(Waterfalls!$E$181:$EG$181,MATCH('Venture Summary - Mthly'!BM5-INDEX('Venture Assumptions'!$J$6:$J$40,MATCH($B$2,'Venture Assumptions'!$I$6:$I$40,0)),Waterfalls!$E$5:$EG$5,0)),0)</f>
        <v>6301886.6285589896</v>
      </c>
      <c r="BN189" s="1149">
        <f>IFERROR(INDEX(Waterfalls!$E$181:$EG$181,MATCH('Venture Summary - Mthly'!BN5-INDEX('Venture Assumptions'!$J$6:$J$40,MATCH($B$2,'Venture Assumptions'!$I$6:$I$40,0)),Waterfalls!$E$5:$EG$5,0)),0)</f>
        <v>6324286.2516319863</v>
      </c>
      <c r="BO189" s="1149">
        <f>IFERROR(INDEX(Waterfalls!$E$181:$EG$181,MATCH('Venture Summary - Mthly'!BO5-INDEX('Venture Assumptions'!$J$6:$J$40,MATCH($B$2,'Venture Assumptions'!$I$6:$I$40,0)),Waterfalls!$E$5:$EG$5,0)),0)</f>
        <v>6346899.7849845504</v>
      </c>
      <c r="BP189" s="1149">
        <f>IFERROR(INDEX(Waterfalls!$E$181:$EG$181,MATCH('Venture Summary - Mthly'!BP5-INDEX('Venture Assumptions'!$J$6:$J$40,MATCH($B$2,'Venture Assumptions'!$I$6:$I$40,0)),Waterfalls!$E$5:$EG$5,0)),0)</f>
        <v>6369664.4513462717</v>
      </c>
      <c r="BQ189" s="1149">
        <f>IFERROR(INDEX(Waterfalls!$E$181:$EG$181,MATCH('Venture Summary - Mthly'!BQ5-INDEX('Venture Assumptions'!$J$6:$J$40,MATCH($B$2,'Venture Assumptions'!$I$6:$I$40,0)),Waterfalls!$E$5:$EG$5,0)),0)</f>
        <v>6392320.2761016544</v>
      </c>
      <c r="BR189" s="1149">
        <f>IFERROR(INDEX(Waterfalls!$E$181:$EG$181,MATCH('Venture Summary - Mthly'!BR5-INDEX('Venture Assumptions'!$J$6:$J$40,MATCH($B$2,'Venture Assumptions'!$I$6:$I$40,0)),Waterfalls!$E$5:$EG$5,0)),0)</f>
        <v>6415046.0327254571</v>
      </c>
      <c r="BS189" s="1149">
        <f>IFERROR(INDEX(Waterfalls!$E$181:$EG$181,MATCH('Venture Summary - Mthly'!BS5-INDEX('Venture Assumptions'!$J$6:$J$40,MATCH($B$2,'Venture Assumptions'!$I$6:$I$40,0)),Waterfalls!$E$5:$EG$5,0)),0)</f>
        <v>6437841.9123788653</v>
      </c>
      <c r="BT189" s="1149">
        <f>IFERROR(INDEX(Waterfalls!$E$181:$EG$181,MATCH('Venture Summary - Mthly'!BT5-INDEX('Venture Assumptions'!$J$6:$J$40,MATCH($B$2,'Venture Assumptions'!$I$6:$I$40,0)),Waterfalls!$E$5:$EG$5,0)),0)</f>
        <v>6460739.5629424378</v>
      </c>
      <c r="BU189" s="1149">
        <f>IFERROR(INDEX(Waterfalls!$E$181:$EG$181,MATCH('Venture Summary - Mthly'!BU5-INDEX('Venture Assumptions'!$J$6:$J$40,MATCH($B$2,'Venture Assumptions'!$I$6:$I$40,0)),Waterfalls!$E$5:$EG$5,0)),0)</f>
        <v>6483739.3940660134</v>
      </c>
      <c r="BV189" s="1149">
        <f>IFERROR(INDEX(Waterfalls!$E$181:$EG$181,MATCH('Venture Summary - Mthly'!BV5-INDEX('Venture Assumptions'!$J$6:$J$40,MATCH($B$2,'Venture Assumptions'!$I$6:$I$40,0)),Waterfalls!$E$5:$EG$5,0)),0)</f>
        <v>6506841.8170677675</v>
      </c>
      <c r="BW189" s="1149">
        <f>IFERROR(INDEX(Waterfalls!$E$181:$EG$181,MATCH('Venture Summary - Mthly'!BW5-INDEX('Venture Assumptions'!$J$6:$J$40,MATCH($B$2,'Venture Assumptions'!$I$6:$I$40,0)),Waterfalls!$E$5:$EG$5,0)),0)</f>
        <v>6530047.2449410474</v>
      </c>
      <c r="BX189" s="1149">
        <f>IFERROR(INDEX(Waterfalls!$E$181:$EG$181,MATCH('Venture Summary - Mthly'!BX5-INDEX('Venture Assumptions'!$J$6:$J$40,MATCH($B$2,'Venture Assumptions'!$I$6:$I$40,0)),Waterfalls!$E$5:$EG$5,0)),0)</f>
        <v>6553356.0923612425</v>
      </c>
      <c r="BY189" s="1149">
        <f>IFERROR(INDEX(Waterfalls!$E$181:$EG$181,MATCH('Venture Summary - Mthly'!BY5-INDEX('Venture Assumptions'!$J$6:$J$40,MATCH($B$2,'Venture Assumptions'!$I$6:$I$40,0)),Waterfalls!$E$5:$EG$5,0)),0)</f>
        <v>6576768.7756926967</v>
      </c>
      <c r="BZ189" s="1149">
        <f>IFERROR(INDEX(Waterfalls!$E$181:$EG$181,MATCH('Venture Summary - Mthly'!BZ5-INDEX('Venture Assumptions'!$J$6:$J$40,MATCH($B$2,'Venture Assumptions'!$I$6:$I$40,0)),Waterfalls!$E$5:$EG$5,0)),0)</f>
        <v>6600253.4658503877</v>
      </c>
      <c r="CA189" s="1149">
        <f>IFERROR(INDEX(Waterfalls!$E$181:$EG$181,MATCH('Venture Summary - Mthly'!CA5-INDEX('Venture Assumptions'!$J$6:$J$40,MATCH($B$2,'Venture Assumptions'!$I$6:$I$40,0)),Waterfalls!$E$5:$EG$5,0)),0)</f>
        <v>6623875.0323061459</v>
      </c>
      <c r="CB189" s="1149">
        <f>IFERROR(INDEX(Waterfalls!$E$181:$EG$181,MATCH('Venture Summary - Mthly'!CB5-INDEX('Venture Assumptions'!$J$6:$J$40,MATCH($B$2,'Venture Assumptions'!$I$6:$I$40,0)),Waterfalls!$E$5:$EG$5,0)),0)</f>
        <v>6647616.6476280931</v>
      </c>
      <c r="CC189" s="1149">
        <f>IFERROR(INDEX(Waterfalls!$E$181:$EG$181,MATCH('Venture Summary - Mthly'!CC5-INDEX('Venture Assumptions'!$J$6:$J$40,MATCH($B$2,'Venture Assumptions'!$I$6:$I$40,0)),Waterfalls!$E$5:$EG$5,0)),0)</f>
        <v>6671245.5942205051</v>
      </c>
      <c r="CD189" s="1149">
        <f>IFERROR(INDEX(Waterfalls!$E$181:$EG$181,MATCH('Venture Summary - Mthly'!CD5-INDEX('Venture Assumptions'!$J$6:$J$40,MATCH($B$2,'Venture Assumptions'!$I$6:$I$40,0)),Waterfalls!$E$5:$EG$5,0)),0)</f>
        <v>6694947.3382962849</v>
      </c>
      <c r="CE189" s="1149">
        <f>IFERROR(INDEX(Waterfalls!$E$181:$EG$181,MATCH('Venture Summary - Mthly'!CE5-INDEX('Venture Assumptions'!$J$6:$J$40,MATCH($B$2,'Venture Assumptions'!$I$6:$I$40,0)),Waterfalls!$E$5:$EG$5,0)),0)</f>
        <v>6718722.078874032</v>
      </c>
      <c r="CF189" s="1149">
        <f>IFERROR(INDEX(Waterfalls!$E$181:$EG$181,MATCH('Venture Summary - Mthly'!CF5-INDEX('Venture Assumptions'!$J$6:$J$40,MATCH($B$2,'Venture Assumptions'!$I$6:$I$40,0)),Waterfalls!$E$5:$EG$5,0)),0)</f>
        <v>6742602.8013541242</v>
      </c>
      <c r="CG189" s="1149">
        <f>IFERROR(INDEX(Waterfalls!$E$181:$EG$181,MATCH('Venture Summary - Mthly'!CG5-INDEX('Venture Assumptions'!$J$6:$J$40,MATCH($B$2,'Venture Assumptions'!$I$6:$I$40,0)),Waterfalls!$E$5:$EG$5,0)),0)</f>
        <v>6766589.9324781429</v>
      </c>
      <c r="CH189" s="1149">
        <f>IFERROR(INDEX(Waterfalls!$E$181:$EG$181,MATCH('Venture Summary - Mthly'!CH5-INDEX('Venture Assumptions'!$J$6:$J$40,MATCH($B$2,'Venture Assumptions'!$I$6:$I$40,0)),Waterfalls!$E$5:$EG$5,0)),0)</f>
        <v>6790683.90072597</v>
      </c>
      <c r="CI189" s="1149">
        <f>IFERROR(INDEX(Waterfalls!$E$181:$EG$181,MATCH('Venture Summary - Mthly'!CI5-INDEX('Venture Assumptions'!$J$6:$J$40,MATCH($B$2,'Venture Assumptions'!$I$6:$I$40,0)),Waterfalls!$E$5:$EG$5,0)),0)</f>
        <v>6814885.1363229128</v>
      </c>
      <c r="CJ189" s="1149">
        <f>IFERROR(INDEX(Waterfalls!$E$181:$EG$181,MATCH('Venture Summary - Mthly'!CJ5-INDEX('Venture Assumptions'!$J$6:$J$40,MATCH($B$2,'Venture Assumptions'!$I$6:$I$40,0)),Waterfalls!$E$5:$EG$5,0)),0)</f>
        <v>6839194.0712468717</v>
      </c>
      <c r="CK189" s="1149">
        <f>IFERROR(INDEX(Waterfalls!$E$181:$EG$181,MATCH('Venture Summary - Mthly'!CK5-INDEX('Venture Assumptions'!$J$6:$J$40,MATCH($B$2,'Venture Assumptions'!$I$6:$I$40,0)),Waterfalls!$E$5:$EG$5,0)),0)</f>
        <v>6863611.1392355235</v>
      </c>
      <c r="CL189" s="1149">
        <f>IFERROR(INDEX(Waterfalls!$E$181:$EG$181,MATCH('Venture Summary - Mthly'!CL5-INDEX('Venture Assumptions'!$J$6:$J$40,MATCH($B$2,'Venture Assumptions'!$I$6:$I$40,0)),Waterfalls!$E$5:$EG$5,0)),0)</f>
        <v>6888103.1655743783</v>
      </c>
      <c r="CM189" s="1149">
        <f>IFERROR(INDEX(Waterfalls!$E$181:$EG$181,MATCH('Venture Summary - Mthly'!CM5-INDEX('Venture Assumptions'!$J$6:$J$40,MATCH($B$2,'Venture Assumptions'!$I$6:$I$40,0)),Waterfalls!$E$5:$EG$5,0)),0)</f>
        <v>6912737.7615145836</v>
      </c>
      <c r="CN189" s="1149">
        <f>IFERROR(INDEX(Waterfalls!$E$181:$EG$181,MATCH('Venture Summary - Mthly'!CN5-INDEX('Venture Assumptions'!$J$6:$J$40,MATCH($B$2,'Venture Assumptions'!$I$6:$I$40,0)),Waterfalls!$E$5:$EG$5,0)),0)</f>
        <v>6937497.3881075531</v>
      </c>
      <c r="CO189" s="1149">
        <f>IFERROR(INDEX(Waterfalls!$E$181:$EG$181,MATCH('Venture Summary - Mthly'!CO5-INDEX('Venture Assumptions'!$J$6:$J$40,MATCH($B$2,'Venture Assumptions'!$I$6:$I$40,0)),Waterfalls!$E$5:$EG$5,0)),0)</f>
        <v>6962140.3108945778</v>
      </c>
      <c r="CP189" s="1149">
        <f>IFERROR(INDEX(Waterfalls!$E$181:$EG$181,MATCH('Venture Summary - Mthly'!CP5-INDEX('Venture Assumptions'!$J$6:$J$40,MATCH($B$2,'Venture Assumptions'!$I$6:$I$40,0)),Waterfalls!$E$5:$EG$5,0)),0)</f>
        <v>6986859.0151970023</v>
      </c>
      <c r="CQ189" s="1149">
        <f>IFERROR(INDEX(Waterfalls!$E$181:$EG$181,MATCH('Venture Summary - Mthly'!CQ5-INDEX('Venture Assumptions'!$J$6:$J$40,MATCH($B$2,'Venture Assumptions'!$I$6:$I$40,0)),Waterfalls!$E$5:$EG$5,0)),0)</f>
        <v>7011653.7082162797</v>
      </c>
      <c r="CR189" s="1149">
        <f>IFERROR(INDEX(Waterfalls!$E$181:$EG$181,MATCH('Venture Summary - Mthly'!CR5-INDEX('Venture Assumptions'!$J$6:$J$40,MATCH($B$2,'Venture Assumptions'!$I$6:$I$40,0)),Waterfalls!$E$5:$EG$5,0)),0)</f>
        <v>7036558.7694023363</v>
      </c>
      <c r="CS189" s="1149">
        <f>IFERROR(INDEX(Waterfalls!$E$181:$EG$181,MATCH('Venture Summary - Mthly'!CS5-INDEX('Venture Assumptions'!$J$6:$J$40,MATCH($B$2,'Venture Assumptions'!$I$6:$I$40,0)),Waterfalls!$E$5:$EG$5,0)),0)</f>
        <v>7061574.6433042344</v>
      </c>
      <c r="CT189" s="1149">
        <f>IFERROR(INDEX(Waterfalls!$E$181:$EG$181,MATCH('Venture Summary - Mthly'!CT5-INDEX('Venture Assumptions'!$J$6:$J$40,MATCH($B$2,'Venture Assumptions'!$I$6:$I$40,0)),Waterfalls!$E$5:$EG$5,0)),0)</f>
        <v>7086701.7762822434</v>
      </c>
      <c r="CU189" s="1149">
        <f>IFERROR(INDEX(Waterfalls!$E$181:$EG$181,MATCH('Venture Summary - Mthly'!CU5-INDEX('Venture Assumptions'!$J$6:$J$40,MATCH($B$2,'Venture Assumptions'!$I$6:$I$40,0)),Waterfalls!$E$5:$EG$5,0)),0)</f>
        <v>7111940.6165152695</v>
      </c>
      <c r="CV189" s="1149">
        <f>IFERROR(INDEX(Waterfalls!$E$181:$EG$181,MATCH('Venture Summary - Mthly'!CV5-INDEX('Venture Assumptions'!$J$6:$J$40,MATCH($B$2,'Venture Assumptions'!$I$6:$I$40,0)),Waterfalls!$E$5:$EG$5,0)),0)</f>
        <v>7137291.6140083205</v>
      </c>
      <c r="CW189" s="1149">
        <f>IFERROR(INDEX(Waterfalls!$E$181:$EG$181,MATCH('Venture Summary - Mthly'!CW5-INDEX('Venture Assumptions'!$J$6:$J$40,MATCH($B$2,'Venture Assumptions'!$I$6:$I$40,0)),Waterfalls!$E$5:$EG$5,0)),0)</f>
        <v>7162755.2205999922</v>
      </c>
      <c r="CX189" s="1149">
        <f>IFERROR(INDEX(Waterfalls!$E$181:$EG$181,MATCH('Venture Summary - Mthly'!CX5-INDEX('Venture Assumptions'!$J$6:$J$40,MATCH($B$2,'Venture Assumptions'!$I$6:$I$40,0)),Waterfalls!$E$5:$EG$5,0)),0)</f>
        <v>7188296.8590602893</v>
      </c>
      <c r="CY189" s="1149">
        <f>IFERROR(INDEX(Waterfalls!$E$181:$EG$181,MATCH('Venture Summary - Mthly'!CY5-INDEX('Venture Assumptions'!$J$6:$J$40,MATCH($B$2,'Venture Assumptions'!$I$6:$I$40,0)),Waterfalls!$E$5:$EG$5,0)),0)</f>
        <v>7213986.9983067857</v>
      </c>
      <c r="CZ189" s="1149">
        <f>IFERROR(INDEX(Waterfalls!$E$181:$EG$181,MATCH('Venture Summary - Mthly'!CZ5-INDEX('Venture Assumptions'!$J$6:$J$40,MATCH($B$2,'Venture Assumptions'!$I$6:$I$40,0)),Waterfalls!$E$5:$EG$5,0)),0)</f>
        <v>7239807.3577918168</v>
      </c>
      <c r="DA189" s="1149">
        <f>IFERROR(INDEX(Waterfalls!$E$181:$EG$181,MATCH('Venture Summary - Mthly'!DA5-INDEX('Venture Assumptions'!$J$6:$J$40,MATCH($B$2,'Venture Assumptions'!$I$6:$I$40,0)),Waterfalls!$E$5:$EG$5,0)),0)</f>
        <v>7265506.7532602996</v>
      </c>
      <c r="DB189" s="1149">
        <f>IFERROR(INDEX(Waterfalls!$E$181:$EG$181,MATCH('Venture Summary - Mthly'!DB5-INDEX('Venture Assumptions'!$J$6:$J$40,MATCH($B$2,'Venture Assumptions'!$I$6:$I$40,0)),Waterfalls!$E$5:$EG$5,0)),0)</f>
        <v>7291285.0376174003</v>
      </c>
      <c r="DC189" s="1149">
        <f>IFERROR(INDEX(Waterfalls!$E$181:$EG$181,MATCH('Venture Summary - Mthly'!DC5-INDEX('Venture Assumptions'!$J$6:$J$40,MATCH($B$2,'Venture Assumptions'!$I$6:$I$40,0)),Waterfalls!$E$5:$EG$5,0)),0)</f>
        <v>7317142.4265864287</v>
      </c>
      <c r="DD189" s="1149">
        <f>IFERROR(INDEX(Waterfalls!$E$181:$EG$181,MATCH('Venture Summary - Mthly'!DD5-INDEX('Venture Assumptions'!$J$6:$J$40,MATCH($B$2,'Venture Assumptions'!$I$6:$I$40,0)),Waterfalls!$E$5:$EG$5,0)),0)</f>
        <v>7343114.7525858646</v>
      </c>
      <c r="DE189" s="1149">
        <f>IFERROR(INDEX(Waterfalls!$E$181:$EG$181,MATCH('Venture Summary - Mthly'!DE5-INDEX('Venture Assumptions'!$J$6:$J$40,MATCH($B$2,'Venture Assumptions'!$I$6:$I$40,0)),Waterfalls!$E$5:$EG$5,0)),0)</f>
        <v>7369202.4787180498</v>
      </c>
      <c r="DF189" s="1149">
        <f>IFERROR(INDEX(Waterfalls!$E$181:$EG$181,MATCH('Venture Summary - Mthly'!DF5-INDEX('Venture Assumptions'!$J$6:$J$40,MATCH($B$2,'Venture Assumptions'!$I$6:$I$40,0)),Waterfalls!$E$5:$EG$5,0)),0)</f>
        <v>7395406.0699724993</v>
      </c>
      <c r="DG189" s="1149">
        <f>IFERROR(INDEX(Waterfalls!$E$181:$EG$181,MATCH('Venture Summary - Mthly'!DG5-INDEX('Venture Assumptions'!$J$6:$J$40,MATCH($B$2,'Venture Assumptions'!$I$6:$I$40,0)),Waterfalls!$E$5:$EG$5,0)),0)</f>
        <v>7421725.9932336556</v>
      </c>
      <c r="DH189" s="1149">
        <f>IFERROR(INDEX(Waterfalls!$E$181:$EG$181,MATCH('Venture Summary - Mthly'!DH5-INDEX('Venture Assumptions'!$J$6:$J$40,MATCH($B$2,'Venture Assumptions'!$I$6:$I$40,0)),Waterfalls!$E$5:$EG$5,0)),0)</f>
        <v>7448162.7172886534</v>
      </c>
      <c r="DI189" s="1149">
        <f>IFERROR(INDEX(Waterfalls!$E$181:$EG$181,MATCH('Venture Summary - Mthly'!DI5-INDEX('Venture Assumptions'!$J$6:$J$40,MATCH($B$2,'Venture Assumptions'!$I$6:$I$40,0)),Waterfalls!$E$5:$EG$5,0)),0)</f>
        <v>7474716.7128351387</v>
      </c>
      <c r="DJ189" s="1149">
        <f>IFERROR(INDEX(Waterfalls!$E$181:$EG$181,MATCH('Venture Summary - Mthly'!DJ5-INDEX('Venture Assumptions'!$J$6:$J$40,MATCH($B$2,'Venture Assumptions'!$I$6:$I$40,0)),Waterfalls!$E$5:$EG$5,0)),0)</f>
        <v>7501351.9408368412</v>
      </c>
      <c r="DK189" s="1149">
        <f>IFERROR(INDEX(Waterfalls!$E$181:$EG$181,MATCH('Venture Summary - Mthly'!DK5-INDEX('Venture Assumptions'!$J$6:$J$40,MATCH($B$2,'Venture Assumptions'!$I$6:$I$40,0)),Waterfalls!$E$5:$EG$5,0)),0)</f>
        <v>7528141.8486631457</v>
      </c>
      <c r="DL189" s="1149">
        <f>IFERROR(INDEX(Waterfalls!$E$181:$EG$181,MATCH('Venture Summary - Mthly'!DL5-INDEX('Venture Assumptions'!$J$6:$J$40,MATCH($B$2,'Venture Assumptions'!$I$6:$I$40,0)),Waterfalls!$E$5:$EG$5,0)),0)</f>
        <v>7555067.3828131706</v>
      </c>
      <c r="DM189" s="1149">
        <f>IFERROR(INDEX(Waterfalls!$E$181:$EG$181,MATCH('Venture Summary - Mthly'!DM5-INDEX('Venture Assumptions'!$J$6:$J$40,MATCH($B$2,'Venture Assumptions'!$I$6:$I$40,0)),Waterfalls!$E$5:$EG$5,0)),0)</f>
        <v>7581867.4487401694</v>
      </c>
      <c r="DN189" s="1149">
        <f>IFERROR(INDEX(Waterfalls!$E$181:$EG$181,MATCH('Venture Summary - Mthly'!DN5-INDEX('Venture Assumptions'!$J$6:$J$40,MATCH($B$2,'Venture Assumptions'!$I$6:$I$40,0)),Waterfalls!$E$5:$EG$5,0)),0)</f>
        <v>7608749.6393999942</v>
      </c>
      <c r="DO189" s="1149">
        <f>IFERROR(INDEX(Waterfalls!$E$181:$EG$181,MATCH('Venture Summary - Mthly'!DO5-INDEX('Venture Assumptions'!$J$6:$J$40,MATCH($B$2,'Venture Assumptions'!$I$6:$I$40,0)),Waterfalls!$E$5:$EG$5,0)),0)</f>
        <v>7635714.1793909268</v>
      </c>
      <c r="DP189" s="1149">
        <f>IFERROR(INDEX(Waterfalls!$E$181:$EG$181,MATCH('Venture Summary - Mthly'!DP5-INDEX('Venture Assumptions'!$J$6:$J$40,MATCH($B$2,'Venture Assumptions'!$I$6:$I$40,0)),Waterfalls!$E$5:$EG$5,0)),0)</f>
        <v>7662798.4155093012</v>
      </c>
      <c r="DQ189" s="1149">
        <f>IFERROR(INDEX(Waterfalls!$E$181:$EG$181,MATCH('Venture Summary - Mthly'!DQ5-INDEX('Venture Assumptions'!$J$6:$J$40,MATCH($B$2,'Venture Assumptions'!$I$6:$I$40,0)),Waterfalls!$E$5:$EG$5,0)),0)</f>
        <v>7690002.8301878404</v>
      </c>
      <c r="DR189" s="1149">
        <f>IFERROR(INDEX(Waterfalls!$E$181:$EG$181,MATCH('Venture Summary - Mthly'!DR5-INDEX('Venture Assumptions'!$J$6:$J$40,MATCH($B$2,'Venture Assumptions'!$I$6:$I$40,0)),Waterfalls!$E$5:$EG$5,0)),0)</f>
        <v>7717327.9078256125</v>
      </c>
      <c r="DS189" s="1149">
        <f>IFERROR(INDEX(Waterfalls!$E$181:$EG$181,MATCH('Venture Summary - Mthly'!DS5-INDEX('Venture Assumptions'!$J$6:$J$40,MATCH($B$2,'Venture Assumptions'!$I$6:$I$40,0)),Waterfalls!$E$5:$EG$5,0)),0)</f>
        <v>7744774.1347961025</v>
      </c>
      <c r="DT189" s="1149">
        <f>IFERROR(INDEX(Waterfalls!$E$181:$EG$181,MATCH('Venture Summary - Mthly'!DT5-INDEX('Venture Assumptions'!$J$6:$J$40,MATCH($B$2,'Venture Assumptions'!$I$6:$I$40,0)),Waterfalls!$E$5:$EG$5,0)),0)</f>
        <v>7772341.9994553104</v>
      </c>
      <c r="DU189" s="1149">
        <f>IFERROR(INDEX(Waterfalls!$E$181:$EG$181,MATCH('Venture Summary - Mthly'!DU5-INDEX('Venture Assumptions'!$J$6:$J$40,MATCH($B$2,'Venture Assumptions'!$I$6:$I$40,0)),Waterfalls!$E$5:$EG$5,0)),0)</f>
        <v>7800031.992149896</v>
      </c>
      <c r="DV189" s="798">
        <f>IFERROR(INDEX(Waterfalls!$E$181:$EG$181,MATCH('Venture Summary - Mthly'!DV5-INDEX('Venture Assumptions'!$J$6:$J$40,MATCH($B$2,'Venture Assumptions'!$I$6:$I$40,0)),Waterfalls!$E$5:$EG$5,0)),0)</f>
        <v>0</v>
      </c>
      <c r="DW189" s="798">
        <f>IFERROR(INDEX(Waterfalls!$E$181:$EG$181,MATCH('Venture Summary - Mthly'!DW5-INDEX('Venture Assumptions'!$J$6:$J$40,MATCH($B$2,'Venture Assumptions'!$I$6:$I$40,0)),Waterfalls!$E$5:$EG$5,0)),0)</f>
        <v>0</v>
      </c>
      <c r="DX189" s="798">
        <f>IFERROR(INDEX(Waterfalls!$E$181:$EG$181,MATCH('Venture Summary - Mthly'!DX5-INDEX('Venture Assumptions'!$J$6:$J$40,MATCH($B$2,'Venture Assumptions'!$I$6:$I$40,0)),Waterfalls!$E$5:$EG$5,0)),0)</f>
        <v>0</v>
      </c>
      <c r="DY189" s="798">
        <f>IFERROR(INDEX(Waterfalls!$E$181:$EG$181,MATCH('Venture Summary - Mthly'!DY5-INDEX('Venture Assumptions'!$J$6:$J$40,MATCH($B$2,'Venture Assumptions'!$I$6:$I$40,0)),Waterfalls!$E$5:$EG$5,0)),0)</f>
        <v>0</v>
      </c>
      <c r="DZ189" s="798">
        <f>IFERROR(INDEX(Waterfalls!$E$181:$EG$181,MATCH('Venture Summary - Mthly'!DZ5-INDEX('Venture Assumptions'!$J$6:$J$40,MATCH($B$2,'Venture Assumptions'!$I$6:$I$40,0)),Waterfalls!$E$5:$EG$5,0)),0)</f>
        <v>0</v>
      </c>
      <c r="EA189" s="798">
        <f>IFERROR(INDEX(Waterfalls!$E$181:$EG$181,MATCH('Venture Summary - Mthly'!EA5-INDEX('Venture Assumptions'!$J$6:$J$40,MATCH($B$2,'Venture Assumptions'!$I$6:$I$40,0)),Waterfalls!$E$5:$EG$5,0)),0)</f>
        <v>0</v>
      </c>
      <c r="EB189" s="798">
        <f>IFERROR(INDEX(Waterfalls!$E$181:$EG$181,MATCH('Venture Summary - Mthly'!EB5-INDEX('Venture Assumptions'!$J$6:$J$40,MATCH($B$2,'Venture Assumptions'!$I$6:$I$40,0)),Waterfalls!$E$5:$EG$5,0)),0)</f>
        <v>0</v>
      </c>
      <c r="EC189" s="798">
        <f>IFERROR(INDEX(Waterfalls!$E$181:$EG$181,MATCH('Venture Summary - Mthly'!EC5-INDEX('Venture Assumptions'!$J$6:$J$40,MATCH($B$2,'Venture Assumptions'!$I$6:$I$40,0)),Waterfalls!$E$5:$EG$5,0)),0)</f>
        <v>0</v>
      </c>
      <c r="ED189" s="798">
        <f>IFERROR(INDEX(Waterfalls!$E$181:$EG$181,MATCH('Venture Summary - Mthly'!ED5-INDEX('Venture Assumptions'!$J$6:$J$40,MATCH($B$2,'Venture Assumptions'!$I$6:$I$40,0)),Waterfalls!$E$5:$EG$5,0)),0)</f>
        <v>0</v>
      </c>
      <c r="EE189" s="798">
        <f>IFERROR(INDEX(Waterfalls!$E$181:$EG$181,MATCH('Venture Summary - Mthly'!EE5-INDEX('Venture Assumptions'!$J$6:$J$40,MATCH($B$2,'Venture Assumptions'!$I$6:$I$40,0)),Waterfalls!$E$5:$EG$5,0)),0)</f>
        <v>0</v>
      </c>
      <c r="EF189" s="798">
        <f>IFERROR(INDEX(Waterfalls!$E$181:$EG$181,MATCH('Venture Summary - Mthly'!EF5-INDEX('Venture Assumptions'!$J$6:$J$40,MATCH($B$2,'Venture Assumptions'!$I$6:$I$40,0)),Waterfalls!$E$5:$EG$5,0)),0)</f>
        <v>0</v>
      </c>
      <c r="EG189" s="798">
        <f>IFERROR(INDEX(Waterfalls!$E$181:$EG$181,MATCH('Venture Summary - Mthly'!EG5-INDEX('Venture Assumptions'!$J$6:$J$40,MATCH($B$2,'Venture Assumptions'!$I$6:$I$40,0)),Waterfalls!$E$5:$EG$5,0)),0)</f>
        <v>0</v>
      </c>
      <c r="EH189" s="782"/>
    </row>
    <row r="190" spans="1:138" ht="12.75" customHeight="1" x14ac:dyDescent="0.3">
      <c r="A190" s="782"/>
      <c r="B190" s="782" t="s">
        <v>114</v>
      </c>
      <c r="C190" s="798">
        <f t="shared" si="154"/>
        <v>0</v>
      </c>
      <c r="D190" s="782"/>
      <c r="E190" s="798">
        <f>IFERROR(INDEX(Waterfalls!$E$182:$EG$182,MATCH('Venture Summary - Mthly'!E5-INDEX('Venture Assumptions'!$J$6:$J$40,MATCH($B$2,'Venture Assumptions'!$I$6:$I$40,0)),Waterfalls!$E$5:$EG$5,0)),0)</f>
        <v>0</v>
      </c>
      <c r="F190" s="798">
        <f>IFERROR(INDEX(Waterfalls!$E$182:$EG$182,MATCH('Venture Summary - Mthly'!F5-INDEX('Venture Assumptions'!$J$6:$J$40,MATCH($B$2,'Venture Assumptions'!$I$6:$I$40,0)),Waterfalls!$E$5:$EG$5,0)),0)</f>
        <v>0</v>
      </c>
      <c r="G190" s="798">
        <f>IFERROR(INDEX(Waterfalls!$E$182:$EG$182,MATCH('Venture Summary - Mthly'!G5-INDEX('Venture Assumptions'!$J$6:$J$40,MATCH($B$2,'Venture Assumptions'!$I$6:$I$40,0)),Waterfalls!$E$5:$EG$5,0)),0)</f>
        <v>0</v>
      </c>
      <c r="H190" s="798">
        <f>IFERROR(INDEX(Waterfalls!$E$182:$EG$182,MATCH('Venture Summary - Mthly'!H5-INDEX('Venture Assumptions'!$J$6:$J$40,MATCH($B$2,'Venture Assumptions'!$I$6:$I$40,0)),Waterfalls!$E$5:$EG$5,0)),0)</f>
        <v>0</v>
      </c>
      <c r="I190" s="798">
        <f>IFERROR(INDEX(Waterfalls!$E$182:$EG$182,MATCH('Venture Summary - Mthly'!I5-INDEX('Venture Assumptions'!$J$6:$J$40,MATCH($B$2,'Venture Assumptions'!$I$6:$I$40,0)),Waterfalls!$E$5:$EG$5,0)),0)</f>
        <v>0</v>
      </c>
      <c r="J190" s="798">
        <f>IFERROR(INDEX(Waterfalls!$E$182:$EG$182,MATCH('Venture Summary - Mthly'!J5-INDEX('Venture Assumptions'!$J$6:$J$40,MATCH($B$2,'Venture Assumptions'!$I$6:$I$40,0)),Waterfalls!$E$5:$EG$5,0)),0)</f>
        <v>0</v>
      </c>
      <c r="K190" s="798">
        <f>IFERROR(INDEX(Waterfalls!$E$182:$EG$182,MATCH('Venture Summary - Mthly'!K5-INDEX('Venture Assumptions'!$J$6:$J$40,MATCH($B$2,'Venture Assumptions'!$I$6:$I$40,0)),Waterfalls!$E$5:$EG$5,0)),0)</f>
        <v>0</v>
      </c>
      <c r="L190" s="798">
        <f>IFERROR(INDEX(Waterfalls!$E$182:$EG$182,MATCH('Venture Summary - Mthly'!L5-INDEX('Venture Assumptions'!$J$6:$J$40,MATCH($B$2,'Venture Assumptions'!$I$6:$I$40,0)),Waterfalls!$E$5:$EG$5,0)),0)</f>
        <v>0</v>
      </c>
      <c r="M190" s="798">
        <f>IFERROR(INDEX(Waterfalls!$E$182:$EG$182,MATCH('Venture Summary - Mthly'!M5-INDEX('Venture Assumptions'!$J$6:$J$40,MATCH($B$2,'Venture Assumptions'!$I$6:$I$40,0)),Waterfalls!$E$5:$EG$5,0)),0)</f>
        <v>0</v>
      </c>
      <c r="N190" s="798">
        <f>IFERROR(INDEX(Waterfalls!$E$182:$EG$182,MATCH('Venture Summary - Mthly'!N5-INDEX('Venture Assumptions'!$J$6:$J$40,MATCH($B$2,'Venture Assumptions'!$I$6:$I$40,0)),Waterfalls!$E$5:$EG$5,0)),0)</f>
        <v>0</v>
      </c>
      <c r="O190" s="798">
        <f>IFERROR(INDEX(Waterfalls!$E$182:$EG$182,MATCH('Venture Summary - Mthly'!O5-INDEX('Venture Assumptions'!$J$6:$J$40,MATCH($B$2,'Venture Assumptions'!$I$6:$I$40,0)),Waterfalls!$E$5:$EG$5,0)),0)</f>
        <v>0</v>
      </c>
      <c r="P190" s="798">
        <f>IFERROR(INDEX(Waterfalls!$E$182:$EG$182,MATCH('Venture Summary - Mthly'!P5-INDEX('Venture Assumptions'!$J$6:$J$40,MATCH($B$2,'Venture Assumptions'!$I$6:$I$40,0)),Waterfalls!$E$5:$EG$5,0)),0)</f>
        <v>0</v>
      </c>
      <c r="Q190" s="798">
        <f>IFERROR(INDEX(Waterfalls!$E$182:$EG$182,MATCH('Venture Summary - Mthly'!Q5-INDEX('Venture Assumptions'!$J$6:$J$40,MATCH($B$2,'Venture Assumptions'!$I$6:$I$40,0)),Waterfalls!$E$5:$EG$5,0)),0)</f>
        <v>0</v>
      </c>
      <c r="R190" s="798">
        <f>IFERROR(INDEX(Waterfalls!$E$182:$EG$182,MATCH('Venture Summary - Mthly'!R5-INDEX('Venture Assumptions'!$J$6:$J$40,MATCH($B$2,'Venture Assumptions'!$I$6:$I$40,0)),Waterfalls!$E$5:$EG$5,0)),0)</f>
        <v>0</v>
      </c>
      <c r="S190" s="798">
        <f>IFERROR(INDEX(Waterfalls!$E$182:$EG$182,MATCH('Venture Summary - Mthly'!S5-INDEX('Venture Assumptions'!$J$6:$J$40,MATCH($B$2,'Venture Assumptions'!$I$6:$I$40,0)),Waterfalls!$E$5:$EG$5,0)),0)</f>
        <v>0</v>
      </c>
      <c r="T190" s="798">
        <f>IFERROR(INDEX(Waterfalls!$E$182:$EG$182,MATCH('Venture Summary - Mthly'!T5-INDEX('Venture Assumptions'!$J$6:$J$40,MATCH($B$2,'Venture Assumptions'!$I$6:$I$40,0)),Waterfalls!$E$5:$EG$5,0)),0)</f>
        <v>0</v>
      </c>
      <c r="U190" s="798">
        <f>IFERROR(INDEX(Waterfalls!$E$182:$EG$182,MATCH('Venture Summary - Mthly'!U5-INDEX('Venture Assumptions'!$J$6:$J$40,MATCH($B$2,'Venture Assumptions'!$I$6:$I$40,0)),Waterfalls!$E$5:$EG$5,0)),0)</f>
        <v>0</v>
      </c>
      <c r="V190" s="798">
        <f>IFERROR(INDEX(Waterfalls!$E$182:$EG$182,MATCH('Venture Summary - Mthly'!V5-INDEX('Venture Assumptions'!$J$6:$J$40,MATCH($B$2,'Venture Assumptions'!$I$6:$I$40,0)),Waterfalls!$E$5:$EG$5,0)),0)</f>
        <v>0</v>
      </c>
      <c r="W190" s="798">
        <f>IFERROR(INDEX(Waterfalls!$E$182:$EG$182,MATCH('Venture Summary - Mthly'!W5-INDEX('Venture Assumptions'!$J$6:$J$40,MATCH($B$2,'Venture Assumptions'!$I$6:$I$40,0)),Waterfalls!$E$5:$EG$5,0)),0)</f>
        <v>0</v>
      </c>
      <c r="X190" s="798">
        <f>IFERROR(INDEX(Waterfalls!$E$182:$EG$182,MATCH('Venture Summary - Mthly'!X5-INDEX('Venture Assumptions'!$J$6:$J$40,MATCH($B$2,'Venture Assumptions'!$I$6:$I$40,0)),Waterfalls!$E$5:$EG$5,0)),0)</f>
        <v>0</v>
      </c>
      <c r="Y190" s="798">
        <f>IFERROR(INDEX(Waterfalls!$E$182:$EG$182,MATCH('Venture Summary - Mthly'!Y5-INDEX('Venture Assumptions'!$J$6:$J$40,MATCH($B$2,'Venture Assumptions'!$I$6:$I$40,0)),Waterfalls!$E$5:$EG$5,0)),0)</f>
        <v>0</v>
      </c>
      <c r="Z190" s="798">
        <f>IFERROR(INDEX(Waterfalls!$E$182:$EG$182,MATCH('Venture Summary - Mthly'!Z5-INDEX('Venture Assumptions'!$J$6:$J$40,MATCH($B$2,'Venture Assumptions'!$I$6:$I$40,0)),Waterfalls!$E$5:$EG$5,0)),0)</f>
        <v>0</v>
      </c>
      <c r="AA190" s="798">
        <f>IFERROR(INDEX(Waterfalls!$E$182:$EG$182,MATCH('Venture Summary - Mthly'!AA5-INDEX('Venture Assumptions'!$J$6:$J$40,MATCH($B$2,'Venture Assumptions'!$I$6:$I$40,0)),Waterfalls!$E$5:$EG$5,0)),0)</f>
        <v>0</v>
      </c>
      <c r="AB190" s="798">
        <f>IFERROR(INDEX(Waterfalls!$E$182:$EG$182,MATCH('Venture Summary - Mthly'!AB5-INDEX('Venture Assumptions'!$J$6:$J$40,MATCH($B$2,'Venture Assumptions'!$I$6:$I$40,0)),Waterfalls!$E$5:$EG$5,0)),0)</f>
        <v>0</v>
      </c>
      <c r="AC190" s="798">
        <f>IFERROR(INDEX(Waterfalls!$E$182:$EG$182,MATCH('Venture Summary - Mthly'!AC5-INDEX('Venture Assumptions'!$J$6:$J$40,MATCH($B$2,'Venture Assumptions'!$I$6:$I$40,0)),Waterfalls!$E$5:$EG$5,0)),0)</f>
        <v>0</v>
      </c>
      <c r="AD190" s="798">
        <f>IFERROR(INDEX(Waterfalls!$E$182:$EG$182,MATCH('Venture Summary - Mthly'!AD5-INDEX('Venture Assumptions'!$J$6:$J$40,MATCH($B$2,'Venture Assumptions'!$I$6:$I$40,0)),Waterfalls!$E$5:$EG$5,0)),0)</f>
        <v>0</v>
      </c>
      <c r="AE190" s="798">
        <f>IFERROR(INDEX(Waterfalls!$E$182:$EG$182,MATCH('Venture Summary - Mthly'!AE5-INDEX('Venture Assumptions'!$J$6:$J$40,MATCH($B$2,'Venture Assumptions'!$I$6:$I$40,0)),Waterfalls!$E$5:$EG$5,0)),0)</f>
        <v>0</v>
      </c>
      <c r="AF190" s="798">
        <f>IFERROR(INDEX(Waterfalls!$E$182:$EG$182,MATCH('Venture Summary - Mthly'!AF5-INDEX('Venture Assumptions'!$J$6:$J$40,MATCH($B$2,'Venture Assumptions'!$I$6:$I$40,0)),Waterfalls!$E$5:$EG$5,0)),0)</f>
        <v>0</v>
      </c>
      <c r="AG190" s="798">
        <f>IFERROR(INDEX(Waterfalls!$E$182:$EG$182,MATCH('Venture Summary - Mthly'!AG5-INDEX('Venture Assumptions'!$J$6:$J$40,MATCH($B$2,'Venture Assumptions'!$I$6:$I$40,0)),Waterfalls!$E$5:$EG$5,0)),0)</f>
        <v>0</v>
      </c>
      <c r="AH190" s="798">
        <f>IFERROR(INDEX(Waterfalls!$E$182:$EG$182,MATCH('Venture Summary - Mthly'!AH5-INDEX('Venture Assumptions'!$J$6:$J$40,MATCH($B$2,'Venture Assumptions'!$I$6:$I$40,0)),Waterfalls!$E$5:$EG$5,0)),0)</f>
        <v>0</v>
      </c>
      <c r="AI190" s="798">
        <f>IFERROR(INDEX(Waterfalls!$E$182:$EG$182,MATCH('Venture Summary - Mthly'!AI5-INDEX('Venture Assumptions'!$J$6:$J$40,MATCH($B$2,'Venture Assumptions'!$I$6:$I$40,0)),Waterfalls!$E$5:$EG$5,0)),0)</f>
        <v>0</v>
      </c>
      <c r="AJ190" s="798">
        <f>IFERROR(INDEX(Waterfalls!$E$182:$EG$182,MATCH('Venture Summary - Mthly'!AJ5-INDEX('Venture Assumptions'!$J$6:$J$40,MATCH($B$2,'Venture Assumptions'!$I$6:$I$40,0)),Waterfalls!$E$5:$EG$5,0)),0)</f>
        <v>0</v>
      </c>
      <c r="AK190" s="798">
        <f>IFERROR(INDEX(Waterfalls!$E$182:$EG$182,MATCH('Venture Summary - Mthly'!AK5-INDEX('Venture Assumptions'!$J$6:$J$40,MATCH($B$2,'Venture Assumptions'!$I$6:$I$40,0)),Waterfalls!$E$5:$EG$5,0)),0)</f>
        <v>0</v>
      </c>
      <c r="AL190" s="798">
        <f>IFERROR(INDEX(Waterfalls!$E$182:$EG$182,MATCH('Venture Summary - Mthly'!AL5-INDEX('Venture Assumptions'!$J$6:$J$40,MATCH($B$2,'Venture Assumptions'!$I$6:$I$40,0)),Waterfalls!$E$5:$EG$5,0)),0)</f>
        <v>0</v>
      </c>
      <c r="AM190" s="798">
        <f>IFERROR(INDEX(Waterfalls!$E$182:$EG$182,MATCH('Venture Summary - Mthly'!AM5-INDEX('Venture Assumptions'!$J$6:$J$40,MATCH($B$2,'Venture Assumptions'!$I$6:$I$40,0)),Waterfalls!$E$5:$EG$5,0)),0)</f>
        <v>0</v>
      </c>
      <c r="AN190" s="798">
        <f>IFERROR(INDEX(Waterfalls!$E$182:$EG$182,MATCH('Venture Summary - Mthly'!AN5-INDEX('Venture Assumptions'!$J$6:$J$40,MATCH($B$2,'Venture Assumptions'!$I$6:$I$40,0)),Waterfalls!$E$5:$EG$5,0)),0)</f>
        <v>0</v>
      </c>
      <c r="AO190" s="798">
        <f>IFERROR(INDEX(Waterfalls!$E$182:$EG$182,MATCH('Venture Summary - Mthly'!AO5-INDEX('Venture Assumptions'!$J$6:$J$40,MATCH($B$2,'Venture Assumptions'!$I$6:$I$40,0)),Waterfalls!$E$5:$EG$5,0)),0)</f>
        <v>0</v>
      </c>
      <c r="AP190" s="798">
        <f>IFERROR(INDEX(Waterfalls!$E$182:$EG$182,MATCH('Venture Summary - Mthly'!AP5-INDEX('Venture Assumptions'!$J$6:$J$40,MATCH($B$2,'Venture Assumptions'!$I$6:$I$40,0)),Waterfalls!$E$5:$EG$5,0)),0)</f>
        <v>0</v>
      </c>
      <c r="AQ190" s="798">
        <f>IFERROR(INDEX(Waterfalls!$E$182:$EG$182,MATCH('Venture Summary - Mthly'!AQ5-INDEX('Venture Assumptions'!$J$6:$J$40,MATCH($B$2,'Venture Assumptions'!$I$6:$I$40,0)),Waterfalls!$E$5:$EG$5,0)),0)</f>
        <v>0</v>
      </c>
      <c r="AR190" s="798">
        <f>IFERROR(INDEX(Waterfalls!$E$182:$EG$182,MATCH('Venture Summary - Mthly'!AR5-INDEX('Venture Assumptions'!$J$6:$J$40,MATCH($B$2,'Venture Assumptions'!$I$6:$I$40,0)),Waterfalls!$E$5:$EG$5,0)),0)</f>
        <v>0</v>
      </c>
      <c r="AS190" s="798">
        <f>IFERROR(INDEX(Waterfalls!$E$182:$EG$182,MATCH('Venture Summary - Mthly'!AS5-INDEX('Venture Assumptions'!$J$6:$J$40,MATCH($B$2,'Venture Assumptions'!$I$6:$I$40,0)),Waterfalls!$E$5:$EG$5,0)),0)</f>
        <v>0</v>
      </c>
      <c r="AT190" s="798">
        <f>IFERROR(INDEX(Waterfalls!$E$182:$EG$182,MATCH('Venture Summary - Mthly'!AT5-INDEX('Venture Assumptions'!$J$6:$J$40,MATCH($B$2,'Venture Assumptions'!$I$6:$I$40,0)),Waterfalls!$E$5:$EG$5,0)),0)</f>
        <v>0</v>
      </c>
      <c r="AU190" s="798">
        <f>IFERROR(INDEX(Waterfalls!$E$182:$EG$182,MATCH('Venture Summary - Mthly'!AU5-INDEX('Venture Assumptions'!$J$6:$J$40,MATCH($B$2,'Venture Assumptions'!$I$6:$I$40,0)),Waterfalls!$E$5:$EG$5,0)),0)</f>
        <v>0</v>
      </c>
      <c r="AV190" s="798">
        <f>IFERROR(INDEX(Waterfalls!$E$182:$EG$182,MATCH('Venture Summary - Mthly'!AV5-INDEX('Venture Assumptions'!$J$6:$J$40,MATCH($B$2,'Venture Assumptions'!$I$6:$I$40,0)),Waterfalls!$E$5:$EG$5,0)),0)</f>
        <v>0</v>
      </c>
      <c r="AW190" s="798">
        <f>IFERROR(INDEX(Waterfalls!$E$182:$EG$182,MATCH('Venture Summary - Mthly'!AW5-INDEX('Venture Assumptions'!$J$6:$J$40,MATCH($B$2,'Venture Assumptions'!$I$6:$I$40,0)),Waterfalls!$E$5:$EG$5,0)),0)</f>
        <v>0</v>
      </c>
      <c r="AX190" s="798">
        <f>IFERROR(INDEX(Waterfalls!$E$182:$EG$182,MATCH('Venture Summary - Mthly'!AX5-INDEX('Venture Assumptions'!$J$6:$J$40,MATCH($B$2,'Venture Assumptions'!$I$6:$I$40,0)),Waterfalls!$E$5:$EG$5,0)),0)</f>
        <v>0</v>
      </c>
      <c r="AY190" s="798">
        <f>IFERROR(INDEX(Waterfalls!$E$182:$EG$182,MATCH('Venture Summary - Mthly'!AY5-INDEX('Venture Assumptions'!$J$6:$J$40,MATCH($B$2,'Venture Assumptions'!$I$6:$I$40,0)),Waterfalls!$E$5:$EG$5,0)),0)</f>
        <v>0</v>
      </c>
      <c r="AZ190" s="798">
        <f>IFERROR(INDEX(Waterfalls!$E$182:$EG$182,MATCH('Venture Summary - Mthly'!AZ5-INDEX('Venture Assumptions'!$J$6:$J$40,MATCH($B$2,'Venture Assumptions'!$I$6:$I$40,0)),Waterfalls!$E$5:$EG$5,0)),0)</f>
        <v>0</v>
      </c>
      <c r="BA190" s="798">
        <f>IFERROR(INDEX(Waterfalls!$E$182:$EG$182,MATCH('Venture Summary - Mthly'!BA5-INDEX('Venture Assumptions'!$J$6:$J$40,MATCH($B$2,'Venture Assumptions'!$I$6:$I$40,0)),Waterfalls!$E$5:$EG$5,0)),0)</f>
        <v>0</v>
      </c>
      <c r="BB190" s="798">
        <f>IFERROR(INDEX(Waterfalls!$E$182:$EG$182,MATCH('Venture Summary - Mthly'!BB5-INDEX('Venture Assumptions'!$J$6:$J$40,MATCH($B$2,'Venture Assumptions'!$I$6:$I$40,0)),Waterfalls!$E$5:$EG$5,0)),0)</f>
        <v>0</v>
      </c>
      <c r="BC190" s="798">
        <f>IFERROR(INDEX(Waterfalls!$E$182:$EG$182,MATCH('Venture Summary - Mthly'!BC5-INDEX('Venture Assumptions'!$J$6:$J$40,MATCH($B$2,'Venture Assumptions'!$I$6:$I$40,0)),Waterfalls!$E$5:$EG$5,0)),0)</f>
        <v>0</v>
      </c>
      <c r="BD190" s="798">
        <f>IFERROR(INDEX(Waterfalls!$E$182:$EG$182,MATCH('Venture Summary - Mthly'!BD5-INDEX('Venture Assumptions'!$J$6:$J$40,MATCH($B$2,'Venture Assumptions'!$I$6:$I$40,0)),Waterfalls!$E$5:$EG$5,0)),0)</f>
        <v>0</v>
      </c>
      <c r="BE190" s="798">
        <f>IFERROR(INDEX(Waterfalls!$E$182:$EG$182,MATCH('Venture Summary - Mthly'!BE5-INDEX('Venture Assumptions'!$J$6:$J$40,MATCH($B$2,'Venture Assumptions'!$I$6:$I$40,0)),Waterfalls!$E$5:$EG$5,0)),0)</f>
        <v>0</v>
      </c>
      <c r="BF190" s="798">
        <f>IFERROR(INDEX(Waterfalls!$E$182:$EG$182,MATCH('Venture Summary - Mthly'!BF5-INDEX('Venture Assumptions'!$J$6:$J$40,MATCH($B$2,'Venture Assumptions'!$I$6:$I$40,0)),Waterfalls!$E$5:$EG$5,0)),0)</f>
        <v>0</v>
      </c>
      <c r="BG190" s="798">
        <f>IFERROR(INDEX(Waterfalls!$E$182:$EG$182,MATCH('Venture Summary - Mthly'!BG5-INDEX('Venture Assumptions'!$J$6:$J$40,MATCH($B$2,'Venture Assumptions'!$I$6:$I$40,0)),Waterfalls!$E$5:$EG$5,0)),0)</f>
        <v>0</v>
      </c>
      <c r="BH190" s="798">
        <f>IFERROR(INDEX(Waterfalls!$E$182:$EG$182,MATCH('Venture Summary - Mthly'!BH5-INDEX('Venture Assumptions'!$J$6:$J$40,MATCH($B$2,'Venture Assumptions'!$I$6:$I$40,0)),Waterfalls!$E$5:$EG$5,0)),0)</f>
        <v>0</v>
      </c>
      <c r="BI190" s="798">
        <f>IFERROR(INDEX(Waterfalls!$E$182:$EG$182,MATCH('Venture Summary - Mthly'!BI5-INDEX('Venture Assumptions'!$J$6:$J$40,MATCH($B$2,'Venture Assumptions'!$I$6:$I$40,0)),Waterfalls!$E$5:$EG$5,0)),0)</f>
        <v>0</v>
      </c>
      <c r="BJ190" s="798">
        <f>IFERROR(INDEX(Waterfalls!$E$182:$EG$182,MATCH('Venture Summary - Mthly'!BJ5-INDEX('Venture Assumptions'!$J$6:$J$40,MATCH($B$2,'Venture Assumptions'!$I$6:$I$40,0)),Waterfalls!$E$5:$EG$5,0)),0)</f>
        <v>0</v>
      </c>
      <c r="BK190" s="798">
        <f>IFERROR(INDEX(Waterfalls!$E$182:$EG$182,MATCH('Venture Summary - Mthly'!BK5-INDEX('Venture Assumptions'!$J$6:$J$40,MATCH($B$2,'Venture Assumptions'!$I$6:$I$40,0)),Waterfalls!$E$5:$EG$5,0)),0)</f>
        <v>0</v>
      </c>
      <c r="BL190" s="798">
        <f>IFERROR(INDEX(Waterfalls!$E$182:$EG$182,MATCH('Venture Summary - Mthly'!BL5-INDEX('Venture Assumptions'!$J$6:$J$40,MATCH($B$2,'Venture Assumptions'!$I$6:$I$40,0)),Waterfalls!$E$5:$EG$5,0)),0)</f>
        <v>0</v>
      </c>
      <c r="BM190" s="798">
        <f>IFERROR(INDEX(Waterfalls!$E$182:$EG$182,MATCH('Venture Summary - Mthly'!BM5-INDEX('Venture Assumptions'!$J$6:$J$40,MATCH($B$2,'Venture Assumptions'!$I$6:$I$40,0)),Waterfalls!$E$5:$EG$5,0)),0)</f>
        <v>0</v>
      </c>
      <c r="BN190" s="798">
        <f>IFERROR(INDEX(Waterfalls!$E$182:$EG$182,MATCH('Venture Summary - Mthly'!BN5-INDEX('Venture Assumptions'!$J$6:$J$40,MATCH($B$2,'Venture Assumptions'!$I$6:$I$40,0)),Waterfalls!$E$5:$EG$5,0)),0)</f>
        <v>0</v>
      </c>
      <c r="BO190" s="798">
        <f>IFERROR(INDEX(Waterfalls!$E$182:$EG$182,MATCH('Venture Summary - Mthly'!BO5-INDEX('Venture Assumptions'!$J$6:$J$40,MATCH($B$2,'Venture Assumptions'!$I$6:$I$40,0)),Waterfalls!$E$5:$EG$5,0)),0)</f>
        <v>0</v>
      </c>
      <c r="BP190" s="798">
        <f>IFERROR(INDEX(Waterfalls!$E$182:$EG$182,MATCH('Venture Summary - Mthly'!BP5-INDEX('Venture Assumptions'!$J$6:$J$40,MATCH($B$2,'Venture Assumptions'!$I$6:$I$40,0)),Waterfalls!$E$5:$EG$5,0)),0)</f>
        <v>0</v>
      </c>
      <c r="BQ190" s="798">
        <f>IFERROR(INDEX(Waterfalls!$E$182:$EG$182,MATCH('Venture Summary - Mthly'!BQ5-INDEX('Venture Assumptions'!$J$6:$J$40,MATCH($B$2,'Venture Assumptions'!$I$6:$I$40,0)),Waterfalls!$E$5:$EG$5,0)),0)</f>
        <v>0</v>
      </c>
      <c r="BR190" s="798">
        <f>IFERROR(INDEX(Waterfalls!$E$182:$EG$182,MATCH('Venture Summary - Mthly'!BR5-INDEX('Venture Assumptions'!$J$6:$J$40,MATCH($B$2,'Venture Assumptions'!$I$6:$I$40,0)),Waterfalls!$E$5:$EG$5,0)),0)</f>
        <v>0</v>
      </c>
      <c r="BS190" s="798">
        <f>IFERROR(INDEX(Waterfalls!$E$182:$EG$182,MATCH('Venture Summary - Mthly'!BS5-INDEX('Venture Assumptions'!$J$6:$J$40,MATCH($B$2,'Venture Assumptions'!$I$6:$I$40,0)),Waterfalls!$E$5:$EG$5,0)),0)</f>
        <v>0</v>
      </c>
      <c r="BT190" s="798">
        <f>IFERROR(INDEX(Waterfalls!$E$182:$EG$182,MATCH('Venture Summary - Mthly'!BT5-INDEX('Venture Assumptions'!$J$6:$J$40,MATCH($B$2,'Venture Assumptions'!$I$6:$I$40,0)),Waterfalls!$E$5:$EG$5,0)),0)</f>
        <v>0</v>
      </c>
      <c r="BU190" s="798">
        <f>IFERROR(INDEX(Waterfalls!$E$182:$EG$182,MATCH('Venture Summary - Mthly'!BU5-INDEX('Venture Assumptions'!$J$6:$J$40,MATCH($B$2,'Venture Assumptions'!$I$6:$I$40,0)),Waterfalls!$E$5:$EG$5,0)),0)</f>
        <v>0</v>
      </c>
      <c r="BV190" s="798">
        <f>IFERROR(INDEX(Waterfalls!$E$182:$EG$182,MATCH('Venture Summary - Mthly'!BV5-INDEX('Venture Assumptions'!$J$6:$J$40,MATCH($B$2,'Venture Assumptions'!$I$6:$I$40,0)),Waterfalls!$E$5:$EG$5,0)),0)</f>
        <v>0</v>
      </c>
      <c r="BW190" s="798">
        <f>IFERROR(INDEX(Waterfalls!$E$182:$EG$182,MATCH('Venture Summary - Mthly'!BW5-INDEX('Venture Assumptions'!$J$6:$J$40,MATCH($B$2,'Venture Assumptions'!$I$6:$I$40,0)),Waterfalls!$E$5:$EG$5,0)),0)</f>
        <v>0</v>
      </c>
      <c r="BX190" s="798">
        <f>IFERROR(INDEX(Waterfalls!$E$182:$EG$182,MATCH('Venture Summary - Mthly'!BX5-INDEX('Venture Assumptions'!$J$6:$J$40,MATCH($B$2,'Venture Assumptions'!$I$6:$I$40,0)),Waterfalls!$E$5:$EG$5,0)),0)</f>
        <v>0</v>
      </c>
      <c r="BY190" s="798">
        <f>IFERROR(INDEX(Waterfalls!$E$182:$EG$182,MATCH('Venture Summary - Mthly'!BY5-INDEX('Venture Assumptions'!$J$6:$J$40,MATCH($B$2,'Venture Assumptions'!$I$6:$I$40,0)),Waterfalls!$E$5:$EG$5,0)),0)</f>
        <v>0</v>
      </c>
      <c r="BZ190" s="798">
        <f>IFERROR(INDEX(Waterfalls!$E$182:$EG$182,MATCH('Venture Summary - Mthly'!BZ5-INDEX('Venture Assumptions'!$J$6:$J$40,MATCH($B$2,'Venture Assumptions'!$I$6:$I$40,0)),Waterfalls!$E$5:$EG$5,0)),0)</f>
        <v>0</v>
      </c>
      <c r="CA190" s="798">
        <f>IFERROR(INDEX(Waterfalls!$E$182:$EG$182,MATCH('Venture Summary - Mthly'!CA5-INDEX('Venture Assumptions'!$J$6:$J$40,MATCH($B$2,'Venture Assumptions'!$I$6:$I$40,0)),Waterfalls!$E$5:$EG$5,0)),0)</f>
        <v>0</v>
      </c>
      <c r="CB190" s="798">
        <f>IFERROR(INDEX(Waterfalls!$E$182:$EG$182,MATCH('Venture Summary - Mthly'!CB5-INDEX('Venture Assumptions'!$J$6:$J$40,MATCH($B$2,'Venture Assumptions'!$I$6:$I$40,0)),Waterfalls!$E$5:$EG$5,0)),0)</f>
        <v>0</v>
      </c>
      <c r="CC190" s="798">
        <f>IFERROR(INDEX(Waterfalls!$E$182:$EG$182,MATCH('Venture Summary - Mthly'!CC5-INDEX('Venture Assumptions'!$J$6:$J$40,MATCH($B$2,'Venture Assumptions'!$I$6:$I$40,0)),Waterfalls!$E$5:$EG$5,0)),0)</f>
        <v>0</v>
      </c>
      <c r="CD190" s="798">
        <f>IFERROR(INDEX(Waterfalls!$E$182:$EG$182,MATCH('Venture Summary - Mthly'!CD5-INDEX('Venture Assumptions'!$J$6:$J$40,MATCH($B$2,'Venture Assumptions'!$I$6:$I$40,0)),Waterfalls!$E$5:$EG$5,0)),0)</f>
        <v>0</v>
      </c>
      <c r="CE190" s="798">
        <f>IFERROR(INDEX(Waterfalls!$E$182:$EG$182,MATCH('Venture Summary - Mthly'!CE5-INDEX('Venture Assumptions'!$J$6:$J$40,MATCH($B$2,'Venture Assumptions'!$I$6:$I$40,0)),Waterfalls!$E$5:$EG$5,0)),0)</f>
        <v>0</v>
      </c>
      <c r="CF190" s="798">
        <f>IFERROR(INDEX(Waterfalls!$E$182:$EG$182,MATCH('Venture Summary - Mthly'!CF5-INDEX('Venture Assumptions'!$J$6:$J$40,MATCH($B$2,'Venture Assumptions'!$I$6:$I$40,0)),Waterfalls!$E$5:$EG$5,0)),0)</f>
        <v>0</v>
      </c>
      <c r="CG190" s="798">
        <f>IFERROR(INDEX(Waterfalls!$E$182:$EG$182,MATCH('Venture Summary - Mthly'!CG5-INDEX('Venture Assumptions'!$J$6:$J$40,MATCH($B$2,'Venture Assumptions'!$I$6:$I$40,0)),Waterfalls!$E$5:$EG$5,0)),0)</f>
        <v>0</v>
      </c>
      <c r="CH190" s="798">
        <f>IFERROR(INDEX(Waterfalls!$E$182:$EG$182,MATCH('Venture Summary - Mthly'!CH5-INDEX('Venture Assumptions'!$J$6:$J$40,MATCH($B$2,'Venture Assumptions'!$I$6:$I$40,0)),Waterfalls!$E$5:$EG$5,0)),0)</f>
        <v>0</v>
      </c>
      <c r="CI190" s="798">
        <f>IFERROR(INDEX(Waterfalls!$E$182:$EG$182,MATCH('Venture Summary - Mthly'!CI5-INDEX('Venture Assumptions'!$J$6:$J$40,MATCH($B$2,'Venture Assumptions'!$I$6:$I$40,0)),Waterfalls!$E$5:$EG$5,0)),0)</f>
        <v>0</v>
      </c>
      <c r="CJ190" s="798">
        <f>IFERROR(INDEX(Waterfalls!$E$182:$EG$182,MATCH('Venture Summary - Mthly'!CJ5-INDEX('Venture Assumptions'!$J$6:$J$40,MATCH($B$2,'Venture Assumptions'!$I$6:$I$40,0)),Waterfalls!$E$5:$EG$5,0)),0)</f>
        <v>0</v>
      </c>
      <c r="CK190" s="798">
        <f>IFERROR(INDEX(Waterfalls!$E$182:$EG$182,MATCH('Venture Summary - Mthly'!CK5-INDEX('Venture Assumptions'!$J$6:$J$40,MATCH($B$2,'Venture Assumptions'!$I$6:$I$40,0)),Waterfalls!$E$5:$EG$5,0)),0)</f>
        <v>0</v>
      </c>
      <c r="CL190" s="798">
        <f>IFERROR(INDEX(Waterfalls!$E$182:$EG$182,MATCH('Venture Summary - Mthly'!CL5-INDEX('Venture Assumptions'!$J$6:$J$40,MATCH($B$2,'Venture Assumptions'!$I$6:$I$40,0)),Waterfalls!$E$5:$EG$5,0)),0)</f>
        <v>0</v>
      </c>
      <c r="CM190" s="798">
        <f>IFERROR(INDEX(Waterfalls!$E$182:$EG$182,MATCH('Venture Summary - Mthly'!CM5-INDEX('Venture Assumptions'!$J$6:$J$40,MATCH($B$2,'Venture Assumptions'!$I$6:$I$40,0)),Waterfalls!$E$5:$EG$5,0)),0)</f>
        <v>0</v>
      </c>
      <c r="CN190" s="798">
        <f>IFERROR(INDEX(Waterfalls!$E$182:$EG$182,MATCH('Venture Summary - Mthly'!CN5-INDEX('Venture Assumptions'!$J$6:$J$40,MATCH($B$2,'Venture Assumptions'!$I$6:$I$40,0)),Waterfalls!$E$5:$EG$5,0)),0)</f>
        <v>0</v>
      </c>
      <c r="CO190" s="798">
        <f>IFERROR(INDEX(Waterfalls!$E$182:$EG$182,MATCH('Venture Summary - Mthly'!CO5-INDEX('Venture Assumptions'!$J$6:$J$40,MATCH($B$2,'Venture Assumptions'!$I$6:$I$40,0)),Waterfalls!$E$5:$EG$5,0)),0)</f>
        <v>0</v>
      </c>
      <c r="CP190" s="798">
        <f>IFERROR(INDEX(Waterfalls!$E$182:$EG$182,MATCH('Venture Summary - Mthly'!CP5-INDEX('Venture Assumptions'!$J$6:$J$40,MATCH($B$2,'Venture Assumptions'!$I$6:$I$40,0)),Waterfalls!$E$5:$EG$5,0)),0)</f>
        <v>0</v>
      </c>
      <c r="CQ190" s="798">
        <f>IFERROR(INDEX(Waterfalls!$E$182:$EG$182,MATCH('Venture Summary - Mthly'!CQ5-INDEX('Venture Assumptions'!$J$6:$J$40,MATCH($B$2,'Venture Assumptions'!$I$6:$I$40,0)),Waterfalls!$E$5:$EG$5,0)),0)</f>
        <v>0</v>
      </c>
      <c r="CR190" s="798">
        <f>IFERROR(INDEX(Waterfalls!$E$182:$EG$182,MATCH('Venture Summary - Mthly'!CR5-INDEX('Venture Assumptions'!$J$6:$J$40,MATCH($B$2,'Venture Assumptions'!$I$6:$I$40,0)),Waterfalls!$E$5:$EG$5,0)),0)</f>
        <v>0</v>
      </c>
      <c r="CS190" s="798">
        <f>IFERROR(INDEX(Waterfalls!$E$182:$EG$182,MATCH('Venture Summary - Mthly'!CS5-INDEX('Venture Assumptions'!$J$6:$J$40,MATCH($B$2,'Venture Assumptions'!$I$6:$I$40,0)),Waterfalls!$E$5:$EG$5,0)),0)</f>
        <v>0</v>
      </c>
      <c r="CT190" s="798">
        <f>IFERROR(INDEX(Waterfalls!$E$182:$EG$182,MATCH('Venture Summary - Mthly'!CT5-INDEX('Venture Assumptions'!$J$6:$J$40,MATCH($B$2,'Venture Assumptions'!$I$6:$I$40,0)),Waterfalls!$E$5:$EG$5,0)),0)</f>
        <v>0</v>
      </c>
      <c r="CU190" s="798">
        <f>IFERROR(INDEX(Waterfalls!$E$182:$EG$182,MATCH('Venture Summary - Mthly'!CU5-INDEX('Venture Assumptions'!$J$6:$J$40,MATCH($B$2,'Venture Assumptions'!$I$6:$I$40,0)),Waterfalls!$E$5:$EG$5,0)),0)</f>
        <v>0</v>
      </c>
      <c r="CV190" s="798">
        <f>IFERROR(INDEX(Waterfalls!$E$182:$EG$182,MATCH('Venture Summary - Mthly'!CV5-INDEX('Venture Assumptions'!$J$6:$J$40,MATCH($B$2,'Venture Assumptions'!$I$6:$I$40,0)),Waterfalls!$E$5:$EG$5,0)),0)</f>
        <v>0</v>
      </c>
      <c r="CW190" s="798">
        <f>IFERROR(INDEX(Waterfalls!$E$182:$EG$182,MATCH('Venture Summary - Mthly'!CW5-INDEX('Venture Assumptions'!$J$6:$J$40,MATCH($B$2,'Venture Assumptions'!$I$6:$I$40,0)),Waterfalls!$E$5:$EG$5,0)),0)</f>
        <v>0</v>
      </c>
      <c r="CX190" s="798">
        <f>IFERROR(INDEX(Waterfalls!$E$182:$EG$182,MATCH('Venture Summary - Mthly'!CX5-INDEX('Venture Assumptions'!$J$6:$J$40,MATCH($B$2,'Venture Assumptions'!$I$6:$I$40,0)),Waterfalls!$E$5:$EG$5,0)),0)</f>
        <v>0</v>
      </c>
      <c r="CY190" s="798">
        <f>IFERROR(INDEX(Waterfalls!$E$182:$EG$182,MATCH('Venture Summary - Mthly'!CY5-INDEX('Venture Assumptions'!$J$6:$J$40,MATCH($B$2,'Venture Assumptions'!$I$6:$I$40,0)),Waterfalls!$E$5:$EG$5,0)),0)</f>
        <v>0</v>
      </c>
      <c r="CZ190" s="798">
        <f>IFERROR(INDEX(Waterfalls!$E$182:$EG$182,MATCH('Venture Summary - Mthly'!CZ5-INDEX('Venture Assumptions'!$J$6:$J$40,MATCH($B$2,'Venture Assumptions'!$I$6:$I$40,0)),Waterfalls!$E$5:$EG$5,0)),0)</f>
        <v>0</v>
      </c>
      <c r="DA190" s="798">
        <f>IFERROR(INDEX(Waterfalls!$E$182:$EG$182,MATCH('Venture Summary - Mthly'!DA5-INDEX('Venture Assumptions'!$J$6:$J$40,MATCH($B$2,'Venture Assumptions'!$I$6:$I$40,0)),Waterfalls!$E$5:$EG$5,0)),0)</f>
        <v>0</v>
      </c>
      <c r="DB190" s="798">
        <f>IFERROR(INDEX(Waterfalls!$E$182:$EG$182,MATCH('Venture Summary - Mthly'!DB5-INDEX('Venture Assumptions'!$J$6:$J$40,MATCH($B$2,'Venture Assumptions'!$I$6:$I$40,0)),Waterfalls!$E$5:$EG$5,0)),0)</f>
        <v>0</v>
      </c>
      <c r="DC190" s="798">
        <f>IFERROR(INDEX(Waterfalls!$E$182:$EG$182,MATCH('Venture Summary - Mthly'!DC5-INDEX('Venture Assumptions'!$J$6:$J$40,MATCH($B$2,'Venture Assumptions'!$I$6:$I$40,0)),Waterfalls!$E$5:$EG$5,0)),0)</f>
        <v>0</v>
      </c>
      <c r="DD190" s="798">
        <f>IFERROR(INDEX(Waterfalls!$E$182:$EG$182,MATCH('Venture Summary - Mthly'!DD5-INDEX('Venture Assumptions'!$J$6:$J$40,MATCH($B$2,'Venture Assumptions'!$I$6:$I$40,0)),Waterfalls!$E$5:$EG$5,0)),0)</f>
        <v>0</v>
      </c>
      <c r="DE190" s="798">
        <f>IFERROR(INDEX(Waterfalls!$E$182:$EG$182,MATCH('Venture Summary - Mthly'!DE5-INDEX('Venture Assumptions'!$J$6:$J$40,MATCH($B$2,'Venture Assumptions'!$I$6:$I$40,0)),Waterfalls!$E$5:$EG$5,0)),0)</f>
        <v>0</v>
      </c>
      <c r="DF190" s="798">
        <f>IFERROR(INDEX(Waterfalls!$E$182:$EG$182,MATCH('Venture Summary - Mthly'!DF5-INDEX('Venture Assumptions'!$J$6:$J$40,MATCH($B$2,'Venture Assumptions'!$I$6:$I$40,0)),Waterfalls!$E$5:$EG$5,0)),0)</f>
        <v>0</v>
      </c>
      <c r="DG190" s="798">
        <f>IFERROR(INDEX(Waterfalls!$E$182:$EG$182,MATCH('Venture Summary - Mthly'!DG5-INDEX('Venture Assumptions'!$J$6:$J$40,MATCH($B$2,'Venture Assumptions'!$I$6:$I$40,0)),Waterfalls!$E$5:$EG$5,0)),0)</f>
        <v>0</v>
      </c>
      <c r="DH190" s="798">
        <f>IFERROR(INDEX(Waterfalls!$E$182:$EG$182,MATCH('Venture Summary - Mthly'!DH5-INDEX('Venture Assumptions'!$J$6:$J$40,MATCH($B$2,'Venture Assumptions'!$I$6:$I$40,0)),Waterfalls!$E$5:$EG$5,0)),0)</f>
        <v>0</v>
      </c>
      <c r="DI190" s="798">
        <f>IFERROR(INDEX(Waterfalls!$E$182:$EG$182,MATCH('Venture Summary - Mthly'!DI5-INDEX('Venture Assumptions'!$J$6:$J$40,MATCH($B$2,'Venture Assumptions'!$I$6:$I$40,0)),Waterfalls!$E$5:$EG$5,0)),0)</f>
        <v>0</v>
      </c>
      <c r="DJ190" s="798">
        <f>IFERROR(INDEX(Waterfalls!$E$182:$EG$182,MATCH('Venture Summary - Mthly'!DJ5-INDEX('Venture Assumptions'!$J$6:$J$40,MATCH($B$2,'Venture Assumptions'!$I$6:$I$40,0)),Waterfalls!$E$5:$EG$5,0)),0)</f>
        <v>0</v>
      </c>
      <c r="DK190" s="798">
        <f>IFERROR(INDEX(Waterfalls!$E$182:$EG$182,MATCH('Venture Summary - Mthly'!DK5-INDEX('Venture Assumptions'!$J$6:$J$40,MATCH($B$2,'Venture Assumptions'!$I$6:$I$40,0)),Waterfalls!$E$5:$EG$5,0)),0)</f>
        <v>0</v>
      </c>
      <c r="DL190" s="798">
        <f>IFERROR(INDEX(Waterfalls!$E$182:$EG$182,MATCH('Venture Summary - Mthly'!DL5-INDEX('Venture Assumptions'!$J$6:$J$40,MATCH($B$2,'Venture Assumptions'!$I$6:$I$40,0)),Waterfalls!$E$5:$EG$5,0)),0)</f>
        <v>0</v>
      </c>
      <c r="DM190" s="798">
        <f>IFERROR(INDEX(Waterfalls!$E$182:$EG$182,MATCH('Venture Summary - Mthly'!DM5-INDEX('Venture Assumptions'!$J$6:$J$40,MATCH($B$2,'Venture Assumptions'!$I$6:$I$40,0)),Waterfalls!$E$5:$EG$5,0)),0)</f>
        <v>0</v>
      </c>
      <c r="DN190" s="798">
        <f>IFERROR(INDEX(Waterfalls!$E$182:$EG$182,MATCH('Venture Summary - Mthly'!DN5-INDEX('Venture Assumptions'!$J$6:$J$40,MATCH($B$2,'Venture Assumptions'!$I$6:$I$40,0)),Waterfalls!$E$5:$EG$5,0)),0)</f>
        <v>0</v>
      </c>
      <c r="DO190" s="798">
        <f>IFERROR(INDEX(Waterfalls!$E$182:$EG$182,MATCH('Venture Summary - Mthly'!DO5-INDEX('Venture Assumptions'!$J$6:$J$40,MATCH($B$2,'Venture Assumptions'!$I$6:$I$40,0)),Waterfalls!$E$5:$EG$5,0)),0)</f>
        <v>0</v>
      </c>
      <c r="DP190" s="798">
        <f>IFERROR(INDEX(Waterfalls!$E$182:$EG$182,MATCH('Venture Summary - Mthly'!DP5-INDEX('Venture Assumptions'!$J$6:$J$40,MATCH($B$2,'Venture Assumptions'!$I$6:$I$40,0)),Waterfalls!$E$5:$EG$5,0)),0)</f>
        <v>0</v>
      </c>
      <c r="DQ190" s="798">
        <f>IFERROR(INDEX(Waterfalls!$E$182:$EG$182,MATCH('Venture Summary - Mthly'!DQ5-INDEX('Venture Assumptions'!$J$6:$J$40,MATCH($B$2,'Venture Assumptions'!$I$6:$I$40,0)),Waterfalls!$E$5:$EG$5,0)),0)</f>
        <v>0</v>
      </c>
      <c r="DR190" s="798">
        <f>IFERROR(INDEX(Waterfalls!$E$182:$EG$182,MATCH('Venture Summary - Mthly'!DR5-INDEX('Venture Assumptions'!$J$6:$J$40,MATCH($B$2,'Venture Assumptions'!$I$6:$I$40,0)),Waterfalls!$E$5:$EG$5,0)),0)</f>
        <v>0</v>
      </c>
      <c r="DS190" s="798">
        <f>IFERROR(INDEX(Waterfalls!$E$182:$EG$182,MATCH('Venture Summary - Mthly'!DS5-INDEX('Venture Assumptions'!$J$6:$J$40,MATCH($B$2,'Venture Assumptions'!$I$6:$I$40,0)),Waterfalls!$E$5:$EG$5,0)),0)</f>
        <v>0</v>
      </c>
      <c r="DT190" s="798">
        <f>IFERROR(INDEX(Waterfalls!$E$182:$EG$182,MATCH('Venture Summary - Mthly'!DT5-INDEX('Venture Assumptions'!$J$6:$J$40,MATCH($B$2,'Venture Assumptions'!$I$6:$I$40,0)),Waterfalls!$E$5:$EG$5,0)),0)</f>
        <v>0</v>
      </c>
      <c r="DU190" s="798">
        <f>IFERROR(INDEX(Waterfalls!$E$182:$EG$182,MATCH('Venture Summary - Mthly'!DU5-INDEX('Venture Assumptions'!$J$6:$J$40,MATCH($B$2,'Venture Assumptions'!$I$6:$I$40,0)),Waterfalls!$E$5:$EG$5,0)),0)</f>
        <v>0</v>
      </c>
      <c r="DV190" s="798">
        <f>IFERROR(INDEX(Waterfalls!$E$182:$EG$182,MATCH('Venture Summary - Mthly'!DV5-INDEX('Venture Assumptions'!$J$6:$J$40,MATCH($B$2,'Venture Assumptions'!$I$6:$I$40,0)),Waterfalls!$E$5:$EG$5,0)),0)</f>
        <v>0</v>
      </c>
      <c r="DW190" s="798">
        <f>IFERROR(INDEX(Waterfalls!$E$182:$EG$182,MATCH('Venture Summary - Mthly'!DW5-INDEX('Venture Assumptions'!$J$6:$J$40,MATCH($B$2,'Venture Assumptions'!$I$6:$I$40,0)),Waterfalls!$E$5:$EG$5,0)),0)</f>
        <v>0</v>
      </c>
      <c r="DX190" s="798">
        <f>IFERROR(INDEX(Waterfalls!$E$182:$EG$182,MATCH('Venture Summary - Mthly'!DX5-INDEX('Venture Assumptions'!$J$6:$J$40,MATCH($B$2,'Venture Assumptions'!$I$6:$I$40,0)),Waterfalls!$E$5:$EG$5,0)),0)</f>
        <v>0</v>
      </c>
      <c r="DY190" s="798">
        <f>IFERROR(INDEX(Waterfalls!$E$182:$EG$182,MATCH('Venture Summary - Mthly'!DY5-INDEX('Venture Assumptions'!$J$6:$J$40,MATCH($B$2,'Venture Assumptions'!$I$6:$I$40,0)),Waterfalls!$E$5:$EG$5,0)),0)</f>
        <v>0</v>
      </c>
      <c r="DZ190" s="798">
        <f>IFERROR(INDEX(Waterfalls!$E$182:$EG$182,MATCH('Venture Summary - Mthly'!DZ5-INDEX('Venture Assumptions'!$J$6:$J$40,MATCH($B$2,'Venture Assumptions'!$I$6:$I$40,0)),Waterfalls!$E$5:$EG$5,0)),0)</f>
        <v>0</v>
      </c>
      <c r="EA190" s="798">
        <f>IFERROR(INDEX(Waterfalls!$E$182:$EG$182,MATCH('Venture Summary - Mthly'!EA5-INDEX('Venture Assumptions'!$J$6:$J$40,MATCH($B$2,'Venture Assumptions'!$I$6:$I$40,0)),Waterfalls!$E$5:$EG$5,0)),0)</f>
        <v>0</v>
      </c>
      <c r="EB190" s="798">
        <f>IFERROR(INDEX(Waterfalls!$E$182:$EG$182,MATCH('Venture Summary - Mthly'!EB5-INDEX('Venture Assumptions'!$J$6:$J$40,MATCH($B$2,'Venture Assumptions'!$I$6:$I$40,0)),Waterfalls!$E$5:$EG$5,0)),0)</f>
        <v>0</v>
      </c>
      <c r="EC190" s="798">
        <f>IFERROR(INDEX(Waterfalls!$E$182:$EG$182,MATCH('Venture Summary - Mthly'!EC5-INDEX('Venture Assumptions'!$J$6:$J$40,MATCH($B$2,'Venture Assumptions'!$I$6:$I$40,0)),Waterfalls!$E$5:$EG$5,0)),0)</f>
        <v>0</v>
      </c>
      <c r="ED190" s="798">
        <f>IFERROR(INDEX(Waterfalls!$E$182:$EG$182,MATCH('Venture Summary - Mthly'!ED5-INDEX('Venture Assumptions'!$J$6:$J$40,MATCH($B$2,'Venture Assumptions'!$I$6:$I$40,0)),Waterfalls!$E$5:$EG$5,0)),0)</f>
        <v>0</v>
      </c>
      <c r="EE190" s="798">
        <f>IFERROR(INDEX(Waterfalls!$E$182:$EG$182,MATCH('Venture Summary - Mthly'!EE5-INDEX('Venture Assumptions'!$J$6:$J$40,MATCH($B$2,'Venture Assumptions'!$I$6:$I$40,0)),Waterfalls!$E$5:$EG$5,0)),0)</f>
        <v>0</v>
      </c>
      <c r="EF190" s="798">
        <f>IFERROR(INDEX(Waterfalls!$E$182:$EG$182,MATCH('Venture Summary - Mthly'!EF5-INDEX('Venture Assumptions'!$J$6:$J$40,MATCH($B$2,'Venture Assumptions'!$I$6:$I$40,0)),Waterfalls!$E$5:$EG$5,0)),0)</f>
        <v>0</v>
      </c>
      <c r="EG190" s="798">
        <f>IFERROR(INDEX(Waterfalls!$E$182:$EG$182,MATCH('Venture Summary - Mthly'!EG5-INDEX('Venture Assumptions'!$J$6:$J$40,MATCH($B$2,'Venture Assumptions'!$I$6:$I$40,0)),Waterfalls!$E$5:$EG$5,0)),0)</f>
        <v>0</v>
      </c>
      <c r="EH190" s="782"/>
    </row>
    <row r="191" spans="1:138" ht="12.75" customHeight="1" x14ac:dyDescent="0.3">
      <c r="A191" s="782"/>
      <c r="B191" s="782" t="s">
        <v>115</v>
      </c>
      <c r="C191" s="798">
        <f t="shared" si="154"/>
        <v>0</v>
      </c>
      <c r="D191" s="782"/>
      <c r="E191" s="798">
        <f>IFERROR(INDEX(Waterfalls!$E$183:$EG$183,MATCH('Venture Summary - Mthly'!E5-INDEX('Venture Assumptions'!$J$6:$J$40,MATCH($B$2,'Venture Assumptions'!$I$6:$I$40,0)),Waterfalls!$E$5:$EG$5,0)),0)</f>
        <v>0</v>
      </c>
      <c r="F191" s="798">
        <f>IFERROR(INDEX(Waterfalls!$E$183:$EG$183,MATCH('Venture Summary - Mthly'!F5-INDEX('Venture Assumptions'!$J$6:$J$40,MATCH($B$2,'Venture Assumptions'!$I$6:$I$40,0)),Waterfalls!$E$5:$EG$5,0)),0)</f>
        <v>0</v>
      </c>
      <c r="G191" s="798">
        <f>IFERROR(INDEX(Waterfalls!$E$183:$EG$183,MATCH('Venture Summary - Mthly'!G5-INDEX('Venture Assumptions'!$J$6:$J$40,MATCH($B$2,'Venture Assumptions'!$I$6:$I$40,0)),Waterfalls!$E$5:$EG$5,0)),0)</f>
        <v>0</v>
      </c>
      <c r="H191" s="798">
        <f>IFERROR(INDEX(Waterfalls!$E$183:$EG$183,MATCH('Venture Summary - Mthly'!H5-INDEX('Venture Assumptions'!$J$6:$J$40,MATCH($B$2,'Venture Assumptions'!$I$6:$I$40,0)),Waterfalls!$E$5:$EG$5,0)),0)</f>
        <v>0</v>
      </c>
      <c r="I191" s="798">
        <f>IFERROR(INDEX(Waterfalls!$E$183:$EG$183,MATCH('Venture Summary - Mthly'!I5-INDEX('Venture Assumptions'!$J$6:$J$40,MATCH($B$2,'Venture Assumptions'!$I$6:$I$40,0)),Waterfalls!$E$5:$EG$5,0)),0)</f>
        <v>0</v>
      </c>
      <c r="J191" s="798">
        <f>IFERROR(INDEX(Waterfalls!$E$183:$EG$183,MATCH('Venture Summary - Mthly'!J5-INDEX('Venture Assumptions'!$J$6:$J$40,MATCH($B$2,'Venture Assumptions'!$I$6:$I$40,0)),Waterfalls!$E$5:$EG$5,0)),0)</f>
        <v>0</v>
      </c>
      <c r="K191" s="798">
        <f>IFERROR(INDEX(Waterfalls!$E$183:$EG$183,MATCH('Venture Summary - Mthly'!K5-INDEX('Venture Assumptions'!$J$6:$J$40,MATCH($B$2,'Venture Assumptions'!$I$6:$I$40,0)),Waterfalls!$E$5:$EG$5,0)),0)</f>
        <v>0</v>
      </c>
      <c r="L191" s="798">
        <f>IFERROR(INDEX(Waterfalls!$E$183:$EG$183,MATCH('Venture Summary - Mthly'!L5-INDEX('Venture Assumptions'!$J$6:$J$40,MATCH($B$2,'Venture Assumptions'!$I$6:$I$40,0)),Waterfalls!$E$5:$EG$5,0)),0)</f>
        <v>0</v>
      </c>
      <c r="M191" s="798">
        <f>IFERROR(INDEX(Waterfalls!$E$183:$EG$183,MATCH('Venture Summary - Mthly'!M5-INDEX('Venture Assumptions'!$J$6:$J$40,MATCH($B$2,'Venture Assumptions'!$I$6:$I$40,0)),Waterfalls!$E$5:$EG$5,0)),0)</f>
        <v>0</v>
      </c>
      <c r="N191" s="798">
        <f>IFERROR(INDEX(Waterfalls!$E$183:$EG$183,MATCH('Venture Summary - Mthly'!N5-INDEX('Venture Assumptions'!$J$6:$J$40,MATCH($B$2,'Venture Assumptions'!$I$6:$I$40,0)),Waterfalls!$E$5:$EG$5,0)),0)</f>
        <v>0</v>
      </c>
      <c r="O191" s="798">
        <f>IFERROR(INDEX(Waterfalls!$E$183:$EG$183,MATCH('Venture Summary - Mthly'!O5-INDEX('Venture Assumptions'!$J$6:$J$40,MATCH($B$2,'Venture Assumptions'!$I$6:$I$40,0)),Waterfalls!$E$5:$EG$5,0)),0)</f>
        <v>0</v>
      </c>
      <c r="P191" s="798">
        <f>IFERROR(INDEX(Waterfalls!$E$183:$EG$183,MATCH('Venture Summary - Mthly'!P5-INDEX('Venture Assumptions'!$J$6:$J$40,MATCH($B$2,'Venture Assumptions'!$I$6:$I$40,0)),Waterfalls!$E$5:$EG$5,0)),0)</f>
        <v>0</v>
      </c>
      <c r="Q191" s="798">
        <f>IFERROR(INDEX(Waterfalls!$E$183:$EG$183,MATCH('Venture Summary - Mthly'!Q5-INDEX('Venture Assumptions'!$J$6:$J$40,MATCH($B$2,'Venture Assumptions'!$I$6:$I$40,0)),Waterfalls!$E$5:$EG$5,0)),0)</f>
        <v>0</v>
      </c>
      <c r="R191" s="798">
        <f>IFERROR(INDEX(Waterfalls!$E$183:$EG$183,MATCH('Venture Summary - Mthly'!R5-INDEX('Venture Assumptions'!$J$6:$J$40,MATCH($B$2,'Venture Assumptions'!$I$6:$I$40,0)),Waterfalls!$E$5:$EG$5,0)),0)</f>
        <v>0</v>
      </c>
      <c r="S191" s="798">
        <f>IFERROR(INDEX(Waterfalls!$E$183:$EG$183,MATCH('Venture Summary - Mthly'!S5-INDEX('Venture Assumptions'!$J$6:$J$40,MATCH($B$2,'Venture Assumptions'!$I$6:$I$40,0)),Waterfalls!$E$5:$EG$5,0)),0)</f>
        <v>0</v>
      </c>
      <c r="T191" s="798">
        <f>IFERROR(INDEX(Waterfalls!$E$183:$EG$183,MATCH('Venture Summary - Mthly'!T5-INDEX('Venture Assumptions'!$J$6:$J$40,MATCH($B$2,'Venture Assumptions'!$I$6:$I$40,0)),Waterfalls!$E$5:$EG$5,0)),0)</f>
        <v>0</v>
      </c>
      <c r="U191" s="798">
        <f>IFERROR(INDEX(Waterfalls!$E$183:$EG$183,MATCH('Venture Summary - Mthly'!U5-INDEX('Venture Assumptions'!$J$6:$J$40,MATCH($B$2,'Venture Assumptions'!$I$6:$I$40,0)),Waterfalls!$E$5:$EG$5,0)),0)</f>
        <v>0</v>
      </c>
      <c r="V191" s="798">
        <f>IFERROR(INDEX(Waterfalls!$E$183:$EG$183,MATCH('Venture Summary - Mthly'!V5-INDEX('Venture Assumptions'!$J$6:$J$40,MATCH($B$2,'Venture Assumptions'!$I$6:$I$40,0)),Waterfalls!$E$5:$EG$5,0)),0)</f>
        <v>0</v>
      </c>
      <c r="W191" s="798">
        <f>IFERROR(INDEX(Waterfalls!$E$183:$EG$183,MATCH('Venture Summary - Mthly'!W5-INDEX('Venture Assumptions'!$J$6:$J$40,MATCH($B$2,'Venture Assumptions'!$I$6:$I$40,0)),Waterfalls!$E$5:$EG$5,0)),0)</f>
        <v>0</v>
      </c>
      <c r="X191" s="798">
        <f>IFERROR(INDEX(Waterfalls!$E$183:$EG$183,MATCH('Venture Summary - Mthly'!X5-INDEX('Venture Assumptions'!$J$6:$J$40,MATCH($B$2,'Venture Assumptions'!$I$6:$I$40,0)),Waterfalls!$E$5:$EG$5,0)),0)</f>
        <v>0</v>
      </c>
      <c r="Y191" s="798">
        <f>IFERROR(INDEX(Waterfalls!$E$183:$EG$183,MATCH('Venture Summary - Mthly'!Y5-INDEX('Venture Assumptions'!$J$6:$J$40,MATCH($B$2,'Venture Assumptions'!$I$6:$I$40,0)),Waterfalls!$E$5:$EG$5,0)),0)</f>
        <v>0</v>
      </c>
      <c r="Z191" s="798">
        <f>IFERROR(INDEX(Waterfalls!$E$183:$EG$183,MATCH('Venture Summary - Mthly'!Z5-INDEX('Venture Assumptions'!$J$6:$J$40,MATCH($B$2,'Venture Assumptions'!$I$6:$I$40,0)),Waterfalls!$E$5:$EG$5,0)),0)</f>
        <v>0</v>
      </c>
      <c r="AA191" s="798">
        <f>IFERROR(INDEX(Waterfalls!$E$183:$EG$183,MATCH('Venture Summary - Mthly'!AA5-INDEX('Venture Assumptions'!$J$6:$J$40,MATCH($B$2,'Venture Assumptions'!$I$6:$I$40,0)),Waterfalls!$E$5:$EG$5,0)),0)</f>
        <v>0</v>
      </c>
      <c r="AB191" s="798">
        <f>IFERROR(INDEX(Waterfalls!$E$183:$EG$183,MATCH('Venture Summary - Mthly'!AB5-INDEX('Venture Assumptions'!$J$6:$J$40,MATCH($B$2,'Venture Assumptions'!$I$6:$I$40,0)),Waterfalls!$E$5:$EG$5,0)),0)</f>
        <v>0</v>
      </c>
      <c r="AC191" s="798">
        <f>IFERROR(INDEX(Waterfalls!$E$183:$EG$183,MATCH('Venture Summary - Mthly'!AC5-INDEX('Venture Assumptions'!$J$6:$J$40,MATCH($B$2,'Venture Assumptions'!$I$6:$I$40,0)),Waterfalls!$E$5:$EG$5,0)),0)</f>
        <v>0</v>
      </c>
      <c r="AD191" s="798">
        <f>IFERROR(INDEX(Waterfalls!$E$183:$EG$183,MATCH('Venture Summary - Mthly'!AD5-INDEX('Venture Assumptions'!$J$6:$J$40,MATCH($B$2,'Venture Assumptions'!$I$6:$I$40,0)),Waterfalls!$E$5:$EG$5,0)),0)</f>
        <v>0</v>
      </c>
      <c r="AE191" s="798">
        <f>IFERROR(INDEX(Waterfalls!$E$183:$EG$183,MATCH('Venture Summary - Mthly'!AE5-INDEX('Venture Assumptions'!$J$6:$J$40,MATCH($B$2,'Venture Assumptions'!$I$6:$I$40,0)),Waterfalls!$E$5:$EG$5,0)),0)</f>
        <v>0</v>
      </c>
      <c r="AF191" s="798">
        <f>IFERROR(INDEX(Waterfalls!$E$183:$EG$183,MATCH('Venture Summary - Mthly'!AF5-INDEX('Venture Assumptions'!$J$6:$J$40,MATCH($B$2,'Venture Assumptions'!$I$6:$I$40,0)),Waterfalls!$E$5:$EG$5,0)),0)</f>
        <v>0</v>
      </c>
      <c r="AG191" s="798">
        <f>IFERROR(INDEX(Waterfalls!$E$183:$EG$183,MATCH('Venture Summary - Mthly'!AG5-INDEX('Venture Assumptions'!$J$6:$J$40,MATCH($B$2,'Venture Assumptions'!$I$6:$I$40,0)),Waterfalls!$E$5:$EG$5,0)),0)</f>
        <v>0</v>
      </c>
      <c r="AH191" s="798">
        <f>IFERROR(INDEX(Waterfalls!$E$183:$EG$183,MATCH('Venture Summary - Mthly'!AH5-INDEX('Venture Assumptions'!$J$6:$J$40,MATCH($B$2,'Venture Assumptions'!$I$6:$I$40,0)),Waterfalls!$E$5:$EG$5,0)),0)</f>
        <v>0</v>
      </c>
      <c r="AI191" s="798">
        <f>IFERROR(INDEX(Waterfalls!$E$183:$EG$183,MATCH('Venture Summary - Mthly'!AI5-INDEX('Venture Assumptions'!$J$6:$J$40,MATCH($B$2,'Venture Assumptions'!$I$6:$I$40,0)),Waterfalls!$E$5:$EG$5,0)),0)</f>
        <v>0</v>
      </c>
      <c r="AJ191" s="798">
        <f>IFERROR(INDEX(Waterfalls!$E$183:$EG$183,MATCH('Venture Summary - Mthly'!AJ5-INDEX('Venture Assumptions'!$J$6:$J$40,MATCH($B$2,'Venture Assumptions'!$I$6:$I$40,0)),Waterfalls!$E$5:$EG$5,0)),0)</f>
        <v>0</v>
      </c>
      <c r="AK191" s="798">
        <f>IFERROR(INDEX(Waterfalls!$E$183:$EG$183,MATCH('Venture Summary - Mthly'!AK5-INDEX('Venture Assumptions'!$J$6:$J$40,MATCH($B$2,'Venture Assumptions'!$I$6:$I$40,0)),Waterfalls!$E$5:$EG$5,0)),0)</f>
        <v>0</v>
      </c>
      <c r="AL191" s="798">
        <f>IFERROR(INDEX(Waterfalls!$E$183:$EG$183,MATCH('Venture Summary - Mthly'!AL5-INDEX('Venture Assumptions'!$J$6:$J$40,MATCH($B$2,'Venture Assumptions'!$I$6:$I$40,0)),Waterfalls!$E$5:$EG$5,0)),0)</f>
        <v>0</v>
      </c>
      <c r="AM191" s="798">
        <f>IFERROR(INDEX(Waterfalls!$E$183:$EG$183,MATCH('Venture Summary - Mthly'!AM5-INDEX('Venture Assumptions'!$J$6:$J$40,MATCH($B$2,'Venture Assumptions'!$I$6:$I$40,0)),Waterfalls!$E$5:$EG$5,0)),0)</f>
        <v>0</v>
      </c>
      <c r="AN191" s="798">
        <f>IFERROR(INDEX(Waterfalls!$E$183:$EG$183,MATCH('Venture Summary - Mthly'!AN5-INDEX('Venture Assumptions'!$J$6:$J$40,MATCH($B$2,'Venture Assumptions'!$I$6:$I$40,0)),Waterfalls!$E$5:$EG$5,0)),0)</f>
        <v>0</v>
      </c>
      <c r="AO191" s="798">
        <f>IFERROR(INDEX(Waterfalls!$E$183:$EG$183,MATCH('Venture Summary - Mthly'!AO5-INDEX('Venture Assumptions'!$J$6:$J$40,MATCH($B$2,'Venture Assumptions'!$I$6:$I$40,0)),Waterfalls!$E$5:$EG$5,0)),0)</f>
        <v>0</v>
      </c>
      <c r="AP191" s="798">
        <f>IFERROR(INDEX(Waterfalls!$E$183:$EG$183,MATCH('Venture Summary - Mthly'!AP5-INDEX('Venture Assumptions'!$J$6:$J$40,MATCH($B$2,'Venture Assumptions'!$I$6:$I$40,0)),Waterfalls!$E$5:$EG$5,0)),0)</f>
        <v>0</v>
      </c>
      <c r="AQ191" s="798">
        <f>IFERROR(INDEX(Waterfalls!$E$183:$EG$183,MATCH('Venture Summary - Mthly'!AQ5-INDEX('Venture Assumptions'!$J$6:$J$40,MATCH($B$2,'Venture Assumptions'!$I$6:$I$40,0)),Waterfalls!$E$5:$EG$5,0)),0)</f>
        <v>0</v>
      </c>
      <c r="AR191" s="798">
        <f>IFERROR(INDEX(Waterfalls!$E$183:$EG$183,MATCH('Venture Summary - Mthly'!AR5-INDEX('Venture Assumptions'!$J$6:$J$40,MATCH($B$2,'Venture Assumptions'!$I$6:$I$40,0)),Waterfalls!$E$5:$EG$5,0)),0)</f>
        <v>0</v>
      </c>
      <c r="AS191" s="798">
        <f>IFERROR(INDEX(Waterfalls!$E$183:$EG$183,MATCH('Venture Summary - Mthly'!AS5-INDEX('Venture Assumptions'!$J$6:$J$40,MATCH($B$2,'Venture Assumptions'!$I$6:$I$40,0)),Waterfalls!$E$5:$EG$5,0)),0)</f>
        <v>0</v>
      </c>
      <c r="AT191" s="798">
        <f>IFERROR(INDEX(Waterfalls!$E$183:$EG$183,MATCH('Venture Summary - Mthly'!AT5-INDEX('Venture Assumptions'!$J$6:$J$40,MATCH($B$2,'Venture Assumptions'!$I$6:$I$40,0)),Waterfalls!$E$5:$EG$5,0)),0)</f>
        <v>0</v>
      </c>
      <c r="AU191" s="798">
        <f>IFERROR(INDEX(Waterfalls!$E$183:$EG$183,MATCH('Venture Summary - Mthly'!AU5-INDEX('Venture Assumptions'!$J$6:$J$40,MATCH($B$2,'Venture Assumptions'!$I$6:$I$40,0)),Waterfalls!$E$5:$EG$5,0)),0)</f>
        <v>0</v>
      </c>
      <c r="AV191" s="798">
        <f>IFERROR(INDEX(Waterfalls!$E$183:$EG$183,MATCH('Venture Summary - Mthly'!AV5-INDEX('Venture Assumptions'!$J$6:$J$40,MATCH($B$2,'Venture Assumptions'!$I$6:$I$40,0)),Waterfalls!$E$5:$EG$5,0)),0)</f>
        <v>0</v>
      </c>
      <c r="AW191" s="798">
        <f>IFERROR(INDEX(Waterfalls!$E$183:$EG$183,MATCH('Venture Summary - Mthly'!AW5-INDEX('Venture Assumptions'!$J$6:$J$40,MATCH($B$2,'Venture Assumptions'!$I$6:$I$40,0)),Waterfalls!$E$5:$EG$5,0)),0)</f>
        <v>0</v>
      </c>
      <c r="AX191" s="798">
        <f>IFERROR(INDEX(Waterfalls!$E$183:$EG$183,MATCH('Venture Summary - Mthly'!AX5-INDEX('Venture Assumptions'!$J$6:$J$40,MATCH($B$2,'Venture Assumptions'!$I$6:$I$40,0)),Waterfalls!$E$5:$EG$5,0)),0)</f>
        <v>0</v>
      </c>
      <c r="AY191" s="798">
        <f>IFERROR(INDEX(Waterfalls!$E$183:$EG$183,MATCH('Venture Summary - Mthly'!AY5-INDEX('Venture Assumptions'!$J$6:$J$40,MATCH($B$2,'Venture Assumptions'!$I$6:$I$40,0)),Waterfalls!$E$5:$EG$5,0)),0)</f>
        <v>0</v>
      </c>
      <c r="AZ191" s="798">
        <f>IFERROR(INDEX(Waterfalls!$E$183:$EG$183,MATCH('Venture Summary - Mthly'!AZ5-INDEX('Venture Assumptions'!$J$6:$J$40,MATCH($B$2,'Venture Assumptions'!$I$6:$I$40,0)),Waterfalls!$E$5:$EG$5,0)),0)</f>
        <v>0</v>
      </c>
      <c r="BA191" s="798">
        <f>IFERROR(INDEX(Waterfalls!$E$183:$EG$183,MATCH('Venture Summary - Mthly'!BA5-INDEX('Venture Assumptions'!$J$6:$J$40,MATCH($B$2,'Venture Assumptions'!$I$6:$I$40,0)),Waterfalls!$E$5:$EG$5,0)),0)</f>
        <v>0</v>
      </c>
      <c r="BB191" s="798">
        <f>IFERROR(INDEX(Waterfalls!$E$183:$EG$183,MATCH('Venture Summary - Mthly'!BB5-INDEX('Venture Assumptions'!$J$6:$J$40,MATCH($B$2,'Venture Assumptions'!$I$6:$I$40,0)),Waterfalls!$E$5:$EG$5,0)),0)</f>
        <v>0</v>
      </c>
      <c r="BC191" s="798">
        <f>IFERROR(INDEX(Waterfalls!$E$183:$EG$183,MATCH('Venture Summary - Mthly'!BC5-INDEX('Venture Assumptions'!$J$6:$J$40,MATCH($B$2,'Venture Assumptions'!$I$6:$I$40,0)),Waterfalls!$E$5:$EG$5,0)),0)</f>
        <v>0</v>
      </c>
      <c r="BD191" s="798">
        <f>IFERROR(INDEX(Waterfalls!$E$183:$EG$183,MATCH('Venture Summary - Mthly'!BD5-INDEX('Venture Assumptions'!$J$6:$J$40,MATCH($B$2,'Venture Assumptions'!$I$6:$I$40,0)),Waterfalls!$E$5:$EG$5,0)),0)</f>
        <v>0</v>
      </c>
      <c r="BE191" s="798">
        <f>IFERROR(INDEX(Waterfalls!$E$183:$EG$183,MATCH('Venture Summary - Mthly'!BE5-INDEX('Venture Assumptions'!$J$6:$J$40,MATCH($B$2,'Venture Assumptions'!$I$6:$I$40,0)),Waterfalls!$E$5:$EG$5,0)),0)</f>
        <v>0</v>
      </c>
      <c r="BF191" s="798">
        <f>IFERROR(INDEX(Waterfalls!$E$183:$EG$183,MATCH('Venture Summary - Mthly'!BF5-INDEX('Venture Assumptions'!$J$6:$J$40,MATCH($B$2,'Venture Assumptions'!$I$6:$I$40,0)),Waterfalls!$E$5:$EG$5,0)),0)</f>
        <v>0</v>
      </c>
      <c r="BG191" s="798">
        <f>IFERROR(INDEX(Waterfalls!$E$183:$EG$183,MATCH('Venture Summary - Mthly'!BG5-INDEX('Venture Assumptions'!$J$6:$J$40,MATCH($B$2,'Venture Assumptions'!$I$6:$I$40,0)),Waterfalls!$E$5:$EG$5,0)),0)</f>
        <v>0</v>
      </c>
      <c r="BH191" s="798">
        <f>IFERROR(INDEX(Waterfalls!$E$183:$EG$183,MATCH('Venture Summary - Mthly'!BH5-INDEX('Venture Assumptions'!$J$6:$J$40,MATCH($B$2,'Venture Assumptions'!$I$6:$I$40,0)),Waterfalls!$E$5:$EG$5,0)),0)</f>
        <v>0</v>
      </c>
      <c r="BI191" s="798">
        <f>IFERROR(INDEX(Waterfalls!$E$183:$EG$183,MATCH('Venture Summary - Mthly'!BI5-INDEX('Venture Assumptions'!$J$6:$J$40,MATCH($B$2,'Venture Assumptions'!$I$6:$I$40,0)),Waterfalls!$E$5:$EG$5,0)),0)</f>
        <v>0</v>
      </c>
      <c r="BJ191" s="798">
        <f>IFERROR(INDEX(Waterfalls!$E$183:$EG$183,MATCH('Venture Summary - Mthly'!BJ5-INDEX('Venture Assumptions'!$J$6:$J$40,MATCH($B$2,'Venture Assumptions'!$I$6:$I$40,0)),Waterfalls!$E$5:$EG$5,0)),0)</f>
        <v>0</v>
      </c>
      <c r="BK191" s="798">
        <f>IFERROR(INDEX(Waterfalls!$E$183:$EG$183,MATCH('Venture Summary - Mthly'!BK5-INDEX('Venture Assumptions'!$J$6:$J$40,MATCH($B$2,'Venture Assumptions'!$I$6:$I$40,0)),Waterfalls!$E$5:$EG$5,0)),0)</f>
        <v>0</v>
      </c>
      <c r="BL191" s="798">
        <f>IFERROR(INDEX(Waterfalls!$E$183:$EG$183,MATCH('Venture Summary - Mthly'!BL5-INDEX('Venture Assumptions'!$J$6:$J$40,MATCH($B$2,'Venture Assumptions'!$I$6:$I$40,0)),Waterfalls!$E$5:$EG$5,0)),0)</f>
        <v>0</v>
      </c>
      <c r="BM191" s="798">
        <f>IFERROR(INDEX(Waterfalls!$E$183:$EG$183,MATCH('Venture Summary - Mthly'!BM5-INDEX('Venture Assumptions'!$J$6:$J$40,MATCH($B$2,'Venture Assumptions'!$I$6:$I$40,0)),Waterfalls!$E$5:$EG$5,0)),0)</f>
        <v>0</v>
      </c>
      <c r="BN191" s="798">
        <f>IFERROR(INDEX(Waterfalls!$E$183:$EG$183,MATCH('Venture Summary - Mthly'!BN5-INDEX('Venture Assumptions'!$J$6:$J$40,MATCH($B$2,'Venture Assumptions'!$I$6:$I$40,0)),Waterfalls!$E$5:$EG$5,0)),0)</f>
        <v>0</v>
      </c>
      <c r="BO191" s="798">
        <f>IFERROR(INDEX(Waterfalls!$E$183:$EG$183,MATCH('Venture Summary - Mthly'!BO5-INDEX('Venture Assumptions'!$J$6:$J$40,MATCH($B$2,'Venture Assumptions'!$I$6:$I$40,0)),Waterfalls!$E$5:$EG$5,0)),0)</f>
        <v>0</v>
      </c>
      <c r="BP191" s="798">
        <f>IFERROR(INDEX(Waterfalls!$E$183:$EG$183,MATCH('Venture Summary - Mthly'!BP5-INDEX('Venture Assumptions'!$J$6:$J$40,MATCH($B$2,'Venture Assumptions'!$I$6:$I$40,0)),Waterfalls!$E$5:$EG$5,0)),0)</f>
        <v>0</v>
      </c>
      <c r="BQ191" s="798">
        <f>IFERROR(INDEX(Waterfalls!$E$183:$EG$183,MATCH('Venture Summary - Mthly'!BQ5-INDEX('Venture Assumptions'!$J$6:$J$40,MATCH($B$2,'Venture Assumptions'!$I$6:$I$40,0)),Waterfalls!$E$5:$EG$5,0)),0)</f>
        <v>0</v>
      </c>
      <c r="BR191" s="798">
        <f>IFERROR(INDEX(Waterfalls!$E$183:$EG$183,MATCH('Venture Summary - Mthly'!BR5-INDEX('Venture Assumptions'!$J$6:$J$40,MATCH($B$2,'Venture Assumptions'!$I$6:$I$40,0)),Waterfalls!$E$5:$EG$5,0)),0)</f>
        <v>0</v>
      </c>
      <c r="BS191" s="798">
        <f>IFERROR(INDEX(Waterfalls!$E$183:$EG$183,MATCH('Venture Summary - Mthly'!BS5-INDEX('Venture Assumptions'!$J$6:$J$40,MATCH($B$2,'Venture Assumptions'!$I$6:$I$40,0)),Waterfalls!$E$5:$EG$5,0)),0)</f>
        <v>0</v>
      </c>
      <c r="BT191" s="798">
        <f>IFERROR(INDEX(Waterfalls!$E$183:$EG$183,MATCH('Venture Summary - Mthly'!BT5-INDEX('Venture Assumptions'!$J$6:$J$40,MATCH($B$2,'Venture Assumptions'!$I$6:$I$40,0)),Waterfalls!$E$5:$EG$5,0)),0)</f>
        <v>0</v>
      </c>
      <c r="BU191" s="798">
        <f>IFERROR(INDEX(Waterfalls!$E$183:$EG$183,MATCH('Venture Summary - Mthly'!BU5-INDEX('Venture Assumptions'!$J$6:$J$40,MATCH($B$2,'Venture Assumptions'!$I$6:$I$40,0)),Waterfalls!$E$5:$EG$5,0)),0)</f>
        <v>0</v>
      </c>
      <c r="BV191" s="798">
        <f>IFERROR(INDEX(Waterfalls!$E$183:$EG$183,MATCH('Venture Summary - Mthly'!BV5-INDEX('Venture Assumptions'!$J$6:$J$40,MATCH($B$2,'Venture Assumptions'!$I$6:$I$40,0)),Waterfalls!$E$5:$EG$5,0)),0)</f>
        <v>0</v>
      </c>
      <c r="BW191" s="798">
        <f>IFERROR(INDEX(Waterfalls!$E$183:$EG$183,MATCH('Venture Summary - Mthly'!BW5-INDEX('Venture Assumptions'!$J$6:$J$40,MATCH($B$2,'Venture Assumptions'!$I$6:$I$40,0)),Waterfalls!$E$5:$EG$5,0)),0)</f>
        <v>0</v>
      </c>
      <c r="BX191" s="798">
        <f>IFERROR(INDEX(Waterfalls!$E$183:$EG$183,MATCH('Venture Summary - Mthly'!BX5-INDEX('Venture Assumptions'!$J$6:$J$40,MATCH($B$2,'Venture Assumptions'!$I$6:$I$40,0)),Waterfalls!$E$5:$EG$5,0)),0)</f>
        <v>0</v>
      </c>
      <c r="BY191" s="798">
        <f>IFERROR(INDEX(Waterfalls!$E$183:$EG$183,MATCH('Venture Summary - Mthly'!BY5-INDEX('Venture Assumptions'!$J$6:$J$40,MATCH($B$2,'Venture Assumptions'!$I$6:$I$40,0)),Waterfalls!$E$5:$EG$5,0)),0)</f>
        <v>0</v>
      </c>
      <c r="BZ191" s="798">
        <f>IFERROR(INDEX(Waterfalls!$E$183:$EG$183,MATCH('Venture Summary - Mthly'!BZ5-INDEX('Venture Assumptions'!$J$6:$J$40,MATCH($B$2,'Venture Assumptions'!$I$6:$I$40,0)),Waterfalls!$E$5:$EG$5,0)),0)</f>
        <v>0</v>
      </c>
      <c r="CA191" s="798">
        <f>IFERROR(INDEX(Waterfalls!$E$183:$EG$183,MATCH('Venture Summary - Mthly'!CA5-INDEX('Venture Assumptions'!$J$6:$J$40,MATCH($B$2,'Venture Assumptions'!$I$6:$I$40,0)),Waterfalls!$E$5:$EG$5,0)),0)</f>
        <v>0</v>
      </c>
      <c r="CB191" s="798">
        <f>IFERROR(INDEX(Waterfalls!$E$183:$EG$183,MATCH('Venture Summary - Mthly'!CB5-INDEX('Venture Assumptions'!$J$6:$J$40,MATCH($B$2,'Venture Assumptions'!$I$6:$I$40,0)),Waterfalls!$E$5:$EG$5,0)),0)</f>
        <v>0</v>
      </c>
      <c r="CC191" s="798">
        <f>IFERROR(INDEX(Waterfalls!$E$183:$EG$183,MATCH('Venture Summary - Mthly'!CC5-INDEX('Venture Assumptions'!$J$6:$J$40,MATCH($B$2,'Venture Assumptions'!$I$6:$I$40,0)),Waterfalls!$E$5:$EG$5,0)),0)</f>
        <v>0</v>
      </c>
      <c r="CD191" s="798">
        <f>IFERROR(INDEX(Waterfalls!$E$183:$EG$183,MATCH('Venture Summary - Mthly'!CD5-INDEX('Venture Assumptions'!$J$6:$J$40,MATCH($B$2,'Venture Assumptions'!$I$6:$I$40,0)),Waterfalls!$E$5:$EG$5,0)),0)</f>
        <v>0</v>
      </c>
      <c r="CE191" s="798">
        <f>IFERROR(INDEX(Waterfalls!$E$183:$EG$183,MATCH('Venture Summary - Mthly'!CE5-INDEX('Venture Assumptions'!$J$6:$J$40,MATCH($B$2,'Venture Assumptions'!$I$6:$I$40,0)),Waterfalls!$E$5:$EG$5,0)),0)</f>
        <v>0</v>
      </c>
      <c r="CF191" s="798">
        <f>IFERROR(INDEX(Waterfalls!$E$183:$EG$183,MATCH('Venture Summary - Mthly'!CF5-INDEX('Venture Assumptions'!$J$6:$J$40,MATCH($B$2,'Venture Assumptions'!$I$6:$I$40,0)),Waterfalls!$E$5:$EG$5,0)),0)</f>
        <v>0</v>
      </c>
      <c r="CG191" s="798">
        <f>IFERROR(INDEX(Waterfalls!$E$183:$EG$183,MATCH('Venture Summary - Mthly'!CG5-INDEX('Venture Assumptions'!$J$6:$J$40,MATCH($B$2,'Venture Assumptions'!$I$6:$I$40,0)),Waterfalls!$E$5:$EG$5,0)),0)</f>
        <v>0</v>
      </c>
      <c r="CH191" s="798">
        <f>IFERROR(INDEX(Waterfalls!$E$183:$EG$183,MATCH('Venture Summary - Mthly'!CH5-INDEX('Venture Assumptions'!$J$6:$J$40,MATCH($B$2,'Venture Assumptions'!$I$6:$I$40,0)),Waterfalls!$E$5:$EG$5,0)),0)</f>
        <v>0</v>
      </c>
      <c r="CI191" s="798">
        <f>IFERROR(INDEX(Waterfalls!$E$183:$EG$183,MATCH('Venture Summary - Mthly'!CI5-INDEX('Venture Assumptions'!$J$6:$J$40,MATCH($B$2,'Venture Assumptions'!$I$6:$I$40,0)),Waterfalls!$E$5:$EG$5,0)),0)</f>
        <v>0</v>
      </c>
      <c r="CJ191" s="798">
        <f>IFERROR(INDEX(Waterfalls!$E$183:$EG$183,MATCH('Venture Summary - Mthly'!CJ5-INDEX('Venture Assumptions'!$J$6:$J$40,MATCH($B$2,'Venture Assumptions'!$I$6:$I$40,0)),Waterfalls!$E$5:$EG$5,0)),0)</f>
        <v>0</v>
      </c>
      <c r="CK191" s="798">
        <f>IFERROR(INDEX(Waterfalls!$E$183:$EG$183,MATCH('Venture Summary - Mthly'!CK5-INDEX('Venture Assumptions'!$J$6:$J$40,MATCH($B$2,'Venture Assumptions'!$I$6:$I$40,0)),Waterfalls!$E$5:$EG$5,0)),0)</f>
        <v>0</v>
      </c>
      <c r="CL191" s="798">
        <f>IFERROR(INDEX(Waterfalls!$E$183:$EG$183,MATCH('Venture Summary - Mthly'!CL5-INDEX('Venture Assumptions'!$J$6:$J$40,MATCH($B$2,'Venture Assumptions'!$I$6:$I$40,0)),Waterfalls!$E$5:$EG$5,0)),0)</f>
        <v>0</v>
      </c>
      <c r="CM191" s="798">
        <f>IFERROR(INDEX(Waterfalls!$E$183:$EG$183,MATCH('Venture Summary - Mthly'!CM5-INDEX('Venture Assumptions'!$J$6:$J$40,MATCH($B$2,'Venture Assumptions'!$I$6:$I$40,0)),Waterfalls!$E$5:$EG$5,0)),0)</f>
        <v>0</v>
      </c>
      <c r="CN191" s="798">
        <f>IFERROR(INDEX(Waterfalls!$E$183:$EG$183,MATCH('Venture Summary - Mthly'!CN5-INDEX('Venture Assumptions'!$J$6:$J$40,MATCH($B$2,'Venture Assumptions'!$I$6:$I$40,0)),Waterfalls!$E$5:$EG$5,0)),0)</f>
        <v>0</v>
      </c>
      <c r="CO191" s="798">
        <f>IFERROR(INDEX(Waterfalls!$E$183:$EG$183,MATCH('Venture Summary - Mthly'!CO5-INDEX('Venture Assumptions'!$J$6:$J$40,MATCH($B$2,'Venture Assumptions'!$I$6:$I$40,0)),Waterfalls!$E$5:$EG$5,0)),0)</f>
        <v>0</v>
      </c>
      <c r="CP191" s="798">
        <f>IFERROR(INDEX(Waterfalls!$E$183:$EG$183,MATCH('Venture Summary - Mthly'!CP5-INDEX('Venture Assumptions'!$J$6:$J$40,MATCH($B$2,'Venture Assumptions'!$I$6:$I$40,0)),Waterfalls!$E$5:$EG$5,0)),0)</f>
        <v>0</v>
      </c>
      <c r="CQ191" s="798">
        <f>IFERROR(INDEX(Waterfalls!$E$183:$EG$183,MATCH('Venture Summary - Mthly'!CQ5-INDEX('Venture Assumptions'!$J$6:$J$40,MATCH($B$2,'Venture Assumptions'!$I$6:$I$40,0)),Waterfalls!$E$5:$EG$5,0)),0)</f>
        <v>0</v>
      </c>
      <c r="CR191" s="798">
        <f>IFERROR(INDEX(Waterfalls!$E$183:$EG$183,MATCH('Venture Summary - Mthly'!CR5-INDEX('Venture Assumptions'!$J$6:$J$40,MATCH($B$2,'Venture Assumptions'!$I$6:$I$40,0)),Waterfalls!$E$5:$EG$5,0)),0)</f>
        <v>0</v>
      </c>
      <c r="CS191" s="798">
        <f>IFERROR(INDEX(Waterfalls!$E$183:$EG$183,MATCH('Venture Summary - Mthly'!CS5-INDEX('Venture Assumptions'!$J$6:$J$40,MATCH($B$2,'Venture Assumptions'!$I$6:$I$40,0)),Waterfalls!$E$5:$EG$5,0)),0)</f>
        <v>0</v>
      </c>
      <c r="CT191" s="798">
        <f>IFERROR(INDEX(Waterfalls!$E$183:$EG$183,MATCH('Venture Summary - Mthly'!CT5-INDEX('Venture Assumptions'!$J$6:$J$40,MATCH($B$2,'Venture Assumptions'!$I$6:$I$40,0)),Waterfalls!$E$5:$EG$5,0)),0)</f>
        <v>0</v>
      </c>
      <c r="CU191" s="798">
        <f>IFERROR(INDEX(Waterfalls!$E$183:$EG$183,MATCH('Venture Summary - Mthly'!CU5-INDEX('Venture Assumptions'!$J$6:$J$40,MATCH($B$2,'Venture Assumptions'!$I$6:$I$40,0)),Waterfalls!$E$5:$EG$5,0)),0)</f>
        <v>0</v>
      </c>
      <c r="CV191" s="798">
        <f>IFERROR(INDEX(Waterfalls!$E$183:$EG$183,MATCH('Venture Summary - Mthly'!CV5-INDEX('Venture Assumptions'!$J$6:$J$40,MATCH($B$2,'Venture Assumptions'!$I$6:$I$40,0)),Waterfalls!$E$5:$EG$5,0)),0)</f>
        <v>0</v>
      </c>
      <c r="CW191" s="798">
        <f>IFERROR(INDEX(Waterfalls!$E$183:$EG$183,MATCH('Venture Summary - Mthly'!CW5-INDEX('Venture Assumptions'!$J$6:$J$40,MATCH($B$2,'Venture Assumptions'!$I$6:$I$40,0)),Waterfalls!$E$5:$EG$5,0)),0)</f>
        <v>0</v>
      </c>
      <c r="CX191" s="798">
        <f>IFERROR(INDEX(Waterfalls!$E$183:$EG$183,MATCH('Venture Summary - Mthly'!CX5-INDEX('Venture Assumptions'!$J$6:$J$40,MATCH($B$2,'Venture Assumptions'!$I$6:$I$40,0)),Waterfalls!$E$5:$EG$5,0)),0)</f>
        <v>0</v>
      </c>
      <c r="CY191" s="798">
        <f>IFERROR(INDEX(Waterfalls!$E$183:$EG$183,MATCH('Venture Summary - Mthly'!CY5-INDEX('Venture Assumptions'!$J$6:$J$40,MATCH($B$2,'Venture Assumptions'!$I$6:$I$40,0)),Waterfalls!$E$5:$EG$5,0)),0)</f>
        <v>0</v>
      </c>
      <c r="CZ191" s="798">
        <f>IFERROR(INDEX(Waterfalls!$E$183:$EG$183,MATCH('Venture Summary - Mthly'!CZ5-INDEX('Venture Assumptions'!$J$6:$J$40,MATCH($B$2,'Venture Assumptions'!$I$6:$I$40,0)),Waterfalls!$E$5:$EG$5,0)),0)</f>
        <v>0</v>
      </c>
      <c r="DA191" s="798">
        <f>IFERROR(INDEX(Waterfalls!$E$183:$EG$183,MATCH('Venture Summary - Mthly'!DA5-INDEX('Venture Assumptions'!$J$6:$J$40,MATCH($B$2,'Venture Assumptions'!$I$6:$I$40,0)),Waterfalls!$E$5:$EG$5,0)),0)</f>
        <v>0</v>
      </c>
      <c r="DB191" s="798">
        <f>IFERROR(INDEX(Waterfalls!$E$183:$EG$183,MATCH('Venture Summary - Mthly'!DB5-INDEX('Venture Assumptions'!$J$6:$J$40,MATCH($B$2,'Venture Assumptions'!$I$6:$I$40,0)),Waterfalls!$E$5:$EG$5,0)),0)</f>
        <v>0</v>
      </c>
      <c r="DC191" s="798">
        <f>IFERROR(INDEX(Waterfalls!$E$183:$EG$183,MATCH('Venture Summary - Mthly'!DC5-INDEX('Venture Assumptions'!$J$6:$J$40,MATCH($B$2,'Venture Assumptions'!$I$6:$I$40,0)),Waterfalls!$E$5:$EG$5,0)),0)</f>
        <v>0</v>
      </c>
      <c r="DD191" s="798">
        <f>IFERROR(INDEX(Waterfalls!$E$183:$EG$183,MATCH('Venture Summary - Mthly'!DD5-INDEX('Venture Assumptions'!$J$6:$J$40,MATCH($B$2,'Venture Assumptions'!$I$6:$I$40,0)),Waterfalls!$E$5:$EG$5,0)),0)</f>
        <v>0</v>
      </c>
      <c r="DE191" s="798">
        <f>IFERROR(INDEX(Waterfalls!$E$183:$EG$183,MATCH('Venture Summary - Mthly'!DE5-INDEX('Venture Assumptions'!$J$6:$J$40,MATCH($B$2,'Venture Assumptions'!$I$6:$I$40,0)),Waterfalls!$E$5:$EG$5,0)),0)</f>
        <v>0</v>
      </c>
      <c r="DF191" s="798">
        <f>IFERROR(INDEX(Waterfalls!$E$183:$EG$183,MATCH('Venture Summary - Mthly'!DF5-INDEX('Venture Assumptions'!$J$6:$J$40,MATCH($B$2,'Venture Assumptions'!$I$6:$I$40,0)),Waterfalls!$E$5:$EG$5,0)),0)</f>
        <v>0</v>
      </c>
      <c r="DG191" s="798">
        <f>IFERROR(INDEX(Waterfalls!$E$183:$EG$183,MATCH('Venture Summary - Mthly'!DG5-INDEX('Venture Assumptions'!$J$6:$J$40,MATCH($B$2,'Venture Assumptions'!$I$6:$I$40,0)),Waterfalls!$E$5:$EG$5,0)),0)</f>
        <v>0</v>
      </c>
      <c r="DH191" s="798">
        <f>IFERROR(INDEX(Waterfalls!$E$183:$EG$183,MATCH('Venture Summary - Mthly'!DH5-INDEX('Venture Assumptions'!$J$6:$J$40,MATCH($B$2,'Venture Assumptions'!$I$6:$I$40,0)),Waterfalls!$E$5:$EG$5,0)),0)</f>
        <v>0</v>
      </c>
      <c r="DI191" s="798">
        <f>IFERROR(INDEX(Waterfalls!$E$183:$EG$183,MATCH('Venture Summary - Mthly'!DI5-INDEX('Venture Assumptions'!$J$6:$J$40,MATCH($B$2,'Venture Assumptions'!$I$6:$I$40,0)),Waterfalls!$E$5:$EG$5,0)),0)</f>
        <v>0</v>
      </c>
      <c r="DJ191" s="798">
        <f>IFERROR(INDEX(Waterfalls!$E$183:$EG$183,MATCH('Venture Summary - Mthly'!DJ5-INDEX('Venture Assumptions'!$J$6:$J$40,MATCH($B$2,'Venture Assumptions'!$I$6:$I$40,0)),Waterfalls!$E$5:$EG$5,0)),0)</f>
        <v>0</v>
      </c>
      <c r="DK191" s="798">
        <f>IFERROR(INDEX(Waterfalls!$E$183:$EG$183,MATCH('Venture Summary - Mthly'!DK5-INDEX('Venture Assumptions'!$J$6:$J$40,MATCH($B$2,'Venture Assumptions'!$I$6:$I$40,0)),Waterfalls!$E$5:$EG$5,0)),0)</f>
        <v>0</v>
      </c>
      <c r="DL191" s="798">
        <f>IFERROR(INDEX(Waterfalls!$E$183:$EG$183,MATCH('Venture Summary - Mthly'!DL5-INDEX('Venture Assumptions'!$J$6:$J$40,MATCH($B$2,'Venture Assumptions'!$I$6:$I$40,0)),Waterfalls!$E$5:$EG$5,0)),0)</f>
        <v>0</v>
      </c>
      <c r="DM191" s="798">
        <f>IFERROR(INDEX(Waterfalls!$E$183:$EG$183,MATCH('Venture Summary - Mthly'!DM5-INDEX('Venture Assumptions'!$J$6:$J$40,MATCH($B$2,'Venture Assumptions'!$I$6:$I$40,0)),Waterfalls!$E$5:$EG$5,0)),0)</f>
        <v>0</v>
      </c>
      <c r="DN191" s="798">
        <f>IFERROR(INDEX(Waterfalls!$E$183:$EG$183,MATCH('Venture Summary - Mthly'!DN5-INDEX('Venture Assumptions'!$J$6:$J$40,MATCH($B$2,'Venture Assumptions'!$I$6:$I$40,0)),Waterfalls!$E$5:$EG$5,0)),0)</f>
        <v>0</v>
      </c>
      <c r="DO191" s="798">
        <f>IFERROR(INDEX(Waterfalls!$E$183:$EG$183,MATCH('Venture Summary - Mthly'!DO5-INDEX('Venture Assumptions'!$J$6:$J$40,MATCH($B$2,'Venture Assumptions'!$I$6:$I$40,0)),Waterfalls!$E$5:$EG$5,0)),0)</f>
        <v>0</v>
      </c>
      <c r="DP191" s="798">
        <f>IFERROR(INDEX(Waterfalls!$E$183:$EG$183,MATCH('Venture Summary - Mthly'!DP5-INDEX('Venture Assumptions'!$J$6:$J$40,MATCH($B$2,'Venture Assumptions'!$I$6:$I$40,0)),Waterfalls!$E$5:$EG$5,0)),0)</f>
        <v>0</v>
      </c>
      <c r="DQ191" s="798">
        <f>IFERROR(INDEX(Waterfalls!$E$183:$EG$183,MATCH('Venture Summary - Mthly'!DQ5-INDEX('Venture Assumptions'!$J$6:$J$40,MATCH($B$2,'Venture Assumptions'!$I$6:$I$40,0)),Waterfalls!$E$5:$EG$5,0)),0)</f>
        <v>0</v>
      </c>
      <c r="DR191" s="798">
        <f>IFERROR(INDEX(Waterfalls!$E$183:$EG$183,MATCH('Venture Summary - Mthly'!DR5-INDEX('Venture Assumptions'!$J$6:$J$40,MATCH($B$2,'Venture Assumptions'!$I$6:$I$40,0)),Waterfalls!$E$5:$EG$5,0)),0)</f>
        <v>0</v>
      </c>
      <c r="DS191" s="798">
        <f>IFERROR(INDEX(Waterfalls!$E$183:$EG$183,MATCH('Venture Summary - Mthly'!DS5-INDEX('Venture Assumptions'!$J$6:$J$40,MATCH($B$2,'Venture Assumptions'!$I$6:$I$40,0)),Waterfalls!$E$5:$EG$5,0)),0)</f>
        <v>0</v>
      </c>
      <c r="DT191" s="798">
        <f>IFERROR(INDEX(Waterfalls!$E$183:$EG$183,MATCH('Venture Summary - Mthly'!DT5-INDEX('Venture Assumptions'!$J$6:$J$40,MATCH($B$2,'Venture Assumptions'!$I$6:$I$40,0)),Waterfalls!$E$5:$EG$5,0)),0)</f>
        <v>0</v>
      </c>
      <c r="DU191" s="798">
        <f>IFERROR(INDEX(Waterfalls!$E$183:$EG$183,MATCH('Venture Summary - Mthly'!DU5-INDEX('Venture Assumptions'!$J$6:$J$40,MATCH($B$2,'Venture Assumptions'!$I$6:$I$40,0)),Waterfalls!$E$5:$EG$5,0)),0)</f>
        <v>0</v>
      </c>
      <c r="DV191" s="798">
        <f>IFERROR(INDEX(Waterfalls!$E$183:$EG$183,MATCH('Venture Summary - Mthly'!DV5-INDEX('Venture Assumptions'!$J$6:$J$40,MATCH($B$2,'Venture Assumptions'!$I$6:$I$40,0)),Waterfalls!$E$5:$EG$5,0)),0)</f>
        <v>0</v>
      </c>
      <c r="DW191" s="798">
        <f>IFERROR(INDEX(Waterfalls!$E$183:$EG$183,MATCH('Venture Summary - Mthly'!DW5-INDEX('Venture Assumptions'!$J$6:$J$40,MATCH($B$2,'Venture Assumptions'!$I$6:$I$40,0)),Waterfalls!$E$5:$EG$5,0)),0)</f>
        <v>0</v>
      </c>
      <c r="DX191" s="798">
        <f>IFERROR(INDEX(Waterfalls!$E$183:$EG$183,MATCH('Venture Summary - Mthly'!DX5-INDEX('Venture Assumptions'!$J$6:$J$40,MATCH($B$2,'Venture Assumptions'!$I$6:$I$40,0)),Waterfalls!$E$5:$EG$5,0)),0)</f>
        <v>0</v>
      </c>
      <c r="DY191" s="798">
        <f>IFERROR(INDEX(Waterfalls!$E$183:$EG$183,MATCH('Venture Summary - Mthly'!DY5-INDEX('Venture Assumptions'!$J$6:$J$40,MATCH($B$2,'Venture Assumptions'!$I$6:$I$40,0)),Waterfalls!$E$5:$EG$5,0)),0)</f>
        <v>0</v>
      </c>
      <c r="DZ191" s="798">
        <f>IFERROR(INDEX(Waterfalls!$E$183:$EG$183,MATCH('Venture Summary - Mthly'!DZ5-INDEX('Venture Assumptions'!$J$6:$J$40,MATCH($B$2,'Venture Assumptions'!$I$6:$I$40,0)),Waterfalls!$E$5:$EG$5,0)),0)</f>
        <v>0</v>
      </c>
      <c r="EA191" s="798">
        <f>IFERROR(INDEX(Waterfalls!$E$183:$EG$183,MATCH('Venture Summary - Mthly'!EA5-INDEX('Venture Assumptions'!$J$6:$J$40,MATCH($B$2,'Venture Assumptions'!$I$6:$I$40,0)),Waterfalls!$E$5:$EG$5,0)),0)</f>
        <v>0</v>
      </c>
      <c r="EB191" s="798">
        <f>IFERROR(INDEX(Waterfalls!$E$183:$EG$183,MATCH('Venture Summary - Mthly'!EB5-INDEX('Venture Assumptions'!$J$6:$J$40,MATCH($B$2,'Venture Assumptions'!$I$6:$I$40,0)),Waterfalls!$E$5:$EG$5,0)),0)</f>
        <v>0</v>
      </c>
      <c r="EC191" s="798">
        <f>IFERROR(INDEX(Waterfalls!$E$183:$EG$183,MATCH('Venture Summary - Mthly'!EC5-INDEX('Venture Assumptions'!$J$6:$J$40,MATCH($B$2,'Venture Assumptions'!$I$6:$I$40,0)),Waterfalls!$E$5:$EG$5,0)),0)</f>
        <v>0</v>
      </c>
      <c r="ED191" s="798">
        <f>IFERROR(INDEX(Waterfalls!$E$183:$EG$183,MATCH('Venture Summary - Mthly'!ED5-INDEX('Venture Assumptions'!$J$6:$J$40,MATCH($B$2,'Venture Assumptions'!$I$6:$I$40,0)),Waterfalls!$E$5:$EG$5,0)),0)</f>
        <v>0</v>
      </c>
      <c r="EE191" s="798">
        <f>IFERROR(INDEX(Waterfalls!$E$183:$EG$183,MATCH('Venture Summary - Mthly'!EE5-INDEX('Venture Assumptions'!$J$6:$J$40,MATCH($B$2,'Venture Assumptions'!$I$6:$I$40,0)),Waterfalls!$E$5:$EG$5,0)),0)</f>
        <v>0</v>
      </c>
      <c r="EF191" s="798">
        <f>IFERROR(INDEX(Waterfalls!$E$183:$EG$183,MATCH('Venture Summary - Mthly'!EF5-INDEX('Venture Assumptions'!$J$6:$J$40,MATCH($B$2,'Venture Assumptions'!$I$6:$I$40,0)),Waterfalls!$E$5:$EG$5,0)),0)</f>
        <v>0</v>
      </c>
      <c r="EG191" s="798">
        <f>IFERROR(INDEX(Waterfalls!$E$183:$EG$183,MATCH('Venture Summary - Mthly'!EG5-INDEX('Venture Assumptions'!$J$6:$J$40,MATCH($B$2,'Venture Assumptions'!$I$6:$I$40,0)),Waterfalls!$E$5:$EG$5,0)),0)</f>
        <v>0</v>
      </c>
      <c r="EH191" s="782"/>
    </row>
    <row r="192" spans="1:138" ht="12.75" customHeight="1" x14ac:dyDescent="0.3">
      <c r="A192" s="782"/>
      <c r="B192" s="1368" t="s">
        <v>116</v>
      </c>
      <c r="C192" s="1369">
        <f t="shared" si="154"/>
        <v>12302091921.163782</v>
      </c>
      <c r="D192" s="1368"/>
      <c r="E192" s="1369">
        <f>SUM(E189:E191)/IF(AND(E12=1,F12=1),'General Inputs'!$H$46,'General Inputs'!$H$46+'Venture Assumptions'!$F$60)</f>
        <v>0</v>
      </c>
      <c r="F192" s="1369">
        <f>SUM(F189:F191)/IF(AND(F12=1,G12=1),'General Inputs'!$H$46,'General Inputs'!$H$46+'Venture Assumptions'!$F$60)</f>
        <v>0</v>
      </c>
      <c r="G192" s="1369">
        <f>SUM(G189:G191)/IF(AND(G12=1,H12=1),'General Inputs'!$H$46,'General Inputs'!$H$46+'Venture Assumptions'!$F$60)</f>
        <v>0</v>
      </c>
      <c r="H192" s="1369">
        <f>SUM(H189:H191)/IF(AND(H12=1,I12=1),'General Inputs'!$H$46,'General Inputs'!$H$46+'Venture Assumptions'!$F$60)</f>
        <v>0</v>
      </c>
      <c r="I192" s="1369">
        <f>SUM(I189:I191)/IF(AND(I12=1,J12=1),'General Inputs'!$H$46,'General Inputs'!$H$46+'Venture Assumptions'!$F$60)</f>
        <v>0</v>
      </c>
      <c r="J192" s="1369">
        <f>SUM(J189:J191)/IF(AND(J12=1,K12=1),'General Inputs'!$H$46,'General Inputs'!$H$46+'Venture Assumptions'!$F$60)</f>
        <v>0</v>
      </c>
      <c r="K192" s="1369">
        <f>SUM(K189:K191)/IF(AND(K12=1,L12=1),'General Inputs'!$H$46,'General Inputs'!$H$46+'Venture Assumptions'!$F$60)</f>
        <v>0</v>
      </c>
      <c r="L192" s="1369">
        <f>SUM(L189:L191)/IF(AND(L12=1,M12=1),'General Inputs'!$H$46,'General Inputs'!$H$46+'Venture Assumptions'!$F$60)</f>
        <v>0</v>
      </c>
      <c r="M192" s="1369">
        <f>SUM(M189:M191)/IF(AND(M12=1,N12=1),'General Inputs'!$H$46,'General Inputs'!$H$46+'Venture Assumptions'!$F$60)</f>
        <v>0</v>
      </c>
      <c r="N192" s="1369">
        <f>SUM(N189:N191)/IF(AND(N12=1,O12=1),'General Inputs'!$H$46,'General Inputs'!$H$46+'Venture Assumptions'!$F$60)</f>
        <v>0</v>
      </c>
      <c r="O192" s="1369">
        <f>SUM(O189:O191)/IF(AND(O12=1,P12=1),'General Inputs'!$H$46,'General Inputs'!$H$46+'Venture Assumptions'!$F$60)</f>
        <v>0</v>
      </c>
      <c r="P192" s="1369">
        <f>SUM(P189:P191)/IF(AND(P12=1,Q12=1),'General Inputs'!$H$46,'General Inputs'!$H$46+'Venture Assumptions'!$F$60)</f>
        <v>0</v>
      </c>
      <c r="Q192" s="1370">
        <f>SUM(Q189:Q191)/IF(AND(Q12=1,R12=1),'General Inputs'!$H$46,'General Inputs'!$H$46+'Venture Assumptions'!$F$60)</f>
        <v>8847338.786576869</v>
      </c>
      <c r="R192" s="1370">
        <f>SUM(R189:R191)/IF(AND(R12=1,S12=1),'General Inputs'!$H$46,'General Inputs'!$H$46+'Venture Assumptions'!$F$60)</f>
        <v>14536688.574957717</v>
      </c>
      <c r="S192" s="1370">
        <f>SUM(S189:S191)/IF(AND(S12=1,T12=1),'General Inputs'!$H$46,'General Inputs'!$H$46+'Venture Assumptions'!$F$60)</f>
        <v>22578384.831041809</v>
      </c>
      <c r="T192" s="1370">
        <f>SUM(T189:T191)/IF(AND(T12=1,U12=1),'General Inputs'!$H$46,'General Inputs'!$H$46+'Venture Assumptions'!$F$60)</f>
        <v>32285242.954790346</v>
      </c>
      <c r="U192" s="1370">
        <f>SUM(U189:U191)/IF(AND(U12=1,V12=1),'General Inputs'!$H$46,'General Inputs'!$H$46+'Venture Assumptions'!$F$60)</f>
        <v>42140851.166509889</v>
      </c>
      <c r="V192" s="1370">
        <f>SUM(V189:V191)/IF(AND(V12=1,W12=1),'General Inputs'!$H$46,'General Inputs'!$H$46+'Venture Assumptions'!$F$60)</f>
        <v>51471195.458574735</v>
      </c>
      <c r="W192" s="1370">
        <f>SUM(W189:W191)/IF(AND(W12=1,X12=1),'General Inputs'!$H$46,'General Inputs'!$H$46+'Venture Assumptions'!$F$60)</f>
        <v>60237989.909899324</v>
      </c>
      <c r="X192" s="1370">
        <f>SUM(X189:X191)/IF(AND(X12=1,Y12=1),'General Inputs'!$H$46,'General Inputs'!$H$46+'Venture Assumptions'!$F$60)</f>
        <v>68282434.785124734</v>
      </c>
      <c r="Y192" s="1370">
        <f>SUM(Y189:Y191)/IF(AND(Y12=1,Z12=1),'General Inputs'!$H$46,'General Inputs'!$H$46+'Venture Assumptions'!$F$60)</f>
        <v>75681522.134322211</v>
      </c>
      <c r="Z192" s="1370">
        <f>SUM(Z189:Z191)/IF(AND(Z12=1,AA12=1),'General Inputs'!$H$46,'General Inputs'!$H$46+'Venture Assumptions'!$F$60)</f>
        <v>82286761.277921408</v>
      </c>
      <c r="AA192" s="1370">
        <f>SUM(AA189:AA191)/IF(AND(AA12=1,AB12=1),'General Inputs'!$H$46,'General Inputs'!$H$46+'Venture Assumptions'!$F$60)</f>
        <v>87943739.429485232</v>
      </c>
      <c r="AB192" s="1370">
        <f>SUM(AB189:AB191)/IF(AND(AB12=1,AC12=1),'General Inputs'!$H$46,'General Inputs'!$H$46+'Venture Assumptions'!$F$60)</f>
        <v>92651930.733582288</v>
      </c>
      <c r="AC192" s="1370">
        <f>SUM(AC189:AC191)/IF(AND(AC12=1,AD12=1),'General Inputs'!$H$46,'General Inputs'!$H$46+'Venture Assumptions'!$F$60)</f>
        <v>96419100.070844024</v>
      </c>
      <c r="AD192" s="1370">
        <f>SUM(AD189:AD191)/IF(AND(AD12=1,AE12=1),'General Inputs'!$H$46,'General Inputs'!$H$46+'Venture Assumptions'!$F$60)</f>
        <v>99392076.195185497</v>
      </c>
      <c r="AE192" s="1370">
        <f>SUM(AE189:AE191)/IF(AND(AE12=1,AF12=1),'General Inputs'!$H$46,'General Inputs'!$H$46+'Venture Assumptions'!$F$60)</f>
        <v>101530558.83812743</v>
      </c>
      <c r="AF192" s="1370">
        <f>SUM(AF189:AF191)/IF(AND(AF12=1,AG12=1),'General Inputs'!$H$46,'General Inputs'!$H$46+'Venture Assumptions'!$F$60)</f>
        <v>102099550.53222448</v>
      </c>
      <c r="AG192" s="1370">
        <f>SUM(AG189:AG191)/IF(AND(AG12=1,AH12=1),'General Inputs'!$H$46,'General Inputs'!$H$46+'Venture Assumptions'!$F$60)</f>
        <v>102519475.19780481</v>
      </c>
      <c r="AH192" s="1370">
        <f>SUM(AH189:AH191)/IF(AND(AH12=1,AI12=1),'General Inputs'!$H$46,'General Inputs'!$H$46+'Venture Assumptions'!$F$60)</f>
        <v>102949428.89667653</v>
      </c>
      <c r="AI192" s="1370">
        <f>SUM(AI189:AI191)/IF(AND(AI12=1,AJ12=1),'General Inputs'!$H$46,'General Inputs'!$H$46+'Venture Assumptions'!$F$60)</f>
        <v>103388864.84333372</v>
      </c>
      <c r="AJ192" s="1370">
        <f>SUM(AJ189:AJ191)/IF(AND(AJ12=1,AK12=1),'General Inputs'!$H$46,'General Inputs'!$H$46+'Venture Assumptions'!$F$60)</f>
        <v>103827822.79169799</v>
      </c>
      <c r="AK192" s="1370">
        <f>SUM(AK189:AK191)/IF(AND(AK12=1,AL12=1),'General Inputs'!$H$46,'General Inputs'!$H$46+'Venture Assumptions'!$F$60)</f>
        <v>104261112.5593228</v>
      </c>
      <c r="AL192" s="1370">
        <f>SUM(AL189:AL191)/IF(AND(AL12=1,AM12=1),'General Inputs'!$H$46,'General Inputs'!$H$46+'Venture Assumptions'!$F$60)</f>
        <v>104687482.02807894</v>
      </c>
      <c r="AM192" s="1370">
        <f>SUM(AM189:AM191)/IF(AND(AM12=1,AN12=1),'General Inputs'!$H$46,'General Inputs'!$H$46+'Venture Assumptions'!$F$60)</f>
        <v>105105669.79756133</v>
      </c>
      <c r="AN192" s="1370">
        <f>SUM(AN189:AN191)/IF(AND(AN12=1,AO12=1),'General Inputs'!$H$46,'General Inputs'!$H$46+'Venture Assumptions'!$F$60)</f>
        <v>105514405.13425465</v>
      </c>
      <c r="AO192" s="1370">
        <f>SUM(AO189:AO191)/IF(AND(AO12=1,AP12=1),'General Inputs'!$H$46,'General Inputs'!$H$46+'Venture Assumptions'!$F$60)</f>
        <v>105912407.9204604</v>
      </c>
      <c r="AP192" s="1370">
        <f>SUM(AP189:AP191)/IF(AND(AP12=1,AQ12=1),'General Inputs'!$H$46,'General Inputs'!$H$46+'Venture Assumptions'!$F$60)</f>
        <v>106302437.63775453</v>
      </c>
      <c r="AQ192" s="1370">
        <f>SUM(AQ189:AQ191)/IF(AND(AQ12=1,AR12=1),'General Inputs'!$H$46,'General Inputs'!$H$46+'Venture Assumptions'!$F$60)</f>
        <v>106675241.54841727</v>
      </c>
      <c r="AR192" s="1370">
        <f>SUM(AR189:AR191)/IF(AND(AR12=1,AS12=1),'General Inputs'!$H$46,'General Inputs'!$H$46+'Venture Assumptions'!$F$60)</f>
        <v>107032114.70923339</v>
      </c>
      <c r="AS192" s="1370">
        <f>SUM(AS189:AS191)/IF(AND(AS12=1,AT12=1),'General Inputs'!$H$46,'General Inputs'!$H$46+'Venture Assumptions'!$F$60)</f>
        <v>107402346.85886498</v>
      </c>
      <c r="AT192" s="1370">
        <f>SUM(AT189:AT191)/IF(AND(AT12=1,AU12=1),'General Inputs'!$H$46,'General Inputs'!$H$46+'Venture Assumptions'!$F$60)</f>
        <v>107763918.16984908</v>
      </c>
      <c r="AU192" s="1370">
        <f>SUM(AU189:AU191)/IF(AND(AU12=1,AV12=1),'General Inputs'!$H$46,'General Inputs'!$H$46+'Venture Assumptions'!$F$60)</f>
        <v>108117886.56492901</v>
      </c>
      <c r="AV192" s="1370">
        <f>SUM(AV189:AV191)/IF(AND(AV12=1,AW12=1),'General Inputs'!$H$46,'General Inputs'!$H$46+'Venture Assumptions'!$F$60)</f>
        <v>108461982.57141913</v>
      </c>
      <c r="AW192" s="1370">
        <f>SUM(AW189:AW191)/IF(AND(AW12=1,AX12=1),'General Inputs'!$H$46,'General Inputs'!$H$46+'Venture Assumptions'!$F$60)</f>
        <v>108798611.77253826</v>
      </c>
      <c r="AX192" s="1370">
        <f>SUM(AX189:AX191)/IF(AND(AX12=1,AY12=1),'General Inputs'!$H$46,'General Inputs'!$H$46+'Venture Assumptions'!$F$60)</f>
        <v>109130199.10309821</v>
      </c>
      <c r="AY192" s="1370">
        <f>SUM(AY189:AY191)/IF(AND(AY12=1,AZ12=1),'General Inputs'!$H$46,'General Inputs'!$H$46+'Venture Assumptions'!$F$60)</f>
        <v>109459188.96738949</v>
      </c>
      <c r="AZ192" s="1370">
        <f>SUM(AZ189:AZ191)/IF(AND(AZ12=1,BA12=1),'General Inputs'!$H$46,'General Inputs'!$H$46+'Venture Assumptions'!$F$60)</f>
        <v>109788045.35771389</v>
      </c>
      <c r="BA192" s="1370">
        <f>SUM(BA189:BA191)/IF(AND(BA12=1,BB12=1),'General Inputs'!$H$46,'General Inputs'!$H$46+'Venture Assumptions'!$F$60)</f>
        <v>110119251.97356774</v>
      </c>
      <c r="BB192" s="1370">
        <f>SUM(BB189:BB191)/IF(AND(BB12=1,BC12=1),'General Inputs'!$H$46,'General Inputs'!$H$46+'Venture Assumptions'!$F$60)</f>
        <v>110453737.34100842</v>
      </c>
      <c r="BC192" s="1370">
        <f>SUM(BC189:BC191)/IF(AND(BC12=1,BD12=1),'General Inputs'!$H$46,'General Inputs'!$H$46+'Venture Assumptions'!$F$60)</f>
        <v>110796894.58430792</v>
      </c>
      <c r="BD192" s="1370">
        <f>SUM(BD189:BD191)/IF(AND(BD12=1,BE12=1),'General Inputs'!$H$46,'General Inputs'!$H$46+'Venture Assumptions'!$F$60)</f>
        <v>111149546.55052719</v>
      </c>
      <c r="BE192" s="1370">
        <f>SUM(BE189:BE191)/IF(AND(BE12=1,BF12=1),'General Inputs'!$H$46,'General Inputs'!$H$46+'Venture Assumptions'!$F$60)</f>
        <v>111504040.05220111</v>
      </c>
      <c r="BF192" s="1370">
        <f>SUM(BF189:BF191)/IF(AND(BF12=1,BG12=1),'General Inputs'!$H$46,'General Inputs'!$H$46+'Venture Assumptions'!$F$60)</f>
        <v>111864848.01629186</v>
      </c>
      <c r="BG192" s="1370">
        <f>SUM(BG189:BG191)/IF(AND(BG12=1,BH12=1),'General Inputs'!$H$46,'General Inputs'!$H$46+'Venture Assumptions'!$F$60)</f>
        <v>112231621.37380436</v>
      </c>
      <c r="BH192" s="1370">
        <f>SUM(BH189:BH191)/IF(AND(BH12=1,BI12=1),'General Inputs'!$H$46,'General Inputs'!$H$46+'Venture Assumptions'!$F$60)</f>
        <v>112606751.24330886</v>
      </c>
      <c r="BI192" s="1370">
        <f>SUM(BI189:BI191)/IF(AND(BI12=1,BJ12=1),'General Inputs'!$H$46,'General Inputs'!$H$46+'Venture Assumptions'!$F$60)</f>
        <v>112989443.87940969</v>
      </c>
      <c r="BJ192" s="1370">
        <f>SUM(BJ189:BJ191)/IF(AND(BJ12=1,BK12=1),'General Inputs'!$H$46,'General Inputs'!$H$46+'Venture Assumptions'!$F$60)</f>
        <v>113378899.5483703</v>
      </c>
      <c r="BK192" s="1370">
        <f>SUM(BK189:BK191)/IF(AND(BK12=1,BL12=1),'General Inputs'!$H$46,'General Inputs'!$H$46+'Venture Assumptions'!$F$60)</f>
        <v>113774312.49450065</v>
      </c>
      <c r="BL192" s="1370">
        <f>SUM(BL189:BL191)/IF(AND(BL12=1,BM12=1),'General Inputs'!$H$46,'General Inputs'!$H$46+'Venture Assumptions'!$F$60)</f>
        <v>114174870.90637663</v>
      </c>
      <c r="BM192" s="1370">
        <f>SUM(BM189:BM191)/IF(AND(BM12=1,BN12=1),'General Inputs'!$H$46,'General Inputs'!$H$46+'Venture Assumptions'!$F$60)</f>
        <v>114579756.88289072</v>
      </c>
      <c r="BN192" s="1370">
        <f>SUM(BN189:BN191)/IF(AND(BN12=1,BO12=1),'General Inputs'!$H$46,'General Inputs'!$H$46+'Venture Assumptions'!$F$60)</f>
        <v>114987022.75694521</v>
      </c>
      <c r="BO192" s="1370">
        <f>SUM(BO189:BO191)/IF(AND(BO12=1,BP12=1),'General Inputs'!$H$46,'General Inputs'!$H$46+'Venture Assumptions'!$F$60)</f>
        <v>115398177.90881</v>
      </c>
      <c r="BP192" s="1370">
        <f>SUM(BP189:BP191)/IF(AND(BP12=1,BQ12=1),'General Inputs'!$H$46,'General Inputs'!$H$46+'Venture Assumptions'!$F$60)</f>
        <v>115812080.93356858</v>
      </c>
      <c r="BQ192" s="1370">
        <f>SUM(BQ189:BQ191)/IF(AND(BQ12=1,BR12=1),'General Inputs'!$H$46,'General Inputs'!$H$46+'Venture Assumptions'!$F$60)</f>
        <v>116224005.02003008</v>
      </c>
      <c r="BR192" s="1370">
        <f>SUM(BR189:BR191)/IF(AND(BR12=1,BS12=1),'General Inputs'!$H$46,'General Inputs'!$H$46+'Venture Assumptions'!$F$60)</f>
        <v>116637200.59500831</v>
      </c>
      <c r="BS192" s="1370">
        <f>SUM(BS189:BS191)/IF(AND(BS12=1,BT12=1),'General Inputs'!$H$46,'General Inputs'!$H$46+'Venture Assumptions'!$F$60)</f>
        <v>117051671.13416119</v>
      </c>
      <c r="BT192" s="1370">
        <f>SUM(BT189:BT191)/IF(AND(BT12=1,BU12=1),'General Inputs'!$H$46,'General Inputs'!$H$46+'Venture Assumptions'!$F$60)</f>
        <v>117467992.05349886</v>
      </c>
      <c r="BU192" s="1370">
        <f>SUM(BU189:BU191)/IF(AND(BU12=1,BV12=1),'General Inputs'!$H$46,'General Inputs'!$H$46+'Venture Assumptions'!$F$60)</f>
        <v>117886170.80120024</v>
      </c>
      <c r="BV192" s="1370">
        <f>SUM(BV189:BV191)/IF(AND(BV12=1,BW12=1),'General Inputs'!$H$46,'General Inputs'!$H$46+'Venture Assumptions'!$F$60)</f>
        <v>118306214.85577759</v>
      </c>
      <c r="BW192" s="1370">
        <f>SUM(BW189:BW191)/IF(AND(BW12=1,BX12=1),'General Inputs'!$H$46,'General Inputs'!$H$46+'Venture Assumptions'!$F$60)</f>
        <v>118728131.72620086</v>
      </c>
      <c r="BX192" s="1370">
        <f>SUM(BX189:BX191)/IF(AND(BX12=1,BY12=1),'General Inputs'!$H$46,'General Inputs'!$H$46+'Venture Assumptions'!$F$60)</f>
        <v>119151928.9520226</v>
      </c>
      <c r="BY192" s="1370">
        <f>SUM(BY189:BY191)/IF(AND(BY12=1,BZ12=1),'General Inputs'!$H$46,'General Inputs'!$H$46+'Venture Assumptions'!$F$60)</f>
        <v>119577614.10350357</v>
      </c>
      <c r="BZ192" s="1370">
        <f>SUM(BZ189:BZ191)/IF(AND(BZ12=1,CA12=1),'General Inputs'!$H$46,'General Inputs'!$H$46+'Venture Assumptions'!$F$60)</f>
        <v>120004608.47000705</v>
      </c>
      <c r="CA192" s="1370">
        <f>SUM(CA189:CA191)/IF(AND(CA12=1,CB12=1),'General Inputs'!$H$46,'General Inputs'!$H$46+'Venture Assumptions'!$F$60)</f>
        <v>120434091.49647538</v>
      </c>
      <c r="CB192" s="1370">
        <f>SUM(CB189:CB191)/IF(AND(CB12=1,CC12=1),'General Inputs'!$H$46,'General Inputs'!$H$46+'Venture Assumptions'!$F$60)</f>
        <v>120865757.2296017</v>
      </c>
      <c r="CC192" s="1370">
        <f>SUM(CC189:CC191)/IF(AND(CC12=1,CD12=1),'General Inputs'!$H$46,'General Inputs'!$H$46+'Venture Assumptions'!$F$60)</f>
        <v>121295374.44037282</v>
      </c>
      <c r="CD192" s="1370">
        <f>SUM(CD189:CD191)/IF(AND(CD12=1,CE12=1),'General Inputs'!$H$46,'General Inputs'!$H$46+'Venture Assumptions'!$F$60)</f>
        <v>121726315.24175063</v>
      </c>
      <c r="CE192" s="1370">
        <f>SUM(CE189:CE191)/IF(AND(CE12=1,CF12=1),'General Inputs'!$H$46,'General Inputs'!$H$46+'Venture Assumptions'!$F$60)</f>
        <v>122158583.25225513</v>
      </c>
      <c r="CF192" s="1370">
        <f>SUM(CF189:CF191)/IF(AND(CF12=1,CG12=1),'General Inputs'!$H$46,'General Inputs'!$H$46+'Venture Assumptions'!$F$60)</f>
        <v>122592778.20643862</v>
      </c>
      <c r="CG192" s="1370">
        <f>SUM(CG189:CG191)/IF(AND(CG12=1,CH12=1),'General Inputs'!$H$46,'General Inputs'!$H$46+'Venture Assumptions'!$F$60)</f>
        <v>123028907.86323896</v>
      </c>
      <c r="CH192" s="1370">
        <f>SUM(CH189:CH191)/IF(AND(CH12=1,CI12=1),'General Inputs'!$H$46,'General Inputs'!$H$46+'Venture Assumptions'!$F$60)</f>
        <v>123466980.01319945</v>
      </c>
      <c r="CI192" s="1370">
        <f>SUM(CI189:CI191)/IF(AND(CI12=1,CJ12=1),'General Inputs'!$H$46,'General Inputs'!$H$46+'Venture Assumptions'!$F$60)</f>
        <v>123907002.47859842</v>
      </c>
      <c r="CJ192" s="1370">
        <f>SUM(CJ189:CJ191)/IF(AND(CJ12=1,CK12=1),'General Inputs'!$H$46,'General Inputs'!$H$46+'Venture Assumptions'!$F$60)</f>
        <v>124348983.11357948</v>
      </c>
      <c r="CK192" s="1370">
        <f>SUM(CK189:CK191)/IF(AND(CK12=1,CL12=1),'General Inputs'!$H$46,'General Inputs'!$H$46+'Venture Assumptions'!$F$60)</f>
        <v>124792929.80428225</v>
      </c>
      <c r="CL192" s="1370">
        <f>SUM(CL189:CL191)/IF(AND(CL12=1,CM12=1),'General Inputs'!$H$46,'General Inputs'!$H$46+'Venture Assumptions'!$F$60)</f>
        <v>125238239.3740796</v>
      </c>
      <c r="CM192" s="1370">
        <f>SUM(CM189:CM191)/IF(AND(CM12=1,CN12=1),'General Inputs'!$H$46,'General Inputs'!$H$46+'Venture Assumptions'!$F$60)</f>
        <v>125686141.11844698</v>
      </c>
      <c r="CN192" s="1370">
        <f>SUM(CN189:CN191)/IF(AND(CN12=1,CO12=1),'General Inputs'!$H$46,'General Inputs'!$H$46+'Venture Assumptions'!$F$60)</f>
        <v>126136316.14741005</v>
      </c>
      <c r="CO192" s="1370">
        <f>SUM(CO189:CO191)/IF(AND(CO12=1,CP12=1),'General Inputs'!$H$46,'General Inputs'!$H$46+'Venture Assumptions'!$F$60)</f>
        <v>126584369.28899232</v>
      </c>
      <c r="CP192" s="1370">
        <f>SUM(CP189:CP191)/IF(AND(CP12=1,CQ12=1),'General Inputs'!$H$46,'General Inputs'!$H$46+'Venture Assumptions'!$F$60)</f>
        <v>127033800.27630913</v>
      </c>
      <c r="CQ192" s="1370">
        <f>SUM(CQ189:CQ191)/IF(AND(CQ12=1,CR12=1),'General Inputs'!$H$46,'General Inputs'!$H$46+'Venture Assumptions'!$F$60)</f>
        <v>127484612.87665963</v>
      </c>
      <c r="CR192" s="1370">
        <f>SUM(CR189:CR191)/IF(AND(CR12=1,CS12=1),'General Inputs'!$H$46,'General Inputs'!$H$46+'Venture Assumptions'!$F$60)</f>
        <v>127937432.17095158</v>
      </c>
      <c r="CS192" s="1370">
        <f>SUM(CS189:CS191)/IF(AND(CS12=1,CT12=1),'General Inputs'!$H$46,'General Inputs'!$H$46+'Venture Assumptions'!$F$60)</f>
        <v>128392266.24189517</v>
      </c>
      <c r="CT192" s="1370">
        <f>SUM(CT189:CT191)/IF(AND(CT12=1,CU12=1),'General Inputs'!$H$46,'General Inputs'!$H$46+'Venture Assumptions'!$F$60)</f>
        <v>128849123.20513169</v>
      </c>
      <c r="CU192" s="1370">
        <f>SUM(CU189:CU191)/IF(AND(CU12=1,CV12=1),'General Inputs'!$H$46,'General Inputs'!$H$46+'Venture Assumptions'!$F$60)</f>
        <v>129308011.20936854</v>
      </c>
      <c r="CV192" s="1370">
        <f>SUM(CV189:CV191)/IF(AND(CV12=1,CW12=1),'General Inputs'!$H$46,'General Inputs'!$H$46+'Venture Assumptions'!$F$60)</f>
        <v>129768938.43651491</v>
      </c>
      <c r="CW192" s="1370">
        <f>SUM(CW189:CW191)/IF(AND(CW12=1,CX12=1),'General Inputs'!$H$46,'General Inputs'!$H$46+'Venture Assumptions'!$F$60)</f>
        <v>130231913.10181804</v>
      </c>
      <c r="CX192" s="1370">
        <f>SUM(CX189:CX191)/IF(AND(CX12=1,CY12=1),'General Inputs'!$H$46,'General Inputs'!$H$46+'Venture Assumptions'!$F$60)</f>
        <v>130696306.52836889</v>
      </c>
      <c r="CY192" s="1370">
        <f>SUM(CY189:CY191)/IF(AND(CY12=1,CZ12=1),'General Inputs'!$H$46,'General Inputs'!$H$46+'Venture Assumptions'!$F$60)</f>
        <v>131163399.96921429</v>
      </c>
      <c r="CZ192" s="1370">
        <f>SUM(CZ189:CZ191)/IF(AND(CZ12=1,DA12=1),'General Inputs'!$H$46,'General Inputs'!$H$46+'Venture Assumptions'!$F$60)</f>
        <v>131632861.0507603</v>
      </c>
      <c r="DA192" s="1370">
        <f>SUM(DA189:DA191)/IF(AND(DA12=1,DB12=1),'General Inputs'!$H$46,'General Inputs'!$H$46+'Venture Assumptions'!$F$60)</f>
        <v>132100122.78655089</v>
      </c>
      <c r="DB192" s="1370">
        <f>SUM(DB189:DB191)/IF(AND(DB12=1,DC12=1),'General Inputs'!$H$46,'General Inputs'!$H$46+'Venture Assumptions'!$F$60)</f>
        <v>132568818.86577092</v>
      </c>
      <c r="DC192" s="1370">
        <f>SUM(DC189:DC191)/IF(AND(DC12=1,DD12=1),'General Inputs'!$H$46,'General Inputs'!$H$46+'Venture Assumptions'!$F$60)</f>
        <v>133038953.21066234</v>
      </c>
      <c r="DD192" s="1370">
        <f>SUM(DD189:DD191)/IF(AND(DD12=1,DE12=1),'General Inputs'!$H$46,'General Inputs'!$H$46+'Venture Assumptions'!$F$60)</f>
        <v>133511177.31974299</v>
      </c>
      <c r="DE192" s="1370">
        <f>SUM(DE189:DE191)/IF(AND(DE12=1,DF12=1),'General Inputs'!$H$46,'General Inputs'!$H$46+'Venture Assumptions'!$F$60)</f>
        <v>133985499.61305545</v>
      </c>
      <c r="DF192" s="1370">
        <f>SUM(DF189:DF191)/IF(AND(DF12=1,DG12=1),'General Inputs'!$H$46,'General Inputs'!$H$46+'Venture Assumptions'!$F$60)</f>
        <v>134461928.54495454</v>
      </c>
      <c r="DG192" s="1370">
        <f>SUM(DG189:DG191)/IF(AND(DG12=1,DH12=1),'General Inputs'!$H$46,'General Inputs'!$H$46+'Venture Assumptions'!$F$60)</f>
        <v>134940472.60424829</v>
      </c>
      <c r="DH192" s="1370">
        <f>SUM(DH189:DH191)/IF(AND(DH12=1,DI12=1),'General Inputs'!$H$46,'General Inputs'!$H$46+'Venture Assumptions'!$F$60)</f>
        <v>135421140.31433916</v>
      </c>
      <c r="DI192" s="1370">
        <f>SUM(DI189:DI191)/IF(AND(DI12=1,DJ12=1),'General Inputs'!$H$46,'General Inputs'!$H$46+'Venture Assumptions'!$F$60)</f>
        <v>135903940.23336616</v>
      </c>
      <c r="DJ192" s="1370">
        <f>SUM(DJ189:DJ191)/IF(AND(DJ12=1,DK12=1),'General Inputs'!$H$46,'General Inputs'!$H$46+'Venture Assumptions'!$F$60)</f>
        <v>136388217.10612437</v>
      </c>
      <c r="DK192" s="1370">
        <f>SUM(DK189:DK191)/IF(AND(DK12=1,DL12=1),'General Inputs'!$H$46,'General Inputs'!$H$46+'Venture Assumptions'!$F$60)</f>
        <v>136875306.33932993</v>
      </c>
      <c r="DL192" s="1370">
        <f>SUM(DL189:DL191)/IF(AND(DL12=1,DM12=1),'General Inputs'!$H$46,'General Inputs'!$H$46+'Venture Assumptions'!$F$60)</f>
        <v>137364861.505694</v>
      </c>
      <c r="DM192" s="1370">
        <f>SUM(DM189:DM191)/IF(AND(DM12=1,DN12=1),'General Inputs'!$H$46,'General Inputs'!$H$46+'Venture Assumptions'!$F$60)</f>
        <v>137852135.43163943</v>
      </c>
      <c r="DN192" s="1370">
        <f>SUM(DN189:DN191)/IF(AND(DN12=1,DO12=1),'General Inputs'!$H$46,'General Inputs'!$H$46+'Venture Assumptions'!$F$60)</f>
        <v>138340902.53454536</v>
      </c>
      <c r="DO192" s="1370">
        <f>SUM(DO189:DO191)/IF(AND(DO12=1,DP12=1),'General Inputs'!$H$46,'General Inputs'!$H$46+'Venture Assumptions'!$F$60)</f>
        <v>138831166.89801684</v>
      </c>
      <c r="DP192" s="1370">
        <f>SUM(DP189:DP191)/IF(AND(DP12=1,DQ12=1),'General Inputs'!$H$46,'General Inputs'!$H$46+'Venture Assumptions'!$F$60)</f>
        <v>139323607.55471456</v>
      </c>
      <c r="DQ192" s="1370">
        <f>SUM(DQ189:DQ191)/IF(AND(DQ12=1,DR12=1),'General Inputs'!$H$46,'General Inputs'!$H$46+'Venture Assumptions'!$F$60)</f>
        <v>139818233.27614254</v>
      </c>
      <c r="DR192" s="1370">
        <f>SUM(DR189:DR191)/IF(AND(DR12=1,DS12=1),'General Inputs'!$H$46,'General Inputs'!$H$46+'Venture Assumptions'!$F$60)</f>
        <v>140315052.86955658</v>
      </c>
      <c r="DS192" s="1370">
        <f>SUM(DS189:DS191)/IF(AND(DS12=1,DT12=1),'General Inputs'!$H$46,'General Inputs'!$H$46+'Venture Assumptions'!$F$60)</f>
        <v>140814075.17811096</v>
      </c>
      <c r="DT192" s="1370">
        <f>SUM(DT189:DT191)/IF(AND(DT12=1,DU12=1),'General Inputs'!$H$46,'General Inputs'!$H$46+'Venture Assumptions'!$F$60)</f>
        <v>141315309.08100563</v>
      </c>
      <c r="DU192" s="1370">
        <f>SUM(DU189:DU191)/IF(AND(DU12=1,DV12=1),'General Inputs'!$H$46,'General Inputs'!$H$46+'Venture Assumptions'!$F$60)</f>
        <v>141818763.49363446</v>
      </c>
      <c r="DV192" s="1369">
        <f>SUM(DV189:DV191)/IF(AND(DV12=1,DW12=1),'General Inputs'!$H$46,'General Inputs'!$H$46+'Venture Assumptions'!$F$60)</f>
        <v>0</v>
      </c>
      <c r="DW192" s="1369">
        <f>SUM(DW189:DW191)/IF(AND(DW12=1,DX12=1),'General Inputs'!$H$46,'General Inputs'!$H$46+'Venture Assumptions'!$F$60)</f>
        <v>0</v>
      </c>
      <c r="DX192" s="1369">
        <f>SUM(DX189:DX191)/IF(AND(DX12=1,DY12=1),'General Inputs'!$H$46,'General Inputs'!$H$46+'Venture Assumptions'!$F$60)</f>
        <v>0</v>
      </c>
      <c r="DY192" s="1369">
        <f>SUM(DY189:DY191)/IF(AND(DY12=1,DZ12=1),'General Inputs'!$H$46,'General Inputs'!$H$46+'Venture Assumptions'!$F$60)</f>
        <v>0</v>
      </c>
      <c r="DZ192" s="1369">
        <f>SUM(DZ189:DZ191)/IF(AND(DZ12=1,EA12=1),'General Inputs'!$H$46,'General Inputs'!$H$46+'Venture Assumptions'!$F$60)</f>
        <v>0</v>
      </c>
      <c r="EA192" s="1369">
        <f>SUM(EA189:EA191)/IF(AND(EA12=1,EB12=1),'General Inputs'!$H$46,'General Inputs'!$H$46+'Venture Assumptions'!$F$60)</f>
        <v>0</v>
      </c>
      <c r="EB192" s="1369">
        <f>SUM(EB189:EB191)/IF(AND(EB12=1,EC12=1),'General Inputs'!$H$46,'General Inputs'!$H$46+'Venture Assumptions'!$F$60)</f>
        <v>0</v>
      </c>
      <c r="EC192" s="1369">
        <f>SUM(EC189:EC191)/IF(AND(EC12=1,ED12=1),'General Inputs'!$H$46,'General Inputs'!$H$46+'Venture Assumptions'!$F$60)</f>
        <v>0</v>
      </c>
      <c r="ED192" s="1369">
        <f>SUM(ED189:ED191)/IF(AND(ED12=1,EE12=1),'General Inputs'!$H$46,'General Inputs'!$H$46+'Venture Assumptions'!$F$60)</f>
        <v>0</v>
      </c>
      <c r="EE192" s="1369">
        <f>SUM(EE189:EE191)/IF(AND(EE12=1,EF12=1),'General Inputs'!$H$46,'General Inputs'!$H$46+'Venture Assumptions'!$F$60)</f>
        <v>0</v>
      </c>
      <c r="EF192" s="1369">
        <f>SUM(EF189:EF191)/IF(AND(EF12=1,EG12=1),'General Inputs'!$H$46,'General Inputs'!$H$46+'Venture Assumptions'!$F$60)</f>
        <v>0</v>
      </c>
      <c r="EG192" s="1369">
        <f>SUM(EG189:EG191)/IF(AND(EG12=1,EH12=1),'General Inputs'!$H$46,'General Inputs'!$H$46+'Venture Assumptions'!$F$60)</f>
        <v>0</v>
      </c>
      <c r="EH192" s="782"/>
    </row>
    <row r="193" spans="1:138" ht="12.75" customHeight="1" x14ac:dyDescent="0.3">
      <c r="A193" s="782"/>
      <c r="B193" s="782" t="s">
        <v>117</v>
      </c>
      <c r="C193" s="798">
        <f t="shared" si="154"/>
        <v>0</v>
      </c>
      <c r="D193" s="782"/>
      <c r="E193" s="798">
        <f>IFERROR(INDEX(Waterfalls!$E$185:$EG$185,MATCH('Venture Summary - Mthly'!E5-INDEX('Venture Assumptions'!$J$6:$J$40,MATCH($B$2,'Venture Assumptions'!$I$6:$I$40,0)),Waterfalls!$E$5:$EG$5,0)),0)</f>
        <v>0</v>
      </c>
      <c r="F193" s="798">
        <f>IFERROR(INDEX(Waterfalls!$E$185:$EG$185,MATCH('Venture Summary - Mthly'!F5-INDEX('Venture Assumptions'!$J$6:$J$40,MATCH($B$2,'Venture Assumptions'!$I$6:$I$40,0)),Waterfalls!$E$5:$EG$5,0)),0)</f>
        <v>0</v>
      </c>
      <c r="G193" s="798">
        <f>IFERROR(INDEX(Waterfalls!$E$185:$EG$185,MATCH('Venture Summary - Mthly'!G5-INDEX('Venture Assumptions'!$J$6:$J$40,MATCH($B$2,'Venture Assumptions'!$I$6:$I$40,0)),Waterfalls!$E$5:$EG$5,0)),0)</f>
        <v>0</v>
      </c>
      <c r="H193" s="798">
        <f>IFERROR(INDEX(Waterfalls!$E$185:$EG$185,MATCH('Venture Summary - Mthly'!H5-INDEX('Venture Assumptions'!$J$6:$J$40,MATCH($B$2,'Venture Assumptions'!$I$6:$I$40,0)),Waterfalls!$E$5:$EG$5,0)),0)</f>
        <v>0</v>
      </c>
      <c r="I193" s="798">
        <f>IFERROR(INDEX(Waterfalls!$E$185:$EG$185,MATCH('Venture Summary - Mthly'!I5-INDEX('Venture Assumptions'!$J$6:$J$40,MATCH($B$2,'Venture Assumptions'!$I$6:$I$40,0)),Waterfalls!$E$5:$EG$5,0)),0)</f>
        <v>0</v>
      </c>
      <c r="J193" s="798">
        <f>IFERROR(INDEX(Waterfalls!$E$185:$EG$185,MATCH('Venture Summary - Mthly'!J5-INDEX('Venture Assumptions'!$J$6:$J$40,MATCH($B$2,'Venture Assumptions'!$I$6:$I$40,0)),Waterfalls!$E$5:$EG$5,0)),0)</f>
        <v>0</v>
      </c>
      <c r="K193" s="798">
        <f>IFERROR(INDEX(Waterfalls!$E$185:$EG$185,MATCH('Venture Summary - Mthly'!K5-INDEX('Venture Assumptions'!$J$6:$J$40,MATCH($B$2,'Venture Assumptions'!$I$6:$I$40,0)),Waterfalls!$E$5:$EG$5,0)),0)</f>
        <v>0</v>
      </c>
      <c r="L193" s="798">
        <f>IFERROR(INDEX(Waterfalls!$E$185:$EG$185,MATCH('Venture Summary - Mthly'!L5-INDEX('Venture Assumptions'!$J$6:$J$40,MATCH($B$2,'Venture Assumptions'!$I$6:$I$40,0)),Waterfalls!$E$5:$EG$5,0)),0)</f>
        <v>0</v>
      </c>
      <c r="M193" s="798">
        <f>IFERROR(INDEX(Waterfalls!$E$185:$EG$185,MATCH('Venture Summary - Mthly'!M5-INDEX('Venture Assumptions'!$J$6:$J$40,MATCH($B$2,'Venture Assumptions'!$I$6:$I$40,0)),Waterfalls!$E$5:$EG$5,0)),0)</f>
        <v>0</v>
      </c>
      <c r="N193" s="798">
        <f>IFERROR(INDEX(Waterfalls!$E$185:$EG$185,MATCH('Venture Summary - Mthly'!N5-INDEX('Venture Assumptions'!$J$6:$J$40,MATCH($B$2,'Venture Assumptions'!$I$6:$I$40,0)),Waterfalls!$E$5:$EG$5,0)),0)</f>
        <v>0</v>
      </c>
      <c r="O193" s="798">
        <f>IFERROR(INDEX(Waterfalls!$E$185:$EG$185,MATCH('Venture Summary - Mthly'!O5-INDEX('Venture Assumptions'!$J$6:$J$40,MATCH($B$2,'Venture Assumptions'!$I$6:$I$40,0)),Waterfalls!$E$5:$EG$5,0)),0)</f>
        <v>0</v>
      </c>
      <c r="P193" s="798">
        <f>IFERROR(INDEX(Waterfalls!$E$185:$EG$185,MATCH('Venture Summary - Mthly'!P5-INDEX('Venture Assumptions'!$J$6:$J$40,MATCH($B$2,'Venture Assumptions'!$I$6:$I$40,0)),Waterfalls!$E$5:$EG$5,0)),0)</f>
        <v>0</v>
      </c>
      <c r="Q193" s="798">
        <f>IFERROR(INDEX(Waterfalls!$E$185:$EG$185,MATCH('Venture Summary - Mthly'!Q5-INDEX('Venture Assumptions'!$J$6:$J$40,MATCH($B$2,'Venture Assumptions'!$I$6:$I$40,0)),Waterfalls!$E$5:$EG$5,0)),0)</f>
        <v>0</v>
      </c>
      <c r="R193" s="798">
        <f>IFERROR(INDEX(Waterfalls!$E$185:$EG$185,MATCH('Venture Summary - Mthly'!R5-INDEX('Venture Assumptions'!$J$6:$J$40,MATCH($B$2,'Venture Assumptions'!$I$6:$I$40,0)),Waterfalls!$E$5:$EG$5,0)),0)</f>
        <v>0</v>
      </c>
      <c r="S193" s="798">
        <f>IFERROR(INDEX(Waterfalls!$E$185:$EG$185,MATCH('Venture Summary - Mthly'!S5-INDEX('Venture Assumptions'!$J$6:$J$40,MATCH($B$2,'Venture Assumptions'!$I$6:$I$40,0)),Waterfalls!$E$5:$EG$5,0)),0)</f>
        <v>0</v>
      </c>
      <c r="T193" s="798">
        <f>IFERROR(INDEX(Waterfalls!$E$185:$EG$185,MATCH('Venture Summary - Mthly'!T5-INDEX('Venture Assumptions'!$J$6:$J$40,MATCH($B$2,'Venture Assumptions'!$I$6:$I$40,0)),Waterfalls!$E$5:$EG$5,0)),0)</f>
        <v>0</v>
      </c>
      <c r="U193" s="798">
        <f>IFERROR(INDEX(Waterfalls!$E$185:$EG$185,MATCH('Venture Summary - Mthly'!U5-INDEX('Venture Assumptions'!$J$6:$J$40,MATCH($B$2,'Venture Assumptions'!$I$6:$I$40,0)),Waterfalls!$E$5:$EG$5,0)),0)</f>
        <v>0</v>
      </c>
      <c r="V193" s="798">
        <f>IFERROR(INDEX(Waterfalls!$E$185:$EG$185,MATCH('Venture Summary - Mthly'!V5-INDEX('Venture Assumptions'!$J$6:$J$40,MATCH($B$2,'Venture Assumptions'!$I$6:$I$40,0)),Waterfalls!$E$5:$EG$5,0)),0)</f>
        <v>0</v>
      </c>
      <c r="W193" s="798">
        <f>IFERROR(INDEX(Waterfalls!$E$185:$EG$185,MATCH('Venture Summary - Mthly'!W5-INDEX('Venture Assumptions'!$J$6:$J$40,MATCH($B$2,'Venture Assumptions'!$I$6:$I$40,0)),Waterfalls!$E$5:$EG$5,0)),0)</f>
        <v>0</v>
      </c>
      <c r="X193" s="798">
        <f>IFERROR(INDEX(Waterfalls!$E$185:$EG$185,MATCH('Venture Summary - Mthly'!X5-INDEX('Venture Assumptions'!$J$6:$J$40,MATCH($B$2,'Venture Assumptions'!$I$6:$I$40,0)),Waterfalls!$E$5:$EG$5,0)),0)</f>
        <v>0</v>
      </c>
      <c r="Y193" s="798">
        <f>IFERROR(INDEX(Waterfalls!$E$185:$EG$185,MATCH('Venture Summary - Mthly'!Y5-INDEX('Venture Assumptions'!$J$6:$J$40,MATCH($B$2,'Venture Assumptions'!$I$6:$I$40,0)),Waterfalls!$E$5:$EG$5,0)),0)</f>
        <v>0</v>
      </c>
      <c r="Z193" s="798">
        <f>IFERROR(INDEX(Waterfalls!$E$185:$EG$185,MATCH('Venture Summary - Mthly'!Z5-INDEX('Venture Assumptions'!$J$6:$J$40,MATCH($B$2,'Venture Assumptions'!$I$6:$I$40,0)),Waterfalls!$E$5:$EG$5,0)),0)</f>
        <v>0</v>
      </c>
      <c r="AA193" s="798">
        <f>IFERROR(INDEX(Waterfalls!$E$185:$EG$185,MATCH('Venture Summary - Mthly'!AA5-INDEX('Venture Assumptions'!$J$6:$J$40,MATCH($B$2,'Venture Assumptions'!$I$6:$I$40,0)),Waterfalls!$E$5:$EG$5,0)),0)</f>
        <v>0</v>
      </c>
      <c r="AB193" s="798">
        <f>IFERROR(INDEX(Waterfalls!$E$185:$EG$185,MATCH('Venture Summary - Mthly'!AB5-INDEX('Venture Assumptions'!$J$6:$J$40,MATCH($B$2,'Venture Assumptions'!$I$6:$I$40,0)),Waterfalls!$E$5:$EG$5,0)),0)</f>
        <v>0</v>
      </c>
      <c r="AC193" s="798">
        <f>IFERROR(INDEX(Waterfalls!$E$185:$EG$185,MATCH('Venture Summary - Mthly'!AC5-INDEX('Venture Assumptions'!$J$6:$J$40,MATCH($B$2,'Venture Assumptions'!$I$6:$I$40,0)),Waterfalls!$E$5:$EG$5,0)),0)</f>
        <v>0</v>
      </c>
      <c r="AD193" s="798">
        <f>IFERROR(INDEX(Waterfalls!$E$185:$EG$185,MATCH('Venture Summary - Mthly'!AD5-INDEX('Venture Assumptions'!$J$6:$J$40,MATCH($B$2,'Venture Assumptions'!$I$6:$I$40,0)),Waterfalls!$E$5:$EG$5,0)),0)</f>
        <v>0</v>
      </c>
      <c r="AE193" s="798">
        <f>IFERROR(INDEX(Waterfalls!$E$185:$EG$185,MATCH('Venture Summary - Mthly'!AE5-INDEX('Venture Assumptions'!$J$6:$J$40,MATCH($B$2,'Venture Assumptions'!$I$6:$I$40,0)),Waterfalls!$E$5:$EG$5,0)),0)</f>
        <v>0</v>
      </c>
      <c r="AF193" s="798">
        <f>IFERROR(INDEX(Waterfalls!$E$185:$EG$185,MATCH('Venture Summary - Mthly'!AF5-INDEX('Venture Assumptions'!$J$6:$J$40,MATCH($B$2,'Venture Assumptions'!$I$6:$I$40,0)),Waterfalls!$E$5:$EG$5,0)),0)</f>
        <v>0</v>
      </c>
      <c r="AG193" s="798">
        <f>IFERROR(INDEX(Waterfalls!$E$185:$EG$185,MATCH('Venture Summary - Mthly'!AG5-INDEX('Venture Assumptions'!$J$6:$J$40,MATCH($B$2,'Venture Assumptions'!$I$6:$I$40,0)),Waterfalls!$E$5:$EG$5,0)),0)</f>
        <v>0</v>
      </c>
      <c r="AH193" s="798">
        <f>IFERROR(INDEX(Waterfalls!$E$185:$EG$185,MATCH('Venture Summary - Mthly'!AH5-INDEX('Venture Assumptions'!$J$6:$J$40,MATCH($B$2,'Venture Assumptions'!$I$6:$I$40,0)),Waterfalls!$E$5:$EG$5,0)),0)</f>
        <v>0</v>
      </c>
      <c r="AI193" s="798">
        <f>IFERROR(INDEX(Waterfalls!$E$185:$EG$185,MATCH('Venture Summary - Mthly'!AI5-INDEX('Venture Assumptions'!$J$6:$J$40,MATCH($B$2,'Venture Assumptions'!$I$6:$I$40,0)),Waterfalls!$E$5:$EG$5,0)),0)</f>
        <v>0</v>
      </c>
      <c r="AJ193" s="798">
        <f>IFERROR(INDEX(Waterfalls!$E$185:$EG$185,MATCH('Venture Summary - Mthly'!AJ5-INDEX('Venture Assumptions'!$J$6:$J$40,MATCH($B$2,'Venture Assumptions'!$I$6:$I$40,0)),Waterfalls!$E$5:$EG$5,0)),0)</f>
        <v>0</v>
      </c>
      <c r="AK193" s="798">
        <f>IFERROR(INDEX(Waterfalls!$E$185:$EG$185,MATCH('Venture Summary - Mthly'!AK5-INDEX('Venture Assumptions'!$J$6:$J$40,MATCH($B$2,'Venture Assumptions'!$I$6:$I$40,0)),Waterfalls!$E$5:$EG$5,0)),0)</f>
        <v>0</v>
      </c>
      <c r="AL193" s="798">
        <f>IFERROR(INDEX(Waterfalls!$E$185:$EG$185,MATCH('Venture Summary - Mthly'!AL5-INDEX('Venture Assumptions'!$J$6:$J$40,MATCH($B$2,'Venture Assumptions'!$I$6:$I$40,0)),Waterfalls!$E$5:$EG$5,0)),0)</f>
        <v>0</v>
      </c>
      <c r="AM193" s="798">
        <f>IFERROR(INDEX(Waterfalls!$E$185:$EG$185,MATCH('Venture Summary - Mthly'!AM5-INDEX('Venture Assumptions'!$J$6:$J$40,MATCH($B$2,'Venture Assumptions'!$I$6:$I$40,0)),Waterfalls!$E$5:$EG$5,0)),0)</f>
        <v>0</v>
      </c>
      <c r="AN193" s="798">
        <f>IFERROR(INDEX(Waterfalls!$E$185:$EG$185,MATCH('Venture Summary - Mthly'!AN5-INDEX('Venture Assumptions'!$J$6:$J$40,MATCH($B$2,'Venture Assumptions'!$I$6:$I$40,0)),Waterfalls!$E$5:$EG$5,0)),0)</f>
        <v>0</v>
      </c>
      <c r="AO193" s="798">
        <f>IFERROR(INDEX(Waterfalls!$E$185:$EG$185,MATCH('Venture Summary - Mthly'!AO5-INDEX('Venture Assumptions'!$J$6:$J$40,MATCH($B$2,'Venture Assumptions'!$I$6:$I$40,0)),Waterfalls!$E$5:$EG$5,0)),0)</f>
        <v>0</v>
      </c>
      <c r="AP193" s="798">
        <f>IFERROR(INDEX(Waterfalls!$E$185:$EG$185,MATCH('Venture Summary - Mthly'!AP5-INDEX('Venture Assumptions'!$J$6:$J$40,MATCH($B$2,'Venture Assumptions'!$I$6:$I$40,0)),Waterfalls!$E$5:$EG$5,0)),0)</f>
        <v>0</v>
      </c>
      <c r="AQ193" s="798">
        <f>IFERROR(INDEX(Waterfalls!$E$185:$EG$185,MATCH('Venture Summary - Mthly'!AQ5-INDEX('Venture Assumptions'!$J$6:$J$40,MATCH($B$2,'Venture Assumptions'!$I$6:$I$40,0)),Waterfalls!$E$5:$EG$5,0)),0)</f>
        <v>0</v>
      </c>
      <c r="AR193" s="798">
        <f>IFERROR(INDEX(Waterfalls!$E$185:$EG$185,MATCH('Venture Summary - Mthly'!AR5-INDEX('Venture Assumptions'!$J$6:$J$40,MATCH($B$2,'Venture Assumptions'!$I$6:$I$40,0)),Waterfalls!$E$5:$EG$5,0)),0)</f>
        <v>0</v>
      </c>
      <c r="AS193" s="798">
        <f>IFERROR(INDEX(Waterfalls!$E$185:$EG$185,MATCH('Venture Summary - Mthly'!AS5-INDEX('Venture Assumptions'!$J$6:$J$40,MATCH($B$2,'Venture Assumptions'!$I$6:$I$40,0)),Waterfalls!$E$5:$EG$5,0)),0)</f>
        <v>0</v>
      </c>
      <c r="AT193" s="798">
        <f>IFERROR(INDEX(Waterfalls!$E$185:$EG$185,MATCH('Venture Summary - Mthly'!AT5-INDEX('Venture Assumptions'!$J$6:$J$40,MATCH($B$2,'Venture Assumptions'!$I$6:$I$40,0)),Waterfalls!$E$5:$EG$5,0)),0)</f>
        <v>0</v>
      </c>
      <c r="AU193" s="798">
        <f>IFERROR(INDEX(Waterfalls!$E$185:$EG$185,MATCH('Venture Summary - Mthly'!AU5-INDEX('Venture Assumptions'!$J$6:$J$40,MATCH($B$2,'Venture Assumptions'!$I$6:$I$40,0)),Waterfalls!$E$5:$EG$5,0)),0)</f>
        <v>0</v>
      </c>
      <c r="AV193" s="798">
        <f>IFERROR(INDEX(Waterfalls!$E$185:$EG$185,MATCH('Venture Summary - Mthly'!AV5-INDEX('Venture Assumptions'!$J$6:$J$40,MATCH($B$2,'Venture Assumptions'!$I$6:$I$40,0)),Waterfalls!$E$5:$EG$5,0)),0)</f>
        <v>0</v>
      </c>
      <c r="AW193" s="798">
        <f>IFERROR(INDEX(Waterfalls!$E$185:$EG$185,MATCH('Venture Summary - Mthly'!AW5-INDEX('Venture Assumptions'!$J$6:$J$40,MATCH($B$2,'Venture Assumptions'!$I$6:$I$40,0)),Waterfalls!$E$5:$EG$5,0)),0)</f>
        <v>0</v>
      </c>
      <c r="AX193" s="798">
        <f>IFERROR(INDEX(Waterfalls!$E$185:$EG$185,MATCH('Venture Summary - Mthly'!AX5-INDEX('Venture Assumptions'!$J$6:$J$40,MATCH($B$2,'Venture Assumptions'!$I$6:$I$40,0)),Waterfalls!$E$5:$EG$5,0)),0)</f>
        <v>0</v>
      </c>
      <c r="AY193" s="798">
        <f>IFERROR(INDEX(Waterfalls!$E$185:$EG$185,MATCH('Venture Summary - Mthly'!AY5-INDEX('Venture Assumptions'!$J$6:$J$40,MATCH($B$2,'Venture Assumptions'!$I$6:$I$40,0)),Waterfalls!$E$5:$EG$5,0)),0)</f>
        <v>0</v>
      </c>
      <c r="AZ193" s="798">
        <f>IFERROR(INDEX(Waterfalls!$E$185:$EG$185,MATCH('Venture Summary - Mthly'!AZ5-INDEX('Venture Assumptions'!$J$6:$J$40,MATCH($B$2,'Venture Assumptions'!$I$6:$I$40,0)),Waterfalls!$E$5:$EG$5,0)),0)</f>
        <v>0</v>
      </c>
      <c r="BA193" s="798">
        <f>IFERROR(INDEX(Waterfalls!$E$185:$EG$185,MATCH('Venture Summary - Mthly'!BA5-INDEX('Venture Assumptions'!$J$6:$J$40,MATCH($B$2,'Venture Assumptions'!$I$6:$I$40,0)),Waterfalls!$E$5:$EG$5,0)),0)</f>
        <v>0</v>
      </c>
      <c r="BB193" s="798">
        <f>IFERROR(INDEX(Waterfalls!$E$185:$EG$185,MATCH('Venture Summary - Mthly'!BB5-INDEX('Venture Assumptions'!$J$6:$J$40,MATCH($B$2,'Venture Assumptions'!$I$6:$I$40,0)),Waterfalls!$E$5:$EG$5,0)),0)</f>
        <v>0</v>
      </c>
      <c r="BC193" s="798">
        <f>IFERROR(INDEX(Waterfalls!$E$185:$EG$185,MATCH('Venture Summary - Mthly'!BC5-INDEX('Venture Assumptions'!$J$6:$J$40,MATCH($B$2,'Venture Assumptions'!$I$6:$I$40,0)),Waterfalls!$E$5:$EG$5,0)),0)</f>
        <v>0</v>
      </c>
      <c r="BD193" s="798">
        <f>IFERROR(INDEX(Waterfalls!$E$185:$EG$185,MATCH('Venture Summary - Mthly'!BD5-INDEX('Venture Assumptions'!$J$6:$J$40,MATCH($B$2,'Venture Assumptions'!$I$6:$I$40,0)),Waterfalls!$E$5:$EG$5,0)),0)</f>
        <v>0</v>
      </c>
      <c r="BE193" s="798">
        <f>IFERROR(INDEX(Waterfalls!$E$185:$EG$185,MATCH('Venture Summary - Mthly'!BE5-INDEX('Venture Assumptions'!$J$6:$J$40,MATCH($B$2,'Venture Assumptions'!$I$6:$I$40,0)),Waterfalls!$E$5:$EG$5,0)),0)</f>
        <v>0</v>
      </c>
      <c r="BF193" s="798">
        <f>IFERROR(INDEX(Waterfalls!$E$185:$EG$185,MATCH('Venture Summary - Mthly'!BF5-INDEX('Venture Assumptions'!$J$6:$J$40,MATCH($B$2,'Venture Assumptions'!$I$6:$I$40,0)),Waterfalls!$E$5:$EG$5,0)),0)</f>
        <v>0</v>
      </c>
      <c r="BG193" s="798">
        <f>IFERROR(INDEX(Waterfalls!$E$185:$EG$185,MATCH('Venture Summary - Mthly'!BG5-INDEX('Venture Assumptions'!$J$6:$J$40,MATCH($B$2,'Venture Assumptions'!$I$6:$I$40,0)),Waterfalls!$E$5:$EG$5,0)),0)</f>
        <v>0</v>
      </c>
      <c r="BH193" s="798">
        <f>IFERROR(INDEX(Waterfalls!$E$185:$EG$185,MATCH('Venture Summary - Mthly'!BH5-INDEX('Venture Assumptions'!$J$6:$J$40,MATCH($B$2,'Venture Assumptions'!$I$6:$I$40,0)),Waterfalls!$E$5:$EG$5,0)),0)</f>
        <v>0</v>
      </c>
      <c r="BI193" s="798">
        <f>IFERROR(INDEX(Waterfalls!$E$185:$EG$185,MATCH('Venture Summary - Mthly'!BI5-INDEX('Venture Assumptions'!$J$6:$J$40,MATCH($B$2,'Venture Assumptions'!$I$6:$I$40,0)),Waterfalls!$E$5:$EG$5,0)),0)</f>
        <v>0</v>
      </c>
      <c r="BJ193" s="798">
        <f>IFERROR(INDEX(Waterfalls!$E$185:$EG$185,MATCH('Venture Summary - Mthly'!BJ5-INDEX('Venture Assumptions'!$J$6:$J$40,MATCH($B$2,'Venture Assumptions'!$I$6:$I$40,0)),Waterfalls!$E$5:$EG$5,0)),0)</f>
        <v>0</v>
      </c>
      <c r="BK193" s="798">
        <f>IFERROR(INDEX(Waterfalls!$E$185:$EG$185,MATCH('Venture Summary - Mthly'!BK5-INDEX('Venture Assumptions'!$J$6:$J$40,MATCH($B$2,'Venture Assumptions'!$I$6:$I$40,0)),Waterfalls!$E$5:$EG$5,0)),0)</f>
        <v>0</v>
      </c>
      <c r="BL193" s="798">
        <f>IFERROR(INDEX(Waterfalls!$E$185:$EG$185,MATCH('Venture Summary - Mthly'!BL5-INDEX('Venture Assumptions'!$J$6:$J$40,MATCH($B$2,'Venture Assumptions'!$I$6:$I$40,0)),Waterfalls!$E$5:$EG$5,0)),0)</f>
        <v>0</v>
      </c>
      <c r="BM193" s="798">
        <f>IFERROR(INDEX(Waterfalls!$E$185:$EG$185,MATCH('Venture Summary - Mthly'!BM5-INDEX('Venture Assumptions'!$J$6:$J$40,MATCH($B$2,'Venture Assumptions'!$I$6:$I$40,0)),Waterfalls!$E$5:$EG$5,0)),0)</f>
        <v>0</v>
      </c>
      <c r="BN193" s="798">
        <f>IFERROR(INDEX(Waterfalls!$E$185:$EG$185,MATCH('Venture Summary - Mthly'!BN5-INDEX('Venture Assumptions'!$J$6:$J$40,MATCH($B$2,'Venture Assumptions'!$I$6:$I$40,0)),Waterfalls!$E$5:$EG$5,0)),0)</f>
        <v>0</v>
      </c>
      <c r="BO193" s="798">
        <f>IFERROR(INDEX(Waterfalls!$E$185:$EG$185,MATCH('Venture Summary - Mthly'!BO5-INDEX('Venture Assumptions'!$J$6:$J$40,MATCH($B$2,'Venture Assumptions'!$I$6:$I$40,0)),Waterfalls!$E$5:$EG$5,0)),0)</f>
        <v>0</v>
      </c>
      <c r="BP193" s="798">
        <f>IFERROR(INDEX(Waterfalls!$E$185:$EG$185,MATCH('Venture Summary - Mthly'!BP5-INDEX('Venture Assumptions'!$J$6:$J$40,MATCH($B$2,'Venture Assumptions'!$I$6:$I$40,0)),Waterfalls!$E$5:$EG$5,0)),0)</f>
        <v>0</v>
      </c>
      <c r="BQ193" s="798">
        <f>IFERROR(INDEX(Waterfalls!$E$185:$EG$185,MATCH('Venture Summary - Mthly'!BQ5-INDEX('Venture Assumptions'!$J$6:$J$40,MATCH($B$2,'Venture Assumptions'!$I$6:$I$40,0)),Waterfalls!$E$5:$EG$5,0)),0)</f>
        <v>0</v>
      </c>
      <c r="BR193" s="798">
        <f>IFERROR(INDEX(Waterfalls!$E$185:$EG$185,MATCH('Venture Summary - Mthly'!BR5-INDEX('Venture Assumptions'!$J$6:$J$40,MATCH($B$2,'Venture Assumptions'!$I$6:$I$40,0)),Waterfalls!$E$5:$EG$5,0)),0)</f>
        <v>0</v>
      </c>
      <c r="BS193" s="798">
        <f>IFERROR(INDEX(Waterfalls!$E$185:$EG$185,MATCH('Venture Summary - Mthly'!BS5-INDEX('Venture Assumptions'!$J$6:$J$40,MATCH($B$2,'Venture Assumptions'!$I$6:$I$40,0)),Waterfalls!$E$5:$EG$5,0)),0)</f>
        <v>0</v>
      </c>
      <c r="BT193" s="798">
        <f>IFERROR(INDEX(Waterfalls!$E$185:$EG$185,MATCH('Venture Summary - Mthly'!BT5-INDEX('Venture Assumptions'!$J$6:$J$40,MATCH($B$2,'Venture Assumptions'!$I$6:$I$40,0)),Waterfalls!$E$5:$EG$5,0)),0)</f>
        <v>0</v>
      </c>
      <c r="BU193" s="798">
        <f>IFERROR(INDEX(Waterfalls!$E$185:$EG$185,MATCH('Venture Summary - Mthly'!BU5-INDEX('Venture Assumptions'!$J$6:$J$40,MATCH($B$2,'Venture Assumptions'!$I$6:$I$40,0)),Waterfalls!$E$5:$EG$5,0)),0)</f>
        <v>0</v>
      </c>
      <c r="BV193" s="798">
        <f>IFERROR(INDEX(Waterfalls!$E$185:$EG$185,MATCH('Venture Summary - Mthly'!BV5-INDEX('Venture Assumptions'!$J$6:$J$40,MATCH($B$2,'Venture Assumptions'!$I$6:$I$40,0)),Waterfalls!$E$5:$EG$5,0)),0)</f>
        <v>0</v>
      </c>
      <c r="BW193" s="798">
        <f>IFERROR(INDEX(Waterfalls!$E$185:$EG$185,MATCH('Venture Summary - Mthly'!BW5-INDEX('Venture Assumptions'!$J$6:$J$40,MATCH($B$2,'Venture Assumptions'!$I$6:$I$40,0)),Waterfalls!$E$5:$EG$5,0)),0)</f>
        <v>0</v>
      </c>
      <c r="BX193" s="798">
        <f>IFERROR(INDEX(Waterfalls!$E$185:$EG$185,MATCH('Venture Summary - Mthly'!BX5-INDEX('Venture Assumptions'!$J$6:$J$40,MATCH($B$2,'Venture Assumptions'!$I$6:$I$40,0)),Waterfalls!$E$5:$EG$5,0)),0)</f>
        <v>0</v>
      </c>
      <c r="BY193" s="798">
        <f>IFERROR(INDEX(Waterfalls!$E$185:$EG$185,MATCH('Venture Summary - Mthly'!BY5-INDEX('Venture Assumptions'!$J$6:$J$40,MATCH($B$2,'Venture Assumptions'!$I$6:$I$40,0)),Waterfalls!$E$5:$EG$5,0)),0)</f>
        <v>0</v>
      </c>
      <c r="BZ193" s="798">
        <f>IFERROR(INDEX(Waterfalls!$E$185:$EG$185,MATCH('Venture Summary - Mthly'!BZ5-INDEX('Venture Assumptions'!$J$6:$J$40,MATCH($B$2,'Venture Assumptions'!$I$6:$I$40,0)),Waterfalls!$E$5:$EG$5,0)),0)</f>
        <v>0</v>
      </c>
      <c r="CA193" s="798">
        <f>IFERROR(INDEX(Waterfalls!$E$185:$EG$185,MATCH('Venture Summary - Mthly'!CA5-INDEX('Venture Assumptions'!$J$6:$J$40,MATCH($B$2,'Venture Assumptions'!$I$6:$I$40,0)),Waterfalls!$E$5:$EG$5,0)),0)</f>
        <v>0</v>
      </c>
      <c r="CB193" s="798">
        <f>IFERROR(INDEX(Waterfalls!$E$185:$EG$185,MATCH('Venture Summary - Mthly'!CB5-INDEX('Venture Assumptions'!$J$6:$J$40,MATCH($B$2,'Venture Assumptions'!$I$6:$I$40,0)),Waterfalls!$E$5:$EG$5,0)),0)</f>
        <v>0</v>
      </c>
      <c r="CC193" s="798">
        <f>IFERROR(INDEX(Waterfalls!$E$185:$EG$185,MATCH('Venture Summary - Mthly'!CC5-INDEX('Venture Assumptions'!$J$6:$J$40,MATCH($B$2,'Venture Assumptions'!$I$6:$I$40,0)),Waterfalls!$E$5:$EG$5,0)),0)</f>
        <v>0</v>
      </c>
      <c r="CD193" s="798">
        <f>IFERROR(INDEX(Waterfalls!$E$185:$EG$185,MATCH('Venture Summary - Mthly'!CD5-INDEX('Venture Assumptions'!$J$6:$J$40,MATCH($B$2,'Venture Assumptions'!$I$6:$I$40,0)),Waterfalls!$E$5:$EG$5,0)),0)</f>
        <v>0</v>
      </c>
      <c r="CE193" s="798">
        <f>IFERROR(INDEX(Waterfalls!$E$185:$EG$185,MATCH('Venture Summary - Mthly'!CE5-INDEX('Venture Assumptions'!$J$6:$J$40,MATCH($B$2,'Venture Assumptions'!$I$6:$I$40,0)),Waterfalls!$E$5:$EG$5,0)),0)</f>
        <v>0</v>
      </c>
      <c r="CF193" s="798">
        <f>IFERROR(INDEX(Waterfalls!$E$185:$EG$185,MATCH('Venture Summary - Mthly'!CF5-INDEX('Venture Assumptions'!$J$6:$J$40,MATCH($B$2,'Venture Assumptions'!$I$6:$I$40,0)),Waterfalls!$E$5:$EG$5,0)),0)</f>
        <v>0</v>
      </c>
      <c r="CG193" s="798">
        <f>IFERROR(INDEX(Waterfalls!$E$185:$EG$185,MATCH('Venture Summary - Mthly'!CG5-INDEX('Venture Assumptions'!$J$6:$J$40,MATCH($B$2,'Venture Assumptions'!$I$6:$I$40,0)),Waterfalls!$E$5:$EG$5,0)),0)</f>
        <v>0</v>
      </c>
      <c r="CH193" s="798">
        <f>IFERROR(INDEX(Waterfalls!$E$185:$EG$185,MATCH('Venture Summary - Mthly'!CH5-INDEX('Venture Assumptions'!$J$6:$J$40,MATCH($B$2,'Venture Assumptions'!$I$6:$I$40,0)),Waterfalls!$E$5:$EG$5,0)),0)</f>
        <v>0</v>
      </c>
      <c r="CI193" s="798">
        <f>IFERROR(INDEX(Waterfalls!$E$185:$EG$185,MATCH('Venture Summary - Mthly'!CI5-INDEX('Venture Assumptions'!$J$6:$J$40,MATCH($B$2,'Venture Assumptions'!$I$6:$I$40,0)),Waterfalls!$E$5:$EG$5,0)),0)</f>
        <v>0</v>
      </c>
      <c r="CJ193" s="798">
        <f>IFERROR(INDEX(Waterfalls!$E$185:$EG$185,MATCH('Venture Summary - Mthly'!CJ5-INDEX('Venture Assumptions'!$J$6:$J$40,MATCH($B$2,'Venture Assumptions'!$I$6:$I$40,0)),Waterfalls!$E$5:$EG$5,0)),0)</f>
        <v>0</v>
      </c>
      <c r="CK193" s="798">
        <f>IFERROR(INDEX(Waterfalls!$E$185:$EG$185,MATCH('Venture Summary - Mthly'!CK5-INDEX('Venture Assumptions'!$J$6:$J$40,MATCH($B$2,'Venture Assumptions'!$I$6:$I$40,0)),Waterfalls!$E$5:$EG$5,0)),0)</f>
        <v>0</v>
      </c>
      <c r="CL193" s="798">
        <f>IFERROR(INDEX(Waterfalls!$E$185:$EG$185,MATCH('Venture Summary - Mthly'!CL5-INDEX('Venture Assumptions'!$J$6:$J$40,MATCH($B$2,'Venture Assumptions'!$I$6:$I$40,0)),Waterfalls!$E$5:$EG$5,0)),0)</f>
        <v>0</v>
      </c>
      <c r="CM193" s="798">
        <f>IFERROR(INDEX(Waterfalls!$E$185:$EG$185,MATCH('Venture Summary - Mthly'!CM5-INDEX('Venture Assumptions'!$J$6:$J$40,MATCH($B$2,'Venture Assumptions'!$I$6:$I$40,0)),Waterfalls!$E$5:$EG$5,0)),0)</f>
        <v>0</v>
      </c>
      <c r="CN193" s="798">
        <f>IFERROR(INDEX(Waterfalls!$E$185:$EG$185,MATCH('Venture Summary - Mthly'!CN5-INDEX('Venture Assumptions'!$J$6:$J$40,MATCH($B$2,'Venture Assumptions'!$I$6:$I$40,0)),Waterfalls!$E$5:$EG$5,0)),0)</f>
        <v>0</v>
      </c>
      <c r="CO193" s="798">
        <f>IFERROR(INDEX(Waterfalls!$E$185:$EG$185,MATCH('Venture Summary - Mthly'!CO5-INDEX('Venture Assumptions'!$J$6:$J$40,MATCH($B$2,'Venture Assumptions'!$I$6:$I$40,0)),Waterfalls!$E$5:$EG$5,0)),0)</f>
        <v>0</v>
      </c>
      <c r="CP193" s="798">
        <f>IFERROR(INDEX(Waterfalls!$E$185:$EG$185,MATCH('Venture Summary - Mthly'!CP5-INDEX('Venture Assumptions'!$J$6:$J$40,MATCH($B$2,'Venture Assumptions'!$I$6:$I$40,0)),Waterfalls!$E$5:$EG$5,0)),0)</f>
        <v>0</v>
      </c>
      <c r="CQ193" s="798">
        <f>IFERROR(INDEX(Waterfalls!$E$185:$EG$185,MATCH('Venture Summary - Mthly'!CQ5-INDEX('Venture Assumptions'!$J$6:$J$40,MATCH($B$2,'Venture Assumptions'!$I$6:$I$40,0)),Waterfalls!$E$5:$EG$5,0)),0)</f>
        <v>0</v>
      </c>
      <c r="CR193" s="798">
        <f>IFERROR(INDEX(Waterfalls!$E$185:$EG$185,MATCH('Venture Summary - Mthly'!CR5-INDEX('Venture Assumptions'!$J$6:$J$40,MATCH($B$2,'Venture Assumptions'!$I$6:$I$40,0)),Waterfalls!$E$5:$EG$5,0)),0)</f>
        <v>0</v>
      </c>
      <c r="CS193" s="798">
        <f>IFERROR(INDEX(Waterfalls!$E$185:$EG$185,MATCH('Venture Summary - Mthly'!CS5-INDEX('Venture Assumptions'!$J$6:$J$40,MATCH($B$2,'Venture Assumptions'!$I$6:$I$40,0)),Waterfalls!$E$5:$EG$5,0)),0)</f>
        <v>0</v>
      </c>
      <c r="CT193" s="798">
        <f>IFERROR(INDEX(Waterfalls!$E$185:$EG$185,MATCH('Venture Summary - Mthly'!CT5-INDEX('Venture Assumptions'!$J$6:$J$40,MATCH($B$2,'Venture Assumptions'!$I$6:$I$40,0)),Waterfalls!$E$5:$EG$5,0)),0)</f>
        <v>0</v>
      </c>
      <c r="CU193" s="798">
        <f>IFERROR(INDEX(Waterfalls!$E$185:$EG$185,MATCH('Venture Summary - Mthly'!CU5-INDEX('Venture Assumptions'!$J$6:$J$40,MATCH($B$2,'Venture Assumptions'!$I$6:$I$40,0)),Waterfalls!$E$5:$EG$5,0)),0)</f>
        <v>0</v>
      </c>
      <c r="CV193" s="798">
        <f>IFERROR(INDEX(Waterfalls!$E$185:$EG$185,MATCH('Venture Summary - Mthly'!CV5-INDEX('Venture Assumptions'!$J$6:$J$40,MATCH($B$2,'Venture Assumptions'!$I$6:$I$40,0)),Waterfalls!$E$5:$EG$5,0)),0)</f>
        <v>0</v>
      </c>
      <c r="CW193" s="798">
        <f>IFERROR(INDEX(Waterfalls!$E$185:$EG$185,MATCH('Venture Summary - Mthly'!CW5-INDEX('Venture Assumptions'!$J$6:$J$40,MATCH($B$2,'Venture Assumptions'!$I$6:$I$40,0)),Waterfalls!$E$5:$EG$5,0)),0)</f>
        <v>0</v>
      </c>
      <c r="CX193" s="798">
        <f>IFERROR(INDEX(Waterfalls!$E$185:$EG$185,MATCH('Venture Summary - Mthly'!CX5-INDEX('Venture Assumptions'!$J$6:$J$40,MATCH($B$2,'Venture Assumptions'!$I$6:$I$40,0)),Waterfalls!$E$5:$EG$5,0)),0)</f>
        <v>0</v>
      </c>
      <c r="CY193" s="798">
        <f>IFERROR(INDEX(Waterfalls!$E$185:$EG$185,MATCH('Venture Summary - Mthly'!CY5-INDEX('Venture Assumptions'!$J$6:$J$40,MATCH($B$2,'Venture Assumptions'!$I$6:$I$40,0)),Waterfalls!$E$5:$EG$5,0)),0)</f>
        <v>0</v>
      </c>
      <c r="CZ193" s="798">
        <f>IFERROR(INDEX(Waterfalls!$E$185:$EG$185,MATCH('Venture Summary - Mthly'!CZ5-INDEX('Venture Assumptions'!$J$6:$J$40,MATCH($B$2,'Venture Assumptions'!$I$6:$I$40,0)),Waterfalls!$E$5:$EG$5,0)),0)</f>
        <v>0</v>
      </c>
      <c r="DA193" s="798">
        <f>IFERROR(INDEX(Waterfalls!$E$185:$EG$185,MATCH('Venture Summary - Mthly'!DA5-INDEX('Venture Assumptions'!$J$6:$J$40,MATCH($B$2,'Venture Assumptions'!$I$6:$I$40,0)),Waterfalls!$E$5:$EG$5,0)),0)</f>
        <v>0</v>
      </c>
      <c r="DB193" s="798">
        <f>IFERROR(INDEX(Waterfalls!$E$185:$EG$185,MATCH('Venture Summary - Mthly'!DB5-INDEX('Venture Assumptions'!$J$6:$J$40,MATCH($B$2,'Venture Assumptions'!$I$6:$I$40,0)),Waterfalls!$E$5:$EG$5,0)),0)</f>
        <v>0</v>
      </c>
      <c r="DC193" s="798">
        <f>IFERROR(INDEX(Waterfalls!$E$185:$EG$185,MATCH('Venture Summary - Mthly'!DC5-INDEX('Venture Assumptions'!$J$6:$J$40,MATCH($B$2,'Venture Assumptions'!$I$6:$I$40,0)),Waterfalls!$E$5:$EG$5,0)),0)</f>
        <v>0</v>
      </c>
      <c r="DD193" s="798">
        <f>IFERROR(INDEX(Waterfalls!$E$185:$EG$185,MATCH('Venture Summary - Mthly'!DD5-INDEX('Venture Assumptions'!$J$6:$J$40,MATCH($B$2,'Venture Assumptions'!$I$6:$I$40,0)),Waterfalls!$E$5:$EG$5,0)),0)</f>
        <v>0</v>
      </c>
      <c r="DE193" s="798">
        <f>IFERROR(INDEX(Waterfalls!$E$185:$EG$185,MATCH('Venture Summary - Mthly'!DE5-INDEX('Venture Assumptions'!$J$6:$J$40,MATCH($B$2,'Venture Assumptions'!$I$6:$I$40,0)),Waterfalls!$E$5:$EG$5,0)),0)</f>
        <v>0</v>
      </c>
      <c r="DF193" s="798">
        <f>IFERROR(INDEX(Waterfalls!$E$185:$EG$185,MATCH('Venture Summary - Mthly'!DF5-INDEX('Venture Assumptions'!$J$6:$J$40,MATCH($B$2,'Venture Assumptions'!$I$6:$I$40,0)),Waterfalls!$E$5:$EG$5,0)),0)</f>
        <v>0</v>
      </c>
      <c r="DG193" s="798">
        <f>IFERROR(INDEX(Waterfalls!$E$185:$EG$185,MATCH('Venture Summary - Mthly'!DG5-INDEX('Venture Assumptions'!$J$6:$J$40,MATCH($B$2,'Venture Assumptions'!$I$6:$I$40,0)),Waterfalls!$E$5:$EG$5,0)),0)</f>
        <v>0</v>
      </c>
      <c r="DH193" s="798">
        <f>IFERROR(INDEX(Waterfalls!$E$185:$EG$185,MATCH('Venture Summary - Mthly'!DH5-INDEX('Venture Assumptions'!$J$6:$J$40,MATCH($B$2,'Venture Assumptions'!$I$6:$I$40,0)),Waterfalls!$E$5:$EG$5,0)),0)</f>
        <v>0</v>
      </c>
      <c r="DI193" s="798">
        <f>IFERROR(INDEX(Waterfalls!$E$185:$EG$185,MATCH('Venture Summary - Mthly'!DI5-INDEX('Venture Assumptions'!$J$6:$J$40,MATCH($B$2,'Venture Assumptions'!$I$6:$I$40,0)),Waterfalls!$E$5:$EG$5,0)),0)</f>
        <v>0</v>
      </c>
      <c r="DJ193" s="798">
        <f>IFERROR(INDEX(Waterfalls!$E$185:$EG$185,MATCH('Venture Summary - Mthly'!DJ5-INDEX('Venture Assumptions'!$J$6:$J$40,MATCH($B$2,'Venture Assumptions'!$I$6:$I$40,0)),Waterfalls!$E$5:$EG$5,0)),0)</f>
        <v>0</v>
      </c>
      <c r="DK193" s="798">
        <f>IFERROR(INDEX(Waterfalls!$E$185:$EG$185,MATCH('Venture Summary - Mthly'!DK5-INDEX('Venture Assumptions'!$J$6:$J$40,MATCH($B$2,'Venture Assumptions'!$I$6:$I$40,0)),Waterfalls!$E$5:$EG$5,0)),0)</f>
        <v>0</v>
      </c>
      <c r="DL193" s="798">
        <f>IFERROR(INDEX(Waterfalls!$E$185:$EG$185,MATCH('Venture Summary - Mthly'!DL5-INDEX('Venture Assumptions'!$J$6:$J$40,MATCH($B$2,'Venture Assumptions'!$I$6:$I$40,0)),Waterfalls!$E$5:$EG$5,0)),0)</f>
        <v>0</v>
      </c>
      <c r="DM193" s="798">
        <f>IFERROR(INDEX(Waterfalls!$E$185:$EG$185,MATCH('Venture Summary - Mthly'!DM5-INDEX('Venture Assumptions'!$J$6:$J$40,MATCH($B$2,'Venture Assumptions'!$I$6:$I$40,0)),Waterfalls!$E$5:$EG$5,0)),0)</f>
        <v>0</v>
      </c>
      <c r="DN193" s="798">
        <f>IFERROR(INDEX(Waterfalls!$E$185:$EG$185,MATCH('Venture Summary - Mthly'!DN5-INDEX('Venture Assumptions'!$J$6:$J$40,MATCH($B$2,'Venture Assumptions'!$I$6:$I$40,0)),Waterfalls!$E$5:$EG$5,0)),0)</f>
        <v>0</v>
      </c>
      <c r="DO193" s="798">
        <f>IFERROR(INDEX(Waterfalls!$E$185:$EG$185,MATCH('Venture Summary - Mthly'!DO5-INDEX('Venture Assumptions'!$J$6:$J$40,MATCH($B$2,'Venture Assumptions'!$I$6:$I$40,0)),Waterfalls!$E$5:$EG$5,0)),0)</f>
        <v>0</v>
      </c>
      <c r="DP193" s="798">
        <f>IFERROR(INDEX(Waterfalls!$E$185:$EG$185,MATCH('Venture Summary - Mthly'!DP5-INDEX('Venture Assumptions'!$J$6:$J$40,MATCH($B$2,'Venture Assumptions'!$I$6:$I$40,0)),Waterfalls!$E$5:$EG$5,0)),0)</f>
        <v>0</v>
      </c>
      <c r="DQ193" s="798">
        <f>IFERROR(INDEX(Waterfalls!$E$185:$EG$185,MATCH('Venture Summary - Mthly'!DQ5-INDEX('Venture Assumptions'!$J$6:$J$40,MATCH($B$2,'Venture Assumptions'!$I$6:$I$40,0)),Waterfalls!$E$5:$EG$5,0)),0)</f>
        <v>0</v>
      </c>
      <c r="DR193" s="798">
        <f>IFERROR(INDEX(Waterfalls!$E$185:$EG$185,MATCH('Venture Summary - Mthly'!DR5-INDEX('Venture Assumptions'!$J$6:$J$40,MATCH($B$2,'Venture Assumptions'!$I$6:$I$40,0)),Waterfalls!$E$5:$EG$5,0)),0)</f>
        <v>0</v>
      </c>
      <c r="DS193" s="798">
        <f>IFERROR(INDEX(Waterfalls!$E$185:$EG$185,MATCH('Venture Summary - Mthly'!DS5-INDEX('Venture Assumptions'!$J$6:$J$40,MATCH($B$2,'Venture Assumptions'!$I$6:$I$40,0)),Waterfalls!$E$5:$EG$5,0)),0)</f>
        <v>0</v>
      </c>
      <c r="DT193" s="798">
        <f>IFERROR(INDEX(Waterfalls!$E$185:$EG$185,MATCH('Venture Summary - Mthly'!DT5-INDEX('Venture Assumptions'!$J$6:$J$40,MATCH($B$2,'Venture Assumptions'!$I$6:$I$40,0)),Waterfalls!$E$5:$EG$5,0)),0)</f>
        <v>0</v>
      </c>
      <c r="DU193" s="798">
        <f>IFERROR(INDEX(Waterfalls!$E$185:$EG$185,MATCH('Venture Summary - Mthly'!DU5-INDEX('Venture Assumptions'!$J$6:$J$40,MATCH($B$2,'Venture Assumptions'!$I$6:$I$40,0)),Waterfalls!$E$5:$EG$5,0)),0)</f>
        <v>0</v>
      </c>
      <c r="DV193" s="798">
        <f>IFERROR(INDEX(Waterfalls!$E$185:$EG$185,MATCH('Venture Summary - Mthly'!DV5-INDEX('Venture Assumptions'!$J$6:$J$40,MATCH($B$2,'Venture Assumptions'!$I$6:$I$40,0)),Waterfalls!$E$5:$EG$5,0)),0)</f>
        <v>0</v>
      </c>
      <c r="DW193" s="798">
        <f>IFERROR(INDEX(Waterfalls!$E$185:$EG$185,MATCH('Venture Summary - Mthly'!DW5-INDEX('Venture Assumptions'!$J$6:$J$40,MATCH($B$2,'Venture Assumptions'!$I$6:$I$40,0)),Waterfalls!$E$5:$EG$5,0)),0)</f>
        <v>0</v>
      </c>
      <c r="DX193" s="798">
        <f>IFERROR(INDEX(Waterfalls!$E$185:$EG$185,MATCH('Venture Summary - Mthly'!DX5-INDEX('Venture Assumptions'!$J$6:$J$40,MATCH($B$2,'Venture Assumptions'!$I$6:$I$40,0)),Waterfalls!$E$5:$EG$5,0)),0)</f>
        <v>0</v>
      </c>
      <c r="DY193" s="798">
        <f>IFERROR(INDEX(Waterfalls!$E$185:$EG$185,MATCH('Venture Summary - Mthly'!DY5-INDEX('Venture Assumptions'!$J$6:$J$40,MATCH($B$2,'Venture Assumptions'!$I$6:$I$40,0)),Waterfalls!$E$5:$EG$5,0)),0)</f>
        <v>0</v>
      </c>
      <c r="DZ193" s="798">
        <f>IFERROR(INDEX(Waterfalls!$E$185:$EG$185,MATCH('Venture Summary - Mthly'!DZ5-INDEX('Venture Assumptions'!$J$6:$J$40,MATCH($B$2,'Venture Assumptions'!$I$6:$I$40,0)),Waterfalls!$E$5:$EG$5,0)),0)</f>
        <v>0</v>
      </c>
      <c r="EA193" s="798">
        <f>IFERROR(INDEX(Waterfalls!$E$185:$EG$185,MATCH('Venture Summary - Mthly'!EA5-INDEX('Venture Assumptions'!$J$6:$J$40,MATCH($B$2,'Venture Assumptions'!$I$6:$I$40,0)),Waterfalls!$E$5:$EG$5,0)),0)</f>
        <v>0</v>
      </c>
      <c r="EB193" s="798">
        <f>IFERROR(INDEX(Waterfalls!$E$185:$EG$185,MATCH('Venture Summary - Mthly'!EB5-INDEX('Venture Assumptions'!$J$6:$J$40,MATCH($B$2,'Venture Assumptions'!$I$6:$I$40,0)),Waterfalls!$E$5:$EG$5,0)),0)</f>
        <v>0</v>
      </c>
      <c r="EC193" s="798">
        <f>IFERROR(INDEX(Waterfalls!$E$185:$EG$185,MATCH('Venture Summary - Mthly'!EC5-INDEX('Venture Assumptions'!$J$6:$J$40,MATCH($B$2,'Venture Assumptions'!$I$6:$I$40,0)),Waterfalls!$E$5:$EG$5,0)),0)</f>
        <v>0</v>
      </c>
      <c r="ED193" s="798">
        <f>IFERROR(INDEX(Waterfalls!$E$185:$EG$185,MATCH('Venture Summary - Mthly'!ED5-INDEX('Venture Assumptions'!$J$6:$J$40,MATCH($B$2,'Venture Assumptions'!$I$6:$I$40,0)),Waterfalls!$E$5:$EG$5,0)),0)</f>
        <v>0</v>
      </c>
      <c r="EE193" s="798">
        <f>IFERROR(INDEX(Waterfalls!$E$185:$EG$185,MATCH('Venture Summary - Mthly'!EE5-INDEX('Venture Assumptions'!$J$6:$J$40,MATCH($B$2,'Venture Assumptions'!$I$6:$I$40,0)),Waterfalls!$E$5:$EG$5,0)),0)</f>
        <v>0</v>
      </c>
      <c r="EF193" s="798">
        <f>IFERROR(INDEX(Waterfalls!$E$185:$EG$185,MATCH('Venture Summary - Mthly'!EF5-INDEX('Venture Assumptions'!$J$6:$J$40,MATCH($B$2,'Venture Assumptions'!$I$6:$I$40,0)),Waterfalls!$E$5:$EG$5,0)),0)</f>
        <v>0</v>
      </c>
      <c r="EG193" s="798">
        <f>IFERROR(INDEX(Waterfalls!$E$185:$EG$185,MATCH('Venture Summary - Mthly'!EG5-INDEX('Venture Assumptions'!$J$6:$J$40,MATCH($B$2,'Venture Assumptions'!$I$6:$I$40,0)),Waterfalls!$E$5:$EG$5,0)),0)</f>
        <v>0</v>
      </c>
      <c r="EH193" s="782"/>
    </row>
    <row r="194" spans="1:138" ht="12.75" customHeight="1" x14ac:dyDescent="0.3">
      <c r="A194" s="782"/>
      <c r="B194" s="782" t="s">
        <v>118</v>
      </c>
      <c r="C194" s="798">
        <f t="shared" si="154"/>
        <v>0</v>
      </c>
      <c r="D194" s="782"/>
      <c r="E194" s="798">
        <f>E193/'General Inputs'!$H$47</f>
        <v>0</v>
      </c>
      <c r="F194" s="798">
        <f>F193/'General Inputs'!$H$47</f>
        <v>0</v>
      </c>
      <c r="G194" s="798">
        <f>G193/'General Inputs'!$H$47</f>
        <v>0</v>
      </c>
      <c r="H194" s="798">
        <f>H193/'General Inputs'!$H$47</f>
        <v>0</v>
      </c>
      <c r="I194" s="798">
        <f>I193/'General Inputs'!$H$47</f>
        <v>0</v>
      </c>
      <c r="J194" s="798">
        <f>J193/'General Inputs'!$H$47</f>
        <v>0</v>
      </c>
      <c r="K194" s="798">
        <f>K193/'General Inputs'!$H$47</f>
        <v>0</v>
      </c>
      <c r="L194" s="798">
        <f>L193/'General Inputs'!$H$47</f>
        <v>0</v>
      </c>
      <c r="M194" s="798">
        <f>M193/'General Inputs'!$H$47</f>
        <v>0</v>
      </c>
      <c r="N194" s="798">
        <f>N193/'General Inputs'!$H$47</f>
        <v>0</v>
      </c>
      <c r="O194" s="798">
        <f>O193/'General Inputs'!$H$47</f>
        <v>0</v>
      </c>
      <c r="P194" s="798">
        <f>P193/'General Inputs'!$H$47</f>
        <v>0</v>
      </c>
      <c r="Q194" s="798">
        <f>Q193/'General Inputs'!$H$47</f>
        <v>0</v>
      </c>
      <c r="R194" s="798">
        <f>R193/'General Inputs'!$H$47</f>
        <v>0</v>
      </c>
      <c r="S194" s="798">
        <f>S193/'General Inputs'!$H$47</f>
        <v>0</v>
      </c>
      <c r="T194" s="798">
        <f>T193/'General Inputs'!$H$47</f>
        <v>0</v>
      </c>
      <c r="U194" s="798">
        <f>U193/'General Inputs'!$H$47</f>
        <v>0</v>
      </c>
      <c r="V194" s="798">
        <f>V193/'General Inputs'!$H$47</f>
        <v>0</v>
      </c>
      <c r="W194" s="798">
        <f>W193/'General Inputs'!$H$47</f>
        <v>0</v>
      </c>
      <c r="X194" s="798">
        <f>X193/'General Inputs'!$H$47</f>
        <v>0</v>
      </c>
      <c r="Y194" s="798">
        <f>Y193/'General Inputs'!$H$47</f>
        <v>0</v>
      </c>
      <c r="Z194" s="798">
        <f>Z193/'General Inputs'!$H$47</f>
        <v>0</v>
      </c>
      <c r="AA194" s="798">
        <f>AA193/'General Inputs'!$H$47</f>
        <v>0</v>
      </c>
      <c r="AB194" s="798">
        <f>AB193/'General Inputs'!$H$47</f>
        <v>0</v>
      </c>
      <c r="AC194" s="798">
        <f>AC193/'General Inputs'!$H$47</f>
        <v>0</v>
      </c>
      <c r="AD194" s="798">
        <f>AD193/'General Inputs'!$H$47</f>
        <v>0</v>
      </c>
      <c r="AE194" s="798">
        <f>AE193/'General Inputs'!$H$47</f>
        <v>0</v>
      </c>
      <c r="AF194" s="798">
        <f>AF193/'General Inputs'!$H$47</f>
        <v>0</v>
      </c>
      <c r="AG194" s="798">
        <f>AG193/'General Inputs'!$H$47</f>
        <v>0</v>
      </c>
      <c r="AH194" s="798">
        <f>AH193/'General Inputs'!$H$47</f>
        <v>0</v>
      </c>
      <c r="AI194" s="798">
        <f>AI193/'General Inputs'!$H$47</f>
        <v>0</v>
      </c>
      <c r="AJ194" s="798">
        <f>AJ193/'General Inputs'!$H$47</f>
        <v>0</v>
      </c>
      <c r="AK194" s="798">
        <f>AK193/'General Inputs'!$H$47</f>
        <v>0</v>
      </c>
      <c r="AL194" s="798">
        <f>AL193/'General Inputs'!$H$47</f>
        <v>0</v>
      </c>
      <c r="AM194" s="798">
        <f>AM193/'General Inputs'!$H$47</f>
        <v>0</v>
      </c>
      <c r="AN194" s="798">
        <f>AN193/'General Inputs'!$H$47</f>
        <v>0</v>
      </c>
      <c r="AO194" s="798">
        <f>AO193/'General Inputs'!$H$47</f>
        <v>0</v>
      </c>
      <c r="AP194" s="798">
        <f>AP193/'General Inputs'!$H$47</f>
        <v>0</v>
      </c>
      <c r="AQ194" s="798">
        <f>AQ193/'General Inputs'!$H$47</f>
        <v>0</v>
      </c>
      <c r="AR194" s="798">
        <f>AR193/'General Inputs'!$H$47</f>
        <v>0</v>
      </c>
      <c r="AS194" s="798">
        <f>AS193/'General Inputs'!$H$47</f>
        <v>0</v>
      </c>
      <c r="AT194" s="798">
        <f>AT193/'General Inputs'!$H$47</f>
        <v>0</v>
      </c>
      <c r="AU194" s="798">
        <f>AU193/'General Inputs'!$H$47</f>
        <v>0</v>
      </c>
      <c r="AV194" s="798">
        <f>AV193/'General Inputs'!$H$47</f>
        <v>0</v>
      </c>
      <c r="AW194" s="798">
        <f>AW193/'General Inputs'!$H$47</f>
        <v>0</v>
      </c>
      <c r="AX194" s="798">
        <f>AX193/'General Inputs'!$H$47</f>
        <v>0</v>
      </c>
      <c r="AY194" s="798">
        <f>AY193/'General Inputs'!$H$47</f>
        <v>0</v>
      </c>
      <c r="AZ194" s="798">
        <f>AZ193/'General Inputs'!$H$47</f>
        <v>0</v>
      </c>
      <c r="BA194" s="798">
        <f>BA193/'General Inputs'!$H$47</f>
        <v>0</v>
      </c>
      <c r="BB194" s="798">
        <f>BB193/'General Inputs'!$H$47</f>
        <v>0</v>
      </c>
      <c r="BC194" s="798">
        <f>BC193/'General Inputs'!$H$47</f>
        <v>0</v>
      </c>
      <c r="BD194" s="798">
        <f>BD193/'General Inputs'!$H$47</f>
        <v>0</v>
      </c>
      <c r="BE194" s="798">
        <f>BE193/'General Inputs'!$H$47</f>
        <v>0</v>
      </c>
      <c r="BF194" s="798">
        <f>BF193/'General Inputs'!$H$47</f>
        <v>0</v>
      </c>
      <c r="BG194" s="798">
        <f>BG193/'General Inputs'!$H$47</f>
        <v>0</v>
      </c>
      <c r="BH194" s="798">
        <f>BH193/'General Inputs'!$H$47</f>
        <v>0</v>
      </c>
      <c r="BI194" s="798">
        <f>BI193/'General Inputs'!$H$47</f>
        <v>0</v>
      </c>
      <c r="BJ194" s="798">
        <f>BJ193/'General Inputs'!$H$47</f>
        <v>0</v>
      </c>
      <c r="BK194" s="798">
        <f>BK193/'General Inputs'!$H$47</f>
        <v>0</v>
      </c>
      <c r="BL194" s="798">
        <f>BL193/'General Inputs'!$H$47</f>
        <v>0</v>
      </c>
      <c r="BM194" s="798">
        <f>BM193/'General Inputs'!$H$47</f>
        <v>0</v>
      </c>
      <c r="BN194" s="798">
        <f>BN193/'General Inputs'!$H$47</f>
        <v>0</v>
      </c>
      <c r="BO194" s="798">
        <f>BO193/'General Inputs'!$H$47</f>
        <v>0</v>
      </c>
      <c r="BP194" s="798">
        <f>BP193/'General Inputs'!$H$47</f>
        <v>0</v>
      </c>
      <c r="BQ194" s="798">
        <f>BQ193/'General Inputs'!$H$47</f>
        <v>0</v>
      </c>
      <c r="BR194" s="798">
        <f>BR193/'General Inputs'!$H$47</f>
        <v>0</v>
      </c>
      <c r="BS194" s="798">
        <f>BS193/'General Inputs'!$H$47</f>
        <v>0</v>
      </c>
      <c r="BT194" s="798">
        <f>BT193/'General Inputs'!$H$47</f>
        <v>0</v>
      </c>
      <c r="BU194" s="798">
        <f>BU193/'General Inputs'!$H$47</f>
        <v>0</v>
      </c>
      <c r="BV194" s="798">
        <f>BV193/'General Inputs'!$H$47</f>
        <v>0</v>
      </c>
      <c r="BW194" s="798">
        <f>BW193/'General Inputs'!$H$47</f>
        <v>0</v>
      </c>
      <c r="BX194" s="798">
        <f>BX193/'General Inputs'!$H$47</f>
        <v>0</v>
      </c>
      <c r="BY194" s="798">
        <f>BY193/'General Inputs'!$H$47</f>
        <v>0</v>
      </c>
      <c r="BZ194" s="798">
        <f>BZ193/'General Inputs'!$H$47</f>
        <v>0</v>
      </c>
      <c r="CA194" s="798">
        <f>CA193/'General Inputs'!$H$47</f>
        <v>0</v>
      </c>
      <c r="CB194" s="798">
        <f>CB193/'General Inputs'!$H$47</f>
        <v>0</v>
      </c>
      <c r="CC194" s="798">
        <f>CC193/'General Inputs'!$H$47</f>
        <v>0</v>
      </c>
      <c r="CD194" s="798">
        <f>CD193/'General Inputs'!$H$47</f>
        <v>0</v>
      </c>
      <c r="CE194" s="798">
        <f>CE193/'General Inputs'!$H$47</f>
        <v>0</v>
      </c>
      <c r="CF194" s="798">
        <f>CF193/'General Inputs'!$H$47</f>
        <v>0</v>
      </c>
      <c r="CG194" s="798">
        <f>CG193/'General Inputs'!$H$47</f>
        <v>0</v>
      </c>
      <c r="CH194" s="798">
        <f>CH193/'General Inputs'!$H$47</f>
        <v>0</v>
      </c>
      <c r="CI194" s="798">
        <f>CI193/'General Inputs'!$H$47</f>
        <v>0</v>
      </c>
      <c r="CJ194" s="798">
        <f>CJ193/'General Inputs'!$H$47</f>
        <v>0</v>
      </c>
      <c r="CK194" s="798">
        <f>CK193/'General Inputs'!$H$47</f>
        <v>0</v>
      </c>
      <c r="CL194" s="798">
        <f>CL193/'General Inputs'!$H$47</f>
        <v>0</v>
      </c>
      <c r="CM194" s="798">
        <f>CM193/'General Inputs'!$H$47</f>
        <v>0</v>
      </c>
      <c r="CN194" s="798">
        <f>CN193/'General Inputs'!$H$47</f>
        <v>0</v>
      </c>
      <c r="CO194" s="798">
        <f>CO193/'General Inputs'!$H$47</f>
        <v>0</v>
      </c>
      <c r="CP194" s="798">
        <f>CP193/'General Inputs'!$H$47</f>
        <v>0</v>
      </c>
      <c r="CQ194" s="798">
        <f>CQ193/'General Inputs'!$H$47</f>
        <v>0</v>
      </c>
      <c r="CR194" s="798">
        <f>CR193/'General Inputs'!$H$47</f>
        <v>0</v>
      </c>
      <c r="CS194" s="798">
        <f>CS193/'General Inputs'!$H$47</f>
        <v>0</v>
      </c>
      <c r="CT194" s="798">
        <f>CT193/'General Inputs'!$H$47</f>
        <v>0</v>
      </c>
      <c r="CU194" s="798">
        <f>CU193/'General Inputs'!$H$47</f>
        <v>0</v>
      </c>
      <c r="CV194" s="798">
        <f>CV193/'General Inputs'!$H$47</f>
        <v>0</v>
      </c>
      <c r="CW194" s="798">
        <f>CW193/'General Inputs'!$H$47</f>
        <v>0</v>
      </c>
      <c r="CX194" s="798">
        <f>CX193/'General Inputs'!$H$47</f>
        <v>0</v>
      </c>
      <c r="CY194" s="798">
        <f>CY193/'General Inputs'!$H$47</f>
        <v>0</v>
      </c>
      <c r="CZ194" s="798">
        <f>CZ193/'General Inputs'!$H$47</f>
        <v>0</v>
      </c>
      <c r="DA194" s="798">
        <f>DA193/'General Inputs'!$H$47</f>
        <v>0</v>
      </c>
      <c r="DB194" s="798">
        <f>DB193/'General Inputs'!$H$47</f>
        <v>0</v>
      </c>
      <c r="DC194" s="798">
        <f>DC193/'General Inputs'!$H$47</f>
        <v>0</v>
      </c>
      <c r="DD194" s="798">
        <f>DD193/'General Inputs'!$H$47</f>
        <v>0</v>
      </c>
      <c r="DE194" s="798">
        <f>DE193/'General Inputs'!$H$47</f>
        <v>0</v>
      </c>
      <c r="DF194" s="798">
        <f>DF193/'General Inputs'!$H$47</f>
        <v>0</v>
      </c>
      <c r="DG194" s="798">
        <f>DG193/'General Inputs'!$H$47</f>
        <v>0</v>
      </c>
      <c r="DH194" s="798">
        <f>DH193/'General Inputs'!$H$47</f>
        <v>0</v>
      </c>
      <c r="DI194" s="798">
        <f>DI193/'General Inputs'!$H$47</f>
        <v>0</v>
      </c>
      <c r="DJ194" s="798">
        <f>DJ193/'General Inputs'!$H$47</f>
        <v>0</v>
      </c>
      <c r="DK194" s="798">
        <f>DK193/'General Inputs'!$H$47</f>
        <v>0</v>
      </c>
      <c r="DL194" s="798">
        <f>DL193/'General Inputs'!$H$47</f>
        <v>0</v>
      </c>
      <c r="DM194" s="798">
        <f>DM193/'General Inputs'!$H$47</f>
        <v>0</v>
      </c>
      <c r="DN194" s="798">
        <f>DN193/'General Inputs'!$H$47</f>
        <v>0</v>
      </c>
      <c r="DO194" s="798">
        <f>DO193/'General Inputs'!$H$47</f>
        <v>0</v>
      </c>
      <c r="DP194" s="798">
        <f>DP193/'General Inputs'!$H$47</f>
        <v>0</v>
      </c>
      <c r="DQ194" s="798">
        <f>DQ193/'General Inputs'!$H$47</f>
        <v>0</v>
      </c>
      <c r="DR194" s="798">
        <f>DR193/'General Inputs'!$H$47</f>
        <v>0</v>
      </c>
      <c r="DS194" s="798">
        <f>DS193/'General Inputs'!$H$47</f>
        <v>0</v>
      </c>
      <c r="DT194" s="798">
        <f>DT193/'General Inputs'!$H$47</f>
        <v>0</v>
      </c>
      <c r="DU194" s="798">
        <f>DU193/'General Inputs'!$H$47</f>
        <v>0</v>
      </c>
      <c r="DV194" s="798">
        <f>DV193/'General Inputs'!$H$47</f>
        <v>0</v>
      </c>
      <c r="DW194" s="798">
        <f>DW193/'General Inputs'!$H$47</f>
        <v>0</v>
      </c>
      <c r="DX194" s="798">
        <f>DX193/'General Inputs'!$H$47</f>
        <v>0</v>
      </c>
      <c r="DY194" s="798">
        <f>DY193/'General Inputs'!$H$47</f>
        <v>0</v>
      </c>
      <c r="DZ194" s="798">
        <f>DZ193/'General Inputs'!$H$47</f>
        <v>0</v>
      </c>
      <c r="EA194" s="798">
        <f>EA193/'General Inputs'!$H$47</f>
        <v>0</v>
      </c>
      <c r="EB194" s="798">
        <f>EB193/'General Inputs'!$H$47</f>
        <v>0</v>
      </c>
      <c r="EC194" s="798">
        <f>EC193/'General Inputs'!$H$47</f>
        <v>0</v>
      </c>
      <c r="ED194" s="798">
        <f>ED193/'General Inputs'!$H$47</f>
        <v>0</v>
      </c>
      <c r="EE194" s="798">
        <f>EE193/'General Inputs'!$H$47</f>
        <v>0</v>
      </c>
      <c r="EF194" s="798">
        <f>EF193/'General Inputs'!$H$47</f>
        <v>0</v>
      </c>
      <c r="EG194" s="798">
        <f>EG193/'General Inputs'!$H$47</f>
        <v>0</v>
      </c>
      <c r="EH194" s="782"/>
    </row>
    <row r="195" spans="1:138" ht="12.75" customHeight="1" x14ac:dyDescent="0.3">
      <c r="A195" s="782"/>
      <c r="B195" s="781" t="s">
        <v>119</v>
      </c>
      <c r="C195" s="799">
        <f t="shared" si="154"/>
        <v>0</v>
      </c>
      <c r="D195" s="781"/>
      <c r="E195" s="799">
        <f>IFERROR(INDEX(Waterfalls!$E$192:$EG$192,MATCH('Venture Summary - Mthly'!E5-INDEX('Venture Assumptions'!$J$6:$J$40,MATCH($B$2,'Venture Assumptions'!$I$6:$I$40,0)),Waterfalls!$E$5:$EG$5,0)),0)</f>
        <v>0</v>
      </c>
      <c r="F195" s="799">
        <f>IFERROR(INDEX(Waterfalls!$E$192:$EG$192,MATCH('Venture Summary - Mthly'!F5-INDEX('Venture Assumptions'!$J$6:$J$40,MATCH($B$2,'Venture Assumptions'!$I$6:$I$40,0)),Waterfalls!$E$5:$EG$5,0)),0)</f>
        <v>0</v>
      </c>
      <c r="G195" s="799">
        <f>IFERROR(INDEX(Waterfalls!$E$192:$EG$192,MATCH('Venture Summary - Mthly'!G5-INDEX('Venture Assumptions'!$J$6:$J$40,MATCH($B$2,'Venture Assumptions'!$I$6:$I$40,0)),Waterfalls!$E$5:$EG$5,0)),0)</f>
        <v>0</v>
      </c>
      <c r="H195" s="799">
        <f>IFERROR(INDEX(Waterfalls!$E$192:$EG$192,MATCH('Venture Summary - Mthly'!H5-INDEX('Venture Assumptions'!$J$6:$J$40,MATCH($B$2,'Venture Assumptions'!$I$6:$I$40,0)),Waterfalls!$E$5:$EG$5,0)),0)</f>
        <v>0</v>
      </c>
      <c r="I195" s="799">
        <f>IFERROR(INDEX(Waterfalls!$E$192:$EG$192,MATCH('Venture Summary - Mthly'!I5-INDEX('Venture Assumptions'!$J$6:$J$40,MATCH($B$2,'Venture Assumptions'!$I$6:$I$40,0)),Waterfalls!$E$5:$EG$5,0)),0)</f>
        <v>0</v>
      </c>
      <c r="J195" s="799">
        <f>IFERROR(INDEX(Waterfalls!$E$192:$EG$192,MATCH('Venture Summary - Mthly'!J5-INDEX('Venture Assumptions'!$J$6:$J$40,MATCH($B$2,'Venture Assumptions'!$I$6:$I$40,0)),Waterfalls!$E$5:$EG$5,0)),0)</f>
        <v>0</v>
      </c>
      <c r="K195" s="799">
        <f>IFERROR(INDEX(Waterfalls!$E$192:$EG$192,MATCH('Venture Summary - Mthly'!K5-INDEX('Venture Assumptions'!$J$6:$J$40,MATCH($B$2,'Venture Assumptions'!$I$6:$I$40,0)),Waterfalls!$E$5:$EG$5,0)),0)</f>
        <v>0</v>
      </c>
      <c r="L195" s="799">
        <f>IFERROR(INDEX(Waterfalls!$E$192:$EG$192,MATCH('Venture Summary - Mthly'!L5-INDEX('Venture Assumptions'!$J$6:$J$40,MATCH($B$2,'Venture Assumptions'!$I$6:$I$40,0)),Waterfalls!$E$5:$EG$5,0)),0)</f>
        <v>0</v>
      </c>
      <c r="M195" s="799">
        <f>IFERROR(INDEX(Waterfalls!$E$192:$EG$192,MATCH('Venture Summary - Mthly'!M5-INDEX('Venture Assumptions'!$J$6:$J$40,MATCH($B$2,'Venture Assumptions'!$I$6:$I$40,0)),Waterfalls!$E$5:$EG$5,0)),0)</f>
        <v>0</v>
      </c>
      <c r="N195" s="799">
        <f>IFERROR(INDEX(Waterfalls!$E$192:$EG$192,MATCH('Venture Summary - Mthly'!N5-INDEX('Venture Assumptions'!$J$6:$J$40,MATCH($B$2,'Venture Assumptions'!$I$6:$I$40,0)),Waterfalls!$E$5:$EG$5,0)),0)</f>
        <v>0</v>
      </c>
      <c r="O195" s="799">
        <f>IFERROR(INDEX(Waterfalls!$E$192:$EG$192,MATCH('Venture Summary - Mthly'!O5-INDEX('Venture Assumptions'!$J$6:$J$40,MATCH($B$2,'Venture Assumptions'!$I$6:$I$40,0)),Waterfalls!$E$5:$EG$5,0)),0)</f>
        <v>0</v>
      </c>
      <c r="P195" s="799">
        <f>IFERROR(INDEX(Waterfalls!$E$192:$EG$192,MATCH('Venture Summary - Mthly'!P5-INDEX('Venture Assumptions'!$J$6:$J$40,MATCH($B$2,'Venture Assumptions'!$I$6:$I$40,0)),Waterfalls!$E$5:$EG$5,0)),0)</f>
        <v>0</v>
      </c>
      <c r="Q195" s="799">
        <f>IFERROR(INDEX(Waterfalls!$E$192:$EG$192,MATCH('Venture Summary - Mthly'!Q5-INDEX('Venture Assumptions'!$J$6:$J$40,MATCH($B$2,'Venture Assumptions'!$I$6:$I$40,0)),Waterfalls!$E$5:$EG$5,0)),0)</f>
        <v>0</v>
      </c>
      <c r="R195" s="799">
        <f>IFERROR(INDEX(Waterfalls!$E$192:$EG$192,MATCH('Venture Summary - Mthly'!R5-INDEX('Venture Assumptions'!$J$6:$J$40,MATCH($B$2,'Venture Assumptions'!$I$6:$I$40,0)),Waterfalls!$E$5:$EG$5,0)),0)</f>
        <v>0</v>
      </c>
      <c r="S195" s="799">
        <f>IFERROR(INDEX(Waterfalls!$E$192:$EG$192,MATCH('Venture Summary - Mthly'!S5-INDEX('Venture Assumptions'!$J$6:$J$40,MATCH($B$2,'Venture Assumptions'!$I$6:$I$40,0)),Waterfalls!$E$5:$EG$5,0)),0)</f>
        <v>0</v>
      </c>
      <c r="T195" s="799">
        <f>IFERROR(INDEX(Waterfalls!$E$192:$EG$192,MATCH('Venture Summary - Mthly'!T5-INDEX('Venture Assumptions'!$J$6:$J$40,MATCH($B$2,'Venture Assumptions'!$I$6:$I$40,0)),Waterfalls!$E$5:$EG$5,0)),0)</f>
        <v>0</v>
      </c>
      <c r="U195" s="799">
        <f>IFERROR(INDEX(Waterfalls!$E$192:$EG$192,MATCH('Venture Summary - Mthly'!U5-INDEX('Venture Assumptions'!$J$6:$J$40,MATCH($B$2,'Venture Assumptions'!$I$6:$I$40,0)),Waterfalls!$E$5:$EG$5,0)),0)</f>
        <v>0</v>
      </c>
      <c r="V195" s="799">
        <f>IFERROR(INDEX(Waterfalls!$E$192:$EG$192,MATCH('Venture Summary - Mthly'!V5-INDEX('Venture Assumptions'!$J$6:$J$40,MATCH($B$2,'Venture Assumptions'!$I$6:$I$40,0)),Waterfalls!$E$5:$EG$5,0)),0)</f>
        <v>0</v>
      </c>
      <c r="W195" s="799">
        <f>IFERROR(INDEX(Waterfalls!$E$192:$EG$192,MATCH('Venture Summary - Mthly'!W5-INDEX('Venture Assumptions'!$J$6:$J$40,MATCH($B$2,'Venture Assumptions'!$I$6:$I$40,0)),Waterfalls!$E$5:$EG$5,0)),0)</f>
        <v>0</v>
      </c>
      <c r="X195" s="799">
        <f>IFERROR(INDEX(Waterfalls!$E$192:$EG$192,MATCH('Venture Summary - Mthly'!X5-INDEX('Venture Assumptions'!$J$6:$J$40,MATCH($B$2,'Venture Assumptions'!$I$6:$I$40,0)),Waterfalls!$E$5:$EG$5,0)),0)</f>
        <v>0</v>
      </c>
      <c r="Y195" s="799">
        <f>IFERROR(INDEX(Waterfalls!$E$192:$EG$192,MATCH('Venture Summary - Mthly'!Y5-INDEX('Venture Assumptions'!$J$6:$J$40,MATCH($B$2,'Venture Assumptions'!$I$6:$I$40,0)),Waterfalls!$E$5:$EG$5,0)),0)</f>
        <v>0</v>
      </c>
      <c r="Z195" s="799">
        <f>IFERROR(INDEX(Waterfalls!$E$192:$EG$192,MATCH('Venture Summary - Mthly'!Z5-INDEX('Venture Assumptions'!$J$6:$J$40,MATCH($B$2,'Venture Assumptions'!$I$6:$I$40,0)),Waterfalls!$E$5:$EG$5,0)),0)</f>
        <v>0</v>
      </c>
      <c r="AA195" s="799">
        <f>IFERROR(INDEX(Waterfalls!$E$192:$EG$192,MATCH('Venture Summary - Mthly'!AA5-INDEX('Venture Assumptions'!$J$6:$J$40,MATCH($B$2,'Venture Assumptions'!$I$6:$I$40,0)),Waterfalls!$E$5:$EG$5,0)),0)</f>
        <v>0</v>
      </c>
      <c r="AB195" s="799">
        <f>IFERROR(INDEX(Waterfalls!$E$192:$EG$192,MATCH('Venture Summary - Mthly'!AB5-INDEX('Venture Assumptions'!$J$6:$J$40,MATCH($B$2,'Venture Assumptions'!$I$6:$I$40,0)),Waterfalls!$E$5:$EG$5,0)),0)</f>
        <v>0</v>
      </c>
      <c r="AC195" s="799">
        <f>IFERROR(INDEX(Waterfalls!$E$192:$EG$192,MATCH('Venture Summary - Mthly'!AC5-INDEX('Venture Assumptions'!$J$6:$J$40,MATCH($B$2,'Venture Assumptions'!$I$6:$I$40,0)),Waterfalls!$E$5:$EG$5,0)),0)</f>
        <v>0</v>
      </c>
      <c r="AD195" s="799">
        <f>IFERROR(INDEX(Waterfalls!$E$192:$EG$192,MATCH('Venture Summary - Mthly'!AD5-INDEX('Venture Assumptions'!$J$6:$J$40,MATCH($B$2,'Venture Assumptions'!$I$6:$I$40,0)),Waterfalls!$E$5:$EG$5,0)),0)</f>
        <v>0</v>
      </c>
      <c r="AE195" s="799">
        <f>IFERROR(INDEX(Waterfalls!$E$192:$EG$192,MATCH('Venture Summary - Mthly'!AE5-INDEX('Venture Assumptions'!$J$6:$J$40,MATCH($B$2,'Venture Assumptions'!$I$6:$I$40,0)),Waterfalls!$E$5:$EG$5,0)),0)</f>
        <v>0</v>
      </c>
      <c r="AF195" s="799">
        <f>IFERROR(INDEX(Waterfalls!$E$192:$EG$192,MATCH('Venture Summary - Mthly'!AF5-INDEX('Venture Assumptions'!$J$6:$J$40,MATCH($B$2,'Venture Assumptions'!$I$6:$I$40,0)),Waterfalls!$E$5:$EG$5,0)),0)</f>
        <v>0</v>
      </c>
      <c r="AG195" s="799">
        <f>IFERROR(INDEX(Waterfalls!$E$192:$EG$192,MATCH('Venture Summary - Mthly'!AG5-INDEX('Venture Assumptions'!$J$6:$J$40,MATCH($B$2,'Venture Assumptions'!$I$6:$I$40,0)),Waterfalls!$E$5:$EG$5,0)),0)</f>
        <v>0</v>
      </c>
      <c r="AH195" s="799">
        <f>IFERROR(INDEX(Waterfalls!$E$192:$EG$192,MATCH('Venture Summary - Mthly'!AH5-INDEX('Venture Assumptions'!$J$6:$J$40,MATCH($B$2,'Venture Assumptions'!$I$6:$I$40,0)),Waterfalls!$E$5:$EG$5,0)),0)</f>
        <v>0</v>
      </c>
      <c r="AI195" s="799">
        <f>IFERROR(INDEX(Waterfalls!$E$192:$EG$192,MATCH('Venture Summary - Mthly'!AI5-INDEX('Venture Assumptions'!$J$6:$J$40,MATCH($B$2,'Venture Assumptions'!$I$6:$I$40,0)),Waterfalls!$E$5:$EG$5,0)),0)</f>
        <v>0</v>
      </c>
      <c r="AJ195" s="799">
        <f>IFERROR(INDEX(Waterfalls!$E$192:$EG$192,MATCH('Venture Summary - Mthly'!AJ5-INDEX('Venture Assumptions'!$J$6:$J$40,MATCH($B$2,'Venture Assumptions'!$I$6:$I$40,0)),Waterfalls!$E$5:$EG$5,0)),0)</f>
        <v>0</v>
      </c>
      <c r="AK195" s="799">
        <f>IFERROR(INDEX(Waterfalls!$E$192:$EG$192,MATCH('Venture Summary - Mthly'!AK5-INDEX('Venture Assumptions'!$J$6:$J$40,MATCH($B$2,'Venture Assumptions'!$I$6:$I$40,0)),Waterfalls!$E$5:$EG$5,0)),0)</f>
        <v>0</v>
      </c>
      <c r="AL195" s="799">
        <f>IFERROR(INDEX(Waterfalls!$E$192:$EG$192,MATCH('Venture Summary - Mthly'!AL5-INDEX('Venture Assumptions'!$J$6:$J$40,MATCH($B$2,'Venture Assumptions'!$I$6:$I$40,0)),Waterfalls!$E$5:$EG$5,0)),0)</f>
        <v>0</v>
      </c>
      <c r="AM195" s="799">
        <f>IFERROR(INDEX(Waterfalls!$E$192:$EG$192,MATCH('Venture Summary - Mthly'!AM5-INDEX('Venture Assumptions'!$J$6:$J$40,MATCH($B$2,'Venture Assumptions'!$I$6:$I$40,0)),Waterfalls!$E$5:$EG$5,0)),0)</f>
        <v>0</v>
      </c>
      <c r="AN195" s="799">
        <f>IFERROR(INDEX(Waterfalls!$E$192:$EG$192,MATCH('Venture Summary - Mthly'!AN5-INDEX('Venture Assumptions'!$J$6:$J$40,MATCH($B$2,'Venture Assumptions'!$I$6:$I$40,0)),Waterfalls!$E$5:$EG$5,0)),0)</f>
        <v>0</v>
      </c>
      <c r="AO195" s="799">
        <f>IFERROR(INDEX(Waterfalls!$E$192:$EG$192,MATCH('Venture Summary - Mthly'!AO5-INDEX('Venture Assumptions'!$J$6:$J$40,MATCH($B$2,'Venture Assumptions'!$I$6:$I$40,0)),Waterfalls!$E$5:$EG$5,0)),0)</f>
        <v>0</v>
      </c>
      <c r="AP195" s="799">
        <f>IFERROR(INDEX(Waterfalls!$E$192:$EG$192,MATCH('Venture Summary - Mthly'!AP5-INDEX('Venture Assumptions'!$J$6:$J$40,MATCH($B$2,'Venture Assumptions'!$I$6:$I$40,0)),Waterfalls!$E$5:$EG$5,0)),0)</f>
        <v>0</v>
      </c>
      <c r="AQ195" s="799">
        <f>IFERROR(INDEX(Waterfalls!$E$192:$EG$192,MATCH('Venture Summary - Mthly'!AQ5-INDEX('Venture Assumptions'!$J$6:$J$40,MATCH($B$2,'Venture Assumptions'!$I$6:$I$40,0)),Waterfalls!$E$5:$EG$5,0)),0)</f>
        <v>0</v>
      </c>
      <c r="AR195" s="799">
        <f>IFERROR(INDEX(Waterfalls!$E$192:$EG$192,MATCH('Venture Summary - Mthly'!AR5-INDEX('Venture Assumptions'!$J$6:$J$40,MATCH($B$2,'Venture Assumptions'!$I$6:$I$40,0)),Waterfalls!$E$5:$EG$5,0)),0)</f>
        <v>0</v>
      </c>
      <c r="AS195" s="799">
        <f>IFERROR(INDEX(Waterfalls!$E$192:$EG$192,MATCH('Venture Summary - Mthly'!AS5-INDEX('Venture Assumptions'!$J$6:$J$40,MATCH($B$2,'Venture Assumptions'!$I$6:$I$40,0)),Waterfalls!$E$5:$EG$5,0)),0)</f>
        <v>0</v>
      </c>
      <c r="AT195" s="799">
        <f>IFERROR(INDEX(Waterfalls!$E$192:$EG$192,MATCH('Venture Summary - Mthly'!AT5-INDEX('Venture Assumptions'!$J$6:$J$40,MATCH($B$2,'Venture Assumptions'!$I$6:$I$40,0)),Waterfalls!$E$5:$EG$5,0)),0)</f>
        <v>0</v>
      </c>
      <c r="AU195" s="799">
        <f>IFERROR(INDEX(Waterfalls!$E$192:$EG$192,MATCH('Venture Summary - Mthly'!AU5-INDEX('Venture Assumptions'!$J$6:$J$40,MATCH($B$2,'Venture Assumptions'!$I$6:$I$40,0)),Waterfalls!$E$5:$EG$5,0)),0)</f>
        <v>0</v>
      </c>
      <c r="AV195" s="799">
        <f>IFERROR(INDEX(Waterfalls!$E$192:$EG$192,MATCH('Venture Summary - Mthly'!AV5-INDEX('Venture Assumptions'!$J$6:$J$40,MATCH($B$2,'Venture Assumptions'!$I$6:$I$40,0)),Waterfalls!$E$5:$EG$5,0)),0)</f>
        <v>0</v>
      </c>
      <c r="AW195" s="799">
        <f>IFERROR(INDEX(Waterfalls!$E$192:$EG$192,MATCH('Venture Summary - Mthly'!AW5-INDEX('Venture Assumptions'!$J$6:$J$40,MATCH($B$2,'Venture Assumptions'!$I$6:$I$40,0)),Waterfalls!$E$5:$EG$5,0)),0)</f>
        <v>0</v>
      </c>
      <c r="AX195" s="799">
        <f>IFERROR(INDEX(Waterfalls!$E$192:$EG$192,MATCH('Venture Summary - Mthly'!AX5-INDEX('Venture Assumptions'!$J$6:$J$40,MATCH($B$2,'Venture Assumptions'!$I$6:$I$40,0)),Waterfalls!$E$5:$EG$5,0)),0)</f>
        <v>0</v>
      </c>
      <c r="AY195" s="799">
        <f>IFERROR(INDEX(Waterfalls!$E$192:$EG$192,MATCH('Venture Summary - Mthly'!AY5-INDEX('Venture Assumptions'!$J$6:$J$40,MATCH($B$2,'Venture Assumptions'!$I$6:$I$40,0)),Waterfalls!$E$5:$EG$5,0)),0)</f>
        <v>0</v>
      </c>
      <c r="AZ195" s="799">
        <f>IFERROR(INDEX(Waterfalls!$E$192:$EG$192,MATCH('Venture Summary - Mthly'!AZ5-INDEX('Venture Assumptions'!$J$6:$J$40,MATCH($B$2,'Venture Assumptions'!$I$6:$I$40,0)),Waterfalls!$E$5:$EG$5,0)),0)</f>
        <v>0</v>
      </c>
      <c r="BA195" s="799">
        <f>IFERROR(INDEX(Waterfalls!$E$192:$EG$192,MATCH('Venture Summary - Mthly'!BA5-INDEX('Venture Assumptions'!$J$6:$J$40,MATCH($B$2,'Venture Assumptions'!$I$6:$I$40,0)),Waterfalls!$E$5:$EG$5,0)),0)</f>
        <v>0</v>
      </c>
      <c r="BB195" s="799">
        <f>IFERROR(INDEX(Waterfalls!$E$192:$EG$192,MATCH('Venture Summary - Mthly'!BB5-INDEX('Venture Assumptions'!$J$6:$J$40,MATCH($B$2,'Venture Assumptions'!$I$6:$I$40,0)),Waterfalls!$E$5:$EG$5,0)),0)</f>
        <v>0</v>
      </c>
      <c r="BC195" s="799">
        <f>IFERROR(INDEX(Waterfalls!$E$192:$EG$192,MATCH('Venture Summary - Mthly'!BC5-INDEX('Venture Assumptions'!$J$6:$J$40,MATCH($B$2,'Venture Assumptions'!$I$6:$I$40,0)),Waterfalls!$E$5:$EG$5,0)),0)</f>
        <v>0</v>
      </c>
      <c r="BD195" s="799">
        <f>IFERROR(INDEX(Waterfalls!$E$192:$EG$192,MATCH('Venture Summary - Mthly'!BD5-INDEX('Venture Assumptions'!$J$6:$J$40,MATCH($B$2,'Venture Assumptions'!$I$6:$I$40,0)),Waterfalls!$E$5:$EG$5,0)),0)</f>
        <v>0</v>
      </c>
      <c r="BE195" s="799">
        <f>IFERROR(INDEX(Waterfalls!$E$192:$EG$192,MATCH('Venture Summary - Mthly'!BE5-INDEX('Venture Assumptions'!$J$6:$J$40,MATCH($B$2,'Venture Assumptions'!$I$6:$I$40,0)),Waterfalls!$E$5:$EG$5,0)),0)</f>
        <v>0</v>
      </c>
      <c r="BF195" s="799">
        <f>IFERROR(INDEX(Waterfalls!$E$192:$EG$192,MATCH('Venture Summary - Mthly'!BF5-INDEX('Venture Assumptions'!$J$6:$J$40,MATCH($B$2,'Venture Assumptions'!$I$6:$I$40,0)),Waterfalls!$E$5:$EG$5,0)),0)</f>
        <v>0</v>
      </c>
      <c r="BG195" s="799">
        <f>IFERROR(INDEX(Waterfalls!$E$192:$EG$192,MATCH('Venture Summary - Mthly'!BG5-INDEX('Venture Assumptions'!$J$6:$J$40,MATCH($B$2,'Venture Assumptions'!$I$6:$I$40,0)),Waterfalls!$E$5:$EG$5,0)),0)</f>
        <v>0</v>
      </c>
      <c r="BH195" s="799">
        <f>IFERROR(INDEX(Waterfalls!$E$192:$EG$192,MATCH('Venture Summary - Mthly'!BH5-INDEX('Venture Assumptions'!$J$6:$J$40,MATCH($B$2,'Venture Assumptions'!$I$6:$I$40,0)),Waterfalls!$E$5:$EG$5,0)),0)</f>
        <v>0</v>
      </c>
      <c r="BI195" s="799">
        <f>IFERROR(INDEX(Waterfalls!$E$192:$EG$192,MATCH('Venture Summary - Mthly'!BI5-INDEX('Venture Assumptions'!$J$6:$J$40,MATCH($B$2,'Venture Assumptions'!$I$6:$I$40,0)),Waterfalls!$E$5:$EG$5,0)),0)</f>
        <v>0</v>
      </c>
      <c r="BJ195" s="799">
        <f>IFERROR(INDEX(Waterfalls!$E$192:$EG$192,MATCH('Venture Summary - Mthly'!BJ5-INDEX('Venture Assumptions'!$J$6:$J$40,MATCH($B$2,'Venture Assumptions'!$I$6:$I$40,0)),Waterfalls!$E$5:$EG$5,0)),0)</f>
        <v>0</v>
      </c>
      <c r="BK195" s="799">
        <f>IFERROR(INDEX(Waterfalls!$E$192:$EG$192,MATCH('Venture Summary - Mthly'!BK5-INDEX('Venture Assumptions'!$J$6:$J$40,MATCH($B$2,'Venture Assumptions'!$I$6:$I$40,0)),Waterfalls!$E$5:$EG$5,0)),0)</f>
        <v>0</v>
      </c>
      <c r="BL195" s="799">
        <f>IFERROR(INDEX(Waterfalls!$E$192:$EG$192,MATCH('Venture Summary - Mthly'!BL5-INDEX('Venture Assumptions'!$J$6:$J$40,MATCH($B$2,'Venture Assumptions'!$I$6:$I$40,0)),Waterfalls!$E$5:$EG$5,0)),0)</f>
        <v>0</v>
      </c>
      <c r="BM195" s="799">
        <f>IFERROR(INDEX(Waterfalls!$E$192:$EG$192,MATCH('Venture Summary - Mthly'!BM5-INDEX('Venture Assumptions'!$J$6:$J$40,MATCH($B$2,'Venture Assumptions'!$I$6:$I$40,0)),Waterfalls!$E$5:$EG$5,0)),0)</f>
        <v>0</v>
      </c>
      <c r="BN195" s="799">
        <f>IFERROR(INDEX(Waterfalls!$E$192:$EG$192,MATCH('Venture Summary - Mthly'!BN5-INDEX('Venture Assumptions'!$J$6:$J$40,MATCH($B$2,'Venture Assumptions'!$I$6:$I$40,0)),Waterfalls!$E$5:$EG$5,0)),0)</f>
        <v>0</v>
      </c>
      <c r="BO195" s="799">
        <f>IFERROR(INDEX(Waterfalls!$E$192:$EG$192,MATCH('Venture Summary - Mthly'!BO5-INDEX('Venture Assumptions'!$J$6:$J$40,MATCH($B$2,'Venture Assumptions'!$I$6:$I$40,0)),Waterfalls!$E$5:$EG$5,0)),0)</f>
        <v>0</v>
      </c>
      <c r="BP195" s="799">
        <f>IFERROR(INDEX(Waterfalls!$E$192:$EG$192,MATCH('Venture Summary - Mthly'!BP5-INDEX('Venture Assumptions'!$J$6:$J$40,MATCH($B$2,'Venture Assumptions'!$I$6:$I$40,0)),Waterfalls!$E$5:$EG$5,0)),0)</f>
        <v>0</v>
      </c>
      <c r="BQ195" s="799">
        <f>IFERROR(INDEX(Waterfalls!$E$192:$EG$192,MATCH('Venture Summary - Mthly'!BQ5-INDEX('Venture Assumptions'!$J$6:$J$40,MATCH($B$2,'Venture Assumptions'!$I$6:$I$40,0)),Waterfalls!$E$5:$EG$5,0)),0)</f>
        <v>0</v>
      </c>
      <c r="BR195" s="799">
        <f>IFERROR(INDEX(Waterfalls!$E$192:$EG$192,MATCH('Venture Summary - Mthly'!BR5-INDEX('Venture Assumptions'!$J$6:$J$40,MATCH($B$2,'Venture Assumptions'!$I$6:$I$40,0)),Waterfalls!$E$5:$EG$5,0)),0)</f>
        <v>0</v>
      </c>
      <c r="BS195" s="799">
        <f>IFERROR(INDEX(Waterfalls!$E$192:$EG$192,MATCH('Venture Summary - Mthly'!BS5-INDEX('Venture Assumptions'!$J$6:$J$40,MATCH($B$2,'Venture Assumptions'!$I$6:$I$40,0)),Waterfalls!$E$5:$EG$5,0)),0)</f>
        <v>0</v>
      </c>
      <c r="BT195" s="799">
        <f>IFERROR(INDEX(Waterfalls!$E$192:$EG$192,MATCH('Venture Summary - Mthly'!BT5-INDEX('Venture Assumptions'!$J$6:$J$40,MATCH($B$2,'Venture Assumptions'!$I$6:$I$40,0)),Waterfalls!$E$5:$EG$5,0)),0)</f>
        <v>0</v>
      </c>
      <c r="BU195" s="799">
        <f>IFERROR(INDEX(Waterfalls!$E$192:$EG$192,MATCH('Venture Summary - Mthly'!BU5-INDEX('Venture Assumptions'!$J$6:$J$40,MATCH($B$2,'Venture Assumptions'!$I$6:$I$40,0)),Waterfalls!$E$5:$EG$5,0)),0)</f>
        <v>0</v>
      </c>
      <c r="BV195" s="799">
        <f>IFERROR(INDEX(Waterfalls!$E$192:$EG$192,MATCH('Venture Summary - Mthly'!BV5-INDEX('Venture Assumptions'!$J$6:$J$40,MATCH($B$2,'Venture Assumptions'!$I$6:$I$40,0)),Waterfalls!$E$5:$EG$5,0)),0)</f>
        <v>0</v>
      </c>
      <c r="BW195" s="799">
        <f>IFERROR(INDEX(Waterfalls!$E$192:$EG$192,MATCH('Venture Summary - Mthly'!BW5-INDEX('Venture Assumptions'!$J$6:$J$40,MATCH($B$2,'Venture Assumptions'!$I$6:$I$40,0)),Waterfalls!$E$5:$EG$5,0)),0)</f>
        <v>0</v>
      </c>
      <c r="BX195" s="799">
        <f>IFERROR(INDEX(Waterfalls!$E$192:$EG$192,MATCH('Venture Summary - Mthly'!BX5-INDEX('Venture Assumptions'!$J$6:$J$40,MATCH($B$2,'Venture Assumptions'!$I$6:$I$40,0)),Waterfalls!$E$5:$EG$5,0)),0)</f>
        <v>0</v>
      </c>
      <c r="BY195" s="799">
        <f>IFERROR(INDEX(Waterfalls!$E$192:$EG$192,MATCH('Venture Summary - Mthly'!BY5-INDEX('Venture Assumptions'!$J$6:$J$40,MATCH($B$2,'Venture Assumptions'!$I$6:$I$40,0)),Waterfalls!$E$5:$EG$5,0)),0)</f>
        <v>0</v>
      </c>
      <c r="BZ195" s="799">
        <f>IFERROR(INDEX(Waterfalls!$E$192:$EG$192,MATCH('Venture Summary - Mthly'!BZ5-INDEX('Venture Assumptions'!$J$6:$J$40,MATCH($B$2,'Venture Assumptions'!$I$6:$I$40,0)),Waterfalls!$E$5:$EG$5,0)),0)</f>
        <v>0</v>
      </c>
      <c r="CA195" s="799">
        <f>IFERROR(INDEX(Waterfalls!$E$192:$EG$192,MATCH('Venture Summary - Mthly'!CA5-INDEX('Venture Assumptions'!$J$6:$J$40,MATCH($B$2,'Venture Assumptions'!$I$6:$I$40,0)),Waterfalls!$E$5:$EG$5,0)),0)</f>
        <v>0</v>
      </c>
      <c r="CB195" s="799">
        <f>IFERROR(INDEX(Waterfalls!$E$192:$EG$192,MATCH('Venture Summary - Mthly'!CB5-INDEX('Venture Assumptions'!$J$6:$J$40,MATCH($B$2,'Venture Assumptions'!$I$6:$I$40,0)),Waterfalls!$E$5:$EG$5,0)),0)</f>
        <v>0</v>
      </c>
      <c r="CC195" s="799">
        <f>IFERROR(INDEX(Waterfalls!$E$192:$EG$192,MATCH('Venture Summary - Mthly'!CC5-INDEX('Venture Assumptions'!$J$6:$J$40,MATCH($B$2,'Venture Assumptions'!$I$6:$I$40,0)),Waterfalls!$E$5:$EG$5,0)),0)</f>
        <v>0</v>
      </c>
      <c r="CD195" s="799">
        <f>IFERROR(INDEX(Waterfalls!$E$192:$EG$192,MATCH('Venture Summary - Mthly'!CD5-INDEX('Venture Assumptions'!$J$6:$J$40,MATCH($B$2,'Venture Assumptions'!$I$6:$I$40,0)),Waterfalls!$E$5:$EG$5,0)),0)</f>
        <v>0</v>
      </c>
      <c r="CE195" s="799">
        <f>IFERROR(INDEX(Waterfalls!$E$192:$EG$192,MATCH('Venture Summary - Mthly'!CE5-INDEX('Venture Assumptions'!$J$6:$J$40,MATCH($B$2,'Venture Assumptions'!$I$6:$I$40,0)),Waterfalls!$E$5:$EG$5,0)),0)</f>
        <v>0</v>
      </c>
      <c r="CF195" s="799">
        <f>IFERROR(INDEX(Waterfalls!$E$192:$EG$192,MATCH('Venture Summary - Mthly'!CF5-INDEX('Venture Assumptions'!$J$6:$J$40,MATCH($B$2,'Venture Assumptions'!$I$6:$I$40,0)),Waterfalls!$E$5:$EG$5,0)),0)</f>
        <v>0</v>
      </c>
      <c r="CG195" s="799">
        <f>IFERROR(INDEX(Waterfalls!$E$192:$EG$192,MATCH('Venture Summary - Mthly'!CG5-INDEX('Venture Assumptions'!$J$6:$J$40,MATCH($B$2,'Venture Assumptions'!$I$6:$I$40,0)),Waterfalls!$E$5:$EG$5,0)),0)</f>
        <v>0</v>
      </c>
      <c r="CH195" s="799">
        <f>IFERROR(INDEX(Waterfalls!$E$192:$EG$192,MATCH('Venture Summary - Mthly'!CH5-INDEX('Venture Assumptions'!$J$6:$J$40,MATCH($B$2,'Venture Assumptions'!$I$6:$I$40,0)),Waterfalls!$E$5:$EG$5,0)),0)</f>
        <v>0</v>
      </c>
      <c r="CI195" s="799">
        <f>IFERROR(INDEX(Waterfalls!$E$192:$EG$192,MATCH('Venture Summary - Mthly'!CI5-INDEX('Venture Assumptions'!$J$6:$J$40,MATCH($B$2,'Venture Assumptions'!$I$6:$I$40,0)),Waterfalls!$E$5:$EG$5,0)),0)</f>
        <v>0</v>
      </c>
      <c r="CJ195" s="799">
        <f>IFERROR(INDEX(Waterfalls!$E$192:$EG$192,MATCH('Venture Summary - Mthly'!CJ5-INDEX('Venture Assumptions'!$J$6:$J$40,MATCH($B$2,'Venture Assumptions'!$I$6:$I$40,0)),Waterfalls!$E$5:$EG$5,0)),0)</f>
        <v>0</v>
      </c>
      <c r="CK195" s="799">
        <f>IFERROR(INDEX(Waterfalls!$E$192:$EG$192,MATCH('Venture Summary - Mthly'!CK5-INDEX('Venture Assumptions'!$J$6:$J$40,MATCH($B$2,'Venture Assumptions'!$I$6:$I$40,0)),Waterfalls!$E$5:$EG$5,0)),0)</f>
        <v>0</v>
      </c>
      <c r="CL195" s="799">
        <f>IFERROR(INDEX(Waterfalls!$E$192:$EG$192,MATCH('Venture Summary - Mthly'!CL5-INDEX('Venture Assumptions'!$J$6:$J$40,MATCH($B$2,'Venture Assumptions'!$I$6:$I$40,0)),Waterfalls!$E$5:$EG$5,0)),0)</f>
        <v>0</v>
      </c>
      <c r="CM195" s="799">
        <f>IFERROR(INDEX(Waterfalls!$E$192:$EG$192,MATCH('Venture Summary - Mthly'!CM5-INDEX('Venture Assumptions'!$J$6:$J$40,MATCH($B$2,'Venture Assumptions'!$I$6:$I$40,0)),Waterfalls!$E$5:$EG$5,0)),0)</f>
        <v>0</v>
      </c>
      <c r="CN195" s="799">
        <f>IFERROR(INDEX(Waterfalls!$E$192:$EG$192,MATCH('Venture Summary - Mthly'!CN5-INDEX('Venture Assumptions'!$J$6:$J$40,MATCH($B$2,'Venture Assumptions'!$I$6:$I$40,0)),Waterfalls!$E$5:$EG$5,0)),0)</f>
        <v>0</v>
      </c>
      <c r="CO195" s="799">
        <f>IFERROR(INDEX(Waterfalls!$E$192:$EG$192,MATCH('Venture Summary - Mthly'!CO5-INDEX('Venture Assumptions'!$J$6:$J$40,MATCH($B$2,'Venture Assumptions'!$I$6:$I$40,0)),Waterfalls!$E$5:$EG$5,0)),0)</f>
        <v>0</v>
      </c>
      <c r="CP195" s="799">
        <f>IFERROR(INDEX(Waterfalls!$E$192:$EG$192,MATCH('Venture Summary - Mthly'!CP5-INDEX('Venture Assumptions'!$J$6:$J$40,MATCH($B$2,'Venture Assumptions'!$I$6:$I$40,0)),Waterfalls!$E$5:$EG$5,0)),0)</f>
        <v>0</v>
      </c>
      <c r="CQ195" s="799">
        <f>IFERROR(INDEX(Waterfalls!$E$192:$EG$192,MATCH('Venture Summary - Mthly'!CQ5-INDEX('Venture Assumptions'!$J$6:$J$40,MATCH($B$2,'Venture Assumptions'!$I$6:$I$40,0)),Waterfalls!$E$5:$EG$5,0)),0)</f>
        <v>0</v>
      </c>
      <c r="CR195" s="799">
        <f>IFERROR(INDEX(Waterfalls!$E$192:$EG$192,MATCH('Venture Summary - Mthly'!CR5-INDEX('Venture Assumptions'!$J$6:$J$40,MATCH($B$2,'Venture Assumptions'!$I$6:$I$40,0)),Waterfalls!$E$5:$EG$5,0)),0)</f>
        <v>0</v>
      </c>
      <c r="CS195" s="799">
        <f>IFERROR(INDEX(Waterfalls!$E$192:$EG$192,MATCH('Venture Summary - Mthly'!CS5-INDEX('Venture Assumptions'!$J$6:$J$40,MATCH($B$2,'Venture Assumptions'!$I$6:$I$40,0)),Waterfalls!$E$5:$EG$5,0)),0)</f>
        <v>0</v>
      </c>
      <c r="CT195" s="799">
        <f>IFERROR(INDEX(Waterfalls!$E$192:$EG$192,MATCH('Venture Summary - Mthly'!CT5-INDEX('Venture Assumptions'!$J$6:$J$40,MATCH($B$2,'Venture Assumptions'!$I$6:$I$40,0)),Waterfalls!$E$5:$EG$5,0)),0)</f>
        <v>0</v>
      </c>
      <c r="CU195" s="799">
        <f>IFERROR(INDEX(Waterfalls!$E$192:$EG$192,MATCH('Venture Summary - Mthly'!CU5-INDEX('Venture Assumptions'!$J$6:$J$40,MATCH($B$2,'Venture Assumptions'!$I$6:$I$40,0)),Waterfalls!$E$5:$EG$5,0)),0)</f>
        <v>0</v>
      </c>
      <c r="CV195" s="799">
        <f>IFERROR(INDEX(Waterfalls!$E$192:$EG$192,MATCH('Venture Summary - Mthly'!CV5-INDEX('Venture Assumptions'!$J$6:$J$40,MATCH($B$2,'Venture Assumptions'!$I$6:$I$40,0)),Waterfalls!$E$5:$EG$5,0)),0)</f>
        <v>0</v>
      </c>
      <c r="CW195" s="799">
        <f>IFERROR(INDEX(Waterfalls!$E$192:$EG$192,MATCH('Venture Summary - Mthly'!CW5-INDEX('Venture Assumptions'!$J$6:$J$40,MATCH($B$2,'Venture Assumptions'!$I$6:$I$40,0)),Waterfalls!$E$5:$EG$5,0)),0)</f>
        <v>0</v>
      </c>
      <c r="CX195" s="799">
        <f>IFERROR(INDEX(Waterfalls!$E$192:$EG$192,MATCH('Venture Summary - Mthly'!CX5-INDEX('Venture Assumptions'!$J$6:$J$40,MATCH($B$2,'Venture Assumptions'!$I$6:$I$40,0)),Waterfalls!$E$5:$EG$5,0)),0)</f>
        <v>0</v>
      </c>
      <c r="CY195" s="799">
        <f>IFERROR(INDEX(Waterfalls!$E$192:$EG$192,MATCH('Venture Summary - Mthly'!CY5-INDEX('Venture Assumptions'!$J$6:$J$40,MATCH($B$2,'Venture Assumptions'!$I$6:$I$40,0)),Waterfalls!$E$5:$EG$5,0)),0)</f>
        <v>0</v>
      </c>
      <c r="CZ195" s="799">
        <f>IFERROR(INDEX(Waterfalls!$E$192:$EG$192,MATCH('Venture Summary - Mthly'!CZ5-INDEX('Venture Assumptions'!$J$6:$J$40,MATCH($B$2,'Venture Assumptions'!$I$6:$I$40,0)),Waterfalls!$E$5:$EG$5,0)),0)</f>
        <v>0</v>
      </c>
      <c r="DA195" s="799">
        <f>IFERROR(INDEX(Waterfalls!$E$192:$EG$192,MATCH('Venture Summary - Mthly'!DA5-INDEX('Venture Assumptions'!$J$6:$J$40,MATCH($B$2,'Venture Assumptions'!$I$6:$I$40,0)),Waterfalls!$E$5:$EG$5,0)),0)</f>
        <v>0</v>
      </c>
      <c r="DB195" s="799">
        <f>IFERROR(INDEX(Waterfalls!$E$192:$EG$192,MATCH('Venture Summary - Mthly'!DB5-INDEX('Venture Assumptions'!$J$6:$J$40,MATCH($B$2,'Venture Assumptions'!$I$6:$I$40,0)),Waterfalls!$E$5:$EG$5,0)),0)</f>
        <v>0</v>
      </c>
      <c r="DC195" s="799">
        <f>IFERROR(INDEX(Waterfalls!$E$192:$EG$192,MATCH('Venture Summary - Mthly'!DC5-INDEX('Venture Assumptions'!$J$6:$J$40,MATCH($B$2,'Venture Assumptions'!$I$6:$I$40,0)),Waterfalls!$E$5:$EG$5,0)),0)</f>
        <v>0</v>
      </c>
      <c r="DD195" s="799">
        <f>IFERROR(INDEX(Waterfalls!$E$192:$EG$192,MATCH('Venture Summary - Mthly'!DD5-INDEX('Venture Assumptions'!$J$6:$J$40,MATCH($B$2,'Venture Assumptions'!$I$6:$I$40,0)),Waterfalls!$E$5:$EG$5,0)),0)</f>
        <v>0</v>
      </c>
      <c r="DE195" s="799">
        <f>IFERROR(INDEX(Waterfalls!$E$192:$EG$192,MATCH('Venture Summary - Mthly'!DE5-INDEX('Venture Assumptions'!$J$6:$J$40,MATCH($B$2,'Venture Assumptions'!$I$6:$I$40,0)),Waterfalls!$E$5:$EG$5,0)),0)</f>
        <v>0</v>
      </c>
      <c r="DF195" s="799">
        <f>IFERROR(INDEX(Waterfalls!$E$192:$EG$192,MATCH('Venture Summary - Mthly'!DF5-INDEX('Venture Assumptions'!$J$6:$J$40,MATCH($B$2,'Venture Assumptions'!$I$6:$I$40,0)),Waterfalls!$E$5:$EG$5,0)),0)</f>
        <v>0</v>
      </c>
      <c r="DG195" s="799">
        <f>IFERROR(INDEX(Waterfalls!$E$192:$EG$192,MATCH('Venture Summary - Mthly'!DG5-INDEX('Venture Assumptions'!$J$6:$J$40,MATCH($B$2,'Venture Assumptions'!$I$6:$I$40,0)),Waterfalls!$E$5:$EG$5,0)),0)</f>
        <v>0</v>
      </c>
      <c r="DH195" s="799">
        <f>IFERROR(INDEX(Waterfalls!$E$192:$EG$192,MATCH('Venture Summary - Mthly'!DH5-INDEX('Venture Assumptions'!$J$6:$J$40,MATCH($B$2,'Venture Assumptions'!$I$6:$I$40,0)),Waterfalls!$E$5:$EG$5,0)),0)</f>
        <v>0</v>
      </c>
      <c r="DI195" s="799">
        <f>IFERROR(INDEX(Waterfalls!$E$192:$EG$192,MATCH('Venture Summary - Mthly'!DI5-INDEX('Venture Assumptions'!$J$6:$J$40,MATCH($B$2,'Venture Assumptions'!$I$6:$I$40,0)),Waterfalls!$E$5:$EG$5,0)),0)</f>
        <v>0</v>
      </c>
      <c r="DJ195" s="799">
        <f>IFERROR(INDEX(Waterfalls!$E$192:$EG$192,MATCH('Venture Summary - Mthly'!DJ5-INDEX('Venture Assumptions'!$J$6:$J$40,MATCH($B$2,'Venture Assumptions'!$I$6:$I$40,0)),Waterfalls!$E$5:$EG$5,0)),0)</f>
        <v>0</v>
      </c>
      <c r="DK195" s="799">
        <f>IFERROR(INDEX(Waterfalls!$E$192:$EG$192,MATCH('Venture Summary - Mthly'!DK5-INDEX('Venture Assumptions'!$J$6:$J$40,MATCH($B$2,'Venture Assumptions'!$I$6:$I$40,0)),Waterfalls!$E$5:$EG$5,0)),0)</f>
        <v>0</v>
      </c>
      <c r="DL195" s="799">
        <f>IFERROR(INDEX(Waterfalls!$E$192:$EG$192,MATCH('Venture Summary - Mthly'!DL5-INDEX('Venture Assumptions'!$J$6:$J$40,MATCH($B$2,'Venture Assumptions'!$I$6:$I$40,0)),Waterfalls!$E$5:$EG$5,0)),0)</f>
        <v>0</v>
      </c>
      <c r="DM195" s="799">
        <f>IFERROR(INDEX(Waterfalls!$E$192:$EG$192,MATCH('Venture Summary - Mthly'!DM5-INDEX('Venture Assumptions'!$J$6:$J$40,MATCH($B$2,'Venture Assumptions'!$I$6:$I$40,0)),Waterfalls!$E$5:$EG$5,0)),0)</f>
        <v>0</v>
      </c>
      <c r="DN195" s="799">
        <f>IFERROR(INDEX(Waterfalls!$E$192:$EG$192,MATCH('Venture Summary - Mthly'!DN5-INDEX('Venture Assumptions'!$J$6:$J$40,MATCH($B$2,'Venture Assumptions'!$I$6:$I$40,0)),Waterfalls!$E$5:$EG$5,0)),0)</f>
        <v>0</v>
      </c>
      <c r="DO195" s="799">
        <f>IFERROR(INDEX(Waterfalls!$E$192:$EG$192,MATCH('Venture Summary - Mthly'!DO5-INDEX('Venture Assumptions'!$J$6:$J$40,MATCH($B$2,'Venture Assumptions'!$I$6:$I$40,0)),Waterfalls!$E$5:$EG$5,0)),0)</f>
        <v>0</v>
      </c>
      <c r="DP195" s="799">
        <f>IFERROR(INDEX(Waterfalls!$E$192:$EG$192,MATCH('Venture Summary - Mthly'!DP5-INDEX('Venture Assumptions'!$J$6:$J$40,MATCH($B$2,'Venture Assumptions'!$I$6:$I$40,0)),Waterfalls!$E$5:$EG$5,0)),0)</f>
        <v>0</v>
      </c>
      <c r="DQ195" s="799">
        <f>IFERROR(INDEX(Waterfalls!$E$192:$EG$192,MATCH('Venture Summary - Mthly'!DQ5-INDEX('Venture Assumptions'!$J$6:$J$40,MATCH($B$2,'Venture Assumptions'!$I$6:$I$40,0)),Waterfalls!$E$5:$EG$5,0)),0)</f>
        <v>0</v>
      </c>
      <c r="DR195" s="799">
        <f>IFERROR(INDEX(Waterfalls!$E$192:$EG$192,MATCH('Venture Summary - Mthly'!DR5-INDEX('Venture Assumptions'!$J$6:$J$40,MATCH($B$2,'Venture Assumptions'!$I$6:$I$40,0)),Waterfalls!$E$5:$EG$5,0)),0)</f>
        <v>0</v>
      </c>
      <c r="DS195" s="799">
        <f>IFERROR(INDEX(Waterfalls!$E$192:$EG$192,MATCH('Venture Summary - Mthly'!DS5-INDEX('Venture Assumptions'!$J$6:$J$40,MATCH($B$2,'Venture Assumptions'!$I$6:$I$40,0)),Waterfalls!$E$5:$EG$5,0)),0)</f>
        <v>0</v>
      </c>
      <c r="DT195" s="799">
        <f>IFERROR(INDEX(Waterfalls!$E$192:$EG$192,MATCH('Venture Summary - Mthly'!DT5-INDEX('Venture Assumptions'!$J$6:$J$40,MATCH($B$2,'Venture Assumptions'!$I$6:$I$40,0)),Waterfalls!$E$5:$EG$5,0)),0)</f>
        <v>0</v>
      </c>
      <c r="DU195" s="799">
        <f>IFERROR(INDEX(Waterfalls!$E$192:$EG$192,MATCH('Venture Summary - Mthly'!DU5-INDEX('Venture Assumptions'!$J$6:$J$40,MATCH($B$2,'Venture Assumptions'!$I$6:$I$40,0)),Waterfalls!$E$5:$EG$5,0)),0)</f>
        <v>0</v>
      </c>
      <c r="DV195" s="799">
        <f>IFERROR(INDEX(Waterfalls!$E$192:$EG$192,MATCH('Venture Summary - Mthly'!DV5-INDEX('Venture Assumptions'!$J$6:$J$40,MATCH($B$2,'Venture Assumptions'!$I$6:$I$40,0)),Waterfalls!$E$5:$EG$5,0)),0)</f>
        <v>0</v>
      </c>
      <c r="DW195" s="799">
        <f>IFERROR(INDEX(Waterfalls!$E$192:$EG$192,MATCH('Venture Summary - Mthly'!DW5-INDEX('Venture Assumptions'!$J$6:$J$40,MATCH($B$2,'Venture Assumptions'!$I$6:$I$40,0)),Waterfalls!$E$5:$EG$5,0)),0)</f>
        <v>0</v>
      </c>
      <c r="DX195" s="799">
        <f>IFERROR(INDEX(Waterfalls!$E$192:$EG$192,MATCH('Venture Summary - Mthly'!DX5-INDEX('Venture Assumptions'!$J$6:$J$40,MATCH($B$2,'Venture Assumptions'!$I$6:$I$40,0)),Waterfalls!$E$5:$EG$5,0)),0)</f>
        <v>0</v>
      </c>
      <c r="DY195" s="799">
        <f>IFERROR(INDEX(Waterfalls!$E$192:$EG$192,MATCH('Venture Summary - Mthly'!DY5-INDEX('Venture Assumptions'!$J$6:$J$40,MATCH($B$2,'Venture Assumptions'!$I$6:$I$40,0)),Waterfalls!$E$5:$EG$5,0)),0)</f>
        <v>0</v>
      </c>
      <c r="DZ195" s="799">
        <f>IFERROR(INDEX(Waterfalls!$E$192:$EG$192,MATCH('Venture Summary - Mthly'!DZ5-INDEX('Venture Assumptions'!$J$6:$J$40,MATCH($B$2,'Venture Assumptions'!$I$6:$I$40,0)),Waterfalls!$E$5:$EG$5,0)),0)</f>
        <v>0</v>
      </c>
      <c r="EA195" s="799">
        <f>IFERROR(INDEX(Waterfalls!$E$192:$EG$192,MATCH('Venture Summary - Mthly'!EA5-INDEX('Venture Assumptions'!$J$6:$J$40,MATCH($B$2,'Venture Assumptions'!$I$6:$I$40,0)),Waterfalls!$E$5:$EG$5,0)),0)</f>
        <v>0</v>
      </c>
      <c r="EB195" s="799">
        <f>IFERROR(INDEX(Waterfalls!$E$192:$EG$192,MATCH('Venture Summary - Mthly'!EB5-INDEX('Venture Assumptions'!$J$6:$J$40,MATCH($B$2,'Venture Assumptions'!$I$6:$I$40,0)),Waterfalls!$E$5:$EG$5,0)),0)</f>
        <v>0</v>
      </c>
      <c r="EC195" s="799">
        <f>IFERROR(INDEX(Waterfalls!$E$192:$EG$192,MATCH('Venture Summary - Mthly'!EC5-INDEX('Venture Assumptions'!$J$6:$J$40,MATCH($B$2,'Venture Assumptions'!$I$6:$I$40,0)),Waterfalls!$E$5:$EG$5,0)),0)</f>
        <v>0</v>
      </c>
      <c r="ED195" s="799">
        <f>IFERROR(INDEX(Waterfalls!$E$192:$EG$192,MATCH('Venture Summary - Mthly'!ED5-INDEX('Venture Assumptions'!$J$6:$J$40,MATCH($B$2,'Venture Assumptions'!$I$6:$I$40,0)),Waterfalls!$E$5:$EG$5,0)),0)</f>
        <v>0</v>
      </c>
      <c r="EE195" s="799">
        <f>IFERROR(INDEX(Waterfalls!$E$192:$EG$192,MATCH('Venture Summary - Mthly'!EE5-INDEX('Venture Assumptions'!$J$6:$J$40,MATCH($B$2,'Venture Assumptions'!$I$6:$I$40,0)),Waterfalls!$E$5:$EG$5,0)),0)</f>
        <v>0</v>
      </c>
      <c r="EF195" s="799">
        <f>IFERROR(INDEX(Waterfalls!$E$192:$EG$192,MATCH('Venture Summary - Mthly'!EF5-INDEX('Venture Assumptions'!$J$6:$J$40,MATCH($B$2,'Venture Assumptions'!$I$6:$I$40,0)),Waterfalls!$E$5:$EG$5,0)),0)</f>
        <v>0</v>
      </c>
      <c r="EG195" s="799">
        <f>IFERROR(INDEX(Waterfalls!$E$192:$EG$192,MATCH('Venture Summary - Mthly'!EG5-INDEX('Venture Assumptions'!$J$6:$J$40,MATCH($B$2,'Venture Assumptions'!$I$6:$I$40,0)),Waterfalls!$E$5:$EG$5,0)),0)</f>
        <v>0</v>
      </c>
      <c r="EH195" s="782"/>
    </row>
    <row r="196" spans="1:138" ht="12.75" customHeight="1" x14ac:dyDescent="0.3">
      <c r="A196" s="782"/>
      <c r="B196" s="1371" t="s">
        <v>120</v>
      </c>
      <c r="C196" s="1372"/>
      <c r="D196" s="1371"/>
      <c r="E196" s="1372">
        <f>E192+E194+E195+E188</f>
        <v>0</v>
      </c>
      <c r="F196" s="1372">
        <f t="shared" ref="F196:BQ196" si="155">F192+F194+F195+F188</f>
        <v>0</v>
      </c>
      <c r="G196" s="1372">
        <f t="shared" si="155"/>
        <v>0</v>
      </c>
      <c r="H196" s="1372">
        <f t="shared" si="155"/>
        <v>0</v>
      </c>
      <c r="I196" s="1372">
        <f t="shared" si="155"/>
        <v>0</v>
      </c>
      <c r="J196" s="1372">
        <f t="shared" si="155"/>
        <v>0</v>
      </c>
      <c r="K196" s="1372">
        <f t="shared" si="155"/>
        <v>0</v>
      </c>
      <c r="L196" s="1372">
        <f t="shared" si="155"/>
        <v>0</v>
      </c>
      <c r="M196" s="1372">
        <f t="shared" si="155"/>
        <v>0</v>
      </c>
      <c r="N196" s="1372">
        <f t="shared" si="155"/>
        <v>0</v>
      </c>
      <c r="O196" s="1372">
        <f t="shared" si="155"/>
        <v>0</v>
      </c>
      <c r="P196" s="1372">
        <f t="shared" si="155"/>
        <v>0</v>
      </c>
      <c r="Q196" s="1372">
        <f t="shared" si="155"/>
        <v>8847338.786576869</v>
      </c>
      <c r="R196" s="1372">
        <f t="shared" si="155"/>
        <v>14536688.574957717</v>
      </c>
      <c r="S196" s="1372">
        <f t="shared" si="155"/>
        <v>22578384.831041809</v>
      </c>
      <c r="T196" s="1372">
        <f t="shared" si="155"/>
        <v>32285242.954790346</v>
      </c>
      <c r="U196" s="1372">
        <f t="shared" si="155"/>
        <v>42140851.166509889</v>
      </c>
      <c r="V196" s="1372">
        <f t="shared" si="155"/>
        <v>51471195.458574735</v>
      </c>
      <c r="W196" s="1372">
        <f t="shared" si="155"/>
        <v>60237989.909899324</v>
      </c>
      <c r="X196" s="1372">
        <f t="shared" si="155"/>
        <v>68282434.785124734</v>
      </c>
      <c r="Y196" s="1372">
        <f t="shared" si="155"/>
        <v>75681522.134322211</v>
      </c>
      <c r="Z196" s="1372">
        <f t="shared" si="155"/>
        <v>82286761.277921408</v>
      </c>
      <c r="AA196" s="1372">
        <f t="shared" si="155"/>
        <v>87943739.429485232</v>
      </c>
      <c r="AB196" s="1372">
        <f t="shared" si="155"/>
        <v>92651930.733582288</v>
      </c>
      <c r="AC196" s="1372">
        <f t="shared" si="155"/>
        <v>96419100.070844024</v>
      </c>
      <c r="AD196" s="1372">
        <f t="shared" si="155"/>
        <v>99392076.195185497</v>
      </c>
      <c r="AE196" s="1372">
        <f t="shared" si="155"/>
        <v>101530558.83812743</v>
      </c>
      <c r="AF196" s="1372">
        <f t="shared" si="155"/>
        <v>102099550.53222448</v>
      </c>
      <c r="AG196" s="1372">
        <f t="shared" si="155"/>
        <v>102519475.19780481</v>
      </c>
      <c r="AH196" s="1372">
        <f t="shared" si="155"/>
        <v>102949428.89667653</v>
      </c>
      <c r="AI196" s="1372">
        <f t="shared" si="155"/>
        <v>103388864.84333372</v>
      </c>
      <c r="AJ196" s="1372">
        <f t="shared" si="155"/>
        <v>103827822.79169799</v>
      </c>
      <c r="AK196" s="1372">
        <f t="shared" si="155"/>
        <v>104261112.5593228</v>
      </c>
      <c r="AL196" s="1372">
        <f t="shared" si="155"/>
        <v>104687482.02807894</v>
      </c>
      <c r="AM196" s="1372">
        <f t="shared" si="155"/>
        <v>105105669.79756133</v>
      </c>
      <c r="AN196" s="1372">
        <f t="shared" si="155"/>
        <v>105514405.13425465</v>
      </c>
      <c r="AO196" s="1372">
        <f t="shared" si="155"/>
        <v>105912407.9204604</v>
      </c>
      <c r="AP196" s="1372">
        <f t="shared" si="155"/>
        <v>106302437.63775453</v>
      </c>
      <c r="AQ196" s="1372">
        <f t="shared" si="155"/>
        <v>106675241.54841727</v>
      </c>
      <c r="AR196" s="1372">
        <f t="shared" si="155"/>
        <v>107032114.70923339</v>
      </c>
      <c r="AS196" s="1372">
        <f t="shared" si="155"/>
        <v>107402346.85886498</v>
      </c>
      <c r="AT196" s="1372">
        <f t="shared" si="155"/>
        <v>107763918.16984908</v>
      </c>
      <c r="AU196" s="1372">
        <f t="shared" si="155"/>
        <v>108117886.56492901</v>
      </c>
      <c r="AV196" s="1372">
        <f t="shared" si="155"/>
        <v>108461982.57141913</v>
      </c>
      <c r="AW196" s="1372">
        <f t="shared" si="155"/>
        <v>108798611.77253826</v>
      </c>
      <c r="AX196" s="1372">
        <f t="shared" si="155"/>
        <v>109130199.10309821</v>
      </c>
      <c r="AY196" s="1372">
        <f t="shared" si="155"/>
        <v>109459188.96738949</v>
      </c>
      <c r="AZ196" s="1372">
        <f t="shared" si="155"/>
        <v>109788045.35771389</v>
      </c>
      <c r="BA196" s="1372">
        <f t="shared" si="155"/>
        <v>110119251.97356774</v>
      </c>
      <c r="BB196" s="1372">
        <f t="shared" si="155"/>
        <v>110453737.34100842</v>
      </c>
      <c r="BC196" s="1372">
        <f t="shared" si="155"/>
        <v>110796894.58430792</v>
      </c>
      <c r="BD196" s="1372">
        <f t="shared" si="155"/>
        <v>111149546.55052719</v>
      </c>
      <c r="BE196" s="1372">
        <f t="shared" si="155"/>
        <v>111504040.05220111</v>
      </c>
      <c r="BF196" s="1372">
        <f t="shared" si="155"/>
        <v>111864848.01629186</v>
      </c>
      <c r="BG196" s="1372">
        <f t="shared" si="155"/>
        <v>112231621.37380436</v>
      </c>
      <c r="BH196" s="1372">
        <f t="shared" si="155"/>
        <v>112606751.24330886</v>
      </c>
      <c r="BI196" s="1372">
        <f t="shared" si="155"/>
        <v>112989443.87940969</v>
      </c>
      <c r="BJ196" s="1372">
        <f t="shared" si="155"/>
        <v>113378899.5483703</v>
      </c>
      <c r="BK196" s="1372">
        <f t="shared" si="155"/>
        <v>113774312.49450065</v>
      </c>
      <c r="BL196" s="1372">
        <f t="shared" si="155"/>
        <v>114174870.90637663</v>
      </c>
      <c r="BM196" s="1372">
        <f t="shared" si="155"/>
        <v>114579756.88289072</v>
      </c>
      <c r="BN196" s="1372">
        <f t="shared" si="155"/>
        <v>114987022.75694521</v>
      </c>
      <c r="BO196" s="1372">
        <f t="shared" si="155"/>
        <v>115398177.90881</v>
      </c>
      <c r="BP196" s="1372">
        <f t="shared" si="155"/>
        <v>115812080.93356858</v>
      </c>
      <c r="BQ196" s="1372">
        <f t="shared" si="155"/>
        <v>116224005.02003008</v>
      </c>
      <c r="BR196" s="1372">
        <f t="shared" ref="BR196:EC196" si="156">BR192+BR194+BR195+BR188</f>
        <v>116637200.59500831</v>
      </c>
      <c r="BS196" s="1372">
        <f t="shared" si="156"/>
        <v>117051671.13416119</v>
      </c>
      <c r="BT196" s="1372">
        <f t="shared" si="156"/>
        <v>117467992.05349886</v>
      </c>
      <c r="BU196" s="1372">
        <f t="shared" si="156"/>
        <v>117886170.80120024</v>
      </c>
      <c r="BV196" s="1372">
        <f t="shared" si="156"/>
        <v>118306214.85577759</v>
      </c>
      <c r="BW196" s="1372">
        <f t="shared" si="156"/>
        <v>118728131.72620086</v>
      </c>
      <c r="BX196" s="1372">
        <f t="shared" si="156"/>
        <v>119151928.9520226</v>
      </c>
      <c r="BY196" s="1372">
        <f t="shared" si="156"/>
        <v>119577614.10350357</v>
      </c>
      <c r="BZ196" s="1372">
        <f t="shared" si="156"/>
        <v>120004608.47000705</v>
      </c>
      <c r="CA196" s="1372">
        <f t="shared" si="156"/>
        <v>120434091.49647538</v>
      </c>
      <c r="CB196" s="1372">
        <f t="shared" si="156"/>
        <v>120865757.2296017</v>
      </c>
      <c r="CC196" s="1372">
        <f t="shared" si="156"/>
        <v>121295374.44037282</v>
      </c>
      <c r="CD196" s="1372">
        <f t="shared" si="156"/>
        <v>121726315.24175063</v>
      </c>
      <c r="CE196" s="1372">
        <f t="shared" si="156"/>
        <v>122158583.25225513</v>
      </c>
      <c r="CF196" s="1372">
        <f t="shared" si="156"/>
        <v>122592778.20643862</v>
      </c>
      <c r="CG196" s="1372">
        <f t="shared" si="156"/>
        <v>123028907.86323896</v>
      </c>
      <c r="CH196" s="1372">
        <f t="shared" si="156"/>
        <v>123466980.01319945</v>
      </c>
      <c r="CI196" s="1372">
        <f t="shared" si="156"/>
        <v>123907002.47859842</v>
      </c>
      <c r="CJ196" s="1372">
        <f t="shared" si="156"/>
        <v>124348983.11357948</v>
      </c>
      <c r="CK196" s="1372">
        <f t="shared" si="156"/>
        <v>124792929.80428225</v>
      </c>
      <c r="CL196" s="1372">
        <f t="shared" si="156"/>
        <v>125238239.3740796</v>
      </c>
      <c r="CM196" s="1372">
        <f t="shared" si="156"/>
        <v>125686141.11844698</v>
      </c>
      <c r="CN196" s="1372">
        <f t="shared" si="156"/>
        <v>126136316.14741005</v>
      </c>
      <c r="CO196" s="1372">
        <f t="shared" si="156"/>
        <v>126584369.28899232</v>
      </c>
      <c r="CP196" s="1372">
        <f t="shared" si="156"/>
        <v>127033800.27630913</v>
      </c>
      <c r="CQ196" s="1372">
        <f t="shared" si="156"/>
        <v>127484612.87665963</v>
      </c>
      <c r="CR196" s="1372">
        <f t="shared" si="156"/>
        <v>127937432.17095158</v>
      </c>
      <c r="CS196" s="1372">
        <f t="shared" si="156"/>
        <v>128392266.24189517</v>
      </c>
      <c r="CT196" s="1372">
        <f t="shared" si="156"/>
        <v>128849123.20513169</v>
      </c>
      <c r="CU196" s="1372">
        <f t="shared" si="156"/>
        <v>129308011.20936854</v>
      </c>
      <c r="CV196" s="1372">
        <f t="shared" si="156"/>
        <v>129768938.43651491</v>
      </c>
      <c r="CW196" s="1372">
        <f t="shared" si="156"/>
        <v>130231913.10181804</v>
      </c>
      <c r="CX196" s="1372">
        <f t="shared" si="156"/>
        <v>130696306.52836889</v>
      </c>
      <c r="CY196" s="1372">
        <f t="shared" si="156"/>
        <v>131163399.96921429</v>
      </c>
      <c r="CZ196" s="1372">
        <f t="shared" si="156"/>
        <v>131632861.0507603</v>
      </c>
      <c r="DA196" s="1372">
        <f t="shared" si="156"/>
        <v>132100122.78655089</v>
      </c>
      <c r="DB196" s="1372">
        <f t="shared" si="156"/>
        <v>132568818.86577092</v>
      </c>
      <c r="DC196" s="1372">
        <f t="shared" si="156"/>
        <v>133038953.21066234</v>
      </c>
      <c r="DD196" s="1372">
        <f t="shared" si="156"/>
        <v>133511177.31974299</v>
      </c>
      <c r="DE196" s="1372">
        <f t="shared" si="156"/>
        <v>133985499.61305545</v>
      </c>
      <c r="DF196" s="1372">
        <f t="shared" si="156"/>
        <v>134461928.54495454</v>
      </c>
      <c r="DG196" s="1372">
        <f t="shared" si="156"/>
        <v>134940472.60424829</v>
      </c>
      <c r="DH196" s="1372">
        <f t="shared" si="156"/>
        <v>135421140.31433916</v>
      </c>
      <c r="DI196" s="1372">
        <f t="shared" si="156"/>
        <v>135903940.23336616</v>
      </c>
      <c r="DJ196" s="1372">
        <f t="shared" si="156"/>
        <v>136388217.10612437</v>
      </c>
      <c r="DK196" s="1372">
        <f t="shared" si="156"/>
        <v>136875306.33932993</v>
      </c>
      <c r="DL196" s="1372">
        <f t="shared" si="156"/>
        <v>137364861.505694</v>
      </c>
      <c r="DM196" s="1372">
        <f t="shared" si="156"/>
        <v>137852135.43163943</v>
      </c>
      <c r="DN196" s="1372">
        <f t="shared" si="156"/>
        <v>138340902.53454536</v>
      </c>
      <c r="DO196" s="1372">
        <f t="shared" si="156"/>
        <v>138831166.89801684</v>
      </c>
      <c r="DP196" s="1372">
        <f t="shared" si="156"/>
        <v>139323607.55471456</v>
      </c>
      <c r="DQ196" s="1372">
        <f t="shared" si="156"/>
        <v>139818233.27614254</v>
      </c>
      <c r="DR196" s="1372">
        <f t="shared" si="156"/>
        <v>140315052.86955658</v>
      </c>
      <c r="DS196" s="1372">
        <f t="shared" si="156"/>
        <v>140814075.17811096</v>
      </c>
      <c r="DT196" s="1372">
        <f t="shared" si="156"/>
        <v>141315309.08100563</v>
      </c>
      <c r="DU196" s="1372">
        <f t="shared" si="156"/>
        <v>141818763.49363446</v>
      </c>
      <c r="DV196" s="1372">
        <f t="shared" si="156"/>
        <v>0</v>
      </c>
      <c r="DW196" s="1372">
        <f t="shared" si="156"/>
        <v>0</v>
      </c>
      <c r="DX196" s="1372">
        <f t="shared" si="156"/>
        <v>0</v>
      </c>
      <c r="DY196" s="1372">
        <f t="shared" si="156"/>
        <v>0</v>
      </c>
      <c r="DZ196" s="1372">
        <f t="shared" si="156"/>
        <v>0</v>
      </c>
      <c r="EA196" s="1372">
        <f t="shared" si="156"/>
        <v>0</v>
      </c>
      <c r="EB196" s="1372">
        <f t="shared" si="156"/>
        <v>0</v>
      </c>
      <c r="EC196" s="1372">
        <f t="shared" si="156"/>
        <v>0</v>
      </c>
      <c r="ED196" s="1372">
        <f>ED192+ED194+ED195+ED188</f>
        <v>0</v>
      </c>
      <c r="EE196" s="1372">
        <f>EE192+EE194+EE195+EE188</f>
        <v>0</v>
      </c>
      <c r="EF196" s="1372">
        <f>EF192+EF194+EF195+EF188</f>
        <v>0</v>
      </c>
      <c r="EG196" s="1372">
        <f>EG192+EG194+EG195+EG188</f>
        <v>0</v>
      </c>
      <c r="EH196" s="782"/>
    </row>
    <row r="197" spans="1:138" ht="12.75" customHeight="1" x14ac:dyDescent="0.3">
      <c r="A197" s="782"/>
      <c r="B197" s="781" t="s">
        <v>121</v>
      </c>
      <c r="C197" s="799"/>
      <c r="D197" s="781"/>
      <c r="E197" s="799">
        <f>-E173-E181</f>
        <v>0</v>
      </c>
      <c r="F197" s="799">
        <f t="shared" ref="F197:BQ197" si="157">-F173-F181</f>
        <v>0</v>
      </c>
      <c r="G197" s="799">
        <f t="shared" si="157"/>
        <v>0</v>
      </c>
      <c r="H197" s="799">
        <f t="shared" si="157"/>
        <v>0</v>
      </c>
      <c r="I197" s="799">
        <f t="shared" si="157"/>
        <v>0</v>
      </c>
      <c r="J197" s="799">
        <f t="shared" si="157"/>
        <v>0</v>
      </c>
      <c r="K197" s="799">
        <f t="shared" si="157"/>
        <v>0</v>
      </c>
      <c r="L197" s="799">
        <f t="shared" si="157"/>
        <v>0</v>
      </c>
      <c r="M197" s="799">
        <f t="shared" si="157"/>
        <v>0</v>
      </c>
      <c r="N197" s="799">
        <f t="shared" si="157"/>
        <v>0</v>
      </c>
      <c r="O197" s="799">
        <f t="shared" si="157"/>
        <v>-1711728.34</v>
      </c>
      <c r="P197" s="799">
        <f t="shared" si="157"/>
        <v>-5697228.0930000003</v>
      </c>
      <c r="Q197" s="799">
        <f t="shared" si="157"/>
        <v>-9733199.8629999999</v>
      </c>
      <c r="R197" s="799">
        <f t="shared" si="157"/>
        <v>-13808090.988</v>
      </c>
      <c r="S197" s="799">
        <f t="shared" si="157"/>
        <v>-17622260.153000001</v>
      </c>
      <c r="T197" s="799">
        <f t="shared" si="157"/>
        <v>-21329502.300000001</v>
      </c>
      <c r="U197" s="799">
        <f t="shared" si="157"/>
        <v>-24768144.386</v>
      </c>
      <c r="V197" s="799">
        <f t="shared" si="157"/>
        <v>-27869886.265000001</v>
      </c>
      <c r="W197" s="799">
        <f t="shared" si="157"/>
        <v>-30955999.098000001</v>
      </c>
      <c r="X197" s="799">
        <f t="shared" si="157"/>
        <v>-33796813.004000001</v>
      </c>
      <c r="Y197" s="799">
        <f t="shared" si="157"/>
        <v>-36204153.247000001</v>
      </c>
      <c r="Z197" s="799">
        <f t="shared" si="157"/>
        <v>-38271070.438000001</v>
      </c>
      <c r="AA197" s="799">
        <f t="shared" si="157"/>
        <v>-40007220.784000002</v>
      </c>
      <c r="AB197" s="799">
        <f t="shared" si="157"/>
        <v>-41209308.363000005</v>
      </c>
      <c r="AC197" s="799">
        <f t="shared" si="157"/>
        <v>-42200089.103000008</v>
      </c>
      <c r="AD197" s="799">
        <f t="shared" si="157"/>
        <v>-42877793.387000009</v>
      </c>
      <c r="AE197" s="799">
        <f t="shared" si="157"/>
        <v>-42877793.387000009</v>
      </c>
      <c r="AF197" s="799">
        <f t="shared" si="157"/>
        <v>-42877793.387000009</v>
      </c>
      <c r="AG197" s="799">
        <f t="shared" si="157"/>
        <v>-42877793.387000009</v>
      </c>
      <c r="AH197" s="799">
        <f t="shared" si="157"/>
        <v>-42877793.387000009</v>
      </c>
      <c r="AI197" s="799">
        <f t="shared" si="157"/>
        <v>-42877793.387000009</v>
      </c>
      <c r="AJ197" s="799">
        <f t="shared" si="157"/>
        <v>-42877793.387000009</v>
      </c>
      <c r="AK197" s="799">
        <f t="shared" si="157"/>
        <v>-42877793.387000009</v>
      </c>
      <c r="AL197" s="799">
        <f t="shared" si="157"/>
        <v>-57343611.907627545</v>
      </c>
      <c r="AM197" s="799">
        <f t="shared" si="157"/>
        <v>-57343611.907627545</v>
      </c>
      <c r="AN197" s="799">
        <f t="shared" si="157"/>
        <v>-57343611.907627545</v>
      </c>
      <c r="AO197" s="799">
        <f t="shared" si="157"/>
        <v>-57343611.907627545</v>
      </c>
      <c r="AP197" s="799">
        <f t="shared" si="157"/>
        <v>-57343611.907627545</v>
      </c>
      <c r="AQ197" s="799">
        <f t="shared" si="157"/>
        <v>-57343611.907627545</v>
      </c>
      <c r="AR197" s="799">
        <f t="shared" si="157"/>
        <v>-57343611.907627545</v>
      </c>
      <c r="AS197" s="799">
        <f t="shared" si="157"/>
        <v>-57343611.907627545</v>
      </c>
      <c r="AT197" s="799">
        <f t="shared" si="157"/>
        <v>-57343611.907627545</v>
      </c>
      <c r="AU197" s="799">
        <f t="shared" si="157"/>
        <v>-57343611.907627545</v>
      </c>
      <c r="AV197" s="799">
        <f t="shared" si="157"/>
        <v>-57343611.907627545</v>
      </c>
      <c r="AW197" s="799">
        <f t="shared" si="157"/>
        <v>-57343611.907627545</v>
      </c>
      <c r="AX197" s="799">
        <f t="shared" si="157"/>
        <v>-57343611.907627545</v>
      </c>
      <c r="AY197" s="799">
        <f t="shared" si="157"/>
        <v>-57343611.907627545</v>
      </c>
      <c r="AZ197" s="799">
        <f t="shared" si="157"/>
        <v>-57343611.907627545</v>
      </c>
      <c r="BA197" s="799">
        <f t="shared" si="157"/>
        <v>-57343611.907627545</v>
      </c>
      <c r="BB197" s="799">
        <f t="shared" si="157"/>
        <v>-57343611.907627545</v>
      </c>
      <c r="BC197" s="799">
        <f t="shared" si="157"/>
        <v>-57343611.907627545</v>
      </c>
      <c r="BD197" s="799">
        <f t="shared" si="157"/>
        <v>-57343611.907627545</v>
      </c>
      <c r="BE197" s="799">
        <f t="shared" si="157"/>
        <v>-57343611.907627545</v>
      </c>
      <c r="BF197" s="799">
        <f t="shared" si="157"/>
        <v>-57343611.907627545</v>
      </c>
      <c r="BG197" s="799">
        <f t="shared" si="157"/>
        <v>-57343611.907627545</v>
      </c>
      <c r="BH197" s="799">
        <f t="shared" si="157"/>
        <v>-57343611.907627545</v>
      </c>
      <c r="BI197" s="799">
        <f t="shared" si="157"/>
        <v>-57343611.907627545</v>
      </c>
      <c r="BJ197" s="799">
        <f t="shared" si="157"/>
        <v>-57343611.907627545</v>
      </c>
      <c r="BK197" s="799">
        <f t="shared" si="157"/>
        <v>-57343611.907627545</v>
      </c>
      <c r="BL197" s="799">
        <f t="shared" si="157"/>
        <v>-57343611.907627545</v>
      </c>
      <c r="BM197" s="799">
        <f t="shared" si="157"/>
        <v>-57343611.907627545</v>
      </c>
      <c r="BN197" s="799">
        <f t="shared" si="157"/>
        <v>-57343611.907627545</v>
      </c>
      <c r="BO197" s="799">
        <f t="shared" si="157"/>
        <v>-57343611.907627545</v>
      </c>
      <c r="BP197" s="799">
        <f t="shared" si="157"/>
        <v>-57343611.907627545</v>
      </c>
      <c r="BQ197" s="799">
        <f t="shared" si="157"/>
        <v>-57343611.907627545</v>
      </c>
      <c r="BR197" s="799">
        <f t="shared" ref="BR197:EC197" si="158">-BR173-BR181</f>
        <v>-57343611.907627545</v>
      </c>
      <c r="BS197" s="799">
        <f t="shared" si="158"/>
        <v>-57343611.907627545</v>
      </c>
      <c r="BT197" s="799">
        <f t="shared" si="158"/>
        <v>-57343611.907627545</v>
      </c>
      <c r="BU197" s="799">
        <f t="shared" si="158"/>
        <v>-57343611.907627545</v>
      </c>
      <c r="BV197" s="799">
        <f t="shared" si="158"/>
        <v>-57343611.907627545</v>
      </c>
      <c r="BW197" s="799">
        <f t="shared" si="158"/>
        <v>-57343611.907627545</v>
      </c>
      <c r="BX197" s="799">
        <f t="shared" si="158"/>
        <v>-57343611.907627545</v>
      </c>
      <c r="BY197" s="799">
        <f t="shared" si="158"/>
        <v>-57343611.907627545</v>
      </c>
      <c r="BZ197" s="799">
        <f t="shared" si="158"/>
        <v>-57343611.907627545</v>
      </c>
      <c r="CA197" s="799">
        <f t="shared" si="158"/>
        <v>-57343611.907627545</v>
      </c>
      <c r="CB197" s="799">
        <f t="shared" si="158"/>
        <v>-57343611.907627545</v>
      </c>
      <c r="CC197" s="799">
        <f t="shared" si="158"/>
        <v>-57343611.907627545</v>
      </c>
      <c r="CD197" s="799">
        <f t="shared" si="158"/>
        <v>-57343611.907627545</v>
      </c>
      <c r="CE197" s="799">
        <f t="shared" si="158"/>
        <v>-57343611.907627545</v>
      </c>
      <c r="CF197" s="799">
        <f t="shared" si="158"/>
        <v>-57343611.907627545</v>
      </c>
      <c r="CG197" s="799">
        <f t="shared" si="158"/>
        <v>-57343611.907627545</v>
      </c>
      <c r="CH197" s="799">
        <f t="shared" si="158"/>
        <v>-57343611.907627545</v>
      </c>
      <c r="CI197" s="799">
        <f t="shared" si="158"/>
        <v>-57343611.907627545</v>
      </c>
      <c r="CJ197" s="799">
        <f t="shared" si="158"/>
        <v>-57343611.907627545</v>
      </c>
      <c r="CK197" s="799">
        <f t="shared" si="158"/>
        <v>-57343611.907627545</v>
      </c>
      <c r="CL197" s="799">
        <f t="shared" si="158"/>
        <v>-57343611.907627545</v>
      </c>
      <c r="CM197" s="799">
        <f t="shared" si="158"/>
        <v>-57343611.907627545</v>
      </c>
      <c r="CN197" s="799">
        <f t="shared" si="158"/>
        <v>-57343611.907627545</v>
      </c>
      <c r="CO197" s="799">
        <f t="shared" si="158"/>
        <v>-57343611.907627545</v>
      </c>
      <c r="CP197" s="799">
        <f t="shared" si="158"/>
        <v>-57343611.907627545</v>
      </c>
      <c r="CQ197" s="799">
        <f t="shared" si="158"/>
        <v>-57343611.907627545</v>
      </c>
      <c r="CR197" s="799">
        <f t="shared" si="158"/>
        <v>-57343611.907627545</v>
      </c>
      <c r="CS197" s="799">
        <f t="shared" si="158"/>
        <v>-57343611.907627545</v>
      </c>
      <c r="CT197" s="799">
        <f t="shared" si="158"/>
        <v>-57343611.907627545</v>
      </c>
      <c r="CU197" s="799">
        <f t="shared" si="158"/>
        <v>-57343611.907627545</v>
      </c>
      <c r="CV197" s="799">
        <f t="shared" si="158"/>
        <v>-57343611.907627545</v>
      </c>
      <c r="CW197" s="799">
        <f t="shared" si="158"/>
        <v>-57343611.907627545</v>
      </c>
      <c r="CX197" s="799">
        <f t="shared" si="158"/>
        <v>-57343611.907627545</v>
      </c>
      <c r="CY197" s="799">
        <f t="shared" si="158"/>
        <v>-57343611.907627545</v>
      </c>
      <c r="CZ197" s="799">
        <f t="shared" si="158"/>
        <v>-57343611.907627545</v>
      </c>
      <c r="DA197" s="799">
        <f t="shared" si="158"/>
        <v>-57343611.907627545</v>
      </c>
      <c r="DB197" s="799">
        <f t="shared" si="158"/>
        <v>-57343611.907627545</v>
      </c>
      <c r="DC197" s="799">
        <f t="shared" si="158"/>
        <v>-57343611.907627545</v>
      </c>
      <c r="DD197" s="799">
        <f t="shared" si="158"/>
        <v>-57343611.907627545</v>
      </c>
      <c r="DE197" s="799">
        <f t="shared" si="158"/>
        <v>-57343611.907627545</v>
      </c>
      <c r="DF197" s="799">
        <f t="shared" si="158"/>
        <v>-57343611.907627545</v>
      </c>
      <c r="DG197" s="799">
        <f t="shared" si="158"/>
        <v>-57343611.907627545</v>
      </c>
      <c r="DH197" s="799">
        <f t="shared" si="158"/>
        <v>-57343611.907627545</v>
      </c>
      <c r="DI197" s="799">
        <f t="shared" si="158"/>
        <v>-57343611.907627545</v>
      </c>
      <c r="DJ197" s="799">
        <f t="shared" si="158"/>
        <v>-57343611.907627545</v>
      </c>
      <c r="DK197" s="799">
        <f t="shared" si="158"/>
        <v>-57343611.907627545</v>
      </c>
      <c r="DL197" s="799">
        <f t="shared" si="158"/>
        <v>-57343611.907627545</v>
      </c>
      <c r="DM197" s="799">
        <f t="shared" si="158"/>
        <v>-57343611.907627545</v>
      </c>
      <c r="DN197" s="799">
        <f t="shared" si="158"/>
        <v>-57343611.907627545</v>
      </c>
      <c r="DO197" s="799">
        <f t="shared" si="158"/>
        <v>-57343611.907627545</v>
      </c>
      <c r="DP197" s="799">
        <f t="shared" si="158"/>
        <v>-57343611.907627545</v>
      </c>
      <c r="DQ197" s="799">
        <f t="shared" si="158"/>
        <v>-57343611.907627545</v>
      </c>
      <c r="DR197" s="799">
        <f t="shared" si="158"/>
        <v>-57343611.907627545</v>
      </c>
      <c r="DS197" s="799">
        <f t="shared" si="158"/>
        <v>-57343611.907627545</v>
      </c>
      <c r="DT197" s="799">
        <f t="shared" si="158"/>
        <v>-57343611.907627545</v>
      </c>
      <c r="DU197" s="799">
        <f t="shared" si="158"/>
        <v>-57343611.907627545</v>
      </c>
      <c r="DV197" s="799">
        <f t="shared" si="158"/>
        <v>-57343611.907627545</v>
      </c>
      <c r="DW197" s="799">
        <f t="shared" si="158"/>
        <v>-57343611.907627545</v>
      </c>
      <c r="DX197" s="799">
        <f t="shared" si="158"/>
        <v>-57343611.907627545</v>
      </c>
      <c r="DY197" s="799">
        <f t="shared" si="158"/>
        <v>-57343611.907627545</v>
      </c>
      <c r="DZ197" s="799">
        <f t="shared" si="158"/>
        <v>-57343611.907627545</v>
      </c>
      <c r="EA197" s="799">
        <f t="shared" si="158"/>
        <v>-57343611.907627545</v>
      </c>
      <c r="EB197" s="799">
        <f t="shared" si="158"/>
        <v>-57343611.907627545</v>
      </c>
      <c r="EC197" s="799">
        <f t="shared" si="158"/>
        <v>-57343611.907627538</v>
      </c>
      <c r="ED197" s="799">
        <f>-ED173-ED181</f>
        <v>-57343611.907627538</v>
      </c>
      <c r="EE197" s="799">
        <f>-EE173-EE181</f>
        <v>-57343611.907626979</v>
      </c>
      <c r="EF197" s="799">
        <f>-EF173-EF181</f>
        <v>-57343611.907626964</v>
      </c>
      <c r="EG197" s="799">
        <f>-EG173-EG181</f>
        <v>-57343611.90762639</v>
      </c>
      <c r="EH197" s="782"/>
    </row>
    <row r="198" spans="1:138" ht="12.75" customHeight="1" x14ac:dyDescent="0.3">
      <c r="A198" s="782"/>
      <c r="B198" s="796" t="s">
        <v>122</v>
      </c>
      <c r="C198" s="813"/>
      <c r="D198" s="796"/>
      <c r="E198" s="813">
        <f>E196+E197</f>
        <v>0</v>
      </c>
      <c r="F198" s="813">
        <f t="shared" ref="F198:BQ198" si="159">F196+F197</f>
        <v>0</v>
      </c>
      <c r="G198" s="813">
        <f t="shared" si="159"/>
        <v>0</v>
      </c>
      <c r="H198" s="813">
        <f t="shared" si="159"/>
        <v>0</v>
      </c>
      <c r="I198" s="813">
        <f t="shared" si="159"/>
        <v>0</v>
      </c>
      <c r="J198" s="813">
        <f t="shared" si="159"/>
        <v>0</v>
      </c>
      <c r="K198" s="813">
        <f t="shared" si="159"/>
        <v>0</v>
      </c>
      <c r="L198" s="813">
        <f t="shared" si="159"/>
        <v>0</v>
      </c>
      <c r="M198" s="813">
        <f t="shared" si="159"/>
        <v>0</v>
      </c>
      <c r="N198" s="813">
        <f t="shared" si="159"/>
        <v>0</v>
      </c>
      <c r="O198" s="813">
        <f t="shared" si="159"/>
        <v>-1711728.34</v>
      </c>
      <c r="P198" s="813">
        <f t="shared" si="159"/>
        <v>-5697228.0930000003</v>
      </c>
      <c r="Q198" s="813">
        <f t="shared" si="159"/>
        <v>-885861.07642313093</v>
      </c>
      <c r="R198" s="813">
        <f t="shared" si="159"/>
        <v>728597.58695771731</v>
      </c>
      <c r="S198" s="813">
        <f t="shared" si="159"/>
        <v>4956124.6780418083</v>
      </c>
      <c r="T198" s="813">
        <f t="shared" si="159"/>
        <v>10955740.654790346</v>
      </c>
      <c r="U198" s="813">
        <f t="shared" si="159"/>
        <v>17372706.780509889</v>
      </c>
      <c r="V198" s="813">
        <f t="shared" si="159"/>
        <v>23601309.193574734</v>
      </c>
      <c r="W198" s="813">
        <f t="shared" si="159"/>
        <v>29281990.811899323</v>
      </c>
      <c r="X198" s="813">
        <f t="shared" si="159"/>
        <v>34485621.781124733</v>
      </c>
      <c r="Y198" s="813">
        <f t="shared" si="159"/>
        <v>39477368.88732221</v>
      </c>
      <c r="Z198" s="813">
        <f t="shared" si="159"/>
        <v>44015690.839921407</v>
      </c>
      <c r="AA198" s="813">
        <f t="shared" si="159"/>
        <v>47936518.64548523</v>
      </c>
      <c r="AB198" s="813">
        <f t="shared" si="159"/>
        <v>51442622.370582283</v>
      </c>
      <c r="AC198" s="813">
        <f t="shared" si="159"/>
        <v>54219010.967844017</v>
      </c>
      <c r="AD198" s="813">
        <f t="shared" si="159"/>
        <v>56514282.808185488</v>
      </c>
      <c r="AE198" s="813">
        <f t="shared" si="159"/>
        <v>58652765.451127425</v>
      </c>
      <c r="AF198" s="813">
        <f t="shared" si="159"/>
        <v>59221757.145224467</v>
      </c>
      <c r="AG198" s="813">
        <f t="shared" si="159"/>
        <v>59641681.810804799</v>
      </c>
      <c r="AH198" s="813">
        <f t="shared" si="159"/>
        <v>60071635.509676516</v>
      </c>
      <c r="AI198" s="813">
        <f t="shared" si="159"/>
        <v>60511071.456333712</v>
      </c>
      <c r="AJ198" s="813">
        <f t="shared" si="159"/>
        <v>60950029.404697984</v>
      </c>
      <c r="AK198" s="813">
        <f t="shared" si="159"/>
        <v>61383319.172322795</v>
      </c>
      <c r="AL198" s="813">
        <f t="shared" si="159"/>
        <v>47343870.120451398</v>
      </c>
      <c r="AM198" s="813">
        <f t="shared" si="159"/>
        <v>47762057.889933787</v>
      </c>
      <c r="AN198" s="813">
        <f t="shared" si="159"/>
        <v>48170793.226627104</v>
      </c>
      <c r="AO198" s="813">
        <f t="shared" si="159"/>
        <v>48568796.012832858</v>
      </c>
      <c r="AP198" s="813">
        <f t="shared" si="159"/>
        <v>48958825.730126984</v>
      </c>
      <c r="AQ198" s="813">
        <f t="shared" si="159"/>
        <v>49331629.640789725</v>
      </c>
      <c r="AR198" s="813">
        <f t="shared" si="159"/>
        <v>49688502.801605843</v>
      </c>
      <c r="AS198" s="813">
        <f t="shared" si="159"/>
        <v>50058734.951237433</v>
      </c>
      <c r="AT198" s="813">
        <f t="shared" si="159"/>
        <v>50420306.262221538</v>
      </c>
      <c r="AU198" s="813">
        <f t="shared" si="159"/>
        <v>50774274.657301463</v>
      </c>
      <c r="AV198" s="813">
        <f t="shared" si="159"/>
        <v>51118370.663791589</v>
      </c>
      <c r="AW198" s="813">
        <f t="shared" si="159"/>
        <v>51454999.864910714</v>
      </c>
      <c r="AX198" s="813">
        <f t="shared" si="159"/>
        <v>51786587.195470668</v>
      </c>
      <c r="AY198" s="813">
        <f t="shared" si="159"/>
        <v>52115577.059761949</v>
      </c>
      <c r="AZ198" s="813">
        <f t="shared" si="159"/>
        <v>52444433.450086348</v>
      </c>
      <c r="BA198" s="813">
        <f t="shared" si="159"/>
        <v>52775640.065940194</v>
      </c>
      <c r="BB198" s="813">
        <f t="shared" si="159"/>
        <v>53110125.433380879</v>
      </c>
      <c r="BC198" s="813">
        <f t="shared" si="159"/>
        <v>53453282.676680379</v>
      </c>
      <c r="BD198" s="813">
        <f t="shared" si="159"/>
        <v>53805934.64289964</v>
      </c>
      <c r="BE198" s="813">
        <f t="shared" si="159"/>
        <v>54160428.144573562</v>
      </c>
      <c r="BF198" s="813">
        <f t="shared" si="159"/>
        <v>54521236.108664311</v>
      </c>
      <c r="BG198" s="813">
        <f t="shared" si="159"/>
        <v>54888009.466176815</v>
      </c>
      <c r="BH198" s="813">
        <f t="shared" si="159"/>
        <v>55263139.335681312</v>
      </c>
      <c r="BI198" s="813">
        <f t="shared" si="159"/>
        <v>55645831.97178214</v>
      </c>
      <c r="BJ198" s="813">
        <f t="shared" si="159"/>
        <v>56035287.640742756</v>
      </c>
      <c r="BK198" s="813">
        <f t="shared" si="159"/>
        <v>56430700.586873107</v>
      </c>
      <c r="BL198" s="813">
        <f t="shared" si="159"/>
        <v>56831258.998749085</v>
      </c>
      <c r="BM198" s="813">
        <f t="shared" si="159"/>
        <v>57236144.975263171</v>
      </c>
      <c r="BN198" s="813">
        <f t="shared" si="159"/>
        <v>57643410.849317662</v>
      </c>
      <c r="BO198" s="813">
        <f t="shared" si="159"/>
        <v>58054566.001182459</v>
      </c>
      <c r="BP198" s="813">
        <f t="shared" si="159"/>
        <v>58468469.025941037</v>
      </c>
      <c r="BQ198" s="813">
        <f t="shared" si="159"/>
        <v>58880393.112402536</v>
      </c>
      <c r="BR198" s="813">
        <f t="shared" ref="BR198:EC198" si="160">BR196+BR197</f>
        <v>59293588.687380768</v>
      </c>
      <c r="BS198" s="813">
        <f t="shared" si="160"/>
        <v>59708059.226533644</v>
      </c>
      <c r="BT198" s="813">
        <f t="shared" si="160"/>
        <v>60124380.145871319</v>
      </c>
      <c r="BU198" s="813">
        <f t="shared" si="160"/>
        <v>60542558.893572696</v>
      </c>
      <c r="BV198" s="813">
        <f t="shared" si="160"/>
        <v>60962602.948150046</v>
      </c>
      <c r="BW198" s="813">
        <f t="shared" si="160"/>
        <v>61384519.818573318</v>
      </c>
      <c r="BX198" s="813">
        <f t="shared" si="160"/>
        <v>61808317.044395052</v>
      </c>
      <c r="BY198" s="813">
        <f t="shared" si="160"/>
        <v>62234002.195876025</v>
      </c>
      <c r="BZ198" s="813">
        <f t="shared" si="160"/>
        <v>62660996.562379502</v>
      </c>
      <c r="CA198" s="813">
        <f t="shared" si="160"/>
        <v>63090479.588847838</v>
      </c>
      <c r="CB198" s="813">
        <f t="shared" si="160"/>
        <v>63522145.321974151</v>
      </c>
      <c r="CC198" s="813">
        <f t="shared" si="160"/>
        <v>63951762.532745279</v>
      </c>
      <c r="CD198" s="813">
        <f t="shared" si="160"/>
        <v>64382703.334123082</v>
      </c>
      <c r="CE198" s="813">
        <f t="shared" si="160"/>
        <v>64814971.344627582</v>
      </c>
      <c r="CF198" s="813">
        <f t="shared" si="160"/>
        <v>65249166.298811071</v>
      </c>
      <c r="CG198" s="813">
        <f t="shared" si="160"/>
        <v>65685295.955611415</v>
      </c>
      <c r="CH198" s="813">
        <f t="shared" si="160"/>
        <v>66123368.105571903</v>
      </c>
      <c r="CI198" s="813">
        <f t="shared" si="160"/>
        <v>66563390.570970871</v>
      </c>
      <c r="CJ198" s="813">
        <f t="shared" si="160"/>
        <v>67005371.205951937</v>
      </c>
      <c r="CK198" s="813">
        <f t="shared" si="160"/>
        <v>67449317.896654695</v>
      </c>
      <c r="CL198" s="813">
        <f t="shared" si="160"/>
        <v>67894627.466452062</v>
      </c>
      <c r="CM198" s="813">
        <f t="shared" si="160"/>
        <v>68342529.210819423</v>
      </c>
      <c r="CN198" s="813">
        <f t="shared" si="160"/>
        <v>68792704.239782512</v>
      </c>
      <c r="CO198" s="813">
        <f t="shared" si="160"/>
        <v>69240757.381364763</v>
      </c>
      <c r="CP198" s="813">
        <f t="shared" si="160"/>
        <v>69690188.36868158</v>
      </c>
      <c r="CQ198" s="813">
        <f t="shared" si="160"/>
        <v>70141000.969032079</v>
      </c>
      <c r="CR198" s="813">
        <f t="shared" si="160"/>
        <v>70593820.263324022</v>
      </c>
      <c r="CS198" s="813">
        <f t="shared" si="160"/>
        <v>71048654.334267616</v>
      </c>
      <c r="CT198" s="813">
        <f t="shared" si="160"/>
        <v>71505511.297504157</v>
      </c>
      <c r="CU198" s="813">
        <f t="shared" si="160"/>
        <v>71964399.301741004</v>
      </c>
      <c r="CV198" s="813">
        <f t="shared" si="160"/>
        <v>72425326.528887361</v>
      </c>
      <c r="CW198" s="813">
        <f t="shared" si="160"/>
        <v>72888301.194190502</v>
      </c>
      <c r="CX198" s="813">
        <f t="shared" si="160"/>
        <v>73352694.620741338</v>
      </c>
      <c r="CY198" s="813">
        <f t="shared" si="160"/>
        <v>73819788.061586738</v>
      </c>
      <c r="CZ198" s="813">
        <f t="shared" si="160"/>
        <v>74289249.143132746</v>
      </c>
      <c r="DA198" s="813">
        <f t="shared" si="160"/>
        <v>74756510.878923357</v>
      </c>
      <c r="DB198" s="813">
        <f t="shared" si="160"/>
        <v>75225206.958143383</v>
      </c>
      <c r="DC198" s="813">
        <f t="shared" si="160"/>
        <v>75695341.303034782</v>
      </c>
      <c r="DD198" s="813">
        <f t="shared" si="160"/>
        <v>76167565.412115455</v>
      </c>
      <c r="DE198" s="813">
        <f t="shared" si="160"/>
        <v>76641887.705427915</v>
      </c>
      <c r="DF198" s="813">
        <f t="shared" si="160"/>
        <v>77118316.637326986</v>
      </c>
      <c r="DG198" s="813">
        <f t="shared" si="160"/>
        <v>77596860.696620733</v>
      </c>
      <c r="DH198" s="813">
        <f t="shared" si="160"/>
        <v>78077528.406711608</v>
      </c>
      <c r="DI198" s="813">
        <f t="shared" si="160"/>
        <v>78560328.325738609</v>
      </c>
      <c r="DJ198" s="813">
        <f t="shared" si="160"/>
        <v>79044605.198496819</v>
      </c>
      <c r="DK198" s="813">
        <f t="shared" si="160"/>
        <v>79531694.431702375</v>
      </c>
      <c r="DL198" s="813">
        <f t="shared" si="160"/>
        <v>80021249.598066449</v>
      </c>
      <c r="DM198" s="813">
        <f t="shared" si="160"/>
        <v>80508523.52401188</v>
      </c>
      <c r="DN198" s="813">
        <f t="shared" si="160"/>
        <v>80997290.626917809</v>
      </c>
      <c r="DO198" s="813">
        <f t="shared" si="160"/>
        <v>81487554.990389287</v>
      </c>
      <c r="DP198" s="813">
        <f t="shared" si="160"/>
        <v>81979995.647087008</v>
      </c>
      <c r="DQ198" s="813">
        <f t="shared" si="160"/>
        <v>82474621.368514985</v>
      </c>
      <c r="DR198" s="813">
        <f t="shared" si="160"/>
        <v>82971440.961929023</v>
      </c>
      <c r="DS198" s="813">
        <f t="shared" si="160"/>
        <v>83470463.270483404</v>
      </c>
      <c r="DT198" s="813">
        <f t="shared" si="160"/>
        <v>83971697.17337808</v>
      </c>
      <c r="DU198" s="813">
        <f t="shared" si="160"/>
        <v>84475151.58600691</v>
      </c>
      <c r="DV198" s="813">
        <f t="shared" si="160"/>
        <v>-57343611.907627545</v>
      </c>
      <c r="DW198" s="813">
        <f t="shared" si="160"/>
        <v>-57343611.907627545</v>
      </c>
      <c r="DX198" s="813">
        <f t="shared" si="160"/>
        <v>-57343611.907627545</v>
      </c>
      <c r="DY198" s="813">
        <f t="shared" si="160"/>
        <v>-57343611.907627545</v>
      </c>
      <c r="DZ198" s="813">
        <f t="shared" si="160"/>
        <v>-57343611.907627545</v>
      </c>
      <c r="EA198" s="813">
        <f t="shared" si="160"/>
        <v>-57343611.907627545</v>
      </c>
      <c r="EB198" s="813">
        <f t="shared" si="160"/>
        <v>-57343611.907627545</v>
      </c>
      <c r="EC198" s="813">
        <f t="shared" si="160"/>
        <v>-57343611.907627538</v>
      </c>
      <c r="ED198" s="813">
        <f>ED196+ED197</f>
        <v>-57343611.907627538</v>
      </c>
      <c r="EE198" s="813">
        <f>EE196+EE197</f>
        <v>-57343611.907626979</v>
      </c>
      <c r="EF198" s="813">
        <f>EF196+EF197</f>
        <v>-57343611.907626964</v>
      </c>
      <c r="EG198" s="813">
        <f>EG196+EG197</f>
        <v>-57343611.90762639</v>
      </c>
      <c r="EH198" s="782"/>
    </row>
    <row r="199" spans="1:138" ht="12.75" customHeight="1" x14ac:dyDescent="0.3">
      <c r="A199" s="782"/>
      <c r="B199" s="782" t="s">
        <v>123</v>
      </c>
      <c r="C199" s="798"/>
      <c r="D199" s="782"/>
      <c r="E199" s="798">
        <f>SUM(E192,E194)*-'General Inputs'!$H$50</f>
        <v>0</v>
      </c>
      <c r="F199" s="798">
        <f>SUM(F192,F194)*-'General Inputs'!$H$50</f>
        <v>0</v>
      </c>
      <c r="G199" s="798">
        <f>SUM(G192,G194)*-'General Inputs'!$H$50</f>
        <v>0</v>
      </c>
      <c r="H199" s="798">
        <f>SUM(H192,H194)*-'General Inputs'!$H$50</f>
        <v>0</v>
      </c>
      <c r="I199" s="798">
        <f>SUM(I192,I194)*-'General Inputs'!$H$50</f>
        <v>0</v>
      </c>
      <c r="J199" s="798">
        <f>SUM(J192,J194)*-'General Inputs'!$H$50</f>
        <v>0</v>
      </c>
      <c r="K199" s="798">
        <f>SUM(K192,K194)*-'General Inputs'!$H$50</f>
        <v>0</v>
      </c>
      <c r="L199" s="798">
        <f>SUM(L192,L194)*-'General Inputs'!$H$50</f>
        <v>0</v>
      </c>
      <c r="M199" s="798">
        <f>SUM(M192,M194)*-'General Inputs'!$H$50</f>
        <v>0</v>
      </c>
      <c r="N199" s="798">
        <f>SUM(N192,N194)*-'General Inputs'!$H$50</f>
        <v>0</v>
      </c>
      <c r="O199" s="798">
        <f>SUM(O192,O194)*-'General Inputs'!$H$50</f>
        <v>0</v>
      </c>
      <c r="P199" s="798">
        <f>SUM(P192,P194)*-'General Inputs'!$H$50</f>
        <v>0</v>
      </c>
      <c r="Q199" s="798">
        <f>SUM(Q192,Q194)*-'General Inputs'!$H$50</f>
        <v>0</v>
      </c>
      <c r="R199" s="798">
        <f>SUM(R192,R194)*-'General Inputs'!$H$50</f>
        <v>0</v>
      </c>
      <c r="S199" s="798">
        <f>SUM(S192,S194)*-'General Inputs'!$H$50</f>
        <v>0</v>
      </c>
      <c r="T199" s="798">
        <f>SUM(T192,T194)*-'General Inputs'!$H$50</f>
        <v>0</v>
      </c>
      <c r="U199" s="798">
        <f>SUM(U192,U194)*-'General Inputs'!$H$50</f>
        <v>0</v>
      </c>
      <c r="V199" s="798">
        <f>SUM(V192,V194)*-'General Inputs'!$H$50</f>
        <v>0</v>
      </c>
      <c r="W199" s="798">
        <f>SUM(W192,W194)*-'General Inputs'!$H$50</f>
        <v>0</v>
      </c>
      <c r="X199" s="798">
        <f>SUM(X192,X194)*-'General Inputs'!$H$50</f>
        <v>0</v>
      </c>
      <c r="Y199" s="798">
        <f>SUM(Y192,Y194)*-'General Inputs'!$H$50</f>
        <v>0</v>
      </c>
      <c r="Z199" s="798">
        <f>SUM(Z192,Z194)*-'General Inputs'!$H$50</f>
        <v>0</v>
      </c>
      <c r="AA199" s="798">
        <f>SUM(AA192,AA194)*-'General Inputs'!$H$50</f>
        <v>0</v>
      </c>
      <c r="AB199" s="798">
        <f>SUM(AB192,AB194)*-'General Inputs'!$H$50</f>
        <v>0</v>
      </c>
      <c r="AC199" s="798">
        <f>SUM(AC192,AC194)*-'General Inputs'!$H$50</f>
        <v>0</v>
      </c>
      <c r="AD199" s="798">
        <f>SUM(AD192,AD194)*-'General Inputs'!$H$50</f>
        <v>0</v>
      </c>
      <c r="AE199" s="798">
        <f>SUM(AE192,AE194)*-'General Inputs'!$H$50</f>
        <v>0</v>
      </c>
      <c r="AF199" s="798">
        <f>SUM(AF192,AF194)*-'General Inputs'!$H$50</f>
        <v>0</v>
      </c>
      <c r="AG199" s="798">
        <f>SUM(AG192,AG194)*-'General Inputs'!$H$50</f>
        <v>0</v>
      </c>
      <c r="AH199" s="798">
        <f>SUM(AH192,AH194)*-'General Inputs'!$H$50</f>
        <v>0</v>
      </c>
      <c r="AI199" s="798">
        <f>SUM(AI192,AI194)*-'General Inputs'!$H$50</f>
        <v>0</v>
      </c>
      <c r="AJ199" s="798">
        <f>SUM(AJ192,AJ194)*-'General Inputs'!$H$50</f>
        <v>0</v>
      </c>
      <c r="AK199" s="798">
        <f>SUM(AK192,AK194)*-'General Inputs'!$H$50</f>
        <v>0</v>
      </c>
      <c r="AL199" s="798">
        <f>SUM(AL192,AL194)*-'General Inputs'!$H$50</f>
        <v>0</v>
      </c>
      <c r="AM199" s="798">
        <f>SUM(AM192,AM194)*-'General Inputs'!$H$50</f>
        <v>0</v>
      </c>
      <c r="AN199" s="798">
        <f>SUM(AN192,AN194)*-'General Inputs'!$H$50</f>
        <v>0</v>
      </c>
      <c r="AO199" s="798">
        <f>SUM(AO192,AO194)*-'General Inputs'!$H$50</f>
        <v>0</v>
      </c>
      <c r="AP199" s="798">
        <f>SUM(AP192,AP194)*-'General Inputs'!$H$50</f>
        <v>0</v>
      </c>
      <c r="AQ199" s="798">
        <f>SUM(AQ192,AQ194)*-'General Inputs'!$H$50</f>
        <v>0</v>
      </c>
      <c r="AR199" s="798">
        <f>SUM(AR192,AR194)*-'General Inputs'!$H$50</f>
        <v>0</v>
      </c>
      <c r="AS199" s="798">
        <f>SUM(AS192,AS194)*-'General Inputs'!$H$50</f>
        <v>0</v>
      </c>
      <c r="AT199" s="798">
        <f>SUM(AT192,AT194)*-'General Inputs'!$H$50</f>
        <v>0</v>
      </c>
      <c r="AU199" s="798">
        <f>SUM(AU192,AU194)*-'General Inputs'!$H$50</f>
        <v>0</v>
      </c>
      <c r="AV199" s="798">
        <f>SUM(AV192,AV194)*-'General Inputs'!$H$50</f>
        <v>0</v>
      </c>
      <c r="AW199" s="798">
        <f>SUM(AW192,AW194)*-'General Inputs'!$H$50</f>
        <v>0</v>
      </c>
      <c r="AX199" s="798">
        <f>SUM(AX192,AX194)*-'General Inputs'!$H$50</f>
        <v>0</v>
      </c>
      <c r="AY199" s="798">
        <f>SUM(AY192,AY194)*-'General Inputs'!$H$50</f>
        <v>0</v>
      </c>
      <c r="AZ199" s="798">
        <f>SUM(AZ192,AZ194)*-'General Inputs'!$H$50</f>
        <v>0</v>
      </c>
      <c r="BA199" s="798">
        <f>SUM(BA192,BA194)*-'General Inputs'!$H$50</f>
        <v>0</v>
      </c>
      <c r="BB199" s="798">
        <f>SUM(BB192,BB194)*-'General Inputs'!$H$50</f>
        <v>0</v>
      </c>
      <c r="BC199" s="798">
        <f>SUM(BC192,BC194)*-'General Inputs'!$H$50</f>
        <v>0</v>
      </c>
      <c r="BD199" s="798">
        <f>SUM(BD192,BD194)*-'General Inputs'!$H$50</f>
        <v>0</v>
      </c>
      <c r="BE199" s="798">
        <f>SUM(BE192,BE194)*-'General Inputs'!$H$50</f>
        <v>0</v>
      </c>
      <c r="BF199" s="798">
        <f>SUM(BF192,BF194)*-'General Inputs'!$H$50</f>
        <v>0</v>
      </c>
      <c r="BG199" s="798">
        <f>SUM(BG192,BG194)*-'General Inputs'!$H$50</f>
        <v>0</v>
      </c>
      <c r="BH199" s="798">
        <f>SUM(BH192,BH194)*-'General Inputs'!$H$50</f>
        <v>0</v>
      </c>
      <c r="BI199" s="798">
        <f>SUM(BI192,BI194)*-'General Inputs'!$H$50</f>
        <v>0</v>
      </c>
      <c r="BJ199" s="798">
        <f>SUM(BJ192,BJ194)*-'General Inputs'!$H$50</f>
        <v>0</v>
      </c>
      <c r="BK199" s="798">
        <f>SUM(BK192,BK194)*-'General Inputs'!$H$50</f>
        <v>0</v>
      </c>
      <c r="BL199" s="798">
        <f>SUM(BL192,BL194)*-'General Inputs'!$H$50</f>
        <v>0</v>
      </c>
      <c r="BM199" s="798">
        <f>SUM(BM192,BM194)*-'General Inputs'!$H$50</f>
        <v>0</v>
      </c>
      <c r="BN199" s="798">
        <f>SUM(BN192,BN194)*-'General Inputs'!$H$50</f>
        <v>0</v>
      </c>
      <c r="BO199" s="798">
        <f>SUM(BO192,BO194)*-'General Inputs'!$H$50</f>
        <v>0</v>
      </c>
      <c r="BP199" s="798">
        <f>SUM(BP192,BP194)*-'General Inputs'!$H$50</f>
        <v>0</v>
      </c>
      <c r="BQ199" s="798">
        <f>SUM(BQ192,BQ194)*-'General Inputs'!$H$50</f>
        <v>0</v>
      </c>
      <c r="BR199" s="798">
        <f>SUM(BR192,BR194)*-'General Inputs'!$H$50</f>
        <v>0</v>
      </c>
      <c r="BS199" s="798">
        <f>SUM(BS192,BS194)*-'General Inputs'!$H$50</f>
        <v>0</v>
      </c>
      <c r="BT199" s="798">
        <f>SUM(BT192,BT194)*-'General Inputs'!$H$50</f>
        <v>0</v>
      </c>
      <c r="BU199" s="798">
        <f>SUM(BU192,BU194)*-'General Inputs'!$H$50</f>
        <v>0</v>
      </c>
      <c r="BV199" s="798">
        <f>SUM(BV192,BV194)*-'General Inputs'!$H$50</f>
        <v>0</v>
      </c>
      <c r="BW199" s="798">
        <f>SUM(BW192,BW194)*-'General Inputs'!$H$50</f>
        <v>0</v>
      </c>
      <c r="BX199" s="798">
        <f>SUM(BX192,BX194)*-'General Inputs'!$H$50</f>
        <v>0</v>
      </c>
      <c r="BY199" s="798">
        <f>SUM(BY192,BY194)*-'General Inputs'!$H$50</f>
        <v>0</v>
      </c>
      <c r="BZ199" s="798">
        <f>SUM(BZ192,BZ194)*-'General Inputs'!$H$50</f>
        <v>0</v>
      </c>
      <c r="CA199" s="798">
        <f>SUM(CA192,CA194)*-'General Inputs'!$H$50</f>
        <v>0</v>
      </c>
      <c r="CB199" s="798">
        <f>SUM(CB192,CB194)*-'General Inputs'!$H$50</f>
        <v>0</v>
      </c>
      <c r="CC199" s="798">
        <f>SUM(CC192,CC194)*-'General Inputs'!$H$50</f>
        <v>0</v>
      </c>
      <c r="CD199" s="798">
        <f>SUM(CD192,CD194)*-'General Inputs'!$H$50</f>
        <v>0</v>
      </c>
      <c r="CE199" s="798">
        <f>SUM(CE192,CE194)*-'General Inputs'!$H$50</f>
        <v>0</v>
      </c>
      <c r="CF199" s="798">
        <f>SUM(CF192,CF194)*-'General Inputs'!$H$50</f>
        <v>0</v>
      </c>
      <c r="CG199" s="798">
        <f>SUM(CG192,CG194)*-'General Inputs'!$H$50</f>
        <v>0</v>
      </c>
      <c r="CH199" s="798">
        <f>SUM(CH192,CH194)*-'General Inputs'!$H$50</f>
        <v>0</v>
      </c>
      <c r="CI199" s="798">
        <f>SUM(CI192,CI194)*-'General Inputs'!$H$50</f>
        <v>0</v>
      </c>
      <c r="CJ199" s="798">
        <f>SUM(CJ192,CJ194)*-'General Inputs'!$H$50</f>
        <v>0</v>
      </c>
      <c r="CK199" s="798">
        <f>SUM(CK192,CK194)*-'General Inputs'!$H$50</f>
        <v>0</v>
      </c>
      <c r="CL199" s="798">
        <f>SUM(CL192,CL194)*-'General Inputs'!$H$50</f>
        <v>0</v>
      </c>
      <c r="CM199" s="798">
        <f>SUM(CM192,CM194)*-'General Inputs'!$H$50</f>
        <v>0</v>
      </c>
      <c r="CN199" s="798">
        <f>SUM(CN192,CN194)*-'General Inputs'!$H$50</f>
        <v>0</v>
      </c>
      <c r="CO199" s="798">
        <f>SUM(CO192,CO194)*-'General Inputs'!$H$50</f>
        <v>0</v>
      </c>
      <c r="CP199" s="798">
        <f>SUM(CP192,CP194)*-'General Inputs'!$H$50</f>
        <v>0</v>
      </c>
      <c r="CQ199" s="798">
        <f>SUM(CQ192,CQ194)*-'General Inputs'!$H$50</f>
        <v>0</v>
      </c>
      <c r="CR199" s="798">
        <f>SUM(CR192,CR194)*-'General Inputs'!$H$50</f>
        <v>0</v>
      </c>
      <c r="CS199" s="798">
        <f>SUM(CS192,CS194)*-'General Inputs'!$H$50</f>
        <v>0</v>
      </c>
      <c r="CT199" s="798">
        <f>SUM(CT192,CT194)*-'General Inputs'!$H$50</f>
        <v>0</v>
      </c>
      <c r="CU199" s="798">
        <f>SUM(CU192,CU194)*-'General Inputs'!$H$50</f>
        <v>0</v>
      </c>
      <c r="CV199" s="798">
        <f>SUM(CV192,CV194)*-'General Inputs'!$H$50</f>
        <v>0</v>
      </c>
      <c r="CW199" s="798">
        <f>SUM(CW192,CW194)*-'General Inputs'!$H$50</f>
        <v>0</v>
      </c>
      <c r="CX199" s="798">
        <f>SUM(CX192,CX194)*-'General Inputs'!$H$50</f>
        <v>0</v>
      </c>
      <c r="CY199" s="798">
        <f>SUM(CY192,CY194)*-'General Inputs'!$H$50</f>
        <v>0</v>
      </c>
      <c r="CZ199" s="798">
        <f>SUM(CZ192,CZ194)*-'General Inputs'!$H$50</f>
        <v>0</v>
      </c>
      <c r="DA199" s="798">
        <f>SUM(DA192,DA194)*-'General Inputs'!$H$50</f>
        <v>0</v>
      </c>
      <c r="DB199" s="798">
        <f>SUM(DB192,DB194)*-'General Inputs'!$H$50</f>
        <v>0</v>
      </c>
      <c r="DC199" s="798">
        <f>SUM(DC192,DC194)*-'General Inputs'!$H$50</f>
        <v>0</v>
      </c>
      <c r="DD199" s="798">
        <f>SUM(DD192,DD194)*-'General Inputs'!$H$50</f>
        <v>0</v>
      </c>
      <c r="DE199" s="798">
        <f>SUM(DE192,DE194)*-'General Inputs'!$H$50</f>
        <v>0</v>
      </c>
      <c r="DF199" s="798">
        <f>SUM(DF192,DF194)*-'General Inputs'!$H$50</f>
        <v>0</v>
      </c>
      <c r="DG199" s="798">
        <f>SUM(DG192,DG194)*-'General Inputs'!$H$50</f>
        <v>0</v>
      </c>
      <c r="DH199" s="798">
        <f>SUM(DH192,DH194)*-'General Inputs'!$H$50</f>
        <v>0</v>
      </c>
      <c r="DI199" s="798">
        <f>SUM(DI192,DI194)*-'General Inputs'!$H$50</f>
        <v>0</v>
      </c>
      <c r="DJ199" s="798">
        <f>SUM(DJ192,DJ194)*-'General Inputs'!$H$50</f>
        <v>0</v>
      </c>
      <c r="DK199" s="798">
        <f>SUM(DK192,DK194)*-'General Inputs'!$H$50</f>
        <v>0</v>
      </c>
      <c r="DL199" s="798">
        <f>SUM(DL192,DL194)*-'General Inputs'!$H$50</f>
        <v>0</v>
      </c>
      <c r="DM199" s="798">
        <f>SUM(DM192,DM194)*-'General Inputs'!$H$50</f>
        <v>0</v>
      </c>
      <c r="DN199" s="798">
        <f>SUM(DN192,DN194)*-'General Inputs'!$H$50</f>
        <v>0</v>
      </c>
      <c r="DO199" s="798">
        <f>SUM(DO192,DO194)*-'General Inputs'!$H$50</f>
        <v>0</v>
      </c>
      <c r="DP199" s="798">
        <f>SUM(DP192,DP194)*-'General Inputs'!$H$50</f>
        <v>0</v>
      </c>
      <c r="DQ199" s="798">
        <f>SUM(DQ192,DQ194)*-'General Inputs'!$H$50</f>
        <v>0</v>
      </c>
      <c r="DR199" s="798">
        <f>SUM(DR192,DR194)*-'General Inputs'!$H$50</f>
        <v>0</v>
      </c>
      <c r="DS199" s="798">
        <f>SUM(DS192,DS194)*-'General Inputs'!$H$50</f>
        <v>0</v>
      </c>
      <c r="DT199" s="798">
        <f>SUM(DT192,DT194)*-'General Inputs'!$H$50</f>
        <v>0</v>
      </c>
      <c r="DU199" s="798">
        <f>SUM(DU192,DU194)*-'General Inputs'!$H$50</f>
        <v>0</v>
      </c>
      <c r="DV199" s="798">
        <f>SUM(DV192,DV194)*-'General Inputs'!$H$50</f>
        <v>0</v>
      </c>
      <c r="DW199" s="798">
        <f>SUM(DW192,DW194)*-'General Inputs'!$H$50</f>
        <v>0</v>
      </c>
      <c r="DX199" s="798">
        <f>SUM(DX192,DX194)*-'General Inputs'!$H$50</f>
        <v>0</v>
      </c>
      <c r="DY199" s="798">
        <f>SUM(DY192,DY194)*-'General Inputs'!$H$50</f>
        <v>0</v>
      </c>
      <c r="DZ199" s="798">
        <f>SUM(DZ192,DZ194)*-'General Inputs'!$H$50</f>
        <v>0</v>
      </c>
      <c r="EA199" s="798">
        <f>SUM(EA192,EA194)*-'General Inputs'!$H$50</f>
        <v>0</v>
      </c>
      <c r="EB199" s="798">
        <f>SUM(EB192,EB194)*-'General Inputs'!$H$50</f>
        <v>0</v>
      </c>
      <c r="EC199" s="798">
        <f>SUM(EC192,EC194)*-'General Inputs'!$H$50</f>
        <v>0</v>
      </c>
      <c r="ED199" s="798">
        <f>SUM(ED192,ED194)*-'General Inputs'!$H$50</f>
        <v>0</v>
      </c>
      <c r="EE199" s="798">
        <f>SUM(EE192,EE194)*-'General Inputs'!$H$50</f>
        <v>0</v>
      </c>
      <c r="EF199" s="798">
        <f>SUM(EF192,EF194)*-'General Inputs'!$H$50</f>
        <v>0</v>
      </c>
      <c r="EG199" s="798">
        <f>SUM(EG192,EG194)*-'General Inputs'!$H$50</f>
        <v>0</v>
      </c>
      <c r="EH199" s="782"/>
    </row>
    <row r="200" spans="1:138" ht="12.75" customHeight="1" x14ac:dyDescent="0.3">
      <c r="A200" s="782"/>
      <c r="B200" s="782" t="s">
        <v>124</v>
      </c>
      <c r="C200" s="798"/>
      <c r="D200" s="782"/>
      <c r="E200" s="798">
        <f>SUM(E192,E194)*-'General Inputs'!$H$51</f>
        <v>0</v>
      </c>
      <c r="F200" s="798">
        <f>SUM(F192,F194)*-'General Inputs'!$H$51</f>
        <v>0</v>
      </c>
      <c r="G200" s="798">
        <f>SUM(G192,G194)*-'General Inputs'!$H$51</f>
        <v>0</v>
      </c>
      <c r="H200" s="798">
        <f>SUM(H192,H194)*-'General Inputs'!$H$51</f>
        <v>0</v>
      </c>
      <c r="I200" s="798">
        <f>SUM(I192,I194)*-'General Inputs'!$H$51</f>
        <v>0</v>
      </c>
      <c r="J200" s="798">
        <f>SUM(J192,J194)*-'General Inputs'!$H$51</f>
        <v>0</v>
      </c>
      <c r="K200" s="798">
        <f>SUM(K192,K194)*-'General Inputs'!$H$51</f>
        <v>0</v>
      </c>
      <c r="L200" s="798">
        <f>SUM(L192,L194)*-'General Inputs'!$H$51</f>
        <v>0</v>
      </c>
      <c r="M200" s="798">
        <f>SUM(M192,M194)*-'General Inputs'!$H$51</f>
        <v>0</v>
      </c>
      <c r="N200" s="798">
        <f>SUM(N192,N194)*-'General Inputs'!$H$51</f>
        <v>0</v>
      </c>
      <c r="O200" s="798">
        <f>SUM(O192,O194)*-'General Inputs'!$H$51</f>
        <v>0</v>
      </c>
      <c r="P200" s="798">
        <f>SUM(P192,P194)*-'General Inputs'!$H$51</f>
        <v>0</v>
      </c>
      <c r="Q200" s="798">
        <f>SUM(Q192,Q194)*-'General Inputs'!$H$51</f>
        <v>-8847.3387865768691</v>
      </c>
      <c r="R200" s="798">
        <f>SUM(R192,R194)*-'General Inputs'!$H$51</f>
        <v>-14536.688574957718</v>
      </c>
      <c r="S200" s="798">
        <f>SUM(S192,S194)*-'General Inputs'!$H$51</f>
        <v>-22578.384831041811</v>
      </c>
      <c r="T200" s="798">
        <f>SUM(T192,T194)*-'General Inputs'!$H$51</f>
        <v>-32285.242954790348</v>
      </c>
      <c r="U200" s="798">
        <f>SUM(U192,U194)*-'General Inputs'!$H$51</f>
        <v>-42140.851166509892</v>
      </c>
      <c r="V200" s="798">
        <f>SUM(V192,V194)*-'General Inputs'!$H$51</f>
        <v>-51471.195458574737</v>
      </c>
      <c r="W200" s="798">
        <f>SUM(W192,W194)*-'General Inputs'!$H$51</f>
        <v>-60237.989909899326</v>
      </c>
      <c r="X200" s="798">
        <f>SUM(X192,X194)*-'General Inputs'!$H$51</f>
        <v>-68282.434785124729</v>
      </c>
      <c r="Y200" s="798">
        <f>SUM(Y192,Y194)*-'General Inputs'!$H$51</f>
        <v>-75681.522134322207</v>
      </c>
      <c r="Z200" s="798">
        <f>SUM(Z192,Z194)*-'General Inputs'!$H$51</f>
        <v>-82286.761277921411</v>
      </c>
      <c r="AA200" s="798">
        <f>SUM(AA192,AA194)*-'General Inputs'!$H$51</f>
        <v>-87943.739429485227</v>
      </c>
      <c r="AB200" s="798">
        <f>SUM(AB192,AB194)*-'General Inputs'!$H$51</f>
        <v>-92651.930733582296</v>
      </c>
      <c r="AC200" s="798">
        <f>SUM(AC192,AC194)*-'General Inputs'!$H$51</f>
        <v>-96419.100070844026</v>
      </c>
      <c r="AD200" s="798">
        <f>SUM(AD192,AD194)*-'General Inputs'!$H$51</f>
        <v>-99392.076195185495</v>
      </c>
      <c r="AE200" s="798">
        <f>SUM(AE192,AE194)*-'General Inputs'!$H$51</f>
        <v>-101530.55883812744</v>
      </c>
      <c r="AF200" s="798">
        <f>SUM(AF192,AF194)*-'General Inputs'!$H$51</f>
        <v>-102099.55053222447</v>
      </c>
      <c r="AG200" s="798">
        <f>SUM(AG192,AG194)*-'General Inputs'!$H$51</f>
        <v>-102519.47519780482</v>
      </c>
      <c r="AH200" s="798">
        <f>SUM(AH192,AH194)*-'General Inputs'!$H$51</f>
        <v>-102949.42889667653</v>
      </c>
      <c r="AI200" s="798">
        <f>SUM(AI192,AI194)*-'General Inputs'!$H$51</f>
        <v>-103388.86484333372</v>
      </c>
      <c r="AJ200" s="798">
        <f>SUM(AJ192,AJ194)*-'General Inputs'!$H$51</f>
        <v>-103827.822791698</v>
      </c>
      <c r="AK200" s="798">
        <f>SUM(AK192,AK194)*-'General Inputs'!$H$51</f>
        <v>-104261.11255932281</v>
      </c>
      <c r="AL200" s="798">
        <f>SUM(AL192,AL194)*-'General Inputs'!$H$51</f>
        <v>-104687.48202807894</v>
      </c>
      <c r="AM200" s="798">
        <f>SUM(AM192,AM194)*-'General Inputs'!$H$51</f>
        <v>-105105.66979756134</v>
      </c>
      <c r="AN200" s="798">
        <f>SUM(AN192,AN194)*-'General Inputs'!$H$51</f>
        <v>-105514.40513425464</v>
      </c>
      <c r="AO200" s="798">
        <f>SUM(AO192,AO194)*-'General Inputs'!$H$51</f>
        <v>-105912.40792046041</v>
      </c>
      <c r="AP200" s="798">
        <f>SUM(AP192,AP194)*-'General Inputs'!$H$51</f>
        <v>-106302.43763775453</v>
      </c>
      <c r="AQ200" s="798">
        <f>SUM(AQ192,AQ194)*-'General Inputs'!$H$51</f>
        <v>-106675.24154841727</v>
      </c>
      <c r="AR200" s="798">
        <f>SUM(AR192,AR194)*-'General Inputs'!$H$51</f>
        <v>-107032.11470923338</v>
      </c>
      <c r="AS200" s="798">
        <f>SUM(AS192,AS194)*-'General Inputs'!$H$51</f>
        <v>-107402.34685886498</v>
      </c>
      <c r="AT200" s="798">
        <f>SUM(AT192,AT194)*-'General Inputs'!$H$51</f>
        <v>-107763.91816984909</v>
      </c>
      <c r="AU200" s="798">
        <f>SUM(AU192,AU194)*-'General Inputs'!$H$51</f>
        <v>-108117.88656492901</v>
      </c>
      <c r="AV200" s="798">
        <f>SUM(AV192,AV194)*-'General Inputs'!$H$51</f>
        <v>-108461.98257141914</v>
      </c>
      <c r="AW200" s="798">
        <f>SUM(AW192,AW194)*-'General Inputs'!$H$51</f>
        <v>-108798.61177253826</v>
      </c>
      <c r="AX200" s="798">
        <f>SUM(AX192,AX194)*-'General Inputs'!$H$51</f>
        <v>-109130.19910309822</v>
      </c>
      <c r="AY200" s="798">
        <f>SUM(AY192,AY194)*-'General Inputs'!$H$51</f>
        <v>-109459.18896738949</v>
      </c>
      <c r="AZ200" s="798">
        <f>SUM(AZ192,AZ194)*-'General Inputs'!$H$51</f>
        <v>-109788.0453577139</v>
      </c>
      <c r="BA200" s="798">
        <f>SUM(BA192,BA194)*-'General Inputs'!$H$51</f>
        <v>-110119.25197356773</v>
      </c>
      <c r="BB200" s="798">
        <f>SUM(BB192,BB194)*-'General Inputs'!$H$51</f>
        <v>-110453.73734100843</v>
      </c>
      <c r="BC200" s="798">
        <f>SUM(BC192,BC194)*-'General Inputs'!$H$51</f>
        <v>-110796.89458430793</v>
      </c>
      <c r="BD200" s="798">
        <f>SUM(BD192,BD194)*-'General Inputs'!$H$51</f>
        <v>-111149.54655052719</v>
      </c>
      <c r="BE200" s="798">
        <f>SUM(BE192,BE194)*-'General Inputs'!$H$51</f>
        <v>-111504.0400522011</v>
      </c>
      <c r="BF200" s="798">
        <f>SUM(BF192,BF194)*-'General Inputs'!$H$51</f>
        <v>-111864.84801629186</v>
      </c>
      <c r="BG200" s="798">
        <f>SUM(BG192,BG194)*-'General Inputs'!$H$51</f>
        <v>-112231.62137380436</v>
      </c>
      <c r="BH200" s="798">
        <f>SUM(BH192,BH194)*-'General Inputs'!$H$51</f>
        <v>-112606.75124330886</v>
      </c>
      <c r="BI200" s="798">
        <f>SUM(BI192,BI194)*-'General Inputs'!$H$51</f>
        <v>-112989.44387940969</v>
      </c>
      <c r="BJ200" s="798">
        <f>SUM(BJ192,BJ194)*-'General Inputs'!$H$51</f>
        <v>-113378.8995483703</v>
      </c>
      <c r="BK200" s="798">
        <f>SUM(BK192,BK194)*-'General Inputs'!$H$51</f>
        <v>-113774.31249450066</v>
      </c>
      <c r="BL200" s="798">
        <f>SUM(BL192,BL194)*-'General Inputs'!$H$51</f>
        <v>-114174.87090637663</v>
      </c>
      <c r="BM200" s="798">
        <f>SUM(BM192,BM194)*-'General Inputs'!$H$51</f>
        <v>-114579.75688289072</v>
      </c>
      <c r="BN200" s="798">
        <f>SUM(BN192,BN194)*-'General Inputs'!$H$51</f>
        <v>-114987.02275694521</v>
      </c>
      <c r="BO200" s="798">
        <f>SUM(BO192,BO194)*-'General Inputs'!$H$51</f>
        <v>-115398.17790881</v>
      </c>
      <c r="BP200" s="798">
        <f>SUM(BP192,BP194)*-'General Inputs'!$H$51</f>
        <v>-115812.08093356858</v>
      </c>
      <c r="BQ200" s="798">
        <f>SUM(BQ192,BQ194)*-'General Inputs'!$H$51</f>
        <v>-116224.00502003009</v>
      </c>
      <c r="BR200" s="798">
        <f>SUM(BR192,BR194)*-'General Inputs'!$H$51</f>
        <v>-116637.20059500831</v>
      </c>
      <c r="BS200" s="798">
        <f>SUM(BS192,BS194)*-'General Inputs'!$H$51</f>
        <v>-117051.6711341612</v>
      </c>
      <c r="BT200" s="798">
        <f>SUM(BT192,BT194)*-'General Inputs'!$H$51</f>
        <v>-117467.99205349886</v>
      </c>
      <c r="BU200" s="798">
        <f>SUM(BU192,BU194)*-'General Inputs'!$H$51</f>
        <v>-117886.17080120025</v>
      </c>
      <c r="BV200" s="798">
        <f>SUM(BV192,BV194)*-'General Inputs'!$H$51</f>
        <v>-118306.21485577759</v>
      </c>
      <c r="BW200" s="798">
        <f>SUM(BW192,BW194)*-'General Inputs'!$H$51</f>
        <v>-118728.13172620087</v>
      </c>
      <c r="BX200" s="798">
        <f>SUM(BX192,BX194)*-'General Inputs'!$H$51</f>
        <v>-119151.9289520226</v>
      </c>
      <c r="BY200" s="798">
        <f>SUM(BY192,BY194)*-'General Inputs'!$H$51</f>
        <v>-119577.61410350357</v>
      </c>
      <c r="BZ200" s="798">
        <f>SUM(BZ192,BZ194)*-'General Inputs'!$H$51</f>
        <v>-120004.60847000705</v>
      </c>
      <c r="CA200" s="798">
        <f>SUM(CA192,CA194)*-'General Inputs'!$H$51</f>
        <v>-120434.09149647539</v>
      </c>
      <c r="CB200" s="798">
        <f>SUM(CB192,CB194)*-'General Inputs'!$H$51</f>
        <v>-120865.7572296017</v>
      </c>
      <c r="CC200" s="798">
        <f>SUM(CC192,CC194)*-'General Inputs'!$H$51</f>
        <v>-121295.37444037283</v>
      </c>
      <c r="CD200" s="798">
        <f>SUM(CD192,CD194)*-'General Inputs'!$H$51</f>
        <v>-121726.31524175064</v>
      </c>
      <c r="CE200" s="798">
        <f>SUM(CE192,CE194)*-'General Inputs'!$H$51</f>
        <v>-122158.58325225514</v>
      </c>
      <c r="CF200" s="798">
        <f>SUM(CF192,CF194)*-'General Inputs'!$H$51</f>
        <v>-122592.77820643861</v>
      </c>
      <c r="CG200" s="798">
        <f>SUM(CG192,CG194)*-'General Inputs'!$H$51</f>
        <v>-123028.90786323896</v>
      </c>
      <c r="CH200" s="798">
        <f>SUM(CH192,CH194)*-'General Inputs'!$H$51</f>
        <v>-123466.98001319946</v>
      </c>
      <c r="CI200" s="798">
        <f>SUM(CI192,CI194)*-'General Inputs'!$H$51</f>
        <v>-123907.00247859841</v>
      </c>
      <c r="CJ200" s="798">
        <f>SUM(CJ192,CJ194)*-'General Inputs'!$H$51</f>
        <v>-124348.98311357948</v>
      </c>
      <c r="CK200" s="798">
        <f>SUM(CK192,CK194)*-'General Inputs'!$H$51</f>
        <v>-124792.92980428225</v>
      </c>
      <c r="CL200" s="798">
        <f>SUM(CL192,CL194)*-'General Inputs'!$H$51</f>
        <v>-125238.2393740796</v>
      </c>
      <c r="CM200" s="798">
        <f>SUM(CM192,CM194)*-'General Inputs'!$H$51</f>
        <v>-125686.14111844698</v>
      </c>
      <c r="CN200" s="798">
        <f>SUM(CN192,CN194)*-'General Inputs'!$H$51</f>
        <v>-126136.31614741005</v>
      </c>
      <c r="CO200" s="798">
        <f>SUM(CO192,CO194)*-'General Inputs'!$H$51</f>
        <v>-126584.36928899231</v>
      </c>
      <c r="CP200" s="798">
        <f>SUM(CP192,CP194)*-'General Inputs'!$H$51</f>
        <v>-127033.80027630914</v>
      </c>
      <c r="CQ200" s="798">
        <f>SUM(CQ192,CQ194)*-'General Inputs'!$H$51</f>
        <v>-127484.61287665964</v>
      </c>
      <c r="CR200" s="798">
        <f>SUM(CR192,CR194)*-'General Inputs'!$H$51</f>
        <v>-127937.43217095158</v>
      </c>
      <c r="CS200" s="798">
        <f>SUM(CS192,CS194)*-'General Inputs'!$H$51</f>
        <v>-128392.26624189517</v>
      </c>
      <c r="CT200" s="798">
        <f>SUM(CT192,CT194)*-'General Inputs'!$H$51</f>
        <v>-128849.12320513169</v>
      </c>
      <c r="CU200" s="798">
        <f>SUM(CU192,CU194)*-'General Inputs'!$H$51</f>
        <v>-129308.01120936855</v>
      </c>
      <c r="CV200" s="798">
        <f>SUM(CV192,CV194)*-'General Inputs'!$H$51</f>
        <v>-129768.93843651492</v>
      </c>
      <c r="CW200" s="798">
        <f>SUM(CW192,CW194)*-'General Inputs'!$H$51</f>
        <v>-130231.91310181805</v>
      </c>
      <c r="CX200" s="798">
        <f>SUM(CX192,CX194)*-'General Inputs'!$H$51</f>
        <v>-130696.30652836889</v>
      </c>
      <c r="CY200" s="798">
        <f>SUM(CY192,CY194)*-'General Inputs'!$H$51</f>
        <v>-131163.39996921428</v>
      </c>
      <c r="CZ200" s="798">
        <f>SUM(CZ192,CZ194)*-'General Inputs'!$H$51</f>
        <v>-131632.86105076032</v>
      </c>
      <c r="DA200" s="798">
        <f>SUM(DA192,DA194)*-'General Inputs'!$H$51</f>
        <v>-132100.1227865509</v>
      </c>
      <c r="DB200" s="798">
        <f>SUM(DB192,DB194)*-'General Inputs'!$H$51</f>
        <v>-132568.81886577091</v>
      </c>
      <c r="DC200" s="798">
        <f>SUM(DC192,DC194)*-'General Inputs'!$H$51</f>
        <v>-133038.95321066235</v>
      </c>
      <c r="DD200" s="798">
        <f>SUM(DD192,DD194)*-'General Inputs'!$H$51</f>
        <v>-133511.177319743</v>
      </c>
      <c r="DE200" s="798">
        <f>SUM(DE192,DE194)*-'General Inputs'!$H$51</f>
        <v>-133985.49961305546</v>
      </c>
      <c r="DF200" s="798">
        <f>SUM(DF192,DF194)*-'General Inputs'!$H$51</f>
        <v>-134461.92854495454</v>
      </c>
      <c r="DG200" s="798">
        <f>SUM(DG192,DG194)*-'General Inputs'!$H$51</f>
        <v>-134940.47260424829</v>
      </c>
      <c r="DH200" s="798">
        <f>SUM(DH192,DH194)*-'General Inputs'!$H$51</f>
        <v>-135421.14031433917</v>
      </c>
      <c r="DI200" s="798">
        <f>SUM(DI192,DI194)*-'General Inputs'!$H$51</f>
        <v>-135903.94023336616</v>
      </c>
      <c r="DJ200" s="798">
        <f>SUM(DJ192,DJ194)*-'General Inputs'!$H$51</f>
        <v>-136388.21710612439</v>
      </c>
      <c r="DK200" s="798">
        <f>SUM(DK192,DK194)*-'General Inputs'!$H$51</f>
        <v>-136875.30633932992</v>
      </c>
      <c r="DL200" s="798">
        <f>SUM(DL192,DL194)*-'General Inputs'!$H$51</f>
        <v>-137364.86150569402</v>
      </c>
      <c r="DM200" s="798">
        <f>SUM(DM192,DM194)*-'General Inputs'!$H$51</f>
        <v>-137852.13543163944</v>
      </c>
      <c r="DN200" s="798">
        <f>SUM(DN192,DN194)*-'General Inputs'!$H$51</f>
        <v>-138340.90253454537</v>
      </c>
      <c r="DO200" s="798">
        <f>SUM(DO192,DO194)*-'General Inputs'!$H$51</f>
        <v>-138831.16689801685</v>
      </c>
      <c r="DP200" s="798">
        <f>SUM(DP192,DP194)*-'General Inputs'!$H$51</f>
        <v>-139323.60755471457</v>
      </c>
      <c r="DQ200" s="798">
        <f>SUM(DQ192,DQ194)*-'General Inputs'!$H$51</f>
        <v>-139818.23327614254</v>
      </c>
      <c r="DR200" s="798">
        <f>SUM(DR192,DR194)*-'General Inputs'!$H$51</f>
        <v>-140315.05286955659</v>
      </c>
      <c r="DS200" s="798">
        <f>SUM(DS192,DS194)*-'General Inputs'!$H$51</f>
        <v>-140814.07517811097</v>
      </c>
      <c r="DT200" s="798">
        <f>SUM(DT192,DT194)*-'General Inputs'!$H$51</f>
        <v>-141315.30908100563</v>
      </c>
      <c r="DU200" s="798">
        <f>SUM(DU192,DU194)*-'General Inputs'!$H$51</f>
        <v>-141818.76349363447</v>
      </c>
      <c r="DV200" s="798">
        <f>SUM(DV192,DV194)*-'General Inputs'!$H$51</f>
        <v>0</v>
      </c>
      <c r="DW200" s="798">
        <f>SUM(DW192,DW194)*-'General Inputs'!$H$51</f>
        <v>0</v>
      </c>
      <c r="DX200" s="798">
        <f>SUM(DX192,DX194)*-'General Inputs'!$H$51</f>
        <v>0</v>
      </c>
      <c r="DY200" s="798">
        <f>SUM(DY192,DY194)*-'General Inputs'!$H$51</f>
        <v>0</v>
      </c>
      <c r="DZ200" s="798">
        <f>SUM(DZ192,DZ194)*-'General Inputs'!$H$51</f>
        <v>0</v>
      </c>
      <c r="EA200" s="798">
        <f>SUM(EA192,EA194)*-'General Inputs'!$H$51</f>
        <v>0</v>
      </c>
      <c r="EB200" s="798">
        <f>SUM(EB192,EB194)*-'General Inputs'!$H$51</f>
        <v>0</v>
      </c>
      <c r="EC200" s="798">
        <f>SUM(EC192,EC194)*-'General Inputs'!$H$51</f>
        <v>0</v>
      </c>
      <c r="ED200" s="798">
        <f>SUM(ED192,ED194)*-'General Inputs'!$H$51</f>
        <v>0</v>
      </c>
      <c r="EE200" s="798">
        <f>SUM(EE192,EE194)*-'General Inputs'!$H$51</f>
        <v>0</v>
      </c>
      <c r="EF200" s="798">
        <f>SUM(EF192,EF194)*-'General Inputs'!$H$51</f>
        <v>0</v>
      </c>
      <c r="EG200" s="798">
        <f>SUM(EG192,EG194)*-'General Inputs'!$H$51</f>
        <v>0</v>
      </c>
      <c r="EH200" s="782"/>
    </row>
    <row r="201" spans="1:138" ht="12.75" customHeight="1" x14ac:dyDescent="0.3">
      <c r="A201" s="782"/>
      <c r="B201" s="782" t="s">
        <v>125</v>
      </c>
      <c r="C201" s="798"/>
      <c r="D201" s="782"/>
      <c r="E201" s="798">
        <f>IF(E196=0,0,-'General Inputs'!$H$52)</f>
        <v>0</v>
      </c>
      <c r="F201" s="798">
        <f>IF(F196=0,0,-'General Inputs'!$H$52)</f>
        <v>0</v>
      </c>
      <c r="G201" s="798">
        <f>IF(G196=0,0,-'General Inputs'!$H$52)</f>
        <v>0</v>
      </c>
      <c r="H201" s="798">
        <f>IF(H196=0,0,-'General Inputs'!$H$52)</f>
        <v>0</v>
      </c>
      <c r="I201" s="798">
        <f>IF(I196=0,0,-'General Inputs'!$H$52)</f>
        <v>0</v>
      </c>
      <c r="J201" s="798">
        <f>IF(J196=0,0,-'General Inputs'!$H$52)</f>
        <v>0</v>
      </c>
      <c r="K201" s="798">
        <f>IF(K196=0,0,-'General Inputs'!$H$52)</f>
        <v>0</v>
      </c>
      <c r="L201" s="798">
        <f>IF(L196=0,0,-'General Inputs'!$H$52)</f>
        <v>0</v>
      </c>
      <c r="M201" s="798">
        <f>IF(M196=0,0,-'General Inputs'!$H$52)</f>
        <v>0</v>
      </c>
      <c r="N201" s="798">
        <f>IF(N196=0,0,-'General Inputs'!$H$52)</f>
        <v>0</v>
      </c>
      <c r="O201" s="798">
        <f>IF(O196=0,0,-'General Inputs'!$H$52)</f>
        <v>0</v>
      </c>
      <c r="P201" s="798">
        <f>IF(P196=0,0,-'General Inputs'!$H$52)</f>
        <v>0</v>
      </c>
      <c r="Q201" s="798">
        <f>IF(Q196=0,0,-'General Inputs'!$H$52)</f>
        <v>-50000</v>
      </c>
      <c r="R201" s="798">
        <f>IF(R196=0,0,-'General Inputs'!$H$52)</f>
        <v>-50000</v>
      </c>
      <c r="S201" s="798">
        <f>IF(S196=0,0,-'General Inputs'!$H$52)</f>
        <v>-50000</v>
      </c>
      <c r="T201" s="798">
        <f>IF(T196=0,0,-'General Inputs'!$H$52)</f>
        <v>-50000</v>
      </c>
      <c r="U201" s="798">
        <f>IF(U196=0,0,-'General Inputs'!$H$52)</f>
        <v>-50000</v>
      </c>
      <c r="V201" s="798">
        <f>IF(V196=0,0,-'General Inputs'!$H$52)</f>
        <v>-50000</v>
      </c>
      <c r="W201" s="798">
        <f>IF(W196=0,0,-'General Inputs'!$H$52)</f>
        <v>-50000</v>
      </c>
      <c r="X201" s="798">
        <f>IF(X196=0,0,-'General Inputs'!$H$52)</f>
        <v>-50000</v>
      </c>
      <c r="Y201" s="798">
        <f>IF(Y196=0,0,-'General Inputs'!$H$52)</f>
        <v>-50000</v>
      </c>
      <c r="Z201" s="798">
        <f>IF(Z196=0,0,-'General Inputs'!$H$52)</f>
        <v>-50000</v>
      </c>
      <c r="AA201" s="798">
        <f>IF(AA196=0,0,-'General Inputs'!$H$52)</f>
        <v>-50000</v>
      </c>
      <c r="AB201" s="798">
        <f>IF(AB196=0,0,-'General Inputs'!$H$52)</f>
        <v>-50000</v>
      </c>
      <c r="AC201" s="798">
        <f>IF(AC196=0,0,-'General Inputs'!$H$52)</f>
        <v>-50000</v>
      </c>
      <c r="AD201" s="798">
        <f>IF(AD196=0,0,-'General Inputs'!$H$52)</f>
        <v>-50000</v>
      </c>
      <c r="AE201" s="798">
        <f>IF(AE196=0,0,-'General Inputs'!$H$52)</f>
        <v>-50000</v>
      </c>
      <c r="AF201" s="798">
        <f>IF(AF196=0,0,-'General Inputs'!$H$52)</f>
        <v>-50000</v>
      </c>
      <c r="AG201" s="798">
        <f>IF(AG196=0,0,-'General Inputs'!$H$52)</f>
        <v>-50000</v>
      </c>
      <c r="AH201" s="798">
        <f>IF(AH196=0,0,-'General Inputs'!$H$52)</f>
        <v>-50000</v>
      </c>
      <c r="AI201" s="798">
        <f>IF(AI196=0,0,-'General Inputs'!$H$52)</f>
        <v>-50000</v>
      </c>
      <c r="AJ201" s="798">
        <f>IF(AJ196=0,0,-'General Inputs'!$H$52)</f>
        <v>-50000</v>
      </c>
      <c r="AK201" s="798">
        <f>IF(AK196=0,0,-'General Inputs'!$H$52)</f>
        <v>-50000</v>
      </c>
      <c r="AL201" s="798">
        <f>IF(AL196=0,0,-'General Inputs'!$H$52)</f>
        <v>-50000</v>
      </c>
      <c r="AM201" s="798">
        <f>IF(AM196=0,0,-'General Inputs'!$H$52)</f>
        <v>-50000</v>
      </c>
      <c r="AN201" s="798">
        <f>IF(AN196=0,0,-'General Inputs'!$H$52)</f>
        <v>-50000</v>
      </c>
      <c r="AO201" s="798">
        <f>IF(AO196=0,0,-'General Inputs'!$H$52)</f>
        <v>-50000</v>
      </c>
      <c r="AP201" s="798">
        <f>IF(AP196=0,0,-'General Inputs'!$H$52)</f>
        <v>-50000</v>
      </c>
      <c r="AQ201" s="798">
        <f>IF(AQ196=0,0,-'General Inputs'!$H$52)</f>
        <v>-50000</v>
      </c>
      <c r="AR201" s="798">
        <f>IF(AR196=0,0,-'General Inputs'!$H$52)</f>
        <v>-50000</v>
      </c>
      <c r="AS201" s="798">
        <f>IF(AS196=0,0,-'General Inputs'!$H$52)</f>
        <v>-50000</v>
      </c>
      <c r="AT201" s="798">
        <f>IF(AT196=0,0,-'General Inputs'!$H$52)</f>
        <v>-50000</v>
      </c>
      <c r="AU201" s="798">
        <f>IF(AU196=0,0,-'General Inputs'!$H$52)</f>
        <v>-50000</v>
      </c>
      <c r="AV201" s="798">
        <f>IF(AV196=0,0,-'General Inputs'!$H$52)</f>
        <v>-50000</v>
      </c>
      <c r="AW201" s="798">
        <f>IF(AW196=0,0,-'General Inputs'!$H$52)</f>
        <v>-50000</v>
      </c>
      <c r="AX201" s="798">
        <f>IF(AX196=0,0,-'General Inputs'!$H$52)</f>
        <v>-50000</v>
      </c>
      <c r="AY201" s="798">
        <f>IF(AY196=0,0,-'General Inputs'!$H$52)</f>
        <v>-50000</v>
      </c>
      <c r="AZ201" s="798">
        <f>IF(AZ196=0,0,-'General Inputs'!$H$52)</f>
        <v>-50000</v>
      </c>
      <c r="BA201" s="798">
        <f>IF(BA196=0,0,-'General Inputs'!$H$52)</f>
        <v>-50000</v>
      </c>
      <c r="BB201" s="798">
        <f>IF(BB196=0,0,-'General Inputs'!$H$52)</f>
        <v>-50000</v>
      </c>
      <c r="BC201" s="798">
        <f>IF(BC196=0,0,-'General Inputs'!$H$52)</f>
        <v>-50000</v>
      </c>
      <c r="BD201" s="798">
        <f>IF(BD196=0,0,-'General Inputs'!$H$52)</f>
        <v>-50000</v>
      </c>
      <c r="BE201" s="798">
        <f>IF(BE196=0,0,-'General Inputs'!$H$52)</f>
        <v>-50000</v>
      </c>
      <c r="BF201" s="798">
        <f>IF(BF196=0,0,-'General Inputs'!$H$52)</f>
        <v>-50000</v>
      </c>
      <c r="BG201" s="798">
        <f>IF(BG196=0,0,-'General Inputs'!$H$52)</f>
        <v>-50000</v>
      </c>
      <c r="BH201" s="798">
        <f>IF(BH196=0,0,-'General Inputs'!$H$52)</f>
        <v>-50000</v>
      </c>
      <c r="BI201" s="798">
        <f>IF(BI196=0,0,-'General Inputs'!$H$52)</f>
        <v>-50000</v>
      </c>
      <c r="BJ201" s="798">
        <f>IF(BJ196=0,0,-'General Inputs'!$H$52)</f>
        <v>-50000</v>
      </c>
      <c r="BK201" s="798">
        <f>IF(BK196=0,0,-'General Inputs'!$H$52)</f>
        <v>-50000</v>
      </c>
      <c r="BL201" s="798">
        <f>IF(BL196=0,0,-'General Inputs'!$H$52)</f>
        <v>-50000</v>
      </c>
      <c r="BM201" s="798">
        <f>IF(BM196=0,0,-'General Inputs'!$H$52)</f>
        <v>-50000</v>
      </c>
      <c r="BN201" s="798">
        <f>IF(BN196=0,0,-'General Inputs'!$H$52)</f>
        <v>-50000</v>
      </c>
      <c r="BO201" s="798">
        <f>IF(BO196=0,0,-'General Inputs'!$H$52)</f>
        <v>-50000</v>
      </c>
      <c r="BP201" s="798">
        <f>IF(BP196=0,0,-'General Inputs'!$H$52)</f>
        <v>-50000</v>
      </c>
      <c r="BQ201" s="798">
        <f>IF(BQ196=0,0,-'General Inputs'!$H$52)</f>
        <v>-50000</v>
      </c>
      <c r="BR201" s="798">
        <f>IF(BR196=0,0,-'General Inputs'!$H$52)</f>
        <v>-50000</v>
      </c>
      <c r="BS201" s="798">
        <f>IF(BS196=0,0,-'General Inputs'!$H$52)</f>
        <v>-50000</v>
      </c>
      <c r="BT201" s="798">
        <f>IF(BT196=0,0,-'General Inputs'!$H$52)</f>
        <v>-50000</v>
      </c>
      <c r="BU201" s="798">
        <f>IF(BU196=0,0,-'General Inputs'!$H$52)</f>
        <v>-50000</v>
      </c>
      <c r="BV201" s="798">
        <f>IF(BV196=0,0,-'General Inputs'!$H$52)</f>
        <v>-50000</v>
      </c>
      <c r="BW201" s="798">
        <f>IF(BW196=0,0,-'General Inputs'!$H$52)</f>
        <v>-50000</v>
      </c>
      <c r="BX201" s="798">
        <f>IF(BX196=0,0,-'General Inputs'!$H$52)</f>
        <v>-50000</v>
      </c>
      <c r="BY201" s="798">
        <f>IF(BY196=0,0,-'General Inputs'!$H$52)</f>
        <v>-50000</v>
      </c>
      <c r="BZ201" s="798">
        <f>IF(BZ196=0,0,-'General Inputs'!$H$52)</f>
        <v>-50000</v>
      </c>
      <c r="CA201" s="798">
        <f>IF(CA196=0,0,-'General Inputs'!$H$52)</f>
        <v>-50000</v>
      </c>
      <c r="CB201" s="798">
        <f>IF(CB196=0,0,-'General Inputs'!$H$52)</f>
        <v>-50000</v>
      </c>
      <c r="CC201" s="798">
        <f>IF(CC196=0,0,-'General Inputs'!$H$52)</f>
        <v>-50000</v>
      </c>
      <c r="CD201" s="798">
        <f>IF(CD196=0,0,-'General Inputs'!$H$52)</f>
        <v>-50000</v>
      </c>
      <c r="CE201" s="798">
        <f>IF(CE196=0,0,-'General Inputs'!$H$52)</f>
        <v>-50000</v>
      </c>
      <c r="CF201" s="798">
        <f>IF(CF196=0,0,-'General Inputs'!$H$52)</f>
        <v>-50000</v>
      </c>
      <c r="CG201" s="798">
        <f>IF(CG196=0,0,-'General Inputs'!$H$52)</f>
        <v>-50000</v>
      </c>
      <c r="CH201" s="798">
        <f>IF(CH196=0,0,-'General Inputs'!$H$52)</f>
        <v>-50000</v>
      </c>
      <c r="CI201" s="798">
        <f>IF(CI196=0,0,-'General Inputs'!$H$52)</f>
        <v>-50000</v>
      </c>
      <c r="CJ201" s="798">
        <f>IF(CJ196=0,0,-'General Inputs'!$H$52)</f>
        <v>-50000</v>
      </c>
      <c r="CK201" s="798">
        <f>IF(CK196=0,0,-'General Inputs'!$H$52)</f>
        <v>-50000</v>
      </c>
      <c r="CL201" s="798">
        <f>IF(CL196=0,0,-'General Inputs'!$H$52)</f>
        <v>-50000</v>
      </c>
      <c r="CM201" s="798">
        <f>IF(CM196=0,0,-'General Inputs'!$H$52)</f>
        <v>-50000</v>
      </c>
      <c r="CN201" s="798">
        <f>IF(CN196=0,0,-'General Inputs'!$H$52)</f>
        <v>-50000</v>
      </c>
      <c r="CO201" s="798">
        <f>IF(CO196=0,0,-'General Inputs'!$H$52)</f>
        <v>-50000</v>
      </c>
      <c r="CP201" s="798">
        <f>IF(CP196=0,0,-'General Inputs'!$H$52)</f>
        <v>-50000</v>
      </c>
      <c r="CQ201" s="798">
        <f>IF(CQ196=0,0,-'General Inputs'!$H$52)</f>
        <v>-50000</v>
      </c>
      <c r="CR201" s="798">
        <f>IF(CR196=0,0,-'General Inputs'!$H$52)</f>
        <v>-50000</v>
      </c>
      <c r="CS201" s="798">
        <f>IF(CS196=0,0,-'General Inputs'!$H$52)</f>
        <v>-50000</v>
      </c>
      <c r="CT201" s="798">
        <f>IF(CT196=0,0,-'General Inputs'!$H$52)</f>
        <v>-50000</v>
      </c>
      <c r="CU201" s="798">
        <f>IF(CU196=0,0,-'General Inputs'!$H$52)</f>
        <v>-50000</v>
      </c>
      <c r="CV201" s="798">
        <f>IF(CV196=0,0,-'General Inputs'!$H$52)</f>
        <v>-50000</v>
      </c>
      <c r="CW201" s="798">
        <f>IF(CW196=0,0,-'General Inputs'!$H$52)</f>
        <v>-50000</v>
      </c>
      <c r="CX201" s="798">
        <f>IF(CX196=0,0,-'General Inputs'!$H$52)</f>
        <v>-50000</v>
      </c>
      <c r="CY201" s="798">
        <f>IF(CY196=0,0,-'General Inputs'!$H$52)</f>
        <v>-50000</v>
      </c>
      <c r="CZ201" s="798">
        <f>IF(CZ196=0,0,-'General Inputs'!$H$52)</f>
        <v>-50000</v>
      </c>
      <c r="DA201" s="798">
        <f>IF(DA196=0,0,-'General Inputs'!$H$52)</f>
        <v>-50000</v>
      </c>
      <c r="DB201" s="798">
        <f>IF(DB196=0,0,-'General Inputs'!$H$52)</f>
        <v>-50000</v>
      </c>
      <c r="DC201" s="798">
        <f>IF(DC196=0,0,-'General Inputs'!$H$52)</f>
        <v>-50000</v>
      </c>
      <c r="DD201" s="798">
        <f>IF(DD196=0,0,-'General Inputs'!$H$52)</f>
        <v>-50000</v>
      </c>
      <c r="DE201" s="798">
        <f>IF(DE196=0,0,-'General Inputs'!$H$52)</f>
        <v>-50000</v>
      </c>
      <c r="DF201" s="798">
        <f>IF(DF196=0,0,-'General Inputs'!$H$52)</f>
        <v>-50000</v>
      </c>
      <c r="DG201" s="798">
        <f>IF(DG196=0,0,-'General Inputs'!$H$52)</f>
        <v>-50000</v>
      </c>
      <c r="DH201" s="798">
        <f>IF(DH196=0,0,-'General Inputs'!$H$52)</f>
        <v>-50000</v>
      </c>
      <c r="DI201" s="798">
        <f>IF(DI196=0,0,-'General Inputs'!$H$52)</f>
        <v>-50000</v>
      </c>
      <c r="DJ201" s="798">
        <f>IF(DJ196=0,0,-'General Inputs'!$H$52)</f>
        <v>-50000</v>
      </c>
      <c r="DK201" s="798">
        <f>IF(DK196=0,0,-'General Inputs'!$H$52)</f>
        <v>-50000</v>
      </c>
      <c r="DL201" s="798">
        <f>IF(DL196=0,0,-'General Inputs'!$H$52)</f>
        <v>-50000</v>
      </c>
      <c r="DM201" s="798">
        <f>IF(DM196=0,0,-'General Inputs'!$H$52)</f>
        <v>-50000</v>
      </c>
      <c r="DN201" s="798">
        <f>IF(DN196=0,0,-'General Inputs'!$H$52)</f>
        <v>-50000</v>
      </c>
      <c r="DO201" s="798">
        <f>IF(DO196=0,0,-'General Inputs'!$H$52)</f>
        <v>-50000</v>
      </c>
      <c r="DP201" s="798">
        <f>IF(DP196=0,0,-'General Inputs'!$H$52)</f>
        <v>-50000</v>
      </c>
      <c r="DQ201" s="798">
        <f>IF(DQ196=0,0,-'General Inputs'!$H$52)</f>
        <v>-50000</v>
      </c>
      <c r="DR201" s="798">
        <f>IF(DR196=0,0,-'General Inputs'!$H$52)</f>
        <v>-50000</v>
      </c>
      <c r="DS201" s="798">
        <f>IF(DS196=0,0,-'General Inputs'!$H$52)</f>
        <v>-50000</v>
      </c>
      <c r="DT201" s="798">
        <f>IF(DT196=0,0,-'General Inputs'!$H$52)</f>
        <v>-50000</v>
      </c>
      <c r="DU201" s="798">
        <f>IF(DU196=0,0,-'General Inputs'!$H$52)</f>
        <v>-50000</v>
      </c>
      <c r="DV201" s="798">
        <f>IF(DV196=0,0,-'General Inputs'!$H$52)</f>
        <v>0</v>
      </c>
      <c r="DW201" s="798">
        <f>IF(DW196=0,0,-'General Inputs'!$H$52)</f>
        <v>0</v>
      </c>
      <c r="DX201" s="798">
        <f>IF(DX196=0,0,-'General Inputs'!$H$52)</f>
        <v>0</v>
      </c>
      <c r="DY201" s="798">
        <f>IF(DY196=0,0,-'General Inputs'!$H$52)</f>
        <v>0</v>
      </c>
      <c r="DZ201" s="798">
        <f>IF(DZ196=0,0,-'General Inputs'!$H$52)</f>
        <v>0</v>
      </c>
      <c r="EA201" s="798">
        <f>IF(EA196=0,0,-'General Inputs'!$H$52)</f>
        <v>0</v>
      </c>
      <c r="EB201" s="798">
        <f>IF(EB196=0,0,-'General Inputs'!$H$52)</f>
        <v>0</v>
      </c>
      <c r="EC201" s="798">
        <f>IF(EC196=0,0,-'General Inputs'!$H$52)</f>
        <v>0</v>
      </c>
      <c r="ED201" s="798">
        <f>IF(ED196=0,0,-'General Inputs'!$H$52)</f>
        <v>0</v>
      </c>
      <c r="EE201" s="798">
        <f>IF(EE196=0,0,-'General Inputs'!$H$52)</f>
        <v>0</v>
      </c>
      <c r="EF201" s="798">
        <f>IF(EF196=0,0,-'General Inputs'!$H$52)</f>
        <v>0</v>
      </c>
      <c r="EG201" s="798">
        <f>IF(EG196=0,0,-'General Inputs'!$H$52)</f>
        <v>0</v>
      </c>
      <c r="EH201" s="782"/>
    </row>
    <row r="202" spans="1:138" ht="12.75" customHeight="1" x14ac:dyDescent="0.3">
      <c r="A202" s="782"/>
      <c r="B202" s="781" t="s">
        <v>126</v>
      </c>
      <c r="C202" s="799"/>
      <c r="D202" s="781"/>
      <c r="E202" s="799">
        <f>SUM(E192,E194)*-'General Inputs'!$H$53</f>
        <v>0</v>
      </c>
      <c r="F202" s="799">
        <f>SUM(F192,F194)*-'General Inputs'!$H$53</f>
        <v>0</v>
      </c>
      <c r="G202" s="799">
        <f>SUM(G192,G194)*-'General Inputs'!$H$53</f>
        <v>0</v>
      </c>
      <c r="H202" s="799">
        <f>SUM(H192,H194)*-'General Inputs'!$H$53</f>
        <v>0</v>
      </c>
      <c r="I202" s="799">
        <f>SUM(I192,I194)*-'General Inputs'!$H$53</f>
        <v>0</v>
      </c>
      <c r="J202" s="799">
        <f>SUM(J192,J194)*-'General Inputs'!$H$53</f>
        <v>0</v>
      </c>
      <c r="K202" s="799">
        <f>SUM(K192,K194)*-'General Inputs'!$H$53</f>
        <v>0</v>
      </c>
      <c r="L202" s="799">
        <f>SUM(L192,L194)*-'General Inputs'!$H$53</f>
        <v>0</v>
      </c>
      <c r="M202" s="799">
        <f>SUM(M192,M194)*-'General Inputs'!$H$53</f>
        <v>0</v>
      </c>
      <c r="N202" s="799">
        <f>SUM(N192,N194)*-'General Inputs'!$H$53</f>
        <v>0</v>
      </c>
      <c r="O202" s="799">
        <f>SUM(O192,O194)*-'General Inputs'!$H$53</f>
        <v>0</v>
      </c>
      <c r="P202" s="799">
        <f>SUM(P192,P194)*-'General Inputs'!$H$53</f>
        <v>0</v>
      </c>
      <c r="Q202" s="799">
        <f>SUM(Q192,Q194)*-'General Inputs'!$H$53</f>
        <v>-26542.016359730609</v>
      </c>
      <c r="R202" s="799">
        <f>SUM(R192,R194)*-'General Inputs'!$H$53</f>
        <v>-43610.065724873151</v>
      </c>
      <c r="S202" s="799">
        <f>SUM(S192,S194)*-'General Inputs'!$H$53</f>
        <v>-67735.154493125432</v>
      </c>
      <c r="T202" s="799">
        <f>SUM(T192,T194)*-'General Inputs'!$H$53</f>
        <v>-96855.728864371034</v>
      </c>
      <c r="U202" s="799">
        <f>SUM(U192,U194)*-'General Inputs'!$H$53</f>
        <v>-126422.55349952968</v>
      </c>
      <c r="V202" s="799">
        <f>SUM(V192,V194)*-'General Inputs'!$H$53</f>
        <v>-154413.5863757242</v>
      </c>
      <c r="W202" s="799">
        <f>SUM(W192,W194)*-'General Inputs'!$H$53</f>
        <v>-180713.96972969797</v>
      </c>
      <c r="X202" s="799">
        <f>SUM(X192,X194)*-'General Inputs'!$H$53</f>
        <v>-204847.30435537422</v>
      </c>
      <c r="Y202" s="799">
        <f>SUM(Y192,Y194)*-'General Inputs'!$H$53</f>
        <v>-227044.56640296665</v>
      </c>
      <c r="Z202" s="799">
        <f>SUM(Z192,Z194)*-'General Inputs'!$H$53</f>
        <v>-246860.28383376423</v>
      </c>
      <c r="AA202" s="799">
        <f>SUM(AA192,AA194)*-'General Inputs'!$H$53</f>
        <v>-263831.21828845568</v>
      </c>
      <c r="AB202" s="799">
        <f>SUM(AB192,AB194)*-'General Inputs'!$H$53</f>
        <v>-277955.79220074689</v>
      </c>
      <c r="AC202" s="799">
        <f>SUM(AC192,AC194)*-'General Inputs'!$H$53</f>
        <v>-289257.30021253211</v>
      </c>
      <c r="AD202" s="799">
        <f>SUM(AD192,AD194)*-'General Inputs'!$H$53</f>
        <v>-298176.2285855565</v>
      </c>
      <c r="AE202" s="799">
        <f>SUM(AE192,AE194)*-'General Inputs'!$H$53</f>
        <v>-304591.6765143823</v>
      </c>
      <c r="AF202" s="799">
        <f>SUM(AF192,AF194)*-'General Inputs'!$H$53</f>
        <v>-306298.65159667342</v>
      </c>
      <c r="AG202" s="799">
        <f>SUM(AG192,AG194)*-'General Inputs'!$H$53</f>
        <v>-307558.42559341446</v>
      </c>
      <c r="AH202" s="799">
        <f>SUM(AH192,AH194)*-'General Inputs'!$H$53</f>
        <v>-308848.28669002961</v>
      </c>
      <c r="AI202" s="799">
        <f>SUM(AI192,AI194)*-'General Inputs'!$H$53</f>
        <v>-310166.59453000117</v>
      </c>
      <c r="AJ202" s="799">
        <f>SUM(AJ192,AJ194)*-'General Inputs'!$H$53</f>
        <v>-311483.468375094</v>
      </c>
      <c r="AK202" s="799">
        <f>SUM(AK192,AK194)*-'General Inputs'!$H$53</f>
        <v>-312783.33767796843</v>
      </c>
      <c r="AL202" s="799">
        <f>SUM(AL192,AL194)*-'General Inputs'!$H$53</f>
        <v>-314062.44608423684</v>
      </c>
      <c r="AM202" s="799">
        <f>SUM(AM192,AM194)*-'General Inputs'!$H$53</f>
        <v>-315317.00939268398</v>
      </c>
      <c r="AN202" s="799">
        <f>SUM(AN192,AN194)*-'General Inputs'!$H$53</f>
        <v>-316543.21540276398</v>
      </c>
      <c r="AO202" s="799">
        <f>SUM(AO192,AO194)*-'General Inputs'!$H$53</f>
        <v>-317737.22376138123</v>
      </c>
      <c r="AP202" s="799">
        <f>SUM(AP192,AP194)*-'General Inputs'!$H$53</f>
        <v>-318907.31291326362</v>
      </c>
      <c r="AQ202" s="799">
        <f>SUM(AQ192,AQ194)*-'General Inputs'!$H$53</f>
        <v>-320025.72464525182</v>
      </c>
      <c r="AR202" s="799">
        <f>SUM(AR192,AR194)*-'General Inputs'!$H$53</f>
        <v>-321096.3441277002</v>
      </c>
      <c r="AS202" s="799">
        <f>SUM(AS192,AS194)*-'General Inputs'!$H$53</f>
        <v>-322207.04057659494</v>
      </c>
      <c r="AT202" s="799">
        <f>SUM(AT192,AT194)*-'General Inputs'!$H$53</f>
        <v>-323291.75450954726</v>
      </c>
      <c r="AU202" s="799">
        <f>SUM(AU192,AU194)*-'General Inputs'!$H$53</f>
        <v>-324353.65969478706</v>
      </c>
      <c r="AV202" s="799">
        <f>SUM(AV192,AV194)*-'General Inputs'!$H$53</f>
        <v>-325385.9477142574</v>
      </c>
      <c r="AW202" s="799">
        <f>SUM(AW192,AW194)*-'General Inputs'!$H$53</f>
        <v>-326395.83531761478</v>
      </c>
      <c r="AX202" s="799">
        <f>SUM(AX192,AX194)*-'General Inputs'!$H$53</f>
        <v>-327390.59730929462</v>
      </c>
      <c r="AY202" s="799">
        <f>SUM(AY192,AY194)*-'General Inputs'!$H$53</f>
        <v>-328377.5669021685</v>
      </c>
      <c r="AZ202" s="799">
        <f>SUM(AZ192,AZ194)*-'General Inputs'!$H$53</f>
        <v>-329364.13607314171</v>
      </c>
      <c r="BA202" s="799">
        <f>SUM(BA192,BA194)*-'General Inputs'!$H$53</f>
        <v>-330357.75592070323</v>
      </c>
      <c r="BB202" s="799">
        <f>SUM(BB192,BB194)*-'General Inputs'!$H$53</f>
        <v>-331361.21202302526</v>
      </c>
      <c r="BC202" s="799">
        <f>SUM(BC192,BC194)*-'General Inputs'!$H$53</f>
        <v>-332390.6837529238</v>
      </c>
      <c r="BD202" s="799">
        <f>SUM(BD192,BD194)*-'General Inputs'!$H$53</f>
        <v>-333448.63965158159</v>
      </c>
      <c r="BE202" s="799">
        <f>SUM(BE192,BE194)*-'General Inputs'!$H$53</f>
        <v>-334512.12015660334</v>
      </c>
      <c r="BF202" s="799">
        <f>SUM(BF192,BF194)*-'General Inputs'!$H$53</f>
        <v>-335594.54404887557</v>
      </c>
      <c r="BG202" s="799">
        <f>SUM(BG192,BG194)*-'General Inputs'!$H$53</f>
        <v>-336694.86412141309</v>
      </c>
      <c r="BH202" s="799">
        <f>SUM(BH192,BH194)*-'General Inputs'!$H$53</f>
        <v>-337820.2537299266</v>
      </c>
      <c r="BI202" s="799">
        <f>SUM(BI192,BI194)*-'General Inputs'!$H$53</f>
        <v>-338968.33163822908</v>
      </c>
      <c r="BJ202" s="799">
        <f>SUM(BJ192,BJ194)*-'General Inputs'!$H$53</f>
        <v>-340136.69864511094</v>
      </c>
      <c r="BK202" s="799">
        <f>SUM(BK192,BK194)*-'General Inputs'!$H$53</f>
        <v>-341322.93748350197</v>
      </c>
      <c r="BL202" s="799">
        <f>SUM(BL192,BL194)*-'General Inputs'!$H$53</f>
        <v>-342524.61271912989</v>
      </c>
      <c r="BM202" s="799">
        <f>SUM(BM192,BM194)*-'General Inputs'!$H$53</f>
        <v>-343739.27064867213</v>
      </c>
      <c r="BN202" s="799">
        <f>SUM(BN192,BN194)*-'General Inputs'!$H$53</f>
        <v>-344961.06827083562</v>
      </c>
      <c r="BO202" s="799">
        <f>SUM(BO192,BO194)*-'General Inputs'!$H$53</f>
        <v>-346194.53372643003</v>
      </c>
      <c r="BP202" s="799">
        <f>SUM(BP192,BP194)*-'General Inputs'!$H$53</f>
        <v>-347436.24280070578</v>
      </c>
      <c r="BQ202" s="799">
        <f>SUM(BQ192,BQ194)*-'General Inputs'!$H$53</f>
        <v>-348672.01506009023</v>
      </c>
      <c r="BR202" s="799">
        <f>SUM(BR192,BR194)*-'General Inputs'!$H$53</f>
        <v>-349911.60178502498</v>
      </c>
      <c r="BS202" s="799">
        <f>SUM(BS192,BS194)*-'General Inputs'!$H$53</f>
        <v>-351155.0134024836</v>
      </c>
      <c r="BT202" s="799">
        <f>SUM(BT192,BT194)*-'General Inputs'!$H$53</f>
        <v>-352403.97616049659</v>
      </c>
      <c r="BU202" s="799">
        <f>SUM(BU192,BU194)*-'General Inputs'!$H$53</f>
        <v>-353658.51240360073</v>
      </c>
      <c r="BV202" s="799">
        <f>SUM(BV192,BV194)*-'General Inputs'!$H$53</f>
        <v>-354918.64456733275</v>
      </c>
      <c r="BW202" s="799">
        <f>SUM(BW192,BW194)*-'General Inputs'!$H$53</f>
        <v>-356184.3951786026</v>
      </c>
      <c r="BX202" s="799">
        <f>SUM(BX192,BX194)*-'General Inputs'!$H$53</f>
        <v>-357455.78685606777</v>
      </c>
      <c r="BY202" s="799">
        <f>SUM(BY192,BY194)*-'General Inputs'!$H$53</f>
        <v>-358732.84231051069</v>
      </c>
      <c r="BZ202" s="799">
        <f>SUM(BZ192,BZ194)*-'General Inputs'!$H$53</f>
        <v>-360013.82541002112</v>
      </c>
      <c r="CA202" s="799">
        <f>SUM(CA192,CA194)*-'General Inputs'!$H$53</f>
        <v>-361302.27448942617</v>
      </c>
      <c r="CB202" s="799">
        <f>SUM(CB192,CB194)*-'General Inputs'!$H$53</f>
        <v>-362597.27168880508</v>
      </c>
      <c r="CC202" s="799">
        <f>SUM(CC192,CC194)*-'General Inputs'!$H$53</f>
        <v>-363886.12332111847</v>
      </c>
      <c r="CD202" s="799">
        <f>SUM(CD192,CD194)*-'General Inputs'!$H$53</f>
        <v>-365178.94572525186</v>
      </c>
      <c r="CE202" s="799">
        <f>SUM(CE192,CE194)*-'General Inputs'!$H$53</f>
        <v>-366475.74975676538</v>
      </c>
      <c r="CF202" s="799">
        <f>SUM(CF192,CF194)*-'General Inputs'!$H$53</f>
        <v>-367778.33461931586</v>
      </c>
      <c r="CG202" s="799">
        <f>SUM(CG192,CG194)*-'General Inputs'!$H$53</f>
        <v>-369086.72358971689</v>
      </c>
      <c r="CH202" s="799">
        <f>SUM(CH192,CH194)*-'General Inputs'!$H$53</f>
        <v>-370400.94003959832</v>
      </c>
      <c r="CI202" s="799">
        <f>SUM(CI192,CI194)*-'General Inputs'!$H$53</f>
        <v>-371721.00743579527</v>
      </c>
      <c r="CJ202" s="799">
        <f>SUM(CJ192,CJ194)*-'General Inputs'!$H$53</f>
        <v>-373046.94934073847</v>
      </c>
      <c r="CK202" s="799">
        <f>SUM(CK192,CK194)*-'General Inputs'!$H$53</f>
        <v>-374378.78941284673</v>
      </c>
      <c r="CL202" s="799">
        <f>SUM(CL192,CL194)*-'General Inputs'!$H$53</f>
        <v>-375714.71812223882</v>
      </c>
      <c r="CM202" s="799">
        <f>SUM(CM192,CM194)*-'General Inputs'!$H$53</f>
        <v>-377058.42335534096</v>
      </c>
      <c r="CN202" s="799">
        <f>SUM(CN192,CN194)*-'General Inputs'!$H$53</f>
        <v>-378408.94844223018</v>
      </c>
      <c r="CO202" s="799">
        <f>SUM(CO192,CO194)*-'General Inputs'!$H$53</f>
        <v>-379753.10786697693</v>
      </c>
      <c r="CP202" s="799">
        <f>SUM(CP192,CP194)*-'General Inputs'!$H$53</f>
        <v>-381101.40082892741</v>
      </c>
      <c r="CQ202" s="799">
        <f>SUM(CQ192,CQ194)*-'General Inputs'!$H$53</f>
        <v>-382453.83862997888</v>
      </c>
      <c r="CR202" s="799">
        <f>SUM(CR192,CR194)*-'General Inputs'!$H$53</f>
        <v>-383812.29651285475</v>
      </c>
      <c r="CS202" s="799">
        <f>SUM(CS192,CS194)*-'General Inputs'!$H$53</f>
        <v>-385176.79872568551</v>
      </c>
      <c r="CT202" s="799">
        <f>SUM(CT192,CT194)*-'General Inputs'!$H$53</f>
        <v>-386547.36961539509</v>
      </c>
      <c r="CU202" s="799">
        <f>SUM(CU192,CU194)*-'General Inputs'!$H$53</f>
        <v>-387924.03362810565</v>
      </c>
      <c r="CV202" s="799">
        <f>SUM(CV192,CV194)*-'General Inputs'!$H$53</f>
        <v>-389306.81530954473</v>
      </c>
      <c r="CW202" s="799">
        <f>SUM(CW192,CW194)*-'General Inputs'!$H$53</f>
        <v>-390695.73930545413</v>
      </c>
      <c r="CX202" s="799">
        <f>SUM(CX192,CX194)*-'General Inputs'!$H$53</f>
        <v>-392088.91958510666</v>
      </c>
      <c r="CY202" s="799">
        <f>SUM(CY192,CY194)*-'General Inputs'!$H$53</f>
        <v>-393490.19990764291</v>
      </c>
      <c r="CZ202" s="799">
        <f>SUM(CZ192,CZ194)*-'General Inputs'!$H$53</f>
        <v>-394898.58315228089</v>
      </c>
      <c r="DA202" s="799">
        <f>SUM(DA192,DA194)*-'General Inputs'!$H$53</f>
        <v>-396300.3683596527</v>
      </c>
      <c r="DB202" s="799">
        <f>SUM(DB192,DB194)*-'General Inputs'!$H$53</f>
        <v>-397706.45659731276</v>
      </c>
      <c r="DC202" s="799">
        <f>SUM(DC192,DC194)*-'General Inputs'!$H$53</f>
        <v>-399116.859631987</v>
      </c>
      <c r="DD202" s="799">
        <f>SUM(DD192,DD194)*-'General Inputs'!$H$53</f>
        <v>-400533.53195922897</v>
      </c>
      <c r="DE202" s="799">
        <f>SUM(DE192,DE194)*-'General Inputs'!$H$53</f>
        <v>-401956.49883916636</v>
      </c>
      <c r="DF202" s="799">
        <f>SUM(DF192,DF194)*-'General Inputs'!$H$53</f>
        <v>-403385.7856348636</v>
      </c>
      <c r="DG202" s="799">
        <f>SUM(DG192,DG194)*-'General Inputs'!$H$53</f>
        <v>-404821.41781274485</v>
      </c>
      <c r="DH202" s="799">
        <f>SUM(DH192,DH194)*-'General Inputs'!$H$53</f>
        <v>-406263.42094301747</v>
      </c>
      <c r="DI202" s="799">
        <f>SUM(DI192,DI194)*-'General Inputs'!$H$53</f>
        <v>-407711.82070009847</v>
      </c>
      <c r="DJ202" s="799">
        <f>SUM(DJ192,DJ194)*-'General Inputs'!$H$53</f>
        <v>-409164.6513183731</v>
      </c>
      <c r="DK202" s="799">
        <f>SUM(DK192,DK194)*-'General Inputs'!$H$53</f>
        <v>-410625.91901798977</v>
      </c>
      <c r="DL202" s="799">
        <f>SUM(DL192,DL194)*-'General Inputs'!$H$53</f>
        <v>-412094.58451708202</v>
      </c>
      <c r="DM202" s="799">
        <f>SUM(DM192,DM194)*-'General Inputs'!$H$53</f>
        <v>-413556.40629491833</v>
      </c>
      <c r="DN202" s="799">
        <f>SUM(DN192,DN194)*-'General Inputs'!$H$53</f>
        <v>-415022.70760363608</v>
      </c>
      <c r="DO202" s="799">
        <f>SUM(DO192,DO194)*-'General Inputs'!$H$53</f>
        <v>-416493.50069405051</v>
      </c>
      <c r="DP202" s="799">
        <f>SUM(DP192,DP194)*-'General Inputs'!$H$53</f>
        <v>-417970.82266414369</v>
      </c>
      <c r="DQ202" s="799">
        <f>SUM(DQ192,DQ194)*-'General Inputs'!$H$53</f>
        <v>-419454.69982842763</v>
      </c>
      <c r="DR202" s="799">
        <f>SUM(DR192,DR194)*-'General Inputs'!$H$53</f>
        <v>-420945.15860866976</v>
      </c>
      <c r="DS202" s="799">
        <f>SUM(DS192,DS194)*-'General Inputs'!$H$53</f>
        <v>-422442.22553433286</v>
      </c>
      <c r="DT202" s="799">
        <f>SUM(DT192,DT194)*-'General Inputs'!$H$53</f>
        <v>-423945.92724301689</v>
      </c>
      <c r="DU202" s="799">
        <f>SUM(DU192,DU194)*-'General Inputs'!$H$53</f>
        <v>-425456.29048090341</v>
      </c>
      <c r="DV202" s="799">
        <f>SUM(DV192,DV194)*-'General Inputs'!$H$53</f>
        <v>0</v>
      </c>
      <c r="DW202" s="799">
        <f>SUM(DW192,DW194)*-'General Inputs'!$H$53</f>
        <v>0</v>
      </c>
      <c r="DX202" s="799">
        <f>SUM(DX192,DX194)*-'General Inputs'!$H$53</f>
        <v>0</v>
      </c>
      <c r="DY202" s="799">
        <f>SUM(DY192,DY194)*-'General Inputs'!$H$53</f>
        <v>0</v>
      </c>
      <c r="DZ202" s="799">
        <f>SUM(DZ192,DZ194)*-'General Inputs'!$H$53</f>
        <v>0</v>
      </c>
      <c r="EA202" s="799">
        <f>SUM(EA192,EA194)*-'General Inputs'!$H$53</f>
        <v>0</v>
      </c>
      <c r="EB202" s="799">
        <f>SUM(EB192,EB194)*-'General Inputs'!$H$53</f>
        <v>0</v>
      </c>
      <c r="EC202" s="799">
        <f>SUM(EC192,EC194)*-'General Inputs'!$H$53</f>
        <v>0</v>
      </c>
      <c r="ED202" s="799">
        <f>SUM(ED192,ED194)*-'General Inputs'!$H$53</f>
        <v>0</v>
      </c>
      <c r="EE202" s="799">
        <f>SUM(EE192,EE194)*-'General Inputs'!$H$53</f>
        <v>0</v>
      </c>
      <c r="EF202" s="799">
        <f>SUM(EF192,EF194)*-'General Inputs'!$H$53</f>
        <v>0</v>
      </c>
      <c r="EG202" s="799">
        <f>SUM(EG192,EG194)*-'General Inputs'!$H$53</f>
        <v>0</v>
      </c>
      <c r="EH202" s="782"/>
    </row>
    <row r="203" spans="1:138" s="814" customFormat="1" ht="12.75" customHeight="1" x14ac:dyDescent="0.3">
      <c r="A203" s="796"/>
      <c r="B203" s="796" t="s">
        <v>127</v>
      </c>
      <c r="C203" s="813"/>
      <c r="D203" s="796"/>
      <c r="E203" s="813">
        <f>SUM(E198:E202)</f>
        <v>0</v>
      </c>
      <c r="F203" s="813">
        <f t="shared" ref="F203:BQ203" si="161">SUM(F198:F202)</f>
        <v>0</v>
      </c>
      <c r="G203" s="813">
        <f t="shared" si="161"/>
        <v>0</v>
      </c>
      <c r="H203" s="813">
        <f t="shared" si="161"/>
        <v>0</v>
      </c>
      <c r="I203" s="813">
        <f t="shared" si="161"/>
        <v>0</v>
      </c>
      <c r="J203" s="813">
        <f t="shared" si="161"/>
        <v>0</v>
      </c>
      <c r="K203" s="813">
        <f t="shared" si="161"/>
        <v>0</v>
      </c>
      <c r="L203" s="813">
        <f t="shared" si="161"/>
        <v>0</v>
      </c>
      <c r="M203" s="813">
        <f t="shared" si="161"/>
        <v>0</v>
      </c>
      <c r="N203" s="813">
        <f t="shared" si="161"/>
        <v>0</v>
      </c>
      <c r="O203" s="813">
        <f t="shared" si="161"/>
        <v>-1711728.34</v>
      </c>
      <c r="P203" s="813">
        <f t="shared" si="161"/>
        <v>-5697228.0930000003</v>
      </c>
      <c r="Q203" s="813">
        <f t="shared" si="161"/>
        <v>-971250.43156943843</v>
      </c>
      <c r="R203" s="813">
        <f t="shared" si="161"/>
        <v>620450.83265788655</v>
      </c>
      <c r="S203" s="813">
        <f t="shared" si="161"/>
        <v>4815811.1387176411</v>
      </c>
      <c r="T203" s="813">
        <f t="shared" si="161"/>
        <v>10776599.682971183</v>
      </c>
      <c r="U203" s="813">
        <f t="shared" si="161"/>
        <v>17154143.375843849</v>
      </c>
      <c r="V203" s="813">
        <f t="shared" si="161"/>
        <v>23345424.411740433</v>
      </c>
      <c r="W203" s="813">
        <f t="shared" si="161"/>
        <v>28991038.852259725</v>
      </c>
      <c r="X203" s="813">
        <f t="shared" si="161"/>
        <v>34162492.04198423</v>
      </c>
      <c r="Y203" s="813">
        <f t="shared" si="161"/>
        <v>39124642.798784927</v>
      </c>
      <c r="Z203" s="813">
        <f t="shared" si="161"/>
        <v>43636543.794809721</v>
      </c>
      <c r="AA203" s="813">
        <f t="shared" si="161"/>
        <v>47534743.687767282</v>
      </c>
      <c r="AB203" s="813">
        <f t="shared" si="161"/>
        <v>51022014.647647955</v>
      </c>
      <c r="AC203" s="813">
        <f t="shared" si="161"/>
        <v>53783334.567560643</v>
      </c>
      <c r="AD203" s="813">
        <f t="shared" si="161"/>
        <v>56066714.503404744</v>
      </c>
      <c r="AE203" s="813">
        <f t="shared" si="161"/>
        <v>58196643.215774916</v>
      </c>
      <c r="AF203" s="813">
        <f t="shared" si="161"/>
        <v>58763358.943095572</v>
      </c>
      <c r="AG203" s="813">
        <f t="shared" si="161"/>
        <v>59181603.910013579</v>
      </c>
      <c r="AH203" s="813">
        <f t="shared" si="161"/>
        <v>59609837.794089817</v>
      </c>
      <c r="AI203" s="813">
        <f t="shared" si="161"/>
        <v>60047515.996960379</v>
      </c>
      <c r="AJ203" s="813">
        <f t="shared" si="161"/>
        <v>60484718.113531195</v>
      </c>
      <c r="AK203" s="813">
        <f t="shared" si="161"/>
        <v>60916274.722085498</v>
      </c>
      <c r="AL203" s="813">
        <f t="shared" si="161"/>
        <v>46875120.192339078</v>
      </c>
      <c r="AM203" s="813">
        <f t="shared" si="161"/>
        <v>47291635.210743539</v>
      </c>
      <c r="AN203" s="813">
        <f t="shared" si="161"/>
        <v>47698735.606090084</v>
      </c>
      <c r="AO203" s="813">
        <f t="shared" si="161"/>
        <v>48095146.381151021</v>
      </c>
      <c r="AP203" s="813">
        <f t="shared" si="161"/>
        <v>48483615.979575969</v>
      </c>
      <c r="AQ203" s="813">
        <f t="shared" si="161"/>
        <v>48854928.674596056</v>
      </c>
      <c r="AR203" s="813">
        <f t="shared" si="161"/>
        <v>49210374.342768908</v>
      </c>
      <c r="AS203" s="813">
        <f t="shared" si="161"/>
        <v>49579125.563801974</v>
      </c>
      <c r="AT203" s="813">
        <f t="shared" si="161"/>
        <v>49939250.589542143</v>
      </c>
      <c r="AU203" s="813">
        <f t="shared" si="161"/>
        <v>50291803.111041754</v>
      </c>
      <c r="AV203" s="813">
        <f t="shared" si="161"/>
        <v>50634522.73350592</v>
      </c>
      <c r="AW203" s="813">
        <f t="shared" si="161"/>
        <v>50969805.417820565</v>
      </c>
      <c r="AX203" s="813">
        <f t="shared" si="161"/>
        <v>51300066.399058282</v>
      </c>
      <c r="AY203" s="813">
        <f t="shared" si="161"/>
        <v>51627740.303892389</v>
      </c>
      <c r="AZ203" s="813">
        <f t="shared" si="161"/>
        <v>51955281.268655494</v>
      </c>
      <c r="BA203" s="813">
        <f t="shared" si="161"/>
        <v>52285163.058045924</v>
      </c>
      <c r="BB203" s="813">
        <f t="shared" si="161"/>
        <v>52618310.484016843</v>
      </c>
      <c r="BC203" s="813">
        <f t="shared" si="161"/>
        <v>52960095.098343149</v>
      </c>
      <c r="BD203" s="813">
        <f t="shared" si="161"/>
        <v>53311336.456697531</v>
      </c>
      <c r="BE203" s="813">
        <f t="shared" si="161"/>
        <v>53664411.984364763</v>
      </c>
      <c r="BF203" s="813">
        <f t="shared" si="161"/>
        <v>54023776.716599144</v>
      </c>
      <c r="BG203" s="813">
        <f t="shared" si="161"/>
        <v>54389082.980681598</v>
      </c>
      <c r="BH203" s="813">
        <f t="shared" si="161"/>
        <v>54762712.330708079</v>
      </c>
      <c r="BI203" s="813">
        <f t="shared" si="161"/>
        <v>55143874.196264498</v>
      </c>
      <c r="BJ203" s="813">
        <f t="shared" si="161"/>
        <v>55531772.042549282</v>
      </c>
      <c r="BK203" s="813">
        <f t="shared" si="161"/>
        <v>55925603.336895101</v>
      </c>
      <c r="BL203" s="813">
        <f t="shared" si="161"/>
        <v>56324559.515123576</v>
      </c>
      <c r="BM203" s="813">
        <f t="shared" si="161"/>
        <v>56727825.947731607</v>
      </c>
      <c r="BN203" s="813">
        <f t="shared" si="161"/>
        <v>57133462.758289889</v>
      </c>
      <c r="BO203" s="813">
        <f t="shared" si="161"/>
        <v>57542973.28954722</v>
      </c>
      <c r="BP203" s="813">
        <f t="shared" si="161"/>
        <v>57955220.702206761</v>
      </c>
      <c r="BQ203" s="813">
        <f t="shared" si="161"/>
        <v>58365497.092322417</v>
      </c>
      <c r="BR203" s="813">
        <f t="shared" ref="BR203:EC203" si="162">SUM(BR198:BR202)</f>
        <v>58777039.885000736</v>
      </c>
      <c r="BS203" s="813">
        <f t="shared" si="162"/>
        <v>59189852.541997001</v>
      </c>
      <c r="BT203" s="813">
        <f t="shared" si="162"/>
        <v>59604508.177657321</v>
      </c>
      <c r="BU203" s="813">
        <f t="shared" si="162"/>
        <v>60021014.210367896</v>
      </c>
      <c r="BV203" s="813">
        <f t="shared" si="162"/>
        <v>60439378.088726938</v>
      </c>
      <c r="BW203" s="813">
        <f t="shared" si="162"/>
        <v>60859607.291668519</v>
      </c>
      <c r="BX203" s="813">
        <f t="shared" si="162"/>
        <v>61281709.328586958</v>
      </c>
      <c r="BY203" s="813">
        <f t="shared" si="162"/>
        <v>61705691.739462011</v>
      </c>
      <c r="BZ203" s="813">
        <f t="shared" si="162"/>
        <v>62130978.128499471</v>
      </c>
      <c r="CA203" s="813">
        <f t="shared" si="162"/>
        <v>62558743.222861938</v>
      </c>
      <c r="CB203" s="813">
        <f t="shared" si="162"/>
        <v>62988682.293055743</v>
      </c>
      <c r="CC203" s="813">
        <f t="shared" si="162"/>
        <v>63416581.034983791</v>
      </c>
      <c r="CD203" s="813">
        <f t="shared" si="162"/>
        <v>63845798.073156074</v>
      </c>
      <c r="CE203" s="813">
        <f t="shared" si="162"/>
        <v>64276337.011618555</v>
      </c>
      <c r="CF203" s="813">
        <f t="shared" si="162"/>
        <v>64708795.185985319</v>
      </c>
      <c r="CG203" s="813">
        <f t="shared" si="162"/>
        <v>65143180.32415846</v>
      </c>
      <c r="CH203" s="813">
        <f t="shared" si="162"/>
        <v>65579500.185519107</v>
      </c>
      <c r="CI203" s="813">
        <f t="shared" si="162"/>
        <v>66017762.561056472</v>
      </c>
      <c r="CJ203" s="813">
        <f t="shared" si="162"/>
        <v>66457975.273497619</v>
      </c>
      <c r="CK203" s="813">
        <f t="shared" si="162"/>
        <v>66900146.177437566</v>
      </c>
      <c r="CL203" s="813">
        <f t="shared" si="162"/>
        <v>67343674.508955732</v>
      </c>
      <c r="CM203" s="813">
        <f t="shared" si="162"/>
        <v>67789784.64634563</v>
      </c>
      <c r="CN203" s="813">
        <f t="shared" si="162"/>
        <v>68238158.97519286</v>
      </c>
      <c r="CO203" s="813">
        <f t="shared" si="162"/>
        <v>68684419.904208794</v>
      </c>
      <c r="CP203" s="813">
        <f t="shared" si="162"/>
        <v>69132053.167576343</v>
      </c>
      <c r="CQ203" s="813">
        <f t="shared" si="162"/>
        <v>69581062.517525449</v>
      </c>
      <c r="CR203" s="813">
        <f t="shared" si="162"/>
        <v>70032070.534640208</v>
      </c>
      <c r="CS203" s="813">
        <f t="shared" si="162"/>
        <v>70485085.269300044</v>
      </c>
      <c r="CT203" s="813">
        <f t="shared" si="162"/>
        <v>70940114.804683641</v>
      </c>
      <c r="CU203" s="813">
        <f t="shared" si="162"/>
        <v>71397167.256903529</v>
      </c>
      <c r="CV203" s="813">
        <f t="shared" si="162"/>
        <v>71856250.775141314</v>
      </c>
      <c r="CW203" s="813">
        <f t="shared" si="162"/>
        <v>72317373.541783229</v>
      </c>
      <c r="CX203" s="813">
        <f t="shared" si="162"/>
        <v>72779909.394627854</v>
      </c>
      <c r="CY203" s="813">
        <f t="shared" si="162"/>
        <v>73245134.461709872</v>
      </c>
      <c r="CZ203" s="813">
        <f t="shared" si="162"/>
        <v>73712717.698929712</v>
      </c>
      <c r="DA203" s="813">
        <f t="shared" si="162"/>
        <v>74178110.38777715</v>
      </c>
      <c r="DB203" s="813">
        <f t="shared" si="162"/>
        <v>74644931.682680294</v>
      </c>
      <c r="DC203" s="813">
        <f t="shared" si="162"/>
        <v>75113185.49019213</v>
      </c>
      <c r="DD203" s="813">
        <f t="shared" si="162"/>
        <v>75583520.702836469</v>
      </c>
      <c r="DE203" s="813">
        <f t="shared" si="162"/>
        <v>76055945.706975684</v>
      </c>
      <c r="DF203" s="813">
        <f t="shared" si="162"/>
        <v>76530468.923147172</v>
      </c>
      <c r="DG203" s="813">
        <f t="shared" si="162"/>
        <v>77007098.806203738</v>
      </c>
      <c r="DH203" s="813">
        <f t="shared" si="162"/>
        <v>77485843.845454246</v>
      </c>
      <c r="DI203" s="813">
        <f t="shared" si="162"/>
        <v>77966712.56480515</v>
      </c>
      <c r="DJ203" s="813">
        <f t="shared" si="162"/>
        <v>78449052.330072328</v>
      </c>
      <c r="DK203" s="813">
        <f t="shared" si="162"/>
        <v>78934193.206345066</v>
      </c>
      <c r="DL203" s="813">
        <f t="shared" si="162"/>
        <v>79421790.152043685</v>
      </c>
      <c r="DM203" s="813">
        <f t="shared" si="162"/>
        <v>79907114.982285336</v>
      </c>
      <c r="DN203" s="813">
        <f t="shared" si="162"/>
        <v>80393927.016779631</v>
      </c>
      <c r="DO203" s="813">
        <f t="shared" si="162"/>
        <v>80882230.322797224</v>
      </c>
      <c r="DP203" s="813">
        <f t="shared" si="162"/>
        <v>81372701.216868147</v>
      </c>
      <c r="DQ203" s="813">
        <f t="shared" si="162"/>
        <v>81865348.43541041</v>
      </c>
      <c r="DR203" s="813">
        <f t="shared" si="162"/>
        <v>82360180.75045079</v>
      </c>
      <c r="DS203" s="813">
        <f t="shared" si="162"/>
        <v>82857206.969770953</v>
      </c>
      <c r="DT203" s="813">
        <f t="shared" si="162"/>
        <v>83356435.937054053</v>
      </c>
      <c r="DU203" s="813">
        <f t="shared" si="162"/>
        <v>83857876.532032385</v>
      </c>
      <c r="DV203" s="813">
        <f t="shared" si="162"/>
        <v>-57343611.907627545</v>
      </c>
      <c r="DW203" s="813">
        <f t="shared" si="162"/>
        <v>-57343611.907627545</v>
      </c>
      <c r="DX203" s="813">
        <f t="shared" si="162"/>
        <v>-57343611.907627545</v>
      </c>
      <c r="DY203" s="813">
        <f t="shared" si="162"/>
        <v>-57343611.907627545</v>
      </c>
      <c r="DZ203" s="813">
        <f t="shared" si="162"/>
        <v>-57343611.907627545</v>
      </c>
      <c r="EA203" s="813">
        <f t="shared" si="162"/>
        <v>-57343611.907627545</v>
      </c>
      <c r="EB203" s="813">
        <f t="shared" si="162"/>
        <v>-57343611.907627545</v>
      </c>
      <c r="EC203" s="813">
        <f t="shared" si="162"/>
        <v>-57343611.907627538</v>
      </c>
      <c r="ED203" s="813">
        <f>SUM(ED198:ED202)</f>
        <v>-57343611.907627538</v>
      </c>
      <c r="EE203" s="813">
        <f>SUM(EE198:EE202)</f>
        <v>-57343611.907626979</v>
      </c>
      <c r="EF203" s="813">
        <f>SUM(EF198:EF202)</f>
        <v>-57343611.907626964</v>
      </c>
      <c r="EG203" s="813">
        <f>SUM(EG198:EG202)</f>
        <v>-57343611.90762639</v>
      </c>
      <c r="EH203" s="796"/>
    </row>
    <row r="204" spans="1:138" ht="12.75" customHeight="1" x14ac:dyDescent="0.3">
      <c r="A204" s="782"/>
      <c r="B204" s="782"/>
      <c r="C204" s="798"/>
      <c r="D204" s="782"/>
      <c r="E204" s="798"/>
      <c r="F204" s="798"/>
      <c r="G204" s="798"/>
      <c r="H204" s="798"/>
      <c r="I204" s="798"/>
      <c r="J204" s="798"/>
      <c r="K204" s="798"/>
      <c r="L204" s="798"/>
      <c r="M204" s="798"/>
      <c r="N204" s="798"/>
      <c r="O204" s="798"/>
      <c r="P204" s="798"/>
      <c r="Q204" s="798"/>
      <c r="R204" s="798"/>
      <c r="S204" s="798"/>
      <c r="T204" s="798"/>
      <c r="U204" s="798"/>
      <c r="V204" s="798"/>
      <c r="W204" s="798"/>
      <c r="X204" s="798"/>
      <c r="Y204" s="798"/>
      <c r="Z204" s="798"/>
      <c r="AA204" s="798"/>
      <c r="AB204" s="798"/>
      <c r="AC204" s="798"/>
      <c r="AD204" s="798"/>
      <c r="AE204" s="798"/>
      <c r="AF204" s="798"/>
      <c r="AG204" s="798"/>
      <c r="AH204" s="798"/>
      <c r="AI204" s="798"/>
      <c r="AJ204" s="798"/>
      <c r="AK204" s="798"/>
      <c r="AL204" s="798"/>
      <c r="AM204" s="798"/>
      <c r="AN204" s="798"/>
      <c r="AO204" s="798"/>
      <c r="AP204" s="798"/>
      <c r="AQ204" s="798"/>
      <c r="AR204" s="798"/>
      <c r="AS204" s="798"/>
      <c r="AT204" s="798"/>
      <c r="AU204" s="798"/>
      <c r="AV204" s="798"/>
      <c r="AW204" s="798"/>
      <c r="AX204" s="798"/>
      <c r="AY204" s="798"/>
      <c r="AZ204" s="798"/>
      <c r="BA204" s="798"/>
      <c r="BB204" s="798"/>
      <c r="BC204" s="798"/>
      <c r="BD204" s="798"/>
      <c r="BE204" s="798"/>
      <c r="BF204" s="798"/>
      <c r="BG204" s="798"/>
      <c r="BH204" s="798"/>
      <c r="BI204" s="798"/>
      <c r="BJ204" s="798"/>
      <c r="BK204" s="798"/>
      <c r="BL204" s="798"/>
      <c r="BM204" s="798"/>
      <c r="BN204" s="798"/>
      <c r="BO204" s="798"/>
      <c r="BP204" s="798"/>
      <c r="BQ204" s="798"/>
      <c r="BR204" s="798"/>
      <c r="BS204" s="798"/>
      <c r="BT204" s="798"/>
      <c r="BU204" s="798"/>
      <c r="BV204" s="798"/>
      <c r="BW204" s="798"/>
      <c r="BX204" s="798"/>
      <c r="BY204" s="798"/>
      <c r="BZ204" s="798"/>
      <c r="CA204" s="798"/>
      <c r="CB204" s="798"/>
      <c r="CC204" s="798"/>
      <c r="CD204" s="798"/>
      <c r="CE204" s="798"/>
      <c r="CF204" s="798"/>
      <c r="CG204" s="798"/>
      <c r="CH204" s="798"/>
      <c r="CI204" s="798"/>
      <c r="CJ204" s="798"/>
      <c r="CK204" s="798"/>
      <c r="CL204" s="798"/>
      <c r="CM204" s="798"/>
      <c r="CN204" s="798"/>
      <c r="CO204" s="798"/>
      <c r="CP204" s="798"/>
      <c r="CQ204" s="798"/>
      <c r="CR204" s="798"/>
      <c r="CS204" s="798"/>
      <c r="CT204" s="798"/>
      <c r="CU204" s="798"/>
      <c r="CV204" s="798"/>
      <c r="CW204" s="798"/>
      <c r="CX204" s="798"/>
      <c r="CY204" s="798"/>
      <c r="CZ204" s="798"/>
      <c r="DA204" s="798"/>
      <c r="DB204" s="798"/>
      <c r="DC204" s="798"/>
      <c r="DD204" s="798"/>
      <c r="DE204" s="798"/>
      <c r="DF204" s="798"/>
      <c r="DG204" s="798"/>
      <c r="DH204" s="798"/>
      <c r="DI204" s="798"/>
      <c r="DJ204" s="798"/>
      <c r="DK204" s="798"/>
      <c r="DL204" s="798"/>
      <c r="DM204" s="798"/>
      <c r="DN204" s="798"/>
      <c r="DO204" s="798"/>
      <c r="DP204" s="798"/>
      <c r="DQ204" s="798"/>
      <c r="DR204" s="798"/>
      <c r="DS204" s="798"/>
      <c r="DT204" s="798"/>
      <c r="DU204" s="798"/>
      <c r="DV204" s="798"/>
      <c r="DW204" s="798"/>
      <c r="DX204" s="798"/>
      <c r="DY204" s="798"/>
      <c r="DZ204" s="798"/>
      <c r="EA204" s="798"/>
      <c r="EB204" s="798"/>
      <c r="EC204" s="798"/>
      <c r="ED204" s="798"/>
      <c r="EE204" s="798"/>
      <c r="EF204" s="798"/>
      <c r="EG204" s="798"/>
      <c r="EH204" s="782"/>
    </row>
    <row r="205" spans="1:138" ht="12.75" customHeight="1" x14ac:dyDescent="0.3">
      <c r="A205" s="782"/>
      <c r="B205" s="793" t="s">
        <v>128</v>
      </c>
      <c r="C205" s="794"/>
      <c r="D205" s="794"/>
      <c r="E205" s="794"/>
      <c r="F205" s="794"/>
      <c r="G205" s="794"/>
      <c r="H205" s="794"/>
      <c r="I205" s="794"/>
      <c r="J205" s="794"/>
      <c r="K205" s="794"/>
      <c r="L205" s="794"/>
      <c r="M205" s="794"/>
      <c r="N205" s="794"/>
      <c r="O205" s="794"/>
      <c r="P205" s="794"/>
      <c r="Q205" s="794"/>
      <c r="R205" s="794"/>
      <c r="S205" s="794"/>
      <c r="T205" s="794"/>
      <c r="U205" s="794"/>
      <c r="V205" s="794"/>
      <c r="W205" s="794"/>
      <c r="X205" s="794"/>
      <c r="Y205" s="794"/>
      <c r="Z205" s="794"/>
      <c r="AA205" s="794"/>
      <c r="AB205" s="794"/>
      <c r="AC205" s="794"/>
      <c r="AD205" s="794"/>
      <c r="AE205" s="794"/>
      <c r="AF205" s="794"/>
      <c r="AG205" s="794"/>
      <c r="AH205" s="794"/>
      <c r="AI205" s="794"/>
      <c r="AJ205" s="794"/>
      <c r="AK205" s="794"/>
      <c r="AL205" s="794"/>
      <c r="AM205" s="794"/>
      <c r="AN205" s="794"/>
      <c r="AO205" s="794"/>
      <c r="AP205" s="794"/>
      <c r="AQ205" s="794"/>
      <c r="AR205" s="794"/>
      <c r="AS205" s="794"/>
      <c r="AT205" s="794"/>
      <c r="AU205" s="794"/>
      <c r="AV205" s="794"/>
      <c r="AW205" s="794"/>
      <c r="AX205" s="794"/>
      <c r="AY205" s="794"/>
      <c r="AZ205" s="794"/>
      <c r="BA205" s="794"/>
      <c r="BB205" s="794"/>
      <c r="BC205" s="794"/>
      <c r="BD205" s="794"/>
      <c r="BE205" s="794"/>
      <c r="BF205" s="794"/>
      <c r="BG205" s="794"/>
      <c r="BH205" s="794"/>
      <c r="BI205" s="794"/>
      <c r="BJ205" s="794"/>
      <c r="BK205" s="794"/>
      <c r="BL205" s="794"/>
      <c r="BM205" s="794"/>
      <c r="BN205" s="794"/>
      <c r="BO205" s="794"/>
      <c r="BP205" s="794"/>
      <c r="BQ205" s="794"/>
      <c r="BR205" s="794"/>
      <c r="BS205" s="794"/>
      <c r="BT205" s="794"/>
      <c r="BU205" s="794"/>
      <c r="BV205" s="794"/>
      <c r="BW205" s="794"/>
      <c r="BX205" s="794"/>
      <c r="BY205" s="794"/>
      <c r="BZ205" s="794"/>
      <c r="CA205" s="794"/>
      <c r="CB205" s="794"/>
      <c r="CC205" s="794"/>
      <c r="CD205" s="794"/>
      <c r="CE205" s="794"/>
      <c r="CF205" s="794"/>
      <c r="CG205" s="794"/>
      <c r="CH205" s="794"/>
      <c r="CI205" s="794"/>
      <c r="CJ205" s="794"/>
      <c r="CK205" s="794"/>
      <c r="CL205" s="794"/>
      <c r="CM205" s="794"/>
      <c r="CN205" s="794"/>
      <c r="CO205" s="794"/>
      <c r="CP205" s="794"/>
      <c r="CQ205" s="794"/>
      <c r="CR205" s="794"/>
      <c r="CS205" s="794"/>
      <c r="CT205" s="794"/>
      <c r="CU205" s="794"/>
      <c r="CV205" s="794"/>
      <c r="CW205" s="794"/>
      <c r="CX205" s="794"/>
      <c r="CY205" s="794"/>
      <c r="CZ205" s="794"/>
      <c r="DA205" s="794"/>
      <c r="DB205" s="794"/>
      <c r="DC205" s="794"/>
      <c r="DD205" s="794"/>
      <c r="DE205" s="794"/>
      <c r="DF205" s="794"/>
      <c r="DG205" s="794"/>
      <c r="DH205" s="794"/>
      <c r="DI205" s="794"/>
      <c r="DJ205" s="794"/>
      <c r="DK205" s="794"/>
      <c r="DL205" s="794"/>
      <c r="DM205" s="794"/>
      <c r="DN205" s="794"/>
      <c r="DO205" s="794"/>
      <c r="DP205" s="794"/>
      <c r="DQ205" s="794"/>
      <c r="DR205" s="794"/>
      <c r="DS205" s="794"/>
      <c r="DT205" s="794"/>
      <c r="DU205" s="794"/>
      <c r="DV205" s="794"/>
      <c r="DW205" s="794"/>
      <c r="DX205" s="794"/>
      <c r="DY205" s="794"/>
      <c r="DZ205" s="794"/>
      <c r="EA205" s="794"/>
      <c r="EB205" s="794"/>
      <c r="EC205" s="794"/>
      <c r="ED205" s="794"/>
      <c r="EE205" s="794"/>
      <c r="EF205" s="794"/>
      <c r="EG205" s="794"/>
      <c r="EH205" s="794"/>
    </row>
    <row r="206" spans="1:138" ht="12.75" customHeight="1" x14ac:dyDescent="0.3">
      <c r="A206" s="782"/>
      <c r="B206" s="782"/>
      <c r="C206" s="798"/>
      <c r="D206" s="782"/>
      <c r="E206" s="798"/>
      <c r="F206" s="798"/>
      <c r="G206" s="798"/>
      <c r="H206" s="798"/>
      <c r="I206" s="798"/>
      <c r="J206" s="798"/>
      <c r="K206" s="798"/>
      <c r="L206" s="798"/>
      <c r="M206" s="798"/>
      <c r="N206" s="798"/>
      <c r="O206" s="798"/>
      <c r="P206" s="798"/>
      <c r="Q206" s="798"/>
      <c r="R206" s="798"/>
      <c r="S206" s="798"/>
      <c r="T206" s="798"/>
      <c r="U206" s="798"/>
      <c r="V206" s="798"/>
      <c r="W206" s="798"/>
      <c r="X206" s="798"/>
      <c r="Y206" s="798"/>
      <c r="Z206" s="798"/>
      <c r="AA206" s="798"/>
      <c r="AB206" s="798"/>
      <c r="AC206" s="798"/>
      <c r="AD206" s="798"/>
      <c r="AE206" s="798"/>
      <c r="AF206" s="798"/>
      <c r="AG206" s="798"/>
      <c r="AH206" s="798"/>
      <c r="AI206" s="798"/>
      <c r="AJ206" s="798"/>
      <c r="AK206" s="798"/>
      <c r="AL206" s="798"/>
      <c r="AM206" s="798"/>
      <c r="AN206" s="798"/>
      <c r="AO206" s="798"/>
      <c r="AP206" s="798"/>
      <c r="AQ206" s="798"/>
      <c r="AR206" s="798"/>
      <c r="AS206" s="798"/>
      <c r="AT206" s="798"/>
      <c r="AU206" s="798"/>
      <c r="AV206" s="798"/>
      <c r="AW206" s="798"/>
      <c r="AX206" s="798"/>
      <c r="AY206" s="798"/>
      <c r="AZ206" s="798"/>
      <c r="BA206" s="798"/>
      <c r="BB206" s="798"/>
      <c r="BC206" s="798"/>
      <c r="BD206" s="798"/>
      <c r="BE206" s="798"/>
      <c r="BF206" s="798"/>
      <c r="BG206" s="798"/>
      <c r="BH206" s="798"/>
      <c r="BI206" s="798"/>
      <c r="BJ206" s="798"/>
      <c r="BK206" s="798"/>
      <c r="BL206" s="798"/>
      <c r="BM206" s="798"/>
      <c r="BN206" s="798"/>
      <c r="BO206" s="798"/>
      <c r="BP206" s="798"/>
      <c r="BQ206" s="798"/>
      <c r="BR206" s="798"/>
      <c r="BS206" s="798"/>
      <c r="BT206" s="798"/>
      <c r="BU206" s="798"/>
      <c r="BV206" s="798"/>
      <c r="BW206" s="798"/>
      <c r="BX206" s="798"/>
      <c r="BY206" s="798"/>
      <c r="BZ206" s="798"/>
      <c r="CA206" s="798"/>
      <c r="CB206" s="798"/>
      <c r="CC206" s="798"/>
      <c r="CD206" s="798"/>
      <c r="CE206" s="798"/>
      <c r="CF206" s="798"/>
      <c r="CG206" s="798"/>
      <c r="CH206" s="798"/>
      <c r="CI206" s="798"/>
      <c r="CJ206" s="798"/>
      <c r="CK206" s="798"/>
      <c r="CL206" s="798"/>
      <c r="CM206" s="798"/>
      <c r="CN206" s="798"/>
      <c r="CO206" s="798"/>
      <c r="CP206" s="798"/>
      <c r="CQ206" s="798"/>
      <c r="CR206" s="798"/>
      <c r="CS206" s="798"/>
      <c r="CT206" s="798"/>
      <c r="CU206" s="798"/>
      <c r="CV206" s="798"/>
      <c r="CW206" s="798"/>
      <c r="CX206" s="798"/>
      <c r="CY206" s="798"/>
      <c r="CZ206" s="798"/>
      <c r="DA206" s="798"/>
      <c r="DB206" s="798"/>
      <c r="DC206" s="798"/>
      <c r="DD206" s="798"/>
      <c r="DE206" s="798"/>
      <c r="DF206" s="798"/>
      <c r="DG206" s="798"/>
      <c r="DH206" s="798"/>
      <c r="DI206" s="798"/>
      <c r="DJ206" s="798"/>
      <c r="DK206" s="798"/>
      <c r="DL206" s="798"/>
      <c r="DM206" s="798"/>
      <c r="DN206" s="798"/>
      <c r="DO206" s="798"/>
      <c r="DP206" s="798"/>
      <c r="DQ206" s="798"/>
      <c r="DR206" s="798"/>
      <c r="DS206" s="798"/>
      <c r="DT206" s="798"/>
      <c r="DU206" s="798"/>
      <c r="DV206" s="798"/>
      <c r="DW206" s="798"/>
      <c r="DX206" s="798"/>
      <c r="DY206" s="798"/>
      <c r="DZ206" s="798"/>
      <c r="EA206" s="798"/>
      <c r="EB206" s="798"/>
      <c r="EC206" s="798"/>
      <c r="ED206" s="798"/>
      <c r="EE206" s="798"/>
      <c r="EF206" s="798"/>
      <c r="EG206" s="798"/>
      <c r="EH206" s="782"/>
    </row>
    <row r="207" spans="1:138" ht="12.75" customHeight="1" x14ac:dyDescent="0.3">
      <c r="A207" s="782"/>
      <c r="B207" s="796" t="s">
        <v>129</v>
      </c>
      <c r="C207" s="782"/>
      <c r="D207" s="782"/>
      <c r="E207" s="782"/>
      <c r="F207" s="798"/>
      <c r="G207" s="798"/>
      <c r="H207" s="798"/>
      <c r="I207" s="798"/>
      <c r="J207" s="798"/>
      <c r="K207" s="798"/>
      <c r="L207" s="798"/>
      <c r="M207" s="798"/>
      <c r="N207" s="798"/>
      <c r="O207" s="798"/>
      <c r="P207" s="798"/>
      <c r="Q207" s="798"/>
      <c r="R207" s="798"/>
      <c r="S207" s="798"/>
      <c r="T207" s="798"/>
      <c r="U207" s="798"/>
      <c r="V207" s="798"/>
      <c r="W207" s="798"/>
      <c r="X207" s="798"/>
      <c r="Y207" s="798"/>
      <c r="Z207" s="798"/>
      <c r="AA207" s="798"/>
      <c r="AB207" s="798"/>
      <c r="AC207" s="798"/>
      <c r="AD207" s="798"/>
      <c r="AE207" s="798"/>
      <c r="AF207" s="798"/>
      <c r="AG207" s="798"/>
      <c r="AH207" s="798"/>
      <c r="AI207" s="798"/>
      <c r="AJ207" s="798"/>
      <c r="AK207" s="798"/>
      <c r="AL207" s="798"/>
      <c r="AM207" s="798"/>
      <c r="AN207" s="798"/>
      <c r="AO207" s="798"/>
      <c r="AP207" s="798"/>
      <c r="AQ207" s="798"/>
      <c r="AR207" s="798"/>
      <c r="AS207" s="798"/>
      <c r="AT207" s="798"/>
      <c r="AU207" s="798"/>
      <c r="AV207" s="798"/>
      <c r="AW207" s="798"/>
      <c r="AX207" s="798"/>
      <c r="AY207" s="798"/>
      <c r="AZ207" s="798"/>
      <c r="BA207" s="798"/>
      <c r="BB207" s="798"/>
      <c r="BC207" s="798"/>
      <c r="BD207" s="798"/>
      <c r="BE207" s="798"/>
      <c r="BF207" s="798"/>
      <c r="BG207" s="798"/>
      <c r="BH207" s="798"/>
      <c r="BI207" s="798"/>
      <c r="BJ207" s="798"/>
      <c r="BK207" s="798"/>
      <c r="BL207" s="798"/>
      <c r="BM207" s="798"/>
      <c r="BN207" s="798"/>
      <c r="BO207" s="798"/>
      <c r="BP207" s="798"/>
      <c r="BQ207" s="798"/>
      <c r="BR207" s="798"/>
      <c r="BS207" s="798"/>
      <c r="BT207" s="798"/>
      <c r="BU207" s="798"/>
      <c r="BV207" s="798"/>
      <c r="BW207" s="798"/>
      <c r="BX207" s="798"/>
      <c r="BY207" s="798"/>
      <c r="BZ207" s="798"/>
      <c r="CA207" s="798"/>
      <c r="CB207" s="798"/>
      <c r="CC207" s="798"/>
      <c r="CD207" s="798"/>
      <c r="CE207" s="798"/>
      <c r="CF207" s="798"/>
      <c r="CG207" s="798"/>
      <c r="CH207" s="798"/>
      <c r="CI207" s="798"/>
      <c r="CJ207" s="798"/>
      <c r="CK207" s="798"/>
      <c r="CL207" s="798"/>
      <c r="CM207" s="798"/>
      <c r="CN207" s="798"/>
      <c r="CO207" s="798"/>
      <c r="CP207" s="798"/>
      <c r="CQ207" s="798"/>
      <c r="CR207" s="798"/>
      <c r="CS207" s="798"/>
      <c r="CT207" s="798"/>
      <c r="CU207" s="798"/>
      <c r="CV207" s="798"/>
      <c r="CW207" s="798"/>
      <c r="CX207" s="798"/>
      <c r="CY207" s="798"/>
      <c r="CZ207" s="798"/>
      <c r="DA207" s="798"/>
      <c r="DB207" s="798"/>
      <c r="DC207" s="798"/>
      <c r="DD207" s="798"/>
      <c r="DE207" s="798"/>
      <c r="DF207" s="798"/>
      <c r="DG207" s="798"/>
      <c r="DH207" s="798"/>
      <c r="DI207" s="798"/>
      <c r="DJ207" s="798"/>
      <c r="DK207" s="798"/>
      <c r="DL207" s="798"/>
      <c r="DM207" s="798"/>
      <c r="DN207" s="798"/>
      <c r="DO207" s="798"/>
      <c r="DP207" s="798"/>
      <c r="DQ207" s="798"/>
      <c r="DR207" s="798"/>
      <c r="DS207" s="798"/>
      <c r="DT207" s="798"/>
      <c r="DU207" s="798"/>
      <c r="DV207" s="798"/>
      <c r="DW207" s="798"/>
      <c r="DX207" s="798"/>
      <c r="DY207" s="798"/>
      <c r="DZ207" s="798"/>
      <c r="EA207" s="798"/>
      <c r="EB207" s="798"/>
      <c r="EC207" s="798"/>
      <c r="ED207" s="798"/>
      <c r="EE207" s="798"/>
      <c r="EF207" s="798"/>
      <c r="EG207" s="798"/>
      <c r="EH207" s="782"/>
    </row>
    <row r="208" spans="1:138" ht="12.75" customHeight="1" x14ac:dyDescent="0.3">
      <c r="A208" s="782"/>
      <c r="B208" s="815" t="s">
        <v>41</v>
      </c>
      <c r="C208" s="808">
        <f>+'Venture Assumptions'!F32</f>
        <v>0.1</v>
      </c>
      <c r="D208" s="782"/>
      <c r="E208" s="782"/>
      <c r="F208" s="798"/>
      <c r="G208" s="798"/>
      <c r="H208" s="798"/>
      <c r="I208" s="798"/>
      <c r="J208" s="798"/>
      <c r="K208" s="798"/>
      <c r="L208" s="798"/>
      <c r="M208" s="798"/>
      <c r="N208" s="798"/>
      <c r="O208" s="798"/>
      <c r="P208" s="798"/>
      <c r="Q208" s="798"/>
      <c r="R208" s="798"/>
      <c r="S208" s="798"/>
      <c r="T208" s="798"/>
      <c r="U208" s="798"/>
      <c r="V208" s="798"/>
      <c r="W208" s="798"/>
      <c r="X208" s="798"/>
      <c r="Y208" s="798"/>
      <c r="Z208" s="798"/>
      <c r="AA208" s="798"/>
      <c r="AB208" s="798"/>
      <c r="AC208" s="798"/>
      <c r="AD208" s="798"/>
      <c r="AE208" s="798"/>
      <c r="AF208" s="798"/>
      <c r="AG208" s="798"/>
      <c r="AH208" s="798"/>
      <c r="AI208" s="798"/>
      <c r="AJ208" s="798"/>
      <c r="AK208" s="798"/>
      <c r="AL208" s="798"/>
      <c r="AM208" s="798"/>
      <c r="AN208" s="798"/>
      <c r="AO208" s="798"/>
      <c r="AP208" s="798"/>
      <c r="AQ208" s="798"/>
      <c r="AR208" s="798"/>
      <c r="AS208" s="798"/>
      <c r="AT208" s="798"/>
      <c r="AU208" s="798"/>
      <c r="AV208" s="798"/>
      <c r="AW208" s="798"/>
      <c r="AX208" s="798"/>
      <c r="AY208" s="798"/>
      <c r="AZ208" s="798"/>
      <c r="BA208" s="798"/>
      <c r="BB208" s="798"/>
      <c r="BC208" s="798"/>
      <c r="BD208" s="798"/>
      <c r="BE208" s="798"/>
      <c r="BF208" s="798"/>
      <c r="BG208" s="798"/>
      <c r="BH208" s="798"/>
      <c r="BI208" s="798"/>
      <c r="BJ208" s="798"/>
      <c r="BK208" s="798"/>
      <c r="BL208" s="798"/>
      <c r="BM208" s="798"/>
      <c r="BN208" s="798"/>
      <c r="BO208" s="798"/>
      <c r="BP208" s="798"/>
      <c r="BQ208" s="798"/>
      <c r="BR208" s="798"/>
      <c r="BS208" s="798"/>
      <c r="BT208" s="798"/>
      <c r="BU208" s="798"/>
      <c r="BV208" s="798"/>
      <c r="BW208" s="798"/>
      <c r="BX208" s="798"/>
      <c r="BY208" s="798"/>
      <c r="BZ208" s="798"/>
      <c r="CA208" s="798"/>
      <c r="CB208" s="798"/>
      <c r="CC208" s="798"/>
      <c r="CD208" s="798"/>
      <c r="CE208" s="798"/>
      <c r="CF208" s="798"/>
      <c r="CG208" s="798"/>
      <c r="CH208" s="798"/>
      <c r="CI208" s="798"/>
      <c r="CJ208" s="798"/>
      <c r="CK208" s="798"/>
      <c r="CL208" s="798"/>
      <c r="CM208" s="798"/>
      <c r="CN208" s="798"/>
      <c r="CO208" s="798"/>
      <c r="CP208" s="798"/>
      <c r="CQ208" s="798"/>
      <c r="CR208" s="798"/>
      <c r="CS208" s="798"/>
      <c r="CT208" s="798"/>
      <c r="CU208" s="798"/>
      <c r="CV208" s="798"/>
      <c r="CW208" s="798"/>
      <c r="CX208" s="798"/>
      <c r="CY208" s="798"/>
      <c r="CZ208" s="798"/>
      <c r="DA208" s="798"/>
      <c r="DB208" s="798"/>
      <c r="DC208" s="798"/>
      <c r="DD208" s="798"/>
      <c r="DE208" s="798"/>
      <c r="DF208" s="798"/>
      <c r="DG208" s="798"/>
      <c r="DH208" s="798"/>
      <c r="DI208" s="798"/>
      <c r="DJ208" s="798"/>
      <c r="DK208" s="798"/>
      <c r="DL208" s="798"/>
      <c r="DM208" s="798"/>
      <c r="DN208" s="798"/>
      <c r="DO208" s="798"/>
      <c r="DP208" s="798"/>
      <c r="DQ208" s="798"/>
      <c r="DR208" s="798"/>
      <c r="DS208" s="798"/>
      <c r="DT208" s="798"/>
      <c r="DU208" s="798"/>
      <c r="DV208" s="798"/>
      <c r="DW208" s="798"/>
      <c r="DX208" s="798"/>
      <c r="DY208" s="798"/>
      <c r="DZ208" s="798"/>
      <c r="EA208" s="798"/>
      <c r="EB208" s="798"/>
      <c r="EC208" s="798"/>
      <c r="ED208" s="798"/>
      <c r="EE208" s="798"/>
      <c r="EF208" s="798"/>
      <c r="EG208" s="798"/>
      <c r="EH208" s="782"/>
    </row>
    <row r="209" spans="1:138" ht="12.75" customHeight="1" x14ac:dyDescent="0.3">
      <c r="A209" s="782"/>
      <c r="B209" s="782" t="s">
        <v>42</v>
      </c>
      <c r="C209" s="808">
        <f>(1+C208)^(1/365)-1</f>
        <v>2.6115787606784124E-4</v>
      </c>
      <c r="D209" s="782"/>
      <c r="E209" s="782"/>
      <c r="F209" s="798"/>
      <c r="G209" s="798"/>
      <c r="H209" s="798"/>
      <c r="I209" s="798"/>
      <c r="J209" s="798"/>
      <c r="K209" s="798"/>
      <c r="L209" s="798"/>
      <c r="M209" s="798"/>
      <c r="N209" s="798"/>
      <c r="O209" s="798"/>
      <c r="P209" s="798"/>
      <c r="Q209" s="798"/>
      <c r="R209" s="798"/>
      <c r="S209" s="798"/>
      <c r="T209" s="798"/>
      <c r="U209" s="798"/>
      <c r="V209" s="798"/>
      <c r="W209" s="798"/>
      <c r="X209" s="798"/>
      <c r="Y209" s="798"/>
      <c r="Z209" s="798"/>
      <c r="AA209" s="798"/>
      <c r="AB209" s="798"/>
      <c r="AC209" s="798"/>
      <c r="AD209" s="798"/>
      <c r="AE209" s="798"/>
      <c r="AF209" s="798"/>
      <c r="AG209" s="798"/>
      <c r="AH209" s="798"/>
      <c r="AI209" s="798"/>
      <c r="AJ209" s="798"/>
      <c r="AK209" s="798"/>
      <c r="AL209" s="798"/>
      <c r="AM209" s="798"/>
      <c r="AN209" s="798"/>
      <c r="AO209" s="798"/>
      <c r="AP209" s="798"/>
      <c r="AQ209" s="798"/>
      <c r="AR209" s="798"/>
      <c r="AS209" s="798"/>
      <c r="AT209" s="798"/>
      <c r="AU209" s="798"/>
      <c r="AV209" s="798"/>
      <c r="AW209" s="798"/>
      <c r="AX209" s="798"/>
      <c r="AY209" s="798"/>
      <c r="AZ209" s="798"/>
      <c r="BA209" s="798"/>
      <c r="BB209" s="798"/>
      <c r="BC209" s="798"/>
      <c r="BD209" s="798"/>
      <c r="BE209" s="798"/>
      <c r="BF209" s="798"/>
      <c r="BG209" s="798"/>
      <c r="BH209" s="798"/>
      <c r="BI209" s="798"/>
      <c r="BJ209" s="798"/>
      <c r="BK209" s="798"/>
      <c r="BL209" s="798"/>
      <c r="BM209" s="798"/>
      <c r="BN209" s="798"/>
      <c r="BO209" s="798"/>
      <c r="BP209" s="798"/>
      <c r="BQ209" s="798"/>
      <c r="BR209" s="798"/>
      <c r="BS209" s="798"/>
      <c r="BT209" s="798"/>
      <c r="BU209" s="798"/>
      <c r="BV209" s="798"/>
      <c r="BW209" s="798"/>
      <c r="BX209" s="798"/>
      <c r="BY209" s="798"/>
      <c r="BZ209" s="798"/>
      <c r="CA209" s="798"/>
      <c r="CB209" s="798"/>
      <c r="CC209" s="798"/>
      <c r="CD209" s="798"/>
      <c r="CE209" s="798"/>
      <c r="CF209" s="798"/>
      <c r="CG209" s="798"/>
      <c r="CH209" s="798"/>
      <c r="CI209" s="798"/>
      <c r="CJ209" s="798"/>
      <c r="CK209" s="798"/>
      <c r="CL209" s="798"/>
      <c r="CM209" s="798"/>
      <c r="CN209" s="798"/>
      <c r="CO209" s="798"/>
      <c r="CP209" s="798"/>
      <c r="CQ209" s="798"/>
      <c r="CR209" s="798"/>
      <c r="CS209" s="798"/>
      <c r="CT209" s="798"/>
      <c r="CU209" s="798"/>
      <c r="CV209" s="798"/>
      <c r="CW209" s="798"/>
      <c r="CX209" s="798"/>
      <c r="CY209" s="798"/>
      <c r="CZ209" s="798"/>
      <c r="DA209" s="798"/>
      <c r="DB209" s="798"/>
      <c r="DC209" s="798"/>
      <c r="DD209" s="798"/>
      <c r="DE209" s="798"/>
      <c r="DF209" s="798"/>
      <c r="DG209" s="798"/>
      <c r="DH209" s="798"/>
      <c r="DI209" s="798"/>
      <c r="DJ209" s="798"/>
      <c r="DK209" s="798"/>
      <c r="DL209" s="798"/>
      <c r="DM209" s="798"/>
      <c r="DN209" s="798"/>
      <c r="DO209" s="798"/>
      <c r="DP209" s="798"/>
      <c r="DQ209" s="798"/>
      <c r="DR209" s="798"/>
      <c r="DS209" s="798"/>
      <c r="DT209" s="798"/>
      <c r="DU209" s="798"/>
      <c r="DV209" s="798"/>
      <c r="DW209" s="798"/>
      <c r="DX209" s="798"/>
      <c r="DY209" s="798"/>
      <c r="DZ209" s="798"/>
      <c r="EA209" s="798"/>
      <c r="EB209" s="798"/>
      <c r="EC209" s="798"/>
      <c r="ED209" s="798"/>
      <c r="EE209" s="798"/>
      <c r="EF209" s="798"/>
      <c r="EG209" s="798"/>
      <c r="EH209" s="782"/>
    </row>
    <row r="210" spans="1:138" ht="12.75" customHeight="1" x14ac:dyDescent="0.3">
      <c r="A210" s="782"/>
      <c r="B210" s="782" t="s">
        <v>130</v>
      </c>
      <c r="C210" s="792">
        <f>SUMPRODUCT($E$9:$EG$9,$E$4:$EG$4)</f>
        <v>46142</v>
      </c>
      <c r="D210" s="782">
        <f>INDEX($E$5:$DU$5,MATCH(C210,$E$4:$DU$4))</f>
        <v>32</v>
      </c>
      <c r="E210" s="798"/>
      <c r="F210" s="798"/>
      <c r="G210" s="798"/>
      <c r="H210" s="798"/>
      <c r="I210" s="798"/>
      <c r="J210" s="798"/>
      <c r="K210" s="798"/>
      <c r="L210" s="798"/>
      <c r="M210" s="798"/>
      <c r="N210" s="798"/>
      <c r="O210" s="798"/>
      <c r="P210" s="798"/>
      <c r="Q210" s="798"/>
      <c r="R210" s="798"/>
      <c r="S210" s="798"/>
      <c r="T210" s="798"/>
      <c r="U210" s="798"/>
      <c r="V210" s="798"/>
      <c r="W210" s="798"/>
      <c r="X210" s="798"/>
      <c r="Y210" s="798"/>
      <c r="Z210" s="798"/>
      <c r="AA210" s="798"/>
      <c r="AB210" s="798"/>
      <c r="AC210" s="798"/>
      <c r="AD210" s="798"/>
      <c r="AE210" s="798"/>
      <c r="AF210" s="798"/>
      <c r="AG210" s="798"/>
      <c r="AH210" s="798"/>
      <c r="AI210" s="798"/>
      <c r="AJ210" s="798"/>
      <c r="AK210" s="798"/>
      <c r="AL210" s="798"/>
      <c r="AM210" s="798"/>
      <c r="AN210" s="798"/>
      <c r="AO210" s="798"/>
      <c r="AP210" s="798"/>
      <c r="AQ210" s="798"/>
      <c r="AR210" s="798"/>
      <c r="AS210" s="798"/>
      <c r="AT210" s="798"/>
      <c r="AU210" s="798"/>
      <c r="AV210" s="798"/>
      <c r="AW210" s="798"/>
      <c r="AX210" s="798"/>
      <c r="AY210" s="798"/>
      <c r="AZ210" s="798"/>
      <c r="BA210" s="798"/>
      <c r="BB210" s="798"/>
      <c r="BC210" s="798"/>
      <c r="BD210" s="798"/>
      <c r="BE210" s="798"/>
      <c r="BF210" s="798"/>
      <c r="BG210" s="798"/>
      <c r="BH210" s="798"/>
      <c r="BI210" s="798"/>
      <c r="BJ210" s="798"/>
      <c r="BK210" s="798"/>
      <c r="BL210" s="798"/>
      <c r="BM210" s="798"/>
      <c r="BN210" s="798"/>
      <c r="BO210" s="798"/>
      <c r="BP210" s="798"/>
      <c r="BQ210" s="798"/>
      <c r="BR210" s="798"/>
      <c r="BS210" s="798"/>
      <c r="BT210" s="798"/>
      <c r="BU210" s="798"/>
      <c r="BV210" s="798"/>
      <c r="BW210" s="798"/>
      <c r="BX210" s="798"/>
      <c r="BY210" s="798"/>
      <c r="BZ210" s="798"/>
      <c r="CA210" s="798"/>
      <c r="CB210" s="798"/>
      <c r="CC210" s="798"/>
      <c r="CD210" s="798"/>
      <c r="CE210" s="798"/>
      <c r="CF210" s="798"/>
      <c r="CG210" s="798"/>
      <c r="CH210" s="798"/>
      <c r="CI210" s="798"/>
      <c r="CJ210" s="798"/>
      <c r="CK210" s="798"/>
      <c r="CL210" s="798"/>
      <c r="CM210" s="798"/>
      <c r="CN210" s="798"/>
      <c r="CO210" s="798"/>
      <c r="CP210" s="798"/>
      <c r="CQ210" s="798"/>
      <c r="CR210" s="798"/>
      <c r="CS210" s="798"/>
      <c r="CT210" s="798"/>
      <c r="CU210" s="798"/>
      <c r="CV210" s="798"/>
      <c r="CW210" s="798"/>
      <c r="CX210" s="798"/>
      <c r="CY210" s="798"/>
      <c r="CZ210" s="798"/>
      <c r="DA210" s="798"/>
      <c r="DB210" s="798"/>
      <c r="DC210" s="798"/>
      <c r="DD210" s="798"/>
      <c r="DE210" s="798"/>
      <c r="DF210" s="798"/>
      <c r="DG210" s="798"/>
      <c r="DH210" s="798"/>
      <c r="DI210" s="798"/>
      <c r="DJ210" s="798"/>
      <c r="DK210" s="798"/>
      <c r="DL210" s="798"/>
      <c r="DM210" s="798"/>
      <c r="DN210" s="798"/>
      <c r="DO210" s="798"/>
      <c r="DP210" s="798"/>
      <c r="DQ210" s="798"/>
      <c r="DR210" s="798"/>
      <c r="DS210" s="798"/>
      <c r="DT210" s="798"/>
      <c r="DU210" s="798"/>
      <c r="DV210" s="798"/>
      <c r="DW210" s="798"/>
      <c r="DX210" s="798"/>
      <c r="DY210" s="798"/>
      <c r="DZ210" s="798"/>
      <c r="EA210" s="798"/>
      <c r="EB210" s="798"/>
      <c r="EC210" s="798"/>
      <c r="ED210" s="798"/>
      <c r="EE210" s="798"/>
      <c r="EF210" s="798"/>
      <c r="EG210" s="798"/>
      <c r="EH210" s="782"/>
    </row>
    <row r="211" spans="1:138" ht="12.75" customHeight="1" x14ac:dyDescent="0.3">
      <c r="A211" s="782"/>
      <c r="B211" s="782"/>
      <c r="C211" s="798"/>
      <c r="D211" s="782"/>
      <c r="E211" s="798"/>
      <c r="F211" s="798"/>
      <c r="G211" s="798"/>
      <c r="H211" s="798"/>
      <c r="I211" s="798"/>
      <c r="J211" s="798"/>
      <c r="K211" s="798"/>
      <c r="L211" s="798"/>
      <c r="M211" s="798"/>
      <c r="N211" s="798"/>
      <c r="O211" s="798"/>
      <c r="P211" s="798"/>
      <c r="Q211" s="798"/>
      <c r="R211" s="798"/>
      <c r="S211" s="798"/>
      <c r="T211" s="798"/>
      <c r="U211" s="798"/>
      <c r="V211" s="798"/>
      <c r="W211" s="798"/>
      <c r="X211" s="798"/>
      <c r="Y211" s="798"/>
      <c r="Z211" s="798"/>
      <c r="AA211" s="798"/>
      <c r="AB211" s="798"/>
      <c r="AC211" s="798"/>
      <c r="AD211" s="798"/>
      <c r="AE211" s="798"/>
      <c r="AF211" s="798"/>
      <c r="AG211" s="798"/>
      <c r="AH211" s="798"/>
      <c r="AI211" s="798"/>
      <c r="AJ211" s="798"/>
      <c r="AK211" s="798"/>
      <c r="AL211" s="798"/>
      <c r="AM211" s="798"/>
      <c r="AN211" s="798"/>
      <c r="AO211" s="798"/>
      <c r="AP211" s="798"/>
      <c r="AQ211" s="798"/>
      <c r="AR211" s="798"/>
      <c r="AS211" s="798"/>
      <c r="AT211" s="798"/>
      <c r="AU211" s="798"/>
      <c r="AV211" s="798"/>
      <c r="AW211" s="798"/>
      <c r="AX211" s="798"/>
      <c r="AY211" s="798"/>
      <c r="AZ211" s="798"/>
      <c r="BA211" s="798"/>
      <c r="BB211" s="798"/>
      <c r="BC211" s="798"/>
      <c r="BD211" s="798"/>
      <c r="BE211" s="798"/>
      <c r="BF211" s="798"/>
      <c r="BG211" s="798"/>
      <c r="BH211" s="798"/>
      <c r="BI211" s="798"/>
      <c r="BJ211" s="798"/>
      <c r="BK211" s="798"/>
      <c r="BL211" s="798"/>
      <c r="BM211" s="798"/>
      <c r="BN211" s="798"/>
      <c r="BO211" s="798"/>
      <c r="BP211" s="798"/>
      <c r="BQ211" s="798"/>
      <c r="BR211" s="798"/>
      <c r="BS211" s="798"/>
      <c r="BT211" s="798"/>
      <c r="BU211" s="798"/>
      <c r="BV211" s="798"/>
      <c r="BW211" s="798"/>
      <c r="BX211" s="798"/>
      <c r="BY211" s="798"/>
      <c r="BZ211" s="798"/>
      <c r="CA211" s="798"/>
      <c r="CB211" s="798"/>
      <c r="CC211" s="798"/>
      <c r="CD211" s="798"/>
      <c r="CE211" s="798"/>
      <c r="CF211" s="798"/>
      <c r="CG211" s="798"/>
      <c r="CH211" s="798"/>
      <c r="CI211" s="798"/>
      <c r="CJ211" s="798"/>
      <c r="CK211" s="798"/>
      <c r="CL211" s="798"/>
      <c r="CM211" s="798"/>
      <c r="CN211" s="798"/>
      <c r="CO211" s="798"/>
      <c r="CP211" s="798"/>
      <c r="CQ211" s="798"/>
      <c r="CR211" s="798"/>
      <c r="CS211" s="798"/>
      <c r="CT211" s="798"/>
      <c r="CU211" s="798"/>
      <c r="CV211" s="798"/>
      <c r="CW211" s="798"/>
      <c r="CX211" s="798"/>
      <c r="CY211" s="798"/>
      <c r="CZ211" s="798"/>
      <c r="DA211" s="798"/>
      <c r="DB211" s="798"/>
      <c r="DC211" s="798"/>
      <c r="DD211" s="798"/>
      <c r="DE211" s="798"/>
      <c r="DF211" s="798"/>
      <c r="DG211" s="798"/>
      <c r="DH211" s="798"/>
      <c r="DI211" s="798"/>
      <c r="DJ211" s="798"/>
      <c r="DK211" s="798"/>
      <c r="DL211" s="798"/>
      <c r="DM211" s="798"/>
      <c r="DN211" s="798"/>
      <c r="DO211" s="798"/>
      <c r="DP211" s="798"/>
      <c r="DQ211" s="798"/>
      <c r="DR211" s="798"/>
      <c r="DS211" s="798"/>
      <c r="DT211" s="798"/>
      <c r="DU211" s="798"/>
      <c r="DV211" s="798"/>
      <c r="DW211" s="798"/>
      <c r="DX211" s="798"/>
      <c r="DY211" s="798"/>
      <c r="DZ211" s="798"/>
      <c r="EA211" s="798"/>
      <c r="EB211" s="798"/>
      <c r="EC211" s="798"/>
      <c r="ED211" s="798"/>
      <c r="EE211" s="798"/>
      <c r="EF211" s="798"/>
      <c r="EG211" s="798"/>
      <c r="EH211" s="782"/>
    </row>
    <row r="212" spans="1:138" s="273" customFormat="1" ht="12.75" customHeight="1" x14ac:dyDescent="0.3">
      <c r="A212" s="796"/>
      <c r="B212" s="796" t="s">
        <v>131</v>
      </c>
      <c r="C212" s="813">
        <f>SUM('Venture Summary - Mthly'!E212:DU212)</f>
        <v>6868726.7816661661</v>
      </c>
      <c r="D212" s="796"/>
      <c r="E212" s="816">
        <f t="shared" ref="E212:AJ212" si="163">SUM(E218)</f>
        <v>0</v>
      </c>
      <c r="F212" s="816">
        <f t="shared" si="163"/>
        <v>0</v>
      </c>
      <c r="G212" s="816">
        <f t="shared" si="163"/>
        <v>0</v>
      </c>
      <c r="H212" s="816">
        <f t="shared" si="163"/>
        <v>0</v>
      </c>
      <c r="I212" s="816">
        <f t="shared" si="163"/>
        <v>0</v>
      </c>
      <c r="J212" s="816">
        <f t="shared" si="163"/>
        <v>0</v>
      </c>
      <c r="K212" s="816">
        <f t="shared" si="163"/>
        <v>0</v>
      </c>
      <c r="L212" s="816">
        <f t="shared" si="163"/>
        <v>0</v>
      </c>
      <c r="M212" s="816">
        <f t="shared" si="163"/>
        <v>0</v>
      </c>
      <c r="N212" s="816">
        <f t="shared" si="163"/>
        <v>0</v>
      </c>
      <c r="O212" s="816">
        <f t="shared" si="163"/>
        <v>0</v>
      </c>
      <c r="P212" s="816">
        <f t="shared" si="163"/>
        <v>0</v>
      </c>
      <c r="Q212" s="816">
        <f t="shared" si="163"/>
        <v>0</v>
      </c>
      <c r="R212" s="816">
        <f t="shared" si="163"/>
        <v>0</v>
      </c>
      <c r="S212" s="816">
        <f t="shared" si="163"/>
        <v>0</v>
      </c>
      <c r="T212" s="816">
        <f t="shared" si="163"/>
        <v>0</v>
      </c>
      <c r="U212" s="816">
        <f t="shared" si="163"/>
        <v>0</v>
      </c>
      <c r="V212" s="816">
        <f t="shared" si="163"/>
        <v>0</v>
      </c>
      <c r="W212" s="816">
        <f t="shared" si="163"/>
        <v>0</v>
      </c>
      <c r="X212" s="816">
        <f t="shared" si="163"/>
        <v>0</v>
      </c>
      <c r="Y212" s="816">
        <f t="shared" si="163"/>
        <v>0</v>
      </c>
      <c r="Z212" s="816">
        <f t="shared" si="163"/>
        <v>0</v>
      </c>
      <c r="AA212" s="816">
        <f t="shared" si="163"/>
        <v>0</v>
      </c>
      <c r="AB212" s="816">
        <f t="shared" si="163"/>
        <v>0</v>
      </c>
      <c r="AC212" s="816">
        <f t="shared" si="163"/>
        <v>0</v>
      </c>
      <c r="AD212" s="816">
        <f t="shared" si="163"/>
        <v>0</v>
      </c>
      <c r="AE212" s="816">
        <f t="shared" si="163"/>
        <v>0</v>
      </c>
      <c r="AF212" s="816">
        <f t="shared" si="163"/>
        <v>0</v>
      </c>
      <c r="AG212" s="816">
        <f t="shared" si="163"/>
        <v>0</v>
      </c>
      <c r="AH212" s="816">
        <f t="shared" si="163"/>
        <v>0</v>
      </c>
      <c r="AI212" s="816">
        <f t="shared" si="163"/>
        <v>0</v>
      </c>
      <c r="AJ212" s="816">
        <f t="shared" si="163"/>
        <v>0</v>
      </c>
      <c r="AK212" s="816">
        <f t="shared" ref="AK212:CV212" si="164">SUM(AK218)</f>
        <v>6868726.7816661661</v>
      </c>
      <c r="AL212" s="816">
        <f t="shared" si="164"/>
        <v>0</v>
      </c>
      <c r="AM212" s="816">
        <f t="shared" si="164"/>
        <v>0</v>
      </c>
      <c r="AN212" s="816">
        <f t="shared" si="164"/>
        <v>0</v>
      </c>
      <c r="AO212" s="816">
        <f t="shared" si="164"/>
        <v>0</v>
      </c>
      <c r="AP212" s="816">
        <f t="shared" si="164"/>
        <v>0</v>
      </c>
      <c r="AQ212" s="816">
        <f t="shared" si="164"/>
        <v>0</v>
      </c>
      <c r="AR212" s="816">
        <f t="shared" si="164"/>
        <v>0</v>
      </c>
      <c r="AS212" s="816">
        <f t="shared" si="164"/>
        <v>0</v>
      </c>
      <c r="AT212" s="816">
        <f t="shared" si="164"/>
        <v>0</v>
      </c>
      <c r="AU212" s="816">
        <f t="shared" si="164"/>
        <v>0</v>
      </c>
      <c r="AV212" s="816">
        <f t="shared" si="164"/>
        <v>0</v>
      </c>
      <c r="AW212" s="816">
        <f t="shared" si="164"/>
        <v>0</v>
      </c>
      <c r="AX212" s="816">
        <f t="shared" si="164"/>
        <v>0</v>
      </c>
      <c r="AY212" s="816">
        <f t="shared" si="164"/>
        <v>0</v>
      </c>
      <c r="AZ212" s="816">
        <f t="shared" si="164"/>
        <v>0</v>
      </c>
      <c r="BA212" s="816">
        <f t="shared" si="164"/>
        <v>0</v>
      </c>
      <c r="BB212" s="816">
        <f t="shared" si="164"/>
        <v>0</v>
      </c>
      <c r="BC212" s="816">
        <f t="shared" si="164"/>
        <v>0</v>
      </c>
      <c r="BD212" s="816">
        <f t="shared" si="164"/>
        <v>0</v>
      </c>
      <c r="BE212" s="816">
        <f t="shared" si="164"/>
        <v>0</v>
      </c>
      <c r="BF212" s="816">
        <f t="shared" si="164"/>
        <v>0</v>
      </c>
      <c r="BG212" s="816">
        <f t="shared" si="164"/>
        <v>0</v>
      </c>
      <c r="BH212" s="816">
        <f t="shared" si="164"/>
        <v>0</v>
      </c>
      <c r="BI212" s="816">
        <f t="shared" si="164"/>
        <v>0</v>
      </c>
      <c r="BJ212" s="816">
        <f t="shared" si="164"/>
        <v>0</v>
      </c>
      <c r="BK212" s="816">
        <f t="shared" si="164"/>
        <v>0</v>
      </c>
      <c r="BL212" s="816">
        <f t="shared" si="164"/>
        <v>0</v>
      </c>
      <c r="BM212" s="816">
        <f t="shared" si="164"/>
        <v>0</v>
      </c>
      <c r="BN212" s="816">
        <f t="shared" si="164"/>
        <v>0</v>
      </c>
      <c r="BO212" s="816">
        <f t="shared" si="164"/>
        <v>0</v>
      </c>
      <c r="BP212" s="816">
        <f t="shared" si="164"/>
        <v>0</v>
      </c>
      <c r="BQ212" s="816">
        <f t="shared" si="164"/>
        <v>0</v>
      </c>
      <c r="BR212" s="816">
        <f t="shared" si="164"/>
        <v>0</v>
      </c>
      <c r="BS212" s="816">
        <f t="shared" si="164"/>
        <v>0</v>
      </c>
      <c r="BT212" s="816">
        <f t="shared" si="164"/>
        <v>0</v>
      </c>
      <c r="BU212" s="816">
        <f t="shared" si="164"/>
        <v>0</v>
      </c>
      <c r="BV212" s="816">
        <f t="shared" si="164"/>
        <v>0</v>
      </c>
      <c r="BW212" s="816">
        <f t="shared" si="164"/>
        <v>0</v>
      </c>
      <c r="BX212" s="816">
        <f t="shared" si="164"/>
        <v>0</v>
      </c>
      <c r="BY212" s="816">
        <f t="shared" si="164"/>
        <v>0</v>
      </c>
      <c r="BZ212" s="816">
        <f t="shared" si="164"/>
        <v>0</v>
      </c>
      <c r="CA212" s="816">
        <f t="shared" si="164"/>
        <v>0</v>
      </c>
      <c r="CB212" s="816">
        <f t="shared" si="164"/>
        <v>0</v>
      </c>
      <c r="CC212" s="816">
        <f t="shared" si="164"/>
        <v>0</v>
      </c>
      <c r="CD212" s="816">
        <f t="shared" si="164"/>
        <v>0</v>
      </c>
      <c r="CE212" s="816">
        <f t="shared" si="164"/>
        <v>0</v>
      </c>
      <c r="CF212" s="816">
        <f t="shared" si="164"/>
        <v>0</v>
      </c>
      <c r="CG212" s="816">
        <f t="shared" si="164"/>
        <v>0</v>
      </c>
      <c r="CH212" s="816">
        <f t="shared" si="164"/>
        <v>0</v>
      </c>
      <c r="CI212" s="816">
        <f t="shared" si="164"/>
        <v>0</v>
      </c>
      <c r="CJ212" s="816">
        <f t="shared" si="164"/>
        <v>0</v>
      </c>
      <c r="CK212" s="816">
        <f t="shared" si="164"/>
        <v>0</v>
      </c>
      <c r="CL212" s="816">
        <f t="shared" si="164"/>
        <v>0</v>
      </c>
      <c r="CM212" s="816">
        <f t="shared" si="164"/>
        <v>0</v>
      </c>
      <c r="CN212" s="816">
        <f t="shared" si="164"/>
        <v>0</v>
      </c>
      <c r="CO212" s="816">
        <f t="shared" si="164"/>
        <v>0</v>
      </c>
      <c r="CP212" s="816">
        <f t="shared" si="164"/>
        <v>0</v>
      </c>
      <c r="CQ212" s="816">
        <f t="shared" si="164"/>
        <v>0</v>
      </c>
      <c r="CR212" s="816">
        <f t="shared" si="164"/>
        <v>0</v>
      </c>
      <c r="CS212" s="816">
        <f t="shared" si="164"/>
        <v>0</v>
      </c>
      <c r="CT212" s="816">
        <f t="shared" si="164"/>
        <v>0</v>
      </c>
      <c r="CU212" s="816">
        <f t="shared" si="164"/>
        <v>0</v>
      </c>
      <c r="CV212" s="816">
        <f t="shared" si="164"/>
        <v>0</v>
      </c>
      <c r="CW212" s="816">
        <f t="shared" ref="CW212:DU212" si="165">SUM(CW218)</f>
        <v>0</v>
      </c>
      <c r="CX212" s="816">
        <f t="shared" si="165"/>
        <v>0</v>
      </c>
      <c r="CY212" s="816">
        <f t="shared" si="165"/>
        <v>0</v>
      </c>
      <c r="CZ212" s="816">
        <f t="shared" si="165"/>
        <v>0</v>
      </c>
      <c r="DA212" s="816">
        <f t="shared" si="165"/>
        <v>0</v>
      </c>
      <c r="DB212" s="816">
        <f t="shared" si="165"/>
        <v>0</v>
      </c>
      <c r="DC212" s="816">
        <f t="shared" si="165"/>
        <v>0</v>
      </c>
      <c r="DD212" s="816">
        <f t="shared" si="165"/>
        <v>0</v>
      </c>
      <c r="DE212" s="816">
        <f t="shared" si="165"/>
        <v>0</v>
      </c>
      <c r="DF212" s="816">
        <f t="shared" si="165"/>
        <v>0</v>
      </c>
      <c r="DG212" s="816">
        <f t="shared" si="165"/>
        <v>0</v>
      </c>
      <c r="DH212" s="816">
        <f t="shared" si="165"/>
        <v>0</v>
      </c>
      <c r="DI212" s="816">
        <f t="shared" si="165"/>
        <v>0</v>
      </c>
      <c r="DJ212" s="816">
        <f t="shared" si="165"/>
        <v>0</v>
      </c>
      <c r="DK212" s="816">
        <f t="shared" si="165"/>
        <v>0</v>
      </c>
      <c r="DL212" s="816">
        <f t="shared" si="165"/>
        <v>0</v>
      </c>
      <c r="DM212" s="816">
        <f t="shared" si="165"/>
        <v>0</v>
      </c>
      <c r="DN212" s="816">
        <f t="shared" si="165"/>
        <v>0</v>
      </c>
      <c r="DO212" s="816">
        <f t="shared" si="165"/>
        <v>0</v>
      </c>
      <c r="DP212" s="816">
        <f t="shared" si="165"/>
        <v>0</v>
      </c>
      <c r="DQ212" s="816">
        <f t="shared" si="165"/>
        <v>0</v>
      </c>
      <c r="DR212" s="816">
        <f t="shared" si="165"/>
        <v>0</v>
      </c>
      <c r="DS212" s="816">
        <f t="shared" si="165"/>
        <v>0</v>
      </c>
      <c r="DT212" s="816">
        <f t="shared" si="165"/>
        <v>0</v>
      </c>
      <c r="DU212" s="816">
        <f t="shared" si="165"/>
        <v>0</v>
      </c>
      <c r="DV212" s="813"/>
      <c r="DW212" s="813"/>
      <c r="DX212" s="813"/>
      <c r="DY212" s="813"/>
      <c r="DZ212" s="813"/>
      <c r="EA212" s="813"/>
      <c r="EB212" s="813"/>
      <c r="EC212" s="813"/>
      <c r="ED212" s="813"/>
      <c r="EE212" s="813"/>
      <c r="EF212" s="813"/>
      <c r="EG212" s="813"/>
      <c r="EH212" s="796"/>
    </row>
    <row r="213" spans="1:138" ht="12.75" customHeight="1" x14ac:dyDescent="0.3">
      <c r="A213" s="782"/>
      <c r="B213" s="782"/>
      <c r="C213" s="798"/>
      <c r="D213" s="782"/>
      <c r="E213" s="805"/>
      <c r="F213" s="805"/>
      <c r="G213" s="805"/>
      <c r="H213" s="805"/>
      <c r="I213" s="805"/>
      <c r="J213" s="805"/>
      <c r="K213" s="805"/>
      <c r="L213" s="805"/>
      <c r="M213" s="805"/>
      <c r="N213" s="805"/>
      <c r="O213" s="805"/>
      <c r="P213" s="805"/>
      <c r="Q213" s="805"/>
      <c r="R213" s="805"/>
      <c r="S213" s="805"/>
      <c r="T213" s="805"/>
      <c r="U213" s="805"/>
      <c r="V213" s="805"/>
      <c r="W213" s="805"/>
      <c r="X213" s="805"/>
      <c r="Y213" s="805"/>
      <c r="Z213" s="805"/>
      <c r="AA213" s="805"/>
      <c r="AB213" s="805"/>
      <c r="AC213" s="805"/>
      <c r="AD213" s="805"/>
      <c r="AE213" s="805"/>
      <c r="AF213" s="805"/>
      <c r="AG213" s="805"/>
      <c r="AH213" s="805"/>
      <c r="AI213" s="805"/>
      <c r="AJ213" s="805"/>
      <c r="AK213" s="805"/>
      <c r="AL213" s="805"/>
      <c r="AM213" s="805"/>
      <c r="AN213" s="805"/>
      <c r="AO213" s="805"/>
      <c r="AP213" s="805"/>
      <c r="AQ213" s="805"/>
      <c r="AR213" s="805"/>
      <c r="AS213" s="805"/>
      <c r="AT213" s="805"/>
      <c r="AU213" s="805"/>
      <c r="AV213" s="805"/>
      <c r="AW213" s="805"/>
      <c r="AX213" s="805"/>
      <c r="AY213" s="805"/>
      <c r="AZ213" s="805"/>
      <c r="BA213" s="805"/>
      <c r="BB213" s="805"/>
      <c r="BC213" s="805"/>
      <c r="BD213" s="805"/>
      <c r="BE213" s="805"/>
      <c r="BF213" s="805"/>
      <c r="BG213" s="805"/>
      <c r="BH213" s="805"/>
      <c r="BI213" s="805"/>
      <c r="BJ213" s="805"/>
      <c r="BK213" s="805"/>
      <c r="BL213" s="805"/>
      <c r="BM213" s="805"/>
      <c r="BN213" s="805"/>
      <c r="BO213" s="805"/>
      <c r="BP213" s="805"/>
      <c r="BQ213" s="805"/>
      <c r="BR213" s="805"/>
      <c r="BS213" s="805"/>
      <c r="BT213" s="805"/>
      <c r="BU213" s="805"/>
      <c r="BV213" s="805"/>
      <c r="BW213" s="805"/>
      <c r="BX213" s="805"/>
      <c r="BY213" s="805"/>
      <c r="BZ213" s="805"/>
      <c r="CA213" s="805"/>
      <c r="CB213" s="805"/>
      <c r="CC213" s="805"/>
      <c r="CD213" s="805"/>
      <c r="CE213" s="805"/>
      <c r="CF213" s="805"/>
      <c r="CG213" s="805"/>
      <c r="CH213" s="805"/>
      <c r="CI213" s="805"/>
      <c r="CJ213" s="805"/>
      <c r="CK213" s="805"/>
      <c r="CL213" s="805"/>
      <c r="CM213" s="805"/>
      <c r="CN213" s="805"/>
      <c r="CO213" s="805"/>
      <c r="CP213" s="805"/>
      <c r="CQ213" s="805"/>
      <c r="CR213" s="805"/>
      <c r="CS213" s="805"/>
      <c r="CT213" s="805"/>
      <c r="CU213" s="805"/>
      <c r="CV213" s="805"/>
      <c r="CW213" s="805"/>
      <c r="CX213" s="805"/>
      <c r="CY213" s="805"/>
      <c r="CZ213" s="805"/>
      <c r="DA213" s="805"/>
      <c r="DB213" s="805"/>
      <c r="DC213" s="805"/>
      <c r="DD213" s="805"/>
      <c r="DE213" s="805"/>
      <c r="DF213" s="805"/>
      <c r="DG213" s="805"/>
      <c r="DH213" s="805"/>
      <c r="DI213" s="805"/>
      <c r="DJ213" s="805"/>
      <c r="DK213" s="805"/>
      <c r="DL213" s="805"/>
      <c r="DM213" s="805"/>
      <c r="DN213" s="805"/>
      <c r="DO213" s="805"/>
      <c r="DP213" s="805"/>
      <c r="DQ213" s="805"/>
      <c r="DR213" s="805"/>
      <c r="DS213" s="805"/>
      <c r="DT213" s="805"/>
      <c r="DU213" s="805"/>
      <c r="DV213" s="798"/>
      <c r="DW213" s="798"/>
      <c r="DX213" s="798"/>
      <c r="DY213" s="798"/>
      <c r="DZ213" s="798"/>
      <c r="EA213" s="798"/>
      <c r="EB213" s="798"/>
      <c r="EC213" s="798"/>
      <c r="ED213" s="798"/>
      <c r="EE213" s="798"/>
      <c r="EF213" s="798"/>
      <c r="EG213" s="798"/>
      <c r="EH213" s="782"/>
    </row>
    <row r="214" spans="1:138" ht="12.75" customHeight="1" x14ac:dyDescent="0.3">
      <c r="A214" s="782"/>
      <c r="B214" s="817" t="s">
        <v>132</v>
      </c>
      <c r="C214" s="818"/>
      <c r="D214" s="819"/>
      <c r="E214" s="819"/>
      <c r="F214" s="819"/>
      <c r="G214" s="819"/>
      <c r="H214" s="819"/>
      <c r="I214" s="819"/>
      <c r="J214" s="819"/>
      <c r="K214" s="819"/>
      <c r="L214" s="819"/>
      <c r="M214" s="819"/>
      <c r="N214" s="819"/>
      <c r="O214" s="819"/>
      <c r="P214" s="819"/>
      <c r="Q214" s="819"/>
      <c r="R214" s="819"/>
      <c r="S214" s="819"/>
      <c r="T214" s="819"/>
      <c r="U214" s="819"/>
      <c r="V214" s="819"/>
      <c r="W214" s="819"/>
      <c r="X214" s="819"/>
      <c r="Y214" s="819"/>
      <c r="Z214" s="819"/>
      <c r="AA214" s="819"/>
      <c r="AB214" s="819"/>
      <c r="AC214" s="819"/>
      <c r="AD214" s="819"/>
      <c r="AE214" s="819"/>
      <c r="AF214" s="819"/>
      <c r="AG214" s="819"/>
      <c r="AH214" s="819"/>
      <c r="AI214" s="819"/>
      <c r="AJ214" s="819"/>
      <c r="AK214" s="819"/>
      <c r="AL214" s="819"/>
      <c r="AM214" s="819"/>
      <c r="AN214" s="819"/>
      <c r="AO214" s="819"/>
      <c r="AP214" s="819"/>
      <c r="AQ214" s="819"/>
      <c r="AR214" s="819"/>
      <c r="AS214" s="819"/>
      <c r="AT214" s="819"/>
      <c r="AU214" s="819"/>
      <c r="AV214" s="819"/>
      <c r="AW214" s="819"/>
      <c r="AX214" s="819"/>
      <c r="AY214" s="819"/>
      <c r="AZ214" s="819"/>
      <c r="BA214" s="819"/>
      <c r="BB214" s="819"/>
      <c r="BC214" s="819"/>
      <c r="BD214" s="819"/>
      <c r="BE214" s="819"/>
      <c r="BF214" s="819"/>
      <c r="BG214" s="819"/>
      <c r="BH214" s="819"/>
      <c r="BI214" s="819"/>
      <c r="BJ214" s="819"/>
      <c r="BK214" s="819"/>
      <c r="BL214" s="819"/>
      <c r="BM214" s="819"/>
      <c r="BN214" s="819"/>
      <c r="BO214" s="819"/>
      <c r="BP214" s="819"/>
      <c r="BQ214" s="819"/>
      <c r="BR214" s="819"/>
      <c r="BS214" s="819"/>
      <c r="BT214" s="819"/>
      <c r="BU214" s="819"/>
      <c r="BV214" s="819"/>
      <c r="BW214" s="819"/>
      <c r="BX214" s="819"/>
      <c r="BY214" s="819"/>
      <c r="BZ214" s="819"/>
      <c r="CA214" s="819"/>
      <c r="CB214" s="819"/>
      <c r="CC214" s="819"/>
      <c r="CD214" s="819"/>
      <c r="CE214" s="819"/>
      <c r="CF214" s="819"/>
      <c r="CG214" s="819"/>
      <c r="CH214" s="819"/>
      <c r="CI214" s="819"/>
      <c r="CJ214" s="819"/>
      <c r="CK214" s="819"/>
      <c r="CL214" s="819"/>
      <c r="CM214" s="819"/>
      <c r="CN214" s="819"/>
      <c r="CO214" s="819"/>
      <c r="CP214" s="819"/>
      <c r="CQ214" s="819"/>
      <c r="CR214" s="819"/>
      <c r="CS214" s="819"/>
      <c r="CT214" s="819"/>
      <c r="CU214" s="819"/>
      <c r="CV214" s="819"/>
      <c r="CW214" s="819"/>
      <c r="CX214" s="819"/>
      <c r="CY214" s="819"/>
      <c r="CZ214" s="819"/>
      <c r="DA214" s="819"/>
      <c r="DB214" s="819"/>
      <c r="DC214" s="819"/>
      <c r="DD214" s="819"/>
      <c r="DE214" s="819"/>
      <c r="DF214" s="819"/>
      <c r="DG214" s="819"/>
      <c r="DH214" s="819"/>
      <c r="DI214" s="819"/>
      <c r="DJ214" s="819"/>
      <c r="DK214" s="819"/>
      <c r="DL214" s="819"/>
      <c r="DM214" s="819"/>
      <c r="DN214" s="819"/>
      <c r="DO214" s="819"/>
      <c r="DP214" s="819"/>
      <c r="DQ214" s="819"/>
      <c r="DR214" s="819"/>
      <c r="DS214" s="819"/>
      <c r="DT214" s="819"/>
      <c r="DU214" s="819"/>
      <c r="DV214" s="1373"/>
      <c r="DW214" s="1373"/>
      <c r="DX214" s="1373"/>
      <c r="DY214" s="1373"/>
      <c r="DZ214" s="1373"/>
      <c r="EA214" s="1373"/>
      <c r="EB214" s="1373"/>
      <c r="EC214" s="1373"/>
      <c r="ED214" s="1373"/>
      <c r="EE214" s="1373"/>
      <c r="EF214" s="1373"/>
      <c r="EG214" s="1373"/>
      <c r="EH214" s="819"/>
    </row>
    <row r="215" spans="1:138" ht="12.75" customHeight="1" x14ac:dyDescent="0.3">
      <c r="A215" s="782"/>
      <c r="B215" s="782"/>
      <c r="C215" s="782"/>
      <c r="D215" s="782"/>
      <c r="E215" s="782"/>
      <c r="F215" s="782"/>
      <c r="G215" s="782"/>
      <c r="H215" s="782"/>
      <c r="I215" s="782"/>
      <c r="J215" s="782"/>
      <c r="K215" s="782"/>
      <c r="L215" s="782"/>
      <c r="M215" s="782"/>
      <c r="N215" s="782"/>
      <c r="O215" s="782"/>
      <c r="P215" s="782"/>
      <c r="Q215" s="782"/>
      <c r="R215" s="782"/>
      <c r="S215" s="782"/>
      <c r="T215" s="782"/>
      <c r="U215" s="782"/>
      <c r="V215" s="782"/>
      <c r="W215" s="782"/>
      <c r="X215" s="782"/>
      <c r="Y215" s="782"/>
      <c r="Z215" s="782"/>
      <c r="AA215" s="782"/>
      <c r="AB215" s="782"/>
      <c r="AC215" s="782"/>
      <c r="AD215" s="782"/>
      <c r="AE215" s="782"/>
      <c r="AF215" s="782"/>
      <c r="AG215" s="782"/>
      <c r="AH215" s="782"/>
      <c r="AI215" s="782"/>
      <c r="AJ215" s="782"/>
      <c r="AK215" s="782"/>
      <c r="AL215" s="782"/>
      <c r="AM215" s="782"/>
      <c r="AN215" s="782"/>
      <c r="AO215" s="782"/>
      <c r="AP215" s="782"/>
      <c r="AQ215" s="782"/>
      <c r="AR215" s="782"/>
      <c r="AS215" s="782"/>
      <c r="AT215" s="782"/>
      <c r="AU215" s="782"/>
      <c r="AV215" s="782"/>
      <c r="AW215" s="782"/>
      <c r="AX215" s="782"/>
      <c r="AY215" s="782"/>
      <c r="AZ215" s="782"/>
      <c r="BA215" s="782"/>
      <c r="BB215" s="782"/>
      <c r="BC215" s="782"/>
      <c r="BD215" s="782"/>
      <c r="BE215" s="782"/>
      <c r="BF215" s="782"/>
      <c r="BG215" s="782"/>
      <c r="BH215" s="782"/>
      <c r="BI215" s="782"/>
      <c r="BJ215" s="782"/>
      <c r="BK215" s="782"/>
      <c r="BL215" s="782"/>
      <c r="BM215" s="782"/>
      <c r="BN215" s="782"/>
      <c r="BO215" s="782"/>
      <c r="BP215" s="782"/>
      <c r="BQ215" s="782"/>
      <c r="BR215" s="782"/>
      <c r="BS215" s="782"/>
      <c r="BT215" s="782"/>
      <c r="BU215" s="782"/>
      <c r="BV215" s="782"/>
      <c r="BW215" s="782"/>
      <c r="BX215" s="782"/>
      <c r="BY215" s="782"/>
      <c r="BZ215" s="782"/>
      <c r="CA215" s="782"/>
      <c r="CB215" s="782"/>
      <c r="CC215" s="782"/>
      <c r="CD215" s="782"/>
      <c r="CE215" s="782"/>
      <c r="CF215" s="782"/>
      <c r="CG215" s="782"/>
      <c r="CH215" s="782"/>
      <c r="CI215" s="782"/>
      <c r="CJ215" s="782"/>
      <c r="CK215" s="782"/>
      <c r="CL215" s="782"/>
      <c r="CM215" s="782"/>
      <c r="CN215" s="782"/>
      <c r="CO215" s="782"/>
      <c r="CP215" s="782"/>
      <c r="CQ215" s="782"/>
      <c r="CR215" s="782"/>
      <c r="CS215" s="782"/>
      <c r="CT215" s="782"/>
      <c r="CU215" s="782"/>
      <c r="CV215" s="782"/>
      <c r="CW215" s="782"/>
      <c r="CX215" s="782"/>
      <c r="CY215" s="782"/>
      <c r="CZ215" s="782"/>
      <c r="DA215" s="782"/>
      <c r="DB215" s="782"/>
      <c r="DC215" s="782"/>
      <c r="DD215" s="782"/>
      <c r="DE215" s="782"/>
      <c r="DF215" s="782"/>
      <c r="DG215" s="782"/>
      <c r="DH215" s="782"/>
      <c r="DI215" s="782"/>
      <c r="DJ215" s="782"/>
      <c r="DK215" s="782"/>
      <c r="DL215" s="782"/>
      <c r="DM215" s="782"/>
      <c r="DN215" s="782"/>
      <c r="DO215" s="782"/>
      <c r="DP215" s="782"/>
      <c r="DQ215" s="782"/>
      <c r="DR215" s="782"/>
      <c r="DS215" s="782"/>
      <c r="DT215" s="782"/>
      <c r="DU215" s="782"/>
      <c r="DV215" s="798"/>
      <c r="DW215" s="798"/>
      <c r="DX215" s="798"/>
      <c r="DY215" s="798"/>
      <c r="DZ215" s="798"/>
      <c r="EA215" s="798"/>
      <c r="EB215" s="798"/>
      <c r="EC215" s="798"/>
      <c r="ED215" s="798"/>
      <c r="EE215" s="798"/>
      <c r="EF215" s="798"/>
      <c r="EG215" s="798"/>
      <c r="EH215" s="782"/>
    </row>
    <row r="216" spans="1:138" ht="12.75" customHeight="1" x14ac:dyDescent="0.3">
      <c r="A216" s="782"/>
      <c r="B216" s="782" t="s">
        <v>328</v>
      </c>
      <c r="C216" s="798">
        <f>SUM('Venture Summary - Mthly'!E216:DU216)</f>
        <v>35657885.983124956</v>
      </c>
      <c r="D216" s="782"/>
      <c r="E216" s="798">
        <f>IF('Venture Summary - Mthly'!E77&lt;0,-'Venture Summary - Mthly'!E77,0)</f>
        <v>1943435.5218400576</v>
      </c>
      <c r="F216" s="798">
        <f>IF('Venture Summary - Mthly'!F77&lt;0,-'Venture Summary - Mthly'!F77,0)</f>
        <v>15208647.652673729</v>
      </c>
      <c r="G216" s="798">
        <f>IF('Venture Summary - Mthly'!G77&lt;0,-'Venture Summary - Mthly'!G77,0)</f>
        <v>491498.0015560445</v>
      </c>
      <c r="H216" s="798">
        <f>IF('Venture Summary - Mthly'!H77&lt;0,-'Venture Summary - Mthly'!H77,0)</f>
        <v>739130.23477478127</v>
      </c>
      <c r="I216" s="798">
        <f>IF('Venture Summary - Mthly'!I77&lt;0,-'Venture Summary - Mthly'!I77,0)</f>
        <v>1245669.8451237862</v>
      </c>
      <c r="J216" s="798">
        <f>IF('Venture Summary - Mthly'!J77&lt;0,-'Venture Summary - Mthly'!J77,0)</f>
        <v>2024138.5150061427</v>
      </c>
      <c r="K216" s="798">
        <f>IF('Venture Summary - Mthly'!K77&lt;0,-'Venture Summary - Mthly'!K77,0)</f>
        <v>2083605.0857725968</v>
      </c>
      <c r="L216" s="798">
        <f>IF('Venture Summary - Mthly'!L77&lt;0,-'Venture Summary - Mthly'!L77,0)</f>
        <v>2651537.8825037964</v>
      </c>
      <c r="M216" s="798">
        <f>IF('Venture Summary - Mthly'!M77&lt;0,-'Venture Summary - Mthly'!M77,0)</f>
        <v>3143136.2409976111</v>
      </c>
      <c r="N216" s="798">
        <f>IF('Venture Summary - Mthly'!N77&lt;0,-'Venture Summary - Mthly'!N77,0)</f>
        <v>3677476.1526163789</v>
      </c>
      <c r="O216" s="798">
        <f>IF('Venture Summary - Mthly'!O77&lt;0,-'Venture Summary - Mthly'!O77,0)</f>
        <v>2096036.1763591815</v>
      </c>
      <c r="P216" s="798">
        <f>IF('Venture Summary - Mthly'!P77&lt;0,-'Venture Summary - Mthly'!P77,0)</f>
        <v>20243.44524311414</v>
      </c>
      <c r="Q216" s="798">
        <f>IF('Venture Summary - Mthly'!Q77&lt;0,-'Venture Summary - Mthly'!Q77,0)</f>
        <v>21536.504033744335</v>
      </c>
      <c r="R216" s="798">
        <f>IF('Venture Summary - Mthly'!R77&lt;0,-'Venture Summary - Mthly'!R77,0)</f>
        <v>22846.387199595105</v>
      </c>
      <c r="S216" s="798">
        <f>IF('Venture Summary - Mthly'!S77&lt;0,-'Venture Summary - Mthly'!S77,0)</f>
        <v>24169.24296368286</v>
      </c>
      <c r="T216" s="798">
        <f>IF('Venture Summary - Mthly'!T77&lt;0,-'Venture Summary - Mthly'!T77,0)</f>
        <v>25405.192141294479</v>
      </c>
      <c r="U216" s="798">
        <f>IF('Venture Summary - Mthly'!U77&lt;0,-'Venture Summary - Mthly'!U77,0)</f>
        <v>26605.498258502688</v>
      </c>
      <c r="V216" s="798">
        <f>IF('Venture Summary - Mthly'!V77&lt;0,-'Venture Summary - Mthly'!V77,0)</f>
        <v>27716.271931473166</v>
      </c>
      <c r="W216" s="798">
        <f>IF('Venture Summary - Mthly'!W77&lt;0,-'Venture Summary - Mthly'!W77,0)</f>
        <v>28714.745112786535</v>
      </c>
      <c r="X216" s="798">
        <f>IF('Venture Summary - Mthly'!X77&lt;0,-'Venture Summary - Mthly'!X77,0)</f>
        <v>29708.008202723693</v>
      </c>
      <c r="Y216" s="798">
        <f>IF('Venture Summary - Mthly'!Y77&lt;0,-'Venture Summary - Mthly'!Y77,0)</f>
        <v>30619.505737842992</v>
      </c>
      <c r="Z216" s="798">
        <f>IF('Venture Summary - Mthly'!Z77&lt;0,-'Venture Summary - Mthly'!Z77,0)</f>
        <v>31386.510991997784</v>
      </c>
      <c r="AA216" s="798">
        <f>IF('Venture Summary - Mthly'!AA77&lt;0,-'Venture Summary - Mthly'!AA77,0)</f>
        <v>32040.043232684024</v>
      </c>
      <c r="AB216" s="798">
        <f>IF('Venture Summary - Mthly'!AB77&lt;0,-'Venture Summary - Mthly'!AB77,0)</f>
        <v>32583.318851409364</v>
      </c>
      <c r="AC216" s="798">
        <f>IF('Venture Summary - Mthly'!AC77&lt;0,-'Venture Summary - Mthly'!AC77,0)</f>
        <v>0</v>
      </c>
      <c r="AD216" s="798">
        <f>IF('Venture Summary - Mthly'!AD77&lt;0,-'Venture Summary - Mthly'!AD77,0)</f>
        <v>0</v>
      </c>
      <c r="AE216" s="798">
        <f>IF('Venture Summary - Mthly'!AE77&lt;0,-'Venture Summary - Mthly'!AE77,0)</f>
        <v>0</v>
      </c>
      <c r="AF216" s="798">
        <f>IF('Venture Summary - Mthly'!AF77&lt;0,-'Venture Summary - Mthly'!AF77,0)</f>
        <v>0</v>
      </c>
      <c r="AG216" s="798">
        <f>IF('Venture Summary - Mthly'!AG77&lt;0,-'Venture Summary - Mthly'!AG77,0)</f>
        <v>0</v>
      </c>
      <c r="AH216" s="798">
        <f>IF('Venture Summary - Mthly'!AH77&lt;0,-'Venture Summary - Mthly'!AH77,0)</f>
        <v>0</v>
      </c>
      <c r="AI216" s="798">
        <f>IF('Venture Summary - Mthly'!AI77&lt;0,-'Venture Summary - Mthly'!AI77,0)</f>
        <v>0</v>
      </c>
      <c r="AJ216" s="798">
        <f>IF('Venture Summary - Mthly'!AJ77&lt;0,-'Venture Summary - Mthly'!AJ77,0)</f>
        <v>0</v>
      </c>
      <c r="AK216" s="798">
        <f>IF('Venture Summary - Mthly'!AK77&lt;0,-'Venture Summary - Mthly'!AK77,0)</f>
        <v>0</v>
      </c>
      <c r="AL216" s="798">
        <f>IF('Venture Summary - Mthly'!AL77&lt;0,-'Venture Summary - Mthly'!AL77,0)</f>
        <v>0</v>
      </c>
      <c r="AM216" s="798">
        <f>IF('Venture Summary - Mthly'!AM77&lt;0,-'Venture Summary - Mthly'!AM77,0)</f>
        <v>0</v>
      </c>
      <c r="AN216" s="798">
        <f>IF('Venture Summary - Mthly'!AN77&lt;0,-'Venture Summary - Mthly'!AN77,0)</f>
        <v>0</v>
      </c>
      <c r="AO216" s="798">
        <f>IF('Venture Summary - Mthly'!AO77&lt;0,-'Venture Summary - Mthly'!AO77,0)</f>
        <v>0</v>
      </c>
      <c r="AP216" s="798">
        <f>IF('Venture Summary - Mthly'!AP77&lt;0,-'Venture Summary - Mthly'!AP77,0)</f>
        <v>0</v>
      </c>
      <c r="AQ216" s="798">
        <f>IF('Venture Summary - Mthly'!AQ77&lt;0,-'Venture Summary - Mthly'!AQ77,0)</f>
        <v>0</v>
      </c>
      <c r="AR216" s="798">
        <f>IF('Venture Summary - Mthly'!AR77&lt;0,-'Venture Summary - Mthly'!AR77,0)</f>
        <v>0</v>
      </c>
      <c r="AS216" s="798">
        <f>IF('Venture Summary - Mthly'!AS77&lt;0,-'Venture Summary - Mthly'!AS77,0)</f>
        <v>0</v>
      </c>
      <c r="AT216" s="798">
        <f>IF('Venture Summary - Mthly'!AT77&lt;0,-'Venture Summary - Mthly'!AT77,0)</f>
        <v>0</v>
      </c>
      <c r="AU216" s="798">
        <f>IF('Venture Summary - Mthly'!AU77&lt;0,-'Venture Summary - Mthly'!AU77,0)</f>
        <v>0</v>
      </c>
      <c r="AV216" s="798">
        <f>IF('Venture Summary - Mthly'!AV77&lt;0,-'Venture Summary - Mthly'!AV77,0)</f>
        <v>0</v>
      </c>
      <c r="AW216" s="798">
        <f>IF('Venture Summary - Mthly'!AW77&lt;0,-'Venture Summary - Mthly'!AW77,0)</f>
        <v>0</v>
      </c>
      <c r="AX216" s="798">
        <f>IF('Venture Summary - Mthly'!AX77&lt;0,-'Venture Summary - Mthly'!AX77,0)</f>
        <v>0</v>
      </c>
      <c r="AY216" s="798">
        <f>IF('Venture Summary - Mthly'!AY77&lt;0,-'Venture Summary - Mthly'!AY77,0)</f>
        <v>0</v>
      </c>
      <c r="AZ216" s="798">
        <f>IF('Venture Summary - Mthly'!AZ77&lt;0,-'Venture Summary - Mthly'!AZ77,0)</f>
        <v>0</v>
      </c>
      <c r="BA216" s="798">
        <f>IF('Venture Summary - Mthly'!BA77&lt;0,-'Venture Summary - Mthly'!BA77,0)</f>
        <v>0</v>
      </c>
      <c r="BB216" s="798">
        <f>IF('Venture Summary - Mthly'!BB77&lt;0,-'Venture Summary - Mthly'!BB77,0)</f>
        <v>0</v>
      </c>
      <c r="BC216" s="798">
        <f>IF('Venture Summary - Mthly'!BC77&lt;0,-'Venture Summary - Mthly'!BC77,0)</f>
        <v>0</v>
      </c>
      <c r="BD216" s="798">
        <f>IF('Venture Summary - Mthly'!BD77&lt;0,-'Venture Summary - Mthly'!BD77,0)</f>
        <v>0</v>
      </c>
      <c r="BE216" s="798">
        <f>IF('Venture Summary - Mthly'!BE77&lt;0,-'Venture Summary - Mthly'!BE77,0)</f>
        <v>0</v>
      </c>
      <c r="BF216" s="798">
        <f>IF('Venture Summary - Mthly'!BF77&lt;0,-'Venture Summary - Mthly'!BF77,0)</f>
        <v>0</v>
      </c>
      <c r="BG216" s="798">
        <f>IF('Venture Summary - Mthly'!BG77&lt;0,-'Venture Summary - Mthly'!BG77,0)</f>
        <v>0</v>
      </c>
      <c r="BH216" s="798">
        <f>IF('Venture Summary - Mthly'!BH77&lt;0,-'Venture Summary - Mthly'!BH77,0)</f>
        <v>0</v>
      </c>
      <c r="BI216" s="798">
        <f>IF('Venture Summary - Mthly'!BI77&lt;0,-'Venture Summary - Mthly'!BI77,0)</f>
        <v>0</v>
      </c>
      <c r="BJ216" s="798">
        <f>IF('Venture Summary - Mthly'!BJ77&lt;0,-'Venture Summary - Mthly'!BJ77,0)</f>
        <v>0</v>
      </c>
      <c r="BK216" s="798">
        <f>IF('Venture Summary - Mthly'!BK77&lt;0,-'Venture Summary - Mthly'!BK77,0)</f>
        <v>0</v>
      </c>
      <c r="BL216" s="798">
        <f>IF('Venture Summary - Mthly'!BL77&lt;0,-'Venture Summary - Mthly'!BL77,0)</f>
        <v>0</v>
      </c>
      <c r="BM216" s="798">
        <f>IF('Venture Summary - Mthly'!BM77&lt;0,-'Venture Summary - Mthly'!BM77,0)</f>
        <v>0</v>
      </c>
      <c r="BN216" s="798">
        <f>IF('Venture Summary - Mthly'!BN77&lt;0,-'Venture Summary - Mthly'!BN77,0)</f>
        <v>0</v>
      </c>
      <c r="BO216" s="798">
        <f>IF('Venture Summary - Mthly'!BO77&lt;0,-'Venture Summary - Mthly'!BO77,0)</f>
        <v>0</v>
      </c>
      <c r="BP216" s="798">
        <f>IF('Venture Summary - Mthly'!BP77&lt;0,-'Venture Summary - Mthly'!BP77,0)</f>
        <v>0</v>
      </c>
      <c r="BQ216" s="798">
        <f>IF('Venture Summary - Mthly'!BQ77&lt;0,-'Venture Summary - Mthly'!BQ77,0)</f>
        <v>0</v>
      </c>
      <c r="BR216" s="798">
        <f>IF('Venture Summary - Mthly'!BR77&lt;0,-'Venture Summary - Mthly'!BR77,0)</f>
        <v>0</v>
      </c>
      <c r="BS216" s="798">
        <f>IF('Venture Summary - Mthly'!BS77&lt;0,-'Venture Summary - Mthly'!BS77,0)</f>
        <v>0</v>
      </c>
      <c r="BT216" s="798">
        <f>IF('Venture Summary - Mthly'!BT77&lt;0,-'Venture Summary - Mthly'!BT77,0)</f>
        <v>0</v>
      </c>
      <c r="BU216" s="798">
        <f>IF('Venture Summary - Mthly'!BU77&lt;0,-'Venture Summary - Mthly'!BU77,0)</f>
        <v>0</v>
      </c>
      <c r="BV216" s="798">
        <f>IF('Venture Summary - Mthly'!BV77&lt;0,-'Venture Summary - Mthly'!BV77,0)</f>
        <v>0</v>
      </c>
      <c r="BW216" s="798">
        <f>IF('Venture Summary - Mthly'!BW77&lt;0,-'Venture Summary - Mthly'!BW77,0)</f>
        <v>0</v>
      </c>
      <c r="BX216" s="798">
        <f>IF('Venture Summary - Mthly'!BX77&lt;0,-'Venture Summary - Mthly'!BX77,0)</f>
        <v>0</v>
      </c>
      <c r="BY216" s="798">
        <f>IF('Venture Summary - Mthly'!BY77&lt;0,-'Venture Summary - Mthly'!BY77,0)</f>
        <v>0</v>
      </c>
      <c r="BZ216" s="798">
        <f>IF('Venture Summary - Mthly'!BZ77&lt;0,-'Venture Summary - Mthly'!BZ77,0)</f>
        <v>0</v>
      </c>
      <c r="CA216" s="798">
        <f>IF('Venture Summary - Mthly'!CA77&lt;0,-'Venture Summary - Mthly'!CA77,0)</f>
        <v>0</v>
      </c>
      <c r="CB216" s="798">
        <f>IF('Venture Summary - Mthly'!CB77&lt;0,-'Venture Summary - Mthly'!CB77,0)</f>
        <v>0</v>
      </c>
      <c r="CC216" s="798">
        <f>IF('Venture Summary - Mthly'!CC77&lt;0,-'Venture Summary - Mthly'!CC77,0)</f>
        <v>0</v>
      </c>
      <c r="CD216" s="798">
        <f>IF('Venture Summary - Mthly'!CD77&lt;0,-'Venture Summary - Mthly'!CD77,0)</f>
        <v>0</v>
      </c>
      <c r="CE216" s="798">
        <f>IF('Venture Summary - Mthly'!CE77&lt;0,-'Venture Summary - Mthly'!CE77,0)</f>
        <v>0</v>
      </c>
      <c r="CF216" s="798">
        <f>IF('Venture Summary - Mthly'!CF77&lt;0,-'Venture Summary - Mthly'!CF77,0)</f>
        <v>0</v>
      </c>
      <c r="CG216" s="798">
        <f>IF('Venture Summary - Mthly'!CG77&lt;0,-'Venture Summary - Mthly'!CG77,0)</f>
        <v>0</v>
      </c>
      <c r="CH216" s="798">
        <f>IF('Venture Summary - Mthly'!CH77&lt;0,-'Venture Summary - Mthly'!CH77,0)</f>
        <v>0</v>
      </c>
      <c r="CI216" s="798">
        <f>IF('Venture Summary - Mthly'!CI77&lt;0,-'Venture Summary - Mthly'!CI77,0)</f>
        <v>0</v>
      </c>
      <c r="CJ216" s="798">
        <f>IF('Venture Summary - Mthly'!CJ77&lt;0,-'Venture Summary - Mthly'!CJ77,0)</f>
        <v>0</v>
      </c>
      <c r="CK216" s="798">
        <f>IF('Venture Summary - Mthly'!CK77&lt;0,-'Venture Summary - Mthly'!CK77,0)</f>
        <v>0</v>
      </c>
      <c r="CL216" s="798">
        <f>IF('Venture Summary - Mthly'!CL77&lt;0,-'Venture Summary - Mthly'!CL77,0)</f>
        <v>0</v>
      </c>
      <c r="CM216" s="798">
        <f>IF('Venture Summary - Mthly'!CM77&lt;0,-'Venture Summary - Mthly'!CM77,0)</f>
        <v>0</v>
      </c>
      <c r="CN216" s="798">
        <f>IF('Venture Summary - Mthly'!CN77&lt;0,-'Venture Summary - Mthly'!CN77,0)</f>
        <v>0</v>
      </c>
      <c r="CO216" s="798">
        <f>IF('Venture Summary - Mthly'!CO77&lt;0,-'Venture Summary - Mthly'!CO77,0)</f>
        <v>0</v>
      </c>
      <c r="CP216" s="798">
        <f>IF('Venture Summary - Mthly'!CP77&lt;0,-'Venture Summary - Mthly'!CP77,0)</f>
        <v>0</v>
      </c>
      <c r="CQ216" s="798">
        <f>IF('Venture Summary - Mthly'!CQ77&lt;0,-'Venture Summary - Mthly'!CQ77,0)</f>
        <v>0</v>
      </c>
      <c r="CR216" s="798">
        <f>IF('Venture Summary - Mthly'!CR77&lt;0,-'Venture Summary - Mthly'!CR77,0)</f>
        <v>0</v>
      </c>
      <c r="CS216" s="798">
        <f>IF('Venture Summary - Mthly'!CS77&lt;0,-'Venture Summary - Mthly'!CS77,0)</f>
        <v>0</v>
      </c>
      <c r="CT216" s="798">
        <f>IF('Venture Summary - Mthly'!CT77&lt;0,-'Venture Summary - Mthly'!CT77,0)</f>
        <v>0</v>
      </c>
      <c r="CU216" s="798">
        <f>IF('Venture Summary - Mthly'!CU77&lt;0,-'Venture Summary - Mthly'!CU77,0)</f>
        <v>0</v>
      </c>
      <c r="CV216" s="798">
        <f>IF('Venture Summary - Mthly'!CV77&lt;0,-'Venture Summary - Mthly'!CV77,0)</f>
        <v>0</v>
      </c>
      <c r="CW216" s="798">
        <f>IF('Venture Summary - Mthly'!CW77&lt;0,-'Venture Summary - Mthly'!CW77,0)</f>
        <v>0</v>
      </c>
      <c r="CX216" s="798">
        <f>IF('Venture Summary - Mthly'!CX77&lt;0,-'Venture Summary - Mthly'!CX77,0)</f>
        <v>0</v>
      </c>
      <c r="CY216" s="798">
        <f>IF('Venture Summary - Mthly'!CY77&lt;0,-'Venture Summary - Mthly'!CY77,0)</f>
        <v>0</v>
      </c>
      <c r="CZ216" s="798">
        <f>IF('Venture Summary - Mthly'!CZ77&lt;0,-'Venture Summary - Mthly'!CZ77,0)</f>
        <v>0</v>
      </c>
      <c r="DA216" s="798">
        <f>IF('Venture Summary - Mthly'!DA77&lt;0,-'Venture Summary - Mthly'!DA77,0)</f>
        <v>0</v>
      </c>
      <c r="DB216" s="798">
        <f>IF('Venture Summary - Mthly'!DB77&lt;0,-'Venture Summary - Mthly'!DB77,0)</f>
        <v>0</v>
      </c>
      <c r="DC216" s="798">
        <f>IF('Venture Summary - Mthly'!DC77&lt;0,-'Venture Summary - Mthly'!DC77,0)</f>
        <v>0</v>
      </c>
      <c r="DD216" s="798">
        <f>IF('Venture Summary - Mthly'!DD77&lt;0,-'Venture Summary - Mthly'!DD77,0)</f>
        <v>0</v>
      </c>
      <c r="DE216" s="798">
        <f>IF('Venture Summary - Mthly'!DE77&lt;0,-'Venture Summary - Mthly'!DE77,0)</f>
        <v>0</v>
      </c>
      <c r="DF216" s="798">
        <f>IF('Venture Summary - Mthly'!DF77&lt;0,-'Venture Summary - Mthly'!DF77,0)</f>
        <v>0</v>
      </c>
      <c r="DG216" s="798">
        <f>IF('Venture Summary - Mthly'!DG77&lt;0,-'Venture Summary - Mthly'!DG77,0)</f>
        <v>0</v>
      </c>
      <c r="DH216" s="798">
        <f>IF('Venture Summary - Mthly'!DH77&lt;0,-'Venture Summary - Mthly'!DH77,0)</f>
        <v>0</v>
      </c>
      <c r="DI216" s="798">
        <f>IF('Venture Summary - Mthly'!DI77&lt;0,-'Venture Summary - Mthly'!DI77,0)</f>
        <v>0</v>
      </c>
      <c r="DJ216" s="798">
        <f>IF('Venture Summary - Mthly'!DJ77&lt;0,-'Venture Summary - Mthly'!DJ77,0)</f>
        <v>0</v>
      </c>
      <c r="DK216" s="798">
        <f>IF('Venture Summary - Mthly'!DK77&lt;0,-'Venture Summary - Mthly'!DK77,0)</f>
        <v>0</v>
      </c>
      <c r="DL216" s="798">
        <f>IF('Venture Summary - Mthly'!DL77&lt;0,-'Venture Summary - Mthly'!DL77,0)</f>
        <v>0</v>
      </c>
      <c r="DM216" s="798">
        <f>IF('Venture Summary - Mthly'!DM77&lt;0,-'Venture Summary - Mthly'!DM77,0)</f>
        <v>0</v>
      </c>
      <c r="DN216" s="798">
        <f>IF('Venture Summary - Mthly'!DN77&lt;0,-'Venture Summary - Mthly'!DN77,0)</f>
        <v>0</v>
      </c>
      <c r="DO216" s="798">
        <f>IF('Venture Summary - Mthly'!DO77&lt;0,-'Venture Summary - Mthly'!DO77,0)</f>
        <v>0</v>
      </c>
      <c r="DP216" s="798">
        <f>IF('Venture Summary - Mthly'!DP77&lt;0,-'Venture Summary - Mthly'!DP77,0)</f>
        <v>0</v>
      </c>
      <c r="DQ216" s="798">
        <f>IF('Venture Summary - Mthly'!DQ77&lt;0,-'Venture Summary - Mthly'!DQ77,0)</f>
        <v>0</v>
      </c>
      <c r="DR216" s="798">
        <f>IF('Venture Summary - Mthly'!DR77&lt;0,-'Venture Summary - Mthly'!DR77,0)</f>
        <v>0</v>
      </c>
      <c r="DS216" s="798">
        <f>IF('Venture Summary - Mthly'!DS77&lt;0,-'Venture Summary - Mthly'!DS77,0)</f>
        <v>0</v>
      </c>
      <c r="DT216" s="798">
        <f>IF('Venture Summary - Mthly'!DT77&lt;0,-'Venture Summary - Mthly'!DT77,0)</f>
        <v>0</v>
      </c>
      <c r="DU216" s="798">
        <f>IF('Venture Summary - Mthly'!DU77&lt;0,-'Venture Summary - Mthly'!DU77,0)</f>
        <v>0</v>
      </c>
      <c r="DV216" s="798"/>
      <c r="DW216" s="798"/>
      <c r="DX216" s="798"/>
      <c r="DY216" s="798"/>
      <c r="DZ216" s="798"/>
      <c r="EA216" s="798"/>
      <c r="EB216" s="798"/>
      <c r="EC216" s="798"/>
      <c r="ED216" s="798"/>
      <c r="EE216" s="798"/>
      <c r="EF216" s="798"/>
      <c r="EG216" s="798"/>
      <c r="EH216" s="782"/>
    </row>
    <row r="217" spans="1:138" ht="12.75" customHeight="1" x14ac:dyDescent="0.3">
      <c r="A217" s="782"/>
      <c r="B217" s="782" t="s">
        <v>133</v>
      </c>
      <c r="C217" s="798">
        <f>SUM('Venture Summary - Mthly'!E217:DU217)</f>
        <v>6868726.7816661661</v>
      </c>
      <c r="D217" s="782"/>
      <c r="E217" s="798">
        <f>+'Venture Summary - Mthly'!E110</f>
        <v>0</v>
      </c>
      <c r="F217" s="798">
        <f>+'Venture Summary - Mthly'!F110</f>
        <v>0</v>
      </c>
      <c r="G217" s="798">
        <f>+'Venture Summary - Mthly'!G110</f>
        <v>0</v>
      </c>
      <c r="H217" s="798">
        <f>+'Venture Summary - Mthly'!H110</f>
        <v>0</v>
      </c>
      <c r="I217" s="798">
        <f>+'Venture Summary - Mthly'!I110</f>
        <v>0</v>
      </c>
      <c r="J217" s="798">
        <f>+'Venture Summary - Mthly'!J110</f>
        <v>0</v>
      </c>
      <c r="K217" s="798">
        <f>+'Venture Summary - Mthly'!K110</f>
        <v>0</v>
      </c>
      <c r="L217" s="798">
        <f>+'Venture Summary - Mthly'!L110</f>
        <v>0</v>
      </c>
      <c r="M217" s="798">
        <f>+'Venture Summary - Mthly'!M110</f>
        <v>0</v>
      </c>
      <c r="N217" s="798">
        <f>+'Venture Summary - Mthly'!N110</f>
        <v>0</v>
      </c>
      <c r="O217" s="798">
        <f>+'Venture Summary - Mthly'!O110</f>
        <v>0</v>
      </c>
      <c r="P217" s="798">
        <f>+'Venture Summary - Mthly'!P110</f>
        <v>0</v>
      </c>
      <c r="Q217" s="798">
        <f>+'Venture Summary - Mthly'!Q110</f>
        <v>0</v>
      </c>
      <c r="R217" s="798">
        <f>+'Venture Summary - Mthly'!R110</f>
        <v>0</v>
      </c>
      <c r="S217" s="798">
        <f>+'Venture Summary - Mthly'!S110</f>
        <v>0</v>
      </c>
      <c r="T217" s="798">
        <f>+'Venture Summary - Mthly'!T110</f>
        <v>0</v>
      </c>
      <c r="U217" s="798">
        <f>+'Venture Summary - Mthly'!U110</f>
        <v>0</v>
      </c>
      <c r="V217" s="798">
        <f>+'Venture Summary - Mthly'!V110</f>
        <v>0</v>
      </c>
      <c r="W217" s="798">
        <f>+'Venture Summary - Mthly'!W110</f>
        <v>0</v>
      </c>
      <c r="X217" s="798">
        <f>+'Venture Summary - Mthly'!X110</f>
        <v>0</v>
      </c>
      <c r="Y217" s="798">
        <f>+'Venture Summary - Mthly'!Y110</f>
        <v>0</v>
      </c>
      <c r="Z217" s="798">
        <f>+'Venture Summary - Mthly'!Z110</f>
        <v>0</v>
      </c>
      <c r="AA217" s="798">
        <f>+'Venture Summary - Mthly'!AA110</f>
        <v>0</v>
      </c>
      <c r="AB217" s="798">
        <f>+'Venture Summary - Mthly'!AB110</f>
        <v>0</v>
      </c>
      <c r="AC217" s="798">
        <f>+'Venture Summary - Mthly'!AC110</f>
        <v>0</v>
      </c>
      <c r="AD217" s="798">
        <f>+'Venture Summary - Mthly'!AD110</f>
        <v>0</v>
      </c>
      <c r="AE217" s="798">
        <f>+'Venture Summary - Mthly'!AE110</f>
        <v>0</v>
      </c>
      <c r="AF217" s="798">
        <f>+'Venture Summary - Mthly'!AF110</f>
        <v>0</v>
      </c>
      <c r="AG217" s="798">
        <f>+'Venture Summary - Mthly'!AG110</f>
        <v>0</v>
      </c>
      <c r="AH217" s="798">
        <f>+'Venture Summary - Mthly'!AH110</f>
        <v>0</v>
      </c>
      <c r="AI217" s="798">
        <f>+'Venture Summary - Mthly'!AI110</f>
        <v>0</v>
      </c>
      <c r="AJ217" s="798">
        <f>+'Venture Summary - Mthly'!AJ110</f>
        <v>0</v>
      </c>
      <c r="AK217" s="798">
        <f>+'Venture Summary - Mthly'!AK110</f>
        <v>6868726.7816661661</v>
      </c>
      <c r="AL217" s="798">
        <f>+'Venture Summary - Mthly'!AL110</f>
        <v>0</v>
      </c>
      <c r="AM217" s="798">
        <f>+'Venture Summary - Mthly'!AM110</f>
        <v>0</v>
      </c>
      <c r="AN217" s="798">
        <f>+'Venture Summary - Mthly'!AN110</f>
        <v>0</v>
      </c>
      <c r="AO217" s="798">
        <f>+'Venture Summary - Mthly'!AO110</f>
        <v>0</v>
      </c>
      <c r="AP217" s="798">
        <f>+'Venture Summary - Mthly'!AP110</f>
        <v>0</v>
      </c>
      <c r="AQ217" s="798">
        <f>+'Venture Summary - Mthly'!AQ110</f>
        <v>0</v>
      </c>
      <c r="AR217" s="798">
        <f>+'Venture Summary - Mthly'!AR110</f>
        <v>0</v>
      </c>
      <c r="AS217" s="798">
        <f>+'Venture Summary - Mthly'!AS110</f>
        <v>0</v>
      </c>
      <c r="AT217" s="798">
        <f>+'Venture Summary - Mthly'!AT110</f>
        <v>0</v>
      </c>
      <c r="AU217" s="798">
        <f>+'Venture Summary - Mthly'!AU110</f>
        <v>0</v>
      </c>
      <c r="AV217" s="798">
        <f>+'Venture Summary - Mthly'!AV110</f>
        <v>0</v>
      </c>
      <c r="AW217" s="798">
        <f>+'Venture Summary - Mthly'!AW110</f>
        <v>0</v>
      </c>
      <c r="AX217" s="798">
        <f>+'Venture Summary - Mthly'!AX110</f>
        <v>0</v>
      </c>
      <c r="AY217" s="798">
        <f>+'Venture Summary - Mthly'!AY110</f>
        <v>0</v>
      </c>
      <c r="AZ217" s="798">
        <f>+'Venture Summary - Mthly'!AZ110</f>
        <v>0</v>
      </c>
      <c r="BA217" s="798">
        <f>+'Venture Summary - Mthly'!BA110</f>
        <v>0</v>
      </c>
      <c r="BB217" s="798">
        <f>+'Venture Summary - Mthly'!BB110</f>
        <v>0</v>
      </c>
      <c r="BC217" s="798">
        <f>+'Venture Summary - Mthly'!BC110</f>
        <v>0</v>
      </c>
      <c r="BD217" s="798">
        <f>+'Venture Summary - Mthly'!BD110</f>
        <v>0</v>
      </c>
      <c r="BE217" s="798">
        <f>+'Venture Summary - Mthly'!BE110</f>
        <v>0</v>
      </c>
      <c r="BF217" s="798">
        <f>+'Venture Summary - Mthly'!BF110</f>
        <v>0</v>
      </c>
      <c r="BG217" s="798">
        <f>+'Venture Summary - Mthly'!BG110</f>
        <v>0</v>
      </c>
      <c r="BH217" s="798">
        <f>+'Venture Summary - Mthly'!BH110</f>
        <v>0</v>
      </c>
      <c r="BI217" s="798">
        <f>+'Venture Summary - Mthly'!BI110</f>
        <v>0</v>
      </c>
      <c r="BJ217" s="798">
        <f>+'Venture Summary - Mthly'!BJ110</f>
        <v>0</v>
      </c>
      <c r="BK217" s="798">
        <f>+'Venture Summary - Mthly'!BK110</f>
        <v>0</v>
      </c>
      <c r="BL217" s="798">
        <f>+'Venture Summary - Mthly'!BL110</f>
        <v>0</v>
      </c>
      <c r="BM217" s="798">
        <f>+'Venture Summary - Mthly'!BM110</f>
        <v>0</v>
      </c>
      <c r="BN217" s="798">
        <f>+'Venture Summary - Mthly'!BN110</f>
        <v>0</v>
      </c>
      <c r="BO217" s="798">
        <f>+'Venture Summary - Mthly'!BO110</f>
        <v>0</v>
      </c>
      <c r="BP217" s="798">
        <f>+'Venture Summary - Mthly'!BP110</f>
        <v>0</v>
      </c>
      <c r="BQ217" s="798">
        <f>+'Venture Summary - Mthly'!BQ110</f>
        <v>0</v>
      </c>
      <c r="BR217" s="798">
        <f>+'Venture Summary - Mthly'!BR110</f>
        <v>0</v>
      </c>
      <c r="BS217" s="798">
        <f>+'Venture Summary - Mthly'!BS110</f>
        <v>0</v>
      </c>
      <c r="BT217" s="798">
        <f>+'Venture Summary - Mthly'!BT110</f>
        <v>0</v>
      </c>
      <c r="BU217" s="798">
        <f>+'Venture Summary - Mthly'!BU110</f>
        <v>0</v>
      </c>
      <c r="BV217" s="798">
        <f>+'Venture Summary - Mthly'!BV110</f>
        <v>0</v>
      </c>
      <c r="BW217" s="798">
        <f>+'Venture Summary - Mthly'!BW110</f>
        <v>0</v>
      </c>
      <c r="BX217" s="798">
        <f>+'Venture Summary - Mthly'!BX110</f>
        <v>0</v>
      </c>
      <c r="BY217" s="798">
        <f>+'Venture Summary - Mthly'!BY110</f>
        <v>0</v>
      </c>
      <c r="BZ217" s="798">
        <f>+'Venture Summary - Mthly'!BZ110</f>
        <v>0</v>
      </c>
      <c r="CA217" s="798">
        <f>+'Venture Summary - Mthly'!CA110</f>
        <v>0</v>
      </c>
      <c r="CB217" s="798">
        <f>+'Venture Summary - Mthly'!CB110</f>
        <v>0</v>
      </c>
      <c r="CC217" s="798">
        <f>+'Venture Summary - Mthly'!CC110</f>
        <v>0</v>
      </c>
      <c r="CD217" s="798">
        <f>+'Venture Summary - Mthly'!CD110</f>
        <v>0</v>
      </c>
      <c r="CE217" s="798">
        <f>+'Venture Summary - Mthly'!CE110</f>
        <v>0</v>
      </c>
      <c r="CF217" s="798">
        <f>+'Venture Summary - Mthly'!CF110</f>
        <v>0</v>
      </c>
      <c r="CG217" s="798">
        <f>+'Venture Summary - Mthly'!CG110</f>
        <v>0</v>
      </c>
      <c r="CH217" s="798">
        <f>+'Venture Summary - Mthly'!CH110</f>
        <v>0</v>
      </c>
      <c r="CI217" s="798">
        <f>+'Venture Summary - Mthly'!CI110</f>
        <v>0</v>
      </c>
      <c r="CJ217" s="798">
        <f>+'Venture Summary - Mthly'!CJ110</f>
        <v>0</v>
      </c>
      <c r="CK217" s="798">
        <f>+'Venture Summary - Mthly'!CK110</f>
        <v>0</v>
      </c>
      <c r="CL217" s="798">
        <f>+'Venture Summary - Mthly'!CL110</f>
        <v>0</v>
      </c>
      <c r="CM217" s="798">
        <f>+'Venture Summary - Mthly'!CM110</f>
        <v>0</v>
      </c>
      <c r="CN217" s="798">
        <f>+'Venture Summary - Mthly'!CN110</f>
        <v>0</v>
      </c>
      <c r="CO217" s="798">
        <f>+'Venture Summary - Mthly'!CO110</f>
        <v>0</v>
      </c>
      <c r="CP217" s="798">
        <f>+'Venture Summary - Mthly'!CP110</f>
        <v>0</v>
      </c>
      <c r="CQ217" s="798">
        <f>+'Venture Summary - Mthly'!CQ110</f>
        <v>0</v>
      </c>
      <c r="CR217" s="798">
        <f>+'Venture Summary - Mthly'!CR110</f>
        <v>0</v>
      </c>
      <c r="CS217" s="798">
        <f>+'Venture Summary - Mthly'!CS110</f>
        <v>0</v>
      </c>
      <c r="CT217" s="798">
        <f>+'Venture Summary - Mthly'!CT110</f>
        <v>0</v>
      </c>
      <c r="CU217" s="798">
        <f>+'Venture Summary - Mthly'!CU110</f>
        <v>0</v>
      </c>
      <c r="CV217" s="798">
        <f>+'Venture Summary - Mthly'!CV110</f>
        <v>0</v>
      </c>
      <c r="CW217" s="798">
        <f>+'Venture Summary - Mthly'!CW110</f>
        <v>0</v>
      </c>
      <c r="CX217" s="798">
        <f>+'Venture Summary - Mthly'!CX110</f>
        <v>0</v>
      </c>
      <c r="CY217" s="798">
        <f>+'Venture Summary - Mthly'!CY110</f>
        <v>0</v>
      </c>
      <c r="CZ217" s="798">
        <f>+'Venture Summary - Mthly'!CZ110</f>
        <v>0</v>
      </c>
      <c r="DA217" s="798">
        <f>+'Venture Summary - Mthly'!DA110</f>
        <v>0</v>
      </c>
      <c r="DB217" s="798">
        <f>+'Venture Summary - Mthly'!DB110</f>
        <v>0</v>
      </c>
      <c r="DC217" s="798">
        <f>+'Venture Summary - Mthly'!DC110</f>
        <v>0</v>
      </c>
      <c r="DD217" s="798">
        <f>+'Venture Summary - Mthly'!DD110</f>
        <v>0</v>
      </c>
      <c r="DE217" s="798">
        <f>+'Venture Summary - Mthly'!DE110</f>
        <v>0</v>
      </c>
      <c r="DF217" s="798">
        <f>+'Venture Summary - Mthly'!DF110</f>
        <v>0</v>
      </c>
      <c r="DG217" s="798">
        <f>+'Venture Summary - Mthly'!DG110</f>
        <v>0</v>
      </c>
      <c r="DH217" s="798">
        <f>+'Venture Summary - Mthly'!DH110</f>
        <v>0</v>
      </c>
      <c r="DI217" s="798">
        <f>+'Venture Summary - Mthly'!DI110</f>
        <v>0</v>
      </c>
      <c r="DJ217" s="798">
        <f>+'Venture Summary - Mthly'!DJ110</f>
        <v>0</v>
      </c>
      <c r="DK217" s="798">
        <f>+'Venture Summary - Mthly'!DK110</f>
        <v>0</v>
      </c>
      <c r="DL217" s="798">
        <f>+'Venture Summary - Mthly'!DL110</f>
        <v>0</v>
      </c>
      <c r="DM217" s="798">
        <f>+'Venture Summary - Mthly'!DM110</f>
        <v>0</v>
      </c>
      <c r="DN217" s="798">
        <f>+'Venture Summary - Mthly'!DN110</f>
        <v>0</v>
      </c>
      <c r="DO217" s="798">
        <f>+'Venture Summary - Mthly'!DO110</f>
        <v>0</v>
      </c>
      <c r="DP217" s="798">
        <f>+'Venture Summary - Mthly'!DP110</f>
        <v>0</v>
      </c>
      <c r="DQ217" s="798">
        <f>+'Venture Summary - Mthly'!DQ110</f>
        <v>0</v>
      </c>
      <c r="DR217" s="798">
        <f>+'Venture Summary - Mthly'!DR110</f>
        <v>0</v>
      </c>
      <c r="DS217" s="798">
        <f>+'Venture Summary - Mthly'!DS110</f>
        <v>0</v>
      </c>
      <c r="DT217" s="798">
        <f>+'Venture Summary - Mthly'!DT110</f>
        <v>0</v>
      </c>
      <c r="DU217" s="798">
        <f>+'Venture Summary - Mthly'!DU110</f>
        <v>0</v>
      </c>
      <c r="DV217" s="798"/>
      <c r="DW217" s="798"/>
      <c r="DX217" s="798"/>
      <c r="DY217" s="798"/>
      <c r="DZ217" s="798"/>
      <c r="EA217" s="798"/>
      <c r="EB217" s="798"/>
      <c r="EC217" s="798"/>
      <c r="ED217" s="798"/>
      <c r="EE217" s="798"/>
      <c r="EF217" s="798"/>
      <c r="EG217" s="798"/>
      <c r="EH217" s="782"/>
    </row>
    <row r="218" spans="1:138" ht="12.75" customHeight="1" x14ac:dyDescent="0.3">
      <c r="A218" s="782"/>
      <c r="B218" s="782" t="s">
        <v>134</v>
      </c>
      <c r="C218" s="798">
        <f>SUM('Venture Summary - Mthly'!E218:DU218)</f>
        <v>6868726.7816661661</v>
      </c>
      <c r="D218" s="782"/>
      <c r="E218" s="798">
        <f>+E217</f>
        <v>0</v>
      </c>
      <c r="F218" s="798">
        <f t="shared" ref="F218:BQ218" si="166">+F217</f>
        <v>0</v>
      </c>
      <c r="G218" s="798">
        <f t="shared" si="166"/>
        <v>0</v>
      </c>
      <c r="H218" s="798">
        <f t="shared" si="166"/>
        <v>0</v>
      </c>
      <c r="I218" s="798">
        <f t="shared" si="166"/>
        <v>0</v>
      </c>
      <c r="J218" s="798">
        <f t="shared" si="166"/>
        <v>0</v>
      </c>
      <c r="K218" s="798">
        <f t="shared" si="166"/>
        <v>0</v>
      </c>
      <c r="L218" s="798">
        <f t="shared" si="166"/>
        <v>0</v>
      </c>
      <c r="M218" s="798">
        <f t="shared" si="166"/>
        <v>0</v>
      </c>
      <c r="N218" s="798">
        <f t="shared" si="166"/>
        <v>0</v>
      </c>
      <c r="O218" s="798">
        <f t="shared" si="166"/>
        <v>0</v>
      </c>
      <c r="P218" s="798">
        <f t="shared" si="166"/>
        <v>0</v>
      </c>
      <c r="Q218" s="798">
        <f t="shared" si="166"/>
        <v>0</v>
      </c>
      <c r="R218" s="798">
        <f t="shared" si="166"/>
        <v>0</v>
      </c>
      <c r="S218" s="798">
        <f t="shared" si="166"/>
        <v>0</v>
      </c>
      <c r="T218" s="798">
        <f t="shared" si="166"/>
        <v>0</v>
      </c>
      <c r="U218" s="798">
        <f t="shared" si="166"/>
        <v>0</v>
      </c>
      <c r="V218" s="798">
        <f t="shared" si="166"/>
        <v>0</v>
      </c>
      <c r="W218" s="798">
        <f t="shared" si="166"/>
        <v>0</v>
      </c>
      <c r="X218" s="798">
        <f t="shared" si="166"/>
        <v>0</v>
      </c>
      <c r="Y218" s="798">
        <f t="shared" si="166"/>
        <v>0</v>
      </c>
      <c r="Z218" s="798">
        <f t="shared" si="166"/>
        <v>0</v>
      </c>
      <c r="AA218" s="798">
        <f t="shared" si="166"/>
        <v>0</v>
      </c>
      <c r="AB218" s="798">
        <f t="shared" si="166"/>
        <v>0</v>
      </c>
      <c r="AC218" s="798">
        <f t="shared" si="166"/>
        <v>0</v>
      </c>
      <c r="AD218" s="798">
        <f t="shared" si="166"/>
        <v>0</v>
      </c>
      <c r="AE218" s="798">
        <f t="shared" si="166"/>
        <v>0</v>
      </c>
      <c r="AF218" s="798">
        <f t="shared" si="166"/>
        <v>0</v>
      </c>
      <c r="AG218" s="798">
        <f t="shared" si="166"/>
        <v>0</v>
      </c>
      <c r="AH218" s="798">
        <f t="shared" si="166"/>
        <v>0</v>
      </c>
      <c r="AI218" s="798">
        <f t="shared" si="166"/>
        <v>0</v>
      </c>
      <c r="AJ218" s="798">
        <f t="shared" si="166"/>
        <v>0</v>
      </c>
      <c r="AK218" s="798">
        <f t="shared" si="166"/>
        <v>6868726.7816661661</v>
      </c>
      <c r="AL218" s="798">
        <f t="shared" si="166"/>
        <v>0</v>
      </c>
      <c r="AM218" s="798">
        <f t="shared" si="166"/>
        <v>0</v>
      </c>
      <c r="AN218" s="798">
        <f t="shared" si="166"/>
        <v>0</v>
      </c>
      <c r="AO218" s="798">
        <f t="shared" si="166"/>
        <v>0</v>
      </c>
      <c r="AP218" s="798">
        <f t="shared" si="166"/>
        <v>0</v>
      </c>
      <c r="AQ218" s="798">
        <f t="shared" si="166"/>
        <v>0</v>
      </c>
      <c r="AR218" s="798">
        <f t="shared" si="166"/>
        <v>0</v>
      </c>
      <c r="AS218" s="798">
        <f t="shared" si="166"/>
        <v>0</v>
      </c>
      <c r="AT218" s="798">
        <f t="shared" si="166"/>
        <v>0</v>
      </c>
      <c r="AU218" s="798">
        <f t="shared" si="166"/>
        <v>0</v>
      </c>
      <c r="AV218" s="798">
        <f t="shared" si="166"/>
        <v>0</v>
      </c>
      <c r="AW218" s="798">
        <f t="shared" si="166"/>
        <v>0</v>
      </c>
      <c r="AX218" s="798">
        <f t="shared" si="166"/>
        <v>0</v>
      </c>
      <c r="AY218" s="798">
        <f t="shared" si="166"/>
        <v>0</v>
      </c>
      <c r="AZ218" s="798">
        <f t="shared" si="166"/>
        <v>0</v>
      </c>
      <c r="BA218" s="798">
        <f t="shared" si="166"/>
        <v>0</v>
      </c>
      <c r="BB218" s="798">
        <f t="shared" si="166"/>
        <v>0</v>
      </c>
      <c r="BC218" s="798">
        <f t="shared" si="166"/>
        <v>0</v>
      </c>
      <c r="BD218" s="798">
        <f t="shared" si="166"/>
        <v>0</v>
      </c>
      <c r="BE218" s="798">
        <f t="shared" si="166"/>
        <v>0</v>
      </c>
      <c r="BF218" s="798">
        <f t="shared" si="166"/>
        <v>0</v>
      </c>
      <c r="BG218" s="798">
        <f t="shared" si="166"/>
        <v>0</v>
      </c>
      <c r="BH218" s="798">
        <f t="shared" si="166"/>
        <v>0</v>
      </c>
      <c r="BI218" s="798">
        <f t="shared" si="166"/>
        <v>0</v>
      </c>
      <c r="BJ218" s="798">
        <f t="shared" si="166"/>
        <v>0</v>
      </c>
      <c r="BK218" s="798">
        <f t="shared" si="166"/>
        <v>0</v>
      </c>
      <c r="BL218" s="798">
        <f t="shared" si="166"/>
        <v>0</v>
      </c>
      <c r="BM218" s="798">
        <f t="shared" si="166"/>
        <v>0</v>
      </c>
      <c r="BN218" s="798">
        <f t="shared" si="166"/>
        <v>0</v>
      </c>
      <c r="BO218" s="798">
        <f t="shared" si="166"/>
        <v>0</v>
      </c>
      <c r="BP218" s="798">
        <f t="shared" si="166"/>
        <v>0</v>
      </c>
      <c r="BQ218" s="798">
        <f t="shared" si="166"/>
        <v>0</v>
      </c>
      <c r="BR218" s="798">
        <f t="shared" ref="BR218:DU218" si="167">+BR217</f>
        <v>0</v>
      </c>
      <c r="BS218" s="798">
        <f t="shared" si="167"/>
        <v>0</v>
      </c>
      <c r="BT218" s="798">
        <f t="shared" si="167"/>
        <v>0</v>
      </c>
      <c r="BU218" s="798">
        <f t="shared" si="167"/>
        <v>0</v>
      </c>
      <c r="BV218" s="798">
        <f t="shared" si="167"/>
        <v>0</v>
      </c>
      <c r="BW218" s="798">
        <f t="shared" si="167"/>
        <v>0</v>
      </c>
      <c r="BX218" s="798">
        <f t="shared" si="167"/>
        <v>0</v>
      </c>
      <c r="BY218" s="798">
        <f t="shared" si="167"/>
        <v>0</v>
      </c>
      <c r="BZ218" s="798">
        <f t="shared" si="167"/>
        <v>0</v>
      </c>
      <c r="CA218" s="798">
        <f t="shared" si="167"/>
        <v>0</v>
      </c>
      <c r="CB218" s="798">
        <f t="shared" si="167"/>
        <v>0</v>
      </c>
      <c r="CC218" s="798">
        <f t="shared" si="167"/>
        <v>0</v>
      </c>
      <c r="CD218" s="798">
        <f t="shared" si="167"/>
        <v>0</v>
      </c>
      <c r="CE218" s="798">
        <f t="shared" si="167"/>
        <v>0</v>
      </c>
      <c r="CF218" s="798">
        <f t="shared" si="167"/>
        <v>0</v>
      </c>
      <c r="CG218" s="798">
        <f t="shared" si="167"/>
        <v>0</v>
      </c>
      <c r="CH218" s="798">
        <f t="shared" si="167"/>
        <v>0</v>
      </c>
      <c r="CI218" s="798">
        <f t="shared" si="167"/>
        <v>0</v>
      </c>
      <c r="CJ218" s="798">
        <f t="shared" si="167"/>
        <v>0</v>
      </c>
      <c r="CK218" s="798">
        <f t="shared" si="167"/>
        <v>0</v>
      </c>
      <c r="CL218" s="798">
        <f t="shared" si="167"/>
        <v>0</v>
      </c>
      <c r="CM218" s="798">
        <f t="shared" si="167"/>
        <v>0</v>
      </c>
      <c r="CN218" s="798">
        <f t="shared" si="167"/>
        <v>0</v>
      </c>
      <c r="CO218" s="798">
        <f t="shared" si="167"/>
        <v>0</v>
      </c>
      <c r="CP218" s="798">
        <f t="shared" si="167"/>
        <v>0</v>
      </c>
      <c r="CQ218" s="798">
        <f t="shared" si="167"/>
        <v>0</v>
      </c>
      <c r="CR218" s="798">
        <f t="shared" si="167"/>
        <v>0</v>
      </c>
      <c r="CS218" s="798">
        <f t="shared" si="167"/>
        <v>0</v>
      </c>
      <c r="CT218" s="798">
        <f t="shared" si="167"/>
        <v>0</v>
      </c>
      <c r="CU218" s="798">
        <f t="shared" si="167"/>
        <v>0</v>
      </c>
      <c r="CV218" s="798">
        <f t="shared" si="167"/>
        <v>0</v>
      </c>
      <c r="CW218" s="798">
        <f t="shared" si="167"/>
        <v>0</v>
      </c>
      <c r="CX218" s="798">
        <f t="shared" si="167"/>
        <v>0</v>
      </c>
      <c r="CY218" s="798">
        <f t="shared" si="167"/>
        <v>0</v>
      </c>
      <c r="CZ218" s="798">
        <f t="shared" si="167"/>
        <v>0</v>
      </c>
      <c r="DA218" s="798">
        <f t="shared" si="167"/>
        <v>0</v>
      </c>
      <c r="DB218" s="798">
        <f t="shared" si="167"/>
        <v>0</v>
      </c>
      <c r="DC218" s="798">
        <f t="shared" si="167"/>
        <v>0</v>
      </c>
      <c r="DD218" s="798">
        <f t="shared" si="167"/>
        <v>0</v>
      </c>
      <c r="DE218" s="798">
        <f t="shared" si="167"/>
        <v>0</v>
      </c>
      <c r="DF218" s="798">
        <f t="shared" si="167"/>
        <v>0</v>
      </c>
      <c r="DG218" s="798">
        <f t="shared" si="167"/>
        <v>0</v>
      </c>
      <c r="DH218" s="798">
        <f t="shared" si="167"/>
        <v>0</v>
      </c>
      <c r="DI218" s="798">
        <f t="shared" si="167"/>
        <v>0</v>
      </c>
      <c r="DJ218" s="798">
        <f t="shared" si="167"/>
        <v>0</v>
      </c>
      <c r="DK218" s="798">
        <f t="shared" si="167"/>
        <v>0</v>
      </c>
      <c r="DL218" s="798">
        <f t="shared" si="167"/>
        <v>0</v>
      </c>
      <c r="DM218" s="798">
        <f t="shared" si="167"/>
        <v>0</v>
      </c>
      <c r="DN218" s="798">
        <f t="shared" si="167"/>
        <v>0</v>
      </c>
      <c r="DO218" s="798">
        <f t="shared" si="167"/>
        <v>0</v>
      </c>
      <c r="DP218" s="798">
        <f t="shared" si="167"/>
        <v>0</v>
      </c>
      <c r="DQ218" s="798">
        <f t="shared" si="167"/>
        <v>0</v>
      </c>
      <c r="DR218" s="798">
        <f t="shared" si="167"/>
        <v>0</v>
      </c>
      <c r="DS218" s="798">
        <f t="shared" si="167"/>
        <v>0</v>
      </c>
      <c r="DT218" s="798">
        <f t="shared" si="167"/>
        <v>0</v>
      </c>
      <c r="DU218" s="798">
        <f t="shared" si="167"/>
        <v>0</v>
      </c>
      <c r="DV218" s="798"/>
      <c r="DW218" s="798"/>
      <c r="DX218" s="798"/>
      <c r="DY218" s="798"/>
      <c r="DZ218" s="798"/>
      <c r="EA218" s="798"/>
      <c r="EB218" s="798"/>
      <c r="EC218" s="798"/>
      <c r="ED218" s="798"/>
      <c r="EE218" s="798"/>
      <c r="EF218" s="798"/>
      <c r="EG218" s="798"/>
      <c r="EH218" s="782"/>
    </row>
    <row r="219" spans="1:138" ht="12.75" customHeight="1" x14ac:dyDescent="0.3">
      <c r="A219" s="782"/>
      <c r="B219" s="782"/>
      <c r="C219" s="782"/>
      <c r="D219" s="782"/>
      <c r="E219" s="782"/>
      <c r="F219" s="782"/>
      <c r="G219" s="782"/>
      <c r="H219" s="782"/>
      <c r="I219" s="782"/>
      <c r="J219" s="782"/>
      <c r="K219" s="782"/>
      <c r="L219" s="782"/>
      <c r="M219" s="782"/>
      <c r="N219" s="782"/>
      <c r="O219" s="782"/>
      <c r="P219" s="782"/>
      <c r="Q219" s="782"/>
      <c r="R219" s="782"/>
      <c r="S219" s="782"/>
      <c r="T219" s="782"/>
      <c r="U219" s="782"/>
      <c r="V219" s="782"/>
      <c r="W219" s="782"/>
      <c r="X219" s="782"/>
      <c r="Y219" s="782"/>
      <c r="Z219" s="782"/>
      <c r="AA219" s="782"/>
      <c r="AB219" s="782"/>
      <c r="AC219" s="782"/>
      <c r="AD219" s="782"/>
      <c r="AE219" s="782"/>
      <c r="AF219" s="782"/>
      <c r="AG219" s="782"/>
      <c r="AH219" s="782"/>
      <c r="AI219" s="782"/>
      <c r="AJ219" s="782"/>
      <c r="AK219" s="782"/>
      <c r="AL219" s="782"/>
      <c r="AM219" s="782"/>
      <c r="AN219" s="782"/>
      <c r="AO219" s="782"/>
      <c r="AP219" s="782"/>
      <c r="AQ219" s="782"/>
      <c r="AR219" s="782"/>
      <c r="AS219" s="782"/>
      <c r="AT219" s="782"/>
      <c r="AU219" s="782"/>
      <c r="AV219" s="782"/>
      <c r="AW219" s="782"/>
      <c r="AX219" s="782"/>
      <c r="AY219" s="782"/>
      <c r="AZ219" s="782"/>
      <c r="BA219" s="782"/>
      <c r="BB219" s="782"/>
      <c r="BC219" s="782"/>
      <c r="BD219" s="782"/>
      <c r="BE219" s="782"/>
      <c r="BF219" s="782"/>
      <c r="BG219" s="782"/>
      <c r="BH219" s="782"/>
      <c r="BI219" s="782"/>
      <c r="BJ219" s="782"/>
      <c r="BK219" s="782"/>
      <c r="BL219" s="782"/>
      <c r="BM219" s="782"/>
      <c r="BN219" s="782"/>
      <c r="BO219" s="782"/>
      <c r="BP219" s="782"/>
      <c r="BQ219" s="782"/>
      <c r="BR219" s="782"/>
      <c r="BS219" s="782"/>
      <c r="BT219" s="782"/>
      <c r="BU219" s="782"/>
      <c r="BV219" s="782"/>
      <c r="BW219" s="782"/>
      <c r="BX219" s="782"/>
      <c r="BY219" s="782"/>
      <c r="BZ219" s="782"/>
      <c r="CA219" s="782"/>
      <c r="CB219" s="782"/>
      <c r="CC219" s="782"/>
      <c r="CD219" s="782"/>
      <c r="CE219" s="782"/>
      <c r="CF219" s="782"/>
      <c r="CG219" s="782"/>
      <c r="CH219" s="782"/>
      <c r="CI219" s="782"/>
      <c r="CJ219" s="782"/>
      <c r="CK219" s="782"/>
      <c r="CL219" s="782"/>
      <c r="CM219" s="782"/>
      <c r="CN219" s="782"/>
      <c r="CO219" s="782"/>
      <c r="CP219" s="782"/>
      <c r="CQ219" s="782"/>
      <c r="CR219" s="782"/>
      <c r="CS219" s="782"/>
      <c r="CT219" s="782"/>
      <c r="CU219" s="782"/>
      <c r="CV219" s="782"/>
      <c r="CW219" s="782"/>
      <c r="CX219" s="782"/>
      <c r="CY219" s="782"/>
      <c r="CZ219" s="782"/>
      <c r="DA219" s="782"/>
      <c r="DB219" s="782"/>
      <c r="DC219" s="782"/>
      <c r="DD219" s="782"/>
      <c r="DE219" s="782"/>
      <c r="DF219" s="782"/>
      <c r="DG219" s="782"/>
      <c r="DH219" s="782"/>
      <c r="DI219" s="782"/>
      <c r="DJ219" s="782"/>
      <c r="DK219" s="782"/>
      <c r="DL219" s="782"/>
      <c r="DM219" s="782"/>
      <c r="DN219" s="782"/>
      <c r="DO219" s="782"/>
      <c r="DP219" s="782"/>
      <c r="DQ219" s="782"/>
      <c r="DR219" s="782"/>
      <c r="DS219" s="782"/>
      <c r="DT219" s="782"/>
      <c r="DU219" s="782"/>
      <c r="DV219" s="798"/>
      <c r="DW219" s="798"/>
      <c r="DX219" s="798"/>
      <c r="DY219" s="798"/>
      <c r="DZ219" s="798"/>
      <c r="EA219" s="798"/>
      <c r="EB219" s="798"/>
      <c r="EC219" s="798"/>
      <c r="ED219" s="798"/>
      <c r="EE219" s="798"/>
      <c r="EF219" s="798"/>
      <c r="EG219" s="798"/>
      <c r="EH219" s="782"/>
    </row>
    <row r="220" spans="1:138" ht="12.75" customHeight="1" x14ac:dyDescent="0.3">
      <c r="A220" s="782"/>
      <c r="B220" s="782" t="s">
        <v>329</v>
      </c>
      <c r="C220" s="798">
        <f>SUM('Venture Summary - Mthly'!E220:DU220)</f>
        <v>60916274.722085506</v>
      </c>
      <c r="D220" s="782"/>
      <c r="E220" s="798">
        <f>+'Venture Summary - Mthly'!E78</f>
        <v>0</v>
      </c>
      <c r="F220" s="798">
        <f>+'Venture Summary - Mthly'!F78</f>
        <v>0</v>
      </c>
      <c r="G220" s="798">
        <f>+'Venture Summary - Mthly'!G78</f>
        <v>0</v>
      </c>
      <c r="H220" s="798">
        <f>+'Venture Summary - Mthly'!H78</f>
        <v>0</v>
      </c>
      <c r="I220" s="798">
        <f>+'Venture Summary - Mthly'!I78</f>
        <v>0</v>
      </c>
      <c r="J220" s="798">
        <f>+'Venture Summary - Mthly'!J78</f>
        <v>0</v>
      </c>
      <c r="K220" s="798">
        <f>+'Venture Summary - Mthly'!K78</f>
        <v>0</v>
      </c>
      <c r="L220" s="798">
        <f>+'Venture Summary - Mthly'!L78</f>
        <v>0</v>
      </c>
      <c r="M220" s="798">
        <f>+'Venture Summary - Mthly'!M78</f>
        <v>0</v>
      </c>
      <c r="N220" s="798">
        <f>+'Venture Summary - Mthly'!N78</f>
        <v>0</v>
      </c>
      <c r="O220" s="798">
        <f>+'Venture Summary - Mthly'!O78</f>
        <v>0</v>
      </c>
      <c r="P220" s="798">
        <f>+'Venture Summary - Mthly'!P78</f>
        <v>0</v>
      </c>
      <c r="Q220" s="798">
        <f>+'Venture Summary - Mthly'!Q78</f>
        <v>0</v>
      </c>
      <c r="R220" s="798">
        <f>+'Venture Summary - Mthly'!R78</f>
        <v>0</v>
      </c>
      <c r="S220" s="798">
        <f>+'Venture Summary - Mthly'!S78</f>
        <v>0</v>
      </c>
      <c r="T220" s="798">
        <f>+'Venture Summary - Mthly'!T78</f>
        <v>0</v>
      </c>
      <c r="U220" s="798">
        <f>+'Venture Summary - Mthly'!U78</f>
        <v>0</v>
      </c>
      <c r="V220" s="798">
        <f>+'Venture Summary - Mthly'!V78</f>
        <v>0</v>
      </c>
      <c r="W220" s="798">
        <f>+'Venture Summary - Mthly'!W78</f>
        <v>0</v>
      </c>
      <c r="X220" s="798">
        <f>+'Venture Summary - Mthly'!X78</f>
        <v>0</v>
      </c>
      <c r="Y220" s="798">
        <f>+'Venture Summary - Mthly'!Y78</f>
        <v>0</v>
      </c>
      <c r="Z220" s="798">
        <f>+'Venture Summary - Mthly'!Z78</f>
        <v>0</v>
      </c>
      <c r="AA220" s="798">
        <f>+'Venture Summary - Mthly'!AA78</f>
        <v>0</v>
      </c>
      <c r="AB220" s="798">
        <f>+'Venture Summary - Mthly'!AB78</f>
        <v>0</v>
      </c>
      <c r="AC220" s="798">
        <f>+'Venture Summary - Mthly'!AC78</f>
        <v>0</v>
      </c>
      <c r="AD220" s="798">
        <f>+'Venture Summary - Mthly'!AD78</f>
        <v>0</v>
      </c>
      <c r="AE220" s="798">
        <f>+'Venture Summary - Mthly'!AE78</f>
        <v>0</v>
      </c>
      <c r="AF220" s="798">
        <f>+'Venture Summary - Mthly'!AF78</f>
        <v>0</v>
      </c>
      <c r="AG220" s="798">
        <f>+'Venture Summary - Mthly'!AG78</f>
        <v>0</v>
      </c>
      <c r="AH220" s="798">
        <f>+'Venture Summary - Mthly'!AH78</f>
        <v>0</v>
      </c>
      <c r="AI220" s="798">
        <f>+'Venture Summary - Mthly'!AI78</f>
        <v>0</v>
      </c>
      <c r="AJ220" s="798">
        <f>+'Venture Summary - Mthly'!AJ78</f>
        <v>0</v>
      </c>
      <c r="AK220" s="798">
        <f>+'Venture Summary - Mthly'!AK78</f>
        <v>60916274.722085506</v>
      </c>
      <c r="AL220" s="798">
        <f>+'Venture Summary - Mthly'!AL78</f>
        <v>0</v>
      </c>
      <c r="AM220" s="798">
        <f>+'Venture Summary - Mthly'!AM78</f>
        <v>0</v>
      </c>
      <c r="AN220" s="798">
        <f>+'Venture Summary - Mthly'!AN78</f>
        <v>0</v>
      </c>
      <c r="AO220" s="798">
        <f>+'Venture Summary - Mthly'!AO78</f>
        <v>0</v>
      </c>
      <c r="AP220" s="798">
        <f>+'Venture Summary - Mthly'!AP78</f>
        <v>0</v>
      </c>
      <c r="AQ220" s="798">
        <f>+'Venture Summary - Mthly'!AQ78</f>
        <v>0</v>
      </c>
      <c r="AR220" s="798">
        <f>+'Venture Summary - Mthly'!AR78</f>
        <v>0</v>
      </c>
      <c r="AS220" s="798">
        <f>+'Venture Summary - Mthly'!AS78</f>
        <v>0</v>
      </c>
      <c r="AT220" s="798">
        <f>+'Venture Summary - Mthly'!AT78</f>
        <v>0</v>
      </c>
      <c r="AU220" s="798">
        <f>+'Venture Summary - Mthly'!AU78</f>
        <v>0</v>
      </c>
      <c r="AV220" s="798">
        <f>+'Venture Summary - Mthly'!AV78</f>
        <v>0</v>
      </c>
      <c r="AW220" s="798">
        <f>+'Venture Summary - Mthly'!AW78</f>
        <v>0</v>
      </c>
      <c r="AX220" s="798">
        <f>+'Venture Summary - Mthly'!AX78</f>
        <v>0</v>
      </c>
      <c r="AY220" s="798">
        <f>+'Venture Summary - Mthly'!AY78</f>
        <v>0</v>
      </c>
      <c r="AZ220" s="798">
        <f>+'Venture Summary - Mthly'!AZ78</f>
        <v>0</v>
      </c>
      <c r="BA220" s="798">
        <f>+'Venture Summary - Mthly'!BA78</f>
        <v>0</v>
      </c>
      <c r="BB220" s="798">
        <f>+'Venture Summary - Mthly'!BB78</f>
        <v>0</v>
      </c>
      <c r="BC220" s="798">
        <f>+'Venture Summary - Mthly'!BC78</f>
        <v>0</v>
      </c>
      <c r="BD220" s="798">
        <f>+'Venture Summary - Mthly'!BD78</f>
        <v>0</v>
      </c>
      <c r="BE220" s="798">
        <f>+'Venture Summary - Mthly'!BE78</f>
        <v>0</v>
      </c>
      <c r="BF220" s="798">
        <f>+'Venture Summary - Mthly'!BF78</f>
        <v>0</v>
      </c>
      <c r="BG220" s="798">
        <f>+'Venture Summary - Mthly'!BG78</f>
        <v>0</v>
      </c>
      <c r="BH220" s="798">
        <f>+'Venture Summary - Mthly'!BH78</f>
        <v>0</v>
      </c>
      <c r="BI220" s="798">
        <f>+'Venture Summary - Mthly'!BI78</f>
        <v>0</v>
      </c>
      <c r="BJ220" s="798">
        <f>+'Venture Summary - Mthly'!BJ78</f>
        <v>0</v>
      </c>
      <c r="BK220" s="798">
        <f>+'Venture Summary - Mthly'!BK78</f>
        <v>0</v>
      </c>
      <c r="BL220" s="798">
        <f>+'Venture Summary - Mthly'!BL78</f>
        <v>0</v>
      </c>
      <c r="BM220" s="798">
        <f>+'Venture Summary - Mthly'!BM78</f>
        <v>0</v>
      </c>
      <c r="BN220" s="798">
        <f>+'Venture Summary - Mthly'!BN78</f>
        <v>0</v>
      </c>
      <c r="BO220" s="798">
        <f>+'Venture Summary - Mthly'!BO78</f>
        <v>0</v>
      </c>
      <c r="BP220" s="798">
        <f>+'Venture Summary - Mthly'!BP78</f>
        <v>0</v>
      </c>
      <c r="BQ220" s="798">
        <f>+'Venture Summary - Mthly'!BQ78</f>
        <v>0</v>
      </c>
      <c r="BR220" s="798">
        <f>+'Venture Summary - Mthly'!BR78</f>
        <v>0</v>
      </c>
      <c r="BS220" s="798">
        <f>+'Venture Summary - Mthly'!BS78</f>
        <v>0</v>
      </c>
      <c r="BT220" s="798">
        <f>+'Venture Summary - Mthly'!BT78</f>
        <v>0</v>
      </c>
      <c r="BU220" s="798">
        <f>+'Venture Summary - Mthly'!BU78</f>
        <v>0</v>
      </c>
      <c r="BV220" s="798">
        <f>+'Venture Summary - Mthly'!BV78</f>
        <v>0</v>
      </c>
      <c r="BW220" s="798">
        <f>+'Venture Summary - Mthly'!BW78</f>
        <v>0</v>
      </c>
      <c r="BX220" s="798">
        <f>+'Venture Summary - Mthly'!BX78</f>
        <v>0</v>
      </c>
      <c r="BY220" s="798">
        <f>+'Venture Summary - Mthly'!BY78</f>
        <v>0</v>
      </c>
      <c r="BZ220" s="798">
        <f>+'Venture Summary - Mthly'!BZ78</f>
        <v>0</v>
      </c>
      <c r="CA220" s="798">
        <f>+'Venture Summary - Mthly'!CA78</f>
        <v>0</v>
      </c>
      <c r="CB220" s="798">
        <f>+'Venture Summary - Mthly'!CB78</f>
        <v>0</v>
      </c>
      <c r="CC220" s="798">
        <f>+'Venture Summary - Mthly'!CC78</f>
        <v>0</v>
      </c>
      <c r="CD220" s="798">
        <f>+'Venture Summary - Mthly'!CD78</f>
        <v>0</v>
      </c>
      <c r="CE220" s="798">
        <f>+'Venture Summary - Mthly'!CE78</f>
        <v>0</v>
      </c>
      <c r="CF220" s="798">
        <f>+'Venture Summary - Mthly'!CF78</f>
        <v>0</v>
      </c>
      <c r="CG220" s="798">
        <f>+'Venture Summary - Mthly'!CG78</f>
        <v>0</v>
      </c>
      <c r="CH220" s="798">
        <f>+'Venture Summary - Mthly'!CH78</f>
        <v>0</v>
      </c>
      <c r="CI220" s="798">
        <f>+'Venture Summary - Mthly'!CI78</f>
        <v>0</v>
      </c>
      <c r="CJ220" s="798">
        <f>+'Venture Summary - Mthly'!CJ78</f>
        <v>0</v>
      </c>
      <c r="CK220" s="798">
        <f>+'Venture Summary - Mthly'!CK78</f>
        <v>0</v>
      </c>
      <c r="CL220" s="798">
        <f>+'Venture Summary - Mthly'!CL78</f>
        <v>0</v>
      </c>
      <c r="CM220" s="798">
        <f>+'Venture Summary - Mthly'!CM78</f>
        <v>0</v>
      </c>
      <c r="CN220" s="798">
        <f>+'Venture Summary - Mthly'!CN78</f>
        <v>0</v>
      </c>
      <c r="CO220" s="798">
        <f>+'Venture Summary - Mthly'!CO78</f>
        <v>0</v>
      </c>
      <c r="CP220" s="798">
        <f>+'Venture Summary - Mthly'!CP78</f>
        <v>0</v>
      </c>
      <c r="CQ220" s="798">
        <f>+'Venture Summary - Mthly'!CQ78</f>
        <v>0</v>
      </c>
      <c r="CR220" s="798">
        <f>+'Venture Summary - Mthly'!CR78</f>
        <v>0</v>
      </c>
      <c r="CS220" s="798">
        <f>+'Venture Summary - Mthly'!CS78</f>
        <v>0</v>
      </c>
      <c r="CT220" s="798">
        <f>+'Venture Summary - Mthly'!CT78</f>
        <v>0</v>
      </c>
      <c r="CU220" s="798">
        <f>+'Venture Summary - Mthly'!CU78</f>
        <v>0</v>
      </c>
      <c r="CV220" s="798">
        <f>+'Venture Summary - Mthly'!CV78</f>
        <v>0</v>
      </c>
      <c r="CW220" s="798">
        <f>+'Venture Summary - Mthly'!CW78</f>
        <v>0</v>
      </c>
      <c r="CX220" s="798">
        <f>+'Venture Summary - Mthly'!CX78</f>
        <v>0</v>
      </c>
      <c r="CY220" s="798">
        <f>+'Venture Summary - Mthly'!CY78</f>
        <v>0</v>
      </c>
      <c r="CZ220" s="798">
        <f>+'Venture Summary - Mthly'!CZ78</f>
        <v>0</v>
      </c>
      <c r="DA220" s="798">
        <f>+'Venture Summary - Mthly'!DA78</f>
        <v>0</v>
      </c>
      <c r="DB220" s="798">
        <f>+'Venture Summary - Mthly'!DB78</f>
        <v>0</v>
      </c>
      <c r="DC220" s="798">
        <f>+'Venture Summary - Mthly'!DC78</f>
        <v>0</v>
      </c>
      <c r="DD220" s="798">
        <f>+'Venture Summary - Mthly'!DD78</f>
        <v>0</v>
      </c>
      <c r="DE220" s="798">
        <f>+'Venture Summary - Mthly'!DE78</f>
        <v>0</v>
      </c>
      <c r="DF220" s="798">
        <f>+'Venture Summary - Mthly'!DF78</f>
        <v>0</v>
      </c>
      <c r="DG220" s="798">
        <f>+'Venture Summary - Mthly'!DG78</f>
        <v>0</v>
      </c>
      <c r="DH220" s="798">
        <f>+'Venture Summary - Mthly'!DH78</f>
        <v>0</v>
      </c>
      <c r="DI220" s="798">
        <f>+'Venture Summary - Mthly'!DI78</f>
        <v>0</v>
      </c>
      <c r="DJ220" s="798">
        <f>+'Venture Summary - Mthly'!DJ78</f>
        <v>0</v>
      </c>
      <c r="DK220" s="798">
        <f>+'Venture Summary - Mthly'!DK78</f>
        <v>0</v>
      </c>
      <c r="DL220" s="798">
        <f>+'Venture Summary - Mthly'!DL78</f>
        <v>0</v>
      </c>
      <c r="DM220" s="798">
        <f>+'Venture Summary - Mthly'!DM78</f>
        <v>0</v>
      </c>
      <c r="DN220" s="798">
        <f>+'Venture Summary - Mthly'!DN78</f>
        <v>0</v>
      </c>
      <c r="DO220" s="798">
        <f>+'Venture Summary - Mthly'!DO78</f>
        <v>0</v>
      </c>
      <c r="DP220" s="798">
        <f>+'Venture Summary - Mthly'!DP78</f>
        <v>0</v>
      </c>
      <c r="DQ220" s="798">
        <f>+'Venture Summary - Mthly'!DQ78</f>
        <v>0</v>
      </c>
      <c r="DR220" s="798">
        <f>+'Venture Summary - Mthly'!DR78</f>
        <v>0</v>
      </c>
      <c r="DS220" s="798">
        <f>+'Venture Summary - Mthly'!DS78</f>
        <v>0</v>
      </c>
      <c r="DT220" s="798">
        <f>+'Venture Summary - Mthly'!DT78</f>
        <v>0</v>
      </c>
      <c r="DU220" s="798">
        <f>+'Venture Summary - Mthly'!DU78</f>
        <v>0</v>
      </c>
      <c r="DV220" s="798"/>
      <c r="DW220" s="798"/>
      <c r="DX220" s="798"/>
      <c r="DY220" s="798"/>
      <c r="DZ220" s="798"/>
      <c r="EA220" s="798"/>
      <c r="EB220" s="798"/>
      <c r="EC220" s="798"/>
      <c r="ED220" s="798"/>
      <c r="EE220" s="798"/>
      <c r="EF220" s="798"/>
      <c r="EG220" s="798"/>
      <c r="EH220" s="782"/>
    </row>
    <row r="221" spans="1:138" ht="12.75" customHeight="1" x14ac:dyDescent="0.3">
      <c r="A221" s="782"/>
      <c r="B221" s="782" t="s">
        <v>330</v>
      </c>
      <c r="C221" s="798">
        <f>SUM('Venture Summary - Mthly'!E221:DU221)</f>
        <v>18389661.957294382</v>
      </c>
      <c r="D221" s="782"/>
      <c r="E221" s="798">
        <f>E220-E217-SUM($E216:E216)*(E$4=$C$210)</f>
        <v>0</v>
      </c>
      <c r="F221" s="798">
        <f>F220-F217-SUM($E216:F216)*(F$4=$C$210)</f>
        <v>0</v>
      </c>
      <c r="G221" s="798">
        <f>G220-G217-SUM($E216:G216)*(G$4=$C$210)</f>
        <v>0</v>
      </c>
      <c r="H221" s="798">
        <f>H220-H217-SUM($E216:H216)*(H$4=$C$210)</f>
        <v>0</v>
      </c>
      <c r="I221" s="798">
        <f>I220-I217-SUM($E216:I216)*(I$4=$C$210)</f>
        <v>0</v>
      </c>
      <c r="J221" s="798">
        <f>J220-J217-SUM($E216:J216)*(J$4=$C$210)</f>
        <v>0</v>
      </c>
      <c r="K221" s="798">
        <f>K220-K217-SUM($E216:K216)*(K$4=$C$210)</f>
        <v>0</v>
      </c>
      <c r="L221" s="798">
        <f>L220-L217-SUM($E216:L216)*(L$4=$C$210)</f>
        <v>0</v>
      </c>
      <c r="M221" s="798">
        <f>M220-M217-SUM($E216:M216)*(M$4=$C$210)</f>
        <v>0</v>
      </c>
      <c r="N221" s="798">
        <f>N220-N217-SUM($E216:N216)*(N$4=$C$210)</f>
        <v>0</v>
      </c>
      <c r="O221" s="798">
        <f>O220-O217-SUM($E216:O216)*(O$4=$C$210)</f>
        <v>0</v>
      </c>
      <c r="P221" s="798">
        <f>P220-P217-SUM($E216:P216)*(P$4=$C$210)</f>
        <v>0</v>
      </c>
      <c r="Q221" s="798">
        <f>Q220-Q217-SUM($E216:Q216)*(Q$4=$C$210)</f>
        <v>0</v>
      </c>
      <c r="R221" s="798">
        <f>R220-R217-SUM($E216:R216)*(R$4=$C$210)</f>
        <v>0</v>
      </c>
      <c r="S221" s="798">
        <f>S220-S217-SUM($E216:S216)*(S$4=$C$210)</f>
        <v>0</v>
      </c>
      <c r="T221" s="798">
        <f>T220-T217-SUM($E216:T216)*(T$4=$C$210)</f>
        <v>0</v>
      </c>
      <c r="U221" s="798">
        <f>U220-U217-SUM($E216:U216)*(U$4=$C$210)</f>
        <v>0</v>
      </c>
      <c r="V221" s="798">
        <f>V220-V217-SUM($E216:V216)*(V$4=$C$210)</f>
        <v>0</v>
      </c>
      <c r="W221" s="798">
        <f>W220-W217-SUM($E216:W216)*(W$4=$C$210)</f>
        <v>0</v>
      </c>
      <c r="X221" s="798">
        <f>X220-X217-SUM($E216:X216)*(X$4=$C$210)</f>
        <v>0</v>
      </c>
      <c r="Y221" s="798">
        <f>Y220-Y217-SUM($E216:Y216)*(Y$4=$C$210)</f>
        <v>0</v>
      </c>
      <c r="Z221" s="798">
        <f>Z220-Z217-SUM($E216:Z216)*(Z$4=$C$210)</f>
        <v>0</v>
      </c>
      <c r="AA221" s="798">
        <f>AA220-AA217-SUM($E216:AA216)*(AA$4=$C$210)</f>
        <v>0</v>
      </c>
      <c r="AB221" s="798">
        <f>AB220-AB217-SUM($E216:AB216)*(AB$4=$C$210)</f>
        <v>0</v>
      </c>
      <c r="AC221" s="798">
        <f>AC220-AC217-SUM($E216:AC216)*(AC$4=$C$210)</f>
        <v>0</v>
      </c>
      <c r="AD221" s="798">
        <f>AD220-AD217-SUM($E216:AD216)*(AD$4=$C$210)</f>
        <v>0</v>
      </c>
      <c r="AE221" s="798">
        <f>AE220-AE217-SUM($E216:AE216)*(AE$4=$C$210)</f>
        <v>0</v>
      </c>
      <c r="AF221" s="798">
        <f>AF220-AF217-SUM($E216:AF216)*(AF$4=$C$210)</f>
        <v>0</v>
      </c>
      <c r="AG221" s="798">
        <f>AG220-AG217-SUM($E216:AG216)*(AG$4=$C$210)</f>
        <v>0</v>
      </c>
      <c r="AH221" s="798">
        <f>AH220-AH217-SUM($E216:AH216)*(AH$4=$C$210)</f>
        <v>0</v>
      </c>
      <c r="AI221" s="798">
        <f>AI220-AI217-SUM($E216:AI216)*(AI$4=$C$210)</f>
        <v>0</v>
      </c>
      <c r="AJ221" s="798">
        <f>AJ220-AJ217-SUM($E216:AJ216)*(AJ$4=$C$210)</f>
        <v>0</v>
      </c>
      <c r="AK221" s="798">
        <f>AK220-AK217-SUM($E216:AK216)*(AK$4=$C$210)</f>
        <v>18389661.957294382</v>
      </c>
      <c r="AL221" s="798">
        <f>AL220-AL217-SUM($E216:AL216)*(AL$4=$C$210)</f>
        <v>0</v>
      </c>
      <c r="AM221" s="798">
        <f>AM220-AM217-SUM($E216:AM216)*(AM$4=$C$210)</f>
        <v>0</v>
      </c>
      <c r="AN221" s="798">
        <f>AN220-AN217-SUM($E216:AN216)*(AN$4=$C$210)</f>
        <v>0</v>
      </c>
      <c r="AO221" s="798">
        <f>AO220-AO217-SUM($E216:AO216)*(AO$4=$C$210)</f>
        <v>0</v>
      </c>
      <c r="AP221" s="798">
        <f>AP220-AP217-SUM($E216:AP216)*(AP$4=$C$210)</f>
        <v>0</v>
      </c>
      <c r="AQ221" s="798">
        <f>AQ220-AQ217-SUM($E216:AQ216)*(AQ$4=$C$210)</f>
        <v>0</v>
      </c>
      <c r="AR221" s="798">
        <f>AR220-AR217-SUM($E216:AR216)*(AR$4=$C$210)</f>
        <v>0</v>
      </c>
      <c r="AS221" s="798">
        <f>AS220-AS217-SUM($E216:AS216)*(AS$4=$C$210)</f>
        <v>0</v>
      </c>
      <c r="AT221" s="798">
        <f>AT220-AT217-SUM($E216:AT216)*(AT$4=$C$210)</f>
        <v>0</v>
      </c>
      <c r="AU221" s="798">
        <f>AU220-AU217-SUM($E216:AU216)*(AU$4=$C$210)</f>
        <v>0</v>
      </c>
      <c r="AV221" s="798">
        <f>AV220-AV217-SUM($E216:AV216)*(AV$4=$C$210)</f>
        <v>0</v>
      </c>
      <c r="AW221" s="798">
        <f>AW220-AW217-SUM($E216:AW216)*(AW$4=$C$210)</f>
        <v>0</v>
      </c>
      <c r="AX221" s="798">
        <f>AX220-AX217-SUM($E216:AX216)*(AX$4=$C$210)</f>
        <v>0</v>
      </c>
      <c r="AY221" s="798">
        <f>AY220-AY217-SUM($E216:AY216)*(AY$4=$C$210)</f>
        <v>0</v>
      </c>
      <c r="AZ221" s="798">
        <f>AZ220-AZ217-SUM($E216:AZ216)*(AZ$4=$C$210)</f>
        <v>0</v>
      </c>
      <c r="BA221" s="798">
        <f>BA220-BA217-SUM($E216:BA216)*(BA$4=$C$210)</f>
        <v>0</v>
      </c>
      <c r="BB221" s="798">
        <f>BB220-BB217-SUM($E216:BB216)*(BB$4=$C$210)</f>
        <v>0</v>
      </c>
      <c r="BC221" s="798">
        <f>BC220-BC217-SUM($E216:BC216)*(BC$4=$C$210)</f>
        <v>0</v>
      </c>
      <c r="BD221" s="798">
        <f>BD220-BD217-SUM($E216:BD216)*(BD$4=$C$210)</f>
        <v>0</v>
      </c>
      <c r="BE221" s="798">
        <f>BE220-BE217-SUM($E216:BE216)*(BE$4=$C$210)</f>
        <v>0</v>
      </c>
      <c r="BF221" s="798">
        <f>BF220-BF217-SUM($E216:BF216)*(BF$4=$C$210)</f>
        <v>0</v>
      </c>
      <c r="BG221" s="798">
        <f>BG220-BG217-SUM($E216:BG216)*(BG$4=$C$210)</f>
        <v>0</v>
      </c>
      <c r="BH221" s="798">
        <f>BH220-BH217-SUM($E216:BH216)*(BH$4=$C$210)</f>
        <v>0</v>
      </c>
      <c r="BI221" s="798">
        <f>BI220-BI217-SUM($E216:BI216)*(BI$4=$C$210)</f>
        <v>0</v>
      </c>
      <c r="BJ221" s="798">
        <f>BJ220-BJ217-SUM($E216:BJ216)*(BJ$4=$C$210)</f>
        <v>0</v>
      </c>
      <c r="BK221" s="798">
        <f>BK220-BK217-SUM($E216:BK216)*(BK$4=$C$210)</f>
        <v>0</v>
      </c>
      <c r="BL221" s="798">
        <f>BL220-BL217-SUM($E216:BL216)*(BL$4=$C$210)</f>
        <v>0</v>
      </c>
      <c r="BM221" s="798">
        <f>BM220-BM217-SUM($E216:BM216)*(BM$4=$C$210)</f>
        <v>0</v>
      </c>
      <c r="BN221" s="798">
        <f>BN220-BN217-SUM($E216:BN216)*(BN$4=$C$210)</f>
        <v>0</v>
      </c>
      <c r="BO221" s="798">
        <f>BO220-BO217-SUM($E216:BO216)*(BO$4=$C$210)</f>
        <v>0</v>
      </c>
      <c r="BP221" s="798">
        <f>BP220-BP217-SUM($E216:BP216)*(BP$4=$C$210)</f>
        <v>0</v>
      </c>
      <c r="BQ221" s="798">
        <f>BQ220-BQ217-SUM($E216:BQ216)*(BQ$4=$C$210)</f>
        <v>0</v>
      </c>
      <c r="BR221" s="798">
        <f>BR220-BR217-SUM($E216:BR216)*(BR$4=$C$210)</f>
        <v>0</v>
      </c>
      <c r="BS221" s="798">
        <f>BS220-BS217-SUM($E216:BS216)*(BS$4=$C$210)</f>
        <v>0</v>
      </c>
      <c r="BT221" s="798">
        <f>BT220-BT217-SUM($E216:BT216)*(BT$4=$C$210)</f>
        <v>0</v>
      </c>
      <c r="BU221" s="798">
        <f>BU220-BU217-SUM($E216:BU216)*(BU$4=$C$210)</f>
        <v>0</v>
      </c>
      <c r="BV221" s="798">
        <f>BV220-BV217-SUM($E216:BV216)*(BV$4=$C$210)</f>
        <v>0</v>
      </c>
      <c r="BW221" s="798">
        <f>BW220-BW217-SUM($E216:BW216)*(BW$4=$C$210)</f>
        <v>0</v>
      </c>
      <c r="BX221" s="798">
        <f>BX220-BX217-SUM($E216:BX216)*(BX$4=$C$210)</f>
        <v>0</v>
      </c>
      <c r="BY221" s="798">
        <f>BY220-BY217-SUM($E216:BY216)*(BY$4=$C$210)</f>
        <v>0</v>
      </c>
      <c r="BZ221" s="798">
        <f>BZ220-BZ217-SUM($E216:BZ216)*(BZ$4=$C$210)</f>
        <v>0</v>
      </c>
      <c r="CA221" s="798">
        <f>CA220-CA217-SUM($E216:CA216)*(CA$4=$C$210)</f>
        <v>0</v>
      </c>
      <c r="CB221" s="798">
        <f>CB220-CB217-SUM($E216:CB216)*(CB$4=$C$210)</f>
        <v>0</v>
      </c>
      <c r="CC221" s="798">
        <f>CC220-CC217-SUM($E216:CC216)*(CC$4=$C$210)</f>
        <v>0</v>
      </c>
      <c r="CD221" s="798">
        <f>CD220-CD217-SUM($E216:CD216)*(CD$4=$C$210)</f>
        <v>0</v>
      </c>
      <c r="CE221" s="798">
        <f>CE220-CE217-SUM($E216:CE216)*(CE$4=$C$210)</f>
        <v>0</v>
      </c>
      <c r="CF221" s="798">
        <f>CF220-CF217-SUM($E216:CF216)*(CF$4=$C$210)</f>
        <v>0</v>
      </c>
      <c r="CG221" s="798">
        <f>CG220-CG217-SUM($E216:CG216)*(CG$4=$C$210)</f>
        <v>0</v>
      </c>
      <c r="CH221" s="798">
        <f>CH220-CH217-SUM($E216:CH216)*(CH$4=$C$210)</f>
        <v>0</v>
      </c>
      <c r="CI221" s="798">
        <f>CI220-CI217-SUM($E216:CI216)*(CI$4=$C$210)</f>
        <v>0</v>
      </c>
      <c r="CJ221" s="798">
        <f>CJ220-CJ217-SUM($E216:CJ216)*(CJ$4=$C$210)</f>
        <v>0</v>
      </c>
      <c r="CK221" s="798">
        <f>CK220-CK217-SUM($E216:CK216)*(CK$4=$C$210)</f>
        <v>0</v>
      </c>
      <c r="CL221" s="798">
        <f>CL220-CL217-SUM($E216:CL216)*(CL$4=$C$210)</f>
        <v>0</v>
      </c>
      <c r="CM221" s="798">
        <f>CM220-CM217-SUM($E216:CM216)*(CM$4=$C$210)</f>
        <v>0</v>
      </c>
      <c r="CN221" s="798">
        <f>CN220-CN217-SUM($E216:CN216)*(CN$4=$C$210)</f>
        <v>0</v>
      </c>
      <c r="CO221" s="798">
        <f>CO220-CO217-SUM($E216:CO216)*(CO$4=$C$210)</f>
        <v>0</v>
      </c>
      <c r="CP221" s="798">
        <f>CP220-CP217-SUM($E216:CP216)*(CP$4=$C$210)</f>
        <v>0</v>
      </c>
      <c r="CQ221" s="798">
        <f>CQ220-CQ217-SUM($E216:CQ216)*(CQ$4=$C$210)</f>
        <v>0</v>
      </c>
      <c r="CR221" s="798">
        <f>CR220-CR217-SUM($E216:CR216)*(CR$4=$C$210)</f>
        <v>0</v>
      </c>
      <c r="CS221" s="798">
        <f>CS220-CS217-SUM($E216:CS216)*(CS$4=$C$210)</f>
        <v>0</v>
      </c>
      <c r="CT221" s="798">
        <f>CT220-CT217-SUM($E216:CT216)*(CT$4=$C$210)</f>
        <v>0</v>
      </c>
      <c r="CU221" s="798">
        <f>CU220-CU217-SUM($E216:CU216)*(CU$4=$C$210)</f>
        <v>0</v>
      </c>
      <c r="CV221" s="798">
        <f>CV220-CV217-SUM($E216:CV216)*(CV$4=$C$210)</f>
        <v>0</v>
      </c>
      <c r="CW221" s="798">
        <f>CW220-CW217-SUM($E216:CW216)*(CW$4=$C$210)</f>
        <v>0</v>
      </c>
      <c r="CX221" s="798">
        <f>CX220-CX217-SUM($E216:CX216)*(CX$4=$C$210)</f>
        <v>0</v>
      </c>
      <c r="CY221" s="798">
        <f>CY220-CY217-SUM($E216:CY216)*(CY$4=$C$210)</f>
        <v>0</v>
      </c>
      <c r="CZ221" s="798">
        <f>CZ220-CZ217-SUM($E216:CZ216)*(CZ$4=$C$210)</f>
        <v>0</v>
      </c>
      <c r="DA221" s="798">
        <f>DA220-DA217-SUM($E216:DA216)*(DA$4=$C$210)</f>
        <v>0</v>
      </c>
      <c r="DB221" s="798">
        <f>DB220-DB217-SUM($E216:DB216)*(DB$4=$C$210)</f>
        <v>0</v>
      </c>
      <c r="DC221" s="798">
        <f>DC220-DC217-SUM($E216:DC216)*(DC$4=$C$210)</f>
        <v>0</v>
      </c>
      <c r="DD221" s="798">
        <f>DD220-DD217-SUM($E216:DD216)*(DD$4=$C$210)</f>
        <v>0</v>
      </c>
      <c r="DE221" s="798">
        <f>DE220-DE217-SUM($E216:DE216)*(DE$4=$C$210)</f>
        <v>0</v>
      </c>
      <c r="DF221" s="798">
        <f>DF220-DF217-SUM($E216:DF216)*(DF$4=$C$210)</f>
        <v>0</v>
      </c>
      <c r="DG221" s="798">
        <f>DG220-DG217-SUM($E216:DG216)*(DG$4=$C$210)</f>
        <v>0</v>
      </c>
      <c r="DH221" s="798">
        <f>DH220-DH217-SUM($E216:DH216)*(DH$4=$C$210)</f>
        <v>0</v>
      </c>
      <c r="DI221" s="798">
        <f>DI220-DI217-SUM($E216:DI216)*(DI$4=$C$210)</f>
        <v>0</v>
      </c>
      <c r="DJ221" s="798">
        <f>DJ220-DJ217-SUM($E216:DJ216)*(DJ$4=$C$210)</f>
        <v>0</v>
      </c>
      <c r="DK221" s="798">
        <f>DK220-DK217-SUM($E216:DK216)*(DK$4=$C$210)</f>
        <v>0</v>
      </c>
      <c r="DL221" s="798">
        <f>DL220-DL217-SUM($E216:DL216)*(DL$4=$C$210)</f>
        <v>0</v>
      </c>
      <c r="DM221" s="798">
        <f>DM220-DM217-SUM($E216:DM216)*(DM$4=$C$210)</f>
        <v>0</v>
      </c>
      <c r="DN221" s="798">
        <f>DN220-DN217-SUM($E216:DN216)*(DN$4=$C$210)</f>
        <v>0</v>
      </c>
      <c r="DO221" s="798">
        <f>DO220-DO217-SUM($E216:DO216)*(DO$4=$C$210)</f>
        <v>0</v>
      </c>
      <c r="DP221" s="798">
        <f>DP220-DP217-SUM($E216:DP216)*(DP$4=$C$210)</f>
        <v>0</v>
      </c>
      <c r="DQ221" s="798">
        <f>DQ220-DQ217-SUM($E216:DQ216)*(DQ$4=$C$210)</f>
        <v>0</v>
      </c>
      <c r="DR221" s="798">
        <f>DR220-DR217-SUM($E216:DR216)*(DR$4=$C$210)</f>
        <v>0</v>
      </c>
      <c r="DS221" s="798">
        <f>DS220-DS217-SUM($E216:DS216)*(DS$4=$C$210)</f>
        <v>0</v>
      </c>
      <c r="DT221" s="798">
        <f>DT220-DT217-SUM($E216:DT216)*(DT$4=$C$210)</f>
        <v>0</v>
      </c>
      <c r="DU221" s="798">
        <f>DU220-DU217-SUM($E216:DU216)*(DU$4=$C$210)</f>
        <v>0</v>
      </c>
      <c r="DV221" s="798"/>
      <c r="DW221" s="798"/>
      <c r="DX221" s="798"/>
      <c r="DY221" s="798"/>
      <c r="DZ221" s="798"/>
      <c r="EA221" s="798"/>
      <c r="EB221" s="798"/>
      <c r="EC221" s="798"/>
      <c r="ED221" s="798"/>
      <c r="EE221" s="798"/>
      <c r="EF221" s="798"/>
      <c r="EG221" s="798"/>
      <c r="EH221" s="782"/>
    </row>
    <row r="222" spans="1:138" ht="12.75" customHeight="1" x14ac:dyDescent="0.3">
      <c r="A222" s="782"/>
      <c r="B222" s="782"/>
      <c r="C222" s="782"/>
      <c r="D222" s="782"/>
      <c r="E222" s="782"/>
      <c r="F222" s="782"/>
      <c r="G222" s="782"/>
      <c r="H222" s="782"/>
      <c r="I222" s="782"/>
      <c r="J222" s="782"/>
      <c r="K222" s="782"/>
      <c r="L222" s="782"/>
      <c r="M222" s="782"/>
      <c r="N222" s="782"/>
      <c r="O222" s="782"/>
      <c r="P222" s="782"/>
      <c r="Q222" s="782"/>
      <c r="R222" s="782"/>
      <c r="S222" s="782"/>
      <c r="T222" s="782"/>
      <c r="U222" s="782"/>
      <c r="V222" s="782"/>
      <c r="W222" s="782"/>
      <c r="X222" s="782"/>
      <c r="Y222" s="782"/>
      <c r="Z222" s="782"/>
      <c r="AA222" s="782"/>
      <c r="AB222" s="782"/>
      <c r="AC222" s="782"/>
      <c r="AD222" s="782"/>
      <c r="AE222" s="782"/>
      <c r="AF222" s="782"/>
      <c r="AG222" s="782"/>
      <c r="AH222" s="782"/>
      <c r="AI222" s="782"/>
      <c r="AJ222" s="782"/>
      <c r="AK222" s="782"/>
      <c r="AL222" s="782"/>
      <c r="AM222" s="782"/>
      <c r="AN222" s="782"/>
      <c r="AO222" s="782"/>
      <c r="AP222" s="782"/>
      <c r="AQ222" s="782"/>
      <c r="AR222" s="782"/>
      <c r="AS222" s="782"/>
      <c r="AT222" s="782"/>
      <c r="AU222" s="782"/>
      <c r="AV222" s="782"/>
      <c r="AW222" s="782"/>
      <c r="AX222" s="782"/>
      <c r="AY222" s="782"/>
      <c r="AZ222" s="782"/>
      <c r="BA222" s="782"/>
      <c r="BB222" s="782"/>
      <c r="BC222" s="782"/>
      <c r="BD222" s="782"/>
      <c r="BE222" s="782"/>
      <c r="BF222" s="782"/>
      <c r="BG222" s="782"/>
      <c r="BH222" s="782"/>
      <c r="BI222" s="782"/>
      <c r="BJ222" s="782"/>
      <c r="BK222" s="782"/>
      <c r="BL222" s="782"/>
      <c r="BM222" s="782"/>
      <c r="BN222" s="782"/>
      <c r="BO222" s="782"/>
      <c r="BP222" s="782"/>
      <c r="BQ222" s="782"/>
      <c r="BR222" s="782"/>
      <c r="BS222" s="782"/>
      <c r="BT222" s="782"/>
      <c r="BU222" s="782"/>
      <c r="BV222" s="782"/>
      <c r="BW222" s="782"/>
      <c r="BX222" s="782"/>
      <c r="BY222" s="782"/>
      <c r="BZ222" s="782"/>
      <c r="CA222" s="782"/>
      <c r="CB222" s="782"/>
      <c r="CC222" s="782"/>
      <c r="CD222" s="782"/>
      <c r="CE222" s="782"/>
      <c r="CF222" s="782"/>
      <c r="CG222" s="782"/>
      <c r="CH222" s="782"/>
      <c r="CI222" s="782"/>
      <c r="CJ222" s="782"/>
      <c r="CK222" s="782"/>
      <c r="CL222" s="782"/>
      <c r="CM222" s="782"/>
      <c r="CN222" s="782"/>
      <c r="CO222" s="782"/>
      <c r="CP222" s="782"/>
      <c r="CQ222" s="782"/>
      <c r="CR222" s="782"/>
      <c r="CS222" s="782"/>
      <c r="CT222" s="782"/>
      <c r="CU222" s="782"/>
      <c r="CV222" s="782"/>
      <c r="CW222" s="782"/>
      <c r="CX222" s="782"/>
      <c r="CY222" s="782"/>
      <c r="CZ222" s="782"/>
      <c r="DA222" s="782"/>
      <c r="DB222" s="782"/>
      <c r="DC222" s="782"/>
      <c r="DD222" s="782"/>
      <c r="DE222" s="782"/>
      <c r="DF222" s="782"/>
      <c r="DG222" s="782"/>
      <c r="DH222" s="782"/>
      <c r="DI222" s="782"/>
      <c r="DJ222" s="782"/>
      <c r="DK222" s="782"/>
      <c r="DL222" s="782"/>
      <c r="DM222" s="782"/>
      <c r="DN222" s="782"/>
      <c r="DO222" s="782"/>
      <c r="DP222" s="782"/>
      <c r="DQ222" s="782"/>
      <c r="DR222" s="782"/>
      <c r="DS222" s="782"/>
      <c r="DT222" s="782"/>
      <c r="DU222" s="782"/>
      <c r="DV222" s="798"/>
      <c r="DW222" s="798"/>
      <c r="DX222" s="798"/>
      <c r="DY222" s="798"/>
      <c r="DZ222" s="798"/>
      <c r="EA222" s="798"/>
      <c r="EB222" s="798"/>
      <c r="EC222" s="798"/>
      <c r="ED222" s="798"/>
      <c r="EE222" s="798"/>
      <c r="EF222" s="798"/>
      <c r="EG222" s="798"/>
      <c r="EH222" s="782"/>
    </row>
    <row r="223" spans="1:138" ht="12.75" customHeight="1" x14ac:dyDescent="0.3">
      <c r="A223" s="782"/>
      <c r="B223" s="796" t="s">
        <v>136</v>
      </c>
      <c r="C223" s="798"/>
      <c r="D223" s="782"/>
      <c r="E223" s="782"/>
      <c r="F223" s="782"/>
      <c r="G223" s="782"/>
      <c r="H223" s="782"/>
      <c r="I223" s="782"/>
      <c r="J223" s="782"/>
      <c r="K223" s="782"/>
      <c r="L223" s="782"/>
      <c r="M223" s="782"/>
      <c r="N223" s="782"/>
      <c r="O223" s="782"/>
      <c r="P223" s="782"/>
      <c r="Q223" s="782"/>
      <c r="R223" s="782"/>
      <c r="S223" s="782"/>
      <c r="T223" s="782"/>
      <c r="U223" s="782"/>
      <c r="V223" s="782"/>
      <c r="W223" s="782"/>
      <c r="X223" s="782"/>
      <c r="Y223" s="782"/>
      <c r="Z223" s="782"/>
      <c r="AA223" s="782"/>
      <c r="AB223" s="782"/>
      <c r="AC223" s="782"/>
      <c r="AD223" s="782"/>
      <c r="AE223" s="782"/>
      <c r="AF223" s="782"/>
      <c r="AG223" s="782"/>
      <c r="AH223" s="782"/>
      <c r="AI223" s="782"/>
      <c r="AJ223" s="782"/>
      <c r="AK223" s="782"/>
      <c r="AL223" s="782"/>
      <c r="AM223" s="782"/>
      <c r="AN223" s="782"/>
      <c r="AO223" s="782"/>
      <c r="AP223" s="782"/>
      <c r="AQ223" s="782"/>
      <c r="AR223" s="782"/>
      <c r="AS223" s="782"/>
      <c r="AT223" s="782"/>
      <c r="AU223" s="782"/>
      <c r="AV223" s="782"/>
      <c r="AW223" s="782"/>
      <c r="AX223" s="782"/>
      <c r="AY223" s="782"/>
      <c r="AZ223" s="782"/>
      <c r="BA223" s="782"/>
      <c r="BB223" s="782"/>
      <c r="BC223" s="782"/>
      <c r="BD223" s="782"/>
      <c r="BE223" s="782"/>
      <c r="BF223" s="782"/>
      <c r="BG223" s="782"/>
      <c r="BH223" s="782"/>
      <c r="BI223" s="782"/>
      <c r="BJ223" s="782"/>
      <c r="BK223" s="782"/>
      <c r="BL223" s="782"/>
      <c r="BM223" s="782"/>
      <c r="BN223" s="782"/>
      <c r="BO223" s="782"/>
      <c r="BP223" s="782"/>
      <c r="BQ223" s="782"/>
      <c r="BR223" s="782"/>
      <c r="BS223" s="782"/>
      <c r="BT223" s="782"/>
      <c r="BU223" s="782"/>
      <c r="BV223" s="782"/>
      <c r="BW223" s="782"/>
      <c r="BX223" s="782"/>
      <c r="BY223" s="782"/>
      <c r="BZ223" s="782"/>
      <c r="CA223" s="782"/>
      <c r="CB223" s="782"/>
      <c r="CC223" s="782"/>
      <c r="CD223" s="782"/>
      <c r="CE223" s="782"/>
      <c r="CF223" s="782"/>
      <c r="CG223" s="782"/>
      <c r="CH223" s="782"/>
      <c r="CI223" s="782"/>
      <c r="CJ223" s="782"/>
      <c r="CK223" s="782"/>
      <c r="CL223" s="782"/>
      <c r="CM223" s="782"/>
      <c r="CN223" s="782"/>
      <c r="CO223" s="782"/>
      <c r="CP223" s="782"/>
      <c r="CQ223" s="782"/>
      <c r="CR223" s="782"/>
      <c r="CS223" s="782"/>
      <c r="CT223" s="782"/>
      <c r="CU223" s="782"/>
      <c r="CV223" s="782"/>
      <c r="CW223" s="782"/>
      <c r="CX223" s="782"/>
      <c r="CY223" s="782"/>
      <c r="CZ223" s="782"/>
      <c r="DA223" s="782"/>
      <c r="DB223" s="782"/>
      <c r="DC223" s="782"/>
      <c r="DD223" s="782"/>
      <c r="DE223" s="782"/>
      <c r="DF223" s="782"/>
      <c r="DG223" s="782"/>
      <c r="DH223" s="782"/>
      <c r="DI223" s="782"/>
      <c r="DJ223" s="782"/>
      <c r="DK223" s="782"/>
      <c r="DL223" s="782"/>
      <c r="DM223" s="782"/>
      <c r="DN223" s="782"/>
      <c r="DO223" s="782"/>
      <c r="DP223" s="782"/>
      <c r="DQ223" s="782"/>
      <c r="DR223" s="782"/>
      <c r="DS223" s="782"/>
      <c r="DT223" s="782"/>
      <c r="DU223" s="782"/>
      <c r="DV223" s="798"/>
      <c r="DW223" s="798"/>
      <c r="DX223" s="798"/>
      <c r="DY223" s="798"/>
      <c r="DZ223" s="798"/>
      <c r="EA223" s="798"/>
      <c r="EB223" s="798"/>
      <c r="EC223" s="798"/>
      <c r="ED223" s="798"/>
      <c r="EE223" s="798"/>
      <c r="EF223" s="798"/>
      <c r="EG223" s="798"/>
      <c r="EH223" s="782"/>
    </row>
    <row r="224" spans="1:138" ht="12.75" customHeight="1" x14ac:dyDescent="0.3">
      <c r="A224" s="782"/>
      <c r="B224" s="782" t="s">
        <v>137</v>
      </c>
      <c r="C224" s="798"/>
      <c r="D224" s="782"/>
      <c r="E224" s="782">
        <f>IF(E4&lt;=$C$210,1,0)</f>
        <v>1</v>
      </c>
      <c r="F224" s="782">
        <f t="shared" ref="F224:BQ224" si="168">IF(F4&lt;=$C$210,1,0)</f>
        <v>1</v>
      </c>
      <c r="G224" s="782">
        <f t="shared" si="168"/>
        <v>1</v>
      </c>
      <c r="H224" s="782">
        <f t="shared" si="168"/>
        <v>1</v>
      </c>
      <c r="I224" s="782">
        <f t="shared" si="168"/>
        <v>1</v>
      </c>
      <c r="J224" s="782">
        <f t="shared" si="168"/>
        <v>1</v>
      </c>
      <c r="K224" s="782">
        <f t="shared" si="168"/>
        <v>1</v>
      </c>
      <c r="L224" s="782">
        <f t="shared" si="168"/>
        <v>1</v>
      </c>
      <c r="M224" s="782">
        <f t="shared" si="168"/>
        <v>1</v>
      </c>
      <c r="N224" s="782">
        <f t="shared" si="168"/>
        <v>1</v>
      </c>
      <c r="O224" s="782">
        <f t="shared" si="168"/>
        <v>1</v>
      </c>
      <c r="P224" s="782">
        <f t="shared" si="168"/>
        <v>1</v>
      </c>
      <c r="Q224" s="782">
        <f t="shared" si="168"/>
        <v>1</v>
      </c>
      <c r="R224" s="782">
        <f t="shared" si="168"/>
        <v>1</v>
      </c>
      <c r="S224" s="782">
        <f t="shared" si="168"/>
        <v>1</v>
      </c>
      <c r="T224" s="782">
        <f t="shared" si="168"/>
        <v>1</v>
      </c>
      <c r="U224" s="782">
        <f t="shared" si="168"/>
        <v>1</v>
      </c>
      <c r="V224" s="782">
        <f t="shared" si="168"/>
        <v>1</v>
      </c>
      <c r="W224" s="782">
        <f t="shared" si="168"/>
        <v>1</v>
      </c>
      <c r="X224" s="782">
        <f t="shared" si="168"/>
        <v>1</v>
      </c>
      <c r="Y224" s="782">
        <f t="shared" si="168"/>
        <v>1</v>
      </c>
      <c r="Z224" s="782">
        <f t="shared" si="168"/>
        <v>1</v>
      </c>
      <c r="AA224" s="782">
        <f t="shared" si="168"/>
        <v>1</v>
      </c>
      <c r="AB224" s="782">
        <f t="shared" si="168"/>
        <v>1</v>
      </c>
      <c r="AC224" s="782">
        <f t="shared" si="168"/>
        <v>1</v>
      </c>
      <c r="AD224" s="782">
        <f t="shared" si="168"/>
        <v>1</v>
      </c>
      <c r="AE224" s="782">
        <f t="shared" si="168"/>
        <v>1</v>
      </c>
      <c r="AF224" s="782">
        <f t="shared" si="168"/>
        <v>1</v>
      </c>
      <c r="AG224" s="782">
        <f t="shared" si="168"/>
        <v>1</v>
      </c>
      <c r="AH224" s="782">
        <f t="shared" si="168"/>
        <v>1</v>
      </c>
      <c r="AI224" s="782">
        <f t="shared" si="168"/>
        <v>1</v>
      </c>
      <c r="AJ224" s="782">
        <f t="shared" si="168"/>
        <v>1</v>
      </c>
      <c r="AK224" s="782">
        <f t="shared" si="168"/>
        <v>1</v>
      </c>
      <c r="AL224" s="782">
        <f t="shared" si="168"/>
        <v>0</v>
      </c>
      <c r="AM224" s="782">
        <f t="shared" si="168"/>
        <v>0</v>
      </c>
      <c r="AN224" s="782">
        <f t="shared" si="168"/>
        <v>0</v>
      </c>
      <c r="AO224" s="782">
        <f t="shared" si="168"/>
        <v>0</v>
      </c>
      <c r="AP224" s="782">
        <f t="shared" si="168"/>
        <v>0</v>
      </c>
      <c r="AQ224" s="782">
        <f t="shared" si="168"/>
        <v>0</v>
      </c>
      <c r="AR224" s="782">
        <f t="shared" si="168"/>
        <v>0</v>
      </c>
      <c r="AS224" s="782">
        <f t="shared" si="168"/>
        <v>0</v>
      </c>
      <c r="AT224" s="782">
        <f t="shared" si="168"/>
        <v>0</v>
      </c>
      <c r="AU224" s="782">
        <f t="shared" si="168"/>
        <v>0</v>
      </c>
      <c r="AV224" s="782">
        <f t="shared" si="168"/>
        <v>0</v>
      </c>
      <c r="AW224" s="782">
        <f t="shared" si="168"/>
        <v>0</v>
      </c>
      <c r="AX224" s="782">
        <f t="shared" si="168"/>
        <v>0</v>
      </c>
      <c r="AY224" s="782">
        <f t="shared" si="168"/>
        <v>0</v>
      </c>
      <c r="AZ224" s="782">
        <f t="shared" si="168"/>
        <v>0</v>
      </c>
      <c r="BA224" s="782">
        <f t="shared" si="168"/>
        <v>0</v>
      </c>
      <c r="BB224" s="782">
        <f t="shared" si="168"/>
        <v>0</v>
      </c>
      <c r="BC224" s="782">
        <f t="shared" si="168"/>
        <v>0</v>
      </c>
      <c r="BD224" s="782">
        <f t="shared" si="168"/>
        <v>0</v>
      </c>
      <c r="BE224" s="782">
        <f t="shared" si="168"/>
        <v>0</v>
      </c>
      <c r="BF224" s="782">
        <f t="shared" si="168"/>
        <v>0</v>
      </c>
      <c r="BG224" s="782">
        <f t="shared" si="168"/>
        <v>0</v>
      </c>
      <c r="BH224" s="782">
        <f t="shared" si="168"/>
        <v>0</v>
      </c>
      <c r="BI224" s="782">
        <f t="shared" si="168"/>
        <v>0</v>
      </c>
      <c r="BJ224" s="782">
        <f t="shared" si="168"/>
        <v>0</v>
      </c>
      <c r="BK224" s="782">
        <f t="shared" si="168"/>
        <v>0</v>
      </c>
      <c r="BL224" s="782">
        <f t="shared" si="168"/>
        <v>0</v>
      </c>
      <c r="BM224" s="782">
        <f t="shared" si="168"/>
        <v>0</v>
      </c>
      <c r="BN224" s="782">
        <f t="shared" si="168"/>
        <v>0</v>
      </c>
      <c r="BO224" s="782">
        <f t="shared" si="168"/>
        <v>0</v>
      </c>
      <c r="BP224" s="782">
        <f t="shared" si="168"/>
        <v>0</v>
      </c>
      <c r="BQ224" s="782">
        <f t="shared" si="168"/>
        <v>0</v>
      </c>
      <c r="BR224" s="782">
        <f t="shared" ref="BR224:DU224" si="169">IF(BR4&lt;=$C$210,1,0)</f>
        <v>0</v>
      </c>
      <c r="BS224" s="782">
        <f t="shared" si="169"/>
        <v>0</v>
      </c>
      <c r="BT224" s="782">
        <f t="shared" si="169"/>
        <v>0</v>
      </c>
      <c r="BU224" s="782">
        <f t="shared" si="169"/>
        <v>0</v>
      </c>
      <c r="BV224" s="782">
        <f t="shared" si="169"/>
        <v>0</v>
      </c>
      <c r="BW224" s="782">
        <f t="shared" si="169"/>
        <v>0</v>
      </c>
      <c r="BX224" s="782">
        <f t="shared" si="169"/>
        <v>0</v>
      </c>
      <c r="BY224" s="782">
        <f t="shared" si="169"/>
        <v>0</v>
      </c>
      <c r="BZ224" s="782">
        <f t="shared" si="169"/>
        <v>0</v>
      </c>
      <c r="CA224" s="782">
        <f t="shared" si="169"/>
        <v>0</v>
      </c>
      <c r="CB224" s="782">
        <f t="shared" si="169"/>
        <v>0</v>
      </c>
      <c r="CC224" s="782">
        <f t="shared" si="169"/>
        <v>0</v>
      </c>
      <c r="CD224" s="782">
        <f t="shared" si="169"/>
        <v>0</v>
      </c>
      <c r="CE224" s="782">
        <f t="shared" si="169"/>
        <v>0</v>
      </c>
      <c r="CF224" s="782">
        <f t="shared" si="169"/>
        <v>0</v>
      </c>
      <c r="CG224" s="782">
        <f t="shared" si="169"/>
        <v>0</v>
      </c>
      <c r="CH224" s="782">
        <f t="shared" si="169"/>
        <v>0</v>
      </c>
      <c r="CI224" s="782">
        <f t="shared" si="169"/>
        <v>0</v>
      </c>
      <c r="CJ224" s="782">
        <f t="shared" si="169"/>
        <v>0</v>
      </c>
      <c r="CK224" s="782">
        <f t="shared" si="169"/>
        <v>0</v>
      </c>
      <c r="CL224" s="782">
        <f t="shared" si="169"/>
        <v>0</v>
      </c>
      <c r="CM224" s="782">
        <f t="shared" si="169"/>
        <v>0</v>
      </c>
      <c r="CN224" s="782">
        <f t="shared" si="169"/>
        <v>0</v>
      </c>
      <c r="CO224" s="782">
        <f t="shared" si="169"/>
        <v>0</v>
      </c>
      <c r="CP224" s="782">
        <f t="shared" si="169"/>
        <v>0</v>
      </c>
      <c r="CQ224" s="782">
        <f t="shared" si="169"/>
        <v>0</v>
      </c>
      <c r="CR224" s="782">
        <f t="shared" si="169"/>
        <v>0</v>
      </c>
      <c r="CS224" s="782">
        <f t="shared" si="169"/>
        <v>0</v>
      </c>
      <c r="CT224" s="782">
        <f t="shared" si="169"/>
        <v>0</v>
      </c>
      <c r="CU224" s="782">
        <f t="shared" si="169"/>
        <v>0</v>
      </c>
      <c r="CV224" s="782">
        <f t="shared" si="169"/>
        <v>0</v>
      </c>
      <c r="CW224" s="782">
        <f t="shared" si="169"/>
        <v>0</v>
      </c>
      <c r="CX224" s="782">
        <f t="shared" si="169"/>
        <v>0</v>
      </c>
      <c r="CY224" s="782">
        <f t="shared" si="169"/>
        <v>0</v>
      </c>
      <c r="CZ224" s="782">
        <f t="shared" si="169"/>
        <v>0</v>
      </c>
      <c r="DA224" s="782">
        <f t="shared" si="169"/>
        <v>0</v>
      </c>
      <c r="DB224" s="782">
        <f t="shared" si="169"/>
        <v>0</v>
      </c>
      <c r="DC224" s="782">
        <f t="shared" si="169"/>
        <v>0</v>
      </c>
      <c r="DD224" s="782">
        <f t="shared" si="169"/>
        <v>0</v>
      </c>
      <c r="DE224" s="782">
        <f t="shared" si="169"/>
        <v>0</v>
      </c>
      <c r="DF224" s="782">
        <f t="shared" si="169"/>
        <v>0</v>
      </c>
      <c r="DG224" s="782">
        <f t="shared" si="169"/>
        <v>0</v>
      </c>
      <c r="DH224" s="782">
        <f t="shared" si="169"/>
        <v>0</v>
      </c>
      <c r="DI224" s="782">
        <f t="shared" si="169"/>
        <v>0</v>
      </c>
      <c r="DJ224" s="782">
        <f t="shared" si="169"/>
        <v>0</v>
      </c>
      <c r="DK224" s="782">
        <f t="shared" si="169"/>
        <v>0</v>
      </c>
      <c r="DL224" s="782">
        <f t="shared" si="169"/>
        <v>0</v>
      </c>
      <c r="DM224" s="782">
        <f t="shared" si="169"/>
        <v>0</v>
      </c>
      <c r="DN224" s="782">
        <f t="shared" si="169"/>
        <v>0</v>
      </c>
      <c r="DO224" s="782">
        <f t="shared" si="169"/>
        <v>0</v>
      </c>
      <c r="DP224" s="782">
        <f t="shared" si="169"/>
        <v>0</v>
      </c>
      <c r="DQ224" s="782">
        <f t="shared" si="169"/>
        <v>0</v>
      </c>
      <c r="DR224" s="782">
        <f t="shared" si="169"/>
        <v>0</v>
      </c>
      <c r="DS224" s="782">
        <f t="shared" si="169"/>
        <v>0</v>
      </c>
      <c r="DT224" s="782">
        <f t="shared" si="169"/>
        <v>0</v>
      </c>
      <c r="DU224" s="782">
        <f t="shared" si="169"/>
        <v>0</v>
      </c>
      <c r="DV224" s="798"/>
      <c r="DW224" s="798"/>
      <c r="DX224" s="798"/>
      <c r="DY224" s="798"/>
      <c r="DZ224" s="798"/>
      <c r="EA224" s="798"/>
      <c r="EB224" s="798"/>
      <c r="EC224" s="798"/>
      <c r="ED224" s="798"/>
      <c r="EE224" s="798"/>
      <c r="EF224" s="798"/>
      <c r="EG224" s="798"/>
      <c r="EH224" s="782"/>
    </row>
    <row r="225" spans="1:138" ht="12.75" customHeight="1" x14ac:dyDescent="0.3">
      <c r="A225" s="782"/>
      <c r="B225" s="782" t="s">
        <v>138</v>
      </c>
      <c r="C225" s="798"/>
      <c r="D225" s="782"/>
      <c r="E225" s="782">
        <f>IF(E4=$C$210,1,0)</f>
        <v>0</v>
      </c>
      <c r="F225" s="782">
        <f t="shared" ref="F225:BQ225" si="170">IF(F4=$C$210,1,0)</f>
        <v>0</v>
      </c>
      <c r="G225" s="782">
        <f t="shared" si="170"/>
        <v>0</v>
      </c>
      <c r="H225" s="782">
        <f t="shared" si="170"/>
        <v>0</v>
      </c>
      <c r="I225" s="782">
        <f t="shared" si="170"/>
        <v>0</v>
      </c>
      <c r="J225" s="782">
        <f t="shared" si="170"/>
        <v>0</v>
      </c>
      <c r="K225" s="782">
        <f t="shared" si="170"/>
        <v>0</v>
      </c>
      <c r="L225" s="782">
        <f t="shared" si="170"/>
        <v>0</v>
      </c>
      <c r="M225" s="782">
        <f t="shared" si="170"/>
        <v>0</v>
      </c>
      <c r="N225" s="782">
        <f t="shared" si="170"/>
        <v>0</v>
      </c>
      <c r="O225" s="782">
        <f t="shared" si="170"/>
        <v>0</v>
      </c>
      <c r="P225" s="782">
        <f t="shared" si="170"/>
        <v>0</v>
      </c>
      <c r="Q225" s="782">
        <f t="shared" si="170"/>
        <v>0</v>
      </c>
      <c r="R225" s="782">
        <f t="shared" si="170"/>
        <v>0</v>
      </c>
      <c r="S225" s="782">
        <f t="shared" si="170"/>
        <v>0</v>
      </c>
      <c r="T225" s="782">
        <f t="shared" si="170"/>
        <v>0</v>
      </c>
      <c r="U225" s="782">
        <f t="shared" si="170"/>
        <v>0</v>
      </c>
      <c r="V225" s="782">
        <f t="shared" si="170"/>
        <v>0</v>
      </c>
      <c r="W225" s="782">
        <f t="shared" si="170"/>
        <v>0</v>
      </c>
      <c r="X225" s="782">
        <f t="shared" si="170"/>
        <v>0</v>
      </c>
      <c r="Y225" s="782">
        <f t="shared" si="170"/>
        <v>0</v>
      </c>
      <c r="Z225" s="782">
        <f t="shared" si="170"/>
        <v>0</v>
      </c>
      <c r="AA225" s="782">
        <f t="shared" si="170"/>
        <v>0</v>
      </c>
      <c r="AB225" s="782">
        <f t="shared" si="170"/>
        <v>0</v>
      </c>
      <c r="AC225" s="782">
        <f t="shared" si="170"/>
        <v>0</v>
      </c>
      <c r="AD225" s="782">
        <f t="shared" si="170"/>
        <v>0</v>
      </c>
      <c r="AE225" s="782">
        <f t="shared" si="170"/>
        <v>0</v>
      </c>
      <c r="AF225" s="782">
        <f t="shared" si="170"/>
        <v>0</v>
      </c>
      <c r="AG225" s="782">
        <f t="shared" si="170"/>
        <v>0</v>
      </c>
      <c r="AH225" s="782">
        <f t="shared" si="170"/>
        <v>0</v>
      </c>
      <c r="AI225" s="782">
        <f t="shared" si="170"/>
        <v>0</v>
      </c>
      <c r="AJ225" s="782">
        <f t="shared" si="170"/>
        <v>0</v>
      </c>
      <c r="AK225" s="782">
        <f t="shared" si="170"/>
        <v>1</v>
      </c>
      <c r="AL225" s="782">
        <f t="shared" si="170"/>
        <v>0</v>
      </c>
      <c r="AM225" s="782">
        <f t="shared" si="170"/>
        <v>0</v>
      </c>
      <c r="AN225" s="782">
        <f t="shared" si="170"/>
        <v>0</v>
      </c>
      <c r="AO225" s="782">
        <f t="shared" si="170"/>
        <v>0</v>
      </c>
      <c r="AP225" s="782">
        <f t="shared" si="170"/>
        <v>0</v>
      </c>
      <c r="AQ225" s="782">
        <f t="shared" si="170"/>
        <v>0</v>
      </c>
      <c r="AR225" s="782">
        <f t="shared" si="170"/>
        <v>0</v>
      </c>
      <c r="AS225" s="782">
        <f t="shared" si="170"/>
        <v>0</v>
      </c>
      <c r="AT225" s="782">
        <f t="shared" si="170"/>
        <v>0</v>
      </c>
      <c r="AU225" s="782">
        <f t="shared" si="170"/>
        <v>0</v>
      </c>
      <c r="AV225" s="782">
        <f t="shared" si="170"/>
        <v>0</v>
      </c>
      <c r="AW225" s="782">
        <f t="shared" si="170"/>
        <v>0</v>
      </c>
      <c r="AX225" s="782">
        <f t="shared" si="170"/>
        <v>0</v>
      </c>
      <c r="AY225" s="782">
        <f t="shared" si="170"/>
        <v>0</v>
      </c>
      <c r="AZ225" s="782">
        <f t="shared" si="170"/>
        <v>0</v>
      </c>
      <c r="BA225" s="782">
        <f t="shared" si="170"/>
        <v>0</v>
      </c>
      <c r="BB225" s="782">
        <f t="shared" si="170"/>
        <v>0</v>
      </c>
      <c r="BC225" s="782">
        <f t="shared" si="170"/>
        <v>0</v>
      </c>
      <c r="BD225" s="782">
        <f t="shared" si="170"/>
        <v>0</v>
      </c>
      <c r="BE225" s="782">
        <f t="shared" si="170"/>
        <v>0</v>
      </c>
      <c r="BF225" s="782">
        <f t="shared" si="170"/>
        <v>0</v>
      </c>
      <c r="BG225" s="782">
        <f t="shared" si="170"/>
        <v>0</v>
      </c>
      <c r="BH225" s="782">
        <f t="shared" si="170"/>
        <v>0</v>
      </c>
      <c r="BI225" s="782">
        <f t="shared" si="170"/>
        <v>0</v>
      </c>
      <c r="BJ225" s="782">
        <f t="shared" si="170"/>
        <v>0</v>
      </c>
      <c r="BK225" s="782">
        <f t="shared" si="170"/>
        <v>0</v>
      </c>
      <c r="BL225" s="782">
        <f t="shared" si="170"/>
        <v>0</v>
      </c>
      <c r="BM225" s="782">
        <f t="shared" si="170"/>
        <v>0</v>
      </c>
      <c r="BN225" s="782">
        <f t="shared" si="170"/>
        <v>0</v>
      </c>
      <c r="BO225" s="782">
        <f t="shared" si="170"/>
        <v>0</v>
      </c>
      <c r="BP225" s="782">
        <f t="shared" si="170"/>
        <v>0</v>
      </c>
      <c r="BQ225" s="782">
        <f t="shared" si="170"/>
        <v>0</v>
      </c>
      <c r="BR225" s="782">
        <f t="shared" ref="BR225:DU225" si="171">IF(BR4=$C$210,1,0)</f>
        <v>0</v>
      </c>
      <c r="BS225" s="782">
        <f t="shared" si="171"/>
        <v>0</v>
      </c>
      <c r="BT225" s="782">
        <f t="shared" si="171"/>
        <v>0</v>
      </c>
      <c r="BU225" s="782">
        <f t="shared" si="171"/>
        <v>0</v>
      </c>
      <c r="BV225" s="782">
        <f t="shared" si="171"/>
        <v>0</v>
      </c>
      <c r="BW225" s="782">
        <f t="shared" si="171"/>
        <v>0</v>
      </c>
      <c r="BX225" s="782">
        <f t="shared" si="171"/>
        <v>0</v>
      </c>
      <c r="BY225" s="782">
        <f t="shared" si="171"/>
        <v>0</v>
      </c>
      <c r="BZ225" s="782">
        <f t="shared" si="171"/>
        <v>0</v>
      </c>
      <c r="CA225" s="782">
        <f t="shared" si="171"/>
        <v>0</v>
      </c>
      <c r="CB225" s="782">
        <f t="shared" si="171"/>
        <v>0</v>
      </c>
      <c r="CC225" s="782">
        <f t="shared" si="171"/>
        <v>0</v>
      </c>
      <c r="CD225" s="782">
        <f t="shared" si="171"/>
        <v>0</v>
      </c>
      <c r="CE225" s="782">
        <f t="shared" si="171"/>
        <v>0</v>
      </c>
      <c r="CF225" s="782">
        <f t="shared" si="171"/>
        <v>0</v>
      </c>
      <c r="CG225" s="782">
        <f t="shared" si="171"/>
        <v>0</v>
      </c>
      <c r="CH225" s="782">
        <f t="shared" si="171"/>
        <v>0</v>
      </c>
      <c r="CI225" s="782">
        <f t="shared" si="171"/>
        <v>0</v>
      </c>
      <c r="CJ225" s="782">
        <f t="shared" si="171"/>
        <v>0</v>
      </c>
      <c r="CK225" s="782">
        <f t="shared" si="171"/>
        <v>0</v>
      </c>
      <c r="CL225" s="782">
        <f t="shared" si="171"/>
        <v>0</v>
      </c>
      <c r="CM225" s="782">
        <f t="shared" si="171"/>
        <v>0</v>
      </c>
      <c r="CN225" s="782">
        <f t="shared" si="171"/>
        <v>0</v>
      </c>
      <c r="CO225" s="782">
        <f t="shared" si="171"/>
        <v>0</v>
      </c>
      <c r="CP225" s="782">
        <f t="shared" si="171"/>
        <v>0</v>
      </c>
      <c r="CQ225" s="782">
        <f t="shared" si="171"/>
        <v>0</v>
      </c>
      <c r="CR225" s="782">
        <f t="shared" si="171"/>
        <v>0</v>
      </c>
      <c r="CS225" s="782">
        <f t="shared" si="171"/>
        <v>0</v>
      </c>
      <c r="CT225" s="782">
        <f t="shared" si="171"/>
        <v>0</v>
      </c>
      <c r="CU225" s="782">
        <f t="shared" si="171"/>
        <v>0</v>
      </c>
      <c r="CV225" s="782">
        <f t="shared" si="171"/>
        <v>0</v>
      </c>
      <c r="CW225" s="782">
        <f t="shared" si="171"/>
        <v>0</v>
      </c>
      <c r="CX225" s="782">
        <f t="shared" si="171"/>
        <v>0</v>
      </c>
      <c r="CY225" s="782">
        <f t="shared" si="171"/>
        <v>0</v>
      </c>
      <c r="CZ225" s="782">
        <f t="shared" si="171"/>
        <v>0</v>
      </c>
      <c r="DA225" s="782">
        <f t="shared" si="171"/>
        <v>0</v>
      </c>
      <c r="DB225" s="782">
        <f t="shared" si="171"/>
        <v>0</v>
      </c>
      <c r="DC225" s="782">
        <f t="shared" si="171"/>
        <v>0</v>
      </c>
      <c r="DD225" s="782">
        <f t="shared" si="171"/>
        <v>0</v>
      </c>
      <c r="DE225" s="782">
        <f t="shared" si="171"/>
        <v>0</v>
      </c>
      <c r="DF225" s="782">
        <f t="shared" si="171"/>
        <v>0</v>
      </c>
      <c r="DG225" s="782">
        <f t="shared" si="171"/>
        <v>0</v>
      </c>
      <c r="DH225" s="782">
        <f t="shared" si="171"/>
        <v>0</v>
      </c>
      <c r="DI225" s="782">
        <f t="shared" si="171"/>
        <v>0</v>
      </c>
      <c r="DJ225" s="782">
        <f t="shared" si="171"/>
        <v>0</v>
      </c>
      <c r="DK225" s="782">
        <f t="shared" si="171"/>
        <v>0</v>
      </c>
      <c r="DL225" s="782">
        <f t="shared" si="171"/>
        <v>0</v>
      </c>
      <c r="DM225" s="782">
        <f t="shared" si="171"/>
        <v>0</v>
      </c>
      <c r="DN225" s="782">
        <f t="shared" si="171"/>
        <v>0</v>
      </c>
      <c r="DO225" s="782">
        <f t="shared" si="171"/>
        <v>0</v>
      </c>
      <c r="DP225" s="782">
        <f t="shared" si="171"/>
        <v>0</v>
      </c>
      <c r="DQ225" s="782">
        <f t="shared" si="171"/>
        <v>0</v>
      </c>
      <c r="DR225" s="782">
        <f t="shared" si="171"/>
        <v>0</v>
      </c>
      <c r="DS225" s="782">
        <f t="shared" si="171"/>
        <v>0</v>
      </c>
      <c r="DT225" s="782">
        <f t="shared" si="171"/>
        <v>0</v>
      </c>
      <c r="DU225" s="782">
        <f t="shared" si="171"/>
        <v>0</v>
      </c>
      <c r="DV225" s="798"/>
      <c r="DW225" s="798"/>
      <c r="DX225" s="798"/>
      <c r="DY225" s="798"/>
      <c r="DZ225" s="798"/>
      <c r="EA225" s="798"/>
      <c r="EB225" s="798"/>
      <c r="EC225" s="798"/>
      <c r="ED225" s="798"/>
      <c r="EE225" s="798"/>
      <c r="EF225" s="798"/>
      <c r="EG225" s="798"/>
      <c r="EH225" s="782"/>
    </row>
    <row r="226" spans="1:138" ht="12.75" customHeight="1" x14ac:dyDescent="0.3">
      <c r="A226" s="782"/>
      <c r="B226" s="782"/>
      <c r="C226" s="798"/>
      <c r="D226" s="782"/>
      <c r="E226" s="782"/>
      <c r="F226" s="782"/>
      <c r="G226" s="782"/>
      <c r="H226" s="782"/>
      <c r="I226" s="782"/>
      <c r="J226" s="782"/>
      <c r="K226" s="782"/>
      <c r="L226" s="782"/>
      <c r="M226" s="782"/>
      <c r="N226" s="782"/>
      <c r="O226" s="782"/>
      <c r="P226" s="782"/>
      <c r="Q226" s="782"/>
      <c r="R226" s="782"/>
      <c r="S226" s="782"/>
      <c r="T226" s="782"/>
      <c r="U226" s="782"/>
      <c r="V226" s="782"/>
      <c r="W226" s="782"/>
      <c r="X226" s="782"/>
      <c r="Y226" s="782"/>
      <c r="Z226" s="782"/>
      <c r="AA226" s="782"/>
      <c r="AB226" s="782"/>
      <c r="AC226" s="782"/>
      <c r="AD226" s="782"/>
      <c r="AE226" s="782"/>
      <c r="AF226" s="782"/>
      <c r="AG226" s="782"/>
      <c r="AH226" s="782"/>
      <c r="AI226" s="782"/>
      <c r="AJ226" s="782"/>
      <c r="AK226" s="782"/>
      <c r="AL226" s="782"/>
      <c r="AM226" s="782"/>
      <c r="AN226" s="782"/>
      <c r="AO226" s="782"/>
      <c r="AP226" s="782"/>
      <c r="AQ226" s="782"/>
      <c r="AR226" s="782"/>
      <c r="AS226" s="782"/>
      <c r="AT226" s="782"/>
      <c r="AU226" s="782"/>
      <c r="AV226" s="782"/>
      <c r="AW226" s="782"/>
      <c r="AX226" s="782"/>
      <c r="AY226" s="782"/>
      <c r="AZ226" s="782"/>
      <c r="BA226" s="782"/>
      <c r="BB226" s="782"/>
      <c r="BC226" s="782"/>
      <c r="BD226" s="782"/>
      <c r="BE226" s="782"/>
      <c r="BF226" s="782"/>
      <c r="BG226" s="782"/>
      <c r="BH226" s="782"/>
      <c r="BI226" s="782"/>
      <c r="BJ226" s="782"/>
      <c r="BK226" s="782"/>
      <c r="BL226" s="782"/>
      <c r="BM226" s="782"/>
      <c r="BN226" s="782"/>
      <c r="BO226" s="782"/>
      <c r="BP226" s="782"/>
      <c r="BQ226" s="782"/>
      <c r="BR226" s="782"/>
      <c r="BS226" s="782"/>
      <c r="BT226" s="782"/>
      <c r="BU226" s="782"/>
      <c r="BV226" s="782"/>
      <c r="BW226" s="782"/>
      <c r="BX226" s="782"/>
      <c r="BY226" s="782"/>
      <c r="BZ226" s="782"/>
      <c r="CA226" s="782"/>
      <c r="CB226" s="782"/>
      <c r="CC226" s="782"/>
      <c r="CD226" s="782"/>
      <c r="CE226" s="782"/>
      <c r="CF226" s="782"/>
      <c r="CG226" s="782"/>
      <c r="CH226" s="782"/>
      <c r="CI226" s="782"/>
      <c r="CJ226" s="782"/>
      <c r="CK226" s="782"/>
      <c r="CL226" s="782"/>
      <c r="CM226" s="782"/>
      <c r="CN226" s="782"/>
      <c r="CO226" s="782"/>
      <c r="CP226" s="782"/>
      <c r="CQ226" s="782"/>
      <c r="CR226" s="782"/>
      <c r="CS226" s="782"/>
      <c r="CT226" s="782"/>
      <c r="CU226" s="782"/>
      <c r="CV226" s="782"/>
      <c r="CW226" s="782"/>
      <c r="CX226" s="782"/>
      <c r="CY226" s="782"/>
      <c r="CZ226" s="782"/>
      <c r="DA226" s="782"/>
      <c r="DB226" s="782"/>
      <c r="DC226" s="782"/>
      <c r="DD226" s="782"/>
      <c r="DE226" s="782"/>
      <c r="DF226" s="782"/>
      <c r="DG226" s="782"/>
      <c r="DH226" s="782"/>
      <c r="DI226" s="782"/>
      <c r="DJ226" s="782"/>
      <c r="DK226" s="782"/>
      <c r="DL226" s="782"/>
      <c r="DM226" s="782"/>
      <c r="DN226" s="782"/>
      <c r="DO226" s="782"/>
      <c r="DP226" s="782"/>
      <c r="DQ226" s="782"/>
      <c r="DR226" s="782"/>
      <c r="DS226" s="782"/>
      <c r="DT226" s="782"/>
      <c r="DU226" s="782"/>
      <c r="DV226" s="798"/>
      <c r="DW226" s="798"/>
      <c r="DX226" s="798"/>
      <c r="DY226" s="798"/>
      <c r="DZ226" s="798"/>
      <c r="EA226" s="798"/>
      <c r="EB226" s="798"/>
      <c r="EC226" s="798"/>
      <c r="ED226" s="798"/>
      <c r="EE226" s="798"/>
      <c r="EF226" s="798"/>
      <c r="EG226" s="798"/>
      <c r="EH226" s="782"/>
    </row>
    <row r="227" spans="1:138" ht="12.75" customHeight="1" x14ac:dyDescent="0.3">
      <c r="A227" s="782"/>
      <c r="B227" s="782" t="s">
        <v>139</v>
      </c>
      <c r="C227" s="1356">
        <f>SUM(E227:DU227)</f>
        <v>-33650095.02365011</v>
      </c>
      <c r="D227" s="782"/>
      <c r="E227" s="798">
        <f>+'Venture Summary - Mthly'!E77</f>
        <v>-1943435.5218400576</v>
      </c>
      <c r="F227" s="798">
        <f>+'Venture Summary - Mthly'!F77</f>
        <v>-15208647.652673729</v>
      </c>
      <c r="G227" s="798">
        <f>+'Venture Summary - Mthly'!G77</f>
        <v>-491498.0015560445</v>
      </c>
      <c r="H227" s="798">
        <f>+'Venture Summary - Mthly'!H77</f>
        <v>-739130.23477478127</v>
      </c>
      <c r="I227" s="798">
        <f>+'Venture Summary - Mthly'!I77</f>
        <v>-1245669.8451237862</v>
      </c>
      <c r="J227" s="798">
        <f>+'Venture Summary - Mthly'!J77</f>
        <v>-2024138.5150061427</v>
      </c>
      <c r="K227" s="798">
        <f>+'Venture Summary - Mthly'!K77</f>
        <v>-2083605.0857725968</v>
      </c>
      <c r="L227" s="798">
        <f>+'Venture Summary - Mthly'!L77</f>
        <v>-2651537.8825037964</v>
      </c>
      <c r="M227" s="798">
        <f>+'Venture Summary - Mthly'!M77</f>
        <v>-3143136.2409976111</v>
      </c>
      <c r="N227" s="798">
        <f>+'Venture Summary - Mthly'!N77</f>
        <v>-3677476.1526163789</v>
      </c>
      <c r="O227" s="798">
        <f>+'Venture Summary - Mthly'!O77</f>
        <v>-2096036.1763591815</v>
      </c>
      <c r="P227" s="798">
        <f>+'Venture Summary - Mthly'!P77</f>
        <v>-20243.44524311414</v>
      </c>
      <c r="Q227" s="798">
        <f>+'Venture Summary - Mthly'!Q77</f>
        <v>-21536.504033744335</v>
      </c>
      <c r="R227" s="798">
        <f>+'Venture Summary - Mthly'!R77</f>
        <v>-22846.387199595105</v>
      </c>
      <c r="S227" s="798">
        <f>+'Venture Summary - Mthly'!S77</f>
        <v>-24169.24296368286</v>
      </c>
      <c r="T227" s="798">
        <f>+'Venture Summary - Mthly'!T77</f>
        <v>-25405.192141294479</v>
      </c>
      <c r="U227" s="798">
        <f>+'Venture Summary - Mthly'!U77</f>
        <v>-26605.498258502688</v>
      </c>
      <c r="V227" s="798">
        <f>+'Venture Summary - Mthly'!V77</f>
        <v>-27716.271931473166</v>
      </c>
      <c r="W227" s="798">
        <f>+'Venture Summary - Mthly'!W77</f>
        <v>-28714.745112786535</v>
      </c>
      <c r="X227" s="798">
        <f>+'Venture Summary - Mthly'!X77</f>
        <v>-29708.008202723693</v>
      </c>
      <c r="Y227" s="798">
        <f>+'Venture Summary - Mthly'!Y77</f>
        <v>-30619.505737842992</v>
      </c>
      <c r="Z227" s="798">
        <f>+'Venture Summary - Mthly'!Z77</f>
        <v>-31386.510991997784</v>
      </c>
      <c r="AA227" s="798">
        <f>+'Venture Summary - Mthly'!AA77</f>
        <v>-32040.043232684024</v>
      </c>
      <c r="AB227" s="798">
        <f>+'Venture Summary - Mthly'!AB77</f>
        <v>-32583.318851409364</v>
      </c>
      <c r="AC227" s="798">
        <f>+'Venture Summary - Mthly'!AC77</f>
        <v>11164.455298793153</v>
      </c>
      <c r="AD227" s="798">
        <f>+'Venture Summary - Mthly'!AD77</f>
        <v>51087.02880827192</v>
      </c>
      <c r="AE227" s="798">
        <f>+'Venture Summary - Mthly'!AE77</f>
        <v>96690.409152741282</v>
      </c>
      <c r="AF227" s="798">
        <f>+'Venture Summary - Mthly'!AF77</f>
        <v>186128.38333325498</v>
      </c>
      <c r="AG227" s="798">
        <f>+'Venture Summary - Mthly'!AG77</f>
        <v>189774.72498510519</v>
      </c>
      <c r="AH227" s="798">
        <f>+'Venture Summary - Mthly'!AH77</f>
        <v>191077.87392284846</v>
      </c>
      <c r="AI227" s="798">
        <f>+'Venture Summary - Mthly'!AI77</f>
        <v>424631.52148606483</v>
      </c>
      <c r="AJ227" s="798">
        <f>+'Venture Summary - Mthly'!AJ77</f>
        <v>427220.46900700842</v>
      </c>
      <c r="AK227" s="798">
        <f>+'Venture Summary - Mthly'!AK77</f>
        <v>430016.09348074743</v>
      </c>
      <c r="AL227" s="798">
        <f>+'Venture Summary - Mthly'!AL77</f>
        <v>0</v>
      </c>
      <c r="AM227" s="798">
        <f>+'Venture Summary - Mthly'!AM77</f>
        <v>0</v>
      </c>
      <c r="AN227" s="798">
        <f>+'Venture Summary - Mthly'!AN77</f>
        <v>0</v>
      </c>
      <c r="AO227" s="798">
        <f>+'Venture Summary - Mthly'!AO77</f>
        <v>0</v>
      </c>
      <c r="AP227" s="798">
        <f>+'Venture Summary - Mthly'!AP77</f>
        <v>0</v>
      </c>
      <c r="AQ227" s="798">
        <f>+'Venture Summary - Mthly'!AQ77</f>
        <v>0</v>
      </c>
      <c r="AR227" s="798">
        <f>+'Venture Summary - Mthly'!AR77</f>
        <v>0</v>
      </c>
      <c r="AS227" s="798">
        <f>+'Venture Summary - Mthly'!AS77</f>
        <v>0</v>
      </c>
      <c r="AT227" s="798">
        <f>+'Venture Summary - Mthly'!AT77</f>
        <v>0</v>
      </c>
      <c r="AU227" s="798">
        <f>+'Venture Summary - Mthly'!AU77</f>
        <v>0</v>
      </c>
      <c r="AV227" s="798">
        <f>+'Venture Summary - Mthly'!AV77</f>
        <v>0</v>
      </c>
      <c r="AW227" s="798">
        <f>+'Venture Summary - Mthly'!AW77</f>
        <v>0</v>
      </c>
      <c r="AX227" s="798">
        <f>+'Venture Summary - Mthly'!AX77</f>
        <v>0</v>
      </c>
      <c r="AY227" s="798">
        <f>+'Venture Summary - Mthly'!AY77</f>
        <v>0</v>
      </c>
      <c r="AZ227" s="798">
        <f>+'Venture Summary - Mthly'!AZ77</f>
        <v>0</v>
      </c>
      <c r="BA227" s="798">
        <f>+'Venture Summary - Mthly'!BA77</f>
        <v>0</v>
      </c>
      <c r="BB227" s="798">
        <f>+'Venture Summary - Mthly'!BB77</f>
        <v>0</v>
      </c>
      <c r="BC227" s="798">
        <f>+'Venture Summary - Mthly'!BC77</f>
        <v>0</v>
      </c>
      <c r="BD227" s="798">
        <f>+'Venture Summary - Mthly'!BD77</f>
        <v>0</v>
      </c>
      <c r="BE227" s="798">
        <f>+'Venture Summary - Mthly'!BE77</f>
        <v>0</v>
      </c>
      <c r="BF227" s="798">
        <f>+'Venture Summary - Mthly'!BF77</f>
        <v>0</v>
      </c>
      <c r="BG227" s="798">
        <f>+'Venture Summary - Mthly'!BG77</f>
        <v>0</v>
      </c>
      <c r="BH227" s="798">
        <f>+'Venture Summary - Mthly'!BH77</f>
        <v>0</v>
      </c>
      <c r="BI227" s="798">
        <f>+'Venture Summary - Mthly'!BI77</f>
        <v>0</v>
      </c>
      <c r="BJ227" s="798">
        <f>+'Venture Summary - Mthly'!BJ77</f>
        <v>0</v>
      </c>
      <c r="BK227" s="798">
        <f>+'Venture Summary - Mthly'!BK77</f>
        <v>0</v>
      </c>
      <c r="BL227" s="798">
        <f>+'Venture Summary - Mthly'!BL77</f>
        <v>0</v>
      </c>
      <c r="BM227" s="798">
        <f>+'Venture Summary - Mthly'!BM77</f>
        <v>0</v>
      </c>
      <c r="BN227" s="798">
        <f>+'Venture Summary - Mthly'!BN77</f>
        <v>0</v>
      </c>
      <c r="BO227" s="798">
        <f>+'Venture Summary - Mthly'!BO77</f>
        <v>0</v>
      </c>
      <c r="BP227" s="798">
        <f>+'Venture Summary - Mthly'!BP77</f>
        <v>0</v>
      </c>
      <c r="BQ227" s="798">
        <f>+'Venture Summary - Mthly'!BQ77</f>
        <v>0</v>
      </c>
      <c r="BR227" s="798">
        <f>+'Venture Summary - Mthly'!BR77</f>
        <v>0</v>
      </c>
      <c r="BS227" s="798">
        <f>+'Venture Summary - Mthly'!BS77</f>
        <v>0</v>
      </c>
      <c r="BT227" s="798">
        <f>+'Venture Summary - Mthly'!BT77</f>
        <v>0</v>
      </c>
      <c r="BU227" s="798">
        <f>+'Venture Summary - Mthly'!BU77</f>
        <v>0</v>
      </c>
      <c r="BV227" s="798">
        <f>+'Venture Summary - Mthly'!BV77</f>
        <v>0</v>
      </c>
      <c r="BW227" s="798">
        <f>+'Venture Summary - Mthly'!BW77</f>
        <v>0</v>
      </c>
      <c r="BX227" s="798">
        <f>+'Venture Summary - Mthly'!BX77</f>
        <v>0</v>
      </c>
      <c r="BY227" s="798">
        <f>+'Venture Summary - Mthly'!BY77</f>
        <v>0</v>
      </c>
      <c r="BZ227" s="798">
        <f>+'Venture Summary - Mthly'!BZ77</f>
        <v>0</v>
      </c>
      <c r="CA227" s="798">
        <f>+'Venture Summary - Mthly'!CA77</f>
        <v>0</v>
      </c>
      <c r="CB227" s="798">
        <f>+'Venture Summary - Mthly'!CB77</f>
        <v>0</v>
      </c>
      <c r="CC227" s="798">
        <f>+'Venture Summary - Mthly'!CC77</f>
        <v>0</v>
      </c>
      <c r="CD227" s="798">
        <f>+'Venture Summary - Mthly'!CD77</f>
        <v>0</v>
      </c>
      <c r="CE227" s="798">
        <f>+'Venture Summary - Mthly'!CE77</f>
        <v>0</v>
      </c>
      <c r="CF227" s="798">
        <f>+'Venture Summary - Mthly'!CF77</f>
        <v>0</v>
      </c>
      <c r="CG227" s="798">
        <f>+'Venture Summary - Mthly'!CG77</f>
        <v>0</v>
      </c>
      <c r="CH227" s="798">
        <f>+'Venture Summary - Mthly'!CH77</f>
        <v>0</v>
      </c>
      <c r="CI227" s="798">
        <f>+'Venture Summary - Mthly'!CI77</f>
        <v>0</v>
      </c>
      <c r="CJ227" s="798">
        <f>+'Venture Summary - Mthly'!CJ77</f>
        <v>0</v>
      </c>
      <c r="CK227" s="798">
        <f>+'Venture Summary - Mthly'!CK77</f>
        <v>0</v>
      </c>
      <c r="CL227" s="798">
        <f>+'Venture Summary - Mthly'!CL77</f>
        <v>0</v>
      </c>
      <c r="CM227" s="798">
        <f>+'Venture Summary - Mthly'!CM77</f>
        <v>0</v>
      </c>
      <c r="CN227" s="798">
        <f>+'Venture Summary - Mthly'!CN77</f>
        <v>0</v>
      </c>
      <c r="CO227" s="798">
        <f>+'Venture Summary - Mthly'!CO77</f>
        <v>0</v>
      </c>
      <c r="CP227" s="798">
        <f>+'Venture Summary - Mthly'!CP77</f>
        <v>0</v>
      </c>
      <c r="CQ227" s="798">
        <f>+'Venture Summary - Mthly'!CQ77</f>
        <v>0</v>
      </c>
      <c r="CR227" s="798">
        <f>+'Venture Summary - Mthly'!CR77</f>
        <v>0</v>
      </c>
      <c r="CS227" s="798">
        <f>+'Venture Summary - Mthly'!CS77</f>
        <v>0</v>
      </c>
      <c r="CT227" s="798">
        <f>+'Venture Summary - Mthly'!CT77</f>
        <v>0</v>
      </c>
      <c r="CU227" s="798">
        <f>+'Venture Summary - Mthly'!CU77</f>
        <v>0</v>
      </c>
      <c r="CV227" s="798">
        <f>+'Venture Summary - Mthly'!CV77</f>
        <v>0</v>
      </c>
      <c r="CW227" s="798">
        <f>+'Venture Summary - Mthly'!CW77</f>
        <v>0</v>
      </c>
      <c r="CX227" s="798">
        <f>+'Venture Summary - Mthly'!CX77</f>
        <v>0</v>
      </c>
      <c r="CY227" s="798">
        <f>+'Venture Summary - Mthly'!CY77</f>
        <v>0</v>
      </c>
      <c r="CZ227" s="798">
        <f>+'Venture Summary - Mthly'!CZ77</f>
        <v>0</v>
      </c>
      <c r="DA227" s="798">
        <f>+'Venture Summary - Mthly'!DA77</f>
        <v>0</v>
      </c>
      <c r="DB227" s="798">
        <f>+'Venture Summary - Mthly'!DB77</f>
        <v>0</v>
      </c>
      <c r="DC227" s="798">
        <f>+'Venture Summary - Mthly'!DC77</f>
        <v>0</v>
      </c>
      <c r="DD227" s="798">
        <f>+'Venture Summary - Mthly'!DD77</f>
        <v>0</v>
      </c>
      <c r="DE227" s="798">
        <f>+'Venture Summary - Mthly'!DE77</f>
        <v>0</v>
      </c>
      <c r="DF227" s="798">
        <f>+'Venture Summary - Mthly'!DF77</f>
        <v>0</v>
      </c>
      <c r="DG227" s="798">
        <f>+'Venture Summary - Mthly'!DG77</f>
        <v>0</v>
      </c>
      <c r="DH227" s="798">
        <f>+'Venture Summary - Mthly'!DH77</f>
        <v>0</v>
      </c>
      <c r="DI227" s="798">
        <f>+'Venture Summary - Mthly'!DI77</f>
        <v>0</v>
      </c>
      <c r="DJ227" s="798">
        <f>+'Venture Summary - Mthly'!DJ77</f>
        <v>0</v>
      </c>
      <c r="DK227" s="798">
        <f>+'Venture Summary - Mthly'!DK77</f>
        <v>0</v>
      </c>
      <c r="DL227" s="798">
        <f>+'Venture Summary - Mthly'!DL77</f>
        <v>0</v>
      </c>
      <c r="DM227" s="798">
        <f>+'Venture Summary - Mthly'!DM77</f>
        <v>0</v>
      </c>
      <c r="DN227" s="798">
        <f>+'Venture Summary - Mthly'!DN77</f>
        <v>0</v>
      </c>
      <c r="DO227" s="798">
        <f>+'Venture Summary - Mthly'!DO77</f>
        <v>0</v>
      </c>
      <c r="DP227" s="798">
        <f>+'Venture Summary - Mthly'!DP77</f>
        <v>0</v>
      </c>
      <c r="DQ227" s="798">
        <f>+'Venture Summary - Mthly'!DQ77</f>
        <v>0</v>
      </c>
      <c r="DR227" s="798">
        <f>+'Venture Summary - Mthly'!DR77</f>
        <v>0</v>
      </c>
      <c r="DS227" s="798">
        <f>+'Venture Summary - Mthly'!DS77</f>
        <v>0</v>
      </c>
      <c r="DT227" s="798">
        <f>+'Venture Summary - Mthly'!DT77</f>
        <v>0</v>
      </c>
      <c r="DU227" s="798">
        <f>+'Venture Summary - Mthly'!DU77</f>
        <v>0</v>
      </c>
      <c r="DV227" s="798"/>
      <c r="DW227" s="798"/>
      <c r="DX227" s="798"/>
      <c r="DY227" s="798"/>
      <c r="DZ227" s="798"/>
      <c r="EA227" s="798"/>
      <c r="EB227" s="798"/>
      <c r="EC227" s="798"/>
      <c r="ED227" s="798"/>
      <c r="EE227" s="798"/>
      <c r="EF227" s="798"/>
      <c r="EG227" s="798"/>
      <c r="EH227" s="782"/>
    </row>
    <row r="228" spans="1:138" ht="12.75" customHeight="1" x14ac:dyDescent="0.3">
      <c r="A228" s="782"/>
      <c r="B228" s="781" t="s">
        <v>140</v>
      </c>
      <c r="C228" s="1356">
        <f>SUM(E228:DU228)</f>
        <v>54047547.940419339</v>
      </c>
      <c r="D228" s="782"/>
      <c r="E228" s="799">
        <f t="shared" ref="E228:BP228" si="172">E220-E217</f>
        <v>0</v>
      </c>
      <c r="F228" s="799">
        <f t="shared" si="172"/>
        <v>0</v>
      </c>
      <c r="G228" s="799">
        <f t="shared" si="172"/>
        <v>0</v>
      </c>
      <c r="H228" s="799">
        <f t="shared" si="172"/>
        <v>0</v>
      </c>
      <c r="I228" s="799">
        <f t="shared" si="172"/>
        <v>0</v>
      </c>
      <c r="J228" s="799">
        <f t="shared" si="172"/>
        <v>0</v>
      </c>
      <c r="K228" s="799">
        <f t="shared" si="172"/>
        <v>0</v>
      </c>
      <c r="L228" s="799">
        <f t="shared" si="172"/>
        <v>0</v>
      </c>
      <c r="M228" s="799">
        <f t="shared" si="172"/>
        <v>0</v>
      </c>
      <c r="N228" s="799">
        <f t="shared" si="172"/>
        <v>0</v>
      </c>
      <c r="O228" s="799">
        <f t="shared" si="172"/>
        <v>0</v>
      </c>
      <c r="P228" s="799">
        <f t="shared" si="172"/>
        <v>0</v>
      </c>
      <c r="Q228" s="799">
        <f t="shared" si="172"/>
        <v>0</v>
      </c>
      <c r="R228" s="799">
        <f t="shared" si="172"/>
        <v>0</v>
      </c>
      <c r="S228" s="799">
        <f t="shared" si="172"/>
        <v>0</v>
      </c>
      <c r="T228" s="799">
        <f t="shared" si="172"/>
        <v>0</v>
      </c>
      <c r="U228" s="799">
        <f t="shared" si="172"/>
        <v>0</v>
      </c>
      <c r="V228" s="799">
        <f t="shared" si="172"/>
        <v>0</v>
      </c>
      <c r="W228" s="799">
        <f t="shared" si="172"/>
        <v>0</v>
      </c>
      <c r="X228" s="799">
        <f t="shared" si="172"/>
        <v>0</v>
      </c>
      <c r="Y228" s="799">
        <f t="shared" si="172"/>
        <v>0</v>
      </c>
      <c r="Z228" s="799">
        <f t="shared" si="172"/>
        <v>0</v>
      </c>
      <c r="AA228" s="799">
        <f t="shared" si="172"/>
        <v>0</v>
      </c>
      <c r="AB228" s="799">
        <f t="shared" si="172"/>
        <v>0</v>
      </c>
      <c r="AC228" s="799">
        <f t="shared" si="172"/>
        <v>0</v>
      </c>
      <c r="AD228" s="799">
        <f t="shared" si="172"/>
        <v>0</v>
      </c>
      <c r="AE228" s="799">
        <f t="shared" si="172"/>
        <v>0</v>
      </c>
      <c r="AF228" s="799">
        <f t="shared" si="172"/>
        <v>0</v>
      </c>
      <c r="AG228" s="799">
        <f t="shared" si="172"/>
        <v>0</v>
      </c>
      <c r="AH228" s="799">
        <f t="shared" si="172"/>
        <v>0</v>
      </c>
      <c r="AI228" s="799">
        <f t="shared" si="172"/>
        <v>0</v>
      </c>
      <c r="AJ228" s="799">
        <f t="shared" si="172"/>
        <v>0</v>
      </c>
      <c r="AK228" s="799">
        <f t="shared" si="172"/>
        <v>54047547.940419339</v>
      </c>
      <c r="AL228" s="799">
        <f t="shared" si="172"/>
        <v>0</v>
      </c>
      <c r="AM228" s="799">
        <f t="shared" si="172"/>
        <v>0</v>
      </c>
      <c r="AN228" s="799">
        <f t="shared" si="172"/>
        <v>0</v>
      </c>
      <c r="AO228" s="799">
        <f t="shared" si="172"/>
        <v>0</v>
      </c>
      <c r="AP228" s="799">
        <f t="shared" si="172"/>
        <v>0</v>
      </c>
      <c r="AQ228" s="799">
        <f t="shared" si="172"/>
        <v>0</v>
      </c>
      <c r="AR228" s="799">
        <f t="shared" si="172"/>
        <v>0</v>
      </c>
      <c r="AS228" s="799">
        <f t="shared" si="172"/>
        <v>0</v>
      </c>
      <c r="AT228" s="799">
        <f t="shared" si="172"/>
        <v>0</v>
      </c>
      <c r="AU228" s="799">
        <f t="shared" si="172"/>
        <v>0</v>
      </c>
      <c r="AV228" s="799">
        <f t="shared" si="172"/>
        <v>0</v>
      </c>
      <c r="AW228" s="799">
        <f t="shared" si="172"/>
        <v>0</v>
      </c>
      <c r="AX228" s="799">
        <f t="shared" si="172"/>
        <v>0</v>
      </c>
      <c r="AY228" s="799">
        <f t="shared" si="172"/>
        <v>0</v>
      </c>
      <c r="AZ228" s="799">
        <f t="shared" si="172"/>
        <v>0</v>
      </c>
      <c r="BA228" s="799">
        <f t="shared" si="172"/>
        <v>0</v>
      </c>
      <c r="BB228" s="799">
        <f t="shared" si="172"/>
        <v>0</v>
      </c>
      <c r="BC228" s="799">
        <f t="shared" si="172"/>
        <v>0</v>
      </c>
      <c r="BD228" s="799">
        <f t="shared" si="172"/>
        <v>0</v>
      </c>
      <c r="BE228" s="799">
        <f t="shared" si="172"/>
        <v>0</v>
      </c>
      <c r="BF228" s="799">
        <f t="shared" si="172"/>
        <v>0</v>
      </c>
      <c r="BG228" s="799">
        <f t="shared" si="172"/>
        <v>0</v>
      </c>
      <c r="BH228" s="799">
        <f t="shared" si="172"/>
        <v>0</v>
      </c>
      <c r="BI228" s="799">
        <f t="shared" si="172"/>
        <v>0</v>
      </c>
      <c r="BJ228" s="799">
        <f t="shared" si="172"/>
        <v>0</v>
      </c>
      <c r="BK228" s="799">
        <f t="shared" si="172"/>
        <v>0</v>
      </c>
      <c r="BL228" s="799">
        <f t="shared" si="172"/>
        <v>0</v>
      </c>
      <c r="BM228" s="799">
        <f t="shared" si="172"/>
        <v>0</v>
      </c>
      <c r="BN228" s="799">
        <f t="shared" si="172"/>
        <v>0</v>
      </c>
      <c r="BO228" s="799">
        <f t="shared" si="172"/>
        <v>0</v>
      </c>
      <c r="BP228" s="799">
        <f t="shared" si="172"/>
        <v>0</v>
      </c>
      <c r="BQ228" s="799">
        <f t="shared" ref="BQ228:DU228" si="173">BQ220-BQ217</f>
        <v>0</v>
      </c>
      <c r="BR228" s="799">
        <f t="shared" si="173"/>
        <v>0</v>
      </c>
      <c r="BS228" s="799">
        <f t="shared" si="173"/>
        <v>0</v>
      </c>
      <c r="BT228" s="799">
        <f t="shared" si="173"/>
        <v>0</v>
      </c>
      <c r="BU228" s="799">
        <f t="shared" si="173"/>
        <v>0</v>
      </c>
      <c r="BV228" s="799">
        <f t="shared" si="173"/>
        <v>0</v>
      </c>
      <c r="BW228" s="799">
        <f t="shared" si="173"/>
        <v>0</v>
      </c>
      <c r="BX228" s="799">
        <f t="shared" si="173"/>
        <v>0</v>
      </c>
      <c r="BY228" s="799">
        <f t="shared" si="173"/>
        <v>0</v>
      </c>
      <c r="BZ228" s="799">
        <f t="shared" si="173"/>
        <v>0</v>
      </c>
      <c r="CA228" s="799">
        <f t="shared" si="173"/>
        <v>0</v>
      </c>
      <c r="CB228" s="799">
        <f t="shared" si="173"/>
        <v>0</v>
      </c>
      <c r="CC228" s="799">
        <f t="shared" si="173"/>
        <v>0</v>
      </c>
      <c r="CD228" s="799">
        <f t="shared" si="173"/>
        <v>0</v>
      </c>
      <c r="CE228" s="799">
        <f t="shared" si="173"/>
        <v>0</v>
      </c>
      <c r="CF228" s="799">
        <f t="shared" si="173"/>
        <v>0</v>
      </c>
      <c r="CG228" s="799">
        <f t="shared" si="173"/>
        <v>0</v>
      </c>
      <c r="CH228" s="799">
        <f t="shared" si="173"/>
        <v>0</v>
      </c>
      <c r="CI228" s="799">
        <f t="shared" si="173"/>
        <v>0</v>
      </c>
      <c r="CJ228" s="799">
        <f t="shared" si="173"/>
        <v>0</v>
      </c>
      <c r="CK228" s="799">
        <f t="shared" si="173"/>
        <v>0</v>
      </c>
      <c r="CL228" s="799">
        <f t="shared" si="173"/>
        <v>0</v>
      </c>
      <c r="CM228" s="799">
        <f t="shared" si="173"/>
        <v>0</v>
      </c>
      <c r="CN228" s="799">
        <f t="shared" si="173"/>
        <v>0</v>
      </c>
      <c r="CO228" s="799">
        <f t="shared" si="173"/>
        <v>0</v>
      </c>
      <c r="CP228" s="799">
        <f t="shared" si="173"/>
        <v>0</v>
      </c>
      <c r="CQ228" s="799">
        <f t="shared" si="173"/>
        <v>0</v>
      </c>
      <c r="CR228" s="799">
        <f t="shared" si="173"/>
        <v>0</v>
      </c>
      <c r="CS228" s="799">
        <f t="shared" si="173"/>
        <v>0</v>
      </c>
      <c r="CT228" s="799">
        <f t="shared" si="173"/>
        <v>0</v>
      </c>
      <c r="CU228" s="799">
        <f t="shared" si="173"/>
        <v>0</v>
      </c>
      <c r="CV228" s="799">
        <f t="shared" si="173"/>
        <v>0</v>
      </c>
      <c r="CW228" s="799">
        <f t="shared" si="173"/>
        <v>0</v>
      </c>
      <c r="CX228" s="799">
        <f t="shared" si="173"/>
        <v>0</v>
      </c>
      <c r="CY228" s="799">
        <f t="shared" si="173"/>
        <v>0</v>
      </c>
      <c r="CZ228" s="799">
        <f t="shared" si="173"/>
        <v>0</v>
      </c>
      <c r="DA228" s="799">
        <f t="shared" si="173"/>
        <v>0</v>
      </c>
      <c r="DB228" s="799">
        <f t="shared" si="173"/>
        <v>0</v>
      </c>
      <c r="DC228" s="799">
        <f t="shared" si="173"/>
        <v>0</v>
      </c>
      <c r="DD228" s="799">
        <f t="shared" si="173"/>
        <v>0</v>
      </c>
      <c r="DE228" s="799">
        <f t="shared" si="173"/>
        <v>0</v>
      </c>
      <c r="DF228" s="799">
        <f t="shared" si="173"/>
        <v>0</v>
      </c>
      <c r="DG228" s="799">
        <f t="shared" si="173"/>
        <v>0</v>
      </c>
      <c r="DH228" s="799">
        <f t="shared" si="173"/>
        <v>0</v>
      </c>
      <c r="DI228" s="799">
        <f t="shared" si="173"/>
        <v>0</v>
      </c>
      <c r="DJ228" s="799">
        <f t="shared" si="173"/>
        <v>0</v>
      </c>
      <c r="DK228" s="799">
        <f t="shared" si="173"/>
        <v>0</v>
      </c>
      <c r="DL228" s="799">
        <f t="shared" si="173"/>
        <v>0</v>
      </c>
      <c r="DM228" s="799">
        <f t="shared" si="173"/>
        <v>0</v>
      </c>
      <c r="DN228" s="799">
        <f t="shared" si="173"/>
        <v>0</v>
      </c>
      <c r="DO228" s="799">
        <f t="shared" si="173"/>
        <v>0</v>
      </c>
      <c r="DP228" s="799">
        <f t="shared" si="173"/>
        <v>0</v>
      </c>
      <c r="DQ228" s="799">
        <f t="shared" si="173"/>
        <v>0</v>
      </c>
      <c r="DR228" s="799">
        <f t="shared" si="173"/>
        <v>0</v>
      </c>
      <c r="DS228" s="799">
        <f t="shared" si="173"/>
        <v>0</v>
      </c>
      <c r="DT228" s="799">
        <f t="shared" si="173"/>
        <v>0</v>
      </c>
      <c r="DU228" s="799">
        <f t="shared" si="173"/>
        <v>0</v>
      </c>
      <c r="DV228" s="798"/>
      <c r="DW228" s="798"/>
      <c r="DX228" s="798"/>
      <c r="DY228" s="798"/>
      <c r="DZ228" s="798"/>
      <c r="EA228" s="798"/>
      <c r="EB228" s="798"/>
      <c r="EC228" s="798"/>
      <c r="ED228" s="798"/>
      <c r="EE228" s="798"/>
      <c r="EF228" s="798"/>
      <c r="EG228" s="798"/>
      <c r="EH228" s="782"/>
    </row>
    <row r="229" spans="1:138" ht="12.75" customHeight="1" x14ac:dyDescent="0.3">
      <c r="A229" s="782"/>
      <c r="B229" s="782" t="s">
        <v>141</v>
      </c>
      <c r="C229" s="1374">
        <f>SUM(E229:DU229)</f>
        <v>20397452.916769229</v>
      </c>
      <c r="D229" s="821"/>
      <c r="E229" s="798">
        <f t="shared" ref="E229:BP229" si="174">SUM(E227:E228)</f>
        <v>-1943435.5218400576</v>
      </c>
      <c r="F229" s="798">
        <f t="shared" si="174"/>
        <v>-15208647.652673729</v>
      </c>
      <c r="G229" s="798">
        <f t="shared" si="174"/>
        <v>-491498.0015560445</v>
      </c>
      <c r="H229" s="798">
        <f t="shared" si="174"/>
        <v>-739130.23477478127</v>
      </c>
      <c r="I229" s="798">
        <f t="shared" si="174"/>
        <v>-1245669.8451237862</v>
      </c>
      <c r="J229" s="798">
        <f t="shared" si="174"/>
        <v>-2024138.5150061427</v>
      </c>
      <c r="K229" s="798">
        <f t="shared" si="174"/>
        <v>-2083605.0857725968</v>
      </c>
      <c r="L229" s="798">
        <f t="shared" si="174"/>
        <v>-2651537.8825037964</v>
      </c>
      <c r="M229" s="798">
        <f t="shared" si="174"/>
        <v>-3143136.2409976111</v>
      </c>
      <c r="N229" s="798">
        <f t="shared" si="174"/>
        <v>-3677476.1526163789</v>
      </c>
      <c r="O229" s="798">
        <f t="shared" si="174"/>
        <v>-2096036.1763591815</v>
      </c>
      <c r="P229" s="798">
        <f t="shared" si="174"/>
        <v>-20243.44524311414</v>
      </c>
      <c r="Q229" s="798">
        <f t="shared" si="174"/>
        <v>-21536.504033744335</v>
      </c>
      <c r="R229" s="798">
        <f t="shared" si="174"/>
        <v>-22846.387199595105</v>
      </c>
      <c r="S229" s="798">
        <f t="shared" si="174"/>
        <v>-24169.24296368286</v>
      </c>
      <c r="T229" s="798">
        <f t="shared" si="174"/>
        <v>-25405.192141294479</v>
      </c>
      <c r="U229" s="798">
        <f t="shared" si="174"/>
        <v>-26605.498258502688</v>
      </c>
      <c r="V229" s="798">
        <f t="shared" si="174"/>
        <v>-27716.271931473166</v>
      </c>
      <c r="W229" s="798">
        <f t="shared" si="174"/>
        <v>-28714.745112786535</v>
      </c>
      <c r="X229" s="798">
        <f t="shared" si="174"/>
        <v>-29708.008202723693</v>
      </c>
      <c r="Y229" s="798">
        <f t="shared" si="174"/>
        <v>-30619.505737842992</v>
      </c>
      <c r="Z229" s="798">
        <f t="shared" si="174"/>
        <v>-31386.510991997784</v>
      </c>
      <c r="AA229" s="798">
        <f t="shared" si="174"/>
        <v>-32040.043232684024</v>
      </c>
      <c r="AB229" s="798">
        <f t="shared" si="174"/>
        <v>-32583.318851409364</v>
      </c>
      <c r="AC229" s="798">
        <f t="shared" si="174"/>
        <v>11164.455298793153</v>
      </c>
      <c r="AD229" s="798">
        <f t="shared" si="174"/>
        <v>51087.02880827192</v>
      </c>
      <c r="AE229" s="798">
        <f t="shared" si="174"/>
        <v>96690.409152741282</v>
      </c>
      <c r="AF229" s="798">
        <f t="shared" si="174"/>
        <v>186128.38333325498</v>
      </c>
      <c r="AG229" s="798">
        <f t="shared" si="174"/>
        <v>189774.72498510519</v>
      </c>
      <c r="AH229" s="798">
        <f t="shared" si="174"/>
        <v>191077.87392284846</v>
      </c>
      <c r="AI229" s="798">
        <f t="shared" si="174"/>
        <v>424631.52148606483</v>
      </c>
      <c r="AJ229" s="798">
        <f t="shared" si="174"/>
        <v>427220.46900700842</v>
      </c>
      <c r="AK229" s="798">
        <f t="shared" si="174"/>
        <v>54477564.03390009</v>
      </c>
      <c r="AL229" s="798">
        <f t="shared" si="174"/>
        <v>0</v>
      </c>
      <c r="AM229" s="798">
        <f t="shared" si="174"/>
        <v>0</v>
      </c>
      <c r="AN229" s="798">
        <f t="shared" si="174"/>
        <v>0</v>
      </c>
      <c r="AO229" s="798">
        <f t="shared" si="174"/>
        <v>0</v>
      </c>
      <c r="AP229" s="798">
        <f t="shared" si="174"/>
        <v>0</v>
      </c>
      <c r="AQ229" s="798">
        <f t="shared" si="174"/>
        <v>0</v>
      </c>
      <c r="AR229" s="798">
        <f t="shared" si="174"/>
        <v>0</v>
      </c>
      <c r="AS229" s="798">
        <f t="shared" si="174"/>
        <v>0</v>
      </c>
      <c r="AT229" s="798">
        <f t="shared" si="174"/>
        <v>0</v>
      </c>
      <c r="AU229" s="798">
        <f t="shared" si="174"/>
        <v>0</v>
      </c>
      <c r="AV229" s="798">
        <f t="shared" si="174"/>
        <v>0</v>
      </c>
      <c r="AW229" s="798">
        <f t="shared" si="174"/>
        <v>0</v>
      </c>
      <c r="AX229" s="798">
        <f t="shared" si="174"/>
        <v>0</v>
      </c>
      <c r="AY229" s="798">
        <f t="shared" si="174"/>
        <v>0</v>
      </c>
      <c r="AZ229" s="798">
        <f t="shared" si="174"/>
        <v>0</v>
      </c>
      <c r="BA229" s="798">
        <f t="shared" si="174"/>
        <v>0</v>
      </c>
      <c r="BB229" s="798">
        <f t="shared" si="174"/>
        <v>0</v>
      </c>
      <c r="BC229" s="798">
        <f t="shared" si="174"/>
        <v>0</v>
      </c>
      <c r="BD229" s="798">
        <f t="shared" si="174"/>
        <v>0</v>
      </c>
      <c r="BE229" s="798">
        <f t="shared" si="174"/>
        <v>0</v>
      </c>
      <c r="BF229" s="798">
        <f t="shared" si="174"/>
        <v>0</v>
      </c>
      <c r="BG229" s="798">
        <f t="shared" si="174"/>
        <v>0</v>
      </c>
      <c r="BH229" s="798">
        <f t="shared" si="174"/>
        <v>0</v>
      </c>
      <c r="BI229" s="798">
        <f t="shared" si="174"/>
        <v>0</v>
      </c>
      <c r="BJ229" s="798">
        <f t="shared" si="174"/>
        <v>0</v>
      </c>
      <c r="BK229" s="798">
        <f t="shared" si="174"/>
        <v>0</v>
      </c>
      <c r="BL229" s="798">
        <f t="shared" si="174"/>
        <v>0</v>
      </c>
      <c r="BM229" s="798">
        <f t="shared" si="174"/>
        <v>0</v>
      </c>
      <c r="BN229" s="798">
        <f t="shared" si="174"/>
        <v>0</v>
      </c>
      <c r="BO229" s="798">
        <f t="shared" si="174"/>
        <v>0</v>
      </c>
      <c r="BP229" s="798">
        <f t="shared" si="174"/>
        <v>0</v>
      </c>
      <c r="BQ229" s="798">
        <f t="shared" ref="BQ229:DU229" si="175">SUM(BQ227:BQ228)</f>
        <v>0</v>
      </c>
      <c r="BR229" s="798">
        <f t="shared" si="175"/>
        <v>0</v>
      </c>
      <c r="BS229" s="798">
        <f t="shared" si="175"/>
        <v>0</v>
      </c>
      <c r="BT229" s="798">
        <f t="shared" si="175"/>
        <v>0</v>
      </c>
      <c r="BU229" s="798">
        <f t="shared" si="175"/>
        <v>0</v>
      </c>
      <c r="BV229" s="798">
        <f t="shared" si="175"/>
        <v>0</v>
      </c>
      <c r="BW229" s="798">
        <f t="shared" si="175"/>
        <v>0</v>
      </c>
      <c r="BX229" s="798">
        <f t="shared" si="175"/>
        <v>0</v>
      </c>
      <c r="BY229" s="798">
        <f t="shared" si="175"/>
        <v>0</v>
      </c>
      <c r="BZ229" s="798">
        <f t="shared" si="175"/>
        <v>0</v>
      </c>
      <c r="CA229" s="798">
        <f t="shared" si="175"/>
        <v>0</v>
      </c>
      <c r="CB229" s="798">
        <f t="shared" si="175"/>
        <v>0</v>
      </c>
      <c r="CC229" s="798">
        <f t="shared" si="175"/>
        <v>0</v>
      </c>
      <c r="CD229" s="798">
        <f t="shared" si="175"/>
        <v>0</v>
      </c>
      <c r="CE229" s="798">
        <f t="shared" si="175"/>
        <v>0</v>
      </c>
      <c r="CF229" s="798">
        <f t="shared" si="175"/>
        <v>0</v>
      </c>
      <c r="CG229" s="798">
        <f t="shared" si="175"/>
        <v>0</v>
      </c>
      <c r="CH229" s="798">
        <f t="shared" si="175"/>
        <v>0</v>
      </c>
      <c r="CI229" s="798">
        <f t="shared" si="175"/>
        <v>0</v>
      </c>
      <c r="CJ229" s="798">
        <f t="shared" si="175"/>
        <v>0</v>
      </c>
      <c r="CK229" s="798">
        <f t="shared" si="175"/>
        <v>0</v>
      </c>
      <c r="CL229" s="798">
        <f t="shared" si="175"/>
        <v>0</v>
      </c>
      <c r="CM229" s="798">
        <f t="shared" si="175"/>
        <v>0</v>
      </c>
      <c r="CN229" s="798">
        <f t="shared" si="175"/>
        <v>0</v>
      </c>
      <c r="CO229" s="798">
        <f t="shared" si="175"/>
        <v>0</v>
      </c>
      <c r="CP229" s="798">
        <f t="shared" si="175"/>
        <v>0</v>
      </c>
      <c r="CQ229" s="798">
        <f t="shared" si="175"/>
        <v>0</v>
      </c>
      <c r="CR229" s="798">
        <f t="shared" si="175"/>
        <v>0</v>
      </c>
      <c r="CS229" s="798">
        <f t="shared" si="175"/>
        <v>0</v>
      </c>
      <c r="CT229" s="798">
        <f t="shared" si="175"/>
        <v>0</v>
      </c>
      <c r="CU229" s="798">
        <f t="shared" si="175"/>
        <v>0</v>
      </c>
      <c r="CV229" s="798">
        <f t="shared" si="175"/>
        <v>0</v>
      </c>
      <c r="CW229" s="798">
        <f t="shared" si="175"/>
        <v>0</v>
      </c>
      <c r="CX229" s="798">
        <f t="shared" si="175"/>
        <v>0</v>
      </c>
      <c r="CY229" s="798">
        <f t="shared" si="175"/>
        <v>0</v>
      </c>
      <c r="CZ229" s="798">
        <f t="shared" si="175"/>
        <v>0</v>
      </c>
      <c r="DA229" s="798">
        <f t="shared" si="175"/>
        <v>0</v>
      </c>
      <c r="DB229" s="798">
        <f t="shared" si="175"/>
        <v>0</v>
      </c>
      <c r="DC229" s="798">
        <f t="shared" si="175"/>
        <v>0</v>
      </c>
      <c r="DD229" s="798">
        <f t="shared" si="175"/>
        <v>0</v>
      </c>
      <c r="DE229" s="798">
        <f t="shared" si="175"/>
        <v>0</v>
      </c>
      <c r="DF229" s="798">
        <f t="shared" si="175"/>
        <v>0</v>
      </c>
      <c r="DG229" s="798">
        <f t="shared" si="175"/>
        <v>0</v>
      </c>
      <c r="DH229" s="798">
        <f t="shared" si="175"/>
        <v>0</v>
      </c>
      <c r="DI229" s="798">
        <f t="shared" si="175"/>
        <v>0</v>
      </c>
      <c r="DJ229" s="798">
        <f t="shared" si="175"/>
        <v>0</v>
      </c>
      <c r="DK229" s="798">
        <f t="shared" si="175"/>
        <v>0</v>
      </c>
      <c r="DL229" s="798">
        <f t="shared" si="175"/>
        <v>0</v>
      </c>
      <c r="DM229" s="798">
        <f t="shared" si="175"/>
        <v>0</v>
      </c>
      <c r="DN229" s="798">
        <f t="shared" si="175"/>
        <v>0</v>
      </c>
      <c r="DO229" s="798">
        <f t="shared" si="175"/>
        <v>0</v>
      </c>
      <c r="DP229" s="798">
        <f t="shared" si="175"/>
        <v>0</v>
      </c>
      <c r="DQ229" s="798">
        <f t="shared" si="175"/>
        <v>0</v>
      </c>
      <c r="DR229" s="798">
        <f t="shared" si="175"/>
        <v>0</v>
      </c>
      <c r="DS229" s="798">
        <f t="shared" si="175"/>
        <v>0</v>
      </c>
      <c r="DT229" s="798">
        <f t="shared" si="175"/>
        <v>0</v>
      </c>
      <c r="DU229" s="798">
        <f t="shared" si="175"/>
        <v>0</v>
      </c>
      <c r="DV229" s="798"/>
      <c r="DW229" s="798"/>
      <c r="DX229" s="798"/>
      <c r="DY229" s="798"/>
      <c r="DZ229" s="798"/>
      <c r="EA229" s="798"/>
      <c r="EB229" s="798"/>
      <c r="EC229" s="798"/>
      <c r="ED229" s="798"/>
      <c r="EE229" s="798"/>
      <c r="EF229" s="798"/>
      <c r="EG229" s="798"/>
      <c r="EH229" s="782"/>
    </row>
    <row r="230" spans="1:138" ht="12.75" customHeight="1" x14ac:dyDescent="0.3">
      <c r="A230" s="782"/>
      <c r="B230" s="800" t="s">
        <v>142</v>
      </c>
      <c r="C230" s="801">
        <f>XIRR('Venture Summary - Mthly'!$E$229:$DU$229,$E$4:$DU$4)</f>
        <v>0.21550791859626769</v>
      </c>
      <c r="D230" s="782"/>
      <c r="E230" s="782"/>
      <c r="F230" s="782"/>
      <c r="G230" s="782"/>
      <c r="H230" s="782"/>
      <c r="I230" s="782"/>
      <c r="J230" s="782"/>
      <c r="K230" s="782"/>
      <c r="L230" s="782"/>
      <c r="M230" s="782"/>
      <c r="N230" s="782"/>
      <c r="O230" s="782"/>
      <c r="P230" s="782"/>
      <c r="Q230" s="782"/>
      <c r="R230" s="782"/>
      <c r="S230" s="782"/>
      <c r="T230" s="782"/>
      <c r="U230" s="782"/>
      <c r="V230" s="782"/>
      <c r="W230" s="782"/>
      <c r="X230" s="782"/>
      <c r="Y230" s="782"/>
      <c r="Z230" s="782"/>
      <c r="AA230" s="782"/>
      <c r="AB230" s="782"/>
      <c r="AC230" s="782"/>
      <c r="AD230" s="782"/>
      <c r="AE230" s="782"/>
      <c r="AF230" s="782"/>
      <c r="AG230" s="782"/>
      <c r="AH230" s="782"/>
      <c r="AI230" s="782"/>
      <c r="AJ230" s="782"/>
      <c r="AK230" s="782"/>
      <c r="AL230" s="782"/>
      <c r="AM230" s="782"/>
      <c r="AN230" s="782"/>
      <c r="AO230" s="782"/>
      <c r="AP230" s="782"/>
      <c r="AQ230" s="782"/>
      <c r="AR230" s="782"/>
      <c r="AS230" s="782"/>
      <c r="AT230" s="782"/>
      <c r="AU230" s="782"/>
      <c r="AV230" s="782"/>
      <c r="AW230" s="782"/>
      <c r="AX230" s="782"/>
      <c r="AY230" s="782"/>
      <c r="AZ230" s="782"/>
      <c r="BA230" s="782"/>
      <c r="BB230" s="782"/>
      <c r="BC230" s="782"/>
      <c r="BD230" s="782"/>
      <c r="BE230" s="782"/>
      <c r="BF230" s="782"/>
      <c r="BG230" s="782"/>
      <c r="BH230" s="782"/>
      <c r="BI230" s="782"/>
      <c r="BJ230" s="782"/>
      <c r="BK230" s="782"/>
      <c r="BL230" s="782"/>
      <c r="BM230" s="782"/>
      <c r="BN230" s="782"/>
      <c r="BO230" s="782"/>
      <c r="BP230" s="782"/>
      <c r="BQ230" s="782"/>
      <c r="BR230" s="782"/>
      <c r="BS230" s="782"/>
      <c r="BT230" s="782"/>
      <c r="BU230" s="782"/>
      <c r="BV230" s="782"/>
      <c r="BW230" s="782"/>
      <c r="BX230" s="782"/>
      <c r="BY230" s="782"/>
      <c r="BZ230" s="782"/>
      <c r="CA230" s="782"/>
      <c r="CB230" s="782"/>
      <c r="CC230" s="782"/>
      <c r="CD230" s="782"/>
      <c r="CE230" s="782"/>
      <c r="CF230" s="782"/>
      <c r="CG230" s="782"/>
      <c r="CH230" s="782"/>
      <c r="CI230" s="782"/>
      <c r="CJ230" s="782"/>
      <c r="CK230" s="782"/>
      <c r="CL230" s="782"/>
      <c r="CM230" s="782"/>
      <c r="CN230" s="782"/>
      <c r="CO230" s="782"/>
      <c r="CP230" s="782"/>
      <c r="CQ230" s="782"/>
      <c r="CR230" s="782"/>
      <c r="CS230" s="782"/>
      <c r="CT230" s="782"/>
      <c r="CU230" s="782"/>
      <c r="CV230" s="782"/>
      <c r="CW230" s="782"/>
      <c r="CX230" s="782"/>
      <c r="CY230" s="782"/>
      <c r="CZ230" s="782"/>
      <c r="DA230" s="782"/>
      <c r="DB230" s="782"/>
      <c r="DC230" s="782"/>
      <c r="DD230" s="782"/>
      <c r="DE230" s="782"/>
      <c r="DF230" s="782"/>
      <c r="DG230" s="782"/>
      <c r="DH230" s="782"/>
      <c r="DI230" s="782"/>
      <c r="DJ230" s="782"/>
      <c r="DK230" s="782"/>
      <c r="DL230" s="782"/>
      <c r="DM230" s="782"/>
      <c r="DN230" s="782"/>
      <c r="DO230" s="782"/>
      <c r="DP230" s="782"/>
      <c r="DQ230" s="782"/>
      <c r="DR230" s="782"/>
      <c r="DS230" s="782"/>
      <c r="DT230" s="782"/>
      <c r="DU230" s="782"/>
      <c r="DV230" s="798"/>
      <c r="DW230" s="798"/>
      <c r="DX230" s="798"/>
      <c r="DY230" s="798"/>
      <c r="DZ230" s="798"/>
      <c r="EA230" s="798"/>
      <c r="EB230" s="798"/>
      <c r="EC230" s="798"/>
      <c r="ED230" s="798"/>
      <c r="EE230" s="798"/>
      <c r="EF230" s="798"/>
      <c r="EG230" s="798"/>
      <c r="EH230" s="782"/>
    </row>
    <row r="231" spans="1:138" ht="12.75" customHeight="1" x14ac:dyDescent="0.3">
      <c r="A231" s="782"/>
      <c r="B231" s="782"/>
      <c r="C231" s="798"/>
      <c r="D231" s="782"/>
      <c r="E231" s="782"/>
      <c r="F231" s="782"/>
      <c r="G231" s="782"/>
      <c r="H231" s="782"/>
      <c r="I231" s="782"/>
      <c r="J231" s="782"/>
      <c r="K231" s="782"/>
      <c r="L231" s="782"/>
      <c r="M231" s="782"/>
      <c r="N231" s="782"/>
      <c r="O231" s="782"/>
      <c r="P231" s="782"/>
      <c r="Q231" s="782"/>
      <c r="R231" s="782"/>
      <c r="S231" s="782"/>
      <c r="T231" s="782"/>
      <c r="U231" s="782"/>
      <c r="V231" s="782"/>
      <c r="W231" s="782"/>
      <c r="X231" s="782"/>
      <c r="Y231" s="782"/>
      <c r="Z231" s="782"/>
      <c r="AA231" s="782"/>
      <c r="AB231" s="782"/>
      <c r="AC231" s="782"/>
      <c r="AD231" s="782"/>
      <c r="AE231" s="782"/>
      <c r="AF231" s="782"/>
      <c r="AG231" s="782"/>
      <c r="AH231" s="782"/>
      <c r="AI231" s="782"/>
      <c r="AJ231" s="782"/>
      <c r="AK231" s="782"/>
      <c r="AL231" s="782"/>
      <c r="AM231" s="782"/>
      <c r="AN231" s="782"/>
      <c r="AO231" s="782"/>
      <c r="AP231" s="782"/>
      <c r="AQ231" s="782"/>
      <c r="AR231" s="782"/>
      <c r="AS231" s="782"/>
      <c r="AT231" s="782"/>
      <c r="AU231" s="782"/>
      <c r="AV231" s="782"/>
      <c r="AW231" s="782"/>
      <c r="AX231" s="782"/>
      <c r="AY231" s="782"/>
      <c r="AZ231" s="782"/>
      <c r="BA231" s="782"/>
      <c r="BB231" s="782"/>
      <c r="BC231" s="782"/>
      <c r="BD231" s="782"/>
      <c r="BE231" s="782"/>
      <c r="BF231" s="782"/>
      <c r="BG231" s="782"/>
      <c r="BH231" s="782"/>
      <c r="BI231" s="782"/>
      <c r="BJ231" s="782"/>
      <c r="BK231" s="782"/>
      <c r="BL231" s="782"/>
      <c r="BM231" s="782"/>
      <c r="BN231" s="782"/>
      <c r="BO231" s="782"/>
      <c r="BP231" s="782"/>
      <c r="BQ231" s="782"/>
      <c r="BR231" s="782"/>
      <c r="BS231" s="782"/>
      <c r="BT231" s="782"/>
      <c r="BU231" s="782"/>
      <c r="BV231" s="782"/>
      <c r="BW231" s="782"/>
      <c r="BX231" s="782"/>
      <c r="BY231" s="782"/>
      <c r="BZ231" s="782"/>
      <c r="CA231" s="782"/>
      <c r="CB231" s="782"/>
      <c r="CC231" s="782"/>
      <c r="CD231" s="782"/>
      <c r="CE231" s="782"/>
      <c r="CF231" s="782"/>
      <c r="CG231" s="782"/>
      <c r="CH231" s="782"/>
      <c r="CI231" s="782"/>
      <c r="CJ231" s="782"/>
      <c r="CK231" s="782"/>
      <c r="CL231" s="782"/>
      <c r="CM231" s="782"/>
      <c r="CN231" s="782"/>
      <c r="CO231" s="782"/>
      <c r="CP231" s="782"/>
      <c r="CQ231" s="782"/>
      <c r="CR231" s="782"/>
      <c r="CS231" s="782"/>
      <c r="CT231" s="782"/>
      <c r="CU231" s="782"/>
      <c r="CV231" s="782"/>
      <c r="CW231" s="782"/>
      <c r="CX231" s="782"/>
      <c r="CY231" s="782"/>
      <c r="CZ231" s="782"/>
      <c r="DA231" s="782"/>
      <c r="DB231" s="782"/>
      <c r="DC231" s="782"/>
      <c r="DD231" s="782"/>
      <c r="DE231" s="782"/>
      <c r="DF231" s="782"/>
      <c r="DG231" s="782"/>
      <c r="DH231" s="782"/>
      <c r="DI231" s="782"/>
      <c r="DJ231" s="782"/>
      <c r="DK231" s="782"/>
      <c r="DL231" s="782"/>
      <c r="DM231" s="782"/>
      <c r="DN231" s="782"/>
      <c r="DO231" s="782"/>
      <c r="DP231" s="782"/>
      <c r="DQ231" s="782"/>
      <c r="DR231" s="782"/>
      <c r="DS231" s="782"/>
      <c r="DT231" s="782"/>
      <c r="DU231" s="782"/>
      <c r="DV231" s="798"/>
      <c r="DW231" s="798"/>
      <c r="DX231" s="798"/>
      <c r="DY231" s="798"/>
      <c r="DZ231" s="798"/>
      <c r="EA231" s="798"/>
      <c r="EB231" s="798"/>
      <c r="EC231" s="798"/>
      <c r="ED231" s="798"/>
      <c r="EE231" s="798"/>
      <c r="EF231" s="798"/>
      <c r="EG231" s="798"/>
      <c r="EH231" s="782"/>
    </row>
    <row r="232" spans="1:138" ht="12.75" customHeight="1" x14ac:dyDescent="0.3">
      <c r="A232" s="782"/>
      <c r="B232" s="793" t="s">
        <v>143</v>
      </c>
      <c r="C232" s="794"/>
      <c r="D232" s="794"/>
      <c r="E232" s="794"/>
      <c r="F232" s="794"/>
      <c r="G232" s="794"/>
      <c r="H232" s="794"/>
      <c r="I232" s="794"/>
      <c r="J232" s="794"/>
      <c r="K232" s="794"/>
      <c r="L232" s="794"/>
      <c r="M232" s="794"/>
      <c r="N232" s="794"/>
      <c r="O232" s="794"/>
      <c r="P232" s="794"/>
      <c r="Q232" s="794"/>
      <c r="R232" s="794"/>
      <c r="S232" s="794"/>
      <c r="T232" s="794"/>
      <c r="U232" s="794"/>
      <c r="V232" s="794"/>
      <c r="W232" s="794"/>
      <c r="X232" s="794"/>
      <c r="Y232" s="794"/>
      <c r="Z232" s="794"/>
      <c r="AA232" s="794"/>
      <c r="AB232" s="794"/>
      <c r="AC232" s="794"/>
      <c r="AD232" s="794"/>
      <c r="AE232" s="794"/>
      <c r="AF232" s="794"/>
      <c r="AG232" s="794"/>
      <c r="AH232" s="794"/>
      <c r="AI232" s="794"/>
      <c r="AJ232" s="794"/>
      <c r="AK232" s="794"/>
      <c r="AL232" s="794"/>
      <c r="AM232" s="794"/>
      <c r="AN232" s="794"/>
      <c r="AO232" s="794"/>
      <c r="AP232" s="794"/>
      <c r="AQ232" s="794"/>
      <c r="AR232" s="794"/>
      <c r="AS232" s="794"/>
      <c r="AT232" s="794"/>
      <c r="AU232" s="794"/>
      <c r="AV232" s="794"/>
      <c r="AW232" s="794"/>
      <c r="AX232" s="794"/>
      <c r="AY232" s="794"/>
      <c r="AZ232" s="794"/>
      <c r="BA232" s="794"/>
      <c r="BB232" s="794"/>
      <c r="BC232" s="794"/>
      <c r="BD232" s="794"/>
      <c r="BE232" s="794"/>
      <c r="BF232" s="794"/>
      <c r="BG232" s="794"/>
      <c r="BH232" s="794"/>
      <c r="BI232" s="794"/>
      <c r="BJ232" s="794"/>
      <c r="BK232" s="794"/>
      <c r="BL232" s="794"/>
      <c r="BM232" s="794"/>
      <c r="BN232" s="794"/>
      <c r="BO232" s="794"/>
      <c r="BP232" s="794"/>
      <c r="BQ232" s="794"/>
      <c r="BR232" s="794"/>
      <c r="BS232" s="794"/>
      <c r="BT232" s="794"/>
      <c r="BU232" s="794"/>
      <c r="BV232" s="794"/>
      <c r="BW232" s="794"/>
      <c r="BX232" s="794"/>
      <c r="BY232" s="794"/>
      <c r="BZ232" s="794"/>
      <c r="CA232" s="794"/>
      <c r="CB232" s="794"/>
      <c r="CC232" s="794"/>
      <c r="CD232" s="794"/>
      <c r="CE232" s="794"/>
      <c r="CF232" s="794"/>
      <c r="CG232" s="794"/>
      <c r="CH232" s="794"/>
      <c r="CI232" s="794"/>
      <c r="CJ232" s="794"/>
      <c r="CK232" s="794"/>
      <c r="CL232" s="794"/>
      <c r="CM232" s="794"/>
      <c r="CN232" s="794"/>
      <c r="CO232" s="794"/>
      <c r="CP232" s="794"/>
      <c r="CQ232" s="794"/>
      <c r="CR232" s="794"/>
      <c r="CS232" s="794"/>
      <c r="CT232" s="794"/>
      <c r="CU232" s="794"/>
      <c r="CV232" s="794"/>
      <c r="CW232" s="794"/>
      <c r="CX232" s="794"/>
      <c r="CY232" s="794"/>
      <c r="CZ232" s="794"/>
      <c r="DA232" s="794"/>
      <c r="DB232" s="794"/>
      <c r="DC232" s="794"/>
      <c r="DD232" s="794"/>
      <c r="DE232" s="794"/>
      <c r="DF232" s="794"/>
      <c r="DG232" s="794"/>
      <c r="DH232" s="794"/>
      <c r="DI232" s="794"/>
      <c r="DJ232" s="794"/>
      <c r="DK232" s="794"/>
      <c r="DL232" s="794"/>
      <c r="DM232" s="794"/>
      <c r="DN232" s="794"/>
      <c r="DO232" s="794"/>
      <c r="DP232" s="794"/>
      <c r="DQ232" s="794"/>
      <c r="DR232" s="794"/>
      <c r="DS232" s="794"/>
      <c r="DT232" s="794"/>
      <c r="DU232" s="794"/>
      <c r="DV232" s="794"/>
      <c r="DW232" s="794"/>
      <c r="DX232" s="794"/>
      <c r="DY232" s="794"/>
      <c r="DZ232" s="794"/>
      <c r="EA232" s="794"/>
      <c r="EB232" s="794"/>
      <c r="EC232" s="794"/>
      <c r="ED232" s="794"/>
      <c r="EE232" s="794"/>
      <c r="EF232" s="794"/>
      <c r="EG232" s="794"/>
      <c r="EH232" s="794"/>
    </row>
    <row r="233" spans="1:138" ht="12.75" customHeight="1" x14ac:dyDescent="0.3">
      <c r="A233" s="782"/>
      <c r="B233" s="782"/>
      <c r="C233" s="798"/>
      <c r="D233" s="782"/>
      <c r="E233" s="798"/>
      <c r="F233" s="798"/>
      <c r="G233" s="798"/>
      <c r="H233" s="798"/>
      <c r="I233" s="798"/>
      <c r="J233" s="798"/>
      <c r="K233" s="798"/>
      <c r="L233" s="798"/>
      <c r="M233" s="798"/>
      <c r="N233" s="798"/>
      <c r="O233" s="798"/>
      <c r="P233" s="798"/>
      <c r="Q233" s="798"/>
      <c r="R233" s="798"/>
      <c r="S233" s="798"/>
      <c r="T233" s="798"/>
      <c r="U233" s="798"/>
      <c r="V233" s="798"/>
      <c r="W233" s="798"/>
      <c r="X233" s="798"/>
      <c r="Y233" s="798"/>
      <c r="Z233" s="798"/>
      <c r="AA233" s="798"/>
      <c r="AB233" s="798"/>
      <c r="AC233" s="798"/>
      <c r="AD233" s="798"/>
      <c r="AE233" s="798"/>
      <c r="AF233" s="798"/>
      <c r="AG233" s="798"/>
      <c r="AH233" s="798"/>
      <c r="AI233" s="798"/>
      <c r="AJ233" s="798"/>
      <c r="AK233" s="798"/>
      <c r="AL233" s="798"/>
      <c r="AM233" s="798"/>
      <c r="AN233" s="798"/>
      <c r="AO233" s="798"/>
      <c r="AP233" s="798"/>
      <c r="AQ233" s="798"/>
      <c r="AR233" s="798"/>
      <c r="AS233" s="798"/>
      <c r="AT233" s="798"/>
      <c r="AU233" s="798"/>
      <c r="AV233" s="798"/>
      <c r="AW233" s="798"/>
      <c r="AX233" s="798"/>
      <c r="AY233" s="798"/>
      <c r="AZ233" s="798"/>
      <c r="BA233" s="798"/>
      <c r="BB233" s="798"/>
      <c r="BC233" s="798"/>
      <c r="BD233" s="798"/>
      <c r="BE233" s="798"/>
      <c r="BF233" s="798"/>
      <c r="BG233" s="798"/>
      <c r="BH233" s="798"/>
      <c r="BI233" s="798"/>
      <c r="BJ233" s="798"/>
      <c r="BK233" s="798"/>
      <c r="BL233" s="798"/>
      <c r="BM233" s="798"/>
      <c r="BN233" s="798"/>
      <c r="BO233" s="798"/>
      <c r="BP233" s="798"/>
      <c r="BQ233" s="798"/>
      <c r="BR233" s="798"/>
      <c r="BS233" s="798"/>
      <c r="BT233" s="798"/>
      <c r="BU233" s="798"/>
      <c r="BV233" s="798"/>
      <c r="BW233" s="798"/>
      <c r="BX233" s="798"/>
      <c r="BY233" s="798"/>
      <c r="BZ233" s="798"/>
      <c r="CA233" s="798"/>
      <c r="CB233" s="798"/>
      <c r="CC233" s="798"/>
      <c r="CD233" s="798"/>
      <c r="CE233" s="798"/>
      <c r="CF233" s="798"/>
      <c r="CG233" s="798"/>
      <c r="CH233" s="798"/>
      <c r="CI233" s="798"/>
      <c r="CJ233" s="798"/>
      <c r="CK233" s="798"/>
      <c r="CL233" s="798"/>
      <c r="CM233" s="798"/>
      <c r="CN233" s="798"/>
      <c r="CO233" s="798"/>
      <c r="CP233" s="798"/>
      <c r="CQ233" s="798"/>
      <c r="CR233" s="798"/>
      <c r="CS233" s="798"/>
      <c r="CT233" s="798"/>
      <c r="CU233" s="798"/>
      <c r="CV233" s="798"/>
      <c r="CW233" s="798"/>
      <c r="CX233" s="798"/>
      <c r="CY233" s="798"/>
      <c r="CZ233" s="798"/>
      <c r="DA233" s="798"/>
      <c r="DB233" s="798"/>
      <c r="DC233" s="798"/>
      <c r="DD233" s="798"/>
      <c r="DE233" s="798"/>
      <c r="DF233" s="798"/>
      <c r="DG233" s="798"/>
      <c r="DH233" s="798"/>
      <c r="DI233" s="798"/>
      <c r="DJ233" s="798"/>
      <c r="DK233" s="798"/>
      <c r="DL233" s="798"/>
      <c r="DM233" s="798"/>
      <c r="DN233" s="798"/>
      <c r="DO233" s="798"/>
      <c r="DP233" s="798"/>
      <c r="DQ233" s="798"/>
      <c r="DR233" s="798"/>
      <c r="DS233" s="798"/>
      <c r="DT233" s="798"/>
      <c r="DU233" s="798"/>
      <c r="DV233" s="798"/>
      <c r="DW233" s="798"/>
      <c r="DX233" s="798"/>
      <c r="DY233" s="798"/>
      <c r="DZ233" s="798"/>
      <c r="EA233" s="798"/>
      <c r="EB233" s="798"/>
      <c r="EC233" s="798"/>
      <c r="ED233" s="798"/>
      <c r="EE233" s="798"/>
      <c r="EF233" s="798"/>
      <c r="EG233" s="798"/>
      <c r="EH233" s="782"/>
    </row>
    <row r="234" spans="1:138" ht="12.75" customHeight="1" x14ac:dyDescent="0.3">
      <c r="A234" s="782"/>
      <c r="B234" s="782" t="s">
        <v>41</v>
      </c>
      <c r="C234" s="808">
        <f>+'Venture Assumptions'!F44</f>
        <v>8.2500000000000004E-2</v>
      </c>
      <c r="D234" s="782"/>
      <c r="E234" s="782"/>
      <c r="F234" s="798"/>
      <c r="G234" s="798"/>
      <c r="H234" s="798"/>
      <c r="I234" s="798"/>
      <c r="J234" s="798"/>
      <c r="K234" s="798"/>
      <c r="L234" s="798"/>
      <c r="M234" s="798"/>
      <c r="N234" s="798"/>
      <c r="O234" s="798"/>
      <c r="P234" s="798"/>
      <c r="Q234" s="798"/>
      <c r="R234" s="798"/>
      <c r="S234" s="798"/>
      <c r="T234" s="798"/>
      <c r="U234" s="798"/>
      <c r="V234" s="798"/>
      <c r="W234" s="798"/>
      <c r="X234" s="798"/>
      <c r="Y234" s="798"/>
      <c r="Z234" s="798"/>
      <c r="AA234" s="798"/>
      <c r="AB234" s="798"/>
      <c r="AC234" s="798"/>
      <c r="AD234" s="798"/>
      <c r="AE234" s="798"/>
      <c r="AF234" s="798"/>
      <c r="AG234" s="798"/>
      <c r="AH234" s="798"/>
      <c r="AI234" s="798"/>
      <c r="AJ234" s="798"/>
      <c r="AK234" s="798"/>
      <c r="AL234" s="798"/>
      <c r="AM234" s="798"/>
      <c r="AN234" s="798"/>
      <c r="AO234" s="798"/>
      <c r="AP234" s="798"/>
      <c r="AQ234" s="798"/>
      <c r="AR234" s="798"/>
      <c r="AS234" s="798"/>
      <c r="AT234" s="798"/>
      <c r="AU234" s="798"/>
      <c r="AV234" s="798"/>
      <c r="AW234" s="798"/>
      <c r="AX234" s="798"/>
      <c r="AY234" s="798"/>
      <c r="AZ234" s="798"/>
      <c r="BA234" s="798"/>
      <c r="BB234" s="798"/>
      <c r="BC234" s="798"/>
      <c r="BD234" s="798"/>
      <c r="BE234" s="798"/>
      <c r="BF234" s="798"/>
      <c r="BG234" s="798"/>
      <c r="BH234" s="798"/>
      <c r="BI234" s="798"/>
      <c r="BJ234" s="798"/>
      <c r="BK234" s="798"/>
      <c r="BL234" s="798"/>
      <c r="BM234" s="798"/>
      <c r="BN234" s="798"/>
      <c r="BO234" s="798"/>
      <c r="BP234" s="798"/>
      <c r="BQ234" s="798"/>
      <c r="BR234" s="798"/>
      <c r="BS234" s="798"/>
      <c r="BT234" s="798"/>
      <c r="BU234" s="798"/>
      <c r="BV234" s="798"/>
      <c r="BW234" s="798"/>
      <c r="BX234" s="798"/>
      <c r="BY234" s="798"/>
      <c r="BZ234" s="798"/>
      <c r="CA234" s="798"/>
      <c r="CB234" s="798"/>
      <c r="CC234" s="798"/>
      <c r="CD234" s="798"/>
      <c r="CE234" s="798"/>
      <c r="CF234" s="798"/>
      <c r="CG234" s="798"/>
      <c r="CH234" s="798"/>
      <c r="CI234" s="798"/>
      <c r="CJ234" s="798"/>
      <c r="CK234" s="798"/>
      <c r="CL234" s="798"/>
      <c r="CM234" s="798"/>
      <c r="CN234" s="798"/>
      <c r="CO234" s="798"/>
      <c r="CP234" s="798"/>
      <c r="CQ234" s="798"/>
      <c r="CR234" s="798"/>
      <c r="CS234" s="798"/>
      <c r="CT234" s="798"/>
      <c r="CU234" s="798"/>
      <c r="CV234" s="798"/>
      <c r="CW234" s="798"/>
      <c r="CX234" s="798"/>
      <c r="CY234" s="798"/>
      <c r="CZ234" s="798"/>
      <c r="DA234" s="798"/>
      <c r="DB234" s="798"/>
      <c r="DC234" s="798"/>
      <c r="DD234" s="798"/>
      <c r="DE234" s="798"/>
      <c r="DF234" s="798"/>
      <c r="DG234" s="798"/>
      <c r="DH234" s="798"/>
      <c r="DI234" s="798"/>
      <c r="DJ234" s="798"/>
      <c r="DK234" s="798"/>
      <c r="DL234" s="798"/>
      <c r="DM234" s="798"/>
      <c r="DN234" s="798"/>
      <c r="DO234" s="798"/>
      <c r="DP234" s="798"/>
      <c r="DQ234" s="798"/>
      <c r="DR234" s="798"/>
      <c r="DS234" s="798"/>
      <c r="DT234" s="798"/>
      <c r="DU234" s="798"/>
      <c r="DV234" s="798"/>
      <c r="DW234" s="798"/>
      <c r="DX234" s="798"/>
      <c r="DY234" s="798"/>
      <c r="DZ234" s="798"/>
      <c r="EA234" s="798"/>
      <c r="EB234" s="798"/>
      <c r="EC234" s="798"/>
      <c r="ED234" s="798"/>
      <c r="EE234" s="798"/>
      <c r="EF234" s="798"/>
      <c r="EG234" s="798"/>
      <c r="EH234" s="782"/>
    </row>
    <row r="235" spans="1:138" ht="12.75" customHeight="1" x14ac:dyDescent="0.3">
      <c r="A235" s="782"/>
      <c r="B235" s="791" t="s">
        <v>42</v>
      </c>
      <c r="C235" s="808">
        <f>(1+C234)^(1/365)-1</f>
        <v>2.1721038373123669E-4</v>
      </c>
      <c r="D235" s="782"/>
      <c r="E235" s="782"/>
      <c r="F235" s="798"/>
      <c r="G235" s="798"/>
      <c r="H235" s="798"/>
      <c r="I235" s="798"/>
      <c r="J235" s="798"/>
      <c r="K235" s="798"/>
      <c r="L235" s="798"/>
      <c r="M235" s="798"/>
      <c r="N235" s="798"/>
      <c r="O235" s="798"/>
      <c r="P235" s="798"/>
      <c r="Q235" s="798"/>
      <c r="R235" s="798"/>
      <c r="S235" s="798"/>
      <c r="T235" s="798"/>
      <c r="U235" s="798"/>
      <c r="V235" s="798"/>
      <c r="W235" s="798"/>
      <c r="X235" s="798"/>
      <c r="Y235" s="798"/>
      <c r="Z235" s="798"/>
      <c r="AA235" s="798"/>
      <c r="AB235" s="798"/>
      <c r="AC235" s="798"/>
      <c r="AD235" s="798"/>
      <c r="AE235" s="798"/>
      <c r="AF235" s="798"/>
      <c r="AG235" s="798"/>
      <c r="AH235" s="798"/>
      <c r="AI235" s="798"/>
      <c r="AJ235" s="798"/>
      <c r="AK235" s="798"/>
      <c r="AL235" s="798"/>
      <c r="AM235" s="798"/>
      <c r="AN235" s="798"/>
      <c r="AO235" s="798"/>
      <c r="AP235" s="798"/>
      <c r="AQ235" s="798"/>
      <c r="AR235" s="798"/>
      <c r="AS235" s="798"/>
      <c r="AT235" s="798"/>
      <c r="AU235" s="798"/>
      <c r="AV235" s="798"/>
      <c r="AW235" s="798"/>
      <c r="AX235" s="798"/>
      <c r="AY235" s="798"/>
      <c r="AZ235" s="798"/>
      <c r="BA235" s="798"/>
      <c r="BB235" s="798"/>
      <c r="BC235" s="798"/>
      <c r="BD235" s="798"/>
      <c r="BE235" s="798"/>
      <c r="BF235" s="798"/>
      <c r="BG235" s="798"/>
      <c r="BH235" s="798"/>
      <c r="BI235" s="798"/>
      <c r="BJ235" s="798"/>
      <c r="BK235" s="798"/>
      <c r="BL235" s="798"/>
      <c r="BM235" s="798"/>
      <c r="BN235" s="798"/>
      <c r="BO235" s="798"/>
      <c r="BP235" s="798"/>
      <c r="BQ235" s="798"/>
      <c r="BR235" s="798"/>
      <c r="BS235" s="798"/>
      <c r="BT235" s="798"/>
      <c r="BU235" s="798"/>
      <c r="BV235" s="798"/>
      <c r="BW235" s="798"/>
      <c r="BX235" s="798"/>
      <c r="BY235" s="798"/>
      <c r="BZ235" s="798"/>
      <c r="CA235" s="798"/>
      <c r="CB235" s="798"/>
      <c r="CC235" s="798"/>
      <c r="CD235" s="798"/>
      <c r="CE235" s="798"/>
      <c r="CF235" s="798"/>
      <c r="CG235" s="798"/>
      <c r="CH235" s="798"/>
      <c r="CI235" s="798"/>
      <c r="CJ235" s="798"/>
      <c r="CK235" s="798"/>
      <c r="CL235" s="798"/>
      <c r="CM235" s="798"/>
      <c r="CN235" s="798"/>
      <c r="CO235" s="798"/>
      <c r="CP235" s="798"/>
      <c r="CQ235" s="798"/>
      <c r="CR235" s="798"/>
      <c r="CS235" s="798"/>
      <c r="CT235" s="798"/>
      <c r="CU235" s="798"/>
      <c r="CV235" s="798"/>
      <c r="CW235" s="798"/>
      <c r="CX235" s="798"/>
      <c r="CY235" s="798"/>
      <c r="CZ235" s="798"/>
      <c r="DA235" s="798"/>
      <c r="DB235" s="798"/>
      <c r="DC235" s="798"/>
      <c r="DD235" s="798"/>
      <c r="DE235" s="798"/>
      <c r="DF235" s="798"/>
      <c r="DG235" s="798"/>
      <c r="DH235" s="798"/>
      <c r="DI235" s="798"/>
      <c r="DJ235" s="798"/>
      <c r="DK235" s="798"/>
      <c r="DL235" s="798"/>
      <c r="DM235" s="798"/>
      <c r="DN235" s="798"/>
      <c r="DO235" s="798"/>
      <c r="DP235" s="798"/>
      <c r="DQ235" s="798"/>
      <c r="DR235" s="798"/>
      <c r="DS235" s="798"/>
      <c r="DT235" s="798"/>
      <c r="DU235" s="798"/>
      <c r="DV235" s="798"/>
      <c r="DW235" s="798"/>
      <c r="DX235" s="798"/>
      <c r="DY235" s="798"/>
      <c r="DZ235" s="798"/>
      <c r="EA235" s="798"/>
      <c r="EB235" s="798"/>
      <c r="EC235" s="798"/>
      <c r="ED235" s="798"/>
      <c r="EE235" s="798"/>
      <c r="EF235" s="798"/>
      <c r="EG235" s="798"/>
      <c r="EH235" s="782"/>
    </row>
    <row r="236" spans="1:138" ht="12.75" customHeight="1" x14ac:dyDescent="0.3">
      <c r="A236" s="782"/>
      <c r="B236" s="782" t="s">
        <v>43</v>
      </c>
      <c r="C236" s="808">
        <f>+'Venture Assumptions'!F47</f>
        <v>0.1</v>
      </c>
      <c r="D236" s="782"/>
      <c r="E236" s="782"/>
      <c r="F236" s="798"/>
      <c r="G236" s="798"/>
      <c r="H236" s="798"/>
      <c r="I236" s="798"/>
      <c r="J236" s="798"/>
      <c r="K236" s="798"/>
      <c r="L236" s="798"/>
      <c r="M236" s="798"/>
      <c r="N236" s="798"/>
      <c r="O236" s="798"/>
      <c r="P236" s="798"/>
      <c r="Q236" s="798"/>
      <c r="R236" s="798"/>
      <c r="S236" s="798"/>
      <c r="T236" s="798"/>
      <c r="U236" s="798"/>
      <c r="V236" s="798"/>
      <c r="W236" s="798"/>
      <c r="X236" s="798"/>
      <c r="Y236" s="798"/>
      <c r="Z236" s="798"/>
      <c r="AA236" s="798"/>
      <c r="AB236" s="798"/>
      <c r="AC236" s="798"/>
      <c r="AD236" s="798"/>
      <c r="AE236" s="798"/>
      <c r="AF236" s="798"/>
      <c r="AG236" s="798"/>
      <c r="AH236" s="798"/>
      <c r="AI236" s="798"/>
      <c r="AJ236" s="798"/>
      <c r="AK236" s="798"/>
      <c r="AL236" s="798"/>
      <c r="AM236" s="798"/>
      <c r="AN236" s="798"/>
      <c r="AO236" s="798"/>
      <c r="AP236" s="798"/>
      <c r="AQ236" s="798"/>
      <c r="AR236" s="798"/>
      <c r="AS236" s="798"/>
      <c r="AT236" s="798"/>
      <c r="AU236" s="798"/>
      <c r="AV236" s="798"/>
      <c r="AW236" s="798"/>
      <c r="AX236" s="798"/>
      <c r="AY236" s="798"/>
      <c r="AZ236" s="798"/>
      <c r="BA236" s="798"/>
      <c r="BB236" s="798"/>
      <c r="BC236" s="798"/>
      <c r="BD236" s="798"/>
      <c r="BE236" s="798"/>
      <c r="BF236" s="798"/>
      <c r="BG236" s="798"/>
      <c r="BH236" s="798"/>
      <c r="BI236" s="798"/>
      <c r="BJ236" s="798"/>
      <c r="BK236" s="798"/>
      <c r="BL236" s="798"/>
      <c r="BM236" s="798"/>
      <c r="BN236" s="798"/>
      <c r="BO236" s="798"/>
      <c r="BP236" s="798"/>
      <c r="BQ236" s="798"/>
      <c r="BR236" s="798"/>
      <c r="BS236" s="798"/>
      <c r="BT236" s="798"/>
      <c r="BU236" s="798"/>
      <c r="BV236" s="798"/>
      <c r="BW236" s="798"/>
      <c r="BX236" s="798"/>
      <c r="BY236" s="798"/>
      <c r="BZ236" s="798"/>
      <c r="CA236" s="798"/>
      <c r="CB236" s="798"/>
      <c r="CC236" s="798"/>
      <c r="CD236" s="798"/>
      <c r="CE236" s="798"/>
      <c r="CF236" s="798"/>
      <c r="CG236" s="798"/>
      <c r="CH236" s="798"/>
      <c r="CI236" s="798"/>
      <c r="CJ236" s="798"/>
      <c r="CK236" s="798"/>
      <c r="CL236" s="798"/>
      <c r="CM236" s="798"/>
      <c r="CN236" s="798"/>
      <c r="CO236" s="798"/>
      <c r="CP236" s="798"/>
      <c r="CQ236" s="798"/>
      <c r="CR236" s="798"/>
      <c r="CS236" s="798"/>
      <c r="CT236" s="798"/>
      <c r="CU236" s="798"/>
      <c r="CV236" s="798"/>
      <c r="CW236" s="798"/>
      <c r="CX236" s="798"/>
      <c r="CY236" s="798"/>
      <c r="CZ236" s="798"/>
      <c r="DA236" s="798"/>
      <c r="DB236" s="798"/>
      <c r="DC236" s="798"/>
      <c r="DD236" s="798"/>
      <c r="DE236" s="798"/>
      <c r="DF236" s="798"/>
      <c r="DG236" s="798"/>
      <c r="DH236" s="798"/>
      <c r="DI236" s="798"/>
      <c r="DJ236" s="798"/>
      <c r="DK236" s="798"/>
      <c r="DL236" s="798"/>
      <c r="DM236" s="798"/>
      <c r="DN236" s="798"/>
      <c r="DO236" s="798"/>
      <c r="DP236" s="798"/>
      <c r="DQ236" s="798"/>
      <c r="DR236" s="798"/>
      <c r="DS236" s="798"/>
      <c r="DT236" s="798"/>
      <c r="DU236" s="798"/>
      <c r="DV236" s="798"/>
      <c r="DW236" s="798"/>
      <c r="DX236" s="798"/>
      <c r="DY236" s="798"/>
      <c r="DZ236" s="798"/>
      <c r="EA236" s="798"/>
      <c r="EB236" s="798"/>
      <c r="EC236" s="798"/>
      <c r="ED236" s="798"/>
      <c r="EE236" s="798"/>
      <c r="EF236" s="798"/>
      <c r="EG236" s="798"/>
      <c r="EH236" s="782"/>
    </row>
    <row r="237" spans="1:138" ht="12.75" customHeight="1" x14ac:dyDescent="0.3">
      <c r="A237" s="782"/>
      <c r="B237" s="782" t="s">
        <v>44</v>
      </c>
      <c r="C237" s="808">
        <f>(1+C236)^(1/365)-1</f>
        <v>2.6115787606784124E-4</v>
      </c>
      <c r="D237" s="782"/>
      <c r="E237" s="782"/>
      <c r="F237" s="798"/>
      <c r="G237" s="798"/>
      <c r="H237" s="798"/>
      <c r="I237" s="798"/>
      <c r="J237" s="798"/>
      <c r="K237" s="798"/>
      <c r="L237" s="798"/>
      <c r="M237" s="798"/>
      <c r="N237" s="798"/>
      <c r="O237" s="798"/>
      <c r="P237" s="798"/>
      <c r="Q237" s="798"/>
      <c r="R237" s="798"/>
      <c r="S237" s="798"/>
      <c r="T237" s="798"/>
      <c r="U237" s="798"/>
      <c r="V237" s="798"/>
      <c r="W237" s="798"/>
      <c r="X237" s="798"/>
      <c r="Y237" s="798"/>
      <c r="Z237" s="798"/>
      <c r="AA237" s="798"/>
      <c r="AB237" s="798"/>
      <c r="AC237" s="798"/>
      <c r="AD237" s="798"/>
      <c r="AE237" s="798"/>
      <c r="AF237" s="798"/>
      <c r="AG237" s="798"/>
      <c r="AH237" s="798"/>
      <c r="AI237" s="798"/>
      <c r="AJ237" s="798"/>
      <c r="AK237" s="798"/>
      <c r="AL237" s="798"/>
      <c r="AM237" s="798"/>
      <c r="AN237" s="798"/>
      <c r="AO237" s="798"/>
      <c r="AP237" s="798"/>
      <c r="AQ237" s="798"/>
      <c r="AR237" s="798"/>
      <c r="AS237" s="798"/>
      <c r="AT237" s="798"/>
      <c r="AU237" s="798"/>
      <c r="AV237" s="798"/>
      <c r="AW237" s="798"/>
      <c r="AX237" s="798"/>
      <c r="AY237" s="798"/>
      <c r="AZ237" s="798"/>
      <c r="BA237" s="798"/>
      <c r="BB237" s="798"/>
      <c r="BC237" s="798"/>
      <c r="BD237" s="798"/>
      <c r="BE237" s="798"/>
      <c r="BF237" s="798"/>
      <c r="BG237" s="798"/>
      <c r="BH237" s="798"/>
      <c r="BI237" s="798"/>
      <c r="BJ237" s="798"/>
      <c r="BK237" s="798"/>
      <c r="BL237" s="798"/>
      <c r="BM237" s="798"/>
      <c r="BN237" s="798"/>
      <c r="BO237" s="798"/>
      <c r="BP237" s="798"/>
      <c r="BQ237" s="798"/>
      <c r="BR237" s="798"/>
      <c r="BS237" s="798"/>
      <c r="BT237" s="798"/>
      <c r="BU237" s="798"/>
      <c r="BV237" s="798"/>
      <c r="BW237" s="798"/>
      <c r="BX237" s="798"/>
      <c r="BY237" s="798"/>
      <c r="BZ237" s="798"/>
      <c r="CA237" s="798"/>
      <c r="CB237" s="798"/>
      <c r="CC237" s="798"/>
      <c r="CD237" s="798"/>
      <c r="CE237" s="798"/>
      <c r="CF237" s="798"/>
      <c r="CG237" s="798"/>
      <c r="CH237" s="798"/>
      <c r="CI237" s="798"/>
      <c r="CJ237" s="798"/>
      <c r="CK237" s="798"/>
      <c r="CL237" s="798"/>
      <c r="CM237" s="798"/>
      <c r="CN237" s="798"/>
      <c r="CO237" s="798"/>
      <c r="CP237" s="798"/>
      <c r="CQ237" s="798"/>
      <c r="CR237" s="798"/>
      <c r="CS237" s="798"/>
      <c r="CT237" s="798"/>
      <c r="CU237" s="798"/>
      <c r="CV237" s="798"/>
      <c r="CW237" s="798"/>
      <c r="CX237" s="798"/>
      <c r="CY237" s="798"/>
      <c r="CZ237" s="798"/>
      <c r="DA237" s="798"/>
      <c r="DB237" s="798"/>
      <c r="DC237" s="798"/>
      <c r="DD237" s="798"/>
      <c r="DE237" s="798"/>
      <c r="DF237" s="798"/>
      <c r="DG237" s="798"/>
      <c r="DH237" s="798"/>
      <c r="DI237" s="798"/>
      <c r="DJ237" s="798"/>
      <c r="DK237" s="798"/>
      <c r="DL237" s="798"/>
      <c r="DM237" s="798"/>
      <c r="DN237" s="798"/>
      <c r="DO237" s="798"/>
      <c r="DP237" s="798"/>
      <c r="DQ237" s="798"/>
      <c r="DR237" s="798"/>
      <c r="DS237" s="798"/>
      <c r="DT237" s="798"/>
      <c r="DU237" s="798"/>
      <c r="DV237" s="798"/>
      <c r="DW237" s="798"/>
      <c r="DX237" s="798"/>
      <c r="DY237" s="798"/>
      <c r="DZ237" s="798"/>
      <c r="EA237" s="798"/>
      <c r="EB237" s="798"/>
      <c r="EC237" s="798"/>
      <c r="ED237" s="798"/>
      <c r="EE237" s="798"/>
      <c r="EF237" s="798"/>
      <c r="EG237" s="798"/>
      <c r="EH237" s="782"/>
    </row>
    <row r="238" spans="1:138" ht="12.75" customHeight="1" x14ac:dyDescent="0.3">
      <c r="A238" s="782"/>
      <c r="B238" s="782" t="s">
        <v>45</v>
      </c>
      <c r="C238" s="808">
        <f>+'Venture Assumptions'!F50</f>
        <v>0.1</v>
      </c>
      <c r="D238" s="782"/>
      <c r="E238" s="782"/>
      <c r="F238" s="798"/>
      <c r="G238" s="798"/>
      <c r="H238" s="798"/>
      <c r="I238" s="798"/>
      <c r="J238" s="798"/>
      <c r="K238" s="798"/>
      <c r="L238" s="798"/>
      <c r="M238" s="798"/>
      <c r="N238" s="798"/>
      <c r="O238" s="798"/>
      <c r="P238" s="798"/>
      <c r="Q238" s="798"/>
      <c r="R238" s="798"/>
      <c r="S238" s="798"/>
      <c r="T238" s="798"/>
      <c r="U238" s="798"/>
      <c r="V238" s="798"/>
      <c r="W238" s="798"/>
      <c r="X238" s="798"/>
      <c r="Y238" s="798"/>
      <c r="Z238" s="798"/>
      <c r="AA238" s="798"/>
      <c r="AB238" s="798"/>
      <c r="AC238" s="798"/>
      <c r="AD238" s="798"/>
      <c r="AE238" s="798"/>
      <c r="AF238" s="798"/>
      <c r="AG238" s="798"/>
      <c r="AH238" s="798"/>
      <c r="AI238" s="798"/>
      <c r="AJ238" s="798"/>
      <c r="AK238" s="798"/>
      <c r="AL238" s="798"/>
      <c r="AM238" s="798"/>
      <c r="AN238" s="798"/>
      <c r="AO238" s="798"/>
      <c r="AP238" s="798"/>
      <c r="AQ238" s="798"/>
      <c r="AR238" s="798"/>
      <c r="AS238" s="798"/>
      <c r="AT238" s="798"/>
      <c r="AU238" s="798"/>
      <c r="AV238" s="798"/>
      <c r="AW238" s="798"/>
      <c r="AX238" s="798"/>
      <c r="AY238" s="798"/>
      <c r="AZ238" s="798"/>
      <c r="BA238" s="798"/>
      <c r="BB238" s="798"/>
      <c r="BC238" s="798"/>
      <c r="BD238" s="798"/>
      <c r="BE238" s="798"/>
      <c r="BF238" s="798"/>
      <c r="BG238" s="798"/>
      <c r="BH238" s="798"/>
      <c r="BI238" s="798"/>
      <c r="BJ238" s="798"/>
      <c r="BK238" s="798"/>
      <c r="BL238" s="798"/>
      <c r="BM238" s="798"/>
      <c r="BN238" s="798"/>
      <c r="BO238" s="798"/>
      <c r="BP238" s="798"/>
      <c r="BQ238" s="798"/>
      <c r="BR238" s="798"/>
      <c r="BS238" s="798"/>
      <c r="BT238" s="798"/>
      <c r="BU238" s="798"/>
      <c r="BV238" s="798"/>
      <c r="BW238" s="798"/>
      <c r="BX238" s="798"/>
      <c r="BY238" s="798"/>
      <c r="BZ238" s="798"/>
      <c r="CA238" s="798"/>
      <c r="CB238" s="798"/>
      <c r="CC238" s="798"/>
      <c r="CD238" s="798"/>
      <c r="CE238" s="798"/>
      <c r="CF238" s="798"/>
      <c r="CG238" s="798"/>
      <c r="CH238" s="798"/>
      <c r="CI238" s="798"/>
      <c r="CJ238" s="798"/>
      <c r="CK238" s="798"/>
      <c r="CL238" s="798"/>
      <c r="CM238" s="798"/>
      <c r="CN238" s="798"/>
      <c r="CO238" s="798"/>
      <c r="CP238" s="798"/>
      <c r="CQ238" s="798"/>
      <c r="CR238" s="798"/>
      <c r="CS238" s="798"/>
      <c r="CT238" s="798"/>
      <c r="CU238" s="798"/>
      <c r="CV238" s="798"/>
      <c r="CW238" s="798"/>
      <c r="CX238" s="798"/>
      <c r="CY238" s="798"/>
      <c r="CZ238" s="798"/>
      <c r="DA238" s="798"/>
      <c r="DB238" s="798"/>
      <c r="DC238" s="798"/>
      <c r="DD238" s="798"/>
      <c r="DE238" s="798"/>
      <c r="DF238" s="798"/>
      <c r="DG238" s="798"/>
      <c r="DH238" s="798"/>
      <c r="DI238" s="798"/>
      <c r="DJ238" s="798"/>
      <c r="DK238" s="798"/>
      <c r="DL238" s="798"/>
      <c r="DM238" s="798"/>
      <c r="DN238" s="798"/>
      <c r="DO238" s="798"/>
      <c r="DP238" s="798"/>
      <c r="DQ238" s="798"/>
      <c r="DR238" s="798"/>
      <c r="DS238" s="798"/>
      <c r="DT238" s="798"/>
      <c r="DU238" s="798"/>
      <c r="DV238" s="798"/>
      <c r="DW238" s="798"/>
      <c r="DX238" s="798"/>
      <c r="DY238" s="798"/>
      <c r="DZ238" s="798"/>
      <c r="EA238" s="798"/>
      <c r="EB238" s="798"/>
      <c r="EC238" s="798"/>
      <c r="ED238" s="798"/>
      <c r="EE238" s="798"/>
      <c r="EF238" s="798"/>
      <c r="EG238" s="798"/>
      <c r="EH238" s="782"/>
    </row>
    <row r="239" spans="1:138" ht="12.75" customHeight="1" x14ac:dyDescent="0.3">
      <c r="A239" s="782"/>
      <c r="B239" s="782" t="s">
        <v>46</v>
      </c>
      <c r="C239" s="808">
        <f>(1+C238)^(1/365)-1</f>
        <v>2.6115787606784124E-4</v>
      </c>
      <c r="D239" s="782"/>
      <c r="E239" s="782"/>
      <c r="F239" s="798"/>
      <c r="G239" s="798"/>
      <c r="H239" s="798"/>
      <c r="I239" s="798"/>
      <c r="J239" s="798"/>
      <c r="K239" s="798"/>
      <c r="L239" s="798"/>
      <c r="M239" s="798"/>
      <c r="N239" s="798"/>
      <c r="O239" s="798"/>
      <c r="P239" s="798"/>
      <c r="Q239" s="798"/>
      <c r="R239" s="798"/>
      <c r="S239" s="798"/>
      <c r="T239" s="798"/>
      <c r="U239" s="798"/>
      <c r="V239" s="798"/>
      <c r="W239" s="798"/>
      <c r="X239" s="798"/>
      <c r="Y239" s="798"/>
      <c r="Z239" s="798"/>
      <c r="AA239" s="798"/>
      <c r="AB239" s="798"/>
      <c r="AC239" s="798"/>
      <c r="AD239" s="798"/>
      <c r="AE239" s="798"/>
      <c r="AF239" s="798"/>
      <c r="AG239" s="798"/>
      <c r="AH239" s="798"/>
      <c r="AI239" s="798"/>
      <c r="AJ239" s="798"/>
      <c r="AK239" s="798"/>
      <c r="AL239" s="798"/>
      <c r="AM239" s="798"/>
      <c r="AN239" s="798"/>
      <c r="AO239" s="798"/>
      <c r="AP239" s="798"/>
      <c r="AQ239" s="798"/>
      <c r="AR239" s="798"/>
      <c r="AS239" s="798"/>
      <c r="AT239" s="798"/>
      <c r="AU239" s="798"/>
      <c r="AV239" s="798"/>
      <c r="AW239" s="798"/>
      <c r="AX239" s="798"/>
      <c r="AY239" s="798"/>
      <c r="AZ239" s="798"/>
      <c r="BA239" s="798"/>
      <c r="BB239" s="798"/>
      <c r="BC239" s="798"/>
      <c r="BD239" s="798"/>
      <c r="BE239" s="798"/>
      <c r="BF239" s="798"/>
      <c r="BG239" s="798"/>
      <c r="BH239" s="798"/>
      <c r="BI239" s="798"/>
      <c r="BJ239" s="798"/>
      <c r="BK239" s="798"/>
      <c r="BL239" s="798"/>
      <c r="BM239" s="798"/>
      <c r="BN239" s="798"/>
      <c r="BO239" s="798"/>
      <c r="BP239" s="798"/>
      <c r="BQ239" s="798"/>
      <c r="BR239" s="798"/>
      <c r="BS239" s="798"/>
      <c r="BT239" s="798"/>
      <c r="BU239" s="798"/>
      <c r="BV239" s="798"/>
      <c r="BW239" s="798"/>
      <c r="BX239" s="798"/>
      <c r="BY239" s="798"/>
      <c r="BZ239" s="798"/>
      <c r="CA239" s="798"/>
      <c r="CB239" s="798"/>
      <c r="CC239" s="798"/>
      <c r="CD239" s="798"/>
      <c r="CE239" s="798"/>
      <c r="CF239" s="798"/>
      <c r="CG239" s="798"/>
      <c r="CH239" s="798"/>
      <c r="CI239" s="798"/>
      <c r="CJ239" s="798"/>
      <c r="CK239" s="798"/>
      <c r="CL239" s="798"/>
      <c r="CM239" s="798"/>
      <c r="CN239" s="798"/>
      <c r="CO239" s="798"/>
      <c r="CP239" s="798"/>
      <c r="CQ239" s="798"/>
      <c r="CR239" s="798"/>
      <c r="CS239" s="798"/>
      <c r="CT239" s="798"/>
      <c r="CU239" s="798"/>
      <c r="CV239" s="798"/>
      <c r="CW239" s="798"/>
      <c r="CX239" s="798"/>
      <c r="CY239" s="798"/>
      <c r="CZ239" s="798"/>
      <c r="DA239" s="798"/>
      <c r="DB239" s="798"/>
      <c r="DC239" s="798"/>
      <c r="DD239" s="798"/>
      <c r="DE239" s="798"/>
      <c r="DF239" s="798"/>
      <c r="DG239" s="798"/>
      <c r="DH239" s="798"/>
      <c r="DI239" s="798"/>
      <c r="DJ239" s="798"/>
      <c r="DK239" s="798"/>
      <c r="DL239" s="798"/>
      <c r="DM239" s="798"/>
      <c r="DN239" s="798"/>
      <c r="DO239" s="798"/>
      <c r="DP239" s="798"/>
      <c r="DQ239" s="798"/>
      <c r="DR239" s="798"/>
      <c r="DS239" s="798"/>
      <c r="DT239" s="798"/>
      <c r="DU239" s="798"/>
      <c r="DV239" s="798"/>
      <c r="DW239" s="798"/>
      <c r="DX239" s="798"/>
      <c r="DY239" s="798"/>
      <c r="DZ239" s="798"/>
      <c r="EA239" s="798"/>
      <c r="EB239" s="798"/>
      <c r="EC239" s="798"/>
      <c r="ED239" s="798"/>
      <c r="EE239" s="798"/>
      <c r="EF239" s="798"/>
      <c r="EG239" s="798"/>
      <c r="EH239" s="782"/>
    </row>
    <row r="240" spans="1:138" ht="12.75" customHeight="1" x14ac:dyDescent="0.3">
      <c r="A240" s="782"/>
      <c r="B240" s="782"/>
      <c r="C240" s="798"/>
      <c r="D240" s="782"/>
      <c r="E240" s="798"/>
      <c r="F240" s="798"/>
      <c r="G240" s="798"/>
      <c r="H240" s="798"/>
      <c r="I240" s="798"/>
      <c r="J240" s="798"/>
      <c r="K240" s="798"/>
      <c r="L240" s="798"/>
      <c r="M240" s="798"/>
      <c r="N240" s="798"/>
      <c r="O240" s="798"/>
      <c r="P240" s="798"/>
      <c r="Q240" s="798"/>
      <c r="R240" s="798"/>
      <c r="S240" s="798"/>
      <c r="T240" s="798"/>
      <c r="U240" s="798"/>
      <c r="V240" s="798"/>
      <c r="W240" s="798"/>
      <c r="X240" s="798"/>
      <c r="Y240" s="798"/>
      <c r="Z240" s="798"/>
      <c r="AA240" s="798"/>
      <c r="AB240" s="798"/>
      <c r="AC240" s="798"/>
      <c r="AD240" s="798"/>
      <c r="AE240" s="798"/>
      <c r="AF240" s="798"/>
      <c r="AG240" s="798"/>
      <c r="AH240" s="798"/>
      <c r="AI240" s="798"/>
      <c r="AJ240" s="798"/>
      <c r="AK240" s="798"/>
      <c r="AL240" s="798"/>
      <c r="AM240" s="798"/>
      <c r="AN240" s="798"/>
      <c r="AO240" s="798"/>
      <c r="AP240" s="798"/>
      <c r="AQ240" s="798"/>
      <c r="AR240" s="798"/>
      <c r="AS240" s="798"/>
      <c r="AT240" s="798"/>
      <c r="AU240" s="798"/>
      <c r="AV240" s="798"/>
      <c r="AW240" s="798"/>
      <c r="AX240" s="798"/>
      <c r="AY240" s="798"/>
      <c r="AZ240" s="798"/>
      <c r="BA240" s="798"/>
      <c r="BB240" s="798"/>
      <c r="BC240" s="798"/>
      <c r="BD240" s="798"/>
      <c r="BE240" s="798"/>
      <c r="BF240" s="798"/>
      <c r="BG240" s="798"/>
      <c r="BH240" s="798"/>
      <c r="BI240" s="798"/>
      <c r="BJ240" s="798"/>
      <c r="BK240" s="798"/>
      <c r="BL240" s="798"/>
      <c r="BM240" s="798"/>
      <c r="BN240" s="798"/>
      <c r="BO240" s="798"/>
      <c r="BP240" s="798"/>
      <c r="BQ240" s="798"/>
      <c r="BR240" s="798"/>
      <c r="BS240" s="798"/>
      <c r="BT240" s="798"/>
      <c r="BU240" s="798"/>
      <c r="BV240" s="798"/>
      <c r="BW240" s="798"/>
      <c r="BX240" s="798"/>
      <c r="BY240" s="798"/>
      <c r="BZ240" s="798"/>
      <c r="CA240" s="798"/>
      <c r="CB240" s="798"/>
      <c r="CC240" s="798"/>
      <c r="CD240" s="798"/>
      <c r="CE240" s="798"/>
      <c r="CF240" s="798"/>
      <c r="CG240" s="798"/>
      <c r="CH240" s="798"/>
      <c r="CI240" s="798"/>
      <c r="CJ240" s="798"/>
      <c r="CK240" s="798"/>
      <c r="CL240" s="798"/>
      <c r="CM240" s="798"/>
      <c r="CN240" s="798"/>
      <c r="CO240" s="798"/>
      <c r="CP240" s="798"/>
      <c r="CQ240" s="798"/>
      <c r="CR240" s="798"/>
      <c r="CS240" s="798"/>
      <c r="CT240" s="798"/>
      <c r="CU240" s="798"/>
      <c r="CV240" s="798"/>
      <c r="CW240" s="798"/>
      <c r="CX240" s="798"/>
      <c r="CY240" s="798"/>
      <c r="CZ240" s="798"/>
      <c r="DA240" s="798"/>
      <c r="DB240" s="798"/>
      <c r="DC240" s="798"/>
      <c r="DD240" s="798"/>
      <c r="DE240" s="798"/>
      <c r="DF240" s="798"/>
      <c r="DG240" s="798"/>
      <c r="DH240" s="798"/>
      <c r="DI240" s="798"/>
      <c r="DJ240" s="798"/>
      <c r="DK240" s="798"/>
      <c r="DL240" s="798"/>
      <c r="DM240" s="798"/>
      <c r="DN240" s="798"/>
      <c r="DO240" s="798"/>
      <c r="DP240" s="798"/>
      <c r="DQ240" s="798"/>
      <c r="DR240" s="798"/>
      <c r="DS240" s="798"/>
      <c r="DT240" s="798"/>
      <c r="DU240" s="798"/>
      <c r="DV240" s="798"/>
      <c r="DW240" s="798"/>
      <c r="DX240" s="798"/>
      <c r="DY240" s="798"/>
      <c r="DZ240" s="798"/>
      <c r="EA240" s="798"/>
      <c r="EB240" s="798"/>
      <c r="EC240" s="798"/>
      <c r="ED240" s="798"/>
      <c r="EE240" s="798"/>
      <c r="EF240" s="798"/>
      <c r="EG240" s="798"/>
      <c r="EH240" s="782"/>
    </row>
    <row r="241" spans="1:138" ht="12.75" customHeight="1" x14ac:dyDescent="0.3">
      <c r="A241" s="782"/>
      <c r="B241" s="796" t="s">
        <v>144</v>
      </c>
      <c r="C241" s="782"/>
      <c r="D241" s="782"/>
      <c r="E241" s="782"/>
      <c r="F241" s="782"/>
      <c r="G241" s="782"/>
      <c r="H241" s="782"/>
      <c r="I241" s="782"/>
      <c r="J241" s="782"/>
      <c r="K241" s="782"/>
      <c r="L241" s="782"/>
      <c r="M241" s="782"/>
      <c r="N241" s="782"/>
      <c r="O241" s="782"/>
      <c r="P241" s="782"/>
      <c r="Q241" s="782"/>
      <c r="R241" s="782"/>
      <c r="S241" s="782"/>
      <c r="T241" s="782"/>
      <c r="U241" s="782"/>
      <c r="V241" s="782"/>
      <c r="W241" s="782"/>
      <c r="X241" s="782"/>
      <c r="Y241" s="782"/>
      <c r="Z241" s="782"/>
      <c r="AA241" s="782"/>
      <c r="AB241" s="782"/>
      <c r="AC241" s="782"/>
      <c r="AD241" s="782"/>
      <c r="AE241" s="782"/>
      <c r="AF241" s="782"/>
      <c r="AG241" s="782"/>
      <c r="AH241" s="782"/>
      <c r="AI241" s="782"/>
      <c r="AJ241" s="782"/>
      <c r="AK241" s="782"/>
      <c r="AL241" s="782"/>
      <c r="AM241" s="782"/>
      <c r="AN241" s="782"/>
      <c r="AO241" s="782"/>
      <c r="AP241" s="782"/>
      <c r="AQ241" s="782"/>
      <c r="AR241" s="782"/>
      <c r="AS241" s="782"/>
      <c r="AT241" s="782"/>
      <c r="AU241" s="782"/>
      <c r="AV241" s="782"/>
      <c r="AW241" s="782"/>
      <c r="AX241" s="782"/>
      <c r="AY241" s="782"/>
      <c r="AZ241" s="782"/>
      <c r="BA241" s="782"/>
      <c r="BB241" s="782"/>
      <c r="BC241" s="782"/>
      <c r="BD241" s="782"/>
      <c r="BE241" s="782"/>
      <c r="BF241" s="782"/>
      <c r="BG241" s="782"/>
      <c r="BH241" s="782"/>
      <c r="BI241" s="782"/>
      <c r="BJ241" s="782"/>
      <c r="BK241" s="782"/>
      <c r="BL241" s="782"/>
      <c r="BM241" s="782"/>
      <c r="BN241" s="782"/>
      <c r="BO241" s="782"/>
      <c r="BP241" s="782"/>
      <c r="BQ241" s="782"/>
      <c r="BR241" s="782"/>
      <c r="BS241" s="782"/>
      <c r="BT241" s="782"/>
      <c r="BU241" s="782"/>
      <c r="BV241" s="782"/>
      <c r="BW241" s="782"/>
      <c r="BX241" s="782"/>
      <c r="BY241" s="782"/>
      <c r="BZ241" s="782"/>
      <c r="CA241" s="782"/>
      <c r="CB241" s="782"/>
      <c r="CC241" s="782"/>
      <c r="CD241" s="782"/>
      <c r="CE241" s="782"/>
      <c r="CF241" s="782"/>
      <c r="CG241" s="782"/>
      <c r="CH241" s="782"/>
      <c r="CI241" s="782"/>
      <c r="CJ241" s="782"/>
      <c r="CK241" s="782"/>
      <c r="CL241" s="782"/>
      <c r="CM241" s="782"/>
      <c r="CN241" s="782"/>
      <c r="CO241" s="782"/>
      <c r="CP241" s="782"/>
      <c r="CQ241" s="782"/>
      <c r="CR241" s="782"/>
      <c r="CS241" s="782"/>
      <c r="CT241" s="782"/>
      <c r="CU241" s="782"/>
      <c r="CV241" s="782"/>
      <c r="CW241" s="782"/>
      <c r="CX241" s="782"/>
      <c r="CY241" s="782"/>
      <c r="CZ241" s="782"/>
      <c r="DA241" s="782"/>
      <c r="DB241" s="782"/>
      <c r="DC241" s="782"/>
      <c r="DD241" s="782"/>
      <c r="DE241" s="782"/>
      <c r="DF241" s="782"/>
      <c r="DG241" s="782"/>
      <c r="DH241" s="782"/>
      <c r="DI241" s="782"/>
      <c r="DJ241" s="782"/>
      <c r="DK241" s="782"/>
      <c r="DL241" s="782"/>
      <c r="DM241" s="782"/>
      <c r="DN241" s="782"/>
      <c r="DO241" s="782"/>
      <c r="DP241" s="782"/>
      <c r="DQ241" s="782"/>
      <c r="DR241" s="782"/>
      <c r="DS241" s="782"/>
      <c r="DT241" s="782"/>
      <c r="DU241" s="782"/>
      <c r="DV241" s="798"/>
      <c r="DW241" s="798"/>
      <c r="DX241" s="798"/>
      <c r="DY241" s="798"/>
      <c r="DZ241" s="798"/>
      <c r="EA241" s="798"/>
      <c r="EB241" s="798"/>
      <c r="EC241" s="798"/>
      <c r="ED241" s="798"/>
      <c r="EE241" s="798"/>
      <c r="EF241" s="798"/>
      <c r="EG241" s="798"/>
      <c r="EH241" s="782"/>
    </row>
    <row r="242" spans="1:138" ht="12.75" customHeight="1" x14ac:dyDescent="0.3">
      <c r="A242" s="782"/>
      <c r="B242" s="782"/>
      <c r="C242" s="782"/>
      <c r="D242" s="782"/>
      <c r="E242" s="782"/>
      <c r="F242" s="782"/>
      <c r="G242" s="782"/>
      <c r="H242" s="782"/>
      <c r="I242" s="782"/>
      <c r="J242" s="782"/>
      <c r="K242" s="782"/>
      <c r="L242" s="782"/>
      <c r="M242" s="782"/>
      <c r="N242" s="782"/>
      <c r="O242" s="782"/>
      <c r="P242" s="782"/>
      <c r="Q242" s="782"/>
      <c r="R242" s="782"/>
      <c r="S242" s="782"/>
      <c r="T242" s="782"/>
      <c r="U242" s="782"/>
      <c r="V242" s="782"/>
      <c r="W242" s="782"/>
      <c r="X242" s="782"/>
      <c r="Y242" s="782"/>
      <c r="Z242" s="782"/>
      <c r="AA242" s="782"/>
      <c r="AB242" s="782"/>
      <c r="AC242" s="782"/>
      <c r="AD242" s="782"/>
      <c r="AE242" s="782"/>
      <c r="AF242" s="782"/>
      <c r="AG242" s="782"/>
      <c r="AH242" s="782"/>
      <c r="AI242" s="782"/>
      <c r="AJ242" s="782"/>
      <c r="AK242" s="782"/>
      <c r="AL242" s="782"/>
      <c r="AM242" s="782"/>
      <c r="AN242" s="782"/>
      <c r="AO242" s="782"/>
      <c r="AP242" s="782"/>
      <c r="AQ242" s="782"/>
      <c r="AR242" s="782"/>
      <c r="AS242" s="782"/>
      <c r="AT242" s="782"/>
      <c r="AU242" s="782"/>
      <c r="AV242" s="782"/>
      <c r="AW242" s="782"/>
      <c r="AX242" s="782"/>
      <c r="AY242" s="782"/>
      <c r="AZ242" s="782"/>
      <c r="BA242" s="782"/>
      <c r="BB242" s="782"/>
      <c r="BC242" s="782"/>
      <c r="BD242" s="782"/>
      <c r="BE242" s="782"/>
      <c r="BF242" s="782"/>
      <c r="BG242" s="782"/>
      <c r="BH242" s="782"/>
      <c r="BI242" s="782"/>
      <c r="BJ242" s="782"/>
      <c r="BK242" s="782"/>
      <c r="BL242" s="782"/>
      <c r="BM242" s="782"/>
      <c r="BN242" s="782"/>
      <c r="BO242" s="782"/>
      <c r="BP242" s="782"/>
      <c r="BQ242" s="782"/>
      <c r="BR242" s="782"/>
      <c r="BS242" s="782"/>
      <c r="BT242" s="782"/>
      <c r="BU242" s="782"/>
      <c r="BV242" s="782"/>
      <c r="BW242" s="782"/>
      <c r="BX242" s="782"/>
      <c r="BY242" s="782"/>
      <c r="BZ242" s="782"/>
      <c r="CA242" s="782"/>
      <c r="CB242" s="782"/>
      <c r="CC242" s="782"/>
      <c r="CD242" s="782"/>
      <c r="CE242" s="782"/>
      <c r="CF242" s="782"/>
      <c r="CG242" s="782"/>
      <c r="CH242" s="782"/>
      <c r="CI242" s="782"/>
      <c r="CJ242" s="782"/>
      <c r="CK242" s="782"/>
      <c r="CL242" s="782"/>
      <c r="CM242" s="782"/>
      <c r="CN242" s="782"/>
      <c r="CO242" s="782"/>
      <c r="CP242" s="782"/>
      <c r="CQ242" s="782"/>
      <c r="CR242" s="782"/>
      <c r="CS242" s="782"/>
      <c r="CT242" s="782"/>
      <c r="CU242" s="782"/>
      <c r="CV242" s="782"/>
      <c r="CW242" s="782"/>
      <c r="CX242" s="782"/>
      <c r="CY242" s="782"/>
      <c r="CZ242" s="782"/>
      <c r="DA242" s="782"/>
      <c r="DB242" s="782"/>
      <c r="DC242" s="782"/>
      <c r="DD242" s="782"/>
      <c r="DE242" s="782"/>
      <c r="DF242" s="782"/>
      <c r="DG242" s="782"/>
      <c r="DH242" s="782"/>
      <c r="DI242" s="782"/>
      <c r="DJ242" s="782"/>
      <c r="DK242" s="782"/>
      <c r="DL242" s="782"/>
      <c r="DM242" s="782"/>
      <c r="DN242" s="782"/>
      <c r="DO242" s="782"/>
      <c r="DP242" s="782"/>
      <c r="DQ242" s="782"/>
      <c r="DR242" s="782"/>
      <c r="DS242" s="782"/>
      <c r="DT242" s="782"/>
      <c r="DU242" s="782"/>
      <c r="DV242" s="798"/>
      <c r="DW242" s="798"/>
      <c r="DX242" s="798"/>
      <c r="DY242" s="798"/>
      <c r="DZ242" s="798"/>
      <c r="EA242" s="798"/>
      <c r="EB242" s="798"/>
      <c r="EC242" s="798"/>
      <c r="ED242" s="798"/>
      <c r="EE242" s="798"/>
      <c r="EF242" s="798"/>
      <c r="EG242" s="798"/>
      <c r="EH242" s="782"/>
    </row>
    <row r="243" spans="1:138" ht="12.75" customHeight="1" x14ac:dyDescent="0.3">
      <c r="A243" s="782"/>
      <c r="B243" s="782" t="s">
        <v>145</v>
      </c>
      <c r="C243" s="782"/>
      <c r="D243" s="782"/>
      <c r="E243" s="798">
        <f>E282</f>
        <v>0</v>
      </c>
      <c r="F243" s="798">
        <f t="shared" ref="F243:BQ243" si="176">F282</f>
        <v>0</v>
      </c>
      <c r="G243" s="798">
        <f t="shared" si="176"/>
        <v>0</v>
      </c>
      <c r="H243" s="798">
        <f t="shared" si="176"/>
        <v>0</v>
      </c>
      <c r="I243" s="798">
        <f t="shared" si="176"/>
        <v>0</v>
      </c>
      <c r="J243" s="798">
        <f t="shared" si="176"/>
        <v>0</v>
      </c>
      <c r="K243" s="798">
        <f t="shared" si="176"/>
        <v>0</v>
      </c>
      <c r="L243" s="798">
        <f t="shared" si="176"/>
        <v>0</v>
      </c>
      <c r="M243" s="798">
        <f t="shared" si="176"/>
        <v>0</v>
      </c>
      <c r="N243" s="798">
        <f t="shared" si="176"/>
        <v>0</v>
      </c>
      <c r="O243" s="798">
        <f t="shared" si="176"/>
        <v>0</v>
      </c>
      <c r="P243" s="798">
        <f t="shared" si="176"/>
        <v>0</v>
      </c>
      <c r="Q243" s="798">
        <f t="shared" si="176"/>
        <v>0</v>
      </c>
      <c r="R243" s="798">
        <f t="shared" si="176"/>
        <v>0</v>
      </c>
      <c r="S243" s="798">
        <f t="shared" si="176"/>
        <v>0</v>
      </c>
      <c r="T243" s="798">
        <f t="shared" si="176"/>
        <v>0</v>
      </c>
      <c r="U243" s="798">
        <f t="shared" si="176"/>
        <v>0</v>
      </c>
      <c r="V243" s="798">
        <f t="shared" si="176"/>
        <v>0</v>
      </c>
      <c r="W243" s="798">
        <f t="shared" si="176"/>
        <v>0</v>
      </c>
      <c r="X243" s="798">
        <f t="shared" si="176"/>
        <v>0</v>
      </c>
      <c r="Y243" s="798">
        <f t="shared" si="176"/>
        <v>0</v>
      </c>
      <c r="Z243" s="798">
        <f t="shared" si="176"/>
        <v>0</v>
      </c>
      <c r="AA243" s="798">
        <f t="shared" si="176"/>
        <v>0</v>
      </c>
      <c r="AB243" s="798">
        <f t="shared" si="176"/>
        <v>0</v>
      </c>
      <c r="AC243" s="798">
        <f t="shared" si="176"/>
        <v>0</v>
      </c>
      <c r="AD243" s="798">
        <f t="shared" si="176"/>
        <v>0</v>
      </c>
      <c r="AE243" s="798">
        <f t="shared" si="176"/>
        <v>0</v>
      </c>
      <c r="AF243" s="798">
        <f t="shared" si="176"/>
        <v>0</v>
      </c>
      <c r="AG243" s="798">
        <f t="shared" si="176"/>
        <v>0</v>
      </c>
      <c r="AH243" s="798">
        <f t="shared" si="176"/>
        <v>0</v>
      </c>
      <c r="AI243" s="798">
        <f t="shared" si="176"/>
        <v>0</v>
      </c>
      <c r="AJ243" s="798">
        <f t="shared" si="176"/>
        <v>0</v>
      </c>
      <c r="AK243" s="798">
        <f t="shared" si="176"/>
        <v>-60916274.722085506</v>
      </c>
      <c r="AL243" s="798">
        <f t="shared" si="176"/>
        <v>14315530.3242827</v>
      </c>
      <c r="AM243" s="798">
        <f t="shared" si="176"/>
        <v>205293.34606116661</v>
      </c>
      <c r="AN243" s="798">
        <f t="shared" si="176"/>
        <v>207793.40423970085</v>
      </c>
      <c r="AO243" s="798">
        <f t="shared" si="176"/>
        <v>210260.10262606523</v>
      </c>
      <c r="AP243" s="798">
        <f t="shared" si="176"/>
        <v>211885.65974115423</v>
      </c>
      <c r="AQ243" s="798">
        <f t="shared" si="176"/>
        <v>215188.01193420406</v>
      </c>
      <c r="AR243" s="798">
        <f t="shared" si="176"/>
        <v>218012.9416200624</v>
      </c>
      <c r="AS243" s="798">
        <f t="shared" si="176"/>
        <v>213181.07686987985</v>
      </c>
      <c r="AT243" s="798">
        <f t="shared" si="176"/>
        <v>214770.00861920218</v>
      </c>
      <c r="AU243" s="798">
        <f t="shared" si="176"/>
        <v>216264.46058470523</v>
      </c>
      <c r="AV243" s="798">
        <f t="shared" si="176"/>
        <v>218515.59404432448</v>
      </c>
      <c r="AW243" s="798">
        <f t="shared" si="176"/>
        <v>220675.94358853242</v>
      </c>
      <c r="AX243" s="798">
        <f t="shared" si="176"/>
        <v>222710.56184153532</v>
      </c>
      <c r="AY243" s="798">
        <f t="shared" si="176"/>
        <v>224665.72728851769</v>
      </c>
      <c r="AZ243" s="798">
        <f t="shared" si="176"/>
        <v>226548.52262565284</v>
      </c>
      <c r="BA243" s="798">
        <f t="shared" si="176"/>
        <v>228304.85297686295</v>
      </c>
      <c r="BB243" s="798">
        <f t="shared" si="176"/>
        <v>229344.9930368007</v>
      </c>
      <c r="BC243" s="798">
        <f t="shared" si="176"/>
        <v>231542.10904179295</v>
      </c>
      <c r="BD243" s="798">
        <f t="shared" si="176"/>
        <v>233317.7080138704</v>
      </c>
      <c r="BE243" s="798">
        <f t="shared" si="176"/>
        <v>229013.16839337221</v>
      </c>
      <c r="BF243" s="798">
        <f t="shared" si="176"/>
        <v>229911.66091752306</v>
      </c>
      <c r="BG243" s="798">
        <f t="shared" si="176"/>
        <v>230813.78680437503</v>
      </c>
      <c r="BH243" s="798">
        <f t="shared" si="176"/>
        <v>232345.63973502186</v>
      </c>
      <c r="BI243" s="798">
        <f t="shared" si="176"/>
        <v>233902.4265315792</v>
      </c>
      <c r="BJ243" s="798">
        <f t="shared" si="176"/>
        <v>235545.94755839423</v>
      </c>
      <c r="BK243" s="798">
        <f t="shared" si="176"/>
        <v>237262.50476525677</v>
      </c>
      <c r="BL243" s="798">
        <f t="shared" si="176"/>
        <v>238991.57351446556</v>
      </c>
      <c r="BM243" s="798">
        <f t="shared" si="176"/>
        <v>240811.21361387809</v>
      </c>
      <c r="BN243" s="798">
        <f t="shared" si="176"/>
        <v>242002.34658988175</v>
      </c>
      <c r="BO243" s="798">
        <f t="shared" si="176"/>
        <v>244627.30669974274</v>
      </c>
      <c r="BP243" s="798">
        <f t="shared" si="176"/>
        <v>246922.0418636211</v>
      </c>
      <c r="BQ243" s="798">
        <f t="shared" si="176"/>
        <v>242733.25370419392</v>
      </c>
      <c r="BR243" s="798">
        <f t="shared" ref="BR243:DU243" si="177">BR282</f>
        <v>244033.96696505454</v>
      </c>
      <c r="BS243" s="798">
        <f t="shared" si="177"/>
        <v>245313.14997026659</v>
      </c>
      <c r="BT243" s="798">
        <f t="shared" si="177"/>
        <v>247377.11673495109</v>
      </c>
      <c r="BU243" s="798">
        <f t="shared" si="177"/>
        <v>249414.97281073497</v>
      </c>
      <c r="BV243" s="798">
        <f t="shared" si="177"/>
        <v>251479.3205969065</v>
      </c>
      <c r="BW243" s="798">
        <f t="shared" si="177"/>
        <v>253576.88775609701</v>
      </c>
      <c r="BX243" s="798">
        <f t="shared" si="177"/>
        <v>255660.88139998799</v>
      </c>
      <c r="BY243" s="798">
        <f t="shared" si="177"/>
        <v>257780.55934433491</v>
      </c>
      <c r="BZ243" s="798">
        <f t="shared" si="177"/>
        <v>259130.53765731424</v>
      </c>
      <c r="CA243" s="798">
        <f t="shared" si="177"/>
        <v>262044.06866613019</v>
      </c>
      <c r="CB243" s="798">
        <f t="shared" si="177"/>
        <v>264568.88723862561</v>
      </c>
      <c r="CC243" s="798">
        <f t="shared" si="177"/>
        <v>260334.62676779419</v>
      </c>
      <c r="CD243" s="798">
        <f t="shared" si="177"/>
        <v>261766.27506953065</v>
      </c>
      <c r="CE243" s="798">
        <f t="shared" si="177"/>
        <v>263169.39895795332</v>
      </c>
      <c r="CF243" s="798">
        <f t="shared" si="177"/>
        <v>265374.12330500968</v>
      </c>
      <c r="CG243" s="798">
        <f t="shared" si="177"/>
        <v>267569.84631198365</v>
      </c>
      <c r="CH243" s="798">
        <f t="shared" si="177"/>
        <v>269785.75663471175</v>
      </c>
      <c r="CI243" s="798">
        <f t="shared" si="177"/>
        <v>271981.27502716507</v>
      </c>
      <c r="CJ243" s="798">
        <f t="shared" si="177"/>
        <v>274209.9614994725</v>
      </c>
      <c r="CK243" s="798">
        <f t="shared" si="177"/>
        <v>276471.37765448482</v>
      </c>
      <c r="CL243" s="798">
        <f t="shared" si="177"/>
        <v>277910.21305872517</v>
      </c>
      <c r="CM243" s="798">
        <f t="shared" si="177"/>
        <v>280971.24051798158</v>
      </c>
      <c r="CN243" s="798">
        <f t="shared" si="177"/>
        <v>283611.40197433194</v>
      </c>
      <c r="CO243" s="798">
        <f t="shared" si="177"/>
        <v>279273.11677509604</v>
      </c>
      <c r="CP243" s="798">
        <f t="shared" si="177"/>
        <v>280770.93938649778</v>
      </c>
      <c r="CQ243" s="798">
        <f t="shared" si="177"/>
        <v>282239.46279127692</v>
      </c>
      <c r="CR243" s="798">
        <f t="shared" si="177"/>
        <v>284516.27143163967</v>
      </c>
      <c r="CS243" s="798">
        <f t="shared" si="177"/>
        <v>286814.10642290174</v>
      </c>
      <c r="CT243" s="798">
        <f t="shared" si="177"/>
        <v>289146.38855799765</v>
      </c>
      <c r="CU243" s="798">
        <f t="shared" si="177"/>
        <v>291451.51423692808</v>
      </c>
      <c r="CV243" s="798">
        <f t="shared" si="177"/>
        <v>293779.70006957493</v>
      </c>
      <c r="CW243" s="798">
        <f t="shared" si="177"/>
        <v>52471820.410454184</v>
      </c>
      <c r="CX243" s="798">
        <f t="shared" si="177"/>
        <v>0</v>
      </c>
      <c r="CY243" s="798">
        <f t="shared" si="177"/>
        <v>0</v>
      </c>
      <c r="CZ243" s="798">
        <f t="shared" si="177"/>
        <v>0</v>
      </c>
      <c r="DA243" s="798">
        <f t="shared" si="177"/>
        <v>0</v>
      </c>
      <c r="DB243" s="798">
        <f t="shared" si="177"/>
        <v>0</v>
      </c>
      <c r="DC243" s="798">
        <f t="shared" si="177"/>
        <v>0</v>
      </c>
      <c r="DD243" s="798">
        <f t="shared" si="177"/>
        <v>0</v>
      </c>
      <c r="DE243" s="798">
        <f t="shared" si="177"/>
        <v>0</v>
      </c>
      <c r="DF243" s="798">
        <f t="shared" si="177"/>
        <v>0</v>
      </c>
      <c r="DG243" s="798">
        <f t="shared" si="177"/>
        <v>0</v>
      </c>
      <c r="DH243" s="798">
        <f t="shared" si="177"/>
        <v>0</v>
      </c>
      <c r="DI243" s="798">
        <f t="shared" si="177"/>
        <v>0</v>
      </c>
      <c r="DJ243" s="798">
        <f t="shared" si="177"/>
        <v>0</v>
      </c>
      <c r="DK243" s="798">
        <f t="shared" si="177"/>
        <v>0</v>
      </c>
      <c r="DL243" s="798">
        <f t="shared" si="177"/>
        <v>0</v>
      </c>
      <c r="DM243" s="798">
        <f t="shared" si="177"/>
        <v>0</v>
      </c>
      <c r="DN243" s="798">
        <f t="shared" si="177"/>
        <v>0</v>
      </c>
      <c r="DO243" s="798">
        <f t="shared" si="177"/>
        <v>0</v>
      </c>
      <c r="DP243" s="798">
        <f t="shared" si="177"/>
        <v>0</v>
      </c>
      <c r="DQ243" s="798">
        <f t="shared" si="177"/>
        <v>0</v>
      </c>
      <c r="DR243" s="798">
        <f t="shared" si="177"/>
        <v>0</v>
      </c>
      <c r="DS243" s="798">
        <f t="shared" si="177"/>
        <v>0</v>
      </c>
      <c r="DT243" s="798">
        <f t="shared" si="177"/>
        <v>0</v>
      </c>
      <c r="DU243" s="798">
        <f t="shared" si="177"/>
        <v>0</v>
      </c>
      <c r="DV243" s="798"/>
      <c r="DW243" s="798"/>
      <c r="DX243" s="798"/>
      <c r="DY243" s="798"/>
      <c r="DZ243" s="798"/>
      <c r="EA243" s="798"/>
      <c r="EB243" s="798"/>
      <c r="EC243" s="798"/>
      <c r="ED243" s="798"/>
      <c r="EE243" s="798"/>
      <c r="EF243" s="798"/>
      <c r="EG243" s="798"/>
      <c r="EH243" s="782"/>
    </row>
    <row r="244" spans="1:138" ht="12.75" customHeight="1" x14ac:dyDescent="0.3">
      <c r="A244" s="782"/>
      <c r="B244" s="782" t="s">
        <v>146</v>
      </c>
      <c r="C244" s="782"/>
      <c r="D244" s="782"/>
      <c r="E244" s="798">
        <f t="shared" ref="E244:BP244" si="178">E303</f>
        <v>0</v>
      </c>
      <c r="F244" s="798">
        <f t="shared" si="178"/>
        <v>0</v>
      </c>
      <c r="G244" s="798">
        <f t="shared" si="178"/>
        <v>0</v>
      </c>
      <c r="H244" s="798">
        <f t="shared" si="178"/>
        <v>0</v>
      </c>
      <c r="I244" s="798">
        <f t="shared" si="178"/>
        <v>0</v>
      </c>
      <c r="J244" s="798">
        <f t="shared" si="178"/>
        <v>0</v>
      </c>
      <c r="K244" s="798">
        <f t="shared" si="178"/>
        <v>0</v>
      </c>
      <c r="L244" s="798">
        <f t="shared" si="178"/>
        <v>0</v>
      </c>
      <c r="M244" s="798">
        <f t="shared" si="178"/>
        <v>0</v>
      </c>
      <c r="N244" s="798">
        <f t="shared" si="178"/>
        <v>0</v>
      </c>
      <c r="O244" s="798">
        <f t="shared" si="178"/>
        <v>0</v>
      </c>
      <c r="P244" s="798">
        <f t="shared" si="178"/>
        <v>0</v>
      </c>
      <c r="Q244" s="798">
        <f t="shared" si="178"/>
        <v>0</v>
      </c>
      <c r="R244" s="798">
        <f t="shared" si="178"/>
        <v>0</v>
      </c>
      <c r="S244" s="798">
        <f t="shared" si="178"/>
        <v>0</v>
      </c>
      <c r="T244" s="798">
        <f t="shared" si="178"/>
        <v>0</v>
      </c>
      <c r="U244" s="798">
        <f t="shared" si="178"/>
        <v>0</v>
      </c>
      <c r="V244" s="798">
        <f t="shared" si="178"/>
        <v>0</v>
      </c>
      <c r="W244" s="798">
        <f t="shared" si="178"/>
        <v>0</v>
      </c>
      <c r="X244" s="798">
        <f t="shared" si="178"/>
        <v>0</v>
      </c>
      <c r="Y244" s="798">
        <f t="shared" si="178"/>
        <v>0</v>
      </c>
      <c r="Z244" s="798">
        <f t="shared" si="178"/>
        <v>0</v>
      </c>
      <c r="AA244" s="798">
        <f t="shared" si="178"/>
        <v>0</v>
      </c>
      <c r="AB244" s="798">
        <f t="shared" si="178"/>
        <v>0</v>
      </c>
      <c r="AC244" s="798">
        <f t="shared" si="178"/>
        <v>0</v>
      </c>
      <c r="AD244" s="798">
        <f t="shared" si="178"/>
        <v>0</v>
      </c>
      <c r="AE244" s="798">
        <f t="shared" si="178"/>
        <v>0</v>
      </c>
      <c r="AF244" s="798">
        <f t="shared" si="178"/>
        <v>0</v>
      </c>
      <c r="AG244" s="798">
        <f t="shared" si="178"/>
        <v>0</v>
      </c>
      <c r="AH244" s="798">
        <f t="shared" si="178"/>
        <v>0</v>
      </c>
      <c r="AI244" s="798">
        <f t="shared" si="178"/>
        <v>0</v>
      </c>
      <c r="AJ244" s="798">
        <f t="shared" si="178"/>
        <v>0</v>
      </c>
      <c r="AK244" s="798">
        <f t="shared" si="178"/>
        <v>0</v>
      </c>
      <c r="AL244" s="798">
        <f t="shared" si="178"/>
        <v>0</v>
      </c>
      <c r="AM244" s="798">
        <f t="shared" si="178"/>
        <v>0</v>
      </c>
      <c r="AN244" s="798">
        <f t="shared" si="178"/>
        <v>0</v>
      </c>
      <c r="AO244" s="798">
        <f t="shared" si="178"/>
        <v>0</v>
      </c>
      <c r="AP244" s="798">
        <f t="shared" si="178"/>
        <v>0</v>
      </c>
      <c r="AQ244" s="798">
        <f t="shared" si="178"/>
        <v>0</v>
      </c>
      <c r="AR244" s="798">
        <f t="shared" si="178"/>
        <v>0</v>
      </c>
      <c r="AS244" s="798">
        <f t="shared" si="178"/>
        <v>0</v>
      </c>
      <c r="AT244" s="798">
        <f t="shared" si="178"/>
        <v>0</v>
      </c>
      <c r="AU244" s="798">
        <f t="shared" si="178"/>
        <v>0</v>
      </c>
      <c r="AV244" s="798">
        <f t="shared" si="178"/>
        <v>0</v>
      </c>
      <c r="AW244" s="798">
        <f t="shared" si="178"/>
        <v>0</v>
      </c>
      <c r="AX244" s="798">
        <f t="shared" si="178"/>
        <v>0</v>
      </c>
      <c r="AY244" s="798">
        <f t="shared" si="178"/>
        <v>0</v>
      </c>
      <c r="AZ244" s="798">
        <f t="shared" si="178"/>
        <v>0</v>
      </c>
      <c r="BA244" s="798">
        <f t="shared" si="178"/>
        <v>0</v>
      </c>
      <c r="BB244" s="798">
        <f t="shared" si="178"/>
        <v>0</v>
      </c>
      <c r="BC244" s="798">
        <f t="shared" si="178"/>
        <v>0</v>
      </c>
      <c r="BD244" s="798">
        <f t="shared" si="178"/>
        <v>0</v>
      </c>
      <c r="BE244" s="798">
        <f t="shared" si="178"/>
        <v>0</v>
      </c>
      <c r="BF244" s="798">
        <f t="shared" si="178"/>
        <v>0</v>
      </c>
      <c r="BG244" s="798">
        <f t="shared" si="178"/>
        <v>0</v>
      </c>
      <c r="BH244" s="798">
        <f t="shared" si="178"/>
        <v>0</v>
      </c>
      <c r="BI244" s="798">
        <f t="shared" si="178"/>
        <v>0</v>
      </c>
      <c r="BJ244" s="798">
        <f t="shared" si="178"/>
        <v>0</v>
      </c>
      <c r="BK244" s="798">
        <f t="shared" si="178"/>
        <v>0</v>
      </c>
      <c r="BL244" s="798">
        <f t="shared" si="178"/>
        <v>0</v>
      </c>
      <c r="BM244" s="798">
        <f t="shared" si="178"/>
        <v>0</v>
      </c>
      <c r="BN244" s="798">
        <f t="shared" si="178"/>
        <v>0</v>
      </c>
      <c r="BO244" s="798">
        <f t="shared" si="178"/>
        <v>0</v>
      </c>
      <c r="BP244" s="798">
        <f t="shared" si="178"/>
        <v>0</v>
      </c>
      <c r="BQ244" s="798">
        <f t="shared" ref="BQ244:DU244" si="179">BQ303</f>
        <v>0</v>
      </c>
      <c r="BR244" s="798">
        <f t="shared" si="179"/>
        <v>0</v>
      </c>
      <c r="BS244" s="798">
        <f t="shared" si="179"/>
        <v>0</v>
      </c>
      <c r="BT244" s="798">
        <f t="shared" si="179"/>
        <v>0</v>
      </c>
      <c r="BU244" s="798">
        <f t="shared" si="179"/>
        <v>0</v>
      </c>
      <c r="BV244" s="798">
        <f t="shared" si="179"/>
        <v>0</v>
      </c>
      <c r="BW244" s="798">
        <f t="shared" si="179"/>
        <v>0</v>
      </c>
      <c r="BX244" s="798">
        <f t="shared" si="179"/>
        <v>0</v>
      </c>
      <c r="BY244" s="798">
        <f t="shared" si="179"/>
        <v>0</v>
      </c>
      <c r="BZ244" s="798">
        <f t="shared" si="179"/>
        <v>0</v>
      </c>
      <c r="CA244" s="798">
        <f t="shared" si="179"/>
        <v>0</v>
      </c>
      <c r="CB244" s="798">
        <f t="shared" si="179"/>
        <v>0</v>
      </c>
      <c r="CC244" s="798">
        <f t="shared" si="179"/>
        <v>0</v>
      </c>
      <c r="CD244" s="798">
        <f t="shared" si="179"/>
        <v>0</v>
      </c>
      <c r="CE244" s="798">
        <f t="shared" si="179"/>
        <v>0</v>
      </c>
      <c r="CF244" s="798">
        <f t="shared" si="179"/>
        <v>0</v>
      </c>
      <c r="CG244" s="798">
        <f t="shared" si="179"/>
        <v>0</v>
      </c>
      <c r="CH244" s="798">
        <f t="shared" si="179"/>
        <v>0</v>
      </c>
      <c r="CI244" s="798">
        <f t="shared" si="179"/>
        <v>0</v>
      </c>
      <c r="CJ244" s="798">
        <f t="shared" si="179"/>
        <v>0</v>
      </c>
      <c r="CK244" s="798">
        <f t="shared" si="179"/>
        <v>0</v>
      </c>
      <c r="CL244" s="798">
        <f t="shared" si="179"/>
        <v>0</v>
      </c>
      <c r="CM244" s="798">
        <f t="shared" si="179"/>
        <v>0</v>
      </c>
      <c r="CN244" s="798">
        <f t="shared" si="179"/>
        <v>0</v>
      </c>
      <c r="CO244" s="798">
        <f t="shared" si="179"/>
        <v>0</v>
      </c>
      <c r="CP244" s="798">
        <f t="shared" si="179"/>
        <v>0</v>
      </c>
      <c r="CQ244" s="798">
        <f t="shared" si="179"/>
        <v>0</v>
      </c>
      <c r="CR244" s="798">
        <f t="shared" si="179"/>
        <v>0</v>
      </c>
      <c r="CS244" s="798">
        <f t="shared" si="179"/>
        <v>0</v>
      </c>
      <c r="CT244" s="798">
        <f t="shared" si="179"/>
        <v>0</v>
      </c>
      <c r="CU244" s="798">
        <f t="shared" si="179"/>
        <v>0</v>
      </c>
      <c r="CV244" s="798">
        <f t="shared" si="179"/>
        <v>0</v>
      </c>
      <c r="CW244" s="798">
        <f t="shared" si="179"/>
        <v>5582134.9825772569</v>
      </c>
      <c r="CX244" s="798">
        <f t="shared" si="179"/>
        <v>0</v>
      </c>
      <c r="CY244" s="798">
        <f t="shared" si="179"/>
        <v>0</v>
      </c>
      <c r="CZ244" s="798">
        <f t="shared" si="179"/>
        <v>0</v>
      </c>
      <c r="DA244" s="798">
        <f t="shared" si="179"/>
        <v>0</v>
      </c>
      <c r="DB244" s="798">
        <f t="shared" si="179"/>
        <v>0</v>
      </c>
      <c r="DC244" s="798">
        <f t="shared" si="179"/>
        <v>0</v>
      </c>
      <c r="DD244" s="798">
        <f t="shared" si="179"/>
        <v>0</v>
      </c>
      <c r="DE244" s="798">
        <f t="shared" si="179"/>
        <v>0</v>
      </c>
      <c r="DF244" s="798">
        <f t="shared" si="179"/>
        <v>0</v>
      </c>
      <c r="DG244" s="798">
        <f t="shared" si="179"/>
        <v>0</v>
      </c>
      <c r="DH244" s="798">
        <f t="shared" si="179"/>
        <v>0</v>
      </c>
      <c r="DI244" s="798">
        <f t="shared" si="179"/>
        <v>0</v>
      </c>
      <c r="DJ244" s="798">
        <f t="shared" si="179"/>
        <v>0</v>
      </c>
      <c r="DK244" s="798">
        <f t="shared" si="179"/>
        <v>0</v>
      </c>
      <c r="DL244" s="798">
        <f t="shared" si="179"/>
        <v>0</v>
      </c>
      <c r="DM244" s="798">
        <f t="shared" si="179"/>
        <v>0</v>
      </c>
      <c r="DN244" s="798">
        <f t="shared" si="179"/>
        <v>0</v>
      </c>
      <c r="DO244" s="798">
        <f t="shared" si="179"/>
        <v>0</v>
      </c>
      <c r="DP244" s="798">
        <f t="shared" si="179"/>
        <v>0</v>
      </c>
      <c r="DQ244" s="798">
        <f t="shared" si="179"/>
        <v>0</v>
      </c>
      <c r="DR244" s="798">
        <f t="shared" si="179"/>
        <v>0</v>
      </c>
      <c r="DS244" s="798">
        <f t="shared" si="179"/>
        <v>0</v>
      </c>
      <c r="DT244" s="798">
        <f t="shared" si="179"/>
        <v>0</v>
      </c>
      <c r="DU244" s="798">
        <f t="shared" si="179"/>
        <v>0</v>
      </c>
      <c r="DV244" s="798"/>
      <c r="DW244" s="798"/>
      <c r="DX244" s="798"/>
      <c r="DY244" s="798"/>
      <c r="DZ244" s="798"/>
      <c r="EA244" s="798"/>
      <c r="EB244" s="798"/>
      <c r="EC244" s="798"/>
      <c r="ED244" s="798"/>
      <c r="EE244" s="798"/>
      <c r="EF244" s="798"/>
      <c r="EG244" s="798"/>
      <c r="EH244" s="782"/>
    </row>
    <row r="245" spans="1:138" ht="12.75" customHeight="1" x14ac:dyDescent="0.3">
      <c r="A245" s="782"/>
      <c r="B245" s="782" t="s">
        <v>147</v>
      </c>
      <c r="C245" s="782"/>
      <c r="D245" s="782"/>
      <c r="E245" s="798">
        <f t="shared" ref="E245:BP245" si="180">E326</f>
        <v>0</v>
      </c>
      <c r="F245" s="798">
        <f t="shared" si="180"/>
        <v>0</v>
      </c>
      <c r="G245" s="798">
        <f t="shared" si="180"/>
        <v>0</v>
      </c>
      <c r="H245" s="798">
        <f t="shared" si="180"/>
        <v>0</v>
      </c>
      <c r="I245" s="798">
        <f t="shared" si="180"/>
        <v>0</v>
      </c>
      <c r="J245" s="798">
        <f t="shared" si="180"/>
        <v>0</v>
      </c>
      <c r="K245" s="798">
        <f t="shared" si="180"/>
        <v>0</v>
      </c>
      <c r="L245" s="798">
        <f t="shared" si="180"/>
        <v>0</v>
      </c>
      <c r="M245" s="798">
        <f t="shared" si="180"/>
        <v>0</v>
      </c>
      <c r="N245" s="798">
        <f t="shared" si="180"/>
        <v>0</v>
      </c>
      <c r="O245" s="798">
        <f t="shared" si="180"/>
        <v>0</v>
      </c>
      <c r="P245" s="798">
        <f t="shared" si="180"/>
        <v>0</v>
      </c>
      <c r="Q245" s="798">
        <f t="shared" si="180"/>
        <v>0</v>
      </c>
      <c r="R245" s="798">
        <f t="shared" si="180"/>
        <v>0</v>
      </c>
      <c r="S245" s="798">
        <f t="shared" si="180"/>
        <v>0</v>
      </c>
      <c r="T245" s="798">
        <f t="shared" si="180"/>
        <v>0</v>
      </c>
      <c r="U245" s="798">
        <f t="shared" si="180"/>
        <v>0</v>
      </c>
      <c r="V245" s="798">
        <f t="shared" si="180"/>
        <v>0</v>
      </c>
      <c r="W245" s="798">
        <f t="shared" si="180"/>
        <v>0</v>
      </c>
      <c r="X245" s="798">
        <f t="shared" si="180"/>
        <v>0</v>
      </c>
      <c r="Y245" s="798">
        <f t="shared" si="180"/>
        <v>0</v>
      </c>
      <c r="Z245" s="798">
        <f t="shared" si="180"/>
        <v>0</v>
      </c>
      <c r="AA245" s="798">
        <f t="shared" si="180"/>
        <v>0</v>
      </c>
      <c r="AB245" s="798">
        <f t="shared" si="180"/>
        <v>0</v>
      </c>
      <c r="AC245" s="798">
        <f t="shared" si="180"/>
        <v>0</v>
      </c>
      <c r="AD245" s="798">
        <f t="shared" si="180"/>
        <v>0</v>
      </c>
      <c r="AE245" s="798">
        <f t="shared" si="180"/>
        <v>0</v>
      </c>
      <c r="AF245" s="798">
        <f t="shared" si="180"/>
        <v>0</v>
      </c>
      <c r="AG245" s="798">
        <f t="shared" si="180"/>
        <v>0</v>
      </c>
      <c r="AH245" s="798">
        <f t="shared" si="180"/>
        <v>0</v>
      </c>
      <c r="AI245" s="798">
        <f t="shared" si="180"/>
        <v>0</v>
      </c>
      <c r="AJ245" s="798">
        <f t="shared" si="180"/>
        <v>0</v>
      </c>
      <c r="AK245" s="798">
        <f t="shared" si="180"/>
        <v>0</v>
      </c>
      <c r="AL245" s="798">
        <f t="shared" si="180"/>
        <v>0</v>
      </c>
      <c r="AM245" s="798">
        <f t="shared" si="180"/>
        <v>0</v>
      </c>
      <c r="AN245" s="798">
        <f t="shared" si="180"/>
        <v>0</v>
      </c>
      <c r="AO245" s="798">
        <f t="shared" si="180"/>
        <v>0</v>
      </c>
      <c r="AP245" s="798">
        <f t="shared" si="180"/>
        <v>0</v>
      </c>
      <c r="AQ245" s="798">
        <f t="shared" si="180"/>
        <v>0</v>
      </c>
      <c r="AR245" s="798">
        <f t="shared" si="180"/>
        <v>0</v>
      </c>
      <c r="AS245" s="798">
        <f t="shared" si="180"/>
        <v>0</v>
      </c>
      <c r="AT245" s="798">
        <f t="shared" si="180"/>
        <v>0</v>
      </c>
      <c r="AU245" s="798">
        <f t="shared" si="180"/>
        <v>0</v>
      </c>
      <c r="AV245" s="798">
        <f t="shared" si="180"/>
        <v>0</v>
      </c>
      <c r="AW245" s="798">
        <f t="shared" si="180"/>
        <v>0</v>
      </c>
      <c r="AX245" s="798">
        <f t="shared" si="180"/>
        <v>0</v>
      </c>
      <c r="AY245" s="798">
        <f t="shared" si="180"/>
        <v>0</v>
      </c>
      <c r="AZ245" s="798">
        <f t="shared" si="180"/>
        <v>0</v>
      </c>
      <c r="BA245" s="798">
        <f t="shared" si="180"/>
        <v>0</v>
      </c>
      <c r="BB245" s="798">
        <f t="shared" si="180"/>
        <v>0</v>
      </c>
      <c r="BC245" s="798">
        <f t="shared" si="180"/>
        <v>0</v>
      </c>
      <c r="BD245" s="798">
        <f t="shared" si="180"/>
        <v>0</v>
      </c>
      <c r="BE245" s="798">
        <f t="shared" si="180"/>
        <v>0</v>
      </c>
      <c r="BF245" s="798">
        <f t="shared" si="180"/>
        <v>0</v>
      </c>
      <c r="BG245" s="798">
        <f t="shared" si="180"/>
        <v>0</v>
      </c>
      <c r="BH245" s="798">
        <f t="shared" si="180"/>
        <v>0</v>
      </c>
      <c r="BI245" s="798">
        <f t="shared" si="180"/>
        <v>0</v>
      </c>
      <c r="BJ245" s="798">
        <f t="shared" si="180"/>
        <v>0</v>
      </c>
      <c r="BK245" s="798">
        <f t="shared" si="180"/>
        <v>0</v>
      </c>
      <c r="BL245" s="798">
        <f t="shared" si="180"/>
        <v>0</v>
      </c>
      <c r="BM245" s="798">
        <f t="shared" si="180"/>
        <v>0</v>
      </c>
      <c r="BN245" s="798">
        <f t="shared" si="180"/>
        <v>0</v>
      </c>
      <c r="BO245" s="798">
        <f t="shared" si="180"/>
        <v>0</v>
      </c>
      <c r="BP245" s="798">
        <f t="shared" si="180"/>
        <v>0</v>
      </c>
      <c r="BQ245" s="798">
        <f t="shared" ref="BQ245:DU245" si="181">BQ326</f>
        <v>0</v>
      </c>
      <c r="BR245" s="798">
        <f t="shared" si="181"/>
        <v>0</v>
      </c>
      <c r="BS245" s="798">
        <f t="shared" si="181"/>
        <v>0</v>
      </c>
      <c r="BT245" s="798">
        <f t="shared" si="181"/>
        <v>0</v>
      </c>
      <c r="BU245" s="798">
        <f t="shared" si="181"/>
        <v>0</v>
      </c>
      <c r="BV245" s="798">
        <f t="shared" si="181"/>
        <v>0</v>
      </c>
      <c r="BW245" s="798">
        <f t="shared" si="181"/>
        <v>0</v>
      </c>
      <c r="BX245" s="798">
        <f t="shared" si="181"/>
        <v>0</v>
      </c>
      <c r="BY245" s="798">
        <f t="shared" si="181"/>
        <v>0</v>
      </c>
      <c r="BZ245" s="798">
        <f t="shared" si="181"/>
        <v>0</v>
      </c>
      <c r="CA245" s="798">
        <f t="shared" si="181"/>
        <v>0</v>
      </c>
      <c r="CB245" s="798">
        <f t="shared" si="181"/>
        <v>0</v>
      </c>
      <c r="CC245" s="798">
        <f t="shared" si="181"/>
        <v>0</v>
      </c>
      <c r="CD245" s="798">
        <f t="shared" si="181"/>
        <v>0</v>
      </c>
      <c r="CE245" s="798">
        <f t="shared" si="181"/>
        <v>0</v>
      </c>
      <c r="CF245" s="798">
        <f t="shared" si="181"/>
        <v>0</v>
      </c>
      <c r="CG245" s="798">
        <f t="shared" si="181"/>
        <v>0</v>
      </c>
      <c r="CH245" s="798">
        <f t="shared" si="181"/>
        <v>0</v>
      </c>
      <c r="CI245" s="798">
        <f t="shared" si="181"/>
        <v>0</v>
      </c>
      <c r="CJ245" s="798">
        <f t="shared" si="181"/>
        <v>0</v>
      </c>
      <c r="CK245" s="798">
        <f t="shared" si="181"/>
        <v>0</v>
      </c>
      <c r="CL245" s="798">
        <f t="shared" si="181"/>
        <v>0</v>
      </c>
      <c r="CM245" s="798">
        <f t="shared" si="181"/>
        <v>0</v>
      </c>
      <c r="CN245" s="798">
        <f t="shared" si="181"/>
        <v>0</v>
      </c>
      <c r="CO245" s="798">
        <f t="shared" si="181"/>
        <v>0</v>
      </c>
      <c r="CP245" s="798">
        <f t="shared" si="181"/>
        <v>0</v>
      </c>
      <c r="CQ245" s="798">
        <f t="shared" si="181"/>
        <v>0</v>
      </c>
      <c r="CR245" s="798">
        <f t="shared" si="181"/>
        <v>0</v>
      </c>
      <c r="CS245" s="798">
        <f t="shared" si="181"/>
        <v>0</v>
      </c>
      <c r="CT245" s="798">
        <f t="shared" si="181"/>
        <v>0</v>
      </c>
      <c r="CU245" s="798">
        <f t="shared" si="181"/>
        <v>0</v>
      </c>
      <c r="CV245" s="798">
        <f t="shared" si="181"/>
        <v>0</v>
      </c>
      <c r="CW245" s="798">
        <f t="shared" si="181"/>
        <v>-753298.49245852255</v>
      </c>
      <c r="CX245" s="798">
        <f t="shared" si="181"/>
        <v>0</v>
      </c>
      <c r="CY245" s="798">
        <f t="shared" si="181"/>
        <v>0</v>
      </c>
      <c r="CZ245" s="798">
        <f t="shared" si="181"/>
        <v>0</v>
      </c>
      <c r="DA245" s="798">
        <f t="shared" si="181"/>
        <v>0</v>
      </c>
      <c r="DB245" s="798">
        <f t="shared" si="181"/>
        <v>0</v>
      </c>
      <c r="DC245" s="798">
        <f t="shared" si="181"/>
        <v>0</v>
      </c>
      <c r="DD245" s="798">
        <f t="shared" si="181"/>
        <v>0</v>
      </c>
      <c r="DE245" s="798">
        <f t="shared" si="181"/>
        <v>0</v>
      </c>
      <c r="DF245" s="798">
        <f t="shared" si="181"/>
        <v>0</v>
      </c>
      <c r="DG245" s="798">
        <f t="shared" si="181"/>
        <v>0</v>
      </c>
      <c r="DH245" s="798">
        <f t="shared" si="181"/>
        <v>0</v>
      </c>
      <c r="DI245" s="798">
        <f t="shared" si="181"/>
        <v>0</v>
      </c>
      <c r="DJ245" s="798">
        <f t="shared" si="181"/>
        <v>0</v>
      </c>
      <c r="DK245" s="798">
        <f t="shared" si="181"/>
        <v>0</v>
      </c>
      <c r="DL245" s="798">
        <f t="shared" si="181"/>
        <v>0</v>
      </c>
      <c r="DM245" s="798">
        <f t="shared" si="181"/>
        <v>0</v>
      </c>
      <c r="DN245" s="798">
        <f t="shared" si="181"/>
        <v>0</v>
      </c>
      <c r="DO245" s="798">
        <f t="shared" si="181"/>
        <v>0</v>
      </c>
      <c r="DP245" s="798">
        <f t="shared" si="181"/>
        <v>0</v>
      </c>
      <c r="DQ245" s="798">
        <f t="shared" si="181"/>
        <v>0</v>
      </c>
      <c r="DR245" s="798">
        <f t="shared" si="181"/>
        <v>0</v>
      </c>
      <c r="DS245" s="798">
        <f t="shared" si="181"/>
        <v>0</v>
      </c>
      <c r="DT245" s="798">
        <f t="shared" si="181"/>
        <v>0</v>
      </c>
      <c r="DU245" s="798">
        <f t="shared" si="181"/>
        <v>0</v>
      </c>
      <c r="DV245" s="798"/>
      <c r="DW245" s="798"/>
      <c r="DX245" s="798"/>
      <c r="DY245" s="798"/>
      <c r="DZ245" s="798"/>
      <c r="EA245" s="798"/>
      <c r="EB245" s="798"/>
      <c r="EC245" s="798"/>
      <c r="ED245" s="798"/>
      <c r="EE245" s="798"/>
      <c r="EF245" s="798"/>
      <c r="EG245" s="798"/>
      <c r="EH245" s="782"/>
    </row>
    <row r="246" spans="1:138" ht="12.75" customHeight="1" x14ac:dyDescent="0.3">
      <c r="A246" s="782"/>
      <c r="B246" s="781" t="s">
        <v>148</v>
      </c>
      <c r="C246" s="781"/>
      <c r="D246" s="781"/>
      <c r="E246" s="799">
        <f t="shared" ref="E246:BP246" si="182">E333</f>
        <v>0</v>
      </c>
      <c r="F246" s="799">
        <f t="shared" si="182"/>
        <v>0</v>
      </c>
      <c r="G246" s="799">
        <f t="shared" si="182"/>
        <v>0</v>
      </c>
      <c r="H246" s="799">
        <f t="shared" si="182"/>
        <v>0</v>
      </c>
      <c r="I246" s="799">
        <f t="shared" si="182"/>
        <v>0</v>
      </c>
      <c r="J246" s="799">
        <f t="shared" si="182"/>
        <v>0</v>
      </c>
      <c r="K246" s="799">
        <f t="shared" si="182"/>
        <v>0</v>
      </c>
      <c r="L246" s="799">
        <f t="shared" si="182"/>
        <v>0</v>
      </c>
      <c r="M246" s="799">
        <f t="shared" si="182"/>
        <v>0</v>
      </c>
      <c r="N246" s="799">
        <f t="shared" si="182"/>
        <v>0</v>
      </c>
      <c r="O246" s="799">
        <f t="shared" si="182"/>
        <v>0</v>
      </c>
      <c r="P246" s="799">
        <f t="shared" si="182"/>
        <v>0</v>
      </c>
      <c r="Q246" s="799">
        <f t="shared" si="182"/>
        <v>0</v>
      </c>
      <c r="R246" s="799">
        <f t="shared" si="182"/>
        <v>0</v>
      </c>
      <c r="S246" s="799">
        <f t="shared" si="182"/>
        <v>0</v>
      </c>
      <c r="T246" s="799">
        <f t="shared" si="182"/>
        <v>0</v>
      </c>
      <c r="U246" s="799">
        <f t="shared" si="182"/>
        <v>0</v>
      </c>
      <c r="V246" s="799">
        <f t="shared" si="182"/>
        <v>0</v>
      </c>
      <c r="W246" s="799">
        <f t="shared" si="182"/>
        <v>0</v>
      </c>
      <c r="X246" s="799">
        <f t="shared" si="182"/>
        <v>0</v>
      </c>
      <c r="Y246" s="799">
        <f t="shared" si="182"/>
        <v>0</v>
      </c>
      <c r="Z246" s="799">
        <f t="shared" si="182"/>
        <v>0</v>
      </c>
      <c r="AA246" s="799">
        <f t="shared" si="182"/>
        <v>0</v>
      </c>
      <c r="AB246" s="799">
        <f t="shared" si="182"/>
        <v>0</v>
      </c>
      <c r="AC246" s="799">
        <f t="shared" si="182"/>
        <v>0</v>
      </c>
      <c r="AD246" s="799">
        <f t="shared" si="182"/>
        <v>0</v>
      </c>
      <c r="AE246" s="799">
        <f t="shared" si="182"/>
        <v>0</v>
      </c>
      <c r="AF246" s="799">
        <f t="shared" si="182"/>
        <v>0</v>
      </c>
      <c r="AG246" s="799">
        <f t="shared" si="182"/>
        <v>0</v>
      </c>
      <c r="AH246" s="799">
        <f t="shared" si="182"/>
        <v>0</v>
      </c>
      <c r="AI246" s="799">
        <f t="shared" si="182"/>
        <v>0</v>
      </c>
      <c r="AJ246" s="799">
        <f t="shared" si="182"/>
        <v>0</v>
      </c>
      <c r="AK246" s="799">
        <f t="shared" si="182"/>
        <v>0</v>
      </c>
      <c r="AL246" s="799">
        <f t="shared" si="182"/>
        <v>0</v>
      </c>
      <c r="AM246" s="799">
        <f t="shared" si="182"/>
        <v>0</v>
      </c>
      <c r="AN246" s="799">
        <f t="shared" si="182"/>
        <v>0</v>
      </c>
      <c r="AO246" s="799">
        <f t="shared" si="182"/>
        <v>0</v>
      </c>
      <c r="AP246" s="799">
        <f t="shared" si="182"/>
        <v>0</v>
      </c>
      <c r="AQ246" s="799">
        <f t="shared" si="182"/>
        <v>0</v>
      </c>
      <c r="AR246" s="799">
        <f t="shared" si="182"/>
        <v>0</v>
      </c>
      <c r="AS246" s="799">
        <f t="shared" si="182"/>
        <v>0</v>
      </c>
      <c r="AT246" s="799">
        <f t="shared" si="182"/>
        <v>0</v>
      </c>
      <c r="AU246" s="799">
        <f t="shared" si="182"/>
        <v>0</v>
      </c>
      <c r="AV246" s="799">
        <f t="shared" si="182"/>
        <v>0</v>
      </c>
      <c r="AW246" s="799">
        <f t="shared" si="182"/>
        <v>0</v>
      </c>
      <c r="AX246" s="799">
        <f t="shared" si="182"/>
        <v>0</v>
      </c>
      <c r="AY246" s="799">
        <f t="shared" si="182"/>
        <v>0</v>
      </c>
      <c r="AZ246" s="799">
        <f t="shared" si="182"/>
        <v>0</v>
      </c>
      <c r="BA246" s="799">
        <f t="shared" si="182"/>
        <v>0</v>
      </c>
      <c r="BB246" s="799">
        <f t="shared" si="182"/>
        <v>0</v>
      </c>
      <c r="BC246" s="799">
        <f t="shared" si="182"/>
        <v>0</v>
      </c>
      <c r="BD246" s="799">
        <f t="shared" si="182"/>
        <v>0</v>
      </c>
      <c r="BE246" s="799">
        <f t="shared" si="182"/>
        <v>0</v>
      </c>
      <c r="BF246" s="799">
        <f t="shared" si="182"/>
        <v>0</v>
      </c>
      <c r="BG246" s="799">
        <f t="shared" si="182"/>
        <v>0</v>
      </c>
      <c r="BH246" s="799">
        <f t="shared" si="182"/>
        <v>0</v>
      </c>
      <c r="BI246" s="799">
        <f t="shared" si="182"/>
        <v>0</v>
      </c>
      <c r="BJ246" s="799">
        <f t="shared" si="182"/>
        <v>0</v>
      </c>
      <c r="BK246" s="799">
        <f t="shared" si="182"/>
        <v>0</v>
      </c>
      <c r="BL246" s="799">
        <f t="shared" si="182"/>
        <v>0</v>
      </c>
      <c r="BM246" s="799">
        <f t="shared" si="182"/>
        <v>0</v>
      </c>
      <c r="BN246" s="799">
        <f t="shared" si="182"/>
        <v>0</v>
      </c>
      <c r="BO246" s="799">
        <f t="shared" si="182"/>
        <v>0</v>
      </c>
      <c r="BP246" s="799">
        <f t="shared" si="182"/>
        <v>0</v>
      </c>
      <c r="BQ246" s="799">
        <f t="shared" ref="BQ246:DU246" si="183">BQ333</f>
        <v>0</v>
      </c>
      <c r="BR246" s="799">
        <f t="shared" si="183"/>
        <v>0</v>
      </c>
      <c r="BS246" s="799">
        <f t="shared" si="183"/>
        <v>0</v>
      </c>
      <c r="BT246" s="799">
        <f t="shared" si="183"/>
        <v>0</v>
      </c>
      <c r="BU246" s="799">
        <f t="shared" si="183"/>
        <v>0</v>
      </c>
      <c r="BV246" s="799">
        <f t="shared" si="183"/>
        <v>0</v>
      </c>
      <c r="BW246" s="799">
        <f t="shared" si="183"/>
        <v>0</v>
      </c>
      <c r="BX246" s="799">
        <f t="shared" si="183"/>
        <v>0</v>
      </c>
      <c r="BY246" s="799">
        <f t="shared" si="183"/>
        <v>0</v>
      </c>
      <c r="BZ246" s="799">
        <f t="shared" si="183"/>
        <v>0</v>
      </c>
      <c r="CA246" s="799">
        <f t="shared" si="183"/>
        <v>0</v>
      </c>
      <c r="CB246" s="799">
        <f t="shared" si="183"/>
        <v>0</v>
      </c>
      <c r="CC246" s="799">
        <f t="shared" si="183"/>
        <v>0</v>
      </c>
      <c r="CD246" s="799">
        <f t="shared" si="183"/>
        <v>0</v>
      </c>
      <c r="CE246" s="799">
        <f t="shared" si="183"/>
        <v>0</v>
      </c>
      <c r="CF246" s="799">
        <f t="shared" si="183"/>
        <v>0</v>
      </c>
      <c r="CG246" s="799">
        <f t="shared" si="183"/>
        <v>0</v>
      </c>
      <c r="CH246" s="799">
        <f t="shared" si="183"/>
        <v>0</v>
      </c>
      <c r="CI246" s="799">
        <f t="shared" si="183"/>
        <v>0</v>
      </c>
      <c r="CJ246" s="799">
        <f t="shared" si="183"/>
        <v>0</v>
      </c>
      <c r="CK246" s="799">
        <f t="shared" si="183"/>
        <v>0</v>
      </c>
      <c r="CL246" s="799">
        <f t="shared" si="183"/>
        <v>0</v>
      </c>
      <c r="CM246" s="799">
        <f t="shared" si="183"/>
        <v>0</v>
      </c>
      <c r="CN246" s="799">
        <f t="shared" si="183"/>
        <v>0</v>
      </c>
      <c r="CO246" s="799">
        <f t="shared" si="183"/>
        <v>0</v>
      </c>
      <c r="CP246" s="799">
        <f t="shared" si="183"/>
        <v>0</v>
      </c>
      <c r="CQ246" s="799">
        <f t="shared" si="183"/>
        <v>0</v>
      </c>
      <c r="CR246" s="799">
        <f t="shared" si="183"/>
        <v>0</v>
      </c>
      <c r="CS246" s="799">
        <f t="shared" si="183"/>
        <v>0</v>
      </c>
      <c r="CT246" s="799">
        <f t="shared" si="183"/>
        <v>0</v>
      </c>
      <c r="CU246" s="799">
        <f t="shared" si="183"/>
        <v>0</v>
      </c>
      <c r="CV246" s="799">
        <f t="shared" si="183"/>
        <v>0</v>
      </c>
      <c r="CW246" s="799">
        <f t="shared" si="183"/>
        <v>9576703.8864983413</v>
      </c>
      <c r="CX246" s="799">
        <f t="shared" si="183"/>
        <v>0</v>
      </c>
      <c r="CY246" s="799">
        <f t="shared" si="183"/>
        <v>0</v>
      </c>
      <c r="CZ246" s="799">
        <f t="shared" si="183"/>
        <v>0</v>
      </c>
      <c r="DA246" s="799">
        <f t="shared" si="183"/>
        <v>0</v>
      </c>
      <c r="DB246" s="799">
        <f t="shared" si="183"/>
        <v>0</v>
      </c>
      <c r="DC246" s="799">
        <f t="shared" si="183"/>
        <v>0</v>
      </c>
      <c r="DD246" s="799">
        <f t="shared" si="183"/>
        <v>0</v>
      </c>
      <c r="DE246" s="799">
        <f t="shared" si="183"/>
        <v>0</v>
      </c>
      <c r="DF246" s="799">
        <f t="shared" si="183"/>
        <v>0</v>
      </c>
      <c r="DG246" s="799">
        <f t="shared" si="183"/>
        <v>0</v>
      </c>
      <c r="DH246" s="799">
        <f t="shared" si="183"/>
        <v>0</v>
      </c>
      <c r="DI246" s="799">
        <f t="shared" si="183"/>
        <v>0</v>
      </c>
      <c r="DJ246" s="799">
        <f t="shared" si="183"/>
        <v>0</v>
      </c>
      <c r="DK246" s="799">
        <f t="shared" si="183"/>
        <v>0</v>
      </c>
      <c r="DL246" s="799">
        <f t="shared" si="183"/>
        <v>0</v>
      </c>
      <c r="DM246" s="799">
        <f t="shared" si="183"/>
        <v>0</v>
      </c>
      <c r="DN246" s="799">
        <f t="shared" si="183"/>
        <v>0</v>
      </c>
      <c r="DO246" s="799">
        <f t="shared" si="183"/>
        <v>0</v>
      </c>
      <c r="DP246" s="799">
        <f t="shared" si="183"/>
        <v>0</v>
      </c>
      <c r="DQ246" s="799">
        <f t="shared" si="183"/>
        <v>0</v>
      </c>
      <c r="DR246" s="799">
        <f t="shared" si="183"/>
        <v>0</v>
      </c>
      <c r="DS246" s="799">
        <f t="shared" si="183"/>
        <v>0</v>
      </c>
      <c r="DT246" s="799">
        <f t="shared" si="183"/>
        <v>0</v>
      </c>
      <c r="DU246" s="799">
        <f t="shared" si="183"/>
        <v>0</v>
      </c>
      <c r="DV246" s="798"/>
      <c r="DW246" s="798"/>
      <c r="DX246" s="798"/>
      <c r="DY246" s="798"/>
      <c r="DZ246" s="798"/>
      <c r="EA246" s="798"/>
      <c r="EB246" s="798"/>
      <c r="EC246" s="798"/>
      <c r="ED246" s="798"/>
      <c r="EE246" s="798"/>
      <c r="EF246" s="798"/>
      <c r="EG246" s="798"/>
      <c r="EH246" s="782"/>
    </row>
    <row r="247" spans="1:138" ht="12.75" customHeight="1" x14ac:dyDescent="0.3">
      <c r="A247" s="782"/>
      <c r="B247" s="796" t="s">
        <v>149</v>
      </c>
      <c r="C247" s="813">
        <f>SUM(E247:DU247)</f>
        <v>35641301.630305246</v>
      </c>
      <c r="D247" s="796"/>
      <c r="E247" s="813">
        <f t="shared" ref="E247:BP247" si="184">SUM(E243:E246)</f>
        <v>0</v>
      </c>
      <c r="F247" s="813">
        <f t="shared" si="184"/>
        <v>0</v>
      </c>
      <c r="G247" s="813">
        <f t="shared" si="184"/>
        <v>0</v>
      </c>
      <c r="H247" s="813">
        <f t="shared" si="184"/>
        <v>0</v>
      </c>
      <c r="I247" s="813">
        <f t="shared" si="184"/>
        <v>0</v>
      </c>
      <c r="J247" s="813">
        <f t="shared" si="184"/>
        <v>0</v>
      </c>
      <c r="K247" s="813">
        <f t="shared" si="184"/>
        <v>0</v>
      </c>
      <c r="L247" s="813">
        <f t="shared" si="184"/>
        <v>0</v>
      </c>
      <c r="M247" s="813">
        <f t="shared" si="184"/>
        <v>0</v>
      </c>
      <c r="N247" s="813">
        <f t="shared" si="184"/>
        <v>0</v>
      </c>
      <c r="O247" s="813">
        <f t="shared" si="184"/>
        <v>0</v>
      </c>
      <c r="P247" s="813">
        <f t="shared" si="184"/>
        <v>0</v>
      </c>
      <c r="Q247" s="813">
        <f t="shared" si="184"/>
        <v>0</v>
      </c>
      <c r="R247" s="813">
        <f t="shared" si="184"/>
        <v>0</v>
      </c>
      <c r="S247" s="813">
        <f t="shared" si="184"/>
        <v>0</v>
      </c>
      <c r="T247" s="813">
        <f t="shared" si="184"/>
        <v>0</v>
      </c>
      <c r="U247" s="813">
        <f t="shared" si="184"/>
        <v>0</v>
      </c>
      <c r="V247" s="813">
        <f t="shared" si="184"/>
        <v>0</v>
      </c>
      <c r="W247" s="813">
        <f t="shared" si="184"/>
        <v>0</v>
      </c>
      <c r="X247" s="813">
        <f t="shared" si="184"/>
        <v>0</v>
      </c>
      <c r="Y247" s="813">
        <f t="shared" si="184"/>
        <v>0</v>
      </c>
      <c r="Z247" s="813">
        <f t="shared" si="184"/>
        <v>0</v>
      </c>
      <c r="AA247" s="813">
        <f t="shared" si="184"/>
        <v>0</v>
      </c>
      <c r="AB247" s="813">
        <f t="shared" si="184"/>
        <v>0</v>
      </c>
      <c r="AC247" s="813">
        <f t="shared" si="184"/>
        <v>0</v>
      </c>
      <c r="AD247" s="813">
        <f t="shared" si="184"/>
        <v>0</v>
      </c>
      <c r="AE247" s="813">
        <f t="shared" si="184"/>
        <v>0</v>
      </c>
      <c r="AF247" s="813">
        <f t="shared" si="184"/>
        <v>0</v>
      </c>
      <c r="AG247" s="813">
        <f t="shared" si="184"/>
        <v>0</v>
      </c>
      <c r="AH247" s="813">
        <f t="shared" si="184"/>
        <v>0</v>
      </c>
      <c r="AI247" s="813">
        <f t="shared" si="184"/>
        <v>0</v>
      </c>
      <c r="AJ247" s="813">
        <f t="shared" si="184"/>
        <v>0</v>
      </c>
      <c r="AK247" s="813">
        <f t="shared" si="184"/>
        <v>-60916274.722085506</v>
      </c>
      <c r="AL247" s="813">
        <f t="shared" si="184"/>
        <v>14315530.3242827</v>
      </c>
      <c r="AM247" s="813">
        <f t="shared" si="184"/>
        <v>205293.34606116661</v>
      </c>
      <c r="AN247" s="813">
        <f t="shared" si="184"/>
        <v>207793.40423970085</v>
      </c>
      <c r="AO247" s="813">
        <f t="shared" si="184"/>
        <v>210260.10262606523</v>
      </c>
      <c r="AP247" s="813">
        <f t="shared" si="184"/>
        <v>211885.65974115423</v>
      </c>
      <c r="AQ247" s="813">
        <f t="shared" si="184"/>
        <v>215188.01193420406</v>
      </c>
      <c r="AR247" s="813">
        <f t="shared" si="184"/>
        <v>218012.9416200624</v>
      </c>
      <c r="AS247" s="813">
        <f t="shared" si="184"/>
        <v>213181.07686987985</v>
      </c>
      <c r="AT247" s="813">
        <f t="shared" si="184"/>
        <v>214770.00861920218</v>
      </c>
      <c r="AU247" s="813">
        <f t="shared" si="184"/>
        <v>216264.46058470523</v>
      </c>
      <c r="AV247" s="813">
        <f t="shared" si="184"/>
        <v>218515.59404432448</v>
      </c>
      <c r="AW247" s="813">
        <f t="shared" si="184"/>
        <v>220675.94358853242</v>
      </c>
      <c r="AX247" s="813">
        <f t="shared" si="184"/>
        <v>222710.56184153532</v>
      </c>
      <c r="AY247" s="813">
        <f t="shared" si="184"/>
        <v>224665.72728851769</v>
      </c>
      <c r="AZ247" s="813">
        <f t="shared" si="184"/>
        <v>226548.52262565284</v>
      </c>
      <c r="BA247" s="813">
        <f t="shared" si="184"/>
        <v>228304.85297686295</v>
      </c>
      <c r="BB247" s="813">
        <f t="shared" si="184"/>
        <v>229344.9930368007</v>
      </c>
      <c r="BC247" s="813">
        <f t="shared" si="184"/>
        <v>231542.10904179295</v>
      </c>
      <c r="BD247" s="813">
        <f t="shared" si="184"/>
        <v>233317.7080138704</v>
      </c>
      <c r="BE247" s="813">
        <f t="shared" si="184"/>
        <v>229013.16839337221</v>
      </c>
      <c r="BF247" s="813">
        <f t="shared" si="184"/>
        <v>229911.66091752306</v>
      </c>
      <c r="BG247" s="813">
        <f t="shared" si="184"/>
        <v>230813.78680437503</v>
      </c>
      <c r="BH247" s="813">
        <f t="shared" si="184"/>
        <v>232345.63973502186</v>
      </c>
      <c r="BI247" s="813">
        <f t="shared" si="184"/>
        <v>233902.4265315792</v>
      </c>
      <c r="BJ247" s="813">
        <f t="shared" si="184"/>
        <v>235545.94755839423</v>
      </c>
      <c r="BK247" s="813">
        <f t="shared" si="184"/>
        <v>237262.50476525677</v>
      </c>
      <c r="BL247" s="813">
        <f t="shared" si="184"/>
        <v>238991.57351446556</v>
      </c>
      <c r="BM247" s="813">
        <f t="shared" si="184"/>
        <v>240811.21361387809</v>
      </c>
      <c r="BN247" s="813">
        <f t="shared" si="184"/>
        <v>242002.34658988175</v>
      </c>
      <c r="BO247" s="813">
        <f t="shared" si="184"/>
        <v>244627.30669974274</v>
      </c>
      <c r="BP247" s="813">
        <f t="shared" si="184"/>
        <v>246922.0418636211</v>
      </c>
      <c r="BQ247" s="813">
        <f t="shared" ref="BQ247:DU247" si="185">SUM(BQ243:BQ246)</f>
        <v>242733.25370419392</v>
      </c>
      <c r="BR247" s="813">
        <f t="shared" si="185"/>
        <v>244033.96696505454</v>
      </c>
      <c r="BS247" s="813">
        <f t="shared" si="185"/>
        <v>245313.14997026659</v>
      </c>
      <c r="BT247" s="813">
        <f t="shared" si="185"/>
        <v>247377.11673495109</v>
      </c>
      <c r="BU247" s="813">
        <f t="shared" si="185"/>
        <v>249414.97281073497</v>
      </c>
      <c r="BV247" s="813">
        <f t="shared" si="185"/>
        <v>251479.3205969065</v>
      </c>
      <c r="BW247" s="813">
        <f t="shared" si="185"/>
        <v>253576.88775609701</v>
      </c>
      <c r="BX247" s="813">
        <f t="shared" si="185"/>
        <v>255660.88139998799</v>
      </c>
      <c r="BY247" s="813">
        <f t="shared" si="185"/>
        <v>257780.55934433491</v>
      </c>
      <c r="BZ247" s="813">
        <f t="shared" si="185"/>
        <v>259130.53765731424</v>
      </c>
      <c r="CA247" s="813">
        <f t="shared" si="185"/>
        <v>262044.06866613019</v>
      </c>
      <c r="CB247" s="813">
        <f t="shared" si="185"/>
        <v>264568.88723862561</v>
      </c>
      <c r="CC247" s="813">
        <f t="shared" si="185"/>
        <v>260334.62676779419</v>
      </c>
      <c r="CD247" s="813">
        <f t="shared" si="185"/>
        <v>261766.27506953065</v>
      </c>
      <c r="CE247" s="813">
        <f t="shared" si="185"/>
        <v>263169.39895795332</v>
      </c>
      <c r="CF247" s="813">
        <f t="shared" si="185"/>
        <v>265374.12330500968</v>
      </c>
      <c r="CG247" s="813">
        <f t="shared" si="185"/>
        <v>267569.84631198365</v>
      </c>
      <c r="CH247" s="813">
        <f t="shared" si="185"/>
        <v>269785.75663471175</v>
      </c>
      <c r="CI247" s="813">
        <f t="shared" si="185"/>
        <v>271981.27502716507</v>
      </c>
      <c r="CJ247" s="813">
        <f t="shared" si="185"/>
        <v>274209.9614994725</v>
      </c>
      <c r="CK247" s="813">
        <f t="shared" si="185"/>
        <v>276471.37765448482</v>
      </c>
      <c r="CL247" s="813">
        <f t="shared" si="185"/>
        <v>277910.21305872517</v>
      </c>
      <c r="CM247" s="813">
        <f t="shared" si="185"/>
        <v>280971.24051798158</v>
      </c>
      <c r="CN247" s="813">
        <f t="shared" si="185"/>
        <v>283611.40197433194</v>
      </c>
      <c r="CO247" s="813">
        <f t="shared" si="185"/>
        <v>279273.11677509604</v>
      </c>
      <c r="CP247" s="813">
        <f t="shared" si="185"/>
        <v>280770.93938649778</v>
      </c>
      <c r="CQ247" s="813">
        <f t="shared" si="185"/>
        <v>282239.46279127692</v>
      </c>
      <c r="CR247" s="813">
        <f t="shared" si="185"/>
        <v>284516.27143163967</v>
      </c>
      <c r="CS247" s="813">
        <f t="shared" si="185"/>
        <v>286814.10642290174</v>
      </c>
      <c r="CT247" s="813">
        <f t="shared" si="185"/>
        <v>289146.38855799765</v>
      </c>
      <c r="CU247" s="813">
        <f t="shared" si="185"/>
        <v>291451.51423692808</v>
      </c>
      <c r="CV247" s="813">
        <f t="shared" si="185"/>
        <v>293779.70006957493</v>
      </c>
      <c r="CW247" s="813">
        <f t="shared" si="185"/>
        <v>66877360.787071258</v>
      </c>
      <c r="CX247" s="813">
        <f t="shared" si="185"/>
        <v>0</v>
      </c>
      <c r="CY247" s="813">
        <f t="shared" si="185"/>
        <v>0</v>
      </c>
      <c r="CZ247" s="813">
        <f t="shared" si="185"/>
        <v>0</v>
      </c>
      <c r="DA247" s="813">
        <f t="shared" si="185"/>
        <v>0</v>
      </c>
      <c r="DB247" s="813">
        <f t="shared" si="185"/>
        <v>0</v>
      </c>
      <c r="DC247" s="813">
        <f t="shared" si="185"/>
        <v>0</v>
      </c>
      <c r="DD247" s="813">
        <f t="shared" si="185"/>
        <v>0</v>
      </c>
      <c r="DE247" s="813">
        <f t="shared" si="185"/>
        <v>0</v>
      </c>
      <c r="DF247" s="813">
        <f t="shared" si="185"/>
        <v>0</v>
      </c>
      <c r="DG247" s="813">
        <f t="shared" si="185"/>
        <v>0</v>
      </c>
      <c r="DH247" s="813">
        <f t="shared" si="185"/>
        <v>0</v>
      </c>
      <c r="DI247" s="813">
        <f t="shared" si="185"/>
        <v>0</v>
      </c>
      <c r="DJ247" s="813">
        <f t="shared" si="185"/>
        <v>0</v>
      </c>
      <c r="DK247" s="813">
        <f t="shared" si="185"/>
        <v>0</v>
      </c>
      <c r="DL247" s="813">
        <f t="shared" si="185"/>
        <v>0</v>
      </c>
      <c r="DM247" s="813">
        <f t="shared" si="185"/>
        <v>0</v>
      </c>
      <c r="DN247" s="813">
        <f t="shared" si="185"/>
        <v>0</v>
      </c>
      <c r="DO247" s="813">
        <f t="shared" si="185"/>
        <v>0</v>
      </c>
      <c r="DP247" s="813">
        <f t="shared" si="185"/>
        <v>0</v>
      </c>
      <c r="DQ247" s="813">
        <f t="shared" si="185"/>
        <v>0</v>
      </c>
      <c r="DR247" s="813">
        <f t="shared" si="185"/>
        <v>0</v>
      </c>
      <c r="DS247" s="813">
        <f t="shared" si="185"/>
        <v>0</v>
      </c>
      <c r="DT247" s="813">
        <f t="shared" si="185"/>
        <v>0</v>
      </c>
      <c r="DU247" s="813">
        <f t="shared" si="185"/>
        <v>0</v>
      </c>
      <c r="DV247" s="798"/>
      <c r="DW247" s="798"/>
      <c r="DX247" s="798"/>
      <c r="DY247" s="798"/>
      <c r="DZ247" s="798"/>
      <c r="EA247" s="798"/>
      <c r="EB247" s="798"/>
      <c r="EC247" s="798"/>
      <c r="ED247" s="798"/>
      <c r="EE247" s="798"/>
      <c r="EF247" s="798"/>
      <c r="EG247" s="798"/>
      <c r="EH247" s="782"/>
    </row>
    <row r="248" spans="1:138" ht="12.75" customHeight="1" x14ac:dyDescent="0.3">
      <c r="A248" s="782"/>
      <c r="B248" s="800" t="s">
        <v>150</v>
      </c>
      <c r="C248" s="801">
        <f>XIRR(OFFSET($E$247,0,$D$210):$DU$247,OFFSET($E$4,0,$D$210):$DU$4)</f>
        <v>0.12527844309806824</v>
      </c>
      <c r="D248" s="796"/>
      <c r="E248" s="813"/>
      <c r="F248" s="813"/>
      <c r="G248" s="813"/>
      <c r="H248" s="813"/>
      <c r="I248" s="813"/>
      <c r="J248" s="813"/>
      <c r="K248" s="813"/>
      <c r="L248" s="813"/>
      <c r="M248" s="813"/>
      <c r="N248" s="813"/>
      <c r="O248" s="813"/>
      <c r="P248" s="813"/>
      <c r="Q248" s="813"/>
      <c r="R248" s="813"/>
      <c r="S248" s="813"/>
      <c r="T248" s="813"/>
      <c r="U248" s="813"/>
      <c r="V248" s="813"/>
      <c r="W248" s="813"/>
      <c r="X248" s="813"/>
      <c r="Y248" s="813"/>
      <c r="Z248" s="813"/>
      <c r="AA248" s="813"/>
      <c r="AB248" s="813"/>
      <c r="AC248" s="813"/>
      <c r="AD248" s="813"/>
      <c r="AE248" s="813"/>
      <c r="AF248" s="813"/>
      <c r="AG248" s="813"/>
      <c r="AH248" s="813"/>
      <c r="AI248" s="813"/>
      <c r="AJ248" s="813"/>
      <c r="AK248" s="813"/>
      <c r="AL248" s="813"/>
      <c r="AM248" s="813"/>
      <c r="AN248" s="813"/>
      <c r="AO248" s="813"/>
      <c r="AP248" s="813"/>
      <c r="AQ248" s="813"/>
      <c r="AR248" s="813"/>
      <c r="AS248" s="813"/>
      <c r="AT248" s="813"/>
      <c r="AU248" s="813"/>
      <c r="AV248" s="813"/>
      <c r="AW248" s="813"/>
      <c r="AX248" s="813"/>
      <c r="AY248" s="813"/>
      <c r="AZ248" s="813"/>
      <c r="BA248" s="813"/>
      <c r="BB248" s="813"/>
      <c r="BC248" s="813"/>
      <c r="BD248" s="813"/>
      <c r="BE248" s="813"/>
      <c r="BF248" s="813"/>
      <c r="BG248" s="813"/>
      <c r="BH248" s="813"/>
      <c r="BI248" s="813"/>
      <c r="BJ248" s="813"/>
      <c r="BK248" s="813"/>
      <c r="BL248" s="813"/>
      <c r="BM248" s="813"/>
      <c r="BN248" s="813"/>
      <c r="BO248" s="813"/>
      <c r="BP248" s="813"/>
      <c r="BQ248" s="813"/>
      <c r="BR248" s="813"/>
      <c r="BS248" s="813"/>
      <c r="BT248" s="813"/>
      <c r="BU248" s="813"/>
      <c r="BV248" s="813"/>
      <c r="BW248" s="813"/>
      <c r="BX248" s="813"/>
      <c r="BY248" s="813"/>
      <c r="BZ248" s="813"/>
      <c r="CA248" s="813"/>
      <c r="CB248" s="813"/>
      <c r="CC248" s="813"/>
      <c r="CD248" s="813"/>
      <c r="CE248" s="813"/>
      <c r="CF248" s="813"/>
      <c r="CG248" s="813"/>
      <c r="CH248" s="813"/>
      <c r="CI248" s="813"/>
      <c r="CJ248" s="813"/>
      <c r="CK248" s="813"/>
      <c r="CL248" s="813"/>
      <c r="CM248" s="813"/>
      <c r="CN248" s="813"/>
      <c r="CO248" s="813"/>
      <c r="CP248" s="813"/>
      <c r="CQ248" s="813"/>
      <c r="CR248" s="813"/>
      <c r="CS248" s="813"/>
      <c r="CT248" s="813"/>
      <c r="CU248" s="813"/>
      <c r="CV248" s="813"/>
      <c r="CW248" s="813"/>
      <c r="CX248" s="813"/>
      <c r="CY248" s="813"/>
      <c r="CZ248" s="813"/>
      <c r="DA248" s="813"/>
      <c r="DB248" s="813"/>
      <c r="DC248" s="813"/>
      <c r="DD248" s="813"/>
      <c r="DE248" s="813"/>
      <c r="DF248" s="813"/>
      <c r="DG248" s="813"/>
      <c r="DH248" s="813"/>
      <c r="DI248" s="813"/>
      <c r="DJ248" s="813"/>
      <c r="DK248" s="813"/>
      <c r="DL248" s="813"/>
      <c r="DM248" s="813"/>
      <c r="DN248" s="813"/>
      <c r="DO248" s="813"/>
      <c r="DP248" s="813"/>
      <c r="DQ248" s="813"/>
      <c r="DR248" s="813"/>
      <c r="DS248" s="813"/>
      <c r="DT248" s="813"/>
      <c r="DU248" s="813"/>
      <c r="DV248" s="798"/>
      <c r="DW248" s="798"/>
      <c r="DX248" s="798"/>
      <c r="DY248" s="798"/>
      <c r="DZ248" s="798"/>
      <c r="EA248" s="798"/>
      <c r="EB248" s="798"/>
      <c r="EC248" s="798"/>
      <c r="ED248" s="798"/>
      <c r="EE248" s="798"/>
      <c r="EF248" s="798"/>
      <c r="EG248" s="798"/>
      <c r="EH248" s="782"/>
    </row>
    <row r="249" spans="1:138" ht="12.75" customHeight="1" x14ac:dyDescent="0.3">
      <c r="A249" s="782"/>
      <c r="B249" s="796"/>
      <c r="C249" s="796"/>
      <c r="D249" s="796"/>
      <c r="E249" s="813"/>
      <c r="F249" s="813"/>
      <c r="G249" s="813"/>
      <c r="H249" s="813"/>
      <c r="I249" s="813"/>
      <c r="J249" s="813"/>
      <c r="K249" s="813"/>
      <c r="L249" s="813"/>
      <c r="M249" s="813"/>
      <c r="N249" s="813"/>
      <c r="O249" s="813"/>
      <c r="P249" s="813"/>
      <c r="Q249" s="813"/>
      <c r="R249" s="813"/>
      <c r="S249" s="813"/>
      <c r="T249" s="813"/>
      <c r="U249" s="813"/>
      <c r="V249" s="813"/>
      <c r="W249" s="813"/>
      <c r="X249" s="813"/>
      <c r="Y249" s="813"/>
      <c r="Z249" s="813"/>
      <c r="AA249" s="813"/>
      <c r="AB249" s="813"/>
      <c r="AC249" s="813"/>
      <c r="AD249" s="813"/>
      <c r="AE249" s="813"/>
      <c r="AF249" s="813"/>
      <c r="AG249" s="813"/>
      <c r="AH249" s="813"/>
      <c r="AI249" s="813"/>
      <c r="AJ249" s="813"/>
      <c r="AK249" s="813"/>
      <c r="AL249" s="813"/>
      <c r="AM249" s="813"/>
      <c r="AN249" s="813"/>
      <c r="AO249" s="813"/>
      <c r="AP249" s="813"/>
      <c r="AQ249" s="813"/>
      <c r="AR249" s="813"/>
      <c r="AS249" s="813"/>
      <c r="AT249" s="813"/>
      <c r="AU249" s="813"/>
      <c r="AV249" s="813"/>
      <c r="AW249" s="813"/>
      <c r="AX249" s="813"/>
      <c r="AY249" s="813"/>
      <c r="AZ249" s="813"/>
      <c r="BA249" s="813"/>
      <c r="BB249" s="813"/>
      <c r="BC249" s="813"/>
      <c r="BD249" s="813"/>
      <c r="BE249" s="813"/>
      <c r="BF249" s="813"/>
      <c r="BG249" s="813"/>
      <c r="BH249" s="813"/>
      <c r="BI249" s="813"/>
      <c r="BJ249" s="813"/>
      <c r="BK249" s="813"/>
      <c r="BL249" s="813"/>
      <c r="BM249" s="813"/>
      <c r="BN249" s="813"/>
      <c r="BO249" s="813"/>
      <c r="BP249" s="813"/>
      <c r="BQ249" s="813"/>
      <c r="BR249" s="813"/>
      <c r="BS249" s="813"/>
      <c r="BT249" s="813"/>
      <c r="BU249" s="813"/>
      <c r="BV249" s="813"/>
      <c r="BW249" s="813"/>
      <c r="BX249" s="813"/>
      <c r="BY249" s="813"/>
      <c r="BZ249" s="813"/>
      <c r="CA249" s="813"/>
      <c r="CB249" s="813"/>
      <c r="CC249" s="813"/>
      <c r="CD249" s="813"/>
      <c r="CE249" s="813"/>
      <c r="CF249" s="813"/>
      <c r="CG249" s="813"/>
      <c r="CH249" s="813"/>
      <c r="CI249" s="813"/>
      <c r="CJ249" s="813"/>
      <c r="CK249" s="813"/>
      <c r="CL249" s="813"/>
      <c r="CM249" s="813"/>
      <c r="CN249" s="813"/>
      <c r="CO249" s="813"/>
      <c r="CP249" s="813"/>
      <c r="CQ249" s="813"/>
      <c r="CR249" s="813"/>
      <c r="CS249" s="813"/>
      <c r="CT249" s="813"/>
      <c r="CU249" s="813"/>
      <c r="CV249" s="813"/>
      <c r="CW249" s="813"/>
      <c r="CX249" s="813"/>
      <c r="CY249" s="813"/>
      <c r="CZ249" s="813"/>
      <c r="DA249" s="813"/>
      <c r="DB249" s="813"/>
      <c r="DC249" s="813"/>
      <c r="DD249" s="813"/>
      <c r="DE249" s="813"/>
      <c r="DF249" s="813"/>
      <c r="DG249" s="813"/>
      <c r="DH249" s="813"/>
      <c r="DI249" s="813"/>
      <c r="DJ249" s="813"/>
      <c r="DK249" s="813"/>
      <c r="DL249" s="813"/>
      <c r="DM249" s="813"/>
      <c r="DN249" s="813"/>
      <c r="DO249" s="813"/>
      <c r="DP249" s="813"/>
      <c r="DQ249" s="813"/>
      <c r="DR249" s="813"/>
      <c r="DS249" s="813"/>
      <c r="DT249" s="813"/>
      <c r="DU249" s="813"/>
      <c r="DV249" s="798"/>
      <c r="DW249" s="798"/>
      <c r="DX249" s="798"/>
      <c r="DY249" s="798"/>
      <c r="DZ249" s="798"/>
      <c r="EA249" s="798"/>
      <c r="EB249" s="798"/>
      <c r="EC249" s="798"/>
      <c r="ED249" s="798"/>
      <c r="EE249" s="798"/>
      <c r="EF249" s="798"/>
      <c r="EG249" s="798"/>
      <c r="EH249" s="782"/>
    </row>
    <row r="250" spans="1:138" ht="12.75" customHeight="1" x14ac:dyDescent="0.3">
      <c r="A250" s="782"/>
      <c r="B250" s="796" t="s">
        <v>151</v>
      </c>
      <c r="C250" s="813">
        <f>SUM(E250:DU250)</f>
        <v>5736147.0869287392</v>
      </c>
      <c r="D250" s="782"/>
      <c r="E250" s="813">
        <f t="shared" ref="E250:BP250" si="186">E302+E325+E332</f>
        <v>0</v>
      </c>
      <c r="F250" s="813">
        <f t="shared" si="186"/>
        <v>0</v>
      </c>
      <c r="G250" s="813">
        <f t="shared" si="186"/>
        <v>0</v>
      </c>
      <c r="H250" s="813">
        <f t="shared" si="186"/>
        <v>0</v>
      </c>
      <c r="I250" s="813">
        <f t="shared" si="186"/>
        <v>0</v>
      </c>
      <c r="J250" s="813">
        <f t="shared" si="186"/>
        <v>0</v>
      </c>
      <c r="K250" s="813">
        <f t="shared" si="186"/>
        <v>0</v>
      </c>
      <c r="L250" s="813">
        <f t="shared" si="186"/>
        <v>0</v>
      </c>
      <c r="M250" s="813">
        <f t="shared" si="186"/>
        <v>0</v>
      </c>
      <c r="N250" s="813">
        <f t="shared" si="186"/>
        <v>0</v>
      </c>
      <c r="O250" s="813">
        <f t="shared" si="186"/>
        <v>0</v>
      </c>
      <c r="P250" s="813">
        <f t="shared" si="186"/>
        <v>0</v>
      </c>
      <c r="Q250" s="813">
        <f t="shared" si="186"/>
        <v>0</v>
      </c>
      <c r="R250" s="813">
        <f t="shared" si="186"/>
        <v>0</v>
      </c>
      <c r="S250" s="813">
        <f t="shared" si="186"/>
        <v>0</v>
      </c>
      <c r="T250" s="813">
        <f t="shared" si="186"/>
        <v>0</v>
      </c>
      <c r="U250" s="813">
        <f t="shared" si="186"/>
        <v>0</v>
      </c>
      <c r="V250" s="813">
        <f t="shared" si="186"/>
        <v>0</v>
      </c>
      <c r="W250" s="813">
        <f t="shared" si="186"/>
        <v>0</v>
      </c>
      <c r="X250" s="813">
        <f t="shared" si="186"/>
        <v>0</v>
      </c>
      <c r="Y250" s="813">
        <f t="shared" si="186"/>
        <v>0</v>
      </c>
      <c r="Z250" s="813">
        <f t="shared" si="186"/>
        <v>0</v>
      </c>
      <c r="AA250" s="813">
        <f t="shared" si="186"/>
        <v>0</v>
      </c>
      <c r="AB250" s="813">
        <f t="shared" si="186"/>
        <v>0</v>
      </c>
      <c r="AC250" s="813">
        <f t="shared" si="186"/>
        <v>0</v>
      </c>
      <c r="AD250" s="813">
        <f t="shared" si="186"/>
        <v>0</v>
      </c>
      <c r="AE250" s="813">
        <f t="shared" si="186"/>
        <v>0</v>
      </c>
      <c r="AF250" s="813">
        <f t="shared" si="186"/>
        <v>0</v>
      </c>
      <c r="AG250" s="813">
        <f t="shared" si="186"/>
        <v>0</v>
      </c>
      <c r="AH250" s="813">
        <f t="shared" si="186"/>
        <v>0</v>
      </c>
      <c r="AI250" s="813">
        <f t="shared" si="186"/>
        <v>0</v>
      </c>
      <c r="AJ250" s="813">
        <f t="shared" si="186"/>
        <v>0</v>
      </c>
      <c r="AK250" s="813">
        <f t="shared" si="186"/>
        <v>0</v>
      </c>
      <c r="AL250" s="813">
        <f t="shared" si="186"/>
        <v>0</v>
      </c>
      <c r="AM250" s="813">
        <f t="shared" si="186"/>
        <v>0</v>
      </c>
      <c r="AN250" s="813">
        <f t="shared" si="186"/>
        <v>0</v>
      </c>
      <c r="AO250" s="813">
        <f t="shared" si="186"/>
        <v>0</v>
      </c>
      <c r="AP250" s="813">
        <f t="shared" si="186"/>
        <v>0</v>
      </c>
      <c r="AQ250" s="813">
        <f t="shared" si="186"/>
        <v>0</v>
      </c>
      <c r="AR250" s="813">
        <f t="shared" si="186"/>
        <v>0</v>
      </c>
      <c r="AS250" s="813">
        <f t="shared" si="186"/>
        <v>0</v>
      </c>
      <c r="AT250" s="813">
        <f t="shared" si="186"/>
        <v>0</v>
      </c>
      <c r="AU250" s="813">
        <f t="shared" si="186"/>
        <v>0</v>
      </c>
      <c r="AV250" s="813">
        <f t="shared" si="186"/>
        <v>0</v>
      </c>
      <c r="AW250" s="813">
        <f t="shared" si="186"/>
        <v>0</v>
      </c>
      <c r="AX250" s="813">
        <f t="shared" si="186"/>
        <v>0</v>
      </c>
      <c r="AY250" s="813">
        <f t="shared" si="186"/>
        <v>0</v>
      </c>
      <c r="AZ250" s="813">
        <f t="shared" si="186"/>
        <v>0</v>
      </c>
      <c r="BA250" s="813">
        <f t="shared" si="186"/>
        <v>0</v>
      </c>
      <c r="BB250" s="813">
        <f t="shared" si="186"/>
        <v>0</v>
      </c>
      <c r="BC250" s="813">
        <f t="shared" si="186"/>
        <v>0</v>
      </c>
      <c r="BD250" s="813">
        <f t="shared" si="186"/>
        <v>0</v>
      </c>
      <c r="BE250" s="813">
        <f t="shared" si="186"/>
        <v>0</v>
      </c>
      <c r="BF250" s="813">
        <f t="shared" si="186"/>
        <v>0</v>
      </c>
      <c r="BG250" s="813">
        <f t="shared" si="186"/>
        <v>0</v>
      </c>
      <c r="BH250" s="813">
        <f t="shared" si="186"/>
        <v>0</v>
      </c>
      <c r="BI250" s="813">
        <f t="shared" si="186"/>
        <v>0</v>
      </c>
      <c r="BJ250" s="813">
        <f t="shared" si="186"/>
        <v>0</v>
      </c>
      <c r="BK250" s="813">
        <f t="shared" si="186"/>
        <v>0</v>
      </c>
      <c r="BL250" s="813">
        <f t="shared" si="186"/>
        <v>0</v>
      </c>
      <c r="BM250" s="813">
        <f t="shared" si="186"/>
        <v>0</v>
      </c>
      <c r="BN250" s="813">
        <f t="shared" si="186"/>
        <v>0</v>
      </c>
      <c r="BO250" s="813">
        <f t="shared" si="186"/>
        <v>0</v>
      </c>
      <c r="BP250" s="813">
        <f t="shared" si="186"/>
        <v>0</v>
      </c>
      <c r="BQ250" s="813">
        <f t="shared" ref="BQ250:DU250" si="187">BQ302+BQ325+BQ332</f>
        <v>0</v>
      </c>
      <c r="BR250" s="813">
        <f t="shared" si="187"/>
        <v>0</v>
      </c>
      <c r="BS250" s="813">
        <f t="shared" si="187"/>
        <v>0</v>
      </c>
      <c r="BT250" s="813">
        <f t="shared" si="187"/>
        <v>0</v>
      </c>
      <c r="BU250" s="813">
        <f t="shared" si="187"/>
        <v>0</v>
      </c>
      <c r="BV250" s="813">
        <f t="shared" si="187"/>
        <v>0</v>
      </c>
      <c r="BW250" s="813">
        <f t="shared" si="187"/>
        <v>0</v>
      </c>
      <c r="BX250" s="813">
        <f t="shared" si="187"/>
        <v>0</v>
      </c>
      <c r="BY250" s="813">
        <f t="shared" si="187"/>
        <v>0</v>
      </c>
      <c r="BZ250" s="813">
        <f t="shared" si="187"/>
        <v>0</v>
      </c>
      <c r="CA250" s="813">
        <f t="shared" si="187"/>
        <v>0</v>
      </c>
      <c r="CB250" s="813">
        <f t="shared" si="187"/>
        <v>0</v>
      </c>
      <c r="CC250" s="813">
        <f t="shared" si="187"/>
        <v>0</v>
      </c>
      <c r="CD250" s="813">
        <f t="shared" si="187"/>
        <v>0</v>
      </c>
      <c r="CE250" s="813">
        <f t="shared" si="187"/>
        <v>0</v>
      </c>
      <c r="CF250" s="813">
        <f t="shared" si="187"/>
        <v>0</v>
      </c>
      <c r="CG250" s="813">
        <f t="shared" si="187"/>
        <v>0</v>
      </c>
      <c r="CH250" s="813">
        <f t="shared" si="187"/>
        <v>0</v>
      </c>
      <c r="CI250" s="813">
        <f t="shared" si="187"/>
        <v>0</v>
      </c>
      <c r="CJ250" s="813">
        <f t="shared" si="187"/>
        <v>0</v>
      </c>
      <c r="CK250" s="813">
        <f t="shared" si="187"/>
        <v>0</v>
      </c>
      <c r="CL250" s="813">
        <f t="shared" si="187"/>
        <v>0</v>
      </c>
      <c r="CM250" s="813">
        <f t="shared" si="187"/>
        <v>0</v>
      </c>
      <c r="CN250" s="813">
        <f t="shared" si="187"/>
        <v>0</v>
      </c>
      <c r="CO250" s="813">
        <f t="shared" si="187"/>
        <v>0</v>
      </c>
      <c r="CP250" s="813">
        <f t="shared" si="187"/>
        <v>0</v>
      </c>
      <c r="CQ250" s="813">
        <f t="shared" si="187"/>
        <v>0</v>
      </c>
      <c r="CR250" s="813">
        <f t="shared" si="187"/>
        <v>0</v>
      </c>
      <c r="CS250" s="813">
        <f t="shared" si="187"/>
        <v>0</v>
      </c>
      <c r="CT250" s="813">
        <f t="shared" si="187"/>
        <v>0</v>
      </c>
      <c r="CU250" s="813">
        <f t="shared" si="187"/>
        <v>0</v>
      </c>
      <c r="CV250" s="813">
        <f t="shared" si="187"/>
        <v>0</v>
      </c>
      <c r="CW250" s="813">
        <f t="shared" si="187"/>
        <v>5736147.0869287392</v>
      </c>
      <c r="CX250" s="813">
        <f t="shared" si="187"/>
        <v>0</v>
      </c>
      <c r="CY250" s="813">
        <f t="shared" si="187"/>
        <v>0</v>
      </c>
      <c r="CZ250" s="813">
        <f t="shared" si="187"/>
        <v>0</v>
      </c>
      <c r="DA250" s="813">
        <f t="shared" si="187"/>
        <v>0</v>
      </c>
      <c r="DB250" s="813">
        <f t="shared" si="187"/>
        <v>0</v>
      </c>
      <c r="DC250" s="813">
        <f t="shared" si="187"/>
        <v>0</v>
      </c>
      <c r="DD250" s="813">
        <f t="shared" si="187"/>
        <v>0</v>
      </c>
      <c r="DE250" s="813">
        <f t="shared" si="187"/>
        <v>0</v>
      </c>
      <c r="DF250" s="813">
        <f t="shared" si="187"/>
        <v>0</v>
      </c>
      <c r="DG250" s="813">
        <f t="shared" si="187"/>
        <v>0</v>
      </c>
      <c r="DH250" s="813">
        <f t="shared" si="187"/>
        <v>0</v>
      </c>
      <c r="DI250" s="813">
        <f t="shared" si="187"/>
        <v>0</v>
      </c>
      <c r="DJ250" s="813">
        <f t="shared" si="187"/>
        <v>0</v>
      </c>
      <c r="DK250" s="813">
        <f t="shared" si="187"/>
        <v>0</v>
      </c>
      <c r="DL250" s="813">
        <f t="shared" si="187"/>
        <v>0</v>
      </c>
      <c r="DM250" s="813">
        <f t="shared" si="187"/>
        <v>0</v>
      </c>
      <c r="DN250" s="813">
        <f t="shared" si="187"/>
        <v>0</v>
      </c>
      <c r="DO250" s="813">
        <f t="shared" si="187"/>
        <v>0</v>
      </c>
      <c r="DP250" s="813">
        <f t="shared" si="187"/>
        <v>0</v>
      </c>
      <c r="DQ250" s="813">
        <f t="shared" si="187"/>
        <v>0</v>
      </c>
      <c r="DR250" s="813">
        <f t="shared" si="187"/>
        <v>0</v>
      </c>
      <c r="DS250" s="813">
        <f t="shared" si="187"/>
        <v>0</v>
      </c>
      <c r="DT250" s="813">
        <f t="shared" si="187"/>
        <v>0</v>
      </c>
      <c r="DU250" s="813">
        <f t="shared" si="187"/>
        <v>0</v>
      </c>
      <c r="DV250" s="798"/>
      <c r="DW250" s="798"/>
      <c r="DX250" s="798"/>
      <c r="DY250" s="798"/>
      <c r="DZ250" s="798"/>
      <c r="EA250" s="798"/>
      <c r="EB250" s="798"/>
      <c r="EC250" s="798"/>
      <c r="ED250" s="798"/>
      <c r="EE250" s="798"/>
      <c r="EF250" s="798"/>
      <c r="EG250" s="798"/>
      <c r="EH250" s="782"/>
    </row>
    <row r="251" spans="1:138" ht="12.75" customHeight="1" x14ac:dyDescent="0.3">
      <c r="A251" s="782"/>
      <c r="B251" s="782"/>
      <c r="C251" s="782"/>
      <c r="D251" s="782"/>
      <c r="E251" s="782"/>
      <c r="F251" s="782"/>
      <c r="G251" s="782"/>
      <c r="H251" s="782"/>
      <c r="I251" s="782"/>
      <c r="J251" s="782"/>
      <c r="K251" s="782"/>
      <c r="L251" s="782"/>
      <c r="M251" s="782"/>
      <c r="N251" s="782"/>
      <c r="O251" s="782"/>
      <c r="P251" s="782"/>
      <c r="Q251" s="782"/>
      <c r="R251" s="782"/>
      <c r="S251" s="782"/>
      <c r="T251" s="782"/>
      <c r="U251" s="782"/>
      <c r="V251" s="782"/>
      <c r="W251" s="782"/>
      <c r="X251" s="782"/>
      <c r="Y251" s="782"/>
      <c r="Z251" s="782"/>
      <c r="AA251" s="782"/>
      <c r="AB251" s="782"/>
      <c r="AC251" s="782"/>
      <c r="AD251" s="782"/>
      <c r="AE251" s="782"/>
      <c r="AF251" s="782"/>
      <c r="AG251" s="782"/>
      <c r="AH251" s="782"/>
      <c r="AI251" s="782"/>
      <c r="AJ251" s="782"/>
      <c r="AK251" s="782"/>
      <c r="AL251" s="782"/>
      <c r="AM251" s="782"/>
      <c r="AN251" s="782"/>
      <c r="AO251" s="782"/>
      <c r="AP251" s="782"/>
      <c r="AQ251" s="782"/>
      <c r="AR251" s="782"/>
      <c r="AS251" s="782"/>
      <c r="AT251" s="782"/>
      <c r="AU251" s="782"/>
      <c r="AV251" s="782"/>
      <c r="AW251" s="782"/>
      <c r="AX251" s="782"/>
      <c r="AY251" s="782"/>
      <c r="AZ251" s="782"/>
      <c r="BA251" s="782"/>
      <c r="BB251" s="782"/>
      <c r="BC251" s="782"/>
      <c r="BD251" s="782"/>
      <c r="BE251" s="782"/>
      <c r="BF251" s="782"/>
      <c r="BG251" s="782"/>
      <c r="BH251" s="782"/>
      <c r="BI251" s="782"/>
      <c r="BJ251" s="782"/>
      <c r="BK251" s="782"/>
      <c r="BL251" s="782"/>
      <c r="BM251" s="782"/>
      <c r="BN251" s="782"/>
      <c r="BO251" s="782"/>
      <c r="BP251" s="782"/>
      <c r="BQ251" s="782"/>
      <c r="BR251" s="782"/>
      <c r="BS251" s="782"/>
      <c r="BT251" s="782"/>
      <c r="BU251" s="782"/>
      <c r="BV251" s="782"/>
      <c r="BW251" s="782"/>
      <c r="BX251" s="782"/>
      <c r="BY251" s="782"/>
      <c r="BZ251" s="782"/>
      <c r="CA251" s="782"/>
      <c r="CB251" s="782"/>
      <c r="CC251" s="782"/>
      <c r="CD251" s="782"/>
      <c r="CE251" s="782"/>
      <c r="CF251" s="782"/>
      <c r="CG251" s="782"/>
      <c r="CH251" s="782"/>
      <c r="CI251" s="782"/>
      <c r="CJ251" s="782"/>
      <c r="CK251" s="782"/>
      <c r="CL251" s="782"/>
      <c r="CM251" s="782"/>
      <c r="CN251" s="782"/>
      <c r="CO251" s="782"/>
      <c r="CP251" s="782"/>
      <c r="CQ251" s="782"/>
      <c r="CR251" s="782"/>
      <c r="CS251" s="782"/>
      <c r="CT251" s="782"/>
      <c r="CU251" s="782"/>
      <c r="CV251" s="782"/>
      <c r="CW251" s="782"/>
      <c r="CX251" s="782"/>
      <c r="CY251" s="782"/>
      <c r="CZ251" s="782"/>
      <c r="DA251" s="782"/>
      <c r="DB251" s="782"/>
      <c r="DC251" s="782"/>
      <c r="DD251" s="782"/>
      <c r="DE251" s="782"/>
      <c r="DF251" s="782"/>
      <c r="DG251" s="782"/>
      <c r="DH251" s="782"/>
      <c r="DI251" s="782"/>
      <c r="DJ251" s="782"/>
      <c r="DK251" s="782"/>
      <c r="DL251" s="782"/>
      <c r="DM251" s="782"/>
      <c r="DN251" s="782"/>
      <c r="DO251" s="782"/>
      <c r="DP251" s="782"/>
      <c r="DQ251" s="782"/>
      <c r="DR251" s="782"/>
      <c r="DS251" s="782"/>
      <c r="DT251" s="782"/>
      <c r="DU251" s="782"/>
      <c r="DV251" s="798"/>
      <c r="DW251" s="798"/>
      <c r="DX251" s="798"/>
      <c r="DY251" s="798"/>
      <c r="DZ251" s="798"/>
      <c r="EA251" s="798"/>
      <c r="EB251" s="798"/>
      <c r="EC251" s="798"/>
      <c r="ED251" s="798"/>
      <c r="EE251" s="798"/>
      <c r="EF251" s="798"/>
      <c r="EG251" s="798"/>
      <c r="EH251" s="782"/>
    </row>
    <row r="252" spans="1:138" ht="12.75" customHeight="1" x14ac:dyDescent="0.3">
      <c r="A252" s="782"/>
      <c r="B252" s="796" t="s">
        <v>70</v>
      </c>
      <c r="C252" s="782"/>
      <c r="D252" s="782"/>
      <c r="E252" s="782"/>
      <c r="F252" s="782"/>
      <c r="G252" s="782"/>
      <c r="H252" s="782"/>
      <c r="I252" s="782"/>
      <c r="J252" s="782"/>
      <c r="K252" s="782"/>
      <c r="L252" s="782"/>
      <c r="M252" s="782"/>
      <c r="N252" s="782"/>
      <c r="O252" s="782"/>
      <c r="P252" s="782"/>
      <c r="Q252" s="782"/>
      <c r="R252" s="782"/>
      <c r="S252" s="782"/>
      <c r="T252" s="782"/>
      <c r="U252" s="782"/>
      <c r="V252" s="782"/>
      <c r="W252" s="782"/>
      <c r="X252" s="782"/>
      <c r="Y252" s="782"/>
      <c r="Z252" s="782"/>
      <c r="AA252" s="782"/>
      <c r="AB252" s="782"/>
      <c r="AC252" s="782"/>
      <c r="AD252" s="782"/>
      <c r="AE252" s="782"/>
      <c r="AF252" s="782"/>
      <c r="AG252" s="782"/>
      <c r="AH252" s="782"/>
      <c r="AI252" s="782"/>
      <c r="AJ252" s="782"/>
      <c r="AK252" s="782"/>
      <c r="AL252" s="782"/>
      <c r="AM252" s="782"/>
      <c r="AN252" s="782"/>
      <c r="AO252" s="782"/>
      <c r="AP252" s="782"/>
      <c r="AQ252" s="782"/>
      <c r="AR252" s="782"/>
      <c r="AS252" s="782"/>
      <c r="AT252" s="782"/>
      <c r="AU252" s="782"/>
      <c r="AV252" s="782"/>
      <c r="AW252" s="782"/>
      <c r="AX252" s="782"/>
      <c r="AY252" s="782"/>
      <c r="AZ252" s="782"/>
      <c r="BA252" s="782"/>
      <c r="BB252" s="782"/>
      <c r="BC252" s="782"/>
      <c r="BD252" s="782"/>
      <c r="BE252" s="782"/>
      <c r="BF252" s="782"/>
      <c r="BG252" s="782"/>
      <c r="BH252" s="782"/>
      <c r="BI252" s="782"/>
      <c r="BJ252" s="782"/>
      <c r="BK252" s="782"/>
      <c r="BL252" s="782"/>
      <c r="BM252" s="782"/>
      <c r="BN252" s="782"/>
      <c r="BO252" s="782"/>
      <c r="BP252" s="782"/>
      <c r="BQ252" s="782"/>
      <c r="BR252" s="782"/>
      <c r="BS252" s="782"/>
      <c r="BT252" s="782"/>
      <c r="BU252" s="782"/>
      <c r="BV252" s="782"/>
      <c r="BW252" s="782"/>
      <c r="BX252" s="782"/>
      <c r="BY252" s="782"/>
      <c r="BZ252" s="782"/>
      <c r="CA252" s="782"/>
      <c r="CB252" s="782"/>
      <c r="CC252" s="782"/>
      <c r="CD252" s="782"/>
      <c r="CE252" s="782"/>
      <c r="CF252" s="782"/>
      <c r="CG252" s="782"/>
      <c r="CH252" s="782"/>
      <c r="CI252" s="782"/>
      <c r="CJ252" s="782"/>
      <c r="CK252" s="782"/>
      <c r="CL252" s="782"/>
      <c r="CM252" s="782"/>
      <c r="CN252" s="782"/>
      <c r="CO252" s="782"/>
      <c r="CP252" s="782"/>
      <c r="CQ252" s="782"/>
      <c r="CR252" s="782"/>
      <c r="CS252" s="782"/>
      <c r="CT252" s="782"/>
      <c r="CU252" s="782"/>
      <c r="CV252" s="782"/>
      <c r="CW252" s="782"/>
      <c r="CX252" s="782"/>
      <c r="CY252" s="782"/>
      <c r="CZ252" s="782"/>
      <c r="DA252" s="782"/>
      <c r="DB252" s="782"/>
      <c r="DC252" s="782"/>
      <c r="DD252" s="782"/>
      <c r="DE252" s="782"/>
      <c r="DF252" s="782"/>
      <c r="DG252" s="782"/>
      <c r="DH252" s="782"/>
      <c r="DI252" s="782"/>
      <c r="DJ252" s="782"/>
      <c r="DK252" s="782"/>
      <c r="DL252" s="782"/>
      <c r="DM252" s="782"/>
      <c r="DN252" s="782"/>
      <c r="DO252" s="782"/>
      <c r="DP252" s="782"/>
      <c r="DQ252" s="782"/>
      <c r="DR252" s="782"/>
      <c r="DS252" s="782"/>
      <c r="DT252" s="782"/>
      <c r="DU252" s="782"/>
      <c r="DV252" s="798"/>
      <c r="DW252" s="798"/>
      <c r="DX252" s="798"/>
      <c r="DY252" s="798"/>
      <c r="DZ252" s="798"/>
      <c r="EA252" s="798"/>
      <c r="EB252" s="798"/>
      <c r="EC252" s="798"/>
      <c r="ED252" s="798"/>
      <c r="EE252" s="798"/>
      <c r="EF252" s="798"/>
      <c r="EG252" s="798"/>
      <c r="EH252" s="782"/>
    </row>
    <row r="253" spans="1:138" ht="12.75" customHeight="1" x14ac:dyDescent="0.3">
      <c r="A253" s="782"/>
      <c r="B253" s="782"/>
      <c r="C253" s="782"/>
      <c r="D253" s="782"/>
      <c r="E253" s="782"/>
      <c r="F253" s="782"/>
      <c r="G253" s="782"/>
      <c r="H253" s="782"/>
      <c r="I253" s="782"/>
      <c r="J253" s="782"/>
      <c r="K253" s="782"/>
      <c r="L253" s="782"/>
      <c r="M253" s="782"/>
      <c r="N253" s="782"/>
      <c r="O253" s="782"/>
      <c r="P253" s="782"/>
      <c r="Q253" s="782"/>
      <c r="R253" s="782"/>
      <c r="S253" s="782"/>
      <c r="T253" s="782"/>
      <c r="U253" s="782"/>
      <c r="V253" s="782"/>
      <c r="W253" s="782"/>
      <c r="X253" s="782"/>
      <c r="Y253" s="782"/>
      <c r="Z253" s="782"/>
      <c r="AA253" s="782"/>
      <c r="AB253" s="782"/>
      <c r="AC253" s="782"/>
      <c r="AD253" s="782"/>
      <c r="AE253" s="782"/>
      <c r="AF253" s="782"/>
      <c r="AG253" s="782"/>
      <c r="AH253" s="782"/>
      <c r="AI253" s="782"/>
      <c r="AJ253" s="782"/>
      <c r="AK253" s="782"/>
      <c r="AL253" s="782"/>
      <c r="AM253" s="782"/>
      <c r="AN253" s="782"/>
      <c r="AO253" s="782"/>
      <c r="AP253" s="782"/>
      <c r="AQ253" s="782"/>
      <c r="AR253" s="782"/>
      <c r="AS253" s="782"/>
      <c r="AT253" s="782"/>
      <c r="AU253" s="782"/>
      <c r="AV253" s="782"/>
      <c r="AW253" s="782"/>
      <c r="AX253" s="782"/>
      <c r="AY253" s="782"/>
      <c r="AZ253" s="782"/>
      <c r="BA253" s="782"/>
      <c r="BB253" s="782"/>
      <c r="BC253" s="782"/>
      <c r="BD253" s="782"/>
      <c r="BE253" s="782"/>
      <c r="BF253" s="782"/>
      <c r="BG253" s="782"/>
      <c r="BH253" s="782"/>
      <c r="BI253" s="782"/>
      <c r="BJ253" s="782"/>
      <c r="BK253" s="782"/>
      <c r="BL253" s="782"/>
      <c r="BM253" s="782"/>
      <c r="BN253" s="782"/>
      <c r="BO253" s="782"/>
      <c r="BP253" s="782"/>
      <c r="BQ253" s="782"/>
      <c r="BR253" s="782"/>
      <c r="BS253" s="782"/>
      <c r="BT253" s="782"/>
      <c r="BU253" s="782"/>
      <c r="BV253" s="782"/>
      <c r="BW253" s="782"/>
      <c r="BX253" s="782"/>
      <c r="BY253" s="782"/>
      <c r="BZ253" s="782"/>
      <c r="CA253" s="782"/>
      <c r="CB253" s="782"/>
      <c r="CC253" s="782"/>
      <c r="CD253" s="782"/>
      <c r="CE253" s="782"/>
      <c r="CF253" s="782"/>
      <c r="CG253" s="782"/>
      <c r="CH253" s="782"/>
      <c r="CI253" s="782"/>
      <c r="CJ253" s="782"/>
      <c r="CK253" s="782"/>
      <c r="CL253" s="782"/>
      <c r="CM253" s="782"/>
      <c r="CN253" s="782"/>
      <c r="CO253" s="782"/>
      <c r="CP253" s="782"/>
      <c r="CQ253" s="782"/>
      <c r="CR253" s="782"/>
      <c r="CS253" s="782"/>
      <c r="CT253" s="782"/>
      <c r="CU253" s="782"/>
      <c r="CV253" s="782"/>
      <c r="CW253" s="782"/>
      <c r="CX253" s="782"/>
      <c r="CY253" s="782"/>
      <c r="CZ253" s="782"/>
      <c r="DA253" s="782"/>
      <c r="DB253" s="782"/>
      <c r="DC253" s="782"/>
      <c r="DD253" s="782"/>
      <c r="DE253" s="782"/>
      <c r="DF253" s="782"/>
      <c r="DG253" s="782"/>
      <c r="DH253" s="782"/>
      <c r="DI253" s="782"/>
      <c r="DJ253" s="782"/>
      <c r="DK253" s="782"/>
      <c r="DL253" s="782"/>
      <c r="DM253" s="782"/>
      <c r="DN253" s="782"/>
      <c r="DO253" s="782"/>
      <c r="DP253" s="782"/>
      <c r="DQ253" s="782"/>
      <c r="DR253" s="782"/>
      <c r="DS253" s="782"/>
      <c r="DT253" s="782"/>
      <c r="DU253" s="782"/>
      <c r="DV253" s="798"/>
      <c r="DW253" s="798"/>
      <c r="DX253" s="798"/>
      <c r="DY253" s="798"/>
      <c r="DZ253" s="798"/>
      <c r="EA253" s="798"/>
      <c r="EB253" s="798"/>
      <c r="EC253" s="798"/>
      <c r="ED253" s="798"/>
      <c r="EE253" s="798"/>
      <c r="EF253" s="798"/>
      <c r="EG253" s="798"/>
      <c r="EH253" s="782"/>
    </row>
    <row r="254" spans="1:138" ht="12.75" customHeight="1" x14ac:dyDescent="0.3">
      <c r="A254" s="782"/>
      <c r="B254" s="1357" t="s">
        <v>331</v>
      </c>
      <c r="C254" s="1358">
        <f>SUM(E254:DU254)</f>
        <v>-60916274.722085506</v>
      </c>
      <c r="D254" s="1357"/>
      <c r="E254" s="1358">
        <f>-E49-E56</f>
        <v>0</v>
      </c>
      <c r="F254" s="1358">
        <f t="shared" ref="F254:BQ254" si="188">-F49-F56</f>
        <v>0</v>
      </c>
      <c r="G254" s="1358">
        <f t="shared" si="188"/>
        <v>0</v>
      </c>
      <c r="H254" s="1358">
        <f t="shared" si="188"/>
        <v>0</v>
      </c>
      <c r="I254" s="1358">
        <f t="shared" si="188"/>
        <v>0</v>
      </c>
      <c r="J254" s="1358">
        <f t="shared" si="188"/>
        <v>0</v>
      </c>
      <c r="K254" s="1358">
        <f t="shared" si="188"/>
        <v>0</v>
      </c>
      <c r="L254" s="1358">
        <f t="shared" si="188"/>
        <v>0</v>
      </c>
      <c r="M254" s="1358">
        <f t="shared" si="188"/>
        <v>0</v>
      </c>
      <c r="N254" s="1358">
        <f t="shared" si="188"/>
        <v>0</v>
      </c>
      <c r="O254" s="1358">
        <f t="shared" si="188"/>
        <v>0</v>
      </c>
      <c r="P254" s="1358">
        <f t="shared" si="188"/>
        <v>0</v>
      </c>
      <c r="Q254" s="1358">
        <f t="shared" si="188"/>
        <v>0</v>
      </c>
      <c r="R254" s="1358">
        <f t="shared" si="188"/>
        <v>0</v>
      </c>
      <c r="S254" s="1358">
        <f t="shared" si="188"/>
        <v>0</v>
      </c>
      <c r="T254" s="1358">
        <f t="shared" si="188"/>
        <v>0</v>
      </c>
      <c r="U254" s="1358">
        <f t="shared" si="188"/>
        <v>0</v>
      </c>
      <c r="V254" s="1358">
        <f t="shared" si="188"/>
        <v>0</v>
      </c>
      <c r="W254" s="1358">
        <f t="shared" si="188"/>
        <v>0</v>
      </c>
      <c r="X254" s="1358">
        <f t="shared" si="188"/>
        <v>0</v>
      </c>
      <c r="Y254" s="1358">
        <f t="shared" si="188"/>
        <v>0</v>
      </c>
      <c r="Z254" s="1358">
        <f t="shared" si="188"/>
        <v>0</v>
      </c>
      <c r="AA254" s="1358">
        <f t="shared" si="188"/>
        <v>0</v>
      </c>
      <c r="AB254" s="1358">
        <f t="shared" si="188"/>
        <v>0</v>
      </c>
      <c r="AC254" s="1358">
        <f t="shared" si="188"/>
        <v>0</v>
      </c>
      <c r="AD254" s="1358">
        <f t="shared" si="188"/>
        <v>0</v>
      </c>
      <c r="AE254" s="1358">
        <f t="shared" si="188"/>
        <v>0</v>
      </c>
      <c r="AF254" s="1358">
        <f t="shared" si="188"/>
        <v>0</v>
      </c>
      <c r="AG254" s="1358">
        <f t="shared" si="188"/>
        <v>0</v>
      </c>
      <c r="AH254" s="1358">
        <f t="shared" si="188"/>
        <v>0</v>
      </c>
      <c r="AI254" s="1358">
        <f t="shared" si="188"/>
        <v>0</v>
      </c>
      <c r="AJ254" s="1358">
        <f t="shared" si="188"/>
        <v>0</v>
      </c>
      <c r="AK254" s="1358">
        <f t="shared" si="188"/>
        <v>-60916274.722085506</v>
      </c>
      <c r="AL254" s="1358">
        <f t="shared" si="188"/>
        <v>0</v>
      </c>
      <c r="AM254" s="1358">
        <f t="shared" si="188"/>
        <v>0</v>
      </c>
      <c r="AN254" s="1358">
        <f t="shared" si="188"/>
        <v>0</v>
      </c>
      <c r="AO254" s="1358">
        <f t="shared" si="188"/>
        <v>0</v>
      </c>
      <c r="AP254" s="1358">
        <f t="shared" si="188"/>
        <v>0</v>
      </c>
      <c r="AQ254" s="1358">
        <f t="shared" si="188"/>
        <v>0</v>
      </c>
      <c r="AR254" s="1358">
        <f t="shared" si="188"/>
        <v>0</v>
      </c>
      <c r="AS254" s="1358">
        <f t="shared" si="188"/>
        <v>0</v>
      </c>
      <c r="AT254" s="1358">
        <f t="shared" si="188"/>
        <v>0</v>
      </c>
      <c r="AU254" s="1358">
        <f t="shared" si="188"/>
        <v>0</v>
      </c>
      <c r="AV254" s="1358">
        <f t="shared" si="188"/>
        <v>0</v>
      </c>
      <c r="AW254" s="1358">
        <f t="shared" si="188"/>
        <v>0</v>
      </c>
      <c r="AX254" s="1358">
        <f t="shared" si="188"/>
        <v>0</v>
      </c>
      <c r="AY254" s="1358">
        <f t="shared" si="188"/>
        <v>0</v>
      </c>
      <c r="AZ254" s="1358">
        <f t="shared" si="188"/>
        <v>0</v>
      </c>
      <c r="BA254" s="1358">
        <f t="shared" si="188"/>
        <v>0</v>
      </c>
      <c r="BB254" s="1358">
        <f t="shared" si="188"/>
        <v>0</v>
      </c>
      <c r="BC254" s="1358">
        <f t="shared" si="188"/>
        <v>0</v>
      </c>
      <c r="BD254" s="1358">
        <f t="shared" si="188"/>
        <v>0</v>
      </c>
      <c r="BE254" s="1358">
        <f t="shared" si="188"/>
        <v>0</v>
      </c>
      <c r="BF254" s="1358">
        <f t="shared" si="188"/>
        <v>0</v>
      </c>
      <c r="BG254" s="1358">
        <f t="shared" si="188"/>
        <v>0</v>
      </c>
      <c r="BH254" s="1358">
        <f t="shared" si="188"/>
        <v>0</v>
      </c>
      <c r="BI254" s="1358">
        <f t="shared" si="188"/>
        <v>0</v>
      </c>
      <c r="BJ254" s="1358">
        <f t="shared" si="188"/>
        <v>0</v>
      </c>
      <c r="BK254" s="1358">
        <f t="shared" si="188"/>
        <v>0</v>
      </c>
      <c r="BL254" s="1358">
        <f t="shared" si="188"/>
        <v>0</v>
      </c>
      <c r="BM254" s="1358">
        <f t="shared" si="188"/>
        <v>0</v>
      </c>
      <c r="BN254" s="1358">
        <f t="shared" si="188"/>
        <v>0</v>
      </c>
      <c r="BO254" s="1358">
        <f t="shared" si="188"/>
        <v>0</v>
      </c>
      <c r="BP254" s="1358">
        <f t="shared" si="188"/>
        <v>0</v>
      </c>
      <c r="BQ254" s="1358">
        <f t="shared" si="188"/>
        <v>0</v>
      </c>
      <c r="BR254" s="1358">
        <f t="shared" ref="BR254:DU254" si="189">-BR49-BR56</f>
        <v>0</v>
      </c>
      <c r="BS254" s="1358">
        <f t="shared" si="189"/>
        <v>0</v>
      </c>
      <c r="BT254" s="1358">
        <f t="shared" si="189"/>
        <v>0</v>
      </c>
      <c r="BU254" s="1358">
        <f t="shared" si="189"/>
        <v>0</v>
      </c>
      <c r="BV254" s="1358">
        <f t="shared" si="189"/>
        <v>0</v>
      </c>
      <c r="BW254" s="1358">
        <f t="shared" si="189"/>
        <v>0</v>
      </c>
      <c r="BX254" s="1358">
        <f t="shared" si="189"/>
        <v>0</v>
      </c>
      <c r="BY254" s="1358">
        <f t="shared" si="189"/>
        <v>0</v>
      </c>
      <c r="BZ254" s="1358">
        <f t="shared" si="189"/>
        <v>0</v>
      </c>
      <c r="CA254" s="1358">
        <f t="shared" si="189"/>
        <v>0</v>
      </c>
      <c r="CB254" s="1358">
        <f t="shared" si="189"/>
        <v>0</v>
      </c>
      <c r="CC254" s="1358">
        <f t="shared" si="189"/>
        <v>0</v>
      </c>
      <c r="CD254" s="1358">
        <f t="shared" si="189"/>
        <v>0</v>
      </c>
      <c r="CE254" s="1358">
        <f t="shared" si="189"/>
        <v>0</v>
      </c>
      <c r="CF254" s="1358">
        <f t="shared" si="189"/>
        <v>0</v>
      </c>
      <c r="CG254" s="1358">
        <f t="shared" si="189"/>
        <v>0</v>
      </c>
      <c r="CH254" s="1358">
        <f t="shared" si="189"/>
        <v>0</v>
      </c>
      <c r="CI254" s="1358">
        <f t="shared" si="189"/>
        <v>0</v>
      </c>
      <c r="CJ254" s="1358">
        <f t="shared" si="189"/>
        <v>0</v>
      </c>
      <c r="CK254" s="1358">
        <f t="shared" si="189"/>
        <v>0</v>
      </c>
      <c r="CL254" s="1358">
        <f t="shared" si="189"/>
        <v>0</v>
      </c>
      <c r="CM254" s="1358">
        <f t="shared" si="189"/>
        <v>0</v>
      </c>
      <c r="CN254" s="1358">
        <f t="shared" si="189"/>
        <v>0</v>
      </c>
      <c r="CO254" s="1358">
        <f t="shared" si="189"/>
        <v>0</v>
      </c>
      <c r="CP254" s="1358">
        <f t="shared" si="189"/>
        <v>0</v>
      </c>
      <c r="CQ254" s="1358">
        <f t="shared" si="189"/>
        <v>0</v>
      </c>
      <c r="CR254" s="1358">
        <f t="shared" si="189"/>
        <v>0</v>
      </c>
      <c r="CS254" s="1358">
        <f t="shared" si="189"/>
        <v>0</v>
      </c>
      <c r="CT254" s="1358">
        <f t="shared" si="189"/>
        <v>0</v>
      </c>
      <c r="CU254" s="1358">
        <f t="shared" si="189"/>
        <v>0</v>
      </c>
      <c r="CV254" s="1358">
        <f t="shared" si="189"/>
        <v>0</v>
      </c>
      <c r="CW254" s="1358">
        <f t="shared" si="189"/>
        <v>0</v>
      </c>
      <c r="CX254" s="1358">
        <f t="shared" si="189"/>
        <v>0</v>
      </c>
      <c r="CY254" s="1358">
        <f t="shared" si="189"/>
        <v>0</v>
      </c>
      <c r="CZ254" s="1358">
        <f t="shared" si="189"/>
        <v>0</v>
      </c>
      <c r="DA254" s="1358">
        <f t="shared" si="189"/>
        <v>0</v>
      </c>
      <c r="DB254" s="1358">
        <f t="shared" si="189"/>
        <v>0</v>
      </c>
      <c r="DC254" s="1358">
        <f t="shared" si="189"/>
        <v>0</v>
      </c>
      <c r="DD254" s="1358">
        <f t="shared" si="189"/>
        <v>0</v>
      </c>
      <c r="DE254" s="1358">
        <f t="shared" si="189"/>
        <v>0</v>
      </c>
      <c r="DF254" s="1358">
        <f t="shared" si="189"/>
        <v>0</v>
      </c>
      <c r="DG254" s="1358">
        <f t="shared" si="189"/>
        <v>0</v>
      </c>
      <c r="DH254" s="1358">
        <f t="shared" si="189"/>
        <v>0</v>
      </c>
      <c r="DI254" s="1358">
        <f t="shared" si="189"/>
        <v>0</v>
      </c>
      <c r="DJ254" s="1358">
        <f t="shared" si="189"/>
        <v>0</v>
      </c>
      <c r="DK254" s="1358">
        <f t="shared" si="189"/>
        <v>0</v>
      </c>
      <c r="DL254" s="1358">
        <f t="shared" si="189"/>
        <v>0</v>
      </c>
      <c r="DM254" s="1358">
        <f t="shared" si="189"/>
        <v>0</v>
      </c>
      <c r="DN254" s="1358">
        <f t="shared" si="189"/>
        <v>0</v>
      </c>
      <c r="DO254" s="1358">
        <f t="shared" si="189"/>
        <v>0</v>
      </c>
      <c r="DP254" s="1358">
        <f t="shared" si="189"/>
        <v>0</v>
      </c>
      <c r="DQ254" s="1358">
        <f t="shared" si="189"/>
        <v>0</v>
      </c>
      <c r="DR254" s="1358">
        <f t="shared" si="189"/>
        <v>0</v>
      </c>
      <c r="DS254" s="1358">
        <f t="shared" si="189"/>
        <v>0</v>
      </c>
      <c r="DT254" s="1358">
        <f t="shared" si="189"/>
        <v>0</v>
      </c>
      <c r="DU254" s="1358">
        <f t="shared" si="189"/>
        <v>0</v>
      </c>
      <c r="DV254" s="1358"/>
      <c r="DW254" s="1358"/>
      <c r="DX254" s="1358"/>
      <c r="DY254" s="1358"/>
      <c r="DZ254" s="1358"/>
      <c r="EA254" s="1358"/>
      <c r="EB254" s="1358"/>
      <c r="EC254" s="1358"/>
      <c r="ED254" s="1358"/>
      <c r="EE254" s="1358"/>
      <c r="EF254" s="1358"/>
      <c r="EG254" s="1358"/>
      <c r="EH254" s="782"/>
    </row>
    <row r="255" spans="1:138" ht="12.75" customHeight="1" x14ac:dyDescent="0.3">
      <c r="A255" s="782"/>
      <c r="B255" s="821" t="s">
        <v>332</v>
      </c>
      <c r="C255" s="822">
        <f>SUM(E255:DU255)</f>
        <v>-60916274.722085506</v>
      </c>
      <c r="D255" s="821"/>
      <c r="E255" s="822">
        <f t="shared" ref="E255:BP255" si="190">SUM(E254:E254)</f>
        <v>0</v>
      </c>
      <c r="F255" s="822">
        <f t="shared" si="190"/>
        <v>0</v>
      </c>
      <c r="G255" s="822">
        <f t="shared" si="190"/>
        <v>0</v>
      </c>
      <c r="H255" s="822">
        <f t="shared" si="190"/>
        <v>0</v>
      </c>
      <c r="I255" s="822">
        <f t="shared" si="190"/>
        <v>0</v>
      </c>
      <c r="J255" s="822">
        <f t="shared" si="190"/>
        <v>0</v>
      </c>
      <c r="K255" s="822">
        <f t="shared" si="190"/>
        <v>0</v>
      </c>
      <c r="L255" s="822">
        <f t="shared" si="190"/>
        <v>0</v>
      </c>
      <c r="M255" s="822">
        <f t="shared" si="190"/>
        <v>0</v>
      </c>
      <c r="N255" s="822">
        <f t="shared" si="190"/>
        <v>0</v>
      </c>
      <c r="O255" s="822">
        <f t="shared" si="190"/>
        <v>0</v>
      </c>
      <c r="P255" s="822">
        <f t="shared" si="190"/>
        <v>0</v>
      </c>
      <c r="Q255" s="822">
        <f t="shared" si="190"/>
        <v>0</v>
      </c>
      <c r="R255" s="822">
        <f t="shared" si="190"/>
        <v>0</v>
      </c>
      <c r="S255" s="822">
        <f t="shared" si="190"/>
        <v>0</v>
      </c>
      <c r="T255" s="822">
        <f t="shared" si="190"/>
        <v>0</v>
      </c>
      <c r="U255" s="822">
        <f t="shared" si="190"/>
        <v>0</v>
      </c>
      <c r="V255" s="822">
        <f t="shared" si="190"/>
        <v>0</v>
      </c>
      <c r="W255" s="822">
        <f t="shared" si="190"/>
        <v>0</v>
      </c>
      <c r="X255" s="822">
        <f t="shared" si="190"/>
        <v>0</v>
      </c>
      <c r="Y255" s="822">
        <f t="shared" si="190"/>
        <v>0</v>
      </c>
      <c r="Z255" s="822">
        <f t="shared" si="190"/>
        <v>0</v>
      </c>
      <c r="AA255" s="822">
        <f t="shared" si="190"/>
        <v>0</v>
      </c>
      <c r="AB255" s="822">
        <f t="shared" si="190"/>
        <v>0</v>
      </c>
      <c r="AC255" s="822">
        <f t="shared" si="190"/>
        <v>0</v>
      </c>
      <c r="AD255" s="822">
        <f t="shared" si="190"/>
        <v>0</v>
      </c>
      <c r="AE255" s="822">
        <f t="shared" si="190"/>
        <v>0</v>
      </c>
      <c r="AF255" s="822">
        <f t="shared" si="190"/>
        <v>0</v>
      </c>
      <c r="AG255" s="822">
        <f t="shared" si="190"/>
        <v>0</v>
      </c>
      <c r="AH255" s="822">
        <f t="shared" si="190"/>
        <v>0</v>
      </c>
      <c r="AI255" s="822">
        <f t="shared" si="190"/>
        <v>0</v>
      </c>
      <c r="AJ255" s="822">
        <f t="shared" si="190"/>
        <v>0</v>
      </c>
      <c r="AK255" s="822">
        <f t="shared" si="190"/>
        <v>-60916274.722085506</v>
      </c>
      <c r="AL255" s="822">
        <f t="shared" si="190"/>
        <v>0</v>
      </c>
      <c r="AM255" s="822">
        <f t="shared" si="190"/>
        <v>0</v>
      </c>
      <c r="AN255" s="822">
        <f t="shared" si="190"/>
        <v>0</v>
      </c>
      <c r="AO255" s="822">
        <f t="shared" si="190"/>
        <v>0</v>
      </c>
      <c r="AP255" s="822">
        <f t="shared" si="190"/>
        <v>0</v>
      </c>
      <c r="AQ255" s="822">
        <f t="shared" si="190"/>
        <v>0</v>
      </c>
      <c r="AR255" s="822">
        <f t="shared" si="190"/>
        <v>0</v>
      </c>
      <c r="AS255" s="822">
        <f t="shared" si="190"/>
        <v>0</v>
      </c>
      <c r="AT255" s="822">
        <f t="shared" si="190"/>
        <v>0</v>
      </c>
      <c r="AU255" s="822">
        <f t="shared" si="190"/>
        <v>0</v>
      </c>
      <c r="AV255" s="822">
        <f t="shared" si="190"/>
        <v>0</v>
      </c>
      <c r="AW255" s="822">
        <f t="shared" si="190"/>
        <v>0</v>
      </c>
      <c r="AX255" s="822">
        <f t="shared" si="190"/>
        <v>0</v>
      </c>
      <c r="AY255" s="822">
        <f t="shared" si="190"/>
        <v>0</v>
      </c>
      <c r="AZ255" s="822">
        <f t="shared" si="190"/>
        <v>0</v>
      </c>
      <c r="BA255" s="822">
        <f t="shared" si="190"/>
        <v>0</v>
      </c>
      <c r="BB255" s="822">
        <f t="shared" si="190"/>
        <v>0</v>
      </c>
      <c r="BC255" s="822">
        <f t="shared" si="190"/>
        <v>0</v>
      </c>
      <c r="BD255" s="822">
        <f t="shared" si="190"/>
        <v>0</v>
      </c>
      <c r="BE255" s="822">
        <f t="shared" si="190"/>
        <v>0</v>
      </c>
      <c r="BF255" s="822">
        <f t="shared" si="190"/>
        <v>0</v>
      </c>
      <c r="BG255" s="822">
        <f t="shared" si="190"/>
        <v>0</v>
      </c>
      <c r="BH255" s="822">
        <f t="shared" si="190"/>
        <v>0</v>
      </c>
      <c r="BI255" s="822">
        <f t="shared" si="190"/>
        <v>0</v>
      </c>
      <c r="BJ255" s="822">
        <f t="shared" si="190"/>
        <v>0</v>
      </c>
      <c r="BK255" s="822">
        <f t="shared" si="190"/>
        <v>0</v>
      </c>
      <c r="BL255" s="822">
        <f t="shared" si="190"/>
        <v>0</v>
      </c>
      <c r="BM255" s="822">
        <f t="shared" si="190"/>
        <v>0</v>
      </c>
      <c r="BN255" s="822">
        <f t="shared" si="190"/>
        <v>0</v>
      </c>
      <c r="BO255" s="822">
        <f t="shared" si="190"/>
        <v>0</v>
      </c>
      <c r="BP255" s="822">
        <f t="shared" si="190"/>
        <v>0</v>
      </c>
      <c r="BQ255" s="822">
        <f t="shared" ref="BQ255:DU255" si="191">SUM(BQ254:BQ254)</f>
        <v>0</v>
      </c>
      <c r="BR255" s="822">
        <f t="shared" si="191"/>
        <v>0</v>
      </c>
      <c r="BS255" s="822">
        <f t="shared" si="191"/>
        <v>0</v>
      </c>
      <c r="BT255" s="822">
        <f t="shared" si="191"/>
        <v>0</v>
      </c>
      <c r="BU255" s="822">
        <f t="shared" si="191"/>
        <v>0</v>
      </c>
      <c r="BV255" s="822">
        <f t="shared" si="191"/>
        <v>0</v>
      </c>
      <c r="BW255" s="822">
        <f t="shared" si="191"/>
        <v>0</v>
      </c>
      <c r="BX255" s="822">
        <f t="shared" si="191"/>
        <v>0</v>
      </c>
      <c r="BY255" s="822">
        <f t="shared" si="191"/>
        <v>0</v>
      </c>
      <c r="BZ255" s="822">
        <f t="shared" si="191"/>
        <v>0</v>
      </c>
      <c r="CA255" s="822">
        <f t="shared" si="191"/>
        <v>0</v>
      </c>
      <c r="CB255" s="822">
        <f t="shared" si="191"/>
        <v>0</v>
      </c>
      <c r="CC255" s="822">
        <f t="shared" si="191"/>
        <v>0</v>
      </c>
      <c r="CD255" s="822">
        <f t="shared" si="191"/>
        <v>0</v>
      </c>
      <c r="CE255" s="822">
        <f t="shared" si="191"/>
        <v>0</v>
      </c>
      <c r="CF255" s="822">
        <f t="shared" si="191"/>
        <v>0</v>
      </c>
      <c r="CG255" s="822">
        <f t="shared" si="191"/>
        <v>0</v>
      </c>
      <c r="CH255" s="822">
        <f t="shared" si="191"/>
        <v>0</v>
      </c>
      <c r="CI255" s="822">
        <f t="shared" si="191"/>
        <v>0</v>
      </c>
      <c r="CJ255" s="822">
        <f t="shared" si="191"/>
        <v>0</v>
      </c>
      <c r="CK255" s="822">
        <f t="shared" si="191"/>
        <v>0</v>
      </c>
      <c r="CL255" s="822">
        <f t="shared" si="191"/>
        <v>0</v>
      </c>
      <c r="CM255" s="822">
        <f t="shared" si="191"/>
        <v>0</v>
      </c>
      <c r="CN255" s="822">
        <f t="shared" si="191"/>
        <v>0</v>
      </c>
      <c r="CO255" s="822">
        <f t="shared" si="191"/>
        <v>0</v>
      </c>
      <c r="CP255" s="822">
        <f t="shared" si="191"/>
        <v>0</v>
      </c>
      <c r="CQ255" s="822">
        <f t="shared" si="191"/>
        <v>0</v>
      </c>
      <c r="CR255" s="822">
        <f t="shared" si="191"/>
        <v>0</v>
      </c>
      <c r="CS255" s="822">
        <f t="shared" si="191"/>
        <v>0</v>
      </c>
      <c r="CT255" s="822">
        <f t="shared" si="191"/>
        <v>0</v>
      </c>
      <c r="CU255" s="822">
        <f t="shared" si="191"/>
        <v>0</v>
      </c>
      <c r="CV255" s="822">
        <f t="shared" si="191"/>
        <v>0</v>
      </c>
      <c r="CW255" s="822">
        <f t="shared" si="191"/>
        <v>0</v>
      </c>
      <c r="CX255" s="822">
        <f t="shared" si="191"/>
        <v>0</v>
      </c>
      <c r="CY255" s="822">
        <f t="shared" si="191"/>
        <v>0</v>
      </c>
      <c r="CZ255" s="822">
        <f t="shared" si="191"/>
        <v>0</v>
      </c>
      <c r="DA255" s="822">
        <f t="shared" si="191"/>
        <v>0</v>
      </c>
      <c r="DB255" s="822">
        <f t="shared" si="191"/>
        <v>0</v>
      </c>
      <c r="DC255" s="822">
        <f t="shared" si="191"/>
        <v>0</v>
      </c>
      <c r="DD255" s="822">
        <f t="shared" si="191"/>
        <v>0</v>
      </c>
      <c r="DE255" s="822">
        <f t="shared" si="191"/>
        <v>0</v>
      </c>
      <c r="DF255" s="822">
        <f t="shared" si="191"/>
        <v>0</v>
      </c>
      <c r="DG255" s="822">
        <f t="shared" si="191"/>
        <v>0</v>
      </c>
      <c r="DH255" s="822">
        <f t="shared" si="191"/>
        <v>0</v>
      </c>
      <c r="DI255" s="822">
        <f t="shared" si="191"/>
        <v>0</v>
      </c>
      <c r="DJ255" s="822">
        <f t="shared" si="191"/>
        <v>0</v>
      </c>
      <c r="DK255" s="822">
        <f t="shared" si="191"/>
        <v>0</v>
      </c>
      <c r="DL255" s="822">
        <f t="shared" si="191"/>
        <v>0</v>
      </c>
      <c r="DM255" s="822">
        <f t="shared" si="191"/>
        <v>0</v>
      </c>
      <c r="DN255" s="822">
        <f t="shared" si="191"/>
        <v>0</v>
      </c>
      <c r="DO255" s="822">
        <f t="shared" si="191"/>
        <v>0</v>
      </c>
      <c r="DP255" s="822">
        <f t="shared" si="191"/>
        <v>0</v>
      </c>
      <c r="DQ255" s="822">
        <f t="shared" si="191"/>
        <v>0</v>
      </c>
      <c r="DR255" s="822">
        <f t="shared" si="191"/>
        <v>0</v>
      </c>
      <c r="DS255" s="822">
        <f t="shared" si="191"/>
        <v>0</v>
      </c>
      <c r="DT255" s="822">
        <f t="shared" si="191"/>
        <v>0</v>
      </c>
      <c r="DU255" s="822">
        <f t="shared" si="191"/>
        <v>0</v>
      </c>
      <c r="DV255" s="798"/>
      <c r="DW255" s="798"/>
      <c r="DX255" s="798"/>
      <c r="DY255" s="798"/>
      <c r="DZ255" s="798"/>
      <c r="EA255" s="798"/>
      <c r="EB255" s="798"/>
      <c r="EC255" s="798"/>
      <c r="ED255" s="798"/>
      <c r="EE255" s="798"/>
      <c r="EF255" s="798"/>
      <c r="EG255" s="798"/>
      <c r="EH255" s="782"/>
    </row>
    <row r="256" spans="1:138" ht="12.75" customHeight="1" x14ac:dyDescent="0.3">
      <c r="A256" s="782"/>
      <c r="B256" s="782"/>
      <c r="C256" s="798"/>
      <c r="D256" s="782"/>
      <c r="E256" s="798"/>
      <c r="F256" s="782"/>
      <c r="G256" s="782"/>
      <c r="H256" s="782"/>
      <c r="I256" s="782"/>
      <c r="J256" s="782"/>
      <c r="K256" s="782"/>
      <c r="L256" s="782"/>
      <c r="M256" s="782"/>
      <c r="N256" s="782"/>
      <c r="O256" s="782"/>
      <c r="P256" s="782"/>
      <c r="Q256" s="782"/>
      <c r="R256" s="782"/>
      <c r="S256" s="782"/>
      <c r="T256" s="782"/>
      <c r="U256" s="782"/>
      <c r="V256" s="782"/>
      <c r="W256" s="782"/>
      <c r="X256" s="782"/>
      <c r="Y256" s="782"/>
      <c r="Z256" s="782"/>
      <c r="AA256" s="782"/>
      <c r="AB256" s="782"/>
      <c r="AC256" s="782"/>
      <c r="AD256" s="782"/>
      <c r="AE256" s="782"/>
      <c r="AF256" s="782"/>
      <c r="AG256" s="782"/>
      <c r="AH256" s="782"/>
      <c r="AI256" s="782"/>
      <c r="AJ256" s="782"/>
      <c r="AK256" s="782"/>
      <c r="AL256" s="782"/>
      <c r="AM256" s="782"/>
      <c r="AN256" s="782"/>
      <c r="AO256" s="782"/>
      <c r="AP256" s="782"/>
      <c r="AQ256" s="782"/>
      <c r="AR256" s="782"/>
      <c r="AS256" s="782"/>
      <c r="AT256" s="782"/>
      <c r="AU256" s="782"/>
      <c r="AV256" s="782"/>
      <c r="AW256" s="782"/>
      <c r="AX256" s="782"/>
      <c r="AY256" s="782"/>
      <c r="AZ256" s="782"/>
      <c r="BA256" s="782"/>
      <c r="BB256" s="782"/>
      <c r="BC256" s="782"/>
      <c r="BD256" s="782"/>
      <c r="BE256" s="782"/>
      <c r="BF256" s="782"/>
      <c r="BG256" s="782"/>
      <c r="BH256" s="782"/>
      <c r="BI256" s="782"/>
      <c r="BJ256" s="782"/>
      <c r="BK256" s="782"/>
      <c r="BL256" s="782"/>
      <c r="BM256" s="782"/>
      <c r="BN256" s="782"/>
      <c r="BO256" s="782"/>
      <c r="BP256" s="782"/>
      <c r="BQ256" s="782"/>
      <c r="BR256" s="782"/>
      <c r="BS256" s="782"/>
      <c r="BT256" s="782"/>
      <c r="BU256" s="782"/>
      <c r="BV256" s="782"/>
      <c r="BW256" s="782"/>
      <c r="BX256" s="782"/>
      <c r="BY256" s="782"/>
      <c r="BZ256" s="782"/>
      <c r="CA256" s="782"/>
      <c r="CB256" s="782"/>
      <c r="CC256" s="782"/>
      <c r="CD256" s="782"/>
      <c r="CE256" s="782"/>
      <c r="CF256" s="782"/>
      <c r="CG256" s="782"/>
      <c r="CH256" s="782"/>
      <c r="CI256" s="782"/>
      <c r="CJ256" s="782"/>
      <c r="CK256" s="782"/>
      <c r="CL256" s="782"/>
      <c r="CM256" s="782"/>
      <c r="CN256" s="782"/>
      <c r="CO256" s="782"/>
      <c r="CP256" s="782"/>
      <c r="CQ256" s="782"/>
      <c r="CR256" s="782"/>
      <c r="CS256" s="782"/>
      <c r="CT256" s="782"/>
      <c r="CU256" s="782"/>
      <c r="CV256" s="782"/>
      <c r="CW256" s="782"/>
      <c r="CX256" s="782"/>
      <c r="CY256" s="782"/>
      <c r="CZ256" s="782"/>
      <c r="DA256" s="782"/>
      <c r="DB256" s="782"/>
      <c r="DC256" s="782"/>
      <c r="DD256" s="782"/>
      <c r="DE256" s="782"/>
      <c r="DF256" s="782"/>
      <c r="DG256" s="782"/>
      <c r="DH256" s="782"/>
      <c r="DI256" s="782"/>
      <c r="DJ256" s="782"/>
      <c r="DK256" s="782"/>
      <c r="DL256" s="782"/>
      <c r="DM256" s="782"/>
      <c r="DN256" s="782"/>
      <c r="DO256" s="782"/>
      <c r="DP256" s="782"/>
      <c r="DQ256" s="782"/>
      <c r="DR256" s="782"/>
      <c r="DS256" s="782"/>
      <c r="DT256" s="782"/>
      <c r="DU256" s="782"/>
      <c r="DV256" s="798"/>
      <c r="DW256" s="798"/>
      <c r="DX256" s="798"/>
      <c r="DY256" s="798"/>
      <c r="DZ256" s="798"/>
      <c r="EA256" s="798"/>
      <c r="EB256" s="798"/>
      <c r="EC256" s="798"/>
      <c r="ED256" s="798"/>
      <c r="EE256" s="798"/>
      <c r="EF256" s="798"/>
      <c r="EG256" s="798"/>
      <c r="EH256" s="782"/>
    </row>
    <row r="257" spans="1:138" ht="12.75" customHeight="1" x14ac:dyDescent="0.3">
      <c r="A257" s="782"/>
      <c r="B257" s="1357" t="s">
        <v>333</v>
      </c>
      <c r="C257" s="1358">
        <f>SUM(E257:DU257)</f>
        <v>102293723.43931949</v>
      </c>
      <c r="D257" s="1357"/>
      <c r="E257" s="1358">
        <f>E11*E38</f>
        <v>0</v>
      </c>
      <c r="F257" s="1358">
        <f t="shared" ref="F257:BQ257" si="192">F11*F38</f>
        <v>0</v>
      </c>
      <c r="G257" s="1358">
        <f t="shared" si="192"/>
        <v>0</v>
      </c>
      <c r="H257" s="1358">
        <f t="shared" si="192"/>
        <v>0</v>
      </c>
      <c r="I257" s="1358">
        <f t="shared" si="192"/>
        <v>0</v>
      </c>
      <c r="J257" s="1358">
        <f t="shared" si="192"/>
        <v>0</v>
      </c>
      <c r="K257" s="1358">
        <f t="shared" si="192"/>
        <v>0</v>
      </c>
      <c r="L257" s="1358">
        <f t="shared" si="192"/>
        <v>0</v>
      </c>
      <c r="M257" s="1358">
        <f t="shared" si="192"/>
        <v>0</v>
      </c>
      <c r="N257" s="1358">
        <f t="shared" si="192"/>
        <v>0</v>
      </c>
      <c r="O257" s="1358">
        <f t="shared" si="192"/>
        <v>0</v>
      </c>
      <c r="P257" s="1358">
        <f t="shared" si="192"/>
        <v>0</v>
      </c>
      <c r="Q257" s="1358">
        <f t="shared" si="192"/>
        <v>0</v>
      </c>
      <c r="R257" s="1358">
        <f t="shared" si="192"/>
        <v>0</v>
      </c>
      <c r="S257" s="1358">
        <f t="shared" si="192"/>
        <v>0</v>
      </c>
      <c r="T257" s="1358">
        <f t="shared" si="192"/>
        <v>0</v>
      </c>
      <c r="U257" s="1358">
        <f t="shared" si="192"/>
        <v>0</v>
      </c>
      <c r="V257" s="1358">
        <f t="shared" si="192"/>
        <v>0</v>
      </c>
      <c r="W257" s="1358">
        <f t="shared" si="192"/>
        <v>0</v>
      </c>
      <c r="X257" s="1358">
        <f t="shared" si="192"/>
        <v>0</v>
      </c>
      <c r="Y257" s="1358">
        <f t="shared" si="192"/>
        <v>0</v>
      </c>
      <c r="Z257" s="1358">
        <f t="shared" si="192"/>
        <v>0</v>
      </c>
      <c r="AA257" s="1358">
        <f t="shared" si="192"/>
        <v>0</v>
      </c>
      <c r="AB257" s="1358">
        <f t="shared" si="192"/>
        <v>0</v>
      </c>
      <c r="AC257" s="1358">
        <f t="shared" si="192"/>
        <v>0</v>
      </c>
      <c r="AD257" s="1358">
        <f t="shared" si="192"/>
        <v>0</v>
      </c>
      <c r="AE257" s="1358">
        <f t="shared" si="192"/>
        <v>0</v>
      </c>
      <c r="AF257" s="1358">
        <f t="shared" si="192"/>
        <v>0</v>
      </c>
      <c r="AG257" s="1358">
        <f t="shared" si="192"/>
        <v>0</v>
      </c>
      <c r="AH257" s="1358">
        <f t="shared" si="192"/>
        <v>0</v>
      </c>
      <c r="AI257" s="1358">
        <f t="shared" si="192"/>
        <v>0</v>
      </c>
      <c r="AJ257" s="1358">
        <f t="shared" si="192"/>
        <v>0</v>
      </c>
      <c r="AK257" s="1358">
        <f t="shared" si="192"/>
        <v>0</v>
      </c>
      <c r="AL257" s="1358">
        <f t="shared" si="192"/>
        <v>14315530.3242827</v>
      </c>
      <c r="AM257" s="1358">
        <f t="shared" si="192"/>
        <v>205293.34606116661</v>
      </c>
      <c r="AN257" s="1358">
        <f t="shared" si="192"/>
        <v>207793.40423970085</v>
      </c>
      <c r="AO257" s="1358">
        <f t="shared" si="192"/>
        <v>210260.10262606523</v>
      </c>
      <c r="AP257" s="1358">
        <f t="shared" si="192"/>
        <v>211885.65974115423</v>
      </c>
      <c r="AQ257" s="1358">
        <f t="shared" si="192"/>
        <v>215188.01193420406</v>
      </c>
      <c r="AR257" s="1358">
        <f t="shared" si="192"/>
        <v>218012.9416200624</v>
      </c>
      <c r="AS257" s="1358">
        <f t="shared" si="192"/>
        <v>213181.07686987985</v>
      </c>
      <c r="AT257" s="1358">
        <f t="shared" si="192"/>
        <v>214770.00861920218</v>
      </c>
      <c r="AU257" s="1358">
        <f t="shared" si="192"/>
        <v>216264.46058470523</v>
      </c>
      <c r="AV257" s="1358">
        <f t="shared" si="192"/>
        <v>218515.59404432448</v>
      </c>
      <c r="AW257" s="1358">
        <f t="shared" si="192"/>
        <v>220675.94358853242</v>
      </c>
      <c r="AX257" s="1358">
        <f t="shared" si="192"/>
        <v>222710.56184153532</v>
      </c>
      <c r="AY257" s="1358">
        <f t="shared" si="192"/>
        <v>224665.72728851769</v>
      </c>
      <c r="AZ257" s="1358">
        <f t="shared" si="192"/>
        <v>226548.52262565284</v>
      </c>
      <c r="BA257" s="1358">
        <f t="shared" si="192"/>
        <v>228304.85297686295</v>
      </c>
      <c r="BB257" s="1358">
        <f t="shared" si="192"/>
        <v>229344.9930368007</v>
      </c>
      <c r="BC257" s="1358">
        <f t="shared" si="192"/>
        <v>231542.10904179295</v>
      </c>
      <c r="BD257" s="1358">
        <f t="shared" si="192"/>
        <v>233317.7080138704</v>
      </c>
      <c r="BE257" s="1358">
        <f t="shared" si="192"/>
        <v>229013.16839337221</v>
      </c>
      <c r="BF257" s="1358">
        <f t="shared" si="192"/>
        <v>229911.66091752306</v>
      </c>
      <c r="BG257" s="1358">
        <f t="shared" si="192"/>
        <v>230813.78680437503</v>
      </c>
      <c r="BH257" s="1358">
        <f t="shared" si="192"/>
        <v>232345.63973502186</v>
      </c>
      <c r="BI257" s="1358">
        <f t="shared" si="192"/>
        <v>233902.4265315792</v>
      </c>
      <c r="BJ257" s="1358">
        <f t="shared" si="192"/>
        <v>235545.94755839423</v>
      </c>
      <c r="BK257" s="1358">
        <f t="shared" si="192"/>
        <v>237262.50476525677</v>
      </c>
      <c r="BL257" s="1358">
        <f t="shared" si="192"/>
        <v>238991.57351446556</v>
      </c>
      <c r="BM257" s="1358">
        <f t="shared" si="192"/>
        <v>240811.21361387809</v>
      </c>
      <c r="BN257" s="1358">
        <f t="shared" si="192"/>
        <v>242002.34658988175</v>
      </c>
      <c r="BO257" s="1358">
        <f t="shared" si="192"/>
        <v>244627.30669974274</v>
      </c>
      <c r="BP257" s="1358">
        <f t="shared" si="192"/>
        <v>246922.0418636211</v>
      </c>
      <c r="BQ257" s="1358">
        <f t="shared" si="192"/>
        <v>242733.25370419392</v>
      </c>
      <c r="BR257" s="1358">
        <f t="shared" ref="BR257:DU257" si="193">BR11*BR38</f>
        <v>244033.96696505454</v>
      </c>
      <c r="BS257" s="1358">
        <f t="shared" si="193"/>
        <v>245313.14997026659</v>
      </c>
      <c r="BT257" s="1358">
        <f t="shared" si="193"/>
        <v>247377.11673495109</v>
      </c>
      <c r="BU257" s="1358">
        <f t="shared" si="193"/>
        <v>249414.97281073497</v>
      </c>
      <c r="BV257" s="1358">
        <f t="shared" si="193"/>
        <v>251479.3205969065</v>
      </c>
      <c r="BW257" s="1358">
        <f t="shared" si="193"/>
        <v>253576.88775609701</v>
      </c>
      <c r="BX257" s="1358">
        <f t="shared" si="193"/>
        <v>255660.88139998799</v>
      </c>
      <c r="BY257" s="1358">
        <f t="shared" si="193"/>
        <v>257780.55934433491</v>
      </c>
      <c r="BZ257" s="1358">
        <f t="shared" si="193"/>
        <v>259130.53765731424</v>
      </c>
      <c r="CA257" s="1358">
        <f t="shared" si="193"/>
        <v>262044.06866613019</v>
      </c>
      <c r="CB257" s="1358">
        <f t="shared" si="193"/>
        <v>264568.88723862561</v>
      </c>
      <c r="CC257" s="1358">
        <f t="shared" si="193"/>
        <v>260334.62676779419</v>
      </c>
      <c r="CD257" s="1358">
        <f t="shared" si="193"/>
        <v>261766.27506953065</v>
      </c>
      <c r="CE257" s="1358">
        <f t="shared" si="193"/>
        <v>263169.39895795332</v>
      </c>
      <c r="CF257" s="1358">
        <f t="shared" si="193"/>
        <v>265374.12330500968</v>
      </c>
      <c r="CG257" s="1358">
        <f t="shared" si="193"/>
        <v>267569.84631198365</v>
      </c>
      <c r="CH257" s="1358">
        <f t="shared" si="193"/>
        <v>269785.75663471175</v>
      </c>
      <c r="CI257" s="1358">
        <f t="shared" si="193"/>
        <v>271981.27502716507</v>
      </c>
      <c r="CJ257" s="1358">
        <f t="shared" si="193"/>
        <v>274209.9614994725</v>
      </c>
      <c r="CK257" s="1358">
        <f t="shared" si="193"/>
        <v>276471.37765448482</v>
      </c>
      <c r="CL257" s="1358">
        <f t="shared" si="193"/>
        <v>277910.21305872517</v>
      </c>
      <c r="CM257" s="1358">
        <f t="shared" si="193"/>
        <v>280971.24051798158</v>
      </c>
      <c r="CN257" s="1358">
        <f t="shared" si="193"/>
        <v>283611.40197433194</v>
      </c>
      <c r="CO257" s="1358">
        <f t="shared" si="193"/>
        <v>279273.11677509604</v>
      </c>
      <c r="CP257" s="1358">
        <f t="shared" si="193"/>
        <v>280770.93938649778</v>
      </c>
      <c r="CQ257" s="1358">
        <f t="shared" si="193"/>
        <v>282239.46279127692</v>
      </c>
      <c r="CR257" s="1358">
        <f t="shared" si="193"/>
        <v>284516.27143163967</v>
      </c>
      <c r="CS257" s="1358">
        <f t="shared" si="193"/>
        <v>286814.10642290174</v>
      </c>
      <c r="CT257" s="1358">
        <f t="shared" si="193"/>
        <v>289146.38855799765</v>
      </c>
      <c r="CU257" s="1358">
        <f t="shared" si="193"/>
        <v>291451.51423692808</v>
      </c>
      <c r="CV257" s="1358">
        <f t="shared" si="193"/>
        <v>293779.70006957493</v>
      </c>
      <c r="CW257" s="1358">
        <f t="shared" si="193"/>
        <v>72613507.873999998</v>
      </c>
      <c r="CX257" s="1358">
        <f t="shared" si="193"/>
        <v>0</v>
      </c>
      <c r="CY257" s="1358">
        <f t="shared" si="193"/>
        <v>0</v>
      </c>
      <c r="CZ257" s="1358">
        <f t="shared" si="193"/>
        <v>0</v>
      </c>
      <c r="DA257" s="1358">
        <f t="shared" si="193"/>
        <v>0</v>
      </c>
      <c r="DB257" s="1358">
        <f t="shared" si="193"/>
        <v>0</v>
      </c>
      <c r="DC257" s="1358">
        <f t="shared" si="193"/>
        <v>0</v>
      </c>
      <c r="DD257" s="1358">
        <f t="shared" si="193"/>
        <v>0</v>
      </c>
      <c r="DE257" s="1358">
        <f t="shared" si="193"/>
        <v>0</v>
      </c>
      <c r="DF257" s="1358">
        <f t="shared" si="193"/>
        <v>0</v>
      </c>
      <c r="DG257" s="1358">
        <f t="shared" si="193"/>
        <v>0</v>
      </c>
      <c r="DH257" s="1358">
        <f t="shared" si="193"/>
        <v>0</v>
      </c>
      <c r="DI257" s="1358">
        <f t="shared" si="193"/>
        <v>0</v>
      </c>
      <c r="DJ257" s="1358">
        <f t="shared" si="193"/>
        <v>0</v>
      </c>
      <c r="DK257" s="1358">
        <f t="shared" si="193"/>
        <v>0</v>
      </c>
      <c r="DL257" s="1358">
        <f t="shared" si="193"/>
        <v>0</v>
      </c>
      <c r="DM257" s="1358">
        <f t="shared" si="193"/>
        <v>0</v>
      </c>
      <c r="DN257" s="1358">
        <f t="shared" si="193"/>
        <v>0</v>
      </c>
      <c r="DO257" s="1358">
        <f t="shared" si="193"/>
        <v>0</v>
      </c>
      <c r="DP257" s="1358">
        <f t="shared" si="193"/>
        <v>0</v>
      </c>
      <c r="DQ257" s="1358">
        <f t="shared" si="193"/>
        <v>0</v>
      </c>
      <c r="DR257" s="1358">
        <f t="shared" si="193"/>
        <v>0</v>
      </c>
      <c r="DS257" s="1358">
        <f t="shared" si="193"/>
        <v>0</v>
      </c>
      <c r="DT257" s="1358">
        <f t="shared" si="193"/>
        <v>0</v>
      </c>
      <c r="DU257" s="1358">
        <f t="shared" si="193"/>
        <v>0</v>
      </c>
      <c r="DV257" s="1358"/>
      <c r="DW257" s="1358"/>
      <c r="DX257" s="1358"/>
      <c r="DY257" s="1358"/>
      <c r="DZ257" s="1358"/>
      <c r="EA257" s="1358"/>
      <c r="EB257" s="1358"/>
      <c r="EC257" s="1358"/>
      <c r="ED257" s="1358"/>
      <c r="EE257" s="1358"/>
      <c r="EF257" s="1358"/>
      <c r="EG257" s="1358"/>
      <c r="EH257" s="782"/>
    </row>
    <row r="258" spans="1:138" ht="12.75" customHeight="1" x14ac:dyDescent="0.3">
      <c r="A258" s="782"/>
      <c r="B258" s="821" t="s">
        <v>334</v>
      </c>
      <c r="C258" s="822">
        <f>SUM(E258:DU258)</f>
        <v>102293723.43931949</v>
      </c>
      <c r="D258" s="821"/>
      <c r="E258" s="822">
        <f t="shared" ref="E258:BP258" si="194">SUM(E257:E257)</f>
        <v>0</v>
      </c>
      <c r="F258" s="822">
        <f t="shared" si="194"/>
        <v>0</v>
      </c>
      <c r="G258" s="822">
        <f t="shared" si="194"/>
        <v>0</v>
      </c>
      <c r="H258" s="822">
        <f t="shared" si="194"/>
        <v>0</v>
      </c>
      <c r="I258" s="822">
        <f t="shared" si="194"/>
        <v>0</v>
      </c>
      <c r="J258" s="822">
        <f t="shared" si="194"/>
        <v>0</v>
      </c>
      <c r="K258" s="822">
        <f t="shared" si="194"/>
        <v>0</v>
      </c>
      <c r="L258" s="822">
        <f t="shared" si="194"/>
        <v>0</v>
      </c>
      <c r="M258" s="822">
        <f t="shared" si="194"/>
        <v>0</v>
      </c>
      <c r="N258" s="822">
        <f t="shared" si="194"/>
        <v>0</v>
      </c>
      <c r="O258" s="822">
        <f t="shared" si="194"/>
        <v>0</v>
      </c>
      <c r="P258" s="822">
        <f t="shared" si="194"/>
        <v>0</v>
      </c>
      <c r="Q258" s="822">
        <f t="shared" si="194"/>
        <v>0</v>
      </c>
      <c r="R258" s="822">
        <f t="shared" si="194"/>
        <v>0</v>
      </c>
      <c r="S258" s="822">
        <f t="shared" si="194"/>
        <v>0</v>
      </c>
      <c r="T258" s="822">
        <f t="shared" si="194"/>
        <v>0</v>
      </c>
      <c r="U258" s="822">
        <f t="shared" si="194"/>
        <v>0</v>
      </c>
      <c r="V258" s="822">
        <f t="shared" si="194"/>
        <v>0</v>
      </c>
      <c r="W258" s="822">
        <f t="shared" si="194"/>
        <v>0</v>
      </c>
      <c r="X258" s="822">
        <f t="shared" si="194"/>
        <v>0</v>
      </c>
      <c r="Y258" s="822">
        <f t="shared" si="194"/>
        <v>0</v>
      </c>
      <c r="Z258" s="822">
        <f t="shared" si="194"/>
        <v>0</v>
      </c>
      <c r="AA258" s="822">
        <f t="shared" si="194"/>
        <v>0</v>
      </c>
      <c r="AB258" s="822">
        <f t="shared" si="194"/>
        <v>0</v>
      </c>
      <c r="AC258" s="822">
        <f t="shared" si="194"/>
        <v>0</v>
      </c>
      <c r="AD258" s="822">
        <f t="shared" si="194"/>
        <v>0</v>
      </c>
      <c r="AE258" s="822">
        <f t="shared" si="194"/>
        <v>0</v>
      </c>
      <c r="AF258" s="822">
        <f t="shared" si="194"/>
        <v>0</v>
      </c>
      <c r="AG258" s="822">
        <f t="shared" si="194"/>
        <v>0</v>
      </c>
      <c r="AH258" s="822">
        <f t="shared" si="194"/>
        <v>0</v>
      </c>
      <c r="AI258" s="822">
        <f t="shared" si="194"/>
        <v>0</v>
      </c>
      <c r="AJ258" s="822">
        <f t="shared" si="194"/>
        <v>0</v>
      </c>
      <c r="AK258" s="822">
        <f t="shared" si="194"/>
        <v>0</v>
      </c>
      <c r="AL258" s="822">
        <f t="shared" si="194"/>
        <v>14315530.3242827</v>
      </c>
      <c r="AM258" s="822">
        <f t="shared" si="194"/>
        <v>205293.34606116661</v>
      </c>
      <c r="AN258" s="822">
        <f t="shared" si="194"/>
        <v>207793.40423970085</v>
      </c>
      <c r="AO258" s="822">
        <f t="shared" si="194"/>
        <v>210260.10262606523</v>
      </c>
      <c r="AP258" s="822">
        <f t="shared" si="194"/>
        <v>211885.65974115423</v>
      </c>
      <c r="AQ258" s="822">
        <f t="shared" si="194"/>
        <v>215188.01193420406</v>
      </c>
      <c r="AR258" s="822">
        <f t="shared" si="194"/>
        <v>218012.9416200624</v>
      </c>
      <c r="AS258" s="822">
        <f t="shared" si="194"/>
        <v>213181.07686987985</v>
      </c>
      <c r="AT258" s="822">
        <f t="shared" si="194"/>
        <v>214770.00861920218</v>
      </c>
      <c r="AU258" s="822">
        <f t="shared" si="194"/>
        <v>216264.46058470523</v>
      </c>
      <c r="AV258" s="822">
        <f t="shared" si="194"/>
        <v>218515.59404432448</v>
      </c>
      <c r="AW258" s="822">
        <f t="shared" si="194"/>
        <v>220675.94358853242</v>
      </c>
      <c r="AX258" s="822">
        <f t="shared" si="194"/>
        <v>222710.56184153532</v>
      </c>
      <c r="AY258" s="822">
        <f t="shared" si="194"/>
        <v>224665.72728851769</v>
      </c>
      <c r="AZ258" s="822">
        <f t="shared" si="194"/>
        <v>226548.52262565284</v>
      </c>
      <c r="BA258" s="822">
        <f t="shared" si="194"/>
        <v>228304.85297686295</v>
      </c>
      <c r="BB258" s="822">
        <f t="shared" si="194"/>
        <v>229344.9930368007</v>
      </c>
      <c r="BC258" s="822">
        <f t="shared" si="194"/>
        <v>231542.10904179295</v>
      </c>
      <c r="BD258" s="822">
        <f t="shared" si="194"/>
        <v>233317.7080138704</v>
      </c>
      <c r="BE258" s="822">
        <f t="shared" si="194"/>
        <v>229013.16839337221</v>
      </c>
      <c r="BF258" s="822">
        <f t="shared" si="194"/>
        <v>229911.66091752306</v>
      </c>
      <c r="BG258" s="822">
        <f t="shared" si="194"/>
        <v>230813.78680437503</v>
      </c>
      <c r="BH258" s="822">
        <f t="shared" si="194"/>
        <v>232345.63973502186</v>
      </c>
      <c r="BI258" s="822">
        <f t="shared" si="194"/>
        <v>233902.4265315792</v>
      </c>
      <c r="BJ258" s="822">
        <f t="shared" si="194"/>
        <v>235545.94755839423</v>
      </c>
      <c r="BK258" s="822">
        <f t="shared" si="194"/>
        <v>237262.50476525677</v>
      </c>
      <c r="BL258" s="822">
        <f t="shared" si="194"/>
        <v>238991.57351446556</v>
      </c>
      <c r="BM258" s="822">
        <f t="shared" si="194"/>
        <v>240811.21361387809</v>
      </c>
      <c r="BN258" s="822">
        <f t="shared" si="194"/>
        <v>242002.34658988175</v>
      </c>
      <c r="BO258" s="822">
        <f t="shared" si="194"/>
        <v>244627.30669974274</v>
      </c>
      <c r="BP258" s="822">
        <f t="shared" si="194"/>
        <v>246922.0418636211</v>
      </c>
      <c r="BQ258" s="822">
        <f t="shared" ref="BQ258:DU258" si="195">SUM(BQ257:BQ257)</f>
        <v>242733.25370419392</v>
      </c>
      <c r="BR258" s="822">
        <f t="shared" si="195"/>
        <v>244033.96696505454</v>
      </c>
      <c r="BS258" s="822">
        <f t="shared" si="195"/>
        <v>245313.14997026659</v>
      </c>
      <c r="BT258" s="822">
        <f t="shared" si="195"/>
        <v>247377.11673495109</v>
      </c>
      <c r="BU258" s="822">
        <f t="shared" si="195"/>
        <v>249414.97281073497</v>
      </c>
      <c r="BV258" s="822">
        <f t="shared" si="195"/>
        <v>251479.3205969065</v>
      </c>
      <c r="BW258" s="822">
        <f t="shared" si="195"/>
        <v>253576.88775609701</v>
      </c>
      <c r="BX258" s="822">
        <f t="shared" si="195"/>
        <v>255660.88139998799</v>
      </c>
      <c r="BY258" s="822">
        <f t="shared" si="195"/>
        <v>257780.55934433491</v>
      </c>
      <c r="BZ258" s="822">
        <f t="shared" si="195"/>
        <v>259130.53765731424</v>
      </c>
      <c r="CA258" s="822">
        <f t="shared" si="195"/>
        <v>262044.06866613019</v>
      </c>
      <c r="CB258" s="822">
        <f t="shared" si="195"/>
        <v>264568.88723862561</v>
      </c>
      <c r="CC258" s="822">
        <f t="shared" si="195"/>
        <v>260334.62676779419</v>
      </c>
      <c r="CD258" s="822">
        <f t="shared" si="195"/>
        <v>261766.27506953065</v>
      </c>
      <c r="CE258" s="822">
        <f t="shared" si="195"/>
        <v>263169.39895795332</v>
      </c>
      <c r="CF258" s="822">
        <f t="shared" si="195"/>
        <v>265374.12330500968</v>
      </c>
      <c r="CG258" s="822">
        <f t="shared" si="195"/>
        <v>267569.84631198365</v>
      </c>
      <c r="CH258" s="822">
        <f t="shared" si="195"/>
        <v>269785.75663471175</v>
      </c>
      <c r="CI258" s="822">
        <f t="shared" si="195"/>
        <v>271981.27502716507</v>
      </c>
      <c r="CJ258" s="822">
        <f t="shared" si="195"/>
        <v>274209.9614994725</v>
      </c>
      <c r="CK258" s="822">
        <f t="shared" si="195"/>
        <v>276471.37765448482</v>
      </c>
      <c r="CL258" s="822">
        <f t="shared" si="195"/>
        <v>277910.21305872517</v>
      </c>
      <c r="CM258" s="822">
        <f t="shared" si="195"/>
        <v>280971.24051798158</v>
      </c>
      <c r="CN258" s="822">
        <f t="shared" si="195"/>
        <v>283611.40197433194</v>
      </c>
      <c r="CO258" s="822">
        <f t="shared" si="195"/>
        <v>279273.11677509604</v>
      </c>
      <c r="CP258" s="822">
        <f t="shared" si="195"/>
        <v>280770.93938649778</v>
      </c>
      <c r="CQ258" s="822">
        <f t="shared" si="195"/>
        <v>282239.46279127692</v>
      </c>
      <c r="CR258" s="822">
        <f t="shared" si="195"/>
        <v>284516.27143163967</v>
      </c>
      <c r="CS258" s="822">
        <f t="shared" si="195"/>
        <v>286814.10642290174</v>
      </c>
      <c r="CT258" s="822">
        <f t="shared" si="195"/>
        <v>289146.38855799765</v>
      </c>
      <c r="CU258" s="822">
        <f t="shared" si="195"/>
        <v>291451.51423692808</v>
      </c>
      <c r="CV258" s="822">
        <f t="shared" si="195"/>
        <v>293779.70006957493</v>
      </c>
      <c r="CW258" s="822">
        <f t="shared" si="195"/>
        <v>72613507.873999998</v>
      </c>
      <c r="CX258" s="822">
        <f t="shared" si="195"/>
        <v>0</v>
      </c>
      <c r="CY258" s="822">
        <f t="shared" si="195"/>
        <v>0</v>
      </c>
      <c r="CZ258" s="822">
        <f t="shared" si="195"/>
        <v>0</v>
      </c>
      <c r="DA258" s="822">
        <f t="shared" si="195"/>
        <v>0</v>
      </c>
      <c r="DB258" s="822">
        <f t="shared" si="195"/>
        <v>0</v>
      </c>
      <c r="DC258" s="822">
        <f t="shared" si="195"/>
        <v>0</v>
      </c>
      <c r="DD258" s="822">
        <f t="shared" si="195"/>
        <v>0</v>
      </c>
      <c r="DE258" s="822">
        <f t="shared" si="195"/>
        <v>0</v>
      </c>
      <c r="DF258" s="822">
        <f t="shared" si="195"/>
        <v>0</v>
      </c>
      <c r="DG258" s="822">
        <f t="shared" si="195"/>
        <v>0</v>
      </c>
      <c r="DH258" s="822">
        <f t="shared" si="195"/>
        <v>0</v>
      </c>
      <c r="DI258" s="822">
        <f t="shared" si="195"/>
        <v>0</v>
      </c>
      <c r="DJ258" s="822">
        <f t="shared" si="195"/>
        <v>0</v>
      </c>
      <c r="DK258" s="822">
        <f t="shared" si="195"/>
        <v>0</v>
      </c>
      <c r="DL258" s="822">
        <f t="shared" si="195"/>
        <v>0</v>
      </c>
      <c r="DM258" s="822">
        <f t="shared" si="195"/>
        <v>0</v>
      </c>
      <c r="DN258" s="822">
        <f t="shared" si="195"/>
        <v>0</v>
      </c>
      <c r="DO258" s="822">
        <f t="shared" si="195"/>
        <v>0</v>
      </c>
      <c r="DP258" s="822">
        <f t="shared" si="195"/>
        <v>0</v>
      </c>
      <c r="DQ258" s="822">
        <f t="shared" si="195"/>
        <v>0</v>
      </c>
      <c r="DR258" s="822">
        <f t="shared" si="195"/>
        <v>0</v>
      </c>
      <c r="DS258" s="822">
        <f t="shared" si="195"/>
        <v>0</v>
      </c>
      <c r="DT258" s="822">
        <f t="shared" si="195"/>
        <v>0</v>
      </c>
      <c r="DU258" s="822">
        <f t="shared" si="195"/>
        <v>0</v>
      </c>
      <c r="DV258" s="798"/>
      <c r="DW258" s="798"/>
      <c r="DX258" s="798"/>
      <c r="DY258" s="798"/>
      <c r="DZ258" s="798"/>
      <c r="EA258" s="798"/>
      <c r="EB258" s="798"/>
      <c r="EC258" s="798"/>
      <c r="ED258" s="798"/>
      <c r="EE258" s="798"/>
      <c r="EF258" s="798"/>
      <c r="EG258" s="798"/>
      <c r="EH258" s="782"/>
    </row>
    <row r="259" spans="1:138" ht="12.75" customHeight="1" x14ac:dyDescent="0.3">
      <c r="A259" s="782"/>
      <c r="B259" s="782"/>
      <c r="C259" s="798"/>
      <c r="D259" s="782"/>
      <c r="E259" s="782"/>
      <c r="F259" s="782"/>
      <c r="G259" s="782"/>
      <c r="H259" s="782"/>
      <c r="I259" s="782"/>
      <c r="J259" s="782"/>
      <c r="K259" s="782"/>
      <c r="L259" s="782"/>
      <c r="M259" s="782"/>
      <c r="N259" s="782"/>
      <c r="O259" s="782"/>
      <c r="P259" s="782"/>
      <c r="Q259" s="782"/>
      <c r="R259" s="782"/>
      <c r="S259" s="782"/>
      <c r="T259" s="782"/>
      <c r="U259" s="782"/>
      <c r="V259" s="782"/>
      <c r="W259" s="782"/>
      <c r="X259" s="782"/>
      <c r="Y259" s="782"/>
      <c r="Z259" s="782"/>
      <c r="AA259" s="782"/>
      <c r="AB259" s="782"/>
      <c r="AC259" s="782"/>
      <c r="AD259" s="782"/>
      <c r="AE259" s="782"/>
      <c r="AF259" s="782"/>
      <c r="AG259" s="782"/>
      <c r="AH259" s="782"/>
      <c r="AI259" s="782"/>
      <c r="AJ259" s="782"/>
      <c r="AK259" s="782"/>
      <c r="AL259" s="782"/>
      <c r="AM259" s="782"/>
      <c r="AN259" s="782"/>
      <c r="AO259" s="782"/>
      <c r="AP259" s="782"/>
      <c r="AQ259" s="782"/>
      <c r="AR259" s="782"/>
      <c r="AS259" s="782"/>
      <c r="AT259" s="782"/>
      <c r="AU259" s="782"/>
      <c r="AV259" s="782"/>
      <c r="AW259" s="782"/>
      <c r="AX259" s="782"/>
      <c r="AY259" s="782"/>
      <c r="AZ259" s="782"/>
      <c r="BA259" s="782"/>
      <c r="BB259" s="782"/>
      <c r="BC259" s="782"/>
      <c r="BD259" s="782"/>
      <c r="BE259" s="782"/>
      <c r="BF259" s="782"/>
      <c r="BG259" s="782"/>
      <c r="BH259" s="782"/>
      <c r="BI259" s="782"/>
      <c r="BJ259" s="782"/>
      <c r="BK259" s="782"/>
      <c r="BL259" s="782"/>
      <c r="BM259" s="782"/>
      <c r="BN259" s="782"/>
      <c r="BO259" s="782"/>
      <c r="BP259" s="782"/>
      <c r="BQ259" s="782"/>
      <c r="BR259" s="782"/>
      <c r="BS259" s="782"/>
      <c r="BT259" s="782"/>
      <c r="BU259" s="782"/>
      <c r="BV259" s="782"/>
      <c r="BW259" s="782"/>
      <c r="BX259" s="782"/>
      <c r="BY259" s="782"/>
      <c r="BZ259" s="782"/>
      <c r="CA259" s="782"/>
      <c r="CB259" s="782"/>
      <c r="CC259" s="782"/>
      <c r="CD259" s="782"/>
      <c r="CE259" s="782"/>
      <c r="CF259" s="782"/>
      <c r="CG259" s="782"/>
      <c r="CH259" s="782"/>
      <c r="CI259" s="782"/>
      <c r="CJ259" s="782"/>
      <c r="CK259" s="782"/>
      <c r="CL259" s="782"/>
      <c r="CM259" s="782"/>
      <c r="CN259" s="782"/>
      <c r="CO259" s="782"/>
      <c r="CP259" s="782"/>
      <c r="CQ259" s="782"/>
      <c r="CR259" s="782"/>
      <c r="CS259" s="782"/>
      <c r="CT259" s="782"/>
      <c r="CU259" s="782"/>
      <c r="CV259" s="782"/>
      <c r="CW259" s="782"/>
      <c r="CX259" s="782"/>
      <c r="CY259" s="782"/>
      <c r="CZ259" s="782"/>
      <c r="DA259" s="782"/>
      <c r="DB259" s="782"/>
      <c r="DC259" s="782"/>
      <c r="DD259" s="782"/>
      <c r="DE259" s="782"/>
      <c r="DF259" s="782"/>
      <c r="DG259" s="782"/>
      <c r="DH259" s="782"/>
      <c r="DI259" s="782"/>
      <c r="DJ259" s="782"/>
      <c r="DK259" s="782"/>
      <c r="DL259" s="782"/>
      <c r="DM259" s="782"/>
      <c r="DN259" s="782"/>
      <c r="DO259" s="782"/>
      <c r="DP259" s="782"/>
      <c r="DQ259" s="782"/>
      <c r="DR259" s="782"/>
      <c r="DS259" s="782"/>
      <c r="DT259" s="782"/>
      <c r="DU259" s="782"/>
      <c r="DV259" s="798"/>
      <c r="DW259" s="798"/>
      <c r="DX259" s="798"/>
      <c r="DY259" s="798"/>
      <c r="DZ259" s="798"/>
      <c r="EA259" s="798"/>
      <c r="EB259" s="798"/>
      <c r="EC259" s="798"/>
      <c r="ED259" s="798"/>
      <c r="EE259" s="798"/>
      <c r="EF259" s="798"/>
      <c r="EG259" s="798"/>
      <c r="EH259" s="782"/>
    </row>
    <row r="260" spans="1:138" ht="12.75" hidden="1" customHeight="1" x14ac:dyDescent="0.3">
      <c r="A260" s="782"/>
      <c r="B260" s="782"/>
      <c r="C260" s="798"/>
      <c r="D260" s="782"/>
      <c r="E260" s="1152"/>
      <c r="F260" s="798"/>
      <c r="G260" s="798"/>
      <c r="H260" s="798"/>
      <c r="I260" s="798"/>
      <c r="J260" s="798"/>
      <c r="K260" s="798"/>
      <c r="L260" s="798"/>
      <c r="M260" s="798"/>
      <c r="N260" s="798"/>
      <c r="O260" s="798"/>
      <c r="P260" s="798"/>
      <c r="Q260" s="798"/>
      <c r="R260" s="798"/>
      <c r="S260" s="798"/>
      <c r="T260" s="798"/>
      <c r="U260" s="798"/>
      <c r="V260" s="798"/>
      <c r="W260" s="798"/>
      <c r="X260" s="798"/>
      <c r="Y260" s="798"/>
      <c r="Z260" s="798"/>
      <c r="AA260" s="798"/>
      <c r="AB260" s="798"/>
      <c r="AC260" s="798"/>
      <c r="AD260" s="798"/>
      <c r="AE260" s="798"/>
      <c r="AF260" s="798"/>
      <c r="AG260" s="798"/>
      <c r="AH260" s="798"/>
      <c r="AI260" s="798"/>
      <c r="AJ260" s="798"/>
      <c r="AK260" s="798"/>
      <c r="AL260" s="798"/>
      <c r="AM260" s="798"/>
      <c r="AN260" s="798"/>
      <c r="AO260" s="798"/>
      <c r="AP260" s="798"/>
      <c r="AQ260" s="798"/>
      <c r="AR260" s="798"/>
      <c r="AS260" s="798"/>
      <c r="AT260" s="798"/>
      <c r="AU260" s="798"/>
      <c r="AV260" s="798"/>
      <c r="AW260" s="798"/>
      <c r="AX260" s="798"/>
      <c r="AY260" s="798"/>
      <c r="AZ260" s="798"/>
      <c r="BA260" s="798"/>
      <c r="BB260" s="798"/>
      <c r="BC260" s="798"/>
      <c r="BD260" s="798"/>
      <c r="BE260" s="798"/>
      <c r="BF260" s="798"/>
      <c r="BG260" s="798"/>
      <c r="BH260" s="798"/>
      <c r="BI260" s="798"/>
      <c r="BJ260" s="798"/>
      <c r="BK260" s="798"/>
      <c r="BL260" s="798"/>
      <c r="BM260" s="798"/>
      <c r="BN260" s="798"/>
      <c r="BO260" s="798"/>
      <c r="BP260" s="798"/>
      <c r="BQ260" s="798"/>
      <c r="BR260" s="798"/>
      <c r="BS260" s="798"/>
      <c r="BT260" s="798"/>
      <c r="BU260" s="798"/>
      <c r="BV260" s="798"/>
      <c r="BW260" s="798"/>
      <c r="BX260" s="798"/>
      <c r="BY260" s="798"/>
      <c r="BZ260" s="798"/>
      <c r="CA260" s="798"/>
      <c r="CB260" s="798"/>
      <c r="CC260" s="798"/>
      <c r="CD260" s="798"/>
      <c r="CE260" s="798"/>
      <c r="CF260" s="798"/>
      <c r="CG260" s="798"/>
      <c r="CH260" s="798"/>
      <c r="CI260" s="798"/>
      <c r="CJ260" s="798"/>
      <c r="CK260" s="798"/>
      <c r="CL260" s="798"/>
      <c r="CM260" s="798"/>
      <c r="CN260" s="798"/>
      <c r="CO260" s="798"/>
      <c r="CP260" s="798"/>
      <c r="CQ260" s="798"/>
      <c r="CR260" s="798"/>
      <c r="CS260" s="798"/>
      <c r="CT260" s="798"/>
      <c r="CU260" s="798"/>
      <c r="CV260" s="798"/>
      <c r="CW260" s="798"/>
      <c r="CX260" s="798"/>
      <c r="CY260" s="798"/>
      <c r="CZ260" s="798"/>
      <c r="DA260" s="798"/>
      <c r="DB260" s="798"/>
      <c r="DC260" s="798"/>
      <c r="DD260" s="798"/>
      <c r="DE260" s="798"/>
      <c r="DF260" s="798"/>
      <c r="DG260" s="798"/>
      <c r="DH260" s="798"/>
      <c r="DI260" s="798"/>
      <c r="DJ260" s="798"/>
      <c r="DK260" s="798"/>
      <c r="DL260" s="798"/>
      <c r="DM260" s="798"/>
      <c r="DN260" s="798"/>
      <c r="DO260" s="798"/>
      <c r="DP260" s="798"/>
      <c r="DQ260" s="798"/>
      <c r="DR260" s="798"/>
      <c r="DS260" s="798"/>
      <c r="DT260" s="798"/>
      <c r="DU260" s="798"/>
      <c r="DV260" s="798"/>
      <c r="DW260" s="798"/>
      <c r="DX260" s="798"/>
      <c r="DY260" s="798"/>
      <c r="DZ260" s="798"/>
      <c r="EA260" s="798"/>
      <c r="EB260" s="798"/>
      <c r="EC260" s="798"/>
      <c r="ED260" s="798"/>
      <c r="EE260" s="798"/>
      <c r="EF260" s="798"/>
      <c r="EG260" s="798"/>
      <c r="EH260" s="782"/>
    </row>
    <row r="261" spans="1:138" ht="12.75" hidden="1" customHeight="1" x14ac:dyDescent="0.3">
      <c r="A261" s="782"/>
      <c r="B261" s="782"/>
      <c r="C261" s="798"/>
      <c r="D261" s="782"/>
      <c r="E261" s="798"/>
      <c r="F261" s="798"/>
      <c r="G261" s="798"/>
      <c r="H261" s="798"/>
      <c r="I261" s="798"/>
      <c r="J261" s="798"/>
      <c r="K261" s="798"/>
      <c r="L261" s="798"/>
      <c r="M261" s="798"/>
      <c r="N261" s="798"/>
      <c r="O261" s="798"/>
      <c r="P261" s="798"/>
      <c r="Q261" s="798"/>
      <c r="R261" s="798"/>
      <c r="S261" s="798"/>
      <c r="T261" s="798"/>
      <c r="U261" s="798"/>
      <c r="V261" s="798"/>
      <c r="W261" s="798"/>
      <c r="X261" s="798"/>
      <c r="Y261" s="798"/>
      <c r="Z261" s="798"/>
      <c r="AA261" s="798"/>
      <c r="AB261" s="798"/>
      <c r="AC261" s="798"/>
      <c r="AD261" s="798"/>
      <c r="AE261" s="798"/>
      <c r="AF261" s="798"/>
      <c r="AG261" s="798"/>
      <c r="AH261" s="798"/>
      <c r="AI261" s="798"/>
      <c r="AJ261" s="798"/>
      <c r="AK261" s="798"/>
      <c r="AL261" s="798"/>
      <c r="AM261" s="798"/>
      <c r="AN261" s="798"/>
      <c r="AO261" s="798"/>
      <c r="AP261" s="798"/>
      <c r="AQ261" s="798"/>
      <c r="AR261" s="798"/>
      <c r="AS261" s="798"/>
      <c r="AT261" s="798"/>
      <c r="AU261" s="798"/>
      <c r="AV261" s="798"/>
      <c r="AW261" s="798"/>
      <c r="AX261" s="798"/>
      <c r="AY261" s="798"/>
      <c r="AZ261" s="798"/>
      <c r="BA261" s="798"/>
      <c r="BB261" s="798"/>
      <c r="BC261" s="798"/>
      <c r="BD261" s="798"/>
      <c r="BE261" s="798"/>
      <c r="BF261" s="798"/>
      <c r="BG261" s="798"/>
      <c r="BH261" s="798"/>
      <c r="BI261" s="798"/>
      <c r="BJ261" s="798"/>
      <c r="BK261" s="798"/>
      <c r="BL261" s="798"/>
      <c r="BM261" s="798"/>
      <c r="BN261" s="798"/>
      <c r="BO261" s="798"/>
      <c r="BP261" s="798"/>
      <c r="BQ261" s="798"/>
      <c r="BR261" s="798"/>
      <c r="BS261" s="798"/>
      <c r="BT261" s="798"/>
      <c r="BU261" s="798"/>
      <c r="BV261" s="798"/>
      <c r="BW261" s="798"/>
      <c r="BX261" s="798"/>
      <c r="BY261" s="798"/>
      <c r="BZ261" s="798"/>
      <c r="CA261" s="798"/>
      <c r="CB261" s="798"/>
      <c r="CC261" s="798"/>
      <c r="CD261" s="798"/>
      <c r="CE261" s="798"/>
      <c r="CF261" s="798"/>
      <c r="CG261" s="798"/>
      <c r="CH261" s="798"/>
      <c r="CI261" s="798"/>
      <c r="CJ261" s="798"/>
      <c r="CK261" s="798"/>
      <c r="CL261" s="798"/>
      <c r="CM261" s="798"/>
      <c r="CN261" s="798"/>
      <c r="CO261" s="798"/>
      <c r="CP261" s="798"/>
      <c r="CQ261" s="798"/>
      <c r="CR261" s="798"/>
      <c r="CS261" s="798"/>
      <c r="CT261" s="798"/>
      <c r="CU261" s="798"/>
      <c r="CV261" s="798"/>
      <c r="CW261" s="798"/>
      <c r="CX261" s="798"/>
      <c r="CY261" s="798"/>
      <c r="CZ261" s="798"/>
      <c r="DA261" s="798"/>
      <c r="DB261" s="798"/>
      <c r="DC261" s="798"/>
      <c r="DD261" s="798"/>
      <c r="DE261" s="798"/>
      <c r="DF261" s="798"/>
      <c r="DG261" s="798"/>
      <c r="DH261" s="798"/>
      <c r="DI261" s="798"/>
      <c r="DJ261" s="798"/>
      <c r="DK261" s="798"/>
      <c r="DL261" s="798"/>
      <c r="DM261" s="798"/>
      <c r="DN261" s="798"/>
      <c r="DO261" s="798"/>
      <c r="DP261" s="798"/>
      <c r="DQ261" s="798"/>
      <c r="DR261" s="798"/>
      <c r="DS261" s="798"/>
      <c r="DT261" s="798"/>
      <c r="DU261" s="798"/>
      <c r="DV261" s="798"/>
      <c r="DW261" s="798"/>
      <c r="DX261" s="798"/>
      <c r="DY261" s="798"/>
      <c r="DZ261" s="798"/>
      <c r="EA261" s="798"/>
      <c r="EB261" s="798"/>
      <c r="EC261" s="798"/>
      <c r="ED261" s="798"/>
      <c r="EE261" s="798"/>
      <c r="EF261" s="798"/>
      <c r="EG261" s="798"/>
      <c r="EH261" s="782"/>
    </row>
    <row r="262" spans="1:138" ht="12.75" hidden="1" customHeight="1" x14ac:dyDescent="0.3">
      <c r="A262" s="782"/>
      <c r="B262" s="782"/>
      <c r="C262" s="798"/>
      <c r="D262" s="782"/>
      <c r="E262" s="798"/>
      <c r="F262" s="798"/>
      <c r="G262" s="798"/>
      <c r="H262" s="798"/>
      <c r="I262" s="798"/>
      <c r="J262" s="798"/>
      <c r="K262" s="798"/>
      <c r="L262" s="798"/>
      <c r="M262" s="798"/>
      <c r="N262" s="798"/>
      <c r="O262" s="798"/>
      <c r="P262" s="798"/>
      <c r="Q262" s="798"/>
      <c r="R262" s="798"/>
      <c r="S262" s="798"/>
      <c r="T262" s="798"/>
      <c r="U262" s="798"/>
      <c r="V262" s="798"/>
      <c r="W262" s="798"/>
      <c r="X262" s="798"/>
      <c r="Y262" s="798"/>
      <c r="Z262" s="798"/>
      <c r="AA262" s="798"/>
      <c r="AB262" s="798"/>
      <c r="AC262" s="798"/>
      <c r="AD262" s="798"/>
      <c r="AE262" s="798"/>
      <c r="AF262" s="798"/>
      <c r="AG262" s="798"/>
      <c r="AH262" s="798"/>
      <c r="AI262" s="798"/>
      <c r="AJ262" s="798"/>
      <c r="AK262" s="798"/>
      <c r="AL262" s="798"/>
      <c r="AM262" s="798"/>
      <c r="AN262" s="798"/>
      <c r="AO262" s="798"/>
      <c r="AP262" s="798"/>
      <c r="AQ262" s="798"/>
      <c r="AR262" s="798"/>
      <c r="AS262" s="798"/>
      <c r="AT262" s="798"/>
      <c r="AU262" s="798"/>
      <c r="AV262" s="798"/>
      <c r="AW262" s="798"/>
      <c r="AX262" s="798"/>
      <c r="AY262" s="798"/>
      <c r="AZ262" s="798"/>
      <c r="BA262" s="798"/>
      <c r="BB262" s="798"/>
      <c r="BC262" s="798"/>
      <c r="BD262" s="798"/>
      <c r="BE262" s="798"/>
      <c r="BF262" s="798"/>
      <c r="BG262" s="798"/>
      <c r="BH262" s="798"/>
      <c r="BI262" s="798"/>
      <c r="BJ262" s="798"/>
      <c r="BK262" s="798"/>
      <c r="BL262" s="798"/>
      <c r="BM262" s="798"/>
      <c r="BN262" s="798"/>
      <c r="BO262" s="798"/>
      <c r="BP262" s="798"/>
      <c r="BQ262" s="798"/>
      <c r="BR262" s="798"/>
      <c r="BS262" s="798"/>
      <c r="BT262" s="798"/>
      <c r="BU262" s="798"/>
      <c r="BV262" s="798"/>
      <c r="BW262" s="798"/>
      <c r="BX262" s="798"/>
      <c r="BY262" s="798"/>
      <c r="BZ262" s="798"/>
      <c r="CA262" s="798"/>
      <c r="CB262" s="798"/>
      <c r="CC262" s="798"/>
      <c r="CD262" s="798"/>
      <c r="CE262" s="798"/>
      <c r="CF262" s="798"/>
      <c r="CG262" s="798"/>
      <c r="CH262" s="798"/>
      <c r="CI262" s="798"/>
      <c r="CJ262" s="798"/>
      <c r="CK262" s="798"/>
      <c r="CL262" s="798"/>
      <c r="CM262" s="798"/>
      <c r="CN262" s="798"/>
      <c r="CO262" s="798"/>
      <c r="CP262" s="798"/>
      <c r="CQ262" s="798"/>
      <c r="CR262" s="798"/>
      <c r="CS262" s="798"/>
      <c r="CT262" s="798"/>
      <c r="CU262" s="798"/>
      <c r="CV262" s="798"/>
      <c r="CW262" s="798"/>
      <c r="CX262" s="798"/>
      <c r="CY262" s="798"/>
      <c r="CZ262" s="798"/>
      <c r="DA262" s="798"/>
      <c r="DB262" s="798"/>
      <c r="DC262" s="798"/>
      <c r="DD262" s="798"/>
      <c r="DE262" s="798"/>
      <c r="DF262" s="798"/>
      <c r="DG262" s="798"/>
      <c r="DH262" s="798"/>
      <c r="DI262" s="798"/>
      <c r="DJ262" s="798"/>
      <c r="DK262" s="798"/>
      <c r="DL262" s="798"/>
      <c r="DM262" s="798"/>
      <c r="DN262" s="798"/>
      <c r="DO262" s="798"/>
      <c r="DP262" s="798"/>
      <c r="DQ262" s="798"/>
      <c r="DR262" s="798"/>
      <c r="DS262" s="798"/>
      <c r="DT262" s="798"/>
      <c r="DU262" s="798"/>
      <c r="DV262" s="798"/>
      <c r="DW262" s="798"/>
      <c r="DX262" s="798"/>
      <c r="DY262" s="798"/>
      <c r="DZ262" s="798"/>
      <c r="EA262" s="798"/>
      <c r="EB262" s="798"/>
      <c r="EC262" s="798"/>
      <c r="ED262" s="798"/>
      <c r="EE262" s="798"/>
      <c r="EF262" s="798"/>
      <c r="EG262" s="798"/>
      <c r="EH262" s="782"/>
    </row>
    <row r="263" spans="1:138" ht="12.75" hidden="1" customHeight="1" x14ac:dyDescent="0.3">
      <c r="A263" s="782"/>
      <c r="B263" s="782"/>
      <c r="C263" s="782"/>
      <c r="D263" s="782"/>
      <c r="E263" s="798"/>
      <c r="F263" s="798"/>
      <c r="G263" s="798"/>
      <c r="H263" s="798"/>
      <c r="I263" s="798"/>
      <c r="J263" s="798"/>
      <c r="K263" s="798"/>
      <c r="L263" s="798"/>
      <c r="M263" s="798"/>
      <c r="N263" s="798"/>
      <c r="O263" s="798"/>
      <c r="P263" s="798"/>
      <c r="Q263" s="798"/>
      <c r="R263" s="798"/>
      <c r="S263" s="798"/>
      <c r="T263" s="798"/>
      <c r="U263" s="798"/>
      <c r="V263" s="798"/>
      <c r="W263" s="798"/>
      <c r="X263" s="798"/>
      <c r="Y263" s="798"/>
      <c r="Z263" s="798"/>
      <c r="AA263" s="798"/>
      <c r="AB263" s="798"/>
      <c r="AC263" s="798"/>
      <c r="AD263" s="798"/>
      <c r="AE263" s="798"/>
      <c r="AF263" s="798"/>
      <c r="AG263" s="798"/>
      <c r="AH263" s="798"/>
      <c r="AI263" s="798"/>
      <c r="AJ263" s="798"/>
      <c r="AK263" s="798"/>
      <c r="AL263" s="798"/>
      <c r="AM263" s="798"/>
      <c r="AN263" s="798"/>
      <c r="AO263" s="798"/>
      <c r="AP263" s="798"/>
      <c r="AQ263" s="798"/>
      <c r="AR263" s="798"/>
      <c r="AS263" s="798"/>
      <c r="AT263" s="798"/>
      <c r="AU263" s="798"/>
      <c r="AV263" s="798"/>
      <c r="AW263" s="798"/>
      <c r="AX263" s="798"/>
      <c r="AY263" s="798"/>
      <c r="AZ263" s="798"/>
      <c r="BA263" s="798"/>
      <c r="BB263" s="798"/>
      <c r="BC263" s="798"/>
      <c r="BD263" s="798"/>
      <c r="BE263" s="798"/>
      <c r="BF263" s="798"/>
      <c r="BG263" s="798"/>
      <c r="BH263" s="798"/>
      <c r="BI263" s="798"/>
      <c r="BJ263" s="798"/>
      <c r="BK263" s="798"/>
      <c r="BL263" s="798"/>
      <c r="BM263" s="798"/>
      <c r="BN263" s="798"/>
      <c r="BO263" s="798"/>
      <c r="BP263" s="798"/>
      <c r="BQ263" s="798"/>
      <c r="BR263" s="798"/>
      <c r="BS263" s="798"/>
      <c r="BT263" s="798"/>
      <c r="BU263" s="798"/>
      <c r="BV263" s="798"/>
      <c r="BW263" s="798"/>
      <c r="BX263" s="798"/>
      <c r="BY263" s="798"/>
      <c r="BZ263" s="798"/>
      <c r="CA263" s="798"/>
      <c r="CB263" s="798"/>
      <c r="CC263" s="798"/>
      <c r="CD263" s="798"/>
      <c r="CE263" s="798"/>
      <c r="CF263" s="798"/>
      <c r="CG263" s="798"/>
      <c r="CH263" s="798"/>
      <c r="CI263" s="798"/>
      <c r="CJ263" s="798"/>
      <c r="CK263" s="798"/>
      <c r="CL263" s="798"/>
      <c r="CM263" s="798"/>
      <c r="CN263" s="798"/>
      <c r="CO263" s="798"/>
      <c r="CP263" s="798"/>
      <c r="CQ263" s="798"/>
      <c r="CR263" s="798"/>
      <c r="CS263" s="798"/>
      <c r="CT263" s="798"/>
      <c r="CU263" s="798"/>
      <c r="CV263" s="798"/>
      <c r="CW263" s="798"/>
      <c r="CX263" s="798"/>
      <c r="CY263" s="798"/>
      <c r="CZ263" s="798"/>
      <c r="DA263" s="798"/>
      <c r="DB263" s="798"/>
      <c r="DC263" s="798"/>
      <c r="DD263" s="798"/>
      <c r="DE263" s="798"/>
      <c r="DF263" s="798"/>
      <c r="DG263" s="798"/>
      <c r="DH263" s="798"/>
      <c r="DI263" s="798"/>
      <c r="DJ263" s="798"/>
      <c r="DK263" s="798"/>
      <c r="DL263" s="798"/>
      <c r="DM263" s="798"/>
      <c r="DN263" s="798"/>
      <c r="DO263" s="798"/>
      <c r="DP263" s="798"/>
      <c r="DQ263" s="798"/>
      <c r="DR263" s="798"/>
      <c r="DS263" s="798"/>
      <c r="DT263" s="798"/>
      <c r="DU263" s="798"/>
      <c r="DV263" s="798"/>
      <c r="DW263" s="798"/>
      <c r="DX263" s="798"/>
      <c r="DY263" s="798"/>
      <c r="DZ263" s="798"/>
      <c r="EA263" s="798"/>
      <c r="EB263" s="798"/>
      <c r="EC263" s="798"/>
      <c r="ED263" s="798"/>
      <c r="EE263" s="798"/>
      <c r="EF263" s="798"/>
      <c r="EG263" s="798"/>
      <c r="EH263" s="782"/>
    </row>
    <row r="264" spans="1:138" ht="12.75" hidden="1" customHeight="1" x14ac:dyDescent="0.3">
      <c r="A264" s="782"/>
      <c r="B264" s="782"/>
      <c r="C264" s="782"/>
      <c r="D264" s="782"/>
      <c r="E264" s="782"/>
      <c r="F264" s="782"/>
      <c r="G264" s="782"/>
      <c r="H264" s="782"/>
      <c r="I264" s="782"/>
      <c r="J264" s="782"/>
      <c r="K264" s="782"/>
      <c r="L264" s="782"/>
      <c r="M264" s="782"/>
      <c r="N264" s="782"/>
      <c r="O264" s="782"/>
      <c r="P264" s="782"/>
      <c r="Q264" s="782"/>
      <c r="R264" s="782"/>
      <c r="S264" s="782"/>
      <c r="T264" s="782"/>
      <c r="U264" s="782"/>
      <c r="V264" s="782"/>
      <c r="W264" s="782"/>
      <c r="X264" s="782"/>
      <c r="Y264" s="782"/>
      <c r="Z264" s="782"/>
      <c r="AA264" s="782"/>
      <c r="AB264" s="782"/>
      <c r="AC264" s="782"/>
      <c r="AD264" s="782"/>
      <c r="AE264" s="782"/>
      <c r="AF264" s="782"/>
      <c r="AG264" s="782"/>
      <c r="AH264" s="782"/>
      <c r="AI264" s="782"/>
      <c r="AJ264" s="782"/>
      <c r="AK264" s="782"/>
      <c r="AL264" s="782"/>
      <c r="AM264" s="782"/>
      <c r="AN264" s="782"/>
      <c r="AO264" s="782"/>
      <c r="AP264" s="782"/>
      <c r="AQ264" s="782"/>
      <c r="AR264" s="782"/>
      <c r="AS264" s="782"/>
      <c r="AT264" s="782"/>
      <c r="AU264" s="782"/>
      <c r="AV264" s="782"/>
      <c r="AW264" s="782"/>
      <c r="AX264" s="782"/>
      <c r="AY264" s="782"/>
      <c r="AZ264" s="782"/>
      <c r="BA264" s="782"/>
      <c r="BB264" s="782"/>
      <c r="BC264" s="782"/>
      <c r="BD264" s="782"/>
      <c r="BE264" s="782"/>
      <c r="BF264" s="782"/>
      <c r="BG264" s="782"/>
      <c r="BH264" s="782"/>
      <c r="BI264" s="782"/>
      <c r="BJ264" s="782"/>
      <c r="BK264" s="782"/>
      <c r="BL264" s="782"/>
      <c r="BM264" s="782"/>
      <c r="BN264" s="782"/>
      <c r="BO264" s="782"/>
      <c r="BP264" s="782"/>
      <c r="BQ264" s="782"/>
      <c r="BR264" s="782"/>
      <c r="BS264" s="782"/>
      <c r="BT264" s="782"/>
      <c r="BU264" s="782"/>
      <c r="BV264" s="782"/>
      <c r="BW264" s="782"/>
      <c r="BX264" s="782"/>
      <c r="BY264" s="782"/>
      <c r="BZ264" s="782"/>
      <c r="CA264" s="782"/>
      <c r="CB264" s="782"/>
      <c r="CC264" s="782"/>
      <c r="CD264" s="782"/>
      <c r="CE264" s="782"/>
      <c r="CF264" s="782"/>
      <c r="CG264" s="782"/>
      <c r="CH264" s="782"/>
      <c r="CI264" s="782"/>
      <c r="CJ264" s="782"/>
      <c r="CK264" s="782"/>
      <c r="CL264" s="782"/>
      <c r="CM264" s="782"/>
      <c r="CN264" s="782"/>
      <c r="CO264" s="782"/>
      <c r="CP264" s="782"/>
      <c r="CQ264" s="782"/>
      <c r="CR264" s="782"/>
      <c r="CS264" s="782"/>
      <c r="CT264" s="782"/>
      <c r="CU264" s="782"/>
      <c r="CV264" s="782"/>
      <c r="CW264" s="782"/>
      <c r="CX264" s="782"/>
      <c r="CY264" s="782"/>
      <c r="CZ264" s="782"/>
      <c r="DA264" s="782"/>
      <c r="DB264" s="782"/>
      <c r="DC264" s="782"/>
      <c r="DD264" s="782"/>
      <c r="DE264" s="782"/>
      <c r="DF264" s="782"/>
      <c r="DG264" s="782"/>
      <c r="DH264" s="782"/>
      <c r="DI264" s="782"/>
      <c r="DJ264" s="782"/>
      <c r="DK264" s="782"/>
      <c r="DL264" s="782"/>
      <c r="DM264" s="782"/>
      <c r="DN264" s="782"/>
      <c r="DO264" s="782"/>
      <c r="DP264" s="782"/>
      <c r="DQ264" s="782"/>
      <c r="DR264" s="782"/>
      <c r="DS264" s="782"/>
      <c r="DT264" s="782"/>
      <c r="DU264" s="782"/>
      <c r="DV264" s="798"/>
      <c r="DW264" s="798"/>
      <c r="DX264" s="798"/>
      <c r="DY264" s="798"/>
      <c r="DZ264" s="798"/>
      <c r="EA264" s="798"/>
      <c r="EB264" s="798"/>
      <c r="EC264" s="798"/>
      <c r="ED264" s="798"/>
      <c r="EE264" s="798"/>
      <c r="EF264" s="798"/>
      <c r="EG264" s="798"/>
      <c r="EH264" s="782"/>
    </row>
    <row r="265" spans="1:138" ht="12.75" customHeight="1" x14ac:dyDescent="0.3">
      <c r="A265" s="782"/>
      <c r="B265" s="1375" t="s">
        <v>335</v>
      </c>
      <c r="C265" s="1376">
        <f>SUM(E265:DU265)</f>
        <v>41377448.717233986</v>
      </c>
      <c r="D265" s="1375"/>
      <c r="E265" s="813">
        <f>E255+E258</f>
        <v>0</v>
      </c>
      <c r="F265" s="813">
        <f t="shared" ref="F265:BQ265" si="196">F255+F258</f>
        <v>0</v>
      </c>
      <c r="G265" s="813">
        <f t="shared" si="196"/>
        <v>0</v>
      </c>
      <c r="H265" s="813">
        <f t="shared" si="196"/>
        <v>0</v>
      </c>
      <c r="I265" s="813">
        <f t="shared" si="196"/>
        <v>0</v>
      </c>
      <c r="J265" s="813">
        <f t="shared" si="196"/>
        <v>0</v>
      </c>
      <c r="K265" s="813">
        <f t="shared" si="196"/>
        <v>0</v>
      </c>
      <c r="L265" s="813">
        <f t="shared" si="196"/>
        <v>0</v>
      </c>
      <c r="M265" s="813">
        <f t="shared" si="196"/>
        <v>0</v>
      </c>
      <c r="N265" s="813">
        <f t="shared" si="196"/>
        <v>0</v>
      </c>
      <c r="O265" s="813">
        <f t="shared" si="196"/>
        <v>0</v>
      </c>
      <c r="P265" s="813">
        <f t="shared" si="196"/>
        <v>0</v>
      </c>
      <c r="Q265" s="813">
        <f t="shared" si="196"/>
        <v>0</v>
      </c>
      <c r="R265" s="813">
        <f t="shared" si="196"/>
        <v>0</v>
      </c>
      <c r="S265" s="813">
        <f t="shared" si="196"/>
        <v>0</v>
      </c>
      <c r="T265" s="813">
        <f t="shared" si="196"/>
        <v>0</v>
      </c>
      <c r="U265" s="813">
        <f t="shared" si="196"/>
        <v>0</v>
      </c>
      <c r="V265" s="813">
        <f t="shared" si="196"/>
        <v>0</v>
      </c>
      <c r="W265" s="813">
        <f t="shared" si="196"/>
        <v>0</v>
      </c>
      <c r="X265" s="813">
        <f t="shared" si="196"/>
        <v>0</v>
      </c>
      <c r="Y265" s="813">
        <f t="shared" si="196"/>
        <v>0</v>
      </c>
      <c r="Z265" s="813">
        <f t="shared" si="196"/>
        <v>0</v>
      </c>
      <c r="AA265" s="813">
        <f t="shared" si="196"/>
        <v>0</v>
      </c>
      <c r="AB265" s="813">
        <f t="shared" si="196"/>
        <v>0</v>
      </c>
      <c r="AC265" s="813">
        <f t="shared" si="196"/>
        <v>0</v>
      </c>
      <c r="AD265" s="813">
        <f t="shared" si="196"/>
        <v>0</v>
      </c>
      <c r="AE265" s="813">
        <f t="shared" si="196"/>
        <v>0</v>
      </c>
      <c r="AF265" s="813">
        <f t="shared" si="196"/>
        <v>0</v>
      </c>
      <c r="AG265" s="813">
        <f t="shared" si="196"/>
        <v>0</v>
      </c>
      <c r="AH265" s="813">
        <f t="shared" si="196"/>
        <v>0</v>
      </c>
      <c r="AI265" s="813">
        <f t="shared" si="196"/>
        <v>0</v>
      </c>
      <c r="AJ265" s="813">
        <f t="shared" si="196"/>
        <v>0</v>
      </c>
      <c r="AK265" s="813">
        <f t="shared" si="196"/>
        <v>-60916274.722085506</v>
      </c>
      <c r="AL265" s="813">
        <f t="shared" si="196"/>
        <v>14315530.3242827</v>
      </c>
      <c r="AM265" s="813">
        <f t="shared" si="196"/>
        <v>205293.34606116661</v>
      </c>
      <c r="AN265" s="813">
        <f t="shared" si="196"/>
        <v>207793.40423970085</v>
      </c>
      <c r="AO265" s="813">
        <f t="shared" si="196"/>
        <v>210260.10262606523</v>
      </c>
      <c r="AP265" s="813">
        <f t="shared" si="196"/>
        <v>211885.65974115423</v>
      </c>
      <c r="AQ265" s="813">
        <f t="shared" si="196"/>
        <v>215188.01193420406</v>
      </c>
      <c r="AR265" s="813">
        <f t="shared" si="196"/>
        <v>218012.9416200624</v>
      </c>
      <c r="AS265" s="813">
        <f t="shared" si="196"/>
        <v>213181.07686987985</v>
      </c>
      <c r="AT265" s="813">
        <f t="shared" si="196"/>
        <v>214770.00861920218</v>
      </c>
      <c r="AU265" s="813">
        <f t="shared" si="196"/>
        <v>216264.46058470523</v>
      </c>
      <c r="AV265" s="813">
        <f t="shared" si="196"/>
        <v>218515.59404432448</v>
      </c>
      <c r="AW265" s="813">
        <f t="shared" si="196"/>
        <v>220675.94358853242</v>
      </c>
      <c r="AX265" s="813">
        <f t="shared" si="196"/>
        <v>222710.56184153532</v>
      </c>
      <c r="AY265" s="813">
        <f t="shared" si="196"/>
        <v>224665.72728851769</v>
      </c>
      <c r="AZ265" s="813">
        <f t="shared" si="196"/>
        <v>226548.52262565284</v>
      </c>
      <c r="BA265" s="813">
        <f t="shared" si="196"/>
        <v>228304.85297686295</v>
      </c>
      <c r="BB265" s="813">
        <f t="shared" si="196"/>
        <v>229344.9930368007</v>
      </c>
      <c r="BC265" s="813">
        <f t="shared" si="196"/>
        <v>231542.10904179295</v>
      </c>
      <c r="BD265" s="813">
        <f t="shared" si="196"/>
        <v>233317.7080138704</v>
      </c>
      <c r="BE265" s="813">
        <f t="shared" si="196"/>
        <v>229013.16839337221</v>
      </c>
      <c r="BF265" s="813">
        <f t="shared" si="196"/>
        <v>229911.66091752306</v>
      </c>
      <c r="BG265" s="813">
        <f t="shared" si="196"/>
        <v>230813.78680437503</v>
      </c>
      <c r="BH265" s="813">
        <f t="shared" si="196"/>
        <v>232345.63973502186</v>
      </c>
      <c r="BI265" s="813">
        <f t="shared" si="196"/>
        <v>233902.4265315792</v>
      </c>
      <c r="BJ265" s="813">
        <f t="shared" si="196"/>
        <v>235545.94755839423</v>
      </c>
      <c r="BK265" s="813">
        <f t="shared" si="196"/>
        <v>237262.50476525677</v>
      </c>
      <c r="BL265" s="813">
        <f t="shared" si="196"/>
        <v>238991.57351446556</v>
      </c>
      <c r="BM265" s="813">
        <f t="shared" si="196"/>
        <v>240811.21361387809</v>
      </c>
      <c r="BN265" s="813">
        <f t="shared" si="196"/>
        <v>242002.34658988175</v>
      </c>
      <c r="BO265" s="813">
        <f t="shared" si="196"/>
        <v>244627.30669974274</v>
      </c>
      <c r="BP265" s="813">
        <f t="shared" si="196"/>
        <v>246922.0418636211</v>
      </c>
      <c r="BQ265" s="813">
        <f t="shared" si="196"/>
        <v>242733.25370419392</v>
      </c>
      <c r="BR265" s="813">
        <f t="shared" ref="BR265:DU265" si="197">BR255+BR258</f>
        <v>244033.96696505454</v>
      </c>
      <c r="BS265" s="813">
        <f t="shared" si="197"/>
        <v>245313.14997026659</v>
      </c>
      <c r="BT265" s="813">
        <f t="shared" si="197"/>
        <v>247377.11673495109</v>
      </c>
      <c r="BU265" s="813">
        <f t="shared" si="197"/>
        <v>249414.97281073497</v>
      </c>
      <c r="BV265" s="813">
        <f t="shared" si="197"/>
        <v>251479.3205969065</v>
      </c>
      <c r="BW265" s="813">
        <f t="shared" si="197"/>
        <v>253576.88775609701</v>
      </c>
      <c r="BX265" s="813">
        <f t="shared" si="197"/>
        <v>255660.88139998799</v>
      </c>
      <c r="BY265" s="813">
        <f t="shared" si="197"/>
        <v>257780.55934433491</v>
      </c>
      <c r="BZ265" s="813">
        <f t="shared" si="197"/>
        <v>259130.53765731424</v>
      </c>
      <c r="CA265" s="813">
        <f t="shared" si="197"/>
        <v>262044.06866613019</v>
      </c>
      <c r="CB265" s="813">
        <f t="shared" si="197"/>
        <v>264568.88723862561</v>
      </c>
      <c r="CC265" s="813">
        <f t="shared" si="197"/>
        <v>260334.62676779419</v>
      </c>
      <c r="CD265" s="813">
        <f t="shared" si="197"/>
        <v>261766.27506953065</v>
      </c>
      <c r="CE265" s="813">
        <f t="shared" si="197"/>
        <v>263169.39895795332</v>
      </c>
      <c r="CF265" s="813">
        <f t="shared" si="197"/>
        <v>265374.12330500968</v>
      </c>
      <c r="CG265" s="813">
        <f t="shared" si="197"/>
        <v>267569.84631198365</v>
      </c>
      <c r="CH265" s="813">
        <f t="shared" si="197"/>
        <v>269785.75663471175</v>
      </c>
      <c r="CI265" s="813">
        <f t="shared" si="197"/>
        <v>271981.27502716507</v>
      </c>
      <c r="CJ265" s="813">
        <f t="shared" si="197"/>
        <v>274209.9614994725</v>
      </c>
      <c r="CK265" s="813">
        <f t="shared" si="197"/>
        <v>276471.37765448482</v>
      </c>
      <c r="CL265" s="813">
        <f t="shared" si="197"/>
        <v>277910.21305872517</v>
      </c>
      <c r="CM265" s="813">
        <f t="shared" si="197"/>
        <v>280971.24051798158</v>
      </c>
      <c r="CN265" s="813">
        <f t="shared" si="197"/>
        <v>283611.40197433194</v>
      </c>
      <c r="CO265" s="813">
        <f t="shared" si="197"/>
        <v>279273.11677509604</v>
      </c>
      <c r="CP265" s="813">
        <f t="shared" si="197"/>
        <v>280770.93938649778</v>
      </c>
      <c r="CQ265" s="813">
        <f t="shared" si="197"/>
        <v>282239.46279127692</v>
      </c>
      <c r="CR265" s="813">
        <f t="shared" si="197"/>
        <v>284516.27143163967</v>
      </c>
      <c r="CS265" s="813">
        <f t="shared" si="197"/>
        <v>286814.10642290174</v>
      </c>
      <c r="CT265" s="813">
        <f t="shared" si="197"/>
        <v>289146.38855799765</v>
      </c>
      <c r="CU265" s="813">
        <f t="shared" si="197"/>
        <v>291451.51423692808</v>
      </c>
      <c r="CV265" s="813">
        <f t="shared" si="197"/>
        <v>293779.70006957493</v>
      </c>
      <c r="CW265" s="813">
        <f t="shared" si="197"/>
        <v>72613507.873999998</v>
      </c>
      <c r="CX265" s="813">
        <f t="shared" si="197"/>
        <v>0</v>
      </c>
      <c r="CY265" s="813">
        <f t="shared" si="197"/>
        <v>0</v>
      </c>
      <c r="CZ265" s="813">
        <f t="shared" si="197"/>
        <v>0</v>
      </c>
      <c r="DA265" s="813">
        <f t="shared" si="197"/>
        <v>0</v>
      </c>
      <c r="DB265" s="813">
        <f t="shared" si="197"/>
        <v>0</v>
      </c>
      <c r="DC265" s="813">
        <f t="shared" si="197"/>
        <v>0</v>
      </c>
      <c r="DD265" s="813">
        <f t="shared" si="197"/>
        <v>0</v>
      </c>
      <c r="DE265" s="813">
        <f t="shared" si="197"/>
        <v>0</v>
      </c>
      <c r="DF265" s="813">
        <f t="shared" si="197"/>
        <v>0</v>
      </c>
      <c r="DG265" s="813">
        <f t="shared" si="197"/>
        <v>0</v>
      </c>
      <c r="DH265" s="813">
        <f t="shared" si="197"/>
        <v>0</v>
      </c>
      <c r="DI265" s="813">
        <f t="shared" si="197"/>
        <v>0</v>
      </c>
      <c r="DJ265" s="813">
        <f t="shared" si="197"/>
        <v>0</v>
      </c>
      <c r="DK265" s="813">
        <f t="shared" si="197"/>
        <v>0</v>
      </c>
      <c r="DL265" s="813">
        <f t="shared" si="197"/>
        <v>0</v>
      </c>
      <c r="DM265" s="813">
        <f t="shared" si="197"/>
        <v>0</v>
      </c>
      <c r="DN265" s="813">
        <f t="shared" si="197"/>
        <v>0</v>
      </c>
      <c r="DO265" s="813">
        <f t="shared" si="197"/>
        <v>0</v>
      </c>
      <c r="DP265" s="813">
        <f t="shared" si="197"/>
        <v>0</v>
      </c>
      <c r="DQ265" s="813">
        <f t="shared" si="197"/>
        <v>0</v>
      </c>
      <c r="DR265" s="813">
        <f t="shared" si="197"/>
        <v>0</v>
      </c>
      <c r="DS265" s="813">
        <f t="shared" si="197"/>
        <v>0</v>
      </c>
      <c r="DT265" s="813">
        <f t="shared" si="197"/>
        <v>0</v>
      </c>
      <c r="DU265" s="813">
        <f t="shared" si="197"/>
        <v>0</v>
      </c>
      <c r="DV265" s="798"/>
      <c r="DW265" s="798"/>
      <c r="DX265" s="798"/>
      <c r="DY265" s="798"/>
      <c r="DZ265" s="798"/>
      <c r="EA265" s="798"/>
      <c r="EB265" s="798"/>
      <c r="EC265" s="798"/>
      <c r="ED265" s="798"/>
      <c r="EE265" s="798"/>
      <c r="EF265" s="798"/>
      <c r="EG265" s="798"/>
      <c r="EH265" s="782"/>
    </row>
    <row r="266" spans="1:138" ht="12.75" customHeight="1" x14ac:dyDescent="0.3">
      <c r="A266" s="782"/>
      <c r="B266" s="796" t="s">
        <v>142</v>
      </c>
      <c r="C266" s="823">
        <f>XIRR(OFFSET(E265,0,$D$210):DU265,OFFSET($E$4,0,$D$210):$DU$4)</f>
        <v>0.14040511250495913</v>
      </c>
      <c r="D266" s="796"/>
      <c r="E266" s="813"/>
      <c r="F266" s="813"/>
      <c r="G266" s="813"/>
      <c r="H266" s="813"/>
      <c r="I266" s="813"/>
      <c r="J266" s="813"/>
      <c r="K266" s="813"/>
      <c r="L266" s="813"/>
      <c r="M266" s="813"/>
      <c r="N266" s="813"/>
      <c r="O266" s="813"/>
      <c r="P266" s="813"/>
      <c r="Q266" s="813"/>
      <c r="R266" s="813"/>
      <c r="S266" s="813"/>
      <c r="T266" s="813"/>
      <c r="U266" s="813"/>
      <c r="V266" s="813"/>
      <c r="W266" s="813"/>
      <c r="X266" s="813"/>
      <c r="Y266" s="813"/>
      <c r="Z266" s="813"/>
      <c r="AA266" s="813"/>
      <c r="AB266" s="813"/>
      <c r="AC266" s="813"/>
      <c r="AD266" s="813"/>
      <c r="AE266" s="813"/>
      <c r="AF266" s="813"/>
      <c r="AG266" s="813"/>
      <c r="AH266" s="813"/>
      <c r="AI266" s="813"/>
      <c r="AJ266" s="813"/>
      <c r="AK266" s="813"/>
      <c r="AL266" s="813"/>
      <c r="AM266" s="813"/>
      <c r="AN266" s="813"/>
      <c r="AO266" s="813"/>
      <c r="AP266" s="813"/>
      <c r="AQ266" s="813"/>
      <c r="AR266" s="813"/>
      <c r="AS266" s="813"/>
      <c r="AT266" s="813"/>
      <c r="AU266" s="813"/>
      <c r="AV266" s="813"/>
      <c r="AW266" s="813"/>
      <c r="AX266" s="813"/>
      <c r="AY266" s="813"/>
      <c r="AZ266" s="813"/>
      <c r="BA266" s="813"/>
      <c r="BB266" s="813"/>
      <c r="BC266" s="813"/>
      <c r="BD266" s="813"/>
      <c r="BE266" s="813"/>
      <c r="BF266" s="813"/>
      <c r="BG266" s="813"/>
      <c r="BH266" s="813"/>
      <c r="BI266" s="813"/>
      <c r="BJ266" s="813"/>
      <c r="BK266" s="813"/>
      <c r="BL266" s="813"/>
      <c r="BM266" s="813"/>
      <c r="BN266" s="813"/>
      <c r="BO266" s="813"/>
      <c r="BP266" s="813"/>
      <c r="BQ266" s="813"/>
      <c r="BR266" s="813"/>
      <c r="BS266" s="813"/>
      <c r="BT266" s="813"/>
      <c r="BU266" s="813"/>
      <c r="BV266" s="813"/>
      <c r="BW266" s="813"/>
      <c r="BX266" s="813"/>
      <c r="BY266" s="813"/>
      <c r="BZ266" s="813"/>
      <c r="CA266" s="813"/>
      <c r="CB266" s="813"/>
      <c r="CC266" s="813"/>
      <c r="CD266" s="813"/>
      <c r="CE266" s="813"/>
      <c r="CF266" s="813"/>
      <c r="CG266" s="813"/>
      <c r="CH266" s="813"/>
      <c r="CI266" s="813"/>
      <c r="CJ266" s="813"/>
      <c r="CK266" s="813"/>
      <c r="CL266" s="813"/>
      <c r="CM266" s="813"/>
      <c r="CN266" s="813"/>
      <c r="CO266" s="813"/>
      <c r="CP266" s="813"/>
      <c r="CQ266" s="813"/>
      <c r="CR266" s="813"/>
      <c r="CS266" s="813"/>
      <c r="CT266" s="813"/>
      <c r="CU266" s="813"/>
      <c r="CV266" s="813"/>
      <c r="CW266" s="813"/>
      <c r="CX266" s="813"/>
      <c r="CY266" s="813"/>
      <c r="CZ266" s="813"/>
      <c r="DA266" s="813"/>
      <c r="DB266" s="813"/>
      <c r="DC266" s="813"/>
      <c r="DD266" s="813"/>
      <c r="DE266" s="813"/>
      <c r="DF266" s="813"/>
      <c r="DG266" s="813"/>
      <c r="DH266" s="813"/>
      <c r="DI266" s="813"/>
      <c r="DJ266" s="813"/>
      <c r="DK266" s="813"/>
      <c r="DL266" s="813"/>
      <c r="DM266" s="813"/>
      <c r="DN266" s="813"/>
      <c r="DO266" s="813"/>
      <c r="DP266" s="813"/>
      <c r="DQ266" s="813"/>
      <c r="DR266" s="813"/>
      <c r="DS266" s="813"/>
      <c r="DT266" s="813"/>
      <c r="DU266" s="813"/>
      <c r="DV266" s="798"/>
      <c r="DW266" s="798"/>
      <c r="DX266" s="798"/>
      <c r="DY266" s="798"/>
      <c r="DZ266" s="798"/>
      <c r="EA266" s="798"/>
      <c r="EB266" s="798"/>
      <c r="EC266" s="798"/>
      <c r="ED266" s="798"/>
      <c r="EE266" s="798"/>
      <c r="EF266" s="798"/>
      <c r="EG266" s="798"/>
      <c r="EH266" s="782"/>
    </row>
    <row r="267" spans="1:138" ht="12.75" customHeight="1" x14ac:dyDescent="0.3">
      <c r="A267" s="782"/>
      <c r="B267" s="796"/>
      <c r="C267" s="813"/>
      <c r="D267" s="796"/>
      <c r="E267" s="798"/>
      <c r="F267" s="813"/>
      <c r="G267" s="813"/>
      <c r="H267" s="813"/>
      <c r="I267" s="813"/>
      <c r="J267" s="813"/>
      <c r="K267" s="813"/>
      <c r="L267" s="813"/>
      <c r="M267" s="813"/>
      <c r="N267" s="813"/>
      <c r="O267" s="813"/>
      <c r="P267" s="813"/>
      <c r="Q267" s="813"/>
      <c r="R267" s="813"/>
      <c r="S267" s="813"/>
      <c r="T267" s="813"/>
      <c r="U267" s="813"/>
      <c r="V267" s="813"/>
      <c r="W267" s="813"/>
      <c r="X267" s="813"/>
      <c r="Y267" s="813"/>
      <c r="Z267" s="813"/>
      <c r="AA267" s="813"/>
      <c r="AB267" s="813"/>
      <c r="AC267" s="813"/>
      <c r="AD267" s="813"/>
      <c r="AE267" s="813"/>
      <c r="AF267" s="813"/>
      <c r="AG267" s="813"/>
      <c r="AH267" s="813"/>
      <c r="AI267" s="813"/>
      <c r="AJ267" s="813"/>
      <c r="AK267" s="813"/>
      <c r="AL267" s="813"/>
      <c r="AM267" s="813"/>
      <c r="AN267" s="813"/>
      <c r="AO267" s="813"/>
      <c r="AP267" s="813"/>
      <c r="AQ267" s="813"/>
      <c r="AR267" s="813"/>
      <c r="AS267" s="813"/>
      <c r="AT267" s="813"/>
      <c r="AU267" s="813"/>
      <c r="AV267" s="813"/>
      <c r="AW267" s="813"/>
      <c r="AX267" s="813"/>
      <c r="AY267" s="813"/>
      <c r="AZ267" s="813"/>
      <c r="BA267" s="813"/>
      <c r="BB267" s="813"/>
      <c r="BC267" s="813"/>
      <c r="BD267" s="813"/>
      <c r="BE267" s="813"/>
      <c r="BF267" s="813"/>
      <c r="BG267" s="813"/>
      <c r="BH267" s="813"/>
      <c r="BI267" s="813"/>
      <c r="BJ267" s="813"/>
      <c r="BK267" s="813"/>
      <c r="BL267" s="813"/>
      <c r="BM267" s="813"/>
      <c r="BN267" s="813"/>
      <c r="BO267" s="813"/>
      <c r="BP267" s="813"/>
      <c r="BQ267" s="813"/>
      <c r="BR267" s="813"/>
      <c r="BS267" s="813"/>
      <c r="BT267" s="813"/>
      <c r="BU267" s="813"/>
      <c r="BV267" s="813"/>
      <c r="BW267" s="813"/>
      <c r="BX267" s="813"/>
      <c r="BY267" s="813"/>
      <c r="BZ267" s="813"/>
      <c r="CA267" s="813"/>
      <c r="CB267" s="813"/>
      <c r="CC267" s="813"/>
      <c r="CD267" s="813"/>
      <c r="CE267" s="813"/>
      <c r="CF267" s="813"/>
      <c r="CG267" s="813"/>
      <c r="CH267" s="813"/>
      <c r="CI267" s="813"/>
      <c r="CJ267" s="813"/>
      <c r="CK267" s="813"/>
      <c r="CL267" s="813"/>
      <c r="CM267" s="813"/>
      <c r="CN267" s="813"/>
      <c r="CO267" s="813"/>
      <c r="CP267" s="813"/>
      <c r="CQ267" s="813"/>
      <c r="CR267" s="813"/>
      <c r="CS267" s="813"/>
      <c r="CT267" s="813"/>
      <c r="CU267" s="813"/>
      <c r="CV267" s="813"/>
      <c r="CW267" s="813"/>
      <c r="CX267" s="813"/>
      <c r="CY267" s="813"/>
      <c r="CZ267" s="813"/>
      <c r="DA267" s="813"/>
      <c r="DB267" s="813"/>
      <c r="DC267" s="813"/>
      <c r="DD267" s="813"/>
      <c r="DE267" s="813"/>
      <c r="DF267" s="813"/>
      <c r="DG267" s="813"/>
      <c r="DH267" s="813"/>
      <c r="DI267" s="813"/>
      <c r="DJ267" s="813"/>
      <c r="DK267" s="813"/>
      <c r="DL267" s="813"/>
      <c r="DM267" s="813"/>
      <c r="DN267" s="813"/>
      <c r="DO267" s="813"/>
      <c r="DP267" s="813"/>
      <c r="DQ267" s="813"/>
      <c r="DR267" s="813"/>
      <c r="DS267" s="813"/>
      <c r="DT267" s="813"/>
      <c r="DU267" s="813"/>
      <c r="DV267" s="798"/>
      <c r="DW267" s="798"/>
      <c r="DX267" s="798"/>
      <c r="DY267" s="798"/>
      <c r="DZ267" s="798"/>
      <c r="EA267" s="798"/>
      <c r="EB267" s="798"/>
      <c r="EC267" s="798"/>
      <c r="ED267" s="798"/>
      <c r="EE267" s="798"/>
      <c r="EF267" s="798"/>
      <c r="EG267" s="798"/>
      <c r="EH267" s="782"/>
    </row>
    <row r="268" spans="1:138" ht="12.75" customHeight="1" x14ac:dyDescent="0.3">
      <c r="A268" s="782"/>
      <c r="B268" s="796" t="s">
        <v>155</v>
      </c>
      <c r="C268" s="798"/>
      <c r="D268" s="782"/>
      <c r="E268" s="798"/>
      <c r="F268" s="798"/>
      <c r="G268" s="798"/>
      <c r="H268" s="798"/>
      <c r="I268" s="798"/>
      <c r="J268" s="798"/>
      <c r="K268" s="798"/>
      <c r="L268" s="798"/>
      <c r="M268" s="798"/>
      <c r="N268" s="798"/>
      <c r="O268" s="798"/>
      <c r="P268" s="798"/>
      <c r="Q268" s="798"/>
      <c r="R268" s="798"/>
      <c r="S268" s="798"/>
      <c r="T268" s="798"/>
      <c r="U268" s="798"/>
      <c r="V268" s="798"/>
      <c r="W268" s="798"/>
      <c r="X268" s="798"/>
      <c r="Y268" s="798"/>
      <c r="Z268" s="798"/>
      <c r="AA268" s="798"/>
      <c r="AB268" s="798"/>
      <c r="AC268" s="798"/>
      <c r="AD268" s="798"/>
      <c r="AE268" s="798"/>
      <c r="AF268" s="798"/>
      <c r="AG268" s="798"/>
      <c r="AH268" s="798"/>
      <c r="AI268" s="798"/>
      <c r="AJ268" s="798"/>
      <c r="AK268" s="798"/>
      <c r="AL268" s="798"/>
      <c r="AM268" s="798"/>
      <c r="AN268" s="798"/>
      <c r="AO268" s="798"/>
      <c r="AP268" s="798"/>
      <c r="AQ268" s="798"/>
      <c r="AR268" s="798"/>
      <c r="AS268" s="798"/>
      <c r="AT268" s="798"/>
      <c r="AU268" s="798"/>
      <c r="AV268" s="798"/>
      <c r="AW268" s="798"/>
      <c r="AX268" s="798"/>
      <c r="AY268" s="798"/>
      <c r="AZ268" s="798"/>
      <c r="BA268" s="798"/>
      <c r="BB268" s="798"/>
      <c r="BC268" s="798"/>
      <c r="BD268" s="798"/>
      <c r="BE268" s="798"/>
      <c r="BF268" s="798"/>
      <c r="BG268" s="798"/>
      <c r="BH268" s="798"/>
      <c r="BI268" s="798"/>
      <c r="BJ268" s="798"/>
      <c r="BK268" s="798"/>
      <c r="BL268" s="798"/>
      <c r="BM268" s="798"/>
      <c r="BN268" s="798"/>
      <c r="BO268" s="798"/>
      <c r="BP268" s="798"/>
      <c r="BQ268" s="798"/>
      <c r="BR268" s="798"/>
      <c r="BS268" s="798"/>
      <c r="BT268" s="798"/>
      <c r="BU268" s="798"/>
      <c r="BV268" s="798"/>
      <c r="BW268" s="798"/>
      <c r="BX268" s="798"/>
      <c r="BY268" s="798"/>
      <c r="BZ268" s="798"/>
      <c r="CA268" s="798"/>
      <c r="CB268" s="798"/>
      <c r="CC268" s="798"/>
      <c r="CD268" s="798"/>
      <c r="CE268" s="798"/>
      <c r="CF268" s="798"/>
      <c r="CG268" s="798"/>
      <c r="CH268" s="798"/>
      <c r="CI268" s="798"/>
      <c r="CJ268" s="798"/>
      <c r="CK268" s="798"/>
      <c r="CL268" s="798"/>
      <c r="CM268" s="798"/>
      <c r="CN268" s="798"/>
      <c r="CO268" s="798"/>
      <c r="CP268" s="798"/>
      <c r="CQ268" s="798"/>
      <c r="CR268" s="798"/>
      <c r="CS268" s="798"/>
      <c r="CT268" s="798"/>
      <c r="CU268" s="798"/>
      <c r="CV268" s="798"/>
      <c r="CW268" s="798"/>
      <c r="CX268" s="798"/>
      <c r="CY268" s="798"/>
      <c r="CZ268" s="798"/>
      <c r="DA268" s="798"/>
      <c r="DB268" s="798"/>
      <c r="DC268" s="798"/>
      <c r="DD268" s="798"/>
      <c r="DE268" s="798"/>
      <c r="DF268" s="798"/>
      <c r="DG268" s="798"/>
      <c r="DH268" s="798"/>
      <c r="DI268" s="798"/>
      <c r="DJ268" s="798"/>
      <c r="DK268" s="798"/>
      <c r="DL268" s="798"/>
      <c r="DM268" s="798"/>
      <c r="DN268" s="798"/>
      <c r="DO268" s="798"/>
      <c r="DP268" s="798"/>
      <c r="DQ268" s="798"/>
      <c r="DR268" s="798"/>
      <c r="DS268" s="798"/>
      <c r="DT268" s="798"/>
      <c r="DU268" s="798"/>
      <c r="DV268" s="798"/>
      <c r="DW268" s="798"/>
      <c r="DX268" s="798"/>
      <c r="DY268" s="798"/>
      <c r="DZ268" s="798"/>
      <c r="EA268" s="798"/>
      <c r="EB268" s="798"/>
      <c r="EC268" s="798"/>
      <c r="ED268" s="798"/>
      <c r="EE268" s="798"/>
      <c r="EF268" s="798"/>
      <c r="EG268" s="798"/>
      <c r="EH268" s="782"/>
    </row>
    <row r="269" spans="1:138" ht="12.75" customHeight="1" x14ac:dyDescent="0.3">
      <c r="A269" s="782"/>
      <c r="B269" s="782"/>
      <c r="C269" s="782"/>
      <c r="D269" s="782"/>
      <c r="E269" s="798"/>
      <c r="F269" s="782"/>
      <c r="G269" s="782"/>
      <c r="H269" s="782"/>
      <c r="I269" s="782"/>
      <c r="J269" s="782"/>
      <c r="K269" s="782"/>
      <c r="L269" s="782"/>
      <c r="M269" s="782"/>
      <c r="N269" s="782"/>
      <c r="O269" s="782"/>
      <c r="P269" s="782"/>
      <c r="Q269" s="782"/>
      <c r="R269" s="782"/>
      <c r="S269" s="782"/>
      <c r="T269" s="782"/>
      <c r="U269" s="782"/>
      <c r="V269" s="782"/>
      <c r="W269" s="782"/>
      <c r="X269" s="782"/>
      <c r="Y269" s="782"/>
      <c r="Z269" s="782"/>
      <c r="AA269" s="782"/>
      <c r="AB269" s="782"/>
      <c r="AC269" s="782"/>
      <c r="AD269" s="782"/>
      <c r="AE269" s="782"/>
      <c r="AF269" s="782"/>
      <c r="AG269" s="782"/>
      <c r="AH269" s="782"/>
      <c r="AI269" s="782"/>
      <c r="AJ269" s="782"/>
      <c r="AK269" s="782"/>
      <c r="AL269" s="782"/>
      <c r="AM269" s="782"/>
      <c r="AN269" s="782"/>
      <c r="AO269" s="782"/>
      <c r="AP269" s="782"/>
      <c r="AQ269" s="782"/>
      <c r="AR269" s="782"/>
      <c r="AS269" s="782"/>
      <c r="AT269" s="782"/>
      <c r="AU269" s="782"/>
      <c r="AV269" s="782"/>
      <c r="AW269" s="782"/>
      <c r="AX269" s="782"/>
      <c r="AY269" s="782"/>
      <c r="AZ269" s="782"/>
      <c r="BA269" s="782"/>
      <c r="BB269" s="782"/>
      <c r="BC269" s="782"/>
      <c r="BD269" s="782"/>
      <c r="BE269" s="782"/>
      <c r="BF269" s="782"/>
      <c r="BG269" s="782"/>
      <c r="BH269" s="782"/>
      <c r="BI269" s="782"/>
      <c r="BJ269" s="782"/>
      <c r="BK269" s="782"/>
      <c r="BL269" s="782"/>
      <c r="BM269" s="782"/>
      <c r="BN269" s="782"/>
      <c r="BO269" s="782"/>
      <c r="BP269" s="782"/>
      <c r="BQ269" s="782"/>
      <c r="BR269" s="782"/>
      <c r="BS269" s="782"/>
      <c r="BT269" s="782"/>
      <c r="BU269" s="782"/>
      <c r="BV269" s="782"/>
      <c r="BW269" s="782"/>
      <c r="BX269" s="782"/>
      <c r="BY269" s="782"/>
      <c r="BZ269" s="782"/>
      <c r="CA269" s="782"/>
      <c r="CB269" s="782"/>
      <c r="CC269" s="782"/>
      <c r="CD269" s="782"/>
      <c r="CE269" s="782"/>
      <c r="CF269" s="782"/>
      <c r="CG269" s="782"/>
      <c r="CH269" s="782"/>
      <c r="CI269" s="782"/>
      <c r="CJ269" s="782"/>
      <c r="CK269" s="782"/>
      <c r="CL269" s="782"/>
      <c r="CM269" s="782"/>
      <c r="CN269" s="782"/>
      <c r="CO269" s="782"/>
      <c r="CP269" s="782"/>
      <c r="CQ269" s="782"/>
      <c r="CR269" s="782"/>
      <c r="CS269" s="782"/>
      <c r="CT269" s="782"/>
      <c r="CU269" s="782"/>
      <c r="CV269" s="782"/>
      <c r="CW269" s="782"/>
      <c r="CX269" s="782"/>
      <c r="CY269" s="782"/>
      <c r="CZ269" s="782"/>
      <c r="DA269" s="782"/>
      <c r="DB269" s="782"/>
      <c r="DC269" s="782"/>
      <c r="DD269" s="782"/>
      <c r="DE269" s="782"/>
      <c r="DF269" s="782"/>
      <c r="DG269" s="782"/>
      <c r="DH269" s="782"/>
      <c r="DI269" s="782"/>
      <c r="DJ269" s="782"/>
      <c r="DK269" s="782"/>
      <c r="DL269" s="782"/>
      <c r="DM269" s="782"/>
      <c r="DN269" s="782"/>
      <c r="DO269" s="782"/>
      <c r="DP269" s="782"/>
      <c r="DQ269" s="782"/>
      <c r="DR269" s="782"/>
      <c r="DS269" s="782"/>
      <c r="DT269" s="782"/>
      <c r="DU269" s="782"/>
      <c r="DV269" s="798"/>
      <c r="DW269" s="798"/>
      <c r="DX269" s="798"/>
      <c r="DY269" s="798"/>
      <c r="DZ269" s="798"/>
      <c r="EA269" s="798"/>
      <c r="EB269" s="798"/>
      <c r="EC269" s="798"/>
      <c r="ED269" s="798"/>
      <c r="EE269" s="798"/>
      <c r="EF269" s="798"/>
      <c r="EG269" s="798"/>
      <c r="EH269" s="782"/>
    </row>
    <row r="270" spans="1:138" ht="12.75" customHeight="1" x14ac:dyDescent="0.3">
      <c r="A270" s="782"/>
      <c r="B270" s="781" t="s">
        <v>156</v>
      </c>
      <c r="C270" s="799"/>
      <c r="D270" s="781"/>
      <c r="E270" s="799">
        <v>0</v>
      </c>
      <c r="F270" s="799">
        <f t="shared" ref="F270:BQ270" si="198">E274</f>
        <v>0</v>
      </c>
      <c r="G270" s="799">
        <f t="shared" si="198"/>
        <v>0</v>
      </c>
      <c r="H270" s="799">
        <f t="shared" si="198"/>
        <v>0</v>
      </c>
      <c r="I270" s="799">
        <f t="shared" si="198"/>
        <v>0</v>
      </c>
      <c r="J270" s="799">
        <f t="shared" si="198"/>
        <v>0</v>
      </c>
      <c r="K270" s="799">
        <f t="shared" si="198"/>
        <v>0</v>
      </c>
      <c r="L270" s="799">
        <f t="shared" si="198"/>
        <v>0</v>
      </c>
      <c r="M270" s="799">
        <f t="shared" si="198"/>
        <v>0</v>
      </c>
      <c r="N270" s="799">
        <f t="shared" si="198"/>
        <v>0</v>
      </c>
      <c r="O270" s="799">
        <f t="shared" si="198"/>
        <v>0</v>
      </c>
      <c r="P270" s="799">
        <f t="shared" si="198"/>
        <v>0</v>
      </c>
      <c r="Q270" s="799">
        <f t="shared" si="198"/>
        <v>0</v>
      </c>
      <c r="R270" s="799">
        <f t="shared" si="198"/>
        <v>0</v>
      </c>
      <c r="S270" s="799">
        <f t="shared" si="198"/>
        <v>0</v>
      </c>
      <c r="T270" s="799">
        <f t="shared" si="198"/>
        <v>0</v>
      </c>
      <c r="U270" s="799">
        <f t="shared" si="198"/>
        <v>0</v>
      </c>
      <c r="V270" s="799">
        <f t="shared" si="198"/>
        <v>0</v>
      </c>
      <c r="W270" s="799">
        <f t="shared" si="198"/>
        <v>0</v>
      </c>
      <c r="X270" s="799">
        <f t="shared" si="198"/>
        <v>0</v>
      </c>
      <c r="Y270" s="799">
        <f t="shared" si="198"/>
        <v>0</v>
      </c>
      <c r="Z270" s="799">
        <f t="shared" si="198"/>
        <v>0</v>
      </c>
      <c r="AA270" s="799">
        <f t="shared" si="198"/>
        <v>0</v>
      </c>
      <c r="AB270" s="799">
        <f t="shared" si="198"/>
        <v>0</v>
      </c>
      <c r="AC270" s="799">
        <f t="shared" si="198"/>
        <v>0</v>
      </c>
      <c r="AD270" s="799">
        <f t="shared" si="198"/>
        <v>0</v>
      </c>
      <c r="AE270" s="799">
        <f t="shared" si="198"/>
        <v>0</v>
      </c>
      <c r="AF270" s="799">
        <f t="shared" si="198"/>
        <v>0</v>
      </c>
      <c r="AG270" s="799">
        <f t="shared" si="198"/>
        <v>0</v>
      </c>
      <c r="AH270" s="799">
        <f t="shared" si="198"/>
        <v>0</v>
      </c>
      <c r="AI270" s="799">
        <f t="shared" si="198"/>
        <v>0</v>
      </c>
      <c r="AJ270" s="799">
        <f t="shared" si="198"/>
        <v>0</v>
      </c>
      <c r="AK270" s="799">
        <f t="shared" si="198"/>
        <v>0</v>
      </c>
      <c r="AL270" s="799">
        <f t="shared" si="198"/>
        <v>-60916274.722085506</v>
      </c>
      <c r="AM270" s="799">
        <f t="shared" si="198"/>
        <v>-47012264.711641699</v>
      </c>
      <c r="AN270" s="799">
        <f t="shared" si="198"/>
        <v>-47114284.740226179</v>
      </c>
      <c r="AO270" s="799">
        <f t="shared" si="198"/>
        <v>-47224772.211352676</v>
      </c>
      <c r="AP270" s="799">
        <f t="shared" si="198"/>
        <v>-47333539.382965699</v>
      </c>
      <c r="AQ270" s="799">
        <f t="shared" si="198"/>
        <v>-47431067.230761856</v>
      </c>
      <c r="AR270" s="799">
        <f t="shared" si="198"/>
        <v>-47536300.12049254</v>
      </c>
      <c r="AS270" s="799">
        <f t="shared" si="198"/>
        <v>-47629026.10833697</v>
      </c>
      <c r="AT270" s="799">
        <f t="shared" si="198"/>
        <v>-47737603.245694153</v>
      </c>
      <c r="AU270" s="799">
        <f t="shared" si="198"/>
        <v>-47845324.944901958</v>
      </c>
      <c r="AV270" s="799">
        <f t="shared" si="198"/>
        <v>-47920905.413526624</v>
      </c>
      <c r="AW270" s="799">
        <f t="shared" si="198"/>
        <v>-48026119.826367773</v>
      </c>
      <c r="AX270" s="799">
        <f t="shared" si="198"/>
        <v>-48119384.703233324</v>
      </c>
      <c r="AY270" s="799">
        <f t="shared" si="198"/>
        <v>-48221744.97648719</v>
      </c>
      <c r="AZ270" s="799">
        <f t="shared" si="198"/>
        <v>-48312298.847125351</v>
      </c>
      <c r="BA270" s="799">
        <f t="shared" si="198"/>
        <v>-48412124.392424099</v>
      </c>
      <c r="BB270" s="799">
        <f t="shared" si="198"/>
        <v>-48510867.979531094</v>
      </c>
      <c r="BC270" s="799">
        <f t="shared" si="198"/>
        <v>-48598632.545823552</v>
      </c>
      <c r="BD270" s="799">
        <f t="shared" si="198"/>
        <v>-48695398.833981685</v>
      </c>
      <c r="BE270" s="799">
        <f t="shared" si="198"/>
        <v>-48780396.940727554</v>
      </c>
      <c r="BF270" s="799">
        <f t="shared" si="198"/>
        <v>-48880920.08015696</v>
      </c>
      <c r="BG270" s="799">
        <f t="shared" si="198"/>
        <v>-48981223.811823636</v>
      </c>
      <c r="BH270" s="799">
        <f t="shared" si="198"/>
        <v>-49059887.790193789</v>
      </c>
      <c r="BI270" s="799">
        <f t="shared" si="198"/>
        <v>-49158966.560641915</v>
      </c>
      <c r="BJ270" s="799">
        <f t="shared" si="198"/>
        <v>-49246410.233910173</v>
      </c>
      <c r="BK270" s="799">
        <f t="shared" si="198"/>
        <v>-49343548.750189327</v>
      </c>
      <c r="BL270" s="799">
        <f t="shared" si="198"/>
        <v>-49428838.936225578</v>
      </c>
      <c r="BM270" s="799">
        <f t="shared" si="198"/>
        <v>-49523764.224904798</v>
      </c>
      <c r="BN270" s="799">
        <f t="shared" si="198"/>
        <v>-49617511.141926698</v>
      </c>
      <c r="BO270" s="799">
        <f t="shared" si="198"/>
        <v>-49699852.344495125</v>
      </c>
      <c r="BP270" s="799">
        <f t="shared" si="198"/>
        <v>-49790972.732936993</v>
      </c>
      <c r="BQ270" s="799">
        <f t="shared" si="198"/>
        <v>-49869528.137252629</v>
      </c>
      <c r="BR270" s="799">
        <f t="shared" ref="BR270:DU270" si="199">BQ274</f>
        <v>-49963688.824677758</v>
      </c>
      <c r="BS270" s="799">
        <f t="shared" si="199"/>
        <v>-50057184.90201506</v>
      </c>
      <c r="BT270" s="799">
        <f t="shared" si="199"/>
        <v>-50117208.492906578</v>
      </c>
      <c r="BU270" s="799">
        <f t="shared" si="199"/>
        <v>-50208398.523651063</v>
      </c>
      <c r="BV270" s="799">
        <f t="shared" si="199"/>
        <v>-50287189.657916799</v>
      </c>
      <c r="BW270" s="799">
        <f t="shared" si="199"/>
        <v>-50375425.793731399</v>
      </c>
      <c r="BX270" s="799">
        <f t="shared" si="199"/>
        <v>-50451146.849710599</v>
      </c>
      <c r="BY270" s="799">
        <f t="shared" si="199"/>
        <v>-50536309.038661592</v>
      </c>
      <c r="BZ270" s="799">
        <f t="shared" si="199"/>
        <v>-50619926.863422796</v>
      </c>
      <c r="CA270" s="799">
        <f t="shared" si="199"/>
        <v>-50691692.542829923</v>
      </c>
      <c r="CB270" s="799">
        <f t="shared" si="199"/>
        <v>-50772096.552602954</v>
      </c>
      <c r="CC270" s="799">
        <f t="shared" si="199"/>
        <v>-50839418.59691418</v>
      </c>
      <c r="CD270" s="799">
        <f t="shared" si="199"/>
        <v>-50922530.012962326</v>
      </c>
      <c r="CE270" s="799">
        <f t="shared" si="199"/>
        <v>-51004771.240452819</v>
      </c>
      <c r="CF270" s="799">
        <f t="shared" si="199"/>
        <v>-51052718.630212516</v>
      </c>
      <c r="CG270" s="799">
        <f t="shared" si="199"/>
        <v>-51132231.49956888</v>
      </c>
      <c r="CH270" s="799">
        <f t="shared" si="199"/>
        <v>-51198906.742526203</v>
      </c>
      <c r="CI270" s="799">
        <f t="shared" si="199"/>
        <v>-51274995.553353406</v>
      </c>
      <c r="CJ270" s="799">
        <f t="shared" si="199"/>
        <v>-51338192.598602727</v>
      </c>
      <c r="CK270" s="799">
        <f t="shared" si="199"/>
        <v>-51410798.151126124</v>
      </c>
      <c r="CL270" s="799">
        <f t="shared" si="199"/>
        <v>-51481632.774805121</v>
      </c>
      <c r="CM270" s="799">
        <f t="shared" si="199"/>
        <v>-51540251.644047245</v>
      </c>
      <c r="CN270" s="799">
        <f t="shared" si="199"/>
        <v>-51607460.928826623</v>
      </c>
      <c r="CO270" s="799">
        <f t="shared" si="199"/>
        <v>-51661201.132272899</v>
      </c>
      <c r="CP270" s="799">
        <f t="shared" si="199"/>
        <v>-51730925.615896694</v>
      </c>
      <c r="CQ270" s="799">
        <f t="shared" si="199"/>
        <v>-51799623.301138885</v>
      </c>
      <c r="CR270" s="799">
        <f t="shared" si="199"/>
        <v>-51833349.032706767</v>
      </c>
      <c r="CS270" s="799">
        <f t="shared" si="199"/>
        <v>-51898993.308002174</v>
      </c>
      <c r="CT270" s="799">
        <f t="shared" si="199"/>
        <v>-51951436.518197007</v>
      </c>
      <c r="CU270" s="799">
        <f t="shared" si="199"/>
        <v>-52013248.417188376</v>
      </c>
      <c r="CV270" s="799">
        <f t="shared" si="199"/>
        <v>-52061801.09112259</v>
      </c>
      <c r="CW270" s="799">
        <f t="shared" si="199"/>
        <v>-52119725.247235626</v>
      </c>
      <c r="CX270" s="799">
        <f t="shared" si="199"/>
        <v>20141687.463545814</v>
      </c>
      <c r="CY270" s="799">
        <f t="shared" si="199"/>
        <v>20273351.18967019</v>
      </c>
      <c r="CZ270" s="799">
        <f t="shared" si="199"/>
        <v>20410307.953395508</v>
      </c>
      <c r="DA270" s="799">
        <f t="shared" si="199"/>
        <v>20543727.618523058</v>
      </c>
      <c r="DB270" s="799">
        <f t="shared" si="199"/>
        <v>20682510.912077453</v>
      </c>
      <c r="DC270" s="799">
        <f t="shared" si="199"/>
        <v>20822231.75712822</v>
      </c>
      <c r="DD270" s="799">
        <f t="shared" si="199"/>
        <v>20953792.735982053</v>
      </c>
      <c r="DE270" s="799">
        <f t="shared" si="199"/>
        <v>21095346.227264412</v>
      </c>
      <c r="DF270" s="799">
        <f t="shared" si="199"/>
        <v>21233243.903076943</v>
      </c>
      <c r="DG270" s="799">
        <f t="shared" si="199"/>
        <v>21376685.228645135</v>
      </c>
      <c r="DH270" s="799">
        <f t="shared" si="199"/>
        <v>21516421.982801672</v>
      </c>
      <c r="DI270" s="799">
        <f t="shared" si="199"/>
        <v>21661776.31983966</v>
      </c>
      <c r="DJ270" s="799">
        <f t="shared" si="199"/>
        <v>21808112.599103574</v>
      </c>
      <c r="DK270" s="799">
        <f t="shared" si="199"/>
        <v>21950669.540756784</v>
      </c>
      <c r="DL270" s="799">
        <f t="shared" si="199"/>
        <v>22098957.44016622</v>
      </c>
      <c r="DM270" s="799">
        <f t="shared" si="199"/>
        <v>22243415.598664723</v>
      </c>
      <c r="DN270" s="799">
        <f t="shared" si="199"/>
        <v>22393681.146086533</v>
      </c>
      <c r="DO270" s="799">
        <f t="shared" si="199"/>
        <v>22544961.813449875</v>
      </c>
      <c r="DP270" s="799">
        <f t="shared" si="199"/>
        <v>22682480.63670066</v>
      </c>
      <c r="DQ270" s="799">
        <f t="shared" si="199"/>
        <v>22835712.291013815</v>
      </c>
      <c r="DR270" s="799">
        <f t="shared" si="199"/>
        <v>22984986.525080882</v>
      </c>
      <c r="DS270" s="799">
        <f t="shared" si="199"/>
        <v>23140261.760008451</v>
      </c>
      <c r="DT270" s="799">
        <f t="shared" si="199"/>
        <v>23291526.7963829</v>
      </c>
      <c r="DU270" s="799">
        <f t="shared" si="199"/>
        <v>23448872.86622652</v>
      </c>
      <c r="DV270" s="798"/>
      <c r="DW270" s="798"/>
      <c r="DX270" s="798"/>
      <c r="DY270" s="798"/>
      <c r="DZ270" s="798"/>
      <c r="EA270" s="798"/>
      <c r="EB270" s="798"/>
      <c r="EC270" s="798"/>
      <c r="ED270" s="798"/>
      <c r="EE270" s="798"/>
      <c r="EF270" s="798"/>
      <c r="EG270" s="798"/>
      <c r="EH270" s="782"/>
    </row>
    <row r="271" spans="1:138" ht="12.75" customHeight="1" x14ac:dyDescent="0.3">
      <c r="A271" s="782"/>
      <c r="B271" s="782" t="s">
        <v>155</v>
      </c>
      <c r="C271" s="798"/>
      <c r="D271" s="782"/>
      <c r="E271" s="797">
        <f>+E270*((1+'Venture Summary - Mthly'!$C$235)^(E4-D4)-1)</f>
        <v>0</v>
      </c>
      <c r="F271" s="798">
        <f>+F270*((1+'Venture Summary - Mthly'!$C$235)^(F4-E4)-1)</f>
        <v>0</v>
      </c>
      <c r="G271" s="798">
        <f>+G270*((1+'Venture Summary - Mthly'!$C$235)^(G4-F4)-1)</f>
        <v>0</v>
      </c>
      <c r="H271" s="798">
        <f>+H270*((1+'Venture Summary - Mthly'!$C$235)^(H4-G4)-1)</f>
        <v>0</v>
      </c>
      <c r="I271" s="798">
        <f>+I270*((1+'Venture Summary - Mthly'!$C$235)^(I4-H4)-1)</f>
        <v>0</v>
      </c>
      <c r="J271" s="798">
        <f>+J270*((1+'Venture Summary - Mthly'!$C$235)^(J4-I4)-1)</f>
        <v>0</v>
      </c>
      <c r="K271" s="798">
        <f>+K270*((1+'Venture Summary - Mthly'!$C$235)^(K4-J4)-1)</f>
        <v>0</v>
      </c>
      <c r="L271" s="798">
        <f>+L270*((1+'Venture Summary - Mthly'!$C$235)^(L4-K4)-1)</f>
        <v>0</v>
      </c>
      <c r="M271" s="798">
        <f>+M270*((1+'Venture Summary - Mthly'!$C$235)^(M4-L4)-1)</f>
        <v>0</v>
      </c>
      <c r="N271" s="798">
        <f>+N270*((1+'Venture Summary - Mthly'!$C$235)^(N4-M4)-1)</f>
        <v>0</v>
      </c>
      <c r="O271" s="798">
        <f>+O270*((1+'Venture Summary - Mthly'!$C$235)^(O4-N4)-1)</f>
        <v>0</v>
      </c>
      <c r="P271" s="798">
        <f>+P270*((1+'Venture Summary - Mthly'!$C$235)^(P4-O4)-1)</f>
        <v>0</v>
      </c>
      <c r="Q271" s="798">
        <f>+Q270*((1+'Venture Summary - Mthly'!$C$235)^(Q4-P4)-1)</f>
        <v>0</v>
      </c>
      <c r="R271" s="798">
        <f>+R270*((1+'Venture Summary - Mthly'!$C$235)^(R4-Q4)-1)</f>
        <v>0</v>
      </c>
      <c r="S271" s="798">
        <f>+S270*((1+'Venture Summary - Mthly'!$C$235)^(S4-R4)-1)</f>
        <v>0</v>
      </c>
      <c r="T271" s="798">
        <f>+T270*((1+'Venture Summary - Mthly'!$C$235)^(T4-S4)-1)</f>
        <v>0</v>
      </c>
      <c r="U271" s="798">
        <f>+U270*((1+'Venture Summary - Mthly'!$C$235)^(U4-T4)-1)</f>
        <v>0</v>
      </c>
      <c r="V271" s="798">
        <f>+V270*((1+'Venture Summary - Mthly'!$C$235)^(V4-U4)-1)</f>
        <v>0</v>
      </c>
      <c r="W271" s="798">
        <f>+W270*((1+'Venture Summary - Mthly'!$C$235)^(W4-V4)-1)</f>
        <v>0</v>
      </c>
      <c r="X271" s="798">
        <f>+X270*((1+'Venture Summary - Mthly'!$C$235)^(X4-W4)-1)</f>
        <v>0</v>
      </c>
      <c r="Y271" s="798">
        <f>+Y270*((1+'Venture Summary - Mthly'!$C$235)^(Y4-X4)-1)</f>
        <v>0</v>
      </c>
      <c r="Z271" s="798">
        <f>+Z270*((1+'Venture Summary - Mthly'!$C$235)^(Z4-Y4)-1)</f>
        <v>0</v>
      </c>
      <c r="AA271" s="798">
        <f>+AA270*((1+'Venture Summary - Mthly'!$C$235)^(AA4-Z4)-1)</f>
        <v>0</v>
      </c>
      <c r="AB271" s="798">
        <f>+AB270*((1+'Venture Summary - Mthly'!$C$235)^(AB4-AA4)-1)</f>
        <v>0</v>
      </c>
      <c r="AC271" s="798">
        <f>+AC270*((1+'Venture Summary - Mthly'!$C$235)^(AC4-AB4)-1)</f>
        <v>0</v>
      </c>
      <c r="AD271" s="798">
        <f>+AD270*((1+'Venture Summary - Mthly'!$C$235)^(AD4-AC4)-1)</f>
        <v>0</v>
      </c>
      <c r="AE271" s="798">
        <f>+AE270*((1+'Venture Summary - Mthly'!$C$235)^(AE4-AD4)-1)</f>
        <v>0</v>
      </c>
      <c r="AF271" s="798">
        <f>+AF270*((1+'Venture Summary - Mthly'!$C$235)^(AF4-AE4)-1)</f>
        <v>0</v>
      </c>
      <c r="AG271" s="798">
        <f>+AG270*((1+'Venture Summary - Mthly'!$C$235)^(AG4-AF4)-1)</f>
        <v>0</v>
      </c>
      <c r="AH271" s="798">
        <f>+AH270*((1+'Venture Summary - Mthly'!$C$235)^(AH4-AG4)-1)</f>
        <v>0</v>
      </c>
      <c r="AI271" s="798">
        <f>+AI270*((1+'Venture Summary - Mthly'!$C$235)^(AI4-AH4)-1)</f>
        <v>0</v>
      </c>
      <c r="AJ271" s="798">
        <f>+AJ270*((1+'Venture Summary - Mthly'!$C$235)^(AJ4-AI4)-1)</f>
        <v>0</v>
      </c>
      <c r="AK271" s="798">
        <f>+AK270*((1+'Venture Summary - Mthly'!$C$235)^(AK4-AJ4)-1)</f>
        <v>0</v>
      </c>
      <c r="AL271" s="798">
        <f>+AL270*((1+'Venture Summary - Mthly'!$C$235)^(AL4-AK4)-1)</f>
        <v>-411520.31383889494</v>
      </c>
      <c r="AM271" s="798">
        <f>+AM270*((1+'Venture Summary - Mthly'!$C$235)^(AM4-AL4)-1)</f>
        <v>-307313.3746456473</v>
      </c>
      <c r="AN271" s="798">
        <f>+AN270*((1+'Venture Summary - Mthly'!$C$235)^(AN4-AM4)-1)</f>
        <v>-318280.87536619406</v>
      </c>
      <c r="AO271" s="798">
        <f>+AO270*((1+'Venture Summary - Mthly'!$C$235)^(AO4-AN4)-1)</f>
        <v>-319027.27423908439</v>
      </c>
      <c r="AP271" s="798">
        <f>+AP270*((1+'Venture Summary - Mthly'!$C$235)^(AP4-AO4)-1)</f>
        <v>-309413.50753731589</v>
      </c>
      <c r="AQ271" s="798">
        <f>+AQ270*((1+'Venture Summary - Mthly'!$C$235)^(AQ4-AP4)-1)</f>
        <v>-320420.90166489099</v>
      </c>
      <c r="AR271" s="798">
        <f>+AR270*((1+'Venture Summary - Mthly'!$C$235)^(AR4-AQ4)-1)</f>
        <v>-310738.9294644919</v>
      </c>
      <c r="AS271" s="798">
        <f>+AS270*((1+'Venture Summary - Mthly'!$C$235)^(AS4-AR4)-1)</f>
        <v>-321758.21422706859</v>
      </c>
      <c r="AT271" s="798">
        <f>+AT270*((1+'Venture Summary - Mthly'!$C$235)^(AT4-AS4)-1)</f>
        <v>-322491.70782701054</v>
      </c>
      <c r="AU271" s="798">
        <f>+AU270*((1+'Venture Summary - Mthly'!$C$235)^(AU4-AT4)-1)</f>
        <v>-291844.92920937407</v>
      </c>
      <c r="AV271" s="798">
        <f>+AV270*((1+'Venture Summary - Mthly'!$C$235)^(AV4-AU4)-1)</f>
        <v>-323730.00688547909</v>
      </c>
      <c r="AW271" s="798">
        <f>+AW270*((1+'Venture Summary - Mthly'!$C$235)^(AW4-AV4)-1)</f>
        <v>-313940.82045408257</v>
      </c>
      <c r="AX271" s="798">
        <f>+AX270*((1+'Venture Summary - Mthly'!$C$235)^(AX4-AW4)-1)</f>
        <v>-325070.83509539929</v>
      </c>
      <c r="AY271" s="798">
        <f>+AY270*((1+'Venture Summary - Mthly'!$C$235)^(AY4-AX4)-1)</f>
        <v>-315219.59792667412</v>
      </c>
      <c r="AZ271" s="798">
        <f>+AZ270*((1+'Venture Summary - Mthly'!$C$235)^(AZ4-AY4)-1)</f>
        <v>-326374.06792440265</v>
      </c>
      <c r="BA271" s="798">
        <f>+BA270*((1+'Venture Summary - Mthly'!$C$235)^(BA4-AZ4)-1)</f>
        <v>-327048.44008386083</v>
      </c>
      <c r="BB271" s="798">
        <f>+BB270*((1+'Venture Summary - Mthly'!$C$235)^(BB4-BA4)-1)</f>
        <v>-317109.55932925903</v>
      </c>
      <c r="BC271" s="798">
        <f>+BC270*((1+'Venture Summary - Mthly'!$C$235)^(BC4-BB4)-1)</f>
        <v>-328308.39719992899</v>
      </c>
      <c r="BD271" s="798">
        <f>+BD270*((1+'Venture Summary - Mthly'!$C$235)^(BD4-BC4)-1)</f>
        <v>-318315.81475973636</v>
      </c>
      <c r="BE271" s="798">
        <f>+BE270*((1+'Venture Summary - Mthly'!$C$235)^(BE4-BD4)-1)</f>
        <v>-329536.30782277789</v>
      </c>
      <c r="BF271" s="798">
        <f>+BF270*((1+'Venture Summary - Mthly'!$C$235)^(BF4-BE4)-1)</f>
        <v>-330215.39258419489</v>
      </c>
      <c r="BG271" s="798">
        <f>+BG270*((1+'Venture Summary - Mthly'!$C$235)^(BG4-BF4)-1)</f>
        <v>-309477.76517453016</v>
      </c>
      <c r="BH271" s="798">
        <f>+BH270*((1+'Venture Summary - Mthly'!$C$235)^(BH4-BG4)-1)</f>
        <v>-331424.41018314345</v>
      </c>
      <c r="BI271" s="798">
        <f>+BI270*((1+'Venture Summary - Mthly'!$C$235)^(BI4-BH4)-1)</f>
        <v>-321346.09979983332</v>
      </c>
      <c r="BJ271" s="798">
        <f>+BJ270*((1+'Venture Summary - Mthly'!$C$235)^(BJ4-BI4)-1)</f>
        <v>-332684.46383754612</v>
      </c>
      <c r="BK271" s="798">
        <f>+BK270*((1+'Venture Summary - Mthly'!$C$235)^(BK4-BJ4)-1)</f>
        <v>-322552.69080150552</v>
      </c>
      <c r="BL271" s="798">
        <f>+BL270*((1+'Venture Summary - Mthly'!$C$235)^(BL4-BK4)-1)</f>
        <v>-333916.86219369248</v>
      </c>
      <c r="BM271" s="798">
        <f>+BM270*((1+'Venture Summary - Mthly'!$C$235)^(BM4-BL4)-1)</f>
        <v>-334558.13063577533</v>
      </c>
      <c r="BN271" s="798">
        <f>+BN270*((1+'Venture Summary - Mthly'!$C$235)^(BN4-BM4)-1)</f>
        <v>-324343.54915830266</v>
      </c>
      <c r="BO271" s="798">
        <f>+BO270*((1+'Venture Summary - Mthly'!$C$235)^(BO4-BN4)-1)</f>
        <v>-335747.69514161075</v>
      </c>
      <c r="BP271" s="798">
        <f>+BP270*((1+'Venture Summary - Mthly'!$C$235)^(BP4-BO4)-1)</f>
        <v>-325477.44617925549</v>
      </c>
      <c r="BQ271" s="798">
        <f>+BQ270*((1+'Venture Summary - Mthly'!$C$235)^(BQ4-BP4)-1)</f>
        <v>-336893.94112932077</v>
      </c>
      <c r="BR271" s="798">
        <f>+BR270*((1+'Venture Summary - Mthly'!$C$235)^(BR4-BQ4)-1)</f>
        <v>-337530.04430236045</v>
      </c>
      <c r="BS271" s="798">
        <f>+BS270*((1+'Venture Summary - Mthly'!$C$235)^(BS4-BR4)-1)</f>
        <v>-305336.74086177885</v>
      </c>
      <c r="BT271" s="798">
        <f>+BT270*((1+'Venture Summary - Mthly'!$C$235)^(BT4-BS4)-1)</f>
        <v>-338567.14747943735</v>
      </c>
      <c r="BU271" s="798">
        <f>+BU270*((1+'Venture Summary - Mthly'!$C$235)^(BU4-BT4)-1)</f>
        <v>-328206.10707647674</v>
      </c>
      <c r="BV271" s="798">
        <f>+BV270*((1+'Venture Summary - Mthly'!$C$235)^(BV4-BU4)-1)</f>
        <v>-339715.45641150582</v>
      </c>
      <c r="BW271" s="798">
        <f>+BW270*((1+'Venture Summary - Mthly'!$C$235)^(BW4-BV4)-1)</f>
        <v>-329297.94373529498</v>
      </c>
      <c r="BX271" s="798">
        <f>+BX270*((1+'Venture Summary - Mthly'!$C$235)^(BX4-BW4)-1)</f>
        <v>-340823.07035098178</v>
      </c>
      <c r="BY271" s="798">
        <f>+BY270*((1+'Venture Summary - Mthly'!$C$235)^(BY4-BX4)-1)</f>
        <v>-341398.38410554419</v>
      </c>
      <c r="BZ271" s="798">
        <f>+BZ270*((1+'Venture Summary - Mthly'!$C$235)^(BZ4-BY4)-1)</f>
        <v>-330896.21706444025</v>
      </c>
      <c r="CA271" s="798">
        <f>+CA270*((1+'Venture Summary - Mthly'!$C$235)^(CA4-BZ4)-1)</f>
        <v>-342448.07843915973</v>
      </c>
      <c r="CB271" s="798">
        <f>+CB270*((1+'Venture Summary - Mthly'!$C$235)^(CB4-CA4)-1)</f>
        <v>-331890.93154985306</v>
      </c>
      <c r="CC271" s="798">
        <f>+CC270*((1+'Venture Summary - Mthly'!$C$235)^(CC4-CB4)-1)</f>
        <v>-343446.0428159422</v>
      </c>
      <c r="CD271" s="798">
        <f>+CD270*((1+'Venture Summary - Mthly'!$C$235)^(CD4-CC4)-1)</f>
        <v>-344007.50256002153</v>
      </c>
      <c r="CE271" s="798">
        <f>+CE270*((1+'Venture Summary - Mthly'!$C$235)^(CE4-CD4)-1)</f>
        <v>-311116.7887176479</v>
      </c>
      <c r="CF271" s="798">
        <f>+CF270*((1+'Venture Summary - Mthly'!$C$235)^(CF4-CE4)-1)</f>
        <v>-344886.99266136921</v>
      </c>
      <c r="CG271" s="798">
        <f>+CG270*((1+'Venture Summary - Mthly'!$C$235)^(CG4-CF4)-1)</f>
        <v>-334245.08926930715</v>
      </c>
      <c r="CH271" s="798">
        <f>+CH270*((1+'Venture Summary - Mthly'!$C$235)^(CH4-CG4)-1)</f>
        <v>-345874.56746191805</v>
      </c>
      <c r="CI271" s="798">
        <f>+CI270*((1+'Venture Summary - Mthly'!$C$235)^(CI4-CH4)-1)</f>
        <v>-335178.32027648622</v>
      </c>
      <c r="CJ271" s="798">
        <f>+CJ270*((1+'Venture Summary - Mthly'!$C$235)^(CJ4-CI4)-1)</f>
        <v>-346815.51402287296</v>
      </c>
      <c r="CK271" s="798">
        <f>+CK270*((1+'Venture Summary - Mthly'!$C$235)^(CK4-CJ4)-1)</f>
        <v>-347306.00133348396</v>
      </c>
      <c r="CL271" s="798">
        <f>+CL270*((1+'Venture Summary - Mthly'!$C$235)^(CL4-CK4)-1)</f>
        <v>-336529.08230084798</v>
      </c>
      <c r="CM271" s="798">
        <f>+CM270*((1+'Venture Summary - Mthly'!$C$235)^(CM4-CL4)-1)</f>
        <v>-348180.52529735869</v>
      </c>
      <c r="CN271" s="798">
        <f>+CN270*((1+'Venture Summary - Mthly'!$C$235)^(CN4-CM4)-1)</f>
        <v>-337351.60542061174</v>
      </c>
      <c r="CO271" s="798">
        <f>+CO270*((1+'Venture Summary - Mthly'!$C$235)^(CO4-CN4)-1)</f>
        <v>-348997.60039888701</v>
      </c>
      <c r="CP271" s="798">
        <f>+CP270*((1+'Venture Summary - Mthly'!$C$235)^(CP4-CO4)-1)</f>
        <v>-349468.62462868477</v>
      </c>
      <c r="CQ271" s="798">
        <f>+CQ270*((1+'Venture Summary - Mthly'!$C$235)^(CQ4-CP4)-1)</f>
        <v>-315965.19435916014</v>
      </c>
      <c r="CR271" s="798">
        <f>+CR270*((1+'Venture Summary - Mthly'!$C$235)^(CR4-CQ4)-1)</f>
        <v>-350160.54672704724</v>
      </c>
      <c r="CS271" s="798">
        <f>+CS270*((1+'Venture Summary - Mthly'!$C$235)^(CS4-CR4)-1)</f>
        <v>-339257.31661773106</v>
      </c>
      <c r="CT271" s="798">
        <f>+CT270*((1+'Venture Summary - Mthly'!$C$235)^(CT4-CS4)-1)</f>
        <v>-350958.28754936601</v>
      </c>
      <c r="CU271" s="798">
        <f>+CU270*((1+'Venture Summary - Mthly'!$C$235)^(CU4-CT4)-1)</f>
        <v>-340004.18817114132</v>
      </c>
      <c r="CV271" s="798">
        <f>+CV270*((1+'Venture Summary - Mthly'!$C$235)^(CV4-CU4)-1)</f>
        <v>-351703.85618261277</v>
      </c>
      <c r="CW271" s="798">
        <f>+CW270*((1+'Venture Summary - Mthly'!$C$235)^(CW4-CV4)-1)</f>
        <v>-352095.16321856075</v>
      </c>
      <c r="CX271" s="798">
        <f>+CX270*((1+'Venture Summary - Mthly'!$C$235)^(CX4-CW4)-1)</f>
        <v>131663.72612437457</v>
      </c>
      <c r="CY271" s="798">
        <f>+CY270*((1+'Venture Summary - Mthly'!$C$235)^(CY4-CX4)-1)</f>
        <v>136956.76372531775</v>
      </c>
      <c r="CZ271" s="798">
        <f>+CZ270*((1+'Venture Summary - Mthly'!$C$235)^(CZ4-CY4)-1)</f>
        <v>133419.66512754781</v>
      </c>
      <c r="DA271" s="798">
        <f>+DA270*((1+'Venture Summary - Mthly'!$C$235)^(DA4-CZ4)-1)</f>
        <v>138783.29355439529</v>
      </c>
      <c r="DB271" s="798">
        <f>+DB270*((1+'Venture Summary - Mthly'!$C$235)^(DB4-DA4)-1)</f>
        <v>139720.84505076733</v>
      </c>
      <c r="DC271" s="798">
        <f>+DC270*((1+'Venture Summary - Mthly'!$C$235)^(DC4-DB4)-1)</f>
        <v>131560.97885383261</v>
      </c>
      <c r="DD271" s="798">
        <f>+DD270*((1+'Venture Summary - Mthly'!$C$235)^(DD4-DC4)-1)</f>
        <v>141553.49128235859</v>
      </c>
      <c r="DE271" s="798">
        <f>+DE270*((1+'Venture Summary - Mthly'!$C$235)^(DE4-DD4)-1)</f>
        <v>137897.67581253295</v>
      </c>
      <c r="DF271" s="798">
        <f>+DF270*((1+'Venture Summary - Mthly'!$C$235)^(DF4-DE4)-1)</f>
        <v>143441.32556819092</v>
      </c>
      <c r="DG271" s="798">
        <f>+DG270*((1+'Venture Summary - Mthly'!$C$235)^(DG4-DF4)-1)</f>
        <v>139736.7541565366</v>
      </c>
      <c r="DH271" s="798">
        <f>+DH270*((1+'Venture Summary - Mthly'!$C$235)^(DH4-DG4)-1)</f>
        <v>145354.33703798728</v>
      </c>
      <c r="DI271" s="798">
        <f>+DI270*((1+'Venture Summary - Mthly'!$C$235)^(DI4-DH4)-1)</f>
        <v>146336.27926391317</v>
      </c>
      <c r="DJ271" s="798">
        <f>+DJ270*((1+'Venture Summary - Mthly'!$C$235)^(DJ4-DI4)-1)</f>
        <v>142556.94165321017</v>
      </c>
      <c r="DK271" s="798">
        <f>+DK270*((1+'Venture Summary - Mthly'!$C$235)^(DK4-DJ4)-1)</f>
        <v>148287.89940943467</v>
      </c>
      <c r="DL271" s="798">
        <f>+DL270*((1+'Venture Summary - Mthly'!$C$235)^(DL4-DK4)-1)</f>
        <v>144458.15849850513</v>
      </c>
      <c r="DM271" s="798">
        <f>+DM270*((1+'Venture Summary - Mthly'!$C$235)^(DM4-DL4)-1)</f>
        <v>150265.54742180891</v>
      </c>
      <c r="DN271" s="798">
        <f>+DN270*((1+'Venture Summary - Mthly'!$C$235)^(DN4-DM4)-1)</f>
        <v>151280.66736334033</v>
      </c>
      <c r="DO271" s="798">
        <f>+DO270*((1+'Venture Summary - Mthly'!$C$235)^(DO4-DN4)-1)</f>
        <v>137518.82325078445</v>
      </c>
      <c r="DP271" s="798">
        <f>+DP270*((1+'Venture Summary - Mthly'!$C$235)^(DP4-DO4)-1)</f>
        <v>153231.65431315376</v>
      </c>
      <c r="DQ271" s="798">
        <f>+DQ270*((1+'Venture Summary - Mthly'!$C$235)^(DQ4-DP4)-1)</f>
        <v>149274.2340670675</v>
      </c>
      <c r="DR271" s="798">
        <f>+DR270*((1+'Venture Summary - Mthly'!$C$235)^(DR4-DQ4)-1)</f>
        <v>155275.2349275673</v>
      </c>
      <c r="DS271" s="798">
        <f>+DS270*((1+'Venture Summary - Mthly'!$C$235)^(DS4-DR4)-1)</f>
        <v>151265.03637445145</v>
      </c>
      <c r="DT271" s="798">
        <f>+DT270*((1+'Venture Summary - Mthly'!$C$235)^(DT4-DS4)-1)</f>
        <v>157346.06984362187</v>
      </c>
      <c r="DU271" s="798">
        <f>+DU270*((1+'Venture Summary - Mthly'!$C$235)^(DU4-DT4)-1)</f>
        <v>158409.02230318662</v>
      </c>
      <c r="DV271" s="798"/>
      <c r="DW271" s="798"/>
      <c r="DX271" s="798"/>
      <c r="DY271" s="798"/>
      <c r="DZ271" s="798"/>
      <c r="EA271" s="798"/>
      <c r="EB271" s="798"/>
      <c r="EC271" s="798"/>
      <c r="ED271" s="798"/>
      <c r="EE271" s="798"/>
      <c r="EF271" s="798"/>
      <c r="EG271" s="798"/>
      <c r="EH271" s="782"/>
    </row>
    <row r="272" spans="1:138" ht="12.75" customHeight="1" x14ac:dyDescent="0.3">
      <c r="A272" s="782"/>
      <c r="B272" s="782" t="s">
        <v>157</v>
      </c>
      <c r="C272" s="798"/>
      <c r="D272" s="782"/>
      <c r="E272" s="798">
        <f t="shared" ref="E272:BP272" si="200">IF(E265&lt;0,E265,0)</f>
        <v>0</v>
      </c>
      <c r="F272" s="798">
        <f t="shared" si="200"/>
        <v>0</v>
      </c>
      <c r="G272" s="798">
        <f t="shared" si="200"/>
        <v>0</v>
      </c>
      <c r="H272" s="798">
        <f t="shared" si="200"/>
        <v>0</v>
      </c>
      <c r="I272" s="798">
        <f t="shared" si="200"/>
        <v>0</v>
      </c>
      <c r="J272" s="798">
        <f t="shared" si="200"/>
        <v>0</v>
      </c>
      <c r="K272" s="798">
        <f t="shared" si="200"/>
        <v>0</v>
      </c>
      <c r="L272" s="798">
        <f t="shared" si="200"/>
        <v>0</v>
      </c>
      <c r="M272" s="798">
        <f t="shared" si="200"/>
        <v>0</v>
      </c>
      <c r="N272" s="798">
        <f t="shared" si="200"/>
        <v>0</v>
      </c>
      <c r="O272" s="798">
        <f t="shared" si="200"/>
        <v>0</v>
      </c>
      <c r="P272" s="798">
        <f t="shared" si="200"/>
        <v>0</v>
      </c>
      <c r="Q272" s="798">
        <f t="shared" si="200"/>
        <v>0</v>
      </c>
      <c r="R272" s="798">
        <f t="shared" si="200"/>
        <v>0</v>
      </c>
      <c r="S272" s="798">
        <f t="shared" si="200"/>
        <v>0</v>
      </c>
      <c r="T272" s="798">
        <f t="shared" si="200"/>
        <v>0</v>
      </c>
      <c r="U272" s="798">
        <f t="shared" si="200"/>
        <v>0</v>
      </c>
      <c r="V272" s="798">
        <f t="shared" si="200"/>
        <v>0</v>
      </c>
      <c r="W272" s="798">
        <f t="shared" si="200"/>
        <v>0</v>
      </c>
      <c r="X272" s="798">
        <f t="shared" si="200"/>
        <v>0</v>
      </c>
      <c r="Y272" s="798">
        <f t="shared" si="200"/>
        <v>0</v>
      </c>
      <c r="Z272" s="798">
        <f t="shared" si="200"/>
        <v>0</v>
      </c>
      <c r="AA272" s="798">
        <f t="shared" si="200"/>
        <v>0</v>
      </c>
      <c r="AB272" s="798">
        <f t="shared" si="200"/>
        <v>0</v>
      </c>
      <c r="AC272" s="798">
        <f t="shared" si="200"/>
        <v>0</v>
      </c>
      <c r="AD272" s="798">
        <f t="shared" si="200"/>
        <v>0</v>
      </c>
      <c r="AE272" s="798">
        <f t="shared" si="200"/>
        <v>0</v>
      </c>
      <c r="AF272" s="798">
        <f t="shared" si="200"/>
        <v>0</v>
      </c>
      <c r="AG272" s="798">
        <f t="shared" si="200"/>
        <v>0</v>
      </c>
      <c r="AH272" s="798">
        <f t="shared" si="200"/>
        <v>0</v>
      </c>
      <c r="AI272" s="798">
        <f t="shared" si="200"/>
        <v>0</v>
      </c>
      <c r="AJ272" s="798">
        <f t="shared" si="200"/>
        <v>0</v>
      </c>
      <c r="AK272" s="798">
        <f t="shared" si="200"/>
        <v>-60916274.722085506</v>
      </c>
      <c r="AL272" s="798">
        <f t="shared" si="200"/>
        <v>0</v>
      </c>
      <c r="AM272" s="798">
        <f t="shared" si="200"/>
        <v>0</v>
      </c>
      <c r="AN272" s="798">
        <f t="shared" si="200"/>
        <v>0</v>
      </c>
      <c r="AO272" s="798">
        <f t="shared" si="200"/>
        <v>0</v>
      </c>
      <c r="AP272" s="798">
        <f t="shared" si="200"/>
        <v>0</v>
      </c>
      <c r="AQ272" s="798">
        <f t="shared" si="200"/>
        <v>0</v>
      </c>
      <c r="AR272" s="798">
        <f t="shared" si="200"/>
        <v>0</v>
      </c>
      <c r="AS272" s="798">
        <f t="shared" si="200"/>
        <v>0</v>
      </c>
      <c r="AT272" s="798">
        <f t="shared" si="200"/>
        <v>0</v>
      </c>
      <c r="AU272" s="798">
        <f t="shared" si="200"/>
        <v>0</v>
      </c>
      <c r="AV272" s="798">
        <f t="shared" si="200"/>
        <v>0</v>
      </c>
      <c r="AW272" s="798">
        <f t="shared" si="200"/>
        <v>0</v>
      </c>
      <c r="AX272" s="798">
        <f t="shared" si="200"/>
        <v>0</v>
      </c>
      <c r="AY272" s="798">
        <f t="shared" si="200"/>
        <v>0</v>
      </c>
      <c r="AZ272" s="798">
        <f t="shared" si="200"/>
        <v>0</v>
      </c>
      <c r="BA272" s="798">
        <f t="shared" si="200"/>
        <v>0</v>
      </c>
      <c r="BB272" s="798">
        <f t="shared" si="200"/>
        <v>0</v>
      </c>
      <c r="BC272" s="798">
        <f t="shared" si="200"/>
        <v>0</v>
      </c>
      <c r="BD272" s="798">
        <f t="shared" si="200"/>
        <v>0</v>
      </c>
      <c r="BE272" s="798">
        <f t="shared" si="200"/>
        <v>0</v>
      </c>
      <c r="BF272" s="798">
        <f t="shared" si="200"/>
        <v>0</v>
      </c>
      <c r="BG272" s="798">
        <f t="shared" si="200"/>
        <v>0</v>
      </c>
      <c r="BH272" s="798">
        <f t="shared" si="200"/>
        <v>0</v>
      </c>
      <c r="BI272" s="798">
        <f t="shared" si="200"/>
        <v>0</v>
      </c>
      <c r="BJ272" s="798">
        <f t="shared" si="200"/>
        <v>0</v>
      </c>
      <c r="BK272" s="798">
        <f t="shared" si="200"/>
        <v>0</v>
      </c>
      <c r="BL272" s="798">
        <f t="shared" si="200"/>
        <v>0</v>
      </c>
      <c r="BM272" s="798">
        <f t="shared" si="200"/>
        <v>0</v>
      </c>
      <c r="BN272" s="798">
        <f t="shared" si="200"/>
        <v>0</v>
      </c>
      <c r="BO272" s="798">
        <f t="shared" si="200"/>
        <v>0</v>
      </c>
      <c r="BP272" s="798">
        <f t="shared" si="200"/>
        <v>0</v>
      </c>
      <c r="BQ272" s="798">
        <f t="shared" ref="BQ272:DU272" si="201">IF(BQ265&lt;0,BQ265,0)</f>
        <v>0</v>
      </c>
      <c r="BR272" s="798">
        <f t="shared" si="201"/>
        <v>0</v>
      </c>
      <c r="BS272" s="798">
        <f t="shared" si="201"/>
        <v>0</v>
      </c>
      <c r="BT272" s="798">
        <f t="shared" si="201"/>
        <v>0</v>
      </c>
      <c r="BU272" s="798">
        <f t="shared" si="201"/>
        <v>0</v>
      </c>
      <c r="BV272" s="798">
        <f t="shared" si="201"/>
        <v>0</v>
      </c>
      <c r="BW272" s="798">
        <f t="shared" si="201"/>
        <v>0</v>
      </c>
      <c r="BX272" s="798">
        <f t="shared" si="201"/>
        <v>0</v>
      </c>
      <c r="BY272" s="798">
        <f t="shared" si="201"/>
        <v>0</v>
      </c>
      <c r="BZ272" s="798">
        <f t="shared" si="201"/>
        <v>0</v>
      </c>
      <c r="CA272" s="798">
        <f t="shared" si="201"/>
        <v>0</v>
      </c>
      <c r="CB272" s="798">
        <f t="shared" si="201"/>
        <v>0</v>
      </c>
      <c r="CC272" s="798">
        <f t="shared" si="201"/>
        <v>0</v>
      </c>
      <c r="CD272" s="798">
        <f t="shared" si="201"/>
        <v>0</v>
      </c>
      <c r="CE272" s="798">
        <f t="shared" si="201"/>
        <v>0</v>
      </c>
      <c r="CF272" s="798">
        <f t="shared" si="201"/>
        <v>0</v>
      </c>
      <c r="CG272" s="798">
        <f t="shared" si="201"/>
        <v>0</v>
      </c>
      <c r="CH272" s="798">
        <f t="shared" si="201"/>
        <v>0</v>
      </c>
      <c r="CI272" s="798">
        <f t="shared" si="201"/>
        <v>0</v>
      </c>
      <c r="CJ272" s="798">
        <f t="shared" si="201"/>
        <v>0</v>
      </c>
      <c r="CK272" s="798">
        <f t="shared" si="201"/>
        <v>0</v>
      </c>
      <c r="CL272" s="798">
        <f t="shared" si="201"/>
        <v>0</v>
      </c>
      <c r="CM272" s="798">
        <f t="shared" si="201"/>
        <v>0</v>
      </c>
      <c r="CN272" s="798">
        <f t="shared" si="201"/>
        <v>0</v>
      </c>
      <c r="CO272" s="798">
        <f t="shared" si="201"/>
        <v>0</v>
      </c>
      <c r="CP272" s="798">
        <f t="shared" si="201"/>
        <v>0</v>
      </c>
      <c r="CQ272" s="798">
        <f t="shared" si="201"/>
        <v>0</v>
      </c>
      <c r="CR272" s="798">
        <f t="shared" si="201"/>
        <v>0</v>
      </c>
      <c r="CS272" s="798">
        <f t="shared" si="201"/>
        <v>0</v>
      </c>
      <c r="CT272" s="798">
        <f t="shared" si="201"/>
        <v>0</v>
      </c>
      <c r="CU272" s="798">
        <f t="shared" si="201"/>
        <v>0</v>
      </c>
      <c r="CV272" s="798">
        <f t="shared" si="201"/>
        <v>0</v>
      </c>
      <c r="CW272" s="798">
        <f t="shared" si="201"/>
        <v>0</v>
      </c>
      <c r="CX272" s="798">
        <f t="shared" si="201"/>
        <v>0</v>
      </c>
      <c r="CY272" s="798">
        <f t="shared" si="201"/>
        <v>0</v>
      </c>
      <c r="CZ272" s="798">
        <f t="shared" si="201"/>
        <v>0</v>
      </c>
      <c r="DA272" s="798">
        <f t="shared" si="201"/>
        <v>0</v>
      </c>
      <c r="DB272" s="798">
        <f t="shared" si="201"/>
        <v>0</v>
      </c>
      <c r="DC272" s="798">
        <f t="shared" si="201"/>
        <v>0</v>
      </c>
      <c r="DD272" s="798">
        <f t="shared" si="201"/>
        <v>0</v>
      </c>
      <c r="DE272" s="798">
        <f t="shared" si="201"/>
        <v>0</v>
      </c>
      <c r="DF272" s="798">
        <f t="shared" si="201"/>
        <v>0</v>
      </c>
      <c r="DG272" s="798">
        <f t="shared" si="201"/>
        <v>0</v>
      </c>
      <c r="DH272" s="798">
        <f t="shared" si="201"/>
        <v>0</v>
      </c>
      <c r="DI272" s="798">
        <f t="shared" si="201"/>
        <v>0</v>
      </c>
      <c r="DJ272" s="798">
        <f t="shared" si="201"/>
        <v>0</v>
      </c>
      <c r="DK272" s="798">
        <f t="shared" si="201"/>
        <v>0</v>
      </c>
      <c r="DL272" s="798">
        <f t="shared" si="201"/>
        <v>0</v>
      </c>
      <c r="DM272" s="798">
        <f t="shared" si="201"/>
        <v>0</v>
      </c>
      <c r="DN272" s="798">
        <f t="shared" si="201"/>
        <v>0</v>
      </c>
      <c r="DO272" s="798">
        <f t="shared" si="201"/>
        <v>0</v>
      </c>
      <c r="DP272" s="798">
        <f t="shared" si="201"/>
        <v>0</v>
      </c>
      <c r="DQ272" s="798">
        <f t="shared" si="201"/>
        <v>0</v>
      </c>
      <c r="DR272" s="798">
        <f t="shared" si="201"/>
        <v>0</v>
      </c>
      <c r="DS272" s="798">
        <f t="shared" si="201"/>
        <v>0</v>
      </c>
      <c r="DT272" s="798">
        <f t="shared" si="201"/>
        <v>0</v>
      </c>
      <c r="DU272" s="798">
        <f t="shared" si="201"/>
        <v>0</v>
      </c>
      <c r="DV272" s="798"/>
      <c r="DW272" s="798"/>
      <c r="DX272" s="798"/>
      <c r="DY272" s="798"/>
      <c r="DZ272" s="798"/>
      <c r="EA272" s="798"/>
      <c r="EB272" s="798"/>
      <c r="EC272" s="798"/>
      <c r="ED272" s="798"/>
      <c r="EE272" s="798"/>
      <c r="EF272" s="798"/>
      <c r="EG272" s="798"/>
      <c r="EH272" s="782"/>
    </row>
    <row r="273" spans="1:138" ht="12.75" customHeight="1" x14ac:dyDescent="0.3">
      <c r="A273" s="782"/>
      <c r="B273" s="781" t="s">
        <v>158</v>
      </c>
      <c r="C273" s="799"/>
      <c r="D273" s="781"/>
      <c r="E273" s="799">
        <f t="shared" ref="E273:BP273" si="202">IF(E265&gt;0,E265,0)</f>
        <v>0</v>
      </c>
      <c r="F273" s="799">
        <f t="shared" si="202"/>
        <v>0</v>
      </c>
      <c r="G273" s="799">
        <f t="shared" si="202"/>
        <v>0</v>
      </c>
      <c r="H273" s="799">
        <f t="shared" si="202"/>
        <v>0</v>
      </c>
      <c r="I273" s="799">
        <f t="shared" si="202"/>
        <v>0</v>
      </c>
      <c r="J273" s="799">
        <f t="shared" si="202"/>
        <v>0</v>
      </c>
      <c r="K273" s="799">
        <f t="shared" si="202"/>
        <v>0</v>
      </c>
      <c r="L273" s="799">
        <f t="shared" si="202"/>
        <v>0</v>
      </c>
      <c r="M273" s="799">
        <f t="shared" si="202"/>
        <v>0</v>
      </c>
      <c r="N273" s="799">
        <f t="shared" si="202"/>
        <v>0</v>
      </c>
      <c r="O273" s="799">
        <f t="shared" si="202"/>
        <v>0</v>
      </c>
      <c r="P273" s="799">
        <f t="shared" si="202"/>
        <v>0</v>
      </c>
      <c r="Q273" s="799">
        <f t="shared" si="202"/>
        <v>0</v>
      </c>
      <c r="R273" s="799">
        <f t="shared" si="202"/>
        <v>0</v>
      </c>
      <c r="S273" s="799">
        <f t="shared" si="202"/>
        <v>0</v>
      </c>
      <c r="T273" s="799">
        <f t="shared" si="202"/>
        <v>0</v>
      </c>
      <c r="U273" s="799">
        <f t="shared" si="202"/>
        <v>0</v>
      </c>
      <c r="V273" s="799">
        <f t="shared" si="202"/>
        <v>0</v>
      </c>
      <c r="W273" s="799">
        <f t="shared" si="202"/>
        <v>0</v>
      </c>
      <c r="X273" s="799">
        <f t="shared" si="202"/>
        <v>0</v>
      </c>
      <c r="Y273" s="799">
        <f t="shared" si="202"/>
        <v>0</v>
      </c>
      <c r="Z273" s="799">
        <f t="shared" si="202"/>
        <v>0</v>
      </c>
      <c r="AA273" s="799">
        <f t="shared" si="202"/>
        <v>0</v>
      </c>
      <c r="AB273" s="799">
        <f t="shared" si="202"/>
        <v>0</v>
      </c>
      <c r="AC273" s="799">
        <f t="shared" si="202"/>
        <v>0</v>
      </c>
      <c r="AD273" s="799">
        <f t="shared" si="202"/>
        <v>0</v>
      </c>
      <c r="AE273" s="799">
        <f t="shared" si="202"/>
        <v>0</v>
      </c>
      <c r="AF273" s="799">
        <f t="shared" si="202"/>
        <v>0</v>
      </c>
      <c r="AG273" s="799">
        <f t="shared" si="202"/>
        <v>0</v>
      </c>
      <c r="AH273" s="799">
        <f t="shared" si="202"/>
        <v>0</v>
      </c>
      <c r="AI273" s="799">
        <f t="shared" si="202"/>
        <v>0</v>
      </c>
      <c r="AJ273" s="799">
        <f t="shared" si="202"/>
        <v>0</v>
      </c>
      <c r="AK273" s="799">
        <f t="shared" si="202"/>
        <v>0</v>
      </c>
      <c r="AL273" s="799">
        <f t="shared" si="202"/>
        <v>14315530.3242827</v>
      </c>
      <c r="AM273" s="799">
        <f t="shared" si="202"/>
        <v>205293.34606116661</v>
      </c>
      <c r="AN273" s="799">
        <f t="shared" si="202"/>
        <v>207793.40423970085</v>
      </c>
      <c r="AO273" s="799">
        <f t="shared" si="202"/>
        <v>210260.10262606523</v>
      </c>
      <c r="AP273" s="799">
        <f t="shared" si="202"/>
        <v>211885.65974115423</v>
      </c>
      <c r="AQ273" s="799">
        <f t="shared" si="202"/>
        <v>215188.01193420406</v>
      </c>
      <c r="AR273" s="799">
        <f t="shared" si="202"/>
        <v>218012.9416200624</v>
      </c>
      <c r="AS273" s="799">
        <f t="shared" si="202"/>
        <v>213181.07686987985</v>
      </c>
      <c r="AT273" s="799">
        <f t="shared" si="202"/>
        <v>214770.00861920218</v>
      </c>
      <c r="AU273" s="799">
        <f t="shared" si="202"/>
        <v>216264.46058470523</v>
      </c>
      <c r="AV273" s="799">
        <f t="shared" si="202"/>
        <v>218515.59404432448</v>
      </c>
      <c r="AW273" s="799">
        <f t="shared" si="202"/>
        <v>220675.94358853242</v>
      </c>
      <c r="AX273" s="799">
        <f t="shared" si="202"/>
        <v>222710.56184153532</v>
      </c>
      <c r="AY273" s="799">
        <f t="shared" si="202"/>
        <v>224665.72728851769</v>
      </c>
      <c r="AZ273" s="799">
        <f t="shared" si="202"/>
        <v>226548.52262565284</v>
      </c>
      <c r="BA273" s="799">
        <f t="shared" si="202"/>
        <v>228304.85297686295</v>
      </c>
      <c r="BB273" s="799">
        <f t="shared" si="202"/>
        <v>229344.9930368007</v>
      </c>
      <c r="BC273" s="799">
        <f t="shared" si="202"/>
        <v>231542.10904179295</v>
      </c>
      <c r="BD273" s="799">
        <f t="shared" si="202"/>
        <v>233317.7080138704</v>
      </c>
      <c r="BE273" s="799">
        <f t="shared" si="202"/>
        <v>229013.16839337221</v>
      </c>
      <c r="BF273" s="799">
        <f t="shared" si="202"/>
        <v>229911.66091752306</v>
      </c>
      <c r="BG273" s="799">
        <f t="shared" si="202"/>
        <v>230813.78680437503</v>
      </c>
      <c r="BH273" s="799">
        <f t="shared" si="202"/>
        <v>232345.63973502186</v>
      </c>
      <c r="BI273" s="799">
        <f t="shared" si="202"/>
        <v>233902.4265315792</v>
      </c>
      <c r="BJ273" s="799">
        <f t="shared" si="202"/>
        <v>235545.94755839423</v>
      </c>
      <c r="BK273" s="799">
        <f t="shared" si="202"/>
        <v>237262.50476525677</v>
      </c>
      <c r="BL273" s="799">
        <f t="shared" si="202"/>
        <v>238991.57351446556</v>
      </c>
      <c r="BM273" s="799">
        <f t="shared" si="202"/>
        <v>240811.21361387809</v>
      </c>
      <c r="BN273" s="799">
        <f t="shared" si="202"/>
        <v>242002.34658988175</v>
      </c>
      <c r="BO273" s="799">
        <f t="shared" si="202"/>
        <v>244627.30669974274</v>
      </c>
      <c r="BP273" s="799">
        <f t="shared" si="202"/>
        <v>246922.0418636211</v>
      </c>
      <c r="BQ273" s="799">
        <f t="shared" ref="BQ273:DU273" si="203">IF(BQ265&gt;0,BQ265,0)</f>
        <v>242733.25370419392</v>
      </c>
      <c r="BR273" s="799">
        <f t="shared" si="203"/>
        <v>244033.96696505454</v>
      </c>
      <c r="BS273" s="799">
        <f t="shared" si="203"/>
        <v>245313.14997026659</v>
      </c>
      <c r="BT273" s="799">
        <f t="shared" si="203"/>
        <v>247377.11673495109</v>
      </c>
      <c r="BU273" s="799">
        <f t="shared" si="203"/>
        <v>249414.97281073497</v>
      </c>
      <c r="BV273" s="799">
        <f t="shared" si="203"/>
        <v>251479.3205969065</v>
      </c>
      <c r="BW273" s="799">
        <f t="shared" si="203"/>
        <v>253576.88775609701</v>
      </c>
      <c r="BX273" s="799">
        <f t="shared" si="203"/>
        <v>255660.88139998799</v>
      </c>
      <c r="BY273" s="799">
        <f t="shared" si="203"/>
        <v>257780.55934433491</v>
      </c>
      <c r="BZ273" s="799">
        <f t="shared" si="203"/>
        <v>259130.53765731424</v>
      </c>
      <c r="CA273" s="799">
        <f t="shared" si="203"/>
        <v>262044.06866613019</v>
      </c>
      <c r="CB273" s="799">
        <f t="shared" si="203"/>
        <v>264568.88723862561</v>
      </c>
      <c r="CC273" s="799">
        <f t="shared" si="203"/>
        <v>260334.62676779419</v>
      </c>
      <c r="CD273" s="799">
        <f t="shared" si="203"/>
        <v>261766.27506953065</v>
      </c>
      <c r="CE273" s="799">
        <f t="shared" si="203"/>
        <v>263169.39895795332</v>
      </c>
      <c r="CF273" s="799">
        <f t="shared" si="203"/>
        <v>265374.12330500968</v>
      </c>
      <c r="CG273" s="799">
        <f t="shared" si="203"/>
        <v>267569.84631198365</v>
      </c>
      <c r="CH273" s="799">
        <f t="shared" si="203"/>
        <v>269785.75663471175</v>
      </c>
      <c r="CI273" s="799">
        <f t="shared" si="203"/>
        <v>271981.27502716507</v>
      </c>
      <c r="CJ273" s="799">
        <f t="shared" si="203"/>
        <v>274209.9614994725</v>
      </c>
      <c r="CK273" s="799">
        <f t="shared" si="203"/>
        <v>276471.37765448482</v>
      </c>
      <c r="CL273" s="799">
        <f t="shared" si="203"/>
        <v>277910.21305872517</v>
      </c>
      <c r="CM273" s="799">
        <f t="shared" si="203"/>
        <v>280971.24051798158</v>
      </c>
      <c r="CN273" s="799">
        <f t="shared" si="203"/>
        <v>283611.40197433194</v>
      </c>
      <c r="CO273" s="799">
        <f t="shared" si="203"/>
        <v>279273.11677509604</v>
      </c>
      <c r="CP273" s="799">
        <f t="shared" si="203"/>
        <v>280770.93938649778</v>
      </c>
      <c r="CQ273" s="799">
        <f t="shared" si="203"/>
        <v>282239.46279127692</v>
      </c>
      <c r="CR273" s="799">
        <f t="shared" si="203"/>
        <v>284516.27143163967</v>
      </c>
      <c r="CS273" s="799">
        <f t="shared" si="203"/>
        <v>286814.10642290174</v>
      </c>
      <c r="CT273" s="799">
        <f t="shared" si="203"/>
        <v>289146.38855799765</v>
      </c>
      <c r="CU273" s="799">
        <f t="shared" si="203"/>
        <v>291451.51423692808</v>
      </c>
      <c r="CV273" s="799">
        <f t="shared" si="203"/>
        <v>293779.70006957493</v>
      </c>
      <c r="CW273" s="799">
        <f t="shared" si="203"/>
        <v>72613507.873999998</v>
      </c>
      <c r="CX273" s="799">
        <f t="shared" si="203"/>
        <v>0</v>
      </c>
      <c r="CY273" s="799">
        <f t="shared" si="203"/>
        <v>0</v>
      </c>
      <c r="CZ273" s="799">
        <f t="shared" si="203"/>
        <v>0</v>
      </c>
      <c r="DA273" s="799">
        <f t="shared" si="203"/>
        <v>0</v>
      </c>
      <c r="DB273" s="799">
        <f t="shared" si="203"/>
        <v>0</v>
      </c>
      <c r="DC273" s="799">
        <f t="shared" si="203"/>
        <v>0</v>
      </c>
      <c r="DD273" s="799">
        <f t="shared" si="203"/>
        <v>0</v>
      </c>
      <c r="DE273" s="799">
        <f t="shared" si="203"/>
        <v>0</v>
      </c>
      <c r="DF273" s="799">
        <f t="shared" si="203"/>
        <v>0</v>
      </c>
      <c r="DG273" s="799">
        <f t="shared" si="203"/>
        <v>0</v>
      </c>
      <c r="DH273" s="799">
        <f t="shared" si="203"/>
        <v>0</v>
      </c>
      <c r="DI273" s="799">
        <f t="shared" si="203"/>
        <v>0</v>
      </c>
      <c r="DJ273" s="799">
        <f t="shared" si="203"/>
        <v>0</v>
      </c>
      <c r="DK273" s="799">
        <f t="shared" si="203"/>
        <v>0</v>
      </c>
      <c r="DL273" s="799">
        <f t="shared" si="203"/>
        <v>0</v>
      </c>
      <c r="DM273" s="799">
        <f t="shared" si="203"/>
        <v>0</v>
      </c>
      <c r="DN273" s="799">
        <f t="shared" si="203"/>
        <v>0</v>
      </c>
      <c r="DO273" s="799">
        <f t="shared" si="203"/>
        <v>0</v>
      </c>
      <c r="DP273" s="799">
        <f t="shared" si="203"/>
        <v>0</v>
      </c>
      <c r="DQ273" s="799">
        <f t="shared" si="203"/>
        <v>0</v>
      </c>
      <c r="DR273" s="799">
        <f t="shared" si="203"/>
        <v>0</v>
      </c>
      <c r="DS273" s="799">
        <f t="shared" si="203"/>
        <v>0</v>
      </c>
      <c r="DT273" s="799">
        <f t="shared" si="203"/>
        <v>0</v>
      </c>
      <c r="DU273" s="799">
        <f t="shared" si="203"/>
        <v>0</v>
      </c>
      <c r="DV273" s="798"/>
      <c r="DW273" s="798"/>
      <c r="DX273" s="798"/>
      <c r="DY273" s="798"/>
      <c r="DZ273" s="798"/>
      <c r="EA273" s="798"/>
      <c r="EB273" s="798"/>
      <c r="EC273" s="798"/>
      <c r="ED273" s="798"/>
      <c r="EE273" s="798"/>
      <c r="EF273" s="798"/>
      <c r="EG273" s="798"/>
      <c r="EH273" s="782"/>
    </row>
    <row r="274" spans="1:138" ht="12.75" customHeight="1" x14ac:dyDescent="0.3">
      <c r="A274" s="782"/>
      <c r="B274" s="782" t="s">
        <v>159</v>
      </c>
      <c r="C274" s="798"/>
      <c r="D274" s="782"/>
      <c r="E274" s="798">
        <f t="shared" ref="E274:AJ274" si="204">SUM(E270:E273)</f>
        <v>0</v>
      </c>
      <c r="F274" s="798">
        <f t="shared" si="204"/>
        <v>0</v>
      </c>
      <c r="G274" s="798">
        <f t="shared" si="204"/>
        <v>0</v>
      </c>
      <c r="H274" s="798">
        <f>SUM(H270:H273)</f>
        <v>0</v>
      </c>
      <c r="I274" s="798">
        <f>SUM(I270:I273)</f>
        <v>0</v>
      </c>
      <c r="J274" s="798">
        <f>SUM(J270:J273)</f>
        <v>0</v>
      </c>
      <c r="K274" s="798">
        <f t="shared" si="204"/>
        <v>0</v>
      </c>
      <c r="L274" s="798">
        <f t="shared" si="204"/>
        <v>0</v>
      </c>
      <c r="M274" s="798">
        <f t="shared" si="204"/>
        <v>0</v>
      </c>
      <c r="N274" s="798">
        <f t="shared" si="204"/>
        <v>0</v>
      </c>
      <c r="O274" s="798">
        <f t="shared" si="204"/>
        <v>0</v>
      </c>
      <c r="P274" s="798">
        <f t="shared" si="204"/>
        <v>0</v>
      </c>
      <c r="Q274" s="798">
        <f t="shared" si="204"/>
        <v>0</v>
      </c>
      <c r="R274" s="798">
        <f t="shared" si="204"/>
        <v>0</v>
      </c>
      <c r="S274" s="798">
        <f t="shared" si="204"/>
        <v>0</v>
      </c>
      <c r="T274" s="798">
        <f t="shared" si="204"/>
        <v>0</v>
      </c>
      <c r="U274" s="798">
        <f t="shared" si="204"/>
        <v>0</v>
      </c>
      <c r="V274" s="798">
        <f t="shared" si="204"/>
        <v>0</v>
      </c>
      <c r="W274" s="798">
        <f t="shared" si="204"/>
        <v>0</v>
      </c>
      <c r="X274" s="798">
        <f t="shared" si="204"/>
        <v>0</v>
      </c>
      <c r="Y274" s="798">
        <f t="shared" si="204"/>
        <v>0</v>
      </c>
      <c r="Z274" s="798">
        <f t="shared" si="204"/>
        <v>0</v>
      </c>
      <c r="AA274" s="798">
        <f t="shared" si="204"/>
        <v>0</v>
      </c>
      <c r="AB274" s="798">
        <f t="shared" si="204"/>
        <v>0</v>
      </c>
      <c r="AC274" s="798">
        <f t="shared" si="204"/>
        <v>0</v>
      </c>
      <c r="AD274" s="798">
        <f t="shared" si="204"/>
        <v>0</v>
      </c>
      <c r="AE274" s="798">
        <f t="shared" si="204"/>
        <v>0</v>
      </c>
      <c r="AF274" s="798">
        <f t="shared" si="204"/>
        <v>0</v>
      </c>
      <c r="AG274" s="798">
        <f t="shared" si="204"/>
        <v>0</v>
      </c>
      <c r="AH274" s="798">
        <f t="shared" si="204"/>
        <v>0</v>
      </c>
      <c r="AI274" s="798">
        <f t="shared" si="204"/>
        <v>0</v>
      </c>
      <c r="AJ274" s="798">
        <f t="shared" si="204"/>
        <v>0</v>
      </c>
      <c r="AK274" s="798">
        <f t="shared" ref="AK274:CV274" si="205">SUM(AK270:AK273)</f>
        <v>-60916274.722085506</v>
      </c>
      <c r="AL274" s="798">
        <f t="shared" si="205"/>
        <v>-47012264.711641699</v>
      </c>
      <c r="AM274" s="798">
        <f t="shared" si="205"/>
        <v>-47114284.740226179</v>
      </c>
      <c r="AN274" s="798">
        <f t="shared" si="205"/>
        <v>-47224772.211352676</v>
      </c>
      <c r="AO274" s="798">
        <f t="shared" si="205"/>
        <v>-47333539.382965699</v>
      </c>
      <c r="AP274" s="798">
        <f t="shared" si="205"/>
        <v>-47431067.230761856</v>
      </c>
      <c r="AQ274" s="798">
        <f t="shared" si="205"/>
        <v>-47536300.12049254</v>
      </c>
      <c r="AR274" s="798">
        <f t="shared" si="205"/>
        <v>-47629026.10833697</v>
      </c>
      <c r="AS274" s="798">
        <f t="shared" si="205"/>
        <v>-47737603.245694153</v>
      </c>
      <c r="AT274" s="798">
        <f t="shared" si="205"/>
        <v>-47845324.944901958</v>
      </c>
      <c r="AU274" s="798">
        <f t="shared" si="205"/>
        <v>-47920905.413526624</v>
      </c>
      <c r="AV274" s="798">
        <f t="shared" si="205"/>
        <v>-48026119.826367773</v>
      </c>
      <c r="AW274" s="798">
        <f t="shared" si="205"/>
        <v>-48119384.703233324</v>
      </c>
      <c r="AX274" s="798">
        <f t="shared" si="205"/>
        <v>-48221744.97648719</v>
      </c>
      <c r="AY274" s="798">
        <f t="shared" si="205"/>
        <v>-48312298.847125351</v>
      </c>
      <c r="AZ274" s="798">
        <f t="shared" si="205"/>
        <v>-48412124.392424099</v>
      </c>
      <c r="BA274" s="798">
        <f t="shared" si="205"/>
        <v>-48510867.979531094</v>
      </c>
      <c r="BB274" s="798">
        <f t="shared" si="205"/>
        <v>-48598632.545823552</v>
      </c>
      <c r="BC274" s="798">
        <f t="shared" si="205"/>
        <v>-48695398.833981685</v>
      </c>
      <c r="BD274" s="798">
        <f t="shared" si="205"/>
        <v>-48780396.940727554</v>
      </c>
      <c r="BE274" s="798">
        <f t="shared" si="205"/>
        <v>-48880920.08015696</v>
      </c>
      <c r="BF274" s="798">
        <f t="shared" si="205"/>
        <v>-48981223.811823636</v>
      </c>
      <c r="BG274" s="798">
        <f t="shared" si="205"/>
        <v>-49059887.790193789</v>
      </c>
      <c r="BH274" s="798">
        <f t="shared" si="205"/>
        <v>-49158966.560641915</v>
      </c>
      <c r="BI274" s="798">
        <f t="shared" si="205"/>
        <v>-49246410.233910173</v>
      </c>
      <c r="BJ274" s="798">
        <f t="shared" si="205"/>
        <v>-49343548.750189327</v>
      </c>
      <c r="BK274" s="798">
        <f t="shared" si="205"/>
        <v>-49428838.936225578</v>
      </c>
      <c r="BL274" s="798">
        <f t="shared" si="205"/>
        <v>-49523764.224904798</v>
      </c>
      <c r="BM274" s="798">
        <f t="shared" si="205"/>
        <v>-49617511.141926698</v>
      </c>
      <c r="BN274" s="798">
        <f t="shared" si="205"/>
        <v>-49699852.344495125</v>
      </c>
      <c r="BO274" s="798">
        <f t="shared" si="205"/>
        <v>-49790972.732936993</v>
      </c>
      <c r="BP274" s="798">
        <f t="shared" si="205"/>
        <v>-49869528.137252629</v>
      </c>
      <c r="BQ274" s="798">
        <f t="shared" si="205"/>
        <v>-49963688.824677758</v>
      </c>
      <c r="BR274" s="798">
        <f t="shared" si="205"/>
        <v>-50057184.90201506</v>
      </c>
      <c r="BS274" s="798">
        <f t="shared" si="205"/>
        <v>-50117208.492906578</v>
      </c>
      <c r="BT274" s="798">
        <f t="shared" si="205"/>
        <v>-50208398.523651063</v>
      </c>
      <c r="BU274" s="798">
        <f t="shared" si="205"/>
        <v>-50287189.657916799</v>
      </c>
      <c r="BV274" s="798">
        <f t="shared" si="205"/>
        <v>-50375425.793731399</v>
      </c>
      <c r="BW274" s="798">
        <f t="shared" si="205"/>
        <v>-50451146.849710599</v>
      </c>
      <c r="BX274" s="798">
        <f t="shared" si="205"/>
        <v>-50536309.038661592</v>
      </c>
      <c r="BY274" s="798">
        <f t="shared" si="205"/>
        <v>-50619926.863422796</v>
      </c>
      <c r="BZ274" s="798">
        <f t="shared" si="205"/>
        <v>-50691692.542829923</v>
      </c>
      <c r="CA274" s="798">
        <f t="shared" si="205"/>
        <v>-50772096.552602954</v>
      </c>
      <c r="CB274" s="798">
        <f t="shared" si="205"/>
        <v>-50839418.59691418</v>
      </c>
      <c r="CC274" s="798">
        <f t="shared" si="205"/>
        <v>-50922530.012962326</v>
      </c>
      <c r="CD274" s="798">
        <f t="shared" si="205"/>
        <v>-51004771.240452819</v>
      </c>
      <c r="CE274" s="798">
        <f t="shared" si="205"/>
        <v>-51052718.630212516</v>
      </c>
      <c r="CF274" s="798">
        <f t="shared" si="205"/>
        <v>-51132231.49956888</v>
      </c>
      <c r="CG274" s="798">
        <f t="shared" si="205"/>
        <v>-51198906.742526203</v>
      </c>
      <c r="CH274" s="798">
        <f t="shared" si="205"/>
        <v>-51274995.553353406</v>
      </c>
      <c r="CI274" s="798">
        <f t="shared" si="205"/>
        <v>-51338192.598602727</v>
      </c>
      <c r="CJ274" s="798">
        <f t="shared" si="205"/>
        <v>-51410798.151126124</v>
      </c>
      <c r="CK274" s="798">
        <f t="shared" si="205"/>
        <v>-51481632.774805121</v>
      </c>
      <c r="CL274" s="798">
        <f t="shared" si="205"/>
        <v>-51540251.644047245</v>
      </c>
      <c r="CM274" s="798">
        <f t="shared" si="205"/>
        <v>-51607460.928826623</v>
      </c>
      <c r="CN274" s="798">
        <f t="shared" si="205"/>
        <v>-51661201.132272899</v>
      </c>
      <c r="CO274" s="798">
        <f t="shared" si="205"/>
        <v>-51730925.615896694</v>
      </c>
      <c r="CP274" s="798">
        <f t="shared" si="205"/>
        <v>-51799623.301138885</v>
      </c>
      <c r="CQ274" s="798">
        <f t="shared" si="205"/>
        <v>-51833349.032706767</v>
      </c>
      <c r="CR274" s="798">
        <f t="shared" si="205"/>
        <v>-51898993.308002174</v>
      </c>
      <c r="CS274" s="798">
        <f t="shared" si="205"/>
        <v>-51951436.518197007</v>
      </c>
      <c r="CT274" s="798">
        <f t="shared" si="205"/>
        <v>-52013248.417188376</v>
      </c>
      <c r="CU274" s="798">
        <f t="shared" si="205"/>
        <v>-52061801.09112259</v>
      </c>
      <c r="CV274" s="798">
        <f t="shared" si="205"/>
        <v>-52119725.247235626</v>
      </c>
      <c r="CW274" s="798">
        <f t="shared" ref="CW274:DU274" si="206">SUM(CW270:CW273)</f>
        <v>20141687.463545814</v>
      </c>
      <c r="CX274" s="798">
        <f t="shared" si="206"/>
        <v>20273351.18967019</v>
      </c>
      <c r="CY274" s="798">
        <f t="shared" si="206"/>
        <v>20410307.953395508</v>
      </c>
      <c r="CZ274" s="798">
        <f t="shared" si="206"/>
        <v>20543727.618523058</v>
      </c>
      <c r="DA274" s="798">
        <f t="shared" si="206"/>
        <v>20682510.912077453</v>
      </c>
      <c r="DB274" s="798">
        <f t="shared" si="206"/>
        <v>20822231.75712822</v>
      </c>
      <c r="DC274" s="798">
        <f t="shared" si="206"/>
        <v>20953792.735982053</v>
      </c>
      <c r="DD274" s="798">
        <f t="shared" si="206"/>
        <v>21095346.227264412</v>
      </c>
      <c r="DE274" s="798">
        <f t="shared" si="206"/>
        <v>21233243.903076943</v>
      </c>
      <c r="DF274" s="798">
        <f t="shared" si="206"/>
        <v>21376685.228645135</v>
      </c>
      <c r="DG274" s="798">
        <f t="shared" si="206"/>
        <v>21516421.982801672</v>
      </c>
      <c r="DH274" s="798">
        <f t="shared" si="206"/>
        <v>21661776.31983966</v>
      </c>
      <c r="DI274" s="798">
        <f t="shared" si="206"/>
        <v>21808112.599103574</v>
      </c>
      <c r="DJ274" s="798">
        <f t="shared" si="206"/>
        <v>21950669.540756784</v>
      </c>
      <c r="DK274" s="798">
        <f t="shared" si="206"/>
        <v>22098957.44016622</v>
      </c>
      <c r="DL274" s="798">
        <f t="shared" si="206"/>
        <v>22243415.598664723</v>
      </c>
      <c r="DM274" s="798">
        <f t="shared" si="206"/>
        <v>22393681.146086533</v>
      </c>
      <c r="DN274" s="798">
        <f t="shared" si="206"/>
        <v>22544961.813449875</v>
      </c>
      <c r="DO274" s="798">
        <f t="shared" si="206"/>
        <v>22682480.63670066</v>
      </c>
      <c r="DP274" s="798">
        <f t="shared" si="206"/>
        <v>22835712.291013815</v>
      </c>
      <c r="DQ274" s="798">
        <f t="shared" si="206"/>
        <v>22984986.525080882</v>
      </c>
      <c r="DR274" s="798">
        <f t="shared" si="206"/>
        <v>23140261.760008451</v>
      </c>
      <c r="DS274" s="798">
        <f t="shared" si="206"/>
        <v>23291526.7963829</v>
      </c>
      <c r="DT274" s="798">
        <f t="shared" si="206"/>
        <v>23448872.86622652</v>
      </c>
      <c r="DU274" s="798">
        <f t="shared" si="206"/>
        <v>23607281.888529707</v>
      </c>
      <c r="DV274" s="798"/>
      <c r="DW274" s="798"/>
      <c r="DX274" s="798"/>
      <c r="DY274" s="798"/>
      <c r="DZ274" s="798"/>
      <c r="EA274" s="798"/>
      <c r="EB274" s="798"/>
      <c r="EC274" s="798"/>
      <c r="ED274" s="798"/>
      <c r="EE274" s="798"/>
      <c r="EF274" s="798"/>
      <c r="EG274" s="798"/>
      <c r="EH274" s="782"/>
    </row>
    <row r="275" spans="1:138" ht="12.75" customHeight="1" x14ac:dyDescent="0.3">
      <c r="A275" s="782"/>
      <c r="B275" s="782"/>
      <c r="C275" s="798"/>
      <c r="D275" s="782"/>
      <c r="E275" s="798"/>
      <c r="F275" s="798"/>
      <c r="G275" s="798"/>
      <c r="H275" s="798"/>
      <c r="I275" s="798"/>
      <c r="J275" s="798"/>
      <c r="K275" s="798"/>
      <c r="L275" s="798"/>
      <c r="M275" s="798"/>
      <c r="N275" s="798"/>
      <c r="O275" s="798"/>
      <c r="P275" s="798"/>
      <c r="Q275" s="798"/>
      <c r="R275" s="798"/>
      <c r="S275" s="798"/>
      <c r="T275" s="798"/>
      <c r="U275" s="798"/>
      <c r="V275" s="798"/>
      <c r="W275" s="798"/>
      <c r="X275" s="798"/>
      <c r="Y275" s="798"/>
      <c r="Z275" s="798"/>
      <c r="AA275" s="798"/>
      <c r="AB275" s="798"/>
      <c r="AC275" s="798"/>
      <c r="AD275" s="798"/>
      <c r="AE275" s="798"/>
      <c r="AF275" s="798"/>
      <c r="AG275" s="798"/>
      <c r="AH275" s="798"/>
      <c r="AI275" s="798"/>
      <c r="AJ275" s="798"/>
      <c r="AK275" s="798"/>
      <c r="AL275" s="798"/>
      <c r="AM275" s="798"/>
      <c r="AN275" s="798"/>
      <c r="AO275" s="798"/>
      <c r="AP275" s="798"/>
      <c r="AQ275" s="798"/>
      <c r="AR275" s="798"/>
      <c r="AS275" s="798"/>
      <c r="AT275" s="798"/>
      <c r="AU275" s="798"/>
      <c r="AV275" s="798"/>
      <c r="AW275" s="798"/>
      <c r="AX275" s="798"/>
      <c r="AY275" s="798"/>
      <c r="AZ275" s="798"/>
      <c r="BA275" s="798"/>
      <c r="BB275" s="798"/>
      <c r="BC275" s="798"/>
      <c r="BD275" s="798"/>
      <c r="BE275" s="798"/>
      <c r="BF275" s="798"/>
      <c r="BG275" s="798"/>
      <c r="BH275" s="798"/>
      <c r="BI275" s="798"/>
      <c r="BJ275" s="798"/>
      <c r="BK275" s="798"/>
      <c r="BL275" s="798"/>
      <c r="BM275" s="798"/>
      <c r="BN275" s="798"/>
      <c r="BO275" s="798"/>
      <c r="BP275" s="798"/>
      <c r="BQ275" s="798"/>
      <c r="BR275" s="798"/>
      <c r="BS275" s="798"/>
      <c r="BT275" s="798"/>
      <c r="BU275" s="798"/>
      <c r="BV275" s="798"/>
      <c r="BW275" s="798"/>
      <c r="BX275" s="798"/>
      <c r="BY275" s="798"/>
      <c r="BZ275" s="798"/>
      <c r="CA275" s="798"/>
      <c r="CB275" s="798"/>
      <c r="CC275" s="798"/>
      <c r="CD275" s="798"/>
      <c r="CE275" s="798"/>
      <c r="CF275" s="798"/>
      <c r="CG275" s="798"/>
      <c r="CH275" s="798"/>
      <c r="CI275" s="798"/>
      <c r="CJ275" s="798"/>
      <c r="CK275" s="798"/>
      <c r="CL275" s="798"/>
      <c r="CM275" s="798"/>
      <c r="CN275" s="798"/>
      <c r="CO275" s="798"/>
      <c r="CP275" s="798"/>
      <c r="CQ275" s="798"/>
      <c r="CR275" s="798"/>
      <c r="CS275" s="798"/>
      <c r="CT275" s="798"/>
      <c r="CU275" s="798"/>
      <c r="CV275" s="798"/>
      <c r="CW275" s="798"/>
      <c r="CX275" s="798"/>
      <c r="CY275" s="798"/>
      <c r="CZ275" s="798"/>
      <c r="DA275" s="798"/>
      <c r="DB275" s="798"/>
      <c r="DC275" s="798"/>
      <c r="DD275" s="798"/>
      <c r="DE275" s="798"/>
      <c r="DF275" s="798"/>
      <c r="DG275" s="798"/>
      <c r="DH275" s="798"/>
      <c r="DI275" s="798"/>
      <c r="DJ275" s="798"/>
      <c r="DK275" s="798"/>
      <c r="DL275" s="798"/>
      <c r="DM275" s="798"/>
      <c r="DN275" s="798"/>
      <c r="DO275" s="798"/>
      <c r="DP275" s="798"/>
      <c r="DQ275" s="798"/>
      <c r="DR275" s="798"/>
      <c r="DS275" s="798"/>
      <c r="DT275" s="798"/>
      <c r="DU275" s="798"/>
      <c r="DV275" s="798"/>
      <c r="DW275" s="798"/>
      <c r="DX275" s="798"/>
      <c r="DY275" s="798"/>
      <c r="DZ275" s="798"/>
      <c r="EA275" s="798"/>
      <c r="EB275" s="798"/>
      <c r="EC275" s="798"/>
      <c r="ED275" s="798"/>
      <c r="EE275" s="798"/>
      <c r="EF275" s="798"/>
      <c r="EG275" s="798"/>
      <c r="EH275" s="782"/>
    </row>
    <row r="276" spans="1:138" ht="12.75" customHeight="1" x14ac:dyDescent="0.3">
      <c r="A276" s="782"/>
      <c r="B276" s="781" t="s">
        <v>160</v>
      </c>
      <c r="C276" s="799"/>
      <c r="D276" s="781"/>
      <c r="E276" s="799">
        <f t="shared" ref="E276:AJ276" si="207">MAX(MIN(-SUM(E270:E271),E273),0)</f>
        <v>0</v>
      </c>
      <c r="F276" s="799">
        <f t="shared" si="207"/>
        <v>0</v>
      </c>
      <c r="G276" s="799">
        <f t="shared" si="207"/>
        <v>0</v>
      </c>
      <c r="H276" s="799">
        <f>MAX(MIN(-SUM(H270:H271),H273),0)</f>
        <v>0</v>
      </c>
      <c r="I276" s="799">
        <f>MAX(MIN(-SUM(I270:I271),I273),0)</f>
        <v>0</v>
      </c>
      <c r="J276" s="799">
        <f>MAX(MIN(-SUM(J270:J271),J273),0)</f>
        <v>0</v>
      </c>
      <c r="K276" s="799">
        <f t="shared" si="207"/>
        <v>0</v>
      </c>
      <c r="L276" s="799">
        <f t="shared" si="207"/>
        <v>0</v>
      </c>
      <c r="M276" s="799">
        <f t="shared" si="207"/>
        <v>0</v>
      </c>
      <c r="N276" s="799">
        <f t="shared" si="207"/>
        <v>0</v>
      </c>
      <c r="O276" s="799">
        <f t="shared" si="207"/>
        <v>0</v>
      </c>
      <c r="P276" s="799">
        <f t="shared" si="207"/>
        <v>0</v>
      </c>
      <c r="Q276" s="799">
        <f t="shared" si="207"/>
        <v>0</v>
      </c>
      <c r="R276" s="799">
        <f t="shared" si="207"/>
        <v>0</v>
      </c>
      <c r="S276" s="799">
        <f t="shared" si="207"/>
        <v>0</v>
      </c>
      <c r="T276" s="799">
        <f t="shared" si="207"/>
        <v>0</v>
      </c>
      <c r="U276" s="799">
        <f t="shared" si="207"/>
        <v>0</v>
      </c>
      <c r="V276" s="799">
        <f t="shared" si="207"/>
        <v>0</v>
      </c>
      <c r="W276" s="799">
        <f t="shared" si="207"/>
        <v>0</v>
      </c>
      <c r="X276" s="799">
        <f t="shared" si="207"/>
        <v>0</v>
      </c>
      <c r="Y276" s="799">
        <f t="shared" si="207"/>
        <v>0</v>
      </c>
      <c r="Z276" s="799">
        <f t="shared" si="207"/>
        <v>0</v>
      </c>
      <c r="AA276" s="799">
        <f t="shared" si="207"/>
        <v>0</v>
      </c>
      <c r="AB276" s="799">
        <f t="shared" si="207"/>
        <v>0</v>
      </c>
      <c r="AC276" s="799">
        <f t="shared" si="207"/>
        <v>0</v>
      </c>
      <c r="AD276" s="799">
        <f t="shared" si="207"/>
        <v>0</v>
      </c>
      <c r="AE276" s="799">
        <f t="shared" si="207"/>
        <v>0</v>
      </c>
      <c r="AF276" s="799">
        <f t="shared" si="207"/>
        <v>0</v>
      </c>
      <c r="AG276" s="799">
        <f t="shared" si="207"/>
        <v>0</v>
      </c>
      <c r="AH276" s="799">
        <f t="shared" si="207"/>
        <v>0</v>
      </c>
      <c r="AI276" s="799">
        <f t="shared" si="207"/>
        <v>0</v>
      </c>
      <c r="AJ276" s="799">
        <f t="shared" si="207"/>
        <v>0</v>
      </c>
      <c r="AK276" s="799">
        <f t="shared" ref="AK276:CV276" si="208">MAX(MIN(-SUM(AK270:AK271),AK273),0)</f>
        <v>0</v>
      </c>
      <c r="AL276" s="799">
        <f t="shared" si="208"/>
        <v>14315530.3242827</v>
      </c>
      <c r="AM276" s="799">
        <f t="shared" si="208"/>
        <v>205293.34606116661</v>
      </c>
      <c r="AN276" s="799">
        <f t="shared" si="208"/>
        <v>207793.40423970085</v>
      </c>
      <c r="AO276" s="799">
        <f t="shared" si="208"/>
        <v>210260.10262606523</v>
      </c>
      <c r="AP276" s="799">
        <f t="shared" si="208"/>
        <v>211885.65974115423</v>
      </c>
      <c r="AQ276" s="799">
        <f t="shared" si="208"/>
        <v>215188.01193420406</v>
      </c>
      <c r="AR276" s="799">
        <f t="shared" si="208"/>
        <v>218012.9416200624</v>
      </c>
      <c r="AS276" s="799">
        <f t="shared" si="208"/>
        <v>213181.07686987985</v>
      </c>
      <c r="AT276" s="799">
        <f t="shared" si="208"/>
        <v>214770.00861920218</v>
      </c>
      <c r="AU276" s="799">
        <f t="shared" si="208"/>
        <v>216264.46058470523</v>
      </c>
      <c r="AV276" s="799">
        <f t="shared" si="208"/>
        <v>218515.59404432448</v>
      </c>
      <c r="AW276" s="799">
        <f t="shared" si="208"/>
        <v>220675.94358853242</v>
      </c>
      <c r="AX276" s="799">
        <f t="shared" si="208"/>
        <v>222710.56184153532</v>
      </c>
      <c r="AY276" s="799">
        <f t="shared" si="208"/>
        <v>224665.72728851769</v>
      </c>
      <c r="AZ276" s="799">
        <f t="shared" si="208"/>
        <v>226548.52262565284</v>
      </c>
      <c r="BA276" s="799">
        <f t="shared" si="208"/>
        <v>228304.85297686295</v>
      </c>
      <c r="BB276" s="799">
        <f t="shared" si="208"/>
        <v>229344.9930368007</v>
      </c>
      <c r="BC276" s="799">
        <f t="shared" si="208"/>
        <v>231542.10904179295</v>
      </c>
      <c r="BD276" s="799">
        <f t="shared" si="208"/>
        <v>233317.7080138704</v>
      </c>
      <c r="BE276" s="799">
        <f t="shared" si="208"/>
        <v>229013.16839337221</v>
      </c>
      <c r="BF276" s="799">
        <f t="shared" si="208"/>
        <v>229911.66091752306</v>
      </c>
      <c r="BG276" s="799">
        <f t="shared" si="208"/>
        <v>230813.78680437503</v>
      </c>
      <c r="BH276" s="799">
        <f t="shared" si="208"/>
        <v>232345.63973502186</v>
      </c>
      <c r="BI276" s="799">
        <f t="shared" si="208"/>
        <v>233902.4265315792</v>
      </c>
      <c r="BJ276" s="799">
        <f t="shared" si="208"/>
        <v>235545.94755839423</v>
      </c>
      <c r="BK276" s="799">
        <f t="shared" si="208"/>
        <v>237262.50476525677</v>
      </c>
      <c r="BL276" s="799">
        <f t="shared" si="208"/>
        <v>238991.57351446556</v>
      </c>
      <c r="BM276" s="799">
        <f t="shared" si="208"/>
        <v>240811.21361387809</v>
      </c>
      <c r="BN276" s="799">
        <f t="shared" si="208"/>
        <v>242002.34658988175</v>
      </c>
      <c r="BO276" s="799">
        <f t="shared" si="208"/>
        <v>244627.30669974274</v>
      </c>
      <c r="BP276" s="799">
        <f t="shared" si="208"/>
        <v>246922.0418636211</v>
      </c>
      <c r="BQ276" s="799">
        <f t="shared" si="208"/>
        <v>242733.25370419392</v>
      </c>
      <c r="BR276" s="799">
        <f t="shared" si="208"/>
        <v>244033.96696505454</v>
      </c>
      <c r="BS276" s="799">
        <f t="shared" si="208"/>
        <v>245313.14997026659</v>
      </c>
      <c r="BT276" s="799">
        <f t="shared" si="208"/>
        <v>247377.11673495109</v>
      </c>
      <c r="BU276" s="799">
        <f t="shared" si="208"/>
        <v>249414.97281073497</v>
      </c>
      <c r="BV276" s="799">
        <f t="shared" si="208"/>
        <v>251479.3205969065</v>
      </c>
      <c r="BW276" s="799">
        <f t="shared" si="208"/>
        <v>253576.88775609701</v>
      </c>
      <c r="BX276" s="799">
        <f t="shared" si="208"/>
        <v>255660.88139998799</v>
      </c>
      <c r="BY276" s="799">
        <f t="shared" si="208"/>
        <v>257780.55934433491</v>
      </c>
      <c r="BZ276" s="799">
        <f t="shared" si="208"/>
        <v>259130.53765731424</v>
      </c>
      <c r="CA276" s="799">
        <f t="shared" si="208"/>
        <v>262044.06866613019</v>
      </c>
      <c r="CB276" s="799">
        <f t="shared" si="208"/>
        <v>264568.88723862561</v>
      </c>
      <c r="CC276" s="799">
        <f t="shared" si="208"/>
        <v>260334.62676779419</v>
      </c>
      <c r="CD276" s="799">
        <f t="shared" si="208"/>
        <v>261766.27506953065</v>
      </c>
      <c r="CE276" s="799">
        <f t="shared" si="208"/>
        <v>263169.39895795332</v>
      </c>
      <c r="CF276" s="799">
        <f t="shared" si="208"/>
        <v>265374.12330500968</v>
      </c>
      <c r="CG276" s="799">
        <f t="shared" si="208"/>
        <v>267569.84631198365</v>
      </c>
      <c r="CH276" s="799">
        <f t="shared" si="208"/>
        <v>269785.75663471175</v>
      </c>
      <c r="CI276" s="799">
        <f t="shared" si="208"/>
        <v>271981.27502716507</v>
      </c>
      <c r="CJ276" s="799">
        <f t="shared" si="208"/>
        <v>274209.9614994725</v>
      </c>
      <c r="CK276" s="799">
        <f t="shared" si="208"/>
        <v>276471.37765448482</v>
      </c>
      <c r="CL276" s="799">
        <f t="shared" si="208"/>
        <v>277910.21305872517</v>
      </c>
      <c r="CM276" s="799">
        <f t="shared" si="208"/>
        <v>280971.24051798158</v>
      </c>
      <c r="CN276" s="799">
        <f t="shared" si="208"/>
        <v>283611.40197433194</v>
      </c>
      <c r="CO276" s="799">
        <f t="shared" si="208"/>
        <v>279273.11677509604</v>
      </c>
      <c r="CP276" s="799">
        <f t="shared" si="208"/>
        <v>280770.93938649778</v>
      </c>
      <c r="CQ276" s="799">
        <f t="shared" si="208"/>
        <v>282239.46279127692</v>
      </c>
      <c r="CR276" s="799">
        <f t="shared" si="208"/>
        <v>284516.27143163967</v>
      </c>
      <c r="CS276" s="799">
        <f t="shared" si="208"/>
        <v>286814.10642290174</v>
      </c>
      <c r="CT276" s="799">
        <f t="shared" si="208"/>
        <v>289146.38855799765</v>
      </c>
      <c r="CU276" s="799">
        <f t="shared" si="208"/>
        <v>291451.51423692808</v>
      </c>
      <c r="CV276" s="799">
        <f t="shared" si="208"/>
        <v>293779.70006957493</v>
      </c>
      <c r="CW276" s="799">
        <f t="shared" ref="CW276:DU276" si="209">MAX(MIN(-SUM(CW270:CW271),CW273),0)</f>
        <v>52471820.410454184</v>
      </c>
      <c r="CX276" s="799">
        <f t="shared" si="209"/>
        <v>0</v>
      </c>
      <c r="CY276" s="799">
        <f t="shared" si="209"/>
        <v>0</v>
      </c>
      <c r="CZ276" s="799">
        <f t="shared" si="209"/>
        <v>0</v>
      </c>
      <c r="DA276" s="799">
        <f t="shared" si="209"/>
        <v>0</v>
      </c>
      <c r="DB276" s="799">
        <f t="shared" si="209"/>
        <v>0</v>
      </c>
      <c r="DC276" s="799">
        <f t="shared" si="209"/>
        <v>0</v>
      </c>
      <c r="DD276" s="799">
        <f t="shared" si="209"/>
        <v>0</v>
      </c>
      <c r="DE276" s="799">
        <f t="shared" si="209"/>
        <v>0</v>
      </c>
      <c r="DF276" s="799">
        <f t="shared" si="209"/>
        <v>0</v>
      </c>
      <c r="DG276" s="799">
        <f t="shared" si="209"/>
        <v>0</v>
      </c>
      <c r="DH276" s="799">
        <f t="shared" si="209"/>
        <v>0</v>
      </c>
      <c r="DI276" s="799">
        <f t="shared" si="209"/>
        <v>0</v>
      </c>
      <c r="DJ276" s="799">
        <f t="shared" si="209"/>
        <v>0</v>
      </c>
      <c r="DK276" s="799">
        <f t="shared" si="209"/>
        <v>0</v>
      </c>
      <c r="DL276" s="799">
        <f t="shared" si="209"/>
        <v>0</v>
      </c>
      <c r="DM276" s="799">
        <f t="shared" si="209"/>
        <v>0</v>
      </c>
      <c r="DN276" s="799">
        <f t="shared" si="209"/>
        <v>0</v>
      </c>
      <c r="DO276" s="799">
        <f t="shared" si="209"/>
        <v>0</v>
      </c>
      <c r="DP276" s="799">
        <f t="shared" si="209"/>
        <v>0</v>
      </c>
      <c r="DQ276" s="799">
        <f t="shared" si="209"/>
        <v>0</v>
      </c>
      <c r="DR276" s="799">
        <f t="shared" si="209"/>
        <v>0</v>
      </c>
      <c r="DS276" s="799">
        <f t="shared" si="209"/>
        <v>0</v>
      </c>
      <c r="DT276" s="799">
        <f t="shared" si="209"/>
        <v>0</v>
      </c>
      <c r="DU276" s="799">
        <f t="shared" si="209"/>
        <v>0</v>
      </c>
      <c r="DV276" s="798"/>
      <c r="DW276" s="798"/>
      <c r="DX276" s="798"/>
      <c r="DY276" s="798"/>
      <c r="DZ276" s="798"/>
      <c r="EA276" s="798"/>
      <c r="EB276" s="798"/>
      <c r="EC276" s="798"/>
      <c r="ED276" s="798"/>
      <c r="EE276" s="798"/>
      <c r="EF276" s="798"/>
      <c r="EG276" s="798"/>
      <c r="EH276" s="782"/>
    </row>
    <row r="277" spans="1:138" ht="12.75" customHeight="1" x14ac:dyDescent="0.3">
      <c r="A277" s="782"/>
      <c r="B277" s="782" t="s">
        <v>161</v>
      </c>
      <c r="C277" s="798"/>
      <c r="D277" s="782"/>
      <c r="E277" s="798">
        <f t="shared" ref="E277:BP277" si="210">E272+E276</f>
        <v>0</v>
      </c>
      <c r="F277" s="798">
        <f t="shared" si="210"/>
        <v>0</v>
      </c>
      <c r="G277" s="798">
        <f t="shared" si="210"/>
        <v>0</v>
      </c>
      <c r="H277" s="798">
        <f t="shared" si="210"/>
        <v>0</v>
      </c>
      <c r="I277" s="798">
        <f t="shared" si="210"/>
        <v>0</v>
      </c>
      <c r="J277" s="798">
        <f t="shared" si="210"/>
        <v>0</v>
      </c>
      <c r="K277" s="798">
        <f t="shared" si="210"/>
        <v>0</v>
      </c>
      <c r="L277" s="798">
        <f t="shared" si="210"/>
        <v>0</v>
      </c>
      <c r="M277" s="798">
        <f t="shared" si="210"/>
        <v>0</v>
      </c>
      <c r="N277" s="798">
        <f t="shared" si="210"/>
        <v>0</v>
      </c>
      <c r="O277" s="798">
        <f t="shared" si="210"/>
        <v>0</v>
      </c>
      <c r="P277" s="798">
        <f t="shared" si="210"/>
        <v>0</v>
      </c>
      <c r="Q277" s="798">
        <f t="shared" si="210"/>
        <v>0</v>
      </c>
      <c r="R277" s="798">
        <f t="shared" si="210"/>
        <v>0</v>
      </c>
      <c r="S277" s="798">
        <f t="shared" si="210"/>
        <v>0</v>
      </c>
      <c r="T277" s="798">
        <f t="shared" si="210"/>
        <v>0</v>
      </c>
      <c r="U277" s="798">
        <f t="shared" si="210"/>
        <v>0</v>
      </c>
      <c r="V277" s="798">
        <f t="shared" si="210"/>
        <v>0</v>
      </c>
      <c r="W277" s="798">
        <f t="shared" si="210"/>
        <v>0</v>
      </c>
      <c r="X277" s="798">
        <f t="shared" si="210"/>
        <v>0</v>
      </c>
      <c r="Y277" s="798">
        <f t="shared" si="210"/>
        <v>0</v>
      </c>
      <c r="Z277" s="798">
        <f t="shared" si="210"/>
        <v>0</v>
      </c>
      <c r="AA277" s="798">
        <f t="shared" si="210"/>
        <v>0</v>
      </c>
      <c r="AB277" s="798">
        <f t="shared" si="210"/>
        <v>0</v>
      </c>
      <c r="AC277" s="798">
        <f t="shared" si="210"/>
        <v>0</v>
      </c>
      <c r="AD277" s="798">
        <f t="shared" si="210"/>
        <v>0</v>
      </c>
      <c r="AE277" s="798">
        <f t="shared" si="210"/>
        <v>0</v>
      </c>
      <c r="AF277" s="798">
        <f t="shared" si="210"/>
        <v>0</v>
      </c>
      <c r="AG277" s="798">
        <f t="shared" si="210"/>
        <v>0</v>
      </c>
      <c r="AH277" s="798">
        <f t="shared" si="210"/>
        <v>0</v>
      </c>
      <c r="AI277" s="798">
        <f t="shared" si="210"/>
        <v>0</v>
      </c>
      <c r="AJ277" s="798">
        <f t="shared" si="210"/>
        <v>0</v>
      </c>
      <c r="AK277" s="798">
        <f t="shared" si="210"/>
        <v>-60916274.722085506</v>
      </c>
      <c r="AL277" s="798">
        <f t="shared" si="210"/>
        <v>14315530.3242827</v>
      </c>
      <c r="AM277" s="798">
        <f t="shared" si="210"/>
        <v>205293.34606116661</v>
      </c>
      <c r="AN277" s="798">
        <f t="shared" si="210"/>
        <v>207793.40423970085</v>
      </c>
      <c r="AO277" s="798">
        <f t="shared" si="210"/>
        <v>210260.10262606523</v>
      </c>
      <c r="AP277" s="798">
        <f t="shared" si="210"/>
        <v>211885.65974115423</v>
      </c>
      <c r="AQ277" s="798">
        <f t="shared" si="210"/>
        <v>215188.01193420406</v>
      </c>
      <c r="AR277" s="798">
        <f t="shared" si="210"/>
        <v>218012.9416200624</v>
      </c>
      <c r="AS277" s="798">
        <f t="shared" si="210"/>
        <v>213181.07686987985</v>
      </c>
      <c r="AT277" s="798">
        <f t="shared" si="210"/>
        <v>214770.00861920218</v>
      </c>
      <c r="AU277" s="798">
        <f t="shared" si="210"/>
        <v>216264.46058470523</v>
      </c>
      <c r="AV277" s="798">
        <f t="shared" si="210"/>
        <v>218515.59404432448</v>
      </c>
      <c r="AW277" s="798">
        <f t="shared" si="210"/>
        <v>220675.94358853242</v>
      </c>
      <c r="AX277" s="798">
        <f t="shared" si="210"/>
        <v>222710.56184153532</v>
      </c>
      <c r="AY277" s="798">
        <f t="shared" si="210"/>
        <v>224665.72728851769</v>
      </c>
      <c r="AZ277" s="798">
        <f t="shared" si="210"/>
        <v>226548.52262565284</v>
      </c>
      <c r="BA277" s="798">
        <f t="shared" si="210"/>
        <v>228304.85297686295</v>
      </c>
      <c r="BB277" s="798">
        <f t="shared" si="210"/>
        <v>229344.9930368007</v>
      </c>
      <c r="BC277" s="798">
        <f t="shared" si="210"/>
        <v>231542.10904179295</v>
      </c>
      <c r="BD277" s="798">
        <f t="shared" si="210"/>
        <v>233317.7080138704</v>
      </c>
      <c r="BE277" s="798">
        <f t="shared" si="210"/>
        <v>229013.16839337221</v>
      </c>
      <c r="BF277" s="798">
        <f t="shared" si="210"/>
        <v>229911.66091752306</v>
      </c>
      <c r="BG277" s="798">
        <f t="shared" si="210"/>
        <v>230813.78680437503</v>
      </c>
      <c r="BH277" s="798">
        <f t="shared" si="210"/>
        <v>232345.63973502186</v>
      </c>
      <c r="BI277" s="798">
        <f t="shared" si="210"/>
        <v>233902.4265315792</v>
      </c>
      <c r="BJ277" s="798">
        <f t="shared" si="210"/>
        <v>235545.94755839423</v>
      </c>
      <c r="BK277" s="798">
        <f t="shared" si="210"/>
        <v>237262.50476525677</v>
      </c>
      <c r="BL277" s="798">
        <f t="shared" si="210"/>
        <v>238991.57351446556</v>
      </c>
      <c r="BM277" s="798">
        <f t="shared" si="210"/>
        <v>240811.21361387809</v>
      </c>
      <c r="BN277" s="798">
        <f t="shared" si="210"/>
        <v>242002.34658988175</v>
      </c>
      <c r="BO277" s="798">
        <f t="shared" si="210"/>
        <v>244627.30669974274</v>
      </c>
      <c r="BP277" s="798">
        <f t="shared" si="210"/>
        <v>246922.0418636211</v>
      </c>
      <c r="BQ277" s="798">
        <f t="shared" ref="BQ277:DU277" si="211">BQ272+BQ276</f>
        <v>242733.25370419392</v>
      </c>
      <c r="BR277" s="798">
        <f t="shared" si="211"/>
        <v>244033.96696505454</v>
      </c>
      <c r="BS277" s="798">
        <f t="shared" si="211"/>
        <v>245313.14997026659</v>
      </c>
      <c r="BT277" s="798">
        <f t="shared" si="211"/>
        <v>247377.11673495109</v>
      </c>
      <c r="BU277" s="798">
        <f t="shared" si="211"/>
        <v>249414.97281073497</v>
      </c>
      <c r="BV277" s="798">
        <f t="shared" si="211"/>
        <v>251479.3205969065</v>
      </c>
      <c r="BW277" s="798">
        <f t="shared" si="211"/>
        <v>253576.88775609701</v>
      </c>
      <c r="BX277" s="798">
        <f t="shared" si="211"/>
        <v>255660.88139998799</v>
      </c>
      <c r="BY277" s="798">
        <f t="shared" si="211"/>
        <v>257780.55934433491</v>
      </c>
      <c r="BZ277" s="798">
        <f t="shared" si="211"/>
        <v>259130.53765731424</v>
      </c>
      <c r="CA277" s="798">
        <f t="shared" si="211"/>
        <v>262044.06866613019</v>
      </c>
      <c r="CB277" s="798">
        <f t="shared" si="211"/>
        <v>264568.88723862561</v>
      </c>
      <c r="CC277" s="798">
        <f t="shared" si="211"/>
        <v>260334.62676779419</v>
      </c>
      <c r="CD277" s="798">
        <f t="shared" si="211"/>
        <v>261766.27506953065</v>
      </c>
      <c r="CE277" s="798">
        <f t="shared" si="211"/>
        <v>263169.39895795332</v>
      </c>
      <c r="CF277" s="798">
        <f t="shared" si="211"/>
        <v>265374.12330500968</v>
      </c>
      <c r="CG277" s="798">
        <f t="shared" si="211"/>
        <v>267569.84631198365</v>
      </c>
      <c r="CH277" s="798">
        <f t="shared" si="211"/>
        <v>269785.75663471175</v>
      </c>
      <c r="CI277" s="798">
        <f t="shared" si="211"/>
        <v>271981.27502716507</v>
      </c>
      <c r="CJ277" s="798">
        <f t="shared" si="211"/>
        <v>274209.9614994725</v>
      </c>
      <c r="CK277" s="798">
        <f t="shared" si="211"/>
        <v>276471.37765448482</v>
      </c>
      <c r="CL277" s="798">
        <f t="shared" si="211"/>
        <v>277910.21305872517</v>
      </c>
      <c r="CM277" s="798">
        <f t="shared" si="211"/>
        <v>280971.24051798158</v>
      </c>
      <c r="CN277" s="798">
        <f t="shared" si="211"/>
        <v>283611.40197433194</v>
      </c>
      <c r="CO277" s="798">
        <f t="shared" si="211"/>
        <v>279273.11677509604</v>
      </c>
      <c r="CP277" s="798">
        <f t="shared" si="211"/>
        <v>280770.93938649778</v>
      </c>
      <c r="CQ277" s="798">
        <f t="shared" si="211"/>
        <v>282239.46279127692</v>
      </c>
      <c r="CR277" s="798">
        <f t="shared" si="211"/>
        <v>284516.27143163967</v>
      </c>
      <c r="CS277" s="798">
        <f t="shared" si="211"/>
        <v>286814.10642290174</v>
      </c>
      <c r="CT277" s="798">
        <f t="shared" si="211"/>
        <v>289146.38855799765</v>
      </c>
      <c r="CU277" s="798">
        <f t="shared" si="211"/>
        <v>291451.51423692808</v>
      </c>
      <c r="CV277" s="798">
        <f t="shared" si="211"/>
        <v>293779.70006957493</v>
      </c>
      <c r="CW277" s="798">
        <f t="shared" si="211"/>
        <v>52471820.410454184</v>
      </c>
      <c r="CX277" s="798">
        <f t="shared" si="211"/>
        <v>0</v>
      </c>
      <c r="CY277" s="798">
        <f t="shared" si="211"/>
        <v>0</v>
      </c>
      <c r="CZ277" s="798">
        <f t="shared" si="211"/>
        <v>0</v>
      </c>
      <c r="DA277" s="798">
        <f t="shared" si="211"/>
        <v>0</v>
      </c>
      <c r="DB277" s="798">
        <f t="shared" si="211"/>
        <v>0</v>
      </c>
      <c r="DC277" s="798">
        <f t="shared" si="211"/>
        <v>0</v>
      </c>
      <c r="DD277" s="798">
        <f t="shared" si="211"/>
        <v>0</v>
      </c>
      <c r="DE277" s="798">
        <f t="shared" si="211"/>
        <v>0</v>
      </c>
      <c r="DF277" s="798">
        <f t="shared" si="211"/>
        <v>0</v>
      </c>
      <c r="DG277" s="798">
        <f t="shared" si="211"/>
        <v>0</v>
      </c>
      <c r="DH277" s="798">
        <f t="shared" si="211"/>
        <v>0</v>
      </c>
      <c r="DI277" s="798">
        <f t="shared" si="211"/>
        <v>0</v>
      </c>
      <c r="DJ277" s="798">
        <f t="shared" si="211"/>
        <v>0</v>
      </c>
      <c r="DK277" s="798">
        <f t="shared" si="211"/>
        <v>0</v>
      </c>
      <c r="DL277" s="798">
        <f t="shared" si="211"/>
        <v>0</v>
      </c>
      <c r="DM277" s="798">
        <f t="shared" si="211"/>
        <v>0</v>
      </c>
      <c r="DN277" s="798">
        <f t="shared" si="211"/>
        <v>0</v>
      </c>
      <c r="DO277" s="798">
        <f t="shared" si="211"/>
        <v>0</v>
      </c>
      <c r="DP277" s="798">
        <f t="shared" si="211"/>
        <v>0</v>
      </c>
      <c r="DQ277" s="798">
        <f t="shared" si="211"/>
        <v>0</v>
      </c>
      <c r="DR277" s="798">
        <f t="shared" si="211"/>
        <v>0</v>
      </c>
      <c r="DS277" s="798">
        <f t="shared" si="211"/>
        <v>0</v>
      </c>
      <c r="DT277" s="798">
        <f t="shared" si="211"/>
        <v>0</v>
      </c>
      <c r="DU277" s="798">
        <f t="shared" si="211"/>
        <v>0</v>
      </c>
      <c r="DV277" s="798"/>
      <c r="DW277" s="798"/>
      <c r="DX277" s="798"/>
      <c r="DY277" s="798"/>
      <c r="DZ277" s="798"/>
      <c r="EA277" s="798"/>
      <c r="EB277" s="798"/>
      <c r="EC277" s="798"/>
      <c r="ED277" s="798"/>
      <c r="EE277" s="798"/>
      <c r="EF277" s="798"/>
      <c r="EG277" s="798"/>
      <c r="EH277" s="782"/>
    </row>
    <row r="278" spans="1:138" ht="12.75" customHeight="1" x14ac:dyDescent="0.3">
      <c r="A278" s="782"/>
      <c r="B278" s="782"/>
      <c r="C278" s="798"/>
      <c r="D278" s="782"/>
      <c r="E278" s="798"/>
      <c r="F278" s="798"/>
      <c r="G278" s="798"/>
      <c r="H278" s="798"/>
      <c r="I278" s="798"/>
      <c r="J278" s="798"/>
      <c r="K278" s="798"/>
      <c r="L278" s="798"/>
      <c r="M278" s="798"/>
      <c r="N278" s="798"/>
      <c r="O278" s="798"/>
      <c r="P278" s="798"/>
      <c r="Q278" s="798"/>
      <c r="R278" s="798"/>
      <c r="S278" s="798"/>
      <c r="T278" s="798"/>
      <c r="U278" s="798"/>
      <c r="V278" s="798"/>
      <c r="W278" s="798"/>
      <c r="X278" s="798"/>
      <c r="Y278" s="798"/>
      <c r="Z278" s="798"/>
      <c r="AA278" s="798"/>
      <c r="AB278" s="798"/>
      <c r="AC278" s="798"/>
      <c r="AD278" s="798"/>
      <c r="AE278" s="798"/>
      <c r="AF278" s="798"/>
      <c r="AG278" s="798"/>
      <c r="AH278" s="798"/>
      <c r="AI278" s="798"/>
      <c r="AJ278" s="798"/>
      <c r="AK278" s="798"/>
      <c r="AL278" s="798"/>
      <c r="AM278" s="798"/>
      <c r="AN278" s="798"/>
      <c r="AO278" s="798"/>
      <c r="AP278" s="798"/>
      <c r="AQ278" s="798"/>
      <c r="AR278" s="798"/>
      <c r="AS278" s="798"/>
      <c r="AT278" s="798"/>
      <c r="AU278" s="798"/>
      <c r="AV278" s="798"/>
      <c r="AW278" s="798"/>
      <c r="AX278" s="798"/>
      <c r="AY278" s="798"/>
      <c r="AZ278" s="798"/>
      <c r="BA278" s="798"/>
      <c r="BB278" s="798"/>
      <c r="BC278" s="798"/>
      <c r="BD278" s="798"/>
      <c r="BE278" s="798"/>
      <c r="BF278" s="798"/>
      <c r="BG278" s="798"/>
      <c r="BH278" s="798"/>
      <c r="BI278" s="798"/>
      <c r="BJ278" s="798"/>
      <c r="BK278" s="798"/>
      <c r="BL278" s="798"/>
      <c r="BM278" s="798"/>
      <c r="BN278" s="798"/>
      <c r="BO278" s="798"/>
      <c r="BP278" s="798"/>
      <c r="BQ278" s="798"/>
      <c r="BR278" s="798"/>
      <c r="BS278" s="798"/>
      <c r="BT278" s="798"/>
      <c r="BU278" s="798"/>
      <c r="BV278" s="798"/>
      <c r="BW278" s="798"/>
      <c r="BX278" s="798"/>
      <c r="BY278" s="798"/>
      <c r="BZ278" s="798"/>
      <c r="CA278" s="798"/>
      <c r="CB278" s="798"/>
      <c r="CC278" s="798"/>
      <c r="CD278" s="798"/>
      <c r="CE278" s="798"/>
      <c r="CF278" s="798"/>
      <c r="CG278" s="798"/>
      <c r="CH278" s="798"/>
      <c r="CI278" s="798"/>
      <c r="CJ278" s="798"/>
      <c r="CK278" s="798"/>
      <c r="CL278" s="798"/>
      <c r="CM278" s="798"/>
      <c r="CN278" s="798"/>
      <c r="CO278" s="798"/>
      <c r="CP278" s="798"/>
      <c r="CQ278" s="798"/>
      <c r="CR278" s="798"/>
      <c r="CS278" s="798"/>
      <c r="CT278" s="798"/>
      <c r="CU278" s="798"/>
      <c r="CV278" s="798"/>
      <c r="CW278" s="798"/>
      <c r="CX278" s="798"/>
      <c r="CY278" s="798"/>
      <c r="CZ278" s="798"/>
      <c r="DA278" s="798"/>
      <c r="DB278" s="798"/>
      <c r="DC278" s="798"/>
      <c r="DD278" s="798"/>
      <c r="DE278" s="798"/>
      <c r="DF278" s="798"/>
      <c r="DG278" s="798"/>
      <c r="DH278" s="798"/>
      <c r="DI278" s="798"/>
      <c r="DJ278" s="798"/>
      <c r="DK278" s="798"/>
      <c r="DL278" s="798"/>
      <c r="DM278" s="798"/>
      <c r="DN278" s="798"/>
      <c r="DO278" s="798"/>
      <c r="DP278" s="798"/>
      <c r="DQ278" s="798"/>
      <c r="DR278" s="798"/>
      <c r="DS278" s="798"/>
      <c r="DT278" s="798"/>
      <c r="DU278" s="798"/>
      <c r="DV278" s="798"/>
      <c r="DW278" s="798"/>
      <c r="DX278" s="798"/>
      <c r="DY278" s="798"/>
      <c r="DZ278" s="798"/>
      <c r="EA278" s="798"/>
      <c r="EB278" s="798"/>
      <c r="EC278" s="798"/>
      <c r="ED278" s="798"/>
      <c r="EE278" s="798"/>
      <c r="EF278" s="798"/>
      <c r="EG278" s="798"/>
      <c r="EH278" s="782"/>
    </row>
    <row r="279" spans="1:138" ht="12.75" customHeight="1" x14ac:dyDescent="0.3">
      <c r="A279" s="782"/>
      <c r="B279" s="796" t="s">
        <v>142</v>
      </c>
      <c r="C279" s="824">
        <f>XIRR(OFFSET(E277,0,$D$210):DU277,OFFSET($E$4,0,$D$210):$DU$4)</f>
        <v>8.2500001788139307E-2</v>
      </c>
      <c r="D279" s="782"/>
      <c r="E279" s="798"/>
      <c r="F279" s="798"/>
      <c r="G279" s="798"/>
      <c r="H279" s="798"/>
      <c r="I279" s="798"/>
      <c r="J279" s="798"/>
      <c r="K279" s="798"/>
      <c r="L279" s="798"/>
      <c r="M279" s="798"/>
      <c r="N279" s="798"/>
      <c r="O279" s="798"/>
      <c r="P279" s="798"/>
      <c r="Q279" s="798"/>
      <c r="R279" s="798"/>
      <c r="S279" s="798"/>
      <c r="T279" s="798"/>
      <c r="U279" s="798"/>
      <c r="V279" s="798"/>
      <c r="W279" s="798"/>
      <c r="X279" s="798"/>
      <c r="Y279" s="798"/>
      <c r="Z279" s="798"/>
      <c r="AA279" s="798"/>
      <c r="AB279" s="798"/>
      <c r="AC279" s="798"/>
      <c r="AD279" s="798"/>
      <c r="AE279" s="798"/>
      <c r="AF279" s="798"/>
      <c r="AG279" s="798"/>
      <c r="AH279" s="798"/>
      <c r="AI279" s="798"/>
      <c r="AJ279" s="798"/>
      <c r="AK279" s="798"/>
      <c r="AL279" s="798"/>
      <c r="AM279" s="798"/>
      <c r="AN279" s="798"/>
      <c r="AO279" s="798"/>
      <c r="AP279" s="798"/>
      <c r="AQ279" s="798"/>
      <c r="AR279" s="798"/>
      <c r="AS279" s="798"/>
      <c r="AT279" s="798"/>
      <c r="AU279" s="798"/>
      <c r="AV279" s="798"/>
      <c r="AW279" s="798"/>
      <c r="AX279" s="798"/>
      <c r="AY279" s="798"/>
      <c r="AZ279" s="798"/>
      <c r="BA279" s="798"/>
      <c r="BB279" s="798"/>
      <c r="BC279" s="798"/>
      <c r="BD279" s="798"/>
      <c r="BE279" s="798"/>
      <c r="BF279" s="798"/>
      <c r="BG279" s="798"/>
      <c r="BH279" s="798"/>
      <c r="BI279" s="798"/>
      <c r="BJ279" s="798"/>
      <c r="BK279" s="798"/>
      <c r="BL279" s="798"/>
      <c r="BM279" s="798"/>
      <c r="BN279" s="798"/>
      <c r="BO279" s="798"/>
      <c r="BP279" s="798"/>
      <c r="BQ279" s="798"/>
      <c r="BR279" s="798"/>
      <c r="BS279" s="798"/>
      <c r="BT279" s="798"/>
      <c r="BU279" s="798"/>
      <c r="BV279" s="798"/>
      <c r="BW279" s="798"/>
      <c r="BX279" s="798"/>
      <c r="BY279" s="798"/>
      <c r="BZ279" s="798"/>
      <c r="CA279" s="798"/>
      <c r="CB279" s="798"/>
      <c r="CC279" s="798"/>
      <c r="CD279" s="798"/>
      <c r="CE279" s="798"/>
      <c r="CF279" s="798"/>
      <c r="CG279" s="798"/>
      <c r="CH279" s="798"/>
      <c r="CI279" s="798"/>
      <c r="CJ279" s="798"/>
      <c r="CK279" s="798"/>
      <c r="CL279" s="798"/>
      <c r="CM279" s="798"/>
      <c r="CN279" s="798"/>
      <c r="CO279" s="798"/>
      <c r="CP279" s="798"/>
      <c r="CQ279" s="798"/>
      <c r="CR279" s="798"/>
      <c r="CS279" s="798"/>
      <c r="CT279" s="798"/>
      <c r="CU279" s="798"/>
      <c r="CV279" s="798"/>
      <c r="CW279" s="798"/>
      <c r="CX279" s="798"/>
      <c r="CY279" s="798"/>
      <c r="CZ279" s="798"/>
      <c r="DA279" s="798"/>
      <c r="DB279" s="798"/>
      <c r="DC279" s="798"/>
      <c r="DD279" s="798"/>
      <c r="DE279" s="798"/>
      <c r="DF279" s="798"/>
      <c r="DG279" s="798"/>
      <c r="DH279" s="798"/>
      <c r="DI279" s="798"/>
      <c r="DJ279" s="798"/>
      <c r="DK279" s="798"/>
      <c r="DL279" s="798"/>
      <c r="DM279" s="798"/>
      <c r="DN279" s="798"/>
      <c r="DO279" s="798"/>
      <c r="DP279" s="798"/>
      <c r="DQ279" s="798"/>
      <c r="DR279" s="798"/>
      <c r="DS279" s="798"/>
      <c r="DT279" s="798"/>
      <c r="DU279" s="798"/>
      <c r="DV279" s="798"/>
      <c r="DW279" s="798"/>
      <c r="DX279" s="798"/>
      <c r="DY279" s="798"/>
      <c r="DZ279" s="798"/>
      <c r="EA279" s="798"/>
      <c r="EB279" s="798"/>
      <c r="EC279" s="798"/>
      <c r="ED279" s="798"/>
      <c r="EE279" s="798"/>
      <c r="EF279" s="798"/>
      <c r="EG279" s="798"/>
      <c r="EH279" s="782"/>
    </row>
    <row r="280" spans="1:138" ht="12.75" customHeight="1" x14ac:dyDescent="0.3">
      <c r="A280" s="782"/>
      <c r="B280" s="782"/>
      <c r="C280" s="798"/>
      <c r="D280" s="782"/>
      <c r="E280" s="798"/>
      <c r="F280" s="798"/>
      <c r="G280" s="798"/>
      <c r="H280" s="798"/>
      <c r="I280" s="798"/>
      <c r="J280" s="798"/>
      <c r="K280" s="798"/>
      <c r="L280" s="798"/>
      <c r="M280" s="798"/>
      <c r="N280" s="798"/>
      <c r="O280" s="798"/>
      <c r="P280" s="798"/>
      <c r="Q280" s="798"/>
      <c r="R280" s="798"/>
      <c r="S280" s="798"/>
      <c r="T280" s="798"/>
      <c r="U280" s="798"/>
      <c r="V280" s="798"/>
      <c r="W280" s="798"/>
      <c r="X280" s="798"/>
      <c r="Y280" s="798"/>
      <c r="Z280" s="798"/>
      <c r="AA280" s="798"/>
      <c r="AB280" s="798"/>
      <c r="AC280" s="798"/>
      <c r="AD280" s="798"/>
      <c r="AE280" s="798"/>
      <c r="AF280" s="798"/>
      <c r="AG280" s="798"/>
      <c r="AH280" s="798"/>
      <c r="AI280" s="798"/>
      <c r="AJ280" s="798"/>
      <c r="AK280" s="798"/>
      <c r="AL280" s="798"/>
      <c r="AM280" s="798"/>
      <c r="AN280" s="798"/>
      <c r="AO280" s="798"/>
      <c r="AP280" s="798"/>
      <c r="AQ280" s="798"/>
      <c r="AR280" s="798"/>
      <c r="AS280" s="798"/>
      <c r="AT280" s="798"/>
      <c r="AU280" s="798"/>
      <c r="AV280" s="798"/>
      <c r="AW280" s="798"/>
      <c r="AX280" s="798"/>
      <c r="AY280" s="798"/>
      <c r="AZ280" s="798"/>
      <c r="BA280" s="798"/>
      <c r="BB280" s="798"/>
      <c r="BC280" s="798"/>
      <c r="BD280" s="798"/>
      <c r="BE280" s="798"/>
      <c r="BF280" s="798"/>
      <c r="BG280" s="798"/>
      <c r="BH280" s="798"/>
      <c r="BI280" s="798"/>
      <c r="BJ280" s="798"/>
      <c r="BK280" s="798"/>
      <c r="BL280" s="798"/>
      <c r="BM280" s="798"/>
      <c r="BN280" s="798"/>
      <c r="BO280" s="798"/>
      <c r="BP280" s="798"/>
      <c r="BQ280" s="798"/>
      <c r="BR280" s="798"/>
      <c r="BS280" s="798"/>
      <c r="BT280" s="798"/>
      <c r="BU280" s="798"/>
      <c r="BV280" s="798"/>
      <c r="BW280" s="798"/>
      <c r="BX280" s="798"/>
      <c r="BY280" s="798"/>
      <c r="BZ280" s="798"/>
      <c r="CA280" s="798"/>
      <c r="CB280" s="798"/>
      <c r="CC280" s="798"/>
      <c r="CD280" s="798"/>
      <c r="CE280" s="798"/>
      <c r="CF280" s="798"/>
      <c r="CG280" s="798"/>
      <c r="CH280" s="798"/>
      <c r="CI280" s="798"/>
      <c r="CJ280" s="798"/>
      <c r="CK280" s="798"/>
      <c r="CL280" s="798"/>
      <c r="CM280" s="798"/>
      <c r="CN280" s="798"/>
      <c r="CO280" s="798"/>
      <c r="CP280" s="798"/>
      <c r="CQ280" s="798"/>
      <c r="CR280" s="798"/>
      <c r="CS280" s="798"/>
      <c r="CT280" s="798"/>
      <c r="CU280" s="798"/>
      <c r="CV280" s="798"/>
      <c r="CW280" s="798"/>
      <c r="CX280" s="798"/>
      <c r="CY280" s="798"/>
      <c r="CZ280" s="798"/>
      <c r="DA280" s="798"/>
      <c r="DB280" s="798"/>
      <c r="DC280" s="798"/>
      <c r="DD280" s="798"/>
      <c r="DE280" s="798"/>
      <c r="DF280" s="798"/>
      <c r="DG280" s="798"/>
      <c r="DH280" s="798"/>
      <c r="DI280" s="798"/>
      <c r="DJ280" s="798"/>
      <c r="DK280" s="798"/>
      <c r="DL280" s="798"/>
      <c r="DM280" s="798"/>
      <c r="DN280" s="798"/>
      <c r="DO280" s="798"/>
      <c r="DP280" s="798"/>
      <c r="DQ280" s="798"/>
      <c r="DR280" s="798"/>
      <c r="DS280" s="798"/>
      <c r="DT280" s="798"/>
      <c r="DU280" s="798"/>
      <c r="DV280" s="798"/>
      <c r="DW280" s="798"/>
      <c r="DX280" s="798"/>
      <c r="DY280" s="798"/>
      <c r="DZ280" s="798"/>
      <c r="EA280" s="798"/>
      <c r="EB280" s="798"/>
      <c r="EC280" s="798"/>
      <c r="ED280" s="798"/>
      <c r="EE280" s="798"/>
      <c r="EF280" s="798"/>
      <c r="EG280" s="798"/>
      <c r="EH280" s="782"/>
    </row>
    <row r="281" spans="1:138" ht="12.75" customHeight="1" x14ac:dyDescent="0.3">
      <c r="A281" s="782"/>
      <c r="B281" s="782" t="s">
        <v>336</v>
      </c>
      <c r="C281" s="798"/>
      <c r="D281" s="782"/>
      <c r="E281" s="798">
        <f>E265</f>
        <v>0</v>
      </c>
      <c r="F281" s="798">
        <f t="shared" ref="F281:BQ281" si="212">F265</f>
        <v>0</v>
      </c>
      <c r="G281" s="798">
        <f t="shared" si="212"/>
        <v>0</v>
      </c>
      <c r="H281" s="798">
        <f t="shared" si="212"/>
        <v>0</v>
      </c>
      <c r="I281" s="798">
        <f t="shared" si="212"/>
        <v>0</v>
      </c>
      <c r="J281" s="798">
        <f t="shared" si="212"/>
        <v>0</v>
      </c>
      <c r="K281" s="798">
        <f t="shared" si="212"/>
        <v>0</v>
      </c>
      <c r="L281" s="798">
        <f t="shared" si="212"/>
        <v>0</v>
      </c>
      <c r="M281" s="798">
        <f t="shared" si="212"/>
        <v>0</v>
      </c>
      <c r="N281" s="798">
        <f t="shared" si="212"/>
        <v>0</v>
      </c>
      <c r="O281" s="798">
        <f t="shared" si="212"/>
        <v>0</v>
      </c>
      <c r="P281" s="798">
        <f t="shared" si="212"/>
        <v>0</v>
      </c>
      <c r="Q281" s="798">
        <f t="shared" si="212"/>
        <v>0</v>
      </c>
      <c r="R281" s="798">
        <f t="shared" si="212"/>
        <v>0</v>
      </c>
      <c r="S281" s="798">
        <f t="shared" si="212"/>
        <v>0</v>
      </c>
      <c r="T281" s="798">
        <f t="shared" si="212"/>
        <v>0</v>
      </c>
      <c r="U281" s="798">
        <f t="shared" si="212"/>
        <v>0</v>
      </c>
      <c r="V281" s="798">
        <f t="shared" si="212"/>
        <v>0</v>
      </c>
      <c r="W281" s="798">
        <f t="shared" si="212"/>
        <v>0</v>
      </c>
      <c r="X281" s="798">
        <f t="shared" si="212"/>
        <v>0</v>
      </c>
      <c r="Y281" s="798">
        <f t="shared" si="212"/>
        <v>0</v>
      </c>
      <c r="Z281" s="798">
        <f t="shared" si="212"/>
        <v>0</v>
      </c>
      <c r="AA281" s="798">
        <f t="shared" si="212"/>
        <v>0</v>
      </c>
      <c r="AB281" s="798">
        <f t="shared" si="212"/>
        <v>0</v>
      </c>
      <c r="AC281" s="798">
        <f t="shared" si="212"/>
        <v>0</v>
      </c>
      <c r="AD281" s="798">
        <f t="shared" si="212"/>
        <v>0</v>
      </c>
      <c r="AE281" s="798">
        <f t="shared" si="212"/>
        <v>0</v>
      </c>
      <c r="AF281" s="798">
        <f t="shared" si="212"/>
        <v>0</v>
      </c>
      <c r="AG281" s="798">
        <f t="shared" si="212"/>
        <v>0</v>
      </c>
      <c r="AH281" s="798">
        <f t="shared" si="212"/>
        <v>0</v>
      </c>
      <c r="AI281" s="798">
        <f t="shared" si="212"/>
        <v>0</v>
      </c>
      <c r="AJ281" s="798">
        <f t="shared" si="212"/>
        <v>0</v>
      </c>
      <c r="AK281" s="798">
        <f t="shared" si="212"/>
        <v>-60916274.722085506</v>
      </c>
      <c r="AL281" s="798">
        <f t="shared" si="212"/>
        <v>14315530.3242827</v>
      </c>
      <c r="AM281" s="798">
        <f t="shared" si="212"/>
        <v>205293.34606116661</v>
      </c>
      <c r="AN281" s="798">
        <f t="shared" si="212"/>
        <v>207793.40423970085</v>
      </c>
      <c r="AO281" s="798">
        <f t="shared" si="212"/>
        <v>210260.10262606523</v>
      </c>
      <c r="AP281" s="798">
        <f t="shared" si="212"/>
        <v>211885.65974115423</v>
      </c>
      <c r="AQ281" s="798">
        <f t="shared" si="212"/>
        <v>215188.01193420406</v>
      </c>
      <c r="AR281" s="798">
        <f t="shared" si="212"/>
        <v>218012.9416200624</v>
      </c>
      <c r="AS281" s="798">
        <f t="shared" si="212"/>
        <v>213181.07686987985</v>
      </c>
      <c r="AT281" s="798">
        <f t="shared" si="212"/>
        <v>214770.00861920218</v>
      </c>
      <c r="AU281" s="798">
        <f t="shared" si="212"/>
        <v>216264.46058470523</v>
      </c>
      <c r="AV281" s="798">
        <f t="shared" si="212"/>
        <v>218515.59404432448</v>
      </c>
      <c r="AW281" s="798">
        <f t="shared" si="212"/>
        <v>220675.94358853242</v>
      </c>
      <c r="AX281" s="798">
        <f t="shared" si="212"/>
        <v>222710.56184153532</v>
      </c>
      <c r="AY281" s="798">
        <f t="shared" si="212"/>
        <v>224665.72728851769</v>
      </c>
      <c r="AZ281" s="798">
        <f t="shared" si="212"/>
        <v>226548.52262565284</v>
      </c>
      <c r="BA281" s="798">
        <f t="shared" si="212"/>
        <v>228304.85297686295</v>
      </c>
      <c r="BB281" s="798">
        <f t="shared" si="212"/>
        <v>229344.9930368007</v>
      </c>
      <c r="BC281" s="798">
        <f t="shared" si="212"/>
        <v>231542.10904179295</v>
      </c>
      <c r="BD281" s="798">
        <f t="shared" si="212"/>
        <v>233317.7080138704</v>
      </c>
      <c r="BE281" s="798">
        <f t="shared" si="212"/>
        <v>229013.16839337221</v>
      </c>
      <c r="BF281" s="798">
        <f t="shared" si="212"/>
        <v>229911.66091752306</v>
      </c>
      <c r="BG281" s="798">
        <f t="shared" si="212"/>
        <v>230813.78680437503</v>
      </c>
      <c r="BH281" s="798">
        <f t="shared" si="212"/>
        <v>232345.63973502186</v>
      </c>
      <c r="BI281" s="798">
        <f t="shared" si="212"/>
        <v>233902.4265315792</v>
      </c>
      <c r="BJ281" s="798">
        <f t="shared" si="212"/>
        <v>235545.94755839423</v>
      </c>
      <c r="BK281" s="798">
        <f t="shared" si="212"/>
        <v>237262.50476525677</v>
      </c>
      <c r="BL281" s="798">
        <f t="shared" si="212"/>
        <v>238991.57351446556</v>
      </c>
      <c r="BM281" s="798">
        <f t="shared" si="212"/>
        <v>240811.21361387809</v>
      </c>
      <c r="BN281" s="798">
        <f t="shared" si="212"/>
        <v>242002.34658988175</v>
      </c>
      <c r="BO281" s="798">
        <f t="shared" si="212"/>
        <v>244627.30669974274</v>
      </c>
      <c r="BP281" s="798">
        <f t="shared" si="212"/>
        <v>246922.0418636211</v>
      </c>
      <c r="BQ281" s="798">
        <f t="shared" si="212"/>
        <v>242733.25370419392</v>
      </c>
      <c r="BR281" s="798">
        <f t="shared" ref="BR281:DU281" si="213">BR265</f>
        <v>244033.96696505454</v>
      </c>
      <c r="BS281" s="798">
        <f t="shared" si="213"/>
        <v>245313.14997026659</v>
      </c>
      <c r="BT281" s="798">
        <f t="shared" si="213"/>
        <v>247377.11673495109</v>
      </c>
      <c r="BU281" s="798">
        <f t="shared" si="213"/>
        <v>249414.97281073497</v>
      </c>
      <c r="BV281" s="798">
        <f t="shared" si="213"/>
        <v>251479.3205969065</v>
      </c>
      <c r="BW281" s="798">
        <f t="shared" si="213"/>
        <v>253576.88775609701</v>
      </c>
      <c r="BX281" s="798">
        <f t="shared" si="213"/>
        <v>255660.88139998799</v>
      </c>
      <c r="BY281" s="798">
        <f t="shared" si="213"/>
        <v>257780.55934433491</v>
      </c>
      <c r="BZ281" s="798">
        <f t="shared" si="213"/>
        <v>259130.53765731424</v>
      </c>
      <c r="CA281" s="798">
        <f t="shared" si="213"/>
        <v>262044.06866613019</v>
      </c>
      <c r="CB281" s="798">
        <f t="shared" si="213"/>
        <v>264568.88723862561</v>
      </c>
      <c r="CC281" s="798">
        <f t="shared" si="213"/>
        <v>260334.62676779419</v>
      </c>
      <c r="CD281" s="798">
        <f t="shared" si="213"/>
        <v>261766.27506953065</v>
      </c>
      <c r="CE281" s="798">
        <f t="shared" si="213"/>
        <v>263169.39895795332</v>
      </c>
      <c r="CF281" s="798">
        <f t="shared" si="213"/>
        <v>265374.12330500968</v>
      </c>
      <c r="CG281" s="798">
        <f t="shared" si="213"/>
        <v>267569.84631198365</v>
      </c>
      <c r="CH281" s="798">
        <f t="shared" si="213"/>
        <v>269785.75663471175</v>
      </c>
      <c r="CI281" s="798">
        <f t="shared" si="213"/>
        <v>271981.27502716507</v>
      </c>
      <c r="CJ281" s="798">
        <f t="shared" si="213"/>
        <v>274209.9614994725</v>
      </c>
      <c r="CK281" s="798">
        <f t="shared" si="213"/>
        <v>276471.37765448482</v>
      </c>
      <c r="CL281" s="798">
        <f t="shared" si="213"/>
        <v>277910.21305872517</v>
      </c>
      <c r="CM281" s="798">
        <f t="shared" si="213"/>
        <v>280971.24051798158</v>
      </c>
      <c r="CN281" s="798">
        <f t="shared" si="213"/>
        <v>283611.40197433194</v>
      </c>
      <c r="CO281" s="798">
        <f t="shared" si="213"/>
        <v>279273.11677509604</v>
      </c>
      <c r="CP281" s="798">
        <f t="shared" si="213"/>
        <v>280770.93938649778</v>
      </c>
      <c r="CQ281" s="798">
        <f t="shared" si="213"/>
        <v>282239.46279127692</v>
      </c>
      <c r="CR281" s="798">
        <f t="shared" si="213"/>
        <v>284516.27143163967</v>
      </c>
      <c r="CS281" s="798">
        <f t="shared" si="213"/>
        <v>286814.10642290174</v>
      </c>
      <c r="CT281" s="798">
        <f t="shared" si="213"/>
        <v>289146.38855799765</v>
      </c>
      <c r="CU281" s="798">
        <f t="shared" si="213"/>
        <v>291451.51423692808</v>
      </c>
      <c r="CV281" s="798">
        <f t="shared" si="213"/>
        <v>293779.70006957493</v>
      </c>
      <c r="CW281" s="798">
        <f t="shared" si="213"/>
        <v>72613507.873999998</v>
      </c>
      <c r="CX281" s="798">
        <f t="shared" si="213"/>
        <v>0</v>
      </c>
      <c r="CY281" s="798">
        <f t="shared" si="213"/>
        <v>0</v>
      </c>
      <c r="CZ281" s="798">
        <f t="shared" si="213"/>
        <v>0</v>
      </c>
      <c r="DA281" s="798">
        <f t="shared" si="213"/>
        <v>0</v>
      </c>
      <c r="DB281" s="798">
        <f t="shared" si="213"/>
        <v>0</v>
      </c>
      <c r="DC281" s="798">
        <f t="shared" si="213"/>
        <v>0</v>
      </c>
      <c r="DD281" s="798">
        <f t="shared" si="213"/>
        <v>0</v>
      </c>
      <c r="DE281" s="798">
        <f t="shared" si="213"/>
        <v>0</v>
      </c>
      <c r="DF281" s="798">
        <f t="shared" si="213"/>
        <v>0</v>
      </c>
      <c r="DG281" s="798">
        <f t="shared" si="213"/>
        <v>0</v>
      </c>
      <c r="DH281" s="798">
        <f t="shared" si="213"/>
        <v>0</v>
      </c>
      <c r="DI281" s="798">
        <f t="shared" si="213"/>
        <v>0</v>
      </c>
      <c r="DJ281" s="798">
        <f t="shared" si="213"/>
        <v>0</v>
      </c>
      <c r="DK281" s="798">
        <f t="shared" si="213"/>
        <v>0</v>
      </c>
      <c r="DL281" s="798">
        <f t="shared" si="213"/>
        <v>0</v>
      </c>
      <c r="DM281" s="798">
        <f t="shared" si="213"/>
        <v>0</v>
      </c>
      <c r="DN281" s="798">
        <f t="shared" si="213"/>
        <v>0</v>
      </c>
      <c r="DO281" s="798">
        <f t="shared" si="213"/>
        <v>0</v>
      </c>
      <c r="DP281" s="798">
        <f t="shared" si="213"/>
        <v>0</v>
      </c>
      <c r="DQ281" s="798">
        <f t="shared" si="213"/>
        <v>0</v>
      </c>
      <c r="DR281" s="798">
        <f t="shared" si="213"/>
        <v>0</v>
      </c>
      <c r="DS281" s="798">
        <f t="shared" si="213"/>
        <v>0</v>
      </c>
      <c r="DT281" s="798">
        <f t="shared" si="213"/>
        <v>0</v>
      </c>
      <c r="DU281" s="798">
        <f t="shared" si="213"/>
        <v>0</v>
      </c>
      <c r="DV281" s="798"/>
      <c r="DW281" s="798"/>
      <c r="DX281" s="798"/>
      <c r="DY281" s="798"/>
      <c r="DZ281" s="798"/>
      <c r="EA281" s="798"/>
      <c r="EB281" s="798"/>
      <c r="EC281" s="798"/>
      <c r="ED281" s="798"/>
      <c r="EE281" s="798"/>
      <c r="EF281" s="798"/>
      <c r="EG281" s="798"/>
      <c r="EH281" s="782"/>
    </row>
    <row r="282" spans="1:138" ht="12.75" customHeight="1" x14ac:dyDescent="0.3">
      <c r="A282" s="782"/>
      <c r="B282" s="781" t="s">
        <v>163</v>
      </c>
      <c r="C282" s="799"/>
      <c r="D282" s="781"/>
      <c r="E282" s="799">
        <f t="shared" ref="E282:BP282" si="214">E277</f>
        <v>0</v>
      </c>
      <c r="F282" s="799">
        <f t="shared" si="214"/>
        <v>0</v>
      </c>
      <c r="G282" s="799">
        <f t="shared" si="214"/>
        <v>0</v>
      </c>
      <c r="H282" s="799">
        <f t="shared" si="214"/>
        <v>0</v>
      </c>
      <c r="I282" s="799">
        <f t="shared" si="214"/>
        <v>0</v>
      </c>
      <c r="J282" s="799">
        <f t="shared" si="214"/>
        <v>0</v>
      </c>
      <c r="K282" s="799">
        <f t="shared" si="214"/>
        <v>0</v>
      </c>
      <c r="L282" s="799">
        <f t="shared" si="214"/>
        <v>0</v>
      </c>
      <c r="M282" s="799">
        <f t="shared" si="214"/>
        <v>0</v>
      </c>
      <c r="N282" s="799">
        <f t="shared" si="214"/>
        <v>0</v>
      </c>
      <c r="O282" s="799">
        <f t="shared" si="214"/>
        <v>0</v>
      </c>
      <c r="P282" s="799">
        <f t="shared" si="214"/>
        <v>0</v>
      </c>
      <c r="Q282" s="799">
        <f t="shared" si="214"/>
        <v>0</v>
      </c>
      <c r="R282" s="799">
        <f t="shared" si="214"/>
        <v>0</v>
      </c>
      <c r="S282" s="799">
        <f t="shared" si="214"/>
        <v>0</v>
      </c>
      <c r="T282" s="799">
        <f t="shared" si="214"/>
        <v>0</v>
      </c>
      <c r="U282" s="799">
        <f t="shared" si="214"/>
        <v>0</v>
      </c>
      <c r="V282" s="799">
        <f t="shared" si="214"/>
        <v>0</v>
      </c>
      <c r="W282" s="799">
        <f t="shared" si="214"/>
        <v>0</v>
      </c>
      <c r="X282" s="799">
        <f t="shared" si="214"/>
        <v>0</v>
      </c>
      <c r="Y282" s="799">
        <f t="shared" si="214"/>
        <v>0</v>
      </c>
      <c r="Z282" s="799">
        <f t="shared" si="214"/>
        <v>0</v>
      </c>
      <c r="AA282" s="799">
        <f t="shared" si="214"/>
        <v>0</v>
      </c>
      <c r="AB282" s="799">
        <f t="shared" si="214"/>
        <v>0</v>
      </c>
      <c r="AC282" s="799">
        <f t="shared" si="214"/>
        <v>0</v>
      </c>
      <c r="AD282" s="799">
        <f t="shared" si="214"/>
        <v>0</v>
      </c>
      <c r="AE282" s="799">
        <f t="shared" si="214"/>
        <v>0</v>
      </c>
      <c r="AF282" s="799">
        <f t="shared" si="214"/>
        <v>0</v>
      </c>
      <c r="AG282" s="799">
        <f t="shared" si="214"/>
        <v>0</v>
      </c>
      <c r="AH282" s="799">
        <f t="shared" si="214"/>
        <v>0</v>
      </c>
      <c r="AI282" s="799">
        <f t="shared" si="214"/>
        <v>0</v>
      </c>
      <c r="AJ282" s="799">
        <f t="shared" si="214"/>
        <v>0</v>
      </c>
      <c r="AK282" s="799">
        <f t="shared" si="214"/>
        <v>-60916274.722085506</v>
      </c>
      <c r="AL282" s="799">
        <f t="shared" si="214"/>
        <v>14315530.3242827</v>
      </c>
      <c r="AM282" s="799">
        <f t="shared" si="214"/>
        <v>205293.34606116661</v>
      </c>
      <c r="AN282" s="799">
        <f t="shared" si="214"/>
        <v>207793.40423970085</v>
      </c>
      <c r="AO282" s="799">
        <f t="shared" si="214"/>
        <v>210260.10262606523</v>
      </c>
      <c r="AP282" s="799">
        <f t="shared" si="214"/>
        <v>211885.65974115423</v>
      </c>
      <c r="AQ282" s="799">
        <f t="shared" si="214"/>
        <v>215188.01193420406</v>
      </c>
      <c r="AR282" s="799">
        <f t="shared" si="214"/>
        <v>218012.9416200624</v>
      </c>
      <c r="AS282" s="799">
        <f t="shared" si="214"/>
        <v>213181.07686987985</v>
      </c>
      <c r="AT282" s="799">
        <f t="shared" si="214"/>
        <v>214770.00861920218</v>
      </c>
      <c r="AU282" s="799">
        <f t="shared" si="214"/>
        <v>216264.46058470523</v>
      </c>
      <c r="AV282" s="799">
        <f t="shared" si="214"/>
        <v>218515.59404432448</v>
      </c>
      <c r="AW282" s="799">
        <f t="shared" si="214"/>
        <v>220675.94358853242</v>
      </c>
      <c r="AX282" s="799">
        <f t="shared" si="214"/>
        <v>222710.56184153532</v>
      </c>
      <c r="AY282" s="799">
        <f t="shared" si="214"/>
        <v>224665.72728851769</v>
      </c>
      <c r="AZ282" s="799">
        <f t="shared" si="214"/>
        <v>226548.52262565284</v>
      </c>
      <c r="BA282" s="799">
        <f t="shared" si="214"/>
        <v>228304.85297686295</v>
      </c>
      <c r="BB282" s="799">
        <f t="shared" si="214"/>
        <v>229344.9930368007</v>
      </c>
      <c r="BC282" s="799">
        <f t="shared" si="214"/>
        <v>231542.10904179295</v>
      </c>
      <c r="BD282" s="799">
        <f t="shared" si="214"/>
        <v>233317.7080138704</v>
      </c>
      <c r="BE282" s="799">
        <f t="shared" si="214"/>
        <v>229013.16839337221</v>
      </c>
      <c r="BF282" s="799">
        <f t="shared" si="214"/>
        <v>229911.66091752306</v>
      </c>
      <c r="BG282" s="799">
        <f t="shared" si="214"/>
        <v>230813.78680437503</v>
      </c>
      <c r="BH282" s="799">
        <f t="shared" si="214"/>
        <v>232345.63973502186</v>
      </c>
      <c r="BI282" s="799">
        <f t="shared" si="214"/>
        <v>233902.4265315792</v>
      </c>
      <c r="BJ282" s="799">
        <f t="shared" si="214"/>
        <v>235545.94755839423</v>
      </c>
      <c r="BK282" s="799">
        <f t="shared" si="214"/>
        <v>237262.50476525677</v>
      </c>
      <c r="BL282" s="799">
        <f t="shared" si="214"/>
        <v>238991.57351446556</v>
      </c>
      <c r="BM282" s="799">
        <f t="shared" si="214"/>
        <v>240811.21361387809</v>
      </c>
      <c r="BN282" s="799">
        <f t="shared" si="214"/>
        <v>242002.34658988175</v>
      </c>
      <c r="BO282" s="799">
        <f t="shared" si="214"/>
        <v>244627.30669974274</v>
      </c>
      <c r="BP282" s="799">
        <f t="shared" si="214"/>
        <v>246922.0418636211</v>
      </c>
      <c r="BQ282" s="799">
        <f t="shared" ref="BQ282:DU282" si="215">BQ277</f>
        <v>242733.25370419392</v>
      </c>
      <c r="BR282" s="799">
        <f t="shared" si="215"/>
        <v>244033.96696505454</v>
      </c>
      <c r="BS282" s="799">
        <f t="shared" si="215"/>
        <v>245313.14997026659</v>
      </c>
      <c r="BT282" s="799">
        <f t="shared" si="215"/>
        <v>247377.11673495109</v>
      </c>
      <c r="BU282" s="799">
        <f t="shared" si="215"/>
        <v>249414.97281073497</v>
      </c>
      <c r="BV282" s="799">
        <f t="shared" si="215"/>
        <v>251479.3205969065</v>
      </c>
      <c r="BW282" s="799">
        <f t="shared" si="215"/>
        <v>253576.88775609701</v>
      </c>
      <c r="BX282" s="799">
        <f t="shared" si="215"/>
        <v>255660.88139998799</v>
      </c>
      <c r="BY282" s="799">
        <f t="shared" si="215"/>
        <v>257780.55934433491</v>
      </c>
      <c r="BZ282" s="799">
        <f t="shared" si="215"/>
        <v>259130.53765731424</v>
      </c>
      <c r="CA282" s="799">
        <f t="shared" si="215"/>
        <v>262044.06866613019</v>
      </c>
      <c r="CB282" s="799">
        <f t="shared" si="215"/>
        <v>264568.88723862561</v>
      </c>
      <c r="CC282" s="799">
        <f t="shared" si="215"/>
        <v>260334.62676779419</v>
      </c>
      <c r="CD282" s="799">
        <f t="shared" si="215"/>
        <v>261766.27506953065</v>
      </c>
      <c r="CE282" s="799">
        <f t="shared" si="215"/>
        <v>263169.39895795332</v>
      </c>
      <c r="CF282" s="799">
        <f t="shared" si="215"/>
        <v>265374.12330500968</v>
      </c>
      <c r="CG282" s="799">
        <f t="shared" si="215"/>
        <v>267569.84631198365</v>
      </c>
      <c r="CH282" s="799">
        <f t="shared" si="215"/>
        <v>269785.75663471175</v>
      </c>
      <c r="CI282" s="799">
        <f t="shared" si="215"/>
        <v>271981.27502716507</v>
      </c>
      <c r="CJ282" s="799">
        <f t="shared" si="215"/>
        <v>274209.9614994725</v>
      </c>
      <c r="CK282" s="799">
        <f t="shared" si="215"/>
        <v>276471.37765448482</v>
      </c>
      <c r="CL282" s="799">
        <f t="shared" si="215"/>
        <v>277910.21305872517</v>
      </c>
      <c r="CM282" s="799">
        <f t="shared" si="215"/>
        <v>280971.24051798158</v>
      </c>
      <c r="CN282" s="799">
        <f t="shared" si="215"/>
        <v>283611.40197433194</v>
      </c>
      <c r="CO282" s="799">
        <f t="shared" si="215"/>
        <v>279273.11677509604</v>
      </c>
      <c r="CP282" s="799">
        <f t="shared" si="215"/>
        <v>280770.93938649778</v>
      </c>
      <c r="CQ282" s="799">
        <f t="shared" si="215"/>
        <v>282239.46279127692</v>
      </c>
      <c r="CR282" s="799">
        <f t="shared" si="215"/>
        <v>284516.27143163967</v>
      </c>
      <c r="CS282" s="799">
        <f t="shared" si="215"/>
        <v>286814.10642290174</v>
      </c>
      <c r="CT282" s="799">
        <f t="shared" si="215"/>
        <v>289146.38855799765</v>
      </c>
      <c r="CU282" s="799">
        <f t="shared" si="215"/>
        <v>291451.51423692808</v>
      </c>
      <c r="CV282" s="799">
        <f t="shared" si="215"/>
        <v>293779.70006957493</v>
      </c>
      <c r="CW282" s="799">
        <f t="shared" si="215"/>
        <v>52471820.410454184</v>
      </c>
      <c r="CX282" s="799">
        <f t="shared" si="215"/>
        <v>0</v>
      </c>
      <c r="CY282" s="799">
        <f t="shared" si="215"/>
        <v>0</v>
      </c>
      <c r="CZ282" s="799">
        <f t="shared" si="215"/>
        <v>0</v>
      </c>
      <c r="DA282" s="799">
        <f t="shared" si="215"/>
        <v>0</v>
      </c>
      <c r="DB282" s="799">
        <f t="shared" si="215"/>
        <v>0</v>
      </c>
      <c r="DC282" s="799">
        <f t="shared" si="215"/>
        <v>0</v>
      </c>
      <c r="DD282" s="799">
        <f t="shared" si="215"/>
        <v>0</v>
      </c>
      <c r="DE282" s="799">
        <f t="shared" si="215"/>
        <v>0</v>
      </c>
      <c r="DF282" s="799">
        <f t="shared" si="215"/>
        <v>0</v>
      </c>
      <c r="DG282" s="799">
        <f t="shared" si="215"/>
        <v>0</v>
      </c>
      <c r="DH282" s="799">
        <f t="shared" si="215"/>
        <v>0</v>
      </c>
      <c r="DI282" s="799">
        <f t="shared" si="215"/>
        <v>0</v>
      </c>
      <c r="DJ282" s="799">
        <f t="shared" si="215"/>
        <v>0</v>
      </c>
      <c r="DK282" s="799">
        <f t="shared" si="215"/>
        <v>0</v>
      </c>
      <c r="DL282" s="799">
        <f t="shared" si="215"/>
        <v>0</v>
      </c>
      <c r="DM282" s="799">
        <f t="shared" si="215"/>
        <v>0</v>
      </c>
      <c r="DN282" s="799">
        <f t="shared" si="215"/>
        <v>0</v>
      </c>
      <c r="DO282" s="799">
        <f t="shared" si="215"/>
        <v>0</v>
      </c>
      <c r="DP282" s="799">
        <f t="shared" si="215"/>
        <v>0</v>
      </c>
      <c r="DQ282" s="799">
        <f t="shared" si="215"/>
        <v>0</v>
      </c>
      <c r="DR282" s="799">
        <f t="shared" si="215"/>
        <v>0</v>
      </c>
      <c r="DS282" s="799">
        <f t="shared" si="215"/>
        <v>0</v>
      </c>
      <c r="DT282" s="799">
        <f t="shared" si="215"/>
        <v>0</v>
      </c>
      <c r="DU282" s="799">
        <f t="shared" si="215"/>
        <v>0</v>
      </c>
      <c r="DV282" s="798"/>
      <c r="DW282" s="798"/>
      <c r="DX282" s="798"/>
      <c r="DY282" s="798"/>
      <c r="DZ282" s="798"/>
      <c r="EA282" s="798"/>
      <c r="EB282" s="798"/>
      <c r="EC282" s="798"/>
      <c r="ED282" s="798"/>
      <c r="EE282" s="798"/>
      <c r="EF282" s="798"/>
      <c r="EG282" s="798"/>
      <c r="EH282" s="782"/>
    </row>
    <row r="283" spans="1:138" ht="12.75" customHeight="1" x14ac:dyDescent="0.3">
      <c r="A283" s="782"/>
      <c r="B283" s="782" t="s">
        <v>164</v>
      </c>
      <c r="C283" s="798"/>
      <c r="D283" s="782"/>
      <c r="E283" s="798">
        <f t="shared" ref="E283:BP283" si="216">E281-E282</f>
        <v>0</v>
      </c>
      <c r="F283" s="798">
        <f t="shared" si="216"/>
        <v>0</v>
      </c>
      <c r="G283" s="798">
        <f t="shared" si="216"/>
        <v>0</v>
      </c>
      <c r="H283" s="798">
        <f t="shared" si="216"/>
        <v>0</v>
      </c>
      <c r="I283" s="798">
        <f t="shared" si="216"/>
        <v>0</v>
      </c>
      <c r="J283" s="798">
        <f t="shared" si="216"/>
        <v>0</v>
      </c>
      <c r="K283" s="798">
        <f t="shared" si="216"/>
        <v>0</v>
      </c>
      <c r="L283" s="798">
        <f t="shared" si="216"/>
        <v>0</v>
      </c>
      <c r="M283" s="798">
        <f t="shared" si="216"/>
        <v>0</v>
      </c>
      <c r="N283" s="798">
        <f t="shared" si="216"/>
        <v>0</v>
      </c>
      <c r="O283" s="798">
        <f t="shared" si="216"/>
        <v>0</v>
      </c>
      <c r="P283" s="798">
        <f t="shared" si="216"/>
        <v>0</v>
      </c>
      <c r="Q283" s="798">
        <f t="shared" si="216"/>
        <v>0</v>
      </c>
      <c r="R283" s="798">
        <f t="shared" si="216"/>
        <v>0</v>
      </c>
      <c r="S283" s="798">
        <f t="shared" si="216"/>
        <v>0</v>
      </c>
      <c r="T283" s="798">
        <f t="shared" si="216"/>
        <v>0</v>
      </c>
      <c r="U283" s="798">
        <f t="shared" si="216"/>
        <v>0</v>
      </c>
      <c r="V283" s="798">
        <f t="shared" si="216"/>
        <v>0</v>
      </c>
      <c r="W283" s="798">
        <f t="shared" si="216"/>
        <v>0</v>
      </c>
      <c r="X283" s="798">
        <f t="shared" si="216"/>
        <v>0</v>
      </c>
      <c r="Y283" s="798">
        <f t="shared" si="216"/>
        <v>0</v>
      </c>
      <c r="Z283" s="798">
        <f t="shared" si="216"/>
        <v>0</v>
      </c>
      <c r="AA283" s="798">
        <f t="shared" si="216"/>
        <v>0</v>
      </c>
      <c r="AB283" s="798">
        <f t="shared" si="216"/>
        <v>0</v>
      </c>
      <c r="AC283" s="798">
        <f t="shared" si="216"/>
        <v>0</v>
      </c>
      <c r="AD283" s="798">
        <f t="shared" si="216"/>
        <v>0</v>
      </c>
      <c r="AE283" s="798">
        <f t="shared" si="216"/>
        <v>0</v>
      </c>
      <c r="AF283" s="798">
        <f t="shared" si="216"/>
        <v>0</v>
      </c>
      <c r="AG283" s="798">
        <f t="shared" si="216"/>
        <v>0</v>
      </c>
      <c r="AH283" s="798">
        <f t="shared" si="216"/>
        <v>0</v>
      </c>
      <c r="AI283" s="798">
        <f t="shared" si="216"/>
        <v>0</v>
      </c>
      <c r="AJ283" s="798">
        <f t="shared" si="216"/>
        <v>0</v>
      </c>
      <c r="AK283" s="798">
        <f t="shared" si="216"/>
        <v>0</v>
      </c>
      <c r="AL283" s="798">
        <f t="shared" si="216"/>
        <v>0</v>
      </c>
      <c r="AM283" s="798">
        <f t="shared" si="216"/>
        <v>0</v>
      </c>
      <c r="AN283" s="798">
        <f t="shared" si="216"/>
        <v>0</v>
      </c>
      <c r="AO283" s="798">
        <f t="shared" si="216"/>
        <v>0</v>
      </c>
      <c r="AP283" s="798">
        <f t="shared" si="216"/>
        <v>0</v>
      </c>
      <c r="AQ283" s="798">
        <f t="shared" si="216"/>
        <v>0</v>
      </c>
      <c r="AR283" s="798">
        <f t="shared" si="216"/>
        <v>0</v>
      </c>
      <c r="AS283" s="798">
        <f t="shared" si="216"/>
        <v>0</v>
      </c>
      <c r="AT283" s="798">
        <f t="shared" si="216"/>
        <v>0</v>
      </c>
      <c r="AU283" s="798">
        <f t="shared" si="216"/>
        <v>0</v>
      </c>
      <c r="AV283" s="798">
        <f t="shared" si="216"/>
        <v>0</v>
      </c>
      <c r="AW283" s="798">
        <f t="shared" si="216"/>
        <v>0</v>
      </c>
      <c r="AX283" s="798">
        <f t="shared" si="216"/>
        <v>0</v>
      </c>
      <c r="AY283" s="798">
        <f t="shared" si="216"/>
        <v>0</v>
      </c>
      <c r="AZ283" s="798">
        <f t="shared" si="216"/>
        <v>0</v>
      </c>
      <c r="BA283" s="798">
        <f t="shared" si="216"/>
        <v>0</v>
      </c>
      <c r="BB283" s="798">
        <f t="shared" si="216"/>
        <v>0</v>
      </c>
      <c r="BC283" s="798">
        <f t="shared" si="216"/>
        <v>0</v>
      </c>
      <c r="BD283" s="798">
        <f t="shared" si="216"/>
        <v>0</v>
      </c>
      <c r="BE283" s="798">
        <f t="shared" si="216"/>
        <v>0</v>
      </c>
      <c r="BF283" s="798">
        <f t="shared" si="216"/>
        <v>0</v>
      </c>
      <c r="BG283" s="798">
        <f t="shared" si="216"/>
        <v>0</v>
      </c>
      <c r="BH283" s="798">
        <f t="shared" si="216"/>
        <v>0</v>
      </c>
      <c r="BI283" s="798">
        <f t="shared" si="216"/>
        <v>0</v>
      </c>
      <c r="BJ283" s="798">
        <f t="shared" si="216"/>
        <v>0</v>
      </c>
      <c r="BK283" s="798">
        <f t="shared" si="216"/>
        <v>0</v>
      </c>
      <c r="BL283" s="798">
        <f t="shared" si="216"/>
        <v>0</v>
      </c>
      <c r="BM283" s="798">
        <f t="shared" si="216"/>
        <v>0</v>
      </c>
      <c r="BN283" s="798">
        <f t="shared" si="216"/>
        <v>0</v>
      </c>
      <c r="BO283" s="798">
        <f t="shared" si="216"/>
        <v>0</v>
      </c>
      <c r="BP283" s="798">
        <f t="shared" si="216"/>
        <v>0</v>
      </c>
      <c r="BQ283" s="798">
        <f t="shared" ref="BQ283:DU283" si="217">BQ281-BQ282</f>
        <v>0</v>
      </c>
      <c r="BR283" s="798">
        <f t="shared" si="217"/>
        <v>0</v>
      </c>
      <c r="BS283" s="798">
        <f t="shared" si="217"/>
        <v>0</v>
      </c>
      <c r="BT283" s="798">
        <f t="shared" si="217"/>
        <v>0</v>
      </c>
      <c r="BU283" s="798">
        <f t="shared" si="217"/>
        <v>0</v>
      </c>
      <c r="BV283" s="798">
        <f t="shared" si="217"/>
        <v>0</v>
      </c>
      <c r="BW283" s="798">
        <f t="shared" si="217"/>
        <v>0</v>
      </c>
      <c r="BX283" s="798">
        <f t="shared" si="217"/>
        <v>0</v>
      </c>
      <c r="BY283" s="798">
        <f t="shared" si="217"/>
        <v>0</v>
      </c>
      <c r="BZ283" s="798">
        <f t="shared" si="217"/>
        <v>0</v>
      </c>
      <c r="CA283" s="798">
        <f t="shared" si="217"/>
        <v>0</v>
      </c>
      <c r="CB283" s="798">
        <f t="shared" si="217"/>
        <v>0</v>
      </c>
      <c r="CC283" s="798">
        <f t="shared" si="217"/>
        <v>0</v>
      </c>
      <c r="CD283" s="798">
        <f t="shared" si="217"/>
        <v>0</v>
      </c>
      <c r="CE283" s="798">
        <f t="shared" si="217"/>
        <v>0</v>
      </c>
      <c r="CF283" s="798">
        <f t="shared" si="217"/>
        <v>0</v>
      </c>
      <c r="CG283" s="798">
        <f t="shared" si="217"/>
        <v>0</v>
      </c>
      <c r="CH283" s="798">
        <f t="shared" si="217"/>
        <v>0</v>
      </c>
      <c r="CI283" s="798">
        <f t="shared" si="217"/>
        <v>0</v>
      </c>
      <c r="CJ283" s="798">
        <f t="shared" si="217"/>
        <v>0</v>
      </c>
      <c r="CK283" s="798">
        <f t="shared" si="217"/>
        <v>0</v>
      </c>
      <c r="CL283" s="798">
        <f t="shared" si="217"/>
        <v>0</v>
      </c>
      <c r="CM283" s="798">
        <f t="shared" si="217"/>
        <v>0</v>
      </c>
      <c r="CN283" s="798">
        <f t="shared" si="217"/>
        <v>0</v>
      </c>
      <c r="CO283" s="798">
        <f t="shared" si="217"/>
        <v>0</v>
      </c>
      <c r="CP283" s="798">
        <f t="shared" si="217"/>
        <v>0</v>
      </c>
      <c r="CQ283" s="798">
        <f t="shared" si="217"/>
        <v>0</v>
      </c>
      <c r="CR283" s="798">
        <f t="shared" si="217"/>
        <v>0</v>
      </c>
      <c r="CS283" s="798">
        <f t="shared" si="217"/>
        <v>0</v>
      </c>
      <c r="CT283" s="798">
        <f t="shared" si="217"/>
        <v>0</v>
      </c>
      <c r="CU283" s="798">
        <f t="shared" si="217"/>
        <v>0</v>
      </c>
      <c r="CV283" s="798">
        <f t="shared" si="217"/>
        <v>0</v>
      </c>
      <c r="CW283" s="798">
        <f t="shared" si="217"/>
        <v>20141687.463545814</v>
      </c>
      <c r="CX283" s="798">
        <f t="shared" si="217"/>
        <v>0</v>
      </c>
      <c r="CY283" s="798">
        <f t="shared" si="217"/>
        <v>0</v>
      </c>
      <c r="CZ283" s="798">
        <f t="shared" si="217"/>
        <v>0</v>
      </c>
      <c r="DA283" s="798">
        <f t="shared" si="217"/>
        <v>0</v>
      </c>
      <c r="DB283" s="798">
        <f t="shared" si="217"/>
        <v>0</v>
      </c>
      <c r="DC283" s="798">
        <f t="shared" si="217"/>
        <v>0</v>
      </c>
      <c r="DD283" s="798">
        <f t="shared" si="217"/>
        <v>0</v>
      </c>
      <c r="DE283" s="798">
        <f t="shared" si="217"/>
        <v>0</v>
      </c>
      <c r="DF283" s="798">
        <f t="shared" si="217"/>
        <v>0</v>
      </c>
      <c r="DG283" s="798">
        <f t="shared" si="217"/>
        <v>0</v>
      </c>
      <c r="DH283" s="798">
        <f t="shared" si="217"/>
        <v>0</v>
      </c>
      <c r="DI283" s="798">
        <f t="shared" si="217"/>
        <v>0</v>
      </c>
      <c r="DJ283" s="798">
        <f t="shared" si="217"/>
        <v>0</v>
      </c>
      <c r="DK283" s="798">
        <f t="shared" si="217"/>
        <v>0</v>
      </c>
      <c r="DL283" s="798">
        <f t="shared" si="217"/>
        <v>0</v>
      </c>
      <c r="DM283" s="798">
        <f t="shared" si="217"/>
        <v>0</v>
      </c>
      <c r="DN283" s="798">
        <f t="shared" si="217"/>
        <v>0</v>
      </c>
      <c r="DO283" s="798">
        <f t="shared" si="217"/>
        <v>0</v>
      </c>
      <c r="DP283" s="798">
        <f t="shared" si="217"/>
        <v>0</v>
      </c>
      <c r="DQ283" s="798">
        <f t="shared" si="217"/>
        <v>0</v>
      </c>
      <c r="DR283" s="798">
        <f t="shared" si="217"/>
        <v>0</v>
      </c>
      <c r="DS283" s="798">
        <f t="shared" si="217"/>
        <v>0</v>
      </c>
      <c r="DT283" s="798">
        <f t="shared" si="217"/>
        <v>0</v>
      </c>
      <c r="DU283" s="798">
        <f t="shared" si="217"/>
        <v>0</v>
      </c>
      <c r="DV283" s="798"/>
      <c r="DW283" s="798"/>
      <c r="DX283" s="798"/>
      <c r="DY283" s="798"/>
      <c r="DZ283" s="798"/>
      <c r="EA283" s="798"/>
      <c r="EB283" s="798"/>
      <c r="EC283" s="798"/>
      <c r="ED283" s="798"/>
      <c r="EE283" s="798"/>
      <c r="EF283" s="798"/>
      <c r="EG283" s="798"/>
      <c r="EH283" s="782"/>
    </row>
    <row r="284" spans="1:138" ht="12.75" customHeight="1" x14ac:dyDescent="0.3">
      <c r="A284" s="782"/>
      <c r="B284" s="782"/>
      <c r="C284" s="798"/>
      <c r="D284" s="782"/>
      <c r="E284" s="798"/>
      <c r="F284" s="798"/>
      <c r="G284" s="798"/>
      <c r="H284" s="798"/>
      <c r="I284" s="798"/>
      <c r="J284" s="798"/>
      <c r="K284" s="798"/>
      <c r="L284" s="798"/>
      <c r="M284" s="798"/>
      <c r="N284" s="798"/>
      <c r="O284" s="798"/>
      <c r="P284" s="798"/>
      <c r="Q284" s="798"/>
      <c r="R284" s="798"/>
      <c r="S284" s="798"/>
      <c r="T284" s="798"/>
      <c r="U284" s="798"/>
      <c r="V284" s="798"/>
      <c r="W284" s="798"/>
      <c r="X284" s="798"/>
      <c r="Y284" s="798"/>
      <c r="Z284" s="798"/>
      <c r="AA284" s="798"/>
      <c r="AB284" s="798"/>
      <c r="AC284" s="798"/>
      <c r="AD284" s="798"/>
      <c r="AE284" s="798"/>
      <c r="AF284" s="798"/>
      <c r="AG284" s="798"/>
      <c r="AH284" s="798"/>
      <c r="AI284" s="798"/>
      <c r="AJ284" s="798"/>
      <c r="AK284" s="798"/>
      <c r="AL284" s="798"/>
      <c r="AM284" s="798"/>
      <c r="AN284" s="798"/>
      <c r="AO284" s="798"/>
      <c r="AP284" s="798"/>
      <c r="AQ284" s="798"/>
      <c r="AR284" s="798"/>
      <c r="AS284" s="798"/>
      <c r="AT284" s="798"/>
      <c r="AU284" s="798"/>
      <c r="AV284" s="798"/>
      <c r="AW284" s="798"/>
      <c r="AX284" s="798"/>
      <c r="AY284" s="798"/>
      <c r="AZ284" s="798"/>
      <c r="BA284" s="798"/>
      <c r="BB284" s="798"/>
      <c r="BC284" s="798"/>
      <c r="BD284" s="798"/>
      <c r="BE284" s="798"/>
      <c r="BF284" s="798"/>
      <c r="BG284" s="798"/>
      <c r="BH284" s="798"/>
      <c r="BI284" s="798"/>
      <c r="BJ284" s="798"/>
      <c r="BK284" s="798"/>
      <c r="BL284" s="798"/>
      <c r="BM284" s="798"/>
      <c r="BN284" s="798"/>
      <c r="BO284" s="798"/>
      <c r="BP284" s="798"/>
      <c r="BQ284" s="798"/>
      <c r="BR284" s="798"/>
      <c r="BS284" s="798"/>
      <c r="BT284" s="798"/>
      <c r="BU284" s="798"/>
      <c r="BV284" s="798"/>
      <c r="BW284" s="798"/>
      <c r="BX284" s="798"/>
      <c r="BY284" s="798"/>
      <c r="BZ284" s="798"/>
      <c r="CA284" s="798"/>
      <c r="CB284" s="798"/>
      <c r="CC284" s="798"/>
      <c r="CD284" s="798"/>
      <c r="CE284" s="798"/>
      <c r="CF284" s="798"/>
      <c r="CG284" s="798"/>
      <c r="CH284" s="798"/>
      <c r="CI284" s="798"/>
      <c r="CJ284" s="798"/>
      <c r="CK284" s="798"/>
      <c r="CL284" s="798"/>
      <c r="CM284" s="798"/>
      <c r="CN284" s="798"/>
      <c r="CO284" s="798"/>
      <c r="CP284" s="798"/>
      <c r="CQ284" s="798"/>
      <c r="CR284" s="798"/>
      <c r="CS284" s="798"/>
      <c r="CT284" s="798"/>
      <c r="CU284" s="798"/>
      <c r="CV284" s="798"/>
      <c r="CW284" s="798"/>
      <c r="CX284" s="798"/>
      <c r="CY284" s="798"/>
      <c r="CZ284" s="798"/>
      <c r="DA284" s="798"/>
      <c r="DB284" s="798"/>
      <c r="DC284" s="798"/>
      <c r="DD284" s="798"/>
      <c r="DE284" s="798"/>
      <c r="DF284" s="798"/>
      <c r="DG284" s="798"/>
      <c r="DH284" s="798"/>
      <c r="DI284" s="798"/>
      <c r="DJ284" s="798"/>
      <c r="DK284" s="798"/>
      <c r="DL284" s="798"/>
      <c r="DM284" s="798"/>
      <c r="DN284" s="798"/>
      <c r="DO284" s="798"/>
      <c r="DP284" s="798"/>
      <c r="DQ284" s="798"/>
      <c r="DR284" s="798"/>
      <c r="DS284" s="798"/>
      <c r="DT284" s="798"/>
      <c r="DU284" s="798"/>
      <c r="DV284" s="798"/>
      <c r="DW284" s="798"/>
      <c r="DX284" s="798"/>
      <c r="DY284" s="798"/>
      <c r="DZ284" s="798"/>
      <c r="EA284" s="798"/>
      <c r="EB284" s="798"/>
      <c r="EC284" s="798"/>
      <c r="ED284" s="798"/>
      <c r="EE284" s="798"/>
      <c r="EF284" s="798"/>
      <c r="EG284" s="798"/>
      <c r="EH284" s="782"/>
    </row>
    <row r="285" spans="1:138" ht="12.75" customHeight="1" x14ac:dyDescent="0.3">
      <c r="A285" s="782"/>
      <c r="B285" s="796" t="s">
        <v>165</v>
      </c>
      <c r="C285" s="798"/>
      <c r="D285" s="782"/>
      <c r="E285" s="798"/>
      <c r="F285" s="798"/>
      <c r="G285" s="798"/>
      <c r="H285" s="798"/>
      <c r="I285" s="798"/>
      <c r="J285" s="798"/>
      <c r="K285" s="798"/>
      <c r="L285" s="798"/>
      <c r="M285" s="798"/>
      <c r="N285" s="798"/>
      <c r="O285" s="798"/>
      <c r="P285" s="798"/>
      <c r="Q285" s="798"/>
      <c r="R285" s="798"/>
      <c r="S285" s="798"/>
      <c r="T285" s="798"/>
      <c r="U285" s="798"/>
      <c r="V285" s="798"/>
      <c r="W285" s="798"/>
      <c r="X285" s="798"/>
      <c r="Y285" s="798"/>
      <c r="Z285" s="798"/>
      <c r="AA285" s="798"/>
      <c r="AB285" s="798"/>
      <c r="AC285" s="798"/>
      <c r="AD285" s="798"/>
      <c r="AE285" s="798"/>
      <c r="AF285" s="798"/>
      <c r="AG285" s="798"/>
      <c r="AH285" s="798"/>
      <c r="AI285" s="798"/>
      <c r="AJ285" s="798"/>
      <c r="AK285" s="798"/>
      <c r="AL285" s="798"/>
      <c r="AM285" s="798"/>
      <c r="AN285" s="798"/>
      <c r="AO285" s="798"/>
      <c r="AP285" s="798"/>
      <c r="AQ285" s="798"/>
      <c r="AR285" s="798"/>
      <c r="AS285" s="798"/>
      <c r="AT285" s="798"/>
      <c r="AU285" s="798"/>
      <c r="AV285" s="798"/>
      <c r="AW285" s="798"/>
      <c r="AX285" s="798"/>
      <c r="AY285" s="798"/>
      <c r="AZ285" s="798"/>
      <c r="BA285" s="798"/>
      <c r="BB285" s="798"/>
      <c r="BC285" s="798"/>
      <c r="BD285" s="798"/>
      <c r="BE285" s="798"/>
      <c r="BF285" s="798"/>
      <c r="BG285" s="798"/>
      <c r="BH285" s="798"/>
      <c r="BI285" s="798"/>
      <c r="BJ285" s="798"/>
      <c r="BK285" s="798"/>
      <c r="BL285" s="798"/>
      <c r="BM285" s="798"/>
      <c r="BN285" s="798"/>
      <c r="BO285" s="798"/>
      <c r="BP285" s="798"/>
      <c r="BQ285" s="798"/>
      <c r="BR285" s="798"/>
      <c r="BS285" s="798"/>
      <c r="BT285" s="798"/>
      <c r="BU285" s="798"/>
      <c r="BV285" s="798"/>
      <c r="BW285" s="798"/>
      <c r="BX285" s="798"/>
      <c r="BY285" s="798"/>
      <c r="BZ285" s="798"/>
      <c r="CA285" s="798"/>
      <c r="CB285" s="798"/>
      <c r="CC285" s="798"/>
      <c r="CD285" s="798"/>
      <c r="CE285" s="798"/>
      <c r="CF285" s="798"/>
      <c r="CG285" s="798"/>
      <c r="CH285" s="798"/>
      <c r="CI285" s="798"/>
      <c r="CJ285" s="798"/>
      <c r="CK285" s="798"/>
      <c r="CL285" s="798"/>
      <c r="CM285" s="798"/>
      <c r="CN285" s="798"/>
      <c r="CO285" s="798"/>
      <c r="CP285" s="798"/>
      <c r="CQ285" s="798"/>
      <c r="CR285" s="798"/>
      <c r="CS285" s="798"/>
      <c r="CT285" s="798"/>
      <c r="CU285" s="798"/>
      <c r="CV285" s="798"/>
      <c r="CW285" s="798"/>
      <c r="CX285" s="798"/>
      <c r="CY285" s="798"/>
      <c r="CZ285" s="798"/>
      <c r="DA285" s="798"/>
      <c r="DB285" s="798"/>
      <c r="DC285" s="798"/>
      <c r="DD285" s="798"/>
      <c r="DE285" s="798"/>
      <c r="DF285" s="798"/>
      <c r="DG285" s="798"/>
      <c r="DH285" s="798"/>
      <c r="DI285" s="798"/>
      <c r="DJ285" s="798"/>
      <c r="DK285" s="798"/>
      <c r="DL285" s="798"/>
      <c r="DM285" s="798"/>
      <c r="DN285" s="798"/>
      <c r="DO285" s="798"/>
      <c r="DP285" s="798"/>
      <c r="DQ285" s="798"/>
      <c r="DR285" s="798"/>
      <c r="DS285" s="798"/>
      <c r="DT285" s="798"/>
      <c r="DU285" s="798"/>
      <c r="DV285" s="798"/>
      <c r="DW285" s="798"/>
      <c r="DX285" s="798"/>
      <c r="DY285" s="798"/>
      <c r="DZ285" s="798"/>
      <c r="EA285" s="798"/>
      <c r="EB285" s="798"/>
      <c r="EC285" s="798"/>
      <c r="ED285" s="798"/>
      <c r="EE285" s="798"/>
      <c r="EF285" s="798"/>
      <c r="EG285" s="798"/>
      <c r="EH285" s="782"/>
    </row>
    <row r="286" spans="1:138" ht="12.75" customHeight="1" x14ac:dyDescent="0.3">
      <c r="A286" s="782"/>
      <c r="B286" s="796"/>
      <c r="C286" s="798"/>
      <c r="D286" s="782"/>
      <c r="E286" s="798"/>
      <c r="F286" s="798"/>
      <c r="G286" s="798"/>
      <c r="H286" s="798"/>
      <c r="I286" s="798"/>
      <c r="J286" s="798"/>
      <c r="K286" s="798"/>
      <c r="L286" s="798"/>
      <c r="M286" s="798"/>
      <c r="N286" s="798"/>
      <c r="O286" s="798"/>
      <c r="P286" s="798"/>
      <c r="Q286" s="798"/>
      <c r="R286" s="798"/>
      <c r="S286" s="798"/>
      <c r="T286" s="798"/>
      <c r="U286" s="798"/>
      <c r="V286" s="798"/>
      <c r="W286" s="798"/>
      <c r="X286" s="798"/>
      <c r="Y286" s="798"/>
      <c r="Z286" s="798"/>
      <c r="AA286" s="798"/>
      <c r="AB286" s="798"/>
      <c r="AC286" s="798"/>
      <c r="AD286" s="798"/>
      <c r="AE286" s="798"/>
      <c r="AF286" s="798"/>
      <c r="AG286" s="798"/>
      <c r="AH286" s="798"/>
      <c r="AI286" s="798"/>
      <c r="AJ286" s="798"/>
      <c r="AK286" s="798"/>
      <c r="AL286" s="798"/>
      <c r="AM286" s="798"/>
      <c r="AN286" s="798"/>
      <c r="AO286" s="798"/>
      <c r="AP286" s="798"/>
      <c r="AQ286" s="798"/>
      <c r="AR286" s="798"/>
      <c r="AS286" s="798"/>
      <c r="AT286" s="798"/>
      <c r="AU286" s="798"/>
      <c r="AV286" s="798"/>
      <c r="AW286" s="798"/>
      <c r="AX286" s="798"/>
      <c r="AY286" s="798"/>
      <c r="AZ286" s="798"/>
      <c r="BA286" s="798"/>
      <c r="BB286" s="798"/>
      <c r="BC286" s="798"/>
      <c r="BD286" s="798"/>
      <c r="BE286" s="798"/>
      <c r="BF286" s="798"/>
      <c r="BG286" s="798"/>
      <c r="BH286" s="798"/>
      <c r="BI286" s="798"/>
      <c r="BJ286" s="798"/>
      <c r="BK286" s="798"/>
      <c r="BL286" s="798"/>
      <c r="BM286" s="798"/>
      <c r="BN286" s="798"/>
      <c r="BO286" s="798"/>
      <c r="BP286" s="798"/>
      <c r="BQ286" s="798"/>
      <c r="BR286" s="798"/>
      <c r="BS286" s="798"/>
      <c r="BT286" s="798"/>
      <c r="BU286" s="798"/>
      <c r="BV286" s="798"/>
      <c r="BW286" s="798"/>
      <c r="BX286" s="798"/>
      <c r="BY286" s="798"/>
      <c r="BZ286" s="798"/>
      <c r="CA286" s="798"/>
      <c r="CB286" s="798"/>
      <c r="CC286" s="798"/>
      <c r="CD286" s="798"/>
      <c r="CE286" s="798"/>
      <c r="CF286" s="798"/>
      <c r="CG286" s="798"/>
      <c r="CH286" s="798"/>
      <c r="CI286" s="798"/>
      <c r="CJ286" s="798"/>
      <c r="CK286" s="798"/>
      <c r="CL286" s="798"/>
      <c r="CM286" s="798"/>
      <c r="CN286" s="798"/>
      <c r="CO286" s="798"/>
      <c r="CP286" s="798"/>
      <c r="CQ286" s="798"/>
      <c r="CR286" s="798"/>
      <c r="CS286" s="798"/>
      <c r="CT286" s="798"/>
      <c r="CU286" s="798"/>
      <c r="CV286" s="798"/>
      <c r="CW286" s="798"/>
      <c r="CX286" s="798"/>
      <c r="CY286" s="798"/>
      <c r="CZ286" s="798"/>
      <c r="DA286" s="798"/>
      <c r="DB286" s="798"/>
      <c r="DC286" s="798"/>
      <c r="DD286" s="798"/>
      <c r="DE286" s="798"/>
      <c r="DF286" s="798"/>
      <c r="DG286" s="798"/>
      <c r="DH286" s="798"/>
      <c r="DI286" s="798"/>
      <c r="DJ286" s="798"/>
      <c r="DK286" s="798"/>
      <c r="DL286" s="798"/>
      <c r="DM286" s="798"/>
      <c r="DN286" s="798"/>
      <c r="DO286" s="798"/>
      <c r="DP286" s="798"/>
      <c r="DQ286" s="798"/>
      <c r="DR286" s="798"/>
      <c r="DS286" s="798"/>
      <c r="DT286" s="798"/>
      <c r="DU286" s="798"/>
      <c r="DV286" s="798"/>
      <c r="DW286" s="798"/>
      <c r="DX286" s="798"/>
      <c r="DY286" s="798"/>
      <c r="DZ286" s="798"/>
      <c r="EA286" s="798"/>
      <c r="EB286" s="798"/>
      <c r="EC286" s="798"/>
      <c r="ED286" s="798"/>
      <c r="EE286" s="798"/>
      <c r="EF286" s="798"/>
      <c r="EG286" s="798"/>
      <c r="EH286" s="782"/>
    </row>
    <row r="287" spans="1:138" ht="12.75" customHeight="1" x14ac:dyDescent="0.3">
      <c r="A287" s="782"/>
      <c r="B287" s="781" t="s">
        <v>156</v>
      </c>
      <c r="C287" s="799"/>
      <c r="D287" s="781"/>
      <c r="E287" s="799">
        <v>0</v>
      </c>
      <c r="F287" s="799">
        <f t="shared" ref="F287:BQ287" si="218">E291</f>
        <v>0</v>
      </c>
      <c r="G287" s="799">
        <f t="shared" si="218"/>
        <v>0</v>
      </c>
      <c r="H287" s="799">
        <f t="shared" si="218"/>
        <v>0</v>
      </c>
      <c r="I287" s="799">
        <f t="shared" si="218"/>
        <v>0</v>
      </c>
      <c r="J287" s="799">
        <f t="shared" si="218"/>
        <v>0</v>
      </c>
      <c r="K287" s="799">
        <f t="shared" si="218"/>
        <v>0</v>
      </c>
      <c r="L287" s="799">
        <f t="shared" si="218"/>
        <v>0</v>
      </c>
      <c r="M287" s="799">
        <f t="shared" si="218"/>
        <v>0</v>
      </c>
      <c r="N287" s="799">
        <f t="shared" si="218"/>
        <v>0</v>
      </c>
      <c r="O287" s="799">
        <f t="shared" si="218"/>
        <v>0</v>
      </c>
      <c r="P287" s="799">
        <f t="shared" si="218"/>
        <v>0</v>
      </c>
      <c r="Q287" s="799">
        <f t="shared" si="218"/>
        <v>0</v>
      </c>
      <c r="R287" s="799">
        <f t="shared" si="218"/>
        <v>0</v>
      </c>
      <c r="S287" s="799">
        <f t="shared" si="218"/>
        <v>0</v>
      </c>
      <c r="T287" s="799">
        <f t="shared" si="218"/>
        <v>0</v>
      </c>
      <c r="U287" s="799">
        <f t="shared" si="218"/>
        <v>0</v>
      </c>
      <c r="V287" s="799">
        <f t="shared" si="218"/>
        <v>0</v>
      </c>
      <c r="W287" s="799">
        <f t="shared" si="218"/>
        <v>0</v>
      </c>
      <c r="X287" s="799">
        <f t="shared" si="218"/>
        <v>0</v>
      </c>
      <c r="Y287" s="799">
        <f t="shared" si="218"/>
        <v>0</v>
      </c>
      <c r="Z287" s="799">
        <f t="shared" si="218"/>
        <v>0</v>
      </c>
      <c r="AA287" s="799">
        <f t="shared" si="218"/>
        <v>0</v>
      </c>
      <c r="AB287" s="799">
        <f t="shared" si="218"/>
        <v>0</v>
      </c>
      <c r="AC287" s="799">
        <f t="shared" si="218"/>
        <v>0</v>
      </c>
      <c r="AD287" s="799">
        <f t="shared" si="218"/>
        <v>0</v>
      </c>
      <c r="AE287" s="799">
        <f t="shared" si="218"/>
        <v>0</v>
      </c>
      <c r="AF287" s="799">
        <f t="shared" si="218"/>
        <v>0</v>
      </c>
      <c r="AG287" s="799">
        <f t="shared" si="218"/>
        <v>0</v>
      </c>
      <c r="AH287" s="799">
        <f t="shared" si="218"/>
        <v>0</v>
      </c>
      <c r="AI287" s="799">
        <f t="shared" si="218"/>
        <v>0</v>
      </c>
      <c r="AJ287" s="799">
        <f t="shared" si="218"/>
        <v>0</v>
      </c>
      <c r="AK287" s="799">
        <f t="shared" si="218"/>
        <v>0</v>
      </c>
      <c r="AL287" s="799">
        <f t="shared" si="218"/>
        <v>-60916274.722085506</v>
      </c>
      <c r="AM287" s="799">
        <f t="shared" si="218"/>
        <v>-47095852.931763403</v>
      </c>
      <c r="AN287" s="799">
        <f t="shared" si="218"/>
        <v>-47260943.848269723</v>
      </c>
      <c r="AO287" s="799">
        <f t="shared" si="218"/>
        <v>-47437272.695908755</v>
      </c>
      <c r="AP287" s="799">
        <f t="shared" si="218"/>
        <v>-47612567.991190918</v>
      </c>
      <c r="AQ287" s="799">
        <f t="shared" si="218"/>
        <v>-47775130.287831672</v>
      </c>
      <c r="AR287" s="799">
        <f t="shared" si="218"/>
        <v>-47948243.675227933</v>
      </c>
      <c r="AS287" s="799">
        <f t="shared" si="218"/>
        <v>-48107318.603760406</v>
      </c>
      <c r="AT287" s="799">
        <f t="shared" si="218"/>
        <v>-48285138.849531278</v>
      </c>
      <c r="AU287" s="799">
        <f t="shared" si="218"/>
        <v>-48462815.431202464</v>
      </c>
      <c r="AV287" s="799">
        <f t="shared" si="218"/>
        <v>-48602183.704566143</v>
      </c>
      <c r="AW287" s="799">
        <f t="shared" si="218"/>
        <v>-48778691.542782471</v>
      </c>
      <c r="AX287" s="799">
        <f t="shared" si="218"/>
        <v>-48941634.507683769</v>
      </c>
      <c r="AY287" s="799">
        <f t="shared" si="218"/>
        <v>-49116706.328650184</v>
      </c>
      <c r="AZ287" s="799">
        <f t="shared" si="218"/>
        <v>-49278317.819435187</v>
      </c>
      <c r="BA287" s="799">
        <f t="shared" si="218"/>
        <v>-49452288.136855721</v>
      </c>
      <c r="BB287" s="799">
        <f t="shared" si="218"/>
        <v>-49625916.100554504</v>
      </c>
      <c r="BC287" s="799">
        <f t="shared" si="218"/>
        <v>-49786852.994242884</v>
      </c>
      <c r="BD287" s="799">
        <f t="shared" si="218"/>
        <v>-49959962.940976821</v>
      </c>
      <c r="BE287" s="799">
        <f t="shared" si="218"/>
        <v>-50119554.22345525</v>
      </c>
      <c r="BF287" s="799">
        <f t="shared" si="218"/>
        <v>-50297897.202947542</v>
      </c>
      <c r="BG287" s="799">
        <f t="shared" si="218"/>
        <v>-50476791.20618242</v>
      </c>
      <c r="BH287" s="799">
        <f t="shared" si="218"/>
        <v>-50629668.378490962</v>
      </c>
      <c r="BI287" s="799">
        <f t="shared" si="218"/>
        <v>-50808824.935831323</v>
      </c>
      <c r="BJ287" s="799">
        <f t="shared" si="218"/>
        <v>-50974507.355614029</v>
      </c>
      <c r="BK287" s="799">
        <f t="shared" si="218"/>
        <v>-51153266.349080719</v>
      </c>
      <c r="BL287" s="799">
        <f t="shared" si="218"/>
        <v>-51318297.542278081</v>
      </c>
      <c r="BM287" s="799">
        <f t="shared" si="218"/>
        <v>-51496405.129495762</v>
      </c>
      <c r="BN287" s="799">
        <f t="shared" si="218"/>
        <v>-51674140.679685578</v>
      </c>
      <c r="BO287" s="799">
        <f t="shared" si="218"/>
        <v>-51838528.435366169</v>
      </c>
      <c r="BP287" s="799">
        <f t="shared" si="218"/>
        <v>-52015228.564288542</v>
      </c>
      <c r="BQ287" s="799">
        <f t="shared" si="218"/>
        <v>-52177379.102594078</v>
      </c>
      <c r="BR287" s="799">
        <f t="shared" ref="BR287:DU287" si="219">BQ291</f>
        <v>-52358727.357341446</v>
      </c>
      <c r="BS287" s="799">
        <f t="shared" si="219"/>
        <v>-52540248.841037214</v>
      </c>
      <c r="BT287" s="799">
        <f t="shared" si="219"/>
        <v>-52680489.691003084</v>
      </c>
      <c r="BU287" s="799">
        <f t="shared" si="219"/>
        <v>-52861283.209098212</v>
      </c>
      <c r="BV287" s="799">
        <f t="shared" si="219"/>
        <v>-53027594.593938135</v>
      </c>
      <c r="BW287" s="799">
        <f t="shared" si="219"/>
        <v>-53207107.068861239</v>
      </c>
      <c r="BX287" s="799">
        <f t="shared" si="219"/>
        <v>-53371976.262623258</v>
      </c>
      <c r="BY287" s="799">
        <f t="shared" si="219"/>
        <v>-53550106.203832231</v>
      </c>
      <c r="BZ287" s="799">
        <f t="shared" si="219"/>
        <v>-53727564.251854688</v>
      </c>
      <c r="CA287" s="799">
        <f t="shared" si="219"/>
        <v>-53890972.919375449</v>
      </c>
      <c r="CB287" s="799">
        <f t="shared" si="219"/>
        <v>-54066937.916719206</v>
      </c>
      <c r="CC287" s="799">
        <f t="shared" si="219"/>
        <v>-54227577.231115252</v>
      </c>
      <c r="CD287" s="799">
        <f t="shared" si="219"/>
        <v>-54407987.485508069</v>
      </c>
      <c r="CE287" s="799">
        <f t="shared" si="219"/>
        <v>-54588432.410033286</v>
      </c>
      <c r="CF287" s="799">
        <f t="shared" si="219"/>
        <v>-54725847.114314161</v>
      </c>
      <c r="CG287" s="799">
        <f t="shared" si="219"/>
        <v>-54905267.65480195</v>
      </c>
      <c r="CH287" s="799">
        <f t="shared" si="219"/>
        <v>-55069499.03525316</v>
      </c>
      <c r="CI287" s="799">
        <f t="shared" si="219"/>
        <v>-55247301.038337499</v>
      </c>
      <c r="CJ287" s="799">
        <f t="shared" si="219"/>
        <v>-55409810.903827041</v>
      </c>
      <c r="CK287" s="799">
        <f t="shared" si="219"/>
        <v>-55585954.651066117</v>
      </c>
      <c r="CL287" s="799">
        <f t="shared" si="219"/>
        <v>-55761268.623741195</v>
      </c>
      <c r="CM287" s="799">
        <f t="shared" si="219"/>
        <v>-55921891.637566715</v>
      </c>
      <c r="CN287" s="799">
        <f t="shared" si="219"/>
        <v>-56095436.13871704</v>
      </c>
      <c r="CO287" s="799">
        <f t="shared" si="219"/>
        <v>-56252986.016436353</v>
      </c>
      <c r="CP287" s="799">
        <f t="shared" si="219"/>
        <v>-56430919.673459694</v>
      </c>
      <c r="CQ287" s="799">
        <f t="shared" si="219"/>
        <v>-56608801.697292656</v>
      </c>
      <c r="CR287" s="799">
        <f t="shared" si="219"/>
        <v>-56741972.332615249</v>
      </c>
      <c r="CS287" s="799">
        <f t="shared" si="219"/>
        <v>-56918637.16366899</v>
      </c>
      <c r="CT287" s="799">
        <f t="shared" si="219"/>
        <v>-57079458.382648461</v>
      </c>
      <c r="CU287" s="799">
        <f t="shared" si="219"/>
        <v>-57254236.078221165</v>
      </c>
      <c r="CV287" s="799">
        <f t="shared" si="219"/>
        <v>-57413059.199405372</v>
      </c>
      <c r="CW287" s="799">
        <f t="shared" si="219"/>
        <v>-57585914.987144187</v>
      </c>
      <c r="CX287" s="799">
        <f t="shared" si="219"/>
        <v>14559552.480968557</v>
      </c>
      <c r="CY287" s="799">
        <f t="shared" si="219"/>
        <v>14674055.749797545</v>
      </c>
      <c r="CZ287" s="799">
        <f t="shared" si="219"/>
        <v>14793321.910814188</v>
      </c>
      <c r="DA287" s="799">
        <f t="shared" si="219"/>
        <v>14909663.653999075</v>
      </c>
      <c r="DB287" s="799">
        <f t="shared" si="219"/>
        <v>15030844.7627792</v>
      </c>
      <c r="DC287" s="799">
        <f t="shared" si="219"/>
        <v>15153010.79392015</v>
      </c>
      <c r="DD287" s="799">
        <f t="shared" si="219"/>
        <v>15268193.893044239</v>
      </c>
      <c r="DE287" s="799">
        <f t="shared" si="219"/>
        <v>15392289.024092536</v>
      </c>
      <c r="DF287" s="799">
        <f t="shared" si="219"/>
        <v>15513341.330495702</v>
      </c>
      <c r="DG287" s="799">
        <f t="shared" si="219"/>
        <v>15639428.943666626</v>
      </c>
      <c r="DH287" s="799">
        <f t="shared" si="219"/>
        <v>15762424.876337586</v>
      </c>
      <c r="DI287" s="799">
        <f t="shared" si="219"/>
        <v>15890536.963095874</v>
      </c>
      <c r="DJ287" s="799">
        <f t="shared" si="219"/>
        <v>16019690.305048227</v>
      </c>
      <c r="DK287" s="799">
        <f t="shared" si="219"/>
        <v>16145676.794533655</v>
      </c>
      <c r="DL287" s="799">
        <f t="shared" si="219"/>
        <v>16276903.833678991</v>
      </c>
      <c r="DM287" s="799">
        <f t="shared" si="219"/>
        <v>16404913.17310117</v>
      </c>
      <c r="DN287" s="799">
        <f t="shared" si="219"/>
        <v>16538247.204900397</v>
      </c>
      <c r="DO287" s="799">
        <f t="shared" si="219"/>
        <v>16672664.934238784</v>
      </c>
      <c r="DP287" s="799">
        <f t="shared" si="219"/>
        <v>16795013.282348812</v>
      </c>
      <c r="DQ287" s="799">
        <f t="shared" si="219"/>
        <v>16931517.926501941</v>
      </c>
      <c r="DR287" s="799">
        <f t="shared" si="219"/>
        <v>17064675.463545423</v>
      </c>
      <c r="DS287" s="799">
        <f t="shared" si="219"/>
        <v>17203371.838033441</v>
      </c>
      <c r="DT287" s="799">
        <f t="shared" si="219"/>
        <v>17338667.363971498</v>
      </c>
      <c r="DU287" s="799">
        <f t="shared" si="219"/>
        <v>17479590.659405615</v>
      </c>
      <c r="DV287" s="798"/>
      <c r="DW287" s="798"/>
      <c r="DX287" s="798"/>
      <c r="DY287" s="798"/>
      <c r="DZ287" s="798"/>
      <c r="EA287" s="798"/>
      <c r="EB287" s="798"/>
      <c r="EC287" s="798"/>
      <c r="ED287" s="798"/>
      <c r="EE287" s="798"/>
      <c r="EF287" s="798"/>
      <c r="EG287" s="798"/>
      <c r="EH287" s="782"/>
    </row>
    <row r="288" spans="1:138" ht="12.75" customHeight="1" x14ac:dyDescent="0.3">
      <c r="A288" s="782"/>
      <c r="B288" s="782" t="s">
        <v>166</v>
      </c>
      <c r="C288" s="798"/>
      <c r="D288" s="782"/>
      <c r="E288" s="797">
        <f>+E287*((1+'Venture Summary - Mthly'!$C$237)^(E4-D4)-1)</f>
        <v>0</v>
      </c>
      <c r="F288" s="798">
        <f>+F287*((1+'Venture Summary - Mthly'!$C$237)^(F4-E4)-1)</f>
        <v>0</v>
      </c>
      <c r="G288" s="798">
        <f>+G287*((1+'Venture Summary - Mthly'!$C$237)^(G4-F4)-1)</f>
        <v>0</v>
      </c>
      <c r="H288" s="798">
        <f>+H287*((1+'Venture Summary - Mthly'!$C$237)^(H4-G4)-1)</f>
        <v>0</v>
      </c>
      <c r="I288" s="798">
        <f>+I287*((1+'Venture Summary - Mthly'!$C$237)^(I4-H4)-1)</f>
        <v>0</v>
      </c>
      <c r="J288" s="798">
        <f>+J287*((1+'Venture Summary - Mthly'!$C$237)^(J4-I4)-1)</f>
        <v>0</v>
      </c>
      <c r="K288" s="798">
        <f>+K287*((1+'Venture Summary - Mthly'!$C$237)^(K4-J4)-1)</f>
        <v>0</v>
      </c>
      <c r="L288" s="798">
        <f>+L287*((1+'Venture Summary - Mthly'!$C$237)^(L4-K4)-1)</f>
        <v>0</v>
      </c>
      <c r="M288" s="798">
        <f>+M287*((1+'Venture Summary - Mthly'!$C$237)^(M4-L4)-1)</f>
        <v>0</v>
      </c>
      <c r="N288" s="798">
        <f>+N287*((1+'Venture Summary - Mthly'!$C$237)^(N4-M4)-1)</f>
        <v>0</v>
      </c>
      <c r="O288" s="798">
        <f>+O287*((1+'Venture Summary - Mthly'!$C$237)^(O4-N4)-1)</f>
        <v>0</v>
      </c>
      <c r="P288" s="798">
        <f>+P287*((1+'Venture Summary - Mthly'!$C$237)^(P4-O4)-1)</f>
        <v>0</v>
      </c>
      <c r="Q288" s="798">
        <f>+Q287*((1+'Venture Summary - Mthly'!$C$237)^(Q4-P4)-1)</f>
        <v>0</v>
      </c>
      <c r="R288" s="798">
        <f>+R287*((1+'Venture Summary - Mthly'!$C$237)^(R4-Q4)-1)</f>
        <v>0</v>
      </c>
      <c r="S288" s="798">
        <f>+S287*((1+'Venture Summary - Mthly'!$C$237)^(S4-R4)-1)</f>
        <v>0</v>
      </c>
      <c r="T288" s="798">
        <f>+T287*((1+'Venture Summary - Mthly'!$C$237)^(T4-S4)-1)</f>
        <v>0</v>
      </c>
      <c r="U288" s="798">
        <f>+U287*((1+'Venture Summary - Mthly'!$C$237)^(U4-T4)-1)</f>
        <v>0</v>
      </c>
      <c r="V288" s="798">
        <f>+V287*((1+'Venture Summary - Mthly'!$C$237)^(V4-U4)-1)</f>
        <v>0</v>
      </c>
      <c r="W288" s="798">
        <f>+W287*((1+'Venture Summary - Mthly'!$C$237)^(W4-V4)-1)</f>
        <v>0</v>
      </c>
      <c r="X288" s="798">
        <f>+X287*((1+'Venture Summary - Mthly'!$C$237)^(X4-W4)-1)</f>
        <v>0</v>
      </c>
      <c r="Y288" s="798">
        <f>+Y287*((1+'Venture Summary - Mthly'!$C$237)^(Y4-X4)-1)</f>
        <v>0</v>
      </c>
      <c r="Z288" s="798">
        <f>+Z287*((1+'Venture Summary - Mthly'!$C$237)^(Z4-Y4)-1)</f>
        <v>0</v>
      </c>
      <c r="AA288" s="798">
        <f>+AA287*((1+'Venture Summary - Mthly'!$C$237)^(AA4-Z4)-1)</f>
        <v>0</v>
      </c>
      <c r="AB288" s="798">
        <f>+AB287*((1+'Venture Summary - Mthly'!$C$237)^(AB4-AA4)-1)</f>
        <v>0</v>
      </c>
      <c r="AC288" s="798">
        <f>+AC287*((1+'Venture Summary - Mthly'!$C$237)^(AC4-AB4)-1)</f>
        <v>0</v>
      </c>
      <c r="AD288" s="798">
        <f>+AD287*((1+'Venture Summary - Mthly'!$C$237)^(AD4-AC4)-1)</f>
        <v>0</v>
      </c>
      <c r="AE288" s="798">
        <f>+AE287*((1+'Venture Summary - Mthly'!$C$237)^(AE4-AD4)-1)</f>
        <v>0</v>
      </c>
      <c r="AF288" s="798">
        <f>+AF287*((1+'Venture Summary - Mthly'!$C$237)^(AF4-AE4)-1)</f>
        <v>0</v>
      </c>
      <c r="AG288" s="798">
        <f>+AG287*((1+'Venture Summary - Mthly'!$C$237)^(AG4-AF4)-1)</f>
        <v>0</v>
      </c>
      <c r="AH288" s="798">
        <f>+AH287*((1+'Venture Summary - Mthly'!$C$237)^(AH4-AG4)-1)</f>
        <v>0</v>
      </c>
      <c r="AI288" s="798">
        <f>+AI287*((1+'Venture Summary - Mthly'!$C$237)^(AI4-AH4)-1)</f>
        <v>0</v>
      </c>
      <c r="AJ288" s="798">
        <f>+AJ287*((1+'Venture Summary - Mthly'!$C$237)^(AJ4-AI4)-1)</f>
        <v>0</v>
      </c>
      <c r="AK288" s="798">
        <f>+AK287*((1+'Venture Summary - Mthly'!$C$237)^(AK4-AJ4)-1)</f>
        <v>0</v>
      </c>
      <c r="AL288" s="798">
        <f>+AL287*((1+'Venture Summary - Mthly'!$C$237)^(AL4-AK4)-1)</f>
        <v>-495108.53396059613</v>
      </c>
      <c r="AM288" s="798">
        <f>+AM287*((1+'Venture Summary - Mthly'!$C$237)^(AM4-AL4)-1)</f>
        <v>-370384.26256749168</v>
      </c>
      <c r="AN288" s="798">
        <f>+AN287*((1+'Venture Summary - Mthly'!$C$237)^(AN4-AM4)-1)</f>
        <v>-384122.2518787306</v>
      </c>
      <c r="AO288" s="798">
        <f>+AO287*((1+'Venture Summary - Mthly'!$C$237)^(AO4-AN4)-1)</f>
        <v>-385555.39790822461</v>
      </c>
      <c r="AP288" s="798">
        <f>+AP287*((1+'Venture Summary - Mthly'!$C$237)^(AP4-AO4)-1)</f>
        <v>-374447.95638191036</v>
      </c>
      <c r="AQ288" s="798">
        <f>+AQ287*((1+'Venture Summary - Mthly'!$C$237)^(AQ4-AP4)-1)</f>
        <v>-388301.39933046466</v>
      </c>
      <c r="AR288" s="798">
        <f>+AR287*((1+'Venture Summary - Mthly'!$C$237)^(AR4-AQ4)-1)</f>
        <v>-377087.87015253527</v>
      </c>
      <c r="AS288" s="798">
        <f>+AS287*((1+'Venture Summary - Mthly'!$C$237)^(AS4-AR4)-1)</f>
        <v>-391001.32264075673</v>
      </c>
      <c r="AT288" s="798">
        <f>+AT287*((1+'Venture Summary - Mthly'!$C$237)^(AT4-AS4)-1)</f>
        <v>-392446.59029039205</v>
      </c>
      <c r="AU288" s="798">
        <f>+AU287*((1+'Venture Summary - Mthly'!$C$237)^(AU4-AT4)-1)</f>
        <v>-355632.7339483882</v>
      </c>
      <c r="AV288" s="798">
        <f>+AV287*((1+'Venture Summary - Mthly'!$C$237)^(AV4-AU4)-1)</f>
        <v>-395023.43226065702</v>
      </c>
      <c r="AW288" s="798">
        <f>+AW287*((1+'Venture Summary - Mthly'!$C$237)^(AW4-AV4)-1)</f>
        <v>-383618.90848982986</v>
      </c>
      <c r="AX288" s="798">
        <f>+AX287*((1+'Venture Summary - Mthly'!$C$237)^(AX4-AW4)-1)</f>
        <v>-397782.38280794618</v>
      </c>
      <c r="AY288" s="798">
        <f>+AY287*((1+'Venture Summary - Mthly'!$C$237)^(AY4-AX4)-1)</f>
        <v>-386277.218073519</v>
      </c>
      <c r="AZ288" s="798">
        <f>+AZ287*((1+'Venture Summary - Mthly'!$C$237)^(AZ4-AY4)-1)</f>
        <v>-400518.84004619234</v>
      </c>
      <c r="BA288" s="798">
        <f>+BA287*((1+'Venture Summary - Mthly'!$C$237)^(BA4-AZ4)-1)</f>
        <v>-401932.81667565147</v>
      </c>
      <c r="BB288" s="798">
        <f>+BB287*((1+'Venture Summary - Mthly'!$C$237)^(BB4-BA4)-1)</f>
        <v>-390281.88672517729</v>
      </c>
      <c r="BC288" s="798">
        <f>+BC287*((1+'Venture Summary - Mthly'!$C$237)^(BC4-BB4)-1)</f>
        <v>-404652.05577573454</v>
      </c>
      <c r="BD288" s="798">
        <f>+BD287*((1+'Venture Summary - Mthly'!$C$237)^(BD4-BC4)-1)</f>
        <v>-392908.99049229844</v>
      </c>
      <c r="BE288" s="798">
        <f>+BE287*((1+'Venture Summary - Mthly'!$C$237)^(BE4-BD4)-1)</f>
        <v>-407356.14788566291</v>
      </c>
      <c r="BF288" s="798">
        <f>+BF287*((1+'Venture Summary - Mthly'!$C$237)^(BF4-BE4)-1)</f>
        <v>-408805.66415239847</v>
      </c>
      <c r="BG288" s="798">
        <f>+BG287*((1+'Venture Summary - Mthly'!$C$237)^(BG4-BF4)-1)</f>
        <v>-383690.95911291678</v>
      </c>
      <c r="BH288" s="798">
        <f>+BH287*((1+'Venture Summary - Mthly'!$C$237)^(BH4-BG4)-1)</f>
        <v>-411502.19707538321</v>
      </c>
      <c r="BI288" s="798">
        <f>+BI287*((1+'Venture Summary - Mthly'!$C$237)^(BI4-BH4)-1)</f>
        <v>-399584.84631428117</v>
      </c>
      <c r="BJ288" s="798">
        <f>+BJ287*((1+'Venture Summary - Mthly'!$C$237)^(BJ4-BI4)-1)</f>
        <v>-414304.94102508784</v>
      </c>
      <c r="BK288" s="798">
        <f>+BK287*((1+'Venture Summary - Mthly'!$C$237)^(BK4-BJ4)-1)</f>
        <v>-402293.69796261902</v>
      </c>
      <c r="BL288" s="798">
        <f>+BL287*((1+'Venture Summary - Mthly'!$C$237)^(BL4-BK4)-1)</f>
        <v>-417099.16073215025</v>
      </c>
      <c r="BM288" s="798">
        <f>+BM287*((1+'Venture Summary - Mthly'!$C$237)^(BM4-BL4)-1)</f>
        <v>-418546.76380369259</v>
      </c>
      <c r="BN288" s="798">
        <f>+BN287*((1+'Venture Summary - Mthly'!$C$237)^(BN4-BM4)-1)</f>
        <v>-406390.10227046628</v>
      </c>
      <c r="BO288" s="798">
        <f>+BO287*((1+'Venture Summary - Mthly'!$C$237)^(BO4-BN4)-1)</f>
        <v>-421327.4356221194</v>
      </c>
      <c r="BP288" s="798">
        <f>+BP287*((1+'Venture Summary - Mthly'!$C$237)^(BP4-BO4)-1)</f>
        <v>-409072.5801691555</v>
      </c>
      <c r="BQ288" s="798">
        <f>+BQ287*((1+'Venture Summary - Mthly'!$C$237)^(BQ4-BP4)-1)</f>
        <v>-424081.50845155906</v>
      </c>
      <c r="BR288" s="798">
        <f>+BR287*((1+'Venture Summary - Mthly'!$C$237)^(BR4-BQ4)-1)</f>
        <v>-425555.45066082769</v>
      </c>
      <c r="BS288" s="798">
        <f>+BS287*((1+'Venture Summary - Mthly'!$C$237)^(BS4-BR4)-1)</f>
        <v>-385553.9999361338</v>
      </c>
      <c r="BT288" s="798">
        <f>+BT287*((1+'Venture Summary - Mthly'!$C$237)^(BT4-BS4)-1)</f>
        <v>-428170.63483007887</v>
      </c>
      <c r="BU288" s="798">
        <f>+BU287*((1+'Venture Summary - Mthly'!$C$237)^(BU4-BT4)-1)</f>
        <v>-415726.35765066033</v>
      </c>
      <c r="BV288" s="798">
        <f>+BV287*((1+'Venture Summary - Mthly'!$C$237)^(BV4-BU4)-1)</f>
        <v>-430991.79552000528</v>
      </c>
      <c r="BW288" s="798">
        <f>+BW287*((1+'Venture Summary - Mthly'!$C$237)^(BW4-BV4)-1)</f>
        <v>-418446.08151811332</v>
      </c>
      <c r="BX288" s="798">
        <f>+BX287*((1+'Venture Summary - Mthly'!$C$237)^(BX4-BW4)-1)</f>
        <v>-433790.82260896446</v>
      </c>
      <c r="BY288" s="798">
        <f>+BY287*((1+'Venture Summary - Mthly'!$C$237)^(BY4-BX4)-1)</f>
        <v>-435238.60736679513</v>
      </c>
      <c r="BZ288" s="798">
        <f>+BZ287*((1+'Venture Summary - Mthly'!$C$237)^(BZ4-BY4)-1)</f>
        <v>-422539.20517807303</v>
      </c>
      <c r="CA288" s="798">
        <f>+CA287*((1+'Venture Summary - Mthly'!$C$237)^(CA4-BZ4)-1)</f>
        <v>-438009.06600988383</v>
      </c>
      <c r="CB288" s="798">
        <f>+CB287*((1+'Venture Summary - Mthly'!$C$237)^(CB4-CA4)-1)</f>
        <v>-425208.20163467812</v>
      </c>
      <c r="CC288" s="798">
        <f>+CC287*((1+'Venture Summary - Mthly'!$C$237)^(CC4-CB4)-1)</f>
        <v>-440744.88116060721</v>
      </c>
      <c r="CD288" s="798">
        <f>+CD287*((1+'Venture Summary - Mthly'!$C$237)^(CD4-CC4)-1)</f>
        <v>-442211.1995947432</v>
      </c>
      <c r="CE288" s="798">
        <f>+CE287*((1+'Venture Summary - Mthly'!$C$237)^(CE4-CD4)-1)</f>
        <v>-400584.10323882522</v>
      </c>
      <c r="CF288" s="798">
        <f>+CF287*((1+'Venture Summary - Mthly'!$C$237)^(CF4-CE4)-1)</f>
        <v>-444794.66379279905</v>
      </c>
      <c r="CG288" s="798">
        <f>+CG287*((1+'Venture Summary - Mthly'!$C$237)^(CG4-CF4)-1)</f>
        <v>-431801.22676319763</v>
      </c>
      <c r="CH288" s="798">
        <f>+CH287*((1+'Venture Summary - Mthly'!$C$237)^(CH4-CG4)-1)</f>
        <v>-447587.75971905346</v>
      </c>
      <c r="CI288" s="798">
        <f>+CI287*((1+'Venture Summary - Mthly'!$C$237)^(CI4-CH4)-1)</f>
        <v>-434491.1405167043</v>
      </c>
      <c r="CJ288" s="798">
        <f>+CJ287*((1+'Venture Summary - Mthly'!$C$237)^(CJ4-CI4)-1)</f>
        <v>-450353.70873855113</v>
      </c>
      <c r="CK288" s="798">
        <f>+CK287*((1+'Venture Summary - Mthly'!$C$237)^(CK4-CJ4)-1)</f>
        <v>-451785.35032956663</v>
      </c>
      <c r="CL288" s="798">
        <f>+CL287*((1+'Venture Summary - Mthly'!$C$237)^(CL4-CK4)-1)</f>
        <v>-438533.22688424838</v>
      </c>
      <c r="CM288" s="798">
        <f>+CM287*((1+'Venture Summary - Mthly'!$C$237)^(CM4-CL4)-1)</f>
        <v>-454515.74166830606</v>
      </c>
      <c r="CN288" s="798">
        <f>+CN287*((1+'Venture Summary - Mthly'!$C$237)^(CN4-CM4)-1)</f>
        <v>-441161.27969364688</v>
      </c>
      <c r="CO288" s="798">
        <f>+CO287*((1+'Venture Summary - Mthly'!$C$237)^(CO4-CN4)-1)</f>
        <v>-457206.77379843249</v>
      </c>
      <c r="CP288" s="798">
        <f>+CP287*((1+'Venture Summary - Mthly'!$C$237)^(CP4-CO4)-1)</f>
        <v>-458652.96321945323</v>
      </c>
      <c r="CQ288" s="798">
        <f>+CQ287*((1+'Venture Summary - Mthly'!$C$237)^(CQ4-CP4)-1)</f>
        <v>-415410.09811387322</v>
      </c>
      <c r="CR288" s="798">
        <f>+CR287*((1+'Venture Summary - Mthly'!$C$237)^(CR4-CQ4)-1)</f>
        <v>-461181.1024853827</v>
      </c>
      <c r="CS288" s="798">
        <f>+CS287*((1+'Venture Summary - Mthly'!$C$237)^(CS4-CR4)-1)</f>
        <v>-447635.32540237199</v>
      </c>
      <c r="CT288" s="798">
        <f>+CT287*((1+'Venture Summary - Mthly'!$C$237)^(CT4-CS4)-1)</f>
        <v>-463924.0841307051</v>
      </c>
      <c r="CU288" s="798">
        <f>+CU287*((1+'Venture Summary - Mthly'!$C$237)^(CU4-CT4)-1)</f>
        <v>-450274.63542113214</v>
      </c>
      <c r="CV288" s="798">
        <f>+CV287*((1+'Venture Summary - Mthly'!$C$237)^(CV4-CU4)-1)</f>
        <v>-466635.48780839401</v>
      </c>
      <c r="CW288" s="798">
        <f>+CW287*((1+'Venture Summary - Mthly'!$C$237)^(CW4-CV4)-1)</f>
        <v>-468040.40588725579</v>
      </c>
      <c r="CX288" s="798">
        <f>+CX287*((1+'Venture Summary - Mthly'!$C$237)^(CX4-CW4)-1)</f>
        <v>114503.26882898898</v>
      </c>
      <c r="CY288" s="798">
        <f>+CY287*((1+'Venture Summary - Mthly'!$C$237)^(CY4-CX4)-1)</f>
        <v>119266.16101664315</v>
      </c>
      <c r="CZ288" s="798">
        <f>+CZ287*((1+'Venture Summary - Mthly'!$C$237)^(CZ4-CY4)-1)</f>
        <v>116341.74318488711</v>
      </c>
      <c r="DA288" s="798">
        <f>+DA287*((1+'Venture Summary - Mthly'!$C$237)^(DA4-CZ4)-1)</f>
        <v>121181.10878012574</v>
      </c>
      <c r="DB288" s="798">
        <f>+DB287*((1+'Venture Summary - Mthly'!$C$237)^(DB4-DA4)-1)</f>
        <v>122166.0311409492</v>
      </c>
      <c r="DC288" s="798">
        <f>+DC287*((1+'Venture Summary - Mthly'!$C$237)^(DC4-DB4)-1)</f>
        <v>115183.099124088</v>
      </c>
      <c r="DD288" s="798">
        <f>+DD287*((1+'Venture Summary - Mthly'!$C$237)^(DD4-DC4)-1)</f>
        <v>124095.13104829696</v>
      </c>
      <c r="DE288" s="798">
        <f>+DE287*((1+'Venture Summary - Mthly'!$C$237)^(DE4-DD4)-1)</f>
        <v>121052.3064031648</v>
      </c>
      <c r="DF288" s="798">
        <f>+DF287*((1+'Venture Summary - Mthly'!$C$237)^(DF4-DE4)-1)</f>
        <v>126087.61317092397</v>
      </c>
      <c r="DG288" s="798">
        <f>+DG287*((1+'Venture Summary - Mthly'!$C$237)^(DG4-DF4)-1)</f>
        <v>122995.93267096092</v>
      </c>
      <c r="DH288" s="798">
        <f>+DH287*((1+'Venture Summary - Mthly'!$C$237)^(DH4-DG4)-1)</f>
        <v>128112.08675828815</v>
      </c>
      <c r="DI288" s="798">
        <f>+DI287*((1+'Venture Summary - Mthly'!$C$237)^(DI4-DH4)-1)</f>
        <v>129153.34195235424</v>
      </c>
      <c r="DJ288" s="798">
        <f>+DJ287*((1+'Venture Summary - Mthly'!$C$237)^(DJ4-DI4)-1)</f>
        <v>125986.48948542822</v>
      </c>
      <c r="DK288" s="798">
        <f>+DK287*((1+'Venture Summary - Mthly'!$C$237)^(DK4-DJ4)-1)</f>
        <v>131227.03914533631</v>
      </c>
      <c r="DL288" s="798">
        <f>+DL287*((1+'Venture Summary - Mthly'!$C$237)^(DL4-DK4)-1)</f>
        <v>128009.33942217998</v>
      </c>
      <c r="DM288" s="798">
        <f>+DM287*((1+'Venture Summary - Mthly'!$C$237)^(DM4-DL4)-1)</f>
        <v>133334.03179922691</v>
      </c>
      <c r="DN288" s="798">
        <f>+DN287*((1+'Venture Summary - Mthly'!$C$237)^(DN4-DM4)-1)</f>
        <v>134417.72933838778</v>
      </c>
      <c r="DO288" s="798">
        <f>+DO287*((1+'Venture Summary - Mthly'!$C$237)^(DO4-DN4)-1)</f>
        <v>122348.34811002732</v>
      </c>
      <c r="DP288" s="798">
        <f>+DP287*((1+'Venture Summary - Mthly'!$C$237)^(DP4-DO4)-1)</f>
        <v>136504.64415312785</v>
      </c>
      <c r="DQ288" s="798">
        <f>+DQ287*((1+'Venture Summary - Mthly'!$C$237)^(DQ4-DP4)-1)</f>
        <v>133157.53704348247</v>
      </c>
      <c r="DR288" s="798">
        <f>+DR287*((1+'Venture Summary - Mthly'!$C$237)^(DR4-DQ4)-1)</f>
        <v>138696.37448801758</v>
      </c>
      <c r="DS288" s="798">
        <f>+DS287*((1+'Venture Summary - Mthly'!$C$237)^(DS4-DR4)-1)</f>
        <v>135295.52593805821</v>
      </c>
      <c r="DT288" s="798">
        <f>+DT287*((1+'Venture Summary - Mthly'!$C$237)^(DT4-DS4)-1)</f>
        <v>140923.29543411819</v>
      </c>
      <c r="DU288" s="798">
        <f>+DU287*((1+'Venture Summary - Mthly'!$C$237)^(DU4-DT4)-1)</f>
        <v>142068.67614759092</v>
      </c>
      <c r="DV288" s="798"/>
      <c r="DW288" s="798"/>
      <c r="DX288" s="798"/>
      <c r="DY288" s="798"/>
      <c r="DZ288" s="798"/>
      <c r="EA288" s="798"/>
      <c r="EB288" s="798"/>
      <c r="EC288" s="798"/>
      <c r="ED288" s="798"/>
      <c r="EE288" s="798"/>
      <c r="EF288" s="798"/>
      <c r="EG288" s="798"/>
      <c r="EH288" s="782"/>
    </row>
    <row r="289" spans="1:138" ht="12.75" customHeight="1" x14ac:dyDescent="0.3">
      <c r="A289" s="782"/>
      <c r="B289" s="782" t="s">
        <v>157</v>
      </c>
      <c r="C289" s="798"/>
      <c r="D289" s="782"/>
      <c r="E289" s="798">
        <f t="shared" ref="E289:BP289" si="220">IF(E265&lt;0,E265,0)</f>
        <v>0</v>
      </c>
      <c r="F289" s="798">
        <f t="shared" si="220"/>
        <v>0</v>
      </c>
      <c r="G289" s="798">
        <f t="shared" si="220"/>
        <v>0</v>
      </c>
      <c r="H289" s="798">
        <f t="shared" si="220"/>
        <v>0</v>
      </c>
      <c r="I289" s="798">
        <f t="shared" si="220"/>
        <v>0</v>
      </c>
      <c r="J289" s="798">
        <f t="shared" si="220"/>
        <v>0</v>
      </c>
      <c r="K289" s="798">
        <f t="shared" si="220"/>
        <v>0</v>
      </c>
      <c r="L289" s="798">
        <f t="shared" si="220"/>
        <v>0</v>
      </c>
      <c r="M289" s="798">
        <f t="shared" si="220"/>
        <v>0</v>
      </c>
      <c r="N289" s="798">
        <f t="shared" si="220"/>
        <v>0</v>
      </c>
      <c r="O289" s="798">
        <f t="shared" si="220"/>
        <v>0</v>
      </c>
      <c r="P289" s="798">
        <f t="shared" si="220"/>
        <v>0</v>
      </c>
      <c r="Q289" s="798">
        <f t="shared" si="220"/>
        <v>0</v>
      </c>
      <c r="R289" s="798">
        <f t="shared" si="220"/>
        <v>0</v>
      </c>
      <c r="S289" s="798">
        <f t="shared" si="220"/>
        <v>0</v>
      </c>
      <c r="T289" s="798">
        <f t="shared" si="220"/>
        <v>0</v>
      </c>
      <c r="U289" s="798">
        <f t="shared" si="220"/>
        <v>0</v>
      </c>
      <c r="V289" s="798">
        <f t="shared" si="220"/>
        <v>0</v>
      </c>
      <c r="W289" s="798">
        <f t="shared" si="220"/>
        <v>0</v>
      </c>
      <c r="X289" s="798">
        <f t="shared" si="220"/>
        <v>0</v>
      </c>
      <c r="Y289" s="798">
        <f t="shared" si="220"/>
        <v>0</v>
      </c>
      <c r="Z289" s="798">
        <f t="shared" si="220"/>
        <v>0</v>
      </c>
      <c r="AA289" s="798">
        <f t="shared" si="220"/>
        <v>0</v>
      </c>
      <c r="AB289" s="798">
        <f t="shared" si="220"/>
        <v>0</v>
      </c>
      <c r="AC289" s="798">
        <f t="shared" si="220"/>
        <v>0</v>
      </c>
      <c r="AD289" s="798">
        <f t="shared" si="220"/>
        <v>0</v>
      </c>
      <c r="AE289" s="798">
        <f t="shared" si="220"/>
        <v>0</v>
      </c>
      <c r="AF289" s="798">
        <f t="shared" si="220"/>
        <v>0</v>
      </c>
      <c r="AG289" s="798">
        <f t="shared" si="220"/>
        <v>0</v>
      </c>
      <c r="AH289" s="798">
        <f t="shared" si="220"/>
        <v>0</v>
      </c>
      <c r="AI289" s="798">
        <f t="shared" si="220"/>
        <v>0</v>
      </c>
      <c r="AJ289" s="798">
        <f t="shared" si="220"/>
        <v>0</v>
      </c>
      <c r="AK289" s="798">
        <f t="shared" si="220"/>
        <v>-60916274.722085506</v>
      </c>
      <c r="AL289" s="798">
        <f t="shared" si="220"/>
        <v>0</v>
      </c>
      <c r="AM289" s="798">
        <f t="shared" si="220"/>
        <v>0</v>
      </c>
      <c r="AN289" s="798">
        <f t="shared" si="220"/>
        <v>0</v>
      </c>
      <c r="AO289" s="798">
        <f t="shared" si="220"/>
        <v>0</v>
      </c>
      <c r="AP289" s="798">
        <f t="shared" si="220"/>
        <v>0</v>
      </c>
      <c r="AQ289" s="798">
        <f t="shared" si="220"/>
        <v>0</v>
      </c>
      <c r="AR289" s="798">
        <f t="shared" si="220"/>
        <v>0</v>
      </c>
      <c r="AS289" s="798">
        <f t="shared" si="220"/>
        <v>0</v>
      </c>
      <c r="AT289" s="798">
        <f t="shared" si="220"/>
        <v>0</v>
      </c>
      <c r="AU289" s="798">
        <f t="shared" si="220"/>
        <v>0</v>
      </c>
      <c r="AV289" s="798">
        <f t="shared" si="220"/>
        <v>0</v>
      </c>
      <c r="AW289" s="798">
        <f t="shared" si="220"/>
        <v>0</v>
      </c>
      <c r="AX289" s="798">
        <f t="shared" si="220"/>
        <v>0</v>
      </c>
      <c r="AY289" s="798">
        <f t="shared" si="220"/>
        <v>0</v>
      </c>
      <c r="AZ289" s="798">
        <f t="shared" si="220"/>
        <v>0</v>
      </c>
      <c r="BA289" s="798">
        <f t="shared" si="220"/>
        <v>0</v>
      </c>
      <c r="BB289" s="798">
        <f t="shared" si="220"/>
        <v>0</v>
      </c>
      <c r="BC289" s="798">
        <f t="shared" si="220"/>
        <v>0</v>
      </c>
      <c r="BD289" s="798">
        <f t="shared" si="220"/>
        <v>0</v>
      </c>
      <c r="BE289" s="798">
        <f t="shared" si="220"/>
        <v>0</v>
      </c>
      <c r="BF289" s="798">
        <f t="shared" si="220"/>
        <v>0</v>
      </c>
      <c r="BG289" s="798">
        <f t="shared" si="220"/>
        <v>0</v>
      </c>
      <c r="BH289" s="798">
        <f t="shared" si="220"/>
        <v>0</v>
      </c>
      <c r="BI289" s="798">
        <f t="shared" si="220"/>
        <v>0</v>
      </c>
      <c r="BJ289" s="798">
        <f t="shared" si="220"/>
        <v>0</v>
      </c>
      <c r="BK289" s="798">
        <f t="shared" si="220"/>
        <v>0</v>
      </c>
      <c r="BL289" s="798">
        <f t="shared" si="220"/>
        <v>0</v>
      </c>
      <c r="BM289" s="798">
        <f t="shared" si="220"/>
        <v>0</v>
      </c>
      <c r="BN289" s="798">
        <f t="shared" si="220"/>
        <v>0</v>
      </c>
      <c r="BO289" s="798">
        <f t="shared" si="220"/>
        <v>0</v>
      </c>
      <c r="BP289" s="798">
        <f t="shared" si="220"/>
        <v>0</v>
      </c>
      <c r="BQ289" s="798">
        <f t="shared" ref="BQ289:DU289" si="221">IF(BQ265&lt;0,BQ265,0)</f>
        <v>0</v>
      </c>
      <c r="BR289" s="798">
        <f t="shared" si="221"/>
        <v>0</v>
      </c>
      <c r="BS289" s="798">
        <f t="shared" si="221"/>
        <v>0</v>
      </c>
      <c r="BT289" s="798">
        <f t="shared" si="221"/>
        <v>0</v>
      </c>
      <c r="BU289" s="798">
        <f t="shared" si="221"/>
        <v>0</v>
      </c>
      <c r="BV289" s="798">
        <f t="shared" si="221"/>
        <v>0</v>
      </c>
      <c r="BW289" s="798">
        <f t="shared" si="221"/>
        <v>0</v>
      </c>
      <c r="BX289" s="798">
        <f t="shared" si="221"/>
        <v>0</v>
      </c>
      <c r="BY289" s="798">
        <f t="shared" si="221"/>
        <v>0</v>
      </c>
      <c r="BZ289" s="798">
        <f t="shared" si="221"/>
        <v>0</v>
      </c>
      <c r="CA289" s="798">
        <f t="shared" si="221"/>
        <v>0</v>
      </c>
      <c r="CB289" s="798">
        <f t="shared" si="221"/>
        <v>0</v>
      </c>
      <c r="CC289" s="798">
        <f t="shared" si="221"/>
        <v>0</v>
      </c>
      <c r="CD289" s="798">
        <f t="shared" si="221"/>
        <v>0</v>
      </c>
      <c r="CE289" s="798">
        <f t="shared" si="221"/>
        <v>0</v>
      </c>
      <c r="CF289" s="798">
        <f t="shared" si="221"/>
        <v>0</v>
      </c>
      <c r="CG289" s="798">
        <f t="shared" si="221"/>
        <v>0</v>
      </c>
      <c r="CH289" s="798">
        <f t="shared" si="221"/>
        <v>0</v>
      </c>
      <c r="CI289" s="798">
        <f t="shared" si="221"/>
        <v>0</v>
      </c>
      <c r="CJ289" s="798">
        <f t="shared" si="221"/>
        <v>0</v>
      </c>
      <c r="CK289" s="798">
        <f t="shared" si="221"/>
        <v>0</v>
      </c>
      <c r="CL289" s="798">
        <f t="shared" si="221"/>
        <v>0</v>
      </c>
      <c r="CM289" s="798">
        <f t="shared" si="221"/>
        <v>0</v>
      </c>
      <c r="CN289" s="798">
        <f t="shared" si="221"/>
        <v>0</v>
      </c>
      <c r="CO289" s="798">
        <f t="shared" si="221"/>
        <v>0</v>
      </c>
      <c r="CP289" s="798">
        <f t="shared" si="221"/>
        <v>0</v>
      </c>
      <c r="CQ289" s="798">
        <f t="shared" si="221"/>
        <v>0</v>
      </c>
      <c r="CR289" s="798">
        <f t="shared" si="221"/>
        <v>0</v>
      </c>
      <c r="CS289" s="798">
        <f t="shared" si="221"/>
        <v>0</v>
      </c>
      <c r="CT289" s="798">
        <f t="shared" si="221"/>
        <v>0</v>
      </c>
      <c r="CU289" s="798">
        <f t="shared" si="221"/>
        <v>0</v>
      </c>
      <c r="CV289" s="798">
        <f t="shared" si="221"/>
        <v>0</v>
      </c>
      <c r="CW289" s="798">
        <f t="shared" si="221"/>
        <v>0</v>
      </c>
      <c r="CX289" s="798">
        <f t="shared" si="221"/>
        <v>0</v>
      </c>
      <c r="CY289" s="798">
        <f t="shared" si="221"/>
        <v>0</v>
      </c>
      <c r="CZ289" s="798">
        <f t="shared" si="221"/>
        <v>0</v>
      </c>
      <c r="DA289" s="798">
        <f t="shared" si="221"/>
        <v>0</v>
      </c>
      <c r="DB289" s="798">
        <f t="shared" si="221"/>
        <v>0</v>
      </c>
      <c r="DC289" s="798">
        <f t="shared" si="221"/>
        <v>0</v>
      </c>
      <c r="DD289" s="798">
        <f t="shared" si="221"/>
        <v>0</v>
      </c>
      <c r="DE289" s="798">
        <f t="shared" si="221"/>
        <v>0</v>
      </c>
      <c r="DF289" s="798">
        <f t="shared" si="221"/>
        <v>0</v>
      </c>
      <c r="DG289" s="798">
        <f t="shared" si="221"/>
        <v>0</v>
      </c>
      <c r="DH289" s="798">
        <f t="shared" si="221"/>
        <v>0</v>
      </c>
      <c r="DI289" s="798">
        <f t="shared" si="221"/>
        <v>0</v>
      </c>
      <c r="DJ289" s="798">
        <f t="shared" si="221"/>
        <v>0</v>
      </c>
      <c r="DK289" s="798">
        <f t="shared" si="221"/>
        <v>0</v>
      </c>
      <c r="DL289" s="798">
        <f t="shared" si="221"/>
        <v>0</v>
      </c>
      <c r="DM289" s="798">
        <f t="shared" si="221"/>
        <v>0</v>
      </c>
      <c r="DN289" s="798">
        <f t="shared" si="221"/>
        <v>0</v>
      </c>
      <c r="DO289" s="798">
        <f t="shared" si="221"/>
        <v>0</v>
      </c>
      <c r="DP289" s="798">
        <f t="shared" si="221"/>
        <v>0</v>
      </c>
      <c r="DQ289" s="798">
        <f t="shared" si="221"/>
        <v>0</v>
      </c>
      <c r="DR289" s="798">
        <f t="shared" si="221"/>
        <v>0</v>
      </c>
      <c r="DS289" s="798">
        <f t="shared" si="221"/>
        <v>0</v>
      </c>
      <c r="DT289" s="798">
        <f t="shared" si="221"/>
        <v>0</v>
      </c>
      <c r="DU289" s="798">
        <f t="shared" si="221"/>
        <v>0</v>
      </c>
      <c r="DV289" s="798"/>
      <c r="DW289" s="798"/>
      <c r="DX289" s="798"/>
      <c r="DY289" s="798"/>
      <c r="DZ289" s="798"/>
      <c r="EA289" s="798"/>
      <c r="EB289" s="798"/>
      <c r="EC289" s="798"/>
      <c r="ED289" s="798"/>
      <c r="EE289" s="798"/>
      <c r="EF289" s="798"/>
      <c r="EG289" s="798"/>
      <c r="EH289" s="782"/>
    </row>
    <row r="290" spans="1:138" ht="12.75" customHeight="1" x14ac:dyDescent="0.3">
      <c r="A290" s="782"/>
      <c r="B290" s="781" t="s">
        <v>158</v>
      </c>
      <c r="C290" s="799"/>
      <c r="D290" s="781"/>
      <c r="E290" s="799">
        <f t="shared" ref="E290:BP290" si="222">IF(E265&gt;0,E265,0)</f>
        <v>0</v>
      </c>
      <c r="F290" s="799">
        <f t="shared" si="222"/>
        <v>0</v>
      </c>
      <c r="G290" s="799">
        <f t="shared" si="222"/>
        <v>0</v>
      </c>
      <c r="H290" s="799">
        <f t="shared" si="222"/>
        <v>0</v>
      </c>
      <c r="I290" s="799">
        <f t="shared" si="222"/>
        <v>0</v>
      </c>
      <c r="J290" s="799">
        <f t="shared" si="222"/>
        <v>0</v>
      </c>
      <c r="K290" s="799">
        <f t="shared" si="222"/>
        <v>0</v>
      </c>
      <c r="L290" s="799">
        <f t="shared" si="222"/>
        <v>0</v>
      </c>
      <c r="M290" s="799">
        <f t="shared" si="222"/>
        <v>0</v>
      </c>
      <c r="N290" s="799">
        <f t="shared" si="222"/>
        <v>0</v>
      </c>
      <c r="O290" s="799">
        <f t="shared" si="222"/>
        <v>0</v>
      </c>
      <c r="P290" s="799">
        <f t="shared" si="222"/>
        <v>0</v>
      </c>
      <c r="Q290" s="799">
        <f t="shared" si="222"/>
        <v>0</v>
      </c>
      <c r="R290" s="799">
        <f t="shared" si="222"/>
        <v>0</v>
      </c>
      <c r="S290" s="799">
        <f t="shared" si="222"/>
        <v>0</v>
      </c>
      <c r="T290" s="799">
        <f t="shared" si="222"/>
        <v>0</v>
      </c>
      <c r="U290" s="799">
        <f t="shared" si="222"/>
        <v>0</v>
      </c>
      <c r="V290" s="799">
        <f t="shared" si="222"/>
        <v>0</v>
      </c>
      <c r="W290" s="799">
        <f t="shared" si="222"/>
        <v>0</v>
      </c>
      <c r="X290" s="799">
        <f t="shared" si="222"/>
        <v>0</v>
      </c>
      <c r="Y290" s="799">
        <f t="shared" si="222"/>
        <v>0</v>
      </c>
      <c r="Z290" s="799">
        <f t="shared" si="222"/>
        <v>0</v>
      </c>
      <c r="AA290" s="799">
        <f t="shared" si="222"/>
        <v>0</v>
      </c>
      <c r="AB290" s="799">
        <f t="shared" si="222"/>
        <v>0</v>
      </c>
      <c r="AC290" s="799">
        <f t="shared" si="222"/>
        <v>0</v>
      </c>
      <c r="AD290" s="799">
        <f t="shared" si="222"/>
        <v>0</v>
      </c>
      <c r="AE290" s="799">
        <f t="shared" si="222"/>
        <v>0</v>
      </c>
      <c r="AF290" s="799">
        <f t="shared" si="222"/>
        <v>0</v>
      </c>
      <c r="AG290" s="799">
        <f t="shared" si="222"/>
        <v>0</v>
      </c>
      <c r="AH290" s="799">
        <f t="shared" si="222"/>
        <v>0</v>
      </c>
      <c r="AI290" s="799">
        <f t="shared" si="222"/>
        <v>0</v>
      </c>
      <c r="AJ290" s="799">
        <f t="shared" si="222"/>
        <v>0</v>
      </c>
      <c r="AK290" s="799">
        <f t="shared" si="222"/>
        <v>0</v>
      </c>
      <c r="AL290" s="799">
        <f t="shared" si="222"/>
        <v>14315530.3242827</v>
      </c>
      <c r="AM290" s="799">
        <f t="shared" si="222"/>
        <v>205293.34606116661</v>
      </c>
      <c r="AN290" s="799">
        <f t="shared" si="222"/>
        <v>207793.40423970085</v>
      </c>
      <c r="AO290" s="799">
        <f t="shared" si="222"/>
        <v>210260.10262606523</v>
      </c>
      <c r="AP290" s="799">
        <f t="shared" si="222"/>
        <v>211885.65974115423</v>
      </c>
      <c r="AQ290" s="799">
        <f t="shared" si="222"/>
        <v>215188.01193420406</v>
      </c>
      <c r="AR290" s="799">
        <f t="shared" si="222"/>
        <v>218012.9416200624</v>
      </c>
      <c r="AS290" s="799">
        <f t="shared" si="222"/>
        <v>213181.07686987985</v>
      </c>
      <c r="AT290" s="799">
        <f t="shared" si="222"/>
        <v>214770.00861920218</v>
      </c>
      <c r="AU290" s="799">
        <f t="shared" si="222"/>
        <v>216264.46058470523</v>
      </c>
      <c r="AV290" s="799">
        <f t="shared" si="222"/>
        <v>218515.59404432448</v>
      </c>
      <c r="AW290" s="799">
        <f t="shared" si="222"/>
        <v>220675.94358853242</v>
      </c>
      <c r="AX290" s="799">
        <f t="shared" si="222"/>
        <v>222710.56184153532</v>
      </c>
      <c r="AY290" s="799">
        <f t="shared" si="222"/>
        <v>224665.72728851769</v>
      </c>
      <c r="AZ290" s="799">
        <f t="shared" si="222"/>
        <v>226548.52262565284</v>
      </c>
      <c r="BA290" s="799">
        <f t="shared" si="222"/>
        <v>228304.85297686295</v>
      </c>
      <c r="BB290" s="799">
        <f t="shared" si="222"/>
        <v>229344.9930368007</v>
      </c>
      <c r="BC290" s="799">
        <f t="shared" si="222"/>
        <v>231542.10904179295</v>
      </c>
      <c r="BD290" s="799">
        <f t="shared" si="222"/>
        <v>233317.7080138704</v>
      </c>
      <c r="BE290" s="799">
        <f t="shared" si="222"/>
        <v>229013.16839337221</v>
      </c>
      <c r="BF290" s="799">
        <f t="shared" si="222"/>
        <v>229911.66091752306</v>
      </c>
      <c r="BG290" s="799">
        <f t="shared" si="222"/>
        <v>230813.78680437503</v>
      </c>
      <c r="BH290" s="799">
        <f t="shared" si="222"/>
        <v>232345.63973502186</v>
      </c>
      <c r="BI290" s="799">
        <f t="shared" si="222"/>
        <v>233902.4265315792</v>
      </c>
      <c r="BJ290" s="799">
        <f t="shared" si="222"/>
        <v>235545.94755839423</v>
      </c>
      <c r="BK290" s="799">
        <f t="shared" si="222"/>
        <v>237262.50476525677</v>
      </c>
      <c r="BL290" s="799">
        <f t="shared" si="222"/>
        <v>238991.57351446556</v>
      </c>
      <c r="BM290" s="799">
        <f t="shared" si="222"/>
        <v>240811.21361387809</v>
      </c>
      <c r="BN290" s="799">
        <f t="shared" si="222"/>
        <v>242002.34658988175</v>
      </c>
      <c r="BO290" s="799">
        <f t="shared" si="222"/>
        <v>244627.30669974274</v>
      </c>
      <c r="BP290" s="799">
        <f t="shared" si="222"/>
        <v>246922.0418636211</v>
      </c>
      <c r="BQ290" s="799">
        <f t="shared" ref="BQ290:DU290" si="223">IF(BQ265&gt;0,BQ265,0)</f>
        <v>242733.25370419392</v>
      </c>
      <c r="BR290" s="799">
        <f t="shared" si="223"/>
        <v>244033.96696505454</v>
      </c>
      <c r="BS290" s="799">
        <f t="shared" si="223"/>
        <v>245313.14997026659</v>
      </c>
      <c r="BT290" s="799">
        <f t="shared" si="223"/>
        <v>247377.11673495109</v>
      </c>
      <c r="BU290" s="799">
        <f t="shared" si="223"/>
        <v>249414.97281073497</v>
      </c>
      <c r="BV290" s="799">
        <f t="shared" si="223"/>
        <v>251479.3205969065</v>
      </c>
      <c r="BW290" s="799">
        <f t="shared" si="223"/>
        <v>253576.88775609701</v>
      </c>
      <c r="BX290" s="799">
        <f t="shared" si="223"/>
        <v>255660.88139998799</v>
      </c>
      <c r="BY290" s="799">
        <f t="shared" si="223"/>
        <v>257780.55934433491</v>
      </c>
      <c r="BZ290" s="799">
        <f t="shared" si="223"/>
        <v>259130.53765731424</v>
      </c>
      <c r="CA290" s="799">
        <f t="shared" si="223"/>
        <v>262044.06866613019</v>
      </c>
      <c r="CB290" s="799">
        <f t="shared" si="223"/>
        <v>264568.88723862561</v>
      </c>
      <c r="CC290" s="799">
        <f t="shared" si="223"/>
        <v>260334.62676779419</v>
      </c>
      <c r="CD290" s="799">
        <f t="shared" si="223"/>
        <v>261766.27506953065</v>
      </c>
      <c r="CE290" s="799">
        <f t="shared" si="223"/>
        <v>263169.39895795332</v>
      </c>
      <c r="CF290" s="799">
        <f t="shared" si="223"/>
        <v>265374.12330500968</v>
      </c>
      <c r="CG290" s="799">
        <f t="shared" si="223"/>
        <v>267569.84631198365</v>
      </c>
      <c r="CH290" s="799">
        <f t="shared" si="223"/>
        <v>269785.75663471175</v>
      </c>
      <c r="CI290" s="799">
        <f t="shared" si="223"/>
        <v>271981.27502716507</v>
      </c>
      <c r="CJ290" s="799">
        <f t="shared" si="223"/>
        <v>274209.9614994725</v>
      </c>
      <c r="CK290" s="799">
        <f t="shared" si="223"/>
        <v>276471.37765448482</v>
      </c>
      <c r="CL290" s="799">
        <f t="shared" si="223"/>
        <v>277910.21305872517</v>
      </c>
      <c r="CM290" s="799">
        <f t="shared" si="223"/>
        <v>280971.24051798158</v>
      </c>
      <c r="CN290" s="799">
        <f t="shared" si="223"/>
        <v>283611.40197433194</v>
      </c>
      <c r="CO290" s="799">
        <f t="shared" si="223"/>
        <v>279273.11677509604</v>
      </c>
      <c r="CP290" s="799">
        <f t="shared" si="223"/>
        <v>280770.93938649778</v>
      </c>
      <c r="CQ290" s="799">
        <f t="shared" si="223"/>
        <v>282239.46279127692</v>
      </c>
      <c r="CR290" s="799">
        <f t="shared" si="223"/>
        <v>284516.27143163967</v>
      </c>
      <c r="CS290" s="799">
        <f t="shared" si="223"/>
        <v>286814.10642290174</v>
      </c>
      <c r="CT290" s="799">
        <f t="shared" si="223"/>
        <v>289146.38855799765</v>
      </c>
      <c r="CU290" s="799">
        <f t="shared" si="223"/>
        <v>291451.51423692808</v>
      </c>
      <c r="CV290" s="799">
        <f t="shared" si="223"/>
        <v>293779.70006957493</v>
      </c>
      <c r="CW290" s="799">
        <f t="shared" si="223"/>
        <v>72613507.873999998</v>
      </c>
      <c r="CX290" s="799">
        <f t="shared" si="223"/>
        <v>0</v>
      </c>
      <c r="CY290" s="799">
        <f t="shared" si="223"/>
        <v>0</v>
      </c>
      <c r="CZ290" s="799">
        <f t="shared" si="223"/>
        <v>0</v>
      </c>
      <c r="DA290" s="799">
        <f t="shared" si="223"/>
        <v>0</v>
      </c>
      <c r="DB290" s="799">
        <f t="shared" si="223"/>
        <v>0</v>
      </c>
      <c r="DC290" s="799">
        <f t="shared" si="223"/>
        <v>0</v>
      </c>
      <c r="DD290" s="799">
        <f t="shared" si="223"/>
        <v>0</v>
      </c>
      <c r="DE290" s="799">
        <f t="shared" si="223"/>
        <v>0</v>
      </c>
      <c r="DF290" s="799">
        <f t="shared" si="223"/>
        <v>0</v>
      </c>
      <c r="DG290" s="799">
        <f t="shared" si="223"/>
        <v>0</v>
      </c>
      <c r="DH290" s="799">
        <f t="shared" si="223"/>
        <v>0</v>
      </c>
      <c r="DI290" s="799">
        <f t="shared" si="223"/>
        <v>0</v>
      </c>
      <c r="DJ290" s="799">
        <f t="shared" si="223"/>
        <v>0</v>
      </c>
      <c r="DK290" s="799">
        <f t="shared" si="223"/>
        <v>0</v>
      </c>
      <c r="DL290" s="799">
        <f t="shared" si="223"/>
        <v>0</v>
      </c>
      <c r="DM290" s="799">
        <f t="shared" si="223"/>
        <v>0</v>
      </c>
      <c r="DN290" s="799">
        <f t="shared" si="223"/>
        <v>0</v>
      </c>
      <c r="DO290" s="799">
        <f t="shared" si="223"/>
        <v>0</v>
      </c>
      <c r="DP290" s="799">
        <f t="shared" si="223"/>
        <v>0</v>
      </c>
      <c r="DQ290" s="799">
        <f t="shared" si="223"/>
        <v>0</v>
      </c>
      <c r="DR290" s="799">
        <f t="shared" si="223"/>
        <v>0</v>
      </c>
      <c r="DS290" s="799">
        <f t="shared" si="223"/>
        <v>0</v>
      </c>
      <c r="DT290" s="799">
        <f t="shared" si="223"/>
        <v>0</v>
      </c>
      <c r="DU290" s="799">
        <f t="shared" si="223"/>
        <v>0</v>
      </c>
      <c r="DV290" s="798"/>
      <c r="DW290" s="798"/>
      <c r="DX290" s="798"/>
      <c r="DY290" s="798"/>
      <c r="DZ290" s="798"/>
      <c r="EA290" s="798"/>
      <c r="EB290" s="798"/>
      <c r="EC290" s="798"/>
      <c r="ED290" s="798"/>
      <c r="EE290" s="798"/>
      <c r="EF290" s="798"/>
      <c r="EG290" s="798"/>
      <c r="EH290" s="782"/>
    </row>
    <row r="291" spans="1:138" ht="12.75" customHeight="1" x14ac:dyDescent="0.3">
      <c r="A291" s="782"/>
      <c r="B291" s="782" t="s">
        <v>159</v>
      </c>
      <c r="C291" s="798"/>
      <c r="D291" s="782"/>
      <c r="E291" s="798">
        <f t="shared" ref="E291:AJ291" si="224">SUM(E287:E290)</f>
        <v>0</v>
      </c>
      <c r="F291" s="798">
        <f t="shared" si="224"/>
        <v>0</v>
      </c>
      <c r="G291" s="798">
        <f t="shared" si="224"/>
        <v>0</v>
      </c>
      <c r="H291" s="798">
        <f>SUM(H287:H290)</f>
        <v>0</v>
      </c>
      <c r="I291" s="798">
        <f>SUM(I287:I290)</f>
        <v>0</v>
      </c>
      <c r="J291" s="798">
        <f>SUM(J287:J290)</f>
        <v>0</v>
      </c>
      <c r="K291" s="798">
        <f t="shared" si="224"/>
        <v>0</v>
      </c>
      <c r="L291" s="798">
        <f t="shared" si="224"/>
        <v>0</v>
      </c>
      <c r="M291" s="798">
        <f t="shared" si="224"/>
        <v>0</v>
      </c>
      <c r="N291" s="798">
        <f t="shared" si="224"/>
        <v>0</v>
      </c>
      <c r="O291" s="798">
        <f t="shared" si="224"/>
        <v>0</v>
      </c>
      <c r="P291" s="798">
        <f t="shared" si="224"/>
        <v>0</v>
      </c>
      <c r="Q291" s="798">
        <f t="shared" si="224"/>
        <v>0</v>
      </c>
      <c r="R291" s="798">
        <f t="shared" si="224"/>
        <v>0</v>
      </c>
      <c r="S291" s="798">
        <f t="shared" si="224"/>
        <v>0</v>
      </c>
      <c r="T291" s="798">
        <f t="shared" si="224"/>
        <v>0</v>
      </c>
      <c r="U291" s="798">
        <f t="shared" si="224"/>
        <v>0</v>
      </c>
      <c r="V291" s="798">
        <f t="shared" si="224"/>
        <v>0</v>
      </c>
      <c r="W291" s="798">
        <f t="shared" si="224"/>
        <v>0</v>
      </c>
      <c r="X291" s="798">
        <f t="shared" si="224"/>
        <v>0</v>
      </c>
      <c r="Y291" s="798">
        <f t="shared" si="224"/>
        <v>0</v>
      </c>
      <c r="Z291" s="798">
        <f t="shared" si="224"/>
        <v>0</v>
      </c>
      <c r="AA291" s="798">
        <f t="shared" si="224"/>
        <v>0</v>
      </c>
      <c r="AB291" s="798">
        <f t="shared" si="224"/>
        <v>0</v>
      </c>
      <c r="AC291" s="798">
        <f t="shared" si="224"/>
        <v>0</v>
      </c>
      <c r="AD291" s="798">
        <f t="shared" si="224"/>
        <v>0</v>
      </c>
      <c r="AE291" s="798">
        <f t="shared" si="224"/>
        <v>0</v>
      </c>
      <c r="AF291" s="798">
        <f t="shared" si="224"/>
        <v>0</v>
      </c>
      <c r="AG291" s="798">
        <f t="shared" si="224"/>
        <v>0</v>
      </c>
      <c r="AH291" s="798">
        <f t="shared" si="224"/>
        <v>0</v>
      </c>
      <c r="AI291" s="798">
        <f t="shared" si="224"/>
        <v>0</v>
      </c>
      <c r="AJ291" s="798">
        <f t="shared" si="224"/>
        <v>0</v>
      </c>
      <c r="AK291" s="798">
        <f t="shared" ref="AK291:CV291" si="225">SUM(AK287:AK290)</f>
        <v>-60916274.722085506</v>
      </c>
      <c r="AL291" s="798">
        <f t="shared" si="225"/>
        <v>-47095852.931763403</v>
      </c>
      <c r="AM291" s="798">
        <f t="shared" si="225"/>
        <v>-47260943.848269723</v>
      </c>
      <c r="AN291" s="798">
        <f t="shared" si="225"/>
        <v>-47437272.695908755</v>
      </c>
      <c r="AO291" s="798">
        <f t="shared" si="225"/>
        <v>-47612567.991190918</v>
      </c>
      <c r="AP291" s="798">
        <f t="shared" si="225"/>
        <v>-47775130.287831672</v>
      </c>
      <c r="AQ291" s="798">
        <f t="shared" si="225"/>
        <v>-47948243.675227933</v>
      </c>
      <c r="AR291" s="798">
        <f t="shared" si="225"/>
        <v>-48107318.603760406</v>
      </c>
      <c r="AS291" s="798">
        <f t="shared" si="225"/>
        <v>-48285138.849531278</v>
      </c>
      <c r="AT291" s="798">
        <f t="shared" si="225"/>
        <v>-48462815.431202464</v>
      </c>
      <c r="AU291" s="798">
        <f t="shared" si="225"/>
        <v>-48602183.704566143</v>
      </c>
      <c r="AV291" s="798">
        <f t="shared" si="225"/>
        <v>-48778691.542782471</v>
      </c>
      <c r="AW291" s="798">
        <f t="shared" si="225"/>
        <v>-48941634.507683769</v>
      </c>
      <c r="AX291" s="798">
        <f t="shared" si="225"/>
        <v>-49116706.328650184</v>
      </c>
      <c r="AY291" s="798">
        <f t="shared" si="225"/>
        <v>-49278317.819435187</v>
      </c>
      <c r="AZ291" s="798">
        <f t="shared" si="225"/>
        <v>-49452288.136855721</v>
      </c>
      <c r="BA291" s="798">
        <f t="shared" si="225"/>
        <v>-49625916.100554504</v>
      </c>
      <c r="BB291" s="798">
        <f t="shared" si="225"/>
        <v>-49786852.994242884</v>
      </c>
      <c r="BC291" s="798">
        <f t="shared" si="225"/>
        <v>-49959962.940976821</v>
      </c>
      <c r="BD291" s="798">
        <f t="shared" si="225"/>
        <v>-50119554.22345525</v>
      </c>
      <c r="BE291" s="798">
        <f t="shared" si="225"/>
        <v>-50297897.202947542</v>
      </c>
      <c r="BF291" s="798">
        <f t="shared" si="225"/>
        <v>-50476791.20618242</v>
      </c>
      <c r="BG291" s="798">
        <f t="shared" si="225"/>
        <v>-50629668.378490962</v>
      </c>
      <c r="BH291" s="798">
        <f t="shared" si="225"/>
        <v>-50808824.935831323</v>
      </c>
      <c r="BI291" s="798">
        <f t="shared" si="225"/>
        <v>-50974507.355614029</v>
      </c>
      <c r="BJ291" s="798">
        <f t="shared" si="225"/>
        <v>-51153266.349080719</v>
      </c>
      <c r="BK291" s="798">
        <f t="shared" si="225"/>
        <v>-51318297.542278081</v>
      </c>
      <c r="BL291" s="798">
        <f t="shared" si="225"/>
        <v>-51496405.129495762</v>
      </c>
      <c r="BM291" s="798">
        <f t="shared" si="225"/>
        <v>-51674140.679685578</v>
      </c>
      <c r="BN291" s="798">
        <f t="shared" si="225"/>
        <v>-51838528.435366169</v>
      </c>
      <c r="BO291" s="798">
        <f t="shared" si="225"/>
        <v>-52015228.564288542</v>
      </c>
      <c r="BP291" s="798">
        <f t="shared" si="225"/>
        <v>-52177379.102594078</v>
      </c>
      <c r="BQ291" s="798">
        <f t="shared" si="225"/>
        <v>-52358727.357341446</v>
      </c>
      <c r="BR291" s="798">
        <f t="shared" si="225"/>
        <v>-52540248.841037214</v>
      </c>
      <c r="BS291" s="798">
        <f t="shared" si="225"/>
        <v>-52680489.691003084</v>
      </c>
      <c r="BT291" s="798">
        <f t="shared" si="225"/>
        <v>-52861283.209098212</v>
      </c>
      <c r="BU291" s="798">
        <f t="shared" si="225"/>
        <v>-53027594.593938135</v>
      </c>
      <c r="BV291" s="798">
        <f t="shared" si="225"/>
        <v>-53207107.068861239</v>
      </c>
      <c r="BW291" s="798">
        <f t="shared" si="225"/>
        <v>-53371976.262623258</v>
      </c>
      <c r="BX291" s="798">
        <f t="shared" si="225"/>
        <v>-53550106.203832231</v>
      </c>
      <c r="BY291" s="798">
        <f t="shared" si="225"/>
        <v>-53727564.251854688</v>
      </c>
      <c r="BZ291" s="798">
        <f t="shared" si="225"/>
        <v>-53890972.919375449</v>
      </c>
      <c r="CA291" s="798">
        <f t="shared" si="225"/>
        <v>-54066937.916719206</v>
      </c>
      <c r="CB291" s="798">
        <f t="shared" si="225"/>
        <v>-54227577.231115252</v>
      </c>
      <c r="CC291" s="798">
        <f t="shared" si="225"/>
        <v>-54407987.485508069</v>
      </c>
      <c r="CD291" s="798">
        <f t="shared" si="225"/>
        <v>-54588432.410033286</v>
      </c>
      <c r="CE291" s="798">
        <f t="shared" si="225"/>
        <v>-54725847.114314161</v>
      </c>
      <c r="CF291" s="798">
        <f t="shared" si="225"/>
        <v>-54905267.65480195</v>
      </c>
      <c r="CG291" s="798">
        <f t="shared" si="225"/>
        <v>-55069499.03525316</v>
      </c>
      <c r="CH291" s="798">
        <f t="shared" si="225"/>
        <v>-55247301.038337499</v>
      </c>
      <c r="CI291" s="798">
        <f t="shared" si="225"/>
        <v>-55409810.903827041</v>
      </c>
      <c r="CJ291" s="798">
        <f t="shared" si="225"/>
        <v>-55585954.651066117</v>
      </c>
      <c r="CK291" s="798">
        <f t="shared" si="225"/>
        <v>-55761268.623741195</v>
      </c>
      <c r="CL291" s="798">
        <f t="shared" si="225"/>
        <v>-55921891.637566715</v>
      </c>
      <c r="CM291" s="798">
        <f t="shared" si="225"/>
        <v>-56095436.13871704</v>
      </c>
      <c r="CN291" s="798">
        <f t="shared" si="225"/>
        <v>-56252986.016436353</v>
      </c>
      <c r="CO291" s="798">
        <f t="shared" si="225"/>
        <v>-56430919.673459694</v>
      </c>
      <c r="CP291" s="798">
        <f t="shared" si="225"/>
        <v>-56608801.697292656</v>
      </c>
      <c r="CQ291" s="798">
        <f t="shared" si="225"/>
        <v>-56741972.332615249</v>
      </c>
      <c r="CR291" s="798">
        <f t="shared" si="225"/>
        <v>-56918637.16366899</v>
      </c>
      <c r="CS291" s="798">
        <f t="shared" si="225"/>
        <v>-57079458.382648461</v>
      </c>
      <c r="CT291" s="798">
        <f t="shared" si="225"/>
        <v>-57254236.078221165</v>
      </c>
      <c r="CU291" s="798">
        <f t="shared" si="225"/>
        <v>-57413059.199405372</v>
      </c>
      <c r="CV291" s="798">
        <f t="shared" si="225"/>
        <v>-57585914.987144187</v>
      </c>
      <c r="CW291" s="798">
        <f t="shared" ref="CW291:DU291" si="226">SUM(CW287:CW290)</f>
        <v>14559552.480968557</v>
      </c>
      <c r="CX291" s="798">
        <f t="shared" si="226"/>
        <v>14674055.749797545</v>
      </c>
      <c r="CY291" s="798">
        <f t="shared" si="226"/>
        <v>14793321.910814188</v>
      </c>
      <c r="CZ291" s="798">
        <f t="shared" si="226"/>
        <v>14909663.653999075</v>
      </c>
      <c r="DA291" s="798">
        <f t="shared" si="226"/>
        <v>15030844.7627792</v>
      </c>
      <c r="DB291" s="798">
        <f t="shared" si="226"/>
        <v>15153010.79392015</v>
      </c>
      <c r="DC291" s="798">
        <f t="shared" si="226"/>
        <v>15268193.893044239</v>
      </c>
      <c r="DD291" s="798">
        <f t="shared" si="226"/>
        <v>15392289.024092536</v>
      </c>
      <c r="DE291" s="798">
        <f t="shared" si="226"/>
        <v>15513341.330495702</v>
      </c>
      <c r="DF291" s="798">
        <f t="shared" si="226"/>
        <v>15639428.943666626</v>
      </c>
      <c r="DG291" s="798">
        <f t="shared" si="226"/>
        <v>15762424.876337586</v>
      </c>
      <c r="DH291" s="798">
        <f t="shared" si="226"/>
        <v>15890536.963095874</v>
      </c>
      <c r="DI291" s="798">
        <f t="shared" si="226"/>
        <v>16019690.305048227</v>
      </c>
      <c r="DJ291" s="798">
        <f t="shared" si="226"/>
        <v>16145676.794533655</v>
      </c>
      <c r="DK291" s="798">
        <f t="shared" si="226"/>
        <v>16276903.833678991</v>
      </c>
      <c r="DL291" s="798">
        <f t="shared" si="226"/>
        <v>16404913.17310117</v>
      </c>
      <c r="DM291" s="798">
        <f t="shared" si="226"/>
        <v>16538247.204900397</v>
      </c>
      <c r="DN291" s="798">
        <f t="shared" si="226"/>
        <v>16672664.934238784</v>
      </c>
      <c r="DO291" s="798">
        <f t="shared" si="226"/>
        <v>16795013.282348812</v>
      </c>
      <c r="DP291" s="798">
        <f t="shared" si="226"/>
        <v>16931517.926501941</v>
      </c>
      <c r="DQ291" s="798">
        <f t="shared" si="226"/>
        <v>17064675.463545423</v>
      </c>
      <c r="DR291" s="798">
        <f t="shared" si="226"/>
        <v>17203371.838033441</v>
      </c>
      <c r="DS291" s="798">
        <f t="shared" si="226"/>
        <v>17338667.363971498</v>
      </c>
      <c r="DT291" s="798">
        <f t="shared" si="226"/>
        <v>17479590.659405615</v>
      </c>
      <c r="DU291" s="798">
        <f t="shared" si="226"/>
        <v>17621659.335553207</v>
      </c>
      <c r="DV291" s="798"/>
      <c r="DW291" s="798"/>
      <c r="DX291" s="798"/>
      <c r="DY291" s="798"/>
      <c r="DZ291" s="798"/>
      <c r="EA291" s="798"/>
      <c r="EB291" s="798"/>
      <c r="EC291" s="798"/>
      <c r="ED291" s="798"/>
      <c r="EE291" s="798"/>
      <c r="EF291" s="798"/>
      <c r="EG291" s="798"/>
      <c r="EH291" s="782"/>
    </row>
    <row r="292" spans="1:138" ht="12.75" customHeight="1" x14ac:dyDescent="0.3">
      <c r="A292" s="782"/>
      <c r="B292" s="782"/>
      <c r="C292" s="798"/>
      <c r="D292" s="782"/>
      <c r="E292" s="798"/>
      <c r="F292" s="798"/>
      <c r="G292" s="798"/>
      <c r="H292" s="798"/>
      <c r="I292" s="798"/>
      <c r="J292" s="798"/>
      <c r="K292" s="798"/>
      <c r="L292" s="798"/>
      <c r="M292" s="798"/>
      <c r="N292" s="798"/>
      <c r="O292" s="798"/>
      <c r="P292" s="798"/>
      <c r="Q292" s="798"/>
      <c r="R292" s="798"/>
      <c r="S292" s="798"/>
      <c r="T292" s="798"/>
      <c r="U292" s="798"/>
      <c r="V292" s="798"/>
      <c r="W292" s="798"/>
      <c r="X292" s="798"/>
      <c r="Y292" s="798"/>
      <c r="Z292" s="798"/>
      <c r="AA292" s="798"/>
      <c r="AB292" s="798"/>
      <c r="AC292" s="798"/>
      <c r="AD292" s="798"/>
      <c r="AE292" s="798"/>
      <c r="AF292" s="798"/>
      <c r="AG292" s="798"/>
      <c r="AH292" s="798"/>
      <c r="AI292" s="798"/>
      <c r="AJ292" s="798"/>
      <c r="AK292" s="798"/>
      <c r="AL292" s="798"/>
      <c r="AM292" s="798"/>
      <c r="AN292" s="798"/>
      <c r="AO292" s="798"/>
      <c r="AP292" s="798"/>
      <c r="AQ292" s="798"/>
      <c r="AR292" s="798"/>
      <c r="AS292" s="798"/>
      <c r="AT292" s="798"/>
      <c r="AU292" s="798"/>
      <c r="AV292" s="798"/>
      <c r="AW292" s="798"/>
      <c r="AX292" s="798"/>
      <c r="AY292" s="798"/>
      <c r="AZ292" s="798"/>
      <c r="BA292" s="798"/>
      <c r="BB292" s="798"/>
      <c r="BC292" s="798"/>
      <c r="BD292" s="798"/>
      <c r="BE292" s="798"/>
      <c r="BF292" s="798"/>
      <c r="BG292" s="798"/>
      <c r="BH292" s="798"/>
      <c r="BI292" s="798"/>
      <c r="BJ292" s="798"/>
      <c r="BK292" s="798"/>
      <c r="BL292" s="798"/>
      <c r="BM292" s="798"/>
      <c r="BN292" s="798"/>
      <c r="BO292" s="798"/>
      <c r="BP292" s="798"/>
      <c r="BQ292" s="798"/>
      <c r="BR292" s="798"/>
      <c r="BS292" s="798"/>
      <c r="BT292" s="798"/>
      <c r="BU292" s="798"/>
      <c r="BV292" s="798"/>
      <c r="BW292" s="798"/>
      <c r="BX292" s="798"/>
      <c r="BY292" s="798"/>
      <c r="BZ292" s="798"/>
      <c r="CA292" s="798"/>
      <c r="CB292" s="798"/>
      <c r="CC292" s="798"/>
      <c r="CD292" s="798"/>
      <c r="CE292" s="798"/>
      <c r="CF292" s="798"/>
      <c r="CG292" s="798"/>
      <c r="CH292" s="798"/>
      <c r="CI292" s="798"/>
      <c r="CJ292" s="798"/>
      <c r="CK292" s="798"/>
      <c r="CL292" s="798"/>
      <c r="CM292" s="798"/>
      <c r="CN292" s="798"/>
      <c r="CO292" s="798"/>
      <c r="CP292" s="798"/>
      <c r="CQ292" s="798"/>
      <c r="CR292" s="798"/>
      <c r="CS292" s="798"/>
      <c r="CT292" s="798"/>
      <c r="CU292" s="798"/>
      <c r="CV292" s="798"/>
      <c r="CW292" s="798"/>
      <c r="CX292" s="798"/>
      <c r="CY292" s="798"/>
      <c r="CZ292" s="798"/>
      <c r="DA292" s="798"/>
      <c r="DB292" s="798"/>
      <c r="DC292" s="798"/>
      <c r="DD292" s="798"/>
      <c r="DE292" s="798"/>
      <c r="DF292" s="798"/>
      <c r="DG292" s="798"/>
      <c r="DH292" s="798"/>
      <c r="DI292" s="798"/>
      <c r="DJ292" s="798"/>
      <c r="DK292" s="798"/>
      <c r="DL292" s="798"/>
      <c r="DM292" s="798"/>
      <c r="DN292" s="798"/>
      <c r="DO292" s="798"/>
      <c r="DP292" s="798"/>
      <c r="DQ292" s="798"/>
      <c r="DR292" s="798"/>
      <c r="DS292" s="798"/>
      <c r="DT292" s="798"/>
      <c r="DU292" s="798"/>
      <c r="DV292" s="798"/>
      <c r="DW292" s="798"/>
      <c r="DX292" s="798"/>
      <c r="DY292" s="798"/>
      <c r="DZ292" s="798"/>
      <c r="EA292" s="798"/>
      <c r="EB292" s="798"/>
      <c r="EC292" s="798"/>
      <c r="ED292" s="798"/>
      <c r="EE292" s="798"/>
      <c r="EF292" s="798"/>
      <c r="EG292" s="798"/>
      <c r="EH292" s="782"/>
    </row>
    <row r="293" spans="1:138" ht="12.75" customHeight="1" x14ac:dyDescent="0.3">
      <c r="A293" s="782"/>
      <c r="B293" s="781" t="s">
        <v>167</v>
      </c>
      <c r="C293" s="799"/>
      <c r="D293" s="781"/>
      <c r="E293" s="799">
        <f t="shared" ref="E293:AJ293" si="227">MAX(MIN(-SUM(E287:E288),E290),0)</f>
        <v>0</v>
      </c>
      <c r="F293" s="799">
        <f t="shared" si="227"/>
        <v>0</v>
      </c>
      <c r="G293" s="799">
        <f t="shared" si="227"/>
        <v>0</v>
      </c>
      <c r="H293" s="799">
        <f>MAX(MIN(-SUM(H287:H288),H290),0)</f>
        <v>0</v>
      </c>
      <c r="I293" s="799">
        <f>MAX(MIN(-SUM(I287:I288),I290),0)</f>
        <v>0</v>
      </c>
      <c r="J293" s="799">
        <f>MAX(MIN(-SUM(J287:J288),J290),0)</f>
        <v>0</v>
      </c>
      <c r="K293" s="799">
        <f t="shared" si="227"/>
        <v>0</v>
      </c>
      <c r="L293" s="799">
        <f t="shared" si="227"/>
        <v>0</v>
      </c>
      <c r="M293" s="799">
        <f t="shared" si="227"/>
        <v>0</v>
      </c>
      <c r="N293" s="799">
        <f t="shared" si="227"/>
        <v>0</v>
      </c>
      <c r="O293" s="799">
        <f t="shared" si="227"/>
        <v>0</v>
      </c>
      <c r="P293" s="799">
        <f t="shared" si="227"/>
        <v>0</v>
      </c>
      <c r="Q293" s="799">
        <f t="shared" si="227"/>
        <v>0</v>
      </c>
      <c r="R293" s="799">
        <f t="shared" si="227"/>
        <v>0</v>
      </c>
      <c r="S293" s="799">
        <f t="shared" si="227"/>
        <v>0</v>
      </c>
      <c r="T293" s="799">
        <f t="shared" si="227"/>
        <v>0</v>
      </c>
      <c r="U293" s="799">
        <f t="shared" si="227"/>
        <v>0</v>
      </c>
      <c r="V293" s="799">
        <f t="shared" si="227"/>
        <v>0</v>
      </c>
      <c r="W293" s="799">
        <f t="shared" si="227"/>
        <v>0</v>
      </c>
      <c r="X293" s="799">
        <f t="shared" si="227"/>
        <v>0</v>
      </c>
      <c r="Y293" s="799">
        <f t="shared" si="227"/>
        <v>0</v>
      </c>
      <c r="Z293" s="799">
        <f t="shared" si="227"/>
        <v>0</v>
      </c>
      <c r="AA293" s="799">
        <f t="shared" si="227"/>
        <v>0</v>
      </c>
      <c r="AB293" s="799">
        <f t="shared" si="227"/>
        <v>0</v>
      </c>
      <c r="AC293" s="799">
        <f t="shared" si="227"/>
        <v>0</v>
      </c>
      <c r="AD293" s="799">
        <f t="shared" si="227"/>
        <v>0</v>
      </c>
      <c r="AE293" s="799">
        <f t="shared" si="227"/>
        <v>0</v>
      </c>
      <c r="AF293" s="799">
        <f t="shared" si="227"/>
        <v>0</v>
      </c>
      <c r="AG293" s="799">
        <f t="shared" si="227"/>
        <v>0</v>
      </c>
      <c r="AH293" s="799">
        <f t="shared" si="227"/>
        <v>0</v>
      </c>
      <c r="AI293" s="799">
        <f t="shared" si="227"/>
        <v>0</v>
      </c>
      <c r="AJ293" s="799">
        <f t="shared" si="227"/>
        <v>0</v>
      </c>
      <c r="AK293" s="799">
        <f t="shared" ref="AK293:CV293" si="228">MAX(MIN(-SUM(AK287:AK288),AK290),0)</f>
        <v>0</v>
      </c>
      <c r="AL293" s="799">
        <f t="shared" si="228"/>
        <v>14315530.3242827</v>
      </c>
      <c r="AM293" s="799">
        <f t="shared" si="228"/>
        <v>205293.34606116661</v>
      </c>
      <c r="AN293" s="799">
        <f t="shared" si="228"/>
        <v>207793.40423970085</v>
      </c>
      <c r="AO293" s="799">
        <f t="shared" si="228"/>
        <v>210260.10262606523</v>
      </c>
      <c r="AP293" s="799">
        <f t="shared" si="228"/>
        <v>211885.65974115423</v>
      </c>
      <c r="AQ293" s="799">
        <f t="shared" si="228"/>
        <v>215188.01193420406</v>
      </c>
      <c r="AR293" s="799">
        <f t="shared" si="228"/>
        <v>218012.9416200624</v>
      </c>
      <c r="AS293" s="799">
        <f t="shared" si="228"/>
        <v>213181.07686987985</v>
      </c>
      <c r="AT293" s="799">
        <f t="shared" si="228"/>
        <v>214770.00861920218</v>
      </c>
      <c r="AU293" s="799">
        <f t="shared" si="228"/>
        <v>216264.46058470523</v>
      </c>
      <c r="AV293" s="799">
        <f t="shared" si="228"/>
        <v>218515.59404432448</v>
      </c>
      <c r="AW293" s="799">
        <f t="shared" si="228"/>
        <v>220675.94358853242</v>
      </c>
      <c r="AX293" s="799">
        <f t="shared" si="228"/>
        <v>222710.56184153532</v>
      </c>
      <c r="AY293" s="799">
        <f t="shared" si="228"/>
        <v>224665.72728851769</v>
      </c>
      <c r="AZ293" s="799">
        <f t="shared" si="228"/>
        <v>226548.52262565284</v>
      </c>
      <c r="BA293" s="799">
        <f t="shared" si="228"/>
        <v>228304.85297686295</v>
      </c>
      <c r="BB293" s="799">
        <f t="shared" si="228"/>
        <v>229344.9930368007</v>
      </c>
      <c r="BC293" s="799">
        <f t="shared" si="228"/>
        <v>231542.10904179295</v>
      </c>
      <c r="BD293" s="799">
        <f t="shared" si="228"/>
        <v>233317.7080138704</v>
      </c>
      <c r="BE293" s="799">
        <f t="shared" si="228"/>
        <v>229013.16839337221</v>
      </c>
      <c r="BF293" s="799">
        <f t="shared" si="228"/>
        <v>229911.66091752306</v>
      </c>
      <c r="BG293" s="799">
        <f t="shared" si="228"/>
        <v>230813.78680437503</v>
      </c>
      <c r="BH293" s="799">
        <f t="shared" si="228"/>
        <v>232345.63973502186</v>
      </c>
      <c r="BI293" s="799">
        <f t="shared" si="228"/>
        <v>233902.4265315792</v>
      </c>
      <c r="BJ293" s="799">
        <f t="shared" si="228"/>
        <v>235545.94755839423</v>
      </c>
      <c r="BK293" s="799">
        <f t="shared" si="228"/>
        <v>237262.50476525677</v>
      </c>
      <c r="BL293" s="799">
        <f t="shared" si="228"/>
        <v>238991.57351446556</v>
      </c>
      <c r="BM293" s="799">
        <f t="shared" si="228"/>
        <v>240811.21361387809</v>
      </c>
      <c r="BN293" s="799">
        <f t="shared" si="228"/>
        <v>242002.34658988175</v>
      </c>
      <c r="BO293" s="799">
        <f t="shared" si="228"/>
        <v>244627.30669974274</v>
      </c>
      <c r="BP293" s="799">
        <f t="shared" si="228"/>
        <v>246922.0418636211</v>
      </c>
      <c r="BQ293" s="799">
        <f t="shared" si="228"/>
        <v>242733.25370419392</v>
      </c>
      <c r="BR293" s="799">
        <f t="shared" si="228"/>
        <v>244033.96696505454</v>
      </c>
      <c r="BS293" s="799">
        <f t="shared" si="228"/>
        <v>245313.14997026659</v>
      </c>
      <c r="BT293" s="799">
        <f t="shared" si="228"/>
        <v>247377.11673495109</v>
      </c>
      <c r="BU293" s="799">
        <f t="shared" si="228"/>
        <v>249414.97281073497</v>
      </c>
      <c r="BV293" s="799">
        <f t="shared" si="228"/>
        <v>251479.3205969065</v>
      </c>
      <c r="BW293" s="799">
        <f t="shared" si="228"/>
        <v>253576.88775609701</v>
      </c>
      <c r="BX293" s="799">
        <f t="shared" si="228"/>
        <v>255660.88139998799</v>
      </c>
      <c r="BY293" s="799">
        <f t="shared" si="228"/>
        <v>257780.55934433491</v>
      </c>
      <c r="BZ293" s="799">
        <f t="shared" si="228"/>
        <v>259130.53765731424</v>
      </c>
      <c r="CA293" s="799">
        <f t="shared" si="228"/>
        <v>262044.06866613019</v>
      </c>
      <c r="CB293" s="799">
        <f t="shared" si="228"/>
        <v>264568.88723862561</v>
      </c>
      <c r="CC293" s="799">
        <f t="shared" si="228"/>
        <v>260334.62676779419</v>
      </c>
      <c r="CD293" s="799">
        <f t="shared" si="228"/>
        <v>261766.27506953065</v>
      </c>
      <c r="CE293" s="799">
        <f t="shared" si="228"/>
        <v>263169.39895795332</v>
      </c>
      <c r="CF293" s="799">
        <f t="shared" si="228"/>
        <v>265374.12330500968</v>
      </c>
      <c r="CG293" s="799">
        <f t="shared" si="228"/>
        <v>267569.84631198365</v>
      </c>
      <c r="CH293" s="799">
        <f t="shared" si="228"/>
        <v>269785.75663471175</v>
      </c>
      <c r="CI293" s="799">
        <f t="shared" si="228"/>
        <v>271981.27502716507</v>
      </c>
      <c r="CJ293" s="799">
        <f t="shared" si="228"/>
        <v>274209.9614994725</v>
      </c>
      <c r="CK293" s="799">
        <f t="shared" si="228"/>
        <v>276471.37765448482</v>
      </c>
      <c r="CL293" s="799">
        <f t="shared" si="228"/>
        <v>277910.21305872517</v>
      </c>
      <c r="CM293" s="799">
        <f t="shared" si="228"/>
        <v>280971.24051798158</v>
      </c>
      <c r="CN293" s="799">
        <f t="shared" si="228"/>
        <v>283611.40197433194</v>
      </c>
      <c r="CO293" s="799">
        <f t="shared" si="228"/>
        <v>279273.11677509604</v>
      </c>
      <c r="CP293" s="799">
        <f t="shared" si="228"/>
        <v>280770.93938649778</v>
      </c>
      <c r="CQ293" s="799">
        <f t="shared" si="228"/>
        <v>282239.46279127692</v>
      </c>
      <c r="CR293" s="799">
        <f t="shared" si="228"/>
        <v>284516.27143163967</v>
      </c>
      <c r="CS293" s="799">
        <f t="shared" si="228"/>
        <v>286814.10642290174</v>
      </c>
      <c r="CT293" s="799">
        <f t="shared" si="228"/>
        <v>289146.38855799765</v>
      </c>
      <c r="CU293" s="799">
        <f t="shared" si="228"/>
        <v>291451.51423692808</v>
      </c>
      <c r="CV293" s="799">
        <f t="shared" si="228"/>
        <v>293779.70006957493</v>
      </c>
      <c r="CW293" s="799">
        <f t="shared" ref="CW293:DU293" si="229">MAX(MIN(-SUM(CW287:CW288),CW290),0)</f>
        <v>58053955.393031441</v>
      </c>
      <c r="CX293" s="799">
        <f t="shared" si="229"/>
        <v>0</v>
      </c>
      <c r="CY293" s="799">
        <f t="shared" si="229"/>
        <v>0</v>
      </c>
      <c r="CZ293" s="799">
        <f t="shared" si="229"/>
        <v>0</v>
      </c>
      <c r="DA293" s="799">
        <f t="shared" si="229"/>
        <v>0</v>
      </c>
      <c r="DB293" s="799">
        <f t="shared" si="229"/>
        <v>0</v>
      </c>
      <c r="DC293" s="799">
        <f t="shared" si="229"/>
        <v>0</v>
      </c>
      <c r="DD293" s="799">
        <f t="shared" si="229"/>
        <v>0</v>
      </c>
      <c r="DE293" s="799">
        <f t="shared" si="229"/>
        <v>0</v>
      </c>
      <c r="DF293" s="799">
        <f t="shared" si="229"/>
        <v>0</v>
      </c>
      <c r="DG293" s="799">
        <f t="shared" si="229"/>
        <v>0</v>
      </c>
      <c r="DH293" s="799">
        <f t="shared" si="229"/>
        <v>0</v>
      </c>
      <c r="DI293" s="799">
        <f t="shared" si="229"/>
        <v>0</v>
      </c>
      <c r="DJ293" s="799">
        <f t="shared" si="229"/>
        <v>0</v>
      </c>
      <c r="DK293" s="799">
        <f t="shared" si="229"/>
        <v>0</v>
      </c>
      <c r="DL293" s="799">
        <f t="shared" si="229"/>
        <v>0</v>
      </c>
      <c r="DM293" s="799">
        <f t="shared" si="229"/>
        <v>0</v>
      </c>
      <c r="DN293" s="799">
        <f t="shared" si="229"/>
        <v>0</v>
      </c>
      <c r="DO293" s="799">
        <f t="shared" si="229"/>
        <v>0</v>
      </c>
      <c r="DP293" s="799">
        <f t="shared" si="229"/>
        <v>0</v>
      </c>
      <c r="DQ293" s="799">
        <f t="shared" si="229"/>
        <v>0</v>
      </c>
      <c r="DR293" s="799">
        <f t="shared" si="229"/>
        <v>0</v>
      </c>
      <c r="DS293" s="799">
        <f t="shared" si="229"/>
        <v>0</v>
      </c>
      <c r="DT293" s="799">
        <f t="shared" si="229"/>
        <v>0</v>
      </c>
      <c r="DU293" s="799">
        <f t="shared" si="229"/>
        <v>0</v>
      </c>
      <c r="DV293" s="798"/>
      <c r="DW293" s="798"/>
      <c r="DX293" s="798"/>
      <c r="DY293" s="798"/>
      <c r="DZ293" s="798"/>
      <c r="EA293" s="798"/>
      <c r="EB293" s="798"/>
      <c r="EC293" s="798"/>
      <c r="ED293" s="798"/>
      <c r="EE293" s="798"/>
      <c r="EF293" s="798"/>
      <c r="EG293" s="798"/>
      <c r="EH293" s="782"/>
    </row>
    <row r="294" spans="1:138" ht="12.75" customHeight="1" x14ac:dyDescent="0.3">
      <c r="A294" s="782"/>
      <c r="B294" s="782" t="s">
        <v>161</v>
      </c>
      <c r="C294" s="798"/>
      <c r="D294" s="782"/>
      <c r="E294" s="798">
        <f t="shared" ref="E294:BP294" si="230">E289+E293</f>
        <v>0</v>
      </c>
      <c r="F294" s="798">
        <f t="shared" si="230"/>
        <v>0</v>
      </c>
      <c r="G294" s="798">
        <f t="shared" si="230"/>
        <v>0</v>
      </c>
      <c r="H294" s="798">
        <f t="shared" si="230"/>
        <v>0</v>
      </c>
      <c r="I294" s="798">
        <f t="shared" si="230"/>
        <v>0</v>
      </c>
      <c r="J294" s="798">
        <f t="shared" si="230"/>
        <v>0</v>
      </c>
      <c r="K294" s="798">
        <f t="shared" si="230"/>
        <v>0</v>
      </c>
      <c r="L294" s="798">
        <f t="shared" si="230"/>
        <v>0</v>
      </c>
      <c r="M294" s="798">
        <f t="shared" si="230"/>
        <v>0</v>
      </c>
      <c r="N294" s="798">
        <f t="shared" si="230"/>
        <v>0</v>
      </c>
      <c r="O294" s="798">
        <f t="shared" si="230"/>
        <v>0</v>
      </c>
      <c r="P294" s="798">
        <f t="shared" si="230"/>
        <v>0</v>
      </c>
      <c r="Q294" s="798">
        <f t="shared" si="230"/>
        <v>0</v>
      </c>
      <c r="R294" s="798">
        <f t="shared" si="230"/>
        <v>0</v>
      </c>
      <c r="S294" s="798">
        <f t="shared" si="230"/>
        <v>0</v>
      </c>
      <c r="T294" s="798">
        <f t="shared" si="230"/>
        <v>0</v>
      </c>
      <c r="U294" s="798">
        <f t="shared" si="230"/>
        <v>0</v>
      </c>
      <c r="V294" s="798">
        <f t="shared" si="230"/>
        <v>0</v>
      </c>
      <c r="W294" s="798">
        <f t="shared" si="230"/>
        <v>0</v>
      </c>
      <c r="X294" s="798">
        <f t="shared" si="230"/>
        <v>0</v>
      </c>
      <c r="Y294" s="798">
        <f t="shared" si="230"/>
        <v>0</v>
      </c>
      <c r="Z294" s="798">
        <f t="shared" si="230"/>
        <v>0</v>
      </c>
      <c r="AA294" s="798">
        <f t="shared" si="230"/>
        <v>0</v>
      </c>
      <c r="AB294" s="798">
        <f t="shared" si="230"/>
        <v>0</v>
      </c>
      <c r="AC294" s="798">
        <f t="shared" si="230"/>
        <v>0</v>
      </c>
      <c r="AD294" s="798">
        <f t="shared" si="230"/>
        <v>0</v>
      </c>
      <c r="AE294" s="798">
        <f t="shared" si="230"/>
        <v>0</v>
      </c>
      <c r="AF294" s="798">
        <f t="shared" si="230"/>
        <v>0</v>
      </c>
      <c r="AG294" s="798">
        <f t="shared" si="230"/>
        <v>0</v>
      </c>
      <c r="AH294" s="798">
        <f t="shared" si="230"/>
        <v>0</v>
      </c>
      <c r="AI294" s="798">
        <f t="shared" si="230"/>
        <v>0</v>
      </c>
      <c r="AJ294" s="798">
        <f t="shared" si="230"/>
        <v>0</v>
      </c>
      <c r="AK294" s="798">
        <f t="shared" si="230"/>
        <v>-60916274.722085506</v>
      </c>
      <c r="AL294" s="798">
        <f t="shared" si="230"/>
        <v>14315530.3242827</v>
      </c>
      <c r="AM294" s="798">
        <f t="shared" si="230"/>
        <v>205293.34606116661</v>
      </c>
      <c r="AN294" s="798">
        <f t="shared" si="230"/>
        <v>207793.40423970085</v>
      </c>
      <c r="AO294" s="798">
        <f t="shared" si="230"/>
        <v>210260.10262606523</v>
      </c>
      <c r="AP294" s="798">
        <f t="shared" si="230"/>
        <v>211885.65974115423</v>
      </c>
      <c r="AQ294" s="798">
        <f t="shared" si="230"/>
        <v>215188.01193420406</v>
      </c>
      <c r="AR294" s="798">
        <f t="shared" si="230"/>
        <v>218012.9416200624</v>
      </c>
      <c r="AS294" s="798">
        <f t="shared" si="230"/>
        <v>213181.07686987985</v>
      </c>
      <c r="AT294" s="798">
        <f t="shared" si="230"/>
        <v>214770.00861920218</v>
      </c>
      <c r="AU294" s="798">
        <f t="shared" si="230"/>
        <v>216264.46058470523</v>
      </c>
      <c r="AV294" s="798">
        <f t="shared" si="230"/>
        <v>218515.59404432448</v>
      </c>
      <c r="AW294" s="798">
        <f t="shared" si="230"/>
        <v>220675.94358853242</v>
      </c>
      <c r="AX294" s="798">
        <f t="shared" si="230"/>
        <v>222710.56184153532</v>
      </c>
      <c r="AY294" s="798">
        <f t="shared" si="230"/>
        <v>224665.72728851769</v>
      </c>
      <c r="AZ294" s="798">
        <f t="shared" si="230"/>
        <v>226548.52262565284</v>
      </c>
      <c r="BA294" s="798">
        <f t="shared" si="230"/>
        <v>228304.85297686295</v>
      </c>
      <c r="BB294" s="798">
        <f t="shared" si="230"/>
        <v>229344.9930368007</v>
      </c>
      <c r="BC294" s="798">
        <f t="shared" si="230"/>
        <v>231542.10904179295</v>
      </c>
      <c r="BD294" s="798">
        <f t="shared" si="230"/>
        <v>233317.7080138704</v>
      </c>
      <c r="BE294" s="798">
        <f t="shared" si="230"/>
        <v>229013.16839337221</v>
      </c>
      <c r="BF294" s="798">
        <f t="shared" si="230"/>
        <v>229911.66091752306</v>
      </c>
      <c r="BG294" s="798">
        <f t="shared" si="230"/>
        <v>230813.78680437503</v>
      </c>
      <c r="BH294" s="798">
        <f t="shared" si="230"/>
        <v>232345.63973502186</v>
      </c>
      <c r="BI294" s="798">
        <f t="shared" si="230"/>
        <v>233902.4265315792</v>
      </c>
      <c r="BJ294" s="798">
        <f t="shared" si="230"/>
        <v>235545.94755839423</v>
      </c>
      <c r="BK294" s="798">
        <f t="shared" si="230"/>
        <v>237262.50476525677</v>
      </c>
      <c r="BL294" s="798">
        <f t="shared" si="230"/>
        <v>238991.57351446556</v>
      </c>
      <c r="BM294" s="798">
        <f t="shared" si="230"/>
        <v>240811.21361387809</v>
      </c>
      <c r="BN294" s="798">
        <f t="shared" si="230"/>
        <v>242002.34658988175</v>
      </c>
      <c r="BO294" s="798">
        <f t="shared" si="230"/>
        <v>244627.30669974274</v>
      </c>
      <c r="BP294" s="798">
        <f t="shared" si="230"/>
        <v>246922.0418636211</v>
      </c>
      <c r="BQ294" s="798">
        <f t="shared" ref="BQ294:DU294" si="231">BQ289+BQ293</f>
        <v>242733.25370419392</v>
      </c>
      <c r="BR294" s="798">
        <f t="shared" si="231"/>
        <v>244033.96696505454</v>
      </c>
      <c r="BS294" s="798">
        <f t="shared" si="231"/>
        <v>245313.14997026659</v>
      </c>
      <c r="BT294" s="798">
        <f t="shared" si="231"/>
        <v>247377.11673495109</v>
      </c>
      <c r="BU294" s="798">
        <f t="shared" si="231"/>
        <v>249414.97281073497</v>
      </c>
      <c r="BV294" s="798">
        <f t="shared" si="231"/>
        <v>251479.3205969065</v>
      </c>
      <c r="BW294" s="798">
        <f t="shared" si="231"/>
        <v>253576.88775609701</v>
      </c>
      <c r="BX294" s="798">
        <f t="shared" si="231"/>
        <v>255660.88139998799</v>
      </c>
      <c r="BY294" s="798">
        <f t="shared" si="231"/>
        <v>257780.55934433491</v>
      </c>
      <c r="BZ294" s="798">
        <f t="shared" si="231"/>
        <v>259130.53765731424</v>
      </c>
      <c r="CA294" s="798">
        <f t="shared" si="231"/>
        <v>262044.06866613019</v>
      </c>
      <c r="CB294" s="798">
        <f t="shared" si="231"/>
        <v>264568.88723862561</v>
      </c>
      <c r="CC294" s="798">
        <f t="shared" si="231"/>
        <v>260334.62676779419</v>
      </c>
      <c r="CD294" s="798">
        <f t="shared" si="231"/>
        <v>261766.27506953065</v>
      </c>
      <c r="CE294" s="798">
        <f t="shared" si="231"/>
        <v>263169.39895795332</v>
      </c>
      <c r="CF294" s="798">
        <f t="shared" si="231"/>
        <v>265374.12330500968</v>
      </c>
      <c r="CG294" s="798">
        <f t="shared" si="231"/>
        <v>267569.84631198365</v>
      </c>
      <c r="CH294" s="798">
        <f t="shared" si="231"/>
        <v>269785.75663471175</v>
      </c>
      <c r="CI294" s="798">
        <f t="shared" si="231"/>
        <v>271981.27502716507</v>
      </c>
      <c r="CJ294" s="798">
        <f t="shared" si="231"/>
        <v>274209.9614994725</v>
      </c>
      <c r="CK294" s="798">
        <f t="shared" si="231"/>
        <v>276471.37765448482</v>
      </c>
      <c r="CL294" s="798">
        <f t="shared" si="231"/>
        <v>277910.21305872517</v>
      </c>
      <c r="CM294" s="798">
        <f t="shared" si="231"/>
        <v>280971.24051798158</v>
      </c>
      <c r="CN294" s="798">
        <f t="shared" si="231"/>
        <v>283611.40197433194</v>
      </c>
      <c r="CO294" s="798">
        <f t="shared" si="231"/>
        <v>279273.11677509604</v>
      </c>
      <c r="CP294" s="798">
        <f t="shared" si="231"/>
        <v>280770.93938649778</v>
      </c>
      <c r="CQ294" s="798">
        <f t="shared" si="231"/>
        <v>282239.46279127692</v>
      </c>
      <c r="CR294" s="798">
        <f t="shared" si="231"/>
        <v>284516.27143163967</v>
      </c>
      <c r="CS294" s="798">
        <f t="shared" si="231"/>
        <v>286814.10642290174</v>
      </c>
      <c r="CT294" s="798">
        <f t="shared" si="231"/>
        <v>289146.38855799765</v>
      </c>
      <c r="CU294" s="798">
        <f t="shared" si="231"/>
        <v>291451.51423692808</v>
      </c>
      <c r="CV294" s="798">
        <f t="shared" si="231"/>
        <v>293779.70006957493</v>
      </c>
      <c r="CW294" s="798">
        <f t="shared" si="231"/>
        <v>58053955.393031441</v>
      </c>
      <c r="CX294" s="798">
        <f t="shared" si="231"/>
        <v>0</v>
      </c>
      <c r="CY294" s="798">
        <f t="shared" si="231"/>
        <v>0</v>
      </c>
      <c r="CZ294" s="798">
        <f t="shared" si="231"/>
        <v>0</v>
      </c>
      <c r="DA294" s="798">
        <f t="shared" si="231"/>
        <v>0</v>
      </c>
      <c r="DB294" s="798">
        <f t="shared" si="231"/>
        <v>0</v>
      </c>
      <c r="DC294" s="798">
        <f t="shared" si="231"/>
        <v>0</v>
      </c>
      <c r="DD294" s="798">
        <f t="shared" si="231"/>
        <v>0</v>
      </c>
      <c r="DE294" s="798">
        <f t="shared" si="231"/>
        <v>0</v>
      </c>
      <c r="DF294" s="798">
        <f t="shared" si="231"/>
        <v>0</v>
      </c>
      <c r="DG294" s="798">
        <f t="shared" si="231"/>
        <v>0</v>
      </c>
      <c r="DH294" s="798">
        <f t="shared" si="231"/>
        <v>0</v>
      </c>
      <c r="DI294" s="798">
        <f t="shared" si="231"/>
        <v>0</v>
      </c>
      <c r="DJ294" s="798">
        <f t="shared" si="231"/>
        <v>0</v>
      </c>
      <c r="DK294" s="798">
        <f t="shared" si="231"/>
        <v>0</v>
      </c>
      <c r="DL294" s="798">
        <f t="shared" si="231"/>
        <v>0</v>
      </c>
      <c r="DM294" s="798">
        <f t="shared" si="231"/>
        <v>0</v>
      </c>
      <c r="DN294" s="798">
        <f t="shared" si="231"/>
        <v>0</v>
      </c>
      <c r="DO294" s="798">
        <f t="shared" si="231"/>
        <v>0</v>
      </c>
      <c r="DP294" s="798">
        <f t="shared" si="231"/>
        <v>0</v>
      </c>
      <c r="DQ294" s="798">
        <f t="shared" si="231"/>
        <v>0</v>
      </c>
      <c r="DR294" s="798">
        <f t="shared" si="231"/>
        <v>0</v>
      </c>
      <c r="DS294" s="798">
        <f t="shared" si="231"/>
        <v>0</v>
      </c>
      <c r="DT294" s="798">
        <f t="shared" si="231"/>
        <v>0</v>
      </c>
      <c r="DU294" s="798">
        <f t="shared" si="231"/>
        <v>0</v>
      </c>
      <c r="DV294" s="798"/>
      <c r="DW294" s="798"/>
      <c r="DX294" s="798"/>
      <c r="DY294" s="798"/>
      <c r="DZ294" s="798"/>
      <c r="EA294" s="798"/>
      <c r="EB294" s="798"/>
      <c r="EC294" s="798"/>
      <c r="ED294" s="798"/>
      <c r="EE294" s="798"/>
      <c r="EF294" s="798"/>
      <c r="EG294" s="798"/>
      <c r="EH294" s="782"/>
    </row>
    <row r="295" spans="1:138" ht="12.75" customHeight="1" x14ac:dyDescent="0.3">
      <c r="A295" s="782"/>
      <c r="B295" s="782"/>
      <c r="C295" s="798"/>
      <c r="D295" s="782"/>
      <c r="E295" s="798"/>
      <c r="F295" s="798"/>
      <c r="G295" s="798"/>
      <c r="H295" s="798"/>
      <c r="I295" s="798"/>
      <c r="J295" s="798"/>
      <c r="K295" s="798"/>
      <c r="L295" s="798"/>
      <c r="M295" s="798"/>
      <c r="N295" s="798"/>
      <c r="O295" s="798"/>
      <c r="P295" s="798"/>
      <c r="Q295" s="798"/>
      <c r="R295" s="798"/>
      <c r="S295" s="798"/>
      <c r="T295" s="798"/>
      <c r="U295" s="798"/>
      <c r="V295" s="798"/>
      <c r="W295" s="798"/>
      <c r="X295" s="798"/>
      <c r="Y295" s="798"/>
      <c r="Z295" s="798"/>
      <c r="AA295" s="798"/>
      <c r="AB295" s="798"/>
      <c r="AC295" s="798"/>
      <c r="AD295" s="798"/>
      <c r="AE295" s="798"/>
      <c r="AF295" s="798"/>
      <c r="AG295" s="798"/>
      <c r="AH295" s="798"/>
      <c r="AI295" s="798"/>
      <c r="AJ295" s="798"/>
      <c r="AK295" s="798"/>
      <c r="AL295" s="798"/>
      <c r="AM295" s="798"/>
      <c r="AN295" s="798"/>
      <c r="AO295" s="798"/>
      <c r="AP295" s="798"/>
      <c r="AQ295" s="798"/>
      <c r="AR295" s="798"/>
      <c r="AS295" s="798"/>
      <c r="AT295" s="798"/>
      <c r="AU295" s="798"/>
      <c r="AV295" s="798"/>
      <c r="AW295" s="798"/>
      <c r="AX295" s="798"/>
      <c r="AY295" s="798"/>
      <c r="AZ295" s="798"/>
      <c r="BA295" s="798"/>
      <c r="BB295" s="798"/>
      <c r="BC295" s="798"/>
      <c r="BD295" s="798"/>
      <c r="BE295" s="798"/>
      <c r="BF295" s="798"/>
      <c r="BG295" s="798"/>
      <c r="BH295" s="798"/>
      <c r="BI295" s="798"/>
      <c r="BJ295" s="798"/>
      <c r="BK295" s="798"/>
      <c r="BL295" s="798"/>
      <c r="BM295" s="798"/>
      <c r="BN295" s="798"/>
      <c r="BO295" s="798"/>
      <c r="BP295" s="798"/>
      <c r="BQ295" s="798"/>
      <c r="BR295" s="798"/>
      <c r="BS295" s="798"/>
      <c r="BT295" s="798"/>
      <c r="BU295" s="798"/>
      <c r="BV295" s="798"/>
      <c r="BW295" s="798"/>
      <c r="BX295" s="798"/>
      <c r="BY295" s="798"/>
      <c r="BZ295" s="798"/>
      <c r="CA295" s="798"/>
      <c r="CB295" s="798"/>
      <c r="CC295" s="798"/>
      <c r="CD295" s="798"/>
      <c r="CE295" s="798"/>
      <c r="CF295" s="798"/>
      <c r="CG295" s="798"/>
      <c r="CH295" s="798"/>
      <c r="CI295" s="798"/>
      <c r="CJ295" s="798"/>
      <c r="CK295" s="798"/>
      <c r="CL295" s="798"/>
      <c r="CM295" s="798"/>
      <c r="CN295" s="798"/>
      <c r="CO295" s="798"/>
      <c r="CP295" s="798"/>
      <c r="CQ295" s="798"/>
      <c r="CR295" s="798"/>
      <c r="CS295" s="798"/>
      <c r="CT295" s="798"/>
      <c r="CU295" s="798"/>
      <c r="CV295" s="798"/>
      <c r="CW295" s="798"/>
      <c r="CX295" s="798"/>
      <c r="CY295" s="798"/>
      <c r="CZ295" s="798"/>
      <c r="DA295" s="798"/>
      <c r="DB295" s="798"/>
      <c r="DC295" s="798"/>
      <c r="DD295" s="798"/>
      <c r="DE295" s="798"/>
      <c r="DF295" s="798"/>
      <c r="DG295" s="798"/>
      <c r="DH295" s="798"/>
      <c r="DI295" s="798"/>
      <c r="DJ295" s="798"/>
      <c r="DK295" s="798"/>
      <c r="DL295" s="798"/>
      <c r="DM295" s="798"/>
      <c r="DN295" s="798"/>
      <c r="DO295" s="798"/>
      <c r="DP295" s="798"/>
      <c r="DQ295" s="798"/>
      <c r="DR295" s="798"/>
      <c r="DS295" s="798"/>
      <c r="DT295" s="798"/>
      <c r="DU295" s="798"/>
      <c r="DV295" s="798"/>
      <c r="DW295" s="798"/>
      <c r="DX295" s="798"/>
      <c r="DY295" s="798"/>
      <c r="DZ295" s="798"/>
      <c r="EA295" s="798"/>
      <c r="EB295" s="798"/>
      <c r="EC295" s="798"/>
      <c r="ED295" s="798"/>
      <c r="EE295" s="798"/>
      <c r="EF295" s="798"/>
      <c r="EG295" s="798"/>
      <c r="EH295" s="782"/>
    </row>
    <row r="296" spans="1:138" ht="12.75" customHeight="1" x14ac:dyDescent="0.3">
      <c r="A296" s="782"/>
      <c r="B296" s="796" t="s">
        <v>168</v>
      </c>
      <c r="C296" s="824">
        <f>XIRR(OFFSET(E294,0,$D$210):DU294,OFFSET($E$4,0,$D$210):$DU$4)</f>
        <v>0.10000000596046449</v>
      </c>
      <c r="D296" s="782"/>
      <c r="E296" s="798"/>
      <c r="F296" s="798"/>
      <c r="G296" s="798"/>
      <c r="H296" s="798"/>
      <c r="I296" s="798"/>
      <c r="J296" s="798"/>
      <c r="K296" s="798"/>
      <c r="L296" s="798"/>
      <c r="M296" s="798"/>
      <c r="N296" s="798"/>
      <c r="O296" s="798"/>
      <c r="P296" s="798"/>
      <c r="Q296" s="798"/>
      <c r="R296" s="798"/>
      <c r="S296" s="798"/>
      <c r="T296" s="798"/>
      <c r="U296" s="798"/>
      <c r="V296" s="798"/>
      <c r="W296" s="798"/>
      <c r="X296" s="798"/>
      <c r="Y296" s="798"/>
      <c r="Z296" s="798"/>
      <c r="AA296" s="798"/>
      <c r="AB296" s="798"/>
      <c r="AC296" s="798"/>
      <c r="AD296" s="798"/>
      <c r="AE296" s="798"/>
      <c r="AF296" s="798"/>
      <c r="AG296" s="798"/>
      <c r="AH296" s="798"/>
      <c r="AI296" s="798"/>
      <c r="AJ296" s="798"/>
      <c r="AK296" s="798"/>
      <c r="AL296" s="798"/>
      <c r="AM296" s="798"/>
      <c r="AN296" s="798"/>
      <c r="AO296" s="798"/>
      <c r="AP296" s="798"/>
      <c r="AQ296" s="798"/>
      <c r="AR296" s="798"/>
      <c r="AS296" s="798"/>
      <c r="AT296" s="798"/>
      <c r="AU296" s="798"/>
      <c r="AV296" s="798"/>
      <c r="AW296" s="798"/>
      <c r="AX296" s="798"/>
      <c r="AY296" s="798"/>
      <c r="AZ296" s="798"/>
      <c r="BA296" s="798"/>
      <c r="BB296" s="798"/>
      <c r="BC296" s="798"/>
      <c r="BD296" s="798"/>
      <c r="BE296" s="798"/>
      <c r="BF296" s="798"/>
      <c r="BG296" s="798"/>
      <c r="BH296" s="798"/>
      <c r="BI296" s="798"/>
      <c r="BJ296" s="798"/>
      <c r="BK296" s="798"/>
      <c r="BL296" s="798"/>
      <c r="BM296" s="798"/>
      <c r="BN296" s="798"/>
      <c r="BO296" s="798"/>
      <c r="BP296" s="798"/>
      <c r="BQ296" s="798"/>
      <c r="BR296" s="798"/>
      <c r="BS296" s="798"/>
      <c r="BT296" s="798"/>
      <c r="BU296" s="798"/>
      <c r="BV296" s="798"/>
      <c r="BW296" s="798"/>
      <c r="BX296" s="798"/>
      <c r="BY296" s="798"/>
      <c r="BZ296" s="798"/>
      <c r="CA296" s="798"/>
      <c r="CB296" s="798"/>
      <c r="CC296" s="798"/>
      <c r="CD296" s="798"/>
      <c r="CE296" s="798"/>
      <c r="CF296" s="798"/>
      <c r="CG296" s="798"/>
      <c r="CH296" s="798"/>
      <c r="CI296" s="798"/>
      <c r="CJ296" s="798"/>
      <c r="CK296" s="798"/>
      <c r="CL296" s="798"/>
      <c r="CM296" s="798"/>
      <c r="CN296" s="798"/>
      <c r="CO296" s="798"/>
      <c r="CP296" s="798"/>
      <c r="CQ296" s="798"/>
      <c r="CR296" s="798"/>
      <c r="CS296" s="798"/>
      <c r="CT296" s="798"/>
      <c r="CU296" s="798"/>
      <c r="CV296" s="798"/>
      <c r="CW296" s="798"/>
      <c r="CX296" s="798"/>
      <c r="CY296" s="798"/>
      <c r="CZ296" s="798"/>
      <c r="DA296" s="798"/>
      <c r="DB296" s="798"/>
      <c r="DC296" s="798"/>
      <c r="DD296" s="798"/>
      <c r="DE296" s="798"/>
      <c r="DF296" s="798"/>
      <c r="DG296" s="798"/>
      <c r="DH296" s="798"/>
      <c r="DI296" s="798"/>
      <c r="DJ296" s="798"/>
      <c r="DK296" s="798"/>
      <c r="DL296" s="798"/>
      <c r="DM296" s="798"/>
      <c r="DN296" s="798"/>
      <c r="DO296" s="798"/>
      <c r="DP296" s="798"/>
      <c r="DQ296" s="798"/>
      <c r="DR296" s="798"/>
      <c r="DS296" s="798"/>
      <c r="DT296" s="798"/>
      <c r="DU296" s="798"/>
      <c r="DV296" s="798"/>
      <c r="DW296" s="798"/>
      <c r="DX296" s="798"/>
      <c r="DY296" s="798"/>
      <c r="DZ296" s="798"/>
      <c r="EA296" s="798"/>
      <c r="EB296" s="798"/>
      <c r="EC296" s="798"/>
      <c r="ED296" s="798"/>
      <c r="EE296" s="798"/>
      <c r="EF296" s="798"/>
      <c r="EG296" s="798"/>
      <c r="EH296" s="782"/>
    </row>
    <row r="297" spans="1:138" ht="12.75" customHeight="1" x14ac:dyDescent="0.3">
      <c r="A297" s="782"/>
      <c r="B297" s="782"/>
      <c r="C297" s="798"/>
      <c r="D297" s="782"/>
      <c r="E297" s="798"/>
      <c r="F297" s="798"/>
      <c r="G297" s="798"/>
      <c r="H297" s="798"/>
      <c r="I297" s="798"/>
      <c r="J297" s="798"/>
      <c r="K297" s="798"/>
      <c r="L297" s="798"/>
      <c r="M297" s="798"/>
      <c r="N297" s="798"/>
      <c r="O297" s="798"/>
      <c r="P297" s="798"/>
      <c r="Q297" s="798"/>
      <c r="R297" s="798"/>
      <c r="S297" s="798"/>
      <c r="T297" s="798"/>
      <c r="U297" s="798"/>
      <c r="V297" s="798"/>
      <c r="W297" s="798"/>
      <c r="X297" s="798"/>
      <c r="Y297" s="798"/>
      <c r="Z297" s="798"/>
      <c r="AA297" s="798"/>
      <c r="AB297" s="798"/>
      <c r="AC297" s="798"/>
      <c r="AD297" s="798"/>
      <c r="AE297" s="798"/>
      <c r="AF297" s="798"/>
      <c r="AG297" s="798"/>
      <c r="AH297" s="798"/>
      <c r="AI297" s="798"/>
      <c r="AJ297" s="798"/>
      <c r="AK297" s="798"/>
      <c r="AL297" s="798"/>
      <c r="AM297" s="798"/>
      <c r="AN297" s="798"/>
      <c r="AO297" s="798"/>
      <c r="AP297" s="798"/>
      <c r="AQ297" s="798"/>
      <c r="AR297" s="798"/>
      <c r="AS297" s="798"/>
      <c r="AT297" s="798"/>
      <c r="AU297" s="798"/>
      <c r="AV297" s="798"/>
      <c r="AW297" s="798"/>
      <c r="AX297" s="798"/>
      <c r="AY297" s="798"/>
      <c r="AZ297" s="798"/>
      <c r="BA297" s="798"/>
      <c r="BB297" s="798"/>
      <c r="BC297" s="798"/>
      <c r="BD297" s="798"/>
      <c r="BE297" s="798"/>
      <c r="BF297" s="798"/>
      <c r="BG297" s="798"/>
      <c r="BH297" s="798"/>
      <c r="BI297" s="798"/>
      <c r="BJ297" s="798"/>
      <c r="BK297" s="798"/>
      <c r="BL297" s="798"/>
      <c r="BM297" s="798"/>
      <c r="BN297" s="798"/>
      <c r="BO297" s="798"/>
      <c r="BP297" s="798"/>
      <c r="BQ297" s="798"/>
      <c r="BR297" s="798"/>
      <c r="BS297" s="798"/>
      <c r="BT297" s="798"/>
      <c r="BU297" s="798"/>
      <c r="BV297" s="798"/>
      <c r="BW297" s="798"/>
      <c r="BX297" s="798"/>
      <c r="BY297" s="798"/>
      <c r="BZ297" s="798"/>
      <c r="CA297" s="798"/>
      <c r="CB297" s="798"/>
      <c r="CC297" s="798"/>
      <c r="CD297" s="798"/>
      <c r="CE297" s="798"/>
      <c r="CF297" s="798"/>
      <c r="CG297" s="798"/>
      <c r="CH297" s="798"/>
      <c r="CI297" s="798"/>
      <c r="CJ297" s="798"/>
      <c r="CK297" s="798"/>
      <c r="CL297" s="798"/>
      <c r="CM297" s="798"/>
      <c r="CN297" s="798"/>
      <c r="CO297" s="798"/>
      <c r="CP297" s="798"/>
      <c r="CQ297" s="798"/>
      <c r="CR297" s="798"/>
      <c r="CS297" s="798"/>
      <c r="CT297" s="798"/>
      <c r="CU297" s="798"/>
      <c r="CV297" s="798"/>
      <c r="CW297" s="798"/>
      <c r="CX297" s="798"/>
      <c r="CY297" s="798"/>
      <c r="CZ297" s="798"/>
      <c r="DA297" s="798"/>
      <c r="DB297" s="798"/>
      <c r="DC297" s="798"/>
      <c r="DD297" s="798"/>
      <c r="DE297" s="798"/>
      <c r="DF297" s="798"/>
      <c r="DG297" s="798"/>
      <c r="DH297" s="798"/>
      <c r="DI297" s="798"/>
      <c r="DJ297" s="798"/>
      <c r="DK297" s="798"/>
      <c r="DL297" s="798"/>
      <c r="DM297" s="798"/>
      <c r="DN297" s="798"/>
      <c r="DO297" s="798"/>
      <c r="DP297" s="798"/>
      <c r="DQ297" s="798"/>
      <c r="DR297" s="798"/>
      <c r="DS297" s="798"/>
      <c r="DT297" s="798"/>
      <c r="DU297" s="798"/>
      <c r="DV297" s="798"/>
      <c r="DW297" s="798"/>
      <c r="DX297" s="798"/>
      <c r="DY297" s="798"/>
      <c r="DZ297" s="798"/>
      <c r="EA297" s="798"/>
      <c r="EB297" s="798"/>
      <c r="EC297" s="798"/>
      <c r="ED297" s="798"/>
      <c r="EE297" s="798"/>
      <c r="EF297" s="798"/>
      <c r="EG297" s="798"/>
      <c r="EH297" s="782"/>
    </row>
    <row r="298" spans="1:138" ht="12.75" customHeight="1" x14ac:dyDescent="0.3">
      <c r="A298" s="782"/>
      <c r="B298" s="781" t="s">
        <v>163</v>
      </c>
      <c r="C298" s="799"/>
      <c r="D298" s="781"/>
      <c r="E298" s="799">
        <f t="shared" ref="E298:BP298" si="232">E282</f>
        <v>0</v>
      </c>
      <c r="F298" s="799">
        <f t="shared" si="232"/>
        <v>0</v>
      </c>
      <c r="G298" s="799">
        <f t="shared" si="232"/>
        <v>0</v>
      </c>
      <c r="H298" s="799">
        <f t="shared" si="232"/>
        <v>0</v>
      </c>
      <c r="I298" s="799">
        <f t="shared" si="232"/>
        <v>0</v>
      </c>
      <c r="J298" s="799">
        <f t="shared" si="232"/>
        <v>0</v>
      </c>
      <c r="K298" s="799">
        <f t="shared" si="232"/>
        <v>0</v>
      </c>
      <c r="L298" s="799">
        <f t="shared" si="232"/>
        <v>0</v>
      </c>
      <c r="M298" s="799">
        <f t="shared" si="232"/>
        <v>0</v>
      </c>
      <c r="N298" s="799">
        <f t="shared" si="232"/>
        <v>0</v>
      </c>
      <c r="O298" s="799">
        <f t="shared" si="232"/>
        <v>0</v>
      </c>
      <c r="P298" s="799">
        <f t="shared" si="232"/>
        <v>0</v>
      </c>
      <c r="Q298" s="799">
        <f t="shared" si="232"/>
        <v>0</v>
      </c>
      <c r="R298" s="799">
        <f t="shared" si="232"/>
        <v>0</v>
      </c>
      <c r="S298" s="799">
        <f t="shared" si="232"/>
        <v>0</v>
      </c>
      <c r="T298" s="799">
        <f t="shared" si="232"/>
        <v>0</v>
      </c>
      <c r="U298" s="799">
        <f t="shared" si="232"/>
        <v>0</v>
      </c>
      <c r="V298" s="799">
        <f t="shared" si="232"/>
        <v>0</v>
      </c>
      <c r="W298" s="799">
        <f t="shared" si="232"/>
        <v>0</v>
      </c>
      <c r="X298" s="799">
        <f t="shared" si="232"/>
        <v>0</v>
      </c>
      <c r="Y298" s="799">
        <f t="shared" si="232"/>
        <v>0</v>
      </c>
      <c r="Z298" s="799">
        <f t="shared" si="232"/>
        <v>0</v>
      </c>
      <c r="AA298" s="799">
        <f t="shared" si="232"/>
        <v>0</v>
      </c>
      <c r="AB298" s="799">
        <f t="shared" si="232"/>
        <v>0</v>
      </c>
      <c r="AC298" s="799">
        <f t="shared" si="232"/>
        <v>0</v>
      </c>
      <c r="AD298" s="799">
        <f t="shared" si="232"/>
        <v>0</v>
      </c>
      <c r="AE298" s="799">
        <f t="shared" si="232"/>
        <v>0</v>
      </c>
      <c r="AF298" s="799">
        <f t="shared" si="232"/>
        <v>0</v>
      </c>
      <c r="AG298" s="799">
        <f t="shared" si="232"/>
        <v>0</v>
      </c>
      <c r="AH298" s="799">
        <f t="shared" si="232"/>
        <v>0</v>
      </c>
      <c r="AI298" s="799">
        <f t="shared" si="232"/>
        <v>0</v>
      </c>
      <c r="AJ298" s="799">
        <f t="shared" si="232"/>
        <v>0</v>
      </c>
      <c r="AK298" s="799">
        <f t="shared" si="232"/>
        <v>-60916274.722085506</v>
      </c>
      <c r="AL298" s="799">
        <f t="shared" si="232"/>
        <v>14315530.3242827</v>
      </c>
      <c r="AM298" s="799">
        <f t="shared" si="232"/>
        <v>205293.34606116661</v>
      </c>
      <c r="AN298" s="799">
        <f t="shared" si="232"/>
        <v>207793.40423970085</v>
      </c>
      <c r="AO298" s="799">
        <f t="shared" si="232"/>
        <v>210260.10262606523</v>
      </c>
      <c r="AP298" s="799">
        <f t="shared" si="232"/>
        <v>211885.65974115423</v>
      </c>
      <c r="AQ298" s="799">
        <f t="shared" si="232"/>
        <v>215188.01193420406</v>
      </c>
      <c r="AR298" s="799">
        <f t="shared" si="232"/>
        <v>218012.9416200624</v>
      </c>
      <c r="AS298" s="799">
        <f t="shared" si="232"/>
        <v>213181.07686987985</v>
      </c>
      <c r="AT298" s="799">
        <f t="shared" si="232"/>
        <v>214770.00861920218</v>
      </c>
      <c r="AU298" s="799">
        <f t="shared" si="232"/>
        <v>216264.46058470523</v>
      </c>
      <c r="AV298" s="799">
        <f t="shared" si="232"/>
        <v>218515.59404432448</v>
      </c>
      <c r="AW298" s="799">
        <f t="shared" si="232"/>
        <v>220675.94358853242</v>
      </c>
      <c r="AX298" s="799">
        <f t="shared" si="232"/>
        <v>222710.56184153532</v>
      </c>
      <c r="AY298" s="799">
        <f t="shared" si="232"/>
        <v>224665.72728851769</v>
      </c>
      <c r="AZ298" s="799">
        <f t="shared" si="232"/>
        <v>226548.52262565284</v>
      </c>
      <c r="BA298" s="799">
        <f t="shared" si="232"/>
        <v>228304.85297686295</v>
      </c>
      <c r="BB298" s="799">
        <f t="shared" si="232"/>
        <v>229344.9930368007</v>
      </c>
      <c r="BC298" s="799">
        <f t="shared" si="232"/>
        <v>231542.10904179295</v>
      </c>
      <c r="BD298" s="799">
        <f t="shared" si="232"/>
        <v>233317.7080138704</v>
      </c>
      <c r="BE298" s="799">
        <f t="shared" si="232"/>
        <v>229013.16839337221</v>
      </c>
      <c r="BF298" s="799">
        <f t="shared" si="232"/>
        <v>229911.66091752306</v>
      </c>
      <c r="BG298" s="799">
        <f t="shared" si="232"/>
        <v>230813.78680437503</v>
      </c>
      <c r="BH298" s="799">
        <f t="shared" si="232"/>
        <v>232345.63973502186</v>
      </c>
      <c r="BI298" s="799">
        <f t="shared" si="232"/>
        <v>233902.4265315792</v>
      </c>
      <c r="BJ298" s="799">
        <f t="shared" si="232"/>
        <v>235545.94755839423</v>
      </c>
      <c r="BK298" s="799">
        <f t="shared" si="232"/>
        <v>237262.50476525677</v>
      </c>
      <c r="BL298" s="799">
        <f t="shared" si="232"/>
        <v>238991.57351446556</v>
      </c>
      <c r="BM298" s="799">
        <f t="shared" si="232"/>
        <v>240811.21361387809</v>
      </c>
      <c r="BN298" s="799">
        <f t="shared" si="232"/>
        <v>242002.34658988175</v>
      </c>
      <c r="BO298" s="799">
        <f t="shared" si="232"/>
        <v>244627.30669974274</v>
      </c>
      <c r="BP298" s="799">
        <f t="shared" si="232"/>
        <v>246922.0418636211</v>
      </c>
      <c r="BQ298" s="799">
        <f t="shared" ref="BQ298:DU298" si="233">BQ282</f>
        <v>242733.25370419392</v>
      </c>
      <c r="BR298" s="799">
        <f t="shared" si="233"/>
        <v>244033.96696505454</v>
      </c>
      <c r="BS298" s="799">
        <f t="shared" si="233"/>
        <v>245313.14997026659</v>
      </c>
      <c r="BT298" s="799">
        <f t="shared" si="233"/>
        <v>247377.11673495109</v>
      </c>
      <c r="BU298" s="799">
        <f t="shared" si="233"/>
        <v>249414.97281073497</v>
      </c>
      <c r="BV298" s="799">
        <f t="shared" si="233"/>
        <v>251479.3205969065</v>
      </c>
      <c r="BW298" s="799">
        <f t="shared" si="233"/>
        <v>253576.88775609701</v>
      </c>
      <c r="BX298" s="799">
        <f t="shared" si="233"/>
        <v>255660.88139998799</v>
      </c>
      <c r="BY298" s="799">
        <f t="shared" si="233"/>
        <v>257780.55934433491</v>
      </c>
      <c r="BZ298" s="799">
        <f t="shared" si="233"/>
        <v>259130.53765731424</v>
      </c>
      <c r="CA298" s="799">
        <f t="shared" si="233"/>
        <v>262044.06866613019</v>
      </c>
      <c r="CB298" s="799">
        <f t="shared" si="233"/>
        <v>264568.88723862561</v>
      </c>
      <c r="CC298" s="799">
        <f t="shared" si="233"/>
        <v>260334.62676779419</v>
      </c>
      <c r="CD298" s="799">
        <f t="shared" si="233"/>
        <v>261766.27506953065</v>
      </c>
      <c r="CE298" s="799">
        <f t="shared" si="233"/>
        <v>263169.39895795332</v>
      </c>
      <c r="CF298" s="799">
        <f t="shared" si="233"/>
        <v>265374.12330500968</v>
      </c>
      <c r="CG298" s="799">
        <f t="shared" si="233"/>
        <v>267569.84631198365</v>
      </c>
      <c r="CH298" s="799">
        <f t="shared" si="233"/>
        <v>269785.75663471175</v>
      </c>
      <c r="CI298" s="799">
        <f t="shared" si="233"/>
        <v>271981.27502716507</v>
      </c>
      <c r="CJ298" s="799">
        <f t="shared" si="233"/>
        <v>274209.9614994725</v>
      </c>
      <c r="CK298" s="799">
        <f t="shared" si="233"/>
        <v>276471.37765448482</v>
      </c>
      <c r="CL298" s="799">
        <f t="shared" si="233"/>
        <v>277910.21305872517</v>
      </c>
      <c r="CM298" s="799">
        <f t="shared" si="233"/>
        <v>280971.24051798158</v>
      </c>
      <c r="CN298" s="799">
        <f t="shared" si="233"/>
        <v>283611.40197433194</v>
      </c>
      <c r="CO298" s="799">
        <f t="shared" si="233"/>
        <v>279273.11677509604</v>
      </c>
      <c r="CP298" s="799">
        <f t="shared" si="233"/>
        <v>280770.93938649778</v>
      </c>
      <c r="CQ298" s="799">
        <f t="shared" si="233"/>
        <v>282239.46279127692</v>
      </c>
      <c r="CR298" s="799">
        <f t="shared" si="233"/>
        <v>284516.27143163967</v>
      </c>
      <c r="CS298" s="799">
        <f t="shared" si="233"/>
        <v>286814.10642290174</v>
      </c>
      <c r="CT298" s="799">
        <f t="shared" si="233"/>
        <v>289146.38855799765</v>
      </c>
      <c r="CU298" s="799">
        <f t="shared" si="233"/>
        <v>291451.51423692808</v>
      </c>
      <c r="CV298" s="799">
        <f t="shared" si="233"/>
        <v>293779.70006957493</v>
      </c>
      <c r="CW298" s="799">
        <f t="shared" si="233"/>
        <v>52471820.410454184</v>
      </c>
      <c r="CX298" s="799">
        <f t="shared" si="233"/>
        <v>0</v>
      </c>
      <c r="CY298" s="799">
        <f t="shared" si="233"/>
        <v>0</v>
      </c>
      <c r="CZ298" s="799">
        <f t="shared" si="233"/>
        <v>0</v>
      </c>
      <c r="DA298" s="799">
        <f t="shared" si="233"/>
        <v>0</v>
      </c>
      <c r="DB298" s="799">
        <f t="shared" si="233"/>
        <v>0</v>
      </c>
      <c r="DC298" s="799">
        <f t="shared" si="233"/>
        <v>0</v>
      </c>
      <c r="DD298" s="799">
        <f t="shared" si="233"/>
        <v>0</v>
      </c>
      <c r="DE298" s="799">
        <f t="shared" si="233"/>
        <v>0</v>
      </c>
      <c r="DF298" s="799">
        <f t="shared" si="233"/>
        <v>0</v>
      </c>
      <c r="DG298" s="799">
        <f t="shared" si="233"/>
        <v>0</v>
      </c>
      <c r="DH298" s="799">
        <f t="shared" si="233"/>
        <v>0</v>
      </c>
      <c r="DI298" s="799">
        <f t="shared" si="233"/>
        <v>0</v>
      </c>
      <c r="DJ298" s="799">
        <f t="shared" si="233"/>
        <v>0</v>
      </c>
      <c r="DK298" s="799">
        <f t="shared" si="233"/>
        <v>0</v>
      </c>
      <c r="DL298" s="799">
        <f t="shared" si="233"/>
        <v>0</v>
      </c>
      <c r="DM298" s="799">
        <f t="shared" si="233"/>
        <v>0</v>
      </c>
      <c r="DN298" s="799">
        <f t="shared" si="233"/>
        <v>0</v>
      </c>
      <c r="DO298" s="799">
        <f t="shared" si="233"/>
        <v>0</v>
      </c>
      <c r="DP298" s="799">
        <f t="shared" si="233"/>
        <v>0</v>
      </c>
      <c r="DQ298" s="799">
        <f t="shared" si="233"/>
        <v>0</v>
      </c>
      <c r="DR298" s="799">
        <f t="shared" si="233"/>
        <v>0</v>
      </c>
      <c r="DS298" s="799">
        <f t="shared" si="233"/>
        <v>0</v>
      </c>
      <c r="DT298" s="799">
        <f t="shared" si="233"/>
        <v>0</v>
      </c>
      <c r="DU298" s="799">
        <f t="shared" si="233"/>
        <v>0</v>
      </c>
      <c r="DV298" s="798"/>
      <c r="DW298" s="798"/>
      <c r="DX298" s="798"/>
      <c r="DY298" s="798"/>
      <c r="DZ298" s="798"/>
      <c r="EA298" s="798"/>
      <c r="EB298" s="798"/>
      <c r="EC298" s="798"/>
      <c r="ED298" s="798"/>
      <c r="EE298" s="798"/>
      <c r="EF298" s="798"/>
      <c r="EG298" s="798"/>
      <c r="EH298" s="782"/>
    </row>
    <row r="299" spans="1:138" ht="12.75" customHeight="1" x14ac:dyDescent="0.3">
      <c r="A299" s="782"/>
      <c r="B299" s="782" t="s">
        <v>169</v>
      </c>
      <c r="C299" s="798"/>
      <c r="D299" s="782"/>
      <c r="E299" s="798">
        <f t="shared" ref="E299:BP299" si="234">E294-E298</f>
        <v>0</v>
      </c>
      <c r="F299" s="798">
        <f t="shared" si="234"/>
        <v>0</v>
      </c>
      <c r="G299" s="798">
        <f t="shared" si="234"/>
        <v>0</v>
      </c>
      <c r="H299" s="798">
        <f t="shared" si="234"/>
        <v>0</v>
      </c>
      <c r="I299" s="798">
        <f t="shared" si="234"/>
        <v>0</v>
      </c>
      <c r="J299" s="798">
        <f t="shared" si="234"/>
        <v>0</v>
      </c>
      <c r="K299" s="798">
        <f t="shared" si="234"/>
        <v>0</v>
      </c>
      <c r="L299" s="798">
        <f t="shared" si="234"/>
        <v>0</v>
      </c>
      <c r="M299" s="798">
        <f t="shared" si="234"/>
        <v>0</v>
      </c>
      <c r="N299" s="798">
        <f t="shared" si="234"/>
        <v>0</v>
      </c>
      <c r="O299" s="798">
        <f t="shared" si="234"/>
        <v>0</v>
      </c>
      <c r="P299" s="798">
        <f t="shared" si="234"/>
        <v>0</v>
      </c>
      <c r="Q299" s="798">
        <f t="shared" si="234"/>
        <v>0</v>
      </c>
      <c r="R299" s="798">
        <f t="shared" si="234"/>
        <v>0</v>
      </c>
      <c r="S299" s="798">
        <f t="shared" si="234"/>
        <v>0</v>
      </c>
      <c r="T299" s="798">
        <f t="shared" si="234"/>
        <v>0</v>
      </c>
      <c r="U299" s="798">
        <f t="shared" si="234"/>
        <v>0</v>
      </c>
      <c r="V299" s="798">
        <f t="shared" si="234"/>
        <v>0</v>
      </c>
      <c r="W299" s="798">
        <f t="shared" si="234"/>
        <v>0</v>
      </c>
      <c r="X299" s="798">
        <f t="shared" si="234"/>
        <v>0</v>
      </c>
      <c r="Y299" s="798">
        <f t="shared" si="234"/>
        <v>0</v>
      </c>
      <c r="Z299" s="798">
        <f t="shared" si="234"/>
        <v>0</v>
      </c>
      <c r="AA299" s="798">
        <f t="shared" si="234"/>
        <v>0</v>
      </c>
      <c r="AB299" s="798">
        <f t="shared" si="234"/>
        <v>0</v>
      </c>
      <c r="AC299" s="798">
        <f t="shared" si="234"/>
        <v>0</v>
      </c>
      <c r="AD299" s="798">
        <f t="shared" si="234"/>
        <v>0</v>
      </c>
      <c r="AE299" s="798">
        <f t="shared" si="234"/>
        <v>0</v>
      </c>
      <c r="AF299" s="798">
        <f t="shared" si="234"/>
        <v>0</v>
      </c>
      <c r="AG299" s="798">
        <f t="shared" si="234"/>
        <v>0</v>
      </c>
      <c r="AH299" s="798">
        <f t="shared" si="234"/>
        <v>0</v>
      </c>
      <c r="AI299" s="798">
        <f t="shared" si="234"/>
        <v>0</v>
      </c>
      <c r="AJ299" s="798">
        <f t="shared" si="234"/>
        <v>0</v>
      </c>
      <c r="AK299" s="798">
        <f t="shared" si="234"/>
        <v>0</v>
      </c>
      <c r="AL299" s="798">
        <f t="shared" si="234"/>
        <v>0</v>
      </c>
      <c r="AM299" s="798">
        <f t="shared" si="234"/>
        <v>0</v>
      </c>
      <c r="AN299" s="798">
        <f t="shared" si="234"/>
        <v>0</v>
      </c>
      <c r="AO299" s="798">
        <f t="shared" si="234"/>
        <v>0</v>
      </c>
      <c r="AP299" s="798">
        <f t="shared" si="234"/>
        <v>0</v>
      </c>
      <c r="AQ299" s="798">
        <f t="shared" si="234"/>
        <v>0</v>
      </c>
      <c r="AR299" s="798">
        <f t="shared" si="234"/>
        <v>0</v>
      </c>
      <c r="AS299" s="798">
        <f t="shared" si="234"/>
        <v>0</v>
      </c>
      <c r="AT299" s="798">
        <f t="shared" si="234"/>
        <v>0</v>
      </c>
      <c r="AU299" s="798">
        <f t="shared" si="234"/>
        <v>0</v>
      </c>
      <c r="AV299" s="798">
        <f t="shared" si="234"/>
        <v>0</v>
      </c>
      <c r="AW299" s="798">
        <f t="shared" si="234"/>
        <v>0</v>
      </c>
      <c r="AX299" s="798">
        <f t="shared" si="234"/>
        <v>0</v>
      </c>
      <c r="AY299" s="798">
        <f t="shared" si="234"/>
        <v>0</v>
      </c>
      <c r="AZ299" s="798">
        <f t="shared" si="234"/>
        <v>0</v>
      </c>
      <c r="BA299" s="798">
        <f t="shared" si="234"/>
        <v>0</v>
      </c>
      <c r="BB299" s="798">
        <f t="shared" si="234"/>
        <v>0</v>
      </c>
      <c r="BC299" s="798">
        <f t="shared" si="234"/>
        <v>0</v>
      </c>
      <c r="BD299" s="798">
        <f t="shared" si="234"/>
        <v>0</v>
      </c>
      <c r="BE299" s="798">
        <f t="shared" si="234"/>
        <v>0</v>
      </c>
      <c r="BF299" s="798">
        <f t="shared" si="234"/>
        <v>0</v>
      </c>
      <c r="BG299" s="798">
        <f t="shared" si="234"/>
        <v>0</v>
      </c>
      <c r="BH299" s="798">
        <f t="shared" si="234"/>
        <v>0</v>
      </c>
      <c r="BI299" s="798">
        <f t="shared" si="234"/>
        <v>0</v>
      </c>
      <c r="BJ299" s="798">
        <f t="shared" si="234"/>
        <v>0</v>
      </c>
      <c r="BK299" s="798">
        <f t="shared" si="234"/>
        <v>0</v>
      </c>
      <c r="BL299" s="798">
        <f t="shared" si="234"/>
        <v>0</v>
      </c>
      <c r="BM299" s="798">
        <f t="shared" si="234"/>
        <v>0</v>
      </c>
      <c r="BN299" s="798">
        <f t="shared" si="234"/>
        <v>0</v>
      </c>
      <c r="BO299" s="798">
        <f t="shared" si="234"/>
        <v>0</v>
      </c>
      <c r="BP299" s="798">
        <f t="shared" si="234"/>
        <v>0</v>
      </c>
      <c r="BQ299" s="798">
        <f t="shared" ref="BQ299:DU299" si="235">BQ294-BQ298</f>
        <v>0</v>
      </c>
      <c r="BR299" s="798">
        <f t="shared" si="235"/>
        <v>0</v>
      </c>
      <c r="BS299" s="798">
        <f t="shared" si="235"/>
        <v>0</v>
      </c>
      <c r="BT299" s="798">
        <f t="shared" si="235"/>
        <v>0</v>
      </c>
      <c r="BU299" s="798">
        <f t="shared" si="235"/>
        <v>0</v>
      </c>
      <c r="BV299" s="798">
        <f t="shared" si="235"/>
        <v>0</v>
      </c>
      <c r="BW299" s="798">
        <f t="shared" si="235"/>
        <v>0</v>
      </c>
      <c r="BX299" s="798">
        <f t="shared" si="235"/>
        <v>0</v>
      </c>
      <c r="BY299" s="798">
        <f t="shared" si="235"/>
        <v>0</v>
      </c>
      <c r="BZ299" s="798">
        <f t="shared" si="235"/>
        <v>0</v>
      </c>
      <c r="CA299" s="798">
        <f t="shared" si="235"/>
        <v>0</v>
      </c>
      <c r="CB299" s="798">
        <f t="shared" si="235"/>
        <v>0</v>
      </c>
      <c r="CC299" s="798">
        <f t="shared" si="235"/>
        <v>0</v>
      </c>
      <c r="CD299" s="798">
        <f t="shared" si="235"/>
        <v>0</v>
      </c>
      <c r="CE299" s="798">
        <f t="shared" si="235"/>
        <v>0</v>
      </c>
      <c r="CF299" s="798">
        <f t="shared" si="235"/>
        <v>0</v>
      </c>
      <c r="CG299" s="798">
        <f t="shared" si="235"/>
        <v>0</v>
      </c>
      <c r="CH299" s="798">
        <f t="shared" si="235"/>
        <v>0</v>
      </c>
      <c r="CI299" s="798">
        <f t="shared" si="235"/>
        <v>0</v>
      </c>
      <c r="CJ299" s="798">
        <f t="shared" si="235"/>
        <v>0</v>
      </c>
      <c r="CK299" s="798">
        <f t="shared" si="235"/>
        <v>0</v>
      </c>
      <c r="CL299" s="798">
        <f t="shared" si="235"/>
        <v>0</v>
      </c>
      <c r="CM299" s="798">
        <f t="shared" si="235"/>
        <v>0</v>
      </c>
      <c r="CN299" s="798">
        <f t="shared" si="235"/>
        <v>0</v>
      </c>
      <c r="CO299" s="798">
        <f t="shared" si="235"/>
        <v>0</v>
      </c>
      <c r="CP299" s="798">
        <f t="shared" si="235"/>
        <v>0</v>
      </c>
      <c r="CQ299" s="798">
        <f t="shared" si="235"/>
        <v>0</v>
      </c>
      <c r="CR299" s="798">
        <f t="shared" si="235"/>
        <v>0</v>
      </c>
      <c r="CS299" s="798">
        <f t="shared" si="235"/>
        <v>0</v>
      </c>
      <c r="CT299" s="798">
        <f t="shared" si="235"/>
        <v>0</v>
      </c>
      <c r="CU299" s="798">
        <f t="shared" si="235"/>
        <v>0</v>
      </c>
      <c r="CV299" s="798">
        <f t="shared" si="235"/>
        <v>0</v>
      </c>
      <c r="CW299" s="798">
        <f t="shared" si="235"/>
        <v>5582134.9825772569</v>
      </c>
      <c r="CX299" s="798">
        <f t="shared" si="235"/>
        <v>0</v>
      </c>
      <c r="CY299" s="798">
        <f t="shared" si="235"/>
        <v>0</v>
      </c>
      <c r="CZ299" s="798">
        <f t="shared" si="235"/>
        <v>0</v>
      </c>
      <c r="DA299" s="798">
        <f t="shared" si="235"/>
        <v>0</v>
      </c>
      <c r="DB299" s="798">
        <f t="shared" si="235"/>
        <v>0</v>
      </c>
      <c r="DC299" s="798">
        <f t="shared" si="235"/>
        <v>0</v>
      </c>
      <c r="DD299" s="798">
        <f t="shared" si="235"/>
        <v>0</v>
      </c>
      <c r="DE299" s="798">
        <f t="shared" si="235"/>
        <v>0</v>
      </c>
      <c r="DF299" s="798">
        <f t="shared" si="235"/>
        <v>0</v>
      </c>
      <c r="DG299" s="798">
        <f t="shared" si="235"/>
        <v>0</v>
      </c>
      <c r="DH299" s="798">
        <f t="shared" si="235"/>
        <v>0</v>
      </c>
      <c r="DI299" s="798">
        <f t="shared" si="235"/>
        <v>0</v>
      </c>
      <c r="DJ299" s="798">
        <f t="shared" si="235"/>
        <v>0</v>
      </c>
      <c r="DK299" s="798">
        <f t="shared" si="235"/>
        <v>0</v>
      </c>
      <c r="DL299" s="798">
        <f t="shared" si="235"/>
        <v>0</v>
      </c>
      <c r="DM299" s="798">
        <f t="shared" si="235"/>
        <v>0</v>
      </c>
      <c r="DN299" s="798">
        <f t="shared" si="235"/>
        <v>0</v>
      </c>
      <c r="DO299" s="798">
        <f t="shared" si="235"/>
        <v>0</v>
      </c>
      <c r="DP299" s="798">
        <f t="shared" si="235"/>
        <v>0</v>
      </c>
      <c r="DQ299" s="798">
        <f t="shared" si="235"/>
        <v>0</v>
      </c>
      <c r="DR299" s="798">
        <f t="shared" si="235"/>
        <v>0</v>
      </c>
      <c r="DS299" s="798">
        <f t="shared" si="235"/>
        <v>0</v>
      </c>
      <c r="DT299" s="798">
        <f t="shared" si="235"/>
        <v>0</v>
      </c>
      <c r="DU299" s="798">
        <f t="shared" si="235"/>
        <v>0</v>
      </c>
      <c r="DV299" s="798"/>
      <c r="DW299" s="798"/>
      <c r="DX299" s="798"/>
      <c r="DY299" s="798"/>
      <c r="DZ299" s="798"/>
      <c r="EA299" s="798"/>
      <c r="EB299" s="798"/>
      <c r="EC299" s="798"/>
      <c r="ED299" s="798"/>
      <c r="EE299" s="798"/>
      <c r="EF299" s="798"/>
      <c r="EG299" s="798"/>
      <c r="EH299" s="782"/>
    </row>
    <row r="300" spans="1:138" ht="12.75" customHeight="1" x14ac:dyDescent="0.3">
      <c r="A300" s="782"/>
      <c r="B300" s="782" t="s">
        <v>170</v>
      </c>
      <c r="C300" s="798"/>
      <c r="D300" s="782"/>
      <c r="E300" s="798">
        <f>MIN(E283,E299/'Venture Assumptions'!$F$46)</f>
        <v>0</v>
      </c>
      <c r="F300" s="798">
        <f>MIN(F283,F299/'Venture Assumptions'!$F$46)</f>
        <v>0</v>
      </c>
      <c r="G300" s="798">
        <f>MIN(G283,G299/'Venture Assumptions'!$F$46)</f>
        <v>0</v>
      </c>
      <c r="H300" s="798">
        <f>MIN(H283,H299/'Venture Assumptions'!$F$46)</f>
        <v>0</v>
      </c>
      <c r="I300" s="798">
        <f>MIN(I283,I299/'Venture Assumptions'!$F$46)</f>
        <v>0</v>
      </c>
      <c r="J300" s="798">
        <f>MIN(J283,J299/'Venture Assumptions'!$F$46)</f>
        <v>0</v>
      </c>
      <c r="K300" s="798">
        <f>MIN(K283,K299/'Venture Assumptions'!$F$46)</f>
        <v>0</v>
      </c>
      <c r="L300" s="798">
        <f>MIN(L283,L299/'Venture Assumptions'!$F$46)</f>
        <v>0</v>
      </c>
      <c r="M300" s="798">
        <f>MIN(M283,M299/'Venture Assumptions'!$F$46)</f>
        <v>0</v>
      </c>
      <c r="N300" s="798">
        <f>MIN(N283,N299/'Venture Assumptions'!$F$46)</f>
        <v>0</v>
      </c>
      <c r="O300" s="798">
        <f>MIN(O283,O299/'Venture Assumptions'!$F$46)</f>
        <v>0</v>
      </c>
      <c r="P300" s="798">
        <f>MIN(P283,P299/'Venture Assumptions'!$F$46)</f>
        <v>0</v>
      </c>
      <c r="Q300" s="798">
        <f>MIN(Q283,Q299/'Venture Assumptions'!$F$46)</f>
        <v>0</v>
      </c>
      <c r="R300" s="798">
        <f>MIN(R283,R299/'Venture Assumptions'!$F$46)</f>
        <v>0</v>
      </c>
      <c r="S300" s="798">
        <f>MIN(S283,S299/'Venture Assumptions'!$F$46)</f>
        <v>0</v>
      </c>
      <c r="T300" s="798">
        <f>MIN(T283,T299/'Venture Assumptions'!$F$46)</f>
        <v>0</v>
      </c>
      <c r="U300" s="798">
        <f>MIN(U283,U299/'Venture Assumptions'!$F$46)</f>
        <v>0</v>
      </c>
      <c r="V300" s="798">
        <f>MIN(V283,V299/'Venture Assumptions'!$F$46)</f>
        <v>0</v>
      </c>
      <c r="W300" s="798">
        <f>MIN(W283,W299/'Venture Assumptions'!$F$46)</f>
        <v>0</v>
      </c>
      <c r="X300" s="798">
        <f>MIN(X283,X299/'Venture Assumptions'!$F$46)</f>
        <v>0</v>
      </c>
      <c r="Y300" s="798">
        <f>MIN(Y283,Y299/'Venture Assumptions'!$F$46)</f>
        <v>0</v>
      </c>
      <c r="Z300" s="798">
        <f>MIN(Z283,Z299/'Venture Assumptions'!$F$46)</f>
        <v>0</v>
      </c>
      <c r="AA300" s="798">
        <f>MIN(AA283,AA299/'Venture Assumptions'!$F$46)</f>
        <v>0</v>
      </c>
      <c r="AB300" s="798">
        <f>MIN(AB283,AB299/'Venture Assumptions'!$F$46)</f>
        <v>0</v>
      </c>
      <c r="AC300" s="798">
        <f>MIN(AC283,AC299/'Venture Assumptions'!$F$46)</f>
        <v>0</v>
      </c>
      <c r="AD300" s="798">
        <f>MIN(AD283,AD299/'Venture Assumptions'!$F$46)</f>
        <v>0</v>
      </c>
      <c r="AE300" s="798">
        <f>MIN(AE283,AE299/'Venture Assumptions'!$F$46)</f>
        <v>0</v>
      </c>
      <c r="AF300" s="798">
        <f>MIN(AF283,AF299/'Venture Assumptions'!$F$46)</f>
        <v>0</v>
      </c>
      <c r="AG300" s="798">
        <f>MIN(AG283,AG299/'Venture Assumptions'!$F$46)</f>
        <v>0</v>
      </c>
      <c r="AH300" s="798">
        <f>MIN(AH283,AH299/'Venture Assumptions'!$F$46)</f>
        <v>0</v>
      </c>
      <c r="AI300" s="798">
        <f>MIN(AI283,AI299/'Venture Assumptions'!$F$46)</f>
        <v>0</v>
      </c>
      <c r="AJ300" s="798">
        <f>MIN(AJ283,AJ299/'Venture Assumptions'!$F$46)</f>
        <v>0</v>
      </c>
      <c r="AK300" s="798">
        <f>MIN(AK283,AK299/'Venture Assumptions'!$F$46)</f>
        <v>0</v>
      </c>
      <c r="AL300" s="798">
        <f>MIN(AL283,AL299/'Venture Assumptions'!$F$46)</f>
        <v>0</v>
      </c>
      <c r="AM300" s="798">
        <f>MIN(AM283,AM299/'Venture Assumptions'!$F$46)</f>
        <v>0</v>
      </c>
      <c r="AN300" s="798">
        <f>MIN(AN283,AN299/'Venture Assumptions'!$F$46)</f>
        <v>0</v>
      </c>
      <c r="AO300" s="798">
        <f>MIN(AO283,AO299/'Venture Assumptions'!$F$46)</f>
        <v>0</v>
      </c>
      <c r="AP300" s="798">
        <f>MIN(AP283,AP299/'Venture Assumptions'!$F$46)</f>
        <v>0</v>
      </c>
      <c r="AQ300" s="798">
        <f>MIN(AQ283,AQ299/'Venture Assumptions'!$F$46)</f>
        <v>0</v>
      </c>
      <c r="AR300" s="798">
        <f>MIN(AR283,AR299/'Venture Assumptions'!$F$46)</f>
        <v>0</v>
      </c>
      <c r="AS300" s="798">
        <f>MIN(AS283,AS299/'Venture Assumptions'!$F$46)</f>
        <v>0</v>
      </c>
      <c r="AT300" s="798">
        <f>MIN(AT283,AT299/'Venture Assumptions'!$F$46)</f>
        <v>0</v>
      </c>
      <c r="AU300" s="798">
        <f>MIN(AU283,AU299/'Venture Assumptions'!$F$46)</f>
        <v>0</v>
      </c>
      <c r="AV300" s="798">
        <f>MIN(AV283,AV299/'Venture Assumptions'!$F$46)</f>
        <v>0</v>
      </c>
      <c r="AW300" s="798">
        <f>MIN(AW283,AW299/'Venture Assumptions'!$F$46)</f>
        <v>0</v>
      </c>
      <c r="AX300" s="798">
        <f>MIN(AX283,AX299/'Venture Assumptions'!$F$46)</f>
        <v>0</v>
      </c>
      <c r="AY300" s="798">
        <f>MIN(AY283,AY299/'Venture Assumptions'!$F$46)</f>
        <v>0</v>
      </c>
      <c r="AZ300" s="798">
        <f>MIN(AZ283,AZ299/'Venture Assumptions'!$F$46)</f>
        <v>0</v>
      </c>
      <c r="BA300" s="798">
        <f>MIN(BA283,BA299/'Venture Assumptions'!$F$46)</f>
        <v>0</v>
      </c>
      <c r="BB300" s="798">
        <f>MIN(BB283,BB299/'Venture Assumptions'!$F$46)</f>
        <v>0</v>
      </c>
      <c r="BC300" s="798">
        <f>MIN(BC283,BC299/'Venture Assumptions'!$F$46)</f>
        <v>0</v>
      </c>
      <c r="BD300" s="798">
        <f>MIN(BD283,BD299/'Venture Assumptions'!$F$46)</f>
        <v>0</v>
      </c>
      <c r="BE300" s="798">
        <f>MIN(BE283,BE299/'Venture Assumptions'!$F$46)</f>
        <v>0</v>
      </c>
      <c r="BF300" s="798">
        <f>MIN(BF283,BF299/'Venture Assumptions'!$F$46)</f>
        <v>0</v>
      </c>
      <c r="BG300" s="798">
        <f>MIN(BG283,BG299/'Venture Assumptions'!$F$46)</f>
        <v>0</v>
      </c>
      <c r="BH300" s="798">
        <f>MIN(BH283,BH299/'Venture Assumptions'!$F$46)</f>
        <v>0</v>
      </c>
      <c r="BI300" s="798">
        <f>MIN(BI283,BI299/'Venture Assumptions'!$F$46)</f>
        <v>0</v>
      </c>
      <c r="BJ300" s="798">
        <f>MIN(BJ283,BJ299/'Venture Assumptions'!$F$46)</f>
        <v>0</v>
      </c>
      <c r="BK300" s="798">
        <f>MIN(BK283,BK299/'Venture Assumptions'!$F$46)</f>
        <v>0</v>
      </c>
      <c r="BL300" s="798">
        <f>MIN(BL283,BL299/'Venture Assumptions'!$F$46)</f>
        <v>0</v>
      </c>
      <c r="BM300" s="798">
        <f>MIN(BM283,BM299/'Venture Assumptions'!$F$46)</f>
        <v>0</v>
      </c>
      <c r="BN300" s="798">
        <f>MIN(BN283,BN299/'Venture Assumptions'!$F$46)</f>
        <v>0</v>
      </c>
      <c r="BO300" s="798">
        <f>MIN(BO283,BO299/'Venture Assumptions'!$F$46)</f>
        <v>0</v>
      </c>
      <c r="BP300" s="798">
        <f>MIN(BP283,BP299/'Venture Assumptions'!$F$46)</f>
        <v>0</v>
      </c>
      <c r="BQ300" s="798">
        <f>MIN(BQ283,BQ299/'Venture Assumptions'!$F$46)</f>
        <v>0</v>
      </c>
      <c r="BR300" s="798">
        <f>MIN(BR283,BR299/'Venture Assumptions'!$F$46)</f>
        <v>0</v>
      </c>
      <c r="BS300" s="798">
        <f>MIN(BS283,BS299/'Venture Assumptions'!$F$46)</f>
        <v>0</v>
      </c>
      <c r="BT300" s="798">
        <f>MIN(BT283,BT299/'Venture Assumptions'!$F$46)</f>
        <v>0</v>
      </c>
      <c r="BU300" s="798">
        <f>MIN(BU283,BU299/'Venture Assumptions'!$F$46)</f>
        <v>0</v>
      </c>
      <c r="BV300" s="798">
        <f>MIN(BV283,BV299/'Venture Assumptions'!$F$46)</f>
        <v>0</v>
      </c>
      <c r="BW300" s="798">
        <f>MIN(BW283,BW299/'Venture Assumptions'!$F$46)</f>
        <v>0</v>
      </c>
      <c r="BX300" s="798">
        <f>MIN(BX283,BX299/'Venture Assumptions'!$F$46)</f>
        <v>0</v>
      </c>
      <c r="BY300" s="798">
        <f>MIN(BY283,BY299/'Venture Assumptions'!$F$46)</f>
        <v>0</v>
      </c>
      <c r="BZ300" s="798">
        <f>MIN(BZ283,BZ299/'Venture Assumptions'!$F$46)</f>
        <v>0</v>
      </c>
      <c r="CA300" s="798">
        <f>MIN(CA283,CA299/'Venture Assumptions'!$F$46)</f>
        <v>0</v>
      </c>
      <c r="CB300" s="798">
        <f>MIN(CB283,CB299/'Venture Assumptions'!$F$46)</f>
        <v>0</v>
      </c>
      <c r="CC300" s="798">
        <f>MIN(CC283,CC299/'Venture Assumptions'!$F$46)</f>
        <v>0</v>
      </c>
      <c r="CD300" s="798">
        <f>MIN(CD283,CD299/'Venture Assumptions'!$F$46)</f>
        <v>0</v>
      </c>
      <c r="CE300" s="798">
        <f>MIN(CE283,CE299/'Venture Assumptions'!$F$46)</f>
        <v>0</v>
      </c>
      <c r="CF300" s="798">
        <f>MIN(CF283,CF299/'Venture Assumptions'!$F$46)</f>
        <v>0</v>
      </c>
      <c r="CG300" s="798">
        <f>MIN(CG283,CG299/'Venture Assumptions'!$F$46)</f>
        <v>0</v>
      </c>
      <c r="CH300" s="798">
        <f>MIN(CH283,CH299/'Venture Assumptions'!$F$46)</f>
        <v>0</v>
      </c>
      <c r="CI300" s="798">
        <f>MIN(CI283,CI299/'Venture Assumptions'!$F$46)</f>
        <v>0</v>
      </c>
      <c r="CJ300" s="798">
        <f>MIN(CJ283,CJ299/'Venture Assumptions'!$F$46)</f>
        <v>0</v>
      </c>
      <c r="CK300" s="798">
        <f>MIN(CK283,CK299/'Venture Assumptions'!$F$46)</f>
        <v>0</v>
      </c>
      <c r="CL300" s="798">
        <f>MIN(CL283,CL299/'Venture Assumptions'!$F$46)</f>
        <v>0</v>
      </c>
      <c r="CM300" s="798">
        <f>MIN(CM283,CM299/'Venture Assumptions'!$F$46)</f>
        <v>0</v>
      </c>
      <c r="CN300" s="798">
        <f>MIN(CN283,CN299/'Venture Assumptions'!$F$46)</f>
        <v>0</v>
      </c>
      <c r="CO300" s="798">
        <f>MIN(CO283,CO299/'Venture Assumptions'!$F$46)</f>
        <v>0</v>
      </c>
      <c r="CP300" s="798">
        <f>MIN(CP283,CP299/'Venture Assumptions'!$F$46)</f>
        <v>0</v>
      </c>
      <c r="CQ300" s="798">
        <f>MIN(CQ283,CQ299/'Venture Assumptions'!$F$46)</f>
        <v>0</v>
      </c>
      <c r="CR300" s="798">
        <f>MIN(CR283,CR299/'Venture Assumptions'!$F$46)</f>
        <v>0</v>
      </c>
      <c r="CS300" s="798">
        <f>MIN(CS283,CS299/'Venture Assumptions'!$F$46)</f>
        <v>0</v>
      </c>
      <c r="CT300" s="798">
        <f>MIN(CT283,CT299/'Venture Assumptions'!$F$46)</f>
        <v>0</v>
      </c>
      <c r="CU300" s="798">
        <f>MIN(CU283,CU299/'Venture Assumptions'!$F$46)</f>
        <v>0</v>
      </c>
      <c r="CV300" s="798">
        <f>MIN(CV283,CV299/'Venture Assumptions'!$F$46)</f>
        <v>0</v>
      </c>
      <c r="CW300" s="798">
        <f>MIN(CW283,CW299/'Venture Assumptions'!$F$46)</f>
        <v>6567217.6265614787</v>
      </c>
      <c r="CX300" s="798">
        <f>MIN(CX283,CX299/'Venture Assumptions'!$F$46)</f>
        <v>0</v>
      </c>
      <c r="CY300" s="798">
        <f>MIN(CY283,CY299/'Venture Assumptions'!$F$46)</f>
        <v>0</v>
      </c>
      <c r="CZ300" s="798">
        <f>MIN(CZ283,CZ299/'Venture Assumptions'!$F$46)</f>
        <v>0</v>
      </c>
      <c r="DA300" s="798">
        <f>MIN(DA283,DA299/'Venture Assumptions'!$F$46)</f>
        <v>0</v>
      </c>
      <c r="DB300" s="798">
        <f>MIN(DB283,DB299/'Venture Assumptions'!$F$46)</f>
        <v>0</v>
      </c>
      <c r="DC300" s="798">
        <f>MIN(DC283,DC299/'Venture Assumptions'!$F$46)</f>
        <v>0</v>
      </c>
      <c r="DD300" s="798">
        <f>MIN(DD283,DD299/'Venture Assumptions'!$F$46)</f>
        <v>0</v>
      </c>
      <c r="DE300" s="798">
        <f>MIN(DE283,DE299/'Venture Assumptions'!$F$46)</f>
        <v>0</v>
      </c>
      <c r="DF300" s="798">
        <f>MIN(DF283,DF299/'Venture Assumptions'!$F$46)</f>
        <v>0</v>
      </c>
      <c r="DG300" s="798">
        <f>MIN(DG283,DG299/'Venture Assumptions'!$F$46)</f>
        <v>0</v>
      </c>
      <c r="DH300" s="798">
        <f>MIN(DH283,DH299/'Venture Assumptions'!$F$46)</f>
        <v>0</v>
      </c>
      <c r="DI300" s="798">
        <f>MIN(DI283,DI299/'Venture Assumptions'!$F$46)</f>
        <v>0</v>
      </c>
      <c r="DJ300" s="798">
        <f>MIN(DJ283,DJ299/'Venture Assumptions'!$F$46)</f>
        <v>0</v>
      </c>
      <c r="DK300" s="798">
        <f>MIN(DK283,DK299/'Venture Assumptions'!$F$46)</f>
        <v>0</v>
      </c>
      <c r="DL300" s="798">
        <f>MIN(DL283,DL299/'Venture Assumptions'!$F$46)</f>
        <v>0</v>
      </c>
      <c r="DM300" s="798">
        <f>MIN(DM283,DM299/'Venture Assumptions'!$F$46)</f>
        <v>0</v>
      </c>
      <c r="DN300" s="798">
        <f>MIN(DN283,DN299/'Venture Assumptions'!$F$46)</f>
        <v>0</v>
      </c>
      <c r="DO300" s="798">
        <f>MIN(DO283,DO299/'Venture Assumptions'!$F$46)</f>
        <v>0</v>
      </c>
      <c r="DP300" s="798">
        <f>MIN(DP283,DP299/'Venture Assumptions'!$F$46)</f>
        <v>0</v>
      </c>
      <c r="DQ300" s="798">
        <f>MIN(DQ283,DQ299/'Venture Assumptions'!$F$46)</f>
        <v>0</v>
      </c>
      <c r="DR300" s="798">
        <f>MIN(DR283,DR299/'Venture Assumptions'!$F$46)</f>
        <v>0</v>
      </c>
      <c r="DS300" s="798">
        <f>MIN(DS283,DS299/'Venture Assumptions'!$F$46)</f>
        <v>0</v>
      </c>
      <c r="DT300" s="798">
        <f>MIN(DT283,DT299/'Venture Assumptions'!$F$46)</f>
        <v>0</v>
      </c>
      <c r="DU300" s="798">
        <f>MIN(DU283,DU299/'Venture Assumptions'!$F$46)</f>
        <v>0</v>
      </c>
      <c r="DV300" s="798"/>
      <c r="DW300" s="798"/>
      <c r="DX300" s="798"/>
      <c r="DY300" s="798"/>
      <c r="DZ300" s="798"/>
      <c r="EA300" s="798"/>
      <c r="EB300" s="798"/>
      <c r="EC300" s="798"/>
      <c r="ED300" s="798"/>
      <c r="EE300" s="798"/>
      <c r="EF300" s="798"/>
      <c r="EG300" s="798"/>
      <c r="EH300" s="782"/>
    </row>
    <row r="301" spans="1:138" ht="12.75" customHeight="1" x14ac:dyDescent="0.3">
      <c r="A301" s="782"/>
      <c r="B301" s="782"/>
      <c r="C301" s="798"/>
      <c r="D301" s="782"/>
      <c r="E301" s="798"/>
      <c r="F301" s="798"/>
      <c r="G301" s="798"/>
      <c r="H301" s="798"/>
      <c r="I301" s="798"/>
      <c r="J301" s="798"/>
      <c r="K301" s="798"/>
      <c r="L301" s="798"/>
      <c r="M301" s="798"/>
      <c r="N301" s="798"/>
      <c r="O301" s="798"/>
      <c r="P301" s="798"/>
      <c r="Q301" s="798"/>
      <c r="R301" s="798"/>
      <c r="S301" s="798"/>
      <c r="T301" s="798"/>
      <c r="U301" s="798"/>
      <c r="V301" s="798"/>
      <c r="W301" s="798"/>
      <c r="X301" s="798"/>
      <c r="Y301" s="798"/>
      <c r="Z301" s="798"/>
      <c r="AA301" s="798"/>
      <c r="AB301" s="798"/>
      <c r="AC301" s="798"/>
      <c r="AD301" s="798"/>
      <c r="AE301" s="798"/>
      <c r="AF301" s="798"/>
      <c r="AG301" s="798"/>
      <c r="AH301" s="798"/>
      <c r="AI301" s="798"/>
      <c r="AJ301" s="798"/>
      <c r="AK301" s="798"/>
      <c r="AL301" s="798"/>
      <c r="AM301" s="798"/>
      <c r="AN301" s="798"/>
      <c r="AO301" s="798"/>
      <c r="AP301" s="798"/>
      <c r="AQ301" s="798"/>
      <c r="AR301" s="798"/>
      <c r="AS301" s="798"/>
      <c r="AT301" s="798"/>
      <c r="AU301" s="798"/>
      <c r="AV301" s="798"/>
      <c r="AW301" s="798"/>
      <c r="AX301" s="798"/>
      <c r="AY301" s="798"/>
      <c r="AZ301" s="798"/>
      <c r="BA301" s="798"/>
      <c r="BB301" s="798"/>
      <c r="BC301" s="798"/>
      <c r="BD301" s="798"/>
      <c r="BE301" s="798"/>
      <c r="BF301" s="798"/>
      <c r="BG301" s="798"/>
      <c r="BH301" s="798"/>
      <c r="BI301" s="798"/>
      <c r="BJ301" s="798"/>
      <c r="BK301" s="798"/>
      <c r="BL301" s="798"/>
      <c r="BM301" s="798"/>
      <c r="BN301" s="798"/>
      <c r="BO301" s="798"/>
      <c r="BP301" s="798"/>
      <c r="BQ301" s="798"/>
      <c r="BR301" s="798"/>
      <c r="BS301" s="798"/>
      <c r="BT301" s="798"/>
      <c r="BU301" s="798"/>
      <c r="BV301" s="798"/>
      <c r="BW301" s="798"/>
      <c r="BX301" s="798"/>
      <c r="BY301" s="798"/>
      <c r="BZ301" s="798"/>
      <c r="CA301" s="798"/>
      <c r="CB301" s="798"/>
      <c r="CC301" s="798"/>
      <c r="CD301" s="798"/>
      <c r="CE301" s="798"/>
      <c r="CF301" s="798"/>
      <c r="CG301" s="798"/>
      <c r="CH301" s="798"/>
      <c r="CI301" s="798"/>
      <c r="CJ301" s="798"/>
      <c r="CK301" s="798"/>
      <c r="CL301" s="798"/>
      <c r="CM301" s="798"/>
      <c r="CN301" s="798"/>
      <c r="CO301" s="798"/>
      <c r="CP301" s="798"/>
      <c r="CQ301" s="798"/>
      <c r="CR301" s="798"/>
      <c r="CS301" s="798"/>
      <c r="CT301" s="798"/>
      <c r="CU301" s="798"/>
      <c r="CV301" s="798"/>
      <c r="CW301" s="798"/>
      <c r="CX301" s="798"/>
      <c r="CY301" s="798"/>
      <c r="CZ301" s="798"/>
      <c r="DA301" s="798"/>
      <c r="DB301" s="798"/>
      <c r="DC301" s="798"/>
      <c r="DD301" s="798"/>
      <c r="DE301" s="798"/>
      <c r="DF301" s="798"/>
      <c r="DG301" s="798"/>
      <c r="DH301" s="798"/>
      <c r="DI301" s="798"/>
      <c r="DJ301" s="798"/>
      <c r="DK301" s="798"/>
      <c r="DL301" s="798"/>
      <c r="DM301" s="798"/>
      <c r="DN301" s="798"/>
      <c r="DO301" s="798"/>
      <c r="DP301" s="798"/>
      <c r="DQ301" s="798"/>
      <c r="DR301" s="798"/>
      <c r="DS301" s="798"/>
      <c r="DT301" s="798"/>
      <c r="DU301" s="798"/>
      <c r="DV301" s="798"/>
      <c r="DW301" s="798"/>
      <c r="DX301" s="798"/>
      <c r="DY301" s="798"/>
      <c r="DZ301" s="798"/>
      <c r="EA301" s="798"/>
      <c r="EB301" s="798"/>
      <c r="EC301" s="798"/>
      <c r="ED301" s="798"/>
      <c r="EE301" s="798"/>
      <c r="EF301" s="798"/>
      <c r="EG301" s="798"/>
      <c r="EH301" s="782"/>
    </row>
    <row r="302" spans="1:138" ht="12.75" customHeight="1" x14ac:dyDescent="0.3">
      <c r="A302" s="782"/>
      <c r="B302" s="782" t="s">
        <v>171</v>
      </c>
      <c r="C302" s="798"/>
      <c r="D302" s="782"/>
      <c r="E302" s="798">
        <f>E300*'Venture Assumptions'!$F$45</f>
        <v>0</v>
      </c>
      <c r="F302" s="798">
        <f>F300*'Venture Assumptions'!$F$45</f>
        <v>0</v>
      </c>
      <c r="G302" s="798">
        <f>G300*'Venture Assumptions'!$F$45</f>
        <v>0</v>
      </c>
      <c r="H302" s="798">
        <f>H300*'Venture Assumptions'!$F$45</f>
        <v>0</v>
      </c>
      <c r="I302" s="798">
        <f>I300*'Venture Assumptions'!$F$45</f>
        <v>0</v>
      </c>
      <c r="J302" s="798">
        <f>J300*'Venture Assumptions'!$F$45</f>
        <v>0</v>
      </c>
      <c r="K302" s="798">
        <f>K300*'Venture Assumptions'!$F$45</f>
        <v>0</v>
      </c>
      <c r="L302" s="798">
        <f>L300*'Venture Assumptions'!$F$45</f>
        <v>0</v>
      </c>
      <c r="M302" s="798">
        <f>M300*'Venture Assumptions'!$F$45</f>
        <v>0</v>
      </c>
      <c r="N302" s="798">
        <f>N300*'Venture Assumptions'!$F$45</f>
        <v>0</v>
      </c>
      <c r="O302" s="798">
        <f>O300*'Venture Assumptions'!$F$45</f>
        <v>0</v>
      </c>
      <c r="P302" s="798">
        <f>P300*'Venture Assumptions'!$F$45</f>
        <v>0</v>
      </c>
      <c r="Q302" s="798">
        <f>Q300*'Venture Assumptions'!$F$45</f>
        <v>0</v>
      </c>
      <c r="R302" s="798">
        <f>R300*'Venture Assumptions'!$F$45</f>
        <v>0</v>
      </c>
      <c r="S302" s="798">
        <f>S300*'Venture Assumptions'!$F$45</f>
        <v>0</v>
      </c>
      <c r="T302" s="798">
        <f>T300*'Venture Assumptions'!$F$45</f>
        <v>0</v>
      </c>
      <c r="U302" s="798">
        <f>U300*'Venture Assumptions'!$F$45</f>
        <v>0</v>
      </c>
      <c r="V302" s="798">
        <f>V300*'Venture Assumptions'!$F$45</f>
        <v>0</v>
      </c>
      <c r="W302" s="798">
        <f>W300*'Venture Assumptions'!$F$45</f>
        <v>0</v>
      </c>
      <c r="X302" s="798">
        <f>X300*'Venture Assumptions'!$F$45</f>
        <v>0</v>
      </c>
      <c r="Y302" s="798">
        <f>Y300*'Venture Assumptions'!$F$45</f>
        <v>0</v>
      </c>
      <c r="Z302" s="798">
        <f>Z300*'Venture Assumptions'!$F$45</f>
        <v>0</v>
      </c>
      <c r="AA302" s="798">
        <f>AA300*'Venture Assumptions'!$F$45</f>
        <v>0</v>
      </c>
      <c r="AB302" s="798">
        <f>AB300*'Venture Assumptions'!$F$45</f>
        <v>0</v>
      </c>
      <c r="AC302" s="798">
        <f>AC300*'Venture Assumptions'!$F$45</f>
        <v>0</v>
      </c>
      <c r="AD302" s="798">
        <f>AD300*'Venture Assumptions'!$F$45</f>
        <v>0</v>
      </c>
      <c r="AE302" s="798">
        <f>AE300*'Venture Assumptions'!$F$45</f>
        <v>0</v>
      </c>
      <c r="AF302" s="798">
        <f>AF300*'Venture Assumptions'!$F$45</f>
        <v>0</v>
      </c>
      <c r="AG302" s="798">
        <f>AG300*'Venture Assumptions'!$F$45</f>
        <v>0</v>
      </c>
      <c r="AH302" s="798">
        <f>AH300*'Venture Assumptions'!$F$45</f>
        <v>0</v>
      </c>
      <c r="AI302" s="798">
        <f>AI300*'Venture Assumptions'!$F$45</f>
        <v>0</v>
      </c>
      <c r="AJ302" s="798">
        <f>AJ300*'Venture Assumptions'!$F$45</f>
        <v>0</v>
      </c>
      <c r="AK302" s="798">
        <f>AK300*'Venture Assumptions'!$F$45</f>
        <v>0</v>
      </c>
      <c r="AL302" s="798">
        <f>AL300*'Venture Assumptions'!$F$45</f>
        <v>0</v>
      </c>
      <c r="AM302" s="798">
        <f>AM300*'Venture Assumptions'!$F$45</f>
        <v>0</v>
      </c>
      <c r="AN302" s="798">
        <f>AN300*'Venture Assumptions'!$F$45</f>
        <v>0</v>
      </c>
      <c r="AO302" s="798">
        <f>AO300*'Venture Assumptions'!$F$45</f>
        <v>0</v>
      </c>
      <c r="AP302" s="798">
        <f>AP300*'Venture Assumptions'!$F$45</f>
        <v>0</v>
      </c>
      <c r="AQ302" s="798">
        <f>AQ300*'Venture Assumptions'!$F$45</f>
        <v>0</v>
      </c>
      <c r="AR302" s="798">
        <f>AR300*'Venture Assumptions'!$F$45</f>
        <v>0</v>
      </c>
      <c r="AS302" s="798">
        <f>AS300*'Venture Assumptions'!$F$45</f>
        <v>0</v>
      </c>
      <c r="AT302" s="798">
        <f>AT300*'Venture Assumptions'!$F$45</f>
        <v>0</v>
      </c>
      <c r="AU302" s="798">
        <f>AU300*'Venture Assumptions'!$F$45</f>
        <v>0</v>
      </c>
      <c r="AV302" s="798">
        <f>AV300*'Venture Assumptions'!$F$45</f>
        <v>0</v>
      </c>
      <c r="AW302" s="798">
        <f>AW300*'Venture Assumptions'!$F$45</f>
        <v>0</v>
      </c>
      <c r="AX302" s="798">
        <f>AX300*'Venture Assumptions'!$F$45</f>
        <v>0</v>
      </c>
      <c r="AY302" s="798">
        <f>AY300*'Venture Assumptions'!$F$45</f>
        <v>0</v>
      </c>
      <c r="AZ302" s="798">
        <f>AZ300*'Venture Assumptions'!$F$45</f>
        <v>0</v>
      </c>
      <c r="BA302" s="798">
        <f>BA300*'Venture Assumptions'!$F$45</f>
        <v>0</v>
      </c>
      <c r="BB302" s="798">
        <f>BB300*'Venture Assumptions'!$F$45</f>
        <v>0</v>
      </c>
      <c r="BC302" s="798">
        <f>BC300*'Venture Assumptions'!$F$45</f>
        <v>0</v>
      </c>
      <c r="BD302" s="798">
        <f>BD300*'Venture Assumptions'!$F$45</f>
        <v>0</v>
      </c>
      <c r="BE302" s="798">
        <f>BE300*'Venture Assumptions'!$F$45</f>
        <v>0</v>
      </c>
      <c r="BF302" s="798">
        <f>BF300*'Venture Assumptions'!$F$45</f>
        <v>0</v>
      </c>
      <c r="BG302" s="798">
        <f>BG300*'Venture Assumptions'!$F$45</f>
        <v>0</v>
      </c>
      <c r="BH302" s="798">
        <f>BH300*'Venture Assumptions'!$F$45</f>
        <v>0</v>
      </c>
      <c r="BI302" s="798">
        <f>BI300*'Venture Assumptions'!$F$45</f>
        <v>0</v>
      </c>
      <c r="BJ302" s="798">
        <f>BJ300*'Venture Assumptions'!$F$45</f>
        <v>0</v>
      </c>
      <c r="BK302" s="798">
        <f>BK300*'Venture Assumptions'!$F$45</f>
        <v>0</v>
      </c>
      <c r="BL302" s="798">
        <f>BL300*'Venture Assumptions'!$F$45</f>
        <v>0</v>
      </c>
      <c r="BM302" s="798">
        <f>BM300*'Venture Assumptions'!$F$45</f>
        <v>0</v>
      </c>
      <c r="BN302" s="798">
        <f>BN300*'Venture Assumptions'!$F$45</f>
        <v>0</v>
      </c>
      <c r="BO302" s="798">
        <f>BO300*'Venture Assumptions'!$F$45</f>
        <v>0</v>
      </c>
      <c r="BP302" s="798">
        <f>BP300*'Venture Assumptions'!$F$45</f>
        <v>0</v>
      </c>
      <c r="BQ302" s="798">
        <f>BQ300*'Venture Assumptions'!$F$45</f>
        <v>0</v>
      </c>
      <c r="BR302" s="798">
        <f>BR300*'Venture Assumptions'!$F$45</f>
        <v>0</v>
      </c>
      <c r="BS302" s="798">
        <f>BS300*'Venture Assumptions'!$F$45</f>
        <v>0</v>
      </c>
      <c r="BT302" s="798">
        <f>BT300*'Venture Assumptions'!$F$45</f>
        <v>0</v>
      </c>
      <c r="BU302" s="798">
        <f>BU300*'Venture Assumptions'!$F$45</f>
        <v>0</v>
      </c>
      <c r="BV302" s="798">
        <f>BV300*'Venture Assumptions'!$F$45</f>
        <v>0</v>
      </c>
      <c r="BW302" s="798">
        <f>BW300*'Venture Assumptions'!$F$45</f>
        <v>0</v>
      </c>
      <c r="BX302" s="798">
        <f>BX300*'Venture Assumptions'!$F$45</f>
        <v>0</v>
      </c>
      <c r="BY302" s="798">
        <f>BY300*'Venture Assumptions'!$F$45</f>
        <v>0</v>
      </c>
      <c r="BZ302" s="798">
        <f>BZ300*'Venture Assumptions'!$F$45</f>
        <v>0</v>
      </c>
      <c r="CA302" s="798">
        <f>CA300*'Venture Assumptions'!$F$45</f>
        <v>0</v>
      </c>
      <c r="CB302" s="798">
        <f>CB300*'Venture Assumptions'!$F$45</f>
        <v>0</v>
      </c>
      <c r="CC302" s="798">
        <f>CC300*'Venture Assumptions'!$F$45</f>
        <v>0</v>
      </c>
      <c r="CD302" s="798">
        <f>CD300*'Venture Assumptions'!$F$45</f>
        <v>0</v>
      </c>
      <c r="CE302" s="798">
        <f>CE300*'Venture Assumptions'!$F$45</f>
        <v>0</v>
      </c>
      <c r="CF302" s="798">
        <f>CF300*'Venture Assumptions'!$F$45</f>
        <v>0</v>
      </c>
      <c r="CG302" s="798">
        <f>CG300*'Venture Assumptions'!$F$45</f>
        <v>0</v>
      </c>
      <c r="CH302" s="798">
        <f>CH300*'Venture Assumptions'!$F$45</f>
        <v>0</v>
      </c>
      <c r="CI302" s="798">
        <f>CI300*'Venture Assumptions'!$F$45</f>
        <v>0</v>
      </c>
      <c r="CJ302" s="798">
        <f>CJ300*'Venture Assumptions'!$F$45</f>
        <v>0</v>
      </c>
      <c r="CK302" s="798">
        <f>CK300*'Venture Assumptions'!$F$45</f>
        <v>0</v>
      </c>
      <c r="CL302" s="798">
        <f>CL300*'Venture Assumptions'!$F$45</f>
        <v>0</v>
      </c>
      <c r="CM302" s="798">
        <f>CM300*'Venture Assumptions'!$F$45</f>
        <v>0</v>
      </c>
      <c r="CN302" s="798">
        <f>CN300*'Venture Assumptions'!$F$45</f>
        <v>0</v>
      </c>
      <c r="CO302" s="798">
        <f>CO300*'Venture Assumptions'!$F$45</f>
        <v>0</v>
      </c>
      <c r="CP302" s="798">
        <f>CP300*'Venture Assumptions'!$F$45</f>
        <v>0</v>
      </c>
      <c r="CQ302" s="798">
        <f>CQ300*'Venture Assumptions'!$F$45</f>
        <v>0</v>
      </c>
      <c r="CR302" s="798">
        <f>CR300*'Venture Assumptions'!$F$45</f>
        <v>0</v>
      </c>
      <c r="CS302" s="798">
        <f>CS300*'Venture Assumptions'!$F$45</f>
        <v>0</v>
      </c>
      <c r="CT302" s="798">
        <f>CT300*'Venture Assumptions'!$F$45</f>
        <v>0</v>
      </c>
      <c r="CU302" s="798">
        <f>CU300*'Venture Assumptions'!$F$45</f>
        <v>0</v>
      </c>
      <c r="CV302" s="798">
        <f>CV300*'Venture Assumptions'!$F$45</f>
        <v>0</v>
      </c>
      <c r="CW302" s="798">
        <f>CW300*'Venture Assumptions'!$F$45</f>
        <v>985082.64398422174</v>
      </c>
      <c r="CX302" s="798">
        <f>CX300*'Venture Assumptions'!$F$45</f>
        <v>0</v>
      </c>
      <c r="CY302" s="798">
        <f>CY300*'Venture Assumptions'!$F$45</f>
        <v>0</v>
      </c>
      <c r="CZ302" s="798">
        <f>CZ300*'Venture Assumptions'!$F$45</f>
        <v>0</v>
      </c>
      <c r="DA302" s="798">
        <f>DA300*'Venture Assumptions'!$F$45</f>
        <v>0</v>
      </c>
      <c r="DB302" s="798">
        <f>DB300*'Venture Assumptions'!$F$45</f>
        <v>0</v>
      </c>
      <c r="DC302" s="798">
        <f>DC300*'Venture Assumptions'!$F$45</f>
        <v>0</v>
      </c>
      <c r="DD302" s="798">
        <f>DD300*'Venture Assumptions'!$F$45</f>
        <v>0</v>
      </c>
      <c r="DE302" s="798">
        <f>DE300*'Venture Assumptions'!$F$45</f>
        <v>0</v>
      </c>
      <c r="DF302" s="798">
        <f>DF300*'Venture Assumptions'!$F$45</f>
        <v>0</v>
      </c>
      <c r="DG302" s="798">
        <f>DG300*'Venture Assumptions'!$F$45</f>
        <v>0</v>
      </c>
      <c r="DH302" s="798">
        <f>DH300*'Venture Assumptions'!$F$45</f>
        <v>0</v>
      </c>
      <c r="DI302" s="798">
        <f>DI300*'Venture Assumptions'!$F$45</f>
        <v>0</v>
      </c>
      <c r="DJ302" s="798">
        <f>DJ300*'Venture Assumptions'!$F$45</f>
        <v>0</v>
      </c>
      <c r="DK302" s="798">
        <f>DK300*'Venture Assumptions'!$F$45</f>
        <v>0</v>
      </c>
      <c r="DL302" s="798">
        <f>DL300*'Venture Assumptions'!$F$45</f>
        <v>0</v>
      </c>
      <c r="DM302" s="798">
        <f>DM300*'Venture Assumptions'!$F$45</f>
        <v>0</v>
      </c>
      <c r="DN302" s="798">
        <f>DN300*'Venture Assumptions'!$F$45</f>
        <v>0</v>
      </c>
      <c r="DO302" s="798">
        <f>DO300*'Venture Assumptions'!$F$45</f>
        <v>0</v>
      </c>
      <c r="DP302" s="798">
        <f>DP300*'Venture Assumptions'!$F$45</f>
        <v>0</v>
      </c>
      <c r="DQ302" s="798">
        <f>DQ300*'Venture Assumptions'!$F$45</f>
        <v>0</v>
      </c>
      <c r="DR302" s="798">
        <f>DR300*'Venture Assumptions'!$F$45</f>
        <v>0</v>
      </c>
      <c r="DS302" s="798">
        <f>DS300*'Venture Assumptions'!$F$45</f>
        <v>0</v>
      </c>
      <c r="DT302" s="798">
        <f>DT300*'Venture Assumptions'!$F$45</f>
        <v>0</v>
      </c>
      <c r="DU302" s="798">
        <f>DU300*'Venture Assumptions'!$F$45</f>
        <v>0</v>
      </c>
      <c r="DV302" s="798"/>
      <c r="DW302" s="798"/>
      <c r="DX302" s="798"/>
      <c r="DY302" s="798"/>
      <c r="DZ302" s="798"/>
      <c r="EA302" s="798"/>
      <c r="EB302" s="798"/>
      <c r="EC302" s="798"/>
      <c r="ED302" s="798"/>
      <c r="EE302" s="798"/>
      <c r="EF302" s="798"/>
      <c r="EG302" s="798"/>
      <c r="EH302" s="782"/>
    </row>
    <row r="303" spans="1:138" ht="12.75" customHeight="1" x14ac:dyDescent="0.3">
      <c r="A303" s="782"/>
      <c r="B303" s="781" t="s">
        <v>172</v>
      </c>
      <c r="C303" s="799"/>
      <c r="D303" s="781"/>
      <c r="E303" s="799">
        <f>E300*'Venture Assumptions'!$F$46</f>
        <v>0</v>
      </c>
      <c r="F303" s="799">
        <f>F300*'Venture Assumptions'!$F$46</f>
        <v>0</v>
      </c>
      <c r="G303" s="799">
        <f>G300*'Venture Assumptions'!$F$46</f>
        <v>0</v>
      </c>
      <c r="H303" s="799">
        <f>H300*'Venture Assumptions'!$F$46</f>
        <v>0</v>
      </c>
      <c r="I303" s="799">
        <f>I300*'Venture Assumptions'!$F$46</f>
        <v>0</v>
      </c>
      <c r="J303" s="799">
        <f>J300*'Venture Assumptions'!$F$46</f>
        <v>0</v>
      </c>
      <c r="K303" s="799">
        <f>K300*'Venture Assumptions'!$F$46</f>
        <v>0</v>
      </c>
      <c r="L303" s="799">
        <f>L300*'Venture Assumptions'!$F$46</f>
        <v>0</v>
      </c>
      <c r="M303" s="799">
        <f>M300*'Venture Assumptions'!$F$46</f>
        <v>0</v>
      </c>
      <c r="N303" s="799">
        <f>N300*'Venture Assumptions'!$F$46</f>
        <v>0</v>
      </c>
      <c r="O303" s="799">
        <f>O300*'Venture Assumptions'!$F$46</f>
        <v>0</v>
      </c>
      <c r="P303" s="799">
        <f>P300*'Venture Assumptions'!$F$46</f>
        <v>0</v>
      </c>
      <c r="Q303" s="799">
        <f>Q300*'Venture Assumptions'!$F$46</f>
        <v>0</v>
      </c>
      <c r="R303" s="799">
        <f>R300*'Venture Assumptions'!$F$46</f>
        <v>0</v>
      </c>
      <c r="S303" s="799">
        <f>S300*'Venture Assumptions'!$F$46</f>
        <v>0</v>
      </c>
      <c r="T303" s="799">
        <f>T300*'Venture Assumptions'!$F$46</f>
        <v>0</v>
      </c>
      <c r="U303" s="799">
        <f>U300*'Venture Assumptions'!$F$46</f>
        <v>0</v>
      </c>
      <c r="V303" s="799">
        <f>V300*'Venture Assumptions'!$F$46</f>
        <v>0</v>
      </c>
      <c r="W303" s="799">
        <f>W300*'Venture Assumptions'!$F$46</f>
        <v>0</v>
      </c>
      <c r="X303" s="799">
        <f>X300*'Venture Assumptions'!$F$46</f>
        <v>0</v>
      </c>
      <c r="Y303" s="799">
        <f>Y300*'Venture Assumptions'!$F$46</f>
        <v>0</v>
      </c>
      <c r="Z303" s="799">
        <f>Z300*'Venture Assumptions'!$F$46</f>
        <v>0</v>
      </c>
      <c r="AA303" s="799">
        <f>AA300*'Venture Assumptions'!$F$46</f>
        <v>0</v>
      </c>
      <c r="AB303" s="799">
        <f>AB300*'Venture Assumptions'!$F$46</f>
        <v>0</v>
      </c>
      <c r="AC303" s="799">
        <f>AC300*'Venture Assumptions'!$F$46</f>
        <v>0</v>
      </c>
      <c r="AD303" s="799">
        <f>AD300*'Venture Assumptions'!$F$46</f>
        <v>0</v>
      </c>
      <c r="AE303" s="799">
        <f>AE300*'Venture Assumptions'!$F$46</f>
        <v>0</v>
      </c>
      <c r="AF303" s="799">
        <f>AF300*'Venture Assumptions'!$F$46</f>
        <v>0</v>
      </c>
      <c r="AG303" s="799">
        <f>AG300*'Venture Assumptions'!$F$46</f>
        <v>0</v>
      </c>
      <c r="AH303" s="799">
        <f>AH300*'Venture Assumptions'!$F$46</f>
        <v>0</v>
      </c>
      <c r="AI303" s="799">
        <f>AI300*'Venture Assumptions'!$F$46</f>
        <v>0</v>
      </c>
      <c r="AJ303" s="799">
        <f>AJ300*'Venture Assumptions'!$F$46</f>
        <v>0</v>
      </c>
      <c r="AK303" s="799">
        <f>AK300*'Venture Assumptions'!$F$46</f>
        <v>0</v>
      </c>
      <c r="AL303" s="799">
        <f>AL300*'Venture Assumptions'!$F$46</f>
        <v>0</v>
      </c>
      <c r="AM303" s="799">
        <f>AM300*'Venture Assumptions'!$F$46</f>
        <v>0</v>
      </c>
      <c r="AN303" s="799">
        <f>AN300*'Venture Assumptions'!$F$46</f>
        <v>0</v>
      </c>
      <c r="AO303" s="799">
        <f>AO300*'Venture Assumptions'!$F$46</f>
        <v>0</v>
      </c>
      <c r="AP303" s="799">
        <f>AP300*'Venture Assumptions'!$F$46</f>
        <v>0</v>
      </c>
      <c r="AQ303" s="799">
        <f>AQ300*'Venture Assumptions'!$F$46</f>
        <v>0</v>
      </c>
      <c r="AR303" s="799">
        <f>AR300*'Venture Assumptions'!$F$46</f>
        <v>0</v>
      </c>
      <c r="AS303" s="799">
        <f>AS300*'Venture Assumptions'!$F$46</f>
        <v>0</v>
      </c>
      <c r="AT303" s="799">
        <f>AT300*'Venture Assumptions'!$F$46</f>
        <v>0</v>
      </c>
      <c r="AU303" s="799">
        <f>AU300*'Venture Assumptions'!$F$46</f>
        <v>0</v>
      </c>
      <c r="AV303" s="799">
        <f>AV300*'Venture Assumptions'!$F$46</f>
        <v>0</v>
      </c>
      <c r="AW303" s="799">
        <f>AW300*'Venture Assumptions'!$F$46</f>
        <v>0</v>
      </c>
      <c r="AX303" s="799">
        <f>AX300*'Venture Assumptions'!$F$46</f>
        <v>0</v>
      </c>
      <c r="AY303" s="799">
        <f>AY300*'Venture Assumptions'!$F$46</f>
        <v>0</v>
      </c>
      <c r="AZ303" s="799">
        <f>AZ300*'Venture Assumptions'!$F$46</f>
        <v>0</v>
      </c>
      <c r="BA303" s="799">
        <f>BA300*'Venture Assumptions'!$F$46</f>
        <v>0</v>
      </c>
      <c r="BB303" s="799">
        <f>BB300*'Venture Assumptions'!$F$46</f>
        <v>0</v>
      </c>
      <c r="BC303" s="799">
        <f>BC300*'Venture Assumptions'!$F$46</f>
        <v>0</v>
      </c>
      <c r="BD303" s="799">
        <f>BD300*'Venture Assumptions'!$F$46</f>
        <v>0</v>
      </c>
      <c r="BE303" s="799">
        <f>BE300*'Venture Assumptions'!$F$46</f>
        <v>0</v>
      </c>
      <c r="BF303" s="799">
        <f>BF300*'Venture Assumptions'!$F$46</f>
        <v>0</v>
      </c>
      <c r="BG303" s="799">
        <f>BG300*'Venture Assumptions'!$F$46</f>
        <v>0</v>
      </c>
      <c r="BH303" s="799">
        <f>BH300*'Venture Assumptions'!$F$46</f>
        <v>0</v>
      </c>
      <c r="BI303" s="799">
        <f>BI300*'Venture Assumptions'!$F$46</f>
        <v>0</v>
      </c>
      <c r="BJ303" s="799">
        <f>BJ300*'Venture Assumptions'!$F$46</f>
        <v>0</v>
      </c>
      <c r="BK303" s="799">
        <f>BK300*'Venture Assumptions'!$F$46</f>
        <v>0</v>
      </c>
      <c r="BL303" s="799">
        <f>BL300*'Venture Assumptions'!$F$46</f>
        <v>0</v>
      </c>
      <c r="BM303" s="799">
        <f>BM300*'Venture Assumptions'!$F$46</f>
        <v>0</v>
      </c>
      <c r="BN303" s="799">
        <f>BN300*'Venture Assumptions'!$F$46</f>
        <v>0</v>
      </c>
      <c r="BO303" s="799">
        <f>BO300*'Venture Assumptions'!$F$46</f>
        <v>0</v>
      </c>
      <c r="BP303" s="799">
        <f>BP300*'Venture Assumptions'!$F$46</f>
        <v>0</v>
      </c>
      <c r="BQ303" s="799">
        <f>BQ300*'Venture Assumptions'!$F$46</f>
        <v>0</v>
      </c>
      <c r="BR303" s="799">
        <f>BR300*'Venture Assumptions'!$F$46</f>
        <v>0</v>
      </c>
      <c r="BS303" s="799">
        <f>BS300*'Venture Assumptions'!$F$46</f>
        <v>0</v>
      </c>
      <c r="BT303" s="799">
        <f>BT300*'Venture Assumptions'!$F$46</f>
        <v>0</v>
      </c>
      <c r="BU303" s="799">
        <f>BU300*'Venture Assumptions'!$F$46</f>
        <v>0</v>
      </c>
      <c r="BV303" s="799">
        <f>BV300*'Venture Assumptions'!$F$46</f>
        <v>0</v>
      </c>
      <c r="BW303" s="799">
        <f>BW300*'Venture Assumptions'!$F$46</f>
        <v>0</v>
      </c>
      <c r="BX303" s="799">
        <f>BX300*'Venture Assumptions'!$F$46</f>
        <v>0</v>
      </c>
      <c r="BY303" s="799">
        <f>BY300*'Venture Assumptions'!$F$46</f>
        <v>0</v>
      </c>
      <c r="BZ303" s="799">
        <f>BZ300*'Venture Assumptions'!$F$46</f>
        <v>0</v>
      </c>
      <c r="CA303" s="799">
        <f>CA300*'Venture Assumptions'!$F$46</f>
        <v>0</v>
      </c>
      <c r="CB303" s="799">
        <f>CB300*'Venture Assumptions'!$F$46</f>
        <v>0</v>
      </c>
      <c r="CC303" s="799">
        <f>CC300*'Venture Assumptions'!$F$46</f>
        <v>0</v>
      </c>
      <c r="CD303" s="799">
        <f>CD300*'Venture Assumptions'!$F$46</f>
        <v>0</v>
      </c>
      <c r="CE303" s="799">
        <f>CE300*'Venture Assumptions'!$F$46</f>
        <v>0</v>
      </c>
      <c r="CF303" s="799">
        <f>CF300*'Venture Assumptions'!$F$46</f>
        <v>0</v>
      </c>
      <c r="CG303" s="799">
        <f>CG300*'Venture Assumptions'!$F$46</f>
        <v>0</v>
      </c>
      <c r="CH303" s="799">
        <f>CH300*'Venture Assumptions'!$F$46</f>
        <v>0</v>
      </c>
      <c r="CI303" s="799">
        <f>CI300*'Venture Assumptions'!$F$46</f>
        <v>0</v>
      </c>
      <c r="CJ303" s="799">
        <f>CJ300*'Venture Assumptions'!$F$46</f>
        <v>0</v>
      </c>
      <c r="CK303" s="799">
        <f>CK300*'Venture Assumptions'!$F$46</f>
        <v>0</v>
      </c>
      <c r="CL303" s="799">
        <f>CL300*'Venture Assumptions'!$F$46</f>
        <v>0</v>
      </c>
      <c r="CM303" s="799">
        <f>CM300*'Venture Assumptions'!$F$46</f>
        <v>0</v>
      </c>
      <c r="CN303" s="799">
        <f>CN300*'Venture Assumptions'!$F$46</f>
        <v>0</v>
      </c>
      <c r="CO303" s="799">
        <f>CO300*'Venture Assumptions'!$F$46</f>
        <v>0</v>
      </c>
      <c r="CP303" s="799">
        <f>CP300*'Venture Assumptions'!$F$46</f>
        <v>0</v>
      </c>
      <c r="CQ303" s="799">
        <f>CQ300*'Venture Assumptions'!$F$46</f>
        <v>0</v>
      </c>
      <c r="CR303" s="799">
        <f>CR300*'Venture Assumptions'!$F$46</f>
        <v>0</v>
      </c>
      <c r="CS303" s="799">
        <f>CS300*'Venture Assumptions'!$F$46</f>
        <v>0</v>
      </c>
      <c r="CT303" s="799">
        <f>CT300*'Venture Assumptions'!$F$46</f>
        <v>0</v>
      </c>
      <c r="CU303" s="799">
        <f>CU300*'Venture Assumptions'!$F$46</f>
        <v>0</v>
      </c>
      <c r="CV303" s="799">
        <f>CV300*'Venture Assumptions'!$F$46</f>
        <v>0</v>
      </c>
      <c r="CW303" s="799">
        <f>CW300*'Venture Assumptions'!$F$46</f>
        <v>5582134.9825772569</v>
      </c>
      <c r="CX303" s="799">
        <f>CX300*'Venture Assumptions'!$F$46</f>
        <v>0</v>
      </c>
      <c r="CY303" s="799">
        <f>CY300*'Venture Assumptions'!$F$46</f>
        <v>0</v>
      </c>
      <c r="CZ303" s="799">
        <f>CZ300*'Venture Assumptions'!$F$46</f>
        <v>0</v>
      </c>
      <c r="DA303" s="799">
        <f>DA300*'Venture Assumptions'!$F$46</f>
        <v>0</v>
      </c>
      <c r="DB303" s="799">
        <f>DB300*'Venture Assumptions'!$F$46</f>
        <v>0</v>
      </c>
      <c r="DC303" s="799">
        <f>DC300*'Venture Assumptions'!$F$46</f>
        <v>0</v>
      </c>
      <c r="DD303" s="799">
        <f>DD300*'Venture Assumptions'!$F$46</f>
        <v>0</v>
      </c>
      <c r="DE303" s="799">
        <f>DE300*'Venture Assumptions'!$F$46</f>
        <v>0</v>
      </c>
      <c r="DF303" s="799">
        <f>DF300*'Venture Assumptions'!$F$46</f>
        <v>0</v>
      </c>
      <c r="DG303" s="799">
        <f>DG300*'Venture Assumptions'!$F$46</f>
        <v>0</v>
      </c>
      <c r="DH303" s="799">
        <f>DH300*'Venture Assumptions'!$F$46</f>
        <v>0</v>
      </c>
      <c r="DI303" s="799">
        <f>DI300*'Venture Assumptions'!$F$46</f>
        <v>0</v>
      </c>
      <c r="DJ303" s="799">
        <f>DJ300*'Venture Assumptions'!$F$46</f>
        <v>0</v>
      </c>
      <c r="DK303" s="799">
        <f>DK300*'Venture Assumptions'!$F$46</f>
        <v>0</v>
      </c>
      <c r="DL303" s="799">
        <f>DL300*'Venture Assumptions'!$F$46</f>
        <v>0</v>
      </c>
      <c r="DM303" s="799">
        <f>DM300*'Venture Assumptions'!$F$46</f>
        <v>0</v>
      </c>
      <c r="DN303" s="799">
        <f>DN300*'Venture Assumptions'!$F$46</f>
        <v>0</v>
      </c>
      <c r="DO303" s="799">
        <f>DO300*'Venture Assumptions'!$F$46</f>
        <v>0</v>
      </c>
      <c r="DP303" s="799">
        <f>DP300*'Venture Assumptions'!$F$46</f>
        <v>0</v>
      </c>
      <c r="DQ303" s="799">
        <f>DQ300*'Venture Assumptions'!$F$46</f>
        <v>0</v>
      </c>
      <c r="DR303" s="799">
        <f>DR300*'Venture Assumptions'!$F$46</f>
        <v>0</v>
      </c>
      <c r="DS303" s="799">
        <f>DS300*'Venture Assumptions'!$F$46</f>
        <v>0</v>
      </c>
      <c r="DT303" s="799">
        <f>DT300*'Venture Assumptions'!$F$46</f>
        <v>0</v>
      </c>
      <c r="DU303" s="799">
        <f>DU300*'Venture Assumptions'!$F$46</f>
        <v>0</v>
      </c>
      <c r="DV303" s="798"/>
      <c r="DW303" s="798"/>
      <c r="DX303" s="798"/>
      <c r="DY303" s="798"/>
      <c r="DZ303" s="798"/>
      <c r="EA303" s="798"/>
      <c r="EB303" s="798"/>
      <c r="EC303" s="798"/>
      <c r="ED303" s="798"/>
      <c r="EE303" s="798"/>
      <c r="EF303" s="798"/>
      <c r="EG303" s="798"/>
      <c r="EH303" s="782"/>
    </row>
    <row r="304" spans="1:138" ht="12.75" customHeight="1" x14ac:dyDescent="0.3">
      <c r="A304" s="782"/>
      <c r="B304" s="782" t="s">
        <v>173</v>
      </c>
      <c r="C304" s="798"/>
      <c r="D304" s="782"/>
      <c r="E304" s="798">
        <f t="shared" ref="E304:AJ304" si="236">SUM(E302:E303)</f>
        <v>0</v>
      </c>
      <c r="F304" s="798">
        <f t="shared" si="236"/>
        <v>0</v>
      </c>
      <c r="G304" s="798">
        <f t="shared" si="236"/>
        <v>0</v>
      </c>
      <c r="H304" s="798">
        <f>SUM(H302:H303)</f>
        <v>0</v>
      </c>
      <c r="I304" s="798">
        <f>SUM(I302:I303)</f>
        <v>0</v>
      </c>
      <c r="J304" s="798">
        <f>SUM(J302:J303)</f>
        <v>0</v>
      </c>
      <c r="K304" s="798">
        <f t="shared" si="236"/>
        <v>0</v>
      </c>
      <c r="L304" s="798">
        <f t="shared" si="236"/>
        <v>0</v>
      </c>
      <c r="M304" s="798">
        <f t="shared" si="236"/>
        <v>0</v>
      </c>
      <c r="N304" s="798">
        <f t="shared" si="236"/>
        <v>0</v>
      </c>
      <c r="O304" s="798">
        <f t="shared" si="236"/>
        <v>0</v>
      </c>
      <c r="P304" s="798">
        <f t="shared" si="236"/>
        <v>0</v>
      </c>
      <c r="Q304" s="798">
        <f t="shared" si="236"/>
        <v>0</v>
      </c>
      <c r="R304" s="798">
        <f t="shared" si="236"/>
        <v>0</v>
      </c>
      <c r="S304" s="798">
        <f t="shared" si="236"/>
        <v>0</v>
      </c>
      <c r="T304" s="798">
        <f t="shared" si="236"/>
        <v>0</v>
      </c>
      <c r="U304" s="798">
        <f t="shared" si="236"/>
        <v>0</v>
      </c>
      <c r="V304" s="798">
        <f t="shared" si="236"/>
        <v>0</v>
      </c>
      <c r="W304" s="798">
        <f t="shared" si="236"/>
        <v>0</v>
      </c>
      <c r="X304" s="798">
        <f t="shared" si="236"/>
        <v>0</v>
      </c>
      <c r="Y304" s="798">
        <f t="shared" si="236"/>
        <v>0</v>
      </c>
      <c r="Z304" s="798">
        <f t="shared" si="236"/>
        <v>0</v>
      </c>
      <c r="AA304" s="798">
        <f t="shared" si="236"/>
        <v>0</v>
      </c>
      <c r="AB304" s="798">
        <f t="shared" si="236"/>
        <v>0</v>
      </c>
      <c r="AC304" s="798">
        <f t="shared" si="236"/>
        <v>0</v>
      </c>
      <c r="AD304" s="798">
        <f t="shared" si="236"/>
        <v>0</v>
      </c>
      <c r="AE304" s="798">
        <f t="shared" si="236"/>
        <v>0</v>
      </c>
      <c r="AF304" s="798">
        <f t="shared" si="236"/>
        <v>0</v>
      </c>
      <c r="AG304" s="798">
        <f t="shared" si="236"/>
        <v>0</v>
      </c>
      <c r="AH304" s="798">
        <f t="shared" si="236"/>
        <v>0</v>
      </c>
      <c r="AI304" s="798">
        <f t="shared" si="236"/>
        <v>0</v>
      </c>
      <c r="AJ304" s="798">
        <f t="shared" si="236"/>
        <v>0</v>
      </c>
      <c r="AK304" s="798">
        <f t="shared" ref="AK304:CV304" si="237">SUM(AK302:AK303)</f>
        <v>0</v>
      </c>
      <c r="AL304" s="798">
        <f t="shared" si="237"/>
        <v>0</v>
      </c>
      <c r="AM304" s="798">
        <f t="shared" si="237"/>
        <v>0</v>
      </c>
      <c r="AN304" s="798">
        <f t="shared" si="237"/>
        <v>0</v>
      </c>
      <c r="AO304" s="798">
        <f t="shared" si="237"/>
        <v>0</v>
      </c>
      <c r="AP304" s="798">
        <f t="shared" si="237"/>
        <v>0</v>
      </c>
      <c r="AQ304" s="798">
        <f t="shared" si="237"/>
        <v>0</v>
      </c>
      <c r="AR304" s="798">
        <f t="shared" si="237"/>
        <v>0</v>
      </c>
      <c r="AS304" s="798">
        <f t="shared" si="237"/>
        <v>0</v>
      </c>
      <c r="AT304" s="798">
        <f t="shared" si="237"/>
        <v>0</v>
      </c>
      <c r="AU304" s="798">
        <f t="shared" si="237"/>
        <v>0</v>
      </c>
      <c r="AV304" s="798">
        <f t="shared" si="237"/>
        <v>0</v>
      </c>
      <c r="AW304" s="798">
        <f t="shared" si="237"/>
        <v>0</v>
      </c>
      <c r="AX304" s="798">
        <f t="shared" si="237"/>
        <v>0</v>
      </c>
      <c r="AY304" s="798">
        <f t="shared" si="237"/>
        <v>0</v>
      </c>
      <c r="AZ304" s="798">
        <f t="shared" si="237"/>
        <v>0</v>
      </c>
      <c r="BA304" s="798">
        <f t="shared" si="237"/>
        <v>0</v>
      </c>
      <c r="BB304" s="798">
        <f t="shared" si="237"/>
        <v>0</v>
      </c>
      <c r="BC304" s="798">
        <f t="shared" si="237"/>
        <v>0</v>
      </c>
      <c r="BD304" s="798">
        <f t="shared" si="237"/>
        <v>0</v>
      </c>
      <c r="BE304" s="798">
        <f t="shared" si="237"/>
        <v>0</v>
      </c>
      <c r="BF304" s="798">
        <f t="shared" si="237"/>
        <v>0</v>
      </c>
      <c r="BG304" s="798">
        <f t="shared" si="237"/>
        <v>0</v>
      </c>
      <c r="BH304" s="798">
        <f t="shared" si="237"/>
        <v>0</v>
      </c>
      <c r="BI304" s="798">
        <f t="shared" si="237"/>
        <v>0</v>
      </c>
      <c r="BJ304" s="798">
        <f t="shared" si="237"/>
        <v>0</v>
      </c>
      <c r="BK304" s="798">
        <f t="shared" si="237"/>
        <v>0</v>
      </c>
      <c r="BL304" s="798">
        <f t="shared" si="237"/>
        <v>0</v>
      </c>
      <c r="BM304" s="798">
        <f t="shared" si="237"/>
        <v>0</v>
      </c>
      <c r="BN304" s="798">
        <f t="shared" si="237"/>
        <v>0</v>
      </c>
      <c r="BO304" s="798">
        <f t="shared" si="237"/>
        <v>0</v>
      </c>
      <c r="BP304" s="798">
        <f t="shared" si="237"/>
        <v>0</v>
      </c>
      <c r="BQ304" s="798">
        <f t="shared" si="237"/>
        <v>0</v>
      </c>
      <c r="BR304" s="798">
        <f t="shared" si="237"/>
        <v>0</v>
      </c>
      <c r="BS304" s="798">
        <f t="shared" si="237"/>
        <v>0</v>
      </c>
      <c r="BT304" s="798">
        <f t="shared" si="237"/>
        <v>0</v>
      </c>
      <c r="BU304" s="798">
        <f t="shared" si="237"/>
        <v>0</v>
      </c>
      <c r="BV304" s="798">
        <f t="shared" si="237"/>
        <v>0</v>
      </c>
      <c r="BW304" s="798">
        <f t="shared" si="237"/>
        <v>0</v>
      </c>
      <c r="BX304" s="798">
        <f t="shared" si="237"/>
        <v>0</v>
      </c>
      <c r="BY304" s="798">
        <f t="shared" si="237"/>
        <v>0</v>
      </c>
      <c r="BZ304" s="798">
        <f t="shared" si="237"/>
        <v>0</v>
      </c>
      <c r="CA304" s="798">
        <f t="shared" si="237"/>
        <v>0</v>
      </c>
      <c r="CB304" s="798">
        <f t="shared" si="237"/>
        <v>0</v>
      </c>
      <c r="CC304" s="798">
        <f t="shared" si="237"/>
        <v>0</v>
      </c>
      <c r="CD304" s="798">
        <f t="shared" si="237"/>
        <v>0</v>
      </c>
      <c r="CE304" s="798">
        <f t="shared" si="237"/>
        <v>0</v>
      </c>
      <c r="CF304" s="798">
        <f t="shared" si="237"/>
        <v>0</v>
      </c>
      <c r="CG304" s="798">
        <f t="shared" si="237"/>
        <v>0</v>
      </c>
      <c r="CH304" s="798">
        <f t="shared" si="237"/>
        <v>0</v>
      </c>
      <c r="CI304" s="798">
        <f t="shared" si="237"/>
        <v>0</v>
      </c>
      <c r="CJ304" s="798">
        <f t="shared" si="237"/>
        <v>0</v>
      </c>
      <c r="CK304" s="798">
        <f t="shared" si="237"/>
        <v>0</v>
      </c>
      <c r="CL304" s="798">
        <f t="shared" si="237"/>
        <v>0</v>
      </c>
      <c r="CM304" s="798">
        <f t="shared" si="237"/>
        <v>0</v>
      </c>
      <c r="CN304" s="798">
        <f t="shared" si="237"/>
        <v>0</v>
      </c>
      <c r="CO304" s="798">
        <f t="shared" si="237"/>
        <v>0</v>
      </c>
      <c r="CP304" s="798">
        <f t="shared" si="237"/>
        <v>0</v>
      </c>
      <c r="CQ304" s="798">
        <f t="shared" si="237"/>
        <v>0</v>
      </c>
      <c r="CR304" s="798">
        <f t="shared" si="237"/>
        <v>0</v>
      </c>
      <c r="CS304" s="798">
        <f t="shared" si="237"/>
        <v>0</v>
      </c>
      <c r="CT304" s="798">
        <f t="shared" si="237"/>
        <v>0</v>
      </c>
      <c r="CU304" s="798">
        <f t="shared" si="237"/>
        <v>0</v>
      </c>
      <c r="CV304" s="798">
        <f t="shared" si="237"/>
        <v>0</v>
      </c>
      <c r="CW304" s="798">
        <f t="shared" ref="CW304:DU304" si="238">SUM(CW302:CW303)</f>
        <v>6567217.6265614787</v>
      </c>
      <c r="CX304" s="798">
        <f t="shared" si="238"/>
        <v>0</v>
      </c>
      <c r="CY304" s="798">
        <f t="shared" si="238"/>
        <v>0</v>
      </c>
      <c r="CZ304" s="798">
        <f t="shared" si="238"/>
        <v>0</v>
      </c>
      <c r="DA304" s="798">
        <f t="shared" si="238"/>
        <v>0</v>
      </c>
      <c r="DB304" s="798">
        <f t="shared" si="238"/>
        <v>0</v>
      </c>
      <c r="DC304" s="798">
        <f t="shared" si="238"/>
        <v>0</v>
      </c>
      <c r="DD304" s="798">
        <f t="shared" si="238"/>
        <v>0</v>
      </c>
      <c r="DE304" s="798">
        <f t="shared" si="238"/>
        <v>0</v>
      </c>
      <c r="DF304" s="798">
        <f t="shared" si="238"/>
        <v>0</v>
      </c>
      <c r="DG304" s="798">
        <f t="shared" si="238"/>
        <v>0</v>
      </c>
      <c r="DH304" s="798">
        <f t="shared" si="238"/>
        <v>0</v>
      </c>
      <c r="DI304" s="798">
        <f t="shared" si="238"/>
        <v>0</v>
      </c>
      <c r="DJ304" s="798">
        <f t="shared" si="238"/>
        <v>0</v>
      </c>
      <c r="DK304" s="798">
        <f t="shared" si="238"/>
        <v>0</v>
      </c>
      <c r="DL304" s="798">
        <f t="shared" si="238"/>
        <v>0</v>
      </c>
      <c r="DM304" s="798">
        <f t="shared" si="238"/>
        <v>0</v>
      </c>
      <c r="DN304" s="798">
        <f t="shared" si="238"/>
        <v>0</v>
      </c>
      <c r="DO304" s="798">
        <f t="shared" si="238"/>
        <v>0</v>
      </c>
      <c r="DP304" s="798">
        <f t="shared" si="238"/>
        <v>0</v>
      </c>
      <c r="DQ304" s="798">
        <f t="shared" si="238"/>
        <v>0</v>
      </c>
      <c r="DR304" s="798">
        <f t="shared" si="238"/>
        <v>0</v>
      </c>
      <c r="DS304" s="798">
        <f t="shared" si="238"/>
        <v>0</v>
      </c>
      <c r="DT304" s="798">
        <f t="shared" si="238"/>
        <v>0</v>
      </c>
      <c r="DU304" s="798">
        <f t="shared" si="238"/>
        <v>0</v>
      </c>
      <c r="DV304" s="798"/>
      <c r="DW304" s="798"/>
      <c r="DX304" s="798"/>
      <c r="DY304" s="798"/>
      <c r="DZ304" s="798"/>
      <c r="EA304" s="798"/>
      <c r="EB304" s="798"/>
      <c r="EC304" s="798"/>
      <c r="ED304" s="798"/>
      <c r="EE304" s="798"/>
      <c r="EF304" s="798"/>
      <c r="EG304" s="798"/>
      <c r="EH304" s="782"/>
    </row>
    <row r="305" spans="1:138" ht="12.75" customHeight="1" x14ac:dyDescent="0.3">
      <c r="A305" s="782"/>
      <c r="B305" s="782" t="s">
        <v>174</v>
      </c>
      <c r="C305" s="798"/>
      <c r="D305" s="782"/>
      <c r="E305" s="798">
        <f t="shared" ref="E305:BP305" si="239">E283-E304</f>
        <v>0</v>
      </c>
      <c r="F305" s="798">
        <f t="shared" si="239"/>
        <v>0</v>
      </c>
      <c r="G305" s="798">
        <f t="shared" si="239"/>
        <v>0</v>
      </c>
      <c r="H305" s="798">
        <f t="shared" si="239"/>
        <v>0</v>
      </c>
      <c r="I305" s="798">
        <f t="shared" si="239"/>
        <v>0</v>
      </c>
      <c r="J305" s="798">
        <f t="shared" si="239"/>
        <v>0</v>
      </c>
      <c r="K305" s="798">
        <f t="shared" si="239"/>
        <v>0</v>
      </c>
      <c r="L305" s="798">
        <f t="shared" si="239"/>
        <v>0</v>
      </c>
      <c r="M305" s="798">
        <f t="shared" si="239"/>
        <v>0</v>
      </c>
      <c r="N305" s="798">
        <f t="shared" si="239"/>
        <v>0</v>
      </c>
      <c r="O305" s="798">
        <f t="shared" si="239"/>
        <v>0</v>
      </c>
      <c r="P305" s="798">
        <f t="shared" si="239"/>
        <v>0</v>
      </c>
      <c r="Q305" s="798">
        <f t="shared" si="239"/>
        <v>0</v>
      </c>
      <c r="R305" s="798">
        <f t="shared" si="239"/>
        <v>0</v>
      </c>
      <c r="S305" s="798">
        <f t="shared" si="239"/>
        <v>0</v>
      </c>
      <c r="T305" s="798">
        <f t="shared" si="239"/>
        <v>0</v>
      </c>
      <c r="U305" s="798">
        <f t="shared" si="239"/>
        <v>0</v>
      </c>
      <c r="V305" s="798">
        <f t="shared" si="239"/>
        <v>0</v>
      </c>
      <c r="W305" s="798">
        <f t="shared" si="239"/>
        <v>0</v>
      </c>
      <c r="X305" s="798">
        <f t="shared" si="239"/>
        <v>0</v>
      </c>
      <c r="Y305" s="798">
        <f t="shared" si="239"/>
        <v>0</v>
      </c>
      <c r="Z305" s="798">
        <f t="shared" si="239"/>
        <v>0</v>
      </c>
      <c r="AA305" s="798">
        <f t="shared" si="239"/>
        <v>0</v>
      </c>
      <c r="AB305" s="798">
        <f t="shared" si="239"/>
        <v>0</v>
      </c>
      <c r="AC305" s="798">
        <f t="shared" si="239"/>
        <v>0</v>
      </c>
      <c r="AD305" s="798">
        <f t="shared" si="239"/>
        <v>0</v>
      </c>
      <c r="AE305" s="798">
        <f t="shared" si="239"/>
        <v>0</v>
      </c>
      <c r="AF305" s="798">
        <f t="shared" si="239"/>
        <v>0</v>
      </c>
      <c r="AG305" s="798">
        <f t="shared" si="239"/>
        <v>0</v>
      </c>
      <c r="AH305" s="798">
        <f t="shared" si="239"/>
        <v>0</v>
      </c>
      <c r="AI305" s="798">
        <f t="shared" si="239"/>
        <v>0</v>
      </c>
      <c r="AJ305" s="798">
        <f t="shared" si="239"/>
        <v>0</v>
      </c>
      <c r="AK305" s="798">
        <f t="shared" si="239"/>
        <v>0</v>
      </c>
      <c r="AL305" s="798">
        <f t="shared" si="239"/>
        <v>0</v>
      </c>
      <c r="AM305" s="798">
        <f t="shared" si="239"/>
        <v>0</v>
      </c>
      <c r="AN305" s="798">
        <f t="shared" si="239"/>
        <v>0</v>
      </c>
      <c r="AO305" s="798">
        <f t="shared" si="239"/>
        <v>0</v>
      </c>
      <c r="AP305" s="798">
        <f t="shared" si="239"/>
        <v>0</v>
      </c>
      <c r="AQ305" s="798">
        <f t="shared" si="239"/>
        <v>0</v>
      </c>
      <c r="AR305" s="798">
        <f t="shared" si="239"/>
        <v>0</v>
      </c>
      <c r="AS305" s="798">
        <f t="shared" si="239"/>
        <v>0</v>
      </c>
      <c r="AT305" s="798">
        <f t="shared" si="239"/>
        <v>0</v>
      </c>
      <c r="AU305" s="798">
        <f t="shared" si="239"/>
        <v>0</v>
      </c>
      <c r="AV305" s="798">
        <f t="shared" si="239"/>
        <v>0</v>
      </c>
      <c r="AW305" s="798">
        <f t="shared" si="239"/>
        <v>0</v>
      </c>
      <c r="AX305" s="798">
        <f t="shared" si="239"/>
        <v>0</v>
      </c>
      <c r="AY305" s="798">
        <f t="shared" si="239"/>
        <v>0</v>
      </c>
      <c r="AZ305" s="798">
        <f t="shared" si="239"/>
        <v>0</v>
      </c>
      <c r="BA305" s="798">
        <f t="shared" si="239"/>
        <v>0</v>
      </c>
      <c r="BB305" s="798">
        <f t="shared" si="239"/>
        <v>0</v>
      </c>
      <c r="BC305" s="798">
        <f t="shared" si="239"/>
        <v>0</v>
      </c>
      <c r="BD305" s="798">
        <f t="shared" si="239"/>
        <v>0</v>
      </c>
      <c r="BE305" s="798">
        <f t="shared" si="239"/>
        <v>0</v>
      </c>
      <c r="BF305" s="798">
        <f t="shared" si="239"/>
        <v>0</v>
      </c>
      <c r="BG305" s="798">
        <f t="shared" si="239"/>
        <v>0</v>
      </c>
      <c r="BH305" s="798">
        <f t="shared" si="239"/>
        <v>0</v>
      </c>
      <c r="BI305" s="798">
        <f t="shared" si="239"/>
        <v>0</v>
      </c>
      <c r="BJ305" s="798">
        <f t="shared" si="239"/>
        <v>0</v>
      </c>
      <c r="BK305" s="798">
        <f t="shared" si="239"/>
        <v>0</v>
      </c>
      <c r="BL305" s="798">
        <f t="shared" si="239"/>
        <v>0</v>
      </c>
      <c r="BM305" s="798">
        <f t="shared" si="239"/>
        <v>0</v>
      </c>
      <c r="BN305" s="798">
        <f t="shared" si="239"/>
        <v>0</v>
      </c>
      <c r="BO305" s="798">
        <f t="shared" si="239"/>
        <v>0</v>
      </c>
      <c r="BP305" s="798">
        <f t="shared" si="239"/>
        <v>0</v>
      </c>
      <c r="BQ305" s="798">
        <f t="shared" ref="BQ305:DU305" si="240">BQ283-BQ304</f>
        <v>0</v>
      </c>
      <c r="BR305" s="798">
        <f t="shared" si="240"/>
        <v>0</v>
      </c>
      <c r="BS305" s="798">
        <f t="shared" si="240"/>
        <v>0</v>
      </c>
      <c r="BT305" s="798">
        <f t="shared" si="240"/>
        <v>0</v>
      </c>
      <c r="BU305" s="798">
        <f t="shared" si="240"/>
        <v>0</v>
      </c>
      <c r="BV305" s="798">
        <f t="shared" si="240"/>
        <v>0</v>
      </c>
      <c r="BW305" s="798">
        <f t="shared" si="240"/>
        <v>0</v>
      </c>
      <c r="BX305" s="798">
        <f t="shared" si="240"/>
        <v>0</v>
      </c>
      <c r="BY305" s="798">
        <f t="shared" si="240"/>
        <v>0</v>
      </c>
      <c r="BZ305" s="798">
        <f t="shared" si="240"/>
        <v>0</v>
      </c>
      <c r="CA305" s="798">
        <f t="shared" si="240"/>
        <v>0</v>
      </c>
      <c r="CB305" s="798">
        <f t="shared" si="240"/>
        <v>0</v>
      </c>
      <c r="CC305" s="798">
        <f t="shared" si="240"/>
        <v>0</v>
      </c>
      <c r="CD305" s="798">
        <f t="shared" si="240"/>
        <v>0</v>
      </c>
      <c r="CE305" s="798">
        <f t="shared" si="240"/>
        <v>0</v>
      </c>
      <c r="CF305" s="798">
        <f t="shared" si="240"/>
        <v>0</v>
      </c>
      <c r="CG305" s="798">
        <f t="shared" si="240"/>
        <v>0</v>
      </c>
      <c r="CH305" s="798">
        <f t="shared" si="240"/>
        <v>0</v>
      </c>
      <c r="CI305" s="798">
        <f t="shared" si="240"/>
        <v>0</v>
      </c>
      <c r="CJ305" s="798">
        <f t="shared" si="240"/>
        <v>0</v>
      </c>
      <c r="CK305" s="798">
        <f t="shared" si="240"/>
        <v>0</v>
      </c>
      <c r="CL305" s="798">
        <f t="shared" si="240"/>
        <v>0</v>
      </c>
      <c r="CM305" s="798">
        <f t="shared" si="240"/>
        <v>0</v>
      </c>
      <c r="CN305" s="798">
        <f t="shared" si="240"/>
        <v>0</v>
      </c>
      <c r="CO305" s="798">
        <f t="shared" si="240"/>
        <v>0</v>
      </c>
      <c r="CP305" s="798">
        <f t="shared" si="240"/>
        <v>0</v>
      </c>
      <c r="CQ305" s="798">
        <f t="shared" si="240"/>
        <v>0</v>
      </c>
      <c r="CR305" s="798">
        <f t="shared" si="240"/>
        <v>0</v>
      </c>
      <c r="CS305" s="798">
        <f t="shared" si="240"/>
        <v>0</v>
      </c>
      <c r="CT305" s="798">
        <f t="shared" si="240"/>
        <v>0</v>
      </c>
      <c r="CU305" s="798">
        <f t="shared" si="240"/>
        <v>0</v>
      </c>
      <c r="CV305" s="798">
        <f t="shared" si="240"/>
        <v>0</v>
      </c>
      <c r="CW305" s="798">
        <f t="shared" si="240"/>
        <v>13574469.836984336</v>
      </c>
      <c r="CX305" s="798">
        <f t="shared" si="240"/>
        <v>0</v>
      </c>
      <c r="CY305" s="798">
        <f t="shared" si="240"/>
        <v>0</v>
      </c>
      <c r="CZ305" s="798">
        <f t="shared" si="240"/>
        <v>0</v>
      </c>
      <c r="DA305" s="798">
        <f t="shared" si="240"/>
        <v>0</v>
      </c>
      <c r="DB305" s="798">
        <f t="shared" si="240"/>
        <v>0</v>
      </c>
      <c r="DC305" s="798">
        <f t="shared" si="240"/>
        <v>0</v>
      </c>
      <c r="DD305" s="798">
        <f t="shared" si="240"/>
        <v>0</v>
      </c>
      <c r="DE305" s="798">
        <f t="shared" si="240"/>
        <v>0</v>
      </c>
      <c r="DF305" s="798">
        <f t="shared" si="240"/>
        <v>0</v>
      </c>
      <c r="DG305" s="798">
        <f t="shared" si="240"/>
        <v>0</v>
      </c>
      <c r="DH305" s="798">
        <f t="shared" si="240"/>
        <v>0</v>
      </c>
      <c r="DI305" s="798">
        <f t="shared" si="240"/>
        <v>0</v>
      </c>
      <c r="DJ305" s="798">
        <f t="shared" si="240"/>
        <v>0</v>
      </c>
      <c r="DK305" s="798">
        <f t="shared" si="240"/>
        <v>0</v>
      </c>
      <c r="DL305" s="798">
        <f t="shared" si="240"/>
        <v>0</v>
      </c>
      <c r="DM305" s="798">
        <f t="shared" si="240"/>
        <v>0</v>
      </c>
      <c r="DN305" s="798">
        <f t="shared" si="240"/>
        <v>0</v>
      </c>
      <c r="DO305" s="798">
        <f t="shared" si="240"/>
        <v>0</v>
      </c>
      <c r="DP305" s="798">
        <f t="shared" si="240"/>
        <v>0</v>
      </c>
      <c r="DQ305" s="798">
        <f t="shared" si="240"/>
        <v>0</v>
      </c>
      <c r="DR305" s="798">
        <f t="shared" si="240"/>
        <v>0</v>
      </c>
      <c r="DS305" s="798">
        <f t="shared" si="240"/>
        <v>0</v>
      </c>
      <c r="DT305" s="798">
        <f t="shared" si="240"/>
        <v>0</v>
      </c>
      <c r="DU305" s="798">
        <f t="shared" si="240"/>
        <v>0</v>
      </c>
      <c r="DV305" s="798"/>
      <c r="DW305" s="798"/>
      <c r="DX305" s="798"/>
      <c r="DY305" s="798"/>
      <c r="DZ305" s="798"/>
      <c r="EA305" s="798"/>
      <c r="EB305" s="798"/>
      <c r="EC305" s="798"/>
      <c r="ED305" s="798"/>
      <c r="EE305" s="798"/>
      <c r="EF305" s="798"/>
      <c r="EG305" s="798"/>
      <c r="EH305" s="782"/>
    </row>
    <row r="306" spans="1:138" ht="12.75" customHeight="1" x14ac:dyDescent="0.3">
      <c r="A306" s="782"/>
      <c r="B306" s="782"/>
      <c r="C306" s="798"/>
      <c r="D306" s="782"/>
      <c r="E306" s="798"/>
      <c r="F306" s="798"/>
      <c r="G306" s="798"/>
      <c r="H306" s="798"/>
      <c r="I306" s="798"/>
      <c r="J306" s="798"/>
      <c r="K306" s="798"/>
      <c r="L306" s="798"/>
      <c r="M306" s="798"/>
      <c r="N306" s="798"/>
      <c r="O306" s="798"/>
      <c r="P306" s="798"/>
      <c r="Q306" s="798"/>
      <c r="R306" s="798"/>
      <c r="S306" s="798"/>
      <c r="T306" s="798"/>
      <c r="U306" s="798"/>
      <c r="V306" s="798"/>
      <c r="W306" s="798"/>
      <c r="X306" s="798"/>
      <c r="Y306" s="798"/>
      <c r="Z306" s="798"/>
      <c r="AA306" s="798"/>
      <c r="AB306" s="798"/>
      <c r="AC306" s="798"/>
      <c r="AD306" s="798"/>
      <c r="AE306" s="798"/>
      <c r="AF306" s="798"/>
      <c r="AG306" s="798"/>
      <c r="AH306" s="798"/>
      <c r="AI306" s="798"/>
      <c r="AJ306" s="798"/>
      <c r="AK306" s="798"/>
      <c r="AL306" s="798"/>
      <c r="AM306" s="798"/>
      <c r="AN306" s="798"/>
      <c r="AO306" s="798"/>
      <c r="AP306" s="798"/>
      <c r="AQ306" s="798"/>
      <c r="AR306" s="798"/>
      <c r="AS306" s="798"/>
      <c r="AT306" s="798"/>
      <c r="AU306" s="798"/>
      <c r="AV306" s="798"/>
      <c r="AW306" s="798"/>
      <c r="AX306" s="798"/>
      <c r="AY306" s="798"/>
      <c r="AZ306" s="798"/>
      <c r="BA306" s="798"/>
      <c r="BB306" s="798"/>
      <c r="BC306" s="798"/>
      <c r="BD306" s="798"/>
      <c r="BE306" s="798"/>
      <c r="BF306" s="798"/>
      <c r="BG306" s="798"/>
      <c r="BH306" s="798"/>
      <c r="BI306" s="798"/>
      <c r="BJ306" s="798"/>
      <c r="BK306" s="798"/>
      <c r="BL306" s="798"/>
      <c r="BM306" s="798"/>
      <c r="BN306" s="798"/>
      <c r="BO306" s="798"/>
      <c r="BP306" s="798"/>
      <c r="BQ306" s="798"/>
      <c r="BR306" s="798"/>
      <c r="BS306" s="798"/>
      <c r="BT306" s="798"/>
      <c r="BU306" s="798"/>
      <c r="BV306" s="798"/>
      <c r="BW306" s="798"/>
      <c r="BX306" s="798"/>
      <c r="BY306" s="798"/>
      <c r="BZ306" s="798"/>
      <c r="CA306" s="798"/>
      <c r="CB306" s="798"/>
      <c r="CC306" s="798"/>
      <c r="CD306" s="798"/>
      <c r="CE306" s="798"/>
      <c r="CF306" s="798"/>
      <c r="CG306" s="798"/>
      <c r="CH306" s="798"/>
      <c r="CI306" s="798"/>
      <c r="CJ306" s="798"/>
      <c r="CK306" s="798"/>
      <c r="CL306" s="798"/>
      <c r="CM306" s="798"/>
      <c r="CN306" s="798"/>
      <c r="CO306" s="798"/>
      <c r="CP306" s="798"/>
      <c r="CQ306" s="798"/>
      <c r="CR306" s="798"/>
      <c r="CS306" s="798"/>
      <c r="CT306" s="798"/>
      <c r="CU306" s="798"/>
      <c r="CV306" s="798"/>
      <c r="CW306" s="798"/>
      <c r="CX306" s="798"/>
      <c r="CY306" s="798"/>
      <c r="CZ306" s="798"/>
      <c r="DA306" s="798"/>
      <c r="DB306" s="798"/>
      <c r="DC306" s="798"/>
      <c r="DD306" s="798"/>
      <c r="DE306" s="798"/>
      <c r="DF306" s="798"/>
      <c r="DG306" s="798"/>
      <c r="DH306" s="798"/>
      <c r="DI306" s="798"/>
      <c r="DJ306" s="798"/>
      <c r="DK306" s="798"/>
      <c r="DL306" s="798"/>
      <c r="DM306" s="798"/>
      <c r="DN306" s="798"/>
      <c r="DO306" s="798"/>
      <c r="DP306" s="798"/>
      <c r="DQ306" s="798"/>
      <c r="DR306" s="798"/>
      <c r="DS306" s="798"/>
      <c r="DT306" s="798"/>
      <c r="DU306" s="798"/>
      <c r="DV306" s="798"/>
      <c r="DW306" s="798"/>
      <c r="DX306" s="798"/>
      <c r="DY306" s="798"/>
      <c r="DZ306" s="798"/>
      <c r="EA306" s="798"/>
      <c r="EB306" s="798"/>
      <c r="EC306" s="798"/>
      <c r="ED306" s="798"/>
      <c r="EE306" s="798"/>
      <c r="EF306" s="798"/>
      <c r="EG306" s="798"/>
      <c r="EH306" s="782"/>
    </row>
    <row r="307" spans="1:138" ht="12.75" customHeight="1" x14ac:dyDescent="0.3">
      <c r="A307" s="782"/>
      <c r="B307" s="796" t="s">
        <v>175</v>
      </c>
      <c r="C307" s="798"/>
      <c r="D307" s="782"/>
      <c r="E307" s="798"/>
      <c r="F307" s="798"/>
      <c r="G307" s="798"/>
      <c r="H307" s="798"/>
      <c r="I307" s="798"/>
      <c r="J307" s="798"/>
      <c r="K307" s="798"/>
      <c r="L307" s="798"/>
      <c r="M307" s="798"/>
      <c r="N307" s="798"/>
      <c r="O307" s="798"/>
      <c r="P307" s="798"/>
      <c r="Q307" s="798"/>
      <c r="R307" s="798"/>
      <c r="S307" s="798"/>
      <c r="T307" s="798"/>
      <c r="U307" s="798"/>
      <c r="V307" s="798"/>
      <c r="W307" s="798"/>
      <c r="X307" s="798"/>
      <c r="Y307" s="798"/>
      <c r="Z307" s="798"/>
      <c r="AA307" s="798"/>
      <c r="AB307" s="798"/>
      <c r="AC307" s="798"/>
      <c r="AD307" s="798"/>
      <c r="AE307" s="798"/>
      <c r="AF307" s="798"/>
      <c r="AG307" s="798"/>
      <c r="AH307" s="798"/>
      <c r="AI307" s="798"/>
      <c r="AJ307" s="798"/>
      <c r="AK307" s="798"/>
      <c r="AL307" s="798"/>
      <c r="AM307" s="798"/>
      <c r="AN307" s="798"/>
      <c r="AO307" s="798"/>
      <c r="AP307" s="798"/>
      <c r="AQ307" s="798"/>
      <c r="AR307" s="798"/>
      <c r="AS307" s="798"/>
      <c r="AT307" s="798"/>
      <c r="AU307" s="798"/>
      <c r="AV307" s="798"/>
      <c r="AW307" s="798"/>
      <c r="AX307" s="798"/>
      <c r="AY307" s="798"/>
      <c r="AZ307" s="798"/>
      <c r="BA307" s="798"/>
      <c r="BB307" s="798"/>
      <c r="BC307" s="798"/>
      <c r="BD307" s="798"/>
      <c r="BE307" s="798"/>
      <c r="BF307" s="798"/>
      <c r="BG307" s="798"/>
      <c r="BH307" s="798"/>
      <c r="BI307" s="798"/>
      <c r="BJ307" s="798"/>
      <c r="BK307" s="798"/>
      <c r="BL307" s="798"/>
      <c r="BM307" s="798"/>
      <c r="BN307" s="798"/>
      <c r="BO307" s="798"/>
      <c r="BP307" s="798"/>
      <c r="BQ307" s="798"/>
      <c r="BR307" s="798"/>
      <c r="BS307" s="798"/>
      <c r="BT307" s="798"/>
      <c r="BU307" s="798"/>
      <c r="BV307" s="798"/>
      <c r="BW307" s="798"/>
      <c r="BX307" s="798"/>
      <c r="BY307" s="798"/>
      <c r="BZ307" s="798"/>
      <c r="CA307" s="798"/>
      <c r="CB307" s="798"/>
      <c r="CC307" s="798"/>
      <c r="CD307" s="798"/>
      <c r="CE307" s="798"/>
      <c r="CF307" s="798"/>
      <c r="CG307" s="798"/>
      <c r="CH307" s="798"/>
      <c r="CI307" s="798"/>
      <c r="CJ307" s="798"/>
      <c r="CK307" s="798"/>
      <c r="CL307" s="798"/>
      <c r="CM307" s="798"/>
      <c r="CN307" s="798"/>
      <c r="CO307" s="798"/>
      <c r="CP307" s="798"/>
      <c r="CQ307" s="798"/>
      <c r="CR307" s="798"/>
      <c r="CS307" s="798"/>
      <c r="CT307" s="798"/>
      <c r="CU307" s="798"/>
      <c r="CV307" s="798"/>
      <c r="CW307" s="798"/>
      <c r="CX307" s="798"/>
      <c r="CY307" s="798"/>
      <c r="CZ307" s="798"/>
      <c r="DA307" s="798"/>
      <c r="DB307" s="798"/>
      <c r="DC307" s="798"/>
      <c r="DD307" s="798"/>
      <c r="DE307" s="798"/>
      <c r="DF307" s="798"/>
      <c r="DG307" s="798"/>
      <c r="DH307" s="798"/>
      <c r="DI307" s="798"/>
      <c r="DJ307" s="798"/>
      <c r="DK307" s="798"/>
      <c r="DL307" s="798"/>
      <c r="DM307" s="798"/>
      <c r="DN307" s="798"/>
      <c r="DO307" s="798"/>
      <c r="DP307" s="798"/>
      <c r="DQ307" s="798"/>
      <c r="DR307" s="798"/>
      <c r="DS307" s="798"/>
      <c r="DT307" s="798"/>
      <c r="DU307" s="798"/>
      <c r="DV307" s="798"/>
      <c r="DW307" s="798"/>
      <c r="DX307" s="798"/>
      <c r="DY307" s="798"/>
      <c r="DZ307" s="798"/>
      <c r="EA307" s="798"/>
      <c r="EB307" s="798"/>
      <c r="EC307" s="798"/>
      <c r="ED307" s="798"/>
      <c r="EE307" s="798"/>
      <c r="EF307" s="798"/>
      <c r="EG307" s="798"/>
      <c r="EH307" s="782"/>
    </row>
    <row r="308" spans="1:138" ht="12.75" customHeight="1" x14ac:dyDescent="0.3">
      <c r="A308" s="782"/>
      <c r="B308" s="782"/>
      <c r="C308" s="798"/>
      <c r="D308" s="782"/>
      <c r="E308" s="798"/>
      <c r="F308" s="798"/>
      <c r="G308" s="798"/>
      <c r="H308" s="798"/>
      <c r="I308" s="798"/>
      <c r="J308" s="798"/>
      <c r="K308" s="798"/>
      <c r="L308" s="798"/>
      <c r="M308" s="798"/>
      <c r="N308" s="798"/>
      <c r="O308" s="798"/>
      <c r="P308" s="798"/>
      <c r="Q308" s="798"/>
      <c r="R308" s="798"/>
      <c r="S308" s="798"/>
      <c r="T308" s="798"/>
      <c r="U308" s="798"/>
      <c r="V308" s="798"/>
      <c r="W308" s="798"/>
      <c r="X308" s="798"/>
      <c r="Y308" s="798"/>
      <c r="Z308" s="798"/>
      <c r="AA308" s="798"/>
      <c r="AB308" s="798"/>
      <c r="AC308" s="798"/>
      <c r="AD308" s="798"/>
      <c r="AE308" s="798"/>
      <c r="AF308" s="798"/>
      <c r="AG308" s="798"/>
      <c r="AH308" s="798"/>
      <c r="AI308" s="798"/>
      <c r="AJ308" s="798"/>
      <c r="AK308" s="798"/>
      <c r="AL308" s="798"/>
      <c r="AM308" s="798"/>
      <c r="AN308" s="798"/>
      <c r="AO308" s="798"/>
      <c r="AP308" s="798"/>
      <c r="AQ308" s="798"/>
      <c r="AR308" s="798"/>
      <c r="AS308" s="798"/>
      <c r="AT308" s="798"/>
      <c r="AU308" s="798"/>
      <c r="AV308" s="798"/>
      <c r="AW308" s="798"/>
      <c r="AX308" s="798"/>
      <c r="AY308" s="798"/>
      <c r="AZ308" s="798"/>
      <c r="BA308" s="798"/>
      <c r="BB308" s="798"/>
      <c r="BC308" s="798"/>
      <c r="BD308" s="798"/>
      <c r="BE308" s="798"/>
      <c r="BF308" s="798"/>
      <c r="BG308" s="798"/>
      <c r="BH308" s="798"/>
      <c r="BI308" s="798"/>
      <c r="BJ308" s="798"/>
      <c r="BK308" s="798"/>
      <c r="BL308" s="798"/>
      <c r="BM308" s="798"/>
      <c r="BN308" s="798"/>
      <c r="BO308" s="798"/>
      <c r="BP308" s="798"/>
      <c r="BQ308" s="798"/>
      <c r="BR308" s="798"/>
      <c r="BS308" s="798"/>
      <c r="BT308" s="798"/>
      <c r="BU308" s="798"/>
      <c r="BV308" s="798"/>
      <c r="BW308" s="798"/>
      <c r="BX308" s="798"/>
      <c r="BY308" s="798"/>
      <c r="BZ308" s="798"/>
      <c r="CA308" s="798"/>
      <c r="CB308" s="798"/>
      <c r="CC308" s="798"/>
      <c r="CD308" s="798"/>
      <c r="CE308" s="798"/>
      <c r="CF308" s="798"/>
      <c r="CG308" s="798"/>
      <c r="CH308" s="798"/>
      <c r="CI308" s="798"/>
      <c r="CJ308" s="798"/>
      <c r="CK308" s="798"/>
      <c r="CL308" s="798"/>
      <c r="CM308" s="798"/>
      <c r="CN308" s="798"/>
      <c r="CO308" s="798"/>
      <c r="CP308" s="798"/>
      <c r="CQ308" s="798"/>
      <c r="CR308" s="798"/>
      <c r="CS308" s="798"/>
      <c r="CT308" s="798"/>
      <c r="CU308" s="798"/>
      <c r="CV308" s="798"/>
      <c r="CW308" s="798"/>
      <c r="CX308" s="798"/>
      <c r="CY308" s="798"/>
      <c r="CZ308" s="798"/>
      <c r="DA308" s="798"/>
      <c r="DB308" s="798"/>
      <c r="DC308" s="798"/>
      <c r="DD308" s="798"/>
      <c r="DE308" s="798"/>
      <c r="DF308" s="798"/>
      <c r="DG308" s="798"/>
      <c r="DH308" s="798"/>
      <c r="DI308" s="798"/>
      <c r="DJ308" s="798"/>
      <c r="DK308" s="798"/>
      <c r="DL308" s="798"/>
      <c r="DM308" s="798"/>
      <c r="DN308" s="798"/>
      <c r="DO308" s="798"/>
      <c r="DP308" s="798"/>
      <c r="DQ308" s="798"/>
      <c r="DR308" s="798"/>
      <c r="DS308" s="798"/>
      <c r="DT308" s="798"/>
      <c r="DU308" s="798"/>
      <c r="DV308" s="798"/>
      <c r="DW308" s="798"/>
      <c r="DX308" s="798"/>
      <c r="DY308" s="798"/>
      <c r="DZ308" s="798"/>
      <c r="EA308" s="798"/>
      <c r="EB308" s="798"/>
      <c r="EC308" s="798"/>
      <c r="ED308" s="798"/>
      <c r="EE308" s="798"/>
      <c r="EF308" s="798"/>
      <c r="EG308" s="798"/>
      <c r="EH308" s="782"/>
    </row>
    <row r="309" spans="1:138" ht="12.75" customHeight="1" x14ac:dyDescent="0.3">
      <c r="A309" s="782"/>
      <c r="B309" s="781" t="s">
        <v>156</v>
      </c>
      <c r="C309" s="799"/>
      <c r="D309" s="781"/>
      <c r="E309" s="799">
        <v>0</v>
      </c>
      <c r="F309" s="799">
        <f t="shared" ref="F309:BQ309" si="241">E313</f>
        <v>0</v>
      </c>
      <c r="G309" s="799">
        <f t="shared" si="241"/>
        <v>0</v>
      </c>
      <c r="H309" s="799">
        <f t="shared" si="241"/>
        <v>0</v>
      </c>
      <c r="I309" s="799">
        <f t="shared" si="241"/>
        <v>0</v>
      </c>
      <c r="J309" s="799">
        <f t="shared" si="241"/>
        <v>0</v>
      </c>
      <c r="K309" s="799">
        <f t="shared" si="241"/>
        <v>0</v>
      </c>
      <c r="L309" s="799">
        <f t="shared" si="241"/>
        <v>0</v>
      </c>
      <c r="M309" s="799">
        <f t="shared" si="241"/>
        <v>0</v>
      </c>
      <c r="N309" s="799">
        <f t="shared" si="241"/>
        <v>0</v>
      </c>
      <c r="O309" s="799">
        <f t="shared" si="241"/>
        <v>0</v>
      </c>
      <c r="P309" s="799">
        <f t="shared" si="241"/>
        <v>0</v>
      </c>
      <c r="Q309" s="799">
        <f t="shared" si="241"/>
        <v>0</v>
      </c>
      <c r="R309" s="799">
        <f t="shared" si="241"/>
        <v>0</v>
      </c>
      <c r="S309" s="799">
        <f t="shared" si="241"/>
        <v>0</v>
      </c>
      <c r="T309" s="799">
        <f t="shared" si="241"/>
        <v>0</v>
      </c>
      <c r="U309" s="799">
        <f t="shared" si="241"/>
        <v>0</v>
      </c>
      <c r="V309" s="799">
        <f t="shared" si="241"/>
        <v>0</v>
      </c>
      <c r="W309" s="799">
        <f t="shared" si="241"/>
        <v>0</v>
      </c>
      <c r="X309" s="799">
        <f t="shared" si="241"/>
        <v>0</v>
      </c>
      <c r="Y309" s="799">
        <f t="shared" si="241"/>
        <v>0</v>
      </c>
      <c r="Z309" s="799">
        <f t="shared" si="241"/>
        <v>0</v>
      </c>
      <c r="AA309" s="799">
        <f t="shared" si="241"/>
        <v>0</v>
      </c>
      <c r="AB309" s="799">
        <f t="shared" si="241"/>
        <v>0</v>
      </c>
      <c r="AC309" s="799">
        <f t="shared" si="241"/>
        <v>0</v>
      </c>
      <c r="AD309" s="799">
        <f t="shared" si="241"/>
        <v>0</v>
      </c>
      <c r="AE309" s="799">
        <f t="shared" si="241"/>
        <v>0</v>
      </c>
      <c r="AF309" s="799">
        <f t="shared" si="241"/>
        <v>0</v>
      </c>
      <c r="AG309" s="799">
        <f t="shared" si="241"/>
        <v>0</v>
      </c>
      <c r="AH309" s="799">
        <f t="shared" si="241"/>
        <v>0</v>
      </c>
      <c r="AI309" s="799">
        <f t="shared" si="241"/>
        <v>0</v>
      </c>
      <c r="AJ309" s="799">
        <f t="shared" si="241"/>
        <v>0</v>
      </c>
      <c r="AK309" s="799">
        <f t="shared" si="241"/>
        <v>0</v>
      </c>
      <c r="AL309" s="799">
        <f t="shared" si="241"/>
        <v>-60916274.722085506</v>
      </c>
      <c r="AM309" s="799">
        <f t="shared" si="241"/>
        <v>-47095852.931763403</v>
      </c>
      <c r="AN309" s="799">
        <f t="shared" si="241"/>
        <v>-47260943.848269723</v>
      </c>
      <c r="AO309" s="799">
        <f t="shared" si="241"/>
        <v>-47437272.695908755</v>
      </c>
      <c r="AP309" s="799">
        <f t="shared" si="241"/>
        <v>-47612567.991190918</v>
      </c>
      <c r="AQ309" s="799">
        <f t="shared" si="241"/>
        <v>-47775130.287831672</v>
      </c>
      <c r="AR309" s="799">
        <f t="shared" si="241"/>
        <v>-47948243.675227933</v>
      </c>
      <c r="AS309" s="799">
        <f t="shared" si="241"/>
        <v>-48107318.603760406</v>
      </c>
      <c r="AT309" s="799">
        <f t="shared" si="241"/>
        <v>-48285138.849531278</v>
      </c>
      <c r="AU309" s="799">
        <f t="shared" si="241"/>
        <v>-48462815.431202464</v>
      </c>
      <c r="AV309" s="799">
        <f t="shared" si="241"/>
        <v>-48602183.704566143</v>
      </c>
      <c r="AW309" s="799">
        <f t="shared" si="241"/>
        <v>-48778691.542782471</v>
      </c>
      <c r="AX309" s="799">
        <f t="shared" si="241"/>
        <v>-48941634.507683769</v>
      </c>
      <c r="AY309" s="799">
        <f t="shared" si="241"/>
        <v>-49116706.328650184</v>
      </c>
      <c r="AZ309" s="799">
        <f t="shared" si="241"/>
        <v>-49278317.819435187</v>
      </c>
      <c r="BA309" s="799">
        <f t="shared" si="241"/>
        <v>-49452288.136855721</v>
      </c>
      <c r="BB309" s="799">
        <f t="shared" si="241"/>
        <v>-49625916.100554504</v>
      </c>
      <c r="BC309" s="799">
        <f t="shared" si="241"/>
        <v>-49786852.994242884</v>
      </c>
      <c r="BD309" s="799">
        <f t="shared" si="241"/>
        <v>-49959962.940976821</v>
      </c>
      <c r="BE309" s="799">
        <f t="shared" si="241"/>
        <v>-50119554.22345525</v>
      </c>
      <c r="BF309" s="799">
        <f t="shared" si="241"/>
        <v>-50297897.202947542</v>
      </c>
      <c r="BG309" s="799">
        <f t="shared" si="241"/>
        <v>-50476791.20618242</v>
      </c>
      <c r="BH309" s="799">
        <f t="shared" si="241"/>
        <v>-50629668.378490962</v>
      </c>
      <c r="BI309" s="799">
        <f t="shared" si="241"/>
        <v>-50808824.935831323</v>
      </c>
      <c r="BJ309" s="799">
        <f t="shared" si="241"/>
        <v>-50974507.355614029</v>
      </c>
      <c r="BK309" s="799">
        <f t="shared" si="241"/>
        <v>-51153266.349080719</v>
      </c>
      <c r="BL309" s="799">
        <f t="shared" si="241"/>
        <v>-51318297.542278081</v>
      </c>
      <c r="BM309" s="799">
        <f t="shared" si="241"/>
        <v>-51496405.129495762</v>
      </c>
      <c r="BN309" s="799">
        <f t="shared" si="241"/>
        <v>-51674140.679685578</v>
      </c>
      <c r="BO309" s="799">
        <f t="shared" si="241"/>
        <v>-51838528.435366169</v>
      </c>
      <c r="BP309" s="799">
        <f t="shared" si="241"/>
        <v>-52015228.564288542</v>
      </c>
      <c r="BQ309" s="799">
        <f t="shared" si="241"/>
        <v>-52177379.102594078</v>
      </c>
      <c r="BR309" s="799">
        <f t="shared" ref="BR309:DU309" si="242">BQ313</f>
        <v>-52358727.357341446</v>
      </c>
      <c r="BS309" s="799">
        <f t="shared" si="242"/>
        <v>-52540248.841037214</v>
      </c>
      <c r="BT309" s="799">
        <f t="shared" si="242"/>
        <v>-52680489.691003084</v>
      </c>
      <c r="BU309" s="799">
        <f t="shared" si="242"/>
        <v>-52861283.209098212</v>
      </c>
      <c r="BV309" s="799">
        <f t="shared" si="242"/>
        <v>-53027594.593938135</v>
      </c>
      <c r="BW309" s="799">
        <f t="shared" si="242"/>
        <v>-53207107.068861239</v>
      </c>
      <c r="BX309" s="799">
        <f t="shared" si="242"/>
        <v>-53371976.262623258</v>
      </c>
      <c r="BY309" s="799">
        <f t="shared" si="242"/>
        <v>-53550106.203832231</v>
      </c>
      <c r="BZ309" s="799">
        <f t="shared" si="242"/>
        <v>-53727564.251854688</v>
      </c>
      <c r="CA309" s="799">
        <f t="shared" si="242"/>
        <v>-53890972.919375449</v>
      </c>
      <c r="CB309" s="799">
        <f t="shared" si="242"/>
        <v>-54066937.916719206</v>
      </c>
      <c r="CC309" s="799">
        <f t="shared" si="242"/>
        <v>-54227577.231115252</v>
      </c>
      <c r="CD309" s="799">
        <f t="shared" si="242"/>
        <v>-54407987.485508069</v>
      </c>
      <c r="CE309" s="799">
        <f t="shared" si="242"/>
        <v>-54588432.410033286</v>
      </c>
      <c r="CF309" s="799">
        <f t="shared" si="242"/>
        <v>-54725847.114314161</v>
      </c>
      <c r="CG309" s="799">
        <f t="shared" si="242"/>
        <v>-54905267.65480195</v>
      </c>
      <c r="CH309" s="799">
        <f t="shared" si="242"/>
        <v>-55069499.03525316</v>
      </c>
      <c r="CI309" s="799">
        <f t="shared" si="242"/>
        <v>-55247301.038337499</v>
      </c>
      <c r="CJ309" s="799">
        <f t="shared" si="242"/>
        <v>-55409810.903827041</v>
      </c>
      <c r="CK309" s="799">
        <f t="shared" si="242"/>
        <v>-55585954.651066117</v>
      </c>
      <c r="CL309" s="799">
        <f t="shared" si="242"/>
        <v>-55761268.623741195</v>
      </c>
      <c r="CM309" s="799">
        <f t="shared" si="242"/>
        <v>-55921891.637566715</v>
      </c>
      <c r="CN309" s="799">
        <f t="shared" si="242"/>
        <v>-56095436.13871704</v>
      </c>
      <c r="CO309" s="799">
        <f t="shared" si="242"/>
        <v>-56252986.016436353</v>
      </c>
      <c r="CP309" s="799">
        <f t="shared" si="242"/>
        <v>-56430919.673459694</v>
      </c>
      <c r="CQ309" s="799">
        <f t="shared" si="242"/>
        <v>-56608801.697292656</v>
      </c>
      <c r="CR309" s="799">
        <f t="shared" si="242"/>
        <v>-56741972.332615249</v>
      </c>
      <c r="CS309" s="799">
        <f t="shared" si="242"/>
        <v>-56918637.16366899</v>
      </c>
      <c r="CT309" s="799">
        <f t="shared" si="242"/>
        <v>-57079458.382648461</v>
      </c>
      <c r="CU309" s="799">
        <f t="shared" si="242"/>
        <v>-57254236.078221165</v>
      </c>
      <c r="CV309" s="799">
        <f t="shared" si="242"/>
        <v>-57413059.199405372</v>
      </c>
      <c r="CW309" s="799">
        <f t="shared" si="242"/>
        <v>-57585914.987144187</v>
      </c>
      <c r="CX309" s="799">
        <f t="shared" si="242"/>
        <v>14559552.480968557</v>
      </c>
      <c r="CY309" s="799">
        <f t="shared" si="242"/>
        <v>14674055.749797545</v>
      </c>
      <c r="CZ309" s="799">
        <f t="shared" si="242"/>
        <v>14793321.910814188</v>
      </c>
      <c r="DA309" s="799">
        <f t="shared" si="242"/>
        <v>14909663.653999075</v>
      </c>
      <c r="DB309" s="799">
        <f t="shared" si="242"/>
        <v>15030844.7627792</v>
      </c>
      <c r="DC309" s="799">
        <f t="shared" si="242"/>
        <v>15153010.79392015</v>
      </c>
      <c r="DD309" s="799">
        <f t="shared" si="242"/>
        <v>15268193.893044239</v>
      </c>
      <c r="DE309" s="799">
        <f t="shared" si="242"/>
        <v>15392289.024092536</v>
      </c>
      <c r="DF309" s="799">
        <f t="shared" si="242"/>
        <v>15513341.330495702</v>
      </c>
      <c r="DG309" s="799">
        <f t="shared" si="242"/>
        <v>15639428.943666626</v>
      </c>
      <c r="DH309" s="799">
        <f t="shared" si="242"/>
        <v>15762424.876337586</v>
      </c>
      <c r="DI309" s="799">
        <f t="shared" si="242"/>
        <v>15890536.963095874</v>
      </c>
      <c r="DJ309" s="799">
        <f t="shared" si="242"/>
        <v>16019690.305048227</v>
      </c>
      <c r="DK309" s="799">
        <f t="shared" si="242"/>
        <v>16145676.794533655</v>
      </c>
      <c r="DL309" s="799">
        <f t="shared" si="242"/>
        <v>16276903.833678991</v>
      </c>
      <c r="DM309" s="799">
        <f t="shared" si="242"/>
        <v>16404913.17310117</v>
      </c>
      <c r="DN309" s="799">
        <f t="shared" si="242"/>
        <v>16538247.204900397</v>
      </c>
      <c r="DO309" s="799">
        <f t="shared" si="242"/>
        <v>16672664.934238784</v>
      </c>
      <c r="DP309" s="799">
        <f t="shared" si="242"/>
        <v>16795013.282348812</v>
      </c>
      <c r="DQ309" s="799">
        <f t="shared" si="242"/>
        <v>16931517.926501941</v>
      </c>
      <c r="DR309" s="799">
        <f t="shared" si="242"/>
        <v>17064675.463545423</v>
      </c>
      <c r="DS309" s="799">
        <f t="shared" si="242"/>
        <v>17203371.838033441</v>
      </c>
      <c r="DT309" s="799">
        <f t="shared" si="242"/>
        <v>17338667.363971498</v>
      </c>
      <c r="DU309" s="799">
        <f t="shared" si="242"/>
        <v>17479590.659405615</v>
      </c>
      <c r="DV309" s="798"/>
      <c r="DW309" s="798"/>
      <c r="DX309" s="798"/>
      <c r="DY309" s="798"/>
      <c r="DZ309" s="798"/>
      <c r="EA309" s="798"/>
      <c r="EB309" s="798"/>
      <c r="EC309" s="798"/>
      <c r="ED309" s="798"/>
      <c r="EE309" s="798"/>
      <c r="EF309" s="798"/>
      <c r="EG309" s="798"/>
      <c r="EH309" s="782"/>
    </row>
    <row r="310" spans="1:138" ht="12.75" customHeight="1" x14ac:dyDescent="0.3">
      <c r="A310" s="782"/>
      <c r="B310" s="782" t="s">
        <v>176</v>
      </c>
      <c r="C310" s="798"/>
      <c r="D310" s="782"/>
      <c r="E310" s="797">
        <f>+E309*((1+'Venture Summary - Mthly'!$C$239)^(E4-D4)-1)</f>
        <v>0</v>
      </c>
      <c r="F310" s="798">
        <f>+F309*((1+'Venture Summary - Mthly'!$C$239)^(F4-E4)-1)</f>
        <v>0</v>
      </c>
      <c r="G310" s="798">
        <f>+G309*((1+'Venture Summary - Mthly'!$C$239)^(G4-F4)-1)</f>
        <v>0</v>
      </c>
      <c r="H310" s="798">
        <f>+H309*((1+'Venture Summary - Mthly'!$C$239)^(H4-G4)-1)</f>
        <v>0</v>
      </c>
      <c r="I310" s="798">
        <f>+I309*((1+'Venture Summary - Mthly'!$C$239)^(I4-H4)-1)</f>
        <v>0</v>
      </c>
      <c r="J310" s="798">
        <f>+J309*((1+'Venture Summary - Mthly'!$C$239)^(J4-I4)-1)</f>
        <v>0</v>
      </c>
      <c r="K310" s="798">
        <f>+K309*((1+'Venture Summary - Mthly'!$C$239)^(K4-J4)-1)</f>
        <v>0</v>
      </c>
      <c r="L310" s="798">
        <f>+L309*((1+'Venture Summary - Mthly'!$C$239)^(L4-K4)-1)</f>
        <v>0</v>
      </c>
      <c r="M310" s="798">
        <f>+M309*((1+'Venture Summary - Mthly'!$C$239)^(M4-L4)-1)</f>
        <v>0</v>
      </c>
      <c r="N310" s="798">
        <f>+N309*((1+'Venture Summary - Mthly'!$C$239)^(N4-M4)-1)</f>
        <v>0</v>
      </c>
      <c r="O310" s="798">
        <f>+O309*((1+'Venture Summary - Mthly'!$C$239)^(O4-N4)-1)</f>
        <v>0</v>
      </c>
      <c r="P310" s="798">
        <f>+P309*((1+'Venture Summary - Mthly'!$C$239)^(P4-O4)-1)</f>
        <v>0</v>
      </c>
      <c r="Q310" s="798">
        <f>+Q309*((1+'Venture Summary - Mthly'!$C$239)^(Q4-P4)-1)</f>
        <v>0</v>
      </c>
      <c r="R310" s="798">
        <f>+R309*((1+'Venture Summary - Mthly'!$C$239)^(R4-Q4)-1)</f>
        <v>0</v>
      </c>
      <c r="S310" s="798">
        <f>+S309*((1+'Venture Summary - Mthly'!$C$239)^(S4-R4)-1)</f>
        <v>0</v>
      </c>
      <c r="T310" s="798">
        <f>+T309*((1+'Venture Summary - Mthly'!$C$239)^(T4-S4)-1)</f>
        <v>0</v>
      </c>
      <c r="U310" s="798">
        <f>+U309*((1+'Venture Summary - Mthly'!$C$239)^(U4-T4)-1)</f>
        <v>0</v>
      </c>
      <c r="V310" s="798">
        <f>+V309*((1+'Venture Summary - Mthly'!$C$239)^(V4-U4)-1)</f>
        <v>0</v>
      </c>
      <c r="W310" s="798">
        <f>+W309*((1+'Venture Summary - Mthly'!$C$239)^(W4-V4)-1)</f>
        <v>0</v>
      </c>
      <c r="X310" s="798">
        <f>+X309*((1+'Venture Summary - Mthly'!$C$239)^(X4-W4)-1)</f>
        <v>0</v>
      </c>
      <c r="Y310" s="798">
        <f>+Y309*((1+'Venture Summary - Mthly'!$C$239)^(Y4-X4)-1)</f>
        <v>0</v>
      </c>
      <c r="Z310" s="798">
        <f>+Z309*((1+'Venture Summary - Mthly'!$C$239)^(Z4-Y4)-1)</f>
        <v>0</v>
      </c>
      <c r="AA310" s="798">
        <f>+AA309*((1+'Venture Summary - Mthly'!$C$239)^(AA4-Z4)-1)</f>
        <v>0</v>
      </c>
      <c r="AB310" s="798">
        <f>+AB309*((1+'Venture Summary - Mthly'!$C$239)^(AB4-AA4)-1)</f>
        <v>0</v>
      </c>
      <c r="AC310" s="798">
        <f>+AC309*((1+'Venture Summary - Mthly'!$C$239)^(AC4-AB4)-1)</f>
        <v>0</v>
      </c>
      <c r="AD310" s="798">
        <f>+AD309*((1+'Venture Summary - Mthly'!$C$239)^(AD4-AC4)-1)</f>
        <v>0</v>
      </c>
      <c r="AE310" s="798">
        <f>+AE309*((1+'Venture Summary - Mthly'!$C$239)^(AE4-AD4)-1)</f>
        <v>0</v>
      </c>
      <c r="AF310" s="798">
        <f>+AF309*((1+'Venture Summary - Mthly'!$C$239)^(AF4-AE4)-1)</f>
        <v>0</v>
      </c>
      <c r="AG310" s="798">
        <f>+AG309*((1+'Venture Summary - Mthly'!$C$239)^(AG4-AF4)-1)</f>
        <v>0</v>
      </c>
      <c r="AH310" s="798">
        <f>+AH309*((1+'Venture Summary - Mthly'!$C$239)^(AH4-AG4)-1)</f>
        <v>0</v>
      </c>
      <c r="AI310" s="798">
        <f>+AI309*((1+'Venture Summary - Mthly'!$C$239)^(AI4-AH4)-1)</f>
        <v>0</v>
      </c>
      <c r="AJ310" s="798">
        <f>+AJ309*((1+'Venture Summary - Mthly'!$C$239)^(AJ4-AI4)-1)</f>
        <v>0</v>
      </c>
      <c r="AK310" s="798">
        <f>+AK309*((1+'Venture Summary - Mthly'!$C$239)^(AK4-AJ4)-1)</f>
        <v>0</v>
      </c>
      <c r="AL310" s="798">
        <f>+AL309*((1+'Venture Summary - Mthly'!$C$239)^(AL4-AK4)-1)</f>
        <v>-495108.53396059613</v>
      </c>
      <c r="AM310" s="798">
        <f>+AM309*((1+'Venture Summary - Mthly'!$C$239)^(AM4-AL4)-1)</f>
        <v>-370384.26256749168</v>
      </c>
      <c r="AN310" s="798">
        <f>+AN309*((1+'Venture Summary - Mthly'!$C$239)^(AN4-AM4)-1)</f>
        <v>-384122.2518787306</v>
      </c>
      <c r="AO310" s="798">
        <f>+AO309*((1+'Venture Summary - Mthly'!$C$239)^(AO4-AN4)-1)</f>
        <v>-385555.39790822461</v>
      </c>
      <c r="AP310" s="798">
        <f>+AP309*((1+'Venture Summary - Mthly'!$C$239)^(AP4-AO4)-1)</f>
        <v>-374447.95638191036</v>
      </c>
      <c r="AQ310" s="798">
        <f>+AQ309*((1+'Venture Summary - Mthly'!$C$239)^(AQ4-AP4)-1)</f>
        <v>-388301.39933046466</v>
      </c>
      <c r="AR310" s="798">
        <f>+AR309*((1+'Venture Summary - Mthly'!$C$239)^(AR4-AQ4)-1)</f>
        <v>-377087.87015253527</v>
      </c>
      <c r="AS310" s="798">
        <f>+AS309*((1+'Venture Summary - Mthly'!$C$239)^(AS4-AR4)-1)</f>
        <v>-391001.32264075673</v>
      </c>
      <c r="AT310" s="798">
        <f>+AT309*((1+'Venture Summary - Mthly'!$C$239)^(AT4-AS4)-1)</f>
        <v>-392446.59029039205</v>
      </c>
      <c r="AU310" s="798">
        <f>+AU309*((1+'Venture Summary - Mthly'!$C$239)^(AU4-AT4)-1)</f>
        <v>-355632.7339483882</v>
      </c>
      <c r="AV310" s="798">
        <f>+AV309*((1+'Venture Summary - Mthly'!$C$239)^(AV4-AU4)-1)</f>
        <v>-395023.43226065702</v>
      </c>
      <c r="AW310" s="798">
        <f>+AW309*((1+'Venture Summary - Mthly'!$C$239)^(AW4-AV4)-1)</f>
        <v>-383618.90848982986</v>
      </c>
      <c r="AX310" s="798">
        <f>+AX309*((1+'Venture Summary - Mthly'!$C$239)^(AX4-AW4)-1)</f>
        <v>-397782.38280794618</v>
      </c>
      <c r="AY310" s="798">
        <f>+AY309*((1+'Venture Summary - Mthly'!$C$239)^(AY4-AX4)-1)</f>
        <v>-386277.218073519</v>
      </c>
      <c r="AZ310" s="798">
        <f>+AZ309*((1+'Venture Summary - Mthly'!$C$239)^(AZ4-AY4)-1)</f>
        <v>-400518.84004619234</v>
      </c>
      <c r="BA310" s="798">
        <f>+BA309*((1+'Venture Summary - Mthly'!$C$239)^(BA4-AZ4)-1)</f>
        <v>-401932.81667565147</v>
      </c>
      <c r="BB310" s="798">
        <f>+BB309*((1+'Venture Summary - Mthly'!$C$239)^(BB4-BA4)-1)</f>
        <v>-390281.88672517729</v>
      </c>
      <c r="BC310" s="798">
        <f>+BC309*((1+'Venture Summary - Mthly'!$C$239)^(BC4-BB4)-1)</f>
        <v>-404652.05577573454</v>
      </c>
      <c r="BD310" s="798">
        <f>+BD309*((1+'Venture Summary - Mthly'!$C$239)^(BD4-BC4)-1)</f>
        <v>-392908.99049229844</v>
      </c>
      <c r="BE310" s="798">
        <f>+BE309*((1+'Venture Summary - Mthly'!$C$239)^(BE4-BD4)-1)</f>
        <v>-407356.14788566291</v>
      </c>
      <c r="BF310" s="798">
        <f>+BF309*((1+'Venture Summary - Mthly'!$C$239)^(BF4-BE4)-1)</f>
        <v>-408805.66415239847</v>
      </c>
      <c r="BG310" s="798">
        <f>+BG309*((1+'Venture Summary - Mthly'!$C$239)^(BG4-BF4)-1)</f>
        <v>-383690.95911291678</v>
      </c>
      <c r="BH310" s="798">
        <f>+BH309*((1+'Venture Summary - Mthly'!$C$239)^(BH4-BG4)-1)</f>
        <v>-411502.19707538321</v>
      </c>
      <c r="BI310" s="798">
        <f>+BI309*((1+'Venture Summary - Mthly'!$C$239)^(BI4-BH4)-1)</f>
        <v>-399584.84631428117</v>
      </c>
      <c r="BJ310" s="798">
        <f>+BJ309*((1+'Venture Summary - Mthly'!$C$239)^(BJ4-BI4)-1)</f>
        <v>-414304.94102508784</v>
      </c>
      <c r="BK310" s="798">
        <f>+BK309*((1+'Venture Summary - Mthly'!$C$239)^(BK4-BJ4)-1)</f>
        <v>-402293.69796261902</v>
      </c>
      <c r="BL310" s="798">
        <f>+BL309*((1+'Venture Summary - Mthly'!$C$239)^(BL4-BK4)-1)</f>
        <v>-417099.16073215025</v>
      </c>
      <c r="BM310" s="798">
        <f>+BM309*((1+'Venture Summary - Mthly'!$C$239)^(BM4-BL4)-1)</f>
        <v>-418546.76380369259</v>
      </c>
      <c r="BN310" s="798">
        <f>+BN309*((1+'Venture Summary - Mthly'!$C$239)^(BN4-BM4)-1)</f>
        <v>-406390.10227046628</v>
      </c>
      <c r="BO310" s="798">
        <f>+BO309*((1+'Venture Summary - Mthly'!$C$239)^(BO4-BN4)-1)</f>
        <v>-421327.4356221194</v>
      </c>
      <c r="BP310" s="798">
        <f>+BP309*((1+'Venture Summary - Mthly'!$C$239)^(BP4-BO4)-1)</f>
        <v>-409072.5801691555</v>
      </c>
      <c r="BQ310" s="798">
        <f>+BQ309*((1+'Venture Summary - Mthly'!$C$239)^(BQ4-BP4)-1)</f>
        <v>-424081.50845155906</v>
      </c>
      <c r="BR310" s="798">
        <f>+BR309*((1+'Venture Summary - Mthly'!$C$239)^(BR4-BQ4)-1)</f>
        <v>-425555.45066082769</v>
      </c>
      <c r="BS310" s="798">
        <f>+BS309*((1+'Venture Summary - Mthly'!$C$239)^(BS4-BR4)-1)</f>
        <v>-385553.9999361338</v>
      </c>
      <c r="BT310" s="798">
        <f>+BT309*((1+'Venture Summary - Mthly'!$C$239)^(BT4-BS4)-1)</f>
        <v>-428170.63483007887</v>
      </c>
      <c r="BU310" s="798">
        <f>+BU309*((1+'Venture Summary - Mthly'!$C$239)^(BU4-BT4)-1)</f>
        <v>-415726.35765066033</v>
      </c>
      <c r="BV310" s="798">
        <f>+BV309*((1+'Venture Summary - Mthly'!$C$239)^(BV4-BU4)-1)</f>
        <v>-430991.79552000528</v>
      </c>
      <c r="BW310" s="798">
        <f>+BW309*((1+'Venture Summary - Mthly'!$C$239)^(BW4-BV4)-1)</f>
        <v>-418446.08151811332</v>
      </c>
      <c r="BX310" s="798">
        <f>+BX309*((1+'Venture Summary - Mthly'!$C$239)^(BX4-BW4)-1)</f>
        <v>-433790.82260896446</v>
      </c>
      <c r="BY310" s="798">
        <f>+BY309*((1+'Venture Summary - Mthly'!$C$239)^(BY4-BX4)-1)</f>
        <v>-435238.60736679513</v>
      </c>
      <c r="BZ310" s="798">
        <f>+BZ309*((1+'Venture Summary - Mthly'!$C$239)^(BZ4-BY4)-1)</f>
        <v>-422539.20517807303</v>
      </c>
      <c r="CA310" s="798">
        <f>+CA309*((1+'Venture Summary - Mthly'!$C$239)^(CA4-BZ4)-1)</f>
        <v>-438009.06600988383</v>
      </c>
      <c r="CB310" s="798">
        <f>+CB309*((1+'Venture Summary - Mthly'!$C$239)^(CB4-CA4)-1)</f>
        <v>-425208.20163467812</v>
      </c>
      <c r="CC310" s="798">
        <f>+CC309*((1+'Venture Summary - Mthly'!$C$239)^(CC4-CB4)-1)</f>
        <v>-440744.88116060721</v>
      </c>
      <c r="CD310" s="798">
        <f>+CD309*((1+'Venture Summary - Mthly'!$C$239)^(CD4-CC4)-1)</f>
        <v>-442211.1995947432</v>
      </c>
      <c r="CE310" s="798">
        <f>+CE309*((1+'Venture Summary - Mthly'!$C$239)^(CE4-CD4)-1)</f>
        <v>-400584.10323882522</v>
      </c>
      <c r="CF310" s="798">
        <f>+CF309*((1+'Venture Summary - Mthly'!$C$239)^(CF4-CE4)-1)</f>
        <v>-444794.66379279905</v>
      </c>
      <c r="CG310" s="798">
        <f>+CG309*((1+'Venture Summary - Mthly'!$C$239)^(CG4-CF4)-1)</f>
        <v>-431801.22676319763</v>
      </c>
      <c r="CH310" s="798">
        <f>+CH309*((1+'Venture Summary - Mthly'!$C$239)^(CH4-CG4)-1)</f>
        <v>-447587.75971905346</v>
      </c>
      <c r="CI310" s="798">
        <f>+CI309*((1+'Venture Summary - Mthly'!$C$239)^(CI4-CH4)-1)</f>
        <v>-434491.1405167043</v>
      </c>
      <c r="CJ310" s="798">
        <f>+CJ309*((1+'Venture Summary - Mthly'!$C$239)^(CJ4-CI4)-1)</f>
        <v>-450353.70873855113</v>
      </c>
      <c r="CK310" s="798">
        <f>+CK309*((1+'Venture Summary - Mthly'!$C$239)^(CK4-CJ4)-1)</f>
        <v>-451785.35032956663</v>
      </c>
      <c r="CL310" s="798">
        <f>+CL309*((1+'Venture Summary - Mthly'!$C$239)^(CL4-CK4)-1)</f>
        <v>-438533.22688424838</v>
      </c>
      <c r="CM310" s="798">
        <f>+CM309*((1+'Venture Summary - Mthly'!$C$239)^(CM4-CL4)-1)</f>
        <v>-454515.74166830606</v>
      </c>
      <c r="CN310" s="798">
        <f>+CN309*((1+'Venture Summary - Mthly'!$C$239)^(CN4-CM4)-1)</f>
        <v>-441161.27969364688</v>
      </c>
      <c r="CO310" s="798">
        <f>+CO309*((1+'Venture Summary - Mthly'!$C$239)^(CO4-CN4)-1)</f>
        <v>-457206.77379843249</v>
      </c>
      <c r="CP310" s="798">
        <f>+CP309*((1+'Venture Summary - Mthly'!$C$239)^(CP4-CO4)-1)</f>
        <v>-458652.96321945323</v>
      </c>
      <c r="CQ310" s="798">
        <f>+CQ309*((1+'Venture Summary - Mthly'!$C$239)^(CQ4-CP4)-1)</f>
        <v>-415410.09811387322</v>
      </c>
      <c r="CR310" s="798">
        <f>+CR309*((1+'Venture Summary - Mthly'!$C$239)^(CR4-CQ4)-1)</f>
        <v>-461181.1024853827</v>
      </c>
      <c r="CS310" s="798">
        <f>+CS309*((1+'Venture Summary - Mthly'!$C$239)^(CS4-CR4)-1)</f>
        <v>-447635.32540237199</v>
      </c>
      <c r="CT310" s="798">
        <f>+CT309*((1+'Venture Summary - Mthly'!$C$239)^(CT4-CS4)-1)</f>
        <v>-463924.0841307051</v>
      </c>
      <c r="CU310" s="798">
        <f>+CU309*((1+'Venture Summary - Mthly'!$C$239)^(CU4-CT4)-1)</f>
        <v>-450274.63542113214</v>
      </c>
      <c r="CV310" s="798">
        <f>+CV309*((1+'Venture Summary - Mthly'!$C$239)^(CV4-CU4)-1)</f>
        <v>-466635.48780839401</v>
      </c>
      <c r="CW310" s="798">
        <f>+CW309*((1+'Venture Summary - Mthly'!$C$239)^(CW4-CV4)-1)</f>
        <v>-468040.40588725579</v>
      </c>
      <c r="CX310" s="798">
        <f>+CX309*((1+'Venture Summary - Mthly'!$C$239)^(CX4-CW4)-1)</f>
        <v>114503.26882898898</v>
      </c>
      <c r="CY310" s="798">
        <f>+CY309*((1+'Venture Summary - Mthly'!$C$239)^(CY4-CX4)-1)</f>
        <v>119266.16101664315</v>
      </c>
      <c r="CZ310" s="798">
        <f>+CZ309*((1+'Venture Summary - Mthly'!$C$239)^(CZ4-CY4)-1)</f>
        <v>116341.74318488711</v>
      </c>
      <c r="DA310" s="798">
        <f>+DA309*((1+'Venture Summary - Mthly'!$C$239)^(DA4-CZ4)-1)</f>
        <v>121181.10878012574</v>
      </c>
      <c r="DB310" s="798">
        <f>+DB309*((1+'Venture Summary - Mthly'!$C$239)^(DB4-DA4)-1)</f>
        <v>122166.0311409492</v>
      </c>
      <c r="DC310" s="798">
        <f>+DC309*((1+'Venture Summary - Mthly'!$C$239)^(DC4-DB4)-1)</f>
        <v>115183.099124088</v>
      </c>
      <c r="DD310" s="798">
        <f>+DD309*((1+'Venture Summary - Mthly'!$C$239)^(DD4-DC4)-1)</f>
        <v>124095.13104829696</v>
      </c>
      <c r="DE310" s="798">
        <f>+DE309*((1+'Venture Summary - Mthly'!$C$239)^(DE4-DD4)-1)</f>
        <v>121052.3064031648</v>
      </c>
      <c r="DF310" s="798">
        <f>+DF309*((1+'Venture Summary - Mthly'!$C$239)^(DF4-DE4)-1)</f>
        <v>126087.61317092397</v>
      </c>
      <c r="DG310" s="798">
        <f>+DG309*((1+'Venture Summary - Mthly'!$C$239)^(DG4-DF4)-1)</f>
        <v>122995.93267096092</v>
      </c>
      <c r="DH310" s="798">
        <f>+DH309*((1+'Venture Summary - Mthly'!$C$239)^(DH4-DG4)-1)</f>
        <v>128112.08675828815</v>
      </c>
      <c r="DI310" s="798">
        <f>+DI309*((1+'Venture Summary - Mthly'!$C$239)^(DI4-DH4)-1)</f>
        <v>129153.34195235424</v>
      </c>
      <c r="DJ310" s="798">
        <f>+DJ309*((1+'Venture Summary - Mthly'!$C$239)^(DJ4-DI4)-1)</f>
        <v>125986.48948542822</v>
      </c>
      <c r="DK310" s="798">
        <f>+DK309*((1+'Venture Summary - Mthly'!$C$239)^(DK4-DJ4)-1)</f>
        <v>131227.03914533631</v>
      </c>
      <c r="DL310" s="798">
        <f>+DL309*((1+'Venture Summary - Mthly'!$C$239)^(DL4-DK4)-1)</f>
        <v>128009.33942217998</v>
      </c>
      <c r="DM310" s="798">
        <f>+DM309*((1+'Venture Summary - Mthly'!$C$239)^(DM4-DL4)-1)</f>
        <v>133334.03179922691</v>
      </c>
      <c r="DN310" s="798">
        <f>+DN309*((1+'Venture Summary - Mthly'!$C$239)^(DN4-DM4)-1)</f>
        <v>134417.72933838778</v>
      </c>
      <c r="DO310" s="798">
        <f>+DO309*((1+'Venture Summary - Mthly'!$C$239)^(DO4-DN4)-1)</f>
        <v>122348.34811002732</v>
      </c>
      <c r="DP310" s="798">
        <f>+DP309*((1+'Venture Summary - Mthly'!$C$239)^(DP4-DO4)-1)</f>
        <v>136504.64415312785</v>
      </c>
      <c r="DQ310" s="798">
        <f>+DQ309*((1+'Venture Summary - Mthly'!$C$239)^(DQ4-DP4)-1)</f>
        <v>133157.53704348247</v>
      </c>
      <c r="DR310" s="798">
        <f>+DR309*((1+'Venture Summary - Mthly'!$C$239)^(DR4-DQ4)-1)</f>
        <v>138696.37448801758</v>
      </c>
      <c r="DS310" s="798">
        <f>+DS309*((1+'Venture Summary - Mthly'!$C$239)^(DS4-DR4)-1)</f>
        <v>135295.52593805821</v>
      </c>
      <c r="DT310" s="798">
        <f>+DT309*((1+'Venture Summary - Mthly'!$C$239)^(DT4-DS4)-1)</f>
        <v>140923.29543411819</v>
      </c>
      <c r="DU310" s="798">
        <f>+DU309*((1+'Venture Summary - Mthly'!$C$239)^(DU4-DT4)-1)</f>
        <v>142068.67614759092</v>
      </c>
      <c r="DV310" s="798"/>
      <c r="DW310" s="798"/>
      <c r="DX310" s="798"/>
      <c r="DY310" s="798"/>
      <c r="DZ310" s="798"/>
      <c r="EA310" s="798"/>
      <c r="EB310" s="798"/>
      <c r="EC310" s="798"/>
      <c r="ED310" s="798"/>
      <c r="EE310" s="798"/>
      <c r="EF310" s="798"/>
      <c r="EG310" s="798"/>
      <c r="EH310" s="782"/>
    </row>
    <row r="311" spans="1:138" ht="12.75" customHeight="1" x14ac:dyDescent="0.3">
      <c r="A311" s="782"/>
      <c r="B311" s="782" t="s">
        <v>157</v>
      </c>
      <c r="C311" s="798"/>
      <c r="D311" s="782"/>
      <c r="E311" s="798">
        <f t="shared" ref="E311:BP311" si="243">IF(E265&lt;0,E265,0)</f>
        <v>0</v>
      </c>
      <c r="F311" s="798">
        <f t="shared" si="243"/>
        <v>0</v>
      </c>
      <c r="G311" s="798">
        <f t="shared" si="243"/>
        <v>0</v>
      </c>
      <c r="H311" s="798">
        <f t="shared" si="243"/>
        <v>0</v>
      </c>
      <c r="I311" s="798">
        <f t="shared" si="243"/>
        <v>0</v>
      </c>
      <c r="J311" s="798">
        <f t="shared" si="243"/>
        <v>0</v>
      </c>
      <c r="K311" s="798">
        <f t="shared" si="243"/>
        <v>0</v>
      </c>
      <c r="L311" s="798">
        <f t="shared" si="243"/>
        <v>0</v>
      </c>
      <c r="M311" s="798">
        <f t="shared" si="243"/>
        <v>0</v>
      </c>
      <c r="N311" s="798">
        <f t="shared" si="243"/>
        <v>0</v>
      </c>
      <c r="O311" s="798">
        <f t="shared" si="243"/>
        <v>0</v>
      </c>
      <c r="P311" s="798">
        <f t="shared" si="243"/>
        <v>0</v>
      </c>
      <c r="Q311" s="798">
        <f t="shared" si="243"/>
        <v>0</v>
      </c>
      <c r="R311" s="798">
        <f t="shared" si="243"/>
        <v>0</v>
      </c>
      <c r="S311" s="798">
        <f t="shared" si="243"/>
        <v>0</v>
      </c>
      <c r="T311" s="798">
        <f t="shared" si="243"/>
        <v>0</v>
      </c>
      <c r="U311" s="798">
        <f t="shared" si="243"/>
        <v>0</v>
      </c>
      <c r="V311" s="798">
        <f t="shared" si="243"/>
        <v>0</v>
      </c>
      <c r="W311" s="798">
        <f t="shared" si="243"/>
        <v>0</v>
      </c>
      <c r="X311" s="798">
        <f t="shared" si="243"/>
        <v>0</v>
      </c>
      <c r="Y311" s="798">
        <f t="shared" si="243"/>
        <v>0</v>
      </c>
      <c r="Z311" s="798">
        <f t="shared" si="243"/>
        <v>0</v>
      </c>
      <c r="AA311" s="798">
        <f t="shared" si="243"/>
        <v>0</v>
      </c>
      <c r="AB311" s="798">
        <f t="shared" si="243"/>
        <v>0</v>
      </c>
      <c r="AC311" s="798">
        <f t="shared" si="243"/>
        <v>0</v>
      </c>
      <c r="AD311" s="798">
        <f t="shared" si="243"/>
        <v>0</v>
      </c>
      <c r="AE311" s="798">
        <f t="shared" si="243"/>
        <v>0</v>
      </c>
      <c r="AF311" s="798">
        <f t="shared" si="243"/>
        <v>0</v>
      </c>
      <c r="AG311" s="798">
        <f t="shared" si="243"/>
        <v>0</v>
      </c>
      <c r="AH311" s="798">
        <f t="shared" si="243"/>
        <v>0</v>
      </c>
      <c r="AI311" s="798">
        <f t="shared" si="243"/>
        <v>0</v>
      </c>
      <c r="AJ311" s="798">
        <f t="shared" si="243"/>
        <v>0</v>
      </c>
      <c r="AK311" s="798">
        <f t="shared" si="243"/>
        <v>-60916274.722085506</v>
      </c>
      <c r="AL311" s="798">
        <f t="shared" si="243"/>
        <v>0</v>
      </c>
      <c r="AM311" s="798">
        <f t="shared" si="243"/>
        <v>0</v>
      </c>
      <c r="AN311" s="798">
        <f t="shared" si="243"/>
        <v>0</v>
      </c>
      <c r="AO311" s="798">
        <f t="shared" si="243"/>
        <v>0</v>
      </c>
      <c r="AP311" s="798">
        <f t="shared" si="243"/>
        <v>0</v>
      </c>
      <c r="AQ311" s="798">
        <f t="shared" si="243"/>
        <v>0</v>
      </c>
      <c r="AR311" s="798">
        <f t="shared" si="243"/>
        <v>0</v>
      </c>
      <c r="AS311" s="798">
        <f t="shared" si="243"/>
        <v>0</v>
      </c>
      <c r="AT311" s="798">
        <f t="shared" si="243"/>
        <v>0</v>
      </c>
      <c r="AU311" s="798">
        <f t="shared" si="243"/>
        <v>0</v>
      </c>
      <c r="AV311" s="798">
        <f t="shared" si="243"/>
        <v>0</v>
      </c>
      <c r="AW311" s="798">
        <f t="shared" si="243"/>
        <v>0</v>
      </c>
      <c r="AX311" s="798">
        <f t="shared" si="243"/>
        <v>0</v>
      </c>
      <c r="AY311" s="798">
        <f t="shared" si="243"/>
        <v>0</v>
      </c>
      <c r="AZ311" s="798">
        <f t="shared" si="243"/>
        <v>0</v>
      </c>
      <c r="BA311" s="798">
        <f t="shared" si="243"/>
        <v>0</v>
      </c>
      <c r="BB311" s="798">
        <f t="shared" si="243"/>
        <v>0</v>
      </c>
      <c r="BC311" s="798">
        <f t="shared" si="243"/>
        <v>0</v>
      </c>
      <c r="BD311" s="798">
        <f t="shared" si="243"/>
        <v>0</v>
      </c>
      <c r="BE311" s="798">
        <f t="shared" si="243"/>
        <v>0</v>
      </c>
      <c r="BF311" s="798">
        <f t="shared" si="243"/>
        <v>0</v>
      </c>
      <c r="BG311" s="798">
        <f t="shared" si="243"/>
        <v>0</v>
      </c>
      <c r="BH311" s="798">
        <f t="shared" si="243"/>
        <v>0</v>
      </c>
      <c r="BI311" s="798">
        <f t="shared" si="243"/>
        <v>0</v>
      </c>
      <c r="BJ311" s="798">
        <f t="shared" si="243"/>
        <v>0</v>
      </c>
      <c r="BK311" s="798">
        <f t="shared" si="243"/>
        <v>0</v>
      </c>
      <c r="BL311" s="798">
        <f t="shared" si="243"/>
        <v>0</v>
      </c>
      <c r="BM311" s="798">
        <f t="shared" si="243"/>
        <v>0</v>
      </c>
      <c r="BN311" s="798">
        <f t="shared" si="243"/>
        <v>0</v>
      </c>
      <c r="BO311" s="798">
        <f t="shared" si="243"/>
        <v>0</v>
      </c>
      <c r="BP311" s="798">
        <f t="shared" si="243"/>
        <v>0</v>
      </c>
      <c r="BQ311" s="798">
        <f t="shared" ref="BQ311:DU311" si="244">IF(BQ265&lt;0,BQ265,0)</f>
        <v>0</v>
      </c>
      <c r="BR311" s="798">
        <f t="shared" si="244"/>
        <v>0</v>
      </c>
      <c r="BS311" s="798">
        <f t="shared" si="244"/>
        <v>0</v>
      </c>
      <c r="BT311" s="798">
        <f t="shared" si="244"/>
        <v>0</v>
      </c>
      <c r="BU311" s="798">
        <f t="shared" si="244"/>
        <v>0</v>
      </c>
      <c r="BV311" s="798">
        <f t="shared" si="244"/>
        <v>0</v>
      </c>
      <c r="BW311" s="798">
        <f t="shared" si="244"/>
        <v>0</v>
      </c>
      <c r="BX311" s="798">
        <f t="shared" si="244"/>
        <v>0</v>
      </c>
      <c r="BY311" s="798">
        <f t="shared" si="244"/>
        <v>0</v>
      </c>
      <c r="BZ311" s="798">
        <f t="shared" si="244"/>
        <v>0</v>
      </c>
      <c r="CA311" s="798">
        <f t="shared" si="244"/>
        <v>0</v>
      </c>
      <c r="CB311" s="798">
        <f t="shared" si="244"/>
        <v>0</v>
      </c>
      <c r="CC311" s="798">
        <f t="shared" si="244"/>
        <v>0</v>
      </c>
      <c r="CD311" s="798">
        <f t="shared" si="244"/>
        <v>0</v>
      </c>
      <c r="CE311" s="798">
        <f t="shared" si="244"/>
        <v>0</v>
      </c>
      <c r="CF311" s="798">
        <f t="shared" si="244"/>
        <v>0</v>
      </c>
      <c r="CG311" s="798">
        <f t="shared" si="244"/>
        <v>0</v>
      </c>
      <c r="CH311" s="798">
        <f t="shared" si="244"/>
        <v>0</v>
      </c>
      <c r="CI311" s="798">
        <f t="shared" si="244"/>
        <v>0</v>
      </c>
      <c r="CJ311" s="798">
        <f t="shared" si="244"/>
        <v>0</v>
      </c>
      <c r="CK311" s="798">
        <f t="shared" si="244"/>
        <v>0</v>
      </c>
      <c r="CL311" s="798">
        <f t="shared" si="244"/>
        <v>0</v>
      </c>
      <c r="CM311" s="798">
        <f t="shared" si="244"/>
        <v>0</v>
      </c>
      <c r="CN311" s="798">
        <f t="shared" si="244"/>
        <v>0</v>
      </c>
      <c r="CO311" s="798">
        <f t="shared" si="244"/>
        <v>0</v>
      </c>
      <c r="CP311" s="798">
        <f t="shared" si="244"/>
        <v>0</v>
      </c>
      <c r="CQ311" s="798">
        <f t="shared" si="244"/>
        <v>0</v>
      </c>
      <c r="CR311" s="798">
        <f t="shared" si="244"/>
        <v>0</v>
      </c>
      <c r="CS311" s="798">
        <f t="shared" si="244"/>
        <v>0</v>
      </c>
      <c r="CT311" s="798">
        <f t="shared" si="244"/>
        <v>0</v>
      </c>
      <c r="CU311" s="798">
        <f t="shared" si="244"/>
        <v>0</v>
      </c>
      <c r="CV311" s="798">
        <f t="shared" si="244"/>
        <v>0</v>
      </c>
      <c r="CW311" s="798">
        <f t="shared" si="244"/>
        <v>0</v>
      </c>
      <c r="CX311" s="798">
        <f t="shared" si="244"/>
        <v>0</v>
      </c>
      <c r="CY311" s="798">
        <f t="shared" si="244"/>
        <v>0</v>
      </c>
      <c r="CZ311" s="798">
        <f t="shared" si="244"/>
        <v>0</v>
      </c>
      <c r="DA311" s="798">
        <f t="shared" si="244"/>
        <v>0</v>
      </c>
      <c r="DB311" s="798">
        <f t="shared" si="244"/>
        <v>0</v>
      </c>
      <c r="DC311" s="798">
        <f t="shared" si="244"/>
        <v>0</v>
      </c>
      <c r="DD311" s="798">
        <f t="shared" si="244"/>
        <v>0</v>
      </c>
      <c r="DE311" s="798">
        <f t="shared" si="244"/>
        <v>0</v>
      </c>
      <c r="DF311" s="798">
        <f t="shared" si="244"/>
        <v>0</v>
      </c>
      <c r="DG311" s="798">
        <f t="shared" si="244"/>
        <v>0</v>
      </c>
      <c r="DH311" s="798">
        <f t="shared" si="244"/>
        <v>0</v>
      </c>
      <c r="DI311" s="798">
        <f t="shared" si="244"/>
        <v>0</v>
      </c>
      <c r="DJ311" s="798">
        <f t="shared" si="244"/>
        <v>0</v>
      </c>
      <c r="DK311" s="798">
        <f t="shared" si="244"/>
        <v>0</v>
      </c>
      <c r="DL311" s="798">
        <f t="shared" si="244"/>
        <v>0</v>
      </c>
      <c r="DM311" s="798">
        <f t="shared" si="244"/>
        <v>0</v>
      </c>
      <c r="DN311" s="798">
        <f t="shared" si="244"/>
        <v>0</v>
      </c>
      <c r="DO311" s="798">
        <f t="shared" si="244"/>
        <v>0</v>
      </c>
      <c r="DP311" s="798">
        <f t="shared" si="244"/>
        <v>0</v>
      </c>
      <c r="DQ311" s="798">
        <f t="shared" si="244"/>
        <v>0</v>
      </c>
      <c r="DR311" s="798">
        <f t="shared" si="244"/>
        <v>0</v>
      </c>
      <c r="DS311" s="798">
        <f t="shared" si="244"/>
        <v>0</v>
      </c>
      <c r="DT311" s="798">
        <f t="shared" si="244"/>
        <v>0</v>
      </c>
      <c r="DU311" s="798">
        <f t="shared" si="244"/>
        <v>0</v>
      </c>
      <c r="DV311" s="798"/>
      <c r="DW311" s="798"/>
      <c r="DX311" s="798"/>
      <c r="DY311" s="798"/>
      <c r="DZ311" s="798"/>
      <c r="EA311" s="798"/>
      <c r="EB311" s="798"/>
      <c r="EC311" s="798"/>
      <c r="ED311" s="798"/>
      <c r="EE311" s="798"/>
      <c r="EF311" s="798"/>
      <c r="EG311" s="798"/>
      <c r="EH311" s="782"/>
    </row>
    <row r="312" spans="1:138" ht="12.75" customHeight="1" x14ac:dyDescent="0.3">
      <c r="A312" s="782"/>
      <c r="B312" s="781" t="s">
        <v>158</v>
      </c>
      <c r="C312" s="799"/>
      <c r="D312" s="781"/>
      <c r="E312" s="799">
        <f t="shared" ref="E312:BP312" si="245">IF(E265&gt;0,E265,0)</f>
        <v>0</v>
      </c>
      <c r="F312" s="799">
        <f t="shared" si="245"/>
        <v>0</v>
      </c>
      <c r="G312" s="799">
        <f t="shared" si="245"/>
        <v>0</v>
      </c>
      <c r="H312" s="799">
        <f t="shared" si="245"/>
        <v>0</v>
      </c>
      <c r="I312" s="799">
        <f t="shared" si="245"/>
        <v>0</v>
      </c>
      <c r="J312" s="799">
        <f t="shared" si="245"/>
        <v>0</v>
      </c>
      <c r="K312" s="799">
        <f t="shared" si="245"/>
        <v>0</v>
      </c>
      <c r="L312" s="799">
        <f t="shared" si="245"/>
        <v>0</v>
      </c>
      <c r="M312" s="799">
        <f t="shared" si="245"/>
        <v>0</v>
      </c>
      <c r="N312" s="799">
        <f t="shared" si="245"/>
        <v>0</v>
      </c>
      <c r="O312" s="799">
        <f t="shared" si="245"/>
        <v>0</v>
      </c>
      <c r="P312" s="799">
        <f t="shared" si="245"/>
        <v>0</v>
      </c>
      <c r="Q312" s="799">
        <f t="shared" si="245"/>
        <v>0</v>
      </c>
      <c r="R312" s="799">
        <f t="shared" si="245"/>
        <v>0</v>
      </c>
      <c r="S312" s="799">
        <f t="shared" si="245"/>
        <v>0</v>
      </c>
      <c r="T312" s="799">
        <f t="shared" si="245"/>
        <v>0</v>
      </c>
      <c r="U312" s="799">
        <f t="shared" si="245"/>
        <v>0</v>
      </c>
      <c r="V312" s="799">
        <f t="shared" si="245"/>
        <v>0</v>
      </c>
      <c r="W312" s="799">
        <f t="shared" si="245"/>
        <v>0</v>
      </c>
      <c r="X312" s="799">
        <f t="shared" si="245"/>
        <v>0</v>
      </c>
      <c r="Y312" s="799">
        <f t="shared" si="245"/>
        <v>0</v>
      </c>
      <c r="Z312" s="799">
        <f t="shared" si="245"/>
        <v>0</v>
      </c>
      <c r="AA312" s="799">
        <f t="shared" si="245"/>
        <v>0</v>
      </c>
      <c r="AB312" s="799">
        <f t="shared" si="245"/>
        <v>0</v>
      </c>
      <c r="AC312" s="799">
        <f t="shared" si="245"/>
        <v>0</v>
      </c>
      <c r="AD312" s="799">
        <f t="shared" si="245"/>
        <v>0</v>
      </c>
      <c r="AE312" s="799">
        <f t="shared" si="245"/>
        <v>0</v>
      </c>
      <c r="AF312" s="799">
        <f t="shared" si="245"/>
        <v>0</v>
      </c>
      <c r="AG312" s="799">
        <f t="shared" si="245"/>
        <v>0</v>
      </c>
      <c r="AH312" s="799">
        <f t="shared" si="245"/>
        <v>0</v>
      </c>
      <c r="AI312" s="799">
        <f t="shared" si="245"/>
        <v>0</v>
      </c>
      <c r="AJ312" s="799">
        <f t="shared" si="245"/>
        <v>0</v>
      </c>
      <c r="AK312" s="799">
        <f t="shared" si="245"/>
        <v>0</v>
      </c>
      <c r="AL312" s="799">
        <f t="shared" si="245"/>
        <v>14315530.3242827</v>
      </c>
      <c r="AM312" s="799">
        <f t="shared" si="245"/>
        <v>205293.34606116661</v>
      </c>
      <c r="AN312" s="799">
        <f t="shared" si="245"/>
        <v>207793.40423970085</v>
      </c>
      <c r="AO312" s="799">
        <f t="shared" si="245"/>
        <v>210260.10262606523</v>
      </c>
      <c r="AP312" s="799">
        <f t="shared" si="245"/>
        <v>211885.65974115423</v>
      </c>
      <c r="AQ312" s="799">
        <f t="shared" si="245"/>
        <v>215188.01193420406</v>
      </c>
      <c r="AR312" s="799">
        <f t="shared" si="245"/>
        <v>218012.9416200624</v>
      </c>
      <c r="AS312" s="799">
        <f t="shared" si="245"/>
        <v>213181.07686987985</v>
      </c>
      <c r="AT312" s="799">
        <f t="shared" si="245"/>
        <v>214770.00861920218</v>
      </c>
      <c r="AU312" s="799">
        <f t="shared" si="245"/>
        <v>216264.46058470523</v>
      </c>
      <c r="AV312" s="799">
        <f t="shared" si="245"/>
        <v>218515.59404432448</v>
      </c>
      <c r="AW312" s="799">
        <f t="shared" si="245"/>
        <v>220675.94358853242</v>
      </c>
      <c r="AX312" s="799">
        <f t="shared" si="245"/>
        <v>222710.56184153532</v>
      </c>
      <c r="AY312" s="799">
        <f t="shared" si="245"/>
        <v>224665.72728851769</v>
      </c>
      <c r="AZ312" s="799">
        <f t="shared" si="245"/>
        <v>226548.52262565284</v>
      </c>
      <c r="BA312" s="799">
        <f t="shared" si="245"/>
        <v>228304.85297686295</v>
      </c>
      <c r="BB312" s="799">
        <f t="shared" si="245"/>
        <v>229344.9930368007</v>
      </c>
      <c r="BC312" s="799">
        <f t="shared" si="245"/>
        <v>231542.10904179295</v>
      </c>
      <c r="BD312" s="799">
        <f t="shared" si="245"/>
        <v>233317.7080138704</v>
      </c>
      <c r="BE312" s="799">
        <f t="shared" si="245"/>
        <v>229013.16839337221</v>
      </c>
      <c r="BF312" s="799">
        <f t="shared" si="245"/>
        <v>229911.66091752306</v>
      </c>
      <c r="BG312" s="799">
        <f t="shared" si="245"/>
        <v>230813.78680437503</v>
      </c>
      <c r="BH312" s="799">
        <f t="shared" si="245"/>
        <v>232345.63973502186</v>
      </c>
      <c r="BI312" s="799">
        <f t="shared" si="245"/>
        <v>233902.4265315792</v>
      </c>
      <c r="BJ312" s="799">
        <f t="shared" si="245"/>
        <v>235545.94755839423</v>
      </c>
      <c r="BK312" s="799">
        <f t="shared" si="245"/>
        <v>237262.50476525677</v>
      </c>
      <c r="BL312" s="799">
        <f t="shared" si="245"/>
        <v>238991.57351446556</v>
      </c>
      <c r="BM312" s="799">
        <f t="shared" si="245"/>
        <v>240811.21361387809</v>
      </c>
      <c r="BN312" s="799">
        <f t="shared" si="245"/>
        <v>242002.34658988175</v>
      </c>
      <c r="BO312" s="799">
        <f t="shared" si="245"/>
        <v>244627.30669974274</v>
      </c>
      <c r="BP312" s="799">
        <f t="shared" si="245"/>
        <v>246922.0418636211</v>
      </c>
      <c r="BQ312" s="799">
        <f t="shared" ref="BQ312:DU312" si="246">IF(BQ265&gt;0,BQ265,0)</f>
        <v>242733.25370419392</v>
      </c>
      <c r="BR312" s="799">
        <f t="shared" si="246"/>
        <v>244033.96696505454</v>
      </c>
      <c r="BS312" s="799">
        <f t="shared" si="246"/>
        <v>245313.14997026659</v>
      </c>
      <c r="BT312" s="799">
        <f t="shared" si="246"/>
        <v>247377.11673495109</v>
      </c>
      <c r="BU312" s="799">
        <f t="shared" si="246"/>
        <v>249414.97281073497</v>
      </c>
      <c r="BV312" s="799">
        <f t="shared" si="246"/>
        <v>251479.3205969065</v>
      </c>
      <c r="BW312" s="799">
        <f t="shared" si="246"/>
        <v>253576.88775609701</v>
      </c>
      <c r="BX312" s="799">
        <f t="shared" si="246"/>
        <v>255660.88139998799</v>
      </c>
      <c r="BY312" s="799">
        <f t="shared" si="246"/>
        <v>257780.55934433491</v>
      </c>
      <c r="BZ312" s="799">
        <f t="shared" si="246"/>
        <v>259130.53765731424</v>
      </c>
      <c r="CA312" s="799">
        <f t="shared" si="246"/>
        <v>262044.06866613019</v>
      </c>
      <c r="CB312" s="799">
        <f t="shared" si="246"/>
        <v>264568.88723862561</v>
      </c>
      <c r="CC312" s="799">
        <f t="shared" si="246"/>
        <v>260334.62676779419</v>
      </c>
      <c r="CD312" s="799">
        <f t="shared" si="246"/>
        <v>261766.27506953065</v>
      </c>
      <c r="CE312" s="799">
        <f t="shared" si="246"/>
        <v>263169.39895795332</v>
      </c>
      <c r="CF312" s="799">
        <f t="shared" si="246"/>
        <v>265374.12330500968</v>
      </c>
      <c r="CG312" s="799">
        <f t="shared" si="246"/>
        <v>267569.84631198365</v>
      </c>
      <c r="CH312" s="799">
        <f t="shared" si="246"/>
        <v>269785.75663471175</v>
      </c>
      <c r="CI312" s="799">
        <f t="shared" si="246"/>
        <v>271981.27502716507</v>
      </c>
      <c r="CJ312" s="799">
        <f t="shared" si="246"/>
        <v>274209.9614994725</v>
      </c>
      <c r="CK312" s="799">
        <f t="shared" si="246"/>
        <v>276471.37765448482</v>
      </c>
      <c r="CL312" s="799">
        <f t="shared" si="246"/>
        <v>277910.21305872517</v>
      </c>
      <c r="CM312" s="799">
        <f t="shared" si="246"/>
        <v>280971.24051798158</v>
      </c>
      <c r="CN312" s="799">
        <f t="shared" si="246"/>
        <v>283611.40197433194</v>
      </c>
      <c r="CO312" s="799">
        <f t="shared" si="246"/>
        <v>279273.11677509604</v>
      </c>
      <c r="CP312" s="799">
        <f t="shared" si="246"/>
        <v>280770.93938649778</v>
      </c>
      <c r="CQ312" s="799">
        <f t="shared" si="246"/>
        <v>282239.46279127692</v>
      </c>
      <c r="CR312" s="799">
        <f t="shared" si="246"/>
        <v>284516.27143163967</v>
      </c>
      <c r="CS312" s="799">
        <f t="shared" si="246"/>
        <v>286814.10642290174</v>
      </c>
      <c r="CT312" s="799">
        <f t="shared" si="246"/>
        <v>289146.38855799765</v>
      </c>
      <c r="CU312" s="799">
        <f t="shared" si="246"/>
        <v>291451.51423692808</v>
      </c>
      <c r="CV312" s="799">
        <f t="shared" si="246"/>
        <v>293779.70006957493</v>
      </c>
      <c r="CW312" s="799">
        <f t="shared" si="246"/>
        <v>72613507.873999998</v>
      </c>
      <c r="CX312" s="799">
        <f t="shared" si="246"/>
        <v>0</v>
      </c>
      <c r="CY312" s="799">
        <f t="shared" si="246"/>
        <v>0</v>
      </c>
      <c r="CZ312" s="799">
        <f t="shared" si="246"/>
        <v>0</v>
      </c>
      <c r="DA312" s="799">
        <f t="shared" si="246"/>
        <v>0</v>
      </c>
      <c r="DB312" s="799">
        <f t="shared" si="246"/>
        <v>0</v>
      </c>
      <c r="DC312" s="799">
        <f t="shared" si="246"/>
        <v>0</v>
      </c>
      <c r="DD312" s="799">
        <f t="shared" si="246"/>
        <v>0</v>
      </c>
      <c r="DE312" s="799">
        <f t="shared" si="246"/>
        <v>0</v>
      </c>
      <c r="DF312" s="799">
        <f t="shared" si="246"/>
        <v>0</v>
      </c>
      <c r="DG312" s="799">
        <f t="shared" si="246"/>
        <v>0</v>
      </c>
      <c r="DH312" s="799">
        <f t="shared" si="246"/>
        <v>0</v>
      </c>
      <c r="DI312" s="799">
        <f t="shared" si="246"/>
        <v>0</v>
      </c>
      <c r="DJ312" s="799">
        <f t="shared" si="246"/>
        <v>0</v>
      </c>
      <c r="DK312" s="799">
        <f t="shared" si="246"/>
        <v>0</v>
      </c>
      <c r="DL312" s="799">
        <f t="shared" si="246"/>
        <v>0</v>
      </c>
      <c r="DM312" s="799">
        <f t="shared" si="246"/>
        <v>0</v>
      </c>
      <c r="DN312" s="799">
        <f t="shared" si="246"/>
        <v>0</v>
      </c>
      <c r="DO312" s="799">
        <f t="shared" si="246"/>
        <v>0</v>
      </c>
      <c r="DP312" s="799">
        <f t="shared" si="246"/>
        <v>0</v>
      </c>
      <c r="DQ312" s="799">
        <f t="shared" si="246"/>
        <v>0</v>
      </c>
      <c r="DR312" s="799">
        <f t="shared" si="246"/>
        <v>0</v>
      </c>
      <c r="DS312" s="799">
        <f t="shared" si="246"/>
        <v>0</v>
      </c>
      <c r="DT312" s="799">
        <f t="shared" si="246"/>
        <v>0</v>
      </c>
      <c r="DU312" s="799">
        <f t="shared" si="246"/>
        <v>0</v>
      </c>
      <c r="DV312" s="798"/>
      <c r="DW312" s="798"/>
      <c r="DX312" s="798"/>
      <c r="DY312" s="798"/>
      <c r="DZ312" s="798"/>
      <c r="EA312" s="798"/>
      <c r="EB312" s="798"/>
      <c r="EC312" s="798"/>
      <c r="ED312" s="798"/>
      <c r="EE312" s="798"/>
      <c r="EF312" s="798"/>
      <c r="EG312" s="798"/>
      <c r="EH312" s="782"/>
    </row>
    <row r="313" spans="1:138" ht="12.75" customHeight="1" x14ac:dyDescent="0.3">
      <c r="A313" s="782"/>
      <c r="B313" s="782" t="s">
        <v>159</v>
      </c>
      <c r="C313" s="798"/>
      <c r="D313" s="782"/>
      <c r="E313" s="798">
        <f t="shared" ref="E313:AJ313" si="247">SUM(E309:E312)</f>
        <v>0</v>
      </c>
      <c r="F313" s="798">
        <f t="shared" si="247"/>
        <v>0</v>
      </c>
      <c r="G313" s="798">
        <f t="shared" si="247"/>
        <v>0</v>
      </c>
      <c r="H313" s="798">
        <f>SUM(H309:H312)</f>
        <v>0</v>
      </c>
      <c r="I313" s="798">
        <f>SUM(I309:I312)</f>
        <v>0</v>
      </c>
      <c r="J313" s="798">
        <f>SUM(J309:J312)</f>
        <v>0</v>
      </c>
      <c r="K313" s="798">
        <f t="shared" si="247"/>
        <v>0</v>
      </c>
      <c r="L313" s="798">
        <f t="shared" si="247"/>
        <v>0</v>
      </c>
      <c r="M313" s="798">
        <f t="shared" si="247"/>
        <v>0</v>
      </c>
      <c r="N313" s="798">
        <f t="shared" si="247"/>
        <v>0</v>
      </c>
      <c r="O313" s="798">
        <f t="shared" si="247"/>
        <v>0</v>
      </c>
      <c r="P313" s="798">
        <f t="shared" si="247"/>
        <v>0</v>
      </c>
      <c r="Q313" s="798">
        <f t="shared" si="247"/>
        <v>0</v>
      </c>
      <c r="R313" s="798">
        <f t="shared" si="247"/>
        <v>0</v>
      </c>
      <c r="S313" s="798">
        <f t="shared" si="247"/>
        <v>0</v>
      </c>
      <c r="T313" s="798">
        <f t="shared" si="247"/>
        <v>0</v>
      </c>
      <c r="U313" s="798">
        <f t="shared" si="247"/>
        <v>0</v>
      </c>
      <c r="V313" s="798">
        <f t="shared" si="247"/>
        <v>0</v>
      </c>
      <c r="W313" s="798">
        <f t="shared" si="247"/>
        <v>0</v>
      </c>
      <c r="X313" s="798">
        <f t="shared" si="247"/>
        <v>0</v>
      </c>
      <c r="Y313" s="798">
        <f t="shared" si="247"/>
        <v>0</v>
      </c>
      <c r="Z313" s="798">
        <f t="shared" si="247"/>
        <v>0</v>
      </c>
      <c r="AA313" s="798">
        <f t="shared" si="247"/>
        <v>0</v>
      </c>
      <c r="AB313" s="798">
        <f t="shared" si="247"/>
        <v>0</v>
      </c>
      <c r="AC313" s="798">
        <f t="shared" si="247"/>
        <v>0</v>
      </c>
      <c r="AD313" s="798">
        <f t="shared" si="247"/>
        <v>0</v>
      </c>
      <c r="AE313" s="798">
        <f t="shared" si="247"/>
        <v>0</v>
      </c>
      <c r="AF313" s="798">
        <f t="shared" si="247"/>
        <v>0</v>
      </c>
      <c r="AG313" s="798">
        <f t="shared" si="247"/>
        <v>0</v>
      </c>
      <c r="AH313" s="798">
        <f t="shared" si="247"/>
        <v>0</v>
      </c>
      <c r="AI313" s="798">
        <f t="shared" si="247"/>
        <v>0</v>
      </c>
      <c r="AJ313" s="798">
        <f t="shared" si="247"/>
        <v>0</v>
      </c>
      <c r="AK313" s="798">
        <f t="shared" ref="AK313:CV313" si="248">SUM(AK309:AK312)</f>
        <v>-60916274.722085506</v>
      </c>
      <c r="AL313" s="798">
        <f t="shared" si="248"/>
        <v>-47095852.931763403</v>
      </c>
      <c r="AM313" s="798">
        <f t="shared" si="248"/>
        <v>-47260943.848269723</v>
      </c>
      <c r="AN313" s="798">
        <f t="shared" si="248"/>
        <v>-47437272.695908755</v>
      </c>
      <c r="AO313" s="798">
        <f t="shared" si="248"/>
        <v>-47612567.991190918</v>
      </c>
      <c r="AP313" s="798">
        <f t="shared" si="248"/>
        <v>-47775130.287831672</v>
      </c>
      <c r="AQ313" s="798">
        <f t="shared" si="248"/>
        <v>-47948243.675227933</v>
      </c>
      <c r="AR313" s="798">
        <f t="shared" si="248"/>
        <v>-48107318.603760406</v>
      </c>
      <c r="AS313" s="798">
        <f t="shared" si="248"/>
        <v>-48285138.849531278</v>
      </c>
      <c r="AT313" s="798">
        <f t="shared" si="248"/>
        <v>-48462815.431202464</v>
      </c>
      <c r="AU313" s="798">
        <f t="shared" si="248"/>
        <v>-48602183.704566143</v>
      </c>
      <c r="AV313" s="798">
        <f t="shared" si="248"/>
        <v>-48778691.542782471</v>
      </c>
      <c r="AW313" s="798">
        <f t="shared" si="248"/>
        <v>-48941634.507683769</v>
      </c>
      <c r="AX313" s="798">
        <f t="shared" si="248"/>
        <v>-49116706.328650184</v>
      </c>
      <c r="AY313" s="798">
        <f t="shared" si="248"/>
        <v>-49278317.819435187</v>
      </c>
      <c r="AZ313" s="798">
        <f t="shared" si="248"/>
        <v>-49452288.136855721</v>
      </c>
      <c r="BA313" s="798">
        <f t="shared" si="248"/>
        <v>-49625916.100554504</v>
      </c>
      <c r="BB313" s="798">
        <f t="shared" si="248"/>
        <v>-49786852.994242884</v>
      </c>
      <c r="BC313" s="798">
        <f t="shared" si="248"/>
        <v>-49959962.940976821</v>
      </c>
      <c r="BD313" s="798">
        <f t="shared" si="248"/>
        <v>-50119554.22345525</v>
      </c>
      <c r="BE313" s="798">
        <f t="shared" si="248"/>
        <v>-50297897.202947542</v>
      </c>
      <c r="BF313" s="798">
        <f t="shared" si="248"/>
        <v>-50476791.20618242</v>
      </c>
      <c r="BG313" s="798">
        <f t="shared" si="248"/>
        <v>-50629668.378490962</v>
      </c>
      <c r="BH313" s="798">
        <f t="shared" si="248"/>
        <v>-50808824.935831323</v>
      </c>
      <c r="BI313" s="798">
        <f t="shared" si="248"/>
        <v>-50974507.355614029</v>
      </c>
      <c r="BJ313" s="798">
        <f t="shared" si="248"/>
        <v>-51153266.349080719</v>
      </c>
      <c r="BK313" s="798">
        <f t="shared" si="248"/>
        <v>-51318297.542278081</v>
      </c>
      <c r="BL313" s="798">
        <f t="shared" si="248"/>
        <v>-51496405.129495762</v>
      </c>
      <c r="BM313" s="798">
        <f t="shared" si="248"/>
        <v>-51674140.679685578</v>
      </c>
      <c r="BN313" s="798">
        <f t="shared" si="248"/>
        <v>-51838528.435366169</v>
      </c>
      <c r="BO313" s="798">
        <f t="shared" si="248"/>
        <v>-52015228.564288542</v>
      </c>
      <c r="BP313" s="798">
        <f t="shared" si="248"/>
        <v>-52177379.102594078</v>
      </c>
      <c r="BQ313" s="798">
        <f t="shared" si="248"/>
        <v>-52358727.357341446</v>
      </c>
      <c r="BR313" s="798">
        <f t="shared" si="248"/>
        <v>-52540248.841037214</v>
      </c>
      <c r="BS313" s="798">
        <f t="shared" si="248"/>
        <v>-52680489.691003084</v>
      </c>
      <c r="BT313" s="798">
        <f t="shared" si="248"/>
        <v>-52861283.209098212</v>
      </c>
      <c r="BU313" s="798">
        <f t="shared" si="248"/>
        <v>-53027594.593938135</v>
      </c>
      <c r="BV313" s="798">
        <f t="shared" si="248"/>
        <v>-53207107.068861239</v>
      </c>
      <c r="BW313" s="798">
        <f t="shared" si="248"/>
        <v>-53371976.262623258</v>
      </c>
      <c r="BX313" s="798">
        <f t="shared" si="248"/>
        <v>-53550106.203832231</v>
      </c>
      <c r="BY313" s="798">
        <f t="shared" si="248"/>
        <v>-53727564.251854688</v>
      </c>
      <c r="BZ313" s="798">
        <f t="shared" si="248"/>
        <v>-53890972.919375449</v>
      </c>
      <c r="CA313" s="798">
        <f t="shared" si="248"/>
        <v>-54066937.916719206</v>
      </c>
      <c r="CB313" s="798">
        <f t="shared" si="248"/>
        <v>-54227577.231115252</v>
      </c>
      <c r="CC313" s="798">
        <f t="shared" si="248"/>
        <v>-54407987.485508069</v>
      </c>
      <c r="CD313" s="798">
        <f t="shared" si="248"/>
        <v>-54588432.410033286</v>
      </c>
      <c r="CE313" s="798">
        <f t="shared" si="248"/>
        <v>-54725847.114314161</v>
      </c>
      <c r="CF313" s="798">
        <f t="shared" si="248"/>
        <v>-54905267.65480195</v>
      </c>
      <c r="CG313" s="798">
        <f t="shared" si="248"/>
        <v>-55069499.03525316</v>
      </c>
      <c r="CH313" s="798">
        <f t="shared" si="248"/>
        <v>-55247301.038337499</v>
      </c>
      <c r="CI313" s="798">
        <f t="shared" si="248"/>
        <v>-55409810.903827041</v>
      </c>
      <c r="CJ313" s="798">
        <f t="shared" si="248"/>
        <v>-55585954.651066117</v>
      </c>
      <c r="CK313" s="798">
        <f t="shared" si="248"/>
        <v>-55761268.623741195</v>
      </c>
      <c r="CL313" s="798">
        <f t="shared" si="248"/>
        <v>-55921891.637566715</v>
      </c>
      <c r="CM313" s="798">
        <f t="shared" si="248"/>
        <v>-56095436.13871704</v>
      </c>
      <c r="CN313" s="798">
        <f t="shared" si="248"/>
        <v>-56252986.016436353</v>
      </c>
      <c r="CO313" s="798">
        <f t="shared" si="248"/>
        <v>-56430919.673459694</v>
      </c>
      <c r="CP313" s="798">
        <f t="shared" si="248"/>
        <v>-56608801.697292656</v>
      </c>
      <c r="CQ313" s="798">
        <f t="shared" si="248"/>
        <v>-56741972.332615249</v>
      </c>
      <c r="CR313" s="798">
        <f t="shared" si="248"/>
        <v>-56918637.16366899</v>
      </c>
      <c r="CS313" s="798">
        <f t="shared" si="248"/>
        <v>-57079458.382648461</v>
      </c>
      <c r="CT313" s="798">
        <f t="shared" si="248"/>
        <v>-57254236.078221165</v>
      </c>
      <c r="CU313" s="798">
        <f t="shared" si="248"/>
        <v>-57413059.199405372</v>
      </c>
      <c r="CV313" s="798">
        <f t="shared" si="248"/>
        <v>-57585914.987144187</v>
      </c>
      <c r="CW313" s="798">
        <f t="shared" ref="CW313:DU313" si="249">SUM(CW309:CW312)</f>
        <v>14559552.480968557</v>
      </c>
      <c r="CX313" s="798">
        <f t="shared" si="249"/>
        <v>14674055.749797545</v>
      </c>
      <c r="CY313" s="798">
        <f t="shared" si="249"/>
        <v>14793321.910814188</v>
      </c>
      <c r="CZ313" s="798">
        <f t="shared" si="249"/>
        <v>14909663.653999075</v>
      </c>
      <c r="DA313" s="798">
        <f t="shared" si="249"/>
        <v>15030844.7627792</v>
      </c>
      <c r="DB313" s="798">
        <f t="shared" si="249"/>
        <v>15153010.79392015</v>
      </c>
      <c r="DC313" s="798">
        <f t="shared" si="249"/>
        <v>15268193.893044239</v>
      </c>
      <c r="DD313" s="798">
        <f t="shared" si="249"/>
        <v>15392289.024092536</v>
      </c>
      <c r="DE313" s="798">
        <f t="shared" si="249"/>
        <v>15513341.330495702</v>
      </c>
      <c r="DF313" s="798">
        <f t="shared" si="249"/>
        <v>15639428.943666626</v>
      </c>
      <c r="DG313" s="798">
        <f t="shared" si="249"/>
        <v>15762424.876337586</v>
      </c>
      <c r="DH313" s="798">
        <f t="shared" si="249"/>
        <v>15890536.963095874</v>
      </c>
      <c r="DI313" s="798">
        <f t="shared" si="249"/>
        <v>16019690.305048227</v>
      </c>
      <c r="DJ313" s="798">
        <f t="shared" si="249"/>
        <v>16145676.794533655</v>
      </c>
      <c r="DK313" s="798">
        <f t="shared" si="249"/>
        <v>16276903.833678991</v>
      </c>
      <c r="DL313" s="798">
        <f t="shared" si="249"/>
        <v>16404913.17310117</v>
      </c>
      <c r="DM313" s="798">
        <f t="shared" si="249"/>
        <v>16538247.204900397</v>
      </c>
      <c r="DN313" s="798">
        <f t="shared" si="249"/>
        <v>16672664.934238784</v>
      </c>
      <c r="DO313" s="798">
        <f t="shared" si="249"/>
        <v>16795013.282348812</v>
      </c>
      <c r="DP313" s="798">
        <f t="shared" si="249"/>
        <v>16931517.926501941</v>
      </c>
      <c r="DQ313" s="798">
        <f t="shared" si="249"/>
        <v>17064675.463545423</v>
      </c>
      <c r="DR313" s="798">
        <f t="shared" si="249"/>
        <v>17203371.838033441</v>
      </c>
      <c r="DS313" s="798">
        <f t="shared" si="249"/>
        <v>17338667.363971498</v>
      </c>
      <c r="DT313" s="798">
        <f t="shared" si="249"/>
        <v>17479590.659405615</v>
      </c>
      <c r="DU313" s="798">
        <f t="shared" si="249"/>
        <v>17621659.335553207</v>
      </c>
      <c r="DV313" s="798"/>
      <c r="DW313" s="798"/>
      <c r="DX313" s="798"/>
      <c r="DY313" s="798"/>
      <c r="DZ313" s="798"/>
      <c r="EA313" s="798"/>
      <c r="EB313" s="798"/>
      <c r="EC313" s="798"/>
      <c r="ED313" s="798"/>
      <c r="EE313" s="798"/>
      <c r="EF313" s="798"/>
      <c r="EG313" s="798"/>
      <c r="EH313" s="782"/>
    </row>
    <row r="314" spans="1:138" ht="12.75" customHeight="1" x14ac:dyDescent="0.3">
      <c r="A314" s="782"/>
      <c r="B314" s="782"/>
      <c r="C314" s="798"/>
      <c r="D314" s="782"/>
      <c r="E314" s="798"/>
      <c r="F314" s="798"/>
      <c r="G314" s="798"/>
      <c r="H314" s="798"/>
      <c r="I314" s="798"/>
      <c r="J314" s="798"/>
      <c r="K314" s="798"/>
      <c r="L314" s="798"/>
      <c r="M314" s="798"/>
      <c r="N314" s="798"/>
      <c r="O314" s="798"/>
      <c r="P314" s="798"/>
      <c r="Q314" s="798"/>
      <c r="R314" s="798"/>
      <c r="S314" s="798"/>
      <c r="T314" s="798"/>
      <c r="U314" s="798"/>
      <c r="V314" s="798"/>
      <c r="W314" s="798"/>
      <c r="X314" s="798"/>
      <c r="Y314" s="798"/>
      <c r="Z314" s="798"/>
      <c r="AA314" s="798"/>
      <c r="AB314" s="798"/>
      <c r="AC314" s="798"/>
      <c r="AD314" s="798"/>
      <c r="AE314" s="798"/>
      <c r="AF314" s="798"/>
      <c r="AG314" s="798"/>
      <c r="AH314" s="798"/>
      <c r="AI314" s="798"/>
      <c r="AJ314" s="798"/>
      <c r="AK314" s="798"/>
      <c r="AL314" s="798"/>
      <c r="AM314" s="798"/>
      <c r="AN314" s="798"/>
      <c r="AO314" s="798"/>
      <c r="AP314" s="798"/>
      <c r="AQ314" s="798"/>
      <c r="AR314" s="798"/>
      <c r="AS314" s="798"/>
      <c r="AT314" s="798"/>
      <c r="AU314" s="798"/>
      <c r="AV314" s="798"/>
      <c r="AW314" s="798"/>
      <c r="AX314" s="798"/>
      <c r="AY314" s="798"/>
      <c r="AZ314" s="798"/>
      <c r="BA314" s="798"/>
      <c r="BB314" s="798"/>
      <c r="BC314" s="798"/>
      <c r="BD314" s="798"/>
      <c r="BE314" s="798"/>
      <c r="BF314" s="798"/>
      <c r="BG314" s="798"/>
      <c r="BH314" s="798"/>
      <c r="BI314" s="798"/>
      <c r="BJ314" s="798"/>
      <c r="BK314" s="798"/>
      <c r="BL314" s="798"/>
      <c r="BM314" s="798"/>
      <c r="BN314" s="798"/>
      <c r="BO314" s="798"/>
      <c r="BP314" s="798"/>
      <c r="BQ314" s="798"/>
      <c r="BR314" s="798"/>
      <c r="BS314" s="798"/>
      <c r="BT314" s="798"/>
      <c r="BU314" s="798"/>
      <c r="BV314" s="798"/>
      <c r="BW314" s="798"/>
      <c r="BX314" s="798"/>
      <c r="BY314" s="798"/>
      <c r="BZ314" s="798"/>
      <c r="CA314" s="798"/>
      <c r="CB314" s="798"/>
      <c r="CC314" s="798"/>
      <c r="CD314" s="798"/>
      <c r="CE314" s="798"/>
      <c r="CF314" s="798"/>
      <c r="CG314" s="798"/>
      <c r="CH314" s="798"/>
      <c r="CI314" s="798"/>
      <c r="CJ314" s="798"/>
      <c r="CK314" s="798"/>
      <c r="CL314" s="798"/>
      <c r="CM314" s="798"/>
      <c r="CN314" s="798"/>
      <c r="CO314" s="798"/>
      <c r="CP314" s="798"/>
      <c r="CQ314" s="798"/>
      <c r="CR314" s="798"/>
      <c r="CS314" s="798"/>
      <c r="CT314" s="798"/>
      <c r="CU314" s="798"/>
      <c r="CV314" s="798"/>
      <c r="CW314" s="798"/>
      <c r="CX314" s="798"/>
      <c r="CY314" s="798"/>
      <c r="CZ314" s="798"/>
      <c r="DA314" s="798"/>
      <c r="DB314" s="798"/>
      <c r="DC314" s="798"/>
      <c r="DD314" s="798"/>
      <c r="DE314" s="798"/>
      <c r="DF314" s="798"/>
      <c r="DG314" s="798"/>
      <c r="DH314" s="798"/>
      <c r="DI314" s="798"/>
      <c r="DJ314" s="798"/>
      <c r="DK314" s="798"/>
      <c r="DL314" s="798"/>
      <c r="DM314" s="798"/>
      <c r="DN314" s="798"/>
      <c r="DO314" s="798"/>
      <c r="DP314" s="798"/>
      <c r="DQ314" s="798"/>
      <c r="DR314" s="798"/>
      <c r="DS314" s="798"/>
      <c r="DT314" s="798"/>
      <c r="DU314" s="798"/>
      <c r="DV314" s="798"/>
      <c r="DW314" s="798"/>
      <c r="DX314" s="798"/>
      <c r="DY314" s="798"/>
      <c r="DZ314" s="798"/>
      <c r="EA314" s="798"/>
      <c r="EB314" s="798"/>
      <c r="EC314" s="798"/>
      <c r="ED314" s="798"/>
      <c r="EE314" s="798"/>
      <c r="EF314" s="798"/>
      <c r="EG314" s="798"/>
      <c r="EH314" s="782"/>
    </row>
    <row r="315" spans="1:138" ht="12.75" customHeight="1" x14ac:dyDescent="0.3">
      <c r="A315" s="782"/>
      <c r="B315" s="781" t="s">
        <v>167</v>
      </c>
      <c r="C315" s="799"/>
      <c r="D315" s="781"/>
      <c r="E315" s="799">
        <f t="shared" ref="E315:AJ315" si="250">MAX(MIN(-SUM(E309:E310),E312),0)</f>
        <v>0</v>
      </c>
      <c r="F315" s="799">
        <f t="shared" si="250"/>
        <v>0</v>
      </c>
      <c r="G315" s="799">
        <f t="shared" si="250"/>
        <v>0</v>
      </c>
      <c r="H315" s="799">
        <f>MAX(MIN(-SUM(H309:H310),H312),0)</f>
        <v>0</v>
      </c>
      <c r="I315" s="799">
        <f>MAX(MIN(-SUM(I309:I310),I312),0)</f>
        <v>0</v>
      </c>
      <c r="J315" s="799">
        <f>MAX(MIN(-SUM(J309:J310),J312),0)</f>
        <v>0</v>
      </c>
      <c r="K315" s="799">
        <f t="shared" si="250"/>
        <v>0</v>
      </c>
      <c r="L315" s="799">
        <f t="shared" si="250"/>
        <v>0</v>
      </c>
      <c r="M315" s="799">
        <f t="shared" si="250"/>
        <v>0</v>
      </c>
      <c r="N315" s="799">
        <f t="shared" si="250"/>
        <v>0</v>
      </c>
      <c r="O315" s="799">
        <f t="shared" si="250"/>
        <v>0</v>
      </c>
      <c r="P315" s="799">
        <f t="shared" si="250"/>
        <v>0</v>
      </c>
      <c r="Q315" s="799">
        <f t="shared" si="250"/>
        <v>0</v>
      </c>
      <c r="R315" s="799">
        <f t="shared" si="250"/>
        <v>0</v>
      </c>
      <c r="S315" s="799">
        <f t="shared" si="250"/>
        <v>0</v>
      </c>
      <c r="T315" s="799">
        <f t="shared" si="250"/>
        <v>0</v>
      </c>
      <c r="U315" s="799">
        <f t="shared" si="250"/>
        <v>0</v>
      </c>
      <c r="V315" s="799">
        <f t="shared" si="250"/>
        <v>0</v>
      </c>
      <c r="W315" s="799">
        <f t="shared" si="250"/>
        <v>0</v>
      </c>
      <c r="X315" s="799">
        <f t="shared" si="250"/>
        <v>0</v>
      </c>
      <c r="Y315" s="799">
        <f t="shared" si="250"/>
        <v>0</v>
      </c>
      <c r="Z315" s="799">
        <f t="shared" si="250"/>
        <v>0</v>
      </c>
      <c r="AA315" s="799">
        <f t="shared" si="250"/>
        <v>0</v>
      </c>
      <c r="AB315" s="799">
        <f t="shared" si="250"/>
        <v>0</v>
      </c>
      <c r="AC315" s="799">
        <f t="shared" si="250"/>
        <v>0</v>
      </c>
      <c r="AD315" s="799">
        <f t="shared" si="250"/>
        <v>0</v>
      </c>
      <c r="AE315" s="799">
        <f t="shared" si="250"/>
        <v>0</v>
      </c>
      <c r="AF315" s="799">
        <f t="shared" si="250"/>
        <v>0</v>
      </c>
      <c r="AG315" s="799">
        <f t="shared" si="250"/>
        <v>0</v>
      </c>
      <c r="AH315" s="799">
        <f t="shared" si="250"/>
        <v>0</v>
      </c>
      <c r="AI315" s="799">
        <f t="shared" si="250"/>
        <v>0</v>
      </c>
      <c r="AJ315" s="799">
        <f t="shared" si="250"/>
        <v>0</v>
      </c>
      <c r="AK315" s="799">
        <f t="shared" ref="AK315:CV315" si="251">MAX(MIN(-SUM(AK309:AK310),AK312),0)</f>
        <v>0</v>
      </c>
      <c r="AL315" s="799">
        <f t="shared" si="251"/>
        <v>14315530.3242827</v>
      </c>
      <c r="AM315" s="799">
        <f t="shared" si="251"/>
        <v>205293.34606116661</v>
      </c>
      <c r="AN315" s="799">
        <f t="shared" si="251"/>
        <v>207793.40423970085</v>
      </c>
      <c r="AO315" s="799">
        <f t="shared" si="251"/>
        <v>210260.10262606523</v>
      </c>
      <c r="AP315" s="799">
        <f t="shared" si="251"/>
        <v>211885.65974115423</v>
      </c>
      <c r="AQ315" s="799">
        <f t="shared" si="251"/>
        <v>215188.01193420406</v>
      </c>
      <c r="AR315" s="799">
        <f t="shared" si="251"/>
        <v>218012.9416200624</v>
      </c>
      <c r="AS315" s="799">
        <f t="shared" si="251"/>
        <v>213181.07686987985</v>
      </c>
      <c r="AT315" s="799">
        <f t="shared" si="251"/>
        <v>214770.00861920218</v>
      </c>
      <c r="AU315" s="799">
        <f t="shared" si="251"/>
        <v>216264.46058470523</v>
      </c>
      <c r="AV315" s="799">
        <f t="shared" si="251"/>
        <v>218515.59404432448</v>
      </c>
      <c r="AW315" s="799">
        <f t="shared" si="251"/>
        <v>220675.94358853242</v>
      </c>
      <c r="AX315" s="799">
        <f t="shared" si="251"/>
        <v>222710.56184153532</v>
      </c>
      <c r="AY315" s="799">
        <f t="shared" si="251"/>
        <v>224665.72728851769</v>
      </c>
      <c r="AZ315" s="799">
        <f t="shared" si="251"/>
        <v>226548.52262565284</v>
      </c>
      <c r="BA315" s="799">
        <f t="shared" si="251"/>
        <v>228304.85297686295</v>
      </c>
      <c r="BB315" s="799">
        <f t="shared" si="251"/>
        <v>229344.9930368007</v>
      </c>
      <c r="BC315" s="799">
        <f t="shared" si="251"/>
        <v>231542.10904179295</v>
      </c>
      <c r="BD315" s="799">
        <f t="shared" si="251"/>
        <v>233317.7080138704</v>
      </c>
      <c r="BE315" s="799">
        <f t="shared" si="251"/>
        <v>229013.16839337221</v>
      </c>
      <c r="BF315" s="799">
        <f t="shared" si="251"/>
        <v>229911.66091752306</v>
      </c>
      <c r="BG315" s="799">
        <f t="shared" si="251"/>
        <v>230813.78680437503</v>
      </c>
      <c r="BH315" s="799">
        <f t="shared" si="251"/>
        <v>232345.63973502186</v>
      </c>
      <c r="BI315" s="799">
        <f t="shared" si="251"/>
        <v>233902.4265315792</v>
      </c>
      <c r="BJ315" s="799">
        <f t="shared" si="251"/>
        <v>235545.94755839423</v>
      </c>
      <c r="BK315" s="799">
        <f t="shared" si="251"/>
        <v>237262.50476525677</v>
      </c>
      <c r="BL315" s="799">
        <f t="shared" si="251"/>
        <v>238991.57351446556</v>
      </c>
      <c r="BM315" s="799">
        <f t="shared" si="251"/>
        <v>240811.21361387809</v>
      </c>
      <c r="BN315" s="799">
        <f t="shared" si="251"/>
        <v>242002.34658988175</v>
      </c>
      <c r="BO315" s="799">
        <f t="shared" si="251"/>
        <v>244627.30669974274</v>
      </c>
      <c r="BP315" s="799">
        <f t="shared" si="251"/>
        <v>246922.0418636211</v>
      </c>
      <c r="BQ315" s="799">
        <f t="shared" si="251"/>
        <v>242733.25370419392</v>
      </c>
      <c r="BR315" s="799">
        <f t="shared" si="251"/>
        <v>244033.96696505454</v>
      </c>
      <c r="BS315" s="799">
        <f t="shared" si="251"/>
        <v>245313.14997026659</v>
      </c>
      <c r="BT315" s="799">
        <f t="shared" si="251"/>
        <v>247377.11673495109</v>
      </c>
      <c r="BU315" s="799">
        <f t="shared" si="251"/>
        <v>249414.97281073497</v>
      </c>
      <c r="BV315" s="799">
        <f t="shared" si="251"/>
        <v>251479.3205969065</v>
      </c>
      <c r="BW315" s="799">
        <f t="shared" si="251"/>
        <v>253576.88775609701</v>
      </c>
      <c r="BX315" s="799">
        <f t="shared" si="251"/>
        <v>255660.88139998799</v>
      </c>
      <c r="BY315" s="799">
        <f t="shared" si="251"/>
        <v>257780.55934433491</v>
      </c>
      <c r="BZ315" s="799">
        <f t="shared" si="251"/>
        <v>259130.53765731424</v>
      </c>
      <c r="CA315" s="799">
        <f t="shared" si="251"/>
        <v>262044.06866613019</v>
      </c>
      <c r="CB315" s="799">
        <f t="shared" si="251"/>
        <v>264568.88723862561</v>
      </c>
      <c r="CC315" s="799">
        <f t="shared" si="251"/>
        <v>260334.62676779419</v>
      </c>
      <c r="CD315" s="799">
        <f t="shared" si="251"/>
        <v>261766.27506953065</v>
      </c>
      <c r="CE315" s="799">
        <f t="shared" si="251"/>
        <v>263169.39895795332</v>
      </c>
      <c r="CF315" s="799">
        <f t="shared" si="251"/>
        <v>265374.12330500968</v>
      </c>
      <c r="CG315" s="799">
        <f t="shared" si="251"/>
        <v>267569.84631198365</v>
      </c>
      <c r="CH315" s="799">
        <f t="shared" si="251"/>
        <v>269785.75663471175</v>
      </c>
      <c r="CI315" s="799">
        <f t="shared" si="251"/>
        <v>271981.27502716507</v>
      </c>
      <c r="CJ315" s="799">
        <f t="shared" si="251"/>
        <v>274209.9614994725</v>
      </c>
      <c r="CK315" s="799">
        <f t="shared" si="251"/>
        <v>276471.37765448482</v>
      </c>
      <c r="CL315" s="799">
        <f t="shared" si="251"/>
        <v>277910.21305872517</v>
      </c>
      <c r="CM315" s="799">
        <f t="shared" si="251"/>
        <v>280971.24051798158</v>
      </c>
      <c r="CN315" s="799">
        <f t="shared" si="251"/>
        <v>283611.40197433194</v>
      </c>
      <c r="CO315" s="799">
        <f t="shared" si="251"/>
        <v>279273.11677509604</v>
      </c>
      <c r="CP315" s="799">
        <f t="shared" si="251"/>
        <v>280770.93938649778</v>
      </c>
      <c r="CQ315" s="799">
        <f t="shared" si="251"/>
        <v>282239.46279127692</v>
      </c>
      <c r="CR315" s="799">
        <f t="shared" si="251"/>
        <v>284516.27143163967</v>
      </c>
      <c r="CS315" s="799">
        <f t="shared" si="251"/>
        <v>286814.10642290174</v>
      </c>
      <c r="CT315" s="799">
        <f t="shared" si="251"/>
        <v>289146.38855799765</v>
      </c>
      <c r="CU315" s="799">
        <f t="shared" si="251"/>
        <v>291451.51423692808</v>
      </c>
      <c r="CV315" s="799">
        <f t="shared" si="251"/>
        <v>293779.70006957493</v>
      </c>
      <c r="CW315" s="799">
        <f t="shared" ref="CW315:DU315" si="252">MAX(MIN(-SUM(CW309:CW310),CW312),0)</f>
        <v>58053955.393031441</v>
      </c>
      <c r="CX315" s="799">
        <f t="shared" si="252"/>
        <v>0</v>
      </c>
      <c r="CY315" s="799">
        <f t="shared" si="252"/>
        <v>0</v>
      </c>
      <c r="CZ315" s="799">
        <f t="shared" si="252"/>
        <v>0</v>
      </c>
      <c r="DA315" s="799">
        <f t="shared" si="252"/>
        <v>0</v>
      </c>
      <c r="DB315" s="799">
        <f t="shared" si="252"/>
        <v>0</v>
      </c>
      <c r="DC315" s="799">
        <f t="shared" si="252"/>
        <v>0</v>
      </c>
      <c r="DD315" s="799">
        <f t="shared" si="252"/>
        <v>0</v>
      </c>
      <c r="DE315" s="799">
        <f t="shared" si="252"/>
        <v>0</v>
      </c>
      <c r="DF315" s="799">
        <f t="shared" si="252"/>
        <v>0</v>
      </c>
      <c r="DG315" s="799">
        <f t="shared" si="252"/>
        <v>0</v>
      </c>
      <c r="DH315" s="799">
        <f t="shared" si="252"/>
        <v>0</v>
      </c>
      <c r="DI315" s="799">
        <f t="shared" si="252"/>
        <v>0</v>
      </c>
      <c r="DJ315" s="799">
        <f t="shared" si="252"/>
        <v>0</v>
      </c>
      <c r="DK315" s="799">
        <f t="shared" si="252"/>
        <v>0</v>
      </c>
      <c r="DL315" s="799">
        <f t="shared" si="252"/>
        <v>0</v>
      </c>
      <c r="DM315" s="799">
        <f t="shared" si="252"/>
        <v>0</v>
      </c>
      <c r="DN315" s="799">
        <f t="shared" si="252"/>
        <v>0</v>
      </c>
      <c r="DO315" s="799">
        <f t="shared" si="252"/>
        <v>0</v>
      </c>
      <c r="DP315" s="799">
        <f t="shared" si="252"/>
        <v>0</v>
      </c>
      <c r="DQ315" s="799">
        <f t="shared" si="252"/>
        <v>0</v>
      </c>
      <c r="DR315" s="799">
        <f t="shared" si="252"/>
        <v>0</v>
      </c>
      <c r="DS315" s="799">
        <f t="shared" si="252"/>
        <v>0</v>
      </c>
      <c r="DT315" s="799">
        <f t="shared" si="252"/>
        <v>0</v>
      </c>
      <c r="DU315" s="799">
        <f t="shared" si="252"/>
        <v>0</v>
      </c>
      <c r="DV315" s="798"/>
      <c r="DW315" s="798"/>
      <c r="DX315" s="798"/>
      <c r="DY315" s="798"/>
      <c r="DZ315" s="798"/>
      <c r="EA315" s="798"/>
      <c r="EB315" s="798"/>
      <c r="EC315" s="798"/>
      <c r="ED315" s="798"/>
      <c r="EE315" s="798"/>
      <c r="EF315" s="798"/>
      <c r="EG315" s="798"/>
      <c r="EH315" s="782"/>
    </row>
    <row r="316" spans="1:138" ht="12.75" customHeight="1" x14ac:dyDescent="0.3">
      <c r="A316" s="782"/>
      <c r="B316" s="782" t="s">
        <v>161</v>
      </c>
      <c r="C316" s="798"/>
      <c r="D316" s="782"/>
      <c r="E316" s="798">
        <f t="shared" ref="E316:BP316" si="253">E311+E315</f>
        <v>0</v>
      </c>
      <c r="F316" s="798">
        <f t="shared" si="253"/>
        <v>0</v>
      </c>
      <c r="G316" s="798">
        <f t="shared" si="253"/>
        <v>0</v>
      </c>
      <c r="H316" s="798">
        <f t="shared" si="253"/>
        <v>0</v>
      </c>
      <c r="I316" s="798">
        <f t="shared" si="253"/>
        <v>0</v>
      </c>
      <c r="J316" s="798">
        <f t="shared" si="253"/>
        <v>0</v>
      </c>
      <c r="K316" s="798">
        <f t="shared" si="253"/>
        <v>0</v>
      </c>
      <c r="L316" s="798">
        <f t="shared" si="253"/>
        <v>0</v>
      </c>
      <c r="M316" s="798">
        <f t="shared" si="253"/>
        <v>0</v>
      </c>
      <c r="N316" s="798">
        <f t="shared" si="253"/>
        <v>0</v>
      </c>
      <c r="O316" s="798">
        <f t="shared" si="253"/>
        <v>0</v>
      </c>
      <c r="P316" s="798">
        <f t="shared" si="253"/>
        <v>0</v>
      </c>
      <c r="Q316" s="798">
        <f t="shared" si="253"/>
        <v>0</v>
      </c>
      <c r="R316" s="798">
        <f t="shared" si="253"/>
        <v>0</v>
      </c>
      <c r="S316" s="798">
        <f t="shared" si="253"/>
        <v>0</v>
      </c>
      <c r="T316" s="798">
        <f t="shared" si="253"/>
        <v>0</v>
      </c>
      <c r="U316" s="798">
        <f t="shared" si="253"/>
        <v>0</v>
      </c>
      <c r="V316" s="798">
        <f t="shared" si="253"/>
        <v>0</v>
      </c>
      <c r="W316" s="798">
        <f t="shared" si="253"/>
        <v>0</v>
      </c>
      <c r="X316" s="798">
        <f t="shared" si="253"/>
        <v>0</v>
      </c>
      <c r="Y316" s="798">
        <f t="shared" si="253"/>
        <v>0</v>
      </c>
      <c r="Z316" s="798">
        <f t="shared" si="253"/>
        <v>0</v>
      </c>
      <c r="AA316" s="798">
        <f t="shared" si="253"/>
        <v>0</v>
      </c>
      <c r="AB316" s="798">
        <f t="shared" si="253"/>
        <v>0</v>
      </c>
      <c r="AC316" s="798">
        <f t="shared" si="253"/>
        <v>0</v>
      </c>
      <c r="AD316" s="798">
        <f t="shared" si="253"/>
        <v>0</v>
      </c>
      <c r="AE316" s="798">
        <f t="shared" si="253"/>
        <v>0</v>
      </c>
      <c r="AF316" s="798">
        <f t="shared" si="253"/>
        <v>0</v>
      </c>
      <c r="AG316" s="798">
        <f t="shared" si="253"/>
        <v>0</v>
      </c>
      <c r="AH316" s="798">
        <f t="shared" si="253"/>
        <v>0</v>
      </c>
      <c r="AI316" s="798">
        <f t="shared" si="253"/>
        <v>0</v>
      </c>
      <c r="AJ316" s="798">
        <f t="shared" si="253"/>
        <v>0</v>
      </c>
      <c r="AK316" s="798">
        <f t="shared" si="253"/>
        <v>-60916274.722085506</v>
      </c>
      <c r="AL316" s="798">
        <f t="shared" si="253"/>
        <v>14315530.3242827</v>
      </c>
      <c r="AM316" s="798">
        <f t="shared" si="253"/>
        <v>205293.34606116661</v>
      </c>
      <c r="AN316" s="798">
        <f t="shared" si="253"/>
        <v>207793.40423970085</v>
      </c>
      <c r="AO316" s="798">
        <f t="shared" si="253"/>
        <v>210260.10262606523</v>
      </c>
      <c r="AP316" s="798">
        <f t="shared" si="253"/>
        <v>211885.65974115423</v>
      </c>
      <c r="AQ316" s="798">
        <f t="shared" si="253"/>
        <v>215188.01193420406</v>
      </c>
      <c r="AR316" s="798">
        <f t="shared" si="253"/>
        <v>218012.9416200624</v>
      </c>
      <c r="AS316" s="798">
        <f t="shared" si="253"/>
        <v>213181.07686987985</v>
      </c>
      <c r="AT316" s="798">
        <f t="shared" si="253"/>
        <v>214770.00861920218</v>
      </c>
      <c r="AU316" s="798">
        <f t="shared" si="253"/>
        <v>216264.46058470523</v>
      </c>
      <c r="AV316" s="798">
        <f t="shared" si="253"/>
        <v>218515.59404432448</v>
      </c>
      <c r="AW316" s="798">
        <f t="shared" si="253"/>
        <v>220675.94358853242</v>
      </c>
      <c r="AX316" s="798">
        <f t="shared" si="253"/>
        <v>222710.56184153532</v>
      </c>
      <c r="AY316" s="798">
        <f t="shared" si="253"/>
        <v>224665.72728851769</v>
      </c>
      <c r="AZ316" s="798">
        <f t="shared" si="253"/>
        <v>226548.52262565284</v>
      </c>
      <c r="BA316" s="798">
        <f t="shared" si="253"/>
        <v>228304.85297686295</v>
      </c>
      <c r="BB316" s="798">
        <f t="shared" si="253"/>
        <v>229344.9930368007</v>
      </c>
      <c r="BC316" s="798">
        <f t="shared" si="253"/>
        <v>231542.10904179295</v>
      </c>
      <c r="BD316" s="798">
        <f t="shared" si="253"/>
        <v>233317.7080138704</v>
      </c>
      <c r="BE316" s="798">
        <f t="shared" si="253"/>
        <v>229013.16839337221</v>
      </c>
      <c r="BF316" s="798">
        <f t="shared" si="253"/>
        <v>229911.66091752306</v>
      </c>
      <c r="BG316" s="798">
        <f t="shared" si="253"/>
        <v>230813.78680437503</v>
      </c>
      <c r="BH316" s="798">
        <f t="shared" si="253"/>
        <v>232345.63973502186</v>
      </c>
      <c r="BI316" s="798">
        <f t="shared" si="253"/>
        <v>233902.4265315792</v>
      </c>
      <c r="BJ316" s="798">
        <f t="shared" si="253"/>
        <v>235545.94755839423</v>
      </c>
      <c r="BK316" s="798">
        <f t="shared" si="253"/>
        <v>237262.50476525677</v>
      </c>
      <c r="BL316" s="798">
        <f t="shared" si="253"/>
        <v>238991.57351446556</v>
      </c>
      <c r="BM316" s="798">
        <f t="shared" si="253"/>
        <v>240811.21361387809</v>
      </c>
      <c r="BN316" s="798">
        <f t="shared" si="253"/>
        <v>242002.34658988175</v>
      </c>
      <c r="BO316" s="798">
        <f t="shared" si="253"/>
        <v>244627.30669974274</v>
      </c>
      <c r="BP316" s="798">
        <f t="shared" si="253"/>
        <v>246922.0418636211</v>
      </c>
      <c r="BQ316" s="798">
        <f t="shared" ref="BQ316:DU316" si="254">BQ311+BQ315</f>
        <v>242733.25370419392</v>
      </c>
      <c r="BR316" s="798">
        <f t="shared" si="254"/>
        <v>244033.96696505454</v>
      </c>
      <c r="BS316" s="798">
        <f t="shared" si="254"/>
        <v>245313.14997026659</v>
      </c>
      <c r="BT316" s="798">
        <f t="shared" si="254"/>
        <v>247377.11673495109</v>
      </c>
      <c r="BU316" s="798">
        <f t="shared" si="254"/>
        <v>249414.97281073497</v>
      </c>
      <c r="BV316" s="798">
        <f t="shared" si="254"/>
        <v>251479.3205969065</v>
      </c>
      <c r="BW316" s="798">
        <f t="shared" si="254"/>
        <v>253576.88775609701</v>
      </c>
      <c r="BX316" s="798">
        <f t="shared" si="254"/>
        <v>255660.88139998799</v>
      </c>
      <c r="BY316" s="798">
        <f t="shared" si="254"/>
        <v>257780.55934433491</v>
      </c>
      <c r="BZ316" s="798">
        <f t="shared" si="254"/>
        <v>259130.53765731424</v>
      </c>
      <c r="CA316" s="798">
        <f t="shared" si="254"/>
        <v>262044.06866613019</v>
      </c>
      <c r="CB316" s="798">
        <f t="shared" si="254"/>
        <v>264568.88723862561</v>
      </c>
      <c r="CC316" s="798">
        <f t="shared" si="254"/>
        <v>260334.62676779419</v>
      </c>
      <c r="CD316" s="798">
        <f t="shared" si="254"/>
        <v>261766.27506953065</v>
      </c>
      <c r="CE316" s="798">
        <f t="shared" si="254"/>
        <v>263169.39895795332</v>
      </c>
      <c r="CF316" s="798">
        <f t="shared" si="254"/>
        <v>265374.12330500968</v>
      </c>
      <c r="CG316" s="798">
        <f t="shared" si="254"/>
        <v>267569.84631198365</v>
      </c>
      <c r="CH316" s="798">
        <f t="shared" si="254"/>
        <v>269785.75663471175</v>
      </c>
      <c r="CI316" s="798">
        <f t="shared" si="254"/>
        <v>271981.27502716507</v>
      </c>
      <c r="CJ316" s="798">
        <f t="shared" si="254"/>
        <v>274209.9614994725</v>
      </c>
      <c r="CK316" s="798">
        <f t="shared" si="254"/>
        <v>276471.37765448482</v>
      </c>
      <c r="CL316" s="798">
        <f t="shared" si="254"/>
        <v>277910.21305872517</v>
      </c>
      <c r="CM316" s="798">
        <f t="shared" si="254"/>
        <v>280971.24051798158</v>
      </c>
      <c r="CN316" s="798">
        <f t="shared" si="254"/>
        <v>283611.40197433194</v>
      </c>
      <c r="CO316" s="798">
        <f t="shared" si="254"/>
        <v>279273.11677509604</v>
      </c>
      <c r="CP316" s="798">
        <f t="shared" si="254"/>
        <v>280770.93938649778</v>
      </c>
      <c r="CQ316" s="798">
        <f t="shared" si="254"/>
        <v>282239.46279127692</v>
      </c>
      <c r="CR316" s="798">
        <f t="shared" si="254"/>
        <v>284516.27143163967</v>
      </c>
      <c r="CS316" s="798">
        <f t="shared" si="254"/>
        <v>286814.10642290174</v>
      </c>
      <c r="CT316" s="798">
        <f t="shared" si="254"/>
        <v>289146.38855799765</v>
      </c>
      <c r="CU316" s="798">
        <f t="shared" si="254"/>
        <v>291451.51423692808</v>
      </c>
      <c r="CV316" s="798">
        <f t="shared" si="254"/>
        <v>293779.70006957493</v>
      </c>
      <c r="CW316" s="798">
        <f t="shared" si="254"/>
        <v>58053955.393031441</v>
      </c>
      <c r="CX316" s="798">
        <f t="shared" si="254"/>
        <v>0</v>
      </c>
      <c r="CY316" s="798">
        <f t="shared" si="254"/>
        <v>0</v>
      </c>
      <c r="CZ316" s="798">
        <f t="shared" si="254"/>
        <v>0</v>
      </c>
      <c r="DA316" s="798">
        <f t="shared" si="254"/>
        <v>0</v>
      </c>
      <c r="DB316" s="798">
        <f t="shared" si="254"/>
        <v>0</v>
      </c>
      <c r="DC316" s="798">
        <f t="shared" si="254"/>
        <v>0</v>
      </c>
      <c r="DD316" s="798">
        <f t="shared" si="254"/>
        <v>0</v>
      </c>
      <c r="DE316" s="798">
        <f t="shared" si="254"/>
        <v>0</v>
      </c>
      <c r="DF316" s="798">
        <f t="shared" si="254"/>
        <v>0</v>
      </c>
      <c r="DG316" s="798">
        <f t="shared" si="254"/>
        <v>0</v>
      </c>
      <c r="DH316" s="798">
        <f t="shared" si="254"/>
        <v>0</v>
      </c>
      <c r="DI316" s="798">
        <f t="shared" si="254"/>
        <v>0</v>
      </c>
      <c r="DJ316" s="798">
        <f t="shared" si="254"/>
        <v>0</v>
      </c>
      <c r="DK316" s="798">
        <f t="shared" si="254"/>
        <v>0</v>
      </c>
      <c r="DL316" s="798">
        <f t="shared" si="254"/>
        <v>0</v>
      </c>
      <c r="DM316" s="798">
        <f t="shared" si="254"/>
        <v>0</v>
      </c>
      <c r="DN316" s="798">
        <f t="shared" si="254"/>
        <v>0</v>
      </c>
      <c r="DO316" s="798">
        <f t="shared" si="254"/>
        <v>0</v>
      </c>
      <c r="DP316" s="798">
        <f t="shared" si="254"/>
        <v>0</v>
      </c>
      <c r="DQ316" s="798">
        <f t="shared" si="254"/>
        <v>0</v>
      </c>
      <c r="DR316" s="798">
        <f t="shared" si="254"/>
        <v>0</v>
      </c>
      <c r="DS316" s="798">
        <f t="shared" si="254"/>
        <v>0</v>
      </c>
      <c r="DT316" s="798">
        <f t="shared" si="254"/>
        <v>0</v>
      </c>
      <c r="DU316" s="798">
        <f t="shared" si="254"/>
        <v>0</v>
      </c>
      <c r="DV316" s="798"/>
      <c r="DW316" s="798"/>
      <c r="DX316" s="798"/>
      <c r="DY316" s="798"/>
      <c r="DZ316" s="798"/>
      <c r="EA316" s="798"/>
      <c r="EB316" s="798"/>
      <c r="EC316" s="798"/>
      <c r="ED316" s="798"/>
      <c r="EE316" s="798"/>
      <c r="EF316" s="798"/>
      <c r="EG316" s="798"/>
      <c r="EH316" s="782"/>
    </row>
    <row r="317" spans="1:138" ht="12.75" customHeight="1" x14ac:dyDescent="0.3">
      <c r="A317" s="782"/>
      <c r="B317" s="782"/>
      <c r="C317" s="798"/>
      <c r="D317" s="782"/>
      <c r="E317" s="798"/>
      <c r="F317" s="798"/>
      <c r="G317" s="798"/>
      <c r="H317" s="798"/>
      <c r="I317" s="798"/>
      <c r="J317" s="798"/>
      <c r="K317" s="798"/>
      <c r="L317" s="798"/>
      <c r="M317" s="798"/>
      <c r="N317" s="798"/>
      <c r="O317" s="798"/>
      <c r="P317" s="798"/>
      <c r="Q317" s="798"/>
      <c r="R317" s="798"/>
      <c r="S317" s="798"/>
      <c r="T317" s="798"/>
      <c r="U317" s="798"/>
      <c r="V317" s="798"/>
      <c r="W317" s="798"/>
      <c r="X317" s="798"/>
      <c r="Y317" s="798"/>
      <c r="Z317" s="798"/>
      <c r="AA317" s="798"/>
      <c r="AB317" s="798"/>
      <c r="AC317" s="798"/>
      <c r="AD317" s="798"/>
      <c r="AE317" s="798"/>
      <c r="AF317" s="798"/>
      <c r="AG317" s="798"/>
      <c r="AH317" s="798"/>
      <c r="AI317" s="798"/>
      <c r="AJ317" s="798"/>
      <c r="AK317" s="798"/>
      <c r="AL317" s="798"/>
      <c r="AM317" s="798"/>
      <c r="AN317" s="798"/>
      <c r="AO317" s="798"/>
      <c r="AP317" s="798"/>
      <c r="AQ317" s="798"/>
      <c r="AR317" s="798"/>
      <c r="AS317" s="798"/>
      <c r="AT317" s="798"/>
      <c r="AU317" s="798"/>
      <c r="AV317" s="798"/>
      <c r="AW317" s="798"/>
      <c r="AX317" s="798"/>
      <c r="AY317" s="798"/>
      <c r="AZ317" s="798"/>
      <c r="BA317" s="798"/>
      <c r="BB317" s="798"/>
      <c r="BC317" s="798"/>
      <c r="BD317" s="798"/>
      <c r="BE317" s="798"/>
      <c r="BF317" s="798"/>
      <c r="BG317" s="798"/>
      <c r="BH317" s="798"/>
      <c r="BI317" s="798"/>
      <c r="BJ317" s="798"/>
      <c r="BK317" s="798"/>
      <c r="BL317" s="798"/>
      <c r="BM317" s="798"/>
      <c r="BN317" s="798"/>
      <c r="BO317" s="798"/>
      <c r="BP317" s="798"/>
      <c r="BQ317" s="798"/>
      <c r="BR317" s="798"/>
      <c r="BS317" s="798"/>
      <c r="BT317" s="798"/>
      <c r="BU317" s="798"/>
      <c r="BV317" s="798"/>
      <c r="BW317" s="798"/>
      <c r="BX317" s="798"/>
      <c r="BY317" s="798"/>
      <c r="BZ317" s="798"/>
      <c r="CA317" s="798"/>
      <c r="CB317" s="798"/>
      <c r="CC317" s="798"/>
      <c r="CD317" s="798"/>
      <c r="CE317" s="798"/>
      <c r="CF317" s="798"/>
      <c r="CG317" s="798"/>
      <c r="CH317" s="798"/>
      <c r="CI317" s="798"/>
      <c r="CJ317" s="798"/>
      <c r="CK317" s="798"/>
      <c r="CL317" s="798"/>
      <c r="CM317" s="798"/>
      <c r="CN317" s="798"/>
      <c r="CO317" s="798"/>
      <c r="CP317" s="798"/>
      <c r="CQ317" s="798"/>
      <c r="CR317" s="798"/>
      <c r="CS317" s="798"/>
      <c r="CT317" s="798"/>
      <c r="CU317" s="798"/>
      <c r="CV317" s="798"/>
      <c r="CW317" s="798"/>
      <c r="CX317" s="798"/>
      <c r="CY317" s="798"/>
      <c r="CZ317" s="798"/>
      <c r="DA317" s="798"/>
      <c r="DB317" s="798"/>
      <c r="DC317" s="798"/>
      <c r="DD317" s="798"/>
      <c r="DE317" s="798"/>
      <c r="DF317" s="798"/>
      <c r="DG317" s="798"/>
      <c r="DH317" s="798"/>
      <c r="DI317" s="798"/>
      <c r="DJ317" s="798"/>
      <c r="DK317" s="798"/>
      <c r="DL317" s="798"/>
      <c r="DM317" s="798"/>
      <c r="DN317" s="798"/>
      <c r="DO317" s="798"/>
      <c r="DP317" s="798"/>
      <c r="DQ317" s="798"/>
      <c r="DR317" s="798"/>
      <c r="DS317" s="798"/>
      <c r="DT317" s="798"/>
      <c r="DU317" s="798"/>
      <c r="DV317" s="798"/>
      <c r="DW317" s="798"/>
      <c r="DX317" s="798"/>
      <c r="DY317" s="798"/>
      <c r="DZ317" s="798"/>
      <c r="EA317" s="798"/>
      <c r="EB317" s="798"/>
      <c r="EC317" s="798"/>
      <c r="ED317" s="798"/>
      <c r="EE317" s="798"/>
      <c r="EF317" s="798"/>
      <c r="EG317" s="798"/>
      <c r="EH317" s="782"/>
    </row>
    <row r="318" spans="1:138" ht="12.75" customHeight="1" x14ac:dyDescent="0.3">
      <c r="A318" s="782"/>
      <c r="B318" s="796" t="s">
        <v>168</v>
      </c>
      <c r="C318" s="824">
        <f>XIRR(OFFSET(E316,0,$D$210):DU316,OFFSET($E$4,0,$D$210):$DU$4)</f>
        <v>0.10000000596046449</v>
      </c>
      <c r="D318" s="782"/>
      <c r="E318" s="798"/>
      <c r="F318" s="798"/>
      <c r="G318" s="798"/>
      <c r="H318" s="798"/>
      <c r="I318" s="798"/>
      <c r="J318" s="798"/>
      <c r="K318" s="798"/>
      <c r="L318" s="798"/>
      <c r="M318" s="798"/>
      <c r="N318" s="798"/>
      <c r="O318" s="798"/>
      <c r="P318" s="798"/>
      <c r="Q318" s="798"/>
      <c r="R318" s="798"/>
      <c r="S318" s="798"/>
      <c r="T318" s="798"/>
      <c r="U318" s="798"/>
      <c r="V318" s="798"/>
      <c r="W318" s="798"/>
      <c r="X318" s="798"/>
      <c r="Y318" s="798"/>
      <c r="Z318" s="798"/>
      <c r="AA318" s="798"/>
      <c r="AB318" s="798"/>
      <c r="AC318" s="798"/>
      <c r="AD318" s="798"/>
      <c r="AE318" s="798"/>
      <c r="AF318" s="798"/>
      <c r="AG318" s="798"/>
      <c r="AH318" s="798"/>
      <c r="AI318" s="798"/>
      <c r="AJ318" s="798"/>
      <c r="AK318" s="798"/>
      <c r="AL318" s="798"/>
      <c r="AM318" s="798"/>
      <c r="AN318" s="798"/>
      <c r="AO318" s="798"/>
      <c r="AP318" s="798"/>
      <c r="AQ318" s="798"/>
      <c r="AR318" s="798"/>
      <c r="AS318" s="798"/>
      <c r="AT318" s="798"/>
      <c r="AU318" s="798"/>
      <c r="AV318" s="798"/>
      <c r="AW318" s="798"/>
      <c r="AX318" s="798"/>
      <c r="AY318" s="798"/>
      <c r="AZ318" s="798"/>
      <c r="BA318" s="798"/>
      <c r="BB318" s="798"/>
      <c r="BC318" s="798"/>
      <c r="BD318" s="798"/>
      <c r="BE318" s="798"/>
      <c r="BF318" s="798"/>
      <c r="BG318" s="798"/>
      <c r="BH318" s="798"/>
      <c r="BI318" s="798"/>
      <c r="BJ318" s="798"/>
      <c r="BK318" s="798"/>
      <c r="BL318" s="798"/>
      <c r="BM318" s="798"/>
      <c r="BN318" s="798"/>
      <c r="BO318" s="798"/>
      <c r="BP318" s="798"/>
      <c r="BQ318" s="798"/>
      <c r="BR318" s="798"/>
      <c r="BS318" s="798"/>
      <c r="BT318" s="798"/>
      <c r="BU318" s="798"/>
      <c r="BV318" s="798"/>
      <c r="BW318" s="798"/>
      <c r="BX318" s="798"/>
      <c r="BY318" s="798"/>
      <c r="BZ318" s="798"/>
      <c r="CA318" s="798"/>
      <c r="CB318" s="798"/>
      <c r="CC318" s="798"/>
      <c r="CD318" s="798"/>
      <c r="CE318" s="798"/>
      <c r="CF318" s="798"/>
      <c r="CG318" s="798"/>
      <c r="CH318" s="798"/>
      <c r="CI318" s="798"/>
      <c r="CJ318" s="798"/>
      <c r="CK318" s="798"/>
      <c r="CL318" s="798"/>
      <c r="CM318" s="798"/>
      <c r="CN318" s="798"/>
      <c r="CO318" s="798"/>
      <c r="CP318" s="798"/>
      <c r="CQ318" s="798"/>
      <c r="CR318" s="798"/>
      <c r="CS318" s="798"/>
      <c r="CT318" s="798"/>
      <c r="CU318" s="798"/>
      <c r="CV318" s="798"/>
      <c r="CW318" s="798"/>
      <c r="CX318" s="798"/>
      <c r="CY318" s="798"/>
      <c r="CZ318" s="798"/>
      <c r="DA318" s="798"/>
      <c r="DB318" s="798"/>
      <c r="DC318" s="798"/>
      <c r="DD318" s="798"/>
      <c r="DE318" s="798"/>
      <c r="DF318" s="798"/>
      <c r="DG318" s="798"/>
      <c r="DH318" s="798"/>
      <c r="DI318" s="798"/>
      <c r="DJ318" s="798"/>
      <c r="DK318" s="798"/>
      <c r="DL318" s="798"/>
      <c r="DM318" s="798"/>
      <c r="DN318" s="798"/>
      <c r="DO318" s="798"/>
      <c r="DP318" s="798"/>
      <c r="DQ318" s="798"/>
      <c r="DR318" s="798"/>
      <c r="DS318" s="798"/>
      <c r="DT318" s="798"/>
      <c r="DU318" s="798"/>
      <c r="DV318" s="798"/>
      <c r="DW318" s="798"/>
      <c r="DX318" s="798"/>
      <c r="DY318" s="798"/>
      <c r="DZ318" s="798"/>
      <c r="EA318" s="798"/>
      <c r="EB318" s="798"/>
      <c r="EC318" s="798"/>
      <c r="ED318" s="798"/>
      <c r="EE318" s="798"/>
      <c r="EF318" s="798"/>
      <c r="EG318" s="798"/>
      <c r="EH318" s="782"/>
    </row>
    <row r="319" spans="1:138" ht="12.75" customHeight="1" x14ac:dyDescent="0.3">
      <c r="A319" s="782"/>
      <c r="B319" s="782"/>
      <c r="C319" s="798"/>
      <c r="D319" s="782"/>
      <c r="E319" s="798"/>
      <c r="F319" s="798"/>
      <c r="G319" s="798"/>
      <c r="H319" s="798"/>
      <c r="I319" s="798"/>
      <c r="J319" s="798"/>
      <c r="K319" s="798"/>
      <c r="L319" s="798"/>
      <c r="M319" s="798"/>
      <c r="N319" s="798"/>
      <c r="O319" s="798"/>
      <c r="P319" s="798"/>
      <c r="Q319" s="798"/>
      <c r="R319" s="798"/>
      <c r="S319" s="798"/>
      <c r="T319" s="798"/>
      <c r="U319" s="798"/>
      <c r="V319" s="798"/>
      <c r="W319" s="798"/>
      <c r="X319" s="798"/>
      <c r="Y319" s="798"/>
      <c r="Z319" s="798"/>
      <c r="AA319" s="798"/>
      <c r="AB319" s="798"/>
      <c r="AC319" s="798"/>
      <c r="AD319" s="798"/>
      <c r="AE319" s="798"/>
      <c r="AF319" s="798"/>
      <c r="AG319" s="798"/>
      <c r="AH319" s="798"/>
      <c r="AI319" s="798"/>
      <c r="AJ319" s="798"/>
      <c r="AK319" s="798"/>
      <c r="AL319" s="798"/>
      <c r="AM319" s="798"/>
      <c r="AN319" s="798"/>
      <c r="AO319" s="798"/>
      <c r="AP319" s="798"/>
      <c r="AQ319" s="798"/>
      <c r="AR319" s="798"/>
      <c r="AS319" s="798"/>
      <c r="AT319" s="798"/>
      <c r="AU319" s="798"/>
      <c r="AV319" s="798"/>
      <c r="AW319" s="798"/>
      <c r="AX319" s="798"/>
      <c r="AY319" s="798"/>
      <c r="AZ319" s="798"/>
      <c r="BA319" s="798"/>
      <c r="BB319" s="798"/>
      <c r="BC319" s="798"/>
      <c r="BD319" s="798"/>
      <c r="BE319" s="798"/>
      <c r="BF319" s="798"/>
      <c r="BG319" s="798"/>
      <c r="BH319" s="798"/>
      <c r="BI319" s="798"/>
      <c r="BJ319" s="798"/>
      <c r="BK319" s="798"/>
      <c r="BL319" s="798"/>
      <c r="BM319" s="798"/>
      <c r="BN319" s="798"/>
      <c r="BO319" s="798"/>
      <c r="BP319" s="798"/>
      <c r="BQ319" s="798"/>
      <c r="BR319" s="798"/>
      <c r="BS319" s="798"/>
      <c r="BT319" s="798"/>
      <c r="BU319" s="798"/>
      <c r="BV319" s="798"/>
      <c r="BW319" s="798"/>
      <c r="BX319" s="798"/>
      <c r="BY319" s="798"/>
      <c r="BZ319" s="798"/>
      <c r="CA319" s="798"/>
      <c r="CB319" s="798"/>
      <c r="CC319" s="798"/>
      <c r="CD319" s="798"/>
      <c r="CE319" s="798"/>
      <c r="CF319" s="798"/>
      <c r="CG319" s="798"/>
      <c r="CH319" s="798"/>
      <c r="CI319" s="798"/>
      <c r="CJ319" s="798"/>
      <c r="CK319" s="798"/>
      <c r="CL319" s="798"/>
      <c r="CM319" s="798"/>
      <c r="CN319" s="798"/>
      <c r="CO319" s="798"/>
      <c r="CP319" s="798"/>
      <c r="CQ319" s="798"/>
      <c r="CR319" s="798"/>
      <c r="CS319" s="798"/>
      <c r="CT319" s="798"/>
      <c r="CU319" s="798"/>
      <c r="CV319" s="798"/>
      <c r="CW319" s="798"/>
      <c r="CX319" s="798"/>
      <c r="CY319" s="798"/>
      <c r="CZ319" s="798"/>
      <c r="DA319" s="798"/>
      <c r="DB319" s="798"/>
      <c r="DC319" s="798"/>
      <c r="DD319" s="798"/>
      <c r="DE319" s="798"/>
      <c r="DF319" s="798"/>
      <c r="DG319" s="798"/>
      <c r="DH319" s="798"/>
      <c r="DI319" s="798"/>
      <c r="DJ319" s="798"/>
      <c r="DK319" s="798"/>
      <c r="DL319" s="798"/>
      <c r="DM319" s="798"/>
      <c r="DN319" s="798"/>
      <c r="DO319" s="798"/>
      <c r="DP319" s="798"/>
      <c r="DQ319" s="798"/>
      <c r="DR319" s="798"/>
      <c r="DS319" s="798"/>
      <c r="DT319" s="798"/>
      <c r="DU319" s="798"/>
      <c r="DV319" s="798"/>
      <c r="DW319" s="798"/>
      <c r="DX319" s="798"/>
      <c r="DY319" s="798"/>
      <c r="DZ319" s="798"/>
      <c r="EA319" s="798"/>
      <c r="EB319" s="798"/>
      <c r="EC319" s="798"/>
      <c r="ED319" s="798"/>
      <c r="EE319" s="798"/>
      <c r="EF319" s="798"/>
      <c r="EG319" s="798"/>
      <c r="EH319" s="782"/>
    </row>
    <row r="320" spans="1:138" ht="12.75" customHeight="1" x14ac:dyDescent="0.3">
      <c r="A320" s="782"/>
      <c r="B320" s="782" t="s">
        <v>163</v>
      </c>
      <c r="C320" s="798"/>
      <c r="D320" s="782"/>
      <c r="E320" s="798">
        <f t="shared" ref="E320:BP320" si="255">E282</f>
        <v>0</v>
      </c>
      <c r="F320" s="798">
        <f t="shared" si="255"/>
        <v>0</v>
      </c>
      <c r="G320" s="798">
        <f t="shared" si="255"/>
        <v>0</v>
      </c>
      <c r="H320" s="798">
        <f t="shared" si="255"/>
        <v>0</v>
      </c>
      <c r="I320" s="798">
        <f t="shared" si="255"/>
        <v>0</v>
      </c>
      <c r="J320" s="798">
        <f t="shared" si="255"/>
        <v>0</v>
      </c>
      <c r="K320" s="798">
        <f t="shared" si="255"/>
        <v>0</v>
      </c>
      <c r="L320" s="798">
        <f t="shared" si="255"/>
        <v>0</v>
      </c>
      <c r="M320" s="798">
        <f t="shared" si="255"/>
        <v>0</v>
      </c>
      <c r="N320" s="798">
        <f t="shared" si="255"/>
        <v>0</v>
      </c>
      <c r="O320" s="798">
        <f t="shared" si="255"/>
        <v>0</v>
      </c>
      <c r="P320" s="798">
        <f t="shared" si="255"/>
        <v>0</v>
      </c>
      <c r="Q320" s="798">
        <f t="shared" si="255"/>
        <v>0</v>
      </c>
      <c r="R320" s="798">
        <f t="shared" si="255"/>
        <v>0</v>
      </c>
      <c r="S320" s="798">
        <f t="shared" si="255"/>
        <v>0</v>
      </c>
      <c r="T320" s="798">
        <f t="shared" si="255"/>
        <v>0</v>
      </c>
      <c r="U320" s="798">
        <f t="shared" si="255"/>
        <v>0</v>
      </c>
      <c r="V320" s="798">
        <f t="shared" si="255"/>
        <v>0</v>
      </c>
      <c r="W320" s="798">
        <f t="shared" si="255"/>
        <v>0</v>
      </c>
      <c r="X320" s="798">
        <f t="shared" si="255"/>
        <v>0</v>
      </c>
      <c r="Y320" s="798">
        <f t="shared" si="255"/>
        <v>0</v>
      </c>
      <c r="Z320" s="798">
        <f t="shared" si="255"/>
        <v>0</v>
      </c>
      <c r="AA320" s="798">
        <f t="shared" si="255"/>
        <v>0</v>
      </c>
      <c r="AB320" s="798">
        <f t="shared" si="255"/>
        <v>0</v>
      </c>
      <c r="AC320" s="798">
        <f t="shared" si="255"/>
        <v>0</v>
      </c>
      <c r="AD320" s="798">
        <f t="shared" si="255"/>
        <v>0</v>
      </c>
      <c r="AE320" s="798">
        <f t="shared" si="255"/>
        <v>0</v>
      </c>
      <c r="AF320" s="798">
        <f t="shared" si="255"/>
        <v>0</v>
      </c>
      <c r="AG320" s="798">
        <f t="shared" si="255"/>
        <v>0</v>
      </c>
      <c r="AH320" s="798">
        <f t="shared" si="255"/>
        <v>0</v>
      </c>
      <c r="AI320" s="798">
        <f t="shared" si="255"/>
        <v>0</v>
      </c>
      <c r="AJ320" s="798">
        <f t="shared" si="255"/>
        <v>0</v>
      </c>
      <c r="AK320" s="798">
        <f t="shared" si="255"/>
        <v>-60916274.722085506</v>
      </c>
      <c r="AL320" s="798">
        <f t="shared" si="255"/>
        <v>14315530.3242827</v>
      </c>
      <c r="AM320" s="798">
        <f t="shared" si="255"/>
        <v>205293.34606116661</v>
      </c>
      <c r="AN320" s="798">
        <f t="shared" si="255"/>
        <v>207793.40423970085</v>
      </c>
      <c r="AO320" s="798">
        <f t="shared" si="255"/>
        <v>210260.10262606523</v>
      </c>
      <c r="AP320" s="798">
        <f t="shared" si="255"/>
        <v>211885.65974115423</v>
      </c>
      <c r="AQ320" s="798">
        <f t="shared" si="255"/>
        <v>215188.01193420406</v>
      </c>
      <c r="AR320" s="798">
        <f t="shared" si="255"/>
        <v>218012.9416200624</v>
      </c>
      <c r="AS320" s="798">
        <f t="shared" si="255"/>
        <v>213181.07686987985</v>
      </c>
      <c r="AT320" s="798">
        <f t="shared" si="255"/>
        <v>214770.00861920218</v>
      </c>
      <c r="AU320" s="798">
        <f t="shared" si="255"/>
        <v>216264.46058470523</v>
      </c>
      <c r="AV320" s="798">
        <f t="shared" si="255"/>
        <v>218515.59404432448</v>
      </c>
      <c r="AW320" s="798">
        <f t="shared" si="255"/>
        <v>220675.94358853242</v>
      </c>
      <c r="AX320" s="798">
        <f t="shared" si="255"/>
        <v>222710.56184153532</v>
      </c>
      <c r="AY320" s="798">
        <f t="shared" si="255"/>
        <v>224665.72728851769</v>
      </c>
      <c r="AZ320" s="798">
        <f t="shared" si="255"/>
        <v>226548.52262565284</v>
      </c>
      <c r="BA320" s="798">
        <f t="shared" si="255"/>
        <v>228304.85297686295</v>
      </c>
      <c r="BB320" s="798">
        <f t="shared" si="255"/>
        <v>229344.9930368007</v>
      </c>
      <c r="BC320" s="798">
        <f t="shared" si="255"/>
        <v>231542.10904179295</v>
      </c>
      <c r="BD320" s="798">
        <f t="shared" si="255"/>
        <v>233317.7080138704</v>
      </c>
      <c r="BE320" s="798">
        <f t="shared" si="255"/>
        <v>229013.16839337221</v>
      </c>
      <c r="BF320" s="798">
        <f t="shared" si="255"/>
        <v>229911.66091752306</v>
      </c>
      <c r="BG320" s="798">
        <f t="shared" si="255"/>
        <v>230813.78680437503</v>
      </c>
      <c r="BH320" s="798">
        <f t="shared" si="255"/>
        <v>232345.63973502186</v>
      </c>
      <c r="BI320" s="798">
        <f t="shared" si="255"/>
        <v>233902.4265315792</v>
      </c>
      <c r="BJ320" s="798">
        <f t="shared" si="255"/>
        <v>235545.94755839423</v>
      </c>
      <c r="BK320" s="798">
        <f t="shared" si="255"/>
        <v>237262.50476525677</v>
      </c>
      <c r="BL320" s="798">
        <f t="shared" si="255"/>
        <v>238991.57351446556</v>
      </c>
      <c r="BM320" s="798">
        <f t="shared" si="255"/>
        <v>240811.21361387809</v>
      </c>
      <c r="BN320" s="798">
        <f t="shared" si="255"/>
        <v>242002.34658988175</v>
      </c>
      <c r="BO320" s="798">
        <f t="shared" si="255"/>
        <v>244627.30669974274</v>
      </c>
      <c r="BP320" s="798">
        <f t="shared" si="255"/>
        <v>246922.0418636211</v>
      </c>
      <c r="BQ320" s="798">
        <f t="shared" ref="BQ320:DU320" si="256">BQ282</f>
        <v>242733.25370419392</v>
      </c>
      <c r="BR320" s="798">
        <f t="shared" si="256"/>
        <v>244033.96696505454</v>
      </c>
      <c r="BS320" s="798">
        <f t="shared" si="256"/>
        <v>245313.14997026659</v>
      </c>
      <c r="BT320" s="798">
        <f t="shared" si="256"/>
        <v>247377.11673495109</v>
      </c>
      <c r="BU320" s="798">
        <f t="shared" si="256"/>
        <v>249414.97281073497</v>
      </c>
      <c r="BV320" s="798">
        <f t="shared" si="256"/>
        <v>251479.3205969065</v>
      </c>
      <c r="BW320" s="798">
        <f t="shared" si="256"/>
        <v>253576.88775609701</v>
      </c>
      <c r="BX320" s="798">
        <f t="shared" si="256"/>
        <v>255660.88139998799</v>
      </c>
      <c r="BY320" s="798">
        <f t="shared" si="256"/>
        <v>257780.55934433491</v>
      </c>
      <c r="BZ320" s="798">
        <f t="shared" si="256"/>
        <v>259130.53765731424</v>
      </c>
      <c r="CA320" s="798">
        <f t="shared" si="256"/>
        <v>262044.06866613019</v>
      </c>
      <c r="CB320" s="798">
        <f t="shared" si="256"/>
        <v>264568.88723862561</v>
      </c>
      <c r="CC320" s="798">
        <f t="shared" si="256"/>
        <v>260334.62676779419</v>
      </c>
      <c r="CD320" s="798">
        <f t="shared" si="256"/>
        <v>261766.27506953065</v>
      </c>
      <c r="CE320" s="798">
        <f t="shared" si="256"/>
        <v>263169.39895795332</v>
      </c>
      <c r="CF320" s="798">
        <f t="shared" si="256"/>
        <v>265374.12330500968</v>
      </c>
      <c r="CG320" s="798">
        <f t="shared" si="256"/>
        <v>267569.84631198365</v>
      </c>
      <c r="CH320" s="798">
        <f t="shared" si="256"/>
        <v>269785.75663471175</v>
      </c>
      <c r="CI320" s="798">
        <f t="shared" si="256"/>
        <v>271981.27502716507</v>
      </c>
      <c r="CJ320" s="798">
        <f t="shared" si="256"/>
        <v>274209.9614994725</v>
      </c>
      <c r="CK320" s="798">
        <f t="shared" si="256"/>
        <v>276471.37765448482</v>
      </c>
      <c r="CL320" s="798">
        <f t="shared" si="256"/>
        <v>277910.21305872517</v>
      </c>
      <c r="CM320" s="798">
        <f t="shared" si="256"/>
        <v>280971.24051798158</v>
      </c>
      <c r="CN320" s="798">
        <f t="shared" si="256"/>
        <v>283611.40197433194</v>
      </c>
      <c r="CO320" s="798">
        <f t="shared" si="256"/>
        <v>279273.11677509604</v>
      </c>
      <c r="CP320" s="798">
        <f t="shared" si="256"/>
        <v>280770.93938649778</v>
      </c>
      <c r="CQ320" s="798">
        <f t="shared" si="256"/>
        <v>282239.46279127692</v>
      </c>
      <c r="CR320" s="798">
        <f t="shared" si="256"/>
        <v>284516.27143163967</v>
      </c>
      <c r="CS320" s="798">
        <f t="shared" si="256"/>
        <v>286814.10642290174</v>
      </c>
      <c r="CT320" s="798">
        <f t="shared" si="256"/>
        <v>289146.38855799765</v>
      </c>
      <c r="CU320" s="798">
        <f t="shared" si="256"/>
        <v>291451.51423692808</v>
      </c>
      <c r="CV320" s="798">
        <f t="shared" si="256"/>
        <v>293779.70006957493</v>
      </c>
      <c r="CW320" s="798">
        <f t="shared" si="256"/>
        <v>52471820.410454184</v>
      </c>
      <c r="CX320" s="798">
        <f t="shared" si="256"/>
        <v>0</v>
      </c>
      <c r="CY320" s="798">
        <f t="shared" si="256"/>
        <v>0</v>
      </c>
      <c r="CZ320" s="798">
        <f t="shared" si="256"/>
        <v>0</v>
      </c>
      <c r="DA320" s="798">
        <f t="shared" si="256"/>
        <v>0</v>
      </c>
      <c r="DB320" s="798">
        <f t="shared" si="256"/>
        <v>0</v>
      </c>
      <c r="DC320" s="798">
        <f t="shared" si="256"/>
        <v>0</v>
      </c>
      <c r="DD320" s="798">
        <f t="shared" si="256"/>
        <v>0</v>
      </c>
      <c r="DE320" s="798">
        <f t="shared" si="256"/>
        <v>0</v>
      </c>
      <c r="DF320" s="798">
        <f t="shared" si="256"/>
        <v>0</v>
      </c>
      <c r="DG320" s="798">
        <f t="shared" si="256"/>
        <v>0</v>
      </c>
      <c r="DH320" s="798">
        <f t="shared" si="256"/>
        <v>0</v>
      </c>
      <c r="DI320" s="798">
        <f t="shared" si="256"/>
        <v>0</v>
      </c>
      <c r="DJ320" s="798">
        <f t="shared" si="256"/>
        <v>0</v>
      </c>
      <c r="DK320" s="798">
        <f t="shared" si="256"/>
        <v>0</v>
      </c>
      <c r="DL320" s="798">
        <f t="shared" si="256"/>
        <v>0</v>
      </c>
      <c r="DM320" s="798">
        <f t="shared" si="256"/>
        <v>0</v>
      </c>
      <c r="DN320" s="798">
        <f t="shared" si="256"/>
        <v>0</v>
      </c>
      <c r="DO320" s="798">
        <f t="shared" si="256"/>
        <v>0</v>
      </c>
      <c r="DP320" s="798">
        <f t="shared" si="256"/>
        <v>0</v>
      </c>
      <c r="DQ320" s="798">
        <f t="shared" si="256"/>
        <v>0</v>
      </c>
      <c r="DR320" s="798">
        <f t="shared" si="256"/>
        <v>0</v>
      </c>
      <c r="DS320" s="798">
        <f t="shared" si="256"/>
        <v>0</v>
      </c>
      <c r="DT320" s="798">
        <f t="shared" si="256"/>
        <v>0</v>
      </c>
      <c r="DU320" s="798">
        <f t="shared" si="256"/>
        <v>0</v>
      </c>
      <c r="DV320" s="798"/>
      <c r="DW320" s="798"/>
      <c r="DX320" s="798"/>
      <c r="DY320" s="798"/>
      <c r="DZ320" s="798"/>
      <c r="EA320" s="798"/>
      <c r="EB320" s="798"/>
      <c r="EC320" s="798"/>
      <c r="ED320" s="798"/>
      <c r="EE320" s="798"/>
      <c r="EF320" s="798"/>
      <c r="EG320" s="798"/>
      <c r="EH320" s="782"/>
    </row>
    <row r="321" spans="1:138" ht="12.75" customHeight="1" x14ac:dyDescent="0.3">
      <c r="A321" s="782"/>
      <c r="B321" s="781" t="s">
        <v>177</v>
      </c>
      <c r="C321" s="799"/>
      <c r="D321" s="781"/>
      <c r="E321" s="799">
        <f t="shared" ref="E321:BP321" si="257">E304</f>
        <v>0</v>
      </c>
      <c r="F321" s="799">
        <f t="shared" si="257"/>
        <v>0</v>
      </c>
      <c r="G321" s="799">
        <f t="shared" si="257"/>
        <v>0</v>
      </c>
      <c r="H321" s="799">
        <f t="shared" si="257"/>
        <v>0</v>
      </c>
      <c r="I321" s="799">
        <f t="shared" si="257"/>
        <v>0</v>
      </c>
      <c r="J321" s="799">
        <f t="shared" si="257"/>
        <v>0</v>
      </c>
      <c r="K321" s="799">
        <f t="shared" si="257"/>
        <v>0</v>
      </c>
      <c r="L321" s="799">
        <f t="shared" si="257"/>
        <v>0</v>
      </c>
      <c r="M321" s="799">
        <f t="shared" si="257"/>
        <v>0</v>
      </c>
      <c r="N321" s="799">
        <f t="shared" si="257"/>
        <v>0</v>
      </c>
      <c r="O321" s="799">
        <f t="shared" si="257"/>
        <v>0</v>
      </c>
      <c r="P321" s="799">
        <f t="shared" si="257"/>
        <v>0</v>
      </c>
      <c r="Q321" s="799">
        <f t="shared" si="257"/>
        <v>0</v>
      </c>
      <c r="R321" s="799">
        <f t="shared" si="257"/>
        <v>0</v>
      </c>
      <c r="S321" s="799">
        <f t="shared" si="257"/>
        <v>0</v>
      </c>
      <c r="T321" s="799">
        <f t="shared" si="257"/>
        <v>0</v>
      </c>
      <c r="U321" s="799">
        <f t="shared" si="257"/>
        <v>0</v>
      </c>
      <c r="V321" s="799">
        <f t="shared" si="257"/>
        <v>0</v>
      </c>
      <c r="W321" s="799">
        <f t="shared" si="257"/>
        <v>0</v>
      </c>
      <c r="X321" s="799">
        <f t="shared" si="257"/>
        <v>0</v>
      </c>
      <c r="Y321" s="799">
        <f t="shared" si="257"/>
        <v>0</v>
      </c>
      <c r="Z321" s="799">
        <f t="shared" si="257"/>
        <v>0</v>
      </c>
      <c r="AA321" s="799">
        <f t="shared" si="257"/>
        <v>0</v>
      </c>
      <c r="AB321" s="799">
        <f t="shared" si="257"/>
        <v>0</v>
      </c>
      <c r="AC321" s="799">
        <f t="shared" si="257"/>
        <v>0</v>
      </c>
      <c r="AD321" s="799">
        <f t="shared" si="257"/>
        <v>0</v>
      </c>
      <c r="AE321" s="799">
        <f t="shared" si="257"/>
        <v>0</v>
      </c>
      <c r="AF321" s="799">
        <f t="shared" si="257"/>
        <v>0</v>
      </c>
      <c r="AG321" s="799">
        <f t="shared" si="257"/>
        <v>0</v>
      </c>
      <c r="AH321" s="799">
        <f t="shared" si="257"/>
        <v>0</v>
      </c>
      <c r="AI321" s="799">
        <f t="shared" si="257"/>
        <v>0</v>
      </c>
      <c r="AJ321" s="799">
        <f t="shared" si="257"/>
        <v>0</v>
      </c>
      <c r="AK321" s="799">
        <f t="shared" si="257"/>
        <v>0</v>
      </c>
      <c r="AL321" s="799">
        <f t="shared" si="257"/>
        <v>0</v>
      </c>
      <c r="AM321" s="799">
        <f t="shared" si="257"/>
        <v>0</v>
      </c>
      <c r="AN321" s="799">
        <f t="shared" si="257"/>
        <v>0</v>
      </c>
      <c r="AO321" s="799">
        <f t="shared" si="257"/>
        <v>0</v>
      </c>
      <c r="AP321" s="799">
        <f t="shared" si="257"/>
        <v>0</v>
      </c>
      <c r="AQ321" s="799">
        <f t="shared" si="257"/>
        <v>0</v>
      </c>
      <c r="AR321" s="799">
        <f t="shared" si="257"/>
        <v>0</v>
      </c>
      <c r="AS321" s="799">
        <f t="shared" si="257"/>
        <v>0</v>
      </c>
      <c r="AT321" s="799">
        <f t="shared" si="257"/>
        <v>0</v>
      </c>
      <c r="AU321" s="799">
        <f t="shared" si="257"/>
        <v>0</v>
      </c>
      <c r="AV321" s="799">
        <f t="shared" si="257"/>
        <v>0</v>
      </c>
      <c r="AW321" s="799">
        <f t="shared" si="257"/>
        <v>0</v>
      </c>
      <c r="AX321" s="799">
        <f t="shared" si="257"/>
        <v>0</v>
      </c>
      <c r="AY321" s="799">
        <f t="shared" si="257"/>
        <v>0</v>
      </c>
      <c r="AZ321" s="799">
        <f t="shared" si="257"/>
        <v>0</v>
      </c>
      <c r="BA321" s="799">
        <f t="shared" si="257"/>
        <v>0</v>
      </c>
      <c r="BB321" s="799">
        <f t="shared" si="257"/>
        <v>0</v>
      </c>
      <c r="BC321" s="799">
        <f t="shared" si="257"/>
        <v>0</v>
      </c>
      <c r="BD321" s="799">
        <f t="shared" si="257"/>
        <v>0</v>
      </c>
      <c r="BE321" s="799">
        <f t="shared" si="257"/>
        <v>0</v>
      </c>
      <c r="BF321" s="799">
        <f t="shared" si="257"/>
        <v>0</v>
      </c>
      <c r="BG321" s="799">
        <f t="shared" si="257"/>
        <v>0</v>
      </c>
      <c r="BH321" s="799">
        <f t="shared" si="257"/>
        <v>0</v>
      </c>
      <c r="BI321" s="799">
        <f t="shared" si="257"/>
        <v>0</v>
      </c>
      <c r="BJ321" s="799">
        <f t="shared" si="257"/>
        <v>0</v>
      </c>
      <c r="BK321" s="799">
        <f t="shared" si="257"/>
        <v>0</v>
      </c>
      <c r="BL321" s="799">
        <f t="shared" si="257"/>
        <v>0</v>
      </c>
      <c r="BM321" s="799">
        <f t="shared" si="257"/>
        <v>0</v>
      </c>
      <c r="BN321" s="799">
        <f t="shared" si="257"/>
        <v>0</v>
      </c>
      <c r="BO321" s="799">
        <f t="shared" si="257"/>
        <v>0</v>
      </c>
      <c r="BP321" s="799">
        <f t="shared" si="257"/>
        <v>0</v>
      </c>
      <c r="BQ321" s="799">
        <f t="shared" ref="BQ321:DU321" si="258">BQ304</f>
        <v>0</v>
      </c>
      <c r="BR321" s="799">
        <f t="shared" si="258"/>
        <v>0</v>
      </c>
      <c r="BS321" s="799">
        <f t="shared" si="258"/>
        <v>0</v>
      </c>
      <c r="BT321" s="799">
        <f t="shared" si="258"/>
        <v>0</v>
      </c>
      <c r="BU321" s="799">
        <f t="shared" si="258"/>
        <v>0</v>
      </c>
      <c r="BV321" s="799">
        <f t="shared" si="258"/>
        <v>0</v>
      </c>
      <c r="BW321" s="799">
        <f t="shared" si="258"/>
        <v>0</v>
      </c>
      <c r="BX321" s="799">
        <f t="shared" si="258"/>
        <v>0</v>
      </c>
      <c r="BY321" s="799">
        <f t="shared" si="258"/>
        <v>0</v>
      </c>
      <c r="BZ321" s="799">
        <f t="shared" si="258"/>
        <v>0</v>
      </c>
      <c r="CA321" s="799">
        <f t="shared" si="258"/>
        <v>0</v>
      </c>
      <c r="CB321" s="799">
        <f t="shared" si="258"/>
        <v>0</v>
      </c>
      <c r="CC321" s="799">
        <f t="shared" si="258"/>
        <v>0</v>
      </c>
      <c r="CD321" s="799">
        <f t="shared" si="258"/>
        <v>0</v>
      </c>
      <c r="CE321" s="799">
        <f t="shared" si="258"/>
        <v>0</v>
      </c>
      <c r="CF321" s="799">
        <f t="shared" si="258"/>
        <v>0</v>
      </c>
      <c r="CG321" s="799">
        <f t="shared" si="258"/>
        <v>0</v>
      </c>
      <c r="CH321" s="799">
        <f t="shared" si="258"/>
        <v>0</v>
      </c>
      <c r="CI321" s="799">
        <f t="shared" si="258"/>
        <v>0</v>
      </c>
      <c r="CJ321" s="799">
        <f t="shared" si="258"/>
        <v>0</v>
      </c>
      <c r="CK321" s="799">
        <f t="shared" si="258"/>
        <v>0</v>
      </c>
      <c r="CL321" s="799">
        <f t="shared" si="258"/>
        <v>0</v>
      </c>
      <c r="CM321" s="799">
        <f t="shared" si="258"/>
        <v>0</v>
      </c>
      <c r="CN321" s="799">
        <f t="shared" si="258"/>
        <v>0</v>
      </c>
      <c r="CO321" s="799">
        <f t="shared" si="258"/>
        <v>0</v>
      </c>
      <c r="CP321" s="799">
        <f t="shared" si="258"/>
        <v>0</v>
      </c>
      <c r="CQ321" s="799">
        <f t="shared" si="258"/>
        <v>0</v>
      </c>
      <c r="CR321" s="799">
        <f t="shared" si="258"/>
        <v>0</v>
      </c>
      <c r="CS321" s="799">
        <f t="shared" si="258"/>
        <v>0</v>
      </c>
      <c r="CT321" s="799">
        <f t="shared" si="258"/>
        <v>0</v>
      </c>
      <c r="CU321" s="799">
        <f t="shared" si="258"/>
        <v>0</v>
      </c>
      <c r="CV321" s="799">
        <f t="shared" si="258"/>
        <v>0</v>
      </c>
      <c r="CW321" s="799">
        <f t="shared" si="258"/>
        <v>6567217.6265614787</v>
      </c>
      <c r="CX321" s="799">
        <f t="shared" si="258"/>
        <v>0</v>
      </c>
      <c r="CY321" s="799">
        <f t="shared" si="258"/>
        <v>0</v>
      </c>
      <c r="CZ321" s="799">
        <f t="shared" si="258"/>
        <v>0</v>
      </c>
      <c r="DA321" s="799">
        <f t="shared" si="258"/>
        <v>0</v>
      </c>
      <c r="DB321" s="799">
        <f t="shared" si="258"/>
        <v>0</v>
      </c>
      <c r="DC321" s="799">
        <f t="shared" si="258"/>
        <v>0</v>
      </c>
      <c r="DD321" s="799">
        <f t="shared" si="258"/>
        <v>0</v>
      </c>
      <c r="DE321" s="799">
        <f t="shared" si="258"/>
        <v>0</v>
      </c>
      <c r="DF321" s="799">
        <f t="shared" si="258"/>
        <v>0</v>
      </c>
      <c r="DG321" s="799">
        <f t="shared" si="258"/>
        <v>0</v>
      </c>
      <c r="DH321" s="799">
        <f t="shared" si="258"/>
        <v>0</v>
      </c>
      <c r="DI321" s="799">
        <f t="shared" si="258"/>
        <v>0</v>
      </c>
      <c r="DJ321" s="799">
        <f t="shared" si="258"/>
        <v>0</v>
      </c>
      <c r="DK321" s="799">
        <f t="shared" si="258"/>
        <v>0</v>
      </c>
      <c r="DL321" s="799">
        <f t="shared" si="258"/>
        <v>0</v>
      </c>
      <c r="DM321" s="799">
        <f t="shared" si="258"/>
        <v>0</v>
      </c>
      <c r="DN321" s="799">
        <f t="shared" si="258"/>
        <v>0</v>
      </c>
      <c r="DO321" s="799">
        <f t="shared" si="258"/>
        <v>0</v>
      </c>
      <c r="DP321" s="799">
        <f t="shared" si="258"/>
        <v>0</v>
      </c>
      <c r="DQ321" s="799">
        <f t="shared" si="258"/>
        <v>0</v>
      </c>
      <c r="DR321" s="799">
        <f t="shared" si="258"/>
        <v>0</v>
      </c>
      <c r="DS321" s="799">
        <f t="shared" si="258"/>
        <v>0</v>
      </c>
      <c r="DT321" s="799">
        <f t="shared" si="258"/>
        <v>0</v>
      </c>
      <c r="DU321" s="799">
        <f t="shared" si="258"/>
        <v>0</v>
      </c>
      <c r="DV321" s="798"/>
      <c r="DW321" s="798"/>
      <c r="DX321" s="798"/>
      <c r="DY321" s="798"/>
      <c r="DZ321" s="798"/>
      <c r="EA321" s="798"/>
      <c r="EB321" s="798"/>
      <c r="EC321" s="798"/>
      <c r="ED321" s="798"/>
      <c r="EE321" s="798"/>
      <c r="EF321" s="798"/>
      <c r="EG321" s="798"/>
      <c r="EH321" s="782"/>
    </row>
    <row r="322" spans="1:138" ht="12.75" customHeight="1" x14ac:dyDescent="0.3">
      <c r="A322" s="782"/>
      <c r="B322" s="782" t="s">
        <v>169</v>
      </c>
      <c r="C322" s="798"/>
      <c r="D322" s="782"/>
      <c r="E322" s="798">
        <f t="shared" ref="E322:BP322" si="259">E316-E320-E321</f>
        <v>0</v>
      </c>
      <c r="F322" s="798">
        <f t="shared" si="259"/>
        <v>0</v>
      </c>
      <c r="G322" s="798">
        <f t="shared" si="259"/>
        <v>0</v>
      </c>
      <c r="H322" s="798">
        <f t="shared" si="259"/>
        <v>0</v>
      </c>
      <c r="I322" s="798">
        <f t="shared" si="259"/>
        <v>0</v>
      </c>
      <c r="J322" s="798">
        <f t="shared" si="259"/>
        <v>0</v>
      </c>
      <c r="K322" s="798">
        <f t="shared" si="259"/>
        <v>0</v>
      </c>
      <c r="L322" s="798">
        <f t="shared" si="259"/>
        <v>0</v>
      </c>
      <c r="M322" s="798">
        <f t="shared" si="259"/>
        <v>0</v>
      </c>
      <c r="N322" s="798">
        <f t="shared" si="259"/>
        <v>0</v>
      </c>
      <c r="O322" s="798">
        <f t="shared" si="259"/>
        <v>0</v>
      </c>
      <c r="P322" s="798">
        <f t="shared" si="259"/>
        <v>0</v>
      </c>
      <c r="Q322" s="798">
        <f t="shared" si="259"/>
        <v>0</v>
      </c>
      <c r="R322" s="798">
        <f t="shared" si="259"/>
        <v>0</v>
      </c>
      <c r="S322" s="798">
        <f t="shared" si="259"/>
        <v>0</v>
      </c>
      <c r="T322" s="798">
        <f t="shared" si="259"/>
        <v>0</v>
      </c>
      <c r="U322" s="798">
        <f t="shared" si="259"/>
        <v>0</v>
      </c>
      <c r="V322" s="798">
        <f t="shared" si="259"/>
        <v>0</v>
      </c>
      <c r="W322" s="798">
        <f t="shared" si="259"/>
        <v>0</v>
      </c>
      <c r="X322" s="798">
        <f t="shared" si="259"/>
        <v>0</v>
      </c>
      <c r="Y322" s="798">
        <f t="shared" si="259"/>
        <v>0</v>
      </c>
      <c r="Z322" s="798">
        <f t="shared" si="259"/>
        <v>0</v>
      </c>
      <c r="AA322" s="798">
        <f t="shared" si="259"/>
        <v>0</v>
      </c>
      <c r="AB322" s="798">
        <f t="shared" si="259"/>
        <v>0</v>
      </c>
      <c r="AC322" s="798">
        <f t="shared" si="259"/>
        <v>0</v>
      </c>
      <c r="AD322" s="798">
        <f t="shared" si="259"/>
        <v>0</v>
      </c>
      <c r="AE322" s="798">
        <f t="shared" si="259"/>
        <v>0</v>
      </c>
      <c r="AF322" s="798">
        <f t="shared" si="259"/>
        <v>0</v>
      </c>
      <c r="AG322" s="798">
        <f t="shared" si="259"/>
        <v>0</v>
      </c>
      <c r="AH322" s="798">
        <f t="shared" si="259"/>
        <v>0</v>
      </c>
      <c r="AI322" s="798">
        <f t="shared" si="259"/>
        <v>0</v>
      </c>
      <c r="AJ322" s="798">
        <f t="shared" si="259"/>
        <v>0</v>
      </c>
      <c r="AK322" s="798">
        <f t="shared" si="259"/>
        <v>0</v>
      </c>
      <c r="AL322" s="798">
        <f t="shared" si="259"/>
        <v>0</v>
      </c>
      <c r="AM322" s="798">
        <f t="shared" si="259"/>
        <v>0</v>
      </c>
      <c r="AN322" s="798">
        <f t="shared" si="259"/>
        <v>0</v>
      </c>
      <c r="AO322" s="798">
        <f t="shared" si="259"/>
        <v>0</v>
      </c>
      <c r="AP322" s="798">
        <f t="shared" si="259"/>
        <v>0</v>
      </c>
      <c r="AQ322" s="798">
        <f t="shared" si="259"/>
        <v>0</v>
      </c>
      <c r="AR322" s="798">
        <f t="shared" si="259"/>
        <v>0</v>
      </c>
      <c r="AS322" s="798">
        <f t="shared" si="259"/>
        <v>0</v>
      </c>
      <c r="AT322" s="798">
        <f t="shared" si="259"/>
        <v>0</v>
      </c>
      <c r="AU322" s="798">
        <f t="shared" si="259"/>
        <v>0</v>
      </c>
      <c r="AV322" s="798">
        <f t="shared" si="259"/>
        <v>0</v>
      </c>
      <c r="AW322" s="798">
        <f t="shared" si="259"/>
        <v>0</v>
      </c>
      <c r="AX322" s="798">
        <f t="shared" si="259"/>
        <v>0</v>
      </c>
      <c r="AY322" s="798">
        <f t="shared" si="259"/>
        <v>0</v>
      </c>
      <c r="AZ322" s="798">
        <f t="shared" si="259"/>
        <v>0</v>
      </c>
      <c r="BA322" s="798">
        <f t="shared" si="259"/>
        <v>0</v>
      </c>
      <c r="BB322" s="798">
        <f t="shared" si="259"/>
        <v>0</v>
      </c>
      <c r="BC322" s="798">
        <f t="shared" si="259"/>
        <v>0</v>
      </c>
      <c r="BD322" s="798">
        <f t="shared" si="259"/>
        <v>0</v>
      </c>
      <c r="BE322" s="798">
        <f t="shared" si="259"/>
        <v>0</v>
      </c>
      <c r="BF322" s="798">
        <f t="shared" si="259"/>
        <v>0</v>
      </c>
      <c r="BG322" s="798">
        <f t="shared" si="259"/>
        <v>0</v>
      </c>
      <c r="BH322" s="798">
        <f t="shared" si="259"/>
        <v>0</v>
      </c>
      <c r="BI322" s="798">
        <f t="shared" si="259"/>
        <v>0</v>
      </c>
      <c r="BJ322" s="798">
        <f t="shared" si="259"/>
        <v>0</v>
      </c>
      <c r="BK322" s="798">
        <f t="shared" si="259"/>
        <v>0</v>
      </c>
      <c r="BL322" s="798">
        <f t="shared" si="259"/>
        <v>0</v>
      </c>
      <c r="BM322" s="798">
        <f t="shared" si="259"/>
        <v>0</v>
      </c>
      <c r="BN322" s="798">
        <f t="shared" si="259"/>
        <v>0</v>
      </c>
      <c r="BO322" s="798">
        <f t="shared" si="259"/>
        <v>0</v>
      </c>
      <c r="BP322" s="798">
        <f t="shared" si="259"/>
        <v>0</v>
      </c>
      <c r="BQ322" s="798">
        <f t="shared" ref="BQ322:DU322" si="260">BQ316-BQ320-BQ321</f>
        <v>0</v>
      </c>
      <c r="BR322" s="798">
        <f t="shared" si="260"/>
        <v>0</v>
      </c>
      <c r="BS322" s="798">
        <f t="shared" si="260"/>
        <v>0</v>
      </c>
      <c r="BT322" s="798">
        <f t="shared" si="260"/>
        <v>0</v>
      </c>
      <c r="BU322" s="798">
        <f t="shared" si="260"/>
        <v>0</v>
      </c>
      <c r="BV322" s="798">
        <f t="shared" si="260"/>
        <v>0</v>
      </c>
      <c r="BW322" s="798">
        <f t="shared" si="260"/>
        <v>0</v>
      </c>
      <c r="BX322" s="798">
        <f t="shared" si="260"/>
        <v>0</v>
      </c>
      <c r="BY322" s="798">
        <f t="shared" si="260"/>
        <v>0</v>
      </c>
      <c r="BZ322" s="798">
        <f t="shared" si="260"/>
        <v>0</v>
      </c>
      <c r="CA322" s="798">
        <f t="shared" si="260"/>
        <v>0</v>
      </c>
      <c r="CB322" s="798">
        <f t="shared" si="260"/>
        <v>0</v>
      </c>
      <c r="CC322" s="798">
        <f t="shared" si="260"/>
        <v>0</v>
      </c>
      <c r="CD322" s="798">
        <f t="shared" si="260"/>
        <v>0</v>
      </c>
      <c r="CE322" s="798">
        <f t="shared" si="260"/>
        <v>0</v>
      </c>
      <c r="CF322" s="798">
        <f t="shared" si="260"/>
        <v>0</v>
      </c>
      <c r="CG322" s="798">
        <f t="shared" si="260"/>
        <v>0</v>
      </c>
      <c r="CH322" s="798">
        <f t="shared" si="260"/>
        <v>0</v>
      </c>
      <c r="CI322" s="798">
        <f t="shared" si="260"/>
        <v>0</v>
      </c>
      <c r="CJ322" s="798">
        <f t="shared" si="260"/>
        <v>0</v>
      </c>
      <c r="CK322" s="798">
        <f t="shared" si="260"/>
        <v>0</v>
      </c>
      <c r="CL322" s="798">
        <f t="shared" si="260"/>
        <v>0</v>
      </c>
      <c r="CM322" s="798">
        <f t="shared" si="260"/>
        <v>0</v>
      </c>
      <c r="CN322" s="798">
        <f t="shared" si="260"/>
        <v>0</v>
      </c>
      <c r="CO322" s="798">
        <f t="shared" si="260"/>
        <v>0</v>
      </c>
      <c r="CP322" s="798">
        <f t="shared" si="260"/>
        <v>0</v>
      </c>
      <c r="CQ322" s="798">
        <f t="shared" si="260"/>
        <v>0</v>
      </c>
      <c r="CR322" s="798">
        <f t="shared" si="260"/>
        <v>0</v>
      </c>
      <c r="CS322" s="798">
        <f t="shared" si="260"/>
        <v>0</v>
      </c>
      <c r="CT322" s="798">
        <f t="shared" si="260"/>
        <v>0</v>
      </c>
      <c r="CU322" s="798">
        <f t="shared" si="260"/>
        <v>0</v>
      </c>
      <c r="CV322" s="798">
        <f t="shared" si="260"/>
        <v>0</v>
      </c>
      <c r="CW322" s="798">
        <f t="shared" si="260"/>
        <v>-985082.64398422185</v>
      </c>
      <c r="CX322" s="798">
        <f t="shared" si="260"/>
        <v>0</v>
      </c>
      <c r="CY322" s="798">
        <f t="shared" si="260"/>
        <v>0</v>
      </c>
      <c r="CZ322" s="798">
        <f t="shared" si="260"/>
        <v>0</v>
      </c>
      <c r="DA322" s="798">
        <f t="shared" si="260"/>
        <v>0</v>
      </c>
      <c r="DB322" s="798">
        <f t="shared" si="260"/>
        <v>0</v>
      </c>
      <c r="DC322" s="798">
        <f t="shared" si="260"/>
        <v>0</v>
      </c>
      <c r="DD322" s="798">
        <f t="shared" si="260"/>
        <v>0</v>
      </c>
      <c r="DE322" s="798">
        <f t="shared" si="260"/>
        <v>0</v>
      </c>
      <c r="DF322" s="798">
        <f t="shared" si="260"/>
        <v>0</v>
      </c>
      <c r="DG322" s="798">
        <f t="shared" si="260"/>
        <v>0</v>
      </c>
      <c r="DH322" s="798">
        <f t="shared" si="260"/>
        <v>0</v>
      </c>
      <c r="DI322" s="798">
        <f t="shared" si="260"/>
        <v>0</v>
      </c>
      <c r="DJ322" s="798">
        <f t="shared" si="260"/>
        <v>0</v>
      </c>
      <c r="DK322" s="798">
        <f t="shared" si="260"/>
        <v>0</v>
      </c>
      <c r="DL322" s="798">
        <f t="shared" si="260"/>
        <v>0</v>
      </c>
      <c r="DM322" s="798">
        <f t="shared" si="260"/>
        <v>0</v>
      </c>
      <c r="DN322" s="798">
        <f t="shared" si="260"/>
        <v>0</v>
      </c>
      <c r="DO322" s="798">
        <f t="shared" si="260"/>
        <v>0</v>
      </c>
      <c r="DP322" s="798">
        <f t="shared" si="260"/>
        <v>0</v>
      </c>
      <c r="DQ322" s="798">
        <f t="shared" si="260"/>
        <v>0</v>
      </c>
      <c r="DR322" s="798">
        <f t="shared" si="260"/>
        <v>0</v>
      </c>
      <c r="DS322" s="798">
        <f t="shared" si="260"/>
        <v>0</v>
      </c>
      <c r="DT322" s="798">
        <f t="shared" si="260"/>
        <v>0</v>
      </c>
      <c r="DU322" s="798">
        <f t="shared" si="260"/>
        <v>0</v>
      </c>
      <c r="DV322" s="798"/>
      <c r="DW322" s="798"/>
      <c r="DX322" s="798"/>
      <c r="DY322" s="798"/>
      <c r="DZ322" s="798"/>
      <c r="EA322" s="798"/>
      <c r="EB322" s="798"/>
      <c r="EC322" s="798"/>
      <c r="ED322" s="798"/>
      <c r="EE322" s="798"/>
      <c r="EF322" s="798"/>
      <c r="EG322" s="798"/>
      <c r="EH322" s="782"/>
    </row>
    <row r="323" spans="1:138" ht="12.75" customHeight="1" x14ac:dyDescent="0.3">
      <c r="A323" s="782"/>
      <c r="B323" s="782" t="s">
        <v>170</v>
      </c>
      <c r="C323" s="798"/>
      <c r="D323" s="782"/>
      <c r="E323" s="798">
        <f>MIN(E305,E322/'Venture Assumptions'!$F$46)</f>
        <v>0</v>
      </c>
      <c r="F323" s="798">
        <f>MIN(F305,F322/'Venture Assumptions'!$F$46)</f>
        <v>0</v>
      </c>
      <c r="G323" s="798">
        <f>MIN(G305,G322/'Venture Assumptions'!$F$46)</f>
        <v>0</v>
      </c>
      <c r="H323" s="798">
        <f>MIN(H305,H322/'Venture Assumptions'!$F$46)</f>
        <v>0</v>
      </c>
      <c r="I323" s="798">
        <f>MIN(I305,I322/'Venture Assumptions'!$F$46)</f>
        <v>0</v>
      </c>
      <c r="J323" s="798">
        <f>MIN(J305,J322/'Venture Assumptions'!$F$46)</f>
        <v>0</v>
      </c>
      <c r="K323" s="798">
        <f>MIN(K305,K322/'Venture Assumptions'!$F$46)</f>
        <v>0</v>
      </c>
      <c r="L323" s="798">
        <f>MIN(L305,L322/'Venture Assumptions'!$F$46)</f>
        <v>0</v>
      </c>
      <c r="M323" s="798">
        <f>MIN(M305,M322/'Venture Assumptions'!$F$46)</f>
        <v>0</v>
      </c>
      <c r="N323" s="798">
        <f>MIN(N305,N322/'Venture Assumptions'!$F$46)</f>
        <v>0</v>
      </c>
      <c r="O323" s="798">
        <f>MIN(O305,O322/'Venture Assumptions'!$F$46)</f>
        <v>0</v>
      </c>
      <c r="P323" s="798">
        <f>MIN(P305,P322/'Venture Assumptions'!$F$46)</f>
        <v>0</v>
      </c>
      <c r="Q323" s="798">
        <f>MIN(Q305,Q322/'Venture Assumptions'!$F$46)</f>
        <v>0</v>
      </c>
      <c r="R323" s="798">
        <f>MIN(R305,R322/'Venture Assumptions'!$F$46)</f>
        <v>0</v>
      </c>
      <c r="S323" s="798">
        <f>MIN(S305,S322/'Venture Assumptions'!$F$46)</f>
        <v>0</v>
      </c>
      <c r="T323" s="798">
        <f>MIN(T305,T322/'Venture Assumptions'!$F$46)</f>
        <v>0</v>
      </c>
      <c r="U323" s="798">
        <f>MIN(U305,U322/'Venture Assumptions'!$F$46)</f>
        <v>0</v>
      </c>
      <c r="V323" s="798">
        <f>MIN(V305,V322/'Venture Assumptions'!$F$46)</f>
        <v>0</v>
      </c>
      <c r="W323" s="798">
        <f>MIN(W305,W322/'Venture Assumptions'!$F$46)</f>
        <v>0</v>
      </c>
      <c r="X323" s="798">
        <f>MIN(X305,X322/'Venture Assumptions'!$F$46)</f>
        <v>0</v>
      </c>
      <c r="Y323" s="798">
        <f>MIN(Y305,Y322/'Venture Assumptions'!$F$46)</f>
        <v>0</v>
      </c>
      <c r="Z323" s="798">
        <f>MIN(Z305,Z322/'Venture Assumptions'!$F$46)</f>
        <v>0</v>
      </c>
      <c r="AA323" s="798">
        <f>MIN(AA305,AA322/'Venture Assumptions'!$F$46)</f>
        <v>0</v>
      </c>
      <c r="AB323" s="798">
        <f>MIN(AB305,AB322/'Venture Assumptions'!$F$46)</f>
        <v>0</v>
      </c>
      <c r="AC323" s="798">
        <f>MIN(AC305,AC322/'Venture Assumptions'!$F$46)</f>
        <v>0</v>
      </c>
      <c r="AD323" s="798">
        <f>MIN(AD305,AD322/'Venture Assumptions'!$F$46)</f>
        <v>0</v>
      </c>
      <c r="AE323" s="798">
        <f>MIN(AE305,AE322/'Venture Assumptions'!$F$46)</f>
        <v>0</v>
      </c>
      <c r="AF323" s="798">
        <f>MIN(AF305,AF322/'Venture Assumptions'!$F$46)</f>
        <v>0</v>
      </c>
      <c r="AG323" s="798">
        <f>MIN(AG305,AG322/'Venture Assumptions'!$F$46)</f>
        <v>0</v>
      </c>
      <c r="AH323" s="798">
        <f>MIN(AH305,AH322/'Venture Assumptions'!$F$46)</f>
        <v>0</v>
      </c>
      <c r="AI323" s="798">
        <f>MIN(AI305,AI322/'Venture Assumptions'!$F$46)</f>
        <v>0</v>
      </c>
      <c r="AJ323" s="798">
        <f>MIN(AJ305,AJ322/'Venture Assumptions'!$F$46)</f>
        <v>0</v>
      </c>
      <c r="AK323" s="798">
        <f>MIN(AK305,AK322/'Venture Assumptions'!$F$46)</f>
        <v>0</v>
      </c>
      <c r="AL323" s="798">
        <f>MIN(AL305,AL322/'Venture Assumptions'!$F$46)</f>
        <v>0</v>
      </c>
      <c r="AM323" s="798">
        <f>MIN(AM305,AM322/'Venture Assumptions'!$F$46)</f>
        <v>0</v>
      </c>
      <c r="AN323" s="798">
        <f>MIN(AN305,AN322/'Venture Assumptions'!$F$46)</f>
        <v>0</v>
      </c>
      <c r="AO323" s="798">
        <f>MIN(AO305,AO322/'Venture Assumptions'!$F$46)</f>
        <v>0</v>
      </c>
      <c r="AP323" s="798">
        <f>MIN(AP305,AP322/'Venture Assumptions'!$F$46)</f>
        <v>0</v>
      </c>
      <c r="AQ323" s="798">
        <f>MIN(AQ305,AQ322/'Venture Assumptions'!$F$46)</f>
        <v>0</v>
      </c>
      <c r="AR323" s="798">
        <f>MIN(AR305,AR322/'Venture Assumptions'!$F$46)</f>
        <v>0</v>
      </c>
      <c r="AS323" s="798">
        <f>MIN(AS305,AS322/'Venture Assumptions'!$F$46)</f>
        <v>0</v>
      </c>
      <c r="AT323" s="798">
        <f>MIN(AT305,AT322/'Venture Assumptions'!$F$46)</f>
        <v>0</v>
      </c>
      <c r="AU323" s="798">
        <f>MIN(AU305,AU322/'Venture Assumptions'!$F$46)</f>
        <v>0</v>
      </c>
      <c r="AV323" s="798">
        <f>MIN(AV305,AV322/'Venture Assumptions'!$F$46)</f>
        <v>0</v>
      </c>
      <c r="AW323" s="798">
        <f>MIN(AW305,AW322/'Venture Assumptions'!$F$46)</f>
        <v>0</v>
      </c>
      <c r="AX323" s="798">
        <f>MIN(AX305,AX322/'Venture Assumptions'!$F$46)</f>
        <v>0</v>
      </c>
      <c r="AY323" s="798">
        <f>MIN(AY305,AY322/'Venture Assumptions'!$F$46)</f>
        <v>0</v>
      </c>
      <c r="AZ323" s="798">
        <f>MIN(AZ305,AZ322/'Venture Assumptions'!$F$46)</f>
        <v>0</v>
      </c>
      <c r="BA323" s="798">
        <f>MIN(BA305,BA322/'Venture Assumptions'!$F$46)</f>
        <v>0</v>
      </c>
      <c r="BB323" s="798">
        <f>MIN(BB305,BB322/'Venture Assumptions'!$F$46)</f>
        <v>0</v>
      </c>
      <c r="BC323" s="798">
        <f>MIN(BC305,BC322/'Venture Assumptions'!$F$46)</f>
        <v>0</v>
      </c>
      <c r="BD323" s="798">
        <f>MIN(BD305,BD322/'Venture Assumptions'!$F$46)</f>
        <v>0</v>
      </c>
      <c r="BE323" s="798">
        <f>MIN(BE305,BE322/'Venture Assumptions'!$F$46)</f>
        <v>0</v>
      </c>
      <c r="BF323" s="798">
        <f>MIN(BF305,BF322/'Venture Assumptions'!$F$46)</f>
        <v>0</v>
      </c>
      <c r="BG323" s="798">
        <f>MIN(BG305,BG322/'Venture Assumptions'!$F$46)</f>
        <v>0</v>
      </c>
      <c r="BH323" s="798">
        <f>MIN(BH305,BH322/'Venture Assumptions'!$F$46)</f>
        <v>0</v>
      </c>
      <c r="BI323" s="798">
        <f>MIN(BI305,BI322/'Venture Assumptions'!$F$46)</f>
        <v>0</v>
      </c>
      <c r="BJ323" s="798">
        <f>MIN(BJ305,BJ322/'Venture Assumptions'!$F$46)</f>
        <v>0</v>
      </c>
      <c r="BK323" s="798">
        <f>MIN(BK305,BK322/'Venture Assumptions'!$F$46)</f>
        <v>0</v>
      </c>
      <c r="BL323" s="798">
        <f>MIN(BL305,BL322/'Venture Assumptions'!$F$46)</f>
        <v>0</v>
      </c>
      <c r="BM323" s="798">
        <f>MIN(BM305,BM322/'Venture Assumptions'!$F$46)</f>
        <v>0</v>
      </c>
      <c r="BN323" s="798">
        <f>MIN(BN305,BN322/'Venture Assumptions'!$F$46)</f>
        <v>0</v>
      </c>
      <c r="BO323" s="798">
        <f>MIN(BO305,BO322/'Venture Assumptions'!$F$46)</f>
        <v>0</v>
      </c>
      <c r="BP323" s="798">
        <f>MIN(BP305,BP322/'Venture Assumptions'!$F$46)</f>
        <v>0</v>
      </c>
      <c r="BQ323" s="798">
        <f>MIN(BQ305,BQ322/'Venture Assumptions'!$F$46)</f>
        <v>0</v>
      </c>
      <c r="BR323" s="798">
        <f>MIN(BR305,BR322/'Venture Assumptions'!$F$46)</f>
        <v>0</v>
      </c>
      <c r="BS323" s="798">
        <f>MIN(BS305,BS322/'Venture Assumptions'!$F$46)</f>
        <v>0</v>
      </c>
      <c r="BT323" s="798">
        <f>MIN(BT305,BT322/'Venture Assumptions'!$F$46)</f>
        <v>0</v>
      </c>
      <c r="BU323" s="798">
        <f>MIN(BU305,BU322/'Venture Assumptions'!$F$46)</f>
        <v>0</v>
      </c>
      <c r="BV323" s="798">
        <f>MIN(BV305,BV322/'Venture Assumptions'!$F$46)</f>
        <v>0</v>
      </c>
      <c r="BW323" s="798">
        <f>MIN(BW305,BW322/'Venture Assumptions'!$F$46)</f>
        <v>0</v>
      </c>
      <c r="BX323" s="798">
        <f>MIN(BX305,BX322/'Venture Assumptions'!$F$46)</f>
        <v>0</v>
      </c>
      <c r="BY323" s="798">
        <f>MIN(BY305,BY322/'Venture Assumptions'!$F$46)</f>
        <v>0</v>
      </c>
      <c r="BZ323" s="798">
        <f>MIN(BZ305,BZ322/'Venture Assumptions'!$F$46)</f>
        <v>0</v>
      </c>
      <c r="CA323" s="798">
        <f>MIN(CA305,CA322/'Venture Assumptions'!$F$46)</f>
        <v>0</v>
      </c>
      <c r="CB323" s="798">
        <f>MIN(CB305,CB322/'Venture Assumptions'!$F$46)</f>
        <v>0</v>
      </c>
      <c r="CC323" s="798">
        <f>MIN(CC305,CC322/'Venture Assumptions'!$F$46)</f>
        <v>0</v>
      </c>
      <c r="CD323" s="798">
        <f>MIN(CD305,CD322/'Venture Assumptions'!$F$46)</f>
        <v>0</v>
      </c>
      <c r="CE323" s="798">
        <f>MIN(CE305,CE322/'Venture Assumptions'!$F$46)</f>
        <v>0</v>
      </c>
      <c r="CF323" s="798">
        <f>MIN(CF305,CF322/'Venture Assumptions'!$F$46)</f>
        <v>0</v>
      </c>
      <c r="CG323" s="798">
        <f>MIN(CG305,CG322/'Venture Assumptions'!$F$46)</f>
        <v>0</v>
      </c>
      <c r="CH323" s="798">
        <f>MIN(CH305,CH322/'Venture Assumptions'!$F$46)</f>
        <v>0</v>
      </c>
      <c r="CI323" s="798">
        <f>MIN(CI305,CI322/'Venture Assumptions'!$F$46)</f>
        <v>0</v>
      </c>
      <c r="CJ323" s="798">
        <f>MIN(CJ305,CJ322/'Venture Assumptions'!$F$46)</f>
        <v>0</v>
      </c>
      <c r="CK323" s="798">
        <f>MIN(CK305,CK322/'Venture Assumptions'!$F$46)</f>
        <v>0</v>
      </c>
      <c r="CL323" s="798">
        <f>MIN(CL305,CL322/'Venture Assumptions'!$F$46)</f>
        <v>0</v>
      </c>
      <c r="CM323" s="798">
        <f>MIN(CM305,CM322/'Venture Assumptions'!$F$46)</f>
        <v>0</v>
      </c>
      <c r="CN323" s="798">
        <f>MIN(CN305,CN322/'Venture Assumptions'!$F$46)</f>
        <v>0</v>
      </c>
      <c r="CO323" s="798">
        <f>MIN(CO305,CO322/'Venture Assumptions'!$F$46)</f>
        <v>0</v>
      </c>
      <c r="CP323" s="798">
        <f>MIN(CP305,CP322/'Venture Assumptions'!$F$46)</f>
        <v>0</v>
      </c>
      <c r="CQ323" s="798">
        <f>MIN(CQ305,CQ322/'Venture Assumptions'!$F$46)</f>
        <v>0</v>
      </c>
      <c r="CR323" s="798">
        <f>MIN(CR305,CR322/'Venture Assumptions'!$F$46)</f>
        <v>0</v>
      </c>
      <c r="CS323" s="798">
        <f>MIN(CS305,CS322/'Venture Assumptions'!$F$46)</f>
        <v>0</v>
      </c>
      <c r="CT323" s="798">
        <f>MIN(CT305,CT322/'Venture Assumptions'!$F$46)</f>
        <v>0</v>
      </c>
      <c r="CU323" s="798">
        <f>MIN(CU305,CU322/'Venture Assumptions'!$F$46)</f>
        <v>0</v>
      </c>
      <c r="CV323" s="798">
        <f>MIN(CV305,CV322/'Venture Assumptions'!$F$46)</f>
        <v>0</v>
      </c>
      <c r="CW323" s="798">
        <f>MIN(CW305,CW322/'Venture Assumptions'!$F$46)</f>
        <v>-1158920.7576284963</v>
      </c>
      <c r="CX323" s="798">
        <f>MIN(CX305,CX322/'Venture Assumptions'!$F$46)</f>
        <v>0</v>
      </c>
      <c r="CY323" s="798">
        <f>MIN(CY305,CY322/'Venture Assumptions'!$F$46)</f>
        <v>0</v>
      </c>
      <c r="CZ323" s="798">
        <f>MIN(CZ305,CZ322/'Venture Assumptions'!$F$46)</f>
        <v>0</v>
      </c>
      <c r="DA323" s="798">
        <f>MIN(DA305,DA322/'Venture Assumptions'!$F$46)</f>
        <v>0</v>
      </c>
      <c r="DB323" s="798">
        <f>MIN(DB305,DB322/'Venture Assumptions'!$F$46)</f>
        <v>0</v>
      </c>
      <c r="DC323" s="798">
        <f>MIN(DC305,DC322/'Venture Assumptions'!$F$46)</f>
        <v>0</v>
      </c>
      <c r="DD323" s="798">
        <f>MIN(DD305,DD322/'Venture Assumptions'!$F$46)</f>
        <v>0</v>
      </c>
      <c r="DE323" s="798">
        <f>MIN(DE305,DE322/'Venture Assumptions'!$F$46)</f>
        <v>0</v>
      </c>
      <c r="DF323" s="798">
        <f>MIN(DF305,DF322/'Venture Assumptions'!$F$46)</f>
        <v>0</v>
      </c>
      <c r="DG323" s="798">
        <f>MIN(DG305,DG322/'Venture Assumptions'!$F$46)</f>
        <v>0</v>
      </c>
      <c r="DH323" s="798">
        <f>MIN(DH305,DH322/'Venture Assumptions'!$F$46)</f>
        <v>0</v>
      </c>
      <c r="DI323" s="798">
        <f>MIN(DI305,DI322/'Venture Assumptions'!$F$46)</f>
        <v>0</v>
      </c>
      <c r="DJ323" s="798">
        <f>MIN(DJ305,DJ322/'Venture Assumptions'!$F$46)</f>
        <v>0</v>
      </c>
      <c r="DK323" s="798">
        <f>MIN(DK305,DK322/'Venture Assumptions'!$F$46)</f>
        <v>0</v>
      </c>
      <c r="DL323" s="798">
        <f>MIN(DL305,DL322/'Venture Assumptions'!$F$46)</f>
        <v>0</v>
      </c>
      <c r="DM323" s="798">
        <f>MIN(DM305,DM322/'Venture Assumptions'!$F$46)</f>
        <v>0</v>
      </c>
      <c r="DN323" s="798">
        <f>MIN(DN305,DN322/'Venture Assumptions'!$F$46)</f>
        <v>0</v>
      </c>
      <c r="DO323" s="798">
        <f>MIN(DO305,DO322/'Venture Assumptions'!$F$46)</f>
        <v>0</v>
      </c>
      <c r="DP323" s="798">
        <f>MIN(DP305,DP322/'Venture Assumptions'!$F$46)</f>
        <v>0</v>
      </c>
      <c r="DQ323" s="798">
        <f>MIN(DQ305,DQ322/'Venture Assumptions'!$F$46)</f>
        <v>0</v>
      </c>
      <c r="DR323" s="798">
        <f>MIN(DR305,DR322/'Venture Assumptions'!$F$46)</f>
        <v>0</v>
      </c>
      <c r="DS323" s="798">
        <f>MIN(DS305,DS322/'Venture Assumptions'!$F$46)</f>
        <v>0</v>
      </c>
      <c r="DT323" s="798">
        <f>MIN(DT305,DT322/'Venture Assumptions'!$F$46)</f>
        <v>0</v>
      </c>
      <c r="DU323" s="798">
        <f>MIN(DU305,DU322/'Venture Assumptions'!$F$46)</f>
        <v>0</v>
      </c>
      <c r="DV323" s="798"/>
      <c r="DW323" s="798"/>
      <c r="DX323" s="798"/>
      <c r="DY323" s="798"/>
      <c r="DZ323" s="798"/>
      <c r="EA323" s="798"/>
      <c r="EB323" s="798"/>
      <c r="EC323" s="798"/>
      <c r="ED323" s="798"/>
      <c r="EE323" s="798"/>
      <c r="EF323" s="798"/>
      <c r="EG323" s="798"/>
      <c r="EH323" s="782"/>
    </row>
    <row r="324" spans="1:138" ht="12.75" customHeight="1" x14ac:dyDescent="0.3">
      <c r="A324" s="782"/>
      <c r="B324" s="782"/>
      <c r="C324" s="798"/>
      <c r="D324" s="782"/>
      <c r="E324" s="798"/>
      <c r="F324" s="798"/>
      <c r="G324" s="798"/>
      <c r="H324" s="798"/>
      <c r="I324" s="798"/>
      <c r="J324" s="798"/>
      <c r="K324" s="798"/>
      <c r="L324" s="798"/>
      <c r="M324" s="798"/>
      <c r="N324" s="798"/>
      <c r="O324" s="798"/>
      <c r="P324" s="798"/>
      <c r="Q324" s="798"/>
      <c r="R324" s="798"/>
      <c r="S324" s="798"/>
      <c r="T324" s="798"/>
      <c r="U324" s="798"/>
      <c r="V324" s="798"/>
      <c r="W324" s="798"/>
      <c r="X324" s="798"/>
      <c r="Y324" s="798"/>
      <c r="Z324" s="798"/>
      <c r="AA324" s="798"/>
      <c r="AB324" s="798"/>
      <c r="AC324" s="798"/>
      <c r="AD324" s="798"/>
      <c r="AE324" s="798"/>
      <c r="AF324" s="798"/>
      <c r="AG324" s="798"/>
      <c r="AH324" s="798"/>
      <c r="AI324" s="798"/>
      <c r="AJ324" s="798"/>
      <c r="AK324" s="798"/>
      <c r="AL324" s="798"/>
      <c r="AM324" s="798"/>
      <c r="AN324" s="798"/>
      <c r="AO324" s="798"/>
      <c r="AP324" s="798"/>
      <c r="AQ324" s="798"/>
      <c r="AR324" s="798"/>
      <c r="AS324" s="798"/>
      <c r="AT324" s="798"/>
      <c r="AU324" s="798"/>
      <c r="AV324" s="798"/>
      <c r="AW324" s="798"/>
      <c r="AX324" s="798"/>
      <c r="AY324" s="798"/>
      <c r="AZ324" s="798"/>
      <c r="BA324" s="798"/>
      <c r="BB324" s="798"/>
      <c r="BC324" s="798"/>
      <c r="BD324" s="798"/>
      <c r="BE324" s="798"/>
      <c r="BF324" s="798"/>
      <c r="BG324" s="798"/>
      <c r="BH324" s="798"/>
      <c r="BI324" s="798"/>
      <c r="BJ324" s="798"/>
      <c r="BK324" s="798"/>
      <c r="BL324" s="798"/>
      <c r="BM324" s="798"/>
      <c r="BN324" s="798"/>
      <c r="BO324" s="798"/>
      <c r="BP324" s="798"/>
      <c r="BQ324" s="798"/>
      <c r="BR324" s="798"/>
      <c r="BS324" s="798"/>
      <c r="BT324" s="798"/>
      <c r="BU324" s="798"/>
      <c r="BV324" s="798"/>
      <c r="BW324" s="798"/>
      <c r="BX324" s="798"/>
      <c r="BY324" s="798"/>
      <c r="BZ324" s="798"/>
      <c r="CA324" s="798"/>
      <c r="CB324" s="798"/>
      <c r="CC324" s="798"/>
      <c r="CD324" s="798"/>
      <c r="CE324" s="798"/>
      <c r="CF324" s="798"/>
      <c r="CG324" s="798"/>
      <c r="CH324" s="798"/>
      <c r="CI324" s="798"/>
      <c r="CJ324" s="798"/>
      <c r="CK324" s="798"/>
      <c r="CL324" s="798"/>
      <c r="CM324" s="798"/>
      <c r="CN324" s="798"/>
      <c r="CO324" s="798"/>
      <c r="CP324" s="798"/>
      <c r="CQ324" s="798"/>
      <c r="CR324" s="798"/>
      <c r="CS324" s="798"/>
      <c r="CT324" s="798"/>
      <c r="CU324" s="798"/>
      <c r="CV324" s="798"/>
      <c r="CW324" s="798"/>
      <c r="CX324" s="798"/>
      <c r="CY324" s="798"/>
      <c r="CZ324" s="798"/>
      <c r="DA324" s="798"/>
      <c r="DB324" s="798"/>
      <c r="DC324" s="798"/>
      <c r="DD324" s="798"/>
      <c r="DE324" s="798"/>
      <c r="DF324" s="798"/>
      <c r="DG324" s="798"/>
      <c r="DH324" s="798"/>
      <c r="DI324" s="798"/>
      <c r="DJ324" s="798"/>
      <c r="DK324" s="798"/>
      <c r="DL324" s="798"/>
      <c r="DM324" s="798"/>
      <c r="DN324" s="798"/>
      <c r="DO324" s="798"/>
      <c r="DP324" s="798"/>
      <c r="DQ324" s="798"/>
      <c r="DR324" s="798"/>
      <c r="DS324" s="798"/>
      <c r="DT324" s="798"/>
      <c r="DU324" s="798"/>
      <c r="DV324" s="798"/>
      <c r="DW324" s="798"/>
      <c r="DX324" s="798"/>
      <c r="DY324" s="798"/>
      <c r="DZ324" s="798"/>
      <c r="EA324" s="798"/>
      <c r="EB324" s="798"/>
      <c r="EC324" s="798"/>
      <c r="ED324" s="798"/>
      <c r="EE324" s="798"/>
      <c r="EF324" s="798"/>
      <c r="EG324" s="798"/>
      <c r="EH324" s="782"/>
    </row>
    <row r="325" spans="1:138" ht="12.75" customHeight="1" x14ac:dyDescent="0.3">
      <c r="A325" s="782"/>
      <c r="B325" s="782" t="s">
        <v>178</v>
      </c>
      <c r="C325" s="798"/>
      <c r="D325" s="782"/>
      <c r="E325" s="798">
        <f>E323*'Venture Assumptions'!$F$48</f>
        <v>0</v>
      </c>
      <c r="F325" s="798">
        <f>F323*'Venture Assumptions'!$F$48</f>
        <v>0</v>
      </c>
      <c r="G325" s="798">
        <f>G323*'Venture Assumptions'!$F$48</f>
        <v>0</v>
      </c>
      <c r="H325" s="798">
        <f>H323*'Venture Assumptions'!$F$48</f>
        <v>0</v>
      </c>
      <c r="I325" s="798">
        <f>I323*'Venture Assumptions'!$F$48</f>
        <v>0</v>
      </c>
      <c r="J325" s="798">
        <f>J323*'Venture Assumptions'!$F$48</f>
        <v>0</v>
      </c>
      <c r="K325" s="798">
        <f>K323*'Venture Assumptions'!$F$48</f>
        <v>0</v>
      </c>
      <c r="L325" s="798">
        <f>L323*'Venture Assumptions'!$F$48</f>
        <v>0</v>
      </c>
      <c r="M325" s="798">
        <f>M323*'Venture Assumptions'!$F$48</f>
        <v>0</v>
      </c>
      <c r="N325" s="798">
        <f>N323*'Venture Assumptions'!$F$48</f>
        <v>0</v>
      </c>
      <c r="O325" s="798">
        <f>O323*'Venture Assumptions'!$F$48</f>
        <v>0</v>
      </c>
      <c r="P325" s="798">
        <f>P323*'Venture Assumptions'!$F$48</f>
        <v>0</v>
      </c>
      <c r="Q325" s="798">
        <f>Q323*'Venture Assumptions'!$F$48</f>
        <v>0</v>
      </c>
      <c r="R325" s="798">
        <f>R323*'Venture Assumptions'!$F$48</f>
        <v>0</v>
      </c>
      <c r="S325" s="798">
        <f>S323*'Venture Assumptions'!$F$48</f>
        <v>0</v>
      </c>
      <c r="T325" s="798">
        <f>T323*'Venture Assumptions'!$F$48</f>
        <v>0</v>
      </c>
      <c r="U325" s="798">
        <f>U323*'Venture Assumptions'!$F$48</f>
        <v>0</v>
      </c>
      <c r="V325" s="798">
        <f>V323*'Venture Assumptions'!$F$48</f>
        <v>0</v>
      </c>
      <c r="W325" s="798">
        <f>W323*'Venture Assumptions'!$F$48</f>
        <v>0</v>
      </c>
      <c r="X325" s="798">
        <f>X323*'Venture Assumptions'!$F$48</f>
        <v>0</v>
      </c>
      <c r="Y325" s="798">
        <f>Y323*'Venture Assumptions'!$F$48</f>
        <v>0</v>
      </c>
      <c r="Z325" s="798">
        <f>Z323*'Venture Assumptions'!$F$48</f>
        <v>0</v>
      </c>
      <c r="AA325" s="798">
        <f>AA323*'Venture Assumptions'!$F$48</f>
        <v>0</v>
      </c>
      <c r="AB325" s="798">
        <f>AB323*'Venture Assumptions'!$F$48</f>
        <v>0</v>
      </c>
      <c r="AC325" s="798">
        <f>AC323*'Venture Assumptions'!$F$48</f>
        <v>0</v>
      </c>
      <c r="AD325" s="798">
        <f>AD323*'Venture Assumptions'!$F$48</f>
        <v>0</v>
      </c>
      <c r="AE325" s="798">
        <f>AE323*'Venture Assumptions'!$F$48</f>
        <v>0</v>
      </c>
      <c r="AF325" s="798">
        <f>AF323*'Venture Assumptions'!$F$48</f>
        <v>0</v>
      </c>
      <c r="AG325" s="798">
        <f>AG323*'Venture Assumptions'!$F$48</f>
        <v>0</v>
      </c>
      <c r="AH325" s="798">
        <f>AH323*'Venture Assumptions'!$F$48</f>
        <v>0</v>
      </c>
      <c r="AI325" s="798">
        <f>AI323*'Venture Assumptions'!$F$48</f>
        <v>0</v>
      </c>
      <c r="AJ325" s="798">
        <f>AJ323*'Venture Assumptions'!$F$48</f>
        <v>0</v>
      </c>
      <c r="AK325" s="798">
        <f>AK323*'Venture Assumptions'!$F$48</f>
        <v>0</v>
      </c>
      <c r="AL325" s="798">
        <f>AL323*'Venture Assumptions'!$F$48</f>
        <v>0</v>
      </c>
      <c r="AM325" s="798">
        <f>AM323*'Venture Assumptions'!$F$48</f>
        <v>0</v>
      </c>
      <c r="AN325" s="798">
        <f>AN323*'Venture Assumptions'!$F$48</f>
        <v>0</v>
      </c>
      <c r="AO325" s="798">
        <f>AO323*'Venture Assumptions'!$F$48</f>
        <v>0</v>
      </c>
      <c r="AP325" s="798">
        <f>AP323*'Venture Assumptions'!$F$48</f>
        <v>0</v>
      </c>
      <c r="AQ325" s="798">
        <f>AQ323*'Venture Assumptions'!$F$48</f>
        <v>0</v>
      </c>
      <c r="AR325" s="798">
        <f>AR323*'Venture Assumptions'!$F$48</f>
        <v>0</v>
      </c>
      <c r="AS325" s="798">
        <f>AS323*'Venture Assumptions'!$F$48</f>
        <v>0</v>
      </c>
      <c r="AT325" s="798">
        <f>AT323*'Venture Assumptions'!$F$48</f>
        <v>0</v>
      </c>
      <c r="AU325" s="798">
        <f>AU323*'Venture Assumptions'!$F$48</f>
        <v>0</v>
      </c>
      <c r="AV325" s="798">
        <f>AV323*'Venture Assumptions'!$F$48</f>
        <v>0</v>
      </c>
      <c r="AW325" s="798">
        <f>AW323*'Venture Assumptions'!$F$48</f>
        <v>0</v>
      </c>
      <c r="AX325" s="798">
        <f>AX323*'Venture Assumptions'!$F$48</f>
        <v>0</v>
      </c>
      <c r="AY325" s="798">
        <f>AY323*'Venture Assumptions'!$F$48</f>
        <v>0</v>
      </c>
      <c r="AZ325" s="798">
        <f>AZ323*'Venture Assumptions'!$F$48</f>
        <v>0</v>
      </c>
      <c r="BA325" s="798">
        <f>BA323*'Venture Assumptions'!$F$48</f>
        <v>0</v>
      </c>
      <c r="BB325" s="798">
        <f>BB323*'Venture Assumptions'!$F$48</f>
        <v>0</v>
      </c>
      <c r="BC325" s="798">
        <f>BC323*'Venture Assumptions'!$F$48</f>
        <v>0</v>
      </c>
      <c r="BD325" s="798">
        <f>BD323*'Venture Assumptions'!$F$48</f>
        <v>0</v>
      </c>
      <c r="BE325" s="798">
        <f>BE323*'Venture Assumptions'!$F$48</f>
        <v>0</v>
      </c>
      <c r="BF325" s="798">
        <f>BF323*'Venture Assumptions'!$F$48</f>
        <v>0</v>
      </c>
      <c r="BG325" s="798">
        <f>BG323*'Venture Assumptions'!$F$48</f>
        <v>0</v>
      </c>
      <c r="BH325" s="798">
        <f>BH323*'Venture Assumptions'!$F$48</f>
        <v>0</v>
      </c>
      <c r="BI325" s="798">
        <f>BI323*'Venture Assumptions'!$F$48</f>
        <v>0</v>
      </c>
      <c r="BJ325" s="798">
        <f>BJ323*'Venture Assumptions'!$F$48</f>
        <v>0</v>
      </c>
      <c r="BK325" s="798">
        <f>BK323*'Venture Assumptions'!$F$48</f>
        <v>0</v>
      </c>
      <c r="BL325" s="798">
        <f>BL323*'Venture Assumptions'!$F$48</f>
        <v>0</v>
      </c>
      <c r="BM325" s="798">
        <f>BM323*'Venture Assumptions'!$F$48</f>
        <v>0</v>
      </c>
      <c r="BN325" s="798">
        <f>BN323*'Venture Assumptions'!$F$48</f>
        <v>0</v>
      </c>
      <c r="BO325" s="798">
        <f>BO323*'Venture Assumptions'!$F$48</f>
        <v>0</v>
      </c>
      <c r="BP325" s="798">
        <f>BP323*'Venture Assumptions'!$F$48</f>
        <v>0</v>
      </c>
      <c r="BQ325" s="798">
        <f>BQ323*'Venture Assumptions'!$F$48</f>
        <v>0</v>
      </c>
      <c r="BR325" s="798">
        <f>BR323*'Venture Assumptions'!$F$48</f>
        <v>0</v>
      </c>
      <c r="BS325" s="798">
        <f>BS323*'Venture Assumptions'!$F$48</f>
        <v>0</v>
      </c>
      <c r="BT325" s="798">
        <f>BT323*'Venture Assumptions'!$F$48</f>
        <v>0</v>
      </c>
      <c r="BU325" s="798">
        <f>BU323*'Venture Assumptions'!$F$48</f>
        <v>0</v>
      </c>
      <c r="BV325" s="798">
        <f>BV323*'Venture Assumptions'!$F$48</f>
        <v>0</v>
      </c>
      <c r="BW325" s="798">
        <f>BW323*'Venture Assumptions'!$F$48</f>
        <v>0</v>
      </c>
      <c r="BX325" s="798">
        <f>BX323*'Venture Assumptions'!$F$48</f>
        <v>0</v>
      </c>
      <c r="BY325" s="798">
        <f>BY323*'Venture Assumptions'!$F$48</f>
        <v>0</v>
      </c>
      <c r="BZ325" s="798">
        <f>BZ323*'Venture Assumptions'!$F$48</f>
        <v>0</v>
      </c>
      <c r="CA325" s="798">
        <f>CA323*'Venture Assumptions'!$F$48</f>
        <v>0</v>
      </c>
      <c r="CB325" s="798">
        <f>CB323*'Venture Assumptions'!$F$48</f>
        <v>0</v>
      </c>
      <c r="CC325" s="798">
        <f>CC323*'Venture Assumptions'!$F$48</f>
        <v>0</v>
      </c>
      <c r="CD325" s="798">
        <f>CD323*'Venture Assumptions'!$F$48</f>
        <v>0</v>
      </c>
      <c r="CE325" s="798">
        <f>CE323*'Venture Assumptions'!$F$48</f>
        <v>0</v>
      </c>
      <c r="CF325" s="798">
        <f>CF323*'Venture Assumptions'!$F$48</f>
        <v>0</v>
      </c>
      <c r="CG325" s="798">
        <f>CG323*'Venture Assumptions'!$F$48</f>
        <v>0</v>
      </c>
      <c r="CH325" s="798">
        <f>CH323*'Venture Assumptions'!$F$48</f>
        <v>0</v>
      </c>
      <c r="CI325" s="798">
        <f>CI323*'Venture Assumptions'!$F$48</f>
        <v>0</v>
      </c>
      <c r="CJ325" s="798">
        <f>CJ323*'Venture Assumptions'!$F$48</f>
        <v>0</v>
      </c>
      <c r="CK325" s="798">
        <f>CK323*'Venture Assumptions'!$F$48</f>
        <v>0</v>
      </c>
      <c r="CL325" s="798">
        <f>CL323*'Venture Assumptions'!$F$48</f>
        <v>0</v>
      </c>
      <c r="CM325" s="798">
        <f>CM323*'Venture Assumptions'!$F$48</f>
        <v>0</v>
      </c>
      <c r="CN325" s="798">
        <f>CN323*'Venture Assumptions'!$F$48</f>
        <v>0</v>
      </c>
      <c r="CO325" s="798">
        <f>CO323*'Venture Assumptions'!$F$48</f>
        <v>0</v>
      </c>
      <c r="CP325" s="798">
        <f>CP323*'Venture Assumptions'!$F$48</f>
        <v>0</v>
      </c>
      <c r="CQ325" s="798">
        <f>CQ323*'Venture Assumptions'!$F$48</f>
        <v>0</v>
      </c>
      <c r="CR325" s="798">
        <f>CR323*'Venture Assumptions'!$F$48</f>
        <v>0</v>
      </c>
      <c r="CS325" s="798">
        <f>CS323*'Venture Assumptions'!$F$48</f>
        <v>0</v>
      </c>
      <c r="CT325" s="798">
        <f>CT323*'Venture Assumptions'!$F$48</f>
        <v>0</v>
      </c>
      <c r="CU325" s="798">
        <f>CU323*'Venture Assumptions'!$F$48</f>
        <v>0</v>
      </c>
      <c r="CV325" s="798">
        <f>CV323*'Venture Assumptions'!$F$48</f>
        <v>0</v>
      </c>
      <c r="CW325" s="798">
        <f>CW323*'Venture Assumptions'!$F$48</f>
        <v>-405622.26516997366</v>
      </c>
      <c r="CX325" s="798">
        <f>CX323*'Venture Assumptions'!$F$48</f>
        <v>0</v>
      </c>
      <c r="CY325" s="798">
        <f>CY323*'Venture Assumptions'!$F$48</f>
        <v>0</v>
      </c>
      <c r="CZ325" s="798">
        <f>CZ323*'Venture Assumptions'!$F$48</f>
        <v>0</v>
      </c>
      <c r="DA325" s="798">
        <f>DA323*'Venture Assumptions'!$F$48</f>
        <v>0</v>
      </c>
      <c r="DB325" s="798">
        <f>DB323*'Venture Assumptions'!$F$48</f>
        <v>0</v>
      </c>
      <c r="DC325" s="798">
        <f>DC323*'Venture Assumptions'!$F$48</f>
        <v>0</v>
      </c>
      <c r="DD325" s="798">
        <f>DD323*'Venture Assumptions'!$F$48</f>
        <v>0</v>
      </c>
      <c r="DE325" s="798">
        <f>DE323*'Venture Assumptions'!$F$48</f>
        <v>0</v>
      </c>
      <c r="DF325" s="798">
        <f>DF323*'Venture Assumptions'!$F$48</f>
        <v>0</v>
      </c>
      <c r="DG325" s="798">
        <f>DG323*'Venture Assumptions'!$F$48</f>
        <v>0</v>
      </c>
      <c r="DH325" s="798">
        <f>DH323*'Venture Assumptions'!$F$48</f>
        <v>0</v>
      </c>
      <c r="DI325" s="798">
        <f>DI323*'Venture Assumptions'!$F$48</f>
        <v>0</v>
      </c>
      <c r="DJ325" s="798">
        <f>DJ323*'Venture Assumptions'!$F$48</f>
        <v>0</v>
      </c>
      <c r="DK325" s="798">
        <f>DK323*'Venture Assumptions'!$F$48</f>
        <v>0</v>
      </c>
      <c r="DL325" s="798">
        <f>DL323*'Venture Assumptions'!$F$48</f>
        <v>0</v>
      </c>
      <c r="DM325" s="798">
        <f>DM323*'Venture Assumptions'!$F$48</f>
        <v>0</v>
      </c>
      <c r="DN325" s="798">
        <f>DN323*'Venture Assumptions'!$F$48</f>
        <v>0</v>
      </c>
      <c r="DO325" s="798">
        <f>DO323*'Venture Assumptions'!$F$48</f>
        <v>0</v>
      </c>
      <c r="DP325" s="798">
        <f>DP323*'Venture Assumptions'!$F$48</f>
        <v>0</v>
      </c>
      <c r="DQ325" s="798">
        <f>DQ323*'Venture Assumptions'!$F$48</f>
        <v>0</v>
      </c>
      <c r="DR325" s="798">
        <f>DR323*'Venture Assumptions'!$F$48</f>
        <v>0</v>
      </c>
      <c r="DS325" s="798">
        <f>DS323*'Venture Assumptions'!$F$48</f>
        <v>0</v>
      </c>
      <c r="DT325" s="798">
        <f>DT323*'Venture Assumptions'!$F$48</f>
        <v>0</v>
      </c>
      <c r="DU325" s="798">
        <f>DU323*'Venture Assumptions'!$F$48</f>
        <v>0</v>
      </c>
      <c r="DV325" s="798"/>
      <c r="DW325" s="798"/>
      <c r="DX325" s="798"/>
      <c r="DY325" s="798"/>
      <c r="DZ325" s="798"/>
      <c r="EA325" s="798"/>
      <c r="EB325" s="798"/>
      <c r="EC325" s="798"/>
      <c r="ED325" s="798"/>
      <c r="EE325" s="798"/>
      <c r="EF325" s="798"/>
      <c r="EG325" s="798"/>
      <c r="EH325" s="782"/>
    </row>
    <row r="326" spans="1:138" ht="12.75" customHeight="1" x14ac:dyDescent="0.3">
      <c r="A326" s="782"/>
      <c r="B326" s="781" t="s">
        <v>172</v>
      </c>
      <c r="C326" s="799"/>
      <c r="D326" s="781"/>
      <c r="E326" s="799">
        <f>E323*'Venture Assumptions'!$F$49</f>
        <v>0</v>
      </c>
      <c r="F326" s="799">
        <f>F323*'Venture Assumptions'!$F$49</f>
        <v>0</v>
      </c>
      <c r="G326" s="799">
        <f>G323*'Venture Assumptions'!$F$49</f>
        <v>0</v>
      </c>
      <c r="H326" s="799">
        <f>H323*'Venture Assumptions'!$F$49</f>
        <v>0</v>
      </c>
      <c r="I326" s="799">
        <f>I323*'Venture Assumptions'!$F$49</f>
        <v>0</v>
      </c>
      <c r="J326" s="799">
        <f>J323*'Venture Assumptions'!$F$49</f>
        <v>0</v>
      </c>
      <c r="K326" s="799">
        <f>K323*'Venture Assumptions'!$F$49</f>
        <v>0</v>
      </c>
      <c r="L326" s="799">
        <f>L323*'Venture Assumptions'!$F$49</f>
        <v>0</v>
      </c>
      <c r="M326" s="799">
        <f>M323*'Venture Assumptions'!$F$49</f>
        <v>0</v>
      </c>
      <c r="N326" s="799">
        <f>N323*'Venture Assumptions'!$F$49</f>
        <v>0</v>
      </c>
      <c r="O326" s="799">
        <f>O323*'Venture Assumptions'!$F$49</f>
        <v>0</v>
      </c>
      <c r="P326" s="799">
        <f>P323*'Venture Assumptions'!$F$49</f>
        <v>0</v>
      </c>
      <c r="Q326" s="799">
        <f>Q323*'Venture Assumptions'!$F$49</f>
        <v>0</v>
      </c>
      <c r="R326" s="799">
        <f>R323*'Venture Assumptions'!$F$49</f>
        <v>0</v>
      </c>
      <c r="S326" s="799">
        <f>S323*'Venture Assumptions'!$F$49</f>
        <v>0</v>
      </c>
      <c r="T326" s="799">
        <f>T323*'Venture Assumptions'!$F$49</f>
        <v>0</v>
      </c>
      <c r="U326" s="799">
        <f>U323*'Venture Assumptions'!$F$49</f>
        <v>0</v>
      </c>
      <c r="V326" s="799">
        <f>V323*'Venture Assumptions'!$F$49</f>
        <v>0</v>
      </c>
      <c r="W326" s="799">
        <f>W323*'Venture Assumptions'!$F$49</f>
        <v>0</v>
      </c>
      <c r="X326" s="799">
        <f>X323*'Venture Assumptions'!$F$49</f>
        <v>0</v>
      </c>
      <c r="Y326" s="799">
        <f>Y323*'Venture Assumptions'!$F$49</f>
        <v>0</v>
      </c>
      <c r="Z326" s="799">
        <f>Z323*'Venture Assumptions'!$F$49</f>
        <v>0</v>
      </c>
      <c r="AA326" s="799">
        <f>AA323*'Venture Assumptions'!$F$49</f>
        <v>0</v>
      </c>
      <c r="AB326" s="799">
        <f>AB323*'Venture Assumptions'!$F$49</f>
        <v>0</v>
      </c>
      <c r="AC326" s="799">
        <f>AC323*'Venture Assumptions'!$F$49</f>
        <v>0</v>
      </c>
      <c r="AD326" s="799">
        <f>AD323*'Venture Assumptions'!$F$49</f>
        <v>0</v>
      </c>
      <c r="AE326" s="799">
        <f>AE323*'Venture Assumptions'!$F$49</f>
        <v>0</v>
      </c>
      <c r="AF326" s="799">
        <f>AF323*'Venture Assumptions'!$F$49</f>
        <v>0</v>
      </c>
      <c r="AG326" s="799">
        <f>AG323*'Venture Assumptions'!$F$49</f>
        <v>0</v>
      </c>
      <c r="AH326" s="799">
        <f>AH323*'Venture Assumptions'!$F$49</f>
        <v>0</v>
      </c>
      <c r="AI326" s="799">
        <f>AI323*'Venture Assumptions'!$F$49</f>
        <v>0</v>
      </c>
      <c r="AJ326" s="799">
        <f>AJ323*'Venture Assumptions'!$F$49</f>
        <v>0</v>
      </c>
      <c r="AK326" s="799">
        <f>AK323*'Venture Assumptions'!$F$49</f>
        <v>0</v>
      </c>
      <c r="AL326" s="799">
        <f>AL323*'Venture Assumptions'!$F$49</f>
        <v>0</v>
      </c>
      <c r="AM326" s="799">
        <f>AM323*'Venture Assumptions'!$F$49</f>
        <v>0</v>
      </c>
      <c r="AN326" s="799">
        <f>AN323*'Venture Assumptions'!$F$49</f>
        <v>0</v>
      </c>
      <c r="AO326" s="799">
        <f>AO323*'Venture Assumptions'!$F$49</f>
        <v>0</v>
      </c>
      <c r="AP326" s="799">
        <f>AP323*'Venture Assumptions'!$F$49</f>
        <v>0</v>
      </c>
      <c r="AQ326" s="799">
        <f>AQ323*'Venture Assumptions'!$F$49</f>
        <v>0</v>
      </c>
      <c r="AR326" s="799">
        <f>AR323*'Venture Assumptions'!$F$49</f>
        <v>0</v>
      </c>
      <c r="AS326" s="799">
        <f>AS323*'Venture Assumptions'!$F$49</f>
        <v>0</v>
      </c>
      <c r="AT326" s="799">
        <f>AT323*'Venture Assumptions'!$F$49</f>
        <v>0</v>
      </c>
      <c r="AU326" s="799">
        <f>AU323*'Venture Assumptions'!$F$49</f>
        <v>0</v>
      </c>
      <c r="AV326" s="799">
        <f>AV323*'Venture Assumptions'!$F$49</f>
        <v>0</v>
      </c>
      <c r="AW326" s="799">
        <f>AW323*'Venture Assumptions'!$F$49</f>
        <v>0</v>
      </c>
      <c r="AX326" s="799">
        <f>AX323*'Venture Assumptions'!$F$49</f>
        <v>0</v>
      </c>
      <c r="AY326" s="799">
        <f>AY323*'Venture Assumptions'!$F$49</f>
        <v>0</v>
      </c>
      <c r="AZ326" s="799">
        <f>AZ323*'Venture Assumptions'!$F$49</f>
        <v>0</v>
      </c>
      <c r="BA326" s="799">
        <f>BA323*'Venture Assumptions'!$F$49</f>
        <v>0</v>
      </c>
      <c r="BB326" s="799">
        <f>BB323*'Venture Assumptions'!$F$49</f>
        <v>0</v>
      </c>
      <c r="BC326" s="799">
        <f>BC323*'Venture Assumptions'!$F$49</f>
        <v>0</v>
      </c>
      <c r="BD326" s="799">
        <f>BD323*'Venture Assumptions'!$F$49</f>
        <v>0</v>
      </c>
      <c r="BE326" s="799">
        <f>BE323*'Venture Assumptions'!$F$49</f>
        <v>0</v>
      </c>
      <c r="BF326" s="799">
        <f>BF323*'Venture Assumptions'!$F$49</f>
        <v>0</v>
      </c>
      <c r="BG326" s="799">
        <f>BG323*'Venture Assumptions'!$F$49</f>
        <v>0</v>
      </c>
      <c r="BH326" s="799">
        <f>BH323*'Venture Assumptions'!$F$49</f>
        <v>0</v>
      </c>
      <c r="BI326" s="799">
        <f>BI323*'Venture Assumptions'!$F$49</f>
        <v>0</v>
      </c>
      <c r="BJ326" s="799">
        <f>BJ323*'Venture Assumptions'!$F$49</f>
        <v>0</v>
      </c>
      <c r="BK326" s="799">
        <f>BK323*'Venture Assumptions'!$F$49</f>
        <v>0</v>
      </c>
      <c r="BL326" s="799">
        <f>BL323*'Venture Assumptions'!$F$49</f>
        <v>0</v>
      </c>
      <c r="BM326" s="799">
        <f>BM323*'Venture Assumptions'!$F$49</f>
        <v>0</v>
      </c>
      <c r="BN326" s="799">
        <f>BN323*'Venture Assumptions'!$F$49</f>
        <v>0</v>
      </c>
      <c r="BO326" s="799">
        <f>BO323*'Venture Assumptions'!$F$49</f>
        <v>0</v>
      </c>
      <c r="BP326" s="799">
        <f>BP323*'Venture Assumptions'!$F$49</f>
        <v>0</v>
      </c>
      <c r="BQ326" s="799">
        <f>BQ323*'Venture Assumptions'!$F$49</f>
        <v>0</v>
      </c>
      <c r="BR326" s="799">
        <f>BR323*'Venture Assumptions'!$F$49</f>
        <v>0</v>
      </c>
      <c r="BS326" s="799">
        <f>BS323*'Venture Assumptions'!$F$49</f>
        <v>0</v>
      </c>
      <c r="BT326" s="799">
        <f>BT323*'Venture Assumptions'!$F$49</f>
        <v>0</v>
      </c>
      <c r="BU326" s="799">
        <f>BU323*'Venture Assumptions'!$F$49</f>
        <v>0</v>
      </c>
      <c r="BV326" s="799">
        <f>BV323*'Venture Assumptions'!$F$49</f>
        <v>0</v>
      </c>
      <c r="BW326" s="799">
        <f>BW323*'Venture Assumptions'!$F$49</f>
        <v>0</v>
      </c>
      <c r="BX326" s="799">
        <f>BX323*'Venture Assumptions'!$F$49</f>
        <v>0</v>
      </c>
      <c r="BY326" s="799">
        <f>BY323*'Venture Assumptions'!$F$49</f>
        <v>0</v>
      </c>
      <c r="BZ326" s="799">
        <f>BZ323*'Venture Assumptions'!$F$49</f>
        <v>0</v>
      </c>
      <c r="CA326" s="799">
        <f>CA323*'Venture Assumptions'!$F$49</f>
        <v>0</v>
      </c>
      <c r="CB326" s="799">
        <f>CB323*'Venture Assumptions'!$F$49</f>
        <v>0</v>
      </c>
      <c r="CC326" s="799">
        <f>CC323*'Venture Assumptions'!$F$49</f>
        <v>0</v>
      </c>
      <c r="CD326" s="799">
        <f>CD323*'Venture Assumptions'!$F$49</f>
        <v>0</v>
      </c>
      <c r="CE326" s="799">
        <f>CE323*'Venture Assumptions'!$F$49</f>
        <v>0</v>
      </c>
      <c r="CF326" s="799">
        <f>CF323*'Venture Assumptions'!$F$49</f>
        <v>0</v>
      </c>
      <c r="CG326" s="799">
        <f>CG323*'Venture Assumptions'!$F$49</f>
        <v>0</v>
      </c>
      <c r="CH326" s="799">
        <f>CH323*'Venture Assumptions'!$F$49</f>
        <v>0</v>
      </c>
      <c r="CI326" s="799">
        <f>CI323*'Venture Assumptions'!$F$49</f>
        <v>0</v>
      </c>
      <c r="CJ326" s="799">
        <f>CJ323*'Venture Assumptions'!$F$49</f>
        <v>0</v>
      </c>
      <c r="CK326" s="799">
        <f>CK323*'Venture Assumptions'!$F$49</f>
        <v>0</v>
      </c>
      <c r="CL326" s="799">
        <f>CL323*'Venture Assumptions'!$F$49</f>
        <v>0</v>
      </c>
      <c r="CM326" s="799">
        <f>CM323*'Venture Assumptions'!$F$49</f>
        <v>0</v>
      </c>
      <c r="CN326" s="799">
        <f>CN323*'Venture Assumptions'!$F$49</f>
        <v>0</v>
      </c>
      <c r="CO326" s="799">
        <f>CO323*'Venture Assumptions'!$F$49</f>
        <v>0</v>
      </c>
      <c r="CP326" s="799">
        <f>CP323*'Venture Assumptions'!$F$49</f>
        <v>0</v>
      </c>
      <c r="CQ326" s="799">
        <f>CQ323*'Venture Assumptions'!$F$49</f>
        <v>0</v>
      </c>
      <c r="CR326" s="799">
        <f>CR323*'Venture Assumptions'!$F$49</f>
        <v>0</v>
      </c>
      <c r="CS326" s="799">
        <f>CS323*'Venture Assumptions'!$F$49</f>
        <v>0</v>
      </c>
      <c r="CT326" s="799">
        <f>CT323*'Venture Assumptions'!$F$49</f>
        <v>0</v>
      </c>
      <c r="CU326" s="799">
        <f>CU323*'Venture Assumptions'!$F$49</f>
        <v>0</v>
      </c>
      <c r="CV326" s="799">
        <f>CV323*'Venture Assumptions'!$F$49</f>
        <v>0</v>
      </c>
      <c r="CW326" s="799">
        <f>CW323*'Venture Assumptions'!$F$49</f>
        <v>-753298.49245852255</v>
      </c>
      <c r="CX326" s="799">
        <f>CX323*'Venture Assumptions'!$F$49</f>
        <v>0</v>
      </c>
      <c r="CY326" s="799">
        <f>CY323*'Venture Assumptions'!$F$49</f>
        <v>0</v>
      </c>
      <c r="CZ326" s="799">
        <f>CZ323*'Venture Assumptions'!$F$49</f>
        <v>0</v>
      </c>
      <c r="DA326" s="799">
        <f>DA323*'Venture Assumptions'!$F$49</f>
        <v>0</v>
      </c>
      <c r="DB326" s="799">
        <f>DB323*'Venture Assumptions'!$F$49</f>
        <v>0</v>
      </c>
      <c r="DC326" s="799">
        <f>DC323*'Venture Assumptions'!$F$49</f>
        <v>0</v>
      </c>
      <c r="DD326" s="799">
        <f>DD323*'Venture Assumptions'!$F$49</f>
        <v>0</v>
      </c>
      <c r="DE326" s="799">
        <f>DE323*'Venture Assumptions'!$F$49</f>
        <v>0</v>
      </c>
      <c r="DF326" s="799">
        <f>DF323*'Venture Assumptions'!$F$49</f>
        <v>0</v>
      </c>
      <c r="DG326" s="799">
        <f>DG323*'Venture Assumptions'!$F$49</f>
        <v>0</v>
      </c>
      <c r="DH326" s="799">
        <f>DH323*'Venture Assumptions'!$F$49</f>
        <v>0</v>
      </c>
      <c r="DI326" s="799">
        <f>DI323*'Venture Assumptions'!$F$49</f>
        <v>0</v>
      </c>
      <c r="DJ326" s="799">
        <f>DJ323*'Venture Assumptions'!$F$49</f>
        <v>0</v>
      </c>
      <c r="DK326" s="799">
        <f>DK323*'Venture Assumptions'!$F$49</f>
        <v>0</v>
      </c>
      <c r="DL326" s="799">
        <f>DL323*'Venture Assumptions'!$F$49</f>
        <v>0</v>
      </c>
      <c r="DM326" s="799">
        <f>DM323*'Venture Assumptions'!$F$49</f>
        <v>0</v>
      </c>
      <c r="DN326" s="799">
        <f>DN323*'Venture Assumptions'!$F$49</f>
        <v>0</v>
      </c>
      <c r="DO326" s="799">
        <f>DO323*'Venture Assumptions'!$F$49</f>
        <v>0</v>
      </c>
      <c r="DP326" s="799">
        <f>DP323*'Venture Assumptions'!$F$49</f>
        <v>0</v>
      </c>
      <c r="DQ326" s="799">
        <f>DQ323*'Venture Assumptions'!$F$49</f>
        <v>0</v>
      </c>
      <c r="DR326" s="799">
        <f>DR323*'Venture Assumptions'!$F$49</f>
        <v>0</v>
      </c>
      <c r="DS326" s="799">
        <f>DS323*'Venture Assumptions'!$F$49</f>
        <v>0</v>
      </c>
      <c r="DT326" s="799">
        <f>DT323*'Venture Assumptions'!$F$49</f>
        <v>0</v>
      </c>
      <c r="DU326" s="799">
        <f>DU323*'Venture Assumptions'!$F$49</f>
        <v>0</v>
      </c>
      <c r="DV326" s="798"/>
      <c r="DW326" s="798"/>
      <c r="DX326" s="798"/>
      <c r="DY326" s="798"/>
      <c r="DZ326" s="798"/>
      <c r="EA326" s="798"/>
      <c r="EB326" s="798"/>
      <c r="EC326" s="798"/>
      <c r="ED326" s="798"/>
      <c r="EE326" s="798"/>
      <c r="EF326" s="798"/>
      <c r="EG326" s="798"/>
      <c r="EH326" s="782"/>
    </row>
    <row r="327" spans="1:138" ht="12.75" customHeight="1" x14ac:dyDescent="0.3">
      <c r="A327" s="782"/>
      <c r="B327" s="782" t="s">
        <v>173</v>
      </c>
      <c r="C327" s="798"/>
      <c r="D327" s="782"/>
      <c r="E327" s="798">
        <f t="shared" ref="E327:AJ327" si="261">SUM(E325:E326)</f>
        <v>0</v>
      </c>
      <c r="F327" s="798">
        <f t="shared" si="261"/>
        <v>0</v>
      </c>
      <c r="G327" s="798">
        <f t="shared" si="261"/>
        <v>0</v>
      </c>
      <c r="H327" s="798">
        <f>SUM(H325:H326)</f>
        <v>0</v>
      </c>
      <c r="I327" s="798">
        <f>SUM(I325:I326)</f>
        <v>0</v>
      </c>
      <c r="J327" s="798">
        <f>SUM(J325:J326)</f>
        <v>0</v>
      </c>
      <c r="K327" s="798">
        <f t="shared" si="261"/>
        <v>0</v>
      </c>
      <c r="L327" s="798">
        <f t="shared" si="261"/>
        <v>0</v>
      </c>
      <c r="M327" s="798">
        <f t="shared" si="261"/>
        <v>0</v>
      </c>
      <c r="N327" s="798">
        <f t="shared" si="261"/>
        <v>0</v>
      </c>
      <c r="O327" s="798">
        <f t="shared" si="261"/>
        <v>0</v>
      </c>
      <c r="P327" s="798">
        <f t="shared" si="261"/>
        <v>0</v>
      </c>
      <c r="Q327" s="798">
        <f t="shared" si="261"/>
        <v>0</v>
      </c>
      <c r="R327" s="798">
        <f t="shared" si="261"/>
        <v>0</v>
      </c>
      <c r="S327" s="798">
        <f t="shared" si="261"/>
        <v>0</v>
      </c>
      <c r="T327" s="798">
        <f t="shared" si="261"/>
        <v>0</v>
      </c>
      <c r="U327" s="798">
        <f t="shared" si="261"/>
        <v>0</v>
      </c>
      <c r="V327" s="798">
        <f t="shared" si="261"/>
        <v>0</v>
      </c>
      <c r="W327" s="798">
        <f t="shared" si="261"/>
        <v>0</v>
      </c>
      <c r="X327" s="798">
        <f t="shared" si="261"/>
        <v>0</v>
      </c>
      <c r="Y327" s="798">
        <f t="shared" si="261"/>
        <v>0</v>
      </c>
      <c r="Z327" s="798">
        <f t="shared" si="261"/>
        <v>0</v>
      </c>
      <c r="AA327" s="798">
        <f t="shared" si="261"/>
        <v>0</v>
      </c>
      <c r="AB327" s="798">
        <f t="shared" si="261"/>
        <v>0</v>
      </c>
      <c r="AC327" s="798">
        <f t="shared" si="261"/>
        <v>0</v>
      </c>
      <c r="AD327" s="798">
        <f t="shared" si="261"/>
        <v>0</v>
      </c>
      <c r="AE327" s="798">
        <f t="shared" si="261"/>
        <v>0</v>
      </c>
      <c r="AF327" s="798">
        <f t="shared" si="261"/>
        <v>0</v>
      </c>
      <c r="AG327" s="798">
        <f t="shared" si="261"/>
        <v>0</v>
      </c>
      <c r="AH327" s="798">
        <f t="shared" si="261"/>
        <v>0</v>
      </c>
      <c r="AI327" s="798">
        <f t="shared" si="261"/>
        <v>0</v>
      </c>
      <c r="AJ327" s="798">
        <f t="shared" si="261"/>
        <v>0</v>
      </c>
      <c r="AK327" s="798">
        <f t="shared" ref="AK327:CV327" si="262">SUM(AK325:AK326)</f>
        <v>0</v>
      </c>
      <c r="AL327" s="798">
        <f t="shared" si="262"/>
        <v>0</v>
      </c>
      <c r="AM327" s="798">
        <f t="shared" si="262"/>
        <v>0</v>
      </c>
      <c r="AN327" s="798">
        <f t="shared" si="262"/>
        <v>0</v>
      </c>
      <c r="AO327" s="798">
        <f t="shared" si="262"/>
        <v>0</v>
      </c>
      <c r="AP327" s="798">
        <f t="shared" si="262"/>
        <v>0</v>
      </c>
      <c r="AQ327" s="798">
        <f t="shared" si="262"/>
        <v>0</v>
      </c>
      <c r="AR327" s="798">
        <f t="shared" si="262"/>
        <v>0</v>
      </c>
      <c r="AS327" s="798">
        <f t="shared" si="262"/>
        <v>0</v>
      </c>
      <c r="AT327" s="798">
        <f t="shared" si="262"/>
        <v>0</v>
      </c>
      <c r="AU327" s="798">
        <f t="shared" si="262"/>
        <v>0</v>
      </c>
      <c r="AV327" s="798">
        <f t="shared" si="262"/>
        <v>0</v>
      </c>
      <c r="AW327" s="798">
        <f t="shared" si="262"/>
        <v>0</v>
      </c>
      <c r="AX327" s="798">
        <f t="shared" si="262"/>
        <v>0</v>
      </c>
      <c r="AY327" s="798">
        <f t="shared" si="262"/>
        <v>0</v>
      </c>
      <c r="AZ327" s="798">
        <f t="shared" si="262"/>
        <v>0</v>
      </c>
      <c r="BA327" s="798">
        <f t="shared" si="262"/>
        <v>0</v>
      </c>
      <c r="BB327" s="798">
        <f t="shared" si="262"/>
        <v>0</v>
      </c>
      <c r="BC327" s="798">
        <f t="shared" si="262"/>
        <v>0</v>
      </c>
      <c r="BD327" s="798">
        <f t="shared" si="262"/>
        <v>0</v>
      </c>
      <c r="BE327" s="798">
        <f t="shared" si="262"/>
        <v>0</v>
      </c>
      <c r="BF327" s="798">
        <f t="shared" si="262"/>
        <v>0</v>
      </c>
      <c r="BG327" s="798">
        <f t="shared" si="262"/>
        <v>0</v>
      </c>
      <c r="BH327" s="798">
        <f t="shared" si="262"/>
        <v>0</v>
      </c>
      <c r="BI327" s="798">
        <f t="shared" si="262"/>
        <v>0</v>
      </c>
      <c r="BJ327" s="798">
        <f t="shared" si="262"/>
        <v>0</v>
      </c>
      <c r="BK327" s="798">
        <f t="shared" si="262"/>
        <v>0</v>
      </c>
      <c r="BL327" s="798">
        <f t="shared" si="262"/>
        <v>0</v>
      </c>
      <c r="BM327" s="798">
        <f t="shared" si="262"/>
        <v>0</v>
      </c>
      <c r="BN327" s="798">
        <f t="shared" si="262"/>
        <v>0</v>
      </c>
      <c r="BO327" s="798">
        <f t="shared" si="262"/>
        <v>0</v>
      </c>
      <c r="BP327" s="798">
        <f t="shared" si="262"/>
        <v>0</v>
      </c>
      <c r="BQ327" s="798">
        <f t="shared" si="262"/>
        <v>0</v>
      </c>
      <c r="BR327" s="798">
        <f t="shared" si="262"/>
        <v>0</v>
      </c>
      <c r="BS327" s="798">
        <f t="shared" si="262"/>
        <v>0</v>
      </c>
      <c r="BT327" s="798">
        <f t="shared" si="262"/>
        <v>0</v>
      </c>
      <c r="BU327" s="798">
        <f t="shared" si="262"/>
        <v>0</v>
      </c>
      <c r="BV327" s="798">
        <f t="shared" si="262"/>
        <v>0</v>
      </c>
      <c r="BW327" s="798">
        <f t="shared" si="262"/>
        <v>0</v>
      </c>
      <c r="BX327" s="798">
        <f t="shared" si="262"/>
        <v>0</v>
      </c>
      <c r="BY327" s="798">
        <f t="shared" si="262"/>
        <v>0</v>
      </c>
      <c r="BZ327" s="798">
        <f t="shared" si="262"/>
        <v>0</v>
      </c>
      <c r="CA327" s="798">
        <f t="shared" si="262"/>
        <v>0</v>
      </c>
      <c r="CB327" s="798">
        <f t="shared" si="262"/>
        <v>0</v>
      </c>
      <c r="CC327" s="798">
        <f t="shared" si="262"/>
        <v>0</v>
      </c>
      <c r="CD327" s="798">
        <f t="shared" si="262"/>
        <v>0</v>
      </c>
      <c r="CE327" s="798">
        <f t="shared" si="262"/>
        <v>0</v>
      </c>
      <c r="CF327" s="798">
        <f t="shared" si="262"/>
        <v>0</v>
      </c>
      <c r="CG327" s="798">
        <f t="shared" si="262"/>
        <v>0</v>
      </c>
      <c r="CH327" s="798">
        <f t="shared" si="262"/>
        <v>0</v>
      </c>
      <c r="CI327" s="798">
        <f t="shared" si="262"/>
        <v>0</v>
      </c>
      <c r="CJ327" s="798">
        <f t="shared" si="262"/>
        <v>0</v>
      </c>
      <c r="CK327" s="798">
        <f t="shared" si="262"/>
        <v>0</v>
      </c>
      <c r="CL327" s="798">
        <f t="shared" si="262"/>
        <v>0</v>
      </c>
      <c r="CM327" s="798">
        <f t="shared" si="262"/>
        <v>0</v>
      </c>
      <c r="CN327" s="798">
        <f t="shared" si="262"/>
        <v>0</v>
      </c>
      <c r="CO327" s="798">
        <f t="shared" si="262"/>
        <v>0</v>
      </c>
      <c r="CP327" s="798">
        <f t="shared" si="262"/>
        <v>0</v>
      </c>
      <c r="CQ327" s="798">
        <f t="shared" si="262"/>
        <v>0</v>
      </c>
      <c r="CR327" s="798">
        <f t="shared" si="262"/>
        <v>0</v>
      </c>
      <c r="CS327" s="798">
        <f t="shared" si="262"/>
        <v>0</v>
      </c>
      <c r="CT327" s="798">
        <f t="shared" si="262"/>
        <v>0</v>
      </c>
      <c r="CU327" s="798">
        <f t="shared" si="262"/>
        <v>0</v>
      </c>
      <c r="CV327" s="798">
        <f t="shared" si="262"/>
        <v>0</v>
      </c>
      <c r="CW327" s="798">
        <f t="shared" ref="CW327:DU327" si="263">SUM(CW325:CW326)</f>
        <v>-1158920.7576284963</v>
      </c>
      <c r="CX327" s="798">
        <f t="shared" si="263"/>
        <v>0</v>
      </c>
      <c r="CY327" s="798">
        <f t="shared" si="263"/>
        <v>0</v>
      </c>
      <c r="CZ327" s="798">
        <f t="shared" si="263"/>
        <v>0</v>
      </c>
      <c r="DA327" s="798">
        <f t="shared" si="263"/>
        <v>0</v>
      </c>
      <c r="DB327" s="798">
        <f t="shared" si="263"/>
        <v>0</v>
      </c>
      <c r="DC327" s="798">
        <f t="shared" si="263"/>
        <v>0</v>
      </c>
      <c r="DD327" s="798">
        <f t="shared" si="263"/>
        <v>0</v>
      </c>
      <c r="DE327" s="798">
        <f t="shared" si="263"/>
        <v>0</v>
      </c>
      <c r="DF327" s="798">
        <f t="shared" si="263"/>
        <v>0</v>
      </c>
      <c r="DG327" s="798">
        <f t="shared" si="263"/>
        <v>0</v>
      </c>
      <c r="DH327" s="798">
        <f t="shared" si="263"/>
        <v>0</v>
      </c>
      <c r="DI327" s="798">
        <f t="shared" si="263"/>
        <v>0</v>
      </c>
      <c r="DJ327" s="798">
        <f t="shared" si="263"/>
        <v>0</v>
      </c>
      <c r="DK327" s="798">
        <f t="shared" si="263"/>
        <v>0</v>
      </c>
      <c r="DL327" s="798">
        <f t="shared" si="263"/>
        <v>0</v>
      </c>
      <c r="DM327" s="798">
        <f t="shared" si="263"/>
        <v>0</v>
      </c>
      <c r="DN327" s="798">
        <f t="shared" si="263"/>
        <v>0</v>
      </c>
      <c r="DO327" s="798">
        <f t="shared" si="263"/>
        <v>0</v>
      </c>
      <c r="DP327" s="798">
        <f t="shared" si="263"/>
        <v>0</v>
      </c>
      <c r="DQ327" s="798">
        <f t="shared" si="263"/>
        <v>0</v>
      </c>
      <c r="DR327" s="798">
        <f t="shared" si="263"/>
        <v>0</v>
      </c>
      <c r="DS327" s="798">
        <f t="shared" si="263"/>
        <v>0</v>
      </c>
      <c r="DT327" s="798">
        <f t="shared" si="263"/>
        <v>0</v>
      </c>
      <c r="DU327" s="798">
        <f t="shared" si="263"/>
        <v>0</v>
      </c>
      <c r="DV327" s="798"/>
      <c r="DW327" s="798"/>
      <c r="DX327" s="798"/>
      <c r="DY327" s="798"/>
      <c r="DZ327" s="798"/>
      <c r="EA327" s="798"/>
      <c r="EB327" s="798"/>
      <c r="EC327" s="798"/>
      <c r="ED327" s="798"/>
      <c r="EE327" s="798"/>
      <c r="EF327" s="798"/>
      <c r="EG327" s="798"/>
      <c r="EH327" s="782"/>
    </row>
    <row r="328" spans="1:138" ht="12.75" customHeight="1" x14ac:dyDescent="0.3">
      <c r="A328" s="782"/>
      <c r="B328" s="782" t="s">
        <v>179</v>
      </c>
      <c r="C328" s="798"/>
      <c r="D328" s="782"/>
      <c r="E328" s="798">
        <f t="shared" ref="E328:BP328" si="264">E305-E327</f>
        <v>0</v>
      </c>
      <c r="F328" s="798">
        <f t="shared" si="264"/>
        <v>0</v>
      </c>
      <c r="G328" s="798">
        <f t="shared" si="264"/>
        <v>0</v>
      </c>
      <c r="H328" s="798">
        <f t="shared" si="264"/>
        <v>0</v>
      </c>
      <c r="I328" s="798">
        <f t="shared" si="264"/>
        <v>0</v>
      </c>
      <c r="J328" s="798">
        <f t="shared" si="264"/>
        <v>0</v>
      </c>
      <c r="K328" s="798">
        <f t="shared" si="264"/>
        <v>0</v>
      </c>
      <c r="L328" s="798">
        <f t="shared" si="264"/>
        <v>0</v>
      </c>
      <c r="M328" s="798">
        <f t="shared" si="264"/>
        <v>0</v>
      </c>
      <c r="N328" s="798">
        <f t="shared" si="264"/>
        <v>0</v>
      </c>
      <c r="O328" s="798">
        <f t="shared" si="264"/>
        <v>0</v>
      </c>
      <c r="P328" s="798">
        <f t="shared" si="264"/>
        <v>0</v>
      </c>
      <c r="Q328" s="798">
        <f t="shared" si="264"/>
        <v>0</v>
      </c>
      <c r="R328" s="798">
        <f t="shared" si="264"/>
        <v>0</v>
      </c>
      <c r="S328" s="798">
        <f t="shared" si="264"/>
        <v>0</v>
      </c>
      <c r="T328" s="798">
        <f t="shared" si="264"/>
        <v>0</v>
      </c>
      <c r="U328" s="798">
        <f t="shared" si="264"/>
        <v>0</v>
      </c>
      <c r="V328" s="798">
        <f t="shared" si="264"/>
        <v>0</v>
      </c>
      <c r="W328" s="798">
        <f t="shared" si="264"/>
        <v>0</v>
      </c>
      <c r="X328" s="798">
        <f t="shared" si="264"/>
        <v>0</v>
      </c>
      <c r="Y328" s="798">
        <f t="shared" si="264"/>
        <v>0</v>
      </c>
      <c r="Z328" s="798">
        <f t="shared" si="264"/>
        <v>0</v>
      </c>
      <c r="AA328" s="798">
        <f t="shared" si="264"/>
        <v>0</v>
      </c>
      <c r="AB328" s="798">
        <f t="shared" si="264"/>
        <v>0</v>
      </c>
      <c r="AC328" s="798">
        <f t="shared" si="264"/>
        <v>0</v>
      </c>
      <c r="AD328" s="798">
        <f t="shared" si="264"/>
        <v>0</v>
      </c>
      <c r="AE328" s="798">
        <f t="shared" si="264"/>
        <v>0</v>
      </c>
      <c r="AF328" s="798">
        <f t="shared" si="264"/>
        <v>0</v>
      </c>
      <c r="AG328" s="798">
        <f t="shared" si="264"/>
        <v>0</v>
      </c>
      <c r="AH328" s="798">
        <f t="shared" si="264"/>
        <v>0</v>
      </c>
      <c r="AI328" s="798">
        <f t="shared" si="264"/>
        <v>0</v>
      </c>
      <c r="AJ328" s="798">
        <f t="shared" si="264"/>
        <v>0</v>
      </c>
      <c r="AK328" s="798">
        <f t="shared" si="264"/>
        <v>0</v>
      </c>
      <c r="AL328" s="798">
        <f t="shared" si="264"/>
        <v>0</v>
      </c>
      <c r="AM328" s="798">
        <f t="shared" si="264"/>
        <v>0</v>
      </c>
      <c r="AN328" s="798">
        <f t="shared" si="264"/>
        <v>0</v>
      </c>
      <c r="AO328" s="798">
        <f t="shared" si="264"/>
        <v>0</v>
      </c>
      <c r="AP328" s="798">
        <f t="shared" si="264"/>
        <v>0</v>
      </c>
      <c r="AQ328" s="798">
        <f t="shared" si="264"/>
        <v>0</v>
      </c>
      <c r="AR328" s="798">
        <f t="shared" si="264"/>
        <v>0</v>
      </c>
      <c r="AS328" s="798">
        <f t="shared" si="264"/>
        <v>0</v>
      </c>
      <c r="AT328" s="798">
        <f t="shared" si="264"/>
        <v>0</v>
      </c>
      <c r="AU328" s="798">
        <f t="shared" si="264"/>
        <v>0</v>
      </c>
      <c r="AV328" s="798">
        <f t="shared" si="264"/>
        <v>0</v>
      </c>
      <c r="AW328" s="798">
        <f t="shared" si="264"/>
        <v>0</v>
      </c>
      <c r="AX328" s="798">
        <f t="shared" si="264"/>
        <v>0</v>
      </c>
      <c r="AY328" s="798">
        <f t="shared" si="264"/>
        <v>0</v>
      </c>
      <c r="AZ328" s="798">
        <f t="shared" si="264"/>
        <v>0</v>
      </c>
      <c r="BA328" s="798">
        <f t="shared" si="264"/>
        <v>0</v>
      </c>
      <c r="BB328" s="798">
        <f t="shared" si="264"/>
        <v>0</v>
      </c>
      <c r="BC328" s="798">
        <f t="shared" si="264"/>
        <v>0</v>
      </c>
      <c r="BD328" s="798">
        <f t="shared" si="264"/>
        <v>0</v>
      </c>
      <c r="BE328" s="798">
        <f t="shared" si="264"/>
        <v>0</v>
      </c>
      <c r="BF328" s="798">
        <f t="shared" si="264"/>
        <v>0</v>
      </c>
      <c r="BG328" s="798">
        <f t="shared" si="264"/>
        <v>0</v>
      </c>
      <c r="BH328" s="798">
        <f t="shared" si="264"/>
        <v>0</v>
      </c>
      <c r="BI328" s="798">
        <f t="shared" si="264"/>
        <v>0</v>
      </c>
      <c r="BJ328" s="798">
        <f t="shared" si="264"/>
        <v>0</v>
      </c>
      <c r="BK328" s="798">
        <f t="shared" si="264"/>
        <v>0</v>
      </c>
      <c r="BL328" s="798">
        <f t="shared" si="264"/>
        <v>0</v>
      </c>
      <c r="BM328" s="798">
        <f t="shared" si="264"/>
        <v>0</v>
      </c>
      <c r="BN328" s="798">
        <f t="shared" si="264"/>
        <v>0</v>
      </c>
      <c r="BO328" s="798">
        <f t="shared" si="264"/>
        <v>0</v>
      </c>
      <c r="BP328" s="798">
        <f t="shared" si="264"/>
        <v>0</v>
      </c>
      <c r="BQ328" s="798">
        <f t="shared" ref="BQ328:DU328" si="265">BQ305-BQ327</f>
        <v>0</v>
      </c>
      <c r="BR328" s="798">
        <f t="shared" si="265"/>
        <v>0</v>
      </c>
      <c r="BS328" s="798">
        <f t="shared" si="265"/>
        <v>0</v>
      </c>
      <c r="BT328" s="798">
        <f t="shared" si="265"/>
        <v>0</v>
      </c>
      <c r="BU328" s="798">
        <f t="shared" si="265"/>
        <v>0</v>
      </c>
      <c r="BV328" s="798">
        <f t="shared" si="265"/>
        <v>0</v>
      </c>
      <c r="BW328" s="798">
        <f t="shared" si="265"/>
        <v>0</v>
      </c>
      <c r="BX328" s="798">
        <f t="shared" si="265"/>
        <v>0</v>
      </c>
      <c r="BY328" s="798">
        <f t="shared" si="265"/>
        <v>0</v>
      </c>
      <c r="BZ328" s="798">
        <f t="shared" si="265"/>
        <v>0</v>
      </c>
      <c r="CA328" s="798">
        <f t="shared" si="265"/>
        <v>0</v>
      </c>
      <c r="CB328" s="798">
        <f t="shared" si="265"/>
        <v>0</v>
      </c>
      <c r="CC328" s="798">
        <f t="shared" si="265"/>
        <v>0</v>
      </c>
      <c r="CD328" s="798">
        <f t="shared" si="265"/>
        <v>0</v>
      </c>
      <c r="CE328" s="798">
        <f t="shared" si="265"/>
        <v>0</v>
      </c>
      <c r="CF328" s="798">
        <f t="shared" si="265"/>
        <v>0</v>
      </c>
      <c r="CG328" s="798">
        <f t="shared" si="265"/>
        <v>0</v>
      </c>
      <c r="CH328" s="798">
        <f t="shared" si="265"/>
        <v>0</v>
      </c>
      <c r="CI328" s="798">
        <f t="shared" si="265"/>
        <v>0</v>
      </c>
      <c r="CJ328" s="798">
        <f t="shared" si="265"/>
        <v>0</v>
      </c>
      <c r="CK328" s="798">
        <f t="shared" si="265"/>
        <v>0</v>
      </c>
      <c r="CL328" s="798">
        <f t="shared" si="265"/>
        <v>0</v>
      </c>
      <c r="CM328" s="798">
        <f t="shared" si="265"/>
        <v>0</v>
      </c>
      <c r="CN328" s="798">
        <f t="shared" si="265"/>
        <v>0</v>
      </c>
      <c r="CO328" s="798">
        <f t="shared" si="265"/>
        <v>0</v>
      </c>
      <c r="CP328" s="798">
        <f t="shared" si="265"/>
        <v>0</v>
      </c>
      <c r="CQ328" s="798">
        <f t="shared" si="265"/>
        <v>0</v>
      </c>
      <c r="CR328" s="798">
        <f t="shared" si="265"/>
        <v>0</v>
      </c>
      <c r="CS328" s="798">
        <f t="shared" si="265"/>
        <v>0</v>
      </c>
      <c r="CT328" s="798">
        <f t="shared" si="265"/>
        <v>0</v>
      </c>
      <c r="CU328" s="798">
        <f t="shared" si="265"/>
        <v>0</v>
      </c>
      <c r="CV328" s="798">
        <f t="shared" si="265"/>
        <v>0</v>
      </c>
      <c r="CW328" s="798">
        <f t="shared" si="265"/>
        <v>14733390.594612833</v>
      </c>
      <c r="CX328" s="798">
        <f t="shared" si="265"/>
        <v>0</v>
      </c>
      <c r="CY328" s="798">
        <f t="shared" si="265"/>
        <v>0</v>
      </c>
      <c r="CZ328" s="798">
        <f t="shared" si="265"/>
        <v>0</v>
      </c>
      <c r="DA328" s="798">
        <f t="shared" si="265"/>
        <v>0</v>
      </c>
      <c r="DB328" s="798">
        <f t="shared" si="265"/>
        <v>0</v>
      </c>
      <c r="DC328" s="798">
        <f t="shared" si="265"/>
        <v>0</v>
      </c>
      <c r="DD328" s="798">
        <f t="shared" si="265"/>
        <v>0</v>
      </c>
      <c r="DE328" s="798">
        <f t="shared" si="265"/>
        <v>0</v>
      </c>
      <c r="DF328" s="798">
        <f t="shared" si="265"/>
        <v>0</v>
      </c>
      <c r="DG328" s="798">
        <f t="shared" si="265"/>
        <v>0</v>
      </c>
      <c r="DH328" s="798">
        <f t="shared" si="265"/>
        <v>0</v>
      </c>
      <c r="DI328" s="798">
        <f t="shared" si="265"/>
        <v>0</v>
      </c>
      <c r="DJ328" s="798">
        <f t="shared" si="265"/>
        <v>0</v>
      </c>
      <c r="DK328" s="798">
        <f t="shared" si="265"/>
        <v>0</v>
      </c>
      <c r="DL328" s="798">
        <f t="shared" si="265"/>
        <v>0</v>
      </c>
      <c r="DM328" s="798">
        <f t="shared" si="265"/>
        <v>0</v>
      </c>
      <c r="DN328" s="798">
        <f t="shared" si="265"/>
        <v>0</v>
      </c>
      <c r="DO328" s="798">
        <f t="shared" si="265"/>
        <v>0</v>
      </c>
      <c r="DP328" s="798">
        <f t="shared" si="265"/>
        <v>0</v>
      </c>
      <c r="DQ328" s="798">
        <f t="shared" si="265"/>
        <v>0</v>
      </c>
      <c r="DR328" s="798">
        <f t="shared" si="265"/>
        <v>0</v>
      </c>
      <c r="DS328" s="798">
        <f t="shared" si="265"/>
        <v>0</v>
      </c>
      <c r="DT328" s="798">
        <f t="shared" si="265"/>
        <v>0</v>
      </c>
      <c r="DU328" s="798">
        <f t="shared" si="265"/>
        <v>0</v>
      </c>
      <c r="DV328" s="798"/>
      <c r="DW328" s="798"/>
      <c r="DX328" s="798"/>
      <c r="DY328" s="798"/>
      <c r="DZ328" s="798"/>
      <c r="EA328" s="798"/>
      <c r="EB328" s="798"/>
      <c r="EC328" s="798"/>
      <c r="ED328" s="798"/>
      <c r="EE328" s="798"/>
      <c r="EF328" s="798"/>
      <c r="EG328" s="798"/>
      <c r="EH328" s="782"/>
    </row>
    <row r="329" spans="1:138" ht="12.75" customHeight="1" x14ac:dyDescent="0.3">
      <c r="A329" s="782"/>
      <c r="B329" s="782"/>
      <c r="C329" s="798"/>
      <c r="D329" s="782"/>
      <c r="E329" s="798"/>
      <c r="F329" s="798"/>
      <c r="G329" s="798"/>
      <c r="H329" s="798"/>
      <c r="I329" s="798"/>
      <c r="J329" s="798"/>
      <c r="K329" s="798"/>
      <c r="L329" s="798"/>
      <c r="M329" s="798"/>
      <c r="N329" s="798"/>
      <c r="O329" s="798"/>
      <c r="P329" s="798"/>
      <c r="Q329" s="798"/>
      <c r="R329" s="798"/>
      <c r="S329" s="798"/>
      <c r="T329" s="798"/>
      <c r="U329" s="798"/>
      <c r="V329" s="798"/>
      <c r="W329" s="798"/>
      <c r="X329" s="798"/>
      <c r="Y329" s="798"/>
      <c r="Z329" s="798"/>
      <c r="AA329" s="798"/>
      <c r="AB329" s="798"/>
      <c r="AC329" s="798"/>
      <c r="AD329" s="798"/>
      <c r="AE329" s="798"/>
      <c r="AF329" s="798"/>
      <c r="AG329" s="798"/>
      <c r="AH329" s="798"/>
      <c r="AI329" s="798"/>
      <c r="AJ329" s="798"/>
      <c r="AK329" s="798"/>
      <c r="AL329" s="798"/>
      <c r="AM329" s="798"/>
      <c r="AN329" s="798"/>
      <c r="AO329" s="798"/>
      <c r="AP329" s="798"/>
      <c r="AQ329" s="798"/>
      <c r="AR329" s="798"/>
      <c r="AS329" s="798"/>
      <c r="AT329" s="798"/>
      <c r="AU329" s="798"/>
      <c r="AV329" s="798"/>
      <c r="AW329" s="798"/>
      <c r="AX329" s="798"/>
      <c r="AY329" s="798"/>
      <c r="AZ329" s="798"/>
      <c r="BA329" s="798"/>
      <c r="BB329" s="798"/>
      <c r="BC329" s="798"/>
      <c r="BD329" s="798"/>
      <c r="BE329" s="798"/>
      <c r="BF329" s="798"/>
      <c r="BG329" s="798"/>
      <c r="BH329" s="798"/>
      <c r="BI329" s="798"/>
      <c r="BJ329" s="798"/>
      <c r="BK329" s="798"/>
      <c r="BL329" s="798"/>
      <c r="BM329" s="798"/>
      <c r="BN329" s="798"/>
      <c r="BO329" s="798"/>
      <c r="BP329" s="798"/>
      <c r="BQ329" s="798"/>
      <c r="BR329" s="798"/>
      <c r="BS329" s="798"/>
      <c r="BT329" s="798"/>
      <c r="BU329" s="798"/>
      <c r="BV329" s="798"/>
      <c r="BW329" s="798"/>
      <c r="BX329" s="798"/>
      <c r="BY329" s="798"/>
      <c r="BZ329" s="798"/>
      <c r="CA329" s="798"/>
      <c r="CB329" s="798"/>
      <c r="CC329" s="798"/>
      <c r="CD329" s="798"/>
      <c r="CE329" s="798"/>
      <c r="CF329" s="798"/>
      <c r="CG329" s="798"/>
      <c r="CH329" s="798"/>
      <c r="CI329" s="798"/>
      <c r="CJ329" s="798"/>
      <c r="CK329" s="798"/>
      <c r="CL329" s="798"/>
      <c r="CM329" s="798"/>
      <c r="CN329" s="798"/>
      <c r="CO329" s="798"/>
      <c r="CP329" s="798"/>
      <c r="CQ329" s="798"/>
      <c r="CR329" s="798"/>
      <c r="CS329" s="798"/>
      <c r="CT329" s="798"/>
      <c r="CU329" s="798"/>
      <c r="CV329" s="798"/>
      <c r="CW329" s="798"/>
      <c r="CX329" s="798"/>
      <c r="CY329" s="798"/>
      <c r="CZ329" s="798"/>
      <c r="DA329" s="798"/>
      <c r="DB329" s="798"/>
      <c r="DC329" s="798"/>
      <c r="DD329" s="798"/>
      <c r="DE329" s="798"/>
      <c r="DF329" s="798"/>
      <c r="DG329" s="798"/>
      <c r="DH329" s="798"/>
      <c r="DI329" s="798"/>
      <c r="DJ329" s="798"/>
      <c r="DK329" s="798"/>
      <c r="DL329" s="798"/>
      <c r="DM329" s="798"/>
      <c r="DN329" s="798"/>
      <c r="DO329" s="798"/>
      <c r="DP329" s="798"/>
      <c r="DQ329" s="798"/>
      <c r="DR329" s="798"/>
      <c r="DS329" s="798"/>
      <c r="DT329" s="798"/>
      <c r="DU329" s="798"/>
      <c r="DV329" s="798"/>
      <c r="DW329" s="798"/>
      <c r="DX329" s="798"/>
      <c r="DY329" s="798"/>
      <c r="DZ329" s="798"/>
      <c r="EA329" s="798"/>
      <c r="EB329" s="798"/>
      <c r="EC329" s="798"/>
      <c r="ED329" s="798"/>
      <c r="EE329" s="798"/>
      <c r="EF329" s="798"/>
      <c r="EG329" s="798"/>
      <c r="EH329" s="782"/>
    </row>
    <row r="330" spans="1:138" ht="12.75" customHeight="1" x14ac:dyDescent="0.3">
      <c r="A330" s="782"/>
      <c r="B330" s="796" t="s">
        <v>148</v>
      </c>
      <c r="C330" s="798"/>
      <c r="D330" s="782"/>
      <c r="E330" s="798"/>
      <c r="F330" s="798"/>
      <c r="G330" s="798"/>
      <c r="H330" s="798"/>
      <c r="I330" s="798"/>
      <c r="J330" s="798"/>
      <c r="K330" s="798"/>
      <c r="L330" s="798"/>
      <c r="M330" s="798"/>
      <c r="N330" s="798"/>
      <c r="O330" s="798"/>
      <c r="P330" s="798"/>
      <c r="Q330" s="798"/>
      <c r="R330" s="798"/>
      <c r="S330" s="798"/>
      <c r="T330" s="798"/>
      <c r="U330" s="798"/>
      <c r="V330" s="798"/>
      <c r="W330" s="798"/>
      <c r="X330" s="798"/>
      <c r="Y330" s="798"/>
      <c r="Z330" s="798"/>
      <c r="AA330" s="798"/>
      <c r="AB330" s="798"/>
      <c r="AC330" s="798"/>
      <c r="AD330" s="798"/>
      <c r="AE330" s="798"/>
      <c r="AF330" s="798"/>
      <c r="AG330" s="798"/>
      <c r="AH330" s="798"/>
      <c r="AI330" s="798"/>
      <c r="AJ330" s="798"/>
      <c r="AK330" s="798"/>
      <c r="AL330" s="798"/>
      <c r="AM330" s="798"/>
      <c r="AN330" s="798"/>
      <c r="AO330" s="798"/>
      <c r="AP330" s="798"/>
      <c r="AQ330" s="798"/>
      <c r="AR330" s="798"/>
      <c r="AS330" s="798"/>
      <c r="AT330" s="798"/>
      <c r="AU330" s="798"/>
      <c r="AV330" s="798"/>
      <c r="AW330" s="798"/>
      <c r="AX330" s="798"/>
      <c r="AY330" s="798"/>
      <c r="AZ330" s="798"/>
      <c r="BA330" s="798"/>
      <c r="BB330" s="798"/>
      <c r="BC330" s="798"/>
      <c r="BD330" s="798"/>
      <c r="BE330" s="798"/>
      <c r="BF330" s="798"/>
      <c r="BG330" s="798"/>
      <c r="BH330" s="798"/>
      <c r="BI330" s="798"/>
      <c r="BJ330" s="798"/>
      <c r="BK330" s="798"/>
      <c r="BL330" s="798"/>
      <c r="BM330" s="798"/>
      <c r="BN330" s="798"/>
      <c r="BO330" s="798"/>
      <c r="BP330" s="798"/>
      <c r="BQ330" s="798"/>
      <c r="BR330" s="798"/>
      <c r="BS330" s="798"/>
      <c r="BT330" s="798"/>
      <c r="BU330" s="798"/>
      <c r="BV330" s="798"/>
      <c r="BW330" s="798"/>
      <c r="BX330" s="798"/>
      <c r="BY330" s="798"/>
      <c r="BZ330" s="798"/>
      <c r="CA330" s="798"/>
      <c r="CB330" s="798"/>
      <c r="CC330" s="798"/>
      <c r="CD330" s="798"/>
      <c r="CE330" s="798"/>
      <c r="CF330" s="798"/>
      <c r="CG330" s="798"/>
      <c r="CH330" s="798"/>
      <c r="CI330" s="798"/>
      <c r="CJ330" s="798"/>
      <c r="CK330" s="798"/>
      <c r="CL330" s="798"/>
      <c r="CM330" s="798"/>
      <c r="CN330" s="798"/>
      <c r="CO330" s="798"/>
      <c r="CP330" s="798"/>
      <c r="CQ330" s="798"/>
      <c r="CR330" s="798"/>
      <c r="CS330" s="798"/>
      <c r="CT330" s="798"/>
      <c r="CU330" s="798"/>
      <c r="CV330" s="798"/>
      <c r="CW330" s="798"/>
      <c r="CX330" s="798"/>
      <c r="CY330" s="798"/>
      <c r="CZ330" s="798"/>
      <c r="DA330" s="798"/>
      <c r="DB330" s="798"/>
      <c r="DC330" s="798"/>
      <c r="DD330" s="798"/>
      <c r="DE330" s="798"/>
      <c r="DF330" s="798"/>
      <c r="DG330" s="798"/>
      <c r="DH330" s="798"/>
      <c r="DI330" s="798"/>
      <c r="DJ330" s="798"/>
      <c r="DK330" s="798"/>
      <c r="DL330" s="798"/>
      <c r="DM330" s="798"/>
      <c r="DN330" s="798"/>
      <c r="DO330" s="798"/>
      <c r="DP330" s="798"/>
      <c r="DQ330" s="798"/>
      <c r="DR330" s="798"/>
      <c r="DS330" s="798"/>
      <c r="DT330" s="798"/>
      <c r="DU330" s="798"/>
      <c r="DV330" s="798"/>
      <c r="DW330" s="798"/>
      <c r="DX330" s="798"/>
      <c r="DY330" s="798"/>
      <c r="DZ330" s="798"/>
      <c r="EA330" s="798"/>
      <c r="EB330" s="798"/>
      <c r="EC330" s="798"/>
      <c r="ED330" s="798"/>
      <c r="EE330" s="798"/>
      <c r="EF330" s="798"/>
      <c r="EG330" s="798"/>
      <c r="EH330" s="782"/>
    </row>
    <row r="331" spans="1:138" ht="12.75" customHeight="1" x14ac:dyDescent="0.3">
      <c r="A331" s="782"/>
      <c r="B331" s="782"/>
      <c r="C331" s="798"/>
      <c r="D331" s="782"/>
      <c r="E331" s="798"/>
      <c r="F331" s="798"/>
      <c r="G331" s="798"/>
      <c r="H331" s="798"/>
      <c r="I331" s="798"/>
      <c r="J331" s="798"/>
      <c r="K331" s="798"/>
      <c r="L331" s="798"/>
      <c r="M331" s="798"/>
      <c r="N331" s="798"/>
      <c r="O331" s="798"/>
      <c r="P331" s="798"/>
      <c r="Q331" s="798"/>
      <c r="R331" s="798"/>
      <c r="S331" s="798"/>
      <c r="T331" s="798"/>
      <c r="U331" s="798"/>
      <c r="V331" s="798"/>
      <c r="W331" s="798"/>
      <c r="X331" s="798"/>
      <c r="Y331" s="798"/>
      <c r="Z331" s="798"/>
      <c r="AA331" s="798"/>
      <c r="AB331" s="798"/>
      <c r="AC331" s="798"/>
      <c r="AD331" s="798"/>
      <c r="AE331" s="798"/>
      <c r="AF331" s="798"/>
      <c r="AG331" s="798"/>
      <c r="AH331" s="798"/>
      <c r="AI331" s="798"/>
      <c r="AJ331" s="798"/>
      <c r="AK331" s="798"/>
      <c r="AL331" s="798"/>
      <c r="AM331" s="798"/>
      <c r="AN331" s="798"/>
      <c r="AO331" s="798"/>
      <c r="AP331" s="798"/>
      <c r="AQ331" s="798"/>
      <c r="AR331" s="798"/>
      <c r="AS331" s="798"/>
      <c r="AT331" s="798"/>
      <c r="AU331" s="798"/>
      <c r="AV331" s="798"/>
      <c r="AW331" s="798"/>
      <c r="AX331" s="798"/>
      <c r="AY331" s="798"/>
      <c r="AZ331" s="798"/>
      <c r="BA331" s="798"/>
      <c r="BB331" s="798"/>
      <c r="BC331" s="798"/>
      <c r="BD331" s="798"/>
      <c r="BE331" s="798"/>
      <c r="BF331" s="798"/>
      <c r="BG331" s="798"/>
      <c r="BH331" s="798"/>
      <c r="BI331" s="798"/>
      <c r="BJ331" s="798"/>
      <c r="BK331" s="798"/>
      <c r="BL331" s="798"/>
      <c r="BM331" s="798"/>
      <c r="BN331" s="798"/>
      <c r="BO331" s="798"/>
      <c r="BP331" s="798"/>
      <c r="BQ331" s="798"/>
      <c r="BR331" s="798"/>
      <c r="BS331" s="798"/>
      <c r="BT331" s="798"/>
      <c r="BU331" s="798"/>
      <c r="BV331" s="798"/>
      <c r="BW331" s="798"/>
      <c r="BX331" s="798"/>
      <c r="BY331" s="798"/>
      <c r="BZ331" s="798"/>
      <c r="CA331" s="798"/>
      <c r="CB331" s="798"/>
      <c r="CC331" s="798"/>
      <c r="CD331" s="798"/>
      <c r="CE331" s="798"/>
      <c r="CF331" s="798"/>
      <c r="CG331" s="798"/>
      <c r="CH331" s="798"/>
      <c r="CI331" s="798"/>
      <c r="CJ331" s="798"/>
      <c r="CK331" s="798"/>
      <c r="CL331" s="798"/>
      <c r="CM331" s="798"/>
      <c r="CN331" s="798"/>
      <c r="CO331" s="798"/>
      <c r="CP331" s="798"/>
      <c r="CQ331" s="798"/>
      <c r="CR331" s="798"/>
      <c r="CS331" s="798"/>
      <c r="CT331" s="798"/>
      <c r="CU331" s="798"/>
      <c r="CV331" s="798"/>
      <c r="CW331" s="798"/>
      <c r="CX331" s="798"/>
      <c r="CY331" s="798"/>
      <c r="CZ331" s="798"/>
      <c r="DA331" s="798"/>
      <c r="DB331" s="798"/>
      <c r="DC331" s="798"/>
      <c r="DD331" s="798"/>
      <c r="DE331" s="798"/>
      <c r="DF331" s="798"/>
      <c r="DG331" s="798"/>
      <c r="DH331" s="798"/>
      <c r="DI331" s="798"/>
      <c r="DJ331" s="798"/>
      <c r="DK331" s="798"/>
      <c r="DL331" s="798"/>
      <c r="DM331" s="798"/>
      <c r="DN331" s="798"/>
      <c r="DO331" s="798"/>
      <c r="DP331" s="798"/>
      <c r="DQ331" s="798"/>
      <c r="DR331" s="798"/>
      <c r="DS331" s="798"/>
      <c r="DT331" s="798"/>
      <c r="DU331" s="798"/>
      <c r="DV331" s="798"/>
      <c r="DW331" s="798"/>
      <c r="DX331" s="798"/>
      <c r="DY331" s="798"/>
      <c r="DZ331" s="798"/>
      <c r="EA331" s="798"/>
      <c r="EB331" s="798"/>
      <c r="EC331" s="798"/>
      <c r="ED331" s="798"/>
      <c r="EE331" s="798"/>
      <c r="EF331" s="798"/>
      <c r="EG331" s="798"/>
      <c r="EH331" s="782"/>
    </row>
    <row r="332" spans="1:138" ht="12.75" customHeight="1" x14ac:dyDescent="0.3">
      <c r="A332" s="782"/>
      <c r="B332" s="782" t="s">
        <v>180</v>
      </c>
      <c r="C332" s="798"/>
      <c r="D332" s="782"/>
      <c r="E332" s="798">
        <f>E328*'Venture Assumptions'!$F$51</f>
        <v>0</v>
      </c>
      <c r="F332" s="798">
        <f>F328*'Venture Assumptions'!$F$51</f>
        <v>0</v>
      </c>
      <c r="G332" s="798">
        <f>G328*'Venture Assumptions'!$F$51</f>
        <v>0</v>
      </c>
      <c r="H332" s="798">
        <f>H328*'Venture Assumptions'!$F$51</f>
        <v>0</v>
      </c>
      <c r="I332" s="798">
        <f>I328*'Venture Assumptions'!$F$51</f>
        <v>0</v>
      </c>
      <c r="J332" s="798">
        <f>J328*'Venture Assumptions'!$F$51</f>
        <v>0</v>
      </c>
      <c r="K332" s="798">
        <f>K328*'Venture Assumptions'!$F$51</f>
        <v>0</v>
      </c>
      <c r="L332" s="798">
        <f>L328*'Venture Assumptions'!$F$51</f>
        <v>0</v>
      </c>
      <c r="M332" s="798">
        <f>M328*'Venture Assumptions'!$F$51</f>
        <v>0</v>
      </c>
      <c r="N332" s="798">
        <f>N328*'Venture Assumptions'!$F$51</f>
        <v>0</v>
      </c>
      <c r="O332" s="798">
        <f>O328*'Venture Assumptions'!$F$51</f>
        <v>0</v>
      </c>
      <c r="P332" s="798">
        <f>P328*'Venture Assumptions'!$F$51</f>
        <v>0</v>
      </c>
      <c r="Q332" s="798">
        <f>Q328*'Venture Assumptions'!$F$51</f>
        <v>0</v>
      </c>
      <c r="R332" s="798">
        <f>R328*'Venture Assumptions'!$F$51</f>
        <v>0</v>
      </c>
      <c r="S332" s="798">
        <f>S328*'Venture Assumptions'!$F$51</f>
        <v>0</v>
      </c>
      <c r="T332" s="798">
        <f>T328*'Venture Assumptions'!$F$51</f>
        <v>0</v>
      </c>
      <c r="U332" s="798">
        <f>U328*'Venture Assumptions'!$F$51</f>
        <v>0</v>
      </c>
      <c r="V332" s="798">
        <f>V328*'Venture Assumptions'!$F$51</f>
        <v>0</v>
      </c>
      <c r="W332" s="798">
        <f>W328*'Venture Assumptions'!$F$51</f>
        <v>0</v>
      </c>
      <c r="X332" s="798">
        <f>X328*'Venture Assumptions'!$F$51</f>
        <v>0</v>
      </c>
      <c r="Y332" s="798">
        <f>Y328*'Venture Assumptions'!$F$51</f>
        <v>0</v>
      </c>
      <c r="Z332" s="798">
        <f>Z328*'Venture Assumptions'!$F$51</f>
        <v>0</v>
      </c>
      <c r="AA332" s="798">
        <f>AA328*'Venture Assumptions'!$F$51</f>
        <v>0</v>
      </c>
      <c r="AB332" s="798">
        <f>AB328*'Venture Assumptions'!$F$51</f>
        <v>0</v>
      </c>
      <c r="AC332" s="798">
        <f>AC328*'Venture Assumptions'!$F$51</f>
        <v>0</v>
      </c>
      <c r="AD332" s="798">
        <f>AD328*'Venture Assumptions'!$F$51</f>
        <v>0</v>
      </c>
      <c r="AE332" s="798">
        <f>AE328*'Venture Assumptions'!$F$51</f>
        <v>0</v>
      </c>
      <c r="AF332" s="798">
        <f>AF328*'Venture Assumptions'!$F$51</f>
        <v>0</v>
      </c>
      <c r="AG332" s="798">
        <f>AG328*'Venture Assumptions'!$F$51</f>
        <v>0</v>
      </c>
      <c r="AH332" s="798">
        <f>AH328*'Venture Assumptions'!$F$51</f>
        <v>0</v>
      </c>
      <c r="AI332" s="798">
        <f>AI328*'Venture Assumptions'!$F$51</f>
        <v>0</v>
      </c>
      <c r="AJ332" s="798">
        <f>AJ328*'Venture Assumptions'!$F$51</f>
        <v>0</v>
      </c>
      <c r="AK332" s="798">
        <f>AK328*'Venture Assumptions'!$F$51</f>
        <v>0</v>
      </c>
      <c r="AL332" s="798">
        <f>AL328*'Venture Assumptions'!$F$51</f>
        <v>0</v>
      </c>
      <c r="AM332" s="798">
        <f>AM328*'Venture Assumptions'!$F$51</f>
        <v>0</v>
      </c>
      <c r="AN332" s="798">
        <f>AN328*'Venture Assumptions'!$F$51</f>
        <v>0</v>
      </c>
      <c r="AO332" s="798">
        <f>AO328*'Venture Assumptions'!$F$51</f>
        <v>0</v>
      </c>
      <c r="AP332" s="798">
        <f>AP328*'Venture Assumptions'!$F$51</f>
        <v>0</v>
      </c>
      <c r="AQ332" s="798">
        <f>AQ328*'Venture Assumptions'!$F$51</f>
        <v>0</v>
      </c>
      <c r="AR332" s="798">
        <f>AR328*'Venture Assumptions'!$F$51</f>
        <v>0</v>
      </c>
      <c r="AS332" s="798">
        <f>AS328*'Venture Assumptions'!$F$51</f>
        <v>0</v>
      </c>
      <c r="AT332" s="798">
        <f>AT328*'Venture Assumptions'!$F$51</f>
        <v>0</v>
      </c>
      <c r="AU332" s="798">
        <f>AU328*'Venture Assumptions'!$F$51</f>
        <v>0</v>
      </c>
      <c r="AV332" s="798">
        <f>AV328*'Venture Assumptions'!$F$51</f>
        <v>0</v>
      </c>
      <c r="AW332" s="798">
        <f>AW328*'Venture Assumptions'!$F$51</f>
        <v>0</v>
      </c>
      <c r="AX332" s="798">
        <f>AX328*'Venture Assumptions'!$F$51</f>
        <v>0</v>
      </c>
      <c r="AY332" s="798">
        <f>AY328*'Venture Assumptions'!$F$51</f>
        <v>0</v>
      </c>
      <c r="AZ332" s="798">
        <f>AZ328*'Venture Assumptions'!$F$51</f>
        <v>0</v>
      </c>
      <c r="BA332" s="798">
        <f>BA328*'Venture Assumptions'!$F$51</f>
        <v>0</v>
      </c>
      <c r="BB332" s="798">
        <f>BB328*'Venture Assumptions'!$F$51</f>
        <v>0</v>
      </c>
      <c r="BC332" s="798">
        <f>BC328*'Venture Assumptions'!$F$51</f>
        <v>0</v>
      </c>
      <c r="BD332" s="798">
        <f>BD328*'Venture Assumptions'!$F$51</f>
        <v>0</v>
      </c>
      <c r="BE332" s="798">
        <f>BE328*'Venture Assumptions'!$F$51</f>
        <v>0</v>
      </c>
      <c r="BF332" s="798">
        <f>BF328*'Venture Assumptions'!$F$51</f>
        <v>0</v>
      </c>
      <c r="BG332" s="798">
        <f>BG328*'Venture Assumptions'!$F$51</f>
        <v>0</v>
      </c>
      <c r="BH332" s="798">
        <f>BH328*'Venture Assumptions'!$F$51</f>
        <v>0</v>
      </c>
      <c r="BI332" s="798">
        <f>BI328*'Venture Assumptions'!$F$51</f>
        <v>0</v>
      </c>
      <c r="BJ332" s="798">
        <f>BJ328*'Venture Assumptions'!$F$51</f>
        <v>0</v>
      </c>
      <c r="BK332" s="798">
        <f>BK328*'Venture Assumptions'!$F$51</f>
        <v>0</v>
      </c>
      <c r="BL332" s="798">
        <f>BL328*'Venture Assumptions'!$F$51</f>
        <v>0</v>
      </c>
      <c r="BM332" s="798">
        <f>BM328*'Venture Assumptions'!$F$51</f>
        <v>0</v>
      </c>
      <c r="BN332" s="798">
        <f>BN328*'Venture Assumptions'!$F$51</f>
        <v>0</v>
      </c>
      <c r="BO332" s="798">
        <f>BO328*'Venture Assumptions'!$F$51</f>
        <v>0</v>
      </c>
      <c r="BP332" s="798">
        <f>BP328*'Venture Assumptions'!$F$51</f>
        <v>0</v>
      </c>
      <c r="BQ332" s="798">
        <f>BQ328*'Venture Assumptions'!$F$51</f>
        <v>0</v>
      </c>
      <c r="BR332" s="798">
        <f>BR328*'Venture Assumptions'!$F$51</f>
        <v>0</v>
      </c>
      <c r="BS332" s="798">
        <f>BS328*'Venture Assumptions'!$F$51</f>
        <v>0</v>
      </c>
      <c r="BT332" s="798">
        <f>BT328*'Venture Assumptions'!$F$51</f>
        <v>0</v>
      </c>
      <c r="BU332" s="798">
        <f>BU328*'Venture Assumptions'!$F$51</f>
        <v>0</v>
      </c>
      <c r="BV332" s="798">
        <f>BV328*'Venture Assumptions'!$F$51</f>
        <v>0</v>
      </c>
      <c r="BW332" s="798">
        <f>BW328*'Venture Assumptions'!$F$51</f>
        <v>0</v>
      </c>
      <c r="BX332" s="798">
        <f>BX328*'Venture Assumptions'!$F$51</f>
        <v>0</v>
      </c>
      <c r="BY332" s="798">
        <f>BY328*'Venture Assumptions'!$F$51</f>
        <v>0</v>
      </c>
      <c r="BZ332" s="798">
        <f>BZ328*'Venture Assumptions'!$F$51</f>
        <v>0</v>
      </c>
      <c r="CA332" s="798">
        <f>CA328*'Venture Assumptions'!$F$51</f>
        <v>0</v>
      </c>
      <c r="CB332" s="798">
        <f>CB328*'Venture Assumptions'!$F$51</f>
        <v>0</v>
      </c>
      <c r="CC332" s="798">
        <f>CC328*'Venture Assumptions'!$F$51</f>
        <v>0</v>
      </c>
      <c r="CD332" s="798">
        <f>CD328*'Venture Assumptions'!$F$51</f>
        <v>0</v>
      </c>
      <c r="CE332" s="798">
        <f>CE328*'Venture Assumptions'!$F$51</f>
        <v>0</v>
      </c>
      <c r="CF332" s="798">
        <f>CF328*'Venture Assumptions'!$F$51</f>
        <v>0</v>
      </c>
      <c r="CG332" s="798">
        <f>CG328*'Venture Assumptions'!$F$51</f>
        <v>0</v>
      </c>
      <c r="CH332" s="798">
        <f>CH328*'Venture Assumptions'!$F$51</f>
        <v>0</v>
      </c>
      <c r="CI332" s="798">
        <f>CI328*'Venture Assumptions'!$F$51</f>
        <v>0</v>
      </c>
      <c r="CJ332" s="798">
        <f>CJ328*'Venture Assumptions'!$F$51</f>
        <v>0</v>
      </c>
      <c r="CK332" s="798">
        <f>CK328*'Venture Assumptions'!$F$51</f>
        <v>0</v>
      </c>
      <c r="CL332" s="798">
        <f>CL328*'Venture Assumptions'!$F$51</f>
        <v>0</v>
      </c>
      <c r="CM332" s="798">
        <f>CM328*'Venture Assumptions'!$F$51</f>
        <v>0</v>
      </c>
      <c r="CN332" s="798">
        <f>CN328*'Venture Assumptions'!$F$51</f>
        <v>0</v>
      </c>
      <c r="CO332" s="798">
        <f>CO328*'Venture Assumptions'!$F$51</f>
        <v>0</v>
      </c>
      <c r="CP332" s="798">
        <f>CP328*'Venture Assumptions'!$F$51</f>
        <v>0</v>
      </c>
      <c r="CQ332" s="798">
        <f>CQ328*'Venture Assumptions'!$F$51</f>
        <v>0</v>
      </c>
      <c r="CR332" s="798">
        <f>CR328*'Venture Assumptions'!$F$51</f>
        <v>0</v>
      </c>
      <c r="CS332" s="798">
        <f>CS328*'Venture Assumptions'!$F$51</f>
        <v>0</v>
      </c>
      <c r="CT332" s="798">
        <f>CT328*'Venture Assumptions'!$F$51</f>
        <v>0</v>
      </c>
      <c r="CU332" s="798">
        <f>CU328*'Venture Assumptions'!$F$51</f>
        <v>0</v>
      </c>
      <c r="CV332" s="798">
        <f>CV328*'Venture Assumptions'!$F$51</f>
        <v>0</v>
      </c>
      <c r="CW332" s="798">
        <f>CW328*'Venture Assumptions'!$F$51</f>
        <v>5156686.7081144908</v>
      </c>
      <c r="CX332" s="798">
        <f>CX328*'Venture Assumptions'!$F$51</f>
        <v>0</v>
      </c>
      <c r="CY332" s="798">
        <f>CY328*'Venture Assumptions'!$F$51</f>
        <v>0</v>
      </c>
      <c r="CZ332" s="798">
        <f>CZ328*'Venture Assumptions'!$F$51</f>
        <v>0</v>
      </c>
      <c r="DA332" s="798">
        <f>DA328*'Venture Assumptions'!$F$51</f>
        <v>0</v>
      </c>
      <c r="DB332" s="798">
        <f>DB328*'Venture Assumptions'!$F$51</f>
        <v>0</v>
      </c>
      <c r="DC332" s="798">
        <f>DC328*'Venture Assumptions'!$F$51</f>
        <v>0</v>
      </c>
      <c r="DD332" s="798">
        <f>DD328*'Venture Assumptions'!$F$51</f>
        <v>0</v>
      </c>
      <c r="DE332" s="798">
        <f>DE328*'Venture Assumptions'!$F$51</f>
        <v>0</v>
      </c>
      <c r="DF332" s="798">
        <f>DF328*'Venture Assumptions'!$F$51</f>
        <v>0</v>
      </c>
      <c r="DG332" s="798">
        <f>DG328*'Venture Assumptions'!$F$51</f>
        <v>0</v>
      </c>
      <c r="DH332" s="798">
        <f>DH328*'Venture Assumptions'!$F$51</f>
        <v>0</v>
      </c>
      <c r="DI332" s="798">
        <f>DI328*'Venture Assumptions'!$F$51</f>
        <v>0</v>
      </c>
      <c r="DJ332" s="798">
        <f>DJ328*'Venture Assumptions'!$F$51</f>
        <v>0</v>
      </c>
      <c r="DK332" s="798">
        <f>DK328*'Venture Assumptions'!$F$51</f>
        <v>0</v>
      </c>
      <c r="DL332" s="798">
        <f>DL328*'Venture Assumptions'!$F$51</f>
        <v>0</v>
      </c>
      <c r="DM332" s="798">
        <f>DM328*'Venture Assumptions'!$F$51</f>
        <v>0</v>
      </c>
      <c r="DN332" s="798">
        <f>DN328*'Venture Assumptions'!$F$51</f>
        <v>0</v>
      </c>
      <c r="DO332" s="798">
        <f>DO328*'Venture Assumptions'!$F$51</f>
        <v>0</v>
      </c>
      <c r="DP332" s="798">
        <f>DP328*'Venture Assumptions'!$F$51</f>
        <v>0</v>
      </c>
      <c r="DQ332" s="798">
        <f>DQ328*'Venture Assumptions'!$F$51</f>
        <v>0</v>
      </c>
      <c r="DR332" s="798">
        <f>DR328*'Venture Assumptions'!$F$51</f>
        <v>0</v>
      </c>
      <c r="DS332" s="798">
        <f>DS328*'Venture Assumptions'!$F$51</f>
        <v>0</v>
      </c>
      <c r="DT332" s="798">
        <f>DT328*'Venture Assumptions'!$F$51</f>
        <v>0</v>
      </c>
      <c r="DU332" s="798">
        <f>DU328*'Venture Assumptions'!$F$51</f>
        <v>0</v>
      </c>
      <c r="DV332" s="798"/>
      <c r="DW332" s="798"/>
      <c r="DX332" s="798"/>
      <c r="DY332" s="798"/>
      <c r="DZ332" s="798"/>
      <c r="EA332" s="798"/>
      <c r="EB332" s="798"/>
      <c r="EC332" s="798"/>
      <c r="ED332" s="798"/>
      <c r="EE332" s="798"/>
      <c r="EF332" s="798"/>
      <c r="EG332" s="798"/>
      <c r="EH332" s="782"/>
    </row>
    <row r="333" spans="1:138" ht="12.75" customHeight="1" x14ac:dyDescent="0.3">
      <c r="A333" s="782"/>
      <c r="B333" s="781" t="s">
        <v>172</v>
      </c>
      <c r="C333" s="799"/>
      <c r="D333" s="781"/>
      <c r="E333" s="799">
        <f>E328*'Venture Assumptions'!$F$52</f>
        <v>0</v>
      </c>
      <c r="F333" s="799">
        <f>F328*'Venture Assumptions'!$F$52</f>
        <v>0</v>
      </c>
      <c r="G333" s="799">
        <f>G328*'Venture Assumptions'!$F$52</f>
        <v>0</v>
      </c>
      <c r="H333" s="799">
        <f>H328*'Venture Assumptions'!$F$52</f>
        <v>0</v>
      </c>
      <c r="I333" s="799">
        <f>I328*'Venture Assumptions'!$F$52</f>
        <v>0</v>
      </c>
      <c r="J333" s="799">
        <f>J328*'Venture Assumptions'!$F$52</f>
        <v>0</v>
      </c>
      <c r="K333" s="799">
        <f>K328*'Venture Assumptions'!$F$52</f>
        <v>0</v>
      </c>
      <c r="L333" s="799">
        <f>L328*'Venture Assumptions'!$F$52</f>
        <v>0</v>
      </c>
      <c r="M333" s="799">
        <f>M328*'Venture Assumptions'!$F$52</f>
        <v>0</v>
      </c>
      <c r="N333" s="799">
        <f>N328*'Venture Assumptions'!$F$52</f>
        <v>0</v>
      </c>
      <c r="O333" s="799">
        <f>O328*'Venture Assumptions'!$F$52</f>
        <v>0</v>
      </c>
      <c r="P333" s="799">
        <f>P328*'Venture Assumptions'!$F$52</f>
        <v>0</v>
      </c>
      <c r="Q333" s="799">
        <f>Q328*'Venture Assumptions'!$F$52</f>
        <v>0</v>
      </c>
      <c r="R333" s="799">
        <f>R328*'Venture Assumptions'!$F$52</f>
        <v>0</v>
      </c>
      <c r="S333" s="799">
        <f>S328*'Venture Assumptions'!$F$52</f>
        <v>0</v>
      </c>
      <c r="T333" s="799">
        <f>T328*'Venture Assumptions'!$F$52</f>
        <v>0</v>
      </c>
      <c r="U333" s="799">
        <f>U328*'Venture Assumptions'!$F$52</f>
        <v>0</v>
      </c>
      <c r="V333" s="799">
        <f>V328*'Venture Assumptions'!$F$52</f>
        <v>0</v>
      </c>
      <c r="W333" s="799">
        <f>W328*'Venture Assumptions'!$F$52</f>
        <v>0</v>
      </c>
      <c r="X333" s="799">
        <f>X328*'Venture Assumptions'!$F$52</f>
        <v>0</v>
      </c>
      <c r="Y333" s="799">
        <f>Y328*'Venture Assumptions'!$F$52</f>
        <v>0</v>
      </c>
      <c r="Z333" s="799">
        <f>Z328*'Venture Assumptions'!$F$52</f>
        <v>0</v>
      </c>
      <c r="AA333" s="799">
        <f>AA328*'Venture Assumptions'!$F$52</f>
        <v>0</v>
      </c>
      <c r="AB333" s="799">
        <f>AB328*'Venture Assumptions'!$F$52</f>
        <v>0</v>
      </c>
      <c r="AC333" s="799">
        <f>AC328*'Venture Assumptions'!$F$52</f>
        <v>0</v>
      </c>
      <c r="AD333" s="799">
        <f>AD328*'Venture Assumptions'!$F$52</f>
        <v>0</v>
      </c>
      <c r="AE333" s="799">
        <f>AE328*'Venture Assumptions'!$F$52</f>
        <v>0</v>
      </c>
      <c r="AF333" s="799">
        <f>AF328*'Venture Assumptions'!$F$52</f>
        <v>0</v>
      </c>
      <c r="AG333" s="799">
        <f>AG328*'Venture Assumptions'!$F$52</f>
        <v>0</v>
      </c>
      <c r="AH333" s="799">
        <f>AH328*'Venture Assumptions'!$F$52</f>
        <v>0</v>
      </c>
      <c r="AI333" s="799">
        <f>AI328*'Venture Assumptions'!$F$52</f>
        <v>0</v>
      </c>
      <c r="AJ333" s="799">
        <f>AJ328*'Venture Assumptions'!$F$52</f>
        <v>0</v>
      </c>
      <c r="AK333" s="799">
        <f>AK328*'Venture Assumptions'!$F$52</f>
        <v>0</v>
      </c>
      <c r="AL333" s="799">
        <f>AL328*'Venture Assumptions'!$F$52</f>
        <v>0</v>
      </c>
      <c r="AM333" s="799">
        <f>AM328*'Venture Assumptions'!$F$52</f>
        <v>0</v>
      </c>
      <c r="AN333" s="799">
        <f>AN328*'Venture Assumptions'!$F$52</f>
        <v>0</v>
      </c>
      <c r="AO333" s="799">
        <f>AO328*'Venture Assumptions'!$F$52</f>
        <v>0</v>
      </c>
      <c r="AP333" s="799">
        <f>AP328*'Venture Assumptions'!$F$52</f>
        <v>0</v>
      </c>
      <c r="AQ333" s="799">
        <f>AQ328*'Venture Assumptions'!$F$52</f>
        <v>0</v>
      </c>
      <c r="AR333" s="799">
        <f>AR328*'Venture Assumptions'!$F$52</f>
        <v>0</v>
      </c>
      <c r="AS333" s="799">
        <f>AS328*'Venture Assumptions'!$F$52</f>
        <v>0</v>
      </c>
      <c r="AT333" s="799">
        <f>AT328*'Venture Assumptions'!$F$52</f>
        <v>0</v>
      </c>
      <c r="AU333" s="799">
        <f>AU328*'Venture Assumptions'!$F$52</f>
        <v>0</v>
      </c>
      <c r="AV333" s="799">
        <f>AV328*'Venture Assumptions'!$F$52</f>
        <v>0</v>
      </c>
      <c r="AW333" s="799">
        <f>AW328*'Venture Assumptions'!$F$52</f>
        <v>0</v>
      </c>
      <c r="AX333" s="799">
        <f>AX328*'Venture Assumptions'!$F$52</f>
        <v>0</v>
      </c>
      <c r="AY333" s="799">
        <f>AY328*'Venture Assumptions'!$F$52</f>
        <v>0</v>
      </c>
      <c r="AZ333" s="799">
        <f>AZ328*'Venture Assumptions'!$F$52</f>
        <v>0</v>
      </c>
      <c r="BA333" s="799">
        <f>BA328*'Venture Assumptions'!$F$52</f>
        <v>0</v>
      </c>
      <c r="BB333" s="799">
        <f>BB328*'Venture Assumptions'!$F$52</f>
        <v>0</v>
      </c>
      <c r="BC333" s="799">
        <f>BC328*'Venture Assumptions'!$F$52</f>
        <v>0</v>
      </c>
      <c r="BD333" s="799">
        <f>BD328*'Venture Assumptions'!$F$52</f>
        <v>0</v>
      </c>
      <c r="BE333" s="799">
        <f>BE328*'Venture Assumptions'!$F$52</f>
        <v>0</v>
      </c>
      <c r="BF333" s="799">
        <f>BF328*'Venture Assumptions'!$F$52</f>
        <v>0</v>
      </c>
      <c r="BG333" s="799">
        <f>BG328*'Venture Assumptions'!$F$52</f>
        <v>0</v>
      </c>
      <c r="BH333" s="799">
        <f>BH328*'Venture Assumptions'!$F$52</f>
        <v>0</v>
      </c>
      <c r="BI333" s="799">
        <f>BI328*'Venture Assumptions'!$F$52</f>
        <v>0</v>
      </c>
      <c r="BJ333" s="799">
        <f>BJ328*'Venture Assumptions'!$F$52</f>
        <v>0</v>
      </c>
      <c r="BK333" s="799">
        <f>BK328*'Venture Assumptions'!$F$52</f>
        <v>0</v>
      </c>
      <c r="BL333" s="799">
        <f>BL328*'Venture Assumptions'!$F$52</f>
        <v>0</v>
      </c>
      <c r="BM333" s="799">
        <f>BM328*'Venture Assumptions'!$F$52</f>
        <v>0</v>
      </c>
      <c r="BN333" s="799">
        <f>BN328*'Venture Assumptions'!$F$52</f>
        <v>0</v>
      </c>
      <c r="BO333" s="799">
        <f>BO328*'Venture Assumptions'!$F$52</f>
        <v>0</v>
      </c>
      <c r="BP333" s="799">
        <f>BP328*'Venture Assumptions'!$F$52</f>
        <v>0</v>
      </c>
      <c r="BQ333" s="799">
        <f>BQ328*'Venture Assumptions'!$F$52</f>
        <v>0</v>
      </c>
      <c r="BR333" s="799">
        <f>BR328*'Venture Assumptions'!$F$52</f>
        <v>0</v>
      </c>
      <c r="BS333" s="799">
        <f>BS328*'Venture Assumptions'!$F$52</f>
        <v>0</v>
      </c>
      <c r="BT333" s="799">
        <f>BT328*'Venture Assumptions'!$F$52</f>
        <v>0</v>
      </c>
      <c r="BU333" s="799">
        <f>BU328*'Venture Assumptions'!$F$52</f>
        <v>0</v>
      </c>
      <c r="BV333" s="799">
        <f>BV328*'Venture Assumptions'!$F$52</f>
        <v>0</v>
      </c>
      <c r="BW333" s="799">
        <f>BW328*'Venture Assumptions'!$F$52</f>
        <v>0</v>
      </c>
      <c r="BX333" s="799">
        <f>BX328*'Venture Assumptions'!$F$52</f>
        <v>0</v>
      </c>
      <c r="BY333" s="799">
        <f>BY328*'Venture Assumptions'!$F$52</f>
        <v>0</v>
      </c>
      <c r="BZ333" s="799">
        <f>BZ328*'Venture Assumptions'!$F$52</f>
        <v>0</v>
      </c>
      <c r="CA333" s="799">
        <f>CA328*'Venture Assumptions'!$F$52</f>
        <v>0</v>
      </c>
      <c r="CB333" s="799">
        <f>CB328*'Venture Assumptions'!$F$52</f>
        <v>0</v>
      </c>
      <c r="CC333" s="799">
        <f>CC328*'Venture Assumptions'!$F$52</f>
        <v>0</v>
      </c>
      <c r="CD333" s="799">
        <f>CD328*'Venture Assumptions'!$F$52</f>
        <v>0</v>
      </c>
      <c r="CE333" s="799">
        <f>CE328*'Venture Assumptions'!$F$52</f>
        <v>0</v>
      </c>
      <c r="CF333" s="799">
        <f>CF328*'Venture Assumptions'!$F$52</f>
        <v>0</v>
      </c>
      <c r="CG333" s="799">
        <f>CG328*'Venture Assumptions'!$F$52</f>
        <v>0</v>
      </c>
      <c r="CH333" s="799">
        <f>CH328*'Venture Assumptions'!$F$52</f>
        <v>0</v>
      </c>
      <c r="CI333" s="799">
        <f>CI328*'Venture Assumptions'!$F$52</f>
        <v>0</v>
      </c>
      <c r="CJ333" s="799">
        <f>CJ328*'Venture Assumptions'!$F$52</f>
        <v>0</v>
      </c>
      <c r="CK333" s="799">
        <f>CK328*'Venture Assumptions'!$F$52</f>
        <v>0</v>
      </c>
      <c r="CL333" s="799">
        <f>CL328*'Venture Assumptions'!$F$52</f>
        <v>0</v>
      </c>
      <c r="CM333" s="799">
        <f>CM328*'Venture Assumptions'!$F$52</f>
        <v>0</v>
      </c>
      <c r="CN333" s="799">
        <f>CN328*'Venture Assumptions'!$F$52</f>
        <v>0</v>
      </c>
      <c r="CO333" s="799">
        <f>CO328*'Venture Assumptions'!$F$52</f>
        <v>0</v>
      </c>
      <c r="CP333" s="799">
        <f>CP328*'Venture Assumptions'!$F$52</f>
        <v>0</v>
      </c>
      <c r="CQ333" s="799">
        <f>CQ328*'Venture Assumptions'!$F$52</f>
        <v>0</v>
      </c>
      <c r="CR333" s="799">
        <f>CR328*'Venture Assumptions'!$F$52</f>
        <v>0</v>
      </c>
      <c r="CS333" s="799">
        <f>CS328*'Venture Assumptions'!$F$52</f>
        <v>0</v>
      </c>
      <c r="CT333" s="799">
        <f>CT328*'Venture Assumptions'!$F$52</f>
        <v>0</v>
      </c>
      <c r="CU333" s="799">
        <f>CU328*'Venture Assumptions'!$F$52</f>
        <v>0</v>
      </c>
      <c r="CV333" s="799">
        <f>CV328*'Venture Assumptions'!$F$52</f>
        <v>0</v>
      </c>
      <c r="CW333" s="799">
        <f>CW328*'Venture Assumptions'!$F$52</f>
        <v>9576703.8864983413</v>
      </c>
      <c r="CX333" s="799">
        <f>CX328*'Venture Assumptions'!$F$52</f>
        <v>0</v>
      </c>
      <c r="CY333" s="799">
        <f>CY328*'Venture Assumptions'!$F$52</f>
        <v>0</v>
      </c>
      <c r="CZ333" s="799">
        <f>CZ328*'Venture Assumptions'!$F$52</f>
        <v>0</v>
      </c>
      <c r="DA333" s="799">
        <f>DA328*'Venture Assumptions'!$F$52</f>
        <v>0</v>
      </c>
      <c r="DB333" s="799">
        <f>DB328*'Venture Assumptions'!$F$52</f>
        <v>0</v>
      </c>
      <c r="DC333" s="799">
        <f>DC328*'Venture Assumptions'!$F$52</f>
        <v>0</v>
      </c>
      <c r="DD333" s="799">
        <f>DD328*'Venture Assumptions'!$F$52</f>
        <v>0</v>
      </c>
      <c r="DE333" s="799">
        <f>DE328*'Venture Assumptions'!$F$52</f>
        <v>0</v>
      </c>
      <c r="DF333" s="799">
        <f>DF328*'Venture Assumptions'!$F$52</f>
        <v>0</v>
      </c>
      <c r="DG333" s="799">
        <f>DG328*'Venture Assumptions'!$F$52</f>
        <v>0</v>
      </c>
      <c r="DH333" s="799">
        <f>DH328*'Venture Assumptions'!$F$52</f>
        <v>0</v>
      </c>
      <c r="DI333" s="799">
        <f>DI328*'Venture Assumptions'!$F$52</f>
        <v>0</v>
      </c>
      <c r="DJ333" s="799">
        <f>DJ328*'Venture Assumptions'!$F$52</f>
        <v>0</v>
      </c>
      <c r="DK333" s="799">
        <f>DK328*'Venture Assumptions'!$F$52</f>
        <v>0</v>
      </c>
      <c r="DL333" s="799">
        <f>DL328*'Venture Assumptions'!$F$52</f>
        <v>0</v>
      </c>
      <c r="DM333" s="799">
        <f>DM328*'Venture Assumptions'!$F$52</f>
        <v>0</v>
      </c>
      <c r="DN333" s="799">
        <f>DN328*'Venture Assumptions'!$F$52</f>
        <v>0</v>
      </c>
      <c r="DO333" s="799">
        <f>DO328*'Venture Assumptions'!$F$52</f>
        <v>0</v>
      </c>
      <c r="DP333" s="799">
        <f>DP328*'Venture Assumptions'!$F$52</f>
        <v>0</v>
      </c>
      <c r="DQ333" s="799">
        <f>DQ328*'Venture Assumptions'!$F$52</f>
        <v>0</v>
      </c>
      <c r="DR333" s="799">
        <f>DR328*'Venture Assumptions'!$F$52</f>
        <v>0</v>
      </c>
      <c r="DS333" s="799">
        <f>DS328*'Venture Assumptions'!$F$52</f>
        <v>0</v>
      </c>
      <c r="DT333" s="799">
        <f>DT328*'Venture Assumptions'!$F$52</f>
        <v>0</v>
      </c>
      <c r="DU333" s="799">
        <f>DU328*'Venture Assumptions'!$F$52</f>
        <v>0</v>
      </c>
      <c r="DV333" s="798"/>
      <c r="DW333" s="798"/>
      <c r="DX333" s="798"/>
      <c r="DY333" s="798"/>
      <c r="DZ333" s="798"/>
      <c r="EA333" s="798"/>
      <c r="EB333" s="798"/>
      <c r="EC333" s="798"/>
      <c r="ED333" s="798"/>
      <c r="EE333" s="798"/>
      <c r="EF333" s="798"/>
      <c r="EG333" s="798"/>
      <c r="EH333" s="782"/>
    </row>
    <row r="334" spans="1:138" ht="12.75" customHeight="1" x14ac:dyDescent="0.3">
      <c r="A334" s="782"/>
      <c r="B334" s="782" t="s">
        <v>173</v>
      </c>
      <c r="C334" s="798"/>
      <c r="D334" s="782"/>
      <c r="E334" s="798">
        <f t="shared" ref="E334:AJ334" si="266">SUM(E332:E333)</f>
        <v>0</v>
      </c>
      <c r="F334" s="798">
        <f t="shared" si="266"/>
        <v>0</v>
      </c>
      <c r="G334" s="798">
        <f t="shared" si="266"/>
        <v>0</v>
      </c>
      <c r="H334" s="798">
        <f>SUM(H332:H333)</f>
        <v>0</v>
      </c>
      <c r="I334" s="798">
        <f>SUM(I332:I333)</f>
        <v>0</v>
      </c>
      <c r="J334" s="798">
        <f>SUM(J332:J333)</f>
        <v>0</v>
      </c>
      <c r="K334" s="798">
        <f t="shared" si="266"/>
        <v>0</v>
      </c>
      <c r="L334" s="798">
        <f t="shared" si="266"/>
        <v>0</v>
      </c>
      <c r="M334" s="798">
        <f t="shared" si="266"/>
        <v>0</v>
      </c>
      <c r="N334" s="798">
        <f t="shared" si="266"/>
        <v>0</v>
      </c>
      <c r="O334" s="798">
        <f t="shared" si="266"/>
        <v>0</v>
      </c>
      <c r="P334" s="798">
        <f t="shared" si="266"/>
        <v>0</v>
      </c>
      <c r="Q334" s="798">
        <f t="shared" si="266"/>
        <v>0</v>
      </c>
      <c r="R334" s="798">
        <f t="shared" si="266"/>
        <v>0</v>
      </c>
      <c r="S334" s="798">
        <f t="shared" si="266"/>
        <v>0</v>
      </c>
      <c r="T334" s="798">
        <f t="shared" si="266"/>
        <v>0</v>
      </c>
      <c r="U334" s="798">
        <f t="shared" si="266"/>
        <v>0</v>
      </c>
      <c r="V334" s="798">
        <f t="shared" si="266"/>
        <v>0</v>
      </c>
      <c r="W334" s="798">
        <f t="shared" si="266"/>
        <v>0</v>
      </c>
      <c r="X334" s="798">
        <f t="shared" si="266"/>
        <v>0</v>
      </c>
      <c r="Y334" s="798">
        <f t="shared" si="266"/>
        <v>0</v>
      </c>
      <c r="Z334" s="798">
        <f t="shared" si="266"/>
        <v>0</v>
      </c>
      <c r="AA334" s="798">
        <f t="shared" si="266"/>
        <v>0</v>
      </c>
      <c r="AB334" s="798">
        <f t="shared" si="266"/>
        <v>0</v>
      </c>
      <c r="AC334" s="798">
        <f t="shared" si="266"/>
        <v>0</v>
      </c>
      <c r="AD334" s="798">
        <f t="shared" si="266"/>
        <v>0</v>
      </c>
      <c r="AE334" s="798">
        <f t="shared" si="266"/>
        <v>0</v>
      </c>
      <c r="AF334" s="798">
        <f t="shared" si="266"/>
        <v>0</v>
      </c>
      <c r="AG334" s="798">
        <f t="shared" si="266"/>
        <v>0</v>
      </c>
      <c r="AH334" s="798">
        <f t="shared" si="266"/>
        <v>0</v>
      </c>
      <c r="AI334" s="798">
        <f t="shared" si="266"/>
        <v>0</v>
      </c>
      <c r="AJ334" s="798">
        <f t="shared" si="266"/>
        <v>0</v>
      </c>
      <c r="AK334" s="798">
        <f t="shared" ref="AK334:CV334" si="267">SUM(AK332:AK333)</f>
        <v>0</v>
      </c>
      <c r="AL334" s="798">
        <f t="shared" si="267"/>
        <v>0</v>
      </c>
      <c r="AM334" s="798">
        <f t="shared" si="267"/>
        <v>0</v>
      </c>
      <c r="AN334" s="798">
        <f t="shared" si="267"/>
        <v>0</v>
      </c>
      <c r="AO334" s="798">
        <f t="shared" si="267"/>
        <v>0</v>
      </c>
      <c r="AP334" s="798">
        <f t="shared" si="267"/>
        <v>0</v>
      </c>
      <c r="AQ334" s="798">
        <f t="shared" si="267"/>
        <v>0</v>
      </c>
      <c r="AR334" s="798">
        <f t="shared" si="267"/>
        <v>0</v>
      </c>
      <c r="AS334" s="798">
        <f t="shared" si="267"/>
        <v>0</v>
      </c>
      <c r="AT334" s="798">
        <f t="shared" si="267"/>
        <v>0</v>
      </c>
      <c r="AU334" s="798">
        <f t="shared" si="267"/>
        <v>0</v>
      </c>
      <c r="AV334" s="798">
        <f t="shared" si="267"/>
        <v>0</v>
      </c>
      <c r="AW334" s="798">
        <f t="shared" si="267"/>
        <v>0</v>
      </c>
      <c r="AX334" s="798">
        <f t="shared" si="267"/>
        <v>0</v>
      </c>
      <c r="AY334" s="798">
        <f t="shared" si="267"/>
        <v>0</v>
      </c>
      <c r="AZ334" s="798">
        <f t="shared" si="267"/>
        <v>0</v>
      </c>
      <c r="BA334" s="798">
        <f t="shared" si="267"/>
        <v>0</v>
      </c>
      <c r="BB334" s="798">
        <f t="shared" si="267"/>
        <v>0</v>
      </c>
      <c r="BC334" s="798">
        <f t="shared" si="267"/>
        <v>0</v>
      </c>
      <c r="BD334" s="798">
        <f t="shared" si="267"/>
        <v>0</v>
      </c>
      <c r="BE334" s="798">
        <f t="shared" si="267"/>
        <v>0</v>
      </c>
      <c r="BF334" s="798">
        <f t="shared" si="267"/>
        <v>0</v>
      </c>
      <c r="BG334" s="798">
        <f t="shared" si="267"/>
        <v>0</v>
      </c>
      <c r="BH334" s="798">
        <f t="shared" si="267"/>
        <v>0</v>
      </c>
      <c r="BI334" s="798">
        <f t="shared" si="267"/>
        <v>0</v>
      </c>
      <c r="BJ334" s="798">
        <f t="shared" si="267"/>
        <v>0</v>
      </c>
      <c r="BK334" s="798">
        <f t="shared" si="267"/>
        <v>0</v>
      </c>
      <c r="BL334" s="798">
        <f t="shared" si="267"/>
        <v>0</v>
      </c>
      <c r="BM334" s="798">
        <f t="shared" si="267"/>
        <v>0</v>
      </c>
      <c r="BN334" s="798">
        <f t="shared" si="267"/>
        <v>0</v>
      </c>
      <c r="BO334" s="798">
        <f t="shared" si="267"/>
        <v>0</v>
      </c>
      <c r="BP334" s="798">
        <f t="shared" si="267"/>
        <v>0</v>
      </c>
      <c r="BQ334" s="798">
        <f t="shared" si="267"/>
        <v>0</v>
      </c>
      <c r="BR334" s="798">
        <f t="shared" si="267"/>
        <v>0</v>
      </c>
      <c r="BS334" s="798">
        <f t="shared" si="267"/>
        <v>0</v>
      </c>
      <c r="BT334" s="798">
        <f t="shared" si="267"/>
        <v>0</v>
      </c>
      <c r="BU334" s="798">
        <f t="shared" si="267"/>
        <v>0</v>
      </c>
      <c r="BV334" s="798">
        <f t="shared" si="267"/>
        <v>0</v>
      </c>
      <c r="BW334" s="798">
        <f t="shared" si="267"/>
        <v>0</v>
      </c>
      <c r="BX334" s="798">
        <f t="shared" si="267"/>
        <v>0</v>
      </c>
      <c r="BY334" s="798">
        <f t="shared" si="267"/>
        <v>0</v>
      </c>
      <c r="BZ334" s="798">
        <f t="shared" si="267"/>
        <v>0</v>
      </c>
      <c r="CA334" s="798">
        <f t="shared" si="267"/>
        <v>0</v>
      </c>
      <c r="CB334" s="798">
        <f t="shared" si="267"/>
        <v>0</v>
      </c>
      <c r="CC334" s="798">
        <f t="shared" si="267"/>
        <v>0</v>
      </c>
      <c r="CD334" s="798">
        <f t="shared" si="267"/>
        <v>0</v>
      </c>
      <c r="CE334" s="798">
        <f t="shared" si="267"/>
        <v>0</v>
      </c>
      <c r="CF334" s="798">
        <f t="shared" si="267"/>
        <v>0</v>
      </c>
      <c r="CG334" s="798">
        <f t="shared" si="267"/>
        <v>0</v>
      </c>
      <c r="CH334" s="798">
        <f t="shared" si="267"/>
        <v>0</v>
      </c>
      <c r="CI334" s="798">
        <f t="shared" si="267"/>
        <v>0</v>
      </c>
      <c r="CJ334" s="798">
        <f t="shared" si="267"/>
        <v>0</v>
      </c>
      <c r="CK334" s="798">
        <f t="shared" si="267"/>
        <v>0</v>
      </c>
      <c r="CL334" s="798">
        <f t="shared" si="267"/>
        <v>0</v>
      </c>
      <c r="CM334" s="798">
        <f t="shared" si="267"/>
        <v>0</v>
      </c>
      <c r="CN334" s="798">
        <f t="shared" si="267"/>
        <v>0</v>
      </c>
      <c r="CO334" s="798">
        <f t="shared" si="267"/>
        <v>0</v>
      </c>
      <c r="CP334" s="798">
        <f t="shared" si="267"/>
        <v>0</v>
      </c>
      <c r="CQ334" s="798">
        <f t="shared" si="267"/>
        <v>0</v>
      </c>
      <c r="CR334" s="798">
        <f t="shared" si="267"/>
        <v>0</v>
      </c>
      <c r="CS334" s="798">
        <f t="shared" si="267"/>
        <v>0</v>
      </c>
      <c r="CT334" s="798">
        <f t="shared" si="267"/>
        <v>0</v>
      </c>
      <c r="CU334" s="798">
        <f t="shared" si="267"/>
        <v>0</v>
      </c>
      <c r="CV334" s="798">
        <f t="shared" si="267"/>
        <v>0</v>
      </c>
      <c r="CW334" s="798">
        <f t="shared" ref="CW334:DU334" si="268">SUM(CW332:CW333)</f>
        <v>14733390.594612833</v>
      </c>
      <c r="CX334" s="798">
        <f t="shared" si="268"/>
        <v>0</v>
      </c>
      <c r="CY334" s="798">
        <f t="shared" si="268"/>
        <v>0</v>
      </c>
      <c r="CZ334" s="798">
        <f t="shared" si="268"/>
        <v>0</v>
      </c>
      <c r="DA334" s="798">
        <f t="shared" si="268"/>
        <v>0</v>
      </c>
      <c r="DB334" s="798">
        <f t="shared" si="268"/>
        <v>0</v>
      </c>
      <c r="DC334" s="798">
        <f t="shared" si="268"/>
        <v>0</v>
      </c>
      <c r="DD334" s="798">
        <f t="shared" si="268"/>
        <v>0</v>
      </c>
      <c r="DE334" s="798">
        <f t="shared" si="268"/>
        <v>0</v>
      </c>
      <c r="DF334" s="798">
        <f t="shared" si="268"/>
        <v>0</v>
      </c>
      <c r="DG334" s="798">
        <f t="shared" si="268"/>
        <v>0</v>
      </c>
      <c r="DH334" s="798">
        <f t="shared" si="268"/>
        <v>0</v>
      </c>
      <c r="DI334" s="798">
        <f t="shared" si="268"/>
        <v>0</v>
      </c>
      <c r="DJ334" s="798">
        <f t="shared" si="268"/>
        <v>0</v>
      </c>
      <c r="DK334" s="798">
        <f t="shared" si="268"/>
        <v>0</v>
      </c>
      <c r="DL334" s="798">
        <f t="shared" si="268"/>
        <v>0</v>
      </c>
      <c r="DM334" s="798">
        <f t="shared" si="268"/>
        <v>0</v>
      </c>
      <c r="DN334" s="798">
        <f t="shared" si="268"/>
        <v>0</v>
      </c>
      <c r="DO334" s="798">
        <f t="shared" si="268"/>
        <v>0</v>
      </c>
      <c r="DP334" s="798">
        <f t="shared" si="268"/>
        <v>0</v>
      </c>
      <c r="DQ334" s="798">
        <f t="shared" si="268"/>
        <v>0</v>
      </c>
      <c r="DR334" s="798">
        <f t="shared" si="268"/>
        <v>0</v>
      </c>
      <c r="DS334" s="798">
        <f t="shared" si="268"/>
        <v>0</v>
      </c>
      <c r="DT334" s="798">
        <f t="shared" si="268"/>
        <v>0</v>
      </c>
      <c r="DU334" s="798">
        <f t="shared" si="268"/>
        <v>0</v>
      </c>
      <c r="DV334" s="798"/>
      <c r="DW334" s="798"/>
      <c r="DX334" s="798"/>
      <c r="DY334" s="798"/>
      <c r="DZ334" s="798"/>
      <c r="EA334" s="798"/>
      <c r="EB334" s="798"/>
      <c r="EC334" s="798"/>
      <c r="ED334" s="798"/>
      <c r="EE334" s="798"/>
      <c r="EF334" s="798"/>
      <c r="EG334" s="798"/>
      <c r="EH334" s="782"/>
    </row>
    <row r="335" spans="1:138" ht="12.75" customHeight="1" x14ac:dyDescent="0.3">
      <c r="A335" s="782"/>
      <c r="B335" s="782"/>
      <c r="C335" s="798"/>
      <c r="D335" s="782"/>
      <c r="E335" s="798"/>
      <c r="F335" s="798"/>
      <c r="G335" s="798"/>
      <c r="H335" s="798"/>
      <c r="I335" s="798"/>
      <c r="J335" s="798"/>
      <c r="K335" s="798"/>
      <c r="L335" s="798"/>
      <c r="M335" s="798"/>
      <c r="N335" s="798"/>
      <c r="O335" s="798"/>
      <c r="P335" s="798"/>
      <c r="Q335" s="798"/>
      <c r="R335" s="798"/>
      <c r="S335" s="798"/>
      <c r="T335" s="798"/>
      <c r="U335" s="798"/>
      <c r="V335" s="798"/>
      <c r="W335" s="798"/>
      <c r="X335" s="798"/>
      <c r="Y335" s="798"/>
      <c r="Z335" s="798"/>
      <c r="AA335" s="798"/>
      <c r="AB335" s="798"/>
      <c r="AC335" s="798"/>
      <c r="AD335" s="798"/>
      <c r="AE335" s="798"/>
      <c r="AF335" s="798"/>
      <c r="AG335" s="798"/>
      <c r="AH335" s="798"/>
      <c r="AI335" s="798"/>
      <c r="AJ335" s="798"/>
      <c r="AK335" s="798"/>
      <c r="AL335" s="798"/>
      <c r="AM335" s="798"/>
      <c r="AN335" s="798"/>
      <c r="AO335" s="798"/>
      <c r="AP335" s="798"/>
      <c r="AQ335" s="798"/>
      <c r="AR335" s="798"/>
      <c r="AS335" s="798"/>
      <c r="AT335" s="798"/>
      <c r="AU335" s="798"/>
      <c r="AV335" s="798"/>
      <c r="AW335" s="798"/>
      <c r="AX335" s="798"/>
      <c r="AY335" s="798"/>
      <c r="AZ335" s="798"/>
      <c r="BA335" s="798"/>
      <c r="BB335" s="798"/>
      <c r="BC335" s="798"/>
      <c r="BD335" s="798"/>
      <c r="BE335" s="798"/>
      <c r="BF335" s="798"/>
      <c r="BG335" s="798"/>
      <c r="BH335" s="798"/>
      <c r="BI335" s="798"/>
      <c r="BJ335" s="798"/>
      <c r="BK335" s="798"/>
      <c r="BL335" s="798"/>
      <c r="BM335" s="798"/>
      <c r="BN335" s="798"/>
      <c r="BO335" s="798"/>
      <c r="BP335" s="798"/>
      <c r="BQ335" s="798"/>
      <c r="BR335" s="798"/>
      <c r="BS335" s="798"/>
      <c r="BT335" s="798"/>
      <c r="BU335" s="798"/>
      <c r="BV335" s="798"/>
      <c r="BW335" s="798"/>
      <c r="BX335" s="798"/>
      <c r="BY335" s="798"/>
      <c r="BZ335" s="798"/>
      <c r="CA335" s="798"/>
      <c r="CB335" s="798"/>
      <c r="CC335" s="798"/>
      <c r="CD335" s="798"/>
      <c r="CE335" s="798"/>
      <c r="CF335" s="798"/>
      <c r="CG335" s="798"/>
      <c r="CH335" s="798"/>
      <c r="CI335" s="798"/>
      <c r="CJ335" s="798"/>
      <c r="CK335" s="798"/>
      <c r="CL335" s="798"/>
      <c r="CM335" s="798"/>
      <c r="CN335" s="798"/>
      <c r="CO335" s="798"/>
      <c r="CP335" s="798"/>
      <c r="CQ335" s="798"/>
      <c r="CR335" s="798"/>
      <c r="CS335" s="798"/>
      <c r="CT335" s="798"/>
      <c r="CU335" s="798"/>
      <c r="CV335" s="798"/>
      <c r="CW335" s="798"/>
      <c r="CX335" s="798"/>
      <c r="CY335" s="798"/>
      <c r="CZ335" s="798"/>
      <c r="DA335" s="798"/>
      <c r="DB335" s="798"/>
      <c r="DC335" s="798"/>
      <c r="DD335" s="798"/>
      <c r="DE335" s="798"/>
      <c r="DF335" s="798"/>
      <c r="DG335" s="798"/>
      <c r="DH335" s="798"/>
      <c r="DI335" s="798"/>
      <c r="DJ335" s="798"/>
      <c r="DK335" s="798"/>
      <c r="DL335" s="798"/>
      <c r="DM335" s="798"/>
      <c r="DN335" s="798"/>
      <c r="DO335" s="798"/>
      <c r="DP335" s="798"/>
      <c r="DQ335" s="798"/>
      <c r="DR335" s="798"/>
      <c r="DS335" s="798"/>
      <c r="DT335" s="798"/>
      <c r="DU335" s="798"/>
      <c r="DV335" s="798"/>
      <c r="DW335" s="798"/>
      <c r="DX335" s="798"/>
      <c r="DY335" s="798"/>
      <c r="DZ335" s="798"/>
      <c r="EA335" s="798"/>
      <c r="EB335" s="798"/>
      <c r="EC335" s="798"/>
      <c r="ED335" s="798"/>
      <c r="EE335" s="798"/>
      <c r="EF335" s="798"/>
      <c r="EG335" s="798"/>
      <c r="EH335" s="782"/>
    </row>
    <row r="336" spans="1:138" ht="12.75" customHeight="1" x14ac:dyDescent="0.3">
      <c r="A336" s="782"/>
      <c r="B336" s="796" t="s">
        <v>181</v>
      </c>
      <c r="C336" s="798"/>
      <c r="D336" s="782"/>
      <c r="E336" s="798"/>
      <c r="F336" s="798"/>
      <c r="G336" s="798"/>
      <c r="H336" s="798"/>
      <c r="I336" s="798"/>
      <c r="J336" s="798"/>
      <c r="K336" s="798"/>
      <c r="L336" s="798"/>
      <c r="M336" s="798"/>
      <c r="N336" s="798"/>
      <c r="O336" s="798"/>
      <c r="P336" s="798"/>
      <c r="Q336" s="798"/>
      <c r="R336" s="798"/>
      <c r="S336" s="798"/>
      <c r="T336" s="798"/>
      <c r="U336" s="798"/>
      <c r="V336" s="798"/>
      <c r="W336" s="798"/>
      <c r="X336" s="798"/>
      <c r="Y336" s="798"/>
      <c r="Z336" s="798"/>
      <c r="AA336" s="798"/>
      <c r="AB336" s="798"/>
      <c r="AC336" s="798"/>
      <c r="AD336" s="798"/>
      <c r="AE336" s="798"/>
      <c r="AF336" s="798"/>
      <c r="AG336" s="798"/>
      <c r="AH336" s="798"/>
      <c r="AI336" s="798"/>
      <c r="AJ336" s="798"/>
      <c r="AK336" s="798"/>
      <c r="AL336" s="798"/>
      <c r="AM336" s="798"/>
      <c r="AN336" s="798"/>
      <c r="AO336" s="798"/>
      <c r="AP336" s="798"/>
      <c r="AQ336" s="798"/>
      <c r="AR336" s="798"/>
      <c r="AS336" s="798"/>
      <c r="AT336" s="798"/>
      <c r="AU336" s="798"/>
      <c r="AV336" s="798"/>
      <c r="AW336" s="798"/>
      <c r="AX336" s="798"/>
      <c r="AY336" s="798"/>
      <c r="AZ336" s="798"/>
      <c r="BA336" s="798"/>
      <c r="BB336" s="798"/>
      <c r="BC336" s="798"/>
      <c r="BD336" s="798"/>
      <c r="BE336" s="798"/>
      <c r="BF336" s="798"/>
      <c r="BG336" s="798"/>
      <c r="BH336" s="798"/>
      <c r="BI336" s="798"/>
      <c r="BJ336" s="798"/>
      <c r="BK336" s="798"/>
      <c r="BL336" s="798"/>
      <c r="BM336" s="798"/>
      <c r="BN336" s="798"/>
      <c r="BO336" s="798"/>
      <c r="BP336" s="798"/>
      <c r="BQ336" s="798"/>
      <c r="BR336" s="798"/>
      <c r="BS336" s="798"/>
      <c r="BT336" s="798"/>
      <c r="BU336" s="798"/>
      <c r="BV336" s="798"/>
      <c r="BW336" s="798"/>
      <c r="BX336" s="798"/>
      <c r="BY336" s="798"/>
      <c r="BZ336" s="798"/>
      <c r="CA336" s="798"/>
      <c r="CB336" s="798"/>
      <c r="CC336" s="798"/>
      <c r="CD336" s="798"/>
      <c r="CE336" s="798"/>
      <c r="CF336" s="798"/>
      <c r="CG336" s="798"/>
      <c r="CH336" s="798"/>
      <c r="CI336" s="798"/>
      <c r="CJ336" s="798"/>
      <c r="CK336" s="798"/>
      <c r="CL336" s="798"/>
      <c r="CM336" s="798"/>
      <c r="CN336" s="798"/>
      <c r="CO336" s="798"/>
      <c r="CP336" s="798"/>
      <c r="CQ336" s="798"/>
      <c r="CR336" s="798"/>
      <c r="CS336" s="798"/>
      <c r="CT336" s="798"/>
      <c r="CU336" s="798"/>
      <c r="CV336" s="798"/>
      <c r="CW336" s="798"/>
      <c r="CX336" s="798"/>
      <c r="CY336" s="798"/>
      <c r="CZ336" s="798"/>
      <c r="DA336" s="798"/>
      <c r="DB336" s="798"/>
      <c r="DC336" s="798"/>
      <c r="DD336" s="798"/>
      <c r="DE336" s="798"/>
      <c r="DF336" s="798"/>
      <c r="DG336" s="798"/>
      <c r="DH336" s="798"/>
      <c r="DI336" s="798"/>
      <c r="DJ336" s="798"/>
      <c r="DK336" s="798"/>
      <c r="DL336" s="798"/>
      <c r="DM336" s="798"/>
      <c r="DN336" s="798"/>
      <c r="DO336" s="798"/>
      <c r="DP336" s="798"/>
      <c r="DQ336" s="798"/>
      <c r="DR336" s="798"/>
      <c r="DS336" s="798"/>
      <c r="DT336" s="798"/>
      <c r="DU336" s="798"/>
      <c r="DV336" s="798"/>
      <c r="DW336" s="798"/>
      <c r="DX336" s="798"/>
      <c r="DY336" s="798"/>
      <c r="DZ336" s="798"/>
      <c r="EA336" s="798"/>
      <c r="EB336" s="798"/>
      <c r="EC336" s="798"/>
      <c r="ED336" s="798"/>
      <c r="EE336" s="798"/>
      <c r="EF336" s="798"/>
      <c r="EG336" s="798"/>
      <c r="EH336" s="782"/>
    </row>
    <row r="337" spans="1:138" ht="12.75" customHeight="1" x14ac:dyDescent="0.3">
      <c r="A337" s="782"/>
      <c r="B337" s="782" t="s">
        <v>182</v>
      </c>
      <c r="C337" s="1356">
        <f>SUM(E337:DU337)</f>
        <v>68643628.415669382</v>
      </c>
      <c r="D337" s="782"/>
      <c r="E337" s="805">
        <f>+'Venture Summary - Mthly'!E38</f>
        <v>-1943435.5218400576</v>
      </c>
      <c r="F337" s="805">
        <f>+'Venture Summary - Mthly'!F38</f>
        <v>-15208647.652673729</v>
      </c>
      <c r="G337" s="805">
        <f>+'Venture Summary - Mthly'!G38</f>
        <v>-491498.0015560445</v>
      </c>
      <c r="H337" s="805">
        <f>+'Venture Summary - Mthly'!H38</f>
        <v>-739130.23477478127</v>
      </c>
      <c r="I337" s="805">
        <f>+'Venture Summary - Mthly'!I38</f>
        <v>-1245669.8451237862</v>
      </c>
      <c r="J337" s="805">
        <f>+'Venture Summary - Mthly'!J38</f>
        <v>-2024138.5150061427</v>
      </c>
      <c r="K337" s="805">
        <f>+'Venture Summary - Mthly'!K38</f>
        <v>-2083605.0857725968</v>
      </c>
      <c r="L337" s="805">
        <f>+'Venture Summary - Mthly'!L38</f>
        <v>-2651537.8825037964</v>
      </c>
      <c r="M337" s="805">
        <f>+'Venture Summary - Mthly'!M38</f>
        <v>-3143136.2409976111</v>
      </c>
      <c r="N337" s="805">
        <f>+'Venture Summary - Mthly'!N38</f>
        <v>-3677476.1526163789</v>
      </c>
      <c r="O337" s="805">
        <f>+'Venture Summary - Mthly'!O38</f>
        <v>-2096036.1763591815</v>
      </c>
      <c r="P337" s="805">
        <f>+'Venture Summary - Mthly'!P38</f>
        <v>-20243.445243114293</v>
      </c>
      <c r="Q337" s="805">
        <f>+'Venture Summary - Mthly'!Q38</f>
        <v>-21536.504033744117</v>
      </c>
      <c r="R337" s="805">
        <f>+'Venture Summary - Mthly'!R38</f>
        <v>-22846.387199595178</v>
      </c>
      <c r="S337" s="805">
        <f>+'Venture Summary - Mthly'!S38</f>
        <v>-24169.242963682955</v>
      </c>
      <c r="T337" s="805">
        <f>+'Venture Summary - Mthly'!T38</f>
        <v>-25405.192141294679</v>
      </c>
      <c r="U337" s="805">
        <f>+'Venture Summary - Mthly'!U38</f>
        <v>-26605.498258502568</v>
      </c>
      <c r="V337" s="805">
        <f>+'Venture Summary - Mthly'!V38</f>
        <v>-27716.271931473133</v>
      </c>
      <c r="W337" s="805">
        <f>+'Venture Summary - Mthly'!W38</f>
        <v>-28714.745112786575</v>
      </c>
      <c r="X337" s="805">
        <f>+'Venture Summary - Mthly'!X38</f>
        <v>-29708.008202723711</v>
      </c>
      <c r="Y337" s="805">
        <f>+'Venture Summary - Mthly'!Y38</f>
        <v>-30619.50573784305</v>
      </c>
      <c r="Z337" s="805">
        <f>+'Venture Summary - Mthly'!Z38</f>
        <v>-31386.510991997875</v>
      </c>
      <c r="AA337" s="805">
        <f>+'Venture Summary - Mthly'!AA38</f>
        <v>-32040.043232683936</v>
      </c>
      <c r="AB337" s="805">
        <f>+'Venture Summary - Mthly'!AB38</f>
        <v>-32583.31885140936</v>
      </c>
      <c r="AC337" s="805">
        <f>+'Venture Summary - Mthly'!AC38</f>
        <v>11164.455298793164</v>
      </c>
      <c r="AD337" s="805">
        <f>+'Venture Summary - Mthly'!AD38</f>
        <v>51087.028808271949</v>
      </c>
      <c r="AE337" s="805">
        <f>+'Venture Summary - Mthly'!AE38</f>
        <v>96690.409152741282</v>
      </c>
      <c r="AF337" s="805">
        <f>+'Venture Summary - Mthly'!AF38</f>
        <v>186128.38333325498</v>
      </c>
      <c r="AG337" s="805">
        <f>+'Venture Summary - Mthly'!AG38</f>
        <v>189774.72498510519</v>
      </c>
      <c r="AH337" s="805">
        <f>+'Venture Summary - Mthly'!AH38</f>
        <v>191077.87392284846</v>
      </c>
      <c r="AI337" s="805">
        <f>+'Venture Summary - Mthly'!AI38</f>
        <v>424631.52148606483</v>
      </c>
      <c r="AJ337" s="805">
        <f>+'Venture Summary - Mthly'!AJ38</f>
        <v>427220.46900700842</v>
      </c>
      <c r="AK337" s="805">
        <f>+'Venture Summary - Mthly'!AK38</f>
        <v>430016.09348074743</v>
      </c>
      <c r="AL337" s="805">
        <f>+'Venture Summary - Mthly'!AL38</f>
        <v>14315530.3242827</v>
      </c>
      <c r="AM337" s="805">
        <f>+'Venture Summary - Mthly'!AM38</f>
        <v>205293.34606116661</v>
      </c>
      <c r="AN337" s="805">
        <f>+'Venture Summary - Mthly'!AN38</f>
        <v>207793.40423970085</v>
      </c>
      <c r="AO337" s="805">
        <f>+'Venture Summary - Mthly'!AO38</f>
        <v>210260.10262606523</v>
      </c>
      <c r="AP337" s="805">
        <f>+'Venture Summary - Mthly'!AP38</f>
        <v>211885.65974115423</v>
      </c>
      <c r="AQ337" s="805">
        <f>+'Venture Summary - Mthly'!AQ38</f>
        <v>215188.01193420406</v>
      </c>
      <c r="AR337" s="805">
        <f>+'Venture Summary - Mthly'!AR38</f>
        <v>218012.9416200624</v>
      </c>
      <c r="AS337" s="805">
        <f>+'Venture Summary - Mthly'!AS38</f>
        <v>213181.07686987985</v>
      </c>
      <c r="AT337" s="805">
        <f>+'Venture Summary - Mthly'!AT38</f>
        <v>214770.00861920218</v>
      </c>
      <c r="AU337" s="805">
        <f>+'Venture Summary - Mthly'!AU38</f>
        <v>216264.46058470523</v>
      </c>
      <c r="AV337" s="805">
        <f>+'Venture Summary - Mthly'!AV38</f>
        <v>218515.59404432448</v>
      </c>
      <c r="AW337" s="805">
        <f>+'Venture Summary - Mthly'!AW38</f>
        <v>220675.94358853242</v>
      </c>
      <c r="AX337" s="805">
        <f>+'Venture Summary - Mthly'!AX38</f>
        <v>222710.56184153532</v>
      </c>
      <c r="AY337" s="805">
        <f>+'Venture Summary - Mthly'!AY38</f>
        <v>224665.72728851769</v>
      </c>
      <c r="AZ337" s="805">
        <f>+'Venture Summary - Mthly'!AZ38</f>
        <v>226548.52262565284</v>
      </c>
      <c r="BA337" s="805">
        <f>+'Venture Summary - Mthly'!BA38</f>
        <v>228304.85297686295</v>
      </c>
      <c r="BB337" s="805">
        <f>+'Venture Summary - Mthly'!BB38</f>
        <v>229344.9930368007</v>
      </c>
      <c r="BC337" s="805">
        <f>+'Venture Summary - Mthly'!BC38</f>
        <v>231542.10904179295</v>
      </c>
      <c r="BD337" s="805">
        <f>+'Venture Summary - Mthly'!BD38</f>
        <v>233317.7080138704</v>
      </c>
      <c r="BE337" s="805">
        <f>+'Venture Summary - Mthly'!BE38</f>
        <v>229013.16839337221</v>
      </c>
      <c r="BF337" s="805">
        <f>+'Venture Summary - Mthly'!BF38</f>
        <v>229911.66091752306</v>
      </c>
      <c r="BG337" s="805">
        <f>+'Venture Summary - Mthly'!BG38</f>
        <v>230813.78680437503</v>
      </c>
      <c r="BH337" s="805">
        <f>+'Venture Summary - Mthly'!BH38</f>
        <v>232345.63973502186</v>
      </c>
      <c r="BI337" s="805">
        <f>+'Venture Summary - Mthly'!BI38</f>
        <v>233902.4265315792</v>
      </c>
      <c r="BJ337" s="805">
        <f>+'Venture Summary - Mthly'!BJ38</f>
        <v>235545.94755839423</v>
      </c>
      <c r="BK337" s="805">
        <f>+'Venture Summary - Mthly'!BK38</f>
        <v>237262.50476525677</v>
      </c>
      <c r="BL337" s="805">
        <f>+'Venture Summary - Mthly'!BL38</f>
        <v>238991.57351446556</v>
      </c>
      <c r="BM337" s="805">
        <f>+'Venture Summary - Mthly'!BM38</f>
        <v>240811.21361387809</v>
      </c>
      <c r="BN337" s="805">
        <f>+'Venture Summary - Mthly'!BN38</f>
        <v>242002.34658988175</v>
      </c>
      <c r="BO337" s="805">
        <f>+'Venture Summary - Mthly'!BO38</f>
        <v>244627.30669974274</v>
      </c>
      <c r="BP337" s="805">
        <f>+'Venture Summary - Mthly'!BP38</f>
        <v>246922.0418636211</v>
      </c>
      <c r="BQ337" s="805">
        <f>+'Venture Summary - Mthly'!BQ38</f>
        <v>242733.25370419392</v>
      </c>
      <c r="BR337" s="805">
        <f>+'Venture Summary - Mthly'!BR38</f>
        <v>244033.96696505454</v>
      </c>
      <c r="BS337" s="805">
        <f>+'Venture Summary - Mthly'!BS38</f>
        <v>245313.14997026659</v>
      </c>
      <c r="BT337" s="805">
        <f>+'Venture Summary - Mthly'!BT38</f>
        <v>247377.11673495109</v>
      </c>
      <c r="BU337" s="805">
        <f>+'Venture Summary - Mthly'!BU38</f>
        <v>249414.97281073497</v>
      </c>
      <c r="BV337" s="805">
        <f>+'Venture Summary - Mthly'!BV38</f>
        <v>251479.3205969065</v>
      </c>
      <c r="BW337" s="805">
        <f>+'Venture Summary - Mthly'!BW38</f>
        <v>253576.88775609701</v>
      </c>
      <c r="BX337" s="805">
        <f>+'Venture Summary - Mthly'!BX38</f>
        <v>255660.88139998799</v>
      </c>
      <c r="BY337" s="805">
        <f>+'Venture Summary - Mthly'!BY38</f>
        <v>257780.55934433491</v>
      </c>
      <c r="BZ337" s="805">
        <f>+'Venture Summary - Mthly'!BZ38</f>
        <v>259130.53765731424</v>
      </c>
      <c r="CA337" s="805">
        <f>+'Venture Summary - Mthly'!CA38</f>
        <v>262044.06866613019</v>
      </c>
      <c r="CB337" s="805">
        <f>+'Venture Summary - Mthly'!CB38</f>
        <v>264568.88723862561</v>
      </c>
      <c r="CC337" s="805">
        <f>+'Venture Summary - Mthly'!CC38</f>
        <v>260334.62676779419</v>
      </c>
      <c r="CD337" s="805">
        <f>+'Venture Summary - Mthly'!CD38</f>
        <v>261766.27506953065</v>
      </c>
      <c r="CE337" s="805">
        <f>+'Venture Summary - Mthly'!CE38</f>
        <v>263169.39895795332</v>
      </c>
      <c r="CF337" s="805">
        <f>+'Venture Summary - Mthly'!CF38</f>
        <v>265374.12330500968</v>
      </c>
      <c r="CG337" s="805">
        <f>+'Venture Summary - Mthly'!CG38</f>
        <v>267569.84631198365</v>
      </c>
      <c r="CH337" s="805">
        <f>+'Venture Summary - Mthly'!CH38</f>
        <v>269785.75663471175</v>
      </c>
      <c r="CI337" s="805">
        <f>+'Venture Summary - Mthly'!CI38</f>
        <v>271981.27502716507</v>
      </c>
      <c r="CJ337" s="805">
        <f>+'Venture Summary - Mthly'!CJ38</f>
        <v>274209.9614994725</v>
      </c>
      <c r="CK337" s="805">
        <f>+'Venture Summary - Mthly'!CK38</f>
        <v>276471.37765448482</v>
      </c>
      <c r="CL337" s="805">
        <f>+'Venture Summary - Mthly'!CL38</f>
        <v>277910.21305872517</v>
      </c>
      <c r="CM337" s="805">
        <f>+'Venture Summary - Mthly'!CM38</f>
        <v>280971.24051798158</v>
      </c>
      <c r="CN337" s="805">
        <f>+'Venture Summary - Mthly'!CN38</f>
        <v>283611.40197433194</v>
      </c>
      <c r="CO337" s="805">
        <f>+'Venture Summary - Mthly'!CO38</f>
        <v>279273.11677509604</v>
      </c>
      <c r="CP337" s="805">
        <f>+'Venture Summary - Mthly'!CP38</f>
        <v>280770.93938649778</v>
      </c>
      <c r="CQ337" s="805">
        <f>+'Venture Summary - Mthly'!CQ38</f>
        <v>282239.46279127692</v>
      </c>
      <c r="CR337" s="805">
        <f>+'Venture Summary - Mthly'!CR38</f>
        <v>284516.27143163967</v>
      </c>
      <c r="CS337" s="805">
        <f>+'Venture Summary - Mthly'!CS38</f>
        <v>286814.10642290174</v>
      </c>
      <c r="CT337" s="805">
        <f>+'Venture Summary - Mthly'!CT38</f>
        <v>289146.38855799765</v>
      </c>
      <c r="CU337" s="805">
        <f>+'Venture Summary - Mthly'!CU38</f>
        <v>291451.51423692808</v>
      </c>
      <c r="CV337" s="805">
        <f>+'Venture Summary - Mthly'!CV38</f>
        <v>293779.70006957493</v>
      </c>
      <c r="CW337" s="805">
        <f>+'Venture Summary - Mthly'!CW38</f>
        <v>72613507.873999998</v>
      </c>
      <c r="CX337" s="805">
        <f>+'Venture Summary - Mthly'!CX38</f>
        <v>0</v>
      </c>
      <c r="CY337" s="805">
        <f>+'Venture Summary - Mthly'!CY38</f>
        <v>0</v>
      </c>
      <c r="CZ337" s="805">
        <f>+'Venture Summary - Mthly'!CZ38</f>
        <v>0</v>
      </c>
      <c r="DA337" s="805">
        <f>+'Venture Summary - Mthly'!DA38</f>
        <v>0</v>
      </c>
      <c r="DB337" s="805">
        <f>+'Venture Summary - Mthly'!DB38</f>
        <v>0</v>
      </c>
      <c r="DC337" s="805">
        <f>+'Venture Summary - Mthly'!DC38</f>
        <v>0</v>
      </c>
      <c r="DD337" s="805">
        <f>+'Venture Summary - Mthly'!DD38</f>
        <v>0</v>
      </c>
      <c r="DE337" s="805">
        <f>+'Venture Summary - Mthly'!DE38</f>
        <v>0</v>
      </c>
      <c r="DF337" s="805">
        <f>+'Venture Summary - Mthly'!DF38</f>
        <v>0</v>
      </c>
      <c r="DG337" s="805">
        <f>+'Venture Summary - Mthly'!DG38</f>
        <v>0</v>
      </c>
      <c r="DH337" s="805">
        <f>+'Venture Summary - Mthly'!DH38</f>
        <v>0</v>
      </c>
      <c r="DI337" s="805">
        <f>+'Venture Summary - Mthly'!DI38</f>
        <v>0</v>
      </c>
      <c r="DJ337" s="805">
        <f>+'Venture Summary - Mthly'!DJ38</f>
        <v>0</v>
      </c>
      <c r="DK337" s="805">
        <f>+'Venture Summary - Mthly'!DK38</f>
        <v>0</v>
      </c>
      <c r="DL337" s="805">
        <f>+'Venture Summary - Mthly'!DL38</f>
        <v>0</v>
      </c>
      <c r="DM337" s="805">
        <f>+'Venture Summary - Mthly'!DM38</f>
        <v>0</v>
      </c>
      <c r="DN337" s="805">
        <f>+'Venture Summary - Mthly'!DN38</f>
        <v>0</v>
      </c>
      <c r="DO337" s="805">
        <f>+'Venture Summary - Mthly'!DO38</f>
        <v>0</v>
      </c>
      <c r="DP337" s="805">
        <f>+'Venture Summary - Mthly'!DP38</f>
        <v>0</v>
      </c>
      <c r="DQ337" s="805">
        <f>+'Venture Summary - Mthly'!DQ38</f>
        <v>0</v>
      </c>
      <c r="DR337" s="805">
        <f>+'Venture Summary - Mthly'!DR38</f>
        <v>0</v>
      </c>
      <c r="DS337" s="805">
        <f>+'Venture Summary - Mthly'!DS38</f>
        <v>0</v>
      </c>
      <c r="DT337" s="805">
        <f>+'Venture Summary - Mthly'!DT38</f>
        <v>0</v>
      </c>
      <c r="DU337" s="805">
        <f>+'Venture Summary - Mthly'!DU38</f>
        <v>0</v>
      </c>
      <c r="DV337" s="798"/>
      <c r="DW337" s="798"/>
      <c r="DX337" s="798"/>
      <c r="DY337" s="798"/>
      <c r="DZ337" s="798"/>
      <c r="EA337" s="798"/>
      <c r="EB337" s="798"/>
      <c r="EC337" s="798"/>
      <c r="ED337" s="798"/>
      <c r="EE337" s="798"/>
      <c r="EF337" s="798"/>
      <c r="EG337" s="798"/>
      <c r="EH337" s="782"/>
    </row>
    <row r="338" spans="1:138" ht="12.75" customHeight="1" x14ac:dyDescent="0.3">
      <c r="A338" s="782"/>
      <c r="B338" s="782" t="s">
        <v>183</v>
      </c>
      <c r="C338" s="1356">
        <f>SUM(E338:DU338)</f>
        <v>-6868726.7816661661</v>
      </c>
      <c r="D338" s="782"/>
      <c r="E338" s="805">
        <f>+E262</f>
        <v>0</v>
      </c>
      <c r="F338" s="805">
        <f>-'Venture Summary - Mthly'!F212</f>
        <v>0</v>
      </c>
      <c r="G338" s="805">
        <f>-'Venture Summary - Mthly'!G212</f>
        <v>0</v>
      </c>
      <c r="H338" s="805">
        <f>-'Venture Summary - Mthly'!H212</f>
        <v>0</v>
      </c>
      <c r="I338" s="805">
        <f>-'Venture Summary - Mthly'!I212</f>
        <v>0</v>
      </c>
      <c r="J338" s="805">
        <f>-'Venture Summary - Mthly'!J212</f>
        <v>0</v>
      </c>
      <c r="K338" s="805">
        <f>-'Venture Summary - Mthly'!K212</f>
        <v>0</v>
      </c>
      <c r="L338" s="805">
        <f>-'Venture Summary - Mthly'!L212</f>
        <v>0</v>
      </c>
      <c r="M338" s="805">
        <f>-'Venture Summary - Mthly'!M212</f>
        <v>0</v>
      </c>
      <c r="N338" s="805">
        <f>-'Venture Summary - Mthly'!N212</f>
        <v>0</v>
      </c>
      <c r="O338" s="805">
        <f>-'Venture Summary - Mthly'!O212</f>
        <v>0</v>
      </c>
      <c r="P338" s="805">
        <f>-'Venture Summary - Mthly'!P212</f>
        <v>0</v>
      </c>
      <c r="Q338" s="805">
        <f>-'Venture Summary - Mthly'!Q212</f>
        <v>0</v>
      </c>
      <c r="R338" s="805">
        <f>-'Venture Summary - Mthly'!R212</f>
        <v>0</v>
      </c>
      <c r="S338" s="805">
        <f>-'Venture Summary - Mthly'!S212</f>
        <v>0</v>
      </c>
      <c r="T338" s="805">
        <f>-'Venture Summary - Mthly'!T212</f>
        <v>0</v>
      </c>
      <c r="U338" s="805">
        <f>-'Venture Summary - Mthly'!U212</f>
        <v>0</v>
      </c>
      <c r="V338" s="805">
        <f>-'Venture Summary - Mthly'!V212</f>
        <v>0</v>
      </c>
      <c r="W338" s="805">
        <f>-'Venture Summary - Mthly'!W212</f>
        <v>0</v>
      </c>
      <c r="X338" s="805">
        <f>-'Venture Summary - Mthly'!X212</f>
        <v>0</v>
      </c>
      <c r="Y338" s="805">
        <f>-'Venture Summary - Mthly'!Y212</f>
        <v>0</v>
      </c>
      <c r="Z338" s="805">
        <f>-'Venture Summary - Mthly'!Z212</f>
        <v>0</v>
      </c>
      <c r="AA338" s="805">
        <f>-'Venture Summary - Mthly'!AA212</f>
        <v>0</v>
      </c>
      <c r="AB338" s="805">
        <f>-'Venture Summary - Mthly'!AB212</f>
        <v>0</v>
      </c>
      <c r="AC338" s="805">
        <f>-'Venture Summary - Mthly'!AC212</f>
        <v>0</v>
      </c>
      <c r="AD338" s="805">
        <f>-'Venture Summary - Mthly'!AD212</f>
        <v>0</v>
      </c>
      <c r="AE338" s="805">
        <f>-'Venture Summary - Mthly'!AE212</f>
        <v>0</v>
      </c>
      <c r="AF338" s="805">
        <f>-'Venture Summary - Mthly'!AF212</f>
        <v>0</v>
      </c>
      <c r="AG338" s="805">
        <f>-'Venture Summary - Mthly'!AG212</f>
        <v>0</v>
      </c>
      <c r="AH338" s="805">
        <f>-'Venture Summary - Mthly'!AH212</f>
        <v>0</v>
      </c>
      <c r="AI338" s="805">
        <f>-'Venture Summary - Mthly'!AI212</f>
        <v>0</v>
      </c>
      <c r="AJ338" s="805">
        <f>-'Venture Summary - Mthly'!AJ212</f>
        <v>0</v>
      </c>
      <c r="AK338" s="805">
        <f>-'Venture Summary - Mthly'!AK212</f>
        <v>-6868726.7816661661</v>
      </c>
      <c r="AL338" s="805">
        <f>-'Venture Summary - Mthly'!AL212</f>
        <v>0</v>
      </c>
      <c r="AM338" s="805">
        <f>-'Venture Summary - Mthly'!AM212</f>
        <v>0</v>
      </c>
      <c r="AN338" s="805">
        <f>-'Venture Summary - Mthly'!AN212</f>
        <v>0</v>
      </c>
      <c r="AO338" s="805">
        <f>-'Venture Summary - Mthly'!AO212</f>
        <v>0</v>
      </c>
      <c r="AP338" s="805">
        <f>-'Venture Summary - Mthly'!AP212</f>
        <v>0</v>
      </c>
      <c r="AQ338" s="805">
        <f>-'Venture Summary - Mthly'!AQ212</f>
        <v>0</v>
      </c>
      <c r="AR338" s="805">
        <f>-'Venture Summary - Mthly'!AR212</f>
        <v>0</v>
      </c>
      <c r="AS338" s="805">
        <f>-'Venture Summary - Mthly'!AS212</f>
        <v>0</v>
      </c>
      <c r="AT338" s="805">
        <f>-'Venture Summary - Mthly'!AT212</f>
        <v>0</v>
      </c>
      <c r="AU338" s="805">
        <f>-'Venture Summary - Mthly'!AU212</f>
        <v>0</v>
      </c>
      <c r="AV338" s="805">
        <f>-'Venture Summary - Mthly'!AV212</f>
        <v>0</v>
      </c>
      <c r="AW338" s="805">
        <f>-'Venture Summary - Mthly'!AW212</f>
        <v>0</v>
      </c>
      <c r="AX338" s="805">
        <f>-'Venture Summary - Mthly'!AX212</f>
        <v>0</v>
      </c>
      <c r="AY338" s="805">
        <f>-'Venture Summary - Mthly'!AY212</f>
        <v>0</v>
      </c>
      <c r="AZ338" s="805">
        <f>-'Venture Summary - Mthly'!AZ212</f>
        <v>0</v>
      </c>
      <c r="BA338" s="805">
        <f>-'Venture Summary - Mthly'!BA212</f>
        <v>0</v>
      </c>
      <c r="BB338" s="805">
        <f>-'Venture Summary - Mthly'!BB212</f>
        <v>0</v>
      </c>
      <c r="BC338" s="805">
        <f>-'Venture Summary - Mthly'!BC212</f>
        <v>0</v>
      </c>
      <c r="BD338" s="805">
        <f>-'Venture Summary - Mthly'!BD212</f>
        <v>0</v>
      </c>
      <c r="BE338" s="805">
        <f>-'Venture Summary - Mthly'!BE212</f>
        <v>0</v>
      </c>
      <c r="BF338" s="805">
        <f>-'Venture Summary - Mthly'!BF212</f>
        <v>0</v>
      </c>
      <c r="BG338" s="805">
        <f>-'Venture Summary - Mthly'!BG212</f>
        <v>0</v>
      </c>
      <c r="BH338" s="805">
        <f>-'Venture Summary - Mthly'!BH212</f>
        <v>0</v>
      </c>
      <c r="BI338" s="805">
        <f>-'Venture Summary - Mthly'!BI212</f>
        <v>0</v>
      </c>
      <c r="BJ338" s="805">
        <f>-'Venture Summary - Mthly'!BJ212</f>
        <v>0</v>
      </c>
      <c r="BK338" s="805">
        <f>-'Venture Summary - Mthly'!BK212</f>
        <v>0</v>
      </c>
      <c r="BL338" s="805">
        <f>-'Venture Summary - Mthly'!BL212</f>
        <v>0</v>
      </c>
      <c r="BM338" s="805">
        <f>-'Venture Summary - Mthly'!BM212</f>
        <v>0</v>
      </c>
      <c r="BN338" s="805">
        <f>-'Venture Summary - Mthly'!BN212</f>
        <v>0</v>
      </c>
      <c r="BO338" s="805">
        <f>-'Venture Summary - Mthly'!BO212</f>
        <v>0</v>
      </c>
      <c r="BP338" s="805">
        <f>-'Venture Summary - Mthly'!BP212</f>
        <v>0</v>
      </c>
      <c r="BQ338" s="805">
        <f>-'Venture Summary - Mthly'!BQ212</f>
        <v>0</v>
      </c>
      <c r="BR338" s="805">
        <f>-'Venture Summary - Mthly'!BR212</f>
        <v>0</v>
      </c>
      <c r="BS338" s="805">
        <f>-'Venture Summary - Mthly'!BS212</f>
        <v>0</v>
      </c>
      <c r="BT338" s="805">
        <f>-'Venture Summary - Mthly'!BT212</f>
        <v>0</v>
      </c>
      <c r="BU338" s="805">
        <f>-'Venture Summary - Mthly'!BU212</f>
        <v>0</v>
      </c>
      <c r="BV338" s="805">
        <f>-'Venture Summary - Mthly'!BV212</f>
        <v>0</v>
      </c>
      <c r="BW338" s="805">
        <f>-'Venture Summary - Mthly'!BW212</f>
        <v>0</v>
      </c>
      <c r="BX338" s="805">
        <f>-'Venture Summary - Mthly'!BX212</f>
        <v>0</v>
      </c>
      <c r="BY338" s="805">
        <f>-'Venture Summary - Mthly'!BY212</f>
        <v>0</v>
      </c>
      <c r="BZ338" s="805">
        <f>-'Venture Summary - Mthly'!BZ212</f>
        <v>0</v>
      </c>
      <c r="CA338" s="805">
        <f>-'Venture Summary - Mthly'!CA212</f>
        <v>0</v>
      </c>
      <c r="CB338" s="805">
        <f>-'Venture Summary - Mthly'!CB212</f>
        <v>0</v>
      </c>
      <c r="CC338" s="805">
        <f>-'Venture Summary - Mthly'!CC212</f>
        <v>0</v>
      </c>
      <c r="CD338" s="805">
        <f>-'Venture Summary - Mthly'!CD212</f>
        <v>0</v>
      </c>
      <c r="CE338" s="805">
        <f>-'Venture Summary - Mthly'!CE212</f>
        <v>0</v>
      </c>
      <c r="CF338" s="805">
        <f>-'Venture Summary - Mthly'!CF212</f>
        <v>0</v>
      </c>
      <c r="CG338" s="805">
        <f>-'Venture Summary - Mthly'!CG212</f>
        <v>0</v>
      </c>
      <c r="CH338" s="805">
        <f>-'Venture Summary - Mthly'!CH212</f>
        <v>0</v>
      </c>
      <c r="CI338" s="805">
        <f>-'Venture Summary - Mthly'!CI212</f>
        <v>0</v>
      </c>
      <c r="CJ338" s="805">
        <f>-'Venture Summary - Mthly'!CJ212</f>
        <v>0</v>
      </c>
      <c r="CK338" s="805">
        <f>-'Venture Summary - Mthly'!CK212</f>
        <v>0</v>
      </c>
      <c r="CL338" s="805">
        <f>-'Venture Summary - Mthly'!CL212</f>
        <v>0</v>
      </c>
      <c r="CM338" s="805">
        <f>-'Venture Summary - Mthly'!CM212</f>
        <v>0</v>
      </c>
      <c r="CN338" s="805">
        <f>-'Venture Summary - Mthly'!CN212</f>
        <v>0</v>
      </c>
      <c r="CO338" s="805">
        <f>-'Venture Summary - Mthly'!CO212</f>
        <v>0</v>
      </c>
      <c r="CP338" s="805">
        <f>-'Venture Summary - Mthly'!CP212</f>
        <v>0</v>
      </c>
      <c r="CQ338" s="805">
        <f>-'Venture Summary - Mthly'!CQ212</f>
        <v>0</v>
      </c>
      <c r="CR338" s="805">
        <f>-'Venture Summary - Mthly'!CR212</f>
        <v>0</v>
      </c>
      <c r="CS338" s="805">
        <f>-'Venture Summary - Mthly'!CS212</f>
        <v>0</v>
      </c>
      <c r="CT338" s="805">
        <f>-'Venture Summary - Mthly'!CT212</f>
        <v>0</v>
      </c>
      <c r="CU338" s="805">
        <f>-'Venture Summary - Mthly'!CU212</f>
        <v>0</v>
      </c>
      <c r="CV338" s="805">
        <f>-'Venture Summary - Mthly'!CV212</f>
        <v>0</v>
      </c>
      <c r="CW338" s="805">
        <f>-'Venture Summary - Mthly'!CW212</f>
        <v>0</v>
      </c>
      <c r="CX338" s="805">
        <f>-'Venture Summary - Mthly'!CX212</f>
        <v>0</v>
      </c>
      <c r="CY338" s="805">
        <f>-'Venture Summary - Mthly'!CY212</f>
        <v>0</v>
      </c>
      <c r="CZ338" s="805">
        <f>-'Venture Summary - Mthly'!CZ212</f>
        <v>0</v>
      </c>
      <c r="DA338" s="805">
        <f>-'Venture Summary - Mthly'!DA212</f>
        <v>0</v>
      </c>
      <c r="DB338" s="805">
        <f>-'Venture Summary - Mthly'!DB212</f>
        <v>0</v>
      </c>
      <c r="DC338" s="805">
        <f>-'Venture Summary - Mthly'!DC212</f>
        <v>0</v>
      </c>
      <c r="DD338" s="805">
        <f>-'Venture Summary - Mthly'!DD212</f>
        <v>0</v>
      </c>
      <c r="DE338" s="805">
        <f>-'Venture Summary - Mthly'!DE212</f>
        <v>0</v>
      </c>
      <c r="DF338" s="805">
        <f>-'Venture Summary - Mthly'!DF212</f>
        <v>0</v>
      </c>
      <c r="DG338" s="805">
        <f>-'Venture Summary - Mthly'!DG212</f>
        <v>0</v>
      </c>
      <c r="DH338" s="805">
        <f>-'Venture Summary - Mthly'!DH212</f>
        <v>0</v>
      </c>
      <c r="DI338" s="805">
        <f>-'Venture Summary - Mthly'!DI212</f>
        <v>0</v>
      </c>
      <c r="DJ338" s="805">
        <f>-'Venture Summary - Mthly'!DJ212</f>
        <v>0</v>
      </c>
      <c r="DK338" s="805">
        <f>-'Venture Summary - Mthly'!DK212</f>
        <v>0</v>
      </c>
      <c r="DL338" s="805">
        <f>-'Venture Summary - Mthly'!DL212</f>
        <v>0</v>
      </c>
      <c r="DM338" s="805">
        <f>-'Venture Summary - Mthly'!DM212</f>
        <v>0</v>
      </c>
      <c r="DN338" s="805">
        <f>-'Venture Summary - Mthly'!DN212</f>
        <v>0</v>
      </c>
      <c r="DO338" s="805">
        <f>-'Venture Summary - Mthly'!DO212</f>
        <v>0</v>
      </c>
      <c r="DP338" s="805">
        <f>-'Venture Summary - Mthly'!DP212</f>
        <v>0</v>
      </c>
      <c r="DQ338" s="805">
        <f>-'Venture Summary - Mthly'!DQ212</f>
        <v>0</v>
      </c>
      <c r="DR338" s="805">
        <f>-'Venture Summary - Mthly'!DR212</f>
        <v>0</v>
      </c>
      <c r="DS338" s="805">
        <f>-'Venture Summary - Mthly'!DS212</f>
        <v>0</v>
      </c>
      <c r="DT338" s="805">
        <f>-'Venture Summary - Mthly'!DT212</f>
        <v>0</v>
      </c>
      <c r="DU338" s="805">
        <f>-'Venture Summary - Mthly'!DU212</f>
        <v>0</v>
      </c>
      <c r="DV338" s="798"/>
      <c r="DW338" s="798"/>
      <c r="DX338" s="798"/>
      <c r="DY338" s="798"/>
      <c r="DZ338" s="798"/>
      <c r="EA338" s="798"/>
      <c r="EB338" s="798"/>
      <c r="EC338" s="798"/>
      <c r="ED338" s="798"/>
      <c r="EE338" s="798"/>
      <c r="EF338" s="798"/>
      <c r="EG338" s="798"/>
      <c r="EH338" s="782"/>
    </row>
    <row r="339" spans="1:138" ht="12.75" customHeight="1" x14ac:dyDescent="0.3">
      <c r="A339" s="782"/>
      <c r="B339" s="782" t="s">
        <v>184</v>
      </c>
      <c r="C339" s="1356">
        <f>SUM(E339:DU339)</f>
        <v>-5736147.0869287392</v>
      </c>
      <c r="D339" s="782"/>
      <c r="E339" s="805">
        <f t="shared" ref="E339:BP339" si="269">-E250</f>
        <v>0</v>
      </c>
      <c r="F339" s="805">
        <f t="shared" si="269"/>
        <v>0</v>
      </c>
      <c r="G339" s="805">
        <f t="shared" si="269"/>
        <v>0</v>
      </c>
      <c r="H339" s="805">
        <f t="shared" si="269"/>
        <v>0</v>
      </c>
      <c r="I339" s="805">
        <f t="shared" si="269"/>
        <v>0</v>
      </c>
      <c r="J339" s="805">
        <f t="shared" si="269"/>
        <v>0</v>
      </c>
      <c r="K339" s="805">
        <f t="shared" si="269"/>
        <v>0</v>
      </c>
      <c r="L339" s="805">
        <f t="shared" si="269"/>
        <v>0</v>
      </c>
      <c r="M339" s="805">
        <f t="shared" si="269"/>
        <v>0</v>
      </c>
      <c r="N339" s="805">
        <f t="shared" si="269"/>
        <v>0</v>
      </c>
      <c r="O339" s="805">
        <f t="shared" si="269"/>
        <v>0</v>
      </c>
      <c r="P339" s="805">
        <f t="shared" si="269"/>
        <v>0</v>
      </c>
      <c r="Q339" s="805">
        <f t="shared" si="269"/>
        <v>0</v>
      </c>
      <c r="R339" s="805">
        <f t="shared" si="269"/>
        <v>0</v>
      </c>
      <c r="S339" s="805">
        <f t="shared" si="269"/>
        <v>0</v>
      </c>
      <c r="T339" s="805">
        <f t="shared" si="269"/>
        <v>0</v>
      </c>
      <c r="U339" s="805">
        <f t="shared" si="269"/>
        <v>0</v>
      </c>
      <c r="V339" s="805">
        <f t="shared" si="269"/>
        <v>0</v>
      </c>
      <c r="W339" s="805">
        <f t="shared" si="269"/>
        <v>0</v>
      </c>
      <c r="X339" s="805">
        <f t="shared" si="269"/>
        <v>0</v>
      </c>
      <c r="Y339" s="805">
        <f t="shared" si="269"/>
        <v>0</v>
      </c>
      <c r="Z339" s="805">
        <f t="shared" si="269"/>
        <v>0</v>
      </c>
      <c r="AA339" s="805">
        <f t="shared" si="269"/>
        <v>0</v>
      </c>
      <c r="AB339" s="805">
        <f t="shared" si="269"/>
        <v>0</v>
      </c>
      <c r="AC339" s="805">
        <f t="shared" si="269"/>
        <v>0</v>
      </c>
      <c r="AD339" s="805">
        <f t="shared" si="269"/>
        <v>0</v>
      </c>
      <c r="AE339" s="805">
        <f t="shared" si="269"/>
        <v>0</v>
      </c>
      <c r="AF339" s="805">
        <f t="shared" si="269"/>
        <v>0</v>
      </c>
      <c r="AG339" s="805">
        <f t="shared" si="269"/>
        <v>0</v>
      </c>
      <c r="AH339" s="805">
        <f t="shared" si="269"/>
        <v>0</v>
      </c>
      <c r="AI339" s="805">
        <f t="shared" si="269"/>
        <v>0</v>
      </c>
      <c r="AJ339" s="805">
        <f t="shared" si="269"/>
        <v>0</v>
      </c>
      <c r="AK339" s="805">
        <f t="shared" si="269"/>
        <v>0</v>
      </c>
      <c r="AL339" s="805">
        <f t="shared" si="269"/>
        <v>0</v>
      </c>
      <c r="AM339" s="805">
        <f t="shared" si="269"/>
        <v>0</v>
      </c>
      <c r="AN339" s="805">
        <f t="shared" si="269"/>
        <v>0</v>
      </c>
      <c r="AO339" s="805">
        <f t="shared" si="269"/>
        <v>0</v>
      </c>
      <c r="AP339" s="805">
        <f t="shared" si="269"/>
        <v>0</v>
      </c>
      <c r="AQ339" s="805">
        <f t="shared" si="269"/>
        <v>0</v>
      </c>
      <c r="AR339" s="805">
        <f t="shared" si="269"/>
        <v>0</v>
      </c>
      <c r="AS339" s="805">
        <f t="shared" si="269"/>
        <v>0</v>
      </c>
      <c r="AT339" s="805">
        <f t="shared" si="269"/>
        <v>0</v>
      </c>
      <c r="AU339" s="805">
        <f t="shared" si="269"/>
        <v>0</v>
      </c>
      <c r="AV339" s="805">
        <f t="shared" si="269"/>
        <v>0</v>
      </c>
      <c r="AW339" s="805">
        <f t="shared" si="269"/>
        <v>0</v>
      </c>
      <c r="AX339" s="805">
        <f t="shared" si="269"/>
        <v>0</v>
      </c>
      <c r="AY339" s="805">
        <f t="shared" si="269"/>
        <v>0</v>
      </c>
      <c r="AZ339" s="805">
        <f t="shared" si="269"/>
        <v>0</v>
      </c>
      <c r="BA339" s="805">
        <f t="shared" si="269"/>
        <v>0</v>
      </c>
      <c r="BB339" s="805">
        <f t="shared" si="269"/>
        <v>0</v>
      </c>
      <c r="BC339" s="805">
        <f t="shared" si="269"/>
        <v>0</v>
      </c>
      <c r="BD339" s="805">
        <f t="shared" si="269"/>
        <v>0</v>
      </c>
      <c r="BE339" s="805">
        <f t="shared" si="269"/>
        <v>0</v>
      </c>
      <c r="BF339" s="805">
        <f t="shared" si="269"/>
        <v>0</v>
      </c>
      <c r="BG339" s="805">
        <f t="shared" si="269"/>
        <v>0</v>
      </c>
      <c r="BH339" s="805">
        <f t="shared" si="269"/>
        <v>0</v>
      </c>
      <c r="BI339" s="805">
        <f t="shared" si="269"/>
        <v>0</v>
      </c>
      <c r="BJ339" s="805">
        <f t="shared" si="269"/>
        <v>0</v>
      </c>
      <c r="BK339" s="805">
        <f t="shared" si="269"/>
        <v>0</v>
      </c>
      <c r="BL339" s="805">
        <f t="shared" si="269"/>
        <v>0</v>
      </c>
      <c r="BM339" s="805">
        <f t="shared" si="269"/>
        <v>0</v>
      </c>
      <c r="BN339" s="805">
        <f t="shared" si="269"/>
        <v>0</v>
      </c>
      <c r="BO339" s="805">
        <f t="shared" si="269"/>
        <v>0</v>
      </c>
      <c r="BP339" s="805">
        <f t="shared" si="269"/>
        <v>0</v>
      </c>
      <c r="BQ339" s="805">
        <f t="shared" ref="BQ339:DU339" si="270">-BQ250</f>
        <v>0</v>
      </c>
      <c r="BR339" s="805">
        <f t="shared" si="270"/>
        <v>0</v>
      </c>
      <c r="BS339" s="805">
        <f t="shared" si="270"/>
        <v>0</v>
      </c>
      <c r="BT339" s="805">
        <f t="shared" si="270"/>
        <v>0</v>
      </c>
      <c r="BU339" s="805">
        <f t="shared" si="270"/>
        <v>0</v>
      </c>
      <c r="BV339" s="805">
        <f t="shared" si="270"/>
        <v>0</v>
      </c>
      <c r="BW339" s="805">
        <f t="shared" si="270"/>
        <v>0</v>
      </c>
      <c r="BX339" s="805">
        <f t="shared" si="270"/>
        <v>0</v>
      </c>
      <c r="BY339" s="805">
        <f t="shared" si="270"/>
        <v>0</v>
      </c>
      <c r="BZ339" s="805">
        <f t="shared" si="270"/>
        <v>0</v>
      </c>
      <c r="CA339" s="805">
        <f t="shared" si="270"/>
        <v>0</v>
      </c>
      <c r="CB339" s="805">
        <f t="shared" si="270"/>
        <v>0</v>
      </c>
      <c r="CC339" s="805">
        <f t="shared" si="270"/>
        <v>0</v>
      </c>
      <c r="CD339" s="805">
        <f t="shared" si="270"/>
        <v>0</v>
      </c>
      <c r="CE339" s="805">
        <f t="shared" si="270"/>
        <v>0</v>
      </c>
      <c r="CF339" s="805">
        <f t="shared" si="270"/>
        <v>0</v>
      </c>
      <c r="CG339" s="805">
        <f t="shared" si="270"/>
        <v>0</v>
      </c>
      <c r="CH339" s="805">
        <f t="shared" si="270"/>
        <v>0</v>
      </c>
      <c r="CI339" s="805">
        <f t="shared" si="270"/>
        <v>0</v>
      </c>
      <c r="CJ339" s="805">
        <f t="shared" si="270"/>
        <v>0</v>
      </c>
      <c r="CK339" s="805">
        <f t="shared" si="270"/>
        <v>0</v>
      </c>
      <c r="CL339" s="805">
        <f t="shared" si="270"/>
        <v>0</v>
      </c>
      <c r="CM339" s="805">
        <f t="shared" si="270"/>
        <v>0</v>
      </c>
      <c r="CN339" s="805">
        <f t="shared" si="270"/>
        <v>0</v>
      </c>
      <c r="CO339" s="805">
        <f t="shared" si="270"/>
        <v>0</v>
      </c>
      <c r="CP339" s="805">
        <f t="shared" si="270"/>
        <v>0</v>
      </c>
      <c r="CQ339" s="805">
        <f t="shared" si="270"/>
        <v>0</v>
      </c>
      <c r="CR339" s="805">
        <f t="shared" si="270"/>
        <v>0</v>
      </c>
      <c r="CS339" s="805">
        <f t="shared" si="270"/>
        <v>0</v>
      </c>
      <c r="CT339" s="805">
        <f t="shared" si="270"/>
        <v>0</v>
      </c>
      <c r="CU339" s="805">
        <f t="shared" si="270"/>
        <v>0</v>
      </c>
      <c r="CV339" s="805">
        <f t="shared" si="270"/>
        <v>0</v>
      </c>
      <c r="CW339" s="805">
        <f t="shared" si="270"/>
        <v>-5736147.0869287392</v>
      </c>
      <c r="CX339" s="805">
        <f t="shared" si="270"/>
        <v>0</v>
      </c>
      <c r="CY339" s="805">
        <f t="shared" si="270"/>
        <v>0</v>
      </c>
      <c r="CZ339" s="805">
        <f t="shared" si="270"/>
        <v>0</v>
      </c>
      <c r="DA339" s="805">
        <f t="shared" si="270"/>
        <v>0</v>
      </c>
      <c r="DB339" s="805">
        <f t="shared" si="270"/>
        <v>0</v>
      </c>
      <c r="DC339" s="805">
        <f t="shared" si="270"/>
        <v>0</v>
      </c>
      <c r="DD339" s="805">
        <f t="shared" si="270"/>
        <v>0</v>
      </c>
      <c r="DE339" s="805">
        <f t="shared" si="270"/>
        <v>0</v>
      </c>
      <c r="DF339" s="805">
        <f t="shared" si="270"/>
        <v>0</v>
      </c>
      <c r="DG339" s="805">
        <f t="shared" si="270"/>
        <v>0</v>
      </c>
      <c r="DH339" s="805">
        <f t="shared" si="270"/>
        <v>0</v>
      </c>
      <c r="DI339" s="805">
        <f t="shared" si="270"/>
        <v>0</v>
      </c>
      <c r="DJ339" s="805">
        <f t="shared" si="270"/>
        <v>0</v>
      </c>
      <c r="DK339" s="805">
        <f t="shared" si="270"/>
        <v>0</v>
      </c>
      <c r="DL339" s="805">
        <f t="shared" si="270"/>
        <v>0</v>
      </c>
      <c r="DM339" s="805">
        <f t="shared" si="270"/>
        <v>0</v>
      </c>
      <c r="DN339" s="805">
        <f t="shared" si="270"/>
        <v>0</v>
      </c>
      <c r="DO339" s="805">
        <f t="shared" si="270"/>
        <v>0</v>
      </c>
      <c r="DP339" s="805">
        <f t="shared" si="270"/>
        <v>0</v>
      </c>
      <c r="DQ339" s="805">
        <f t="shared" si="270"/>
        <v>0</v>
      </c>
      <c r="DR339" s="805">
        <f t="shared" si="270"/>
        <v>0</v>
      </c>
      <c r="DS339" s="805">
        <f t="shared" si="270"/>
        <v>0</v>
      </c>
      <c r="DT339" s="805">
        <f t="shared" si="270"/>
        <v>0</v>
      </c>
      <c r="DU339" s="805">
        <f t="shared" si="270"/>
        <v>0</v>
      </c>
      <c r="DV339" s="798"/>
      <c r="DW339" s="798"/>
      <c r="DX339" s="798"/>
      <c r="DY339" s="798"/>
      <c r="DZ339" s="798"/>
      <c r="EA339" s="798"/>
      <c r="EB339" s="798"/>
      <c r="EC339" s="798"/>
      <c r="ED339" s="798"/>
      <c r="EE339" s="798"/>
      <c r="EF339" s="798"/>
      <c r="EG339" s="798"/>
      <c r="EH339" s="782"/>
    </row>
    <row r="340" spans="1:138" ht="12.75" customHeight="1" thickBot="1" x14ac:dyDescent="0.35">
      <c r="A340" s="782"/>
      <c r="B340" s="825" t="s">
        <v>185</v>
      </c>
      <c r="C340" s="1374">
        <f>SUM(E340:DU340)</f>
        <v>56038754.547074474</v>
      </c>
      <c r="D340" s="821"/>
      <c r="E340" s="826">
        <f t="shared" ref="E340:BP340" si="271">SUM(E337:E339)</f>
        <v>-1943435.5218400576</v>
      </c>
      <c r="F340" s="826">
        <f t="shared" si="271"/>
        <v>-15208647.652673729</v>
      </c>
      <c r="G340" s="826">
        <f t="shared" si="271"/>
        <v>-491498.0015560445</v>
      </c>
      <c r="H340" s="826">
        <f t="shared" si="271"/>
        <v>-739130.23477478127</v>
      </c>
      <c r="I340" s="826">
        <f t="shared" si="271"/>
        <v>-1245669.8451237862</v>
      </c>
      <c r="J340" s="826">
        <f t="shared" si="271"/>
        <v>-2024138.5150061427</v>
      </c>
      <c r="K340" s="826">
        <f t="shared" si="271"/>
        <v>-2083605.0857725968</v>
      </c>
      <c r="L340" s="826">
        <f t="shared" si="271"/>
        <v>-2651537.8825037964</v>
      </c>
      <c r="M340" s="826">
        <f t="shared" si="271"/>
        <v>-3143136.2409976111</v>
      </c>
      <c r="N340" s="826">
        <f t="shared" si="271"/>
        <v>-3677476.1526163789</v>
      </c>
      <c r="O340" s="826">
        <f t="shared" si="271"/>
        <v>-2096036.1763591815</v>
      </c>
      <c r="P340" s="826">
        <f t="shared" si="271"/>
        <v>-20243.445243114293</v>
      </c>
      <c r="Q340" s="826">
        <f t="shared" si="271"/>
        <v>-21536.504033744117</v>
      </c>
      <c r="R340" s="826">
        <f t="shared" si="271"/>
        <v>-22846.387199595178</v>
      </c>
      <c r="S340" s="826">
        <f t="shared" si="271"/>
        <v>-24169.242963682955</v>
      </c>
      <c r="T340" s="826">
        <f t="shared" si="271"/>
        <v>-25405.192141294679</v>
      </c>
      <c r="U340" s="826">
        <f t="shared" si="271"/>
        <v>-26605.498258502568</v>
      </c>
      <c r="V340" s="826">
        <f t="shared" si="271"/>
        <v>-27716.271931473133</v>
      </c>
      <c r="W340" s="826">
        <f t="shared" si="271"/>
        <v>-28714.745112786575</v>
      </c>
      <c r="X340" s="826">
        <f t="shared" si="271"/>
        <v>-29708.008202723711</v>
      </c>
      <c r="Y340" s="826">
        <f t="shared" si="271"/>
        <v>-30619.50573784305</v>
      </c>
      <c r="Z340" s="826">
        <f t="shared" si="271"/>
        <v>-31386.510991997875</v>
      </c>
      <c r="AA340" s="826">
        <f t="shared" si="271"/>
        <v>-32040.043232683936</v>
      </c>
      <c r="AB340" s="826">
        <f t="shared" si="271"/>
        <v>-32583.31885140936</v>
      </c>
      <c r="AC340" s="826">
        <f t="shared" si="271"/>
        <v>11164.455298793164</v>
      </c>
      <c r="AD340" s="826">
        <f t="shared" si="271"/>
        <v>51087.028808271949</v>
      </c>
      <c r="AE340" s="826">
        <f t="shared" si="271"/>
        <v>96690.409152741282</v>
      </c>
      <c r="AF340" s="826">
        <f t="shared" si="271"/>
        <v>186128.38333325498</v>
      </c>
      <c r="AG340" s="826">
        <f t="shared" si="271"/>
        <v>189774.72498510519</v>
      </c>
      <c r="AH340" s="826">
        <f t="shared" si="271"/>
        <v>191077.87392284846</v>
      </c>
      <c r="AI340" s="826">
        <f t="shared" si="271"/>
        <v>424631.52148606483</v>
      </c>
      <c r="AJ340" s="826">
        <f t="shared" si="271"/>
        <v>427220.46900700842</v>
      </c>
      <c r="AK340" s="826">
        <f t="shared" si="271"/>
        <v>-6438710.688185419</v>
      </c>
      <c r="AL340" s="826">
        <f t="shared" si="271"/>
        <v>14315530.3242827</v>
      </c>
      <c r="AM340" s="826">
        <f t="shared" si="271"/>
        <v>205293.34606116661</v>
      </c>
      <c r="AN340" s="826">
        <f t="shared" si="271"/>
        <v>207793.40423970085</v>
      </c>
      <c r="AO340" s="826">
        <f t="shared" si="271"/>
        <v>210260.10262606523</v>
      </c>
      <c r="AP340" s="826">
        <f t="shared" si="271"/>
        <v>211885.65974115423</v>
      </c>
      <c r="AQ340" s="826">
        <f t="shared" si="271"/>
        <v>215188.01193420406</v>
      </c>
      <c r="AR340" s="826">
        <f t="shared" si="271"/>
        <v>218012.9416200624</v>
      </c>
      <c r="AS340" s="826">
        <f t="shared" si="271"/>
        <v>213181.07686987985</v>
      </c>
      <c r="AT340" s="826">
        <f t="shared" si="271"/>
        <v>214770.00861920218</v>
      </c>
      <c r="AU340" s="826">
        <f t="shared" si="271"/>
        <v>216264.46058470523</v>
      </c>
      <c r="AV340" s="826">
        <f t="shared" si="271"/>
        <v>218515.59404432448</v>
      </c>
      <c r="AW340" s="826">
        <f t="shared" si="271"/>
        <v>220675.94358853242</v>
      </c>
      <c r="AX340" s="826">
        <f t="shared" si="271"/>
        <v>222710.56184153532</v>
      </c>
      <c r="AY340" s="826">
        <f t="shared" si="271"/>
        <v>224665.72728851769</v>
      </c>
      <c r="AZ340" s="826">
        <f t="shared" si="271"/>
        <v>226548.52262565284</v>
      </c>
      <c r="BA340" s="826">
        <f t="shared" si="271"/>
        <v>228304.85297686295</v>
      </c>
      <c r="BB340" s="826">
        <f t="shared" si="271"/>
        <v>229344.9930368007</v>
      </c>
      <c r="BC340" s="826">
        <f t="shared" si="271"/>
        <v>231542.10904179295</v>
      </c>
      <c r="BD340" s="826">
        <f t="shared" si="271"/>
        <v>233317.7080138704</v>
      </c>
      <c r="BE340" s="826">
        <f t="shared" si="271"/>
        <v>229013.16839337221</v>
      </c>
      <c r="BF340" s="826">
        <f t="shared" si="271"/>
        <v>229911.66091752306</v>
      </c>
      <c r="BG340" s="826">
        <f t="shared" si="271"/>
        <v>230813.78680437503</v>
      </c>
      <c r="BH340" s="826">
        <f t="shared" si="271"/>
        <v>232345.63973502186</v>
      </c>
      <c r="BI340" s="826">
        <f t="shared" si="271"/>
        <v>233902.4265315792</v>
      </c>
      <c r="BJ340" s="826">
        <f t="shared" si="271"/>
        <v>235545.94755839423</v>
      </c>
      <c r="BK340" s="826">
        <f t="shared" si="271"/>
        <v>237262.50476525677</v>
      </c>
      <c r="BL340" s="826">
        <f t="shared" si="271"/>
        <v>238991.57351446556</v>
      </c>
      <c r="BM340" s="826">
        <f t="shared" si="271"/>
        <v>240811.21361387809</v>
      </c>
      <c r="BN340" s="826">
        <f t="shared" si="271"/>
        <v>242002.34658988175</v>
      </c>
      <c r="BO340" s="826">
        <f t="shared" si="271"/>
        <v>244627.30669974274</v>
      </c>
      <c r="BP340" s="826">
        <f t="shared" si="271"/>
        <v>246922.0418636211</v>
      </c>
      <c r="BQ340" s="826">
        <f t="shared" ref="BQ340:DU340" si="272">SUM(BQ337:BQ339)</f>
        <v>242733.25370419392</v>
      </c>
      <c r="BR340" s="826">
        <f t="shared" si="272"/>
        <v>244033.96696505454</v>
      </c>
      <c r="BS340" s="826">
        <f t="shared" si="272"/>
        <v>245313.14997026659</v>
      </c>
      <c r="BT340" s="826">
        <f t="shared" si="272"/>
        <v>247377.11673495109</v>
      </c>
      <c r="BU340" s="826">
        <f t="shared" si="272"/>
        <v>249414.97281073497</v>
      </c>
      <c r="BV340" s="826">
        <f t="shared" si="272"/>
        <v>251479.3205969065</v>
      </c>
      <c r="BW340" s="826">
        <f t="shared" si="272"/>
        <v>253576.88775609701</v>
      </c>
      <c r="BX340" s="826">
        <f t="shared" si="272"/>
        <v>255660.88139998799</v>
      </c>
      <c r="BY340" s="826">
        <f t="shared" si="272"/>
        <v>257780.55934433491</v>
      </c>
      <c r="BZ340" s="826">
        <f t="shared" si="272"/>
        <v>259130.53765731424</v>
      </c>
      <c r="CA340" s="826">
        <f t="shared" si="272"/>
        <v>262044.06866613019</v>
      </c>
      <c r="CB340" s="826">
        <f t="shared" si="272"/>
        <v>264568.88723862561</v>
      </c>
      <c r="CC340" s="826">
        <f t="shared" si="272"/>
        <v>260334.62676779419</v>
      </c>
      <c r="CD340" s="826">
        <f t="shared" si="272"/>
        <v>261766.27506953065</v>
      </c>
      <c r="CE340" s="826">
        <f t="shared" si="272"/>
        <v>263169.39895795332</v>
      </c>
      <c r="CF340" s="826">
        <f t="shared" si="272"/>
        <v>265374.12330500968</v>
      </c>
      <c r="CG340" s="826">
        <f t="shared" si="272"/>
        <v>267569.84631198365</v>
      </c>
      <c r="CH340" s="826">
        <f t="shared" si="272"/>
        <v>269785.75663471175</v>
      </c>
      <c r="CI340" s="826">
        <f t="shared" si="272"/>
        <v>271981.27502716507</v>
      </c>
      <c r="CJ340" s="826">
        <f t="shared" si="272"/>
        <v>274209.9614994725</v>
      </c>
      <c r="CK340" s="826">
        <f t="shared" si="272"/>
        <v>276471.37765448482</v>
      </c>
      <c r="CL340" s="826">
        <f t="shared" si="272"/>
        <v>277910.21305872517</v>
      </c>
      <c r="CM340" s="826">
        <f t="shared" si="272"/>
        <v>280971.24051798158</v>
      </c>
      <c r="CN340" s="826">
        <f t="shared" si="272"/>
        <v>283611.40197433194</v>
      </c>
      <c r="CO340" s="826">
        <f t="shared" si="272"/>
        <v>279273.11677509604</v>
      </c>
      <c r="CP340" s="826">
        <f t="shared" si="272"/>
        <v>280770.93938649778</v>
      </c>
      <c r="CQ340" s="826">
        <f t="shared" si="272"/>
        <v>282239.46279127692</v>
      </c>
      <c r="CR340" s="826">
        <f t="shared" si="272"/>
        <v>284516.27143163967</v>
      </c>
      <c r="CS340" s="826">
        <f t="shared" si="272"/>
        <v>286814.10642290174</v>
      </c>
      <c r="CT340" s="826">
        <f t="shared" si="272"/>
        <v>289146.38855799765</v>
      </c>
      <c r="CU340" s="826">
        <f t="shared" si="272"/>
        <v>291451.51423692808</v>
      </c>
      <c r="CV340" s="826">
        <f t="shared" si="272"/>
        <v>293779.70006957493</v>
      </c>
      <c r="CW340" s="826">
        <f t="shared" si="272"/>
        <v>66877360.787071258</v>
      </c>
      <c r="CX340" s="826">
        <f t="shared" si="272"/>
        <v>0</v>
      </c>
      <c r="CY340" s="826">
        <f t="shared" si="272"/>
        <v>0</v>
      </c>
      <c r="CZ340" s="826">
        <f t="shared" si="272"/>
        <v>0</v>
      </c>
      <c r="DA340" s="826">
        <f t="shared" si="272"/>
        <v>0</v>
      </c>
      <c r="DB340" s="826">
        <f t="shared" si="272"/>
        <v>0</v>
      </c>
      <c r="DC340" s="826">
        <f t="shared" si="272"/>
        <v>0</v>
      </c>
      <c r="DD340" s="826">
        <f t="shared" si="272"/>
        <v>0</v>
      </c>
      <c r="DE340" s="826">
        <f t="shared" si="272"/>
        <v>0</v>
      </c>
      <c r="DF340" s="826">
        <f t="shared" si="272"/>
        <v>0</v>
      </c>
      <c r="DG340" s="826">
        <f t="shared" si="272"/>
        <v>0</v>
      </c>
      <c r="DH340" s="826">
        <f t="shared" si="272"/>
        <v>0</v>
      </c>
      <c r="DI340" s="826">
        <f t="shared" si="272"/>
        <v>0</v>
      </c>
      <c r="DJ340" s="826">
        <f t="shared" si="272"/>
        <v>0</v>
      </c>
      <c r="DK340" s="826">
        <f t="shared" si="272"/>
        <v>0</v>
      </c>
      <c r="DL340" s="826">
        <f t="shared" si="272"/>
        <v>0</v>
      </c>
      <c r="DM340" s="826">
        <f t="shared" si="272"/>
        <v>0</v>
      </c>
      <c r="DN340" s="826">
        <f t="shared" si="272"/>
        <v>0</v>
      </c>
      <c r="DO340" s="826">
        <f t="shared" si="272"/>
        <v>0</v>
      </c>
      <c r="DP340" s="826">
        <f t="shared" si="272"/>
        <v>0</v>
      </c>
      <c r="DQ340" s="826">
        <f t="shared" si="272"/>
        <v>0</v>
      </c>
      <c r="DR340" s="826">
        <f t="shared" si="272"/>
        <v>0</v>
      </c>
      <c r="DS340" s="826">
        <f t="shared" si="272"/>
        <v>0</v>
      </c>
      <c r="DT340" s="826">
        <f t="shared" si="272"/>
        <v>0</v>
      </c>
      <c r="DU340" s="826">
        <f t="shared" si="272"/>
        <v>0</v>
      </c>
      <c r="DV340" s="798"/>
      <c r="DW340" s="798"/>
      <c r="DX340" s="798"/>
      <c r="DY340" s="798"/>
      <c r="DZ340" s="798"/>
      <c r="EA340" s="798"/>
      <c r="EB340" s="798"/>
      <c r="EC340" s="798"/>
      <c r="ED340" s="798"/>
      <c r="EE340" s="798"/>
      <c r="EF340" s="798"/>
      <c r="EG340" s="798"/>
      <c r="EH340" s="782"/>
    </row>
    <row r="341" spans="1:138" ht="12.75" customHeight="1" thickBot="1" x14ac:dyDescent="0.35">
      <c r="A341" s="782"/>
      <c r="B341" s="827" t="s">
        <v>186</v>
      </c>
      <c r="C341" s="1377">
        <f>+XIRR(E340:DU340,E4:DU4)</f>
        <v>0.15838249325752266</v>
      </c>
      <c r="D341" s="782"/>
      <c r="E341" s="782"/>
      <c r="F341" s="782"/>
      <c r="G341" s="782"/>
      <c r="H341" s="782"/>
      <c r="I341" s="782"/>
      <c r="J341" s="782"/>
      <c r="K341" s="782"/>
      <c r="L341" s="782"/>
      <c r="M341" s="782"/>
      <c r="N341" s="782"/>
      <c r="O341" s="782"/>
      <c r="P341" s="782"/>
      <c r="Q341" s="782"/>
      <c r="R341" s="782"/>
      <c r="S341" s="782"/>
      <c r="T341" s="782"/>
      <c r="U341" s="782"/>
      <c r="V341" s="782"/>
      <c r="W341" s="782"/>
      <c r="X341" s="782"/>
      <c r="Y341" s="782"/>
      <c r="Z341" s="782"/>
      <c r="AA341" s="782"/>
      <c r="AB341" s="782"/>
      <c r="AC341" s="782"/>
      <c r="AD341" s="782"/>
      <c r="AE341" s="782"/>
      <c r="AF341" s="782"/>
      <c r="AG341" s="782"/>
      <c r="AH341" s="782"/>
      <c r="AI341" s="782"/>
      <c r="AJ341" s="782"/>
      <c r="AK341" s="782"/>
      <c r="AL341" s="782"/>
      <c r="AM341" s="782"/>
      <c r="AN341" s="782"/>
      <c r="AO341" s="782"/>
      <c r="AP341" s="782"/>
      <c r="AQ341" s="782"/>
      <c r="AR341" s="782"/>
      <c r="AS341" s="782"/>
      <c r="AT341" s="782"/>
      <c r="AU341" s="782"/>
      <c r="AV341" s="782"/>
      <c r="AW341" s="782"/>
      <c r="AX341" s="782"/>
      <c r="AY341" s="782"/>
      <c r="AZ341" s="782"/>
      <c r="BA341" s="782"/>
      <c r="BB341" s="782"/>
      <c r="BC341" s="782"/>
      <c r="BD341" s="782"/>
      <c r="BE341" s="782"/>
      <c r="BF341" s="782"/>
      <c r="BG341" s="782"/>
      <c r="BH341" s="782"/>
      <c r="BI341" s="782"/>
      <c r="BJ341" s="782"/>
      <c r="BK341" s="782"/>
      <c r="BL341" s="782"/>
      <c r="BM341" s="782"/>
      <c r="BN341" s="782"/>
      <c r="BO341" s="782"/>
      <c r="BP341" s="782"/>
      <c r="BQ341" s="782"/>
      <c r="BR341" s="782"/>
      <c r="BS341" s="782"/>
      <c r="BT341" s="782"/>
      <c r="BU341" s="782"/>
      <c r="BV341" s="782"/>
      <c r="BW341" s="782"/>
      <c r="BX341" s="782"/>
      <c r="BY341" s="782"/>
      <c r="BZ341" s="782"/>
      <c r="CA341" s="782"/>
      <c r="CB341" s="782"/>
      <c r="CC341" s="782"/>
      <c r="CD341" s="782"/>
      <c r="CE341" s="782"/>
      <c r="CF341" s="782"/>
      <c r="CG341" s="782"/>
      <c r="CH341" s="782"/>
      <c r="CI341" s="782"/>
      <c r="CJ341" s="782"/>
      <c r="CK341" s="782"/>
      <c r="CL341" s="782"/>
      <c r="CM341" s="782"/>
      <c r="CN341" s="782"/>
      <c r="CO341" s="782"/>
      <c r="CP341" s="782"/>
      <c r="CQ341" s="782"/>
      <c r="CR341" s="782"/>
      <c r="CS341" s="782"/>
      <c r="CT341" s="782"/>
      <c r="CU341" s="782"/>
      <c r="CV341" s="782"/>
      <c r="CW341" s="782"/>
      <c r="CX341" s="782"/>
      <c r="CY341" s="782"/>
      <c r="CZ341" s="782"/>
      <c r="DA341" s="782"/>
      <c r="DB341" s="782"/>
      <c r="DC341" s="782"/>
      <c r="DD341" s="782"/>
      <c r="DE341" s="782"/>
      <c r="DF341" s="782"/>
      <c r="DG341" s="782"/>
      <c r="DH341" s="782"/>
      <c r="DI341" s="782"/>
      <c r="DJ341" s="782"/>
      <c r="DK341" s="782"/>
      <c r="DL341" s="782"/>
      <c r="DM341" s="782"/>
      <c r="DN341" s="782"/>
      <c r="DO341" s="782"/>
      <c r="DP341" s="782"/>
      <c r="DQ341" s="782"/>
      <c r="DR341" s="782"/>
      <c r="DS341" s="782"/>
      <c r="DT341" s="782"/>
      <c r="DU341" s="782"/>
      <c r="DV341" s="798"/>
      <c r="DW341" s="798"/>
      <c r="DX341" s="798"/>
      <c r="DY341" s="798"/>
      <c r="DZ341" s="798"/>
      <c r="EA341" s="798"/>
      <c r="EB341" s="798"/>
      <c r="EC341" s="798"/>
      <c r="ED341" s="798"/>
      <c r="EE341" s="798"/>
      <c r="EF341" s="798"/>
      <c r="EG341" s="798"/>
      <c r="EH341" s="782"/>
    </row>
    <row r="342" spans="1:138" ht="12.75" customHeight="1" x14ac:dyDescent="0.3">
      <c r="A342" s="782"/>
      <c r="B342" s="782"/>
      <c r="C342" s="832">
        <f>SUMIF($E$340:$EG$340,"&gt;0")/-SUMIF($E$340:$EG$340,"&lt;0")</f>
        <v>2.3311944189841345</v>
      </c>
      <c r="D342" s="782"/>
      <c r="E342" s="798"/>
      <c r="F342" s="798"/>
      <c r="G342" s="798"/>
      <c r="H342" s="798"/>
      <c r="I342" s="798"/>
      <c r="J342" s="798"/>
      <c r="K342" s="798"/>
      <c r="L342" s="798"/>
      <c r="M342" s="798"/>
      <c r="N342" s="798"/>
      <c r="O342" s="798"/>
      <c r="P342" s="798"/>
      <c r="Q342" s="798"/>
      <c r="R342" s="798"/>
      <c r="S342" s="798"/>
      <c r="T342" s="798"/>
      <c r="U342" s="798"/>
      <c r="V342" s="798"/>
      <c r="W342" s="798"/>
      <c r="X342" s="798"/>
      <c r="Y342" s="798"/>
      <c r="Z342" s="798"/>
      <c r="AA342" s="798"/>
      <c r="AB342" s="798"/>
      <c r="AC342" s="798"/>
      <c r="AD342" s="798"/>
      <c r="AE342" s="798"/>
      <c r="AF342" s="798"/>
      <c r="AG342" s="798"/>
      <c r="AH342" s="798"/>
      <c r="AI342" s="798"/>
      <c r="AJ342" s="798"/>
      <c r="AK342" s="798"/>
      <c r="AL342" s="798"/>
      <c r="AM342" s="798"/>
      <c r="AN342" s="798"/>
      <c r="AO342" s="798"/>
      <c r="AP342" s="798"/>
      <c r="AQ342" s="798"/>
      <c r="AR342" s="798"/>
      <c r="AS342" s="798"/>
      <c r="AT342" s="798"/>
      <c r="AU342" s="798"/>
      <c r="AV342" s="798"/>
      <c r="AW342" s="798"/>
      <c r="AX342" s="798"/>
      <c r="AY342" s="798"/>
      <c r="AZ342" s="798"/>
      <c r="BA342" s="798"/>
      <c r="BB342" s="798"/>
      <c r="BC342" s="798"/>
      <c r="BD342" s="798"/>
      <c r="BE342" s="798"/>
      <c r="BF342" s="798"/>
      <c r="BG342" s="798"/>
      <c r="BH342" s="798"/>
      <c r="BI342" s="798"/>
      <c r="BJ342" s="798"/>
      <c r="BK342" s="798"/>
      <c r="BL342" s="798"/>
      <c r="BM342" s="798"/>
      <c r="BN342" s="798"/>
      <c r="BO342" s="798"/>
      <c r="BP342" s="798"/>
      <c r="BQ342" s="798"/>
      <c r="BR342" s="798"/>
      <c r="BS342" s="798"/>
      <c r="BT342" s="798"/>
      <c r="BU342" s="798"/>
      <c r="BV342" s="798"/>
      <c r="BW342" s="798"/>
      <c r="BX342" s="798"/>
      <c r="BY342" s="798"/>
      <c r="BZ342" s="798"/>
      <c r="CA342" s="798"/>
      <c r="CB342" s="798"/>
      <c r="CC342" s="798"/>
      <c r="CD342" s="798"/>
      <c r="CE342" s="798"/>
      <c r="CF342" s="798"/>
      <c r="CG342" s="798"/>
      <c r="CH342" s="798"/>
      <c r="CI342" s="798"/>
      <c r="CJ342" s="798"/>
      <c r="CK342" s="798"/>
      <c r="CL342" s="798"/>
      <c r="CM342" s="798"/>
      <c r="CN342" s="798"/>
      <c r="CO342" s="798"/>
      <c r="CP342" s="798"/>
      <c r="CQ342" s="798"/>
      <c r="CR342" s="798"/>
      <c r="CS342" s="798"/>
      <c r="CT342" s="798"/>
      <c r="CU342" s="798"/>
      <c r="CV342" s="798"/>
      <c r="CW342" s="798"/>
      <c r="CX342" s="798"/>
      <c r="CY342" s="798"/>
      <c r="CZ342" s="798"/>
      <c r="DA342" s="798"/>
      <c r="DB342" s="798"/>
      <c r="DC342" s="798"/>
      <c r="DD342" s="798"/>
      <c r="DE342" s="798"/>
      <c r="DF342" s="798"/>
      <c r="DG342" s="798"/>
      <c r="DH342" s="798"/>
      <c r="DI342" s="798"/>
      <c r="DJ342" s="798"/>
      <c r="DK342" s="798"/>
      <c r="DL342" s="798"/>
      <c r="DM342" s="798"/>
      <c r="DN342" s="798"/>
      <c r="DO342" s="798"/>
      <c r="DP342" s="798"/>
      <c r="DQ342" s="798"/>
      <c r="DR342" s="798"/>
      <c r="DS342" s="798"/>
      <c r="DT342" s="798"/>
      <c r="DU342" s="798"/>
      <c r="DV342" s="798"/>
      <c r="DW342" s="798"/>
      <c r="DX342" s="798"/>
      <c r="DY342" s="798"/>
      <c r="DZ342" s="798"/>
      <c r="EA342" s="798"/>
      <c r="EB342" s="798"/>
      <c r="EC342" s="798"/>
      <c r="ED342" s="798"/>
      <c r="EE342" s="798"/>
      <c r="EF342" s="798"/>
      <c r="EG342" s="798"/>
      <c r="EH342" s="782"/>
    </row>
    <row r="343" spans="1:138" ht="12.75" customHeight="1" x14ac:dyDescent="0.3">
      <c r="A343" s="782"/>
      <c r="B343" s="787" t="s">
        <v>187</v>
      </c>
      <c r="C343" s="786"/>
      <c r="D343" s="786"/>
      <c r="E343" s="786"/>
      <c r="F343" s="786"/>
      <c r="G343" s="786"/>
      <c r="H343" s="786"/>
      <c r="I343" s="786"/>
      <c r="J343" s="786"/>
      <c r="K343" s="786"/>
      <c r="L343" s="786"/>
      <c r="M343" s="786"/>
      <c r="N343" s="786"/>
      <c r="O343" s="786"/>
      <c r="P343" s="786"/>
      <c r="Q343" s="786"/>
      <c r="R343" s="786"/>
      <c r="S343" s="786"/>
      <c r="T343" s="786"/>
      <c r="U343" s="786"/>
      <c r="V343" s="786"/>
      <c r="W343" s="786"/>
      <c r="X343" s="786"/>
      <c r="Y343" s="786"/>
      <c r="Z343" s="786"/>
      <c r="AA343" s="786"/>
      <c r="AB343" s="786"/>
      <c r="AC343" s="786"/>
      <c r="AD343" s="786"/>
      <c r="AE343" s="786"/>
      <c r="AF343" s="786"/>
      <c r="AG343" s="786"/>
      <c r="AH343" s="786"/>
      <c r="AI343" s="786"/>
      <c r="AJ343" s="786"/>
      <c r="AK343" s="786"/>
      <c r="AL343" s="786"/>
      <c r="AM343" s="786"/>
      <c r="AN343" s="786"/>
      <c r="AO343" s="786"/>
      <c r="AP343" s="786"/>
      <c r="AQ343" s="786"/>
      <c r="AR343" s="786"/>
      <c r="AS343" s="786"/>
      <c r="AT343" s="786"/>
      <c r="AU343" s="786"/>
      <c r="AV343" s="786"/>
      <c r="AW343" s="786"/>
      <c r="AX343" s="786"/>
      <c r="AY343" s="786"/>
      <c r="AZ343" s="786"/>
      <c r="BA343" s="786"/>
      <c r="BB343" s="786"/>
      <c r="BC343" s="786"/>
      <c r="BD343" s="786"/>
      <c r="BE343" s="786"/>
      <c r="BF343" s="786"/>
      <c r="BG343" s="786"/>
      <c r="BH343" s="786"/>
      <c r="BI343" s="786"/>
      <c r="BJ343" s="786"/>
      <c r="BK343" s="786"/>
      <c r="BL343" s="786"/>
      <c r="BM343" s="786"/>
      <c r="BN343" s="786"/>
      <c r="BO343" s="786"/>
      <c r="BP343" s="786"/>
      <c r="BQ343" s="786"/>
      <c r="BR343" s="786"/>
      <c r="BS343" s="786"/>
      <c r="BT343" s="786"/>
      <c r="BU343" s="786"/>
      <c r="BV343" s="786"/>
      <c r="BW343" s="786"/>
      <c r="BX343" s="786"/>
      <c r="BY343" s="786"/>
      <c r="BZ343" s="786"/>
      <c r="CA343" s="786"/>
      <c r="CB343" s="786"/>
      <c r="CC343" s="786"/>
      <c r="CD343" s="786"/>
      <c r="CE343" s="786"/>
      <c r="CF343" s="786"/>
      <c r="CG343" s="786"/>
      <c r="CH343" s="786"/>
      <c r="CI343" s="786"/>
      <c r="CJ343" s="786"/>
      <c r="CK343" s="786"/>
      <c r="CL343" s="786"/>
      <c r="CM343" s="786"/>
      <c r="CN343" s="786"/>
      <c r="CO343" s="786"/>
      <c r="CP343" s="786"/>
      <c r="CQ343" s="786"/>
      <c r="CR343" s="786"/>
      <c r="CS343" s="786"/>
      <c r="CT343" s="786"/>
      <c r="CU343" s="786"/>
      <c r="CV343" s="786"/>
      <c r="CW343" s="786"/>
      <c r="CX343" s="786"/>
      <c r="CY343" s="786"/>
      <c r="CZ343" s="786"/>
      <c r="DA343" s="786"/>
      <c r="DB343" s="786"/>
      <c r="DC343" s="786"/>
      <c r="DD343" s="786"/>
      <c r="DE343" s="786"/>
      <c r="DF343" s="786"/>
      <c r="DG343" s="786"/>
      <c r="DH343" s="786"/>
      <c r="DI343" s="786"/>
      <c r="DJ343" s="786"/>
      <c r="DK343" s="786"/>
      <c r="DL343" s="786"/>
      <c r="DM343" s="786"/>
      <c r="DN343" s="786"/>
      <c r="DO343" s="786"/>
      <c r="DP343" s="786"/>
      <c r="DQ343" s="786"/>
      <c r="DR343" s="786"/>
      <c r="DS343" s="786"/>
      <c r="DT343" s="786"/>
      <c r="DU343" s="786"/>
      <c r="DV343" s="786"/>
      <c r="DW343" s="786"/>
      <c r="DX343" s="786"/>
      <c r="DY343" s="786"/>
      <c r="DZ343" s="786"/>
      <c r="EA343" s="786"/>
      <c r="EB343" s="786"/>
      <c r="EC343" s="786"/>
      <c r="ED343" s="786"/>
      <c r="EE343" s="786"/>
      <c r="EF343" s="786"/>
      <c r="EG343" s="786"/>
      <c r="EH343" s="786"/>
    </row>
    <row r="344" spans="1:138" ht="12.75" customHeight="1" x14ac:dyDescent="0.3">
      <c r="A344" s="782"/>
      <c r="B344" s="782"/>
      <c r="C344" s="798"/>
      <c r="D344" s="782"/>
      <c r="E344" s="798"/>
      <c r="F344" s="798"/>
      <c r="G344" s="798"/>
      <c r="H344" s="798"/>
      <c r="I344" s="798"/>
      <c r="J344" s="798"/>
      <c r="K344" s="798"/>
      <c r="L344" s="798"/>
      <c r="M344" s="798"/>
      <c r="N344" s="798"/>
      <c r="O344" s="798"/>
      <c r="P344" s="798"/>
      <c r="Q344" s="798"/>
      <c r="R344" s="798"/>
      <c r="S344" s="798"/>
      <c r="T344" s="798"/>
      <c r="U344" s="798"/>
      <c r="V344" s="798"/>
      <c r="W344" s="798"/>
      <c r="X344" s="798"/>
      <c r="Y344" s="798"/>
      <c r="Z344" s="798"/>
      <c r="AA344" s="798"/>
      <c r="AB344" s="798"/>
      <c r="AC344" s="798"/>
      <c r="AD344" s="798"/>
      <c r="AE344" s="798"/>
      <c r="AF344" s="798"/>
      <c r="AG344" s="798"/>
      <c r="AH344" s="798"/>
      <c r="AI344" s="798"/>
      <c r="AJ344" s="798"/>
      <c r="AK344" s="798"/>
      <c r="AL344" s="798"/>
      <c r="AM344" s="798"/>
      <c r="AN344" s="798"/>
      <c r="AO344" s="798"/>
      <c r="AP344" s="798"/>
      <c r="AQ344" s="798"/>
      <c r="AR344" s="798"/>
      <c r="AS344" s="798"/>
      <c r="AT344" s="798"/>
      <c r="AU344" s="798"/>
      <c r="AV344" s="798"/>
      <c r="AW344" s="798"/>
      <c r="AX344" s="798"/>
      <c r="AY344" s="798"/>
      <c r="AZ344" s="798"/>
      <c r="BA344" s="798"/>
      <c r="BB344" s="798"/>
      <c r="BC344" s="798"/>
      <c r="BD344" s="798"/>
      <c r="BE344" s="798"/>
      <c r="BF344" s="798"/>
      <c r="BG344" s="798"/>
      <c r="BH344" s="798"/>
      <c r="BI344" s="798"/>
      <c r="BJ344" s="798"/>
      <c r="BK344" s="798"/>
      <c r="BL344" s="798"/>
      <c r="BM344" s="798"/>
      <c r="BN344" s="798"/>
      <c r="BO344" s="798"/>
      <c r="BP344" s="798"/>
      <c r="BQ344" s="798"/>
      <c r="BR344" s="798"/>
      <c r="BS344" s="798"/>
      <c r="BT344" s="798"/>
      <c r="BU344" s="798"/>
      <c r="BV344" s="798"/>
      <c r="BW344" s="798"/>
      <c r="BX344" s="798"/>
      <c r="BY344" s="798"/>
      <c r="BZ344" s="798"/>
      <c r="CA344" s="798"/>
      <c r="CB344" s="798"/>
      <c r="CC344" s="798"/>
      <c r="CD344" s="798"/>
      <c r="CE344" s="798"/>
      <c r="CF344" s="798"/>
      <c r="CG344" s="798"/>
      <c r="CH344" s="798"/>
      <c r="CI344" s="798"/>
      <c r="CJ344" s="798"/>
      <c r="CK344" s="798"/>
      <c r="CL344" s="798"/>
      <c r="CM344" s="798"/>
      <c r="CN344" s="798"/>
      <c r="CO344" s="798"/>
      <c r="CP344" s="798"/>
      <c r="CQ344" s="798"/>
      <c r="CR344" s="798"/>
      <c r="CS344" s="798"/>
      <c r="CT344" s="798"/>
      <c r="CU344" s="798"/>
      <c r="CV344" s="798"/>
      <c r="CW344" s="798"/>
      <c r="CX344" s="798"/>
      <c r="CY344" s="798"/>
      <c r="CZ344" s="798"/>
      <c r="DA344" s="798"/>
      <c r="DB344" s="798"/>
      <c r="DC344" s="798"/>
      <c r="DD344" s="798"/>
      <c r="DE344" s="798"/>
      <c r="DF344" s="798"/>
      <c r="DG344" s="798"/>
      <c r="DH344" s="798"/>
      <c r="DI344" s="798"/>
      <c r="DJ344" s="798"/>
      <c r="DK344" s="798"/>
      <c r="DL344" s="798"/>
      <c r="DM344" s="798"/>
      <c r="DN344" s="798"/>
      <c r="DO344" s="798"/>
      <c r="DP344" s="798"/>
      <c r="DQ344" s="798"/>
      <c r="DR344" s="798"/>
      <c r="DS344" s="798"/>
      <c r="DT344" s="798"/>
      <c r="DU344" s="798"/>
      <c r="DV344" s="798"/>
      <c r="DW344" s="798"/>
      <c r="DX344" s="798"/>
      <c r="DY344" s="798"/>
      <c r="DZ344" s="798"/>
      <c r="EA344" s="798"/>
      <c r="EB344" s="798"/>
      <c r="EC344" s="798"/>
      <c r="ED344" s="798"/>
      <c r="EE344" s="798"/>
      <c r="EF344" s="798"/>
      <c r="EG344" s="798"/>
      <c r="EH344" s="782"/>
    </row>
    <row r="345" spans="1:138" ht="12.75" customHeight="1" x14ac:dyDescent="0.3">
      <c r="A345" s="782"/>
      <c r="B345" s="782" t="s">
        <v>188</v>
      </c>
      <c r="C345" s="798">
        <f>SUM(E345:EG345)</f>
        <v>71665919.417095348</v>
      </c>
      <c r="D345" s="782"/>
      <c r="E345" s="798">
        <f>E34</f>
        <v>-1943435.5218400576</v>
      </c>
      <c r="F345" s="798">
        <f t="shared" ref="F345:BQ345" si="273">F34</f>
        <v>-15208023.650356924</v>
      </c>
      <c r="G345" s="798">
        <f t="shared" si="273"/>
        <v>-485842.87663322879</v>
      </c>
      <c r="H345" s="798">
        <f t="shared" si="273"/>
        <v>-733351.38083719497</v>
      </c>
      <c r="I345" s="798">
        <f t="shared" si="273"/>
        <v>-1239684.7593366946</v>
      </c>
      <c r="J345" s="798">
        <f t="shared" si="273"/>
        <v>-2017778.4195767127</v>
      </c>
      <c r="K345" s="798">
        <f t="shared" si="273"/>
        <v>-2076610.6161474148</v>
      </c>
      <c r="L345" s="798">
        <f t="shared" si="273"/>
        <v>-2643889.4279506723</v>
      </c>
      <c r="M345" s="798">
        <f t="shared" si="273"/>
        <v>-3134644.7085792772</v>
      </c>
      <c r="N345" s="798">
        <f t="shared" si="273"/>
        <v>-3667977.9572392926</v>
      </c>
      <c r="O345" s="798">
        <f t="shared" si="273"/>
        <v>-2085353.5402737891</v>
      </c>
      <c r="P345" s="798">
        <f t="shared" si="273"/>
        <v>-8333.3338084043935</v>
      </c>
      <c r="Q345" s="798">
        <f t="shared" si="273"/>
        <v>-8333.3335142051801</v>
      </c>
      <c r="R345" s="798">
        <f t="shared" si="273"/>
        <v>-8333.3335896586068</v>
      </c>
      <c r="S345" s="798">
        <f t="shared" si="273"/>
        <v>-8333.3331449902616</v>
      </c>
      <c r="T345" s="798">
        <f t="shared" si="273"/>
        <v>-8333.333433994092</v>
      </c>
      <c r="U345" s="798">
        <f t="shared" si="273"/>
        <v>-8333.3330018310808</v>
      </c>
      <c r="V345" s="798">
        <f t="shared" si="273"/>
        <v>-8333.333479241468</v>
      </c>
      <c r="W345" s="798">
        <f t="shared" si="273"/>
        <v>-8333.3335338355973</v>
      </c>
      <c r="X345" s="798">
        <f t="shared" si="273"/>
        <v>-8333.333179035224</v>
      </c>
      <c r="Y345" s="798">
        <f t="shared" si="273"/>
        <v>-8333.3335785353556</v>
      </c>
      <c r="Z345" s="798">
        <f t="shared" si="273"/>
        <v>-8333.3329179377761</v>
      </c>
      <c r="AA345" s="798">
        <f t="shared" si="273"/>
        <v>-8333.3335947582964</v>
      </c>
      <c r="AB345" s="798">
        <f t="shared" si="273"/>
        <v>-8333.3332643925678</v>
      </c>
      <c r="AC345" s="798">
        <f t="shared" si="273"/>
        <v>35779.695912457653</v>
      </c>
      <c r="AD345" s="798">
        <f t="shared" si="273"/>
        <v>75997.088835688541</v>
      </c>
      <c r="AE345" s="798">
        <f t="shared" si="273"/>
        <v>121790.92977523434</v>
      </c>
      <c r="AF345" s="798">
        <f t="shared" si="273"/>
        <v>211228.90395574804</v>
      </c>
      <c r="AG345" s="798">
        <f t="shared" si="273"/>
        <v>214875.24560759825</v>
      </c>
      <c r="AH345" s="798">
        <f t="shared" si="273"/>
        <v>216178.39454534152</v>
      </c>
      <c r="AI345" s="798">
        <f t="shared" si="273"/>
        <v>449732.04210855789</v>
      </c>
      <c r="AJ345" s="798">
        <f t="shared" si="273"/>
        <v>452320.98962950148</v>
      </c>
      <c r="AK345" s="798">
        <f t="shared" si="273"/>
        <v>455116.61410324048</v>
      </c>
      <c r="AL345" s="798">
        <f t="shared" si="273"/>
        <v>14350284.028469142</v>
      </c>
      <c r="AM345" s="798">
        <f t="shared" si="273"/>
        <v>240189.1734038596</v>
      </c>
      <c r="AN345" s="798">
        <f t="shared" si="273"/>
        <v>242828.62750555461</v>
      </c>
      <c r="AO345" s="798">
        <f t="shared" si="273"/>
        <v>245431.57100415012</v>
      </c>
      <c r="AP345" s="798">
        <f t="shared" si="273"/>
        <v>247189.79571464105</v>
      </c>
      <c r="AQ345" s="798">
        <f t="shared" si="273"/>
        <v>250622.15781345556</v>
      </c>
      <c r="AR345" s="798">
        <f t="shared" si="273"/>
        <v>253571.35546953481</v>
      </c>
      <c r="AS345" s="798">
        <f t="shared" si="273"/>
        <v>248858.44843962431</v>
      </c>
      <c r="AT345" s="798">
        <f t="shared" si="273"/>
        <v>250570.79090549052</v>
      </c>
      <c r="AU345" s="798">
        <f t="shared" si="273"/>
        <v>252185.76664132159</v>
      </c>
      <c r="AV345" s="798">
        <f t="shared" si="273"/>
        <v>254554.88956596749</v>
      </c>
      <c r="AW345" s="798">
        <f t="shared" si="273"/>
        <v>256829.93777900547</v>
      </c>
      <c r="AX345" s="798">
        <f t="shared" si="273"/>
        <v>258976.76576571475</v>
      </c>
      <c r="AY345" s="798">
        <f t="shared" si="273"/>
        <v>261042.46032288377</v>
      </c>
      <c r="AZ345" s="798">
        <f t="shared" si="273"/>
        <v>263034.91894811601</v>
      </c>
      <c r="BA345" s="798">
        <f t="shared" si="273"/>
        <v>264900.86809610092</v>
      </c>
      <c r="BB345" s="798">
        <f t="shared" si="273"/>
        <v>266051.41036132327</v>
      </c>
      <c r="BC345" s="798">
        <f t="shared" si="273"/>
        <v>268360.02148879576</v>
      </c>
      <c r="BD345" s="798">
        <f t="shared" si="273"/>
        <v>270250.00620863971</v>
      </c>
      <c r="BE345" s="798">
        <f t="shared" si="273"/>
        <v>266063.01724354795</v>
      </c>
      <c r="BF345" s="798">
        <f t="shared" si="273"/>
        <v>267079.67426825676</v>
      </c>
      <c r="BG345" s="798">
        <f t="shared" si="273"/>
        <v>268102.06947647233</v>
      </c>
      <c r="BH345" s="798">
        <f t="shared" si="273"/>
        <v>269756.18019295664</v>
      </c>
      <c r="BI345" s="798">
        <f t="shared" si="273"/>
        <v>271438.01027934882</v>
      </c>
      <c r="BJ345" s="798">
        <f t="shared" si="273"/>
        <v>273209.09551819746</v>
      </c>
      <c r="BK345" s="798">
        <f t="shared" si="273"/>
        <v>275055.47128138022</v>
      </c>
      <c r="BL345" s="798">
        <f t="shared" si="273"/>
        <v>276916.34434596577</v>
      </c>
      <c r="BM345" s="798">
        <f t="shared" si="273"/>
        <v>278869.50391600362</v>
      </c>
      <c r="BN345" s="798">
        <f t="shared" si="273"/>
        <v>280195.59888417867</v>
      </c>
      <c r="BO345" s="798">
        <f t="shared" si="273"/>
        <v>282956.31428539113</v>
      </c>
      <c r="BP345" s="798">
        <f t="shared" si="273"/>
        <v>285388.10116655775</v>
      </c>
      <c r="BQ345" s="798">
        <f t="shared" si="273"/>
        <v>281337.2806820501</v>
      </c>
      <c r="BR345" s="798">
        <f t="shared" ref="BR345:EC345" si="274">BR34</f>
        <v>282775.30197173124</v>
      </c>
      <c r="BS345" s="798">
        <f t="shared" si="274"/>
        <v>284192.21683526936</v>
      </c>
      <c r="BT345" s="798">
        <f t="shared" si="274"/>
        <v>286394.34044633817</v>
      </c>
      <c r="BU345" s="798">
        <f t="shared" si="274"/>
        <v>288570.97016190126</v>
      </c>
      <c r="BV345" s="798">
        <f t="shared" si="274"/>
        <v>290774.71086397325</v>
      </c>
      <c r="BW345" s="798">
        <f t="shared" si="274"/>
        <v>293012.29270802287</v>
      </c>
      <c r="BX345" s="798">
        <f t="shared" si="274"/>
        <v>295236.92530872161</v>
      </c>
      <c r="BY345" s="798">
        <f t="shared" si="274"/>
        <v>297497.86899500911</v>
      </c>
      <c r="BZ345" s="798">
        <f t="shared" si="274"/>
        <v>298989.74235848209</v>
      </c>
      <c r="CA345" s="798">
        <f t="shared" si="274"/>
        <v>302045.60482279921</v>
      </c>
      <c r="CB345" s="798">
        <f t="shared" si="274"/>
        <v>304713.58440411743</v>
      </c>
      <c r="CC345" s="798">
        <f t="shared" si="274"/>
        <v>300623.21251099475</v>
      </c>
      <c r="CD345" s="798">
        <f t="shared" si="274"/>
        <v>302198.06654965493</v>
      </c>
      <c r="CE345" s="798">
        <f t="shared" si="274"/>
        <v>303744.83737187018</v>
      </c>
      <c r="CF345" s="798">
        <f t="shared" si="274"/>
        <v>306093.65105576138</v>
      </c>
      <c r="CG345" s="798">
        <f t="shared" si="274"/>
        <v>308434.10571412987</v>
      </c>
      <c r="CH345" s="798">
        <f t="shared" si="274"/>
        <v>310795.39258912473</v>
      </c>
      <c r="CI345" s="798">
        <f t="shared" si="274"/>
        <v>313136.93503156491</v>
      </c>
      <c r="CJ345" s="798">
        <f t="shared" si="274"/>
        <v>315512.29565900529</v>
      </c>
      <c r="CK345" s="798">
        <f t="shared" si="274"/>
        <v>317921.03869234462</v>
      </c>
      <c r="CL345" s="798">
        <f t="shared" si="274"/>
        <v>319507.85632681928</v>
      </c>
      <c r="CM345" s="798">
        <f t="shared" si="274"/>
        <v>322717.32030934142</v>
      </c>
      <c r="CN345" s="798">
        <f t="shared" si="274"/>
        <v>325506.78234714759</v>
      </c>
      <c r="CO345" s="798">
        <f t="shared" si="274"/>
        <v>321318.55549089937</v>
      </c>
      <c r="CP345" s="798">
        <f t="shared" si="274"/>
        <v>322965.72914949519</v>
      </c>
      <c r="CQ345" s="798">
        <f t="shared" si="274"/>
        <v>324584.06288337999</v>
      </c>
      <c r="CR345" s="798">
        <f t="shared" si="274"/>
        <v>327011.14239052619</v>
      </c>
      <c r="CS345" s="798">
        <f t="shared" si="274"/>
        <v>329459.91714655224</v>
      </c>
      <c r="CT345" s="798">
        <f t="shared" si="274"/>
        <v>331943.81063862937</v>
      </c>
      <c r="CU345" s="798">
        <f t="shared" si="274"/>
        <v>334401.22197197197</v>
      </c>
      <c r="CV345" s="798">
        <f t="shared" si="274"/>
        <v>336882.37047269777</v>
      </c>
      <c r="CW345" s="798">
        <f t="shared" si="274"/>
        <v>72656764.186812162</v>
      </c>
      <c r="CX345" s="798">
        <f t="shared" si="274"/>
        <v>0</v>
      </c>
      <c r="CY345" s="798">
        <f t="shared" si="274"/>
        <v>0</v>
      </c>
      <c r="CZ345" s="798">
        <f t="shared" si="274"/>
        <v>0</v>
      </c>
      <c r="DA345" s="798">
        <f t="shared" si="274"/>
        <v>0</v>
      </c>
      <c r="DB345" s="798">
        <f t="shared" si="274"/>
        <v>0</v>
      </c>
      <c r="DC345" s="798">
        <f t="shared" si="274"/>
        <v>0</v>
      </c>
      <c r="DD345" s="798">
        <f t="shared" si="274"/>
        <v>0</v>
      </c>
      <c r="DE345" s="798">
        <f t="shared" si="274"/>
        <v>0</v>
      </c>
      <c r="DF345" s="798">
        <f t="shared" si="274"/>
        <v>0</v>
      </c>
      <c r="DG345" s="798">
        <f t="shared" si="274"/>
        <v>0</v>
      </c>
      <c r="DH345" s="798">
        <f t="shared" si="274"/>
        <v>0</v>
      </c>
      <c r="DI345" s="798">
        <f t="shared" si="274"/>
        <v>0</v>
      </c>
      <c r="DJ345" s="798">
        <f t="shared" si="274"/>
        <v>0</v>
      </c>
      <c r="DK345" s="798">
        <f t="shared" si="274"/>
        <v>0</v>
      </c>
      <c r="DL345" s="798">
        <f t="shared" si="274"/>
        <v>0</v>
      </c>
      <c r="DM345" s="798">
        <f t="shared" si="274"/>
        <v>0</v>
      </c>
      <c r="DN345" s="798">
        <f t="shared" si="274"/>
        <v>0</v>
      </c>
      <c r="DO345" s="798">
        <f t="shared" si="274"/>
        <v>0</v>
      </c>
      <c r="DP345" s="798">
        <f t="shared" si="274"/>
        <v>0</v>
      </c>
      <c r="DQ345" s="798">
        <f t="shared" si="274"/>
        <v>0</v>
      </c>
      <c r="DR345" s="798">
        <f t="shared" si="274"/>
        <v>0</v>
      </c>
      <c r="DS345" s="798">
        <f t="shared" si="274"/>
        <v>0</v>
      </c>
      <c r="DT345" s="798">
        <f t="shared" si="274"/>
        <v>0</v>
      </c>
      <c r="DU345" s="798">
        <f t="shared" si="274"/>
        <v>0</v>
      </c>
      <c r="DV345" s="798">
        <f t="shared" si="274"/>
        <v>0</v>
      </c>
      <c r="DW345" s="798">
        <f t="shared" si="274"/>
        <v>0</v>
      </c>
      <c r="DX345" s="798">
        <f t="shared" si="274"/>
        <v>0</v>
      </c>
      <c r="DY345" s="798">
        <f t="shared" si="274"/>
        <v>0</v>
      </c>
      <c r="DZ345" s="798">
        <f t="shared" si="274"/>
        <v>0</v>
      </c>
      <c r="EA345" s="798">
        <f t="shared" si="274"/>
        <v>0</v>
      </c>
      <c r="EB345" s="798">
        <f t="shared" si="274"/>
        <v>0</v>
      </c>
      <c r="EC345" s="798">
        <f t="shared" si="274"/>
        <v>0</v>
      </c>
      <c r="ED345" s="798">
        <f>ED34</f>
        <v>0</v>
      </c>
      <c r="EE345" s="798">
        <f>EE34</f>
        <v>0</v>
      </c>
      <c r="EF345" s="798">
        <f>EF34</f>
        <v>0</v>
      </c>
      <c r="EG345" s="798">
        <f>EG34</f>
        <v>0</v>
      </c>
      <c r="EH345" s="782"/>
    </row>
    <row r="346" spans="1:138" ht="12.75" customHeight="1" x14ac:dyDescent="0.3">
      <c r="A346" s="782"/>
      <c r="B346" s="796" t="s">
        <v>189</v>
      </c>
      <c r="C346" s="823">
        <f>XIRR(OFFSET(E345,0,$C$141):EG345,OFFSET($E$4,0,$C$141):$EG$4)</f>
        <v>0.20314757227897645</v>
      </c>
      <c r="D346" s="782"/>
      <c r="E346" s="798"/>
      <c r="F346" s="798"/>
      <c r="G346" s="798"/>
      <c r="H346" s="798"/>
      <c r="I346" s="798"/>
      <c r="J346" s="798"/>
      <c r="K346" s="798"/>
      <c r="L346" s="798"/>
      <c r="M346" s="798"/>
      <c r="N346" s="798"/>
      <c r="O346" s="798"/>
      <c r="P346" s="798"/>
      <c r="Q346" s="798"/>
      <c r="R346" s="798"/>
      <c r="S346" s="798"/>
      <c r="T346" s="798"/>
      <c r="U346" s="798"/>
      <c r="V346" s="798"/>
      <c r="W346" s="798"/>
      <c r="X346" s="798"/>
      <c r="Y346" s="798"/>
      <c r="Z346" s="798"/>
      <c r="AA346" s="798"/>
      <c r="AB346" s="798"/>
      <c r="AC346" s="798"/>
      <c r="AD346" s="798"/>
      <c r="AE346" s="798"/>
      <c r="AF346" s="798"/>
      <c r="AG346" s="798"/>
      <c r="AH346" s="798"/>
      <c r="AI346" s="798"/>
      <c r="AJ346" s="798"/>
      <c r="AK346" s="798"/>
      <c r="AL346" s="798"/>
      <c r="AM346" s="798"/>
      <c r="AN346" s="798"/>
      <c r="AO346" s="798"/>
      <c r="AP346" s="798"/>
      <c r="AQ346" s="798"/>
      <c r="AR346" s="798"/>
      <c r="AS346" s="798"/>
      <c r="AT346" s="798"/>
      <c r="AU346" s="798"/>
      <c r="AV346" s="798"/>
      <c r="AW346" s="798"/>
      <c r="AX346" s="798"/>
      <c r="AY346" s="798"/>
      <c r="AZ346" s="798"/>
      <c r="BA346" s="798"/>
      <c r="BB346" s="798"/>
      <c r="BC346" s="798"/>
      <c r="BD346" s="798"/>
      <c r="BE346" s="798"/>
      <c r="BF346" s="798"/>
      <c r="BG346" s="798"/>
      <c r="BH346" s="798"/>
      <c r="BI346" s="798"/>
      <c r="BJ346" s="798"/>
      <c r="BK346" s="798"/>
      <c r="BL346" s="798"/>
      <c r="BM346" s="798"/>
      <c r="BN346" s="798"/>
      <c r="BO346" s="798"/>
      <c r="BP346" s="798"/>
      <c r="BQ346" s="798"/>
      <c r="BR346" s="798"/>
      <c r="BS346" s="798"/>
      <c r="BT346" s="798"/>
      <c r="BU346" s="798"/>
      <c r="BV346" s="798"/>
      <c r="BW346" s="798"/>
      <c r="BX346" s="798"/>
      <c r="BY346" s="798"/>
      <c r="BZ346" s="798"/>
      <c r="CA346" s="798"/>
      <c r="CB346" s="798"/>
      <c r="CC346" s="798"/>
      <c r="CD346" s="798"/>
      <c r="CE346" s="798"/>
      <c r="CF346" s="798"/>
      <c r="CG346" s="798"/>
      <c r="CH346" s="798"/>
      <c r="CI346" s="798"/>
      <c r="CJ346" s="798"/>
      <c r="CK346" s="798"/>
      <c r="CL346" s="798"/>
      <c r="CM346" s="798"/>
      <c r="CN346" s="798"/>
      <c r="CO346" s="798"/>
      <c r="CP346" s="798"/>
      <c r="CQ346" s="798"/>
      <c r="CR346" s="798"/>
      <c r="CS346" s="798"/>
      <c r="CT346" s="798"/>
      <c r="CU346" s="798"/>
      <c r="CV346" s="798"/>
      <c r="CW346" s="798"/>
      <c r="CX346" s="798"/>
      <c r="CY346" s="798"/>
      <c r="CZ346" s="798"/>
      <c r="DA346" s="798"/>
      <c r="DB346" s="798"/>
      <c r="DC346" s="798"/>
      <c r="DD346" s="798"/>
      <c r="DE346" s="798"/>
      <c r="DF346" s="798"/>
      <c r="DG346" s="798"/>
      <c r="DH346" s="798"/>
      <c r="DI346" s="798"/>
      <c r="DJ346" s="798"/>
      <c r="DK346" s="798"/>
      <c r="DL346" s="798"/>
      <c r="DM346" s="798"/>
      <c r="DN346" s="798"/>
      <c r="DO346" s="798"/>
      <c r="DP346" s="798"/>
      <c r="DQ346" s="798"/>
      <c r="DR346" s="798"/>
      <c r="DS346" s="798"/>
      <c r="DT346" s="798"/>
      <c r="DU346" s="798"/>
      <c r="DV346" s="798"/>
      <c r="DW346" s="798"/>
      <c r="DX346" s="798"/>
      <c r="DY346" s="798"/>
      <c r="DZ346" s="798"/>
      <c r="EA346" s="798"/>
      <c r="EB346" s="798"/>
      <c r="EC346" s="798"/>
      <c r="ED346" s="798"/>
      <c r="EE346" s="798"/>
      <c r="EF346" s="798"/>
      <c r="EG346" s="798"/>
      <c r="EH346" s="782"/>
    </row>
    <row r="347" spans="1:138" ht="12.75" customHeight="1" x14ac:dyDescent="0.3">
      <c r="A347" s="782"/>
      <c r="B347" s="782"/>
      <c r="C347" s="798"/>
      <c r="D347" s="782"/>
      <c r="E347" s="798"/>
      <c r="F347" s="798"/>
      <c r="G347" s="798"/>
      <c r="H347" s="798"/>
      <c r="I347" s="798"/>
      <c r="J347" s="798"/>
      <c r="K347" s="798"/>
      <c r="L347" s="798"/>
      <c r="M347" s="798"/>
      <c r="N347" s="798"/>
      <c r="O347" s="798"/>
      <c r="P347" s="798"/>
      <c r="Q347" s="798"/>
      <c r="R347" s="798"/>
      <c r="S347" s="798"/>
      <c r="T347" s="798"/>
      <c r="U347" s="798"/>
      <c r="V347" s="798"/>
      <c r="W347" s="798"/>
      <c r="X347" s="798"/>
      <c r="Y347" s="798"/>
      <c r="Z347" s="798"/>
      <c r="AA347" s="798"/>
      <c r="AB347" s="798"/>
      <c r="AC347" s="798"/>
      <c r="AD347" s="798"/>
      <c r="AE347" s="798"/>
      <c r="AF347" s="798"/>
      <c r="AG347" s="798"/>
      <c r="AH347" s="798"/>
      <c r="AI347" s="798"/>
      <c r="AJ347" s="798"/>
      <c r="AK347" s="798"/>
      <c r="AL347" s="798"/>
      <c r="AM347" s="798"/>
      <c r="AN347" s="798"/>
      <c r="AO347" s="798"/>
      <c r="AP347" s="798"/>
      <c r="AQ347" s="798"/>
      <c r="AR347" s="798"/>
      <c r="AS347" s="798"/>
      <c r="AT347" s="798"/>
      <c r="AU347" s="798"/>
      <c r="AV347" s="798"/>
      <c r="AW347" s="798"/>
      <c r="AX347" s="798"/>
      <c r="AY347" s="798"/>
      <c r="AZ347" s="798"/>
      <c r="BA347" s="798"/>
      <c r="BB347" s="798"/>
      <c r="BC347" s="798"/>
      <c r="BD347" s="798"/>
      <c r="BE347" s="798"/>
      <c r="BF347" s="798"/>
      <c r="BG347" s="798"/>
      <c r="BH347" s="798"/>
      <c r="BI347" s="798"/>
      <c r="BJ347" s="798"/>
      <c r="BK347" s="798"/>
      <c r="BL347" s="798"/>
      <c r="BM347" s="798"/>
      <c r="BN347" s="798"/>
      <c r="BO347" s="798"/>
      <c r="BP347" s="798"/>
      <c r="BQ347" s="798"/>
      <c r="BR347" s="798"/>
      <c r="BS347" s="798"/>
      <c r="BT347" s="798"/>
      <c r="BU347" s="798"/>
      <c r="BV347" s="798"/>
      <c r="BW347" s="798"/>
      <c r="BX347" s="798"/>
      <c r="BY347" s="798"/>
      <c r="BZ347" s="798"/>
      <c r="CA347" s="798"/>
      <c r="CB347" s="798"/>
      <c r="CC347" s="798"/>
      <c r="CD347" s="798"/>
      <c r="CE347" s="798"/>
      <c r="CF347" s="798"/>
      <c r="CG347" s="798"/>
      <c r="CH347" s="798"/>
      <c r="CI347" s="798"/>
      <c r="CJ347" s="798"/>
      <c r="CK347" s="798"/>
      <c r="CL347" s="798"/>
      <c r="CM347" s="798"/>
      <c r="CN347" s="798"/>
      <c r="CO347" s="798"/>
      <c r="CP347" s="798"/>
      <c r="CQ347" s="798"/>
      <c r="CR347" s="798"/>
      <c r="CS347" s="798"/>
      <c r="CT347" s="798"/>
      <c r="CU347" s="798"/>
      <c r="CV347" s="798"/>
      <c r="CW347" s="798"/>
      <c r="CX347" s="798"/>
      <c r="CY347" s="798"/>
      <c r="CZ347" s="798"/>
      <c r="DA347" s="798"/>
      <c r="DB347" s="798"/>
      <c r="DC347" s="798"/>
      <c r="DD347" s="798"/>
      <c r="DE347" s="798"/>
      <c r="DF347" s="798"/>
      <c r="DG347" s="798"/>
      <c r="DH347" s="798"/>
      <c r="DI347" s="798"/>
      <c r="DJ347" s="798"/>
      <c r="DK347" s="798"/>
      <c r="DL347" s="798"/>
      <c r="DM347" s="798"/>
      <c r="DN347" s="798"/>
      <c r="DO347" s="798"/>
      <c r="DP347" s="798"/>
      <c r="DQ347" s="798"/>
      <c r="DR347" s="798"/>
      <c r="DS347" s="798"/>
      <c r="DT347" s="798"/>
      <c r="DU347" s="798"/>
      <c r="DV347" s="798"/>
      <c r="DW347" s="798"/>
      <c r="DX347" s="798"/>
      <c r="DY347" s="798"/>
      <c r="DZ347" s="798"/>
      <c r="EA347" s="798"/>
      <c r="EB347" s="798"/>
      <c r="EC347" s="798"/>
      <c r="ED347" s="798"/>
      <c r="EE347" s="798"/>
      <c r="EF347" s="798"/>
      <c r="EG347" s="798"/>
      <c r="EH347" s="782"/>
    </row>
    <row r="348" spans="1:138" ht="12.75" customHeight="1" x14ac:dyDescent="0.3">
      <c r="A348" s="782"/>
      <c r="B348" s="782" t="s">
        <v>190</v>
      </c>
      <c r="C348" s="798">
        <f>SUM(E348:EG348)</f>
        <v>-3022291.0014259908</v>
      </c>
      <c r="D348" s="782"/>
      <c r="E348" s="798">
        <f>E37</f>
        <v>0</v>
      </c>
      <c r="F348" s="798">
        <f t="shared" ref="F348:BQ348" si="275">F37</f>
        <v>-624.00231680382876</v>
      </c>
      <c r="G348" s="798">
        <f t="shared" si="275"/>
        <v>-5655.1249228157039</v>
      </c>
      <c r="H348" s="798">
        <f t="shared" si="275"/>
        <v>-5778.8539375863475</v>
      </c>
      <c r="I348" s="798">
        <f t="shared" si="275"/>
        <v>-5985.085787091647</v>
      </c>
      <c r="J348" s="798">
        <f t="shared" si="275"/>
        <v>-6360.0954294301118</v>
      </c>
      <c r="K348" s="798">
        <f t="shared" si="275"/>
        <v>-6994.4696251819178</v>
      </c>
      <c r="L348" s="798">
        <f t="shared" si="275"/>
        <v>-7648.4545531239564</v>
      </c>
      <c r="M348" s="798">
        <f t="shared" si="275"/>
        <v>-8491.532418333747</v>
      </c>
      <c r="N348" s="798">
        <f t="shared" si="275"/>
        <v>-9498.1953770864056</v>
      </c>
      <c r="O348" s="798">
        <f t="shared" si="275"/>
        <v>-10682.636085392403</v>
      </c>
      <c r="P348" s="798">
        <f t="shared" si="275"/>
        <v>-11910.111434709901</v>
      </c>
      <c r="Q348" s="798">
        <f t="shared" si="275"/>
        <v>-13203.170519538937</v>
      </c>
      <c r="R348" s="798">
        <f t="shared" si="275"/>
        <v>-14513.053609936573</v>
      </c>
      <c r="S348" s="798">
        <f t="shared" si="275"/>
        <v>-15835.909818692693</v>
      </c>
      <c r="T348" s="798">
        <f t="shared" si="275"/>
        <v>-17071.858707300587</v>
      </c>
      <c r="U348" s="798">
        <f t="shared" si="275"/>
        <v>-18272.165256671487</v>
      </c>
      <c r="V348" s="798">
        <f t="shared" si="275"/>
        <v>-19382.938452231665</v>
      </c>
      <c r="W348" s="798">
        <f t="shared" si="275"/>
        <v>-20381.411578950978</v>
      </c>
      <c r="X348" s="798">
        <f t="shared" si="275"/>
        <v>-21374.675023688487</v>
      </c>
      <c r="Y348" s="798">
        <f t="shared" si="275"/>
        <v>-22286.172159307695</v>
      </c>
      <c r="Z348" s="798">
        <f t="shared" si="275"/>
        <v>-23053.178074060099</v>
      </c>
      <c r="AA348" s="798">
        <f t="shared" si="275"/>
        <v>-23706.70963792564</v>
      </c>
      <c r="AB348" s="798">
        <f t="shared" si="275"/>
        <v>-24249.985587016792</v>
      </c>
      <c r="AC348" s="798">
        <f t="shared" si="275"/>
        <v>-24615.24061366449</v>
      </c>
      <c r="AD348" s="798">
        <f t="shared" si="275"/>
        <v>-24910.060027416595</v>
      </c>
      <c r="AE348" s="798">
        <f t="shared" si="275"/>
        <v>-25100.520622493055</v>
      </c>
      <c r="AF348" s="798">
        <f t="shared" si="275"/>
        <v>-25100.520622493055</v>
      </c>
      <c r="AG348" s="798">
        <f t="shared" si="275"/>
        <v>-25100.520622493055</v>
      </c>
      <c r="AH348" s="798">
        <f t="shared" si="275"/>
        <v>-25100.520622493055</v>
      </c>
      <c r="AI348" s="798">
        <f t="shared" si="275"/>
        <v>-25100.520622493055</v>
      </c>
      <c r="AJ348" s="798">
        <f t="shared" si="275"/>
        <v>-25100.520622493055</v>
      </c>
      <c r="AK348" s="798">
        <f t="shared" si="275"/>
        <v>-25100.520622493055</v>
      </c>
      <c r="AL348" s="798">
        <f t="shared" si="275"/>
        <v>-34753.704186440933</v>
      </c>
      <c r="AM348" s="798">
        <f t="shared" si="275"/>
        <v>-34895.827342692981</v>
      </c>
      <c r="AN348" s="798">
        <f t="shared" si="275"/>
        <v>-35035.223265853776</v>
      </c>
      <c r="AO348" s="798">
        <f t="shared" si="275"/>
        <v>-35171.468378084879</v>
      </c>
      <c r="AP348" s="798">
        <f t="shared" si="275"/>
        <v>-35304.135973486802</v>
      </c>
      <c r="AQ348" s="798">
        <f t="shared" si="275"/>
        <v>-35434.145879251511</v>
      </c>
      <c r="AR348" s="798">
        <f t="shared" si="275"/>
        <v>-35558.413849472425</v>
      </c>
      <c r="AS348" s="798">
        <f t="shared" si="275"/>
        <v>-35677.371569744464</v>
      </c>
      <c r="AT348" s="798">
        <f t="shared" si="275"/>
        <v>-35800.782286288326</v>
      </c>
      <c r="AU348" s="798">
        <f t="shared" si="275"/>
        <v>-35921.306056616362</v>
      </c>
      <c r="AV348" s="798">
        <f t="shared" si="275"/>
        <v>-36039.295521643005</v>
      </c>
      <c r="AW348" s="798">
        <f t="shared" si="275"/>
        <v>-36153.994190473044</v>
      </c>
      <c r="AX348" s="798">
        <f t="shared" si="275"/>
        <v>-36266.203924179419</v>
      </c>
      <c r="AY348" s="798">
        <f t="shared" si="275"/>
        <v>-36376.733034366072</v>
      </c>
      <c r="AZ348" s="798">
        <f t="shared" si="275"/>
        <v>-36486.396322463166</v>
      </c>
      <c r="BA348" s="798">
        <f t="shared" si="275"/>
        <v>-36596.015119237964</v>
      </c>
      <c r="BB348" s="798">
        <f t="shared" si="275"/>
        <v>-36706.417324522576</v>
      </c>
      <c r="BC348" s="798">
        <f t="shared" si="275"/>
        <v>-36817.912447002811</v>
      </c>
      <c r="BD348" s="798">
        <f t="shared" si="275"/>
        <v>-36932.298194769312</v>
      </c>
      <c r="BE348" s="798">
        <f t="shared" si="275"/>
        <v>-37049.848850175731</v>
      </c>
      <c r="BF348" s="798">
        <f t="shared" si="275"/>
        <v>-37168.013350733701</v>
      </c>
      <c r="BG348" s="798">
        <f t="shared" si="275"/>
        <v>-37288.282672097288</v>
      </c>
      <c r="BH348" s="798">
        <f t="shared" si="275"/>
        <v>-37410.540457934789</v>
      </c>
      <c r="BI348" s="798">
        <f t="shared" si="275"/>
        <v>-37535.583747769619</v>
      </c>
      <c r="BJ348" s="798">
        <f t="shared" si="275"/>
        <v>-37663.147959803231</v>
      </c>
      <c r="BK348" s="798">
        <f t="shared" si="275"/>
        <v>-37792.966516123437</v>
      </c>
      <c r="BL348" s="798">
        <f t="shared" si="275"/>
        <v>-37924.770831500216</v>
      </c>
      <c r="BM348" s="798">
        <f t="shared" si="275"/>
        <v>-38058.290302125541</v>
      </c>
      <c r="BN348" s="798">
        <f t="shared" si="275"/>
        <v>-38193.252294296908</v>
      </c>
      <c r="BO348" s="798">
        <f t="shared" si="275"/>
        <v>-38329.007585648404</v>
      </c>
      <c r="BP348" s="798">
        <f t="shared" si="275"/>
        <v>-38466.059302936665</v>
      </c>
      <c r="BQ348" s="798">
        <f t="shared" si="275"/>
        <v>-38604.026977856192</v>
      </c>
      <c r="BR348" s="798">
        <f t="shared" ref="BR348:EC348" si="276">BR37</f>
        <v>-38741.335006676694</v>
      </c>
      <c r="BS348" s="798">
        <f t="shared" si="276"/>
        <v>-38879.066865002773</v>
      </c>
      <c r="BT348" s="798">
        <f t="shared" si="276"/>
        <v>-39017.223711387065</v>
      </c>
      <c r="BU348" s="798">
        <f t="shared" si="276"/>
        <v>-39155.99735116629</v>
      </c>
      <c r="BV348" s="798">
        <f t="shared" si="276"/>
        <v>-39295.390267066752</v>
      </c>
      <c r="BW348" s="798">
        <f t="shared" si="276"/>
        <v>-39435.404951925862</v>
      </c>
      <c r="BX348" s="798">
        <f t="shared" si="276"/>
        <v>-39576.04390873362</v>
      </c>
      <c r="BY348" s="798">
        <f t="shared" si="276"/>
        <v>-39717.3096506742</v>
      </c>
      <c r="BZ348" s="798">
        <f t="shared" si="276"/>
        <v>-39859.204701167859</v>
      </c>
      <c r="CA348" s="798">
        <f t="shared" si="276"/>
        <v>-40001.536156669019</v>
      </c>
      <c r="CB348" s="798">
        <f t="shared" si="276"/>
        <v>-40144.697165491794</v>
      </c>
      <c r="CC348" s="798">
        <f t="shared" si="276"/>
        <v>-40288.585743200565</v>
      </c>
      <c r="CD348" s="798">
        <f t="shared" si="276"/>
        <v>-40431.79148012428</v>
      </c>
      <c r="CE348" s="798">
        <f t="shared" si="276"/>
        <v>-40575.438413916876</v>
      </c>
      <c r="CF348" s="798">
        <f t="shared" si="276"/>
        <v>-40719.527750751709</v>
      </c>
      <c r="CG348" s="798">
        <f t="shared" si="276"/>
        <v>-40864.259402146206</v>
      </c>
      <c r="CH348" s="798">
        <f t="shared" si="276"/>
        <v>-41009.635954412988</v>
      </c>
      <c r="CI348" s="798">
        <f t="shared" si="276"/>
        <v>-41155.660004399819</v>
      </c>
      <c r="CJ348" s="798">
        <f t="shared" si="276"/>
        <v>-41302.334159532802</v>
      </c>
      <c r="CK348" s="798">
        <f t="shared" si="276"/>
        <v>-41449.661037859827</v>
      </c>
      <c r="CL348" s="798">
        <f t="shared" si="276"/>
        <v>-41597.643268094085</v>
      </c>
      <c r="CM348" s="798">
        <f t="shared" si="276"/>
        <v>-41746.079791359865</v>
      </c>
      <c r="CN348" s="798">
        <f t="shared" si="276"/>
        <v>-41895.380372815656</v>
      </c>
      <c r="CO348" s="798">
        <f t="shared" si="276"/>
        <v>-42045.43871580335</v>
      </c>
      <c r="CP348" s="798">
        <f t="shared" si="276"/>
        <v>-42194.78976299744</v>
      </c>
      <c r="CQ348" s="798">
        <f t="shared" si="276"/>
        <v>-42344.600092103043</v>
      </c>
      <c r="CR348" s="798">
        <f t="shared" si="276"/>
        <v>-42494.870958886546</v>
      </c>
      <c r="CS348" s="798">
        <f t="shared" si="276"/>
        <v>-42645.810723650524</v>
      </c>
      <c r="CT348" s="798">
        <f t="shared" si="276"/>
        <v>-42797.422080631724</v>
      </c>
      <c r="CU348" s="798">
        <f t="shared" si="276"/>
        <v>-42949.707735043899</v>
      </c>
      <c r="CV348" s="798">
        <f t="shared" si="276"/>
        <v>-43102.670403122851</v>
      </c>
      <c r="CW348" s="798">
        <f t="shared" si="276"/>
        <v>-43256.312812171636</v>
      </c>
      <c r="CX348" s="798">
        <f t="shared" si="276"/>
        <v>0</v>
      </c>
      <c r="CY348" s="798">
        <f t="shared" si="276"/>
        <v>0</v>
      </c>
      <c r="CZ348" s="798">
        <f t="shared" si="276"/>
        <v>0</v>
      </c>
      <c r="DA348" s="798">
        <f t="shared" si="276"/>
        <v>0</v>
      </c>
      <c r="DB348" s="798">
        <f t="shared" si="276"/>
        <v>0</v>
      </c>
      <c r="DC348" s="798">
        <f t="shared" si="276"/>
        <v>0</v>
      </c>
      <c r="DD348" s="798">
        <f t="shared" si="276"/>
        <v>0</v>
      </c>
      <c r="DE348" s="798">
        <f t="shared" si="276"/>
        <v>0</v>
      </c>
      <c r="DF348" s="798">
        <f t="shared" si="276"/>
        <v>0</v>
      </c>
      <c r="DG348" s="798">
        <f t="shared" si="276"/>
        <v>0</v>
      </c>
      <c r="DH348" s="798">
        <f t="shared" si="276"/>
        <v>0</v>
      </c>
      <c r="DI348" s="798">
        <f t="shared" si="276"/>
        <v>0</v>
      </c>
      <c r="DJ348" s="798">
        <f t="shared" si="276"/>
        <v>0</v>
      </c>
      <c r="DK348" s="798">
        <f t="shared" si="276"/>
        <v>0</v>
      </c>
      <c r="DL348" s="798">
        <f t="shared" si="276"/>
        <v>0</v>
      </c>
      <c r="DM348" s="798">
        <f t="shared" si="276"/>
        <v>0</v>
      </c>
      <c r="DN348" s="798">
        <f t="shared" si="276"/>
        <v>0</v>
      </c>
      <c r="DO348" s="798">
        <f t="shared" si="276"/>
        <v>0</v>
      </c>
      <c r="DP348" s="798">
        <f t="shared" si="276"/>
        <v>0</v>
      </c>
      <c r="DQ348" s="798">
        <f t="shared" si="276"/>
        <v>0</v>
      </c>
      <c r="DR348" s="798">
        <f t="shared" si="276"/>
        <v>0</v>
      </c>
      <c r="DS348" s="798">
        <f t="shared" si="276"/>
        <v>0</v>
      </c>
      <c r="DT348" s="798">
        <f t="shared" si="276"/>
        <v>0</v>
      </c>
      <c r="DU348" s="798">
        <f t="shared" si="276"/>
        <v>0</v>
      </c>
      <c r="DV348" s="798">
        <f t="shared" si="276"/>
        <v>0</v>
      </c>
      <c r="DW348" s="798">
        <f t="shared" si="276"/>
        <v>0</v>
      </c>
      <c r="DX348" s="798">
        <f t="shared" si="276"/>
        <v>0</v>
      </c>
      <c r="DY348" s="798">
        <f t="shared" si="276"/>
        <v>0</v>
      </c>
      <c r="DZ348" s="798">
        <f t="shared" si="276"/>
        <v>0</v>
      </c>
      <c r="EA348" s="798">
        <f t="shared" si="276"/>
        <v>0</v>
      </c>
      <c r="EB348" s="798">
        <f t="shared" si="276"/>
        <v>0</v>
      </c>
      <c r="EC348" s="798">
        <f t="shared" si="276"/>
        <v>0</v>
      </c>
      <c r="ED348" s="798">
        <f>ED37</f>
        <v>0</v>
      </c>
      <c r="EE348" s="798">
        <f>EE37</f>
        <v>0</v>
      </c>
      <c r="EF348" s="798">
        <f>EF37</f>
        <v>0</v>
      </c>
      <c r="EG348" s="798">
        <f>EG37</f>
        <v>0</v>
      </c>
      <c r="EH348" s="782"/>
    </row>
    <row r="349" spans="1:138" ht="12.75" customHeight="1" x14ac:dyDescent="0.3">
      <c r="A349" s="782"/>
      <c r="B349" s="782" t="s">
        <v>191</v>
      </c>
      <c r="C349" s="798">
        <f>SUM(E349:EG349)</f>
        <v>-6868726.7816661661</v>
      </c>
      <c r="D349" s="782"/>
      <c r="E349" s="798">
        <f>-E218</f>
        <v>0</v>
      </c>
      <c r="F349" s="798">
        <f t="shared" ref="F349:BQ349" si="277">-F218</f>
        <v>0</v>
      </c>
      <c r="G349" s="798">
        <f t="shared" si="277"/>
        <v>0</v>
      </c>
      <c r="H349" s="798">
        <f t="shared" si="277"/>
        <v>0</v>
      </c>
      <c r="I349" s="798">
        <f t="shared" si="277"/>
        <v>0</v>
      </c>
      <c r="J349" s="798">
        <f t="shared" si="277"/>
        <v>0</v>
      </c>
      <c r="K349" s="798">
        <f t="shared" si="277"/>
        <v>0</v>
      </c>
      <c r="L349" s="798">
        <f t="shared" si="277"/>
        <v>0</v>
      </c>
      <c r="M349" s="798">
        <f t="shared" si="277"/>
        <v>0</v>
      </c>
      <c r="N349" s="798">
        <f t="shared" si="277"/>
        <v>0</v>
      </c>
      <c r="O349" s="798">
        <f t="shared" si="277"/>
        <v>0</v>
      </c>
      <c r="P349" s="798">
        <f t="shared" si="277"/>
        <v>0</v>
      </c>
      <c r="Q349" s="798">
        <f t="shared" si="277"/>
        <v>0</v>
      </c>
      <c r="R349" s="798">
        <f t="shared" si="277"/>
        <v>0</v>
      </c>
      <c r="S349" s="798">
        <f t="shared" si="277"/>
        <v>0</v>
      </c>
      <c r="T349" s="798">
        <f t="shared" si="277"/>
        <v>0</v>
      </c>
      <c r="U349" s="798">
        <f t="shared" si="277"/>
        <v>0</v>
      </c>
      <c r="V349" s="798">
        <f t="shared" si="277"/>
        <v>0</v>
      </c>
      <c r="W349" s="798">
        <f t="shared" si="277"/>
        <v>0</v>
      </c>
      <c r="X349" s="798">
        <f t="shared" si="277"/>
        <v>0</v>
      </c>
      <c r="Y349" s="798">
        <f t="shared" si="277"/>
        <v>0</v>
      </c>
      <c r="Z349" s="798">
        <f t="shared" si="277"/>
        <v>0</v>
      </c>
      <c r="AA349" s="798">
        <f t="shared" si="277"/>
        <v>0</v>
      </c>
      <c r="AB349" s="798">
        <f t="shared" si="277"/>
        <v>0</v>
      </c>
      <c r="AC349" s="798">
        <f t="shared" si="277"/>
        <v>0</v>
      </c>
      <c r="AD349" s="798">
        <f t="shared" si="277"/>
        <v>0</v>
      </c>
      <c r="AE349" s="798">
        <f t="shared" si="277"/>
        <v>0</v>
      </c>
      <c r="AF349" s="798">
        <f t="shared" si="277"/>
        <v>0</v>
      </c>
      <c r="AG349" s="798">
        <f t="shared" si="277"/>
        <v>0</v>
      </c>
      <c r="AH349" s="798">
        <f t="shared" si="277"/>
        <v>0</v>
      </c>
      <c r="AI349" s="798">
        <f t="shared" si="277"/>
        <v>0</v>
      </c>
      <c r="AJ349" s="798">
        <f t="shared" si="277"/>
        <v>0</v>
      </c>
      <c r="AK349" s="798">
        <f t="shared" si="277"/>
        <v>-6868726.7816661661</v>
      </c>
      <c r="AL349" s="798">
        <f t="shared" si="277"/>
        <v>0</v>
      </c>
      <c r="AM349" s="798">
        <f t="shared" si="277"/>
        <v>0</v>
      </c>
      <c r="AN349" s="798">
        <f t="shared" si="277"/>
        <v>0</v>
      </c>
      <c r="AO349" s="798">
        <f t="shared" si="277"/>
        <v>0</v>
      </c>
      <c r="AP349" s="798">
        <f t="shared" si="277"/>
        <v>0</v>
      </c>
      <c r="AQ349" s="798">
        <f t="shared" si="277"/>
        <v>0</v>
      </c>
      <c r="AR349" s="798">
        <f t="shared" si="277"/>
        <v>0</v>
      </c>
      <c r="AS349" s="798">
        <f t="shared" si="277"/>
        <v>0</v>
      </c>
      <c r="AT349" s="798">
        <f t="shared" si="277"/>
        <v>0</v>
      </c>
      <c r="AU349" s="798">
        <f t="shared" si="277"/>
        <v>0</v>
      </c>
      <c r="AV349" s="798">
        <f t="shared" si="277"/>
        <v>0</v>
      </c>
      <c r="AW349" s="798">
        <f t="shared" si="277"/>
        <v>0</v>
      </c>
      <c r="AX349" s="798">
        <f t="shared" si="277"/>
        <v>0</v>
      </c>
      <c r="AY349" s="798">
        <f t="shared" si="277"/>
        <v>0</v>
      </c>
      <c r="AZ349" s="798">
        <f t="shared" si="277"/>
        <v>0</v>
      </c>
      <c r="BA349" s="798">
        <f t="shared" si="277"/>
        <v>0</v>
      </c>
      <c r="BB349" s="798">
        <f t="shared" si="277"/>
        <v>0</v>
      </c>
      <c r="BC349" s="798">
        <f t="shared" si="277"/>
        <v>0</v>
      </c>
      <c r="BD349" s="798">
        <f t="shared" si="277"/>
        <v>0</v>
      </c>
      <c r="BE349" s="798">
        <f t="shared" si="277"/>
        <v>0</v>
      </c>
      <c r="BF349" s="798">
        <f t="shared" si="277"/>
        <v>0</v>
      </c>
      <c r="BG349" s="798">
        <f>-BG218</f>
        <v>0</v>
      </c>
      <c r="BH349" s="798">
        <f t="shared" si="277"/>
        <v>0</v>
      </c>
      <c r="BI349" s="798">
        <f t="shared" si="277"/>
        <v>0</v>
      </c>
      <c r="BJ349" s="798">
        <f t="shared" si="277"/>
        <v>0</v>
      </c>
      <c r="BK349" s="798">
        <f t="shared" si="277"/>
        <v>0</v>
      </c>
      <c r="BL349" s="798">
        <f t="shared" si="277"/>
        <v>0</v>
      </c>
      <c r="BM349" s="798">
        <f t="shared" si="277"/>
        <v>0</v>
      </c>
      <c r="BN349" s="798">
        <f t="shared" si="277"/>
        <v>0</v>
      </c>
      <c r="BO349" s="798">
        <f t="shared" si="277"/>
        <v>0</v>
      </c>
      <c r="BP349" s="798">
        <f t="shared" si="277"/>
        <v>0</v>
      </c>
      <c r="BQ349" s="798">
        <f t="shared" si="277"/>
        <v>0</v>
      </c>
      <c r="BR349" s="798">
        <f t="shared" ref="BR349:EC349" si="278">-BR218</f>
        <v>0</v>
      </c>
      <c r="BS349" s="798">
        <f t="shared" si="278"/>
        <v>0</v>
      </c>
      <c r="BT349" s="798">
        <f t="shared" si="278"/>
        <v>0</v>
      </c>
      <c r="BU349" s="798">
        <f t="shared" si="278"/>
        <v>0</v>
      </c>
      <c r="BV349" s="798">
        <f t="shared" si="278"/>
        <v>0</v>
      </c>
      <c r="BW349" s="798">
        <f t="shared" si="278"/>
        <v>0</v>
      </c>
      <c r="BX349" s="798">
        <f t="shared" si="278"/>
        <v>0</v>
      </c>
      <c r="BY349" s="798">
        <f t="shared" si="278"/>
        <v>0</v>
      </c>
      <c r="BZ349" s="798">
        <f t="shared" si="278"/>
        <v>0</v>
      </c>
      <c r="CA349" s="798">
        <f t="shared" si="278"/>
        <v>0</v>
      </c>
      <c r="CB349" s="798">
        <f t="shared" si="278"/>
        <v>0</v>
      </c>
      <c r="CC349" s="798">
        <f t="shared" si="278"/>
        <v>0</v>
      </c>
      <c r="CD349" s="798">
        <f t="shared" si="278"/>
        <v>0</v>
      </c>
      <c r="CE349" s="798">
        <f t="shared" si="278"/>
        <v>0</v>
      </c>
      <c r="CF349" s="798">
        <f t="shared" si="278"/>
        <v>0</v>
      </c>
      <c r="CG349" s="798">
        <f t="shared" si="278"/>
        <v>0</v>
      </c>
      <c r="CH349" s="798">
        <f t="shared" si="278"/>
        <v>0</v>
      </c>
      <c r="CI349" s="798">
        <f t="shared" si="278"/>
        <v>0</v>
      </c>
      <c r="CJ349" s="798">
        <f t="shared" si="278"/>
        <v>0</v>
      </c>
      <c r="CK349" s="798">
        <f t="shared" si="278"/>
        <v>0</v>
      </c>
      <c r="CL349" s="798">
        <f t="shared" si="278"/>
        <v>0</v>
      </c>
      <c r="CM349" s="798">
        <f t="shared" si="278"/>
        <v>0</v>
      </c>
      <c r="CN349" s="798">
        <f t="shared" si="278"/>
        <v>0</v>
      </c>
      <c r="CO349" s="798">
        <f t="shared" si="278"/>
        <v>0</v>
      </c>
      <c r="CP349" s="798">
        <f t="shared" si="278"/>
        <v>0</v>
      </c>
      <c r="CQ349" s="798">
        <f t="shared" si="278"/>
        <v>0</v>
      </c>
      <c r="CR349" s="798">
        <f t="shared" si="278"/>
        <v>0</v>
      </c>
      <c r="CS349" s="798">
        <f t="shared" si="278"/>
        <v>0</v>
      </c>
      <c r="CT349" s="798">
        <f t="shared" si="278"/>
        <v>0</v>
      </c>
      <c r="CU349" s="798">
        <f t="shared" si="278"/>
        <v>0</v>
      </c>
      <c r="CV349" s="798">
        <f t="shared" si="278"/>
        <v>0</v>
      </c>
      <c r="CW349" s="798">
        <f t="shared" si="278"/>
        <v>0</v>
      </c>
      <c r="CX349" s="798">
        <f t="shared" si="278"/>
        <v>0</v>
      </c>
      <c r="CY349" s="798">
        <f t="shared" si="278"/>
        <v>0</v>
      </c>
      <c r="CZ349" s="798">
        <f t="shared" si="278"/>
        <v>0</v>
      </c>
      <c r="DA349" s="798">
        <f t="shared" si="278"/>
        <v>0</v>
      </c>
      <c r="DB349" s="798">
        <f t="shared" si="278"/>
        <v>0</v>
      </c>
      <c r="DC349" s="798">
        <f t="shared" si="278"/>
        <v>0</v>
      </c>
      <c r="DD349" s="798">
        <f t="shared" si="278"/>
        <v>0</v>
      </c>
      <c r="DE349" s="798">
        <f t="shared" si="278"/>
        <v>0</v>
      </c>
      <c r="DF349" s="798">
        <f t="shared" si="278"/>
        <v>0</v>
      </c>
      <c r="DG349" s="798">
        <f t="shared" si="278"/>
        <v>0</v>
      </c>
      <c r="DH349" s="798">
        <f t="shared" si="278"/>
        <v>0</v>
      </c>
      <c r="DI349" s="798">
        <f t="shared" si="278"/>
        <v>0</v>
      </c>
      <c r="DJ349" s="798">
        <f t="shared" si="278"/>
        <v>0</v>
      </c>
      <c r="DK349" s="798">
        <f t="shared" si="278"/>
        <v>0</v>
      </c>
      <c r="DL349" s="798">
        <f t="shared" si="278"/>
        <v>0</v>
      </c>
      <c r="DM349" s="798">
        <f t="shared" si="278"/>
        <v>0</v>
      </c>
      <c r="DN349" s="798">
        <f t="shared" si="278"/>
        <v>0</v>
      </c>
      <c r="DO349" s="798">
        <f t="shared" si="278"/>
        <v>0</v>
      </c>
      <c r="DP349" s="798">
        <f t="shared" si="278"/>
        <v>0</v>
      </c>
      <c r="DQ349" s="798">
        <f t="shared" si="278"/>
        <v>0</v>
      </c>
      <c r="DR349" s="798">
        <f t="shared" si="278"/>
        <v>0</v>
      </c>
      <c r="DS349" s="798">
        <f t="shared" si="278"/>
        <v>0</v>
      </c>
      <c r="DT349" s="798">
        <f t="shared" si="278"/>
        <v>0</v>
      </c>
      <c r="DU349" s="798">
        <f t="shared" si="278"/>
        <v>0</v>
      </c>
      <c r="DV349" s="798">
        <f t="shared" si="278"/>
        <v>0</v>
      </c>
      <c r="DW349" s="798">
        <f t="shared" si="278"/>
        <v>0</v>
      </c>
      <c r="DX349" s="798">
        <f t="shared" si="278"/>
        <v>0</v>
      </c>
      <c r="DY349" s="798">
        <f t="shared" si="278"/>
        <v>0</v>
      </c>
      <c r="DZ349" s="798">
        <f t="shared" si="278"/>
        <v>0</v>
      </c>
      <c r="EA349" s="798">
        <f t="shared" si="278"/>
        <v>0</v>
      </c>
      <c r="EB349" s="798">
        <f t="shared" si="278"/>
        <v>0</v>
      </c>
      <c r="EC349" s="798">
        <f t="shared" si="278"/>
        <v>0</v>
      </c>
      <c r="ED349" s="798">
        <f>-ED218</f>
        <v>0</v>
      </c>
      <c r="EE349" s="798">
        <f>-EE218</f>
        <v>0</v>
      </c>
      <c r="EF349" s="798">
        <f>-EF218</f>
        <v>0</v>
      </c>
      <c r="EG349" s="798">
        <f>-EG218</f>
        <v>0</v>
      </c>
      <c r="EH349" s="782"/>
    </row>
    <row r="350" spans="1:138" ht="12.75" customHeight="1" x14ac:dyDescent="0.3">
      <c r="A350" s="782"/>
      <c r="B350" s="782" t="s">
        <v>192</v>
      </c>
      <c r="C350" s="798">
        <f>SUM(E350:EG350)</f>
        <v>-5736147.0869287392</v>
      </c>
      <c r="D350" s="782"/>
      <c r="E350" s="798">
        <f>-E250</f>
        <v>0</v>
      </c>
      <c r="F350" s="798">
        <f t="shared" ref="F350:BQ350" si="279">-F250</f>
        <v>0</v>
      </c>
      <c r="G350" s="798">
        <f t="shared" si="279"/>
        <v>0</v>
      </c>
      <c r="H350" s="798">
        <f t="shared" si="279"/>
        <v>0</v>
      </c>
      <c r="I350" s="798">
        <f t="shared" si="279"/>
        <v>0</v>
      </c>
      <c r="J350" s="798">
        <f t="shared" si="279"/>
        <v>0</v>
      </c>
      <c r="K350" s="798">
        <f t="shared" si="279"/>
        <v>0</v>
      </c>
      <c r="L350" s="798">
        <f t="shared" si="279"/>
        <v>0</v>
      </c>
      <c r="M350" s="798">
        <f t="shared" si="279"/>
        <v>0</v>
      </c>
      <c r="N350" s="798">
        <f t="shared" si="279"/>
        <v>0</v>
      </c>
      <c r="O350" s="798">
        <f t="shared" si="279"/>
        <v>0</v>
      </c>
      <c r="P350" s="798">
        <f t="shared" si="279"/>
        <v>0</v>
      </c>
      <c r="Q350" s="798">
        <f t="shared" si="279"/>
        <v>0</v>
      </c>
      <c r="R350" s="798">
        <f t="shared" si="279"/>
        <v>0</v>
      </c>
      <c r="S350" s="798">
        <f t="shared" si="279"/>
        <v>0</v>
      </c>
      <c r="T350" s="798">
        <f t="shared" si="279"/>
        <v>0</v>
      </c>
      <c r="U350" s="798">
        <f t="shared" si="279"/>
        <v>0</v>
      </c>
      <c r="V350" s="798">
        <f t="shared" si="279"/>
        <v>0</v>
      </c>
      <c r="W350" s="798">
        <f t="shared" si="279"/>
        <v>0</v>
      </c>
      <c r="X350" s="798">
        <f t="shared" si="279"/>
        <v>0</v>
      </c>
      <c r="Y350" s="798">
        <f t="shared" si="279"/>
        <v>0</v>
      </c>
      <c r="Z350" s="798">
        <f t="shared" si="279"/>
        <v>0</v>
      </c>
      <c r="AA350" s="798">
        <f t="shared" si="279"/>
        <v>0</v>
      </c>
      <c r="AB350" s="798">
        <f t="shared" si="279"/>
        <v>0</v>
      </c>
      <c r="AC350" s="798">
        <f t="shared" si="279"/>
        <v>0</v>
      </c>
      <c r="AD350" s="798">
        <f t="shared" si="279"/>
        <v>0</v>
      </c>
      <c r="AE350" s="798">
        <f t="shared" si="279"/>
        <v>0</v>
      </c>
      <c r="AF350" s="798">
        <f t="shared" si="279"/>
        <v>0</v>
      </c>
      <c r="AG350" s="798">
        <f t="shared" si="279"/>
        <v>0</v>
      </c>
      <c r="AH350" s="798">
        <f t="shared" si="279"/>
        <v>0</v>
      </c>
      <c r="AI350" s="798">
        <f t="shared" si="279"/>
        <v>0</v>
      </c>
      <c r="AJ350" s="798">
        <f t="shared" si="279"/>
        <v>0</v>
      </c>
      <c r="AK350" s="798">
        <f t="shared" si="279"/>
        <v>0</v>
      </c>
      <c r="AL350" s="798">
        <f t="shared" si="279"/>
        <v>0</v>
      </c>
      <c r="AM350" s="798">
        <f t="shared" si="279"/>
        <v>0</v>
      </c>
      <c r="AN350" s="798">
        <f t="shared" si="279"/>
        <v>0</v>
      </c>
      <c r="AO350" s="798">
        <f t="shared" si="279"/>
        <v>0</v>
      </c>
      <c r="AP350" s="798">
        <f t="shared" si="279"/>
        <v>0</v>
      </c>
      <c r="AQ350" s="798">
        <f t="shared" si="279"/>
        <v>0</v>
      </c>
      <c r="AR350" s="798">
        <f t="shared" si="279"/>
        <v>0</v>
      </c>
      <c r="AS350" s="798">
        <f t="shared" si="279"/>
        <v>0</v>
      </c>
      <c r="AT350" s="798">
        <f t="shared" si="279"/>
        <v>0</v>
      </c>
      <c r="AU350" s="798">
        <f t="shared" si="279"/>
        <v>0</v>
      </c>
      <c r="AV350" s="798">
        <f t="shared" si="279"/>
        <v>0</v>
      </c>
      <c r="AW350" s="798">
        <f t="shared" si="279"/>
        <v>0</v>
      </c>
      <c r="AX350" s="798">
        <f t="shared" si="279"/>
        <v>0</v>
      </c>
      <c r="AY350" s="798">
        <f t="shared" si="279"/>
        <v>0</v>
      </c>
      <c r="AZ350" s="798">
        <f t="shared" si="279"/>
        <v>0</v>
      </c>
      <c r="BA350" s="798">
        <f t="shared" si="279"/>
        <v>0</v>
      </c>
      <c r="BB350" s="798">
        <f t="shared" si="279"/>
        <v>0</v>
      </c>
      <c r="BC350" s="798">
        <f t="shared" si="279"/>
        <v>0</v>
      </c>
      <c r="BD350" s="798">
        <f t="shared" si="279"/>
        <v>0</v>
      </c>
      <c r="BE350" s="798">
        <f t="shared" si="279"/>
        <v>0</v>
      </c>
      <c r="BF350" s="798">
        <f t="shared" si="279"/>
        <v>0</v>
      </c>
      <c r="BG350" s="798">
        <f t="shared" si="279"/>
        <v>0</v>
      </c>
      <c r="BH350" s="798">
        <f t="shared" si="279"/>
        <v>0</v>
      </c>
      <c r="BI350" s="798">
        <f t="shared" si="279"/>
        <v>0</v>
      </c>
      <c r="BJ350" s="798">
        <f t="shared" si="279"/>
        <v>0</v>
      </c>
      <c r="BK350" s="798">
        <f t="shared" si="279"/>
        <v>0</v>
      </c>
      <c r="BL350" s="798">
        <f t="shared" si="279"/>
        <v>0</v>
      </c>
      <c r="BM350" s="798">
        <f t="shared" si="279"/>
        <v>0</v>
      </c>
      <c r="BN350" s="798">
        <f t="shared" si="279"/>
        <v>0</v>
      </c>
      <c r="BO350" s="798">
        <f t="shared" si="279"/>
        <v>0</v>
      </c>
      <c r="BP350" s="798">
        <f t="shared" si="279"/>
        <v>0</v>
      </c>
      <c r="BQ350" s="798">
        <f t="shared" si="279"/>
        <v>0</v>
      </c>
      <c r="BR350" s="798">
        <f t="shared" ref="BR350:EC350" si="280">-BR250</f>
        <v>0</v>
      </c>
      <c r="BS350" s="798">
        <f t="shared" si="280"/>
        <v>0</v>
      </c>
      <c r="BT350" s="798">
        <f t="shared" si="280"/>
        <v>0</v>
      </c>
      <c r="BU350" s="798">
        <f t="shared" si="280"/>
        <v>0</v>
      </c>
      <c r="BV350" s="798">
        <f t="shared" si="280"/>
        <v>0</v>
      </c>
      <c r="BW350" s="798">
        <f t="shared" si="280"/>
        <v>0</v>
      </c>
      <c r="BX350" s="798">
        <f t="shared" si="280"/>
        <v>0</v>
      </c>
      <c r="BY350" s="798">
        <f t="shared" si="280"/>
        <v>0</v>
      </c>
      <c r="BZ350" s="798">
        <f t="shared" si="280"/>
        <v>0</v>
      </c>
      <c r="CA350" s="798">
        <f t="shared" si="280"/>
        <v>0</v>
      </c>
      <c r="CB350" s="798">
        <f t="shared" si="280"/>
        <v>0</v>
      </c>
      <c r="CC350" s="798">
        <f t="shared" si="280"/>
        <v>0</v>
      </c>
      <c r="CD350" s="798">
        <f t="shared" si="280"/>
        <v>0</v>
      </c>
      <c r="CE350" s="798">
        <f t="shared" si="280"/>
        <v>0</v>
      </c>
      <c r="CF350" s="798">
        <f t="shared" si="280"/>
        <v>0</v>
      </c>
      <c r="CG350" s="798">
        <f t="shared" si="280"/>
        <v>0</v>
      </c>
      <c r="CH350" s="798">
        <f t="shared" si="280"/>
        <v>0</v>
      </c>
      <c r="CI350" s="798">
        <f t="shared" si="280"/>
        <v>0</v>
      </c>
      <c r="CJ350" s="798">
        <f t="shared" si="280"/>
        <v>0</v>
      </c>
      <c r="CK350" s="798">
        <f t="shared" si="280"/>
        <v>0</v>
      </c>
      <c r="CL350" s="798">
        <f t="shared" si="280"/>
        <v>0</v>
      </c>
      <c r="CM350" s="798">
        <f t="shared" si="280"/>
        <v>0</v>
      </c>
      <c r="CN350" s="798">
        <f t="shared" si="280"/>
        <v>0</v>
      </c>
      <c r="CO350" s="798">
        <f t="shared" si="280"/>
        <v>0</v>
      </c>
      <c r="CP350" s="798">
        <f t="shared" si="280"/>
        <v>0</v>
      </c>
      <c r="CQ350" s="798">
        <f t="shared" si="280"/>
        <v>0</v>
      </c>
      <c r="CR350" s="798">
        <f t="shared" si="280"/>
        <v>0</v>
      </c>
      <c r="CS350" s="798">
        <f t="shared" si="280"/>
        <v>0</v>
      </c>
      <c r="CT350" s="798">
        <f t="shared" si="280"/>
        <v>0</v>
      </c>
      <c r="CU350" s="798">
        <f t="shared" si="280"/>
        <v>0</v>
      </c>
      <c r="CV350" s="798">
        <f t="shared" si="280"/>
        <v>0</v>
      </c>
      <c r="CW350" s="798">
        <f t="shared" si="280"/>
        <v>-5736147.0869287392</v>
      </c>
      <c r="CX350" s="798">
        <f t="shared" si="280"/>
        <v>0</v>
      </c>
      <c r="CY350" s="798">
        <f t="shared" si="280"/>
        <v>0</v>
      </c>
      <c r="CZ350" s="798">
        <f t="shared" si="280"/>
        <v>0</v>
      </c>
      <c r="DA350" s="798">
        <f t="shared" si="280"/>
        <v>0</v>
      </c>
      <c r="DB350" s="798">
        <f t="shared" si="280"/>
        <v>0</v>
      </c>
      <c r="DC350" s="798">
        <f t="shared" si="280"/>
        <v>0</v>
      </c>
      <c r="DD350" s="798">
        <f t="shared" si="280"/>
        <v>0</v>
      </c>
      <c r="DE350" s="798">
        <f t="shared" si="280"/>
        <v>0</v>
      </c>
      <c r="DF350" s="798">
        <f t="shared" si="280"/>
        <v>0</v>
      </c>
      <c r="DG350" s="798">
        <f t="shared" si="280"/>
        <v>0</v>
      </c>
      <c r="DH350" s="798">
        <f t="shared" si="280"/>
        <v>0</v>
      </c>
      <c r="DI350" s="798">
        <f t="shared" si="280"/>
        <v>0</v>
      </c>
      <c r="DJ350" s="798">
        <f t="shared" si="280"/>
        <v>0</v>
      </c>
      <c r="DK350" s="798">
        <f t="shared" si="280"/>
        <v>0</v>
      </c>
      <c r="DL350" s="798">
        <f t="shared" si="280"/>
        <v>0</v>
      </c>
      <c r="DM350" s="798">
        <f t="shared" si="280"/>
        <v>0</v>
      </c>
      <c r="DN350" s="798">
        <f t="shared" si="280"/>
        <v>0</v>
      </c>
      <c r="DO350" s="798">
        <f t="shared" si="280"/>
        <v>0</v>
      </c>
      <c r="DP350" s="798">
        <f t="shared" si="280"/>
        <v>0</v>
      </c>
      <c r="DQ350" s="798">
        <f t="shared" si="280"/>
        <v>0</v>
      </c>
      <c r="DR350" s="798">
        <f t="shared" si="280"/>
        <v>0</v>
      </c>
      <c r="DS350" s="798">
        <f t="shared" si="280"/>
        <v>0</v>
      </c>
      <c r="DT350" s="798">
        <f t="shared" si="280"/>
        <v>0</v>
      </c>
      <c r="DU350" s="798">
        <f t="shared" si="280"/>
        <v>0</v>
      </c>
      <c r="DV350" s="798">
        <f t="shared" si="280"/>
        <v>0</v>
      </c>
      <c r="DW350" s="798">
        <f t="shared" si="280"/>
        <v>0</v>
      </c>
      <c r="DX350" s="798">
        <f t="shared" si="280"/>
        <v>0</v>
      </c>
      <c r="DY350" s="798">
        <f t="shared" si="280"/>
        <v>0</v>
      </c>
      <c r="DZ350" s="798">
        <f t="shared" si="280"/>
        <v>0</v>
      </c>
      <c r="EA350" s="798">
        <f t="shared" si="280"/>
        <v>0</v>
      </c>
      <c r="EB350" s="798">
        <f t="shared" si="280"/>
        <v>0</v>
      </c>
      <c r="EC350" s="798">
        <f t="shared" si="280"/>
        <v>0</v>
      </c>
      <c r="ED350" s="798">
        <f>-ED250</f>
        <v>0</v>
      </c>
      <c r="EE350" s="798">
        <f>-EE250</f>
        <v>0</v>
      </c>
      <c r="EF350" s="798">
        <f>-EF250</f>
        <v>0</v>
      </c>
      <c r="EG350" s="798">
        <f>-EG250</f>
        <v>0</v>
      </c>
      <c r="EH350" s="782"/>
    </row>
    <row r="351" spans="1:138" ht="12.75" customHeight="1" x14ac:dyDescent="0.3">
      <c r="A351" s="782"/>
      <c r="B351" s="821" t="s">
        <v>193</v>
      </c>
      <c r="C351" s="822">
        <f>SUM(E351:EG351)</f>
        <v>56038754.547074467</v>
      </c>
      <c r="D351" s="821"/>
      <c r="E351" s="822">
        <f>E345+SUM(E348:E350)</f>
        <v>-1943435.5218400576</v>
      </c>
      <c r="F351" s="822">
        <f t="shared" ref="F351:BQ351" si="281">F345+SUM(F348:F350)</f>
        <v>-15208647.652673729</v>
      </c>
      <c r="G351" s="822">
        <f t="shared" si="281"/>
        <v>-491498.0015560445</v>
      </c>
      <c r="H351" s="822">
        <f t="shared" si="281"/>
        <v>-739130.23477478127</v>
      </c>
      <c r="I351" s="822">
        <f t="shared" si="281"/>
        <v>-1245669.8451237862</v>
      </c>
      <c r="J351" s="822">
        <f t="shared" si="281"/>
        <v>-2024138.5150061427</v>
      </c>
      <c r="K351" s="822">
        <f t="shared" si="281"/>
        <v>-2083605.0857725968</v>
      </c>
      <c r="L351" s="822">
        <f t="shared" si="281"/>
        <v>-2651537.8825037964</v>
      </c>
      <c r="M351" s="822">
        <f t="shared" si="281"/>
        <v>-3143136.2409976111</v>
      </c>
      <c r="N351" s="822">
        <f t="shared" si="281"/>
        <v>-3677476.1526163789</v>
      </c>
      <c r="O351" s="822">
        <f t="shared" si="281"/>
        <v>-2096036.1763591815</v>
      </c>
      <c r="P351" s="822">
        <f t="shared" si="281"/>
        <v>-20243.445243114293</v>
      </c>
      <c r="Q351" s="822">
        <f t="shared" si="281"/>
        <v>-21536.504033744117</v>
      </c>
      <c r="R351" s="822">
        <f t="shared" si="281"/>
        <v>-22846.387199595178</v>
      </c>
      <c r="S351" s="822">
        <f t="shared" si="281"/>
        <v>-24169.242963682955</v>
      </c>
      <c r="T351" s="822">
        <f t="shared" si="281"/>
        <v>-25405.192141294679</v>
      </c>
      <c r="U351" s="822">
        <f t="shared" si="281"/>
        <v>-26605.498258502568</v>
      </c>
      <c r="V351" s="822">
        <f t="shared" si="281"/>
        <v>-27716.271931473133</v>
      </c>
      <c r="W351" s="822">
        <f t="shared" si="281"/>
        <v>-28714.745112786575</v>
      </c>
      <c r="X351" s="822">
        <f t="shared" si="281"/>
        <v>-29708.008202723711</v>
      </c>
      <c r="Y351" s="822">
        <f t="shared" si="281"/>
        <v>-30619.50573784305</v>
      </c>
      <c r="Z351" s="822">
        <f t="shared" si="281"/>
        <v>-31386.510991997875</v>
      </c>
      <c r="AA351" s="822">
        <f t="shared" si="281"/>
        <v>-32040.043232683936</v>
      </c>
      <c r="AB351" s="822">
        <f t="shared" si="281"/>
        <v>-32583.31885140936</v>
      </c>
      <c r="AC351" s="822">
        <f t="shared" si="281"/>
        <v>11164.455298793164</v>
      </c>
      <c r="AD351" s="822">
        <f t="shared" si="281"/>
        <v>51087.028808271949</v>
      </c>
      <c r="AE351" s="822">
        <f t="shared" si="281"/>
        <v>96690.409152741282</v>
      </c>
      <c r="AF351" s="822">
        <f t="shared" si="281"/>
        <v>186128.38333325498</v>
      </c>
      <c r="AG351" s="822">
        <f t="shared" si="281"/>
        <v>189774.72498510519</v>
      </c>
      <c r="AH351" s="822">
        <f t="shared" si="281"/>
        <v>191077.87392284846</v>
      </c>
      <c r="AI351" s="822">
        <f t="shared" si="281"/>
        <v>424631.52148606483</v>
      </c>
      <c r="AJ351" s="822">
        <f t="shared" si="281"/>
        <v>427220.46900700842</v>
      </c>
      <c r="AK351" s="822">
        <f t="shared" si="281"/>
        <v>-6438710.688185418</v>
      </c>
      <c r="AL351" s="822">
        <f t="shared" si="281"/>
        <v>14315530.3242827</v>
      </c>
      <c r="AM351" s="822">
        <f t="shared" si="281"/>
        <v>205293.34606116661</v>
      </c>
      <c r="AN351" s="822">
        <f t="shared" si="281"/>
        <v>207793.40423970085</v>
      </c>
      <c r="AO351" s="822">
        <f t="shared" si="281"/>
        <v>210260.10262606523</v>
      </c>
      <c r="AP351" s="822">
        <f t="shared" si="281"/>
        <v>211885.65974115423</v>
      </c>
      <c r="AQ351" s="822">
        <f t="shared" si="281"/>
        <v>215188.01193420406</v>
      </c>
      <c r="AR351" s="822">
        <f t="shared" si="281"/>
        <v>218012.9416200624</v>
      </c>
      <c r="AS351" s="822">
        <f t="shared" si="281"/>
        <v>213181.07686987985</v>
      </c>
      <c r="AT351" s="822">
        <f t="shared" si="281"/>
        <v>214770.00861920218</v>
      </c>
      <c r="AU351" s="822">
        <f t="shared" si="281"/>
        <v>216264.46058470523</v>
      </c>
      <c r="AV351" s="822">
        <f t="shared" si="281"/>
        <v>218515.59404432448</v>
      </c>
      <c r="AW351" s="822">
        <f t="shared" si="281"/>
        <v>220675.94358853242</v>
      </c>
      <c r="AX351" s="822">
        <f t="shared" si="281"/>
        <v>222710.56184153532</v>
      </c>
      <c r="AY351" s="822">
        <f t="shared" si="281"/>
        <v>224665.72728851769</v>
      </c>
      <c r="AZ351" s="822">
        <f t="shared" si="281"/>
        <v>226548.52262565284</v>
      </c>
      <c r="BA351" s="822">
        <f t="shared" si="281"/>
        <v>228304.85297686295</v>
      </c>
      <c r="BB351" s="822">
        <f t="shared" si="281"/>
        <v>229344.9930368007</v>
      </c>
      <c r="BC351" s="822">
        <f t="shared" si="281"/>
        <v>231542.10904179295</v>
      </c>
      <c r="BD351" s="822">
        <f t="shared" si="281"/>
        <v>233317.7080138704</v>
      </c>
      <c r="BE351" s="822">
        <f t="shared" si="281"/>
        <v>229013.16839337221</v>
      </c>
      <c r="BF351" s="822">
        <f t="shared" si="281"/>
        <v>229911.66091752306</v>
      </c>
      <c r="BG351" s="822">
        <f t="shared" si="281"/>
        <v>230813.78680437503</v>
      </c>
      <c r="BH351" s="822">
        <f t="shared" si="281"/>
        <v>232345.63973502186</v>
      </c>
      <c r="BI351" s="822">
        <f t="shared" si="281"/>
        <v>233902.4265315792</v>
      </c>
      <c r="BJ351" s="822">
        <f t="shared" si="281"/>
        <v>235545.94755839423</v>
      </c>
      <c r="BK351" s="822">
        <f t="shared" si="281"/>
        <v>237262.50476525677</v>
      </c>
      <c r="BL351" s="822">
        <f t="shared" si="281"/>
        <v>238991.57351446556</v>
      </c>
      <c r="BM351" s="822">
        <f t="shared" si="281"/>
        <v>240811.21361387809</v>
      </c>
      <c r="BN351" s="822">
        <f t="shared" si="281"/>
        <v>242002.34658988175</v>
      </c>
      <c r="BO351" s="822">
        <f t="shared" si="281"/>
        <v>244627.30669974274</v>
      </c>
      <c r="BP351" s="822">
        <f t="shared" si="281"/>
        <v>246922.0418636211</v>
      </c>
      <c r="BQ351" s="822">
        <f t="shared" si="281"/>
        <v>242733.25370419392</v>
      </c>
      <c r="BR351" s="822">
        <f t="shared" ref="BR351:EC351" si="282">BR345+SUM(BR348:BR350)</f>
        <v>244033.96696505454</v>
      </c>
      <c r="BS351" s="822">
        <f t="shared" si="282"/>
        <v>245313.14997026659</v>
      </c>
      <c r="BT351" s="822">
        <f t="shared" si="282"/>
        <v>247377.11673495109</v>
      </c>
      <c r="BU351" s="822">
        <f t="shared" si="282"/>
        <v>249414.97281073497</v>
      </c>
      <c r="BV351" s="822">
        <f t="shared" si="282"/>
        <v>251479.3205969065</v>
      </c>
      <c r="BW351" s="822">
        <f t="shared" si="282"/>
        <v>253576.88775609701</v>
      </c>
      <c r="BX351" s="822">
        <f t="shared" si="282"/>
        <v>255660.88139998799</v>
      </c>
      <c r="BY351" s="822">
        <f t="shared" si="282"/>
        <v>257780.55934433491</v>
      </c>
      <c r="BZ351" s="822">
        <f t="shared" si="282"/>
        <v>259130.53765731424</v>
      </c>
      <c r="CA351" s="822">
        <f t="shared" si="282"/>
        <v>262044.06866613019</v>
      </c>
      <c r="CB351" s="822">
        <f t="shared" si="282"/>
        <v>264568.88723862561</v>
      </c>
      <c r="CC351" s="822">
        <f t="shared" si="282"/>
        <v>260334.62676779419</v>
      </c>
      <c r="CD351" s="822">
        <f t="shared" si="282"/>
        <v>261766.27506953065</v>
      </c>
      <c r="CE351" s="822">
        <f t="shared" si="282"/>
        <v>263169.39895795332</v>
      </c>
      <c r="CF351" s="822">
        <f t="shared" si="282"/>
        <v>265374.12330500968</v>
      </c>
      <c r="CG351" s="822">
        <f t="shared" si="282"/>
        <v>267569.84631198365</v>
      </c>
      <c r="CH351" s="822">
        <f t="shared" si="282"/>
        <v>269785.75663471175</v>
      </c>
      <c r="CI351" s="822">
        <f t="shared" si="282"/>
        <v>271981.27502716507</v>
      </c>
      <c r="CJ351" s="822">
        <f t="shared" si="282"/>
        <v>274209.9614994725</v>
      </c>
      <c r="CK351" s="822">
        <f t="shared" si="282"/>
        <v>276471.37765448482</v>
      </c>
      <c r="CL351" s="822">
        <f t="shared" si="282"/>
        <v>277910.21305872517</v>
      </c>
      <c r="CM351" s="822">
        <f t="shared" si="282"/>
        <v>280971.24051798158</v>
      </c>
      <c r="CN351" s="822">
        <f t="shared" si="282"/>
        <v>283611.40197433194</v>
      </c>
      <c r="CO351" s="822">
        <f t="shared" si="282"/>
        <v>279273.11677509604</v>
      </c>
      <c r="CP351" s="822">
        <f t="shared" si="282"/>
        <v>280770.93938649778</v>
      </c>
      <c r="CQ351" s="822">
        <f t="shared" si="282"/>
        <v>282239.46279127692</v>
      </c>
      <c r="CR351" s="822">
        <f t="shared" si="282"/>
        <v>284516.27143163967</v>
      </c>
      <c r="CS351" s="822">
        <f t="shared" si="282"/>
        <v>286814.10642290174</v>
      </c>
      <c r="CT351" s="822">
        <f t="shared" si="282"/>
        <v>289146.38855799765</v>
      </c>
      <c r="CU351" s="822">
        <f t="shared" si="282"/>
        <v>291451.51423692808</v>
      </c>
      <c r="CV351" s="822">
        <f t="shared" si="282"/>
        <v>293779.70006957493</v>
      </c>
      <c r="CW351" s="822">
        <f t="shared" si="282"/>
        <v>66877360.78707125</v>
      </c>
      <c r="CX351" s="822">
        <f t="shared" si="282"/>
        <v>0</v>
      </c>
      <c r="CY351" s="822">
        <f t="shared" si="282"/>
        <v>0</v>
      </c>
      <c r="CZ351" s="822">
        <f t="shared" si="282"/>
        <v>0</v>
      </c>
      <c r="DA351" s="822">
        <f t="shared" si="282"/>
        <v>0</v>
      </c>
      <c r="DB351" s="822">
        <f t="shared" si="282"/>
        <v>0</v>
      </c>
      <c r="DC351" s="822">
        <f t="shared" si="282"/>
        <v>0</v>
      </c>
      <c r="DD351" s="822">
        <f t="shared" si="282"/>
        <v>0</v>
      </c>
      <c r="DE351" s="822">
        <f t="shared" si="282"/>
        <v>0</v>
      </c>
      <c r="DF351" s="822">
        <f t="shared" si="282"/>
        <v>0</v>
      </c>
      <c r="DG351" s="822">
        <f t="shared" si="282"/>
        <v>0</v>
      </c>
      <c r="DH351" s="822">
        <f t="shared" si="282"/>
        <v>0</v>
      </c>
      <c r="DI351" s="822">
        <f t="shared" si="282"/>
        <v>0</v>
      </c>
      <c r="DJ351" s="822">
        <f t="shared" si="282"/>
        <v>0</v>
      </c>
      <c r="DK351" s="822">
        <f t="shared" si="282"/>
        <v>0</v>
      </c>
      <c r="DL351" s="822">
        <f t="shared" si="282"/>
        <v>0</v>
      </c>
      <c r="DM351" s="822">
        <f t="shared" si="282"/>
        <v>0</v>
      </c>
      <c r="DN351" s="822">
        <f t="shared" si="282"/>
        <v>0</v>
      </c>
      <c r="DO351" s="822">
        <f t="shared" si="282"/>
        <v>0</v>
      </c>
      <c r="DP351" s="822">
        <f t="shared" si="282"/>
        <v>0</v>
      </c>
      <c r="DQ351" s="822">
        <f t="shared" si="282"/>
        <v>0</v>
      </c>
      <c r="DR351" s="822">
        <f t="shared" si="282"/>
        <v>0</v>
      </c>
      <c r="DS351" s="822">
        <f t="shared" si="282"/>
        <v>0</v>
      </c>
      <c r="DT351" s="822">
        <f t="shared" si="282"/>
        <v>0</v>
      </c>
      <c r="DU351" s="822">
        <f t="shared" si="282"/>
        <v>0</v>
      </c>
      <c r="DV351" s="822">
        <f t="shared" si="282"/>
        <v>0</v>
      </c>
      <c r="DW351" s="822">
        <f t="shared" si="282"/>
        <v>0</v>
      </c>
      <c r="DX351" s="822">
        <f t="shared" si="282"/>
        <v>0</v>
      </c>
      <c r="DY351" s="822">
        <f t="shared" si="282"/>
        <v>0</v>
      </c>
      <c r="DZ351" s="822">
        <f t="shared" si="282"/>
        <v>0</v>
      </c>
      <c r="EA351" s="822">
        <f t="shared" si="282"/>
        <v>0</v>
      </c>
      <c r="EB351" s="822">
        <f t="shared" si="282"/>
        <v>0</v>
      </c>
      <c r="EC351" s="822">
        <f t="shared" si="282"/>
        <v>0</v>
      </c>
      <c r="ED351" s="822">
        <f>ED345+SUM(ED348:ED350)</f>
        <v>0</v>
      </c>
      <c r="EE351" s="822">
        <f>EE345+SUM(EE348:EE350)</f>
        <v>0</v>
      </c>
      <c r="EF351" s="822">
        <f>EF345+SUM(EF348:EF350)</f>
        <v>0</v>
      </c>
      <c r="EG351" s="822">
        <f>EG345+SUM(EG348:EG350)</f>
        <v>0</v>
      </c>
      <c r="EH351" s="782"/>
    </row>
    <row r="352" spans="1:138" ht="12.75" customHeight="1" x14ac:dyDescent="0.3">
      <c r="A352" s="782"/>
      <c r="B352" s="782"/>
      <c r="C352" s="798"/>
      <c r="D352" s="782"/>
      <c r="E352" s="798"/>
      <c r="F352" s="798"/>
      <c r="G352" s="798"/>
      <c r="H352" s="798"/>
      <c r="I352" s="798"/>
      <c r="J352" s="798"/>
      <c r="K352" s="798"/>
      <c r="L352" s="798"/>
      <c r="M352" s="798"/>
      <c r="N352" s="798"/>
      <c r="O352" s="798"/>
      <c r="P352" s="798"/>
      <c r="Q352" s="798"/>
      <c r="R352" s="798"/>
      <c r="S352" s="798"/>
      <c r="T352" s="798"/>
      <c r="U352" s="798"/>
      <c r="V352" s="798"/>
      <c r="W352" s="798"/>
      <c r="X352" s="798"/>
      <c r="Y352" s="798"/>
      <c r="Z352" s="798"/>
      <c r="AA352" s="798"/>
      <c r="AB352" s="798"/>
      <c r="AC352" s="798"/>
      <c r="AD352" s="798"/>
      <c r="AE352" s="798"/>
      <c r="AF352" s="798"/>
      <c r="AG352" s="798"/>
      <c r="AH352" s="798"/>
      <c r="AI352" s="798"/>
      <c r="AJ352" s="798"/>
      <c r="AK352" s="798"/>
      <c r="AL352" s="798"/>
      <c r="AM352" s="798"/>
      <c r="AN352" s="798"/>
      <c r="AO352" s="798"/>
      <c r="AP352" s="798"/>
      <c r="AQ352" s="798"/>
      <c r="AR352" s="798"/>
      <c r="AS352" s="798"/>
      <c r="AT352" s="798"/>
      <c r="AU352" s="798"/>
      <c r="AV352" s="798"/>
      <c r="AW352" s="798"/>
      <c r="AX352" s="798"/>
      <c r="AY352" s="798"/>
      <c r="AZ352" s="798"/>
      <c r="BA352" s="798"/>
      <c r="BB352" s="798"/>
      <c r="BC352" s="798"/>
      <c r="BD352" s="798"/>
      <c r="BE352" s="798"/>
      <c r="BF352" s="798"/>
      <c r="BG352" s="798"/>
      <c r="BH352" s="798"/>
      <c r="BI352" s="798"/>
      <c r="BJ352" s="798"/>
      <c r="BK352" s="798"/>
      <c r="BL352" s="798"/>
      <c r="BM352" s="798"/>
      <c r="BN352" s="798"/>
      <c r="BO352" s="798"/>
      <c r="BP352" s="798"/>
      <c r="BQ352" s="798"/>
      <c r="BR352" s="798"/>
      <c r="BS352" s="798"/>
      <c r="BT352" s="798"/>
      <c r="BU352" s="798"/>
      <c r="BV352" s="798"/>
      <c r="BW352" s="798"/>
      <c r="BX352" s="798"/>
      <c r="BY352" s="798"/>
      <c r="BZ352" s="798"/>
      <c r="CA352" s="798"/>
      <c r="CB352" s="798"/>
      <c r="CC352" s="798"/>
      <c r="CD352" s="798"/>
      <c r="CE352" s="798"/>
      <c r="CF352" s="798"/>
      <c r="CG352" s="798"/>
      <c r="CH352" s="798"/>
      <c r="CI352" s="798"/>
      <c r="CJ352" s="798"/>
      <c r="CK352" s="798"/>
      <c r="CL352" s="798"/>
      <c r="CM352" s="798"/>
      <c r="CN352" s="798"/>
      <c r="CO352" s="798"/>
      <c r="CP352" s="798"/>
      <c r="CQ352" s="798"/>
      <c r="CR352" s="798"/>
      <c r="CS352" s="798"/>
      <c r="CT352" s="798"/>
      <c r="CU352" s="798"/>
      <c r="CV352" s="798"/>
      <c r="CW352" s="798"/>
      <c r="CX352" s="798"/>
      <c r="CY352" s="798"/>
      <c r="CZ352" s="798"/>
      <c r="DA352" s="798"/>
      <c r="DB352" s="798"/>
      <c r="DC352" s="798"/>
      <c r="DD352" s="798"/>
      <c r="DE352" s="798"/>
      <c r="DF352" s="798"/>
      <c r="DG352" s="798"/>
      <c r="DH352" s="798"/>
      <c r="DI352" s="798"/>
      <c r="DJ352" s="798"/>
      <c r="DK352" s="798"/>
      <c r="DL352" s="798"/>
      <c r="DM352" s="798"/>
      <c r="DN352" s="798"/>
      <c r="DO352" s="798"/>
      <c r="DP352" s="798"/>
      <c r="DQ352" s="798"/>
      <c r="DR352" s="798"/>
      <c r="DS352" s="798"/>
      <c r="DT352" s="798"/>
      <c r="DU352" s="798"/>
      <c r="DV352" s="798"/>
      <c r="DW352" s="798"/>
      <c r="DX352" s="798"/>
      <c r="DY352" s="798"/>
      <c r="DZ352" s="798"/>
      <c r="EA352" s="798"/>
      <c r="EB352" s="798"/>
      <c r="EC352" s="798"/>
      <c r="ED352" s="798"/>
      <c r="EE352" s="798"/>
      <c r="EF352" s="798"/>
      <c r="EG352" s="798"/>
      <c r="EH352" s="782"/>
    </row>
    <row r="353" spans="1:138" ht="12.75" customHeight="1" x14ac:dyDescent="0.3">
      <c r="A353" s="782"/>
      <c r="B353" s="782" t="s">
        <v>194</v>
      </c>
      <c r="C353" s="798">
        <f>SUM(E353:EG353)</f>
        <v>13953649.882221539</v>
      </c>
      <c r="D353" s="782"/>
      <c r="E353" s="798">
        <f>E351*'Venture Assumptions'!$F$11</f>
        <v>-483915.44493817433</v>
      </c>
      <c r="F353" s="798">
        <f>F351*'Venture Assumptions'!$F$11</f>
        <v>-3786953.2655157587</v>
      </c>
      <c r="G353" s="798">
        <f>G351*'Venture Assumptions'!$F$11</f>
        <v>-122383.00238745508</v>
      </c>
      <c r="H353" s="798">
        <f>H351*'Venture Assumptions'!$F$11</f>
        <v>-184043.42845892053</v>
      </c>
      <c r="I353" s="798">
        <f>I351*'Venture Assumptions'!$F$11</f>
        <v>-310171.79143582279</v>
      </c>
      <c r="J353" s="798">
        <f>J351*'Venture Assumptions'!$F$11</f>
        <v>-504010.4902365295</v>
      </c>
      <c r="K353" s="798">
        <f>K351*'Venture Assumptions'!$F$11</f>
        <v>-518817.66635737661</v>
      </c>
      <c r="L353" s="798">
        <f>L351*'Venture Assumptions'!$F$11</f>
        <v>-660232.93274344527</v>
      </c>
      <c r="M353" s="798">
        <f>M351*'Venture Assumptions'!$F$11</f>
        <v>-782640.92400840519</v>
      </c>
      <c r="N353" s="798">
        <f>N351*'Venture Assumptions'!$F$11</f>
        <v>-915691.56200147828</v>
      </c>
      <c r="O353" s="798">
        <f>O351*'Venture Assumptions'!$F$11</f>
        <v>-521913.00791343622</v>
      </c>
      <c r="P353" s="798">
        <f>P351*'Venture Assumptions'!$F$11</f>
        <v>-5040.6178655354588</v>
      </c>
      <c r="Q353" s="798">
        <f>Q351*'Venture Assumptions'!$F$11</f>
        <v>-5362.5895044022855</v>
      </c>
      <c r="R353" s="798">
        <f>R351*'Venture Assumptions'!$F$11</f>
        <v>-5688.7504126991989</v>
      </c>
      <c r="S353" s="798">
        <f>S351*'Venture Assumptions'!$F$11</f>
        <v>-6018.1414979570554</v>
      </c>
      <c r="T353" s="798">
        <f>T351*'Venture Assumptions'!$F$11</f>
        <v>-6325.8928431823751</v>
      </c>
      <c r="U353" s="798">
        <f>U351*'Venture Assumptions'!$F$11</f>
        <v>-6624.7690663671392</v>
      </c>
      <c r="V353" s="798">
        <f>V351*'Venture Assumptions'!$F$11</f>
        <v>-6901.3517109368104</v>
      </c>
      <c r="W353" s="798">
        <f>W351*'Venture Assumptions'!$F$11</f>
        <v>-7149.9715330838571</v>
      </c>
      <c r="X353" s="798">
        <f>X351*'Venture Assumptions'!$F$11</f>
        <v>-7397.2940424782037</v>
      </c>
      <c r="Y353" s="798">
        <f>Y351*'Venture Assumptions'!$F$11</f>
        <v>-7624.2569287229198</v>
      </c>
      <c r="Z353" s="798">
        <f>Z351*'Venture Assumptions'!$F$11</f>
        <v>-7815.2412370074708</v>
      </c>
      <c r="AA353" s="798">
        <f>AA351*'Venture Assumptions'!$F$11</f>
        <v>-7977.9707649382999</v>
      </c>
      <c r="AB353" s="798">
        <f>AB351*'Venture Assumptions'!$F$11</f>
        <v>-8113.2463940009302</v>
      </c>
      <c r="AC353" s="798">
        <f>AC351*'Venture Assumptions'!$F$11</f>
        <v>2779.9493693994978</v>
      </c>
      <c r="AD353" s="798">
        <f>AD351*'Venture Assumptions'!$F$11</f>
        <v>12720.670173259716</v>
      </c>
      <c r="AE353" s="798">
        <f>AE351*'Venture Assumptions'!$F$11</f>
        <v>24075.911879032577</v>
      </c>
      <c r="AF353" s="798">
        <f>AF351*'Venture Assumptions'!$F$11</f>
        <v>46345.96744998049</v>
      </c>
      <c r="AG353" s="798">
        <f>AG351*'Venture Assumptions'!$F$11</f>
        <v>47253.906521291196</v>
      </c>
      <c r="AH353" s="798">
        <f>AH351*'Venture Assumptions'!$F$11</f>
        <v>47578.390606789268</v>
      </c>
      <c r="AI353" s="798">
        <f>AI351*'Venture Assumptions'!$F$11</f>
        <v>105733.24885003014</v>
      </c>
      <c r="AJ353" s="798">
        <f>AJ351*'Venture Assumptions'!$F$11</f>
        <v>106377.8967827451</v>
      </c>
      <c r="AK353" s="798">
        <f>AK351*'Venture Assumptions'!$F$11</f>
        <v>-1603238.9613581691</v>
      </c>
      <c r="AL353" s="798">
        <f>AL351*'Venture Assumptions'!$F$11</f>
        <v>3564567.0507463925</v>
      </c>
      <c r="AM353" s="798">
        <f>AM351*'Venture Assumptions'!$F$11</f>
        <v>51118.043169230485</v>
      </c>
      <c r="AN353" s="798">
        <f>AN351*'Venture Assumptions'!$F$11</f>
        <v>51740.557655685509</v>
      </c>
      <c r="AO353" s="798">
        <f>AO351*'Venture Assumptions'!$F$11</f>
        <v>52354.76555389024</v>
      </c>
      <c r="AP353" s="798">
        <f>AP351*'Venture Assumptions'!$F$11</f>
        <v>52759.5292755474</v>
      </c>
      <c r="AQ353" s="798">
        <f>AQ351*'Venture Assumptions'!$F$11</f>
        <v>53581.814971616812</v>
      </c>
      <c r="AR353" s="798">
        <f>AR351*'Venture Assumptions'!$F$11</f>
        <v>54285.222463395534</v>
      </c>
      <c r="AS353" s="798">
        <f>AS351*'Venture Assumptions'!$F$11</f>
        <v>53082.088140600084</v>
      </c>
      <c r="AT353" s="798">
        <f>AT351*'Venture Assumptions'!$F$11</f>
        <v>53477.732146181341</v>
      </c>
      <c r="AU353" s="798">
        <f>AU351*'Venture Assumptions'!$F$11</f>
        <v>53849.850685591598</v>
      </c>
      <c r="AV353" s="798">
        <f>AV351*'Venture Assumptions'!$F$11</f>
        <v>54410.382917036797</v>
      </c>
      <c r="AW353" s="798">
        <f>AW351*'Venture Assumptions'!$F$11</f>
        <v>54948.309953544573</v>
      </c>
      <c r="AX353" s="798">
        <f>AX351*'Venture Assumptions'!$F$11</f>
        <v>55454.929898542294</v>
      </c>
      <c r="AY353" s="798">
        <f>AY351*'Venture Assumptions'!$F$11</f>
        <v>55941.766094840903</v>
      </c>
      <c r="AZ353" s="798">
        <f>AZ351*'Venture Assumptions'!$F$11</f>
        <v>56410.58213378756</v>
      </c>
      <c r="BA353" s="798">
        <f>BA351*'Venture Assumptions'!$F$11</f>
        <v>56847.908391238874</v>
      </c>
      <c r="BB353" s="798">
        <f>BB351*'Venture Assumptions'!$F$11</f>
        <v>57106.903266163376</v>
      </c>
      <c r="BC353" s="798">
        <f>BC351*'Venture Assumptions'!$F$11</f>
        <v>57653.985151406443</v>
      </c>
      <c r="BD353" s="798">
        <f>BD351*'Venture Assumptions'!$F$11</f>
        <v>58096.109295453731</v>
      </c>
      <c r="BE353" s="798">
        <f>BE351*'Venture Assumptions'!$F$11</f>
        <v>57024.27892994968</v>
      </c>
      <c r="BF353" s="798">
        <f>BF351*'Venture Assumptions'!$F$11</f>
        <v>57248.003568463238</v>
      </c>
      <c r="BG353" s="798">
        <f>BG351*'Venture Assumptions'!$F$11</f>
        <v>57472.632914289381</v>
      </c>
      <c r="BH353" s="798">
        <f>BH351*'Venture Assumptions'!$F$11</f>
        <v>57854.064294020442</v>
      </c>
      <c r="BI353" s="798">
        <f>BI351*'Venture Assumptions'!$F$11</f>
        <v>58241.704206363218</v>
      </c>
      <c r="BJ353" s="798">
        <f>BJ351*'Venture Assumptions'!$F$11</f>
        <v>58650.940942040164</v>
      </c>
      <c r="BK353" s="798">
        <f>BK351*'Venture Assumptions'!$F$11</f>
        <v>59078.363686548939</v>
      </c>
      <c r="BL353" s="798">
        <f>BL351*'Venture Assumptions'!$F$11</f>
        <v>59508.901805101923</v>
      </c>
      <c r="BM353" s="798">
        <f>BM351*'Venture Assumptions'!$F$11</f>
        <v>59961.992189855642</v>
      </c>
      <c r="BN353" s="798">
        <f>BN351*'Venture Assumptions'!$F$11</f>
        <v>60258.584300880553</v>
      </c>
      <c r="BO353" s="798">
        <f>BO351*'Venture Assumptions'!$F$11</f>
        <v>60912.199368235939</v>
      </c>
      <c r="BP353" s="798">
        <f>BP351*'Venture Assumptions'!$F$11</f>
        <v>61483.588424041656</v>
      </c>
      <c r="BQ353" s="798">
        <f>BQ351*'Venture Assumptions'!$F$11</f>
        <v>60440.580172344286</v>
      </c>
      <c r="BR353" s="798">
        <f>BR351*'Venture Assumptions'!$F$11</f>
        <v>60764.457774298578</v>
      </c>
      <c r="BS353" s="798">
        <f>BS351*'Venture Assumptions'!$F$11</f>
        <v>61082.974342596382</v>
      </c>
      <c r="BT353" s="798">
        <f>BT351*'Venture Assumptions'!$F$11</f>
        <v>61596.902067002826</v>
      </c>
      <c r="BU353" s="798">
        <f>BU351*'Venture Assumptions'!$F$11</f>
        <v>62104.328229873005</v>
      </c>
      <c r="BV353" s="798">
        <f>BV351*'Venture Assumptions'!$F$11</f>
        <v>62618.350828629722</v>
      </c>
      <c r="BW353" s="798">
        <f>BW351*'Venture Assumptions'!$F$11</f>
        <v>63140.645051268155</v>
      </c>
      <c r="BX353" s="798">
        <f>BX351*'Venture Assumptions'!$F$11</f>
        <v>63659.559468597014</v>
      </c>
      <c r="BY353" s="798">
        <f>BY351*'Venture Assumptions'!$F$11</f>
        <v>64187.359276739393</v>
      </c>
      <c r="BZ353" s="798">
        <f>BZ351*'Venture Assumptions'!$F$11</f>
        <v>64523.503876671246</v>
      </c>
      <c r="CA353" s="798">
        <f>CA351*'Venture Assumptions'!$F$11</f>
        <v>65248.973097866416</v>
      </c>
      <c r="CB353" s="798">
        <f>CB351*'Venture Assumptions'!$F$11</f>
        <v>65877.652922417779</v>
      </c>
      <c r="CC353" s="798">
        <f>CC351*'Venture Assumptions'!$F$11</f>
        <v>64823.322065180757</v>
      </c>
      <c r="CD353" s="798">
        <f>CD351*'Venture Assumptions'!$F$11</f>
        <v>65179.802492313131</v>
      </c>
      <c r="CE353" s="798">
        <f>CE351*'Venture Assumptions'!$F$11</f>
        <v>65529.18034053038</v>
      </c>
      <c r="CF353" s="798">
        <f>CF351*'Venture Assumptions'!$F$11</f>
        <v>66078.15670294741</v>
      </c>
      <c r="CG353" s="798">
        <f>CG351*'Venture Assumptions'!$F$11</f>
        <v>66624.891731683936</v>
      </c>
      <c r="CH353" s="798">
        <f>CH351*'Venture Assumptions'!$F$11</f>
        <v>67176.65340204323</v>
      </c>
      <c r="CI353" s="798">
        <f>CI351*'Venture Assumptions'!$F$11</f>
        <v>67723.337481764102</v>
      </c>
      <c r="CJ353" s="798">
        <f>CJ351*'Venture Assumptions'!$F$11</f>
        <v>68278.280413368659</v>
      </c>
      <c r="CK353" s="798">
        <f>CK351*'Venture Assumptions'!$F$11</f>
        <v>68841.373035966724</v>
      </c>
      <c r="CL353" s="798">
        <f>CL351*'Venture Assumptions'!$F$11</f>
        <v>69199.643051622566</v>
      </c>
      <c r="CM353" s="798">
        <f>CM351*'Venture Assumptions'!$F$11</f>
        <v>69961.838888977407</v>
      </c>
      <c r="CN353" s="798">
        <f>CN351*'Venture Assumptions'!$F$11</f>
        <v>70619.239091608659</v>
      </c>
      <c r="CO353" s="798">
        <f>CO351*'Venture Assumptions'!$F$11</f>
        <v>69539.006076998921</v>
      </c>
      <c r="CP353" s="798">
        <f>CP351*'Venture Assumptions'!$F$11</f>
        <v>69911.96390723795</v>
      </c>
      <c r="CQ353" s="798">
        <f>CQ351*'Venture Assumptions'!$F$11</f>
        <v>70277.626235027958</v>
      </c>
      <c r="CR353" s="798">
        <f>CR351*'Venture Assumptions'!$F$11</f>
        <v>70844.551586478279</v>
      </c>
      <c r="CS353" s="798">
        <f>CS351*'Venture Assumptions'!$F$11</f>
        <v>71416.712499302535</v>
      </c>
      <c r="CT353" s="798">
        <f>CT351*'Venture Assumptions'!$F$11</f>
        <v>71997.450750941411</v>
      </c>
      <c r="CU353" s="798">
        <f>CU351*'Venture Assumptions'!$F$11</f>
        <v>72571.427044995085</v>
      </c>
      <c r="CV353" s="798">
        <f>CV351*'Venture Assumptions'!$F$11</f>
        <v>73151.145317324161</v>
      </c>
      <c r="CW353" s="798">
        <f>CW351*'Venture Assumptions'!$F$11</f>
        <v>16652462.835980741</v>
      </c>
      <c r="CX353" s="798">
        <f>CX351*'Venture Assumptions'!$F$11</f>
        <v>0</v>
      </c>
      <c r="CY353" s="798">
        <f>CY351*'Venture Assumptions'!$F$11</f>
        <v>0</v>
      </c>
      <c r="CZ353" s="798">
        <f>CZ351*'Venture Assumptions'!$F$11</f>
        <v>0</v>
      </c>
      <c r="DA353" s="798">
        <f>DA351*'Venture Assumptions'!$F$11</f>
        <v>0</v>
      </c>
      <c r="DB353" s="798">
        <f>DB351*'Venture Assumptions'!$F$11</f>
        <v>0</v>
      </c>
      <c r="DC353" s="798">
        <f>DC351*'Venture Assumptions'!$F$11</f>
        <v>0</v>
      </c>
      <c r="DD353" s="798">
        <f>DD351*'Venture Assumptions'!$F$11</f>
        <v>0</v>
      </c>
      <c r="DE353" s="798">
        <f>DE351*'Venture Assumptions'!$F$11</f>
        <v>0</v>
      </c>
      <c r="DF353" s="798">
        <f>DF351*'Venture Assumptions'!$F$11</f>
        <v>0</v>
      </c>
      <c r="DG353" s="798">
        <f>DG351*'Venture Assumptions'!$F$11</f>
        <v>0</v>
      </c>
      <c r="DH353" s="798">
        <f>DH351*'Venture Assumptions'!$F$11</f>
        <v>0</v>
      </c>
      <c r="DI353" s="798">
        <f>DI351*'Venture Assumptions'!$F$11</f>
        <v>0</v>
      </c>
      <c r="DJ353" s="798">
        <f>DJ351*'Venture Assumptions'!$F$11</f>
        <v>0</v>
      </c>
      <c r="DK353" s="798">
        <f>DK351*'Venture Assumptions'!$F$11</f>
        <v>0</v>
      </c>
      <c r="DL353" s="798">
        <f>DL351*'Venture Assumptions'!$F$11</f>
        <v>0</v>
      </c>
      <c r="DM353" s="798">
        <f>DM351*'Venture Assumptions'!$F$11</f>
        <v>0</v>
      </c>
      <c r="DN353" s="798">
        <f>DN351*'Venture Assumptions'!$F$11</f>
        <v>0</v>
      </c>
      <c r="DO353" s="798">
        <f>DO351*'Venture Assumptions'!$F$11</f>
        <v>0</v>
      </c>
      <c r="DP353" s="798">
        <f>DP351*'Venture Assumptions'!$F$11</f>
        <v>0</v>
      </c>
      <c r="DQ353" s="798">
        <f>DQ351*'Venture Assumptions'!$F$11</f>
        <v>0</v>
      </c>
      <c r="DR353" s="798">
        <f>DR351*'Venture Assumptions'!$F$11</f>
        <v>0</v>
      </c>
      <c r="DS353" s="798">
        <f>DS351*'Venture Assumptions'!$F$11</f>
        <v>0</v>
      </c>
      <c r="DT353" s="798">
        <f>DT351*'Venture Assumptions'!$F$11</f>
        <v>0</v>
      </c>
      <c r="DU353" s="798">
        <f>DU351*'Venture Assumptions'!$F$11</f>
        <v>0</v>
      </c>
      <c r="DV353" s="798">
        <f>DV351*'Venture Assumptions'!$F$11</f>
        <v>0</v>
      </c>
      <c r="DW353" s="798">
        <f>DW351*'Venture Assumptions'!$F$11</f>
        <v>0</v>
      </c>
      <c r="DX353" s="798">
        <f>DX351*'Venture Assumptions'!$F$11</f>
        <v>0</v>
      </c>
      <c r="DY353" s="798">
        <f>DY351*'Venture Assumptions'!$F$11</f>
        <v>0</v>
      </c>
      <c r="DZ353" s="798">
        <f>DZ351*'Venture Assumptions'!$F$11</f>
        <v>0</v>
      </c>
      <c r="EA353" s="798">
        <f>EA351*'Venture Assumptions'!$F$11</f>
        <v>0</v>
      </c>
      <c r="EB353" s="798">
        <f>EB351*'Venture Assumptions'!$F$11</f>
        <v>0</v>
      </c>
      <c r="EC353" s="798">
        <f>EC351*'Venture Assumptions'!$F$11</f>
        <v>0</v>
      </c>
      <c r="ED353" s="798">
        <f>ED351*'Venture Assumptions'!$F$11</f>
        <v>0</v>
      </c>
      <c r="EE353" s="798">
        <f>EE351*'Venture Assumptions'!$F$11</f>
        <v>0</v>
      </c>
      <c r="EF353" s="798">
        <f>EF351*'Venture Assumptions'!$F$11</f>
        <v>0</v>
      </c>
      <c r="EG353" s="798">
        <f>EG351*'Venture Assumptions'!$F$11</f>
        <v>0</v>
      </c>
      <c r="EH353" s="782"/>
    </row>
    <row r="354" spans="1:138" ht="12.75" customHeight="1" x14ac:dyDescent="0.3">
      <c r="A354" s="782"/>
      <c r="B354" s="829" t="s">
        <v>195</v>
      </c>
      <c r="C354" s="830">
        <f>XIRR(OFFSET(E353,0,$C$141):EG353,OFFSET($E$4,0,$C$141):$EG$4)</f>
        <v>0.15838249325752266</v>
      </c>
      <c r="D354" s="782"/>
      <c r="E354" s="798"/>
      <c r="F354" s="798"/>
      <c r="G354" s="798"/>
      <c r="H354" s="798"/>
      <c r="I354" s="798"/>
      <c r="J354" s="798"/>
      <c r="K354" s="798"/>
      <c r="L354" s="798"/>
      <c r="M354" s="798"/>
      <c r="N354" s="798"/>
      <c r="O354" s="798"/>
      <c r="P354" s="798"/>
      <c r="Q354" s="798"/>
      <c r="R354" s="798"/>
      <c r="S354" s="798"/>
      <c r="T354" s="798"/>
      <c r="U354" s="798"/>
      <c r="V354" s="798"/>
      <c r="W354" s="798"/>
      <c r="X354" s="798"/>
      <c r="Y354" s="798"/>
      <c r="Z354" s="798"/>
      <c r="AA354" s="798"/>
      <c r="AB354" s="798"/>
      <c r="AC354" s="798"/>
      <c r="AD354" s="798"/>
      <c r="AE354" s="798"/>
      <c r="AF354" s="798"/>
      <c r="AG354" s="798"/>
      <c r="AH354" s="798"/>
      <c r="AI354" s="798"/>
      <c r="AJ354" s="798"/>
      <c r="AK354" s="798"/>
      <c r="AL354" s="798"/>
      <c r="AM354" s="798"/>
      <c r="AN354" s="798"/>
      <c r="AO354" s="798"/>
      <c r="AP354" s="798"/>
      <c r="AQ354" s="798"/>
      <c r="AR354" s="798"/>
      <c r="AS354" s="798"/>
      <c r="AT354" s="798"/>
      <c r="AU354" s="798"/>
      <c r="AV354" s="798"/>
      <c r="AW354" s="798"/>
      <c r="AX354" s="798"/>
      <c r="AY354" s="798"/>
      <c r="AZ354" s="798"/>
      <c r="BA354" s="798"/>
      <c r="BB354" s="798"/>
      <c r="BC354" s="798"/>
      <c r="BD354" s="798"/>
      <c r="BE354" s="798"/>
      <c r="BF354" s="798"/>
      <c r="BG354" s="798"/>
      <c r="BH354" s="798"/>
      <c r="BI354" s="798"/>
      <c r="BJ354" s="798"/>
      <c r="BK354" s="798"/>
      <c r="BL354" s="798"/>
      <c r="BM354" s="798"/>
      <c r="BN354" s="798"/>
      <c r="BO354" s="798"/>
      <c r="BP354" s="798"/>
      <c r="BQ354" s="798"/>
      <c r="BR354" s="798"/>
      <c r="BS354" s="798"/>
      <c r="BT354" s="798"/>
      <c r="BU354" s="798"/>
      <c r="BV354" s="798"/>
      <c r="BW354" s="798"/>
      <c r="BX354" s="798"/>
      <c r="BY354" s="798"/>
      <c r="BZ354" s="798"/>
      <c r="CA354" s="798"/>
      <c r="CB354" s="798"/>
      <c r="CC354" s="798"/>
      <c r="CD354" s="798"/>
      <c r="CE354" s="798"/>
      <c r="CF354" s="798"/>
      <c r="CG354" s="798"/>
      <c r="CH354" s="798"/>
      <c r="CI354" s="798"/>
      <c r="CJ354" s="798"/>
      <c r="CK354" s="798"/>
      <c r="CL354" s="798"/>
      <c r="CM354" s="798"/>
      <c r="CN354" s="798"/>
      <c r="CO354" s="798"/>
      <c r="CP354" s="798"/>
      <c r="CQ354" s="798"/>
      <c r="CR354" s="798"/>
      <c r="CS354" s="798"/>
      <c r="CT354" s="798"/>
      <c r="CU354" s="798"/>
      <c r="CV354" s="798"/>
      <c r="CW354" s="798"/>
      <c r="CX354" s="798"/>
      <c r="CY354" s="798"/>
      <c r="CZ354" s="798"/>
      <c r="DA354" s="798"/>
      <c r="DB354" s="798"/>
      <c r="DC354" s="798"/>
      <c r="DD354" s="798"/>
      <c r="DE354" s="798"/>
      <c r="DF354" s="798"/>
      <c r="DG354" s="798"/>
      <c r="DH354" s="798"/>
      <c r="DI354" s="798"/>
      <c r="DJ354" s="798"/>
      <c r="DK354" s="798"/>
      <c r="DL354" s="798"/>
      <c r="DM354" s="798"/>
      <c r="DN354" s="798"/>
      <c r="DO354" s="798"/>
      <c r="DP354" s="798"/>
      <c r="DQ354" s="798"/>
      <c r="DR354" s="798"/>
      <c r="DS354" s="798"/>
      <c r="DT354" s="798"/>
      <c r="DU354" s="798"/>
      <c r="DV354" s="798"/>
      <c r="DW354" s="798"/>
      <c r="DX354" s="798"/>
      <c r="DY354" s="798"/>
      <c r="DZ354" s="798"/>
      <c r="EA354" s="798"/>
      <c r="EB354" s="798"/>
      <c r="EC354" s="798"/>
      <c r="ED354" s="798"/>
      <c r="EE354" s="798"/>
      <c r="EF354" s="798"/>
      <c r="EG354" s="798"/>
      <c r="EH354" s="782"/>
    </row>
    <row r="355" spans="1:138" ht="12.75" customHeight="1" x14ac:dyDescent="0.3">
      <c r="A355" s="782"/>
      <c r="B355" s="831" t="s">
        <v>196</v>
      </c>
      <c r="C355" s="832">
        <f>SUMIF($E$353:$EG$353,"&gt;0")/-SUMIF($E$353:$EG$353,"&lt;0")</f>
        <v>2.3311944189841349</v>
      </c>
      <c r="D355" s="782"/>
      <c r="E355" s="798"/>
      <c r="F355" s="798"/>
      <c r="G355" s="798"/>
      <c r="H355" s="798"/>
      <c r="I355" s="798"/>
      <c r="J355" s="798"/>
      <c r="K355" s="798"/>
      <c r="L355" s="798"/>
      <c r="M355" s="798"/>
      <c r="N355" s="798"/>
      <c r="O355" s="798"/>
      <c r="P355" s="798"/>
      <c r="Q355" s="798"/>
      <c r="R355" s="798"/>
      <c r="S355" s="798"/>
      <c r="T355" s="798"/>
      <c r="U355" s="798"/>
      <c r="V355" s="798"/>
      <c r="W355" s="798"/>
      <c r="X355" s="798"/>
      <c r="Y355" s="798"/>
      <c r="Z355" s="798"/>
      <c r="AA355" s="798"/>
      <c r="AB355" s="798"/>
      <c r="AC355" s="798"/>
      <c r="AD355" s="798"/>
      <c r="AE355" s="798"/>
      <c r="AF355" s="798"/>
      <c r="AG355" s="798"/>
      <c r="AH355" s="798"/>
      <c r="AI355" s="798"/>
      <c r="AJ355" s="798"/>
      <c r="AK355" s="798"/>
      <c r="AL355" s="798"/>
      <c r="AM355" s="798"/>
      <c r="AN355" s="798"/>
      <c r="AO355" s="798"/>
      <c r="AP355" s="798"/>
      <c r="AQ355" s="798"/>
      <c r="AR355" s="798"/>
      <c r="AS355" s="798"/>
      <c r="AT355" s="798"/>
      <c r="AU355" s="798"/>
      <c r="AV355" s="798"/>
      <c r="AW355" s="798"/>
      <c r="AX355" s="798"/>
      <c r="AY355" s="798"/>
      <c r="AZ355" s="798"/>
      <c r="BA355" s="798"/>
      <c r="BB355" s="798"/>
      <c r="BC355" s="798"/>
      <c r="BD355" s="798"/>
      <c r="BE355" s="798"/>
      <c r="BF355" s="798"/>
      <c r="BG355" s="798"/>
      <c r="BH355" s="798"/>
      <c r="BI355" s="798"/>
      <c r="BJ355" s="798"/>
      <c r="BK355" s="798"/>
      <c r="BL355" s="798"/>
      <c r="BM355" s="798"/>
      <c r="BN355" s="798"/>
      <c r="BO355" s="798"/>
      <c r="BP355" s="798"/>
      <c r="BQ355" s="798"/>
      <c r="BR355" s="798"/>
      <c r="BS355" s="798"/>
      <c r="BT355" s="798"/>
      <c r="BU355" s="798"/>
      <c r="BV355" s="798"/>
      <c r="BW355" s="798"/>
      <c r="BX355" s="798"/>
      <c r="BY355" s="798"/>
      <c r="BZ355" s="798"/>
      <c r="CA355" s="798"/>
      <c r="CB355" s="798"/>
      <c r="CC355" s="798"/>
      <c r="CD355" s="798"/>
      <c r="CE355" s="798"/>
      <c r="CF355" s="798"/>
      <c r="CG355" s="798"/>
      <c r="CH355" s="798"/>
      <c r="CI355" s="798"/>
      <c r="CJ355" s="798"/>
      <c r="CK355" s="798"/>
      <c r="CL355" s="798"/>
      <c r="CM355" s="798"/>
      <c r="CN355" s="798"/>
      <c r="CO355" s="798"/>
      <c r="CP355" s="798"/>
      <c r="CQ355" s="798"/>
      <c r="CR355" s="798"/>
      <c r="CS355" s="798"/>
      <c r="CT355" s="798"/>
      <c r="CU355" s="798"/>
      <c r="CV355" s="798"/>
      <c r="CW355" s="798"/>
      <c r="CX355" s="798"/>
      <c r="CY355" s="798"/>
      <c r="CZ355" s="798"/>
      <c r="DA355" s="798"/>
      <c r="DB355" s="798"/>
      <c r="DC355" s="798"/>
      <c r="DD355" s="798"/>
      <c r="DE355" s="798"/>
      <c r="DF355" s="798"/>
      <c r="DG355" s="798"/>
      <c r="DH355" s="798"/>
      <c r="DI355" s="798"/>
      <c r="DJ355" s="798"/>
      <c r="DK355" s="798"/>
      <c r="DL355" s="798"/>
      <c r="DM355" s="798"/>
      <c r="DN355" s="798"/>
      <c r="DO355" s="798"/>
      <c r="DP355" s="798"/>
      <c r="DQ355" s="798"/>
      <c r="DR355" s="798"/>
      <c r="DS355" s="798"/>
      <c r="DT355" s="798"/>
      <c r="DU355" s="798"/>
      <c r="DV355" s="798"/>
      <c r="DW355" s="798"/>
      <c r="DX355" s="798"/>
      <c r="DY355" s="798"/>
      <c r="DZ355" s="798"/>
      <c r="EA355" s="798"/>
      <c r="EB355" s="798"/>
      <c r="EC355" s="798"/>
      <c r="ED355" s="798"/>
      <c r="EE355" s="798"/>
      <c r="EF355" s="798"/>
      <c r="EG355" s="798"/>
      <c r="EH355" s="782"/>
    </row>
    <row r="356" spans="1:138" ht="12.75" customHeight="1" x14ac:dyDescent="0.3">
      <c r="A356" s="782"/>
      <c r="B356" s="782"/>
      <c r="C356" s="798"/>
      <c r="D356" s="782"/>
      <c r="E356" s="798"/>
      <c r="F356" s="798"/>
      <c r="G356" s="798"/>
      <c r="H356" s="798"/>
      <c r="I356" s="798"/>
      <c r="J356" s="798"/>
      <c r="K356" s="798"/>
      <c r="L356" s="798"/>
      <c r="M356" s="798"/>
      <c r="N356" s="798"/>
      <c r="O356" s="798"/>
      <c r="P356" s="798"/>
      <c r="Q356" s="798"/>
      <c r="R356" s="798"/>
      <c r="S356" s="798"/>
      <c r="T356" s="798"/>
      <c r="U356" s="798"/>
      <c r="V356" s="798"/>
      <c r="W356" s="798"/>
      <c r="X356" s="798"/>
      <c r="Y356" s="798"/>
      <c r="Z356" s="798"/>
      <c r="AA356" s="798"/>
      <c r="AB356" s="798"/>
      <c r="AC356" s="798"/>
      <c r="AD356" s="798"/>
      <c r="AE356" s="798"/>
      <c r="AF356" s="798"/>
      <c r="AG356" s="798"/>
      <c r="AH356" s="798"/>
      <c r="AI356" s="798"/>
      <c r="AJ356" s="798"/>
      <c r="AK356" s="798"/>
      <c r="AL356" s="798"/>
      <c r="AM356" s="798"/>
      <c r="AN356" s="798"/>
      <c r="AO356" s="798"/>
      <c r="AP356" s="798"/>
      <c r="AQ356" s="798"/>
      <c r="AR356" s="798"/>
      <c r="AS356" s="798"/>
      <c r="AT356" s="798"/>
      <c r="AU356" s="798"/>
      <c r="AV356" s="798"/>
      <c r="AW356" s="798"/>
      <c r="AX356" s="798"/>
      <c r="AY356" s="798"/>
      <c r="AZ356" s="798"/>
      <c r="BA356" s="798"/>
      <c r="BB356" s="798"/>
      <c r="BC356" s="798"/>
      <c r="BD356" s="798"/>
      <c r="BE356" s="798"/>
      <c r="BF356" s="798"/>
      <c r="BG356" s="798"/>
      <c r="BH356" s="798"/>
      <c r="BI356" s="798"/>
      <c r="BJ356" s="798"/>
      <c r="BK356" s="798"/>
      <c r="BL356" s="798"/>
      <c r="BM356" s="798"/>
      <c r="BN356" s="798"/>
      <c r="BO356" s="798"/>
      <c r="BP356" s="798"/>
      <c r="BQ356" s="798"/>
      <c r="BR356" s="798"/>
      <c r="BS356" s="798"/>
      <c r="BT356" s="798"/>
      <c r="BU356" s="798"/>
      <c r="BV356" s="798"/>
      <c r="BW356" s="798"/>
      <c r="BX356" s="798"/>
      <c r="BY356" s="798"/>
      <c r="BZ356" s="798"/>
      <c r="CA356" s="798"/>
      <c r="CB356" s="798"/>
      <c r="CC356" s="798"/>
      <c r="CD356" s="798"/>
      <c r="CE356" s="798"/>
      <c r="CF356" s="798"/>
      <c r="CG356" s="798"/>
      <c r="CH356" s="798"/>
      <c r="CI356" s="798"/>
      <c r="CJ356" s="798"/>
      <c r="CK356" s="798"/>
      <c r="CL356" s="798"/>
      <c r="CM356" s="798"/>
      <c r="CN356" s="798"/>
      <c r="CO356" s="798"/>
      <c r="CP356" s="798"/>
      <c r="CQ356" s="798"/>
      <c r="CR356" s="798"/>
      <c r="CS356" s="798"/>
      <c r="CT356" s="798"/>
      <c r="CU356" s="798"/>
      <c r="CV356" s="798"/>
      <c r="CW356" s="798"/>
      <c r="CX356" s="798"/>
      <c r="CY356" s="798"/>
      <c r="CZ356" s="798"/>
      <c r="DA356" s="798"/>
      <c r="DB356" s="798"/>
      <c r="DC356" s="798"/>
      <c r="DD356" s="798"/>
      <c r="DE356" s="798"/>
      <c r="DF356" s="798"/>
      <c r="DG356" s="798"/>
      <c r="DH356" s="798"/>
      <c r="DI356" s="798"/>
      <c r="DJ356" s="798"/>
      <c r="DK356" s="798"/>
      <c r="DL356" s="798"/>
      <c r="DM356" s="798"/>
      <c r="DN356" s="798"/>
      <c r="DO356" s="798"/>
      <c r="DP356" s="798"/>
      <c r="DQ356" s="798"/>
      <c r="DR356" s="798"/>
      <c r="DS356" s="798"/>
      <c r="DT356" s="798"/>
      <c r="DU356" s="798"/>
      <c r="DV356" s="798"/>
      <c r="DW356" s="798"/>
      <c r="DX356" s="798"/>
      <c r="DY356" s="798"/>
      <c r="DZ356" s="798"/>
      <c r="EA356" s="798"/>
      <c r="EB356" s="798"/>
      <c r="EC356" s="798"/>
      <c r="ED356" s="798"/>
      <c r="EE356" s="798"/>
      <c r="EF356" s="798"/>
      <c r="EG356" s="798"/>
      <c r="EH356" s="782"/>
    </row>
    <row r="357" spans="1:138" s="273" customFormat="1" ht="12.75" customHeight="1" x14ac:dyDescent="0.3">
      <c r="A357" s="796"/>
      <c r="B357" s="796" t="s">
        <v>197</v>
      </c>
      <c r="C357" s="813">
        <f>SUM(E357:EG357)</f>
        <v>42085104.664852917</v>
      </c>
      <c r="D357" s="796"/>
      <c r="E357" s="813">
        <f>E351*'Venture Assumptions'!$F$12</f>
        <v>-1459520.0769018831</v>
      </c>
      <c r="F357" s="813">
        <f>F351*'Venture Assumptions'!$F$12</f>
        <v>-11421694.387157971</v>
      </c>
      <c r="G357" s="813">
        <f>G351*'Venture Assumptions'!$F$12</f>
        <v>-369114.99916858942</v>
      </c>
      <c r="H357" s="813">
        <f>H351*'Venture Assumptions'!$F$12</f>
        <v>-555086.80631586071</v>
      </c>
      <c r="I357" s="813">
        <f>I351*'Venture Assumptions'!$F$12</f>
        <v>-935498.05368796352</v>
      </c>
      <c r="J357" s="813">
        <f>J351*'Venture Assumptions'!$F$12</f>
        <v>-1520128.0247696131</v>
      </c>
      <c r="K357" s="813">
        <f>K351*'Venture Assumptions'!$F$12</f>
        <v>-1564787.4194152202</v>
      </c>
      <c r="L357" s="813">
        <f>L351*'Venture Assumptions'!$F$12</f>
        <v>-1991304.9497603511</v>
      </c>
      <c r="M357" s="813">
        <f>M351*'Venture Assumptions'!$F$12</f>
        <v>-2360495.3169892058</v>
      </c>
      <c r="N357" s="813">
        <f>N351*'Venture Assumptions'!$F$12</f>
        <v>-2761784.5906149005</v>
      </c>
      <c r="O357" s="813">
        <f>O351*'Venture Assumptions'!$F$12</f>
        <v>-1574123.1684457453</v>
      </c>
      <c r="P357" s="813">
        <f>P351*'Venture Assumptions'!$F$12</f>
        <v>-15202.827377578833</v>
      </c>
      <c r="Q357" s="813">
        <f>Q351*'Venture Assumptions'!$F$12</f>
        <v>-16173.914529341831</v>
      </c>
      <c r="R357" s="813">
        <f>R351*'Venture Assumptions'!$F$12</f>
        <v>-17157.636786895979</v>
      </c>
      <c r="S357" s="813">
        <f>S351*'Venture Assumptions'!$F$12</f>
        <v>-18151.1014657259</v>
      </c>
      <c r="T357" s="813">
        <f>T351*'Venture Assumptions'!$F$12</f>
        <v>-19079.299298112302</v>
      </c>
      <c r="U357" s="813">
        <f>U351*'Venture Assumptions'!$F$12</f>
        <v>-19980.72919213543</v>
      </c>
      <c r="V357" s="813">
        <f>V351*'Venture Assumptions'!$F$12</f>
        <v>-20814.920220536322</v>
      </c>
      <c r="W357" s="813">
        <f>W351*'Venture Assumptions'!$F$12</f>
        <v>-21564.773579702716</v>
      </c>
      <c r="X357" s="813">
        <f>X351*'Venture Assumptions'!$F$12</f>
        <v>-22310.714160245509</v>
      </c>
      <c r="Y357" s="813">
        <f>Y351*'Venture Assumptions'!$F$12</f>
        <v>-22995.24880912013</v>
      </c>
      <c r="Z357" s="813">
        <f>Z351*'Venture Assumptions'!$F$12</f>
        <v>-23571.269754990404</v>
      </c>
      <c r="AA357" s="813">
        <f>AA351*'Venture Assumptions'!$F$12</f>
        <v>-24062.072467745635</v>
      </c>
      <c r="AB357" s="813">
        <f>AB351*'Venture Assumptions'!$F$12</f>
        <v>-24470.072457408431</v>
      </c>
      <c r="AC357" s="813">
        <f>AC351*'Venture Assumptions'!$F$12</f>
        <v>8384.5059293936665</v>
      </c>
      <c r="AD357" s="813">
        <f>AD351*'Venture Assumptions'!$F$12</f>
        <v>38366.358635012235</v>
      </c>
      <c r="AE357" s="813">
        <f>AE351*'Venture Assumptions'!$F$12</f>
        <v>72614.497273708708</v>
      </c>
      <c r="AF357" s="813">
        <f>AF351*'Venture Assumptions'!$F$12</f>
        <v>139782.41588327449</v>
      </c>
      <c r="AG357" s="813">
        <f>AG351*'Venture Assumptions'!$F$12</f>
        <v>142520.81846381401</v>
      </c>
      <c r="AH357" s="813">
        <f>AH351*'Venture Assumptions'!$F$12</f>
        <v>143499.4833160592</v>
      </c>
      <c r="AI357" s="813">
        <f>AI351*'Venture Assumptions'!$F$12</f>
        <v>318898.2726360347</v>
      </c>
      <c r="AJ357" s="813">
        <f>AJ351*'Venture Assumptions'!$F$12</f>
        <v>320842.57222426333</v>
      </c>
      <c r="AK357" s="813">
        <f>AK351*'Venture Assumptions'!$F$12</f>
        <v>-4835471.7268272489</v>
      </c>
      <c r="AL357" s="813">
        <f>AL351*'Venture Assumptions'!$F$12</f>
        <v>10750963.273536308</v>
      </c>
      <c r="AM357" s="813">
        <f>AM351*'Venture Assumptions'!$F$12</f>
        <v>154175.30289193612</v>
      </c>
      <c r="AN357" s="813">
        <f>AN351*'Venture Assumptions'!$F$12</f>
        <v>156052.84658401532</v>
      </c>
      <c r="AO357" s="813">
        <f>AO351*'Venture Assumptions'!$F$12</f>
        <v>157905.337072175</v>
      </c>
      <c r="AP357" s="813">
        <f>AP351*'Venture Assumptions'!$F$12</f>
        <v>159126.13046560684</v>
      </c>
      <c r="AQ357" s="813">
        <f>AQ351*'Venture Assumptions'!$F$12</f>
        <v>161606.19696258724</v>
      </c>
      <c r="AR357" s="813">
        <f>AR351*'Venture Assumptions'!$F$12</f>
        <v>163727.71915666686</v>
      </c>
      <c r="AS357" s="813">
        <f>AS351*'Venture Assumptions'!$F$12</f>
        <v>160098.98872927978</v>
      </c>
      <c r="AT357" s="813">
        <f>AT351*'Venture Assumptions'!$F$12</f>
        <v>161292.27647302084</v>
      </c>
      <c r="AU357" s="813">
        <f>AU351*'Venture Assumptions'!$F$12</f>
        <v>162414.60989911362</v>
      </c>
      <c r="AV357" s="813">
        <f>AV351*'Venture Assumptions'!$F$12</f>
        <v>164105.21112728768</v>
      </c>
      <c r="AW357" s="813">
        <f>AW351*'Venture Assumptions'!$F$12</f>
        <v>165727.63363498784</v>
      </c>
      <c r="AX357" s="813">
        <f>AX351*'Venture Assumptions'!$F$12</f>
        <v>167255.63194299303</v>
      </c>
      <c r="AY357" s="813">
        <f>AY351*'Venture Assumptions'!$F$12</f>
        <v>168723.96119367678</v>
      </c>
      <c r="AZ357" s="813">
        <f>AZ351*'Venture Assumptions'!$F$12</f>
        <v>170137.94049186527</v>
      </c>
      <c r="BA357" s="813">
        <f>BA351*'Venture Assumptions'!$F$12</f>
        <v>171456.94458562406</v>
      </c>
      <c r="BB357" s="813">
        <f>BB351*'Venture Assumptions'!$F$12</f>
        <v>172238.08977063734</v>
      </c>
      <c r="BC357" s="813">
        <f>BC351*'Venture Assumptions'!$F$12</f>
        <v>173888.12389038652</v>
      </c>
      <c r="BD357" s="813">
        <f>BD351*'Venture Assumptions'!$F$12</f>
        <v>175221.59871841667</v>
      </c>
      <c r="BE357" s="813">
        <f>BE351*'Venture Assumptions'!$F$12</f>
        <v>171988.88946342253</v>
      </c>
      <c r="BF357" s="813">
        <f>BF351*'Venture Assumptions'!$F$12</f>
        <v>172663.65734905982</v>
      </c>
      <c r="BG357" s="813">
        <f>BG351*'Venture Assumptions'!$F$12</f>
        <v>173341.15389008564</v>
      </c>
      <c r="BH357" s="813">
        <f>BH351*'Venture Assumptions'!$F$12</f>
        <v>174491.57544100142</v>
      </c>
      <c r="BI357" s="813">
        <f>BI351*'Venture Assumptions'!$F$12</f>
        <v>175660.72232521599</v>
      </c>
      <c r="BJ357" s="813">
        <f>BJ351*'Venture Assumptions'!$F$12</f>
        <v>176895.00661635408</v>
      </c>
      <c r="BK357" s="813">
        <f>BK351*'Venture Assumptions'!$F$12</f>
        <v>178184.14107870785</v>
      </c>
      <c r="BL357" s="813">
        <f>BL351*'Venture Assumptions'!$F$12</f>
        <v>179482.67170936364</v>
      </c>
      <c r="BM357" s="813">
        <f>BM351*'Venture Assumptions'!$F$12</f>
        <v>180849.22142402246</v>
      </c>
      <c r="BN357" s="813">
        <f>BN351*'Venture Assumptions'!$F$12</f>
        <v>181743.7622890012</v>
      </c>
      <c r="BO357" s="813">
        <f>BO351*'Venture Assumptions'!$F$12</f>
        <v>183715.10733150679</v>
      </c>
      <c r="BP357" s="813">
        <f>BP351*'Venture Assumptions'!$F$12</f>
        <v>185438.45343957943</v>
      </c>
      <c r="BQ357" s="813">
        <f>BQ351*'Venture Assumptions'!$F$12</f>
        <v>182292.67353184964</v>
      </c>
      <c r="BR357" s="813">
        <f>BR351*'Venture Assumptions'!$F$12</f>
        <v>183269.50919075595</v>
      </c>
      <c r="BS357" s="813">
        <f>BS351*'Venture Assumptions'!$F$12</f>
        <v>184230.17562767022</v>
      </c>
      <c r="BT357" s="813">
        <f>BT351*'Venture Assumptions'!$F$12</f>
        <v>185780.21466794828</v>
      </c>
      <c r="BU357" s="813">
        <f>BU351*'Venture Assumptions'!$F$12</f>
        <v>187310.64458086196</v>
      </c>
      <c r="BV357" s="813">
        <f>BV351*'Venture Assumptions'!$F$12</f>
        <v>188860.96976827679</v>
      </c>
      <c r="BW357" s="813">
        <f>BW351*'Venture Assumptions'!$F$12</f>
        <v>190436.24270482885</v>
      </c>
      <c r="BX357" s="813">
        <f>BX351*'Venture Assumptions'!$F$12</f>
        <v>192001.32193139099</v>
      </c>
      <c r="BY357" s="813">
        <f>BY351*'Venture Assumptions'!$F$12</f>
        <v>193593.20006759552</v>
      </c>
      <c r="BZ357" s="813">
        <f>BZ351*'Venture Assumptions'!$F$12</f>
        <v>194607.03378064299</v>
      </c>
      <c r="CA357" s="813">
        <f>CA351*'Venture Assumptions'!$F$12</f>
        <v>196795.09556826376</v>
      </c>
      <c r="CB357" s="813">
        <f>CB351*'Venture Assumptions'!$F$12</f>
        <v>198691.23431620785</v>
      </c>
      <c r="CC357" s="813">
        <f>CC351*'Venture Assumptions'!$F$12</f>
        <v>195511.30470261344</v>
      </c>
      <c r="CD357" s="813">
        <f>CD351*'Venture Assumptions'!$F$12</f>
        <v>196586.47257721753</v>
      </c>
      <c r="CE357" s="813">
        <f>CE351*'Venture Assumptions'!$F$12</f>
        <v>197640.21861742294</v>
      </c>
      <c r="CF357" s="813">
        <f>CF351*'Venture Assumptions'!$F$12</f>
        <v>199295.96660206228</v>
      </c>
      <c r="CG357" s="813">
        <f>CG351*'Venture Assumptions'!$F$12</f>
        <v>200944.95458029973</v>
      </c>
      <c r="CH357" s="813">
        <f>CH351*'Venture Assumptions'!$F$12</f>
        <v>202609.10323266854</v>
      </c>
      <c r="CI357" s="813">
        <f>CI351*'Venture Assumptions'!$F$12</f>
        <v>204257.93754540096</v>
      </c>
      <c r="CJ357" s="813">
        <f>CJ351*'Venture Assumptions'!$F$12</f>
        <v>205931.68108610384</v>
      </c>
      <c r="CK357" s="813">
        <f>CK351*'Venture Assumptions'!$F$12</f>
        <v>207630.00461851811</v>
      </c>
      <c r="CL357" s="813">
        <f>CL351*'Venture Assumptions'!$F$12</f>
        <v>208710.57000710259</v>
      </c>
      <c r="CM357" s="813">
        <f>CM351*'Venture Assumptions'!$F$12</f>
        <v>211009.40162900416</v>
      </c>
      <c r="CN357" s="813">
        <f>CN351*'Venture Assumptions'!$F$12</f>
        <v>212992.16288272329</v>
      </c>
      <c r="CO357" s="813">
        <f>CO351*'Venture Assumptions'!$F$12</f>
        <v>209734.11069809712</v>
      </c>
      <c r="CP357" s="813">
        <f>CP351*'Venture Assumptions'!$F$12</f>
        <v>210858.97547925983</v>
      </c>
      <c r="CQ357" s="813">
        <f>CQ351*'Venture Assumptions'!$F$12</f>
        <v>211961.83655624898</v>
      </c>
      <c r="CR357" s="813">
        <f>CR351*'Venture Assumptions'!$F$12</f>
        <v>213671.71984516139</v>
      </c>
      <c r="CS357" s="813">
        <f>CS351*'Venture Assumptions'!$F$12</f>
        <v>215397.39392359921</v>
      </c>
      <c r="CT357" s="813">
        <f>CT351*'Venture Assumptions'!$F$12</f>
        <v>217148.93780705624</v>
      </c>
      <c r="CU357" s="813">
        <f>CU351*'Venture Assumptions'!$F$12</f>
        <v>218880.08719193298</v>
      </c>
      <c r="CV357" s="813">
        <f>CV351*'Venture Assumptions'!$F$12</f>
        <v>220628.55475225078</v>
      </c>
      <c r="CW357" s="813">
        <f>CW351*'Venture Assumptions'!$F$12</f>
        <v>50224897.951090507</v>
      </c>
      <c r="CX357" s="813">
        <f>CX351*'Venture Assumptions'!$F$12</f>
        <v>0</v>
      </c>
      <c r="CY357" s="813">
        <f>CY351*'Venture Assumptions'!$F$12</f>
        <v>0</v>
      </c>
      <c r="CZ357" s="813">
        <f>CZ351*'Venture Assumptions'!$F$12</f>
        <v>0</v>
      </c>
      <c r="DA357" s="813">
        <f>DA351*'Venture Assumptions'!$F$12</f>
        <v>0</v>
      </c>
      <c r="DB357" s="813">
        <f>DB351*'Venture Assumptions'!$F$12</f>
        <v>0</v>
      </c>
      <c r="DC357" s="813">
        <f>DC351*'Venture Assumptions'!$F$12</f>
        <v>0</v>
      </c>
      <c r="DD357" s="813">
        <f>DD351*'Venture Assumptions'!$F$12</f>
        <v>0</v>
      </c>
      <c r="DE357" s="813">
        <f>DE351*'Venture Assumptions'!$F$12</f>
        <v>0</v>
      </c>
      <c r="DF357" s="813">
        <f>DF351*'Venture Assumptions'!$F$12</f>
        <v>0</v>
      </c>
      <c r="DG357" s="813">
        <f>DG351*'Venture Assumptions'!$F$12</f>
        <v>0</v>
      </c>
      <c r="DH357" s="813">
        <f>DH351*'Venture Assumptions'!$F$12</f>
        <v>0</v>
      </c>
      <c r="DI357" s="813">
        <f>DI351*'Venture Assumptions'!$F$12</f>
        <v>0</v>
      </c>
      <c r="DJ357" s="813">
        <f>DJ351*'Venture Assumptions'!$F$12</f>
        <v>0</v>
      </c>
      <c r="DK357" s="813">
        <f>DK351*'Venture Assumptions'!$F$12</f>
        <v>0</v>
      </c>
      <c r="DL357" s="813">
        <f>DL351*'Venture Assumptions'!$F$12</f>
        <v>0</v>
      </c>
      <c r="DM357" s="813">
        <f>DM351*'Venture Assumptions'!$F$12</f>
        <v>0</v>
      </c>
      <c r="DN357" s="813">
        <f>DN351*'Venture Assumptions'!$F$12</f>
        <v>0</v>
      </c>
      <c r="DO357" s="813">
        <f>DO351*'Venture Assumptions'!$F$12</f>
        <v>0</v>
      </c>
      <c r="DP357" s="813">
        <f>DP351*'Venture Assumptions'!$F$12</f>
        <v>0</v>
      </c>
      <c r="DQ357" s="813">
        <f>DQ351*'Venture Assumptions'!$F$12</f>
        <v>0</v>
      </c>
      <c r="DR357" s="813">
        <f>DR351*'Venture Assumptions'!$F$12</f>
        <v>0</v>
      </c>
      <c r="DS357" s="813">
        <f>DS351*'Venture Assumptions'!$F$12</f>
        <v>0</v>
      </c>
      <c r="DT357" s="813">
        <f>DT351*'Venture Assumptions'!$F$12</f>
        <v>0</v>
      </c>
      <c r="DU357" s="813">
        <f>DU351*'Venture Assumptions'!$F$12</f>
        <v>0</v>
      </c>
      <c r="DV357" s="813">
        <f>DV351*'Venture Assumptions'!$F$12</f>
        <v>0</v>
      </c>
      <c r="DW357" s="813">
        <f>DW351*'Venture Assumptions'!$F$12</f>
        <v>0</v>
      </c>
      <c r="DX357" s="813">
        <f>DX351*'Venture Assumptions'!$F$12</f>
        <v>0</v>
      </c>
      <c r="DY357" s="813">
        <f>DY351*'Venture Assumptions'!$F$12</f>
        <v>0</v>
      </c>
      <c r="DZ357" s="813">
        <f>DZ351*'Venture Assumptions'!$F$12</f>
        <v>0</v>
      </c>
      <c r="EA357" s="813">
        <f>EA351*'Venture Assumptions'!$F$12</f>
        <v>0</v>
      </c>
      <c r="EB357" s="813">
        <f>EB351*'Venture Assumptions'!$F$12</f>
        <v>0</v>
      </c>
      <c r="EC357" s="813">
        <f>EC351*'Venture Assumptions'!$F$12</f>
        <v>0</v>
      </c>
      <c r="ED357" s="813">
        <f>ED351*'Venture Assumptions'!$F$12</f>
        <v>0</v>
      </c>
      <c r="EE357" s="813">
        <f>EE351*'Venture Assumptions'!$F$12</f>
        <v>0</v>
      </c>
      <c r="EF357" s="813">
        <f>EF351*'Venture Assumptions'!$F$12</f>
        <v>0</v>
      </c>
      <c r="EG357" s="813">
        <f>EG351*'Venture Assumptions'!$F$12</f>
        <v>0</v>
      </c>
      <c r="EH357" s="796"/>
    </row>
    <row r="358" spans="1:138" s="273" customFormat="1" ht="12.75" customHeight="1" x14ac:dyDescent="0.3">
      <c r="A358" s="796"/>
      <c r="B358" s="833" t="s">
        <v>198</v>
      </c>
      <c r="C358" s="834">
        <f>XIRR(OFFSET(E357,0,$C$141):EG357,OFFSET($E$4,0,$C$141):$EG$4)</f>
        <v>0.15838249325752266</v>
      </c>
      <c r="D358" s="796"/>
      <c r="E358" s="813"/>
      <c r="F358" s="813"/>
      <c r="G358" s="813"/>
      <c r="H358" s="813"/>
      <c r="I358" s="813"/>
      <c r="J358" s="813"/>
      <c r="K358" s="813"/>
      <c r="L358" s="813"/>
      <c r="M358" s="813"/>
      <c r="N358" s="813"/>
      <c r="O358" s="813"/>
      <c r="P358" s="813"/>
      <c r="Q358" s="813"/>
      <c r="R358" s="813"/>
      <c r="S358" s="813"/>
      <c r="T358" s="813"/>
      <c r="U358" s="813"/>
      <c r="V358" s="813"/>
      <c r="W358" s="813"/>
      <c r="X358" s="813"/>
      <c r="Y358" s="813"/>
      <c r="Z358" s="813"/>
      <c r="AA358" s="813"/>
      <c r="AB358" s="813"/>
      <c r="AC358" s="813"/>
      <c r="AD358" s="813"/>
      <c r="AE358" s="813"/>
      <c r="AF358" s="813"/>
      <c r="AG358" s="813"/>
      <c r="AH358" s="813"/>
      <c r="AI358" s="813"/>
      <c r="AJ358" s="813"/>
      <c r="AK358" s="813"/>
      <c r="AL358" s="813"/>
      <c r="AM358" s="813"/>
      <c r="AN358" s="813"/>
      <c r="AO358" s="813"/>
      <c r="AP358" s="813"/>
      <c r="AQ358" s="813"/>
      <c r="AR358" s="813"/>
      <c r="AS358" s="813"/>
      <c r="AT358" s="813"/>
      <c r="AU358" s="813"/>
      <c r="AV358" s="813"/>
      <c r="AW358" s="813"/>
      <c r="AX358" s="813"/>
      <c r="AY358" s="813"/>
      <c r="AZ358" s="813"/>
      <c r="BA358" s="813"/>
      <c r="BB358" s="813"/>
      <c r="BC358" s="813"/>
      <c r="BD358" s="813"/>
      <c r="BE358" s="813"/>
      <c r="BF358" s="813"/>
      <c r="BG358" s="813"/>
      <c r="BH358" s="813"/>
      <c r="BI358" s="813"/>
      <c r="BJ358" s="813"/>
      <c r="BK358" s="813"/>
      <c r="BL358" s="813"/>
      <c r="BM358" s="813"/>
      <c r="BN358" s="813"/>
      <c r="BO358" s="813"/>
      <c r="BP358" s="813"/>
      <c r="BQ358" s="813"/>
      <c r="BR358" s="813"/>
      <c r="BS358" s="813"/>
      <c r="BT358" s="813"/>
      <c r="BU358" s="813"/>
      <c r="BV358" s="813"/>
      <c r="BW358" s="813"/>
      <c r="BX358" s="813"/>
      <c r="BY358" s="813"/>
      <c r="BZ358" s="813"/>
      <c r="CA358" s="813"/>
      <c r="CB358" s="813"/>
      <c r="CC358" s="813"/>
      <c r="CD358" s="813"/>
      <c r="CE358" s="813"/>
      <c r="CF358" s="813"/>
      <c r="CG358" s="813"/>
      <c r="CH358" s="813"/>
      <c r="CI358" s="813"/>
      <c r="CJ358" s="813"/>
      <c r="CK358" s="813"/>
      <c r="CL358" s="813"/>
      <c r="CM358" s="813"/>
      <c r="CN358" s="813"/>
      <c r="CO358" s="813"/>
      <c r="CP358" s="813"/>
      <c r="CQ358" s="813"/>
      <c r="CR358" s="813"/>
      <c r="CS358" s="813"/>
      <c r="CT358" s="813"/>
      <c r="CU358" s="813"/>
      <c r="CV358" s="813"/>
      <c r="CW358" s="813"/>
      <c r="CX358" s="813"/>
      <c r="CY358" s="813"/>
      <c r="CZ358" s="813"/>
      <c r="DA358" s="813"/>
      <c r="DB358" s="813"/>
      <c r="DC358" s="813"/>
      <c r="DD358" s="813"/>
      <c r="DE358" s="813"/>
      <c r="DF358" s="813"/>
      <c r="DG358" s="813"/>
      <c r="DH358" s="813"/>
      <c r="DI358" s="813"/>
      <c r="DJ358" s="813"/>
      <c r="DK358" s="813"/>
      <c r="DL358" s="813"/>
      <c r="DM358" s="813"/>
      <c r="DN358" s="813"/>
      <c r="DO358" s="813"/>
      <c r="DP358" s="813"/>
      <c r="DQ358" s="813"/>
      <c r="DR358" s="813"/>
      <c r="DS358" s="813"/>
      <c r="DT358" s="813"/>
      <c r="DU358" s="813"/>
      <c r="DV358" s="813"/>
      <c r="DW358" s="813"/>
      <c r="DX358" s="813"/>
      <c r="DY358" s="813"/>
      <c r="DZ358" s="813"/>
      <c r="EA358" s="813"/>
      <c r="EB358" s="813"/>
      <c r="EC358" s="813"/>
      <c r="ED358" s="813"/>
      <c r="EE358" s="813"/>
      <c r="EF358" s="813"/>
      <c r="EG358" s="813"/>
      <c r="EH358" s="796"/>
    </row>
    <row r="359" spans="1:138" s="273" customFormat="1" ht="12.75" customHeight="1" x14ac:dyDescent="0.3">
      <c r="A359" s="796"/>
      <c r="B359" s="835" t="s">
        <v>199</v>
      </c>
      <c r="C359" s="836">
        <f>SUMIF($E$357:$EG$357,"&gt;0")/-SUMIF($E$357:$EG$357,"&lt;0")</f>
        <v>2.3311944189841349</v>
      </c>
      <c r="D359" s="796"/>
      <c r="E359" s="813"/>
      <c r="F359" s="813"/>
      <c r="G359" s="813"/>
      <c r="H359" s="813"/>
      <c r="I359" s="813"/>
      <c r="J359" s="813"/>
      <c r="K359" s="813"/>
      <c r="L359" s="813"/>
      <c r="M359" s="813"/>
      <c r="N359" s="813"/>
      <c r="O359" s="813"/>
      <c r="P359" s="813"/>
      <c r="Q359" s="813"/>
      <c r="R359" s="813"/>
      <c r="S359" s="813"/>
      <c r="T359" s="813"/>
      <c r="U359" s="813"/>
      <c r="V359" s="813"/>
      <c r="W359" s="813"/>
      <c r="X359" s="813"/>
      <c r="Y359" s="813"/>
      <c r="Z359" s="813"/>
      <c r="AA359" s="813"/>
      <c r="AB359" s="813"/>
      <c r="AC359" s="813"/>
      <c r="AD359" s="813"/>
      <c r="AE359" s="813"/>
      <c r="AF359" s="813"/>
      <c r="AG359" s="813"/>
      <c r="AH359" s="813"/>
      <c r="AI359" s="813"/>
      <c r="AJ359" s="813"/>
      <c r="AK359" s="813"/>
      <c r="AL359" s="813"/>
      <c r="AM359" s="813"/>
      <c r="AN359" s="813"/>
      <c r="AO359" s="813"/>
      <c r="AP359" s="813"/>
      <c r="AQ359" s="813"/>
      <c r="AR359" s="813"/>
      <c r="AS359" s="813"/>
      <c r="AT359" s="813"/>
      <c r="AU359" s="813"/>
      <c r="AV359" s="813"/>
      <c r="AW359" s="813"/>
      <c r="AX359" s="813"/>
      <c r="AY359" s="813"/>
      <c r="AZ359" s="813"/>
      <c r="BA359" s="813"/>
      <c r="BB359" s="813"/>
      <c r="BC359" s="813"/>
      <c r="BD359" s="813"/>
      <c r="BE359" s="813"/>
      <c r="BF359" s="813"/>
      <c r="BG359" s="813"/>
      <c r="BH359" s="813"/>
      <c r="BI359" s="813"/>
      <c r="BJ359" s="813"/>
      <c r="BK359" s="813"/>
      <c r="BL359" s="813"/>
      <c r="BM359" s="813"/>
      <c r="BN359" s="813"/>
      <c r="BO359" s="813"/>
      <c r="BP359" s="813"/>
      <c r="BQ359" s="813"/>
      <c r="BR359" s="813"/>
      <c r="BS359" s="813"/>
      <c r="BT359" s="813"/>
      <c r="BU359" s="813"/>
      <c r="BV359" s="813"/>
      <c r="BW359" s="813"/>
      <c r="BX359" s="813"/>
      <c r="BY359" s="813"/>
      <c r="BZ359" s="813"/>
      <c r="CA359" s="813"/>
      <c r="CB359" s="813"/>
      <c r="CC359" s="813"/>
      <c r="CD359" s="813"/>
      <c r="CE359" s="813"/>
      <c r="CF359" s="813"/>
      <c r="CG359" s="813"/>
      <c r="CH359" s="813"/>
      <c r="CI359" s="813"/>
      <c r="CJ359" s="813"/>
      <c r="CK359" s="813"/>
      <c r="CL359" s="813"/>
      <c r="CM359" s="813"/>
      <c r="CN359" s="813"/>
      <c r="CO359" s="813"/>
      <c r="CP359" s="813"/>
      <c r="CQ359" s="813"/>
      <c r="CR359" s="813"/>
      <c r="CS359" s="813"/>
      <c r="CT359" s="813"/>
      <c r="CU359" s="813"/>
      <c r="CV359" s="813"/>
      <c r="CW359" s="813"/>
      <c r="CX359" s="813"/>
      <c r="CY359" s="813"/>
      <c r="CZ359" s="813"/>
      <c r="DA359" s="813"/>
      <c r="DB359" s="813"/>
      <c r="DC359" s="813"/>
      <c r="DD359" s="813"/>
      <c r="DE359" s="813"/>
      <c r="DF359" s="813"/>
      <c r="DG359" s="813"/>
      <c r="DH359" s="813"/>
      <c r="DI359" s="813"/>
      <c r="DJ359" s="813"/>
      <c r="DK359" s="813"/>
      <c r="DL359" s="813"/>
      <c r="DM359" s="813"/>
      <c r="DN359" s="813"/>
      <c r="DO359" s="813"/>
      <c r="DP359" s="813"/>
      <c r="DQ359" s="813"/>
      <c r="DR359" s="813"/>
      <c r="DS359" s="813"/>
      <c r="DT359" s="813"/>
      <c r="DU359" s="813"/>
      <c r="DV359" s="813"/>
      <c r="DW359" s="813"/>
      <c r="DX359" s="813"/>
      <c r="DY359" s="813"/>
      <c r="DZ359" s="813"/>
      <c r="EA359" s="813"/>
      <c r="EB359" s="813"/>
      <c r="EC359" s="813"/>
      <c r="ED359" s="813"/>
      <c r="EE359" s="813"/>
      <c r="EF359" s="813"/>
      <c r="EG359" s="813"/>
      <c r="EH359" s="796"/>
    </row>
    <row r="360" spans="1:138" ht="12.75" customHeight="1" x14ac:dyDescent="0.3">
      <c r="A360" s="782"/>
      <c r="B360" s="782"/>
      <c r="C360" s="798"/>
      <c r="D360" s="782"/>
      <c r="E360" s="798"/>
      <c r="F360" s="798"/>
      <c r="G360" s="798"/>
      <c r="H360" s="798"/>
      <c r="I360" s="798"/>
      <c r="J360" s="798"/>
      <c r="K360" s="798"/>
      <c r="L360" s="798"/>
      <c r="M360" s="798"/>
      <c r="N360" s="798"/>
      <c r="O360" s="798"/>
      <c r="P360" s="798"/>
      <c r="Q360" s="798"/>
      <c r="R360" s="798"/>
      <c r="S360" s="798"/>
      <c r="T360" s="798"/>
      <c r="U360" s="798"/>
      <c r="V360" s="798"/>
      <c r="W360" s="798"/>
      <c r="X360" s="798"/>
      <c r="Y360" s="798"/>
      <c r="Z360" s="798"/>
      <c r="AA360" s="798"/>
      <c r="AB360" s="798"/>
      <c r="AC360" s="798"/>
      <c r="AD360" s="798"/>
      <c r="AE360" s="798"/>
      <c r="AF360" s="798"/>
      <c r="AG360" s="798"/>
      <c r="AH360" s="798"/>
      <c r="AI360" s="798"/>
      <c r="AJ360" s="798"/>
      <c r="AK360" s="798"/>
      <c r="AL360" s="798"/>
      <c r="AM360" s="798"/>
      <c r="AN360" s="798"/>
      <c r="AO360" s="798"/>
      <c r="AP360" s="798"/>
      <c r="AQ360" s="798"/>
      <c r="AR360" s="798"/>
      <c r="AS360" s="798"/>
      <c r="AT360" s="798"/>
      <c r="AU360" s="798"/>
      <c r="AV360" s="798"/>
      <c r="AW360" s="798"/>
      <c r="AX360" s="798"/>
      <c r="AY360" s="798"/>
      <c r="AZ360" s="798"/>
      <c r="BA360" s="798"/>
      <c r="BB360" s="798"/>
      <c r="BC360" s="798"/>
      <c r="BD360" s="798"/>
      <c r="BE360" s="798"/>
      <c r="BF360" s="798"/>
      <c r="BG360" s="798"/>
      <c r="BH360" s="798"/>
      <c r="BI360" s="798"/>
      <c r="BJ360" s="798"/>
      <c r="BK360" s="798"/>
      <c r="BL360" s="798"/>
      <c r="BM360" s="798"/>
      <c r="BN360" s="798"/>
      <c r="BO360" s="798"/>
      <c r="BP360" s="798"/>
      <c r="BQ360" s="798"/>
      <c r="BR360" s="798"/>
      <c r="BS360" s="798"/>
      <c r="BT360" s="798"/>
      <c r="BU360" s="798"/>
      <c r="BV360" s="798"/>
      <c r="BW360" s="798"/>
      <c r="BX360" s="798"/>
      <c r="BY360" s="798"/>
      <c r="BZ360" s="798"/>
      <c r="CA360" s="798"/>
      <c r="CB360" s="798"/>
      <c r="CC360" s="798"/>
      <c r="CD360" s="798"/>
      <c r="CE360" s="798"/>
      <c r="CF360" s="798"/>
      <c r="CG360" s="798"/>
      <c r="CH360" s="798"/>
      <c r="CI360" s="798"/>
      <c r="CJ360" s="798"/>
      <c r="CK360" s="798"/>
      <c r="CL360" s="798"/>
      <c r="CM360" s="798"/>
      <c r="CN360" s="798"/>
      <c r="CO360" s="798"/>
      <c r="CP360" s="798"/>
      <c r="CQ360" s="798"/>
      <c r="CR360" s="798"/>
      <c r="CS360" s="798"/>
      <c r="CT360" s="798"/>
      <c r="CU360" s="798"/>
      <c r="CV360" s="798"/>
      <c r="CW360" s="798"/>
      <c r="CX360" s="798"/>
      <c r="CY360" s="798"/>
      <c r="CZ360" s="798"/>
      <c r="DA360" s="798"/>
      <c r="DB360" s="798"/>
      <c r="DC360" s="798"/>
      <c r="DD360" s="798"/>
      <c r="DE360" s="798"/>
      <c r="DF360" s="798"/>
      <c r="DG360" s="798"/>
      <c r="DH360" s="798"/>
      <c r="DI360" s="798"/>
      <c r="DJ360" s="798"/>
      <c r="DK360" s="798"/>
      <c r="DL360" s="798"/>
      <c r="DM360" s="798"/>
      <c r="DN360" s="798"/>
      <c r="DO360" s="798"/>
      <c r="DP360" s="798"/>
      <c r="DQ360" s="798"/>
      <c r="DR360" s="798"/>
      <c r="DS360" s="798"/>
      <c r="DT360" s="798"/>
      <c r="DU360" s="798"/>
      <c r="DV360" s="798"/>
      <c r="DW360" s="798"/>
      <c r="DX360" s="798"/>
      <c r="DY360" s="798"/>
      <c r="DZ360" s="798"/>
      <c r="EA360" s="798"/>
      <c r="EB360" s="798"/>
      <c r="EC360" s="798"/>
      <c r="ED360" s="798"/>
      <c r="EE360" s="798"/>
      <c r="EF360" s="798"/>
      <c r="EG360" s="798"/>
      <c r="EH360" s="782"/>
    </row>
    <row r="361" spans="1:138" ht="12.75" customHeight="1" x14ac:dyDescent="0.3">
      <c r="A361" s="782"/>
      <c r="B361" s="796" t="s">
        <v>200</v>
      </c>
      <c r="C361" s="798"/>
      <c r="D361" s="782"/>
      <c r="E361" s="798"/>
      <c r="F361" s="798"/>
      <c r="G361" s="798"/>
      <c r="H361" s="798"/>
      <c r="I361" s="798"/>
      <c r="J361" s="798"/>
      <c r="K361" s="798"/>
      <c r="L361" s="798"/>
      <c r="M361" s="798"/>
      <c r="N361" s="798"/>
      <c r="O361" s="798"/>
      <c r="P361" s="798"/>
      <c r="Q361" s="798"/>
      <c r="R361" s="798"/>
      <c r="S361" s="798"/>
      <c r="T361" s="798"/>
      <c r="U361" s="798"/>
      <c r="V361" s="798"/>
      <c r="W361" s="798"/>
      <c r="X361" s="798"/>
      <c r="Y361" s="798"/>
      <c r="Z361" s="798"/>
      <c r="AA361" s="798"/>
      <c r="AB361" s="798"/>
      <c r="AC361" s="798"/>
      <c r="AD361" s="798"/>
      <c r="AE361" s="798"/>
      <c r="AF361" s="798"/>
      <c r="AG361" s="798"/>
      <c r="AH361" s="798"/>
      <c r="AI361" s="798"/>
      <c r="AJ361" s="798"/>
      <c r="AK361" s="798"/>
      <c r="AL361" s="798"/>
      <c r="AM361" s="798"/>
      <c r="AN361" s="798"/>
      <c r="AO361" s="798"/>
      <c r="AP361" s="798"/>
      <c r="AQ361" s="798"/>
      <c r="AR361" s="798"/>
      <c r="AS361" s="798"/>
      <c r="AT361" s="798"/>
      <c r="AU361" s="798"/>
      <c r="AV361" s="798"/>
      <c r="AW361" s="798"/>
      <c r="AX361" s="798"/>
      <c r="AY361" s="798"/>
      <c r="AZ361" s="798"/>
      <c r="BA361" s="798"/>
      <c r="BB361" s="798"/>
      <c r="BC361" s="798"/>
      <c r="BD361" s="798"/>
      <c r="BE361" s="798"/>
      <c r="BF361" s="798"/>
      <c r="BG361" s="798"/>
      <c r="BH361" s="798"/>
      <c r="BI361" s="798"/>
      <c r="BJ361" s="798"/>
      <c r="BK361" s="798"/>
      <c r="BL361" s="798"/>
      <c r="BM361" s="798"/>
      <c r="BN361" s="798"/>
      <c r="BO361" s="798"/>
      <c r="BP361" s="798"/>
      <c r="BQ361" s="798"/>
      <c r="BR361" s="798"/>
      <c r="BS361" s="798"/>
      <c r="BT361" s="798"/>
      <c r="BU361" s="798"/>
      <c r="BV361" s="798"/>
      <c r="BW361" s="798"/>
      <c r="BX361" s="798"/>
      <c r="BY361" s="798"/>
      <c r="BZ361" s="798"/>
      <c r="CA361" s="798"/>
      <c r="CB361" s="798"/>
      <c r="CC361" s="798"/>
      <c r="CD361" s="798"/>
      <c r="CE361" s="798"/>
      <c r="CF361" s="798"/>
      <c r="CG361" s="798"/>
      <c r="CH361" s="798"/>
      <c r="CI361" s="798"/>
      <c r="CJ361" s="798"/>
      <c r="CK361" s="798"/>
      <c r="CL361" s="798"/>
      <c r="CM361" s="798"/>
      <c r="CN361" s="798"/>
      <c r="CO361" s="798"/>
      <c r="CP361" s="798"/>
      <c r="CQ361" s="798"/>
      <c r="CR361" s="798"/>
      <c r="CS361" s="798"/>
      <c r="CT361" s="798"/>
      <c r="CU361" s="798"/>
      <c r="CV361" s="798"/>
      <c r="CW361" s="798"/>
      <c r="CX361" s="798"/>
      <c r="CY361" s="798"/>
      <c r="CZ361" s="798"/>
      <c r="DA361" s="798"/>
      <c r="DB361" s="798"/>
      <c r="DC361" s="798"/>
      <c r="DD361" s="798"/>
      <c r="DE361" s="798"/>
      <c r="DF361" s="798"/>
      <c r="DG361" s="798"/>
      <c r="DH361" s="798"/>
      <c r="DI361" s="798"/>
      <c r="DJ361" s="798"/>
      <c r="DK361" s="798"/>
      <c r="DL361" s="798"/>
      <c r="DM361" s="798"/>
      <c r="DN361" s="798"/>
      <c r="DO361" s="798"/>
      <c r="DP361" s="798"/>
      <c r="DQ361" s="798"/>
      <c r="DR361" s="798"/>
      <c r="DS361" s="798"/>
      <c r="DT361" s="798"/>
      <c r="DU361" s="798"/>
      <c r="DV361" s="798"/>
      <c r="DW361" s="798"/>
      <c r="DX361" s="798"/>
      <c r="DY361" s="798"/>
      <c r="DZ361" s="798"/>
      <c r="EA361" s="798"/>
      <c r="EB361" s="798"/>
      <c r="EC361" s="798"/>
      <c r="ED361" s="798"/>
      <c r="EE361" s="798"/>
      <c r="EF361" s="798"/>
      <c r="EG361" s="798"/>
      <c r="EH361" s="782"/>
    </row>
    <row r="362" spans="1:138" ht="12.75" customHeight="1" x14ac:dyDescent="0.3">
      <c r="A362" s="782"/>
      <c r="B362" s="782" t="s">
        <v>191</v>
      </c>
      <c r="C362" s="798">
        <f>SUM(E362:EG362)</f>
        <v>6868726.7816661661</v>
      </c>
      <c r="D362" s="782"/>
      <c r="E362" s="798">
        <f>E218</f>
        <v>0</v>
      </c>
      <c r="F362" s="798">
        <f t="shared" ref="F362:BQ362" si="283">F218</f>
        <v>0</v>
      </c>
      <c r="G362" s="798">
        <f t="shared" si="283"/>
        <v>0</v>
      </c>
      <c r="H362" s="798">
        <f t="shared" si="283"/>
        <v>0</v>
      </c>
      <c r="I362" s="798">
        <f t="shared" si="283"/>
        <v>0</v>
      </c>
      <c r="J362" s="798">
        <f t="shared" si="283"/>
        <v>0</v>
      </c>
      <c r="K362" s="798">
        <f t="shared" si="283"/>
        <v>0</v>
      </c>
      <c r="L362" s="798">
        <f t="shared" si="283"/>
        <v>0</v>
      </c>
      <c r="M362" s="798">
        <f t="shared" si="283"/>
        <v>0</v>
      </c>
      <c r="N362" s="798">
        <f t="shared" si="283"/>
        <v>0</v>
      </c>
      <c r="O362" s="798">
        <f t="shared" si="283"/>
        <v>0</v>
      </c>
      <c r="P362" s="798">
        <f t="shared" si="283"/>
        <v>0</v>
      </c>
      <c r="Q362" s="798">
        <f t="shared" si="283"/>
        <v>0</v>
      </c>
      <c r="R362" s="798">
        <f t="shared" si="283"/>
        <v>0</v>
      </c>
      <c r="S362" s="798">
        <f t="shared" si="283"/>
        <v>0</v>
      </c>
      <c r="T362" s="798">
        <f t="shared" si="283"/>
        <v>0</v>
      </c>
      <c r="U362" s="798">
        <f t="shared" si="283"/>
        <v>0</v>
      </c>
      <c r="V362" s="798">
        <f t="shared" si="283"/>
        <v>0</v>
      </c>
      <c r="W362" s="798">
        <f t="shared" si="283"/>
        <v>0</v>
      </c>
      <c r="X362" s="798">
        <f t="shared" si="283"/>
        <v>0</v>
      </c>
      <c r="Y362" s="798">
        <f t="shared" si="283"/>
        <v>0</v>
      </c>
      <c r="Z362" s="798">
        <f t="shared" si="283"/>
        <v>0</v>
      </c>
      <c r="AA362" s="798">
        <f t="shared" si="283"/>
        <v>0</v>
      </c>
      <c r="AB362" s="798">
        <f t="shared" si="283"/>
        <v>0</v>
      </c>
      <c r="AC362" s="798">
        <f t="shared" si="283"/>
        <v>0</v>
      </c>
      <c r="AD362" s="798">
        <f t="shared" si="283"/>
        <v>0</v>
      </c>
      <c r="AE362" s="798">
        <f t="shared" si="283"/>
        <v>0</v>
      </c>
      <c r="AF362" s="798">
        <f t="shared" si="283"/>
        <v>0</v>
      </c>
      <c r="AG362" s="798">
        <f t="shared" si="283"/>
        <v>0</v>
      </c>
      <c r="AH362" s="798">
        <f t="shared" si="283"/>
        <v>0</v>
      </c>
      <c r="AI362" s="798">
        <f t="shared" si="283"/>
        <v>0</v>
      </c>
      <c r="AJ362" s="798">
        <f t="shared" si="283"/>
        <v>0</v>
      </c>
      <c r="AK362" s="798">
        <f t="shared" si="283"/>
        <v>6868726.7816661661</v>
      </c>
      <c r="AL362" s="798">
        <f t="shared" si="283"/>
        <v>0</v>
      </c>
      <c r="AM362" s="798">
        <f t="shared" si="283"/>
        <v>0</v>
      </c>
      <c r="AN362" s="798">
        <f t="shared" si="283"/>
        <v>0</v>
      </c>
      <c r="AO362" s="798">
        <f t="shared" si="283"/>
        <v>0</v>
      </c>
      <c r="AP362" s="798">
        <f t="shared" si="283"/>
        <v>0</v>
      </c>
      <c r="AQ362" s="798">
        <f t="shared" si="283"/>
        <v>0</v>
      </c>
      <c r="AR362" s="798">
        <f t="shared" si="283"/>
        <v>0</v>
      </c>
      <c r="AS362" s="798">
        <f t="shared" si="283"/>
        <v>0</v>
      </c>
      <c r="AT362" s="798">
        <f t="shared" si="283"/>
        <v>0</v>
      </c>
      <c r="AU362" s="798">
        <f t="shared" si="283"/>
        <v>0</v>
      </c>
      <c r="AV362" s="798">
        <f t="shared" si="283"/>
        <v>0</v>
      </c>
      <c r="AW362" s="798">
        <f t="shared" si="283"/>
        <v>0</v>
      </c>
      <c r="AX362" s="798">
        <f t="shared" si="283"/>
        <v>0</v>
      </c>
      <c r="AY362" s="798">
        <f t="shared" si="283"/>
        <v>0</v>
      </c>
      <c r="AZ362" s="798">
        <f t="shared" si="283"/>
        <v>0</v>
      </c>
      <c r="BA362" s="798">
        <f t="shared" si="283"/>
        <v>0</v>
      </c>
      <c r="BB362" s="798">
        <f t="shared" si="283"/>
        <v>0</v>
      </c>
      <c r="BC362" s="798">
        <f t="shared" si="283"/>
        <v>0</v>
      </c>
      <c r="BD362" s="798">
        <f t="shared" si="283"/>
        <v>0</v>
      </c>
      <c r="BE362" s="798">
        <f t="shared" si="283"/>
        <v>0</v>
      </c>
      <c r="BF362" s="798">
        <f t="shared" si="283"/>
        <v>0</v>
      </c>
      <c r="BG362" s="798">
        <f>BG218</f>
        <v>0</v>
      </c>
      <c r="BH362" s="798">
        <f t="shared" si="283"/>
        <v>0</v>
      </c>
      <c r="BI362" s="798">
        <f t="shared" si="283"/>
        <v>0</v>
      </c>
      <c r="BJ362" s="798">
        <f t="shared" si="283"/>
        <v>0</v>
      </c>
      <c r="BK362" s="798">
        <f t="shared" si="283"/>
        <v>0</v>
      </c>
      <c r="BL362" s="798">
        <f t="shared" si="283"/>
        <v>0</v>
      </c>
      <c r="BM362" s="798">
        <f t="shared" si="283"/>
        <v>0</v>
      </c>
      <c r="BN362" s="798">
        <f t="shared" si="283"/>
        <v>0</v>
      </c>
      <c r="BO362" s="798">
        <f t="shared" si="283"/>
        <v>0</v>
      </c>
      <c r="BP362" s="798">
        <f t="shared" si="283"/>
        <v>0</v>
      </c>
      <c r="BQ362" s="798">
        <f t="shared" si="283"/>
        <v>0</v>
      </c>
      <c r="BR362" s="798">
        <f t="shared" ref="BR362:EC362" si="284">BR218</f>
        <v>0</v>
      </c>
      <c r="BS362" s="798">
        <f t="shared" si="284"/>
        <v>0</v>
      </c>
      <c r="BT362" s="798">
        <f t="shared" si="284"/>
        <v>0</v>
      </c>
      <c r="BU362" s="798">
        <f t="shared" si="284"/>
        <v>0</v>
      </c>
      <c r="BV362" s="798">
        <f t="shared" si="284"/>
        <v>0</v>
      </c>
      <c r="BW362" s="798">
        <f t="shared" si="284"/>
        <v>0</v>
      </c>
      <c r="BX362" s="798">
        <f t="shared" si="284"/>
        <v>0</v>
      </c>
      <c r="BY362" s="798">
        <f t="shared" si="284"/>
        <v>0</v>
      </c>
      <c r="BZ362" s="798">
        <f t="shared" si="284"/>
        <v>0</v>
      </c>
      <c r="CA362" s="798">
        <f t="shared" si="284"/>
        <v>0</v>
      </c>
      <c r="CB362" s="798">
        <f t="shared" si="284"/>
        <v>0</v>
      </c>
      <c r="CC362" s="798">
        <f t="shared" si="284"/>
        <v>0</v>
      </c>
      <c r="CD362" s="798">
        <f t="shared" si="284"/>
        <v>0</v>
      </c>
      <c r="CE362" s="798">
        <f t="shared" si="284"/>
        <v>0</v>
      </c>
      <c r="CF362" s="798">
        <f t="shared" si="284"/>
        <v>0</v>
      </c>
      <c r="CG362" s="798">
        <f t="shared" si="284"/>
        <v>0</v>
      </c>
      <c r="CH362" s="798">
        <f t="shared" si="284"/>
        <v>0</v>
      </c>
      <c r="CI362" s="798">
        <f t="shared" si="284"/>
        <v>0</v>
      </c>
      <c r="CJ362" s="798">
        <f t="shared" si="284"/>
        <v>0</v>
      </c>
      <c r="CK362" s="798">
        <f t="shared" si="284"/>
        <v>0</v>
      </c>
      <c r="CL362" s="798">
        <f t="shared" si="284"/>
        <v>0</v>
      </c>
      <c r="CM362" s="798">
        <f t="shared" si="284"/>
        <v>0</v>
      </c>
      <c r="CN362" s="798">
        <f t="shared" si="284"/>
        <v>0</v>
      </c>
      <c r="CO362" s="798">
        <f t="shared" si="284"/>
        <v>0</v>
      </c>
      <c r="CP362" s="798">
        <f t="shared" si="284"/>
        <v>0</v>
      </c>
      <c r="CQ362" s="798">
        <f t="shared" si="284"/>
        <v>0</v>
      </c>
      <c r="CR362" s="798">
        <f t="shared" si="284"/>
        <v>0</v>
      </c>
      <c r="CS362" s="798">
        <f t="shared" si="284"/>
        <v>0</v>
      </c>
      <c r="CT362" s="798">
        <f t="shared" si="284"/>
        <v>0</v>
      </c>
      <c r="CU362" s="798">
        <f t="shared" si="284"/>
        <v>0</v>
      </c>
      <c r="CV362" s="798">
        <f t="shared" si="284"/>
        <v>0</v>
      </c>
      <c r="CW362" s="798">
        <f t="shared" si="284"/>
        <v>0</v>
      </c>
      <c r="CX362" s="798">
        <f t="shared" si="284"/>
        <v>0</v>
      </c>
      <c r="CY362" s="798">
        <f t="shared" si="284"/>
        <v>0</v>
      </c>
      <c r="CZ362" s="798">
        <f t="shared" si="284"/>
        <v>0</v>
      </c>
      <c r="DA362" s="798">
        <f t="shared" si="284"/>
        <v>0</v>
      </c>
      <c r="DB362" s="798">
        <f t="shared" si="284"/>
        <v>0</v>
      </c>
      <c r="DC362" s="798">
        <f t="shared" si="284"/>
        <v>0</v>
      </c>
      <c r="DD362" s="798">
        <f t="shared" si="284"/>
        <v>0</v>
      </c>
      <c r="DE362" s="798">
        <f t="shared" si="284"/>
        <v>0</v>
      </c>
      <c r="DF362" s="798">
        <f t="shared" si="284"/>
        <v>0</v>
      </c>
      <c r="DG362" s="798">
        <f t="shared" si="284"/>
        <v>0</v>
      </c>
      <c r="DH362" s="798">
        <f t="shared" si="284"/>
        <v>0</v>
      </c>
      <c r="DI362" s="798">
        <f t="shared" si="284"/>
        <v>0</v>
      </c>
      <c r="DJ362" s="798">
        <f t="shared" si="284"/>
        <v>0</v>
      </c>
      <c r="DK362" s="798">
        <f t="shared" si="284"/>
        <v>0</v>
      </c>
      <c r="DL362" s="798">
        <f t="shared" si="284"/>
        <v>0</v>
      </c>
      <c r="DM362" s="798">
        <f t="shared" si="284"/>
        <v>0</v>
      </c>
      <c r="DN362" s="798">
        <f t="shared" si="284"/>
        <v>0</v>
      </c>
      <c r="DO362" s="798">
        <f t="shared" si="284"/>
        <v>0</v>
      </c>
      <c r="DP362" s="798">
        <f t="shared" si="284"/>
        <v>0</v>
      </c>
      <c r="DQ362" s="798">
        <f t="shared" si="284"/>
        <v>0</v>
      </c>
      <c r="DR362" s="798">
        <f t="shared" si="284"/>
        <v>0</v>
      </c>
      <c r="DS362" s="798">
        <f t="shared" si="284"/>
        <v>0</v>
      </c>
      <c r="DT362" s="798">
        <f t="shared" si="284"/>
        <v>0</v>
      </c>
      <c r="DU362" s="798">
        <f t="shared" si="284"/>
        <v>0</v>
      </c>
      <c r="DV362" s="798">
        <f t="shared" si="284"/>
        <v>0</v>
      </c>
      <c r="DW362" s="798">
        <f t="shared" si="284"/>
        <v>0</v>
      </c>
      <c r="DX362" s="798">
        <f t="shared" si="284"/>
        <v>0</v>
      </c>
      <c r="DY362" s="798">
        <f t="shared" si="284"/>
        <v>0</v>
      </c>
      <c r="DZ362" s="798">
        <f t="shared" si="284"/>
        <v>0</v>
      </c>
      <c r="EA362" s="798">
        <f t="shared" si="284"/>
        <v>0</v>
      </c>
      <c r="EB362" s="798">
        <f t="shared" si="284"/>
        <v>0</v>
      </c>
      <c r="EC362" s="798">
        <f t="shared" si="284"/>
        <v>0</v>
      </c>
      <c r="ED362" s="798">
        <f>ED218</f>
        <v>0</v>
      </c>
      <c r="EE362" s="798">
        <f>EE218</f>
        <v>0</v>
      </c>
      <c r="EF362" s="798">
        <f>EF218</f>
        <v>0</v>
      </c>
      <c r="EG362" s="798">
        <f>EG218</f>
        <v>0</v>
      </c>
      <c r="EH362" s="782"/>
    </row>
    <row r="363" spans="1:138" ht="12.75" customHeight="1" x14ac:dyDescent="0.3">
      <c r="A363" s="782"/>
      <c r="B363" s="782" t="s">
        <v>192</v>
      </c>
      <c r="C363" s="798">
        <f>SUM(E363:EG363)</f>
        <v>5736147.0869287392</v>
      </c>
      <c r="D363" s="782"/>
      <c r="E363" s="798">
        <f>E250</f>
        <v>0</v>
      </c>
      <c r="F363" s="798">
        <f t="shared" ref="F363:BQ363" si="285">F250</f>
        <v>0</v>
      </c>
      <c r="G363" s="798">
        <f t="shared" si="285"/>
        <v>0</v>
      </c>
      <c r="H363" s="798">
        <f t="shared" si="285"/>
        <v>0</v>
      </c>
      <c r="I363" s="798">
        <f t="shared" si="285"/>
        <v>0</v>
      </c>
      <c r="J363" s="798">
        <f t="shared" si="285"/>
        <v>0</v>
      </c>
      <c r="K363" s="798">
        <f t="shared" si="285"/>
        <v>0</v>
      </c>
      <c r="L363" s="798">
        <f t="shared" si="285"/>
        <v>0</v>
      </c>
      <c r="M363" s="798">
        <f t="shared" si="285"/>
        <v>0</v>
      </c>
      <c r="N363" s="798">
        <f t="shared" si="285"/>
        <v>0</v>
      </c>
      <c r="O363" s="798">
        <f t="shared" si="285"/>
        <v>0</v>
      </c>
      <c r="P363" s="798">
        <f t="shared" si="285"/>
        <v>0</v>
      </c>
      <c r="Q363" s="798">
        <f t="shared" si="285"/>
        <v>0</v>
      </c>
      <c r="R363" s="798">
        <f t="shared" si="285"/>
        <v>0</v>
      </c>
      <c r="S363" s="798">
        <f t="shared" si="285"/>
        <v>0</v>
      </c>
      <c r="T363" s="798">
        <f t="shared" si="285"/>
        <v>0</v>
      </c>
      <c r="U363" s="798">
        <f t="shared" si="285"/>
        <v>0</v>
      </c>
      <c r="V363" s="798">
        <f t="shared" si="285"/>
        <v>0</v>
      </c>
      <c r="W363" s="798">
        <f t="shared" si="285"/>
        <v>0</v>
      </c>
      <c r="X363" s="798">
        <f t="shared" si="285"/>
        <v>0</v>
      </c>
      <c r="Y363" s="798">
        <f t="shared" si="285"/>
        <v>0</v>
      </c>
      <c r="Z363" s="798">
        <f t="shared" si="285"/>
        <v>0</v>
      </c>
      <c r="AA363" s="798">
        <f t="shared" si="285"/>
        <v>0</v>
      </c>
      <c r="AB363" s="798">
        <f t="shared" si="285"/>
        <v>0</v>
      </c>
      <c r="AC363" s="798">
        <f t="shared" si="285"/>
        <v>0</v>
      </c>
      <c r="AD363" s="798">
        <f t="shared" si="285"/>
        <v>0</v>
      </c>
      <c r="AE363" s="798">
        <f t="shared" si="285"/>
        <v>0</v>
      </c>
      <c r="AF363" s="798">
        <f t="shared" si="285"/>
        <v>0</v>
      </c>
      <c r="AG363" s="798">
        <f t="shared" si="285"/>
        <v>0</v>
      </c>
      <c r="AH363" s="798">
        <f t="shared" si="285"/>
        <v>0</v>
      </c>
      <c r="AI363" s="798">
        <f t="shared" si="285"/>
        <v>0</v>
      </c>
      <c r="AJ363" s="798">
        <f t="shared" si="285"/>
        <v>0</v>
      </c>
      <c r="AK363" s="798">
        <f t="shared" si="285"/>
        <v>0</v>
      </c>
      <c r="AL363" s="798">
        <f t="shared" si="285"/>
        <v>0</v>
      </c>
      <c r="AM363" s="798">
        <f t="shared" si="285"/>
        <v>0</v>
      </c>
      <c r="AN363" s="798">
        <f t="shared" si="285"/>
        <v>0</v>
      </c>
      <c r="AO363" s="798">
        <f t="shared" si="285"/>
        <v>0</v>
      </c>
      <c r="AP363" s="798">
        <f t="shared" si="285"/>
        <v>0</v>
      </c>
      <c r="AQ363" s="798">
        <f t="shared" si="285"/>
        <v>0</v>
      </c>
      <c r="AR363" s="798">
        <f t="shared" si="285"/>
        <v>0</v>
      </c>
      <c r="AS363" s="798">
        <f t="shared" si="285"/>
        <v>0</v>
      </c>
      <c r="AT363" s="798">
        <f t="shared" si="285"/>
        <v>0</v>
      </c>
      <c r="AU363" s="798">
        <f t="shared" si="285"/>
        <v>0</v>
      </c>
      <c r="AV363" s="798">
        <f t="shared" si="285"/>
        <v>0</v>
      </c>
      <c r="AW363" s="798">
        <f t="shared" si="285"/>
        <v>0</v>
      </c>
      <c r="AX363" s="798">
        <f t="shared" si="285"/>
        <v>0</v>
      </c>
      <c r="AY363" s="798">
        <f t="shared" si="285"/>
        <v>0</v>
      </c>
      <c r="AZ363" s="798">
        <f t="shared" si="285"/>
        <v>0</v>
      </c>
      <c r="BA363" s="798">
        <f t="shared" si="285"/>
        <v>0</v>
      </c>
      <c r="BB363" s="798">
        <f t="shared" si="285"/>
        <v>0</v>
      </c>
      <c r="BC363" s="798">
        <f t="shared" si="285"/>
        <v>0</v>
      </c>
      <c r="BD363" s="798">
        <f t="shared" si="285"/>
        <v>0</v>
      </c>
      <c r="BE363" s="798">
        <f t="shared" si="285"/>
        <v>0</v>
      </c>
      <c r="BF363" s="798">
        <f t="shared" si="285"/>
        <v>0</v>
      </c>
      <c r="BG363" s="798">
        <f t="shared" si="285"/>
        <v>0</v>
      </c>
      <c r="BH363" s="798">
        <f t="shared" si="285"/>
        <v>0</v>
      </c>
      <c r="BI363" s="798">
        <f t="shared" si="285"/>
        <v>0</v>
      </c>
      <c r="BJ363" s="798">
        <f t="shared" si="285"/>
        <v>0</v>
      </c>
      <c r="BK363" s="798">
        <f t="shared" si="285"/>
        <v>0</v>
      </c>
      <c r="BL363" s="798">
        <f t="shared" si="285"/>
        <v>0</v>
      </c>
      <c r="BM363" s="798">
        <f t="shared" si="285"/>
        <v>0</v>
      </c>
      <c r="BN363" s="798">
        <f t="shared" si="285"/>
        <v>0</v>
      </c>
      <c r="BO363" s="798">
        <f t="shared" si="285"/>
        <v>0</v>
      </c>
      <c r="BP363" s="798">
        <f t="shared" si="285"/>
        <v>0</v>
      </c>
      <c r="BQ363" s="798">
        <f t="shared" si="285"/>
        <v>0</v>
      </c>
      <c r="BR363" s="798">
        <f t="shared" ref="BR363:EC363" si="286">BR250</f>
        <v>0</v>
      </c>
      <c r="BS363" s="798">
        <f t="shared" si="286"/>
        <v>0</v>
      </c>
      <c r="BT363" s="798">
        <f t="shared" si="286"/>
        <v>0</v>
      </c>
      <c r="BU363" s="798">
        <f t="shared" si="286"/>
        <v>0</v>
      </c>
      <c r="BV363" s="798">
        <f t="shared" si="286"/>
        <v>0</v>
      </c>
      <c r="BW363" s="798">
        <f t="shared" si="286"/>
        <v>0</v>
      </c>
      <c r="BX363" s="798">
        <f t="shared" si="286"/>
        <v>0</v>
      </c>
      <c r="BY363" s="798">
        <f t="shared" si="286"/>
        <v>0</v>
      </c>
      <c r="BZ363" s="798">
        <f t="shared" si="286"/>
        <v>0</v>
      </c>
      <c r="CA363" s="798">
        <f t="shared" si="286"/>
        <v>0</v>
      </c>
      <c r="CB363" s="798">
        <f t="shared" si="286"/>
        <v>0</v>
      </c>
      <c r="CC363" s="798">
        <f t="shared" si="286"/>
        <v>0</v>
      </c>
      <c r="CD363" s="798">
        <f t="shared" si="286"/>
        <v>0</v>
      </c>
      <c r="CE363" s="798">
        <f t="shared" si="286"/>
        <v>0</v>
      </c>
      <c r="CF363" s="798">
        <f t="shared" si="286"/>
        <v>0</v>
      </c>
      <c r="CG363" s="798">
        <f t="shared" si="286"/>
        <v>0</v>
      </c>
      <c r="CH363" s="798">
        <f t="shared" si="286"/>
        <v>0</v>
      </c>
      <c r="CI363" s="798">
        <f t="shared" si="286"/>
        <v>0</v>
      </c>
      <c r="CJ363" s="798">
        <f t="shared" si="286"/>
        <v>0</v>
      </c>
      <c r="CK363" s="798">
        <f t="shared" si="286"/>
        <v>0</v>
      </c>
      <c r="CL363" s="798">
        <f t="shared" si="286"/>
        <v>0</v>
      </c>
      <c r="CM363" s="798">
        <f t="shared" si="286"/>
        <v>0</v>
      </c>
      <c r="CN363" s="798">
        <f t="shared" si="286"/>
        <v>0</v>
      </c>
      <c r="CO363" s="798">
        <f t="shared" si="286"/>
        <v>0</v>
      </c>
      <c r="CP363" s="798">
        <f t="shared" si="286"/>
        <v>0</v>
      </c>
      <c r="CQ363" s="798">
        <f t="shared" si="286"/>
        <v>0</v>
      </c>
      <c r="CR363" s="798">
        <f t="shared" si="286"/>
        <v>0</v>
      </c>
      <c r="CS363" s="798">
        <f t="shared" si="286"/>
        <v>0</v>
      </c>
      <c r="CT363" s="798">
        <f t="shared" si="286"/>
        <v>0</v>
      </c>
      <c r="CU363" s="798">
        <f t="shared" si="286"/>
        <v>0</v>
      </c>
      <c r="CV363" s="798">
        <f t="shared" si="286"/>
        <v>0</v>
      </c>
      <c r="CW363" s="798">
        <f t="shared" si="286"/>
        <v>5736147.0869287392</v>
      </c>
      <c r="CX363" s="798">
        <f t="shared" si="286"/>
        <v>0</v>
      </c>
      <c r="CY363" s="798">
        <f t="shared" si="286"/>
        <v>0</v>
      </c>
      <c r="CZ363" s="798">
        <f t="shared" si="286"/>
        <v>0</v>
      </c>
      <c r="DA363" s="798">
        <f t="shared" si="286"/>
        <v>0</v>
      </c>
      <c r="DB363" s="798">
        <f t="shared" si="286"/>
        <v>0</v>
      </c>
      <c r="DC363" s="798">
        <f t="shared" si="286"/>
        <v>0</v>
      </c>
      <c r="DD363" s="798">
        <f t="shared" si="286"/>
        <v>0</v>
      </c>
      <c r="DE363" s="798">
        <f t="shared" si="286"/>
        <v>0</v>
      </c>
      <c r="DF363" s="798">
        <f t="shared" si="286"/>
        <v>0</v>
      </c>
      <c r="DG363" s="798">
        <f t="shared" si="286"/>
        <v>0</v>
      </c>
      <c r="DH363" s="798">
        <f t="shared" si="286"/>
        <v>0</v>
      </c>
      <c r="DI363" s="798">
        <f t="shared" si="286"/>
        <v>0</v>
      </c>
      <c r="DJ363" s="798">
        <f t="shared" si="286"/>
        <v>0</v>
      </c>
      <c r="DK363" s="798">
        <f t="shared" si="286"/>
        <v>0</v>
      </c>
      <c r="DL363" s="798">
        <f t="shared" si="286"/>
        <v>0</v>
      </c>
      <c r="DM363" s="798">
        <f t="shared" si="286"/>
        <v>0</v>
      </c>
      <c r="DN363" s="798">
        <f t="shared" si="286"/>
        <v>0</v>
      </c>
      <c r="DO363" s="798">
        <f t="shared" si="286"/>
        <v>0</v>
      </c>
      <c r="DP363" s="798">
        <f t="shared" si="286"/>
        <v>0</v>
      </c>
      <c r="DQ363" s="798">
        <f t="shared" si="286"/>
        <v>0</v>
      </c>
      <c r="DR363" s="798">
        <f t="shared" si="286"/>
        <v>0</v>
      </c>
      <c r="DS363" s="798">
        <f t="shared" si="286"/>
        <v>0</v>
      </c>
      <c r="DT363" s="798">
        <f t="shared" si="286"/>
        <v>0</v>
      </c>
      <c r="DU363" s="798">
        <f t="shared" si="286"/>
        <v>0</v>
      </c>
      <c r="DV363" s="798">
        <f t="shared" si="286"/>
        <v>0</v>
      </c>
      <c r="DW363" s="798">
        <f t="shared" si="286"/>
        <v>0</v>
      </c>
      <c r="DX363" s="798">
        <f t="shared" si="286"/>
        <v>0</v>
      </c>
      <c r="DY363" s="798">
        <f t="shared" si="286"/>
        <v>0</v>
      </c>
      <c r="DZ363" s="798">
        <f t="shared" si="286"/>
        <v>0</v>
      </c>
      <c r="EA363" s="798">
        <f t="shared" si="286"/>
        <v>0</v>
      </c>
      <c r="EB363" s="798">
        <f t="shared" si="286"/>
        <v>0</v>
      </c>
      <c r="EC363" s="798">
        <f t="shared" si="286"/>
        <v>0</v>
      </c>
      <c r="ED363" s="798">
        <f>ED250</f>
        <v>0</v>
      </c>
      <c r="EE363" s="798">
        <f>EE250</f>
        <v>0</v>
      </c>
      <c r="EF363" s="798">
        <f>EF250</f>
        <v>0</v>
      </c>
      <c r="EG363" s="798">
        <f>EG250</f>
        <v>0</v>
      </c>
      <c r="EH363" s="782"/>
    </row>
    <row r="364" spans="1:138" ht="12.75" customHeight="1" x14ac:dyDescent="0.3">
      <c r="A364" s="782"/>
      <c r="B364" s="821" t="s">
        <v>201</v>
      </c>
      <c r="C364" s="822">
        <f>SUM(E364:EG364)</f>
        <v>12604873.868594905</v>
      </c>
      <c r="D364" s="821"/>
      <c r="E364" s="822">
        <f>SUM(E362:E363)</f>
        <v>0</v>
      </c>
      <c r="F364" s="822">
        <f t="shared" ref="F364:BQ364" si="287">SUM(F362:F363)</f>
        <v>0</v>
      </c>
      <c r="G364" s="822">
        <f t="shared" si="287"/>
        <v>0</v>
      </c>
      <c r="H364" s="822">
        <f t="shared" si="287"/>
        <v>0</v>
      </c>
      <c r="I364" s="822">
        <f t="shared" si="287"/>
        <v>0</v>
      </c>
      <c r="J364" s="822">
        <f t="shared" si="287"/>
        <v>0</v>
      </c>
      <c r="K364" s="822">
        <f t="shared" si="287"/>
        <v>0</v>
      </c>
      <c r="L364" s="822">
        <f t="shared" si="287"/>
        <v>0</v>
      </c>
      <c r="M364" s="822">
        <f t="shared" si="287"/>
        <v>0</v>
      </c>
      <c r="N364" s="822">
        <f t="shared" si="287"/>
        <v>0</v>
      </c>
      <c r="O364" s="822">
        <f t="shared" si="287"/>
        <v>0</v>
      </c>
      <c r="P364" s="822">
        <f t="shared" si="287"/>
        <v>0</v>
      </c>
      <c r="Q364" s="822">
        <f t="shared" si="287"/>
        <v>0</v>
      </c>
      <c r="R364" s="822">
        <f t="shared" si="287"/>
        <v>0</v>
      </c>
      <c r="S364" s="822">
        <f t="shared" si="287"/>
        <v>0</v>
      </c>
      <c r="T364" s="822">
        <f t="shared" si="287"/>
        <v>0</v>
      </c>
      <c r="U364" s="822">
        <f t="shared" si="287"/>
        <v>0</v>
      </c>
      <c r="V364" s="822">
        <f t="shared" si="287"/>
        <v>0</v>
      </c>
      <c r="W364" s="822">
        <f t="shared" si="287"/>
        <v>0</v>
      </c>
      <c r="X364" s="822">
        <f t="shared" si="287"/>
        <v>0</v>
      </c>
      <c r="Y364" s="822">
        <f t="shared" si="287"/>
        <v>0</v>
      </c>
      <c r="Z364" s="822">
        <f t="shared" si="287"/>
        <v>0</v>
      </c>
      <c r="AA364" s="822">
        <f t="shared" si="287"/>
        <v>0</v>
      </c>
      <c r="AB364" s="822">
        <f t="shared" si="287"/>
        <v>0</v>
      </c>
      <c r="AC364" s="822">
        <f t="shared" si="287"/>
        <v>0</v>
      </c>
      <c r="AD364" s="822">
        <f t="shared" si="287"/>
        <v>0</v>
      </c>
      <c r="AE364" s="822">
        <f t="shared" si="287"/>
        <v>0</v>
      </c>
      <c r="AF364" s="822">
        <f t="shared" si="287"/>
        <v>0</v>
      </c>
      <c r="AG364" s="822">
        <f t="shared" si="287"/>
        <v>0</v>
      </c>
      <c r="AH364" s="822">
        <f t="shared" si="287"/>
        <v>0</v>
      </c>
      <c r="AI364" s="822">
        <f t="shared" si="287"/>
        <v>0</v>
      </c>
      <c r="AJ364" s="822">
        <f t="shared" si="287"/>
        <v>0</v>
      </c>
      <c r="AK364" s="822">
        <f t="shared" si="287"/>
        <v>6868726.7816661661</v>
      </c>
      <c r="AL364" s="822">
        <f t="shared" si="287"/>
        <v>0</v>
      </c>
      <c r="AM364" s="822">
        <f t="shared" si="287"/>
        <v>0</v>
      </c>
      <c r="AN364" s="822">
        <f t="shared" si="287"/>
        <v>0</v>
      </c>
      <c r="AO364" s="822">
        <f t="shared" si="287"/>
        <v>0</v>
      </c>
      <c r="AP364" s="822">
        <f t="shared" si="287"/>
        <v>0</v>
      </c>
      <c r="AQ364" s="822">
        <f t="shared" si="287"/>
        <v>0</v>
      </c>
      <c r="AR364" s="822">
        <f t="shared" si="287"/>
        <v>0</v>
      </c>
      <c r="AS364" s="822">
        <f t="shared" si="287"/>
        <v>0</v>
      </c>
      <c r="AT364" s="822">
        <f t="shared" si="287"/>
        <v>0</v>
      </c>
      <c r="AU364" s="822">
        <f t="shared" si="287"/>
        <v>0</v>
      </c>
      <c r="AV364" s="822">
        <f t="shared" si="287"/>
        <v>0</v>
      </c>
      <c r="AW364" s="822">
        <f t="shared" si="287"/>
        <v>0</v>
      </c>
      <c r="AX364" s="822">
        <f t="shared" si="287"/>
        <v>0</v>
      </c>
      <c r="AY364" s="822">
        <f t="shared" si="287"/>
        <v>0</v>
      </c>
      <c r="AZ364" s="822">
        <f t="shared" si="287"/>
        <v>0</v>
      </c>
      <c r="BA364" s="822">
        <f t="shared" si="287"/>
        <v>0</v>
      </c>
      <c r="BB364" s="822">
        <f t="shared" si="287"/>
        <v>0</v>
      </c>
      <c r="BC364" s="822">
        <f t="shared" si="287"/>
        <v>0</v>
      </c>
      <c r="BD364" s="822">
        <f t="shared" si="287"/>
        <v>0</v>
      </c>
      <c r="BE364" s="822">
        <f t="shared" si="287"/>
        <v>0</v>
      </c>
      <c r="BF364" s="822">
        <f t="shared" si="287"/>
        <v>0</v>
      </c>
      <c r="BG364" s="822">
        <f t="shared" si="287"/>
        <v>0</v>
      </c>
      <c r="BH364" s="822">
        <f t="shared" si="287"/>
        <v>0</v>
      </c>
      <c r="BI364" s="822">
        <f t="shared" si="287"/>
        <v>0</v>
      </c>
      <c r="BJ364" s="822">
        <f t="shared" si="287"/>
        <v>0</v>
      </c>
      <c r="BK364" s="822">
        <f t="shared" si="287"/>
        <v>0</v>
      </c>
      <c r="BL364" s="822">
        <f t="shared" si="287"/>
        <v>0</v>
      </c>
      <c r="BM364" s="822">
        <f t="shared" si="287"/>
        <v>0</v>
      </c>
      <c r="BN364" s="822">
        <f t="shared" si="287"/>
        <v>0</v>
      </c>
      <c r="BO364" s="822">
        <f t="shared" si="287"/>
        <v>0</v>
      </c>
      <c r="BP364" s="822">
        <f t="shared" si="287"/>
        <v>0</v>
      </c>
      <c r="BQ364" s="822">
        <f t="shared" si="287"/>
        <v>0</v>
      </c>
      <c r="BR364" s="822">
        <f t="shared" ref="BR364:EC364" si="288">SUM(BR362:BR363)</f>
        <v>0</v>
      </c>
      <c r="BS364" s="822">
        <f t="shared" si="288"/>
        <v>0</v>
      </c>
      <c r="BT364" s="822">
        <f t="shared" si="288"/>
        <v>0</v>
      </c>
      <c r="BU364" s="822">
        <f t="shared" si="288"/>
        <v>0</v>
      </c>
      <c r="BV364" s="822">
        <f t="shared" si="288"/>
        <v>0</v>
      </c>
      <c r="BW364" s="822">
        <f t="shared" si="288"/>
        <v>0</v>
      </c>
      <c r="BX364" s="822">
        <f t="shared" si="288"/>
        <v>0</v>
      </c>
      <c r="BY364" s="822">
        <f t="shared" si="288"/>
        <v>0</v>
      </c>
      <c r="BZ364" s="822">
        <f t="shared" si="288"/>
        <v>0</v>
      </c>
      <c r="CA364" s="822">
        <f t="shared" si="288"/>
        <v>0</v>
      </c>
      <c r="CB364" s="822">
        <f t="shared" si="288"/>
        <v>0</v>
      </c>
      <c r="CC364" s="822">
        <f t="shared" si="288"/>
        <v>0</v>
      </c>
      <c r="CD364" s="822">
        <f t="shared" si="288"/>
        <v>0</v>
      </c>
      <c r="CE364" s="822">
        <f t="shared" si="288"/>
        <v>0</v>
      </c>
      <c r="CF364" s="822">
        <f t="shared" si="288"/>
        <v>0</v>
      </c>
      <c r="CG364" s="822">
        <f t="shared" si="288"/>
        <v>0</v>
      </c>
      <c r="CH364" s="822">
        <f t="shared" si="288"/>
        <v>0</v>
      </c>
      <c r="CI364" s="822">
        <f t="shared" si="288"/>
        <v>0</v>
      </c>
      <c r="CJ364" s="822">
        <f t="shared" si="288"/>
        <v>0</v>
      </c>
      <c r="CK364" s="822">
        <f t="shared" si="288"/>
        <v>0</v>
      </c>
      <c r="CL364" s="822">
        <f t="shared" si="288"/>
        <v>0</v>
      </c>
      <c r="CM364" s="822">
        <f t="shared" si="288"/>
        <v>0</v>
      </c>
      <c r="CN364" s="822">
        <f t="shared" si="288"/>
        <v>0</v>
      </c>
      <c r="CO364" s="822">
        <f t="shared" si="288"/>
        <v>0</v>
      </c>
      <c r="CP364" s="822">
        <f t="shared" si="288"/>
        <v>0</v>
      </c>
      <c r="CQ364" s="822">
        <f t="shared" si="288"/>
        <v>0</v>
      </c>
      <c r="CR364" s="822">
        <f t="shared" si="288"/>
        <v>0</v>
      </c>
      <c r="CS364" s="822">
        <f t="shared" si="288"/>
        <v>0</v>
      </c>
      <c r="CT364" s="822">
        <f t="shared" si="288"/>
        <v>0</v>
      </c>
      <c r="CU364" s="822">
        <f t="shared" si="288"/>
        <v>0</v>
      </c>
      <c r="CV364" s="822">
        <f t="shared" si="288"/>
        <v>0</v>
      </c>
      <c r="CW364" s="822">
        <f t="shared" si="288"/>
        <v>5736147.0869287392</v>
      </c>
      <c r="CX364" s="822">
        <f t="shared" si="288"/>
        <v>0</v>
      </c>
      <c r="CY364" s="822">
        <f t="shared" si="288"/>
        <v>0</v>
      </c>
      <c r="CZ364" s="822">
        <f t="shared" si="288"/>
        <v>0</v>
      </c>
      <c r="DA364" s="822">
        <f t="shared" si="288"/>
        <v>0</v>
      </c>
      <c r="DB364" s="822">
        <f t="shared" si="288"/>
        <v>0</v>
      </c>
      <c r="DC364" s="822">
        <f t="shared" si="288"/>
        <v>0</v>
      </c>
      <c r="DD364" s="822">
        <f t="shared" si="288"/>
        <v>0</v>
      </c>
      <c r="DE364" s="822">
        <f t="shared" si="288"/>
        <v>0</v>
      </c>
      <c r="DF364" s="822">
        <f t="shared" si="288"/>
        <v>0</v>
      </c>
      <c r="DG364" s="822">
        <f t="shared" si="288"/>
        <v>0</v>
      </c>
      <c r="DH364" s="822">
        <f t="shared" si="288"/>
        <v>0</v>
      </c>
      <c r="DI364" s="822">
        <f t="shared" si="288"/>
        <v>0</v>
      </c>
      <c r="DJ364" s="822">
        <f t="shared" si="288"/>
        <v>0</v>
      </c>
      <c r="DK364" s="822">
        <f t="shared" si="288"/>
        <v>0</v>
      </c>
      <c r="DL364" s="822">
        <f t="shared" si="288"/>
        <v>0</v>
      </c>
      <c r="DM364" s="822">
        <f t="shared" si="288"/>
        <v>0</v>
      </c>
      <c r="DN364" s="822">
        <f t="shared" si="288"/>
        <v>0</v>
      </c>
      <c r="DO364" s="822">
        <f t="shared" si="288"/>
        <v>0</v>
      </c>
      <c r="DP364" s="822">
        <f t="shared" si="288"/>
        <v>0</v>
      </c>
      <c r="DQ364" s="822">
        <f t="shared" si="288"/>
        <v>0</v>
      </c>
      <c r="DR364" s="822">
        <f t="shared" si="288"/>
        <v>0</v>
      </c>
      <c r="DS364" s="822">
        <f t="shared" si="288"/>
        <v>0</v>
      </c>
      <c r="DT364" s="822">
        <f t="shared" si="288"/>
        <v>0</v>
      </c>
      <c r="DU364" s="822">
        <f t="shared" si="288"/>
        <v>0</v>
      </c>
      <c r="DV364" s="822">
        <f t="shared" si="288"/>
        <v>0</v>
      </c>
      <c r="DW364" s="822">
        <f t="shared" si="288"/>
        <v>0</v>
      </c>
      <c r="DX364" s="822">
        <f t="shared" si="288"/>
        <v>0</v>
      </c>
      <c r="DY364" s="822">
        <f t="shared" si="288"/>
        <v>0</v>
      </c>
      <c r="DZ364" s="822">
        <f t="shared" si="288"/>
        <v>0</v>
      </c>
      <c r="EA364" s="822">
        <f t="shared" si="288"/>
        <v>0</v>
      </c>
      <c r="EB364" s="822">
        <f t="shared" si="288"/>
        <v>0</v>
      </c>
      <c r="EC364" s="822">
        <f t="shared" si="288"/>
        <v>0</v>
      </c>
      <c r="ED364" s="822">
        <f>SUM(ED362:ED363)</f>
        <v>0</v>
      </c>
      <c r="EE364" s="822">
        <f>SUM(EE362:EE363)</f>
        <v>0</v>
      </c>
      <c r="EF364" s="822">
        <f>SUM(EF362:EF363)</f>
        <v>0</v>
      </c>
      <c r="EG364" s="822">
        <f>SUM(EG362:EG363)</f>
        <v>0</v>
      </c>
      <c r="EH364" s="782"/>
    </row>
    <row r="365" spans="1:138" ht="12.75" customHeight="1" x14ac:dyDescent="0.3">
      <c r="A365" s="782"/>
      <c r="B365" s="782"/>
      <c r="C365" s="798"/>
      <c r="D365" s="782"/>
      <c r="E365" s="798"/>
      <c r="F365" s="798"/>
      <c r="G365" s="798"/>
      <c r="H365" s="798"/>
      <c r="I365" s="798"/>
      <c r="J365" s="798"/>
      <c r="K365" s="798"/>
      <c r="L365" s="798"/>
      <c r="M365" s="798"/>
      <c r="N365" s="798"/>
      <c r="O365" s="798"/>
      <c r="P365" s="798"/>
      <c r="Q365" s="798"/>
      <c r="R365" s="798"/>
      <c r="S365" s="798"/>
      <c r="T365" s="798"/>
      <c r="U365" s="798"/>
      <c r="V365" s="798"/>
      <c r="W365" s="798"/>
      <c r="X365" s="798"/>
      <c r="Y365" s="798"/>
      <c r="Z365" s="798"/>
      <c r="AA365" s="798"/>
      <c r="AB365" s="798"/>
      <c r="AC365" s="798"/>
      <c r="AD365" s="798"/>
      <c r="AE365" s="798"/>
      <c r="AF365" s="798"/>
      <c r="AG365" s="798"/>
      <c r="AH365" s="798"/>
      <c r="AI365" s="798"/>
      <c r="AJ365" s="798"/>
      <c r="AK365" s="798"/>
      <c r="AL365" s="798"/>
      <c r="AM365" s="798"/>
      <c r="AN365" s="798"/>
      <c r="AO365" s="798"/>
      <c r="AP365" s="798"/>
      <c r="AQ365" s="798"/>
      <c r="AR365" s="798"/>
      <c r="AS365" s="798"/>
      <c r="AT365" s="798"/>
      <c r="AU365" s="798"/>
      <c r="AV365" s="798"/>
      <c r="AW365" s="798"/>
      <c r="AX365" s="798"/>
      <c r="AY365" s="798"/>
      <c r="AZ365" s="798"/>
      <c r="BA365" s="798"/>
      <c r="BB365" s="798"/>
      <c r="BC365" s="798"/>
      <c r="BD365" s="798"/>
      <c r="BE365" s="798"/>
      <c r="BF365" s="798"/>
      <c r="BG365" s="798"/>
      <c r="BH365" s="798"/>
      <c r="BI365" s="798"/>
      <c r="BJ365" s="798"/>
      <c r="BK365" s="798"/>
      <c r="BL365" s="798"/>
      <c r="BM365" s="798"/>
      <c r="BN365" s="798"/>
      <c r="BO365" s="798"/>
      <c r="BP365" s="798"/>
      <c r="BQ365" s="798"/>
      <c r="BR365" s="798"/>
      <c r="BS365" s="798"/>
      <c r="BT365" s="798"/>
      <c r="BU365" s="798"/>
      <c r="BV365" s="798"/>
      <c r="BW365" s="798"/>
      <c r="BX365" s="798"/>
      <c r="BY365" s="798"/>
      <c r="BZ365" s="798"/>
      <c r="CA365" s="798"/>
      <c r="CB365" s="798"/>
      <c r="CC365" s="798"/>
      <c r="CD365" s="798"/>
      <c r="CE365" s="798"/>
      <c r="CF365" s="798"/>
      <c r="CG365" s="798"/>
      <c r="CH365" s="798"/>
      <c r="CI365" s="798"/>
      <c r="CJ365" s="798"/>
      <c r="CK365" s="798"/>
      <c r="CL365" s="798"/>
      <c r="CM365" s="798"/>
      <c r="CN365" s="798"/>
      <c r="CO365" s="798"/>
      <c r="CP365" s="798"/>
      <c r="CQ365" s="798"/>
      <c r="CR365" s="798"/>
      <c r="CS365" s="798"/>
      <c r="CT365" s="798"/>
      <c r="CU365" s="798"/>
      <c r="CV365" s="798"/>
      <c r="CW365" s="798"/>
      <c r="CX365" s="798"/>
      <c r="CY365" s="798"/>
      <c r="CZ365" s="798"/>
      <c r="DA365" s="798"/>
      <c r="DB365" s="798"/>
      <c r="DC365" s="798"/>
      <c r="DD365" s="798"/>
      <c r="DE365" s="798"/>
      <c r="DF365" s="798"/>
      <c r="DG365" s="798"/>
      <c r="DH365" s="798"/>
      <c r="DI365" s="798"/>
      <c r="DJ365" s="798"/>
      <c r="DK365" s="798"/>
      <c r="DL365" s="798"/>
      <c r="DM365" s="798"/>
      <c r="DN365" s="798"/>
      <c r="DO365" s="798"/>
      <c r="DP365" s="798"/>
      <c r="DQ365" s="798"/>
      <c r="DR365" s="798"/>
      <c r="DS365" s="798"/>
      <c r="DT365" s="798"/>
      <c r="DU365" s="798"/>
      <c r="DV365" s="798"/>
      <c r="DW365" s="798"/>
      <c r="DX365" s="798"/>
      <c r="DY365" s="798"/>
      <c r="DZ365" s="798"/>
      <c r="EA365" s="798"/>
      <c r="EB365" s="798"/>
      <c r="EC365" s="798"/>
      <c r="ED365" s="798"/>
      <c r="EE365" s="798"/>
      <c r="EF365" s="798"/>
      <c r="EG365" s="798"/>
      <c r="EH365" s="782"/>
    </row>
    <row r="366" spans="1:138" ht="12.75" customHeight="1" x14ac:dyDescent="0.3">
      <c r="A366" s="782"/>
      <c r="B366" s="782" t="s">
        <v>202</v>
      </c>
      <c r="C366" s="798">
        <f>SUM(E366:EG366)</f>
        <v>54689978.533447824</v>
      </c>
      <c r="D366" s="782"/>
      <c r="E366" s="798">
        <f>E364+E357</f>
        <v>-1459520.0769018831</v>
      </c>
      <c r="F366" s="798">
        <f t="shared" ref="F366:BQ366" si="289">F364+F357</f>
        <v>-11421694.387157971</v>
      </c>
      <c r="G366" s="798">
        <f t="shared" si="289"/>
        <v>-369114.99916858942</v>
      </c>
      <c r="H366" s="798">
        <f t="shared" si="289"/>
        <v>-555086.80631586071</v>
      </c>
      <c r="I366" s="798">
        <f t="shared" si="289"/>
        <v>-935498.05368796352</v>
      </c>
      <c r="J366" s="798">
        <f t="shared" si="289"/>
        <v>-1520128.0247696131</v>
      </c>
      <c r="K366" s="798">
        <f t="shared" si="289"/>
        <v>-1564787.4194152202</v>
      </c>
      <c r="L366" s="798">
        <f t="shared" si="289"/>
        <v>-1991304.9497603511</v>
      </c>
      <c r="M366" s="798">
        <f t="shared" si="289"/>
        <v>-2360495.3169892058</v>
      </c>
      <c r="N366" s="798">
        <f t="shared" si="289"/>
        <v>-2761784.5906149005</v>
      </c>
      <c r="O366" s="798">
        <f t="shared" si="289"/>
        <v>-1574123.1684457453</v>
      </c>
      <c r="P366" s="798">
        <f t="shared" si="289"/>
        <v>-15202.827377578833</v>
      </c>
      <c r="Q366" s="798">
        <f t="shared" si="289"/>
        <v>-16173.914529341831</v>
      </c>
      <c r="R366" s="798">
        <f t="shared" si="289"/>
        <v>-17157.636786895979</v>
      </c>
      <c r="S366" s="798">
        <f t="shared" si="289"/>
        <v>-18151.1014657259</v>
      </c>
      <c r="T366" s="798">
        <f t="shared" si="289"/>
        <v>-19079.299298112302</v>
      </c>
      <c r="U366" s="798">
        <f t="shared" si="289"/>
        <v>-19980.72919213543</v>
      </c>
      <c r="V366" s="798">
        <f t="shared" si="289"/>
        <v>-20814.920220536322</v>
      </c>
      <c r="W366" s="798">
        <f t="shared" si="289"/>
        <v>-21564.773579702716</v>
      </c>
      <c r="X366" s="798">
        <f t="shared" si="289"/>
        <v>-22310.714160245509</v>
      </c>
      <c r="Y366" s="798">
        <f t="shared" si="289"/>
        <v>-22995.24880912013</v>
      </c>
      <c r="Z366" s="798">
        <f t="shared" si="289"/>
        <v>-23571.269754990404</v>
      </c>
      <c r="AA366" s="798">
        <f t="shared" si="289"/>
        <v>-24062.072467745635</v>
      </c>
      <c r="AB366" s="798">
        <f t="shared" si="289"/>
        <v>-24470.072457408431</v>
      </c>
      <c r="AC366" s="798">
        <f t="shared" si="289"/>
        <v>8384.5059293936665</v>
      </c>
      <c r="AD366" s="798">
        <f t="shared" si="289"/>
        <v>38366.358635012235</v>
      </c>
      <c r="AE366" s="798">
        <f t="shared" si="289"/>
        <v>72614.497273708708</v>
      </c>
      <c r="AF366" s="798">
        <f t="shared" si="289"/>
        <v>139782.41588327449</v>
      </c>
      <c r="AG366" s="798">
        <f t="shared" si="289"/>
        <v>142520.81846381401</v>
      </c>
      <c r="AH366" s="798">
        <f t="shared" si="289"/>
        <v>143499.4833160592</v>
      </c>
      <c r="AI366" s="798">
        <f t="shared" si="289"/>
        <v>318898.2726360347</v>
      </c>
      <c r="AJ366" s="798">
        <f t="shared" si="289"/>
        <v>320842.57222426333</v>
      </c>
      <c r="AK366" s="798">
        <f t="shared" si="289"/>
        <v>2033255.0548389172</v>
      </c>
      <c r="AL366" s="798">
        <f t="shared" si="289"/>
        <v>10750963.273536308</v>
      </c>
      <c r="AM366" s="798">
        <f t="shared" si="289"/>
        <v>154175.30289193612</v>
      </c>
      <c r="AN366" s="798">
        <f t="shared" si="289"/>
        <v>156052.84658401532</v>
      </c>
      <c r="AO366" s="798">
        <f t="shared" si="289"/>
        <v>157905.337072175</v>
      </c>
      <c r="AP366" s="798">
        <f t="shared" si="289"/>
        <v>159126.13046560684</v>
      </c>
      <c r="AQ366" s="798">
        <f t="shared" si="289"/>
        <v>161606.19696258724</v>
      </c>
      <c r="AR366" s="798">
        <f t="shared" si="289"/>
        <v>163727.71915666686</v>
      </c>
      <c r="AS366" s="798">
        <f t="shared" si="289"/>
        <v>160098.98872927978</v>
      </c>
      <c r="AT366" s="798">
        <f t="shared" si="289"/>
        <v>161292.27647302084</v>
      </c>
      <c r="AU366" s="798">
        <f t="shared" si="289"/>
        <v>162414.60989911362</v>
      </c>
      <c r="AV366" s="798">
        <f t="shared" si="289"/>
        <v>164105.21112728768</v>
      </c>
      <c r="AW366" s="798">
        <f t="shared" si="289"/>
        <v>165727.63363498784</v>
      </c>
      <c r="AX366" s="798">
        <f t="shared" si="289"/>
        <v>167255.63194299303</v>
      </c>
      <c r="AY366" s="798">
        <f t="shared" si="289"/>
        <v>168723.96119367678</v>
      </c>
      <c r="AZ366" s="798">
        <f t="shared" si="289"/>
        <v>170137.94049186527</v>
      </c>
      <c r="BA366" s="798">
        <f t="shared" si="289"/>
        <v>171456.94458562406</v>
      </c>
      <c r="BB366" s="798">
        <f t="shared" si="289"/>
        <v>172238.08977063734</v>
      </c>
      <c r="BC366" s="798">
        <f t="shared" si="289"/>
        <v>173888.12389038652</v>
      </c>
      <c r="BD366" s="798">
        <f t="shared" si="289"/>
        <v>175221.59871841667</v>
      </c>
      <c r="BE366" s="798">
        <f t="shared" si="289"/>
        <v>171988.88946342253</v>
      </c>
      <c r="BF366" s="798">
        <f t="shared" si="289"/>
        <v>172663.65734905982</v>
      </c>
      <c r="BG366" s="798">
        <f t="shared" si="289"/>
        <v>173341.15389008564</v>
      </c>
      <c r="BH366" s="798">
        <f t="shared" si="289"/>
        <v>174491.57544100142</v>
      </c>
      <c r="BI366" s="798">
        <f t="shared" si="289"/>
        <v>175660.72232521599</v>
      </c>
      <c r="BJ366" s="798">
        <f t="shared" si="289"/>
        <v>176895.00661635408</v>
      </c>
      <c r="BK366" s="798">
        <f t="shared" si="289"/>
        <v>178184.14107870785</v>
      </c>
      <c r="BL366" s="798">
        <f t="shared" si="289"/>
        <v>179482.67170936364</v>
      </c>
      <c r="BM366" s="798">
        <f t="shared" si="289"/>
        <v>180849.22142402246</v>
      </c>
      <c r="BN366" s="798">
        <f t="shared" si="289"/>
        <v>181743.7622890012</v>
      </c>
      <c r="BO366" s="798">
        <f t="shared" si="289"/>
        <v>183715.10733150679</v>
      </c>
      <c r="BP366" s="798">
        <f t="shared" si="289"/>
        <v>185438.45343957943</v>
      </c>
      <c r="BQ366" s="798">
        <f t="shared" si="289"/>
        <v>182292.67353184964</v>
      </c>
      <c r="BR366" s="798">
        <f t="shared" ref="BR366:EC366" si="290">BR364+BR357</f>
        <v>183269.50919075595</v>
      </c>
      <c r="BS366" s="798">
        <f t="shared" si="290"/>
        <v>184230.17562767022</v>
      </c>
      <c r="BT366" s="798">
        <f t="shared" si="290"/>
        <v>185780.21466794828</v>
      </c>
      <c r="BU366" s="798">
        <f t="shared" si="290"/>
        <v>187310.64458086196</v>
      </c>
      <c r="BV366" s="798">
        <f t="shared" si="290"/>
        <v>188860.96976827679</v>
      </c>
      <c r="BW366" s="798">
        <f t="shared" si="290"/>
        <v>190436.24270482885</v>
      </c>
      <c r="BX366" s="798">
        <f t="shared" si="290"/>
        <v>192001.32193139099</v>
      </c>
      <c r="BY366" s="798">
        <f t="shared" si="290"/>
        <v>193593.20006759552</v>
      </c>
      <c r="BZ366" s="798">
        <f t="shared" si="290"/>
        <v>194607.03378064299</v>
      </c>
      <c r="CA366" s="798">
        <f t="shared" si="290"/>
        <v>196795.09556826376</v>
      </c>
      <c r="CB366" s="798">
        <f t="shared" si="290"/>
        <v>198691.23431620785</v>
      </c>
      <c r="CC366" s="798">
        <f t="shared" si="290"/>
        <v>195511.30470261344</v>
      </c>
      <c r="CD366" s="798">
        <f t="shared" si="290"/>
        <v>196586.47257721753</v>
      </c>
      <c r="CE366" s="798">
        <f t="shared" si="290"/>
        <v>197640.21861742294</v>
      </c>
      <c r="CF366" s="798">
        <f t="shared" si="290"/>
        <v>199295.96660206228</v>
      </c>
      <c r="CG366" s="798">
        <f t="shared" si="290"/>
        <v>200944.95458029973</v>
      </c>
      <c r="CH366" s="798">
        <f t="shared" si="290"/>
        <v>202609.10323266854</v>
      </c>
      <c r="CI366" s="798">
        <f t="shared" si="290"/>
        <v>204257.93754540096</v>
      </c>
      <c r="CJ366" s="798">
        <f t="shared" si="290"/>
        <v>205931.68108610384</v>
      </c>
      <c r="CK366" s="798">
        <f t="shared" si="290"/>
        <v>207630.00461851811</v>
      </c>
      <c r="CL366" s="798">
        <f t="shared" si="290"/>
        <v>208710.57000710259</v>
      </c>
      <c r="CM366" s="798">
        <f t="shared" si="290"/>
        <v>211009.40162900416</v>
      </c>
      <c r="CN366" s="798">
        <f t="shared" si="290"/>
        <v>212992.16288272329</v>
      </c>
      <c r="CO366" s="798">
        <f t="shared" si="290"/>
        <v>209734.11069809712</v>
      </c>
      <c r="CP366" s="798">
        <f t="shared" si="290"/>
        <v>210858.97547925983</v>
      </c>
      <c r="CQ366" s="798">
        <f t="shared" si="290"/>
        <v>211961.83655624898</v>
      </c>
      <c r="CR366" s="798">
        <f t="shared" si="290"/>
        <v>213671.71984516139</v>
      </c>
      <c r="CS366" s="798">
        <f t="shared" si="290"/>
        <v>215397.39392359921</v>
      </c>
      <c r="CT366" s="798">
        <f t="shared" si="290"/>
        <v>217148.93780705624</v>
      </c>
      <c r="CU366" s="798">
        <f t="shared" si="290"/>
        <v>218880.08719193298</v>
      </c>
      <c r="CV366" s="798">
        <f t="shared" si="290"/>
        <v>220628.55475225078</v>
      </c>
      <c r="CW366" s="798">
        <f t="shared" si="290"/>
        <v>55961045.038019247</v>
      </c>
      <c r="CX366" s="798">
        <f t="shared" si="290"/>
        <v>0</v>
      </c>
      <c r="CY366" s="798">
        <f t="shared" si="290"/>
        <v>0</v>
      </c>
      <c r="CZ366" s="798">
        <f t="shared" si="290"/>
        <v>0</v>
      </c>
      <c r="DA366" s="798">
        <f t="shared" si="290"/>
        <v>0</v>
      </c>
      <c r="DB366" s="798">
        <f t="shared" si="290"/>
        <v>0</v>
      </c>
      <c r="DC366" s="798">
        <f t="shared" si="290"/>
        <v>0</v>
      </c>
      <c r="DD366" s="798">
        <f t="shared" si="290"/>
        <v>0</v>
      </c>
      <c r="DE366" s="798">
        <f t="shared" si="290"/>
        <v>0</v>
      </c>
      <c r="DF366" s="798">
        <f t="shared" si="290"/>
        <v>0</v>
      </c>
      <c r="DG366" s="798">
        <f t="shared" si="290"/>
        <v>0</v>
      </c>
      <c r="DH366" s="798">
        <f t="shared" si="290"/>
        <v>0</v>
      </c>
      <c r="DI366" s="798">
        <f t="shared" si="290"/>
        <v>0</v>
      </c>
      <c r="DJ366" s="798">
        <f t="shared" si="290"/>
        <v>0</v>
      </c>
      <c r="DK366" s="798">
        <f t="shared" si="290"/>
        <v>0</v>
      </c>
      <c r="DL366" s="798">
        <f t="shared" si="290"/>
        <v>0</v>
      </c>
      <c r="DM366" s="798">
        <f t="shared" si="290"/>
        <v>0</v>
      </c>
      <c r="DN366" s="798">
        <f t="shared" si="290"/>
        <v>0</v>
      </c>
      <c r="DO366" s="798">
        <f t="shared" si="290"/>
        <v>0</v>
      </c>
      <c r="DP366" s="798">
        <f t="shared" si="290"/>
        <v>0</v>
      </c>
      <c r="DQ366" s="798">
        <f t="shared" si="290"/>
        <v>0</v>
      </c>
      <c r="DR366" s="798">
        <f t="shared" si="290"/>
        <v>0</v>
      </c>
      <c r="DS366" s="798">
        <f t="shared" si="290"/>
        <v>0</v>
      </c>
      <c r="DT366" s="798">
        <f t="shared" si="290"/>
        <v>0</v>
      </c>
      <c r="DU366" s="798">
        <f t="shared" si="290"/>
        <v>0</v>
      </c>
      <c r="DV366" s="798">
        <f t="shared" si="290"/>
        <v>0</v>
      </c>
      <c r="DW366" s="798">
        <f t="shared" si="290"/>
        <v>0</v>
      </c>
      <c r="DX366" s="798">
        <f t="shared" si="290"/>
        <v>0</v>
      </c>
      <c r="DY366" s="798">
        <f t="shared" si="290"/>
        <v>0</v>
      </c>
      <c r="DZ366" s="798">
        <f t="shared" si="290"/>
        <v>0</v>
      </c>
      <c r="EA366" s="798">
        <f t="shared" si="290"/>
        <v>0</v>
      </c>
      <c r="EB366" s="798">
        <f t="shared" si="290"/>
        <v>0</v>
      </c>
      <c r="EC366" s="798">
        <f t="shared" si="290"/>
        <v>0</v>
      </c>
      <c r="ED366" s="798">
        <f>ED364+ED357</f>
        <v>0</v>
      </c>
      <c r="EE366" s="798">
        <f>EE364+EE357</f>
        <v>0</v>
      </c>
      <c r="EF366" s="798">
        <f>EF364+EF357</f>
        <v>0</v>
      </c>
      <c r="EG366" s="798">
        <f>EG364+EG357</f>
        <v>0</v>
      </c>
      <c r="EH366" s="782"/>
    </row>
    <row r="367" spans="1:138" ht="12.75" customHeight="1" x14ac:dyDescent="0.3">
      <c r="A367" s="782"/>
      <c r="B367" s="833" t="s">
        <v>203</v>
      </c>
      <c r="C367" s="834">
        <f>XIRR(OFFSET(E366,0,$C$141):EG366,OFFSET($E$4,0,$C$141):$EG$4)</f>
        <v>0.20637730956077577</v>
      </c>
      <c r="D367" s="782"/>
      <c r="E367" s="798"/>
      <c r="F367" s="798"/>
      <c r="G367" s="798"/>
      <c r="H367" s="798"/>
      <c r="I367" s="798"/>
      <c r="J367" s="798"/>
      <c r="K367" s="798"/>
      <c r="L367" s="798"/>
      <c r="M367" s="798"/>
      <c r="N367" s="798"/>
      <c r="O367" s="798"/>
      <c r="P367" s="798"/>
      <c r="Q367" s="798"/>
      <c r="R367" s="798"/>
      <c r="S367" s="798"/>
      <c r="T367" s="798"/>
      <c r="U367" s="798"/>
      <c r="V367" s="798"/>
      <c r="W367" s="798"/>
      <c r="X367" s="798"/>
      <c r="Y367" s="798"/>
      <c r="Z367" s="798"/>
      <c r="AA367" s="798"/>
      <c r="AB367" s="798"/>
      <c r="AC367" s="798"/>
      <c r="AD367" s="798"/>
      <c r="AE367" s="798"/>
      <c r="AF367" s="798"/>
      <c r="AG367" s="798"/>
      <c r="AH367" s="798"/>
      <c r="AI367" s="798"/>
      <c r="AJ367" s="798"/>
      <c r="AK367" s="798"/>
      <c r="AL367" s="798"/>
      <c r="AM367" s="798"/>
      <c r="AN367" s="798"/>
      <c r="AO367" s="798"/>
      <c r="AP367" s="798"/>
      <c r="AQ367" s="798"/>
      <c r="AR367" s="798"/>
      <c r="AS367" s="798"/>
      <c r="AT367" s="798"/>
      <c r="AU367" s="798"/>
      <c r="AV367" s="798"/>
      <c r="AW367" s="798"/>
      <c r="AX367" s="798"/>
      <c r="AY367" s="798"/>
      <c r="AZ367" s="798"/>
      <c r="BA367" s="798"/>
      <c r="BB367" s="798"/>
      <c r="BC367" s="798"/>
      <c r="BD367" s="798"/>
      <c r="BE367" s="798"/>
      <c r="BF367" s="798"/>
      <c r="BG367" s="798"/>
      <c r="BH367" s="798"/>
      <c r="BI367" s="798"/>
      <c r="BJ367" s="798"/>
      <c r="BK367" s="798"/>
      <c r="BL367" s="798"/>
      <c r="BM367" s="798"/>
      <c r="BN367" s="798"/>
      <c r="BO367" s="798"/>
      <c r="BP367" s="798"/>
      <c r="BQ367" s="798"/>
      <c r="BR367" s="798"/>
      <c r="BS367" s="798"/>
      <c r="BT367" s="798"/>
      <c r="BU367" s="798"/>
      <c r="BV367" s="798"/>
      <c r="BW367" s="798"/>
      <c r="BX367" s="798"/>
      <c r="BY367" s="798"/>
      <c r="BZ367" s="798"/>
      <c r="CA367" s="798"/>
      <c r="CB367" s="798"/>
      <c r="CC367" s="798"/>
      <c r="CD367" s="798"/>
      <c r="CE367" s="798"/>
      <c r="CF367" s="798"/>
      <c r="CG367" s="798"/>
      <c r="CH367" s="798"/>
      <c r="CI367" s="798"/>
      <c r="CJ367" s="798"/>
      <c r="CK367" s="798"/>
      <c r="CL367" s="798"/>
      <c r="CM367" s="798"/>
      <c r="CN367" s="798"/>
      <c r="CO367" s="798"/>
      <c r="CP367" s="798"/>
      <c r="CQ367" s="798"/>
      <c r="CR367" s="798"/>
      <c r="CS367" s="798"/>
      <c r="CT367" s="798"/>
      <c r="CU367" s="798"/>
      <c r="CV367" s="798"/>
      <c r="CW367" s="798"/>
      <c r="CX367" s="798"/>
      <c r="CY367" s="798"/>
      <c r="CZ367" s="798"/>
      <c r="DA367" s="798"/>
      <c r="DB367" s="798"/>
      <c r="DC367" s="798"/>
      <c r="DD367" s="798"/>
      <c r="DE367" s="798"/>
      <c r="DF367" s="798"/>
      <c r="DG367" s="798"/>
      <c r="DH367" s="798"/>
      <c r="DI367" s="798"/>
      <c r="DJ367" s="798"/>
      <c r="DK367" s="798"/>
      <c r="DL367" s="798"/>
      <c r="DM367" s="798"/>
      <c r="DN367" s="798"/>
      <c r="DO367" s="798"/>
      <c r="DP367" s="798"/>
      <c r="DQ367" s="798"/>
      <c r="DR367" s="798"/>
      <c r="DS367" s="798"/>
      <c r="DT367" s="798"/>
      <c r="DU367" s="798"/>
      <c r="DV367" s="798"/>
      <c r="DW367" s="798"/>
      <c r="DX367" s="798"/>
      <c r="DY367" s="798"/>
      <c r="DZ367" s="798"/>
      <c r="EA367" s="798"/>
      <c r="EB367" s="798"/>
      <c r="EC367" s="798"/>
      <c r="ED367" s="798"/>
      <c r="EE367" s="798"/>
      <c r="EF367" s="798"/>
      <c r="EG367" s="798"/>
      <c r="EH367" s="782"/>
    </row>
    <row r="368" spans="1:138" ht="12.75" customHeight="1" x14ac:dyDescent="0.3">
      <c r="A368" s="782"/>
      <c r="B368" s="835" t="s">
        <v>204</v>
      </c>
      <c r="C368" s="836">
        <f>SUMIF($E$366:$EG$366,"&gt;0")/-SUMIF($E$366:$EG$366,"&lt;0")</f>
        <v>3.0422656084204585</v>
      </c>
      <c r="D368" s="782"/>
      <c r="E368" s="798"/>
      <c r="F368" s="798"/>
      <c r="G368" s="798"/>
      <c r="H368" s="798"/>
      <c r="I368" s="798"/>
      <c r="J368" s="798"/>
      <c r="K368" s="798"/>
      <c r="L368" s="798"/>
      <c r="M368" s="798"/>
      <c r="N368" s="798"/>
      <c r="O368" s="798"/>
      <c r="P368" s="798"/>
      <c r="Q368" s="798"/>
      <c r="R368" s="798"/>
      <c r="S368" s="798"/>
      <c r="T368" s="798"/>
      <c r="U368" s="798"/>
      <c r="V368" s="798"/>
      <c r="W368" s="798"/>
      <c r="X368" s="798"/>
      <c r="Y368" s="798"/>
      <c r="Z368" s="798"/>
      <c r="AA368" s="798"/>
      <c r="AB368" s="798"/>
      <c r="AC368" s="798"/>
      <c r="AD368" s="798"/>
      <c r="AE368" s="798"/>
      <c r="AF368" s="798"/>
      <c r="AG368" s="798"/>
      <c r="AH368" s="798"/>
      <c r="AI368" s="798"/>
      <c r="AJ368" s="798"/>
      <c r="AK368" s="798"/>
      <c r="AL368" s="798"/>
      <c r="AM368" s="798"/>
      <c r="AN368" s="798"/>
      <c r="AO368" s="798"/>
      <c r="AP368" s="798"/>
      <c r="AQ368" s="798"/>
      <c r="AR368" s="798"/>
      <c r="AS368" s="798"/>
      <c r="AT368" s="798"/>
      <c r="AU368" s="798"/>
      <c r="AV368" s="798"/>
      <c r="AW368" s="798"/>
      <c r="AX368" s="798"/>
      <c r="AY368" s="798"/>
      <c r="AZ368" s="798"/>
      <c r="BA368" s="798"/>
      <c r="BB368" s="798"/>
      <c r="BC368" s="798"/>
      <c r="BD368" s="798"/>
      <c r="BE368" s="798"/>
      <c r="BF368" s="798"/>
      <c r="BG368" s="798"/>
      <c r="BH368" s="798"/>
      <c r="BI368" s="798"/>
      <c r="BJ368" s="798"/>
      <c r="BK368" s="798"/>
      <c r="BL368" s="798"/>
      <c r="BM368" s="798"/>
      <c r="BN368" s="798"/>
      <c r="BO368" s="798"/>
      <c r="BP368" s="798"/>
      <c r="BQ368" s="798"/>
      <c r="BR368" s="798"/>
      <c r="BS368" s="798"/>
      <c r="BT368" s="798"/>
      <c r="BU368" s="798"/>
      <c r="BV368" s="798"/>
      <c r="BW368" s="798"/>
      <c r="BX368" s="798"/>
      <c r="BY368" s="798"/>
      <c r="BZ368" s="798"/>
      <c r="CA368" s="798"/>
      <c r="CB368" s="798"/>
      <c r="CC368" s="798"/>
      <c r="CD368" s="798"/>
      <c r="CE368" s="798"/>
      <c r="CF368" s="798"/>
      <c r="CG368" s="798"/>
      <c r="CH368" s="798"/>
      <c r="CI368" s="798"/>
      <c r="CJ368" s="798"/>
      <c r="CK368" s="798"/>
      <c r="CL368" s="798"/>
      <c r="CM368" s="798"/>
      <c r="CN368" s="798"/>
      <c r="CO368" s="798"/>
      <c r="CP368" s="798"/>
      <c r="CQ368" s="798"/>
      <c r="CR368" s="798"/>
      <c r="CS368" s="798"/>
      <c r="CT368" s="798"/>
      <c r="CU368" s="798"/>
      <c r="CV368" s="798"/>
      <c r="CW368" s="798"/>
      <c r="CX368" s="798"/>
      <c r="CY368" s="798"/>
      <c r="CZ368" s="798"/>
      <c r="DA368" s="798"/>
      <c r="DB368" s="798"/>
      <c r="DC368" s="798"/>
      <c r="DD368" s="798"/>
      <c r="DE368" s="798"/>
      <c r="DF368" s="798"/>
      <c r="DG368" s="798"/>
      <c r="DH368" s="798"/>
      <c r="DI368" s="798"/>
      <c r="DJ368" s="798"/>
      <c r="DK368" s="798"/>
      <c r="DL368" s="798"/>
      <c r="DM368" s="798"/>
      <c r="DN368" s="798"/>
      <c r="DO368" s="798"/>
      <c r="DP368" s="798"/>
      <c r="DQ368" s="798"/>
      <c r="DR368" s="798"/>
      <c r="DS368" s="798"/>
      <c r="DT368" s="798"/>
      <c r="DU368" s="798"/>
      <c r="DV368" s="798"/>
      <c r="DW368" s="798"/>
      <c r="DX368" s="798"/>
      <c r="DY368" s="798"/>
      <c r="DZ368" s="798"/>
      <c r="EA368" s="798"/>
      <c r="EB368" s="798"/>
      <c r="EC368" s="798"/>
      <c r="ED368" s="798"/>
      <c r="EE368" s="798"/>
      <c r="EF368" s="798"/>
      <c r="EG368" s="798"/>
      <c r="EH368" s="782"/>
    </row>
    <row r="369" spans="1:138" ht="12.75" customHeight="1" x14ac:dyDescent="0.3">
      <c r="A369" s="782"/>
      <c r="B369" s="782"/>
      <c r="C369" s="798"/>
      <c r="D369" s="782"/>
      <c r="E369" s="798"/>
      <c r="F369" s="798"/>
      <c r="G369" s="798"/>
      <c r="H369" s="798"/>
      <c r="I369" s="798"/>
      <c r="J369" s="798"/>
      <c r="K369" s="798"/>
      <c r="L369" s="798"/>
      <c r="M369" s="798"/>
      <c r="N369" s="798"/>
      <c r="O369" s="798"/>
      <c r="P369" s="798"/>
      <c r="Q369" s="798"/>
      <c r="R369" s="798"/>
      <c r="S369" s="798"/>
      <c r="T369" s="798"/>
      <c r="U369" s="798"/>
      <c r="V369" s="798"/>
      <c r="W369" s="798"/>
      <c r="X369" s="798"/>
      <c r="Y369" s="798"/>
      <c r="Z369" s="798"/>
      <c r="AA369" s="798"/>
      <c r="AB369" s="798"/>
      <c r="AC369" s="798"/>
      <c r="AD369" s="798"/>
      <c r="AE369" s="798"/>
      <c r="AF369" s="798"/>
      <c r="AG369" s="798"/>
      <c r="AH369" s="798"/>
      <c r="AI369" s="798"/>
      <c r="AJ369" s="798"/>
      <c r="AK369" s="798"/>
      <c r="AL369" s="798"/>
      <c r="AM369" s="798"/>
      <c r="AN369" s="798"/>
      <c r="AO369" s="798"/>
      <c r="AP369" s="798"/>
      <c r="AQ369" s="798"/>
      <c r="AR369" s="798"/>
      <c r="AS369" s="798"/>
      <c r="AT369" s="798"/>
      <c r="AU369" s="798"/>
      <c r="AV369" s="798"/>
      <c r="AW369" s="798"/>
      <c r="AX369" s="798"/>
      <c r="AY369" s="798"/>
      <c r="AZ369" s="798"/>
      <c r="BA369" s="798"/>
      <c r="BB369" s="798"/>
      <c r="BC369" s="798"/>
      <c r="BD369" s="798"/>
      <c r="BE369" s="798"/>
      <c r="BF369" s="798"/>
      <c r="BG369" s="798"/>
      <c r="BH369" s="798"/>
      <c r="BI369" s="798"/>
      <c r="BJ369" s="798"/>
      <c r="BK369" s="798"/>
      <c r="BL369" s="798"/>
      <c r="BM369" s="798"/>
      <c r="BN369" s="798"/>
      <c r="BO369" s="798"/>
      <c r="BP369" s="798"/>
      <c r="BQ369" s="798"/>
      <c r="BR369" s="798"/>
      <c r="BS369" s="798"/>
      <c r="BT369" s="798"/>
      <c r="BU369" s="798"/>
      <c r="BV369" s="798"/>
      <c r="BW369" s="798"/>
      <c r="BX369" s="798"/>
      <c r="BY369" s="798"/>
      <c r="BZ369" s="798"/>
      <c r="CA369" s="798"/>
      <c r="CB369" s="798"/>
      <c r="CC369" s="798"/>
      <c r="CD369" s="798"/>
      <c r="CE369" s="798"/>
      <c r="CF369" s="798"/>
      <c r="CG369" s="798"/>
      <c r="CH369" s="798"/>
      <c r="CI369" s="798"/>
      <c r="CJ369" s="798"/>
      <c r="CK369" s="798"/>
      <c r="CL369" s="798"/>
      <c r="CM369" s="798"/>
      <c r="CN369" s="798"/>
      <c r="CO369" s="798"/>
      <c r="CP369" s="798"/>
      <c r="CQ369" s="798"/>
      <c r="CR369" s="798"/>
      <c r="CS369" s="798"/>
      <c r="CT369" s="798"/>
      <c r="CU369" s="798"/>
      <c r="CV369" s="798"/>
      <c r="CW369" s="798"/>
      <c r="CX369" s="798"/>
      <c r="CY369" s="798"/>
      <c r="CZ369" s="798"/>
      <c r="DA369" s="798"/>
      <c r="DB369" s="798"/>
      <c r="DC369" s="798"/>
      <c r="DD369" s="798"/>
      <c r="DE369" s="798"/>
      <c r="DF369" s="798"/>
      <c r="DG369" s="798"/>
      <c r="DH369" s="798"/>
      <c r="DI369" s="798"/>
      <c r="DJ369" s="798"/>
      <c r="DK369" s="798"/>
      <c r="DL369" s="798"/>
      <c r="DM369" s="798"/>
      <c r="DN369" s="798"/>
      <c r="DO369" s="798"/>
      <c r="DP369" s="798"/>
      <c r="DQ369" s="798"/>
      <c r="DR369" s="798"/>
      <c r="DS369" s="798"/>
      <c r="DT369" s="798"/>
      <c r="DU369" s="798"/>
      <c r="DV369" s="798"/>
      <c r="DW369" s="798"/>
      <c r="DX369" s="798"/>
      <c r="DY369" s="798"/>
      <c r="DZ369" s="798"/>
      <c r="EA369" s="798"/>
      <c r="EB369" s="798"/>
      <c r="EC369" s="798"/>
      <c r="ED369" s="798"/>
      <c r="EE369" s="798"/>
      <c r="EF369" s="798"/>
      <c r="EG369" s="798"/>
      <c r="EH369" s="782"/>
    </row>
    <row r="370" spans="1:138" ht="12.75" customHeight="1" x14ac:dyDescent="0.3">
      <c r="A370" s="782"/>
      <c r="B370" s="796" t="s">
        <v>205</v>
      </c>
      <c r="C370" s="798"/>
      <c r="D370" s="782"/>
      <c r="E370" s="798"/>
      <c r="F370" s="798"/>
      <c r="G370" s="798"/>
      <c r="H370" s="798"/>
      <c r="I370" s="798"/>
      <c r="J370" s="798"/>
      <c r="K370" s="798"/>
      <c r="L370" s="798"/>
      <c r="M370" s="798"/>
      <c r="N370" s="798"/>
      <c r="O370" s="798"/>
      <c r="P370" s="798"/>
      <c r="Q370" s="798"/>
      <c r="R370" s="798"/>
      <c r="S370" s="798"/>
      <c r="T370" s="798"/>
      <c r="U370" s="798"/>
      <c r="V370" s="798"/>
      <c r="W370" s="798"/>
      <c r="X370" s="798"/>
      <c r="Y370" s="798"/>
      <c r="Z370" s="798"/>
      <c r="AA370" s="798"/>
      <c r="AB370" s="798"/>
      <c r="AC370" s="798"/>
      <c r="AD370" s="798"/>
      <c r="AE370" s="798"/>
      <c r="AF370" s="798"/>
      <c r="AG370" s="798"/>
      <c r="AH370" s="798"/>
      <c r="AI370" s="798"/>
      <c r="AJ370" s="798"/>
      <c r="AK370" s="798"/>
      <c r="AL370" s="798"/>
      <c r="AM370" s="798"/>
      <c r="AN370" s="798"/>
      <c r="AO370" s="798"/>
      <c r="AP370" s="798"/>
      <c r="AQ370" s="798"/>
      <c r="AR370" s="798"/>
      <c r="AS370" s="798"/>
      <c r="AT370" s="798"/>
      <c r="AU370" s="798"/>
      <c r="AV370" s="798"/>
      <c r="AW370" s="798"/>
      <c r="AX370" s="798"/>
      <c r="AY370" s="798"/>
      <c r="AZ370" s="798"/>
      <c r="BA370" s="798"/>
      <c r="BB370" s="798"/>
      <c r="BC370" s="798"/>
      <c r="BD370" s="798"/>
      <c r="BE370" s="798"/>
      <c r="BF370" s="798"/>
      <c r="BG370" s="798"/>
      <c r="BH370" s="798"/>
      <c r="BI370" s="798"/>
      <c r="BJ370" s="798"/>
      <c r="BK370" s="798"/>
      <c r="BL370" s="798"/>
      <c r="BM370" s="798"/>
      <c r="BN370" s="798"/>
      <c r="BO370" s="798"/>
      <c r="BP370" s="798"/>
      <c r="BQ370" s="798"/>
      <c r="BR370" s="798"/>
      <c r="BS370" s="798"/>
      <c r="BT370" s="798"/>
      <c r="BU370" s="798"/>
      <c r="BV370" s="798"/>
      <c r="BW370" s="798"/>
      <c r="BX370" s="798"/>
      <c r="BY370" s="798"/>
      <c r="BZ370" s="798"/>
      <c r="CA370" s="798"/>
      <c r="CB370" s="798"/>
      <c r="CC370" s="798"/>
      <c r="CD370" s="798"/>
      <c r="CE370" s="798"/>
      <c r="CF370" s="798"/>
      <c r="CG370" s="798"/>
      <c r="CH370" s="798"/>
      <c r="CI370" s="798"/>
      <c r="CJ370" s="798"/>
      <c r="CK370" s="798"/>
      <c r="CL370" s="798"/>
      <c r="CM370" s="798"/>
      <c r="CN370" s="798"/>
      <c r="CO370" s="798"/>
      <c r="CP370" s="798"/>
      <c r="CQ370" s="798"/>
      <c r="CR370" s="798"/>
      <c r="CS370" s="798"/>
      <c r="CT370" s="798"/>
      <c r="CU370" s="798"/>
      <c r="CV370" s="798"/>
      <c r="CW370" s="798"/>
      <c r="CX370" s="798"/>
      <c r="CY370" s="798"/>
      <c r="CZ370" s="798"/>
      <c r="DA370" s="798"/>
      <c r="DB370" s="798"/>
      <c r="DC370" s="798"/>
      <c r="DD370" s="798"/>
      <c r="DE370" s="798"/>
      <c r="DF370" s="798"/>
      <c r="DG370" s="798"/>
      <c r="DH370" s="798"/>
      <c r="DI370" s="798"/>
      <c r="DJ370" s="798"/>
      <c r="DK370" s="798"/>
      <c r="DL370" s="798"/>
      <c r="DM370" s="798"/>
      <c r="DN370" s="798"/>
      <c r="DO370" s="798"/>
      <c r="DP370" s="798"/>
      <c r="DQ370" s="798"/>
      <c r="DR370" s="798"/>
      <c r="DS370" s="798"/>
      <c r="DT370" s="798"/>
      <c r="DU370" s="798"/>
      <c r="DV370" s="798"/>
      <c r="DW370" s="798"/>
      <c r="DX370" s="798"/>
      <c r="DY370" s="798"/>
      <c r="DZ370" s="798"/>
      <c r="EA370" s="798"/>
      <c r="EB370" s="798"/>
      <c r="EC370" s="798"/>
      <c r="ED370" s="798"/>
      <c r="EE370" s="798"/>
      <c r="EF370" s="798"/>
      <c r="EG370" s="798"/>
      <c r="EH370" s="782"/>
    </row>
    <row r="371" spans="1:138" ht="12.75" customHeight="1" x14ac:dyDescent="0.3">
      <c r="A371" s="782"/>
      <c r="B371" s="782" t="s">
        <v>206</v>
      </c>
      <c r="C371" s="798">
        <f>SUM(E371:EG371)</f>
        <v>2658062.4746991713</v>
      </c>
      <c r="D371" s="782"/>
      <c r="E371" s="798">
        <f>E149</f>
        <v>0</v>
      </c>
      <c r="F371" s="798">
        <f t="shared" ref="F371:BQ371" si="291">F149</f>
        <v>106322.4989879669</v>
      </c>
      <c r="G371" s="798">
        <f t="shared" si="291"/>
        <v>106322.4989879669</v>
      </c>
      <c r="H371" s="798">
        <f t="shared" si="291"/>
        <v>106322.4989879669</v>
      </c>
      <c r="I371" s="798">
        <f t="shared" si="291"/>
        <v>106322.4989879669</v>
      </c>
      <c r="J371" s="798">
        <f t="shared" si="291"/>
        <v>106322.4989879669</v>
      </c>
      <c r="K371" s="798">
        <f t="shared" si="291"/>
        <v>106322.4989879669</v>
      </c>
      <c r="L371" s="798">
        <f t="shared" si="291"/>
        <v>106322.4989879669</v>
      </c>
      <c r="M371" s="798">
        <f t="shared" si="291"/>
        <v>106322.4989879669</v>
      </c>
      <c r="N371" s="798">
        <f t="shared" si="291"/>
        <v>106322.4989879669</v>
      </c>
      <c r="O371" s="798">
        <f t="shared" si="291"/>
        <v>106322.4989879669</v>
      </c>
      <c r="P371" s="798">
        <f t="shared" si="291"/>
        <v>106322.4989879669</v>
      </c>
      <c r="Q371" s="798">
        <f t="shared" si="291"/>
        <v>106322.4989879669</v>
      </c>
      <c r="R371" s="798">
        <f t="shared" si="291"/>
        <v>106322.4989879669</v>
      </c>
      <c r="S371" s="798">
        <f t="shared" si="291"/>
        <v>106322.4989879669</v>
      </c>
      <c r="T371" s="798">
        <f t="shared" si="291"/>
        <v>106322.4989879669</v>
      </c>
      <c r="U371" s="798">
        <f t="shared" si="291"/>
        <v>106322.4989879669</v>
      </c>
      <c r="V371" s="798">
        <f t="shared" si="291"/>
        <v>106322.4989879669</v>
      </c>
      <c r="W371" s="798">
        <f t="shared" si="291"/>
        <v>106322.4989879669</v>
      </c>
      <c r="X371" s="798">
        <f t="shared" si="291"/>
        <v>106322.4989879669</v>
      </c>
      <c r="Y371" s="798">
        <f t="shared" si="291"/>
        <v>106322.4989879669</v>
      </c>
      <c r="Z371" s="798">
        <f t="shared" si="291"/>
        <v>106322.4989879669</v>
      </c>
      <c r="AA371" s="798">
        <f t="shared" si="291"/>
        <v>106322.4989879669</v>
      </c>
      <c r="AB371" s="798">
        <f t="shared" si="291"/>
        <v>106322.4989879669</v>
      </c>
      <c r="AC371" s="798">
        <f t="shared" si="291"/>
        <v>106322.4989879669</v>
      </c>
      <c r="AD371" s="798">
        <f t="shared" si="291"/>
        <v>106322.4989879669</v>
      </c>
      <c r="AE371" s="798">
        <f t="shared" si="291"/>
        <v>0</v>
      </c>
      <c r="AF371" s="798">
        <f t="shared" si="291"/>
        <v>0</v>
      </c>
      <c r="AG371" s="798">
        <f t="shared" si="291"/>
        <v>0</v>
      </c>
      <c r="AH371" s="798">
        <f t="shared" si="291"/>
        <v>0</v>
      </c>
      <c r="AI371" s="798">
        <f t="shared" si="291"/>
        <v>0</v>
      </c>
      <c r="AJ371" s="798">
        <f t="shared" si="291"/>
        <v>0</v>
      </c>
      <c r="AK371" s="798">
        <f t="shared" si="291"/>
        <v>0</v>
      </c>
      <c r="AL371" s="798">
        <f t="shared" si="291"/>
        <v>0</v>
      </c>
      <c r="AM371" s="798">
        <f t="shared" si="291"/>
        <v>0</v>
      </c>
      <c r="AN371" s="798">
        <f t="shared" si="291"/>
        <v>0</v>
      </c>
      <c r="AO371" s="798">
        <f t="shared" si="291"/>
        <v>0</v>
      </c>
      <c r="AP371" s="798">
        <f t="shared" si="291"/>
        <v>0</v>
      </c>
      <c r="AQ371" s="798">
        <f t="shared" si="291"/>
        <v>0</v>
      </c>
      <c r="AR371" s="798">
        <f t="shared" si="291"/>
        <v>0</v>
      </c>
      <c r="AS371" s="798">
        <f t="shared" si="291"/>
        <v>0</v>
      </c>
      <c r="AT371" s="798">
        <f t="shared" si="291"/>
        <v>0</v>
      </c>
      <c r="AU371" s="798">
        <f t="shared" si="291"/>
        <v>0</v>
      </c>
      <c r="AV371" s="798">
        <f t="shared" si="291"/>
        <v>0</v>
      </c>
      <c r="AW371" s="798">
        <f t="shared" si="291"/>
        <v>0</v>
      </c>
      <c r="AX371" s="798">
        <f t="shared" si="291"/>
        <v>0</v>
      </c>
      <c r="AY371" s="798">
        <f t="shared" si="291"/>
        <v>0</v>
      </c>
      <c r="AZ371" s="798">
        <f t="shared" si="291"/>
        <v>0</v>
      </c>
      <c r="BA371" s="798">
        <f t="shared" si="291"/>
        <v>0</v>
      </c>
      <c r="BB371" s="798">
        <f t="shared" si="291"/>
        <v>0</v>
      </c>
      <c r="BC371" s="798">
        <f t="shared" si="291"/>
        <v>0</v>
      </c>
      <c r="BD371" s="798">
        <f t="shared" si="291"/>
        <v>0</v>
      </c>
      <c r="BE371" s="798">
        <f t="shared" si="291"/>
        <v>0</v>
      </c>
      <c r="BF371" s="798">
        <f t="shared" si="291"/>
        <v>0</v>
      </c>
      <c r="BG371" s="798">
        <f t="shared" si="291"/>
        <v>0</v>
      </c>
      <c r="BH371" s="798">
        <f t="shared" si="291"/>
        <v>0</v>
      </c>
      <c r="BI371" s="798">
        <f t="shared" si="291"/>
        <v>0</v>
      </c>
      <c r="BJ371" s="798">
        <f t="shared" si="291"/>
        <v>0</v>
      </c>
      <c r="BK371" s="798">
        <f t="shared" si="291"/>
        <v>0</v>
      </c>
      <c r="BL371" s="798">
        <f t="shared" si="291"/>
        <v>0</v>
      </c>
      <c r="BM371" s="798">
        <f t="shared" si="291"/>
        <v>0</v>
      </c>
      <c r="BN371" s="798">
        <f t="shared" si="291"/>
        <v>0</v>
      </c>
      <c r="BO371" s="798">
        <f t="shared" si="291"/>
        <v>0</v>
      </c>
      <c r="BP371" s="798">
        <f t="shared" si="291"/>
        <v>0</v>
      </c>
      <c r="BQ371" s="798">
        <f t="shared" si="291"/>
        <v>0</v>
      </c>
      <c r="BR371" s="798">
        <f t="shared" ref="BR371:EC371" si="292">BR149</f>
        <v>0</v>
      </c>
      <c r="BS371" s="798">
        <f t="shared" si="292"/>
        <v>0</v>
      </c>
      <c r="BT371" s="798">
        <f t="shared" si="292"/>
        <v>0</v>
      </c>
      <c r="BU371" s="798">
        <f t="shared" si="292"/>
        <v>0</v>
      </c>
      <c r="BV371" s="798">
        <f t="shared" si="292"/>
        <v>0</v>
      </c>
      <c r="BW371" s="798">
        <f t="shared" si="292"/>
        <v>0</v>
      </c>
      <c r="BX371" s="798">
        <f t="shared" si="292"/>
        <v>0</v>
      </c>
      <c r="BY371" s="798">
        <f t="shared" si="292"/>
        <v>0</v>
      </c>
      <c r="BZ371" s="798">
        <f t="shared" si="292"/>
        <v>0</v>
      </c>
      <c r="CA371" s="798">
        <f t="shared" si="292"/>
        <v>0</v>
      </c>
      <c r="CB371" s="798">
        <f t="shared" si="292"/>
        <v>0</v>
      </c>
      <c r="CC371" s="798">
        <f t="shared" si="292"/>
        <v>0</v>
      </c>
      <c r="CD371" s="798">
        <f t="shared" si="292"/>
        <v>0</v>
      </c>
      <c r="CE371" s="798">
        <f t="shared" si="292"/>
        <v>0</v>
      </c>
      <c r="CF371" s="798">
        <f t="shared" si="292"/>
        <v>0</v>
      </c>
      <c r="CG371" s="798">
        <f t="shared" si="292"/>
        <v>0</v>
      </c>
      <c r="CH371" s="798">
        <f t="shared" si="292"/>
        <v>0</v>
      </c>
      <c r="CI371" s="798">
        <f t="shared" si="292"/>
        <v>0</v>
      </c>
      <c r="CJ371" s="798">
        <f t="shared" si="292"/>
        <v>0</v>
      </c>
      <c r="CK371" s="798">
        <f t="shared" si="292"/>
        <v>0</v>
      </c>
      <c r="CL371" s="798">
        <f t="shared" si="292"/>
        <v>0</v>
      </c>
      <c r="CM371" s="798">
        <f t="shared" si="292"/>
        <v>0</v>
      </c>
      <c r="CN371" s="798">
        <f t="shared" si="292"/>
        <v>0</v>
      </c>
      <c r="CO371" s="798">
        <f t="shared" si="292"/>
        <v>0</v>
      </c>
      <c r="CP371" s="798">
        <f t="shared" si="292"/>
        <v>0</v>
      </c>
      <c r="CQ371" s="798">
        <f t="shared" si="292"/>
        <v>0</v>
      </c>
      <c r="CR371" s="798">
        <f t="shared" si="292"/>
        <v>0</v>
      </c>
      <c r="CS371" s="798">
        <f t="shared" si="292"/>
        <v>0</v>
      </c>
      <c r="CT371" s="798">
        <f t="shared" si="292"/>
        <v>0</v>
      </c>
      <c r="CU371" s="798">
        <f t="shared" si="292"/>
        <v>0</v>
      </c>
      <c r="CV371" s="798">
        <f t="shared" si="292"/>
        <v>0</v>
      </c>
      <c r="CW371" s="798">
        <f t="shared" si="292"/>
        <v>0</v>
      </c>
      <c r="CX371" s="798">
        <f t="shared" si="292"/>
        <v>0</v>
      </c>
      <c r="CY371" s="798">
        <f t="shared" si="292"/>
        <v>0</v>
      </c>
      <c r="CZ371" s="798">
        <f t="shared" si="292"/>
        <v>0</v>
      </c>
      <c r="DA371" s="798">
        <f t="shared" si="292"/>
        <v>0</v>
      </c>
      <c r="DB371" s="798">
        <f t="shared" si="292"/>
        <v>0</v>
      </c>
      <c r="DC371" s="798">
        <f t="shared" si="292"/>
        <v>0</v>
      </c>
      <c r="DD371" s="798">
        <f t="shared" si="292"/>
        <v>0</v>
      </c>
      <c r="DE371" s="798">
        <f t="shared" si="292"/>
        <v>0</v>
      </c>
      <c r="DF371" s="798">
        <f t="shared" si="292"/>
        <v>0</v>
      </c>
      <c r="DG371" s="798">
        <f t="shared" si="292"/>
        <v>0</v>
      </c>
      <c r="DH371" s="798">
        <f t="shared" si="292"/>
        <v>0</v>
      </c>
      <c r="DI371" s="798">
        <f t="shared" si="292"/>
        <v>0</v>
      </c>
      <c r="DJ371" s="798">
        <f t="shared" si="292"/>
        <v>0</v>
      </c>
      <c r="DK371" s="798">
        <f t="shared" si="292"/>
        <v>0</v>
      </c>
      <c r="DL371" s="798">
        <f t="shared" si="292"/>
        <v>0</v>
      </c>
      <c r="DM371" s="798">
        <f t="shared" si="292"/>
        <v>0</v>
      </c>
      <c r="DN371" s="798">
        <f t="shared" si="292"/>
        <v>0</v>
      </c>
      <c r="DO371" s="798">
        <f t="shared" si="292"/>
        <v>0</v>
      </c>
      <c r="DP371" s="798">
        <f t="shared" si="292"/>
        <v>0</v>
      </c>
      <c r="DQ371" s="798">
        <f t="shared" si="292"/>
        <v>0</v>
      </c>
      <c r="DR371" s="798">
        <f t="shared" si="292"/>
        <v>0</v>
      </c>
      <c r="DS371" s="798">
        <f t="shared" si="292"/>
        <v>0</v>
      </c>
      <c r="DT371" s="798">
        <f t="shared" si="292"/>
        <v>0</v>
      </c>
      <c r="DU371" s="798">
        <f t="shared" si="292"/>
        <v>0</v>
      </c>
      <c r="DV371" s="798">
        <f t="shared" si="292"/>
        <v>0</v>
      </c>
      <c r="DW371" s="798">
        <f t="shared" si="292"/>
        <v>0</v>
      </c>
      <c r="DX371" s="798">
        <f t="shared" si="292"/>
        <v>0</v>
      </c>
      <c r="DY371" s="798">
        <f t="shared" si="292"/>
        <v>0</v>
      </c>
      <c r="DZ371" s="798">
        <f t="shared" si="292"/>
        <v>0</v>
      </c>
      <c r="EA371" s="798">
        <f t="shared" si="292"/>
        <v>0</v>
      </c>
      <c r="EB371" s="798">
        <f t="shared" si="292"/>
        <v>0</v>
      </c>
      <c r="EC371" s="798">
        <f t="shared" si="292"/>
        <v>0</v>
      </c>
      <c r="ED371" s="798">
        <f>ED149</f>
        <v>0</v>
      </c>
      <c r="EE371" s="798">
        <f>EE149</f>
        <v>0</v>
      </c>
      <c r="EF371" s="798">
        <f>EF149</f>
        <v>0</v>
      </c>
      <c r="EG371" s="798">
        <f>EG149</f>
        <v>0</v>
      </c>
      <c r="EH371" s="782"/>
    </row>
    <row r="372" spans="1:138" ht="12.75" customHeight="1" x14ac:dyDescent="0.3">
      <c r="A372" s="782"/>
      <c r="B372" s="782" t="s">
        <v>207</v>
      </c>
      <c r="C372" s="798">
        <f>SUM(E372:EG372)</f>
        <v>1644861.2200535035</v>
      </c>
      <c r="D372" s="782"/>
      <c r="E372" s="798">
        <f>-E164*IF(E4&gt;'Venture Assumptions'!$F$8,0,1)</f>
        <v>0</v>
      </c>
      <c r="F372" s="798">
        <f>-F164*IF(F4&gt;'Venture Assumptions'!$F$8,0,1)</f>
        <v>0</v>
      </c>
      <c r="G372" s="798">
        <f>-G164*IF(G4&gt;'Venture Assumptions'!$F$8,0,1)</f>
        <v>0</v>
      </c>
      <c r="H372" s="798">
        <f>-H164*IF(H4&gt;'Venture Assumptions'!$F$8,0,1)</f>
        <v>0</v>
      </c>
      <c r="I372" s="798">
        <f>-I164*IF(I4&gt;'Venture Assumptions'!$F$8,0,1)</f>
        <v>0</v>
      </c>
      <c r="J372" s="798">
        <f>-J164*IF(J4&gt;'Venture Assumptions'!$F$8,0,1)</f>
        <v>0</v>
      </c>
      <c r="K372" s="798">
        <f>-K164*IF(K4&gt;'Venture Assumptions'!$F$8,0,1)</f>
        <v>0</v>
      </c>
      <c r="L372" s="798">
        <f>-L164*IF(L4&gt;'Venture Assumptions'!$F$8,0,1)</f>
        <v>0</v>
      </c>
      <c r="M372" s="798">
        <f>-M164*IF(M4&gt;'Venture Assumptions'!$F$8,0,1)</f>
        <v>0</v>
      </c>
      <c r="N372" s="798">
        <f>-N164*IF(N4&gt;'Venture Assumptions'!$F$8,0,1)</f>
        <v>0</v>
      </c>
      <c r="O372" s="798">
        <f>-O164*IF(O4&gt;'Venture Assumptions'!$F$8,0,1)</f>
        <v>0</v>
      </c>
      <c r="P372" s="798">
        <f>-P164*IF(P4&gt;'Venture Assumptions'!$F$8,0,1)</f>
        <v>0</v>
      </c>
      <c r="Q372" s="798">
        <f>-Q164*IF(Q4&gt;'Venture Assumptions'!$F$8,0,1)</f>
        <v>0</v>
      </c>
      <c r="R372" s="798">
        <f>-R164*IF(R4&gt;'Venture Assumptions'!$F$8,0,1)</f>
        <v>0</v>
      </c>
      <c r="S372" s="798">
        <f>-S164*IF(S4&gt;'Venture Assumptions'!$F$8,0,1)</f>
        <v>10000</v>
      </c>
      <c r="T372" s="798">
        <f>-T164*IF(T4&gt;'Venture Assumptions'!$F$8,0,1)</f>
        <v>10000</v>
      </c>
      <c r="U372" s="798">
        <f>-U164*IF(U4&gt;'Venture Assumptions'!$F$8,0,1)</f>
        <v>10000</v>
      </c>
      <c r="V372" s="798">
        <f>-V164*IF(V4&gt;'Venture Assumptions'!$F$8,0,1)</f>
        <v>10000</v>
      </c>
      <c r="W372" s="798">
        <f>-W164*IF(W4&gt;'Venture Assumptions'!$F$8,0,1)</f>
        <v>10000</v>
      </c>
      <c r="X372" s="798">
        <f>-X164*IF(X4&gt;'Venture Assumptions'!$F$8,0,1)</f>
        <v>10000</v>
      </c>
      <c r="Y372" s="798">
        <f>-Y164*IF(Y4&gt;'Venture Assumptions'!$F$8,0,1)</f>
        <v>10000</v>
      </c>
      <c r="Z372" s="798">
        <f>-Z164*IF(Z4&gt;'Venture Assumptions'!$F$8,0,1)</f>
        <v>10000</v>
      </c>
      <c r="AA372" s="798">
        <f>-AA164*IF(AA4&gt;'Venture Assumptions'!$F$8,0,1)</f>
        <v>10000</v>
      </c>
      <c r="AB372" s="798">
        <f>-AB164*IF(AB4&gt;'Venture Assumptions'!$F$8,0,1)</f>
        <v>10958.42966132254</v>
      </c>
      <c r="AC372" s="798">
        <f>-AC164*IF(AC4&gt;'Venture Assumptions'!$F$8,0,1)</f>
        <v>12663.808389881347</v>
      </c>
      <c r="AD372" s="798">
        <f>-AD164*IF(AD4&gt;'Venture Assumptions'!$F$8,0,1)</f>
        <v>14093.183309340446</v>
      </c>
      <c r="AE372" s="798">
        <f>-AE164*IF(AE4&gt;'Venture Assumptions'!$F$8,0,1)</f>
        <v>15785.007178029018</v>
      </c>
      <c r="AF372" s="798">
        <f>-AF164*IF(AF4&gt;'Venture Assumptions'!$F$8,0,1)</f>
        <v>18570.686807052294</v>
      </c>
      <c r="AG372" s="798">
        <f>-AG164*IF(AG4&gt;'Venture Assumptions'!$F$8,0,1)</f>
        <v>19058.197219471189</v>
      </c>
      <c r="AH372" s="798">
        <f>-AH164*IF(AH4&gt;'Venture Assumptions'!$F$8,0,1)</f>
        <v>19118.644212575909</v>
      </c>
      <c r="AI372" s="798">
        <f>-AI164*IF(AI4&gt;'Venture Assumptions'!$F$8,0,1)</f>
        <v>19178.960827718456</v>
      </c>
      <c r="AJ372" s="798">
        <f>-AJ164*IF(AJ4&gt;'Venture Assumptions'!$F$8,0,1)</f>
        <v>19265.745842173514</v>
      </c>
      <c r="AK372" s="798">
        <f>-AK164*IF(AK4&gt;'Venture Assumptions'!$F$8,0,1)</f>
        <v>19352.208454763379</v>
      </c>
      <c r="AL372" s="798">
        <f>-AL164*IF(AL4&gt;'Venture Assumptions'!$F$8,0,1)</f>
        <v>19438.342871710971</v>
      </c>
      <c r="AM372" s="798">
        <f>-AM164*IF(AM4&gt;'Venture Assumptions'!$F$8,0,1)</f>
        <v>19524.143246996766</v>
      </c>
      <c r="AN372" s="798">
        <f>-AN164*IF(AN4&gt;'Venture Assumptions'!$F$8,0,1)</f>
        <v>19609.603681967765</v>
      </c>
      <c r="AO372" s="798">
        <f>-AO164*IF(AO4&gt;'Venture Assumptions'!$F$8,0,1)</f>
        <v>19694.718224943706</v>
      </c>
      <c r="AP372" s="798">
        <f>-AP164*IF(AP4&gt;'Venture Assumptions'!$F$8,0,1)</f>
        <v>19753.589210324848</v>
      </c>
      <c r="AQ372" s="798">
        <f>-AQ164*IF(AQ4&gt;'Venture Assumptions'!$F$8,0,1)</f>
        <v>19863.927275795879</v>
      </c>
      <c r="AR372" s="798">
        <f>-AR164*IF(AR4&gt;'Venture Assumptions'!$F$8,0,1)</f>
        <v>19960.297543652905</v>
      </c>
      <c r="AS372" s="798">
        <f>-AS164*IF(AS4&gt;'Venture Assumptions'!$F$8,0,1)</f>
        <v>20018.715034213346</v>
      </c>
      <c r="AT372" s="798">
        <f>-AT164*IF(AT4&gt;'Venture Assumptions'!$F$8,0,1)</f>
        <v>20076.078305412426</v>
      </c>
      <c r="AU372" s="798">
        <f>-AU164*IF(AU4&gt;'Venture Assumptions'!$F$8,0,1)</f>
        <v>20132.381099592836</v>
      </c>
      <c r="AV372" s="798">
        <f>-AV164*IF(AV4&gt;'Venture Assumptions'!$F$8,0,1)</f>
        <v>20211.638551598018</v>
      </c>
      <c r="AW372" s="798">
        <f>-AW164*IF(AW4&gt;'Venture Assumptions'!$F$8,0,1)</f>
        <v>20288.459413445489</v>
      </c>
      <c r="AX372" s="798">
        <f>-AX164*IF(AX4&gt;'Venture Assumptions'!$F$8,0,1)</f>
        <v>20362.822187987582</v>
      </c>
      <c r="AY372" s="798">
        <f>-AY164*IF(AY4&gt;'Venture Assumptions'!$F$8,0,1)</f>
        <v>20434.705239766532</v>
      </c>
      <c r="AZ372" s="798">
        <f>-AZ164*IF(AZ4&gt;'Venture Assumptions'!$F$8,0,1)</f>
        <v>20504.086794219977</v>
      </c>
      <c r="BA372" s="798">
        <f>-BA164*IF(BA4&gt;'Venture Assumptions'!$F$8,0,1)</f>
        <v>20570.94493688209</v>
      </c>
      <c r="BB372" s="798">
        <f>-BB164*IF(BB4&gt;'Venture Assumptions'!$F$8,0,1)</f>
        <v>20616.253485454748</v>
      </c>
      <c r="BC372" s="798">
        <f>-BC164*IF(BC4&gt;'Venture Assumptions'!$F$8,0,1)</f>
        <v>20697.28992108889</v>
      </c>
      <c r="BD372" s="798">
        <f>-BD164*IF(BD4&gt;'Venture Assumptions'!$F$8,0,1)</f>
        <v>20766.561490753233</v>
      </c>
      <c r="BE372" s="798">
        <f>-BE164*IF(BE4&gt;'Venture Assumptions'!$F$8,0,1)</f>
        <v>20808.4567039381</v>
      </c>
      <c r="BF372" s="798">
        <f>-BF164*IF(BF4&gt;'Venture Assumptions'!$F$8,0,1)</f>
        <v>20851.087620736849</v>
      </c>
      <c r="BG372" s="798">
        <f>-BG164*IF(BG4&gt;'Venture Assumptions'!$F$8,0,1)</f>
        <v>20894.457619822522</v>
      </c>
      <c r="BH372" s="798">
        <f>-BH164*IF(BH4&gt;'Venture Assumptions'!$F$8,0,1)</f>
        <v>20956.921833504857</v>
      </c>
      <c r="BI372" s="798">
        <f>-BI164*IF(BI4&gt;'Venture Assumptions'!$F$8,0,1)</f>
        <v>21021.041428484084</v>
      </c>
      <c r="BJ372" s="798">
        <f>-BJ164*IF(BJ4&gt;'Venture Assumptions'!$F$8,0,1)</f>
        <v>21086.827825270946</v>
      </c>
      <c r="BK372" s="798">
        <f>-BK164*IF(BK4&gt;'Venture Assumptions'!$F$8,0,1)</f>
        <v>21154.292506592898</v>
      </c>
      <c r="BL372" s="798">
        <f>-BL164*IF(BL4&gt;'Venture Assumptions'!$F$8,0,1)</f>
        <v>21223.447017700571</v>
      </c>
      <c r="BM372" s="798">
        <f>-BM164*IF(BM4&gt;'Venture Assumptions'!$F$8,0,1)</f>
        <v>21294.30296667563</v>
      </c>
      <c r="BN372" s="798">
        <f>-BN164*IF(BN4&gt;'Venture Assumptions'!$F$8,0,1)</f>
        <v>21345.188773102251</v>
      </c>
      <c r="BO372" s="798">
        <f>-BO164*IF(BO4&gt;'Venture Assumptions'!$F$8,0,1)</f>
        <v>21440.976337774537</v>
      </c>
      <c r="BP372" s="798">
        <f>-BP164*IF(BP4&gt;'Venture Assumptions'!$F$8,0,1)</f>
        <v>21526.398724776642</v>
      </c>
      <c r="BQ372" s="798">
        <f>-BQ164*IF(BQ4&gt;'Venture Assumptions'!$F$8,0,1)</f>
        <v>21579.625827403968</v>
      </c>
      <c r="BR372" s="798">
        <f>-BR164*IF(BR4&gt;'Venture Assumptions'!$F$8,0,1)</f>
        <v>21632.997840066368</v>
      </c>
      <c r="BS372" s="798">
        <f>-BS164*IF(BS4&gt;'Venture Assumptions'!$F$8,0,1)</f>
        <v>21686.515157859154</v>
      </c>
      <c r="BT372" s="798">
        <f>-BT164*IF(BT4&gt;'Venture Assumptions'!$F$8,0,1)</f>
        <v>21763.194056888708</v>
      </c>
      <c r="BU372" s="798">
        <f>-BU164*IF(BU4&gt;'Venture Assumptions'!$F$8,0,1)</f>
        <v>21840.178151748281</v>
      </c>
      <c r="BV372" s="798">
        <f>-BV164*IF(BV4&gt;'Venture Assumptions'!$F$8,0,1)</f>
        <v>21917.468676595592</v>
      </c>
      <c r="BW372" s="798">
        <f>-BW164*IF(BW4&gt;'Venture Assumptions'!$F$8,0,1)</f>
        <v>21995.066870628965</v>
      </c>
      <c r="BX372" s="798">
        <f>-BX164*IF(BX4&gt;'Venture Assumptions'!$F$8,0,1)</f>
        <v>22072.973978108075</v>
      </c>
      <c r="BY372" s="798">
        <f>-BY164*IF(BY4&gt;'Venture Assumptions'!$F$8,0,1)</f>
        <v>22151.191248374747</v>
      </c>
      <c r="BZ372" s="798">
        <f>-BZ164*IF(BZ4&gt;'Venture Assumptions'!$F$8,0,1)</f>
        <v>22206.125334122633</v>
      </c>
      <c r="CA372" s="798">
        <f>-CA164*IF(CA4&gt;'Venture Assumptions'!$F$8,0,1)</f>
        <v>22308.528680637253</v>
      </c>
      <c r="CB372" s="798">
        <f>-CB164*IF(CB4&gt;'Venture Assumptions'!$F$8,0,1)</f>
        <v>22398.625284417354</v>
      </c>
      <c r="CC372" s="798">
        <f>-CC164*IF(CC4&gt;'Venture Assumptions'!$F$8,0,1)</f>
        <v>22454.009332269579</v>
      </c>
      <c r="CD372" s="798">
        <f>-CD164*IF(CD4&gt;'Venture Assumptions'!$F$8,0,1)</f>
        <v>22509.544186223327</v>
      </c>
      <c r="CE372" s="798">
        <f>-CE164*IF(CE4&gt;'Venture Assumptions'!$F$8,0,1)</f>
        <v>22565.230257509091</v>
      </c>
      <c r="CF372" s="798">
        <f>-CF164*IF(CF4&gt;'Venture Assumptions'!$F$8,0,1)</f>
        <v>22645.056710461169</v>
      </c>
      <c r="CG372" s="798">
        <f>-CG164*IF(CG4&gt;'Venture Assumptions'!$F$8,0,1)</f>
        <v>22725.20102882605</v>
      </c>
      <c r="CH372" s="798">
        <f>-CH164*IF(CH4&gt;'Venture Assumptions'!$F$8,0,1)</f>
        <v>22805.664498359278</v>
      </c>
      <c r="CI372" s="798">
        <f>-CI164*IF(CI4&gt;'Venture Assumptions'!$F$8,0,1)</f>
        <v>22886.44841006869</v>
      </c>
      <c r="CJ372" s="798">
        <f>-CJ164*IF(CJ4&gt;'Venture Assumptions'!$F$8,0,1)</f>
        <v>22967.55406023598</v>
      </c>
      <c r="CK372" s="798">
        <f>-CK164*IF(CK4&gt;'Venture Assumptions'!$F$8,0,1)</f>
        <v>23048.982750438401</v>
      </c>
      <c r="CL372" s="798">
        <f>-CL164*IF(CL4&gt;'Venture Assumptions'!$F$8,0,1)</f>
        <v>23106.143851430785</v>
      </c>
      <c r="CM372" s="798">
        <f>-CM164*IF(CM4&gt;'Venture Assumptions'!$F$8,0,1)</f>
        <v>23212.780485514435</v>
      </c>
      <c r="CN372" s="798">
        <f>-CN164*IF(CN4&gt;'Venture Assumptions'!$F$8,0,1)</f>
        <v>23306.589940826194</v>
      </c>
      <c r="CO372" s="798">
        <f>-CO164*IF(CO4&gt;'Venture Assumptions'!$F$8,0,1)</f>
        <v>23364.219318822095</v>
      </c>
      <c r="CP372" s="798">
        <f>-CP164*IF(CP4&gt;'Venture Assumptions'!$F$8,0,1)</f>
        <v>23422.005641333628</v>
      </c>
      <c r="CQ372" s="798">
        <f>-CQ164*IF(CQ4&gt;'Venture Assumptions'!$F$8,0,1)</f>
        <v>23479.949336391572</v>
      </c>
      <c r="CR372" s="798">
        <f>-CR164*IF(CR4&gt;'Venture Assumptions'!$F$8,0,1)</f>
        <v>23563.053580137788</v>
      </c>
      <c r="CS372" s="798">
        <f>-CS164*IF(CS4&gt;'Venture Assumptions'!$F$8,0,1)</f>
        <v>23646.488887490108</v>
      </c>
      <c r="CT372" s="798">
        <f>-CT164*IF(CT4&gt;'Venture Assumptions'!$F$8,0,1)</f>
        <v>23730.256597965836</v>
      </c>
      <c r="CU372" s="798">
        <f>-CU164*IF(CU4&gt;'Venture Assumptions'!$F$8,0,1)</f>
        <v>23814.358056555142</v>
      </c>
      <c r="CV372" s="798">
        <f>-CV164*IF(CV4&gt;'Venture Assumptions'!$F$8,0,1)</f>
        <v>23898.794613743532</v>
      </c>
      <c r="CW372" s="798">
        <f>-CW164*IF(CW4&gt;'Venture Assumptions'!$F$8,0,1)</f>
        <v>23983.567625534462</v>
      </c>
      <c r="CX372" s="798">
        <f>-CX164*IF(CX4&gt;'Venture Assumptions'!$F$8,0,1)</f>
        <v>0</v>
      </c>
      <c r="CY372" s="798">
        <f>-CY164*IF(CY4&gt;'Venture Assumptions'!$F$8,0,1)</f>
        <v>0</v>
      </c>
      <c r="CZ372" s="798">
        <f>-CZ164*IF(CZ4&gt;'Venture Assumptions'!$F$8,0,1)</f>
        <v>0</v>
      </c>
      <c r="DA372" s="798">
        <f>-DA164*IF(DA4&gt;'Venture Assumptions'!$F$8,0,1)</f>
        <v>0</v>
      </c>
      <c r="DB372" s="798">
        <f>-DB164*IF(DB4&gt;'Venture Assumptions'!$F$8,0,1)</f>
        <v>0</v>
      </c>
      <c r="DC372" s="798">
        <f>-DC164*IF(DC4&gt;'Venture Assumptions'!$F$8,0,1)</f>
        <v>0</v>
      </c>
      <c r="DD372" s="798">
        <f>-DD164*IF(DD4&gt;'Venture Assumptions'!$F$8,0,1)</f>
        <v>0</v>
      </c>
      <c r="DE372" s="798">
        <f>-DE164*IF(DE4&gt;'Venture Assumptions'!$F$8,0,1)</f>
        <v>0</v>
      </c>
      <c r="DF372" s="798">
        <f>-DF164*IF(DF4&gt;'Venture Assumptions'!$F$8,0,1)</f>
        <v>0</v>
      </c>
      <c r="DG372" s="798">
        <f>-DG164*IF(DG4&gt;'Venture Assumptions'!$F$8,0,1)</f>
        <v>0</v>
      </c>
      <c r="DH372" s="798">
        <f>-DH164*IF(DH4&gt;'Venture Assumptions'!$F$8,0,1)</f>
        <v>0</v>
      </c>
      <c r="DI372" s="798">
        <f>-DI164*IF(DI4&gt;'Venture Assumptions'!$F$8,0,1)</f>
        <v>0</v>
      </c>
      <c r="DJ372" s="798">
        <f>-DJ164*IF(DJ4&gt;'Venture Assumptions'!$F$8,0,1)</f>
        <v>0</v>
      </c>
      <c r="DK372" s="798">
        <f>-DK164*IF(DK4&gt;'Venture Assumptions'!$F$8,0,1)</f>
        <v>0</v>
      </c>
      <c r="DL372" s="798">
        <f>-DL164*IF(DL4&gt;'Venture Assumptions'!$F$8,0,1)</f>
        <v>0</v>
      </c>
      <c r="DM372" s="798">
        <f>-DM164*IF(DM4&gt;'Venture Assumptions'!$F$8,0,1)</f>
        <v>0</v>
      </c>
      <c r="DN372" s="798">
        <f>-DN164*IF(DN4&gt;'Venture Assumptions'!$F$8,0,1)</f>
        <v>0</v>
      </c>
      <c r="DO372" s="798">
        <f>-DO164*IF(DO4&gt;'Venture Assumptions'!$F$8,0,1)</f>
        <v>0</v>
      </c>
      <c r="DP372" s="798">
        <f>-DP164*IF(DP4&gt;'Venture Assumptions'!$F$8,0,1)</f>
        <v>0</v>
      </c>
      <c r="DQ372" s="798">
        <f>-DQ164*IF(DQ4&gt;'Venture Assumptions'!$F$8,0,1)</f>
        <v>0</v>
      </c>
      <c r="DR372" s="798">
        <f>-DR164*IF(DR4&gt;'Venture Assumptions'!$F$8,0,1)</f>
        <v>0</v>
      </c>
      <c r="DS372" s="798">
        <f>-DS164*IF(DS4&gt;'Venture Assumptions'!$F$8,0,1)</f>
        <v>0</v>
      </c>
      <c r="DT372" s="798">
        <f>-DT164*IF(DT4&gt;'Venture Assumptions'!$F$8,0,1)</f>
        <v>0</v>
      </c>
      <c r="DU372" s="798">
        <f>-DU164*IF(DU4&gt;'Venture Assumptions'!$F$8,0,1)</f>
        <v>0</v>
      </c>
      <c r="DV372" s="798">
        <f>-DV164*IF(DV4&gt;'Venture Assumptions'!$F$8,0,1)</f>
        <v>0</v>
      </c>
      <c r="DW372" s="798">
        <f>-DW164*IF(DW4&gt;'Venture Assumptions'!$F$8,0,1)</f>
        <v>0</v>
      </c>
      <c r="DX372" s="798">
        <f>-DX164*IF(DX4&gt;'Venture Assumptions'!$F$8,0,1)</f>
        <v>0</v>
      </c>
      <c r="DY372" s="798">
        <f>-DY164*IF(DY4&gt;'Venture Assumptions'!$F$8,0,1)</f>
        <v>0</v>
      </c>
      <c r="DZ372" s="798">
        <f>-DZ164*IF(DZ4&gt;'Venture Assumptions'!$F$8,0,1)</f>
        <v>0</v>
      </c>
      <c r="EA372" s="798">
        <f>-EA164*IF(EA4&gt;'Venture Assumptions'!$F$8,0,1)</f>
        <v>0</v>
      </c>
      <c r="EB372" s="798">
        <f>-EB164*IF(EB4&gt;'Venture Assumptions'!$F$8,0,1)</f>
        <v>0</v>
      </c>
      <c r="EC372" s="798">
        <f>-EC164*IF(EC4&gt;'Venture Assumptions'!$F$8,0,1)</f>
        <v>0</v>
      </c>
      <c r="ED372" s="798">
        <f>-ED164*IF(ED4&gt;'Venture Assumptions'!$F$8,0,1)</f>
        <v>0</v>
      </c>
      <c r="EE372" s="798">
        <f>-EE164*IF(EE4&gt;'Venture Assumptions'!$F$8,0,1)</f>
        <v>0</v>
      </c>
      <c r="EF372" s="798">
        <f>-EF164*IF(EF4&gt;'Venture Assumptions'!$F$8,0,1)</f>
        <v>0</v>
      </c>
      <c r="EG372" s="798">
        <f>-EG164*IF(EG4&gt;'Venture Assumptions'!$F$8,0,1)</f>
        <v>0</v>
      </c>
      <c r="EH372" s="782"/>
    </row>
    <row r="373" spans="1:138" ht="12.75" customHeight="1" x14ac:dyDescent="0.3">
      <c r="A373" s="782"/>
      <c r="B373" s="782" t="s">
        <v>208</v>
      </c>
      <c r="C373" s="798">
        <f>SUM(E373:EG373)</f>
        <v>3022291.0014259908</v>
      </c>
      <c r="D373" s="782"/>
      <c r="E373" s="798">
        <f>-E37</f>
        <v>0</v>
      </c>
      <c r="F373" s="798">
        <f t="shared" ref="F373:BQ373" si="293">-F37</f>
        <v>624.00231680382876</v>
      </c>
      <c r="G373" s="798">
        <f t="shared" si="293"/>
        <v>5655.1249228157039</v>
      </c>
      <c r="H373" s="798">
        <f t="shared" si="293"/>
        <v>5778.8539375863475</v>
      </c>
      <c r="I373" s="798">
        <f t="shared" si="293"/>
        <v>5985.085787091647</v>
      </c>
      <c r="J373" s="798">
        <f t="shared" si="293"/>
        <v>6360.0954294301118</v>
      </c>
      <c r="K373" s="798">
        <f t="shared" si="293"/>
        <v>6994.4696251819178</v>
      </c>
      <c r="L373" s="798">
        <f t="shared" si="293"/>
        <v>7648.4545531239564</v>
      </c>
      <c r="M373" s="798">
        <f t="shared" si="293"/>
        <v>8491.532418333747</v>
      </c>
      <c r="N373" s="798">
        <f t="shared" si="293"/>
        <v>9498.1953770864056</v>
      </c>
      <c r="O373" s="798">
        <f t="shared" si="293"/>
        <v>10682.636085392403</v>
      </c>
      <c r="P373" s="798">
        <f t="shared" si="293"/>
        <v>11910.111434709901</v>
      </c>
      <c r="Q373" s="798">
        <f t="shared" si="293"/>
        <v>13203.170519538937</v>
      </c>
      <c r="R373" s="798">
        <f t="shared" si="293"/>
        <v>14513.053609936573</v>
      </c>
      <c r="S373" s="798">
        <f t="shared" si="293"/>
        <v>15835.909818692693</v>
      </c>
      <c r="T373" s="798">
        <f t="shared" si="293"/>
        <v>17071.858707300587</v>
      </c>
      <c r="U373" s="798">
        <f t="shared" si="293"/>
        <v>18272.165256671487</v>
      </c>
      <c r="V373" s="798">
        <f t="shared" si="293"/>
        <v>19382.938452231665</v>
      </c>
      <c r="W373" s="798">
        <f t="shared" si="293"/>
        <v>20381.411578950978</v>
      </c>
      <c r="X373" s="798">
        <f t="shared" si="293"/>
        <v>21374.675023688487</v>
      </c>
      <c r="Y373" s="798">
        <f t="shared" si="293"/>
        <v>22286.172159307695</v>
      </c>
      <c r="Z373" s="798">
        <f t="shared" si="293"/>
        <v>23053.178074060099</v>
      </c>
      <c r="AA373" s="798">
        <f t="shared" si="293"/>
        <v>23706.70963792564</v>
      </c>
      <c r="AB373" s="798">
        <f t="shared" si="293"/>
        <v>24249.985587016792</v>
      </c>
      <c r="AC373" s="798">
        <f t="shared" si="293"/>
        <v>24615.24061366449</v>
      </c>
      <c r="AD373" s="798">
        <f t="shared" si="293"/>
        <v>24910.060027416595</v>
      </c>
      <c r="AE373" s="798">
        <f t="shared" si="293"/>
        <v>25100.520622493055</v>
      </c>
      <c r="AF373" s="798">
        <f t="shared" si="293"/>
        <v>25100.520622493055</v>
      </c>
      <c r="AG373" s="798">
        <f t="shared" si="293"/>
        <v>25100.520622493055</v>
      </c>
      <c r="AH373" s="798">
        <f t="shared" si="293"/>
        <v>25100.520622493055</v>
      </c>
      <c r="AI373" s="798">
        <f t="shared" si="293"/>
        <v>25100.520622493055</v>
      </c>
      <c r="AJ373" s="798">
        <f t="shared" si="293"/>
        <v>25100.520622493055</v>
      </c>
      <c r="AK373" s="798">
        <f t="shared" si="293"/>
        <v>25100.520622493055</v>
      </c>
      <c r="AL373" s="798">
        <f t="shared" si="293"/>
        <v>34753.704186440933</v>
      </c>
      <c r="AM373" s="798">
        <f t="shared" si="293"/>
        <v>34895.827342692981</v>
      </c>
      <c r="AN373" s="798">
        <f t="shared" si="293"/>
        <v>35035.223265853776</v>
      </c>
      <c r="AO373" s="798">
        <f t="shared" si="293"/>
        <v>35171.468378084879</v>
      </c>
      <c r="AP373" s="798">
        <f t="shared" si="293"/>
        <v>35304.135973486802</v>
      </c>
      <c r="AQ373" s="798">
        <f t="shared" si="293"/>
        <v>35434.145879251511</v>
      </c>
      <c r="AR373" s="798">
        <f t="shared" si="293"/>
        <v>35558.413849472425</v>
      </c>
      <c r="AS373" s="798">
        <f t="shared" si="293"/>
        <v>35677.371569744464</v>
      </c>
      <c r="AT373" s="798">
        <f t="shared" si="293"/>
        <v>35800.782286288326</v>
      </c>
      <c r="AU373" s="798">
        <f t="shared" si="293"/>
        <v>35921.306056616362</v>
      </c>
      <c r="AV373" s="798">
        <f t="shared" si="293"/>
        <v>36039.295521643005</v>
      </c>
      <c r="AW373" s="798">
        <f t="shared" si="293"/>
        <v>36153.994190473044</v>
      </c>
      <c r="AX373" s="798">
        <f t="shared" si="293"/>
        <v>36266.203924179419</v>
      </c>
      <c r="AY373" s="798">
        <f t="shared" si="293"/>
        <v>36376.733034366072</v>
      </c>
      <c r="AZ373" s="798">
        <f t="shared" si="293"/>
        <v>36486.396322463166</v>
      </c>
      <c r="BA373" s="798">
        <f t="shared" si="293"/>
        <v>36596.015119237964</v>
      </c>
      <c r="BB373" s="798">
        <f t="shared" si="293"/>
        <v>36706.417324522576</v>
      </c>
      <c r="BC373" s="798">
        <f t="shared" si="293"/>
        <v>36817.912447002811</v>
      </c>
      <c r="BD373" s="798">
        <f t="shared" si="293"/>
        <v>36932.298194769312</v>
      </c>
      <c r="BE373" s="798">
        <f t="shared" si="293"/>
        <v>37049.848850175731</v>
      </c>
      <c r="BF373" s="798">
        <f t="shared" si="293"/>
        <v>37168.013350733701</v>
      </c>
      <c r="BG373" s="798">
        <f t="shared" si="293"/>
        <v>37288.282672097288</v>
      </c>
      <c r="BH373" s="798">
        <f t="shared" si="293"/>
        <v>37410.540457934789</v>
      </c>
      <c r="BI373" s="798">
        <f t="shared" si="293"/>
        <v>37535.583747769619</v>
      </c>
      <c r="BJ373" s="798">
        <f t="shared" si="293"/>
        <v>37663.147959803231</v>
      </c>
      <c r="BK373" s="798">
        <f t="shared" si="293"/>
        <v>37792.966516123437</v>
      </c>
      <c r="BL373" s="798">
        <f t="shared" si="293"/>
        <v>37924.770831500216</v>
      </c>
      <c r="BM373" s="798">
        <f t="shared" si="293"/>
        <v>38058.290302125541</v>
      </c>
      <c r="BN373" s="798">
        <f t="shared" si="293"/>
        <v>38193.252294296908</v>
      </c>
      <c r="BO373" s="798">
        <f t="shared" si="293"/>
        <v>38329.007585648404</v>
      </c>
      <c r="BP373" s="798">
        <f t="shared" si="293"/>
        <v>38466.059302936665</v>
      </c>
      <c r="BQ373" s="798">
        <f t="shared" si="293"/>
        <v>38604.026977856192</v>
      </c>
      <c r="BR373" s="798">
        <f t="shared" ref="BR373:EC373" si="294">-BR37</f>
        <v>38741.335006676694</v>
      </c>
      <c r="BS373" s="798">
        <f t="shared" si="294"/>
        <v>38879.066865002773</v>
      </c>
      <c r="BT373" s="798">
        <f t="shared" si="294"/>
        <v>39017.223711387065</v>
      </c>
      <c r="BU373" s="798">
        <f t="shared" si="294"/>
        <v>39155.99735116629</v>
      </c>
      <c r="BV373" s="798">
        <f t="shared" si="294"/>
        <v>39295.390267066752</v>
      </c>
      <c r="BW373" s="798">
        <f t="shared" si="294"/>
        <v>39435.404951925862</v>
      </c>
      <c r="BX373" s="798">
        <f t="shared" si="294"/>
        <v>39576.04390873362</v>
      </c>
      <c r="BY373" s="798">
        <f t="shared" si="294"/>
        <v>39717.3096506742</v>
      </c>
      <c r="BZ373" s="798">
        <f t="shared" si="294"/>
        <v>39859.204701167859</v>
      </c>
      <c r="CA373" s="798">
        <f t="shared" si="294"/>
        <v>40001.536156669019</v>
      </c>
      <c r="CB373" s="798">
        <f t="shared" si="294"/>
        <v>40144.697165491794</v>
      </c>
      <c r="CC373" s="798">
        <f t="shared" si="294"/>
        <v>40288.585743200565</v>
      </c>
      <c r="CD373" s="798">
        <f t="shared" si="294"/>
        <v>40431.79148012428</v>
      </c>
      <c r="CE373" s="798">
        <f t="shared" si="294"/>
        <v>40575.438413916876</v>
      </c>
      <c r="CF373" s="798">
        <f t="shared" si="294"/>
        <v>40719.527750751709</v>
      </c>
      <c r="CG373" s="798">
        <f t="shared" si="294"/>
        <v>40864.259402146206</v>
      </c>
      <c r="CH373" s="798">
        <f t="shared" si="294"/>
        <v>41009.635954412988</v>
      </c>
      <c r="CI373" s="798">
        <f t="shared" si="294"/>
        <v>41155.660004399819</v>
      </c>
      <c r="CJ373" s="798">
        <f t="shared" si="294"/>
        <v>41302.334159532802</v>
      </c>
      <c r="CK373" s="798">
        <f t="shared" si="294"/>
        <v>41449.661037859827</v>
      </c>
      <c r="CL373" s="798">
        <f t="shared" si="294"/>
        <v>41597.643268094085</v>
      </c>
      <c r="CM373" s="798">
        <f t="shared" si="294"/>
        <v>41746.079791359865</v>
      </c>
      <c r="CN373" s="798">
        <f t="shared" si="294"/>
        <v>41895.380372815656</v>
      </c>
      <c r="CO373" s="798">
        <f t="shared" si="294"/>
        <v>42045.43871580335</v>
      </c>
      <c r="CP373" s="798">
        <f t="shared" si="294"/>
        <v>42194.78976299744</v>
      </c>
      <c r="CQ373" s="798">
        <f t="shared" si="294"/>
        <v>42344.600092103043</v>
      </c>
      <c r="CR373" s="798">
        <f t="shared" si="294"/>
        <v>42494.870958886546</v>
      </c>
      <c r="CS373" s="798">
        <f t="shared" si="294"/>
        <v>42645.810723650524</v>
      </c>
      <c r="CT373" s="798">
        <f t="shared" si="294"/>
        <v>42797.422080631724</v>
      </c>
      <c r="CU373" s="798">
        <f t="shared" si="294"/>
        <v>42949.707735043899</v>
      </c>
      <c r="CV373" s="798">
        <f t="shared" si="294"/>
        <v>43102.670403122851</v>
      </c>
      <c r="CW373" s="798">
        <f t="shared" si="294"/>
        <v>43256.312812171636</v>
      </c>
      <c r="CX373" s="798">
        <f t="shared" si="294"/>
        <v>0</v>
      </c>
      <c r="CY373" s="798">
        <f t="shared" si="294"/>
        <v>0</v>
      </c>
      <c r="CZ373" s="798">
        <f t="shared" si="294"/>
        <v>0</v>
      </c>
      <c r="DA373" s="798">
        <f t="shared" si="294"/>
        <v>0</v>
      </c>
      <c r="DB373" s="798">
        <f t="shared" si="294"/>
        <v>0</v>
      </c>
      <c r="DC373" s="798">
        <f t="shared" si="294"/>
        <v>0</v>
      </c>
      <c r="DD373" s="798">
        <f t="shared" si="294"/>
        <v>0</v>
      </c>
      <c r="DE373" s="798">
        <f t="shared" si="294"/>
        <v>0</v>
      </c>
      <c r="DF373" s="798">
        <f t="shared" si="294"/>
        <v>0</v>
      </c>
      <c r="DG373" s="798">
        <f t="shared" si="294"/>
        <v>0</v>
      </c>
      <c r="DH373" s="798">
        <f t="shared" si="294"/>
        <v>0</v>
      </c>
      <c r="DI373" s="798">
        <f t="shared" si="294"/>
        <v>0</v>
      </c>
      <c r="DJ373" s="798">
        <f t="shared" si="294"/>
        <v>0</v>
      </c>
      <c r="DK373" s="798">
        <f t="shared" si="294"/>
        <v>0</v>
      </c>
      <c r="DL373" s="798">
        <f t="shared" si="294"/>
        <v>0</v>
      </c>
      <c r="DM373" s="798">
        <f t="shared" si="294"/>
        <v>0</v>
      </c>
      <c r="DN373" s="798">
        <f t="shared" si="294"/>
        <v>0</v>
      </c>
      <c r="DO373" s="798">
        <f t="shared" si="294"/>
        <v>0</v>
      </c>
      <c r="DP373" s="798">
        <f t="shared" si="294"/>
        <v>0</v>
      </c>
      <c r="DQ373" s="798">
        <f t="shared" si="294"/>
        <v>0</v>
      </c>
      <c r="DR373" s="798">
        <f t="shared" si="294"/>
        <v>0</v>
      </c>
      <c r="DS373" s="798">
        <f t="shared" si="294"/>
        <v>0</v>
      </c>
      <c r="DT373" s="798">
        <f t="shared" si="294"/>
        <v>0</v>
      </c>
      <c r="DU373" s="798">
        <f t="shared" si="294"/>
        <v>0</v>
      </c>
      <c r="DV373" s="798">
        <f t="shared" si="294"/>
        <v>0</v>
      </c>
      <c r="DW373" s="798">
        <f t="shared" si="294"/>
        <v>0</v>
      </c>
      <c r="DX373" s="798">
        <f t="shared" si="294"/>
        <v>0</v>
      </c>
      <c r="DY373" s="798">
        <f t="shared" si="294"/>
        <v>0</v>
      </c>
      <c r="DZ373" s="798">
        <f t="shared" si="294"/>
        <v>0</v>
      </c>
      <c r="EA373" s="798">
        <f t="shared" si="294"/>
        <v>0</v>
      </c>
      <c r="EB373" s="798">
        <f t="shared" si="294"/>
        <v>0</v>
      </c>
      <c r="EC373" s="798">
        <f t="shared" si="294"/>
        <v>0</v>
      </c>
      <c r="ED373" s="798">
        <f>-ED37</f>
        <v>0</v>
      </c>
      <c r="EE373" s="798">
        <f>-EE37</f>
        <v>0</v>
      </c>
      <c r="EF373" s="798">
        <f>-EF37</f>
        <v>0</v>
      </c>
      <c r="EG373" s="798">
        <f>-EG37</f>
        <v>0</v>
      </c>
      <c r="EH373" s="782"/>
    </row>
    <row r="374" spans="1:138" ht="12.75" customHeight="1" x14ac:dyDescent="0.3">
      <c r="A374" s="782"/>
      <c r="B374" s="837" t="s">
        <v>209</v>
      </c>
      <c r="C374" s="822">
        <f>SUM(E374:EG374)</f>
        <v>7325214.69617867</v>
      </c>
      <c r="D374" s="837"/>
      <c r="E374" s="822">
        <f>SUM(E371:E373)</f>
        <v>0</v>
      </c>
      <c r="F374" s="822">
        <f t="shared" ref="F374:BQ374" si="295">SUM(F371:F373)</f>
        <v>106946.50130477073</v>
      </c>
      <c r="G374" s="822">
        <f t="shared" si="295"/>
        <v>111977.62391078261</v>
      </c>
      <c r="H374" s="822">
        <f t="shared" si="295"/>
        <v>112101.35292555325</v>
      </c>
      <c r="I374" s="822">
        <f t="shared" si="295"/>
        <v>112307.58477505855</v>
      </c>
      <c r="J374" s="822">
        <f t="shared" si="295"/>
        <v>112682.59441739702</v>
      </c>
      <c r="K374" s="822">
        <f t="shared" si="295"/>
        <v>113316.96861314881</v>
      </c>
      <c r="L374" s="822">
        <f t="shared" si="295"/>
        <v>113970.95354109086</v>
      </c>
      <c r="M374" s="822">
        <f t="shared" si="295"/>
        <v>114814.03140630065</v>
      </c>
      <c r="N374" s="822">
        <f t="shared" si="295"/>
        <v>115820.69436505331</v>
      </c>
      <c r="O374" s="822">
        <f t="shared" si="295"/>
        <v>117005.1350733593</v>
      </c>
      <c r="P374" s="822">
        <f t="shared" si="295"/>
        <v>118232.61042267681</v>
      </c>
      <c r="Q374" s="822">
        <f t="shared" si="295"/>
        <v>119525.66950750584</v>
      </c>
      <c r="R374" s="822">
        <f t="shared" si="295"/>
        <v>120835.55259790347</v>
      </c>
      <c r="S374" s="822">
        <f t="shared" si="295"/>
        <v>132158.4088066596</v>
      </c>
      <c r="T374" s="822">
        <f t="shared" si="295"/>
        <v>133394.35769526748</v>
      </c>
      <c r="U374" s="822">
        <f t="shared" si="295"/>
        <v>134594.66424463838</v>
      </c>
      <c r="V374" s="822">
        <f t="shared" si="295"/>
        <v>135705.43744019856</v>
      </c>
      <c r="W374" s="822">
        <f t="shared" si="295"/>
        <v>136703.91056691788</v>
      </c>
      <c r="X374" s="822">
        <f t="shared" si="295"/>
        <v>137697.17401165538</v>
      </c>
      <c r="Y374" s="822">
        <f t="shared" si="295"/>
        <v>138608.67114727461</v>
      </c>
      <c r="Z374" s="822">
        <f t="shared" si="295"/>
        <v>139375.67706202701</v>
      </c>
      <c r="AA374" s="822">
        <f t="shared" si="295"/>
        <v>140029.20862589253</v>
      </c>
      <c r="AB374" s="822">
        <f t="shared" si="295"/>
        <v>141530.91423630624</v>
      </c>
      <c r="AC374" s="822">
        <f t="shared" si="295"/>
        <v>143601.54799151275</v>
      </c>
      <c r="AD374" s="822">
        <f t="shared" si="295"/>
        <v>145325.74232472395</v>
      </c>
      <c r="AE374" s="822">
        <f t="shared" si="295"/>
        <v>40885.527800522075</v>
      </c>
      <c r="AF374" s="822">
        <f t="shared" si="295"/>
        <v>43671.207429545349</v>
      </c>
      <c r="AG374" s="822">
        <f t="shared" si="295"/>
        <v>44158.717841964244</v>
      </c>
      <c r="AH374" s="822">
        <f t="shared" si="295"/>
        <v>44219.164835068965</v>
      </c>
      <c r="AI374" s="822">
        <f t="shared" si="295"/>
        <v>44279.481450211511</v>
      </c>
      <c r="AJ374" s="822">
        <f t="shared" si="295"/>
        <v>44366.266464666565</v>
      </c>
      <c r="AK374" s="822">
        <f t="shared" si="295"/>
        <v>44452.72907725643</v>
      </c>
      <c r="AL374" s="822">
        <f t="shared" si="295"/>
        <v>54192.047058151904</v>
      </c>
      <c r="AM374" s="822">
        <f t="shared" si="295"/>
        <v>54419.97058968975</v>
      </c>
      <c r="AN374" s="822">
        <f t="shared" si="295"/>
        <v>54644.826947821537</v>
      </c>
      <c r="AO374" s="822">
        <f t="shared" si="295"/>
        <v>54866.186603028589</v>
      </c>
      <c r="AP374" s="822">
        <f t="shared" si="295"/>
        <v>55057.72518381165</v>
      </c>
      <c r="AQ374" s="822">
        <f t="shared" si="295"/>
        <v>55298.073155047387</v>
      </c>
      <c r="AR374" s="822">
        <f t="shared" si="295"/>
        <v>55518.711393125326</v>
      </c>
      <c r="AS374" s="822">
        <f t="shared" si="295"/>
        <v>55696.08660395781</v>
      </c>
      <c r="AT374" s="822">
        <f t="shared" si="295"/>
        <v>55876.860591700752</v>
      </c>
      <c r="AU374" s="822">
        <f t="shared" si="295"/>
        <v>56053.687156209198</v>
      </c>
      <c r="AV374" s="822">
        <f t="shared" si="295"/>
        <v>56250.93407324102</v>
      </c>
      <c r="AW374" s="822">
        <f t="shared" si="295"/>
        <v>56442.453603918533</v>
      </c>
      <c r="AX374" s="822">
        <f t="shared" si="295"/>
        <v>56629.026112167005</v>
      </c>
      <c r="AY374" s="822">
        <f t="shared" si="295"/>
        <v>56811.438274132604</v>
      </c>
      <c r="AZ374" s="822">
        <f t="shared" si="295"/>
        <v>56990.483116683143</v>
      </c>
      <c r="BA374" s="822">
        <f t="shared" si="295"/>
        <v>57166.96005612005</v>
      </c>
      <c r="BB374" s="822">
        <f t="shared" si="295"/>
        <v>57322.670809977324</v>
      </c>
      <c r="BC374" s="822">
        <f t="shared" si="295"/>
        <v>57515.202368091705</v>
      </c>
      <c r="BD374" s="822">
        <f t="shared" si="295"/>
        <v>57698.859685522548</v>
      </c>
      <c r="BE374" s="822">
        <f t="shared" si="295"/>
        <v>57858.305554113831</v>
      </c>
      <c r="BF374" s="822">
        <f t="shared" si="295"/>
        <v>58019.100971470551</v>
      </c>
      <c r="BG374" s="822">
        <f t="shared" si="295"/>
        <v>58182.740291919807</v>
      </c>
      <c r="BH374" s="822">
        <f t="shared" si="295"/>
        <v>58367.462291439646</v>
      </c>
      <c r="BI374" s="822">
        <f t="shared" si="295"/>
        <v>58556.625176253699</v>
      </c>
      <c r="BJ374" s="822">
        <f t="shared" si="295"/>
        <v>58749.975785074173</v>
      </c>
      <c r="BK374" s="822">
        <f t="shared" si="295"/>
        <v>58947.259022716331</v>
      </c>
      <c r="BL374" s="822">
        <f t="shared" si="295"/>
        <v>59148.217849200788</v>
      </c>
      <c r="BM374" s="822">
        <f t="shared" si="295"/>
        <v>59352.593268801167</v>
      </c>
      <c r="BN374" s="822">
        <f t="shared" si="295"/>
        <v>59538.441067399159</v>
      </c>
      <c r="BO374" s="822">
        <f t="shared" si="295"/>
        <v>59769.983923422944</v>
      </c>
      <c r="BP374" s="822">
        <f t="shared" si="295"/>
        <v>59992.458027713306</v>
      </c>
      <c r="BQ374" s="822">
        <f t="shared" si="295"/>
        <v>60183.652805260164</v>
      </c>
      <c r="BR374" s="822">
        <f t="shared" ref="BR374:EC374" si="296">SUM(BR371:BR373)</f>
        <v>60374.332846743062</v>
      </c>
      <c r="BS374" s="822">
        <f t="shared" si="296"/>
        <v>60565.582022861927</v>
      </c>
      <c r="BT374" s="822">
        <f t="shared" si="296"/>
        <v>60780.417768275773</v>
      </c>
      <c r="BU374" s="822">
        <f t="shared" si="296"/>
        <v>60996.175502914572</v>
      </c>
      <c r="BV374" s="822">
        <f t="shared" si="296"/>
        <v>61212.858943662344</v>
      </c>
      <c r="BW374" s="822">
        <f t="shared" si="296"/>
        <v>61430.471822554828</v>
      </c>
      <c r="BX374" s="822">
        <f t="shared" si="296"/>
        <v>61649.017886841699</v>
      </c>
      <c r="BY374" s="822">
        <f t="shared" si="296"/>
        <v>61868.500899048944</v>
      </c>
      <c r="BZ374" s="822">
        <f t="shared" si="296"/>
        <v>62065.330035290492</v>
      </c>
      <c r="CA374" s="822">
        <f t="shared" si="296"/>
        <v>62310.064837306272</v>
      </c>
      <c r="CB374" s="822">
        <f t="shared" si="296"/>
        <v>62543.322449909145</v>
      </c>
      <c r="CC374" s="822">
        <f t="shared" si="296"/>
        <v>62742.595075470148</v>
      </c>
      <c r="CD374" s="822">
        <f t="shared" si="296"/>
        <v>62941.335666347608</v>
      </c>
      <c r="CE374" s="822">
        <f t="shared" si="296"/>
        <v>63140.66867142597</v>
      </c>
      <c r="CF374" s="822">
        <f t="shared" si="296"/>
        <v>63364.584461212879</v>
      </c>
      <c r="CG374" s="822">
        <f t="shared" si="296"/>
        <v>63589.460430972256</v>
      </c>
      <c r="CH374" s="822">
        <f t="shared" si="296"/>
        <v>63815.300452772266</v>
      </c>
      <c r="CI374" s="822">
        <f t="shared" si="296"/>
        <v>64042.108414468508</v>
      </c>
      <c r="CJ374" s="822">
        <f t="shared" si="296"/>
        <v>64269.888219768778</v>
      </c>
      <c r="CK374" s="822">
        <f t="shared" si="296"/>
        <v>64498.643788298228</v>
      </c>
      <c r="CL374" s="822">
        <f t="shared" si="296"/>
        <v>64703.787119524874</v>
      </c>
      <c r="CM374" s="822">
        <f t="shared" si="296"/>
        <v>64958.8602768743</v>
      </c>
      <c r="CN374" s="822">
        <f t="shared" si="296"/>
        <v>65201.970313641854</v>
      </c>
      <c r="CO374" s="822">
        <f t="shared" si="296"/>
        <v>65409.658034625449</v>
      </c>
      <c r="CP374" s="822">
        <f t="shared" si="296"/>
        <v>65616.79540433106</v>
      </c>
      <c r="CQ374" s="822">
        <f t="shared" si="296"/>
        <v>65824.549428494618</v>
      </c>
      <c r="CR374" s="822">
        <f t="shared" si="296"/>
        <v>66057.92453902433</v>
      </c>
      <c r="CS374" s="822">
        <f t="shared" si="296"/>
        <v>66292.299611140625</v>
      </c>
      <c r="CT374" s="822">
        <f t="shared" si="296"/>
        <v>66527.678678597556</v>
      </c>
      <c r="CU374" s="822">
        <f t="shared" si="296"/>
        <v>66764.065791599045</v>
      </c>
      <c r="CV374" s="822">
        <f t="shared" si="296"/>
        <v>67001.465016866379</v>
      </c>
      <c r="CW374" s="822">
        <f t="shared" si="296"/>
        <v>67239.880437706102</v>
      </c>
      <c r="CX374" s="822">
        <f t="shared" si="296"/>
        <v>0</v>
      </c>
      <c r="CY374" s="822">
        <f t="shared" si="296"/>
        <v>0</v>
      </c>
      <c r="CZ374" s="822">
        <f t="shared" si="296"/>
        <v>0</v>
      </c>
      <c r="DA374" s="822">
        <f t="shared" si="296"/>
        <v>0</v>
      </c>
      <c r="DB374" s="822">
        <f t="shared" si="296"/>
        <v>0</v>
      </c>
      <c r="DC374" s="822">
        <f t="shared" si="296"/>
        <v>0</v>
      </c>
      <c r="DD374" s="822">
        <f t="shared" si="296"/>
        <v>0</v>
      </c>
      <c r="DE374" s="822">
        <f t="shared" si="296"/>
        <v>0</v>
      </c>
      <c r="DF374" s="822">
        <f t="shared" si="296"/>
        <v>0</v>
      </c>
      <c r="DG374" s="822">
        <f t="shared" si="296"/>
        <v>0</v>
      </c>
      <c r="DH374" s="822">
        <f t="shared" si="296"/>
        <v>0</v>
      </c>
      <c r="DI374" s="822">
        <f t="shared" si="296"/>
        <v>0</v>
      </c>
      <c r="DJ374" s="822">
        <f t="shared" si="296"/>
        <v>0</v>
      </c>
      <c r="DK374" s="822">
        <f t="shared" si="296"/>
        <v>0</v>
      </c>
      <c r="DL374" s="822">
        <f t="shared" si="296"/>
        <v>0</v>
      </c>
      <c r="DM374" s="822">
        <f t="shared" si="296"/>
        <v>0</v>
      </c>
      <c r="DN374" s="822">
        <f t="shared" si="296"/>
        <v>0</v>
      </c>
      <c r="DO374" s="822">
        <f t="shared" si="296"/>
        <v>0</v>
      </c>
      <c r="DP374" s="822">
        <f t="shared" si="296"/>
        <v>0</v>
      </c>
      <c r="DQ374" s="822">
        <f t="shared" si="296"/>
        <v>0</v>
      </c>
      <c r="DR374" s="822">
        <f t="shared" si="296"/>
        <v>0</v>
      </c>
      <c r="DS374" s="822">
        <f t="shared" si="296"/>
        <v>0</v>
      </c>
      <c r="DT374" s="822">
        <f t="shared" si="296"/>
        <v>0</v>
      </c>
      <c r="DU374" s="822">
        <f t="shared" si="296"/>
        <v>0</v>
      </c>
      <c r="DV374" s="822">
        <f t="shared" si="296"/>
        <v>0</v>
      </c>
      <c r="DW374" s="822">
        <f t="shared" si="296"/>
        <v>0</v>
      </c>
      <c r="DX374" s="822">
        <f t="shared" si="296"/>
        <v>0</v>
      </c>
      <c r="DY374" s="822">
        <f t="shared" si="296"/>
        <v>0</v>
      </c>
      <c r="DZ374" s="822">
        <f t="shared" si="296"/>
        <v>0</v>
      </c>
      <c r="EA374" s="822">
        <f t="shared" si="296"/>
        <v>0</v>
      </c>
      <c r="EB374" s="822">
        <f t="shared" si="296"/>
        <v>0</v>
      </c>
      <c r="EC374" s="822">
        <f t="shared" si="296"/>
        <v>0</v>
      </c>
      <c r="ED374" s="822">
        <f>SUM(ED371:ED373)</f>
        <v>0</v>
      </c>
      <c r="EE374" s="822">
        <f>SUM(EE371:EE373)</f>
        <v>0</v>
      </c>
      <c r="EF374" s="822">
        <f>SUM(EF371:EF373)</f>
        <v>0</v>
      </c>
      <c r="EG374" s="822">
        <f>SUM(EG371:EG373)</f>
        <v>0</v>
      </c>
      <c r="EH374" s="798"/>
    </row>
    <row r="375" spans="1:138" ht="12.75" customHeight="1" x14ac:dyDescent="0.3">
      <c r="A375" s="782"/>
      <c r="B375" s="782"/>
      <c r="C375" s="798"/>
      <c r="D375" s="782"/>
      <c r="E375" s="798"/>
      <c r="F375" s="798"/>
      <c r="G375" s="798"/>
      <c r="H375" s="798"/>
      <c r="I375" s="798"/>
      <c r="J375" s="798"/>
      <c r="K375" s="798"/>
      <c r="L375" s="798"/>
      <c r="M375" s="798"/>
      <c r="N375" s="798"/>
      <c r="O375" s="798"/>
      <c r="P375" s="798"/>
      <c r="Q375" s="798"/>
      <c r="R375" s="798"/>
      <c r="S375" s="798"/>
      <c r="T375" s="798"/>
      <c r="U375" s="798"/>
      <c r="V375" s="798"/>
      <c r="W375" s="798"/>
      <c r="X375" s="798"/>
      <c r="Y375" s="798"/>
      <c r="Z375" s="798"/>
      <c r="AA375" s="798"/>
      <c r="AB375" s="798"/>
      <c r="AC375" s="798"/>
      <c r="AD375" s="798"/>
      <c r="AE375" s="798"/>
      <c r="AF375" s="798"/>
      <c r="AG375" s="798"/>
      <c r="AH375" s="798"/>
      <c r="AI375" s="798"/>
      <c r="AJ375" s="798"/>
      <c r="AK375" s="798"/>
      <c r="AL375" s="798"/>
      <c r="AM375" s="798"/>
      <c r="AN375" s="798"/>
      <c r="AO375" s="798"/>
      <c r="AP375" s="798"/>
      <c r="AQ375" s="798"/>
      <c r="AR375" s="798"/>
      <c r="AS375" s="798"/>
      <c r="AT375" s="798"/>
      <c r="AU375" s="798"/>
      <c r="AV375" s="798"/>
      <c r="AW375" s="798"/>
      <c r="AX375" s="798"/>
      <c r="AY375" s="798"/>
      <c r="AZ375" s="798"/>
      <c r="BA375" s="798"/>
      <c r="BB375" s="798"/>
      <c r="BC375" s="798"/>
      <c r="BD375" s="798"/>
      <c r="BE375" s="798"/>
      <c r="BF375" s="798"/>
      <c r="BG375" s="798"/>
      <c r="BH375" s="798"/>
      <c r="BI375" s="798"/>
      <c r="BJ375" s="798"/>
      <c r="BK375" s="798"/>
      <c r="BL375" s="798"/>
      <c r="BM375" s="798"/>
      <c r="BN375" s="798"/>
      <c r="BO375" s="798"/>
      <c r="BP375" s="798"/>
      <c r="BQ375" s="798"/>
      <c r="BR375" s="798"/>
      <c r="BS375" s="798"/>
      <c r="BT375" s="798"/>
      <c r="BU375" s="798"/>
      <c r="BV375" s="798"/>
      <c r="BW375" s="798"/>
      <c r="BX375" s="798"/>
      <c r="BY375" s="798"/>
      <c r="BZ375" s="798"/>
      <c r="CA375" s="798"/>
      <c r="CB375" s="798"/>
      <c r="CC375" s="798"/>
      <c r="CD375" s="798"/>
      <c r="CE375" s="798"/>
      <c r="CF375" s="798"/>
      <c r="CG375" s="798"/>
      <c r="CH375" s="798"/>
      <c r="CI375" s="798"/>
      <c r="CJ375" s="798"/>
      <c r="CK375" s="798"/>
      <c r="CL375" s="798"/>
      <c r="CM375" s="798"/>
      <c r="CN375" s="798"/>
      <c r="CO375" s="798"/>
      <c r="CP375" s="798"/>
      <c r="CQ375" s="798"/>
      <c r="CR375" s="798"/>
      <c r="CS375" s="798"/>
      <c r="CT375" s="798"/>
      <c r="CU375" s="798"/>
      <c r="CV375" s="798"/>
      <c r="CW375" s="798"/>
      <c r="CX375" s="798"/>
      <c r="CY375" s="798"/>
      <c r="CZ375" s="798"/>
      <c r="DA375" s="798"/>
      <c r="DB375" s="798"/>
      <c r="DC375" s="798"/>
      <c r="DD375" s="798"/>
      <c r="DE375" s="798"/>
      <c r="DF375" s="798"/>
      <c r="DG375" s="798"/>
      <c r="DH375" s="798"/>
      <c r="DI375" s="798"/>
      <c r="DJ375" s="798"/>
      <c r="DK375" s="798"/>
      <c r="DL375" s="798"/>
      <c r="DM375" s="798"/>
      <c r="DN375" s="798"/>
      <c r="DO375" s="798"/>
      <c r="DP375" s="798"/>
      <c r="DQ375" s="798"/>
      <c r="DR375" s="798"/>
      <c r="DS375" s="798"/>
      <c r="DT375" s="798"/>
      <c r="DU375" s="798"/>
      <c r="DV375" s="798"/>
      <c r="DW375" s="798"/>
      <c r="DX375" s="798"/>
      <c r="DY375" s="798"/>
      <c r="DZ375" s="798"/>
      <c r="EA375" s="798"/>
      <c r="EB375" s="798"/>
      <c r="EC375" s="798"/>
      <c r="ED375" s="798"/>
      <c r="EE375" s="798"/>
      <c r="EF375" s="798"/>
      <c r="EG375" s="798"/>
      <c r="EH375" s="782"/>
    </row>
    <row r="376" spans="1:138" ht="12.75" customHeight="1" x14ac:dyDescent="0.3">
      <c r="A376" s="782"/>
      <c r="B376" s="782" t="s">
        <v>210</v>
      </c>
      <c r="C376" s="798">
        <f t="shared" ref="C376:C382" si="297">SUM(E376:EG376)</f>
        <v>19930088.564773567</v>
      </c>
      <c r="D376" s="782"/>
      <c r="E376" s="798">
        <f>E374+E364</f>
        <v>0</v>
      </c>
      <c r="F376" s="798">
        <f t="shared" ref="F376:BQ376" si="298">F374+F364</f>
        <v>106946.50130477073</v>
      </c>
      <c r="G376" s="798">
        <f t="shared" si="298"/>
        <v>111977.62391078261</v>
      </c>
      <c r="H376" s="798">
        <f t="shared" si="298"/>
        <v>112101.35292555325</v>
      </c>
      <c r="I376" s="798">
        <f t="shared" si="298"/>
        <v>112307.58477505855</v>
      </c>
      <c r="J376" s="798">
        <f t="shared" si="298"/>
        <v>112682.59441739702</v>
      </c>
      <c r="K376" s="798">
        <f t="shared" si="298"/>
        <v>113316.96861314881</v>
      </c>
      <c r="L376" s="798">
        <f t="shared" si="298"/>
        <v>113970.95354109086</v>
      </c>
      <c r="M376" s="798">
        <f t="shared" si="298"/>
        <v>114814.03140630065</v>
      </c>
      <c r="N376" s="798">
        <f t="shared" si="298"/>
        <v>115820.69436505331</v>
      </c>
      <c r="O376" s="798">
        <f t="shared" si="298"/>
        <v>117005.1350733593</v>
      </c>
      <c r="P376" s="798">
        <f t="shared" si="298"/>
        <v>118232.61042267681</v>
      </c>
      <c r="Q376" s="798">
        <f t="shared" si="298"/>
        <v>119525.66950750584</v>
      </c>
      <c r="R376" s="798">
        <f t="shared" si="298"/>
        <v>120835.55259790347</v>
      </c>
      <c r="S376" s="798">
        <f t="shared" si="298"/>
        <v>132158.4088066596</v>
      </c>
      <c r="T376" s="798">
        <f t="shared" si="298"/>
        <v>133394.35769526748</v>
      </c>
      <c r="U376" s="798">
        <f t="shared" si="298"/>
        <v>134594.66424463838</v>
      </c>
      <c r="V376" s="798">
        <f t="shared" si="298"/>
        <v>135705.43744019856</v>
      </c>
      <c r="W376" s="798">
        <f t="shared" si="298"/>
        <v>136703.91056691788</v>
      </c>
      <c r="X376" s="798">
        <f t="shared" si="298"/>
        <v>137697.17401165538</v>
      </c>
      <c r="Y376" s="798">
        <f t="shared" si="298"/>
        <v>138608.67114727461</v>
      </c>
      <c r="Z376" s="798">
        <f t="shared" si="298"/>
        <v>139375.67706202701</v>
      </c>
      <c r="AA376" s="798">
        <f t="shared" si="298"/>
        <v>140029.20862589253</v>
      </c>
      <c r="AB376" s="798">
        <f t="shared" si="298"/>
        <v>141530.91423630624</v>
      </c>
      <c r="AC376" s="798">
        <f t="shared" si="298"/>
        <v>143601.54799151275</v>
      </c>
      <c r="AD376" s="798">
        <f t="shared" si="298"/>
        <v>145325.74232472395</v>
      </c>
      <c r="AE376" s="798">
        <f t="shared" si="298"/>
        <v>40885.527800522075</v>
      </c>
      <c r="AF376" s="798">
        <f t="shared" si="298"/>
        <v>43671.207429545349</v>
      </c>
      <c r="AG376" s="798">
        <f t="shared" si="298"/>
        <v>44158.717841964244</v>
      </c>
      <c r="AH376" s="798">
        <f t="shared" si="298"/>
        <v>44219.164835068965</v>
      </c>
      <c r="AI376" s="798">
        <f t="shared" si="298"/>
        <v>44279.481450211511</v>
      </c>
      <c r="AJ376" s="798">
        <f t="shared" si="298"/>
        <v>44366.266464666565</v>
      </c>
      <c r="AK376" s="798">
        <f t="shared" si="298"/>
        <v>6913179.5107434224</v>
      </c>
      <c r="AL376" s="798">
        <f t="shared" si="298"/>
        <v>54192.047058151904</v>
      </c>
      <c r="AM376" s="798">
        <f t="shared" si="298"/>
        <v>54419.97058968975</v>
      </c>
      <c r="AN376" s="798">
        <f t="shared" si="298"/>
        <v>54644.826947821537</v>
      </c>
      <c r="AO376" s="798">
        <f t="shared" si="298"/>
        <v>54866.186603028589</v>
      </c>
      <c r="AP376" s="798">
        <f t="shared" si="298"/>
        <v>55057.72518381165</v>
      </c>
      <c r="AQ376" s="798">
        <f t="shared" si="298"/>
        <v>55298.073155047387</v>
      </c>
      <c r="AR376" s="798">
        <f t="shared" si="298"/>
        <v>55518.711393125326</v>
      </c>
      <c r="AS376" s="798">
        <f t="shared" si="298"/>
        <v>55696.08660395781</v>
      </c>
      <c r="AT376" s="798">
        <f t="shared" si="298"/>
        <v>55876.860591700752</v>
      </c>
      <c r="AU376" s="798">
        <f t="shared" si="298"/>
        <v>56053.687156209198</v>
      </c>
      <c r="AV376" s="798">
        <f t="shared" si="298"/>
        <v>56250.93407324102</v>
      </c>
      <c r="AW376" s="798">
        <f t="shared" si="298"/>
        <v>56442.453603918533</v>
      </c>
      <c r="AX376" s="798">
        <f t="shared" si="298"/>
        <v>56629.026112167005</v>
      </c>
      <c r="AY376" s="798">
        <f t="shared" si="298"/>
        <v>56811.438274132604</v>
      </c>
      <c r="AZ376" s="798">
        <f t="shared" si="298"/>
        <v>56990.483116683143</v>
      </c>
      <c r="BA376" s="798">
        <f t="shared" si="298"/>
        <v>57166.96005612005</v>
      </c>
      <c r="BB376" s="798">
        <f t="shared" si="298"/>
        <v>57322.670809977324</v>
      </c>
      <c r="BC376" s="798">
        <f t="shared" si="298"/>
        <v>57515.202368091705</v>
      </c>
      <c r="BD376" s="798">
        <f t="shared" si="298"/>
        <v>57698.859685522548</v>
      </c>
      <c r="BE376" s="798">
        <f t="shared" si="298"/>
        <v>57858.305554113831</v>
      </c>
      <c r="BF376" s="798">
        <f t="shared" si="298"/>
        <v>58019.100971470551</v>
      </c>
      <c r="BG376" s="798">
        <f t="shared" si="298"/>
        <v>58182.740291919807</v>
      </c>
      <c r="BH376" s="798">
        <f t="shared" si="298"/>
        <v>58367.462291439646</v>
      </c>
      <c r="BI376" s="798">
        <f t="shared" si="298"/>
        <v>58556.625176253699</v>
      </c>
      <c r="BJ376" s="798">
        <f t="shared" si="298"/>
        <v>58749.975785074173</v>
      </c>
      <c r="BK376" s="798">
        <f t="shared" si="298"/>
        <v>58947.259022716331</v>
      </c>
      <c r="BL376" s="798">
        <f t="shared" si="298"/>
        <v>59148.217849200788</v>
      </c>
      <c r="BM376" s="798">
        <f t="shared" si="298"/>
        <v>59352.593268801167</v>
      </c>
      <c r="BN376" s="798">
        <f t="shared" si="298"/>
        <v>59538.441067399159</v>
      </c>
      <c r="BO376" s="798">
        <f t="shared" si="298"/>
        <v>59769.983923422944</v>
      </c>
      <c r="BP376" s="798">
        <f t="shared" si="298"/>
        <v>59992.458027713306</v>
      </c>
      <c r="BQ376" s="798">
        <f t="shared" si="298"/>
        <v>60183.652805260164</v>
      </c>
      <c r="BR376" s="798">
        <f t="shared" ref="BR376:EC376" si="299">BR374+BR364</f>
        <v>60374.332846743062</v>
      </c>
      <c r="BS376" s="798">
        <f t="shared" si="299"/>
        <v>60565.582022861927</v>
      </c>
      <c r="BT376" s="798">
        <f t="shared" si="299"/>
        <v>60780.417768275773</v>
      </c>
      <c r="BU376" s="798">
        <f t="shared" si="299"/>
        <v>60996.175502914572</v>
      </c>
      <c r="BV376" s="798">
        <f t="shared" si="299"/>
        <v>61212.858943662344</v>
      </c>
      <c r="BW376" s="798">
        <f t="shared" si="299"/>
        <v>61430.471822554828</v>
      </c>
      <c r="BX376" s="798">
        <f t="shared" si="299"/>
        <v>61649.017886841699</v>
      </c>
      <c r="BY376" s="798">
        <f t="shared" si="299"/>
        <v>61868.500899048944</v>
      </c>
      <c r="BZ376" s="798">
        <f t="shared" si="299"/>
        <v>62065.330035290492</v>
      </c>
      <c r="CA376" s="798">
        <f t="shared" si="299"/>
        <v>62310.064837306272</v>
      </c>
      <c r="CB376" s="798">
        <f t="shared" si="299"/>
        <v>62543.322449909145</v>
      </c>
      <c r="CC376" s="798">
        <f t="shared" si="299"/>
        <v>62742.595075470148</v>
      </c>
      <c r="CD376" s="798">
        <f t="shared" si="299"/>
        <v>62941.335666347608</v>
      </c>
      <c r="CE376" s="798">
        <f t="shared" si="299"/>
        <v>63140.66867142597</v>
      </c>
      <c r="CF376" s="798">
        <f t="shared" si="299"/>
        <v>63364.584461212879</v>
      </c>
      <c r="CG376" s="798">
        <f t="shared" si="299"/>
        <v>63589.460430972256</v>
      </c>
      <c r="CH376" s="798">
        <f t="shared" si="299"/>
        <v>63815.300452772266</v>
      </c>
      <c r="CI376" s="798">
        <f t="shared" si="299"/>
        <v>64042.108414468508</v>
      </c>
      <c r="CJ376" s="798">
        <f t="shared" si="299"/>
        <v>64269.888219768778</v>
      </c>
      <c r="CK376" s="798">
        <f t="shared" si="299"/>
        <v>64498.643788298228</v>
      </c>
      <c r="CL376" s="798">
        <f t="shared" si="299"/>
        <v>64703.787119524874</v>
      </c>
      <c r="CM376" s="798">
        <f t="shared" si="299"/>
        <v>64958.8602768743</v>
      </c>
      <c r="CN376" s="798">
        <f t="shared" si="299"/>
        <v>65201.970313641854</v>
      </c>
      <c r="CO376" s="798">
        <f t="shared" si="299"/>
        <v>65409.658034625449</v>
      </c>
      <c r="CP376" s="798">
        <f t="shared" si="299"/>
        <v>65616.79540433106</v>
      </c>
      <c r="CQ376" s="798">
        <f t="shared" si="299"/>
        <v>65824.549428494618</v>
      </c>
      <c r="CR376" s="798">
        <f t="shared" si="299"/>
        <v>66057.92453902433</v>
      </c>
      <c r="CS376" s="798">
        <f t="shared" si="299"/>
        <v>66292.299611140625</v>
      </c>
      <c r="CT376" s="798">
        <f t="shared" si="299"/>
        <v>66527.678678597556</v>
      </c>
      <c r="CU376" s="798">
        <f t="shared" si="299"/>
        <v>66764.065791599045</v>
      </c>
      <c r="CV376" s="798">
        <f t="shared" si="299"/>
        <v>67001.465016866379</v>
      </c>
      <c r="CW376" s="798">
        <f t="shared" si="299"/>
        <v>5803386.9673664449</v>
      </c>
      <c r="CX376" s="798">
        <f t="shared" si="299"/>
        <v>0</v>
      </c>
      <c r="CY376" s="798">
        <f t="shared" si="299"/>
        <v>0</v>
      </c>
      <c r="CZ376" s="798">
        <f t="shared" si="299"/>
        <v>0</v>
      </c>
      <c r="DA376" s="798">
        <f t="shared" si="299"/>
        <v>0</v>
      </c>
      <c r="DB376" s="798">
        <f t="shared" si="299"/>
        <v>0</v>
      </c>
      <c r="DC376" s="798">
        <f t="shared" si="299"/>
        <v>0</v>
      </c>
      <c r="DD376" s="798">
        <f t="shared" si="299"/>
        <v>0</v>
      </c>
      <c r="DE376" s="798">
        <f t="shared" si="299"/>
        <v>0</v>
      </c>
      <c r="DF376" s="798">
        <f t="shared" si="299"/>
        <v>0</v>
      </c>
      <c r="DG376" s="798">
        <f t="shared" si="299"/>
        <v>0</v>
      </c>
      <c r="DH376" s="798">
        <f t="shared" si="299"/>
        <v>0</v>
      </c>
      <c r="DI376" s="798">
        <f t="shared" si="299"/>
        <v>0</v>
      </c>
      <c r="DJ376" s="798">
        <f t="shared" si="299"/>
        <v>0</v>
      </c>
      <c r="DK376" s="798">
        <f t="shared" si="299"/>
        <v>0</v>
      </c>
      <c r="DL376" s="798">
        <f t="shared" si="299"/>
        <v>0</v>
      </c>
      <c r="DM376" s="798">
        <f t="shared" si="299"/>
        <v>0</v>
      </c>
      <c r="DN376" s="798">
        <f t="shared" si="299"/>
        <v>0</v>
      </c>
      <c r="DO376" s="798">
        <f t="shared" si="299"/>
        <v>0</v>
      </c>
      <c r="DP376" s="798">
        <f t="shared" si="299"/>
        <v>0</v>
      </c>
      <c r="DQ376" s="798">
        <f t="shared" si="299"/>
        <v>0</v>
      </c>
      <c r="DR376" s="798">
        <f t="shared" si="299"/>
        <v>0</v>
      </c>
      <c r="DS376" s="798">
        <f t="shared" si="299"/>
        <v>0</v>
      </c>
      <c r="DT376" s="798">
        <f t="shared" si="299"/>
        <v>0</v>
      </c>
      <c r="DU376" s="798">
        <f t="shared" si="299"/>
        <v>0</v>
      </c>
      <c r="DV376" s="798">
        <f t="shared" si="299"/>
        <v>0</v>
      </c>
      <c r="DW376" s="798">
        <f t="shared" si="299"/>
        <v>0</v>
      </c>
      <c r="DX376" s="798">
        <f t="shared" si="299"/>
        <v>0</v>
      </c>
      <c r="DY376" s="798">
        <f t="shared" si="299"/>
        <v>0</v>
      </c>
      <c r="DZ376" s="798">
        <f t="shared" si="299"/>
        <v>0</v>
      </c>
      <c r="EA376" s="798">
        <f t="shared" si="299"/>
        <v>0</v>
      </c>
      <c r="EB376" s="798">
        <f t="shared" si="299"/>
        <v>0</v>
      </c>
      <c r="EC376" s="798">
        <f t="shared" si="299"/>
        <v>0</v>
      </c>
      <c r="ED376" s="798">
        <f>ED374+ED364</f>
        <v>0</v>
      </c>
      <c r="EE376" s="798">
        <f>EE374+EE364</f>
        <v>0</v>
      </c>
      <c r="EF376" s="798">
        <f>EF374+EF364</f>
        <v>0</v>
      </c>
      <c r="EG376" s="798">
        <f>EG374+EG364</f>
        <v>0</v>
      </c>
      <c r="EH376" s="782"/>
    </row>
    <row r="377" spans="1:138" ht="12.75" customHeight="1" x14ac:dyDescent="0.3">
      <c r="A377" s="782"/>
      <c r="B377" s="782"/>
      <c r="C377" s="798"/>
      <c r="D377" s="782"/>
      <c r="E377" s="798"/>
      <c r="F377" s="798"/>
      <c r="G377" s="798"/>
      <c r="H377" s="798"/>
      <c r="I377" s="798"/>
      <c r="J377" s="798"/>
      <c r="K377" s="798"/>
      <c r="L377" s="798"/>
      <c r="M377" s="798"/>
      <c r="N377" s="798"/>
      <c r="O377" s="798"/>
      <c r="P377" s="798"/>
      <c r="Q377" s="798"/>
      <c r="R377" s="798"/>
      <c r="S377" s="798"/>
      <c r="T377" s="798"/>
      <c r="U377" s="798"/>
      <c r="V377" s="798"/>
      <c r="W377" s="798"/>
      <c r="X377" s="798"/>
      <c r="Y377" s="798"/>
      <c r="Z377" s="798"/>
      <c r="AA377" s="798"/>
      <c r="AB377" s="798"/>
      <c r="AC377" s="798"/>
      <c r="AD377" s="798"/>
      <c r="AE377" s="798"/>
      <c r="AF377" s="798"/>
      <c r="AG377" s="798"/>
      <c r="AH377" s="798"/>
      <c r="AI377" s="798"/>
      <c r="AJ377" s="798"/>
      <c r="AK377" s="798"/>
      <c r="AL377" s="798"/>
      <c r="AM377" s="798"/>
      <c r="AN377" s="798"/>
      <c r="AO377" s="798"/>
      <c r="AP377" s="798"/>
      <c r="AQ377" s="798"/>
      <c r="AR377" s="798"/>
      <c r="AS377" s="798"/>
      <c r="AT377" s="798"/>
      <c r="AU377" s="798"/>
      <c r="AV377" s="798"/>
      <c r="AW377" s="798"/>
      <c r="AX377" s="798"/>
      <c r="AY377" s="798"/>
      <c r="AZ377" s="798"/>
      <c r="BA377" s="798"/>
      <c r="BB377" s="798"/>
      <c r="BC377" s="798"/>
      <c r="BD377" s="798"/>
      <c r="BE377" s="798"/>
      <c r="BF377" s="798"/>
      <c r="BG377" s="798"/>
      <c r="BH377" s="798"/>
      <c r="BI377" s="798"/>
      <c r="BJ377" s="798"/>
      <c r="BK377" s="798"/>
      <c r="BL377" s="798"/>
      <c r="BM377" s="798"/>
      <c r="BN377" s="798"/>
      <c r="BO377" s="798"/>
      <c r="BP377" s="798"/>
      <c r="BQ377" s="798"/>
      <c r="BR377" s="798"/>
      <c r="BS377" s="798"/>
      <c r="BT377" s="798"/>
      <c r="BU377" s="798"/>
      <c r="BV377" s="798"/>
      <c r="BW377" s="798"/>
      <c r="BX377" s="798"/>
      <c r="BY377" s="798"/>
      <c r="BZ377" s="798"/>
      <c r="CA377" s="798"/>
      <c r="CB377" s="798"/>
      <c r="CC377" s="798"/>
      <c r="CD377" s="798"/>
      <c r="CE377" s="798"/>
      <c r="CF377" s="798"/>
      <c r="CG377" s="798"/>
      <c r="CH377" s="798"/>
      <c r="CI377" s="798"/>
      <c r="CJ377" s="798"/>
      <c r="CK377" s="798"/>
      <c r="CL377" s="798"/>
      <c r="CM377" s="798"/>
      <c r="CN377" s="798"/>
      <c r="CO377" s="798"/>
      <c r="CP377" s="798"/>
      <c r="CQ377" s="798"/>
      <c r="CR377" s="798"/>
      <c r="CS377" s="798"/>
      <c r="CT377" s="798"/>
      <c r="CU377" s="798"/>
      <c r="CV377" s="798"/>
      <c r="CW377" s="798"/>
      <c r="CX377" s="798"/>
      <c r="CY377" s="798"/>
      <c r="CZ377" s="798"/>
      <c r="DA377" s="798"/>
      <c r="DB377" s="798"/>
      <c r="DC377" s="798"/>
      <c r="DD377" s="798"/>
      <c r="DE377" s="798"/>
      <c r="DF377" s="798"/>
      <c r="DG377" s="798"/>
      <c r="DH377" s="798"/>
      <c r="DI377" s="798"/>
      <c r="DJ377" s="798"/>
      <c r="DK377" s="798"/>
      <c r="DL377" s="798"/>
      <c r="DM377" s="798"/>
      <c r="DN377" s="798"/>
      <c r="DO377" s="798"/>
      <c r="DP377" s="798"/>
      <c r="DQ377" s="798"/>
      <c r="DR377" s="798"/>
      <c r="DS377" s="798"/>
      <c r="DT377" s="798"/>
      <c r="DU377" s="798"/>
      <c r="DV377" s="798"/>
      <c r="DW377" s="798"/>
      <c r="DX377" s="798"/>
      <c r="DY377" s="798"/>
      <c r="DZ377" s="798"/>
      <c r="EA377" s="798"/>
      <c r="EB377" s="798"/>
      <c r="EC377" s="798"/>
      <c r="ED377" s="798"/>
      <c r="EE377" s="798"/>
      <c r="EF377" s="798"/>
      <c r="EG377" s="798"/>
      <c r="EH377" s="782"/>
    </row>
    <row r="378" spans="1:138" ht="12.75" customHeight="1" x14ac:dyDescent="0.3">
      <c r="A378" s="782"/>
      <c r="B378" s="796" t="s">
        <v>211</v>
      </c>
      <c r="C378" s="798"/>
      <c r="D378" s="782"/>
      <c r="E378" s="798"/>
      <c r="F378" s="798"/>
      <c r="G378" s="798"/>
      <c r="H378" s="798"/>
      <c r="I378" s="798"/>
      <c r="J378" s="798"/>
      <c r="K378" s="798"/>
      <c r="L378" s="798"/>
      <c r="M378" s="798"/>
      <c r="N378" s="798"/>
      <c r="O378" s="798"/>
      <c r="P378" s="798"/>
      <c r="Q378" s="798"/>
      <c r="R378" s="798"/>
      <c r="S378" s="798"/>
      <c r="T378" s="798"/>
      <c r="U378" s="798"/>
      <c r="V378" s="798"/>
      <c r="W378" s="798"/>
      <c r="X378" s="798"/>
      <c r="Y378" s="798"/>
      <c r="Z378" s="798"/>
      <c r="AA378" s="798"/>
      <c r="AB378" s="798"/>
      <c r="AC378" s="798"/>
      <c r="AD378" s="798"/>
      <c r="AE378" s="798"/>
      <c r="AF378" s="798"/>
      <c r="AG378" s="798"/>
      <c r="AH378" s="798"/>
      <c r="AI378" s="798"/>
      <c r="AJ378" s="798"/>
      <c r="AK378" s="798"/>
      <c r="AL378" s="798"/>
      <c r="AM378" s="798"/>
      <c r="AN378" s="798"/>
      <c r="AO378" s="798"/>
      <c r="AP378" s="798"/>
      <c r="AQ378" s="798"/>
      <c r="AR378" s="798"/>
      <c r="AS378" s="798"/>
      <c r="AT378" s="798"/>
      <c r="AU378" s="798"/>
      <c r="AV378" s="798"/>
      <c r="AW378" s="798"/>
      <c r="AX378" s="798"/>
      <c r="AY378" s="798"/>
      <c r="AZ378" s="798"/>
      <c r="BA378" s="798"/>
      <c r="BB378" s="798"/>
      <c r="BC378" s="798"/>
      <c r="BD378" s="798"/>
      <c r="BE378" s="798"/>
      <c r="BF378" s="798"/>
      <c r="BG378" s="798"/>
      <c r="BH378" s="798"/>
      <c r="BI378" s="798"/>
      <c r="BJ378" s="798"/>
      <c r="BK378" s="798"/>
      <c r="BL378" s="798"/>
      <c r="BM378" s="798"/>
      <c r="BN378" s="798"/>
      <c r="BO378" s="798"/>
      <c r="BP378" s="798"/>
      <c r="BQ378" s="798"/>
      <c r="BR378" s="798"/>
      <c r="BS378" s="798"/>
      <c r="BT378" s="798"/>
      <c r="BU378" s="798"/>
      <c r="BV378" s="798"/>
      <c r="BW378" s="798"/>
      <c r="BX378" s="798"/>
      <c r="BY378" s="798"/>
      <c r="BZ378" s="798"/>
      <c r="CA378" s="798"/>
      <c r="CB378" s="798"/>
      <c r="CC378" s="798"/>
      <c r="CD378" s="798"/>
      <c r="CE378" s="798"/>
      <c r="CF378" s="798"/>
      <c r="CG378" s="798"/>
      <c r="CH378" s="798"/>
      <c r="CI378" s="798"/>
      <c r="CJ378" s="798"/>
      <c r="CK378" s="798"/>
      <c r="CL378" s="798"/>
      <c r="CM378" s="798"/>
      <c r="CN378" s="798"/>
      <c r="CO378" s="798"/>
      <c r="CP378" s="798"/>
      <c r="CQ378" s="798"/>
      <c r="CR378" s="798"/>
      <c r="CS378" s="798"/>
      <c r="CT378" s="798"/>
      <c r="CU378" s="798"/>
      <c r="CV378" s="798"/>
      <c r="CW378" s="798"/>
      <c r="CX378" s="798"/>
      <c r="CY378" s="798"/>
      <c r="CZ378" s="798"/>
      <c r="DA378" s="798"/>
      <c r="DB378" s="798"/>
      <c r="DC378" s="798"/>
      <c r="DD378" s="798"/>
      <c r="DE378" s="798"/>
      <c r="DF378" s="798"/>
      <c r="DG378" s="798"/>
      <c r="DH378" s="798"/>
      <c r="DI378" s="798"/>
      <c r="DJ378" s="798"/>
      <c r="DK378" s="798"/>
      <c r="DL378" s="798"/>
      <c r="DM378" s="798"/>
      <c r="DN378" s="798"/>
      <c r="DO378" s="798"/>
      <c r="DP378" s="798"/>
      <c r="DQ378" s="798"/>
      <c r="DR378" s="798"/>
      <c r="DS378" s="798"/>
      <c r="DT378" s="798"/>
      <c r="DU378" s="798"/>
      <c r="DV378" s="798"/>
      <c r="DW378" s="798"/>
      <c r="DX378" s="798"/>
      <c r="DY378" s="798"/>
      <c r="DZ378" s="798"/>
      <c r="EA378" s="798"/>
      <c r="EB378" s="798"/>
      <c r="EC378" s="798"/>
      <c r="ED378" s="798"/>
      <c r="EE378" s="798"/>
      <c r="EF378" s="798"/>
      <c r="EG378" s="798"/>
      <c r="EH378" s="782"/>
    </row>
    <row r="379" spans="1:138" ht="12.75" customHeight="1" x14ac:dyDescent="0.3">
      <c r="A379" s="782"/>
      <c r="B379" s="782"/>
      <c r="C379" s="798"/>
      <c r="D379" s="782"/>
      <c r="E379" s="798"/>
      <c r="F379" s="798"/>
      <c r="G379" s="798"/>
      <c r="H379" s="798"/>
      <c r="I379" s="798"/>
      <c r="J379" s="798"/>
      <c r="K379" s="798"/>
      <c r="L379" s="798"/>
      <c r="M379" s="798"/>
      <c r="N379" s="798"/>
      <c r="O379" s="798"/>
      <c r="P379" s="798"/>
      <c r="Q379" s="798"/>
      <c r="R379" s="798"/>
      <c r="S379" s="798"/>
      <c r="T379" s="798"/>
      <c r="U379" s="798"/>
      <c r="V379" s="798"/>
      <c r="W379" s="798"/>
      <c r="X379" s="798"/>
      <c r="Y379" s="798"/>
      <c r="Z379" s="798"/>
      <c r="AA379" s="798"/>
      <c r="AB379" s="798"/>
      <c r="AC379" s="798"/>
      <c r="AD379" s="798"/>
      <c r="AE379" s="798"/>
      <c r="AF379" s="798"/>
      <c r="AG379" s="798"/>
      <c r="AH379" s="798"/>
      <c r="AI379" s="798"/>
      <c r="AJ379" s="798"/>
      <c r="AK379" s="798"/>
      <c r="AL379" s="798"/>
      <c r="AM379" s="798"/>
      <c r="AN379" s="798"/>
      <c r="AO379" s="798"/>
      <c r="AP379" s="798"/>
      <c r="AQ379" s="798"/>
      <c r="AR379" s="798"/>
      <c r="AS379" s="798"/>
      <c r="AT379" s="798"/>
      <c r="AU379" s="798"/>
      <c r="AV379" s="798"/>
      <c r="AW379" s="798"/>
      <c r="AX379" s="798"/>
      <c r="AY379" s="798"/>
      <c r="AZ379" s="798"/>
      <c r="BA379" s="798"/>
      <c r="BB379" s="798"/>
      <c r="BC379" s="798"/>
      <c r="BD379" s="798"/>
      <c r="BE379" s="798"/>
      <c r="BF379" s="798"/>
      <c r="BG379" s="798"/>
      <c r="BH379" s="798"/>
      <c r="BI379" s="798"/>
      <c r="BJ379" s="798"/>
      <c r="BK379" s="798"/>
      <c r="BL379" s="798"/>
      <c r="BM379" s="798"/>
      <c r="BN379" s="798"/>
      <c r="BO379" s="798"/>
      <c r="BP379" s="798"/>
      <c r="BQ379" s="798"/>
      <c r="BR379" s="798"/>
      <c r="BS379" s="798"/>
      <c r="BT379" s="798"/>
      <c r="BU379" s="798"/>
      <c r="BV379" s="798"/>
      <c r="BW379" s="798"/>
      <c r="BX379" s="798"/>
      <c r="BY379" s="798"/>
      <c r="BZ379" s="798"/>
      <c r="CA379" s="798"/>
      <c r="CB379" s="798"/>
      <c r="CC379" s="798"/>
      <c r="CD379" s="798"/>
      <c r="CE379" s="798"/>
      <c r="CF379" s="798"/>
      <c r="CG379" s="798"/>
      <c r="CH379" s="798"/>
      <c r="CI379" s="798"/>
      <c r="CJ379" s="798"/>
      <c r="CK379" s="798"/>
      <c r="CL379" s="798"/>
      <c r="CM379" s="798"/>
      <c r="CN379" s="798"/>
      <c r="CO379" s="798"/>
      <c r="CP379" s="798"/>
      <c r="CQ379" s="798"/>
      <c r="CR379" s="798"/>
      <c r="CS379" s="798"/>
      <c r="CT379" s="798"/>
      <c r="CU379" s="798"/>
      <c r="CV379" s="798"/>
      <c r="CW379" s="798"/>
      <c r="CX379" s="798"/>
      <c r="CY379" s="798"/>
      <c r="CZ379" s="798"/>
      <c r="DA379" s="798"/>
      <c r="DB379" s="798"/>
      <c r="DC379" s="798"/>
      <c r="DD379" s="798"/>
      <c r="DE379" s="798"/>
      <c r="DF379" s="798"/>
      <c r="DG379" s="798"/>
      <c r="DH379" s="798"/>
      <c r="DI379" s="798"/>
      <c r="DJ379" s="798"/>
      <c r="DK379" s="798"/>
      <c r="DL379" s="798"/>
      <c r="DM379" s="798"/>
      <c r="DN379" s="798"/>
      <c r="DO379" s="798"/>
      <c r="DP379" s="798"/>
      <c r="DQ379" s="798"/>
      <c r="DR379" s="798"/>
      <c r="DS379" s="798"/>
      <c r="DT379" s="798"/>
      <c r="DU379" s="798"/>
      <c r="DV379" s="798"/>
      <c r="DW379" s="798"/>
      <c r="DX379" s="798"/>
      <c r="DY379" s="798"/>
      <c r="DZ379" s="798"/>
      <c r="EA379" s="798"/>
      <c r="EB379" s="798"/>
      <c r="EC379" s="798"/>
      <c r="ED379" s="798"/>
      <c r="EE379" s="798"/>
      <c r="EF379" s="798"/>
      <c r="EG379" s="798"/>
      <c r="EH379" s="782"/>
    </row>
    <row r="380" spans="1:138" s="182" customFormat="1" ht="12.75" customHeight="1" x14ac:dyDescent="0.3">
      <c r="A380" s="487"/>
      <c r="B380" s="487" t="s">
        <v>217</v>
      </c>
      <c r="C380" s="838">
        <f t="shared" si="297"/>
        <v>42085104.664852917</v>
      </c>
      <c r="D380" s="487"/>
      <c r="E380" s="838">
        <f>E357</f>
        <v>-1459520.0769018831</v>
      </c>
      <c r="F380" s="838">
        <f t="shared" ref="F380:BQ380" si="300">F357</f>
        <v>-11421694.387157971</v>
      </c>
      <c r="G380" s="838">
        <f t="shared" si="300"/>
        <v>-369114.99916858942</v>
      </c>
      <c r="H380" s="838">
        <f t="shared" si="300"/>
        <v>-555086.80631586071</v>
      </c>
      <c r="I380" s="838">
        <f t="shared" si="300"/>
        <v>-935498.05368796352</v>
      </c>
      <c r="J380" s="838">
        <f t="shared" si="300"/>
        <v>-1520128.0247696131</v>
      </c>
      <c r="K380" s="838">
        <f t="shared" si="300"/>
        <v>-1564787.4194152202</v>
      </c>
      <c r="L380" s="838">
        <f t="shared" si="300"/>
        <v>-1991304.9497603511</v>
      </c>
      <c r="M380" s="838">
        <f t="shared" si="300"/>
        <v>-2360495.3169892058</v>
      </c>
      <c r="N380" s="838">
        <f t="shared" si="300"/>
        <v>-2761784.5906149005</v>
      </c>
      <c r="O380" s="838">
        <f t="shared" si="300"/>
        <v>-1574123.1684457453</v>
      </c>
      <c r="P380" s="838">
        <f t="shared" si="300"/>
        <v>-15202.827377578833</v>
      </c>
      <c r="Q380" s="838">
        <f t="shared" si="300"/>
        <v>-16173.914529341831</v>
      </c>
      <c r="R380" s="838">
        <f t="shared" si="300"/>
        <v>-17157.636786895979</v>
      </c>
      <c r="S380" s="838">
        <f t="shared" si="300"/>
        <v>-18151.1014657259</v>
      </c>
      <c r="T380" s="838">
        <f t="shared" si="300"/>
        <v>-19079.299298112302</v>
      </c>
      <c r="U380" s="838">
        <f t="shared" si="300"/>
        <v>-19980.72919213543</v>
      </c>
      <c r="V380" s="838">
        <f t="shared" si="300"/>
        <v>-20814.920220536322</v>
      </c>
      <c r="W380" s="838">
        <f t="shared" si="300"/>
        <v>-21564.773579702716</v>
      </c>
      <c r="X380" s="838">
        <f t="shared" si="300"/>
        <v>-22310.714160245509</v>
      </c>
      <c r="Y380" s="838">
        <f t="shared" si="300"/>
        <v>-22995.24880912013</v>
      </c>
      <c r="Z380" s="838">
        <f t="shared" si="300"/>
        <v>-23571.269754990404</v>
      </c>
      <c r="AA380" s="838">
        <f t="shared" si="300"/>
        <v>-24062.072467745635</v>
      </c>
      <c r="AB380" s="838">
        <f t="shared" si="300"/>
        <v>-24470.072457408431</v>
      </c>
      <c r="AC380" s="838">
        <f t="shared" si="300"/>
        <v>8384.5059293936665</v>
      </c>
      <c r="AD380" s="838">
        <f t="shared" si="300"/>
        <v>38366.358635012235</v>
      </c>
      <c r="AE380" s="838">
        <f t="shared" si="300"/>
        <v>72614.497273708708</v>
      </c>
      <c r="AF380" s="838">
        <f t="shared" si="300"/>
        <v>139782.41588327449</v>
      </c>
      <c r="AG380" s="838">
        <f t="shared" si="300"/>
        <v>142520.81846381401</v>
      </c>
      <c r="AH380" s="838">
        <f t="shared" si="300"/>
        <v>143499.4833160592</v>
      </c>
      <c r="AI380" s="838">
        <f t="shared" si="300"/>
        <v>318898.2726360347</v>
      </c>
      <c r="AJ380" s="838">
        <f t="shared" si="300"/>
        <v>320842.57222426333</v>
      </c>
      <c r="AK380" s="838">
        <f t="shared" si="300"/>
        <v>-4835471.7268272489</v>
      </c>
      <c r="AL380" s="838">
        <f t="shared" si="300"/>
        <v>10750963.273536308</v>
      </c>
      <c r="AM380" s="838">
        <f t="shared" si="300"/>
        <v>154175.30289193612</v>
      </c>
      <c r="AN380" s="838">
        <f t="shared" si="300"/>
        <v>156052.84658401532</v>
      </c>
      <c r="AO380" s="838">
        <f t="shared" si="300"/>
        <v>157905.337072175</v>
      </c>
      <c r="AP380" s="838">
        <f t="shared" si="300"/>
        <v>159126.13046560684</v>
      </c>
      <c r="AQ380" s="838">
        <f t="shared" si="300"/>
        <v>161606.19696258724</v>
      </c>
      <c r="AR380" s="838">
        <f t="shared" si="300"/>
        <v>163727.71915666686</v>
      </c>
      <c r="AS380" s="838">
        <f t="shared" si="300"/>
        <v>160098.98872927978</v>
      </c>
      <c r="AT380" s="838">
        <f t="shared" si="300"/>
        <v>161292.27647302084</v>
      </c>
      <c r="AU380" s="838">
        <f t="shared" si="300"/>
        <v>162414.60989911362</v>
      </c>
      <c r="AV380" s="838">
        <f t="shared" si="300"/>
        <v>164105.21112728768</v>
      </c>
      <c r="AW380" s="838">
        <f t="shared" si="300"/>
        <v>165727.63363498784</v>
      </c>
      <c r="AX380" s="838">
        <f t="shared" si="300"/>
        <v>167255.63194299303</v>
      </c>
      <c r="AY380" s="838">
        <f t="shared" si="300"/>
        <v>168723.96119367678</v>
      </c>
      <c r="AZ380" s="838">
        <f t="shared" si="300"/>
        <v>170137.94049186527</v>
      </c>
      <c r="BA380" s="838">
        <f t="shared" si="300"/>
        <v>171456.94458562406</v>
      </c>
      <c r="BB380" s="838">
        <f t="shared" si="300"/>
        <v>172238.08977063734</v>
      </c>
      <c r="BC380" s="838">
        <f t="shared" si="300"/>
        <v>173888.12389038652</v>
      </c>
      <c r="BD380" s="838">
        <f t="shared" si="300"/>
        <v>175221.59871841667</v>
      </c>
      <c r="BE380" s="838">
        <f t="shared" si="300"/>
        <v>171988.88946342253</v>
      </c>
      <c r="BF380" s="838">
        <f t="shared" si="300"/>
        <v>172663.65734905982</v>
      </c>
      <c r="BG380" s="838">
        <f t="shared" si="300"/>
        <v>173341.15389008564</v>
      </c>
      <c r="BH380" s="838">
        <f t="shared" si="300"/>
        <v>174491.57544100142</v>
      </c>
      <c r="BI380" s="838">
        <f t="shared" si="300"/>
        <v>175660.72232521599</v>
      </c>
      <c r="BJ380" s="838">
        <f t="shared" si="300"/>
        <v>176895.00661635408</v>
      </c>
      <c r="BK380" s="838">
        <f t="shared" si="300"/>
        <v>178184.14107870785</v>
      </c>
      <c r="BL380" s="838">
        <f t="shared" si="300"/>
        <v>179482.67170936364</v>
      </c>
      <c r="BM380" s="838">
        <f t="shared" si="300"/>
        <v>180849.22142402246</v>
      </c>
      <c r="BN380" s="838">
        <f t="shared" si="300"/>
        <v>181743.7622890012</v>
      </c>
      <c r="BO380" s="838">
        <f t="shared" si="300"/>
        <v>183715.10733150679</v>
      </c>
      <c r="BP380" s="838">
        <f t="shared" si="300"/>
        <v>185438.45343957943</v>
      </c>
      <c r="BQ380" s="838">
        <f t="shared" si="300"/>
        <v>182292.67353184964</v>
      </c>
      <c r="BR380" s="838">
        <f t="shared" ref="BR380:EC380" si="301">BR357</f>
        <v>183269.50919075595</v>
      </c>
      <c r="BS380" s="838">
        <f t="shared" si="301"/>
        <v>184230.17562767022</v>
      </c>
      <c r="BT380" s="838">
        <f t="shared" si="301"/>
        <v>185780.21466794828</v>
      </c>
      <c r="BU380" s="838">
        <f t="shared" si="301"/>
        <v>187310.64458086196</v>
      </c>
      <c r="BV380" s="838">
        <f t="shared" si="301"/>
        <v>188860.96976827679</v>
      </c>
      <c r="BW380" s="838">
        <f t="shared" si="301"/>
        <v>190436.24270482885</v>
      </c>
      <c r="BX380" s="838">
        <f t="shared" si="301"/>
        <v>192001.32193139099</v>
      </c>
      <c r="BY380" s="838">
        <f t="shared" si="301"/>
        <v>193593.20006759552</v>
      </c>
      <c r="BZ380" s="838">
        <f t="shared" si="301"/>
        <v>194607.03378064299</v>
      </c>
      <c r="CA380" s="838">
        <f t="shared" si="301"/>
        <v>196795.09556826376</v>
      </c>
      <c r="CB380" s="838">
        <f t="shared" si="301"/>
        <v>198691.23431620785</v>
      </c>
      <c r="CC380" s="838">
        <f t="shared" si="301"/>
        <v>195511.30470261344</v>
      </c>
      <c r="CD380" s="838">
        <f t="shared" si="301"/>
        <v>196586.47257721753</v>
      </c>
      <c r="CE380" s="838">
        <f t="shared" si="301"/>
        <v>197640.21861742294</v>
      </c>
      <c r="CF380" s="838">
        <f t="shared" si="301"/>
        <v>199295.96660206228</v>
      </c>
      <c r="CG380" s="838">
        <f t="shared" si="301"/>
        <v>200944.95458029973</v>
      </c>
      <c r="CH380" s="838">
        <f t="shared" si="301"/>
        <v>202609.10323266854</v>
      </c>
      <c r="CI380" s="838">
        <f t="shared" si="301"/>
        <v>204257.93754540096</v>
      </c>
      <c r="CJ380" s="838">
        <f t="shared" si="301"/>
        <v>205931.68108610384</v>
      </c>
      <c r="CK380" s="838">
        <f t="shared" si="301"/>
        <v>207630.00461851811</v>
      </c>
      <c r="CL380" s="838">
        <f t="shared" si="301"/>
        <v>208710.57000710259</v>
      </c>
      <c r="CM380" s="838">
        <f t="shared" si="301"/>
        <v>211009.40162900416</v>
      </c>
      <c r="CN380" s="838">
        <f t="shared" si="301"/>
        <v>212992.16288272329</v>
      </c>
      <c r="CO380" s="838">
        <f t="shared" si="301"/>
        <v>209734.11069809712</v>
      </c>
      <c r="CP380" s="838">
        <f t="shared" si="301"/>
        <v>210858.97547925983</v>
      </c>
      <c r="CQ380" s="838">
        <f t="shared" si="301"/>
        <v>211961.83655624898</v>
      </c>
      <c r="CR380" s="838">
        <f t="shared" si="301"/>
        <v>213671.71984516139</v>
      </c>
      <c r="CS380" s="838">
        <f t="shared" si="301"/>
        <v>215397.39392359921</v>
      </c>
      <c r="CT380" s="838">
        <f t="shared" si="301"/>
        <v>217148.93780705624</v>
      </c>
      <c r="CU380" s="838">
        <f t="shared" si="301"/>
        <v>218880.08719193298</v>
      </c>
      <c r="CV380" s="838">
        <f t="shared" si="301"/>
        <v>220628.55475225078</v>
      </c>
      <c r="CW380" s="838">
        <f t="shared" si="301"/>
        <v>50224897.951090507</v>
      </c>
      <c r="CX380" s="838">
        <f t="shared" si="301"/>
        <v>0</v>
      </c>
      <c r="CY380" s="838">
        <f t="shared" si="301"/>
        <v>0</v>
      </c>
      <c r="CZ380" s="838">
        <f t="shared" si="301"/>
        <v>0</v>
      </c>
      <c r="DA380" s="838">
        <f t="shared" si="301"/>
        <v>0</v>
      </c>
      <c r="DB380" s="838">
        <f t="shared" si="301"/>
        <v>0</v>
      </c>
      <c r="DC380" s="838">
        <f t="shared" si="301"/>
        <v>0</v>
      </c>
      <c r="DD380" s="838">
        <f t="shared" si="301"/>
        <v>0</v>
      </c>
      <c r="DE380" s="838">
        <f t="shared" si="301"/>
        <v>0</v>
      </c>
      <c r="DF380" s="838">
        <f t="shared" si="301"/>
        <v>0</v>
      </c>
      <c r="DG380" s="838">
        <f t="shared" si="301"/>
        <v>0</v>
      </c>
      <c r="DH380" s="838">
        <f t="shared" si="301"/>
        <v>0</v>
      </c>
      <c r="DI380" s="838">
        <f t="shared" si="301"/>
        <v>0</v>
      </c>
      <c r="DJ380" s="838">
        <f t="shared" si="301"/>
        <v>0</v>
      </c>
      <c r="DK380" s="838">
        <f t="shared" si="301"/>
        <v>0</v>
      </c>
      <c r="DL380" s="838">
        <f t="shared" si="301"/>
        <v>0</v>
      </c>
      <c r="DM380" s="838">
        <f t="shared" si="301"/>
        <v>0</v>
      </c>
      <c r="DN380" s="838">
        <f t="shared" si="301"/>
        <v>0</v>
      </c>
      <c r="DO380" s="838">
        <f t="shared" si="301"/>
        <v>0</v>
      </c>
      <c r="DP380" s="838">
        <f t="shared" si="301"/>
        <v>0</v>
      </c>
      <c r="DQ380" s="838">
        <f t="shared" si="301"/>
        <v>0</v>
      </c>
      <c r="DR380" s="838">
        <f t="shared" si="301"/>
        <v>0</v>
      </c>
      <c r="DS380" s="838">
        <f t="shared" si="301"/>
        <v>0</v>
      </c>
      <c r="DT380" s="838">
        <f t="shared" si="301"/>
        <v>0</v>
      </c>
      <c r="DU380" s="838">
        <f t="shared" si="301"/>
        <v>0</v>
      </c>
      <c r="DV380" s="838">
        <f t="shared" si="301"/>
        <v>0</v>
      </c>
      <c r="DW380" s="838">
        <f t="shared" si="301"/>
        <v>0</v>
      </c>
      <c r="DX380" s="838">
        <f t="shared" si="301"/>
        <v>0</v>
      </c>
      <c r="DY380" s="838">
        <f t="shared" si="301"/>
        <v>0</v>
      </c>
      <c r="DZ380" s="838">
        <f t="shared" si="301"/>
        <v>0</v>
      </c>
      <c r="EA380" s="838">
        <f t="shared" si="301"/>
        <v>0</v>
      </c>
      <c r="EB380" s="838">
        <f t="shared" si="301"/>
        <v>0</v>
      </c>
      <c r="EC380" s="838">
        <f t="shared" si="301"/>
        <v>0</v>
      </c>
      <c r="ED380" s="838">
        <f>ED357</f>
        <v>0</v>
      </c>
      <c r="EE380" s="838">
        <f>EE357</f>
        <v>0</v>
      </c>
      <c r="EF380" s="838">
        <f>EF357</f>
        <v>0</v>
      </c>
      <c r="EG380" s="838">
        <f>EG357</f>
        <v>0</v>
      </c>
      <c r="EH380" s="487"/>
    </row>
    <row r="381" spans="1:138" s="182" customFormat="1" ht="12.75" customHeight="1" x14ac:dyDescent="0.3">
      <c r="A381" s="487"/>
      <c r="B381" s="487" t="s">
        <v>210</v>
      </c>
      <c r="C381" s="838">
        <f t="shared" si="297"/>
        <v>19930088.564773567</v>
      </c>
      <c r="D381" s="487"/>
      <c r="E381" s="838">
        <f>E376</f>
        <v>0</v>
      </c>
      <c r="F381" s="838">
        <f t="shared" ref="F381:BQ381" si="302">F376</f>
        <v>106946.50130477073</v>
      </c>
      <c r="G381" s="838">
        <f t="shared" si="302"/>
        <v>111977.62391078261</v>
      </c>
      <c r="H381" s="838">
        <f t="shared" si="302"/>
        <v>112101.35292555325</v>
      </c>
      <c r="I381" s="838">
        <f t="shared" si="302"/>
        <v>112307.58477505855</v>
      </c>
      <c r="J381" s="838">
        <f t="shared" si="302"/>
        <v>112682.59441739702</v>
      </c>
      <c r="K381" s="838">
        <f t="shared" si="302"/>
        <v>113316.96861314881</v>
      </c>
      <c r="L381" s="838">
        <f t="shared" si="302"/>
        <v>113970.95354109086</v>
      </c>
      <c r="M381" s="838">
        <f t="shared" si="302"/>
        <v>114814.03140630065</v>
      </c>
      <c r="N381" s="838">
        <f t="shared" si="302"/>
        <v>115820.69436505331</v>
      </c>
      <c r="O381" s="838">
        <f t="shared" si="302"/>
        <v>117005.1350733593</v>
      </c>
      <c r="P381" s="838">
        <f t="shared" si="302"/>
        <v>118232.61042267681</v>
      </c>
      <c r="Q381" s="838">
        <f t="shared" si="302"/>
        <v>119525.66950750584</v>
      </c>
      <c r="R381" s="838">
        <f t="shared" si="302"/>
        <v>120835.55259790347</v>
      </c>
      <c r="S381" s="838">
        <f t="shared" si="302"/>
        <v>132158.4088066596</v>
      </c>
      <c r="T381" s="838">
        <f t="shared" si="302"/>
        <v>133394.35769526748</v>
      </c>
      <c r="U381" s="838">
        <f t="shared" si="302"/>
        <v>134594.66424463838</v>
      </c>
      <c r="V381" s="838">
        <f t="shared" si="302"/>
        <v>135705.43744019856</v>
      </c>
      <c r="W381" s="838">
        <f t="shared" si="302"/>
        <v>136703.91056691788</v>
      </c>
      <c r="X381" s="838">
        <f t="shared" si="302"/>
        <v>137697.17401165538</v>
      </c>
      <c r="Y381" s="838">
        <f t="shared" si="302"/>
        <v>138608.67114727461</v>
      </c>
      <c r="Z381" s="838">
        <f t="shared" si="302"/>
        <v>139375.67706202701</v>
      </c>
      <c r="AA381" s="838">
        <f t="shared" si="302"/>
        <v>140029.20862589253</v>
      </c>
      <c r="AB381" s="838">
        <f t="shared" si="302"/>
        <v>141530.91423630624</v>
      </c>
      <c r="AC381" s="838">
        <f t="shared" si="302"/>
        <v>143601.54799151275</v>
      </c>
      <c r="AD381" s="838">
        <f t="shared" si="302"/>
        <v>145325.74232472395</v>
      </c>
      <c r="AE381" s="838">
        <f t="shared" si="302"/>
        <v>40885.527800522075</v>
      </c>
      <c r="AF381" s="838">
        <f t="shared" si="302"/>
        <v>43671.207429545349</v>
      </c>
      <c r="AG381" s="838">
        <f t="shared" si="302"/>
        <v>44158.717841964244</v>
      </c>
      <c r="AH381" s="838">
        <f t="shared" si="302"/>
        <v>44219.164835068965</v>
      </c>
      <c r="AI381" s="838">
        <f t="shared" si="302"/>
        <v>44279.481450211511</v>
      </c>
      <c r="AJ381" s="838">
        <f t="shared" si="302"/>
        <v>44366.266464666565</v>
      </c>
      <c r="AK381" s="838">
        <f t="shared" si="302"/>
        <v>6913179.5107434224</v>
      </c>
      <c r="AL381" s="838">
        <f t="shared" si="302"/>
        <v>54192.047058151904</v>
      </c>
      <c r="AM381" s="838">
        <f t="shared" si="302"/>
        <v>54419.97058968975</v>
      </c>
      <c r="AN381" s="838">
        <f t="shared" si="302"/>
        <v>54644.826947821537</v>
      </c>
      <c r="AO381" s="838">
        <f t="shared" si="302"/>
        <v>54866.186603028589</v>
      </c>
      <c r="AP381" s="838">
        <f t="shared" si="302"/>
        <v>55057.72518381165</v>
      </c>
      <c r="AQ381" s="838">
        <f t="shared" si="302"/>
        <v>55298.073155047387</v>
      </c>
      <c r="AR381" s="838">
        <f t="shared" si="302"/>
        <v>55518.711393125326</v>
      </c>
      <c r="AS381" s="838">
        <f t="shared" si="302"/>
        <v>55696.08660395781</v>
      </c>
      <c r="AT381" s="838">
        <f t="shared" si="302"/>
        <v>55876.860591700752</v>
      </c>
      <c r="AU381" s="838">
        <f t="shared" si="302"/>
        <v>56053.687156209198</v>
      </c>
      <c r="AV381" s="838">
        <f t="shared" si="302"/>
        <v>56250.93407324102</v>
      </c>
      <c r="AW381" s="838">
        <f t="shared" si="302"/>
        <v>56442.453603918533</v>
      </c>
      <c r="AX381" s="838">
        <f t="shared" si="302"/>
        <v>56629.026112167005</v>
      </c>
      <c r="AY381" s="838">
        <f t="shared" si="302"/>
        <v>56811.438274132604</v>
      </c>
      <c r="AZ381" s="838">
        <f t="shared" si="302"/>
        <v>56990.483116683143</v>
      </c>
      <c r="BA381" s="838">
        <f t="shared" si="302"/>
        <v>57166.96005612005</v>
      </c>
      <c r="BB381" s="838">
        <f t="shared" si="302"/>
        <v>57322.670809977324</v>
      </c>
      <c r="BC381" s="838">
        <f t="shared" si="302"/>
        <v>57515.202368091705</v>
      </c>
      <c r="BD381" s="838">
        <f t="shared" si="302"/>
        <v>57698.859685522548</v>
      </c>
      <c r="BE381" s="838">
        <f t="shared" si="302"/>
        <v>57858.305554113831</v>
      </c>
      <c r="BF381" s="838">
        <f t="shared" si="302"/>
        <v>58019.100971470551</v>
      </c>
      <c r="BG381" s="838">
        <f t="shared" si="302"/>
        <v>58182.740291919807</v>
      </c>
      <c r="BH381" s="838">
        <f t="shared" si="302"/>
        <v>58367.462291439646</v>
      </c>
      <c r="BI381" s="838">
        <f t="shared" si="302"/>
        <v>58556.625176253699</v>
      </c>
      <c r="BJ381" s="838">
        <f t="shared" si="302"/>
        <v>58749.975785074173</v>
      </c>
      <c r="BK381" s="838">
        <f t="shared" si="302"/>
        <v>58947.259022716331</v>
      </c>
      <c r="BL381" s="838">
        <f t="shared" si="302"/>
        <v>59148.217849200788</v>
      </c>
      <c r="BM381" s="838">
        <f t="shared" si="302"/>
        <v>59352.593268801167</v>
      </c>
      <c r="BN381" s="838">
        <f t="shared" si="302"/>
        <v>59538.441067399159</v>
      </c>
      <c r="BO381" s="838">
        <f t="shared" si="302"/>
        <v>59769.983923422944</v>
      </c>
      <c r="BP381" s="838">
        <f t="shared" si="302"/>
        <v>59992.458027713306</v>
      </c>
      <c r="BQ381" s="838">
        <f t="shared" si="302"/>
        <v>60183.652805260164</v>
      </c>
      <c r="BR381" s="838">
        <f t="shared" ref="BR381:EC381" si="303">BR376</f>
        <v>60374.332846743062</v>
      </c>
      <c r="BS381" s="838">
        <f t="shared" si="303"/>
        <v>60565.582022861927</v>
      </c>
      <c r="BT381" s="838">
        <f t="shared" si="303"/>
        <v>60780.417768275773</v>
      </c>
      <c r="BU381" s="838">
        <f t="shared" si="303"/>
        <v>60996.175502914572</v>
      </c>
      <c r="BV381" s="838">
        <f t="shared" si="303"/>
        <v>61212.858943662344</v>
      </c>
      <c r="BW381" s="838">
        <f t="shared" si="303"/>
        <v>61430.471822554828</v>
      </c>
      <c r="BX381" s="838">
        <f t="shared" si="303"/>
        <v>61649.017886841699</v>
      </c>
      <c r="BY381" s="838">
        <f t="shared" si="303"/>
        <v>61868.500899048944</v>
      </c>
      <c r="BZ381" s="838">
        <f t="shared" si="303"/>
        <v>62065.330035290492</v>
      </c>
      <c r="CA381" s="838">
        <f t="shared" si="303"/>
        <v>62310.064837306272</v>
      </c>
      <c r="CB381" s="838">
        <f t="shared" si="303"/>
        <v>62543.322449909145</v>
      </c>
      <c r="CC381" s="838">
        <f t="shared" si="303"/>
        <v>62742.595075470148</v>
      </c>
      <c r="CD381" s="838">
        <f t="shared" si="303"/>
        <v>62941.335666347608</v>
      </c>
      <c r="CE381" s="838">
        <f t="shared" si="303"/>
        <v>63140.66867142597</v>
      </c>
      <c r="CF381" s="838">
        <f t="shared" si="303"/>
        <v>63364.584461212879</v>
      </c>
      <c r="CG381" s="838">
        <f t="shared" si="303"/>
        <v>63589.460430972256</v>
      </c>
      <c r="CH381" s="838">
        <f t="shared" si="303"/>
        <v>63815.300452772266</v>
      </c>
      <c r="CI381" s="838">
        <f t="shared" si="303"/>
        <v>64042.108414468508</v>
      </c>
      <c r="CJ381" s="838">
        <f t="shared" si="303"/>
        <v>64269.888219768778</v>
      </c>
      <c r="CK381" s="838">
        <f t="shared" si="303"/>
        <v>64498.643788298228</v>
      </c>
      <c r="CL381" s="838">
        <f t="shared" si="303"/>
        <v>64703.787119524874</v>
      </c>
      <c r="CM381" s="838">
        <f t="shared" si="303"/>
        <v>64958.8602768743</v>
      </c>
      <c r="CN381" s="838">
        <f t="shared" si="303"/>
        <v>65201.970313641854</v>
      </c>
      <c r="CO381" s="838">
        <f t="shared" si="303"/>
        <v>65409.658034625449</v>
      </c>
      <c r="CP381" s="838">
        <f t="shared" si="303"/>
        <v>65616.79540433106</v>
      </c>
      <c r="CQ381" s="838">
        <f t="shared" si="303"/>
        <v>65824.549428494618</v>
      </c>
      <c r="CR381" s="838">
        <f t="shared" si="303"/>
        <v>66057.92453902433</v>
      </c>
      <c r="CS381" s="838">
        <f t="shared" si="303"/>
        <v>66292.299611140625</v>
      </c>
      <c r="CT381" s="838">
        <f t="shared" si="303"/>
        <v>66527.678678597556</v>
      </c>
      <c r="CU381" s="838">
        <f t="shared" si="303"/>
        <v>66764.065791599045</v>
      </c>
      <c r="CV381" s="838">
        <f t="shared" si="303"/>
        <v>67001.465016866379</v>
      </c>
      <c r="CW381" s="838">
        <f t="shared" si="303"/>
        <v>5803386.9673664449</v>
      </c>
      <c r="CX381" s="838">
        <f t="shared" si="303"/>
        <v>0</v>
      </c>
      <c r="CY381" s="838">
        <f t="shared" si="303"/>
        <v>0</v>
      </c>
      <c r="CZ381" s="838">
        <f t="shared" si="303"/>
        <v>0</v>
      </c>
      <c r="DA381" s="838">
        <f t="shared" si="303"/>
        <v>0</v>
      </c>
      <c r="DB381" s="838">
        <f t="shared" si="303"/>
        <v>0</v>
      </c>
      <c r="DC381" s="838">
        <f t="shared" si="303"/>
        <v>0</v>
      </c>
      <c r="DD381" s="838">
        <f t="shared" si="303"/>
        <v>0</v>
      </c>
      <c r="DE381" s="838">
        <f t="shared" si="303"/>
        <v>0</v>
      </c>
      <c r="DF381" s="838">
        <f t="shared" si="303"/>
        <v>0</v>
      </c>
      <c r="DG381" s="838">
        <f t="shared" si="303"/>
        <v>0</v>
      </c>
      <c r="DH381" s="838">
        <f t="shared" si="303"/>
        <v>0</v>
      </c>
      <c r="DI381" s="838">
        <f t="shared" si="303"/>
        <v>0</v>
      </c>
      <c r="DJ381" s="838">
        <f t="shared" si="303"/>
        <v>0</v>
      </c>
      <c r="DK381" s="838">
        <f t="shared" si="303"/>
        <v>0</v>
      </c>
      <c r="DL381" s="838">
        <f t="shared" si="303"/>
        <v>0</v>
      </c>
      <c r="DM381" s="838">
        <f t="shared" si="303"/>
        <v>0</v>
      </c>
      <c r="DN381" s="838">
        <f t="shared" si="303"/>
        <v>0</v>
      </c>
      <c r="DO381" s="838">
        <f t="shared" si="303"/>
        <v>0</v>
      </c>
      <c r="DP381" s="838">
        <f t="shared" si="303"/>
        <v>0</v>
      </c>
      <c r="DQ381" s="838">
        <f t="shared" si="303"/>
        <v>0</v>
      </c>
      <c r="DR381" s="838">
        <f t="shared" si="303"/>
        <v>0</v>
      </c>
      <c r="DS381" s="838">
        <f t="shared" si="303"/>
        <v>0</v>
      </c>
      <c r="DT381" s="838">
        <f t="shared" si="303"/>
        <v>0</v>
      </c>
      <c r="DU381" s="838">
        <f t="shared" si="303"/>
        <v>0</v>
      </c>
      <c r="DV381" s="838">
        <f t="shared" si="303"/>
        <v>0</v>
      </c>
      <c r="DW381" s="838">
        <f t="shared" si="303"/>
        <v>0</v>
      </c>
      <c r="DX381" s="838">
        <f t="shared" si="303"/>
        <v>0</v>
      </c>
      <c r="DY381" s="838">
        <f t="shared" si="303"/>
        <v>0</v>
      </c>
      <c r="DZ381" s="838">
        <f t="shared" si="303"/>
        <v>0</v>
      </c>
      <c r="EA381" s="838">
        <f t="shared" si="303"/>
        <v>0</v>
      </c>
      <c r="EB381" s="838">
        <f t="shared" si="303"/>
        <v>0</v>
      </c>
      <c r="EC381" s="838">
        <f t="shared" si="303"/>
        <v>0</v>
      </c>
      <c r="ED381" s="838">
        <f>ED376</f>
        <v>0</v>
      </c>
      <c r="EE381" s="838">
        <f>EE376</f>
        <v>0</v>
      </c>
      <c r="EF381" s="838">
        <f>EF376</f>
        <v>0</v>
      </c>
      <c r="EG381" s="838">
        <f>EG376</f>
        <v>0</v>
      </c>
      <c r="EH381" s="487"/>
    </row>
    <row r="382" spans="1:138" s="208" customFormat="1" ht="12.75" customHeight="1" x14ac:dyDescent="0.3">
      <c r="A382" s="841"/>
      <c r="B382" s="839" t="s">
        <v>213</v>
      </c>
      <c r="C382" s="840">
        <f t="shared" si="297"/>
        <v>62015193.229626492</v>
      </c>
      <c r="D382" s="839"/>
      <c r="E382" s="840">
        <f>SUM(E380:E381)</f>
        <v>-1459520.0769018831</v>
      </c>
      <c r="F382" s="840">
        <f t="shared" ref="F382:BQ382" si="304">SUM(F380:F381)</f>
        <v>-11314747.885853201</v>
      </c>
      <c r="G382" s="840">
        <f t="shared" si="304"/>
        <v>-257137.37525780679</v>
      </c>
      <c r="H382" s="840">
        <f t="shared" si="304"/>
        <v>-442985.45339030749</v>
      </c>
      <c r="I382" s="840">
        <f t="shared" si="304"/>
        <v>-823190.46891290497</v>
      </c>
      <c r="J382" s="840">
        <f t="shared" si="304"/>
        <v>-1407445.4303522161</v>
      </c>
      <c r="K382" s="840">
        <f t="shared" si="304"/>
        <v>-1451470.4508020713</v>
      </c>
      <c r="L382" s="840">
        <f t="shared" si="304"/>
        <v>-1877333.9962192602</v>
      </c>
      <c r="M382" s="840">
        <f t="shared" si="304"/>
        <v>-2245681.2855829052</v>
      </c>
      <c r="N382" s="840">
        <f t="shared" si="304"/>
        <v>-2645963.896249847</v>
      </c>
      <c r="O382" s="840">
        <f t="shared" si="304"/>
        <v>-1457118.0333723859</v>
      </c>
      <c r="P382" s="840">
        <f t="shared" si="304"/>
        <v>103029.78304509798</v>
      </c>
      <c r="Q382" s="840">
        <f t="shared" si="304"/>
        <v>103351.75497816401</v>
      </c>
      <c r="R382" s="840">
        <f t="shared" si="304"/>
        <v>103677.91581100749</v>
      </c>
      <c r="S382" s="840">
        <f t="shared" si="304"/>
        <v>114007.30734093371</v>
      </c>
      <c r="T382" s="840">
        <f t="shared" si="304"/>
        <v>114315.05839715517</v>
      </c>
      <c r="U382" s="840">
        <f t="shared" si="304"/>
        <v>114613.93505250294</v>
      </c>
      <c r="V382" s="840">
        <f t="shared" si="304"/>
        <v>114890.51721966223</v>
      </c>
      <c r="W382" s="840">
        <f t="shared" si="304"/>
        <v>115139.13698721517</v>
      </c>
      <c r="X382" s="840">
        <f t="shared" si="304"/>
        <v>115386.45985140988</v>
      </c>
      <c r="Y382" s="840">
        <f t="shared" si="304"/>
        <v>115613.42233815449</v>
      </c>
      <c r="Z382" s="840">
        <f t="shared" si="304"/>
        <v>115804.4073070366</v>
      </c>
      <c r="AA382" s="840">
        <f t="shared" si="304"/>
        <v>115967.1361581469</v>
      </c>
      <c r="AB382" s="840">
        <f t="shared" si="304"/>
        <v>117060.84177889781</v>
      </c>
      <c r="AC382" s="840">
        <f t="shared" si="304"/>
        <v>151986.05392090642</v>
      </c>
      <c r="AD382" s="840">
        <f t="shared" si="304"/>
        <v>183692.10095973618</v>
      </c>
      <c r="AE382" s="840">
        <f t="shared" si="304"/>
        <v>113500.02507423078</v>
      </c>
      <c r="AF382" s="840">
        <f t="shared" si="304"/>
        <v>183453.62331281984</v>
      </c>
      <c r="AG382" s="840">
        <f t="shared" si="304"/>
        <v>186679.53630577825</v>
      </c>
      <c r="AH382" s="840">
        <f t="shared" si="304"/>
        <v>187718.64815112815</v>
      </c>
      <c r="AI382" s="840">
        <f t="shared" si="304"/>
        <v>363177.75408624619</v>
      </c>
      <c r="AJ382" s="840">
        <f t="shared" si="304"/>
        <v>365208.83868892991</v>
      </c>
      <c r="AK382" s="840">
        <f t="shared" si="304"/>
        <v>2077707.7839161735</v>
      </c>
      <c r="AL382" s="840">
        <f t="shared" si="304"/>
        <v>10805155.32059446</v>
      </c>
      <c r="AM382" s="840">
        <f t="shared" si="304"/>
        <v>208595.27348162589</v>
      </c>
      <c r="AN382" s="840">
        <f t="shared" si="304"/>
        <v>210697.67353183686</v>
      </c>
      <c r="AO382" s="840">
        <f t="shared" si="304"/>
        <v>212771.52367520359</v>
      </c>
      <c r="AP382" s="840">
        <f t="shared" si="304"/>
        <v>214183.85564941849</v>
      </c>
      <c r="AQ382" s="840">
        <f t="shared" si="304"/>
        <v>216904.27011763462</v>
      </c>
      <c r="AR382" s="840">
        <f t="shared" si="304"/>
        <v>219246.43054979219</v>
      </c>
      <c r="AS382" s="840">
        <f t="shared" si="304"/>
        <v>215795.07533323759</v>
      </c>
      <c r="AT382" s="840">
        <f t="shared" si="304"/>
        <v>217169.13706472161</v>
      </c>
      <c r="AU382" s="840">
        <f t="shared" si="304"/>
        <v>218468.29705532282</v>
      </c>
      <c r="AV382" s="840">
        <f t="shared" si="304"/>
        <v>220356.1452005287</v>
      </c>
      <c r="AW382" s="840">
        <f t="shared" si="304"/>
        <v>222170.08723890636</v>
      </c>
      <c r="AX382" s="840">
        <f t="shared" si="304"/>
        <v>223884.65805516002</v>
      </c>
      <c r="AY382" s="840">
        <f t="shared" si="304"/>
        <v>225535.39946780939</v>
      </c>
      <c r="AZ382" s="840">
        <f t="shared" si="304"/>
        <v>227128.42360854842</v>
      </c>
      <c r="BA382" s="840">
        <f t="shared" si="304"/>
        <v>228623.9046417441</v>
      </c>
      <c r="BB382" s="840">
        <f t="shared" si="304"/>
        <v>229560.76058061467</v>
      </c>
      <c r="BC382" s="840">
        <f t="shared" si="304"/>
        <v>231403.32625847822</v>
      </c>
      <c r="BD382" s="840">
        <f t="shared" si="304"/>
        <v>232920.45840393921</v>
      </c>
      <c r="BE382" s="840">
        <f t="shared" si="304"/>
        <v>229847.19501753635</v>
      </c>
      <c r="BF382" s="840">
        <f t="shared" si="304"/>
        <v>230682.75832053038</v>
      </c>
      <c r="BG382" s="840">
        <f t="shared" si="304"/>
        <v>231523.89418200543</v>
      </c>
      <c r="BH382" s="840">
        <f t="shared" si="304"/>
        <v>232859.03773244107</v>
      </c>
      <c r="BI382" s="840">
        <f t="shared" si="304"/>
        <v>234217.34750146969</v>
      </c>
      <c r="BJ382" s="840">
        <f t="shared" si="304"/>
        <v>235644.98240142825</v>
      </c>
      <c r="BK382" s="840">
        <f t="shared" si="304"/>
        <v>237131.40010142419</v>
      </c>
      <c r="BL382" s="840">
        <f t="shared" si="304"/>
        <v>238630.88955856443</v>
      </c>
      <c r="BM382" s="840">
        <f t="shared" si="304"/>
        <v>240201.81469282362</v>
      </c>
      <c r="BN382" s="840">
        <f t="shared" si="304"/>
        <v>241282.20335640037</v>
      </c>
      <c r="BO382" s="840">
        <f t="shared" si="304"/>
        <v>243485.09125492972</v>
      </c>
      <c r="BP382" s="840">
        <f t="shared" si="304"/>
        <v>245430.91146729275</v>
      </c>
      <c r="BQ382" s="840">
        <f t="shared" si="304"/>
        <v>242476.32633710979</v>
      </c>
      <c r="BR382" s="840">
        <f t="shared" ref="BR382:EC382" si="305">SUM(BR380:BR381)</f>
        <v>243643.84203749901</v>
      </c>
      <c r="BS382" s="840">
        <f t="shared" si="305"/>
        <v>244795.75765053215</v>
      </c>
      <c r="BT382" s="840">
        <f t="shared" si="305"/>
        <v>246560.63243622406</v>
      </c>
      <c r="BU382" s="840">
        <f t="shared" si="305"/>
        <v>248306.82008377655</v>
      </c>
      <c r="BV382" s="840">
        <f t="shared" si="305"/>
        <v>250073.82871193913</v>
      </c>
      <c r="BW382" s="840">
        <f t="shared" si="305"/>
        <v>251866.71452738368</v>
      </c>
      <c r="BX382" s="840">
        <f t="shared" si="305"/>
        <v>253650.33981823269</v>
      </c>
      <c r="BY382" s="840">
        <f t="shared" si="305"/>
        <v>255461.70096664445</v>
      </c>
      <c r="BZ382" s="840">
        <f t="shared" si="305"/>
        <v>256672.36381593347</v>
      </c>
      <c r="CA382" s="840">
        <f t="shared" si="305"/>
        <v>259105.16040557003</v>
      </c>
      <c r="CB382" s="840">
        <f t="shared" si="305"/>
        <v>261234.55676611699</v>
      </c>
      <c r="CC382" s="840">
        <f t="shared" si="305"/>
        <v>258253.89977808361</v>
      </c>
      <c r="CD382" s="840">
        <f t="shared" si="305"/>
        <v>259527.80824356514</v>
      </c>
      <c r="CE382" s="840">
        <f t="shared" si="305"/>
        <v>260780.88728884893</v>
      </c>
      <c r="CF382" s="840">
        <f t="shared" si="305"/>
        <v>262660.55106327514</v>
      </c>
      <c r="CG382" s="840">
        <f t="shared" si="305"/>
        <v>264534.41501127201</v>
      </c>
      <c r="CH382" s="840">
        <f t="shared" si="305"/>
        <v>266424.40368544078</v>
      </c>
      <c r="CI382" s="840">
        <f t="shared" si="305"/>
        <v>268300.04595986946</v>
      </c>
      <c r="CJ382" s="840">
        <f t="shared" si="305"/>
        <v>270201.5693058726</v>
      </c>
      <c r="CK382" s="840">
        <f t="shared" si="305"/>
        <v>272128.64840681636</v>
      </c>
      <c r="CL382" s="840">
        <f t="shared" si="305"/>
        <v>273414.35712662747</v>
      </c>
      <c r="CM382" s="840">
        <f t="shared" si="305"/>
        <v>275968.26190587843</v>
      </c>
      <c r="CN382" s="840">
        <f t="shared" si="305"/>
        <v>278194.13319636515</v>
      </c>
      <c r="CO382" s="840">
        <f t="shared" si="305"/>
        <v>275143.76873272256</v>
      </c>
      <c r="CP382" s="840">
        <f t="shared" si="305"/>
        <v>276475.77088359091</v>
      </c>
      <c r="CQ382" s="840">
        <f t="shared" si="305"/>
        <v>277786.3859847436</v>
      </c>
      <c r="CR382" s="840">
        <f t="shared" si="305"/>
        <v>279729.64438418573</v>
      </c>
      <c r="CS382" s="840">
        <f t="shared" si="305"/>
        <v>281689.69353473984</v>
      </c>
      <c r="CT382" s="840">
        <f t="shared" si="305"/>
        <v>283676.61648565379</v>
      </c>
      <c r="CU382" s="840">
        <f t="shared" si="305"/>
        <v>285644.15298353205</v>
      </c>
      <c r="CV382" s="840">
        <f t="shared" si="305"/>
        <v>287630.01976911718</v>
      </c>
      <c r="CW382" s="840">
        <f t="shared" si="305"/>
        <v>56028284.918456949</v>
      </c>
      <c r="CX382" s="840">
        <f t="shared" si="305"/>
        <v>0</v>
      </c>
      <c r="CY382" s="840">
        <f t="shared" si="305"/>
        <v>0</v>
      </c>
      <c r="CZ382" s="840">
        <f t="shared" si="305"/>
        <v>0</v>
      </c>
      <c r="DA382" s="840">
        <f t="shared" si="305"/>
        <v>0</v>
      </c>
      <c r="DB382" s="840">
        <f t="shared" si="305"/>
        <v>0</v>
      </c>
      <c r="DC382" s="840">
        <f t="shared" si="305"/>
        <v>0</v>
      </c>
      <c r="DD382" s="840">
        <f t="shared" si="305"/>
        <v>0</v>
      </c>
      <c r="DE382" s="840">
        <f t="shared" si="305"/>
        <v>0</v>
      </c>
      <c r="DF382" s="840">
        <f t="shared" si="305"/>
        <v>0</v>
      </c>
      <c r="DG382" s="840">
        <f t="shared" si="305"/>
        <v>0</v>
      </c>
      <c r="DH382" s="840">
        <f t="shared" si="305"/>
        <v>0</v>
      </c>
      <c r="DI382" s="840">
        <f t="shared" si="305"/>
        <v>0</v>
      </c>
      <c r="DJ382" s="840">
        <f t="shared" si="305"/>
        <v>0</v>
      </c>
      <c r="DK382" s="840">
        <f t="shared" si="305"/>
        <v>0</v>
      </c>
      <c r="DL382" s="840">
        <f t="shared" si="305"/>
        <v>0</v>
      </c>
      <c r="DM382" s="840">
        <f t="shared" si="305"/>
        <v>0</v>
      </c>
      <c r="DN382" s="840">
        <f t="shared" si="305"/>
        <v>0</v>
      </c>
      <c r="DO382" s="840">
        <f t="shared" si="305"/>
        <v>0</v>
      </c>
      <c r="DP382" s="840">
        <f t="shared" si="305"/>
        <v>0</v>
      </c>
      <c r="DQ382" s="840">
        <f t="shared" si="305"/>
        <v>0</v>
      </c>
      <c r="DR382" s="840">
        <f t="shared" si="305"/>
        <v>0</v>
      </c>
      <c r="DS382" s="840">
        <f t="shared" si="305"/>
        <v>0</v>
      </c>
      <c r="DT382" s="840">
        <f t="shared" si="305"/>
        <v>0</v>
      </c>
      <c r="DU382" s="840">
        <f t="shared" si="305"/>
        <v>0</v>
      </c>
      <c r="DV382" s="840">
        <f t="shared" si="305"/>
        <v>0</v>
      </c>
      <c r="DW382" s="840">
        <f t="shared" si="305"/>
        <v>0</v>
      </c>
      <c r="DX382" s="840">
        <f t="shared" si="305"/>
        <v>0</v>
      </c>
      <c r="DY382" s="840">
        <f t="shared" si="305"/>
        <v>0</v>
      </c>
      <c r="DZ382" s="840">
        <f t="shared" si="305"/>
        <v>0</v>
      </c>
      <c r="EA382" s="840">
        <f t="shared" si="305"/>
        <v>0</v>
      </c>
      <c r="EB382" s="840">
        <f t="shared" si="305"/>
        <v>0</v>
      </c>
      <c r="EC382" s="840">
        <f t="shared" si="305"/>
        <v>0</v>
      </c>
      <c r="ED382" s="840">
        <f>SUM(ED380:ED381)</f>
        <v>0</v>
      </c>
      <c r="EE382" s="840">
        <f>SUM(EE380:EE381)</f>
        <v>0</v>
      </c>
      <c r="EF382" s="840">
        <f>SUM(EF380:EF381)</f>
        <v>0</v>
      </c>
      <c r="EG382" s="840">
        <f>SUM(EG380:EG381)</f>
        <v>0</v>
      </c>
      <c r="EH382" s="841"/>
    </row>
    <row r="383" spans="1:138" s="208" customFormat="1" ht="12.75" customHeight="1" x14ac:dyDescent="0.3">
      <c r="A383" s="841"/>
      <c r="B383" s="842" t="s">
        <v>214</v>
      </c>
      <c r="C383" s="843">
        <f>XIRR(OFFSET(E382,0,$C$141):EG382,OFFSET($E$4,0,$C$141):$EG$4)</f>
        <v>0.24556238055229185</v>
      </c>
      <c r="D383" s="841"/>
      <c r="E383" s="844"/>
      <c r="F383" s="844"/>
      <c r="G383" s="844"/>
      <c r="H383" s="844"/>
      <c r="I383" s="844"/>
      <c r="J383" s="844"/>
      <c r="K383" s="844"/>
      <c r="L383" s="844"/>
      <c r="M383" s="844"/>
      <c r="N383" s="844"/>
      <c r="O383" s="844"/>
      <c r="P383" s="844"/>
      <c r="Q383" s="844"/>
      <c r="R383" s="844"/>
      <c r="S383" s="844"/>
      <c r="T383" s="844"/>
      <c r="U383" s="844"/>
      <c r="V383" s="844"/>
      <c r="W383" s="844"/>
      <c r="X383" s="844"/>
      <c r="Y383" s="844"/>
      <c r="Z383" s="844"/>
      <c r="AA383" s="844"/>
      <c r="AB383" s="844"/>
      <c r="AC383" s="844"/>
      <c r="AD383" s="844"/>
      <c r="AE383" s="844"/>
      <c r="AF383" s="844"/>
      <c r="AG383" s="844"/>
      <c r="AH383" s="844"/>
      <c r="AI383" s="844"/>
      <c r="AJ383" s="844"/>
      <c r="AK383" s="844"/>
      <c r="AL383" s="844"/>
      <c r="AM383" s="844"/>
      <c r="AN383" s="844"/>
      <c r="AO383" s="844"/>
      <c r="AP383" s="844"/>
      <c r="AQ383" s="844"/>
      <c r="AR383" s="844"/>
      <c r="AS383" s="844"/>
      <c r="AT383" s="844"/>
      <c r="AU383" s="844"/>
      <c r="AV383" s="844"/>
      <c r="AW383" s="844"/>
      <c r="AX383" s="844"/>
      <c r="AY383" s="844"/>
      <c r="AZ383" s="844"/>
      <c r="BA383" s="844"/>
      <c r="BB383" s="844"/>
      <c r="BC383" s="844"/>
      <c r="BD383" s="844"/>
      <c r="BE383" s="844"/>
      <c r="BF383" s="844"/>
      <c r="BG383" s="844"/>
      <c r="BH383" s="844"/>
      <c r="BI383" s="844"/>
      <c r="BJ383" s="844"/>
      <c r="BK383" s="844"/>
      <c r="BL383" s="844"/>
      <c r="BM383" s="844"/>
      <c r="BN383" s="844"/>
      <c r="BO383" s="844"/>
      <c r="BP383" s="844"/>
      <c r="BQ383" s="844"/>
      <c r="BR383" s="844"/>
      <c r="BS383" s="844"/>
      <c r="BT383" s="844"/>
      <c r="BU383" s="844"/>
      <c r="BV383" s="844"/>
      <c r="BW383" s="844"/>
      <c r="BX383" s="844"/>
      <c r="BY383" s="844"/>
      <c r="BZ383" s="844"/>
      <c r="CA383" s="844"/>
      <c r="CB383" s="844"/>
      <c r="CC383" s="844"/>
      <c r="CD383" s="844"/>
      <c r="CE383" s="844"/>
      <c r="CF383" s="844"/>
      <c r="CG383" s="844"/>
      <c r="CH383" s="844"/>
      <c r="CI383" s="844"/>
      <c r="CJ383" s="844"/>
      <c r="CK383" s="844"/>
      <c r="CL383" s="844"/>
      <c r="CM383" s="844"/>
      <c r="CN383" s="844"/>
      <c r="CO383" s="844"/>
      <c r="CP383" s="844"/>
      <c r="CQ383" s="844"/>
      <c r="CR383" s="844"/>
      <c r="CS383" s="844"/>
      <c r="CT383" s="844"/>
      <c r="CU383" s="844"/>
      <c r="CV383" s="844"/>
      <c r="CW383" s="844"/>
      <c r="CX383" s="844"/>
      <c r="CY383" s="844"/>
      <c r="CZ383" s="844"/>
      <c r="DA383" s="844"/>
      <c r="DB383" s="844"/>
      <c r="DC383" s="844"/>
      <c r="DD383" s="844"/>
      <c r="DE383" s="844"/>
      <c r="DF383" s="844"/>
      <c r="DG383" s="844"/>
      <c r="DH383" s="844"/>
      <c r="DI383" s="844"/>
      <c r="DJ383" s="844"/>
      <c r="DK383" s="844"/>
      <c r="DL383" s="844"/>
      <c r="DM383" s="844"/>
      <c r="DN383" s="844"/>
      <c r="DO383" s="844"/>
      <c r="DP383" s="844"/>
      <c r="DQ383" s="844"/>
      <c r="DR383" s="844"/>
      <c r="DS383" s="844"/>
      <c r="DT383" s="844"/>
      <c r="DU383" s="844"/>
      <c r="DV383" s="844"/>
      <c r="DW383" s="844"/>
      <c r="DX383" s="844"/>
      <c r="DY383" s="844"/>
      <c r="DZ383" s="844"/>
      <c r="EA383" s="844"/>
      <c r="EB383" s="844"/>
      <c r="EC383" s="844"/>
      <c r="ED383" s="844"/>
      <c r="EE383" s="844"/>
      <c r="EF383" s="844"/>
      <c r="EG383" s="844"/>
      <c r="EH383" s="841"/>
    </row>
    <row r="384" spans="1:138" s="208" customFormat="1" ht="12.75" customHeight="1" x14ac:dyDescent="0.3">
      <c r="A384" s="841"/>
      <c r="B384" s="845" t="s">
        <v>204</v>
      </c>
      <c r="C384" s="846">
        <f>SUMIF($E$382:$EG$382,"&gt;0")/-SUMIF($E$382:$EG$382,"&lt;0")</f>
        <v>3.4432172837586199</v>
      </c>
      <c r="D384" s="841"/>
      <c r="E384" s="844"/>
      <c r="F384" s="844"/>
      <c r="G384" s="844"/>
      <c r="H384" s="844"/>
      <c r="I384" s="844"/>
      <c r="J384" s="844"/>
      <c r="K384" s="844"/>
      <c r="L384" s="844"/>
      <c r="M384" s="844"/>
      <c r="N384" s="844"/>
      <c r="O384" s="844"/>
      <c r="P384" s="844"/>
      <c r="Q384" s="844"/>
      <c r="R384" s="844"/>
      <c r="S384" s="844"/>
      <c r="T384" s="844"/>
      <c r="U384" s="844"/>
      <c r="V384" s="844"/>
      <c r="W384" s="844"/>
      <c r="X384" s="844"/>
      <c r="Y384" s="844"/>
      <c r="Z384" s="844"/>
      <c r="AA384" s="844"/>
      <c r="AB384" s="844"/>
      <c r="AC384" s="844"/>
      <c r="AD384" s="844"/>
      <c r="AE384" s="844"/>
      <c r="AF384" s="844"/>
      <c r="AG384" s="844"/>
      <c r="AH384" s="844"/>
      <c r="AI384" s="844"/>
      <c r="AJ384" s="844"/>
      <c r="AK384" s="844"/>
      <c r="AL384" s="844"/>
      <c r="AM384" s="844"/>
      <c r="AN384" s="844"/>
      <c r="AO384" s="844"/>
      <c r="AP384" s="844"/>
      <c r="AQ384" s="844"/>
      <c r="AR384" s="844"/>
      <c r="AS384" s="844"/>
      <c r="AT384" s="844"/>
      <c r="AU384" s="844"/>
      <c r="AV384" s="844"/>
      <c r="AW384" s="844"/>
      <c r="AX384" s="844"/>
      <c r="AY384" s="844"/>
      <c r="AZ384" s="844"/>
      <c r="BA384" s="844"/>
      <c r="BB384" s="844"/>
      <c r="BC384" s="844"/>
      <c r="BD384" s="844"/>
      <c r="BE384" s="844"/>
      <c r="BF384" s="844"/>
      <c r="BG384" s="844"/>
      <c r="BH384" s="844"/>
      <c r="BI384" s="844"/>
      <c r="BJ384" s="844"/>
      <c r="BK384" s="844"/>
      <c r="BL384" s="844"/>
      <c r="BM384" s="844"/>
      <c r="BN384" s="844"/>
      <c r="BO384" s="844"/>
      <c r="BP384" s="844"/>
      <c r="BQ384" s="844"/>
      <c r="BR384" s="844"/>
      <c r="BS384" s="844"/>
      <c r="BT384" s="844"/>
      <c r="BU384" s="844"/>
      <c r="BV384" s="844"/>
      <c r="BW384" s="844"/>
      <c r="BX384" s="844"/>
      <c r="BY384" s="844"/>
      <c r="BZ384" s="844"/>
      <c r="CA384" s="844"/>
      <c r="CB384" s="844"/>
      <c r="CC384" s="844"/>
      <c r="CD384" s="844"/>
      <c r="CE384" s="844"/>
      <c r="CF384" s="844"/>
      <c r="CG384" s="844"/>
      <c r="CH384" s="844"/>
      <c r="CI384" s="844"/>
      <c r="CJ384" s="844"/>
      <c r="CK384" s="844"/>
      <c r="CL384" s="844"/>
      <c r="CM384" s="844"/>
      <c r="CN384" s="844"/>
      <c r="CO384" s="844"/>
      <c r="CP384" s="844"/>
      <c r="CQ384" s="844"/>
      <c r="CR384" s="844"/>
      <c r="CS384" s="844"/>
      <c r="CT384" s="844"/>
      <c r="CU384" s="844"/>
      <c r="CV384" s="844"/>
      <c r="CW384" s="844"/>
      <c r="CX384" s="844"/>
      <c r="CY384" s="844"/>
      <c r="CZ384" s="844"/>
      <c r="DA384" s="844"/>
      <c r="DB384" s="844"/>
      <c r="DC384" s="844"/>
      <c r="DD384" s="844"/>
      <c r="DE384" s="844"/>
      <c r="DF384" s="844"/>
      <c r="DG384" s="844"/>
      <c r="DH384" s="844"/>
      <c r="DI384" s="844"/>
      <c r="DJ384" s="844"/>
      <c r="DK384" s="844"/>
      <c r="DL384" s="844"/>
      <c r="DM384" s="844"/>
      <c r="DN384" s="844"/>
      <c r="DO384" s="844"/>
      <c r="DP384" s="844"/>
      <c r="DQ384" s="844"/>
      <c r="DR384" s="844"/>
      <c r="DS384" s="844"/>
      <c r="DT384" s="844"/>
      <c r="DU384" s="844"/>
      <c r="DV384" s="844"/>
      <c r="DW384" s="844"/>
      <c r="DX384" s="844"/>
      <c r="DY384" s="844"/>
      <c r="DZ384" s="844"/>
      <c r="EA384" s="844"/>
      <c r="EB384" s="844"/>
      <c r="EC384" s="844"/>
      <c r="ED384" s="844"/>
      <c r="EE384" s="844"/>
      <c r="EF384" s="844"/>
      <c r="EG384" s="844"/>
      <c r="EH384" s="841"/>
    </row>
    <row r="385" spans="1:138" ht="12.75" customHeight="1" x14ac:dyDescent="0.3">
      <c r="A385" s="782"/>
      <c r="B385" s="847"/>
      <c r="C385" s="798"/>
      <c r="D385" s="782"/>
      <c r="E385" s="798"/>
      <c r="F385" s="798"/>
      <c r="G385" s="798"/>
      <c r="H385" s="798"/>
      <c r="I385" s="798"/>
      <c r="J385" s="798"/>
      <c r="K385" s="798"/>
      <c r="L385" s="798"/>
      <c r="M385" s="798"/>
      <c r="N385" s="798"/>
      <c r="O385" s="798"/>
      <c r="P385" s="798"/>
      <c r="Q385" s="798"/>
      <c r="R385" s="798"/>
      <c r="S385" s="798"/>
      <c r="T385" s="798"/>
      <c r="U385" s="798"/>
      <c r="V385" s="798"/>
      <c r="W385" s="798"/>
      <c r="X385" s="798"/>
      <c r="Y385" s="798"/>
      <c r="Z385" s="798"/>
      <c r="AA385" s="798"/>
      <c r="AB385" s="798"/>
      <c r="AC385" s="798"/>
      <c r="AD385" s="798"/>
      <c r="AE385" s="798"/>
      <c r="AF385" s="798"/>
      <c r="AG385" s="798"/>
      <c r="AH385" s="798"/>
      <c r="AI385" s="798"/>
      <c r="AJ385" s="798"/>
      <c r="AK385" s="798"/>
      <c r="AL385" s="798"/>
      <c r="AM385" s="798"/>
      <c r="AN385" s="798"/>
      <c r="AO385" s="798"/>
      <c r="AP385" s="798"/>
      <c r="AQ385" s="798"/>
      <c r="AR385" s="798"/>
      <c r="AS385" s="798"/>
      <c r="AT385" s="798"/>
      <c r="AU385" s="798"/>
      <c r="AV385" s="798"/>
      <c r="AW385" s="798"/>
      <c r="AX385" s="798"/>
      <c r="AY385" s="798"/>
      <c r="AZ385" s="798"/>
      <c r="BA385" s="798"/>
      <c r="BB385" s="798"/>
      <c r="BC385" s="798"/>
      <c r="BD385" s="798"/>
      <c r="BE385" s="798"/>
      <c r="BF385" s="798"/>
      <c r="BG385" s="798"/>
      <c r="BH385" s="798"/>
      <c r="BI385" s="798"/>
      <c r="BJ385" s="798"/>
      <c r="BK385" s="798"/>
      <c r="BL385" s="798"/>
      <c r="BM385" s="798"/>
      <c r="BN385" s="798"/>
      <c r="BO385" s="798"/>
      <c r="BP385" s="798"/>
      <c r="BQ385" s="798"/>
      <c r="BR385" s="798"/>
      <c r="BS385" s="798"/>
      <c r="BT385" s="798"/>
      <c r="BU385" s="798"/>
      <c r="BV385" s="798"/>
      <c r="BW385" s="798"/>
      <c r="BX385" s="798"/>
      <c r="BY385" s="798"/>
      <c r="BZ385" s="798"/>
      <c r="CA385" s="798"/>
      <c r="CB385" s="798"/>
      <c r="CC385" s="798"/>
      <c r="CD385" s="798"/>
      <c r="CE385" s="798"/>
      <c r="CF385" s="798"/>
      <c r="CG385" s="798"/>
      <c r="CH385" s="798"/>
      <c r="CI385" s="798"/>
      <c r="CJ385" s="798"/>
      <c r="CK385" s="798"/>
      <c r="CL385" s="798"/>
      <c r="CM385" s="798"/>
      <c r="CN385" s="798"/>
      <c r="CO385" s="798"/>
      <c r="CP385" s="798"/>
      <c r="CQ385" s="798"/>
      <c r="CR385" s="798"/>
      <c r="CS385" s="798"/>
      <c r="CT385" s="798"/>
      <c r="CU385" s="798"/>
      <c r="CV385" s="798"/>
      <c r="CW385" s="798"/>
      <c r="CX385" s="798"/>
      <c r="CY385" s="798"/>
      <c r="CZ385" s="798"/>
      <c r="DA385" s="798"/>
      <c r="DB385" s="798"/>
      <c r="DC385" s="798"/>
      <c r="DD385" s="798"/>
      <c r="DE385" s="798"/>
      <c r="DF385" s="798"/>
      <c r="DG385" s="798"/>
      <c r="DH385" s="798"/>
      <c r="DI385" s="798"/>
      <c r="DJ385" s="798"/>
      <c r="DK385" s="798"/>
      <c r="DL385" s="798"/>
      <c r="DM385" s="798"/>
      <c r="DN385" s="798"/>
      <c r="DO385" s="798"/>
      <c r="DP385" s="798"/>
      <c r="DQ385" s="798"/>
      <c r="DR385" s="798"/>
      <c r="DS385" s="798"/>
      <c r="DT385" s="798"/>
      <c r="DU385" s="798"/>
      <c r="DV385" s="798"/>
      <c r="DW385" s="798"/>
      <c r="DX385" s="798"/>
      <c r="DY385" s="798"/>
      <c r="DZ385" s="798"/>
      <c r="EA385" s="798"/>
      <c r="EB385" s="798"/>
      <c r="EC385" s="798"/>
      <c r="ED385" s="798"/>
      <c r="EE385" s="798"/>
      <c r="EF385" s="798"/>
      <c r="EG385" s="798"/>
      <c r="EH385" s="782"/>
    </row>
    <row r="386" spans="1:138" ht="12.75" customHeight="1" x14ac:dyDescent="0.3">
      <c r="A386" s="1378"/>
      <c r="B386" s="1379" t="s">
        <v>337</v>
      </c>
      <c r="C386" s="1380"/>
      <c r="D386" s="1381"/>
      <c r="E386" s="1380"/>
      <c r="F386" s="1380"/>
      <c r="G386" s="1380"/>
      <c r="H386" s="1380"/>
      <c r="I386" s="1380"/>
      <c r="J386" s="1380"/>
      <c r="K386" s="1380"/>
      <c r="L386" s="1380"/>
      <c r="M386" s="1380"/>
      <c r="N386" s="1380"/>
      <c r="O386" s="1380"/>
      <c r="P386" s="1380"/>
      <c r="Q386" s="1380"/>
      <c r="R386" s="1380"/>
      <c r="S386" s="1380"/>
      <c r="T386" s="1380"/>
      <c r="U386" s="1380"/>
      <c r="V386" s="1380"/>
      <c r="W386" s="1380"/>
      <c r="X386" s="1380"/>
      <c r="Y386" s="1380"/>
      <c r="Z386" s="1380"/>
      <c r="AA386" s="1380"/>
      <c r="AB386" s="1380"/>
      <c r="AC386" s="1380"/>
      <c r="AD386" s="1380"/>
      <c r="AE386" s="1380"/>
      <c r="AF386" s="1380"/>
      <c r="AG386" s="1380"/>
      <c r="AH386" s="1380"/>
      <c r="AI386" s="1380"/>
      <c r="AJ386" s="1380"/>
      <c r="AK386" s="1380"/>
      <c r="AL386" s="1380"/>
      <c r="AM386" s="1380"/>
      <c r="AN386" s="1380"/>
      <c r="AO386" s="1380"/>
      <c r="AP386" s="1380"/>
      <c r="AQ386" s="1380"/>
      <c r="AR386" s="1380"/>
      <c r="AS386" s="1380"/>
      <c r="AT386" s="1380"/>
      <c r="AU386" s="1380"/>
      <c r="AV386" s="1380"/>
      <c r="AW386" s="1380"/>
      <c r="AX386" s="1380"/>
      <c r="AY386" s="1380"/>
      <c r="AZ386" s="1380"/>
      <c r="BA386" s="1380"/>
      <c r="BB386" s="1380"/>
      <c r="BC386" s="1380"/>
      <c r="BD386" s="1380"/>
      <c r="BE386" s="1380"/>
      <c r="BF386" s="1380"/>
      <c r="BG386" s="1380"/>
      <c r="BH386" s="1380"/>
      <c r="BI386" s="1380"/>
      <c r="BJ386" s="1380"/>
      <c r="BK386" s="1380"/>
      <c r="BL386" s="1380"/>
      <c r="BM386" s="1380"/>
      <c r="BN386" s="1380"/>
      <c r="BO386" s="1380"/>
      <c r="BP386" s="1380"/>
      <c r="BQ386" s="1380"/>
      <c r="BR386" s="1380"/>
      <c r="BS386" s="1380"/>
      <c r="BT386" s="1380"/>
      <c r="BU386" s="1380"/>
      <c r="BV386" s="1380"/>
      <c r="BW386" s="1380"/>
      <c r="BX386" s="1380"/>
      <c r="BY386" s="1380"/>
      <c r="BZ386" s="1380"/>
      <c r="CA386" s="1380"/>
      <c r="CB386" s="1380"/>
      <c r="CC386" s="1380"/>
      <c r="CD386" s="1380"/>
      <c r="CE386" s="1380"/>
      <c r="CF386" s="1380"/>
      <c r="CG386" s="1380"/>
      <c r="CH386" s="1380"/>
      <c r="CI386" s="1380"/>
      <c r="CJ386" s="1380"/>
      <c r="CK386" s="1380"/>
      <c r="CL386" s="1380"/>
      <c r="CM386" s="1380"/>
      <c r="CN386" s="1380"/>
      <c r="CO386" s="1380"/>
      <c r="CP386" s="1380"/>
      <c r="CQ386" s="1380"/>
      <c r="CR386" s="1380"/>
      <c r="CS386" s="1380"/>
      <c r="CT386" s="1380"/>
      <c r="CU386" s="1380"/>
      <c r="CV386" s="1380"/>
      <c r="CW386" s="1380"/>
      <c r="CX386" s="1380"/>
      <c r="CY386" s="1380"/>
      <c r="CZ386" s="1380"/>
      <c r="DA386" s="1380"/>
      <c r="DB386" s="1380"/>
      <c r="DC386" s="1380"/>
      <c r="DD386" s="1380"/>
      <c r="DE386" s="1380"/>
      <c r="DF386" s="1380"/>
      <c r="DG386" s="1380"/>
      <c r="DH386" s="1380"/>
      <c r="DI386" s="1380"/>
      <c r="DJ386" s="1380"/>
      <c r="DK386" s="1380"/>
      <c r="DL386" s="1380"/>
      <c r="DM386" s="1380"/>
      <c r="DN386" s="1380"/>
      <c r="DO386" s="1380"/>
      <c r="DP386" s="1380"/>
      <c r="DQ386" s="1380"/>
      <c r="DR386" s="1380"/>
      <c r="DS386" s="1380"/>
      <c r="DT386" s="1380"/>
      <c r="DU386" s="1380"/>
      <c r="DV386" s="1380"/>
      <c r="DW386" s="1380"/>
      <c r="DX386" s="1380"/>
      <c r="DY386" s="1380"/>
      <c r="DZ386" s="1380"/>
      <c r="EA386" s="1380"/>
      <c r="EB386" s="1380"/>
      <c r="EC386" s="1380"/>
      <c r="ED386" s="1380"/>
      <c r="EE386" s="1380"/>
      <c r="EF386" s="1380"/>
      <c r="EG386" s="1380"/>
      <c r="EH386" s="782"/>
    </row>
    <row r="387" spans="1:138" ht="12.75" customHeight="1" x14ac:dyDescent="0.3">
      <c r="A387" s="782" t="s">
        <v>338</v>
      </c>
      <c r="B387" s="796" t="s">
        <v>267</v>
      </c>
      <c r="C387" s="798"/>
      <c r="D387" s="782"/>
      <c r="E387" s="798"/>
      <c r="F387" s="798"/>
      <c r="G387" s="798"/>
      <c r="H387" s="798"/>
      <c r="I387" s="798"/>
      <c r="J387" s="798"/>
      <c r="K387" s="798"/>
      <c r="L387" s="798"/>
      <c r="M387" s="798"/>
      <c r="N387" s="798"/>
      <c r="O387" s="798"/>
      <c r="P387" s="798"/>
      <c r="Q387" s="798"/>
      <c r="R387" s="798"/>
      <c r="S387" s="798"/>
      <c r="T387" s="798"/>
      <c r="U387" s="798"/>
      <c r="V387" s="798"/>
      <c r="W387" s="798"/>
      <c r="X387" s="798"/>
      <c r="Y387" s="798"/>
      <c r="Z387" s="798"/>
      <c r="AA387" s="798"/>
      <c r="AB387" s="798"/>
      <c r="AC387" s="798"/>
      <c r="AD387" s="798"/>
      <c r="AE387" s="798"/>
      <c r="AF387" s="798"/>
      <c r="AG387" s="798"/>
      <c r="AH387" s="798"/>
      <c r="AI387" s="798"/>
      <c r="AJ387" s="798"/>
      <c r="AK387" s="798"/>
      <c r="AL387" s="798"/>
      <c r="AM387" s="798"/>
      <c r="AN387" s="798"/>
      <c r="AO387" s="798"/>
      <c r="AP387" s="798"/>
      <c r="AQ387" s="798"/>
      <c r="AR387" s="798"/>
      <c r="AS387" s="798"/>
      <c r="AT387" s="798"/>
      <c r="AU387" s="798"/>
      <c r="AV387" s="798"/>
      <c r="AW387" s="798"/>
      <c r="AX387" s="798"/>
      <c r="AY387" s="798"/>
      <c r="AZ387" s="798"/>
      <c r="BA387" s="798"/>
      <c r="BB387" s="798"/>
      <c r="BC387" s="798"/>
      <c r="BD387" s="798"/>
      <c r="BE387" s="798"/>
      <c r="BF387" s="798"/>
      <c r="BG387" s="798"/>
      <c r="BH387" s="798"/>
      <c r="BI387" s="798"/>
      <c r="BJ387" s="798"/>
      <c r="BK387" s="798"/>
      <c r="BL387" s="798"/>
      <c r="BM387" s="798"/>
      <c r="BN387" s="798"/>
      <c r="BO387" s="798"/>
      <c r="BP387" s="798"/>
      <c r="BQ387" s="798"/>
      <c r="BR387" s="798"/>
      <c r="BS387" s="798"/>
      <c r="BT387" s="798"/>
      <c r="BU387" s="798"/>
      <c r="BV387" s="798"/>
      <c r="BW387" s="798"/>
      <c r="BX387" s="798"/>
      <c r="BY387" s="798"/>
      <c r="BZ387" s="798"/>
      <c r="CA387" s="798"/>
      <c r="CB387" s="798"/>
      <c r="CC387" s="798"/>
      <c r="CD387" s="798"/>
      <c r="CE387" s="798"/>
      <c r="CF387" s="798"/>
      <c r="CG387" s="798"/>
      <c r="CH387" s="798"/>
      <c r="CI387" s="798"/>
      <c r="CJ387" s="798"/>
      <c r="CK387" s="798"/>
      <c r="CL387" s="798"/>
      <c r="CM387" s="798"/>
      <c r="CN387" s="798"/>
      <c r="CO387" s="798"/>
      <c r="CP387" s="798"/>
      <c r="CQ387" s="798"/>
      <c r="CR387" s="798"/>
      <c r="CS387" s="798"/>
      <c r="CT387" s="798"/>
      <c r="CU387" s="798"/>
      <c r="CV387" s="798"/>
      <c r="CW387" s="798"/>
      <c r="CX387" s="798"/>
      <c r="CY387" s="798"/>
      <c r="CZ387" s="798"/>
      <c r="DA387" s="798"/>
      <c r="DB387" s="798"/>
      <c r="DC387" s="798"/>
      <c r="DD387" s="798"/>
      <c r="DE387" s="798"/>
      <c r="DF387" s="798"/>
      <c r="DG387" s="798"/>
      <c r="DH387" s="798"/>
      <c r="DI387" s="798"/>
      <c r="DJ387" s="798"/>
      <c r="DK387" s="798"/>
      <c r="DL387" s="798"/>
      <c r="DM387" s="798"/>
      <c r="DN387" s="798"/>
      <c r="DO387" s="798"/>
      <c r="DP387" s="798"/>
      <c r="DQ387" s="798"/>
      <c r="DR387" s="798"/>
      <c r="DS387" s="798"/>
      <c r="DT387" s="798"/>
      <c r="DU387" s="798"/>
      <c r="DV387" s="798"/>
      <c r="DW387" s="798"/>
      <c r="DX387" s="798"/>
      <c r="DY387" s="798"/>
      <c r="DZ387" s="798"/>
      <c r="EA387" s="798"/>
      <c r="EB387" s="798"/>
      <c r="EC387" s="798"/>
      <c r="ED387" s="798"/>
      <c r="EE387" s="798"/>
      <c r="EF387" s="798"/>
      <c r="EG387" s="798"/>
      <c r="EH387" s="782"/>
    </row>
    <row r="388" spans="1:138" ht="12.75" customHeight="1" x14ac:dyDescent="0.3">
      <c r="A388" s="782"/>
      <c r="B388" s="1382" t="s">
        <v>339</v>
      </c>
      <c r="C388" s="1383"/>
      <c r="EH388" s="782"/>
    </row>
    <row r="389" spans="1:138" ht="12.75" customHeight="1" x14ac:dyDescent="0.3">
      <c r="A389" s="782"/>
      <c r="B389" s="782" t="s">
        <v>340</v>
      </c>
      <c r="C389" s="838">
        <f>SUM(E389:EG389)</f>
        <v>22187213.922159854</v>
      </c>
      <c r="D389" s="782"/>
      <c r="E389" s="798">
        <f>+(E65*'Venture Assumptions'!$F$12)+-E64</f>
        <v>-1459520.0769018831</v>
      </c>
      <c r="F389" s="798">
        <f>+(F65*'Venture Assumptions'!$F$12)+-F64</f>
        <v>-11421694.387157971</v>
      </c>
      <c r="G389" s="798">
        <f>+(G65*'Venture Assumptions'!$F$12)+-G64</f>
        <v>-369114.99916858942</v>
      </c>
      <c r="H389" s="798">
        <f>+(H65*'Venture Assumptions'!$F$12)+-H64</f>
        <v>-555086.80631586071</v>
      </c>
      <c r="I389" s="798">
        <f>+(I65*'Venture Assumptions'!$F$12)+-I64</f>
        <v>-935498.05368796352</v>
      </c>
      <c r="J389" s="798">
        <f>+(J65*'Venture Assumptions'!$F$12)+-J64</f>
        <v>-1520128.0247696131</v>
      </c>
      <c r="K389" s="798">
        <f>+(K65*'Venture Assumptions'!$F$12)+-K64</f>
        <v>-1564787.4194152202</v>
      </c>
      <c r="L389" s="798">
        <f>+(L65*'Venture Assumptions'!$F$12)+-L64</f>
        <v>-1991304.9497603511</v>
      </c>
      <c r="M389" s="798">
        <f>+(M65*'Venture Assumptions'!$F$12)+-M64</f>
        <v>-2360495.3169892058</v>
      </c>
      <c r="N389" s="798">
        <f>+(N65*'Venture Assumptions'!$F$12)+-N64</f>
        <v>-2761784.5906149005</v>
      </c>
      <c r="O389" s="798">
        <f>+(O65*'Venture Assumptions'!$F$12)+-O64</f>
        <v>-1574123.1684457453</v>
      </c>
      <c r="P389" s="798">
        <f>+(P65*'Venture Assumptions'!$F$12)+-P64</f>
        <v>-15202.827377578833</v>
      </c>
      <c r="Q389" s="798">
        <f>+(Q65*'Venture Assumptions'!$F$12)+-Q64</f>
        <v>-16173.914529341831</v>
      </c>
      <c r="R389" s="798">
        <f>+(R65*'Venture Assumptions'!$F$12)+-R64</f>
        <v>-17157.636786895979</v>
      </c>
      <c r="S389" s="798">
        <f>+(S65*'Venture Assumptions'!$F$12)+-S64</f>
        <v>-18151.1014657259</v>
      </c>
      <c r="T389" s="798">
        <f>+(T65*'Venture Assumptions'!$F$12)+-T64</f>
        <v>-19079.299298112302</v>
      </c>
      <c r="U389" s="798">
        <f>+(U65*'Venture Assumptions'!$F$12)+-U64</f>
        <v>-19980.72919213543</v>
      </c>
      <c r="V389" s="798">
        <f>+(V65*'Venture Assumptions'!$F$12)+-V64</f>
        <v>-20814.920220536322</v>
      </c>
      <c r="W389" s="798">
        <f>+(W65*'Venture Assumptions'!$F$12)+-W64</f>
        <v>-21564.773579702716</v>
      </c>
      <c r="X389" s="798">
        <f>+(X65*'Venture Assumptions'!$F$12)+-X64</f>
        <v>-22310.714160245509</v>
      </c>
      <c r="Y389" s="798">
        <f>+(Y65*'Venture Assumptions'!$F$12)+-Y64</f>
        <v>-22995.24880912013</v>
      </c>
      <c r="Z389" s="798">
        <f>+(Z65*'Venture Assumptions'!$F$12)+-Z64</f>
        <v>-23571.269754990404</v>
      </c>
      <c r="AA389" s="798">
        <f>+(AA65*'Venture Assumptions'!$F$12)+-AA64</f>
        <v>-24062.072467745635</v>
      </c>
      <c r="AB389" s="798">
        <f>+(AB65*'Venture Assumptions'!$F$12)+-AB64</f>
        <v>-24470.072457408431</v>
      </c>
      <c r="AC389" s="798">
        <f>+(AC65*'Venture Assumptions'!$F$12)+-AC64</f>
        <v>8384.5059293936665</v>
      </c>
      <c r="AD389" s="798">
        <f>+(AD65*'Venture Assumptions'!$F$12)+-AD64</f>
        <v>38366.358635012235</v>
      </c>
      <c r="AE389" s="798">
        <f>+(AE65*'Venture Assumptions'!$F$12)+-AE64</f>
        <v>72614.497273708708</v>
      </c>
      <c r="AF389" s="798">
        <f>+(AF65*'Venture Assumptions'!$F$12)+-AF64</f>
        <v>139782.41588327449</v>
      </c>
      <c r="AG389" s="798">
        <f>+(AG65*'Venture Assumptions'!$F$12)+-AG64</f>
        <v>142520.81846381401</v>
      </c>
      <c r="AH389" s="798">
        <f>+(AH65*'Venture Assumptions'!$F$12)+-AH64</f>
        <v>143499.4833160592</v>
      </c>
      <c r="AI389" s="798">
        <f>+(AI65*'Venture Assumptions'!$F$12)+-AI64</f>
        <v>318898.2726360347</v>
      </c>
      <c r="AJ389" s="798">
        <f>+(AJ65*'Venture Assumptions'!$F$12)+-AJ64</f>
        <v>320842.57222426333</v>
      </c>
      <c r="AK389" s="798">
        <f>+(AK65*'Venture Assumptions'!$F$12)+-AK64</f>
        <v>47781377.371125132</v>
      </c>
      <c r="AL389" s="798">
        <f>+(AL65*'Venture Assumptions'!$F$12)+-AL64</f>
        <v>0</v>
      </c>
      <c r="AM389" s="798">
        <f>+(AM65*'Venture Assumptions'!$F$12)+-AM64</f>
        <v>0</v>
      </c>
      <c r="AN389" s="798">
        <f>+(AN65*'Venture Assumptions'!$F$12)+-AN64</f>
        <v>0</v>
      </c>
      <c r="AO389" s="798">
        <f>+(AO65*'Venture Assumptions'!$F$12)+-AO64</f>
        <v>0</v>
      </c>
      <c r="AP389" s="798">
        <f>+(AP65*'Venture Assumptions'!$F$12)+-AP64</f>
        <v>0</v>
      </c>
      <c r="AQ389" s="798">
        <f>+(AQ65*'Venture Assumptions'!$F$12)+-AQ64</f>
        <v>0</v>
      </c>
      <c r="AR389" s="798">
        <f>+(AR65*'Venture Assumptions'!$F$12)+-AR64</f>
        <v>0</v>
      </c>
      <c r="AS389" s="798">
        <f>+(AS65*'Venture Assumptions'!$F$12)+-AS64</f>
        <v>0</v>
      </c>
      <c r="AT389" s="798">
        <f>+(AT65*'Venture Assumptions'!$F$12)+-AT64</f>
        <v>0</v>
      </c>
      <c r="AU389" s="798">
        <f>+(AU65*'Venture Assumptions'!$F$12)+-AU64</f>
        <v>0</v>
      </c>
      <c r="AV389" s="798">
        <f>+(AV65*'Venture Assumptions'!$F$12)+-AV64</f>
        <v>0</v>
      </c>
      <c r="AW389" s="798">
        <f>+(AW65*'Venture Assumptions'!$F$12)+-AW64</f>
        <v>0</v>
      </c>
      <c r="AX389" s="798">
        <f>+(AX65*'Venture Assumptions'!$F$12)+-AX64</f>
        <v>0</v>
      </c>
      <c r="AY389" s="798">
        <f>+(AY65*'Venture Assumptions'!$F$12)+-AY64</f>
        <v>0</v>
      </c>
      <c r="AZ389" s="798">
        <f>+(AZ65*'Venture Assumptions'!$F$12)+-AZ64</f>
        <v>0</v>
      </c>
      <c r="BA389" s="798">
        <f>+(BA65*'Venture Assumptions'!$F$12)+-BA64</f>
        <v>0</v>
      </c>
      <c r="BB389" s="798">
        <f>+(BB65*'Venture Assumptions'!$F$12)+-BB64</f>
        <v>0</v>
      </c>
      <c r="BC389" s="798">
        <f>+(BC65*'Venture Assumptions'!$F$12)+-BC64</f>
        <v>0</v>
      </c>
      <c r="BD389" s="798">
        <f>+(BD65*'Venture Assumptions'!$F$12)+-BD64</f>
        <v>0</v>
      </c>
      <c r="BE389" s="798">
        <f>+(BE65*'Venture Assumptions'!$F$12)+-BE64</f>
        <v>0</v>
      </c>
      <c r="BF389" s="798">
        <f>+(BF65*'Venture Assumptions'!$F$12)+-BF64</f>
        <v>0</v>
      </c>
      <c r="BG389" s="798">
        <f>+(BG65*'Venture Assumptions'!$F$12)+-BG64</f>
        <v>0</v>
      </c>
      <c r="BH389" s="798">
        <f>+(BH65*'Venture Assumptions'!$F$12)+-BH64</f>
        <v>0</v>
      </c>
      <c r="BI389" s="798">
        <f>+(BI65*'Venture Assumptions'!$F$12)+-BI64</f>
        <v>0</v>
      </c>
      <c r="BJ389" s="798">
        <f>+(BJ65*'Venture Assumptions'!$F$12)+-BJ64</f>
        <v>0</v>
      </c>
      <c r="BK389" s="798">
        <f>+(BK65*'Venture Assumptions'!$F$12)+-BK64</f>
        <v>0</v>
      </c>
      <c r="BL389" s="798">
        <f>+(BL65*'Venture Assumptions'!$F$12)+-BL64</f>
        <v>0</v>
      </c>
      <c r="BM389" s="798">
        <f>+(BM65*'Venture Assumptions'!$F$12)+-BM64</f>
        <v>0</v>
      </c>
      <c r="BN389" s="798">
        <f>+(BN65*'Venture Assumptions'!$F$12)+-BN64</f>
        <v>0</v>
      </c>
      <c r="BO389" s="798">
        <f>+(BO65*'Venture Assumptions'!$F$12)+-BO64</f>
        <v>0</v>
      </c>
      <c r="BP389" s="798">
        <f>+(BP65*'Venture Assumptions'!$F$12)+-BP64</f>
        <v>0</v>
      </c>
      <c r="BQ389" s="798">
        <f>+(BQ65*'Venture Assumptions'!$F$12)+-BQ64</f>
        <v>0</v>
      </c>
      <c r="BR389" s="798">
        <f>+(BR65*'Venture Assumptions'!$F$12)+-BR64</f>
        <v>0</v>
      </c>
      <c r="BS389" s="798">
        <f>+(BS65*'Venture Assumptions'!$F$12)+-BS64</f>
        <v>0</v>
      </c>
      <c r="BT389" s="798">
        <f>+(BT65*'Venture Assumptions'!$F$12)+-BT64</f>
        <v>0</v>
      </c>
      <c r="BU389" s="798">
        <f>+(BU65*'Venture Assumptions'!$F$12)+-BU64</f>
        <v>0</v>
      </c>
      <c r="BV389" s="798">
        <f>+(BV65*'Venture Assumptions'!$F$12)+-BV64</f>
        <v>0</v>
      </c>
      <c r="BW389" s="798">
        <f>+(BW65*'Venture Assumptions'!$F$12)+-BW64</f>
        <v>0</v>
      </c>
      <c r="BX389" s="798">
        <f>+(BX65*'Venture Assumptions'!$F$12)+-BX64</f>
        <v>0</v>
      </c>
      <c r="BY389" s="798">
        <f>+(BY65*'Venture Assumptions'!$F$12)+-BY64</f>
        <v>0</v>
      </c>
      <c r="BZ389" s="798">
        <f>+(BZ65*'Venture Assumptions'!$F$12)+-BZ64</f>
        <v>0</v>
      </c>
      <c r="CA389" s="798">
        <f>+(CA65*'Venture Assumptions'!$F$12)+-CA64</f>
        <v>0</v>
      </c>
      <c r="CB389" s="798">
        <f>+(CB65*'Venture Assumptions'!$F$12)+-CB64</f>
        <v>0</v>
      </c>
      <c r="CC389" s="798">
        <f>+(CC65*'Venture Assumptions'!$F$12)+-CC64</f>
        <v>0</v>
      </c>
      <c r="CD389" s="798">
        <f>+(CD65*'Venture Assumptions'!$F$12)+-CD64</f>
        <v>0</v>
      </c>
      <c r="CE389" s="798">
        <f>+(CE65*'Venture Assumptions'!$F$12)+-CE64</f>
        <v>0</v>
      </c>
      <c r="CF389" s="798">
        <f>+(CF65*'Venture Assumptions'!$F$12)+-CF64</f>
        <v>0</v>
      </c>
      <c r="CG389" s="798">
        <f>+(CG65*'Venture Assumptions'!$F$12)+-CG64</f>
        <v>0</v>
      </c>
      <c r="CH389" s="798">
        <f>+(CH65*'Venture Assumptions'!$F$12)+-CH64</f>
        <v>0</v>
      </c>
      <c r="CI389" s="798">
        <f>+(CI65*'Venture Assumptions'!$F$12)+-CI64</f>
        <v>0</v>
      </c>
      <c r="CJ389" s="798">
        <f>+(CJ65*'Venture Assumptions'!$F$12)+-CJ64</f>
        <v>0</v>
      </c>
      <c r="CK389" s="798">
        <f>+(CK65*'Venture Assumptions'!$F$12)+-CK64</f>
        <v>0</v>
      </c>
      <c r="CL389" s="798">
        <f>+(CL65*'Venture Assumptions'!$F$12)+-CL64</f>
        <v>0</v>
      </c>
      <c r="CM389" s="798">
        <f>+(CM65*'Venture Assumptions'!$F$12)+-CM64</f>
        <v>0</v>
      </c>
      <c r="CN389" s="798">
        <f>+(CN65*'Venture Assumptions'!$F$12)+-CN64</f>
        <v>0</v>
      </c>
      <c r="CO389" s="798">
        <f>+(CO65*'Venture Assumptions'!$F$12)+-CO64</f>
        <v>0</v>
      </c>
      <c r="CP389" s="798">
        <f>+(CP65*'Venture Assumptions'!$F$12)+-CP64</f>
        <v>0</v>
      </c>
      <c r="CQ389" s="798">
        <f>+(CQ65*'Venture Assumptions'!$F$12)+-CQ64</f>
        <v>0</v>
      </c>
      <c r="CR389" s="798">
        <f>+(CR65*'Venture Assumptions'!$F$12)+-CR64</f>
        <v>0</v>
      </c>
      <c r="CS389" s="798">
        <f>+(CS65*'Venture Assumptions'!$F$12)+-CS64</f>
        <v>0</v>
      </c>
      <c r="CT389" s="798">
        <f>+(CT65*'Venture Assumptions'!$F$12)+-CT64</f>
        <v>0</v>
      </c>
      <c r="CU389" s="798">
        <f>+(CU65*'Venture Assumptions'!$F$12)+-CU64</f>
        <v>0</v>
      </c>
      <c r="CV389" s="798">
        <f>+(CV65*'Venture Assumptions'!$F$12)+-CV64</f>
        <v>0</v>
      </c>
      <c r="CW389" s="798">
        <f>+(CW65*'Venture Assumptions'!$F$12)+-CW64</f>
        <v>0</v>
      </c>
      <c r="CX389" s="798">
        <f>+(CX65*'Venture Assumptions'!$F$12)+-CX64</f>
        <v>0</v>
      </c>
      <c r="CY389" s="798">
        <f>+(CY65*'Venture Assumptions'!$F$12)+-CY64</f>
        <v>0</v>
      </c>
      <c r="CZ389" s="798">
        <f>+(CZ65*'Venture Assumptions'!$F$12)+-CZ64</f>
        <v>0</v>
      </c>
      <c r="DA389" s="798">
        <f>+(DA65*'Venture Assumptions'!$F$12)+-DA64</f>
        <v>0</v>
      </c>
      <c r="DB389" s="798">
        <f>+(DB65*'Venture Assumptions'!$F$12)+-DB64</f>
        <v>0</v>
      </c>
      <c r="DC389" s="798">
        <f>+(DC65*'Venture Assumptions'!$F$12)+-DC64</f>
        <v>0</v>
      </c>
      <c r="DD389" s="798">
        <f>+(DD65*'Venture Assumptions'!$F$12)+-DD64</f>
        <v>0</v>
      </c>
      <c r="DE389" s="798">
        <f>+(DE65*'Venture Assumptions'!$F$12)+-DE64</f>
        <v>0</v>
      </c>
      <c r="DF389" s="798">
        <f>+(DF65*'Venture Assumptions'!$F$12)+-DF64</f>
        <v>0</v>
      </c>
      <c r="DG389" s="798">
        <f>+(DG65*'Venture Assumptions'!$F$12)+-DG64</f>
        <v>0</v>
      </c>
      <c r="DH389" s="798">
        <f>+(DH65*'Venture Assumptions'!$F$12)+-DH64</f>
        <v>0</v>
      </c>
      <c r="DI389" s="798">
        <f>+(DI65*'Venture Assumptions'!$F$12)+-DI64</f>
        <v>0</v>
      </c>
      <c r="DJ389" s="798">
        <f>+(DJ65*'Venture Assumptions'!$F$12)+-DJ64</f>
        <v>0</v>
      </c>
      <c r="DK389" s="798">
        <f>+(DK65*'Venture Assumptions'!$F$12)+-DK64</f>
        <v>0</v>
      </c>
      <c r="DL389" s="798">
        <f>+(DL65*'Venture Assumptions'!$F$12)+-DL64</f>
        <v>0</v>
      </c>
      <c r="DM389" s="798">
        <f>+(DM65*'Venture Assumptions'!$F$12)+-DM64</f>
        <v>0</v>
      </c>
      <c r="DN389" s="798">
        <f>+(DN65*'Venture Assumptions'!$F$12)+-DN64</f>
        <v>0</v>
      </c>
      <c r="DO389" s="798">
        <f>+(DO65*'Venture Assumptions'!$F$12)+-DO64</f>
        <v>0</v>
      </c>
      <c r="DP389" s="798">
        <f>+(DP65*'Venture Assumptions'!$F$12)+-DP64</f>
        <v>0</v>
      </c>
      <c r="DQ389" s="798">
        <f>+(DQ65*'Venture Assumptions'!$F$12)+-DQ64</f>
        <v>0</v>
      </c>
      <c r="DR389" s="798">
        <f>+(DR65*'Venture Assumptions'!$F$12)+-DR64</f>
        <v>0</v>
      </c>
      <c r="DS389" s="798">
        <f>+(DS65*'Venture Assumptions'!$F$12)+-DS64</f>
        <v>0</v>
      </c>
      <c r="DT389" s="798">
        <f>+(DT65*'Venture Assumptions'!$F$12)+-DT64</f>
        <v>0</v>
      </c>
      <c r="DU389" s="798">
        <f>+(DU65*'Venture Assumptions'!$F$12)+-DU64</f>
        <v>0</v>
      </c>
      <c r="DV389" s="798">
        <f>+(DV65*'Venture Assumptions'!$F$12)+-DV64</f>
        <v>0</v>
      </c>
      <c r="DW389" s="798">
        <f>+(DW65*'Venture Assumptions'!$F$12)+-DW64</f>
        <v>0</v>
      </c>
      <c r="DX389" s="798">
        <f>+(DX65*'Venture Assumptions'!$F$12)+-DX64</f>
        <v>0</v>
      </c>
      <c r="DY389" s="798">
        <f>+(DY65*'Venture Assumptions'!$F$12)+-DY64</f>
        <v>0</v>
      </c>
      <c r="DZ389" s="798">
        <f>+(DZ65*'Venture Assumptions'!$F$12)+-DZ64</f>
        <v>0</v>
      </c>
      <c r="EA389" s="798">
        <f>+(EA65*'Venture Assumptions'!$F$12)+-EA64</f>
        <v>0</v>
      </c>
      <c r="EB389" s="798">
        <f>+(EB65*'Venture Assumptions'!$F$12)+-EB64</f>
        <v>0</v>
      </c>
      <c r="EC389" s="798">
        <f>+(EC65*'Venture Assumptions'!$F$12)+-EC64</f>
        <v>0</v>
      </c>
      <c r="ED389" s="798">
        <f>+(ED65*'Venture Assumptions'!$F$12)+-ED64</f>
        <v>0</v>
      </c>
      <c r="EE389" s="798">
        <f>+(EE65*'Venture Assumptions'!$F$12)+-EE64</f>
        <v>0</v>
      </c>
      <c r="EF389" s="798">
        <f>+(EF65*'Venture Assumptions'!$F$12)+-EF64</f>
        <v>0</v>
      </c>
      <c r="EG389" s="798">
        <f>+(EG65*'Venture Assumptions'!$F$12)+-EG64</f>
        <v>0</v>
      </c>
      <c r="EH389" s="782"/>
    </row>
    <row r="390" spans="1:138" ht="12.75" customHeight="1" x14ac:dyDescent="0.3">
      <c r="A390" s="782"/>
      <c r="B390" s="833" t="s">
        <v>203</v>
      </c>
      <c r="C390" s="834">
        <f>XIRR(OFFSET(E389,0,$C$141):EG389,OFFSET($E$4,0,$C$141):$EG$4)</f>
        <v>0.29684036374092104</v>
      </c>
      <c r="D390" s="782"/>
      <c r="E390" s="798"/>
      <c r="F390" s="798"/>
      <c r="G390" s="798"/>
      <c r="H390" s="798"/>
      <c r="I390" s="798"/>
      <c r="J390" s="798"/>
      <c r="K390" s="798"/>
      <c r="L390" s="798"/>
      <c r="M390" s="798"/>
      <c r="N390" s="798"/>
      <c r="O390" s="798"/>
      <c r="P390" s="798"/>
      <c r="Q390" s="798"/>
      <c r="R390" s="798"/>
      <c r="S390" s="798"/>
      <c r="T390" s="798"/>
      <c r="U390" s="798"/>
      <c r="V390" s="798"/>
      <c r="W390" s="798"/>
      <c r="X390" s="798"/>
      <c r="Y390" s="798"/>
      <c r="Z390" s="798"/>
      <c r="AA390" s="798"/>
      <c r="AB390" s="798"/>
      <c r="AC390" s="798"/>
      <c r="AD390" s="798"/>
      <c r="AE390" s="798"/>
      <c r="AF390" s="798"/>
      <c r="AG390" s="798"/>
      <c r="AH390" s="798"/>
      <c r="AI390" s="798"/>
      <c r="AJ390" s="798"/>
      <c r="AK390" s="798"/>
      <c r="AL390" s="798"/>
      <c r="AM390" s="798"/>
      <c r="AN390" s="798"/>
      <c r="AO390" s="798"/>
      <c r="AP390" s="798"/>
      <c r="AQ390" s="798"/>
      <c r="AR390" s="798"/>
      <c r="AS390" s="798"/>
      <c r="AT390" s="798"/>
      <c r="AU390" s="798"/>
      <c r="AV390" s="798"/>
      <c r="AW390" s="798"/>
      <c r="AX390" s="798"/>
      <c r="AY390" s="798"/>
      <c r="AZ390" s="798"/>
      <c r="BA390" s="798"/>
      <c r="BB390" s="798"/>
      <c r="BC390" s="798"/>
      <c r="BD390" s="798"/>
      <c r="BE390" s="798"/>
      <c r="BF390" s="798"/>
      <c r="BG390" s="798"/>
      <c r="BH390" s="798"/>
      <c r="BI390" s="798"/>
      <c r="BJ390" s="798"/>
      <c r="BK390" s="798"/>
      <c r="BL390" s="798"/>
      <c r="BM390" s="798"/>
      <c r="BN390" s="798"/>
      <c r="BO390" s="798"/>
      <c r="BP390" s="798"/>
      <c r="BQ390" s="798"/>
      <c r="BR390" s="798"/>
      <c r="BS390" s="798"/>
      <c r="BT390" s="798"/>
      <c r="BU390" s="798"/>
      <c r="BV390" s="798"/>
      <c r="BW390" s="798"/>
      <c r="BX390" s="798"/>
      <c r="BY390" s="798"/>
      <c r="BZ390" s="798"/>
      <c r="CA390" s="798"/>
      <c r="CB390" s="798"/>
      <c r="CC390" s="798"/>
      <c r="CD390" s="798"/>
      <c r="CE390" s="798"/>
      <c r="CF390" s="798"/>
      <c r="CG390" s="798"/>
      <c r="CH390" s="798"/>
      <c r="CI390" s="798"/>
      <c r="CJ390" s="798"/>
      <c r="CK390" s="798"/>
      <c r="CL390" s="798"/>
      <c r="CM390" s="798"/>
      <c r="CN390" s="798"/>
      <c r="CO390" s="798"/>
      <c r="CP390" s="798"/>
      <c r="CQ390" s="798"/>
      <c r="CR390" s="798"/>
      <c r="CS390" s="798"/>
      <c r="CT390" s="798"/>
      <c r="CU390" s="798"/>
      <c r="CV390" s="798"/>
      <c r="CW390" s="798"/>
      <c r="CX390" s="798"/>
      <c r="CY390" s="798"/>
      <c r="CZ390" s="798"/>
      <c r="DA390" s="798"/>
      <c r="DB390" s="798"/>
      <c r="DC390" s="798"/>
      <c r="DD390" s="798"/>
      <c r="DE390" s="798"/>
      <c r="DF390" s="798"/>
      <c r="DG390" s="798"/>
      <c r="DH390" s="798"/>
      <c r="DI390" s="798"/>
      <c r="DJ390" s="798"/>
      <c r="DK390" s="798"/>
      <c r="DL390" s="798"/>
      <c r="DM390" s="798"/>
      <c r="DN390" s="798"/>
      <c r="DO390" s="798"/>
      <c r="DP390" s="798"/>
      <c r="DQ390" s="798"/>
      <c r="DR390" s="798"/>
      <c r="DS390" s="798"/>
      <c r="DT390" s="798"/>
      <c r="DU390" s="798"/>
      <c r="DV390" s="798"/>
      <c r="DW390" s="798"/>
      <c r="DX390" s="798"/>
      <c r="DY390" s="798"/>
      <c r="DZ390" s="798"/>
      <c r="EA390" s="798"/>
      <c r="EB390" s="798"/>
      <c r="EC390" s="798"/>
      <c r="ED390" s="798"/>
      <c r="EE390" s="798"/>
      <c r="EF390" s="798"/>
      <c r="EG390" s="798"/>
      <c r="EH390" s="782"/>
    </row>
    <row r="391" spans="1:138" ht="12.75" customHeight="1" x14ac:dyDescent="0.3">
      <c r="A391" s="782"/>
      <c r="B391" s="835" t="s">
        <v>204</v>
      </c>
      <c r="C391" s="836">
        <f>SUMIF($E$389:$EG$389,"&gt;0")/-SUMIF($E$389:$EG$389,"&lt;0")</f>
        <v>1.8285280988395745</v>
      </c>
      <c r="D391" s="782"/>
      <c r="E391" s="798"/>
      <c r="F391" s="798"/>
      <c r="G391" s="798"/>
      <c r="H391" s="798"/>
      <c r="I391" s="798"/>
      <c r="J391" s="798"/>
      <c r="K391" s="798"/>
      <c r="L391" s="798"/>
      <c r="M391" s="798"/>
      <c r="N391" s="798"/>
      <c r="O391" s="798"/>
      <c r="P391" s="798"/>
      <c r="Q391" s="798"/>
      <c r="R391" s="798"/>
      <c r="S391" s="798"/>
      <c r="T391" s="798"/>
      <c r="U391" s="798"/>
      <c r="V391" s="798"/>
      <c r="W391" s="798"/>
      <c r="X391" s="798"/>
      <c r="Y391" s="798"/>
      <c r="Z391" s="798"/>
      <c r="AA391" s="798"/>
      <c r="AB391" s="798"/>
      <c r="AC391" s="798"/>
      <c r="AD391" s="798"/>
      <c r="AE391" s="798"/>
      <c r="AF391" s="798"/>
      <c r="AG391" s="798"/>
      <c r="AH391" s="798"/>
      <c r="AI391" s="798"/>
      <c r="AJ391" s="798"/>
      <c r="AK391" s="798"/>
      <c r="AL391" s="798"/>
      <c r="AM391" s="798"/>
      <c r="AN391" s="798"/>
      <c r="AO391" s="798"/>
      <c r="AP391" s="798"/>
      <c r="AQ391" s="798"/>
      <c r="AR391" s="798"/>
      <c r="AS391" s="798"/>
      <c r="AT391" s="798"/>
      <c r="AU391" s="798"/>
      <c r="AV391" s="798"/>
      <c r="AW391" s="798"/>
      <c r="AX391" s="798"/>
      <c r="AY391" s="798"/>
      <c r="AZ391" s="798"/>
      <c r="BA391" s="798"/>
      <c r="BB391" s="798"/>
      <c r="BC391" s="798"/>
      <c r="BD391" s="798"/>
      <c r="BE391" s="798"/>
      <c r="BF391" s="798"/>
      <c r="BG391" s="798"/>
      <c r="BH391" s="798"/>
      <c r="BI391" s="798"/>
      <c r="BJ391" s="798"/>
      <c r="BK391" s="798"/>
      <c r="BL391" s="798"/>
      <c r="BM391" s="798"/>
      <c r="BN391" s="798"/>
      <c r="BO391" s="798"/>
      <c r="BP391" s="798"/>
      <c r="BQ391" s="798"/>
      <c r="BR391" s="798"/>
      <c r="BS391" s="798"/>
      <c r="BT391" s="798"/>
      <c r="BU391" s="798"/>
      <c r="BV391" s="798"/>
      <c r="BW391" s="798"/>
      <c r="BX391" s="798"/>
      <c r="BY391" s="798"/>
      <c r="BZ391" s="798"/>
      <c r="CA391" s="798"/>
      <c r="CB391" s="798"/>
      <c r="CC391" s="798"/>
      <c r="CD391" s="798"/>
      <c r="CE391" s="798"/>
      <c r="CF391" s="798"/>
      <c r="CG391" s="798"/>
      <c r="CH391" s="798"/>
      <c r="CI391" s="798"/>
      <c r="CJ391" s="798"/>
      <c r="CK391" s="798"/>
      <c r="CL391" s="798"/>
      <c r="CM391" s="798"/>
      <c r="CN391" s="798"/>
      <c r="CO391" s="798"/>
      <c r="CP391" s="798"/>
      <c r="CQ391" s="798"/>
      <c r="CR391" s="798"/>
      <c r="CS391" s="798"/>
      <c r="CT391" s="798"/>
      <c r="CU391" s="798"/>
      <c r="CV391" s="798"/>
      <c r="CW391" s="798"/>
      <c r="CX391" s="798"/>
      <c r="CY391" s="798"/>
      <c r="CZ391" s="798"/>
      <c r="DA391" s="798"/>
      <c r="DB391" s="798"/>
      <c r="DC391" s="798"/>
      <c r="DD391" s="798"/>
      <c r="DE391" s="798"/>
      <c r="DF391" s="798"/>
      <c r="DG391" s="798"/>
      <c r="DH391" s="798"/>
      <c r="DI391" s="798"/>
      <c r="DJ391" s="798"/>
      <c r="DK391" s="798"/>
      <c r="DL391" s="798"/>
      <c r="DM391" s="798"/>
      <c r="DN391" s="798"/>
      <c r="DO391" s="798"/>
      <c r="DP391" s="798"/>
      <c r="DQ391" s="798"/>
      <c r="DR391" s="798"/>
      <c r="DS391" s="798"/>
      <c r="DT391" s="798"/>
      <c r="DU391" s="798"/>
      <c r="DV391" s="798"/>
      <c r="DW391" s="798"/>
      <c r="DX391" s="798"/>
      <c r="DY391" s="798"/>
      <c r="DZ391" s="798"/>
      <c r="EA391" s="798"/>
      <c r="EB391" s="798"/>
      <c r="EC391" s="798"/>
      <c r="ED391" s="798"/>
      <c r="EE391" s="798"/>
      <c r="EF391" s="798"/>
      <c r="EG391" s="798"/>
      <c r="EH391" s="782"/>
    </row>
    <row r="392" spans="1:138" ht="12.75" customHeight="1" x14ac:dyDescent="0.3">
      <c r="A392" s="782"/>
      <c r="B392" s="782" t="s">
        <v>155</v>
      </c>
      <c r="C392" s="1384" t="s">
        <v>341</v>
      </c>
      <c r="D392" s="782"/>
      <c r="E392" s="798"/>
      <c r="F392" s="798"/>
      <c r="G392" s="798"/>
      <c r="H392" s="798"/>
      <c r="I392" s="798"/>
      <c r="J392" s="798"/>
      <c r="K392" s="798"/>
      <c r="L392" s="798"/>
      <c r="M392" s="798"/>
      <c r="N392" s="798"/>
      <c r="O392" s="798"/>
      <c r="P392" s="798"/>
      <c r="Q392" s="798"/>
      <c r="R392" s="798"/>
      <c r="S392" s="798"/>
      <c r="T392" s="798"/>
      <c r="U392" s="798"/>
      <c r="V392" s="798"/>
      <c r="W392" s="798"/>
      <c r="X392" s="798"/>
      <c r="Y392" s="798"/>
      <c r="Z392" s="798"/>
      <c r="AA392" s="798"/>
      <c r="AB392" s="798"/>
      <c r="AC392" s="798"/>
      <c r="AD392" s="798"/>
      <c r="AE392" s="798"/>
      <c r="AF392" s="798"/>
      <c r="AG392" s="798"/>
      <c r="AH392" s="798"/>
      <c r="AI392" s="798"/>
      <c r="AJ392" s="798"/>
      <c r="AK392" s="798"/>
      <c r="AL392" s="798"/>
      <c r="AM392" s="798"/>
      <c r="AN392" s="798"/>
      <c r="AO392" s="798"/>
      <c r="AP392" s="798"/>
      <c r="AQ392" s="798"/>
      <c r="AR392" s="798"/>
      <c r="AS392" s="798"/>
      <c r="AT392" s="798"/>
      <c r="AU392" s="798"/>
      <c r="AV392" s="798"/>
      <c r="AW392" s="798"/>
      <c r="AX392" s="798"/>
      <c r="AY392" s="798"/>
      <c r="AZ392" s="798"/>
      <c r="BA392" s="798"/>
      <c r="BB392" s="798"/>
      <c r="BC392" s="798"/>
      <c r="BD392" s="798"/>
      <c r="BE392" s="798"/>
      <c r="BF392" s="798"/>
      <c r="BG392" s="798"/>
      <c r="BH392" s="798"/>
      <c r="BI392" s="798"/>
      <c r="BJ392" s="798"/>
      <c r="BK392" s="798"/>
      <c r="BL392" s="798"/>
      <c r="BM392" s="798"/>
      <c r="BN392" s="798"/>
      <c r="BO392" s="798"/>
      <c r="BP392" s="798"/>
      <c r="BQ392" s="798"/>
      <c r="BR392" s="798"/>
      <c r="BS392" s="798"/>
      <c r="BT392" s="798"/>
      <c r="BU392" s="798"/>
      <c r="BV392" s="798"/>
      <c r="BW392" s="798"/>
      <c r="BX392" s="798"/>
      <c r="BY392" s="798"/>
      <c r="BZ392" s="798"/>
      <c r="CA392" s="798"/>
      <c r="CB392" s="798"/>
      <c r="CC392" s="798"/>
      <c r="CD392" s="798"/>
      <c r="CE392" s="798"/>
      <c r="CF392" s="798"/>
      <c r="CG392" s="798"/>
      <c r="CH392" s="798"/>
      <c r="CI392" s="798"/>
      <c r="CJ392" s="798"/>
      <c r="CK392" s="798"/>
      <c r="CL392" s="798"/>
      <c r="CM392" s="798"/>
      <c r="CN392" s="798"/>
      <c r="CO392" s="798"/>
      <c r="CP392" s="798"/>
      <c r="CQ392" s="798"/>
      <c r="CR392" s="798"/>
      <c r="CS392" s="798"/>
      <c r="CT392" s="798"/>
      <c r="CU392" s="798"/>
      <c r="CV392" s="798"/>
      <c r="CW392" s="798"/>
      <c r="CX392" s="798"/>
      <c r="CY392" s="798"/>
      <c r="CZ392" s="798"/>
      <c r="DA392" s="798"/>
      <c r="DB392" s="798"/>
      <c r="DC392" s="798"/>
      <c r="DD392" s="798"/>
      <c r="DE392" s="798"/>
      <c r="DF392" s="798"/>
      <c r="DG392" s="798"/>
      <c r="DH392" s="798"/>
      <c r="DI392" s="798"/>
      <c r="DJ392" s="798"/>
      <c r="DK392" s="798"/>
      <c r="DL392" s="798"/>
      <c r="DM392" s="798"/>
      <c r="DN392" s="798"/>
      <c r="DO392" s="798"/>
      <c r="DP392" s="798"/>
      <c r="DQ392" s="798"/>
      <c r="DR392" s="798"/>
      <c r="DS392" s="798"/>
      <c r="DT392" s="798"/>
      <c r="DU392" s="798"/>
      <c r="DV392" s="798"/>
      <c r="DW392" s="798"/>
      <c r="DX392" s="798"/>
      <c r="DY392" s="798"/>
      <c r="DZ392" s="798"/>
      <c r="EA392" s="798"/>
      <c r="EB392" s="798"/>
      <c r="EC392" s="798"/>
      <c r="ED392" s="798"/>
      <c r="EE392" s="798"/>
      <c r="EF392" s="798"/>
      <c r="EG392" s="798"/>
      <c r="EH392" s="782"/>
    </row>
    <row r="393" spans="1:138" ht="12.75" customHeight="1" x14ac:dyDescent="0.3">
      <c r="A393" s="782"/>
      <c r="B393" s="782" t="s">
        <v>342</v>
      </c>
      <c r="C393" s="1385">
        <f>+C212</f>
        <v>6868726.7816661661</v>
      </c>
      <c r="D393" s="782"/>
      <c r="E393" s="798"/>
      <c r="F393" s="798"/>
      <c r="G393" s="798"/>
      <c r="H393" s="798"/>
      <c r="I393" s="798"/>
      <c r="J393" s="798"/>
      <c r="K393" s="798"/>
      <c r="L393" s="798"/>
      <c r="M393" s="798"/>
      <c r="N393" s="798"/>
      <c r="O393" s="798"/>
      <c r="P393" s="798"/>
      <c r="Q393" s="798"/>
      <c r="R393" s="798"/>
      <c r="S393" s="798"/>
      <c r="T393" s="798"/>
      <c r="U393" s="798"/>
      <c r="V393" s="798"/>
      <c r="W393" s="798"/>
      <c r="X393" s="798"/>
      <c r="Y393" s="798"/>
      <c r="Z393" s="798"/>
      <c r="AA393" s="798"/>
      <c r="AB393" s="798"/>
      <c r="AC393" s="798"/>
      <c r="AD393" s="798"/>
      <c r="AE393" s="798"/>
      <c r="AF393" s="798"/>
      <c r="AG393" s="798"/>
      <c r="AH393" s="798"/>
      <c r="AI393" s="798"/>
      <c r="AJ393" s="798"/>
      <c r="AK393" s="798"/>
      <c r="AL393" s="798"/>
      <c r="AM393" s="798"/>
      <c r="AN393" s="798"/>
      <c r="AO393" s="798"/>
      <c r="AP393" s="798"/>
      <c r="AQ393" s="798"/>
      <c r="AR393" s="798"/>
      <c r="AS393" s="798"/>
      <c r="AT393" s="798"/>
      <c r="AU393" s="798"/>
      <c r="AV393" s="798"/>
      <c r="AW393" s="798"/>
      <c r="AX393" s="798"/>
      <c r="AY393" s="798"/>
      <c r="AZ393" s="798"/>
      <c r="BA393" s="798"/>
      <c r="BB393" s="798"/>
      <c r="BC393" s="798"/>
      <c r="BD393" s="798"/>
      <c r="BE393" s="798"/>
      <c r="BF393" s="798"/>
      <c r="BG393" s="798"/>
      <c r="BH393" s="798"/>
      <c r="BI393" s="798"/>
      <c r="BJ393" s="798"/>
      <c r="BK393" s="798"/>
      <c r="BL393" s="798"/>
      <c r="BM393" s="798"/>
      <c r="BN393" s="798"/>
      <c r="BO393" s="798"/>
      <c r="BP393" s="798"/>
      <c r="BQ393" s="798"/>
      <c r="BR393" s="798"/>
      <c r="BS393" s="798"/>
      <c r="BT393" s="798"/>
      <c r="BU393" s="798"/>
      <c r="BV393" s="798"/>
      <c r="BW393" s="798"/>
      <c r="BX393" s="798"/>
      <c r="BY393" s="798"/>
      <c r="BZ393" s="798"/>
      <c r="CA393" s="798"/>
      <c r="CB393" s="798"/>
      <c r="CC393" s="798"/>
      <c r="CD393" s="798"/>
      <c r="CE393" s="798"/>
      <c r="CF393" s="798"/>
      <c r="CG393" s="798"/>
      <c r="CH393" s="798"/>
      <c r="CI393" s="798"/>
      <c r="CJ393" s="798"/>
      <c r="CK393" s="798"/>
      <c r="CL393" s="798"/>
      <c r="CM393" s="798"/>
      <c r="CN393" s="798"/>
      <c r="CO393" s="798"/>
      <c r="CP393" s="798"/>
      <c r="CQ393" s="798"/>
      <c r="CR393" s="798"/>
      <c r="CS393" s="798"/>
      <c r="CT393" s="798"/>
      <c r="CU393" s="798"/>
      <c r="CV393" s="798"/>
      <c r="CW393" s="798"/>
      <c r="CX393" s="798"/>
      <c r="CY393" s="798"/>
      <c r="CZ393" s="798"/>
      <c r="DA393" s="798"/>
      <c r="DB393" s="798"/>
      <c r="DC393" s="798"/>
      <c r="DD393" s="798"/>
      <c r="DE393" s="798"/>
      <c r="DF393" s="798"/>
      <c r="DG393" s="798"/>
      <c r="DH393" s="798"/>
      <c r="DI393" s="798"/>
      <c r="DJ393" s="798"/>
      <c r="DK393" s="798"/>
      <c r="DL393" s="798"/>
      <c r="DM393" s="798"/>
      <c r="DN393" s="798"/>
      <c r="DO393" s="798"/>
      <c r="DP393" s="798"/>
      <c r="DQ393" s="798"/>
      <c r="DR393" s="798"/>
      <c r="DS393" s="798"/>
      <c r="DT393" s="798"/>
      <c r="DU393" s="798"/>
      <c r="DV393" s="798"/>
      <c r="DW393" s="798"/>
      <c r="DX393" s="798"/>
      <c r="DY393" s="798"/>
      <c r="DZ393" s="798"/>
      <c r="EA393" s="798"/>
      <c r="EB393" s="798"/>
      <c r="EC393" s="798"/>
      <c r="ED393" s="798"/>
      <c r="EE393" s="798"/>
      <c r="EF393" s="798"/>
      <c r="EG393" s="798"/>
      <c r="EH393" s="782"/>
    </row>
    <row r="394" spans="1:138" ht="12.75" customHeight="1" x14ac:dyDescent="0.3">
      <c r="A394" s="782"/>
      <c r="B394" s="1382" t="s">
        <v>343</v>
      </c>
      <c r="C394" s="1386"/>
      <c r="D394" s="782"/>
      <c r="E394" s="798"/>
      <c r="F394" s="798"/>
      <c r="G394" s="798"/>
      <c r="H394" s="798"/>
      <c r="I394" s="798"/>
      <c r="J394" s="798"/>
      <c r="K394" s="798"/>
      <c r="L394" s="798"/>
      <c r="M394" s="798"/>
      <c r="N394" s="798"/>
      <c r="O394" s="798"/>
      <c r="P394" s="798"/>
      <c r="Q394" s="798"/>
      <c r="R394" s="798"/>
      <c r="S394" s="798"/>
      <c r="T394" s="798"/>
      <c r="U394" s="798"/>
      <c r="V394" s="798"/>
      <c r="W394" s="798"/>
      <c r="X394" s="798"/>
      <c r="Y394" s="798"/>
      <c r="Z394" s="798"/>
      <c r="AA394" s="798"/>
      <c r="AB394" s="798"/>
      <c r="AC394" s="798"/>
      <c r="AD394" s="798"/>
      <c r="AE394" s="798"/>
      <c r="AF394" s="798"/>
      <c r="AG394" s="798"/>
      <c r="AH394" s="798"/>
      <c r="AI394" s="798"/>
      <c r="AJ394" s="798"/>
      <c r="AK394" s="798"/>
      <c r="AL394" s="798"/>
      <c r="AM394" s="798"/>
      <c r="AN394" s="798"/>
      <c r="AO394" s="798"/>
      <c r="AP394" s="798"/>
      <c r="AQ394" s="798"/>
      <c r="AR394" s="798"/>
      <c r="AS394" s="798"/>
      <c r="AT394" s="798"/>
      <c r="AU394" s="798"/>
      <c r="AV394" s="798"/>
      <c r="AW394" s="798"/>
      <c r="AX394" s="798"/>
      <c r="AY394" s="798"/>
      <c r="AZ394" s="798"/>
      <c r="BA394" s="798"/>
      <c r="BB394" s="798"/>
      <c r="BC394" s="798"/>
      <c r="BD394" s="798"/>
      <c r="BE394" s="798"/>
      <c r="BF394" s="798"/>
      <c r="BG394" s="798"/>
      <c r="BH394" s="798"/>
      <c r="BI394" s="798"/>
      <c r="BJ394" s="798"/>
      <c r="BK394" s="798"/>
      <c r="BL394" s="798"/>
      <c r="BM394" s="798"/>
      <c r="BN394" s="798"/>
      <c r="BO394" s="798"/>
      <c r="BP394" s="798"/>
      <c r="BQ394" s="798"/>
      <c r="BR394" s="798"/>
      <c r="BS394" s="798"/>
      <c r="BT394" s="798"/>
      <c r="BU394" s="798"/>
      <c r="BV394" s="798"/>
      <c r="BW394" s="798"/>
      <c r="BX394" s="798"/>
      <c r="BY394" s="798"/>
      <c r="BZ394" s="798"/>
      <c r="CA394" s="798"/>
      <c r="CB394" s="798"/>
      <c r="CC394" s="798"/>
      <c r="CD394" s="798"/>
      <c r="CE394" s="798"/>
      <c r="CF394" s="798"/>
      <c r="CG394" s="798"/>
      <c r="CH394" s="798"/>
      <c r="CI394" s="798"/>
      <c r="CJ394" s="798"/>
      <c r="CK394" s="798"/>
      <c r="CL394" s="798"/>
      <c r="CM394" s="798"/>
      <c r="CN394" s="798"/>
      <c r="CO394" s="798"/>
      <c r="CP394" s="798"/>
      <c r="CQ394" s="798"/>
      <c r="CR394" s="798"/>
      <c r="CS394" s="798"/>
      <c r="CT394" s="798"/>
      <c r="CU394" s="798"/>
      <c r="CV394" s="798"/>
      <c r="CW394" s="798"/>
      <c r="CX394" s="798"/>
      <c r="CY394" s="798"/>
      <c r="CZ394" s="798"/>
      <c r="DA394" s="798"/>
      <c r="DB394" s="798"/>
      <c r="DC394" s="798"/>
      <c r="DD394" s="798"/>
      <c r="DE394" s="798"/>
      <c r="DF394" s="798"/>
      <c r="DG394" s="798"/>
      <c r="DH394" s="798"/>
      <c r="DI394" s="798"/>
      <c r="DJ394" s="798"/>
      <c r="DK394" s="798"/>
      <c r="DL394" s="798"/>
      <c r="DM394" s="798"/>
      <c r="DN394" s="798"/>
      <c r="DO394" s="798"/>
      <c r="DP394" s="798"/>
      <c r="DQ394" s="798"/>
      <c r="DR394" s="798"/>
      <c r="DS394" s="798"/>
      <c r="DT394" s="798"/>
      <c r="DU394" s="798"/>
      <c r="DV394" s="798"/>
      <c r="DW394" s="798"/>
      <c r="DX394" s="798"/>
      <c r="DY394" s="798"/>
      <c r="DZ394" s="798"/>
      <c r="EA394" s="798"/>
      <c r="EB394" s="798"/>
      <c r="EC394" s="798"/>
      <c r="ED394" s="798"/>
      <c r="EE394" s="798"/>
      <c r="EF394" s="798"/>
      <c r="EG394" s="798"/>
      <c r="EH394" s="782"/>
    </row>
    <row r="395" spans="1:138" ht="12.75" customHeight="1" x14ac:dyDescent="0.3">
      <c r="A395" s="782"/>
      <c r="B395" s="782" t="s">
        <v>344</v>
      </c>
      <c r="C395" s="838">
        <f>SUM(E395:EG395)</f>
        <v>5078965.776275536</v>
      </c>
      <c r="D395" s="782"/>
      <c r="E395" s="798">
        <f>+E65*'Venture Assumptions'!$F$11</f>
        <v>-483915.44493817433</v>
      </c>
      <c r="F395" s="798">
        <f>+F65*'Venture Assumptions'!$F$11</f>
        <v>-3786953.2655157587</v>
      </c>
      <c r="G395" s="798">
        <f>+G65*'Venture Assumptions'!$F$11</f>
        <v>-122383.00238745508</v>
      </c>
      <c r="H395" s="798">
        <f>+H65*'Venture Assumptions'!$F$11</f>
        <v>-184043.42845892053</v>
      </c>
      <c r="I395" s="798">
        <f>+I65*'Venture Assumptions'!$F$11</f>
        <v>-310171.79143582279</v>
      </c>
      <c r="J395" s="798">
        <f>+J65*'Venture Assumptions'!$F$11</f>
        <v>-504010.4902365295</v>
      </c>
      <c r="K395" s="798">
        <f>+K65*'Venture Assumptions'!$F$11</f>
        <v>-518817.66635737661</v>
      </c>
      <c r="L395" s="798">
        <f>+L65*'Venture Assumptions'!$F$11</f>
        <v>-660232.93274344527</v>
      </c>
      <c r="M395" s="798">
        <f>+M65*'Venture Assumptions'!$F$11</f>
        <v>-782640.92400840519</v>
      </c>
      <c r="N395" s="798">
        <f>+N65*'Venture Assumptions'!$F$11</f>
        <v>-915691.56200147828</v>
      </c>
      <c r="O395" s="798">
        <f>+O65*'Venture Assumptions'!$F$11</f>
        <v>-521913.00791343622</v>
      </c>
      <c r="P395" s="798">
        <f>+P65*'Venture Assumptions'!$F$11</f>
        <v>-5040.6178655354588</v>
      </c>
      <c r="Q395" s="798">
        <f>+Q65*'Venture Assumptions'!$F$11</f>
        <v>-5362.5895044022855</v>
      </c>
      <c r="R395" s="798">
        <f>+R65*'Venture Assumptions'!$F$11</f>
        <v>-5688.7504126991989</v>
      </c>
      <c r="S395" s="798">
        <f>+S65*'Venture Assumptions'!$F$11</f>
        <v>-6018.1414979570554</v>
      </c>
      <c r="T395" s="798">
        <f>+T65*'Venture Assumptions'!$F$11</f>
        <v>-6325.8928431823751</v>
      </c>
      <c r="U395" s="798">
        <f>+U65*'Venture Assumptions'!$F$11</f>
        <v>-6624.7690663671392</v>
      </c>
      <c r="V395" s="798">
        <f>+V65*'Venture Assumptions'!$F$11</f>
        <v>-6901.3517109368104</v>
      </c>
      <c r="W395" s="798">
        <f>+W65*'Venture Assumptions'!$F$11</f>
        <v>-7149.9715330838571</v>
      </c>
      <c r="X395" s="798">
        <f>+X65*'Venture Assumptions'!$F$11</f>
        <v>-7397.2940424782037</v>
      </c>
      <c r="Y395" s="798">
        <f>+Y65*'Venture Assumptions'!$F$11</f>
        <v>-7624.2569287229198</v>
      </c>
      <c r="Z395" s="798">
        <f>+Z65*'Venture Assumptions'!$F$11</f>
        <v>-7815.2412370074708</v>
      </c>
      <c r="AA395" s="798">
        <f>+AA65*'Venture Assumptions'!$F$11</f>
        <v>-7977.9707649382999</v>
      </c>
      <c r="AB395" s="798">
        <f>+AB65*'Venture Assumptions'!$F$11</f>
        <v>-8113.2463940009302</v>
      </c>
      <c r="AC395" s="798">
        <f>+AC65*'Venture Assumptions'!$F$11</f>
        <v>2779.9493693994978</v>
      </c>
      <c r="AD395" s="798">
        <f>+AD65*'Venture Assumptions'!$F$11</f>
        <v>12720.670173259716</v>
      </c>
      <c r="AE395" s="798">
        <f>+AE65*'Venture Assumptions'!$F$11</f>
        <v>24075.911879032577</v>
      </c>
      <c r="AF395" s="798">
        <f>+AF65*'Venture Assumptions'!$F$11</f>
        <v>46345.96744998049</v>
      </c>
      <c r="AG395" s="798">
        <f>+AG65*'Venture Assumptions'!$F$11</f>
        <v>47253.906521291196</v>
      </c>
      <c r="AH395" s="798">
        <f>+AH65*'Venture Assumptions'!$F$11</f>
        <v>47578.390606789268</v>
      </c>
      <c r="AI395" s="798">
        <f>+AI65*'Venture Assumptions'!$F$11</f>
        <v>105733.24885003014</v>
      </c>
      <c r="AJ395" s="798">
        <f>+AJ65*'Venture Assumptions'!$F$11</f>
        <v>106377.8967827451</v>
      </c>
      <c r="AK395" s="798">
        <f>+AK65*'Venture Assumptions'!$F$11</f>
        <v>13564913.444441123</v>
      </c>
      <c r="AL395" s="798">
        <f>+AL65*'Venture Assumptions'!$F$11</f>
        <v>0</v>
      </c>
      <c r="AM395" s="798">
        <f>+AM65*'Venture Assumptions'!$F$11</f>
        <v>0</v>
      </c>
      <c r="AN395" s="798">
        <f>+AN65*'Venture Assumptions'!$F$11</f>
        <v>0</v>
      </c>
      <c r="AO395" s="798">
        <f>+AO65*'Venture Assumptions'!$F$11</f>
        <v>0</v>
      </c>
      <c r="AP395" s="798">
        <f>+AP65*'Venture Assumptions'!$F$11</f>
        <v>0</v>
      </c>
      <c r="AQ395" s="798">
        <f>+AQ65*'Venture Assumptions'!$F$11</f>
        <v>0</v>
      </c>
      <c r="AR395" s="798">
        <f>+AR65*'Venture Assumptions'!$F$11</f>
        <v>0</v>
      </c>
      <c r="AS395" s="798">
        <f>+AS65*'Venture Assumptions'!$F$11</f>
        <v>0</v>
      </c>
      <c r="AT395" s="798">
        <f>+AT65*'Venture Assumptions'!$F$11</f>
        <v>0</v>
      </c>
      <c r="AU395" s="798">
        <f>+AU65*'Venture Assumptions'!$F$11</f>
        <v>0</v>
      </c>
      <c r="AV395" s="798">
        <f>+AV65*'Venture Assumptions'!$F$11</f>
        <v>0</v>
      </c>
      <c r="AW395" s="798">
        <f>+AW65*'Venture Assumptions'!$F$11</f>
        <v>0</v>
      </c>
      <c r="AX395" s="798">
        <f>+AX65*'Venture Assumptions'!$F$11</f>
        <v>0</v>
      </c>
      <c r="AY395" s="798">
        <f>+AY65*'Venture Assumptions'!$F$11</f>
        <v>0</v>
      </c>
      <c r="AZ395" s="798">
        <f>+AZ65*'Venture Assumptions'!$F$11</f>
        <v>0</v>
      </c>
      <c r="BA395" s="798">
        <f>+BA65*'Venture Assumptions'!$F$11</f>
        <v>0</v>
      </c>
      <c r="BB395" s="798">
        <f>+BB65*'Venture Assumptions'!$F$11</f>
        <v>0</v>
      </c>
      <c r="BC395" s="798">
        <f>+BC65*'Venture Assumptions'!$F$11</f>
        <v>0</v>
      </c>
      <c r="BD395" s="798">
        <f>+BD65*'Venture Assumptions'!$F$11</f>
        <v>0</v>
      </c>
      <c r="BE395" s="798">
        <f>+BE65*'Venture Assumptions'!$F$11</f>
        <v>0</v>
      </c>
      <c r="BF395" s="798">
        <f>+BF65*'Venture Assumptions'!$F$11</f>
        <v>0</v>
      </c>
      <c r="BG395" s="798">
        <f>+BG65*'Venture Assumptions'!$F$11</f>
        <v>0</v>
      </c>
      <c r="BH395" s="798">
        <f>+BH65*'Venture Assumptions'!$F$11</f>
        <v>0</v>
      </c>
      <c r="BI395" s="798">
        <f>+BI65*'Venture Assumptions'!$F$11</f>
        <v>0</v>
      </c>
      <c r="BJ395" s="798">
        <f>+BJ65*'Venture Assumptions'!$F$11</f>
        <v>0</v>
      </c>
      <c r="BK395" s="798">
        <f>+BK65*'Venture Assumptions'!$F$11</f>
        <v>0</v>
      </c>
      <c r="BL395" s="798">
        <f>+BL65*'Venture Assumptions'!$F$11</f>
        <v>0</v>
      </c>
      <c r="BM395" s="798">
        <f>+BM65*'Venture Assumptions'!$F$11</f>
        <v>0</v>
      </c>
      <c r="BN395" s="798">
        <f>+BN65*'Venture Assumptions'!$F$11</f>
        <v>0</v>
      </c>
      <c r="BO395" s="798">
        <f>+BO65*'Venture Assumptions'!$F$11</f>
        <v>0</v>
      </c>
      <c r="BP395" s="798">
        <f>+BP65*'Venture Assumptions'!$F$11</f>
        <v>0</v>
      </c>
      <c r="BQ395" s="798">
        <f>+BQ65*'Venture Assumptions'!$F$11</f>
        <v>0</v>
      </c>
      <c r="BR395" s="798">
        <f>+BR65*'Venture Assumptions'!$F$11</f>
        <v>0</v>
      </c>
      <c r="BS395" s="798">
        <f>+BS65*'Venture Assumptions'!$F$11</f>
        <v>0</v>
      </c>
      <c r="BT395" s="798">
        <f>+BT65*'Venture Assumptions'!$F$11</f>
        <v>0</v>
      </c>
      <c r="BU395" s="798">
        <f>+BU65*'Venture Assumptions'!$F$11</f>
        <v>0</v>
      </c>
      <c r="BV395" s="798">
        <f>+BV65*'Venture Assumptions'!$F$11</f>
        <v>0</v>
      </c>
      <c r="BW395" s="798">
        <f>+BW65*'Venture Assumptions'!$F$11</f>
        <v>0</v>
      </c>
      <c r="BX395" s="798">
        <f>+BX65*'Venture Assumptions'!$F$11</f>
        <v>0</v>
      </c>
      <c r="BY395" s="798">
        <f>+BY65*'Venture Assumptions'!$F$11</f>
        <v>0</v>
      </c>
      <c r="BZ395" s="798">
        <f>+BZ65*'Venture Assumptions'!$F$11</f>
        <v>0</v>
      </c>
      <c r="CA395" s="798">
        <f>+CA65*'Venture Assumptions'!$F$11</f>
        <v>0</v>
      </c>
      <c r="CB395" s="798">
        <f>+CB65*'Venture Assumptions'!$F$11</f>
        <v>0</v>
      </c>
      <c r="CC395" s="798">
        <f>+CC65*'Venture Assumptions'!$F$11</f>
        <v>0</v>
      </c>
      <c r="CD395" s="798">
        <f>+CD65*'Venture Assumptions'!$F$11</f>
        <v>0</v>
      </c>
      <c r="CE395" s="798">
        <f>+CE65*'Venture Assumptions'!$F$11</f>
        <v>0</v>
      </c>
      <c r="CF395" s="798">
        <f>+CF65*'Venture Assumptions'!$F$11</f>
        <v>0</v>
      </c>
      <c r="CG395" s="798">
        <f>+CG65*'Venture Assumptions'!$F$11</f>
        <v>0</v>
      </c>
      <c r="CH395" s="798">
        <f>+CH65*'Venture Assumptions'!$F$11</f>
        <v>0</v>
      </c>
      <c r="CI395" s="798">
        <f>+CI65*'Venture Assumptions'!$F$11</f>
        <v>0</v>
      </c>
      <c r="CJ395" s="798">
        <f>+CJ65*'Venture Assumptions'!$F$11</f>
        <v>0</v>
      </c>
      <c r="CK395" s="798">
        <f>+CK65*'Venture Assumptions'!$F$11</f>
        <v>0</v>
      </c>
      <c r="CL395" s="798">
        <f>+CL65*'Venture Assumptions'!$F$11</f>
        <v>0</v>
      </c>
      <c r="CM395" s="798">
        <f>+CM65*'Venture Assumptions'!$F$11</f>
        <v>0</v>
      </c>
      <c r="CN395" s="798">
        <f>+CN65*'Venture Assumptions'!$F$11</f>
        <v>0</v>
      </c>
      <c r="CO395" s="798">
        <f>+CO65*'Venture Assumptions'!$F$11</f>
        <v>0</v>
      </c>
      <c r="CP395" s="798">
        <f>+CP65*'Venture Assumptions'!$F$11</f>
        <v>0</v>
      </c>
      <c r="CQ395" s="798">
        <f>+CQ65*'Venture Assumptions'!$F$11</f>
        <v>0</v>
      </c>
      <c r="CR395" s="798">
        <f>+CR65*'Venture Assumptions'!$F$11</f>
        <v>0</v>
      </c>
      <c r="CS395" s="798">
        <f>+CS65*'Venture Assumptions'!$F$11</f>
        <v>0</v>
      </c>
      <c r="CT395" s="798">
        <f>+CT65*'Venture Assumptions'!$F$11</f>
        <v>0</v>
      </c>
      <c r="CU395" s="798">
        <f>+CU65*'Venture Assumptions'!$F$11</f>
        <v>0</v>
      </c>
      <c r="CV395" s="798">
        <f>+CV65*'Venture Assumptions'!$F$11</f>
        <v>0</v>
      </c>
      <c r="CW395" s="798">
        <f>+CW65*'Venture Assumptions'!$F$11</f>
        <v>0</v>
      </c>
      <c r="CX395" s="798">
        <f>+CX65*'Venture Assumptions'!$F$11</f>
        <v>0</v>
      </c>
      <c r="CY395" s="798">
        <f>+CY65*'Venture Assumptions'!$F$11</f>
        <v>0</v>
      </c>
      <c r="CZ395" s="798">
        <f>+CZ65*'Venture Assumptions'!$F$11</f>
        <v>0</v>
      </c>
      <c r="DA395" s="798">
        <f>+DA65*'Venture Assumptions'!$F$11</f>
        <v>0</v>
      </c>
      <c r="DB395" s="798">
        <f>+DB65*'Venture Assumptions'!$F$11</f>
        <v>0</v>
      </c>
      <c r="DC395" s="798">
        <f>+DC65*'Venture Assumptions'!$F$11</f>
        <v>0</v>
      </c>
      <c r="DD395" s="798">
        <f>+DD65*'Venture Assumptions'!$F$11</f>
        <v>0</v>
      </c>
      <c r="DE395" s="798">
        <f>+DE65*'Venture Assumptions'!$F$11</f>
        <v>0</v>
      </c>
      <c r="DF395" s="798">
        <f>+DF65*'Venture Assumptions'!$F$11</f>
        <v>0</v>
      </c>
      <c r="DG395" s="798">
        <f>+DG65*'Venture Assumptions'!$F$11</f>
        <v>0</v>
      </c>
      <c r="DH395" s="798">
        <f>+DH65*'Venture Assumptions'!$F$11</f>
        <v>0</v>
      </c>
      <c r="DI395" s="798">
        <f>+DI65*'Venture Assumptions'!$F$11</f>
        <v>0</v>
      </c>
      <c r="DJ395" s="798">
        <f>+DJ65*'Venture Assumptions'!$F$11</f>
        <v>0</v>
      </c>
      <c r="DK395" s="798">
        <f>+DK65*'Venture Assumptions'!$F$11</f>
        <v>0</v>
      </c>
      <c r="DL395" s="798">
        <f>+DL65*'Venture Assumptions'!$F$11</f>
        <v>0</v>
      </c>
      <c r="DM395" s="798">
        <f>+DM65*'Venture Assumptions'!$F$11</f>
        <v>0</v>
      </c>
      <c r="DN395" s="798">
        <f>+DN65*'Venture Assumptions'!$F$11</f>
        <v>0</v>
      </c>
      <c r="DO395" s="798">
        <f>+DO65*'Venture Assumptions'!$F$11</f>
        <v>0</v>
      </c>
      <c r="DP395" s="798">
        <f>+DP65*'Venture Assumptions'!$F$11</f>
        <v>0</v>
      </c>
      <c r="DQ395" s="798">
        <f>+DQ65*'Venture Assumptions'!$F$11</f>
        <v>0</v>
      </c>
      <c r="DR395" s="798">
        <f>+DR65*'Venture Assumptions'!$F$11</f>
        <v>0</v>
      </c>
      <c r="DS395" s="798">
        <f>+DS65*'Venture Assumptions'!$F$11</f>
        <v>0</v>
      </c>
      <c r="DT395" s="798">
        <f>+DT65*'Venture Assumptions'!$F$11</f>
        <v>0</v>
      </c>
      <c r="DU395" s="798">
        <f>+DU65*'Venture Assumptions'!$F$11</f>
        <v>0</v>
      </c>
      <c r="DV395" s="798">
        <f>+DV65*'Venture Assumptions'!$F$11</f>
        <v>0</v>
      </c>
      <c r="DW395" s="798">
        <f>+DW65*'Venture Assumptions'!$F$11</f>
        <v>0</v>
      </c>
      <c r="DX395" s="798">
        <f>+DX65*'Venture Assumptions'!$F$11</f>
        <v>0</v>
      </c>
      <c r="DY395" s="798">
        <f>+DY65*'Venture Assumptions'!$F$11</f>
        <v>0</v>
      </c>
      <c r="DZ395" s="798">
        <f>+DZ65*'Venture Assumptions'!$F$11</f>
        <v>0</v>
      </c>
      <c r="EA395" s="798">
        <f>+EA65*'Venture Assumptions'!$F$11</f>
        <v>0</v>
      </c>
      <c r="EB395" s="798">
        <f>+EB65*'Venture Assumptions'!$F$11</f>
        <v>0</v>
      </c>
      <c r="EC395" s="798">
        <f>+EC65*'Venture Assumptions'!$F$11</f>
        <v>0</v>
      </c>
      <c r="ED395" s="798">
        <f>+ED65*'Venture Assumptions'!$F$11</f>
        <v>0</v>
      </c>
      <c r="EE395" s="798">
        <f>+EE65*'Venture Assumptions'!$F$11</f>
        <v>0</v>
      </c>
      <c r="EF395" s="798">
        <f>+EF65*'Venture Assumptions'!$F$11</f>
        <v>0</v>
      </c>
      <c r="EG395" s="798">
        <f>+EG65*'Venture Assumptions'!$F$11</f>
        <v>0</v>
      </c>
      <c r="EH395" s="782"/>
    </row>
    <row r="396" spans="1:138" ht="12.75" customHeight="1" x14ac:dyDescent="0.3">
      <c r="A396" s="782"/>
      <c r="B396" s="833" t="s">
        <v>195</v>
      </c>
      <c r="C396" s="834">
        <f>XIRR(OFFSET(E395,0,$C$141):EG395,OFFSET($E$4,0,$C$141):$EG$4)</f>
        <v>0.21550791859626769</v>
      </c>
      <c r="D396" s="782"/>
      <c r="E396" s="798"/>
      <c r="F396" s="798"/>
      <c r="G396" s="798"/>
      <c r="H396" s="798"/>
      <c r="I396" s="798"/>
      <c r="J396" s="798"/>
      <c r="K396" s="798"/>
      <c r="L396" s="798"/>
      <c r="M396" s="798"/>
      <c r="N396" s="798"/>
      <c r="O396" s="798"/>
      <c r="P396" s="798"/>
      <c r="Q396" s="798"/>
      <c r="R396" s="798"/>
      <c r="S396" s="798"/>
      <c r="T396" s="798"/>
      <c r="U396" s="798"/>
      <c r="V396" s="798"/>
      <c r="W396" s="798"/>
      <c r="X396" s="798"/>
      <c r="Y396" s="798"/>
      <c r="Z396" s="798"/>
      <c r="AA396" s="798"/>
      <c r="AB396" s="798"/>
      <c r="AC396" s="798"/>
      <c r="AD396" s="798"/>
      <c r="AE396" s="798"/>
      <c r="AF396" s="798"/>
      <c r="AG396" s="798"/>
      <c r="AH396" s="798"/>
      <c r="AI396" s="798"/>
      <c r="AJ396" s="798"/>
      <c r="AK396" s="798"/>
      <c r="AL396" s="798"/>
      <c r="AM396" s="798"/>
      <c r="AN396" s="798"/>
      <c r="AO396" s="798"/>
      <c r="AP396" s="798"/>
      <c r="AQ396" s="798"/>
      <c r="AR396" s="798"/>
      <c r="AS396" s="798"/>
      <c r="AT396" s="798"/>
      <c r="AU396" s="798"/>
      <c r="AV396" s="798"/>
      <c r="AW396" s="798"/>
      <c r="AX396" s="798"/>
      <c r="AY396" s="798"/>
      <c r="AZ396" s="798"/>
      <c r="BA396" s="798"/>
      <c r="BB396" s="798"/>
      <c r="BC396" s="798"/>
      <c r="BD396" s="798"/>
      <c r="BE396" s="798"/>
      <c r="BF396" s="798"/>
      <c r="BG396" s="798"/>
      <c r="BH396" s="798"/>
      <c r="BI396" s="798"/>
      <c r="BJ396" s="798"/>
      <c r="BK396" s="798"/>
      <c r="BL396" s="798"/>
      <c r="BM396" s="798"/>
      <c r="BN396" s="798"/>
      <c r="BO396" s="798"/>
      <c r="BP396" s="798"/>
      <c r="BQ396" s="798"/>
      <c r="BR396" s="798"/>
      <c r="BS396" s="798"/>
      <c r="BT396" s="798"/>
      <c r="BU396" s="798"/>
      <c r="BV396" s="798"/>
      <c r="BW396" s="798"/>
      <c r="BX396" s="798"/>
      <c r="BY396" s="798"/>
      <c r="BZ396" s="798"/>
      <c r="CA396" s="798"/>
      <c r="CB396" s="798"/>
      <c r="CC396" s="798"/>
      <c r="CD396" s="798"/>
      <c r="CE396" s="798"/>
      <c r="CF396" s="798"/>
      <c r="CG396" s="798"/>
      <c r="CH396" s="798"/>
      <c r="CI396" s="798"/>
      <c r="CJ396" s="798"/>
      <c r="CK396" s="798"/>
      <c r="CL396" s="798"/>
      <c r="CM396" s="798"/>
      <c r="CN396" s="798"/>
      <c r="CO396" s="798"/>
      <c r="CP396" s="798"/>
      <c r="CQ396" s="798"/>
      <c r="CR396" s="798"/>
      <c r="CS396" s="798"/>
      <c r="CT396" s="798"/>
      <c r="CU396" s="798"/>
      <c r="CV396" s="798"/>
      <c r="CW396" s="798"/>
      <c r="CX396" s="798"/>
      <c r="CY396" s="798"/>
      <c r="CZ396" s="798"/>
      <c r="DA396" s="798"/>
      <c r="DB396" s="798"/>
      <c r="DC396" s="798"/>
      <c r="DD396" s="798"/>
      <c r="DE396" s="798"/>
      <c r="DF396" s="798"/>
      <c r="DG396" s="798"/>
      <c r="DH396" s="798"/>
      <c r="DI396" s="798"/>
      <c r="DJ396" s="798"/>
      <c r="DK396" s="798"/>
      <c r="DL396" s="798"/>
      <c r="DM396" s="798"/>
      <c r="DN396" s="798"/>
      <c r="DO396" s="798"/>
      <c r="DP396" s="798"/>
      <c r="DQ396" s="798"/>
      <c r="DR396" s="798"/>
      <c r="DS396" s="798"/>
      <c r="DT396" s="798"/>
      <c r="DU396" s="798"/>
      <c r="DV396" s="798"/>
      <c r="DW396" s="798"/>
      <c r="DX396" s="798"/>
      <c r="DY396" s="798"/>
      <c r="DZ396" s="798"/>
      <c r="EA396" s="798"/>
      <c r="EB396" s="798"/>
      <c r="EC396" s="798"/>
      <c r="ED396" s="798"/>
      <c r="EE396" s="798"/>
      <c r="EF396" s="798"/>
      <c r="EG396" s="798"/>
      <c r="EH396" s="782"/>
    </row>
    <row r="397" spans="1:138" ht="12.75" customHeight="1" x14ac:dyDescent="0.3">
      <c r="A397" s="782"/>
      <c r="B397" s="835" t="s">
        <v>196</v>
      </c>
      <c r="C397" s="836">
        <f>SUMIF($E$395:$EG$395,"&gt;0")/-SUMIF($E$395:$EG$395,"&lt;0")</f>
        <v>1.5720320303458903</v>
      </c>
      <c r="D397" s="782"/>
      <c r="E397" s="798"/>
      <c r="F397" s="798"/>
      <c r="G397" s="798"/>
      <c r="H397" s="798"/>
      <c r="I397" s="798"/>
      <c r="J397" s="798"/>
      <c r="K397" s="798"/>
      <c r="L397" s="798"/>
      <c r="M397" s="798"/>
      <c r="N397" s="798"/>
      <c r="O397" s="798"/>
      <c r="P397" s="798"/>
      <c r="Q397" s="798"/>
      <c r="R397" s="798"/>
      <c r="S397" s="798"/>
      <c r="T397" s="798"/>
      <c r="U397" s="798"/>
      <c r="V397" s="798"/>
      <c r="W397" s="798"/>
      <c r="X397" s="798"/>
      <c r="Y397" s="798"/>
      <c r="Z397" s="798"/>
      <c r="AA397" s="798"/>
      <c r="AB397" s="798"/>
      <c r="AC397" s="798"/>
      <c r="AD397" s="798"/>
      <c r="AE397" s="798"/>
      <c r="AF397" s="798"/>
      <c r="AG397" s="798"/>
      <c r="AH397" s="798"/>
      <c r="AI397" s="798"/>
      <c r="AJ397" s="798"/>
      <c r="AK397" s="798"/>
      <c r="AL397" s="798"/>
      <c r="AM397" s="798"/>
      <c r="AN397" s="798"/>
      <c r="AO397" s="798"/>
      <c r="AP397" s="798"/>
      <c r="AQ397" s="798"/>
      <c r="AR397" s="798"/>
      <c r="AS397" s="798"/>
      <c r="AT397" s="798"/>
      <c r="AU397" s="798"/>
      <c r="AV397" s="798"/>
      <c r="AW397" s="798"/>
      <c r="AX397" s="798"/>
      <c r="AY397" s="798"/>
      <c r="AZ397" s="798"/>
      <c r="BA397" s="798"/>
      <c r="BB397" s="798"/>
      <c r="BC397" s="798"/>
      <c r="BD397" s="798"/>
      <c r="BE397" s="798"/>
      <c r="BF397" s="798"/>
      <c r="BG397" s="798"/>
      <c r="BH397" s="798"/>
      <c r="BI397" s="798"/>
      <c r="BJ397" s="798"/>
      <c r="BK397" s="798"/>
      <c r="BL397" s="798"/>
      <c r="BM397" s="798"/>
      <c r="BN397" s="798"/>
      <c r="BO397" s="798"/>
      <c r="BP397" s="798"/>
      <c r="BQ397" s="798"/>
      <c r="BR397" s="798"/>
      <c r="BS397" s="798"/>
      <c r="BT397" s="798"/>
      <c r="BU397" s="798"/>
      <c r="BV397" s="798"/>
      <c r="BW397" s="798"/>
      <c r="BX397" s="798"/>
      <c r="BY397" s="798"/>
      <c r="BZ397" s="798"/>
      <c r="CA397" s="798"/>
      <c r="CB397" s="798"/>
      <c r="CC397" s="798"/>
      <c r="CD397" s="798"/>
      <c r="CE397" s="798"/>
      <c r="CF397" s="798"/>
      <c r="CG397" s="798"/>
      <c r="CH397" s="798"/>
      <c r="CI397" s="798"/>
      <c r="CJ397" s="798"/>
      <c r="CK397" s="798"/>
      <c r="CL397" s="798"/>
      <c r="CM397" s="798"/>
      <c r="CN397" s="798"/>
      <c r="CO397" s="798"/>
      <c r="CP397" s="798"/>
      <c r="CQ397" s="798"/>
      <c r="CR397" s="798"/>
      <c r="CS397" s="798"/>
      <c r="CT397" s="798"/>
      <c r="CU397" s="798"/>
      <c r="CV397" s="798"/>
      <c r="CW397" s="798"/>
      <c r="CX397" s="798"/>
      <c r="CY397" s="798"/>
      <c r="CZ397" s="798"/>
      <c r="DA397" s="798"/>
      <c r="DB397" s="798"/>
      <c r="DC397" s="798"/>
      <c r="DD397" s="798"/>
      <c r="DE397" s="798"/>
      <c r="DF397" s="798"/>
      <c r="DG397" s="798"/>
      <c r="DH397" s="798"/>
      <c r="DI397" s="798"/>
      <c r="DJ397" s="798"/>
      <c r="DK397" s="798"/>
      <c r="DL397" s="798"/>
      <c r="DM397" s="798"/>
      <c r="DN397" s="798"/>
      <c r="DO397" s="798"/>
      <c r="DP397" s="798"/>
      <c r="DQ397" s="798"/>
      <c r="DR397" s="798"/>
      <c r="DS397" s="798"/>
      <c r="DT397" s="798"/>
      <c r="DU397" s="798"/>
      <c r="DV397" s="798"/>
      <c r="DW397" s="798"/>
      <c r="DX397" s="798"/>
      <c r="DY397" s="798"/>
      <c r="DZ397" s="798"/>
      <c r="EA397" s="798"/>
      <c r="EB397" s="798"/>
      <c r="EC397" s="798"/>
      <c r="ED397" s="798"/>
      <c r="EE397" s="798"/>
      <c r="EF397" s="798"/>
      <c r="EG397" s="798"/>
      <c r="EH397" s="782"/>
    </row>
    <row r="398" spans="1:138" ht="12.75" customHeight="1" x14ac:dyDescent="0.3">
      <c r="A398" s="782"/>
      <c r="B398" s="782" t="s">
        <v>155</v>
      </c>
      <c r="C398" s="1384"/>
      <c r="D398" s="782"/>
      <c r="E398" s="798"/>
      <c r="F398" s="798"/>
      <c r="G398" s="798"/>
      <c r="H398" s="798"/>
      <c r="I398" s="798"/>
      <c r="J398" s="798"/>
      <c r="K398" s="798"/>
      <c r="L398" s="798"/>
      <c r="M398" s="798"/>
      <c r="N398" s="798"/>
      <c r="O398" s="798"/>
      <c r="P398" s="798"/>
      <c r="Q398" s="798"/>
      <c r="R398" s="798"/>
      <c r="S398" s="798"/>
      <c r="T398" s="798"/>
      <c r="U398" s="798"/>
      <c r="V398" s="798"/>
      <c r="W398" s="798"/>
      <c r="X398" s="798"/>
      <c r="Y398" s="798"/>
      <c r="Z398" s="798"/>
      <c r="AA398" s="798"/>
      <c r="AB398" s="798"/>
      <c r="AC398" s="798"/>
      <c r="AD398" s="798"/>
      <c r="AE398" s="798"/>
      <c r="AF398" s="798"/>
      <c r="AG398" s="798"/>
      <c r="AH398" s="798"/>
      <c r="AI398" s="798"/>
      <c r="AJ398" s="798"/>
      <c r="AK398" s="798"/>
      <c r="AL398" s="798"/>
      <c r="AM398" s="798"/>
      <c r="AN398" s="798"/>
      <c r="AO398" s="798"/>
      <c r="AP398" s="798"/>
      <c r="AQ398" s="798"/>
      <c r="AR398" s="798"/>
      <c r="AS398" s="798"/>
      <c r="AT398" s="798"/>
      <c r="AU398" s="798"/>
      <c r="AV398" s="798"/>
      <c r="AW398" s="798"/>
      <c r="AX398" s="798"/>
      <c r="AY398" s="798"/>
      <c r="AZ398" s="798"/>
      <c r="BA398" s="798"/>
      <c r="BB398" s="798"/>
      <c r="BC398" s="798"/>
      <c r="BD398" s="798"/>
      <c r="BE398" s="798"/>
      <c r="BF398" s="798"/>
      <c r="BG398" s="798"/>
      <c r="BH398" s="798"/>
      <c r="BI398" s="798"/>
      <c r="BJ398" s="798"/>
      <c r="BK398" s="798"/>
      <c r="BL398" s="798"/>
      <c r="BM398" s="798"/>
      <c r="BN398" s="798"/>
      <c r="BO398" s="798"/>
      <c r="BP398" s="798"/>
      <c r="BQ398" s="798"/>
      <c r="BR398" s="798"/>
      <c r="BS398" s="798"/>
      <c r="BT398" s="798"/>
      <c r="BU398" s="798"/>
      <c r="BV398" s="798"/>
      <c r="BW398" s="798"/>
      <c r="BX398" s="798"/>
      <c r="BY398" s="798"/>
      <c r="BZ398" s="798"/>
      <c r="CA398" s="798"/>
      <c r="CB398" s="798"/>
      <c r="CC398" s="798"/>
      <c r="CD398" s="798"/>
      <c r="CE398" s="798"/>
      <c r="CF398" s="798"/>
      <c r="CG398" s="798"/>
      <c r="CH398" s="798"/>
      <c r="CI398" s="798"/>
      <c r="CJ398" s="798"/>
      <c r="CK398" s="798"/>
      <c r="CL398" s="798"/>
      <c r="CM398" s="798"/>
      <c r="CN398" s="798"/>
      <c r="CO398" s="798"/>
      <c r="CP398" s="798"/>
      <c r="CQ398" s="798"/>
      <c r="CR398" s="798"/>
      <c r="CS398" s="798"/>
      <c r="CT398" s="798"/>
      <c r="CU398" s="798"/>
      <c r="CV398" s="798"/>
      <c r="CW398" s="798"/>
      <c r="CX398" s="798"/>
      <c r="CY398" s="798"/>
      <c r="CZ398" s="798"/>
      <c r="DA398" s="798"/>
      <c r="DB398" s="798"/>
      <c r="DC398" s="798"/>
      <c r="DD398" s="798"/>
      <c r="DE398" s="798"/>
      <c r="DF398" s="798"/>
      <c r="DG398" s="798"/>
      <c r="DH398" s="798"/>
      <c r="DI398" s="798"/>
      <c r="DJ398" s="798"/>
      <c r="DK398" s="798"/>
      <c r="DL398" s="798"/>
      <c r="DM398" s="798"/>
      <c r="DN398" s="798"/>
      <c r="DO398" s="798"/>
      <c r="DP398" s="798"/>
      <c r="DQ398" s="798"/>
      <c r="DR398" s="798"/>
      <c r="DS398" s="798"/>
      <c r="DT398" s="798"/>
      <c r="DU398" s="798"/>
      <c r="DV398" s="798"/>
      <c r="DW398" s="798"/>
      <c r="DX398" s="798"/>
      <c r="DY398" s="798"/>
      <c r="DZ398" s="798"/>
      <c r="EA398" s="798"/>
      <c r="EB398" s="798"/>
      <c r="EC398" s="798"/>
      <c r="ED398" s="798"/>
      <c r="EE398" s="798"/>
      <c r="EF398" s="798"/>
      <c r="EG398" s="798"/>
      <c r="EH398" s="782"/>
    </row>
    <row r="399" spans="1:138" ht="12.75" customHeight="1" x14ac:dyDescent="0.3">
      <c r="A399" s="782"/>
      <c r="B399" s="782" t="s">
        <v>342</v>
      </c>
      <c r="C399" s="1385"/>
      <c r="D399" s="782"/>
      <c r="E399" s="798"/>
      <c r="F399" s="798"/>
      <c r="G399" s="798"/>
      <c r="H399" s="798"/>
      <c r="I399" s="798"/>
      <c r="J399" s="798"/>
      <c r="K399" s="798"/>
      <c r="L399" s="798"/>
      <c r="M399" s="798"/>
      <c r="N399" s="798"/>
      <c r="O399" s="798"/>
      <c r="P399" s="798"/>
      <c r="Q399" s="798"/>
      <c r="R399" s="798"/>
      <c r="S399" s="798"/>
      <c r="T399" s="798"/>
      <c r="U399" s="798"/>
      <c r="V399" s="798"/>
      <c r="W399" s="798"/>
      <c r="X399" s="798"/>
      <c r="Y399" s="798"/>
      <c r="Z399" s="798"/>
      <c r="AA399" s="798"/>
      <c r="AB399" s="798"/>
      <c r="AC399" s="798"/>
      <c r="AD399" s="798"/>
      <c r="AE399" s="798"/>
      <c r="AF399" s="798"/>
      <c r="AG399" s="798"/>
      <c r="AH399" s="798"/>
      <c r="AI399" s="798"/>
      <c r="AJ399" s="798"/>
      <c r="AK399" s="798"/>
      <c r="AL399" s="798"/>
      <c r="AM399" s="798"/>
      <c r="AN399" s="798"/>
      <c r="AO399" s="798"/>
      <c r="AP399" s="798"/>
      <c r="AQ399" s="798"/>
      <c r="AR399" s="798"/>
      <c r="AS399" s="798"/>
      <c r="AT399" s="798"/>
      <c r="AU399" s="798"/>
      <c r="AV399" s="798"/>
      <c r="AW399" s="798"/>
      <c r="AX399" s="798"/>
      <c r="AY399" s="798"/>
      <c r="AZ399" s="798"/>
      <c r="BA399" s="798"/>
      <c r="BB399" s="798"/>
      <c r="BC399" s="798"/>
      <c r="BD399" s="798"/>
      <c r="BE399" s="798"/>
      <c r="BF399" s="798"/>
      <c r="BG399" s="798"/>
      <c r="BH399" s="798"/>
      <c r="BI399" s="798"/>
      <c r="BJ399" s="798"/>
      <c r="BK399" s="798"/>
      <c r="BL399" s="798"/>
      <c r="BM399" s="798"/>
      <c r="BN399" s="798"/>
      <c r="BO399" s="798"/>
      <c r="BP399" s="798"/>
      <c r="BQ399" s="798"/>
      <c r="BR399" s="798"/>
      <c r="BS399" s="798"/>
      <c r="BT399" s="798"/>
      <c r="BU399" s="798"/>
      <c r="BV399" s="798"/>
      <c r="BW399" s="798"/>
      <c r="BX399" s="798"/>
      <c r="BY399" s="798"/>
      <c r="BZ399" s="798"/>
      <c r="CA399" s="798"/>
      <c r="CB399" s="798"/>
      <c r="CC399" s="798"/>
      <c r="CD399" s="798"/>
      <c r="CE399" s="798"/>
      <c r="CF399" s="798"/>
      <c r="CG399" s="798"/>
      <c r="CH399" s="798"/>
      <c r="CI399" s="798"/>
      <c r="CJ399" s="798"/>
      <c r="CK399" s="798"/>
      <c r="CL399" s="798"/>
      <c r="CM399" s="798"/>
      <c r="CN399" s="798"/>
      <c r="CO399" s="798"/>
      <c r="CP399" s="798"/>
      <c r="CQ399" s="798"/>
      <c r="CR399" s="798"/>
      <c r="CS399" s="798"/>
      <c r="CT399" s="798"/>
      <c r="CU399" s="798"/>
      <c r="CV399" s="798"/>
      <c r="CW399" s="798"/>
      <c r="CX399" s="798"/>
      <c r="CY399" s="798"/>
      <c r="CZ399" s="798"/>
      <c r="DA399" s="798"/>
      <c r="DB399" s="798"/>
      <c r="DC399" s="798"/>
      <c r="DD399" s="798"/>
      <c r="DE399" s="798"/>
      <c r="DF399" s="798"/>
      <c r="DG399" s="798"/>
      <c r="DH399" s="798"/>
      <c r="DI399" s="798"/>
      <c r="DJ399" s="798"/>
      <c r="DK399" s="798"/>
      <c r="DL399" s="798"/>
      <c r="DM399" s="798"/>
      <c r="DN399" s="798"/>
      <c r="DO399" s="798"/>
      <c r="DP399" s="798"/>
      <c r="DQ399" s="798"/>
      <c r="DR399" s="798"/>
      <c r="DS399" s="798"/>
      <c r="DT399" s="798"/>
      <c r="DU399" s="798"/>
      <c r="DV399" s="798"/>
      <c r="DW399" s="798"/>
      <c r="DX399" s="798"/>
      <c r="DY399" s="798"/>
      <c r="DZ399" s="798"/>
      <c r="EA399" s="798"/>
      <c r="EB399" s="798"/>
      <c r="EC399" s="798"/>
      <c r="ED399" s="798"/>
      <c r="EE399" s="798"/>
      <c r="EF399" s="798"/>
      <c r="EG399" s="798"/>
      <c r="EH399" s="782"/>
    </row>
    <row r="400" spans="1:138" ht="12.75" customHeight="1" x14ac:dyDescent="0.3">
      <c r="A400" s="782"/>
      <c r="B400" s="1382" t="s">
        <v>345</v>
      </c>
      <c r="C400" s="798"/>
      <c r="D400" s="782"/>
      <c r="E400" s="798"/>
      <c r="F400" s="798"/>
      <c r="G400" s="798"/>
      <c r="H400" s="798"/>
      <c r="I400" s="798"/>
      <c r="J400" s="798"/>
      <c r="K400" s="798"/>
      <c r="L400" s="798"/>
      <c r="M400" s="798"/>
      <c r="N400" s="798"/>
      <c r="O400" s="798"/>
      <c r="P400" s="798"/>
      <c r="Q400" s="798"/>
      <c r="R400" s="798"/>
      <c r="S400" s="798"/>
      <c r="T400" s="798"/>
      <c r="U400" s="798"/>
      <c r="V400" s="798"/>
      <c r="W400" s="798"/>
      <c r="X400" s="798"/>
      <c r="Y400" s="798"/>
      <c r="Z400" s="798"/>
      <c r="AA400" s="798"/>
      <c r="AB400" s="798"/>
      <c r="AC400" s="798"/>
      <c r="AD400" s="798"/>
      <c r="AE400" s="798"/>
      <c r="AF400" s="798"/>
      <c r="AG400" s="798"/>
      <c r="AH400" s="798"/>
      <c r="AI400" s="798"/>
      <c r="AJ400" s="798"/>
      <c r="AK400" s="798"/>
      <c r="AL400" s="798"/>
      <c r="AM400" s="798"/>
      <c r="AN400" s="798"/>
      <c r="AO400" s="798"/>
      <c r="AP400" s="798"/>
      <c r="AQ400" s="798"/>
      <c r="AR400" s="798"/>
      <c r="AS400" s="798"/>
      <c r="AT400" s="798"/>
      <c r="AU400" s="798"/>
      <c r="AV400" s="798"/>
      <c r="AW400" s="798"/>
      <c r="AX400" s="798"/>
      <c r="AY400" s="798"/>
      <c r="AZ400" s="798"/>
      <c r="BA400" s="798"/>
      <c r="BB400" s="798"/>
      <c r="BC400" s="798"/>
      <c r="BD400" s="798"/>
      <c r="BE400" s="798"/>
      <c r="BF400" s="798"/>
      <c r="BG400" s="798"/>
      <c r="BH400" s="798"/>
      <c r="BI400" s="798"/>
      <c r="BJ400" s="798"/>
      <c r="BK400" s="798"/>
      <c r="BL400" s="798"/>
      <c r="BM400" s="798"/>
      <c r="BN400" s="798"/>
      <c r="BO400" s="798"/>
      <c r="BP400" s="798"/>
      <c r="BQ400" s="798"/>
      <c r="BR400" s="798"/>
      <c r="BS400" s="798"/>
      <c r="BT400" s="798"/>
      <c r="BU400" s="798"/>
      <c r="BV400" s="798"/>
      <c r="BW400" s="798"/>
      <c r="BX400" s="798"/>
      <c r="BY400" s="798"/>
      <c r="BZ400" s="798"/>
      <c r="CA400" s="798"/>
      <c r="CB400" s="798"/>
      <c r="CC400" s="798"/>
      <c r="CD400" s="798"/>
      <c r="CE400" s="798"/>
      <c r="CF400" s="798"/>
      <c r="CG400" s="798"/>
      <c r="CH400" s="798"/>
      <c r="CI400" s="798"/>
      <c r="CJ400" s="798"/>
      <c r="CK400" s="798"/>
      <c r="CL400" s="798"/>
      <c r="CM400" s="798"/>
      <c r="CN400" s="798"/>
      <c r="CO400" s="798"/>
      <c r="CP400" s="798"/>
      <c r="CQ400" s="798"/>
      <c r="CR400" s="798"/>
      <c r="CS400" s="798"/>
      <c r="CT400" s="798"/>
      <c r="CU400" s="798"/>
      <c r="CV400" s="798"/>
      <c r="CW400" s="798"/>
      <c r="CX400" s="798"/>
      <c r="CY400" s="798"/>
      <c r="CZ400" s="798"/>
      <c r="DA400" s="798"/>
      <c r="DB400" s="798"/>
      <c r="DC400" s="798"/>
      <c r="DD400" s="798"/>
      <c r="DE400" s="798"/>
      <c r="DF400" s="798"/>
      <c r="DG400" s="798"/>
      <c r="DH400" s="798"/>
      <c r="DI400" s="798"/>
      <c r="DJ400" s="798"/>
      <c r="DK400" s="798"/>
      <c r="DL400" s="798"/>
      <c r="DM400" s="798"/>
      <c r="DN400" s="798"/>
      <c r="DO400" s="798"/>
      <c r="DP400" s="798"/>
      <c r="DQ400" s="798"/>
      <c r="DR400" s="798"/>
      <c r="DS400" s="798"/>
      <c r="DT400" s="798"/>
      <c r="DU400" s="798"/>
      <c r="DV400" s="798"/>
      <c r="DW400" s="798"/>
      <c r="DX400" s="798"/>
      <c r="DY400" s="798"/>
      <c r="DZ400" s="798"/>
      <c r="EA400" s="798"/>
      <c r="EB400" s="798"/>
      <c r="EC400" s="798"/>
      <c r="ED400" s="798"/>
      <c r="EE400" s="798"/>
      <c r="EF400" s="798"/>
      <c r="EG400" s="798"/>
      <c r="EH400" s="782"/>
    </row>
    <row r="401" spans="1:138" ht="12.75" customHeight="1" x14ac:dyDescent="0.3">
      <c r="A401" s="782"/>
      <c r="B401" s="782" t="s">
        <v>346</v>
      </c>
      <c r="C401" s="838">
        <f>SUM(E401:EG401)</f>
        <v>27266179.698435396</v>
      </c>
      <c r="D401" s="782"/>
      <c r="E401" s="798">
        <f>+E61</f>
        <v>-1943435.5218400576</v>
      </c>
      <c r="F401" s="798">
        <f t="shared" ref="F401:BQ401" si="306">+F61</f>
        <v>-15208647.652673729</v>
      </c>
      <c r="G401" s="798">
        <f t="shared" si="306"/>
        <v>-491498.0015560445</v>
      </c>
      <c r="H401" s="798">
        <f t="shared" si="306"/>
        <v>-739130.23477478127</v>
      </c>
      <c r="I401" s="798">
        <f t="shared" si="306"/>
        <v>-1245669.8451237862</v>
      </c>
      <c r="J401" s="798">
        <f t="shared" si="306"/>
        <v>-2024138.5150061427</v>
      </c>
      <c r="K401" s="798">
        <f t="shared" si="306"/>
        <v>-2083605.0857725968</v>
      </c>
      <c r="L401" s="798">
        <f t="shared" si="306"/>
        <v>-2651537.8825037964</v>
      </c>
      <c r="M401" s="798">
        <f t="shared" si="306"/>
        <v>-3143136.2409976111</v>
      </c>
      <c r="N401" s="798">
        <f t="shared" si="306"/>
        <v>-3677476.1526163789</v>
      </c>
      <c r="O401" s="798">
        <f t="shared" si="306"/>
        <v>-2096036.1763591815</v>
      </c>
      <c r="P401" s="798">
        <f t="shared" si="306"/>
        <v>-20243.445243114293</v>
      </c>
      <c r="Q401" s="798">
        <f t="shared" si="306"/>
        <v>-21536.504033744117</v>
      </c>
      <c r="R401" s="798">
        <f t="shared" si="306"/>
        <v>-22846.387199595178</v>
      </c>
      <c r="S401" s="798">
        <f t="shared" si="306"/>
        <v>-24169.242963682955</v>
      </c>
      <c r="T401" s="798">
        <f t="shared" si="306"/>
        <v>-25405.192141294679</v>
      </c>
      <c r="U401" s="798">
        <f t="shared" si="306"/>
        <v>-26605.498258502568</v>
      </c>
      <c r="V401" s="798">
        <f t="shared" si="306"/>
        <v>-27716.271931473133</v>
      </c>
      <c r="W401" s="798">
        <f t="shared" si="306"/>
        <v>-28714.745112786575</v>
      </c>
      <c r="X401" s="798">
        <f t="shared" si="306"/>
        <v>-29708.008202723711</v>
      </c>
      <c r="Y401" s="798">
        <f t="shared" si="306"/>
        <v>-30619.50573784305</v>
      </c>
      <c r="Z401" s="798">
        <f t="shared" si="306"/>
        <v>-31386.510991997875</v>
      </c>
      <c r="AA401" s="798">
        <f t="shared" si="306"/>
        <v>-32040.043232683936</v>
      </c>
      <c r="AB401" s="798">
        <f t="shared" si="306"/>
        <v>-32583.31885140936</v>
      </c>
      <c r="AC401" s="798">
        <f t="shared" si="306"/>
        <v>11164.455298793164</v>
      </c>
      <c r="AD401" s="798">
        <f t="shared" si="306"/>
        <v>51087.028808271949</v>
      </c>
      <c r="AE401" s="798">
        <f t="shared" si="306"/>
        <v>96690.409152741282</v>
      </c>
      <c r="AF401" s="798">
        <f t="shared" si="306"/>
        <v>186128.38333325498</v>
      </c>
      <c r="AG401" s="798">
        <f t="shared" si="306"/>
        <v>189774.72498510519</v>
      </c>
      <c r="AH401" s="798">
        <f t="shared" si="306"/>
        <v>191077.87392284846</v>
      </c>
      <c r="AI401" s="798">
        <f t="shared" si="306"/>
        <v>424631.52148606483</v>
      </c>
      <c r="AJ401" s="798">
        <f t="shared" si="306"/>
        <v>427220.46900700842</v>
      </c>
      <c r="AK401" s="798">
        <f t="shared" si="306"/>
        <v>61346290.815566257</v>
      </c>
      <c r="AL401" s="798">
        <f t="shared" si="306"/>
        <v>0</v>
      </c>
      <c r="AM401" s="798">
        <f t="shared" si="306"/>
        <v>0</v>
      </c>
      <c r="AN401" s="798">
        <f t="shared" si="306"/>
        <v>0</v>
      </c>
      <c r="AO401" s="798">
        <f t="shared" si="306"/>
        <v>0</v>
      </c>
      <c r="AP401" s="798">
        <f t="shared" si="306"/>
        <v>0</v>
      </c>
      <c r="AQ401" s="798">
        <f t="shared" si="306"/>
        <v>0</v>
      </c>
      <c r="AR401" s="798">
        <f t="shared" si="306"/>
        <v>0</v>
      </c>
      <c r="AS401" s="798">
        <f t="shared" si="306"/>
        <v>0</v>
      </c>
      <c r="AT401" s="798">
        <f t="shared" si="306"/>
        <v>0</v>
      </c>
      <c r="AU401" s="798">
        <f t="shared" si="306"/>
        <v>0</v>
      </c>
      <c r="AV401" s="798">
        <f t="shared" si="306"/>
        <v>0</v>
      </c>
      <c r="AW401" s="798">
        <f t="shared" si="306"/>
        <v>0</v>
      </c>
      <c r="AX401" s="798">
        <f t="shared" si="306"/>
        <v>0</v>
      </c>
      <c r="AY401" s="798">
        <f t="shared" si="306"/>
        <v>0</v>
      </c>
      <c r="AZ401" s="798">
        <f t="shared" si="306"/>
        <v>0</v>
      </c>
      <c r="BA401" s="798">
        <f t="shared" si="306"/>
        <v>0</v>
      </c>
      <c r="BB401" s="798">
        <f t="shared" si="306"/>
        <v>0</v>
      </c>
      <c r="BC401" s="798">
        <f t="shared" si="306"/>
        <v>0</v>
      </c>
      <c r="BD401" s="798">
        <f t="shared" si="306"/>
        <v>0</v>
      </c>
      <c r="BE401" s="798">
        <f t="shared" si="306"/>
        <v>0</v>
      </c>
      <c r="BF401" s="798">
        <f t="shared" si="306"/>
        <v>0</v>
      </c>
      <c r="BG401" s="798">
        <f t="shared" si="306"/>
        <v>0</v>
      </c>
      <c r="BH401" s="798">
        <f t="shared" si="306"/>
        <v>0</v>
      </c>
      <c r="BI401" s="798">
        <f t="shared" si="306"/>
        <v>0</v>
      </c>
      <c r="BJ401" s="798">
        <f t="shared" si="306"/>
        <v>0</v>
      </c>
      <c r="BK401" s="798">
        <f t="shared" si="306"/>
        <v>0</v>
      </c>
      <c r="BL401" s="798">
        <f t="shared" si="306"/>
        <v>0</v>
      </c>
      <c r="BM401" s="798">
        <f t="shared" si="306"/>
        <v>0</v>
      </c>
      <c r="BN401" s="798">
        <f t="shared" si="306"/>
        <v>0</v>
      </c>
      <c r="BO401" s="798">
        <f t="shared" si="306"/>
        <v>0</v>
      </c>
      <c r="BP401" s="798">
        <f t="shared" si="306"/>
        <v>0</v>
      </c>
      <c r="BQ401" s="798">
        <f t="shared" si="306"/>
        <v>0</v>
      </c>
      <c r="BR401" s="798">
        <f t="shared" ref="BR401:EC401" si="307">+BR61</f>
        <v>0</v>
      </c>
      <c r="BS401" s="798">
        <f t="shared" si="307"/>
        <v>0</v>
      </c>
      <c r="BT401" s="798">
        <f t="shared" si="307"/>
        <v>0</v>
      </c>
      <c r="BU401" s="798">
        <f t="shared" si="307"/>
        <v>0</v>
      </c>
      <c r="BV401" s="798">
        <f t="shared" si="307"/>
        <v>0</v>
      </c>
      <c r="BW401" s="798">
        <f t="shared" si="307"/>
        <v>0</v>
      </c>
      <c r="BX401" s="798">
        <f t="shared" si="307"/>
        <v>0</v>
      </c>
      <c r="BY401" s="798">
        <f t="shared" si="307"/>
        <v>0</v>
      </c>
      <c r="BZ401" s="798">
        <f t="shared" si="307"/>
        <v>0</v>
      </c>
      <c r="CA401" s="798">
        <f t="shared" si="307"/>
        <v>0</v>
      </c>
      <c r="CB401" s="798">
        <f t="shared" si="307"/>
        <v>0</v>
      </c>
      <c r="CC401" s="798">
        <f t="shared" si="307"/>
        <v>0</v>
      </c>
      <c r="CD401" s="798">
        <f t="shared" si="307"/>
        <v>0</v>
      </c>
      <c r="CE401" s="798">
        <f t="shared" si="307"/>
        <v>0</v>
      </c>
      <c r="CF401" s="798">
        <f t="shared" si="307"/>
        <v>0</v>
      </c>
      <c r="CG401" s="798">
        <f t="shared" si="307"/>
        <v>0</v>
      </c>
      <c r="CH401" s="798">
        <f t="shared" si="307"/>
        <v>0</v>
      </c>
      <c r="CI401" s="798">
        <f t="shared" si="307"/>
        <v>0</v>
      </c>
      <c r="CJ401" s="798">
        <f t="shared" si="307"/>
        <v>0</v>
      </c>
      <c r="CK401" s="798">
        <f t="shared" si="307"/>
        <v>0</v>
      </c>
      <c r="CL401" s="798">
        <f t="shared" si="307"/>
        <v>0</v>
      </c>
      <c r="CM401" s="798">
        <f t="shared" si="307"/>
        <v>0</v>
      </c>
      <c r="CN401" s="798">
        <f t="shared" si="307"/>
        <v>0</v>
      </c>
      <c r="CO401" s="798">
        <f t="shared" si="307"/>
        <v>0</v>
      </c>
      <c r="CP401" s="798">
        <f t="shared" si="307"/>
        <v>0</v>
      </c>
      <c r="CQ401" s="798">
        <f t="shared" si="307"/>
        <v>0</v>
      </c>
      <c r="CR401" s="798">
        <f t="shared" si="307"/>
        <v>0</v>
      </c>
      <c r="CS401" s="798">
        <f t="shared" si="307"/>
        <v>0</v>
      </c>
      <c r="CT401" s="798">
        <f t="shared" si="307"/>
        <v>0</v>
      </c>
      <c r="CU401" s="798">
        <f t="shared" si="307"/>
        <v>0</v>
      </c>
      <c r="CV401" s="798">
        <f t="shared" si="307"/>
        <v>0</v>
      </c>
      <c r="CW401" s="798">
        <f t="shared" si="307"/>
        <v>0</v>
      </c>
      <c r="CX401" s="798">
        <f t="shared" si="307"/>
        <v>0</v>
      </c>
      <c r="CY401" s="798">
        <f t="shared" si="307"/>
        <v>0</v>
      </c>
      <c r="CZ401" s="798">
        <f t="shared" si="307"/>
        <v>0</v>
      </c>
      <c r="DA401" s="798">
        <f t="shared" si="307"/>
        <v>0</v>
      </c>
      <c r="DB401" s="798">
        <f t="shared" si="307"/>
        <v>0</v>
      </c>
      <c r="DC401" s="798">
        <f t="shared" si="307"/>
        <v>0</v>
      </c>
      <c r="DD401" s="798">
        <f t="shared" si="307"/>
        <v>0</v>
      </c>
      <c r="DE401" s="798">
        <f t="shared" si="307"/>
        <v>0</v>
      </c>
      <c r="DF401" s="798">
        <f t="shared" si="307"/>
        <v>0</v>
      </c>
      <c r="DG401" s="798">
        <f t="shared" si="307"/>
        <v>0</v>
      </c>
      <c r="DH401" s="798">
        <f t="shared" si="307"/>
        <v>0</v>
      </c>
      <c r="DI401" s="798">
        <f t="shared" si="307"/>
        <v>0</v>
      </c>
      <c r="DJ401" s="798">
        <f t="shared" si="307"/>
        <v>0</v>
      </c>
      <c r="DK401" s="798">
        <f t="shared" si="307"/>
        <v>0</v>
      </c>
      <c r="DL401" s="798">
        <f t="shared" si="307"/>
        <v>0</v>
      </c>
      <c r="DM401" s="798">
        <f t="shared" si="307"/>
        <v>0</v>
      </c>
      <c r="DN401" s="798">
        <f t="shared" si="307"/>
        <v>0</v>
      </c>
      <c r="DO401" s="798">
        <f t="shared" si="307"/>
        <v>0</v>
      </c>
      <c r="DP401" s="798">
        <f t="shared" si="307"/>
        <v>0</v>
      </c>
      <c r="DQ401" s="798">
        <f t="shared" si="307"/>
        <v>0</v>
      </c>
      <c r="DR401" s="798">
        <f t="shared" si="307"/>
        <v>0</v>
      </c>
      <c r="DS401" s="798">
        <f t="shared" si="307"/>
        <v>0</v>
      </c>
      <c r="DT401" s="798">
        <f t="shared" si="307"/>
        <v>0</v>
      </c>
      <c r="DU401" s="798">
        <f t="shared" si="307"/>
        <v>0</v>
      </c>
      <c r="DV401" s="798">
        <f t="shared" si="307"/>
        <v>0</v>
      </c>
      <c r="DW401" s="798">
        <f t="shared" si="307"/>
        <v>0</v>
      </c>
      <c r="DX401" s="798">
        <f t="shared" si="307"/>
        <v>0</v>
      </c>
      <c r="DY401" s="798">
        <f t="shared" si="307"/>
        <v>0</v>
      </c>
      <c r="DZ401" s="798">
        <f t="shared" si="307"/>
        <v>0</v>
      </c>
      <c r="EA401" s="798">
        <f t="shared" si="307"/>
        <v>0</v>
      </c>
      <c r="EB401" s="798">
        <f t="shared" si="307"/>
        <v>0</v>
      </c>
      <c r="EC401" s="798">
        <f t="shared" si="307"/>
        <v>0</v>
      </c>
      <c r="ED401" s="798">
        <f>+ED61</f>
        <v>0</v>
      </c>
      <c r="EE401" s="798">
        <f>+EE61</f>
        <v>0</v>
      </c>
      <c r="EF401" s="798">
        <f>+EF61</f>
        <v>0</v>
      </c>
      <c r="EG401" s="798">
        <f>+EG61</f>
        <v>0</v>
      </c>
      <c r="EH401" s="782"/>
    </row>
    <row r="402" spans="1:138" ht="12.75" customHeight="1" x14ac:dyDescent="0.3">
      <c r="A402" s="782"/>
      <c r="B402" s="833" t="s">
        <v>347</v>
      </c>
      <c r="C402" s="834">
        <f>XIRR(OFFSET(E401,0,$C$141):EG401,OFFSET($E$4,0,$C$141):$EG$4)</f>
        <v>0.27725512385368345</v>
      </c>
      <c r="D402" s="782"/>
      <c r="E402" s="798"/>
      <c r="F402" s="798"/>
      <c r="G402" s="798"/>
      <c r="H402" s="798"/>
      <c r="I402" s="798"/>
      <c r="J402" s="798"/>
      <c r="K402" s="798"/>
      <c r="L402" s="798"/>
      <c r="M402" s="798"/>
      <c r="N402" s="798"/>
      <c r="O402" s="798"/>
      <c r="P402" s="798"/>
      <c r="Q402" s="798"/>
      <c r="R402" s="798"/>
      <c r="S402" s="798"/>
      <c r="T402" s="798"/>
      <c r="U402" s="798"/>
      <c r="V402" s="798"/>
      <c r="W402" s="798"/>
      <c r="X402" s="798"/>
      <c r="Y402" s="798"/>
      <c r="Z402" s="798"/>
      <c r="AA402" s="798"/>
      <c r="AB402" s="798"/>
      <c r="AC402" s="798"/>
      <c r="AD402" s="798"/>
      <c r="AE402" s="798"/>
      <c r="AF402" s="798"/>
      <c r="AG402" s="798"/>
      <c r="AH402" s="798"/>
      <c r="AI402" s="798"/>
      <c r="AJ402" s="798"/>
      <c r="AK402" s="798"/>
      <c r="AL402" s="798"/>
      <c r="AM402" s="798"/>
      <c r="AN402" s="798"/>
      <c r="AO402" s="798"/>
      <c r="AP402" s="798"/>
      <c r="AQ402" s="798"/>
      <c r="AR402" s="798"/>
      <c r="AS402" s="798"/>
      <c r="AT402" s="798"/>
      <c r="AU402" s="798"/>
      <c r="AV402" s="798"/>
      <c r="AW402" s="798"/>
      <c r="AX402" s="798"/>
      <c r="AY402" s="798"/>
      <c r="AZ402" s="798"/>
      <c r="BA402" s="798"/>
      <c r="BB402" s="798"/>
      <c r="BC402" s="798"/>
      <c r="BD402" s="798"/>
      <c r="BE402" s="798"/>
      <c r="BF402" s="798"/>
      <c r="BG402" s="798"/>
      <c r="BH402" s="798"/>
      <c r="BI402" s="798"/>
      <c r="BJ402" s="798"/>
      <c r="BK402" s="798"/>
      <c r="BL402" s="798"/>
      <c r="BM402" s="798"/>
      <c r="BN402" s="798"/>
      <c r="BO402" s="798"/>
      <c r="BP402" s="798"/>
      <c r="BQ402" s="798"/>
      <c r="BR402" s="798"/>
      <c r="BS402" s="798"/>
      <c r="BT402" s="798"/>
      <c r="BU402" s="798"/>
      <c r="BV402" s="798"/>
      <c r="BW402" s="798"/>
      <c r="BX402" s="798"/>
      <c r="BY402" s="798"/>
      <c r="BZ402" s="798"/>
      <c r="CA402" s="798"/>
      <c r="CB402" s="798"/>
      <c r="CC402" s="798"/>
      <c r="CD402" s="798"/>
      <c r="CE402" s="798"/>
      <c r="CF402" s="798"/>
      <c r="CG402" s="798"/>
      <c r="CH402" s="798"/>
      <c r="CI402" s="798"/>
      <c r="CJ402" s="798"/>
      <c r="CK402" s="798"/>
      <c r="CL402" s="798"/>
      <c r="CM402" s="798"/>
      <c r="CN402" s="798"/>
      <c r="CO402" s="798"/>
      <c r="CP402" s="798"/>
      <c r="CQ402" s="798"/>
      <c r="CR402" s="798"/>
      <c r="CS402" s="798"/>
      <c r="CT402" s="798"/>
      <c r="CU402" s="798"/>
      <c r="CV402" s="798"/>
      <c r="CW402" s="798"/>
      <c r="CX402" s="798"/>
      <c r="CY402" s="798"/>
      <c r="CZ402" s="798"/>
      <c r="DA402" s="798"/>
      <c r="DB402" s="798"/>
      <c r="DC402" s="798"/>
      <c r="DD402" s="798"/>
      <c r="DE402" s="798"/>
      <c r="DF402" s="798"/>
      <c r="DG402" s="798"/>
      <c r="DH402" s="798"/>
      <c r="DI402" s="798"/>
      <c r="DJ402" s="798"/>
      <c r="DK402" s="798"/>
      <c r="DL402" s="798"/>
      <c r="DM402" s="798"/>
      <c r="DN402" s="798"/>
      <c r="DO402" s="798"/>
      <c r="DP402" s="798"/>
      <c r="DQ402" s="798"/>
      <c r="DR402" s="798"/>
      <c r="DS402" s="798"/>
      <c r="DT402" s="798"/>
      <c r="DU402" s="798"/>
      <c r="DV402" s="798"/>
      <c r="DW402" s="798"/>
      <c r="DX402" s="798"/>
      <c r="DY402" s="798"/>
      <c r="DZ402" s="798"/>
      <c r="EA402" s="798"/>
      <c r="EB402" s="798"/>
      <c r="EC402" s="798"/>
      <c r="ED402" s="798"/>
      <c r="EE402" s="798"/>
      <c r="EF402" s="798"/>
      <c r="EG402" s="798"/>
      <c r="EH402" s="782"/>
    </row>
    <row r="403" spans="1:138" ht="12.75" customHeight="1" x14ac:dyDescent="0.3">
      <c r="A403" s="782"/>
      <c r="B403" s="835" t="s">
        <v>348</v>
      </c>
      <c r="C403" s="836">
        <f>SUMIF($E$401:$EG$401,"&gt;0")/-SUMIF($E$401:$EG$401,"&lt;0")</f>
        <v>1.7646605777846469</v>
      </c>
      <c r="D403" s="782"/>
      <c r="E403" s="798"/>
      <c r="F403" s="798"/>
      <c r="G403" s="798"/>
      <c r="H403" s="798"/>
      <c r="I403" s="798"/>
      <c r="J403" s="798"/>
      <c r="K403" s="798"/>
      <c r="L403" s="798"/>
      <c r="M403" s="798"/>
      <c r="N403" s="798"/>
      <c r="O403" s="798"/>
      <c r="P403" s="798"/>
      <c r="Q403" s="798"/>
      <c r="R403" s="798"/>
      <c r="S403" s="798"/>
      <c r="T403" s="798"/>
      <c r="U403" s="798"/>
      <c r="V403" s="798"/>
      <c r="W403" s="798"/>
      <c r="X403" s="798"/>
      <c r="Y403" s="798"/>
      <c r="Z403" s="798"/>
      <c r="AA403" s="798"/>
      <c r="AB403" s="798"/>
      <c r="AC403" s="798"/>
      <c r="AD403" s="798"/>
      <c r="AE403" s="798"/>
      <c r="AF403" s="798"/>
      <c r="AG403" s="798"/>
      <c r="AH403" s="798"/>
      <c r="AI403" s="798"/>
      <c r="AJ403" s="798"/>
      <c r="AK403" s="798"/>
      <c r="AL403" s="798"/>
      <c r="AM403" s="798"/>
      <c r="AN403" s="798"/>
      <c r="AO403" s="798"/>
      <c r="AP403" s="798"/>
      <c r="AQ403" s="798"/>
      <c r="AR403" s="798"/>
      <c r="AS403" s="798"/>
      <c r="AT403" s="798"/>
      <c r="AU403" s="798"/>
      <c r="AV403" s="798"/>
      <c r="AW403" s="798"/>
      <c r="AX403" s="798"/>
      <c r="AY403" s="798"/>
      <c r="AZ403" s="798"/>
      <c r="BA403" s="798"/>
      <c r="BB403" s="798"/>
      <c r="BC403" s="798"/>
      <c r="BD403" s="798"/>
      <c r="BE403" s="798"/>
      <c r="BF403" s="798"/>
      <c r="BG403" s="798"/>
      <c r="BH403" s="798"/>
      <c r="BI403" s="798"/>
      <c r="BJ403" s="798"/>
      <c r="BK403" s="798"/>
      <c r="BL403" s="798"/>
      <c r="BM403" s="798"/>
      <c r="BN403" s="798"/>
      <c r="BO403" s="798"/>
      <c r="BP403" s="798"/>
      <c r="BQ403" s="798"/>
      <c r="BR403" s="798"/>
      <c r="BS403" s="798"/>
      <c r="BT403" s="798"/>
      <c r="BU403" s="798"/>
      <c r="BV403" s="798"/>
      <c r="BW403" s="798"/>
      <c r="BX403" s="798"/>
      <c r="BY403" s="798"/>
      <c r="BZ403" s="798"/>
      <c r="CA403" s="798"/>
      <c r="CB403" s="798"/>
      <c r="CC403" s="798"/>
      <c r="CD403" s="798"/>
      <c r="CE403" s="798"/>
      <c r="CF403" s="798"/>
      <c r="CG403" s="798"/>
      <c r="CH403" s="798"/>
      <c r="CI403" s="798"/>
      <c r="CJ403" s="798"/>
      <c r="CK403" s="798"/>
      <c r="CL403" s="798"/>
      <c r="CM403" s="798"/>
      <c r="CN403" s="798"/>
      <c r="CO403" s="798"/>
      <c r="CP403" s="798"/>
      <c r="CQ403" s="798"/>
      <c r="CR403" s="798"/>
      <c r="CS403" s="798"/>
      <c r="CT403" s="798"/>
      <c r="CU403" s="798"/>
      <c r="CV403" s="798"/>
      <c r="CW403" s="798"/>
      <c r="CX403" s="798"/>
      <c r="CY403" s="798"/>
      <c r="CZ403" s="798"/>
      <c r="DA403" s="798"/>
      <c r="DB403" s="798"/>
      <c r="DC403" s="798"/>
      <c r="DD403" s="798"/>
      <c r="DE403" s="798"/>
      <c r="DF403" s="798"/>
      <c r="DG403" s="798"/>
      <c r="DH403" s="798"/>
      <c r="DI403" s="798"/>
      <c r="DJ403" s="798"/>
      <c r="DK403" s="798"/>
      <c r="DL403" s="798"/>
      <c r="DM403" s="798"/>
      <c r="DN403" s="798"/>
      <c r="DO403" s="798"/>
      <c r="DP403" s="798"/>
      <c r="DQ403" s="798"/>
      <c r="DR403" s="798"/>
      <c r="DS403" s="798"/>
      <c r="DT403" s="798"/>
      <c r="DU403" s="798"/>
      <c r="DV403" s="798"/>
      <c r="DW403" s="798"/>
      <c r="DX403" s="798"/>
      <c r="DY403" s="798"/>
      <c r="DZ403" s="798"/>
      <c r="EA403" s="798"/>
      <c r="EB403" s="798"/>
      <c r="EC403" s="798"/>
      <c r="ED403" s="798"/>
      <c r="EE403" s="798"/>
      <c r="EF403" s="798"/>
      <c r="EG403" s="798"/>
      <c r="EH403" s="782"/>
    </row>
    <row r="404" spans="1:138" ht="12.75" customHeight="1" x14ac:dyDescent="0.3">
      <c r="A404" s="782"/>
      <c r="B404" s="803" t="s">
        <v>291</v>
      </c>
      <c r="C404" s="798">
        <f>+C401-SUM(C395,C389)</f>
        <v>0</v>
      </c>
      <c r="D404" s="782"/>
      <c r="E404" s="798"/>
      <c r="F404" s="798"/>
      <c r="G404" s="798"/>
      <c r="H404" s="798"/>
      <c r="I404" s="798"/>
      <c r="J404" s="798"/>
      <c r="K404" s="798"/>
      <c r="L404" s="798"/>
      <c r="M404" s="798"/>
      <c r="N404" s="798"/>
      <c r="O404" s="798"/>
      <c r="P404" s="798"/>
      <c r="Q404" s="798"/>
      <c r="R404" s="798"/>
      <c r="S404" s="798"/>
      <c r="T404" s="798"/>
      <c r="U404" s="798"/>
      <c r="V404" s="798"/>
      <c r="W404" s="798"/>
      <c r="X404" s="798"/>
      <c r="Y404" s="798"/>
      <c r="Z404" s="798"/>
      <c r="AA404" s="798"/>
      <c r="AB404" s="798"/>
      <c r="AC404" s="798"/>
      <c r="AD404" s="798"/>
      <c r="AE404" s="798"/>
      <c r="AF404" s="798"/>
      <c r="AG404" s="798"/>
      <c r="AH404" s="798"/>
      <c r="AI404" s="798"/>
      <c r="AJ404" s="798"/>
      <c r="AK404" s="798"/>
      <c r="AL404" s="798"/>
      <c r="AM404" s="798"/>
      <c r="AN404" s="798"/>
      <c r="AO404" s="798"/>
      <c r="AP404" s="798"/>
      <c r="AQ404" s="798"/>
      <c r="AR404" s="798"/>
      <c r="AS404" s="798"/>
      <c r="AT404" s="798"/>
      <c r="AU404" s="798"/>
      <c r="AV404" s="798"/>
      <c r="AW404" s="798"/>
      <c r="AX404" s="798"/>
      <c r="AY404" s="798"/>
      <c r="AZ404" s="798"/>
      <c r="BA404" s="798"/>
      <c r="BB404" s="798"/>
      <c r="BC404" s="798"/>
      <c r="BD404" s="798"/>
      <c r="BE404" s="798"/>
      <c r="BF404" s="798"/>
      <c r="BG404" s="798"/>
      <c r="BH404" s="798"/>
      <c r="BI404" s="798"/>
      <c r="BJ404" s="798"/>
      <c r="BK404" s="798"/>
      <c r="BL404" s="798"/>
      <c r="BM404" s="798"/>
      <c r="BN404" s="798"/>
      <c r="BO404" s="798"/>
      <c r="BP404" s="798"/>
      <c r="BQ404" s="798"/>
      <c r="BR404" s="798"/>
      <c r="BS404" s="798"/>
      <c r="BT404" s="798"/>
      <c r="BU404" s="798"/>
      <c r="BV404" s="798"/>
      <c r="BW404" s="798"/>
      <c r="BX404" s="798"/>
      <c r="BY404" s="798"/>
      <c r="BZ404" s="798"/>
      <c r="CA404" s="798"/>
      <c r="CB404" s="798"/>
      <c r="CC404" s="798"/>
      <c r="CD404" s="798"/>
      <c r="CE404" s="798"/>
      <c r="CF404" s="798"/>
      <c r="CG404" s="798"/>
      <c r="CH404" s="798"/>
      <c r="CI404" s="798"/>
      <c r="CJ404" s="798"/>
      <c r="CK404" s="798"/>
      <c r="CL404" s="798"/>
      <c r="CM404" s="798"/>
      <c r="CN404" s="798"/>
      <c r="CO404" s="798"/>
      <c r="CP404" s="798"/>
      <c r="CQ404" s="798"/>
      <c r="CR404" s="798"/>
      <c r="CS404" s="798"/>
      <c r="CT404" s="798"/>
      <c r="CU404" s="798"/>
      <c r="CV404" s="798"/>
      <c r="CW404" s="798"/>
      <c r="CX404" s="798"/>
      <c r="CY404" s="798"/>
      <c r="CZ404" s="798"/>
      <c r="DA404" s="798"/>
      <c r="DB404" s="798"/>
      <c r="DC404" s="798"/>
      <c r="DD404" s="798"/>
      <c r="DE404" s="798"/>
      <c r="DF404" s="798"/>
      <c r="DG404" s="798"/>
      <c r="DH404" s="798"/>
      <c r="DI404" s="798"/>
      <c r="DJ404" s="798"/>
      <c r="DK404" s="798"/>
      <c r="DL404" s="798"/>
      <c r="DM404" s="798"/>
      <c r="DN404" s="798"/>
      <c r="DO404" s="798"/>
      <c r="DP404" s="798"/>
      <c r="DQ404" s="798"/>
      <c r="DR404" s="798"/>
      <c r="DS404" s="798"/>
      <c r="DT404" s="798"/>
      <c r="DU404" s="798"/>
      <c r="DV404" s="798"/>
      <c r="DW404" s="798"/>
      <c r="DX404" s="798"/>
      <c r="DY404" s="798"/>
      <c r="DZ404" s="798"/>
      <c r="EA404" s="798"/>
      <c r="EB404" s="798"/>
      <c r="EC404" s="798"/>
      <c r="ED404" s="798"/>
      <c r="EE404" s="798"/>
      <c r="EF404" s="798"/>
      <c r="EG404" s="798"/>
      <c r="EH404" s="782"/>
    </row>
    <row r="405" spans="1:138" ht="12.75" customHeight="1" x14ac:dyDescent="0.3">
      <c r="A405" s="1378"/>
      <c r="B405" s="1378"/>
      <c r="C405" s="1387"/>
      <c r="D405" s="1378"/>
      <c r="E405" s="1387"/>
      <c r="F405" s="1387"/>
      <c r="G405" s="1387"/>
      <c r="H405" s="1387"/>
      <c r="I405" s="1387"/>
      <c r="J405" s="1387"/>
      <c r="K405" s="1387"/>
      <c r="L405" s="1387"/>
      <c r="M405" s="1387"/>
      <c r="N405" s="1387"/>
      <c r="O405" s="1387"/>
      <c r="P405" s="1387"/>
      <c r="Q405" s="1387"/>
      <c r="R405" s="1387"/>
      <c r="S405" s="1387"/>
      <c r="T405" s="1387"/>
      <c r="U405" s="1387"/>
      <c r="V405" s="1387"/>
      <c r="W405" s="1387"/>
      <c r="X405" s="1387"/>
      <c r="Y405" s="1387"/>
      <c r="Z405" s="1387"/>
      <c r="AA405" s="1387"/>
      <c r="AB405" s="1387"/>
      <c r="AC405" s="1387"/>
      <c r="AD405" s="1387"/>
      <c r="AE405" s="1387"/>
      <c r="AF405" s="1387"/>
      <c r="AG405" s="1387"/>
      <c r="AH405" s="1387"/>
      <c r="AI405" s="1387"/>
      <c r="AJ405" s="1387"/>
      <c r="AK405" s="1387"/>
      <c r="AL405" s="1387"/>
      <c r="AM405" s="1387"/>
      <c r="AN405" s="1387"/>
      <c r="AO405" s="1387"/>
      <c r="AP405" s="1387"/>
      <c r="AQ405" s="1387"/>
      <c r="AR405" s="1387"/>
      <c r="AS405" s="1387"/>
      <c r="AT405" s="1387"/>
      <c r="AU405" s="1387"/>
      <c r="AV405" s="1387"/>
      <c r="AW405" s="1387"/>
      <c r="AX405" s="1387"/>
      <c r="AY405" s="1387"/>
      <c r="AZ405" s="1387"/>
      <c r="BA405" s="1387"/>
      <c r="BB405" s="1387"/>
      <c r="BC405" s="1387"/>
      <c r="BD405" s="1387"/>
      <c r="BE405" s="1387"/>
      <c r="BF405" s="1387"/>
      <c r="BG405" s="1387"/>
      <c r="BH405" s="1387"/>
      <c r="BI405" s="1387"/>
      <c r="BJ405" s="1387"/>
      <c r="BK405" s="1387"/>
      <c r="BL405" s="1387"/>
      <c r="BM405" s="1387"/>
      <c r="BN405" s="1387"/>
      <c r="BO405" s="1387"/>
      <c r="BP405" s="1387"/>
      <c r="BQ405" s="1387"/>
      <c r="BR405" s="1387"/>
      <c r="BS405" s="1387"/>
      <c r="BT405" s="1387"/>
      <c r="BU405" s="1387"/>
      <c r="BV405" s="1387"/>
      <c r="BW405" s="1387"/>
      <c r="BX405" s="1387"/>
      <c r="BY405" s="1387"/>
      <c r="BZ405" s="1387"/>
      <c r="CA405" s="1387"/>
      <c r="CB405" s="1387"/>
      <c r="CC405" s="1387"/>
      <c r="CD405" s="1387"/>
      <c r="CE405" s="1387"/>
      <c r="CF405" s="1387"/>
      <c r="CG405" s="1387"/>
      <c r="CH405" s="1387"/>
      <c r="CI405" s="1387"/>
      <c r="CJ405" s="1387"/>
      <c r="CK405" s="1387"/>
      <c r="CL405" s="1387"/>
      <c r="CM405" s="1387"/>
      <c r="CN405" s="1387"/>
      <c r="CO405" s="1387"/>
      <c r="CP405" s="1387"/>
      <c r="CQ405" s="1387"/>
      <c r="CR405" s="1387"/>
      <c r="CS405" s="1387"/>
      <c r="CT405" s="1387"/>
      <c r="CU405" s="1387"/>
      <c r="CV405" s="1387"/>
      <c r="CW405" s="1387"/>
      <c r="CX405" s="1387"/>
      <c r="CY405" s="1387"/>
      <c r="CZ405" s="1387"/>
      <c r="DA405" s="1387"/>
      <c r="DB405" s="1387"/>
      <c r="DC405" s="1387"/>
      <c r="DD405" s="1387"/>
      <c r="DE405" s="1387"/>
      <c r="DF405" s="1387"/>
      <c r="DG405" s="1387"/>
      <c r="DH405" s="1387"/>
      <c r="DI405" s="1387"/>
      <c r="DJ405" s="1387"/>
      <c r="DK405" s="1387"/>
      <c r="DL405" s="1387"/>
      <c r="DM405" s="1387"/>
      <c r="DN405" s="1387"/>
      <c r="DO405" s="1387"/>
      <c r="DP405" s="1387"/>
      <c r="DQ405" s="1387"/>
      <c r="DR405" s="1387"/>
      <c r="DS405" s="1387"/>
      <c r="DT405" s="1387"/>
      <c r="DU405" s="1387"/>
      <c r="DV405" s="1387"/>
      <c r="DW405" s="1387"/>
      <c r="DX405" s="1387"/>
      <c r="DY405" s="1387"/>
      <c r="DZ405" s="1387"/>
      <c r="EA405" s="1387"/>
      <c r="EB405" s="1387"/>
      <c r="EC405" s="1387"/>
      <c r="ED405" s="1387"/>
      <c r="EE405" s="1387"/>
      <c r="EF405" s="1387"/>
      <c r="EG405" s="1387"/>
      <c r="EH405" s="782"/>
    </row>
    <row r="406" spans="1:138" ht="12.75" customHeight="1" x14ac:dyDescent="0.3">
      <c r="A406" s="782" t="s">
        <v>338</v>
      </c>
      <c r="B406" s="796" t="s">
        <v>273</v>
      </c>
      <c r="C406" s="798"/>
      <c r="D406" s="782"/>
      <c r="E406" s="798"/>
      <c r="F406" s="798"/>
      <c r="G406" s="798"/>
      <c r="H406" s="798"/>
      <c r="I406" s="798"/>
      <c r="J406" s="798"/>
      <c r="K406" s="798"/>
      <c r="L406" s="798"/>
      <c r="M406" s="798"/>
      <c r="N406" s="798"/>
      <c r="O406" s="798"/>
      <c r="P406" s="798"/>
      <c r="Q406" s="798"/>
      <c r="R406" s="798"/>
      <c r="S406" s="798"/>
      <c r="T406" s="798"/>
      <c r="U406" s="798"/>
      <c r="V406" s="798"/>
      <c r="W406" s="798"/>
      <c r="X406" s="798"/>
      <c r="Y406" s="798"/>
      <c r="Z406" s="798"/>
      <c r="AA406" s="798"/>
      <c r="AB406" s="798"/>
      <c r="AC406" s="798"/>
      <c r="AD406" s="798"/>
      <c r="AE406" s="798"/>
      <c r="AF406" s="798"/>
      <c r="AG406" s="798"/>
      <c r="AH406" s="798"/>
      <c r="AI406" s="798"/>
      <c r="AJ406" s="798"/>
      <c r="AK406" s="798"/>
      <c r="AL406" s="798"/>
      <c r="AM406" s="798"/>
      <c r="AN406" s="798"/>
      <c r="AO406" s="798"/>
      <c r="AP406" s="798"/>
      <c r="AQ406" s="798"/>
      <c r="AR406" s="798"/>
      <c r="AS406" s="798"/>
      <c r="AT406" s="798"/>
      <c r="AU406" s="798"/>
      <c r="AV406" s="798"/>
      <c r="AW406" s="798"/>
      <c r="AX406" s="798"/>
      <c r="AY406" s="798"/>
      <c r="AZ406" s="798"/>
      <c r="BA406" s="798"/>
      <c r="BB406" s="798"/>
      <c r="BC406" s="798"/>
      <c r="BD406" s="798"/>
      <c r="BE406" s="798"/>
      <c r="BF406" s="798"/>
      <c r="BG406" s="798"/>
      <c r="BH406" s="798"/>
      <c r="BI406" s="798"/>
      <c r="BJ406" s="798"/>
      <c r="BK406" s="798"/>
      <c r="BL406" s="798"/>
      <c r="BM406" s="798"/>
      <c r="BN406" s="798"/>
      <c r="BO406" s="798"/>
      <c r="BP406" s="798"/>
      <c r="BQ406" s="798"/>
      <c r="BR406" s="798"/>
      <c r="BS406" s="798"/>
      <c r="BT406" s="798"/>
      <c r="BU406" s="798"/>
      <c r="BV406" s="798"/>
      <c r="BW406" s="798"/>
      <c r="BX406" s="798"/>
      <c r="BY406" s="798"/>
      <c r="BZ406" s="798"/>
      <c r="CA406" s="798"/>
      <c r="CB406" s="798"/>
      <c r="CC406" s="798"/>
      <c r="CD406" s="798"/>
      <c r="CE406" s="798"/>
      <c r="CF406" s="798"/>
      <c r="CG406" s="798"/>
      <c r="CH406" s="798"/>
      <c r="CI406" s="798"/>
      <c r="CJ406" s="798"/>
      <c r="CK406" s="798"/>
      <c r="CL406" s="798"/>
      <c r="CM406" s="798"/>
      <c r="CN406" s="798"/>
      <c r="CO406" s="798"/>
      <c r="CP406" s="798"/>
      <c r="CQ406" s="798"/>
      <c r="CR406" s="798"/>
      <c r="CS406" s="798"/>
      <c r="CT406" s="798"/>
      <c r="CU406" s="798"/>
      <c r="CV406" s="798"/>
      <c r="CW406" s="798"/>
      <c r="CX406" s="798"/>
      <c r="CY406" s="798"/>
      <c r="CZ406" s="798"/>
      <c r="DA406" s="798"/>
      <c r="DB406" s="798"/>
      <c r="DC406" s="798"/>
      <c r="DD406" s="798"/>
      <c r="DE406" s="798"/>
      <c r="DF406" s="798"/>
      <c r="DG406" s="798"/>
      <c r="DH406" s="798"/>
      <c r="DI406" s="798"/>
      <c r="DJ406" s="798"/>
      <c r="DK406" s="798"/>
      <c r="DL406" s="798"/>
      <c r="DM406" s="798"/>
      <c r="DN406" s="798"/>
      <c r="DO406" s="798"/>
      <c r="DP406" s="798"/>
      <c r="DQ406" s="798"/>
      <c r="DR406" s="798"/>
      <c r="DS406" s="798"/>
      <c r="DT406" s="798"/>
      <c r="DU406" s="798"/>
      <c r="DV406" s="798"/>
      <c r="DW406" s="798"/>
      <c r="DX406" s="798"/>
      <c r="DY406" s="798"/>
      <c r="DZ406" s="798"/>
      <c r="EA406" s="798"/>
      <c r="EB406" s="798"/>
      <c r="EC406" s="798"/>
      <c r="ED406" s="798"/>
      <c r="EE406" s="798"/>
      <c r="EF406" s="798"/>
      <c r="EG406" s="798"/>
      <c r="EH406" s="782"/>
    </row>
    <row r="407" spans="1:138" ht="12.75" customHeight="1" x14ac:dyDescent="0.3">
      <c r="A407" s="782"/>
      <c r="B407" s="1382" t="s">
        <v>339</v>
      </c>
      <c r="C407" s="798"/>
      <c r="D407" s="782"/>
      <c r="E407" s="798"/>
      <c r="F407" s="798"/>
      <c r="G407" s="798"/>
      <c r="H407" s="798"/>
      <c r="I407" s="798"/>
      <c r="J407" s="798"/>
      <c r="K407" s="798"/>
      <c r="L407" s="798"/>
      <c r="M407" s="798"/>
      <c r="N407" s="798"/>
      <c r="O407" s="798"/>
      <c r="P407" s="798"/>
      <c r="Q407" s="798"/>
      <c r="R407" s="798"/>
      <c r="S407" s="798"/>
      <c r="T407" s="798"/>
      <c r="U407" s="798"/>
      <c r="V407" s="798"/>
      <c r="W407" s="798"/>
      <c r="X407" s="798"/>
      <c r="Y407" s="798"/>
      <c r="Z407" s="798"/>
      <c r="AA407" s="798"/>
      <c r="AB407" s="798"/>
      <c r="AC407" s="798"/>
      <c r="AD407" s="798"/>
      <c r="AE407" s="798"/>
      <c r="AF407" s="798"/>
      <c r="AG407" s="798"/>
      <c r="AH407" s="798"/>
      <c r="AI407" s="798"/>
      <c r="AJ407" s="798"/>
      <c r="AK407" s="798"/>
      <c r="AL407" s="798"/>
      <c r="AM407" s="798"/>
      <c r="AN407" s="798"/>
      <c r="AO407" s="798"/>
      <c r="AP407" s="798"/>
      <c r="AQ407" s="798"/>
      <c r="AR407" s="798"/>
      <c r="AS407" s="798"/>
      <c r="AT407" s="798"/>
      <c r="AU407" s="798"/>
      <c r="AV407" s="798"/>
      <c r="AW407" s="798"/>
      <c r="AX407" s="798"/>
      <c r="AY407" s="798"/>
      <c r="AZ407" s="798"/>
      <c r="BA407" s="798"/>
      <c r="BB407" s="798"/>
      <c r="BC407" s="798"/>
      <c r="BD407" s="798"/>
      <c r="BE407" s="798"/>
      <c r="BF407" s="798"/>
      <c r="BG407" s="798"/>
      <c r="BH407" s="798"/>
      <c r="BI407" s="798"/>
      <c r="BJ407" s="798"/>
      <c r="BK407" s="798"/>
      <c r="BL407" s="798"/>
      <c r="BM407" s="798"/>
      <c r="BN407" s="798"/>
      <c r="BO407" s="798"/>
      <c r="BP407" s="798"/>
      <c r="BQ407" s="798"/>
      <c r="BR407" s="798"/>
      <c r="BS407" s="798"/>
      <c r="BT407" s="798"/>
      <c r="BU407" s="798"/>
      <c r="BV407" s="798"/>
      <c r="BW407" s="798"/>
      <c r="BX407" s="798"/>
      <c r="BY407" s="798"/>
      <c r="BZ407" s="798"/>
      <c r="CA407" s="798"/>
      <c r="CB407" s="798"/>
      <c r="CC407" s="798"/>
      <c r="CD407" s="798"/>
      <c r="CE407" s="798"/>
      <c r="CF407" s="798"/>
      <c r="CG407" s="798"/>
      <c r="CH407" s="798"/>
      <c r="CI407" s="798"/>
      <c r="CJ407" s="798"/>
      <c r="CK407" s="798"/>
      <c r="CL407" s="798"/>
      <c r="CM407" s="798"/>
      <c r="CN407" s="798"/>
      <c r="CO407" s="798"/>
      <c r="CP407" s="798"/>
      <c r="CQ407" s="798"/>
      <c r="CR407" s="798"/>
      <c r="CS407" s="798"/>
      <c r="CT407" s="798"/>
      <c r="CU407" s="798"/>
      <c r="CV407" s="798"/>
      <c r="CW407" s="798"/>
      <c r="CX407" s="798"/>
      <c r="CY407" s="798"/>
      <c r="CZ407" s="798"/>
      <c r="DA407" s="798"/>
      <c r="DB407" s="798"/>
      <c r="DC407" s="798"/>
      <c r="DD407" s="798"/>
      <c r="DE407" s="798"/>
      <c r="DF407" s="798"/>
      <c r="DG407" s="798"/>
      <c r="DH407" s="798"/>
      <c r="DI407" s="798"/>
      <c r="DJ407" s="798"/>
      <c r="DK407" s="798"/>
      <c r="DL407" s="798"/>
      <c r="DM407" s="798"/>
      <c r="DN407" s="798"/>
      <c r="DO407" s="798"/>
      <c r="DP407" s="798"/>
      <c r="DQ407" s="798"/>
      <c r="DR407" s="798"/>
      <c r="DS407" s="798"/>
      <c r="DT407" s="798"/>
      <c r="DU407" s="798"/>
      <c r="DV407" s="798"/>
      <c r="DW407" s="798"/>
      <c r="DX407" s="798"/>
      <c r="DY407" s="798"/>
      <c r="DZ407" s="798"/>
      <c r="EA407" s="798"/>
      <c r="EB407" s="798"/>
      <c r="EC407" s="798"/>
      <c r="ED407" s="798"/>
      <c r="EE407" s="798"/>
      <c r="EF407" s="798"/>
      <c r="EG407" s="798"/>
      <c r="EH407" s="782"/>
    </row>
    <row r="408" spans="1:138" ht="12.75" customHeight="1" x14ac:dyDescent="0.3">
      <c r="A408" s="782"/>
      <c r="B408" s="782" t="s">
        <v>340</v>
      </c>
      <c r="C408" s="838">
        <f>SUM(E408:EG408)</f>
        <v>32152014.229159765</v>
      </c>
      <c r="D408" s="782"/>
      <c r="E408" s="798">
        <f>+((E135+E339)*'Venture Assumptions'!$F$12)+-E339</f>
        <v>0</v>
      </c>
      <c r="F408" s="798">
        <f>+((F135+F339)*'Venture Assumptions'!$F$12)+-F339</f>
        <v>0</v>
      </c>
      <c r="G408" s="798">
        <f>+((G135+G339)*'Venture Assumptions'!$F$12)+-G339</f>
        <v>0</v>
      </c>
      <c r="H408" s="798">
        <f>+((H135+H339)*'Venture Assumptions'!$F$12)+-H339</f>
        <v>0</v>
      </c>
      <c r="I408" s="798">
        <f>+((I135+I339)*'Venture Assumptions'!$F$12)+-I339</f>
        <v>0</v>
      </c>
      <c r="J408" s="798">
        <f>+((J135+J339)*'Venture Assumptions'!$F$12)+-J339</f>
        <v>0</v>
      </c>
      <c r="K408" s="798">
        <f>+((K135+K339)*'Venture Assumptions'!$F$12)+-K339</f>
        <v>0</v>
      </c>
      <c r="L408" s="798">
        <f>+((L135+L339)*'Venture Assumptions'!$F$12)+-L339</f>
        <v>0</v>
      </c>
      <c r="M408" s="798">
        <f>+((M135+M339)*'Venture Assumptions'!$F$12)+-M339</f>
        <v>0</v>
      </c>
      <c r="N408" s="798">
        <f>+((N135+N339)*'Venture Assumptions'!$F$12)+-N339</f>
        <v>0</v>
      </c>
      <c r="O408" s="798">
        <f>+((O135+O339)*'Venture Assumptions'!$F$12)+-O339</f>
        <v>0</v>
      </c>
      <c r="P408" s="798">
        <f>+((P135+P339)*'Venture Assumptions'!$F$12)+-P339</f>
        <v>0</v>
      </c>
      <c r="Q408" s="798">
        <f>+((Q135+Q339)*'Venture Assumptions'!$F$12)+-Q339</f>
        <v>0</v>
      </c>
      <c r="R408" s="798">
        <f>+((R135+R339)*'Venture Assumptions'!$F$12)+-R339</f>
        <v>0</v>
      </c>
      <c r="S408" s="798">
        <f>+((S135+S339)*'Venture Assumptions'!$F$12)+-S339</f>
        <v>0</v>
      </c>
      <c r="T408" s="798">
        <f>+((T135+T339)*'Venture Assumptions'!$F$12)+-T339</f>
        <v>0</v>
      </c>
      <c r="U408" s="798">
        <f>+((U135+U339)*'Venture Assumptions'!$F$12)+-U339</f>
        <v>0</v>
      </c>
      <c r="V408" s="798">
        <f>+((V135+V339)*'Venture Assumptions'!$F$12)+-V339</f>
        <v>0</v>
      </c>
      <c r="W408" s="798">
        <f>+((W135+W339)*'Venture Assumptions'!$F$12)+-W339</f>
        <v>0</v>
      </c>
      <c r="X408" s="798">
        <f>+((X135+X339)*'Venture Assumptions'!$F$12)+-X339</f>
        <v>0</v>
      </c>
      <c r="Y408" s="798">
        <f>+((Y135+Y339)*'Venture Assumptions'!$F$12)+-Y339</f>
        <v>0</v>
      </c>
      <c r="Z408" s="798">
        <f>+((Z135+Z339)*'Venture Assumptions'!$F$12)+-Z339</f>
        <v>0</v>
      </c>
      <c r="AA408" s="798">
        <f>+((AA135+AA339)*'Venture Assumptions'!$F$12)+-AA339</f>
        <v>0</v>
      </c>
      <c r="AB408" s="798">
        <f>+((AB135+AB339)*'Venture Assumptions'!$F$12)+-AB339</f>
        <v>0</v>
      </c>
      <c r="AC408" s="798">
        <f>+((AC135+AC339)*'Venture Assumptions'!$F$12)+-AC339</f>
        <v>0</v>
      </c>
      <c r="AD408" s="798">
        <f>+((AD135+AD339)*'Venture Assumptions'!$F$12)+-AD339</f>
        <v>0</v>
      </c>
      <c r="AE408" s="798">
        <f>+((AE135+AE339)*'Venture Assumptions'!$F$12)+-AE339</f>
        <v>0</v>
      </c>
      <c r="AF408" s="798">
        <f>+((AF135+AF339)*'Venture Assumptions'!$F$12)+-AF339</f>
        <v>0</v>
      </c>
      <c r="AG408" s="798">
        <f>+((AG135+AG339)*'Venture Assumptions'!$F$12)+-AG339</f>
        <v>0</v>
      </c>
      <c r="AH408" s="798">
        <f>+((AH135+AH339)*'Venture Assumptions'!$F$12)+-AH339</f>
        <v>0</v>
      </c>
      <c r="AI408" s="798">
        <f>+((AI135+AI339)*'Venture Assumptions'!$F$12)+-AI339</f>
        <v>0</v>
      </c>
      <c r="AJ408" s="798">
        <f>+((AJ135+AJ339)*'Venture Assumptions'!$F$12)+-AJ339</f>
        <v>0</v>
      </c>
      <c r="AK408" s="798">
        <f>+((AK135+AK339)*'Venture Assumptions'!$F$12)+-AK339</f>
        <v>-46098872.698414423</v>
      </c>
      <c r="AL408" s="798">
        <f>+((AL135+AL339)*'Venture Assumptions'!$F$12)+-AL339</f>
        <v>10750963.273536308</v>
      </c>
      <c r="AM408" s="798">
        <f>+((AM135+AM339)*'Venture Assumptions'!$F$12)+-AM339</f>
        <v>154175.30289193612</v>
      </c>
      <c r="AN408" s="798">
        <f>+((AN135+AN339)*'Venture Assumptions'!$F$12)+-AN339</f>
        <v>156052.84658401532</v>
      </c>
      <c r="AO408" s="798">
        <f>+((AO135+AO339)*'Venture Assumptions'!$F$12)+-AO339</f>
        <v>157905.337072175</v>
      </c>
      <c r="AP408" s="798">
        <f>+((AP135+AP339)*'Venture Assumptions'!$F$12)+-AP339</f>
        <v>159126.13046560684</v>
      </c>
      <c r="AQ408" s="798">
        <f>+((AQ135+AQ339)*'Venture Assumptions'!$F$12)+-AQ339</f>
        <v>161606.19696258724</v>
      </c>
      <c r="AR408" s="798">
        <f>+((AR135+AR339)*'Venture Assumptions'!$F$12)+-AR339</f>
        <v>163727.71915666686</v>
      </c>
      <c r="AS408" s="798">
        <f>+((AS135+AS339)*'Venture Assumptions'!$F$12)+-AS339</f>
        <v>160098.98872927978</v>
      </c>
      <c r="AT408" s="798">
        <f>+((AT135+AT339)*'Venture Assumptions'!$F$12)+-AT339</f>
        <v>161292.27647302084</v>
      </c>
      <c r="AU408" s="798">
        <f>+((AU135+AU339)*'Venture Assumptions'!$F$12)+-AU339</f>
        <v>162414.60989911362</v>
      </c>
      <c r="AV408" s="798">
        <f>+((AV135+AV339)*'Venture Assumptions'!$F$12)+-AV339</f>
        <v>164105.21112728768</v>
      </c>
      <c r="AW408" s="798">
        <f>+((AW135+AW339)*'Venture Assumptions'!$F$12)+-AW339</f>
        <v>165727.63363498784</v>
      </c>
      <c r="AX408" s="798">
        <f>+((AX135+AX339)*'Venture Assumptions'!$F$12)+-AX339</f>
        <v>167255.63194299303</v>
      </c>
      <c r="AY408" s="798">
        <f>+((AY135+AY339)*'Venture Assumptions'!$F$12)+-AY339</f>
        <v>168723.96119367678</v>
      </c>
      <c r="AZ408" s="798">
        <f>+((AZ135+AZ339)*'Venture Assumptions'!$F$12)+-AZ339</f>
        <v>170137.94049186527</v>
      </c>
      <c r="BA408" s="798">
        <f>+((BA135+BA339)*'Venture Assumptions'!$F$12)+-BA339</f>
        <v>171456.94458562406</v>
      </c>
      <c r="BB408" s="798">
        <f>+((BB135+BB339)*'Venture Assumptions'!$F$12)+-BB339</f>
        <v>172238.08977063734</v>
      </c>
      <c r="BC408" s="798">
        <f>+((BC135+BC339)*'Venture Assumptions'!$F$12)+-BC339</f>
        <v>173888.12389038652</v>
      </c>
      <c r="BD408" s="798">
        <f>+((BD135+BD339)*'Venture Assumptions'!$F$12)+-BD339</f>
        <v>175221.59871841667</v>
      </c>
      <c r="BE408" s="798">
        <f>+((BE135+BE339)*'Venture Assumptions'!$F$12)+-BE339</f>
        <v>171988.88946342253</v>
      </c>
      <c r="BF408" s="798">
        <f>+((BF135+BF339)*'Venture Assumptions'!$F$12)+-BF339</f>
        <v>172663.65734905982</v>
      </c>
      <c r="BG408" s="798">
        <f>+((BG135+BG339)*'Venture Assumptions'!$F$12)+-BG339</f>
        <v>173341.15389008564</v>
      </c>
      <c r="BH408" s="798">
        <f>+((BH135+BH339)*'Venture Assumptions'!$F$12)+-BH339</f>
        <v>174491.57544100142</v>
      </c>
      <c r="BI408" s="798">
        <f>+((BI135+BI339)*'Venture Assumptions'!$F$12)+-BI339</f>
        <v>175660.72232521599</v>
      </c>
      <c r="BJ408" s="798">
        <f>+((BJ135+BJ339)*'Venture Assumptions'!$F$12)+-BJ339</f>
        <v>176895.00661635408</v>
      </c>
      <c r="BK408" s="798">
        <f>+((BK135+BK339)*'Venture Assumptions'!$F$12)+-BK339</f>
        <v>178184.14107870785</v>
      </c>
      <c r="BL408" s="798">
        <f>+((BL135+BL339)*'Venture Assumptions'!$F$12)+-BL339</f>
        <v>179482.67170936364</v>
      </c>
      <c r="BM408" s="798">
        <f>+((BM135+BM339)*'Venture Assumptions'!$F$12)+-BM339</f>
        <v>180849.22142402246</v>
      </c>
      <c r="BN408" s="798">
        <f>+((BN135+BN339)*'Venture Assumptions'!$F$12)+-BN339</f>
        <v>181743.7622890012</v>
      </c>
      <c r="BO408" s="798">
        <f>+((BO135+BO339)*'Venture Assumptions'!$F$12)+-BO339</f>
        <v>183715.10733150679</v>
      </c>
      <c r="BP408" s="798">
        <f>+((BP135+BP339)*'Venture Assumptions'!$F$12)+-BP339</f>
        <v>185438.45343957943</v>
      </c>
      <c r="BQ408" s="798">
        <f>+((BQ135+BQ339)*'Venture Assumptions'!$F$12)+-BQ339</f>
        <v>182292.67353184964</v>
      </c>
      <c r="BR408" s="798">
        <f>+((BR135+BR339)*'Venture Assumptions'!$F$12)+-BR339</f>
        <v>183269.50919075595</v>
      </c>
      <c r="BS408" s="798">
        <f>+((BS135+BS339)*'Venture Assumptions'!$F$12)+-BS339</f>
        <v>184230.17562767022</v>
      </c>
      <c r="BT408" s="798">
        <f>+((BT135+BT339)*'Venture Assumptions'!$F$12)+-BT339</f>
        <v>185780.21466794828</v>
      </c>
      <c r="BU408" s="798">
        <f>+((BU135+BU339)*'Venture Assumptions'!$F$12)+-BU339</f>
        <v>187310.64458086196</v>
      </c>
      <c r="BV408" s="798">
        <f>+((BV135+BV339)*'Venture Assumptions'!$F$12)+-BV339</f>
        <v>188860.96976827679</v>
      </c>
      <c r="BW408" s="798">
        <f>+((BW135+BW339)*'Venture Assumptions'!$F$12)+-BW339</f>
        <v>190436.24270482885</v>
      </c>
      <c r="BX408" s="798">
        <f>+((BX135+BX339)*'Venture Assumptions'!$F$12)+-BX339</f>
        <v>192001.32193139099</v>
      </c>
      <c r="BY408" s="798">
        <f>+((BY135+BY339)*'Venture Assumptions'!$F$12)+-BY339</f>
        <v>193593.20006759552</v>
      </c>
      <c r="BZ408" s="798">
        <f>+((BZ135+BZ339)*'Venture Assumptions'!$F$12)+-BZ339</f>
        <v>194607.03378064299</v>
      </c>
      <c r="CA408" s="798">
        <f>+((CA135+CA339)*'Venture Assumptions'!$F$12)+-CA339</f>
        <v>196795.09556826376</v>
      </c>
      <c r="CB408" s="798">
        <f>+((CB135+CB339)*'Venture Assumptions'!$F$12)+-CB339</f>
        <v>198691.23431620785</v>
      </c>
      <c r="CC408" s="798">
        <f>+((CC135+CC339)*'Venture Assumptions'!$F$12)+-CC339</f>
        <v>195511.30470261344</v>
      </c>
      <c r="CD408" s="798">
        <f>+((CD135+CD339)*'Venture Assumptions'!$F$12)+-CD339</f>
        <v>196586.47257721753</v>
      </c>
      <c r="CE408" s="798">
        <f>+((CE135+CE339)*'Venture Assumptions'!$F$12)+-CE339</f>
        <v>197640.21861742294</v>
      </c>
      <c r="CF408" s="798">
        <f>+((CF135+CF339)*'Venture Assumptions'!$F$12)+-CF339</f>
        <v>199295.96660206228</v>
      </c>
      <c r="CG408" s="798">
        <f>+((CG135+CG339)*'Venture Assumptions'!$F$12)+-CG339</f>
        <v>200944.95458029973</v>
      </c>
      <c r="CH408" s="798">
        <f>+((CH135+CH339)*'Venture Assumptions'!$F$12)+-CH339</f>
        <v>202609.10323266854</v>
      </c>
      <c r="CI408" s="798">
        <f>+((CI135+CI339)*'Venture Assumptions'!$F$12)+-CI339</f>
        <v>204257.93754540096</v>
      </c>
      <c r="CJ408" s="798">
        <f>+((CJ135+CJ339)*'Venture Assumptions'!$F$12)+-CJ339</f>
        <v>205931.68108610384</v>
      </c>
      <c r="CK408" s="798">
        <f>+((CK135+CK339)*'Venture Assumptions'!$F$12)+-CK339</f>
        <v>207630.00461851811</v>
      </c>
      <c r="CL408" s="798">
        <f>+((CL135+CL339)*'Venture Assumptions'!$F$12)+-CL339</f>
        <v>208710.57000710259</v>
      </c>
      <c r="CM408" s="798">
        <f>+((CM135+CM339)*'Venture Assumptions'!$F$12)+-CM339</f>
        <v>211009.40162900416</v>
      </c>
      <c r="CN408" s="798">
        <f>+((CN135+CN339)*'Venture Assumptions'!$F$12)+-CN339</f>
        <v>212992.16288272329</v>
      </c>
      <c r="CO408" s="798">
        <f>+((CO135+CO339)*'Venture Assumptions'!$F$12)+-CO339</f>
        <v>209734.11069809712</v>
      </c>
      <c r="CP408" s="798">
        <f>+((CP135+CP339)*'Venture Assumptions'!$F$12)+-CP339</f>
        <v>210858.97547925983</v>
      </c>
      <c r="CQ408" s="798">
        <f>+((CQ135+CQ339)*'Venture Assumptions'!$F$12)+-CQ339</f>
        <v>211961.83655624898</v>
      </c>
      <c r="CR408" s="798">
        <f>+((CR135+CR339)*'Venture Assumptions'!$F$12)+-CR339</f>
        <v>213671.71984516139</v>
      </c>
      <c r="CS408" s="798">
        <f>+((CS135+CS339)*'Venture Assumptions'!$F$12)+-CS339</f>
        <v>215397.39392359921</v>
      </c>
      <c r="CT408" s="798">
        <f>+((CT135+CT339)*'Venture Assumptions'!$F$12)+-CT339</f>
        <v>217148.93780705624</v>
      </c>
      <c r="CU408" s="798">
        <f>+((CU135+CU339)*'Venture Assumptions'!$F$12)+-CU339</f>
        <v>218880.08719193298</v>
      </c>
      <c r="CV408" s="798">
        <f>+((CV135+CV339)*'Venture Assumptions'!$F$12)+-CV339</f>
        <v>220628.55475225078</v>
      </c>
      <c r="CW408" s="798">
        <f>+((CW135+CW339)*'Venture Assumptions'!$F$12)+-CW339</f>
        <v>55961045.038019255</v>
      </c>
      <c r="CX408" s="798">
        <f>+((CX135+CX339)*'Venture Assumptions'!$F$12)+-CX339</f>
        <v>0</v>
      </c>
      <c r="CY408" s="798">
        <f>+((CY135+CY339)*'Venture Assumptions'!$F$12)+-CY339</f>
        <v>0</v>
      </c>
      <c r="CZ408" s="798">
        <f>+((CZ135+CZ339)*'Venture Assumptions'!$F$12)+-CZ339</f>
        <v>0</v>
      </c>
      <c r="DA408" s="798">
        <f>+((DA135+DA339)*'Venture Assumptions'!$F$12)+-DA339</f>
        <v>0</v>
      </c>
      <c r="DB408" s="798">
        <f>+((DB135+DB339)*'Venture Assumptions'!$F$12)+-DB339</f>
        <v>0</v>
      </c>
      <c r="DC408" s="798">
        <f>+((DC135+DC339)*'Venture Assumptions'!$F$12)+-DC339</f>
        <v>0</v>
      </c>
      <c r="DD408" s="798">
        <f>+((DD135+DD339)*'Venture Assumptions'!$F$12)+-DD339</f>
        <v>0</v>
      </c>
      <c r="DE408" s="798">
        <f>+((DE135+DE339)*'Venture Assumptions'!$F$12)+-DE339</f>
        <v>0</v>
      </c>
      <c r="DF408" s="798">
        <f>+((DF135+DF339)*'Venture Assumptions'!$F$12)+-DF339</f>
        <v>0</v>
      </c>
      <c r="DG408" s="798">
        <f>+((DG135+DG339)*'Venture Assumptions'!$F$12)+-DG339</f>
        <v>0</v>
      </c>
      <c r="DH408" s="798">
        <f>+((DH135+DH339)*'Venture Assumptions'!$F$12)+-DH339</f>
        <v>0</v>
      </c>
      <c r="DI408" s="798">
        <f>+((DI135+DI339)*'Venture Assumptions'!$F$12)+-DI339</f>
        <v>0</v>
      </c>
      <c r="DJ408" s="798">
        <f>+((DJ135+DJ339)*'Venture Assumptions'!$F$12)+-DJ339</f>
        <v>0</v>
      </c>
      <c r="DK408" s="798">
        <f>+((DK135+DK339)*'Venture Assumptions'!$F$12)+-DK339</f>
        <v>0</v>
      </c>
      <c r="DL408" s="798">
        <f>+((DL135+DL339)*'Venture Assumptions'!$F$12)+-DL339</f>
        <v>0</v>
      </c>
      <c r="DM408" s="798">
        <f>+((DM135+DM339)*'Venture Assumptions'!$F$12)+-DM339</f>
        <v>0</v>
      </c>
      <c r="DN408" s="798">
        <f>+((DN135+DN339)*'Venture Assumptions'!$F$12)+-DN339</f>
        <v>0</v>
      </c>
      <c r="DO408" s="798">
        <f>+((DO135+DO339)*'Venture Assumptions'!$F$12)+-DO339</f>
        <v>0</v>
      </c>
      <c r="DP408" s="798">
        <f>+((DP135+DP339)*'Venture Assumptions'!$F$12)+-DP339</f>
        <v>0</v>
      </c>
      <c r="DQ408" s="798">
        <f>+((DQ135+DQ339)*'Venture Assumptions'!$F$12)+-DQ339</f>
        <v>0</v>
      </c>
      <c r="DR408" s="798">
        <f>+((DR135+DR339)*'Venture Assumptions'!$F$12)+-DR339</f>
        <v>0</v>
      </c>
      <c r="DS408" s="798">
        <f>+((DS135+DS339)*'Venture Assumptions'!$F$12)+-DS339</f>
        <v>0</v>
      </c>
      <c r="DT408" s="798">
        <f>+((DT135+DT339)*'Venture Assumptions'!$F$12)+-DT339</f>
        <v>0</v>
      </c>
      <c r="DU408" s="798">
        <f>+((DU135+DU339)*'Venture Assumptions'!$F$12)+-DU339</f>
        <v>0</v>
      </c>
      <c r="DV408" s="798">
        <f>+((DV135+DV339)*'Venture Assumptions'!$F$12)+-DV339</f>
        <v>0</v>
      </c>
      <c r="DW408" s="798">
        <f>+((DW135+DW339)*'Venture Assumptions'!$F$12)+-DW339</f>
        <v>0</v>
      </c>
      <c r="DX408" s="798">
        <f>+((DX135+DX339)*'Venture Assumptions'!$F$12)+-DX339</f>
        <v>0</v>
      </c>
      <c r="DY408" s="798">
        <f>+((DY135+DY339)*'Venture Assumptions'!$F$12)+-DY339</f>
        <v>0</v>
      </c>
      <c r="DZ408" s="798">
        <f>+((DZ135+DZ339)*'Venture Assumptions'!$F$12)+-DZ339</f>
        <v>0</v>
      </c>
      <c r="EA408" s="798">
        <f>+((EA135+EA339)*'Venture Assumptions'!$F$12)+-EA339</f>
        <v>0</v>
      </c>
      <c r="EB408" s="798">
        <f>+((EB135+EB339)*'Venture Assumptions'!$F$12)+-EB339</f>
        <v>0</v>
      </c>
      <c r="EC408" s="798">
        <f>+((EC135+EC339)*'Venture Assumptions'!$F$12)+-EC339</f>
        <v>0</v>
      </c>
      <c r="ED408" s="798">
        <f>+((ED135+ED339)*'Venture Assumptions'!$F$12)+-ED339</f>
        <v>0</v>
      </c>
      <c r="EE408" s="798">
        <f>+((EE135+EE339)*'Venture Assumptions'!$F$12)+-EE339</f>
        <v>0</v>
      </c>
      <c r="EF408" s="798">
        <f>+((EF135+EF339)*'Venture Assumptions'!$F$12)+-EF339</f>
        <v>0</v>
      </c>
      <c r="EG408" s="798">
        <f>+((EG135+EG339)*'Venture Assumptions'!$F$12)+-EG339</f>
        <v>0</v>
      </c>
      <c r="EH408" s="782"/>
    </row>
    <row r="409" spans="1:138" ht="12.75" customHeight="1" x14ac:dyDescent="0.3">
      <c r="A409" s="782"/>
      <c r="B409" s="833" t="s">
        <v>203</v>
      </c>
      <c r="C409" s="834">
        <f>XIRR(OFFSET($E$408,0,$D$210):$DU$408,OFFSET($E$4,0,$D$210):$DU$4)</f>
        <v>0.1428210556507111</v>
      </c>
      <c r="D409" s="782"/>
      <c r="E409" s="798"/>
      <c r="F409" s="798"/>
      <c r="G409" s="798"/>
      <c r="H409" s="798"/>
      <c r="I409" s="798"/>
      <c r="J409" s="798"/>
      <c r="K409" s="798"/>
      <c r="L409" s="798"/>
      <c r="M409" s="798"/>
      <c r="N409" s="798"/>
      <c r="O409" s="798"/>
      <c r="P409" s="798"/>
      <c r="Q409" s="798"/>
      <c r="R409" s="798"/>
      <c r="S409" s="798"/>
      <c r="T409" s="798"/>
      <c r="U409" s="798"/>
      <c r="V409" s="798"/>
      <c r="W409" s="798"/>
      <c r="X409" s="798"/>
      <c r="Y409" s="798"/>
      <c r="Z409" s="798"/>
      <c r="AA409" s="798"/>
      <c r="AB409" s="798"/>
      <c r="AC409" s="798"/>
      <c r="AD409" s="798"/>
      <c r="AE409" s="798"/>
      <c r="AF409" s="798"/>
      <c r="AG409" s="798"/>
      <c r="AH409" s="798"/>
      <c r="AI409" s="798"/>
      <c r="AJ409" s="798"/>
      <c r="AK409" s="798"/>
      <c r="AL409" s="798"/>
      <c r="AM409" s="798"/>
      <c r="AN409" s="798"/>
      <c r="AO409" s="798"/>
      <c r="AP409" s="798"/>
      <c r="AQ409" s="798"/>
      <c r="AR409" s="798"/>
      <c r="AS409" s="798"/>
      <c r="AT409" s="798"/>
      <c r="AU409" s="798"/>
      <c r="AV409" s="798"/>
      <c r="AW409" s="798"/>
      <c r="AX409" s="798"/>
      <c r="AY409" s="798"/>
      <c r="AZ409" s="798"/>
      <c r="BA409" s="798"/>
      <c r="BB409" s="798"/>
      <c r="BC409" s="798"/>
      <c r="BD409" s="798"/>
      <c r="BE409" s="798"/>
      <c r="BF409" s="798"/>
      <c r="BG409" s="798"/>
      <c r="BH409" s="798"/>
      <c r="BI409" s="798"/>
      <c r="BJ409" s="798"/>
      <c r="BK409" s="798"/>
      <c r="BL409" s="798"/>
      <c r="BM409" s="798"/>
      <c r="BN409" s="798"/>
      <c r="BO409" s="798"/>
      <c r="BP409" s="798"/>
      <c r="BQ409" s="798"/>
      <c r="BR409" s="798"/>
      <c r="BS409" s="798"/>
      <c r="BT409" s="798"/>
      <c r="BU409" s="798"/>
      <c r="BV409" s="798"/>
      <c r="BW409" s="798"/>
      <c r="BX409" s="798"/>
      <c r="BY409" s="798"/>
      <c r="BZ409" s="798"/>
      <c r="CA409" s="798"/>
      <c r="CB409" s="798"/>
      <c r="CC409" s="798"/>
      <c r="CD409" s="798"/>
      <c r="CE409" s="798"/>
      <c r="CF409" s="798"/>
      <c r="CG409" s="798"/>
      <c r="CH409" s="798"/>
      <c r="CI409" s="798"/>
      <c r="CJ409" s="798"/>
      <c r="CK409" s="798"/>
      <c r="CL409" s="798"/>
      <c r="CM409" s="798"/>
      <c r="CN409" s="798"/>
      <c r="CO409" s="798"/>
      <c r="CP409" s="798"/>
      <c r="CQ409" s="798"/>
      <c r="CR409" s="798"/>
      <c r="CS409" s="798"/>
      <c r="CT409" s="798"/>
      <c r="CU409" s="798"/>
      <c r="CV409" s="798"/>
      <c r="CW409" s="798"/>
      <c r="CX409" s="798"/>
      <c r="CY409" s="798"/>
      <c r="CZ409" s="798"/>
      <c r="DA409" s="798"/>
      <c r="DB409" s="798"/>
      <c r="DC409" s="798"/>
      <c r="DD409" s="798"/>
      <c r="DE409" s="798"/>
      <c r="DF409" s="798"/>
      <c r="DG409" s="798"/>
      <c r="DH409" s="798"/>
      <c r="DI409" s="798"/>
      <c r="DJ409" s="798"/>
      <c r="DK409" s="798"/>
      <c r="DL409" s="798"/>
      <c r="DM409" s="798"/>
      <c r="DN409" s="798"/>
      <c r="DO409" s="798"/>
      <c r="DP409" s="798"/>
      <c r="DQ409" s="798"/>
      <c r="DR409" s="798"/>
      <c r="DS409" s="798"/>
      <c r="DT409" s="798"/>
      <c r="DU409" s="798"/>
      <c r="DV409" s="798"/>
      <c r="DW409" s="798"/>
      <c r="DX409" s="798"/>
      <c r="DY409" s="798"/>
      <c r="DZ409" s="798"/>
      <c r="EA409" s="798"/>
      <c r="EB409" s="798"/>
      <c r="EC409" s="798"/>
      <c r="ED409" s="798"/>
      <c r="EE409" s="798"/>
      <c r="EF409" s="798"/>
      <c r="EG409" s="798"/>
      <c r="EH409" s="782"/>
    </row>
    <row r="410" spans="1:138" ht="12.75" customHeight="1" x14ac:dyDescent="0.3">
      <c r="A410" s="782"/>
      <c r="B410" s="835" t="s">
        <v>204</v>
      </c>
      <c r="C410" s="836">
        <f>SUMIF($E$408:$EG$408,"&gt;0")/-SUMIF($E$408:$EG$408,"&lt;0")</f>
        <v>1.6974577109401991</v>
      </c>
      <c r="D410" s="782"/>
      <c r="E410" s="798"/>
      <c r="F410" s="798"/>
      <c r="G410" s="798"/>
      <c r="H410" s="798"/>
      <c r="I410" s="798"/>
      <c r="J410" s="798"/>
      <c r="K410" s="798"/>
      <c r="L410" s="798"/>
      <c r="M410" s="798"/>
      <c r="N410" s="798"/>
      <c r="O410" s="798"/>
      <c r="P410" s="798"/>
      <c r="Q410" s="798"/>
      <c r="R410" s="798"/>
      <c r="S410" s="798"/>
      <c r="T410" s="798"/>
      <c r="U410" s="798"/>
      <c r="V410" s="798"/>
      <c r="W410" s="798"/>
      <c r="X410" s="798"/>
      <c r="Y410" s="798"/>
      <c r="Z410" s="798"/>
      <c r="AA410" s="798"/>
      <c r="AB410" s="798"/>
      <c r="AC410" s="798"/>
      <c r="AD410" s="798"/>
      <c r="AE410" s="798"/>
      <c r="AF410" s="798"/>
      <c r="AG410" s="798"/>
      <c r="AH410" s="798"/>
      <c r="AI410" s="798"/>
      <c r="AJ410" s="798"/>
      <c r="AK410" s="798"/>
      <c r="AL410" s="798"/>
      <c r="AM410" s="798"/>
      <c r="AN410" s="798"/>
      <c r="AO410" s="798"/>
      <c r="AP410" s="798"/>
      <c r="AQ410" s="798"/>
      <c r="AR410" s="798"/>
      <c r="AS410" s="798"/>
      <c r="AT410" s="798"/>
      <c r="AU410" s="798"/>
      <c r="AV410" s="798"/>
      <c r="AW410" s="798"/>
      <c r="AX410" s="798"/>
      <c r="AY410" s="798"/>
      <c r="AZ410" s="798"/>
      <c r="BA410" s="798"/>
      <c r="BB410" s="798"/>
      <c r="BC410" s="798"/>
      <c r="BD410" s="798"/>
      <c r="BE410" s="798"/>
      <c r="BF410" s="798"/>
      <c r="BG410" s="798"/>
      <c r="BH410" s="798"/>
      <c r="BI410" s="798"/>
      <c r="BJ410" s="798"/>
      <c r="BK410" s="798"/>
      <c r="BL410" s="798"/>
      <c r="BM410" s="798"/>
      <c r="BN410" s="798"/>
      <c r="BO410" s="798"/>
      <c r="BP410" s="798"/>
      <c r="BQ410" s="798"/>
      <c r="BR410" s="798"/>
      <c r="BS410" s="798"/>
      <c r="BT410" s="798"/>
      <c r="BU410" s="798"/>
      <c r="BV410" s="798"/>
      <c r="BW410" s="798"/>
      <c r="BX410" s="798"/>
      <c r="BY410" s="798"/>
      <c r="BZ410" s="798"/>
      <c r="CA410" s="798"/>
      <c r="CB410" s="798"/>
      <c r="CC410" s="798"/>
      <c r="CD410" s="798"/>
      <c r="CE410" s="798"/>
      <c r="CF410" s="798"/>
      <c r="CG410" s="798"/>
      <c r="CH410" s="798"/>
      <c r="CI410" s="798"/>
      <c r="CJ410" s="798"/>
      <c r="CK410" s="798"/>
      <c r="CL410" s="798"/>
      <c r="CM410" s="798"/>
      <c r="CN410" s="798"/>
      <c r="CO410" s="798"/>
      <c r="CP410" s="798"/>
      <c r="CQ410" s="798"/>
      <c r="CR410" s="798"/>
      <c r="CS410" s="798"/>
      <c r="CT410" s="798"/>
      <c r="CU410" s="798"/>
      <c r="CV410" s="798"/>
      <c r="CW410" s="798"/>
      <c r="CX410" s="798"/>
      <c r="CY410" s="798"/>
      <c r="CZ410" s="798"/>
      <c r="DA410" s="798"/>
      <c r="DB410" s="798"/>
      <c r="DC410" s="798"/>
      <c r="DD410" s="798"/>
      <c r="DE410" s="798"/>
      <c r="DF410" s="798"/>
      <c r="DG410" s="798"/>
      <c r="DH410" s="798"/>
      <c r="DI410" s="798"/>
      <c r="DJ410" s="798"/>
      <c r="DK410" s="798"/>
      <c r="DL410" s="798"/>
      <c r="DM410" s="798"/>
      <c r="DN410" s="798"/>
      <c r="DO410" s="798"/>
      <c r="DP410" s="798"/>
      <c r="DQ410" s="798"/>
      <c r="DR410" s="798"/>
      <c r="DS410" s="798"/>
      <c r="DT410" s="798"/>
      <c r="DU410" s="798"/>
      <c r="DV410" s="798"/>
      <c r="DW410" s="798"/>
      <c r="DX410" s="798"/>
      <c r="DY410" s="798"/>
      <c r="DZ410" s="798"/>
      <c r="EA410" s="798"/>
      <c r="EB410" s="798"/>
      <c r="EC410" s="798"/>
      <c r="ED410" s="798"/>
      <c r="EE410" s="798"/>
      <c r="EF410" s="798"/>
      <c r="EG410" s="798"/>
      <c r="EH410" s="782"/>
    </row>
    <row r="411" spans="1:138" ht="12.75" customHeight="1" x14ac:dyDescent="0.3">
      <c r="A411" s="782"/>
      <c r="B411" s="782" t="s">
        <v>155</v>
      </c>
      <c r="C411" s="1385"/>
      <c r="D411" s="782"/>
      <c r="E411" s="798"/>
      <c r="F411" s="798"/>
      <c r="G411" s="798"/>
      <c r="H411" s="798"/>
      <c r="I411" s="798"/>
      <c r="J411" s="798"/>
      <c r="K411" s="798"/>
      <c r="L411" s="798"/>
      <c r="M411" s="798"/>
      <c r="N411" s="798"/>
      <c r="O411" s="798"/>
      <c r="P411" s="798"/>
      <c r="Q411" s="798"/>
      <c r="R411" s="798"/>
      <c r="S411" s="798"/>
      <c r="T411" s="798"/>
      <c r="U411" s="798"/>
      <c r="V411" s="798"/>
      <c r="W411" s="798"/>
      <c r="X411" s="798"/>
      <c r="Y411" s="798"/>
      <c r="Z411" s="798"/>
      <c r="AA411" s="798"/>
      <c r="AB411" s="798"/>
      <c r="AC411" s="798"/>
      <c r="AD411" s="798"/>
      <c r="AE411" s="798"/>
      <c r="AF411" s="798"/>
      <c r="AG411" s="798"/>
      <c r="AH411" s="798"/>
      <c r="AI411" s="798"/>
      <c r="AJ411" s="798"/>
      <c r="AK411" s="798"/>
      <c r="AL411" s="798"/>
      <c r="AM411" s="798"/>
      <c r="AN411" s="798"/>
      <c r="AO411" s="798"/>
      <c r="AP411" s="798"/>
      <c r="AQ411" s="798"/>
      <c r="AR411" s="798"/>
      <c r="AS411" s="798"/>
      <c r="AT411" s="798"/>
      <c r="AU411" s="798"/>
      <c r="AV411" s="798"/>
      <c r="AW411" s="798"/>
      <c r="AX411" s="798"/>
      <c r="AY411" s="798"/>
      <c r="AZ411" s="798"/>
      <c r="BA411" s="798"/>
      <c r="BB411" s="798"/>
      <c r="BC411" s="798"/>
      <c r="BD411" s="798"/>
      <c r="BE411" s="798"/>
      <c r="BF411" s="798"/>
      <c r="BG411" s="798"/>
      <c r="BH411" s="798"/>
      <c r="BI411" s="798"/>
      <c r="BJ411" s="798"/>
      <c r="BK411" s="798"/>
      <c r="BL411" s="798"/>
      <c r="BM411" s="798"/>
      <c r="BN411" s="798"/>
      <c r="BO411" s="798"/>
      <c r="BP411" s="798"/>
      <c r="BQ411" s="798"/>
      <c r="BR411" s="798"/>
      <c r="BS411" s="798"/>
      <c r="BT411" s="798"/>
      <c r="BU411" s="798"/>
      <c r="BV411" s="798"/>
      <c r="BW411" s="798"/>
      <c r="BX411" s="798"/>
      <c r="BY411" s="798"/>
      <c r="BZ411" s="798"/>
      <c r="CA411" s="798"/>
      <c r="CB411" s="798"/>
      <c r="CC411" s="798"/>
      <c r="CD411" s="798"/>
      <c r="CE411" s="798"/>
      <c r="CF411" s="798"/>
      <c r="CG411" s="798"/>
      <c r="CH411" s="798"/>
      <c r="CI411" s="798"/>
      <c r="CJ411" s="798"/>
      <c r="CK411" s="798"/>
      <c r="CL411" s="798"/>
      <c r="CM411" s="798"/>
      <c r="CN411" s="798"/>
      <c r="CO411" s="798"/>
      <c r="CP411" s="798"/>
      <c r="CQ411" s="798"/>
      <c r="CR411" s="798"/>
      <c r="CS411" s="798"/>
      <c r="CT411" s="798"/>
      <c r="CU411" s="798"/>
      <c r="CV411" s="798"/>
      <c r="CW411" s="798"/>
      <c r="CX411" s="798"/>
      <c r="CY411" s="798"/>
      <c r="CZ411" s="798"/>
      <c r="DA411" s="798"/>
      <c r="DB411" s="798"/>
      <c r="DC411" s="798"/>
      <c r="DD411" s="798"/>
      <c r="DE411" s="798"/>
      <c r="DF411" s="798"/>
      <c r="DG411" s="798"/>
      <c r="DH411" s="798"/>
      <c r="DI411" s="798"/>
      <c r="DJ411" s="798"/>
      <c r="DK411" s="798"/>
      <c r="DL411" s="798"/>
      <c r="DM411" s="798"/>
      <c r="DN411" s="798"/>
      <c r="DO411" s="798"/>
      <c r="DP411" s="798"/>
      <c r="DQ411" s="798"/>
      <c r="DR411" s="798"/>
      <c r="DS411" s="798"/>
      <c r="DT411" s="798"/>
      <c r="DU411" s="798"/>
      <c r="DV411" s="798"/>
      <c r="DW411" s="798"/>
      <c r="DX411" s="798"/>
      <c r="DY411" s="798"/>
      <c r="DZ411" s="798"/>
      <c r="EA411" s="798"/>
      <c r="EB411" s="798"/>
      <c r="EC411" s="798"/>
      <c r="ED411" s="798"/>
      <c r="EE411" s="798"/>
      <c r="EF411" s="798"/>
      <c r="EG411" s="798"/>
      <c r="EH411" s="782"/>
    </row>
    <row r="412" spans="1:138" ht="12.75" customHeight="1" x14ac:dyDescent="0.3">
      <c r="A412" s="782"/>
      <c r="B412" s="782" t="s">
        <v>342</v>
      </c>
      <c r="C412" s="1385"/>
      <c r="D412" s="782"/>
      <c r="E412" s="798"/>
      <c r="F412" s="798"/>
      <c r="G412" s="798"/>
      <c r="H412" s="798"/>
      <c r="I412" s="798"/>
      <c r="J412" s="798"/>
      <c r="K412" s="798"/>
      <c r="L412" s="798"/>
      <c r="M412" s="798"/>
      <c r="N412" s="798"/>
      <c r="O412" s="798"/>
      <c r="P412" s="798"/>
      <c r="Q412" s="798"/>
      <c r="R412" s="798"/>
      <c r="S412" s="798"/>
      <c r="T412" s="798"/>
      <c r="U412" s="798"/>
      <c r="V412" s="798"/>
      <c r="W412" s="798"/>
      <c r="X412" s="798"/>
      <c r="Y412" s="798"/>
      <c r="Z412" s="798"/>
      <c r="AA412" s="798"/>
      <c r="AB412" s="798"/>
      <c r="AC412" s="798"/>
      <c r="AD412" s="798"/>
      <c r="AE412" s="798"/>
      <c r="AF412" s="798"/>
      <c r="AG412" s="798"/>
      <c r="AH412" s="798"/>
      <c r="AI412" s="798"/>
      <c r="AJ412" s="798"/>
      <c r="AK412" s="798"/>
      <c r="AL412" s="798"/>
      <c r="AM412" s="798"/>
      <c r="AN412" s="798"/>
      <c r="AO412" s="798"/>
      <c r="AP412" s="798"/>
      <c r="AQ412" s="798"/>
      <c r="AR412" s="798"/>
      <c r="AS412" s="798"/>
      <c r="AT412" s="798"/>
      <c r="AU412" s="798"/>
      <c r="AV412" s="798"/>
      <c r="AW412" s="798"/>
      <c r="AX412" s="798"/>
      <c r="AY412" s="798"/>
      <c r="AZ412" s="798"/>
      <c r="BA412" s="798"/>
      <c r="BB412" s="798"/>
      <c r="BC412" s="798"/>
      <c r="BD412" s="798"/>
      <c r="BE412" s="798"/>
      <c r="BF412" s="798"/>
      <c r="BG412" s="798"/>
      <c r="BH412" s="798"/>
      <c r="BI412" s="798"/>
      <c r="BJ412" s="798"/>
      <c r="BK412" s="798"/>
      <c r="BL412" s="798"/>
      <c r="BM412" s="798"/>
      <c r="BN412" s="798"/>
      <c r="BO412" s="798"/>
      <c r="BP412" s="798"/>
      <c r="BQ412" s="798"/>
      <c r="BR412" s="798"/>
      <c r="BS412" s="798"/>
      <c r="BT412" s="798"/>
      <c r="BU412" s="798"/>
      <c r="BV412" s="798"/>
      <c r="BW412" s="798"/>
      <c r="BX412" s="798"/>
      <c r="BY412" s="798"/>
      <c r="BZ412" s="798"/>
      <c r="CA412" s="798"/>
      <c r="CB412" s="798"/>
      <c r="CC412" s="798"/>
      <c r="CD412" s="798"/>
      <c r="CE412" s="798"/>
      <c r="CF412" s="798"/>
      <c r="CG412" s="798"/>
      <c r="CH412" s="798"/>
      <c r="CI412" s="798"/>
      <c r="CJ412" s="798"/>
      <c r="CK412" s="798"/>
      <c r="CL412" s="798"/>
      <c r="CM412" s="798"/>
      <c r="CN412" s="798"/>
      <c r="CO412" s="798"/>
      <c r="CP412" s="798"/>
      <c r="CQ412" s="798"/>
      <c r="CR412" s="798"/>
      <c r="CS412" s="798"/>
      <c r="CT412" s="798"/>
      <c r="CU412" s="798"/>
      <c r="CV412" s="798"/>
      <c r="CW412" s="798"/>
      <c r="CX412" s="798"/>
      <c r="CY412" s="798"/>
      <c r="CZ412" s="798"/>
      <c r="DA412" s="798"/>
      <c r="DB412" s="798"/>
      <c r="DC412" s="798"/>
      <c r="DD412" s="798"/>
      <c r="DE412" s="798"/>
      <c r="DF412" s="798"/>
      <c r="DG412" s="798"/>
      <c r="DH412" s="798"/>
      <c r="DI412" s="798"/>
      <c r="DJ412" s="798"/>
      <c r="DK412" s="798"/>
      <c r="DL412" s="798"/>
      <c r="DM412" s="798"/>
      <c r="DN412" s="798"/>
      <c r="DO412" s="798"/>
      <c r="DP412" s="798"/>
      <c r="DQ412" s="798"/>
      <c r="DR412" s="798"/>
      <c r="DS412" s="798"/>
      <c r="DT412" s="798"/>
      <c r="DU412" s="798"/>
      <c r="DV412" s="798"/>
      <c r="DW412" s="798"/>
      <c r="DX412" s="798"/>
      <c r="DY412" s="798"/>
      <c r="DZ412" s="798"/>
      <c r="EA412" s="798"/>
      <c r="EB412" s="798"/>
      <c r="EC412" s="798"/>
      <c r="ED412" s="798"/>
      <c r="EE412" s="798"/>
      <c r="EF412" s="798"/>
      <c r="EG412" s="798"/>
      <c r="EH412" s="782"/>
    </row>
    <row r="413" spans="1:138" ht="12.75" customHeight="1" x14ac:dyDescent="0.3">
      <c r="A413" s="782"/>
      <c r="B413" s="1382" t="s">
        <v>343</v>
      </c>
      <c r="C413" s="1386"/>
      <c r="D413" s="782"/>
      <c r="E413" s="798"/>
      <c r="F413" s="798"/>
      <c r="G413" s="798"/>
      <c r="H413" s="798"/>
      <c r="I413" s="798"/>
      <c r="J413" s="798"/>
      <c r="K413" s="798"/>
      <c r="L413" s="798"/>
      <c r="M413" s="798"/>
      <c r="N413" s="798"/>
      <c r="O413" s="798"/>
      <c r="P413" s="798"/>
      <c r="Q413" s="798"/>
      <c r="R413" s="798"/>
      <c r="S413" s="798"/>
      <c r="T413" s="798"/>
      <c r="U413" s="798"/>
      <c r="V413" s="798"/>
      <c r="W413" s="798"/>
      <c r="X413" s="798"/>
      <c r="Y413" s="798"/>
      <c r="Z413" s="798"/>
      <c r="AA413" s="798"/>
      <c r="AB413" s="798"/>
      <c r="AC413" s="798"/>
      <c r="AD413" s="798"/>
      <c r="AE413" s="798"/>
      <c r="AF413" s="798"/>
      <c r="AG413" s="798"/>
      <c r="AH413" s="798"/>
      <c r="AI413" s="798"/>
      <c r="AJ413" s="798"/>
      <c r="AK413" s="798"/>
      <c r="AL413" s="798"/>
      <c r="AM413" s="798"/>
      <c r="AN413" s="798"/>
      <c r="AO413" s="798"/>
      <c r="AP413" s="798"/>
      <c r="AQ413" s="798"/>
      <c r="AR413" s="798"/>
      <c r="AS413" s="798"/>
      <c r="AT413" s="798"/>
      <c r="AU413" s="798"/>
      <c r="AV413" s="798"/>
      <c r="AW413" s="798"/>
      <c r="AX413" s="798"/>
      <c r="AY413" s="798"/>
      <c r="AZ413" s="798"/>
      <c r="BA413" s="798"/>
      <c r="BB413" s="798"/>
      <c r="BC413" s="798"/>
      <c r="BD413" s="798"/>
      <c r="BE413" s="798"/>
      <c r="BF413" s="798"/>
      <c r="BG413" s="798"/>
      <c r="BH413" s="798"/>
      <c r="BI413" s="798"/>
      <c r="BJ413" s="798"/>
      <c r="BK413" s="798"/>
      <c r="BL413" s="798"/>
      <c r="BM413" s="798"/>
      <c r="BN413" s="798"/>
      <c r="BO413" s="798"/>
      <c r="BP413" s="798"/>
      <c r="BQ413" s="798"/>
      <c r="BR413" s="798"/>
      <c r="BS413" s="798"/>
      <c r="BT413" s="798"/>
      <c r="BU413" s="798"/>
      <c r="BV413" s="798"/>
      <c r="BW413" s="798"/>
      <c r="BX413" s="798"/>
      <c r="BY413" s="798"/>
      <c r="BZ413" s="798"/>
      <c r="CA413" s="798"/>
      <c r="CB413" s="798"/>
      <c r="CC413" s="798"/>
      <c r="CD413" s="798"/>
      <c r="CE413" s="798"/>
      <c r="CF413" s="798"/>
      <c r="CG413" s="798"/>
      <c r="CH413" s="798"/>
      <c r="CI413" s="798"/>
      <c r="CJ413" s="798"/>
      <c r="CK413" s="798"/>
      <c r="CL413" s="798"/>
      <c r="CM413" s="798"/>
      <c r="CN413" s="798"/>
      <c r="CO413" s="798"/>
      <c r="CP413" s="798"/>
      <c r="CQ413" s="798"/>
      <c r="CR413" s="798"/>
      <c r="CS413" s="798"/>
      <c r="CT413" s="798"/>
      <c r="CU413" s="798"/>
      <c r="CV413" s="798"/>
      <c r="CW413" s="798"/>
      <c r="CX413" s="798"/>
      <c r="CY413" s="798"/>
      <c r="CZ413" s="798"/>
      <c r="DA413" s="798"/>
      <c r="DB413" s="798"/>
      <c r="DC413" s="798"/>
      <c r="DD413" s="798"/>
      <c r="DE413" s="798"/>
      <c r="DF413" s="798"/>
      <c r="DG413" s="798"/>
      <c r="DH413" s="798"/>
      <c r="DI413" s="798"/>
      <c r="DJ413" s="798"/>
      <c r="DK413" s="798"/>
      <c r="DL413" s="798"/>
      <c r="DM413" s="798"/>
      <c r="DN413" s="798"/>
      <c r="DO413" s="798"/>
      <c r="DP413" s="798"/>
      <c r="DQ413" s="798"/>
      <c r="DR413" s="798"/>
      <c r="DS413" s="798"/>
      <c r="DT413" s="798"/>
      <c r="DU413" s="798"/>
      <c r="DV413" s="798"/>
      <c r="DW413" s="798"/>
      <c r="DX413" s="798"/>
      <c r="DY413" s="798"/>
      <c r="DZ413" s="798"/>
      <c r="EA413" s="798"/>
      <c r="EB413" s="798"/>
      <c r="EC413" s="798"/>
      <c r="ED413" s="798"/>
      <c r="EE413" s="798"/>
      <c r="EF413" s="798"/>
      <c r="EG413" s="798"/>
      <c r="EH413" s="782"/>
    </row>
    <row r="414" spans="1:138" ht="12.75" customHeight="1" x14ac:dyDescent="0.3">
      <c r="A414" s="782"/>
      <c r="B414" s="782" t="s">
        <v>344</v>
      </c>
      <c r="C414" s="838">
        <f>SUM(E414:EG414)</f>
        <v>8758390.0378369149</v>
      </c>
      <c r="D414" s="782"/>
      <c r="E414" s="798">
        <f>+((E135+E339)*'Venture Assumptions'!$F$11)</f>
        <v>0</v>
      </c>
      <c r="F414" s="798">
        <f>+((F135+F339)*'Venture Assumptions'!$F$11)</f>
        <v>0</v>
      </c>
      <c r="G414" s="798">
        <f>+((G135+G339)*'Venture Assumptions'!$F$11)</f>
        <v>0</v>
      </c>
      <c r="H414" s="798">
        <f>+((H135+H339)*'Venture Assumptions'!$F$11)</f>
        <v>0</v>
      </c>
      <c r="I414" s="798">
        <f>+((I135+I339)*'Venture Assumptions'!$F$11)</f>
        <v>0</v>
      </c>
      <c r="J414" s="798">
        <f>+((J135+J339)*'Venture Assumptions'!$F$11)</f>
        <v>0</v>
      </c>
      <c r="K414" s="798">
        <f>+((K135+K339)*'Venture Assumptions'!$F$11)</f>
        <v>0</v>
      </c>
      <c r="L414" s="798">
        <f>+((L135+L339)*'Venture Assumptions'!$F$11)</f>
        <v>0</v>
      </c>
      <c r="M414" s="798">
        <f>+((M135+M339)*'Venture Assumptions'!$F$11)</f>
        <v>0</v>
      </c>
      <c r="N414" s="798">
        <f>+((N135+N339)*'Venture Assumptions'!$F$11)</f>
        <v>0</v>
      </c>
      <c r="O414" s="798">
        <f>+((O135+O339)*'Venture Assumptions'!$F$11)</f>
        <v>0</v>
      </c>
      <c r="P414" s="798">
        <f>+((P135+P339)*'Venture Assumptions'!$F$11)</f>
        <v>0</v>
      </c>
      <c r="Q414" s="798">
        <f>+((Q135+Q339)*'Venture Assumptions'!$F$11)</f>
        <v>0</v>
      </c>
      <c r="R414" s="798">
        <f>+((R135+R339)*'Venture Assumptions'!$F$11)</f>
        <v>0</v>
      </c>
      <c r="S414" s="798">
        <f>+((S135+S339)*'Venture Assumptions'!$F$11)</f>
        <v>0</v>
      </c>
      <c r="T414" s="798">
        <f>+((T135+T339)*'Venture Assumptions'!$F$11)</f>
        <v>0</v>
      </c>
      <c r="U414" s="798">
        <f>+((U135+U339)*'Venture Assumptions'!$F$11)</f>
        <v>0</v>
      </c>
      <c r="V414" s="798">
        <f>+((V135+V339)*'Venture Assumptions'!$F$11)</f>
        <v>0</v>
      </c>
      <c r="W414" s="798">
        <f>+((W135+W339)*'Venture Assumptions'!$F$11)</f>
        <v>0</v>
      </c>
      <c r="X414" s="798">
        <f>+((X135+X339)*'Venture Assumptions'!$F$11)</f>
        <v>0</v>
      </c>
      <c r="Y414" s="798">
        <f>+((Y135+Y339)*'Venture Assumptions'!$F$11)</f>
        <v>0</v>
      </c>
      <c r="Z414" s="798">
        <f>+((Z135+Z339)*'Venture Assumptions'!$F$11)</f>
        <v>0</v>
      </c>
      <c r="AA414" s="798">
        <f>+((AA135+AA339)*'Venture Assumptions'!$F$11)</f>
        <v>0</v>
      </c>
      <c r="AB414" s="798">
        <f>+((AB135+AB339)*'Venture Assumptions'!$F$11)</f>
        <v>0</v>
      </c>
      <c r="AC414" s="798">
        <f>+((AC135+AC339)*'Venture Assumptions'!$F$11)</f>
        <v>0</v>
      </c>
      <c r="AD414" s="798">
        <f>+((AD135+AD339)*'Venture Assumptions'!$F$11)</f>
        <v>0</v>
      </c>
      <c r="AE414" s="798">
        <f>+((AE135+AE339)*'Venture Assumptions'!$F$11)</f>
        <v>0</v>
      </c>
      <c r="AF414" s="798">
        <f>+((AF135+AF339)*'Venture Assumptions'!$F$11)</f>
        <v>0</v>
      </c>
      <c r="AG414" s="798">
        <f>+((AG135+AG339)*'Venture Assumptions'!$F$11)</f>
        <v>0</v>
      </c>
      <c r="AH414" s="798">
        <f>+((AH135+AH339)*'Venture Assumptions'!$F$11)</f>
        <v>0</v>
      </c>
      <c r="AI414" s="798">
        <f>+((AI135+AI339)*'Venture Assumptions'!$F$11)</f>
        <v>0</v>
      </c>
      <c r="AJ414" s="798">
        <f>+((AJ135+AJ339)*'Venture Assumptions'!$F$11)</f>
        <v>0</v>
      </c>
      <c r="AK414" s="798">
        <f>+((AK135+AK339)*'Venture Assumptions'!$F$11)</f>
        <v>-15284446.473908376</v>
      </c>
      <c r="AL414" s="798">
        <f>+((AL135+AL339)*'Venture Assumptions'!$F$11)</f>
        <v>3564567.0507463925</v>
      </c>
      <c r="AM414" s="798">
        <f>+((AM135+AM339)*'Venture Assumptions'!$F$11)</f>
        <v>51118.043169230485</v>
      </c>
      <c r="AN414" s="798">
        <f>+((AN135+AN339)*'Venture Assumptions'!$F$11)</f>
        <v>51740.557655685509</v>
      </c>
      <c r="AO414" s="798">
        <f>+((AO135+AO339)*'Venture Assumptions'!$F$11)</f>
        <v>52354.76555389024</v>
      </c>
      <c r="AP414" s="798">
        <f>+((AP135+AP339)*'Venture Assumptions'!$F$11)</f>
        <v>52759.5292755474</v>
      </c>
      <c r="AQ414" s="798">
        <f>+((AQ135+AQ339)*'Venture Assumptions'!$F$11)</f>
        <v>53581.814971616812</v>
      </c>
      <c r="AR414" s="798">
        <f>+((AR135+AR339)*'Venture Assumptions'!$F$11)</f>
        <v>54285.222463395534</v>
      </c>
      <c r="AS414" s="798">
        <f>+((AS135+AS339)*'Venture Assumptions'!$F$11)</f>
        <v>53082.088140600084</v>
      </c>
      <c r="AT414" s="798">
        <f>+((AT135+AT339)*'Venture Assumptions'!$F$11)</f>
        <v>53477.732146181341</v>
      </c>
      <c r="AU414" s="798">
        <f>+((AU135+AU339)*'Venture Assumptions'!$F$11)</f>
        <v>53849.850685591598</v>
      </c>
      <c r="AV414" s="798">
        <f>+((AV135+AV339)*'Venture Assumptions'!$F$11)</f>
        <v>54410.382917036797</v>
      </c>
      <c r="AW414" s="798">
        <f>+((AW135+AW339)*'Venture Assumptions'!$F$11)</f>
        <v>54948.309953544573</v>
      </c>
      <c r="AX414" s="798">
        <f>+((AX135+AX339)*'Venture Assumptions'!$F$11)</f>
        <v>55454.929898542294</v>
      </c>
      <c r="AY414" s="798">
        <f>+((AY135+AY339)*'Venture Assumptions'!$F$11)</f>
        <v>55941.766094840903</v>
      </c>
      <c r="AZ414" s="798">
        <f>+((AZ135+AZ339)*'Venture Assumptions'!$F$11)</f>
        <v>56410.58213378756</v>
      </c>
      <c r="BA414" s="798">
        <f>+((BA135+BA339)*'Venture Assumptions'!$F$11)</f>
        <v>56847.908391238874</v>
      </c>
      <c r="BB414" s="798">
        <f>+((BB135+BB339)*'Venture Assumptions'!$F$11)</f>
        <v>57106.903266163376</v>
      </c>
      <c r="BC414" s="798">
        <f>+((BC135+BC339)*'Venture Assumptions'!$F$11)</f>
        <v>57653.985151406443</v>
      </c>
      <c r="BD414" s="798">
        <f>+((BD135+BD339)*'Venture Assumptions'!$F$11)</f>
        <v>58096.109295453731</v>
      </c>
      <c r="BE414" s="798">
        <f>+((BE135+BE339)*'Venture Assumptions'!$F$11)</f>
        <v>57024.27892994968</v>
      </c>
      <c r="BF414" s="798">
        <f>+((BF135+BF339)*'Venture Assumptions'!$F$11)</f>
        <v>57248.003568463238</v>
      </c>
      <c r="BG414" s="798">
        <f>+((BG135+BG339)*'Venture Assumptions'!$F$11)</f>
        <v>57472.632914289381</v>
      </c>
      <c r="BH414" s="798">
        <f>+((BH135+BH339)*'Venture Assumptions'!$F$11)</f>
        <v>57854.064294020442</v>
      </c>
      <c r="BI414" s="798">
        <f>+((BI135+BI339)*'Venture Assumptions'!$F$11)</f>
        <v>58241.704206363218</v>
      </c>
      <c r="BJ414" s="798">
        <f>+((BJ135+BJ339)*'Venture Assumptions'!$F$11)</f>
        <v>58650.940942040164</v>
      </c>
      <c r="BK414" s="798">
        <f>+((BK135+BK339)*'Venture Assumptions'!$F$11)</f>
        <v>59078.363686548939</v>
      </c>
      <c r="BL414" s="798">
        <f>+((BL135+BL339)*'Venture Assumptions'!$F$11)</f>
        <v>59508.901805101923</v>
      </c>
      <c r="BM414" s="798">
        <f>+((BM135+BM339)*'Venture Assumptions'!$F$11)</f>
        <v>59961.992189855642</v>
      </c>
      <c r="BN414" s="798">
        <f>+((BN135+BN339)*'Venture Assumptions'!$F$11)</f>
        <v>60258.584300880553</v>
      </c>
      <c r="BO414" s="798">
        <f>+((BO135+BO339)*'Venture Assumptions'!$F$11)</f>
        <v>60912.199368235939</v>
      </c>
      <c r="BP414" s="798">
        <f>+((BP135+BP339)*'Venture Assumptions'!$F$11)</f>
        <v>61483.588424041656</v>
      </c>
      <c r="BQ414" s="798">
        <f>+((BQ135+BQ339)*'Venture Assumptions'!$F$11)</f>
        <v>60440.580172344286</v>
      </c>
      <c r="BR414" s="798">
        <f>+((BR135+BR339)*'Venture Assumptions'!$F$11)</f>
        <v>60764.457774298578</v>
      </c>
      <c r="BS414" s="798">
        <f>+((BS135+BS339)*'Venture Assumptions'!$F$11)</f>
        <v>61082.974342596382</v>
      </c>
      <c r="BT414" s="798">
        <f>+((BT135+BT339)*'Venture Assumptions'!$F$11)</f>
        <v>61596.902067002826</v>
      </c>
      <c r="BU414" s="798">
        <f>+((BU135+BU339)*'Venture Assumptions'!$F$11)</f>
        <v>62104.328229873005</v>
      </c>
      <c r="BV414" s="798">
        <f>+((BV135+BV339)*'Venture Assumptions'!$F$11)</f>
        <v>62618.350828629722</v>
      </c>
      <c r="BW414" s="798">
        <f>+((BW135+BW339)*'Venture Assumptions'!$F$11)</f>
        <v>63140.645051268155</v>
      </c>
      <c r="BX414" s="798">
        <f>+((BX135+BX339)*'Venture Assumptions'!$F$11)</f>
        <v>63659.559468597014</v>
      </c>
      <c r="BY414" s="798">
        <f>+((BY135+BY339)*'Venture Assumptions'!$F$11)</f>
        <v>64187.359276739393</v>
      </c>
      <c r="BZ414" s="798">
        <f>+((BZ135+BZ339)*'Venture Assumptions'!$F$11)</f>
        <v>64523.503876671246</v>
      </c>
      <c r="CA414" s="798">
        <f>+((CA135+CA339)*'Venture Assumptions'!$F$11)</f>
        <v>65248.973097866416</v>
      </c>
      <c r="CB414" s="798">
        <f>+((CB135+CB339)*'Venture Assumptions'!$F$11)</f>
        <v>65877.652922417779</v>
      </c>
      <c r="CC414" s="798">
        <f>+((CC135+CC339)*'Venture Assumptions'!$F$11)</f>
        <v>64823.322065180757</v>
      </c>
      <c r="CD414" s="798">
        <f>+((CD135+CD339)*'Venture Assumptions'!$F$11)</f>
        <v>65179.802492313131</v>
      </c>
      <c r="CE414" s="798">
        <f>+((CE135+CE339)*'Venture Assumptions'!$F$11)</f>
        <v>65529.18034053038</v>
      </c>
      <c r="CF414" s="798">
        <f>+((CF135+CF339)*'Venture Assumptions'!$F$11)</f>
        <v>66078.15670294741</v>
      </c>
      <c r="CG414" s="798">
        <f>+((CG135+CG339)*'Venture Assumptions'!$F$11)</f>
        <v>66624.891731683936</v>
      </c>
      <c r="CH414" s="798">
        <f>+((CH135+CH339)*'Venture Assumptions'!$F$11)</f>
        <v>67176.65340204323</v>
      </c>
      <c r="CI414" s="798">
        <f>+((CI135+CI339)*'Venture Assumptions'!$F$11)</f>
        <v>67723.337481764102</v>
      </c>
      <c r="CJ414" s="798">
        <f>+((CJ135+CJ339)*'Venture Assumptions'!$F$11)</f>
        <v>68278.280413368659</v>
      </c>
      <c r="CK414" s="798">
        <f>+((CK135+CK339)*'Venture Assumptions'!$F$11)</f>
        <v>68841.373035966724</v>
      </c>
      <c r="CL414" s="798">
        <f>+((CL135+CL339)*'Venture Assumptions'!$F$11)</f>
        <v>69199.643051622566</v>
      </c>
      <c r="CM414" s="798">
        <f>+((CM135+CM339)*'Venture Assumptions'!$F$11)</f>
        <v>69961.838888977407</v>
      </c>
      <c r="CN414" s="798">
        <f>+((CN135+CN339)*'Venture Assumptions'!$F$11)</f>
        <v>70619.239091608659</v>
      </c>
      <c r="CO414" s="798">
        <f>+((CO135+CO339)*'Venture Assumptions'!$F$11)</f>
        <v>69539.006076998921</v>
      </c>
      <c r="CP414" s="798">
        <f>+((CP135+CP339)*'Venture Assumptions'!$F$11)</f>
        <v>69911.96390723795</v>
      </c>
      <c r="CQ414" s="798">
        <f>+((CQ135+CQ339)*'Venture Assumptions'!$F$11)</f>
        <v>70277.626235027958</v>
      </c>
      <c r="CR414" s="798">
        <f>+((CR135+CR339)*'Venture Assumptions'!$F$11)</f>
        <v>70844.551586478279</v>
      </c>
      <c r="CS414" s="798">
        <f>+((CS135+CS339)*'Venture Assumptions'!$F$11)</f>
        <v>71416.712499302535</v>
      </c>
      <c r="CT414" s="798">
        <f>+((CT135+CT339)*'Venture Assumptions'!$F$11)</f>
        <v>71997.450750941411</v>
      </c>
      <c r="CU414" s="798">
        <f>+((CU135+CU339)*'Venture Assumptions'!$F$11)</f>
        <v>72571.427044995085</v>
      </c>
      <c r="CV414" s="798">
        <f>+((CV135+CV339)*'Venture Assumptions'!$F$11)</f>
        <v>73151.145317324161</v>
      </c>
      <c r="CW414" s="798">
        <f>+((CW135+CW339)*'Venture Assumptions'!$F$11)</f>
        <v>16652462.835980743</v>
      </c>
      <c r="CX414" s="798">
        <f>+((CX135+CX339)*'Venture Assumptions'!$F$11)</f>
        <v>0</v>
      </c>
      <c r="CY414" s="798">
        <f>+((CY135+CY339)*'Venture Assumptions'!$F$11)</f>
        <v>0</v>
      </c>
      <c r="CZ414" s="798">
        <f>+((CZ135+CZ339)*'Venture Assumptions'!$F$11)</f>
        <v>0</v>
      </c>
      <c r="DA414" s="798">
        <f>+((DA135+DA339)*'Venture Assumptions'!$F$11)</f>
        <v>0</v>
      </c>
      <c r="DB414" s="798">
        <f>+((DB135+DB339)*'Venture Assumptions'!$F$11)</f>
        <v>0</v>
      </c>
      <c r="DC414" s="798">
        <f>+((DC135+DC339)*'Venture Assumptions'!$F$11)</f>
        <v>0</v>
      </c>
      <c r="DD414" s="798">
        <f>+((DD135+DD339)*'Venture Assumptions'!$F$11)</f>
        <v>0</v>
      </c>
      <c r="DE414" s="798">
        <f>+((DE135+DE339)*'Venture Assumptions'!$F$11)</f>
        <v>0</v>
      </c>
      <c r="DF414" s="798">
        <f>+((DF135+DF339)*'Venture Assumptions'!$F$11)</f>
        <v>0</v>
      </c>
      <c r="DG414" s="798">
        <f>+((DG135+DG339)*'Venture Assumptions'!$F$11)</f>
        <v>0</v>
      </c>
      <c r="DH414" s="798">
        <f>+((DH135+DH339)*'Venture Assumptions'!$F$11)</f>
        <v>0</v>
      </c>
      <c r="DI414" s="798">
        <f>+((DI135+DI339)*'Venture Assumptions'!$F$11)</f>
        <v>0</v>
      </c>
      <c r="DJ414" s="798">
        <f>+((DJ135+DJ339)*'Venture Assumptions'!$F$11)</f>
        <v>0</v>
      </c>
      <c r="DK414" s="798">
        <f>+((DK135+DK339)*'Venture Assumptions'!$F$11)</f>
        <v>0</v>
      </c>
      <c r="DL414" s="798">
        <f>+((DL135+DL339)*'Venture Assumptions'!$F$11)</f>
        <v>0</v>
      </c>
      <c r="DM414" s="798">
        <f>+((DM135+DM339)*'Venture Assumptions'!$F$11)</f>
        <v>0</v>
      </c>
      <c r="DN414" s="798">
        <f>+((DN135+DN339)*'Venture Assumptions'!$F$11)</f>
        <v>0</v>
      </c>
      <c r="DO414" s="798">
        <f>+((DO135+DO339)*'Venture Assumptions'!$F$11)</f>
        <v>0</v>
      </c>
      <c r="DP414" s="798">
        <f>+((DP135+DP339)*'Venture Assumptions'!$F$11)</f>
        <v>0</v>
      </c>
      <c r="DQ414" s="798">
        <f>+((DQ135+DQ339)*'Venture Assumptions'!$F$11)</f>
        <v>0</v>
      </c>
      <c r="DR414" s="798">
        <f>+((DR135+DR339)*'Venture Assumptions'!$F$11)</f>
        <v>0</v>
      </c>
      <c r="DS414" s="798">
        <f>+((DS135+DS339)*'Venture Assumptions'!$F$11)</f>
        <v>0</v>
      </c>
      <c r="DT414" s="798">
        <f>+((DT135+DT339)*'Venture Assumptions'!$F$11)</f>
        <v>0</v>
      </c>
      <c r="DU414" s="798">
        <f>+((DU135+DU339)*'Venture Assumptions'!$F$11)</f>
        <v>0</v>
      </c>
      <c r="DV414" s="798">
        <f>+((DV135+DV339)*'Venture Assumptions'!$F$11)</f>
        <v>0</v>
      </c>
      <c r="DW414" s="798">
        <f>+((DW135+DW339)*'Venture Assumptions'!$F$11)</f>
        <v>0</v>
      </c>
      <c r="DX414" s="798">
        <f>+((DX135+DX339)*'Venture Assumptions'!$F$11)</f>
        <v>0</v>
      </c>
      <c r="DY414" s="798">
        <f>+((DY135+DY339)*'Venture Assumptions'!$F$11)</f>
        <v>0</v>
      </c>
      <c r="DZ414" s="798">
        <f>+((DZ135+DZ339)*'Venture Assumptions'!$F$11)</f>
        <v>0</v>
      </c>
      <c r="EA414" s="798">
        <f>+((EA135+EA339)*'Venture Assumptions'!$F$11)</f>
        <v>0</v>
      </c>
      <c r="EB414" s="798">
        <f>+((EB135+EB339)*'Venture Assumptions'!$F$11)</f>
        <v>0</v>
      </c>
      <c r="EC414" s="798">
        <f>+((EC135+EC339)*'Venture Assumptions'!$F$11)</f>
        <v>0</v>
      </c>
      <c r="ED414" s="798">
        <f>+((ED135+ED339)*'Venture Assumptions'!$F$11)</f>
        <v>0</v>
      </c>
      <c r="EE414" s="798">
        <f>+((EE135+EE339)*'Venture Assumptions'!$F$11)</f>
        <v>0</v>
      </c>
      <c r="EF414" s="798">
        <f>+((EF135+EF339)*'Venture Assumptions'!$F$11)</f>
        <v>0</v>
      </c>
      <c r="EG414" s="798">
        <f>+((EG135+EG339)*'Venture Assumptions'!$F$11)</f>
        <v>0</v>
      </c>
      <c r="EH414" s="782"/>
    </row>
    <row r="415" spans="1:138" ht="12.75" customHeight="1" x14ac:dyDescent="0.3">
      <c r="A415" s="782"/>
      <c r="B415" s="833" t="s">
        <v>195</v>
      </c>
      <c r="C415" s="834">
        <f>XIRR(OFFSET($E$414,0,$D$210):$DU$414,OFFSET($E$4,0,$D$210):$DU$4)</f>
        <v>0.12290765643119811</v>
      </c>
      <c r="D415" s="782"/>
      <c r="E415" s="798"/>
      <c r="F415" s="798"/>
      <c r="G415" s="798"/>
      <c r="H415" s="798"/>
      <c r="I415" s="798"/>
      <c r="J415" s="798"/>
      <c r="K415" s="798"/>
      <c r="L415" s="798"/>
      <c r="M415" s="798"/>
      <c r="N415" s="798"/>
      <c r="O415" s="798"/>
      <c r="P415" s="798"/>
      <c r="Q415" s="798"/>
      <c r="R415" s="798"/>
      <c r="S415" s="798"/>
      <c r="T415" s="798"/>
      <c r="U415" s="798"/>
      <c r="V415" s="798"/>
      <c r="W415" s="798"/>
      <c r="X415" s="798"/>
      <c r="Y415" s="798"/>
      <c r="Z415" s="798"/>
      <c r="AA415" s="798"/>
      <c r="AB415" s="798"/>
      <c r="AC415" s="798"/>
      <c r="AD415" s="798"/>
      <c r="AE415" s="798"/>
      <c r="AF415" s="798"/>
      <c r="AG415" s="798"/>
      <c r="AH415" s="798"/>
      <c r="AI415" s="798"/>
      <c r="AJ415" s="798"/>
      <c r="AK415" s="798"/>
      <c r="AL415" s="798"/>
      <c r="AM415" s="798"/>
      <c r="AN415" s="798"/>
      <c r="AO415" s="798"/>
      <c r="AP415" s="798"/>
      <c r="AQ415" s="798"/>
      <c r="AR415" s="798"/>
      <c r="AS415" s="798"/>
      <c r="AT415" s="798"/>
      <c r="AU415" s="798"/>
      <c r="AV415" s="798"/>
      <c r="AW415" s="798"/>
      <c r="AX415" s="798"/>
      <c r="AY415" s="798"/>
      <c r="AZ415" s="798"/>
      <c r="BA415" s="798"/>
      <c r="BB415" s="798"/>
      <c r="BC415" s="798"/>
      <c r="BD415" s="798"/>
      <c r="BE415" s="798"/>
      <c r="BF415" s="798"/>
      <c r="BG415" s="798"/>
      <c r="BH415" s="798"/>
      <c r="BI415" s="798"/>
      <c r="BJ415" s="798"/>
      <c r="BK415" s="798"/>
      <c r="BL415" s="798"/>
      <c r="BM415" s="798"/>
      <c r="BN415" s="798"/>
      <c r="BO415" s="798"/>
      <c r="BP415" s="798"/>
      <c r="BQ415" s="798"/>
      <c r="BR415" s="798"/>
      <c r="BS415" s="798"/>
      <c r="BT415" s="798"/>
      <c r="BU415" s="798"/>
      <c r="BV415" s="798"/>
      <c r="BW415" s="798"/>
      <c r="BX415" s="798"/>
      <c r="BY415" s="798"/>
      <c r="BZ415" s="798"/>
      <c r="CA415" s="798"/>
      <c r="CB415" s="798"/>
      <c r="CC415" s="798"/>
      <c r="CD415" s="798"/>
      <c r="CE415" s="798"/>
      <c r="CF415" s="798"/>
      <c r="CG415" s="798"/>
      <c r="CH415" s="798"/>
      <c r="CI415" s="798"/>
      <c r="CJ415" s="798"/>
      <c r="CK415" s="798"/>
      <c r="CL415" s="798"/>
      <c r="CM415" s="798"/>
      <c r="CN415" s="798"/>
      <c r="CO415" s="798"/>
      <c r="CP415" s="798"/>
      <c r="CQ415" s="798"/>
      <c r="CR415" s="798"/>
      <c r="CS415" s="798"/>
      <c r="CT415" s="798"/>
      <c r="CU415" s="798"/>
      <c r="CV415" s="798"/>
      <c r="CW415" s="798"/>
      <c r="CX415" s="798"/>
      <c r="CY415" s="798"/>
      <c r="CZ415" s="798"/>
      <c r="DA415" s="798"/>
      <c r="DB415" s="798"/>
      <c r="DC415" s="798"/>
      <c r="DD415" s="798"/>
      <c r="DE415" s="798"/>
      <c r="DF415" s="798"/>
      <c r="DG415" s="798"/>
      <c r="DH415" s="798"/>
      <c r="DI415" s="798"/>
      <c r="DJ415" s="798"/>
      <c r="DK415" s="798"/>
      <c r="DL415" s="798"/>
      <c r="DM415" s="798"/>
      <c r="DN415" s="798"/>
      <c r="DO415" s="798"/>
      <c r="DP415" s="798"/>
      <c r="DQ415" s="798"/>
      <c r="DR415" s="798"/>
      <c r="DS415" s="798"/>
      <c r="DT415" s="798"/>
      <c r="DU415" s="798"/>
      <c r="DV415" s="798"/>
      <c r="DW415" s="798"/>
      <c r="DX415" s="798"/>
      <c r="DY415" s="798"/>
      <c r="DZ415" s="798"/>
      <c r="EA415" s="798"/>
      <c r="EB415" s="798"/>
      <c r="EC415" s="798"/>
      <c r="ED415" s="798"/>
      <c r="EE415" s="798"/>
      <c r="EF415" s="798"/>
      <c r="EG415" s="798"/>
      <c r="EH415" s="782"/>
    </row>
    <row r="416" spans="1:138" ht="12.75" customHeight="1" x14ac:dyDescent="0.3">
      <c r="A416" s="782"/>
      <c r="B416" s="835" t="s">
        <v>196</v>
      </c>
      <c r="C416" s="836">
        <f>SUMIF($E$414:$EG$414,"&gt;0")/-SUMIF($E$414:$EG$414,"&lt;0")</f>
        <v>1.5730263148742816</v>
      </c>
      <c r="D416" s="782"/>
      <c r="E416" s="798"/>
      <c r="F416" s="798"/>
      <c r="G416" s="798"/>
      <c r="H416" s="798"/>
      <c r="I416" s="798"/>
      <c r="J416" s="798"/>
      <c r="K416" s="798"/>
      <c r="L416" s="798"/>
      <c r="M416" s="798"/>
      <c r="N416" s="798"/>
      <c r="O416" s="798"/>
      <c r="P416" s="798"/>
      <c r="Q416" s="798"/>
      <c r="R416" s="798"/>
      <c r="S416" s="798"/>
      <c r="T416" s="798"/>
      <c r="U416" s="798"/>
      <c r="V416" s="798"/>
      <c r="W416" s="798"/>
      <c r="X416" s="798"/>
      <c r="Y416" s="798"/>
      <c r="Z416" s="798"/>
      <c r="AA416" s="798"/>
      <c r="AB416" s="798"/>
      <c r="AC416" s="798"/>
      <c r="AD416" s="798"/>
      <c r="AE416" s="798"/>
      <c r="AF416" s="798"/>
      <c r="AG416" s="798"/>
      <c r="AH416" s="798"/>
      <c r="AI416" s="798"/>
      <c r="AJ416" s="798"/>
      <c r="AK416" s="798"/>
      <c r="AL416" s="798"/>
      <c r="AM416" s="798"/>
      <c r="AN416" s="798"/>
      <c r="AO416" s="798"/>
      <c r="AP416" s="798"/>
      <c r="AQ416" s="798"/>
      <c r="AR416" s="798"/>
      <c r="AS416" s="798"/>
      <c r="AT416" s="798"/>
      <c r="AU416" s="798"/>
      <c r="AV416" s="798"/>
      <c r="AW416" s="798"/>
      <c r="AX416" s="798"/>
      <c r="AY416" s="798"/>
      <c r="AZ416" s="798"/>
      <c r="BA416" s="798"/>
      <c r="BB416" s="798"/>
      <c r="BC416" s="798"/>
      <c r="BD416" s="798"/>
      <c r="BE416" s="798"/>
      <c r="BF416" s="798"/>
      <c r="BG416" s="798"/>
      <c r="BH416" s="798"/>
      <c r="BI416" s="798"/>
      <c r="BJ416" s="798"/>
      <c r="BK416" s="798"/>
      <c r="BL416" s="798"/>
      <c r="BM416" s="798"/>
      <c r="BN416" s="798"/>
      <c r="BO416" s="798"/>
      <c r="BP416" s="798"/>
      <c r="BQ416" s="798"/>
      <c r="BR416" s="798"/>
      <c r="BS416" s="798"/>
      <c r="BT416" s="798"/>
      <c r="BU416" s="798"/>
      <c r="BV416" s="798"/>
      <c r="BW416" s="798"/>
      <c r="BX416" s="798"/>
      <c r="BY416" s="798"/>
      <c r="BZ416" s="798"/>
      <c r="CA416" s="798"/>
      <c r="CB416" s="798"/>
      <c r="CC416" s="798"/>
      <c r="CD416" s="798"/>
      <c r="CE416" s="798"/>
      <c r="CF416" s="798"/>
      <c r="CG416" s="798"/>
      <c r="CH416" s="798"/>
      <c r="CI416" s="798"/>
      <c r="CJ416" s="798"/>
      <c r="CK416" s="798"/>
      <c r="CL416" s="798"/>
      <c r="CM416" s="798"/>
      <c r="CN416" s="798"/>
      <c r="CO416" s="798"/>
      <c r="CP416" s="798"/>
      <c r="CQ416" s="798"/>
      <c r="CR416" s="798"/>
      <c r="CS416" s="798"/>
      <c r="CT416" s="798"/>
      <c r="CU416" s="798"/>
      <c r="CV416" s="798"/>
      <c r="CW416" s="798"/>
      <c r="CX416" s="798"/>
      <c r="CY416" s="798"/>
      <c r="CZ416" s="798"/>
      <c r="DA416" s="798"/>
      <c r="DB416" s="798"/>
      <c r="DC416" s="798"/>
      <c r="DD416" s="798"/>
      <c r="DE416" s="798"/>
      <c r="DF416" s="798"/>
      <c r="DG416" s="798"/>
      <c r="DH416" s="798"/>
      <c r="DI416" s="798"/>
      <c r="DJ416" s="798"/>
      <c r="DK416" s="798"/>
      <c r="DL416" s="798"/>
      <c r="DM416" s="798"/>
      <c r="DN416" s="798"/>
      <c r="DO416" s="798"/>
      <c r="DP416" s="798"/>
      <c r="DQ416" s="798"/>
      <c r="DR416" s="798"/>
      <c r="DS416" s="798"/>
      <c r="DT416" s="798"/>
      <c r="DU416" s="798"/>
      <c r="DV416" s="798"/>
      <c r="DW416" s="798"/>
      <c r="DX416" s="798"/>
      <c r="DY416" s="798"/>
      <c r="DZ416" s="798"/>
      <c r="EA416" s="798"/>
      <c r="EB416" s="798"/>
      <c r="EC416" s="798"/>
      <c r="ED416" s="798"/>
      <c r="EE416" s="798"/>
      <c r="EF416" s="798"/>
      <c r="EG416" s="798"/>
      <c r="EH416" s="782"/>
    </row>
    <row r="417" spans="1:138" ht="12.75" customHeight="1" x14ac:dyDescent="0.3">
      <c r="A417" s="782"/>
      <c r="B417" s="782" t="s">
        <v>155</v>
      </c>
      <c r="C417" s="1385"/>
      <c r="D417" s="782"/>
      <c r="E417" s="798"/>
      <c r="F417" s="798"/>
      <c r="G417" s="798"/>
      <c r="H417" s="798"/>
      <c r="I417" s="798"/>
      <c r="J417" s="798"/>
      <c r="K417" s="798"/>
      <c r="L417" s="798"/>
      <c r="M417" s="798"/>
      <c r="N417" s="798"/>
      <c r="O417" s="798"/>
      <c r="P417" s="798"/>
      <c r="Q417" s="798"/>
      <c r="R417" s="798"/>
      <c r="S417" s="798"/>
      <c r="T417" s="798"/>
      <c r="U417" s="798"/>
      <c r="V417" s="798"/>
      <c r="W417" s="798"/>
      <c r="X417" s="798"/>
      <c r="Y417" s="798"/>
      <c r="Z417" s="798"/>
      <c r="AA417" s="798"/>
      <c r="AB417" s="798"/>
      <c r="AC417" s="798"/>
      <c r="AD417" s="798"/>
      <c r="AE417" s="798"/>
      <c r="AF417" s="798"/>
      <c r="AG417" s="798"/>
      <c r="AH417" s="798"/>
      <c r="AI417" s="798"/>
      <c r="AJ417" s="798"/>
      <c r="AK417" s="798"/>
      <c r="AL417" s="798"/>
      <c r="AM417" s="798"/>
      <c r="AN417" s="798"/>
      <c r="AO417" s="798"/>
      <c r="AP417" s="798"/>
      <c r="AQ417" s="798"/>
      <c r="AR417" s="798"/>
      <c r="AS417" s="798"/>
      <c r="AT417" s="798"/>
      <c r="AU417" s="798"/>
      <c r="AV417" s="798"/>
      <c r="AW417" s="798"/>
      <c r="AX417" s="798"/>
      <c r="AY417" s="798"/>
      <c r="AZ417" s="798"/>
      <c r="BA417" s="798"/>
      <c r="BB417" s="798"/>
      <c r="BC417" s="798"/>
      <c r="BD417" s="798"/>
      <c r="BE417" s="798"/>
      <c r="BF417" s="798"/>
      <c r="BG417" s="798"/>
      <c r="BH417" s="798"/>
      <c r="BI417" s="798"/>
      <c r="BJ417" s="798"/>
      <c r="BK417" s="798"/>
      <c r="BL417" s="798"/>
      <c r="BM417" s="798"/>
      <c r="BN417" s="798"/>
      <c r="BO417" s="798"/>
      <c r="BP417" s="798"/>
      <c r="BQ417" s="798"/>
      <c r="BR417" s="798"/>
      <c r="BS417" s="798"/>
      <c r="BT417" s="798"/>
      <c r="BU417" s="798"/>
      <c r="BV417" s="798"/>
      <c r="BW417" s="798"/>
      <c r="BX417" s="798"/>
      <c r="BY417" s="798"/>
      <c r="BZ417" s="798"/>
      <c r="CA417" s="798"/>
      <c r="CB417" s="798"/>
      <c r="CC417" s="798"/>
      <c r="CD417" s="798"/>
      <c r="CE417" s="798"/>
      <c r="CF417" s="798"/>
      <c r="CG417" s="798"/>
      <c r="CH417" s="798"/>
      <c r="CI417" s="798"/>
      <c r="CJ417" s="798"/>
      <c r="CK417" s="798"/>
      <c r="CL417" s="798"/>
      <c r="CM417" s="798"/>
      <c r="CN417" s="798"/>
      <c r="CO417" s="798"/>
      <c r="CP417" s="798"/>
      <c r="CQ417" s="798"/>
      <c r="CR417" s="798"/>
      <c r="CS417" s="798"/>
      <c r="CT417" s="798"/>
      <c r="CU417" s="798"/>
      <c r="CV417" s="798"/>
      <c r="CW417" s="798"/>
      <c r="CX417" s="798"/>
      <c r="CY417" s="798"/>
      <c r="CZ417" s="798"/>
      <c r="DA417" s="798"/>
      <c r="DB417" s="798"/>
      <c r="DC417" s="798"/>
      <c r="DD417" s="798"/>
      <c r="DE417" s="798"/>
      <c r="DF417" s="798"/>
      <c r="DG417" s="798"/>
      <c r="DH417" s="798"/>
      <c r="DI417" s="798"/>
      <c r="DJ417" s="798"/>
      <c r="DK417" s="798"/>
      <c r="DL417" s="798"/>
      <c r="DM417" s="798"/>
      <c r="DN417" s="798"/>
      <c r="DO417" s="798"/>
      <c r="DP417" s="798"/>
      <c r="DQ417" s="798"/>
      <c r="DR417" s="798"/>
      <c r="DS417" s="798"/>
      <c r="DT417" s="798"/>
      <c r="DU417" s="798"/>
      <c r="DV417" s="798"/>
      <c r="DW417" s="798"/>
      <c r="DX417" s="798"/>
      <c r="DY417" s="798"/>
      <c r="DZ417" s="798"/>
      <c r="EA417" s="798"/>
      <c r="EB417" s="798"/>
      <c r="EC417" s="798"/>
      <c r="ED417" s="798"/>
      <c r="EE417" s="798"/>
      <c r="EF417" s="798"/>
      <c r="EG417" s="798"/>
      <c r="EH417" s="782"/>
    </row>
    <row r="418" spans="1:138" ht="12.75" customHeight="1" x14ac:dyDescent="0.3">
      <c r="A418" s="782"/>
      <c r="B418" s="782" t="s">
        <v>342</v>
      </c>
      <c r="C418" s="1385"/>
      <c r="D418" s="782"/>
      <c r="E418" s="798"/>
      <c r="F418" s="798"/>
      <c r="G418" s="798"/>
      <c r="H418" s="798"/>
      <c r="I418" s="798"/>
      <c r="J418" s="798"/>
      <c r="K418" s="798"/>
      <c r="L418" s="798"/>
      <c r="M418" s="798"/>
      <c r="N418" s="798"/>
      <c r="O418" s="798"/>
      <c r="P418" s="798"/>
      <c r="Q418" s="798"/>
      <c r="R418" s="798"/>
      <c r="S418" s="798"/>
      <c r="T418" s="798"/>
      <c r="U418" s="798"/>
      <c r="V418" s="798"/>
      <c r="W418" s="798"/>
      <c r="X418" s="798"/>
      <c r="Y418" s="798"/>
      <c r="Z418" s="798"/>
      <c r="AA418" s="798"/>
      <c r="AB418" s="798"/>
      <c r="AC418" s="798"/>
      <c r="AD418" s="798"/>
      <c r="AE418" s="798"/>
      <c r="AF418" s="798"/>
      <c r="AG418" s="798"/>
      <c r="AH418" s="798"/>
      <c r="AI418" s="798"/>
      <c r="AJ418" s="798"/>
      <c r="AK418" s="798"/>
      <c r="AL418" s="798"/>
      <c r="AM418" s="798"/>
      <c r="AN418" s="798"/>
      <c r="AO418" s="798"/>
      <c r="AP418" s="798"/>
      <c r="AQ418" s="798"/>
      <c r="AR418" s="798"/>
      <c r="AS418" s="798"/>
      <c r="AT418" s="798"/>
      <c r="AU418" s="798"/>
      <c r="AV418" s="798"/>
      <c r="AW418" s="798"/>
      <c r="AX418" s="798"/>
      <c r="AY418" s="798"/>
      <c r="AZ418" s="798"/>
      <c r="BA418" s="798"/>
      <c r="BB418" s="798"/>
      <c r="BC418" s="798"/>
      <c r="BD418" s="798"/>
      <c r="BE418" s="798"/>
      <c r="BF418" s="798"/>
      <c r="BG418" s="798"/>
      <c r="BH418" s="798"/>
      <c r="BI418" s="798"/>
      <c r="BJ418" s="798"/>
      <c r="BK418" s="798"/>
      <c r="BL418" s="798"/>
      <c r="BM418" s="798"/>
      <c r="BN418" s="798"/>
      <c r="BO418" s="798"/>
      <c r="BP418" s="798"/>
      <c r="BQ418" s="798"/>
      <c r="BR418" s="798"/>
      <c r="BS418" s="798"/>
      <c r="BT418" s="798"/>
      <c r="BU418" s="798"/>
      <c r="BV418" s="798"/>
      <c r="BW418" s="798"/>
      <c r="BX418" s="798"/>
      <c r="BY418" s="798"/>
      <c r="BZ418" s="798"/>
      <c r="CA418" s="798"/>
      <c r="CB418" s="798"/>
      <c r="CC418" s="798"/>
      <c r="CD418" s="798"/>
      <c r="CE418" s="798"/>
      <c r="CF418" s="798"/>
      <c r="CG418" s="798"/>
      <c r="CH418" s="798"/>
      <c r="CI418" s="798"/>
      <c r="CJ418" s="798"/>
      <c r="CK418" s="798"/>
      <c r="CL418" s="798"/>
      <c r="CM418" s="798"/>
      <c r="CN418" s="798"/>
      <c r="CO418" s="798"/>
      <c r="CP418" s="798"/>
      <c r="CQ418" s="798"/>
      <c r="CR418" s="798"/>
      <c r="CS418" s="798"/>
      <c r="CT418" s="798"/>
      <c r="CU418" s="798"/>
      <c r="CV418" s="798"/>
      <c r="CW418" s="798"/>
      <c r="CX418" s="798"/>
      <c r="CY418" s="798"/>
      <c r="CZ418" s="798"/>
      <c r="DA418" s="798"/>
      <c r="DB418" s="798"/>
      <c r="DC418" s="798"/>
      <c r="DD418" s="798"/>
      <c r="DE418" s="798"/>
      <c r="DF418" s="798"/>
      <c r="DG418" s="798"/>
      <c r="DH418" s="798"/>
      <c r="DI418" s="798"/>
      <c r="DJ418" s="798"/>
      <c r="DK418" s="798"/>
      <c r="DL418" s="798"/>
      <c r="DM418" s="798"/>
      <c r="DN418" s="798"/>
      <c r="DO418" s="798"/>
      <c r="DP418" s="798"/>
      <c r="DQ418" s="798"/>
      <c r="DR418" s="798"/>
      <c r="DS418" s="798"/>
      <c r="DT418" s="798"/>
      <c r="DU418" s="798"/>
      <c r="DV418" s="798"/>
      <c r="DW418" s="798"/>
      <c r="DX418" s="798"/>
      <c r="DY418" s="798"/>
      <c r="DZ418" s="798"/>
      <c r="EA418" s="798"/>
      <c r="EB418" s="798"/>
      <c r="EC418" s="798"/>
      <c r="ED418" s="798"/>
      <c r="EE418" s="798"/>
      <c r="EF418" s="798"/>
      <c r="EG418" s="798"/>
      <c r="EH418" s="782"/>
    </row>
    <row r="419" spans="1:138" ht="12.75" customHeight="1" x14ac:dyDescent="0.3">
      <c r="A419" s="782"/>
      <c r="B419" s="1382" t="s">
        <v>345</v>
      </c>
      <c r="C419" s="798"/>
      <c r="D419" s="782"/>
      <c r="E419" s="798"/>
      <c r="F419" s="798"/>
      <c r="G419" s="798"/>
      <c r="H419" s="798"/>
      <c r="I419" s="798"/>
      <c r="J419" s="798"/>
      <c r="K419" s="798"/>
      <c r="L419" s="798"/>
      <c r="M419" s="798"/>
      <c r="N419" s="798"/>
      <c r="O419" s="798"/>
      <c r="P419" s="798"/>
      <c r="Q419" s="798"/>
      <c r="R419" s="798"/>
      <c r="S419" s="798"/>
      <c r="T419" s="798"/>
      <c r="U419" s="798"/>
      <c r="V419" s="798"/>
      <c r="W419" s="798"/>
      <c r="X419" s="798"/>
      <c r="Y419" s="798"/>
      <c r="Z419" s="798"/>
      <c r="AA419" s="798"/>
      <c r="AB419" s="798"/>
      <c r="AC419" s="798"/>
      <c r="AD419" s="798"/>
      <c r="AE419" s="798"/>
      <c r="AF419" s="798"/>
      <c r="AG419" s="798"/>
      <c r="AH419" s="798"/>
      <c r="AI419" s="798"/>
      <c r="AJ419" s="798"/>
      <c r="AK419" s="798"/>
      <c r="AL419" s="798"/>
      <c r="AM419" s="798"/>
      <c r="AN419" s="798"/>
      <c r="AO419" s="798"/>
      <c r="AP419" s="798"/>
      <c r="AQ419" s="798"/>
      <c r="AR419" s="798"/>
      <c r="AS419" s="798"/>
      <c r="AT419" s="798"/>
      <c r="AU419" s="798"/>
      <c r="AV419" s="798"/>
      <c r="AW419" s="798"/>
      <c r="AX419" s="798"/>
      <c r="AY419" s="798"/>
      <c r="AZ419" s="798"/>
      <c r="BA419" s="798"/>
      <c r="BB419" s="798"/>
      <c r="BC419" s="798"/>
      <c r="BD419" s="798"/>
      <c r="BE419" s="798"/>
      <c r="BF419" s="798"/>
      <c r="BG419" s="798"/>
      <c r="BH419" s="798"/>
      <c r="BI419" s="798"/>
      <c r="BJ419" s="798"/>
      <c r="BK419" s="798"/>
      <c r="BL419" s="798"/>
      <c r="BM419" s="798"/>
      <c r="BN419" s="798"/>
      <c r="BO419" s="798"/>
      <c r="BP419" s="798"/>
      <c r="BQ419" s="798"/>
      <c r="BR419" s="798"/>
      <c r="BS419" s="798"/>
      <c r="BT419" s="798"/>
      <c r="BU419" s="798"/>
      <c r="BV419" s="798"/>
      <c r="BW419" s="798"/>
      <c r="BX419" s="798"/>
      <c r="BY419" s="798"/>
      <c r="BZ419" s="798"/>
      <c r="CA419" s="798"/>
      <c r="CB419" s="798"/>
      <c r="CC419" s="798"/>
      <c r="CD419" s="798"/>
      <c r="CE419" s="798"/>
      <c r="CF419" s="798"/>
      <c r="CG419" s="798"/>
      <c r="CH419" s="798"/>
      <c r="CI419" s="798"/>
      <c r="CJ419" s="798"/>
      <c r="CK419" s="798"/>
      <c r="CL419" s="798"/>
      <c r="CM419" s="798"/>
      <c r="CN419" s="798"/>
      <c r="CO419" s="798"/>
      <c r="CP419" s="798"/>
      <c r="CQ419" s="798"/>
      <c r="CR419" s="798"/>
      <c r="CS419" s="798"/>
      <c r="CT419" s="798"/>
      <c r="CU419" s="798"/>
      <c r="CV419" s="798"/>
      <c r="CW419" s="798"/>
      <c r="CX419" s="798"/>
      <c r="CY419" s="798"/>
      <c r="CZ419" s="798"/>
      <c r="DA419" s="798"/>
      <c r="DB419" s="798"/>
      <c r="DC419" s="798"/>
      <c r="DD419" s="798"/>
      <c r="DE419" s="798"/>
      <c r="DF419" s="798"/>
      <c r="DG419" s="798"/>
      <c r="DH419" s="798"/>
      <c r="DI419" s="798"/>
      <c r="DJ419" s="798"/>
      <c r="DK419" s="798"/>
      <c r="DL419" s="798"/>
      <c r="DM419" s="798"/>
      <c r="DN419" s="798"/>
      <c r="DO419" s="798"/>
      <c r="DP419" s="798"/>
      <c r="DQ419" s="798"/>
      <c r="DR419" s="798"/>
      <c r="DS419" s="798"/>
      <c r="DT419" s="798"/>
      <c r="DU419" s="798"/>
      <c r="DV419" s="798"/>
      <c r="DW419" s="798"/>
      <c r="DX419" s="798"/>
      <c r="DY419" s="798"/>
      <c r="DZ419" s="798"/>
      <c r="EA419" s="798"/>
      <c r="EB419" s="798"/>
      <c r="EC419" s="798"/>
      <c r="ED419" s="798"/>
      <c r="EE419" s="798"/>
      <c r="EF419" s="798"/>
      <c r="EG419" s="798"/>
      <c r="EH419" s="782"/>
    </row>
    <row r="420" spans="1:138" ht="12.75" customHeight="1" x14ac:dyDescent="0.3">
      <c r="A420" s="782"/>
      <c r="B420" s="782" t="s">
        <v>346</v>
      </c>
      <c r="C420" s="838">
        <f>SUM(E420:EG420)</f>
        <v>40910404.266996697</v>
      </c>
      <c r="D420" s="782"/>
      <c r="E420" s="798">
        <f>+E135</f>
        <v>0</v>
      </c>
      <c r="F420" s="798">
        <f t="shared" ref="F420:BQ420" si="308">+F135</f>
        <v>0</v>
      </c>
      <c r="G420" s="798">
        <f t="shared" si="308"/>
        <v>0</v>
      </c>
      <c r="H420" s="798">
        <f t="shared" si="308"/>
        <v>0</v>
      </c>
      <c r="I420" s="798">
        <f t="shared" si="308"/>
        <v>0</v>
      </c>
      <c r="J420" s="798">
        <f t="shared" si="308"/>
        <v>0</v>
      </c>
      <c r="K420" s="798">
        <f t="shared" si="308"/>
        <v>0</v>
      </c>
      <c r="L420" s="798">
        <f t="shared" si="308"/>
        <v>0</v>
      </c>
      <c r="M420" s="798">
        <f t="shared" si="308"/>
        <v>0</v>
      </c>
      <c r="N420" s="798">
        <f t="shared" si="308"/>
        <v>0</v>
      </c>
      <c r="O420" s="798">
        <f t="shared" si="308"/>
        <v>0</v>
      </c>
      <c r="P420" s="798">
        <f t="shared" si="308"/>
        <v>0</v>
      </c>
      <c r="Q420" s="798">
        <f t="shared" si="308"/>
        <v>0</v>
      </c>
      <c r="R420" s="798">
        <f t="shared" si="308"/>
        <v>0</v>
      </c>
      <c r="S420" s="798">
        <f t="shared" si="308"/>
        <v>0</v>
      </c>
      <c r="T420" s="798">
        <f t="shared" si="308"/>
        <v>0</v>
      </c>
      <c r="U420" s="798">
        <f t="shared" si="308"/>
        <v>0</v>
      </c>
      <c r="V420" s="798">
        <f t="shared" si="308"/>
        <v>0</v>
      </c>
      <c r="W420" s="798">
        <f t="shared" si="308"/>
        <v>0</v>
      </c>
      <c r="X420" s="798">
        <f t="shared" si="308"/>
        <v>0</v>
      </c>
      <c r="Y420" s="798">
        <f t="shared" si="308"/>
        <v>0</v>
      </c>
      <c r="Z420" s="798">
        <f t="shared" si="308"/>
        <v>0</v>
      </c>
      <c r="AA420" s="798">
        <f t="shared" si="308"/>
        <v>0</v>
      </c>
      <c r="AB420" s="798">
        <f t="shared" si="308"/>
        <v>0</v>
      </c>
      <c r="AC420" s="798">
        <f t="shared" si="308"/>
        <v>0</v>
      </c>
      <c r="AD420" s="798">
        <f t="shared" si="308"/>
        <v>0</v>
      </c>
      <c r="AE420" s="798">
        <f t="shared" si="308"/>
        <v>0</v>
      </c>
      <c r="AF420" s="798">
        <f t="shared" si="308"/>
        <v>0</v>
      </c>
      <c r="AG420" s="798">
        <f t="shared" si="308"/>
        <v>0</v>
      </c>
      <c r="AH420" s="798">
        <f t="shared" si="308"/>
        <v>0</v>
      </c>
      <c r="AI420" s="798">
        <f t="shared" si="308"/>
        <v>0</v>
      </c>
      <c r="AJ420" s="798">
        <f t="shared" si="308"/>
        <v>0</v>
      </c>
      <c r="AK420" s="798">
        <f t="shared" si="308"/>
        <v>-61383319.172322795</v>
      </c>
      <c r="AL420" s="798">
        <f t="shared" si="308"/>
        <v>14315530.3242827</v>
      </c>
      <c r="AM420" s="798">
        <f t="shared" si="308"/>
        <v>205293.34606116661</v>
      </c>
      <c r="AN420" s="798">
        <f t="shared" si="308"/>
        <v>207793.40423970085</v>
      </c>
      <c r="AO420" s="798">
        <f t="shared" si="308"/>
        <v>210260.10262606523</v>
      </c>
      <c r="AP420" s="798">
        <f t="shared" si="308"/>
        <v>211885.65974115423</v>
      </c>
      <c r="AQ420" s="798">
        <f t="shared" si="308"/>
        <v>215188.01193420406</v>
      </c>
      <c r="AR420" s="798">
        <f t="shared" si="308"/>
        <v>218012.9416200624</v>
      </c>
      <c r="AS420" s="798">
        <f t="shared" si="308"/>
        <v>213181.07686987985</v>
      </c>
      <c r="AT420" s="798">
        <f t="shared" si="308"/>
        <v>214770.00861920218</v>
      </c>
      <c r="AU420" s="798">
        <f t="shared" si="308"/>
        <v>216264.46058470523</v>
      </c>
      <c r="AV420" s="798">
        <f t="shared" si="308"/>
        <v>218515.59404432448</v>
      </c>
      <c r="AW420" s="798">
        <f t="shared" si="308"/>
        <v>220675.94358853242</v>
      </c>
      <c r="AX420" s="798">
        <f t="shared" si="308"/>
        <v>222710.56184153532</v>
      </c>
      <c r="AY420" s="798">
        <f t="shared" si="308"/>
        <v>224665.72728851769</v>
      </c>
      <c r="AZ420" s="798">
        <f t="shared" si="308"/>
        <v>226548.52262565284</v>
      </c>
      <c r="BA420" s="798">
        <f t="shared" si="308"/>
        <v>228304.85297686295</v>
      </c>
      <c r="BB420" s="798">
        <f t="shared" si="308"/>
        <v>229344.9930368007</v>
      </c>
      <c r="BC420" s="798">
        <f t="shared" si="308"/>
        <v>231542.10904179295</v>
      </c>
      <c r="BD420" s="798">
        <f t="shared" si="308"/>
        <v>233317.7080138704</v>
      </c>
      <c r="BE420" s="798">
        <f t="shared" si="308"/>
        <v>229013.16839337221</v>
      </c>
      <c r="BF420" s="798">
        <f t="shared" si="308"/>
        <v>229911.66091752306</v>
      </c>
      <c r="BG420" s="798">
        <f t="shared" si="308"/>
        <v>230813.78680437503</v>
      </c>
      <c r="BH420" s="798">
        <f t="shared" si="308"/>
        <v>232345.63973502186</v>
      </c>
      <c r="BI420" s="798">
        <f t="shared" si="308"/>
        <v>233902.4265315792</v>
      </c>
      <c r="BJ420" s="798">
        <f t="shared" si="308"/>
        <v>235545.94755839423</v>
      </c>
      <c r="BK420" s="798">
        <f t="shared" si="308"/>
        <v>237262.50476525677</v>
      </c>
      <c r="BL420" s="798">
        <f t="shared" si="308"/>
        <v>238991.57351446556</v>
      </c>
      <c r="BM420" s="798">
        <f t="shared" si="308"/>
        <v>240811.21361387809</v>
      </c>
      <c r="BN420" s="798">
        <f t="shared" si="308"/>
        <v>242002.34658988175</v>
      </c>
      <c r="BO420" s="798">
        <f t="shared" si="308"/>
        <v>244627.30669974274</v>
      </c>
      <c r="BP420" s="798">
        <f t="shared" si="308"/>
        <v>246922.0418636211</v>
      </c>
      <c r="BQ420" s="798">
        <f t="shared" si="308"/>
        <v>242733.25370419392</v>
      </c>
      <c r="BR420" s="798">
        <f t="shared" ref="BR420:EC420" si="309">+BR135</f>
        <v>244033.96696505454</v>
      </c>
      <c r="BS420" s="798">
        <f t="shared" si="309"/>
        <v>245313.14997026659</v>
      </c>
      <c r="BT420" s="798">
        <f t="shared" si="309"/>
        <v>247377.11673495109</v>
      </c>
      <c r="BU420" s="798">
        <f t="shared" si="309"/>
        <v>249414.97281073497</v>
      </c>
      <c r="BV420" s="798">
        <f t="shared" si="309"/>
        <v>251479.3205969065</v>
      </c>
      <c r="BW420" s="798">
        <f t="shared" si="309"/>
        <v>253576.88775609701</v>
      </c>
      <c r="BX420" s="798">
        <f t="shared" si="309"/>
        <v>255660.88139998799</v>
      </c>
      <c r="BY420" s="798">
        <f t="shared" si="309"/>
        <v>257780.55934433491</v>
      </c>
      <c r="BZ420" s="798">
        <f t="shared" si="309"/>
        <v>259130.53765731424</v>
      </c>
      <c r="CA420" s="798">
        <f t="shared" si="309"/>
        <v>262044.06866613019</v>
      </c>
      <c r="CB420" s="798">
        <f t="shared" si="309"/>
        <v>264568.88723862561</v>
      </c>
      <c r="CC420" s="798">
        <f t="shared" si="309"/>
        <v>260334.62676779419</v>
      </c>
      <c r="CD420" s="798">
        <f t="shared" si="309"/>
        <v>261766.27506953065</v>
      </c>
      <c r="CE420" s="798">
        <f t="shared" si="309"/>
        <v>263169.39895795332</v>
      </c>
      <c r="CF420" s="798">
        <f t="shared" si="309"/>
        <v>265374.12330500968</v>
      </c>
      <c r="CG420" s="798">
        <f t="shared" si="309"/>
        <v>267569.84631198365</v>
      </c>
      <c r="CH420" s="798">
        <f t="shared" si="309"/>
        <v>269785.75663471175</v>
      </c>
      <c r="CI420" s="798">
        <f t="shared" si="309"/>
        <v>271981.27502716507</v>
      </c>
      <c r="CJ420" s="798">
        <f t="shared" si="309"/>
        <v>274209.9614994725</v>
      </c>
      <c r="CK420" s="798">
        <f t="shared" si="309"/>
        <v>276471.37765448482</v>
      </c>
      <c r="CL420" s="798">
        <f t="shared" si="309"/>
        <v>277910.21305872517</v>
      </c>
      <c r="CM420" s="798">
        <f t="shared" si="309"/>
        <v>280971.24051798158</v>
      </c>
      <c r="CN420" s="798">
        <f t="shared" si="309"/>
        <v>283611.40197433194</v>
      </c>
      <c r="CO420" s="798">
        <f t="shared" si="309"/>
        <v>279273.11677509604</v>
      </c>
      <c r="CP420" s="798">
        <f t="shared" si="309"/>
        <v>280770.93938649778</v>
      </c>
      <c r="CQ420" s="798">
        <f t="shared" si="309"/>
        <v>282239.46279127692</v>
      </c>
      <c r="CR420" s="798">
        <f t="shared" si="309"/>
        <v>284516.27143163967</v>
      </c>
      <c r="CS420" s="798">
        <f t="shared" si="309"/>
        <v>286814.10642290174</v>
      </c>
      <c r="CT420" s="798">
        <f t="shared" si="309"/>
        <v>289146.38855799765</v>
      </c>
      <c r="CU420" s="798">
        <f t="shared" si="309"/>
        <v>291451.51423692808</v>
      </c>
      <c r="CV420" s="798">
        <f t="shared" si="309"/>
        <v>293779.70006957493</v>
      </c>
      <c r="CW420" s="798">
        <f t="shared" si="309"/>
        <v>72613507.873999998</v>
      </c>
      <c r="CX420" s="798">
        <f t="shared" si="309"/>
        <v>0</v>
      </c>
      <c r="CY420" s="798">
        <f t="shared" si="309"/>
        <v>0</v>
      </c>
      <c r="CZ420" s="798">
        <f t="shared" si="309"/>
        <v>0</v>
      </c>
      <c r="DA420" s="798">
        <f t="shared" si="309"/>
        <v>0</v>
      </c>
      <c r="DB420" s="798">
        <f t="shared" si="309"/>
        <v>0</v>
      </c>
      <c r="DC420" s="798">
        <f t="shared" si="309"/>
        <v>0</v>
      </c>
      <c r="DD420" s="798">
        <f t="shared" si="309"/>
        <v>0</v>
      </c>
      <c r="DE420" s="798">
        <f t="shared" si="309"/>
        <v>0</v>
      </c>
      <c r="DF420" s="798">
        <f t="shared" si="309"/>
        <v>0</v>
      </c>
      <c r="DG420" s="798">
        <f t="shared" si="309"/>
        <v>0</v>
      </c>
      <c r="DH420" s="798">
        <f t="shared" si="309"/>
        <v>0</v>
      </c>
      <c r="DI420" s="798">
        <f t="shared" si="309"/>
        <v>0</v>
      </c>
      <c r="DJ420" s="798">
        <f t="shared" si="309"/>
        <v>0</v>
      </c>
      <c r="DK420" s="798">
        <f t="shared" si="309"/>
        <v>0</v>
      </c>
      <c r="DL420" s="798">
        <f t="shared" si="309"/>
        <v>0</v>
      </c>
      <c r="DM420" s="798">
        <f t="shared" si="309"/>
        <v>0</v>
      </c>
      <c r="DN420" s="798">
        <f t="shared" si="309"/>
        <v>0</v>
      </c>
      <c r="DO420" s="798">
        <f t="shared" si="309"/>
        <v>0</v>
      </c>
      <c r="DP420" s="798">
        <f t="shared" si="309"/>
        <v>0</v>
      </c>
      <c r="DQ420" s="798">
        <f t="shared" si="309"/>
        <v>0</v>
      </c>
      <c r="DR420" s="798">
        <f t="shared" si="309"/>
        <v>0</v>
      </c>
      <c r="DS420" s="798">
        <f t="shared" si="309"/>
        <v>0</v>
      </c>
      <c r="DT420" s="798">
        <f t="shared" si="309"/>
        <v>0</v>
      </c>
      <c r="DU420" s="798">
        <f t="shared" si="309"/>
        <v>0</v>
      </c>
      <c r="DV420" s="798">
        <f t="shared" si="309"/>
        <v>0</v>
      </c>
      <c r="DW420" s="798">
        <f t="shared" si="309"/>
        <v>0</v>
      </c>
      <c r="DX420" s="798">
        <f t="shared" si="309"/>
        <v>0</v>
      </c>
      <c r="DY420" s="798">
        <f t="shared" si="309"/>
        <v>0</v>
      </c>
      <c r="DZ420" s="798">
        <f t="shared" si="309"/>
        <v>0</v>
      </c>
      <c r="EA420" s="798">
        <f t="shared" si="309"/>
        <v>0</v>
      </c>
      <c r="EB420" s="798">
        <f t="shared" si="309"/>
        <v>0</v>
      </c>
      <c r="EC420" s="798">
        <f t="shared" si="309"/>
        <v>0</v>
      </c>
      <c r="ED420" s="798">
        <f>+ED135</f>
        <v>0</v>
      </c>
      <c r="EE420" s="798">
        <f>+EE135</f>
        <v>0</v>
      </c>
      <c r="EF420" s="798">
        <f>+EF135</f>
        <v>0</v>
      </c>
      <c r="EG420" s="798">
        <f>+EG135</f>
        <v>0</v>
      </c>
      <c r="EH420" s="782"/>
    </row>
    <row r="421" spans="1:138" ht="12.75" customHeight="1" x14ac:dyDescent="0.3">
      <c r="A421" s="782"/>
      <c r="B421" s="833" t="s">
        <v>347</v>
      </c>
      <c r="C421" s="834">
        <f>XIRR(OFFSET($E$420,0,$D$210):$DU$420,OFFSET($E$4,0,$D$210):$DU$4)</f>
        <v>0.13801112771034243</v>
      </c>
      <c r="D421" s="782"/>
      <c r="E421" s="798"/>
      <c r="F421" s="798"/>
      <c r="G421" s="798"/>
      <c r="H421" s="798"/>
      <c r="I421" s="798"/>
      <c r="J421" s="798"/>
      <c r="K421" s="798"/>
      <c r="L421" s="798"/>
      <c r="M421" s="798"/>
      <c r="N421" s="798"/>
      <c r="O421" s="798"/>
      <c r="P421" s="798"/>
      <c r="Q421" s="798"/>
      <c r="R421" s="798"/>
      <c r="S421" s="798"/>
      <c r="T421" s="798"/>
      <c r="U421" s="798"/>
      <c r="V421" s="798"/>
      <c r="W421" s="798"/>
      <c r="X421" s="798"/>
      <c r="Y421" s="798"/>
      <c r="Z421" s="798"/>
      <c r="AA421" s="798"/>
      <c r="AB421" s="798"/>
      <c r="AC421" s="798"/>
      <c r="AD421" s="798"/>
      <c r="AE421" s="798"/>
      <c r="AF421" s="798"/>
      <c r="AG421" s="798"/>
      <c r="AH421" s="798"/>
      <c r="AI421" s="798"/>
      <c r="AJ421" s="798"/>
      <c r="AK421" s="798"/>
      <c r="AL421" s="798"/>
      <c r="AM421" s="798"/>
      <c r="AN421" s="798"/>
      <c r="AO421" s="798"/>
      <c r="AP421" s="798"/>
      <c r="AQ421" s="798"/>
      <c r="AR421" s="798"/>
      <c r="AS421" s="798"/>
      <c r="AT421" s="798"/>
      <c r="AU421" s="798"/>
      <c r="AV421" s="798"/>
      <c r="AW421" s="798"/>
      <c r="AX421" s="798"/>
      <c r="AY421" s="798"/>
      <c r="AZ421" s="798"/>
      <c r="BA421" s="798"/>
      <c r="BB421" s="798"/>
      <c r="BC421" s="798"/>
      <c r="BD421" s="798"/>
      <c r="BE421" s="798"/>
      <c r="BF421" s="798"/>
      <c r="BG421" s="798"/>
      <c r="BH421" s="798"/>
      <c r="BI421" s="798"/>
      <c r="BJ421" s="798"/>
      <c r="BK421" s="798"/>
      <c r="BL421" s="798"/>
      <c r="BM421" s="798"/>
      <c r="BN421" s="798"/>
      <c r="BO421" s="798"/>
      <c r="BP421" s="798"/>
      <c r="BQ421" s="798"/>
      <c r="BR421" s="798"/>
      <c r="BS421" s="798"/>
      <c r="BT421" s="798"/>
      <c r="BU421" s="798"/>
      <c r="BV421" s="798"/>
      <c r="BW421" s="798"/>
      <c r="BX421" s="798"/>
      <c r="BY421" s="798"/>
      <c r="BZ421" s="798"/>
      <c r="CA421" s="798"/>
      <c r="CB421" s="798"/>
      <c r="CC421" s="798"/>
      <c r="CD421" s="798"/>
      <c r="CE421" s="798"/>
      <c r="CF421" s="798"/>
      <c r="CG421" s="798"/>
      <c r="CH421" s="798"/>
      <c r="CI421" s="798"/>
      <c r="CJ421" s="798"/>
      <c r="CK421" s="798"/>
      <c r="CL421" s="798"/>
      <c r="CM421" s="798"/>
      <c r="CN421" s="798"/>
      <c r="CO421" s="798"/>
      <c r="CP421" s="798"/>
      <c r="CQ421" s="798"/>
      <c r="CR421" s="798"/>
      <c r="CS421" s="798"/>
      <c r="CT421" s="798"/>
      <c r="CU421" s="798"/>
      <c r="CV421" s="798"/>
      <c r="CW421" s="798"/>
      <c r="CX421" s="798"/>
      <c r="CY421" s="798"/>
      <c r="CZ421" s="798"/>
      <c r="DA421" s="798"/>
      <c r="DB421" s="798"/>
      <c r="DC421" s="798"/>
      <c r="DD421" s="798"/>
      <c r="DE421" s="798"/>
      <c r="DF421" s="798"/>
      <c r="DG421" s="798"/>
      <c r="DH421" s="798"/>
      <c r="DI421" s="798"/>
      <c r="DJ421" s="798"/>
      <c r="DK421" s="798"/>
      <c r="DL421" s="798"/>
      <c r="DM421" s="798"/>
      <c r="DN421" s="798"/>
      <c r="DO421" s="798"/>
      <c r="DP421" s="798"/>
      <c r="DQ421" s="798"/>
      <c r="DR421" s="798"/>
      <c r="DS421" s="798"/>
      <c r="DT421" s="798"/>
      <c r="DU421" s="798"/>
      <c r="DV421" s="798"/>
      <c r="DW421" s="798"/>
      <c r="DX421" s="798"/>
      <c r="DY421" s="798"/>
      <c r="DZ421" s="798"/>
      <c r="EA421" s="798"/>
      <c r="EB421" s="798"/>
      <c r="EC421" s="798"/>
      <c r="ED421" s="798"/>
      <c r="EE421" s="798"/>
      <c r="EF421" s="798"/>
      <c r="EG421" s="798"/>
      <c r="EH421" s="782"/>
    </row>
    <row r="422" spans="1:138" ht="12.75" customHeight="1" x14ac:dyDescent="0.3">
      <c r="A422" s="782"/>
      <c r="B422" s="835" t="s">
        <v>348</v>
      </c>
      <c r="C422" s="836">
        <f>SUMIF($E$420:$EG$420,"&gt;0")/-SUMIF($E$420:$EG$420,"&lt;0")</f>
        <v>1.6664742933197858</v>
      </c>
      <c r="D422" s="782"/>
      <c r="E422" s="798"/>
      <c r="F422" s="798"/>
      <c r="G422" s="798"/>
      <c r="H422" s="798"/>
      <c r="I422" s="798"/>
      <c r="J422" s="798"/>
      <c r="K422" s="798"/>
      <c r="L422" s="798"/>
      <c r="M422" s="798"/>
      <c r="N422" s="798"/>
      <c r="O422" s="798"/>
      <c r="P422" s="798"/>
      <c r="Q422" s="798"/>
      <c r="R422" s="798"/>
      <c r="S422" s="798"/>
      <c r="T422" s="798"/>
      <c r="U422" s="798"/>
      <c r="V422" s="798"/>
      <c r="W422" s="798"/>
      <c r="X422" s="798"/>
      <c r="Y422" s="798"/>
      <c r="Z422" s="798"/>
      <c r="AA422" s="798"/>
      <c r="AB422" s="798"/>
      <c r="AC422" s="798"/>
      <c r="AD422" s="798"/>
      <c r="AE422" s="798"/>
      <c r="AF422" s="798"/>
      <c r="AG422" s="798"/>
      <c r="AH422" s="798"/>
      <c r="AI422" s="798"/>
      <c r="AJ422" s="798"/>
      <c r="AK422" s="798"/>
      <c r="AL422" s="798"/>
      <c r="AM422" s="798"/>
      <c r="AN422" s="798"/>
      <c r="AO422" s="798"/>
      <c r="AP422" s="798"/>
      <c r="AQ422" s="798"/>
      <c r="AR422" s="798"/>
      <c r="AS422" s="798"/>
      <c r="AT422" s="798"/>
      <c r="AU422" s="798"/>
      <c r="AV422" s="798"/>
      <c r="AW422" s="798"/>
      <c r="AX422" s="798"/>
      <c r="AY422" s="798"/>
      <c r="AZ422" s="798"/>
      <c r="BA422" s="798"/>
      <c r="BB422" s="798"/>
      <c r="BC422" s="798"/>
      <c r="BD422" s="798"/>
      <c r="BE422" s="798"/>
      <c r="BF422" s="798"/>
      <c r="BG422" s="798"/>
      <c r="BH422" s="798"/>
      <c r="BI422" s="798"/>
      <c r="BJ422" s="798"/>
      <c r="BK422" s="798"/>
      <c r="BL422" s="798"/>
      <c r="BM422" s="798"/>
      <c r="BN422" s="798"/>
      <c r="BO422" s="798"/>
      <c r="BP422" s="798"/>
      <c r="BQ422" s="798"/>
      <c r="BR422" s="798"/>
      <c r="BS422" s="798"/>
      <c r="BT422" s="798"/>
      <c r="BU422" s="798"/>
      <c r="BV422" s="798"/>
      <c r="BW422" s="798"/>
      <c r="BX422" s="798"/>
      <c r="BY422" s="798"/>
      <c r="BZ422" s="798"/>
      <c r="CA422" s="798"/>
      <c r="CB422" s="798"/>
      <c r="CC422" s="798"/>
      <c r="CD422" s="798"/>
      <c r="CE422" s="798"/>
      <c r="CF422" s="798"/>
      <c r="CG422" s="798"/>
      <c r="CH422" s="798"/>
      <c r="CI422" s="798"/>
      <c r="CJ422" s="798"/>
      <c r="CK422" s="798"/>
      <c r="CL422" s="798"/>
      <c r="CM422" s="798"/>
      <c r="CN422" s="798"/>
      <c r="CO422" s="798"/>
      <c r="CP422" s="798"/>
      <c r="CQ422" s="798"/>
      <c r="CR422" s="798"/>
      <c r="CS422" s="798"/>
      <c r="CT422" s="798"/>
      <c r="CU422" s="798"/>
      <c r="CV422" s="798"/>
      <c r="CW422" s="798"/>
      <c r="CX422" s="798"/>
      <c r="CY422" s="798"/>
      <c r="CZ422" s="798"/>
      <c r="DA422" s="798"/>
      <c r="DB422" s="798"/>
      <c r="DC422" s="798"/>
      <c r="DD422" s="798"/>
      <c r="DE422" s="798"/>
      <c r="DF422" s="798"/>
      <c r="DG422" s="798"/>
      <c r="DH422" s="798"/>
      <c r="DI422" s="798"/>
      <c r="DJ422" s="798"/>
      <c r="DK422" s="798"/>
      <c r="DL422" s="798"/>
      <c r="DM422" s="798"/>
      <c r="DN422" s="798"/>
      <c r="DO422" s="798"/>
      <c r="DP422" s="798"/>
      <c r="DQ422" s="798"/>
      <c r="DR422" s="798"/>
      <c r="DS422" s="798"/>
      <c r="DT422" s="798"/>
      <c r="DU422" s="798"/>
      <c r="DV422" s="798"/>
      <c r="DW422" s="798"/>
      <c r="DX422" s="798"/>
      <c r="DY422" s="798"/>
      <c r="DZ422" s="798"/>
      <c r="EA422" s="798"/>
      <c r="EB422" s="798"/>
      <c r="EC422" s="798"/>
      <c r="ED422" s="798"/>
      <c r="EE422" s="798"/>
      <c r="EF422" s="798"/>
      <c r="EG422" s="798"/>
      <c r="EH422" s="782"/>
    </row>
    <row r="423" spans="1:138" ht="12.75" customHeight="1" x14ac:dyDescent="0.3">
      <c r="A423" s="782"/>
      <c r="B423" s="803" t="s">
        <v>291</v>
      </c>
      <c r="C423" s="798">
        <f>+C420-SUM(C414,C408)</f>
        <v>0</v>
      </c>
      <c r="D423" s="782"/>
      <c r="E423" s="798"/>
      <c r="F423" s="798"/>
      <c r="G423" s="798"/>
      <c r="H423" s="798"/>
      <c r="I423" s="798"/>
      <c r="J423" s="798"/>
      <c r="K423" s="798"/>
      <c r="L423" s="798"/>
      <c r="M423" s="798"/>
      <c r="N423" s="798"/>
      <c r="O423" s="798"/>
      <c r="P423" s="798"/>
      <c r="Q423" s="798"/>
      <c r="R423" s="798"/>
      <c r="S423" s="798"/>
      <c r="T423" s="798"/>
      <c r="U423" s="798"/>
      <c r="V423" s="798"/>
      <c r="W423" s="798"/>
      <c r="X423" s="798"/>
      <c r="Y423" s="798"/>
      <c r="Z423" s="798"/>
      <c r="AA423" s="798"/>
      <c r="AB423" s="798"/>
      <c r="AC423" s="798"/>
      <c r="AD423" s="798"/>
      <c r="AE423" s="798"/>
      <c r="AF423" s="798"/>
      <c r="AG423" s="798"/>
      <c r="AH423" s="798"/>
      <c r="AI423" s="798"/>
      <c r="AJ423" s="798"/>
      <c r="AK423" s="798"/>
      <c r="AL423" s="798"/>
      <c r="AM423" s="798"/>
      <c r="AN423" s="798"/>
      <c r="AO423" s="798"/>
      <c r="AP423" s="798"/>
      <c r="AQ423" s="798"/>
      <c r="AR423" s="798"/>
      <c r="AS423" s="798"/>
      <c r="AT423" s="798"/>
      <c r="AU423" s="798"/>
      <c r="AV423" s="798"/>
      <c r="AW423" s="798"/>
      <c r="AX423" s="798"/>
      <c r="AY423" s="798"/>
      <c r="AZ423" s="798"/>
      <c r="BA423" s="798"/>
      <c r="BB423" s="798"/>
      <c r="BC423" s="798"/>
      <c r="BD423" s="798"/>
      <c r="BE423" s="798"/>
      <c r="BF423" s="798"/>
      <c r="BG423" s="798"/>
      <c r="BH423" s="798"/>
      <c r="BI423" s="798"/>
      <c r="BJ423" s="798"/>
      <c r="BK423" s="798"/>
      <c r="BL423" s="798"/>
      <c r="BM423" s="798"/>
      <c r="BN423" s="798"/>
      <c r="BO423" s="798"/>
      <c r="BP423" s="798"/>
      <c r="BQ423" s="798"/>
      <c r="BR423" s="798"/>
      <c r="BS423" s="798"/>
      <c r="BT423" s="798"/>
      <c r="BU423" s="798"/>
      <c r="BV423" s="798"/>
      <c r="BW423" s="798"/>
      <c r="BX423" s="798"/>
      <c r="BY423" s="798"/>
      <c r="BZ423" s="798"/>
      <c r="CA423" s="798"/>
      <c r="CB423" s="798"/>
      <c r="CC423" s="798"/>
      <c r="CD423" s="798"/>
      <c r="CE423" s="798"/>
      <c r="CF423" s="798"/>
      <c r="CG423" s="798"/>
      <c r="CH423" s="798"/>
      <c r="CI423" s="798"/>
      <c r="CJ423" s="798"/>
      <c r="CK423" s="798"/>
      <c r="CL423" s="798"/>
      <c r="CM423" s="798"/>
      <c r="CN423" s="798"/>
      <c r="CO423" s="798"/>
      <c r="CP423" s="798"/>
      <c r="CQ423" s="798"/>
      <c r="CR423" s="798"/>
      <c r="CS423" s="798"/>
      <c r="CT423" s="798"/>
      <c r="CU423" s="798"/>
      <c r="CV423" s="798"/>
      <c r="CW423" s="798"/>
      <c r="CX423" s="798"/>
      <c r="CY423" s="798"/>
      <c r="CZ423" s="798"/>
      <c r="DA423" s="798"/>
      <c r="DB423" s="798"/>
      <c r="DC423" s="798"/>
      <c r="DD423" s="798"/>
      <c r="DE423" s="798"/>
      <c r="DF423" s="798"/>
      <c r="DG423" s="798"/>
      <c r="DH423" s="798"/>
      <c r="DI423" s="798"/>
      <c r="DJ423" s="798"/>
      <c r="DK423" s="798"/>
      <c r="DL423" s="798"/>
      <c r="DM423" s="798"/>
      <c r="DN423" s="798"/>
      <c r="DO423" s="798"/>
      <c r="DP423" s="798"/>
      <c r="DQ423" s="798"/>
      <c r="DR423" s="798"/>
      <c r="DS423" s="798"/>
      <c r="DT423" s="798"/>
      <c r="DU423" s="798"/>
      <c r="DV423" s="798"/>
      <c r="DW423" s="798"/>
      <c r="DX423" s="798"/>
      <c r="DY423" s="798"/>
      <c r="DZ423" s="798"/>
      <c r="EA423" s="798"/>
      <c r="EB423" s="798"/>
      <c r="EC423" s="798"/>
      <c r="ED423" s="798"/>
      <c r="EE423" s="798"/>
      <c r="EF423" s="798"/>
      <c r="EG423" s="798"/>
      <c r="EH423" s="782"/>
    </row>
    <row r="424" spans="1:138" ht="12.75" customHeight="1" x14ac:dyDescent="0.3">
      <c r="A424" s="1378"/>
      <c r="B424" s="1378"/>
      <c r="C424" s="1387"/>
      <c r="D424" s="1378"/>
      <c r="E424" s="1387"/>
      <c r="F424" s="1387"/>
      <c r="G424" s="1387"/>
      <c r="H424" s="1387"/>
      <c r="I424" s="1387"/>
      <c r="J424" s="1387"/>
      <c r="K424" s="1387"/>
      <c r="L424" s="1387"/>
      <c r="M424" s="1387"/>
      <c r="N424" s="1387"/>
      <c r="O424" s="1387"/>
      <c r="P424" s="1387"/>
      <c r="Q424" s="1387"/>
      <c r="R424" s="1387"/>
      <c r="S424" s="1387"/>
      <c r="T424" s="1387"/>
      <c r="U424" s="1387"/>
      <c r="V424" s="1387"/>
      <c r="W424" s="1387"/>
      <c r="X424" s="1387"/>
      <c r="Y424" s="1387"/>
      <c r="Z424" s="1387"/>
      <c r="AA424" s="1387"/>
      <c r="AB424" s="1387"/>
      <c r="AC424" s="1387"/>
      <c r="AD424" s="1387"/>
      <c r="AE424" s="1387"/>
      <c r="AF424" s="1387"/>
      <c r="AG424" s="1387"/>
      <c r="AH424" s="1387"/>
      <c r="AI424" s="1387"/>
      <c r="AJ424" s="1387"/>
      <c r="AK424" s="1387"/>
      <c r="AL424" s="1387"/>
      <c r="AM424" s="1387"/>
      <c r="AN424" s="1387"/>
      <c r="AO424" s="1387"/>
      <c r="AP424" s="1387"/>
      <c r="AQ424" s="1387"/>
      <c r="AR424" s="1387"/>
      <c r="AS424" s="1387"/>
      <c r="AT424" s="1387"/>
      <c r="AU424" s="1387"/>
      <c r="AV424" s="1387"/>
      <c r="AW424" s="1387"/>
      <c r="AX424" s="1387"/>
      <c r="AY424" s="1387"/>
      <c r="AZ424" s="1387"/>
      <c r="BA424" s="1387"/>
      <c r="BB424" s="1387"/>
      <c r="BC424" s="1387"/>
      <c r="BD424" s="1387"/>
      <c r="BE424" s="1387"/>
      <c r="BF424" s="1387"/>
      <c r="BG424" s="1387"/>
      <c r="BH424" s="1387"/>
      <c r="BI424" s="1387"/>
      <c r="BJ424" s="1387"/>
      <c r="BK424" s="1387"/>
      <c r="BL424" s="1387"/>
      <c r="BM424" s="1387"/>
      <c r="BN424" s="1387"/>
      <c r="BO424" s="1387"/>
      <c r="BP424" s="1387"/>
      <c r="BQ424" s="1387"/>
      <c r="BR424" s="1387"/>
      <c r="BS424" s="1387"/>
      <c r="BT424" s="1387"/>
      <c r="BU424" s="1387"/>
      <c r="BV424" s="1387"/>
      <c r="BW424" s="1387"/>
      <c r="BX424" s="1387"/>
      <c r="BY424" s="1387"/>
      <c r="BZ424" s="1387"/>
      <c r="CA424" s="1387"/>
      <c r="CB424" s="1387"/>
      <c r="CC424" s="1387"/>
      <c r="CD424" s="1387"/>
      <c r="CE424" s="1387"/>
      <c r="CF424" s="1387"/>
      <c r="CG424" s="1387"/>
      <c r="CH424" s="1387"/>
      <c r="CI424" s="1387"/>
      <c r="CJ424" s="1387"/>
      <c r="CK424" s="1387"/>
      <c r="CL424" s="1387"/>
      <c r="CM424" s="1387"/>
      <c r="CN424" s="1387"/>
      <c r="CO424" s="1387"/>
      <c r="CP424" s="1387"/>
      <c r="CQ424" s="1387"/>
      <c r="CR424" s="1387"/>
      <c r="CS424" s="1387"/>
      <c r="CT424" s="1387"/>
      <c r="CU424" s="1387"/>
      <c r="CV424" s="1387"/>
      <c r="CW424" s="1387"/>
      <c r="CX424" s="1387"/>
      <c r="CY424" s="1387"/>
      <c r="CZ424" s="1387"/>
      <c r="DA424" s="1387"/>
      <c r="DB424" s="1387"/>
      <c r="DC424" s="1387"/>
      <c r="DD424" s="1387"/>
      <c r="DE424" s="1387"/>
      <c r="DF424" s="1387"/>
      <c r="DG424" s="1387"/>
      <c r="DH424" s="1387"/>
      <c r="DI424" s="1387"/>
      <c r="DJ424" s="1387"/>
      <c r="DK424" s="1387"/>
      <c r="DL424" s="1387"/>
      <c r="DM424" s="1387"/>
      <c r="DN424" s="1387"/>
      <c r="DO424" s="1387"/>
      <c r="DP424" s="1387"/>
      <c r="DQ424" s="1387"/>
      <c r="DR424" s="1387"/>
      <c r="DS424" s="1387"/>
      <c r="DT424" s="1387"/>
      <c r="DU424" s="1387"/>
      <c r="DV424" s="1387"/>
      <c r="DW424" s="1387"/>
      <c r="DX424" s="1387"/>
      <c r="DY424" s="1387"/>
      <c r="DZ424" s="1387"/>
      <c r="EA424" s="1387"/>
      <c r="EB424" s="1387"/>
      <c r="EC424" s="1387"/>
      <c r="ED424" s="1387"/>
      <c r="EE424" s="1387"/>
      <c r="EF424" s="1387"/>
      <c r="EG424" s="1387"/>
      <c r="EH424" s="782"/>
    </row>
    <row r="425" spans="1:138" ht="12.75" customHeight="1" x14ac:dyDescent="0.3">
      <c r="A425" s="782" t="s">
        <v>338</v>
      </c>
      <c r="B425" s="796" t="s">
        <v>6</v>
      </c>
      <c r="C425" s="798"/>
      <c r="D425" s="782"/>
      <c r="E425" s="798"/>
      <c r="F425" s="798"/>
      <c r="G425" s="798"/>
      <c r="H425" s="798"/>
      <c r="I425" s="798"/>
      <c r="J425" s="798"/>
      <c r="K425" s="798"/>
      <c r="L425" s="798"/>
      <c r="M425" s="798"/>
      <c r="N425" s="798"/>
      <c r="O425" s="798"/>
      <c r="P425" s="798"/>
      <c r="Q425" s="798"/>
      <c r="R425" s="798"/>
      <c r="S425" s="798"/>
      <c r="T425" s="798"/>
      <c r="U425" s="798"/>
      <c r="V425" s="798"/>
      <c r="W425" s="798"/>
      <c r="X425" s="798"/>
      <c r="Y425" s="798"/>
      <c r="Z425" s="798"/>
      <c r="AA425" s="798"/>
      <c r="AB425" s="798"/>
      <c r="AC425" s="798"/>
      <c r="AD425" s="798"/>
      <c r="AE425" s="798"/>
      <c r="AF425" s="798"/>
      <c r="AG425" s="798"/>
      <c r="AH425" s="798"/>
      <c r="AI425" s="798"/>
      <c r="AJ425" s="798"/>
      <c r="AK425" s="798"/>
      <c r="AL425" s="798"/>
      <c r="AM425" s="798"/>
      <c r="AN425" s="798"/>
      <c r="AO425" s="798"/>
      <c r="AP425" s="798"/>
      <c r="AQ425" s="798"/>
      <c r="AR425" s="798"/>
      <c r="AS425" s="798"/>
      <c r="AT425" s="798"/>
      <c r="AU425" s="798"/>
      <c r="AV425" s="798"/>
      <c r="AW425" s="798"/>
      <c r="AX425" s="798"/>
      <c r="AY425" s="798"/>
      <c r="AZ425" s="798"/>
      <c r="BA425" s="798"/>
      <c r="BB425" s="798"/>
      <c r="BC425" s="798"/>
      <c r="BD425" s="798"/>
      <c r="BE425" s="798"/>
      <c r="BF425" s="798"/>
      <c r="BG425" s="798"/>
      <c r="BH425" s="798"/>
      <c r="BI425" s="798"/>
      <c r="BJ425" s="798"/>
      <c r="BK425" s="798"/>
      <c r="BL425" s="798"/>
      <c r="BM425" s="798"/>
      <c r="BN425" s="798"/>
      <c r="BO425" s="798"/>
      <c r="BP425" s="798"/>
      <c r="BQ425" s="798"/>
      <c r="BR425" s="798"/>
      <c r="BS425" s="798"/>
      <c r="BT425" s="798"/>
      <c r="BU425" s="798"/>
      <c r="BV425" s="798"/>
      <c r="BW425" s="798"/>
      <c r="BX425" s="798"/>
      <c r="BY425" s="798"/>
      <c r="BZ425" s="798"/>
      <c r="CA425" s="798"/>
      <c r="CB425" s="798"/>
      <c r="CC425" s="798"/>
      <c r="CD425" s="798"/>
      <c r="CE425" s="798"/>
      <c r="CF425" s="798"/>
      <c r="CG425" s="798"/>
      <c r="CH425" s="798"/>
      <c r="CI425" s="798"/>
      <c r="CJ425" s="798"/>
      <c r="CK425" s="798"/>
      <c r="CL425" s="798"/>
      <c r="CM425" s="798"/>
      <c r="CN425" s="798"/>
      <c r="CO425" s="798"/>
      <c r="CP425" s="798"/>
      <c r="CQ425" s="798"/>
      <c r="CR425" s="798"/>
      <c r="CS425" s="798"/>
      <c r="CT425" s="798"/>
      <c r="CU425" s="798"/>
      <c r="CV425" s="798"/>
      <c r="CW425" s="798"/>
      <c r="CX425" s="798"/>
      <c r="CY425" s="798"/>
      <c r="CZ425" s="798"/>
      <c r="DA425" s="798"/>
      <c r="DB425" s="798"/>
      <c r="DC425" s="798"/>
      <c r="DD425" s="798"/>
      <c r="DE425" s="798"/>
      <c r="DF425" s="798"/>
      <c r="DG425" s="798"/>
      <c r="DH425" s="798"/>
      <c r="DI425" s="798"/>
      <c r="DJ425" s="798"/>
      <c r="DK425" s="798"/>
      <c r="DL425" s="798"/>
      <c r="DM425" s="798"/>
      <c r="DN425" s="798"/>
      <c r="DO425" s="798"/>
      <c r="DP425" s="798"/>
      <c r="DQ425" s="798"/>
      <c r="DR425" s="798"/>
      <c r="DS425" s="798"/>
      <c r="DT425" s="798"/>
      <c r="DU425" s="798"/>
      <c r="DV425" s="798"/>
      <c r="DW425" s="798"/>
      <c r="DX425" s="798"/>
      <c r="DY425" s="798"/>
      <c r="DZ425" s="798"/>
      <c r="EA425" s="798"/>
      <c r="EB425" s="798"/>
      <c r="EC425" s="798"/>
      <c r="ED425" s="798"/>
      <c r="EE425" s="798"/>
      <c r="EF425" s="798"/>
      <c r="EG425" s="798"/>
      <c r="EH425" s="782"/>
    </row>
    <row r="426" spans="1:138" ht="12.75" customHeight="1" x14ac:dyDescent="0.3">
      <c r="A426" s="782"/>
      <c r="B426" s="1382" t="s">
        <v>339</v>
      </c>
      <c r="C426" s="798"/>
      <c r="D426" s="782"/>
      <c r="E426" s="798"/>
      <c r="F426" s="798"/>
      <c r="G426" s="798"/>
      <c r="H426" s="798"/>
      <c r="I426" s="798"/>
      <c r="J426" s="798"/>
      <c r="K426" s="798"/>
      <c r="L426" s="798"/>
      <c r="M426" s="798"/>
      <c r="N426" s="798"/>
      <c r="O426" s="798"/>
      <c r="P426" s="798"/>
      <c r="Q426" s="798"/>
      <c r="R426" s="798"/>
      <c r="S426" s="798"/>
      <c r="T426" s="798"/>
      <c r="U426" s="798"/>
      <c r="V426" s="798"/>
      <c r="W426" s="798"/>
      <c r="X426" s="798"/>
      <c r="Y426" s="798"/>
      <c r="Z426" s="798"/>
      <c r="AA426" s="798"/>
      <c r="AB426" s="798"/>
      <c r="AC426" s="798"/>
      <c r="AD426" s="798"/>
      <c r="AE426" s="798"/>
      <c r="AF426" s="798"/>
      <c r="AG426" s="798"/>
      <c r="AH426" s="798"/>
      <c r="AI426" s="798"/>
      <c r="AJ426" s="798"/>
      <c r="AK426" s="798"/>
      <c r="AL426" s="798"/>
      <c r="AM426" s="798"/>
      <c r="AN426" s="798"/>
      <c r="AO426" s="798"/>
      <c r="AP426" s="798"/>
      <c r="AQ426" s="798"/>
      <c r="AR426" s="798"/>
      <c r="AS426" s="798"/>
      <c r="AT426" s="798"/>
      <c r="AU426" s="798"/>
      <c r="AV426" s="798"/>
      <c r="AW426" s="798"/>
      <c r="AX426" s="798"/>
      <c r="AY426" s="798"/>
      <c r="AZ426" s="798"/>
      <c r="BA426" s="798"/>
      <c r="BB426" s="798"/>
      <c r="BC426" s="798"/>
      <c r="BD426" s="798"/>
      <c r="BE426" s="798"/>
      <c r="BF426" s="798"/>
      <c r="BG426" s="798"/>
      <c r="BH426" s="798"/>
      <c r="BI426" s="798"/>
      <c r="BJ426" s="798"/>
      <c r="BK426" s="798"/>
      <c r="BL426" s="798"/>
      <c r="BM426" s="798"/>
      <c r="BN426" s="798"/>
      <c r="BO426" s="798"/>
      <c r="BP426" s="798"/>
      <c r="BQ426" s="798"/>
      <c r="BR426" s="798"/>
      <c r="BS426" s="798"/>
      <c r="BT426" s="798"/>
      <c r="BU426" s="798"/>
      <c r="BV426" s="798"/>
      <c r="BW426" s="798"/>
      <c r="BX426" s="798"/>
      <c r="BY426" s="798"/>
      <c r="BZ426" s="798"/>
      <c r="CA426" s="798"/>
      <c r="CB426" s="798"/>
      <c r="CC426" s="798"/>
      <c r="CD426" s="798"/>
      <c r="CE426" s="798"/>
      <c r="CF426" s="798"/>
      <c r="CG426" s="798"/>
      <c r="CH426" s="798"/>
      <c r="CI426" s="798"/>
      <c r="CJ426" s="798"/>
      <c r="CK426" s="798"/>
      <c r="CL426" s="798"/>
      <c r="CM426" s="798"/>
      <c r="CN426" s="798"/>
      <c r="CO426" s="798"/>
      <c r="CP426" s="798"/>
      <c r="CQ426" s="798"/>
      <c r="CR426" s="798"/>
      <c r="CS426" s="798"/>
      <c r="CT426" s="798"/>
      <c r="CU426" s="798"/>
      <c r="CV426" s="798"/>
      <c r="CW426" s="798"/>
      <c r="CX426" s="798"/>
      <c r="CY426" s="798"/>
      <c r="CZ426" s="798"/>
      <c r="DA426" s="798"/>
      <c r="DB426" s="798"/>
      <c r="DC426" s="798"/>
      <c r="DD426" s="798"/>
      <c r="DE426" s="798"/>
      <c r="DF426" s="798"/>
      <c r="DG426" s="798"/>
      <c r="DH426" s="798"/>
      <c r="DI426" s="798"/>
      <c r="DJ426" s="798"/>
      <c r="DK426" s="798"/>
      <c r="DL426" s="798"/>
      <c r="DM426" s="798"/>
      <c r="DN426" s="798"/>
      <c r="DO426" s="798"/>
      <c r="DP426" s="798"/>
      <c r="DQ426" s="798"/>
      <c r="DR426" s="798"/>
      <c r="DS426" s="798"/>
      <c r="DT426" s="798"/>
      <c r="DU426" s="798"/>
      <c r="DV426" s="798"/>
      <c r="DW426" s="798"/>
      <c r="DX426" s="798"/>
      <c r="DY426" s="798"/>
      <c r="DZ426" s="798"/>
      <c r="EA426" s="798"/>
      <c r="EB426" s="798"/>
      <c r="EC426" s="798"/>
      <c r="ED426" s="798"/>
      <c r="EE426" s="798"/>
      <c r="EF426" s="798"/>
      <c r="EG426" s="798"/>
      <c r="EH426" s="782"/>
    </row>
    <row r="427" spans="1:138" ht="12.75" customHeight="1" x14ac:dyDescent="0.3">
      <c r="A427" s="782"/>
      <c r="B427" s="782" t="s">
        <v>340</v>
      </c>
      <c r="C427" s="838">
        <f>SUM(E427:EG427)</f>
        <v>54339228.151319623</v>
      </c>
      <c r="D427" s="782"/>
      <c r="E427" s="798">
        <f>+E408+E389</f>
        <v>-1459520.0769018831</v>
      </c>
      <c r="F427" s="798">
        <f t="shared" ref="F427:BQ427" si="310">+F408+F389</f>
        <v>-11421694.387157971</v>
      </c>
      <c r="G427" s="798">
        <f t="shared" si="310"/>
        <v>-369114.99916858942</v>
      </c>
      <c r="H427" s="798">
        <f t="shared" si="310"/>
        <v>-555086.80631586071</v>
      </c>
      <c r="I427" s="798">
        <f t="shared" si="310"/>
        <v>-935498.05368796352</v>
      </c>
      <c r="J427" s="798">
        <f t="shared" si="310"/>
        <v>-1520128.0247696131</v>
      </c>
      <c r="K427" s="798">
        <f t="shared" si="310"/>
        <v>-1564787.4194152202</v>
      </c>
      <c r="L427" s="798">
        <f t="shared" si="310"/>
        <v>-1991304.9497603511</v>
      </c>
      <c r="M427" s="798">
        <f t="shared" si="310"/>
        <v>-2360495.3169892058</v>
      </c>
      <c r="N427" s="798">
        <f t="shared" si="310"/>
        <v>-2761784.5906149005</v>
      </c>
      <c r="O427" s="798">
        <f t="shared" si="310"/>
        <v>-1574123.1684457453</v>
      </c>
      <c r="P427" s="798">
        <f t="shared" si="310"/>
        <v>-15202.827377578833</v>
      </c>
      <c r="Q427" s="798">
        <f t="shared" si="310"/>
        <v>-16173.914529341831</v>
      </c>
      <c r="R427" s="798">
        <f t="shared" si="310"/>
        <v>-17157.636786895979</v>
      </c>
      <c r="S427" s="798">
        <f t="shared" si="310"/>
        <v>-18151.1014657259</v>
      </c>
      <c r="T427" s="798">
        <f t="shared" si="310"/>
        <v>-19079.299298112302</v>
      </c>
      <c r="U427" s="798">
        <f t="shared" si="310"/>
        <v>-19980.72919213543</v>
      </c>
      <c r="V427" s="798">
        <f t="shared" si="310"/>
        <v>-20814.920220536322</v>
      </c>
      <c r="W427" s="798">
        <f t="shared" si="310"/>
        <v>-21564.773579702716</v>
      </c>
      <c r="X427" s="798">
        <f t="shared" si="310"/>
        <v>-22310.714160245509</v>
      </c>
      <c r="Y427" s="798">
        <f t="shared" si="310"/>
        <v>-22995.24880912013</v>
      </c>
      <c r="Z427" s="798">
        <f t="shared" si="310"/>
        <v>-23571.269754990404</v>
      </c>
      <c r="AA427" s="798">
        <f t="shared" si="310"/>
        <v>-24062.072467745635</v>
      </c>
      <c r="AB427" s="798">
        <f t="shared" si="310"/>
        <v>-24470.072457408431</v>
      </c>
      <c r="AC427" s="798">
        <f t="shared" si="310"/>
        <v>8384.5059293936665</v>
      </c>
      <c r="AD427" s="798">
        <f t="shared" si="310"/>
        <v>38366.358635012235</v>
      </c>
      <c r="AE427" s="798">
        <f t="shared" si="310"/>
        <v>72614.497273708708</v>
      </c>
      <c r="AF427" s="798">
        <f t="shared" si="310"/>
        <v>139782.41588327449</v>
      </c>
      <c r="AG427" s="798">
        <f t="shared" si="310"/>
        <v>142520.81846381401</v>
      </c>
      <c r="AH427" s="798">
        <f t="shared" si="310"/>
        <v>143499.4833160592</v>
      </c>
      <c r="AI427" s="798">
        <f t="shared" si="310"/>
        <v>318898.2726360347</v>
      </c>
      <c r="AJ427" s="798">
        <f t="shared" si="310"/>
        <v>320842.57222426333</v>
      </c>
      <c r="AK427" s="798">
        <f t="shared" si="310"/>
        <v>1682504.6727107093</v>
      </c>
      <c r="AL427" s="798">
        <f t="shared" si="310"/>
        <v>10750963.273536308</v>
      </c>
      <c r="AM427" s="798">
        <f t="shared" si="310"/>
        <v>154175.30289193612</v>
      </c>
      <c r="AN427" s="798">
        <f t="shared" si="310"/>
        <v>156052.84658401532</v>
      </c>
      <c r="AO427" s="798">
        <f t="shared" si="310"/>
        <v>157905.337072175</v>
      </c>
      <c r="AP427" s="798">
        <f t="shared" si="310"/>
        <v>159126.13046560684</v>
      </c>
      <c r="AQ427" s="798">
        <f t="shared" si="310"/>
        <v>161606.19696258724</v>
      </c>
      <c r="AR427" s="798">
        <f t="shared" si="310"/>
        <v>163727.71915666686</v>
      </c>
      <c r="AS427" s="798">
        <f t="shared" si="310"/>
        <v>160098.98872927978</v>
      </c>
      <c r="AT427" s="798">
        <f t="shared" si="310"/>
        <v>161292.27647302084</v>
      </c>
      <c r="AU427" s="798">
        <f t="shared" si="310"/>
        <v>162414.60989911362</v>
      </c>
      <c r="AV427" s="798">
        <f t="shared" si="310"/>
        <v>164105.21112728768</v>
      </c>
      <c r="AW427" s="798">
        <f t="shared" si="310"/>
        <v>165727.63363498784</v>
      </c>
      <c r="AX427" s="798">
        <f t="shared" si="310"/>
        <v>167255.63194299303</v>
      </c>
      <c r="AY427" s="798">
        <f t="shared" si="310"/>
        <v>168723.96119367678</v>
      </c>
      <c r="AZ427" s="798">
        <f t="shared" si="310"/>
        <v>170137.94049186527</v>
      </c>
      <c r="BA427" s="798">
        <f t="shared" si="310"/>
        <v>171456.94458562406</v>
      </c>
      <c r="BB427" s="798">
        <f t="shared" si="310"/>
        <v>172238.08977063734</v>
      </c>
      <c r="BC427" s="798">
        <f t="shared" si="310"/>
        <v>173888.12389038652</v>
      </c>
      <c r="BD427" s="798">
        <f t="shared" si="310"/>
        <v>175221.59871841667</v>
      </c>
      <c r="BE427" s="798">
        <f t="shared" si="310"/>
        <v>171988.88946342253</v>
      </c>
      <c r="BF427" s="798">
        <f t="shared" si="310"/>
        <v>172663.65734905982</v>
      </c>
      <c r="BG427" s="798">
        <f t="shared" si="310"/>
        <v>173341.15389008564</v>
      </c>
      <c r="BH427" s="798">
        <f t="shared" si="310"/>
        <v>174491.57544100142</v>
      </c>
      <c r="BI427" s="798">
        <f t="shared" si="310"/>
        <v>175660.72232521599</v>
      </c>
      <c r="BJ427" s="798">
        <f t="shared" si="310"/>
        <v>176895.00661635408</v>
      </c>
      <c r="BK427" s="798">
        <f t="shared" si="310"/>
        <v>178184.14107870785</v>
      </c>
      <c r="BL427" s="798">
        <f t="shared" si="310"/>
        <v>179482.67170936364</v>
      </c>
      <c r="BM427" s="798">
        <f t="shared" si="310"/>
        <v>180849.22142402246</v>
      </c>
      <c r="BN427" s="798">
        <f t="shared" si="310"/>
        <v>181743.7622890012</v>
      </c>
      <c r="BO427" s="798">
        <f t="shared" si="310"/>
        <v>183715.10733150679</v>
      </c>
      <c r="BP427" s="798">
        <f t="shared" si="310"/>
        <v>185438.45343957943</v>
      </c>
      <c r="BQ427" s="798">
        <f t="shared" si="310"/>
        <v>182292.67353184964</v>
      </c>
      <c r="BR427" s="798">
        <f t="shared" ref="BR427:EC427" si="311">+BR408+BR389</f>
        <v>183269.50919075595</v>
      </c>
      <c r="BS427" s="798">
        <f t="shared" si="311"/>
        <v>184230.17562767022</v>
      </c>
      <c r="BT427" s="798">
        <f t="shared" si="311"/>
        <v>185780.21466794828</v>
      </c>
      <c r="BU427" s="798">
        <f t="shared" si="311"/>
        <v>187310.64458086196</v>
      </c>
      <c r="BV427" s="798">
        <f t="shared" si="311"/>
        <v>188860.96976827679</v>
      </c>
      <c r="BW427" s="798">
        <f t="shared" si="311"/>
        <v>190436.24270482885</v>
      </c>
      <c r="BX427" s="798">
        <f t="shared" si="311"/>
        <v>192001.32193139099</v>
      </c>
      <c r="BY427" s="798">
        <f t="shared" si="311"/>
        <v>193593.20006759552</v>
      </c>
      <c r="BZ427" s="798">
        <f t="shared" si="311"/>
        <v>194607.03378064299</v>
      </c>
      <c r="CA427" s="798">
        <f t="shared" si="311"/>
        <v>196795.09556826376</v>
      </c>
      <c r="CB427" s="798">
        <f t="shared" si="311"/>
        <v>198691.23431620785</v>
      </c>
      <c r="CC427" s="798">
        <f t="shared" si="311"/>
        <v>195511.30470261344</v>
      </c>
      <c r="CD427" s="798">
        <f t="shared" si="311"/>
        <v>196586.47257721753</v>
      </c>
      <c r="CE427" s="798">
        <f t="shared" si="311"/>
        <v>197640.21861742294</v>
      </c>
      <c r="CF427" s="798">
        <f t="shared" si="311"/>
        <v>199295.96660206228</v>
      </c>
      <c r="CG427" s="798">
        <f t="shared" si="311"/>
        <v>200944.95458029973</v>
      </c>
      <c r="CH427" s="798">
        <f t="shared" si="311"/>
        <v>202609.10323266854</v>
      </c>
      <c r="CI427" s="798">
        <f t="shared" si="311"/>
        <v>204257.93754540096</v>
      </c>
      <c r="CJ427" s="798">
        <f t="shared" si="311"/>
        <v>205931.68108610384</v>
      </c>
      <c r="CK427" s="798">
        <f t="shared" si="311"/>
        <v>207630.00461851811</v>
      </c>
      <c r="CL427" s="798">
        <f t="shared" si="311"/>
        <v>208710.57000710259</v>
      </c>
      <c r="CM427" s="798">
        <f t="shared" si="311"/>
        <v>211009.40162900416</v>
      </c>
      <c r="CN427" s="798">
        <f t="shared" si="311"/>
        <v>212992.16288272329</v>
      </c>
      <c r="CO427" s="798">
        <f t="shared" si="311"/>
        <v>209734.11069809712</v>
      </c>
      <c r="CP427" s="798">
        <f t="shared" si="311"/>
        <v>210858.97547925983</v>
      </c>
      <c r="CQ427" s="798">
        <f t="shared" si="311"/>
        <v>211961.83655624898</v>
      </c>
      <c r="CR427" s="798">
        <f t="shared" si="311"/>
        <v>213671.71984516139</v>
      </c>
      <c r="CS427" s="798">
        <f t="shared" si="311"/>
        <v>215397.39392359921</v>
      </c>
      <c r="CT427" s="798">
        <f t="shared" si="311"/>
        <v>217148.93780705624</v>
      </c>
      <c r="CU427" s="798">
        <f t="shared" si="311"/>
        <v>218880.08719193298</v>
      </c>
      <c r="CV427" s="798">
        <f t="shared" si="311"/>
        <v>220628.55475225078</v>
      </c>
      <c r="CW427" s="798">
        <f t="shared" si="311"/>
        <v>55961045.038019255</v>
      </c>
      <c r="CX427" s="798">
        <f t="shared" si="311"/>
        <v>0</v>
      </c>
      <c r="CY427" s="798">
        <f t="shared" si="311"/>
        <v>0</v>
      </c>
      <c r="CZ427" s="798">
        <f t="shared" si="311"/>
        <v>0</v>
      </c>
      <c r="DA427" s="798">
        <f t="shared" si="311"/>
        <v>0</v>
      </c>
      <c r="DB427" s="798">
        <f t="shared" si="311"/>
        <v>0</v>
      </c>
      <c r="DC427" s="798">
        <f t="shared" si="311"/>
        <v>0</v>
      </c>
      <c r="DD427" s="798">
        <f t="shared" si="311"/>
        <v>0</v>
      </c>
      <c r="DE427" s="798">
        <f t="shared" si="311"/>
        <v>0</v>
      </c>
      <c r="DF427" s="798">
        <f t="shared" si="311"/>
        <v>0</v>
      </c>
      <c r="DG427" s="798">
        <f t="shared" si="311"/>
        <v>0</v>
      </c>
      <c r="DH427" s="798">
        <f t="shared" si="311"/>
        <v>0</v>
      </c>
      <c r="DI427" s="798">
        <f t="shared" si="311"/>
        <v>0</v>
      </c>
      <c r="DJ427" s="798">
        <f t="shared" si="311"/>
        <v>0</v>
      </c>
      <c r="DK427" s="798">
        <f t="shared" si="311"/>
        <v>0</v>
      </c>
      <c r="DL427" s="798">
        <f t="shared" si="311"/>
        <v>0</v>
      </c>
      <c r="DM427" s="798">
        <f t="shared" si="311"/>
        <v>0</v>
      </c>
      <c r="DN427" s="798">
        <f t="shared" si="311"/>
        <v>0</v>
      </c>
      <c r="DO427" s="798">
        <f t="shared" si="311"/>
        <v>0</v>
      </c>
      <c r="DP427" s="798">
        <f t="shared" si="311"/>
        <v>0</v>
      </c>
      <c r="DQ427" s="798">
        <f t="shared" si="311"/>
        <v>0</v>
      </c>
      <c r="DR427" s="798">
        <f t="shared" si="311"/>
        <v>0</v>
      </c>
      <c r="DS427" s="798">
        <f t="shared" si="311"/>
        <v>0</v>
      </c>
      <c r="DT427" s="798">
        <f t="shared" si="311"/>
        <v>0</v>
      </c>
      <c r="DU427" s="798">
        <f t="shared" si="311"/>
        <v>0</v>
      </c>
      <c r="DV427" s="798">
        <f t="shared" si="311"/>
        <v>0</v>
      </c>
      <c r="DW427" s="798">
        <f t="shared" si="311"/>
        <v>0</v>
      </c>
      <c r="DX427" s="798">
        <f t="shared" si="311"/>
        <v>0</v>
      </c>
      <c r="DY427" s="798">
        <f t="shared" si="311"/>
        <v>0</v>
      </c>
      <c r="DZ427" s="798">
        <f t="shared" si="311"/>
        <v>0</v>
      </c>
      <c r="EA427" s="798">
        <f t="shared" si="311"/>
        <v>0</v>
      </c>
      <c r="EB427" s="798">
        <f t="shared" si="311"/>
        <v>0</v>
      </c>
      <c r="EC427" s="798">
        <f t="shared" si="311"/>
        <v>0</v>
      </c>
      <c r="ED427" s="798">
        <f>+ED408+ED389</f>
        <v>0</v>
      </c>
      <c r="EE427" s="798">
        <f>+EE408+EE389</f>
        <v>0</v>
      </c>
      <c r="EF427" s="798">
        <f>+EF408+EF389</f>
        <v>0</v>
      </c>
      <c r="EG427" s="798">
        <f>+EG408+EG389</f>
        <v>0</v>
      </c>
      <c r="EH427" s="782"/>
    </row>
    <row r="428" spans="1:138" ht="12.75" customHeight="1" x14ac:dyDescent="0.3">
      <c r="A428" s="782"/>
      <c r="B428" s="833" t="s">
        <v>203</v>
      </c>
      <c r="C428" s="834">
        <f>XIRR(OFFSET(E427,0,$C$141):EG427,OFFSET($E$4,0,$C$141):$EG$4)</f>
        <v>0.2044934451580048</v>
      </c>
      <c r="D428" s="782"/>
      <c r="E428" s="798"/>
      <c r="F428" s="798"/>
      <c r="G428" s="798"/>
      <c r="H428" s="798"/>
      <c r="I428" s="798"/>
      <c r="J428" s="798"/>
      <c r="K428" s="798"/>
      <c r="L428" s="798"/>
      <c r="M428" s="798"/>
      <c r="N428" s="798"/>
      <c r="O428" s="798"/>
      <c r="P428" s="798"/>
      <c r="Q428" s="798"/>
      <c r="R428" s="798"/>
      <c r="S428" s="798"/>
      <c r="T428" s="798"/>
      <c r="U428" s="798"/>
      <c r="V428" s="798"/>
      <c r="W428" s="798"/>
      <c r="X428" s="798"/>
      <c r="Y428" s="798"/>
      <c r="Z428" s="798"/>
      <c r="AA428" s="798"/>
      <c r="AB428" s="798"/>
      <c r="AC428" s="798"/>
      <c r="AD428" s="798"/>
      <c r="AE428" s="798"/>
      <c r="AF428" s="798"/>
      <c r="AG428" s="798"/>
      <c r="AH428" s="798"/>
      <c r="AI428" s="798"/>
      <c r="AJ428" s="798"/>
      <c r="AK428" s="798"/>
      <c r="AL428" s="798"/>
      <c r="AM428" s="798"/>
      <c r="AN428" s="798"/>
      <c r="AO428" s="798"/>
      <c r="AP428" s="798"/>
      <c r="AQ428" s="798"/>
      <c r="AR428" s="798"/>
      <c r="AS428" s="798"/>
      <c r="AT428" s="798"/>
      <c r="AU428" s="798"/>
      <c r="AV428" s="798"/>
      <c r="AW428" s="798"/>
      <c r="AX428" s="798"/>
      <c r="AY428" s="798"/>
      <c r="AZ428" s="798"/>
      <c r="BA428" s="798"/>
      <c r="BB428" s="798"/>
      <c r="BC428" s="798"/>
      <c r="BD428" s="798"/>
      <c r="BE428" s="798"/>
      <c r="BF428" s="798"/>
      <c r="BG428" s="798"/>
      <c r="BH428" s="798"/>
      <c r="BI428" s="798"/>
      <c r="BJ428" s="798"/>
      <c r="BK428" s="798"/>
      <c r="BL428" s="798"/>
      <c r="BM428" s="798"/>
      <c r="BN428" s="798"/>
      <c r="BO428" s="798"/>
      <c r="BP428" s="798"/>
      <c r="BQ428" s="798"/>
      <c r="BR428" s="798"/>
      <c r="BS428" s="798"/>
      <c r="BT428" s="798"/>
      <c r="BU428" s="798"/>
      <c r="BV428" s="798"/>
      <c r="BW428" s="798"/>
      <c r="BX428" s="798"/>
      <c r="BY428" s="798"/>
      <c r="BZ428" s="798"/>
      <c r="CA428" s="798"/>
      <c r="CB428" s="798"/>
      <c r="CC428" s="798"/>
      <c r="CD428" s="798"/>
      <c r="CE428" s="798"/>
      <c r="CF428" s="798"/>
      <c r="CG428" s="798"/>
      <c r="CH428" s="798"/>
      <c r="CI428" s="798"/>
      <c r="CJ428" s="798"/>
      <c r="CK428" s="798"/>
      <c r="CL428" s="798"/>
      <c r="CM428" s="798"/>
      <c r="CN428" s="798"/>
      <c r="CO428" s="798"/>
      <c r="CP428" s="798"/>
      <c r="CQ428" s="798"/>
      <c r="CR428" s="798"/>
      <c r="CS428" s="798"/>
      <c r="CT428" s="798"/>
      <c r="CU428" s="798"/>
      <c r="CV428" s="798"/>
      <c r="CW428" s="798"/>
      <c r="CX428" s="798"/>
      <c r="CY428" s="798"/>
      <c r="CZ428" s="798"/>
      <c r="DA428" s="798"/>
      <c r="DB428" s="798"/>
      <c r="DC428" s="798"/>
      <c r="DD428" s="798"/>
      <c r="DE428" s="798"/>
      <c r="DF428" s="798"/>
      <c r="DG428" s="798"/>
      <c r="DH428" s="798"/>
      <c r="DI428" s="798"/>
      <c r="DJ428" s="798"/>
      <c r="DK428" s="798"/>
      <c r="DL428" s="798"/>
      <c r="DM428" s="798"/>
      <c r="DN428" s="798"/>
      <c r="DO428" s="798"/>
      <c r="DP428" s="798"/>
      <c r="DQ428" s="798"/>
      <c r="DR428" s="798"/>
      <c r="DS428" s="798"/>
      <c r="DT428" s="798"/>
      <c r="DU428" s="798"/>
      <c r="DV428" s="798"/>
      <c r="DW428" s="798"/>
      <c r="DX428" s="798"/>
      <c r="DY428" s="798"/>
      <c r="DZ428" s="798"/>
      <c r="EA428" s="798"/>
      <c r="EB428" s="798"/>
      <c r="EC428" s="798"/>
      <c r="ED428" s="798"/>
      <c r="EE428" s="798"/>
      <c r="EF428" s="798"/>
      <c r="EG428" s="798"/>
      <c r="EH428" s="782"/>
    </row>
    <row r="429" spans="1:138" ht="12.75" customHeight="1" x14ac:dyDescent="0.3">
      <c r="A429" s="782"/>
      <c r="B429" s="835" t="s">
        <v>204</v>
      </c>
      <c r="C429" s="836">
        <f>SUMIF($E$427:$EG$427,"&gt;0")/-SUMIF($E$427:$EG$427,"&lt;0")</f>
        <v>3.029167679663316</v>
      </c>
      <c r="D429" s="782"/>
      <c r="E429" s="798"/>
      <c r="F429" s="798"/>
      <c r="G429" s="798"/>
      <c r="H429" s="798"/>
      <c r="I429" s="798"/>
      <c r="J429" s="798"/>
      <c r="K429" s="798"/>
      <c r="L429" s="798"/>
      <c r="M429" s="798"/>
      <c r="N429" s="798"/>
      <c r="O429" s="798"/>
      <c r="P429" s="798"/>
      <c r="Q429" s="798"/>
      <c r="R429" s="798"/>
      <c r="S429" s="798"/>
      <c r="T429" s="798"/>
      <c r="U429" s="798"/>
      <c r="V429" s="798"/>
      <c r="W429" s="798"/>
      <c r="X429" s="798"/>
      <c r="Y429" s="798"/>
      <c r="Z429" s="798"/>
      <c r="AA429" s="798"/>
      <c r="AB429" s="798"/>
      <c r="AC429" s="798"/>
      <c r="AD429" s="798"/>
      <c r="AE429" s="798"/>
      <c r="AF429" s="798"/>
      <c r="AG429" s="798"/>
      <c r="AH429" s="798"/>
      <c r="AI429" s="798"/>
      <c r="AJ429" s="798"/>
      <c r="AK429" s="798"/>
      <c r="AL429" s="798"/>
      <c r="AM429" s="798"/>
      <c r="AN429" s="798"/>
      <c r="AO429" s="798"/>
      <c r="AP429" s="798"/>
      <c r="AQ429" s="798"/>
      <c r="AR429" s="798"/>
      <c r="AS429" s="798"/>
      <c r="AT429" s="798"/>
      <c r="AU429" s="798"/>
      <c r="AV429" s="798"/>
      <c r="AW429" s="798"/>
      <c r="AX429" s="798"/>
      <c r="AY429" s="798"/>
      <c r="AZ429" s="798"/>
      <c r="BA429" s="798"/>
      <c r="BB429" s="798"/>
      <c r="BC429" s="798"/>
      <c r="BD429" s="798"/>
      <c r="BE429" s="798"/>
      <c r="BF429" s="798"/>
      <c r="BG429" s="798"/>
      <c r="BH429" s="798"/>
      <c r="BI429" s="798"/>
      <c r="BJ429" s="798"/>
      <c r="BK429" s="798"/>
      <c r="BL429" s="798"/>
      <c r="BM429" s="798"/>
      <c r="BN429" s="798"/>
      <c r="BO429" s="798"/>
      <c r="BP429" s="798"/>
      <c r="BQ429" s="798"/>
      <c r="BR429" s="798"/>
      <c r="BS429" s="798"/>
      <c r="BT429" s="798"/>
      <c r="BU429" s="798"/>
      <c r="BV429" s="798"/>
      <c r="BW429" s="798"/>
      <c r="BX429" s="798"/>
      <c r="BY429" s="798"/>
      <c r="BZ429" s="798"/>
      <c r="CA429" s="798"/>
      <c r="CB429" s="798"/>
      <c r="CC429" s="798"/>
      <c r="CD429" s="798"/>
      <c r="CE429" s="798"/>
      <c r="CF429" s="798"/>
      <c r="CG429" s="798"/>
      <c r="CH429" s="798"/>
      <c r="CI429" s="798"/>
      <c r="CJ429" s="798"/>
      <c r="CK429" s="798"/>
      <c r="CL429" s="798"/>
      <c r="CM429" s="798"/>
      <c r="CN429" s="798"/>
      <c r="CO429" s="798"/>
      <c r="CP429" s="798"/>
      <c r="CQ429" s="798"/>
      <c r="CR429" s="798"/>
      <c r="CS429" s="798"/>
      <c r="CT429" s="798"/>
      <c r="CU429" s="798"/>
      <c r="CV429" s="798"/>
      <c r="CW429" s="798"/>
      <c r="CX429" s="798"/>
      <c r="CY429" s="798"/>
      <c r="CZ429" s="798"/>
      <c r="DA429" s="798"/>
      <c r="DB429" s="798"/>
      <c r="DC429" s="798"/>
      <c r="DD429" s="798"/>
      <c r="DE429" s="798"/>
      <c r="DF429" s="798"/>
      <c r="DG429" s="798"/>
      <c r="DH429" s="798"/>
      <c r="DI429" s="798"/>
      <c r="DJ429" s="798"/>
      <c r="DK429" s="798"/>
      <c r="DL429" s="798"/>
      <c r="DM429" s="798"/>
      <c r="DN429" s="798"/>
      <c r="DO429" s="798"/>
      <c r="DP429" s="798"/>
      <c r="DQ429" s="798"/>
      <c r="DR429" s="798"/>
      <c r="DS429" s="798"/>
      <c r="DT429" s="798"/>
      <c r="DU429" s="798"/>
      <c r="DV429" s="798"/>
      <c r="DW429" s="798"/>
      <c r="DX429" s="798"/>
      <c r="DY429" s="798"/>
      <c r="DZ429" s="798"/>
      <c r="EA429" s="798"/>
      <c r="EB429" s="798"/>
      <c r="EC429" s="798"/>
      <c r="ED429" s="798"/>
      <c r="EE429" s="798"/>
      <c r="EF429" s="798"/>
      <c r="EG429" s="798"/>
      <c r="EH429" s="782"/>
    </row>
    <row r="430" spans="1:138" ht="12.75" customHeight="1" x14ac:dyDescent="0.3">
      <c r="A430" s="782"/>
      <c r="B430" s="782" t="s">
        <v>155</v>
      </c>
      <c r="C430" s="1385"/>
      <c r="D430" s="782"/>
      <c r="E430" s="798"/>
      <c r="F430" s="798"/>
      <c r="G430" s="798"/>
      <c r="H430" s="798"/>
      <c r="I430" s="798"/>
      <c r="J430" s="798"/>
      <c r="K430" s="798"/>
      <c r="L430" s="798"/>
      <c r="M430" s="798"/>
      <c r="N430" s="798"/>
      <c r="O430" s="798"/>
      <c r="P430" s="798"/>
      <c r="Q430" s="798"/>
      <c r="R430" s="798"/>
      <c r="S430" s="798"/>
      <c r="T430" s="798"/>
      <c r="U430" s="798"/>
      <c r="V430" s="798"/>
      <c r="W430" s="798"/>
      <c r="X430" s="798"/>
      <c r="Y430" s="798"/>
      <c r="Z430" s="798"/>
      <c r="AA430" s="798"/>
      <c r="AB430" s="798"/>
      <c r="AC430" s="798"/>
      <c r="AD430" s="798"/>
      <c r="AE430" s="798"/>
      <c r="AF430" s="798"/>
      <c r="AG430" s="798"/>
      <c r="AH430" s="798"/>
      <c r="AI430" s="798"/>
      <c r="AJ430" s="798"/>
      <c r="AK430" s="798"/>
      <c r="AL430" s="798"/>
      <c r="AM430" s="798"/>
      <c r="AN430" s="798"/>
      <c r="AO430" s="798"/>
      <c r="AP430" s="798"/>
      <c r="AQ430" s="798"/>
      <c r="AR430" s="798"/>
      <c r="AS430" s="798"/>
      <c r="AT430" s="798"/>
      <c r="AU430" s="798"/>
      <c r="AV430" s="798"/>
      <c r="AW430" s="798"/>
      <c r="AX430" s="798"/>
      <c r="AY430" s="798"/>
      <c r="AZ430" s="798"/>
      <c r="BA430" s="798"/>
      <c r="BB430" s="798"/>
      <c r="BC430" s="798"/>
      <c r="BD430" s="798"/>
      <c r="BE430" s="798"/>
      <c r="BF430" s="798"/>
      <c r="BG430" s="798"/>
      <c r="BH430" s="798"/>
      <c r="BI430" s="798"/>
      <c r="BJ430" s="798"/>
      <c r="BK430" s="798"/>
      <c r="BL430" s="798"/>
      <c r="BM430" s="798"/>
      <c r="BN430" s="798"/>
      <c r="BO430" s="798"/>
      <c r="BP430" s="798"/>
      <c r="BQ430" s="798"/>
      <c r="BR430" s="798"/>
      <c r="BS430" s="798"/>
      <c r="BT430" s="798"/>
      <c r="BU430" s="798"/>
      <c r="BV430" s="798"/>
      <c r="BW430" s="798"/>
      <c r="BX430" s="798"/>
      <c r="BY430" s="798"/>
      <c r="BZ430" s="798"/>
      <c r="CA430" s="798"/>
      <c r="CB430" s="798"/>
      <c r="CC430" s="798"/>
      <c r="CD430" s="798"/>
      <c r="CE430" s="798"/>
      <c r="CF430" s="798"/>
      <c r="CG430" s="798"/>
      <c r="CH430" s="798"/>
      <c r="CI430" s="798"/>
      <c r="CJ430" s="798"/>
      <c r="CK430" s="798"/>
      <c r="CL430" s="798"/>
      <c r="CM430" s="798"/>
      <c r="CN430" s="798"/>
      <c r="CO430" s="798"/>
      <c r="CP430" s="798"/>
      <c r="CQ430" s="798"/>
      <c r="CR430" s="798"/>
      <c r="CS430" s="798"/>
      <c r="CT430" s="798"/>
      <c r="CU430" s="798"/>
      <c r="CV430" s="798"/>
      <c r="CW430" s="798"/>
      <c r="CX430" s="798"/>
      <c r="CY430" s="798"/>
      <c r="CZ430" s="798"/>
      <c r="DA430" s="798"/>
      <c r="DB430" s="798"/>
      <c r="DC430" s="798"/>
      <c r="DD430" s="798"/>
      <c r="DE430" s="798"/>
      <c r="DF430" s="798"/>
      <c r="DG430" s="798"/>
      <c r="DH430" s="798"/>
      <c r="DI430" s="798"/>
      <c r="DJ430" s="798"/>
      <c r="DK430" s="798"/>
      <c r="DL430" s="798"/>
      <c r="DM430" s="798"/>
      <c r="DN430" s="798"/>
      <c r="DO430" s="798"/>
      <c r="DP430" s="798"/>
      <c r="DQ430" s="798"/>
      <c r="DR430" s="798"/>
      <c r="DS430" s="798"/>
      <c r="DT430" s="798"/>
      <c r="DU430" s="798"/>
      <c r="DV430" s="798"/>
      <c r="DW430" s="798"/>
      <c r="DX430" s="798"/>
      <c r="DY430" s="798"/>
      <c r="DZ430" s="798"/>
      <c r="EA430" s="798"/>
      <c r="EB430" s="798"/>
      <c r="EC430" s="798"/>
      <c r="ED430" s="798"/>
      <c r="EE430" s="798"/>
      <c r="EF430" s="798"/>
      <c r="EG430" s="798"/>
      <c r="EH430" s="782"/>
    </row>
    <row r="431" spans="1:138" ht="12.75" customHeight="1" x14ac:dyDescent="0.3">
      <c r="A431" s="782"/>
      <c r="B431" s="782" t="s">
        <v>342</v>
      </c>
      <c r="C431" s="1385">
        <f>+C393+C412</f>
        <v>6868726.7816661661</v>
      </c>
      <c r="D431" s="782"/>
      <c r="E431" s="798"/>
      <c r="F431" s="798"/>
      <c r="G431" s="798"/>
      <c r="H431" s="798"/>
      <c r="I431" s="798"/>
      <c r="J431" s="798"/>
      <c r="K431" s="798"/>
      <c r="L431" s="798"/>
      <c r="M431" s="798"/>
      <c r="N431" s="798"/>
      <c r="O431" s="798"/>
      <c r="P431" s="798"/>
      <c r="Q431" s="798"/>
      <c r="R431" s="798"/>
      <c r="S431" s="798"/>
      <c r="T431" s="798"/>
      <c r="U431" s="798"/>
      <c r="V431" s="798"/>
      <c r="W431" s="798"/>
      <c r="X431" s="798"/>
      <c r="Y431" s="798"/>
      <c r="Z431" s="798"/>
      <c r="AA431" s="798"/>
      <c r="AB431" s="798"/>
      <c r="AC431" s="798"/>
      <c r="AD431" s="798"/>
      <c r="AE431" s="798"/>
      <c r="AF431" s="798"/>
      <c r="AG431" s="798"/>
      <c r="AH431" s="798"/>
      <c r="AI431" s="798"/>
      <c r="AJ431" s="798"/>
      <c r="AK431" s="798"/>
      <c r="AL431" s="798"/>
      <c r="AM431" s="798"/>
      <c r="AN431" s="798"/>
      <c r="AO431" s="798"/>
      <c r="AP431" s="798"/>
      <c r="AQ431" s="798"/>
      <c r="AR431" s="798"/>
      <c r="AS431" s="798"/>
      <c r="AT431" s="798"/>
      <c r="AU431" s="798"/>
      <c r="AV431" s="798"/>
      <c r="AW431" s="798"/>
      <c r="AX431" s="798"/>
      <c r="AY431" s="798"/>
      <c r="AZ431" s="798"/>
      <c r="BA431" s="798"/>
      <c r="BB431" s="798"/>
      <c r="BC431" s="798"/>
      <c r="BD431" s="798"/>
      <c r="BE431" s="798"/>
      <c r="BF431" s="798"/>
      <c r="BG431" s="798"/>
      <c r="BH431" s="798"/>
      <c r="BI431" s="798"/>
      <c r="BJ431" s="798"/>
      <c r="BK431" s="798"/>
      <c r="BL431" s="798"/>
      <c r="BM431" s="798"/>
      <c r="BN431" s="798"/>
      <c r="BO431" s="798"/>
      <c r="BP431" s="798"/>
      <c r="BQ431" s="798"/>
      <c r="BR431" s="798"/>
      <c r="BS431" s="798"/>
      <c r="BT431" s="798"/>
      <c r="BU431" s="798"/>
      <c r="BV431" s="798"/>
      <c r="BW431" s="798"/>
      <c r="BX431" s="798"/>
      <c r="BY431" s="798"/>
      <c r="BZ431" s="798"/>
      <c r="CA431" s="798"/>
      <c r="CB431" s="798"/>
      <c r="CC431" s="798"/>
      <c r="CD431" s="798"/>
      <c r="CE431" s="798"/>
      <c r="CF431" s="798"/>
      <c r="CG431" s="798"/>
      <c r="CH431" s="798"/>
      <c r="CI431" s="798"/>
      <c r="CJ431" s="798"/>
      <c r="CK431" s="798"/>
      <c r="CL431" s="798"/>
      <c r="CM431" s="798"/>
      <c r="CN431" s="798"/>
      <c r="CO431" s="798"/>
      <c r="CP431" s="798"/>
      <c r="CQ431" s="798"/>
      <c r="CR431" s="798"/>
      <c r="CS431" s="798"/>
      <c r="CT431" s="798"/>
      <c r="CU431" s="798"/>
      <c r="CV431" s="798"/>
      <c r="CW431" s="798"/>
      <c r="CX431" s="798"/>
      <c r="CY431" s="798"/>
      <c r="CZ431" s="798"/>
      <c r="DA431" s="798"/>
      <c r="DB431" s="798"/>
      <c r="DC431" s="798"/>
      <c r="DD431" s="798"/>
      <c r="DE431" s="798"/>
      <c r="DF431" s="798"/>
      <c r="DG431" s="798"/>
      <c r="DH431" s="798"/>
      <c r="DI431" s="798"/>
      <c r="DJ431" s="798"/>
      <c r="DK431" s="798"/>
      <c r="DL431" s="798"/>
      <c r="DM431" s="798"/>
      <c r="DN431" s="798"/>
      <c r="DO431" s="798"/>
      <c r="DP431" s="798"/>
      <c r="DQ431" s="798"/>
      <c r="DR431" s="798"/>
      <c r="DS431" s="798"/>
      <c r="DT431" s="798"/>
      <c r="DU431" s="798"/>
      <c r="DV431" s="798"/>
      <c r="DW431" s="798"/>
      <c r="DX431" s="798"/>
      <c r="DY431" s="798"/>
      <c r="DZ431" s="798"/>
      <c r="EA431" s="798"/>
      <c r="EB431" s="798"/>
      <c r="EC431" s="798"/>
      <c r="ED431" s="798"/>
      <c r="EE431" s="798"/>
      <c r="EF431" s="798"/>
      <c r="EG431" s="798"/>
      <c r="EH431" s="782"/>
    </row>
    <row r="432" spans="1:138" ht="12.75" customHeight="1" x14ac:dyDescent="0.3">
      <c r="A432" s="782"/>
      <c r="B432" s="1382" t="s">
        <v>343</v>
      </c>
      <c r="C432" s="1386"/>
      <c r="D432" s="782"/>
      <c r="E432" s="798"/>
      <c r="F432" s="798"/>
      <c r="G432" s="798"/>
      <c r="H432" s="798"/>
      <c r="I432" s="798"/>
      <c r="J432" s="798"/>
      <c r="K432" s="798"/>
      <c r="L432" s="798"/>
      <c r="M432" s="798"/>
      <c r="N432" s="798"/>
      <c r="O432" s="798"/>
      <c r="P432" s="798"/>
      <c r="Q432" s="798"/>
      <c r="R432" s="798"/>
      <c r="S432" s="798"/>
      <c r="T432" s="798"/>
      <c r="U432" s="798"/>
      <c r="V432" s="798"/>
      <c r="W432" s="798"/>
      <c r="X432" s="798"/>
      <c r="Y432" s="798"/>
      <c r="Z432" s="798"/>
      <c r="AA432" s="798"/>
      <c r="AB432" s="798"/>
      <c r="AC432" s="798"/>
      <c r="AD432" s="798"/>
      <c r="AE432" s="798"/>
      <c r="AF432" s="798"/>
      <c r="AG432" s="798"/>
      <c r="AH432" s="798"/>
      <c r="AI432" s="798"/>
      <c r="AJ432" s="798"/>
      <c r="AK432" s="798"/>
      <c r="AL432" s="798"/>
      <c r="AM432" s="798"/>
      <c r="AN432" s="798"/>
      <c r="AO432" s="798"/>
      <c r="AP432" s="798"/>
      <c r="AQ432" s="798"/>
      <c r="AR432" s="798"/>
      <c r="AS432" s="798"/>
      <c r="AT432" s="798"/>
      <c r="AU432" s="798"/>
      <c r="AV432" s="798"/>
      <c r="AW432" s="798"/>
      <c r="AX432" s="798"/>
      <c r="AY432" s="798"/>
      <c r="AZ432" s="798"/>
      <c r="BA432" s="798"/>
      <c r="BB432" s="798"/>
      <c r="BC432" s="798"/>
      <c r="BD432" s="798"/>
      <c r="BE432" s="798"/>
      <c r="BF432" s="798"/>
      <c r="BG432" s="798"/>
      <c r="BH432" s="798"/>
      <c r="BI432" s="798"/>
      <c r="BJ432" s="798"/>
      <c r="BK432" s="798"/>
      <c r="BL432" s="798"/>
      <c r="BM432" s="798"/>
      <c r="BN432" s="798"/>
      <c r="BO432" s="798"/>
      <c r="BP432" s="798"/>
      <c r="BQ432" s="798"/>
      <c r="BR432" s="798"/>
      <c r="BS432" s="798"/>
      <c r="BT432" s="798"/>
      <c r="BU432" s="798"/>
      <c r="BV432" s="798"/>
      <c r="BW432" s="798"/>
      <c r="BX432" s="798"/>
      <c r="BY432" s="798"/>
      <c r="BZ432" s="798"/>
      <c r="CA432" s="798"/>
      <c r="CB432" s="798"/>
      <c r="CC432" s="798"/>
      <c r="CD432" s="798"/>
      <c r="CE432" s="798"/>
      <c r="CF432" s="798"/>
      <c r="CG432" s="798"/>
      <c r="CH432" s="798"/>
      <c r="CI432" s="798"/>
      <c r="CJ432" s="798"/>
      <c r="CK432" s="798"/>
      <c r="CL432" s="798"/>
      <c r="CM432" s="798"/>
      <c r="CN432" s="798"/>
      <c r="CO432" s="798"/>
      <c r="CP432" s="798"/>
      <c r="CQ432" s="798"/>
      <c r="CR432" s="798"/>
      <c r="CS432" s="798"/>
      <c r="CT432" s="798"/>
      <c r="CU432" s="798"/>
      <c r="CV432" s="798"/>
      <c r="CW432" s="798"/>
      <c r="CX432" s="798"/>
      <c r="CY432" s="798"/>
      <c r="CZ432" s="798"/>
      <c r="DA432" s="798"/>
      <c r="DB432" s="798"/>
      <c r="DC432" s="798"/>
      <c r="DD432" s="798"/>
      <c r="DE432" s="798"/>
      <c r="DF432" s="798"/>
      <c r="DG432" s="798"/>
      <c r="DH432" s="798"/>
      <c r="DI432" s="798"/>
      <c r="DJ432" s="798"/>
      <c r="DK432" s="798"/>
      <c r="DL432" s="798"/>
      <c r="DM432" s="798"/>
      <c r="DN432" s="798"/>
      <c r="DO432" s="798"/>
      <c r="DP432" s="798"/>
      <c r="DQ432" s="798"/>
      <c r="DR432" s="798"/>
      <c r="DS432" s="798"/>
      <c r="DT432" s="798"/>
      <c r="DU432" s="798"/>
      <c r="DV432" s="798"/>
      <c r="DW432" s="798"/>
      <c r="DX432" s="798"/>
      <c r="DY432" s="798"/>
      <c r="DZ432" s="798"/>
      <c r="EA432" s="798"/>
      <c r="EB432" s="798"/>
      <c r="EC432" s="798"/>
      <c r="ED432" s="798"/>
      <c r="EE432" s="798"/>
      <c r="EF432" s="798"/>
      <c r="EG432" s="798"/>
      <c r="EH432" s="782"/>
    </row>
    <row r="433" spans="1:138" ht="12.75" customHeight="1" x14ac:dyDescent="0.3">
      <c r="A433" s="782"/>
      <c r="B433" s="782" t="s">
        <v>344</v>
      </c>
      <c r="C433" s="838">
        <f>SUM(E433:EG433)</f>
        <v>13837355.814112458</v>
      </c>
      <c r="D433" s="782"/>
      <c r="E433" s="798">
        <f>+E414+E395</f>
        <v>-483915.44493817433</v>
      </c>
      <c r="F433" s="798">
        <f t="shared" ref="F433:BQ433" si="312">+F414+F395</f>
        <v>-3786953.2655157587</v>
      </c>
      <c r="G433" s="798">
        <f t="shared" si="312"/>
        <v>-122383.00238745508</v>
      </c>
      <c r="H433" s="798">
        <f t="shared" si="312"/>
        <v>-184043.42845892053</v>
      </c>
      <c r="I433" s="798">
        <f t="shared" si="312"/>
        <v>-310171.79143582279</v>
      </c>
      <c r="J433" s="798">
        <f t="shared" si="312"/>
        <v>-504010.4902365295</v>
      </c>
      <c r="K433" s="798">
        <f t="shared" si="312"/>
        <v>-518817.66635737661</v>
      </c>
      <c r="L433" s="798">
        <f t="shared" si="312"/>
        <v>-660232.93274344527</v>
      </c>
      <c r="M433" s="798">
        <f t="shared" si="312"/>
        <v>-782640.92400840519</v>
      </c>
      <c r="N433" s="798">
        <f t="shared" si="312"/>
        <v>-915691.56200147828</v>
      </c>
      <c r="O433" s="798">
        <f t="shared" si="312"/>
        <v>-521913.00791343622</v>
      </c>
      <c r="P433" s="798">
        <f t="shared" si="312"/>
        <v>-5040.6178655354588</v>
      </c>
      <c r="Q433" s="798">
        <f t="shared" si="312"/>
        <v>-5362.5895044022855</v>
      </c>
      <c r="R433" s="798">
        <f t="shared" si="312"/>
        <v>-5688.7504126991989</v>
      </c>
      <c r="S433" s="798">
        <f t="shared" si="312"/>
        <v>-6018.1414979570554</v>
      </c>
      <c r="T433" s="798">
        <f t="shared" si="312"/>
        <v>-6325.8928431823751</v>
      </c>
      <c r="U433" s="798">
        <f t="shared" si="312"/>
        <v>-6624.7690663671392</v>
      </c>
      <c r="V433" s="798">
        <f t="shared" si="312"/>
        <v>-6901.3517109368104</v>
      </c>
      <c r="W433" s="798">
        <f t="shared" si="312"/>
        <v>-7149.9715330838571</v>
      </c>
      <c r="X433" s="798">
        <f t="shared" si="312"/>
        <v>-7397.2940424782037</v>
      </c>
      <c r="Y433" s="798">
        <f t="shared" si="312"/>
        <v>-7624.2569287229198</v>
      </c>
      <c r="Z433" s="798">
        <f t="shared" si="312"/>
        <v>-7815.2412370074708</v>
      </c>
      <c r="AA433" s="798">
        <f t="shared" si="312"/>
        <v>-7977.9707649382999</v>
      </c>
      <c r="AB433" s="798">
        <f t="shared" si="312"/>
        <v>-8113.2463940009302</v>
      </c>
      <c r="AC433" s="798">
        <f t="shared" si="312"/>
        <v>2779.9493693994978</v>
      </c>
      <c r="AD433" s="798">
        <f t="shared" si="312"/>
        <v>12720.670173259716</v>
      </c>
      <c r="AE433" s="798">
        <f t="shared" si="312"/>
        <v>24075.911879032577</v>
      </c>
      <c r="AF433" s="798">
        <f t="shared" si="312"/>
        <v>46345.96744998049</v>
      </c>
      <c r="AG433" s="798">
        <f t="shared" si="312"/>
        <v>47253.906521291196</v>
      </c>
      <c r="AH433" s="798">
        <f t="shared" si="312"/>
        <v>47578.390606789268</v>
      </c>
      <c r="AI433" s="798">
        <f t="shared" si="312"/>
        <v>105733.24885003014</v>
      </c>
      <c r="AJ433" s="798">
        <f t="shared" si="312"/>
        <v>106377.8967827451</v>
      </c>
      <c r="AK433" s="798">
        <f t="shared" si="312"/>
        <v>-1719533.029467253</v>
      </c>
      <c r="AL433" s="798">
        <f t="shared" si="312"/>
        <v>3564567.0507463925</v>
      </c>
      <c r="AM433" s="798">
        <f t="shared" si="312"/>
        <v>51118.043169230485</v>
      </c>
      <c r="AN433" s="798">
        <f t="shared" si="312"/>
        <v>51740.557655685509</v>
      </c>
      <c r="AO433" s="798">
        <f t="shared" si="312"/>
        <v>52354.76555389024</v>
      </c>
      <c r="AP433" s="798">
        <f t="shared" si="312"/>
        <v>52759.5292755474</v>
      </c>
      <c r="AQ433" s="798">
        <f t="shared" si="312"/>
        <v>53581.814971616812</v>
      </c>
      <c r="AR433" s="798">
        <f t="shared" si="312"/>
        <v>54285.222463395534</v>
      </c>
      <c r="AS433" s="798">
        <f t="shared" si="312"/>
        <v>53082.088140600084</v>
      </c>
      <c r="AT433" s="798">
        <f t="shared" si="312"/>
        <v>53477.732146181341</v>
      </c>
      <c r="AU433" s="798">
        <f t="shared" si="312"/>
        <v>53849.850685591598</v>
      </c>
      <c r="AV433" s="798">
        <f t="shared" si="312"/>
        <v>54410.382917036797</v>
      </c>
      <c r="AW433" s="798">
        <f t="shared" si="312"/>
        <v>54948.309953544573</v>
      </c>
      <c r="AX433" s="798">
        <f t="shared" si="312"/>
        <v>55454.929898542294</v>
      </c>
      <c r="AY433" s="798">
        <f t="shared" si="312"/>
        <v>55941.766094840903</v>
      </c>
      <c r="AZ433" s="798">
        <f t="shared" si="312"/>
        <v>56410.58213378756</v>
      </c>
      <c r="BA433" s="798">
        <f t="shared" si="312"/>
        <v>56847.908391238874</v>
      </c>
      <c r="BB433" s="798">
        <f t="shared" si="312"/>
        <v>57106.903266163376</v>
      </c>
      <c r="BC433" s="798">
        <f t="shared" si="312"/>
        <v>57653.985151406443</v>
      </c>
      <c r="BD433" s="798">
        <f t="shared" si="312"/>
        <v>58096.109295453731</v>
      </c>
      <c r="BE433" s="798">
        <f t="shared" si="312"/>
        <v>57024.27892994968</v>
      </c>
      <c r="BF433" s="798">
        <f t="shared" si="312"/>
        <v>57248.003568463238</v>
      </c>
      <c r="BG433" s="798">
        <f t="shared" si="312"/>
        <v>57472.632914289381</v>
      </c>
      <c r="BH433" s="798">
        <f t="shared" si="312"/>
        <v>57854.064294020442</v>
      </c>
      <c r="BI433" s="798">
        <f t="shared" si="312"/>
        <v>58241.704206363218</v>
      </c>
      <c r="BJ433" s="798">
        <f t="shared" si="312"/>
        <v>58650.940942040164</v>
      </c>
      <c r="BK433" s="798">
        <f t="shared" si="312"/>
        <v>59078.363686548939</v>
      </c>
      <c r="BL433" s="798">
        <f t="shared" si="312"/>
        <v>59508.901805101923</v>
      </c>
      <c r="BM433" s="798">
        <f t="shared" si="312"/>
        <v>59961.992189855642</v>
      </c>
      <c r="BN433" s="798">
        <f t="shared" si="312"/>
        <v>60258.584300880553</v>
      </c>
      <c r="BO433" s="798">
        <f t="shared" si="312"/>
        <v>60912.199368235939</v>
      </c>
      <c r="BP433" s="798">
        <f t="shared" si="312"/>
        <v>61483.588424041656</v>
      </c>
      <c r="BQ433" s="798">
        <f t="shared" si="312"/>
        <v>60440.580172344286</v>
      </c>
      <c r="BR433" s="798">
        <f t="shared" ref="BR433:EC433" si="313">+BR414+BR395</f>
        <v>60764.457774298578</v>
      </c>
      <c r="BS433" s="798">
        <f t="shared" si="313"/>
        <v>61082.974342596382</v>
      </c>
      <c r="BT433" s="798">
        <f t="shared" si="313"/>
        <v>61596.902067002826</v>
      </c>
      <c r="BU433" s="798">
        <f t="shared" si="313"/>
        <v>62104.328229873005</v>
      </c>
      <c r="BV433" s="798">
        <f t="shared" si="313"/>
        <v>62618.350828629722</v>
      </c>
      <c r="BW433" s="798">
        <f t="shared" si="313"/>
        <v>63140.645051268155</v>
      </c>
      <c r="BX433" s="798">
        <f t="shared" si="313"/>
        <v>63659.559468597014</v>
      </c>
      <c r="BY433" s="798">
        <f t="shared" si="313"/>
        <v>64187.359276739393</v>
      </c>
      <c r="BZ433" s="798">
        <f t="shared" si="313"/>
        <v>64523.503876671246</v>
      </c>
      <c r="CA433" s="798">
        <f t="shared" si="313"/>
        <v>65248.973097866416</v>
      </c>
      <c r="CB433" s="798">
        <f t="shared" si="313"/>
        <v>65877.652922417779</v>
      </c>
      <c r="CC433" s="798">
        <f t="shared" si="313"/>
        <v>64823.322065180757</v>
      </c>
      <c r="CD433" s="798">
        <f t="shared" si="313"/>
        <v>65179.802492313131</v>
      </c>
      <c r="CE433" s="798">
        <f t="shared" si="313"/>
        <v>65529.18034053038</v>
      </c>
      <c r="CF433" s="798">
        <f t="shared" si="313"/>
        <v>66078.15670294741</v>
      </c>
      <c r="CG433" s="798">
        <f t="shared" si="313"/>
        <v>66624.891731683936</v>
      </c>
      <c r="CH433" s="798">
        <f t="shared" si="313"/>
        <v>67176.65340204323</v>
      </c>
      <c r="CI433" s="798">
        <f t="shared" si="313"/>
        <v>67723.337481764102</v>
      </c>
      <c r="CJ433" s="798">
        <f t="shared" si="313"/>
        <v>68278.280413368659</v>
      </c>
      <c r="CK433" s="798">
        <f t="shared" si="313"/>
        <v>68841.373035966724</v>
      </c>
      <c r="CL433" s="798">
        <f t="shared" si="313"/>
        <v>69199.643051622566</v>
      </c>
      <c r="CM433" s="798">
        <f t="shared" si="313"/>
        <v>69961.838888977407</v>
      </c>
      <c r="CN433" s="798">
        <f t="shared" si="313"/>
        <v>70619.239091608659</v>
      </c>
      <c r="CO433" s="798">
        <f t="shared" si="313"/>
        <v>69539.006076998921</v>
      </c>
      <c r="CP433" s="798">
        <f t="shared" si="313"/>
        <v>69911.96390723795</v>
      </c>
      <c r="CQ433" s="798">
        <f t="shared" si="313"/>
        <v>70277.626235027958</v>
      </c>
      <c r="CR433" s="798">
        <f t="shared" si="313"/>
        <v>70844.551586478279</v>
      </c>
      <c r="CS433" s="798">
        <f t="shared" si="313"/>
        <v>71416.712499302535</v>
      </c>
      <c r="CT433" s="798">
        <f t="shared" si="313"/>
        <v>71997.450750941411</v>
      </c>
      <c r="CU433" s="798">
        <f t="shared" si="313"/>
        <v>72571.427044995085</v>
      </c>
      <c r="CV433" s="798">
        <f t="shared" si="313"/>
        <v>73151.145317324161</v>
      </c>
      <c r="CW433" s="798">
        <f t="shared" si="313"/>
        <v>16652462.835980743</v>
      </c>
      <c r="CX433" s="798">
        <f t="shared" si="313"/>
        <v>0</v>
      </c>
      <c r="CY433" s="798">
        <f t="shared" si="313"/>
        <v>0</v>
      </c>
      <c r="CZ433" s="798">
        <f t="shared" si="313"/>
        <v>0</v>
      </c>
      <c r="DA433" s="798">
        <f t="shared" si="313"/>
        <v>0</v>
      </c>
      <c r="DB433" s="798">
        <f t="shared" si="313"/>
        <v>0</v>
      </c>
      <c r="DC433" s="798">
        <f t="shared" si="313"/>
        <v>0</v>
      </c>
      <c r="DD433" s="798">
        <f t="shared" si="313"/>
        <v>0</v>
      </c>
      <c r="DE433" s="798">
        <f t="shared" si="313"/>
        <v>0</v>
      </c>
      <c r="DF433" s="798">
        <f t="shared" si="313"/>
        <v>0</v>
      </c>
      <c r="DG433" s="798">
        <f t="shared" si="313"/>
        <v>0</v>
      </c>
      <c r="DH433" s="798">
        <f t="shared" si="313"/>
        <v>0</v>
      </c>
      <c r="DI433" s="798">
        <f t="shared" si="313"/>
        <v>0</v>
      </c>
      <c r="DJ433" s="798">
        <f t="shared" si="313"/>
        <v>0</v>
      </c>
      <c r="DK433" s="798">
        <f t="shared" si="313"/>
        <v>0</v>
      </c>
      <c r="DL433" s="798">
        <f t="shared" si="313"/>
        <v>0</v>
      </c>
      <c r="DM433" s="798">
        <f t="shared" si="313"/>
        <v>0</v>
      </c>
      <c r="DN433" s="798">
        <f t="shared" si="313"/>
        <v>0</v>
      </c>
      <c r="DO433" s="798">
        <f t="shared" si="313"/>
        <v>0</v>
      </c>
      <c r="DP433" s="798">
        <f t="shared" si="313"/>
        <v>0</v>
      </c>
      <c r="DQ433" s="798">
        <f t="shared" si="313"/>
        <v>0</v>
      </c>
      <c r="DR433" s="798">
        <f t="shared" si="313"/>
        <v>0</v>
      </c>
      <c r="DS433" s="798">
        <f t="shared" si="313"/>
        <v>0</v>
      </c>
      <c r="DT433" s="798">
        <f t="shared" si="313"/>
        <v>0</v>
      </c>
      <c r="DU433" s="798">
        <f t="shared" si="313"/>
        <v>0</v>
      </c>
      <c r="DV433" s="798">
        <f t="shared" si="313"/>
        <v>0</v>
      </c>
      <c r="DW433" s="798">
        <f t="shared" si="313"/>
        <v>0</v>
      </c>
      <c r="DX433" s="798">
        <f t="shared" si="313"/>
        <v>0</v>
      </c>
      <c r="DY433" s="798">
        <f t="shared" si="313"/>
        <v>0</v>
      </c>
      <c r="DZ433" s="798">
        <f t="shared" si="313"/>
        <v>0</v>
      </c>
      <c r="EA433" s="798">
        <f t="shared" si="313"/>
        <v>0</v>
      </c>
      <c r="EB433" s="798">
        <f t="shared" si="313"/>
        <v>0</v>
      </c>
      <c r="EC433" s="798">
        <f t="shared" si="313"/>
        <v>0</v>
      </c>
      <c r="ED433" s="798">
        <f>+ED414+ED395</f>
        <v>0</v>
      </c>
      <c r="EE433" s="798">
        <f>+EE414+EE395</f>
        <v>0</v>
      </c>
      <c r="EF433" s="798">
        <f>+EF414+EF395</f>
        <v>0</v>
      </c>
      <c r="EG433" s="798">
        <f>+EG414+EG395</f>
        <v>0</v>
      </c>
      <c r="EH433" s="782"/>
    </row>
    <row r="434" spans="1:138" ht="12.75" customHeight="1" x14ac:dyDescent="0.3">
      <c r="A434" s="782"/>
      <c r="B434" s="833" t="s">
        <v>195</v>
      </c>
      <c r="C434" s="834">
        <f>XIRR(OFFSET(E433,0,$C$141):EG433,OFFSET($E$4,0,$C$141):$EG$4)</f>
        <v>0.15662302374839784</v>
      </c>
      <c r="D434" s="782"/>
      <c r="E434" s="798"/>
      <c r="F434" s="798"/>
      <c r="G434" s="798"/>
      <c r="H434" s="798"/>
      <c r="I434" s="798"/>
      <c r="J434" s="798"/>
      <c r="K434" s="798"/>
      <c r="L434" s="798"/>
      <c r="M434" s="798"/>
      <c r="N434" s="798"/>
      <c r="O434" s="798"/>
      <c r="P434" s="798"/>
      <c r="Q434" s="798"/>
      <c r="R434" s="798"/>
      <c r="S434" s="798"/>
      <c r="T434" s="798"/>
      <c r="U434" s="798"/>
      <c r="V434" s="798"/>
      <c r="W434" s="798"/>
      <c r="X434" s="798"/>
      <c r="Y434" s="798"/>
      <c r="Z434" s="798"/>
      <c r="AA434" s="798"/>
      <c r="AB434" s="798"/>
      <c r="AC434" s="798"/>
      <c r="AD434" s="798"/>
      <c r="AE434" s="798"/>
      <c r="AF434" s="798"/>
      <c r="AG434" s="798"/>
      <c r="AH434" s="798"/>
      <c r="AI434" s="798"/>
      <c r="AJ434" s="798"/>
      <c r="AK434" s="798"/>
      <c r="AL434" s="798"/>
      <c r="AM434" s="798"/>
      <c r="AN434" s="798"/>
      <c r="AO434" s="798"/>
      <c r="AP434" s="798"/>
      <c r="AQ434" s="798"/>
      <c r="AR434" s="798"/>
      <c r="AS434" s="798"/>
      <c r="AT434" s="798"/>
      <c r="AU434" s="798"/>
      <c r="AV434" s="798"/>
      <c r="AW434" s="798"/>
      <c r="AX434" s="798"/>
      <c r="AY434" s="798"/>
      <c r="AZ434" s="798"/>
      <c r="BA434" s="798"/>
      <c r="BB434" s="798"/>
      <c r="BC434" s="798"/>
      <c r="BD434" s="798"/>
      <c r="BE434" s="798"/>
      <c r="BF434" s="798"/>
      <c r="BG434" s="798"/>
      <c r="BH434" s="798"/>
      <c r="BI434" s="798"/>
      <c r="BJ434" s="798"/>
      <c r="BK434" s="798"/>
      <c r="BL434" s="798"/>
      <c r="BM434" s="798"/>
      <c r="BN434" s="798"/>
      <c r="BO434" s="798"/>
      <c r="BP434" s="798"/>
      <c r="BQ434" s="798"/>
      <c r="BR434" s="798"/>
      <c r="BS434" s="798"/>
      <c r="BT434" s="798"/>
      <c r="BU434" s="798"/>
      <c r="BV434" s="798"/>
      <c r="BW434" s="798"/>
      <c r="BX434" s="798"/>
      <c r="BY434" s="798"/>
      <c r="BZ434" s="798"/>
      <c r="CA434" s="798"/>
      <c r="CB434" s="798"/>
      <c r="CC434" s="798"/>
      <c r="CD434" s="798"/>
      <c r="CE434" s="798"/>
      <c r="CF434" s="798"/>
      <c r="CG434" s="798"/>
      <c r="CH434" s="798"/>
      <c r="CI434" s="798"/>
      <c r="CJ434" s="798"/>
      <c r="CK434" s="798"/>
      <c r="CL434" s="798"/>
      <c r="CM434" s="798"/>
      <c r="CN434" s="798"/>
      <c r="CO434" s="798"/>
      <c r="CP434" s="798"/>
      <c r="CQ434" s="798"/>
      <c r="CR434" s="798"/>
      <c r="CS434" s="798"/>
      <c r="CT434" s="798"/>
      <c r="CU434" s="798"/>
      <c r="CV434" s="798"/>
      <c r="CW434" s="798"/>
      <c r="CX434" s="798"/>
      <c r="CY434" s="798"/>
      <c r="CZ434" s="798"/>
      <c r="DA434" s="798"/>
      <c r="DB434" s="798"/>
      <c r="DC434" s="798"/>
      <c r="DD434" s="798"/>
      <c r="DE434" s="798"/>
      <c r="DF434" s="798"/>
      <c r="DG434" s="798"/>
      <c r="DH434" s="798"/>
      <c r="DI434" s="798"/>
      <c r="DJ434" s="798"/>
      <c r="DK434" s="798"/>
      <c r="DL434" s="798"/>
      <c r="DM434" s="798"/>
      <c r="DN434" s="798"/>
      <c r="DO434" s="798"/>
      <c r="DP434" s="798"/>
      <c r="DQ434" s="798"/>
      <c r="DR434" s="798"/>
      <c r="DS434" s="798"/>
      <c r="DT434" s="798"/>
      <c r="DU434" s="798"/>
      <c r="DV434" s="798"/>
      <c r="DW434" s="798"/>
      <c r="DX434" s="798"/>
      <c r="DY434" s="798"/>
      <c r="DZ434" s="798"/>
      <c r="EA434" s="798"/>
      <c r="EB434" s="798"/>
      <c r="EC434" s="798"/>
      <c r="ED434" s="798"/>
      <c r="EE434" s="798"/>
      <c r="EF434" s="798"/>
      <c r="EG434" s="798"/>
      <c r="EH434" s="782"/>
    </row>
    <row r="435" spans="1:138" ht="12.75" customHeight="1" x14ac:dyDescent="0.3">
      <c r="A435" s="782"/>
      <c r="B435" s="835" t="s">
        <v>196</v>
      </c>
      <c r="C435" s="836">
        <f>SUMIF($E$433:$EG$433,"&gt;0")/-SUMIF($E$433:$EG$433,"&lt;0")</f>
        <v>2.3056145722623405</v>
      </c>
      <c r="D435" s="782"/>
      <c r="E435" s="798"/>
      <c r="F435" s="798"/>
      <c r="G435" s="798"/>
      <c r="H435" s="798"/>
      <c r="I435" s="798"/>
      <c r="J435" s="798"/>
      <c r="K435" s="798"/>
      <c r="L435" s="798"/>
      <c r="M435" s="798"/>
      <c r="N435" s="798"/>
      <c r="O435" s="798"/>
      <c r="P435" s="798"/>
      <c r="Q435" s="798"/>
      <c r="R435" s="798"/>
      <c r="S435" s="798"/>
      <c r="T435" s="798"/>
      <c r="U435" s="798"/>
      <c r="V435" s="798"/>
      <c r="W435" s="798"/>
      <c r="X435" s="798"/>
      <c r="Y435" s="798"/>
      <c r="Z435" s="798"/>
      <c r="AA435" s="798"/>
      <c r="AB435" s="798"/>
      <c r="AC435" s="798"/>
      <c r="AD435" s="798"/>
      <c r="AE435" s="798"/>
      <c r="AF435" s="798"/>
      <c r="AG435" s="798"/>
      <c r="AH435" s="798"/>
      <c r="AI435" s="798"/>
      <c r="AJ435" s="798"/>
      <c r="AK435" s="798"/>
      <c r="AL435" s="798"/>
      <c r="AM435" s="798"/>
      <c r="AN435" s="798"/>
      <c r="AO435" s="798"/>
      <c r="AP435" s="798"/>
      <c r="AQ435" s="798"/>
      <c r="AR435" s="798"/>
      <c r="AS435" s="798"/>
      <c r="AT435" s="798"/>
      <c r="AU435" s="798"/>
      <c r="AV435" s="798"/>
      <c r="AW435" s="798"/>
      <c r="AX435" s="798"/>
      <c r="AY435" s="798"/>
      <c r="AZ435" s="798"/>
      <c r="BA435" s="798"/>
      <c r="BB435" s="798"/>
      <c r="BC435" s="798"/>
      <c r="BD435" s="798"/>
      <c r="BE435" s="798"/>
      <c r="BF435" s="798"/>
      <c r="BG435" s="798"/>
      <c r="BH435" s="798"/>
      <c r="BI435" s="798"/>
      <c r="BJ435" s="798"/>
      <c r="BK435" s="798"/>
      <c r="BL435" s="798"/>
      <c r="BM435" s="798"/>
      <c r="BN435" s="798"/>
      <c r="BO435" s="798"/>
      <c r="BP435" s="798"/>
      <c r="BQ435" s="798"/>
      <c r="BR435" s="798"/>
      <c r="BS435" s="798"/>
      <c r="BT435" s="798"/>
      <c r="BU435" s="798"/>
      <c r="BV435" s="798"/>
      <c r="BW435" s="798"/>
      <c r="BX435" s="798"/>
      <c r="BY435" s="798"/>
      <c r="BZ435" s="798"/>
      <c r="CA435" s="798"/>
      <c r="CB435" s="798"/>
      <c r="CC435" s="798"/>
      <c r="CD435" s="798"/>
      <c r="CE435" s="798"/>
      <c r="CF435" s="798"/>
      <c r="CG435" s="798"/>
      <c r="CH435" s="798"/>
      <c r="CI435" s="798"/>
      <c r="CJ435" s="798"/>
      <c r="CK435" s="798"/>
      <c r="CL435" s="798"/>
      <c r="CM435" s="798"/>
      <c r="CN435" s="798"/>
      <c r="CO435" s="798"/>
      <c r="CP435" s="798"/>
      <c r="CQ435" s="798"/>
      <c r="CR435" s="798"/>
      <c r="CS435" s="798"/>
      <c r="CT435" s="798"/>
      <c r="CU435" s="798"/>
      <c r="CV435" s="798"/>
      <c r="CW435" s="798"/>
      <c r="CX435" s="798"/>
      <c r="CY435" s="798"/>
      <c r="CZ435" s="798"/>
      <c r="DA435" s="798"/>
      <c r="DB435" s="798"/>
      <c r="DC435" s="798"/>
      <c r="DD435" s="798"/>
      <c r="DE435" s="798"/>
      <c r="DF435" s="798"/>
      <c r="DG435" s="798"/>
      <c r="DH435" s="798"/>
      <c r="DI435" s="798"/>
      <c r="DJ435" s="798"/>
      <c r="DK435" s="798"/>
      <c r="DL435" s="798"/>
      <c r="DM435" s="798"/>
      <c r="DN435" s="798"/>
      <c r="DO435" s="798"/>
      <c r="DP435" s="798"/>
      <c r="DQ435" s="798"/>
      <c r="DR435" s="798"/>
      <c r="DS435" s="798"/>
      <c r="DT435" s="798"/>
      <c r="DU435" s="798"/>
      <c r="DV435" s="798"/>
      <c r="DW435" s="798"/>
      <c r="DX435" s="798"/>
      <c r="DY435" s="798"/>
      <c r="DZ435" s="798"/>
      <c r="EA435" s="798"/>
      <c r="EB435" s="798"/>
      <c r="EC435" s="798"/>
      <c r="ED435" s="798"/>
      <c r="EE435" s="798"/>
      <c r="EF435" s="798"/>
      <c r="EG435" s="798"/>
      <c r="EH435" s="782"/>
    </row>
    <row r="436" spans="1:138" ht="12.75" customHeight="1" x14ac:dyDescent="0.3">
      <c r="A436" s="782"/>
      <c r="B436" s="782" t="s">
        <v>155</v>
      </c>
      <c r="C436" s="1385">
        <f>+$C$85*'Venture Assumptions'!$F$11</f>
        <v>2188369.2778725182</v>
      </c>
      <c r="D436" s="782"/>
      <c r="E436" s="798"/>
      <c r="F436" s="798"/>
      <c r="G436" s="798"/>
      <c r="H436" s="798"/>
      <c r="I436" s="798"/>
      <c r="J436" s="798"/>
      <c r="K436" s="798"/>
      <c r="L436" s="798"/>
      <c r="M436" s="798"/>
      <c r="N436" s="798"/>
      <c r="O436" s="798"/>
      <c r="P436" s="798"/>
      <c r="Q436" s="798"/>
      <c r="R436" s="798"/>
      <c r="S436" s="798"/>
      <c r="T436" s="798"/>
      <c r="U436" s="798"/>
      <c r="V436" s="798"/>
      <c r="W436" s="798"/>
      <c r="X436" s="798"/>
      <c r="Y436" s="798"/>
      <c r="Z436" s="798"/>
      <c r="AA436" s="798"/>
      <c r="AB436" s="798"/>
      <c r="AC436" s="798"/>
      <c r="AD436" s="798"/>
      <c r="AE436" s="798"/>
      <c r="AF436" s="798"/>
      <c r="AG436" s="798"/>
      <c r="AH436" s="798"/>
      <c r="AI436" s="798"/>
      <c r="AJ436" s="798"/>
      <c r="AK436" s="798"/>
      <c r="AL436" s="798"/>
      <c r="AM436" s="798"/>
      <c r="AN436" s="798"/>
      <c r="AO436" s="798"/>
      <c r="AP436" s="798"/>
      <c r="AQ436" s="798"/>
      <c r="AR436" s="798"/>
      <c r="AS436" s="798"/>
      <c r="AT436" s="798"/>
      <c r="AU436" s="798"/>
      <c r="AV436" s="798"/>
      <c r="AW436" s="798"/>
      <c r="AX436" s="798"/>
      <c r="AY436" s="798"/>
      <c r="AZ436" s="798"/>
      <c r="BA436" s="798"/>
      <c r="BB436" s="798"/>
      <c r="BC436" s="798"/>
      <c r="BD436" s="798"/>
      <c r="BE436" s="798"/>
      <c r="BF436" s="798"/>
      <c r="BG436" s="798"/>
      <c r="BH436" s="798"/>
      <c r="BI436" s="798"/>
      <c r="BJ436" s="798"/>
      <c r="BK436" s="798"/>
      <c r="BL436" s="798"/>
      <c r="BM436" s="798"/>
      <c r="BN436" s="798"/>
      <c r="BO436" s="798"/>
      <c r="BP436" s="798"/>
      <c r="BQ436" s="798"/>
      <c r="BR436" s="798"/>
      <c r="BS436" s="798"/>
      <c r="BT436" s="798"/>
      <c r="BU436" s="798"/>
      <c r="BV436" s="798"/>
      <c r="BW436" s="798"/>
      <c r="BX436" s="798"/>
      <c r="BY436" s="798"/>
      <c r="BZ436" s="798"/>
      <c r="CA436" s="798"/>
      <c r="CB436" s="798"/>
      <c r="CC436" s="798"/>
      <c r="CD436" s="798"/>
      <c r="CE436" s="798"/>
      <c r="CF436" s="798"/>
      <c r="CG436" s="798"/>
      <c r="CH436" s="798"/>
      <c r="CI436" s="798"/>
      <c r="CJ436" s="798"/>
      <c r="CK436" s="798"/>
      <c r="CL436" s="798"/>
      <c r="CM436" s="798"/>
      <c r="CN436" s="798"/>
      <c r="CO436" s="798"/>
      <c r="CP436" s="798"/>
      <c r="CQ436" s="798"/>
      <c r="CR436" s="798"/>
      <c r="CS436" s="798"/>
      <c r="CT436" s="798"/>
      <c r="CU436" s="798"/>
      <c r="CV436" s="798"/>
      <c r="CW436" s="798"/>
      <c r="CX436" s="798"/>
      <c r="CY436" s="798"/>
      <c r="CZ436" s="798"/>
      <c r="DA436" s="798"/>
      <c r="DB436" s="798"/>
      <c r="DC436" s="798"/>
      <c r="DD436" s="798"/>
      <c r="DE436" s="798"/>
      <c r="DF436" s="798"/>
      <c r="DG436" s="798"/>
      <c r="DH436" s="798"/>
      <c r="DI436" s="798"/>
      <c r="DJ436" s="798"/>
      <c r="DK436" s="798"/>
      <c r="DL436" s="798"/>
      <c r="DM436" s="798"/>
      <c r="DN436" s="798"/>
      <c r="DO436" s="798"/>
      <c r="DP436" s="798"/>
      <c r="DQ436" s="798"/>
      <c r="DR436" s="798"/>
      <c r="DS436" s="798"/>
      <c r="DT436" s="798"/>
      <c r="DU436" s="798"/>
      <c r="DV436" s="798"/>
      <c r="DW436" s="798"/>
      <c r="DX436" s="798"/>
      <c r="DY436" s="798"/>
      <c r="DZ436" s="798"/>
      <c r="EA436" s="798"/>
      <c r="EB436" s="798"/>
      <c r="EC436" s="798"/>
      <c r="ED436" s="798"/>
      <c r="EE436" s="798"/>
      <c r="EF436" s="798"/>
      <c r="EG436" s="798"/>
      <c r="EH436" s="782"/>
    </row>
    <row r="437" spans="1:138" ht="12.75" customHeight="1" x14ac:dyDescent="0.3">
      <c r="A437" s="782"/>
      <c r="B437" s="782" t="s">
        <v>342</v>
      </c>
      <c r="C437" s="1385">
        <v>0</v>
      </c>
      <c r="D437" s="782"/>
      <c r="E437" s="798"/>
      <c r="F437" s="798"/>
      <c r="G437" s="798"/>
      <c r="H437" s="798"/>
      <c r="I437" s="798"/>
      <c r="J437" s="798"/>
      <c r="K437" s="798"/>
      <c r="L437" s="798"/>
      <c r="M437" s="798"/>
      <c r="N437" s="798"/>
      <c r="O437" s="798"/>
      <c r="P437" s="798"/>
      <c r="Q437" s="798"/>
      <c r="R437" s="798"/>
      <c r="S437" s="798"/>
      <c r="T437" s="798"/>
      <c r="U437" s="798"/>
      <c r="V437" s="798"/>
      <c r="W437" s="798"/>
      <c r="X437" s="798"/>
      <c r="Y437" s="798"/>
      <c r="Z437" s="798"/>
      <c r="AA437" s="798"/>
      <c r="AB437" s="798"/>
      <c r="AC437" s="798"/>
      <c r="AD437" s="798"/>
      <c r="AE437" s="798"/>
      <c r="AF437" s="798"/>
      <c r="AG437" s="798"/>
      <c r="AH437" s="798"/>
      <c r="AI437" s="798"/>
      <c r="AJ437" s="798"/>
      <c r="AK437" s="798"/>
      <c r="AL437" s="798"/>
      <c r="AM437" s="798"/>
      <c r="AN437" s="798"/>
      <c r="AO437" s="798"/>
      <c r="AP437" s="798"/>
      <c r="AQ437" s="798"/>
      <c r="AR437" s="798"/>
      <c r="AS437" s="798"/>
      <c r="AT437" s="798"/>
      <c r="AU437" s="798"/>
      <c r="AV437" s="798"/>
      <c r="AW437" s="798"/>
      <c r="AX437" s="798"/>
      <c r="AY437" s="798"/>
      <c r="AZ437" s="798"/>
      <c r="BA437" s="798"/>
      <c r="BB437" s="798"/>
      <c r="BC437" s="798"/>
      <c r="BD437" s="798"/>
      <c r="BE437" s="798"/>
      <c r="BF437" s="798"/>
      <c r="BG437" s="798"/>
      <c r="BH437" s="798"/>
      <c r="BI437" s="798"/>
      <c r="BJ437" s="798"/>
      <c r="BK437" s="798"/>
      <c r="BL437" s="798"/>
      <c r="BM437" s="798"/>
      <c r="BN437" s="798"/>
      <c r="BO437" s="798"/>
      <c r="BP437" s="798"/>
      <c r="BQ437" s="798"/>
      <c r="BR437" s="798"/>
      <c r="BS437" s="798"/>
      <c r="BT437" s="798"/>
      <c r="BU437" s="798"/>
      <c r="BV437" s="798"/>
      <c r="BW437" s="798"/>
      <c r="BX437" s="798"/>
      <c r="BY437" s="798"/>
      <c r="BZ437" s="798"/>
      <c r="CA437" s="798"/>
      <c r="CB437" s="798"/>
      <c r="CC437" s="798"/>
      <c r="CD437" s="798"/>
      <c r="CE437" s="798"/>
      <c r="CF437" s="798"/>
      <c r="CG437" s="798"/>
      <c r="CH437" s="798"/>
      <c r="CI437" s="798"/>
      <c r="CJ437" s="798"/>
      <c r="CK437" s="798"/>
      <c r="CL437" s="798"/>
      <c r="CM437" s="798"/>
      <c r="CN437" s="798"/>
      <c r="CO437" s="798"/>
      <c r="CP437" s="798"/>
      <c r="CQ437" s="798"/>
      <c r="CR437" s="798"/>
      <c r="CS437" s="798"/>
      <c r="CT437" s="798"/>
      <c r="CU437" s="798"/>
      <c r="CV437" s="798"/>
      <c r="CW437" s="798"/>
      <c r="CX437" s="798"/>
      <c r="CY437" s="798"/>
      <c r="CZ437" s="798"/>
      <c r="DA437" s="798"/>
      <c r="DB437" s="798"/>
      <c r="DC437" s="798"/>
      <c r="DD437" s="798"/>
      <c r="DE437" s="798"/>
      <c r="DF437" s="798"/>
      <c r="DG437" s="798"/>
      <c r="DH437" s="798"/>
      <c r="DI437" s="798"/>
      <c r="DJ437" s="798"/>
      <c r="DK437" s="798"/>
      <c r="DL437" s="798"/>
      <c r="DM437" s="798"/>
      <c r="DN437" s="798"/>
      <c r="DO437" s="798"/>
      <c r="DP437" s="798"/>
      <c r="DQ437" s="798"/>
      <c r="DR437" s="798"/>
      <c r="DS437" s="798"/>
      <c r="DT437" s="798"/>
      <c r="DU437" s="798"/>
      <c r="DV437" s="798"/>
      <c r="DW437" s="798"/>
      <c r="DX437" s="798"/>
      <c r="DY437" s="798"/>
      <c r="DZ437" s="798"/>
      <c r="EA437" s="798"/>
      <c r="EB437" s="798"/>
      <c r="EC437" s="798"/>
      <c r="ED437" s="798"/>
      <c r="EE437" s="798"/>
      <c r="EF437" s="798"/>
      <c r="EG437" s="798"/>
      <c r="EH437" s="782"/>
    </row>
    <row r="438" spans="1:138" ht="12.75" customHeight="1" x14ac:dyDescent="0.3">
      <c r="A438" s="782"/>
      <c r="B438" s="1382" t="s">
        <v>345</v>
      </c>
      <c r="C438" s="798"/>
      <c r="D438" s="782"/>
      <c r="E438" s="798"/>
      <c r="F438" s="798"/>
      <c r="G438" s="798"/>
      <c r="H438" s="798"/>
      <c r="I438" s="798"/>
      <c r="J438" s="798"/>
      <c r="K438" s="798"/>
      <c r="L438" s="798"/>
      <c r="M438" s="798"/>
      <c r="N438" s="798"/>
      <c r="O438" s="798"/>
      <c r="P438" s="798"/>
      <c r="Q438" s="798"/>
      <c r="R438" s="798"/>
      <c r="S438" s="798"/>
      <c r="T438" s="798"/>
      <c r="U438" s="798"/>
      <c r="V438" s="798"/>
      <c r="W438" s="798"/>
      <c r="X438" s="798"/>
      <c r="Y438" s="798"/>
      <c r="Z438" s="798"/>
      <c r="AA438" s="798"/>
      <c r="AB438" s="798"/>
      <c r="AC438" s="798"/>
      <c r="AD438" s="798"/>
      <c r="AE438" s="798"/>
      <c r="AF438" s="798"/>
      <c r="AG438" s="798"/>
      <c r="AH438" s="798"/>
      <c r="AI438" s="798"/>
      <c r="AJ438" s="798"/>
      <c r="AK438" s="798"/>
      <c r="AL438" s="798"/>
      <c r="AM438" s="798"/>
      <c r="AN438" s="798"/>
      <c r="AO438" s="798"/>
      <c r="AP438" s="798"/>
      <c r="AQ438" s="798"/>
      <c r="AR438" s="798"/>
      <c r="AS438" s="798"/>
      <c r="AT438" s="798"/>
      <c r="AU438" s="798"/>
      <c r="AV438" s="798"/>
      <c r="AW438" s="798"/>
      <c r="AX438" s="798"/>
      <c r="AY438" s="798"/>
      <c r="AZ438" s="798"/>
      <c r="BA438" s="798"/>
      <c r="BB438" s="798"/>
      <c r="BC438" s="798"/>
      <c r="BD438" s="798"/>
      <c r="BE438" s="798"/>
      <c r="BF438" s="798"/>
      <c r="BG438" s="798"/>
      <c r="BH438" s="798"/>
      <c r="BI438" s="798"/>
      <c r="BJ438" s="798"/>
      <c r="BK438" s="798"/>
      <c r="BL438" s="798"/>
      <c r="BM438" s="798"/>
      <c r="BN438" s="798"/>
      <c r="BO438" s="798"/>
      <c r="BP438" s="798"/>
      <c r="BQ438" s="798"/>
      <c r="BR438" s="798"/>
      <c r="BS438" s="798"/>
      <c r="BT438" s="798"/>
      <c r="BU438" s="798"/>
      <c r="BV438" s="798"/>
      <c r="BW438" s="798"/>
      <c r="BX438" s="798"/>
      <c r="BY438" s="798"/>
      <c r="BZ438" s="798"/>
      <c r="CA438" s="798"/>
      <c r="CB438" s="798"/>
      <c r="CC438" s="798"/>
      <c r="CD438" s="798"/>
      <c r="CE438" s="798"/>
      <c r="CF438" s="798"/>
      <c r="CG438" s="798"/>
      <c r="CH438" s="798"/>
      <c r="CI438" s="798"/>
      <c r="CJ438" s="798"/>
      <c r="CK438" s="798"/>
      <c r="CL438" s="798"/>
      <c r="CM438" s="798"/>
      <c r="CN438" s="798"/>
      <c r="CO438" s="798"/>
      <c r="CP438" s="798"/>
      <c r="CQ438" s="798"/>
      <c r="CR438" s="798"/>
      <c r="CS438" s="798"/>
      <c r="CT438" s="798"/>
      <c r="CU438" s="798"/>
      <c r="CV438" s="798"/>
      <c r="CW438" s="798"/>
      <c r="CX438" s="798"/>
      <c r="CY438" s="798"/>
      <c r="CZ438" s="798"/>
      <c r="DA438" s="798"/>
      <c r="DB438" s="798"/>
      <c r="DC438" s="798"/>
      <c r="DD438" s="798"/>
      <c r="DE438" s="798"/>
      <c r="DF438" s="798"/>
      <c r="DG438" s="798"/>
      <c r="DH438" s="798"/>
      <c r="DI438" s="798"/>
      <c r="DJ438" s="798"/>
      <c r="DK438" s="798"/>
      <c r="DL438" s="798"/>
      <c r="DM438" s="798"/>
      <c r="DN438" s="798"/>
      <c r="DO438" s="798"/>
      <c r="DP438" s="798"/>
      <c r="DQ438" s="798"/>
      <c r="DR438" s="798"/>
      <c r="DS438" s="798"/>
      <c r="DT438" s="798"/>
      <c r="DU438" s="798"/>
      <c r="DV438" s="798"/>
      <c r="DW438" s="798"/>
      <c r="DX438" s="798"/>
      <c r="DY438" s="798"/>
      <c r="DZ438" s="798"/>
      <c r="EA438" s="798"/>
      <c r="EB438" s="798"/>
      <c r="EC438" s="798"/>
      <c r="ED438" s="798"/>
      <c r="EE438" s="798"/>
      <c r="EF438" s="798"/>
      <c r="EG438" s="798"/>
      <c r="EH438" s="782"/>
    </row>
    <row r="439" spans="1:138" ht="12.75" customHeight="1" x14ac:dyDescent="0.3">
      <c r="A439" s="782"/>
      <c r="B439" s="782" t="s">
        <v>346</v>
      </c>
      <c r="C439" s="838">
        <f>SUM(E439:EG439)</f>
        <v>68176583.965432093</v>
      </c>
      <c r="D439" s="782"/>
      <c r="E439" s="798">
        <f>+E420+E401</f>
        <v>-1943435.5218400576</v>
      </c>
      <c r="F439" s="798">
        <f t="shared" ref="F439:BQ439" si="314">+F420+F401</f>
        <v>-15208647.652673729</v>
      </c>
      <c r="G439" s="798">
        <f t="shared" si="314"/>
        <v>-491498.0015560445</v>
      </c>
      <c r="H439" s="798">
        <f t="shared" si="314"/>
        <v>-739130.23477478127</v>
      </c>
      <c r="I439" s="798">
        <f t="shared" si="314"/>
        <v>-1245669.8451237862</v>
      </c>
      <c r="J439" s="798">
        <f t="shared" si="314"/>
        <v>-2024138.5150061427</v>
      </c>
      <c r="K439" s="798">
        <f t="shared" si="314"/>
        <v>-2083605.0857725968</v>
      </c>
      <c r="L439" s="798">
        <f t="shared" si="314"/>
        <v>-2651537.8825037964</v>
      </c>
      <c r="M439" s="798">
        <f t="shared" si="314"/>
        <v>-3143136.2409976111</v>
      </c>
      <c r="N439" s="798">
        <f t="shared" si="314"/>
        <v>-3677476.1526163789</v>
      </c>
      <c r="O439" s="798">
        <f t="shared" si="314"/>
        <v>-2096036.1763591815</v>
      </c>
      <c r="P439" s="798">
        <f t="shared" si="314"/>
        <v>-20243.445243114293</v>
      </c>
      <c r="Q439" s="798">
        <f t="shared" si="314"/>
        <v>-21536.504033744117</v>
      </c>
      <c r="R439" s="798">
        <f t="shared" si="314"/>
        <v>-22846.387199595178</v>
      </c>
      <c r="S439" s="798">
        <f t="shared" si="314"/>
        <v>-24169.242963682955</v>
      </c>
      <c r="T439" s="798">
        <f t="shared" si="314"/>
        <v>-25405.192141294679</v>
      </c>
      <c r="U439" s="798">
        <f t="shared" si="314"/>
        <v>-26605.498258502568</v>
      </c>
      <c r="V439" s="798">
        <f t="shared" si="314"/>
        <v>-27716.271931473133</v>
      </c>
      <c r="W439" s="798">
        <f t="shared" si="314"/>
        <v>-28714.745112786575</v>
      </c>
      <c r="X439" s="798">
        <f t="shared" si="314"/>
        <v>-29708.008202723711</v>
      </c>
      <c r="Y439" s="798">
        <f t="shared" si="314"/>
        <v>-30619.50573784305</v>
      </c>
      <c r="Z439" s="798">
        <f t="shared" si="314"/>
        <v>-31386.510991997875</v>
      </c>
      <c r="AA439" s="798">
        <f t="shared" si="314"/>
        <v>-32040.043232683936</v>
      </c>
      <c r="AB439" s="798">
        <f t="shared" si="314"/>
        <v>-32583.31885140936</v>
      </c>
      <c r="AC439" s="798">
        <f t="shared" si="314"/>
        <v>11164.455298793164</v>
      </c>
      <c r="AD439" s="798">
        <f t="shared" si="314"/>
        <v>51087.028808271949</v>
      </c>
      <c r="AE439" s="798">
        <f t="shared" si="314"/>
        <v>96690.409152741282</v>
      </c>
      <c r="AF439" s="798">
        <f t="shared" si="314"/>
        <v>186128.38333325498</v>
      </c>
      <c r="AG439" s="798">
        <f t="shared" si="314"/>
        <v>189774.72498510519</v>
      </c>
      <c r="AH439" s="798">
        <f t="shared" si="314"/>
        <v>191077.87392284846</v>
      </c>
      <c r="AI439" s="798">
        <f t="shared" si="314"/>
        <v>424631.52148606483</v>
      </c>
      <c r="AJ439" s="798">
        <f t="shared" si="314"/>
        <v>427220.46900700842</v>
      </c>
      <c r="AK439" s="798">
        <f t="shared" si="314"/>
        <v>-37028.356756538153</v>
      </c>
      <c r="AL439" s="798">
        <f t="shared" si="314"/>
        <v>14315530.3242827</v>
      </c>
      <c r="AM439" s="798">
        <f t="shared" si="314"/>
        <v>205293.34606116661</v>
      </c>
      <c r="AN439" s="798">
        <f t="shared" si="314"/>
        <v>207793.40423970085</v>
      </c>
      <c r="AO439" s="798">
        <f t="shared" si="314"/>
        <v>210260.10262606523</v>
      </c>
      <c r="AP439" s="798">
        <f t="shared" si="314"/>
        <v>211885.65974115423</v>
      </c>
      <c r="AQ439" s="798">
        <f t="shared" si="314"/>
        <v>215188.01193420406</v>
      </c>
      <c r="AR439" s="798">
        <f t="shared" si="314"/>
        <v>218012.9416200624</v>
      </c>
      <c r="AS439" s="798">
        <f t="shared" si="314"/>
        <v>213181.07686987985</v>
      </c>
      <c r="AT439" s="798">
        <f t="shared" si="314"/>
        <v>214770.00861920218</v>
      </c>
      <c r="AU439" s="798">
        <f t="shared" si="314"/>
        <v>216264.46058470523</v>
      </c>
      <c r="AV439" s="798">
        <f t="shared" si="314"/>
        <v>218515.59404432448</v>
      </c>
      <c r="AW439" s="798">
        <f t="shared" si="314"/>
        <v>220675.94358853242</v>
      </c>
      <c r="AX439" s="798">
        <f t="shared" si="314"/>
        <v>222710.56184153532</v>
      </c>
      <c r="AY439" s="798">
        <f t="shared" si="314"/>
        <v>224665.72728851769</v>
      </c>
      <c r="AZ439" s="798">
        <f t="shared" si="314"/>
        <v>226548.52262565284</v>
      </c>
      <c r="BA439" s="798">
        <f t="shared" si="314"/>
        <v>228304.85297686295</v>
      </c>
      <c r="BB439" s="798">
        <f t="shared" si="314"/>
        <v>229344.9930368007</v>
      </c>
      <c r="BC439" s="798">
        <f t="shared" si="314"/>
        <v>231542.10904179295</v>
      </c>
      <c r="BD439" s="798">
        <f t="shared" si="314"/>
        <v>233317.7080138704</v>
      </c>
      <c r="BE439" s="798">
        <f t="shared" si="314"/>
        <v>229013.16839337221</v>
      </c>
      <c r="BF439" s="798">
        <f t="shared" si="314"/>
        <v>229911.66091752306</v>
      </c>
      <c r="BG439" s="798">
        <f t="shared" si="314"/>
        <v>230813.78680437503</v>
      </c>
      <c r="BH439" s="798">
        <f t="shared" si="314"/>
        <v>232345.63973502186</v>
      </c>
      <c r="BI439" s="798">
        <f t="shared" si="314"/>
        <v>233902.4265315792</v>
      </c>
      <c r="BJ439" s="798">
        <f t="shared" si="314"/>
        <v>235545.94755839423</v>
      </c>
      <c r="BK439" s="798">
        <f t="shared" si="314"/>
        <v>237262.50476525677</v>
      </c>
      <c r="BL439" s="798">
        <f t="shared" si="314"/>
        <v>238991.57351446556</v>
      </c>
      <c r="BM439" s="798">
        <f t="shared" si="314"/>
        <v>240811.21361387809</v>
      </c>
      <c r="BN439" s="798">
        <f t="shared" si="314"/>
        <v>242002.34658988175</v>
      </c>
      <c r="BO439" s="798">
        <f t="shared" si="314"/>
        <v>244627.30669974274</v>
      </c>
      <c r="BP439" s="798">
        <f t="shared" si="314"/>
        <v>246922.0418636211</v>
      </c>
      <c r="BQ439" s="798">
        <f t="shared" si="314"/>
        <v>242733.25370419392</v>
      </c>
      <c r="BR439" s="798">
        <f t="shared" ref="BR439:EC439" si="315">+BR420+BR401</f>
        <v>244033.96696505454</v>
      </c>
      <c r="BS439" s="798">
        <f t="shared" si="315"/>
        <v>245313.14997026659</v>
      </c>
      <c r="BT439" s="798">
        <f t="shared" si="315"/>
        <v>247377.11673495109</v>
      </c>
      <c r="BU439" s="798">
        <f t="shared" si="315"/>
        <v>249414.97281073497</v>
      </c>
      <c r="BV439" s="798">
        <f t="shared" si="315"/>
        <v>251479.3205969065</v>
      </c>
      <c r="BW439" s="798">
        <f t="shared" si="315"/>
        <v>253576.88775609701</v>
      </c>
      <c r="BX439" s="798">
        <f t="shared" si="315"/>
        <v>255660.88139998799</v>
      </c>
      <c r="BY439" s="798">
        <f t="shared" si="315"/>
        <v>257780.55934433491</v>
      </c>
      <c r="BZ439" s="798">
        <f t="shared" si="315"/>
        <v>259130.53765731424</v>
      </c>
      <c r="CA439" s="798">
        <f t="shared" si="315"/>
        <v>262044.06866613019</v>
      </c>
      <c r="CB439" s="798">
        <f t="shared" si="315"/>
        <v>264568.88723862561</v>
      </c>
      <c r="CC439" s="798">
        <f t="shared" si="315"/>
        <v>260334.62676779419</v>
      </c>
      <c r="CD439" s="798">
        <f t="shared" si="315"/>
        <v>261766.27506953065</v>
      </c>
      <c r="CE439" s="798">
        <f t="shared" si="315"/>
        <v>263169.39895795332</v>
      </c>
      <c r="CF439" s="798">
        <f t="shared" si="315"/>
        <v>265374.12330500968</v>
      </c>
      <c r="CG439" s="798">
        <f t="shared" si="315"/>
        <v>267569.84631198365</v>
      </c>
      <c r="CH439" s="798">
        <f t="shared" si="315"/>
        <v>269785.75663471175</v>
      </c>
      <c r="CI439" s="798">
        <f t="shared" si="315"/>
        <v>271981.27502716507</v>
      </c>
      <c r="CJ439" s="798">
        <f t="shared" si="315"/>
        <v>274209.9614994725</v>
      </c>
      <c r="CK439" s="798">
        <f t="shared" si="315"/>
        <v>276471.37765448482</v>
      </c>
      <c r="CL439" s="798">
        <f t="shared" si="315"/>
        <v>277910.21305872517</v>
      </c>
      <c r="CM439" s="798">
        <f t="shared" si="315"/>
        <v>280971.24051798158</v>
      </c>
      <c r="CN439" s="798">
        <f t="shared" si="315"/>
        <v>283611.40197433194</v>
      </c>
      <c r="CO439" s="798">
        <f t="shared" si="315"/>
        <v>279273.11677509604</v>
      </c>
      <c r="CP439" s="798">
        <f t="shared" si="315"/>
        <v>280770.93938649778</v>
      </c>
      <c r="CQ439" s="798">
        <f t="shared" si="315"/>
        <v>282239.46279127692</v>
      </c>
      <c r="CR439" s="798">
        <f t="shared" si="315"/>
        <v>284516.27143163967</v>
      </c>
      <c r="CS439" s="798">
        <f t="shared" si="315"/>
        <v>286814.10642290174</v>
      </c>
      <c r="CT439" s="798">
        <f t="shared" si="315"/>
        <v>289146.38855799765</v>
      </c>
      <c r="CU439" s="798">
        <f t="shared" si="315"/>
        <v>291451.51423692808</v>
      </c>
      <c r="CV439" s="798">
        <f t="shared" si="315"/>
        <v>293779.70006957493</v>
      </c>
      <c r="CW439" s="798">
        <f t="shared" si="315"/>
        <v>72613507.873999998</v>
      </c>
      <c r="CX439" s="798">
        <f t="shared" si="315"/>
        <v>0</v>
      </c>
      <c r="CY439" s="798">
        <f t="shared" si="315"/>
        <v>0</v>
      </c>
      <c r="CZ439" s="798">
        <f t="shared" si="315"/>
        <v>0</v>
      </c>
      <c r="DA439" s="798">
        <f t="shared" si="315"/>
        <v>0</v>
      </c>
      <c r="DB439" s="798">
        <f t="shared" si="315"/>
        <v>0</v>
      </c>
      <c r="DC439" s="798">
        <f t="shared" si="315"/>
        <v>0</v>
      </c>
      <c r="DD439" s="798">
        <f t="shared" si="315"/>
        <v>0</v>
      </c>
      <c r="DE439" s="798">
        <f t="shared" si="315"/>
        <v>0</v>
      </c>
      <c r="DF439" s="798">
        <f t="shared" si="315"/>
        <v>0</v>
      </c>
      <c r="DG439" s="798">
        <f t="shared" si="315"/>
        <v>0</v>
      </c>
      <c r="DH439" s="798">
        <f t="shared" si="315"/>
        <v>0</v>
      </c>
      <c r="DI439" s="798">
        <f t="shared" si="315"/>
        <v>0</v>
      </c>
      <c r="DJ439" s="798">
        <f t="shared" si="315"/>
        <v>0</v>
      </c>
      <c r="DK439" s="798">
        <f t="shared" si="315"/>
        <v>0</v>
      </c>
      <c r="DL439" s="798">
        <f t="shared" si="315"/>
        <v>0</v>
      </c>
      <c r="DM439" s="798">
        <f t="shared" si="315"/>
        <v>0</v>
      </c>
      <c r="DN439" s="798">
        <f t="shared" si="315"/>
        <v>0</v>
      </c>
      <c r="DO439" s="798">
        <f t="shared" si="315"/>
        <v>0</v>
      </c>
      <c r="DP439" s="798">
        <f t="shared" si="315"/>
        <v>0</v>
      </c>
      <c r="DQ439" s="798">
        <f t="shared" si="315"/>
        <v>0</v>
      </c>
      <c r="DR439" s="798">
        <f t="shared" si="315"/>
        <v>0</v>
      </c>
      <c r="DS439" s="798">
        <f t="shared" si="315"/>
        <v>0</v>
      </c>
      <c r="DT439" s="798">
        <f t="shared" si="315"/>
        <v>0</v>
      </c>
      <c r="DU439" s="798">
        <f t="shared" si="315"/>
        <v>0</v>
      </c>
      <c r="DV439" s="798">
        <f t="shared" si="315"/>
        <v>0</v>
      </c>
      <c r="DW439" s="798">
        <f t="shared" si="315"/>
        <v>0</v>
      </c>
      <c r="DX439" s="798">
        <f t="shared" si="315"/>
        <v>0</v>
      </c>
      <c r="DY439" s="798">
        <f t="shared" si="315"/>
        <v>0</v>
      </c>
      <c r="DZ439" s="798">
        <f t="shared" si="315"/>
        <v>0</v>
      </c>
      <c r="EA439" s="798">
        <f t="shared" si="315"/>
        <v>0</v>
      </c>
      <c r="EB439" s="798">
        <f t="shared" si="315"/>
        <v>0</v>
      </c>
      <c r="EC439" s="798">
        <f t="shared" si="315"/>
        <v>0</v>
      </c>
      <c r="ED439" s="798">
        <f>+ED420+ED401</f>
        <v>0</v>
      </c>
      <c r="EE439" s="798">
        <f>+EE420+EE401</f>
        <v>0</v>
      </c>
      <c r="EF439" s="798">
        <f>+EF420+EF401</f>
        <v>0</v>
      </c>
      <c r="EG439" s="798">
        <f>+EG420+EG401</f>
        <v>0</v>
      </c>
      <c r="EH439" s="782"/>
    </row>
    <row r="440" spans="1:138" ht="12.75" customHeight="1" x14ac:dyDescent="0.3">
      <c r="A440" s="782"/>
      <c r="B440" s="833" t="s">
        <v>347</v>
      </c>
      <c r="C440" s="834">
        <f>XIRR(OFFSET(E439,0,$C$141):EG439,OFFSET($E$4,0,$C$141):$EG$4)</f>
        <v>0.19251437783241274</v>
      </c>
      <c r="D440" s="782"/>
      <c r="E440" s="798"/>
      <c r="F440" s="798"/>
      <c r="G440" s="798"/>
      <c r="H440" s="798"/>
      <c r="I440" s="798"/>
      <c r="J440" s="798"/>
      <c r="K440" s="798"/>
      <c r="L440" s="798"/>
      <c r="M440" s="798"/>
      <c r="N440" s="798"/>
      <c r="O440" s="798"/>
      <c r="P440" s="798"/>
      <c r="Q440" s="798"/>
      <c r="R440" s="798"/>
      <c r="S440" s="798"/>
      <c r="T440" s="798"/>
      <c r="U440" s="798"/>
      <c r="V440" s="798"/>
      <c r="W440" s="798"/>
      <c r="X440" s="798"/>
      <c r="Y440" s="798"/>
      <c r="Z440" s="798"/>
      <c r="AA440" s="798"/>
      <c r="AB440" s="798"/>
      <c r="AC440" s="798"/>
      <c r="AD440" s="798"/>
      <c r="AE440" s="798"/>
      <c r="AF440" s="798"/>
      <c r="AG440" s="798"/>
      <c r="AH440" s="798"/>
      <c r="AI440" s="798"/>
      <c r="AJ440" s="798"/>
      <c r="AK440" s="798"/>
      <c r="AL440" s="798"/>
      <c r="AM440" s="798"/>
      <c r="AN440" s="798"/>
      <c r="AO440" s="798"/>
      <c r="AP440" s="798"/>
      <c r="AQ440" s="798"/>
      <c r="AR440" s="798"/>
      <c r="AS440" s="798"/>
      <c r="AT440" s="798"/>
      <c r="AU440" s="798"/>
      <c r="AV440" s="798"/>
      <c r="AW440" s="798"/>
      <c r="AX440" s="798"/>
      <c r="AY440" s="798"/>
      <c r="AZ440" s="798"/>
      <c r="BA440" s="798"/>
      <c r="BB440" s="798"/>
      <c r="BC440" s="798"/>
      <c r="BD440" s="798"/>
      <c r="BE440" s="798"/>
      <c r="BF440" s="798"/>
      <c r="BG440" s="798"/>
      <c r="BH440" s="798"/>
      <c r="BI440" s="798"/>
      <c r="BJ440" s="798"/>
      <c r="BK440" s="798"/>
      <c r="BL440" s="798"/>
      <c r="BM440" s="798"/>
      <c r="BN440" s="798"/>
      <c r="BO440" s="798"/>
      <c r="BP440" s="798"/>
      <c r="BQ440" s="798"/>
      <c r="BR440" s="798"/>
      <c r="BS440" s="798"/>
      <c r="BT440" s="798"/>
      <c r="BU440" s="798"/>
      <c r="BV440" s="798"/>
      <c r="BW440" s="798"/>
      <c r="BX440" s="798"/>
      <c r="BY440" s="798"/>
      <c r="BZ440" s="798"/>
      <c r="CA440" s="798"/>
      <c r="CB440" s="798"/>
      <c r="CC440" s="798"/>
      <c r="CD440" s="798"/>
      <c r="CE440" s="798"/>
      <c r="CF440" s="798"/>
      <c r="CG440" s="798"/>
      <c r="CH440" s="798"/>
      <c r="CI440" s="798"/>
      <c r="CJ440" s="798"/>
      <c r="CK440" s="798"/>
      <c r="CL440" s="798"/>
      <c r="CM440" s="798"/>
      <c r="CN440" s="798"/>
      <c r="CO440" s="798"/>
      <c r="CP440" s="798"/>
      <c r="CQ440" s="798"/>
      <c r="CR440" s="798"/>
      <c r="CS440" s="798"/>
      <c r="CT440" s="798"/>
      <c r="CU440" s="798"/>
      <c r="CV440" s="798"/>
      <c r="CW440" s="798"/>
      <c r="CX440" s="798"/>
      <c r="CY440" s="798"/>
      <c r="CZ440" s="798"/>
      <c r="DA440" s="798"/>
      <c r="DB440" s="798"/>
      <c r="DC440" s="798"/>
      <c r="DD440" s="798"/>
      <c r="DE440" s="798"/>
      <c r="DF440" s="798"/>
      <c r="DG440" s="798"/>
      <c r="DH440" s="798"/>
      <c r="DI440" s="798"/>
      <c r="DJ440" s="798"/>
      <c r="DK440" s="798"/>
      <c r="DL440" s="798"/>
      <c r="DM440" s="798"/>
      <c r="DN440" s="798"/>
      <c r="DO440" s="798"/>
      <c r="DP440" s="798"/>
      <c r="DQ440" s="798"/>
      <c r="DR440" s="798"/>
      <c r="DS440" s="798"/>
      <c r="DT440" s="798"/>
      <c r="DU440" s="798"/>
      <c r="DV440" s="798"/>
      <c r="DW440" s="798"/>
      <c r="DX440" s="798"/>
      <c r="DY440" s="798"/>
      <c r="DZ440" s="798"/>
      <c r="EA440" s="798"/>
      <c r="EB440" s="798"/>
      <c r="EC440" s="798"/>
      <c r="ED440" s="798"/>
      <c r="EE440" s="798"/>
      <c r="EF440" s="798"/>
      <c r="EG440" s="798"/>
      <c r="EH440" s="782"/>
    </row>
    <row r="441" spans="1:138" ht="12.75" customHeight="1" x14ac:dyDescent="0.3">
      <c r="A441" s="782"/>
      <c r="B441" s="835" t="s">
        <v>348</v>
      </c>
      <c r="C441" s="836">
        <f>SUMIF($E$439:$EG$439,"&gt;0")/-SUMIF($E$439:$EG$439,"&lt;0")</f>
        <v>2.9099803214616267</v>
      </c>
      <c r="D441" s="782"/>
      <c r="E441" s="798"/>
      <c r="F441" s="798"/>
      <c r="G441" s="798"/>
      <c r="H441" s="798"/>
      <c r="I441" s="798"/>
      <c r="J441" s="798"/>
      <c r="K441" s="798"/>
      <c r="L441" s="798"/>
      <c r="M441" s="798"/>
      <c r="N441" s="798"/>
      <c r="O441" s="798"/>
      <c r="P441" s="798"/>
      <c r="Q441" s="798"/>
      <c r="R441" s="798"/>
      <c r="S441" s="798"/>
      <c r="T441" s="798"/>
      <c r="U441" s="798"/>
      <c r="V441" s="798"/>
      <c r="W441" s="798"/>
      <c r="X441" s="798"/>
      <c r="Y441" s="798"/>
      <c r="Z441" s="798"/>
      <c r="AA441" s="798"/>
      <c r="AB441" s="798"/>
      <c r="AC441" s="798"/>
      <c r="AD441" s="798"/>
      <c r="AE441" s="798"/>
      <c r="AF441" s="798"/>
      <c r="AG441" s="798"/>
      <c r="AH441" s="798"/>
      <c r="AI441" s="798"/>
      <c r="AJ441" s="798"/>
      <c r="AK441" s="798"/>
      <c r="AL441" s="798"/>
      <c r="AM441" s="798"/>
      <c r="AN441" s="798"/>
      <c r="AO441" s="798"/>
      <c r="AP441" s="798"/>
      <c r="AQ441" s="798"/>
      <c r="AR441" s="798"/>
      <c r="AS441" s="798"/>
      <c r="AT441" s="798"/>
      <c r="AU441" s="798"/>
      <c r="AV441" s="798"/>
      <c r="AW441" s="798"/>
      <c r="AX441" s="798"/>
      <c r="AY441" s="798"/>
      <c r="AZ441" s="798"/>
      <c r="BA441" s="798"/>
      <c r="BB441" s="798"/>
      <c r="BC441" s="798"/>
      <c r="BD441" s="798"/>
      <c r="BE441" s="798"/>
      <c r="BF441" s="798"/>
      <c r="BG441" s="798"/>
      <c r="BH441" s="798"/>
      <c r="BI441" s="798"/>
      <c r="BJ441" s="798"/>
      <c r="BK441" s="798"/>
      <c r="BL441" s="798"/>
      <c r="BM441" s="798"/>
      <c r="BN441" s="798"/>
      <c r="BO441" s="798"/>
      <c r="BP441" s="798"/>
      <c r="BQ441" s="798"/>
      <c r="BR441" s="798"/>
      <c r="BS441" s="798"/>
      <c r="BT441" s="798"/>
      <c r="BU441" s="798"/>
      <c r="BV441" s="798"/>
      <c r="BW441" s="798"/>
      <c r="BX441" s="798"/>
      <c r="BY441" s="798"/>
      <c r="BZ441" s="798"/>
      <c r="CA441" s="798"/>
      <c r="CB441" s="798"/>
      <c r="CC441" s="798"/>
      <c r="CD441" s="798"/>
      <c r="CE441" s="798"/>
      <c r="CF441" s="798"/>
      <c r="CG441" s="798"/>
      <c r="CH441" s="798"/>
      <c r="CI441" s="798"/>
      <c r="CJ441" s="798"/>
      <c r="CK441" s="798"/>
      <c r="CL441" s="798"/>
      <c r="CM441" s="798"/>
      <c r="CN441" s="798"/>
      <c r="CO441" s="798"/>
      <c r="CP441" s="798"/>
      <c r="CQ441" s="798"/>
      <c r="CR441" s="798"/>
      <c r="CS441" s="798"/>
      <c r="CT441" s="798"/>
      <c r="CU441" s="798"/>
      <c r="CV441" s="798"/>
      <c r="CW441" s="798"/>
      <c r="CX441" s="798"/>
      <c r="CY441" s="798"/>
      <c r="CZ441" s="798"/>
      <c r="DA441" s="798"/>
      <c r="DB441" s="798"/>
      <c r="DC441" s="798"/>
      <c r="DD441" s="798"/>
      <c r="DE441" s="798"/>
      <c r="DF441" s="798"/>
      <c r="DG441" s="798"/>
      <c r="DH441" s="798"/>
      <c r="DI441" s="798"/>
      <c r="DJ441" s="798"/>
      <c r="DK441" s="798"/>
      <c r="DL441" s="798"/>
      <c r="DM441" s="798"/>
      <c r="DN441" s="798"/>
      <c r="DO441" s="798"/>
      <c r="DP441" s="798"/>
      <c r="DQ441" s="798"/>
      <c r="DR441" s="798"/>
      <c r="DS441" s="798"/>
      <c r="DT441" s="798"/>
      <c r="DU441" s="798"/>
      <c r="DV441" s="798"/>
      <c r="DW441" s="798"/>
      <c r="DX441" s="798"/>
      <c r="DY441" s="798"/>
      <c r="DZ441" s="798"/>
      <c r="EA441" s="798"/>
      <c r="EB441" s="798"/>
      <c r="EC441" s="798"/>
      <c r="ED441" s="798"/>
      <c r="EE441" s="798"/>
      <c r="EF441" s="798"/>
      <c r="EG441" s="798"/>
      <c r="EH441" s="782"/>
    </row>
    <row r="442" spans="1:138" ht="12.75" customHeight="1" x14ac:dyDescent="0.3">
      <c r="A442" s="782"/>
      <c r="B442" s="803" t="s">
        <v>291</v>
      </c>
      <c r="C442" s="798">
        <f>+C439-SUM(C433,C427)</f>
        <v>0</v>
      </c>
      <c r="D442" s="782"/>
      <c r="E442" s="798"/>
      <c r="F442" s="798"/>
      <c r="G442" s="798"/>
      <c r="H442" s="798"/>
      <c r="I442" s="798"/>
      <c r="J442" s="798"/>
      <c r="K442" s="798"/>
      <c r="L442" s="798"/>
      <c r="M442" s="798"/>
      <c r="N442" s="798"/>
      <c r="O442" s="798"/>
      <c r="P442" s="798"/>
      <c r="Q442" s="798"/>
      <c r="R442" s="798"/>
      <c r="S442" s="798"/>
      <c r="T442" s="798"/>
      <c r="U442" s="798"/>
      <c r="V442" s="798"/>
      <c r="W442" s="798"/>
      <c r="X442" s="798"/>
      <c r="Y442" s="798"/>
      <c r="Z442" s="798"/>
      <c r="AA442" s="798"/>
      <c r="AB442" s="798"/>
      <c r="AC442" s="798"/>
      <c r="AD442" s="798"/>
      <c r="AE442" s="798"/>
      <c r="AF442" s="798"/>
      <c r="AG442" s="798"/>
      <c r="AH442" s="798"/>
      <c r="AI442" s="798"/>
      <c r="AJ442" s="798"/>
      <c r="AK442" s="798"/>
      <c r="AL442" s="798"/>
      <c r="AM442" s="798"/>
      <c r="AN442" s="798"/>
      <c r="AO442" s="798"/>
      <c r="AP442" s="798"/>
      <c r="AQ442" s="798"/>
      <c r="AR442" s="798"/>
      <c r="AS442" s="798"/>
      <c r="AT442" s="798"/>
      <c r="AU442" s="798"/>
      <c r="AV442" s="798"/>
      <c r="AW442" s="798"/>
      <c r="AX442" s="798"/>
      <c r="AY442" s="798"/>
      <c r="AZ442" s="798"/>
      <c r="BA442" s="798"/>
      <c r="BB442" s="798"/>
      <c r="BC442" s="798"/>
      <c r="BD442" s="798"/>
      <c r="BE442" s="798"/>
      <c r="BF442" s="798"/>
      <c r="BG442" s="798"/>
      <c r="BH442" s="798"/>
      <c r="BI442" s="798"/>
      <c r="BJ442" s="798"/>
      <c r="BK442" s="798"/>
      <c r="BL442" s="798"/>
      <c r="BM442" s="798"/>
      <c r="BN442" s="798"/>
      <c r="BO442" s="798"/>
      <c r="BP442" s="798"/>
      <c r="BQ442" s="798"/>
      <c r="BR442" s="798"/>
      <c r="BS442" s="798"/>
      <c r="BT442" s="798"/>
      <c r="BU442" s="798"/>
      <c r="BV442" s="798"/>
      <c r="BW442" s="798"/>
      <c r="BX442" s="798"/>
      <c r="BY442" s="798"/>
      <c r="BZ442" s="798"/>
      <c r="CA442" s="798"/>
      <c r="CB442" s="798"/>
      <c r="CC442" s="798"/>
      <c r="CD442" s="798"/>
      <c r="CE442" s="798"/>
      <c r="CF442" s="798"/>
      <c r="CG442" s="798"/>
      <c r="CH442" s="798"/>
      <c r="CI442" s="798"/>
      <c r="CJ442" s="798"/>
      <c r="CK442" s="798"/>
      <c r="CL442" s="798"/>
      <c r="CM442" s="798"/>
      <c r="CN442" s="798"/>
      <c r="CO442" s="798"/>
      <c r="CP442" s="798"/>
      <c r="CQ442" s="798"/>
      <c r="CR442" s="798"/>
      <c r="CS442" s="798"/>
      <c r="CT442" s="798"/>
      <c r="CU442" s="798"/>
      <c r="CV442" s="798"/>
      <c r="CW442" s="798"/>
      <c r="CX442" s="798"/>
      <c r="CY442" s="798"/>
      <c r="CZ442" s="798"/>
      <c r="DA442" s="798"/>
      <c r="DB442" s="798"/>
      <c r="DC442" s="798"/>
      <c r="DD442" s="798"/>
      <c r="DE442" s="798"/>
      <c r="DF442" s="798"/>
      <c r="DG442" s="798"/>
      <c r="DH442" s="798"/>
      <c r="DI442" s="798"/>
      <c r="DJ442" s="798"/>
      <c r="DK442" s="798"/>
      <c r="DL442" s="798"/>
      <c r="DM442" s="798"/>
      <c r="DN442" s="798"/>
      <c r="DO442" s="798"/>
      <c r="DP442" s="798"/>
      <c r="DQ442" s="798"/>
      <c r="DR442" s="798"/>
      <c r="DS442" s="798"/>
      <c r="DT442" s="798"/>
      <c r="DU442" s="798"/>
      <c r="DV442" s="798"/>
      <c r="DW442" s="798"/>
      <c r="DX442" s="798"/>
      <c r="DY442" s="798"/>
      <c r="DZ442" s="798"/>
      <c r="EA442" s="798"/>
      <c r="EB442" s="798"/>
      <c r="EC442" s="798"/>
      <c r="ED442" s="798"/>
      <c r="EE442" s="798"/>
      <c r="EF442" s="798"/>
      <c r="EG442" s="798"/>
      <c r="EH442" s="782"/>
    </row>
    <row r="443" spans="1:138" ht="12.75" customHeight="1" x14ac:dyDescent="0.3">
      <c r="A443" s="782"/>
      <c r="B443" s="782"/>
      <c r="C443" s="798"/>
      <c r="D443" s="782"/>
      <c r="E443" s="798"/>
      <c r="F443" s="798"/>
      <c r="G443" s="798"/>
      <c r="H443" s="798"/>
      <c r="I443" s="798"/>
      <c r="J443" s="798"/>
      <c r="K443" s="798"/>
      <c r="L443" s="798"/>
      <c r="M443" s="798"/>
      <c r="N443" s="798"/>
      <c r="O443" s="798"/>
      <c r="P443" s="798"/>
      <c r="Q443" s="798"/>
      <c r="R443" s="798"/>
      <c r="S443" s="798"/>
      <c r="T443" s="798"/>
      <c r="U443" s="798"/>
      <c r="V443" s="798"/>
      <c r="W443" s="798"/>
      <c r="X443" s="798"/>
      <c r="Y443" s="798"/>
      <c r="Z443" s="798"/>
      <c r="AA443" s="798"/>
      <c r="AB443" s="798"/>
      <c r="AC443" s="798"/>
      <c r="AD443" s="798"/>
      <c r="AE443" s="798"/>
      <c r="AF443" s="798"/>
      <c r="AG443" s="798"/>
      <c r="AH443" s="798"/>
      <c r="AI443" s="798"/>
      <c r="AJ443" s="798"/>
      <c r="AK443" s="798"/>
      <c r="AL443" s="798"/>
      <c r="AM443" s="798"/>
      <c r="AN443" s="798"/>
      <c r="AO443" s="798"/>
      <c r="AP443" s="798"/>
      <c r="AQ443" s="798"/>
      <c r="AR443" s="798"/>
      <c r="AS443" s="798"/>
      <c r="AT443" s="798"/>
      <c r="AU443" s="798"/>
      <c r="AV443" s="798"/>
      <c r="AW443" s="798"/>
      <c r="AX443" s="798"/>
      <c r="AY443" s="798"/>
      <c r="AZ443" s="798"/>
      <c r="BA443" s="798"/>
      <c r="BB443" s="798"/>
      <c r="BC443" s="798"/>
      <c r="BD443" s="798"/>
      <c r="BE443" s="798"/>
      <c r="BF443" s="798"/>
      <c r="BG443" s="798"/>
      <c r="BH443" s="798"/>
      <c r="BI443" s="798"/>
      <c r="BJ443" s="798"/>
      <c r="BK443" s="798"/>
      <c r="BL443" s="798"/>
      <c r="BM443" s="798"/>
      <c r="BN443" s="798"/>
      <c r="BO443" s="798"/>
      <c r="BP443" s="798"/>
      <c r="BQ443" s="798"/>
      <c r="BR443" s="798"/>
      <c r="BS443" s="798"/>
      <c r="BT443" s="798"/>
      <c r="BU443" s="798"/>
      <c r="BV443" s="798"/>
      <c r="BW443" s="798"/>
      <c r="BX443" s="798"/>
      <c r="BY443" s="798"/>
      <c r="BZ443" s="798"/>
      <c r="CA443" s="798"/>
      <c r="CB443" s="798"/>
      <c r="CC443" s="798"/>
      <c r="CD443" s="798"/>
      <c r="CE443" s="798"/>
      <c r="CF443" s="798"/>
      <c r="CG443" s="798"/>
      <c r="CH443" s="798"/>
      <c r="CI443" s="798"/>
      <c r="CJ443" s="798"/>
      <c r="CK443" s="798"/>
      <c r="CL443" s="798"/>
      <c r="CM443" s="798"/>
      <c r="CN443" s="798"/>
      <c r="CO443" s="798"/>
      <c r="CP443" s="798"/>
      <c r="CQ443" s="798"/>
      <c r="CR443" s="798"/>
      <c r="CS443" s="798"/>
      <c r="CT443" s="798"/>
      <c r="CU443" s="798"/>
      <c r="CV443" s="798"/>
      <c r="CW443" s="798"/>
      <c r="CX443" s="798"/>
      <c r="CY443" s="798"/>
      <c r="CZ443" s="798"/>
      <c r="DA443" s="798"/>
      <c r="DB443" s="798"/>
      <c r="DC443" s="798"/>
      <c r="DD443" s="798"/>
      <c r="DE443" s="798"/>
      <c r="DF443" s="798"/>
      <c r="DG443" s="798"/>
      <c r="DH443" s="798"/>
      <c r="DI443" s="798"/>
      <c r="DJ443" s="798"/>
      <c r="DK443" s="798"/>
      <c r="DL443" s="798"/>
      <c r="DM443" s="798"/>
      <c r="DN443" s="798"/>
      <c r="DO443" s="798"/>
      <c r="DP443" s="798"/>
      <c r="DQ443" s="798"/>
      <c r="DR443" s="798"/>
      <c r="DS443" s="798"/>
      <c r="DT443" s="798"/>
      <c r="DU443" s="798"/>
      <c r="DV443" s="798"/>
      <c r="DW443" s="798"/>
      <c r="DX443" s="798"/>
      <c r="DY443" s="798"/>
      <c r="DZ443" s="798"/>
      <c r="EA443" s="798"/>
      <c r="EB443" s="798"/>
      <c r="EC443" s="798"/>
      <c r="ED443" s="798"/>
      <c r="EE443" s="798"/>
      <c r="EF443" s="798"/>
      <c r="EG443" s="798"/>
      <c r="EH443" s="782"/>
    </row>
    <row r="444" spans="1:138" ht="12.75" customHeight="1" x14ac:dyDescent="0.3">
      <c r="A444" s="782"/>
      <c r="B444" s="782" t="s">
        <v>349</v>
      </c>
      <c r="C444" s="838">
        <f>SUM(E444:EG444)</f>
        <v>35174257.180067956</v>
      </c>
      <c r="D444" s="782"/>
      <c r="E444" s="798">
        <f>+E135+E339</f>
        <v>0</v>
      </c>
      <c r="F444" s="798">
        <f t="shared" ref="F444:BQ444" si="316">+F135+F339</f>
        <v>0</v>
      </c>
      <c r="G444" s="798">
        <f t="shared" si="316"/>
        <v>0</v>
      </c>
      <c r="H444" s="798">
        <f t="shared" si="316"/>
        <v>0</v>
      </c>
      <c r="I444" s="798">
        <f t="shared" si="316"/>
        <v>0</v>
      </c>
      <c r="J444" s="798">
        <f t="shared" si="316"/>
        <v>0</v>
      </c>
      <c r="K444" s="798">
        <f t="shared" si="316"/>
        <v>0</v>
      </c>
      <c r="L444" s="798">
        <f t="shared" si="316"/>
        <v>0</v>
      </c>
      <c r="M444" s="798">
        <f t="shared" si="316"/>
        <v>0</v>
      </c>
      <c r="N444" s="798">
        <f t="shared" si="316"/>
        <v>0</v>
      </c>
      <c r="O444" s="798">
        <f t="shared" si="316"/>
        <v>0</v>
      </c>
      <c r="P444" s="798">
        <f t="shared" si="316"/>
        <v>0</v>
      </c>
      <c r="Q444" s="798">
        <f t="shared" si="316"/>
        <v>0</v>
      </c>
      <c r="R444" s="798">
        <f t="shared" si="316"/>
        <v>0</v>
      </c>
      <c r="S444" s="798">
        <f t="shared" si="316"/>
        <v>0</v>
      </c>
      <c r="T444" s="798">
        <f t="shared" si="316"/>
        <v>0</v>
      </c>
      <c r="U444" s="798">
        <f t="shared" si="316"/>
        <v>0</v>
      </c>
      <c r="V444" s="798">
        <f t="shared" si="316"/>
        <v>0</v>
      </c>
      <c r="W444" s="798">
        <f t="shared" si="316"/>
        <v>0</v>
      </c>
      <c r="X444" s="798">
        <f t="shared" si="316"/>
        <v>0</v>
      </c>
      <c r="Y444" s="798">
        <f t="shared" si="316"/>
        <v>0</v>
      </c>
      <c r="Z444" s="798">
        <f t="shared" si="316"/>
        <v>0</v>
      </c>
      <c r="AA444" s="798">
        <f t="shared" si="316"/>
        <v>0</v>
      </c>
      <c r="AB444" s="798">
        <f t="shared" si="316"/>
        <v>0</v>
      </c>
      <c r="AC444" s="798">
        <f t="shared" si="316"/>
        <v>0</v>
      </c>
      <c r="AD444" s="798">
        <f t="shared" si="316"/>
        <v>0</v>
      </c>
      <c r="AE444" s="798">
        <f t="shared" si="316"/>
        <v>0</v>
      </c>
      <c r="AF444" s="798">
        <f t="shared" si="316"/>
        <v>0</v>
      </c>
      <c r="AG444" s="798">
        <f t="shared" si="316"/>
        <v>0</v>
      </c>
      <c r="AH444" s="798">
        <f t="shared" si="316"/>
        <v>0</v>
      </c>
      <c r="AI444" s="798">
        <f t="shared" si="316"/>
        <v>0</v>
      </c>
      <c r="AJ444" s="798">
        <f t="shared" si="316"/>
        <v>0</v>
      </c>
      <c r="AK444" s="798">
        <f t="shared" si="316"/>
        <v>-61383319.172322795</v>
      </c>
      <c r="AL444" s="798">
        <f t="shared" si="316"/>
        <v>14315530.3242827</v>
      </c>
      <c r="AM444" s="798">
        <f t="shared" si="316"/>
        <v>205293.34606116661</v>
      </c>
      <c r="AN444" s="798">
        <f t="shared" si="316"/>
        <v>207793.40423970085</v>
      </c>
      <c r="AO444" s="798">
        <f t="shared" si="316"/>
        <v>210260.10262606523</v>
      </c>
      <c r="AP444" s="798">
        <f t="shared" si="316"/>
        <v>211885.65974115423</v>
      </c>
      <c r="AQ444" s="798">
        <f t="shared" si="316"/>
        <v>215188.01193420406</v>
      </c>
      <c r="AR444" s="798">
        <f t="shared" si="316"/>
        <v>218012.9416200624</v>
      </c>
      <c r="AS444" s="798">
        <f t="shared" si="316"/>
        <v>213181.07686987985</v>
      </c>
      <c r="AT444" s="798">
        <f t="shared" si="316"/>
        <v>214770.00861920218</v>
      </c>
      <c r="AU444" s="798">
        <f t="shared" si="316"/>
        <v>216264.46058470523</v>
      </c>
      <c r="AV444" s="798">
        <f t="shared" si="316"/>
        <v>218515.59404432448</v>
      </c>
      <c r="AW444" s="798">
        <f t="shared" si="316"/>
        <v>220675.94358853242</v>
      </c>
      <c r="AX444" s="798">
        <f t="shared" si="316"/>
        <v>222710.56184153532</v>
      </c>
      <c r="AY444" s="798">
        <f t="shared" si="316"/>
        <v>224665.72728851769</v>
      </c>
      <c r="AZ444" s="798">
        <f t="shared" si="316"/>
        <v>226548.52262565284</v>
      </c>
      <c r="BA444" s="798">
        <f t="shared" si="316"/>
        <v>228304.85297686295</v>
      </c>
      <c r="BB444" s="798">
        <f t="shared" si="316"/>
        <v>229344.9930368007</v>
      </c>
      <c r="BC444" s="798">
        <f t="shared" si="316"/>
        <v>231542.10904179295</v>
      </c>
      <c r="BD444" s="798">
        <f t="shared" si="316"/>
        <v>233317.7080138704</v>
      </c>
      <c r="BE444" s="798">
        <f t="shared" si="316"/>
        <v>229013.16839337221</v>
      </c>
      <c r="BF444" s="798">
        <f t="shared" si="316"/>
        <v>229911.66091752306</v>
      </c>
      <c r="BG444" s="798">
        <f t="shared" si="316"/>
        <v>230813.78680437503</v>
      </c>
      <c r="BH444" s="798">
        <f t="shared" si="316"/>
        <v>232345.63973502186</v>
      </c>
      <c r="BI444" s="798">
        <f t="shared" si="316"/>
        <v>233902.4265315792</v>
      </c>
      <c r="BJ444" s="798">
        <f t="shared" si="316"/>
        <v>235545.94755839423</v>
      </c>
      <c r="BK444" s="798">
        <f t="shared" si="316"/>
        <v>237262.50476525677</v>
      </c>
      <c r="BL444" s="798">
        <f t="shared" si="316"/>
        <v>238991.57351446556</v>
      </c>
      <c r="BM444" s="798">
        <f t="shared" si="316"/>
        <v>240811.21361387809</v>
      </c>
      <c r="BN444" s="798">
        <f t="shared" si="316"/>
        <v>242002.34658988175</v>
      </c>
      <c r="BO444" s="798">
        <f t="shared" si="316"/>
        <v>244627.30669974274</v>
      </c>
      <c r="BP444" s="798">
        <f t="shared" si="316"/>
        <v>246922.0418636211</v>
      </c>
      <c r="BQ444" s="798">
        <f t="shared" si="316"/>
        <v>242733.25370419392</v>
      </c>
      <c r="BR444" s="798">
        <f t="shared" ref="BR444:EC444" si="317">+BR135+BR339</f>
        <v>244033.96696505454</v>
      </c>
      <c r="BS444" s="798">
        <f t="shared" si="317"/>
        <v>245313.14997026659</v>
      </c>
      <c r="BT444" s="798">
        <f t="shared" si="317"/>
        <v>247377.11673495109</v>
      </c>
      <c r="BU444" s="798">
        <f t="shared" si="317"/>
        <v>249414.97281073497</v>
      </c>
      <c r="BV444" s="798">
        <f t="shared" si="317"/>
        <v>251479.3205969065</v>
      </c>
      <c r="BW444" s="798">
        <f t="shared" si="317"/>
        <v>253576.88775609701</v>
      </c>
      <c r="BX444" s="798">
        <f t="shared" si="317"/>
        <v>255660.88139998799</v>
      </c>
      <c r="BY444" s="798">
        <f t="shared" si="317"/>
        <v>257780.55934433491</v>
      </c>
      <c r="BZ444" s="798">
        <f t="shared" si="317"/>
        <v>259130.53765731424</v>
      </c>
      <c r="CA444" s="798">
        <f t="shared" si="317"/>
        <v>262044.06866613019</v>
      </c>
      <c r="CB444" s="798">
        <f t="shared" si="317"/>
        <v>264568.88723862561</v>
      </c>
      <c r="CC444" s="798">
        <f t="shared" si="317"/>
        <v>260334.62676779419</v>
      </c>
      <c r="CD444" s="798">
        <f t="shared" si="317"/>
        <v>261766.27506953065</v>
      </c>
      <c r="CE444" s="798">
        <f t="shared" si="317"/>
        <v>263169.39895795332</v>
      </c>
      <c r="CF444" s="798">
        <f t="shared" si="317"/>
        <v>265374.12330500968</v>
      </c>
      <c r="CG444" s="798">
        <f t="shared" si="317"/>
        <v>267569.84631198365</v>
      </c>
      <c r="CH444" s="798">
        <f t="shared" si="317"/>
        <v>269785.75663471175</v>
      </c>
      <c r="CI444" s="798">
        <f t="shared" si="317"/>
        <v>271981.27502716507</v>
      </c>
      <c r="CJ444" s="798">
        <f t="shared" si="317"/>
        <v>274209.9614994725</v>
      </c>
      <c r="CK444" s="798">
        <f t="shared" si="317"/>
        <v>276471.37765448482</v>
      </c>
      <c r="CL444" s="798">
        <f t="shared" si="317"/>
        <v>277910.21305872517</v>
      </c>
      <c r="CM444" s="798">
        <f t="shared" si="317"/>
        <v>280971.24051798158</v>
      </c>
      <c r="CN444" s="798">
        <f t="shared" si="317"/>
        <v>283611.40197433194</v>
      </c>
      <c r="CO444" s="798">
        <f t="shared" si="317"/>
        <v>279273.11677509604</v>
      </c>
      <c r="CP444" s="798">
        <f t="shared" si="317"/>
        <v>280770.93938649778</v>
      </c>
      <c r="CQ444" s="798">
        <f t="shared" si="317"/>
        <v>282239.46279127692</v>
      </c>
      <c r="CR444" s="798">
        <f t="shared" si="317"/>
        <v>284516.27143163967</v>
      </c>
      <c r="CS444" s="798">
        <f t="shared" si="317"/>
        <v>286814.10642290174</v>
      </c>
      <c r="CT444" s="798">
        <f t="shared" si="317"/>
        <v>289146.38855799765</v>
      </c>
      <c r="CU444" s="798">
        <f t="shared" si="317"/>
        <v>291451.51423692808</v>
      </c>
      <c r="CV444" s="798">
        <f t="shared" si="317"/>
        <v>293779.70006957493</v>
      </c>
      <c r="CW444" s="798">
        <f t="shared" si="317"/>
        <v>66877360.787071258</v>
      </c>
      <c r="CX444" s="798">
        <f t="shared" si="317"/>
        <v>0</v>
      </c>
      <c r="CY444" s="798">
        <f t="shared" si="317"/>
        <v>0</v>
      </c>
      <c r="CZ444" s="798">
        <f t="shared" si="317"/>
        <v>0</v>
      </c>
      <c r="DA444" s="798">
        <f t="shared" si="317"/>
        <v>0</v>
      </c>
      <c r="DB444" s="798">
        <f t="shared" si="317"/>
        <v>0</v>
      </c>
      <c r="DC444" s="798">
        <f t="shared" si="317"/>
        <v>0</v>
      </c>
      <c r="DD444" s="798">
        <f t="shared" si="317"/>
        <v>0</v>
      </c>
      <c r="DE444" s="798">
        <f t="shared" si="317"/>
        <v>0</v>
      </c>
      <c r="DF444" s="798">
        <f t="shared" si="317"/>
        <v>0</v>
      </c>
      <c r="DG444" s="798">
        <f t="shared" si="317"/>
        <v>0</v>
      </c>
      <c r="DH444" s="798">
        <f t="shared" si="317"/>
        <v>0</v>
      </c>
      <c r="DI444" s="798">
        <f t="shared" si="317"/>
        <v>0</v>
      </c>
      <c r="DJ444" s="798">
        <f t="shared" si="317"/>
        <v>0</v>
      </c>
      <c r="DK444" s="798">
        <f t="shared" si="317"/>
        <v>0</v>
      </c>
      <c r="DL444" s="798">
        <f t="shared" si="317"/>
        <v>0</v>
      </c>
      <c r="DM444" s="798">
        <f t="shared" si="317"/>
        <v>0</v>
      </c>
      <c r="DN444" s="798">
        <f t="shared" si="317"/>
        <v>0</v>
      </c>
      <c r="DO444" s="798">
        <f t="shared" si="317"/>
        <v>0</v>
      </c>
      <c r="DP444" s="798">
        <f t="shared" si="317"/>
        <v>0</v>
      </c>
      <c r="DQ444" s="798">
        <f t="shared" si="317"/>
        <v>0</v>
      </c>
      <c r="DR444" s="798">
        <f t="shared" si="317"/>
        <v>0</v>
      </c>
      <c r="DS444" s="798">
        <f t="shared" si="317"/>
        <v>0</v>
      </c>
      <c r="DT444" s="798">
        <f t="shared" si="317"/>
        <v>0</v>
      </c>
      <c r="DU444" s="798">
        <f t="shared" si="317"/>
        <v>0</v>
      </c>
      <c r="DV444" s="798">
        <f t="shared" si="317"/>
        <v>0</v>
      </c>
      <c r="DW444" s="798">
        <f t="shared" si="317"/>
        <v>0</v>
      </c>
      <c r="DX444" s="798">
        <f t="shared" si="317"/>
        <v>0</v>
      </c>
      <c r="DY444" s="798">
        <f t="shared" si="317"/>
        <v>0</v>
      </c>
      <c r="DZ444" s="798">
        <f t="shared" si="317"/>
        <v>0</v>
      </c>
      <c r="EA444" s="798">
        <f t="shared" si="317"/>
        <v>0</v>
      </c>
      <c r="EB444" s="798">
        <f t="shared" si="317"/>
        <v>0</v>
      </c>
      <c r="EC444" s="798">
        <f t="shared" si="317"/>
        <v>0</v>
      </c>
      <c r="ED444" s="798">
        <f>+ED135+ED339</f>
        <v>0</v>
      </c>
      <c r="EE444" s="798">
        <f>+EE135+EE339</f>
        <v>0</v>
      </c>
      <c r="EF444" s="798">
        <f>+EF135+EF339</f>
        <v>0</v>
      </c>
      <c r="EG444" s="798">
        <f>+EG135+EG339</f>
        <v>0</v>
      </c>
      <c r="EH444" s="782"/>
    </row>
    <row r="445" spans="1:138" ht="12.75" customHeight="1" x14ac:dyDescent="0.3">
      <c r="A445" s="782"/>
      <c r="B445" s="833" t="s">
        <v>350</v>
      </c>
      <c r="C445" s="834">
        <f>XIRR(OFFSET($E$444,0,$D$210):$DU$444,OFFSET($E$4,0,$D$210):$DU$4)</f>
        <v>0.12290765643119811</v>
      </c>
      <c r="D445" s="782"/>
      <c r="E445" s="798"/>
      <c r="F445" s="798"/>
      <c r="G445" s="798"/>
      <c r="H445" s="798"/>
      <c r="I445" s="798"/>
      <c r="J445" s="798"/>
      <c r="K445" s="798"/>
      <c r="L445" s="798"/>
      <c r="M445" s="798"/>
      <c r="N445" s="798"/>
      <c r="O445" s="798"/>
      <c r="P445" s="798"/>
      <c r="Q445" s="798"/>
      <c r="R445" s="798"/>
      <c r="S445" s="798"/>
      <c r="T445" s="798"/>
      <c r="U445" s="798"/>
      <c r="V445" s="798"/>
      <c r="W445" s="798"/>
      <c r="X445" s="798"/>
      <c r="Y445" s="798"/>
      <c r="Z445" s="798"/>
      <c r="AA445" s="798"/>
      <c r="AB445" s="798"/>
      <c r="AC445" s="798"/>
      <c r="AD445" s="798"/>
      <c r="AE445" s="798"/>
      <c r="AF445" s="798"/>
      <c r="AG445" s="798"/>
      <c r="AH445" s="798"/>
      <c r="AI445" s="798"/>
      <c r="AJ445" s="798"/>
      <c r="AK445" s="798"/>
      <c r="AL445" s="798"/>
      <c r="AM445" s="798"/>
      <c r="AN445" s="798"/>
      <c r="AO445" s="798"/>
      <c r="AP445" s="798"/>
      <c r="AQ445" s="798"/>
      <c r="AR445" s="798"/>
      <c r="AS445" s="798"/>
      <c r="AT445" s="798"/>
      <c r="AU445" s="798"/>
      <c r="AV445" s="798"/>
      <c r="AW445" s="798"/>
      <c r="AX445" s="798"/>
      <c r="AY445" s="798"/>
      <c r="AZ445" s="798"/>
      <c r="BA445" s="798"/>
      <c r="BB445" s="798"/>
      <c r="BC445" s="798"/>
      <c r="BD445" s="798"/>
      <c r="BE445" s="798"/>
      <c r="BF445" s="798"/>
      <c r="BG445" s="798"/>
      <c r="BH445" s="798"/>
      <c r="BI445" s="798"/>
      <c r="BJ445" s="798"/>
      <c r="BK445" s="798"/>
      <c r="BL445" s="798"/>
      <c r="BM445" s="798"/>
      <c r="BN445" s="798"/>
      <c r="BO445" s="798"/>
      <c r="BP445" s="798"/>
      <c r="BQ445" s="798"/>
      <c r="BR445" s="798"/>
      <c r="BS445" s="798"/>
      <c r="BT445" s="798"/>
      <c r="BU445" s="798"/>
      <c r="BV445" s="798"/>
      <c r="BW445" s="798"/>
      <c r="BX445" s="798"/>
      <c r="BY445" s="798"/>
      <c r="BZ445" s="798"/>
      <c r="CA445" s="798"/>
      <c r="CB445" s="798"/>
      <c r="CC445" s="798"/>
      <c r="CD445" s="798"/>
      <c r="CE445" s="798"/>
      <c r="CF445" s="798"/>
      <c r="CG445" s="798"/>
      <c r="CH445" s="798"/>
      <c r="CI445" s="798"/>
      <c r="CJ445" s="798"/>
      <c r="CK445" s="798"/>
      <c r="CL445" s="798"/>
      <c r="CM445" s="798"/>
      <c r="CN445" s="798"/>
      <c r="CO445" s="798"/>
      <c r="CP445" s="798"/>
      <c r="CQ445" s="798"/>
      <c r="CR445" s="798"/>
      <c r="CS445" s="798"/>
      <c r="CT445" s="798"/>
      <c r="CU445" s="798"/>
      <c r="CV445" s="798"/>
      <c r="CW445" s="798"/>
      <c r="CX445" s="798"/>
      <c r="CY445" s="798"/>
      <c r="CZ445" s="798"/>
      <c r="DA445" s="798"/>
      <c r="DB445" s="798"/>
      <c r="DC445" s="798"/>
      <c r="DD445" s="798"/>
      <c r="DE445" s="798"/>
      <c r="DF445" s="798"/>
      <c r="DG445" s="798"/>
      <c r="DH445" s="798"/>
      <c r="DI445" s="798"/>
      <c r="DJ445" s="798"/>
      <c r="DK445" s="798"/>
      <c r="DL445" s="798"/>
      <c r="DM445" s="798"/>
      <c r="DN445" s="798"/>
      <c r="DO445" s="798"/>
      <c r="DP445" s="798"/>
      <c r="DQ445" s="798"/>
      <c r="DR445" s="798"/>
      <c r="DS445" s="798"/>
      <c r="DT445" s="798"/>
      <c r="DU445" s="798"/>
      <c r="DV445" s="798"/>
      <c r="DW445" s="798"/>
      <c r="DX445" s="798"/>
      <c r="DY445" s="798"/>
      <c r="DZ445" s="798"/>
      <c r="EA445" s="798"/>
      <c r="EB445" s="798"/>
      <c r="EC445" s="798"/>
      <c r="ED445" s="798"/>
      <c r="EE445" s="798"/>
      <c r="EF445" s="798"/>
      <c r="EG445" s="798"/>
      <c r="EH445" s="782"/>
    </row>
    <row r="446" spans="1:138" ht="12.75" customHeight="1" x14ac:dyDescent="0.3">
      <c r="A446" s="782"/>
      <c r="B446" s="835" t="s">
        <v>351</v>
      </c>
      <c r="C446" s="846">
        <f>SUMIF($E$444:$EG$444,"&gt;0")/-SUMIF($E$444:$EG$444,"&lt;0")</f>
        <v>1.5730263148742814</v>
      </c>
      <c r="D446" s="782"/>
      <c r="E446" s="798"/>
      <c r="F446" s="798"/>
      <c r="G446" s="798"/>
      <c r="H446" s="798"/>
      <c r="I446" s="798"/>
      <c r="J446" s="798"/>
      <c r="K446" s="798"/>
      <c r="L446" s="798"/>
      <c r="M446" s="798"/>
      <c r="N446" s="798"/>
      <c r="O446" s="798"/>
      <c r="P446" s="798"/>
      <c r="Q446" s="798"/>
      <c r="R446" s="798"/>
      <c r="S446" s="798"/>
      <c r="T446" s="798"/>
      <c r="U446" s="798"/>
      <c r="V446" s="798"/>
      <c r="W446" s="798"/>
      <c r="X446" s="798"/>
      <c r="Y446" s="798"/>
      <c r="Z446" s="798"/>
      <c r="AA446" s="798"/>
      <c r="AB446" s="798"/>
      <c r="AC446" s="798"/>
      <c r="AD446" s="798"/>
      <c r="AE446" s="798"/>
      <c r="AF446" s="798"/>
      <c r="AG446" s="798"/>
      <c r="AH446" s="798"/>
      <c r="AI446" s="798"/>
      <c r="AJ446" s="798"/>
      <c r="AK446" s="798"/>
      <c r="AL446" s="798"/>
      <c r="AM446" s="798"/>
      <c r="AN446" s="798"/>
      <c r="AO446" s="798"/>
      <c r="AP446" s="798"/>
      <c r="AQ446" s="798"/>
      <c r="AR446" s="798"/>
      <c r="AS446" s="798"/>
      <c r="AT446" s="798"/>
      <c r="AU446" s="798"/>
      <c r="AV446" s="798"/>
      <c r="AW446" s="798"/>
      <c r="AX446" s="798"/>
      <c r="AY446" s="798"/>
      <c r="AZ446" s="798"/>
      <c r="BA446" s="798"/>
      <c r="BB446" s="798"/>
      <c r="BC446" s="798"/>
      <c r="BD446" s="798"/>
      <c r="BE446" s="798"/>
      <c r="BF446" s="798"/>
      <c r="BG446" s="798"/>
      <c r="BH446" s="798"/>
      <c r="BI446" s="798"/>
      <c r="BJ446" s="798"/>
      <c r="BK446" s="798"/>
      <c r="BL446" s="798"/>
      <c r="BM446" s="798"/>
      <c r="BN446" s="798"/>
      <c r="BO446" s="798"/>
      <c r="BP446" s="798"/>
      <c r="BQ446" s="798"/>
      <c r="BR446" s="798"/>
      <c r="BS446" s="798"/>
      <c r="BT446" s="798"/>
      <c r="BU446" s="798"/>
      <c r="BV446" s="798"/>
      <c r="BW446" s="798"/>
      <c r="BX446" s="798"/>
      <c r="BY446" s="798"/>
      <c r="BZ446" s="798"/>
      <c r="CA446" s="798"/>
      <c r="CB446" s="798"/>
      <c r="CC446" s="798"/>
      <c r="CD446" s="798"/>
      <c r="CE446" s="798"/>
      <c r="CF446" s="798"/>
      <c r="CG446" s="798"/>
      <c r="CH446" s="798"/>
      <c r="CI446" s="798"/>
      <c r="CJ446" s="798"/>
      <c r="CK446" s="798"/>
      <c r="CL446" s="798"/>
      <c r="CM446" s="798"/>
      <c r="CN446" s="798"/>
      <c r="CO446" s="798"/>
      <c r="CP446" s="798"/>
      <c r="CQ446" s="798"/>
      <c r="CR446" s="798"/>
      <c r="CS446" s="798"/>
      <c r="CT446" s="798"/>
      <c r="CU446" s="798"/>
      <c r="CV446" s="798"/>
      <c r="CW446" s="798"/>
      <c r="CX446" s="798"/>
      <c r="CY446" s="798"/>
      <c r="CZ446" s="798"/>
      <c r="DA446" s="798"/>
      <c r="DB446" s="798"/>
      <c r="DC446" s="798"/>
      <c r="DD446" s="798"/>
      <c r="DE446" s="798"/>
      <c r="DF446" s="798"/>
      <c r="DG446" s="798"/>
      <c r="DH446" s="798"/>
      <c r="DI446" s="798"/>
      <c r="DJ446" s="798"/>
      <c r="DK446" s="798"/>
      <c r="DL446" s="798"/>
      <c r="DM446" s="798"/>
      <c r="DN446" s="798"/>
      <c r="DO446" s="798"/>
      <c r="DP446" s="798"/>
      <c r="DQ446" s="798"/>
      <c r="DR446" s="798"/>
      <c r="DS446" s="798"/>
      <c r="DT446" s="798"/>
      <c r="DU446" s="798"/>
      <c r="DV446" s="798"/>
      <c r="DW446" s="798"/>
      <c r="DX446" s="798"/>
      <c r="DY446" s="798"/>
      <c r="DZ446" s="798"/>
      <c r="EA446" s="798"/>
      <c r="EB446" s="798"/>
      <c r="EC446" s="798"/>
      <c r="ED446" s="798"/>
      <c r="EE446" s="798"/>
      <c r="EF446" s="798"/>
      <c r="EG446" s="798"/>
      <c r="EH446" s="782"/>
    </row>
    <row r="447" spans="1:138" ht="12.75" customHeight="1" x14ac:dyDescent="0.3">
      <c r="A447" s="782"/>
      <c r="B447" s="1388" t="s">
        <v>352</v>
      </c>
      <c r="C447" s="798"/>
      <c r="D447" s="782"/>
      <c r="E447" s="798"/>
      <c r="F447" s="798"/>
      <c r="G447" s="798"/>
      <c r="H447" s="798"/>
      <c r="I447" s="798"/>
      <c r="J447" s="798"/>
      <c r="K447" s="798"/>
      <c r="L447" s="798"/>
      <c r="M447" s="798"/>
      <c r="N447" s="798"/>
      <c r="O447" s="798"/>
      <c r="P447" s="798"/>
      <c r="Q447" s="798"/>
      <c r="R447" s="798"/>
      <c r="S447" s="798"/>
      <c r="T447" s="798"/>
      <c r="U447" s="798"/>
      <c r="V447" s="798"/>
      <c r="W447" s="798"/>
      <c r="X447" s="798"/>
      <c r="Y447" s="798"/>
      <c r="Z447" s="798"/>
      <c r="AA447" s="798"/>
      <c r="AB447" s="798"/>
      <c r="AC447" s="798"/>
      <c r="AD447" s="798"/>
      <c r="AE447" s="798"/>
      <c r="AF447" s="798"/>
      <c r="AG447" s="798"/>
      <c r="AH447" s="798"/>
      <c r="AI447" s="798"/>
      <c r="AJ447" s="798"/>
      <c r="AK447" s="798"/>
      <c r="AL447" s="798"/>
      <c r="AM447" s="798"/>
      <c r="AN447" s="798"/>
      <c r="AO447" s="798"/>
      <c r="AP447" s="798"/>
      <c r="AQ447" s="798"/>
      <c r="AR447" s="798"/>
      <c r="AS447" s="798"/>
      <c r="AT447" s="798"/>
      <c r="AU447" s="798"/>
      <c r="AV447" s="798"/>
      <c r="AW447" s="798"/>
      <c r="AX447" s="798"/>
      <c r="AY447" s="798"/>
      <c r="AZ447" s="798"/>
      <c r="BA447" s="798"/>
      <c r="BB447" s="798"/>
      <c r="BC447" s="798"/>
      <c r="BD447" s="798"/>
      <c r="BE447" s="798"/>
      <c r="BF447" s="798"/>
      <c r="BG447" s="798"/>
      <c r="BH447" s="798"/>
      <c r="BI447" s="798"/>
      <c r="BJ447" s="798"/>
      <c r="BK447" s="798"/>
      <c r="BL447" s="798"/>
      <c r="BM447" s="798"/>
      <c r="BN447" s="798"/>
      <c r="BO447" s="798"/>
      <c r="BP447" s="798"/>
      <c r="BQ447" s="798"/>
      <c r="BR447" s="798"/>
      <c r="BS447" s="798"/>
      <c r="BT447" s="798"/>
      <c r="BU447" s="798"/>
      <c r="BV447" s="798"/>
      <c r="BW447" s="798"/>
      <c r="BX447" s="798"/>
      <c r="BY447" s="798"/>
      <c r="BZ447" s="798"/>
      <c r="CA447" s="798"/>
      <c r="CB447" s="798"/>
      <c r="CC447" s="798"/>
      <c r="CD447" s="798"/>
      <c r="CE447" s="798"/>
      <c r="CF447" s="798"/>
      <c r="CG447" s="798"/>
      <c r="CH447" s="798"/>
      <c r="CI447" s="798"/>
      <c r="CJ447" s="798"/>
      <c r="CK447" s="798"/>
      <c r="CL447" s="798"/>
      <c r="CM447" s="798"/>
      <c r="CN447" s="798"/>
      <c r="CO447" s="798"/>
      <c r="CP447" s="798"/>
      <c r="CQ447" s="798"/>
      <c r="CR447" s="798"/>
      <c r="CS447" s="798"/>
      <c r="CT447" s="798"/>
      <c r="CU447" s="798"/>
      <c r="CV447" s="798"/>
      <c r="CW447" s="798"/>
      <c r="CX447" s="798"/>
      <c r="CY447" s="798"/>
      <c r="CZ447" s="798"/>
      <c r="DA447" s="798"/>
      <c r="DB447" s="798"/>
      <c r="DC447" s="798"/>
      <c r="DD447" s="798"/>
      <c r="DE447" s="798"/>
      <c r="DF447" s="798"/>
      <c r="DG447" s="798"/>
      <c r="DH447" s="798"/>
      <c r="DI447" s="798"/>
      <c r="DJ447" s="798"/>
      <c r="DK447" s="798"/>
      <c r="DL447" s="798"/>
      <c r="DM447" s="798"/>
      <c r="DN447" s="798"/>
      <c r="DO447" s="798"/>
      <c r="DP447" s="798"/>
      <c r="DQ447" s="798"/>
      <c r="DR447" s="798"/>
      <c r="DS447" s="798"/>
      <c r="DT447" s="798"/>
      <c r="DU447" s="798"/>
      <c r="DV447" s="798"/>
      <c r="DW447" s="798"/>
      <c r="DX447" s="798"/>
      <c r="DY447" s="798"/>
      <c r="DZ447" s="798"/>
      <c r="EA447" s="798"/>
      <c r="EB447" s="798"/>
      <c r="EC447" s="798"/>
      <c r="ED447" s="798"/>
      <c r="EE447" s="798"/>
      <c r="EF447" s="798"/>
      <c r="EG447" s="798"/>
      <c r="EH447" s="782"/>
    </row>
    <row r="448" spans="1:138" ht="12.75" customHeight="1" x14ac:dyDescent="0.3">
      <c r="A448" s="782"/>
      <c r="B448" s="1388"/>
      <c r="C448" s="798"/>
      <c r="D448" s="782"/>
      <c r="E448" s="798"/>
      <c r="F448" s="798"/>
      <c r="G448" s="798"/>
      <c r="H448" s="798"/>
      <c r="I448" s="798"/>
      <c r="J448" s="798"/>
      <c r="K448" s="798"/>
      <c r="L448" s="798"/>
      <c r="M448" s="798"/>
      <c r="N448" s="798"/>
      <c r="O448" s="798"/>
      <c r="P448" s="798"/>
      <c r="Q448" s="798"/>
      <c r="R448" s="798"/>
      <c r="S448" s="798"/>
      <c r="T448" s="798"/>
      <c r="U448" s="798"/>
      <c r="V448" s="798"/>
      <c r="W448" s="798"/>
      <c r="X448" s="798"/>
      <c r="Y448" s="798"/>
      <c r="Z448" s="798"/>
      <c r="AA448" s="798"/>
      <c r="AB448" s="798"/>
      <c r="AC448" s="798"/>
      <c r="AD448" s="798"/>
      <c r="AE448" s="798"/>
      <c r="AF448" s="798"/>
      <c r="AG448" s="798"/>
      <c r="AH448" s="798"/>
      <c r="AI448" s="798"/>
      <c r="AJ448" s="798"/>
      <c r="AK448" s="798"/>
      <c r="AL448" s="798"/>
      <c r="AM448" s="798"/>
      <c r="AN448" s="798"/>
      <c r="AO448" s="798"/>
      <c r="AP448" s="798"/>
      <c r="AQ448" s="798"/>
      <c r="AR448" s="798"/>
      <c r="AS448" s="798"/>
      <c r="AT448" s="798"/>
      <c r="AU448" s="798"/>
      <c r="AV448" s="798"/>
      <c r="AW448" s="798"/>
      <c r="AX448" s="798"/>
      <c r="AY448" s="798"/>
      <c r="AZ448" s="798"/>
      <c r="BA448" s="798"/>
      <c r="BB448" s="798"/>
      <c r="BC448" s="798"/>
      <c r="BD448" s="798"/>
      <c r="BE448" s="798"/>
      <c r="BF448" s="798"/>
      <c r="BG448" s="798"/>
      <c r="BH448" s="798"/>
      <c r="BI448" s="798"/>
      <c r="BJ448" s="798"/>
      <c r="BK448" s="798"/>
      <c r="BL448" s="798"/>
      <c r="BM448" s="798"/>
      <c r="BN448" s="798"/>
      <c r="BO448" s="798"/>
      <c r="BP448" s="798"/>
      <c r="BQ448" s="798"/>
      <c r="BR448" s="798"/>
      <c r="BS448" s="798"/>
      <c r="BT448" s="798"/>
      <c r="BU448" s="798"/>
      <c r="BV448" s="798"/>
      <c r="BW448" s="798"/>
      <c r="BX448" s="798"/>
      <c r="BY448" s="798"/>
      <c r="BZ448" s="798"/>
      <c r="CA448" s="798"/>
      <c r="CB448" s="798"/>
      <c r="CC448" s="798"/>
      <c r="CD448" s="798"/>
      <c r="CE448" s="798"/>
      <c r="CF448" s="798"/>
      <c r="CG448" s="798"/>
      <c r="CH448" s="798"/>
      <c r="CI448" s="798"/>
      <c r="CJ448" s="798"/>
      <c r="CK448" s="798"/>
      <c r="CL448" s="798"/>
      <c r="CM448" s="798"/>
      <c r="CN448" s="798"/>
      <c r="CO448" s="798"/>
      <c r="CP448" s="798"/>
      <c r="CQ448" s="798"/>
      <c r="CR448" s="798"/>
      <c r="CS448" s="798"/>
      <c r="CT448" s="798"/>
      <c r="CU448" s="798"/>
      <c r="CV448" s="798"/>
      <c r="CW448" s="798"/>
      <c r="CX448" s="798"/>
      <c r="CY448" s="798"/>
      <c r="CZ448" s="798"/>
      <c r="DA448" s="798"/>
      <c r="DB448" s="798"/>
      <c r="DC448" s="798"/>
      <c r="DD448" s="798"/>
      <c r="DE448" s="798"/>
      <c r="DF448" s="798"/>
      <c r="DG448" s="798"/>
      <c r="DH448" s="798"/>
      <c r="DI448" s="798"/>
      <c r="DJ448" s="798"/>
      <c r="DK448" s="798"/>
      <c r="DL448" s="798"/>
      <c r="DM448" s="798"/>
      <c r="DN448" s="798"/>
      <c r="DO448" s="798"/>
      <c r="DP448" s="798"/>
      <c r="DQ448" s="798"/>
      <c r="DR448" s="798"/>
      <c r="DS448" s="798"/>
      <c r="DT448" s="798"/>
      <c r="DU448" s="798"/>
      <c r="DV448" s="798"/>
      <c r="DW448" s="798"/>
      <c r="DX448" s="798"/>
      <c r="DY448" s="798"/>
      <c r="DZ448" s="798"/>
      <c r="EA448" s="798"/>
      <c r="EB448" s="798"/>
      <c r="EC448" s="798"/>
      <c r="ED448" s="798"/>
      <c r="EE448" s="798"/>
      <c r="EF448" s="798"/>
      <c r="EG448" s="798"/>
      <c r="EH448" s="782"/>
    </row>
    <row r="449" spans="1:138" ht="12.75" customHeight="1" x14ac:dyDescent="0.3">
      <c r="A449" s="1389"/>
      <c r="B449" s="1390" t="s">
        <v>353</v>
      </c>
      <c r="C449" s="1391"/>
      <c r="D449" s="1389"/>
      <c r="E449" s="1391"/>
      <c r="F449" s="1391"/>
      <c r="G449" s="1391"/>
      <c r="H449" s="1391"/>
      <c r="I449" s="1391"/>
      <c r="J449" s="1391"/>
      <c r="K449" s="1391"/>
      <c r="L449" s="1391"/>
      <c r="M449" s="1391"/>
      <c r="N449" s="1391"/>
      <c r="O449" s="1391"/>
      <c r="P449" s="798"/>
      <c r="Q449" s="798"/>
      <c r="R449" s="798"/>
      <c r="S449" s="798"/>
      <c r="T449" s="798"/>
      <c r="U449" s="798"/>
      <c r="V449" s="798"/>
      <c r="W449" s="798"/>
      <c r="X449" s="798"/>
      <c r="Y449" s="798"/>
      <c r="Z449" s="798"/>
      <c r="AA449" s="798"/>
      <c r="AB449" s="798"/>
      <c r="AC449" s="798"/>
      <c r="AD449" s="798"/>
      <c r="AE449" s="798"/>
      <c r="AF449" s="798"/>
      <c r="AG449" s="798"/>
      <c r="AH449" s="798"/>
      <c r="AI449" s="798"/>
      <c r="AJ449" s="798"/>
      <c r="AK449" s="798"/>
      <c r="AL449" s="798"/>
      <c r="AM449" s="798"/>
      <c r="AN449" s="798"/>
      <c r="AO449" s="798"/>
      <c r="AP449" s="798"/>
      <c r="AQ449" s="798"/>
      <c r="AR449" s="798"/>
      <c r="AS449" s="798"/>
      <c r="AT449" s="798"/>
      <c r="AU449" s="798"/>
      <c r="AV449" s="798"/>
      <c r="AW449" s="798"/>
      <c r="AX449" s="798"/>
      <c r="AY449" s="798"/>
      <c r="AZ449" s="798"/>
      <c r="BA449" s="798"/>
      <c r="BB449" s="798"/>
      <c r="BC449" s="798"/>
      <c r="BD449" s="798"/>
      <c r="BE449" s="798"/>
      <c r="BF449" s="798"/>
      <c r="BG449" s="798"/>
      <c r="BH449" s="798"/>
      <c r="BI449" s="798"/>
      <c r="BJ449" s="798"/>
      <c r="BK449" s="798"/>
      <c r="BL449" s="798"/>
      <c r="BM449" s="798"/>
      <c r="BN449" s="798"/>
      <c r="BO449" s="798"/>
      <c r="BP449" s="798"/>
      <c r="BQ449" s="798"/>
      <c r="BR449" s="798"/>
      <c r="BS449" s="798"/>
      <c r="BT449" s="798"/>
      <c r="BU449" s="798"/>
      <c r="BV449" s="798"/>
      <c r="BW449" s="798"/>
      <c r="BX449" s="798"/>
      <c r="BY449" s="798"/>
      <c r="BZ449" s="798"/>
      <c r="CA449" s="798"/>
      <c r="CB449" s="798"/>
      <c r="CC449" s="798"/>
      <c r="CD449" s="798"/>
      <c r="CE449" s="798"/>
      <c r="CF449" s="798"/>
      <c r="CG449" s="798"/>
      <c r="CH449" s="798"/>
      <c r="CI449" s="798"/>
      <c r="CJ449" s="798"/>
      <c r="CK449" s="798"/>
      <c r="CL449" s="798"/>
      <c r="CM449" s="798"/>
      <c r="CN449" s="798"/>
      <c r="CO449" s="798"/>
      <c r="CP449" s="798"/>
      <c r="CQ449" s="798"/>
      <c r="CR449" s="798"/>
      <c r="CS449" s="798"/>
      <c r="CT449" s="798"/>
      <c r="CU449" s="798"/>
      <c r="CV449" s="798"/>
      <c r="CW449" s="798"/>
      <c r="CX449" s="798"/>
      <c r="CY449" s="798"/>
      <c r="CZ449" s="798"/>
      <c r="DA449" s="798"/>
      <c r="DB449" s="798"/>
      <c r="DC449" s="798"/>
      <c r="DD449" s="798"/>
      <c r="DE449" s="798"/>
      <c r="DF449" s="798"/>
      <c r="DG449" s="798"/>
      <c r="DH449" s="798"/>
      <c r="DI449" s="798"/>
      <c r="DJ449" s="798"/>
      <c r="DK449" s="798"/>
      <c r="DL449" s="798"/>
      <c r="DM449" s="798"/>
      <c r="DN449" s="798"/>
      <c r="DO449" s="798"/>
      <c r="DP449" s="798"/>
      <c r="DQ449" s="798"/>
      <c r="DR449" s="798"/>
      <c r="DS449" s="798"/>
      <c r="DT449" s="798"/>
      <c r="DU449" s="798"/>
      <c r="DV449" s="798"/>
      <c r="DW449" s="798"/>
      <c r="DX449" s="798"/>
      <c r="DY449" s="798"/>
      <c r="DZ449" s="798"/>
      <c r="EA449" s="798"/>
      <c r="EB449" s="798"/>
      <c r="EC449" s="798"/>
      <c r="ED449" s="798"/>
      <c r="EE449" s="798"/>
      <c r="EF449" s="798"/>
      <c r="EG449" s="798"/>
      <c r="EH449" s="782"/>
    </row>
    <row r="450" spans="1:138" ht="12.75" customHeight="1" x14ac:dyDescent="0.3">
      <c r="A450" s="782" t="s">
        <v>338</v>
      </c>
      <c r="B450" s="782"/>
      <c r="C450" s="798"/>
      <c r="D450" s="782"/>
      <c r="E450" s="798"/>
      <c r="F450" s="798"/>
      <c r="G450" s="798"/>
      <c r="H450" s="798"/>
      <c r="I450" s="798"/>
      <c r="J450" s="798"/>
      <c r="K450" s="798"/>
      <c r="L450" s="798"/>
      <c r="M450" s="798"/>
      <c r="N450" s="798"/>
      <c r="O450" s="798"/>
      <c r="P450" s="798"/>
      <c r="Q450" s="798"/>
      <c r="R450" s="798"/>
      <c r="S450" s="798"/>
      <c r="T450" s="798"/>
      <c r="U450" s="798"/>
      <c r="V450" s="798"/>
      <c r="W450" s="798"/>
      <c r="X450" s="798"/>
      <c r="Y450" s="798"/>
      <c r="Z450" s="798"/>
      <c r="AA450" s="798"/>
      <c r="AB450" s="798"/>
      <c r="AC450" s="798"/>
      <c r="AD450" s="798"/>
      <c r="AE450" s="798"/>
      <c r="AF450" s="798"/>
      <c r="AG450" s="798"/>
      <c r="AH450" s="798"/>
      <c r="AI450" s="798"/>
      <c r="AJ450" s="798"/>
      <c r="AK450" s="798"/>
      <c r="AL450" s="798"/>
      <c r="AM450" s="798"/>
      <c r="AN450" s="798"/>
      <c r="AO450" s="798"/>
      <c r="AP450" s="798"/>
      <c r="AQ450" s="798"/>
      <c r="AR450" s="798"/>
      <c r="AS450" s="798"/>
      <c r="AT450" s="798"/>
      <c r="AU450" s="798"/>
      <c r="AV450" s="798"/>
      <c r="AW450" s="798"/>
      <c r="AX450" s="798"/>
      <c r="AY450" s="798"/>
      <c r="AZ450" s="798"/>
      <c r="BA450" s="798"/>
      <c r="BB450" s="798"/>
      <c r="BC450" s="798"/>
      <c r="BD450" s="798"/>
      <c r="BE450" s="798"/>
      <c r="BF450" s="798"/>
      <c r="BG450" s="798"/>
      <c r="BH450" s="798"/>
      <c r="BI450" s="798"/>
      <c r="BJ450" s="798"/>
      <c r="BK450" s="798"/>
      <c r="BL450" s="798"/>
      <c r="BM450" s="798"/>
      <c r="BN450" s="798"/>
      <c r="BO450" s="798"/>
      <c r="BP450" s="798"/>
      <c r="BQ450" s="798"/>
      <c r="BR450" s="798"/>
      <c r="BS450" s="798"/>
      <c r="BT450" s="798"/>
      <c r="BU450" s="798"/>
      <c r="BV450" s="798"/>
      <c r="BW450" s="798"/>
      <c r="BX450" s="798"/>
      <c r="BY450" s="798"/>
      <c r="BZ450" s="798"/>
      <c r="CA450" s="798"/>
      <c r="CB450" s="798"/>
      <c r="CC450" s="798"/>
      <c r="CD450" s="798"/>
      <c r="CE450" s="798"/>
      <c r="CF450" s="798"/>
      <c r="CG450" s="798"/>
      <c r="CH450" s="798"/>
      <c r="CI450" s="798"/>
      <c r="CJ450" s="798"/>
      <c r="CK450" s="798"/>
      <c r="CL450" s="798"/>
      <c r="CM450" s="798"/>
      <c r="CN450" s="798"/>
      <c r="CO450" s="798"/>
      <c r="CP450" s="798"/>
      <c r="CQ450" s="798"/>
      <c r="CR450" s="798"/>
      <c r="CS450" s="798"/>
      <c r="CT450" s="798"/>
      <c r="CU450" s="798"/>
      <c r="CV450" s="798"/>
      <c r="CW450" s="798"/>
      <c r="CX450" s="798"/>
      <c r="CY450" s="798"/>
      <c r="CZ450" s="798"/>
      <c r="DA450" s="798"/>
      <c r="DB450" s="798"/>
      <c r="DC450" s="798"/>
      <c r="DD450" s="798"/>
      <c r="DE450" s="798"/>
      <c r="DF450" s="798"/>
      <c r="DG450" s="798"/>
      <c r="DH450" s="798"/>
      <c r="DI450" s="798"/>
      <c r="DJ450" s="798"/>
      <c r="DK450" s="798"/>
      <c r="DL450" s="798"/>
      <c r="DM450" s="798"/>
      <c r="DN450" s="798"/>
      <c r="DO450" s="798"/>
      <c r="DP450" s="798"/>
      <c r="DQ450" s="798"/>
      <c r="DR450" s="798"/>
      <c r="DS450" s="798"/>
      <c r="DT450" s="798"/>
      <c r="DU450" s="798"/>
      <c r="DV450" s="798"/>
      <c r="DW450" s="798"/>
      <c r="DX450" s="798"/>
      <c r="DY450" s="798"/>
      <c r="DZ450" s="798"/>
      <c r="EA450" s="798"/>
      <c r="EB450" s="798"/>
      <c r="EC450" s="798"/>
      <c r="ED450" s="798"/>
      <c r="EE450" s="798"/>
      <c r="EF450" s="798"/>
      <c r="EG450" s="798"/>
      <c r="EH450" s="782"/>
    </row>
    <row r="451" spans="1:138" ht="12.75" customHeight="1" x14ac:dyDescent="0.3">
      <c r="A451" s="782"/>
      <c r="B451" s="1392" t="s">
        <v>354</v>
      </c>
      <c r="C451" s="798"/>
      <c r="D451" s="782"/>
      <c r="E451" s="1393">
        <f>+YEAR(E4)</f>
        <v>2023</v>
      </c>
      <c r="F451" s="1393">
        <f>+E451+1</f>
        <v>2024</v>
      </c>
      <c r="G451" s="1393">
        <f t="shared" ref="G451:M451" si="318">+F451+1</f>
        <v>2025</v>
      </c>
      <c r="H451" s="1393">
        <f t="shared" si="318"/>
        <v>2026</v>
      </c>
      <c r="I451" s="1393">
        <f t="shared" si="318"/>
        <v>2027</v>
      </c>
      <c r="J451" s="1393">
        <f t="shared" si="318"/>
        <v>2028</v>
      </c>
      <c r="K451" s="1393">
        <f t="shared" si="318"/>
        <v>2029</v>
      </c>
      <c r="L451" s="1393">
        <f t="shared" si="318"/>
        <v>2030</v>
      </c>
      <c r="M451" s="1393">
        <f t="shared" si="318"/>
        <v>2031</v>
      </c>
      <c r="N451" s="798"/>
      <c r="O451" s="1394" t="s">
        <v>291</v>
      </c>
      <c r="P451" s="798"/>
      <c r="Q451" s="798"/>
      <c r="R451" s="798"/>
      <c r="S451" s="798"/>
      <c r="T451" s="798"/>
      <c r="U451" s="798"/>
      <c r="V451" s="798"/>
      <c r="W451" s="798"/>
      <c r="X451" s="798"/>
      <c r="Y451" s="798"/>
      <c r="Z451" s="798"/>
      <c r="AA451" s="798"/>
      <c r="AB451" s="798"/>
      <c r="AC451" s="798"/>
      <c r="AD451" s="798"/>
      <c r="AE451" s="798"/>
      <c r="AF451" s="798"/>
      <c r="AG451" s="798"/>
      <c r="AH451" s="798"/>
      <c r="AI451" s="798"/>
      <c r="AJ451" s="798"/>
      <c r="AK451" s="798"/>
      <c r="AL451" s="798"/>
      <c r="AM451" s="798"/>
      <c r="AN451" s="798"/>
      <c r="AO451" s="798"/>
      <c r="AP451" s="798"/>
      <c r="AQ451" s="798"/>
      <c r="AR451" s="798"/>
      <c r="AS451" s="798"/>
      <c r="AT451" s="798"/>
      <c r="AU451" s="798"/>
      <c r="AV451" s="798"/>
      <c r="AW451" s="798"/>
      <c r="AX451" s="798"/>
      <c r="AY451" s="798"/>
      <c r="AZ451" s="798"/>
      <c r="BA451" s="798"/>
      <c r="BB451" s="798"/>
      <c r="BC451" s="798"/>
      <c r="BD451" s="798"/>
      <c r="BE451" s="798"/>
      <c r="BF451" s="798"/>
      <c r="BG451" s="798"/>
      <c r="BH451" s="798"/>
      <c r="BI451" s="798"/>
      <c r="BJ451" s="798"/>
      <c r="BK451" s="798"/>
      <c r="BL451" s="798"/>
      <c r="BM451" s="798"/>
      <c r="BN451" s="798"/>
      <c r="BO451" s="798"/>
      <c r="BP451" s="798"/>
      <c r="BQ451" s="798"/>
      <c r="BR451" s="798"/>
      <c r="BS451" s="798"/>
      <c r="BT451" s="798"/>
      <c r="BU451" s="798"/>
      <c r="BV451" s="798"/>
      <c r="BW451" s="798"/>
      <c r="BX451" s="798"/>
      <c r="BY451" s="798"/>
      <c r="BZ451" s="798"/>
      <c r="CA451" s="798"/>
      <c r="CB451" s="798"/>
      <c r="CC451" s="798"/>
      <c r="CD451" s="798"/>
      <c r="CE451" s="798"/>
      <c r="CF451" s="798"/>
      <c r="CG451" s="798"/>
      <c r="CH451" s="798"/>
      <c r="CI451" s="798"/>
      <c r="CJ451" s="798"/>
      <c r="CK451" s="798"/>
      <c r="CL451" s="798"/>
      <c r="CM451" s="798"/>
      <c r="CN451" s="798"/>
      <c r="CO451" s="798"/>
      <c r="CP451" s="798"/>
      <c r="CQ451" s="798"/>
      <c r="CR451" s="798"/>
      <c r="CS451" s="798"/>
      <c r="CT451" s="798"/>
      <c r="CU451" s="798"/>
      <c r="CV451" s="798"/>
      <c r="CW451" s="798"/>
      <c r="CX451" s="798"/>
      <c r="CY451" s="798"/>
      <c r="CZ451" s="798"/>
      <c r="DA451" s="798"/>
      <c r="DB451" s="798"/>
      <c r="DC451" s="798"/>
      <c r="DD451" s="798"/>
      <c r="DE451" s="798"/>
      <c r="DF451" s="798"/>
      <c r="DG451" s="798"/>
      <c r="DH451" s="798"/>
      <c r="DI451" s="798"/>
      <c r="DJ451" s="798"/>
      <c r="DK451" s="798"/>
      <c r="DL451" s="798"/>
      <c r="DM451" s="798"/>
      <c r="DN451" s="798"/>
      <c r="DO451" s="798"/>
      <c r="DP451" s="798"/>
      <c r="DQ451" s="798"/>
      <c r="DR451" s="798"/>
      <c r="DS451" s="798"/>
      <c r="DT451" s="798"/>
      <c r="DU451" s="798"/>
      <c r="DV451" s="798"/>
      <c r="DW451" s="798"/>
      <c r="DX451" s="798"/>
      <c r="DY451" s="798"/>
      <c r="DZ451" s="798"/>
      <c r="EA451" s="798"/>
      <c r="EB451" s="798"/>
      <c r="EC451" s="798"/>
      <c r="ED451" s="798"/>
      <c r="EE451" s="798"/>
      <c r="EF451" s="798"/>
      <c r="EG451" s="798"/>
      <c r="EH451" s="782"/>
    </row>
    <row r="452" spans="1:138" ht="12.75" customHeight="1" x14ac:dyDescent="0.3">
      <c r="A452" s="782"/>
      <c r="B452" s="782" t="s">
        <v>7</v>
      </c>
      <c r="C452" s="798">
        <f>+SUM(E452:M452)</f>
        <v>-75647698.216711119</v>
      </c>
      <c r="D452" s="782"/>
      <c r="E452" s="798">
        <f t="shared" ref="E452:M456" si="319">+SUMIF($E$6:$EG$6,E$451,$E18:$EG18)</f>
        <v>-18671992.833830711</v>
      </c>
      <c r="F452" s="798">
        <f t="shared" si="319"/>
        <v>-39681193.449526779</v>
      </c>
      <c r="G452" s="798">
        <f t="shared" si="319"/>
        <v>-17294511.933353636</v>
      </c>
      <c r="H452" s="798">
        <f t="shared" si="319"/>
        <v>0</v>
      </c>
      <c r="I452" s="798">
        <f t="shared" si="319"/>
        <v>0</v>
      </c>
      <c r="J452" s="798">
        <f t="shared" si="319"/>
        <v>0</v>
      </c>
      <c r="K452" s="798">
        <f t="shared" si="319"/>
        <v>0</v>
      </c>
      <c r="L452" s="798">
        <f t="shared" si="319"/>
        <v>0</v>
      </c>
      <c r="M452" s="798">
        <f t="shared" si="319"/>
        <v>0</v>
      </c>
      <c r="N452" s="798"/>
      <c r="O452" s="1395">
        <f t="shared" ref="O452:O457" si="320">+C452-C18</f>
        <v>0</v>
      </c>
      <c r="P452" s="798"/>
      <c r="Q452" s="798"/>
      <c r="R452" s="798"/>
      <c r="S452" s="798"/>
      <c r="T452" s="798"/>
      <c r="U452" s="798"/>
      <c r="V452" s="798"/>
      <c r="W452" s="798"/>
      <c r="X452" s="798"/>
      <c r="Y452" s="798"/>
      <c r="Z452" s="798"/>
      <c r="AA452" s="798"/>
      <c r="AB452" s="798"/>
      <c r="AC452" s="798"/>
      <c r="AD452" s="798"/>
      <c r="AE452" s="798"/>
      <c r="AF452" s="798"/>
      <c r="AG452" s="798"/>
      <c r="AH452" s="798"/>
      <c r="AI452" s="798"/>
      <c r="AJ452" s="798"/>
      <c r="AK452" s="798"/>
      <c r="AL452" s="798"/>
      <c r="AM452" s="798"/>
      <c r="AN452" s="798"/>
      <c r="AO452" s="798"/>
      <c r="AP452" s="798"/>
      <c r="AQ452" s="798"/>
      <c r="AR452" s="798"/>
      <c r="AS452" s="798"/>
      <c r="AT452" s="798"/>
      <c r="AU452" s="798"/>
      <c r="AV452" s="798"/>
      <c r="AW452" s="798"/>
      <c r="AX452" s="798"/>
      <c r="AY452" s="798"/>
      <c r="AZ452" s="798"/>
      <c r="BA452" s="798"/>
      <c r="BB452" s="798"/>
      <c r="BC452" s="798"/>
      <c r="BD452" s="798"/>
      <c r="BE452" s="798"/>
      <c r="BF452" s="798"/>
      <c r="BG452" s="798"/>
      <c r="BH452" s="798"/>
      <c r="BI452" s="798"/>
      <c r="BJ452" s="798"/>
      <c r="BK452" s="798"/>
      <c r="BL452" s="798"/>
      <c r="BM452" s="798"/>
      <c r="BN452" s="798"/>
      <c r="BO452" s="798"/>
      <c r="BP452" s="798"/>
      <c r="BQ452" s="798"/>
      <c r="BR452" s="798"/>
      <c r="BS452" s="798"/>
      <c r="BT452" s="798"/>
      <c r="BU452" s="798"/>
      <c r="BV452" s="798"/>
      <c r="BW452" s="798"/>
      <c r="BX452" s="798"/>
      <c r="BY452" s="798"/>
      <c r="BZ452" s="798"/>
      <c r="CA452" s="798"/>
      <c r="CB452" s="798"/>
      <c r="CC452" s="798"/>
      <c r="CD452" s="798"/>
      <c r="CE452" s="798"/>
      <c r="CF452" s="798"/>
      <c r="CG452" s="798"/>
      <c r="CH452" s="798"/>
      <c r="CI452" s="798"/>
      <c r="CJ452" s="798"/>
      <c r="CK452" s="798"/>
      <c r="CL452" s="798"/>
      <c r="CM452" s="798"/>
      <c r="CN452" s="798"/>
      <c r="CO452" s="798"/>
      <c r="CP452" s="798"/>
      <c r="CQ452" s="798"/>
      <c r="CR452" s="798"/>
      <c r="CS452" s="798"/>
      <c r="CT452" s="798"/>
      <c r="CU452" s="798"/>
      <c r="CV452" s="798"/>
      <c r="CW452" s="798"/>
      <c r="CX452" s="798"/>
      <c r="CY452" s="798"/>
      <c r="CZ452" s="798"/>
      <c r="DA452" s="798"/>
      <c r="DB452" s="798"/>
      <c r="DC452" s="798"/>
      <c r="DD452" s="798"/>
      <c r="DE452" s="798"/>
      <c r="DF452" s="798"/>
      <c r="DG452" s="798"/>
      <c r="DH452" s="798"/>
      <c r="DI452" s="798"/>
      <c r="DJ452" s="798"/>
      <c r="DK452" s="798"/>
      <c r="DL452" s="798"/>
      <c r="DM452" s="798"/>
      <c r="DN452" s="798"/>
      <c r="DO452" s="798"/>
      <c r="DP452" s="798"/>
      <c r="DQ452" s="798"/>
      <c r="DR452" s="798"/>
      <c r="DS452" s="798"/>
      <c r="DT452" s="798"/>
      <c r="DU452" s="798"/>
      <c r="DV452" s="798"/>
      <c r="DW452" s="798"/>
      <c r="DX452" s="798"/>
      <c r="DY452" s="798"/>
      <c r="DZ452" s="798"/>
      <c r="EA452" s="798"/>
      <c r="EB452" s="798"/>
      <c r="EC452" s="798"/>
      <c r="ED452" s="798"/>
      <c r="EE452" s="798"/>
      <c r="EF452" s="798"/>
      <c r="EG452" s="798"/>
      <c r="EH452" s="782"/>
    </row>
    <row r="453" spans="1:138" ht="12.75" customHeight="1" x14ac:dyDescent="0.3">
      <c r="A453" s="782"/>
      <c r="B453" s="782" t="s">
        <v>8</v>
      </c>
      <c r="C453" s="798">
        <f>+SUM(E453:M453)</f>
        <v>37413661.974816911</v>
      </c>
      <c r="D453" s="782"/>
      <c r="E453" s="798">
        <f t="shared" si="319"/>
        <v>0</v>
      </c>
      <c r="F453" s="798">
        <f t="shared" si="319"/>
        <v>-248569.72065803892</v>
      </c>
      <c r="G453" s="798">
        <f t="shared" si="319"/>
        <v>2317746.8141580438</v>
      </c>
      <c r="H453" s="798">
        <f t="shared" si="319"/>
        <v>5638571.1358792642</v>
      </c>
      <c r="I453" s="798">
        <f t="shared" si="319"/>
        <v>5907129.0772375735</v>
      </c>
      <c r="J453" s="798">
        <f t="shared" si="319"/>
        <v>6132722.2028710609</v>
      </c>
      <c r="K453" s="798">
        <f t="shared" si="319"/>
        <v>6392320.2761016544</v>
      </c>
      <c r="L453" s="798">
        <f t="shared" si="319"/>
        <v>6671245.5942205051</v>
      </c>
      <c r="M453" s="798">
        <f t="shared" si="319"/>
        <v>4602496.5950068459</v>
      </c>
      <c r="N453" s="798"/>
      <c r="O453" s="1395">
        <f t="shared" si="320"/>
        <v>0</v>
      </c>
      <c r="P453" s="798"/>
      <c r="Q453" s="798"/>
      <c r="R453" s="798"/>
      <c r="S453" s="798"/>
      <c r="T453" s="798"/>
      <c r="U453" s="798"/>
      <c r="V453" s="798"/>
      <c r="W453" s="798"/>
      <c r="X453" s="798"/>
      <c r="Y453" s="798"/>
      <c r="Z453" s="798"/>
      <c r="AA453" s="798"/>
      <c r="AB453" s="798"/>
      <c r="AC453" s="798"/>
      <c r="AD453" s="798"/>
      <c r="AE453" s="798"/>
      <c r="AF453" s="798"/>
      <c r="AG453" s="798"/>
      <c r="AH453" s="798"/>
      <c r="AI453" s="798"/>
      <c r="AJ453" s="798"/>
      <c r="AK453" s="798"/>
      <c r="AL453" s="798"/>
      <c r="AM453" s="798"/>
      <c r="AN453" s="798"/>
      <c r="AO453" s="798"/>
      <c r="AP453" s="798"/>
      <c r="AQ453" s="798"/>
      <c r="AR453" s="798"/>
      <c r="AS453" s="798"/>
      <c r="AT453" s="798"/>
      <c r="AU453" s="798"/>
      <c r="AV453" s="798"/>
      <c r="AW453" s="798"/>
      <c r="AX453" s="798"/>
      <c r="AY453" s="798"/>
      <c r="AZ453" s="798"/>
      <c r="BA453" s="798"/>
      <c r="BB453" s="798"/>
      <c r="BC453" s="798"/>
      <c r="BD453" s="798"/>
      <c r="BE453" s="798"/>
      <c r="BF453" s="798"/>
      <c r="BG453" s="798"/>
      <c r="BH453" s="798"/>
      <c r="BI453" s="798"/>
      <c r="BJ453" s="798"/>
      <c r="BK453" s="798"/>
      <c r="BL453" s="798"/>
      <c r="BM453" s="798"/>
      <c r="BN453" s="798"/>
      <c r="BO453" s="798"/>
      <c r="BP453" s="798"/>
      <c r="BQ453" s="798"/>
      <c r="BR453" s="798"/>
      <c r="BS453" s="798"/>
      <c r="BT453" s="798"/>
      <c r="BU453" s="798"/>
      <c r="BV453" s="798"/>
      <c r="BW453" s="798"/>
      <c r="BX453" s="798"/>
      <c r="BY453" s="798"/>
      <c r="BZ453" s="798"/>
      <c r="CA453" s="798"/>
      <c r="CB453" s="798"/>
      <c r="CC453" s="798"/>
      <c r="CD453" s="798"/>
      <c r="CE453" s="798"/>
      <c r="CF453" s="798"/>
      <c r="CG453" s="798"/>
      <c r="CH453" s="798"/>
      <c r="CI453" s="798"/>
      <c r="CJ453" s="798"/>
      <c r="CK453" s="798"/>
      <c r="CL453" s="798"/>
      <c r="CM453" s="798"/>
      <c r="CN453" s="798"/>
      <c r="CO453" s="798"/>
      <c r="CP453" s="798"/>
      <c r="CQ453" s="798"/>
      <c r="CR453" s="798"/>
      <c r="CS453" s="798"/>
      <c r="CT453" s="798"/>
      <c r="CU453" s="798"/>
      <c r="CV453" s="798"/>
      <c r="CW453" s="798"/>
      <c r="CX453" s="798"/>
      <c r="CY453" s="798"/>
      <c r="CZ453" s="798"/>
      <c r="DA453" s="798"/>
      <c r="DB453" s="798"/>
      <c r="DC453" s="798"/>
      <c r="DD453" s="798"/>
      <c r="DE453" s="798"/>
      <c r="DF453" s="798"/>
      <c r="DG453" s="798"/>
      <c r="DH453" s="798"/>
      <c r="DI453" s="798"/>
      <c r="DJ453" s="798"/>
      <c r="DK453" s="798"/>
      <c r="DL453" s="798"/>
      <c r="DM453" s="798"/>
      <c r="DN453" s="798"/>
      <c r="DO453" s="798"/>
      <c r="DP453" s="798"/>
      <c r="DQ453" s="798"/>
      <c r="DR453" s="798"/>
      <c r="DS453" s="798"/>
      <c r="DT453" s="798"/>
      <c r="DU453" s="798"/>
      <c r="DV453" s="798"/>
      <c r="DW453" s="798"/>
      <c r="DX453" s="798"/>
      <c r="DY453" s="798"/>
      <c r="DZ453" s="798"/>
      <c r="EA453" s="798"/>
      <c r="EB453" s="798"/>
      <c r="EC453" s="798"/>
      <c r="ED453" s="798"/>
      <c r="EE453" s="798"/>
      <c r="EF453" s="798"/>
      <c r="EG453" s="798"/>
      <c r="EH453" s="782"/>
    </row>
    <row r="454" spans="1:138" ht="12.75" customHeight="1" x14ac:dyDescent="0.3">
      <c r="A454" s="782"/>
      <c r="B454" s="782" t="s">
        <v>9</v>
      </c>
      <c r="C454" s="798">
        <f>+SUM(E454:M454)</f>
        <v>-71428.57142857142</v>
      </c>
      <c r="D454" s="782"/>
      <c r="E454" s="798">
        <f t="shared" si="319"/>
        <v>-71428.57142857142</v>
      </c>
      <c r="F454" s="798">
        <f t="shared" si="319"/>
        <v>0</v>
      </c>
      <c r="G454" s="798">
        <f t="shared" si="319"/>
        <v>0</v>
      </c>
      <c r="H454" s="798">
        <f t="shared" si="319"/>
        <v>0</v>
      </c>
      <c r="I454" s="798">
        <f t="shared" si="319"/>
        <v>0</v>
      </c>
      <c r="J454" s="798">
        <f t="shared" si="319"/>
        <v>0</v>
      </c>
      <c r="K454" s="798">
        <f t="shared" si="319"/>
        <v>0</v>
      </c>
      <c r="L454" s="798">
        <f t="shared" si="319"/>
        <v>0</v>
      </c>
      <c r="M454" s="798">
        <f t="shared" si="319"/>
        <v>0</v>
      </c>
      <c r="N454" s="798"/>
      <c r="O454" s="1395">
        <f t="shared" si="320"/>
        <v>0</v>
      </c>
      <c r="P454" s="798"/>
      <c r="Q454" s="798"/>
      <c r="R454" s="798"/>
      <c r="S454" s="798"/>
      <c r="T454" s="798"/>
      <c r="U454" s="798"/>
      <c r="V454" s="798"/>
      <c r="W454" s="798"/>
      <c r="X454" s="798"/>
      <c r="Y454" s="798"/>
      <c r="Z454" s="798"/>
      <c r="AA454" s="798"/>
      <c r="AB454" s="798"/>
      <c r="AC454" s="798"/>
      <c r="AD454" s="798"/>
      <c r="AE454" s="798"/>
      <c r="AF454" s="798"/>
      <c r="AG454" s="798"/>
      <c r="AH454" s="798"/>
      <c r="AI454" s="798"/>
      <c r="AJ454" s="798"/>
      <c r="AK454" s="798"/>
      <c r="AL454" s="798"/>
      <c r="AM454" s="798"/>
      <c r="AN454" s="798"/>
      <c r="AO454" s="798"/>
      <c r="AP454" s="798"/>
      <c r="AQ454" s="798"/>
      <c r="AR454" s="798"/>
      <c r="AS454" s="798"/>
      <c r="AT454" s="798"/>
      <c r="AU454" s="798"/>
      <c r="AV454" s="798"/>
      <c r="AW454" s="798"/>
      <c r="AX454" s="798"/>
      <c r="AY454" s="798"/>
      <c r="AZ454" s="798"/>
      <c r="BA454" s="798"/>
      <c r="BB454" s="798"/>
      <c r="BC454" s="798"/>
      <c r="BD454" s="798"/>
      <c r="BE454" s="798"/>
      <c r="BF454" s="798"/>
      <c r="BG454" s="798"/>
      <c r="BH454" s="798"/>
      <c r="BI454" s="798"/>
      <c r="BJ454" s="798"/>
      <c r="BK454" s="798"/>
      <c r="BL454" s="798"/>
      <c r="BM454" s="798"/>
      <c r="BN454" s="798"/>
      <c r="BO454" s="798"/>
      <c r="BP454" s="798"/>
      <c r="BQ454" s="798"/>
      <c r="BR454" s="798"/>
      <c r="BS454" s="798"/>
      <c r="BT454" s="798"/>
      <c r="BU454" s="798"/>
      <c r="BV454" s="798"/>
      <c r="BW454" s="798"/>
      <c r="BX454" s="798"/>
      <c r="BY454" s="798"/>
      <c r="BZ454" s="798"/>
      <c r="CA454" s="798"/>
      <c r="CB454" s="798"/>
      <c r="CC454" s="798"/>
      <c r="CD454" s="798"/>
      <c r="CE454" s="798"/>
      <c r="CF454" s="798"/>
      <c r="CG454" s="798"/>
      <c r="CH454" s="798"/>
      <c r="CI454" s="798"/>
      <c r="CJ454" s="798"/>
      <c r="CK454" s="798"/>
      <c r="CL454" s="798"/>
      <c r="CM454" s="798"/>
      <c r="CN454" s="798"/>
      <c r="CO454" s="798"/>
      <c r="CP454" s="798"/>
      <c r="CQ454" s="798"/>
      <c r="CR454" s="798"/>
      <c r="CS454" s="798"/>
      <c r="CT454" s="798"/>
      <c r="CU454" s="798"/>
      <c r="CV454" s="798"/>
      <c r="CW454" s="798"/>
      <c r="CX454" s="798"/>
      <c r="CY454" s="798"/>
      <c r="CZ454" s="798"/>
      <c r="DA454" s="798"/>
      <c r="DB454" s="798"/>
      <c r="DC454" s="798"/>
      <c r="DD454" s="798"/>
      <c r="DE454" s="798"/>
      <c r="DF454" s="798"/>
      <c r="DG454" s="798"/>
      <c r="DH454" s="798"/>
      <c r="DI454" s="798"/>
      <c r="DJ454" s="798"/>
      <c r="DK454" s="798"/>
      <c r="DL454" s="798"/>
      <c r="DM454" s="798"/>
      <c r="DN454" s="798"/>
      <c r="DO454" s="798"/>
      <c r="DP454" s="798"/>
      <c r="DQ454" s="798"/>
      <c r="DR454" s="798"/>
      <c r="DS454" s="798"/>
      <c r="DT454" s="798"/>
      <c r="DU454" s="798"/>
      <c r="DV454" s="798"/>
      <c r="DW454" s="798"/>
      <c r="DX454" s="798"/>
      <c r="DY454" s="798"/>
      <c r="DZ454" s="798"/>
      <c r="EA454" s="798"/>
      <c r="EB454" s="798"/>
      <c r="EC454" s="798"/>
      <c r="ED454" s="798"/>
      <c r="EE454" s="798"/>
      <c r="EF454" s="798"/>
      <c r="EG454" s="798"/>
      <c r="EH454" s="782"/>
    </row>
    <row r="455" spans="1:138" ht="12.75" customHeight="1" x14ac:dyDescent="0.3">
      <c r="A455" s="782"/>
      <c r="B455" s="782" t="s">
        <v>10</v>
      </c>
      <c r="C455" s="798">
        <f>+SUM(E455:M455)</f>
        <v>-799999.99999999988</v>
      </c>
      <c r="D455" s="782"/>
      <c r="E455" s="798">
        <f t="shared" si="319"/>
        <v>-33333.333333333336</v>
      </c>
      <c r="F455" s="798">
        <f t="shared" si="319"/>
        <v>-99999.999999999985</v>
      </c>
      <c r="G455" s="798">
        <f t="shared" si="319"/>
        <v>-99999.999999999985</v>
      </c>
      <c r="H455" s="798">
        <f t="shared" si="319"/>
        <v>-99999.999999999985</v>
      </c>
      <c r="I455" s="798">
        <f t="shared" si="319"/>
        <v>-99999.999999999985</v>
      </c>
      <c r="J455" s="798">
        <f t="shared" si="319"/>
        <v>-99999.999999999985</v>
      </c>
      <c r="K455" s="798">
        <f t="shared" si="319"/>
        <v>-99999.999999999985</v>
      </c>
      <c r="L455" s="798">
        <f t="shared" si="319"/>
        <v>-99999.999999999985</v>
      </c>
      <c r="M455" s="798">
        <f t="shared" si="319"/>
        <v>-66666.666666666672</v>
      </c>
      <c r="N455" s="798"/>
      <c r="O455" s="1395">
        <f t="shared" si="320"/>
        <v>9.3132257461547852E-10</v>
      </c>
      <c r="P455" s="798"/>
      <c r="Q455" s="798"/>
      <c r="R455" s="798"/>
      <c r="S455" s="798"/>
      <c r="T455" s="798"/>
      <c r="U455" s="798"/>
      <c r="V455" s="798"/>
      <c r="W455" s="798"/>
      <c r="X455" s="798"/>
      <c r="Y455" s="798"/>
      <c r="Z455" s="798"/>
      <c r="AA455" s="798"/>
      <c r="AB455" s="798"/>
      <c r="AC455" s="798"/>
      <c r="AD455" s="798"/>
      <c r="AE455" s="798"/>
      <c r="AF455" s="798"/>
      <c r="AG455" s="798"/>
      <c r="AH455" s="798"/>
      <c r="AI455" s="798"/>
      <c r="AJ455" s="798"/>
      <c r="AK455" s="798"/>
      <c r="AL455" s="798"/>
      <c r="AM455" s="798"/>
      <c r="AN455" s="798"/>
      <c r="AO455" s="798"/>
      <c r="AP455" s="798"/>
      <c r="AQ455" s="798"/>
      <c r="AR455" s="798"/>
      <c r="AS455" s="798"/>
      <c r="AT455" s="798"/>
      <c r="AU455" s="798"/>
      <c r="AV455" s="798"/>
      <c r="AW455" s="798"/>
      <c r="AX455" s="798"/>
      <c r="AY455" s="798"/>
      <c r="AZ455" s="798"/>
      <c r="BA455" s="798"/>
      <c r="BB455" s="798"/>
      <c r="BC455" s="798"/>
      <c r="BD455" s="798"/>
      <c r="BE455" s="798"/>
      <c r="BF455" s="798"/>
      <c r="BG455" s="798"/>
      <c r="BH455" s="798"/>
      <c r="BI455" s="798"/>
      <c r="BJ455" s="798"/>
      <c r="BK455" s="798"/>
      <c r="BL455" s="798"/>
      <c r="BM455" s="798"/>
      <c r="BN455" s="798"/>
      <c r="BO455" s="798"/>
      <c r="BP455" s="798"/>
      <c r="BQ455" s="798"/>
      <c r="BR455" s="798"/>
      <c r="BS455" s="798"/>
      <c r="BT455" s="798"/>
      <c r="BU455" s="798"/>
      <c r="BV455" s="798"/>
      <c r="BW455" s="798"/>
      <c r="BX455" s="798"/>
      <c r="BY455" s="798"/>
      <c r="BZ455" s="798"/>
      <c r="CA455" s="798"/>
      <c r="CB455" s="798"/>
      <c r="CC455" s="798"/>
      <c r="CD455" s="798"/>
      <c r="CE455" s="798"/>
      <c r="CF455" s="798"/>
      <c r="CG455" s="798"/>
      <c r="CH455" s="798"/>
      <c r="CI455" s="798"/>
      <c r="CJ455" s="798"/>
      <c r="CK455" s="798"/>
      <c r="CL455" s="798"/>
      <c r="CM455" s="798"/>
      <c r="CN455" s="798"/>
      <c r="CO455" s="798"/>
      <c r="CP455" s="798"/>
      <c r="CQ455" s="798"/>
      <c r="CR455" s="798"/>
      <c r="CS455" s="798"/>
      <c r="CT455" s="798"/>
      <c r="CU455" s="798"/>
      <c r="CV455" s="798"/>
      <c r="CW455" s="798"/>
      <c r="CX455" s="798"/>
      <c r="CY455" s="798"/>
      <c r="CZ455" s="798"/>
      <c r="DA455" s="798"/>
      <c r="DB455" s="798"/>
      <c r="DC455" s="798"/>
      <c r="DD455" s="798"/>
      <c r="DE455" s="798"/>
      <c r="DF455" s="798"/>
      <c r="DG455" s="798"/>
      <c r="DH455" s="798"/>
      <c r="DI455" s="798"/>
      <c r="DJ455" s="798"/>
      <c r="DK455" s="798"/>
      <c r="DL455" s="798"/>
      <c r="DM455" s="798"/>
      <c r="DN455" s="798"/>
      <c r="DO455" s="798"/>
      <c r="DP455" s="798"/>
      <c r="DQ455" s="798"/>
      <c r="DR455" s="798"/>
      <c r="DS455" s="798"/>
      <c r="DT455" s="798"/>
      <c r="DU455" s="798"/>
      <c r="DV455" s="798"/>
      <c r="DW455" s="798"/>
      <c r="DX455" s="798"/>
      <c r="DY455" s="798"/>
      <c r="DZ455" s="798"/>
      <c r="EA455" s="798"/>
      <c r="EB455" s="798"/>
      <c r="EC455" s="798"/>
      <c r="ED455" s="798"/>
      <c r="EE455" s="798"/>
      <c r="EF455" s="798"/>
      <c r="EG455" s="798"/>
      <c r="EH455" s="782"/>
    </row>
    <row r="456" spans="1:138" ht="12.75" customHeight="1" x14ac:dyDescent="0.3">
      <c r="A456" s="782"/>
      <c r="B456" s="782" t="s">
        <v>11</v>
      </c>
      <c r="C456" s="798">
        <f>+SUM(E456:M456)</f>
        <v>129660985.44941077</v>
      </c>
      <c r="D456" s="782"/>
      <c r="E456" s="798">
        <f t="shared" si="319"/>
        <v>0</v>
      </c>
      <c r="F456" s="798">
        <f t="shared" si="319"/>
        <v>0</v>
      </c>
      <c r="G456" s="798">
        <f t="shared" si="319"/>
        <v>0</v>
      </c>
      <c r="H456" s="798">
        <f t="shared" si="319"/>
        <v>0</v>
      </c>
      <c r="I456" s="798">
        <f t="shared" si="319"/>
        <v>0</v>
      </c>
      <c r="J456" s="798">
        <f t="shared" si="319"/>
        <v>0</v>
      </c>
      <c r="K456" s="798">
        <f t="shared" si="319"/>
        <v>0</v>
      </c>
      <c r="L456" s="798">
        <f t="shared" si="319"/>
        <v>0</v>
      </c>
      <c r="M456" s="798">
        <f t="shared" si="319"/>
        <v>129660985.44941077</v>
      </c>
      <c r="N456" s="798"/>
      <c r="O456" s="1395">
        <f t="shared" si="320"/>
        <v>0</v>
      </c>
      <c r="P456" s="798"/>
      <c r="Q456" s="798"/>
      <c r="R456" s="798"/>
      <c r="S456" s="798"/>
      <c r="T456" s="798"/>
      <c r="U456" s="798"/>
      <c r="V456" s="798"/>
      <c r="W456" s="798"/>
      <c r="X456" s="798"/>
      <c r="Y456" s="798"/>
      <c r="Z456" s="798"/>
      <c r="AA456" s="798"/>
      <c r="AB456" s="798"/>
      <c r="AC456" s="798"/>
      <c r="AD456" s="798"/>
      <c r="AE456" s="798"/>
      <c r="AF456" s="798"/>
      <c r="AG456" s="798"/>
      <c r="AH456" s="798"/>
      <c r="AI456" s="798"/>
      <c r="AJ456" s="798"/>
      <c r="AK456" s="798"/>
      <c r="AL456" s="798"/>
      <c r="AM456" s="798"/>
      <c r="AN456" s="798"/>
      <c r="AO456" s="798"/>
      <c r="AP456" s="798"/>
      <c r="AQ456" s="798"/>
      <c r="AR456" s="798"/>
      <c r="AS456" s="798"/>
      <c r="AT456" s="798"/>
      <c r="AU456" s="798"/>
      <c r="AV456" s="798"/>
      <c r="AW456" s="798"/>
      <c r="AX456" s="798"/>
      <c r="AY456" s="798"/>
      <c r="AZ456" s="798"/>
      <c r="BA456" s="798"/>
      <c r="BB456" s="798"/>
      <c r="BC456" s="798"/>
      <c r="BD456" s="798"/>
      <c r="BE456" s="798"/>
      <c r="BF456" s="798"/>
      <c r="BG456" s="798"/>
      <c r="BH456" s="798"/>
      <c r="BI456" s="798"/>
      <c r="BJ456" s="798"/>
      <c r="BK456" s="798"/>
      <c r="BL456" s="798"/>
      <c r="BM456" s="798"/>
      <c r="BN456" s="798"/>
      <c r="BO456" s="798"/>
      <c r="BP456" s="798"/>
      <c r="BQ456" s="798"/>
      <c r="BR456" s="798"/>
      <c r="BS456" s="798"/>
      <c r="BT456" s="798"/>
      <c r="BU456" s="798"/>
      <c r="BV456" s="798"/>
      <c r="BW456" s="798"/>
      <c r="BX456" s="798"/>
      <c r="BY456" s="798"/>
      <c r="BZ456" s="798"/>
      <c r="CA456" s="798"/>
      <c r="CB456" s="798"/>
      <c r="CC456" s="798"/>
      <c r="CD456" s="798"/>
      <c r="CE456" s="798"/>
      <c r="CF456" s="798"/>
      <c r="CG456" s="798"/>
      <c r="CH456" s="798"/>
      <c r="CI456" s="798"/>
      <c r="CJ456" s="798"/>
      <c r="CK456" s="798"/>
      <c r="CL456" s="798"/>
      <c r="CM456" s="798"/>
      <c r="CN456" s="798"/>
      <c r="CO456" s="798"/>
      <c r="CP456" s="798"/>
      <c r="CQ456" s="798"/>
      <c r="CR456" s="798"/>
      <c r="CS456" s="798"/>
      <c r="CT456" s="798"/>
      <c r="CU456" s="798"/>
      <c r="CV456" s="798"/>
      <c r="CW456" s="798"/>
      <c r="CX456" s="798"/>
      <c r="CY456" s="798"/>
      <c r="CZ456" s="798"/>
      <c r="DA456" s="798"/>
      <c r="DB456" s="798"/>
      <c r="DC456" s="798"/>
      <c r="DD456" s="798"/>
      <c r="DE456" s="798"/>
      <c r="DF456" s="798"/>
      <c r="DG456" s="798"/>
      <c r="DH456" s="798"/>
      <c r="DI456" s="798"/>
      <c r="DJ456" s="798"/>
      <c r="DK456" s="798"/>
      <c r="DL456" s="798"/>
      <c r="DM456" s="798"/>
      <c r="DN456" s="798"/>
      <c r="DO456" s="798"/>
      <c r="DP456" s="798"/>
      <c r="DQ456" s="798"/>
      <c r="DR456" s="798"/>
      <c r="DS456" s="798"/>
      <c r="DT456" s="798"/>
      <c r="DU456" s="798"/>
      <c r="DV456" s="798"/>
      <c r="DW456" s="798"/>
      <c r="DX456" s="798"/>
      <c r="DY456" s="798"/>
      <c r="DZ456" s="798"/>
      <c r="EA456" s="798"/>
      <c r="EB456" s="798"/>
      <c r="EC456" s="798"/>
      <c r="ED456" s="798"/>
      <c r="EE456" s="798"/>
      <c r="EF456" s="798"/>
      <c r="EG456" s="798"/>
      <c r="EH456" s="782"/>
    </row>
    <row r="457" spans="1:138" ht="12.75" customHeight="1" x14ac:dyDescent="0.3">
      <c r="A457" s="782"/>
      <c r="B457" s="821" t="s">
        <v>12</v>
      </c>
      <c r="C457" s="822">
        <f>SUM(C452:C456)</f>
        <v>90555520.636087984</v>
      </c>
      <c r="D457" s="821"/>
      <c r="E457" s="822">
        <f>+SUM(E452:E456)</f>
        <v>-18776754.738592613</v>
      </c>
      <c r="F457" s="822">
        <f t="shared" ref="F457:M457" si="321">+SUM(F452:F456)</f>
        <v>-40029763.170184821</v>
      </c>
      <c r="G457" s="822">
        <f t="shared" si="321"/>
        <v>-15076765.119195592</v>
      </c>
      <c r="H457" s="822">
        <f t="shared" si="321"/>
        <v>5538571.1358792642</v>
      </c>
      <c r="I457" s="822">
        <f t="shared" si="321"/>
        <v>5807129.0772375735</v>
      </c>
      <c r="J457" s="822">
        <f t="shared" si="321"/>
        <v>6032722.2028710609</v>
      </c>
      <c r="K457" s="822">
        <f t="shared" si="321"/>
        <v>6292320.2761016544</v>
      </c>
      <c r="L457" s="822">
        <f t="shared" si="321"/>
        <v>6571245.5942205051</v>
      </c>
      <c r="M457" s="822">
        <f t="shared" si="321"/>
        <v>134196815.37775095</v>
      </c>
      <c r="N457" s="798"/>
      <c r="O457" s="1395">
        <f t="shared" si="320"/>
        <v>0</v>
      </c>
      <c r="P457" s="798"/>
      <c r="Q457" s="798"/>
      <c r="R457" s="798"/>
      <c r="S457" s="798"/>
      <c r="T457" s="798"/>
      <c r="U457" s="798"/>
      <c r="V457" s="798"/>
      <c r="W457" s="798"/>
      <c r="X457" s="798"/>
      <c r="Y457" s="798"/>
      <c r="Z457" s="798"/>
      <c r="AA457" s="798"/>
      <c r="AB457" s="798"/>
      <c r="AC457" s="798"/>
      <c r="AD457" s="798"/>
      <c r="AE457" s="798"/>
      <c r="AF457" s="798"/>
      <c r="AG457" s="798"/>
      <c r="AH457" s="798"/>
      <c r="AI457" s="798"/>
      <c r="AJ457" s="798"/>
      <c r="AK457" s="798"/>
      <c r="AL457" s="798"/>
      <c r="AM457" s="798"/>
      <c r="AN457" s="798"/>
      <c r="AO457" s="798"/>
      <c r="AP457" s="798"/>
      <c r="AQ457" s="798"/>
      <c r="AR457" s="798"/>
      <c r="AS457" s="798"/>
      <c r="AT457" s="798"/>
      <c r="AU457" s="798"/>
      <c r="AV457" s="798"/>
      <c r="AW457" s="798"/>
      <c r="AX457" s="798"/>
      <c r="AY457" s="798"/>
      <c r="AZ457" s="798"/>
      <c r="BA457" s="798"/>
      <c r="BB457" s="798"/>
      <c r="BC457" s="798"/>
      <c r="BD457" s="798"/>
      <c r="BE457" s="798"/>
      <c r="BF457" s="798"/>
      <c r="BG457" s="798"/>
      <c r="BH457" s="798"/>
      <c r="BI457" s="798"/>
      <c r="BJ457" s="798"/>
      <c r="BK457" s="798"/>
      <c r="BL457" s="798"/>
      <c r="BM457" s="798"/>
      <c r="BN457" s="798"/>
      <c r="BO457" s="798"/>
      <c r="BP457" s="798"/>
      <c r="BQ457" s="798"/>
      <c r="BR457" s="798"/>
      <c r="BS457" s="798"/>
      <c r="BT457" s="798"/>
      <c r="BU457" s="798"/>
      <c r="BV457" s="798"/>
      <c r="BW457" s="798"/>
      <c r="BX457" s="798"/>
      <c r="BY457" s="798"/>
      <c r="BZ457" s="798"/>
      <c r="CA457" s="798"/>
      <c r="CB457" s="798"/>
      <c r="CC457" s="798"/>
      <c r="CD457" s="798"/>
      <c r="CE457" s="798"/>
      <c r="CF457" s="798"/>
      <c r="CG457" s="798"/>
      <c r="CH457" s="798"/>
      <c r="CI457" s="798"/>
      <c r="CJ457" s="798"/>
      <c r="CK457" s="798"/>
      <c r="CL457" s="798"/>
      <c r="CM457" s="798"/>
      <c r="CN457" s="798"/>
      <c r="CO457" s="798"/>
      <c r="CP457" s="798"/>
      <c r="CQ457" s="798"/>
      <c r="CR457" s="798"/>
      <c r="CS457" s="798"/>
      <c r="CT457" s="798"/>
      <c r="CU457" s="798"/>
      <c r="CV457" s="798"/>
      <c r="CW457" s="798"/>
      <c r="CX457" s="798"/>
      <c r="CY457" s="798"/>
      <c r="CZ457" s="798"/>
      <c r="DA457" s="798"/>
      <c r="DB457" s="798"/>
      <c r="DC457" s="798"/>
      <c r="DD457" s="798"/>
      <c r="DE457" s="798"/>
      <c r="DF457" s="798"/>
      <c r="DG457" s="798"/>
      <c r="DH457" s="798"/>
      <c r="DI457" s="798"/>
      <c r="DJ457" s="798"/>
      <c r="DK457" s="798"/>
      <c r="DL457" s="798"/>
      <c r="DM457" s="798"/>
      <c r="DN457" s="798"/>
      <c r="DO457" s="798"/>
      <c r="DP457" s="798"/>
      <c r="DQ457" s="798"/>
      <c r="DR457" s="798"/>
      <c r="DS457" s="798"/>
      <c r="DT457" s="798"/>
      <c r="DU457" s="798"/>
      <c r="DV457" s="798"/>
      <c r="DW457" s="798"/>
      <c r="DX457" s="798"/>
      <c r="DY457" s="798"/>
      <c r="DZ457" s="798"/>
      <c r="EA457" s="798"/>
      <c r="EB457" s="798"/>
      <c r="EC457" s="798"/>
      <c r="ED457" s="798"/>
      <c r="EE457" s="798"/>
      <c r="EF457" s="798"/>
      <c r="EG457" s="798"/>
      <c r="EH457" s="782"/>
    </row>
    <row r="458" spans="1:138" ht="12.75" customHeight="1" x14ac:dyDescent="0.3">
      <c r="A458" s="782"/>
      <c r="B458" s="800" t="s">
        <v>13</v>
      </c>
      <c r="C458" s="801">
        <f>+C24</f>
        <v>0.13132647871971129</v>
      </c>
      <c r="D458" s="782"/>
      <c r="E458" s="798"/>
      <c r="F458" s="798"/>
      <c r="G458" s="798"/>
      <c r="H458" s="798"/>
      <c r="I458" s="798"/>
      <c r="J458" s="798"/>
      <c r="K458" s="798"/>
      <c r="L458" s="798"/>
      <c r="M458" s="798"/>
      <c r="N458" s="798"/>
      <c r="O458" s="1395"/>
      <c r="P458" s="798"/>
      <c r="Q458" s="798"/>
      <c r="R458" s="798"/>
      <c r="S458" s="798"/>
      <c r="T458" s="798"/>
      <c r="U458" s="798"/>
      <c r="V458" s="798"/>
      <c r="W458" s="798"/>
      <c r="X458" s="798"/>
      <c r="Y458" s="798"/>
      <c r="Z458" s="798"/>
      <c r="AA458" s="798"/>
      <c r="AB458" s="798"/>
      <c r="AC458" s="798"/>
      <c r="AD458" s="798"/>
      <c r="AE458" s="798"/>
      <c r="AF458" s="798"/>
      <c r="AG458" s="798"/>
      <c r="AH458" s="798"/>
      <c r="AI458" s="798"/>
      <c r="AJ458" s="798"/>
      <c r="AK458" s="798"/>
      <c r="AL458" s="798"/>
      <c r="AM458" s="798"/>
      <c r="AN458" s="798"/>
      <c r="AO458" s="798"/>
      <c r="AP458" s="798"/>
      <c r="AQ458" s="798"/>
      <c r="AR458" s="798"/>
      <c r="AS458" s="798"/>
      <c r="AT458" s="798"/>
      <c r="AU458" s="798"/>
      <c r="AV458" s="798"/>
      <c r="AW458" s="798"/>
      <c r="AX458" s="798"/>
      <c r="AY458" s="798"/>
      <c r="AZ458" s="798"/>
      <c r="BA458" s="798"/>
      <c r="BB458" s="798"/>
      <c r="BC458" s="798"/>
      <c r="BD458" s="798"/>
      <c r="BE458" s="798"/>
      <c r="BF458" s="798"/>
      <c r="BG458" s="798"/>
      <c r="BH458" s="798"/>
      <c r="BI458" s="798"/>
      <c r="BJ458" s="798"/>
      <c r="BK458" s="798"/>
      <c r="BL458" s="798"/>
      <c r="BM458" s="798"/>
      <c r="BN458" s="798"/>
      <c r="BO458" s="798"/>
      <c r="BP458" s="798"/>
      <c r="BQ458" s="798"/>
      <c r="BR458" s="798"/>
      <c r="BS458" s="798"/>
      <c r="BT458" s="798"/>
      <c r="BU458" s="798"/>
      <c r="BV458" s="798"/>
      <c r="BW458" s="798"/>
      <c r="BX458" s="798"/>
      <c r="BY458" s="798"/>
      <c r="BZ458" s="798"/>
      <c r="CA458" s="798"/>
      <c r="CB458" s="798"/>
      <c r="CC458" s="798"/>
      <c r="CD458" s="798"/>
      <c r="CE458" s="798"/>
      <c r="CF458" s="798"/>
      <c r="CG458" s="798"/>
      <c r="CH458" s="798"/>
      <c r="CI458" s="798"/>
      <c r="CJ458" s="798"/>
      <c r="CK458" s="798"/>
      <c r="CL458" s="798"/>
      <c r="CM458" s="798"/>
      <c r="CN458" s="798"/>
      <c r="CO458" s="798"/>
      <c r="CP458" s="798"/>
      <c r="CQ458" s="798"/>
      <c r="CR458" s="798"/>
      <c r="CS458" s="798"/>
      <c r="CT458" s="798"/>
      <c r="CU458" s="798"/>
      <c r="CV458" s="798"/>
      <c r="CW458" s="798"/>
      <c r="CX458" s="798"/>
      <c r="CY458" s="798"/>
      <c r="CZ458" s="798"/>
      <c r="DA458" s="798"/>
      <c r="DB458" s="798"/>
      <c r="DC458" s="798"/>
      <c r="DD458" s="798"/>
      <c r="DE458" s="798"/>
      <c r="DF458" s="798"/>
      <c r="DG458" s="798"/>
      <c r="DH458" s="798"/>
      <c r="DI458" s="798"/>
      <c r="DJ458" s="798"/>
      <c r="DK458" s="798"/>
      <c r="DL458" s="798"/>
      <c r="DM458" s="798"/>
      <c r="DN458" s="798"/>
      <c r="DO458" s="798"/>
      <c r="DP458" s="798"/>
      <c r="DQ458" s="798"/>
      <c r="DR458" s="798"/>
      <c r="DS458" s="798"/>
      <c r="DT458" s="798"/>
      <c r="DU458" s="798"/>
      <c r="DV458" s="798"/>
      <c r="DW458" s="798"/>
      <c r="DX458" s="798"/>
      <c r="DY458" s="798"/>
      <c r="DZ458" s="798"/>
      <c r="EA458" s="798"/>
      <c r="EB458" s="798"/>
      <c r="EC458" s="798"/>
      <c r="ED458" s="798"/>
      <c r="EE458" s="798"/>
      <c r="EF458" s="798"/>
      <c r="EG458" s="798"/>
      <c r="EH458" s="782"/>
    </row>
    <row r="459" spans="1:138" ht="12.75" customHeight="1" x14ac:dyDescent="0.3">
      <c r="A459" s="782"/>
      <c r="B459" s="782"/>
      <c r="D459" s="782"/>
      <c r="E459" s="798"/>
      <c r="F459" s="798"/>
      <c r="G459" s="798"/>
      <c r="H459" s="798"/>
      <c r="I459" s="798"/>
      <c r="J459" s="798"/>
      <c r="K459" s="798"/>
      <c r="L459" s="798"/>
      <c r="M459" s="798"/>
      <c r="N459" s="798"/>
      <c r="O459" s="1395"/>
      <c r="P459" s="798"/>
      <c r="Q459" s="798"/>
      <c r="R459" s="798"/>
      <c r="S459" s="798"/>
      <c r="T459" s="798"/>
      <c r="U459" s="798"/>
      <c r="V459" s="798"/>
      <c r="W459" s="798"/>
      <c r="X459" s="798"/>
      <c r="Y459" s="798"/>
      <c r="Z459" s="798"/>
      <c r="AA459" s="798"/>
      <c r="AB459" s="798"/>
      <c r="AC459" s="798"/>
      <c r="AD459" s="798"/>
      <c r="AE459" s="798"/>
      <c r="AF459" s="798"/>
      <c r="AG459" s="798"/>
      <c r="AH459" s="798"/>
      <c r="AI459" s="798"/>
      <c r="AJ459" s="798"/>
      <c r="AK459" s="798"/>
      <c r="AL459" s="798"/>
      <c r="AM459" s="798"/>
      <c r="AN459" s="798"/>
      <c r="AO459" s="798"/>
      <c r="AP459" s="798"/>
      <c r="AQ459" s="798"/>
      <c r="AR459" s="798"/>
      <c r="AS459" s="798"/>
      <c r="AT459" s="798"/>
      <c r="AU459" s="798"/>
      <c r="AV459" s="798"/>
      <c r="AW459" s="798"/>
      <c r="AX459" s="798"/>
      <c r="AY459" s="798"/>
      <c r="AZ459" s="798"/>
      <c r="BA459" s="798"/>
      <c r="BB459" s="798"/>
      <c r="BC459" s="798"/>
      <c r="BD459" s="798"/>
      <c r="BE459" s="798"/>
      <c r="BF459" s="798"/>
      <c r="BG459" s="798"/>
      <c r="BH459" s="798"/>
      <c r="BI459" s="798"/>
      <c r="BJ459" s="798"/>
      <c r="BK459" s="798"/>
      <c r="BL459" s="798"/>
      <c r="BM459" s="798"/>
      <c r="BN459" s="798"/>
      <c r="BO459" s="798"/>
      <c r="BP459" s="798"/>
      <c r="BQ459" s="798"/>
      <c r="BR459" s="798"/>
      <c r="BS459" s="798"/>
      <c r="BT459" s="798"/>
      <c r="BU459" s="798"/>
      <c r="BV459" s="798"/>
      <c r="BW459" s="798"/>
      <c r="BX459" s="798"/>
      <c r="BY459" s="798"/>
      <c r="BZ459" s="798"/>
      <c r="CA459" s="798"/>
      <c r="CB459" s="798"/>
      <c r="CC459" s="798"/>
      <c r="CD459" s="798"/>
      <c r="CE459" s="798"/>
      <c r="CF459" s="798"/>
      <c r="CG459" s="798"/>
      <c r="CH459" s="798"/>
      <c r="CI459" s="798"/>
      <c r="CJ459" s="798"/>
      <c r="CK459" s="798"/>
      <c r="CL459" s="798"/>
      <c r="CM459" s="798"/>
      <c r="CN459" s="798"/>
      <c r="CO459" s="798"/>
      <c r="CP459" s="798"/>
      <c r="CQ459" s="798"/>
      <c r="CR459" s="798"/>
      <c r="CS459" s="798"/>
      <c r="CT459" s="798"/>
      <c r="CU459" s="798"/>
      <c r="CV459" s="798"/>
      <c r="CW459" s="798"/>
      <c r="CX459" s="798"/>
      <c r="CY459" s="798"/>
      <c r="CZ459" s="798"/>
      <c r="DA459" s="798"/>
      <c r="DB459" s="798"/>
      <c r="DC459" s="798"/>
      <c r="DD459" s="798"/>
      <c r="DE459" s="798"/>
      <c r="DF459" s="798"/>
      <c r="DG459" s="798"/>
      <c r="DH459" s="798"/>
      <c r="DI459" s="798"/>
      <c r="DJ459" s="798"/>
      <c r="DK459" s="798"/>
      <c r="DL459" s="798"/>
      <c r="DM459" s="798"/>
      <c r="DN459" s="798"/>
      <c r="DO459" s="798"/>
      <c r="DP459" s="798"/>
      <c r="DQ459" s="798"/>
      <c r="DR459" s="798"/>
      <c r="DS459" s="798"/>
      <c r="DT459" s="798"/>
      <c r="DU459" s="798"/>
      <c r="DV459" s="798"/>
      <c r="DW459" s="798"/>
      <c r="DX459" s="798"/>
      <c r="DY459" s="798"/>
      <c r="DZ459" s="798"/>
      <c r="EA459" s="798"/>
      <c r="EB459" s="798"/>
      <c r="EC459" s="798"/>
      <c r="ED459" s="798"/>
      <c r="EE459" s="798"/>
      <c r="EF459" s="798"/>
      <c r="EG459" s="798"/>
      <c r="EH459" s="782"/>
    </row>
    <row r="460" spans="1:138" ht="12.75" customHeight="1" x14ac:dyDescent="0.3">
      <c r="A460" s="782"/>
      <c r="B460" s="782" t="s">
        <v>14</v>
      </c>
      <c r="C460" s="798">
        <f t="shared" ref="C460:C467" si="322">+SUM(E460:M460)</f>
        <v>-1470019.5694877617</v>
      </c>
      <c r="D460" s="798"/>
      <c r="E460" s="798">
        <f t="shared" ref="E460:M467" si="323">+SUMIF($E$6:$EG$6,E$451,$E26:$EG26)</f>
        <v>-833583.45041148621</v>
      </c>
      <c r="F460" s="798">
        <f t="shared" si="323"/>
        <v>-36000</v>
      </c>
      <c r="G460" s="798">
        <f t="shared" si="323"/>
        <v>-27000</v>
      </c>
      <c r="H460" s="798">
        <f t="shared" si="323"/>
        <v>-573436.1190762755</v>
      </c>
      <c r="I460" s="798">
        <f t="shared" si="323"/>
        <v>0</v>
      </c>
      <c r="J460" s="798">
        <f t="shared" si="323"/>
        <v>0</v>
      </c>
      <c r="K460" s="798">
        <f t="shared" si="323"/>
        <v>0</v>
      </c>
      <c r="L460" s="798">
        <f t="shared" si="323"/>
        <v>0</v>
      </c>
      <c r="M460" s="798">
        <f t="shared" si="323"/>
        <v>0</v>
      </c>
      <c r="N460" s="798"/>
      <c r="O460" s="1395">
        <f t="shared" ref="O460:O468" si="324">+C460-C26</f>
        <v>0</v>
      </c>
      <c r="P460" s="798"/>
      <c r="Q460" s="798"/>
      <c r="R460" s="798"/>
      <c r="S460" s="798"/>
      <c r="T460" s="798"/>
      <c r="U460" s="798"/>
      <c r="V460" s="798"/>
      <c r="W460" s="798"/>
      <c r="X460" s="798"/>
      <c r="Y460" s="798"/>
      <c r="Z460" s="798"/>
      <c r="AA460" s="798"/>
      <c r="AB460" s="798"/>
      <c r="AC460" s="798"/>
      <c r="AD460" s="798"/>
      <c r="AE460" s="798"/>
      <c r="AF460" s="798"/>
      <c r="AG460" s="798"/>
      <c r="AH460" s="798"/>
      <c r="AI460" s="798"/>
      <c r="AJ460" s="798"/>
      <c r="AK460" s="798"/>
      <c r="AL460" s="798"/>
      <c r="AM460" s="798"/>
      <c r="AN460" s="798"/>
      <c r="AO460" s="798"/>
      <c r="AP460" s="798"/>
      <c r="AQ460" s="798"/>
      <c r="AR460" s="798"/>
      <c r="AS460" s="798"/>
      <c r="AT460" s="798"/>
      <c r="AU460" s="798"/>
      <c r="AV460" s="798"/>
      <c r="AW460" s="798"/>
      <c r="AX460" s="798"/>
      <c r="AY460" s="798"/>
      <c r="AZ460" s="798"/>
      <c r="BA460" s="798"/>
      <c r="BB460" s="798"/>
      <c r="BC460" s="798"/>
      <c r="BD460" s="798"/>
      <c r="BE460" s="798"/>
      <c r="BF460" s="798"/>
      <c r="BG460" s="798"/>
      <c r="BH460" s="798"/>
      <c r="BI460" s="798"/>
      <c r="BJ460" s="798"/>
      <c r="BK460" s="798"/>
      <c r="BL460" s="798"/>
      <c r="BM460" s="798"/>
      <c r="BN460" s="798"/>
      <c r="BO460" s="798"/>
      <c r="BP460" s="798"/>
      <c r="BQ460" s="798"/>
      <c r="BR460" s="798"/>
      <c r="BS460" s="798"/>
      <c r="BT460" s="798"/>
      <c r="BU460" s="798"/>
      <c r="BV460" s="798"/>
      <c r="BW460" s="798"/>
      <c r="BX460" s="798"/>
      <c r="BY460" s="798"/>
      <c r="BZ460" s="798"/>
      <c r="CA460" s="798"/>
      <c r="CB460" s="798"/>
      <c r="CC460" s="798"/>
      <c r="CD460" s="798"/>
      <c r="CE460" s="798"/>
      <c r="CF460" s="798"/>
      <c r="CG460" s="798"/>
      <c r="CH460" s="798"/>
      <c r="CI460" s="798"/>
      <c r="CJ460" s="798"/>
      <c r="CK460" s="798"/>
      <c r="CL460" s="798"/>
      <c r="CM460" s="798"/>
      <c r="CN460" s="798"/>
      <c r="CO460" s="798"/>
      <c r="CP460" s="798"/>
      <c r="CQ460" s="798"/>
      <c r="CR460" s="798"/>
      <c r="CS460" s="798"/>
      <c r="CT460" s="798"/>
      <c r="CU460" s="798"/>
      <c r="CV460" s="798"/>
      <c r="CW460" s="798"/>
      <c r="CX460" s="798"/>
      <c r="CY460" s="798"/>
      <c r="CZ460" s="798"/>
      <c r="DA460" s="798"/>
      <c r="DB460" s="798"/>
      <c r="DC460" s="798"/>
      <c r="DD460" s="798"/>
      <c r="DE460" s="798"/>
      <c r="DF460" s="798"/>
      <c r="DG460" s="798"/>
      <c r="DH460" s="798"/>
      <c r="DI460" s="798"/>
      <c r="DJ460" s="798"/>
      <c r="DK460" s="798"/>
      <c r="DL460" s="798"/>
      <c r="DM460" s="798"/>
      <c r="DN460" s="798"/>
      <c r="DO460" s="798"/>
      <c r="DP460" s="798"/>
      <c r="DQ460" s="798"/>
      <c r="DR460" s="798"/>
      <c r="DS460" s="798"/>
      <c r="DT460" s="798"/>
      <c r="DU460" s="798"/>
      <c r="DV460" s="798"/>
      <c r="DW460" s="798"/>
      <c r="DX460" s="798"/>
      <c r="DY460" s="798"/>
      <c r="DZ460" s="798"/>
      <c r="EA460" s="798"/>
      <c r="EB460" s="798"/>
      <c r="EC460" s="798"/>
      <c r="ED460" s="798"/>
      <c r="EE460" s="798"/>
      <c r="EF460" s="798"/>
      <c r="EG460" s="798"/>
      <c r="EH460" s="782"/>
    </row>
    <row r="461" spans="1:138" ht="12.75" customHeight="1" x14ac:dyDescent="0.3">
      <c r="A461" s="782"/>
      <c r="B461" s="782" t="s">
        <v>15</v>
      </c>
      <c r="C461" s="798">
        <f t="shared" si="322"/>
        <v>-3015435.9515204169</v>
      </c>
      <c r="D461" s="798"/>
      <c r="E461" s="798">
        <f t="shared" si="323"/>
        <v>0</v>
      </c>
      <c r="F461" s="798">
        <f t="shared" si="323"/>
        <v>-378635.8860754167</v>
      </c>
      <c r="G461" s="798">
        <f t="shared" si="323"/>
        <v>-2404545.3512654169</v>
      </c>
      <c r="H461" s="798">
        <f t="shared" si="323"/>
        <v>-232254.71417958339</v>
      </c>
      <c r="I461" s="798">
        <f t="shared" si="323"/>
        <v>0</v>
      </c>
      <c r="J461" s="798">
        <f t="shared" si="323"/>
        <v>0</v>
      </c>
      <c r="K461" s="798">
        <f t="shared" si="323"/>
        <v>0</v>
      </c>
      <c r="L461" s="798">
        <f t="shared" si="323"/>
        <v>0</v>
      </c>
      <c r="M461" s="798">
        <f t="shared" si="323"/>
        <v>0</v>
      </c>
      <c r="N461" s="798"/>
      <c r="O461" s="1395">
        <f t="shared" si="324"/>
        <v>0</v>
      </c>
      <c r="P461" s="798"/>
      <c r="Q461" s="798"/>
      <c r="R461" s="798"/>
      <c r="S461" s="798"/>
      <c r="T461" s="798"/>
      <c r="U461" s="798"/>
      <c r="V461" s="798"/>
      <c r="W461" s="798"/>
      <c r="X461" s="798"/>
      <c r="Y461" s="798"/>
      <c r="Z461" s="798"/>
      <c r="AA461" s="798"/>
      <c r="AB461" s="798"/>
      <c r="AC461" s="798"/>
      <c r="AD461" s="798"/>
      <c r="AE461" s="798"/>
      <c r="AF461" s="798"/>
      <c r="AG461" s="798"/>
      <c r="AH461" s="798"/>
      <c r="AI461" s="798"/>
      <c r="AJ461" s="798"/>
      <c r="AK461" s="798"/>
      <c r="AL461" s="798"/>
      <c r="AM461" s="798"/>
      <c r="AN461" s="798"/>
      <c r="AO461" s="798"/>
      <c r="AP461" s="798"/>
      <c r="AQ461" s="798"/>
      <c r="AR461" s="798"/>
      <c r="AS461" s="798"/>
      <c r="AT461" s="798"/>
      <c r="AU461" s="798"/>
      <c r="AV461" s="798"/>
      <c r="AW461" s="798"/>
      <c r="AX461" s="798"/>
      <c r="AY461" s="798"/>
      <c r="AZ461" s="798"/>
      <c r="BA461" s="798"/>
      <c r="BB461" s="798"/>
      <c r="BC461" s="798"/>
      <c r="BD461" s="798"/>
      <c r="BE461" s="798"/>
      <c r="BF461" s="798"/>
      <c r="BG461" s="798"/>
      <c r="BH461" s="798"/>
      <c r="BI461" s="798"/>
      <c r="BJ461" s="798"/>
      <c r="BK461" s="798"/>
      <c r="BL461" s="798"/>
      <c r="BM461" s="798"/>
      <c r="BN461" s="798"/>
      <c r="BO461" s="798"/>
      <c r="BP461" s="798"/>
      <c r="BQ461" s="798"/>
      <c r="BR461" s="798"/>
      <c r="BS461" s="798"/>
      <c r="BT461" s="798"/>
      <c r="BU461" s="798"/>
      <c r="BV461" s="798"/>
      <c r="BW461" s="798"/>
      <c r="BX461" s="798"/>
      <c r="BY461" s="798"/>
      <c r="BZ461" s="798"/>
      <c r="CA461" s="798"/>
      <c r="CB461" s="798"/>
      <c r="CC461" s="798"/>
      <c r="CD461" s="798"/>
      <c r="CE461" s="798"/>
      <c r="CF461" s="798"/>
      <c r="CG461" s="798"/>
      <c r="CH461" s="798"/>
      <c r="CI461" s="798"/>
      <c r="CJ461" s="798"/>
      <c r="CK461" s="798"/>
      <c r="CL461" s="798"/>
      <c r="CM461" s="798"/>
      <c r="CN461" s="798"/>
      <c r="CO461" s="798"/>
      <c r="CP461" s="798"/>
      <c r="CQ461" s="798"/>
      <c r="CR461" s="798"/>
      <c r="CS461" s="798"/>
      <c r="CT461" s="798"/>
      <c r="CU461" s="798"/>
      <c r="CV461" s="798"/>
      <c r="CW461" s="798"/>
      <c r="CX461" s="798"/>
      <c r="CY461" s="798"/>
      <c r="CZ461" s="798"/>
      <c r="DA461" s="798"/>
      <c r="DB461" s="798"/>
      <c r="DC461" s="798"/>
      <c r="DD461" s="798"/>
      <c r="DE461" s="798"/>
      <c r="DF461" s="798"/>
      <c r="DG461" s="798"/>
      <c r="DH461" s="798"/>
      <c r="DI461" s="798"/>
      <c r="DJ461" s="798"/>
      <c r="DK461" s="798"/>
      <c r="DL461" s="798"/>
      <c r="DM461" s="798"/>
      <c r="DN461" s="798"/>
      <c r="DO461" s="798"/>
      <c r="DP461" s="798"/>
      <c r="DQ461" s="798"/>
      <c r="DR461" s="798"/>
      <c r="DS461" s="798"/>
      <c r="DT461" s="798"/>
      <c r="DU461" s="798"/>
      <c r="DV461" s="798"/>
      <c r="DW461" s="798"/>
      <c r="DX461" s="798"/>
      <c r="DY461" s="798"/>
      <c r="DZ461" s="798"/>
      <c r="EA461" s="798"/>
      <c r="EB461" s="798"/>
      <c r="EC461" s="798"/>
      <c r="ED461" s="798"/>
      <c r="EE461" s="798"/>
      <c r="EF461" s="798"/>
      <c r="EG461" s="798"/>
      <c r="EH461" s="782"/>
    </row>
    <row r="462" spans="1:138" ht="12.75" customHeight="1" x14ac:dyDescent="0.3">
      <c r="A462" s="782"/>
      <c r="B462" s="782" t="s">
        <v>16</v>
      </c>
      <c r="C462" s="798">
        <f t="shared" si="322"/>
        <v>42877793.387000002</v>
      </c>
      <c r="D462" s="798"/>
      <c r="E462" s="798">
        <f t="shared" si="323"/>
        <v>0</v>
      </c>
      <c r="F462" s="798">
        <f t="shared" si="323"/>
        <v>24768144.386</v>
      </c>
      <c r="G462" s="798">
        <f t="shared" si="323"/>
        <v>18109649.001000002</v>
      </c>
      <c r="H462" s="798">
        <f t="shared" si="323"/>
        <v>0</v>
      </c>
      <c r="I462" s="798">
        <f t="shared" si="323"/>
        <v>0</v>
      </c>
      <c r="J462" s="798">
        <f t="shared" si="323"/>
        <v>0</v>
      </c>
      <c r="K462" s="798">
        <f t="shared" si="323"/>
        <v>0</v>
      </c>
      <c r="L462" s="798">
        <f t="shared" si="323"/>
        <v>0</v>
      </c>
      <c r="M462" s="798">
        <f t="shared" si="323"/>
        <v>0</v>
      </c>
      <c r="N462" s="798"/>
      <c r="O462" s="1395">
        <f t="shared" si="324"/>
        <v>0</v>
      </c>
      <c r="P462" s="798"/>
      <c r="Q462" s="798"/>
      <c r="R462" s="798"/>
      <c r="S462" s="798"/>
      <c r="T462" s="798"/>
      <c r="U462" s="798"/>
      <c r="V462" s="798"/>
      <c r="W462" s="798"/>
      <c r="X462" s="798"/>
      <c r="Y462" s="798"/>
      <c r="Z462" s="798"/>
      <c r="AA462" s="798"/>
      <c r="AB462" s="798"/>
      <c r="AC462" s="798"/>
      <c r="AD462" s="798"/>
      <c r="AE462" s="798"/>
      <c r="AF462" s="798"/>
      <c r="AG462" s="798"/>
      <c r="AH462" s="798"/>
      <c r="AI462" s="798"/>
      <c r="AJ462" s="798"/>
      <c r="AK462" s="798"/>
      <c r="AL462" s="798"/>
      <c r="AM462" s="798"/>
      <c r="AN462" s="798"/>
      <c r="AO462" s="798"/>
      <c r="AP462" s="798"/>
      <c r="AQ462" s="798"/>
      <c r="AR462" s="798"/>
      <c r="AS462" s="798"/>
      <c r="AT462" s="798"/>
      <c r="AU462" s="798"/>
      <c r="AV462" s="798"/>
      <c r="AW462" s="798"/>
      <c r="AX462" s="798"/>
      <c r="AY462" s="798"/>
      <c r="AZ462" s="798"/>
      <c r="BA462" s="798"/>
      <c r="BB462" s="798"/>
      <c r="BC462" s="798"/>
      <c r="BD462" s="798"/>
      <c r="BE462" s="798"/>
      <c r="BF462" s="798"/>
      <c r="BG462" s="798"/>
      <c r="BH462" s="798"/>
      <c r="BI462" s="798"/>
      <c r="BJ462" s="798"/>
      <c r="BK462" s="798"/>
      <c r="BL462" s="798"/>
      <c r="BM462" s="798"/>
      <c r="BN462" s="798"/>
      <c r="BO462" s="798"/>
      <c r="BP462" s="798"/>
      <c r="BQ462" s="798"/>
      <c r="BR462" s="798"/>
      <c r="BS462" s="798"/>
      <c r="BT462" s="798"/>
      <c r="BU462" s="798"/>
      <c r="BV462" s="798"/>
      <c r="BW462" s="798"/>
      <c r="BX462" s="798"/>
      <c r="BY462" s="798"/>
      <c r="BZ462" s="798"/>
      <c r="CA462" s="798"/>
      <c r="CB462" s="798"/>
      <c r="CC462" s="798"/>
      <c r="CD462" s="798"/>
      <c r="CE462" s="798"/>
      <c r="CF462" s="798"/>
      <c r="CG462" s="798"/>
      <c r="CH462" s="798"/>
      <c r="CI462" s="798"/>
      <c r="CJ462" s="798"/>
      <c r="CK462" s="798"/>
      <c r="CL462" s="798"/>
      <c r="CM462" s="798"/>
      <c r="CN462" s="798"/>
      <c r="CO462" s="798"/>
      <c r="CP462" s="798"/>
      <c r="CQ462" s="798"/>
      <c r="CR462" s="798"/>
      <c r="CS462" s="798"/>
      <c r="CT462" s="798"/>
      <c r="CU462" s="798"/>
      <c r="CV462" s="798"/>
      <c r="CW462" s="798"/>
      <c r="CX462" s="798"/>
      <c r="CY462" s="798"/>
      <c r="CZ462" s="798"/>
      <c r="DA462" s="798"/>
      <c r="DB462" s="798"/>
      <c r="DC462" s="798"/>
      <c r="DD462" s="798"/>
      <c r="DE462" s="798"/>
      <c r="DF462" s="798"/>
      <c r="DG462" s="798"/>
      <c r="DH462" s="798"/>
      <c r="DI462" s="798"/>
      <c r="DJ462" s="798"/>
      <c r="DK462" s="798"/>
      <c r="DL462" s="798"/>
      <c r="DM462" s="798"/>
      <c r="DN462" s="798"/>
      <c r="DO462" s="798"/>
      <c r="DP462" s="798"/>
      <c r="DQ462" s="798"/>
      <c r="DR462" s="798"/>
      <c r="DS462" s="798"/>
      <c r="DT462" s="798"/>
      <c r="DU462" s="798"/>
      <c r="DV462" s="798"/>
      <c r="DW462" s="798"/>
      <c r="DX462" s="798"/>
      <c r="DY462" s="798"/>
      <c r="DZ462" s="798"/>
      <c r="EA462" s="798"/>
      <c r="EB462" s="798"/>
      <c r="EC462" s="798"/>
      <c r="ED462" s="798"/>
      <c r="EE462" s="798"/>
      <c r="EF462" s="798"/>
      <c r="EG462" s="798"/>
      <c r="EH462" s="782"/>
    </row>
    <row r="463" spans="1:138" ht="12.75" customHeight="1" x14ac:dyDescent="0.3">
      <c r="A463" s="782"/>
      <c r="B463" s="782" t="s">
        <v>17</v>
      </c>
      <c r="C463" s="798">
        <f t="shared" si="322"/>
        <v>-42877793.387000009</v>
      </c>
      <c r="D463" s="798"/>
      <c r="E463" s="798">
        <f t="shared" si="323"/>
        <v>0</v>
      </c>
      <c r="F463" s="798">
        <f t="shared" si="323"/>
        <v>0</v>
      </c>
      <c r="G463" s="798">
        <f t="shared" si="323"/>
        <v>0</v>
      </c>
      <c r="H463" s="798">
        <f t="shared" si="323"/>
        <v>-42877793.387000009</v>
      </c>
      <c r="I463" s="798">
        <f t="shared" si="323"/>
        <v>0</v>
      </c>
      <c r="J463" s="798">
        <f t="shared" si="323"/>
        <v>0</v>
      </c>
      <c r="K463" s="798">
        <f t="shared" si="323"/>
        <v>0</v>
      </c>
      <c r="L463" s="798">
        <f t="shared" si="323"/>
        <v>0</v>
      </c>
      <c r="M463" s="798">
        <f t="shared" si="323"/>
        <v>0</v>
      </c>
      <c r="N463" s="798"/>
      <c r="O463" s="1395">
        <f t="shared" si="324"/>
        <v>0</v>
      </c>
      <c r="P463" s="798"/>
      <c r="Q463" s="798"/>
      <c r="R463" s="798"/>
      <c r="S463" s="798"/>
      <c r="T463" s="798"/>
      <c r="U463" s="798"/>
      <c r="V463" s="798"/>
      <c r="W463" s="798"/>
      <c r="X463" s="798"/>
      <c r="Y463" s="798"/>
      <c r="Z463" s="798"/>
      <c r="AA463" s="798"/>
      <c r="AB463" s="798"/>
      <c r="AC463" s="798"/>
      <c r="AD463" s="798"/>
      <c r="AE463" s="798"/>
      <c r="AF463" s="798"/>
      <c r="AG463" s="798"/>
      <c r="AH463" s="798"/>
      <c r="AI463" s="798"/>
      <c r="AJ463" s="798"/>
      <c r="AK463" s="798"/>
      <c r="AL463" s="798"/>
      <c r="AM463" s="798"/>
      <c r="AN463" s="798"/>
      <c r="AO463" s="798"/>
      <c r="AP463" s="798"/>
      <c r="AQ463" s="798"/>
      <c r="AR463" s="798"/>
      <c r="AS463" s="798"/>
      <c r="AT463" s="798"/>
      <c r="AU463" s="798"/>
      <c r="AV463" s="798"/>
      <c r="AW463" s="798"/>
      <c r="AX463" s="798"/>
      <c r="AY463" s="798"/>
      <c r="AZ463" s="798"/>
      <c r="BA463" s="798"/>
      <c r="BB463" s="798"/>
      <c r="BC463" s="798"/>
      <c r="BD463" s="798"/>
      <c r="BE463" s="798"/>
      <c r="BF463" s="798"/>
      <c r="BG463" s="798"/>
      <c r="BH463" s="798"/>
      <c r="BI463" s="798"/>
      <c r="BJ463" s="798"/>
      <c r="BK463" s="798"/>
      <c r="BL463" s="798"/>
      <c r="BM463" s="798"/>
      <c r="BN463" s="798"/>
      <c r="BO463" s="798"/>
      <c r="BP463" s="798"/>
      <c r="BQ463" s="798"/>
      <c r="BR463" s="798"/>
      <c r="BS463" s="798"/>
      <c r="BT463" s="798"/>
      <c r="BU463" s="798"/>
      <c r="BV463" s="798"/>
      <c r="BW463" s="798"/>
      <c r="BX463" s="798"/>
      <c r="BY463" s="798"/>
      <c r="BZ463" s="798"/>
      <c r="CA463" s="798"/>
      <c r="CB463" s="798"/>
      <c r="CC463" s="798"/>
      <c r="CD463" s="798"/>
      <c r="CE463" s="798"/>
      <c r="CF463" s="798"/>
      <c r="CG463" s="798"/>
      <c r="CH463" s="798"/>
      <c r="CI463" s="798"/>
      <c r="CJ463" s="798"/>
      <c r="CK463" s="798"/>
      <c r="CL463" s="798"/>
      <c r="CM463" s="798"/>
      <c r="CN463" s="798"/>
      <c r="CO463" s="798"/>
      <c r="CP463" s="798"/>
      <c r="CQ463" s="798"/>
      <c r="CR463" s="798"/>
      <c r="CS463" s="798"/>
      <c r="CT463" s="798"/>
      <c r="CU463" s="798"/>
      <c r="CV463" s="798"/>
      <c r="CW463" s="798"/>
      <c r="CX463" s="798"/>
      <c r="CY463" s="798"/>
      <c r="CZ463" s="798"/>
      <c r="DA463" s="798"/>
      <c r="DB463" s="798"/>
      <c r="DC463" s="798"/>
      <c r="DD463" s="798"/>
      <c r="DE463" s="798"/>
      <c r="DF463" s="798"/>
      <c r="DG463" s="798"/>
      <c r="DH463" s="798"/>
      <c r="DI463" s="798"/>
      <c r="DJ463" s="798"/>
      <c r="DK463" s="798"/>
      <c r="DL463" s="798"/>
      <c r="DM463" s="798"/>
      <c r="DN463" s="798"/>
      <c r="DO463" s="798"/>
      <c r="DP463" s="798"/>
      <c r="DQ463" s="798"/>
      <c r="DR463" s="798"/>
      <c r="DS463" s="798"/>
      <c r="DT463" s="798"/>
      <c r="DU463" s="798"/>
      <c r="DV463" s="798"/>
      <c r="DW463" s="798"/>
      <c r="DX463" s="798"/>
      <c r="DY463" s="798"/>
      <c r="DZ463" s="798"/>
      <c r="EA463" s="798"/>
      <c r="EB463" s="798"/>
      <c r="EC463" s="798"/>
      <c r="ED463" s="798"/>
      <c r="EE463" s="798"/>
      <c r="EF463" s="798"/>
      <c r="EG463" s="798"/>
      <c r="EH463" s="782"/>
    </row>
    <row r="464" spans="1:138" ht="12.75" customHeight="1" x14ac:dyDescent="0.3">
      <c r="A464" s="782"/>
      <c r="B464" s="782" t="s">
        <v>18</v>
      </c>
      <c r="C464" s="798">
        <f t="shared" si="322"/>
        <v>57343611.907627545</v>
      </c>
      <c r="D464" s="798"/>
      <c r="E464" s="798">
        <f t="shared" si="323"/>
        <v>0</v>
      </c>
      <c r="F464" s="798">
        <f t="shared" si="323"/>
        <v>0</v>
      </c>
      <c r="G464" s="798">
        <f t="shared" si="323"/>
        <v>0</v>
      </c>
      <c r="H464" s="798">
        <f t="shared" si="323"/>
        <v>57343611.907627545</v>
      </c>
      <c r="I464" s="798">
        <f t="shared" si="323"/>
        <v>0</v>
      </c>
      <c r="J464" s="798">
        <f t="shared" si="323"/>
        <v>0</v>
      </c>
      <c r="K464" s="798">
        <f t="shared" si="323"/>
        <v>0</v>
      </c>
      <c r="L464" s="798">
        <f t="shared" si="323"/>
        <v>0</v>
      </c>
      <c r="M464" s="798">
        <f t="shared" si="323"/>
        <v>0</v>
      </c>
      <c r="N464" s="798"/>
      <c r="O464" s="1395">
        <f t="shared" si="324"/>
        <v>0</v>
      </c>
      <c r="P464" s="798"/>
      <c r="Q464" s="798"/>
      <c r="R464" s="798"/>
      <c r="S464" s="798"/>
      <c r="T464" s="798"/>
      <c r="U464" s="798"/>
      <c r="V464" s="798"/>
      <c r="W464" s="798"/>
      <c r="X464" s="798"/>
      <c r="Y464" s="798"/>
      <c r="Z464" s="798"/>
      <c r="AA464" s="798"/>
      <c r="AB464" s="798"/>
      <c r="AC464" s="798"/>
      <c r="AD464" s="798"/>
      <c r="AE464" s="798"/>
      <c r="AF464" s="798"/>
      <c r="AG464" s="798"/>
      <c r="AH464" s="798"/>
      <c r="AI464" s="798"/>
      <c r="AJ464" s="798"/>
      <c r="AK464" s="798"/>
      <c r="AL464" s="798"/>
      <c r="AM464" s="798"/>
      <c r="AN464" s="798"/>
      <c r="AO464" s="798"/>
      <c r="AP464" s="798"/>
      <c r="AQ464" s="798"/>
      <c r="AR464" s="798"/>
      <c r="AS464" s="798"/>
      <c r="AT464" s="798"/>
      <c r="AU464" s="798"/>
      <c r="AV464" s="798"/>
      <c r="AW464" s="798"/>
      <c r="AX464" s="798"/>
      <c r="AY464" s="798"/>
      <c r="AZ464" s="798"/>
      <c r="BA464" s="798"/>
      <c r="BB464" s="798"/>
      <c r="BC464" s="798"/>
      <c r="BD464" s="798"/>
      <c r="BE464" s="798"/>
      <c r="BF464" s="798"/>
      <c r="BG464" s="798"/>
      <c r="BH464" s="798"/>
      <c r="BI464" s="798"/>
      <c r="BJ464" s="798"/>
      <c r="BK464" s="798"/>
      <c r="BL464" s="798"/>
      <c r="BM464" s="798"/>
      <c r="BN464" s="798"/>
      <c r="BO464" s="798"/>
      <c r="BP464" s="798"/>
      <c r="BQ464" s="798"/>
      <c r="BR464" s="798"/>
      <c r="BS464" s="798"/>
      <c r="BT464" s="798"/>
      <c r="BU464" s="798"/>
      <c r="BV464" s="798"/>
      <c r="BW464" s="798"/>
      <c r="BX464" s="798"/>
      <c r="BY464" s="798"/>
      <c r="BZ464" s="798"/>
      <c r="CA464" s="798"/>
      <c r="CB464" s="798"/>
      <c r="CC464" s="798"/>
      <c r="CD464" s="798"/>
      <c r="CE464" s="798"/>
      <c r="CF464" s="798"/>
      <c r="CG464" s="798"/>
      <c r="CH464" s="798"/>
      <c r="CI464" s="798"/>
      <c r="CJ464" s="798"/>
      <c r="CK464" s="798"/>
      <c r="CL464" s="798"/>
      <c r="CM464" s="798"/>
      <c r="CN464" s="798"/>
      <c r="CO464" s="798"/>
      <c r="CP464" s="798"/>
      <c r="CQ464" s="798"/>
      <c r="CR464" s="798"/>
      <c r="CS464" s="798"/>
      <c r="CT464" s="798"/>
      <c r="CU464" s="798"/>
      <c r="CV464" s="798"/>
      <c r="CW464" s="798"/>
      <c r="CX464" s="798"/>
      <c r="CY464" s="798"/>
      <c r="CZ464" s="798"/>
      <c r="DA464" s="798"/>
      <c r="DB464" s="798"/>
      <c r="DC464" s="798"/>
      <c r="DD464" s="798"/>
      <c r="DE464" s="798"/>
      <c r="DF464" s="798"/>
      <c r="DG464" s="798"/>
      <c r="DH464" s="798"/>
      <c r="DI464" s="798"/>
      <c r="DJ464" s="798"/>
      <c r="DK464" s="798"/>
      <c r="DL464" s="798"/>
      <c r="DM464" s="798"/>
      <c r="DN464" s="798"/>
      <c r="DO464" s="798"/>
      <c r="DP464" s="798"/>
      <c r="DQ464" s="798"/>
      <c r="DR464" s="798"/>
      <c r="DS464" s="798"/>
      <c r="DT464" s="798"/>
      <c r="DU464" s="798"/>
      <c r="DV464" s="798"/>
      <c r="DW464" s="798"/>
      <c r="DX464" s="798"/>
      <c r="DY464" s="798"/>
      <c r="DZ464" s="798"/>
      <c r="EA464" s="798"/>
      <c r="EB464" s="798"/>
      <c r="EC464" s="798"/>
      <c r="ED464" s="798"/>
      <c r="EE464" s="798"/>
      <c r="EF464" s="798"/>
      <c r="EG464" s="798"/>
      <c r="EH464" s="782"/>
    </row>
    <row r="465" spans="1:138" ht="12.75" customHeight="1" x14ac:dyDescent="0.3">
      <c r="A465" s="782"/>
      <c r="B465" s="782" t="s">
        <v>19</v>
      </c>
      <c r="C465" s="798">
        <f t="shared" si="322"/>
        <v>0</v>
      </c>
      <c r="D465" s="798"/>
      <c r="E465" s="798">
        <f t="shared" si="323"/>
        <v>0</v>
      </c>
      <c r="F465" s="798">
        <f t="shared" si="323"/>
        <v>0</v>
      </c>
      <c r="G465" s="798">
        <f t="shared" si="323"/>
        <v>0</v>
      </c>
      <c r="H465" s="798">
        <f t="shared" si="323"/>
        <v>0</v>
      </c>
      <c r="I465" s="798">
        <f t="shared" si="323"/>
        <v>0</v>
      </c>
      <c r="J465" s="798">
        <f t="shared" si="323"/>
        <v>0</v>
      </c>
      <c r="K465" s="798">
        <f t="shared" si="323"/>
        <v>0</v>
      </c>
      <c r="L465" s="798">
        <f t="shared" si="323"/>
        <v>0</v>
      </c>
      <c r="M465" s="798">
        <f t="shared" si="323"/>
        <v>0</v>
      </c>
      <c r="N465" s="798"/>
      <c r="O465" s="1395">
        <f t="shared" si="324"/>
        <v>0</v>
      </c>
      <c r="P465" s="798"/>
      <c r="Q465" s="798"/>
      <c r="R465" s="798"/>
      <c r="S465" s="798"/>
      <c r="T465" s="798"/>
      <c r="U465" s="798"/>
      <c r="V465" s="798"/>
      <c r="W465" s="798"/>
      <c r="X465" s="798"/>
      <c r="Y465" s="798"/>
      <c r="Z465" s="798"/>
      <c r="AA465" s="798"/>
      <c r="AB465" s="798"/>
      <c r="AC465" s="798"/>
      <c r="AD465" s="798"/>
      <c r="AE465" s="798"/>
      <c r="AF465" s="798"/>
      <c r="AG465" s="798"/>
      <c r="AH465" s="798"/>
      <c r="AI465" s="798"/>
      <c r="AJ465" s="798"/>
      <c r="AK465" s="798"/>
      <c r="AL465" s="798"/>
      <c r="AM465" s="798"/>
      <c r="AN465" s="798"/>
      <c r="AO465" s="798"/>
      <c r="AP465" s="798"/>
      <c r="AQ465" s="798"/>
      <c r="AR465" s="798"/>
      <c r="AS465" s="798"/>
      <c r="AT465" s="798"/>
      <c r="AU465" s="798"/>
      <c r="AV465" s="798"/>
      <c r="AW465" s="798"/>
      <c r="AX465" s="798"/>
      <c r="AY465" s="798"/>
      <c r="AZ465" s="798"/>
      <c r="BA465" s="798"/>
      <c r="BB465" s="798"/>
      <c r="BC465" s="798"/>
      <c r="BD465" s="798"/>
      <c r="BE465" s="798"/>
      <c r="BF465" s="798"/>
      <c r="BG465" s="798"/>
      <c r="BH465" s="798"/>
      <c r="BI465" s="798"/>
      <c r="BJ465" s="798"/>
      <c r="BK465" s="798"/>
      <c r="BL465" s="798"/>
      <c r="BM465" s="798"/>
      <c r="BN465" s="798"/>
      <c r="BO465" s="798"/>
      <c r="BP465" s="798"/>
      <c r="BQ465" s="798"/>
      <c r="BR465" s="798"/>
      <c r="BS465" s="798"/>
      <c r="BT465" s="798"/>
      <c r="BU465" s="798"/>
      <c r="BV465" s="798"/>
      <c r="BW465" s="798"/>
      <c r="BX465" s="798"/>
      <c r="BY465" s="798"/>
      <c r="BZ465" s="798"/>
      <c r="CA465" s="798"/>
      <c r="CB465" s="798"/>
      <c r="CC465" s="798"/>
      <c r="CD465" s="798"/>
      <c r="CE465" s="798"/>
      <c r="CF465" s="798"/>
      <c r="CG465" s="798"/>
      <c r="CH465" s="798"/>
      <c r="CI465" s="798"/>
      <c r="CJ465" s="798"/>
      <c r="CK465" s="798"/>
      <c r="CL465" s="798"/>
      <c r="CM465" s="798"/>
      <c r="CN465" s="798"/>
      <c r="CO465" s="798"/>
      <c r="CP465" s="798"/>
      <c r="CQ465" s="798"/>
      <c r="CR465" s="798"/>
      <c r="CS465" s="798"/>
      <c r="CT465" s="798"/>
      <c r="CU465" s="798"/>
      <c r="CV465" s="798"/>
      <c r="CW465" s="798"/>
      <c r="CX465" s="798"/>
      <c r="CY465" s="798"/>
      <c r="CZ465" s="798"/>
      <c r="DA465" s="798"/>
      <c r="DB465" s="798"/>
      <c r="DC465" s="798"/>
      <c r="DD465" s="798"/>
      <c r="DE465" s="798"/>
      <c r="DF465" s="798"/>
      <c r="DG465" s="798"/>
      <c r="DH465" s="798"/>
      <c r="DI465" s="798"/>
      <c r="DJ465" s="798"/>
      <c r="DK465" s="798"/>
      <c r="DL465" s="798"/>
      <c r="DM465" s="798"/>
      <c r="DN465" s="798"/>
      <c r="DO465" s="798"/>
      <c r="DP465" s="798"/>
      <c r="DQ465" s="798"/>
      <c r="DR465" s="798"/>
      <c r="DS465" s="798"/>
      <c r="DT465" s="798"/>
      <c r="DU465" s="798"/>
      <c r="DV465" s="798"/>
      <c r="DW465" s="798"/>
      <c r="DX465" s="798"/>
      <c r="DY465" s="798"/>
      <c r="DZ465" s="798"/>
      <c r="EA465" s="798"/>
      <c r="EB465" s="798"/>
      <c r="EC465" s="798"/>
      <c r="ED465" s="798"/>
      <c r="EE465" s="798"/>
      <c r="EF465" s="798"/>
      <c r="EG465" s="798"/>
      <c r="EH465" s="782"/>
    </row>
    <row r="466" spans="1:138" ht="12.75" customHeight="1" x14ac:dyDescent="0.3">
      <c r="A466" s="782"/>
      <c r="B466" s="782" t="s">
        <v>20</v>
      </c>
      <c r="C466" s="798">
        <f t="shared" si="322"/>
        <v>-14404145.697984423</v>
      </c>
      <c r="D466" s="798"/>
      <c r="E466" s="798">
        <f t="shared" si="323"/>
        <v>0</v>
      </c>
      <c r="F466" s="798">
        <f t="shared" si="323"/>
        <v>0</v>
      </c>
      <c r="G466" s="798">
        <f t="shared" si="323"/>
        <v>0</v>
      </c>
      <c r="H466" s="798">
        <f t="shared" si="323"/>
        <v>-1546375.6250443407</v>
      </c>
      <c r="I466" s="798">
        <f t="shared" si="323"/>
        <v>-2674308.223910667</v>
      </c>
      <c r="J466" s="798">
        <f t="shared" si="323"/>
        <v>-2722418.5585743021</v>
      </c>
      <c r="K466" s="798">
        <f t="shared" si="323"/>
        <v>-2767493.5047142925</v>
      </c>
      <c r="L466" s="798">
        <f t="shared" si="323"/>
        <v>-2804358.7570828414</v>
      </c>
      <c r="M466" s="798">
        <f t="shared" si="323"/>
        <v>-1889191.0286579803</v>
      </c>
      <c r="N466" s="798"/>
      <c r="O466" s="1395">
        <f t="shared" si="324"/>
        <v>0</v>
      </c>
      <c r="P466" s="798"/>
      <c r="Q466" s="798"/>
      <c r="R466" s="798"/>
      <c r="S466" s="798"/>
      <c r="T466" s="798"/>
      <c r="U466" s="798"/>
      <c r="V466" s="798"/>
      <c r="W466" s="798"/>
      <c r="X466" s="798"/>
      <c r="Y466" s="798"/>
      <c r="Z466" s="798"/>
      <c r="AA466" s="798"/>
      <c r="AB466" s="798"/>
      <c r="AC466" s="798"/>
      <c r="AD466" s="798"/>
      <c r="AE466" s="798"/>
      <c r="AF466" s="798"/>
      <c r="AG466" s="798"/>
      <c r="AH466" s="798"/>
      <c r="AI466" s="798"/>
      <c r="AJ466" s="798"/>
      <c r="AK466" s="798"/>
      <c r="AL466" s="798"/>
      <c r="AM466" s="798"/>
      <c r="AN466" s="798"/>
      <c r="AO466" s="798"/>
      <c r="AP466" s="798"/>
      <c r="AQ466" s="798"/>
      <c r="AR466" s="798"/>
      <c r="AS466" s="798"/>
      <c r="AT466" s="798"/>
      <c r="AU466" s="798"/>
      <c r="AV466" s="798"/>
      <c r="AW466" s="798"/>
      <c r="AX466" s="798"/>
      <c r="AY466" s="798"/>
      <c r="AZ466" s="798"/>
      <c r="BA466" s="798"/>
      <c r="BB466" s="798"/>
      <c r="BC466" s="798"/>
      <c r="BD466" s="798"/>
      <c r="BE466" s="798"/>
      <c r="BF466" s="798"/>
      <c r="BG466" s="798"/>
      <c r="BH466" s="798"/>
      <c r="BI466" s="798"/>
      <c r="BJ466" s="798"/>
      <c r="BK466" s="798"/>
      <c r="BL466" s="798"/>
      <c r="BM466" s="798"/>
      <c r="BN466" s="798"/>
      <c r="BO466" s="798"/>
      <c r="BP466" s="798"/>
      <c r="BQ466" s="798"/>
      <c r="BR466" s="798"/>
      <c r="BS466" s="798"/>
      <c r="BT466" s="798"/>
      <c r="BU466" s="798"/>
      <c r="BV466" s="798"/>
      <c r="BW466" s="798"/>
      <c r="BX466" s="798"/>
      <c r="BY466" s="798"/>
      <c r="BZ466" s="798"/>
      <c r="CA466" s="798"/>
      <c r="CB466" s="798"/>
      <c r="CC466" s="798"/>
      <c r="CD466" s="798"/>
      <c r="CE466" s="798"/>
      <c r="CF466" s="798"/>
      <c r="CG466" s="798"/>
      <c r="CH466" s="798"/>
      <c r="CI466" s="798"/>
      <c r="CJ466" s="798"/>
      <c r="CK466" s="798"/>
      <c r="CL466" s="798"/>
      <c r="CM466" s="798"/>
      <c r="CN466" s="798"/>
      <c r="CO466" s="798"/>
      <c r="CP466" s="798"/>
      <c r="CQ466" s="798"/>
      <c r="CR466" s="798"/>
      <c r="CS466" s="798"/>
      <c r="CT466" s="798"/>
      <c r="CU466" s="798"/>
      <c r="CV466" s="798"/>
      <c r="CW466" s="798"/>
      <c r="CX466" s="798"/>
      <c r="CY466" s="798"/>
      <c r="CZ466" s="798"/>
      <c r="DA466" s="798"/>
      <c r="DB466" s="798"/>
      <c r="DC466" s="798"/>
      <c r="DD466" s="798"/>
      <c r="DE466" s="798"/>
      <c r="DF466" s="798"/>
      <c r="DG466" s="798"/>
      <c r="DH466" s="798"/>
      <c r="DI466" s="798"/>
      <c r="DJ466" s="798"/>
      <c r="DK466" s="798"/>
      <c r="DL466" s="798"/>
      <c r="DM466" s="798"/>
      <c r="DN466" s="798"/>
      <c r="DO466" s="798"/>
      <c r="DP466" s="798"/>
      <c r="DQ466" s="798"/>
      <c r="DR466" s="798"/>
      <c r="DS466" s="798"/>
      <c r="DT466" s="798"/>
      <c r="DU466" s="798"/>
      <c r="DV466" s="798"/>
      <c r="DW466" s="798"/>
      <c r="DX466" s="798"/>
      <c r="DY466" s="798"/>
      <c r="DZ466" s="798"/>
      <c r="EA466" s="798"/>
      <c r="EB466" s="798"/>
      <c r="EC466" s="798"/>
      <c r="ED466" s="798"/>
      <c r="EE466" s="798"/>
      <c r="EF466" s="798"/>
      <c r="EG466" s="798"/>
      <c r="EH466" s="782"/>
    </row>
    <row r="467" spans="1:138" ht="12.75" customHeight="1" x14ac:dyDescent="0.3">
      <c r="A467" s="782"/>
      <c r="B467" s="782" t="s">
        <v>21</v>
      </c>
      <c r="C467" s="798">
        <f t="shared" si="322"/>
        <v>-57343611.907627545</v>
      </c>
      <c r="D467" s="798"/>
      <c r="E467" s="798">
        <f t="shared" si="323"/>
        <v>0</v>
      </c>
      <c r="F467" s="798">
        <f t="shared" si="323"/>
        <v>0</v>
      </c>
      <c r="G467" s="798">
        <f t="shared" si="323"/>
        <v>0</v>
      </c>
      <c r="H467" s="798">
        <f t="shared" si="323"/>
        <v>0</v>
      </c>
      <c r="I467" s="798">
        <f t="shared" si="323"/>
        <v>0</v>
      </c>
      <c r="J467" s="798">
        <f t="shared" si="323"/>
        <v>0</v>
      </c>
      <c r="K467" s="798">
        <f t="shared" si="323"/>
        <v>0</v>
      </c>
      <c r="L467" s="798">
        <f t="shared" si="323"/>
        <v>0</v>
      </c>
      <c r="M467" s="798">
        <f t="shared" si="323"/>
        <v>-57343611.907627545</v>
      </c>
      <c r="N467" s="798"/>
      <c r="O467" s="1395">
        <f t="shared" si="324"/>
        <v>0</v>
      </c>
      <c r="P467" s="798"/>
      <c r="Q467" s="798"/>
      <c r="R467" s="798"/>
      <c r="S467" s="798"/>
      <c r="T467" s="798"/>
      <c r="U467" s="798"/>
      <c r="V467" s="798"/>
      <c r="W467" s="798"/>
      <c r="X467" s="798"/>
      <c r="Y467" s="798"/>
      <c r="Z467" s="798"/>
      <c r="AA467" s="798"/>
      <c r="AB467" s="798"/>
      <c r="AC467" s="798"/>
      <c r="AD467" s="798"/>
      <c r="AE467" s="798"/>
      <c r="AF467" s="798"/>
      <c r="AG467" s="798"/>
      <c r="AH467" s="798"/>
      <c r="AI467" s="798"/>
      <c r="AJ467" s="798"/>
      <c r="AK467" s="798"/>
      <c r="AL467" s="798"/>
      <c r="AM467" s="798"/>
      <c r="AN467" s="798"/>
      <c r="AO467" s="798"/>
      <c r="AP467" s="798"/>
      <c r="AQ467" s="798"/>
      <c r="AR467" s="798"/>
      <c r="AS467" s="798"/>
      <c r="AT467" s="798"/>
      <c r="AU467" s="798"/>
      <c r="AV467" s="798"/>
      <c r="AW467" s="798"/>
      <c r="AX467" s="798"/>
      <c r="AY467" s="798"/>
      <c r="AZ467" s="798"/>
      <c r="BA467" s="798"/>
      <c r="BB467" s="798"/>
      <c r="BC467" s="798"/>
      <c r="BD467" s="798"/>
      <c r="BE467" s="798"/>
      <c r="BF467" s="798"/>
      <c r="BG467" s="798"/>
      <c r="BH467" s="798"/>
      <c r="BI467" s="798"/>
      <c r="BJ467" s="798"/>
      <c r="BK467" s="798"/>
      <c r="BL467" s="798"/>
      <c r="BM467" s="798"/>
      <c r="BN467" s="798"/>
      <c r="BO467" s="798"/>
      <c r="BP467" s="798"/>
      <c r="BQ467" s="798"/>
      <c r="BR467" s="798"/>
      <c r="BS467" s="798"/>
      <c r="BT467" s="798"/>
      <c r="BU467" s="798"/>
      <c r="BV467" s="798"/>
      <c r="BW467" s="798"/>
      <c r="BX467" s="798"/>
      <c r="BY467" s="798"/>
      <c r="BZ467" s="798"/>
      <c r="CA467" s="798"/>
      <c r="CB467" s="798"/>
      <c r="CC467" s="798"/>
      <c r="CD467" s="798"/>
      <c r="CE467" s="798"/>
      <c r="CF467" s="798"/>
      <c r="CG467" s="798"/>
      <c r="CH467" s="798"/>
      <c r="CI467" s="798"/>
      <c r="CJ467" s="798"/>
      <c r="CK467" s="798"/>
      <c r="CL467" s="798"/>
      <c r="CM467" s="798"/>
      <c r="CN467" s="798"/>
      <c r="CO467" s="798"/>
      <c r="CP467" s="798"/>
      <c r="CQ467" s="798"/>
      <c r="CR467" s="798"/>
      <c r="CS467" s="798"/>
      <c r="CT467" s="798"/>
      <c r="CU467" s="798"/>
      <c r="CV467" s="798"/>
      <c r="CW467" s="798"/>
      <c r="CX467" s="798"/>
      <c r="CY467" s="798"/>
      <c r="CZ467" s="798"/>
      <c r="DA467" s="798"/>
      <c r="DB467" s="798"/>
      <c r="DC467" s="798"/>
      <c r="DD467" s="798"/>
      <c r="DE467" s="798"/>
      <c r="DF467" s="798"/>
      <c r="DG467" s="798"/>
      <c r="DH467" s="798"/>
      <c r="DI467" s="798"/>
      <c r="DJ467" s="798"/>
      <c r="DK467" s="798"/>
      <c r="DL467" s="798"/>
      <c r="DM467" s="798"/>
      <c r="DN467" s="798"/>
      <c r="DO467" s="798"/>
      <c r="DP467" s="798"/>
      <c r="DQ467" s="798"/>
      <c r="DR467" s="798"/>
      <c r="DS467" s="798"/>
      <c r="DT467" s="798"/>
      <c r="DU467" s="798"/>
      <c r="DV467" s="798"/>
      <c r="DW467" s="798"/>
      <c r="DX467" s="798"/>
      <c r="DY467" s="798"/>
      <c r="DZ467" s="798"/>
      <c r="EA467" s="798"/>
      <c r="EB467" s="798"/>
      <c r="EC467" s="798"/>
      <c r="ED467" s="798"/>
      <c r="EE467" s="798"/>
      <c r="EF467" s="798"/>
      <c r="EG467" s="798"/>
      <c r="EH467" s="782"/>
    </row>
    <row r="468" spans="1:138" ht="12.75" customHeight="1" x14ac:dyDescent="0.3">
      <c r="A468" s="782"/>
      <c r="B468" s="821" t="s">
        <v>22</v>
      </c>
      <c r="C468" s="822">
        <f>+SUM(C460:C467,C457)</f>
        <v>71665919.417095363</v>
      </c>
      <c r="D468" s="821"/>
      <c r="E468" s="822">
        <f>+SUM(E460:E467,E457)</f>
        <v>-19610338.189004101</v>
      </c>
      <c r="F468" s="822">
        <f t="shared" ref="F468:M468" si="325">+SUM(F460:F467,F457)</f>
        <v>-15676254.670260239</v>
      </c>
      <c r="G468" s="822">
        <f t="shared" si="325"/>
        <v>601338.53053899296</v>
      </c>
      <c r="H468" s="822">
        <f t="shared" si="325"/>
        <v>17652323.198206604</v>
      </c>
      <c r="I468" s="822">
        <f t="shared" si="325"/>
        <v>3132820.8533269065</v>
      </c>
      <c r="J468" s="822">
        <f t="shared" si="325"/>
        <v>3310303.6442967588</v>
      </c>
      <c r="K468" s="822">
        <f t="shared" si="325"/>
        <v>3524826.7713873619</v>
      </c>
      <c r="L468" s="822">
        <f t="shared" si="325"/>
        <v>3766886.8371376637</v>
      </c>
      <c r="M468" s="822">
        <f t="shared" si="325"/>
        <v>74964012.441465423</v>
      </c>
      <c r="N468" s="798"/>
      <c r="O468" s="1395">
        <f t="shared" si="324"/>
        <v>0</v>
      </c>
      <c r="P468" s="798"/>
      <c r="Q468" s="798"/>
      <c r="R468" s="798"/>
      <c r="S468" s="798"/>
      <c r="T468" s="798"/>
      <c r="U468" s="798"/>
      <c r="V468" s="798"/>
      <c r="W468" s="798"/>
      <c r="X468" s="798"/>
      <c r="Y468" s="798"/>
      <c r="Z468" s="798"/>
      <c r="AA468" s="798"/>
      <c r="AB468" s="798"/>
      <c r="AC468" s="798"/>
      <c r="AD468" s="798"/>
      <c r="AE468" s="798"/>
      <c r="AF468" s="798"/>
      <c r="AG468" s="798"/>
      <c r="AH468" s="798"/>
      <c r="AI468" s="798"/>
      <c r="AJ468" s="798"/>
      <c r="AK468" s="798"/>
      <c r="AL468" s="798"/>
      <c r="AM468" s="798"/>
      <c r="AN468" s="798"/>
      <c r="AO468" s="798"/>
      <c r="AP468" s="798"/>
      <c r="AQ468" s="798"/>
      <c r="AR468" s="798"/>
      <c r="AS468" s="798"/>
      <c r="AT468" s="798"/>
      <c r="AU468" s="798"/>
      <c r="AV468" s="798"/>
      <c r="AW468" s="798"/>
      <c r="AX468" s="798"/>
      <c r="AY468" s="798"/>
      <c r="AZ468" s="798"/>
      <c r="BA468" s="798"/>
      <c r="BB468" s="798"/>
      <c r="BC468" s="798"/>
      <c r="BD468" s="798"/>
      <c r="BE468" s="798"/>
      <c r="BF468" s="798"/>
      <c r="BG468" s="798"/>
      <c r="BH468" s="798"/>
      <c r="BI468" s="798"/>
      <c r="BJ468" s="798"/>
      <c r="BK468" s="798"/>
      <c r="BL468" s="798"/>
      <c r="BM468" s="798"/>
      <c r="BN468" s="798"/>
      <c r="BO468" s="798"/>
      <c r="BP468" s="798"/>
      <c r="BQ468" s="798"/>
      <c r="BR468" s="798"/>
      <c r="BS468" s="798"/>
      <c r="BT468" s="798"/>
      <c r="BU468" s="798"/>
      <c r="BV468" s="798"/>
      <c r="BW468" s="798"/>
      <c r="BX468" s="798"/>
      <c r="BY468" s="798"/>
      <c r="BZ468" s="798"/>
      <c r="CA468" s="798"/>
      <c r="CB468" s="798"/>
      <c r="CC468" s="798"/>
      <c r="CD468" s="798"/>
      <c r="CE468" s="798"/>
      <c r="CF468" s="798"/>
      <c r="CG468" s="798"/>
      <c r="CH468" s="798"/>
      <c r="CI468" s="798"/>
      <c r="CJ468" s="798"/>
      <c r="CK468" s="798"/>
      <c r="CL468" s="798"/>
      <c r="CM468" s="798"/>
      <c r="CN468" s="798"/>
      <c r="CO468" s="798"/>
      <c r="CP468" s="798"/>
      <c r="CQ468" s="798"/>
      <c r="CR468" s="798"/>
      <c r="CS468" s="798"/>
      <c r="CT468" s="798"/>
      <c r="CU468" s="798"/>
      <c r="CV468" s="798"/>
      <c r="CW468" s="798"/>
      <c r="CX468" s="798"/>
      <c r="CY468" s="798"/>
      <c r="CZ468" s="798"/>
      <c r="DA468" s="798"/>
      <c r="DB468" s="798"/>
      <c r="DC468" s="798"/>
      <c r="DD468" s="798"/>
      <c r="DE468" s="798"/>
      <c r="DF468" s="798"/>
      <c r="DG468" s="798"/>
      <c r="DH468" s="798"/>
      <c r="DI468" s="798"/>
      <c r="DJ468" s="798"/>
      <c r="DK468" s="798"/>
      <c r="DL468" s="798"/>
      <c r="DM468" s="798"/>
      <c r="DN468" s="798"/>
      <c r="DO468" s="798"/>
      <c r="DP468" s="798"/>
      <c r="DQ468" s="798"/>
      <c r="DR468" s="798"/>
      <c r="DS468" s="798"/>
      <c r="DT468" s="798"/>
      <c r="DU468" s="798"/>
      <c r="DV468" s="798"/>
      <c r="DW468" s="798"/>
      <c r="DX468" s="798"/>
      <c r="DY468" s="798"/>
      <c r="DZ468" s="798"/>
      <c r="EA468" s="798"/>
      <c r="EB468" s="798"/>
      <c r="EC468" s="798"/>
      <c r="ED468" s="798"/>
      <c r="EE468" s="798"/>
      <c r="EF468" s="798"/>
      <c r="EG468" s="798"/>
      <c r="EH468" s="782"/>
    </row>
    <row r="469" spans="1:138" ht="12.75" customHeight="1" x14ac:dyDescent="0.3">
      <c r="A469" s="782"/>
      <c r="B469" s="800" t="s">
        <v>23</v>
      </c>
      <c r="C469" s="801">
        <f>+C35</f>
        <v>0.20314757227897645</v>
      </c>
      <c r="D469" s="782"/>
      <c r="E469" s="798"/>
      <c r="F469" s="798"/>
      <c r="G469" s="798"/>
      <c r="H469" s="798"/>
      <c r="I469" s="798"/>
      <c r="J469" s="798"/>
      <c r="K469" s="798"/>
      <c r="L469" s="798"/>
      <c r="M469" s="798"/>
      <c r="N469" s="798"/>
      <c r="O469" s="1395"/>
      <c r="P469" s="798"/>
      <c r="Q469" s="798"/>
      <c r="R469" s="798"/>
      <c r="S469" s="798"/>
      <c r="T469" s="798"/>
      <c r="U469" s="798"/>
      <c r="V469" s="798"/>
      <c r="W469" s="798"/>
      <c r="X469" s="798"/>
      <c r="Y469" s="798"/>
      <c r="Z469" s="798"/>
      <c r="AA469" s="798"/>
      <c r="AB469" s="798"/>
      <c r="AC469" s="798"/>
      <c r="AD469" s="798"/>
      <c r="AE469" s="798"/>
      <c r="AF469" s="798"/>
      <c r="AG469" s="798"/>
      <c r="AH469" s="798"/>
      <c r="AI469" s="798"/>
      <c r="AJ469" s="798"/>
      <c r="AK469" s="798"/>
      <c r="AL469" s="798"/>
      <c r="AM469" s="798"/>
      <c r="AN469" s="798"/>
      <c r="AO469" s="798"/>
      <c r="AP469" s="798"/>
      <c r="AQ469" s="798"/>
      <c r="AR469" s="798"/>
      <c r="AS469" s="798"/>
      <c r="AT469" s="798"/>
      <c r="AU469" s="798"/>
      <c r="AV469" s="798"/>
      <c r="AW469" s="798"/>
      <c r="AX469" s="798"/>
      <c r="AY469" s="798"/>
      <c r="AZ469" s="798"/>
      <c r="BA469" s="798"/>
      <c r="BB469" s="798"/>
      <c r="BC469" s="798"/>
      <c r="BD469" s="798"/>
      <c r="BE469" s="798"/>
      <c r="BF469" s="798"/>
      <c r="BG469" s="798"/>
      <c r="BH469" s="798"/>
      <c r="BI469" s="798"/>
      <c r="BJ469" s="798"/>
      <c r="BK469" s="798"/>
      <c r="BL469" s="798"/>
      <c r="BM469" s="798"/>
      <c r="BN469" s="798"/>
      <c r="BO469" s="798"/>
      <c r="BP469" s="798"/>
      <c r="BQ469" s="798"/>
      <c r="BR469" s="798"/>
      <c r="BS469" s="798"/>
      <c r="BT469" s="798"/>
      <c r="BU469" s="798"/>
      <c r="BV469" s="798"/>
      <c r="BW469" s="798"/>
      <c r="BX469" s="798"/>
      <c r="BY469" s="798"/>
      <c r="BZ469" s="798"/>
      <c r="CA469" s="798"/>
      <c r="CB469" s="798"/>
      <c r="CC469" s="798"/>
      <c r="CD469" s="798"/>
      <c r="CE469" s="798"/>
      <c r="CF469" s="798"/>
      <c r="CG469" s="798"/>
      <c r="CH469" s="798"/>
      <c r="CI469" s="798"/>
      <c r="CJ469" s="798"/>
      <c r="CK469" s="798"/>
      <c r="CL469" s="798"/>
      <c r="CM469" s="798"/>
      <c r="CN469" s="798"/>
      <c r="CO469" s="798"/>
      <c r="CP469" s="798"/>
      <c r="CQ469" s="798"/>
      <c r="CR469" s="798"/>
      <c r="CS469" s="798"/>
      <c r="CT469" s="798"/>
      <c r="CU469" s="798"/>
      <c r="CV469" s="798"/>
      <c r="CW469" s="798"/>
      <c r="CX469" s="798"/>
      <c r="CY469" s="798"/>
      <c r="CZ469" s="798"/>
      <c r="DA469" s="798"/>
      <c r="DB469" s="798"/>
      <c r="DC469" s="798"/>
      <c r="DD469" s="798"/>
      <c r="DE469" s="798"/>
      <c r="DF469" s="798"/>
      <c r="DG469" s="798"/>
      <c r="DH469" s="798"/>
      <c r="DI469" s="798"/>
      <c r="DJ469" s="798"/>
      <c r="DK469" s="798"/>
      <c r="DL469" s="798"/>
      <c r="DM469" s="798"/>
      <c r="DN469" s="798"/>
      <c r="DO469" s="798"/>
      <c r="DP469" s="798"/>
      <c r="DQ469" s="798"/>
      <c r="DR469" s="798"/>
      <c r="DS469" s="798"/>
      <c r="DT469" s="798"/>
      <c r="DU469" s="798"/>
      <c r="DV469" s="798"/>
      <c r="DW469" s="798"/>
      <c r="DX469" s="798"/>
      <c r="DY469" s="798"/>
      <c r="DZ469" s="798"/>
      <c r="EA469" s="798"/>
      <c r="EB469" s="798"/>
      <c r="EC469" s="798"/>
      <c r="ED469" s="798"/>
      <c r="EE469" s="798"/>
      <c r="EF469" s="798"/>
      <c r="EG469" s="798"/>
      <c r="EH469" s="782"/>
    </row>
    <row r="470" spans="1:138" ht="12.75" customHeight="1" x14ac:dyDescent="0.3">
      <c r="A470" s="782"/>
      <c r="B470" s="782"/>
      <c r="C470" s="798"/>
      <c r="D470" s="782"/>
      <c r="E470" s="798"/>
      <c r="F470" s="798"/>
      <c r="G470" s="798"/>
      <c r="H470" s="798"/>
      <c r="I470" s="798"/>
      <c r="J470" s="798"/>
      <c r="K470" s="798"/>
      <c r="L470" s="798"/>
      <c r="M470" s="798"/>
      <c r="N470" s="798"/>
      <c r="O470" s="1395"/>
      <c r="P470" s="798"/>
      <c r="Q470" s="798"/>
      <c r="R470" s="798"/>
      <c r="S470" s="798"/>
      <c r="T470" s="798"/>
      <c r="U470" s="798"/>
      <c r="V470" s="798"/>
      <c r="W470" s="798"/>
      <c r="X470" s="798"/>
      <c r="Y470" s="798"/>
      <c r="Z470" s="798"/>
      <c r="AA470" s="798"/>
      <c r="AB470" s="798"/>
      <c r="AC470" s="798"/>
      <c r="AD470" s="798"/>
      <c r="AE470" s="798"/>
      <c r="AF470" s="798"/>
      <c r="AG470" s="798"/>
      <c r="AH470" s="798"/>
      <c r="AI470" s="798"/>
      <c r="AJ470" s="798"/>
      <c r="AK470" s="798"/>
      <c r="AL470" s="798"/>
      <c r="AM470" s="798"/>
      <c r="AN470" s="798"/>
      <c r="AO470" s="798"/>
      <c r="AP470" s="798"/>
      <c r="AQ470" s="798"/>
      <c r="AR470" s="798"/>
      <c r="AS470" s="798"/>
      <c r="AT470" s="798"/>
      <c r="AU470" s="798"/>
      <c r="AV470" s="798"/>
      <c r="AW470" s="798"/>
      <c r="AX470" s="798"/>
      <c r="AY470" s="798"/>
      <c r="AZ470" s="798"/>
      <c r="BA470" s="798"/>
      <c r="BB470" s="798"/>
      <c r="BC470" s="798"/>
      <c r="BD470" s="798"/>
      <c r="BE470" s="798"/>
      <c r="BF470" s="798"/>
      <c r="BG470" s="798"/>
      <c r="BH470" s="798"/>
      <c r="BI470" s="798"/>
      <c r="BJ470" s="798"/>
      <c r="BK470" s="798"/>
      <c r="BL470" s="798"/>
      <c r="BM470" s="798"/>
      <c r="BN470" s="798"/>
      <c r="BO470" s="798"/>
      <c r="BP470" s="798"/>
      <c r="BQ470" s="798"/>
      <c r="BR470" s="798"/>
      <c r="BS470" s="798"/>
      <c r="BT470" s="798"/>
      <c r="BU470" s="798"/>
      <c r="BV470" s="798"/>
      <c r="BW470" s="798"/>
      <c r="BX470" s="798"/>
      <c r="BY470" s="798"/>
      <c r="BZ470" s="798"/>
      <c r="CA470" s="798"/>
      <c r="CB470" s="798"/>
      <c r="CC470" s="798"/>
      <c r="CD470" s="798"/>
      <c r="CE470" s="798"/>
      <c r="CF470" s="798"/>
      <c r="CG470" s="798"/>
      <c r="CH470" s="798"/>
      <c r="CI470" s="798"/>
      <c r="CJ470" s="798"/>
      <c r="CK470" s="798"/>
      <c r="CL470" s="798"/>
      <c r="CM470" s="798"/>
      <c r="CN470" s="798"/>
      <c r="CO470" s="798"/>
      <c r="CP470" s="798"/>
      <c r="CQ470" s="798"/>
      <c r="CR470" s="798"/>
      <c r="CS470" s="798"/>
      <c r="CT470" s="798"/>
      <c r="CU470" s="798"/>
      <c r="CV470" s="798"/>
      <c r="CW470" s="798"/>
      <c r="CX470" s="798"/>
      <c r="CY470" s="798"/>
      <c r="CZ470" s="798"/>
      <c r="DA470" s="798"/>
      <c r="DB470" s="798"/>
      <c r="DC470" s="798"/>
      <c r="DD470" s="798"/>
      <c r="DE470" s="798"/>
      <c r="DF470" s="798"/>
      <c r="DG470" s="798"/>
      <c r="DH470" s="798"/>
      <c r="DI470" s="798"/>
      <c r="DJ470" s="798"/>
      <c r="DK470" s="798"/>
      <c r="DL470" s="798"/>
      <c r="DM470" s="798"/>
      <c r="DN470" s="798"/>
      <c r="DO470" s="798"/>
      <c r="DP470" s="798"/>
      <c r="DQ470" s="798"/>
      <c r="DR470" s="798"/>
      <c r="DS470" s="798"/>
      <c r="DT470" s="798"/>
      <c r="DU470" s="798"/>
      <c r="DV470" s="798"/>
      <c r="DW470" s="798"/>
      <c r="DX470" s="798"/>
      <c r="DY470" s="798"/>
      <c r="DZ470" s="798"/>
      <c r="EA470" s="798"/>
      <c r="EB470" s="798"/>
      <c r="EC470" s="798"/>
      <c r="ED470" s="798"/>
      <c r="EE470" s="798"/>
      <c r="EF470" s="798"/>
      <c r="EG470" s="798"/>
      <c r="EH470" s="782"/>
    </row>
    <row r="471" spans="1:138" ht="12.75" customHeight="1" x14ac:dyDescent="0.3">
      <c r="A471" s="782"/>
      <c r="B471" s="782" t="s">
        <v>24</v>
      </c>
      <c r="C471" s="798">
        <f>+SUM(E471:M471)</f>
        <v>-3022291.0014259894</v>
      </c>
      <c r="D471" s="782"/>
      <c r="E471" s="798">
        <f t="shared" ref="E471:M471" si="326">+SUMIF($E$6:$EG$6,E$451,$E37:$EG37)</f>
        <v>-18043.066964297526</v>
      </c>
      <c r="F471" s="798">
        <f t="shared" si="326"/>
        <v>-140481.65283539874</v>
      </c>
      <c r="G471" s="798">
        <f t="shared" si="326"/>
        <v>-279261.93302174163</v>
      </c>
      <c r="H471" s="798">
        <f t="shared" si="326"/>
        <v>-382232.37293500005</v>
      </c>
      <c r="I471" s="798">
        <f t="shared" si="326"/>
        <v>-437147.20327173785</v>
      </c>
      <c r="J471" s="798">
        <f t="shared" si="326"/>
        <v>-454433.94199882599</v>
      </c>
      <c r="K471" s="798">
        <f t="shared" si="326"/>
        <v>-474111.79547916248</v>
      </c>
      <c r="L471" s="798">
        <f t="shared" si="326"/>
        <v>-494792.85035121744</v>
      </c>
      <c r="M471" s="798">
        <f t="shared" si="326"/>
        <v>-341786.18456860766</v>
      </c>
      <c r="N471" s="798"/>
      <c r="O471" s="1395">
        <f>+C471-C37</f>
        <v>0</v>
      </c>
      <c r="P471" s="798"/>
      <c r="Q471" s="798"/>
      <c r="R471" s="798"/>
      <c r="S471" s="798"/>
      <c r="T471" s="798"/>
      <c r="U471" s="798"/>
      <c r="V471" s="798"/>
      <c r="W471" s="798"/>
      <c r="X471" s="798"/>
      <c r="Y471" s="798"/>
      <c r="Z471" s="798"/>
      <c r="AA471" s="798"/>
      <c r="AB471" s="798"/>
      <c r="AC471" s="798"/>
      <c r="AD471" s="798"/>
      <c r="AE471" s="798"/>
      <c r="AF471" s="798"/>
      <c r="AG471" s="798"/>
      <c r="AH471" s="798"/>
      <c r="AI471" s="798"/>
      <c r="AJ471" s="798"/>
      <c r="AK471" s="798"/>
      <c r="AL471" s="798"/>
      <c r="AM471" s="798"/>
      <c r="AN471" s="798"/>
      <c r="AO471" s="798"/>
      <c r="AP471" s="798"/>
      <c r="AQ471" s="798"/>
      <c r="AR471" s="798"/>
      <c r="AS471" s="798"/>
      <c r="AT471" s="798"/>
      <c r="AU471" s="798"/>
      <c r="AV471" s="798"/>
      <c r="AW471" s="798"/>
      <c r="AX471" s="798"/>
      <c r="AY471" s="798"/>
      <c r="AZ471" s="798"/>
      <c r="BA471" s="798"/>
      <c r="BB471" s="798"/>
      <c r="BC471" s="798"/>
      <c r="BD471" s="798"/>
      <c r="BE471" s="798"/>
      <c r="BF471" s="798"/>
      <c r="BG471" s="798"/>
      <c r="BH471" s="798"/>
      <c r="BI471" s="798"/>
      <c r="BJ471" s="798"/>
      <c r="BK471" s="798"/>
      <c r="BL471" s="798"/>
      <c r="BM471" s="798"/>
      <c r="BN471" s="798"/>
      <c r="BO471" s="798"/>
      <c r="BP471" s="798"/>
      <c r="BQ471" s="798"/>
      <c r="BR471" s="798"/>
      <c r="BS471" s="798"/>
      <c r="BT471" s="798"/>
      <c r="BU471" s="798"/>
      <c r="BV471" s="798"/>
      <c r="BW471" s="798"/>
      <c r="BX471" s="798"/>
      <c r="BY471" s="798"/>
      <c r="BZ471" s="798"/>
      <c r="CA471" s="798"/>
      <c r="CB471" s="798"/>
      <c r="CC471" s="798"/>
      <c r="CD471" s="798"/>
      <c r="CE471" s="798"/>
      <c r="CF471" s="798"/>
      <c r="CG471" s="798"/>
      <c r="CH471" s="798"/>
      <c r="CI471" s="798"/>
      <c r="CJ471" s="798"/>
      <c r="CK471" s="798"/>
      <c r="CL471" s="798"/>
      <c r="CM471" s="798"/>
      <c r="CN471" s="798"/>
      <c r="CO471" s="798"/>
      <c r="CP471" s="798"/>
      <c r="CQ471" s="798"/>
      <c r="CR471" s="798"/>
      <c r="CS471" s="798"/>
      <c r="CT471" s="798"/>
      <c r="CU471" s="798"/>
      <c r="CV471" s="798"/>
      <c r="CW471" s="798"/>
      <c r="CX471" s="798"/>
      <c r="CY471" s="798"/>
      <c r="CZ471" s="798"/>
      <c r="DA471" s="798"/>
      <c r="DB471" s="798"/>
      <c r="DC471" s="798"/>
      <c r="DD471" s="798"/>
      <c r="DE471" s="798"/>
      <c r="DF471" s="798"/>
      <c r="DG471" s="798"/>
      <c r="DH471" s="798"/>
      <c r="DI471" s="798"/>
      <c r="DJ471" s="798"/>
      <c r="DK471" s="798"/>
      <c r="DL471" s="798"/>
      <c r="DM471" s="798"/>
      <c r="DN471" s="798"/>
      <c r="DO471" s="798"/>
      <c r="DP471" s="798"/>
      <c r="DQ471" s="798"/>
      <c r="DR471" s="798"/>
      <c r="DS471" s="798"/>
      <c r="DT471" s="798"/>
      <c r="DU471" s="798"/>
      <c r="DV471" s="798"/>
      <c r="DW471" s="798"/>
      <c r="DX471" s="798"/>
      <c r="DY471" s="798"/>
      <c r="DZ471" s="798"/>
      <c r="EA471" s="798"/>
      <c r="EB471" s="798"/>
      <c r="EC471" s="798"/>
      <c r="ED471" s="798"/>
      <c r="EE471" s="798"/>
      <c r="EF471" s="798"/>
      <c r="EG471" s="798"/>
      <c r="EH471" s="782"/>
    </row>
    <row r="472" spans="1:138" ht="12.75" customHeight="1" x14ac:dyDescent="0.3">
      <c r="A472" s="782"/>
      <c r="B472" s="821" t="s">
        <v>25</v>
      </c>
      <c r="C472" s="822">
        <f>+SUM(C471,C468)</f>
        <v>68643628.415669367</v>
      </c>
      <c r="D472" s="821"/>
      <c r="E472" s="822">
        <f>+SUM(E471,E468)</f>
        <v>-19628381.255968399</v>
      </c>
      <c r="F472" s="822">
        <f t="shared" ref="F472:M472" si="327">+SUM(F471,F468)</f>
        <v>-15816736.323095638</v>
      </c>
      <c r="G472" s="822">
        <f t="shared" si="327"/>
        <v>322076.59751725133</v>
      </c>
      <c r="H472" s="822">
        <f t="shared" si="327"/>
        <v>17270090.825271603</v>
      </c>
      <c r="I472" s="822">
        <f t="shared" si="327"/>
        <v>2695673.6500551687</v>
      </c>
      <c r="J472" s="822">
        <f t="shared" si="327"/>
        <v>2855869.7022979329</v>
      </c>
      <c r="K472" s="822">
        <f t="shared" si="327"/>
        <v>3050714.9759081993</v>
      </c>
      <c r="L472" s="822">
        <f t="shared" si="327"/>
        <v>3272093.9867864465</v>
      </c>
      <c r="M472" s="822">
        <f t="shared" si="327"/>
        <v>74622226.256896809</v>
      </c>
      <c r="N472" s="798"/>
      <c r="O472" s="1395">
        <f>+C472-C38</f>
        <v>0</v>
      </c>
      <c r="P472" s="798"/>
      <c r="Q472" s="798"/>
      <c r="R472" s="798"/>
      <c r="S472" s="798"/>
      <c r="T472" s="798"/>
      <c r="U472" s="798"/>
      <c r="V472" s="798"/>
      <c r="W472" s="798"/>
      <c r="X472" s="798"/>
      <c r="Y472" s="798"/>
      <c r="Z472" s="798"/>
      <c r="AA472" s="798"/>
      <c r="AB472" s="798"/>
      <c r="AC472" s="798"/>
      <c r="AD472" s="798"/>
      <c r="AE472" s="798"/>
      <c r="AF472" s="798"/>
      <c r="AG472" s="798"/>
      <c r="AH472" s="798"/>
      <c r="AI472" s="798"/>
      <c r="AJ472" s="798"/>
      <c r="AK472" s="798"/>
      <c r="AL472" s="798"/>
      <c r="AM472" s="798"/>
      <c r="AN472" s="798"/>
      <c r="AO472" s="798"/>
      <c r="AP472" s="798"/>
      <c r="AQ472" s="798"/>
      <c r="AR472" s="798"/>
      <c r="AS472" s="798"/>
      <c r="AT472" s="798"/>
      <c r="AU472" s="798"/>
      <c r="AV472" s="798"/>
      <c r="AW472" s="798"/>
      <c r="AX472" s="798"/>
      <c r="AY472" s="798"/>
      <c r="AZ472" s="798"/>
      <c r="BA472" s="798"/>
      <c r="BB472" s="798"/>
      <c r="BC472" s="798"/>
      <c r="BD472" s="798"/>
      <c r="BE472" s="798"/>
      <c r="BF472" s="798"/>
      <c r="BG472" s="798"/>
      <c r="BH472" s="798"/>
      <c r="BI472" s="798"/>
      <c r="BJ472" s="798"/>
      <c r="BK472" s="798"/>
      <c r="BL472" s="798"/>
      <c r="BM472" s="798"/>
      <c r="BN472" s="798"/>
      <c r="BO472" s="798"/>
      <c r="BP472" s="798"/>
      <c r="BQ472" s="798"/>
      <c r="BR472" s="798"/>
      <c r="BS472" s="798"/>
      <c r="BT472" s="798"/>
      <c r="BU472" s="798"/>
      <c r="BV472" s="798"/>
      <c r="BW472" s="798"/>
      <c r="BX472" s="798"/>
      <c r="BY472" s="798"/>
      <c r="BZ472" s="798"/>
      <c r="CA472" s="798"/>
      <c r="CB472" s="798"/>
      <c r="CC472" s="798"/>
      <c r="CD472" s="798"/>
      <c r="CE472" s="798"/>
      <c r="CF472" s="798"/>
      <c r="CG472" s="798"/>
      <c r="CH472" s="798"/>
      <c r="CI472" s="798"/>
      <c r="CJ472" s="798"/>
      <c r="CK472" s="798"/>
      <c r="CL472" s="798"/>
      <c r="CM472" s="798"/>
      <c r="CN472" s="798"/>
      <c r="CO472" s="798"/>
      <c r="CP472" s="798"/>
      <c r="CQ472" s="798"/>
      <c r="CR472" s="798"/>
      <c r="CS472" s="798"/>
      <c r="CT472" s="798"/>
      <c r="CU472" s="798"/>
      <c r="CV472" s="798"/>
      <c r="CW472" s="798"/>
      <c r="CX472" s="798"/>
      <c r="CY472" s="798"/>
      <c r="CZ472" s="798"/>
      <c r="DA472" s="798"/>
      <c r="DB472" s="798"/>
      <c r="DC472" s="798"/>
      <c r="DD472" s="798"/>
      <c r="DE472" s="798"/>
      <c r="DF472" s="798"/>
      <c r="DG472" s="798"/>
      <c r="DH472" s="798"/>
      <c r="DI472" s="798"/>
      <c r="DJ472" s="798"/>
      <c r="DK472" s="798"/>
      <c r="DL472" s="798"/>
      <c r="DM472" s="798"/>
      <c r="DN472" s="798"/>
      <c r="DO472" s="798"/>
      <c r="DP472" s="798"/>
      <c r="DQ472" s="798"/>
      <c r="DR472" s="798"/>
      <c r="DS472" s="798"/>
      <c r="DT472" s="798"/>
      <c r="DU472" s="798"/>
      <c r="DV472" s="798"/>
      <c r="DW472" s="798"/>
      <c r="DX472" s="798"/>
      <c r="DY472" s="798"/>
      <c r="DZ472" s="798"/>
      <c r="EA472" s="798"/>
      <c r="EB472" s="798"/>
      <c r="EC472" s="798"/>
      <c r="ED472" s="798"/>
      <c r="EE472" s="798"/>
      <c r="EF472" s="798"/>
      <c r="EG472" s="798"/>
      <c r="EH472" s="782"/>
    </row>
    <row r="473" spans="1:138" ht="12.75" customHeight="1" x14ac:dyDescent="0.3">
      <c r="A473" s="782"/>
      <c r="B473" s="800" t="s">
        <v>26</v>
      </c>
      <c r="C473" s="801">
        <f>+C39</f>
        <v>0.194367915391922</v>
      </c>
      <c r="D473" s="782"/>
      <c r="E473" s="798"/>
      <c r="F473" s="798"/>
      <c r="G473" s="798"/>
      <c r="H473" s="798"/>
      <c r="I473" s="798"/>
      <c r="J473" s="798"/>
      <c r="K473" s="798"/>
      <c r="L473" s="798"/>
      <c r="M473" s="798"/>
      <c r="N473" s="798"/>
      <c r="O473" s="1395"/>
      <c r="P473" s="798"/>
      <c r="Q473" s="798"/>
      <c r="R473" s="798"/>
      <c r="S473" s="798"/>
      <c r="T473" s="798"/>
      <c r="U473" s="798"/>
      <c r="V473" s="798"/>
      <c r="W473" s="798"/>
      <c r="X473" s="798"/>
      <c r="Y473" s="798"/>
      <c r="Z473" s="798"/>
      <c r="AA473" s="798"/>
      <c r="AB473" s="798"/>
      <c r="AC473" s="798"/>
      <c r="AD473" s="798"/>
      <c r="AE473" s="798"/>
      <c r="AF473" s="798"/>
      <c r="AG473" s="798"/>
      <c r="AH473" s="798"/>
      <c r="AI473" s="798"/>
      <c r="AJ473" s="798"/>
      <c r="AK473" s="798"/>
      <c r="AL473" s="798"/>
      <c r="AM473" s="798"/>
      <c r="AN473" s="798"/>
      <c r="AO473" s="798"/>
      <c r="AP473" s="798"/>
      <c r="AQ473" s="798"/>
      <c r="AR473" s="798"/>
      <c r="AS473" s="798"/>
      <c r="AT473" s="798"/>
      <c r="AU473" s="798"/>
      <c r="AV473" s="798"/>
      <c r="AW473" s="798"/>
      <c r="AX473" s="798"/>
      <c r="AY473" s="798"/>
      <c r="AZ473" s="798"/>
      <c r="BA473" s="798"/>
      <c r="BB473" s="798"/>
      <c r="BC473" s="798"/>
      <c r="BD473" s="798"/>
      <c r="BE473" s="798"/>
      <c r="BF473" s="798"/>
      <c r="BG473" s="798"/>
      <c r="BH473" s="798"/>
      <c r="BI473" s="798"/>
      <c r="BJ473" s="798"/>
      <c r="BK473" s="798"/>
      <c r="BL473" s="798"/>
      <c r="BM473" s="798"/>
      <c r="BN473" s="798"/>
      <c r="BO473" s="798"/>
      <c r="BP473" s="798"/>
      <c r="BQ473" s="798"/>
      <c r="BR473" s="798"/>
      <c r="BS473" s="798"/>
      <c r="BT473" s="798"/>
      <c r="BU473" s="798"/>
      <c r="BV473" s="798"/>
      <c r="BW473" s="798"/>
      <c r="BX473" s="798"/>
      <c r="BY473" s="798"/>
      <c r="BZ473" s="798"/>
      <c r="CA473" s="798"/>
      <c r="CB473" s="798"/>
      <c r="CC473" s="798"/>
      <c r="CD473" s="798"/>
      <c r="CE473" s="798"/>
      <c r="CF473" s="798"/>
      <c r="CG473" s="798"/>
      <c r="CH473" s="798"/>
      <c r="CI473" s="798"/>
      <c r="CJ473" s="798"/>
      <c r="CK473" s="798"/>
      <c r="CL473" s="798"/>
      <c r="CM473" s="798"/>
      <c r="CN473" s="798"/>
      <c r="CO473" s="798"/>
      <c r="CP473" s="798"/>
      <c r="CQ473" s="798"/>
      <c r="CR473" s="798"/>
      <c r="CS473" s="798"/>
      <c r="CT473" s="798"/>
      <c r="CU473" s="798"/>
      <c r="CV473" s="798"/>
      <c r="CW473" s="798"/>
      <c r="CX473" s="798"/>
      <c r="CY473" s="798"/>
      <c r="CZ473" s="798"/>
      <c r="DA473" s="798"/>
      <c r="DB473" s="798"/>
      <c r="DC473" s="798"/>
      <c r="DD473" s="798"/>
      <c r="DE473" s="798"/>
      <c r="DF473" s="798"/>
      <c r="DG473" s="798"/>
      <c r="DH473" s="798"/>
      <c r="DI473" s="798"/>
      <c r="DJ473" s="798"/>
      <c r="DK473" s="798"/>
      <c r="DL473" s="798"/>
      <c r="DM473" s="798"/>
      <c r="DN473" s="798"/>
      <c r="DO473" s="798"/>
      <c r="DP473" s="798"/>
      <c r="DQ473" s="798"/>
      <c r="DR473" s="798"/>
      <c r="DS473" s="798"/>
      <c r="DT473" s="798"/>
      <c r="DU473" s="798"/>
      <c r="DV473" s="798"/>
      <c r="DW473" s="798"/>
      <c r="DX473" s="798"/>
      <c r="DY473" s="798"/>
      <c r="DZ473" s="798"/>
      <c r="EA473" s="798"/>
      <c r="EB473" s="798"/>
      <c r="EC473" s="798"/>
      <c r="ED473" s="798"/>
      <c r="EE473" s="798"/>
      <c r="EF473" s="798"/>
      <c r="EG473" s="798"/>
      <c r="EH473" s="782"/>
    </row>
    <row r="474" spans="1:138" ht="12.75" customHeight="1" x14ac:dyDescent="0.3">
      <c r="A474" s="782"/>
      <c r="B474" s="782"/>
      <c r="C474" s="798"/>
      <c r="D474" s="782"/>
      <c r="E474" s="798"/>
      <c r="F474" s="798"/>
      <c r="G474" s="798"/>
      <c r="H474" s="798"/>
      <c r="I474" s="798"/>
      <c r="J474" s="798"/>
      <c r="K474" s="798"/>
      <c r="L474" s="798"/>
      <c r="M474" s="798"/>
      <c r="N474" s="798"/>
      <c r="O474" s="1395"/>
      <c r="P474" s="798"/>
      <c r="Q474" s="798"/>
      <c r="R474" s="798"/>
      <c r="S474" s="798"/>
      <c r="T474" s="798"/>
      <c r="U474" s="798"/>
      <c r="V474" s="798"/>
      <c r="W474" s="798"/>
      <c r="X474" s="798"/>
      <c r="Y474" s="798"/>
      <c r="Z474" s="798"/>
      <c r="AA474" s="798"/>
      <c r="AB474" s="798"/>
      <c r="AC474" s="798"/>
      <c r="AD474" s="798"/>
      <c r="AE474" s="798"/>
      <c r="AF474" s="798"/>
      <c r="AG474" s="798"/>
      <c r="AH474" s="798"/>
      <c r="AI474" s="798"/>
      <c r="AJ474" s="798"/>
      <c r="AK474" s="798"/>
      <c r="AL474" s="798"/>
      <c r="AM474" s="798"/>
      <c r="AN474" s="798"/>
      <c r="AO474" s="798"/>
      <c r="AP474" s="798"/>
      <c r="AQ474" s="798"/>
      <c r="AR474" s="798"/>
      <c r="AS474" s="798"/>
      <c r="AT474" s="798"/>
      <c r="AU474" s="798"/>
      <c r="AV474" s="798"/>
      <c r="AW474" s="798"/>
      <c r="AX474" s="798"/>
      <c r="AY474" s="798"/>
      <c r="AZ474" s="798"/>
      <c r="BA474" s="798"/>
      <c r="BB474" s="798"/>
      <c r="BC474" s="798"/>
      <c r="BD474" s="798"/>
      <c r="BE474" s="798"/>
      <c r="BF474" s="798"/>
      <c r="BG474" s="798"/>
      <c r="BH474" s="798"/>
      <c r="BI474" s="798"/>
      <c r="BJ474" s="798"/>
      <c r="BK474" s="798"/>
      <c r="BL474" s="798"/>
      <c r="BM474" s="798"/>
      <c r="BN474" s="798"/>
      <c r="BO474" s="798"/>
      <c r="BP474" s="798"/>
      <c r="BQ474" s="798"/>
      <c r="BR474" s="798"/>
      <c r="BS474" s="798"/>
      <c r="BT474" s="798"/>
      <c r="BU474" s="798"/>
      <c r="BV474" s="798"/>
      <c r="BW474" s="798"/>
      <c r="BX474" s="798"/>
      <c r="BY474" s="798"/>
      <c r="BZ474" s="798"/>
      <c r="CA474" s="798"/>
      <c r="CB474" s="798"/>
      <c r="CC474" s="798"/>
      <c r="CD474" s="798"/>
      <c r="CE474" s="798"/>
      <c r="CF474" s="798"/>
      <c r="CG474" s="798"/>
      <c r="CH474" s="798"/>
      <c r="CI474" s="798"/>
      <c r="CJ474" s="798"/>
      <c r="CK474" s="798"/>
      <c r="CL474" s="798"/>
      <c r="CM474" s="798"/>
      <c r="CN474" s="798"/>
      <c r="CO474" s="798"/>
      <c r="CP474" s="798"/>
      <c r="CQ474" s="798"/>
      <c r="CR474" s="798"/>
      <c r="CS474" s="798"/>
      <c r="CT474" s="798"/>
      <c r="CU474" s="798"/>
      <c r="CV474" s="798"/>
      <c r="CW474" s="798"/>
      <c r="CX474" s="798"/>
      <c r="CY474" s="798"/>
      <c r="CZ474" s="798"/>
      <c r="DA474" s="798"/>
      <c r="DB474" s="798"/>
      <c r="DC474" s="798"/>
      <c r="DD474" s="798"/>
      <c r="DE474" s="798"/>
      <c r="DF474" s="798"/>
      <c r="DG474" s="798"/>
      <c r="DH474" s="798"/>
      <c r="DI474" s="798"/>
      <c r="DJ474" s="798"/>
      <c r="DK474" s="798"/>
      <c r="DL474" s="798"/>
      <c r="DM474" s="798"/>
      <c r="DN474" s="798"/>
      <c r="DO474" s="798"/>
      <c r="DP474" s="798"/>
      <c r="DQ474" s="798"/>
      <c r="DR474" s="798"/>
      <c r="DS474" s="798"/>
      <c r="DT474" s="798"/>
      <c r="DU474" s="798"/>
      <c r="DV474" s="798"/>
      <c r="DW474" s="798"/>
      <c r="DX474" s="798"/>
      <c r="DY474" s="798"/>
      <c r="DZ474" s="798"/>
      <c r="EA474" s="798"/>
      <c r="EB474" s="798"/>
      <c r="EC474" s="798"/>
      <c r="ED474" s="798"/>
      <c r="EE474" s="798"/>
      <c r="EF474" s="798"/>
      <c r="EG474" s="798"/>
      <c r="EH474" s="782"/>
    </row>
    <row r="475" spans="1:138" ht="12.75" customHeight="1" x14ac:dyDescent="0.3">
      <c r="A475" s="782"/>
      <c r="B475" s="782" t="s">
        <v>355</v>
      </c>
      <c r="C475" s="798">
        <f>+SUM(E475:M475)</f>
        <v>-6868726.7816661661</v>
      </c>
      <c r="D475" s="782"/>
      <c r="E475" s="798">
        <f>+-SUMIF($E$6:$EG$6,E$451,$E110:$EG110)</f>
        <v>0</v>
      </c>
      <c r="F475" s="798">
        <f t="shared" ref="F475:M475" si="328">+-SUMIF($E$6:$EG$6,F$451,$E110:$EG110)</f>
        <v>0</v>
      </c>
      <c r="G475" s="798">
        <f t="shared" si="328"/>
        <v>0</v>
      </c>
      <c r="H475" s="798">
        <f t="shared" si="328"/>
        <v>-6868726.7816661661</v>
      </c>
      <c r="I475" s="798">
        <f t="shared" si="328"/>
        <v>0</v>
      </c>
      <c r="J475" s="798">
        <f t="shared" si="328"/>
        <v>0</v>
      </c>
      <c r="K475" s="798">
        <f t="shared" si="328"/>
        <v>0</v>
      </c>
      <c r="L475" s="798">
        <f t="shared" si="328"/>
        <v>0</v>
      </c>
      <c r="M475" s="798">
        <f t="shared" si="328"/>
        <v>0</v>
      </c>
      <c r="N475" s="798"/>
      <c r="O475" s="1395">
        <f>+C475+C110</f>
        <v>0</v>
      </c>
      <c r="P475" s="798"/>
      <c r="Q475" s="798"/>
      <c r="R475" s="798"/>
      <c r="S475" s="798"/>
      <c r="T475" s="798"/>
      <c r="U475" s="798"/>
      <c r="V475" s="798"/>
      <c r="W475" s="798"/>
      <c r="X475" s="798"/>
      <c r="Y475" s="798"/>
      <c r="Z475" s="798"/>
      <c r="AA475" s="798"/>
      <c r="AB475" s="798"/>
      <c r="AC475" s="798"/>
      <c r="AD475" s="798"/>
      <c r="AE475" s="798"/>
      <c r="AF475" s="798"/>
      <c r="AG475" s="798"/>
      <c r="AH475" s="798"/>
      <c r="AI475" s="798"/>
      <c r="AJ475" s="798"/>
      <c r="AK475" s="798"/>
      <c r="AL475" s="798"/>
      <c r="AM475" s="798"/>
      <c r="AN475" s="798"/>
      <c r="AO475" s="798"/>
      <c r="AP475" s="798"/>
      <c r="AQ475" s="798"/>
      <c r="AR475" s="798"/>
      <c r="AS475" s="798"/>
      <c r="AT475" s="798"/>
      <c r="AU475" s="798"/>
      <c r="AV475" s="798"/>
      <c r="AW475" s="798"/>
      <c r="AX475" s="798"/>
      <c r="AY475" s="798"/>
      <c r="AZ475" s="798"/>
      <c r="BA475" s="798"/>
      <c r="BB475" s="798"/>
      <c r="BC475" s="798"/>
      <c r="BD475" s="798"/>
      <c r="BE475" s="798"/>
      <c r="BF475" s="798"/>
      <c r="BG475" s="798"/>
      <c r="BH475" s="798"/>
      <c r="BI475" s="798"/>
      <c r="BJ475" s="798"/>
      <c r="BK475" s="798"/>
      <c r="BL475" s="798"/>
      <c r="BM475" s="798"/>
      <c r="BN475" s="798"/>
      <c r="BO475" s="798"/>
      <c r="BP475" s="798"/>
      <c r="BQ475" s="798"/>
      <c r="BR475" s="798"/>
      <c r="BS475" s="798"/>
      <c r="BT475" s="798"/>
      <c r="BU475" s="798"/>
      <c r="BV475" s="798"/>
      <c r="BW475" s="798"/>
      <c r="BX475" s="798"/>
      <c r="BY475" s="798"/>
      <c r="BZ475" s="798"/>
      <c r="CA475" s="798"/>
      <c r="CB475" s="798"/>
      <c r="CC475" s="798"/>
      <c r="CD475" s="798"/>
      <c r="CE475" s="798"/>
      <c r="CF475" s="798"/>
      <c r="CG475" s="798"/>
      <c r="CH475" s="798"/>
      <c r="CI475" s="798"/>
      <c r="CJ475" s="798"/>
      <c r="CK475" s="798"/>
      <c r="CL475" s="798"/>
      <c r="CM475" s="798"/>
      <c r="CN475" s="798"/>
      <c r="CO475" s="798"/>
      <c r="CP475" s="798"/>
      <c r="CQ475" s="798"/>
      <c r="CR475" s="798"/>
      <c r="CS475" s="798"/>
      <c r="CT475" s="798"/>
      <c r="CU475" s="798"/>
      <c r="CV475" s="798"/>
      <c r="CW475" s="798"/>
      <c r="CX475" s="798"/>
      <c r="CY475" s="798"/>
      <c r="CZ475" s="798"/>
      <c r="DA475" s="798"/>
      <c r="DB475" s="798"/>
      <c r="DC475" s="798"/>
      <c r="DD475" s="798"/>
      <c r="DE475" s="798"/>
      <c r="DF475" s="798"/>
      <c r="DG475" s="798"/>
      <c r="DH475" s="798"/>
      <c r="DI475" s="798"/>
      <c r="DJ475" s="798"/>
      <c r="DK475" s="798"/>
      <c r="DL475" s="798"/>
      <c r="DM475" s="798"/>
      <c r="DN475" s="798"/>
      <c r="DO475" s="798"/>
      <c r="DP475" s="798"/>
      <c r="DQ475" s="798"/>
      <c r="DR475" s="798"/>
      <c r="DS475" s="798"/>
      <c r="DT475" s="798"/>
      <c r="DU475" s="798"/>
      <c r="DV475" s="798"/>
      <c r="DW475" s="798"/>
      <c r="DX475" s="798"/>
      <c r="DY475" s="798"/>
      <c r="DZ475" s="798"/>
      <c r="EA475" s="798"/>
      <c r="EB475" s="798"/>
      <c r="EC475" s="798"/>
      <c r="ED475" s="798"/>
      <c r="EE475" s="798"/>
      <c r="EF475" s="798"/>
      <c r="EG475" s="798"/>
      <c r="EH475" s="782"/>
    </row>
    <row r="476" spans="1:138" ht="12.75" customHeight="1" x14ac:dyDescent="0.3">
      <c r="A476" s="782"/>
      <c r="B476" s="782" t="s">
        <v>289</v>
      </c>
      <c r="C476" s="798">
        <f>+SUM(E476:M476)</f>
        <v>-5736147.0869287392</v>
      </c>
      <c r="D476" s="782"/>
      <c r="E476" s="798">
        <f>+-SUMIF($E$6:$EG$6,E$451,$E250:$EG250)</f>
        <v>0</v>
      </c>
      <c r="F476" s="798">
        <f t="shared" ref="F476:M476" si="329">+-SUMIF($E$6:$EG$6,F$451,$E250:$EG250)</f>
        <v>0</v>
      </c>
      <c r="G476" s="798">
        <f t="shared" si="329"/>
        <v>0</v>
      </c>
      <c r="H476" s="798">
        <f t="shared" si="329"/>
        <v>0</v>
      </c>
      <c r="I476" s="798">
        <f t="shared" si="329"/>
        <v>0</v>
      </c>
      <c r="J476" s="798">
        <f t="shared" si="329"/>
        <v>0</v>
      </c>
      <c r="K476" s="798">
        <f t="shared" si="329"/>
        <v>0</v>
      </c>
      <c r="L476" s="798">
        <f t="shared" si="329"/>
        <v>0</v>
      </c>
      <c r="M476" s="798">
        <f t="shared" si="329"/>
        <v>-5736147.0869287392</v>
      </c>
      <c r="N476" s="798"/>
      <c r="O476" s="1395">
        <f>+C476+C250</f>
        <v>0</v>
      </c>
      <c r="P476" s="798"/>
      <c r="Q476" s="798"/>
      <c r="R476" s="798"/>
      <c r="S476" s="798"/>
      <c r="T476" s="798"/>
      <c r="U476" s="798"/>
      <c r="V476" s="798"/>
      <c r="W476" s="798"/>
      <c r="X476" s="798"/>
      <c r="Y476" s="798"/>
      <c r="Z476" s="798"/>
      <c r="AA476" s="798"/>
      <c r="AB476" s="798"/>
      <c r="AC476" s="798"/>
      <c r="AD476" s="798"/>
      <c r="AE476" s="798"/>
      <c r="AF476" s="798"/>
      <c r="AG476" s="798"/>
      <c r="AH476" s="798"/>
      <c r="AI476" s="798"/>
      <c r="AJ476" s="798"/>
      <c r="AK476" s="798"/>
      <c r="AL476" s="798"/>
      <c r="AM476" s="798"/>
      <c r="AN476" s="798"/>
      <c r="AO476" s="798"/>
      <c r="AP476" s="798"/>
      <c r="AQ476" s="798"/>
      <c r="AR476" s="798"/>
      <c r="AS476" s="798"/>
      <c r="AT476" s="798"/>
      <c r="AU476" s="798"/>
      <c r="AV476" s="798"/>
      <c r="AW476" s="798"/>
      <c r="AX476" s="798"/>
      <c r="AY476" s="798"/>
      <c r="AZ476" s="798"/>
      <c r="BA476" s="798"/>
      <c r="BB476" s="798"/>
      <c r="BC476" s="798"/>
      <c r="BD476" s="798"/>
      <c r="BE476" s="798"/>
      <c r="BF476" s="798"/>
      <c r="BG476" s="798"/>
      <c r="BH476" s="798"/>
      <c r="BI476" s="798"/>
      <c r="BJ476" s="798"/>
      <c r="BK476" s="798"/>
      <c r="BL476" s="798"/>
      <c r="BM476" s="798"/>
      <c r="BN476" s="798"/>
      <c r="BO476" s="798"/>
      <c r="BP476" s="798"/>
      <c r="BQ476" s="798"/>
      <c r="BR476" s="798"/>
      <c r="BS476" s="798"/>
      <c r="BT476" s="798"/>
      <c r="BU476" s="798"/>
      <c r="BV476" s="798"/>
      <c r="BW476" s="798"/>
      <c r="BX476" s="798"/>
      <c r="BY476" s="798"/>
      <c r="BZ476" s="798"/>
      <c r="CA476" s="798"/>
      <c r="CB476" s="798"/>
      <c r="CC476" s="798"/>
      <c r="CD476" s="798"/>
      <c r="CE476" s="798"/>
      <c r="CF476" s="798"/>
      <c r="CG476" s="798"/>
      <c r="CH476" s="798"/>
      <c r="CI476" s="798"/>
      <c r="CJ476" s="798"/>
      <c r="CK476" s="798"/>
      <c r="CL476" s="798"/>
      <c r="CM476" s="798"/>
      <c r="CN476" s="798"/>
      <c r="CO476" s="798"/>
      <c r="CP476" s="798"/>
      <c r="CQ476" s="798"/>
      <c r="CR476" s="798"/>
      <c r="CS476" s="798"/>
      <c r="CT476" s="798"/>
      <c r="CU476" s="798"/>
      <c r="CV476" s="798"/>
      <c r="CW476" s="798"/>
      <c r="CX476" s="798"/>
      <c r="CY476" s="798"/>
      <c r="CZ476" s="798"/>
      <c r="DA476" s="798"/>
      <c r="DB476" s="798"/>
      <c r="DC476" s="798"/>
      <c r="DD476" s="798"/>
      <c r="DE476" s="798"/>
      <c r="DF476" s="798"/>
      <c r="DG476" s="798"/>
      <c r="DH476" s="798"/>
      <c r="DI476" s="798"/>
      <c r="DJ476" s="798"/>
      <c r="DK476" s="798"/>
      <c r="DL476" s="798"/>
      <c r="DM476" s="798"/>
      <c r="DN476" s="798"/>
      <c r="DO476" s="798"/>
      <c r="DP476" s="798"/>
      <c r="DQ476" s="798"/>
      <c r="DR476" s="798"/>
      <c r="DS476" s="798"/>
      <c r="DT476" s="798"/>
      <c r="DU476" s="798"/>
      <c r="DV476" s="798"/>
      <c r="DW476" s="798"/>
      <c r="DX476" s="798"/>
      <c r="DY476" s="798"/>
      <c r="DZ476" s="798"/>
      <c r="EA476" s="798"/>
      <c r="EB476" s="798"/>
      <c r="EC476" s="798"/>
      <c r="ED476" s="798"/>
      <c r="EE476" s="798"/>
      <c r="EF476" s="798"/>
      <c r="EG476" s="798"/>
      <c r="EH476" s="782"/>
    </row>
    <row r="477" spans="1:138" ht="12.75" customHeight="1" x14ac:dyDescent="0.3">
      <c r="A477" s="782"/>
      <c r="B477" s="821" t="s">
        <v>193</v>
      </c>
      <c r="C477" s="1396">
        <f>+SUM(C475:C476,C472)</f>
        <v>56038754.547074459</v>
      </c>
      <c r="D477" s="821"/>
      <c r="E477" s="822">
        <f t="shared" ref="E477:M477" si="330">+SUM(E475:E476,E472)</f>
        <v>-19628381.255968399</v>
      </c>
      <c r="F477" s="822">
        <f t="shared" si="330"/>
        <v>-15816736.323095638</v>
      </c>
      <c r="G477" s="822">
        <f t="shared" si="330"/>
        <v>322076.59751725133</v>
      </c>
      <c r="H477" s="822">
        <f t="shared" si="330"/>
        <v>10401364.043605436</v>
      </c>
      <c r="I477" s="822">
        <f t="shared" si="330"/>
        <v>2695673.6500551687</v>
      </c>
      <c r="J477" s="822">
        <f t="shared" si="330"/>
        <v>2855869.7022979329</v>
      </c>
      <c r="K477" s="822">
        <f t="shared" si="330"/>
        <v>3050714.9759081993</v>
      </c>
      <c r="L477" s="822">
        <f t="shared" si="330"/>
        <v>3272093.9867864465</v>
      </c>
      <c r="M477" s="822">
        <f t="shared" si="330"/>
        <v>68886079.169968069</v>
      </c>
      <c r="N477" s="798"/>
      <c r="O477" s="1395"/>
      <c r="P477" s="798"/>
      <c r="Q477" s="798"/>
      <c r="R477" s="798"/>
      <c r="S477" s="798"/>
      <c r="T477" s="798"/>
      <c r="U477" s="798"/>
      <c r="V477" s="798"/>
      <c r="W477" s="798"/>
      <c r="X477" s="798"/>
      <c r="Y477" s="798"/>
      <c r="Z477" s="798"/>
      <c r="AA477" s="798"/>
      <c r="AB477" s="798"/>
      <c r="AC477" s="798"/>
      <c r="AD477" s="798"/>
      <c r="AE477" s="798"/>
      <c r="AF477" s="798"/>
      <c r="AG477" s="798"/>
      <c r="AH477" s="798"/>
      <c r="AI477" s="798"/>
      <c r="AJ477" s="798"/>
      <c r="AK477" s="798"/>
      <c r="AL477" s="798"/>
      <c r="AM477" s="798"/>
      <c r="AN477" s="798"/>
      <c r="AO477" s="798"/>
      <c r="AP477" s="798"/>
      <c r="AQ477" s="798"/>
      <c r="AR477" s="798"/>
      <c r="AS477" s="798"/>
      <c r="AT477" s="798"/>
      <c r="AU477" s="798"/>
      <c r="AV477" s="798"/>
      <c r="AW477" s="798"/>
      <c r="AX477" s="798"/>
      <c r="AY477" s="798"/>
      <c r="AZ477" s="798"/>
      <c r="BA477" s="798"/>
      <c r="BB477" s="798"/>
      <c r="BC477" s="798"/>
      <c r="BD477" s="798"/>
      <c r="BE477" s="798"/>
      <c r="BF477" s="798"/>
      <c r="BG477" s="798"/>
      <c r="BH477" s="798"/>
      <c r="BI477" s="798"/>
      <c r="BJ477" s="798"/>
      <c r="BK477" s="798"/>
      <c r="BL477" s="798"/>
      <c r="BM477" s="798"/>
      <c r="BN477" s="798"/>
      <c r="BO477" s="798"/>
      <c r="BP477" s="798"/>
      <c r="BQ477" s="798"/>
      <c r="BR477" s="798"/>
      <c r="BS477" s="798"/>
      <c r="BT477" s="798"/>
      <c r="BU477" s="798"/>
      <c r="BV477" s="798"/>
      <c r="BW477" s="798"/>
      <c r="BX477" s="798"/>
      <c r="BY477" s="798"/>
      <c r="BZ477" s="798"/>
      <c r="CA477" s="798"/>
      <c r="CB477" s="798"/>
      <c r="CC477" s="798"/>
      <c r="CD477" s="798"/>
      <c r="CE477" s="798"/>
      <c r="CF477" s="798"/>
      <c r="CG477" s="798"/>
      <c r="CH477" s="798"/>
      <c r="CI477" s="798"/>
      <c r="CJ477" s="798"/>
      <c r="CK477" s="798"/>
      <c r="CL477" s="798"/>
      <c r="CM477" s="798"/>
      <c r="CN477" s="798"/>
      <c r="CO477" s="798"/>
      <c r="CP477" s="798"/>
      <c r="CQ477" s="798"/>
      <c r="CR477" s="798"/>
      <c r="CS477" s="798"/>
      <c r="CT477" s="798"/>
      <c r="CU477" s="798"/>
      <c r="CV477" s="798"/>
      <c r="CW477" s="798"/>
      <c r="CX477" s="798"/>
      <c r="CY477" s="798"/>
      <c r="CZ477" s="798"/>
      <c r="DA477" s="798"/>
      <c r="DB477" s="798"/>
      <c r="DC477" s="798"/>
      <c r="DD477" s="798"/>
      <c r="DE477" s="798"/>
      <c r="DF477" s="798"/>
      <c r="DG477" s="798"/>
      <c r="DH477" s="798"/>
      <c r="DI477" s="798"/>
      <c r="DJ477" s="798"/>
      <c r="DK477" s="798"/>
      <c r="DL477" s="798"/>
      <c r="DM477" s="798"/>
      <c r="DN477" s="798"/>
      <c r="DO477" s="798"/>
      <c r="DP477" s="798"/>
      <c r="DQ477" s="798"/>
      <c r="DR477" s="798"/>
      <c r="DS477" s="798"/>
      <c r="DT477" s="798"/>
      <c r="DU477" s="798"/>
      <c r="DV477" s="798"/>
      <c r="DW477" s="798"/>
      <c r="DX477" s="798"/>
      <c r="DY477" s="798"/>
      <c r="DZ477" s="798"/>
      <c r="EA477" s="798"/>
      <c r="EB477" s="798"/>
      <c r="EC477" s="798"/>
      <c r="ED477" s="798"/>
      <c r="EE477" s="798"/>
      <c r="EF477" s="798"/>
      <c r="EG477" s="798"/>
      <c r="EH477" s="782"/>
    </row>
    <row r="478" spans="1:138" ht="12.75" customHeight="1" x14ac:dyDescent="0.3">
      <c r="A478" s="782"/>
      <c r="B478" s="782"/>
      <c r="C478" s="798"/>
      <c r="D478" s="782"/>
      <c r="E478" s="798"/>
      <c r="F478" s="798"/>
      <c r="G478" s="798"/>
      <c r="H478" s="798"/>
      <c r="I478" s="798"/>
      <c r="J478" s="798"/>
      <c r="K478" s="798"/>
      <c r="L478" s="798"/>
      <c r="M478" s="798"/>
      <c r="N478" s="798"/>
      <c r="O478" s="1395"/>
      <c r="P478" s="798"/>
      <c r="Q478" s="798"/>
      <c r="R478" s="798"/>
      <c r="S478" s="798"/>
      <c r="T478" s="798"/>
      <c r="U478" s="798"/>
      <c r="V478" s="798"/>
      <c r="W478" s="798"/>
      <c r="X478" s="798"/>
      <c r="Y478" s="798"/>
      <c r="Z478" s="798"/>
      <c r="AA478" s="798"/>
      <c r="AB478" s="798"/>
      <c r="AC478" s="798"/>
      <c r="AD478" s="798"/>
      <c r="AE478" s="798"/>
      <c r="AF478" s="798"/>
      <c r="AG478" s="798"/>
      <c r="AH478" s="798"/>
      <c r="AI478" s="798"/>
      <c r="AJ478" s="798"/>
      <c r="AK478" s="798"/>
      <c r="AL478" s="798"/>
      <c r="AM478" s="798"/>
      <c r="AN478" s="798"/>
      <c r="AO478" s="798"/>
      <c r="AP478" s="798"/>
      <c r="AQ478" s="798"/>
      <c r="AR478" s="798"/>
      <c r="AS478" s="798"/>
      <c r="AT478" s="798"/>
      <c r="AU478" s="798"/>
      <c r="AV478" s="798"/>
      <c r="AW478" s="798"/>
      <c r="AX478" s="798"/>
      <c r="AY478" s="798"/>
      <c r="AZ478" s="798"/>
      <c r="BA478" s="798"/>
      <c r="BB478" s="798"/>
      <c r="BC478" s="798"/>
      <c r="BD478" s="798"/>
      <c r="BE478" s="798"/>
      <c r="BF478" s="798"/>
      <c r="BG478" s="798"/>
      <c r="BH478" s="798"/>
      <c r="BI478" s="798"/>
      <c r="BJ478" s="798"/>
      <c r="BK478" s="798"/>
      <c r="BL478" s="798"/>
      <c r="BM478" s="798"/>
      <c r="BN478" s="798"/>
      <c r="BO478" s="798"/>
      <c r="BP478" s="798"/>
      <c r="BQ478" s="798"/>
      <c r="BR478" s="798"/>
      <c r="BS478" s="798"/>
      <c r="BT478" s="798"/>
      <c r="BU478" s="798"/>
      <c r="BV478" s="798"/>
      <c r="BW478" s="798"/>
      <c r="BX478" s="798"/>
      <c r="BY478" s="798"/>
      <c r="BZ478" s="798"/>
      <c r="CA478" s="798"/>
      <c r="CB478" s="798"/>
      <c r="CC478" s="798"/>
      <c r="CD478" s="798"/>
      <c r="CE478" s="798"/>
      <c r="CF478" s="798"/>
      <c r="CG478" s="798"/>
      <c r="CH478" s="798"/>
      <c r="CI478" s="798"/>
      <c r="CJ478" s="798"/>
      <c r="CK478" s="798"/>
      <c r="CL478" s="798"/>
      <c r="CM478" s="798"/>
      <c r="CN478" s="798"/>
      <c r="CO478" s="798"/>
      <c r="CP478" s="798"/>
      <c r="CQ478" s="798"/>
      <c r="CR478" s="798"/>
      <c r="CS478" s="798"/>
      <c r="CT478" s="798"/>
      <c r="CU478" s="798"/>
      <c r="CV478" s="798"/>
      <c r="CW478" s="798"/>
      <c r="CX478" s="798"/>
      <c r="CY478" s="798"/>
      <c r="CZ478" s="798"/>
      <c r="DA478" s="798"/>
      <c r="DB478" s="798"/>
      <c r="DC478" s="798"/>
      <c r="DD478" s="798"/>
      <c r="DE478" s="798"/>
      <c r="DF478" s="798"/>
      <c r="DG478" s="798"/>
      <c r="DH478" s="798"/>
      <c r="DI478" s="798"/>
      <c r="DJ478" s="798"/>
      <c r="DK478" s="798"/>
      <c r="DL478" s="798"/>
      <c r="DM478" s="798"/>
      <c r="DN478" s="798"/>
      <c r="DO478" s="798"/>
      <c r="DP478" s="798"/>
      <c r="DQ478" s="798"/>
      <c r="DR478" s="798"/>
      <c r="DS478" s="798"/>
      <c r="DT478" s="798"/>
      <c r="DU478" s="798"/>
      <c r="DV478" s="798"/>
      <c r="DW478" s="798"/>
      <c r="DX478" s="798"/>
      <c r="DY478" s="798"/>
      <c r="DZ478" s="798"/>
      <c r="EA478" s="798"/>
      <c r="EB478" s="798"/>
      <c r="EC478" s="798"/>
      <c r="ED478" s="798"/>
      <c r="EE478" s="798"/>
      <c r="EF478" s="798"/>
      <c r="EG478" s="798"/>
      <c r="EH478" s="782"/>
    </row>
    <row r="479" spans="1:138" ht="12.75" customHeight="1" x14ac:dyDescent="0.3">
      <c r="A479" s="782"/>
      <c r="B479" s="782" t="s">
        <v>194</v>
      </c>
      <c r="C479" s="798">
        <f>+SUM(E479:M479)</f>
        <v>13953649.882221539</v>
      </c>
      <c r="D479" s="782"/>
      <c r="E479" s="798">
        <f>+SUMIF($E$6:$EG$6,E$451,$E353:$EG353)</f>
        <v>-4887466.9327361314</v>
      </c>
      <c r="F479" s="798">
        <f t="shared" ref="F479:M479" si="331">+SUMIF($E$6:$EG$6,F$451,$E353:$EG353)</f>
        <v>-3938367.3444508146</v>
      </c>
      <c r="G479" s="798">
        <f t="shared" si="331"/>
        <v>80197.072781794981</v>
      </c>
      <c r="H479" s="798">
        <f t="shared" si="331"/>
        <v>2589939.6468577539</v>
      </c>
      <c r="I479" s="798">
        <f t="shared" si="331"/>
        <v>671222.73886373732</v>
      </c>
      <c r="J479" s="798">
        <f t="shared" si="331"/>
        <v>711111.55587218539</v>
      </c>
      <c r="K479" s="798">
        <f t="shared" si="331"/>
        <v>759628.0290011412</v>
      </c>
      <c r="L479" s="798">
        <f t="shared" si="331"/>
        <v>814751.40270982508</v>
      </c>
      <c r="M479" s="798">
        <f t="shared" si="331"/>
        <v>17152633.713322047</v>
      </c>
      <c r="N479" s="798"/>
      <c r="O479" s="1395">
        <f>+C479-C353</f>
        <v>0</v>
      </c>
      <c r="P479" s="798"/>
      <c r="Q479" s="798"/>
      <c r="R479" s="798"/>
      <c r="S479" s="798"/>
      <c r="T479" s="798"/>
      <c r="U479" s="798"/>
      <c r="V479" s="798"/>
      <c r="W479" s="798"/>
      <c r="X479" s="798"/>
      <c r="Y479" s="798"/>
      <c r="Z479" s="798"/>
      <c r="AA479" s="798"/>
      <c r="AB479" s="798"/>
      <c r="AC479" s="798"/>
      <c r="AD479" s="798"/>
      <c r="AE479" s="798"/>
      <c r="AF479" s="798"/>
      <c r="AG479" s="798"/>
      <c r="AH479" s="798"/>
      <c r="AI479" s="798"/>
      <c r="AJ479" s="798"/>
      <c r="AK479" s="798"/>
      <c r="AL479" s="798"/>
      <c r="AM479" s="798"/>
      <c r="AN479" s="798"/>
      <c r="AO479" s="798"/>
      <c r="AP479" s="798"/>
      <c r="AQ479" s="798"/>
      <c r="AR479" s="798"/>
      <c r="AS479" s="798"/>
      <c r="AT479" s="798"/>
      <c r="AU479" s="798"/>
      <c r="AV479" s="798"/>
      <c r="AW479" s="798"/>
      <c r="AX479" s="798"/>
      <c r="AY479" s="798"/>
      <c r="AZ479" s="798"/>
      <c r="BA479" s="798"/>
      <c r="BB479" s="798"/>
      <c r="BC479" s="798"/>
      <c r="BD479" s="798"/>
      <c r="BE479" s="798"/>
      <c r="BF479" s="798"/>
      <c r="BG479" s="798"/>
      <c r="BH479" s="798"/>
      <c r="BI479" s="798"/>
      <c r="BJ479" s="798"/>
      <c r="BK479" s="798"/>
      <c r="BL479" s="798"/>
      <c r="BM479" s="798"/>
      <c r="BN479" s="798"/>
      <c r="BO479" s="798"/>
      <c r="BP479" s="798"/>
      <c r="BQ479" s="798"/>
      <c r="BR479" s="798"/>
      <c r="BS479" s="798"/>
      <c r="BT479" s="798"/>
      <c r="BU479" s="798"/>
      <c r="BV479" s="798"/>
      <c r="BW479" s="798"/>
      <c r="BX479" s="798"/>
      <c r="BY479" s="798"/>
      <c r="BZ479" s="798"/>
      <c r="CA479" s="798"/>
      <c r="CB479" s="798"/>
      <c r="CC479" s="798"/>
      <c r="CD479" s="798"/>
      <c r="CE479" s="798"/>
      <c r="CF479" s="798"/>
      <c r="CG479" s="798"/>
      <c r="CH479" s="798"/>
      <c r="CI479" s="798"/>
      <c r="CJ479" s="798"/>
      <c r="CK479" s="798"/>
      <c r="CL479" s="798"/>
      <c r="CM479" s="798"/>
      <c r="CN479" s="798"/>
      <c r="CO479" s="798"/>
      <c r="CP479" s="798"/>
      <c r="CQ479" s="798"/>
      <c r="CR479" s="798"/>
      <c r="CS479" s="798"/>
      <c r="CT479" s="798"/>
      <c r="CU479" s="798"/>
      <c r="CV479" s="798"/>
      <c r="CW479" s="798"/>
      <c r="CX479" s="798"/>
      <c r="CY479" s="798"/>
      <c r="CZ479" s="798"/>
      <c r="DA479" s="798"/>
      <c r="DB479" s="798"/>
      <c r="DC479" s="798"/>
      <c r="DD479" s="798"/>
      <c r="DE479" s="798"/>
      <c r="DF479" s="798"/>
      <c r="DG479" s="798"/>
      <c r="DH479" s="798"/>
      <c r="DI479" s="798"/>
      <c r="DJ479" s="798"/>
      <c r="DK479" s="798"/>
      <c r="DL479" s="798"/>
      <c r="DM479" s="798"/>
      <c r="DN479" s="798"/>
      <c r="DO479" s="798"/>
      <c r="DP479" s="798"/>
      <c r="DQ479" s="798"/>
      <c r="DR479" s="798"/>
      <c r="DS479" s="798"/>
      <c r="DT479" s="798"/>
      <c r="DU479" s="798"/>
      <c r="DV479" s="798"/>
      <c r="DW479" s="798"/>
      <c r="DX479" s="798"/>
      <c r="DY479" s="798"/>
      <c r="DZ479" s="798"/>
      <c r="EA479" s="798"/>
      <c r="EB479" s="798"/>
      <c r="EC479" s="798"/>
      <c r="ED479" s="798"/>
      <c r="EE479" s="798"/>
      <c r="EF479" s="798"/>
      <c r="EG479" s="798"/>
      <c r="EH479" s="782"/>
    </row>
    <row r="480" spans="1:138" ht="12.75" customHeight="1" x14ac:dyDescent="0.3">
      <c r="A480" s="782"/>
      <c r="B480" s="1397" t="s">
        <v>195</v>
      </c>
      <c r="C480" s="1398">
        <f>+C354</f>
        <v>0.15838249325752266</v>
      </c>
      <c r="D480" s="782"/>
      <c r="E480" s="798"/>
      <c r="F480" s="798"/>
      <c r="G480" s="798"/>
      <c r="H480" s="798"/>
      <c r="I480" s="798"/>
      <c r="J480" s="798"/>
      <c r="K480" s="798"/>
      <c r="L480" s="798"/>
      <c r="M480" s="798"/>
      <c r="N480" s="798"/>
      <c r="O480" s="1395"/>
      <c r="P480" s="798"/>
      <c r="Q480" s="798"/>
      <c r="R480" s="798"/>
      <c r="S480" s="798"/>
      <c r="T480" s="798"/>
      <c r="U480" s="798"/>
      <c r="V480" s="798"/>
      <c r="W480" s="798"/>
      <c r="X480" s="798"/>
      <c r="Y480" s="798"/>
      <c r="Z480" s="798"/>
      <c r="AA480" s="798"/>
      <c r="AB480" s="798"/>
      <c r="AC480" s="798"/>
      <c r="AD480" s="798"/>
      <c r="AE480" s="798"/>
      <c r="AF480" s="798"/>
      <c r="AG480" s="798"/>
      <c r="AH480" s="798"/>
      <c r="AI480" s="798"/>
      <c r="AJ480" s="798"/>
      <c r="AK480" s="798"/>
      <c r="AL480" s="798"/>
      <c r="AM480" s="798"/>
      <c r="AN480" s="798"/>
      <c r="AO480" s="798"/>
      <c r="AP480" s="798"/>
      <c r="AQ480" s="798"/>
      <c r="AR480" s="798"/>
      <c r="AS480" s="798"/>
      <c r="AT480" s="798"/>
      <c r="AU480" s="798"/>
      <c r="AV480" s="798"/>
      <c r="AW480" s="798"/>
      <c r="AX480" s="798"/>
      <c r="AY480" s="798"/>
      <c r="AZ480" s="798"/>
      <c r="BA480" s="798"/>
      <c r="BB480" s="798"/>
      <c r="BC480" s="798"/>
      <c r="BD480" s="798"/>
      <c r="BE480" s="798"/>
      <c r="BF480" s="798"/>
      <c r="BG480" s="798"/>
      <c r="BH480" s="798"/>
      <c r="BI480" s="798"/>
      <c r="BJ480" s="798"/>
      <c r="BK480" s="798"/>
      <c r="BL480" s="798"/>
      <c r="BM480" s="798"/>
      <c r="BN480" s="798"/>
      <c r="BO480" s="798"/>
      <c r="BP480" s="798"/>
      <c r="BQ480" s="798"/>
      <c r="BR480" s="798"/>
      <c r="BS480" s="798"/>
      <c r="BT480" s="798"/>
      <c r="BU480" s="798"/>
      <c r="BV480" s="798"/>
      <c r="BW480" s="798"/>
      <c r="BX480" s="798"/>
      <c r="BY480" s="798"/>
      <c r="BZ480" s="798"/>
      <c r="CA480" s="798"/>
      <c r="CB480" s="798"/>
      <c r="CC480" s="798"/>
      <c r="CD480" s="798"/>
      <c r="CE480" s="798"/>
      <c r="CF480" s="798"/>
      <c r="CG480" s="798"/>
      <c r="CH480" s="798"/>
      <c r="CI480" s="798"/>
      <c r="CJ480" s="798"/>
      <c r="CK480" s="798"/>
      <c r="CL480" s="798"/>
      <c r="CM480" s="798"/>
      <c r="CN480" s="798"/>
      <c r="CO480" s="798"/>
      <c r="CP480" s="798"/>
      <c r="CQ480" s="798"/>
      <c r="CR480" s="798"/>
      <c r="CS480" s="798"/>
      <c r="CT480" s="798"/>
      <c r="CU480" s="798"/>
      <c r="CV480" s="798"/>
      <c r="CW480" s="798"/>
      <c r="CX480" s="798"/>
      <c r="CY480" s="798"/>
      <c r="CZ480" s="798"/>
      <c r="DA480" s="798"/>
      <c r="DB480" s="798"/>
      <c r="DC480" s="798"/>
      <c r="DD480" s="798"/>
      <c r="DE480" s="798"/>
      <c r="DF480" s="798"/>
      <c r="DG480" s="798"/>
      <c r="DH480" s="798"/>
      <c r="DI480" s="798"/>
      <c r="DJ480" s="798"/>
      <c r="DK480" s="798"/>
      <c r="DL480" s="798"/>
      <c r="DM480" s="798"/>
      <c r="DN480" s="798"/>
      <c r="DO480" s="798"/>
      <c r="DP480" s="798"/>
      <c r="DQ480" s="798"/>
      <c r="DR480" s="798"/>
      <c r="DS480" s="798"/>
      <c r="DT480" s="798"/>
      <c r="DU480" s="798"/>
      <c r="DV480" s="798"/>
      <c r="DW480" s="798"/>
      <c r="DX480" s="798"/>
      <c r="DY480" s="798"/>
      <c r="DZ480" s="798"/>
      <c r="EA480" s="798"/>
      <c r="EB480" s="798"/>
      <c r="EC480" s="798"/>
      <c r="ED480" s="798"/>
      <c r="EE480" s="798"/>
      <c r="EF480" s="798"/>
      <c r="EG480" s="798"/>
      <c r="EH480" s="782"/>
    </row>
    <row r="481" spans="1:138" ht="12.75" customHeight="1" x14ac:dyDescent="0.3">
      <c r="A481" s="782"/>
      <c r="B481" s="1399" t="s">
        <v>196</v>
      </c>
      <c r="C481" s="1400">
        <f>+C355</f>
        <v>2.3311944189841349</v>
      </c>
      <c r="D481" s="782"/>
      <c r="E481" s="798"/>
      <c r="F481" s="798"/>
      <c r="G481" s="798"/>
      <c r="H481" s="798"/>
      <c r="I481" s="798"/>
      <c r="J481" s="798"/>
      <c r="K481" s="798"/>
      <c r="L481" s="798"/>
      <c r="M481" s="798"/>
      <c r="N481" s="798"/>
      <c r="O481" s="1395"/>
      <c r="P481" s="798"/>
      <c r="Q481" s="798"/>
      <c r="R481" s="798"/>
      <c r="S481" s="798"/>
      <c r="T481" s="798"/>
      <c r="U481" s="798"/>
      <c r="V481" s="798"/>
      <c r="W481" s="798"/>
      <c r="X481" s="798"/>
      <c r="Y481" s="798"/>
      <c r="Z481" s="798"/>
      <c r="AA481" s="798"/>
      <c r="AB481" s="798"/>
      <c r="AC481" s="798"/>
      <c r="AD481" s="798"/>
      <c r="AE481" s="798"/>
      <c r="AF481" s="798"/>
      <c r="AG481" s="798"/>
      <c r="AH481" s="798"/>
      <c r="AI481" s="798"/>
      <c r="AJ481" s="798"/>
      <c r="AK481" s="798"/>
      <c r="AL481" s="798"/>
      <c r="AM481" s="798"/>
      <c r="AN481" s="798"/>
      <c r="AO481" s="798"/>
      <c r="AP481" s="798"/>
      <c r="AQ481" s="798"/>
      <c r="AR481" s="798"/>
      <c r="AS481" s="798"/>
      <c r="AT481" s="798"/>
      <c r="AU481" s="798"/>
      <c r="AV481" s="798"/>
      <c r="AW481" s="798"/>
      <c r="AX481" s="798"/>
      <c r="AY481" s="798"/>
      <c r="AZ481" s="798"/>
      <c r="BA481" s="798"/>
      <c r="BB481" s="798"/>
      <c r="BC481" s="798"/>
      <c r="BD481" s="798"/>
      <c r="BE481" s="798"/>
      <c r="BF481" s="798"/>
      <c r="BG481" s="798"/>
      <c r="BH481" s="798"/>
      <c r="BI481" s="798"/>
      <c r="BJ481" s="798"/>
      <c r="BK481" s="798"/>
      <c r="BL481" s="798"/>
      <c r="BM481" s="798"/>
      <c r="BN481" s="798"/>
      <c r="BO481" s="798"/>
      <c r="BP481" s="798"/>
      <c r="BQ481" s="798"/>
      <c r="BR481" s="798"/>
      <c r="BS481" s="798"/>
      <c r="BT481" s="798"/>
      <c r="BU481" s="798"/>
      <c r="BV481" s="798"/>
      <c r="BW481" s="798"/>
      <c r="BX481" s="798"/>
      <c r="BY481" s="798"/>
      <c r="BZ481" s="798"/>
      <c r="CA481" s="798"/>
      <c r="CB481" s="798"/>
      <c r="CC481" s="798"/>
      <c r="CD481" s="798"/>
      <c r="CE481" s="798"/>
      <c r="CF481" s="798"/>
      <c r="CG481" s="798"/>
      <c r="CH481" s="798"/>
      <c r="CI481" s="798"/>
      <c r="CJ481" s="798"/>
      <c r="CK481" s="798"/>
      <c r="CL481" s="798"/>
      <c r="CM481" s="798"/>
      <c r="CN481" s="798"/>
      <c r="CO481" s="798"/>
      <c r="CP481" s="798"/>
      <c r="CQ481" s="798"/>
      <c r="CR481" s="798"/>
      <c r="CS481" s="798"/>
      <c r="CT481" s="798"/>
      <c r="CU481" s="798"/>
      <c r="CV481" s="798"/>
      <c r="CW481" s="798"/>
      <c r="CX481" s="798"/>
      <c r="CY481" s="798"/>
      <c r="CZ481" s="798"/>
      <c r="DA481" s="798"/>
      <c r="DB481" s="798"/>
      <c r="DC481" s="798"/>
      <c r="DD481" s="798"/>
      <c r="DE481" s="798"/>
      <c r="DF481" s="798"/>
      <c r="DG481" s="798"/>
      <c r="DH481" s="798"/>
      <c r="DI481" s="798"/>
      <c r="DJ481" s="798"/>
      <c r="DK481" s="798"/>
      <c r="DL481" s="798"/>
      <c r="DM481" s="798"/>
      <c r="DN481" s="798"/>
      <c r="DO481" s="798"/>
      <c r="DP481" s="798"/>
      <c r="DQ481" s="798"/>
      <c r="DR481" s="798"/>
      <c r="DS481" s="798"/>
      <c r="DT481" s="798"/>
      <c r="DU481" s="798"/>
      <c r="DV481" s="798"/>
      <c r="DW481" s="798"/>
      <c r="DX481" s="798"/>
      <c r="DY481" s="798"/>
      <c r="DZ481" s="798"/>
      <c r="EA481" s="798"/>
      <c r="EB481" s="798"/>
      <c r="EC481" s="798"/>
      <c r="ED481" s="798"/>
      <c r="EE481" s="798"/>
      <c r="EF481" s="798"/>
      <c r="EG481" s="798"/>
      <c r="EH481" s="782"/>
    </row>
    <row r="482" spans="1:138" ht="12.75" customHeight="1" x14ac:dyDescent="0.3">
      <c r="A482" s="782"/>
      <c r="B482" s="782"/>
      <c r="C482" s="798"/>
      <c r="D482" s="782"/>
      <c r="E482" s="798"/>
      <c r="F482" s="798"/>
      <c r="G482" s="798"/>
      <c r="H482" s="798"/>
      <c r="I482" s="798"/>
      <c r="J482" s="798"/>
      <c r="K482" s="798"/>
      <c r="L482" s="798"/>
      <c r="M482" s="798"/>
      <c r="N482" s="798"/>
      <c r="O482" s="1395"/>
      <c r="P482" s="798"/>
      <c r="Q482" s="798"/>
      <c r="R482" s="798"/>
      <c r="S482" s="798"/>
      <c r="T482" s="798"/>
      <c r="U482" s="798"/>
      <c r="V482" s="798"/>
      <c r="W482" s="798"/>
      <c r="X482" s="798"/>
      <c r="Y482" s="798"/>
      <c r="Z482" s="798"/>
      <c r="AA482" s="798"/>
      <c r="AB482" s="798"/>
      <c r="AC482" s="798"/>
      <c r="AD482" s="798"/>
      <c r="AE482" s="798"/>
      <c r="AF482" s="798"/>
      <c r="AG482" s="798"/>
      <c r="AH482" s="798"/>
      <c r="AI482" s="798"/>
      <c r="AJ482" s="798"/>
      <c r="AK482" s="798"/>
      <c r="AL482" s="798"/>
      <c r="AM482" s="798"/>
      <c r="AN482" s="798"/>
      <c r="AO482" s="798"/>
      <c r="AP482" s="798"/>
      <c r="AQ482" s="798"/>
      <c r="AR482" s="798"/>
      <c r="AS482" s="798"/>
      <c r="AT482" s="798"/>
      <c r="AU482" s="798"/>
      <c r="AV482" s="798"/>
      <c r="AW482" s="798"/>
      <c r="AX482" s="798"/>
      <c r="AY482" s="798"/>
      <c r="AZ482" s="798"/>
      <c r="BA482" s="798"/>
      <c r="BB482" s="798"/>
      <c r="BC482" s="798"/>
      <c r="BD482" s="798"/>
      <c r="BE482" s="798"/>
      <c r="BF482" s="798"/>
      <c r="BG482" s="798"/>
      <c r="BH482" s="798"/>
      <c r="BI482" s="798"/>
      <c r="BJ482" s="798"/>
      <c r="BK482" s="798"/>
      <c r="BL482" s="798"/>
      <c r="BM482" s="798"/>
      <c r="BN482" s="798"/>
      <c r="BO482" s="798"/>
      <c r="BP482" s="798"/>
      <c r="BQ482" s="798"/>
      <c r="BR482" s="798"/>
      <c r="BS482" s="798"/>
      <c r="BT482" s="798"/>
      <c r="BU482" s="798"/>
      <c r="BV482" s="798"/>
      <c r="BW482" s="798"/>
      <c r="BX482" s="798"/>
      <c r="BY482" s="798"/>
      <c r="BZ482" s="798"/>
      <c r="CA482" s="798"/>
      <c r="CB482" s="798"/>
      <c r="CC482" s="798"/>
      <c r="CD482" s="798"/>
      <c r="CE482" s="798"/>
      <c r="CF482" s="798"/>
      <c r="CG482" s="798"/>
      <c r="CH482" s="798"/>
      <c r="CI482" s="798"/>
      <c r="CJ482" s="798"/>
      <c r="CK482" s="798"/>
      <c r="CL482" s="798"/>
      <c r="CM482" s="798"/>
      <c r="CN482" s="798"/>
      <c r="CO482" s="798"/>
      <c r="CP482" s="798"/>
      <c r="CQ482" s="798"/>
      <c r="CR482" s="798"/>
      <c r="CS482" s="798"/>
      <c r="CT482" s="798"/>
      <c r="CU482" s="798"/>
      <c r="CV482" s="798"/>
      <c r="CW482" s="798"/>
      <c r="CX482" s="798"/>
      <c r="CY482" s="798"/>
      <c r="CZ482" s="798"/>
      <c r="DA482" s="798"/>
      <c r="DB482" s="798"/>
      <c r="DC482" s="798"/>
      <c r="DD482" s="798"/>
      <c r="DE482" s="798"/>
      <c r="DF482" s="798"/>
      <c r="DG482" s="798"/>
      <c r="DH482" s="798"/>
      <c r="DI482" s="798"/>
      <c r="DJ482" s="798"/>
      <c r="DK482" s="798"/>
      <c r="DL482" s="798"/>
      <c r="DM482" s="798"/>
      <c r="DN482" s="798"/>
      <c r="DO482" s="798"/>
      <c r="DP482" s="798"/>
      <c r="DQ482" s="798"/>
      <c r="DR482" s="798"/>
      <c r="DS482" s="798"/>
      <c r="DT482" s="798"/>
      <c r="DU482" s="798"/>
      <c r="DV482" s="798"/>
      <c r="DW482" s="798"/>
      <c r="DX482" s="798"/>
      <c r="DY482" s="798"/>
      <c r="DZ482" s="798"/>
      <c r="EA482" s="798"/>
      <c r="EB482" s="798"/>
      <c r="EC482" s="798"/>
      <c r="ED482" s="798"/>
      <c r="EE482" s="798"/>
      <c r="EF482" s="798"/>
      <c r="EG482" s="798"/>
      <c r="EH482" s="782"/>
    </row>
    <row r="483" spans="1:138" ht="12.75" customHeight="1" x14ac:dyDescent="0.3">
      <c r="A483" s="782"/>
      <c r="B483" s="782" t="str">
        <f>+B357</f>
        <v>Net cash flow to Lennar LP (co-investment)</v>
      </c>
      <c r="C483" s="798">
        <f>+SUM(E483:M483)</f>
        <v>42085104.664852917</v>
      </c>
      <c r="D483" s="782"/>
      <c r="E483" s="798">
        <f>+SUMIF($E$6:$EG$6,E$451,$E357:$EG357)</f>
        <v>-14740914.323232267</v>
      </c>
      <c r="F483" s="798">
        <f t="shared" ref="F483:M483" si="332">+SUMIF($E$6:$EG$6,F$451,$E357:$EG357)</f>
        <v>-11878368.978644829</v>
      </c>
      <c r="G483" s="798">
        <f t="shared" si="332"/>
        <v>241879.52473545395</v>
      </c>
      <c r="H483" s="798">
        <f t="shared" si="332"/>
        <v>7811424.3967476832</v>
      </c>
      <c r="I483" s="798">
        <f t="shared" si="332"/>
        <v>2024450.9111914323</v>
      </c>
      <c r="J483" s="798">
        <f t="shared" si="332"/>
        <v>2144758.1464257482</v>
      </c>
      <c r="K483" s="798">
        <f t="shared" si="332"/>
        <v>2291086.9469070565</v>
      </c>
      <c r="L483" s="798">
        <f t="shared" si="332"/>
        <v>2457342.5840766211</v>
      </c>
      <c r="M483" s="798">
        <f t="shared" si="332"/>
        <v>51733445.456646018</v>
      </c>
      <c r="N483" s="798"/>
      <c r="O483" s="1395">
        <f>+C483-C357</f>
        <v>0</v>
      </c>
      <c r="P483" s="798"/>
      <c r="Q483" s="798"/>
      <c r="R483" s="798"/>
      <c r="S483" s="798"/>
      <c r="T483" s="798"/>
      <c r="U483" s="798"/>
      <c r="V483" s="798"/>
      <c r="W483" s="798"/>
      <c r="X483" s="798"/>
      <c r="Y483" s="798"/>
      <c r="Z483" s="798"/>
      <c r="AA483" s="798"/>
      <c r="AB483" s="798"/>
      <c r="AC483" s="798"/>
      <c r="AD483" s="798"/>
      <c r="AE483" s="798"/>
      <c r="AF483" s="798"/>
      <c r="AG483" s="798"/>
      <c r="AH483" s="798"/>
      <c r="AI483" s="798"/>
      <c r="AJ483" s="798"/>
      <c r="AK483" s="798"/>
      <c r="AL483" s="798"/>
      <c r="AM483" s="798"/>
      <c r="AN483" s="798"/>
      <c r="AO483" s="798"/>
      <c r="AP483" s="798"/>
      <c r="AQ483" s="798"/>
      <c r="AR483" s="798"/>
      <c r="AS483" s="798"/>
      <c r="AT483" s="798"/>
      <c r="AU483" s="798"/>
      <c r="AV483" s="798"/>
      <c r="AW483" s="798"/>
      <c r="AX483" s="798"/>
      <c r="AY483" s="798"/>
      <c r="AZ483" s="798"/>
      <c r="BA483" s="798"/>
      <c r="BB483" s="798"/>
      <c r="BC483" s="798"/>
      <c r="BD483" s="798"/>
      <c r="BE483" s="798"/>
      <c r="BF483" s="798"/>
      <c r="BG483" s="798"/>
      <c r="BH483" s="798"/>
      <c r="BI483" s="798"/>
      <c r="BJ483" s="798"/>
      <c r="BK483" s="798"/>
      <c r="BL483" s="798"/>
      <c r="BM483" s="798"/>
      <c r="BN483" s="798"/>
      <c r="BO483" s="798"/>
      <c r="BP483" s="798"/>
      <c r="BQ483" s="798"/>
      <c r="BR483" s="798"/>
      <c r="BS483" s="798"/>
      <c r="BT483" s="798"/>
      <c r="BU483" s="798"/>
      <c r="BV483" s="798"/>
      <c r="BW483" s="798"/>
      <c r="BX483" s="798"/>
      <c r="BY483" s="798"/>
      <c r="BZ483" s="798"/>
      <c r="CA483" s="798"/>
      <c r="CB483" s="798"/>
      <c r="CC483" s="798"/>
      <c r="CD483" s="798"/>
      <c r="CE483" s="798"/>
      <c r="CF483" s="798"/>
      <c r="CG483" s="798"/>
      <c r="CH483" s="798"/>
      <c r="CI483" s="798"/>
      <c r="CJ483" s="798"/>
      <c r="CK483" s="798"/>
      <c r="CL483" s="798"/>
      <c r="CM483" s="798"/>
      <c r="CN483" s="798"/>
      <c r="CO483" s="798"/>
      <c r="CP483" s="798"/>
      <c r="CQ483" s="798"/>
      <c r="CR483" s="798"/>
      <c r="CS483" s="798"/>
      <c r="CT483" s="798"/>
      <c r="CU483" s="798"/>
      <c r="CV483" s="798"/>
      <c r="CW483" s="798"/>
      <c r="CX483" s="798"/>
      <c r="CY483" s="798"/>
      <c r="CZ483" s="798"/>
      <c r="DA483" s="798"/>
      <c r="DB483" s="798"/>
      <c r="DC483" s="798"/>
      <c r="DD483" s="798"/>
      <c r="DE483" s="798"/>
      <c r="DF483" s="798"/>
      <c r="DG483" s="798"/>
      <c r="DH483" s="798"/>
      <c r="DI483" s="798"/>
      <c r="DJ483" s="798"/>
      <c r="DK483" s="798"/>
      <c r="DL483" s="798"/>
      <c r="DM483" s="798"/>
      <c r="DN483" s="798"/>
      <c r="DO483" s="798"/>
      <c r="DP483" s="798"/>
      <c r="DQ483" s="798"/>
      <c r="DR483" s="798"/>
      <c r="DS483" s="798"/>
      <c r="DT483" s="798"/>
      <c r="DU483" s="798"/>
      <c r="DV483" s="798"/>
      <c r="DW483" s="798"/>
      <c r="DX483" s="798"/>
      <c r="DY483" s="798"/>
      <c r="DZ483" s="798"/>
      <c r="EA483" s="798"/>
      <c r="EB483" s="798"/>
      <c r="EC483" s="798"/>
      <c r="ED483" s="798"/>
      <c r="EE483" s="798"/>
      <c r="EF483" s="798"/>
      <c r="EG483" s="798"/>
      <c r="EH483" s="782"/>
    </row>
    <row r="484" spans="1:138" ht="12.75" customHeight="1" x14ac:dyDescent="0.3">
      <c r="A484" s="782"/>
      <c r="B484" s="800" t="s">
        <v>198</v>
      </c>
      <c r="C484" s="801">
        <f>+C358</f>
        <v>0.15838249325752266</v>
      </c>
      <c r="D484" s="782"/>
      <c r="E484" s="798"/>
      <c r="F484" s="798"/>
      <c r="G484" s="798"/>
      <c r="H484" s="798"/>
      <c r="I484" s="798"/>
      <c r="J484" s="798"/>
      <c r="K484" s="798"/>
      <c r="L484" s="798"/>
      <c r="M484" s="798"/>
      <c r="N484" s="798"/>
      <c r="O484" s="1395"/>
      <c r="P484" s="798"/>
      <c r="Q484" s="798"/>
      <c r="R484" s="798"/>
      <c r="S484" s="798"/>
      <c r="T484" s="798"/>
      <c r="U484" s="798"/>
      <c r="V484" s="798"/>
      <c r="W484" s="798"/>
      <c r="X484" s="798"/>
      <c r="Y484" s="798"/>
      <c r="Z484" s="798"/>
      <c r="AA484" s="798"/>
      <c r="AB484" s="798"/>
      <c r="AC484" s="798"/>
      <c r="AD484" s="798"/>
      <c r="AE484" s="798"/>
      <c r="AF484" s="798"/>
      <c r="AG484" s="798"/>
      <c r="AH484" s="798"/>
      <c r="AI484" s="798"/>
      <c r="AJ484" s="798"/>
      <c r="AK484" s="798"/>
      <c r="AL484" s="798"/>
      <c r="AM484" s="798"/>
      <c r="AN484" s="798"/>
      <c r="AO484" s="798"/>
      <c r="AP484" s="798"/>
      <c r="AQ484" s="798"/>
      <c r="AR484" s="798"/>
      <c r="AS484" s="798"/>
      <c r="AT484" s="798"/>
      <c r="AU484" s="798"/>
      <c r="AV484" s="798"/>
      <c r="AW484" s="798"/>
      <c r="AX484" s="798"/>
      <c r="AY484" s="798"/>
      <c r="AZ484" s="798"/>
      <c r="BA484" s="798"/>
      <c r="BB484" s="798"/>
      <c r="BC484" s="798"/>
      <c r="BD484" s="798"/>
      <c r="BE484" s="798"/>
      <c r="BF484" s="798"/>
      <c r="BG484" s="798"/>
      <c r="BH484" s="798"/>
      <c r="BI484" s="798"/>
      <c r="BJ484" s="798"/>
      <c r="BK484" s="798"/>
      <c r="BL484" s="798"/>
      <c r="BM484" s="798"/>
      <c r="BN484" s="798"/>
      <c r="BO484" s="798"/>
      <c r="BP484" s="798"/>
      <c r="BQ484" s="798"/>
      <c r="BR484" s="798"/>
      <c r="BS484" s="798"/>
      <c r="BT484" s="798"/>
      <c r="BU484" s="798"/>
      <c r="BV484" s="798"/>
      <c r="BW484" s="798"/>
      <c r="BX484" s="798"/>
      <c r="BY484" s="798"/>
      <c r="BZ484" s="798"/>
      <c r="CA484" s="798"/>
      <c r="CB484" s="798"/>
      <c r="CC484" s="798"/>
      <c r="CD484" s="798"/>
      <c r="CE484" s="798"/>
      <c r="CF484" s="798"/>
      <c r="CG484" s="798"/>
      <c r="CH484" s="798"/>
      <c r="CI484" s="798"/>
      <c r="CJ484" s="798"/>
      <c r="CK484" s="798"/>
      <c r="CL484" s="798"/>
      <c r="CM484" s="798"/>
      <c r="CN484" s="798"/>
      <c r="CO484" s="798"/>
      <c r="CP484" s="798"/>
      <c r="CQ484" s="798"/>
      <c r="CR484" s="798"/>
      <c r="CS484" s="798"/>
      <c r="CT484" s="798"/>
      <c r="CU484" s="798"/>
      <c r="CV484" s="798"/>
      <c r="CW484" s="798"/>
      <c r="CX484" s="798"/>
      <c r="CY484" s="798"/>
      <c r="CZ484" s="798"/>
      <c r="DA484" s="798"/>
      <c r="DB484" s="798"/>
      <c r="DC484" s="798"/>
      <c r="DD484" s="798"/>
      <c r="DE484" s="798"/>
      <c r="DF484" s="798"/>
      <c r="DG484" s="798"/>
      <c r="DH484" s="798"/>
      <c r="DI484" s="798"/>
      <c r="DJ484" s="798"/>
      <c r="DK484" s="798"/>
      <c r="DL484" s="798"/>
      <c r="DM484" s="798"/>
      <c r="DN484" s="798"/>
      <c r="DO484" s="798"/>
      <c r="DP484" s="798"/>
      <c r="DQ484" s="798"/>
      <c r="DR484" s="798"/>
      <c r="DS484" s="798"/>
      <c r="DT484" s="798"/>
      <c r="DU484" s="798"/>
      <c r="DV484" s="798"/>
      <c r="DW484" s="798"/>
      <c r="DX484" s="798"/>
      <c r="DY484" s="798"/>
      <c r="DZ484" s="798"/>
      <c r="EA484" s="798"/>
      <c r="EB484" s="798"/>
      <c r="EC484" s="798"/>
      <c r="ED484" s="798"/>
      <c r="EE484" s="798"/>
      <c r="EF484" s="798"/>
      <c r="EG484" s="798"/>
      <c r="EH484" s="782"/>
    </row>
    <row r="485" spans="1:138" ht="12.75" customHeight="1" x14ac:dyDescent="0.3">
      <c r="A485" s="782"/>
      <c r="B485" s="796" t="s">
        <v>199</v>
      </c>
      <c r="C485" s="1401">
        <f>+C359</f>
        <v>2.3311944189841349</v>
      </c>
      <c r="D485" s="782"/>
      <c r="E485" s="798"/>
      <c r="F485" s="798"/>
      <c r="G485" s="798"/>
      <c r="H485" s="798"/>
      <c r="I485" s="798"/>
      <c r="J485" s="798"/>
      <c r="K485" s="798"/>
      <c r="L485" s="798"/>
      <c r="M485" s="798"/>
      <c r="N485" s="798"/>
      <c r="O485" s="1395"/>
      <c r="P485" s="798"/>
      <c r="Q485" s="798"/>
      <c r="R485" s="798"/>
      <c r="S485" s="798"/>
      <c r="T485" s="798"/>
      <c r="U485" s="798"/>
      <c r="V485" s="798"/>
      <c r="W485" s="798"/>
      <c r="X485" s="798"/>
      <c r="Y485" s="798"/>
      <c r="Z485" s="798"/>
      <c r="AA485" s="798"/>
      <c r="AB485" s="798"/>
      <c r="AC485" s="798"/>
      <c r="AD485" s="798"/>
      <c r="AE485" s="798"/>
      <c r="AF485" s="798"/>
      <c r="AG485" s="798"/>
      <c r="AH485" s="798"/>
      <c r="AI485" s="798"/>
      <c r="AJ485" s="798"/>
      <c r="AK485" s="798"/>
      <c r="AL485" s="798"/>
      <c r="AM485" s="798"/>
      <c r="AN485" s="798"/>
      <c r="AO485" s="798"/>
      <c r="AP485" s="798"/>
      <c r="AQ485" s="798"/>
      <c r="AR485" s="798"/>
      <c r="AS485" s="798"/>
      <c r="AT485" s="798"/>
      <c r="AU485" s="798"/>
      <c r="AV485" s="798"/>
      <c r="AW485" s="798"/>
      <c r="AX485" s="798"/>
      <c r="AY485" s="798"/>
      <c r="AZ485" s="798"/>
      <c r="BA485" s="798"/>
      <c r="BB485" s="798"/>
      <c r="BC485" s="798"/>
      <c r="BD485" s="798"/>
      <c r="BE485" s="798"/>
      <c r="BF485" s="798"/>
      <c r="BG485" s="798"/>
      <c r="BH485" s="798"/>
      <c r="BI485" s="798"/>
      <c r="BJ485" s="798"/>
      <c r="BK485" s="798"/>
      <c r="BL485" s="798"/>
      <c r="BM485" s="798"/>
      <c r="BN485" s="798"/>
      <c r="BO485" s="798"/>
      <c r="BP485" s="798"/>
      <c r="BQ485" s="798"/>
      <c r="BR485" s="798"/>
      <c r="BS485" s="798"/>
      <c r="BT485" s="798"/>
      <c r="BU485" s="798"/>
      <c r="BV485" s="798"/>
      <c r="BW485" s="798"/>
      <c r="BX485" s="798"/>
      <c r="BY485" s="798"/>
      <c r="BZ485" s="798"/>
      <c r="CA485" s="798"/>
      <c r="CB485" s="798"/>
      <c r="CC485" s="798"/>
      <c r="CD485" s="798"/>
      <c r="CE485" s="798"/>
      <c r="CF485" s="798"/>
      <c r="CG485" s="798"/>
      <c r="CH485" s="798"/>
      <c r="CI485" s="798"/>
      <c r="CJ485" s="798"/>
      <c r="CK485" s="798"/>
      <c r="CL485" s="798"/>
      <c r="CM485" s="798"/>
      <c r="CN485" s="798"/>
      <c r="CO485" s="798"/>
      <c r="CP485" s="798"/>
      <c r="CQ485" s="798"/>
      <c r="CR485" s="798"/>
      <c r="CS485" s="798"/>
      <c r="CT485" s="798"/>
      <c r="CU485" s="798"/>
      <c r="CV485" s="798"/>
      <c r="CW485" s="798"/>
      <c r="CX485" s="798"/>
      <c r="CY485" s="798"/>
      <c r="CZ485" s="798"/>
      <c r="DA485" s="798"/>
      <c r="DB485" s="798"/>
      <c r="DC485" s="798"/>
      <c r="DD485" s="798"/>
      <c r="DE485" s="798"/>
      <c r="DF485" s="798"/>
      <c r="DG485" s="798"/>
      <c r="DH485" s="798"/>
      <c r="DI485" s="798"/>
      <c r="DJ485" s="798"/>
      <c r="DK485" s="798"/>
      <c r="DL485" s="798"/>
      <c r="DM485" s="798"/>
      <c r="DN485" s="798"/>
      <c r="DO485" s="798"/>
      <c r="DP485" s="798"/>
      <c r="DQ485" s="798"/>
      <c r="DR485" s="798"/>
      <c r="DS485" s="798"/>
      <c r="DT485" s="798"/>
      <c r="DU485" s="798"/>
      <c r="DV485" s="798"/>
      <c r="DW485" s="798"/>
      <c r="DX485" s="798"/>
      <c r="DY485" s="798"/>
      <c r="DZ485" s="798"/>
      <c r="EA485" s="798"/>
      <c r="EB485" s="798"/>
      <c r="EC485" s="798"/>
      <c r="ED485" s="798"/>
      <c r="EE485" s="798"/>
      <c r="EF485" s="798"/>
      <c r="EG485" s="798"/>
      <c r="EH485" s="782"/>
    </row>
    <row r="486" spans="1:138" ht="12.75" customHeight="1" x14ac:dyDescent="0.3">
      <c r="A486" s="782"/>
      <c r="B486" s="782"/>
      <c r="C486" s="798"/>
      <c r="D486" s="782"/>
      <c r="E486" s="798"/>
      <c r="F486" s="798"/>
      <c r="G486" s="798"/>
      <c r="H486" s="798"/>
      <c r="I486" s="798"/>
      <c r="J486" s="798"/>
      <c r="K486" s="798"/>
      <c r="L486" s="798"/>
      <c r="M486" s="798"/>
      <c r="N486" s="798"/>
      <c r="O486" s="1395"/>
      <c r="P486" s="798"/>
      <c r="Q486" s="798"/>
      <c r="R486" s="798"/>
      <c r="S486" s="798"/>
      <c r="T486" s="798"/>
      <c r="U486" s="798"/>
      <c r="V486" s="798"/>
      <c r="W486" s="798"/>
      <c r="X486" s="798"/>
      <c r="Y486" s="798"/>
      <c r="Z486" s="798"/>
      <c r="AA486" s="798"/>
      <c r="AB486" s="798"/>
      <c r="AC486" s="798"/>
      <c r="AD486" s="798"/>
      <c r="AE486" s="798"/>
      <c r="AF486" s="798"/>
      <c r="AG486" s="798"/>
      <c r="AH486" s="798"/>
      <c r="AI486" s="798"/>
      <c r="AJ486" s="798"/>
      <c r="AK486" s="798"/>
      <c r="AL486" s="798"/>
      <c r="AM486" s="798"/>
      <c r="AN486" s="798"/>
      <c r="AO486" s="798"/>
      <c r="AP486" s="798"/>
      <c r="AQ486" s="798"/>
      <c r="AR486" s="798"/>
      <c r="AS486" s="798"/>
      <c r="AT486" s="798"/>
      <c r="AU486" s="798"/>
      <c r="AV486" s="798"/>
      <c r="AW486" s="798"/>
      <c r="AX486" s="798"/>
      <c r="AY486" s="798"/>
      <c r="AZ486" s="798"/>
      <c r="BA486" s="798"/>
      <c r="BB486" s="798"/>
      <c r="BC486" s="798"/>
      <c r="BD486" s="798"/>
      <c r="BE486" s="798"/>
      <c r="BF486" s="798"/>
      <c r="BG486" s="798"/>
      <c r="BH486" s="798"/>
      <c r="BI486" s="798"/>
      <c r="BJ486" s="798"/>
      <c r="BK486" s="798"/>
      <c r="BL486" s="798"/>
      <c r="BM486" s="798"/>
      <c r="BN486" s="798"/>
      <c r="BO486" s="798"/>
      <c r="BP486" s="798"/>
      <c r="BQ486" s="798"/>
      <c r="BR486" s="798"/>
      <c r="BS486" s="798"/>
      <c r="BT486" s="798"/>
      <c r="BU486" s="798"/>
      <c r="BV486" s="798"/>
      <c r="BW486" s="798"/>
      <c r="BX486" s="798"/>
      <c r="BY486" s="798"/>
      <c r="BZ486" s="798"/>
      <c r="CA486" s="798"/>
      <c r="CB486" s="798"/>
      <c r="CC486" s="798"/>
      <c r="CD486" s="798"/>
      <c r="CE486" s="798"/>
      <c r="CF486" s="798"/>
      <c r="CG486" s="798"/>
      <c r="CH486" s="798"/>
      <c r="CI486" s="798"/>
      <c r="CJ486" s="798"/>
      <c r="CK486" s="798"/>
      <c r="CL486" s="798"/>
      <c r="CM486" s="798"/>
      <c r="CN486" s="798"/>
      <c r="CO486" s="798"/>
      <c r="CP486" s="798"/>
      <c r="CQ486" s="798"/>
      <c r="CR486" s="798"/>
      <c r="CS486" s="798"/>
      <c r="CT486" s="798"/>
      <c r="CU486" s="798"/>
      <c r="CV486" s="798"/>
      <c r="CW486" s="798"/>
      <c r="CX486" s="798"/>
      <c r="CY486" s="798"/>
      <c r="CZ486" s="798"/>
      <c r="DA486" s="798"/>
      <c r="DB486" s="798"/>
      <c r="DC486" s="798"/>
      <c r="DD486" s="798"/>
      <c r="DE486" s="798"/>
      <c r="DF486" s="798"/>
      <c r="DG486" s="798"/>
      <c r="DH486" s="798"/>
      <c r="DI486" s="798"/>
      <c r="DJ486" s="798"/>
      <c r="DK486" s="798"/>
      <c r="DL486" s="798"/>
      <c r="DM486" s="798"/>
      <c r="DN486" s="798"/>
      <c r="DO486" s="798"/>
      <c r="DP486" s="798"/>
      <c r="DQ486" s="798"/>
      <c r="DR486" s="798"/>
      <c r="DS486" s="798"/>
      <c r="DT486" s="798"/>
      <c r="DU486" s="798"/>
      <c r="DV486" s="798"/>
      <c r="DW486" s="798"/>
      <c r="DX486" s="798"/>
      <c r="DY486" s="798"/>
      <c r="DZ486" s="798"/>
      <c r="EA486" s="798"/>
      <c r="EB486" s="798"/>
      <c r="EC486" s="798"/>
      <c r="ED486" s="798"/>
      <c r="EE486" s="798"/>
      <c r="EF486" s="798"/>
      <c r="EG486" s="798"/>
      <c r="EH486" s="782"/>
    </row>
    <row r="487" spans="1:138" ht="12.75" customHeight="1" x14ac:dyDescent="0.3">
      <c r="A487" s="782"/>
      <c r="B487" s="796" t="s">
        <v>356</v>
      </c>
      <c r="C487" s="1401"/>
      <c r="D487" s="782"/>
      <c r="E487" s="798"/>
      <c r="F487" s="798"/>
      <c r="G487" s="798"/>
      <c r="H487" s="798"/>
      <c r="I487" s="798"/>
      <c r="J487" s="798"/>
      <c r="K487" s="798"/>
      <c r="L487" s="798"/>
      <c r="M487" s="798"/>
      <c r="N487" s="798"/>
      <c r="O487" s="1395"/>
      <c r="P487" s="798"/>
      <c r="Q487" s="798"/>
      <c r="R487" s="798"/>
      <c r="S487" s="798"/>
      <c r="T487" s="798"/>
      <c r="U487" s="798"/>
      <c r="V487" s="798"/>
      <c r="W487" s="798"/>
      <c r="X487" s="798"/>
      <c r="Y487" s="798"/>
      <c r="Z487" s="798"/>
      <c r="AA487" s="798"/>
      <c r="AB487" s="798"/>
      <c r="AC487" s="798"/>
      <c r="AD487" s="798"/>
      <c r="AE487" s="798"/>
      <c r="AF487" s="798"/>
      <c r="AG487" s="798"/>
      <c r="AH487" s="798"/>
      <c r="AI487" s="798"/>
      <c r="AJ487" s="798"/>
      <c r="AK487" s="798"/>
      <c r="AL487" s="798"/>
      <c r="AM487" s="798"/>
      <c r="AN487" s="798"/>
      <c r="AO487" s="798"/>
      <c r="AP487" s="798"/>
      <c r="AQ487" s="798"/>
      <c r="AR487" s="798"/>
      <c r="AS487" s="798"/>
      <c r="AT487" s="798"/>
      <c r="AU487" s="798"/>
      <c r="AV487" s="798"/>
      <c r="AW487" s="798"/>
      <c r="AX487" s="798"/>
      <c r="AY487" s="798"/>
      <c r="AZ487" s="798"/>
      <c r="BA487" s="798"/>
      <c r="BB487" s="798"/>
      <c r="BC487" s="798"/>
      <c r="BD487" s="798"/>
      <c r="BE487" s="798"/>
      <c r="BF487" s="798"/>
      <c r="BG487" s="798"/>
      <c r="BH487" s="798"/>
      <c r="BI487" s="798"/>
      <c r="BJ487" s="798"/>
      <c r="BK487" s="798"/>
      <c r="BL487" s="798"/>
      <c r="BM487" s="798"/>
      <c r="BN487" s="798"/>
      <c r="BO487" s="798"/>
      <c r="BP487" s="798"/>
      <c r="BQ487" s="798"/>
      <c r="BR487" s="798"/>
      <c r="BS487" s="798"/>
      <c r="BT487" s="798"/>
      <c r="BU487" s="798"/>
      <c r="BV487" s="798"/>
      <c r="BW487" s="798"/>
      <c r="BX487" s="798"/>
      <c r="BY487" s="798"/>
      <c r="BZ487" s="798"/>
      <c r="CA487" s="798"/>
      <c r="CB487" s="798"/>
      <c r="CC487" s="798"/>
      <c r="CD487" s="798"/>
      <c r="CE487" s="798"/>
      <c r="CF487" s="798"/>
      <c r="CG487" s="798"/>
      <c r="CH487" s="798"/>
      <c r="CI487" s="798"/>
      <c r="CJ487" s="798"/>
      <c r="CK487" s="798"/>
      <c r="CL487" s="798"/>
      <c r="CM487" s="798"/>
      <c r="CN487" s="798"/>
      <c r="CO487" s="798"/>
      <c r="CP487" s="798"/>
      <c r="CQ487" s="798"/>
      <c r="CR487" s="798"/>
      <c r="CS487" s="798"/>
      <c r="CT487" s="798"/>
      <c r="CU487" s="798"/>
      <c r="CV487" s="798"/>
      <c r="CW487" s="798"/>
      <c r="CX487" s="798"/>
      <c r="CY487" s="798"/>
      <c r="CZ487" s="798"/>
      <c r="DA487" s="798"/>
      <c r="DB487" s="798"/>
      <c r="DC487" s="798"/>
      <c r="DD487" s="798"/>
      <c r="DE487" s="798"/>
      <c r="DF487" s="798"/>
      <c r="DG487" s="798"/>
      <c r="DH487" s="798"/>
      <c r="DI487" s="798"/>
      <c r="DJ487" s="798"/>
      <c r="DK487" s="798"/>
      <c r="DL487" s="798"/>
      <c r="DM487" s="798"/>
      <c r="DN487" s="798"/>
      <c r="DO487" s="798"/>
      <c r="DP487" s="798"/>
      <c r="DQ487" s="798"/>
      <c r="DR487" s="798"/>
      <c r="DS487" s="798"/>
      <c r="DT487" s="798"/>
      <c r="DU487" s="798"/>
      <c r="DV487" s="798"/>
      <c r="DW487" s="798"/>
      <c r="DX487" s="798"/>
      <c r="DY487" s="798"/>
      <c r="DZ487" s="798"/>
      <c r="EA487" s="798"/>
      <c r="EB487" s="798"/>
      <c r="EC487" s="798"/>
      <c r="ED487" s="798"/>
      <c r="EE487" s="798"/>
      <c r="EF487" s="798"/>
      <c r="EG487" s="798"/>
      <c r="EH487" s="782"/>
    </row>
    <row r="488" spans="1:138" ht="12.75" customHeight="1" x14ac:dyDescent="0.3">
      <c r="A488" s="782"/>
      <c r="B488" s="782" t="s">
        <v>191</v>
      </c>
      <c r="C488" s="798">
        <f>+SUM(E488:M488)</f>
        <v>6868726.7816661661</v>
      </c>
      <c r="D488" s="782"/>
      <c r="E488" s="798">
        <f>+-E475</f>
        <v>0</v>
      </c>
      <c r="F488" s="798">
        <f t="shared" ref="F488:M489" si="333">+-F475</f>
        <v>0</v>
      </c>
      <c r="G488" s="798">
        <f t="shared" si="333"/>
        <v>0</v>
      </c>
      <c r="H488" s="798">
        <f t="shared" si="333"/>
        <v>6868726.7816661661</v>
      </c>
      <c r="I488" s="798">
        <f t="shared" si="333"/>
        <v>0</v>
      </c>
      <c r="J488" s="798">
        <f t="shared" si="333"/>
        <v>0</v>
      </c>
      <c r="K488" s="798">
        <f t="shared" si="333"/>
        <v>0</v>
      </c>
      <c r="L488" s="798">
        <f t="shared" si="333"/>
        <v>0</v>
      </c>
      <c r="M488" s="798">
        <f t="shared" si="333"/>
        <v>0</v>
      </c>
      <c r="N488" s="798"/>
      <c r="O488" s="1395">
        <f>+C488-C362</f>
        <v>0</v>
      </c>
      <c r="P488" s="798"/>
      <c r="Q488" s="798"/>
      <c r="R488" s="798"/>
      <c r="S488" s="798"/>
      <c r="T488" s="798"/>
      <c r="U488" s="798"/>
      <c r="V488" s="798"/>
      <c r="W488" s="798"/>
      <c r="X488" s="798"/>
      <c r="Y488" s="798"/>
      <c r="Z488" s="798"/>
      <c r="AA488" s="798"/>
      <c r="AB488" s="798"/>
      <c r="AC488" s="798"/>
      <c r="AD488" s="798"/>
      <c r="AE488" s="798"/>
      <c r="AF488" s="798"/>
      <c r="AG488" s="798"/>
      <c r="AH488" s="798"/>
      <c r="AI488" s="798"/>
      <c r="AJ488" s="798"/>
      <c r="AK488" s="798"/>
      <c r="AL488" s="798"/>
      <c r="AM488" s="798"/>
      <c r="AN488" s="798"/>
      <c r="AO488" s="798"/>
      <c r="AP488" s="798"/>
      <c r="AQ488" s="798"/>
      <c r="AR488" s="798"/>
      <c r="AS488" s="798"/>
      <c r="AT488" s="798"/>
      <c r="AU488" s="798"/>
      <c r="AV488" s="798"/>
      <c r="AW488" s="798"/>
      <c r="AX488" s="798"/>
      <c r="AY488" s="798"/>
      <c r="AZ488" s="798"/>
      <c r="BA488" s="798"/>
      <c r="BB488" s="798"/>
      <c r="BC488" s="798"/>
      <c r="BD488" s="798"/>
      <c r="BE488" s="798"/>
      <c r="BF488" s="798"/>
      <c r="BG488" s="798"/>
      <c r="BH488" s="798"/>
      <c r="BI488" s="798"/>
      <c r="BJ488" s="798"/>
      <c r="BK488" s="798"/>
      <c r="BL488" s="798"/>
      <c r="BM488" s="798"/>
      <c r="BN488" s="798"/>
      <c r="BO488" s="798"/>
      <c r="BP488" s="798"/>
      <c r="BQ488" s="798"/>
      <c r="BR488" s="798"/>
      <c r="BS488" s="798"/>
      <c r="BT488" s="798"/>
      <c r="BU488" s="798"/>
      <c r="BV488" s="798"/>
      <c r="BW488" s="798"/>
      <c r="BX488" s="798"/>
      <c r="BY488" s="798"/>
      <c r="BZ488" s="798"/>
      <c r="CA488" s="798"/>
      <c r="CB488" s="798"/>
      <c r="CC488" s="798"/>
      <c r="CD488" s="798"/>
      <c r="CE488" s="798"/>
      <c r="CF488" s="798"/>
      <c r="CG488" s="798"/>
      <c r="CH488" s="798"/>
      <c r="CI488" s="798"/>
      <c r="CJ488" s="798"/>
      <c r="CK488" s="798"/>
      <c r="CL488" s="798"/>
      <c r="CM488" s="798"/>
      <c r="CN488" s="798"/>
      <c r="CO488" s="798"/>
      <c r="CP488" s="798"/>
      <c r="CQ488" s="798"/>
      <c r="CR488" s="798"/>
      <c r="CS488" s="798"/>
      <c r="CT488" s="798"/>
      <c r="CU488" s="798"/>
      <c r="CV488" s="798"/>
      <c r="CW488" s="798"/>
      <c r="CX488" s="798"/>
      <c r="CY488" s="798"/>
      <c r="CZ488" s="798"/>
      <c r="DA488" s="798"/>
      <c r="DB488" s="798"/>
      <c r="DC488" s="798"/>
      <c r="DD488" s="798"/>
      <c r="DE488" s="798"/>
      <c r="DF488" s="798"/>
      <c r="DG488" s="798"/>
      <c r="DH488" s="798"/>
      <c r="DI488" s="798"/>
      <c r="DJ488" s="798"/>
      <c r="DK488" s="798"/>
      <c r="DL488" s="798"/>
      <c r="DM488" s="798"/>
      <c r="DN488" s="798"/>
      <c r="DO488" s="798"/>
      <c r="DP488" s="798"/>
      <c r="DQ488" s="798"/>
      <c r="DR488" s="798"/>
      <c r="DS488" s="798"/>
      <c r="DT488" s="798"/>
      <c r="DU488" s="798"/>
      <c r="DV488" s="798"/>
      <c r="DW488" s="798"/>
      <c r="DX488" s="798"/>
      <c r="DY488" s="798"/>
      <c r="DZ488" s="798"/>
      <c r="EA488" s="798"/>
      <c r="EB488" s="798"/>
      <c r="EC488" s="798"/>
      <c r="ED488" s="798"/>
      <c r="EE488" s="798"/>
      <c r="EF488" s="798"/>
      <c r="EG488" s="798"/>
      <c r="EH488" s="782"/>
    </row>
    <row r="489" spans="1:138" ht="12.75" customHeight="1" x14ac:dyDescent="0.3">
      <c r="A489" s="782"/>
      <c r="B489" s="782" t="s">
        <v>192</v>
      </c>
      <c r="C489" s="798">
        <f>+SUM(E489:M489)</f>
        <v>5736147.0869287392</v>
      </c>
      <c r="D489" s="782"/>
      <c r="E489" s="798">
        <f>+-E476</f>
        <v>0</v>
      </c>
      <c r="F489" s="798">
        <f t="shared" si="333"/>
        <v>0</v>
      </c>
      <c r="G489" s="798">
        <f t="shared" si="333"/>
        <v>0</v>
      </c>
      <c r="H489" s="798">
        <f t="shared" si="333"/>
        <v>0</v>
      </c>
      <c r="I489" s="798">
        <f t="shared" si="333"/>
        <v>0</v>
      </c>
      <c r="J489" s="798">
        <f t="shared" si="333"/>
        <v>0</v>
      </c>
      <c r="K489" s="798">
        <f t="shared" si="333"/>
        <v>0</v>
      </c>
      <c r="L489" s="798">
        <f t="shared" si="333"/>
        <v>0</v>
      </c>
      <c r="M489" s="798">
        <f t="shared" si="333"/>
        <v>5736147.0869287392</v>
      </c>
      <c r="N489" s="798"/>
      <c r="O489" s="1395">
        <f>+C489-C363</f>
        <v>0</v>
      </c>
      <c r="P489" s="798"/>
      <c r="Q489" s="798"/>
      <c r="R489" s="798"/>
      <c r="S489" s="798"/>
      <c r="T489" s="798"/>
      <c r="U489" s="798"/>
      <c r="V489" s="798"/>
      <c r="W489" s="798"/>
      <c r="X489" s="798"/>
      <c r="Y489" s="798"/>
      <c r="Z489" s="798"/>
      <c r="AA489" s="798"/>
      <c r="AB489" s="798"/>
      <c r="AC489" s="798"/>
      <c r="AD489" s="798"/>
      <c r="AE489" s="798"/>
      <c r="AF489" s="798"/>
      <c r="AG489" s="798"/>
      <c r="AH489" s="798"/>
      <c r="AI489" s="798"/>
      <c r="AJ489" s="798"/>
      <c r="AK489" s="798"/>
      <c r="AL489" s="798"/>
      <c r="AM489" s="798"/>
      <c r="AN489" s="798"/>
      <c r="AO489" s="798"/>
      <c r="AP489" s="798"/>
      <c r="AQ489" s="798"/>
      <c r="AR489" s="798"/>
      <c r="AS489" s="798"/>
      <c r="AT489" s="798"/>
      <c r="AU489" s="798"/>
      <c r="AV489" s="798"/>
      <c r="AW489" s="798"/>
      <c r="AX489" s="798"/>
      <c r="AY489" s="798"/>
      <c r="AZ489" s="798"/>
      <c r="BA489" s="798"/>
      <c r="BB489" s="798"/>
      <c r="BC489" s="798"/>
      <c r="BD489" s="798"/>
      <c r="BE489" s="798"/>
      <c r="BF489" s="798"/>
      <c r="BG489" s="798"/>
      <c r="BH489" s="798"/>
      <c r="BI489" s="798"/>
      <c r="BJ489" s="798"/>
      <c r="BK489" s="798"/>
      <c r="BL489" s="798"/>
      <c r="BM489" s="798"/>
      <c r="BN489" s="798"/>
      <c r="BO489" s="798"/>
      <c r="BP489" s="798"/>
      <c r="BQ489" s="798"/>
      <c r="BR489" s="798"/>
      <c r="BS489" s="798"/>
      <c r="BT489" s="798"/>
      <c r="BU489" s="798"/>
      <c r="BV489" s="798"/>
      <c r="BW489" s="798"/>
      <c r="BX489" s="798"/>
      <c r="BY489" s="798"/>
      <c r="BZ489" s="798"/>
      <c r="CA489" s="798"/>
      <c r="CB489" s="798"/>
      <c r="CC489" s="798"/>
      <c r="CD489" s="798"/>
      <c r="CE489" s="798"/>
      <c r="CF489" s="798"/>
      <c r="CG489" s="798"/>
      <c r="CH489" s="798"/>
      <c r="CI489" s="798"/>
      <c r="CJ489" s="798"/>
      <c r="CK489" s="798"/>
      <c r="CL489" s="798"/>
      <c r="CM489" s="798"/>
      <c r="CN489" s="798"/>
      <c r="CO489" s="798"/>
      <c r="CP489" s="798"/>
      <c r="CQ489" s="798"/>
      <c r="CR489" s="798"/>
      <c r="CS489" s="798"/>
      <c r="CT489" s="798"/>
      <c r="CU489" s="798"/>
      <c r="CV489" s="798"/>
      <c r="CW489" s="798"/>
      <c r="CX489" s="798"/>
      <c r="CY489" s="798"/>
      <c r="CZ489" s="798"/>
      <c r="DA489" s="798"/>
      <c r="DB489" s="798"/>
      <c r="DC489" s="798"/>
      <c r="DD489" s="798"/>
      <c r="DE489" s="798"/>
      <c r="DF489" s="798"/>
      <c r="DG489" s="798"/>
      <c r="DH489" s="798"/>
      <c r="DI489" s="798"/>
      <c r="DJ489" s="798"/>
      <c r="DK489" s="798"/>
      <c r="DL489" s="798"/>
      <c r="DM489" s="798"/>
      <c r="DN489" s="798"/>
      <c r="DO489" s="798"/>
      <c r="DP489" s="798"/>
      <c r="DQ489" s="798"/>
      <c r="DR489" s="798"/>
      <c r="DS489" s="798"/>
      <c r="DT489" s="798"/>
      <c r="DU489" s="798"/>
      <c r="DV489" s="798"/>
      <c r="DW489" s="798"/>
      <c r="DX489" s="798"/>
      <c r="DY489" s="798"/>
      <c r="DZ489" s="798"/>
      <c r="EA489" s="798"/>
      <c r="EB489" s="798"/>
      <c r="EC489" s="798"/>
      <c r="ED489" s="798"/>
      <c r="EE489" s="798"/>
      <c r="EF489" s="798"/>
      <c r="EG489" s="798"/>
      <c r="EH489" s="782"/>
    </row>
    <row r="490" spans="1:138" ht="12.75" customHeight="1" x14ac:dyDescent="0.3">
      <c r="A490" s="782"/>
      <c r="B490" s="821" t="s">
        <v>357</v>
      </c>
      <c r="C490" s="822">
        <f>SUM(C488:C489,C483)</f>
        <v>54689978.533447824</v>
      </c>
      <c r="D490" s="821"/>
      <c r="E490" s="822">
        <f>SUM(E488:E489,E483)</f>
        <v>-14740914.323232267</v>
      </c>
      <c r="F490" s="822">
        <f t="shared" ref="F490:M490" si="334">SUM(F488:F489,F483)</f>
        <v>-11878368.978644829</v>
      </c>
      <c r="G490" s="822">
        <f t="shared" si="334"/>
        <v>241879.52473545395</v>
      </c>
      <c r="H490" s="822">
        <f t="shared" si="334"/>
        <v>14680151.178413849</v>
      </c>
      <c r="I490" s="822">
        <f t="shared" si="334"/>
        <v>2024450.9111914323</v>
      </c>
      <c r="J490" s="822">
        <f t="shared" si="334"/>
        <v>2144758.1464257482</v>
      </c>
      <c r="K490" s="822">
        <f t="shared" si="334"/>
        <v>2291086.9469070565</v>
      </c>
      <c r="L490" s="822">
        <f t="shared" si="334"/>
        <v>2457342.5840766211</v>
      </c>
      <c r="M490" s="822">
        <f t="shared" si="334"/>
        <v>57469592.543574758</v>
      </c>
      <c r="N490" s="798"/>
      <c r="O490" s="1395">
        <f>+C490-C366</f>
        <v>0</v>
      </c>
      <c r="P490" s="798"/>
      <c r="Q490" s="798"/>
      <c r="R490" s="798"/>
      <c r="S490" s="798"/>
      <c r="T490" s="798"/>
      <c r="U490" s="798"/>
      <c r="V490" s="798"/>
      <c r="W490" s="798"/>
      <c r="X490" s="798"/>
      <c r="Y490" s="798"/>
      <c r="Z490" s="798"/>
      <c r="AA490" s="798"/>
      <c r="AB490" s="798"/>
      <c r="AC490" s="798"/>
      <c r="AD490" s="798"/>
      <c r="AE490" s="798"/>
      <c r="AF490" s="798"/>
      <c r="AG490" s="798"/>
      <c r="AH490" s="798"/>
      <c r="AI490" s="798"/>
      <c r="AJ490" s="798"/>
      <c r="AK490" s="798"/>
      <c r="AL490" s="798"/>
      <c r="AM490" s="798"/>
      <c r="AN490" s="798"/>
      <c r="AO490" s="798"/>
      <c r="AP490" s="798"/>
      <c r="AQ490" s="798"/>
      <c r="AR490" s="798"/>
      <c r="AS490" s="798"/>
      <c r="AT490" s="798"/>
      <c r="AU490" s="798"/>
      <c r="AV490" s="798"/>
      <c r="AW490" s="798"/>
      <c r="AX490" s="798"/>
      <c r="AY490" s="798"/>
      <c r="AZ490" s="798"/>
      <c r="BA490" s="798"/>
      <c r="BB490" s="798"/>
      <c r="BC490" s="798"/>
      <c r="BD490" s="798"/>
      <c r="BE490" s="798"/>
      <c r="BF490" s="798"/>
      <c r="BG490" s="798"/>
      <c r="BH490" s="798"/>
      <c r="BI490" s="798"/>
      <c r="BJ490" s="798"/>
      <c r="BK490" s="798"/>
      <c r="BL490" s="798"/>
      <c r="BM490" s="798"/>
      <c r="BN490" s="798"/>
      <c r="BO490" s="798"/>
      <c r="BP490" s="798"/>
      <c r="BQ490" s="798"/>
      <c r="BR490" s="798"/>
      <c r="BS490" s="798"/>
      <c r="BT490" s="798"/>
      <c r="BU490" s="798"/>
      <c r="BV490" s="798"/>
      <c r="BW490" s="798"/>
      <c r="BX490" s="798"/>
      <c r="BY490" s="798"/>
      <c r="BZ490" s="798"/>
      <c r="CA490" s="798"/>
      <c r="CB490" s="798"/>
      <c r="CC490" s="798"/>
      <c r="CD490" s="798"/>
      <c r="CE490" s="798"/>
      <c r="CF490" s="798"/>
      <c r="CG490" s="798"/>
      <c r="CH490" s="798"/>
      <c r="CI490" s="798"/>
      <c r="CJ490" s="798"/>
      <c r="CK490" s="798"/>
      <c r="CL490" s="798"/>
      <c r="CM490" s="798"/>
      <c r="CN490" s="798"/>
      <c r="CO490" s="798"/>
      <c r="CP490" s="798"/>
      <c r="CQ490" s="798"/>
      <c r="CR490" s="798"/>
      <c r="CS490" s="798"/>
      <c r="CT490" s="798"/>
      <c r="CU490" s="798"/>
      <c r="CV490" s="798"/>
      <c r="CW490" s="798"/>
      <c r="CX490" s="798"/>
      <c r="CY490" s="798"/>
      <c r="CZ490" s="798"/>
      <c r="DA490" s="798"/>
      <c r="DB490" s="798"/>
      <c r="DC490" s="798"/>
      <c r="DD490" s="798"/>
      <c r="DE490" s="798"/>
      <c r="DF490" s="798"/>
      <c r="DG490" s="798"/>
      <c r="DH490" s="798"/>
      <c r="DI490" s="798"/>
      <c r="DJ490" s="798"/>
      <c r="DK490" s="798"/>
      <c r="DL490" s="798"/>
      <c r="DM490" s="798"/>
      <c r="DN490" s="798"/>
      <c r="DO490" s="798"/>
      <c r="DP490" s="798"/>
      <c r="DQ490" s="798"/>
      <c r="DR490" s="798"/>
      <c r="DS490" s="798"/>
      <c r="DT490" s="798"/>
      <c r="DU490" s="798"/>
      <c r="DV490" s="798"/>
      <c r="DW490" s="798"/>
      <c r="DX490" s="798"/>
      <c r="DY490" s="798"/>
      <c r="DZ490" s="798"/>
      <c r="EA490" s="798"/>
      <c r="EB490" s="798"/>
      <c r="EC490" s="798"/>
      <c r="ED490" s="798"/>
      <c r="EE490" s="798"/>
      <c r="EF490" s="798"/>
      <c r="EG490" s="798"/>
      <c r="EH490" s="782"/>
    </row>
    <row r="491" spans="1:138" ht="12.75" customHeight="1" x14ac:dyDescent="0.3">
      <c r="A491" s="782"/>
      <c r="B491" s="1397" t="s">
        <v>358</v>
      </c>
      <c r="C491" s="1398">
        <f>+C367</f>
        <v>0.20637730956077577</v>
      </c>
      <c r="D491" s="782"/>
      <c r="E491" s="798"/>
      <c r="F491" s="798"/>
      <c r="G491" s="798"/>
      <c r="H491" s="798"/>
      <c r="I491" s="798"/>
      <c r="J491" s="798"/>
      <c r="K491" s="798"/>
      <c r="L491" s="798"/>
      <c r="M491" s="798"/>
      <c r="N491" s="798"/>
      <c r="O491" s="1395"/>
      <c r="P491" s="798"/>
      <c r="Q491" s="798"/>
      <c r="R491" s="798"/>
      <c r="S491" s="798"/>
      <c r="T491" s="798"/>
      <c r="U491" s="798"/>
      <c r="V491" s="798"/>
      <c r="W491" s="798"/>
      <c r="X491" s="798"/>
      <c r="Y491" s="798"/>
      <c r="Z491" s="798"/>
      <c r="AA491" s="798"/>
      <c r="AB491" s="798"/>
      <c r="AC491" s="798"/>
      <c r="AD491" s="798"/>
      <c r="AE491" s="798"/>
      <c r="AF491" s="798"/>
      <c r="AG491" s="798"/>
      <c r="AH491" s="798"/>
      <c r="AI491" s="798"/>
      <c r="AJ491" s="798"/>
      <c r="AK491" s="798"/>
      <c r="AL491" s="798"/>
      <c r="AM491" s="798"/>
      <c r="AN491" s="798"/>
      <c r="AO491" s="798"/>
      <c r="AP491" s="798"/>
      <c r="AQ491" s="798"/>
      <c r="AR491" s="798"/>
      <c r="AS491" s="798"/>
      <c r="AT491" s="798"/>
      <c r="AU491" s="798"/>
      <c r="AV491" s="798"/>
      <c r="AW491" s="798"/>
      <c r="AX491" s="798"/>
      <c r="AY491" s="798"/>
      <c r="AZ491" s="798"/>
      <c r="BA491" s="798"/>
      <c r="BB491" s="798"/>
      <c r="BC491" s="798"/>
      <c r="BD491" s="798"/>
      <c r="BE491" s="798"/>
      <c r="BF491" s="798"/>
      <c r="BG491" s="798"/>
      <c r="BH491" s="798"/>
      <c r="BI491" s="798"/>
      <c r="BJ491" s="798"/>
      <c r="BK491" s="798"/>
      <c r="BL491" s="798"/>
      <c r="BM491" s="798"/>
      <c r="BN491" s="798"/>
      <c r="BO491" s="798"/>
      <c r="BP491" s="798"/>
      <c r="BQ491" s="798"/>
      <c r="BR491" s="798"/>
      <c r="BS491" s="798"/>
      <c r="BT491" s="798"/>
      <c r="BU491" s="798"/>
      <c r="BV491" s="798"/>
      <c r="BW491" s="798"/>
      <c r="BX491" s="798"/>
      <c r="BY491" s="798"/>
      <c r="BZ491" s="798"/>
      <c r="CA491" s="798"/>
      <c r="CB491" s="798"/>
      <c r="CC491" s="798"/>
      <c r="CD491" s="798"/>
      <c r="CE491" s="798"/>
      <c r="CF491" s="798"/>
      <c r="CG491" s="798"/>
      <c r="CH491" s="798"/>
      <c r="CI491" s="798"/>
      <c r="CJ491" s="798"/>
      <c r="CK491" s="798"/>
      <c r="CL491" s="798"/>
      <c r="CM491" s="798"/>
      <c r="CN491" s="798"/>
      <c r="CO491" s="798"/>
      <c r="CP491" s="798"/>
      <c r="CQ491" s="798"/>
      <c r="CR491" s="798"/>
      <c r="CS491" s="798"/>
      <c r="CT491" s="798"/>
      <c r="CU491" s="798"/>
      <c r="CV491" s="798"/>
      <c r="CW491" s="798"/>
      <c r="CX491" s="798"/>
      <c r="CY491" s="798"/>
      <c r="CZ491" s="798"/>
      <c r="DA491" s="798"/>
      <c r="DB491" s="798"/>
      <c r="DC491" s="798"/>
      <c r="DD491" s="798"/>
      <c r="DE491" s="798"/>
      <c r="DF491" s="798"/>
      <c r="DG491" s="798"/>
      <c r="DH491" s="798"/>
      <c r="DI491" s="798"/>
      <c r="DJ491" s="798"/>
      <c r="DK491" s="798"/>
      <c r="DL491" s="798"/>
      <c r="DM491" s="798"/>
      <c r="DN491" s="798"/>
      <c r="DO491" s="798"/>
      <c r="DP491" s="798"/>
      <c r="DQ491" s="798"/>
      <c r="DR491" s="798"/>
      <c r="DS491" s="798"/>
      <c r="DT491" s="798"/>
      <c r="DU491" s="798"/>
      <c r="DV491" s="798"/>
      <c r="DW491" s="798"/>
      <c r="DX491" s="798"/>
      <c r="DY491" s="798"/>
      <c r="DZ491" s="798"/>
      <c r="EA491" s="798"/>
      <c r="EB491" s="798"/>
      <c r="EC491" s="798"/>
      <c r="ED491" s="798"/>
      <c r="EE491" s="798"/>
      <c r="EF491" s="798"/>
      <c r="EG491" s="798"/>
      <c r="EH491" s="782"/>
    </row>
    <row r="492" spans="1:138" ht="12.75" customHeight="1" x14ac:dyDescent="0.3">
      <c r="A492" s="782"/>
      <c r="B492" s="1399" t="s">
        <v>359</v>
      </c>
      <c r="C492" s="1400">
        <f>+C368</f>
        <v>3.0422656084204585</v>
      </c>
      <c r="D492" s="782"/>
      <c r="E492" s="798"/>
      <c r="F492" s="798"/>
      <c r="G492" s="798"/>
      <c r="H492" s="798"/>
      <c r="I492" s="798"/>
      <c r="J492" s="798"/>
      <c r="K492" s="798"/>
      <c r="L492" s="798"/>
      <c r="M492" s="798"/>
      <c r="N492" s="798"/>
      <c r="O492" s="1395"/>
      <c r="P492" s="798"/>
      <c r="Q492" s="798"/>
      <c r="R492" s="798"/>
      <c r="S492" s="798"/>
      <c r="T492" s="798"/>
      <c r="U492" s="798"/>
      <c r="V492" s="798"/>
      <c r="W492" s="798"/>
      <c r="X492" s="798"/>
      <c r="Y492" s="798"/>
      <c r="Z492" s="798"/>
      <c r="AA492" s="798"/>
      <c r="AB492" s="798"/>
      <c r="AC492" s="798"/>
      <c r="AD492" s="798"/>
      <c r="AE492" s="798"/>
      <c r="AF492" s="798"/>
      <c r="AG492" s="798"/>
      <c r="AH492" s="798"/>
      <c r="AI492" s="798"/>
      <c r="AJ492" s="798"/>
      <c r="AK492" s="798"/>
      <c r="AL492" s="798"/>
      <c r="AM492" s="798"/>
      <c r="AN492" s="798"/>
      <c r="AO492" s="798"/>
      <c r="AP492" s="798"/>
      <c r="AQ492" s="798"/>
      <c r="AR492" s="798"/>
      <c r="AS492" s="798"/>
      <c r="AT492" s="798"/>
      <c r="AU492" s="798"/>
      <c r="AV492" s="798"/>
      <c r="AW492" s="798"/>
      <c r="AX492" s="798"/>
      <c r="AY492" s="798"/>
      <c r="AZ492" s="798"/>
      <c r="BA492" s="798"/>
      <c r="BB492" s="798"/>
      <c r="BC492" s="798"/>
      <c r="BD492" s="798"/>
      <c r="BE492" s="798"/>
      <c r="BF492" s="798"/>
      <c r="BG492" s="798"/>
      <c r="BH492" s="798"/>
      <c r="BI492" s="798"/>
      <c r="BJ492" s="798"/>
      <c r="BK492" s="798"/>
      <c r="BL492" s="798"/>
      <c r="BM492" s="798"/>
      <c r="BN492" s="798"/>
      <c r="BO492" s="798"/>
      <c r="BP492" s="798"/>
      <c r="BQ492" s="798"/>
      <c r="BR492" s="798"/>
      <c r="BS492" s="798"/>
      <c r="BT492" s="798"/>
      <c r="BU492" s="798"/>
      <c r="BV492" s="798"/>
      <c r="BW492" s="798"/>
      <c r="BX492" s="798"/>
      <c r="BY492" s="798"/>
      <c r="BZ492" s="798"/>
      <c r="CA492" s="798"/>
      <c r="CB492" s="798"/>
      <c r="CC492" s="798"/>
      <c r="CD492" s="798"/>
      <c r="CE492" s="798"/>
      <c r="CF492" s="798"/>
      <c r="CG492" s="798"/>
      <c r="CH492" s="798"/>
      <c r="CI492" s="798"/>
      <c r="CJ492" s="798"/>
      <c r="CK492" s="798"/>
      <c r="CL492" s="798"/>
      <c r="CM492" s="798"/>
      <c r="CN492" s="798"/>
      <c r="CO492" s="798"/>
      <c r="CP492" s="798"/>
      <c r="CQ492" s="798"/>
      <c r="CR492" s="798"/>
      <c r="CS492" s="798"/>
      <c r="CT492" s="798"/>
      <c r="CU492" s="798"/>
      <c r="CV492" s="798"/>
      <c r="CW492" s="798"/>
      <c r="CX492" s="798"/>
      <c r="CY492" s="798"/>
      <c r="CZ492" s="798"/>
      <c r="DA492" s="798"/>
      <c r="DB492" s="798"/>
      <c r="DC492" s="798"/>
      <c r="DD492" s="798"/>
      <c r="DE492" s="798"/>
      <c r="DF492" s="798"/>
      <c r="DG492" s="798"/>
      <c r="DH492" s="798"/>
      <c r="DI492" s="798"/>
      <c r="DJ492" s="798"/>
      <c r="DK492" s="798"/>
      <c r="DL492" s="798"/>
      <c r="DM492" s="798"/>
      <c r="DN492" s="798"/>
      <c r="DO492" s="798"/>
      <c r="DP492" s="798"/>
      <c r="DQ492" s="798"/>
      <c r="DR492" s="798"/>
      <c r="DS492" s="798"/>
      <c r="DT492" s="798"/>
      <c r="DU492" s="798"/>
      <c r="DV492" s="798"/>
      <c r="DW492" s="798"/>
      <c r="DX492" s="798"/>
      <c r="DY492" s="798"/>
      <c r="DZ492" s="798"/>
      <c r="EA492" s="798"/>
      <c r="EB492" s="798"/>
      <c r="EC492" s="798"/>
      <c r="ED492" s="798"/>
      <c r="EE492" s="798"/>
      <c r="EF492" s="798"/>
      <c r="EG492" s="798"/>
      <c r="EH492" s="782"/>
    </row>
    <row r="493" spans="1:138" ht="12.75" customHeight="1" x14ac:dyDescent="0.3">
      <c r="A493" s="782"/>
      <c r="B493" s="782"/>
      <c r="C493" s="798"/>
      <c r="D493" s="782"/>
      <c r="E493" s="798"/>
      <c r="F493" s="798"/>
      <c r="G493" s="798"/>
      <c r="H493" s="798"/>
      <c r="I493" s="798"/>
      <c r="J493" s="798"/>
      <c r="K493" s="798"/>
      <c r="L493" s="798"/>
      <c r="M493" s="798"/>
      <c r="N493" s="798"/>
      <c r="O493" s="1395"/>
      <c r="P493" s="798"/>
      <c r="Q493" s="798"/>
      <c r="R493" s="798"/>
      <c r="S493" s="798"/>
      <c r="T493" s="798"/>
      <c r="U493" s="798"/>
      <c r="V493" s="798"/>
      <c r="W493" s="798"/>
      <c r="X493" s="798"/>
      <c r="Y493" s="798"/>
      <c r="Z493" s="798"/>
      <c r="AA493" s="798"/>
      <c r="AB493" s="798"/>
      <c r="AC493" s="798"/>
      <c r="AD493" s="798"/>
      <c r="AE493" s="798"/>
      <c r="AF493" s="798"/>
      <c r="AG493" s="798"/>
      <c r="AH493" s="798"/>
      <c r="AI493" s="798"/>
      <c r="AJ493" s="798"/>
      <c r="AK493" s="798"/>
      <c r="AL493" s="798"/>
      <c r="AM493" s="798"/>
      <c r="AN493" s="798"/>
      <c r="AO493" s="798"/>
      <c r="AP493" s="798"/>
      <c r="AQ493" s="798"/>
      <c r="AR493" s="798"/>
      <c r="AS493" s="798"/>
      <c r="AT493" s="798"/>
      <c r="AU493" s="798"/>
      <c r="AV493" s="798"/>
      <c r="AW493" s="798"/>
      <c r="AX493" s="798"/>
      <c r="AY493" s="798"/>
      <c r="AZ493" s="798"/>
      <c r="BA493" s="798"/>
      <c r="BB493" s="798"/>
      <c r="BC493" s="798"/>
      <c r="BD493" s="798"/>
      <c r="BE493" s="798"/>
      <c r="BF493" s="798"/>
      <c r="BG493" s="798"/>
      <c r="BH493" s="798"/>
      <c r="BI493" s="798"/>
      <c r="BJ493" s="798"/>
      <c r="BK493" s="798"/>
      <c r="BL493" s="798"/>
      <c r="BM493" s="798"/>
      <c r="BN493" s="798"/>
      <c r="BO493" s="798"/>
      <c r="BP493" s="798"/>
      <c r="BQ493" s="798"/>
      <c r="BR493" s="798"/>
      <c r="BS493" s="798"/>
      <c r="BT493" s="798"/>
      <c r="BU493" s="798"/>
      <c r="BV493" s="798"/>
      <c r="BW493" s="798"/>
      <c r="BX493" s="798"/>
      <c r="BY493" s="798"/>
      <c r="BZ493" s="798"/>
      <c r="CA493" s="798"/>
      <c r="CB493" s="798"/>
      <c r="CC493" s="798"/>
      <c r="CD493" s="798"/>
      <c r="CE493" s="798"/>
      <c r="CF493" s="798"/>
      <c r="CG493" s="798"/>
      <c r="CH493" s="798"/>
      <c r="CI493" s="798"/>
      <c r="CJ493" s="798"/>
      <c r="CK493" s="798"/>
      <c r="CL493" s="798"/>
      <c r="CM493" s="798"/>
      <c r="CN493" s="798"/>
      <c r="CO493" s="798"/>
      <c r="CP493" s="798"/>
      <c r="CQ493" s="798"/>
      <c r="CR493" s="798"/>
      <c r="CS493" s="798"/>
      <c r="CT493" s="798"/>
      <c r="CU493" s="798"/>
      <c r="CV493" s="798"/>
      <c r="CW493" s="798"/>
      <c r="CX493" s="798"/>
      <c r="CY493" s="798"/>
      <c r="CZ493" s="798"/>
      <c r="DA493" s="798"/>
      <c r="DB493" s="798"/>
      <c r="DC493" s="798"/>
      <c r="DD493" s="798"/>
      <c r="DE493" s="798"/>
      <c r="DF493" s="798"/>
      <c r="DG493" s="798"/>
      <c r="DH493" s="798"/>
      <c r="DI493" s="798"/>
      <c r="DJ493" s="798"/>
      <c r="DK493" s="798"/>
      <c r="DL493" s="798"/>
      <c r="DM493" s="798"/>
      <c r="DN493" s="798"/>
      <c r="DO493" s="798"/>
      <c r="DP493" s="798"/>
      <c r="DQ493" s="798"/>
      <c r="DR493" s="798"/>
      <c r="DS493" s="798"/>
      <c r="DT493" s="798"/>
      <c r="DU493" s="798"/>
      <c r="DV493" s="798"/>
      <c r="DW493" s="798"/>
      <c r="DX493" s="798"/>
      <c r="DY493" s="798"/>
      <c r="DZ493" s="798"/>
      <c r="EA493" s="798"/>
      <c r="EB493" s="798"/>
      <c r="EC493" s="798"/>
      <c r="ED493" s="798"/>
      <c r="EE493" s="798"/>
      <c r="EF493" s="798"/>
      <c r="EG493" s="798"/>
      <c r="EH493" s="782"/>
    </row>
    <row r="494" spans="1:138" ht="12.75" customHeight="1" x14ac:dyDescent="0.3">
      <c r="A494" s="782"/>
      <c r="B494" s="1392" t="s">
        <v>205</v>
      </c>
      <c r="C494" s="798"/>
      <c r="D494" s="782"/>
      <c r="E494" s="798"/>
      <c r="F494" s="798"/>
      <c r="G494" s="798"/>
      <c r="H494" s="798"/>
      <c r="I494" s="798"/>
      <c r="J494" s="798"/>
      <c r="K494" s="798"/>
      <c r="L494" s="798"/>
      <c r="M494" s="798"/>
      <c r="N494" s="798"/>
      <c r="O494" s="1395"/>
      <c r="P494" s="798"/>
      <c r="Q494" s="798"/>
      <c r="R494" s="798"/>
      <c r="S494" s="798"/>
      <c r="T494" s="798"/>
      <c r="U494" s="798"/>
      <c r="V494" s="798"/>
      <c r="W494" s="798"/>
      <c r="X494" s="798"/>
      <c r="Y494" s="798"/>
      <c r="Z494" s="798"/>
      <c r="AA494" s="798"/>
      <c r="AB494" s="798"/>
      <c r="AC494" s="798"/>
      <c r="AD494" s="798"/>
      <c r="AE494" s="798"/>
      <c r="AF494" s="798"/>
      <c r="AG494" s="798"/>
      <c r="AH494" s="798"/>
      <c r="AI494" s="798"/>
      <c r="AJ494" s="798"/>
      <c r="AK494" s="798"/>
      <c r="AL494" s="798"/>
      <c r="AM494" s="798"/>
      <c r="AN494" s="798"/>
      <c r="AO494" s="798"/>
      <c r="AP494" s="798"/>
      <c r="AQ494" s="798"/>
      <c r="AR494" s="798"/>
      <c r="AS494" s="798"/>
      <c r="AT494" s="798"/>
      <c r="AU494" s="798"/>
      <c r="AV494" s="798"/>
      <c r="AW494" s="798"/>
      <c r="AX494" s="798"/>
      <c r="AY494" s="798"/>
      <c r="AZ494" s="798"/>
      <c r="BA494" s="798"/>
      <c r="BB494" s="798"/>
      <c r="BC494" s="798"/>
      <c r="BD494" s="798"/>
      <c r="BE494" s="798"/>
      <c r="BF494" s="798"/>
      <c r="BG494" s="798"/>
      <c r="BH494" s="798"/>
      <c r="BI494" s="798"/>
      <c r="BJ494" s="798"/>
      <c r="BK494" s="798"/>
      <c r="BL494" s="798"/>
      <c r="BM494" s="798"/>
      <c r="BN494" s="798"/>
      <c r="BO494" s="798"/>
      <c r="BP494" s="798"/>
      <c r="BQ494" s="798"/>
      <c r="BR494" s="798"/>
      <c r="BS494" s="798"/>
      <c r="BT494" s="798"/>
      <c r="BU494" s="798"/>
      <c r="BV494" s="798"/>
      <c r="BW494" s="798"/>
      <c r="BX494" s="798"/>
      <c r="BY494" s="798"/>
      <c r="BZ494" s="798"/>
      <c r="CA494" s="798"/>
      <c r="CB494" s="798"/>
      <c r="CC494" s="798"/>
      <c r="CD494" s="798"/>
      <c r="CE494" s="798"/>
      <c r="CF494" s="798"/>
      <c r="CG494" s="798"/>
      <c r="CH494" s="798"/>
      <c r="CI494" s="798"/>
      <c r="CJ494" s="798"/>
      <c r="CK494" s="798"/>
      <c r="CL494" s="798"/>
      <c r="CM494" s="798"/>
      <c r="CN494" s="798"/>
      <c r="CO494" s="798"/>
      <c r="CP494" s="798"/>
      <c r="CQ494" s="798"/>
      <c r="CR494" s="798"/>
      <c r="CS494" s="798"/>
      <c r="CT494" s="798"/>
      <c r="CU494" s="798"/>
      <c r="CV494" s="798"/>
      <c r="CW494" s="798"/>
      <c r="CX494" s="798"/>
      <c r="CY494" s="798"/>
      <c r="CZ494" s="798"/>
      <c r="DA494" s="798"/>
      <c r="DB494" s="798"/>
      <c r="DC494" s="798"/>
      <c r="DD494" s="798"/>
      <c r="DE494" s="798"/>
      <c r="DF494" s="798"/>
      <c r="DG494" s="798"/>
      <c r="DH494" s="798"/>
      <c r="DI494" s="798"/>
      <c r="DJ494" s="798"/>
      <c r="DK494" s="798"/>
      <c r="DL494" s="798"/>
      <c r="DM494" s="798"/>
      <c r="DN494" s="798"/>
      <c r="DO494" s="798"/>
      <c r="DP494" s="798"/>
      <c r="DQ494" s="798"/>
      <c r="DR494" s="798"/>
      <c r="DS494" s="798"/>
      <c r="DT494" s="798"/>
      <c r="DU494" s="798"/>
      <c r="DV494" s="798"/>
      <c r="DW494" s="798"/>
      <c r="DX494" s="798"/>
      <c r="DY494" s="798"/>
      <c r="DZ494" s="798"/>
      <c r="EA494" s="798"/>
      <c r="EB494" s="798"/>
      <c r="EC494" s="798"/>
      <c r="ED494" s="798"/>
      <c r="EE494" s="798"/>
      <c r="EF494" s="798"/>
      <c r="EG494" s="798"/>
      <c r="EH494" s="782"/>
    </row>
    <row r="495" spans="1:138" ht="12.75" customHeight="1" x14ac:dyDescent="0.3">
      <c r="A495" s="782"/>
      <c r="B495" s="782" t="s">
        <v>206</v>
      </c>
      <c r="C495" s="798">
        <f>+SUM(E495:M495)</f>
        <v>2658062.4746991727</v>
      </c>
      <c r="D495" s="782"/>
      <c r="E495" s="798">
        <f>+SUMIF($E$6:$EG$6,E$451,$E371:$EG371)</f>
        <v>425289.9959518676</v>
      </c>
      <c r="F495" s="798">
        <f t="shared" ref="F495:M497" si="335">+SUMIF($E$6:$EG$6,F$451,$E371:$EG371)</f>
        <v>1275869.9878556028</v>
      </c>
      <c r="G495" s="798">
        <f t="shared" si="335"/>
        <v>956902.49089170212</v>
      </c>
      <c r="H495" s="798">
        <f t="shared" si="335"/>
        <v>0</v>
      </c>
      <c r="I495" s="798">
        <f t="shared" si="335"/>
        <v>0</v>
      </c>
      <c r="J495" s="798">
        <f t="shared" si="335"/>
        <v>0</v>
      </c>
      <c r="K495" s="798">
        <f t="shared" si="335"/>
        <v>0</v>
      </c>
      <c r="L495" s="798">
        <f t="shared" si="335"/>
        <v>0</v>
      </c>
      <c r="M495" s="798">
        <f t="shared" si="335"/>
        <v>0</v>
      </c>
      <c r="N495" s="798"/>
      <c r="O495" s="1395">
        <f>+C495-C371</f>
        <v>0</v>
      </c>
      <c r="P495" s="798"/>
      <c r="Q495" s="798"/>
      <c r="R495" s="798"/>
      <c r="S495" s="798"/>
      <c r="T495" s="798"/>
      <c r="U495" s="798"/>
      <c r="V495" s="798"/>
      <c r="W495" s="798"/>
      <c r="X495" s="798"/>
      <c r="Y495" s="798"/>
      <c r="Z495" s="798"/>
      <c r="AA495" s="798"/>
      <c r="AB495" s="798"/>
      <c r="AC495" s="798"/>
      <c r="AD495" s="798"/>
      <c r="AE495" s="798"/>
      <c r="AF495" s="798"/>
      <c r="AG495" s="798"/>
      <c r="AH495" s="798"/>
      <c r="AI495" s="798"/>
      <c r="AJ495" s="798"/>
      <c r="AK495" s="798"/>
      <c r="AL495" s="798"/>
      <c r="AM495" s="798"/>
      <c r="AN495" s="798"/>
      <c r="AO495" s="798"/>
      <c r="AP495" s="798"/>
      <c r="AQ495" s="798"/>
      <c r="AR495" s="798"/>
      <c r="AS495" s="798"/>
      <c r="AT495" s="798"/>
      <c r="AU495" s="798"/>
      <c r="AV495" s="798"/>
      <c r="AW495" s="798"/>
      <c r="AX495" s="798"/>
      <c r="AY495" s="798"/>
      <c r="AZ495" s="798"/>
      <c r="BA495" s="798"/>
      <c r="BB495" s="798"/>
      <c r="BC495" s="798"/>
      <c r="BD495" s="798"/>
      <c r="BE495" s="798"/>
      <c r="BF495" s="798"/>
      <c r="BG495" s="798"/>
      <c r="BH495" s="798"/>
      <c r="BI495" s="798"/>
      <c r="BJ495" s="798"/>
      <c r="BK495" s="798"/>
      <c r="BL495" s="798"/>
      <c r="BM495" s="798"/>
      <c r="BN495" s="798"/>
      <c r="BO495" s="798"/>
      <c r="BP495" s="798"/>
      <c r="BQ495" s="798"/>
      <c r="BR495" s="798"/>
      <c r="BS495" s="798"/>
      <c r="BT495" s="798"/>
      <c r="BU495" s="798"/>
      <c r="BV495" s="798"/>
      <c r="BW495" s="798"/>
      <c r="BX495" s="798"/>
      <c r="BY495" s="798"/>
      <c r="BZ495" s="798"/>
      <c r="CA495" s="798"/>
      <c r="CB495" s="798"/>
      <c r="CC495" s="798"/>
      <c r="CD495" s="798"/>
      <c r="CE495" s="798"/>
      <c r="CF495" s="798"/>
      <c r="CG495" s="798"/>
      <c r="CH495" s="798"/>
      <c r="CI495" s="798"/>
      <c r="CJ495" s="798"/>
      <c r="CK495" s="798"/>
      <c r="CL495" s="798"/>
      <c r="CM495" s="798"/>
      <c r="CN495" s="798"/>
      <c r="CO495" s="798"/>
      <c r="CP495" s="798"/>
      <c r="CQ495" s="798"/>
      <c r="CR495" s="798"/>
      <c r="CS495" s="798"/>
      <c r="CT495" s="798"/>
      <c r="CU495" s="798"/>
      <c r="CV495" s="798"/>
      <c r="CW495" s="798"/>
      <c r="CX495" s="798"/>
      <c r="CY495" s="798"/>
      <c r="CZ495" s="798"/>
      <c r="DA495" s="798"/>
      <c r="DB495" s="798"/>
      <c r="DC495" s="798"/>
      <c r="DD495" s="798"/>
      <c r="DE495" s="798"/>
      <c r="DF495" s="798"/>
      <c r="DG495" s="798"/>
      <c r="DH495" s="798"/>
      <c r="DI495" s="798"/>
      <c r="DJ495" s="798"/>
      <c r="DK495" s="798"/>
      <c r="DL495" s="798"/>
      <c r="DM495" s="798"/>
      <c r="DN495" s="798"/>
      <c r="DO495" s="798"/>
      <c r="DP495" s="798"/>
      <c r="DQ495" s="798"/>
      <c r="DR495" s="798"/>
      <c r="DS495" s="798"/>
      <c r="DT495" s="798"/>
      <c r="DU495" s="798"/>
      <c r="DV495" s="798"/>
      <c r="DW495" s="798"/>
      <c r="DX495" s="798"/>
      <c r="DY495" s="798"/>
      <c r="DZ495" s="798"/>
      <c r="EA495" s="798"/>
      <c r="EB495" s="798"/>
      <c r="EC495" s="798"/>
      <c r="ED495" s="798"/>
      <c r="EE495" s="798"/>
      <c r="EF495" s="798"/>
      <c r="EG495" s="798"/>
      <c r="EH495" s="782"/>
    </row>
    <row r="496" spans="1:138" ht="12.75" customHeight="1" x14ac:dyDescent="0.3">
      <c r="A496" s="782"/>
      <c r="B496" s="782" t="s">
        <v>207</v>
      </c>
      <c r="C496" s="798">
        <f>+SUM(E496:M496)</f>
        <v>1644861.2200535042</v>
      </c>
      <c r="D496" s="782"/>
      <c r="E496" s="798">
        <f>+SUMIF($E$6:$EG$6,E$451,$E372:$EG372)</f>
        <v>0</v>
      </c>
      <c r="F496" s="798">
        <f t="shared" si="335"/>
        <v>30000</v>
      </c>
      <c r="G496" s="798">
        <f t="shared" si="335"/>
        <v>151129.31256509683</v>
      </c>
      <c r="H496" s="798">
        <f t="shared" si="335"/>
        <v>234778.89642683745</v>
      </c>
      <c r="I496" s="798">
        <f t="shared" si="335"/>
        <v>245469.67813013992</v>
      </c>
      <c r="J496" s="798">
        <f t="shared" si="335"/>
        <v>254374.56848184575</v>
      </c>
      <c r="K496" s="798">
        <f t="shared" si="335"/>
        <v>264426.87461171672</v>
      </c>
      <c r="L496" s="798">
        <f t="shared" si="335"/>
        <v>275143.41549871553</v>
      </c>
      <c r="M496" s="798">
        <f t="shared" si="335"/>
        <v>189538.47433915205</v>
      </c>
      <c r="N496" s="798"/>
      <c r="O496" s="1395">
        <f>+C496-C372</f>
        <v>0</v>
      </c>
      <c r="P496" s="798"/>
      <c r="Q496" s="798"/>
      <c r="R496" s="798"/>
      <c r="S496" s="798"/>
      <c r="T496" s="798"/>
      <c r="U496" s="798"/>
      <c r="V496" s="798"/>
      <c r="W496" s="798"/>
      <c r="X496" s="798"/>
      <c r="Y496" s="798"/>
      <c r="Z496" s="798"/>
      <c r="AA496" s="798"/>
      <c r="AB496" s="798"/>
      <c r="AC496" s="798"/>
      <c r="AD496" s="798"/>
      <c r="AE496" s="798"/>
      <c r="AF496" s="798"/>
      <c r="AG496" s="798"/>
      <c r="AH496" s="798"/>
      <c r="AI496" s="798"/>
      <c r="AJ496" s="798"/>
      <c r="AK496" s="798"/>
      <c r="AL496" s="798"/>
      <c r="AM496" s="798"/>
      <c r="AN496" s="798"/>
      <c r="AO496" s="798"/>
      <c r="AP496" s="798"/>
      <c r="AQ496" s="798"/>
      <c r="AR496" s="798"/>
      <c r="AS496" s="798"/>
      <c r="AT496" s="798"/>
      <c r="AU496" s="798"/>
      <c r="AV496" s="798"/>
      <c r="AW496" s="798"/>
      <c r="AX496" s="798"/>
      <c r="AY496" s="798"/>
      <c r="AZ496" s="798"/>
      <c r="BA496" s="798"/>
      <c r="BB496" s="798"/>
      <c r="BC496" s="798"/>
      <c r="BD496" s="798"/>
      <c r="BE496" s="798"/>
      <c r="BF496" s="798"/>
      <c r="BG496" s="798"/>
      <c r="BH496" s="798"/>
      <c r="BI496" s="798"/>
      <c r="BJ496" s="798"/>
      <c r="BK496" s="798"/>
      <c r="BL496" s="798"/>
      <c r="BM496" s="798"/>
      <c r="BN496" s="798"/>
      <c r="BO496" s="798"/>
      <c r="BP496" s="798"/>
      <c r="BQ496" s="798"/>
      <c r="BR496" s="798"/>
      <c r="BS496" s="798"/>
      <c r="BT496" s="798"/>
      <c r="BU496" s="798"/>
      <c r="BV496" s="798"/>
      <c r="BW496" s="798"/>
      <c r="BX496" s="798"/>
      <c r="BY496" s="798"/>
      <c r="BZ496" s="798"/>
      <c r="CA496" s="798"/>
      <c r="CB496" s="798"/>
      <c r="CC496" s="798"/>
      <c r="CD496" s="798"/>
      <c r="CE496" s="798"/>
      <c r="CF496" s="798"/>
      <c r="CG496" s="798"/>
      <c r="CH496" s="798"/>
      <c r="CI496" s="798"/>
      <c r="CJ496" s="798"/>
      <c r="CK496" s="798"/>
      <c r="CL496" s="798"/>
      <c r="CM496" s="798"/>
      <c r="CN496" s="798"/>
      <c r="CO496" s="798"/>
      <c r="CP496" s="798"/>
      <c r="CQ496" s="798"/>
      <c r="CR496" s="798"/>
      <c r="CS496" s="798"/>
      <c r="CT496" s="798"/>
      <c r="CU496" s="798"/>
      <c r="CV496" s="798"/>
      <c r="CW496" s="798"/>
      <c r="CX496" s="798"/>
      <c r="CY496" s="798"/>
      <c r="CZ496" s="798"/>
      <c r="DA496" s="798"/>
      <c r="DB496" s="798"/>
      <c r="DC496" s="798"/>
      <c r="DD496" s="798"/>
      <c r="DE496" s="798"/>
      <c r="DF496" s="798"/>
      <c r="DG496" s="798"/>
      <c r="DH496" s="798"/>
      <c r="DI496" s="798"/>
      <c r="DJ496" s="798"/>
      <c r="DK496" s="798"/>
      <c r="DL496" s="798"/>
      <c r="DM496" s="798"/>
      <c r="DN496" s="798"/>
      <c r="DO496" s="798"/>
      <c r="DP496" s="798"/>
      <c r="DQ496" s="798"/>
      <c r="DR496" s="798"/>
      <c r="DS496" s="798"/>
      <c r="DT496" s="798"/>
      <c r="DU496" s="798"/>
      <c r="DV496" s="798"/>
      <c r="DW496" s="798"/>
      <c r="DX496" s="798"/>
      <c r="DY496" s="798"/>
      <c r="DZ496" s="798"/>
      <c r="EA496" s="798"/>
      <c r="EB496" s="798"/>
      <c r="EC496" s="798"/>
      <c r="ED496" s="798"/>
      <c r="EE496" s="798"/>
      <c r="EF496" s="798"/>
      <c r="EG496" s="798"/>
      <c r="EH496" s="782"/>
    </row>
    <row r="497" spans="1:138" ht="12.75" customHeight="1" x14ac:dyDescent="0.3">
      <c r="A497" s="782"/>
      <c r="B497" s="782" t="s">
        <v>208</v>
      </c>
      <c r="C497" s="798">
        <f>+SUM(E497:M497)</f>
        <v>3022291.0014259894</v>
      </c>
      <c r="D497" s="782"/>
      <c r="E497" s="798">
        <f>+SUMIF($E$6:$EG$6,E$451,$E373:$EG373)</f>
        <v>18043.066964297526</v>
      </c>
      <c r="F497" s="798">
        <f t="shared" si="335"/>
        <v>140481.65283539874</v>
      </c>
      <c r="G497" s="798">
        <f t="shared" si="335"/>
        <v>279261.93302174163</v>
      </c>
      <c r="H497" s="798">
        <f t="shared" si="335"/>
        <v>382232.37293500005</v>
      </c>
      <c r="I497" s="798">
        <f t="shared" si="335"/>
        <v>437147.20327173785</v>
      </c>
      <c r="J497" s="798">
        <f t="shared" si="335"/>
        <v>454433.94199882599</v>
      </c>
      <c r="K497" s="798">
        <f t="shared" si="335"/>
        <v>474111.79547916248</v>
      </c>
      <c r="L497" s="798">
        <f t="shared" si="335"/>
        <v>494792.85035121744</v>
      </c>
      <c r="M497" s="798">
        <f t="shared" si="335"/>
        <v>341786.18456860766</v>
      </c>
      <c r="N497" s="798"/>
      <c r="O497" s="1395">
        <f>+C497-C373</f>
        <v>0</v>
      </c>
      <c r="P497" s="798"/>
      <c r="Q497" s="798"/>
      <c r="R497" s="798"/>
      <c r="S497" s="798"/>
      <c r="T497" s="798"/>
      <c r="U497" s="798"/>
      <c r="V497" s="798"/>
      <c r="W497" s="798"/>
      <c r="X497" s="798"/>
      <c r="Y497" s="798"/>
      <c r="Z497" s="798"/>
      <c r="AA497" s="798"/>
      <c r="AB497" s="798"/>
      <c r="AC497" s="798"/>
      <c r="AD497" s="798"/>
      <c r="AE497" s="798"/>
      <c r="AF497" s="798"/>
      <c r="AG497" s="798"/>
      <c r="AH497" s="798"/>
      <c r="AI497" s="798"/>
      <c r="AJ497" s="798"/>
      <c r="AK497" s="798"/>
      <c r="AL497" s="798"/>
      <c r="AM497" s="798"/>
      <c r="AN497" s="798"/>
      <c r="AO497" s="798"/>
      <c r="AP497" s="798"/>
      <c r="AQ497" s="798"/>
      <c r="AR497" s="798"/>
      <c r="AS497" s="798"/>
      <c r="AT497" s="798"/>
      <c r="AU497" s="798"/>
      <c r="AV497" s="798"/>
      <c r="AW497" s="798"/>
      <c r="AX497" s="798"/>
      <c r="AY497" s="798"/>
      <c r="AZ497" s="798"/>
      <c r="BA497" s="798"/>
      <c r="BB497" s="798"/>
      <c r="BC497" s="798"/>
      <c r="BD497" s="798"/>
      <c r="BE497" s="798"/>
      <c r="BF497" s="798"/>
      <c r="BG497" s="798"/>
      <c r="BH497" s="798"/>
      <c r="BI497" s="798"/>
      <c r="BJ497" s="798"/>
      <c r="BK497" s="798"/>
      <c r="BL497" s="798"/>
      <c r="BM497" s="798"/>
      <c r="BN497" s="798"/>
      <c r="BO497" s="798"/>
      <c r="BP497" s="798"/>
      <c r="BQ497" s="798"/>
      <c r="BR497" s="798"/>
      <c r="BS497" s="798"/>
      <c r="BT497" s="798"/>
      <c r="BU497" s="798"/>
      <c r="BV497" s="798"/>
      <c r="BW497" s="798"/>
      <c r="BX497" s="798"/>
      <c r="BY497" s="798"/>
      <c r="BZ497" s="798"/>
      <c r="CA497" s="798"/>
      <c r="CB497" s="798"/>
      <c r="CC497" s="798"/>
      <c r="CD497" s="798"/>
      <c r="CE497" s="798"/>
      <c r="CF497" s="798"/>
      <c r="CG497" s="798"/>
      <c r="CH497" s="798"/>
      <c r="CI497" s="798"/>
      <c r="CJ497" s="798"/>
      <c r="CK497" s="798"/>
      <c r="CL497" s="798"/>
      <c r="CM497" s="798"/>
      <c r="CN497" s="798"/>
      <c r="CO497" s="798"/>
      <c r="CP497" s="798"/>
      <c r="CQ497" s="798"/>
      <c r="CR497" s="798"/>
      <c r="CS497" s="798"/>
      <c r="CT497" s="798"/>
      <c r="CU497" s="798"/>
      <c r="CV497" s="798"/>
      <c r="CW497" s="798"/>
      <c r="CX497" s="798"/>
      <c r="CY497" s="798"/>
      <c r="CZ497" s="798"/>
      <c r="DA497" s="798"/>
      <c r="DB497" s="798"/>
      <c r="DC497" s="798"/>
      <c r="DD497" s="798"/>
      <c r="DE497" s="798"/>
      <c r="DF497" s="798"/>
      <c r="DG497" s="798"/>
      <c r="DH497" s="798"/>
      <c r="DI497" s="798"/>
      <c r="DJ497" s="798"/>
      <c r="DK497" s="798"/>
      <c r="DL497" s="798"/>
      <c r="DM497" s="798"/>
      <c r="DN497" s="798"/>
      <c r="DO497" s="798"/>
      <c r="DP497" s="798"/>
      <c r="DQ497" s="798"/>
      <c r="DR497" s="798"/>
      <c r="DS497" s="798"/>
      <c r="DT497" s="798"/>
      <c r="DU497" s="798"/>
      <c r="DV497" s="798"/>
      <c r="DW497" s="798"/>
      <c r="DX497" s="798"/>
      <c r="DY497" s="798"/>
      <c r="DZ497" s="798"/>
      <c r="EA497" s="798"/>
      <c r="EB497" s="798"/>
      <c r="EC497" s="798"/>
      <c r="ED497" s="798"/>
      <c r="EE497" s="798"/>
      <c r="EF497" s="798"/>
      <c r="EG497" s="798"/>
      <c r="EH497" s="782"/>
    </row>
    <row r="498" spans="1:138" ht="12.75" customHeight="1" x14ac:dyDescent="0.3">
      <c r="A498" s="782"/>
      <c r="B498" s="821" t="s">
        <v>209</v>
      </c>
      <c r="C498" s="822">
        <f>SUM(C495:C497)</f>
        <v>7325214.6961786654</v>
      </c>
      <c r="D498" s="821"/>
      <c r="E498" s="822">
        <f>SUM(E495:E497)</f>
        <v>443333.0629161651</v>
      </c>
      <c r="F498" s="822">
        <f t="shared" ref="F498:M498" si="336">SUM(F495:F497)</f>
        <v>1446351.6406910014</v>
      </c>
      <c r="G498" s="822">
        <f t="shared" si="336"/>
        <v>1387293.7364785406</v>
      </c>
      <c r="H498" s="822">
        <f t="shared" si="336"/>
        <v>617011.26936183753</v>
      </c>
      <c r="I498" s="822">
        <f t="shared" si="336"/>
        <v>682616.88140187773</v>
      </c>
      <c r="J498" s="822">
        <f t="shared" si="336"/>
        <v>708808.51048067177</v>
      </c>
      <c r="K498" s="822">
        <f t="shared" si="336"/>
        <v>738538.6700908792</v>
      </c>
      <c r="L498" s="822">
        <f t="shared" si="336"/>
        <v>769936.26584993303</v>
      </c>
      <c r="M498" s="822">
        <f t="shared" si="336"/>
        <v>531324.6589077597</v>
      </c>
      <c r="N498" s="798"/>
      <c r="O498" s="1395">
        <f>+C498-C374</f>
        <v>0</v>
      </c>
      <c r="P498" s="798"/>
      <c r="Q498" s="798"/>
      <c r="R498" s="798"/>
      <c r="S498" s="798"/>
      <c r="T498" s="798"/>
      <c r="U498" s="798"/>
      <c r="V498" s="798"/>
      <c r="W498" s="798"/>
      <c r="X498" s="798"/>
      <c r="Y498" s="798"/>
      <c r="Z498" s="798"/>
      <c r="AA498" s="798"/>
      <c r="AB498" s="798"/>
      <c r="AC498" s="798"/>
      <c r="AD498" s="798"/>
      <c r="AE498" s="798"/>
      <c r="AF498" s="798"/>
      <c r="AG498" s="798"/>
      <c r="AH498" s="798"/>
      <c r="AI498" s="798"/>
      <c r="AJ498" s="798"/>
      <c r="AK498" s="798"/>
      <c r="AL498" s="798"/>
      <c r="AM498" s="798"/>
      <c r="AN498" s="798"/>
      <c r="AO498" s="798"/>
      <c r="AP498" s="798"/>
      <c r="AQ498" s="798"/>
      <c r="AR498" s="798"/>
      <c r="AS498" s="798"/>
      <c r="AT498" s="798"/>
      <c r="AU498" s="798"/>
      <c r="AV498" s="798"/>
      <c r="AW498" s="798"/>
      <c r="AX498" s="798"/>
      <c r="AY498" s="798"/>
      <c r="AZ498" s="798"/>
      <c r="BA498" s="798"/>
      <c r="BB498" s="798"/>
      <c r="BC498" s="798"/>
      <c r="BD498" s="798"/>
      <c r="BE498" s="798"/>
      <c r="BF498" s="798"/>
      <c r="BG498" s="798"/>
      <c r="BH498" s="798"/>
      <c r="BI498" s="798"/>
      <c r="BJ498" s="798"/>
      <c r="BK498" s="798"/>
      <c r="BL498" s="798"/>
      <c r="BM498" s="798"/>
      <c r="BN498" s="798"/>
      <c r="BO498" s="798"/>
      <c r="BP498" s="798"/>
      <c r="BQ498" s="798"/>
      <c r="BR498" s="798"/>
      <c r="BS498" s="798"/>
      <c r="BT498" s="798"/>
      <c r="BU498" s="798"/>
      <c r="BV498" s="798"/>
      <c r="BW498" s="798"/>
      <c r="BX498" s="798"/>
      <c r="BY498" s="798"/>
      <c r="BZ498" s="798"/>
      <c r="CA498" s="798"/>
      <c r="CB498" s="798"/>
      <c r="CC498" s="798"/>
      <c r="CD498" s="798"/>
      <c r="CE498" s="798"/>
      <c r="CF498" s="798"/>
      <c r="CG498" s="798"/>
      <c r="CH498" s="798"/>
      <c r="CI498" s="798"/>
      <c r="CJ498" s="798"/>
      <c r="CK498" s="798"/>
      <c r="CL498" s="798"/>
      <c r="CM498" s="798"/>
      <c r="CN498" s="798"/>
      <c r="CO498" s="798"/>
      <c r="CP498" s="798"/>
      <c r="CQ498" s="798"/>
      <c r="CR498" s="798"/>
      <c r="CS498" s="798"/>
      <c r="CT498" s="798"/>
      <c r="CU498" s="798"/>
      <c r="CV498" s="798"/>
      <c r="CW498" s="798"/>
      <c r="CX498" s="798"/>
      <c r="CY498" s="798"/>
      <c r="CZ498" s="798"/>
      <c r="DA498" s="798"/>
      <c r="DB498" s="798"/>
      <c r="DC498" s="798"/>
      <c r="DD498" s="798"/>
      <c r="DE498" s="798"/>
      <c r="DF498" s="798"/>
      <c r="DG498" s="798"/>
      <c r="DH498" s="798"/>
      <c r="DI498" s="798"/>
      <c r="DJ498" s="798"/>
      <c r="DK498" s="798"/>
      <c r="DL498" s="798"/>
      <c r="DM498" s="798"/>
      <c r="DN498" s="798"/>
      <c r="DO498" s="798"/>
      <c r="DP498" s="798"/>
      <c r="DQ498" s="798"/>
      <c r="DR498" s="798"/>
      <c r="DS498" s="798"/>
      <c r="DT498" s="798"/>
      <c r="DU498" s="798"/>
      <c r="DV498" s="798"/>
      <c r="DW498" s="798"/>
      <c r="DX498" s="798"/>
      <c r="DY498" s="798"/>
      <c r="DZ498" s="798"/>
      <c r="EA498" s="798"/>
      <c r="EB498" s="798"/>
      <c r="EC498" s="798"/>
      <c r="ED498" s="798"/>
      <c r="EE498" s="798"/>
      <c r="EF498" s="798"/>
      <c r="EG498" s="798"/>
      <c r="EH498" s="782"/>
    </row>
    <row r="499" spans="1:138" ht="12.75" customHeight="1" x14ac:dyDescent="0.3">
      <c r="A499" s="782"/>
      <c r="B499" s="782"/>
      <c r="C499" s="798"/>
      <c r="D499" s="782"/>
      <c r="E499" s="798"/>
      <c r="F499" s="798"/>
      <c r="G499" s="798"/>
      <c r="H499" s="798"/>
      <c r="I499" s="798"/>
      <c r="J499" s="798"/>
      <c r="K499" s="798"/>
      <c r="L499" s="798"/>
      <c r="M499" s="798"/>
      <c r="N499" s="798"/>
      <c r="O499" s="1395"/>
      <c r="P499" s="798"/>
      <c r="Q499" s="798"/>
      <c r="R499" s="798"/>
      <c r="S499" s="798"/>
      <c r="T499" s="798"/>
      <c r="U499" s="798"/>
      <c r="V499" s="798"/>
      <c r="W499" s="798"/>
      <c r="X499" s="798"/>
      <c r="Y499" s="798"/>
      <c r="Z499" s="798"/>
      <c r="AA499" s="798"/>
      <c r="AB499" s="798"/>
      <c r="AC499" s="798"/>
      <c r="AD499" s="798"/>
      <c r="AE499" s="798"/>
      <c r="AF499" s="798"/>
      <c r="AG499" s="798"/>
      <c r="AH499" s="798"/>
      <c r="AI499" s="798"/>
      <c r="AJ499" s="798"/>
      <c r="AK499" s="798"/>
      <c r="AL499" s="798"/>
      <c r="AM499" s="798"/>
      <c r="AN499" s="798"/>
      <c r="AO499" s="798"/>
      <c r="AP499" s="798"/>
      <c r="AQ499" s="798"/>
      <c r="AR499" s="798"/>
      <c r="AS499" s="798"/>
      <c r="AT499" s="798"/>
      <c r="AU499" s="798"/>
      <c r="AV499" s="798"/>
      <c r="AW499" s="798"/>
      <c r="AX499" s="798"/>
      <c r="AY499" s="798"/>
      <c r="AZ499" s="798"/>
      <c r="BA499" s="798"/>
      <c r="BB499" s="798"/>
      <c r="BC499" s="798"/>
      <c r="BD499" s="798"/>
      <c r="BE499" s="798"/>
      <c r="BF499" s="798"/>
      <c r="BG499" s="798"/>
      <c r="BH499" s="798"/>
      <c r="BI499" s="798"/>
      <c r="BJ499" s="798"/>
      <c r="BK499" s="798"/>
      <c r="BL499" s="798"/>
      <c r="BM499" s="798"/>
      <c r="BN499" s="798"/>
      <c r="BO499" s="798"/>
      <c r="BP499" s="798"/>
      <c r="BQ499" s="798"/>
      <c r="BR499" s="798"/>
      <c r="BS499" s="798"/>
      <c r="BT499" s="798"/>
      <c r="BU499" s="798"/>
      <c r="BV499" s="798"/>
      <c r="BW499" s="798"/>
      <c r="BX499" s="798"/>
      <c r="BY499" s="798"/>
      <c r="BZ499" s="798"/>
      <c r="CA499" s="798"/>
      <c r="CB499" s="798"/>
      <c r="CC499" s="798"/>
      <c r="CD499" s="798"/>
      <c r="CE499" s="798"/>
      <c r="CF499" s="798"/>
      <c r="CG499" s="798"/>
      <c r="CH499" s="798"/>
      <c r="CI499" s="798"/>
      <c r="CJ499" s="798"/>
      <c r="CK499" s="798"/>
      <c r="CL499" s="798"/>
      <c r="CM499" s="798"/>
      <c r="CN499" s="798"/>
      <c r="CO499" s="798"/>
      <c r="CP499" s="798"/>
      <c r="CQ499" s="798"/>
      <c r="CR499" s="798"/>
      <c r="CS499" s="798"/>
      <c r="CT499" s="798"/>
      <c r="CU499" s="798"/>
      <c r="CV499" s="798"/>
      <c r="CW499" s="798"/>
      <c r="CX499" s="798"/>
      <c r="CY499" s="798"/>
      <c r="CZ499" s="798"/>
      <c r="DA499" s="798"/>
      <c r="DB499" s="798"/>
      <c r="DC499" s="798"/>
      <c r="DD499" s="798"/>
      <c r="DE499" s="798"/>
      <c r="DF499" s="798"/>
      <c r="DG499" s="798"/>
      <c r="DH499" s="798"/>
      <c r="DI499" s="798"/>
      <c r="DJ499" s="798"/>
      <c r="DK499" s="798"/>
      <c r="DL499" s="798"/>
      <c r="DM499" s="798"/>
      <c r="DN499" s="798"/>
      <c r="DO499" s="798"/>
      <c r="DP499" s="798"/>
      <c r="DQ499" s="798"/>
      <c r="DR499" s="798"/>
      <c r="DS499" s="798"/>
      <c r="DT499" s="798"/>
      <c r="DU499" s="798"/>
      <c r="DV499" s="798"/>
      <c r="DW499" s="798"/>
      <c r="DX499" s="798"/>
      <c r="DY499" s="798"/>
      <c r="DZ499" s="798"/>
      <c r="EA499" s="798"/>
      <c r="EB499" s="798"/>
      <c r="EC499" s="798"/>
      <c r="ED499" s="798"/>
      <c r="EE499" s="798"/>
      <c r="EF499" s="798"/>
      <c r="EG499" s="798"/>
      <c r="EH499" s="782"/>
    </row>
    <row r="500" spans="1:138" ht="12.75" customHeight="1" x14ac:dyDescent="0.3">
      <c r="A500" s="782"/>
      <c r="B500" s="782" t="s">
        <v>210</v>
      </c>
      <c r="C500" s="798">
        <f>+SUM(E500:M500)</f>
        <v>19930088.564773571</v>
      </c>
      <c r="D500" s="782"/>
      <c r="E500" s="798">
        <f>+E498+SUM(E488:E489)</f>
        <v>443333.0629161651</v>
      </c>
      <c r="F500" s="798">
        <f t="shared" ref="F500:M500" si="337">+F498+SUM(F488:F489)</f>
        <v>1446351.6406910014</v>
      </c>
      <c r="G500" s="798">
        <f t="shared" si="337"/>
        <v>1387293.7364785406</v>
      </c>
      <c r="H500" s="798">
        <f t="shared" si="337"/>
        <v>7485738.0510280039</v>
      </c>
      <c r="I500" s="798">
        <f t="shared" si="337"/>
        <v>682616.88140187773</v>
      </c>
      <c r="J500" s="798">
        <f t="shared" si="337"/>
        <v>708808.51048067177</v>
      </c>
      <c r="K500" s="798">
        <f t="shared" si="337"/>
        <v>738538.6700908792</v>
      </c>
      <c r="L500" s="798">
        <f t="shared" si="337"/>
        <v>769936.26584993303</v>
      </c>
      <c r="M500" s="798">
        <f t="shared" si="337"/>
        <v>6267471.7458364991</v>
      </c>
      <c r="N500" s="798"/>
      <c r="O500" s="1395">
        <f>+C500-C376</f>
        <v>0</v>
      </c>
      <c r="P500" s="798"/>
      <c r="Q500" s="798"/>
      <c r="R500" s="798"/>
      <c r="S500" s="798"/>
      <c r="T500" s="798"/>
      <c r="U500" s="798"/>
      <c r="V500" s="798"/>
      <c r="W500" s="798"/>
      <c r="X500" s="798"/>
      <c r="Y500" s="798"/>
      <c r="Z500" s="798"/>
      <c r="AA500" s="798"/>
      <c r="AB500" s="798"/>
      <c r="AC500" s="798"/>
      <c r="AD500" s="798"/>
      <c r="AE500" s="798"/>
      <c r="AF500" s="798"/>
      <c r="AG500" s="798"/>
      <c r="AH500" s="798"/>
      <c r="AI500" s="798"/>
      <c r="AJ500" s="798"/>
      <c r="AK500" s="798"/>
      <c r="AL500" s="798"/>
      <c r="AM500" s="798"/>
      <c r="AN500" s="798"/>
      <c r="AO500" s="798"/>
      <c r="AP500" s="798"/>
      <c r="AQ500" s="798"/>
      <c r="AR500" s="798"/>
      <c r="AS500" s="798"/>
      <c r="AT500" s="798"/>
      <c r="AU500" s="798"/>
      <c r="AV500" s="798"/>
      <c r="AW500" s="798"/>
      <c r="AX500" s="798"/>
      <c r="AY500" s="798"/>
      <c r="AZ500" s="798"/>
      <c r="BA500" s="798"/>
      <c r="BB500" s="798"/>
      <c r="BC500" s="798"/>
      <c r="BD500" s="798"/>
      <c r="BE500" s="798"/>
      <c r="BF500" s="798"/>
      <c r="BG500" s="798"/>
      <c r="BH500" s="798"/>
      <c r="BI500" s="798"/>
      <c r="BJ500" s="798"/>
      <c r="BK500" s="798"/>
      <c r="BL500" s="798"/>
      <c r="BM500" s="798"/>
      <c r="BN500" s="798"/>
      <c r="BO500" s="798"/>
      <c r="BP500" s="798"/>
      <c r="BQ500" s="798"/>
      <c r="BR500" s="798"/>
      <c r="BS500" s="798"/>
      <c r="BT500" s="798"/>
      <c r="BU500" s="798"/>
      <c r="BV500" s="798"/>
      <c r="BW500" s="798"/>
      <c r="BX500" s="798"/>
      <c r="BY500" s="798"/>
      <c r="BZ500" s="798"/>
      <c r="CA500" s="798"/>
      <c r="CB500" s="798"/>
      <c r="CC500" s="798"/>
      <c r="CD500" s="798"/>
      <c r="CE500" s="798"/>
      <c r="CF500" s="798"/>
      <c r="CG500" s="798"/>
      <c r="CH500" s="798"/>
      <c r="CI500" s="798"/>
      <c r="CJ500" s="798"/>
      <c r="CK500" s="798"/>
      <c r="CL500" s="798"/>
      <c r="CM500" s="798"/>
      <c r="CN500" s="798"/>
      <c r="CO500" s="798"/>
      <c r="CP500" s="798"/>
      <c r="CQ500" s="798"/>
      <c r="CR500" s="798"/>
      <c r="CS500" s="798"/>
      <c r="CT500" s="798"/>
      <c r="CU500" s="798"/>
      <c r="CV500" s="798"/>
      <c r="CW500" s="798"/>
      <c r="CX500" s="798"/>
      <c r="CY500" s="798"/>
      <c r="CZ500" s="798"/>
      <c r="DA500" s="798"/>
      <c r="DB500" s="798"/>
      <c r="DC500" s="798"/>
      <c r="DD500" s="798"/>
      <c r="DE500" s="798"/>
      <c r="DF500" s="798"/>
      <c r="DG500" s="798"/>
      <c r="DH500" s="798"/>
      <c r="DI500" s="798"/>
      <c r="DJ500" s="798"/>
      <c r="DK500" s="798"/>
      <c r="DL500" s="798"/>
      <c r="DM500" s="798"/>
      <c r="DN500" s="798"/>
      <c r="DO500" s="798"/>
      <c r="DP500" s="798"/>
      <c r="DQ500" s="798"/>
      <c r="DR500" s="798"/>
      <c r="DS500" s="798"/>
      <c r="DT500" s="798"/>
      <c r="DU500" s="798"/>
      <c r="DV500" s="798"/>
      <c r="DW500" s="798"/>
      <c r="DX500" s="798"/>
      <c r="DY500" s="798"/>
      <c r="DZ500" s="798"/>
      <c r="EA500" s="798"/>
      <c r="EB500" s="798"/>
      <c r="EC500" s="798"/>
      <c r="ED500" s="798"/>
      <c r="EE500" s="798"/>
      <c r="EF500" s="798"/>
      <c r="EG500" s="798"/>
      <c r="EH500" s="782"/>
    </row>
    <row r="501" spans="1:138" ht="12.75" customHeight="1" x14ac:dyDescent="0.3">
      <c r="A501" s="782"/>
      <c r="B501" s="782"/>
      <c r="C501" s="798"/>
      <c r="D501" s="782"/>
      <c r="E501" s="798"/>
      <c r="F501" s="798"/>
      <c r="G501" s="798"/>
      <c r="H501" s="798"/>
      <c r="I501" s="798"/>
      <c r="J501" s="798"/>
      <c r="K501" s="798"/>
      <c r="L501" s="798"/>
      <c r="M501" s="798"/>
      <c r="N501" s="798"/>
      <c r="O501" s="1395"/>
      <c r="P501" s="798"/>
      <c r="Q501" s="798"/>
      <c r="R501" s="798"/>
      <c r="S501" s="798"/>
      <c r="T501" s="798"/>
      <c r="U501" s="798"/>
      <c r="V501" s="798"/>
      <c r="W501" s="798"/>
      <c r="X501" s="798"/>
      <c r="Y501" s="798"/>
      <c r="Z501" s="798"/>
      <c r="AA501" s="798"/>
      <c r="AB501" s="798"/>
      <c r="AC501" s="798"/>
      <c r="AD501" s="798"/>
      <c r="AE501" s="798"/>
      <c r="AF501" s="798"/>
      <c r="AG501" s="798"/>
      <c r="AH501" s="798"/>
      <c r="AI501" s="798"/>
      <c r="AJ501" s="798"/>
      <c r="AK501" s="798"/>
      <c r="AL501" s="798"/>
      <c r="AM501" s="798"/>
      <c r="AN501" s="798"/>
      <c r="AO501" s="798"/>
      <c r="AP501" s="798"/>
      <c r="AQ501" s="798"/>
      <c r="AR501" s="798"/>
      <c r="AS501" s="798"/>
      <c r="AT501" s="798"/>
      <c r="AU501" s="798"/>
      <c r="AV501" s="798"/>
      <c r="AW501" s="798"/>
      <c r="AX501" s="798"/>
      <c r="AY501" s="798"/>
      <c r="AZ501" s="798"/>
      <c r="BA501" s="798"/>
      <c r="BB501" s="798"/>
      <c r="BC501" s="798"/>
      <c r="BD501" s="798"/>
      <c r="BE501" s="798"/>
      <c r="BF501" s="798"/>
      <c r="BG501" s="798"/>
      <c r="BH501" s="798"/>
      <c r="BI501" s="798"/>
      <c r="BJ501" s="798"/>
      <c r="BK501" s="798"/>
      <c r="BL501" s="798"/>
      <c r="BM501" s="798"/>
      <c r="BN501" s="798"/>
      <c r="BO501" s="798"/>
      <c r="BP501" s="798"/>
      <c r="BQ501" s="798"/>
      <c r="BR501" s="798"/>
      <c r="BS501" s="798"/>
      <c r="BT501" s="798"/>
      <c r="BU501" s="798"/>
      <c r="BV501" s="798"/>
      <c r="BW501" s="798"/>
      <c r="BX501" s="798"/>
      <c r="BY501" s="798"/>
      <c r="BZ501" s="798"/>
      <c r="CA501" s="798"/>
      <c r="CB501" s="798"/>
      <c r="CC501" s="798"/>
      <c r="CD501" s="798"/>
      <c r="CE501" s="798"/>
      <c r="CF501" s="798"/>
      <c r="CG501" s="798"/>
      <c r="CH501" s="798"/>
      <c r="CI501" s="798"/>
      <c r="CJ501" s="798"/>
      <c r="CK501" s="798"/>
      <c r="CL501" s="798"/>
      <c r="CM501" s="798"/>
      <c r="CN501" s="798"/>
      <c r="CO501" s="798"/>
      <c r="CP501" s="798"/>
      <c r="CQ501" s="798"/>
      <c r="CR501" s="798"/>
      <c r="CS501" s="798"/>
      <c r="CT501" s="798"/>
      <c r="CU501" s="798"/>
      <c r="CV501" s="798"/>
      <c r="CW501" s="798"/>
      <c r="CX501" s="798"/>
      <c r="CY501" s="798"/>
      <c r="CZ501" s="798"/>
      <c r="DA501" s="798"/>
      <c r="DB501" s="798"/>
      <c r="DC501" s="798"/>
      <c r="DD501" s="798"/>
      <c r="DE501" s="798"/>
      <c r="DF501" s="798"/>
      <c r="DG501" s="798"/>
      <c r="DH501" s="798"/>
      <c r="DI501" s="798"/>
      <c r="DJ501" s="798"/>
      <c r="DK501" s="798"/>
      <c r="DL501" s="798"/>
      <c r="DM501" s="798"/>
      <c r="DN501" s="798"/>
      <c r="DO501" s="798"/>
      <c r="DP501" s="798"/>
      <c r="DQ501" s="798"/>
      <c r="DR501" s="798"/>
      <c r="DS501" s="798"/>
      <c r="DT501" s="798"/>
      <c r="DU501" s="798"/>
      <c r="DV501" s="798"/>
      <c r="DW501" s="798"/>
      <c r="DX501" s="798"/>
      <c r="DY501" s="798"/>
      <c r="DZ501" s="798"/>
      <c r="EA501" s="798"/>
      <c r="EB501" s="798"/>
      <c r="EC501" s="798"/>
      <c r="ED501" s="798"/>
      <c r="EE501" s="798"/>
      <c r="EF501" s="798"/>
      <c r="EG501" s="798"/>
      <c r="EH501" s="782"/>
    </row>
    <row r="502" spans="1:138" ht="12.75" customHeight="1" x14ac:dyDescent="0.3">
      <c r="A502" s="782"/>
      <c r="B502" s="1392" t="s">
        <v>211</v>
      </c>
      <c r="C502" s="798"/>
      <c r="D502" s="782"/>
      <c r="E502" s="798"/>
      <c r="F502" s="798"/>
      <c r="G502" s="798"/>
      <c r="H502" s="798"/>
      <c r="I502" s="798"/>
      <c r="J502" s="798"/>
      <c r="K502" s="798"/>
      <c r="L502" s="798"/>
      <c r="M502" s="798"/>
      <c r="N502" s="798"/>
      <c r="O502" s="1395"/>
      <c r="P502" s="798"/>
      <c r="Q502" s="798"/>
      <c r="R502" s="798"/>
      <c r="S502" s="798"/>
      <c r="T502" s="798"/>
      <c r="U502" s="798"/>
      <c r="V502" s="798"/>
      <c r="W502" s="798"/>
      <c r="X502" s="798"/>
      <c r="Y502" s="798"/>
      <c r="Z502" s="798"/>
      <c r="AA502" s="798"/>
      <c r="AB502" s="798"/>
      <c r="AC502" s="798"/>
      <c r="AD502" s="798"/>
      <c r="AE502" s="798"/>
      <c r="AF502" s="798"/>
      <c r="AG502" s="798"/>
      <c r="AH502" s="798"/>
      <c r="AI502" s="798"/>
      <c r="AJ502" s="798"/>
      <c r="AK502" s="798"/>
      <c r="AL502" s="798"/>
      <c r="AM502" s="798"/>
      <c r="AN502" s="798"/>
      <c r="AO502" s="798"/>
      <c r="AP502" s="798"/>
      <c r="AQ502" s="798"/>
      <c r="AR502" s="798"/>
      <c r="AS502" s="798"/>
      <c r="AT502" s="798"/>
      <c r="AU502" s="798"/>
      <c r="AV502" s="798"/>
      <c r="AW502" s="798"/>
      <c r="AX502" s="798"/>
      <c r="AY502" s="798"/>
      <c r="AZ502" s="798"/>
      <c r="BA502" s="798"/>
      <c r="BB502" s="798"/>
      <c r="BC502" s="798"/>
      <c r="BD502" s="798"/>
      <c r="BE502" s="798"/>
      <c r="BF502" s="798"/>
      <c r="BG502" s="798"/>
      <c r="BH502" s="798"/>
      <c r="BI502" s="798"/>
      <c r="BJ502" s="798"/>
      <c r="BK502" s="798"/>
      <c r="BL502" s="798"/>
      <c r="BM502" s="798"/>
      <c r="BN502" s="798"/>
      <c r="BO502" s="798"/>
      <c r="BP502" s="798"/>
      <c r="BQ502" s="798"/>
      <c r="BR502" s="798"/>
      <c r="BS502" s="798"/>
      <c r="BT502" s="798"/>
      <c r="BU502" s="798"/>
      <c r="BV502" s="798"/>
      <c r="BW502" s="798"/>
      <c r="BX502" s="798"/>
      <c r="BY502" s="798"/>
      <c r="BZ502" s="798"/>
      <c r="CA502" s="798"/>
      <c r="CB502" s="798"/>
      <c r="CC502" s="798"/>
      <c r="CD502" s="798"/>
      <c r="CE502" s="798"/>
      <c r="CF502" s="798"/>
      <c r="CG502" s="798"/>
      <c r="CH502" s="798"/>
      <c r="CI502" s="798"/>
      <c r="CJ502" s="798"/>
      <c r="CK502" s="798"/>
      <c r="CL502" s="798"/>
      <c r="CM502" s="798"/>
      <c r="CN502" s="798"/>
      <c r="CO502" s="798"/>
      <c r="CP502" s="798"/>
      <c r="CQ502" s="798"/>
      <c r="CR502" s="798"/>
      <c r="CS502" s="798"/>
      <c r="CT502" s="798"/>
      <c r="CU502" s="798"/>
      <c r="CV502" s="798"/>
      <c r="CW502" s="798"/>
      <c r="CX502" s="798"/>
      <c r="CY502" s="798"/>
      <c r="CZ502" s="798"/>
      <c r="DA502" s="798"/>
      <c r="DB502" s="798"/>
      <c r="DC502" s="798"/>
      <c r="DD502" s="798"/>
      <c r="DE502" s="798"/>
      <c r="DF502" s="798"/>
      <c r="DG502" s="798"/>
      <c r="DH502" s="798"/>
      <c r="DI502" s="798"/>
      <c r="DJ502" s="798"/>
      <c r="DK502" s="798"/>
      <c r="DL502" s="798"/>
      <c r="DM502" s="798"/>
      <c r="DN502" s="798"/>
      <c r="DO502" s="798"/>
      <c r="DP502" s="798"/>
      <c r="DQ502" s="798"/>
      <c r="DR502" s="798"/>
      <c r="DS502" s="798"/>
      <c r="DT502" s="798"/>
      <c r="DU502" s="798"/>
      <c r="DV502" s="798"/>
      <c r="DW502" s="798"/>
      <c r="DX502" s="798"/>
      <c r="DY502" s="798"/>
      <c r="DZ502" s="798"/>
      <c r="EA502" s="798"/>
      <c r="EB502" s="798"/>
      <c r="EC502" s="798"/>
      <c r="ED502" s="798"/>
      <c r="EE502" s="798"/>
      <c r="EF502" s="798"/>
      <c r="EG502" s="798"/>
      <c r="EH502" s="782"/>
    </row>
    <row r="503" spans="1:138" ht="12.75" customHeight="1" x14ac:dyDescent="0.3">
      <c r="A503" s="782"/>
      <c r="B503" s="782"/>
      <c r="C503" s="798"/>
      <c r="D503" s="782"/>
      <c r="E503" s="798"/>
      <c r="F503" s="798"/>
      <c r="G503" s="798"/>
      <c r="H503" s="798"/>
      <c r="I503" s="798"/>
      <c r="J503" s="798"/>
      <c r="K503" s="798"/>
      <c r="L503" s="798"/>
      <c r="M503" s="798"/>
      <c r="N503" s="798"/>
      <c r="O503" s="1395"/>
      <c r="P503" s="798"/>
      <c r="Q503" s="798"/>
      <c r="R503" s="798"/>
      <c r="S503" s="798"/>
      <c r="T503" s="798"/>
      <c r="U503" s="798"/>
      <c r="V503" s="798"/>
      <c r="W503" s="798"/>
      <c r="X503" s="798"/>
      <c r="Y503" s="798"/>
      <c r="Z503" s="798"/>
      <c r="AA503" s="798"/>
      <c r="AB503" s="798"/>
      <c r="AC503" s="798"/>
      <c r="AD503" s="798"/>
      <c r="AE503" s="798"/>
      <c r="AF503" s="798"/>
      <c r="AG503" s="798"/>
      <c r="AH503" s="798"/>
      <c r="AI503" s="798"/>
      <c r="AJ503" s="798"/>
      <c r="AK503" s="798"/>
      <c r="AL503" s="798"/>
      <c r="AM503" s="798"/>
      <c r="AN503" s="798"/>
      <c r="AO503" s="798"/>
      <c r="AP503" s="798"/>
      <c r="AQ503" s="798"/>
      <c r="AR503" s="798"/>
      <c r="AS503" s="798"/>
      <c r="AT503" s="798"/>
      <c r="AU503" s="798"/>
      <c r="AV503" s="798"/>
      <c r="AW503" s="798"/>
      <c r="AX503" s="798"/>
      <c r="AY503" s="798"/>
      <c r="AZ503" s="798"/>
      <c r="BA503" s="798"/>
      <c r="BB503" s="798"/>
      <c r="BC503" s="798"/>
      <c r="BD503" s="798"/>
      <c r="BE503" s="798"/>
      <c r="BF503" s="798"/>
      <c r="BG503" s="798"/>
      <c r="BH503" s="798"/>
      <c r="BI503" s="798"/>
      <c r="BJ503" s="798"/>
      <c r="BK503" s="798"/>
      <c r="BL503" s="798"/>
      <c r="BM503" s="798"/>
      <c r="BN503" s="798"/>
      <c r="BO503" s="798"/>
      <c r="BP503" s="798"/>
      <c r="BQ503" s="798"/>
      <c r="BR503" s="798"/>
      <c r="BS503" s="798"/>
      <c r="BT503" s="798"/>
      <c r="BU503" s="798"/>
      <c r="BV503" s="798"/>
      <c r="BW503" s="798"/>
      <c r="BX503" s="798"/>
      <c r="BY503" s="798"/>
      <c r="BZ503" s="798"/>
      <c r="CA503" s="798"/>
      <c r="CB503" s="798"/>
      <c r="CC503" s="798"/>
      <c r="CD503" s="798"/>
      <c r="CE503" s="798"/>
      <c r="CF503" s="798"/>
      <c r="CG503" s="798"/>
      <c r="CH503" s="798"/>
      <c r="CI503" s="798"/>
      <c r="CJ503" s="798"/>
      <c r="CK503" s="798"/>
      <c r="CL503" s="798"/>
      <c r="CM503" s="798"/>
      <c r="CN503" s="798"/>
      <c r="CO503" s="798"/>
      <c r="CP503" s="798"/>
      <c r="CQ503" s="798"/>
      <c r="CR503" s="798"/>
      <c r="CS503" s="798"/>
      <c r="CT503" s="798"/>
      <c r="CU503" s="798"/>
      <c r="CV503" s="798"/>
      <c r="CW503" s="798"/>
      <c r="CX503" s="798"/>
      <c r="CY503" s="798"/>
      <c r="CZ503" s="798"/>
      <c r="DA503" s="798"/>
      <c r="DB503" s="798"/>
      <c r="DC503" s="798"/>
      <c r="DD503" s="798"/>
      <c r="DE503" s="798"/>
      <c r="DF503" s="798"/>
      <c r="DG503" s="798"/>
      <c r="DH503" s="798"/>
      <c r="DI503" s="798"/>
      <c r="DJ503" s="798"/>
      <c r="DK503" s="798"/>
      <c r="DL503" s="798"/>
      <c r="DM503" s="798"/>
      <c r="DN503" s="798"/>
      <c r="DO503" s="798"/>
      <c r="DP503" s="798"/>
      <c r="DQ503" s="798"/>
      <c r="DR503" s="798"/>
      <c r="DS503" s="798"/>
      <c r="DT503" s="798"/>
      <c r="DU503" s="798"/>
      <c r="DV503" s="798"/>
      <c r="DW503" s="798"/>
      <c r="DX503" s="798"/>
      <c r="DY503" s="798"/>
      <c r="DZ503" s="798"/>
      <c r="EA503" s="798"/>
      <c r="EB503" s="798"/>
      <c r="EC503" s="798"/>
      <c r="ED503" s="798"/>
      <c r="EE503" s="798"/>
      <c r="EF503" s="798"/>
      <c r="EG503" s="798"/>
      <c r="EH503" s="782"/>
    </row>
    <row r="504" spans="1:138" ht="12.75" customHeight="1" x14ac:dyDescent="0.3">
      <c r="A504" s="782"/>
      <c r="B504" s="782" t="str">
        <f>+B483</f>
        <v>Net cash flow to Lennar LP (co-investment)</v>
      </c>
      <c r="C504" s="798">
        <f>+SUM(E504:M504)</f>
        <v>42085104.664852917</v>
      </c>
      <c r="D504" s="782"/>
      <c r="E504" s="798">
        <f>+E483</f>
        <v>-14740914.323232267</v>
      </c>
      <c r="F504" s="798">
        <f t="shared" ref="F504:M504" si="338">+F483</f>
        <v>-11878368.978644829</v>
      </c>
      <c r="G504" s="798">
        <f t="shared" si="338"/>
        <v>241879.52473545395</v>
      </c>
      <c r="H504" s="798">
        <f t="shared" si="338"/>
        <v>7811424.3967476832</v>
      </c>
      <c r="I504" s="798">
        <f t="shared" si="338"/>
        <v>2024450.9111914323</v>
      </c>
      <c r="J504" s="798">
        <f t="shared" si="338"/>
        <v>2144758.1464257482</v>
      </c>
      <c r="K504" s="798">
        <f t="shared" si="338"/>
        <v>2291086.9469070565</v>
      </c>
      <c r="L504" s="798">
        <f t="shared" si="338"/>
        <v>2457342.5840766211</v>
      </c>
      <c r="M504" s="798">
        <f t="shared" si="338"/>
        <v>51733445.456646018</v>
      </c>
      <c r="N504" s="798"/>
      <c r="O504" s="1395">
        <f>+C504-C380</f>
        <v>0</v>
      </c>
      <c r="P504" s="798"/>
      <c r="Q504" s="798"/>
      <c r="R504" s="798"/>
      <c r="S504" s="798"/>
      <c r="T504" s="798"/>
      <c r="U504" s="798"/>
      <c r="V504" s="798"/>
      <c r="W504" s="798"/>
      <c r="X504" s="798"/>
      <c r="Y504" s="798"/>
      <c r="Z504" s="798"/>
      <c r="AA504" s="798"/>
      <c r="AB504" s="798"/>
      <c r="AC504" s="798"/>
      <c r="AD504" s="798"/>
      <c r="AE504" s="798"/>
      <c r="AF504" s="798"/>
      <c r="AG504" s="798"/>
      <c r="AH504" s="798"/>
      <c r="AI504" s="798"/>
      <c r="AJ504" s="798"/>
      <c r="AK504" s="798"/>
      <c r="AL504" s="798"/>
      <c r="AM504" s="798"/>
      <c r="AN504" s="798"/>
      <c r="AO504" s="798"/>
      <c r="AP504" s="798"/>
      <c r="AQ504" s="798"/>
      <c r="AR504" s="798"/>
      <c r="AS504" s="798"/>
      <c r="AT504" s="798"/>
      <c r="AU504" s="798"/>
      <c r="AV504" s="798"/>
      <c r="AW504" s="798"/>
      <c r="AX504" s="798"/>
      <c r="AY504" s="798"/>
      <c r="AZ504" s="798"/>
      <c r="BA504" s="798"/>
      <c r="BB504" s="798"/>
      <c r="BC504" s="798"/>
      <c r="BD504" s="798"/>
      <c r="BE504" s="798"/>
      <c r="BF504" s="798"/>
      <c r="BG504" s="798"/>
      <c r="BH504" s="798"/>
      <c r="BI504" s="798"/>
      <c r="BJ504" s="798"/>
      <c r="BK504" s="798"/>
      <c r="BL504" s="798"/>
      <c r="BM504" s="798"/>
      <c r="BN504" s="798"/>
      <c r="BO504" s="798"/>
      <c r="BP504" s="798"/>
      <c r="BQ504" s="798"/>
      <c r="BR504" s="798"/>
      <c r="BS504" s="798"/>
      <c r="BT504" s="798"/>
      <c r="BU504" s="798"/>
      <c r="BV504" s="798"/>
      <c r="BW504" s="798"/>
      <c r="BX504" s="798"/>
      <c r="BY504" s="798"/>
      <c r="BZ504" s="798"/>
      <c r="CA504" s="798"/>
      <c r="CB504" s="798"/>
      <c r="CC504" s="798"/>
      <c r="CD504" s="798"/>
      <c r="CE504" s="798"/>
      <c r="CF504" s="798"/>
      <c r="CG504" s="798"/>
      <c r="CH504" s="798"/>
      <c r="CI504" s="798"/>
      <c r="CJ504" s="798"/>
      <c r="CK504" s="798"/>
      <c r="CL504" s="798"/>
      <c r="CM504" s="798"/>
      <c r="CN504" s="798"/>
      <c r="CO504" s="798"/>
      <c r="CP504" s="798"/>
      <c r="CQ504" s="798"/>
      <c r="CR504" s="798"/>
      <c r="CS504" s="798"/>
      <c r="CT504" s="798"/>
      <c r="CU504" s="798"/>
      <c r="CV504" s="798"/>
      <c r="CW504" s="798"/>
      <c r="CX504" s="798"/>
      <c r="CY504" s="798"/>
      <c r="CZ504" s="798"/>
      <c r="DA504" s="798"/>
      <c r="DB504" s="798"/>
      <c r="DC504" s="798"/>
      <c r="DD504" s="798"/>
      <c r="DE504" s="798"/>
      <c r="DF504" s="798"/>
      <c r="DG504" s="798"/>
      <c r="DH504" s="798"/>
      <c r="DI504" s="798"/>
      <c r="DJ504" s="798"/>
      <c r="DK504" s="798"/>
      <c r="DL504" s="798"/>
      <c r="DM504" s="798"/>
      <c r="DN504" s="798"/>
      <c r="DO504" s="798"/>
      <c r="DP504" s="798"/>
      <c r="DQ504" s="798"/>
      <c r="DR504" s="798"/>
      <c r="DS504" s="798"/>
      <c r="DT504" s="798"/>
      <c r="DU504" s="798"/>
      <c r="DV504" s="798"/>
      <c r="DW504" s="798"/>
      <c r="DX504" s="798"/>
      <c r="DY504" s="798"/>
      <c r="DZ504" s="798"/>
      <c r="EA504" s="798"/>
      <c r="EB504" s="798"/>
      <c r="EC504" s="798"/>
      <c r="ED504" s="798"/>
      <c r="EE504" s="798"/>
      <c r="EF504" s="798"/>
      <c r="EG504" s="798"/>
      <c r="EH504" s="782"/>
    </row>
    <row r="505" spans="1:138" ht="12.75" customHeight="1" x14ac:dyDescent="0.3">
      <c r="A505" s="782"/>
      <c r="B505" s="782" t="s">
        <v>210</v>
      </c>
      <c r="C505" s="798">
        <f>+SUM(E505:M505)</f>
        <v>19930088.564773571</v>
      </c>
      <c r="D505" s="782"/>
      <c r="E505" s="798">
        <f>+E500</f>
        <v>443333.0629161651</v>
      </c>
      <c r="F505" s="798">
        <f t="shared" ref="F505:M505" si="339">+F500</f>
        <v>1446351.6406910014</v>
      </c>
      <c r="G505" s="798">
        <f t="shared" si="339"/>
        <v>1387293.7364785406</v>
      </c>
      <c r="H505" s="798">
        <f t="shared" si="339"/>
        <v>7485738.0510280039</v>
      </c>
      <c r="I505" s="798">
        <f t="shared" si="339"/>
        <v>682616.88140187773</v>
      </c>
      <c r="J505" s="798">
        <f t="shared" si="339"/>
        <v>708808.51048067177</v>
      </c>
      <c r="K505" s="798">
        <f t="shared" si="339"/>
        <v>738538.6700908792</v>
      </c>
      <c r="L505" s="798">
        <f t="shared" si="339"/>
        <v>769936.26584993303</v>
      </c>
      <c r="M505" s="798">
        <f t="shared" si="339"/>
        <v>6267471.7458364991</v>
      </c>
      <c r="N505" s="798"/>
      <c r="O505" s="1395">
        <f>+C505-C381</f>
        <v>0</v>
      </c>
      <c r="P505" s="798"/>
      <c r="Q505" s="798"/>
      <c r="R505" s="798"/>
      <c r="S505" s="798"/>
      <c r="T505" s="798"/>
      <c r="U505" s="798"/>
      <c r="V505" s="798"/>
      <c r="W505" s="798"/>
      <c r="X505" s="798"/>
      <c r="Y505" s="798"/>
      <c r="Z505" s="798"/>
      <c r="AA505" s="798"/>
      <c r="AB505" s="798"/>
      <c r="AC505" s="798"/>
      <c r="AD505" s="798"/>
      <c r="AE505" s="798"/>
      <c r="AF505" s="798"/>
      <c r="AG505" s="798"/>
      <c r="AH505" s="798"/>
      <c r="AI505" s="798"/>
      <c r="AJ505" s="798"/>
      <c r="AK505" s="798"/>
      <c r="AL505" s="798"/>
      <c r="AM505" s="798"/>
      <c r="AN505" s="798"/>
      <c r="AO505" s="798"/>
      <c r="AP505" s="798"/>
      <c r="AQ505" s="798"/>
      <c r="AR505" s="798"/>
      <c r="AS505" s="798"/>
      <c r="AT505" s="798"/>
      <c r="AU505" s="798"/>
      <c r="AV505" s="798"/>
      <c r="AW505" s="798"/>
      <c r="AX505" s="798"/>
      <c r="AY505" s="798"/>
      <c r="AZ505" s="798"/>
      <c r="BA505" s="798"/>
      <c r="BB505" s="798"/>
      <c r="BC505" s="798"/>
      <c r="BD505" s="798"/>
      <c r="BE505" s="798"/>
      <c r="BF505" s="798"/>
      <c r="BG505" s="798"/>
      <c r="BH505" s="798"/>
      <c r="BI505" s="798"/>
      <c r="BJ505" s="798"/>
      <c r="BK505" s="798"/>
      <c r="BL505" s="798"/>
      <c r="BM505" s="798"/>
      <c r="BN505" s="798"/>
      <c r="BO505" s="798"/>
      <c r="BP505" s="798"/>
      <c r="BQ505" s="798"/>
      <c r="BR505" s="798"/>
      <c r="BS505" s="798"/>
      <c r="BT505" s="798"/>
      <c r="BU505" s="798"/>
      <c r="BV505" s="798"/>
      <c r="BW505" s="798"/>
      <c r="BX505" s="798"/>
      <c r="BY505" s="798"/>
      <c r="BZ505" s="798"/>
      <c r="CA505" s="798"/>
      <c r="CB505" s="798"/>
      <c r="CC505" s="798"/>
      <c r="CD505" s="798"/>
      <c r="CE505" s="798"/>
      <c r="CF505" s="798"/>
      <c r="CG505" s="798"/>
      <c r="CH505" s="798"/>
      <c r="CI505" s="798"/>
      <c r="CJ505" s="798"/>
      <c r="CK505" s="798"/>
      <c r="CL505" s="798"/>
      <c r="CM505" s="798"/>
      <c r="CN505" s="798"/>
      <c r="CO505" s="798"/>
      <c r="CP505" s="798"/>
      <c r="CQ505" s="798"/>
      <c r="CR505" s="798"/>
      <c r="CS505" s="798"/>
      <c r="CT505" s="798"/>
      <c r="CU505" s="798"/>
      <c r="CV505" s="798"/>
      <c r="CW505" s="798"/>
      <c r="CX505" s="798"/>
      <c r="CY505" s="798"/>
      <c r="CZ505" s="798"/>
      <c r="DA505" s="798"/>
      <c r="DB505" s="798"/>
      <c r="DC505" s="798"/>
      <c r="DD505" s="798"/>
      <c r="DE505" s="798"/>
      <c r="DF505" s="798"/>
      <c r="DG505" s="798"/>
      <c r="DH505" s="798"/>
      <c r="DI505" s="798"/>
      <c r="DJ505" s="798"/>
      <c r="DK505" s="798"/>
      <c r="DL505" s="798"/>
      <c r="DM505" s="798"/>
      <c r="DN505" s="798"/>
      <c r="DO505" s="798"/>
      <c r="DP505" s="798"/>
      <c r="DQ505" s="798"/>
      <c r="DR505" s="798"/>
      <c r="DS505" s="798"/>
      <c r="DT505" s="798"/>
      <c r="DU505" s="798"/>
      <c r="DV505" s="798"/>
      <c r="DW505" s="798"/>
      <c r="DX505" s="798"/>
      <c r="DY505" s="798"/>
      <c r="DZ505" s="798"/>
      <c r="EA505" s="798"/>
      <c r="EB505" s="798"/>
      <c r="EC505" s="798"/>
      <c r="ED505" s="798"/>
      <c r="EE505" s="798"/>
      <c r="EF505" s="798"/>
      <c r="EG505" s="798"/>
      <c r="EH505" s="782"/>
    </row>
    <row r="506" spans="1:138" ht="12.75" customHeight="1" x14ac:dyDescent="0.3">
      <c r="A506" s="782"/>
      <c r="B506" s="825" t="s">
        <v>213</v>
      </c>
      <c r="C506" s="1402">
        <f>SUM(C504:C505)</f>
        <v>62015193.229626492</v>
      </c>
      <c r="D506" s="825"/>
      <c r="E506" s="1402">
        <f>SUM(E504:E505)</f>
        <v>-14297581.260316102</v>
      </c>
      <c r="F506" s="1402">
        <f t="shared" ref="F506:M506" si="340">SUM(F504:F505)</f>
        <v>-10432017.337953828</v>
      </c>
      <c r="G506" s="1402">
        <f t="shared" si="340"/>
        <v>1629173.2612139946</v>
      </c>
      <c r="H506" s="1402">
        <f t="shared" si="340"/>
        <v>15297162.447775688</v>
      </c>
      <c r="I506" s="1402">
        <f t="shared" si="340"/>
        <v>2707067.7925933101</v>
      </c>
      <c r="J506" s="1402">
        <f t="shared" si="340"/>
        <v>2853566.6569064199</v>
      </c>
      <c r="K506" s="1402">
        <f t="shared" si="340"/>
        <v>3029625.6169979358</v>
      </c>
      <c r="L506" s="1402">
        <f t="shared" si="340"/>
        <v>3227278.8499265541</v>
      </c>
      <c r="M506" s="1402">
        <f t="shared" si="340"/>
        <v>58000917.202482514</v>
      </c>
      <c r="N506" s="798"/>
      <c r="O506" s="1395">
        <f>+C506-C382</f>
        <v>0</v>
      </c>
      <c r="P506" s="798"/>
      <c r="Q506" s="798"/>
      <c r="R506" s="798"/>
      <c r="S506" s="798"/>
      <c r="T506" s="798"/>
      <c r="U506" s="798"/>
      <c r="V506" s="798"/>
      <c r="W506" s="798"/>
      <c r="X506" s="798"/>
      <c r="Y506" s="798"/>
      <c r="Z506" s="798"/>
      <c r="AA506" s="798"/>
      <c r="AB506" s="798"/>
      <c r="AC506" s="798"/>
      <c r="AD506" s="798"/>
      <c r="AE506" s="798"/>
      <c r="AF506" s="798"/>
      <c r="AG506" s="798"/>
      <c r="AH506" s="798"/>
      <c r="AI506" s="798"/>
      <c r="AJ506" s="798"/>
      <c r="AK506" s="798"/>
      <c r="AL506" s="798"/>
      <c r="AM506" s="798"/>
      <c r="AN506" s="798"/>
      <c r="AO506" s="798"/>
      <c r="AP506" s="798"/>
      <c r="AQ506" s="798"/>
      <c r="AR506" s="798"/>
      <c r="AS506" s="798"/>
      <c r="AT506" s="798"/>
      <c r="AU506" s="798"/>
      <c r="AV506" s="798"/>
      <c r="AW506" s="798"/>
      <c r="AX506" s="798"/>
      <c r="AY506" s="798"/>
      <c r="AZ506" s="798"/>
      <c r="BA506" s="798"/>
      <c r="BB506" s="798"/>
      <c r="BC506" s="798"/>
      <c r="BD506" s="798"/>
      <c r="BE506" s="798"/>
      <c r="BF506" s="798"/>
      <c r="BG506" s="798"/>
      <c r="BH506" s="798"/>
      <c r="BI506" s="798"/>
      <c r="BJ506" s="798"/>
      <c r="BK506" s="798"/>
      <c r="BL506" s="798"/>
      <c r="BM506" s="798"/>
      <c r="BN506" s="798"/>
      <c r="BO506" s="798"/>
      <c r="BP506" s="798"/>
      <c r="BQ506" s="798"/>
      <c r="BR506" s="798"/>
      <c r="BS506" s="798"/>
      <c r="BT506" s="798"/>
      <c r="BU506" s="798"/>
      <c r="BV506" s="798"/>
      <c r="BW506" s="798"/>
      <c r="BX506" s="798"/>
      <c r="BY506" s="798"/>
      <c r="BZ506" s="798"/>
      <c r="CA506" s="798"/>
      <c r="CB506" s="798"/>
      <c r="CC506" s="798"/>
      <c r="CD506" s="798"/>
      <c r="CE506" s="798"/>
      <c r="CF506" s="798"/>
      <c r="CG506" s="798"/>
      <c r="CH506" s="798"/>
      <c r="CI506" s="798"/>
      <c r="CJ506" s="798"/>
      <c r="CK506" s="798"/>
      <c r="CL506" s="798"/>
      <c r="CM506" s="798"/>
      <c r="CN506" s="798"/>
      <c r="CO506" s="798"/>
      <c r="CP506" s="798"/>
      <c r="CQ506" s="798"/>
      <c r="CR506" s="798"/>
      <c r="CS506" s="798"/>
      <c r="CT506" s="798"/>
      <c r="CU506" s="798"/>
      <c r="CV506" s="798"/>
      <c r="CW506" s="798"/>
      <c r="CX506" s="798"/>
      <c r="CY506" s="798"/>
      <c r="CZ506" s="798"/>
      <c r="DA506" s="798"/>
      <c r="DB506" s="798"/>
      <c r="DC506" s="798"/>
      <c r="DD506" s="798"/>
      <c r="DE506" s="798"/>
      <c r="DF506" s="798"/>
      <c r="DG506" s="798"/>
      <c r="DH506" s="798"/>
      <c r="DI506" s="798"/>
      <c r="DJ506" s="798"/>
      <c r="DK506" s="798"/>
      <c r="DL506" s="798"/>
      <c r="DM506" s="798"/>
      <c r="DN506" s="798"/>
      <c r="DO506" s="798"/>
      <c r="DP506" s="798"/>
      <c r="DQ506" s="798"/>
      <c r="DR506" s="798"/>
      <c r="DS506" s="798"/>
      <c r="DT506" s="798"/>
      <c r="DU506" s="798"/>
      <c r="DV506" s="798"/>
      <c r="DW506" s="798"/>
      <c r="DX506" s="798"/>
      <c r="DY506" s="798"/>
      <c r="DZ506" s="798"/>
      <c r="EA506" s="798"/>
      <c r="EB506" s="798"/>
      <c r="EC506" s="798"/>
      <c r="ED506" s="798"/>
      <c r="EE506" s="798"/>
      <c r="EF506" s="798"/>
      <c r="EG506" s="798"/>
      <c r="EH506" s="782"/>
    </row>
    <row r="507" spans="1:138" ht="12.75" customHeight="1" x14ac:dyDescent="0.3">
      <c r="A507" s="782"/>
      <c r="B507" s="1397" t="s">
        <v>214</v>
      </c>
      <c r="C507" s="1398">
        <f>+C383</f>
        <v>0.24556238055229185</v>
      </c>
      <c r="D507" s="782"/>
      <c r="E507" s="798"/>
      <c r="F507" s="798"/>
      <c r="G507" s="798"/>
      <c r="H507" s="798"/>
      <c r="I507" s="798"/>
      <c r="J507" s="798"/>
      <c r="K507" s="798"/>
      <c r="L507" s="798"/>
      <c r="M507" s="798"/>
      <c r="N507" s="798"/>
      <c r="O507" s="1395"/>
      <c r="P507" s="798"/>
      <c r="Q507" s="798"/>
      <c r="R507" s="798"/>
      <c r="S507" s="798"/>
      <c r="T507" s="798"/>
      <c r="U507" s="798"/>
      <c r="V507" s="798"/>
      <c r="W507" s="798"/>
      <c r="X507" s="798"/>
      <c r="Y507" s="798"/>
      <c r="Z507" s="798"/>
      <c r="AA507" s="798"/>
      <c r="AB507" s="798"/>
      <c r="AC507" s="798"/>
      <c r="AD507" s="798"/>
      <c r="AE507" s="798"/>
      <c r="AF507" s="798"/>
      <c r="AG507" s="798"/>
      <c r="AH507" s="798"/>
      <c r="AI507" s="798"/>
      <c r="AJ507" s="798"/>
      <c r="AK507" s="798"/>
      <c r="AL507" s="798"/>
      <c r="AM507" s="798"/>
      <c r="AN507" s="798"/>
      <c r="AO507" s="798"/>
      <c r="AP507" s="798"/>
      <c r="AQ507" s="798"/>
      <c r="AR507" s="798"/>
      <c r="AS507" s="798"/>
      <c r="AT507" s="798"/>
      <c r="AU507" s="798"/>
      <c r="AV507" s="798"/>
      <c r="AW507" s="798"/>
      <c r="AX507" s="798"/>
      <c r="AY507" s="798"/>
      <c r="AZ507" s="798"/>
      <c r="BA507" s="798"/>
      <c r="BB507" s="798"/>
      <c r="BC507" s="798"/>
      <c r="BD507" s="798"/>
      <c r="BE507" s="798"/>
      <c r="BF507" s="798"/>
      <c r="BG507" s="798"/>
      <c r="BH507" s="798"/>
      <c r="BI507" s="798"/>
      <c r="BJ507" s="798"/>
      <c r="BK507" s="798"/>
      <c r="BL507" s="798"/>
      <c r="BM507" s="798"/>
      <c r="BN507" s="798"/>
      <c r="BO507" s="798"/>
      <c r="BP507" s="798"/>
      <c r="BQ507" s="798"/>
      <c r="BR507" s="798"/>
      <c r="BS507" s="798"/>
      <c r="BT507" s="798"/>
      <c r="BU507" s="798"/>
      <c r="BV507" s="798"/>
      <c r="BW507" s="798"/>
      <c r="BX507" s="798"/>
      <c r="BY507" s="798"/>
      <c r="BZ507" s="798"/>
      <c r="CA507" s="798"/>
      <c r="CB507" s="798"/>
      <c r="CC507" s="798"/>
      <c r="CD507" s="798"/>
      <c r="CE507" s="798"/>
      <c r="CF507" s="798"/>
      <c r="CG507" s="798"/>
      <c r="CH507" s="798"/>
      <c r="CI507" s="798"/>
      <c r="CJ507" s="798"/>
      <c r="CK507" s="798"/>
      <c r="CL507" s="798"/>
      <c r="CM507" s="798"/>
      <c r="CN507" s="798"/>
      <c r="CO507" s="798"/>
      <c r="CP507" s="798"/>
      <c r="CQ507" s="798"/>
      <c r="CR507" s="798"/>
      <c r="CS507" s="798"/>
      <c r="CT507" s="798"/>
      <c r="CU507" s="798"/>
      <c r="CV507" s="798"/>
      <c r="CW507" s="798"/>
      <c r="CX507" s="798"/>
      <c r="CY507" s="798"/>
      <c r="CZ507" s="798"/>
      <c r="DA507" s="798"/>
      <c r="DB507" s="798"/>
      <c r="DC507" s="798"/>
      <c r="DD507" s="798"/>
      <c r="DE507" s="798"/>
      <c r="DF507" s="798"/>
      <c r="DG507" s="798"/>
      <c r="DH507" s="798"/>
      <c r="DI507" s="798"/>
      <c r="DJ507" s="798"/>
      <c r="DK507" s="798"/>
      <c r="DL507" s="798"/>
      <c r="DM507" s="798"/>
      <c r="DN507" s="798"/>
      <c r="DO507" s="798"/>
      <c r="DP507" s="798"/>
      <c r="DQ507" s="798"/>
      <c r="DR507" s="798"/>
      <c r="DS507" s="798"/>
      <c r="DT507" s="798"/>
      <c r="DU507" s="798"/>
      <c r="DV507" s="798"/>
      <c r="DW507" s="798"/>
      <c r="DX507" s="798"/>
      <c r="DY507" s="798"/>
      <c r="DZ507" s="798"/>
      <c r="EA507" s="798"/>
      <c r="EB507" s="798"/>
      <c r="EC507" s="798"/>
      <c r="ED507" s="798"/>
      <c r="EE507" s="798"/>
      <c r="EF507" s="798"/>
      <c r="EG507" s="798"/>
      <c r="EH507" s="782"/>
    </row>
    <row r="508" spans="1:138" ht="12.75" customHeight="1" x14ac:dyDescent="0.3">
      <c r="A508" s="782"/>
      <c r="B508" s="1399" t="s">
        <v>204</v>
      </c>
      <c r="C508" s="1400">
        <f>+C384</f>
        <v>3.4432172837586199</v>
      </c>
      <c r="D508" s="782"/>
      <c r="E508" s="798"/>
      <c r="F508" s="798"/>
      <c r="G508" s="798"/>
      <c r="H508" s="798"/>
      <c r="I508" s="798"/>
      <c r="J508" s="798"/>
      <c r="K508" s="798"/>
      <c r="L508" s="798"/>
      <c r="M508" s="798"/>
      <c r="N508" s="798"/>
      <c r="O508" s="1395"/>
      <c r="P508" s="798"/>
      <c r="Q508" s="798"/>
      <c r="R508" s="798"/>
      <c r="S508" s="798"/>
      <c r="T508" s="798"/>
      <c r="U508" s="798"/>
      <c r="V508" s="798"/>
      <c r="W508" s="798"/>
      <c r="X508" s="798"/>
      <c r="Y508" s="798"/>
      <c r="Z508" s="798"/>
      <c r="AA508" s="798"/>
      <c r="AB508" s="798"/>
      <c r="AC508" s="798"/>
      <c r="AD508" s="798"/>
      <c r="AE508" s="798"/>
      <c r="AF508" s="798"/>
      <c r="AG508" s="798"/>
      <c r="AH508" s="798"/>
      <c r="AI508" s="798"/>
      <c r="AJ508" s="798"/>
      <c r="AK508" s="798"/>
      <c r="AL508" s="798"/>
      <c r="AM508" s="798"/>
      <c r="AN508" s="798"/>
      <c r="AO508" s="798"/>
      <c r="AP508" s="798"/>
      <c r="AQ508" s="798"/>
      <c r="AR508" s="798"/>
      <c r="AS508" s="798"/>
      <c r="AT508" s="798"/>
      <c r="AU508" s="798"/>
      <c r="AV508" s="798"/>
      <c r="AW508" s="798"/>
      <c r="AX508" s="798"/>
      <c r="AY508" s="798"/>
      <c r="AZ508" s="798"/>
      <c r="BA508" s="798"/>
      <c r="BB508" s="798"/>
      <c r="BC508" s="798"/>
      <c r="BD508" s="798"/>
      <c r="BE508" s="798"/>
      <c r="BF508" s="798"/>
      <c r="BG508" s="798"/>
      <c r="BH508" s="798"/>
      <c r="BI508" s="798"/>
      <c r="BJ508" s="798"/>
      <c r="BK508" s="798"/>
      <c r="BL508" s="798"/>
      <c r="BM508" s="798"/>
      <c r="BN508" s="798"/>
      <c r="BO508" s="798"/>
      <c r="BP508" s="798"/>
      <c r="BQ508" s="798"/>
      <c r="BR508" s="798"/>
      <c r="BS508" s="798"/>
      <c r="BT508" s="798"/>
      <c r="BU508" s="798"/>
      <c r="BV508" s="798"/>
      <c r="BW508" s="798"/>
      <c r="BX508" s="798"/>
      <c r="BY508" s="798"/>
      <c r="BZ508" s="798"/>
      <c r="CA508" s="798"/>
      <c r="CB508" s="798"/>
      <c r="CC508" s="798"/>
      <c r="CD508" s="798"/>
      <c r="CE508" s="798"/>
      <c r="CF508" s="798"/>
      <c r="CG508" s="798"/>
      <c r="CH508" s="798"/>
      <c r="CI508" s="798"/>
      <c r="CJ508" s="798"/>
      <c r="CK508" s="798"/>
      <c r="CL508" s="798"/>
      <c r="CM508" s="798"/>
      <c r="CN508" s="798"/>
      <c r="CO508" s="798"/>
      <c r="CP508" s="798"/>
      <c r="CQ508" s="798"/>
      <c r="CR508" s="798"/>
      <c r="CS508" s="798"/>
      <c r="CT508" s="798"/>
      <c r="CU508" s="798"/>
      <c r="CV508" s="798"/>
      <c r="CW508" s="798"/>
      <c r="CX508" s="798"/>
      <c r="CY508" s="798"/>
      <c r="CZ508" s="798"/>
      <c r="DA508" s="798"/>
      <c r="DB508" s="798"/>
      <c r="DC508" s="798"/>
      <c r="DD508" s="798"/>
      <c r="DE508" s="798"/>
      <c r="DF508" s="798"/>
      <c r="DG508" s="798"/>
      <c r="DH508" s="798"/>
      <c r="DI508" s="798"/>
      <c r="DJ508" s="798"/>
      <c r="DK508" s="798"/>
      <c r="DL508" s="798"/>
      <c r="DM508" s="798"/>
      <c r="DN508" s="798"/>
      <c r="DO508" s="798"/>
      <c r="DP508" s="798"/>
      <c r="DQ508" s="798"/>
      <c r="DR508" s="798"/>
      <c r="DS508" s="798"/>
      <c r="DT508" s="798"/>
      <c r="DU508" s="798"/>
      <c r="DV508" s="798"/>
      <c r="DW508" s="798"/>
      <c r="DX508" s="798"/>
      <c r="DY508" s="798"/>
      <c r="DZ508" s="798"/>
      <c r="EA508" s="798"/>
      <c r="EB508" s="798"/>
      <c r="EC508" s="798"/>
      <c r="ED508" s="798"/>
      <c r="EE508" s="798"/>
      <c r="EF508" s="798"/>
      <c r="EG508" s="798"/>
      <c r="EH508" s="782"/>
    </row>
    <row r="509" spans="1:138" ht="12.75" customHeight="1" x14ac:dyDescent="0.3">
      <c r="A509" s="782"/>
      <c r="B509" s="782"/>
      <c r="C509" s="798"/>
      <c r="D509" s="782"/>
      <c r="E509" s="798"/>
      <c r="F509" s="798"/>
      <c r="G509" s="798"/>
      <c r="H509" s="798"/>
      <c r="I509" s="798"/>
      <c r="J509" s="798"/>
      <c r="K509" s="798"/>
      <c r="L509" s="798"/>
      <c r="M509" s="798"/>
      <c r="N509" s="798"/>
      <c r="O509" s="798"/>
      <c r="P509" s="798"/>
      <c r="Q509" s="798"/>
      <c r="R509" s="798"/>
      <c r="S509" s="798"/>
      <c r="T509" s="798"/>
      <c r="U509" s="798"/>
      <c r="V509" s="798"/>
      <c r="W509" s="798"/>
      <c r="X509" s="798"/>
      <c r="Y509" s="798"/>
      <c r="Z509" s="798"/>
      <c r="AA509" s="798"/>
      <c r="AB509" s="798"/>
      <c r="AC509" s="798"/>
      <c r="AD509" s="798"/>
      <c r="AE509" s="798"/>
      <c r="AF509" s="798"/>
      <c r="AG509" s="798"/>
      <c r="AH509" s="798"/>
      <c r="AI509" s="798"/>
      <c r="AJ509" s="798"/>
      <c r="AK509" s="798"/>
      <c r="AL509" s="798"/>
      <c r="AM509" s="798"/>
      <c r="AN509" s="798"/>
      <c r="AO509" s="798"/>
      <c r="AP509" s="798"/>
      <c r="AQ509" s="798"/>
      <c r="AR509" s="798"/>
      <c r="AS509" s="798"/>
      <c r="AT509" s="798"/>
      <c r="AU509" s="798"/>
      <c r="AV509" s="798"/>
      <c r="AW509" s="798"/>
      <c r="AX509" s="798"/>
      <c r="AY509" s="798"/>
      <c r="AZ509" s="798"/>
      <c r="BA509" s="798"/>
      <c r="BB509" s="798"/>
      <c r="BC509" s="798"/>
      <c r="BD509" s="798"/>
      <c r="BE509" s="798"/>
      <c r="BF509" s="798"/>
      <c r="BG509" s="798"/>
      <c r="BH509" s="798"/>
      <c r="BI509" s="798"/>
      <c r="BJ509" s="798"/>
      <c r="BK509" s="798"/>
      <c r="BL509" s="798"/>
      <c r="BM509" s="798"/>
      <c r="BN509" s="798"/>
      <c r="BO509" s="798"/>
      <c r="BP509" s="798"/>
      <c r="BQ509" s="798"/>
      <c r="BR509" s="798"/>
      <c r="BS509" s="798"/>
      <c r="BT509" s="798"/>
      <c r="BU509" s="798"/>
      <c r="BV509" s="798"/>
      <c r="BW509" s="798"/>
      <c r="BX509" s="798"/>
      <c r="BY509" s="798"/>
      <c r="BZ509" s="798"/>
      <c r="CA509" s="798"/>
      <c r="CB509" s="798"/>
      <c r="CC509" s="798"/>
      <c r="CD509" s="798"/>
      <c r="CE509" s="798"/>
      <c r="CF509" s="798"/>
      <c r="CG509" s="798"/>
      <c r="CH509" s="798"/>
      <c r="CI509" s="798"/>
      <c r="CJ509" s="798"/>
      <c r="CK509" s="798"/>
      <c r="CL509" s="798"/>
      <c r="CM509" s="798"/>
      <c r="CN509" s="798"/>
      <c r="CO509" s="798"/>
      <c r="CP509" s="798"/>
      <c r="CQ509" s="798"/>
      <c r="CR509" s="798"/>
      <c r="CS509" s="798"/>
      <c r="CT509" s="798"/>
      <c r="CU509" s="798"/>
      <c r="CV509" s="798"/>
      <c r="CW509" s="798"/>
      <c r="CX509" s="798"/>
      <c r="CY509" s="798"/>
      <c r="CZ509" s="798"/>
      <c r="DA509" s="798"/>
      <c r="DB509" s="798"/>
      <c r="DC509" s="798"/>
      <c r="DD509" s="798"/>
      <c r="DE509" s="798"/>
      <c r="DF509" s="798"/>
      <c r="DG509" s="798"/>
      <c r="DH509" s="798"/>
      <c r="DI509" s="798"/>
      <c r="DJ509" s="798"/>
      <c r="DK509" s="798"/>
      <c r="DL509" s="798"/>
      <c r="DM509" s="798"/>
      <c r="DN509" s="798"/>
      <c r="DO509" s="798"/>
      <c r="DP509" s="798"/>
      <c r="DQ509" s="798"/>
      <c r="DR509" s="798"/>
      <c r="DS509" s="798"/>
      <c r="DT509" s="798"/>
      <c r="DU509" s="798"/>
      <c r="DV509" s="798"/>
      <c r="DW509" s="798"/>
      <c r="DX509" s="798"/>
      <c r="DY509" s="798"/>
      <c r="DZ509" s="798"/>
      <c r="EA509" s="798"/>
      <c r="EB509" s="798"/>
      <c r="EC509" s="798"/>
      <c r="ED509" s="798"/>
      <c r="EE509" s="798"/>
      <c r="EF509" s="798"/>
      <c r="EG509" s="798"/>
      <c r="EH509" s="782"/>
    </row>
    <row r="510" spans="1:138" ht="12.75" customHeight="1" x14ac:dyDescent="0.3">
      <c r="A510" s="1403"/>
      <c r="B510" s="1403"/>
      <c r="C510" s="1404"/>
      <c r="D510" s="1403"/>
      <c r="E510" s="1404"/>
      <c r="F510" s="1404"/>
      <c r="G510" s="1404"/>
      <c r="H510" s="1404"/>
      <c r="I510" s="1404"/>
      <c r="J510" s="1404"/>
      <c r="K510" s="1404"/>
      <c r="L510" s="1404"/>
      <c r="M510" s="1404"/>
      <c r="N510" s="1404"/>
      <c r="O510" s="1404"/>
      <c r="P510" s="798"/>
      <c r="Q510" s="798"/>
      <c r="R510" s="798"/>
      <c r="S510" s="798"/>
      <c r="T510" s="798"/>
      <c r="U510" s="798"/>
      <c r="V510" s="798"/>
      <c r="W510" s="798"/>
      <c r="X510" s="798"/>
      <c r="Y510" s="798"/>
      <c r="Z510" s="798"/>
      <c r="AA510" s="798"/>
      <c r="AB510" s="798"/>
      <c r="AC510" s="798"/>
      <c r="AD510" s="798"/>
      <c r="AE510" s="798"/>
      <c r="AF510" s="798"/>
      <c r="AG510" s="798"/>
      <c r="AH510" s="798"/>
      <c r="AI510" s="798"/>
      <c r="AJ510" s="798"/>
      <c r="AK510" s="798"/>
      <c r="AL510" s="798"/>
      <c r="AM510" s="798"/>
      <c r="AN510" s="798"/>
      <c r="AO510" s="798"/>
      <c r="AP510" s="798"/>
      <c r="AQ510" s="798"/>
      <c r="AR510" s="798"/>
      <c r="AS510" s="798"/>
      <c r="AT510" s="798"/>
      <c r="AU510" s="798"/>
      <c r="AV510" s="798"/>
      <c r="AW510" s="798"/>
      <c r="AX510" s="798"/>
      <c r="AY510" s="798"/>
      <c r="AZ510" s="798"/>
      <c r="BA510" s="798"/>
      <c r="BB510" s="798"/>
      <c r="BC510" s="798"/>
      <c r="BD510" s="798"/>
      <c r="BE510" s="798"/>
      <c r="BF510" s="798"/>
      <c r="BG510" s="798"/>
      <c r="BH510" s="798"/>
      <c r="BI510" s="798"/>
      <c r="BJ510" s="798"/>
      <c r="BK510" s="798"/>
      <c r="BL510" s="798"/>
      <c r="BM510" s="798"/>
      <c r="BN510" s="798"/>
      <c r="BO510" s="798"/>
      <c r="BP510" s="798"/>
      <c r="BQ510" s="798"/>
      <c r="BR510" s="798"/>
      <c r="BS510" s="798"/>
      <c r="BT510" s="798"/>
      <c r="BU510" s="798"/>
      <c r="BV510" s="798"/>
      <c r="BW510" s="798"/>
      <c r="BX510" s="798"/>
      <c r="BY510" s="798"/>
      <c r="BZ510" s="798"/>
      <c r="CA510" s="798"/>
      <c r="CB510" s="798"/>
      <c r="CC510" s="798"/>
      <c r="CD510" s="798"/>
      <c r="CE510" s="798"/>
      <c r="CF510" s="798"/>
      <c r="CG510" s="798"/>
      <c r="CH510" s="798"/>
      <c r="CI510" s="798"/>
      <c r="CJ510" s="798"/>
      <c r="CK510" s="798"/>
      <c r="CL510" s="798"/>
      <c r="CM510" s="798"/>
      <c r="CN510" s="798"/>
      <c r="CO510" s="798"/>
      <c r="CP510" s="798"/>
      <c r="CQ510" s="798"/>
      <c r="CR510" s="798"/>
      <c r="CS510" s="798"/>
      <c r="CT510" s="798"/>
      <c r="CU510" s="798"/>
      <c r="CV510" s="798"/>
      <c r="CW510" s="798"/>
      <c r="CX510" s="798"/>
      <c r="CY510" s="798"/>
      <c r="CZ510" s="798"/>
      <c r="DA510" s="798"/>
      <c r="DB510" s="798"/>
      <c r="DC510" s="798"/>
      <c r="DD510" s="798"/>
      <c r="DE510" s="798"/>
      <c r="DF510" s="798"/>
      <c r="DG510" s="798"/>
      <c r="DH510" s="798"/>
      <c r="DI510" s="798"/>
      <c r="DJ510" s="798"/>
      <c r="DK510" s="798"/>
      <c r="DL510" s="798"/>
      <c r="DM510" s="798"/>
      <c r="DN510" s="798"/>
      <c r="DO510" s="798"/>
      <c r="DP510" s="798"/>
      <c r="DQ510" s="798"/>
      <c r="DR510" s="798"/>
      <c r="DS510" s="798"/>
      <c r="DT510" s="798"/>
      <c r="DU510" s="798"/>
      <c r="DV510" s="798"/>
      <c r="DW510" s="798"/>
      <c r="DX510" s="798"/>
      <c r="DY510" s="798"/>
      <c r="DZ510" s="798"/>
      <c r="EA510" s="798"/>
      <c r="EB510" s="798"/>
      <c r="EC510" s="798"/>
      <c r="ED510" s="798"/>
      <c r="EE510" s="798"/>
      <c r="EF510" s="798"/>
      <c r="EG510" s="798"/>
      <c r="EH510" s="782"/>
    </row>
    <row r="511" spans="1:138" ht="12.75" customHeight="1" x14ac:dyDescent="0.3">
      <c r="A511" s="1405"/>
      <c r="B511" s="1406" t="s">
        <v>360</v>
      </c>
      <c r="C511" s="1407"/>
      <c r="D511" s="1405"/>
      <c r="E511" s="1407"/>
      <c r="F511" s="1407"/>
      <c r="G511" s="1407"/>
      <c r="H511" s="1407"/>
      <c r="I511" s="1407"/>
      <c r="J511" s="1407"/>
      <c r="K511" s="1407"/>
      <c r="L511" s="1407"/>
      <c r="M511" s="1407"/>
      <c r="N511" s="1407"/>
      <c r="O511" s="1407"/>
      <c r="P511" s="798"/>
      <c r="Q511" s="798"/>
      <c r="R511" s="798"/>
      <c r="S511" s="798"/>
      <c r="T511" s="798"/>
      <c r="U511" s="798"/>
      <c r="V511" s="798"/>
      <c r="W511" s="798"/>
      <c r="X511" s="798"/>
      <c r="Y511" s="798"/>
      <c r="Z511" s="798"/>
      <c r="AA511" s="798"/>
      <c r="AB511" s="798"/>
      <c r="AC511" s="798"/>
      <c r="AD511" s="798"/>
      <c r="AE511" s="798"/>
      <c r="AF511" s="798"/>
      <c r="AG511" s="798"/>
      <c r="AH511" s="798"/>
      <c r="AI511" s="798"/>
      <c r="AJ511" s="798"/>
      <c r="AK511" s="798"/>
      <c r="AL511" s="798"/>
      <c r="AM511" s="798"/>
      <c r="AN511" s="798"/>
      <c r="AO511" s="798"/>
      <c r="AP511" s="798"/>
      <c r="AQ511" s="798"/>
      <c r="AR511" s="798"/>
      <c r="AS511" s="798"/>
      <c r="AT511" s="798"/>
      <c r="AU511" s="798"/>
      <c r="AV511" s="798"/>
      <c r="AW511" s="798"/>
      <c r="AX511" s="798"/>
      <c r="AY511" s="798"/>
      <c r="AZ511" s="798"/>
      <c r="BA511" s="798"/>
      <c r="BB511" s="798"/>
      <c r="BC511" s="798"/>
      <c r="BD511" s="798"/>
      <c r="BE511" s="798"/>
      <c r="BF511" s="798"/>
      <c r="BG511" s="798"/>
      <c r="BH511" s="798"/>
      <c r="BI511" s="798"/>
      <c r="BJ511" s="798"/>
      <c r="BK511" s="798"/>
      <c r="BL511" s="798"/>
      <c r="BM511" s="798"/>
      <c r="BN511" s="798"/>
      <c r="BO511" s="798"/>
      <c r="BP511" s="798"/>
      <c r="BQ511" s="798"/>
      <c r="BR511" s="798"/>
      <c r="BS511" s="798"/>
      <c r="BT511" s="798"/>
      <c r="BU511" s="798"/>
      <c r="BV511" s="798"/>
      <c r="BW511" s="798"/>
      <c r="BX511" s="798"/>
      <c r="BY511" s="798"/>
      <c r="BZ511" s="798"/>
      <c r="CA511" s="798"/>
      <c r="CB511" s="798"/>
      <c r="CC511" s="798"/>
      <c r="CD511" s="798"/>
      <c r="CE511" s="798"/>
      <c r="CF511" s="798"/>
      <c r="CG511" s="798"/>
      <c r="CH511" s="798"/>
      <c r="CI511" s="798"/>
      <c r="CJ511" s="798"/>
      <c r="CK511" s="798"/>
      <c r="CL511" s="798"/>
      <c r="CM511" s="798"/>
      <c r="CN511" s="798"/>
      <c r="CO511" s="798"/>
      <c r="CP511" s="798"/>
      <c r="CQ511" s="798"/>
      <c r="CR511" s="798"/>
      <c r="CS511" s="798"/>
      <c r="CT511" s="798"/>
      <c r="CU511" s="798"/>
      <c r="CV511" s="798"/>
      <c r="CW511" s="798"/>
      <c r="CX511" s="798"/>
      <c r="CY511" s="798"/>
      <c r="CZ511" s="798"/>
      <c r="DA511" s="798"/>
      <c r="DB511" s="798"/>
      <c r="DC511" s="798"/>
      <c r="DD511" s="798"/>
      <c r="DE511" s="798"/>
      <c r="DF511" s="798"/>
      <c r="DG511" s="798"/>
      <c r="DH511" s="798"/>
      <c r="DI511" s="798"/>
      <c r="DJ511" s="798"/>
      <c r="DK511" s="798"/>
      <c r="DL511" s="798"/>
      <c r="DM511" s="798"/>
      <c r="DN511" s="798"/>
      <c r="DO511" s="798"/>
      <c r="DP511" s="798"/>
      <c r="DQ511" s="798"/>
      <c r="DR511" s="798"/>
      <c r="DS511" s="798"/>
      <c r="DT511" s="798"/>
      <c r="DU511" s="798"/>
      <c r="DV511" s="798"/>
      <c r="DW511" s="798"/>
      <c r="DX511" s="798"/>
      <c r="DY511" s="798"/>
      <c r="DZ511" s="798"/>
      <c r="EA511" s="798"/>
      <c r="EB511" s="798"/>
      <c r="EC511" s="798"/>
      <c r="ED511" s="798"/>
      <c r="EE511" s="798"/>
      <c r="EF511" s="798"/>
      <c r="EG511" s="798"/>
      <c r="EH511" s="782"/>
    </row>
    <row r="512" spans="1:138" ht="12.75" customHeight="1" x14ac:dyDescent="0.3">
      <c r="A512" s="1408" t="s">
        <v>338</v>
      </c>
      <c r="B512" s="1408"/>
      <c r="C512" s="1409"/>
      <c r="D512" s="1408"/>
      <c r="E512" s="1409"/>
      <c r="F512" s="1409"/>
      <c r="G512" s="1409"/>
      <c r="H512" s="1409"/>
      <c r="I512" s="1409"/>
      <c r="J512" s="1409"/>
      <c r="K512" s="1409"/>
      <c r="L512" s="1409"/>
      <c r="M512" s="1409"/>
      <c r="N512" s="1409"/>
      <c r="O512" s="1409"/>
      <c r="P512" s="798"/>
      <c r="Q512" s="798"/>
      <c r="R512" s="798"/>
      <c r="S512" s="798"/>
      <c r="T512" s="798"/>
      <c r="U512" s="798"/>
      <c r="V512" s="798"/>
      <c r="W512" s="798"/>
      <c r="X512" s="798"/>
      <c r="Y512" s="798"/>
      <c r="Z512" s="798"/>
      <c r="AA512" s="798"/>
      <c r="AB512" s="798"/>
      <c r="AC512" s="798"/>
      <c r="AD512" s="798"/>
      <c r="AE512" s="798"/>
      <c r="AF512" s="798"/>
      <c r="AG512" s="798"/>
      <c r="AH512" s="798"/>
      <c r="AI512" s="798"/>
      <c r="AJ512" s="798"/>
      <c r="AK512" s="798"/>
      <c r="AL512" s="798"/>
      <c r="AM512" s="798"/>
      <c r="AN512" s="798"/>
      <c r="AO512" s="798"/>
      <c r="AP512" s="798"/>
      <c r="AQ512" s="798"/>
      <c r="AR512" s="798"/>
      <c r="AS512" s="798"/>
      <c r="AT512" s="798"/>
      <c r="AU512" s="798"/>
      <c r="AV512" s="798"/>
      <c r="AW512" s="798"/>
      <c r="AX512" s="798"/>
      <c r="AY512" s="798"/>
      <c r="AZ512" s="798"/>
      <c r="BA512" s="798"/>
      <c r="BB512" s="798"/>
      <c r="BC512" s="798"/>
      <c r="BD512" s="798"/>
      <c r="BE512" s="798"/>
      <c r="BF512" s="798"/>
      <c r="BG512" s="798"/>
      <c r="BH512" s="798"/>
      <c r="BI512" s="798"/>
      <c r="BJ512" s="798"/>
      <c r="BK512" s="798"/>
      <c r="BL512" s="798"/>
      <c r="BM512" s="798"/>
      <c r="BN512" s="798"/>
      <c r="BO512" s="798"/>
      <c r="BP512" s="798"/>
      <c r="BQ512" s="798"/>
      <c r="BR512" s="798"/>
      <c r="BS512" s="798"/>
      <c r="BT512" s="798"/>
      <c r="BU512" s="798"/>
      <c r="BV512" s="798"/>
      <c r="BW512" s="798"/>
      <c r="BX512" s="798"/>
      <c r="BY512" s="798"/>
      <c r="BZ512" s="798"/>
      <c r="CA512" s="798"/>
      <c r="CB512" s="798"/>
      <c r="CC512" s="798"/>
      <c r="CD512" s="798"/>
      <c r="CE512" s="798"/>
      <c r="CF512" s="798"/>
      <c r="CG512" s="798"/>
      <c r="CH512" s="798"/>
      <c r="CI512" s="798"/>
      <c r="CJ512" s="798"/>
      <c r="CK512" s="798"/>
      <c r="CL512" s="798"/>
      <c r="CM512" s="798"/>
      <c r="CN512" s="798"/>
      <c r="CO512" s="798"/>
      <c r="CP512" s="798"/>
      <c r="CQ512" s="798"/>
      <c r="CR512" s="798"/>
      <c r="CS512" s="798"/>
      <c r="CT512" s="798"/>
      <c r="CU512" s="798"/>
      <c r="CV512" s="798"/>
      <c r="CW512" s="798"/>
      <c r="CX512" s="798"/>
      <c r="CY512" s="798"/>
      <c r="CZ512" s="798"/>
      <c r="DA512" s="798"/>
      <c r="DB512" s="798"/>
      <c r="DC512" s="798"/>
      <c r="DD512" s="798"/>
      <c r="DE512" s="798"/>
      <c r="DF512" s="798"/>
      <c r="DG512" s="798"/>
      <c r="DH512" s="798"/>
      <c r="DI512" s="798"/>
      <c r="DJ512" s="798"/>
      <c r="DK512" s="798"/>
      <c r="DL512" s="798"/>
      <c r="DM512" s="798"/>
      <c r="DN512" s="798"/>
      <c r="DO512" s="798"/>
      <c r="DP512" s="798"/>
      <c r="DQ512" s="798"/>
      <c r="DR512" s="798"/>
      <c r="DS512" s="798"/>
      <c r="DT512" s="798"/>
      <c r="DU512" s="798"/>
      <c r="DV512" s="798"/>
      <c r="DW512" s="798"/>
      <c r="DX512" s="798"/>
      <c r="DY512" s="798"/>
      <c r="DZ512" s="798"/>
      <c r="EA512" s="798"/>
      <c r="EB512" s="798"/>
      <c r="EC512" s="798"/>
      <c r="ED512" s="798"/>
      <c r="EE512" s="798"/>
      <c r="EF512" s="798"/>
      <c r="EG512" s="798"/>
      <c r="EH512" s="782"/>
    </row>
    <row r="513" spans="1:138" ht="12.75" customHeight="1" x14ac:dyDescent="0.3">
      <c r="A513" s="782"/>
      <c r="B513" s="1392" t="s">
        <v>354</v>
      </c>
      <c r="C513" s="798"/>
      <c r="D513" s="782"/>
      <c r="E513" s="1393">
        <v>2022</v>
      </c>
      <c r="F513" s="1393">
        <v>2023</v>
      </c>
      <c r="G513" s="1393">
        <v>2024</v>
      </c>
      <c r="H513" s="1393">
        <v>2025</v>
      </c>
      <c r="I513" s="1393">
        <v>2026</v>
      </c>
      <c r="J513" s="1393">
        <v>2027</v>
      </c>
      <c r="K513" s="1393">
        <v>2028</v>
      </c>
      <c r="L513" s="1393">
        <v>2029</v>
      </c>
      <c r="M513" s="1393">
        <v>2030</v>
      </c>
      <c r="N513" s="798"/>
      <c r="O513" s="798"/>
      <c r="P513" s="798"/>
      <c r="Q513" s="798"/>
      <c r="R513" s="798"/>
      <c r="S513" s="798"/>
      <c r="T513" s="798"/>
      <c r="U513" s="798"/>
      <c r="V513" s="798"/>
      <c r="W513" s="798"/>
      <c r="X513" s="798"/>
      <c r="Y513" s="798"/>
      <c r="Z513" s="798"/>
      <c r="AA513" s="798"/>
      <c r="AB513" s="798"/>
      <c r="AC513" s="798"/>
      <c r="AD513" s="798"/>
      <c r="AE513" s="798"/>
      <c r="AF513" s="798"/>
      <c r="AG513" s="798"/>
      <c r="AH513" s="798"/>
      <c r="AI513" s="798"/>
      <c r="AJ513" s="798"/>
      <c r="AK513" s="798"/>
      <c r="AL513" s="798"/>
      <c r="AM513" s="798"/>
      <c r="AN513" s="798"/>
      <c r="AO513" s="798"/>
      <c r="AP513" s="798"/>
      <c r="AQ513" s="798"/>
      <c r="AR513" s="798"/>
      <c r="AS513" s="798"/>
      <c r="AT513" s="798"/>
      <c r="AU513" s="798"/>
      <c r="AV513" s="798"/>
      <c r="AW513" s="798"/>
      <c r="AX513" s="798"/>
      <c r="AY513" s="798"/>
      <c r="AZ513" s="798"/>
      <c r="BA513" s="798"/>
      <c r="BB513" s="798"/>
      <c r="BC513" s="798"/>
      <c r="BD513" s="798"/>
      <c r="BE513" s="798"/>
      <c r="BF513" s="798"/>
      <c r="BG513" s="798"/>
      <c r="BH513" s="798"/>
      <c r="BI513" s="798"/>
      <c r="BJ513" s="798"/>
      <c r="BK513" s="798"/>
      <c r="BL513" s="798"/>
      <c r="BM513" s="798"/>
      <c r="BN513" s="798"/>
      <c r="BO513" s="798"/>
      <c r="BP513" s="798"/>
      <c r="BQ513" s="798"/>
      <c r="BR513" s="798"/>
      <c r="BS513" s="798"/>
      <c r="BT513" s="798"/>
      <c r="BU513" s="798"/>
      <c r="BV513" s="798"/>
      <c r="BW513" s="798"/>
      <c r="BX513" s="798"/>
      <c r="BY513" s="798"/>
      <c r="BZ513" s="798"/>
      <c r="CA513" s="798"/>
      <c r="CB513" s="798"/>
      <c r="CC513" s="798"/>
      <c r="CD513" s="798"/>
      <c r="CE513" s="798"/>
      <c r="CF513" s="798"/>
      <c r="CG513" s="798"/>
      <c r="CH513" s="798"/>
      <c r="CI513" s="798"/>
      <c r="CJ513" s="798"/>
      <c r="CK513" s="798"/>
      <c r="CL513" s="798"/>
      <c r="CM513" s="798"/>
      <c r="CN513" s="798"/>
      <c r="CO513" s="798"/>
      <c r="CP513" s="798"/>
      <c r="CQ513" s="798"/>
      <c r="CR513" s="798"/>
      <c r="CS513" s="798"/>
      <c r="CT513" s="798"/>
      <c r="CU513" s="798"/>
      <c r="CV513" s="798"/>
      <c r="CW513" s="798"/>
      <c r="CX513" s="798"/>
      <c r="CY513" s="798"/>
      <c r="CZ513" s="798"/>
      <c r="DA513" s="798"/>
      <c r="DB513" s="798"/>
      <c r="DC513" s="798"/>
      <c r="DD513" s="798"/>
      <c r="DE513" s="798"/>
      <c r="DF513" s="798"/>
      <c r="DG513" s="798"/>
      <c r="DH513" s="798"/>
      <c r="DI513" s="798"/>
      <c r="DJ513" s="798"/>
      <c r="DK513" s="798"/>
      <c r="DL513" s="798"/>
      <c r="DM513" s="798"/>
      <c r="DN513" s="798"/>
      <c r="DO513" s="798"/>
      <c r="DP513" s="798"/>
      <c r="DQ513" s="798"/>
      <c r="DR513" s="798"/>
      <c r="DS513" s="798"/>
      <c r="DT513" s="798"/>
      <c r="DU513" s="798"/>
      <c r="DV513" s="798"/>
      <c r="DW513" s="798"/>
      <c r="DX513" s="798"/>
      <c r="DY513" s="798"/>
      <c r="DZ513" s="798"/>
      <c r="EA513" s="798"/>
      <c r="EB513" s="798"/>
      <c r="EC513" s="798"/>
      <c r="ED513" s="798"/>
      <c r="EE513" s="798"/>
      <c r="EF513" s="798"/>
      <c r="EG513" s="798"/>
      <c r="EH513" s="782"/>
    </row>
    <row r="514" spans="1:138" ht="12.75" customHeight="1" x14ac:dyDescent="0.3">
      <c r="A514" s="782"/>
      <c r="B514" s="782" t="s">
        <v>7</v>
      </c>
      <c r="C514" s="798">
        <v>-77182616.900002733</v>
      </c>
      <c r="D514" s="782"/>
      <c r="E514" s="798">
        <v>-31403408.706279062</v>
      </c>
      <c r="F514" s="798">
        <v>-45105891.694475263</v>
      </c>
      <c r="G514" s="798">
        <v>-673316.49924839672</v>
      </c>
      <c r="H514" s="798">
        <v>0</v>
      </c>
      <c r="I514" s="798">
        <v>0</v>
      </c>
      <c r="J514" s="798">
        <v>0</v>
      </c>
      <c r="K514" s="798">
        <v>0</v>
      </c>
      <c r="L514" s="798">
        <v>0</v>
      </c>
      <c r="M514" s="798">
        <v>0</v>
      </c>
      <c r="N514" s="798"/>
      <c r="O514" s="798"/>
      <c r="P514" s="798"/>
      <c r="Q514" s="798"/>
      <c r="R514" s="798"/>
      <c r="S514" s="798"/>
      <c r="T514" s="798"/>
      <c r="U514" s="798"/>
      <c r="V514" s="798"/>
      <c r="W514" s="798"/>
      <c r="X514" s="798"/>
      <c r="Y514" s="798"/>
      <c r="Z514" s="798"/>
      <c r="AA514" s="798"/>
      <c r="AB514" s="798"/>
      <c r="AC514" s="798"/>
      <c r="AD514" s="798"/>
      <c r="AE514" s="798"/>
      <c r="AF514" s="798"/>
      <c r="AG514" s="798"/>
      <c r="AH514" s="798"/>
      <c r="AI514" s="798"/>
      <c r="AJ514" s="798"/>
      <c r="AK514" s="798"/>
      <c r="AL514" s="798"/>
      <c r="AM514" s="798"/>
      <c r="AN514" s="798"/>
      <c r="AO514" s="798"/>
      <c r="AP514" s="798"/>
      <c r="AQ514" s="798"/>
      <c r="AR514" s="798"/>
      <c r="AS514" s="798"/>
      <c r="AT514" s="798"/>
      <c r="AU514" s="798"/>
      <c r="AV514" s="798"/>
      <c r="AW514" s="798"/>
      <c r="AX514" s="798"/>
      <c r="AY514" s="798"/>
      <c r="AZ514" s="798"/>
      <c r="BA514" s="798"/>
      <c r="BB514" s="798"/>
      <c r="BC514" s="798"/>
      <c r="BD514" s="798"/>
      <c r="BE514" s="798"/>
      <c r="BF514" s="798"/>
      <c r="BG514" s="798"/>
      <c r="BH514" s="798"/>
      <c r="BI514" s="798"/>
      <c r="BJ514" s="798"/>
      <c r="BK514" s="798"/>
      <c r="BL514" s="798"/>
      <c r="BM514" s="798"/>
      <c r="BN514" s="798"/>
      <c r="BO514" s="798"/>
      <c r="BP514" s="798"/>
      <c r="BQ514" s="798"/>
      <c r="BR514" s="798"/>
      <c r="BS514" s="798"/>
      <c r="BT514" s="798"/>
      <c r="BU514" s="798"/>
      <c r="BV514" s="798"/>
      <c r="BW514" s="798"/>
      <c r="BX514" s="798"/>
      <c r="BY514" s="798"/>
      <c r="BZ514" s="798"/>
      <c r="CA514" s="798"/>
      <c r="CB514" s="798"/>
      <c r="CC514" s="798"/>
      <c r="CD514" s="798"/>
      <c r="CE514" s="798"/>
      <c r="CF514" s="798"/>
      <c r="CG514" s="798"/>
      <c r="CH514" s="798"/>
      <c r="CI514" s="798"/>
      <c r="CJ514" s="798"/>
      <c r="CK514" s="798"/>
      <c r="CL514" s="798"/>
      <c r="CM514" s="798"/>
      <c r="CN514" s="798"/>
      <c r="CO514" s="798"/>
      <c r="CP514" s="798"/>
      <c r="CQ514" s="798"/>
      <c r="CR514" s="798"/>
      <c r="CS514" s="798"/>
      <c r="CT514" s="798"/>
      <c r="CU514" s="798"/>
      <c r="CV514" s="798"/>
      <c r="CW514" s="798"/>
      <c r="CX514" s="798"/>
      <c r="CY514" s="798"/>
      <c r="CZ514" s="798"/>
      <c r="DA514" s="798"/>
      <c r="DB514" s="798"/>
      <c r="DC514" s="798"/>
      <c r="DD514" s="798"/>
      <c r="DE514" s="798"/>
      <c r="DF514" s="798"/>
      <c r="DG514" s="798"/>
      <c r="DH514" s="798"/>
      <c r="DI514" s="798"/>
      <c r="DJ514" s="798"/>
      <c r="DK514" s="798"/>
      <c r="DL514" s="798"/>
      <c r="DM514" s="798"/>
      <c r="DN514" s="798"/>
      <c r="DO514" s="798"/>
      <c r="DP514" s="798"/>
      <c r="DQ514" s="798"/>
      <c r="DR514" s="798"/>
      <c r="DS514" s="798"/>
      <c r="DT514" s="798"/>
      <c r="DU514" s="798"/>
      <c r="DV514" s="798"/>
      <c r="DW514" s="798"/>
      <c r="DX514" s="798"/>
      <c r="DY514" s="798"/>
      <c r="DZ514" s="798"/>
      <c r="EA514" s="798"/>
      <c r="EB514" s="798"/>
      <c r="EC514" s="798"/>
      <c r="ED514" s="798"/>
      <c r="EE514" s="798"/>
      <c r="EF514" s="798"/>
      <c r="EG514" s="798"/>
      <c r="EH514" s="782"/>
    </row>
    <row r="515" spans="1:138" ht="12.75" customHeight="1" x14ac:dyDescent="0.3">
      <c r="A515" s="782"/>
      <c r="B515" s="782" t="s">
        <v>8</v>
      </c>
      <c r="C515" s="798">
        <v>30945276.653674427</v>
      </c>
      <c r="D515" s="782"/>
      <c r="E515" s="798">
        <v>0</v>
      </c>
      <c r="F515" s="798">
        <v>157443.72058111802</v>
      </c>
      <c r="G515" s="798">
        <v>3685468.9329851433</v>
      </c>
      <c r="H515" s="798">
        <v>4764947.3538682191</v>
      </c>
      <c r="I515" s="798">
        <v>4907895.774484274</v>
      </c>
      <c r="J515" s="798">
        <v>5055132.6477188077</v>
      </c>
      <c r="K515" s="798">
        <v>5206786.6271503773</v>
      </c>
      <c r="L515" s="798">
        <v>5362990.2259648964</v>
      </c>
      <c r="M515" s="798">
        <v>1804611.3709215943</v>
      </c>
      <c r="N515" s="798"/>
      <c r="O515" s="798"/>
      <c r="P515" s="798"/>
      <c r="Q515" s="798"/>
      <c r="R515" s="798"/>
      <c r="S515" s="798"/>
      <c r="T515" s="798"/>
      <c r="U515" s="798"/>
      <c r="V515" s="798"/>
      <c r="W515" s="798"/>
      <c r="X515" s="798"/>
      <c r="Y515" s="798"/>
      <c r="Z515" s="798"/>
      <c r="AA515" s="798"/>
      <c r="AB515" s="798"/>
      <c r="AC515" s="798"/>
      <c r="AD515" s="798"/>
      <c r="AE515" s="798"/>
      <c r="AF515" s="798"/>
      <c r="AG515" s="798"/>
      <c r="AH515" s="798"/>
      <c r="AI515" s="798"/>
      <c r="AJ515" s="798"/>
      <c r="AK515" s="798"/>
      <c r="AL515" s="798"/>
      <c r="AM515" s="798"/>
      <c r="AN515" s="798"/>
      <c r="AO515" s="798"/>
      <c r="AP515" s="798"/>
      <c r="AQ515" s="798"/>
      <c r="AR515" s="798"/>
      <c r="AS515" s="798"/>
      <c r="AT515" s="798"/>
      <c r="AU515" s="798"/>
      <c r="AV515" s="798"/>
      <c r="AW515" s="798"/>
      <c r="AX515" s="798"/>
      <c r="AY515" s="798"/>
      <c r="AZ515" s="798"/>
      <c r="BA515" s="798"/>
      <c r="BB515" s="798"/>
      <c r="BC515" s="798"/>
      <c r="BD515" s="798"/>
      <c r="BE515" s="798"/>
      <c r="BF515" s="798"/>
      <c r="BG515" s="798"/>
      <c r="BH515" s="798"/>
      <c r="BI515" s="798"/>
      <c r="BJ515" s="798"/>
      <c r="BK515" s="798"/>
      <c r="BL515" s="798"/>
      <c r="BM515" s="798"/>
      <c r="BN515" s="798"/>
      <c r="BO515" s="798"/>
      <c r="BP515" s="798"/>
      <c r="BQ515" s="798"/>
      <c r="BR515" s="798"/>
      <c r="BS515" s="798"/>
      <c r="BT515" s="798"/>
      <c r="BU515" s="798"/>
      <c r="BV515" s="798"/>
      <c r="BW515" s="798"/>
      <c r="BX515" s="798"/>
      <c r="BY515" s="798"/>
      <c r="BZ515" s="798"/>
      <c r="CA515" s="798"/>
      <c r="CB515" s="798"/>
      <c r="CC515" s="798"/>
      <c r="CD515" s="798"/>
      <c r="CE515" s="798"/>
      <c r="CF515" s="798"/>
      <c r="CG515" s="798"/>
      <c r="CH515" s="798"/>
      <c r="CI515" s="798"/>
      <c r="CJ515" s="798"/>
      <c r="CK515" s="798"/>
      <c r="CL515" s="798"/>
      <c r="CM515" s="798"/>
      <c r="CN515" s="798"/>
      <c r="CO515" s="798"/>
      <c r="CP515" s="798"/>
      <c r="CQ515" s="798"/>
      <c r="CR515" s="798"/>
      <c r="CS515" s="798"/>
      <c r="CT515" s="798"/>
      <c r="CU515" s="798"/>
      <c r="CV515" s="798"/>
      <c r="CW515" s="798"/>
      <c r="CX515" s="798"/>
      <c r="CY515" s="798"/>
      <c r="CZ515" s="798"/>
      <c r="DA515" s="798"/>
      <c r="DB515" s="798"/>
      <c r="DC515" s="798"/>
      <c r="DD515" s="798"/>
      <c r="DE515" s="798"/>
      <c r="DF515" s="798"/>
      <c r="DG515" s="798"/>
      <c r="DH515" s="798"/>
      <c r="DI515" s="798"/>
      <c r="DJ515" s="798"/>
      <c r="DK515" s="798"/>
      <c r="DL515" s="798"/>
      <c r="DM515" s="798"/>
      <c r="DN515" s="798"/>
      <c r="DO515" s="798"/>
      <c r="DP515" s="798"/>
      <c r="DQ515" s="798"/>
      <c r="DR515" s="798"/>
      <c r="DS515" s="798"/>
      <c r="DT515" s="798"/>
      <c r="DU515" s="798"/>
      <c r="DV515" s="798"/>
      <c r="DW515" s="798"/>
      <c r="DX515" s="798"/>
      <c r="DY515" s="798"/>
      <c r="DZ515" s="798"/>
      <c r="EA515" s="798"/>
      <c r="EB515" s="798"/>
      <c r="EC515" s="798"/>
      <c r="ED515" s="798"/>
      <c r="EE515" s="798"/>
      <c r="EF515" s="798"/>
      <c r="EG515" s="798"/>
      <c r="EH515" s="782"/>
    </row>
    <row r="516" spans="1:138" ht="12.75" customHeight="1" x14ac:dyDescent="0.3">
      <c r="A516" s="782"/>
      <c r="B516" s="782" t="s">
        <v>9</v>
      </c>
      <c r="C516" s="798">
        <v>-166666.66666666666</v>
      </c>
      <c r="D516" s="782"/>
      <c r="E516" s="798">
        <v>-166666.66666666666</v>
      </c>
      <c r="F516" s="798">
        <v>0</v>
      </c>
      <c r="G516" s="798">
        <v>0</v>
      </c>
      <c r="H516" s="798">
        <v>0</v>
      </c>
      <c r="I516" s="798">
        <v>0</v>
      </c>
      <c r="J516" s="798">
        <v>0</v>
      </c>
      <c r="K516" s="798">
        <v>0</v>
      </c>
      <c r="L516" s="798">
        <v>0</v>
      </c>
      <c r="M516" s="798">
        <v>0</v>
      </c>
      <c r="N516" s="798"/>
      <c r="O516" s="798"/>
      <c r="P516" s="798"/>
      <c r="Q516" s="798"/>
      <c r="R516" s="798"/>
      <c r="S516" s="798"/>
      <c r="T516" s="798"/>
      <c r="U516" s="798"/>
      <c r="V516" s="798"/>
      <c r="W516" s="798"/>
      <c r="X516" s="798"/>
      <c r="Y516" s="798"/>
      <c r="Z516" s="798"/>
      <c r="AA516" s="798"/>
      <c r="AB516" s="798"/>
      <c r="AC516" s="798"/>
      <c r="AD516" s="798"/>
      <c r="AE516" s="798"/>
      <c r="AF516" s="798"/>
      <c r="AG516" s="798"/>
      <c r="AH516" s="798"/>
      <c r="AI516" s="798"/>
      <c r="AJ516" s="798"/>
      <c r="AK516" s="798"/>
      <c r="AL516" s="798"/>
      <c r="AM516" s="798"/>
      <c r="AN516" s="798"/>
      <c r="AO516" s="798"/>
      <c r="AP516" s="798"/>
      <c r="AQ516" s="798"/>
      <c r="AR516" s="798"/>
      <c r="AS516" s="798"/>
      <c r="AT516" s="798"/>
      <c r="AU516" s="798"/>
      <c r="AV516" s="798"/>
      <c r="AW516" s="798"/>
      <c r="AX516" s="798"/>
      <c r="AY516" s="798"/>
      <c r="AZ516" s="798"/>
      <c r="BA516" s="798"/>
      <c r="BB516" s="798"/>
      <c r="BC516" s="798"/>
      <c r="BD516" s="798"/>
      <c r="BE516" s="798"/>
      <c r="BF516" s="798"/>
      <c r="BG516" s="798"/>
      <c r="BH516" s="798"/>
      <c r="BI516" s="798"/>
      <c r="BJ516" s="798"/>
      <c r="BK516" s="798"/>
      <c r="BL516" s="798"/>
      <c r="BM516" s="798"/>
      <c r="BN516" s="798"/>
      <c r="BO516" s="798"/>
      <c r="BP516" s="798"/>
      <c r="BQ516" s="798"/>
      <c r="BR516" s="798"/>
      <c r="BS516" s="798"/>
      <c r="BT516" s="798"/>
      <c r="BU516" s="798"/>
      <c r="BV516" s="798"/>
      <c r="BW516" s="798"/>
      <c r="BX516" s="798"/>
      <c r="BY516" s="798"/>
      <c r="BZ516" s="798"/>
      <c r="CA516" s="798"/>
      <c r="CB516" s="798"/>
      <c r="CC516" s="798"/>
      <c r="CD516" s="798"/>
      <c r="CE516" s="798"/>
      <c r="CF516" s="798"/>
      <c r="CG516" s="798"/>
      <c r="CH516" s="798"/>
      <c r="CI516" s="798"/>
      <c r="CJ516" s="798"/>
      <c r="CK516" s="798"/>
      <c r="CL516" s="798"/>
      <c r="CM516" s="798"/>
      <c r="CN516" s="798"/>
      <c r="CO516" s="798"/>
      <c r="CP516" s="798"/>
      <c r="CQ516" s="798"/>
      <c r="CR516" s="798"/>
      <c r="CS516" s="798"/>
      <c r="CT516" s="798"/>
      <c r="CU516" s="798"/>
      <c r="CV516" s="798"/>
      <c r="CW516" s="798"/>
      <c r="CX516" s="798"/>
      <c r="CY516" s="798"/>
      <c r="CZ516" s="798"/>
      <c r="DA516" s="798"/>
      <c r="DB516" s="798"/>
      <c r="DC516" s="798"/>
      <c r="DD516" s="798"/>
      <c r="DE516" s="798"/>
      <c r="DF516" s="798"/>
      <c r="DG516" s="798"/>
      <c r="DH516" s="798"/>
      <c r="DI516" s="798"/>
      <c r="DJ516" s="798"/>
      <c r="DK516" s="798"/>
      <c r="DL516" s="798"/>
      <c r="DM516" s="798"/>
      <c r="DN516" s="798"/>
      <c r="DO516" s="798"/>
      <c r="DP516" s="798"/>
      <c r="DQ516" s="798"/>
      <c r="DR516" s="798"/>
      <c r="DS516" s="798"/>
      <c r="DT516" s="798"/>
      <c r="DU516" s="798"/>
      <c r="DV516" s="798"/>
      <c r="DW516" s="798"/>
      <c r="DX516" s="798"/>
      <c r="DY516" s="798"/>
      <c r="DZ516" s="798"/>
      <c r="EA516" s="798"/>
      <c r="EB516" s="798"/>
      <c r="EC516" s="798"/>
      <c r="ED516" s="798"/>
      <c r="EE516" s="798"/>
      <c r="EF516" s="798"/>
      <c r="EG516" s="798"/>
      <c r="EH516" s="782"/>
    </row>
    <row r="517" spans="1:138" ht="12.75" customHeight="1" x14ac:dyDescent="0.3">
      <c r="A517" s="782"/>
      <c r="B517" s="782" t="s">
        <v>10</v>
      </c>
      <c r="C517" s="798">
        <v>-1333333.333333333</v>
      </c>
      <c r="D517" s="782"/>
      <c r="E517" s="798">
        <v>-111111.11111111111</v>
      </c>
      <c r="F517" s="798">
        <v>-166666.66666666663</v>
      </c>
      <c r="G517" s="798">
        <v>-166666.66666666663</v>
      </c>
      <c r="H517" s="798">
        <v>-166666.66666666663</v>
      </c>
      <c r="I517" s="798">
        <v>-166666.66666666663</v>
      </c>
      <c r="J517" s="798">
        <v>-166666.66666666663</v>
      </c>
      <c r="K517" s="798">
        <v>-166666.66666666663</v>
      </c>
      <c r="L517" s="798">
        <v>-166666.66666666663</v>
      </c>
      <c r="M517" s="798">
        <v>-55555.555555555547</v>
      </c>
      <c r="N517" s="798"/>
      <c r="O517" s="798"/>
      <c r="P517" s="798"/>
      <c r="Q517" s="798"/>
      <c r="R517" s="798"/>
      <c r="S517" s="798"/>
      <c r="T517" s="798"/>
      <c r="U517" s="798"/>
      <c r="V517" s="798"/>
      <c r="W517" s="798"/>
      <c r="X517" s="798"/>
      <c r="Y517" s="798"/>
      <c r="Z517" s="798"/>
      <c r="AA517" s="798"/>
      <c r="AB517" s="798"/>
      <c r="AC517" s="798"/>
      <c r="AD517" s="798"/>
      <c r="AE517" s="798"/>
      <c r="AF517" s="798"/>
      <c r="AG517" s="798"/>
      <c r="AH517" s="798"/>
      <c r="AI517" s="798"/>
      <c r="AJ517" s="798"/>
      <c r="AK517" s="798"/>
      <c r="AL517" s="798"/>
      <c r="AM517" s="798"/>
      <c r="AN517" s="798"/>
      <c r="AO517" s="798"/>
      <c r="AP517" s="798"/>
      <c r="AQ517" s="798"/>
      <c r="AR517" s="798"/>
      <c r="AS517" s="798"/>
      <c r="AT517" s="798"/>
      <c r="AU517" s="798"/>
      <c r="AV517" s="798"/>
      <c r="AW517" s="798"/>
      <c r="AX517" s="798"/>
      <c r="AY517" s="798"/>
      <c r="AZ517" s="798"/>
      <c r="BA517" s="798"/>
      <c r="BB517" s="798"/>
      <c r="BC517" s="798"/>
      <c r="BD517" s="798"/>
      <c r="BE517" s="798"/>
      <c r="BF517" s="798"/>
      <c r="BG517" s="798"/>
      <c r="BH517" s="798"/>
      <c r="BI517" s="798"/>
      <c r="BJ517" s="798"/>
      <c r="BK517" s="798"/>
      <c r="BL517" s="798"/>
      <c r="BM517" s="798"/>
      <c r="BN517" s="798"/>
      <c r="BO517" s="798"/>
      <c r="BP517" s="798"/>
      <c r="BQ517" s="798"/>
      <c r="BR517" s="798"/>
      <c r="BS517" s="798"/>
      <c r="BT517" s="798"/>
      <c r="BU517" s="798"/>
      <c r="BV517" s="798"/>
      <c r="BW517" s="798"/>
      <c r="BX517" s="798"/>
      <c r="BY517" s="798"/>
      <c r="BZ517" s="798"/>
      <c r="CA517" s="798"/>
      <c r="CB517" s="798"/>
      <c r="CC517" s="798"/>
      <c r="CD517" s="798"/>
      <c r="CE517" s="798"/>
      <c r="CF517" s="798"/>
      <c r="CG517" s="798"/>
      <c r="CH517" s="798"/>
      <c r="CI517" s="798"/>
      <c r="CJ517" s="798"/>
      <c r="CK517" s="798"/>
      <c r="CL517" s="798"/>
      <c r="CM517" s="798"/>
      <c r="CN517" s="798"/>
      <c r="CO517" s="798"/>
      <c r="CP517" s="798"/>
      <c r="CQ517" s="798"/>
      <c r="CR517" s="798"/>
      <c r="CS517" s="798"/>
      <c r="CT517" s="798"/>
      <c r="CU517" s="798"/>
      <c r="CV517" s="798"/>
      <c r="CW517" s="798"/>
      <c r="CX517" s="798"/>
      <c r="CY517" s="798"/>
      <c r="CZ517" s="798"/>
      <c r="DA517" s="798"/>
      <c r="DB517" s="798"/>
      <c r="DC517" s="798"/>
      <c r="DD517" s="798"/>
      <c r="DE517" s="798"/>
      <c r="DF517" s="798"/>
      <c r="DG517" s="798"/>
      <c r="DH517" s="798"/>
      <c r="DI517" s="798"/>
      <c r="DJ517" s="798"/>
      <c r="DK517" s="798"/>
      <c r="DL517" s="798"/>
      <c r="DM517" s="798"/>
      <c r="DN517" s="798"/>
      <c r="DO517" s="798"/>
      <c r="DP517" s="798"/>
      <c r="DQ517" s="798"/>
      <c r="DR517" s="798"/>
      <c r="DS517" s="798"/>
      <c r="DT517" s="798"/>
      <c r="DU517" s="798"/>
      <c r="DV517" s="798"/>
      <c r="DW517" s="798"/>
      <c r="DX517" s="798"/>
      <c r="DY517" s="798"/>
      <c r="DZ517" s="798"/>
      <c r="EA517" s="798"/>
      <c r="EB517" s="798"/>
      <c r="EC517" s="798"/>
      <c r="ED517" s="798"/>
      <c r="EE517" s="798"/>
      <c r="EF517" s="798"/>
      <c r="EG517" s="798"/>
      <c r="EH517" s="782"/>
    </row>
    <row r="518" spans="1:138" ht="12.75" customHeight="1" x14ac:dyDescent="0.3">
      <c r="A518" s="782"/>
      <c r="B518" s="782" t="s">
        <v>11</v>
      </c>
      <c r="C518" s="798">
        <v>105188611.43370894</v>
      </c>
      <c r="D518" s="782"/>
      <c r="E518" s="798">
        <v>0</v>
      </c>
      <c r="F518" s="798">
        <v>0</v>
      </c>
      <c r="G518" s="798">
        <v>0</v>
      </c>
      <c r="H518" s="798">
        <v>0</v>
      </c>
      <c r="I518" s="798">
        <v>0</v>
      </c>
      <c r="J518" s="798">
        <v>0</v>
      </c>
      <c r="K518" s="798">
        <v>0</v>
      </c>
      <c r="L518" s="798">
        <v>0</v>
      </c>
      <c r="M518" s="798">
        <v>105188611.43370894</v>
      </c>
      <c r="N518" s="798"/>
      <c r="O518" s="798"/>
      <c r="P518" s="798"/>
      <c r="Q518" s="798"/>
      <c r="R518" s="798"/>
      <c r="S518" s="798"/>
      <c r="T518" s="798"/>
      <c r="U518" s="798"/>
      <c r="V518" s="798"/>
      <c r="W518" s="798"/>
      <c r="X518" s="798"/>
      <c r="Y518" s="798"/>
      <c r="Z518" s="798"/>
      <c r="AA518" s="798"/>
      <c r="AB518" s="798"/>
      <c r="AC518" s="798"/>
      <c r="AD518" s="798"/>
      <c r="AE518" s="798"/>
      <c r="AF518" s="798"/>
      <c r="AG518" s="798"/>
      <c r="AH518" s="798"/>
      <c r="AI518" s="798"/>
      <c r="AJ518" s="798"/>
      <c r="AK518" s="798"/>
      <c r="AL518" s="798"/>
      <c r="AM518" s="798"/>
      <c r="AN518" s="798"/>
      <c r="AO518" s="798"/>
      <c r="AP518" s="798"/>
      <c r="AQ518" s="798"/>
      <c r="AR518" s="798"/>
      <c r="AS518" s="798"/>
      <c r="AT518" s="798"/>
      <c r="AU518" s="798"/>
      <c r="AV518" s="798"/>
      <c r="AW518" s="798"/>
      <c r="AX518" s="798"/>
      <c r="AY518" s="798"/>
      <c r="AZ518" s="798"/>
      <c r="BA518" s="798"/>
      <c r="BB518" s="798"/>
      <c r="BC518" s="798"/>
      <c r="BD518" s="798"/>
      <c r="BE518" s="798"/>
      <c r="BF518" s="798"/>
      <c r="BG518" s="798"/>
      <c r="BH518" s="798"/>
      <c r="BI518" s="798"/>
      <c r="BJ518" s="798"/>
      <c r="BK518" s="798"/>
      <c r="BL518" s="798"/>
      <c r="BM518" s="798"/>
      <c r="BN518" s="798"/>
      <c r="BO518" s="798"/>
      <c r="BP518" s="798"/>
      <c r="BQ518" s="798"/>
      <c r="BR518" s="798"/>
      <c r="BS518" s="798"/>
      <c r="BT518" s="798"/>
      <c r="BU518" s="798"/>
      <c r="BV518" s="798"/>
      <c r="BW518" s="798"/>
      <c r="BX518" s="798"/>
      <c r="BY518" s="798"/>
      <c r="BZ518" s="798"/>
      <c r="CA518" s="798"/>
      <c r="CB518" s="798"/>
      <c r="CC518" s="798"/>
      <c r="CD518" s="798"/>
      <c r="CE518" s="798"/>
      <c r="CF518" s="798"/>
      <c r="CG518" s="798"/>
      <c r="CH518" s="798"/>
      <c r="CI518" s="798"/>
      <c r="CJ518" s="798"/>
      <c r="CK518" s="798"/>
      <c r="CL518" s="798"/>
      <c r="CM518" s="798"/>
      <c r="CN518" s="798"/>
      <c r="CO518" s="798"/>
      <c r="CP518" s="798"/>
      <c r="CQ518" s="798"/>
      <c r="CR518" s="798"/>
      <c r="CS518" s="798"/>
      <c r="CT518" s="798"/>
      <c r="CU518" s="798"/>
      <c r="CV518" s="798"/>
      <c r="CW518" s="798"/>
      <c r="CX518" s="798"/>
      <c r="CY518" s="798"/>
      <c r="CZ518" s="798"/>
      <c r="DA518" s="798"/>
      <c r="DB518" s="798"/>
      <c r="DC518" s="798"/>
      <c r="DD518" s="798"/>
      <c r="DE518" s="798"/>
      <c r="DF518" s="798"/>
      <c r="DG518" s="798"/>
      <c r="DH518" s="798"/>
      <c r="DI518" s="798"/>
      <c r="DJ518" s="798"/>
      <c r="DK518" s="798"/>
      <c r="DL518" s="798"/>
      <c r="DM518" s="798"/>
      <c r="DN518" s="798"/>
      <c r="DO518" s="798"/>
      <c r="DP518" s="798"/>
      <c r="DQ518" s="798"/>
      <c r="DR518" s="798"/>
      <c r="DS518" s="798"/>
      <c r="DT518" s="798"/>
      <c r="DU518" s="798"/>
      <c r="DV518" s="798"/>
      <c r="DW518" s="798"/>
      <c r="DX518" s="798"/>
      <c r="DY518" s="798"/>
      <c r="DZ518" s="798"/>
      <c r="EA518" s="798"/>
      <c r="EB518" s="798"/>
      <c r="EC518" s="798"/>
      <c r="ED518" s="798"/>
      <c r="EE518" s="798"/>
      <c r="EF518" s="798"/>
      <c r="EG518" s="798"/>
      <c r="EH518" s="782"/>
    </row>
    <row r="519" spans="1:138" ht="12.75" customHeight="1" x14ac:dyDescent="0.3">
      <c r="A519" s="782"/>
      <c r="B519" s="821" t="s">
        <v>12</v>
      </c>
      <c r="C519" s="822">
        <v>57451271.187380627</v>
      </c>
      <c r="D519" s="821"/>
      <c r="E519" s="822">
        <v>-31681186.484056842</v>
      </c>
      <c r="F519" s="822">
        <v>-45115114.640560813</v>
      </c>
      <c r="G519" s="822">
        <v>2845485.7670700802</v>
      </c>
      <c r="H519" s="822">
        <v>4598280.6872015521</v>
      </c>
      <c r="I519" s="822">
        <v>4741229.107817607</v>
      </c>
      <c r="J519" s="822">
        <v>4888465.9810521407</v>
      </c>
      <c r="K519" s="822">
        <v>5040119.9604837103</v>
      </c>
      <c r="L519" s="822">
        <v>5196323.5592982294</v>
      </c>
      <c r="M519" s="822">
        <v>106937667.24907498</v>
      </c>
      <c r="N519" s="798"/>
      <c r="O519" s="798"/>
      <c r="P519" s="798"/>
      <c r="Q519" s="798"/>
      <c r="R519" s="798"/>
      <c r="S519" s="798"/>
      <c r="T519" s="798"/>
      <c r="U519" s="798"/>
      <c r="V519" s="798"/>
      <c r="W519" s="798"/>
      <c r="X519" s="798"/>
      <c r="Y519" s="798"/>
      <c r="Z519" s="798"/>
      <c r="AA519" s="798"/>
      <c r="AB519" s="798"/>
      <c r="AC519" s="798"/>
      <c r="AD519" s="798"/>
      <c r="AE519" s="798"/>
      <c r="AF519" s="798"/>
      <c r="AG519" s="798"/>
      <c r="AH519" s="798"/>
      <c r="AI519" s="798"/>
      <c r="AJ519" s="798"/>
      <c r="AK519" s="798"/>
      <c r="AL519" s="798"/>
      <c r="AM519" s="798"/>
      <c r="AN519" s="798"/>
      <c r="AO519" s="798"/>
      <c r="AP519" s="798"/>
      <c r="AQ519" s="798"/>
      <c r="AR519" s="798"/>
      <c r="AS519" s="798"/>
      <c r="AT519" s="798"/>
      <c r="AU519" s="798"/>
      <c r="AV519" s="798"/>
      <c r="AW519" s="798"/>
      <c r="AX519" s="798"/>
      <c r="AY519" s="798"/>
      <c r="AZ519" s="798"/>
      <c r="BA519" s="798"/>
      <c r="BB519" s="798"/>
      <c r="BC519" s="798"/>
      <c r="BD519" s="798"/>
      <c r="BE519" s="798"/>
      <c r="BF519" s="798"/>
      <c r="BG519" s="798"/>
      <c r="BH519" s="798"/>
      <c r="BI519" s="798"/>
      <c r="BJ519" s="798"/>
      <c r="BK519" s="798"/>
      <c r="BL519" s="798"/>
      <c r="BM519" s="798"/>
      <c r="BN519" s="798"/>
      <c r="BO519" s="798"/>
      <c r="BP519" s="798"/>
      <c r="BQ519" s="798"/>
      <c r="BR519" s="798"/>
      <c r="BS519" s="798"/>
      <c r="BT519" s="798"/>
      <c r="BU519" s="798"/>
      <c r="BV519" s="798"/>
      <c r="BW519" s="798"/>
      <c r="BX519" s="798"/>
      <c r="BY519" s="798"/>
      <c r="BZ519" s="798"/>
      <c r="CA519" s="798"/>
      <c r="CB519" s="798"/>
      <c r="CC519" s="798"/>
      <c r="CD519" s="798"/>
      <c r="CE519" s="798"/>
      <c r="CF519" s="798"/>
      <c r="CG519" s="798"/>
      <c r="CH519" s="798"/>
      <c r="CI519" s="798"/>
      <c r="CJ519" s="798"/>
      <c r="CK519" s="798"/>
      <c r="CL519" s="798"/>
      <c r="CM519" s="798"/>
      <c r="CN519" s="798"/>
      <c r="CO519" s="798"/>
      <c r="CP519" s="798"/>
      <c r="CQ519" s="798"/>
      <c r="CR519" s="798"/>
      <c r="CS519" s="798"/>
      <c r="CT519" s="798"/>
      <c r="CU519" s="798"/>
      <c r="CV519" s="798"/>
      <c r="CW519" s="798"/>
      <c r="CX519" s="798"/>
      <c r="CY519" s="798"/>
      <c r="CZ519" s="798"/>
      <c r="DA519" s="798"/>
      <c r="DB519" s="798"/>
      <c r="DC519" s="798"/>
      <c r="DD519" s="798"/>
      <c r="DE519" s="798"/>
      <c r="DF519" s="798"/>
      <c r="DG519" s="798"/>
      <c r="DH519" s="798"/>
      <c r="DI519" s="798"/>
      <c r="DJ519" s="798"/>
      <c r="DK519" s="798"/>
      <c r="DL519" s="798"/>
      <c r="DM519" s="798"/>
      <c r="DN519" s="798"/>
      <c r="DO519" s="798"/>
      <c r="DP519" s="798"/>
      <c r="DQ519" s="798"/>
      <c r="DR519" s="798"/>
      <c r="DS519" s="798"/>
      <c r="DT519" s="798"/>
      <c r="DU519" s="798"/>
      <c r="DV519" s="798"/>
      <c r="DW519" s="798"/>
      <c r="DX519" s="798"/>
      <c r="DY519" s="798"/>
      <c r="DZ519" s="798"/>
      <c r="EA519" s="798"/>
      <c r="EB519" s="798"/>
      <c r="EC519" s="798"/>
      <c r="ED519" s="798"/>
      <c r="EE519" s="798"/>
      <c r="EF519" s="798"/>
      <c r="EG519" s="798"/>
      <c r="EH519" s="782"/>
    </row>
    <row r="520" spans="1:138" ht="12.75" customHeight="1" x14ac:dyDescent="0.3">
      <c r="A520" s="782"/>
      <c r="B520" s="800" t="s">
        <v>13</v>
      </c>
      <c r="C520" s="801">
        <v>8.9478340744972268E-2</v>
      </c>
      <c r="D520" s="782"/>
      <c r="E520" s="798"/>
      <c r="F520" s="798"/>
      <c r="G520" s="798"/>
      <c r="H520" s="798"/>
      <c r="I520" s="798"/>
      <c r="J520" s="798"/>
      <c r="K520" s="798"/>
      <c r="L520" s="798"/>
      <c r="M520" s="798"/>
      <c r="N520" s="798"/>
      <c r="O520" s="798"/>
      <c r="P520" s="798"/>
      <c r="Q520" s="798"/>
      <c r="R520" s="798"/>
      <c r="S520" s="798"/>
      <c r="T520" s="798"/>
      <c r="U520" s="798"/>
      <c r="V520" s="798"/>
      <c r="W520" s="798"/>
      <c r="X520" s="798"/>
      <c r="Y520" s="798"/>
      <c r="Z520" s="798"/>
      <c r="AA520" s="798"/>
      <c r="AB520" s="798"/>
      <c r="AC520" s="798"/>
      <c r="AD520" s="798"/>
      <c r="AE520" s="798"/>
      <c r="AF520" s="798"/>
      <c r="AG520" s="798"/>
      <c r="AH520" s="798"/>
      <c r="AI520" s="798"/>
      <c r="AJ520" s="798"/>
      <c r="AK520" s="798"/>
      <c r="AL520" s="798"/>
      <c r="AM520" s="798"/>
      <c r="AN520" s="798"/>
      <c r="AO520" s="798"/>
      <c r="AP520" s="798"/>
      <c r="AQ520" s="798"/>
      <c r="AR520" s="798"/>
      <c r="AS520" s="798"/>
      <c r="AT520" s="798"/>
      <c r="AU520" s="798"/>
      <c r="AV520" s="798"/>
      <c r="AW520" s="798"/>
      <c r="AX520" s="798"/>
      <c r="AY520" s="798"/>
      <c r="AZ520" s="798"/>
      <c r="BA520" s="798"/>
      <c r="BB520" s="798"/>
      <c r="BC520" s="798"/>
      <c r="BD520" s="798"/>
      <c r="BE520" s="798"/>
      <c r="BF520" s="798"/>
      <c r="BG520" s="798"/>
      <c r="BH520" s="798"/>
      <c r="BI520" s="798"/>
      <c r="BJ520" s="798"/>
      <c r="BK520" s="798"/>
      <c r="BL520" s="798"/>
      <c r="BM520" s="798"/>
      <c r="BN520" s="798"/>
      <c r="BO520" s="798"/>
      <c r="BP520" s="798"/>
      <c r="BQ520" s="798"/>
      <c r="BR520" s="798"/>
      <c r="BS520" s="798"/>
      <c r="BT520" s="798"/>
      <c r="BU520" s="798"/>
      <c r="BV520" s="798"/>
      <c r="BW520" s="798"/>
      <c r="BX520" s="798"/>
      <c r="BY520" s="798"/>
      <c r="BZ520" s="798"/>
      <c r="CA520" s="798"/>
      <c r="CB520" s="798"/>
      <c r="CC520" s="798"/>
      <c r="CD520" s="798"/>
      <c r="CE520" s="798"/>
      <c r="CF520" s="798"/>
      <c r="CG520" s="798"/>
      <c r="CH520" s="798"/>
      <c r="CI520" s="798"/>
      <c r="CJ520" s="798"/>
      <c r="CK520" s="798"/>
      <c r="CL520" s="798"/>
      <c r="CM520" s="798"/>
      <c r="CN520" s="798"/>
      <c r="CO520" s="798"/>
      <c r="CP520" s="798"/>
      <c r="CQ520" s="798"/>
      <c r="CR520" s="798"/>
      <c r="CS520" s="798"/>
      <c r="CT520" s="798"/>
      <c r="CU520" s="798"/>
      <c r="CV520" s="798"/>
      <c r="CW520" s="798"/>
      <c r="CX520" s="798"/>
      <c r="CY520" s="798"/>
      <c r="CZ520" s="798"/>
      <c r="DA520" s="798"/>
      <c r="DB520" s="798"/>
      <c r="DC520" s="798"/>
      <c r="DD520" s="798"/>
      <c r="DE520" s="798"/>
      <c r="DF520" s="798"/>
      <c r="DG520" s="798"/>
      <c r="DH520" s="798"/>
      <c r="DI520" s="798"/>
      <c r="DJ520" s="798"/>
      <c r="DK520" s="798"/>
      <c r="DL520" s="798"/>
      <c r="DM520" s="798"/>
      <c r="DN520" s="798"/>
      <c r="DO520" s="798"/>
      <c r="DP520" s="798"/>
      <c r="DQ520" s="798"/>
      <c r="DR520" s="798"/>
      <c r="DS520" s="798"/>
      <c r="DT520" s="798"/>
      <c r="DU520" s="798"/>
      <c r="DV520" s="798"/>
      <c r="DW520" s="798"/>
      <c r="DX520" s="798"/>
      <c r="DY520" s="798"/>
      <c r="DZ520" s="798"/>
      <c r="EA520" s="798"/>
      <c r="EB520" s="798"/>
      <c r="EC520" s="798"/>
      <c r="ED520" s="798"/>
      <c r="EE520" s="798"/>
      <c r="EF520" s="798"/>
      <c r="EG520" s="798"/>
      <c r="EH520" s="782"/>
    </row>
    <row r="521" spans="1:138" ht="12.75" customHeight="1" x14ac:dyDescent="0.3">
      <c r="A521" s="782"/>
      <c r="B521" s="782"/>
      <c r="D521" s="782"/>
      <c r="E521" s="798"/>
      <c r="F521" s="798"/>
      <c r="G521" s="798"/>
      <c r="H521" s="798"/>
      <c r="I521" s="798"/>
      <c r="J521" s="798"/>
      <c r="K521" s="798"/>
      <c r="L521" s="798"/>
      <c r="M521" s="798"/>
      <c r="N521" s="798"/>
      <c r="O521" s="798"/>
      <c r="P521" s="798"/>
      <c r="Q521" s="798"/>
      <c r="R521" s="798"/>
      <c r="S521" s="798"/>
      <c r="T521" s="798"/>
      <c r="U521" s="798"/>
      <c r="V521" s="798"/>
      <c r="W521" s="798"/>
      <c r="X521" s="798"/>
      <c r="Y521" s="798"/>
      <c r="Z521" s="798"/>
      <c r="AA521" s="798"/>
      <c r="AB521" s="798"/>
      <c r="AC521" s="798"/>
      <c r="AD521" s="798"/>
      <c r="AE521" s="798"/>
      <c r="AF521" s="798"/>
      <c r="AG521" s="798"/>
      <c r="AH521" s="798"/>
      <c r="AI521" s="798"/>
      <c r="AJ521" s="798"/>
      <c r="AK521" s="798"/>
      <c r="AL521" s="798"/>
      <c r="AM521" s="798"/>
      <c r="AN521" s="798"/>
      <c r="AO521" s="798"/>
      <c r="AP521" s="798"/>
      <c r="AQ521" s="798"/>
      <c r="AR521" s="798"/>
      <c r="AS521" s="798"/>
      <c r="AT521" s="798"/>
      <c r="AU521" s="798"/>
      <c r="AV521" s="798"/>
      <c r="AW521" s="798"/>
      <c r="AX521" s="798"/>
      <c r="AY521" s="798"/>
      <c r="AZ521" s="798"/>
      <c r="BA521" s="798"/>
      <c r="BB521" s="798"/>
      <c r="BC521" s="798"/>
      <c r="BD521" s="798"/>
      <c r="BE521" s="798"/>
      <c r="BF521" s="798"/>
      <c r="BG521" s="798"/>
      <c r="BH521" s="798"/>
      <c r="BI521" s="798"/>
      <c r="BJ521" s="798"/>
      <c r="BK521" s="798"/>
      <c r="BL521" s="798"/>
      <c r="BM521" s="798"/>
      <c r="BN521" s="798"/>
      <c r="BO521" s="798"/>
      <c r="BP521" s="798"/>
      <c r="BQ521" s="798"/>
      <c r="BR521" s="798"/>
      <c r="BS521" s="798"/>
      <c r="BT521" s="798"/>
      <c r="BU521" s="798"/>
      <c r="BV521" s="798"/>
      <c r="BW521" s="798"/>
      <c r="BX521" s="798"/>
      <c r="BY521" s="798"/>
      <c r="BZ521" s="798"/>
      <c r="CA521" s="798"/>
      <c r="CB521" s="798"/>
      <c r="CC521" s="798"/>
      <c r="CD521" s="798"/>
      <c r="CE521" s="798"/>
      <c r="CF521" s="798"/>
      <c r="CG521" s="798"/>
      <c r="CH521" s="798"/>
      <c r="CI521" s="798"/>
      <c r="CJ521" s="798"/>
      <c r="CK521" s="798"/>
      <c r="CL521" s="798"/>
      <c r="CM521" s="798"/>
      <c r="CN521" s="798"/>
      <c r="CO521" s="798"/>
      <c r="CP521" s="798"/>
      <c r="CQ521" s="798"/>
      <c r="CR521" s="798"/>
      <c r="CS521" s="798"/>
      <c r="CT521" s="798"/>
      <c r="CU521" s="798"/>
      <c r="CV521" s="798"/>
      <c r="CW521" s="798"/>
      <c r="CX521" s="798"/>
      <c r="CY521" s="798"/>
      <c r="CZ521" s="798"/>
      <c r="DA521" s="798"/>
      <c r="DB521" s="798"/>
      <c r="DC521" s="798"/>
      <c r="DD521" s="798"/>
      <c r="DE521" s="798"/>
      <c r="DF521" s="798"/>
      <c r="DG521" s="798"/>
      <c r="DH521" s="798"/>
      <c r="DI521" s="798"/>
      <c r="DJ521" s="798"/>
      <c r="DK521" s="798"/>
      <c r="DL521" s="798"/>
      <c r="DM521" s="798"/>
      <c r="DN521" s="798"/>
      <c r="DO521" s="798"/>
      <c r="DP521" s="798"/>
      <c r="DQ521" s="798"/>
      <c r="DR521" s="798"/>
      <c r="DS521" s="798"/>
      <c r="DT521" s="798"/>
      <c r="DU521" s="798"/>
      <c r="DV521" s="798"/>
      <c r="DW521" s="798"/>
      <c r="DX521" s="798"/>
      <c r="DY521" s="798"/>
      <c r="DZ521" s="798"/>
      <c r="EA521" s="798"/>
      <c r="EB521" s="798"/>
      <c r="EC521" s="798"/>
      <c r="ED521" s="798"/>
      <c r="EE521" s="798"/>
      <c r="EF521" s="798"/>
      <c r="EG521" s="798"/>
      <c r="EH521" s="782"/>
    </row>
    <row r="522" spans="1:138" ht="12.75" customHeight="1" x14ac:dyDescent="0.3">
      <c r="A522" s="782"/>
      <c r="B522" s="782" t="s">
        <v>14</v>
      </c>
      <c r="C522" s="798">
        <v>-1292212.775325272</v>
      </c>
      <c r="D522" s="798"/>
      <c r="E522" s="798">
        <v>-678419.09286108555</v>
      </c>
      <c r="F522" s="798">
        <v>-36000</v>
      </c>
      <c r="G522" s="798">
        <v>-577793.68246418645</v>
      </c>
      <c r="H522" s="798">
        <v>0</v>
      </c>
      <c r="I522" s="798">
        <v>0</v>
      </c>
      <c r="J522" s="798">
        <v>0</v>
      </c>
      <c r="K522" s="798">
        <v>0</v>
      </c>
      <c r="L522" s="798">
        <v>0</v>
      </c>
      <c r="M522" s="798">
        <v>0</v>
      </c>
      <c r="N522" s="798"/>
      <c r="O522" s="798"/>
      <c r="P522" s="798"/>
      <c r="Q522" s="798"/>
      <c r="R522" s="798"/>
      <c r="S522" s="798"/>
      <c r="T522" s="798"/>
      <c r="U522" s="798"/>
      <c r="V522" s="798"/>
      <c r="W522" s="798"/>
      <c r="X522" s="798"/>
      <c r="Y522" s="798"/>
      <c r="Z522" s="798"/>
      <c r="AA522" s="798"/>
      <c r="AB522" s="798"/>
      <c r="AC522" s="798"/>
      <c r="AD522" s="798"/>
      <c r="AE522" s="798"/>
      <c r="AF522" s="798"/>
      <c r="AG522" s="798"/>
      <c r="AH522" s="798"/>
      <c r="AI522" s="798"/>
      <c r="AJ522" s="798"/>
      <c r="AK522" s="798"/>
      <c r="AL522" s="798"/>
      <c r="AM522" s="798"/>
      <c r="AN522" s="798"/>
      <c r="AO522" s="798"/>
      <c r="AP522" s="798"/>
      <c r="AQ522" s="798"/>
      <c r="AR522" s="798"/>
      <c r="AS522" s="798"/>
      <c r="AT522" s="798"/>
      <c r="AU522" s="798"/>
      <c r="AV522" s="798"/>
      <c r="AW522" s="798"/>
      <c r="AX522" s="798"/>
      <c r="AY522" s="798"/>
      <c r="AZ522" s="798"/>
      <c r="BA522" s="798"/>
      <c r="BB522" s="798"/>
      <c r="BC522" s="798"/>
      <c r="BD522" s="798"/>
      <c r="BE522" s="798"/>
      <c r="BF522" s="798"/>
      <c r="BG522" s="798"/>
      <c r="BH522" s="798"/>
      <c r="BI522" s="798"/>
      <c r="BJ522" s="798"/>
      <c r="BK522" s="798"/>
      <c r="BL522" s="798"/>
      <c r="BM522" s="798"/>
      <c r="BN522" s="798"/>
      <c r="BO522" s="798"/>
      <c r="BP522" s="798"/>
      <c r="BQ522" s="798"/>
      <c r="BR522" s="798"/>
      <c r="BS522" s="798"/>
      <c r="BT522" s="798"/>
      <c r="BU522" s="798"/>
      <c r="BV522" s="798"/>
      <c r="BW522" s="798"/>
      <c r="BX522" s="798"/>
      <c r="BY522" s="798"/>
      <c r="BZ522" s="798"/>
      <c r="CA522" s="798"/>
      <c r="CB522" s="798"/>
      <c r="CC522" s="798"/>
      <c r="CD522" s="798"/>
      <c r="CE522" s="798"/>
      <c r="CF522" s="798"/>
      <c r="CG522" s="798"/>
      <c r="CH522" s="798"/>
      <c r="CI522" s="798"/>
      <c r="CJ522" s="798"/>
      <c r="CK522" s="798"/>
      <c r="CL522" s="798"/>
      <c r="CM522" s="798"/>
      <c r="CN522" s="798"/>
      <c r="CO522" s="798"/>
      <c r="CP522" s="798"/>
      <c r="CQ522" s="798"/>
      <c r="CR522" s="798"/>
      <c r="CS522" s="798"/>
      <c r="CT522" s="798"/>
      <c r="CU522" s="798"/>
      <c r="CV522" s="798"/>
      <c r="CW522" s="798"/>
      <c r="CX522" s="798"/>
      <c r="CY522" s="798"/>
      <c r="CZ522" s="798"/>
      <c r="DA522" s="798"/>
      <c r="DB522" s="798"/>
      <c r="DC522" s="798"/>
      <c r="DD522" s="798"/>
      <c r="DE522" s="798"/>
      <c r="DF522" s="798"/>
      <c r="DG522" s="798"/>
      <c r="DH522" s="798"/>
      <c r="DI522" s="798"/>
      <c r="DJ522" s="798"/>
      <c r="DK522" s="798"/>
      <c r="DL522" s="798"/>
      <c r="DM522" s="798"/>
      <c r="DN522" s="798"/>
      <c r="DO522" s="798"/>
      <c r="DP522" s="798"/>
      <c r="DQ522" s="798"/>
      <c r="DR522" s="798"/>
      <c r="DS522" s="798"/>
      <c r="DT522" s="798"/>
      <c r="DU522" s="798"/>
      <c r="DV522" s="798"/>
      <c r="DW522" s="798"/>
      <c r="DX522" s="798"/>
      <c r="DY522" s="798"/>
      <c r="DZ522" s="798"/>
      <c r="EA522" s="798"/>
      <c r="EB522" s="798"/>
      <c r="EC522" s="798"/>
      <c r="ED522" s="798"/>
      <c r="EE522" s="798"/>
      <c r="EF522" s="798"/>
      <c r="EG522" s="798"/>
      <c r="EH522" s="782"/>
    </row>
    <row r="523" spans="1:138" ht="12.75" customHeight="1" x14ac:dyDescent="0.3">
      <c r="A523" s="782"/>
      <c r="B523" s="782" t="s">
        <v>15</v>
      </c>
      <c r="C523" s="798">
        <v>-2707265.7747880747</v>
      </c>
      <c r="D523" s="798"/>
      <c r="E523" s="798">
        <v>0</v>
      </c>
      <c r="F523" s="798">
        <v>-921665.90524354985</v>
      </c>
      <c r="G523" s="798">
        <v>-1785599.8695445247</v>
      </c>
      <c r="H523" s="798">
        <v>0</v>
      </c>
      <c r="I523" s="798">
        <v>0</v>
      </c>
      <c r="J523" s="798">
        <v>0</v>
      </c>
      <c r="K523" s="798">
        <v>0</v>
      </c>
      <c r="L523" s="798">
        <v>0</v>
      </c>
      <c r="M523" s="798">
        <v>0</v>
      </c>
      <c r="N523" s="798"/>
      <c r="O523" s="798"/>
      <c r="P523" s="798"/>
      <c r="Q523" s="798"/>
      <c r="R523" s="798"/>
      <c r="S523" s="798"/>
      <c r="T523" s="798"/>
      <c r="U523" s="798"/>
      <c r="V523" s="798"/>
      <c r="W523" s="798"/>
      <c r="X523" s="798"/>
      <c r="Y523" s="798"/>
      <c r="Z523" s="798"/>
      <c r="AA523" s="798"/>
      <c r="AB523" s="798"/>
      <c r="AC523" s="798"/>
      <c r="AD523" s="798"/>
      <c r="AE523" s="798"/>
      <c r="AF523" s="798"/>
      <c r="AG523" s="798"/>
      <c r="AH523" s="798"/>
      <c r="AI523" s="798"/>
      <c r="AJ523" s="798"/>
      <c r="AK523" s="798"/>
      <c r="AL523" s="798"/>
      <c r="AM523" s="798"/>
      <c r="AN523" s="798"/>
      <c r="AO523" s="798"/>
      <c r="AP523" s="798"/>
      <c r="AQ523" s="798"/>
      <c r="AR523" s="798"/>
      <c r="AS523" s="798"/>
      <c r="AT523" s="798"/>
      <c r="AU523" s="798"/>
      <c r="AV523" s="798"/>
      <c r="AW523" s="798"/>
      <c r="AX523" s="798"/>
      <c r="AY523" s="798"/>
      <c r="AZ523" s="798"/>
      <c r="BA523" s="798"/>
      <c r="BB523" s="798"/>
      <c r="BC523" s="798"/>
      <c r="BD523" s="798"/>
      <c r="BE523" s="798"/>
      <c r="BF523" s="798"/>
      <c r="BG523" s="798"/>
      <c r="BH523" s="798"/>
      <c r="BI523" s="798"/>
      <c r="BJ523" s="798"/>
      <c r="BK523" s="798"/>
      <c r="BL523" s="798"/>
      <c r="BM523" s="798"/>
      <c r="BN523" s="798"/>
      <c r="BO523" s="798"/>
      <c r="BP523" s="798"/>
      <c r="BQ523" s="798"/>
      <c r="BR523" s="798"/>
      <c r="BS523" s="798"/>
      <c r="BT523" s="798"/>
      <c r="BU523" s="798"/>
      <c r="BV523" s="798"/>
      <c r="BW523" s="798"/>
      <c r="BX523" s="798"/>
      <c r="BY523" s="798"/>
      <c r="BZ523" s="798"/>
      <c r="CA523" s="798"/>
      <c r="CB523" s="798"/>
      <c r="CC523" s="798"/>
      <c r="CD523" s="798"/>
      <c r="CE523" s="798"/>
      <c r="CF523" s="798"/>
      <c r="CG523" s="798"/>
      <c r="CH523" s="798"/>
      <c r="CI523" s="798"/>
      <c r="CJ523" s="798"/>
      <c r="CK523" s="798"/>
      <c r="CL523" s="798"/>
      <c r="CM523" s="798"/>
      <c r="CN523" s="798"/>
      <c r="CO523" s="798"/>
      <c r="CP523" s="798"/>
      <c r="CQ523" s="798"/>
      <c r="CR523" s="798"/>
      <c r="CS523" s="798"/>
      <c r="CT523" s="798"/>
      <c r="CU523" s="798"/>
      <c r="CV523" s="798"/>
      <c r="CW523" s="798"/>
      <c r="CX523" s="798"/>
      <c r="CY523" s="798"/>
      <c r="CZ523" s="798"/>
      <c r="DA523" s="798"/>
      <c r="DB523" s="798"/>
      <c r="DC523" s="798"/>
      <c r="DD523" s="798"/>
      <c r="DE523" s="798"/>
      <c r="DF523" s="798"/>
      <c r="DG523" s="798"/>
      <c r="DH523" s="798"/>
      <c r="DI523" s="798"/>
      <c r="DJ523" s="798"/>
      <c r="DK523" s="798"/>
      <c r="DL523" s="798"/>
      <c r="DM523" s="798"/>
      <c r="DN523" s="798"/>
      <c r="DO523" s="798"/>
      <c r="DP523" s="798"/>
      <c r="DQ523" s="798"/>
      <c r="DR523" s="798"/>
      <c r="DS523" s="798"/>
      <c r="DT523" s="798"/>
      <c r="DU523" s="798"/>
      <c r="DV523" s="798"/>
      <c r="DW523" s="798"/>
      <c r="DX523" s="798"/>
      <c r="DY523" s="798"/>
      <c r="DZ523" s="798"/>
      <c r="EA523" s="798"/>
      <c r="EB523" s="798"/>
      <c r="EC523" s="798"/>
      <c r="ED523" s="798"/>
      <c r="EE523" s="798"/>
      <c r="EF523" s="798"/>
      <c r="EG523" s="798"/>
      <c r="EH523" s="782"/>
    </row>
    <row r="524" spans="1:138" ht="12.75" customHeight="1" x14ac:dyDescent="0.3">
      <c r="A524" s="782"/>
      <c r="B524" s="782" t="s">
        <v>16</v>
      </c>
      <c r="C524" s="798">
        <v>47255879.047999993</v>
      </c>
      <c r="D524" s="798"/>
      <c r="E524" s="798">
        <v>577908.43400000001</v>
      </c>
      <c r="F524" s="798">
        <v>45998654.114999995</v>
      </c>
      <c r="G524" s="798">
        <v>679316.49900000007</v>
      </c>
      <c r="H524" s="798">
        <v>0</v>
      </c>
      <c r="I524" s="798">
        <v>0</v>
      </c>
      <c r="J524" s="798">
        <v>0</v>
      </c>
      <c r="K524" s="798">
        <v>0</v>
      </c>
      <c r="L524" s="798">
        <v>0</v>
      </c>
      <c r="M524" s="798">
        <v>0</v>
      </c>
      <c r="N524" s="798"/>
      <c r="O524" s="798"/>
      <c r="P524" s="782"/>
      <c r="Q524" s="782"/>
      <c r="R524" s="782"/>
      <c r="S524" s="782"/>
      <c r="T524" s="782"/>
      <c r="U524" s="782"/>
      <c r="V524" s="782"/>
      <c r="W524" s="782"/>
      <c r="X524" s="782"/>
      <c r="Y524" s="782"/>
      <c r="Z524" s="782"/>
      <c r="AA524" s="782"/>
      <c r="AB524" s="782"/>
      <c r="AC524" s="782"/>
      <c r="AD524" s="782"/>
      <c r="AE524" s="782"/>
      <c r="AF524" s="782"/>
      <c r="AG524" s="782"/>
      <c r="AH524" s="782"/>
      <c r="AI524" s="782"/>
      <c r="AJ524" s="782"/>
      <c r="AK524" s="782"/>
      <c r="AL524" s="782"/>
      <c r="AM524" s="782"/>
      <c r="AN524" s="782"/>
      <c r="AO524" s="782"/>
      <c r="AP524" s="782"/>
      <c r="AQ524" s="782"/>
      <c r="AR524" s="782"/>
      <c r="AS524" s="782"/>
      <c r="AT524" s="782"/>
      <c r="AU524" s="782"/>
      <c r="AV524" s="782"/>
      <c r="AW524" s="782"/>
      <c r="AX524" s="782"/>
      <c r="AY524" s="782"/>
      <c r="AZ524" s="782"/>
      <c r="BA524" s="782"/>
      <c r="BB524" s="782"/>
      <c r="BC524" s="782"/>
      <c r="BD524" s="782"/>
      <c r="BE524" s="782"/>
      <c r="BF524" s="782"/>
      <c r="BG524" s="782"/>
      <c r="BH524" s="782"/>
      <c r="BI524" s="782"/>
      <c r="BJ524" s="782"/>
      <c r="BK524" s="782"/>
      <c r="BL524" s="782"/>
      <c r="BM524" s="782"/>
      <c r="BN524" s="782"/>
      <c r="BO524" s="782"/>
      <c r="BP524" s="782"/>
      <c r="BQ524" s="782"/>
      <c r="BR524" s="782"/>
      <c r="BS524" s="782"/>
      <c r="BT524" s="782"/>
      <c r="BU524" s="782"/>
      <c r="BV524" s="782"/>
      <c r="BW524" s="782"/>
      <c r="BX524" s="782"/>
      <c r="BY524" s="782"/>
      <c r="BZ524" s="782"/>
      <c r="CA524" s="782"/>
      <c r="CB524" s="782"/>
      <c r="CC524" s="782"/>
      <c r="CD524" s="782"/>
      <c r="CE524" s="782"/>
      <c r="CF524" s="782"/>
      <c r="CG524" s="782"/>
      <c r="CH524" s="782"/>
      <c r="CI524" s="782"/>
      <c r="CJ524" s="782"/>
      <c r="CK524" s="782"/>
      <c r="CL524" s="782"/>
      <c r="CM524" s="782"/>
      <c r="CN524" s="782"/>
      <c r="CO524" s="782"/>
      <c r="CP524" s="782"/>
      <c r="CQ524" s="782"/>
      <c r="CR524" s="782"/>
      <c r="CS524" s="782"/>
      <c r="CT524" s="782"/>
      <c r="CU524" s="782"/>
      <c r="CV524" s="782"/>
      <c r="CW524" s="782"/>
      <c r="CX524" s="782"/>
      <c r="CY524" s="782"/>
      <c r="CZ524" s="782"/>
      <c r="DA524" s="782"/>
      <c r="DB524" s="782"/>
      <c r="DC524" s="782"/>
      <c r="DD524" s="782"/>
      <c r="DE524" s="782"/>
      <c r="DF524" s="782"/>
      <c r="DG524" s="782"/>
      <c r="DH524" s="782"/>
      <c r="DI524" s="782"/>
      <c r="DJ524" s="782"/>
      <c r="DK524" s="782"/>
      <c r="DL524" s="782"/>
      <c r="DM524" s="782"/>
      <c r="DN524" s="782"/>
      <c r="DO524" s="782"/>
      <c r="DP524" s="782"/>
      <c r="DQ524" s="782"/>
      <c r="DR524" s="782"/>
      <c r="DS524" s="782"/>
      <c r="DT524" s="782"/>
      <c r="DU524" s="782"/>
      <c r="DV524" s="782"/>
      <c r="DW524" s="782"/>
      <c r="DX524" s="782"/>
      <c r="DY524" s="782"/>
      <c r="DZ524" s="782"/>
      <c r="EA524" s="782"/>
      <c r="EB524" s="782"/>
      <c r="EC524" s="782"/>
      <c r="ED524" s="782"/>
      <c r="EE524" s="782"/>
      <c r="EF524" s="782"/>
      <c r="EG524" s="782"/>
      <c r="EH524" s="782"/>
    </row>
    <row r="525" spans="1:138" ht="12.75" customHeight="1" x14ac:dyDescent="0.3">
      <c r="A525" s="782"/>
      <c r="B525" s="782" t="s">
        <v>17</v>
      </c>
      <c r="C525" s="798">
        <v>-47255879.047999993</v>
      </c>
      <c r="D525" s="798"/>
      <c r="E525" s="798">
        <v>0</v>
      </c>
      <c r="F525" s="798">
        <v>0</v>
      </c>
      <c r="G525" s="798">
        <v>-47255879.047999993</v>
      </c>
      <c r="H525" s="798">
        <v>0</v>
      </c>
      <c r="I525" s="798">
        <v>0</v>
      </c>
      <c r="J525" s="798">
        <v>0</v>
      </c>
      <c r="K525" s="798">
        <v>0</v>
      </c>
      <c r="L525" s="798">
        <v>0</v>
      </c>
      <c r="M525" s="798">
        <v>0</v>
      </c>
      <c r="N525" s="798"/>
      <c r="O525" s="798"/>
      <c r="P525" s="782"/>
      <c r="Q525" s="782"/>
      <c r="R525" s="782"/>
      <c r="S525" s="782"/>
      <c r="T525" s="782"/>
      <c r="U525" s="782"/>
      <c r="V525" s="782"/>
      <c r="W525" s="782"/>
      <c r="X525" s="782"/>
      <c r="Y525" s="782"/>
      <c r="Z525" s="782"/>
      <c r="AA525" s="782"/>
      <c r="AB525" s="782"/>
      <c r="AC525" s="782"/>
      <c r="AD525" s="782"/>
      <c r="AE525" s="782"/>
      <c r="AF525" s="782"/>
      <c r="AG525" s="782"/>
      <c r="AH525" s="782"/>
      <c r="AI525" s="782"/>
      <c r="AJ525" s="782"/>
      <c r="AK525" s="782"/>
      <c r="AL525" s="782"/>
      <c r="AM525" s="782"/>
      <c r="AN525" s="782"/>
      <c r="AO525" s="782"/>
      <c r="AP525" s="782"/>
      <c r="AQ525" s="782"/>
      <c r="AR525" s="782"/>
      <c r="AS525" s="782"/>
      <c r="AT525" s="782"/>
      <c r="AU525" s="782"/>
      <c r="AV525" s="782"/>
      <c r="AW525" s="782"/>
      <c r="AX525" s="782"/>
      <c r="AY525" s="782"/>
      <c r="AZ525" s="782"/>
      <c r="BA525" s="782"/>
      <c r="BB525" s="782"/>
      <c r="BC525" s="782"/>
      <c r="BD525" s="782"/>
      <c r="BE525" s="782"/>
      <c r="BF525" s="782"/>
      <c r="BG525" s="782"/>
      <c r="BH525" s="782"/>
      <c r="BI525" s="782"/>
      <c r="BJ525" s="782"/>
      <c r="BK525" s="782"/>
      <c r="BL525" s="782"/>
      <c r="BM525" s="782"/>
      <c r="BN525" s="782"/>
      <c r="BO525" s="782"/>
      <c r="BP525" s="782"/>
      <c r="BQ525" s="782"/>
      <c r="BR525" s="782"/>
      <c r="BS525" s="782"/>
      <c r="BT525" s="782"/>
      <c r="BU525" s="782"/>
      <c r="BV525" s="782"/>
      <c r="BW525" s="782"/>
      <c r="BX525" s="782"/>
      <c r="BY525" s="782"/>
      <c r="BZ525" s="782"/>
      <c r="CA525" s="782"/>
      <c r="CB525" s="782"/>
      <c r="CC525" s="782"/>
      <c r="CD525" s="782"/>
      <c r="CE525" s="782"/>
      <c r="CF525" s="782"/>
      <c r="CG525" s="782"/>
      <c r="CH525" s="782"/>
      <c r="CI525" s="782"/>
      <c r="CJ525" s="782"/>
      <c r="CK525" s="782"/>
      <c r="CL525" s="782"/>
      <c r="CM525" s="782"/>
      <c r="CN525" s="782"/>
      <c r="CO525" s="782"/>
      <c r="CP525" s="782"/>
      <c r="CQ525" s="782"/>
      <c r="CR525" s="782"/>
      <c r="CS525" s="782"/>
      <c r="CT525" s="782"/>
      <c r="CU525" s="782"/>
      <c r="CV525" s="782"/>
      <c r="CW525" s="782"/>
      <c r="CX525" s="782"/>
      <c r="CY525" s="782"/>
      <c r="CZ525" s="782"/>
      <c r="DA525" s="782"/>
      <c r="DB525" s="782"/>
      <c r="DC525" s="782"/>
      <c r="DD525" s="782"/>
      <c r="DE525" s="782"/>
      <c r="DF525" s="782"/>
      <c r="DG525" s="782"/>
      <c r="DH525" s="782"/>
      <c r="DI525" s="782"/>
      <c r="DJ525" s="782"/>
      <c r="DK525" s="782"/>
      <c r="DL525" s="782"/>
      <c r="DM525" s="782"/>
      <c r="DN525" s="782"/>
      <c r="DO525" s="782"/>
      <c r="DP525" s="782"/>
      <c r="DQ525" s="782"/>
      <c r="DR525" s="782"/>
      <c r="DS525" s="782"/>
      <c r="DT525" s="782"/>
      <c r="DU525" s="782"/>
      <c r="DV525" s="782"/>
      <c r="DW525" s="782"/>
      <c r="DX525" s="782"/>
      <c r="DY525" s="782"/>
      <c r="DZ525" s="782"/>
      <c r="EA525" s="782"/>
      <c r="EB525" s="782"/>
      <c r="EC525" s="782"/>
      <c r="ED525" s="782"/>
      <c r="EE525" s="782"/>
      <c r="EF525" s="782"/>
      <c r="EG525" s="782"/>
      <c r="EH525" s="782"/>
    </row>
    <row r="526" spans="1:138" ht="12.75" customHeight="1" x14ac:dyDescent="0.3">
      <c r="A526" s="782"/>
      <c r="B526" s="782" t="s">
        <v>18</v>
      </c>
      <c r="C526" s="798">
        <v>57179368.24641864</v>
      </c>
      <c r="D526" s="798"/>
      <c r="E526" s="798">
        <v>0</v>
      </c>
      <c r="F526" s="798">
        <v>0</v>
      </c>
      <c r="G526" s="798">
        <v>57179368.24641864</v>
      </c>
      <c r="H526" s="798">
        <v>0</v>
      </c>
      <c r="I526" s="798">
        <v>0</v>
      </c>
      <c r="J526" s="798">
        <v>0</v>
      </c>
      <c r="K526" s="798">
        <v>0</v>
      </c>
      <c r="L526" s="798">
        <v>0</v>
      </c>
      <c r="M526" s="798">
        <v>0</v>
      </c>
      <c r="N526" s="798"/>
      <c r="O526" s="798"/>
      <c r="P526" s="782"/>
      <c r="Q526" s="782"/>
      <c r="R526" s="782"/>
      <c r="S526" s="782"/>
      <c r="T526" s="782"/>
      <c r="U526" s="782"/>
      <c r="V526" s="782"/>
      <c r="W526" s="782"/>
      <c r="X526" s="782"/>
      <c r="Y526" s="782"/>
      <c r="Z526" s="782"/>
      <c r="AA526" s="782"/>
      <c r="AB526" s="782"/>
      <c r="AC526" s="782"/>
      <c r="AD526" s="782"/>
      <c r="AE526" s="782"/>
      <c r="AF526" s="782"/>
      <c r="AG526" s="782"/>
      <c r="AH526" s="782"/>
      <c r="AI526" s="782"/>
      <c r="AJ526" s="782"/>
      <c r="AK526" s="782"/>
      <c r="AL526" s="782"/>
      <c r="AM526" s="782"/>
      <c r="AN526" s="782"/>
      <c r="AO526" s="782"/>
      <c r="AP526" s="782"/>
      <c r="AQ526" s="782"/>
      <c r="AR526" s="782"/>
      <c r="AS526" s="782"/>
      <c r="AT526" s="782"/>
      <c r="AU526" s="782"/>
      <c r="AV526" s="782"/>
      <c r="AW526" s="782"/>
      <c r="AX526" s="782"/>
      <c r="AY526" s="782"/>
      <c r="AZ526" s="782"/>
      <c r="BA526" s="782"/>
      <c r="BB526" s="782"/>
      <c r="BC526" s="782"/>
      <c r="BD526" s="782"/>
      <c r="BE526" s="782"/>
      <c r="BF526" s="782"/>
      <c r="BG526" s="782"/>
      <c r="BH526" s="782"/>
      <c r="BI526" s="782"/>
      <c r="BJ526" s="782"/>
      <c r="BK526" s="782"/>
      <c r="BL526" s="782"/>
      <c r="BM526" s="782"/>
      <c r="BN526" s="782"/>
      <c r="BO526" s="782"/>
      <c r="BP526" s="782"/>
      <c r="BQ526" s="782"/>
      <c r="BR526" s="782"/>
      <c r="BS526" s="782"/>
      <c r="BT526" s="782"/>
      <c r="BU526" s="782"/>
      <c r="BV526" s="782"/>
      <c r="BW526" s="782"/>
      <c r="BX526" s="782"/>
      <c r="BY526" s="782"/>
      <c r="BZ526" s="782"/>
      <c r="CA526" s="782"/>
      <c r="CB526" s="782"/>
      <c r="CC526" s="782"/>
      <c r="CD526" s="782"/>
      <c r="CE526" s="782"/>
      <c r="CF526" s="782"/>
      <c r="CG526" s="782"/>
      <c r="CH526" s="782"/>
      <c r="CI526" s="782"/>
      <c r="CJ526" s="782"/>
      <c r="CK526" s="782"/>
      <c r="CL526" s="782"/>
      <c r="CM526" s="782"/>
      <c r="CN526" s="782"/>
      <c r="CO526" s="782"/>
      <c r="CP526" s="782"/>
      <c r="CQ526" s="782"/>
      <c r="CR526" s="782"/>
      <c r="CS526" s="782"/>
      <c r="CT526" s="782"/>
      <c r="CU526" s="782"/>
      <c r="CV526" s="782"/>
      <c r="CW526" s="782"/>
      <c r="CX526" s="782"/>
      <c r="CY526" s="782"/>
      <c r="CZ526" s="782"/>
      <c r="DA526" s="782"/>
      <c r="DB526" s="782"/>
      <c r="DC526" s="782"/>
      <c r="DD526" s="782"/>
      <c r="DE526" s="782"/>
      <c r="DF526" s="782"/>
      <c r="DG526" s="782"/>
      <c r="DH526" s="782"/>
      <c r="DI526" s="782"/>
      <c r="DJ526" s="782"/>
      <c r="DK526" s="782"/>
      <c r="DL526" s="782"/>
      <c r="DM526" s="782"/>
      <c r="DN526" s="782"/>
      <c r="DO526" s="782"/>
      <c r="DP526" s="782"/>
      <c r="DQ526" s="782"/>
      <c r="DR526" s="782"/>
      <c r="DS526" s="782"/>
      <c r="DT526" s="782"/>
      <c r="DU526" s="782"/>
      <c r="DV526" s="782"/>
      <c r="DW526" s="782"/>
      <c r="DX526" s="782"/>
      <c r="DY526" s="782"/>
      <c r="DZ526" s="782"/>
      <c r="EA526" s="782"/>
      <c r="EB526" s="782"/>
      <c r="EC526" s="782"/>
      <c r="ED526" s="782"/>
      <c r="EE526" s="782"/>
      <c r="EF526" s="782"/>
      <c r="EG526" s="782"/>
      <c r="EH526" s="782"/>
    </row>
    <row r="527" spans="1:138" ht="12.75" customHeight="1" x14ac:dyDescent="0.3">
      <c r="A527" s="782"/>
      <c r="B527" s="782" t="s">
        <v>19</v>
      </c>
      <c r="C527" s="798">
        <v>0</v>
      </c>
      <c r="D527" s="798"/>
      <c r="E527" s="798">
        <v>0</v>
      </c>
      <c r="F527" s="798">
        <v>0</v>
      </c>
      <c r="G527" s="798">
        <v>0</v>
      </c>
      <c r="H527" s="798">
        <v>0</v>
      </c>
      <c r="I527" s="798">
        <v>0</v>
      </c>
      <c r="J527" s="798">
        <v>0</v>
      </c>
      <c r="K527" s="798">
        <v>0</v>
      </c>
      <c r="L527" s="798">
        <v>0</v>
      </c>
      <c r="M527" s="798">
        <v>0</v>
      </c>
      <c r="N527" s="798"/>
      <c r="O527" s="798"/>
      <c r="P527" s="782"/>
      <c r="Q527" s="782"/>
      <c r="R527" s="782"/>
      <c r="S527" s="782"/>
      <c r="T527" s="782"/>
      <c r="U527" s="782"/>
      <c r="V527" s="782"/>
      <c r="W527" s="782"/>
      <c r="X527" s="782"/>
      <c r="Y527" s="782"/>
      <c r="Z527" s="782"/>
      <c r="AA527" s="782"/>
      <c r="AB527" s="782"/>
      <c r="AC527" s="782"/>
      <c r="AD527" s="782"/>
      <c r="AE527" s="782"/>
      <c r="AF527" s="782"/>
      <c r="AG527" s="782"/>
      <c r="AH527" s="782"/>
      <c r="AI527" s="782"/>
      <c r="AJ527" s="782"/>
      <c r="AK527" s="782"/>
      <c r="AL527" s="782"/>
      <c r="AM527" s="782"/>
      <c r="AN527" s="782"/>
      <c r="AO527" s="782"/>
      <c r="AP527" s="782"/>
      <c r="AQ527" s="782"/>
      <c r="AR527" s="782"/>
      <c r="AS527" s="782"/>
      <c r="AT527" s="782"/>
      <c r="AU527" s="782"/>
      <c r="AV527" s="782"/>
      <c r="AW527" s="782"/>
      <c r="AX527" s="782"/>
      <c r="AY527" s="782"/>
      <c r="AZ527" s="782"/>
      <c r="BA527" s="782"/>
      <c r="BB527" s="782"/>
      <c r="BC527" s="782"/>
      <c r="BD527" s="782"/>
      <c r="BE527" s="782"/>
      <c r="BF527" s="782"/>
      <c r="BG527" s="782"/>
      <c r="BH527" s="782"/>
      <c r="BI527" s="782"/>
      <c r="BJ527" s="782"/>
      <c r="BK527" s="782"/>
      <c r="BL527" s="782"/>
      <c r="BM527" s="782"/>
      <c r="BN527" s="782"/>
      <c r="BO527" s="782"/>
      <c r="BP527" s="782"/>
      <c r="BQ527" s="782"/>
      <c r="BR527" s="782"/>
      <c r="BS527" s="782"/>
      <c r="BT527" s="782"/>
      <c r="BU527" s="782"/>
      <c r="BV527" s="782"/>
      <c r="BW527" s="782"/>
      <c r="BX527" s="782"/>
      <c r="BY527" s="782"/>
      <c r="BZ527" s="782"/>
      <c r="CA527" s="782"/>
      <c r="CB527" s="782"/>
      <c r="CC527" s="782"/>
      <c r="CD527" s="782"/>
      <c r="CE527" s="782"/>
      <c r="CF527" s="782"/>
      <c r="CG527" s="782"/>
      <c r="CH527" s="782"/>
      <c r="CI527" s="782"/>
      <c r="CJ527" s="782"/>
      <c r="CK527" s="782"/>
      <c r="CL527" s="782"/>
      <c r="CM527" s="782"/>
      <c r="CN527" s="782"/>
      <c r="CO527" s="782"/>
      <c r="CP527" s="782"/>
      <c r="CQ527" s="782"/>
      <c r="CR527" s="782"/>
      <c r="CS527" s="782"/>
      <c r="CT527" s="782"/>
      <c r="CU527" s="782"/>
      <c r="CV527" s="782"/>
      <c r="CW527" s="782"/>
      <c r="CX527" s="782"/>
      <c r="CY527" s="782"/>
      <c r="CZ527" s="782"/>
      <c r="DA527" s="782"/>
      <c r="DB527" s="782"/>
      <c r="DC527" s="782"/>
      <c r="DD527" s="782"/>
      <c r="DE527" s="782"/>
      <c r="DF527" s="782"/>
      <c r="DG527" s="782"/>
      <c r="DH527" s="782"/>
      <c r="DI527" s="782"/>
      <c r="DJ527" s="782"/>
      <c r="DK527" s="782"/>
      <c r="DL527" s="782"/>
      <c r="DM527" s="782"/>
      <c r="DN527" s="782"/>
      <c r="DO527" s="782"/>
      <c r="DP527" s="782"/>
      <c r="DQ527" s="782"/>
      <c r="DR527" s="782"/>
      <c r="DS527" s="782"/>
      <c r="DT527" s="782"/>
      <c r="DU527" s="782"/>
      <c r="DV527" s="782"/>
      <c r="DW527" s="782"/>
      <c r="DX527" s="782"/>
      <c r="DY527" s="782"/>
      <c r="DZ527" s="782"/>
      <c r="EA527" s="782"/>
      <c r="EB527" s="782"/>
      <c r="EC527" s="782"/>
      <c r="ED527" s="782"/>
      <c r="EE527" s="782"/>
      <c r="EF527" s="782"/>
      <c r="EG527" s="782"/>
      <c r="EH527" s="782"/>
    </row>
    <row r="528" spans="1:138" ht="12.75" customHeight="1" x14ac:dyDescent="0.3">
      <c r="A528" s="782"/>
      <c r="B528" s="782" t="s">
        <v>20</v>
      </c>
      <c r="C528" s="798">
        <v>-11239555.435830683</v>
      </c>
      <c r="D528" s="798"/>
      <c r="E528" s="798">
        <v>0</v>
      </c>
      <c r="F528" s="798">
        <v>0</v>
      </c>
      <c r="G528" s="798">
        <v>0</v>
      </c>
      <c r="H528" s="798">
        <v>-1857728.6081472831</v>
      </c>
      <c r="I528" s="798">
        <v>-2031582.4773005189</v>
      </c>
      <c r="J528" s="798">
        <v>-2155463.9610800622</v>
      </c>
      <c r="K528" s="798">
        <v>-2208915.2345168139</v>
      </c>
      <c r="L528" s="798">
        <v>-2233947.8854403608</v>
      </c>
      <c r="M528" s="798">
        <v>-751917.26934564218</v>
      </c>
      <c r="N528" s="798"/>
      <c r="O528" s="798"/>
      <c r="P528" s="782"/>
      <c r="Q528" s="782"/>
      <c r="R528" s="782"/>
      <c r="S528" s="782"/>
      <c r="T528" s="782"/>
      <c r="U528" s="782"/>
      <c r="V528" s="782"/>
      <c r="W528" s="782"/>
      <c r="X528" s="782"/>
      <c r="Y528" s="782"/>
      <c r="Z528" s="782"/>
      <c r="AA528" s="782"/>
      <c r="AB528" s="782"/>
      <c r="AC528" s="782"/>
      <c r="AD528" s="782"/>
      <c r="AE528" s="782"/>
      <c r="AF528" s="782"/>
      <c r="AG528" s="782"/>
      <c r="AH528" s="782"/>
      <c r="AI528" s="782"/>
      <c r="AJ528" s="782"/>
      <c r="AK528" s="782"/>
      <c r="AL528" s="782"/>
      <c r="AM528" s="782"/>
      <c r="AN528" s="782"/>
      <c r="AO528" s="782"/>
      <c r="AP528" s="782"/>
      <c r="AQ528" s="782"/>
      <c r="AR528" s="782"/>
      <c r="AS528" s="782"/>
      <c r="AT528" s="782"/>
      <c r="AU528" s="782"/>
      <c r="AV528" s="782"/>
      <c r="AW528" s="782"/>
      <c r="AX528" s="782"/>
      <c r="AY528" s="782"/>
      <c r="AZ528" s="782"/>
      <c r="BA528" s="782"/>
      <c r="BB528" s="782"/>
      <c r="BC528" s="782"/>
      <c r="BD528" s="782"/>
      <c r="BE528" s="782"/>
      <c r="BF528" s="782"/>
      <c r="BG528" s="782"/>
      <c r="BH528" s="782"/>
      <c r="BI528" s="782"/>
      <c r="BJ528" s="782"/>
      <c r="BK528" s="782"/>
      <c r="BL528" s="782"/>
      <c r="BM528" s="782"/>
      <c r="BN528" s="782"/>
      <c r="BO528" s="782"/>
      <c r="BP528" s="782"/>
      <c r="BQ528" s="782"/>
      <c r="BR528" s="782"/>
      <c r="BS528" s="782"/>
      <c r="BT528" s="782"/>
      <c r="BU528" s="782"/>
      <c r="BV528" s="782"/>
      <c r="BW528" s="782"/>
      <c r="BX528" s="782"/>
      <c r="BY528" s="782"/>
      <c r="BZ528" s="782"/>
      <c r="CA528" s="782"/>
      <c r="CB528" s="782"/>
      <c r="CC528" s="782"/>
      <c r="CD528" s="782"/>
      <c r="CE528" s="782"/>
      <c r="CF528" s="782"/>
      <c r="CG528" s="782"/>
      <c r="CH528" s="782"/>
      <c r="CI528" s="782"/>
      <c r="CJ528" s="782"/>
      <c r="CK528" s="782"/>
      <c r="CL528" s="782"/>
      <c r="CM528" s="782"/>
      <c r="CN528" s="782"/>
      <c r="CO528" s="782"/>
      <c r="CP528" s="782"/>
      <c r="CQ528" s="782"/>
      <c r="CR528" s="782"/>
      <c r="CS528" s="782"/>
      <c r="CT528" s="782"/>
      <c r="CU528" s="782"/>
      <c r="CV528" s="782"/>
      <c r="CW528" s="782"/>
      <c r="CX528" s="782"/>
      <c r="CY528" s="782"/>
      <c r="CZ528" s="782"/>
      <c r="DA528" s="782"/>
      <c r="DB528" s="782"/>
      <c r="DC528" s="782"/>
      <c r="DD528" s="782"/>
      <c r="DE528" s="782"/>
      <c r="DF528" s="782"/>
      <c r="DG528" s="782"/>
      <c r="DH528" s="782"/>
      <c r="DI528" s="782"/>
      <c r="DJ528" s="782"/>
      <c r="DK528" s="782"/>
      <c r="DL528" s="782"/>
      <c r="DM528" s="782"/>
      <c r="DN528" s="782"/>
      <c r="DO528" s="782"/>
      <c r="DP528" s="782"/>
      <c r="DQ528" s="782"/>
      <c r="DR528" s="782"/>
      <c r="DS528" s="782"/>
      <c r="DT528" s="782"/>
      <c r="DU528" s="782"/>
      <c r="DV528" s="782"/>
      <c r="DW528" s="782"/>
      <c r="DX528" s="782"/>
      <c r="DY528" s="782"/>
      <c r="DZ528" s="782"/>
      <c r="EA528" s="782"/>
      <c r="EB528" s="782"/>
      <c r="EC528" s="782"/>
      <c r="ED528" s="782"/>
      <c r="EE528" s="782"/>
      <c r="EF528" s="782"/>
      <c r="EG528" s="782"/>
      <c r="EH528" s="782"/>
    </row>
    <row r="529" spans="1:138" ht="12.75" customHeight="1" x14ac:dyDescent="0.3">
      <c r="A529" s="782"/>
      <c r="B529" s="782" t="s">
        <v>21</v>
      </c>
      <c r="C529" s="798">
        <v>-57179368.24641864</v>
      </c>
      <c r="D529" s="798"/>
      <c r="E529" s="798">
        <v>0</v>
      </c>
      <c r="F529" s="798">
        <v>0</v>
      </c>
      <c r="G529" s="798">
        <v>0</v>
      </c>
      <c r="H529" s="798">
        <v>0</v>
      </c>
      <c r="I529" s="798">
        <v>0</v>
      </c>
      <c r="J529" s="798">
        <v>0</v>
      </c>
      <c r="K529" s="798">
        <v>0</v>
      </c>
      <c r="L529" s="798">
        <v>0</v>
      </c>
      <c r="M529" s="798">
        <v>-57179368.24641864</v>
      </c>
      <c r="N529" s="798"/>
      <c r="O529" s="798"/>
      <c r="P529" s="782"/>
      <c r="Q529" s="782"/>
      <c r="R529" s="782"/>
      <c r="S529" s="782"/>
      <c r="T529" s="782"/>
      <c r="U529" s="782"/>
      <c r="V529" s="782"/>
      <c r="W529" s="782"/>
      <c r="X529" s="782"/>
      <c r="Y529" s="782"/>
      <c r="Z529" s="782"/>
      <c r="AA529" s="782"/>
      <c r="AB529" s="782"/>
      <c r="AC529" s="782"/>
      <c r="AD529" s="782"/>
      <c r="AE529" s="782"/>
      <c r="AF529" s="782"/>
      <c r="AG529" s="782"/>
      <c r="AH529" s="782"/>
      <c r="AI529" s="782"/>
      <c r="AJ529" s="782"/>
      <c r="AK529" s="782"/>
      <c r="AL529" s="782"/>
      <c r="AM529" s="782"/>
      <c r="AN529" s="782"/>
      <c r="AO529" s="782"/>
      <c r="AP529" s="782"/>
      <c r="AQ529" s="782"/>
      <c r="AR529" s="782"/>
      <c r="AS529" s="782"/>
      <c r="AT529" s="782"/>
      <c r="AU529" s="782"/>
      <c r="AV529" s="782"/>
      <c r="AW529" s="782"/>
      <c r="AX529" s="782"/>
      <c r="AY529" s="782"/>
      <c r="AZ529" s="782"/>
      <c r="BA529" s="782"/>
      <c r="BB529" s="782"/>
      <c r="BC529" s="782"/>
      <c r="BD529" s="782"/>
      <c r="BE529" s="782"/>
      <c r="BF529" s="782"/>
      <c r="BG529" s="782"/>
      <c r="BH529" s="782"/>
      <c r="BI529" s="782"/>
      <c r="BJ529" s="782"/>
      <c r="BK529" s="782"/>
      <c r="BL529" s="782"/>
      <c r="BM529" s="782"/>
      <c r="BN529" s="782"/>
      <c r="BO529" s="782"/>
      <c r="BP529" s="782"/>
      <c r="BQ529" s="782"/>
      <c r="BR529" s="782"/>
      <c r="BS529" s="782"/>
      <c r="BT529" s="782"/>
      <c r="BU529" s="782"/>
      <c r="BV529" s="782"/>
      <c r="BW529" s="782"/>
      <c r="BX529" s="782"/>
      <c r="BY529" s="782"/>
      <c r="BZ529" s="782"/>
      <c r="CA529" s="782"/>
      <c r="CB529" s="782"/>
      <c r="CC529" s="782"/>
      <c r="CD529" s="782"/>
      <c r="CE529" s="782"/>
      <c r="CF529" s="782"/>
      <c r="CG529" s="782"/>
      <c r="CH529" s="782"/>
      <c r="CI529" s="782"/>
      <c r="CJ529" s="782"/>
      <c r="CK529" s="782"/>
      <c r="CL529" s="782"/>
      <c r="CM529" s="782"/>
      <c r="CN529" s="782"/>
      <c r="CO529" s="782"/>
      <c r="CP529" s="782"/>
      <c r="CQ529" s="782"/>
      <c r="CR529" s="782"/>
      <c r="CS529" s="782"/>
      <c r="CT529" s="782"/>
      <c r="CU529" s="782"/>
      <c r="CV529" s="782"/>
      <c r="CW529" s="782"/>
      <c r="CX529" s="782"/>
      <c r="CY529" s="782"/>
      <c r="CZ529" s="782"/>
      <c r="DA529" s="782"/>
      <c r="DB529" s="782"/>
      <c r="DC529" s="782"/>
      <c r="DD529" s="782"/>
      <c r="DE529" s="782"/>
      <c r="DF529" s="782"/>
      <c r="DG529" s="782"/>
      <c r="DH529" s="782"/>
      <c r="DI529" s="782"/>
      <c r="DJ529" s="782"/>
      <c r="DK529" s="782"/>
      <c r="DL529" s="782"/>
      <c r="DM529" s="782"/>
      <c r="DN529" s="782"/>
      <c r="DO529" s="782"/>
      <c r="DP529" s="782"/>
      <c r="DQ529" s="782"/>
      <c r="DR529" s="782"/>
      <c r="DS529" s="782"/>
      <c r="DT529" s="782"/>
      <c r="DU529" s="782"/>
      <c r="DV529" s="782"/>
      <c r="DW529" s="782"/>
      <c r="DX529" s="782"/>
      <c r="DY529" s="782"/>
      <c r="DZ529" s="782"/>
      <c r="EA529" s="782"/>
      <c r="EB529" s="782"/>
      <c r="EC529" s="782"/>
      <c r="ED529" s="782"/>
      <c r="EE529" s="782"/>
      <c r="EF529" s="782"/>
      <c r="EG529" s="782"/>
      <c r="EH529" s="782"/>
    </row>
    <row r="530" spans="1:138" ht="12.75" customHeight="1" x14ac:dyDescent="0.3">
      <c r="A530" s="782"/>
      <c r="B530" s="821" t="s">
        <v>22</v>
      </c>
      <c r="C530" s="822">
        <v>42212237.201436594</v>
      </c>
      <c r="D530" s="821"/>
      <c r="E530" s="822">
        <v>-31781697.142917927</v>
      </c>
      <c r="F530" s="822">
        <v>-74126.430804371834</v>
      </c>
      <c r="G530" s="822">
        <v>11084897.912480015</v>
      </c>
      <c r="H530" s="822">
        <v>2740552.079054269</v>
      </c>
      <c r="I530" s="822">
        <v>2709646.6305170879</v>
      </c>
      <c r="J530" s="822">
        <v>2733002.0199720785</v>
      </c>
      <c r="K530" s="822">
        <v>2831204.7259668964</v>
      </c>
      <c r="L530" s="822">
        <v>2962375.6738578686</v>
      </c>
      <c r="M530" s="822">
        <v>49006381.733310699</v>
      </c>
      <c r="N530" s="798"/>
      <c r="O530" s="798"/>
      <c r="P530" s="805"/>
      <c r="Q530" s="805"/>
      <c r="R530" s="805"/>
      <c r="S530" s="805"/>
      <c r="T530" s="805"/>
      <c r="U530" s="805"/>
      <c r="V530" s="805"/>
      <c r="W530" s="805"/>
      <c r="X530" s="805"/>
      <c r="Y530" s="805"/>
      <c r="Z530" s="805"/>
      <c r="AA530" s="805"/>
      <c r="AB530" s="805"/>
      <c r="AC530" s="805"/>
      <c r="AD530" s="805"/>
      <c r="AE530" s="805"/>
      <c r="AF530" s="805"/>
      <c r="AG530" s="805"/>
      <c r="AH530" s="805"/>
      <c r="AI530" s="805"/>
      <c r="AJ530" s="805"/>
      <c r="AK530" s="805"/>
      <c r="AL530" s="805"/>
      <c r="AM530" s="805"/>
      <c r="AN530" s="805"/>
      <c r="AO530" s="805"/>
      <c r="AP530" s="805"/>
      <c r="AQ530" s="805"/>
      <c r="AR530" s="805"/>
      <c r="AS530" s="805"/>
      <c r="AT530" s="805"/>
      <c r="AU530" s="805"/>
      <c r="AV530" s="805"/>
      <c r="AW530" s="805"/>
      <c r="AX530" s="805"/>
      <c r="AY530" s="805"/>
      <c r="AZ530" s="805"/>
      <c r="BA530" s="805"/>
      <c r="BB530" s="805"/>
      <c r="BC530" s="805"/>
      <c r="BD530" s="805"/>
      <c r="BE530" s="805"/>
      <c r="BF530" s="805"/>
      <c r="BG530" s="805"/>
      <c r="BH530" s="805"/>
      <c r="BI530" s="805"/>
      <c r="BJ530" s="805"/>
      <c r="BK530" s="805"/>
      <c r="BL530" s="805"/>
      <c r="BM530" s="805"/>
      <c r="BN530" s="805"/>
      <c r="BO530" s="805"/>
      <c r="BP530" s="805"/>
      <c r="BQ530" s="805"/>
      <c r="BR530" s="805"/>
      <c r="BS530" s="805"/>
      <c r="BT530" s="805"/>
      <c r="BU530" s="805"/>
      <c r="BV530" s="805"/>
      <c r="BW530" s="805"/>
      <c r="BX530" s="805"/>
      <c r="BY530" s="805"/>
      <c r="BZ530" s="805"/>
      <c r="CA530" s="805"/>
      <c r="CB530" s="805"/>
      <c r="CC530" s="805"/>
      <c r="CD530" s="805"/>
      <c r="CE530" s="805"/>
      <c r="CF530" s="805"/>
      <c r="CG530" s="805"/>
      <c r="CH530" s="805"/>
      <c r="CI530" s="805"/>
      <c r="CJ530" s="805"/>
      <c r="CK530" s="805"/>
      <c r="CL530" s="805"/>
      <c r="CM530" s="805"/>
      <c r="CN530" s="805"/>
      <c r="CO530" s="805"/>
      <c r="CP530" s="805"/>
      <c r="CQ530" s="805"/>
      <c r="CR530" s="805"/>
      <c r="CS530" s="805"/>
      <c r="CT530" s="805"/>
      <c r="CU530" s="805"/>
      <c r="CV530" s="805"/>
      <c r="CW530" s="805"/>
      <c r="CX530" s="805"/>
      <c r="CY530" s="805"/>
      <c r="CZ530" s="805"/>
      <c r="DA530" s="805"/>
      <c r="DB530" s="805"/>
      <c r="DC530" s="805"/>
      <c r="DD530" s="805"/>
      <c r="DE530" s="805"/>
      <c r="DF530" s="805"/>
      <c r="DG530" s="805"/>
      <c r="DH530" s="805"/>
      <c r="DI530" s="805"/>
      <c r="DJ530" s="805"/>
      <c r="DK530" s="805"/>
      <c r="DL530" s="805"/>
      <c r="DM530" s="805"/>
      <c r="DN530" s="805"/>
      <c r="DO530" s="805"/>
      <c r="DP530" s="805"/>
      <c r="DQ530" s="805"/>
      <c r="DR530" s="805"/>
      <c r="DS530" s="805"/>
      <c r="DT530" s="805"/>
      <c r="DU530" s="805"/>
      <c r="DV530" s="805"/>
      <c r="DW530" s="805"/>
      <c r="DX530" s="805"/>
      <c r="DY530" s="805"/>
      <c r="DZ530" s="805"/>
      <c r="EA530" s="805"/>
      <c r="EB530" s="805"/>
      <c r="EC530" s="805"/>
      <c r="ED530" s="805"/>
      <c r="EE530" s="805"/>
      <c r="EF530" s="805"/>
      <c r="EG530" s="805"/>
      <c r="EH530" s="782"/>
    </row>
    <row r="531" spans="1:138" ht="12.75" customHeight="1" x14ac:dyDescent="0.3">
      <c r="A531" s="782"/>
      <c r="B531" s="800" t="s">
        <v>23</v>
      </c>
      <c r="C531" s="801">
        <v>0.15087996125221256</v>
      </c>
      <c r="D531" s="782"/>
      <c r="E531" s="798"/>
      <c r="F531" s="798"/>
      <c r="G531" s="798"/>
      <c r="H531" s="798"/>
      <c r="I531" s="798"/>
      <c r="J531" s="798"/>
      <c r="K531" s="798"/>
      <c r="L531" s="798"/>
      <c r="M531" s="798"/>
      <c r="N531" s="798"/>
      <c r="O531" s="798"/>
      <c r="P531" s="805"/>
      <c r="Q531" s="805"/>
      <c r="R531" s="805"/>
      <c r="S531" s="805"/>
      <c r="T531" s="805"/>
      <c r="U531" s="805"/>
      <c r="V531" s="805"/>
      <c r="W531" s="805"/>
      <c r="X531" s="805"/>
      <c r="Y531" s="805"/>
      <c r="Z531" s="805"/>
      <c r="AA531" s="805"/>
      <c r="AB531" s="805"/>
      <c r="AC531" s="805"/>
      <c r="AD531" s="805"/>
      <c r="AE531" s="805"/>
      <c r="AF531" s="805"/>
      <c r="AG531" s="805"/>
      <c r="AH531" s="805"/>
      <c r="AI531" s="805"/>
      <c r="AJ531" s="805"/>
      <c r="AK531" s="805"/>
      <c r="AL531" s="805"/>
      <c r="AM531" s="805"/>
      <c r="AN531" s="805"/>
      <c r="AO531" s="805"/>
      <c r="AP531" s="805"/>
      <c r="AQ531" s="805"/>
      <c r="AR531" s="805"/>
      <c r="AS531" s="805"/>
      <c r="AT531" s="805"/>
      <c r="AU531" s="805"/>
      <c r="AV531" s="805"/>
      <c r="AW531" s="805"/>
      <c r="AX531" s="805"/>
      <c r="AY531" s="805"/>
      <c r="AZ531" s="805"/>
      <c r="BA531" s="805"/>
      <c r="BB531" s="805"/>
      <c r="BC531" s="805"/>
      <c r="BD531" s="805"/>
      <c r="BE531" s="805"/>
      <c r="BF531" s="805"/>
      <c r="BG531" s="805"/>
      <c r="BH531" s="805"/>
      <c r="BI531" s="805"/>
      <c r="BJ531" s="805"/>
      <c r="BK531" s="805"/>
      <c r="BL531" s="805"/>
      <c r="BM531" s="805"/>
      <c r="BN531" s="805"/>
      <c r="BO531" s="805"/>
      <c r="BP531" s="805"/>
      <c r="BQ531" s="805"/>
      <c r="BR531" s="805"/>
      <c r="BS531" s="805"/>
      <c r="BT531" s="805"/>
      <c r="BU531" s="805"/>
      <c r="BV531" s="805"/>
      <c r="BW531" s="805"/>
      <c r="BX531" s="805"/>
      <c r="BY531" s="805"/>
      <c r="BZ531" s="805"/>
      <c r="CA531" s="805"/>
      <c r="CB531" s="805"/>
      <c r="CC531" s="805"/>
      <c r="CD531" s="805"/>
      <c r="CE531" s="805"/>
      <c r="CF531" s="805"/>
      <c r="CG531" s="805"/>
      <c r="CH531" s="805"/>
      <c r="CI531" s="805"/>
      <c r="CJ531" s="805"/>
      <c r="CK531" s="805"/>
      <c r="CL531" s="805"/>
      <c r="CM531" s="805"/>
      <c r="CN531" s="805"/>
      <c r="CO531" s="805"/>
      <c r="CP531" s="805"/>
      <c r="CQ531" s="805"/>
      <c r="CR531" s="805"/>
      <c r="CS531" s="805"/>
      <c r="CT531" s="805"/>
      <c r="CU531" s="805"/>
      <c r="CV531" s="805"/>
      <c r="CW531" s="805"/>
      <c r="CX531" s="805"/>
      <c r="CY531" s="805"/>
      <c r="CZ531" s="805"/>
      <c r="DA531" s="805"/>
      <c r="DB531" s="805"/>
      <c r="DC531" s="805"/>
      <c r="DD531" s="805"/>
      <c r="DE531" s="805"/>
      <c r="DF531" s="805"/>
      <c r="DG531" s="805"/>
      <c r="DH531" s="805"/>
      <c r="DI531" s="805"/>
      <c r="DJ531" s="805"/>
      <c r="DK531" s="805"/>
      <c r="DL531" s="805"/>
      <c r="DM531" s="805"/>
      <c r="DN531" s="805"/>
      <c r="DO531" s="805"/>
      <c r="DP531" s="805"/>
      <c r="DQ531" s="805"/>
      <c r="DR531" s="805"/>
      <c r="DS531" s="805"/>
      <c r="DT531" s="805"/>
      <c r="DU531" s="805"/>
      <c r="DV531" s="805"/>
      <c r="DW531" s="805"/>
      <c r="DX531" s="805"/>
      <c r="DY531" s="805"/>
      <c r="DZ531" s="805"/>
      <c r="EA531" s="805"/>
      <c r="EB531" s="805"/>
      <c r="EC531" s="805"/>
      <c r="ED531" s="805"/>
      <c r="EE531" s="805"/>
      <c r="EF531" s="805"/>
      <c r="EG531" s="805"/>
      <c r="EH531" s="782"/>
    </row>
    <row r="532" spans="1:138" ht="12.75" customHeight="1" x14ac:dyDescent="0.3">
      <c r="A532" s="782"/>
      <c r="B532" s="782"/>
      <c r="C532" s="798"/>
      <c r="D532" s="782"/>
      <c r="E532" s="798"/>
      <c r="F532" s="798"/>
      <c r="G532" s="798"/>
      <c r="H532" s="798"/>
      <c r="I532" s="798"/>
      <c r="J532" s="798"/>
      <c r="K532" s="798"/>
      <c r="L532" s="798"/>
      <c r="M532" s="798"/>
      <c r="N532" s="798"/>
      <c r="O532" s="798"/>
      <c r="P532" s="782"/>
      <c r="Q532" s="782"/>
      <c r="R532" s="782"/>
      <c r="S532" s="782"/>
      <c r="T532" s="782"/>
      <c r="U532" s="782"/>
      <c r="V532" s="782"/>
      <c r="W532" s="782"/>
      <c r="X532" s="782"/>
      <c r="Y532" s="782"/>
      <c r="Z532" s="782"/>
      <c r="AA532" s="782"/>
      <c r="AB532" s="782"/>
      <c r="AC532" s="782"/>
      <c r="AD532" s="782"/>
      <c r="AE532" s="782"/>
      <c r="AF532" s="782"/>
      <c r="AG532" s="782"/>
      <c r="AH532" s="782"/>
      <c r="AI532" s="782"/>
      <c r="AJ532" s="782"/>
      <c r="AK532" s="782"/>
      <c r="AL532" s="782"/>
      <c r="AM532" s="782"/>
      <c r="AN532" s="782"/>
      <c r="AO532" s="782"/>
      <c r="AP532" s="782"/>
      <c r="AQ532" s="782"/>
      <c r="AR532" s="782"/>
      <c r="AS532" s="782"/>
      <c r="AT532" s="782"/>
      <c r="AU532" s="782"/>
      <c r="AV532" s="782"/>
      <c r="AW532" s="782"/>
      <c r="AX532" s="782"/>
      <c r="AY532" s="782"/>
      <c r="AZ532" s="782"/>
      <c r="BA532" s="782"/>
      <c r="BB532" s="782"/>
      <c r="BC532" s="782"/>
      <c r="BD532" s="782"/>
      <c r="BE532" s="782"/>
      <c r="BF532" s="782"/>
      <c r="BG532" s="782"/>
      <c r="BH532" s="782"/>
      <c r="BI532" s="782"/>
      <c r="BJ532" s="782"/>
      <c r="BK532" s="782"/>
      <c r="BL532" s="782"/>
      <c r="BM532" s="782"/>
      <c r="BN532" s="782"/>
      <c r="BO532" s="782"/>
      <c r="BP532" s="782"/>
      <c r="BQ532" s="782"/>
      <c r="BR532" s="782"/>
      <c r="BS532" s="782"/>
      <c r="BT532" s="782"/>
      <c r="BU532" s="782"/>
      <c r="BV532" s="782"/>
      <c r="BW532" s="782"/>
      <c r="BX532" s="782"/>
      <c r="BY532" s="782"/>
      <c r="BZ532" s="782"/>
      <c r="CA532" s="782"/>
      <c r="CB532" s="782"/>
      <c r="CC532" s="782"/>
      <c r="CD532" s="782"/>
      <c r="CE532" s="782"/>
      <c r="CF532" s="782"/>
      <c r="CG532" s="782"/>
      <c r="CH532" s="782"/>
      <c r="CI532" s="782"/>
      <c r="CJ532" s="782"/>
      <c r="CK532" s="782"/>
      <c r="CL532" s="782"/>
      <c r="CM532" s="782"/>
      <c r="CN532" s="782"/>
      <c r="CO532" s="782"/>
      <c r="CP532" s="782"/>
      <c r="CQ532" s="782"/>
      <c r="CR532" s="782"/>
      <c r="CS532" s="782"/>
      <c r="CT532" s="782"/>
      <c r="CU532" s="782"/>
      <c r="CV532" s="782"/>
      <c r="CW532" s="782"/>
      <c r="CX532" s="782"/>
      <c r="CY532" s="782"/>
      <c r="CZ532" s="782"/>
      <c r="DA532" s="782"/>
      <c r="DB532" s="782"/>
      <c r="DC532" s="782"/>
      <c r="DD532" s="782"/>
      <c r="DE532" s="782"/>
      <c r="DF532" s="782"/>
      <c r="DG532" s="782"/>
      <c r="DH532" s="782"/>
      <c r="DI532" s="782"/>
      <c r="DJ532" s="782"/>
      <c r="DK532" s="782"/>
      <c r="DL532" s="782"/>
      <c r="DM532" s="782"/>
      <c r="DN532" s="782"/>
      <c r="DO532" s="782"/>
      <c r="DP532" s="782"/>
      <c r="DQ532" s="782"/>
      <c r="DR532" s="782"/>
      <c r="DS532" s="782"/>
      <c r="DT532" s="782"/>
      <c r="DU532" s="782"/>
      <c r="DV532" s="782"/>
      <c r="DW532" s="782"/>
      <c r="DX532" s="782"/>
      <c r="DY532" s="782"/>
      <c r="DZ532" s="782"/>
      <c r="EA532" s="782"/>
      <c r="EB532" s="782"/>
      <c r="EC532" s="782"/>
      <c r="ED532" s="782"/>
      <c r="EE532" s="782"/>
      <c r="EF532" s="782"/>
      <c r="EG532" s="782"/>
      <c r="EH532" s="782"/>
    </row>
    <row r="533" spans="1:138" ht="12.75" customHeight="1" x14ac:dyDescent="0.3">
      <c r="A533" s="782"/>
      <c r="B533" s="782" t="s">
        <v>24</v>
      </c>
      <c r="C533" s="798">
        <v>-2771991.4979271642</v>
      </c>
      <c r="D533" s="782"/>
      <c r="E533" s="798">
        <v>-40089.936305341245</v>
      </c>
      <c r="F533" s="798">
        <v>-225063.96010256742</v>
      </c>
      <c r="G533" s="798">
        <v>-307619.19922921993</v>
      </c>
      <c r="H533" s="798">
        <v>-386385.81778662285</v>
      </c>
      <c r="I533" s="798">
        <v>-397977.39232022205</v>
      </c>
      <c r="J533" s="798">
        <v>-409916.71408982924</v>
      </c>
      <c r="K533" s="798">
        <v>-422214.21551252453</v>
      </c>
      <c r="L533" s="798">
        <v>-434880.64197790093</v>
      </c>
      <c r="M533" s="798">
        <v>-147843.62060293613</v>
      </c>
      <c r="N533" s="798"/>
      <c r="O533" s="798"/>
      <c r="P533" s="782"/>
      <c r="Q533" s="782"/>
      <c r="R533" s="782"/>
      <c r="S533" s="782"/>
      <c r="T533" s="782"/>
      <c r="U533" s="782"/>
      <c r="V533" s="782"/>
      <c r="W533" s="782"/>
      <c r="X533" s="782"/>
      <c r="Y533" s="782"/>
      <c r="Z533" s="782"/>
      <c r="AA533" s="782"/>
      <c r="AB533" s="782"/>
      <c r="AC533" s="782"/>
      <c r="AD533" s="782"/>
      <c r="AE533" s="782"/>
      <c r="AF533" s="782"/>
      <c r="AG533" s="782"/>
      <c r="AH533" s="782"/>
      <c r="AI533" s="782"/>
      <c r="AJ533" s="782"/>
      <c r="AK533" s="782"/>
      <c r="AL533" s="782"/>
      <c r="AM533" s="782"/>
      <c r="AN533" s="782"/>
      <c r="AO533" s="782"/>
      <c r="AP533" s="782"/>
      <c r="AQ533" s="782"/>
      <c r="AR533" s="782"/>
      <c r="AS533" s="782"/>
      <c r="AT533" s="782"/>
      <c r="AU533" s="782"/>
      <c r="AV533" s="782"/>
      <c r="AW533" s="782"/>
      <c r="AX533" s="782"/>
      <c r="AY533" s="782"/>
      <c r="AZ533" s="782"/>
      <c r="BA533" s="782"/>
      <c r="BB533" s="782"/>
      <c r="BC533" s="782"/>
      <c r="BD533" s="782"/>
      <c r="BE533" s="782"/>
      <c r="BF533" s="782"/>
      <c r="BG533" s="782"/>
      <c r="BH533" s="782"/>
      <c r="BI533" s="782"/>
      <c r="BJ533" s="782"/>
      <c r="BK533" s="782"/>
      <c r="BL533" s="782"/>
      <c r="BM533" s="782"/>
      <c r="BN533" s="782"/>
      <c r="BO533" s="782"/>
      <c r="BP533" s="782"/>
      <c r="BQ533" s="782"/>
      <c r="BR533" s="782"/>
      <c r="BS533" s="782"/>
      <c r="BT533" s="782"/>
      <c r="BU533" s="782"/>
      <c r="BV533" s="782"/>
      <c r="BW533" s="782"/>
      <c r="BX533" s="782"/>
      <c r="BY533" s="782"/>
      <c r="BZ533" s="782"/>
      <c r="CA533" s="782"/>
      <c r="CB533" s="782"/>
      <c r="CC533" s="782"/>
      <c r="CD533" s="782"/>
      <c r="CE533" s="782"/>
      <c r="CF533" s="782"/>
      <c r="CG533" s="782"/>
      <c r="CH533" s="782"/>
      <c r="CI533" s="782"/>
      <c r="CJ533" s="782"/>
      <c r="CK533" s="782"/>
      <c r="CL533" s="782"/>
      <c r="CM533" s="782"/>
      <c r="CN533" s="782"/>
      <c r="CO533" s="782"/>
      <c r="CP533" s="782"/>
      <c r="CQ533" s="782"/>
      <c r="CR533" s="782"/>
      <c r="CS533" s="782"/>
      <c r="CT533" s="782"/>
      <c r="CU533" s="782"/>
      <c r="CV533" s="782"/>
      <c r="CW533" s="782"/>
      <c r="CX533" s="782"/>
      <c r="CY533" s="782"/>
      <c r="CZ533" s="782"/>
      <c r="DA533" s="782"/>
      <c r="DB533" s="782"/>
      <c r="DC533" s="782"/>
      <c r="DD533" s="782"/>
      <c r="DE533" s="782"/>
      <c r="DF533" s="782"/>
      <c r="DG533" s="782"/>
      <c r="DH533" s="782"/>
      <c r="DI533" s="782"/>
      <c r="DJ533" s="782"/>
      <c r="DK533" s="782"/>
      <c r="DL533" s="782"/>
      <c r="DM533" s="782"/>
      <c r="DN533" s="782"/>
      <c r="DO533" s="782"/>
      <c r="DP533" s="782"/>
      <c r="DQ533" s="782"/>
      <c r="DR533" s="782"/>
      <c r="DS533" s="782"/>
      <c r="DT533" s="782"/>
      <c r="DU533" s="782"/>
      <c r="DV533" s="782"/>
      <c r="DW533" s="782"/>
      <c r="DX533" s="782"/>
      <c r="DY533" s="782"/>
      <c r="DZ533" s="782"/>
      <c r="EA533" s="782"/>
      <c r="EB533" s="782"/>
      <c r="EC533" s="782"/>
      <c r="ED533" s="782"/>
      <c r="EE533" s="782"/>
      <c r="EF533" s="782"/>
      <c r="EG533" s="782"/>
      <c r="EH533" s="782"/>
    </row>
    <row r="534" spans="1:138" ht="12.75" customHeight="1" x14ac:dyDescent="0.3">
      <c r="A534" s="782"/>
      <c r="B534" s="821" t="s">
        <v>25</v>
      </c>
      <c r="C534" s="822">
        <v>39440245.703509428</v>
      </c>
      <c r="D534" s="821"/>
      <c r="E534" s="822">
        <v>-31821787.079223268</v>
      </c>
      <c r="F534" s="822">
        <v>-299190.39090693928</v>
      </c>
      <c r="G534" s="822">
        <v>10777278.713250795</v>
      </c>
      <c r="H534" s="822">
        <v>2354166.2612676462</v>
      </c>
      <c r="I534" s="822">
        <v>2311669.2381968657</v>
      </c>
      <c r="J534" s="822">
        <v>2323085.305882249</v>
      </c>
      <c r="K534" s="822">
        <v>2408990.510454372</v>
      </c>
      <c r="L534" s="822">
        <v>2527495.0318799675</v>
      </c>
      <c r="M534" s="822">
        <v>48858538.112707764</v>
      </c>
      <c r="N534" s="798"/>
      <c r="O534" s="798"/>
      <c r="P534" s="782"/>
      <c r="Q534" s="782"/>
      <c r="R534" s="782"/>
      <c r="S534" s="782"/>
      <c r="T534" s="782"/>
      <c r="U534" s="782"/>
      <c r="V534" s="782"/>
      <c r="W534" s="782"/>
      <c r="X534" s="782"/>
      <c r="Y534" s="782"/>
      <c r="Z534" s="782"/>
      <c r="AA534" s="782"/>
      <c r="AB534" s="782"/>
      <c r="AC534" s="782"/>
      <c r="AD534" s="782"/>
      <c r="AE534" s="782"/>
      <c r="AF534" s="782"/>
      <c r="AG534" s="782"/>
      <c r="AH534" s="782"/>
      <c r="AI534" s="782"/>
      <c r="AJ534" s="782"/>
      <c r="AK534" s="782"/>
      <c r="AL534" s="782"/>
      <c r="AM534" s="782"/>
      <c r="AN534" s="782"/>
      <c r="AO534" s="782"/>
      <c r="AP534" s="782"/>
      <c r="AQ534" s="782"/>
      <c r="AR534" s="782"/>
      <c r="AS534" s="782"/>
      <c r="AT534" s="782"/>
      <c r="AU534" s="782"/>
      <c r="AV534" s="782"/>
      <c r="AW534" s="782"/>
      <c r="AX534" s="782"/>
      <c r="AY534" s="782"/>
      <c r="AZ534" s="782"/>
      <c r="BA534" s="782"/>
      <c r="BB534" s="782"/>
      <c r="BC534" s="782"/>
      <c r="BD534" s="782"/>
      <c r="BE534" s="782"/>
      <c r="BF534" s="782"/>
      <c r="BG534" s="782"/>
      <c r="BH534" s="782"/>
      <c r="BI534" s="782"/>
      <c r="BJ534" s="782"/>
      <c r="BK534" s="782"/>
      <c r="BL534" s="782"/>
      <c r="BM534" s="782"/>
      <c r="BN534" s="782"/>
      <c r="BO534" s="782"/>
      <c r="BP534" s="782"/>
      <c r="BQ534" s="782"/>
      <c r="BR534" s="782"/>
      <c r="BS534" s="782"/>
      <c r="BT534" s="782"/>
      <c r="BU534" s="782"/>
      <c r="BV534" s="782"/>
      <c r="BW534" s="782"/>
      <c r="BX534" s="782"/>
      <c r="BY534" s="782"/>
      <c r="BZ534" s="782"/>
      <c r="CA534" s="782"/>
      <c r="CB534" s="782"/>
      <c r="CC534" s="782"/>
      <c r="CD534" s="782"/>
      <c r="CE534" s="782"/>
      <c r="CF534" s="782"/>
      <c r="CG534" s="782"/>
      <c r="CH534" s="782"/>
      <c r="CI534" s="782"/>
      <c r="CJ534" s="782"/>
      <c r="CK534" s="782"/>
      <c r="CL534" s="782"/>
      <c r="CM534" s="782"/>
      <c r="CN534" s="782"/>
      <c r="CO534" s="782"/>
      <c r="CP534" s="782"/>
      <c r="CQ534" s="782"/>
      <c r="CR534" s="782"/>
      <c r="CS534" s="782"/>
      <c r="CT534" s="782"/>
      <c r="CU534" s="782"/>
      <c r="CV534" s="782"/>
      <c r="CW534" s="782"/>
      <c r="CX534" s="782"/>
      <c r="CY534" s="782"/>
      <c r="CZ534" s="782"/>
      <c r="DA534" s="782"/>
      <c r="DB534" s="782"/>
      <c r="DC534" s="782"/>
      <c r="DD534" s="782"/>
      <c r="DE534" s="782"/>
      <c r="DF534" s="782"/>
      <c r="DG534" s="782"/>
      <c r="DH534" s="782"/>
      <c r="DI534" s="782"/>
      <c r="DJ534" s="782"/>
      <c r="DK534" s="782"/>
      <c r="DL534" s="782"/>
      <c r="DM534" s="782"/>
      <c r="DN534" s="782"/>
      <c r="DO534" s="782"/>
      <c r="DP534" s="782"/>
      <c r="DQ534" s="782"/>
      <c r="DR534" s="782"/>
      <c r="DS534" s="782"/>
      <c r="DT534" s="782"/>
      <c r="DU534" s="782"/>
      <c r="DV534" s="782"/>
      <c r="DW534" s="782"/>
      <c r="DX534" s="782"/>
      <c r="DY534" s="782"/>
      <c r="DZ534" s="782"/>
      <c r="EA534" s="782"/>
      <c r="EB534" s="782"/>
      <c r="EC534" s="782"/>
      <c r="ED534" s="782"/>
      <c r="EE534" s="782"/>
      <c r="EF534" s="782"/>
      <c r="EG534" s="782"/>
      <c r="EH534" s="782"/>
    </row>
    <row r="535" spans="1:138" ht="12.75" customHeight="1" x14ac:dyDescent="0.3">
      <c r="A535" s="782"/>
      <c r="B535" s="800" t="s">
        <v>26</v>
      </c>
      <c r="C535" s="801">
        <v>0.14082465767860411</v>
      </c>
      <c r="D535" s="782"/>
      <c r="E535" s="798"/>
      <c r="F535" s="798"/>
      <c r="G535" s="798"/>
      <c r="H535" s="798"/>
      <c r="I535" s="798"/>
      <c r="J535" s="798"/>
      <c r="K535" s="798"/>
      <c r="L535" s="798"/>
      <c r="M535" s="798"/>
      <c r="N535" s="798"/>
      <c r="O535" s="798"/>
      <c r="P535" s="782"/>
      <c r="Q535" s="782"/>
      <c r="R535" s="782"/>
      <c r="S535" s="782"/>
      <c r="T535" s="782"/>
      <c r="U535" s="782"/>
      <c r="V535" s="782"/>
      <c r="W535" s="782"/>
      <c r="X535" s="782"/>
      <c r="Y535" s="782"/>
      <c r="Z535" s="782"/>
      <c r="AA535" s="782"/>
      <c r="AB535" s="782"/>
      <c r="AC535" s="782"/>
      <c r="AD535" s="782"/>
      <c r="AE535" s="782"/>
      <c r="AF535" s="782"/>
      <c r="AG535" s="782"/>
      <c r="AH535" s="782"/>
      <c r="AI535" s="782"/>
      <c r="AJ535" s="782"/>
      <c r="AK535" s="782"/>
      <c r="AL535" s="782"/>
      <c r="AM535" s="782"/>
      <c r="AN535" s="782"/>
      <c r="AO535" s="782"/>
      <c r="AP535" s="782"/>
      <c r="AQ535" s="782"/>
      <c r="AR535" s="782"/>
      <c r="AS535" s="782"/>
      <c r="AT535" s="782"/>
      <c r="AU535" s="782"/>
      <c r="AV535" s="782"/>
      <c r="AW535" s="782"/>
      <c r="AX535" s="782"/>
      <c r="AY535" s="782"/>
      <c r="AZ535" s="782"/>
      <c r="BA535" s="782"/>
      <c r="BB535" s="782"/>
      <c r="BC535" s="782"/>
      <c r="BD535" s="782"/>
      <c r="BE535" s="782"/>
      <c r="BF535" s="782"/>
      <c r="BG535" s="782"/>
      <c r="BH535" s="782"/>
      <c r="BI535" s="782"/>
      <c r="BJ535" s="782"/>
      <c r="BK535" s="782"/>
      <c r="BL535" s="782"/>
      <c r="BM535" s="782"/>
      <c r="BN535" s="782"/>
      <c r="BO535" s="782"/>
      <c r="BP535" s="782"/>
      <c r="BQ535" s="782"/>
      <c r="BR535" s="782"/>
      <c r="BS535" s="782"/>
      <c r="BT535" s="782"/>
      <c r="BU535" s="782"/>
      <c r="BV535" s="782"/>
      <c r="BW535" s="782"/>
      <c r="BX535" s="782"/>
      <c r="BY535" s="782"/>
      <c r="BZ535" s="782"/>
      <c r="CA535" s="782"/>
      <c r="CB535" s="782"/>
      <c r="CC535" s="782"/>
      <c r="CD535" s="782"/>
      <c r="CE535" s="782"/>
      <c r="CF535" s="782"/>
      <c r="CG535" s="782"/>
      <c r="CH535" s="782"/>
      <c r="CI535" s="782"/>
      <c r="CJ535" s="782"/>
      <c r="CK535" s="782"/>
      <c r="CL535" s="782"/>
      <c r="CM535" s="782"/>
      <c r="CN535" s="782"/>
      <c r="CO535" s="782"/>
      <c r="CP535" s="782"/>
      <c r="CQ535" s="782"/>
      <c r="CR535" s="782"/>
      <c r="CS535" s="782"/>
      <c r="CT535" s="782"/>
      <c r="CU535" s="782"/>
      <c r="CV535" s="782"/>
      <c r="CW535" s="782"/>
      <c r="CX535" s="782"/>
      <c r="CY535" s="782"/>
      <c r="CZ535" s="782"/>
      <c r="DA535" s="782"/>
      <c r="DB535" s="782"/>
      <c r="DC535" s="782"/>
      <c r="DD535" s="782"/>
      <c r="DE535" s="782"/>
      <c r="DF535" s="782"/>
      <c r="DG535" s="782"/>
      <c r="DH535" s="782"/>
      <c r="DI535" s="782"/>
      <c r="DJ535" s="782"/>
      <c r="DK535" s="782"/>
      <c r="DL535" s="782"/>
      <c r="DM535" s="782"/>
      <c r="DN535" s="782"/>
      <c r="DO535" s="782"/>
      <c r="DP535" s="782"/>
      <c r="DQ535" s="782"/>
      <c r="DR535" s="782"/>
      <c r="DS535" s="782"/>
      <c r="DT535" s="782"/>
      <c r="DU535" s="782"/>
      <c r="DV535" s="782"/>
      <c r="DW535" s="782"/>
      <c r="DX535" s="782"/>
      <c r="DY535" s="782"/>
      <c r="DZ535" s="782"/>
      <c r="EA535" s="782"/>
      <c r="EB535" s="782"/>
      <c r="EC535" s="782"/>
      <c r="ED535" s="782"/>
      <c r="EE535" s="782"/>
      <c r="EF535" s="782"/>
      <c r="EG535" s="782"/>
      <c r="EH535" s="782"/>
    </row>
    <row r="536" spans="1:138" ht="12.75" customHeight="1" x14ac:dyDescent="0.3">
      <c r="A536" s="782"/>
      <c r="B536" s="782"/>
      <c r="C536" s="798"/>
      <c r="D536" s="782"/>
      <c r="E536" s="798"/>
      <c r="F536" s="798"/>
      <c r="G536" s="798"/>
      <c r="H536" s="798"/>
      <c r="I536" s="798"/>
      <c r="J536" s="798"/>
      <c r="K536" s="798"/>
      <c r="L536" s="798"/>
      <c r="M536" s="798"/>
      <c r="N536" s="798"/>
      <c r="O536" s="798"/>
      <c r="P536" s="782"/>
      <c r="Q536" s="782"/>
      <c r="R536" s="782"/>
      <c r="S536" s="782"/>
      <c r="T536" s="782"/>
      <c r="U536" s="782"/>
      <c r="V536" s="782"/>
      <c r="W536" s="782"/>
      <c r="X536" s="782"/>
      <c r="Y536" s="782"/>
      <c r="Z536" s="782"/>
      <c r="AA536" s="782"/>
      <c r="AB536" s="782"/>
      <c r="AC536" s="782"/>
      <c r="AD536" s="782"/>
      <c r="AE536" s="782"/>
      <c r="AF536" s="782"/>
      <c r="AG536" s="782"/>
      <c r="AH536" s="782"/>
      <c r="AI536" s="782"/>
      <c r="AJ536" s="782"/>
      <c r="AK536" s="782"/>
      <c r="AL536" s="782"/>
      <c r="AM536" s="782"/>
      <c r="AN536" s="782"/>
      <c r="AO536" s="782"/>
      <c r="AP536" s="782"/>
      <c r="AQ536" s="782"/>
      <c r="AR536" s="782"/>
      <c r="AS536" s="782"/>
      <c r="AT536" s="782"/>
      <c r="AU536" s="782"/>
      <c r="AV536" s="782"/>
      <c r="AW536" s="782"/>
      <c r="AX536" s="782"/>
      <c r="AY536" s="782"/>
      <c r="AZ536" s="782"/>
      <c r="BA536" s="782"/>
      <c r="BB536" s="782"/>
      <c r="BC536" s="782"/>
      <c r="BD536" s="782"/>
      <c r="BE536" s="782"/>
      <c r="BF536" s="782"/>
      <c r="BG536" s="782"/>
      <c r="BH536" s="782"/>
      <c r="BI536" s="782"/>
      <c r="BJ536" s="782"/>
      <c r="BK536" s="782"/>
      <c r="BL536" s="782"/>
      <c r="BM536" s="782"/>
      <c r="BN536" s="782"/>
      <c r="BO536" s="782"/>
      <c r="BP536" s="782"/>
      <c r="BQ536" s="782"/>
      <c r="BR536" s="782"/>
      <c r="BS536" s="782"/>
      <c r="BT536" s="782"/>
      <c r="BU536" s="782"/>
      <c r="BV536" s="782"/>
      <c r="BW536" s="782"/>
      <c r="BX536" s="782"/>
      <c r="BY536" s="782"/>
      <c r="BZ536" s="782"/>
      <c r="CA536" s="782"/>
      <c r="CB536" s="782"/>
      <c r="CC536" s="782"/>
      <c r="CD536" s="782"/>
      <c r="CE536" s="782"/>
      <c r="CF536" s="782"/>
      <c r="CG536" s="782"/>
      <c r="CH536" s="782"/>
      <c r="CI536" s="782"/>
      <c r="CJ536" s="782"/>
      <c r="CK536" s="782"/>
      <c r="CL536" s="782"/>
      <c r="CM536" s="782"/>
      <c r="CN536" s="782"/>
      <c r="CO536" s="782"/>
      <c r="CP536" s="782"/>
      <c r="CQ536" s="782"/>
      <c r="CR536" s="782"/>
      <c r="CS536" s="782"/>
      <c r="CT536" s="782"/>
      <c r="CU536" s="782"/>
      <c r="CV536" s="782"/>
      <c r="CW536" s="782"/>
      <c r="CX536" s="782"/>
      <c r="CY536" s="782"/>
      <c r="CZ536" s="782"/>
      <c r="DA536" s="782"/>
      <c r="DB536" s="782"/>
      <c r="DC536" s="782"/>
      <c r="DD536" s="782"/>
      <c r="DE536" s="782"/>
      <c r="DF536" s="782"/>
      <c r="DG536" s="782"/>
      <c r="DH536" s="782"/>
      <c r="DI536" s="782"/>
      <c r="DJ536" s="782"/>
      <c r="DK536" s="782"/>
      <c r="DL536" s="782"/>
      <c r="DM536" s="782"/>
      <c r="DN536" s="782"/>
      <c r="DO536" s="782"/>
      <c r="DP536" s="782"/>
      <c r="DQ536" s="782"/>
      <c r="DR536" s="782"/>
      <c r="DS536" s="782"/>
      <c r="DT536" s="782"/>
      <c r="DU536" s="782"/>
      <c r="DV536" s="782"/>
      <c r="DW536" s="782"/>
      <c r="DX536" s="782"/>
      <c r="DY536" s="782"/>
      <c r="DZ536" s="782"/>
      <c r="EA536" s="782"/>
      <c r="EB536" s="782"/>
      <c r="EC536" s="782"/>
      <c r="ED536" s="782"/>
      <c r="EE536" s="782"/>
      <c r="EF536" s="782"/>
      <c r="EG536" s="782"/>
      <c r="EH536" s="782"/>
    </row>
    <row r="537" spans="1:138" ht="12.75" customHeight="1" x14ac:dyDescent="0.3">
      <c r="A537" s="782"/>
      <c r="B537" s="782" t="s">
        <v>355</v>
      </c>
      <c r="C537" s="798">
        <v>-2289007.4855842879</v>
      </c>
      <c r="D537" s="782"/>
      <c r="E537" s="798">
        <v>0</v>
      </c>
      <c r="F537" s="798">
        <v>0</v>
      </c>
      <c r="G537" s="798">
        <v>-2289007.4855842879</v>
      </c>
      <c r="H537" s="798">
        <v>0</v>
      </c>
      <c r="I537" s="798">
        <v>0</v>
      </c>
      <c r="J537" s="798">
        <v>0</v>
      </c>
      <c r="K537" s="798">
        <v>0</v>
      </c>
      <c r="L537" s="798">
        <v>0</v>
      </c>
      <c r="M537" s="798">
        <v>0</v>
      </c>
      <c r="N537" s="798"/>
      <c r="O537" s="798"/>
      <c r="P537" s="782"/>
      <c r="Q537" s="782"/>
      <c r="R537" s="782"/>
      <c r="S537" s="782"/>
      <c r="T537" s="782"/>
      <c r="U537" s="782"/>
      <c r="V537" s="782"/>
      <c r="W537" s="782"/>
      <c r="X537" s="782"/>
      <c r="Y537" s="782"/>
      <c r="Z537" s="782"/>
      <c r="AA537" s="782"/>
      <c r="AB537" s="782"/>
      <c r="AC537" s="782"/>
      <c r="AD537" s="782"/>
      <c r="AE537" s="782"/>
      <c r="AF537" s="782"/>
      <c r="AG537" s="782"/>
      <c r="AH537" s="782"/>
      <c r="AI537" s="782"/>
      <c r="AJ537" s="782"/>
      <c r="AK537" s="782"/>
      <c r="AL537" s="782"/>
      <c r="AM537" s="782"/>
      <c r="AN537" s="782"/>
      <c r="AO537" s="782"/>
      <c r="AP537" s="782"/>
      <c r="AQ537" s="782"/>
      <c r="AR537" s="782"/>
      <c r="AS537" s="782"/>
      <c r="AT537" s="782"/>
      <c r="AU537" s="782"/>
      <c r="AV537" s="782"/>
      <c r="AW537" s="782"/>
      <c r="AX537" s="782"/>
      <c r="AY537" s="782"/>
      <c r="AZ537" s="782"/>
      <c r="BA537" s="782"/>
      <c r="BB537" s="782"/>
      <c r="BC537" s="782"/>
      <c r="BD537" s="782"/>
      <c r="BE537" s="782"/>
      <c r="BF537" s="782"/>
      <c r="BG537" s="782"/>
      <c r="BH537" s="782"/>
      <c r="BI537" s="782"/>
      <c r="BJ537" s="782"/>
      <c r="BK537" s="782"/>
      <c r="BL537" s="782"/>
      <c r="BM537" s="782"/>
      <c r="BN537" s="782"/>
      <c r="BO537" s="782"/>
      <c r="BP537" s="782"/>
      <c r="BQ537" s="782"/>
      <c r="BR537" s="782"/>
      <c r="BS537" s="782"/>
      <c r="BT537" s="782"/>
      <c r="BU537" s="782"/>
      <c r="BV537" s="782"/>
      <c r="BW537" s="782"/>
      <c r="BX537" s="782"/>
      <c r="BY537" s="782"/>
      <c r="BZ537" s="782"/>
      <c r="CA537" s="782"/>
      <c r="CB537" s="782"/>
      <c r="CC537" s="782"/>
      <c r="CD537" s="782"/>
      <c r="CE537" s="782"/>
      <c r="CF537" s="782"/>
      <c r="CG537" s="782"/>
      <c r="CH537" s="782"/>
      <c r="CI537" s="782"/>
      <c r="CJ537" s="782"/>
      <c r="CK537" s="782"/>
      <c r="CL537" s="782"/>
      <c r="CM537" s="782"/>
      <c r="CN537" s="782"/>
      <c r="CO537" s="782"/>
      <c r="CP537" s="782"/>
      <c r="CQ537" s="782"/>
      <c r="CR537" s="782"/>
      <c r="CS537" s="782"/>
      <c r="CT537" s="782"/>
      <c r="CU537" s="782"/>
      <c r="CV537" s="782"/>
      <c r="CW537" s="782"/>
      <c r="CX537" s="782"/>
      <c r="CY537" s="782"/>
      <c r="CZ537" s="782"/>
      <c r="DA537" s="782"/>
      <c r="DB537" s="782"/>
      <c r="DC537" s="782"/>
      <c r="DD537" s="782"/>
      <c r="DE537" s="782"/>
      <c r="DF537" s="782"/>
      <c r="DG537" s="782"/>
      <c r="DH537" s="782"/>
      <c r="DI537" s="782"/>
      <c r="DJ537" s="782"/>
      <c r="DK537" s="782"/>
      <c r="DL537" s="782"/>
      <c r="DM537" s="782"/>
      <c r="DN537" s="782"/>
      <c r="DO537" s="782"/>
      <c r="DP537" s="782"/>
      <c r="DQ537" s="782"/>
      <c r="DR537" s="782"/>
      <c r="DS537" s="782"/>
      <c r="DT537" s="782"/>
      <c r="DU537" s="782"/>
      <c r="DV537" s="782"/>
      <c r="DW537" s="782"/>
      <c r="DX537" s="782"/>
      <c r="DY537" s="782"/>
      <c r="DZ537" s="782"/>
      <c r="EA537" s="782"/>
      <c r="EB537" s="782"/>
      <c r="EC537" s="782"/>
      <c r="ED537" s="782"/>
      <c r="EE537" s="782"/>
      <c r="EF537" s="782"/>
      <c r="EG537" s="782"/>
      <c r="EH537" s="782"/>
    </row>
    <row r="538" spans="1:138" ht="12.75" customHeight="1" x14ac:dyDescent="0.3">
      <c r="A538" s="782"/>
      <c r="B538" s="782" t="s">
        <v>289</v>
      </c>
      <c r="C538" s="798">
        <v>-1170872.6743011475</v>
      </c>
      <c r="D538" s="782"/>
      <c r="E538" s="798">
        <v>0</v>
      </c>
      <c r="F538" s="798">
        <v>0</v>
      </c>
      <c r="G538" s="798">
        <v>0</v>
      </c>
      <c r="H538" s="798">
        <v>0</v>
      </c>
      <c r="I538" s="798">
        <v>0</v>
      </c>
      <c r="J538" s="798">
        <v>0</v>
      </c>
      <c r="K538" s="798">
        <v>0</v>
      </c>
      <c r="L538" s="798">
        <v>0</v>
      </c>
      <c r="M538" s="798">
        <v>-1170872.6743011475</v>
      </c>
      <c r="N538" s="798"/>
      <c r="O538" s="798"/>
      <c r="P538" s="782"/>
      <c r="Q538" s="782"/>
      <c r="R538" s="782"/>
      <c r="S538" s="782"/>
      <c r="T538" s="782"/>
      <c r="U538" s="782"/>
      <c r="V538" s="782"/>
      <c r="W538" s="782"/>
      <c r="X538" s="782"/>
      <c r="Y538" s="782"/>
      <c r="Z538" s="782"/>
      <c r="AA538" s="782"/>
      <c r="AB538" s="782"/>
      <c r="AC538" s="782"/>
      <c r="AD538" s="782"/>
      <c r="AE538" s="782"/>
      <c r="AF538" s="782"/>
      <c r="AG538" s="782"/>
      <c r="AH538" s="782"/>
      <c r="AI538" s="782"/>
      <c r="AJ538" s="782"/>
      <c r="AK538" s="782"/>
      <c r="AL538" s="782"/>
      <c r="AM538" s="782"/>
      <c r="AN538" s="782"/>
      <c r="AO538" s="782"/>
      <c r="AP538" s="782"/>
      <c r="AQ538" s="782"/>
      <c r="AR538" s="782"/>
      <c r="AS538" s="782"/>
      <c r="AT538" s="782"/>
      <c r="AU538" s="782"/>
      <c r="AV538" s="782"/>
      <c r="AW538" s="782"/>
      <c r="AX538" s="782"/>
      <c r="AY538" s="782"/>
      <c r="AZ538" s="782"/>
      <c r="BA538" s="782"/>
      <c r="BB538" s="782"/>
      <c r="BC538" s="782"/>
      <c r="BD538" s="782"/>
      <c r="BE538" s="782"/>
      <c r="BF538" s="782"/>
      <c r="BG538" s="782"/>
      <c r="BH538" s="782"/>
      <c r="BI538" s="782"/>
      <c r="BJ538" s="782"/>
      <c r="BK538" s="782"/>
      <c r="BL538" s="782"/>
      <c r="BM538" s="782"/>
      <c r="BN538" s="782"/>
      <c r="BO538" s="782"/>
      <c r="BP538" s="782"/>
      <c r="BQ538" s="782"/>
      <c r="BR538" s="782"/>
      <c r="BS538" s="782"/>
      <c r="BT538" s="782"/>
      <c r="BU538" s="782"/>
      <c r="BV538" s="782"/>
      <c r="BW538" s="782"/>
      <c r="BX538" s="782"/>
      <c r="BY538" s="782"/>
      <c r="BZ538" s="782"/>
      <c r="CA538" s="782"/>
      <c r="CB538" s="782"/>
      <c r="CC538" s="782"/>
      <c r="CD538" s="782"/>
      <c r="CE538" s="782"/>
      <c r="CF538" s="782"/>
      <c r="CG538" s="782"/>
      <c r="CH538" s="782"/>
      <c r="CI538" s="782"/>
      <c r="CJ538" s="782"/>
      <c r="CK538" s="782"/>
      <c r="CL538" s="782"/>
      <c r="CM538" s="782"/>
      <c r="CN538" s="782"/>
      <c r="CO538" s="782"/>
      <c r="CP538" s="782"/>
      <c r="CQ538" s="782"/>
      <c r="CR538" s="782"/>
      <c r="CS538" s="782"/>
      <c r="CT538" s="782"/>
      <c r="CU538" s="782"/>
      <c r="CV538" s="782"/>
      <c r="CW538" s="782"/>
      <c r="CX538" s="782"/>
      <c r="CY538" s="782"/>
      <c r="CZ538" s="782"/>
      <c r="DA538" s="782"/>
      <c r="DB538" s="782"/>
      <c r="DC538" s="782"/>
      <c r="DD538" s="782"/>
      <c r="DE538" s="782"/>
      <c r="DF538" s="782"/>
      <c r="DG538" s="782"/>
      <c r="DH538" s="782"/>
      <c r="DI538" s="782"/>
      <c r="DJ538" s="782"/>
      <c r="DK538" s="782"/>
      <c r="DL538" s="782"/>
      <c r="DM538" s="782"/>
      <c r="DN538" s="782"/>
      <c r="DO538" s="782"/>
      <c r="DP538" s="782"/>
      <c r="DQ538" s="782"/>
      <c r="DR538" s="782"/>
      <c r="DS538" s="782"/>
      <c r="DT538" s="782"/>
      <c r="DU538" s="782"/>
      <c r="DV538" s="782"/>
      <c r="DW538" s="782"/>
      <c r="DX538" s="782"/>
      <c r="DY538" s="782"/>
      <c r="DZ538" s="782"/>
      <c r="EA538" s="782"/>
      <c r="EB538" s="782"/>
      <c r="EC538" s="782"/>
      <c r="ED538" s="782"/>
      <c r="EE538" s="782"/>
      <c r="EF538" s="782"/>
      <c r="EG538" s="782"/>
      <c r="EH538" s="782"/>
    </row>
    <row r="539" spans="1:138" ht="12.75" customHeight="1" x14ac:dyDescent="0.3">
      <c r="A539" s="782"/>
      <c r="B539" s="821" t="s">
        <v>193</v>
      </c>
      <c r="C539" s="1396">
        <v>35980365.543623991</v>
      </c>
      <c r="D539" s="821"/>
      <c r="E539" s="822">
        <v>-31821787.079223268</v>
      </c>
      <c r="F539" s="822">
        <v>-299190.39090693928</v>
      </c>
      <c r="G539" s="822">
        <v>8488271.2276665084</v>
      </c>
      <c r="H539" s="822">
        <v>2354166.2612676462</v>
      </c>
      <c r="I539" s="822">
        <v>2311669.2381968657</v>
      </c>
      <c r="J539" s="822">
        <v>2323085.305882249</v>
      </c>
      <c r="K539" s="822">
        <v>2408990.510454372</v>
      </c>
      <c r="L539" s="822">
        <v>2527495.0318799675</v>
      </c>
      <c r="M539" s="822">
        <v>47687665.438406616</v>
      </c>
      <c r="N539" s="798"/>
      <c r="O539" s="798"/>
      <c r="P539" s="782"/>
      <c r="Q539" s="782"/>
      <c r="R539" s="782"/>
      <c r="S539" s="782"/>
      <c r="T539" s="782"/>
      <c r="U539" s="782"/>
      <c r="V539" s="782"/>
      <c r="W539" s="782"/>
      <c r="X539" s="782"/>
      <c r="Y539" s="782"/>
      <c r="Z539" s="782"/>
      <c r="AA539" s="782"/>
      <c r="AB539" s="782"/>
      <c r="AC539" s="782"/>
      <c r="AD539" s="782"/>
      <c r="AE539" s="782"/>
      <c r="AF539" s="782"/>
      <c r="AG539" s="782"/>
      <c r="AH539" s="782"/>
      <c r="AI539" s="782"/>
      <c r="AJ539" s="782"/>
      <c r="AK539" s="782"/>
      <c r="AL539" s="782"/>
      <c r="AM539" s="782"/>
      <c r="AN539" s="782"/>
      <c r="AO539" s="782"/>
      <c r="AP539" s="782"/>
      <c r="AQ539" s="782"/>
      <c r="AR539" s="782"/>
      <c r="AS539" s="782"/>
      <c r="AT539" s="782"/>
      <c r="AU539" s="782"/>
      <c r="AV539" s="782"/>
      <c r="AW539" s="782"/>
      <c r="AX539" s="782"/>
      <c r="AY539" s="782"/>
      <c r="AZ539" s="782"/>
      <c r="BA539" s="782"/>
      <c r="BB539" s="782"/>
      <c r="BC539" s="782"/>
      <c r="BD539" s="782"/>
      <c r="BE539" s="782"/>
      <c r="BF539" s="782"/>
      <c r="BG539" s="782"/>
      <c r="BH539" s="782"/>
      <c r="BI539" s="782"/>
      <c r="BJ539" s="782"/>
      <c r="BK539" s="782"/>
      <c r="BL539" s="782"/>
      <c r="BM539" s="782"/>
      <c r="BN539" s="782"/>
      <c r="BO539" s="782"/>
      <c r="BP539" s="782"/>
      <c r="BQ539" s="782"/>
      <c r="BR539" s="782"/>
      <c r="BS539" s="782"/>
      <c r="BT539" s="782"/>
      <c r="BU539" s="782"/>
      <c r="BV539" s="782"/>
      <c r="BW539" s="782"/>
      <c r="BX539" s="782"/>
      <c r="BY539" s="782"/>
      <c r="BZ539" s="782"/>
      <c r="CA539" s="782"/>
      <c r="CB539" s="782"/>
      <c r="CC539" s="782"/>
      <c r="CD539" s="782"/>
      <c r="CE539" s="782"/>
      <c r="CF539" s="782"/>
      <c r="CG539" s="782"/>
      <c r="CH539" s="782"/>
      <c r="CI539" s="782"/>
      <c r="CJ539" s="782"/>
      <c r="CK539" s="782"/>
      <c r="CL539" s="782"/>
      <c r="CM539" s="782"/>
      <c r="CN539" s="782"/>
      <c r="CO539" s="782"/>
      <c r="CP539" s="782"/>
      <c r="CQ539" s="782"/>
      <c r="CR539" s="782"/>
      <c r="CS539" s="782"/>
      <c r="CT539" s="782"/>
      <c r="CU539" s="782"/>
      <c r="CV539" s="782"/>
      <c r="CW539" s="782"/>
      <c r="CX539" s="782"/>
      <c r="CY539" s="782"/>
      <c r="CZ539" s="782"/>
      <c r="DA539" s="782"/>
      <c r="DB539" s="782"/>
      <c r="DC539" s="782"/>
      <c r="DD539" s="782"/>
      <c r="DE539" s="782"/>
      <c r="DF539" s="782"/>
      <c r="DG539" s="782"/>
      <c r="DH539" s="782"/>
      <c r="DI539" s="782"/>
      <c r="DJ539" s="782"/>
      <c r="DK539" s="782"/>
      <c r="DL539" s="782"/>
      <c r="DM539" s="782"/>
      <c r="DN539" s="782"/>
      <c r="DO539" s="782"/>
      <c r="DP539" s="782"/>
      <c r="DQ539" s="782"/>
      <c r="DR539" s="782"/>
      <c r="DS539" s="782"/>
      <c r="DT539" s="782"/>
      <c r="DU539" s="782"/>
      <c r="DV539" s="782"/>
      <c r="DW539" s="782"/>
      <c r="DX539" s="782"/>
      <c r="DY539" s="782"/>
      <c r="DZ539" s="782"/>
      <c r="EA539" s="782"/>
      <c r="EB539" s="782"/>
      <c r="EC539" s="782"/>
      <c r="ED539" s="782"/>
      <c r="EE539" s="782"/>
      <c r="EF539" s="782"/>
      <c r="EG539" s="782"/>
      <c r="EH539" s="782"/>
    </row>
    <row r="540" spans="1:138" ht="12.75" customHeight="1" x14ac:dyDescent="0.3">
      <c r="A540" s="782"/>
      <c r="B540" s="782"/>
      <c r="C540" s="798"/>
      <c r="D540" s="782"/>
      <c r="E540" s="798"/>
      <c r="F540" s="798"/>
      <c r="G540" s="798"/>
      <c r="H540" s="798"/>
      <c r="I540" s="798"/>
      <c r="J540" s="798"/>
      <c r="K540" s="798"/>
      <c r="L540" s="798"/>
      <c r="M540" s="798"/>
      <c r="N540" s="798"/>
      <c r="O540" s="798"/>
      <c r="P540" s="782"/>
      <c r="Q540" s="782"/>
      <c r="R540" s="782"/>
      <c r="S540" s="782"/>
      <c r="T540" s="782"/>
      <c r="U540" s="782"/>
      <c r="V540" s="782"/>
      <c r="W540" s="782"/>
      <c r="X540" s="782"/>
      <c r="Y540" s="782"/>
      <c r="Z540" s="782"/>
      <c r="AA540" s="782"/>
      <c r="AB540" s="782"/>
      <c r="AC540" s="782"/>
      <c r="AD540" s="782"/>
      <c r="AE540" s="782"/>
      <c r="AF540" s="782"/>
      <c r="AG540" s="782"/>
      <c r="AH540" s="782"/>
      <c r="AI540" s="782"/>
      <c r="AJ540" s="782"/>
      <c r="AK540" s="782"/>
      <c r="AL540" s="782"/>
      <c r="AM540" s="782"/>
      <c r="AN540" s="782"/>
      <c r="AO540" s="782"/>
      <c r="AP540" s="782"/>
      <c r="AQ540" s="782"/>
      <c r="AR540" s="782"/>
      <c r="AS540" s="782"/>
      <c r="AT540" s="782"/>
      <c r="AU540" s="782"/>
      <c r="AV540" s="782"/>
      <c r="AW540" s="782"/>
      <c r="AX540" s="782"/>
      <c r="AY540" s="782"/>
      <c r="AZ540" s="782"/>
      <c r="BA540" s="782"/>
      <c r="BB540" s="782"/>
      <c r="BC540" s="782"/>
      <c r="BD540" s="782"/>
      <c r="BE540" s="782"/>
      <c r="BF540" s="782"/>
      <c r="BG540" s="782"/>
      <c r="BH540" s="782"/>
      <c r="BI540" s="782"/>
      <c r="BJ540" s="782"/>
      <c r="BK540" s="782"/>
      <c r="BL540" s="782"/>
      <c r="BM540" s="782"/>
      <c r="BN540" s="782"/>
      <c r="BO540" s="782"/>
      <c r="BP540" s="782"/>
      <c r="BQ540" s="782"/>
      <c r="BR540" s="782"/>
      <c r="BS540" s="782"/>
      <c r="BT540" s="782"/>
      <c r="BU540" s="782"/>
      <c r="BV540" s="782"/>
      <c r="BW540" s="782"/>
      <c r="BX540" s="782"/>
      <c r="BY540" s="782"/>
      <c r="BZ540" s="782"/>
      <c r="CA540" s="782"/>
      <c r="CB540" s="782"/>
      <c r="CC540" s="782"/>
      <c r="CD540" s="782"/>
      <c r="CE540" s="782"/>
      <c r="CF540" s="782"/>
      <c r="CG540" s="782"/>
      <c r="CH540" s="782"/>
      <c r="CI540" s="782"/>
      <c r="CJ540" s="782"/>
      <c r="CK540" s="782"/>
      <c r="CL540" s="782"/>
      <c r="CM540" s="782"/>
      <c r="CN540" s="782"/>
      <c r="CO540" s="782"/>
      <c r="CP540" s="782"/>
      <c r="CQ540" s="782"/>
      <c r="CR540" s="782"/>
      <c r="CS540" s="782"/>
      <c r="CT540" s="782"/>
      <c r="CU540" s="782"/>
      <c r="CV540" s="782"/>
      <c r="CW540" s="782"/>
      <c r="CX540" s="782"/>
      <c r="CY540" s="782"/>
      <c r="CZ540" s="782"/>
      <c r="DA540" s="782"/>
      <c r="DB540" s="782"/>
      <c r="DC540" s="782"/>
      <c r="DD540" s="782"/>
      <c r="DE540" s="782"/>
      <c r="DF540" s="782"/>
      <c r="DG540" s="782"/>
      <c r="DH540" s="782"/>
      <c r="DI540" s="782"/>
      <c r="DJ540" s="782"/>
      <c r="DK540" s="782"/>
      <c r="DL540" s="782"/>
      <c r="DM540" s="782"/>
      <c r="DN540" s="782"/>
      <c r="DO540" s="782"/>
      <c r="DP540" s="782"/>
      <c r="DQ540" s="782"/>
      <c r="DR540" s="782"/>
      <c r="DS540" s="782"/>
      <c r="DT540" s="782"/>
      <c r="DU540" s="782"/>
      <c r="DV540" s="782"/>
      <c r="DW540" s="782"/>
      <c r="DX540" s="782"/>
      <c r="DY540" s="782"/>
      <c r="DZ540" s="782"/>
      <c r="EA540" s="782"/>
      <c r="EB540" s="782"/>
      <c r="EC540" s="782"/>
      <c r="ED540" s="782"/>
      <c r="EE540" s="782"/>
      <c r="EF540" s="782"/>
      <c r="EG540" s="782"/>
      <c r="EH540" s="782"/>
    </row>
    <row r="541" spans="1:138" ht="12.75" customHeight="1" x14ac:dyDescent="0.3">
      <c r="A541" s="782"/>
      <c r="B541" s="782" t="s">
        <v>194</v>
      </c>
      <c r="C541" s="798">
        <v>32382328.989261623</v>
      </c>
      <c r="D541" s="782"/>
      <c r="E541" s="798">
        <v>-28639608.371300936</v>
      </c>
      <c r="F541" s="798">
        <v>-269271.35181623657</v>
      </c>
      <c r="G541" s="798">
        <v>7639444.10489986</v>
      </c>
      <c r="H541" s="798">
        <v>2118749.6351408819</v>
      </c>
      <c r="I541" s="798">
        <v>2080502.3143771796</v>
      </c>
      <c r="J541" s="798">
        <v>2090776.7752940257</v>
      </c>
      <c r="K541" s="798">
        <v>2168091.4594089356</v>
      </c>
      <c r="L541" s="798">
        <v>2274745.5286919717</v>
      </c>
      <c r="M541" s="798">
        <v>42918898.89456594</v>
      </c>
      <c r="N541" s="798"/>
      <c r="O541" s="798"/>
      <c r="P541" s="782"/>
      <c r="Q541" s="782"/>
      <c r="R541" s="782"/>
      <c r="S541" s="782"/>
      <c r="T541" s="782"/>
      <c r="U541" s="782"/>
      <c r="V541" s="782"/>
      <c r="W541" s="782"/>
      <c r="X541" s="782"/>
      <c r="Y541" s="782"/>
      <c r="Z541" s="782"/>
      <c r="AA541" s="782"/>
      <c r="AB541" s="782"/>
      <c r="AC541" s="782"/>
      <c r="AD541" s="782"/>
      <c r="AE541" s="782"/>
      <c r="AF541" s="782"/>
      <c r="AG541" s="782"/>
      <c r="AH541" s="782"/>
      <c r="AI541" s="782"/>
      <c r="AJ541" s="782"/>
      <c r="AK541" s="782"/>
      <c r="AL541" s="782"/>
      <c r="AM541" s="782"/>
      <c r="AN541" s="782"/>
      <c r="AO541" s="782"/>
      <c r="AP541" s="782"/>
      <c r="AQ541" s="782"/>
      <c r="AR541" s="782"/>
      <c r="AS541" s="782"/>
      <c r="AT541" s="782"/>
      <c r="AU541" s="782"/>
      <c r="AV541" s="782"/>
      <c r="AW541" s="782"/>
      <c r="AX541" s="782"/>
      <c r="AY541" s="782"/>
      <c r="AZ541" s="782"/>
      <c r="BA541" s="782"/>
      <c r="BB541" s="782"/>
      <c r="BC541" s="782"/>
      <c r="BD541" s="782"/>
      <c r="BE541" s="782"/>
      <c r="BF541" s="782"/>
      <c r="BG541" s="782"/>
      <c r="BH541" s="782"/>
      <c r="BI541" s="782"/>
      <c r="BJ541" s="782"/>
      <c r="BK541" s="782"/>
      <c r="BL541" s="782"/>
      <c r="BM541" s="782"/>
      <c r="BN541" s="782"/>
      <c r="BO541" s="782"/>
      <c r="BP541" s="782"/>
      <c r="BQ541" s="782"/>
      <c r="BR541" s="782"/>
      <c r="BS541" s="782"/>
      <c r="BT541" s="782"/>
      <c r="BU541" s="782"/>
      <c r="BV541" s="782"/>
      <c r="BW541" s="782"/>
      <c r="BX541" s="782"/>
      <c r="BY541" s="782"/>
      <c r="BZ541" s="782"/>
      <c r="CA541" s="782"/>
      <c r="CB541" s="782"/>
      <c r="CC541" s="782"/>
      <c r="CD541" s="782"/>
      <c r="CE541" s="782"/>
      <c r="CF541" s="782"/>
      <c r="CG541" s="782"/>
      <c r="CH541" s="782"/>
      <c r="CI541" s="782"/>
      <c r="CJ541" s="782"/>
      <c r="CK541" s="782"/>
      <c r="CL541" s="782"/>
      <c r="CM541" s="782"/>
      <c r="CN541" s="782"/>
      <c r="CO541" s="782"/>
      <c r="CP541" s="782"/>
      <c r="CQ541" s="782"/>
      <c r="CR541" s="782"/>
      <c r="CS541" s="782"/>
      <c r="CT541" s="782"/>
      <c r="CU541" s="782"/>
      <c r="CV541" s="782"/>
      <c r="CW541" s="782"/>
      <c r="CX541" s="782"/>
      <c r="CY541" s="782"/>
      <c r="CZ541" s="782"/>
      <c r="DA541" s="782"/>
      <c r="DB541" s="782"/>
      <c r="DC541" s="782"/>
      <c r="DD541" s="782"/>
      <c r="DE541" s="782"/>
      <c r="DF541" s="782"/>
      <c r="DG541" s="782"/>
      <c r="DH541" s="782"/>
      <c r="DI541" s="782"/>
      <c r="DJ541" s="782"/>
      <c r="DK541" s="782"/>
      <c r="DL541" s="782"/>
      <c r="DM541" s="782"/>
      <c r="DN541" s="782"/>
      <c r="DO541" s="782"/>
      <c r="DP541" s="782"/>
      <c r="DQ541" s="782"/>
      <c r="DR541" s="782"/>
      <c r="DS541" s="782"/>
      <c r="DT541" s="782"/>
      <c r="DU541" s="782"/>
      <c r="DV541" s="782"/>
      <c r="DW541" s="782"/>
      <c r="DX541" s="782"/>
      <c r="DY541" s="782"/>
      <c r="DZ541" s="782"/>
      <c r="EA541" s="782"/>
      <c r="EB541" s="782"/>
      <c r="EC541" s="782"/>
      <c r="ED541" s="782"/>
      <c r="EE541" s="782"/>
      <c r="EF541" s="782"/>
      <c r="EG541" s="782"/>
      <c r="EH541" s="782"/>
    </row>
    <row r="542" spans="1:138" ht="12.75" customHeight="1" x14ac:dyDescent="0.3">
      <c r="A542" s="782"/>
      <c r="B542" s="1397" t="s">
        <v>195</v>
      </c>
      <c r="C542" s="1398">
        <v>0.127727609872818</v>
      </c>
      <c r="D542" s="782"/>
      <c r="E542" s="798"/>
      <c r="F542" s="798"/>
      <c r="G542" s="798"/>
      <c r="H542" s="798"/>
      <c r="I542" s="798"/>
      <c r="J542" s="798"/>
      <c r="K542" s="798"/>
      <c r="L542" s="798"/>
      <c r="M542" s="798"/>
      <c r="N542" s="798"/>
      <c r="O542" s="798"/>
      <c r="P542" s="782"/>
      <c r="Q542" s="782"/>
      <c r="R542" s="782"/>
      <c r="S542" s="782"/>
      <c r="T542" s="782"/>
      <c r="U542" s="782"/>
      <c r="V542" s="782"/>
      <c r="W542" s="782"/>
      <c r="X542" s="782"/>
      <c r="Y542" s="782"/>
      <c r="Z542" s="782"/>
      <c r="AA542" s="782"/>
      <c r="AB542" s="782"/>
      <c r="AC542" s="782"/>
      <c r="AD542" s="782"/>
      <c r="AE542" s="782"/>
      <c r="AF542" s="782"/>
      <c r="AG542" s="782"/>
      <c r="AH542" s="782"/>
      <c r="AI542" s="782"/>
      <c r="AJ542" s="782"/>
      <c r="AK542" s="782"/>
      <c r="AL542" s="782"/>
      <c r="AM542" s="782"/>
      <c r="AN542" s="782"/>
      <c r="AO542" s="782"/>
      <c r="AP542" s="782"/>
      <c r="AQ542" s="782"/>
      <c r="AR542" s="782"/>
      <c r="AS542" s="782"/>
      <c r="AT542" s="782"/>
      <c r="AU542" s="782"/>
      <c r="AV542" s="782"/>
      <c r="AW542" s="782"/>
      <c r="AX542" s="782"/>
      <c r="AY542" s="782"/>
      <c r="AZ542" s="782"/>
      <c r="BA542" s="782"/>
      <c r="BB542" s="782"/>
      <c r="BC542" s="782"/>
      <c r="BD542" s="782"/>
      <c r="BE542" s="782"/>
      <c r="BF542" s="782"/>
      <c r="BG542" s="782"/>
      <c r="BH542" s="782"/>
      <c r="BI542" s="782"/>
      <c r="BJ542" s="782"/>
      <c r="BK542" s="782"/>
      <c r="BL542" s="782"/>
      <c r="BM542" s="782"/>
      <c r="BN542" s="782"/>
      <c r="BO542" s="782"/>
      <c r="BP542" s="782"/>
      <c r="BQ542" s="782"/>
      <c r="BR542" s="782"/>
      <c r="BS542" s="782"/>
      <c r="BT542" s="782"/>
      <c r="BU542" s="782"/>
      <c r="BV542" s="782"/>
      <c r="BW542" s="782"/>
      <c r="BX542" s="782"/>
      <c r="BY542" s="782"/>
      <c r="BZ542" s="782"/>
      <c r="CA542" s="782"/>
      <c r="CB542" s="782"/>
      <c r="CC542" s="782"/>
      <c r="CD542" s="782"/>
      <c r="CE542" s="782"/>
      <c r="CF542" s="782"/>
      <c r="CG542" s="782"/>
      <c r="CH542" s="782"/>
      <c r="CI542" s="782"/>
      <c r="CJ542" s="782"/>
      <c r="CK542" s="782"/>
      <c r="CL542" s="782"/>
      <c r="CM542" s="782"/>
      <c r="CN542" s="782"/>
      <c r="CO542" s="782"/>
      <c r="CP542" s="782"/>
      <c r="CQ542" s="782"/>
      <c r="CR542" s="782"/>
      <c r="CS542" s="782"/>
      <c r="CT542" s="782"/>
      <c r="CU542" s="782"/>
      <c r="CV542" s="782"/>
      <c r="CW542" s="782"/>
      <c r="CX542" s="782"/>
      <c r="CY542" s="782"/>
      <c r="CZ542" s="782"/>
      <c r="DA542" s="782"/>
      <c r="DB542" s="782"/>
      <c r="DC542" s="782"/>
      <c r="DD542" s="782"/>
      <c r="DE542" s="782"/>
      <c r="DF542" s="782"/>
      <c r="DG542" s="782"/>
      <c r="DH542" s="782"/>
      <c r="DI542" s="782"/>
      <c r="DJ542" s="782"/>
      <c r="DK542" s="782"/>
      <c r="DL542" s="782"/>
      <c r="DM542" s="782"/>
      <c r="DN542" s="782"/>
      <c r="DO542" s="782"/>
      <c r="DP542" s="782"/>
      <c r="DQ542" s="782"/>
      <c r="DR542" s="782"/>
      <c r="DS542" s="782"/>
      <c r="DT542" s="782"/>
      <c r="DU542" s="782"/>
      <c r="DV542" s="782"/>
      <c r="DW542" s="782"/>
      <c r="DX542" s="782"/>
      <c r="DY542" s="782"/>
      <c r="DZ542" s="782"/>
      <c r="EA542" s="782"/>
      <c r="EB542" s="782"/>
      <c r="EC542" s="782"/>
      <c r="ED542" s="782"/>
      <c r="EE542" s="782"/>
      <c r="EF542" s="782"/>
      <c r="EG542" s="782"/>
      <c r="EH542" s="782"/>
    </row>
    <row r="543" spans="1:138" ht="12.75" customHeight="1" x14ac:dyDescent="0.3">
      <c r="A543" s="782"/>
      <c r="B543" s="1399" t="s">
        <v>196</v>
      </c>
      <c r="C543" s="1400">
        <v>2.0502986143114614</v>
      </c>
      <c r="D543" s="782"/>
      <c r="E543" s="798"/>
      <c r="F543" s="798"/>
      <c r="G543" s="798"/>
      <c r="H543" s="798"/>
      <c r="I543" s="798"/>
      <c r="J543" s="798"/>
      <c r="K543" s="798"/>
      <c r="L543" s="798"/>
      <c r="M543" s="798"/>
      <c r="N543" s="798"/>
      <c r="O543" s="798"/>
      <c r="P543" s="782"/>
      <c r="Q543" s="782"/>
      <c r="R543" s="782"/>
      <c r="S543" s="782"/>
      <c r="T543" s="782"/>
      <c r="U543" s="782"/>
      <c r="V543" s="782"/>
      <c r="W543" s="782"/>
      <c r="X543" s="782"/>
      <c r="Y543" s="782"/>
      <c r="Z543" s="782"/>
      <c r="AA543" s="782"/>
      <c r="AB543" s="782"/>
      <c r="AC543" s="782"/>
      <c r="AD543" s="782"/>
      <c r="AE543" s="782"/>
      <c r="AF543" s="782"/>
      <c r="AG543" s="782"/>
      <c r="AH543" s="782"/>
      <c r="AI543" s="782"/>
      <c r="AJ543" s="782"/>
      <c r="AK543" s="782"/>
      <c r="AL543" s="782"/>
      <c r="AM543" s="782"/>
      <c r="AN543" s="782"/>
      <c r="AO543" s="782"/>
      <c r="AP543" s="782"/>
      <c r="AQ543" s="782"/>
      <c r="AR543" s="782"/>
      <c r="AS543" s="782"/>
      <c r="AT543" s="782"/>
      <c r="AU543" s="782"/>
      <c r="AV543" s="782"/>
      <c r="AW543" s="782"/>
      <c r="AX543" s="782"/>
      <c r="AY543" s="782"/>
      <c r="AZ543" s="782"/>
      <c r="BA543" s="782"/>
      <c r="BB543" s="782"/>
      <c r="BC543" s="782"/>
      <c r="BD543" s="782"/>
      <c r="BE543" s="782"/>
      <c r="BF543" s="782"/>
      <c r="BG543" s="782"/>
      <c r="BH543" s="782"/>
      <c r="BI543" s="782"/>
      <c r="BJ543" s="782"/>
      <c r="BK543" s="782"/>
      <c r="BL543" s="782"/>
      <c r="BM543" s="782"/>
      <c r="BN543" s="782"/>
      <c r="BO543" s="782"/>
      <c r="BP543" s="782"/>
      <c r="BQ543" s="782"/>
      <c r="BR543" s="782"/>
      <c r="BS543" s="782"/>
      <c r="BT543" s="782"/>
      <c r="BU543" s="782"/>
      <c r="BV543" s="782"/>
      <c r="BW543" s="782"/>
      <c r="BX543" s="782"/>
      <c r="BY543" s="782"/>
      <c r="BZ543" s="782"/>
      <c r="CA543" s="782"/>
      <c r="CB543" s="782"/>
      <c r="CC543" s="782"/>
      <c r="CD543" s="782"/>
      <c r="CE543" s="782"/>
      <c r="CF543" s="782"/>
      <c r="CG543" s="782"/>
      <c r="CH543" s="782"/>
      <c r="CI543" s="782"/>
      <c r="CJ543" s="782"/>
      <c r="CK543" s="782"/>
      <c r="CL543" s="782"/>
      <c r="CM543" s="782"/>
      <c r="CN543" s="782"/>
      <c r="CO543" s="782"/>
      <c r="CP543" s="782"/>
      <c r="CQ543" s="782"/>
      <c r="CR543" s="782"/>
      <c r="CS543" s="782"/>
      <c r="CT543" s="782"/>
      <c r="CU543" s="782"/>
      <c r="CV543" s="782"/>
      <c r="CW543" s="782"/>
      <c r="CX543" s="782"/>
      <c r="CY543" s="782"/>
      <c r="CZ543" s="782"/>
      <c r="DA543" s="782"/>
      <c r="DB543" s="782"/>
      <c r="DC543" s="782"/>
      <c r="DD543" s="782"/>
      <c r="DE543" s="782"/>
      <c r="DF543" s="782"/>
      <c r="DG543" s="782"/>
      <c r="DH543" s="782"/>
      <c r="DI543" s="782"/>
      <c r="DJ543" s="782"/>
      <c r="DK543" s="782"/>
      <c r="DL543" s="782"/>
      <c r="DM543" s="782"/>
      <c r="DN543" s="782"/>
      <c r="DO543" s="782"/>
      <c r="DP543" s="782"/>
      <c r="DQ543" s="782"/>
      <c r="DR543" s="782"/>
      <c r="DS543" s="782"/>
      <c r="DT543" s="782"/>
      <c r="DU543" s="782"/>
      <c r="DV543" s="782"/>
      <c r="DW543" s="782"/>
      <c r="DX543" s="782"/>
      <c r="DY543" s="782"/>
      <c r="DZ543" s="782"/>
      <c r="EA543" s="782"/>
      <c r="EB543" s="782"/>
      <c r="EC543" s="782"/>
      <c r="ED543" s="782"/>
      <c r="EE543" s="782"/>
      <c r="EF543" s="782"/>
      <c r="EG543" s="782"/>
      <c r="EH543" s="782"/>
    </row>
    <row r="544" spans="1:138" ht="12.75" customHeight="1" x14ac:dyDescent="0.3">
      <c r="A544" s="782"/>
      <c r="B544" s="782"/>
      <c r="C544" s="798"/>
      <c r="D544" s="782"/>
      <c r="E544" s="798"/>
      <c r="F544" s="798"/>
      <c r="G544" s="798"/>
      <c r="H544" s="798"/>
      <c r="I544" s="798"/>
      <c r="J544" s="798"/>
      <c r="K544" s="798"/>
      <c r="L544" s="798"/>
      <c r="M544" s="798"/>
      <c r="N544" s="798"/>
      <c r="O544" s="798"/>
      <c r="P544" s="782"/>
      <c r="Q544" s="782"/>
      <c r="R544" s="782"/>
      <c r="S544" s="782"/>
      <c r="T544" s="782"/>
      <c r="U544" s="782"/>
      <c r="V544" s="782"/>
      <c r="W544" s="782"/>
      <c r="X544" s="782"/>
      <c r="Y544" s="782"/>
      <c r="Z544" s="782"/>
      <c r="AA544" s="782"/>
      <c r="AB544" s="782"/>
      <c r="AC544" s="782"/>
      <c r="AD544" s="782"/>
      <c r="AE544" s="782"/>
      <c r="AF544" s="782"/>
      <c r="AG544" s="782"/>
      <c r="AH544" s="782"/>
      <c r="AI544" s="782"/>
      <c r="AJ544" s="782"/>
      <c r="AK544" s="782"/>
      <c r="AL544" s="782"/>
      <c r="AM544" s="782"/>
      <c r="AN544" s="782"/>
      <c r="AO544" s="782"/>
      <c r="AP544" s="782"/>
      <c r="AQ544" s="782"/>
      <c r="AR544" s="782"/>
      <c r="AS544" s="782"/>
      <c r="AT544" s="782"/>
      <c r="AU544" s="782"/>
      <c r="AV544" s="782"/>
      <c r="AW544" s="782"/>
      <c r="AX544" s="782"/>
      <c r="AY544" s="782"/>
      <c r="AZ544" s="782"/>
      <c r="BA544" s="782"/>
      <c r="BB544" s="782"/>
      <c r="BC544" s="782"/>
      <c r="BD544" s="782"/>
      <c r="BE544" s="782"/>
      <c r="BF544" s="782"/>
      <c r="BG544" s="782"/>
      <c r="BH544" s="782"/>
      <c r="BI544" s="782"/>
      <c r="BJ544" s="782"/>
      <c r="BK544" s="782"/>
      <c r="BL544" s="782"/>
      <c r="BM544" s="782"/>
      <c r="BN544" s="782"/>
      <c r="BO544" s="782"/>
      <c r="BP544" s="782"/>
      <c r="BQ544" s="782"/>
      <c r="BR544" s="782"/>
      <c r="BS544" s="782"/>
      <c r="BT544" s="782"/>
      <c r="BU544" s="782"/>
      <c r="BV544" s="782"/>
      <c r="BW544" s="782"/>
      <c r="BX544" s="782"/>
      <c r="BY544" s="782"/>
      <c r="BZ544" s="782"/>
      <c r="CA544" s="782"/>
      <c r="CB544" s="782"/>
      <c r="CC544" s="782"/>
      <c r="CD544" s="782"/>
      <c r="CE544" s="782"/>
      <c r="CF544" s="782"/>
      <c r="CG544" s="782"/>
      <c r="CH544" s="782"/>
      <c r="CI544" s="782"/>
      <c r="CJ544" s="782"/>
      <c r="CK544" s="782"/>
      <c r="CL544" s="782"/>
      <c r="CM544" s="782"/>
      <c r="CN544" s="782"/>
      <c r="CO544" s="782"/>
      <c r="CP544" s="782"/>
      <c r="CQ544" s="782"/>
      <c r="CR544" s="782"/>
      <c r="CS544" s="782"/>
      <c r="CT544" s="782"/>
      <c r="CU544" s="782"/>
      <c r="CV544" s="782"/>
      <c r="CW544" s="782"/>
      <c r="CX544" s="782"/>
      <c r="CY544" s="782"/>
      <c r="CZ544" s="782"/>
      <c r="DA544" s="782"/>
      <c r="DB544" s="782"/>
      <c r="DC544" s="782"/>
      <c r="DD544" s="782"/>
      <c r="DE544" s="782"/>
      <c r="DF544" s="782"/>
      <c r="DG544" s="782"/>
      <c r="DH544" s="782"/>
      <c r="DI544" s="782"/>
      <c r="DJ544" s="782"/>
      <c r="DK544" s="782"/>
      <c r="DL544" s="782"/>
      <c r="DM544" s="782"/>
      <c r="DN544" s="782"/>
      <c r="DO544" s="782"/>
      <c r="DP544" s="782"/>
      <c r="DQ544" s="782"/>
      <c r="DR544" s="782"/>
      <c r="DS544" s="782"/>
      <c r="DT544" s="782"/>
      <c r="DU544" s="782"/>
      <c r="DV544" s="782"/>
      <c r="DW544" s="782"/>
      <c r="DX544" s="782"/>
      <c r="DY544" s="782"/>
      <c r="DZ544" s="782"/>
      <c r="EA544" s="782"/>
      <c r="EB544" s="782"/>
      <c r="EC544" s="782"/>
      <c r="ED544" s="782"/>
      <c r="EE544" s="782"/>
      <c r="EF544" s="782"/>
      <c r="EG544" s="782"/>
      <c r="EH544" s="782"/>
    </row>
    <row r="545" spans="1:138" ht="12.75" customHeight="1" x14ac:dyDescent="0.3">
      <c r="A545" s="782"/>
      <c r="B545" s="782" t="s">
        <v>197</v>
      </c>
      <c r="C545" s="798">
        <v>3598036.5543624032</v>
      </c>
      <c r="D545" s="782"/>
      <c r="E545" s="798">
        <v>-3182178.7079223264</v>
      </c>
      <c r="F545" s="798">
        <v>-29919.039090692946</v>
      </c>
      <c r="G545" s="798">
        <v>848827.12276665098</v>
      </c>
      <c r="H545" s="798">
        <v>235416.62612676469</v>
      </c>
      <c r="I545" s="798">
        <v>231166.92381968664</v>
      </c>
      <c r="J545" s="798">
        <v>232308.53058822508</v>
      </c>
      <c r="K545" s="798">
        <v>240899.05104543737</v>
      </c>
      <c r="L545" s="798">
        <v>252749.50318799689</v>
      </c>
      <c r="M545" s="798">
        <v>4768766.5438406607</v>
      </c>
      <c r="N545" s="798"/>
      <c r="O545" s="798"/>
      <c r="P545" s="782"/>
      <c r="Q545" s="782"/>
      <c r="R545" s="782"/>
      <c r="S545" s="782"/>
      <c r="T545" s="782"/>
      <c r="U545" s="782"/>
      <c r="V545" s="782"/>
      <c r="W545" s="782"/>
      <c r="X545" s="782"/>
      <c r="Y545" s="782"/>
      <c r="Z545" s="782"/>
      <c r="AA545" s="782"/>
      <c r="AB545" s="782"/>
      <c r="AC545" s="782"/>
      <c r="AD545" s="782"/>
      <c r="AE545" s="782"/>
      <c r="AF545" s="782"/>
      <c r="AG545" s="782"/>
      <c r="AH545" s="782"/>
      <c r="AI545" s="782"/>
      <c r="AJ545" s="782"/>
      <c r="AK545" s="782"/>
      <c r="AL545" s="782"/>
      <c r="AM545" s="782"/>
      <c r="AN545" s="782"/>
      <c r="AO545" s="782"/>
      <c r="AP545" s="782"/>
      <c r="AQ545" s="782"/>
      <c r="AR545" s="782"/>
      <c r="AS545" s="782"/>
      <c r="AT545" s="782"/>
      <c r="AU545" s="782"/>
      <c r="AV545" s="782"/>
      <c r="AW545" s="782"/>
      <c r="AX545" s="782"/>
      <c r="AY545" s="782"/>
      <c r="AZ545" s="782"/>
      <c r="BA545" s="782"/>
      <c r="BB545" s="782"/>
      <c r="BC545" s="782"/>
      <c r="BD545" s="782"/>
      <c r="BE545" s="782"/>
      <c r="BF545" s="782"/>
      <c r="BG545" s="782"/>
      <c r="BH545" s="782"/>
      <c r="BI545" s="782"/>
      <c r="BJ545" s="782"/>
      <c r="BK545" s="782"/>
      <c r="BL545" s="782"/>
      <c r="BM545" s="782"/>
      <c r="BN545" s="782"/>
      <c r="BO545" s="782"/>
      <c r="BP545" s="782"/>
      <c r="BQ545" s="782"/>
      <c r="BR545" s="782"/>
      <c r="BS545" s="782"/>
      <c r="BT545" s="782"/>
      <c r="BU545" s="782"/>
      <c r="BV545" s="782"/>
      <c r="BW545" s="782"/>
      <c r="BX545" s="782"/>
      <c r="BY545" s="782"/>
      <c r="BZ545" s="782"/>
      <c r="CA545" s="782"/>
      <c r="CB545" s="782"/>
      <c r="CC545" s="782"/>
      <c r="CD545" s="782"/>
      <c r="CE545" s="782"/>
      <c r="CF545" s="782"/>
      <c r="CG545" s="782"/>
      <c r="CH545" s="782"/>
      <c r="CI545" s="782"/>
      <c r="CJ545" s="782"/>
      <c r="CK545" s="782"/>
      <c r="CL545" s="782"/>
      <c r="CM545" s="782"/>
      <c r="CN545" s="782"/>
      <c r="CO545" s="782"/>
      <c r="CP545" s="782"/>
      <c r="CQ545" s="782"/>
      <c r="CR545" s="782"/>
      <c r="CS545" s="782"/>
      <c r="CT545" s="782"/>
      <c r="CU545" s="782"/>
      <c r="CV545" s="782"/>
      <c r="CW545" s="782"/>
      <c r="CX545" s="782"/>
      <c r="CY545" s="782"/>
      <c r="CZ545" s="782"/>
      <c r="DA545" s="782"/>
      <c r="DB545" s="782"/>
      <c r="DC545" s="782"/>
      <c r="DD545" s="782"/>
      <c r="DE545" s="782"/>
      <c r="DF545" s="782"/>
      <c r="DG545" s="782"/>
      <c r="DH545" s="782"/>
      <c r="DI545" s="782"/>
      <c r="DJ545" s="782"/>
      <c r="DK545" s="782"/>
      <c r="DL545" s="782"/>
      <c r="DM545" s="782"/>
      <c r="DN545" s="782"/>
      <c r="DO545" s="782"/>
      <c r="DP545" s="782"/>
      <c r="DQ545" s="782"/>
      <c r="DR545" s="782"/>
      <c r="DS545" s="782"/>
      <c r="DT545" s="782"/>
      <c r="DU545" s="782"/>
      <c r="DV545" s="782"/>
      <c r="DW545" s="782"/>
      <c r="DX545" s="782"/>
      <c r="DY545" s="782"/>
      <c r="DZ545" s="782"/>
      <c r="EA545" s="782"/>
      <c r="EB545" s="782"/>
      <c r="EC545" s="782"/>
      <c r="ED545" s="782"/>
      <c r="EE545" s="782"/>
      <c r="EF545" s="782"/>
      <c r="EG545" s="782"/>
      <c r="EH545" s="782"/>
    </row>
    <row r="546" spans="1:138" ht="12.75" customHeight="1" x14ac:dyDescent="0.3">
      <c r="A546" s="782"/>
      <c r="B546" s="800" t="s">
        <v>198</v>
      </c>
      <c r="C546" s="801">
        <v>0.127727609872818</v>
      </c>
      <c r="D546" s="782"/>
      <c r="E546" s="798"/>
      <c r="F546" s="798"/>
      <c r="G546" s="798"/>
      <c r="H546" s="798"/>
      <c r="I546" s="798"/>
      <c r="J546" s="798"/>
      <c r="K546" s="798"/>
      <c r="L546" s="798"/>
      <c r="M546" s="798"/>
      <c r="N546" s="798"/>
      <c r="O546" s="798"/>
      <c r="P546" s="782"/>
      <c r="Q546" s="782"/>
      <c r="R546" s="782"/>
      <c r="S546" s="782"/>
      <c r="T546" s="782"/>
      <c r="U546" s="782"/>
      <c r="V546" s="782"/>
      <c r="W546" s="782"/>
      <c r="X546" s="782"/>
      <c r="Y546" s="782"/>
      <c r="Z546" s="782"/>
      <c r="AA546" s="782"/>
      <c r="AB546" s="782"/>
      <c r="AC546" s="782"/>
      <c r="AD546" s="782"/>
      <c r="AE546" s="782"/>
      <c r="AF546" s="782"/>
      <c r="AG546" s="782"/>
      <c r="AH546" s="782"/>
      <c r="AI546" s="782"/>
      <c r="AJ546" s="782"/>
      <c r="AK546" s="782"/>
      <c r="AL546" s="782"/>
      <c r="AM546" s="782"/>
      <c r="AN546" s="782"/>
      <c r="AO546" s="782"/>
      <c r="AP546" s="782"/>
      <c r="AQ546" s="782"/>
      <c r="AR546" s="782"/>
      <c r="AS546" s="782"/>
      <c r="AT546" s="782"/>
      <c r="AU546" s="782"/>
      <c r="AV546" s="782"/>
      <c r="AW546" s="782"/>
      <c r="AX546" s="782"/>
      <c r="AY546" s="782"/>
      <c r="AZ546" s="782"/>
      <c r="BA546" s="782"/>
      <c r="BB546" s="782"/>
      <c r="BC546" s="782"/>
      <c r="BD546" s="782"/>
      <c r="BE546" s="782"/>
      <c r="BF546" s="782"/>
      <c r="BG546" s="782"/>
      <c r="BH546" s="782"/>
      <c r="BI546" s="782"/>
      <c r="BJ546" s="782"/>
      <c r="BK546" s="782"/>
      <c r="BL546" s="782"/>
      <c r="BM546" s="782"/>
      <c r="BN546" s="782"/>
      <c r="BO546" s="782"/>
      <c r="BP546" s="782"/>
      <c r="BQ546" s="782"/>
      <c r="BR546" s="782"/>
      <c r="BS546" s="782"/>
      <c r="BT546" s="782"/>
      <c r="BU546" s="782"/>
      <c r="BV546" s="782"/>
      <c r="BW546" s="782"/>
      <c r="BX546" s="782"/>
      <c r="BY546" s="782"/>
      <c r="BZ546" s="782"/>
      <c r="CA546" s="782"/>
      <c r="CB546" s="782"/>
      <c r="CC546" s="782"/>
      <c r="CD546" s="782"/>
      <c r="CE546" s="782"/>
      <c r="CF546" s="782"/>
      <c r="CG546" s="782"/>
      <c r="CH546" s="782"/>
      <c r="CI546" s="782"/>
      <c r="CJ546" s="782"/>
      <c r="CK546" s="782"/>
      <c r="CL546" s="782"/>
      <c r="CM546" s="782"/>
      <c r="CN546" s="782"/>
      <c r="CO546" s="782"/>
      <c r="CP546" s="782"/>
      <c r="CQ546" s="782"/>
      <c r="CR546" s="782"/>
      <c r="CS546" s="782"/>
      <c r="CT546" s="782"/>
      <c r="CU546" s="782"/>
      <c r="CV546" s="782"/>
      <c r="CW546" s="782"/>
      <c r="CX546" s="782"/>
      <c r="CY546" s="782"/>
      <c r="CZ546" s="782"/>
      <c r="DA546" s="782"/>
      <c r="DB546" s="782"/>
      <c r="DC546" s="782"/>
      <c r="DD546" s="782"/>
      <c r="DE546" s="782"/>
      <c r="DF546" s="782"/>
      <c r="DG546" s="782"/>
      <c r="DH546" s="782"/>
      <c r="DI546" s="782"/>
      <c r="DJ546" s="782"/>
      <c r="DK546" s="782"/>
      <c r="DL546" s="782"/>
      <c r="DM546" s="782"/>
      <c r="DN546" s="782"/>
      <c r="DO546" s="782"/>
      <c r="DP546" s="782"/>
      <c r="DQ546" s="782"/>
      <c r="DR546" s="782"/>
      <c r="DS546" s="782"/>
      <c r="DT546" s="782"/>
      <c r="DU546" s="782"/>
      <c r="DV546" s="782"/>
      <c r="DW546" s="782"/>
      <c r="DX546" s="782"/>
      <c r="DY546" s="782"/>
      <c r="DZ546" s="782"/>
      <c r="EA546" s="782"/>
      <c r="EB546" s="782"/>
      <c r="EC546" s="782"/>
      <c r="ED546" s="782"/>
      <c r="EE546" s="782"/>
      <c r="EF546" s="782"/>
      <c r="EG546" s="782"/>
      <c r="EH546" s="782"/>
    </row>
    <row r="547" spans="1:138" ht="12.75" customHeight="1" x14ac:dyDescent="0.3">
      <c r="A547" s="782"/>
      <c r="B547" s="796" t="s">
        <v>199</v>
      </c>
      <c r="C547" s="1401">
        <v>2.050298614311461</v>
      </c>
      <c r="D547" s="782"/>
      <c r="E547" s="798"/>
      <c r="F547" s="798"/>
      <c r="G547" s="798"/>
      <c r="H547" s="798"/>
      <c r="I547" s="798"/>
      <c r="J547" s="798"/>
      <c r="K547" s="798"/>
      <c r="L547" s="798"/>
      <c r="M547" s="798"/>
      <c r="N547" s="798"/>
      <c r="O547" s="798"/>
      <c r="P547" s="782"/>
      <c r="Q547" s="782"/>
      <c r="R547" s="782"/>
      <c r="S547" s="782"/>
      <c r="T547" s="782"/>
      <c r="U547" s="782"/>
      <c r="V547" s="782"/>
      <c r="W547" s="782"/>
      <c r="X547" s="782"/>
      <c r="Y547" s="782"/>
      <c r="Z547" s="782"/>
      <c r="AA547" s="782"/>
      <c r="AB547" s="782"/>
      <c r="AC547" s="782"/>
      <c r="AD547" s="782"/>
      <c r="AE547" s="782"/>
      <c r="AF547" s="782"/>
      <c r="AG547" s="782"/>
      <c r="AH547" s="782"/>
      <c r="AI547" s="782"/>
      <c r="AJ547" s="782"/>
      <c r="AK547" s="782"/>
      <c r="AL547" s="782"/>
      <c r="AM547" s="782"/>
      <c r="AN547" s="782"/>
      <c r="AO547" s="782"/>
      <c r="AP547" s="782"/>
      <c r="AQ547" s="782"/>
      <c r="AR547" s="782"/>
      <c r="AS547" s="782"/>
      <c r="AT547" s="782"/>
      <c r="AU547" s="782"/>
      <c r="AV547" s="782"/>
      <c r="AW547" s="782"/>
      <c r="AX547" s="782"/>
      <c r="AY547" s="782"/>
      <c r="AZ547" s="782"/>
      <c r="BA547" s="782"/>
      <c r="BB547" s="782"/>
      <c r="BC547" s="782"/>
      <c r="BD547" s="782"/>
      <c r="BE547" s="782"/>
      <c r="BF547" s="782"/>
      <c r="BG547" s="782"/>
      <c r="BH547" s="782"/>
      <c r="BI547" s="782"/>
      <c r="BJ547" s="782"/>
      <c r="BK547" s="782"/>
      <c r="BL547" s="782"/>
      <c r="BM547" s="782"/>
      <c r="BN547" s="782"/>
      <c r="BO547" s="782"/>
      <c r="BP547" s="782"/>
      <c r="BQ547" s="782"/>
      <c r="BR547" s="782"/>
      <c r="BS547" s="782"/>
      <c r="BT547" s="782"/>
      <c r="BU547" s="782"/>
      <c r="BV547" s="782"/>
      <c r="BW547" s="782"/>
      <c r="BX547" s="782"/>
      <c r="BY547" s="782"/>
      <c r="BZ547" s="782"/>
      <c r="CA547" s="782"/>
      <c r="CB547" s="782"/>
      <c r="CC547" s="782"/>
      <c r="CD547" s="782"/>
      <c r="CE547" s="782"/>
      <c r="CF547" s="782"/>
      <c r="CG547" s="782"/>
      <c r="CH547" s="782"/>
      <c r="CI547" s="782"/>
      <c r="CJ547" s="782"/>
      <c r="CK547" s="782"/>
      <c r="CL547" s="782"/>
      <c r="CM547" s="782"/>
      <c r="CN547" s="782"/>
      <c r="CO547" s="782"/>
      <c r="CP547" s="782"/>
      <c r="CQ547" s="782"/>
      <c r="CR547" s="782"/>
      <c r="CS547" s="782"/>
      <c r="CT547" s="782"/>
      <c r="CU547" s="782"/>
      <c r="CV547" s="782"/>
      <c r="CW547" s="782"/>
      <c r="CX547" s="782"/>
      <c r="CY547" s="782"/>
      <c r="CZ547" s="782"/>
      <c r="DA547" s="782"/>
      <c r="DB547" s="782"/>
      <c r="DC547" s="782"/>
      <c r="DD547" s="782"/>
      <c r="DE547" s="782"/>
      <c r="DF547" s="782"/>
      <c r="DG547" s="782"/>
      <c r="DH547" s="782"/>
      <c r="DI547" s="782"/>
      <c r="DJ547" s="782"/>
      <c r="DK547" s="782"/>
      <c r="DL547" s="782"/>
      <c r="DM547" s="782"/>
      <c r="DN547" s="782"/>
      <c r="DO547" s="782"/>
      <c r="DP547" s="782"/>
      <c r="DQ547" s="782"/>
      <c r="DR547" s="782"/>
      <c r="DS547" s="782"/>
      <c r="DT547" s="782"/>
      <c r="DU547" s="782"/>
      <c r="DV547" s="782"/>
      <c r="DW547" s="782"/>
      <c r="DX547" s="782"/>
      <c r="DY547" s="782"/>
      <c r="DZ547" s="782"/>
      <c r="EA547" s="782"/>
      <c r="EB547" s="782"/>
      <c r="EC547" s="782"/>
      <c r="ED547" s="782"/>
      <c r="EE547" s="782"/>
      <c r="EF547" s="782"/>
      <c r="EG547" s="782"/>
      <c r="EH547" s="782"/>
    </row>
    <row r="548" spans="1:138" ht="12.75" customHeight="1" x14ac:dyDescent="0.3">
      <c r="A548" s="782"/>
      <c r="B548" s="782"/>
      <c r="C548" s="798"/>
      <c r="D548" s="782"/>
      <c r="E548" s="798"/>
      <c r="F548" s="798"/>
      <c r="G548" s="798"/>
      <c r="H548" s="798"/>
      <c r="I548" s="798"/>
      <c r="J548" s="798"/>
      <c r="K548" s="798"/>
      <c r="L548" s="798"/>
      <c r="M548" s="798"/>
      <c r="N548" s="798"/>
      <c r="O548" s="798"/>
      <c r="P548" s="782"/>
      <c r="Q548" s="782"/>
      <c r="R548" s="782"/>
      <c r="S548" s="782"/>
      <c r="T548" s="782"/>
      <c r="U548" s="782"/>
      <c r="V548" s="782"/>
      <c r="W548" s="782"/>
      <c r="X548" s="782"/>
      <c r="Y548" s="782"/>
      <c r="Z548" s="782"/>
      <c r="AA548" s="782"/>
      <c r="AB548" s="782"/>
      <c r="AC548" s="782"/>
      <c r="AD548" s="782"/>
      <c r="AE548" s="782"/>
      <c r="AF548" s="782"/>
      <c r="AG548" s="782"/>
      <c r="AH548" s="782"/>
      <c r="AI548" s="782"/>
      <c r="AJ548" s="782"/>
      <c r="AK548" s="782"/>
      <c r="AL548" s="782"/>
      <c r="AM548" s="782"/>
      <c r="AN548" s="782"/>
      <c r="AO548" s="782"/>
      <c r="AP548" s="782"/>
      <c r="AQ548" s="782"/>
      <c r="AR548" s="782"/>
      <c r="AS548" s="782"/>
      <c r="AT548" s="782"/>
      <c r="AU548" s="782"/>
      <c r="AV548" s="782"/>
      <c r="AW548" s="782"/>
      <c r="AX548" s="782"/>
      <c r="AY548" s="782"/>
      <c r="AZ548" s="782"/>
      <c r="BA548" s="782"/>
      <c r="BB548" s="782"/>
      <c r="BC548" s="782"/>
      <c r="BD548" s="782"/>
      <c r="BE548" s="782"/>
      <c r="BF548" s="782"/>
      <c r="BG548" s="782"/>
      <c r="BH548" s="782"/>
      <c r="BI548" s="782"/>
      <c r="BJ548" s="782"/>
      <c r="BK548" s="782"/>
      <c r="BL548" s="782"/>
      <c r="BM548" s="782"/>
      <c r="BN548" s="782"/>
      <c r="BO548" s="782"/>
      <c r="BP548" s="782"/>
      <c r="BQ548" s="782"/>
      <c r="BR548" s="782"/>
      <c r="BS548" s="782"/>
      <c r="BT548" s="782"/>
      <c r="BU548" s="782"/>
      <c r="BV548" s="782"/>
      <c r="BW548" s="782"/>
      <c r="BX548" s="782"/>
      <c r="BY548" s="782"/>
      <c r="BZ548" s="782"/>
      <c r="CA548" s="782"/>
      <c r="CB548" s="782"/>
      <c r="CC548" s="782"/>
      <c r="CD548" s="782"/>
      <c r="CE548" s="782"/>
      <c r="CF548" s="782"/>
      <c r="CG548" s="782"/>
      <c r="CH548" s="782"/>
      <c r="CI548" s="782"/>
      <c r="CJ548" s="782"/>
      <c r="CK548" s="782"/>
      <c r="CL548" s="782"/>
      <c r="CM548" s="782"/>
      <c r="CN548" s="782"/>
      <c r="CO548" s="782"/>
      <c r="CP548" s="782"/>
      <c r="CQ548" s="782"/>
      <c r="CR548" s="782"/>
      <c r="CS548" s="782"/>
      <c r="CT548" s="782"/>
      <c r="CU548" s="782"/>
      <c r="CV548" s="782"/>
      <c r="CW548" s="782"/>
      <c r="CX548" s="782"/>
      <c r="CY548" s="782"/>
      <c r="CZ548" s="782"/>
      <c r="DA548" s="782"/>
      <c r="DB548" s="782"/>
      <c r="DC548" s="782"/>
      <c r="DD548" s="782"/>
      <c r="DE548" s="782"/>
      <c r="DF548" s="782"/>
      <c r="DG548" s="782"/>
      <c r="DH548" s="782"/>
      <c r="DI548" s="782"/>
      <c r="DJ548" s="782"/>
      <c r="DK548" s="782"/>
      <c r="DL548" s="782"/>
      <c r="DM548" s="782"/>
      <c r="DN548" s="782"/>
      <c r="DO548" s="782"/>
      <c r="DP548" s="782"/>
      <c r="DQ548" s="782"/>
      <c r="DR548" s="782"/>
      <c r="DS548" s="782"/>
      <c r="DT548" s="782"/>
      <c r="DU548" s="782"/>
      <c r="DV548" s="782"/>
      <c r="DW548" s="782"/>
      <c r="DX548" s="782"/>
      <c r="DY548" s="782"/>
      <c r="DZ548" s="782"/>
      <c r="EA548" s="782"/>
      <c r="EB548" s="782"/>
      <c r="EC548" s="782"/>
      <c r="ED548" s="782"/>
      <c r="EE548" s="782"/>
      <c r="EF548" s="782"/>
      <c r="EG548" s="782"/>
      <c r="EH548" s="782"/>
    </row>
    <row r="549" spans="1:138" ht="12.75" customHeight="1" x14ac:dyDescent="0.3">
      <c r="A549" s="782"/>
      <c r="B549" s="796" t="s">
        <v>356</v>
      </c>
      <c r="C549" s="1401"/>
      <c r="D549" s="782"/>
      <c r="E549" s="798"/>
      <c r="F549" s="798"/>
      <c r="G549" s="798"/>
      <c r="H549" s="798"/>
      <c r="I549" s="798"/>
      <c r="J549" s="798"/>
      <c r="K549" s="798"/>
      <c r="L549" s="798"/>
      <c r="M549" s="798"/>
      <c r="N549" s="798"/>
      <c r="O549" s="798"/>
      <c r="P549" s="782"/>
      <c r="Q549" s="782"/>
      <c r="R549" s="782"/>
      <c r="S549" s="782"/>
      <c r="T549" s="782"/>
      <c r="U549" s="782"/>
      <c r="V549" s="782"/>
      <c r="W549" s="782"/>
      <c r="X549" s="782"/>
      <c r="Y549" s="782"/>
      <c r="Z549" s="782"/>
      <c r="AA549" s="782"/>
      <c r="AB549" s="782"/>
      <c r="AC549" s="782"/>
      <c r="AD549" s="782"/>
      <c r="AE549" s="782"/>
      <c r="AF549" s="782"/>
      <c r="AG549" s="782"/>
      <c r="AH549" s="782"/>
      <c r="AI549" s="782"/>
      <c r="AJ549" s="782"/>
      <c r="AK549" s="782"/>
      <c r="AL549" s="782"/>
      <c r="AM549" s="782"/>
      <c r="AN549" s="782"/>
      <c r="AO549" s="782"/>
      <c r="AP549" s="782"/>
      <c r="AQ549" s="782"/>
      <c r="AR549" s="782"/>
      <c r="AS549" s="782"/>
      <c r="AT549" s="782"/>
      <c r="AU549" s="782"/>
      <c r="AV549" s="782"/>
      <c r="AW549" s="782"/>
      <c r="AX549" s="782"/>
      <c r="AY549" s="782"/>
      <c r="AZ549" s="782"/>
      <c r="BA549" s="782"/>
      <c r="BB549" s="782"/>
      <c r="BC549" s="782"/>
      <c r="BD549" s="782"/>
      <c r="BE549" s="782"/>
      <c r="BF549" s="782"/>
      <c r="BG549" s="782"/>
      <c r="BH549" s="782"/>
      <c r="BI549" s="782"/>
      <c r="BJ549" s="782"/>
      <c r="BK549" s="782"/>
      <c r="BL549" s="782"/>
      <c r="BM549" s="782"/>
      <c r="BN549" s="782"/>
      <c r="BO549" s="782"/>
      <c r="BP549" s="782"/>
      <c r="BQ549" s="782"/>
      <c r="BR549" s="782"/>
      <c r="BS549" s="782"/>
      <c r="BT549" s="782"/>
      <c r="BU549" s="782"/>
      <c r="BV549" s="782"/>
      <c r="BW549" s="782"/>
      <c r="BX549" s="782"/>
      <c r="BY549" s="782"/>
      <c r="BZ549" s="782"/>
      <c r="CA549" s="782"/>
      <c r="CB549" s="782"/>
      <c r="CC549" s="782"/>
      <c r="CD549" s="782"/>
      <c r="CE549" s="782"/>
      <c r="CF549" s="782"/>
      <c r="CG549" s="782"/>
      <c r="CH549" s="782"/>
      <c r="CI549" s="782"/>
      <c r="CJ549" s="782"/>
      <c r="CK549" s="782"/>
      <c r="CL549" s="782"/>
      <c r="CM549" s="782"/>
      <c r="CN549" s="782"/>
      <c r="CO549" s="782"/>
      <c r="CP549" s="782"/>
      <c r="CQ549" s="782"/>
      <c r="CR549" s="782"/>
      <c r="CS549" s="782"/>
      <c r="CT549" s="782"/>
      <c r="CU549" s="782"/>
      <c r="CV549" s="782"/>
      <c r="CW549" s="782"/>
      <c r="CX549" s="782"/>
      <c r="CY549" s="782"/>
      <c r="CZ549" s="782"/>
      <c r="DA549" s="782"/>
      <c r="DB549" s="782"/>
      <c r="DC549" s="782"/>
      <c r="DD549" s="782"/>
      <c r="DE549" s="782"/>
      <c r="DF549" s="782"/>
      <c r="DG549" s="782"/>
      <c r="DH549" s="782"/>
      <c r="DI549" s="782"/>
      <c r="DJ549" s="782"/>
      <c r="DK549" s="782"/>
      <c r="DL549" s="782"/>
      <c r="DM549" s="782"/>
      <c r="DN549" s="782"/>
      <c r="DO549" s="782"/>
      <c r="DP549" s="782"/>
      <c r="DQ549" s="782"/>
      <c r="DR549" s="782"/>
      <c r="DS549" s="782"/>
      <c r="DT549" s="782"/>
      <c r="DU549" s="782"/>
      <c r="DV549" s="782"/>
      <c r="DW549" s="782"/>
      <c r="DX549" s="782"/>
      <c r="DY549" s="782"/>
      <c r="DZ549" s="782"/>
      <c r="EA549" s="782"/>
      <c r="EB549" s="782"/>
      <c r="EC549" s="782"/>
      <c r="ED549" s="782"/>
      <c r="EE549" s="782"/>
      <c r="EF549" s="782"/>
      <c r="EG549" s="782"/>
      <c r="EH549" s="782"/>
    </row>
    <row r="550" spans="1:138" ht="12.75" customHeight="1" x14ac:dyDescent="0.3">
      <c r="A550" s="782"/>
      <c r="B550" s="782" t="s">
        <v>191</v>
      </c>
      <c r="C550" s="798">
        <v>2289007.4855842879</v>
      </c>
      <c r="D550" s="782"/>
      <c r="E550" s="798">
        <v>0</v>
      </c>
      <c r="F550" s="798">
        <v>0</v>
      </c>
      <c r="G550" s="798">
        <v>2289007.4855842879</v>
      </c>
      <c r="H550" s="798">
        <v>0</v>
      </c>
      <c r="I550" s="798">
        <v>0</v>
      </c>
      <c r="J550" s="798">
        <v>0</v>
      </c>
      <c r="K550" s="798">
        <v>0</v>
      </c>
      <c r="L550" s="798">
        <v>0</v>
      </c>
      <c r="M550" s="798">
        <v>0</v>
      </c>
      <c r="N550" s="798"/>
      <c r="O550" s="798"/>
      <c r="P550" s="782"/>
      <c r="Q550" s="782"/>
      <c r="R550" s="782"/>
      <c r="S550" s="782"/>
      <c r="T550" s="782"/>
      <c r="U550" s="782"/>
      <c r="V550" s="782"/>
      <c r="W550" s="782"/>
      <c r="X550" s="782"/>
      <c r="Y550" s="782"/>
      <c r="Z550" s="782"/>
      <c r="AA550" s="782"/>
      <c r="AB550" s="782"/>
      <c r="AC550" s="782"/>
      <c r="AD550" s="782"/>
      <c r="AE550" s="782"/>
      <c r="AF550" s="782"/>
      <c r="AG550" s="782"/>
      <c r="AH550" s="782"/>
      <c r="AI550" s="782"/>
      <c r="AJ550" s="782"/>
      <c r="AK550" s="782"/>
      <c r="AL550" s="782"/>
      <c r="AM550" s="782"/>
      <c r="AN550" s="782"/>
      <c r="AO550" s="782"/>
      <c r="AP550" s="782"/>
      <c r="AQ550" s="782"/>
      <c r="AR550" s="782"/>
      <c r="AS550" s="782"/>
      <c r="AT550" s="782"/>
      <c r="AU550" s="782"/>
      <c r="AV550" s="782"/>
      <c r="AW550" s="782"/>
      <c r="AX550" s="782"/>
      <c r="AY550" s="782"/>
      <c r="AZ550" s="782"/>
      <c r="BA550" s="782"/>
      <c r="BB550" s="782"/>
      <c r="BC550" s="782"/>
      <c r="BD550" s="782"/>
      <c r="BE550" s="782"/>
      <c r="BF550" s="782"/>
      <c r="BG550" s="782"/>
      <c r="BH550" s="782"/>
      <c r="BI550" s="782"/>
      <c r="BJ550" s="782"/>
      <c r="BK550" s="782"/>
      <c r="BL550" s="782"/>
      <c r="BM550" s="782"/>
      <c r="BN550" s="782"/>
      <c r="BO550" s="782"/>
      <c r="BP550" s="782"/>
      <c r="BQ550" s="782"/>
      <c r="BR550" s="782"/>
      <c r="BS550" s="782"/>
      <c r="BT550" s="782"/>
      <c r="BU550" s="782"/>
      <c r="BV550" s="782"/>
      <c r="BW550" s="782"/>
      <c r="BX550" s="782"/>
      <c r="BY550" s="782"/>
      <c r="BZ550" s="782"/>
      <c r="CA550" s="782"/>
      <c r="CB550" s="782"/>
      <c r="CC550" s="782"/>
      <c r="CD550" s="782"/>
      <c r="CE550" s="782"/>
      <c r="CF550" s="782"/>
      <c r="CG550" s="782"/>
      <c r="CH550" s="782"/>
      <c r="CI550" s="782"/>
      <c r="CJ550" s="782"/>
      <c r="CK550" s="782"/>
      <c r="CL550" s="782"/>
      <c r="CM550" s="782"/>
      <c r="CN550" s="782"/>
      <c r="CO550" s="782"/>
      <c r="CP550" s="782"/>
      <c r="CQ550" s="782"/>
      <c r="CR550" s="782"/>
      <c r="CS550" s="782"/>
      <c r="CT550" s="782"/>
      <c r="CU550" s="782"/>
      <c r="CV550" s="782"/>
      <c r="CW550" s="782"/>
      <c r="CX550" s="782"/>
      <c r="CY550" s="782"/>
      <c r="CZ550" s="782"/>
      <c r="DA550" s="782"/>
      <c r="DB550" s="782"/>
      <c r="DC550" s="782"/>
      <c r="DD550" s="782"/>
      <c r="DE550" s="782"/>
      <c r="DF550" s="782"/>
      <c r="DG550" s="782"/>
      <c r="DH550" s="782"/>
      <c r="DI550" s="782"/>
      <c r="DJ550" s="782"/>
      <c r="DK550" s="782"/>
      <c r="DL550" s="782"/>
      <c r="DM550" s="782"/>
      <c r="DN550" s="782"/>
      <c r="DO550" s="782"/>
      <c r="DP550" s="782"/>
      <c r="DQ550" s="782"/>
      <c r="DR550" s="782"/>
      <c r="DS550" s="782"/>
      <c r="DT550" s="782"/>
      <c r="DU550" s="782"/>
      <c r="DV550" s="782"/>
      <c r="DW550" s="782"/>
      <c r="DX550" s="782"/>
      <c r="DY550" s="782"/>
      <c r="DZ550" s="782"/>
      <c r="EA550" s="782"/>
      <c r="EB550" s="782"/>
      <c r="EC550" s="782"/>
      <c r="ED550" s="782"/>
      <c r="EE550" s="782"/>
      <c r="EF550" s="782"/>
      <c r="EG550" s="782"/>
      <c r="EH550" s="782"/>
    </row>
    <row r="551" spans="1:138" ht="12.75" customHeight="1" x14ac:dyDescent="0.3">
      <c r="A551" s="782"/>
      <c r="B551" s="782" t="s">
        <v>192</v>
      </c>
      <c r="C551" s="798">
        <v>1170872.6743011475</v>
      </c>
      <c r="D551" s="782"/>
      <c r="E551" s="798">
        <v>0</v>
      </c>
      <c r="F551" s="798">
        <v>0</v>
      </c>
      <c r="G551" s="798">
        <v>0</v>
      </c>
      <c r="H551" s="798">
        <v>0</v>
      </c>
      <c r="I551" s="798">
        <v>0</v>
      </c>
      <c r="J551" s="798">
        <v>0</v>
      </c>
      <c r="K551" s="798">
        <v>0</v>
      </c>
      <c r="L551" s="798">
        <v>0</v>
      </c>
      <c r="M551" s="798">
        <v>1170872.6743011475</v>
      </c>
      <c r="N551" s="798"/>
      <c r="O551" s="798"/>
      <c r="P551" s="782"/>
      <c r="Q551" s="782"/>
      <c r="R551" s="782"/>
      <c r="S551" s="782"/>
      <c r="T551" s="782"/>
      <c r="U551" s="782"/>
      <c r="V551" s="782"/>
      <c r="W551" s="782"/>
      <c r="X551" s="782"/>
      <c r="Y551" s="782"/>
      <c r="Z551" s="782"/>
      <c r="AA551" s="782"/>
      <c r="AB551" s="782"/>
      <c r="AC551" s="782"/>
      <c r="AD551" s="782"/>
      <c r="AE551" s="782"/>
      <c r="AF551" s="782"/>
      <c r="AG551" s="782"/>
      <c r="AH551" s="782"/>
      <c r="AI551" s="782"/>
      <c r="AJ551" s="782"/>
      <c r="AK551" s="782"/>
      <c r="AL551" s="782"/>
      <c r="AM551" s="782"/>
      <c r="AN551" s="782"/>
      <c r="AO551" s="782"/>
      <c r="AP551" s="782"/>
      <c r="AQ551" s="782"/>
      <c r="AR551" s="782"/>
      <c r="AS551" s="782"/>
      <c r="AT551" s="782"/>
      <c r="AU551" s="782"/>
      <c r="AV551" s="782"/>
      <c r="AW551" s="782"/>
      <c r="AX551" s="782"/>
      <c r="AY551" s="782"/>
      <c r="AZ551" s="782"/>
      <c r="BA551" s="782"/>
      <c r="BB551" s="782"/>
      <c r="BC551" s="782"/>
      <c r="BD551" s="782"/>
      <c r="BE551" s="782"/>
      <c r="BF551" s="782"/>
      <c r="BG551" s="782"/>
      <c r="BH551" s="782"/>
      <c r="BI551" s="782"/>
      <c r="BJ551" s="782"/>
      <c r="BK551" s="782"/>
      <c r="BL551" s="782"/>
      <c r="BM551" s="782"/>
      <c r="BN551" s="782"/>
      <c r="BO551" s="782"/>
      <c r="BP551" s="782"/>
      <c r="BQ551" s="782"/>
      <c r="BR551" s="782"/>
      <c r="BS551" s="782"/>
      <c r="BT551" s="782"/>
      <c r="BU551" s="782"/>
      <c r="BV551" s="782"/>
      <c r="BW551" s="782"/>
      <c r="BX551" s="782"/>
      <c r="BY551" s="782"/>
      <c r="BZ551" s="782"/>
      <c r="CA551" s="782"/>
      <c r="CB551" s="782"/>
      <c r="CC551" s="782"/>
      <c r="CD551" s="782"/>
      <c r="CE551" s="782"/>
      <c r="CF551" s="782"/>
      <c r="CG551" s="782"/>
      <c r="CH551" s="782"/>
      <c r="CI551" s="782"/>
      <c r="CJ551" s="782"/>
      <c r="CK551" s="782"/>
      <c r="CL551" s="782"/>
      <c r="CM551" s="782"/>
      <c r="CN551" s="782"/>
      <c r="CO551" s="782"/>
      <c r="CP551" s="782"/>
      <c r="CQ551" s="782"/>
      <c r="CR551" s="782"/>
      <c r="CS551" s="782"/>
      <c r="CT551" s="782"/>
      <c r="CU551" s="782"/>
      <c r="CV551" s="782"/>
      <c r="CW551" s="782"/>
      <c r="CX551" s="782"/>
      <c r="CY551" s="782"/>
      <c r="CZ551" s="782"/>
      <c r="DA551" s="782"/>
      <c r="DB551" s="782"/>
      <c r="DC551" s="782"/>
      <c r="DD551" s="782"/>
      <c r="DE551" s="782"/>
      <c r="DF551" s="782"/>
      <c r="DG551" s="782"/>
      <c r="DH551" s="782"/>
      <c r="DI551" s="782"/>
      <c r="DJ551" s="782"/>
      <c r="DK551" s="782"/>
      <c r="DL551" s="782"/>
      <c r="DM551" s="782"/>
      <c r="DN551" s="782"/>
      <c r="DO551" s="782"/>
      <c r="DP551" s="782"/>
      <c r="DQ551" s="782"/>
      <c r="DR551" s="782"/>
      <c r="DS551" s="782"/>
      <c r="DT551" s="782"/>
      <c r="DU551" s="782"/>
      <c r="DV551" s="782"/>
      <c r="DW551" s="782"/>
      <c r="DX551" s="782"/>
      <c r="DY551" s="782"/>
      <c r="DZ551" s="782"/>
      <c r="EA551" s="782"/>
      <c r="EB551" s="782"/>
      <c r="EC551" s="782"/>
      <c r="ED551" s="782"/>
      <c r="EE551" s="782"/>
      <c r="EF551" s="782"/>
      <c r="EG551" s="782"/>
      <c r="EH551" s="782"/>
    </row>
    <row r="552" spans="1:138" ht="12.75" customHeight="1" x14ac:dyDescent="0.3">
      <c r="A552" s="782"/>
      <c r="B552" s="821" t="s">
        <v>357</v>
      </c>
      <c r="C552" s="822">
        <v>7057916.7142478386</v>
      </c>
      <c r="D552" s="821"/>
      <c r="E552" s="822">
        <v>-3182178.7079223264</v>
      </c>
      <c r="F552" s="822">
        <v>-29919.039090692946</v>
      </c>
      <c r="G552" s="822">
        <v>3137834.6083509391</v>
      </c>
      <c r="H552" s="822">
        <v>235416.62612676469</v>
      </c>
      <c r="I552" s="822">
        <v>231166.92381968664</v>
      </c>
      <c r="J552" s="822">
        <v>232308.53058822508</v>
      </c>
      <c r="K552" s="822">
        <v>240899.05104543737</v>
      </c>
      <c r="L552" s="822">
        <v>252749.50318799689</v>
      </c>
      <c r="M552" s="822">
        <v>5939639.2181418082</v>
      </c>
      <c r="N552" s="798"/>
      <c r="O552" s="798"/>
      <c r="P552" s="782"/>
      <c r="Q552" s="782"/>
      <c r="R552" s="782"/>
      <c r="S552" s="782"/>
      <c r="T552" s="782"/>
      <c r="U552" s="782"/>
      <c r="V552" s="782"/>
      <c r="W552" s="782"/>
      <c r="X552" s="782"/>
      <c r="Y552" s="782"/>
      <c r="Z552" s="782"/>
      <c r="AA552" s="782"/>
      <c r="AB552" s="782"/>
      <c r="AC552" s="782"/>
      <c r="AD552" s="782"/>
      <c r="AE552" s="782"/>
      <c r="AF552" s="782"/>
      <c r="AG552" s="782"/>
      <c r="AH552" s="782"/>
      <c r="AI552" s="782"/>
      <c r="AJ552" s="782"/>
      <c r="AK552" s="782"/>
      <c r="AL552" s="782"/>
      <c r="AM552" s="782"/>
      <c r="AN552" s="782"/>
      <c r="AO552" s="782"/>
      <c r="AP552" s="782"/>
      <c r="AQ552" s="782"/>
      <c r="AR552" s="782"/>
      <c r="AS552" s="782"/>
      <c r="AT552" s="782"/>
      <c r="AU552" s="782"/>
      <c r="AV552" s="782"/>
      <c r="AW552" s="782"/>
      <c r="AX552" s="782"/>
      <c r="AY552" s="782"/>
      <c r="AZ552" s="782"/>
      <c r="BA552" s="782"/>
      <c r="BB552" s="782"/>
      <c r="BC552" s="782"/>
      <c r="BD552" s="782"/>
      <c r="BE552" s="782"/>
      <c r="BF552" s="782"/>
      <c r="BG552" s="782"/>
      <c r="BH552" s="782"/>
      <c r="BI552" s="782"/>
      <c r="BJ552" s="782"/>
      <c r="BK552" s="782"/>
      <c r="BL552" s="782"/>
      <c r="BM552" s="782"/>
      <c r="BN552" s="782"/>
      <c r="BO552" s="782"/>
      <c r="BP552" s="782"/>
      <c r="BQ552" s="782"/>
      <c r="BR552" s="782"/>
      <c r="BS552" s="782"/>
      <c r="BT552" s="782"/>
      <c r="BU552" s="782"/>
      <c r="BV552" s="782"/>
      <c r="BW552" s="782"/>
      <c r="BX552" s="782"/>
      <c r="BY552" s="782"/>
      <c r="BZ552" s="782"/>
      <c r="CA552" s="782"/>
      <c r="CB552" s="782"/>
      <c r="CC552" s="782"/>
      <c r="CD552" s="782"/>
      <c r="CE552" s="782"/>
      <c r="CF552" s="782"/>
      <c r="CG552" s="782"/>
      <c r="CH552" s="782"/>
      <c r="CI552" s="782"/>
      <c r="CJ552" s="782"/>
      <c r="CK552" s="782"/>
      <c r="CL552" s="782"/>
      <c r="CM552" s="782"/>
      <c r="CN552" s="782"/>
      <c r="CO552" s="782"/>
      <c r="CP552" s="782"/>
      <c r="CQ552" s="782"/>
      <c r="CR552" s="782"/>
      <c r="CS552" s="782"/>
      <c r="CT552" s="782"/>
      <c r="CU552" s="782"/>
      <c r="CV552" s="782"/>
      <c r="CW552" s="782"/>
      <c r="CX552" s="782"/>
      <c r="CY552" s="782"/>
      <c r="CZ552" s="782"/>
      <c r="DA552" s="782"/>
      <c r="DB552" s="782"/>
      <c r="DC552" s="782"/>
      <c r="DD552" s="782"/>
      <c r="DE552" s="782"/>
      <c r="DF552" s="782"/>
      <c r="DG552" s="782"/>
      <c r="DH552" s="782"/>
      <c r="DI552" s="782"/>
      <c r="DJ552" s="782"/>
      <c r="DK552" s="782"/>
      <c r="DL552" s="782"/>
      <c r="DM552" s="782"/>
      <c r="DN552" s="782"/>
      <c r="DO552" s="782"/>
      <c r="DP552" s="782"/>
      <c r="DQ552" s="782"/>
      <c r="DR552" s="782"/>
      <c r="DS552" s="782"/>
      <c r="DT552" s="782"/>
      <c r="DU552" s="782"/>
      <c r="DV552" s="782"/>
      <c r="DW552" s="782"/>
      <c r="DX552" s="782"/>
      <c r="DY552" s="782"/>
      <c r="DZ552" s="782"/>
      <c r="EA552" s="782"/>
      <c r="EB552" s="782"/>
      <c r="EC552" s="782"/>
      <c r="ED552" s="782"/>
      <c r="EE552" s="782"/>
      <c r="EF552" s="782"/>
      <c r="EG552" s="782"/>
      <c r="EH552" s="782"/>
    </row>
    <row r="553" spans="1:138" ht="12.75" customHeight="1" x14ac:dyDescent="0.3">
      <c r="A553" s="782"/>
      <c r="B553" s="1397" t="s">
        <v>358</v>
      </c>
      <c r="C553" s="1398">
        <v>0.26559737324714661</v>
      </c>
      <c r="D553" s="782"/>
      <c r="E553" s="798"/>
      <c r="F553" s="798"/>
      <c r="G553" s="798"/>
      <c r="H553" s="798"/>
      <c r="I553" s="798"/>
      <c r="J553" s="798"/>
      <c r="K553" s="798"/>
      <c r="L553" s="798"/>
      <c r="M553" s="798"/>
      <c r="N553" s="798"/>
      <c r="O553" s="798"/>
      <c r="P553" s="782"/>
      <c r="Q553" s="782"/>
      <c r="R553" s="782"/>
      <c r="S553" s="782"/>
      <c r="T553" s="782"/>
      <c r="U553" s="782"/>
      <c r="V553" s="782"/>
      <c r="W553" s="782"/>
      <c r="X553" s="782"/>
      <c r="Y553" s="782"/>
      <c r="Z553" s="782"/>
      <c r="AA553" s="782"/>
      <c r="AB553" s="782"/>
      <c r="AC553" s="782"/>
      <c r="AD553" s="782"/>
      <c r="AE553" s="782"/>
      <c r="AF553" s="782"/>
      <c r="AG553" s="782"/>
      <c r="AH553" s="782"/>
      <c r="AI553" s="782"/>
      <c r="AJ553" s="782"/>
      <c r="AK553" s="782"/>
      <c r="AL553" s="782"/>
      <c r="AM553" s="782"/>
      <c r="AN553" s="782"/>
      <c r="AO553" s="782"/>
      <c r="AP553" s="782"/>
      <c r="AQ553" s="782"/>
      <c r="AR553" s="782"/>
      <c r="AS553" s="782"/>
      <c r="AT553" s="782"/>
      <c r="AU553" s="782"/>
      <c r="AV553" s="782"/>
      <c r="AW553" s="782"/>
      <c r="AX553" s="782"/>
      <c r="AY553" s="782"/>
      <c r="AZ553" s="782"/>
      <c r="BA553" s="782"/>
      <c r="BB553" s="782"/>
      <c r="BC553" s="782"/>
      <c r="BD553" s="782"/>
      <c r="BE553" s="782"/>
      <c r="BF553" s="782"/>
      <c r="BG553" s="782"/>
      <c r="BH553" s="782"/>
      <c r="BI553" s="782"/>
      <c r="BJ553" s="782"/>
      <c r="BK553" s="782"/>
      <c r="BL553" s="782"/>
      <c r="BM553" s="782"/>
      <c r="BN553" s="782"/>
      <c r="BO553" s="782"/>
      <c r="BP553" s="782"/>
      <c r="BQ553" s="782"/>
      <c r="BR553" s="782"/>
      <c r="BS553" s="782"/>
      <c r="BT553" s="782"/>
      <c r="BU553" s="782"/>
      <c r="BV553" s="782"/>
      <c r="BW553" s="782"/>
      <c r="BX553" s="782"/>
      <c r="BY553" s="782"/>
      <c r="BZ553" s="782"/>
      <c r="CA553" s="782"/>
      <c r="CB553" s="782"/>
      <c r="CC553" s="782"/>
      <c r="CD553" s="782"/>
      <c r="CE553" s="782"/>
      <c r="CF553" s="782"/>
      <c r="CG553" s="782"/>
      <c r="CH553" s="782"/>
      <c r="CI553" s="782"/>
      <c r="CJ553" s="782"/>
      <c r="CK553" s="782"/>
      <c r="CL553" s="782"/>
      <c r="CM553" s="782"/>
      <c r="CN553" s="782"/>
      <c r="CO553" s="782"/>
      <c r="CP553" s="782"/>
      <c r="CQ553" s="782"/>
      <c r="CR553" s="782"/>
      <c r="CS553" s="782"/>
      <c r="CT553" s="782"/>
      <c r="CU553" s="782"/>
      <c r="CV553" s="782"/>
      <c r="CW553" s="782"/>
      <c r="CX553" s="782"/>
      <c r="CY553" s="782"/>
      <c r="CZ553" s="782"/>
      <c r="DA553" s="782"/>
      <c r="DB553" s="782"/>
      <c r="DC553" s="782"/>
      <c r="DD553" s="782"/>
      <c r="DE553" s="782"/>
      <c r="DF553" s="782"/>
      <c r="DG553" s="782"/>
      <c r="DH553" s="782"/>
      <c r="DI553" s="782"/>
      <c r="DJ553" s="782"/>
      <c r="DK553" s="782"/>
      <c r="DL553" s="782"/>
      <c r="DM553" s="782"/>
      <c r="DN553" s="782"/>
      <c r="DO553" s="782"/>
      <c r="DP553" s="782"/>
      <c r="DQ553" s="782"/>
      <c r="DR553" s="782"/>
      <c r="DS553" s="782"/>
      <c r="DT553" s="782"/>
      <c r="DU553" s="782"/>
      <c r="DV553" s="782"/>
      <c r="DW553" s="782"/>
      <c r="DX553" s="782"/>
      <c r="DY553" s="782"/>
      <c r="DZ553" s="782"/>
      <c r="EA553" s="782"/>
      <c r="EB553" s="782"/>
      <c r="EC553" s="782"/>
      <c r="ED553" s="782"/>
      <c r="EE553" s="782"/>
      <c r="EF553" s="782"/>
      <c r="EG553" s="782"/>
      <c r="EH553" s="782"/>
    </row>
    <row r="554" spans="1:138" ht="12.75" customHeight="1" x14ac:dyDescent="0.3">
      <c r="A554" s="782"/>
      <c r="B554" s="1399" t="s">
        <v>359</v>
      </c>
      <c r="C554" s="1400">
        <v>3.1940602721462281</v>
      </c>
      <c r="D554" s="782"/>
      <c r="E554" s="798"/>
      <c r="F554" s="798"/>
      <c r="G554" s="798"/>
      <c r="H554" s="798"/>
      <c r="I554" s="798"/>
      <c r="J554" s="798"/>
      <c r="K554" s="798"/>
      <c r="L554" s="798"/>
      <c r="M554" s="798"/>
      <c r="N554" s="798"/>
      <c r="O554" s="798"/>
    </row>
    <row r="555" spans="1:138" ht="12.75" customHeight="1" x14ac:dyDescent="0.3">
      <c r="A555" s="782"/>
      <c r="B555" s="782"/>
      <c r="C555" s="798"/>
      <c r="D555" s="782"/>
      <c r="E555" s="798"/>
      <c r="F555" s="798"/>
      <c r="G555" s="798"/>
      <c r="H555" s="798"/>
      <c r="I555" s="798"/>
      <c r="J555" s="798"/>
      <c r="K555" s="798"/>
      <c r="L555" s="798"/>
      <c r="M555" s="798"/>
      <c r="N555" s="798"/>
      <c r="O555" s="798"/>
    </row>
    <row r="556" spans="1:138" ht="12.75" customHeight="1" x14ac:dyDescent="0.3">
      <c r="A556" s="782"/>
      <c r="B556" s="1392" t="s">
        <v>205</v>
      </c>
      <c r="C556" s="798"/>
      <c r="D556" s="782"/>
      <c r="E556" s="798"/>
      <c r="F556" s="798"/>
      <c r="G556" s="798"/>
      <c r="H556" s="798"/>
      <c r="I556" s="798"/>
      <c r="J556" s="798"/>
      <c r="K556" s="798"/>
      <c r="L556" s="798"/>
      <c r="M556" s="798"/>
      <c r="N556" s="798"/>
      <c r="O556" s="798"/>
    </row>
    <row r="557" spans="1:138" ht="12.75" customHeight="1" x14ac:dyDescent="0.3">
      <c r="A557" s="782"/>
      <c r="B557" s="782" t="s">
        <v>206</v>
      </c>
      <c r="C557" s="798">
        <v>3467194.5911225993</v>
      </c>
      <c r="D557" s="782"/>
      <c r="E557" s="798">
        <v>1260798.0331354907</v>
      </c>
      <c r="F557" s="798">
        <v>1891197.049703236</v>
      </c>
      <c r="G557" s="798">
        <v>315199.50828387268</v>
      </c>
      <c r="H557" s="798">
        <v>0</v>
      </c>
      <c r="I557" s="798">
        <v>0</v>
      </c>
      <c r="J557" s="798">
        <v>0</v>
      </c>
      <c r="K557" s="798">
        <v>0</v>
      </c>
      <c r="L557" s="798">
        <v>0</v>
      </c>
      <c r="M557" s="798">
        <v>0</v>
      </c>
      <c r="N557" s="798"/>
      <c r="O557" s="798"/>
    </row>
    <row r="558" spans="1:138" ht="12.75" customHeight="1" x14ac:dyDescent="0.3">
      <c r="A558" s="782"/>
      <c r="B558" s="782" t="s">
        <v>207</v>
      </c>
      <c r="C558" s="798">
        <v>1733435.1548053173</v>
      </c>
      <c r="D558" s="782"/>
      <c r="E558" s="798">
        <v>0</v>
      </c>
      <c r="F558" s="798">
        <v>111407.62157472338</v>
      </c>
      <c r="G558" s="798">
        <v>209086.43116572659</v>
      </c>
      <c r="H558" s="798">
        <v>248293.96713098607</v>
      </c>
      <c r="I558" s="798">
        <v>255742.78614491594</v>
      </c>
      <c r="J558" s="798">
        <v>263415.06972926372</v>
      </c>
      <c r="K558" s="798">
        <v>271317.52182114183</v>
      </c>
      <c r="L558" s="798">
        <v>279457.04747577634</v>
      </c>
      <c r="M558" s="798">
        <v>94714.709762783343</v>
      </c>
      <c r="N558" s="798"/>
      <c r="O558" s="798"/>
    </row>
    <row r="559" spans="1:138" ht="12.75" customHeight="1" x14ac:dyDescent="0.3">
      <c r="A559" s="782"/>
      <c r="B559" s="782" t="s">
        <v>208</v>
      </c>
      <c r="C559" s="798">
        <v>2771991.4979271642</v>
      </c>
      <c r="D559" s="782"/>
      <c r="E559" s="798">
        <v>40089.936305341245</v>
      </c>
      <c r="F559" s="798">
        <v>225063.96010256742</v>
      </c>
      <c r="G559" s="798">
        <v>307619.19922921993</v>
      </c>
      <c r="H559" s="798">
        <v>386385.81778662285</v>
      </c>
      <c r="I559" s="798">
        <v>397977.39232022205</v>
      </c>
      <c r="J559" s="798">
        <v>409916.71408982924</v>
      </c>
      <c r="K559" s="798">
        <v>422214.21551252453</v>
      </c>
      <c r="L559" s="798">
        <v>434880.64197790093</v>
      </c>
      <c r="M559" s="798">
        <v>147843.62060293613</v>
      </c>
      <c r="N559" s="798"/>
      <c r="O559" s="798"/>
    </row>
    <row r="560" spans="1:138" ht="12.75" customHeight="1" x14ac:dyDescent="0.3">
      <c r="A560" s="782"/>
      <c r="B560" s="821" t="s">
        <v>209</v>
      </c>
      <c r="C560" s="822">
        <v>7972621.2438550815</v>
      </c>
      <c r="D560" s="821"/>
      <c r="E560" s="822">
        <v>1300887.969440832</v>
      </c>
      <c r="F560" s="822">
        <v>2227668.6313805268</v>
      </c>
      <c r="G560" s="822">
        <v>831905.13867881917</v>
      </c>
      <c r="H560" s="822">
        <v>634679.78491760895</v>
      </c>
      <c r="I560" s="822">
        <v>653720.17846513796</v>
      </c>
      <c r="J560" s="822">
        <v>673331.7838190929</v>
      </c>
      <c r="K560" s="822">
        <v>693531.7373336663</v>
      </c>
      <c r="L560" s="822">
        <v>714337.68945367727</v>
      </c>
      <c r="M560" s="822">
        <v>242558.33036571948</v>
      </c>
      <c r="N560" s="798"/>
      <c r="O560" s="798"/>
    </row>
    <row r="561" spans="1:15" ht="12.75" customHeight="1" x14ac:dyDescent="0.3">
      <c r="A561" s="782"/>
      <c r="B561" s="782"/>
      <c r="C561" s="798"/>
      <c r="D561" s="782"/>
      <c r="E561" s="798"/>
      <c r="F561" s="798"/>
      <c r="G561" s="798"/>
      <c r="H561" s="798"/>
      <c r="I561" s="798"/>
      <c r="J561" s="798"/>
      <c r="K561" s="798"/>
      <c r="L561" s="798"/>
      <c r="M561" s="798"/>
      <c r="N561" s="798"/>
      <c r="O561" s="798"/>
    </row>
    <row r="562" spans="1:15" ht="12.75" customHeight="1" x14ac:dyDescent="0.3">
      <c r="A562" s="782"/>
      <c r="B562" s="782" t="s">
        <v>210</v>
      </c>
      <c r="C562" s="798">
        <v>11432501.403740516</v>
      </c>
      <c r="D562" s="782"/>
      <c r="E562" s="798">
        <v>1300887.969440832</v>
      </c>
      <c r="F562" s="798">
        <v>2227668.6313805268</v>
      </c>
      <c r="G562" s="798">
        <v>3120912.6242631068</v>
      </c>
      <c r="H562" s="798">
        <v>634679.78491760895</v>
      </c>
      <c r="I562" s="798">
        <v>653720.17846513796</v>
      </c>
      <c r="J562" s="798">
        <v>673331.7838190929</v>
      </c>
      <c r="K562" s="798">
        <v>693531.7373336663</v>
      </c>
      <c r="L562" s="798">
        <v>714337.68945367727</v>
      </c>
      <c r="M562" s="798">
        <v>1413431.004666867</v>
      </c>
      <c r="N562" s="798"/>
      <c r="O562" s="798"/>
    </row>
    <row r="563" spans="1:15" ht="12.75" customHeight="1" x14ac:dyDescent="0.3">
      <c r="A563" s="782"/>
      <c r="B563" s="782"/>
      <c r="C563" s="798"/>
      <c r="D563" s="782"/>
      <c r="E563" s="798"/>
      <c r="F563" s="798"/>
      <c r="G563" s="798"/>
      <c r="H563" s="798"/>
      <c r="I563" s="798"/>
      <c r="J563" s="798"/>
      <c r="K563" s="798"/>
      <c r="L563" s="798"/>
      <c r="M563" s="798"/>
      <c r="N563" s="798"/>
      <c r="O563" s="798"/>
    </row>
    <row r="564" spans="1:15" ht="12.75" customHeight="1" x14ac:dyDescent="0.3">
      <c r="A564" s="782"/>
      <c r="B564" s="1392" t="s">
        <v>211</v>
      </c>
      <c r="C564" s="798"/>
      <c r="D564" s="782"/>
      <c r="E564" s="798"/>
      <c r="F564" s="798"/>
      <c r="G564" s="798"/>
      <c r="H564" s="798"/>
      <c r="I564" s="798"/>
      <c r="J564" s="798"/>
      <c r="K564" s="798"/>
      <c r="L564" s="798"/>
      <c r="M564" s="798"/>
      <c r="N564" s="798"/>
      <c r="O564" s="798"/>
    </row>
    <row r="565" spans="1:15" ht="12.75" customHeight="1" x14ac:dyDescent="0.3">
      <c r="A565" s="782"/>
      <c r="B565" s="782"/>
      <c r="C565" s="798"/>
      <c r="D565" s="782"/>
      <c r="E565" s="798"/>
      <c r="F565" s="798"/>
      <c r="G565" s="798"/>
      <c r="H565" s="798"/>
      <c r="I565" s="798"/>
      <c r="J565" s="798"/>
      <c r="K565" s="798"/>
      <c r="L565" s="798"/>
      <c r="M565" s="798"/>
      <c r="N565" s="798"/>
      <c r="O565" s="798"/>
    </row>
    <row r="566" spans="1:15" ht="12.75" customHeight="1" x14ac:dyDescent="0.3">
      <c r="A566" s="782"/>
      <c r="B566" s="782" t="s">
        <v>197</v>
      </c>
      <c r="C566" s="798">
        <v>3598036.5543624032</v>
      </c>
      <c r="D566" s="782"/>
      <c r="E566" s="798">
        <v>-3182178.7079223264</v>
      </c>
      <c r="F566" s="798">
        <v>-29919.039090692946</v>
      </c>
      <c r="G566" s="798">
        <v>848827.12276665098</v>
      </c>
      <c r="H566" s="798">
        <v>235416.62612676469</v>
      </c>
      <c r="I566" s="798">
        <v>231166.92381968664</v>
      </c>
      <c r="J566" s="798">
        <v>232308.53058822508</v>
      </c>
      <c r="K566" s="798">
        <v>240899.05104543737</v>
      </c>
      <c r="L566" s="798">
        <v>252749.50318799689</v>
      </c>
      <c r="M566" s="798">
        <v>4768766.5438406607</v>
      </c>
      <c r="N566" s="798"/>
      <c r="O566" s="798"/>
    </row>
    <row r="567" spans="1:15" ht="12.75" customHeight="1" x14ac:dyDescent="0.3">
      <c r="A567" s="782"/>
      <c r="B567" s="782" t="s">
        <v>210</v>
      </c>
      <c r="C567" s="798">
        <v>11432501.403740516</v>
      </c>
      <c r="D567" s="782"/>
      <c r="E567" s="798">
        <v>1300887.969440832</v>
      </c>
      <c r="F567" s="798">
        <v>2227668.6313805268</v>
      </c>
      <c r="G567" s="798">
        <v>3120912.6242631068</v>
      </c>
      <c r="H567" s="798">
        <v>634679.78491760895</v>
      </c>
      <c r="I567" s="798">
        <v>653720.17846513796</v>
      </c>
      <c r="J567" s="798">
        <v>673331.7838190929</v>
      </c>
      <c r="K567" s="798">
        <v>693531.7373336663</v>
      </c>
      <c r="L567" s="798">
        <v>714337.68945367727</v>
      </c>
      <c r="M567" s="798">
        <v>1413431.004666867</v>
      </c>
      <c r="N567" s="798"/>
      <c r="O567" s="798"/>
    </row>
    <row r="568" spans="1:15" ht="12.75" customHeight="1" x14ac:dyDescent="0.3">
      <c r="A568" s="782"/>
      <c r="B568" s="825" t="s">
        <v>213</v>
      </c>
      <c r="C568" s="1402">
        <v>15030537.958102919</v>
      </c>
      <c r="D568" s="825"/>
      <c r="E568" s="1402">
        <v>-1881290.7384814944</v>
      </c>
      <c r="F568" s="1402">
        <v>2197749.5922898338</v>
      </c>
      <c r="G568" s="1402">
        <v>3969739.7470297581</v>
      </c>
      <c r="H568" s="1402">
        <v>870096.41104437364</v>
      </c>
      <c r="I568" s="1402">
        <v>884887.10228482459</v>
      </c>
      <c r="J568" s="1402">
        <v>905640.31440731802</v>
      </c>
      <c r="K568" s="1402">
        <v>934430.78837910364</v>
      </c>
      <c r="L568" s="1402">
        <v>967087.19264167419</v>
      </c>
      <c r="M568" s="1402">
        <v>6182197.5485075274</v>
      </c>
      <c r="N568" s="798"/>
      <c r="O568" s="798"/>
    </row>
    <row r="569" spans="1:15" ht="12.75" customHeight="1" x14ac:dyDescent="0.3">
      <c r="A569" s="782"/>
      <c r="B569" s="1397" t="s">
        <v>214</v>
      </c>
      <c r="C569" s="1398">
        <v>1.2556767582893376</v>
      </c>
      <c r="D569" s="782"/>
      <c r="E569" s="798"/>
      <c r="F569" s="798"/>
      <c r="G569" s="798"/>
      <c r="H569" s="798"/>
      <c r="I569" s="798"/>
      <c r="J569" s="798"/>
      <c r="K569" s="798"/>
      <c r="L569" s="798"/>
      <c r="M569" s="798"/>
      <c r="N569" s="798"/>
      <c r="O569" s="798"/>
    </row>
    <row r="570" spans="1:15" ht="12.75" customHeight="1" x14ac:dyDescent="0.3">
      <c r="A570" s="782"/>
      <c r="B570" s="1399" t="s">
        <v>204</v>
      </c>
      <c r="C570" s="1400">
        <v>8.7800036248363433</v>
      </c>
      <c r="D570" s="782"/>
      <c r="E570" s="798"/>
      <c r="F570" s="798"/>
      <c r="G570" s="798"/>
      <c r="H570" s="798"/>
      <c r="I570" s="798"/>
      <c r="J570" s="798"/>
      <c r="K570" s="798"/>
      <c r="L570" s="798"/>
      <c r="M570" s="798"/>
      <c r="N570" s="798"/>
      <c r="O570" s="798"/>
    </row>
    <row r="571" spans="1:15" ht="12.75" customHeight="1" x14ac:dyDescent="0.3">
      <c r="A571" s="782"/>
      <c r="B571" s="782"/>
      <c r="C571" s="798"/>
      <c r="D571" s="782"/>
      <c r="E571" s="798"/>
      <c r="F571" s="798"/>
      <c r="G571" s="798"/>
      <c r="H571" s="798"/>
      <c r="I571" s="798"/>
      <c r="J571" s="798"/>
      <c r="K571" s="798"/>
      <c r="L571" s="798"/>
      <c r="M571" s="798"/>
      <c r="N571" s="798"/>
      <c r="O571" s="798"/>
    </row>
    <row r="572" spans="1:15" ht="12.75" customHeight="1" x14ac:dyDescent="0.3">
      <c r="A572" s="1408" t="s">
        <v>338</v>
      </c>
      <c r="B572" s="1408"/>
      <c r="C572" s="1409"/>
      <c r="D572" s="1408"/>
    </row>
    <row r="573" spans="1:15" ht="12.75" customHeight="1" x14ac:dyDescent="0.3">
      <c r="A573" s="782"/>
      <c r="B573" s="1410" t="s">
        <v>361</v>
      </c>
      <c r="C573" s="1411"/>
    </row>
    <row r="574" spans="1:15" ht="12.75" customHeight="1" x14ac:dyDescent="0.3">
      <c r="A574" s="782"/>
      <c r="B574" s="1412" t="s">
        <v>362</v>
      </c>
      <c r="C574" s="1413">
        <f>+'Venture Assumptions'!F8</f>
        <v>48091</v>
      </c>
    </row>
    <row r="575" spans="1:15" ht="12.75" customHeight="1" x14ac:dyDescent="0.3">
      <c r="A575" s="782"/>
      <c r="B575" s="1412" t="s">
        <v>363</v>
      </c>
      <c r="C575" s="1414">
        <f>+LOOKUP(C574,E4:EG4,E196:EG196)</f>
        <v>130231913.10181804</v>
      </c>
    </row>
    <row r="576" spans="1:15" ht="12.75" customHeight="1" x14ac:dyDescent="0.3">
      <c r="A576" s="782"/>
      <c r="B576" s="1412" t="s">
        <v>364</v>
      </c>
      <c r="C576" s="1414">
        <f>+C575/Summary!M23</f>
        <v>508718.41055397672</v>
      </c>
    </row>
    <row r="577" spans="1:3" ht="12.75" customHeight="1" x14ac:dyDescent="0.3">
      <c r="A577" s="782"/>
      <c r="B577" s="1412" t="s">
        <v>365</v>
      </c>
      <c r="C577" s="1415">
        <f>+Summary!S15</f>
        <v>5.5E-2</v>
      </c>
    </row>
    <row r="578" spans="1:3" ht="12.75" customHeight="1" x14ac:dyDescent="0.3">
      <c r="A578" s="782"/>
      <c r="B578" s="1412" t="s">
        <v>366</v>
      </c>
      <c r="C578" s="1416" t="str">
        <f>+Summary!R15</f>
        <v>n/a</v>
      </c>
    </row>
    <row r="579" spans="1:3" ht="12.75" customHeight="1" x14ac:dyDescent="0.3">
      <c r="A579" s="782"/>
      <c r="B579" s="1412" t="s">
        <v>367</v>
      </c>
      <c r="C579" s="1417">
        <f>+'Venture Assumptions'!F12</f>
        <v>0.751</v>
      </c>
    </row>
    <row r="580" spans="1:3" ht="12.75" customHeight="1" x14ac:dyDescent="0.3">
      <c r="A580" s="782"/>
      <c r="B580" s="1412" t="s">
        <v>368</v>
      </c>
      <c r="C580" s="1415">
        <f>+Summary!D51</f>
        <v>6.6452831626234915E-2</v>
      </c>
    </row>
    <row r="581" spans="1:3" ht="12.75" customHeight="1" x14ac:dyDescent="0.3">
      <c r="A581" s="782"/>
      <c r="B581" s="1411"/>
      <c r="C581" s="1411"/>
    </row>
    <row r="582" spans="1:3" ht="12.75" customHeight="1" x14ac:dyDescent="0.3">
      <c r="A582" s="782"/>
      <c r="B582" s="1410" t="s">
        <v>369</v>
      </c>
      <c r="C582" s="1412"/>
    </row>
    <row r="583" spans="1:3" ht="12.75" customHeight="1" x14ac:dyDescent="0.3">
      <c r="A583" s="782"/>
      <c r="B583" s="1412" t="s">
        <v>370</v>
      </c>
      <c r="C583" s="1414">
        <f>+SUMIF(E345:EG345,"&gt;0")</f>
        <v>107010845.60990745</v>
      </c>
    </row>
    <row r="584" spans="1:3" ht="12.75" customHeight="1" x14ac:dyDescent="0.3">
      <c r="A584" s="782"/>
      <c r="B584" s="1412" t="s">
        <v>371</v>
      </c>
      <c r="C584" s="1414">
        <f>+C345</f>
        <v>71665919.417095348</v>
      </c>
    </row>
    <row r="585" spans="1:3" ht="12.75" customHeight="1" x14ac:dyDescent="0.3">
      <c r="A585" s="782"/>
      <c r="B585" s="1412" t="s">
        <v>372</v>
      </c>
      <c r="C585" s="1418">
        <f>+C346</f>
        <v>0.20314757227897645</v>
      </c>
    </row>
    <row r="586" spans="1:3" ht="12.75" customHeight="1" x14ac:dyDescent="0.3">
      <c r="A586" s="782"/>
      <c r="B586" s="1411"/>
      <c r="C586" s="1411"/>
    </row>
    <row r="587" spans="1:3" ht="12.75" customHeight="1" x14ac:dyDescent="0.3">
      <c r="A587" s="782"/>
      <c r="B587" s="1410" t="s">
        <v>373</v>
      </c>
      <c r="C587" s="1411"/>
    </row>
    <row r="588" spans="1:3" ht="12.75" customHeight="1" x14ac:dyDescent="0.3">
      <c r="A588" s="782"/>
      <c r="B588" s="1412" t="s">
        <v>374</v>
      </c>
      <c r="C588" s="1419">
        <f>+SUMIF(E38:EG38,"&lt;0")</f>
        <v>-35657885.983124956</v>
      </c>
    </row>
    <row r="589" spans="1:3" ht="12.75" customHeight="1" x14ac:dyDescent="0.3">
      <c r="A589" s="782"/>
      <c r="B589" s="1412" t="s">
        <v>375</v>
      </c>
      <c r="C589" s="1414">
        <f>+SUMIF(E38:EG38,"&gt;0")</f>
        <v>104301514.39879432</v>
      </c>
    </row>
    <row r="590" spans="1:3" ht="12.75" customHeight="1" x14ac:dyDescent="0.3">
      <c r="B590" s="1412" t="s">
        <v>376</v>
      </c>
      <c r="C590" s="1414">
        <f>SUM(C588:C589)</f>
        <v>68643628.415669367</v>
      </c>
    </row>
    <row r="591" spans="1:3" ht="12.75" customHeight="1" x14ac:dyDescent="0.3">
      <c r="B591" s="1412" t="s">
        <v>372</v>
      </c>
      <c r="C591" s="1418">
        <f>+C39</f>
        <v>0.194367915391922</v>
      </c>
    </row>
    <row r="592" spans="1:3" ht="12.75" customHeight="1" x14ac:dyDescent="0.3">
      <c r="B592" s="1412" t="s">
        <v>377</v>
      </c>
      <c r="C592" s="1420">
        <f>+C589/-C588</f>
        <v>2.9250616384873425</v>
      </c>
    </row>
    <row r="593" spans="2:3" ht="12.75" customHeight="1" x14ac:dyDescent="0.3">
      <c r="B593" s="1411"/>
      <c r="C593" s="1411"/>
    </row>
    <row r="594" spans="2:3" ht="12.75" customHeight="1" x14ac:dyDescent="0.3">
      <c r="B594" s="1410" t="s">
        <v>343</v>
      </c>
      <c r="C594" s="1412"/>
    </row>
    <row r="595" spans="2:3" ht="12.75" customHeight="1" x14ac:dyDescent="0.3">
      <c r="B595" s="1412" t="s">
        <v>378</v>
      </c>
      <c r="C595" s="1419">
        <f>+C588*'Venture Assumptions'!F11</f>
        <v>-8878813.6097981147</v>
      </c>
    </row>
    <row r="596" spans="2:3" ht="12.75" customHeight="1" x14ac:dyDescent="0.3">
      <c r="B596" s="1412" t="s">
        <v>379</v>
      </c>
      <c r="C596" s="1414">
        <f>+SUMIF(E38:EG38,"&gt;0")*'Venture Assumptions'!F11</f>
        <v>25971077.085299786</v>
      </c>
    </row>
    <row r="597" spans="2:3" ht="12.75" customHeight="1" x14ac:dyDescent="0.3">
      <c r="B597" s="1412" t="s">
        <v>380</v>
      </c>
      <c r="C597" s="1419">
        <f>+SUM(C349:C350)*'Venture Assumptions'!F11</f>
        <v>-3138613.5932801315</v>
      </c>
    </row>
    <row r="598" spans="2:3" ht="12.75" customHeight="1" x14ac:dyDescent="0.3">
      <c r="B598" s="1412" t="s">
        <v>381</v>
      </c>
      <c r="C598" s="1414">
        <f>+SUM(C595:C597)</f>
        <v>13953649.88222154</v>
      </c>
    </row>
    <row r="599" spans="2:3" ht="12.75" customHeight="1" x14ac:dyDescent="0.3">
      <c r="B599" s="1412" t="s">
        <v>195</v>
      </c>
      <c r="C599" s="1418">
        <f>+C354</f>
        <v>0.15838249325752266</v>
      </c>
    </row>
    <row r="600" spans="2:3" ht="12.75" customHeight="1" x14ac:dyDescent="0.3">
      <c r="B600" s="1412" t="s">
        <v>382</v>
      </c>
      <c r="C600" s="1420">
        <f>+C355</f>
        <v>2.3311944189841349</v>
      </c>
    </row>
    <row r="601" spans="2:3" ht="12.75" customHeight="1" x14ac:dyDescent="0.3">
      <c r="B601" s="1412"/>
      <c r="C601" s="1412"/>
    </row>
    <row r="602" spans="2:3" ht="12.75" customHeight="1" x14ac:dyDescent="0.3">
      <c r="B602" s="1410" t="s">
        <v>383</v>
      </c>
      <c r="C602" s="1412"/>
    </row>
    <row r="603" spans="2:3" ht="12.75" customHeight="1" x14ac:dyDescent="0.3">
      <c r="B603" s="1412" t="s">
        <v>384</v>
      </c>
      <c r="C603" s="1419">
        <f>+C588*'Venture Assumptions'!F12</f>
        <v>-26779072.373326842</v>
      </c>
    </row>
    <row r="604" spans="2:3" ht="12.75" customHeight="1" x14ac:dyDescent="0.3">
      <c r="B604" s="1412" t="s">
        <v>385</v>
      </c>
      <c r="C604" s="1414">
        <f>+SUMIF(E38:EG38,"&gt;0")*'Venture Assumptions'!F12</f>
        <v>78330437.313494533</v>
      </c>
    </row>
    <row r="605" spans="2:3" ht="12.75" customHeight="1" x14ac:dyDescent="0.3">
      <c r="B605" s="1412" t="s">
        <v>386</v>
      </c>
      <c r="C605" s="1419">
        <f>+SUM(C349:C350)*'Venture Assumptions'!F12</f>
        <v>-9466260.2753147744</v>
      </c>
    </row>
    <row r="606" spans="2:3" ht="12.75" customHeight="1" x14ac:dyDescent="0.3">
      <c r="B606" s="1412" t="s">
        <v>387</v>
      </c>
      <c r="C606" s="1414">
        <f>SUM(C603:C605)</f>
        <v>42085104.664852917</v>
      </c>
    </row>
    <row r="607" spans="2:3" ht="12.75" customHeight="1" x14ac:dyDescent="0.3">
      <c r="B607" s="1412" t="s">
        <v>198</v>
      </c>
      <c r="C607" s="1418">
        <f>+C358</f>
        <v>0.15838249325752266</v>
      </c>
    </row>
    <row r="608" spans="2:3" ht="12.75" customHeight="1" x14ac:dyDescent="0.3">
      <c r="B608" s="1412" t="s">
        <v>388</v>
      </c>
      <c r="C608" s="1420">
        <f>+C359</f>
        <v>2.3311944189841349</v>
      </c>
    </row>
    <row r="609" spans="2:3" ht="12.75" customHeight="1" x14ac:dyDescent="0.3">
      <c r="B609" s="1412"/>
      <c r="C609" s="1412"/>
    </row>
    <row r="610" spans="2:3" ht="12.75" customHeight="1" x14ac:dyDescent="0.3">
      <c r="B610" s="1410" t="s">
        <v>389</v>
      </c>
      <c r="C610" s="1412"/>
    </row>
    <row r="611" spans="2:3" ht="12.75" customHeight="1" x14ac:dyDescent="0.3">
      <c r="B611" s="1412" t="s">
        <v>387</v>
      </c>
      <c r="C611" s="1414">
        <f>+C606</f>
        <v>42085104.664852917</v>
      </c>
    </row>
    <row r="612" spans="2:3" ht="12.75" customHeight="1" x14ac:dyDescent="0.3">
      <c r="B612" s="1412" t="s">
        <v>390</v>
      </c>
      <c r="C612" s="1414">
        <f>+-C349</f>
        <v>6868726.7816661661</v>
      </c>
    </row>
    <row r="613" spans="2:3" ht="12.75" customHeight="1" x14ac:dyDescent="0.3">
      <c r="B613" s="1412" t="s">
        <v>391</v>
      </c>
      <c r="C613" s="1414">
        <f>+-C350</f>
        <v>5736147.0869287392</v>
      </c>
    </row>
    <row r="614" spans="2:3" ht="12.75" customHeight="1" x14ac:dyDescent="0.3">
      <c r="B614" s="1421" t="s">
        <v>202</v>
      </c>
      <c r="C614" s="1422">
        <f>SUM(C611:C613)</f>
        <v>54689978.533447824</v>
      </c>
    </row>
    <row r="615" spans="2:3" ht="12.75" customHeight="1" x14ac:dyDescent="0.3">
      <c r="B615" s="1412" t="s">
        <v>203</v>
      </c>
      <c r="C615" s="1418">
        <f>+C367</f>
        <v>0.20637730956077577</v>
      </c>
    </row>
    <row r="616" spans="2:3" ht="12.75" customHeight="1" x14ac:dyDescent="0.3">
      <c r="B616" s="1412" t="s">
        <v>392</v>
      </c>
      <c r="C616" s="1420">
        <f>+C368</f>
        <v>3.0422656084204585</v>
      </c>
    </row>
    <row r="617" spans="2:3" ht="12.75" customHeight="1" x14ac:dyDescent="0.3">
      <c r="B617" s="1411"/>
      <c r="C617" s="1411"/>
    </row>
    <row r="618" spans="2:3" ht="12.75" customHeight="1" x14ac:dyDescent="0.3">
      <c r="B618" s="1410" t="s">
        <v>393</v>
      </c>
      <c r="C618" s="1412"/>
    </row>
    <row r="619" spans="2:3" ht="12.75" customHeight="1" x14ac:dyDescent="0.3">
      <c r="B619" s="1412" t="s">
        <v>202</v>
      </c>
      <c r="C619" s="1414">
        <f>+C614</f>
        <v>54689978.533447824</v>
      </c>
    </row>
    <row r="620" spans="2:3" ht="12.75" customHeight="1" x14ac:dyDescent="0.3">
      <c r="B620" s="1412" t="str">
        <f>+CONCATENATE("Plus: ",B371, " fee")</f>
        <v>Plus: Development management fee</v>
      </c>
      <c r="C620" s="1414">
        <f>+C371</f>
        <v>2658062.4746991713</v>
      </c>
    </row>
    <row r="621" spans="2:3" ht="12.75" customHeight="1" x14ac:dyDescent="0.3">
      <c r="B621" s="1412" t="str">
        <f>+CONCATENATE("Plus: ",B372, " fee")</f>
        <v>Plus: Property management fee</v>
      </c>
      <c r="C621" s="1414">
        <f>+C372</f>
        <v>1644861.2200535035</v>
      </c>
    </row>
    <row r="622" spans="2:3" ht="12.75" customHeight="1" x14ac:dyDescent="0.3">
      <c r="B622" s="1412" t="str">
        <f>+CONCATENATE("Plus: ",B373, " fee")</f>
        <v>Plus: Venture management fee</v>
      </c>
      <c r="C622" s="1414">
        <f>+C373</f>
        <v>3022291.0014259908</v>
      </c>
    </row>
    <row r="623" spans="2:3" ht="12.75" customHeight="1" x14ac:dyDescent="0.3">
      <c r="B623" s="1421" t="s">
        <v>393</v>
      </c>
      <c r="C623" s="1422">
        <f>SUM(C619:C622)</f>
        <v>62015193.229626484</v>
      </c>
    </row>
    <row r="624" spans="2:3" ht="12.75" customHeight="1" x14ac:dyDescent="0.3">
      <c r="B624" s="1412" t="s">
        <v>214</v>
      </c>
      <c r="C624" s="1418">
        <f>+C507</f>
        <v>0.24556238055229185</v>
      </c>
    </row>
    <row r="625" spans="1:4" ht="12.75" customHeight="1" x14ac:dyDescent="0.3">
      <c r="B625" s="1412" t="s">
        <v>394</v>
      </c>
      <c r="C625" s="1420">
        <f>+C508</f>
        <v>3.4432172837586199</v>
      </c>
    </row>
    <row r="626" spans="1:4" ht="12.75" customHeight="1" x14ac:dyDescent="0.3">
      <c r="A626" s="1389" t="s">
        <v>338</v>
      </c>
      <c r="B626" s="1389"/>
      <c r="C626" s="1391"/>
      <c r="D626" s="1389" t="s">
        <v>338</v>
      </c>
    </row>
    <row r="660" spans="2:137" ht="12.75" customHeight="1" x14ac:dyDescent="0.3">
      <c r="B660" s="1423" t="s">
        <v>395</v>
      </c>
      <c r="C660" s="1423"/>
      <c r="D660" s="1423"/>
      <c r="E660" s="1424">
        <f>+IFERROR((VLOOKUP(E4,'Venture Assumptions'!$P$107:$Q$226,2,FALSE)+'Venture Assumptions'!$L$81)/12,0)</f>
        <v>5.6102166666666667E-3</v>
      </c>
      <c r="F660" s="1424">
        <f>+IFERROR((VLOOKUP(F4,'Venture Assumptions'!$P$107:$Q$226,2,FALSE)+'Venture Assumptions'!$L$81)/12,0)</f>
        <v>5.5456833333333332E-3</v>
      </c>
      <c r="G660" s="1424">
        <f>+IFERROR((VLOOKUP(G4,'Venture Assumptions'!$P$107:$Q$226,2,FALSE)+'Venture Assumptions'!$L$81)/12,0)</f>
        <v>5.5456833333333332E-3</v>
      </c>
      <c r="H660" s="1424">
        <f>+IFERROR((VLOOKUP(H4,'Venture Assumptions'!$P$107:$Q$226,2,FALSE)+'Venture Assumptions'!$L$81)/12,0)</f>
        <v>5.3944333333333337E-3</v>
      </c>
      <c r="I660" s="1424">
        <f>+IFERROR((VLOOKUP(I4,'Venture Assumptions'!$P$107:$Q$226,2,FALSE)+'Venture Assumptions'!$L$81)/12,0)</f>
        <v>5.2335416666666667E-3</v>
      </c>
      <c r="J660" s="1424">
        <f>+IFERROR((VLOOKUP(J4,'Venture Assumptions'!$P$107:$Q$226,2,FALSE)+'Venture Assumptions'!$L$81)/12,0)</f>
        <v>5.2326916666666666E-3</v>
      </c>
      <c r="K660" s="1424">
        <f>+IFERROR((VLOOKUP(K4,'Venture Assumptions'!$P$107:$Q$226,2,FALSE)+'Venture Assumptions'!$L$81)/12,0)</f>
        <v>5.0221000000000007E-3</v>
      </c>
      <c r="L660" s="1424">
        <f>+IFERROR((VLOOKUP(L4,'Venture Assumptions'!$P$107:$Q$226,2,FALSE)+'Venture Assumptions'!$L$81)/12,0)</f>
        <v>4.7969083333333331E-3</v>
      </c>
      <c r="M660" s="1424">
        <f>+IFERROR((VLOOKUP(M4,'Venture Assumptions'!$P$107:$Q$226,2,FALSE)+'Venture Assumptions'!$L$81)/12,0)</f>
        <v>4.7970750000000005E-3</v>
      </c>
      <c r="N660" s="1424">
        <f>+IFERROR((VLOOKUP(N4,'Venture Assumptions'!$P$107:$Q$226,2,FALSE)+'Venture Assumptions'!$L$81)/12,0)</f>
        <v>4.6911916666666671E-3</v>
      </c>
      <c r="O660" s="1424">
        <f>+IFERROR((VLOOKUP(O4,'Venture Assumptions'!$P$107:$Q$226,2,FALSE)+'Venture Assumptions'!$L$81)/12,0)</f>
        <v>4.4580749999999997E-3</v>
      </c>
      <c r="P660" s="1424">
        <f>+IFERROR((VLOOKUP(P4,'Venture Assumptions'!$P$107:$Q$226,2,FALSE)+'Venture Assumptions'!$L$81)/12,0)</f>
        <v>4.3382499999999992E-3</v>
      </c>
      <c r="Q660" s="1424">
        <f>+IFERROR((VLOOKUP(Q4,'Venture Assumptions'!$P$107:$Q$226,2,FALSE)+'Venture Assumptions'!$L$81)/12,0)</f>
        <v>4.2453250000000003E-3</v>
      </c>
      <c r="R660" s="1424">
        <f>+IFERROR((VLOOKUP(R4,'Venture Assumptions'!$P$107:$Q$226,2,FALSE)+'Venture Assumptions'!$L$81)/12,0)</f>
        <v>4.1593000000000003E-3</v>
      </c>
      <c r="S660" s="1424">
        <f>+IFERROR((VLOOKUP(S4,'Venture Assumptions'!$P$107:$Q$226,2,FALSE)+'Venture Assumptions'!$L$81)/12,0)</f>
        <v>4.0878916666666669E-3</v>
      </c>
      <c r="T660" s="1424">
        <f>+IFERROR((VLOOKUP(T4,'Venture Assumptions'!$P$107:$Q$226,2,FALSE)+'Venture Assumptions'!$L$81)/12,0)</f>
        <v>4.0344583333333335E-3</v>
      </c>
      <c r="U660" s="1424">
        <f>+IFERROR((VLOOKUP(U4,'Venture Assumptions'!$P$107:$Q$226,2,FALSE)+'Venture Assumptions'!$L$81)/12,0)</f>
        <v>3.9929916666666667E-3</v>
      </c>
      <c r="V660" s="1424">
        <f>+IFERROR((VLOOKUP(V4,'Venture Assumptions'!$P$107:$Q$226,2,FALSE)+'Venture Assumptions'!$L$81)/12,0)</f>
        <v>3.9655083333333336E-3</v>
      </c>
      <c r="W660" s="1424">
        <f>+IFERROR((VLOOKUP(W4,'Venture Assumptions'!$P$107:$Q$226,2,FALSE)+'Venture Assumptions'!$L$81)/12,0)</f>
        <v>3.9428916666666668E-3</v>
      </c>
      <c r="X660" s="1424">
        <f>+IFERROR((VLOOKUP(X4,'Venture Assumptions'!$P$107:$Q$226,2,FALSE)+'Venture Assumptions'!$L$81)/12,0)</f>
        <v>3.9209166666666663E-3</v>
      </c>
      <c r="Y660" s="1424">
        <f>+IFERROR((VLOOKUP(Y4,'Venture Assumptions'!$P$107:$Q$226,2,FALSE)+'Venture Assumptions'!$L$81)/12,0)</f>
        <v>3.9012333333333336E-3</v>
      </c>
      <c r="Z660" s="1424">
        <f>+IFERROR((VLOOKUP(Z4,'Venture Assumptions'!$P$107:$Q$226,2,FALSE)+'Venture Assumptions'!$L$81)/12,0)</f>
        <v>3.8855416666666669E-3</v>
      </c>
      <c r="AA660" s="1424">
        <f>+IFERROR((VLOOKUP(AA4,'Venture Assumptions'!$P$107:$Q$226,2,FALSE)+'Venture Assumptions'!$L$81)/12,0)</f>
        <v>3.8710416666666667E-3</v>
      </c>
      <c r="AB660" s="1424">
        <f>+IFERROR((VLOOKUP(AB4,'Venture Assumptions'!$P$107:$Q$226,2,FALSE)+'Venture Assumptions'!$L$81)/12,0)</f>
        <v>3.8584916666666667E-3</v>
      </c>
      <c r="AC660" s="1424">
        <f>+IFERROR((VLOOKUP(AC4,'Venture Assumptions'!$P$107:$Q$226,2,FALSE)+'Venture Assumptions'!$L$81)/12,0)</f>
        <v>3.8489666666666664E-3</v>
      </c>
      <c r="AD660" s="1424">
        <f>+IFERROR((VLOOKUP(AD4,'Venture Assumptions'!$P$107:$Q$226,2,FALSE)+'Venture Assumptions'!$L$81)/12,0)</f>
        <v>3.8415749999999999E-3</v>
      </c>
      <c r="AE660" s="1424">
        <f>+IFERROR((VLOOKUP(AE4,'Venture Assumptions'!$P$107:$Q$226,2,FALSE)+'Venture Assumptions'!$L$81)/12,0)</f>
        <v>3.8363250000000002E-3</v>
      </c>
      <c r="AF660" s="1424">
        <f>+IFERROR((VLOOKUP(AF4,'Venture Assumptions'!$P$107:$Q$226,2,FALSE)+'Venture Assumptions'!$L$81)/12,0)</f>
        <v>3.8336666666666671E-3</v>
      </c>
      <c r="AG660" s="1424">
        <f>+IFERROR((VLOOKUP(AG4,'Venture Assumptions'!$P$107:$Q$226,2,FALSE)+'Venture Assumptions'!$L$81)/12,0)</f>
        <v>3.833075E-3</v>
      </c>
      <c r="AH660" s="1424">
        <f>+IFERROR((VLOOKUP(AH4,'Venture Assumptions'!$P$107:$Q$226,2,FALSE)+'Venture Assumptions'!$L$81)/12,0)</f>
        <v>3.834175E-3</v>
      </c>
      <c r="AI660" s="1424">
        <f>+IFERROR((VLOOKUP(AI4,'Venture Assumptions'!$P$107:$Q$226,2,FALSE)+'Venture Assumptions'!$L$81)/12,0)</f>
        <v>3.8362583333333331E-3</v>
      </c>
      <c r="AJ660" s="1424">
        <f>+IFERROR((VLOOKUP(AJ4,'Venture Assumptions'!$P$107:$Q$226,2,FALSE)+'Venture Assumptions'!$L$81)/12,0)</f>
        <v>3.8382916666666669E-3</v>
      </c>
      <c r="AK660" s="1424">
        <f>+IFERROR((VLOOKUP(AK4,'Venture Assumptions'!$P$107:$Q$226,2,FALSE)+'Venture Assumptions'!$L$81)/12,0)</f>
        <v>3.8404166666666669E-3</v>
      </c>
      <c r="AL660" s="1424">
        <f>+IFERROR((VLOOKUP(AL4,'Venture Assumptions'!$P$107:$Q$226,2,FALSE)+'Venture Assumptions'!$L$81)/12,0)</f>
        <v>3.8427833333333334E-3</v>
      </c>
      <c r="AM660" s="1424">
        <f>+IFERROR((VLOOKUP(AM4,'Venture Assumptions'!$P$107:$Q$226,2,FALSE)+'Venture Assumptions'!$L$81)/12,0)</f>
        <v>3.8450083333333336E-3</v>
      </c>
      <c r="AN660" s="1424">
        <f>+IFERROR((VLOOKUP(AN4,'Venture Assumptions'!$P$107:$Q$226,2,FALSE)+'Venture Assumptions'!$L$81)/12,0)</f>
        <v>3.8471666666666667E-3</v>
      </c>
      <c r="AO660" s="1424">
        <f>+IFERROR((VLOOKUP(AO4,'Venture Assumptions'!$P$107:$Q$226,2,FALSE)+'Venture Assumptions'!$L$81)/12,0)</f>
        <v>3.8497666666666669E-3</v>
      </c>
      <c r="AP660" s="1424">
        <f>+IFERROR((VLOOKUP(AP4,'Venture Assumptions'!$P$107:$Q$226,2,FALSE)+'Venture Assumptions'!$L$81)/12,0)</f>
        <v>3.8522999999999999E-3</v>
      </c>
      <c r="AQ660" s="1424">
        <f>+IFERROR((VLOOKUP(AQ4,'Venture Assumptions'!$P$107:$Q$226,2,FALSE)+'Venture Assumptions'!$L$81)/12,0)</f>
        <v>3.8546583333333335E-3</v>
      </c>
      <c r="AR660" s="1424">
        <f>+IFERROR((VLOOKUP(AR4,'Venture Assumptions'!$P$107:$Q$226,2,FALSE)+'Venture Assumptions'!$L$81)/12,0)</f>
        <v>3.8575666666666665E-3</v>
      </c>
      <c r="AS660" s="1424">
        <f>+IFERROR((VLOOKUP(AS4,'Venture Assumptions'!$P$107:$Q$226,2,FALSE)+'Venture Assumptions'!$L$81)/12,0)</f>
        <v>3.8603666666666668E-3</v>
      </c>
      <c r="AT660" s="1424">
        <f>+IFERROR((VLOOKUP(AT4,'Venture Assumptions'!$P$107:$Q$226,2,FALSE)+'Venture Assumptions'!$L$81)/12,0)</f>
        <v>3.8628499999999997E-3</v>
      </c>
      <c r="AU660" s="1424">
        <f>+IFERROR((VLOOKUP(AU4,'Venture Assumptions'!$P$107:$Q$226,2,FALSE)+'Venture Assumptions'!$L$81)/12,0)</f>
        <v>3.8664333333333334E-3</v>
      </c>
      <c r="AV660" s="1424">
        <f>+IFERROR((VLOOKUP(AV4,'Venture Assumptions'!$P$107:$Q$226,2,FALSE)+'Venture Assumptions'!$L$81)/12,0)</f>
        <v>3.8698083333333333E-3</v>
      </c>
      <c r="AW660" s="1424">
        <f>+IFERROR((VLOOKUP(AW4,'Venture Assumptions'!$P$107:$Q$226,2,FALSE)+'Venture Assumptions'!$L$81)/12,0)</f>
        <v>3.8734500000000001E-3</v>
      </c>
      <c r="AX660" s="1424">
        <f>+IFERROR((VLOOKUP(AX4,'Venture Assumptions'!$P$107:$Q$226,2,FALSE)+'Venture Assumptions'!$L$81)/12,0)</f>
        <v>3.8779416666666669E-3</v>
      </c>
      <c r="AY660" s="1424">
        <f>+IFERROR((VLOOKUP(AY4,'Venture Assumptions'!$P$107:$Q$226,2,FALSE)+'Venture Assumptions'!$L$81)/12,0)</f>
        <v>3.8824500000000004E-3</v>
      </c>
      <c r="AZ660" s="1424">
        <f>+IFERROR((VLOOKUP(AZ4,'Venture Assumptions'!$P$107:$Q$226,2,FALSE)+'Venture Assumptions'!$L$81)/12,0)</f>
        <v>3.886825E-3</v>
      </c>
      <c r="BA660" s="1424">
        <f>+IFERROR((VLOOKUP(BA4,'Venture Assumptions'!$P$107:$Q$226,2,FALSE)+'Venture Assumptions'!$L$81)/12,0)</f>
        <v>3.8919833333333335E-3</v>
      </c>
      <c r="BB660" s="1424">
        <f>+IFERROR((VLOOKUP(BB4,'Venture Assumptions'!$P$107:$Q$226,2,FALSE)+'Venture Assumptions'!$L$81)/12,0)</f>
        <v>3.8974666666666668E-3</v>
      </c>
      <c r="BC660" s="1424">
        <f>+IFERROR((VLOOKUP(BC4,'Venture Assumptions'!$P$107:$Q$226,2,FALSE)+'Venture Assumptions'!$L$81)/12,0)</f>
        <v>3.9028999999999995E-3</v>
      </c>
      <c r="BD660" s="1424">
        <f>+IFERROR((VLOOKUP(BD4,'Venture Assumptions'!$P$107:$Q$226,2,FALSE)+'Venture Assumptions'!$L$81)/12,0)</f>
        <v>3.9090000000000001E-3</v>
      </c>
      <c r="BE660" s="1424">
        <f>+IFERROR((VLOOKUP(BE4,'Venture Assumptions'!$P$107:$Q$226,2,FALSE)+'Venture Assumptions'!$L$81)/12,0)</f>
        <v>3.9154416666666667E-3</v>
      </c>
      <c r="BF660" s="1424">
        <f>+IFERROR((VLOOKUP(BF4,'Venture Assumptions'!$P$107:$Q$226,2,FALSE)+'Venture Assumptions'!$L$81)/12,0)</f>
        <v>3.9217500000000008E-3</v>
      </c>
      <c r="BG660" s="1424">
        <f>+IFERROR((VLOOKUP(BG4,'Venture Assumptions'!$P$107:$Q$226,2,FALSE)+'Venture Assumptions'!$L$81)/12,0)</f>
        <v>3.9283750000000004E-3</v>
      </c>
      <c r="BH660" s="1424">
        <f>+IFERROR((VLOOKUP(BH4,'Venture Assumptions'!$P$107:$Q$226,2,FALSE)+'Venture Assumptions'!$L$81)/12,0)</f>
        <v>3.9347499999999999E-3</v>
      </c>
      <c r="BI660" s="1424">
        <f>+IFERROR((VLOOKUP(BI4,'Venture Assumptions'!$P$107:$Q$226,2,FALSE)+'Venture Assumptions'!$L$81)/12,0)</f>
        <v>3.9415750000000001E-3</v>
      </c>
      <c r="BJ660" s="1424">
        <f>+IFERROR((VLOOKUP(BJ4,'Venture Assumptions'!$P$107:$Q$226,2,FALSE)+'Venture Assumptions'!$L$81)/12,0)</f>
        <v>3.947783333333333E-3</v>
      </c>
      <c r="BK660" s="1424">
        <f>+IFERROR((VLOOKUP(BK4,'Venture Assumptions'!$P$107:$Q$226,2,FALSE)+'Venture Assumptions'!$L$81)/12,0)</f>
        <v>3.9536249999999997E-3</v>
      </c>
      <c r="BL660" s="1424">
        <f>+IFERROR((VLOOKUP(BL4,'Venture Assumptions'!$P$107:$Q$226,2,FALSE)+'Venture Assumptions'!$L$81)/12,0)</f>
        <v>3.9601666666666665E-3</v>
      </c>
      <c r="BM660" s="1424">
        <f>+IFERROR((VLOOKUP(BM4,'Venture Assumptions'!$P$107:$Q$226,2,FALSE)+'Venture Assumptions'!$L$81)/12,0)</f>
        <v>3.9660583333333338E-3</v>
      </c>
      <c r="BN660" s="1424">
        <f>+IFERROR((VLOOKUP(BN4,'Venture Assumptions'!$P$107:$Q$226,2,FALSE)+'Venture Assumptions'!$L$81)/12,0)</f>
        <v>3.9716250000000003E-3</v>
      </c>
      <c r="BO660" s="1424">
        <f>+IFERROR((VLOOKUP(BO4,'Venture Assumptions'!$P$107:$Q$226,2,FALSE)+'Venture Assumptions'!$L$81)/12,0)</f>
        <v>3.9774916666666668E-3</v>
      </c>
      <c r="BP660" s="1424">
        <f>+IFERROR((VLOOKUP(BP4,'Venture Assumptions'!$P$107:$Q$226,2,FALSE)+'Venture Assumptions'!$L$81)/12,0)</f>
        <v>3.9832499999999998E-3</v>
      </c>
      <c r="BQ660" s="1424">
        <f>+IFERROR((VLOOKUP(BQ4,'Venture Assumptions'!$P$107:$Q$226,2,FALSE)+'Venture Assumptions'!$L$81)/12,0)</f>
        <v>3.9890833333333332E-3</v>
      </c>
      <c r="BR660" s="1424">
        <f>+IFERROR((VLOOKUP(BR4,'Venture Assumptions'!$P$107:$Q$226,2,FALSE)+'Venture Assumptions'!$L$81)/12,0)</f>
        <v>3.9941000000000004E-3</v>
      </c>
      <c r="BS660" s="1424">
        <f>+IFERROR((VLOOKUP(BS4,'Venture Assumptions'!$P$107:$Q$226,2,FALSE)+'Venture Assumptions'!$L$81)/12,0)</f>
        <v>3.9995666666666667E-3</v>
      </c>
      <c r="BT660" s="1424">
        <f>+IFERROR((VLOOKUP(BT4,'Venture Assumptions'!$P$107:$Q$226,2,FALSE)+'Venture Assumptions'!$L$81)/12,0)</f>
        <v>4.0044E-3</v>
      </c>
      <c r="BU660" s="1424">
        <f>+IFERROR((VLOOKUP(BU4,'Venture Assumptions'!$P$107:$Q$226,2,FALSE)+'Venture Assumptions'!$L$81)/12,0)</f>
        <v>4.0098499999999997E-3</v>
      </c>
      <c r="BV660" s="1424">
        <f>+IFERROR((VLOOKUP(BV4,'Venture Assumptions'!$P$107:$Q$226,2,FALSE)+'Venture Assumptions'!$L$81)/12,0)</f>
        <v>4.0150000000000003E-3</v>
      </c>
      <c r="BW660" s="1424">
        <f>+IFERROR((VLOOKUP(BW4,'Venture Assumptions'!$P$107:$Q$226,2,FALSE)+'Venture Assumptions'!$L$81)/12,0)</f>
        <v>4.0197333333333333E-3</v>
      </c>
      <c r="BX660" s="1424">
        <f>+IFERROR((VLOOKUP(BX4,'Venture Assumptions'!$P$107:$Q$226,2,FALSE)+'Venture Assumptions'!$L$81)/12,0)</f>
        <v>4.0248666666666674E-3</v>
      </c>
      <c r="BY660" s="1424">
        <f>+IFERROR((VLOOKUP(BY4,'Venture Assumptions'!$P$107:$Q$226,2,FALSE)+'Venture Assumptions'!$L$81)/12,0)</f>
        <v>4.0295416666666665E-3</v>
      </c>
      <c r="BZ660" s="1424">
        <f>+IFERROR((VLOOKUP(BZ4,'Venture Assumptions'!$P$107:$Q$226,2,FALSE)+'Venture Assumptions'!$L$81)/12,0)</f>
        <v>4.0344999999999999E-3</v>
      </c>
      <c r="CA660" s="1424">
        <f>+IFERROR((VLOOKUP(CA4,'Venture Assumptions'!$P$107:$Q$226,2,FALSE)+'Venture Assumptions'!$L$81)/12,0)</f>
        <v>4.0389500000000004E-3</v>
      </c>
      <c r="CB660" s="1424">
        <f>+IFERROR((VLOOKUP(CB4,'Venture Assumptions'!$P$107:$Q$226,2,FALSE)+'Venture Assumptions'!$L$81)/12,0)</f>
        <v>4.0432250000000001E-3</v>
      </c>
      <c r="CC660" s="1424">
        <f>+IFERROR((VLOOKUP(CC4,'Venture Assumptions'!$P$107:$Q$226,2,FALSE)+'Venture Assumptions'!$L$81)/12,0)</f>
        <v>4.0478499999999995E-3</v>
      </c>
      <c r="CD660" s="1424">
        <f>+IFERROR((VLOOKUP(CD4,'Venture Assumptions'!$P$107:$Q$226,2,FALSE)+'Venture Assumptions'!$L$81)/12,0)</f>
        <v>4.0517000000000001E-3</v>
      </c>
      <c r="CE660" s="1424">
        <f>+IFERROR((VLOOKUP(CE4,'Venture Assumptions'!$P$107:$Q$226,2,FALSE)+'Venture Assumptions'!$L$81)/12,0)</f>
        <v>4.0561249999999998E-3</v>
      </c>
      <c r="CF660" s="1424">
        <f>+IFERROR((VLOOKUP(CF4,'Venture Assumptions'!$P$107:$Q$226,2,FALSE)+'Venture Assumptions'!$L$81)/12,0)</f>
        <v>4.0601750000000001E-3</v>
      </c>
      <c r="CG660" s="1424">
        <f>+IFERROR((VLOOKUP(CG4,'Venture Assumptions'!$P$107:$Q$226,2,FALSE)+'Venture Assumptions'!$L$81)/12,0)</f>
        <v>4.0645500000000001E-3</v>
      </c>
      <c r="CH660" s="1424">
        <f>+IFERROR((VLOOKUP(CH4,'Venture Assumptions'!$P$107:$Q$226,2,FALSE)+'Venture Assumptions'!$L$81)/12,0)</f>
        <v>4.068741666666667E-3</v>
      </c>
      <c r="CI660" s="1424">
        <f>+IFERROR((VLOOKUP(CI4,'Venture Assumptions'!$P$107:$Q$226,2,FALSE)+'Venture Assumptions'!$L$81)/12,0)</f>
        <v>4.0734583333333334E-3</v>
      </c>
      <c r="CJ660" s="1424">
        <f>+IFERROR((VLOOKUP(CJ4,'Venture Assumptions'!$P$107:$Q$226,2,FALSE)+'Venture Assumptions'!$L$81)/12,0)</f>
        <v>4.0777666666666663E-3</v>
      </c>
      <c r="CK660" s="1424">
        <f>+IFERROR((VLOOKUP(CK4,'Venture Assumptions'!$P$107:$Q$226,2,FALSE)+'Venture Assumptions'!$L$81)/12,0)</f>
        <v>4.0816749999999999E-3</v>
      </c>
      <c r="CL660" s="1424">
        <f>+IFERROR((VLOOKUP(CL4,'Venture Assumptions'!$P$107:$Q$226,2,FALSE)+'Venture Assumptions'!$L$81)/12,0)</f>
        <v>4.0862333333333339E-3</v>
      </c>
      <c r="CM660" s="1424">
        <f>+IFERROR((VLOOKUP(CM4,'Venture Assumptions'!$P$107:$Q$226,2,FALSE)+'Venture Assumptions'!$L$81)/12,0)</f>
        <v>4.0903916666666668E-3</v>
      </c>
      <c r="CN660" s="1424">
        <f>+IFERROR((VLOOKUP(CN4,'Venture Assumptions'!$P$107:$Q$226,2,FALSE)+'Venture Assumptions'!$L$81)/12,0)</f>
        <v>4.0946416666666667E-3</v>
      </c>
      <c r="CO660" s="1424">
        <f>+IFERROR((VLOOKUP(CO4,'Venture Assumptions'!$P$107:$Q$226,2,FALSE)+'Venture Assumptions'!$L$81)/12,0)</f>
        <v>4.0990083333333335E-3</v>
      </c>
      <c r="CP660" s="1424">
        <f>+IFERROR((VLOOKUP(CP4,'Venture Assumptions'!$P$107:$Q$226,2,FALSE)+'Venture Assumptions'!$L$81)/12,0)</f>
        <v>4.1028666666666665E-3</v>
      </c>
      <c r="CQ660" s="1424">
        <f>+IFERROR((VLOOKUP(CQ4,'Venture Assumptions'!$P$107:$Q$226,2,FALSE)+'Venture Assumptions'!$L$81)/12,0)</f>
        <v>4.1073166666666669E-3</v>
      </c>
      <c r="CR660" s="1424">
        <f>+IFERROR((VLOOKUP(CR4,'Venture Assumptions'!$P$107:$Q$226,2,FALSE)+'Venture Assumptions'!$L$81)/12,0)</f>
        <v>4.1118500000000002E-3</v>
      </c>
      <c r="CS660" s="1424">
        <f>+IFERROR((VLOOKUP(CS4,'Venture Assumptions'!$P$107:$Q$226,2,FALSE)+'Venture Assumptions'!$L$81)/12,0)</f>
        <v>4.1161916666666671E-3</v>
      </c>
      <c r="CT660" s="1424">
        <f>+IFERROR((VLOOKUP(CT4,'Venture Assumptions'!$P$107:$Q$226,2,FALSE)+'Venture Assumptions'!$L$81)/12,0)</f>
        <v>4.1201083333333331E-3</v>
      </c>
      <c r="CU660" s="1424">
        <f>+IFERROR((VLOOKUP(CU4,'Venture Assumptions'!$P$107:$Q$226,2,FALSE)+'Venture Assumptions'!$L$81)/12,0)</f>
        <v>4.1246750000000004E-3</v>
      </c>
      <c r="CV660" s="1424">
        <f>+IFERROR((VLOOKUP(CV4,'Venture Assumptions'!$P$107:$Q$226,2,FALSE)+'Venture Assumptions'!$L$81)/12,0)</f>
        <v>4.1290166666666664E-3</v>
      </c>
      <c r="CW660" s="1424">
        <f>+IFERROR((VLOOKUP(CW4,'Venture Assumptions'!$P$107:$Q$226,2,FALSE)+'Venture Assumptions'!$L$81)/12,0)</f>
        <v>4.1330749999999999E-3</v>
      </c>
      <c r="CX660" s="1424">
        <f>+IFERROR((VLOOKUP(CX4,'Venture Assumptions'!$P$107:$Q$226,2,FALSE)+'Venture Assumptions'!$L$81)/12,0)</f>
        <v>4.1374833333333331E-3</v>
      </c>
      <c r="CY660" s="1424">
        <f>+IFERROR((VLOOKUP(CY4,'Venture Assumptions'!$P$107:$Q$226,2,FALSE)+'Venture Assumptions'!$L$81)/12,0)</f>
        <v>4.1416833333333333E-3</v>
      </c>
      <c r="CZ660" s="1424">
        <f>+IFERROR((VLOOKUP(CZ4,'Venture Assumptions'!$P$107:$Q$226,2,FALSE)+'Venture Assumptions'!$L$81)/12,0)</f>
        <v>4.146441666666667E-3</v>
      </c>
      <c r="DA660" s="1424">
        <f>+IFERROR((VLOOKUP(DA4,'Venture Assumptions'!$P$107:$Q$226,2,FALSE)+'Venture Assumptions'!$L$81)/12,0)</f>
        <v>4.1507499999999999E-3</v>
      </c>
      <c r="DB660" s="1424">
        <f>+IFERROR((VLOOKUP(DB4,'Venture Assumptions'!$P$107:$Q$226,2,FALSE)+'Venture Assumptions'!$L$81)/12,0)</f>
        <v>4.1544999999999993E-3</v>
      </c>
      <c r="DC660" s="1424">
        <f>+IFERROR((VLOOKUP(DC4,'Venture Assumptions'!$P$107:$Q$226,2,FALSE)+'Venture Assumptions'!$L$81)/12,0)</f>
        <v>4.1592916666666662E-3</v>
      </c>
      <c r="DD660" s="1424">
        <f>+IFERROR((VLOOKUP(DD4,'Venture Assumptions'!$P$107:$Q$226,2,FALSE)+'Venture Assumptions'!$L$81)/12,0)</f>
        <v>4.1634333333333334E-3</v>
      </c>
      <c r="DE660" s="1424">
        <f>+IFERROR((VLOOKUP(DE4,'Venture Assumptions'!$P$107:$Q$226,2,FALSE)+'Venture Assumptions'!$L$81)/12,0)</f>
        <v>4.1675666666666665E-3</v>
      </c>
      <c r="DF660" s="1424">
        <f>+IFERROR((VLOOKUP(DF4,'Venture Assumptions'!$P$107:$Q$226,2,FALSE)+'Venture Assumptions'!$L$81)/12,0)</f>
        <v>4.1723000000000003E-3</v>
      </c>
      <c r="DG660" s="1424">
        <f>+IFERROR((VLOOKUP(DG4,'Venture Assumptions'!$P$107:$Q$226,2,FALSE)+'Venture Assumptions'!$L$81)/12,0)</f>
        <v>4.1766166666666665E-3</v>
      </c>
      <c r="DH660" s="1424">
        <f>+IFERROR((VLOOKUP(DH4,'Venture Assumptions'!$P$107:$Q$226,2,FALSE)+'Venture Assumptions'!$L$81)/12,0)</f>
        <v>4.1805749999999997E-3</v>
      </c>
      <c r="DI660" s="1424">
        <f>+IFERROR((VLOOKUP(DI4,'Venture Assumptions'!$P$107:$Q$226,2,FALSE)+'Venture Assumptions'!$L$81)/12,0)</f>
        <v>4.1849583333333331E-3</v>
      </c>
      <c r="DJ660" s="1424">
        <f>+IFERROR((VLOOKUP(DJ4,'Venture Assumptions'!$P$107:$Q$226,2,FALSE)+'Venture Assumptions'!$L$81)/12,0)</f>
        <v>4.1893500000000005E-3</v>
      </c>
      <c r="DK660" s="1424">
        <f>+IFERROR((VLOOKUP(DK4,'Venture Assumptions'!$P$107:$Q$226,2,FALSE)+'Venture Assumptions'!$L$81)/12,0)</f>
        <v>4.1934166666666673E-3</v>
      </c>
      <c r="DL660" s="1424">
        <f>+IFERROR((VLOOKUP(DL4,'Venture Assumptions'!$P$107:$Q$226,2,FALSE)+'Venture Assumptions'!$L$81)/12,0)</f>
        <v>4.1978416666666671E-3</v>
      </c>
      <c r="DM660" s="1424">
        <f>+IFERROR((VLOOKUP(DM4,'Venture Assumptions'!$P$107:$Q$226,2,FALSE)+'Venture Assumptions'!$L$81)/12,0)</f>
        <v>4.2022333333333337E-3</v>
      </c>
      <c r="DN660" s="1424">
        <f>+IFERROR((VLOOKUP(DN4,'Venture Assumptions'!$P$107:$Q$226,2,FALSE)+'Venture Assumptions'!$L$81)/12,0)</f>
        <v>0</v>
      </c>
      <c r="DO660" s="1424">
        <f>+IFERROR((VLOOKUP(DO4,'Venture Assumptions'!$P$107:$Q$226,2,FALSE)+'Venture Assumptions'!$L$81)/12,0)</f>
        <v>0</v>
      </c>
      <c r="DP660" s="1424">
        <f>+IFERROR((VLOOKUP(DP4,'Venture Assumptions'!$P$107:$Q$226,2,FALSE)+'Venture Assumptions'!$L$81)/12,0)</f>
        <v>0</v>
      </c>
      <c r="DQ660" s="1424">
        <f>+IFERROR((VLOOKUP(DQ4,'Venture Assumptions'!$P$107:$Q$226,2,FALSE)+'Venture Assumptions'!$L$81)/12,0)</f>
        <v>0</v>
      </c>
      <c r="DR660" s="1424">
        <f>+IFERROR((VLOOKUP(DR4,'Venture Assumptions'!$P$107:$Q$226,2,FALSE)+'Venture Assumptions'!$L$81)/12,0)</f>
        <v>0</v>
      </c>
      <c r="DS660" s="1424">
        <f>+IFERROR((VLOOKUP(DS4,'Venture Assumptions'!$P$107:$Q$226,2,FALSE)+'Venture Assumptions'!$L$81)/12,0)</f>
        <v>0</v>
      </c>
      <c r="DT660" s="1424">
        <f>+IFERROR((VLOOKUP(DT4,'Venture Assumptions'!$P$107:$Q$226,2,FALSE)+'Venture Assumptions'!$L$81)/12,0)</f>
        <v>0</v>
      </c>
      <c r="DU660" s="1424">
        <f>+IFERROR((VLOOKUP(DU4,'Venture Assumptions'!$P$107:$Q$226,2,FALSE)+'Venture Assumptions'!$L$81)/12,0)</f>
        <v>0</v>
      </c>
      <c r="DV660" s="1424">
        <f>+IFERROR((VLOOKUP(DV4,'Venture Assumptions'!$P$107:$Q$226,2,FALSE)+'Venture Assumptions'!$L$81)/12,0)</f>
        <v>0</v>
      </c>
      <c r="DW660" s="1424">
        <f>+IFERROR((VLOOKUP(DW4,'Venture Assumptions'!$P$107:$Q$226,2,FALSE)+'Venture Assumptions'!$L$81)/12,0)</f>
        <v>0</v>
      </c>
      <c r="DX660" s="1424">
        <f>+IFERROR((VLOOKUP(DX4,'Venture Assumptions'!$P$107:$Q$226,2,FALSE)+'Venture Assumptions'!$L$81)/12,0)</f>
        <v>0</v>
      </c>
      <c r="DY660" s="1424">
        <f>+IFERROR((VLOOKUP(DY4,'Venture Assumptions'!$P$107:$Q$226,2,FALSE)+'Venture Assumptions'!$L$81)/12,0)</f>
        <v>0</v>
      </c>
      <c r="DZ660" s="1424">
        <f>+IFERROR((VLOOKUP(DZ4,'Venture Assumptions'!$P$107:$Q$226,2,FALSE)+'Venture Assumptions'!$L$81)/12,0)</f>
        <v>0</v>
      </c>
      <c r="EA660" s="1424">
        <f>+IFERROR((VLOOKUP(EA4,'Venture Assumptions'!$P$107:$Q$226,2,FALSE)+'Venture Assumptions'!$L$81)/12,0)</f>
        <v>0</v>
      </c>
      <c r="EB660" s="1424">
        <f>+IFERROR((VLOOKUP(EB4,'Venture Assumptions'!$P$107:$Q$226,2,FALSE)+'Venture Assumptions'!$L$81)/12,0)</f>
        <v>0</v>
      </c>
      <c r="EC660" s="1424">
        <f>+IFERROR((VLOOKUP(EC4,'Venture Assumptions'!$P$107:$Q$226,2,FALSE)+'Venture Assumptions'!$L$81)/12,0)</f>
        <v>0</v>
      </c>
      <c r="ED660" s="1424">
        <f>+IFERROR((VLOOKUP(ED4,'Venture Assumptions'!$P$107:$Q$226,2,FALSE)+'Venture Assumptions'!$L$81)/12,0)</f>
        <v>0</v>
      </c>
      <c r="EE660" s="1424">
        <f>+IFERROR((VLOOKUP(EE4,'Venture Assumptions'!$P$107:$Q$226,2,FALSE)+'Venture Assumptions'!$L$81)/12,0)</f>
        <v>0</v>
      </c>
      <c r="EF660" s="1424">
        <f>+IFERROR((VLOOKUP(EF4,'Venture Assumptions'!$P$107:$Q$226,2,FALSE)+'Venture Assumptions'!$L$81)/12,0)</f>
        <v>0</v>
      </c>
      <c r="EG660" s="1424">
        <f>+IFERROR((VLOOKUP(EG4,'Venture Assumptions'!$P$107:$Q$226,2,FALSE)+'Venture Assumptions'!$L$81)/12,0)</f>
        <v>0</v>
      </c>
    </row>
  </sheetData>
  <conditionalFormatting sqref="E10:EG10">
    <cfRule type="cellIs" dxfId="316" priority="3" operator="greaterThan">
      <formula>0</formula>
    </cfRule>
    <cfRule type="cellIs" dxfId="315" priority="4" operator="greaterThan">
      <formula>0</formula>
    </cfRule>
  </conditionalFormatting>
  <conditionalFormatting sqref="E11:EG11">
    <cfRule type="cellIs" dxfId="314" priority="1" operator="greaterThan">
      <formula>0</formula>
    </cfRule>
    <cfRule type="cellIs" dxfId="313" priority="2" operator="greaterThan">
      <formula>0</formula>
    </cfRule>
  </conditionalFormatting>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00741-9135-426B-B8FC-7E0537BC1449}">
  <sheetPr codeName="Sheet26">
    <tabColor rgb="FF00B0F0"/>
    <pageSetUpPr fitToPage="1"/>
  </sheetPr>
  <dimension ref="A1:BK227"/>
  <sheetViews>
    <sheetView showGridLines="0" zoomScale="90" zoomScaleNormal="90" zoomScaleSheetLayoutView="85" workbookViewId="0"/>
  </sheetViews>
  <sheetFormatPr defaultColWidth="0" defaultRowHeight="12.75" customHeight="1" outlineLevelRow="1" x14ac:dyDescent="0.25"/>
  <cols>
    <col min="1" max="1" width="2.6640625" style="1222" customWidth="1"/>
    <col min="2" max="2" width="58.44140625" style="1222" customWidth="1"/>
    <col min="3" max="3" width="2.5546875" style="1222" customWidth="1"/>
    <col min="4" max="4" width="23" style="1314" customWidth="1"/>
    <col min="5" max="5" width="2.5546875" style="1222" customWidth="1"/>
    <col min="6" max="6" width="15" style="1222" bestFit="1" customWidth="1"/>
    <col min="7" max="7" width="9.33203125" style="1222" customWidth="1"/>
    <col min="8" max="8" width="8.33203125" style="1222" customWidth="1"/>
    <col min="9" max="9" width="35.5546875" style="1222" bestFit="1" customWidth="1"/>
    <col min="10" max="13" width="9.33203125" style="1222" customWidth="1"/>
    <col min="14" max="19" width="12.6640625" style="1222" customWidth="1"/>
    <col min="20" max="56" width="9.33203125" style="1222" customWidth="1"/>
    <col min="57" max="57" width="11.33203125" style="1222" bestFit="1" customWidth="1"/>
    <col min="58" max="58" width="9.33203125" style="1222" bestFit="1" customWidth="1"/>
    <col min="59" max="60" width="9.33203125" style="1222" customWidth="1"/>
    <col min="61" max="61" width="4.44140625" style="1222" customWidth="1"/>
    <col min="62" max="62" width="2.33203125" style="1222" customWidth="1"/>
    <col min="63" max="63" width="9.33203125" style="1222" customWidth="1"/>
    <col min="64" max="16384" width="9.33203125" style="1222" hidden="1"/>
  </cols>
  <sheetData>
    <row r="1" spans="1:63" s="1212" customFormat="1" ht="12.75" customHeight="1" x14ac:dyDescent="0.3">
      <c r="A1" s="1209"/>
      <c r="B1" s="1210" t="s">
        <v>396</v>
      </c>
      <c r="C1" s="1209"/>
      <c r="D1" s="1211"/>
      <c r="E1" s="1209"/>
      <c r="F1" s="1209"/>
      <c r="G1" s="1209"/>
      <c r="H1" s="1209"/>
      <c r="I1" s="1209"/>
      <c r="J1" s="1209"/>
      <c r="K1" s="1209"/>
      <c r="L1" s="1209"/>
      <c r="M1" s="1209"/>
      <c r="N1" s="1209"/>
      <c r="O1" s="1209"/>
      <c r="P1" s="1209"/>
      <c r="Q1" s="1209"/>
      <c r="R1" s="1209"/>
      <c r="S1" s="1209"/>
      <c r="T1" s="1209"/>
      <c r="U1" s="1209"/>
      <c r="V1" s="1209"/>
      <c r="W1" s="1209"/>
      <c r="X1" s="1209"/>
      <c r="Y1" s="1209"/>
      <c r="Z1" s="1209"/>
      <c r="AA1" s="1209"/>
      <c r="AB1" s="1209"/>
      <c r="AC1" s="1209"/>
      <c r="AD1" s="1209"/>
      <c r="AE1" s="1209"/>
      <c r="AF1" s="1209"/>
      <c r="AG1" s="1209"/>
      <c r="AH1" s="1209"/>
      <c r="AI1" s="1209"/>
      <c r="AJ1" s="1209"/>
      <c r="AK1" s="1209"/>
      <c r="AL1" s="1209"/>
      <c r="AM1" s="1209"/>
      <c r="AN1" s="1209"/>
      <c r="AO1" s="1209"/>
      <c r="AP1" s="1209"/>
      <c r="AQ1" s="1209"/>
      <c r="AR1" s="1209"/>
      <c r="AS1" s="1209"/>
      <c r="AT1" s="1209"/>
      <c r="AU1" s="1209"/>
      <c r="AV1" s="1209"/>
      <c r="AW1" s="1209"/>
      <c r="AX1" s="1209"/>
      <c r="AY1" s="1209"/>
      <c r="AZ1" s="1209"/>
      <c r="BA1" s="1209"/>
      <c r="BB1" s="1209"/>
      <c r="BC1" s="1209"/>
      <c r="BD1" s="1209"/>
      <c r="BE1" s="1209"/>
      <c r="BF1" s="1209"/>
      <c r="BG1" s="1209"/>
      <c r="BH1" s="1209"/>
      <c r="BI1" s="1209"/>
      <c r="BJ1" s="1209"/>
      <c r="BK1" s="1209"/>
    </row>
    <row r="2" spans="1:63" s="1215" customFormat="1" ht="12.75" customHeight="1" x14ac:dyDescent="0.3">
      <c r="A2" s="1213"/>
      <c r="B2" s="1213"/>
      <c r="C2" s="1213"/>
      <c r="D2" s="1214"/>
      <c r="E2" s="1213"/>
      <c r="F2" s="1213"/>
      <c r="G2" s="1213"/>
      <c r="H2" s="1213"/>
      <c r="I2" s="1213"/>
      <c r="J2" s="1213"/>
      <c r="K2" s="1213"/>
      <c r="L2" s="1213"/>
      <c r="M2" s="1213"/>
      <c r="N2" s="1213"/>
      <c r="O2" s="1213"/>
      <c r="P2" s="1213"/>
      <c r="Q2" s="1213"/>
      <c r="R2" s="1213"/>
      <c r="S2" s="1213"/>
      <c r="T2" s="1213"/>
      <c r="U2" s="1213"/>
      <c r="V2" s="1213"/>
      <c r="W2" s="1213"/>
      <c r="X2" s="1213"/>
      <c r="Y2" s="1213"/>
      <c r="Z2" s="1213"/>
      <c r="AA2" s="1213"/>
      <c r="AB2" s="1213"/>
      <c r="AC2" s="1213"/>
      <c r="AD2" s="1213"/>
      <c r="AE2" s="1213"/>
      <c r="AF2" s="1213"/>
      <c r="AG2" s="1213"/>
      <c r="AH2" s="1213"/>
      <c r="AI2" s="1213"/>
      <c r="AJ2" s="1213"/>
      <c r="AK2" s="1213"/>
      <c r="AL2" s="1213"/>
      <c r="AM2" s="1213"/>
      <c r="AN2" s="1213"/>
      <c r="AO2" s="1213"/>
      <c r="AP2" s="1213"/>
      <c r="AQ2" s="1213"/>
      <c r="AR2" s="1213"/>
      <c r="AS2" s="1213"/>
      <c r="AT2" s="1213"/>
      <c r="AU2" s="1213"/>
      <c r="AV2" s="1213"/>
      <c r="AW2" s="1213"/>
      <c r="AX2" s="1213"/>
      <c r="AY2" s="1213"/>
      <c r="AZ2" s="1213"/>
      <c r="BA2" s="1213"/>
      <c r="BB2" s="1213"/>
      <c r="BC2" s="1213"/>
      <c r="BD2" s="1213"/>
      <c r="BE2" s="1213"/>
      <c r="BF2" s="1213"/>
      <c r="BG2" s="1213"/>
      <c r="BH2" s="1213"/>
      <c r="BI2" s="1213"/>
      <c r="BJ2" s="1213"/>
      <c r="BK2" s="1213"/>
    </row>
    <row r="3" spans="1:63" s="1215" customFormat="1" ht="12.75" customHeight="1" x14ac:dyDescent="0.3">
      <c r="A3" s="1213"/>
      <c r="B3" s="1216" t="s">
        <v>397</v>
      </c>
      <c r="C3" s="1217"/>
      <c r="D3" s="1218"/>
      <c r="E3" s="1217"/>
      <c r="F3" s="1217"/>
      <c r="G3" s="1217"/>
      <c r="H3" s="1219"/>
      <c r="I3" s="1217"/>
      <c r="J3" s="1217"/>
      <c r="K3" s="1217"/>
      <c r="L3" s="1217"/>
      <c r="M3" s="1217"/>
      <c r="N3" s="1217"/>
      <c r="O3" s="1217"/>
      <c r="P3" s="1217"/>
      <c r="Q3" s="1217"/>
      <c r="R3" s="1217"/>
      <c r="S3" s="1217"/>
      <c r="T3" s="1217"/>
      <c r="U3" s="1217"/>
      <c r="V3" s="1217"/>
      <c r="W3" s="1217"/>
      <c r="X3" s="1217"/>
      <c r="Y3" s="1217"/>
      <c r="Z3" s="1217"/>
      <c r="AA3" s="1217"/>
      <c r="AB3" s="1217"/>
      <c r="AC3" s="1217"/>
      <c r="AD3" s="1217"/>
      <c r="AE3" s="1217"/>
      <c r="AF3" s="1217"/>
      <c r="AG3" s="1217"/>
      <c r="AH3" s="1217"/>
      <c r="AI3" s="1217"/>
      <c r="AJ3" s="1217"/>
      <c r="AK3" s="1217"/>
      <c r="AL3" s="1217"/>
      <c r="AM3" s="1217"/>
      <c r="AN3" s="1217"/>
      <c r="AO3" s="1217"/>
      <c r="AP3" s="1217"/>
      <c r="AQ3" s="1217"/>
      <c r="AR3" s="1217"/>
      <c r="AS3" s="1217"/>
      <c r="AT3" s="1217"/>
      <c r="AU3" s="1217"/>
      <c r="AV3" s="1217"/>
      <c r="AW3" s="1217"/>
      <c r="AX3" s="1217"/>
      <c r="AY3" s="1217"/>
      <c r="AZ3" s="1217"/>
      <c r="BA3" s="1217"/>
      <c r="BB3" s="1217"/>
      <c r="BC3" s="1217"/>
      <c r="BD3" s="1217"/>
      <c r="BE3" s="1217"/>
      <c r="BF3" s="1217"/>
      <c r="BG3" s="1217"/>
      <c r="BH3" s="1217"/>
      <c r="BI3" s="1217"/>
      <c r="BJ3" s="1217"/>
      <c r="BK3" s="1217"/>
    </row>
    <row r="4" spans="1:63" ht="12.75" customHeight="1" x14ac:dyDescent="0.3">
      <c r="A4" s="1213"/>
      <c r="B4" s="1220"/>
      <c r="C4" s="1213"/>
      <c r="D4" s="1214"/>
      <c r="E4" s="1213"/>
      <c r="F4" s="1213"/>
      <c r="G4" s="1213"/>
      <c r="H4" s="1221"/>
      <c r="I4" s="1213"/>
      <c r="J4" s="1213"/>
      <c r="K4" s="1213"/>
      <c r="L4" s="1213"/>
      <c r="M4" s="1213"/>
      <c r="N4" s="1213"/>
      <c r="O4" s="1213"/>
      <c r="P4" s="1213"/>
      <c r="Q4" s="1213"/>
      <c r="R4" s="1213"/>
      <c r="S4" s="1213"/>
      <c r="T4" s="1213"/>
      <c r="U4" s="1213"/>
      <c r="V4" s="1213"/>
      <c r="W4" s="1213"/>
      <c r="X4" s="1213"/>
      <c r="Y4" s="1213"/>
      <c r="Z4" s="1213"/>
      <c r="AA4" s="1213"/>
      <c r="AB4" s="1213"/>
      <c r="AC4" s="1213"/>
      <c r="AD4" s="1213"/>
      <c r="AE4" s="1213"/>
      <c r="AF4" s="1213"/>
      <c r="AG4" s="1213"/>
      <c r="AH4" s="1213"/>
      <c r="AI4" s="1213"/>
      <c r="AJ4" s="1213"/>
      <c r="AK4" s="1213"/>
      <c r="AL4" s="1213"/>
      <c r="AM4" s="1213"/>
      <c r="AN4" s="1213"/>
      <c r="AO4" s="1213"/>
      <c r="AP4" s="1213"/>
      <c r="AQ4" s="1213"/>
      <c r="AR4" s="1213"/>
      <c r="AS4" s="1213"/>
      <c r="AT4" s="1213"/>
      <c r="AU4" s="1213"/>
      <c r="AV4" s="1213"/>
      <c r="AW4" s="1213"/>
      <c r="AX4" s="1213"/>
      <c r="AY4" s="1213"/>
      <c r="AZ4" s="1213"/>
      <c r="BA4" s="1213"/>
      <c r="BB4" s="1213"/>
      <c r="BC4" s="1213"/>
      <c r="BD4" s="1213"/>
      <c r="BE4" s="1213"/>
      <c r="BF4" s="1213"/>
      <c r="BG4" s="1213"/>
      <c r="BH4" s="1213"/>
      <c r="BI4" s="1213"/>
      <c r="BJ4" s="1213"/>
      <c r="BK4" s="1213"/>
    </row>
    <row r="5" spans="1:63" ht="12.75" customHeight="1" x14ac:dyDescent="0.3">
      <c r="A5" s="1213"/>
      <c r="B5" s="1223" t="s">
        <v>398</v>
      </c>
      <c r="C5" s="1224"/>
      <c r="D5" s="1225" t="s">
        <v>399</v>
      </c>
      <c r="E5" s="1223"/>
      <c r="F5" s="1226" t="s">
        <v>400</v>
      </c>
      <c r="G5" s="1213"/>
      <c r="H5" s="1227"/>
      <c r="I5" s="1213" t="s">
        <v>401</v>
      </c>
      <c r="J5" s="1228" t="s">
        <v>402</v>
      </c>
      <c r="K5" s="1213"/>
      <c r="L5" s="1213"/>
      <c r="M5" s="1213"/>
      <c r="N5" s="1229" t="s">
        <v>403</v>
      </c>
      <c r="O5" s="1230"/>
      <c r="P5" s="1230"/>
      <c r="Q5" s="1230"/>
      <c r="R5" s="1231"/>
      <c r="S5" s="1232" t="s">
        <v>404</v>
      </c>
      <c r="T5" s="1213"/>
      <c r="U5" s="1213"/>
      <c r="V5" s="1213"/>
      <c r="W5" s="1213"/>
      <c r="X5" s="1213"/>
      <c r="Y5" s="1213"/>
      <c r="Z5" s="1213"/>
      <c r="AA5" s="1213"/>
      <c r="AB5" s="1213"/>
      <c r="AC5" s="1213"/>
      <c r="AD5" s="1213"/>
      <c r="AE5" s="1213"/>
      <c r="AF5" s="1213"/>
      <c r="AG5" s="1213"/>
      <c r="AH5" s="1213"/>
      <c r="AI5" s="1213"/>
      <c r="AJ5" s="1213"/>
      <c r="AK5" s="1213"/>
      <c r="AL5" s="1213"/>
      <c r="AM5" s="1213"/>
      <c r="AN5" s="1213"/>
      <c r="AO5" s="1213"/>
      <c r="AP5" s="1213"/>
      <c r="AQ5" s="1213"/>
      <c r="AR5" s="1213"/>
      <c r="AS5" s="1213"/>
      <c r="AT5" s="1213"/>
      <c r="AU5" s="1213"/>
      <c r="AV5" s="1213"/>
      <c r="AW5" s="1213"/>
      <c r="AX5" s="1213"/>
      <c r="AY5" s="1213"/>
      <c r="AZ5" s="1213"/>
      <c r="BA5" s="1213"/>
      <c r="BB5" s="1213"/>
      <c r="BC5" s="1213"/>
      <c r="BD5" s="1213"/>
      <c r="BE5" s="1213"/>
      <c r="BF5" s="1213"/>
      <c r="BG5" s="1213"/>
      <c r="BH5" s="1213"/>
      <c r="BI5" s="1213"/>
      <c r="BJ5" s="1213"/>
      <c r="BK5" s="1213"/>
    </row>
    <row r="6" spans="1:63" ht="12.75" customHeight="1" x14ac:dyDescent="0.3">
      <c r="A6" s="1213"/>
      <c r="B6" s="548" t="s">
        <v>405</v>
      </c>
      <c r="C6" s="548"/>
      <c r="D6" s="1233" t="s">
        <v>406</v>
      </c>
      <c r="E6" s="548"/>
      <c r="F6" s="1234">
        <v>45169</v>
      </c>
      <c r="G6" s="1213"/>
      <c r="H6" s="1227">
        <v>1</v>
      </c>
      <c r="I6" s="1235" t="str">
        <f>'General Inputs'!B7</f>
        <v>Emblem Meridian</v>
      </c>
      <c r="J6" s="1236">
        <v>0</v>
      </c>
      <c r="K6" s="1213"/>
      <c r="L6" s="1213"/>
      <c r="M6" s="1213"/>
      <c r="N6" s="1237" t="s">
        <v>407</v>
      </c>
      <c r="O6" s="1238"/>
      <c r="P6" s="1238"/>
      <c r="Q6" s="1238"/>
      <c r="R6" s="1239">
        <f>+-'Venture Summary - Mthly'!C144</f>
        <v>77959624.342178479</v>
      </c>
      <c r="S6" s="1240">
        <f>+R6/R7</f>
        <v>304529.78258663468</v>
      </c>
      <c r="T6" s="1213"/>
      <c r="U6" s="1213"/>
      <c r="V6" s="1213"/>
      <c r="W6" s="1213"/>
      <c r="X6" s="1213"/>
      <c r="Y6" s="1213"/>
      <c r="Z6" s="1213"/>
      <c r="AA6" s="1213"/>
      <c r="AB6" s="1213"/>
      <c r="AC6" s="1213"/>
      <c r="AD6" s="1213"/>
      <c r="AE6" s="1213"/>
      <c r="AF6" s="1213"/>
      <c r="AG6" s="1213"/>
      <c r="AH6" s="1213"/>
      <c r="AI6" s="1213"/>
      <c r="AJ6" s="1213"/>
      <c r="AK6" s="1213"/>
      <c r="AL6" s="1213"/>
      <c r="AM6" s="1213"/>
      <c r="AN6" s="1213"/>
      <c r="AO6" s="1213"/>
      <c r="AP6" s="1213"/>
      <c r="AQ6" s="1213"/>
      <c r="AR6" s="1213"/>
      <c r="AS6" s="1213"/>
      <c r="AT6" s="1213"/>
      <c r="AU6" s="1213"/>
      <c r="AV6" s="1213"/>
      <c r="AW6" s="1213"/>
      <c r="AX6" s="1213"/>
      <c r="AY6" s="1213"/>
      <c r="AZ6" s="1213"/>
      <c r="BA6" s="1213"/>
      <c r="BB6" s="1213"/>
      <c r="BC6" s="1213"/>
      <c r="BD6" s="1213"/>
      <c r="BE6" s="1241"/>
      <c r="BF6" s="1213"/>
      <c r="BG6" s="1213"/>
      <c r="BH6" s="1213"/>
      <c r="BI6" s="1213"/>
      <c r="BJ6" s="1213"/>
      <c r="BK6" s="1213"/>
    </row>
    <row r="7" spans="1:63" ht="12.75" customHeight="1" x14ac:dyDescent="0.3">
      <c r="A7" s="1213"/>
      <c r="B7" s="548" t="s">
        <v>408</v>
      </c>
      <c r="C7" s="548"/>
      <c r="D7" s="1233" t="s">
        <v>409</v>
      </c>
      <c r="E7" s="548"/>
      <c r="F7" s="1242">
        <v>8</v>
      </c>
      <c r="G7" s="1213"/>
      <c r="H7" s="1227">
        <v>2</v>
      </c>
      <c r="I7" s="1243"/>
      <c r="J7" s="1244"/>
      <c r="K7" s="1213"/>
      <c r="L7" s="1213"/>
      <c r="M7" s="1213"/>
      <c r="N7" s="1245" t="s">
        <v>410</v>
      </c>
      <c r="O7" s="1246"/>
      <c r="P7" s="1246"/>
      <c r="Q7" s="1246"/>
      <c r="R7" s="1247">
        <f>+Summary!M23</f>
        <v>256</v>
      </c>
      <c r="S7" s="1246"/>
      <c r="T7" s="1213"/>
      <c r="U7" s="1213"/>
      <c r="V7" s="1213"/>
      <c r="W7" s="1213"/>
      <c r="X7" s="1213"/>
      <c r="Y7" s="1213"/>
      <c r="Z7" s="1213"/>
      <c r="AA7" s="1213"/>
      <c r="AB7" s="1213"/>
      <c r="AC7" s="1213"/>
      <c r="AD7" s="1213"/>
      <c r="AE7" s="1213"/>
      <c r="AF7" s="1213"/>
      <c r="AG7" s="1213"/>
      <c r="AH7" s="1213"/>
      <c r="AI7" s="1213"/>
      <c r="AJ7" s="1213"/>
      <c r="AK7" s="1213"/>
      <c r="AL7" s="1213"/>
      <c r="AM7" s="1213"/>
      <c r="AN7" s="1213"/>
      <c r="AO7" s="1213"/>
      <c r="AP7" s="1213"/>
      <c r="AQ7" s="1213"/>
      <c r="AR7" s="1213"/>
      <c r="AS7" s="1213"/>
      <c r="AT7" s="1213"/>
      <c r="AU7" s="1213"/>
      <c r="AV7" s="1213"/>
      <c r="AW7" s="1213"/>
      <c r="AX7" s="1213"/>
      <c r="AY7" s="1213"/>
      <c r="AZ7" s="1213"/>
      <c r="BA7" s="1213"/>
      <c r="BB7" s="1213"/>
      <c r="BC7" s="1213"/>
      <c r="BD7" s="1213"/>
      <c r="BE7" s="1241"/>
      <c r="BF7" s="1213"/>
      <c r="BG7" s="1213"/>
      <c r="BH7" s="1213"/>
      <c r="BI7" s="1213"/>
      <c r="BJ7" s="1213"/>
      <c r="BK7" s="1213"/>
    </row>
    <row r="8" spans="1:63" ht="12.75" customHeight="1" x14ac:dyDescent="0.3">
      <c r="A8" s="1213"/>
      <c r="B8" s="548" t="s">
        <v>411</v>
      </c>
      <c r="C8" s="548"/>
      <c r="D8" s="1233" t="s">
        <v>412</v>
      </c>
      <c r="E8" s="548"/>
      <c r="F8" s="1248">
        <f>EDATE(F6,(12*F7))</f>
        <v>48091</v>
      </c>
      <c r="G8" s="1213"/>
      <c r="H8" s="1227">
        <v>3</v>
      </c>
      <c r="I8" s="1243"/>
      <c r="J8" s="1244"/>
      <c r="K8" s="1213"/>
      <c r="L8" s="1213"/>
      <c r="M8" s="1213"/>
      <c r="N8" s="1245" t="s">
        <v>413</v>
      </c>
      <c r="O8" s="1246"/>
      <c r="P8" s="1246"/>
      <c r="Q8" s="1246"/>
      <c r="R8" s="1249">
        <f>+(SUMPRODUCT('Venture Summary - Mthly'!E9:EG9,'Venture Summary - Mthly'!E189:EG189)+SUMPRODUCT('Venture Summary - Mthly'!E9:EG9,'Venture Summary - Mthly'!E193:EG193))</f>
        <v>5734361.1907627545</v>
      </c>
      <c r="S8" s="1246"/>
      <c r="T8" s="1213"/>
      <c r="U8" s="1213"/>
      <c r="V8" s="1213"/>
      <c r="W8" s="1213"/>
      <c r="X8" s="1213"/>
      <c r="Y8" s="1213"/>
      <c r="Z8" s="1213"/>
      <c r="AA8" s="1213"/>
      <c r="AB8" s="1213"/>
      <c r="AC8" s="1213"/>
      <c r="AD8" s="1213"/>
      <c r="AE8" s="1213"/>
      <c r="AF8" s="1213"/>
      <c r="AG8" s="1213"/>
      <c r="AH8" s="1213"/>
      <c r="AI8" s="1213"/>
      <c r="AJ8" s="1213"/>
      <c r="AK8" s="1213"/>
      <c r="AL8" s="1213"/>
      <c r="AM8" s="1213"/>
      <c r="AN8" s="1213"/>
      <c r="AO8" s="1213"/>
      <c r="AP8" s="1213"/>
      <c r="AQ8" s="1213"/>
      <c r="AR8" s="1213"/>
      <c r="AS8" s="1213"/>
      <c r="AT8" s="1213"/>
      <c r="AU8" s="1213"/>
      <c r="AV8" s="1213"/>
      <c r="AW8" s="1213"/>
      <c r="AX8" s="1213"/>
      <c r="AY8" s="1213"/>
      <c r="AZ8" s="1213"/>
      <c r="BA8" s="1213"/>
      <c r="BB8" s="1213"/>
      <c r="BC8" s="1213"/>
      <c r="BD8" s="1213"/>
      <c r="BE8" s="1241"/>
      <c r="BF8" s="1213"/>
      <c r="BG8" s="1213"/>
      <c r="BH8" s="1213"/>
      <c r="BI8" s="1213"/>
      <c r="BJ8" s="1213"/>
      <c r="BK8" s="1213"/>
    </row>
    <row r="9" spans="1:63" ht="12.75" customHeight="1" x14ac:dyDescent="0.3">
      <c r="A9" s="1213"/>
      <c r="B9" s="1213"/>
      <c r="C9" s="1213"/>
      <c r="D9" s="1214"/>
      <c r="E9" s="1213"/>
      <c r="F9" s="1250"/>
      <c r="G9" s="1213"/>
      <c r="H9" s="1227">
        <v>4</v>
      </c>
      <c r="I9" s="1243"/>
      <c r="J9" s="1244"/>
      <c r="K9" s="1213"/>
      <c r="L9" s="1213"/>
      <c r="M9" s="1213"/>
      <c r="N9" s="1245" t="s">
        <v>414</v>
      </c>
      <c r="O9" s="1246"/>
      <c r="P9" s="1246"/>
      <c r="Q9" s="1246"/>
      <c r="R9" s="1251">
        <f ca="1">+(Summary!D49+Summary!D50)/'Development Inputs'!K126</f>
        <v>6.6364697248300075E-2</v>
      </c>
      <c r="S9" s="1246"/>
      <c r="T9" s="1213"/>
      <c r="U9" s="1213"/>
      <c r="V9" s="1213"/>
      <c r="W9" s="1213"/>
      <c r="X9" s="1213"/>
      <c r="Y9" s="1213"/>
      <c r="Z9" s="1213"/>
      <c r="AA9" s="1213"/>
      <c r="AB9" s="1213"/>
      <c r="AC9" s="1213"/>
      <c r="AD9" s="1213"/>
      <c r="AE9" s="1213"/>
      <c r="AF9" s="1213"/>
      <c r="AG9" s="1213"/>
      <c r="AH9" s="1213"/>
      <c r="AI9" s="1213"/>
      <c r="AJ9" s="1213"/>
      <c r="AK9" s="1213"/>
      <c r="AL9" s="1213"/>
      <c r="AM9" s="1213"/>
      <c r="AN9" s="1213"/>
      <c r="AO9" s="1213"/>
      <c r="AP9" s="1213"/>
      <c r="AQ9" s="1213"/>
      <c r="AR9" s="1213"/>
      <c r="AS9" s="1213"/>
      <c r="AT9" s="1213"/>
      <c r="AU9" s="1213"/>
      <c r="AV9" s="1213"/>
      <c r="AW9" s="1213"/>
      <c r="AX9" s="1213"/>
      <c r="AY9" s="1213"/>
      <c r="AZ9" s="1213"/>
      <c r="BA9" s="1213"/>
      <c r="BB9" s="1213"/>
      <c r="BC9" s="1213"/>
      <c r="BD9" s="1213"/>
      <c r="BE9" s="1241"/>
      <c r="BF9" s="1213"/>
      <c r="BG9" s="1213"/>
      <c r="BH9" s="1213"/>
      <c r="BI9" s="1213"/>
      <c r="BJ9" s="1213"/>
      <c r="BK9" s="1213"/>
    </row>
    <row r="10" spans="1:63" ht="12.75" customHeight="1" x14ac:dyDescent="0.3">
      <c r="A10" s="1213"/>
      <c r="B10" s="1252" t="s">
        <v>415</v>
      </c>
      <c r="C10" s="1253"/>
      <c r="D10" s="1225" t="s">
        <v>399</v>
      </c>
      <c r="E10" s="1223"/>
      <c r="F10" s="1226" t="s">
        <v>400</v>
      </c>
      <c r="G10" s="1213"/>
      <c r="H10" s="1227">
        <v>5</v>
      </c>
      <c r="I10" s="1243"/>
      <c r="J10" s="1244"/>
      <c r="K10" s="1213"/>
      <c r="L10" s="1213"/>
      <c r="M10" s="1213"/>
      <c r="N10" s="1245" t="s">
        <v>416</v>
      </c>
      <c r="O10" s="1246"/>
      <c r="P10" s="1246"/>
      <c r="Q10" s="1246"/>
      <c r="R10" s="1251">
        <f>+R8/R6</f>
        <v>7.3555526198967255E-2</v>
      </c>
      <c r="S10" s="1246"/>
      <c r="T10" s="1213"/>
      <c r="U10" s="1213"/>
      <c r="V10" s="1213"/>
      <c r="W10" s="1213"/>
      <c r="X10" s="1213"/>
      <c r="Y10" s="1213"/>
      <c r="Z10" s="1213"/>
      <c r="AA10" s="1213"/>
      <c r="AB10" s="1213"/>
      <c r="AC10" s="1213"/>
      <c r="AD10" s="1213"/>
      <c r="AE10" s="1213"/>
      <c r="AF10" s="1213"/>
      <c r="AG10" s="1213"/>
      <c r="AH10" s="1213"/>
      <c r="AI10" s="1213"/>
      <c r="AJ10" s="1213"/>
      <c r="AK10" s="1213"/>
      <c r="AL10" s="1213"/>
      <c r="AM10" s="1213"/>
      <c r="AN10" s="1213"/>
      <c r="AO10" s="1213"/>
      <c r="AP10" s="1213"/>
      <c r="AQ10" s="1213"/>
      <c r="AR10" s="1213"/>
      <c r="AS10" s="1213"/>
      <c r="AT10" s="1213"/>
      <c r="AU10" s="1213"/>
      <c r="AV10" s="1213"/>
      <c r="AW10" s="1213"/>
      <c r="AX10" s="1213"/>
      <c r="AY10" s="1213"/>
      <c r="AZ10" s="1213"/>
      <c r="BA10" s="1213"/>
      <c r="BB10" s="1213"/>
      <c r="BC10" s="1213"/>
      <c r="BD10" s="1213"/>
      <c r="BE10" s="1241"/>
      <c r="BF10" s="1213"/>
      <c r="BG10" s="1213"/>
      <c r="BH10" s="1213"/>
      <c r="BI10" s="1213"/>
      <c r="BJ10" s="1213"/>
      <c r="BK10" s="1213"/>
    </row>
    <row r="11" spans="1:63" ht="12.75" customHeight="1" x14ac:dyDescent="0.3">
      <c r="A11" s="1213"/>
      <c r="B11" s="1254" t="s">
        <v>417</v>
      </c>
      <c r="C11" s="548"/>
      <c r="D11" s="1233" t="s">
        <v>418</v>
      </c>
      <c r="E11" s="548"/>
      <c r="F11" s="1255">
        <f>1-F12</f>
        <v>0.249</v>
      </c>
      <c r="G11" s="1213"/>
      <c r="H11" s="1227">
        <v>6</v>
      </c>
      <c r="I11" s="1243"/>
      <c r="J11" s="1244"/>
      <c r="K11" s="1213"/>
      <c r="L11" s="1213"/>
      <c r="M11" s="1213"/>
      <c r="N11" s="1245" t="s">
        <v>419</v>
      </c>
      <c r="O11" s="1246"/>
      <c r="P11" s="1246"/>
      <c r="Q11" s="1246"/>
      <c r="R11" s="1251">
        <f>+'Venture Summary - Mthly'!C58</f>
        <v>0.28323593735694885</v>
      </c>
      <c r="S11" s="1246"/>
      <c r="T11" s="1213"/>
      <c r="U11" s="1213"/>
      <c r="V11" s="1213"/>
      <c r="W11" s="1213"/>
      <c r="X11" s="1213"/>
      <c r="Y11" s="1213"/>
      <c r="Z11" s="1213"/>
      <c r="AA11" s="1213"/>
      <c r="AB11" s="1213"/>
      <c r="AC11" s="1213"/>
      <c r="AD11" s="1213"/>
      <c r="AE11" s="1213"/>
      <c r="AF11" s="1213"/>
      <c r="AG11" s="1213"/>
      <c r="AH11" s="1213"/>
      <c r="AI11" s="1213"/>
      <c r="AJ11" s="1213"/>
      <c r="AK11" s="1213"/>
      <c r="AL11" s="1213"/>
      <c r="AM11" s="1213"/>
      <c r="AN11" s="1213"/>
      <c r="AO11" s="1213"/>
      <c r="AP11" s="1213"/>
      <c r="AQ11" s="1213"/>
      <c r="AR11" s="1213"/>
      <c r="AS11" s="1213"/>
      <c r="AT11" s="1213"/>
      <c r="AU11" s="1213"/>
      <c r="AV11" s="1213"/>
      <c r="AW11" s="1213"/>
      <c r="AX11" s="1213"/>
      <c r="AY11" s="1213"/>
      <c r="AZ11" s="1213"/>
      <c r="BA11" s="1213"/>
      <c r="BB11" s="1213"/>
      <c r="BC11" s="1213"/>
      <c r="BD11" s="1213"/>
      <c r="BE11" s="1241"/>
      <c r="BF11" s="1213"/>
      <c r="BG11" s="1213"/>
      <c r="BH11" s="1213"/>
      <c r="BI11" s="1213"/>
      <c r="BJ11" s="1213"/>
      <c r="BK11" s="1213"/>
    </row>
    <row r="12" spans="1:63" ht="12.75" customHeight="1" x14ac:dyDescent="0.3">
      <c r="A12" s="1213"/>
      <c r="B12" s="1254" t="s">
        <v>420</v>
      </c>
      <c r="C12" s="548"/>
      <c r="D12" s="1233" t="s">
        <v>418</v>
      </c>
      <c r="E12" s="548"/>
      <c r="F12" s="1256">
        <v>0.751</v>
      </c>
      <c r="G12" s="1213"/>
      <c r="H12" s="1227">
        <v>7</v>
      </c>
      <c r="I12" s="1243"/>
      <c r="J12" s="1244"/>
      <c r="K12" s="1213"/>
      <c r="L12" s="1213"/>
      <c r="M12" s="1213"/>
      <c r="N12" s="1245" t="s">
        <v>421</v>
      </c>
      <c r="O12" s="1246"/>
      <c r="P12" s="1246"/>
      <c r="Q12" s="1246"/>
      <c r="R12" s="1251">
        <f>+'Venture Summary - Mthly'!C132</f>
        <v>0.14702246785163881</v>
      </c>
      <c r="S12" s="1246"/>
      <c r="T12" s="1213"/>
      <c r="U12" s="1213"/>
      <c r="V12" s="1213"/>
      <c r="W12" s="1213"/>
      <c r="X12" s="1213"/>
      <c r="Y12" s="1213"/>
      <c r="Z12" s="1213"/>
      <c r="AA12" s="1213"/>
      <c r="AB12" s="1213"/>
      <c r="AC12" s="1213"/>
      <c r="AD12" s="1213"/>
      <c r="AE12" s="1213"/>
      <c r="AF12" s="1213"/>
      <c r="AG12" s="1213"/>
      <c r="AH12" s="1213"/>
      <c r="AI12" s="1213"/>
      <c r="AJ12" s="1213"/>
      <c r="AK12" s="1213"/>
      <c r="AL12" s="1213"/>
      <c r="AM12" s="1213"/>
      <c r="AN12" s="1213"/>
      <c r="AO12" s="1213"/>
      <c r="AP12" s="1213"/>
      <c r="AQ12" s="1213"/>
      <c r="AR12" s="1213"/>
      <c r="AS12" s="1213"/>
      <c r="AT12" s="1213"/>
      <c r="AU12" s="1213"/>
      <c r="AV12" s="1213"/>
      <c r="AW12" s="1213"/>
      <c r="AX12" s="1213"/>
      <c r="AY12" s="1213"/>
      <c r="AZ12" s="1213"/>
      <c r="BA12" s="1213"/>
      <c r="BB12" s="1213"/>
      <c r="BC12" s="1213"/>
      <c r="BD12" s="1213"/>
      <c r="BE12" s="1241"/>
      <c r="BF12" s="1213"/>
      <c r="BG12" s="1213"/>
      <c r="BH12" s="1213"/>
      <c r="BI12" s="1213"/>
      <c r="BJ12" s="1213"/>
      <c r="BK12" s="1213"/>
    </row>
    <row r="13" spans="1:63" ht="12.75" customHeight="1" x14ac:dyDescent="0.3">
      <c r="A13" s="1213"/>
      <c r="B13" s="1257" t="s">
        <v>422</v>
      </c>
      <c r="C13" s="1257"/>
      <c r="D13" s="1258" t="s">
        <v>418</v>
      </c>
      <c r="E13" s="1257"/>
      <c r="F13" s="1255">
        <f>SUM(F11:F12)</f>
        <v>1</v>
      </c>
      <c r="G13" s="1213"/>
      <c r="H13" s="1227">
        <v>8</v>
      </c>
      <c r="I13" s="1243"/>
      <c r="J13" s="1244"/>
      <c r="K13" s="1213"/>
      <c r="L13" s="1213"/>
      <c r="M13" s="1213"/>
      <c r="N13" s="1245" t="s">
        <v>423</v>
      </c>
      <c r="O13" s="1246"/>
      <c r="P13" s="1246"/>
      <c r="Q13" s="1246"/>
      <c r="R13" s="1251">
        <f>+'Venture Summary - Mthly'!C35</f>
        <v>0.20314757227897645</v>
      </c>
      <c r="S13" s="1246"/>
      <c r="T13" s="1213"/>
      <c r="U13" s="1213"/>
      <c r="V13" s="1213"/>
      <c r="W13" s="1213"/>
      <c r="X13" s="1213"/>
      <c r="Y13" s="1213"/>
      <c r="Z13" s="1213"/>
      <c r="AA13" s="1213"/>
      <c r="AB13" s="1213"/>
      <c r="AC13" s="1213"/>
      <c r="AD13" s="1213"/>
      <c r="AE13" s="1213"/>
      <c r="AF13" s="1213"/>
      <c r="AG13" s="1213"/>
      <c r="AH13" s="1213"/>
      <c r="AI13" s="1213"/>
      <c r="AJ13" s="1213"/>
      <c r="AK13" s="1213"/>
      <c r="AL13" s="1213"/>
      <c r="AM13" s="1213"/>
      <c r="AN13" s="1213"/>
      <c r="AO13" s="1213"/>
      <c r="AP13" s="1213"/>
      <c r="AQ13" s="1213"/>
      <c r="AR13" s="1213"/>
      <c r="AS13" s="1213"/>
      <c r="AT13" s="1213"/>
      <c r="AU13" s="1213"/>
      <c r="AV13" s="1213"/>
      <c r="AW13" s="1213"/>
      <c r="AX13" s="1213"/>
      <c r="AY13" s="1213"/>
      <c r="AZ13" s="1213"/>
      <c r="BA13" s="1213"/>
      <c r="BB13" s="1213"/>
      <c r="BC13" s="1213"/>
      <c r="BD13" s="1213"/>
      <c r="BE13" s="1241"/>
      <c r="BF13" s="1213"/>
      <c r="BG13" s="1213"/>
      <c r="BH13" s="1213"/>
      <c r="BI13" s="1213"/>
      <c r="BJ13" s="1213"/>
      <c r="BK13" s="1213"/>
    </row>
    <row r="14" spans="1:63" ht="12.75" customHeight="1" x14ac:dyDescent="0.3">
      <c r="A14" s="1213"/>
      <c r="B14" s="1257" t="s">
        <v>424</v>
      </c>
      <c r="C14" s="1257"/>
      <c r="D14" s="1258" t="s">
        <v>425</v>
      </c>
      <c r="E14" s="1257"/>
      <c r="F14" s="1259">
        <v>1000000000</v>
      </c>
      <c r="G14" s="1213"/>
      <c r="H14" s="1227">
        <v>9</v>
      </c>
      <c r="I14" s="1243"/>
      <c r="J14" s="1244"/>
      <c r="K14" s="1213"/>
      <c r="L14" s="1213"/>
      <c r="M14" s="1213"/>
      <c r="N14" s="1245" t="s">
        <v>426</v>
      </c>
      <c r="O14" s="1246"/>
      <c r="P14" s="1246"/>
      <c r="Q14" s="1246"/>
      <c r="R14" s="1251">
        <f>+'Venture Summary - Mthly'!C341</f>
        <v>0.15838249325752266</v>
      </c>
      <c r="S14" s="1246"/>
      <c r="T14" s="1213"/>
      <c r="U14" s="1213"/>
      <c r="V14" s="1213"/>
      <c r="W14" s="1213"/>
      <c r="X14" s="1213"/>
      <c r="Y14" s="1213"/>
      <c r="Z14" s="1213"/>
      <c r="AA14" s="1213"/>
      <c r="AB14" s="1213"/>
      <c r="AC14" s="1213"/>
      <c r="AD14" s="1213"/>
      <c r="AE14" s="1213"/>
      <c r="AF14" s="1213"/>
      <c r="AG14" s="1213"/>
      <c r="AH14" s="1213"/>
      <c r="AI14" s="1213"/>
      <c r="AJ14" s="1213"/>
      <c r="AK14" s="1213"/>
      <c r="AL14" s="1213"/>
      <c r="AM14" s="1213"/>
      <c r="AN14" s="1213"/>
      <c r="AO14" s="1213"/>
      <c r="AP14" s="1213"/>
      <c r="AQ14" s="1213"/>
      <c r="AR14" s="1213"/>
      <c r="AS14" s="1213"/>
      <c r="AT14" s="1213"/>
      <c r="AU14" s="1213"/>
      <c r="AV14" s="1213"/>
      <c r="AW14" s="1213"/>
      <c r="AX14" s="1213"/>
      <c r="AY14" s="1213"/>
      <c r="AZ14" s="1213"/>
      <c r="BA14" s="1213"/>
      <c r="BB14" s="1213"/>
      <c r="BC14" s="1213"/>
      <c r="BD14" s="1213"/>
      <c r="BE14" s="1241"/>
      <c r="BF14" s="1213"/>
      <c r="BG14" s="1213"/>
      <c r="BH14" s="1213"/>
      <c r="BI14" s="1213"/>
      <c r="BJ14" s="1213"/>
      <c r="BK14" s="1213"/>
    </row>
    <row r="15" spans="1:63" ht="12.75" customHeight="1" x14ac:dyDescent="0.3">
      <c r="A15" s="1213"/>
      <c r="B15" s="1213"/>
      <c r="C15" s="1213"/>
      <c r="D15" s="1214"/>
      <c r="E15" s="1213"/>
      <c r="F15" s="1260"/>
      <c r="G15" s="1213"/>
      <c r="H15" s="1227">
        <v>10</v>
      </c>
      <c r="I15" s="1243"/>
      <c r="J15" s="1244"/>
      <c r="K15" s="1213"/>
      <c r="L15" s="1213"/>
      <c r="M15" s="1213"/>
      <c r="N15" s="1245" t="s">
        <v>427</v>
      </c>
      <c r="O15" s="1246"/>
      <c r="P15" s="1246"/>
      <c r="Q15" s="1246"/>
      <c r="R15" s="1261">
        <f>+'Venture Summary - Mthly'!C355</f>
        <v>2.3311944189841349</v>
      </c>
      <c r="S15" s="1246"/>
      <c r="T15" s="1213"/>
      <c r="U15" s="1213"/>
      <c r="V15" s="1213"/>
      <c r="W15" s="1213"/>
      <c r="X15" s="1213"/>
      <c r="Y15" s="1213"/>
      <c r="Z15" s="1213"/>
      <c r="AA15" s="1213"/>
      <c r="AB15" s="1213"/>
      <c r="AC15" s="1213"/>
      <c r="AD15" s="1213"/>
      <c r="AE15" s="1213"/>
      <c r="AF15" s="1213"/>
      <c r="AG15" s="1213"/>
      <c r="AH15" s="1213"/>
      <c r="AI15" s="1213"/>
      <c r="AJ15" s="1213"/>
      <c r="AK15" s="1213"/>
      <c r="AL15" s="1213"/>
      <c r="AM15" s="1213"/>
      <c r="AN15" s="1213"/>
      <c r="AO15" s="1213"/>
      <c r="AP15" s="1213"/>
      <c r="AQ15" s="1213"/>
      <c r="AR15" s="1213"/>
      <c r="AS15" s="1213"/>
      <c r="AT15" s="1213"/>
      <c r="AU15" s="1213"/>
      <c r="AV15" s="1213"/>
      <c r="AW15" s="1213"/>
      <c r="AX15" s="1213"/>
      <c r="AY15" s="1213"/>
      <c r="AZ15" s="1213"/>
      <c r="BA15" s="1213"/>
      <c r="BB15" s="1213"/>
      <c r="BC15" s="1213"/>
      <c r="BD15" s="1213"/>
      <c r="BE15" s="1213"/>
      <c r="BF15" s="1213"/>
      <c r="BG15" s="1213"/>
      <c r="BH15" s="1213"/>
      <c r="BI15" s="1213"/>
      <c r="BJ15" s="1213"/>
      <c r="BK15" s="1213"/>
    </row>
    <row r="16" spans="1:63" ht="12.75" customHeight="1" x14ac:dyDescent="0.3">
      <c r="A16" s="1213"/>
      <c r="B16" s="1252" t="s">
        <v>428</v>
      </c>
      <c r="C16" s="1253"/>
      <c r="D16" s="1225" t="s">
        <v>399</v>
      </c>
      <c r="E16" s="1223"/>
      <c r="F16" s="1226" t="s">
        <v>400</v>
      </c>
      <c r="G16" s="1213"/>
      <c r="H16" s="1227">
        <v>11</v>
      </c>
      <c r="I16" s="1243"/>
      <c r="J16" s="1244"/>
      <c r="K16" s="1213"/>
      <c r="L16" s="1213"/>
      <c r="M16" s="1213"/>
      <c r="N16" s="1245" t="s">
        <v>429</v>
      </c>
      <c r="O16" s="1246"/>
      <c r="P16" s="1246"/>
      <c r="Q16" s="1246"/>
      <c r="R16" s="1262"/>
      <c r="S16" s="1246"/>
      <c r="T16" s="1213"/>
      <c r="U16" s="1213"/>
      <c r="V16" s="1213"/>
      <c r="W16" s="1213"/>
      <c r="X16" s="1213"/>
      <c r="Y16" s="1213"/>
      <c r="Z16" s="1213"/>
      <c r="AA16" s="1213"/>
      <c r="AB16" s="1213"/>
      <c r="AC16" s="1213"/>
      <c r="AD16" s="1213"/>
      <c r="AE16" s="1213"/>
      <c r="AF16" s="1213"/>
      <c r="AG16" s="1213"/>
      <c r="AH16" s="1213"/>
      <c r="AI16" s="1213"/>
      <c r="AJ16" s="1213"/>
      <c r="AK16" s="1213"/>
      <c r="AL16" s="1213"/>
      <c r="AM16" s="1213"/>
      <c r="AN16" s="1213"/>
      <c r="AO16" s="1213"/>
      <c r="AP16" s="1213"/>
      <c r="AQ16" s="1213"/>
      <c r="AR16" s="1213"/>
      <c r="AS16" s="1213"/>
      <c r="AT16" s="1213"/>
      <c r="AU16" s="1213"/>
      <c r="AV16" s="1213"/>
      <c r="AW16" s="1213"/>
      <c r="AX16" s="1213"/>
      <c r="AY16" s="1213"/>
      <c r="AZ16" s="1213"/>
      <c r="BA16" s="1213"/>
      <c r="BB16" s="1213"/>
      <c r="BC16" s="1213"/>
      <c r="BD16" s="1213"/>
      <c r="BE16" s="1213"/>
      <c r="BF16" s="1213"/>
      <c r="BG16" s="1213"/>
      <c r="BH16" s="1213"/>
      <c r="BI16" s="1213"/>
      <c r="BJ16" s="1213"/>
      <c r="BK16" s="1213"/>
    </row>
    <row r="17" spans="1:63" ht="12.75" customHeight="1" x14ac:dyDescent="0.3">
      <c r="A17" s="1213"/>
      <c r="B17" s="1213" t="s">
        <v>430</v>
      </c>
      <c r="C17" s="1213"/>
      <c r="D17" s="1214" t="s">
        <v>431</v>
      </c>
      <c r="E17" s="1213"/>
      <c r="F17" s="1263">
        <v>4.0000000000000001E-3</v>
      </c>
      <c r="G17" s="1213"/>
      <c r="H17" s="1227">
        <v>12</v>
      </c>
      <c r="I17" s="1243"/>
      <c r="J17" s="1244"/>
      <c r="K17" s="1213"/>
      <c r="L17" s="1213"/>
      <c r="M17" s="1213"/>
      <c r="N17" s="1264" t="s">
        <v>432</v>
      </c>
      <c r="O17" s="1265"/>
      <c r="P17" s="1265"/>
      <c r="Q17" s="1265"/>
      <c r="R17" s="1266">
        <f>+Summary!S15</f>
        <v>5.5E-2</v>
      </c>
      <c r="S17" s="1246"/>
      <c r="T17" s="1213"/>
      <c r="U17" s="1213"/>
      <c r="V17" s="1213"/>
      <c r="W17" s="1213"/>
      <c r="X17" s="1213"/>
      <c r="Y17" s="1213"/>
      <c r="Z17" s="1213"/>
      <c r="AA17" s="1213"/>
      <c r="AB17" s="1213"/>
      <c r="AC17" s="1213"/>
      <c r="AD17" s="1213"/>
      <c r="AE17" s="1213"/>
      <c r="AF17" s="1213"/>
      <c r="AG17" s="1213"/>
      <c r="AH17" s="1213"/>
      <c r="AI17" s="1213"/>
      <c r="AJ17" s="1213"/>
      <c r="AK17" s="1213"/>
      <c r="AL17" s="1213"/>
      <c r="AM17" s="1213"/>
      <c r="AN17" s="1213"/>
      <c r="AO17" s="1213"/>
      <c r="AP17" s="1213"/>
      <c r="AQ17" s="1213"/>
      <c r="AR17" s="1213"/>
      <c r="AS17" s="1213"/>
      <c r="AT17" s="1213"/>
      <c r="AU17" s="1213"/>
      <c r="AV17" s="1213"/>
      <c r="AW17" s="1213"/>
      <c r="AX17" s="1213"/>
      <c r="AY17" s="1213"/>
      <c r="AZ17" s="1213"/>
      <c r="BA17" s="1213"/>
      <c r="BB17" s="1213"/>
      <c r="BC17" s="1213"/>
      <c r="BD17" s="1213"/>
      <c r="BE17" s="1213"/>
      <c r="BF17" s="1213"/>
      <c r="BG17" s="1213"/>
      <c r="BH17" s="1213"/>
      <c r="BI17" s="1213"/>
      <c r="BJ17" s="1213"/>
      <c r="BK17" s="1213"/>
    </row>
    <row r="18" spans="1:63" ht="12.75" customHeight="1" x14ac:dyDescent="0.3">
      <c r="A18" s="1213"/>
      <c r="B18" s="1213" t="s">
        <v>433</v>
      </c>
      <c r="C18" s="1213"/>
      <c r="D18" s="1214" t="s">
        <v>434</v>
      </c>
      <c r="E18" s="1213"/>
      <c r="F18" s="1263">
        <v>0</v>
      </c>
      <c r="G18" s="1213"/>
      <c r="H18" s="1227">
        <v>13</v>
      </c>
      <c r="I18" s="1243"/>
      <c r="J18" s="1244"/>
      <c r="K18" s="1213"/>
      <c r="L18" s="1213"/>
      <c r="M18" s="1213"/>
      <c r="N18" s="1246"/>
      <c r="O18" s="1246"/>
      <c r="P18" s="1246"/>
      <c r="Q18" s="1246"/>
      <c r="R18" s="1246"/>
      <c r="S18" s="1246"/>
      <c r="T18" s="1213"/>
      <c r="U18" s="1213"/>
      <c r="V18" s="1213"/>
      <c r="W18" s="1213"/>
      <c r="X18" s="1213"/>
      <c r="Y18" s="1213"/>
      <c r="Z18" s="1213"/>
      <c r="AA18" s="1213"/>
      <c r="AB18" s="1213"/>
      <c r="AC18" s="1213"/>
      <c r="AD18" s="1213"/>
      <c r="AE18" s="1213"/>
      <c r="AF18" s="1213"/>
      <c r="AG18" s="1213"/>
      <c r="AH18" s="1213"/>
      <c r="AI18" s="1213"/>
      <c r="AJ18" s="1213"/>
      <c r="AK18" s="1213"/>
      <c r="AL18" s="1213"/>
      <c r="AM18" s="1213"/>
      <c r="AN18" s="1213"/>
      <c r="AO18" s="1213"/>
      <c r="AP18" s="1213"/>
      <c r="AQ18" s="1213"/>
      <c r="AR18" s="1213"/>
      <c r="AS18" s="1213"/>
      <c r="AT18" s="1213"/>
      <c r="AU18" s="1213"/>
      <c r="AV18" s="1213"/>
      <c r="AW18" s="1213"/>
      <c r="AX18" s="1213"/>
      <c r="AY18" s="1213"/>
      <c r="AZ18" s="1213"/>
      <c r="BA18" s="1213"/>
      <c r="BB18" s="1213"/>
      <c r="BC18" s="1213"/>
      <c r="BD18" s="1213"/>
      <c r="BE18" s="1213"/>
      <c r="BF18" s="1213"/>
      <c r="BG18" s="1213"/>
      <c r="BH18" s="1213"/>
      <c r="BI18" s="1213"/>
      <c r="BJ18" s="1213"/>
      <c r="BK18" s="1213"/>
    </row>
    <row r="19" spans="1:63" ht="12.75" customHeight="1" x14ac:dyDescent="0.3">
      <c r="A19" s="1213"/>
      <c r="B19" s="1213" t="s">
        <v>433</v>
      </c>
      <c r="C19" s="1213"/>
      <c r="D19" s="1214" t="s">
        <v>425</v>
      </c>
      <c r="E19" s="1213"/>
      <c r="F19" s="1267">
        <f>F18*F14*F11</f>
        <v>0</v>
      </c>
      <c r="G19" s="1213"/>
      <c r="H19" s="1227">
        <v>14</v>
      </c>
      <c r="I19" s="1243"/>
      <c r="J19" s="1244"/>
      <c r="K19" s="1213"/>
      <c r="L19" s="1213"/>
      <c r="M19" s="1213"/>
      <c r="N19" s="1237" t="s">
        <v>435</v>
      </c>
      <c r="O19" s="1238"/>
      <c r="P19" s="1238"/>
      <c r="Q19" s="1238"/>
      <c r="R19" s="1268"/>
      <c r="S19" s="1246"/>
      <c r="T19" s="1213"/>
      <c r="U19" s="1213"/>
      <c r="V19" s="1213"/>
      <c r="W19" s="1213"/>
      <c r="X19" s="1213"/>
      <c r="Y19" s="1213"/>
      <c r="Z19" s="1213"/>
      <c r="AA19" s="1213"/>
      <c r="AB19" s="1213"/>
      <c r="AC19" s="1213"/>
      <c r="AD19" s="1213"/>
      <c r="AE19" s="1213"/>
      <c r="AF19" s="1213"/>
      <c r="AG19" s="1213"/>
      <c r="AH19" s="1213"/>
      <c r="AI19" s="1213"/>
      <c r="AJ19" s="1213"/>
      <c r="AK19" s="1213"/>
      <c r="AL19" s="1213"/>
      <c r="AM19" s="1213"/>
      <c r="AN19" s="1213"/>
      <c r="AO19" s="1213"/>
      <c r="AP19" s="1213"/>
      <c r="AQ19" s="1213"/>
      <c r="AR19" s="1213"/>
      <c r="AS19" s="1213"/>
      <c r="AT19" s="1213"/>
      <c r="AU19" s="1213"/>
      <c r="AV19" s="1213"/>
      <c r="AW19" s="1213"/>
      <c r="AX19" s="1213"/>
      <c r="AY19" s="1213"/>
      <c r="AZ19" s="1213"/>
      <c r="BA19" s="1213"/>
      <c r="BB19" s="1213"/>
      <c r="BC19" s="1213"/>
      <c r="BD19" s="1213"/>
      <c r="BE19" s="1213"/>
      <c r="BF19" s="1213"/>
      <c r="BG19" s="1213"/>
      <c r="BH19" s="1213"/>
      <c r="BI19" s="1213"/>
      <c r="BJ19" s="1213"/>
      <c r="BK19" s="1213"/>
    </row>
    <row r="20" spans="1:63" ht="12.75" customHeight="1" x14ac:dyDescent="0.3">
      <c r="A20" s="1213"/>
      <c r="B20" s="1269" t="s">
        <v>436</v>
      </c>
      <c r="C20" s="1213"/>
      <c r="D20" s="1214" t="s">
        <v>437</v>
      </c>
      <c r="E20" s="1213"/>
      <c r="F20" s="1270">
        <v>0.5</v>
      </c>
      <c r="G20" s="1213"/>
      <c r="H20" s="1227">
        <v>15</v>
      </c>
      <c r="I20" s="1243"/>
      <c r="J20" s="1244"/>
      <c r="K20" s="1213"/>
      <c r="L20" s="1213"/>
      <c r="M20" s="1213"/>
      <c r="N20" s="1245" t="s">
        <v>438</v>
      </c>
      <c r="O20" s="1246"/>
      <c r="P20" s="1246"/>
      <c r="Q20" s="1246"/>
      <c r="R20" s="1251">
        <f>+MAX('Venture Summary - Mthly'!E158:EG158)</f>
        <v>0.94132812499999996</v>
      </c>
      <c r="S20" s="1246"/>
      <c r="T20" s="1213"/>
      <c r="U20" s="1213"/>
      <c r="V20" s="1213"/>
      <c r="W20" s="1213"/>
      <c r="X20" s="1213"/>
      <c r="Y20" s="1213"/>
      <c r="Z20" s="1213"/>
      <c r="AA20" s="1213"/>
      <c r="AB20" s="1213"/>
      <c r="AC20" s="1213"/>
      <c r="AD20" s="1213"/>
      <c r="AE20" s="1213"/>
      <c r="AF20" s="1213"/>
      <c r="AG20" s="1213"/>
      <c r="AH20" s="1213"/>
      <c r="AI20" s="1213"/>
      <c r="AJ20" s="1213"/>
      <c r="AK20" s="1213"/>
      <c r="AL20" s="1213"/>
      <c r="AM20" s="1213"/>
      <c r="AN20" s="1213"/>
      <c r="AO20" s="1213"/>
      <c r="AP20" s="1213"/>
      <c r="AQ20" s="1213"/>
      <c r="AR20" s="1213"/>
      <c r="AS20" s="1213"/>
      <c r="AT20" s="1213"/>
      <c r="AU20" s="1213"/>
      <c r="AV20" s="1213"/>
      <c r="AW20" s="1213"/>
      <c r="AX20" s="1213"/>
      <c r="AY20" s="1213"/>
      <c r="AZ20" s="1213"/>
      <c r="BA20" s="1213"/>
      <c r="BB20" s="1213"/>
      <c r="BC20" s="1213"/>
      <c r="BD20" s="1213"/>
      <c r="BE20" s="1213"/>
      <c r="BF20" s="1213"/>
      <c r="BG20" s="1213"/>
      <c r="BH20" s="1213"/>
      <c r="BI20" s="1213"/>
      <c r="BJ20" s="1213"/>
      <c r="BK20" s="1213"/>
    </row>
    <row r="21" spans="1:63" ht="12.75" customHeight="1" x14ac:dyDescent="0.3">
      <c r="A21" s="1213"/>
      <c r="B21" s="1269" t="s">
        <v>439</v>
      </c>
      <c r="C21" s="1213"/>
      <c r="D21" s="1214" t="s">
        <v>425</v>
      </c>
      <c r="E21" s="1213"/>
      <c r="F21" s="1267">
        <f>F19*F20</f>
        <v>0</v>
      </c>
      <c r="G21" s="1213"/>
      <c r="H21" s="1227">
        <v>16</v>
      </c>
      <c r="I21" s="1243"/>
      <c r="J21" s="1244"/>
      <c r="K21" s="1213"/>
      <c r="L21" s="1213"/>
      <c r="M21" s="1213"/>
      <c r="N21" s="1245" t="s">
        <v>440</v>
      </c>
      <c r="O21" s="1246"/>
      <c r="P21" s="1246"/>
      <c r="Q21" s="1246"/>
      <c r="R21" s="1251">
        <f ca="1">+R9-R16</f>
        <v>6.6364697248300075E-2</v>
      </c>
      <c r="S21" s="1246"/>
      <c r="T21" s="1213"/>
      <c r="U21" s="1213"/>
      <c r="V21" s="1213"/>
      <c r="W21" s="1213"/>
      <c r="X21" s="1213"/>
      <c r="Y21" s="1213"/>
      <c r="Z21" s="1213"/>
      <c r="AA21" s="1213"/>
      <c r="AB21" s="1213"/>
      <c r="AC21" s="1213"/>
      <c r="AD21" s="1213"/>
      <c r="AE21" s="1213"/>
      <c r="AF21" s="1213"/>
      <c r="AG21" s="1213"/>
      <c r="AH21" s="1213"/>
      <c r="AI21" s="1213"/>
      <c r="AJ21" s="1213"/>
      <c r="AK21" s="1213"/>
      <c r="AL21" s="1213"/>
      <c r="AM21" s="1213"/>
      <c r="AN21" s="1213"/>
      <c r="AO21" s="1213"/>
      <c r="AP21" s="1213"/>
      <c r="AQ21" s="1213"/>
      <c r="AR21" s="1213"/>
      <c r="AS21" s="1213"/>
      <c r="AT21" s="1213"/>
      <c r="AU21" s="1213"/>
      <c r="AV21" s="1213"/>
      <c r="AW21" s="1213"/>
      <c r="AX21" s="1213"/>
      <c r="AY21" s="1213"/>
      <c r="AZ21" s="1213"/>
      <c r="BA21" s="1213"/>
      <c r="BB21" s="1213"/>
      <c r="BC21" s="1213"/>
      <c r="BD21" s="1213"/>
      <c r="BE21" s="1213"/>
      <c r="BF21" s="1213"/>
      <c r="BG21" s="1213"/>
      <c r="BH21" s="1213"/>
      <c r="BI21" s="1213"/>
      <c r="BJ21" s="1213"/>
      <c r="BK21" s="1213"/>
    </row>
    <row r="22" spans="1:63" ht="12.75" customHeight="1" x14ac:dyDescent="0.3">
      <c r="A22" s="1213"/>
      <c r="B22" s="1269" t="s">
        <v>441</v>
      </c>
      <c r="C22" s="1213"/>
      <c r="D22" s="1214" t="str">
        <f>" 1 / "&amp;TEXT(F23,"0")</f>
        <v xml:space="preserve"> 1 / 14</v>
      </c>
      <c r="E22" s="1213"/>
      <c r="F22" s="1270">
        <f>1/F23</f>
        <v>7.1428571428571425E-2</v>
      </c>
      <c r="G22" s="1213"/>
      <c r="H22" s="1227">
        <v>17</v>
      </c>
      <c r="I22" s="1243"/>
      <c r="J22" s="1244"/>
      <c r="K22" s="1213"/>
      <c r="L22" s="1213"/>
      <c r="M22" s="1213"/>
      <c r="N22" s="1264" t="s">
        <v>442</v>
      </c>
      <c r="O22" s="1265"/>
      <c r="P22" s="1265"/>
      <c r="Q22" s="1265"/>
      <c r="R22" s="1271">
        <f>+R10-R17</f>
        <v>1.8555526198967255E-2</v>
      </c>
      <c r="S22" s="1246"/>
      <c r="T22" s="1213"/>
      <c r="U22" s="1213"/>
      <c r="V22" s="1213"/>
      <c r="W22" s="1213"/>
      <c r="X22" s="1213"/>
      <c r="Y22" s="1213"/>
      <c r="Z22" s="1213"/>
      <c r="AA22" s="1213"/>
      <c r="AB22" s="1213"/>
      <c r="AC22" s="1213"/>
      <c r="AD22" s="1213"/>
      <c r="AE22" s="1213"/>
      <c r="AF22" s="1213"/>
      <c r="AG22" s="1213"/>
      <c r="AH22" s="1213"/>
      <c r="AI22" s="1213"/>
      <c r="AJ22" s="1213"/>
      <c r="AK22" s="1213"/>
      <c r="AL22" s="1213"/>
      <c r="AM22" s="1213"/>
      <c r="AN22" s="1213"/>
      <c r="AO22" s="1213"/>
      <c r="AP22" s="1213"/>
      <c r="AQ22" s="1213"/>
      <c r="AR22" s="1213"/>
      <c r="AS22" s="1213"/>
      <c r="AT22" s="1213"/>
      <c r="AU22" s="1213"/>
      <c r="AV22" s="1213"/>
      <c r="AW22" s="1213"/>
      <c r="AX22" s="1213"/>
      <c r="AY22" s="1213"/>
      <c r="AZ22" s="1213"/>
      <c r="BA22" s="1213"/>
      <c r="BB22" s="1213"/>
      <c r="BC22" s="1213"/>
      <c r="BD22" s="1213"/>
      <c r="BE22" s="1213"/>
      <c r="BF22" s="1213"/>
      <c r="BG22" s="1213"/>
      <c r="BH22" s="1213"/>
      <c r="BI22" s="1213"/>
      <c r="BJ22" s="1213"/>
      <c r="BK22" s="1213"/>
    </row>
    <row r="23" spans="1:63" ht="12.75" customHeight="1" x14ac:dyDescent="0.3">
      <c r="A23" s="1213"/>
      <c r="B23" s="1269" t="s">
        <v>443</v>
      </c>
      <c r="C23" s="1213"/>
      <c r="D23" s="1214" t="s">
        <v>444</v>
      </c>
      <c r="E23" s="1213"/>
      <c r="F23" s="1259">
        <v>14</v>
      </c>
      <c r="G23" s="1213"/>
      <c r="H23" s="1227">
        <v>18</v>
      </c>
      <c r="I23" s="1243"/>
      <c r="J23" s="1244"/>
      <c r="K23" s="1213"/>
      <c r="L23" s="1213"/>
      <c r="M23" s="1213"/>
      <c r="N23" s="1272"/>
      <c r="O23" s="1272"/>
      <c r="P23" s="1272"/>
      <c r="Q23" s="1272"/>
      <c r="R23" s="1272"/>
      <c r="S23" s="1272"/>
      <c r="T23" s="1213"/>
      <c r="U23" s="1213"/>
      <c r="V23" s="1213"/>
      <c r="W23" s="1213"/>
      <c r="X23" s="1213"/>
      <c r="Y23" s="1213"/>
      <c r="Z23" s="1213"/>
      <c r="AA23" s="1213"/>
      <c r="AB23" s="1213"/>
      <c r="AC23" s="1213"/>
      <c r="AD23" s="1213"/>
      <c r="AE23" s="1213"/>
      <c r="AF23" s="1213"/>
      <c r="AG23" s="1213"/>
      <c r="AH23" s="1213"/>
      <c r="AI23" s="1213"/>
      <c r="AJ23" s="1213"/>
      <c r="AK23" s="1213"/>
      <c r="AL23" s="1213"/>
      <c r="AM23" s="1213"/>
      <c r="AN23" s="1213"/>
      <c r="AO23" s="1213"/>
      <c r="AP23" s="1213"/>
      <c r="AQ23" s="1213"/>
      <c r="AR23" s="1213"/>
      <c r="AS23" s="1213"/>
      <c r="AT23" s="1213"/>
      <c r="AU23" s="1213"/>
      <c r="AV23" s="1213"/>
      <c r="AW23" s="1213"/>
      <c r="AX23" s="1213"/>
      <c r="AY23" s="1213"/>
      <c r="AZ23" s="1213"/>
      <c r="BA23" s="1213"/>
      <c r="BB23" s="1213"/>
      <c r="BC23" s="1213"/>
      <c r="BD23" s="1213"/>
      <c r="BE23" s="1213"/>
      <c r="BF23" s="1213"/>
      <c r="BG23" s="1213"/>
      <c r="BH23" s="1213"/>
      <c r="BI23" s="1213"/>
      <c r="BJ23" s="1213"/>
      <c r="BK23" s="1213"/>
    </row>
    <row r="24" spans="1:63" ht="12.75" customHeight="1" x14ac:dyDescent="0.3">
      <c r="A24" s="1213"/>
      <c r="B24" s="1213" t="s">
        <v>445</v>
      </c>
      <c r="C24" s="1213"/>
      <c r="D24" s="1214" t="s">
        <v>425</v>
      </c>
      <c r="E24" s="1213"/>
      <c r="F24" s="1259">
        <v>1000000</v>
      </c>
      <c r="G24" s="1213"/>
      <c r="H24" s="1227">
        <v>19</v>
      </c>
      <c r="I24" s="1243"/>
      <c r="J24" s="1244"/>
      <c r="K24" s="1213"/>
      <c r="L24" s="1213"/>
      <c r="M24" s="1213"/>
      <c r="N24" s="1246"/>
      <c r="O24" s="1246"/>
      <c r="P24" s="1273" t="s">
        <v>446</v>
      </c>
      <c r="Q24" s="1273" t="s">
        <v>447</v>
      </c>
      <c r="R24" s="1273" t="s">
        <v>448</v>
      </c>
      <c r="S24" s="1272"/>
      <c r="T24" s="1213"/>
      <c r="U24" s="1213"/>
      <c r="V24" s="1213"/>
      <c r="W24" s="1213"/>
      <c r="X24" s="1213"/>
      <c r="Y24" s="1213"/>
      <c r="Z24" s="1213"/>
      <c r="AA24" s="1213"/>
      <c r="AB24" s="1213"/>
      <c r="AC24" s="1213"/>
      <c r="AD24" s="1213"/>
      <c r="AE24" s="1213"/>
      <c r="AF24" s="1213"/>
      <c r="AG24" s="1213"/>
      <c r="AH24" s="1213"/>
      <c r="AI24" s="1213"/>
      <c r="AJ24" s="1213"/>
      <c r="AK24" s="1213"/>
      <c r="AL24" s="1213"/>
      <c r="AM24" s="1213"/>
      <c r="AN24" s="1213"/>
      <c r="AO24" s="1213"/>
      <c r="AP24" s="1213"/>
      <c r="AQ24" s="1213"/>
      <c r="AR24" s="1213"/>
      <c r="AS24" s="1213"/>
      <c r="AT24" s="1213"/>
      <c r="AU24" s="1213"/>
      <c r="AV24" s="1213"/>
      <c r="AW24" s="1213"/>
      <c r="AX24" s="1213"/>
      <c r="AY24" s="1213"/>
      <c r="AZ24" s="1213"/>
      <c r="BA24" s="1213"/>
      <c r="BB24" s="1213"/>
      <c r="BC24" s="1213"/>
      <c r="BD24" s="1213"/>
      <c r="BE24" s="1213"/>
      <c r="BF24" s="1213"/>
      <c r="BG24" s="1213"/>
      <c r="BH24" s="1213"/>
      <c r="BI24" s="1213"/>
      <c r="BJ24" s="1213"/>
      <c r="BK24" s="1213"/>
    </row>
    <row r="25" spans="1:63" ht="12.75" customHeight="1" x14ac:dyDescent="0.3">
      <c r="A25" s="1213"/>
      <c r="B25" s="1213" t="s">
        <v>449</v>
      </c>
      <c r="C25" s="1213"/>
      <c r="D25" s="1214" t="s">
        <v>425</v>
      </c>
      <c r="E25" s="1213"/>
      <c r="F25" s="1259">
        <v>1400000</v>
      </c>
      <c r="G25" s="1213"/>
      <c r="H25" s="1227">
        <v>20</v>
      </c>
      <c r="I25" s="1243"/>
      <c r="J25" s="1244"/>
      <c r="K25" s="1213"/>
      <c r="L25" s="1213"/>
      <c r="M25" s="1213"/>
      <c r="N25" s="1246" t="s">
        <v>271</v>
      </c>
      <c r="O25" s="1246"/>
      <c r="P25" s="1274">
        <f ca="1">Summary!B31</f>
        <v>0.55000000000000004</v>
      </c>
      <c r="Q25" s="1275">
        <f ca="1">+Summary!B30/1000000</f>
        <v>42.877793388198164</v>
      </c>
      <c r="R25" s="1275">
        <f ca="1">+(Q25*1000)/$R$7</f>
        <v>167.49138042264909</v>
      </c>
      <c r="S25" s="1272"/>
      <c r="T25" s="1213"/>
      <c r="U25" s="1213"/>
      <c r="V25" s="1213"/>
      <c r="W25" s="1213"/>
      <c r="X25" s="1213"/>
      <c r="Y25" s="1213"/>
      <c r="Z25" s="1213"/>
      <c r="AA25" s="1213"/>
      <c r="AB25" s="1213"/>
      <c r="AC25" s="1213"/>
      <c r="AD25" s="1213"/>
      <c r="AE25" s="1213"/>
      <c r="AF25" s="1213"/>
      <c r="AG25" s="1213"/>
      <c r="AH25" s="1213"/>
      <c r="AI25" s="1213"/>
      <c r="AJ25" s="1213"/>
      <c r="AK25" s="1213"/>
      <c r="AL25" s="1213"/>
      <c r="AM25" s="1213"/>
      <c r="AN25" s="1213"/>
      <c r="AO25" s="1213"/>
      <c r="AP25" s="1213"/>
      <c r="AQ25" s="1213"/>
      <c r="AR25" s="1213"/>
      <c r="AS25" s="1213"/>
      <c r="AT25" s="1213"/>
      <c r="AU25" s="1213"/>
      <c r="AV25" s="1213"/>
      <c r="AW25" s="1213"/>
      <c r="AX25" s="1213"/>
      <c r="AY25" s="1213"/>
      <c r="AZ25" s="1213"/>
      <c r="BA25" s="1213"/>
      <c r="BB25" s="1213"/>
      <c r="BC25" s="1213"/>
      <c r="BD25" s="1213"/>
      <c r="BE25" s="1213"/>
      <c r="BF25" s="1213"/>
      <c r="BG25" s="1213"/>
      <c r="BH25" s="1213"/>
      <c r="BI25" s="1213"/>
      <c r="BJ25" s="1213"/>
      <c r="BK25" s="1213"/>
    </row>
    <row r="26" spans="1:63" ht="12.75" customHeight="1" x14ac:dyDescent="0.3">
      <c r="A26" s="1213"/>
      <c r="B26" s="1213" t="s">
        <v>450</v>
      </c>
      <c r="C26" s="1213"/>
      <c r="D26" s="1214" t="s">
        <v>425</v>
      </c>
      <c r="E26" s="1213"/>
      <c r="F26" s="1259">
        <v>0</v>
      </c>
      <c r="G26" s="1213"/>
      <c r="H26" s="1227">
        <v>21</v>
      </c>
      <c r="I26" s="1243"/>
      <c r="J26" s="1244"/>
      <c r="K26" s="1213"/>
      <c r="L26" s="1213"/>
      <c r="M26" s="1213"/>
      <c r="N26" s="1246" t="s">
        <v>451</v>
      </c>
      <c r="O26" s="1276">
        <f>Summary!E32</f>
        <v>9.9999999999999978E-2</v>
      </c>
      <c r="P26" s="1274">
        <f ca="1">+Q26/$Q$28</f>
        <v>4.4999999999999984E-2</v>
      </c>
      <c r="Q26" s="1275">
        <f ca="1">Summary!E30/1000000</f>
        <v>3.5081830953980302</v>
      </c>
      <c r="R26" s="1275">
        <f ca="1">+(Q26*1000)/$R$7</f>
        <v>13.703840216398556</v>
      </c>
      <c r="S26" s="1272"/>
      <c r="T26" s="1213"/>
      <c r="U26" s="1213"/>
      <c r="V26" s="1213"/>
      <c r="W26" s="1213"/>
      <c r="X26" s="1213"/>
      <c r="Y26" s="1213"/>
      <c r="Z26" s="1213"/>
      <c r="AA26" s="1213"/>
      <c r="AB26" s="1213"/>
      <c r="AC26" s="1213"/>
      <c r="AD26" s="1213"/>
      <c r="AE26" s="1213"/>
      <c r="AF26" s="1213"/>
      <c r="AG26" s="1213"/>
      <c r="AH26" s="1213"/>
      <c r="AI26" s="1213"/>
      <c r="AJ26" s="1213"/>
      <c r="AK26" s="1213"/>
      <c r="AL26" s="1213"/>
      <c r="AM26" s="1213"/>
      <c r="AN26" s="1213"/>
      <c r="AO26" s="1213"/>
      <c r="AP26" s="1213"/>
      <c r="AQ26" s="1213"/>
      <c r="AR26" s="1213"/>
      <c r="AS26" s="1213"/>
      <c r="AT26" s="1213"/>
      <c r="AU26" s="1213"/>
      <c r="AV26" s="1213"/>
      <c r="AW26" s="1213"/>
      <c r="AX26" s="1213"/>
      <c r="AY26" s="1213"/>
      <c r="AZ26" s="1213"/>
      <c r="BA26" s="1213"/>
      <c r="BB26" s="1213"/>
      <c r="BC26" s="1213"/>
      <c r="BD26" s="1213"/>
      <c r="BE26" s="1213"/>
      <c r="BF26" s="1213"/>
      <c r="BG26" s="1213"/>
      <c r="BH26" s="1213"/>
      <c r="BI26" s="1213"/>
      <c r="BJ26" s="1213"/>
      <c r="BK26" s="1213"/>
    </row>
    <row r="27" spans="1:63" ht="12.75" customHeight="1" x14ac:dyDescent="0.3">
      <c r="A27" s="1213"/>
      <c r="B27" s="1269" t="s">
        <v>452</v>
      </c>
      <c r="C27" s="1213"/>
      <c r="D27" s="1214" t="s">
        <v>402</v>
      </c>
      <c r="E27" s="1213"/>
      <c r="F27" s="1259">
        <v>12</v>
      </c>
      <c r="G27" s="1213"/>
      <c r="H27" s="1227">
        <v>22</v>
      </c>
      <c r="I27" s="1243"/>
      <c r="J27" s="1244"/>
      <c r="K27" s="1213"/>
      <c r="L27" s="1213"/>
      <c r="M27" s="1213"/>
      <c r="N27" s="1246" t="s">
        <v>453</v>
      </c>
      <c r="O27" s="1276">
        <f>Summary!D32</f>
        <v>0.9</v>
      </c>
      <c r="P27" s="1274">
        <f ca="1">+Q27/$Q$28</f>
        <v>0.40499999999999997</v>
      </c>
      <c r="Q27" s="1275">
        <f ca="1">Summary!D30/1000000</f>
        <v>31.57364785858228</v>
      </c>
      <c r="R27" s="1275">
        <f ca="1">+(Q27*1000)/$R$7</f>
        <v>123.33456194758703</v>
      </c>
      <c r="S27" s="1272"/>
      <c r="T27" s="1213"/>
      <c r="U27" s="1213"/>
      <c r="V27" s="1213"/>
      <c r="W27" s="1213"/>
      <c r="X27" s="1213"/>
      <c r="Y27" s="1213"/>
      <c r="Z27" s="1213"/>
      <c r="AA27" s="1213"/>
      <c r="AB27" s="1213"/>
      <c r="AC27" s="1213"/>
      <c r="AD27" s="1213"/>
      <c r="AE27" s="1213"/>
      <c r="AF27" s="1213"/>
      <c r="AG27" s="1213"/>
      <c r="AH27" s="1213"/>
      <c r="AI27" s="1213"/>
      <c r="AJ27" s="1213"/>
      <c r="AK27" s="1213"/>
      <c r="AL27" s="1213"/>
      <c r="AM27" s="1213"/>
      <c r="AN27" s="1213"/>
      <c r="AO27" s="1213"/>
      <c r="AP27" s="1213"/>
      <c r="AQ27" s="1213"/>
      <c r="AR27" s="1213"/>
      <c r="AS27" s="1213"/>
      <c r="AT27" s="1213"/>
      <c r="AU27" s="1213"/>
      <c r="AV27" s="1213"/>
      <c r="AW27" s="1213"/>
      <c r="AX27" s="1213"/>
      <c r="AY27" s="1213"/>
      <c r="AZ27" s="1213"/>
      <c r="BA27" s="1213"/>
      <c r="BB27" s="1213"/>
      <c r="BC27" s="1213"/>
      <c r="BD27" s="1213"/>
      <c r="BE27" s="1213"/>
      <c r="BF27" s="1213"/>
      <c r="BG27" s="1213"/>
      <c r="BH27" s="1213"/>
      <c r="BI27" s="1213"/>
      <c r="BJ27" s="1213"/>
      <c r="BK27" s="1213"/>
    </row>
    <row r="28" spans="1:63" ht="12.75" customHeight="1" x14ac:dyDescent="0.3">
      <c r="A28" s="1213"/>
      <c r="B28" s="1213"/>
      <c r="C28" s="1213"/>
      <c r="D28" s="1214"/>
      <c r="E28" s="1213"/>
      <c r="F28" s="1213"/>
      <c r="G28" s="1213"/>
      <c r="H28" s="1227">
        <v>23</v>
      </c>
      <c r="I28" s="1243"/>
      <c r="J28" s="1244"/>
      <c r="K28" s="1213"/>
      <c r="L28" s="1213"/>
      <c r="M28" s="1213"/>
      <c r="N28" s="1246"/>
      <c r="O28" s="1246"/>
      <c r="P28" s="1277">
        <f ca="1">SUM(P25:P27)</f>
        <v>1</v>
      </c>
      <c r="Q28" s="1278">
        <f ca="1">SUM(Q25:Q27)</f>
        <v>77.959624342178472</v>
      </c>
      <c r="R28" s="1278">
        <f ca="1">SUM(R25:R27)</f>
        <v>304.52978258663467</v>
      </c>
      <c r="S28" s="1272"/>
      <c r="T28" s="1213"/>
      <c r="U28" s="1213"/>
      <c r="V28" s="1213"/>
      <c r="W28" s="1213"/>
      <c r="X28" s="1213"/>
      <c r="Y28" s="1213"/>
      <c r="Z28" s="1213"/>
      <c r="AA28" s="1213"/>
      <c r="AB28" s="1213"/>
      <c r="AC28" s="1213"/>
      <c r="AD28" s="1213"/>
      <c r="AE28" s="1213"/>
      <c r="AF28" s="1213"/>
      <c r="AG28" s="1213"/>
      <c r="AH28" s="1213"/>
      <c r="AI28" s="1213"/>
      <c r="AJ28" s="1213"/>
      <c r="AK28" s="1213"/>
      <c r="AL28" s="1213"/>
      <c r="AM28" s="1213"/>
      <c r="AN28" s="1213"/>
      <c r="AO28" s="1213"/>
      <c r="AP28" s="1213"/>
      <c r="AQ28" s="1213"/>
      <c r="AR28" s="1213"/>
      <c r="AS28" s="1213"/>
      <c r="AT28" s="1213"/>
      <c r="AU28" s="1213"/>
      <c r="AV28" s="1213"/>
      <c r="AW28" s="1213"/>
      <c r="AX28" s="1213"/>
      <c r="AY28" s="1213"/>
      <c r="AZ28" s="1213"/>
      <c r="BA28" s="1213"/>
      <c r="BB28" s="1213"/>
      <c r="BC28" s="1213"/>
      <c r="BD28" s="1213"/>
      <c r="BE28" s="1213"/>
      <c r="BF28" s="1213"/>
      <c r="BG28" s="1213"/>
      <c r="BH28" s="1213"/>
      <c r="BI28" s="1213"/>
      <c r="BJ28" s="1213"/>
      <c r="BK28" s="1213"/>
    </row>
    <row r="29" spans="1:63" ht="12.75" customHeight="1" x14ac:dyDescent="0.3">
      <c r="A29" s="1213"/>
      <c r="B29" s="1223" t="s">
        <v>454</v>
      </c>
      <c r="C29" s="1224"/>
      <c r="D29" s="1225" t="s">
        <v>399</v>
      </c>
      <c r="E29" s="1223"/>
      <c r="F29" s="1226" t="s">
        <v>400</v>
      </c>
      <c r="G29" s="1279" t="s">
        <v>455</v>
      </c>
      <c r="H29" s="1227">
        <v>24</v>
      </c>
      <c r="I29" s="1243"/>
      <c r="J29" s="1244"/>
      <c r="K29" s="1213"/>
      <c r="L29" s="1213"/>
      <c r="M29" s="1213"/>
      <c r="N29" s="1246"/>
      <c r="O29" s="1246"/>
      <c r="P29" s="1246"/>
      <c r="Q29" s="1246"/>
      <c r="R29" s="1246"/>
      <c r="S29" s="1272"/>
      <c r="T29" s="1213"/>
      <c r="U29" s="1213"/>
      <c r="V29" s="1213"/>
      <c r="W29" s="1213"/>
      <c r="X29" s="1213"/>
      <c r="Y29" s="1213"/>
      <c r="Z29" s="1213"/>
      <c r="AA29" s="1213"/>
      <c r="AB29" s="1213"/>
      <c r="AC29" s="1213"/>
      <c r="AD29" s="1213"/>
      <c r="AE29" s="1213"/>
      <c r="AF29" s="1213"/>
      <c r="AG29" s="1213"/>
      <c r="AH29" s="1213"/>
      <c r="AI29" s="1213"/>
      <c r="AJ29" s="1213"/>
      <c r="AK29" s="1213"/>
      <c r="AL29" s="1213"/>
      <c r="AM29" s="1213"/>
      <c r="AN29" s="1213"/>
      <c r="AO29" s="1213"/>
      <c r="AP29" s="1213"/>
      <c r="AQ29" s="1213"/>
      <c r="AR29" s="1213"/>
      <c r="AS29" s="1213"/>
      <c r="AT29" s="1213"/>
      <c r="AU29" s="1213"/>
      <c r="AV29" s="1213"/>
      <c r="AW29" s="1213"/>
      <c r="AX29" s="1213"/>
      <c r="AY29" s="1213"/>
      <c r="AZ29" s="1213"/>
      <c r="BA29" s="1213"/>
      <c r="BB29" s="1213"/>
      <c r="BC29" s="1213"/>
      <c r="BD29" s="1213"/>
      <c r="BE29" s="1213"/>
      <c r="BF29" s="1213"/>
      <c r="BG29" s="1213"/>
      <c r="BH29" s="1213"/>
      <c r="BI29" s="1213"/>
      <c r="BJ29" s="1213"/>
      <c r="BK29" s="1213"/>
    </row>
    <row r="30" spans="1:63" ht="12.75" customHeight="1" x14ac:dyDescent="0.3">
      <c r="A30" s="1213"/>
      <c r="B30" s="1280" t="s">
        <v>456</v>
      </c>
      <c r="C30" s="548"/>
      <c r="D30" s="1233" t="s">
        <v>418</v>
      </c>
      <c r="E30" s="548"/>
      <c r="F30" s="1281">
        <v>0</v>
      </c>
      <c r="G30" s="1213"/>
      <c r="H30" s="1227">
        <v>25</v>
      </c>
      <c r="I30" s="1243"/>
      <c r="J30" s="1244"/>
      <c r="K30" s="1213"/>
      <c r="L30" s="1213"/>
      <c r="M30" s="1213"/>
      <c r="N30" s="1246"/>
      <c r="O30" s="1246"/>
      <c r="P30" s="1273" t="s">
        <v>446</v>
      </c>
      <c r="Q30" s="1273" t="s">
        <v>447</v>
      </c>
      <c r="R30" s="1273" t="s">
        <v>448</v>
      </c>
      <c r="S30" s="1272"/>
      <c r="T30" s="1213"/>
      <c r="U30" s="1213"/>
      <c r="V30" s="1213"/>
      <c r="W30" s="1213"/>
      <c r="X30" s="1213"/>
      <c r="Y30" s="1213"/>
      <c r="Z30" s="1213"/>
      <c r="AA30" s="1213"/>
      <c r="AB30" s="1213"/>
      <c r="AC30" s="1213"/>
      <c r="AD30" s="1213"/>
      <c r="AE30" s="1213"/>
      <c r="AF30" s="1213"/>
      <c r="AG30" s="1213"/>
      <c r="AH30" s="1213"/>
      <c r="AI30" s="1213"/>
      <c r="AJ30" s="1213"/>
      <c r="AK30" s="1213"/>
      <c r="AL30" s="1213"/>
      <c r="AM30" s="1213"/>
      <c r="AN30" s="1213"/>
      <c r="AO30" s="1213"/>
      <c r="AP30" s="1213"/>
      <c r="AQ30" s="1213"/>
      <c r="AR30" s="1213"/>
      <c r="AS30" s="1213"/>
      <c r="AT30" s="1213"/>
      <c r="AU30" s="1213"/>
      <c r="AV30" s="1213"/>
      <c r="AW30" s="1213"/>
      <c r="AX30" s="1213"/>
      <c r="AY30" s="1213"/>
      <c r="AZ30" s="1213"/>
      <c r="BA30" s="1213"/>
      <c r="BB30" s="1213"/>
      <c r="BC30" s="1213"/>
      <c r="BD30" s="1213"/>
      <c r="BE30" s="1213"/>
      <c r="BF30" s="1213"/>
      <c r="BG30" s="1213"/>
      <c r="BH30" s="1213"/>
      <c r="BI30" s="1213"/>
      <c r="BJ30" s="1213"/>
      <c r="BK30" s="1213"/>
    </row>
    <row r="31" spans="1:63" ht="12.75" customHeight="1" x14ac:dyDescent="0.3">
      <c r="A31" s="1213"/>
      <c r="B31" s="1280" t="s">
        <v>457</v>
      </c>
      <c r="C31" s="548"/>
      <c r="D31" s="1233" t="s">
        <v>418</v>
      </c>
      <c r="E31" s="548"/>
      <c r="F31" s="1282">
        <v>1</v>
      </c>
      <c r="G31" s="1213"/>
      <c r="H31" s="1227">
        <v>26</v>
      </c>
      <c r="I31" s="1243"/>
      <c r="J31" s="1244"/>
      <c r="K31" s="1213"/>
      <c r="L31" s="1213"/>
      <c r="M31" s="1213"/>
      <c r="N31" s="1246" t="s">
        <v>458</v>
      </c>
      <c r="O31" s="1246"/>
      <c r="P31" s="1274">
        <f ca="1">+Q31/$Q$34</f>
        <v>0.11663678091150854</v>
      </c>
      <c r="Q31" s="1275">
        <f ca="1">+SUM(Summary!D7:D8)/1000000</f>
        <v>9.0929596243421784</v>
      </c>
      <c r="R31" s="1275">
        <f ca="1">+(Q31*1000)/$R$7</f>
        <v>35.519373532586634</v>
      </c>
      <c r="S31" s="1272"/>
      <c r="T31" s="1213"/>
      <c r="U31" s="1213"/>
      <c r="V31" s="1213"/>
      <c r="W31" s="1213"/>
      <c r="X31" s="1213"/>
      <c r="Y31" s="1213"/>
      <c r="Z31" s="1213"/>
      <c r="AA31" s="1213"/>
      <c r="AB31" s="1213"/>
      <c r="AC31" s="1213"/>
      <c r="AD31" s="1213"/>
      <c r="AE31" s="1213"/>
      <c r="AF31" s="1213"/>
      <c r="AG31" s="1213"/>
      <c r="AH31" s="1213"/>
      <c r="AI31" s="1213"/>
      <c r="AJ31" s="1213"/>
      <c r="AK31" s="1213"/>
      <c r="AL31" s="1213"/>
      <c r="AM31" s="1213"/>
      <c r="AN31" s="1213"/>
      <c r="AO31" s="1213"/>
      <c r="AP31" s="1213"/>
      <c r="AQ31" s="1213"/>
      <c r="AR31" s="1213"/>
      <c r="AS31" s="1213"/>
      <c r="AT31" s="1213"/>
      <c r="AU31" s="1213"/>
      <c r="AV31" s="1213"/>
      <c r="AW31" s="1213"/>
      <c r="AX31" s="1213"/>
      <c r="AY31" s="1213"/>
      <c r="AZ31" s="1213"/>
      <c r="BA31" s="1213"/>
      <c r="BB31" s="1213"/>
      <c r="BC31" s="1213"/>
      <c r="BD31" s="1213"/>
      <c r="BE31" s="1213"/>
      <c r="BF31" s="1213"/>
      <c r="BG31" s="1213"/>
      <c r="BH31" s="1213"/>
      <c r="BI31" s="1213"/>
      <c r="BJ31" s="1213"/>
      <c r="BK31" s="1213"/>
    </row>
    <row r="32" spans="1:63" ht="12.75" customHeight="1" x14ac:dyDescent="0.3">
      <c r="A32" s="1213"/>
      <c r="B32" s="548" t="s">
        <v>459</v>
      </c>
      <c r="C32" s="548"/>
      <c r="D32" s="1233" t="s">
        <v>418</v>
      </c>
      <c r="E32" s="548"/>
      <c r="F32" s="1283">
        <v>0.1</v>
      </c>
      <c r="G32" s="1213"/>
      <c r="H32" s="1227">
        <v>27</v>
      </c>
      <c r="I32" s="1243"/>
      <c r="J32" s="1244"/>
      <c r="K32" s="1213"/>
      <c r="L32" s="1213"/>
      <c r="M32" s="1213"/>
      <c r="N32" s="1246" t="s">
        <v>460</v>
      </c>
      <c r="O32" s="1246"/>
      <c r="P32" s="1274">
        <f ca="1">+Q32/$Q$34</f>
        <v>0.18326907421156313</v>
      </c>
      <c r="Q32" s="1275">
        <f ca="1">+SUM(Summary!D10:D20)/1000000</f>
        <v>14.287588179072291</v>
      </c>
      <c r="R32" s="1275">
        <f ca="1">+(Q32*1000)/$R$7</f>
        <v>55.810891324501135</v>
      </c>
      <c r="S32" s="1272"/>
      <c r="T32" s="1213"/>
      <c r="U32" s="1213"/>
      <c r="V32" s="1213"/>
      <c r="W32" s="1213"/>
      <c r="X32" s="1213"/>
      <c r="Y32" s="1213"/>
      <c r="Z32" s="1213"/>
      <c r="AA32" s="1213"/>
      <c r="AB32" s="1213"/>
      <c r="AC32" s="1213"/>
      <c r="AD32" s="1213"/>
      <c r="AE32" s="1213"/>
      <c r="AF32" s="1213"/>
      <c r="AG32" s="1213"/>
      <c r="AH32" s="1213"/>
      <c r="AI32" s="1213"/>
      <c r="AJ32" s="1213"/>
      <c r="AK32" s="1213"/>
      <c r="AL32" s="1213"/>
      <c r="AM32" s="1213"/>
      <c r="AN32" s="1213"/>
      <c r="AO32" s="1213"/>
      <c r="AP32" s="1213"/>
      <c r="AQ32" s="1213"/>
      <c r="AR32" s="1213"/>
      <c r="AS32" s="1213"/>
      <c r="AT32" s="1213"/>
      <c r="AU32" s="1213"/>
      <c r="AV32" s="1213"/>
      <c r="AW32" s="1213"/>
      <c r="AX32" s="1213"/>
      <c r="AY32" s="1213"/>
      <c r="AZ32" s="1213"/>
      <c r="BA32" s="1213"/>
      <c r="BB32" s="1213"/>
      <c r="BC32" s="1213"/>
      <c r="BD32" s="1213"/>
      <c r="BE32" s="1213"/>
      <c r="BF32" s="1213"/>
      <c r="BG32" s="1213"/>
      <c r="BH32" s="1213"/>
      <c r="BI32" s="1213"/>
      <c r="BJ32" s="1213"/>
      <c r="BK32" s="1213"/>
    </row>
    <row r="33" spans="1:63" ht="12.75" customHeight="1" x14ac:dyDescent="0.3">
      <c r="A33" s="1213"/>
      <c r="B33" s="1280" t="s">
        <v>461</v>
      </c>
      <c r="C33" s="548"/>
      <c r="D33" s="1233" t="s">
        <v>418</v>
      </c>
      <c r="E33" s="548"/>
      <c r="F33" s="1281">
        <v>0.2</v>
      </c>
      <c r="G33" s="1213"/>
      <c r="H33" s="1227">
        <v>28</v>
      </c>
      <c r="I33" s="1243"/>
      <c r="J33" s="1244"/>
      <c r="K33" s="1213"/>
      <c r="L33" s="1213"/>
      <c r="M33" s="1213"/>
      <c r="N33" s="1246" t="s">
        <v>462</v>
      </c>
      <c r="O33" s="1246"/>
      <c r="P33" s="1274">
        <f ca="1">+Q33/$Q$34</f>
        <v>0.70009414487692834</v>
      </c>
      <c r="Q33" s="1275">
        <f>+SUM(Summary!D22:D24)/1000000</f>
        <v>54.579076538764006</v>
      </c>
      <c r="R33" s="1275">
        <f>+(Q33*1000)/$R$7</f>
        <v>213.1995177295469</v>
      </c>
      <c r="S33" s="1272"/>
      <c r="T33" s="1213"/>
      <c r="U33" s="1213"/>
      <c r="V33" s="1213"/>
      <c r="W33" s="1213"/>
      <c r="X33" s="1213"/>
      <c r="Y33" s="1213"/>
      <c r="Z33" s="1213"/>
      <c r="AA33" s="1213"/>
      <c r="AB33" s="1213"/>
      <c r="AC33" s="1213"/>
      <c r="AD33" s="1213"/>
      <c r="AE33" s="1213"/>
      <c r="AF33" s="1213"/>
      <c r="AG33" s="1213"/>
      <c r="AH33" s="1213"/>
      <c r="AI33" s="1213"/>
      <c r="AJ33" s="1213"/>
      <c r="AK33" s="1213"/>
      <c r="AL33" s="1213"/>
      <c r="AM33" s="1213"/>
      <c r="AN33" s="1213"/>
      <c r="AO33" s="1213"/>
      <c r="AP33" s="1213"/>
      <c r="AQ33" s="1213"/>
      <c r="AR33" s="1213"/>
      <c r="AS33" s="1213"/>
      <c r="AT33" s="1213"/>
      <c r="AU33" s="1213"/>
      <c r="AV33" s="1213"/>
      <c r="AW33" s="1213"/>
      <c r="AX33" s="1213"/>
      <c r="AY33" s="1213"/>
      <c r="AZ33" s="1213"/>
      <c r="BA33" s="1213"/>
      <c r="BB33" s="1213"/>
      <c r="BC33" s="1213"/>
      <c r="BD33" s="1213"/>
      <c r="BE33" s="1213"/>
      <c r="BF33" s="1213"/>
      <c r="BG33" s="1213"/>
      <c r="BH33" s="1213"/>
      <c r="BI33" s="1213"/>
      <c r="BJ33" s="1213"/>
      <c r="BK33" s="1213"/>
    </row>
    <row r="34" spans="1:63" ht="12.75" customHeight="1" x14ac:dyDescent="0.3">
      <c r="A34" s="1213"/>
      <c r="B34" s="1280" t="s">
        <v>463</v>
      </c>
      <c r="C34" s="548"/>
      <c r="D34" s="1233" t="s">
        <v>418</v>
      </c>
      <c r="E34" s="548"/>
      <c r="F34" s="1282">
        <v>0.8</v>
      </c>
      <c r="G34" s="1213"/>
      <c r="H34" s="1227">
        <v>29</v>
      </c>
      <c r="I34" s="1243"/>
      <c r="J34" s="1244"/>
      <c r="K34" s="1213"/>
      <c r="L34" s="1213"/>
      <c r="M34" s="1213"/>
      <c r="N34" s="1246"/>
      <c r="O34" s="1246"/>
      <c r="P34" s="1277">
        <f ca="1">SUM(P31:P33)</f>
        <v>1</v>
      </c>
      <c r="Q34" s="1278">
        <f ca="1">SUM(Q31:Q33)</f>
        <v>77.959624342178472</v>
      </c>
      <c r="R34" s="1278">
        <f ca="1">SUM(R31:R33)</f>
        <v>304.52978258663467</v>
      </c>
      <c r="S34" s="1272"/>
      <c r="T34" s="1213"/>
      <c r="U34" s="1213"/>
      <c r="V34" s="1213"/>
      <c r="W34" s="1213"/>
      <c r="X34" s="1213"/>
      <c r="Y34" s="1213"/>
      <c r="Z34" s="1213"/>
      <c r="AA34" s="1213"/>
      <c r="AB34" s="1213"/>
      <c r="AC34" s="1213"/>
      <c r="AD34" s="1213"/>
      <c r="AE34" s="1213"/>
      <c r="AF34" s="1213"/>
      <c r="AG34" s="1213"/>
      <c r="AH34" s="1213"/>
      <c r="AI34" s="1213"/>
      <c r="AJ34" s="1213"/>
      <c r="AK34" s="1213"/>
      <c r="AL34" s="1213"/>
      <c r="AM34" s="1213"/>
      <c r="AN34" s="1213"/>
      <c r="AO34" s="1213"/>
      <c r="AP34" s="1213"/>
      <c r="AQ34" s="1213"/>
      <c r="AR34" s="1213"/>
      <c r="AS34" s="1213"/>
      <c r="AT34" s="1213"/>
      <c r="AU34" s="1213"/>
      <c r="AV34" s="1213"/>
      <c r="AW34" s="1213"/>
      <c r="AX34" s="1213"/>
      <c r="AY34" s="1213"/>
      <c r="AZ34" s="1213"/>
      <c r="BA34" s="1213"/>
      <c r="BB34" s="1213"/>
      <c r="BC34" s="1213"/>
      <c r="BD34" s="1213"/>
      <c r="BE34" s="1213"/>
      <c r="BF34" s="1213"/>
      <c r="BG34" s="1213"/>
      <c r="BH34" s="1213"/>
      <c r="BI34" s="1213"/>
      <c r="BJ34" s="1213"/>
      <c r="BK34" s="1213"/>
    </row>
    <row r="35" spans="1:63" ht="12.75" customHeight="1" x14ac:dyDescent="0.3">
      <c r="A35" s="1213"/>
      <c r="B35" s="548" t="s">
        <v>464</v>
      </c>
      <c r="C35" s="548"/>
      <c r="D35" s="1233" t="s">
        <v>418</v>
      </c>
      <c r="E35" s="548"/>
      <c r="F35" s="1283">
        <v>0.14000000000000001</v>
      </c>
      <c r="G35" s="1213"/>
      <c r="H35" s="1227">
        <v>30</v>
      </c>
      <c r="I35" s="1243"/>
      <c r="J35" s="1244"/>
      <c r="K35" s="1213"/>
      <c r="L35" s="1213"/>
      <c r="M35" s="1213"/>
      <c r="N35" s="1213"/>
      <c r="O35" s="1213"/>
      <c r="P35" s="1213"/>
      <c r="Q35" s="1213"/>
      <c r="R35" s="1213"/>
      <c r="S35" s="1213"/>
      <c r="T35" s="1213"/>
      <c r="U35" s="1213"/>
      <c r="V35" s="1213"/>
      <c r="W35" s="1213"/>
      <c r="X35" s="1213"/>
      <c r="Y35" s="1213"/>
      <c r="Z35" s="1213"/>
      <c r="AA35" s="1213"/>
      <c r="AB35" s="1213"/>
      <c r="AC35" s="1213"/>
      <c r="AD35" s="1213"/>
      <c r="AE35" s="1213"/>
      <c r="AF35" s="1213"/>
      <c r="AG35" s="1213"/>
      <c r="AH35" s="1213"/>
      <c r="AI35" s="1213"/>
      <c r="AJ35" s="1213"/>
      <c r="AK35" s="1213"/>
      <c r="AL35" s="1213"/>
      <c r="AM35" s="1213"/>
      <c r="AN35" s="1213"/>
      <c r="AO35" s="1213"/>
      <c r="AP35" s="1213"/>
      <c r="AQ35" s="1213"/>
      <c r="AR35" s="1213"/>
      <c r="AS35" s="1213"/>
      <c r="AT35" s="1213"/>
      <c r="AU35" s="1213"/>
      <c r="AV35" s="1213"/>
      <c r="AW35" s="1213"/>
      <c r="AX35" s="1213"/>
      <c r="AY35" s="1213"/>
      <c r="AZ35" s="1213"/>
      <c r="BA35" s="1213"/>
      <c r="BB35" s="1213"/>
      <c r="BC35" s="1213"/>
      <c r="BD35" s="1213"/>
      <c r="BE35" s="1213"/>
      <c r="BF35" s="1213"/>
      <c r="BG35" s="1213"/>
      <c r="BH35" s="1213"/>
      <c r="BI35" s="1213"/>
      <c r="BJ35" s="1213"/>
      <c r="BK35" s="1213"/>
    </row>
    <row r="36" spans="1:63" ht="12.75" customHeight="1" x14ac:dyDescent="0.3">
      <c r="A36" s="1213"/>
      <c r="B36" s="1280" t="s">
        <v>465</v>
      </c>
      <c r="C36" s="548"/>
      <c r="D36" s="1233" t="s">
        <v>418</v>
      </c>
      <c r="E36" s="548"/>
      <c r="F36" s="1281">
        <v>0.35</v>
      </c>
      <c r="G36" s="1213"/>
      <c r="H36" s="1227">
        <v>31</v>
      </c>
      <c r="I36" s="1243"/>
      <c r="J36" s="1244"/>
      <c r="K36" s="1213"/>
      <c r="L36" s="1213"/>
      <c r="M36" s="1213"/>
      <c r="N36" s="1213"/>
      <c r="O36" s="1213"/>
      <c r="P36" s="1213"/>
      <c r="Q36" s="1213"/>
      <c r="R36" s="1213"/>
      <c r="S36" s="1213"/>
      <c r="T36" s="1213"/>
      <c r="U36" s="1213"/>
      <c r="V36" s="1213"/>
      <c r="W36" s="1213"/>
      <c r="X36" s="1213"/>
      <c r="Y36" s="1213"/>
      <c r="Z36" s="1213"/>
      <c r="AA36" s="1213"/>
      <c r="AB36" s="1213"/>
      <c r="AC36" s="1213"/>
      <c r="AD36" s="1213"/>
      <c r="AE36" s="1213"/>
      <c r="AF36" s="1213"/>
      <c r="AG36" s="1213"/>
      <c r="AH36" s="1213"/>
      <c r="AI36" s="1213"/>
      <c r="AJ36" s="1213"/>
      <c r="AK36" s="1213"/>
      <c r="AL36" s="1213"/>
      <c r="AM36" s="1213"/>
      <c r="AN36" s="1213"/>
      <c r="AO36" s="1213"/>
      <c r="AP36" s="1213"/>
      <c r="AQ36" s="1213"/>
      <c r="AR36" s="1213"/>
      <c r="AS36" s="1213"/>
      <c r="AT36" s="1213"/>
      <c r="AU36" s="1213"/>
      <c r="AV36" s="1213"/>
      <c r="AW36" s="1213"/>
      <c r="AX36" s="1213"/>
      <c r="AY36" s="1213"/>
      <c r="AZ36" s="1213"/>
      <c r="BA36" s="1213"/>
      <c r="BB36" s="1213"/>
      <c r="BC36" s="1213"/>
      <c r="BD36" s="1213"/>
      <c r="BE36" s="1213"/>
      <c r="BF36" s="1213"/>
      <c r="BG36" s="1213"/>
      <c r="BH36" s="1213"/>
      <c r="BI36" s="1213"/>
      <c r="BJ36" s="1213"/>
      <c r="BK36" s="1213"/>
    </row>
    <row r="37" spans="1:63" ht="12.75" customHeight="1" x14ac:dyDescent="0.3">
      <c r="A37" s="1213"/>
      <c r="B37" s="1280" t="s">
        <v>466</v>
      </c>
      <c r="C37" s="548"/>
      <c r="D37" s="1233" t="s">
        <v>418</v>
      </c>
      <c r="E37" s="548"/>
      <c r="F37" s="1282">
        <f>1-F36</f>
        <v>0.65</v>
      </c>
      <c r="G37" s="1213"/>
      <c r="H37" s="1227">
        <v>32</v>
      </c>
      <c r="I37" s="1243"/>
      <c r="J37" s="1244"/>
      <c r="K37" s="1213"/>
      <c r="L37" s="1213"/>
      <c r="M37" s="1213"/>
      <c r="N37" s="1213"/>
      <c r="O37" s="1213"/>
      <c r="P37" s="1213"/>
      <c r="Q37" s="1213"/>
      <c r="R37" s="1213"/>
      <c r="S37" s="1213"/>
      <c r="T37" s="1213"/>
      <c r="U37" s="1213"/>
      <c r="V37" s="1213"/>
      <c r="W37" s="1213"/>
      <c r="X37" s="1213"/>
      <c r="Y37" s="1213"/>
      <c r="Z37" s="1213"/>
      <c r="AA37" s="1213"/>
      <c r="AB37" s="1213"/>
      <c r="AC37" s="1213"/>
      <c r="AD37" s="1213"/>
      <c r="AE37" s="1213"/>
      <c r="AF37" s="1213"/>
      <c r="AG37" s="1213"/>
      <c r="AH37" s="1213"/>
      <c r="AI37" s="1213"/>
      <c r="AJ37" s="1213"/>
      <c r="AK37" s="1213"/>
      <c r="AL37" s="1213"/>
      <c r="AM37" s="1213"/>
      <c r="AN37" s="1213"/>
      <c r="AO37" s="1213"/>
      <c r="AP37" s="1213"/>
      <c r="AQ37" s="1213"/>
      <c r="AR37" s="1213"/>
      <c r="AS37" s="1213"/>
      <c r="AT37" s="1213"/>
      <c r="AU37" s="1213"/>
      <c r="AV37" s="1213"/>
      <c r="AW37" s="1213"/>
      <c r="AX37" s="1213"/>
      <c r="AY37" s="1213"/>
      <c r="AZ37" s="1213"/>
      <c r="BA37" s="1213"/>
      <c r="BB37" s="1213"/>
      <c r="BC37" s="1213"/>
      <c r="BD37" s="1213"/>
      <c r="BE37" s="1213"/>
      <c r="BF37" s="1213"/>
      <c r="BG37" s="1213"/>
      <c r="BH37" s="1213"/>
      <c r="BI37" s="1213"/>
      <c r="BJ37" s="1213"/>
      <c r="BK37" s="1213"/>
    </row>
    <row r="38" spans="1:63" ht="12.75" customHeight="1" x14ac:dyDescent="0.3">
      <c r="A38" s="1213"/>
      <c r="B38" s="548" t="s">
        <v>467</v>
      </c>
      <c r="C38" s="548"/>
      <c r="D38" s="1233" t="s">
        <v>418</v>
      </c>
      <c r="E38" s="548"/>
      <c r="F38" s="1283">
        <v>0.18</v>
      </c>
      <c r="G38" s="1213"/>
      <c r="H38" s="1227">
        <v>33</v>
      </c>
      <c r="I38" s="1243"/>
      <c r="J38" s="1244"/>
      <c r="K38" s="1213"/>
      <c r="L38" s="1213"/>
      <c r="M38" s="1213"/>
      <c r="N38" s="1213"/>
      <c r="O38" s="1213"/>
      <c r="P38" s="1213"/>
      <c r="Q38" s="1213"/>
      <c r="R38" s="1213"/>
      <c r="S38" s="1213"/>
      <c r="T38" s="1213"/>
      <c r="U38" s="1213"/>
      <c r="V38" s="1213"/>
      <c r="W38" s="1213"/>
      <c r="X38" s="1213"/>
      <c r="Y38" s="1213"/>
      <c r="Z38" s="1213"/>
      <c r="AA38" s="1213"/>
      <c r="AB38" s="1213"/>
      <c r="AC38" s="1213"/>
      <c r="AD38" s="1213"/>
      <c r="AE38" s="1213"/>
      <c r="AF38" s="1213"/>
      <c r="AG38" s="1213"/>
      <c r="AH38" s="1213"/>
      <c r="AI38" s="1213"/>
      <c r="AJ38" s="1213"/>
      <c r="AK38" s="1213"/>
      <c r="AL38" s="1213"/>
      <c r="AM38" s="1213"/>
      <c r="AN38" s="1213"/>
      <c r="AO38" s="1213"/>
      <c r="AP38" s="1213"/>
      <c r="AQ38" s="1213"/>
      <c r="AR38" s="1213"/>
      <c r="AS38" s="1213"/>
      <c r="AT38" s="1213"/>
      <c r="AU38" s="1213"/>
      <c r="AV38" s="1213"/>
      <c r="AW38" s="1213"/>
      <c r="AX38" s="1213"/>
      <c r="AY38" s="1213"/>
      <c r="AZ38" s="1213"/>
      <c r="BA38" s="1213"/>
      <c r="BB38" s="1213"/>
      <c r="BC38" s="1213"/>
      <c r="BD38" s="1213"/>
      <c r="BE38" s="1213"/>
      <c r="BF38" s="1213"/>
      <c r="BG38" s="1213"/>
      <c r="BH38" s="1213"/>
      <c r="BI38" s="1213"/>
      <c r="BJ38" s="1213"/>
      <c r="BK38" s="1213"/>
    </row>
    <row r="39" spans="1:63" ht="12.75" customHeight="1" x14ac:dyDescent="0.3">
      <c r="A39" s="1213"/>
      <c r="B39" s="1280" t="s">
        <v>468</v>
      </c>
      <c r="C39" s="548"/>
      <c r="D39" s="1233" t="s">
        <v>418</v>
      </c>
      <c r="E39" s="548"/>
      <c r="F39" s="1281">
        <v>0.5</v>
      </c>
      <c r="G39" s="1213"/>
      <c r="H39" s="1227">
        <v>34</v>
      </c>
      <c r="I39" s="1243"/>
      <c r="J39" s="1244"/>
      <c r="K39" s="1213"/>
      <c r="L39" s="1213"/>
      <c r="M39" s="1213"/>
      <c r="N39" s="1213"/>
      <c r="O39" s="1213"/>
      <c r="P39" s="1213"/>
      <c r="Q39" s="1213"/>
      <c r="R39" s="1213"/>
      <c r="S39" s="1213"/>
      <c r="T39" s="1213"/>
      <c r="U39" s="1213"/>
      <c r="V39" s="1213"/>
      <c r="W39" s="1213"/>
      <c r="X39" s="1213"/>
      <c r="Y39" s="1213"/>
      <c r="Z39" s="1213"/>
      <c r="AA39" s="1213"/>
      <c r="AB39" s="1213"/>
      <c r="AC39" s="1213"/>
      <c r="AD39" s="1213"/>
      <c r="AE39" s="1213"/>
      <c r="AF39" s="1213"/>
      <c r="AG39" s="1213"/>
      <c r="AH39" s="1213"/>
      <c r="AI39" s="1213"/>
      <c r="AJ39" s="1213"/>
      <c r="AK39" s="1213"/>
      <c r="AL39" s="1213"/>
      <c r="AM39" s="1213"/>
      <c r="AN39" s="1213"/>
      <c r="AO39" s="1213"/>
      <c r="AP39" s="1213"/>
      <c r="AQ39" s="1213"/>
      <c r="AR39" s="1213"/>
      <c r="AS39" s="1213"/>
      <c r="AT39" s="1213"/>
      <c r="AU39" s="1213"/>
      <c r="AV39" s="1213"/>
      <c r="AW39" s="1213"/>
      <c r="AX39" s="1213"/>
      <c r="AY39" s="1213"/>
      <c r="AZ39" s="1213"/>
      <c r="BA39" s="1213"/>
      <c r="BB39" s="1213"/>
      <c r="BC39" s="1213"/>
      <c r="BD39" s="1213"/>
      <c r="BE39" s="1213"/>
      <c r="BF39" s="1213"/>
      <c r="BG39" s="1213"/>
      <c r="BH39" s="1213"/>
      <c r="BI39" s="1213"/>
      <c r="BJ39" s="1213"/>
      <c r="BK39" s="1213"/>
    </row>
    <row r="40" spans="1:63" ht="12.75" customHeight="1" x14ac:dyDescent="0.3">
      <c r="A40" s="1213"/>
      <c r="B40" s="1280" t="s">
        <v>469</v>
      </c>
      <c r="C40" s="548"/>
      <c r="D40" s="1233" t="s">
        <v>418</v>
      </c>
      <c r="E40" s="548"/>
      <c r="F40" s="1282">
        <f>1-F39</f>
        <v>0.5</v>
      </c>
      <c r="G40" s="1213"/>
      <c r="H40" s="1227">
        <v>35</v>
      </c>
      <c r="I40" s="1284"/>
      <c r="J40" s="1285"/>
      <c r="K40" s="1213"/>
      <c r="L40" s="1213"/>
      <c r="M40" s="1213"/>
      <c r="N40" s="1213"/>
      <c r="O40" s="1213"/>
      <c r="P40" s="1213"/>
      <c r="Q40" s="1213"/>
      <c r="R40" s="1213"/>
      <c r="S40" s="1213"/>
      <c r="T40" s="1213"/>
      <c r="U40" s="1213"/>
      <c r="V40" s="1213"/>
      <c r="W40" s="1213"/>
      <c r="X40" s="1213"/>
      <c r="Y40" s="1213"/>
      <c r="Z40" s="1213"/>
      <c r="AA40" s="1213"/>
      <c r="AB40" s="1213"/>
      <c r="AC40" s="1213"/>
      <c r="AD40" s="1213"/>
      <c r="AE40" s="1213"/>
      <c r="AF40" s="1213"/>
      <c r="AG40" s="1213"/>
      <c r="AH40" s="1213"/>
      <c r="AI40" s="1213"/>
      <c r="AJ40" s="1213"/>
      <c r="AK40" s="1213"/>
      <c r="AL40" s="1213"/>
      <c r="AM40" s="1213"/>
      <c r="AN40" s="1213"/>
      <c r="AO40" s="1213"/>
      <c r="AP40" s="1213"/>
      <c r="AQ40" s="1213"/>
      <c r="AR40" s="1213"/>
      <c r="AS40" s="1213"/>
      <c r="AT40" s="1213"/>
      <c r="AU40" s="1213"/>
      <c r="AV40" s="1213"/>
      <c r="AW40" s="1213"/>
      <c r="AX40" s="1213"/>
      <c r="AY40" s="1213"/>
      <c r="AZ40" s="1213"/>
      <c r="BA40" s="1213"/>
      <c r="BB40" s="1213"/>
      <c r="BC40" s="1213"/>
      <c r="BD40" s="1213"/>
      <c r="BE40" s="1213"/>
      <c r="BF40" s="1213"/>
      <c r="BG40" s="1213"/>
      <c r="BH40" s="1213"/>
      <c r="BI40" s="1213"/>
      <c r="BJ40" s="1213"/>
      <c r="BK40" s="1213"/>
    </row>
    <row r="41" spans="1:63" ht="12.75" customHeight="1" x14ac:dyDescent="0.3">
      <c r="A41" s="1213"/>
      <c r="B41" s="548"/>
      <c r="C41" s="548"/>
      <c r="D41" s="1233"/>
      <c r="E41" s="548"/>
      <c r="F41" s="1281"/>
      <c r="G41" s="1213"/>
      <c r="H41" s="1227"/>
      <c r="I41" s="1213"/>
      <c r="J41" s="1213"/>
      <c r="K41" s="1213"/>
      <c r="L41" s="1213"/>
      <c r="M41" s="1213"/>
      <c r="N41" s="1213"/>
      <c r="O41" s="1213"/>
      <c r="P41" s="1213"/>
      <c r="Q41" s="1213"/>
      <c r="R41" s="1213"/>
      <c r="S41" s="1213"/>
      <c r="T41" s="1213"/>
      <c r="U41" s="1213"/>
      <c r="V41" s="1213"/>
      <c r="W41" s="1213"/>
      <c r="X41" s="1213"/>
      <c r="Y41" s="1213"/>
      <c r="Z41" s="1213"/>
      <c r="AA41" s="1213"/>
      <c r="AB41" s="1213"/>
      <c r="AC41" s="1213"/>
      <c r="AD41" s="1213"/>
      <c r="AE41" s="1213"/>
      <c r="AF41" s="1213"/>
      <c r="AG41" s="1213"/>
      <c r="AH41" s="1213"/>
      <c r="AI41" s="1213"/>
      <c r="AJ41" s="1213"/>
      <c r="AK41" s="1213"/>
      <c r="AL41" s="1213"/>
      <c r="AM41" s="1213"/>
      <c r="AN41" s="1213"/>
      <c r="AO41" s="1213"/>
      <c r="AP41" s="1213"/>
      <c r="AQ41" s="1213"/>
      <c r="AR41" s="1213"/>
      <c r="AS41" s="1213"/>
      <c r="AT41" s="1213"/>
      <c r="AU41" s="1213"/>
      <c r="AV41" s="1213"/>
      <c r="AW41" s="1213"/>
      <c r="AX41" s="1213"/>
      <c r="AY41" s="1213"/>
      <c r="AZ41" s="1213"/>
      <c r="BA41" s="1213"/>
      <c r="BB41" s="1213"/>
      <c r="BC41" s="1213"/>
      <c r="BD41" s="1213"/>
      <c r="BE41" s="1213"/>
      <c r="BF41" s="1213"/>
      <c r="BG41" s="1213"/>
      <c r="BH41" s="1213"/>
      <c r="BI41" s="1213"/>
      <c r="BJ41" s="1213"/>
      <c r="BK41" s="1213"/>
    </row>
    <row r="42" spans="1:63" ht="12.75" customHeight="1" x14ac:dyDescent="0.3">
      <c r="A42" s="1213"/>
      <c r="B42" s="1213"/>
      <c r="C42" s="1213"/>
      <c r="D42" s="1214"/>
      <c r="E42" s="1213"/>
      <c r="F42" s="1213"/>
      <c r="G42" s="1213"/>
      <c r="H42" s="1227"/>
      <c r="I42" s="1213" t="s">
        <v>470</v>
      </c>
      <c r="J42" s="1228" t="s">
        <v>402</v>
      </c>
      <c r="K42" s="1213"/>
      <c r="L42" s="1213"/>
      <c r="M42" s="1213"/>
      <c r="N42" s="1213"/>
      <c r="O42" s="1213"/>
      <c r="P42" s="1213"/>
      <c r="Q42" s="1213"/>
      <c r="R42" s="1213"/>
      <c r="S42" s="1213"/>
      <c r="T42" s="1213"/>
      <c r="U42" s="1213"/>
      <c r="V42" s="1213"/>
      <c r="W42" s="1213"/>
      <c r="X42" s="1213"/>
      <c r="Y42" s="1213"/>
      <c r="Z42" s="1213"/>
      <c r="AA42" s="1213"/>
      <c r="AB42" s="1213"/>
      <c r="AC42" s="1213"/>
      <c r="AD42" s="1213"/>
      <c r="AE42" s="1213"/>
      <c r="AF42" s="1213"/>
      <c r="AG42" s="1213"/>
      <c r="AH42" s="1213"/>
      <c r="AI42" s="1213"/>
      <c r="AJ42" s="1213"/>
      <c r="AK42" s="1213"/>
      <c r="AL42" s="1213"/>
      <c r="AM42" s="1213"/>
      <c r="AN42" s="1213"/>
      <c r="AO42" s="1213"/>
      <c r="AP42" s="1213"/>
      <c r="AQ42" s="1213"/>
      <c r="AR42" s="1213"/>
      <c r="AS42" s="1213"/>
      <c r="AT42" s="1213"/>
      <c r="AU42" s="1213"/>
      <c r="AV42" s="1213"/>
      <c r="AW42" s="1213"/>
      <c r="AX42" s="1213"/>
      <c r="AY42" s="1213"/>
      <c r="AZ42" s="1213"/>
      <c r="BA42" s="1213"/>
      <c r="BB42" s="1213"/>
      <c r="BC42" s="1213"/>
      <c r="BD42" s="1213"/>
      <c r="BE42" s="1213"/>
      <c r="BF42" s="1213"/>
      <c r="BG42" s="1213"/>
      <c r="BH42" s="1213"/>
      <c r="BI42" s="1213"/>
      <c r="BJ42" s="1213"/>
      <c r="BK42" s="1213"/>
    </row>
    <row r="43" spans="1:63" ht="12.75" customHeight="1" x14ac:dyDescent="0.3">
      <c r="A43" s="1213"/>
      <c r="B43" s="1223" t="s">
        <v>471</v>
      </c>
      <c r="C43" s="1224"/>
      <c r="D43" s="1225" t="s">
        <v>399</v>
      </c>
      <c r="E43" s="1223"/>
      <c r="F43" s="1226" t="s">
        <v>400</v>
      </c>
      <c r="G43" s="1279" t="s">
        <v>455</v>
      </c>
      <c r="H43" s="1227">
        <f>H6</f>
        <v>1</v>
      </c>
      <c r="I43" s="1235" t="str">
        <f>I6</f>
        <v>Emblem Meridian</v>
      </c>
      <c r="J43" s="1236">
        <v>0</v>
      </c>
      <c r="K43" s="1213"/>
      <c r="L43" s="1213"/>
      <c r="M43" s="1213"/>
      <c r="N43" s="1213"/>
      <c r="O43" s="1213"/>
      <c r="P43" s="1213"/>
      <c r="Q43" s="1213"/>
      <c r="R43" s="1213"/>
      <c r="S43" s="1213"/>
      <c r="T43" s="1213"/>
      <c r="U43" s="1213"/>
      <c r="V43" s="1213"/>
      <c r="W43" s="1213"/>
      <c r="X43" s="1213"/>
      <c r="Y43" s="1213"/>
      <c r="Z43" s="1213"/>
      <c r="AA43" s="1213"/>
      <c r="AB43" s="1213"/>
      <c r="AC43" s="1213"/>
      <c r="AD43" s="1213"/>
      <c r="AE43" s="1213"/>
      <c r="AF43" s="1213"/>
      <c r="AG43" s="1213"/>
      <c r="AH43" s="1213"/>
      <c r="AI43" s="1213"/>
      <c r="AJ43" s="1213"/>
      <c r="AK43" s="1213"/>
      <c r="AL43" s="1213"/>
      <c r="AM43" s="1213"/>
      <c r="AN43" s="1213"/>
      <c r="AO43" s="1213"/>
      <c r="AP43" s="1213"/>
      <c r="AQ43" s="1213"/>
      <c r="AR43" s="1213"/>
      <c r="AS43" s="1213"/>
      <c r="AT43" s="1213"/>
      <c r="AU43" s="1213"/>
      <c r="AV43" s="1213"/>
      <c r="AW43" s="1213"/>
      <c r="AX43" s="1213"/>
      <c r="AY43" s="1213"/>
      <c r="AZ43" s="1213"/>
      <c r="BA43" s="1213"/>
      <c r="BB43" s="1213"/>
      <c r="BC43" s="1213"/>
      <c r="BD43" s="1213"/>
      <c r="BE43" s="1213"/>
      <c r="BF43" s="1213"/>
      <c r="BG43" s="1213"/>
      <c r="BH43" s="1213"/>
      <c r="BI43" s="1213"/>
      <c r="BJ43" s="1213"/>
      <c r="BK43" s="1213"/>
    </row>
    <row r="44" spans="1:63" ht="12.75" customHeight="1" x14ac:dyDescent="0.3">
      <c r="A44" s="1213"/>
      <c r="B44" s="548" t="s">
        <v>459</v>
      </c>
      <c r="C44" s="548"/>
      <c r="D44" s="1233" t="s">
        <v>418</v>
      </c>
      <c r="E44" s="548"/>
      <c r="F44" s="1283">
        <v>8.2500000000000004E-2</v>
      </c>
      <c r="G44" s="1213"/>
      <c r="H44" s="1227">
        <f t="shared" ref="H44:H77" si="0">H7</f>
        <v>2</v>
      </c>
      <c r="I44" s="1243"/>
      <c r="J44" s="1244"/>
      <c r="K44" s="1213"/>
      <c r="L44" s="1213"/>
      <c r="M44" s="1213"/>
      <c r="N44" s="1213"/>
      <c r="O44" s="1213"/>
      <c r="P44" s="1213"/>
      <c r="Q44" s="1213"/>
      <c r="R44" s="1213"/>
      <c r="S44" s="1213"/>
      <c r="T44" s="1213"/>
      <c r="U44" s="1213"/>
      <c r="V44" s="1213"/>
      <c r="W44" s="1213"/>
      <c r="X44" s="1213"/>
      <c r="Y44" s="1213"/>
      <c r="Z44" s="1213"/>
      <c r="AA44" s="1213"/>
      <c r="AB44" s="1213"/>
      <c r="AC44" s="1213"/>
      <c r="AD44" s="1213"/>
      <c r="AE44" s="1213"/>
      <c r="AF44" s="1213"/>
      <c r="AG44" s="1213"/>
      <c r="AH44" s="1213"/>
      <c r="AI44" s="1213"/>
      <c r="AJ44" s="1213"/>
      <c r="AK44" s="1213"/>
      <c r="AL44" s="1213"/>
      <c r="AM44" s="1213"/>
      <c r="AN44" s="1213"/>
      <c r="AO44" s="1213"/>
      <c r="AP44" s="1213"/>
      <c r="AQ44" s="1213"/>
      <c r="AR44" s="1213"/>
      <c r="AS44" s="1213"/>
      <c r="AT44" s="1213"/>
      <c r="AU44" s="1213"/>
      <c r="AV44" s="1213"/>
      <c r="AW44" s="1213"/>
      <c r="AX44" s="1213"/>
      <c r="AY44" s="1213"/>
      <c r="AZ44" s="1213"/>
      <c r="BA44" s="1213"/>
      <c r="BB44" s="1213"/>
      <c r="BC44" s="1213"/>
      <c r="BD44" s="1213"/>
      <c r="BE44" s="1213"/>
      <c r="BF44" s="1213"/>
      <c r="BG44" s="1213"/>
      <c r="BH44" s="1213"/>
      <c r="BI44" s="1213"/>
      <c r="BJ44" s="1213"/>
      <c r="BK44" s="1213"/>
    </row>
    <row r="45" spans="1:63" ht="12.75" customHeight="1" x14ac:dyDescent="0.3">
      <c r="A45" s="1213"/>
      <c r="B45" s="1280" t="s">
        <v>461</v>
      </c>
      <c r="C45" s="548"/>
      <c r="D45" s="1233" t="s">
        <v>418</v>
      </c>
      <c r="E45" s="548"/>
      <c r="F45" s="1281">
        <v>0.15</v>
      </c>
      <c r="G45" s="1213"/>
      <c r="H45" s="1227">
        <f t="shared" si="0"/>
        <v>3</v>
      </c>
      <c r="I45" s="1243"/>
      <c r="J45" s="1244"/>
      <c r="K45" s="1213"/>
      <c r="L45" s="1213"/>
      <c r="M45" s="1213"/>
      <c r="N45" s="1213"/>
      <c r="O45" s="1213"/>
      <c r="P45" s="1213"/>
      <c r="Q45" s="1213"/>
      <c r="R45" s="1213"/>
      <c r="S45" s="1213"/>
      <c r="T45" s="1213"/>
      <c r="U45" s="1213"/>
      <c r="V45" s="1213"/>
      <c r="W45" s="1213"/>
      <c r="X45" s="1213"/>
      <c r="Y45" s="1213"/>
      <c r="Z45" s="1213"/>
      <c r="AA45" s="1213"/>
      <c r="AB45" s="1213"/>
      <c r="AC45" s="1213"/>
      <c r="AD45" s="1213"/>
      <c r="AE45" s="1213"/>
      <c r="AF45" s="1213"/>
      <c r="AG45" s="1213"/>
      <c r="AH45" s="1213"/>
      <c r="AI45" s="1213"/>
      <c r="AJ45" s="1213"/>
      <c r="AK45" s="1213"/>
      <c r="AL45" s="1213"/>
      <c r="AM45" s="1213"/>
      <c r="AN45" s="1213"/>
      <c r="AO45" s="1213"/>
      <c r="AP45" s="1213"/>
      <c r="AQ45" s="1213"/>
      <c r="AR45" s="1213"/>
      <c r="AS45" s="1213"/>
      <c r="AT45" s="1213"/>
      <c r="AU45" s="1213"/>
      <c r="AV45" s="1213"/>
      <c r="AW45" s="1213"/>
      <c r="AX45" s="1213"/>
      <c r="AY45" s="1213"/>
      <c r="AZ45" s="1213"/>
      <c r="BA45" s="1213"/>
      <c r="BB45" s="1213"/>
      <c r="BC45" s="1213"/>
      <c r="BD45" s="1213"/>
      <c r="BE45" s="1213"/>
      <c r="BF45" s="1213"/>
      <c r="BG45" s="1213"/>
      <c r="BH45" s="1213"/>
      <c r="BI45" s="1213"/>
      <c r="BJ45" s="1213"/>
      <c r="BK45" s="1213"/>
    </row>
    <row r="46" spans="1:63" ht="12.75" customHeight="1" x14ac:dyDescent="0.3">
      <c r="A46" s="1213"/>
      <c r="B46" s="1280" t="s">
        <v>463</v>
      </c>
      <c r="C46" s="548"/>
      <c r="D46" s="1233" t="s">
        <v>418</v>
      </c>
      <c r="E46" s="548"/>
      <c r="F46" s="1282">
        <f>1-F45</f>
        <v>0.85</v>
      </c>
      <c r="G46" s="1213"/>
      <c r="H46" s="1227">
        <f t="shared" si="0"/>
        <v>4</v>
      </c>
      <c r="I46" s="1243"/>
      <c r="J46" s="1244"/>
      <c r="K46" s="1213"/>
      <c r="L46" s="1213"/>
      <c r="M46" s="1213"/>
      <c r="N46" s="1213"/>
      <c r="O46" s="1213"/>
      <c r="P46" s="1213"/>
      <c r="Q46" s="1213"/>
      <c r="R46" s="1213"/>
      <c r="S46" s="1213"/>
      <c r="T46" s="1213"/>
      <c r="U46" s="1213"/>
      <c r="V46" s="1213"/>
      <c r="W46" s="1213"/>
      <c r="X46" s="1213"/>
      <c r="Y46" s="1213"/>
      <c r="Z46" s="1213"/>
      <c r="AA46" s="1213"/>
      <c r="AB46" s="1213"/>
      <c r="AC46" s="1213"/>
      <c r="AD46" s="1213"/>
      <c r="AE46" s="1213"/>
      <c r="AF46" s="1213"/>
      <c r="AG46" s="1213"/>
      <c r="AH46" s="1213"/>
      <c r="AI46" s="1213"/>
      <c r="AJ46" s="1213"/>
      <c r="AK46" s="1213"/>
      <c r="AL46" s="1213"/>
      <c r="AM46" s="1213"/>
      <c r="AN46" s="1213"/>
      <c r="AO46" s="1213"/>
      <c r="AP46" s="1213"/>
      <c r="AQ46" s="1213"/>
      <c r="AR46" s="1213"/>
      <c r="AS46" s="1213"/>
      <c r="AT46" s="1213"/>
      <c r="AU46" s="1213"/>
      <c r="AV46" s="1213"/>
      <c r="AW46" s="1213"/>
      <c r="AX46" s="1213"/>
      <c r="AY46" s="1213"/>
      <c r="AZ46" s="1213"/>
      <c r="BA46" s="1213"/>
      <c r="BB46" s="1213"/>
      <c r="BC46" s="1213"/>
      <c r="BD46" s="1213"/>
      <c r="BE46" s="1213"/>
      <c r="BF46" s="1213"/>
      <c r="BG46" s="1213"/>
      <c r="BH46" s="1213"/>
      <c r="BI46" s="1213"/>
      <c r="BJ46" s="1213"/>
      <c r="BK46" s="1213"/>
    </row>
    <row r="47" spans="1:63" ht="12.75" customHeight="1" x14ac:dyDescent="0.3">
      <c r="A47" s="1213"/>
      <c r="B47" s="548" t="s">
        <v>464</v>
      </c>
      <c r="C47" s="548"/>
      <c r="D47" s="1233" t="s">
        <v>418</v>
      </c>
      <c r="E47" s="548"/>
      <c r="F47" s="1283">
        <v>0.1</v>
      </c>
      <c r="G47" s="1213"/>
      <c r="H47" s="1227">
        <f t="shared" si="0"/>
        <v>5</v>
      </c>
      <c r="I47" s="1243"/>
      <c r="J47" s="1244"/>
      <c r="K47" s="1213"/>
      <c r="L47" s="1213"/>
      <c r="M47" s="1213"/>
      <c r="N47" s="1213"/>
      <c r="O47" s="1213"/>
      <c r="P47" s="1213"/>
      <c r="Q47" s="1213"/>
      <c r="R47" s="1213"/>
      <c r="S47" s="1213"/>
      <c r="T47" s="1213"/>
      <c r="U47" s="1213"/>
      <c r="V47" s="1213"/>
      <c r="W47" s="1213"/>
      <c r="X47" s="1213"/>
      <c r="Y47" s="1213"/>
      <c r="Z47" s="1213"/>
      <c r="AA47" s="1213"/>
      <c r="AB47" s="1213"/>
      <c r="AC47" s="1213"/>
      <c r="AD47" s="1213"/>
      <c r="AE47" s="1213"/>
      <c r="AF47" s="1213"/>
      <c r="AG47" s="1213"/>
      <c r="AH47" s="1213"/>
      <c r="AI47" s="1213"/>
      <c r="AJ47" s="1213"/>
      <c r="AK47" s="1213"/>
      <c r="AL47" s="1213"/>
      <c r="AM47" s="1213"/>
      <c r="AN47" s="1213"/>
      <c r="AO47" s="1213"/>
      <c r="AP47" s="1213"/>
      <c r="AQ47" s="1213"/>
      <c r="AR47" s="1213"/>
      <c r="AS47" s="1213"/>
      <c r="AT47" s="1213"/>
      <c r="AU47" s="1213"/>
      <c r="AV47" s="1213"/>
      <c r="AW47" s="1213"/>
      <c r="AX47" s="1213"/>
      <c r="AY47" s="1213"/>
      <c r="AZ47" s="1213"/>
      <c r="BA47" s="1213"/>
      <c r="BB47" s="1213"/>
      <c r="BC47" s="1213"/>
      <c r="BD47" s="1213"/>
      <c r="BE47" s="1213"/>
      <c r="BF47" s="1213"/>
      <c r="BG47" s="1213"/>
      <c r="BH47" s="1213"/>
      <c r="BI47" s="1213"/>
      <c r="BJ47" s="1213"/>
      <c r="BK47" s="1213"/>
    </row>
    <row r="48" spans="1:63" ht="12.75" customHeight="1" x14ac:dyDescent="0.3">
      <c r="A48" s="1213"/>
      <c r="B48" s="1280" t="s">
        <v>465</v>
      </c>
      <c r="C48" s="548"/>
      <c r="D48" s="1233" t="s">
        <v>418</v>
      </c>
      <c r="E48" s="548"/>
      <c r="F48" s="1281">
        <v>0.35</v>
      </c>
      <c r="G48" s="1213"/>
      <c r="H48" s="1227">
        <f t="shared" si="0"/>
        <v>6</v>
      </c>
      <c r="I48" s="1243"/>
      <c r="J48" s="1244"/>
      <c r="K48" s="1213"/>
      <c r="L48" s="1213"/>
      <c r="M48" s="1213"/>
      <c r="N48" s="1213"/>
      <c r="O48" s="1213"/>
      <c r="P48" s="1213"/>
      <c r="Q48" s="1213"/>
      <c r="R48" s="1213"/>
      <c r="S48" s="1213"/>
      <c r="T48" s="1213"/>
      <c r="U48" s="1213"/>
      <c r="V48" s="1213"/>
      <c r="W48" s="1213"/>
      <c r="X48" s="1213"/>
      <c r="Y48" s="1213"/>
      <c r="Z48" s="1213"/>
      <c r="AA48" s="1213"/>
      <c r="AB48" s="1213"/>
      <c r="AC48" s="1213"/>
      <c r="AD48" s="1213"/>
      <c r="AE48" s="1213"/>
      <c r="AF48" s="1213"/>
      <c r="AG48" s="1213"/>
      <c r="AH48" s="1213"/>
      <c r="AI48" s="1213"/>
      <c r="AJ48" s="1213"/>
      <c r="AK48" s="1213"/>
      <c r="AL48" s="1213"/>
      <c r="AM48" s="1213"/>
      <c r="AN48" s="1213"/>
      <c r="AO48" s="1213"/>
      <c r="AP48" s="1213"/>
      <c r="AQ48" s="1213"/>
      <c r="AR48" s="1213"/>
      <c r="AS48" s="1213"/>
      <c r="AT48" s="1213"/>
      <c r="AU48" s="1213"/>
      <c r="AV48" s="1213"/>
      <c r="AW48" s="1213"/>
      <c r="AX48" s="1213"/>
      <c r="AY48" s="1213"/>
      <c r="AZ48" s="1213"/>
      <c r="BA48" s="1213"/>
      <c r="BB48" s="1213"/>
      <c r="BC48" s="1213"/>
      <c r="BD48" s="1213"/>
      <c r="BE48" s="1213"/>
      <c r="BF48" s="1213"/>
      <c r="BG48" s="1213"/>
      <c r="BH48" s="1213"/>
      <c r="BI48" s="1213"/>
      <c r="BJ48" s="1213"/>
      <c r="BK48" s="1213"/>
    </row>
    <row r="49" spans="1:63" ht="12.75" customHeight="1" x14ac:dyDescent="0.3">
      <c r="A49" s="1213"/>
      <c r="B49" s="1280" t="s">
        <v>466</v>
      </c>
      <c r="C49" s="548"/>
      <c r="D49" s="1233" t="s">
        <v>418</v>
      </c>
      <c r="E49" s="548"/>
      <c r="F49" s="1282">
        <f>1-F48</f>
        <v>0.65</v>
      </c>
      <c r="G49" s="1213"/>
      <c r="H49" s="1227">
        <f t="shared" si="0"/>
        <v>7</v>
      </c>
      <c r="I49" s="1243"/>
      <c r="J49" s="1244"/>
      <c r="K49" s="1213"/>
      <c r="L49" s="1213"/>
      <c r="M49" s="1213"/>
      <c r="N49" s="1213"/>
      <c r="O49" s="1213"/>
      <c r="P49" s="1213"/>
      <c r="Q49" s="1213"/>
      <c r="R49" s="1213"/>
      <c r="S49" s="1213"/>
      <c r="T49" s="1213"/>
      <c r="U49" s="1213"/>
      <c r="V49" s="1213"/>
      <c r="W49" s="1213"/>
      <c r="X49" s="1213"/>
      <c r="Y49" s="1213"/>
      <c r="Z49" s="1213"/>
      <c r="AA49" s="1213"/>
      <c r="AB49" s="1213"/>
      <c r="AC49" s="1213"/>
      <c r="AD49" s="1213"/>
      <c r="AE49" s="1213"/>
      <c r="AF49" s="1213"/>
      <c r="AG49" s="1213"/>
      <c r="AH49" s="1213"/>
      <c r="AI49" s="1213"/>
      <c r="AJ49" s="1213"/>
      <c r="AK49" s="1213"/>
      <c r="AL49" s="1213"/>
      <c r="AM49" s="1213"/>
      <c r="AN49" s="1213"/>
      <c r="AO49" s="1213"/>
      <c r="AP49" s="1213"/>
      <c r="AQ49" s="1213"/>
      <c r="AR49" s="1213"/>
      <c r="AS49" s="1213"/>
      <c r="AT49" s="1213"/>
      <c r="AU49" s="1213"/>
      <c r="AV49" s="1213"/>
      <c r="AW49" s="1213"/>
      <c r="AX49" s="1213"/>
      <c r="AY49" s="1213"/>
      <c r="AZ49" s="1213"/>
      <c r="BA49" s="1213"/>
      <c r="BB49" s="1213"/>
      <c r="BC49" s="1213"/>
      <c r="BD49" s="1213"/>
      <c r="BE49" s="1213"/>
      <c r="BF49" s="1213"/>
      <c r="BG49" s="1213"/>
      <c r="BH49" s="1213"/>
      <c r="BI49" s="1213"/>
      <c r="BJ49" s="1213"/>
      <c r="BK49" s="1213"/>
    </row>
    <row r="50" spans="1:63" ht="12.75" customHeight="1" x14ac:dyDescent="0.3">
      <c r="A50" s="1213"/>
      <c r="B50" s="548" t="s">
        <v>467</v>
      </c>
      <c r="C50" s="548"/>
      <c r="D50" s="1233" t="s">
        <v>418</v>
      </c>
      <c r="E50" s="548"/>
      <c r="F50" s="1283">
        <v>0.1</v>
      </c>
      <c r="G50" s="1213"/>
      <c r="H50" s="1227">
        <f t="shared" si="0"/>
        <v>8</v>
      </c>
      <c r="I50" s="1243"/>
      <c r="J50" s="1244"/>
      <c r="K50" s="1213"/>
      <c r="L50" s="1213"/>
      <c r="M50" s="1213"/>
      <c r="N50" s="1213"/>
      <c r="O50" s="1213"/>
      <c r="P50" s="1213"/>
      <c r="Q50" s="1213"/>
      <c r="R50" s="1213"/>
      <c r="S50" s="1213"/>
      <c r="T50" s="1213"/>
      <c r="U50" s="1213"/>
      <c r="V50" s="1213"/>
      <c r="W50" s="1213"/>
      <c r="X50" s="1213"/>
      <c r="Y50" s="1213"/>
      <c r="Z50" s="1213"/>
      <c r="AA50" s="1213"/>
      <c r="AB50" s="1213"/>
      <c r="AC50" s="1213"/>
      <c r="AD50" s="1213"/>
      <c r="AE50" s="1213"/>
      <c r="AF50" s="1213"/>
      <c r="AG50" s="1213"/>
      <c r="AH50" s="1213"/>
      <c r="AI50" s="1213"/>
      <c r="AJ50" s="1213"/>
      <c r="AK50" s="1213"/>
      <c r="AL50" s="1213"/>
      <c r="AM50" s="1213"/>
      <c r="AN50" s="1213"/>
      <c r="AO50" s="1213"/>
      <c r="AP50" s="1213"/>
      <c r="AQ50" s="1213"/>
      <c r="AR50" s="1213"/>
      <c r="AS50" s="1213"/>
      <c r="AT50" s="1213"/>
      <c r="AU50" s="1213"/>
      <c r="AV50" s="1213"/>
      <c r="AW50" s="1213"/>
      <c r="AX50" s="1213"/>
      <c r="AY50" s="1213"/>
      <c r="AZ50" s="1213"/>
      <c r="BA50" s="1213"/>
      <c r="BB50" s="1213"/>
      <c r="BC50" s="1213"/>
      <c r="BD50" s="1213"/>
      <c r="BE50" s="1213"/>
      <c r="BF50" s="1213"/>
      <c r="BG50" s="1213"/>
      <c r="BH50" s="1213"/>
      <c r="BI50" s="1213"/>
      <c r="BJ50" s="1213"/>
      <c r="BK50" s="1213"/>
    </row>
    <row r="51" spans="1:63" ht="12.75" customHeight="1" x14ac:dyDescent="0.3">
      <c r="A51" s="1213"/>
      <c r="B51" s="1280" t="s">
        <v>468</v>
      </c>
      <c r="C51" s="548"/>
      <c r="D51" s="1233" t="s">
        <v>418</v>
      </c>
      <c r="E51" s="548"/>
      <c r="F51" s="1281">
        <v>0.35</v>
      </c>
      <c r="G51" s="1213"/>
      <c r="H51" s="1227">
        <f t="shared" si="0"/>
        <v>9</v>
      </c>
      <c r="I51" s="1243"/>
      <c r="J51" s="1244"/>
      <c r="K51" s="1213"/>
      <c r="L51" s="1213"/>
      <c r="M51" s="1213"/>
      <c r="N51" s="1213"/>
      <c r="O51" s="1213"/>
      <c r="P51" s="1213"/>
      <c r="Q51" s="1213"/>
      <c r="R51" s="1213"/>
      <c r="S51" s="1213"/>
      <c r="T51" s="1213"/>
      <c r="U51" s="1213"/>
      <c r="V51" s="1213"/>
      <c r="W51" s="1213"/>
      <c r="X51" s="1213"/>
      <c r="Y51" s="1213"/>
      <c r="Z51" s="1213"/>
      <c r="AA51" s="1213"/>
      <c r="AB51" s="1213"/>
      <c r="AC51" s="1213"/>
      <c r="AD51" s="1213"/>
      <c r="AE51" s="1213"/>
      <c r="AF51" s="1213"/>
      <c r="AG51" s="1213"/>
      <c r="AH51" s="1213"/>
      <c r="AI51" s="1213"/>
      <c r="AJ51" s="1213"/>
      <c r="AK51" s="1213"/>
      <c r="AL51" s="1213"/>
      <c r="AM51" s="1213"/>
      <c r="AN51" s="1213"/>
      <c r="AO51" s="1213"/>
      <c r="AP51" s="1213"/>
      <c r="AQ51" s="1213"/>
      <c r="AR51" s="1213"/>
      <c r="AS51" s="1213"/>
      <c r="AT51" s="1213"/>
      <c r="AU51" s="1213"/>
      <c r="AV51" s="1213"/>
      <c r="AW51" s="1213"/>
      <c r="AX51" s="1213"/>
      <c r="AY51" s="1213"/>
      <c r="AZ51" s="1213"/>
      <c r="BA51" s="1213"/>
      <c r="BB51" s="1213"/>
      <c r="BC51" s="1213"/>
      <c r="BD51" s="1213"/>
      <c r="BE51" s="1213"/>
      <c r="BF51" s="1213"/>
      <c r="BG51" s="1213"/>
      <c r="BH51" s="1213"/>
      <c r="BI51" s="1213"/>
      <c r="BJ51" s="1213"/>
      <c r="BK51" s="1213"/>
    </row>
    <row r="52" spans="1:63" ht="12.75" customHeight="1" x14ac:dyDescent="0.3">
      <c r="A52" s="1213"/>
      <c r="B52" s="1280" t="s">
        <v>469</v>
      </c>
      <c r="C52" s="548"/>
      <c r="D52" s="1233" t="s">
        <v>418</v>
      </c>
      <c r="E52" s="548"/>
      <c r="F52" s="1282">
        <f>1-F51</f>
        <v>0.65</v>
      </c>
      <c r="G52" s="1213"/>
      <c r="H52" s="1227">
        <f t="shared" si="0"/>
        <v>10</v>
      </c>
      <c r="I52" s="1243"/>
      <c r="J52" s="1244"/>
      <c r="K52" s="1213"/>
      <c r="L52" s="1213"/>
      <c r="M52" s="1213"/>
      <c r="N52" s="1213"/>
      <c r="O52" s="1213"/>
      <c r="P52" s="1213"/>
      <c r="Q52" s="1213"/>
      <c r="R52" s="1213"/>
      <c r="S52" s="1213"/>
      <c r="T52" s="1213"/>
      <c r="U52" s="1213"/>
      <c r="V52" s="1213"/>
      <c r="W52" s="1213"/>
      <c r="X52" s="1213"/>
      <c r="Y52" s="1213"/>
      <c r="Z52" s="1213"/>
      <c r="AA52" s="1213"/>
      <c r="AB52" s="1213"/>
      <c r="AC52" s="1213"/>
      <c r="AD52" s="1213"/>
      <c r="AE52" s="1213"/>
      <c r="AF52" s="1213"/>
      <c r="AG52" s="1213"/>
      <c r="AH52" s="1213"/>
      <c r="AI52" s="1213"/>
      <c r="AJ52" s="1213"/>
      <c r="AK52" s="1213"/>
      <c r="AL52" s="1213"/>
      <c r="AM52" s="1213"/>
      <c r="AN52" s="1213"/>
      <c r="AO52" s="1213"/>
      <c r="AP52" s="1213"/>
      <c r="AQ52" s="1213"/>
      <c r="AR52" s="1213"/>
      <c r="AS52" s="1213"/>
      <c r="AT52" s="1213"/>
      <c r="AU52" s="1213"/>
      <c r="AV52" s="1213"/>
      <c r="AW52" s="1213"/>
      <c r="AX52" s="1213"/>
      <c r="AY52" s="1213"/>
      <c r="AZ52" s="1213"/>
      <c r="BA52" s="1213"/>
      <c r="BB52" s="1213"/>
      <c r="BC52" s="1213"/>
      <c r="BD52" s="1213"/>
      <c r="BE52" s="1213"/>
      <c r="BF52" s="1213"/>
      <c r="BG52" s="1213"/>
      <c r="BH52" s="1213"/>
      <c r="BI52" s="1213"/>
      <c r="BJ52" s="1213"/>
      <c r="BK52" s="1213"/>
    </row>
    <row r="53" spans="1:63" ht="12.75" customHeight="1" x14ac:dyDescent="0.3">
      <c r="A53" s="1213"/>
      <c r="B53" s="1213"/>
      <c r="C53" s="1213"/>
      <c r="D53" s="1214"/>
      <c r="E53" s="1213"/>
      <c r="F53" s="1213"/>
      <c r="G53" s="1213"/>
      <c r="H53" s="1227">
        <f t="shared" si="0"/>
        <v>11</v>
      </c>
      <c r="I53" s="1243"/>
      <c r="J53" s="1244"/>
      <c r="K53" s="1213"/>
      <c r="L53" s="1213"/>
      <c r="M53" s="1213"/>
      <c r="N53" s="1213"/>
      <c r="O53" s="1213"/>
      <c r="P53" s="1213"/>
      <c r="Q53" s="1213"/>
      <c r="R53" s="1213"/>
      <c r="S53" s="1213"/>
      <c r="T53" s="1213"/>
      <c r="U53" s="1213"/>
      <c r="V53" s="1213"/>
      <c r="W53" s="1213"/>
      <c r="X53" s="1213"/>
      <c r="Y53" s="1213"/>
      <c r="Z53" s="1213"/>
      <c r="AA53" s="1213"/>
      <c r="AB53" s="1213"/>
      <c r="AC53" s="1213"/>
      <c r="AD53" s="1213"/>
      <c r="AE53" s="1213"/>
      <c r="AF53" s="1213"/>
      <c r="AG53" s="1213"/>
      <c r="AH53" s="1213"/>
      <c r="AI53" s="1213"/>
      <c r="AJ53" s="1213"/>
      <c r="AK53" s="1213"/>
      <c r="AL53" s="1213"/>
      <c r="AM53" s="1213"/>
      <c r="AN53" s="1213"/>
      <c r="AO53" s="1213"/>
      <c r="AP53" s="1213"/>
      <c r="AQ53" s="1213"/>
      <c r="AR53" s="1213"/>
      <c r="AS53" s="1213"/>
      <c r="AT53" s="1213"/>
      <c r="AU53" s="1213"/>
      <c r="AV53" s="1213"/>
      <c r="AW53" s="1213"/>
      <c r="AX53" s="1213"/>
      <c r="AY53" s="1213"/>
      <c r="AZ53" s="1213"/>
      <c r="BA53" s="1213"/>
      <c r="BB53" s="1213"/>
      <c r="BC53" s="1213"/>
      <c r="BD53" s="1213"/>
      <c r="BE53" s="1213"/>
      <c r="BF53" s="1213"/>
      <c r="BG53" s="1213"/>
      <c r="BH53" s="1213"/>
      <c r="BI53" s="1213"/>
      <c r="BJ53" s="1213"/>
      <c r="BK53" s="1213"/>
    </row>
    <row r="54" spans="1:63" ht="12.75" customHeight="1" x14ac:dyDescent="0.3">
      <c r="A54" s="1213"/>
      <c r="B54" s="1213"/>
      <c r="C54" s="1213"/>
      <c r="D54" s="1214"/>
      <c r="E54" s="1213"/>
      <c r="F54" s="1213"/>
      <c r="G54" s="1213"/>
      <c r="H54" s="1227">
        <f t="shared" si="0"/>
        <v>12</v>
      </c>
      <c r="I54" s="1243"/>
      <c r="J54" s="1244"/>
      <c r="K54" s="1217"/>
      <c r="L54" s="1217"/>
      <c r="M54" s="1217"/>
      <c r="N54" s="1217"/>
      <c r="O54" s="1217"/>
      <c r="P54" s="1217"/>
      <c r="Q54" s="1217"/>
      <c r="R54" s="1217"/>
      <c r="S54" s="1217"/>
      <c r="T54" s="1217"/>
      <c r="U54" s="1217"/>
      <c r="V54" s="1217"/>
      <c r="W54" s="1217"/>
      <c r="X54" s="1217"/>
      <c r="Y54" s="1213"/>
      <c r="Z54" s="1213"/>
      <c r="AA54" s="1213"/>
      <c r="AB54" s="1213"/>
      <c r="AC54" s="1213"/>
      <c r="AD54" s="1213"/>
      <c r="AE54" s="1213"/>
      <c r="AF54" s="1213"/>
      <c r="AG54" s="1213"/>
      <c r="AH54" s="1213"/>
      <c r="AI54" s="1213"/>
      <c r="AJ54" s="1213"/>
      <c r="AK54" s="1213"/>
      <c r="AL54" s="1213"/>
      <c r="AM54" s="1213"/>
      <c r="AN54" s="1213"/>
      <c r="AO54" s="1213"/>
      <c r="AP54" s="1213"/>
      <c r="AQ54" s="1213"/>
      <c r="AR54" s="1213"/>
      <c r="AS54" s="1213"/>
      <c r="AT54" s="1213"/>
      <c r="AU54" s="1213"/>
      <c r="AV54" s="1213"/>
      <c r="AW54" s="1213"/>
      <c r="AX54" s="1213"/>
      <c r="AY54" s="1213"/>
      <c r="AZ54" s="1213"/>
      <c r="BA54" s="1213"/>
      <c r="BB54" s="1213"/>
      <c r="BC54" s="1213"/>
      <c r="BD54" s="1213"/>
      <c r="BE54" s="1213"/>
      <c r="BF54" s="1213"/>
      <c r="BG54" s="1213"/>
      <c r="BH54" s="1213"/>
      <c r="BI54" s="1213"/>
      <c r="BJ54" s="1213"/>
      <c r="BK54" s="1213"/>
    </row>
    <row r="55" spans="1:63" s="1215" customFormat="1" ht="12.75" customHeight="1" x14ac:dyDescent="0.3">
      <c r="A55" s="1213"/>
      <c r="B55" s="1216" t="s">
        <v>472</v>
      </c>
      <c r="C55" s="1217"/>
      <c r="D55" s="1218"/>
      <c r="E55" s="1217"/>
      <c r="F55" s="1217"/>
      <c r="G55" s="1217"/>
      <c r="H55" s="1227">
        <f t="shared" si="0"/>
        <v>13</v>
      </c>
      <c r="I55" s="1243"/>
      <c r="J55" s="1244"/>
      <c r="K55" s="1213"/>
      <c r="L55" s="1213"/>
      <c r="M55" s="1213"/>
      <c r="N55" s="1213"/>
      <c r="O55" s="1213"/>
      <c r="P55" s="1213"/>
      <c r="Q55" s="1213"/>
      <c r="R55" s="1213"/>
      <c r="S55" s="1213"/>
      <c r="T55" s="1213"/>
      <c r="U55" s="1213"/>
      <c r="V55" s="1213"/>
      <c r="W55" s="1213"/>
      <c r="X55" s="1213"/>
      <c r="Y55" s="1217"/>
      <c r="Z55" s="1217"/>
      <c r="AA55" s="1217"/>
      <c r="AB55" s="1217"/>
      <c r="AC55" s="1217"/>
      <c r="AD55" s="1217"/>
      <c r="AE55" s="1217"/>
      <c r="AF55" s="1217"/>
      <c r="AG55" s="1217"/>
      <c r="AH55" s="1217"/>
      <c r="AI55" s="1217"/>
      <c r="AJ55" s="1217"/>
      <c r="AK55" s="1217"/>
      <c r="AL55" s="1217"/>
      <c r="AM55" s="1217"/>
      <c r="AN55" s="1217"/>
      <c r="AO55" s="1217"/>
      <c r="AP55" s="1217"/>
      <c r="AQ55" s="1217"/>
      <c r="AR55" s="1217"/>
      <c r="AS55" s="1217"/>
      <c r="AT55" s="1217"/>
      <c r="AU55" s="1217"/>
      <c r="AV55" s="1217"/>
      <c r="AW55" s="1217"/>
      <c r="AX55" s="1217"/>
      <c r="AY55" s="1217"/>
      <c r="AZ55" s="1217"/>
      <c r="BA55" s="1217"/>
      <c r="BB55" s="1217"/>
      <c r="BC55" s="1217"/>
      <c r="BD55" s="1217"/>
      <c r="BE55" s="1217"/>
      <c r="BF55" s="1217"/>
      <c r="BG55" s="1217"/>
      <c r="BH55" s="1217"/>
      <c r="BI55" s="1217"/>
      <c r="BJ55" s="1217"/>
      <c r="BK55" s="1217"/>
    </row>
    <row r="56" spans="1:63" ht="12.75" customHeight="1" x14ac:dyDescent="0.3">
      <c r="A56" s="1213"/>
      <c r="B56" s="1213"/>
      <c r="C56" s="1213"/>
      <c r="D56" s="1214"/>
      <c r="E56" s="1213"/>
      <c r="F56" s="1213"/>
      <c r="G56" s="1213"/>
      <c r="H56" s="1227">
        <f t="shared" si="0"/>
        <v>14</v>
      </c>
      <c r="I56" s="1243"/>
      <c r="J56" s="1244"/>
      <c r="K56" s="1213"/>
      <c r="L56" s="1213"/>
      <c r="M56" s="1213"/>
      <c r="N56" s="1213"/>
      <c r="O56" s="1213"/>
      <c r="P56" s="1213"/>
      <c r="Q56" s="1213"/>
      <c r="R56" s="1213"/>
      <c r="S56" s="1213"/>
      <c r="T56" s="1213"/>
      <c r="U56" s="1213"/>
      <c r="V56" s="1213"/>
      <c r="W56" s="1213"/>
      <c r="X56" s="1213"/>
      <c r="Y56" s="1213"/>
      <c r="Z56" s="1213"/>
      <c r="AA56" s="1213"/>
      <c r="AB56" s="1213"/>
      <c r="AC56" s="1213"/>
      <c r="AD56" s="1213"/>
      <c r="AE56" s="1213"/>
      <c r="AF56" s="1213"/>
      <c r="AG56" s="1213"/>
      <c r="AH56" s="1213"/>
      <c r="AI56" s="1213"/>
      <c r="AJ56" s="1213"/>
      <c r="AK56" s="1213"/>
      <c r="AL56" s="1213"/>
      <c r="AM56" s="1213"/>
      <c r="AN56" s="1213"/>
      <c r="AO56" s="1213"/>
      <c r="AP56" s="1213"/>
      <c r="AQ56" s="1213"/>
      <c r="AR56" s="1213"/>
      <c r="AS56" s="1213"/>
      <c r="AT56" s="1213"/>
      <c r="AU56" s="1213"/>
      <c r="AV56" s="1213"/>
      <c r="AW56" s="1213"/>
      <c r="AX56" s="1213"/>
      <c r="AY56" s="1213"/>
      <c r="AZ56" s="1213"/>
      <c r="BA56" s="1213"/>
      <c r="BB56" s="1213"/>
      <c r="BC56" s="1213"/>
      <c r="BD56" s="1213"/>
      <c r="BE56" s="1213"/>
      <c r="BF56" s="1213"/>
      <c r="BG56" s="1213"/>
      <c r="BH56" s="1213"/>
      <c r="BI56" s="1213"/>
      <c r="BJ56" s="1213"/>
      <c r="BK56" s="1213"/>
    </row>
    <row r="57" spans="1:63" ht="12.75" customHeight="1" x14ac:dyDescent="0.3">
      <c r="A57" s="1213"/>
      <c r="B57" s="1286" t="s">
        <v>473</v>
      </c>
      <c r="C57" s="1286"/>
      <c r="D57" s="1225" t="s">
        <v>399</v>
      </c>
      <c r="E57" s="1223"/>
      <c r="F57" s="1226" t="s">
        <v>400</v>
      </c>
      <c r="G57" s="1213"/>
      <c r="H57" s="1227">
        <f t="shared" si="0"/>
        <v>15</v>
      </c>
      <c r="I57" s="1243"/>
      <c r="J57" s="1244"/>
      <c r="K57" s="1213"/>
      <c r="L57" s="1213"/>
      <c r="M57" s="1213"/>
      <c r="N57" s="1213"/>
      <c r="O57" s="1213"/>
      <c r="P57" s="1213"/>
      <c r="Q57" s="1213"/>
      <c r="R57" s="1213"/>
      <c r="S57" s="1213"/>
      <c r="T57" s="1213"/>
      <c r="U57" s="1213"/>
      <c r="V57" s="1213"/>
      <c r="W57" s="1213"/>
      <c r="X57" s="1213"/>
      <c r="Y57" s="1213"/>
      <c r="Z57" s="1213"/>
      <c r="AA57" s="1213"/>
      <c r="AB57" s="1213"/>
      <c r="AC57" s="1213"/>
      <c r="AD57" s="1213"/>
      <c r="AE57" s="1213"/>
      <c r="AF57" s="1213"/>
      <c r="AG57" s="1213"/>
      <c r="AH57" s="1213"/>
      <c r="AI57" s="1213"/>
      <c r="AJ57" s="1213"/>
      <c r="AK57" s="1213"/>
      <c r="AL57" s="1213"/>
      <c r="AM57" s="1213"/>
      <c r="AN57" s="1213"/>
      <c r="AO57" s="1213"/>
      <c r="AP57" s="1213"/>
      <c r="AQ57" s="1213"/>
      <c r="AR57" s="1213"/>
      <c r="AS57" s="1213"/>
      <c r="AT57" s="1213"/>
      <c r="AU57" s="1213"/>
      <c r="AV57" s="1213"/>
      <c r="AW57" s="1213"/>
      <c r="AX57" s="1213"/>
      <c r="AY57" s="1213"/>
      <c r="AZ57" s="1213"/>
      <c r="BA57" s="1213"/>
      <c r="BB57" s="1213"/>
      <c r="BC57" s="1213"/>
      <c r="BD57" s="1213"/>
      <c r="BE57" s="1213"/>
      <c r="BF57" s="1213"/>
      <c r="BG57" s="1213"/>
      <c r="BH57" s="1213"/>
      <c r="BI57" s="1213"/>
      <c r="BJ57" s="1213"/>
      <c r="BK57" s="1213"/>
    </row>
    <row r="58" spans="1:63" ht="12.75" customHeight="1" x14ac:dyDescent="0.3">
      <c r="A58" s="1213"/>
      <c r="B58" s="548" t="s">
        <v>474</v>
      </c>
      <c r="C58" s="548"/>
      <c r="D58" s="1233" t="s">
        <v>475</v>
      </c>
      <c r="E58" s="548"/>
      <c r="F58" s="1287">
        <v>0.91010000000000002</v>
      </c>
      <c r="G58" s="1213"/>
      <c r="H58" s="1227">
        <f t="shared" si="0"/>
        <v>16</v>
      </c>
      <c r="I58" s="1243"/>
      <c r="J58" s="1244"/>
      <c r="K58" s="1213"/>
      <c r="L58" s="1213"/>
      <c r="M58" s="1213"/>
      <c r="N58" s="1213"/>
      <c r="O58" s="1213"/>
      <c r="P58" s="1213"/>
      <c r="Q58" s="1213"/>
      <c r="R58" s="1213"/>
      <c r="S58" s="1213"/>
      <c r="T58" s="1213"/>
      <c r="U58" s="1213"/>
      <c r="V58" s="1213"/>
      <c r="W58" s="1213"/>
      <c r="X58" s="1213"/>
      <c r="Y58" s="1213"/>
      <c r="Z58" s="1213"/>
      <c r="AA58" s="1213"/>
      <c r="AB58" s="1213"/>
      <c r="AC58" s="1213"/>
      <c r="AD58" s="1213"/>
      <c r="AE58" s="1213"/>
      <c r="AF58" s="1213"/>
      <c r="AG58" s="1213"/>
      <c r="AH58" s="1213"/>
      <c r="AI58" s="1213"/>
      <c r="AJ58" s="1213"/>
      <c r="AK58" s="1213"/>
      <c r="AL58" s="1213"/>
      <c r="AM58" s="1213"/>
      <c r="AN58" s="1213"/>
      <c r="AO58" s="1213"/>
      <c r="AP58" s="1213"/>
      <c r="AQ58" s="1213"/>
      <c r="AR58" s="1213"/>
      <c r="AS58" s="1213"/>
      <c r="AT58" s="1213"/>
      <c r="AU58" s="1213"/>
      <c r="AV58" s="1213"/>
      <c r="AW58" s="1213"/>
      <c r="AX58" s="1213"/>
      <c r="AY58" s="1213"/>
      <c r="AZ58" s="1213"/>
      <c r="BA58" s="1213"/>
      <c r="BB58" s="1213"/>
      <c r="BC58" s="1213"/>
      <c r="BD58" s="1213"/>
      <c r="BE58" s="1213"/>
      <c r="BF58" s="1213"/>
      <c r="BG58" s="1213"/>
      <c r="BH58" s="1213"/>
      <c r="BI58" s="1213"/>
      <c r="BJ58" s="1213"/>
      <c r="BK58" s="1213"/>
    </row>
    <row r="59" spans="1:63" ht="12.75" customHeight="1" x14ac:dyDescent="0.3">
      <c r="A59" s="1213"/>
      <c r="B59" s="548" t="s">
        <v>138</v>
      </c>
      <c r="C59" s="548"/>
      <c r="D59" s="1233" t="s">
        <v>476</v>
      </c>
      <c r="E59" s="548"/>
      <c r="F59" s="1288">
        <v>6</v>
      </c>
      <c r="G59" s="1213"/>
      <c r="H59" s="1227">
        <f t="shared" si="0"/>
        <v>17</v>
      </c>
      <c r="I59" s="1243"/>
      <c r="J59" s="1244"/>
      <c r="K59" s="1213"/>
      <c r="L59" s="1213"/>
      <c r="M59" s="1213"/>
      <c r="N59" s="1213"/>
      <c r="O59" s="1213"/>
      <c r="P59" s="1213"/>
      <c r="Q59" s="1213"/>
      <c r="R59" s="1213"/>
      <c r="S59" s="1213"/>
      <c r="T59" s="1213"/>
      <c r="U59" s="1213"/>
      <c r="V59" s="1213"/>
      <c r="W59" s="1213"/>
      <c r="X59" s="1213"/>
      <c r="Y59" s="1213"/>
      <c r="Z59" s="1213"/>
      <c r="AA59" s="1213"/>
      <c r="AB59" s="1213"/>
      <c r="AC59" s="1213"/>
      <c r="AD59" s="1213"/>
      <c r="AE59" s="1213"/>
      <c r="AF59" s="1213"/>
      <c r="AG59" s="1213"/>
      <c r="AH59" s="1213"/>
      <c r="AI59" s="1213"/>
      <c r="AJ59" s="1213"/>
      <c r="AK59" s="1213"/>
      <c r="AL59" s="1213"/>
      <c r="AM59" s="1213"/>
      <c r="AN59" s="1213"/>
      <c r="AO59" s="1213"/>
      <c r="AP59" s="1213"/>
      <c r="AQ59" s="1213"/>
      <c r="AR59" s="1213"/>
      <c r="AS59" s="1213"/>
      <c r="AT59" s="1213"/>
      <c r="AU59" s="1213"/>
      <c r="AV59" s="1213"/>
      <c r="AW59" s="1213"/>
      <c r="AX59" s="1213"/>
      <c r="AY59" s="1213"/>
      <c r="AZ59" s="1213"/>
      <c r="BA59" s="1213"/>
      <c r="BB59" s="1213"/>
      <c r="BC59" s="1213"/>
      <c r="BD59" s="1213"/>
      <c r="BE59" s="1213"/>
      <c r="BF59" s="1213"/>
      <c r="BG59" s="1213"/>
      <c r="BH59" s="1213"/>
      <c r="BI59" s="1213"/>
      <c r="BJ59" s="1213"/>
      <c r="BK59" s="1213"/>
    </row>
    <row r="60" spans="1:63" ht="12.75" customHeight="1" x14ac:dyDescent="0.3">
      <c r="A60" s="1213"/>
      <c r="B60" s="548" t="s">
        <v>477</v>
      </c>
      <c r="C60" s="548"/>
      <c r="D60" s="1233" t="s">
        <v>478</v>
      </c>
      <c r="E60" s="548"/>
      <c r="F60" s="1281">
        <v>0</v>
      </c>
      <c r="G60" s="1213"/>
      <c r="H60" s="1227">
        <f t="shared" si="0"/>
        <v>18</v>
      </c>
      <c r="I60" s="1243"/>
      <c r="J60" s="1244"/>
      <c r="K60" s="1213"/>
      <c r="L60" s="1213"/>
      <c r="M60" s="1213"/>
      <c r="N60" s="1213"/>
      <c r="O60" s="1213"/>
      <c r="P60" s="1213"/>
      <c r="Q60" s="1213"/>
      <c r="R60" s="1213"/>
      <c r="S60" s="1213"/>
      <c r="T60" s="1213"/>
      <c r="U60" s="1213"/>
      <c r="V60" s="1213"/>
      <c r="W60" s="1213"/>
      <c r="X60" s="1213"/>
      <c r="Y60" s="1213"/>
      <c r="Z60" s="1213"/>
      <c r="AA60" s="1213"/>
      <c r="AB60" s="1213"/>
      <c r="AC60" s="1213"/>
      <c r="AD60" s="1213"/>
      <c r="AE60" s="1213"/>
      <c r="AF60" s="1213"/>
      <c r="AG60" s="1213"/>
      <c r="AH60" s="1213"/>
      <c r="AI60" s="1213"/>
      <c r="AJ60" s="1213"/>
      <c r="AK60" s="1213"/>
      <c r="AL60" s="1213"/>
      <c r="AM60" s="1213"/>
      <c r="AN60" s="1213"/>
      <c r="AO60" s="1213"/>
      <c r="AP60" s="1213"/>
      <c r="AQ60" s="1213"/>
      <c r="AR60" s="1213"/>
      <c r="AS60" s="1213"/>
      <c r="AT60" s="1213"/>
      <c r="AU60" s="1213"/>
      <c r="AV60" s="1213"/>
      <c r="AW60" s="1213"/>
      <c r="AX60" s="1213"/>
      <c r="AY60" s="1213"/>
      <c r="AZ60" s="1213"/>
      <c r="BA60" s="1213"/>
      <c r="BB60" s="1213"/>
      <c r="BC60" s="1213"/>
      <c r="BD60" s="1213"/>
      <c r="BE60" s="1213"/>
      <c r="BF60" s="1213"/>
      <c r="BG60" s="1213"/>
      <c r="BH60" s="1213"/>
      <c r="BI60" s="1213"/>
      <c r="BJ60" s="1213"/>
      <c r="BK60" s="1213"/>
    </row>
    <row r="61" spans="1:63" ht="12.75" customHeight="1" x14ac:dyDescent="0.3">
      <c r="A61" s="1213"/>
      <c r="B61" s="548"/>
      <c r="C61" s="548"/>
      <c r="D61" s="548"/>
      <c r="E61" s="548"/>
      <c r="F61" s="548"/>
      <c r="G61" s="1213"/>
      <c r="H61" s="1227">
        <f t="shared" si="0"/>
        <v>19</v>
      </c>
      <c r="I61" s="1243"/>
      <c r="J61" s="1244"/>
      <c r="K61" s="1213"/>
      <c r="L61" s="1213"/>
      <c r="M61" s="1213"/>
      <c r="N61" s="1213"/>
      <c r="O61" s="1213"/>
      <c r="P61" s="1213"/>
      <c r="Q61" s="1213"/>
      <c r="R61" s="1213"/>
      <c r="S61" s="1213"/>
      <c r="T61" s="1213"/>
      <c r="U61" s="1213"/>
      <c r="V61" s="1213"/>
      <c r="W61" s="1213"/>
      <c r="X61" s="1213"/>
      <c r="Y61" s="1213"/>
      <c r="Z61" s="1213"/>
      <c r="AA61" s="1213"/>
      <c r="AB61" s="1213"/>
      <c r="AC61" s="1213"/>
      <c r="AD61" s="1213"/>
      <c r="AE61" s="1213"/>
      <c r="AF61" s="1213"/>
      <c r="AG61" s="1213"/>
      <c r="AH61" s="1213"/>
      <c r="AI61" s="1213"/>
      <c r="AJ61" s="1213"/>
      <c r="AK61" s="1213"/>
      <c r="AL61" s="1213"/>
      <c r="AM61" s="1213"/>
      <c r="AN61" s="1213"/>
      <c r="AO61" s="1213"/>
      <c r="AP61" s="1213"/>
      <c r="AQ61" s="1213"/>
      <c r="AR61" s="1213"/>
      <c r="AS61" s="1213"/>
      <c r="AT61" s="1213"/>
      <c r="AU61" s="1213"/>
      <c r="AV61" s="1213"/>
      <c r="AW61" s="1213"/>
      <c r="AX61" s="1213"/>
      <c r="AY61" s="1213"/>
      <c r="AZ61" s="1213"/>
      <c r="BA61" s="1213"/>
      <c r="BB61" s="1213"/>
      <c r="BC61" s="1213"/>
      <c r="BD61" s="1213"/>
      <c r="BE61" s="1213"/>
      <c r="BF61" s="1213"/>
      <c r="BG61" s="1213"/>
      <c r="BH61" s="1213"/>
      <c r="BI61" s="1213"/>
      <c r="BJ61" s="1213"/>
      <c r="BK61" s="1213"/>
    </row>
    <row r="62" spans="1:63" ht="12.75" customHeight="1" x14ac:dyDescent="0.3">
      <c r="A62" s="1213"/>
      <c r="B62" s="548"/>
      <c r="C62" s="548"/>
      <c r="D62" s="548"/>
      <c r="E62" s="548"/>
      <c r="F62" s="548"/>
      <c r="G62" s="1213"/>
      <c r="H62" s="1227">
        <f t="shared" si="0"/>
        <v>20</v>
      </c>
      <c r="I62" s="1243"/>
      <c r="J62" s="1244"/>
      <c r="K62" s="1213"/>
      <c r="L62" s="1213"/>
      <c r="M62" s="1213"/>
      <c r="N62" s="1213"/>
      <c r="O62" s="1213"/>
      <c r="P62" s="1213"/>
      <c r="Q62" s="1213"/>
      <c r="R62" s="1213"/>
      <c r="S62" s="1213"/>
      <c r="T62" s="1213"/>
      <c r="U62" s="1213"/>
      <c r="V62" s="1213"/>
      <c r="W62" s="1213"/>
      <c r="X62" s="1213"/>
      <c r="Y62" s="1213"/>
      <c r="Z62" s="1213"/>
      <c r="AA62" s="1213"/>
      <c r="AB62" s="1213"/>
      <c r="AC62" s="1213"/>
      <c r="AD62" s="1213"/>
      <c r="AE62" s="1213"/>
      <c r="AF62" s="1213"/>
      <c r="AG62" s="1213"/>
      <c r="AH62" s="1213"/>
      <c r="AI62" s="1213"/>
      <c r="AJ62" s="1213"/>
      <c r="AK62" s="1213"/>
      <c r="AL62" s="1213"/>
      <c r="AM62" s="1213"/>
      <c r="AN62" s="1213"/>
      <c r="AO62" s="1213"/>
      <c r="AP62" s="1213"/>
      <c r="AQ62" s="1213"/>
      <c r="AR62" s="1213"/>
      <c r="AS62" s="1213"/>
      <c r="AT62" s="1213"/>
      <c r="AU62" s="1213"/>
      <c r="AV62" s="1213"/>
      <c r="AW62" s="1213"/>
      <c r="AX62" s="1213"/>
      <c r="AY62" s="1213"/>
      <c r="AZ62" s="1213"/>
      <c r="BA62" s="1213"/>
      <c r="BB62" s="1213"/>
      <c r="BC62" s="1213"/>
      <c r="BD62" s="1213"/>
      <c r="BE62" s="1213"/>
      <c r="BF62" s="1213"/>
      <c r="BG62" s="1213"/>
      <c r="BH62" s="1213"/>
      <c r="BI62" s="1213"/>
      <c r="BJ62" s="1213"/>
      <c r="BK62" s="1213"/>
    </row>
    <row r="63" spans="1:63" ht="12.75" customHeight="1" x14ac:dyDescent="0.3">
      <c r="A63" s="1213"/>
      <c r="B63" s="1216" t="s">
        <v>479</v>
      </c>
      <c r="C63" s="1217"/>
      <c r="D63" s="1218"/>
      <c r="E63" s="1217"/>
      <c r="F63" s="1217"/>
      <c r="G63" s="1217"/>
      <c r="H63" s="1227">
        <f t="shared" si="0"/>
        <v>21</v>
      </c>
      <c r="I63" s="1243"/>
      <c r="J63" s="1244"/>
      <c r="R63" s="1213"/>
      <c r="S63" s="1213"/>
      <c r="T63" s="1213"/>
      <c r="U63" s="1213"/>
      <c r="V63" s="1213"/>
      <c r="W63" s="1213"/>
      <c r="X63" s="1213"/>
      <c r="Y63" s="1213"/>
      <c r="Z63" s="1213"/>
      <c r="AA63" s="1213"/>
      <c r="AB63" s="1213"/>
      <c r="AC63" s="1213"/>
      <c r="AD63" s="1213"/>
      <c r="AE63" s="1213"/>
      <c r="AF63" s="1213"/>
      <c r="AG63" s="1213"/>
      <c r="AH63" s="1213"/>
      <c r="AI63" s="1213"/>
      <c r="AJ63" s="1213"/>
      <c r="AK63" s="1213"/>
      <c r="AL63" s="1213"/>
      <c r="AM63" s="1213"/>
      <c r="AN63" s="1213"/>
      <c r="AO63" s="1213"/>
      <c r="AP63" s="1213"/>
      <c r="AQ63" s="1213"/>
      <c r="AR63" s="1213"/>
      <c r="AS63" s="1213"/>
      <c r="AT63" s="1213"/>
      <c r="AU63" s="1213"/>
      <c r="AV63" s="1213"/>
      <c r="AW63" s="1213"/>
      <c r="AX63" s="1213"/>
      <c r="AY63" s="1213"/>
      <c r="AZ63" s="1213"/>
      <c r="BA63" s="1213"/>
      <c r="BB63" s="1213"/>
      <c r="BC63" s="1213"/>
      <c r="BD63" s="1213"/>
      <c r="BE63" s="1213"/>
      <c r="BF63" s="1213"/>
      <c r="BG63" s="1213"/>
      <c r="BH63" s="1213"/>
      <c r="BI63" s="1213"/>
      <c r="BJ63" s="1213"/>
      <c r="BK63" s="1213"/>
    </row>
    <row r="64" spans="1:63" ht="12.75" customHeight="1" x14ac:dyDescent="0.3">
      <c r="A64" s="1213"/>
      <c r="B64" s="548"/>
      <c r="C64" s="548"/>
      <c r="D64" s="548"/>
      <c r="E64" s="548"/>
      <c r="F64" s="548"/>
      <c r="G64" s="1213"/>
      <c r="H64" s="1227">
        <f t="shared" si="0"/>
        <v>22</v>
      </c>
      <c r="I64" s="1243"/>
      <c r="J64" s="1244"/>
      <c r="K64" s="1213"/>
      <c r="L64" s="1213"/>
      <c r="M64" s="1213"/>
      <c r="N64" s="1213"/>
      <c r="O64" s="1213"/>
      <c r="P64" s="1213"/>
      <c r="Q64" s="1213"/>
      <c r="R64" s="1289"/>
      <c r="S64" s="1289"/>
      <c r="T64" s="1289"/>
      <c r="U64" s="1289"/>
      <c r="V64" s="1289"/>
      <c r="W64" s="1289"/>
      <c r="X64" s="1289"/>
      <c r="Y64" s="1213"/>
      <c r="Z64" s="1213"/>
      <c r="AA64" s="1213"/>
      <c r="AB64" s="1213"/>
      <c r="AC64" s="1213"/>
      <c r="AD64" s="1213"/>
      <c r="AE64" s="1213"/>
      <c r="AF64" s="1213"/>
      <c r="AG64" s="1213"/>
      <c r="AH64" s="1213"/>
      <c r="AI64" s="1213"/>
      <c r="AJ64" s="1213"/>
      <c r="AK64" s="1213"/>
      <c r="AL64" s="1213"/>
      <c r="AM64" s="1213"/>
      <c r="AN64" s="1213"/>
      <c r="AO64" s="1213"/>
      <c r="AP64" s="1213"/>
      <c r="AQ64" s="1213"/>
      <c r="AR64" s="1213"/>
      <c r="AS64" s="1213"/>
      <c r="AT64" s="1213"/>
      <c r="AU64" s="1213"/>
      <c r="AV64" s="1213"/>
      <c r="AW64" s="1213"/>
      <c r="AX64" s="1213"/>
      <c r="AY64" s="1213"/>
      <c r="AZ64" s="1213"/>
      <c r="BA64" s="1213"/>
      <c r="BB64" s="1213"/>
      <c r="BC64" s="1213"/>
      <c r="BD64" s="1213"/>
      <c r="BE64" s="1213"/>
      <c r="BF64" s="1213"/>
      <c r="BG64" s="1213"/>
      <c r="BH64" s="1213"/>
      <c r="BI64" s="1213"/>
      <c r="BJ64" s="1213"/>
      <c r="BK64" s="1213"/>
    </row>
    <row r="65" spans="1:63" s="1291" customFormat="1" ht="12.75" customHeight="1" x14ac:dyDescent="0.3">
      <c r="A65" s="1289"/>
      <c r="B65" s="1286" t="s">
        <v>480</v>
      </c>
      <c r="C65" s="1286"/>
      <c r="D65" s="1225" t="s">
        <v>399</v>
      </c>
      <c r="E65" s="1223"/>
      <c r="F65" s="1226" t="s">
        <v>400</v>
      </c>
      <c r="G65" s="1289"/>
      <c r="H65" s="1227">
        <f t="shared" si="0"/>
        <v>23</v>
      </c>
      <c r="I65" s="1243"/>
      <c r="J65" s="1244"/>
      <c r="K65" s="1213"/>
      <c r="L65" s="1213"/>
      <c r="M65" s="1213"/>
      <c r="N65" s="1213"/>
      <c r="O65" s="1213"/>
      <c r="P65" s="1213"/>
      <c r="Q65" s="1213"/>
      <c r="R65" s="1290"/>
      <c r="S65" s="1290"/>
      <c r="T65" s="1290"/>
      <c r="U65" s="1290"/>
      <c r="V65" s="1290"/>
      <c r="W65" s="1290"/>
      <c r="X65" s="1290"/>
      <c r="Y65" s="1289"/>
      <c r="Z65" s="1289"/>
      <c r="AA65" s="1289"/>
      <c r="AB65" s="1289"/>
      <c r="AC65" s="1289"/>
      <c r="AD65" s="1289"/>
      <c r="AE65" s="1289"/>
      <c r="AF65" s="1289"/>
      <c r="AG65" s="1289"/>
      <c r="AH65" s="1289"/>
      <c r="AI65" s="1289"/>
      <c r="AJ65" s="1289"/>
      <c r="AK65" s="1289"/>
      <c r="AL65" s="1289"/>
      <c r="AM65" s="1289"/>
      <c r="AN65" s="1289"/>
      <c r="AO65" s="1289"/>
      <c r="AP65" s="1289"/>
      <c r="AQ65" s="1289"/>
      <c r="AR65" s="1289"/>
      <c r="AS65" s="1289"/>
      <c r="AT65" s="1289"/>
      <c r="AU65" s="1289"/>
      <c r="AV65" s="1289"/>
      <c r="AW65" s="1289"/>
      <c r="AX65" s="1289"/>
      <c r="AY65" s="1289"/>
      <c r="AZ65" s="1289"/>
      <c r="BA65" s="1289"/>
      <c r="BB65" s="1289"/>
      <c r="BC65" s="1289"/>
      <c r="BD65" s="1289"/>
      <c r="BE65" s="1289"/>
      <c r="BF65" s="1289"/>
      <c r="BG65" s="1289"/>
      <c r="BH65" s="1289"/>
      <c r="BI65" s="1289"/>
      <c r="BJ65" s="1289"/>
      <c r="BK65" s="1289"/>
    </row>
    <row r="66" spans="1:63" ht="12.75" customHeight="1" x14ac:dyDescent="0.3">
      <c r="A66" s="1213"/>
      <c r="B66" s="548" t="s">
        <v>481</v>
      </c>
      <c r="C66" s="548"/>
      <c r="D66" s="1233" t="s">
        <v>482</v>
      </c>
      <c r="E66" s="548"/>
      <c r="F66" s="1292">
        <v>1</v>
      </c>
      <c r="G66" s="1213"/>
      <c r="H66" s="1227">
        <f t="shared" si="0"/>
        <v>24</v>
      </c>
      <c r="I66" s="1243"/>
      <c r="J66" s="1244"/>
      <c r="K66" s="1213"/>
      <c r="L66" s="1213"/>
      <c r="M66" s="1213"/>
      <c r="N66" s="1213"/>
      <c r="O66" s="1213"/>
      <c r="P66" s="1213"/>
      <c r="Q66" s="1213"/>
      <c r="R66" s="1293"/>
      <c r="S66" s="1293"/>
      <c r="T66" s="1293"/>
      <c r="U66" s="1293"/>
      <c r="V66" s="1293"/>
      <c r="W66" s="1293"/>
      <c r="X66" s="1293"/>
      <c r="Y66" s="1290"/>
      <c r="Z66" s="1290"/>
      <c r="AA66" s="1290"/>
      <c r="AB66" s="1290"/>
      <c r="AC66" s="1290"/>
      <c r="AD66" s="1290"/>
      <c r="AE66" s="1290"/>
      <c r="AF66" s="1290"/>
      <c r="AG66" s="1290"/>
      <c r="AH66" s="1290"/>
      <c r="AI66" s="1290"/>
      <c r="AJ66" s="1290"/>
      <c r="AK66" s="1290"/>
      <c r="AL66" s="1290"/>
      <c r="AM66" s="1290"/>
      <c r="AN66" s="1290"/>
      <c r="AO66" s="1290"/>
      <c r="AP66" s="1290"/>
      <c r="AQ66" s="1213"/>
      <c r="AR66" s="1213"/>
      <c r="AS66" s="1213"/>
      <c r="AT66" s="1213"/>
      <c r="AU66" s="1213"/>
      <c r="AV66" s="1213"/>
      <c r="AW66" s="1213"/>
      <c r="AX66" s="1213"/>
      <c r="AY66" s="1213"/>
      <c r="AZ66" s="1213"/>
      <c r="BA66" s="1213"/>
      <c r="BB66" s="1213"/>
      <c r="BC66" s="1213"/>
      <c r="BD66" s="1213"/>
      <c r="BE66" s="1213"/>
      <c r="BF66" s="1213"/>
      <c r="BG66" s="1213"/>
      <c r="BH66" s="1213"/>
      <c r="BI66" s="1213"/>
      <c r="BJ66" s="1213"/>
      <c r="BK66" s="1213"/>
    </row>
    <row r="67" spans="1:63" ht="12.75" customHeight="1" x14ac:dyDescent="0.3">
      <c r="A67" s="1213"/>
      <c r="B67" s="548" t="s">
        <v>109</v>
      </c>
      <c r="C67" s="548"/>
      <c r="D67" s="1233" t="s">
        <v>483</v>
      </c>
      <c r="E67" s="548"/>
      <c r="F67" s="1256">
        <v>0.01</v>
      </c>
      <c r="G67" s="1213"/>
      <c r="H67" s="1227">
        <f t="shared" si="0"/>
        <v>25</v>
      </c>
      <c r="I67" s="1243"/>
      <c r="J67" s="1244"/>
      <c r="K67" s="1213"/>
      <c r="L67" s="1213"/>
      <c r="M67" s="1213"/>
      <c r="N67" s="1213"/>
      <c r="O67" s="1213"/>
      <c r="P67" s="1213"/>
      <c r="Q67" s="1213"/>
      <c r="R67" s="1293"/>
      <c r="S67" s="1293"/>
      <c r="T67" s="1293"/>
      <c r="U67" s="1293"/>
      <c r="V67" s="1293"/>
      <c r="W67" s="1293"/>
      <c r="X67" s="1293"/>
      <c r="Y67" s="1293"/>
      <c r="Z67" s="1293"/>
      <c r="AA67" s="1293"/>
      <c r="AB67" s="1293"/>
      <c r="AC67" s="1293"/>
      <c r="AD67" s="1293"/>
      <c r="AE67" s="1293"/>
      <c r="AF67" s="1293"/>
      <c r="AG67" s="1293"/>
      <c r="AH67" s="1293"/>
      <c r="AI67" s="1293"/>
      <c r="AJ67" s="1293"/>
      <c r="AK67" s="1293"/>
      <c r="AL67" s="1293"/>
      <c r="AM67" s="1293"/>
      <c r="AN67" s="1293"/>
      <c r="AO67" s="1293"/>
      <c r="AP67" s="1293"/>
      <c r="AQ67" s="1213"/>
      <c r="AR67" s="1213"/>
      <c r="AS67" s="1213"/>
      <c r="AT67" s="1213"/>
      <c r="AU67" s="1213"/>
      <c r="AV67" s="1213"/>
      <c r="AW67" s="1213"/>
      <c r="AX67" s="1213"/>
      <c r="AY67" s="1213"/>
      <c r="AZ67" s="1213"/>
      <c r="BA67" s="1213"/>
      <c r="BB67" s="1213"/>
      <c r="BC67" s="1213"/>
      <c r="BD67" s="1213"/>
      <c r="BE67" s="1213"/>
      <c r="BF67" s="1213"/>
      <c r="BG67" s="1213"/>
      <c r="BH67" s="1213"/>
      <c r="BI67" s="1213"/>
      <c r="BJ67" s="1213"/>
      <c r="BK67" s="1213"/>
    </row>
    <row r="68" spans="1:63" ht="12.75" customHeight="1" x14ac:dyDescent="0.3">
      <c r="A68" s="1213"/>
      <c r="B68" s="548" t="s">
        <v>484</v>
      </c>
      <c r="C68" s="548"/>
      <c r="D68" s="1233" t="s">
        <v>485</v>
      </c>
      <c r="E68" s="548"/>
      <c r="F68" s="1281">
        <v>0.02</v>
      </c>
      <c r="G68" s="1213"/>
      <c r="H68" s="1227">
        <f t="shared" si="0"/>
        <v>26</v>
      </c>
      <c r="I68" s="1243"/>
      <c r="J68" s="1244"/>
      <c r="K68" s="1213"/>
      <c r="L68" s="1213"/>
      <c r="M68" s="1213"/>
      <c r="N68" s="1213"/>
      <c r="O68" s="1213"/>
      <c r="P68" s="1213"/>
      <c r="Q68" s="1213"/>
      <c r="R68" s="1293"/>
      <c r="S68" s="1293"/>
      <c r="T68" s="1293"/>
      <c r="U68" s="1293"/>
      <c r="V68" s="1293"/>
      <c r="W68" s="1293"/>
      <c r="X68" s="1293"/>
      <c r="Y68" s="1293"/>
      <c r="Z68" s="1293"/>
      <c r="AA68" s="1293"/>
      <c r="AB68" s="1293"/>
      <c r="AC68" s="1293"/>
      <c r="AD68" s="1293"/>
      <c r="AE68" s="1293"/>
      <c r="AF68" s="1293"/>
      <c r="AG68" s="1293"/>
      <c r="AH68" s="1293"/>
      <c r="AI68" s="1293"/>
      <c r="AJ68" s="1293"/>
      <c r="AK68" s="1293"/>
      <c r="AL68" s="1293"/>
      <c r="AM68" s="1293"/>
      <c r="AN68" s="1293"/>
      <c r="AO68" s="1293"/>
      <c r="AP68" s="1293"/>
      <c r="AQ68" s="1213"/>
      <c r="AR68" s="1213"/>
      <c r="AS68" s="1213"/>
      <c r="AT68" s="1213"/>
      <c r="AU68" s="1213"/>
      <c r="AV68" s="1213"/>
      <c r="AW68" s="1213"/>
      <c r="AX68" s="1213"/>
      <c r="AY68" s="1213"/>
      <c r="AZ68" s="1213"/>
      <c r="BA68" s="1213"/>
      <c r="BB68" s="1213"/>
      <c r="BC68" s="1213"/>
      <c r="BD68" s="1213"/>
      <c r="BE68" s="1213"/>
      <c r="BF68" s="1213"/>
      <c r="BG68" s="1213"/>
      <c r="BH68" s="1213"/>
      <c r="BI68" s="1213"/>
      <c r="BJ68" s="1213"/>
      <c r="BK68" s="1213"/>
    </row>
    <row r="69" spans="1:63" ht="12.75" customHeight="1" x14ac:dyDescent="0.3">
      <c r="A69" s="1213"/>
      <c r="B69" s="548" t="s">
        <v>486</v>
      </c>
      <c r="C69" s="548"/>
      <c r="D69" s="1233" t="s">
        <v>418</v>
      </c>
      <c r="E69" s="548"/>
      <c r="F69" s="1256">
        <v>0.55000000000000004</v>
      </c>
      <c r="G69" s="1213"/>
      <c r="H69" s="1227">
        <f t="shared" si="0"/>
        <v>27</v>
      </c>
      <c r="I69" s="1243"/>
      <c r="J69" s="1294"/>
      <c r="K69" s="1213"/>
      <c r="L69" s="1213"/>
      <c r="M69" s="1213"/>
      <c r="N69" s="1213"/>
      <c r="O69" s="1213"/>
      <c r="P69" s="1213"/>
      <c r="Q69" s="1213"/>
      <c r="R69" s="1293"/>
      <c r="S69" s="1293"/>
      <c r="T69" s="1293"/>
      <c r="U69" s="1293"/>
      <c r="V69" s="1293"/>
      <c r="W69" s="1293"/>
      <c r="X69" s="1293"/>
      <c r="Y69" s="1293"/>
      <c r="Z69" s="1293"/>
      <c r="AA69" s="1293"/>
      <c r="AB69" s="1293"/>
      <c r="AC69" s="1293"/>
      <c r="AD69" s="1293"/>
      <c r="AE69" s="1293"/>
      <c r="AF69" s="1293"/>
      <c r="AG69" s="1293"/>
      <c r="AH69" s="1293"/>
      <c r="AI69" s="1293"/>
      <c r="AJ69" s="1293"/>
      <c r="AK69" s="1293"/>
      <c r="AL69" s="1293"/>
      <c r="AM69" s="1293"/>
      <c r="AN69" s="1293"/>
      <c r="AO69" s="1293"/>
      <c r="AP69" s="1293"/>
      <c r="AQ69" s="1213"/>
      <c r="AR69" s="1213"/>
      <c r="AS69" s="1213"/>
      <c r="AT69" s="1213"/>
      <c r="AU69" s="1213"/>
      <c r="AV69" s="1213"/>
      <c r="AW69" s="1213"/>
      <c r="AX69" s="1213"/>
      <c r="AY69" s="1213"/>
      <c r="AZ69" s="1213"/>
      <c r="BA69" s="1213"/>
      <c r="BB69" s="1213"/>
      <c r="BC69" s="1213"/>
      <c r="BD69" s="1213"/>
      <c r="BE69" s="1213"/>
      <c r="BF69" s="1213"/>
      <c r="BG69" s="1213"/>
      <c r="BH69" s="1213"/>
      <c r="BI69" s="1213"/>
      <c r="BJ69" s="1213"/>
      <c r="BK69" s="1213"/>
    </row>
    <row r="70" spans="1:63" ht="12.75" customHeight="1" x14ac:dyDescent="0.3">
      <c r="A70" s="1213"/>
      <c r="B70" s="548" t="s">
        <v>487</v>
      </c>
      <c r="C70" s="548"/>
      <c r="D70" s="1233" t="s">
        <v>409</v>
      </c>
      <c r="E70" s="548"/>
      <c r="F70" s="1242">
        <v>0</v>
      </c>
      <c r="G70" s="1213"/>
      <c r="H70" s="1227">
        <f t="shared" si="0"/>
        <v>28</v>
      </c>
      <c r="I70" s="1243"/>
      <c r="J70" s="1294"/>
      <c r="K70" s="1213"/>
      <c r="L70" s="1213"/>
      <c r="M70" s="1213"/>
      <c r="N70" s="1213"/>
      <c r="O70" s="1213"/>
      <c r="P70" s="1213"/>
      <c r="Q70" s="1213"/>
      <c r="R70" s="1293"/>
      <c r="S70" s="1293"/>
      <c r="T70" s="1293"/>
      <c r="U70" s="1293"/>
      <c r="V70" s="1293"/>
      <c r="W70" s="1293"/>
      <c r="X70" s="1293"/>
      <c r="Y70" s="1293"/>
      <c r="Z70" s="1293"/>
      <c r="AA70" s="1293"/>
      <c r="AB70" s="1293"/>
      <c r="AC70" s="1293"/>
      <c r="AD70" s="1293"/>
      <c r="AE70" s="1293"/>
      <c r="AF70" s="1293"/>
      <c r="AG70" s="1293"/>
      <c r="AH70" s="1293"/>
      <c r="AI70" s="1293"/>
      <c r="AJ70" s="1293"/>
      <c r="AK70" s="1293"/>
      <c r="AL70" s="1293"/>
      <c r="AM70" s="1293"/>
      <c r="AN70" s="1293"/>
      <c r="AO70" s="1293"/>
      <c r="AP70" s="1293"/>
      <c r="AQ70" s="1213"/>
      <c r="AR70" s="1213"/>
      <c r="AS70" s="1213"/>
      <c r="AT70" s="1213"/>
      <c r="AU70" s="1213"/>
      <c r="AV70" s="1213"/>
      <c r="AW70" s="1213"/>
      <c r="AX70" s="1213"/>
      <c r="AY70" s="1213"/>
      <c r="AZ70" s="1213"/>
      <c r="BA70" s="1213"/>
      <c r="BB70" s="1213"/>
      <c r="BC70" s="1213"/>
      <c r="BD70" s="1213"/>
      <c r="BE70" s="1213"/>
      <c r="BF70" s="1213"/>
      <c r="BG70" s="1213"/>
      <c r="BH70" s="1213"/>
      <c r="BI70" s="1213"/>
      <c r="BJ70" s="1213"/>
      <c r="BK70" s="1213"/>
    </row>
    <row r="71" spans="1:63" ht="12.75" customHeight="1" x14ac:dyDescent="0.3">
      <c r="A71" s="1213"/>
      <c r="B71" s="548"/>
      <c r="C71" s="548"/>
      <c r="D71" s="1233"/>
      <c r="E71" s="548"/>
      <c r="F71" s="1242"/>
      <c r="G71" s="1213"/>
      <c r="H71" s="1227">
        <f t="shared" si="0"/>
        <v>29</v>
      </c>
      <c r="I71" s="1243"/>
      <c r="J71" s="1294"/>
      <c r="K71" s="1213"/>
      <c r="L71" s="1213"/>
      <c r="M71" s="1213"/>
      <c r="N71" s="1213"/>
      <c r="O71" s="1213"/>
      <c r="P71" s="1213"/>
      <c r="Q71" s="1213"/>
      <c r="R71" s="1293"/>
      <c r="S71" s="1293"/>
      <c r="T71" s="1293"/>
      <c r="U71" s="1293"/>
      <c r="V71" s="1293"/>
      <c r="W71" s="1293"/>
      <c r="X71" s="1293"/>
      <c r="Y71" s="1293"/>
      <c r="Z71" s="1293"/>
      <c r="AA71" s="1293"/>
      <c r="AB71" s="1293"/>
      <c r="AC71" s="1293"/>
      <c r="AD71" s="1293"/>
      <c r="AE71" s="1293"/>
      <c r="AF71" s="1293"/>
      <c r="AG71" s="1293"/>
      <c r="AH71" s="1293"/>
      <c r="AI71" s="1293"/>
      <c r="AJ71" s="1293"/>
      <c r="AK71" s="1293"/>
      <c r="AL71" s="1293"/>
      <c r="AM71" s="1293"/>
      <c r="AN71" s="1293"/>
      <c r="AO71" s="1293"/>
      <c r="AP71" s="1293"/>
      <c r="AQ71" s="1213"/>
      <c r="AR71" s="1213"/>
      <c r="AS71" s="1213"/>
      <c r="AT71" s="1213"/>
      <c r="AU71" s="1213"/>
      <c r="AV71" s="1213"/>
      <c r="AW71" s="1213"/>
      <c r="AX71" s="1213"/>
      <c r="AY71" s="1213"/>
      <c r="AZ71" s="1213"/>
      <c r="BA71" s="1213"/>
      <c r="BB71" s="1213"/>
      <c r="BC71" s="1213"/>
      <c r="BD71" s="1213"/>
      <c r="BE71" s="1213"/>
      <c r="BF71" s="1213"/>
      <c r="BG71" s="1213"/>
      <c r="BH71" s="1213"/>
      <c r="BI71" s="1213"/>
      <c r="BJ71" s="1213"/>
      <c r="BK71" s="1213"/>
    </row>
    <row r="72" spans="1:63" ht="12.75" customHeight="1" x14ac:dyDescent="0.3">
      <c r="A72" s="1213"/>
      <c r="B72" s="548"/>
      <c r="C72" s="548"/>
      <c r="D72" s="1233"/>
      <c r="E72" s="548"/>
      <c r="F72" s="1242"/>
      <c r="G72" s="1213"/>
      <c r="H72" s="1227">
        <f t="shared" si="0"/>
        <v>30</v>
      </c>
      <c r="I72" s="1243"/>
      <c r="J72" s="1294"/>
      <c r="K72" s="1213"/>
      <c r="L72" s="1213"/>
      <c r="M72" s="1213"/>
      <c r="N72" s="1213"/>
      <c r="O72" s="1213"/>
      <c r="P72" s="1213"/>
      <c r="Q72" s="1213"/>
      <c r="R72" s="1293"/>
      <c r="S72" s="1293"/>
      <c r="T72" s="1293"/>
      <c r="U72" s="1293"/>
      <c r="V72" s="1293"/>
      <c r="W72" s="1293"/>
      <c r="X72" s="1293"/>
      <c r="Y72" s="1293"/>
      <c r="Z72" s="1293"/>
      <c r="AA72" s="1293"/>
      <c r="AB72" s="1293"/>
      <c r="AC72" s="1293"/>
      <c r="AD72" s="1293"/>
      <c r="AE72" s="1293"/>
      <c r="AF72" s="1293"/>
      <c r="AG72" s="1293"/>
      <c r="AH72" s="1293"/>
      <c r="AI72" s="1293"/>
      <c r="AJ72" s="1293"/>
      <c r="AK72" s="1293"/>
      <c r="AL72" s="1293"/>
      <c r="AM72" s="1293"/>
      <c r="AN72" s="1293"/>
      <c r="AO72" s="1293"/>
      <c r="AP72" s="1293"/>
      <c r="AQ72" s="1213"/>
      <c r="AR72" s="1213"/>
      <c r="AS72" s="1213"/>
      <c r="AT72" s="1213"/>
      <c r="AU72" s="1213"/>
      <c r="AV72" s="1213"/>
      <c r="AW72" s="1213"/>
      <c r="AX72" s="1213"/>
      <c r="AY72" s="1213"/>
      <c r="AZ72" s="1213"/>
      <c r="BA72" s="1213"/>
      <c r="BB72" s="1213"/>
      <c r="BC72" s="1213"/>
      <c r="BD72" s="1213"/>
      <c r="BE72" s="1213"/>
      <c r="BF72" s="1213"/>
      <c r="BG72" s="1213"/>
      <c r="BH72" s="1213"/>
      <c r="BI72" s="1213"/>
      <c r="BJ72" s="1213"/>
      <c r="BK72" s="1213"/>
    </row>
    <row r="73" spans="1:63" ht="12.75" customHeight="1" x14ac:dyDescent="0.3">
      <c r="A73" s="1213"/>
      <c r="B73" s="548"/>
      <c r="C73" s="548"/>
      <c r="D73" s="1233"/>
      <c r="E73" s="548"/>
      <c r="F73" s="1242"/>
      <c r="G73" s="1213"/>
      <c r="H73" s="1227">
        <f t="shared" si="0"/>
        <v>31</v>
      </c>
      <c r="I73" s="1243"/>
      <c r="J73" s="1294"/>
      <c r="K73" s="1213"/>
      <c r="L73" s="1213"/>
      <c r="M73" s="1213"/>
      <c r="N73" s="1213"/>
      <c r="O73" s="1213"/>
      <c r="P73" s="1213"/>
      <c r="Q73" s="1213"/>
      <c r="R73" s="1293"/>
      <c r="S73" s="1293"/>
      <c r="T73" s="1293"/>
      <c r="U73" s="1293"/>
      <c r="V73" s="1293"/>
      <c r="W73" s="1293"/>
      <c r="X73" s="1293"/>
      <c r="Y73" s="1293"/>
      <c r="Z73" s="1293"/>
      <c r="AA73" s="1293"/>
      <c r="AB73" s="1293"/>
      <c r="AC73" s="1293"/>
      <c r="AD73" s="1293"/>
      <c r="AE73" s="1293"/>
      <c r="AF73" s="1293"/>
      <c r="AG73" s="1293"/>
      <c r="AH73" s="1293"/>
      <c r="AI73" s="1293"/>
      <c r="AJ73" s="1293"/>
      <c r="AK73" s="1293"/>
      <c r="AL73" s="1293"/>
      <c r="AM73" s="1293"/>
      <c r="AN73" s="1293"/>
      <c r="AO73" s="1293"/>
      <c r="AP73" s="1293"/>
      <c r="AQ73" s="1213"/>
      <c r="AR73" s="1213"/>
      <c r="AS73" s="1213"/>
      <c r="AT73" s="1213"/>
      <c r="AU73" s="1213"/>
      <c r="AV73" s="1213"/>
      <c r="AW73" s="1213"/>
      <c r="AX73" s="1213"/>
      <c r="AY73" s="1213"/>
      <c r="AZ73" s="1213"/>
      <c r="BA73" s="1213"/>
      <c r="BB73" s="1213"/>
      <c r="BC73" s="1213"/>
      <c r="BD73" s="1213"/>
      <c r="BE73" s="1213"/>
      <c r="BF73" s="1213"/>
      <c r="BG73" s="1213"/>
      <c r="BH73" s="1213"/>
      <c r="BI73" s="1213"/>
      <c r="BJ73" s="1213"/>
      <c r="BK73" s="1213"/>
    </row>
    <row r="74" spans="1:63" ht="12.75" customHeight="1" x14ac:dyDescent="0.3">
      <c r="A74" s="1213"/>
      <c r="B74" s="548"/>
      <c r="C74" s="548"/>
      <c r="D74" s="1233"/>
      <c r="E74" s="548"/>
      <c r="F74" s="1242"/>
      <c r="G74" s="1213"/>
      <c r="H74" s="1227">
        <f t="shared" si="0"/>
        <v>32</v>
      </c>
      <c r="I74" s="1243"/>
      <c r="J74" s="1294"/>
      <c r="K74" s="1213"/>
      <c r="L74" s="1213"/>
      <c r="M74" s="1213"/>
      <c r="N74" s="1213"/>
      <c r="O74" s="1213"/>
      <c r="P74" s="1213"/>
      <c r="Q74" s="1213"/>
      <c r="R74" s="1293"/>
      <c r="S74" s="1293"/>
      <c r="T74" s="1293"/>
      <c r="U74" s="1293"/>
      <c r="V74" s="1293"/>
      <c r="W74" s="1293"/>
      <c r="X74" s="1293"/>
      <c r="Y74" s="1293"/>
      <c r="Z74" s="1293"/>
      <c r="AA74" s="1293"/>
      <c r="AB74" s="1293"/>
      <c r="AC74" s="1293"/>
      <c r="AD74" s="1293"/>
      <c r="AE74" s="1293"/>
      <c r="AF74" s="1293"/>
      <c r="AG74" s="1293"/>
      <c r="AH74" s="1293"/>
      <c r="AI74" s="1293"/>
      <c r="AJ74" s="1293"/>
      <c r="AK74" s="1293"/>
      <c r="AL74" s="1293"/>
      <c r="AM74" s="1293"/>
      <c r="AN74" s="1293"/>
      <c r="AO74" s="1293"/>
      <c r="AP74" s="1293"/>
      <c r="AQ74" s="1213"/>
      <c r="AR74" s="1213"/>
      <c r="AS74" s="1213"/>
      <c r="AT74" s="1213"/>
      <c r="AU74" s="1213"/>
      <c r="AV74" s="1213"/>
      <c r="AW74" s="1213"/>
      <c r="AX74" s="1213"/>
      <c r="AY74" s="1213"/>
      <c r="AZ74" s="1213"/>
      <c r="BA74" s="1213"/>
      <c r="BB74" s="1213"/>
      <c r="BC74" s="1213"/>
      <c r="BD74" s="1213"/>
      <c r="BE74" s="1213"/>
      <c r="BF74" s="1213"/>
      <c r="BG74" s="1213"/>
      <c r="BH74" s="1213"/>
      <c r="BI74" s="1213"/>
      <c r="BJ74" s="1213"/>
      <c r="BK74" s="1213"/>
    </row>
    <row r="75" spans="1:63" ht="12.75" customHeight="1" x14ac:dyDescent="0.3">
      <c r="A75" s="1213"/>
      <c r="B75" s="548"/>
      <c r="C75" s="548"/>
      <c r="D75" s="1233"/>
      <c r="E75" s="548"/>
      <c r="F75" s="1242"/>
      <c r="G75" s="1213"/>
      <c r="H75" s="1227">
        <f t="shared" si="0"/>
        <v>33</v>
      </c>
      <c r="I75" s="1243"/>
      <c r="J75" s="1294"/>
      <c r="K75" s="1213"/>
      <c r="L75" s="1213"/>
      <c r="M75" s="1213"/>
      <c r="N75" s="1213"/>
      <c r="O75" s="1213"/>
      <c r="P75" s="1213"/>
      <c r="Q75" s="1213"/>
      <c r="R75" s="1293"/>
      <c r="S75" s="1293"/>
      <c r="T75" s="1293"/>
      <c r="U75" s="1293"/>
      <c r="V75" s="1293"/>
      <c r="W75" s="1293"/>
      <c r="X75" s="1293"/>
      <c r="Y75" s="1293"/>
      <c r="Z75" s="1293"/>
      <c r="AA75" s="1293"/>
      <c r="AB75" s="1293"/>
      <c r="AC75" s="1293"/>
      <c r="AD75" s="1293"/>
      <c r="AE75" s="1293"/>
      <c r="AF75" s="1293"/>
      <c r="AG75" s="1293"/>
      <c r="AH75" s="1293"/>
      <c r="AI75" s="1293"/>
      <c r="AJ75" s="1293"/>
      <c r="AK75" s="1293"/>
      <c r="AL75" s="1293"/>
      <c r="AM75" s="1293"/>
      <c r="AN75" s="1293"/>
      <c r="AO75" s="1293"/>
      <c r="AP75" s="1293"/>
      <c r="AQ75" s="1213"/>
      <c r="AR75" s="1213"/>
      <c r="AS75" s="1213"/>
      <c r="AT75" s="1213"/>
      <c r="AU75" s="1213"/>
      <c r="AV75" s="1213"/>
      <c r="AW75" s="1213"/>
      <c r="AX75" s="1213"/>
      <c r="AY75" s="1213"/>
      <c r="AZ75" s="1213"/>
      <c r="BA75" s="1213"/>
      <c r="BB75" s="1213"/>
      <c r="BC75" s="1213"/>
      <c r="BD75" s="1213"/>
      <c r="BE75" s="1213"/>
      <c r="BF75" s="1213"/>
      <c r="BG75" s="1213"/>
      <c r="BH75" s="1213"/>
      <c r="BI75" s="1213"/>
      <c r="BJ75" s="1213"/>
      <c r="BK75" s="1213"/>
    </row>
    <row r="76" spans="1:63" ht="12.75" customHeight="1" x14ac:dyDescent="0.3">
      <c r="A76" s="1213"/>
      <c r="B76" s="548"/>
      <c r="C76" s="548"/>
      <c r="D76" s="1233"/>
      <c r="E76" s="548"/>
      <c r="F76" s="1242"/>
      <c r="G76" s="1213"/>
      <c r="H76" s="1227">
        <f t="shared" si="0"/>
        <v>34</v>
      </c>
      <c r="I76" s="1243"/>
      <c r="J76" s="1294"/>
      <c r="K76" s="1213"/>
      <c r="L76" s="1213"/>
      <c r="M76" s="1213"/>
      <c r="N76" s="1213"/>
      <c r="O76" s="1213"/>
      <c r="P76" s="1213"/>
      <c r="Q76" s="1213"/>
      <c r="R76" s="1293"/>
      <c r="S76" s="1293"/>
      <c r="T76" s="1293"/>
      <c r="U76" s="1293"/>
      <c r="V76" s="1293"/>
      <c r="W76" s="1293"/>
      <c r="X76" s="1293"/>
      <c r="Y76" s="1293"/>
      <c r="Z76" s="1293"/>
      <c r="AA76" s="1293"/>
      <c r="AB76" s="1293"/>
      <c r="AC76" s="1293"/>
      <c r="AD76" s="1293"/>
      <c r="AE76" s="1293"/>
      <c r="AF76" s="1293"/>
      <c r="AG76" s="1293"/>
      <c r="AH76" s="1293"/>
      <c r="AI76" s="1293"/>
      <c r="AJ76" s="1293"/>
      <c r="AK76" s="1293"/>
      <c r="AL76" s="1293"/>
      <c r="AM76" s="1293"/>
      <c r="AN76" s="1293"/>
      <c r="AO76" s="1293"/>
      <c r="AP76" s="1293"/>
      <c r="AQ76" s="1213"/>
      <c r="AR76" s="1213"/>
      <c r="AS76" s="1213"/>
      <c r="AT76" s="1213"/>
      <c r="AU76" s="1213"/>
      <c r="AV76" s="1213"/>
      <c r="AW76" s="1213"/>
      <c r="AX76" s="1213"/>
      <c r="AY76" s="1213"/>
      <c r="AZ76" s="1213"/>
      <c r="BA76" s="1213"/>
      <c r="BB76" s="1213"/>
      <c r="BC76" s="1213"/>
      <c r="BD76" s="1213"/>
      <c r="BE76" s="1213"/>
      <c r="BF76" s="1213"/>
      <c r="BG76" s="1213"/>
      <c r="BH76" s="1213"/>
      <c r="BI76" s="1213"/>
      <c r="BJ76" s="1213"/>
      <c r="BK76" s="1213"/>
    </row>
    <row r="77" spans="1:63" ht="12.75" hidden="1" customHeight="1" outlineLevel="1" x14ac:dyDescent="0.3">
      <c r="A77" s="1213"/>
      <c r="B77" s="548"/>
      <c r="C77" s="548"/>
      <c r="D77" s="1233"/>
      <c r="E77" s="548"/>
      <c r="F77" s="1242"/>
      <c r="G77" s="1213"/>
      <c r="H77" s="1295">
        <f t="shared" si="0"/>
        <v>35</v>
      </c>
      <c r="I77" s="1213"/>
      <c r="J77" s="1294"/>
      <c r="K77" s="1213"/>
      <c r="L77" s="1213"/>
      <c r="M77" s="1213"/>
      <c r="N77" s="1213"/>
      <c r="O77" s="1213"/>
      <c r="P77" s="1213"/>
      <c r="Q77" s="1213"/>
      <c r="R77" s="1293"/>
      <c r="S77" s="1293"/>
      <c r="T77" s="1293"/>
      <c r="U77" s="1293"/>
      <c r="V77" s="1293"/>
      <c r="W77" s="1293"/>
      <c r="X77" s="1293"/>
      <c r="Y77" s="1293"/>
      <c r="Z77" s="1293"/>
      <c r="AA77" s="1293"/>
      <c r="AB77" s="1293"/>
      <c r="AC77" s="1293"/>
      <c r="AD77" s="1293"/>
      <c r="AE77" s="1293"/>
      <c r="AF77" s="1293"/>
      <c r="AG77" s="1293"/>
      <c r="AH77" s="1293"/>
      <c r="AI77" s="1293"/>
      <c r="AJ77" s="1293"/>
      <c r="AK77" s="1293"/>
      <c r="AL77" s="1293"/>
      <c r="AM77" s="1293"/>
      <c r="AN77" s="1293"/>
      <c r="AO77" s="1293"/>
      <c r="AP77" s="1293"/>
      <c r="AQ77" s="1213"/>
      <c r="AR77" s="1213"/>
      <c r="AS77" s="1213"/>
      <c r="AT77" s="1213"/>
      <c r="AU77" s="1213"/>
      <c r="AV77" s="1213"/>
      <c r="AW77" s="1213"/>
      <c r="AX77" s="1213"/>
      <c r="AY77" s="1213"/>
      <c r="AZ77" s="1213"/>
      <c r="BA77" s="1213"/>
      <c r="BB77" s="1213"/>
      <c r="BC77" s="1213"/>
      <c r="BD77" s="1213"/>
      <c r="BE77" s="1213"/>
      <c r="BF77" s="1213"/>
      <c r="BG77" s="1213"/>
      <c r="BH77" s="1213"/>
      <c r="BI77" s="1213"/>
      <c r="BJ77" s="1213"/>
      <c r="BK77" s="1213"/>
    </row>
    <row r="78" spans="1:63" ht="12.75" customHeight="1" collapsed="1" x14ac:dyDescent="0.3">
      <c r="A78" s="1213"/>
      <c r="B78" s="548"/>
      <c r="C78" s="548"/>
      <c r="D78" s="1233"/>
      <c r="E78" s="548"/>
      <c r="F78" s="1242"/>
      <c r="G78" s="1213"/>
      <c r="H78" s="1221"/>
      <c r="I78" s="1296"/>
      <c r="J78" s="1296"/>
      <c r="K78" s="1213"/>
      <c r="L78" s="1213"/>
      <c r="M78" s="1213"/>
      <c r="N78" s="1213"/>
      <c r="O78" s="1213"/>
      <c r="P78" s="1213"/>
      <c r="Q78" s="1213"/>
      <c r="R78" s="1293"/>
      <c r="S78" s="1293"/>
      <c r="T78" s="1293"/>
      <c r="U78" s="1293"/>
      <c r="V78" s="1293"/>
      <c r="W78" s="1293"/>
      <c r="X78" s="1293"/>
      <c r="Y78" s="1293"/>
      <c r="Z78" s="1293"/>
      <c r="AA78" s="1293"/>
      <c r="AB78" s="1293"/>
      <c r="AC78" s="1293"/>
      <c r="AD78" s="1293"/>
      <c r="AE78" s="1293"/>
      <c r="AF78" s="1293"/>
      <c r="AG78" s="1293"/>
      <c r="AH78" s="1293"/>
      <c r="AI78" s="1293"/>
      <c r="AJ78" s="1293"/>
      <c r="AK78" s="1293"/>
      <c r="AL78" s="1293"/>
      <c r="AM78" s="1293"/>
      <c r="AN78" s="1293"/>
      <c r="AO78" s="1293"/>
      <c r="AP78" s="1293"/>
      <c r="AQ78" s="1213"/>
      <c r="AR78" s="1213"/>
      <c r="AS78" s="1213"/>
      <c r="AT78" s="1213"/>
      <c r="AU78" s="1213"/>
      <c r="AV78" s="1213"/>
      <c r="AW78" s="1213"/>
      <c r="AX78" s="1213"/>
      <c r="AY78" s="1213"/>
      <c r="AZ78" s="1213"/>
      <c r="BA78" s="1213"/>
      <c r="BB78" s="1213"/>
      <c r="BC78" s="1213"/>
      <c r="BD78" s="1213"/>
      <c r="BE78" s="1213"/>
      <c r="BF78" s="1213"/>
      <c r="BG78" s="1213"/>
      <c r="BH78" s="1213"/>
      <c r="BI78" s="1213"/>
      <c r="BJ78" s="1213"/>
      <c r="BK78" s="1213"/>
    </row>
    <row r="79" spans="1:63" ht="12.75" customHeight="1" x14ac:dyDescent="0.3">
      <c r="A79" s="1213"/>
      <c r="B79" s="548"/>
      <c r="C79" s="548"/>
      <c r="D79" s="1233"/>
      <c r="E79" s="548"/>
      <c r="F79" s="1242"/>
      <c r="G79" s="1213"/>
      <c r="H79" s="1297"/>
      <c r="I79" s="1213"/>
      <c r="J79" s="1213"/>
      <c r="K79" s="1213"/>
      <c r="L79" s="1213"/>
      <c r="M79" s="1213"/>
      <c r="N79" s="1213"/>
      <c r="O79" s="1213"/>
      <c r="P79" s="1213"/>
      <c r="Q79" s="1213"/>
      <c r="R79" s="1293"/>
      <c r="S79" s="1293"/>
      <c r="T79" s="1293"/>
      <c r="U79" s="1293"/>
      <c r="V79" s="1293"/>
      <c r="W79" s="1293"/>
      <c r="X79" s="1293"/>
      <c r="Y79" s="1293"/>
      <c r="Z79" s="1293"/>
      <c r="AA79" s="1293"/>
      <c r="AB79" s="1293"/>
      <c r="AC79" s="1293"/>
      <c r="AD79" s="1293"/>
      <c r="AE79" s="1293"/>
      <c r="AF79" s="1293"/>
      <c r="AG79" s="1293"/>
      <c r="AH79" s="1293"/>
      <c r="AI79" s="1293"/>
      <c r="AJ79" s="1293"/>
      <c r="AK79" s="1293"/>
      <c r="AL79" s="1293"/>
      <c r="AM79" s="1293"/>
      <c r="AN79" s="1293"/>
      <c r="AO79" s="1293"/>
      <c r="AP79" s="1293"/>
      <c r="AQ79" s="1213"/>
      <c r="AR79" s="1213"/>
      <c r="AS79" s="1213"/>
      <c r="AT79" s="1213"/>
      <c r="AU79" s="1213"/>
      <c r="AV79" s="1213"/>
      <c r="AW79" s="1213"/>
      <c r="AX79" s="1213"/>
      <c r="AY79" s="1213"/>
      <c r="AZ79" s="1213"/>
      <c r="BA79" s="1213"/>
      <c r="BB79" s="1213"/>
      <c r="BC79" s="1213"/>
      <c r="BD79" s="1213"/>
      <c r="BE79" s="1213"/>
      <c r="BF79" s="1213"/>
      <c r="BG79" s="1213"/>
      <c r="BH79" s="1213"/>
      <c r="BI79" s="1213"/>
      <c r="BJ79" s="1213"/>
      <c r="BK79" s="1213"/>
    </row>
    <row r="80" spans="1:63" ht="12.75" customHeight="1" x14ac:dyDescent="0.3">
      <c r="A80" s="1213"/>
      <c r="B80" s="548"/>
      <c r="C80" s="548"/>
      <c r="D80" s="1233"/>
      <c r="E80" s="548"/>
      <c r="F80" s="1242"/>
      <c r="G80" s="1213"/>
      <c r="H80" s="1297"/>
      <c r="I80" s="1213"/>
      <c r="J80" s="1213"/>
      <c r="K80" s="1213"/>
      <c r="L80" s="1213"/>
      <c r="M80" s="1213"/>
      <c r="N80" s="1213"/>
      <c r="O80" s="1213"/>
      <c r="P80" s="1213"/>
      <c r="Q80" s="1213"/>
      <c r="R80" s="1293"/>
      <c r="S80" s="1293"/>
      <c r="T80" s="1293"/>
      <c r="U80" s="1293"/>
      <c r="V80" s="1293"/>
      <c r="W80" s="1293"/>
      <c r="X80" s="1293"/>
      <c r="Y80" s="1293"/>
      <c r="Z80" s="1293"/>
      <c r="AA80" s="1293"/>
      <c r="AB80" s="1293"/>
      <c r="AC80" s="1293"/>
      <c r="AD80" s="1293"/>
      <c r="AE80" s="1293"/>
      <c r="AF80" s="1293"/>
      <c r="AG80" s="1293"/>
      <c r="AH80" s="1293"/>
      <c r="AI80" s="1293"/>
      <c r="AJ80" s="1293"/>
      <c r="AK80" s="1293"/>
      <c r="AL80" s="1293"/>
      <c r="AM80" s="1293"/>
      <c r="AN80" s="1293"/>
      <c r="AO80" s="1293"/>
      <c r="AP80" s="1293"/>
      <c r="AQ80" s="1213"/>
      <c r="AR80" s="1213"/>
      <c r="AS80" s="1213"/>
      <c r="AT80" s="1213"/>
      <c r="AU80" s="1213"/>
      <c r="AV80" s="1213"/>
      <c r="AW80" s="1213"/>
      <c r="AX80" s="1213"/>
      <c r="AY80" s="1213"/>
      <c r="AZ80" s="1213"/>
      <c r="BA80" s="1213"/>
      <c r="BB80" s="1213"/>
      <c r="BC80" s="1213"/>
      <c r="BD80" s="1213"/>
      <c r="BE80" s="1213"/>
      <c r="BF80" s="1213"/>
      <c r="BG80" s="1213"/>
      <c r="BH80" s="1213"/>
      <c r="BI80" s="1213"/>
      <c r="BJ80" s="1213"/>
      <c r="BK80" s="1213"/>
    </row>
    <row r="81" spans="1:63" ht="12.75" customHeight="1" x14ac:dyDescent="0.3">
      <c r="A81" s="1213"/>
      <c r="B81" s="548"/>
      <c r="C81" s="548"/>
      <c r="D81" s="1233"/>
      <c r="E81" s="548"/>
      <c r="F81" s="1242"/>
      <c r="G81" s="1213"/>
      <c r="H81" s="1298"/>
      <c r="I81" s="1213" t="s">
        <v>488</v>
      </c>
      <c r="J81" s="1289"/>
      <c r="K81" s="1289"/>
      <c r="L81" s="1299">
        <f>+F68</f>
        <v>0.02</v>
      </c>
      <c r="M81" s="1289"/>
      <c r="N81" s="1289"/>
      <c r="O81" s="1289"/>
      <c r="P81" s="1289"/>
      <c r="Q81" s="1289"/>
      <c r="R81" s="1293"/>
      <c r="S81" s="1293"/>
      <c r="T81" s="1293"/>
      <c r="U81" s="1293"/>
      <c r="V81" s="1293"/>
      <c r="W81" s="1293"/>
      <c r="X81" s="1293"/>
      <c r="Y81" s="1293"/>
      <c r="Z81" s="1293"/>
      <c r="AA81" s="1293"/>
      <c r="AB81" s="1293"/>
      <c r="AC81" s="1293"/>
      <c r="AD81" s="1293"/>
      <c r="AE81" s="1293"/>
      <c r="AF81" s="1293"/>
      <c r="AG81" s="1293"/>
      <c r="AH81" s="1293"/>
      <c r="AI81" s="1293"/>
      <c r="AJ81" s="1293"/>
      <c r="AK81" s="1293"/>
      <c r="AL81" s="1293"/>
      <c r="AM81" s="1293"/>
      <c r="AN81" s="1293"/>
      <c r="AO81" s="1293"/>
      <c r="AP81" s="1293"/>
      <c r="AQ81" s="1213"/>
      <c r="AR81" s="1213"/>
      <c r="AS81" s="1213"/>
      <c r="AT81" s="1213"/>
      <c r="AU81" s="1213"/>
      <c r="AV81" s="1213"/>
      <c r="AW81" s="1213"/>
      <c r="AX81" s="1213"/>
      <c r="AY81" s="1213"/>
      <c r="AZ81" s="1213"/>
      <c r="BA81" s="1213"/>
      <c r="BB81" s="1213"/>
      <c r="BC81" s="1213"/>
      <c r="BD81" s="1213"/>
      <c r="BE81" s="1213"/>
      <c r="BF81" s="1213"/>
      <c r="BG81" s="1213"/>
      <c r="BH81" s="1213"/>
      <c r="BI81" s="1213"/>
      <c r="BJ81" s="1213"/>
      <c r="BK81" s="1213"/>
    </row>
    <row r="82" spans="1:63" ht="12.75" customHeight="1" x14ac:dyDescent="0.3">
      <c r="A82" s="1213"/>
      <c r="B82" s="548"/>
      <c r="C82" s="548"/>
      <c r="D82" s="1233"/>
      <c r="E82" s="548"/>
      <c r="F82" s="1242"/>
      <c r="G82" s="1213"/>
      <c r="H82" s="1297"/>
      <c r="I82" s="1300"/>
      <c r="J82" s="1301" t="s">
        <v>489</v>
      </c>
      <c r="K82" s="1301" t="s">
        <v>490</v>
      </c>
      <c r="L82" s="1301" t="s">
        <v>491</v>
      </c>
      <c r="M82" s="1213"/>
      <c r="N82" s="1290"/>
      <c r="O82" s="1290" t="s">
        <v>1</v>
      </c>
      <c r="P82" s="1290" t="s">
        <v>492</v>
      </c>
      <c r="Q82" s="1290"/>
      <c r="R82" s="1293"/>
      <c r="S82" s="1293"/>
      <c r="T82" s="1293"/>
      <c r="U82" s="1293"/>
      <c r="V82" s="1293"/>
      <c r="W82" s="1293"/>
      <c r="X82" s="1293"/>
      <c r="Y82" s="1293"/>
      <c r="Z82" s="1293"/>
      <c r="AA82" s="1293"/>
      <c r="AB82" s="1293"/>
      <c r="AC82" s="1293"/>
      <c r="AD82" s="1293"/>
      <c r="AE82" s="1293"/>
      <c r="AF82" s="1293"/>
      <c r="AG82" s="1293"/>
      <c r="AH82" s="1293"/>
      <c r="AI82" s="1293"/>
      <c r="AJ82" s="1293"/>
      <c r="AK82" s="1293"/>
      <c r="AL82" s="1293"/>
      <c r="AM82" s="1293"/>
      <c r="AN82" s="1293"/>
      <c r="AO82" s="1293"/>
      <c r="AP82" s="1293"/>
      <c r="AQ82" s="1213"/>
      <c r="AR82" s="1213"/>
      <c r="AS82" s="1213"/>
      <c r="AT82" s="1213"/>
      <c r="AU82" s="1213"/>
      <c r="AV82" s="1213"/>
      <c r="AW82" s="1213"/>
      <c r="AX82" s="1213"/>
      <c r="AY82" s="1213"/>
      <c r="AZ82" s="1213"/>
      <c r="BA82" s="1213"/>
      <c r="BB82" s="1213"/>
      <c r="BC82" s="1213"/>
      <c r="BD82" s="1213"/>
      <c r="BE82" s="1213"/>
      <c r="BF82" s="1213"/>
      <c r="BG82" s="1213"/>
      <c r="BH82" s="1213"/>
      <c r="BI82" s="1213"/>
      <c r="BJ82" s="1213"/>
      <c r="BK82" s="1213"/>
    </row>
    <row r="83" spans="1:63" ht="12.75" customHeight="1" x14ac:dyDescent="0.3">
      <c r="A83" s="1213"/>
      <c r="B83" s="548"/>
      <c r="C83" s="548"/>
      <c r="D83" s="1233"/>
      <c r="E83" s="548"/>
      <c r="F83" s="1242"/>
      <c r="G83" s="1213"/>
      <c r="H83" s="1227">
        <f>H43</f>
        <v>1</v>
      </c>
      <c r="I83" s="1302" t="str">
        <f>I6</f>
        <v>Emblem Meridian</v>
      </c>
      <c r="J83" s="1303">
        <f>+LOOKUP((F59+F66),'Venture Summary - Mthly'!$E$160:$EG$160,'Venture Summary - Mthly'!$E$4:$EG$4)</f>
        <v>46173</v>
      </c>
      <c r="K83" s="1304">
        <f>LOOKUP(MAX(Q83:Q103),O83:O103,P83:P103)</f>
        <v>2.7355000000000001E-2</v>
      </c>
      <c r="L83" s="1305">
        <f>K83+$L$81</f>
        <v>4.7355000000000001E-2</v>
      </c>
      <c r="M83" s="1213"/>
      <c r="N83" s="1172"/>
      <c r="O83" s="784">
        <v>42156</v>
      </c>
      <c r="P83" s="785">
        <v>1.5584000000000001E-2</v>
      </c>
      <c r="Q83" s="1293">
        <f>IF(O83&gt;$J$83,"",O83)</f>
        <v>42156</v>
      </c>
      <c r="R83" s="1293"/>
      <c r="S83" s="1293"/>
      <c r="T83" s="1293"/>
      <c r="U83" s="1293"/>
      <c r="V83" s="1293"/>
      <c r="W83" s="1293"/>
      <c r="X83" s="1293"/>
      <c r="Y83" s="1293"/>
      <c r="Z83" s="1293"/>
      <c r="AA83" s="1293"/>
      <c r="AB83" s="1293"/>
      <c r="AC83" s="1293"/>
      <c r="AD83" s="1293"/>
      <c r="AE83" s="1293"/>
      <c r="AF83" s="1293"/>
      <c r="AG83" s="1293"/>
      <c r="AH83" s="1293"/>
      <c r="AI83" s="1293"/>
      <c r="AJ83" s="1293"/>
      <c r="AK83" s="1293"/>
      <c r="AL83" s="1293"/>
      <c r="AM83" s="1293"/>
      <c r="AN83" s="1293"/>
      <c r="AO83" s="1293"/>
      <c r="AP83" s="1293"/>
      <c r="AQ83" s="1213"/>
      <c r="AR83" s="1213"/>
      <c r="AS83" s="1213"/>
      <c r="AT83" s="1213"/>
      <c r="AU83" s="1213"/>
      <c r="AV83" s="1213"/>
      <c r="AW83" s="1213"/>
      <c r="AX83" s="1213"/>
      <c r="AY83" s="1213"/>
      <c r="AZ83" s="1213"/>
      <c r="BA83" s="1213"/>
      <c r="BB83" s="1213"/>
      <c r="BC83" s="1213"/>
      <c r="BD83" s="1213"/>
      <c r="BE83" s="1213"/>
      <c r="BF83" s="1213"/>
      <c r="BG83" s="1213"/>
      <c r="BH83" s="1213"/>
      <c r="BI83" s="1213"/>
      <c r="BJ83" s="1213"/>
      <c r="BK83" s="1213"/>
    </row>
    <row r="84" spans="1:63" ht="12.75" customHeight="1" x14ac:dyDescent="0.3">
      <c r="A84" s="1213"/>
      <c r="B84" s="548"/>
      <c r="C84" s="548"/>
      <c r="D84" s="1213"/>
      <c r="E84" s="1213"/>
      <c r="F84" s="1213"/>
      <c r="G84" s="1213"/>
      <c r="H84" s="1227">
        <f t="shared" ref="H84:H117" si="1">H44</f>
        <v>2</v>
      </c>
      <c r="I84" s="1306"/>
      <c r="J84" s="1307"/>
      <c r="K84" s="1308"/>
      <c r="L84" s="1309"/>
      <c r="M84" s="1213"/>
      <c r="N84" s="1172"/>
      <c r="O84" s="784">
        <v>42339</v>
      </c>
      <c r="P84" s="785">
        <v>1.8127999999999998E-2</v>
      </c>
      <c r="Q84" s="1293">
        <f>IF(O84&gt;$J$83,"",O84)</f>
        <v>42339</v>
      </c>
      <c r="R84" s="1293"/>
      <c r="S84" s="1293"/>
      <c r="T84" s="1293"/>
      <c r="U84" s="1293"/>
      <c r="V84" s="1293"/>
      <c r="W84" s="1293"/>
      <c r="X84" s="1293"/>
      <c r="Y84" s="1293"/>
      <c r="Z84" s="1293"/>
      <c r="AA84" s="1293"/>
      <c r="AB84" s="1293"/>
      <c r="AC84" s="1293"/>
      <c r="AD84" s="1293"/>
      <c r="AE84" s="1293"/>
      <c r="AF84" s="1293"/>
      <c r="AG84" s="1293"/>
      <c r="AH84" s="1293"/>
      <c r="AI84" s="1293"/>
      <c r="AJ84" s="1293"/>
      <c r="AK84" s="1293"/>
      <c r="AL84" s="1293"/>
      <c r="AM84" s="1293"/>
      <c r="AN84" s="1293"/>
      <c r="AO84" s="1293"/>
      <c r="AP84" s="1293"/>
      <c r="AQ84" s="1213"/>
      <c r="AR84" s="1213"/>
      <c r="AS84" s="1213"/>
      <c r="AT84" s="1213"/>
      <c r="AU84" s="1213"/>
      <c r="AV84" s="1213"/>
      <c r="AW84" s="1213"/>
      <c r="AX84" s="1213"/>
      <c r="AY84" s="1213"/>
      <c r="AZ84" s="1213"/>
      <c r="BA84" s="1213"/>
      <c r="BB84" s="1213"/>
      <c r="BC84" s="1213"/>
      <c r="BD84" s="1213"/>
      <c r="BE84" s="1213"/>
      <c r="BF84" s="1213"/>
      <c r="BG84" s="1213"/>
      <c r="BH84" s="1213"/>
      <c r="BI84" s="1213"/>
      <c r="BJ84" s="1213"/>
      <c r="BK84" s="1213"/>
    </row>
    <row r="85" spans="1:63" ht="12.75" customHeight="1" x14ac:dyDescent="0.3">
      <c r="A85" s="1213"/>
      <c r="B85" s="548"/>
      <c r="C85" s="548"/>
      <c r="D85" s="1213"/>
      <c r="E85" s="1213"/>
      <c r="F85" s="1213"/>
      <c r="G85" s="1213"/>
      <c r="H85" s="1227">
        <f t="shared" si="1"/>
        <v>3</v>
      </c>
      <c r="I85" s="1306"/>
      <c r="J85" s="1307"/>
      <c r="K85" s="1308"/>
      <c r="L85" s="1309"/>
      <c r="M85" s="1213"/>
      <c r="N85" s="1172"/>
      <c r="O85" s="784">
        <v>42522</v>
      </c>
      <c r="P85" s="785">
        <v>2.0480000000000002E-2</v>
      </c>
      <c r="Q85" s="1293">
        <f t="shared" ref="Q85:Q103" si="2">IF(O85&gt;$J$83,"",O85)</f>
        <v>42522</v>
      </c>
      <c r="R85" s="1213"/>
      <c r="S85" s="1213"/>
      <c r="T85" s="1213"/>
      <c r="U85" s="1213"/>
      <c r="V85" s="1213"/>
      <c r="W85" s="1213"/>
      <c r="X85" s="1213"/>
      <c r="Y85" s="1293"/>
      <c r="Z85" s="1293"/>
      <c r="AA85" s="1293"/>
      <c r="AB85" s="1293"/>
      <c r="AC85" s="1293"/>
      <c r="AD85" s="1293"/>
      <c r="AE85" s="1293"/>
      <c r="AF85" s="1293"/>
      <c r="AG85" s="1293"/>
      <c r="AH85" s="1293"/>
      <c r="AI85" s="1293"/>
      <c r="AJ85" s="1293"/>
      <c r="AK85" s="1293"/>
      <c r="AL85" s="1293"/>
      <c r="AM85" s="1293"/>
      <c r="AN85" s="1293"/>
      <c r="AO85" s="1293"/>
      <c r="AP85" s="1293"/>
      <c r="AQ85" s="1213"/>
      <c r="AR85" s="1213"/>
      <c r="AS85" s="1213"/>
      <c r="AT85" s="1213"/>
      <c r="AU85" s="1213"/>
      <c r="AV85" s="1213"/>
      <c r="AW85" s="1213"/>
      <c r="AX85" s="1213"/>
      <c r="AY85" s="1213"/>
      <c r="AZ85" s="1213"/>
      <c r="BA85" s="1213"/>
      <c r="BB85" s="1213"/>
      <c r="BC85" s="1213"/>
      <c r="BD85" s="1213"/>
      <c r="BE85" s="1213"/>
      <c r="BF85" s="1213"/>
      <c r="BG85" s="1213"/>
      <c r="BH85" s="1213"/>
      <c r="BI85" s="1213"/>
      <c r="BJ85" s="1213"/>
      <c r="BK85" s="1213"/>
    </row>
    <row r="86" spans="1:63" ht="12.75" customHeight="1" x14ac:dyDescent="0.3">
      <c r="A86" s="1213"/>
      <c r="B86" s="548"/>
      <c r="C86" s="548"/>
      <c r="D86" s="1213"/>
      <c r="E86" s="1213"/>
      <c r="F86" s="1213"/>
      <c r="G86" s="1213"/>
      <c r="H86" s="1227">
        <f t="shared" si="1"/>
        <v>4</v>
      </c>
      <c r="I86" s="1306"/>
      <c r="J86" s="1307"/>
      <c r="K86" s="1308"/>
      <c r="L86" s="1309"/>
      <c r="M86" s="1213"/>
      <c r="N86" s="1172"/>
      <c r="O86" s="784">
        <v>42705</v>
      </c>
      <c r="P86" s="785">
        <v>2.2662999999999999E-2</v>
      </c>
      <c r="Q86" s="1293">
        <f t="shared" si="2"/>
        <v>42705</v>
      </c>
      <c r="R86" s="1213"/>
      <c r="S86" s="1213"/>
      <c r="T86" s="1213"/>
      <c r="U86" s="1213"/>
      <c r="V86" s="1213"/>
      <c r="W86" s="1213"/>
      <c r="X86" s="1213"/>
      <c r="Y86" s="1213"/>
      <c r="Z86" s="1213"/>
      <c r="AA86" s="1213"/>
      <c r="AB86" s="1213"/>
      <c r="AC86" s="1213"/>
      <c r="AD86" s="1213"/>
      <c r="AE86" s="1213"/>
      <c r="AF86" s="1213"/>
      <c r="AG86" s="1213"/>
      <c r="AH86" s="1213"/>
      <c r="AI86" s="1213"/>
      <c r="AJ86" s="1213"/>
      <c r="AK86" s="1213"/>
      <c r="AL86" s="1213"/>
      <c r="AM86" s="1213"/>
      <c r="AN86" s="1213"/>
      <c r="AO86" s="1213"/>
      <c r="AP86" s="1213"/>
      <c r="AQ86" s="1213"/>
      <c r="AR86" s="1213"/>
      <c r="AS86" s="1213"/>
      <c r="AT86" s="1213"/>
      <c r="AU86" s="1213"/>
      <c r="AV86" s="1213"/>
      <c r="AW86" s="1213"/>
      <c r="AX86" s="1213"/>
      <c r="AY86" s="1213"/>
      <c r="AZ86" s="1213"/>
      <c r="BA86" s="1213"/>
      <c r="BB86" s="1213"/>
      <c r="BC86" s="1213"/>
      <c r="BD86" s="1213"/>
      <c r="BE86" s="1213"/>
      <c r="BF86" s="1213"/>
      <c r="BG86" s="1213"/>
      <c r="BH86" s="1213"/>
      <c r="BI86" s="1213"/>
      <c r="BJ86" s="1213"/>
      <c r="BK86" s="1213"/>
    </row>
    <row r="87" spans="1:63" ht="12.75" customHeight="1" x14ac:dyDescent="0.3">
      <c r="A87" s="1213"/>
      <c r="B87" s="548"/>
      <c r="C87" s="548"/>
      <c r="D87" s="1213"/>
      <c r="E87" s="1213"/>
      <c r="F87" s="1213"/>
      <c r="G87" s="1213"/>
      <c r="H87" s="1227">
        <f t="shared" si="1"/>
        <v>5</v>
      </c>
      <c r="I87" s="1306"/>
      <c r="J87" s="1307"/>
      <c r="K87" s="1308"/>
      <c r="L87" s="1309"/>
      <c r="M87" s="1213"/>
      <c r="N87" s="1172"/>
      <c r="O87" s="784">
        <v>42887</v>
      </c>
      <c r="P87" s="785">
        <v>2.4558E-2</v>
      </c>
      <c r="Q87" s="1293">
        <f t="shared" si="2"/>
        <v>42887</v>
      </c>
      <c r="R87" s="1213"/>
      <c r="S87" s="1213"/>
      <c r="T87" s="1213"/>
      <c r="U87" s="1213"/>
      <c r="V87" s="1213"/>
      <c r="W87" s="1213"/>
      <c r="X87" s="1213"/>
      <c r="Y87" s="1213"/>
      <c r="Z87" s="1213"/>
      <c r="AA87" s="1213"/>
      <c r="AB87" s="1213"/>
      <c r="AC87" s="1213"/>
      <c r="AD87" s="1213"/>
      <c r="AE87" s="1213"/>
      <c r="AF87" s="1213"/>
      <c r="AG87" s="1213"/>
      <c r="AH87" s="1213"/>
      <c r="AI87" s="1213"/>
      <c r="AJ87" s="1213"/>
      <c r="AK87" s="1213"/>
      <c r="AL87" s="1213"/>
      <c r="AM87" s="1213"/>
      <c r="AN87" s="1213"/>
      <c r="AO87" s="1213"/>
      <c r="AP87" s="1213"/>
      <c r="AQ87" s="1213"/>
      <c r="AR87" s="1213"/>
      <c r="AS87" s="1213"/>
      <c r="AT87" s="1213"/>
      <c r="AU87" s="1213"/>
      <c r="AV87" s="1213"/>
      <c r="AW87" s="1213"/>
      <c r="AX87" s="1213"/>
      <c r="AY87" s="1213"/>
      <c r="AZ87" s="1213"/>
      <c r="BA87" s="1213"/>
      <c r="BB87" s="1213"/>
      <c r="BC87" s="1213"/>
      <c r="BD87" s="1213"/>
      <c r="BE87" s="1213"/>
      <c r="BF87" s="1213"/>
      <c r="BG87" s="1213"/>
      <c r="BH87" s="1213"/>
      <c r="BI87" s="1213"/>
      <c r="BJ87" s="1213"/>
      <c r="BK87" s="1213"/>
    </row>
    <row r="88" spans="1:63" ht="12.75" customHeight="1" x14ac:dyDescent="0.3">
      <c r="A88" s="1213"/>
      <c r="B88" s="548"/>
      <c r="C88" s="548"/>
      <c r="D88" s="1213"/>
      <c r="E88" s="1213"/>
      <c r="F88" s="1213"/>
      <c r="G88" s="1213"/>
      <c r="H88" s="1227">
        <f t="shared" si="1"/>
        <v>6</v>
      </c>
      <c r="I88" s="1306"/>
      <c r="J88" s="1307"/>
      <c r="K88" s="1308"/>
      <c r="L88" s="1309"/>
      <c r="M88" s="1289"/>
      <c r="N88" s="1172"/>
      <c r="O88" s="784">
        <v>43070</v>
      </c>
      <c r="P88" s="785">
        <v>2.5562999999999999E-2</v>
      </c>
      <c r="Q88" s="1293">
        <f t="shared" si="2"/>
        <v>43070</v>
      </c>
      <c r="R88" s="1213"/>
      <c r="S88" s="1213"/>
      <c r="T88" s="1213"/>
      <c r="U88" s="1213"/>
      <c r="V88" s="1213"/>
      <c r="W88" s="1213"/>
      <c r="X88" s="1213"/>
      <c r="Y88" s="1213"/>
      <c r="Z88" s="1213"/>
      <c r="AA88" s="1213"/>
      <c r="AB88" s="1213"/>
      <c r="AC88" s="1213"/>
      <c r="AD88" s="1213"/>
      <c r="AE88" s="1213"/>
      <c r="AF88" s="1213"/>
      <c r="AG88" s="1213"/>
      <c r="AH88" s="1213"/>
      <c r="AI88" s="1213"/>
      <c r="AJ88" s="1213"/>
      <c r="AK88" s="1213"/>
      <c r="AL88" s="1213"/>
      <c r="AM88" s="1213"/>
      <c r="AN88" s="1213"/>
      <c r="AO88" s="1213"/>
      <c r="AP88" s="1213"/>
      <c r="AQ88" s="1213"/>
      <c r="AR88" s="1213"/>
      <c r="AS88" s="1213"/>
      <c r="AT88" s="1213"/>
      <c r="AU88" s="1213"/>
      <c r="AV88" s="1213"/>
      <c r="AW88" s="1213"/>
      <c r="AX88" s="1213"/>
      <c r="AY88" s="1213"/>
      <c r="AZ88" s="1213"/>
      <c r="BA88" s="1213"/>
      <c r="BB88" s="1213"/>
      <c r="BC88" s="1213"/>
      <c r="BD88" s="1213"/>
      <c r="BE88" s="1213"/>
      <c r="BF88" s="1213"/>
      <c r="BG88" s="1213"/>
      <c r="BH88" s="1213"/>
      <c r="BI88" s="1213"/>
      <c r="BJ88" s="1213"/>
      <c r="BK88" s="1213"/>
    </row>
    <row r="89" spans="1:63" ht="12.75" customHeight="1" x14ac:dyDescent="0.3">
      <c r="A89" s="1213"/>
      <c r="B89" s="548"/>
      <c r="C89" s="548"/>
      <c r="D89" s="1213"/>
      <c r="E89" s="1213"/>
      <c r="F89" s="1213"/>
      <c r="G89" s="1213"/>
      <c r="H89" s="1227">
        <f t="shared" si="1"/>
        <v>7</v>
      </c>
      <c r="I89" s="1306"/>
      <c r="J89" s="1307"/>
      <c r="K89" s="1308"/>
      <c r="L89" s="1309"/>
      <c r="M89" s="1213"/>
      <c r="N89" s="1172"/>
      <c r="O89" s="784">
        <v>43252</v>
      </c>
      <c r="P89" s="785">
        <v>2.6334E-2</v>
      </c>
      <c r="Q89" s="1293">
        <f t="shared" si="2"/>
        <v>43252</v>
      </c>
      <c r="R89" s="1213"/>
      <c r="S89" s="1213"/>
      <c r="T89" s="1213"/>
      <c r="U89" s="1213"/>
      <c r="V89" s="1213"/>
      <c r="W89" s="1213"/>
      <c r="X89" s="1213"/>
      <c r="Y89" s="1213"/>
      <c r="Z89" s="1213"/>
      <c r="AA89" s="1213"/>
      <c r="AB89" s="1213"/>
      <c r="AC89" s="1213"/>
      <c r="AD89" s="1213"/>
      <c r="AE89" s="1213"/>
      <c r="AF89" s="1213"/>
      <c r="AG89" s="1213"/>
      <c r="AH89" s="1213"/>
      <c r="AI89" s="1213"/>
      <c r="AJ89" s="1213"/>
      <c r="AK89" s="1213"/>
      <c r="AL89" s="1213"/>
      <c r="AM89" s="1213"/>
      <c r="AN89" s="1213"/>
      <c r="AO89" s="1213"/>
      <c r="AP89" s="1213"/>
      <c r="AQ89" s="1213"/>
      <c r="AR89" s="1213"/>
      <c r="AS89" s="1213"/>
      <c r="AT89" s="1213"/>
      <c r="AU89" s="1213"/>
      <c r="AV89" s="1213"/>
      <c r="AW89" s="1213"/>
      <c r="AX89" s="1213"/>
      <c r="AY89" s="1213"/>
      <c r="AZ89" s="1213"/>
      <c r="BA89" s="1213"/>
      <c r="BB89" s="1213"/>
      <c r="BC89" s="1213"/>
      <c r="BD89" s="1213"/>
      <c r="BE89" s="1213"/>
      <c r="BF89" s="1213"/>
      <c r="BG89" s="1213"/>
      <c r="BH89" s="1213"/>
      <c r="BI89" s="1213"/>
      <c r="BJ89" s="1213"/>
      <c r="BK89" s="1213"/>
    </row>
    <row r="90" spans="1:63" ht="12.75" customHeight="1" x14ac:dyDescent="0.3">
      <c r="A90" s="1213"/>
      <c r="B90" s="548"/>
      <c r="C90" s="548"/>
      <c r="D90" s="1213"/>
      <c r="E90" s="1213"/>
      <c r="F90" s="1213"/>
      <c r="G90" s="1213"/>
      <c r="H90" s="1227">
        <f t="shared" si="1"/>
        <v>8</v>
      </c>
      <c r="I90" s="1306"/>
      <c r="J90" s="1307"/>
      <c r="K90" s="1308"/>
      <c r="L90" s="1309"/>
      <c r="M90" s="1213"/>
      <c r="N90" s="1172"/>
      <c r="O90" s="784">
        <v>43435</v>
      </c>
      <c r="P90" s="785">
        <v>2.7140999999999998E-2</v>
      </c>
      <c r="Q90" s="1293">
        <f t="shared" si="2"/>
        <v>43435</v>
      </c>
      <c r="R90" s="1213"/>
      <c r="S90" s="1213"/>
      <c r="T90" s="1213"/>
      <c r="U90" s="1213"/>
      <c r="V90" s="1213"/>
      <c r="W90" s="1213"/>
      <c r="X90" s="1213"/>
      <c r="Y90" s="1213"/>
      <c r="Z90" s="1213"/>
      <c r="AA90" s="1213"/>
      <c r="AB90" s="1213"/>
      <c r="AC90" s="1213"/>
      <c r="AD90" s="1213"/>
      <c r="AE90" s="1213"/>
      <c r="AF90" s="1213"/>
      <c r="AG90" s="1213"/>
      <c r="AH90" s="1213"/>
      <c r="AI90" s="1213"/>
      <c r="AJ90" s="1213"/>
      <c r="AK90" s="1213"/>
      <c r="AL90" s="1213"/>
      <c r="AM90" s="1213"/>
      <c r="AN90" s="1213"/>
      <c r="AO90" s="1213"/>
      <c r="AP90" s="1213"/>
      <c r="AQ90" s="1213"/>
      <c r="AR90" s="1213"/>
      <c r="AS90" s="1213"/>
      <c r="AT90" s="1213"/>
      <c r="AU90" s="1213"/>
      <c r="AV90" s="1213"/>
      <c r="AW90" s="1213"/>
      <c r="AX90" s="1213"/>
      <c r="AY90" s="1213"/>
      <c r="AZ90" s="1213"/>
      <c r="BA90" s="1213"/>
      <c r="BB90" s="1213"/>
      <c r="BC90" s="1213"/>
      <c r="BD90" s="1213"/>
      <c r="BE90" s="1213"/>
      <c r="BF90" s="1213"/>
      <c r="BG90" s="1213"/>
      <c r="BH90" s="1213"/>
      <c r="BI90" s="1213"/>
      <c r="BJ90" s="1213"/>
      <c r="BK90" s="1213"/>
    </row>
    <row r="91" spans="1:63" ht="12.75" customHeight="1" x14ac:dyDescent="0.3">
      <c r="A91" s="1213"/>
      <c r="B91" s="548"/>
      <c r="C91" s="548"/>
      <c r="D91" s="1213"/>
      <c r="E91" s="1213"/>
      <c r="F91" s="1213"/>
      <c r="G91" s="1213"/>
      <c r="H91" s="1227">
        <f t="shared" si="1"/>
        <v>9</v>
      </c>
      <c r="I91" s="1306"/>
      <c r="J91" s="1307"/>
      <c r="K91" s="1308"/>
      <c r="L91" s="1309"/>
      <c r="M91" s="1213"/>
      <c r="N91" s="1172"/>
      <c r="O91" s="784">
        <v>43617</v>
      </c>
      <c r="P91" s="785">
        <v>2.7765999999999999E-2</v>
      </c>
      <c r="Q91" s="1293">
        <f t="shared" si="2"/>
        <v>43617</v>
      </c>
      <c r="R91" s="1213"/>
      <c r="S91" s="1213"/>
      <c r="T91" s="1213"/>
      <c r="U91" s="1213"/>
      <c r="V91" s="1213"/>
      <c r="W91" s="1213"/>
      <c r="X91" s="1213"/>
      <c r="Y91" s="1213"/>
      <c r="Z91" s="1213"/>
      <c r="AA91" s="1213"/>
      <c r="AB91" s="1213"/>
      <c r="AC91" s="1213"/>
      <c r="AD91" s="1213"/>
      <c r="AE91" s="1213"/>
      <c r="AF91" s="1213"/>
      <c r="AG91" s="1213"/>
      <c r="AH91" s="1213"/>
      <c r="AI91" s="1213"/>
      <c r="AJ91" s="1213"/>
      <c r="AK91" s="1213"/>
      <c r="AL91" s="1213"/>
      <c r="AM91" s="1213"/>
      <c r="AN91" s="1213"/>
      <c r="AO91" s="1213"/>
      <c r="AP91" s="1213"/>
      <c r="AQ91" s="1213"/>
      <c r="AR91" s="1213"/>
      <c r="AS91" s="1213"/>
      <c r="AT91" s="1213"/>
      <c r="AU91" s="1213"/>
      <c r="AV91" s="1213"/>
      <c r="AW91" s="1213"/>
      <c r="AX91" s="1213"/>
      <c r="AY91" s="1213"/>
      <c r="AZ91" s="1213"/>
      <c r="BA91" s="1213"/>
      <c r="BB91" s="1213"/>
      <c r="BC91" s="1213"/>
      <c r="BD91" s="1213"/>
      <c r="BE91" s="1213"/>
      <c r="BF91" s="1213"/>
      <c r="BG91" s="1213"/>
      <c r="BH91" s="1213"/>
      <c r="BI91" s="1213"/>
      <c r="BJ91" s="1213"/>
      <c r="BK91" s="1213"/>
    </row>
    <row r="92" spans="1:63" ht="12.75" customHeight="1" x14ac:dyDescent="0.3">
      <c r="A92" s="1213"/>
      <c r="B92" s="548"/>
      <c r="C92" s="548"/>
      <c r="D92" s="1213"/>
      <c r="E92" s="1213"/>
      <c r="F92" s="1213"/>
      <c r="G92" s="1213"/>
      <c r="H92" s="1227">
        <f t="shared" si="1"/>
        <v>10</v>
      </c>
      <c r="I92" s="1306"/>
      <c r="J92" s="1307"/>
      <c r="K92" s="1308"/>
      <c r="L92" s="1309"/>
      <c r="M92" s="1213"/>
      <c r="N92" s="1172"/>
      <c r="O92" s="784">
        <v>43800</v>
      </c>
      <c r="P92" s="785">
        <v>2.8205000000000001E-2</v>
      </c>
      <c r="Q92" s="1293">
        <f t="shared" si="2"/>
        <v>43800</v>
      </c>
      <c r="R92" s="1213"/>
      <c r="S92" s="1213"/>
      <c r="T92" s="1213"/>
      <c r="U92" s="1213"/>
      <c r="V92" s="1213"/>
      <c r="W92" s="1213"/>
      <c r="X92" s="1213"/>
      <c r="Y92" s="1213"/>
      <c r="Z92" s="1213"/>
      <c r="AA92" s="1213"/>
      <c r="AB92" s="1213"/>
      <c r="AC92" s="1213"/>
      <c r="AD92" s="1213"/>
      <c r="AE92" s="1213"/>
      <c r="AF92" s="1213"/>
      <c r="AG92" s="1213"/>
      <c r="AH92" s="1213"/>
      <c r="AI92" s="1213"/>
      <c r="AJ92" s="1213"/>
      <c r="AK92" s="1213"/>
      <c r="AL92" s="1213"/>
      <c r="AM92" s="1213"/>
      <c r="AN92" s="1213"/>
      <c r="AO92" s="1213"/>
      <c r="AP92" s="1213"/>
      <c r="AQ92" s="1213"/>
      <c r="AR92" s="1213"/>
      <c r="AS92" s="1213"/>
      <c r="AT92" s="1213"/>
      <c r="AU92" s="1213"/>
      <c r="AV92" s="1213"/>
      <c r="AW92" s="1213"/>
      <c r="AX92" s="1213"/>
      <c r="AY92" s="1213"/>
      <c r="AZ92" s="1213"/>
      <c r="BA92" s="1213"/>
      <c r="BB92" s="1213"/>
      <c r="BC92" s="1213"/>
      <c r="BD92" s="1213"/>
      <c r="BE92" s="1213"/>
      <c r="BF92" s="1213"/>
      <c r="BG92" s="1213"/>
      <c r="BH92" s="1213"/>
      <c r="BI92" s="1213"/>
      <c r="BJ92" s="1213"/>
      <c r="BK92" s="1213"/>
    </row>
    <row r="93" spans="1:63" ht="12.75" customHeight="1" x14ac:dyDescent="0.3">
      <c r="A93" s="1213"/>
      <c r="B93" s="548"/>
      <c r="C93" s="548"/>
      <c r="D93" s="1213"/>
      <c r="E93" s="1213"/>
      <c r="F93" s="1213"/>
      <c r="G93" s="1213"/>
      <c r="H93" s="1227">
        <f t="shared" si="1"/>
        <v>11</v>
      </c>
      <c r="I93" s="1306"/>
      <c r="J93" s="1307"/>
      <c r="K93" s="1308"/>
      <c r="L93" s="1309"/>
      <c r="M93" s="1213"/>
      <c r="N93" s="1172"/>
      <c r="O93" s="784">
        <v>43983</v>
      </c>
      <c r="P93" s="785">
        <v>2.8434000000000001E-2</v>
      </c>
      <c r="Q93" s="1293">
        <f t="shared" si="2"/>
        <v>43983</v>
      </c>
      <c r="R93" s="1213"/>
      <c r="S93" s="1213"/>
      <c r="T93" s="1213"/>
      <c r="U93" s="1213"/>
      <c r="V93" s="1213"/>
      <c r="W93" s="1213"/>
      <c r="X93" s="1213"/>
      <c r="Y93" s="1213"/>
      <c r="Z93" s="1213"/>
      <c r="AA93" s="1213"/>
      <c r="AB93" s="1213"/>
      <c r="AC93" s="1213"/>
      <c r="AD93" s="1213"/>
      <c r="AE93" s="1213"/>
      <c r="AF93" s="1213"/>
      <c r="AG93" s="1213"/>
      <c r="AH93" s="1213"/>
      <c r="AI93" s="1213"/>
      <c r="AJ93" s="1213"/>
      <c r="AK93" s="1213"/>
      <c r="AL93" s="1213"/>
      <c r="AM93" s="1213"/>
      <c r="AN93" s="1213"/>
      <c r="AO93" s="1213"/>
      <c r="AP93" s="1213"/>
      <c r="AQ93" s="1213"/>
      <c r="AR93" s="1213"/>
      <c r="AS93" s="1213"/>
      <c r="AT93" s="1213"/>
      <c r="AU93" s="1213"/>
      <c r="AV93" s="1213"/>
      <c r="AW93" s="1213"/>
      <c r="AX93" s="1213"/>
      <c r="AY93" s="1213"/>
      <c r="AZ93" s="1213"/>
      <c r="BA93" s="1213"/>
      <c r="BB93" s="1213"/>
      <c r="BC93" s="1213"/>
      <c r="BD93" s="1213"/>
      <c r="BE93" s="1213"/>
      <c r="BF93" s="1213"/>
      <c r="BG93" s="1213"/>
      <c r="BH93" s="1213"/>
      <c r="BI93" s="1213"/>
      <c r="BJ93" s="1213"/>
      <c r="BK93" s="1213"/>
    </row>
    <row r="94" spans="1:63" ht="12.75" customHeight="1" x14ac:dyDescent="0.3">
      <c r="A94" s="1213"/>
      <c r="B94" s="548"/>
      <c r="C94" s="548"/>
      <c r="D94" s="1213"/>
      <c r="E94" s="1213"/>
      <c r="F94" s="1213"/>
      <c r="G94" s="1213"/>
      <c r="H94" s="1227">
        <f t="shared" si="1"/>
        <v>12</v>
      </c>
      <c r="I94" s="1306"/>
      <c r="J94" s="1307"/>
      <c r="K94" s="1308"/>
      <c r="L94" s="1309"/>
      <c r="M94" s="1213"/>
      <c r="N94" s="1172"/>
      <c r="O94" s="784">
        <v>44166</v>
      </c>
      <c r="P94" s="785">
        <v>2.8365999999999999E-2</v>
      </c>
      <c r="Q94" s="1293">
        <f t="shared" si="2"/>
        <v>44166</v>
      </c>
      <c r="R94" s="1213"/>
      <c r="S94" s="1213"/>
      <c r="T94" s="1213"/>
      <c r="U94" s="1213"/>
      <c r="V94" s="1213"/>
      <c r="W94" s="1213"/>
      <c r="X94" s="1213"/>
      <c r="Y94" s="1213"/>
      <c r="Z94" s="1213"/>
      <c r="AA94" s="1213"/>
      <c r="AB94" s="1213"/>
      <c r="AC94" s="1213"/>
      <c r="AD94" s="1213"/>
      <c r="AE94" s="1213"/>
      <c r="AF94" s="1213"/>
      <c r="AG94" s="1213"/>
      <c r="AH94" s="1213"/>
      <c r="AI94" s="1213"/>
      <c r="AJ94" s="1213"/>
      <c r="AK94" s="1213"/>
      <c r="AL94" s="1213"/>
      <c r="AM94" s="1213"/>
      <c r="AN94" s="1213"/>
      <c r="AO94" s="1213"/>
      <c r="AP94" s="1213"/>
      <c r="AQ94" s="1213"/>
      <c r="AR94" s="1213"/>
      <c r="AS94" s="1213"/>
      <c r="AT94" s="1213"/>
      <c r="AU94" s="1213"/>
      <c r="AV94" s="1213"/>
      <c r="AW94" s="1213"/>
      <c r="AX94" s="1213"/>
      <c r="AY94" s="1213"/>
      <c r="AZ94" s="1213"/>
      <c r="BA94" s="1213"/>
      <c r="BB94" s="1213"/>
      <c r="BC94" s="1213"/>
      <c r="BD94" s="1213"/>
      <c r="BE94" s="1213"/>
      <c r="BF94" s="1213"/>
      <c r="BG94" s="1213"/>
      <c r="BH94" s="1213"/>
      <c r="BI94" s="1213"/>
      <c r="BJ94" s="1213"/>
      <c r="BK94" s="1213"/>
    </row>
    <row r="95" spans="1:63" ht="12.75" customHeight="1" x14ac:dyDescent="0.3">
      <c r="A95" s="1213"/>
      <c r="B95" s="548"/>
      <c r="C95" s="548"/>
      <c r="D95" s="1213"/>
      <c r="E95" s="1213"/>
      <c r="F95" s="1213"/>
      <c r="G95" s="1213"/>
      <c r="H95" s="1227">
        <f t="shared" si="1"/>
        <v>13</v>
      </c>
      <c r="I95" s="1306"/>
      <c r="J95" s="1307"/>
      <c r="K95" s="1308"/>
      <c r="L95" s="1309"/>
      <c r="M95" s="1213"/>
      <c r="N95" s="1172"/>
      <c r="O95" s="784">
        <v>44348</v>
      </c>
      <c r="P95" s="785">
        <v>2.8135E-2</v>
      </c>
      <c r="Q95" s="1293">
        <f t="shared" si="2"/>
        <v>44348</v>
      </c>
      <c r="R95" s="1213"/>
      <c r="S95" s="1213"/>
      <c r="T95" s="1213"/>
      <c r="U95" s="1213"/>
      <c r="V95" s="1213"/>
      <c r="W95" s="1213"/>
      <c r="X95" s="1213"/>
      <c r="Y95" s="1213"/>
      <c r="Z95" s="1213"/>
      <c r="AA95" s="1213"/>
      <c r="AB95" s="1213"/>
      <c r="AC95" s="1213"/>
      <c r="AD95" s="1213"/>
      <c r="AE95" s="1213"/>
      <c r="AF95" s="1213"/>
      <c r="AG95" s="1213"/>
      <c r="AH95" s="1213"/>
      <c r="AI95" s="1213"/>
      <c r="AJ95" s="1213"/>
      <c r="AK95" s="1213"/>
      <c r="AL95" s="1213"/>
      <c r="AM95" s="1213"/>
      <c r="AN95" s="1213"/>
      <c r="AO95" s="1213"/>
      <c r="AP95" s="1213"/>
      <c r="AQ95" s="1213"/>
      <c r="AR95" s="1213"/>
      <c r="AS95" s="1213"/>
      <c r="AT95" s="1213"/>
      <c r="AU95" s="1213"/>
      <c r="AV95" s="1213"/>
      <c r="AW95" s="1213"/>
      <c r="AX95" s="1213"/>
      <c r="AY95" s="1213"/>
      <c r="AZ95" s="1213"/>
      <c r="BA95" s="1213"/>
      <c r="BB95" s="1213"/>
      <c r="BC95" s="1213"/>
      <c r="BD95" s="1213"/>
      <c r="BE95" s="1213"/>
      <c r="BF95" s="1213"/>
      <c r="BG95" s="1213"/>
      <c r="BH95" s="1213"/>
      <c r="BI95" s="1213"/>
      <c r="BJ95" s="1213"/>
      <c r="BK95" s="1213"/>
    </row>
    <row r="96" spans="1:63" ht="12.75" customHeight="1" x14ac:dyDescent="0.3">
      <c r="A96" s="1213"/>
      <c r="B96" s="548"/>
      <c r="C96" s="548"/>
      <c r="D96" s="1213"/>
      <c r="E96" s="1213"/>
      <c r="F96" s="1213"/>
      <c r="G96" s="1213"/>
      <c r="H96" s="1227">
        <f t="shared" si="1"/>
        <v>14</v>
      </c>
      <c r="I96" s="1306"/>
      <c r="J96" s="1307"/>
      <c r="K96" s="1308"/>
      <c r="L96" s="1309"/>
      <c r="M96" s="1213"/>
      <c r="N96" s="1172"/>
      <c r="O96" s="784">
        <v>44531</v>
      </c>
      <c r="P96" s="785">
        <v>2.7737999999999999E-2</v>
      </c>
      <c r="Q96" s="1293">
        <f t="shared" si="2"/>
        <v>44531</v>
      </c>
      <c r="R96" s="1213"/>
      <c r="S96" s="1213"/>
      <c r="T96" s="1213"/>
      <c r="U96" s="1213"/>
      <c r="V96" s="1213"/>
      <c r="W96" s="1213"/>
      <c r="X96" s="1213"/>
      <c r="Y96" s="1213"/>
      <c r="Z96" s="1213"/>
      <c r="AA96" s="1213"/>
      <c r="AB96" s="1213"/>
      <c r="AC96" s="1213"/>
      <c r="AD96" s="1213"/>
      <c r="AE96" s="1213"/>
      <c r="AF96" s="1213"/>
      <c r="AG96" s="1213"/>
      <c r="AH96" s="1213"/>
      <c r="AI96" s="1213"/>
      <c r="AJ96" s="1213"/>
      <c r="AK96" s="1213"/>
      <c r="AL96" s="1213"/>
      <c r="AM96" s="1213"/>
      <c r="AN96" s="1213"/>
      <c r="AO96" s="1213"/>
      <c r="AP96" s="1213"/>
      <c r="AQ96" s="1213"/>
      <c r="AR96" s="1213"/>
      <c r="AS96" s="1213"/>
      <c r="AT96" s="1213"/>
      <c r="AU96" s="1213"/>
      <c r="AV96" s="1213"/>
      <c r="AW96" s="1213"/>
      <c r="AX96" s="1213"/>
      <c r="AY96" s="1213"/>
      <c r="AZ96" s="1213"/>
      <c r="BA96" s="1213"/>
      <c r="BB96" s="1213"/>
      <c r="BC96" s="1213"/>
      <c r="BD96" s="1213"/>
      <c r="BE96" s="1213"/>
      <c r="BF96" s="1213"/>
      <c r="BG96" s="1213"/>
      <c r="BH96" s="1213"/>
      <c r="BI96" s="1213"/>
      <c r="BJ96" s="1213"/>
      <c r="BK96" s="1213"/>
    </row>
    <row r="97" spans="1:63" ht="12.75" customHeight="1" x14ac:dyDescent="0.3">
      <c r="A97" s="1213"/>
      <c r="B97" s="548"/>
      <c r="C97" s="548"/>
      <c r="D97" s="1213"/>
      <c r="E97" s="1213"/>
      <c r="F97" s="1213"/>
      <c r="G97" s="1213"/>
      <c r="H97" s="1227">
        <f t="shared" si="1"/>
        <v>15</v>
      </c>
      <c r="I97" s="1306"/>
      <c r="J97" s="1307"/>
      <c r="K97" s="1308"/>
      <c r="L97" s="1309"/>
      <c r="M97" s="1213"/>
      <c r="N97" s="1172"/>
      <c r="O97" s="784">
        <v>44713</v>
      </c>
      <c r="P97" s="785">
        <v>2.7296999999999998E-2</v>
      </c>
      <c r="Q97" s="1293">
        <f t="shared" si="2"/>
        <v>44713</v>
      </c>
      <c r="R97" s="1213"/>
      <c r="S97" s="1213"/>
      <c r="T97" s="1213"/>
      <c r="U97" s="1213"/>
      <c r="V97" s="1213"/>
      <c r="W97" s="1213"/>
      <c r="X97" s="1213"/>
      <c r="Y97" s="1213"/>
      <c r="Z97" s="1213"/>
      <c r="AA97" s="1213"/>
      <c r="AB97" s="1213"/>
      <c r="AC97" s="1213"/>
      <c r="AD97" s="1213"/>
      <c r="AE97" s="1213"/>
      <c r="AF97" s="1213"/>
      <c r="AG97" s="1213"/>
      <c r="AH97" s="1213"/>
      <c r="AI97" s="1213"/>
      <c r="AJ97" s="1213"/>
      <c r="AK97" s="1213"/>
      <c r="AL97" s="1213"/>
      <c r="AM97" s="1213"/>
      <c r="AN97" s="1213"/>
      <c r="AO97" s="1213"/>
      <c r="AP97" s="1213"/>
      <c r="AQ97" s="1213"/>
      <c r="AR97" s="1213"/>
      <c r="AS97" s="1213"/>
      <c r="AT97" s="1213"/>
      <c r="AU97" s="1213"/>
      <c r="AV97" s="1213"/>
      <c r="AW97" s="1213"/>
      <c r="AX97" s="1213"/>
      <c r="AY97" s="1213"/>
      <c r="AZ97" s="1213"/>
      <c r="BA97" s="1213"/>
      <c r="BB97" s="1213"/>
      <c r="BC97" s="1213"/>
      <c r="BD97" s="1213"/>
      <c r="BE97" s="1213"/>
      <c r="BF97" s="1213"/>
      <c r="BG97" s="1213"/>
      <c r="BH97" s="1213"/>
      <c r="BI97" s="1213"/>
      <c r="BJ97" s="1213"/>
      <c r="BK97" s="1213"/>
    </row>
    <row r="98" spans="1:63" ht="12.75" customHeight="1" x14ac:dyDescent="0.3">
      <c r="A98" s="1213"/>
      <c r="B98" s="548"/>
      <c r="C98" s="548"/>
      <c r="D98" s="1213"/>
      <c r="E98" s="1213"/>
      <c r="F98" s="1213"/>
      <c r="G98" s="1213"/>
      <c r="H98" s="1227">
        <f t="shared" si="1"/>
        <v>16</v>
      </c>
      <c r="I98" s="1306"/>
      <c r="J98" s="1307"/>
      <c r="K98" s="1308"/>
      <c r="L98" s="1309"/>
      <c r="M98" s="1213"/>
      <c r="N98" s="1172"/>
      <c r="O98" s="784">
        <v>44896</v>
      </c>
      <c r="P98" s="785">
        <v>2.7425000000000001E-2</v>
      </c>
      <c r="Q98" s="1293">
        <f t="shared" si="2"/>
        <v>44896</v>
      </c>
      <c r="R98" s="1213"/>
      <c r="S98" s="1213"/>
      <c r="T98" s="1213"/>
      <c r="U98" s="1213"/>
      <c r="V98" s="1213"/>
      <c r="W98" s="1213"/>
      <c r="X98" s="1213"/>
      <c r="Y98" s="1213"/>
      <c r="Z98" s="1213"/>
      <c r="AA98" s="1213"/>
      <c r="AB98" s="1213"/>
      <c r="AC98" s="1213"/>
      <c r="AD98" s="1213"/>
      <c r="AE98" s="1213"/>
      <c r="AF98" s="1213"/>
      <c r="AG98" s="1213"/>
      <c r="AH98" s="1213"/>
      <c r="AI98" s="1213"/>
      <c r="AJ98" s="1213"/>
      <c r="AK98" s="1213"/>
      <c r="AL98" s="1213"/>
      <c r="AM98" s="1213"/>
      <c r="AN98" s="1213"/>
      <c r="AO98" s="1213"/>
      <c r="AP98" s="1213"/>
      <c r="AQ98" s="1213"/>
      <c r="AR98" s="1213"/>
      <c r="AS98" s="1213"/>
      <c r="AT98" s="1213"/>
      <c r="AU98" s="1213"/>
      <c r="AV98" s="1213"/>
      <c r="AW98" s="1213"/>
      <c r="AX98" s="1213"/>
      <c r="AY98" s="1213"/>
      <c r="AZ98" s="1213"/>
      <c r="BA98" s="1213"/>
      <c r="BB98" s="1213"/>
      <c r="BC98" s="1213"/>
      <c r="BD98" s="1213"/>
      <c r="BE98" s="1213"/>
      <c r="BF98" s="1213"/>
      <c r="BG98" s="1213"/>
      <c r="BH98" s="1213"/>
      <c r="BI98" s="1213"/>
      <c r="BJ98" s="1213"/>
      <c r="BK98" s="1213"/>
    </row>
    <row r="99" spans="1:63" ht="12.75" customHeight="1" x14ac:dyDescent="0.3">
      <c r="A99" s="1213"/>
      <c r="B99" s="548"/>
      <c r="C99" s="548"/>
      <c r="D99" s="1213"/>
      <c r="E99" s="1213"/>
      <c r="F99" s="1213"/>
      <c r="G99" s="1213"/>
      <c r="H99" s="1227">
        <f t="shared" si="1"/>
        <v>17</v>
      </c>
      <c r="I99" s="1306"/>
      <c r="J99" s="1307"/>
      <c r="K99" s="1308"/>
      <c r="L99" s="1309"/>
      <c r="M99" s="1213"/>
      <c r="N99" s="1172"/>
      <c r="O99" s="784">
        <v>45078</v>
      </c>
      <c r="P99" s="785">
        <v>2.7501000000000001E-2</v>
      </c>
      <c r="Q99" s="1293">
        <f t="shared" si="2"/>
        <v>45078</v>
      </c>
      <c r="R99" s="1213"/>
      <c r="S99" s="1213"/>
      <c r="T99" s="1213"/>
      <c r="U99" s="1213"/>
      <c r="V99" s="1213"/>
      <c r="W99" s="1213"/>
      <c r="X99" s="1213"/>
      <c r="Y99" s="1213"/>
      <c r="Z99" s="1213"/>
      <c r="AA99" s="1213"/>
      <c r="AB99" s="1213"/>
      <c r="AC99" s="1213"/>
      <c r="AD99" s="1213"/>
      <c r="AE99" s="1213"/>
      <c r="AF99" s="1213"/>
      <c r="AG99" s="1213"/>
      <c r="AH99" s="1213"/>
      <c r="AI99" s="1213"/>
      <c r="AJ99" s="1213"/>
      <c r="AK99" s="1213"/>
      <c r="AL99" s="1213"/>
      <c r="AM99" s="1213"/>
      <c r="AN99" s="1213"/>
      <c r="AO99" s="1213"/>
      <c r="AP99" s="1213"/>
      <c r="AQ99" s="1213"/>
      <c r="AR99" s="1213"/>
      <c r="AS99" s="1213"/>
      <c r="AT99" s="1213"/>
      <c r="AU99" s="1213"/>
      <c r="AV99" s="1213"/>
      <c r="AW99" s="1213"/>
      <c r="AX99" s="1213"/>
      <c r="AY99" s="1213"/>
      <c r="AZ99" s="1213"/>
      <c r="BA99" s="1213"/>
      <c r="BB99" s="1213"/>
      <c r="BC99" s="1213"/>
      <c r="BD99" s="1213"/>
      <c r="BE99" s="1213"/>
      <c r="BF99" s="1213"/>
      <c r="BG99" s="1213"/>
      <c r="BH99" s="1213"/>
      <c r="BI99" s="1213"/>
      <c r="BJ99" s="1213"/>
      <c r="BK99" s="1213"/>
    </row>
    <row r="100" spans="1:63" ht="12.75" customHeight="1" x14ac:dyDescent="0.3">
      <c r="A100" s="1213"/>
      <c r="B100" s="548"/>
      <c r="C100" s="548"/>
      <c r="D100" s="1213"/>
      <c r="E100" s="1213"/>
      <c r="F100" s="1213"/>
      <c r="G100" s="1213"/>
      <c r="H100" s="1227">
        <f t="shared" si="1"/>
        <v>18</v>
      </c>
      <c r="I100" s="1306"/>
      <c r="J100" s="1307"/>
      <c r="K100" s="1308"/>
      <c r="L100" s="1309"/>
      <c r="M100" s="1213"/>
      <c r="N100" s="1172"/>
      <c r="O100" s="784">
        <v>45261</v>
      </c>
      <c r="P100" s="785">
        <v>2.7524E-2</v>
      </c>
      <c r="Q100" s="1293">
        <f t="shared" si="2"/>
        <v>45261</v>
      </c>
      <c r="R100" s="1213"/>
      <c r="S100" s="1213"/>
      <c r="T100" s="1213"/>
      <c r="U100" s="1213"/>
      <c r="V100" s="1213"/>
      <c r="W100" s="1213"/>
      <c r="X100" s="1213"/>
      <c r="Y100" s="1213"/>
      <c r="Z100" s="1213"/>
      <c r="AA100" s="1213"/>
      <c r="AB100" s="1213"/>
      <c r="AC100" s="1213"/>
      <c r="AD100" s="1213"/>
      <c r="AE100" s="1213"/>
      <c r="AF100" s="1213"/>
      <c r="AG100" s="1213"/>
      <c r="AH100" s="1213"/>
      <c r="AI100" s="1213"/>
      <c r="AJ100" s="1213"/>
      <c r="AK100" s="1213"/>
      <c r="AL100" s="1213"/>
      <c r="AM100" s="1213"/>
      <c r="AN100" s="1213"/>
      <c r="AO100" s="1213"/>
      <c r="AP100" s="1213"/>
      <c r="AQ100" s="1213"/>
      <c r="AR100" s="1213"/>
      <c r="AS100" s="1213"/>
      <c r="AT100" s="1213"/>
      <c r="AU100" s="1213"/>
      <c r="AV100" s="1213"/>
      <c r="AW100" s="1213"/>
      <c r="AX100" s="1213"/>
      <c r="AY100" s="1213"/>
      <c r="AZ100" s="1213"/>
      <c r="BA100" s="1213"/>
      <c r="BB100" s="1213"/>
      <c r="BC100" s="1213"/>
      <c r="BD100" s="1213"/>
      <c r="BE100" s="1213"/>
      <c r="BF100" s="1213"/>
      <c r="BG100" s="1213"/>
      <c r="BH100" s="1213"/>
      <c r="BI100" s="1213"/>
      <c r="BJ100" s="1213"/>
      <c r="BK100" s="1213"/>
    </row>
    <row r="101" spans="1:63" ht="12.75" customHeight="1" x14ac:dyDescent="0.3">
      <c r="A101" s="1213"/>
      <c r="B101" s="548"/>
      <c r="C101" s="548"/>
      <c r="D101" s="1213"/>
      <c r="E101" s="1213"/>
      <c r="F101" s="1213"/>
      <c r="G101" s="1213"/>
      <c r="H101" s="1227">
        <f t="shared" si="1"/>
        <v>19</v>
      </c>
      <c r="I101" s="1306"/>
      <c r="J101" s="1307"/>
      <c r="K101" s="1308"/>
      <c r="L101" s="1309"/>
      <c r="M101" s="1213"/>
      <c r="N101" s="1172"/>
      <c r="O101" s="784">
        <v>45444</v>
      </c>
      <c r="P101" s="785">
        <v>2.7491999999999999E-2</v>
      </c>
      <c r="Q101" s="1293">
        <f t="shared" si="2"/>
        <v>45444</v>
      </c>
      <c r="R101" s="1213"/>
      <c r="S101" s="1213"/>
      <c r="T101" s="1213"/>
      <c r="U101" s="1213"/>
      <c r="V101" s="1213"/>
      <c r="W101" s="1213"/>
      <c r="X101" s="1213"/>
      <c r="Y101" s="1213"/>
      <c r="Z101" s="1213"/>
      <c r="AA101" s="1213"/>
      <c r="AB101" s="1213"/>
      <c r="AC101" s="1213"/>
      <c r="AD101" s="1213"/>
      <c r="AE101" s="1213"/>
      <c r="AF101" s="1213"/>
      <c r="AG101" s="1213"/>
      <c r="AH101" s="1213"/>
      <c r="AI101" s="1213"/>
      <c r="AJ101" s="1213"/>
      <c r="AK101" s="1213"/>
      <c r="AL101" s="1213"/>
      <c r="AM101" s="1213"/>
      <c r="AN101" s="1213"/>
      <c r="AO101" s="1213"/>
      <c r="AP101" s="1213"/>
      <c r="AQ101" s="1213"/>
      <c r="AR101" s="1213"/>
      <c r="AS101" s="1213"/>
      <c r="AT101" s="1213"/>
      <c r="AU101" s="1213"/>
      <c r="AV101" s="1213"/>
      <c r="AW101" s="1213"/>
      <c r="AX101" s="1213"/>
      <c r="AY101" s="1213"/>
      <c r="AZ101" s="1213"/>
      <c r="BA101" s="1213"/>
      <c r="BB101" s="1213"/>
      <c r="BC101" s="1213"/>
      <c r="BD101" s="1213"/>
      <c r="BE101" s="1213"/>
      <c r="BF101" s="1213"/>
      <c r="BG101" s="1213"/>
      <c r="BH101" s="1213"/>
      <c r="BI101" s="1213"/>
      <c r="BJ101" s="1213"/>
      <c r="BK101" s="1213"/>
    </row>
    <row r="102" spans="1:63" ht="12.75" customHeight="1" x14ac:dyDescent="0.3">
      <c r="A102" s="1213"/>
      <c r="B102" s="548"/>
      <c r="C102" s="548"/>
      <c r="D102" s="1213"/>
      <c r="E102" s="1213"/>
      <c r="F102" s="1213"/>
      <c r="G102" s="1213"/>
      <c r="H102" s="1227">
        <f t="shared" si="1"/>
        <v>20</v>
      </c>
      <c r="I102" s="1306"/>
      <c r="J102" s="1307"/>
      <c r="K102" s="1308"/>
      <c r="L102" s="1309"/>
      <c r="M102" s="1213"/>
      <c r="N102" s="1172"/>
      <c r="O102" s="784">
        <v>45627</v>
      </c>
      <c r="P102" s="785">
        <v>2.7406E-2</v>
      </c>
      <c r="Q102" s="1293">
        <f t="shared" si="2"/>
        <v>45627</v>
      </c>
      <c r="R102" s="1213"/>
      <c r="S102" s="1213"/>
      <c r="T102" s="1213"/>
      <c r="U102" s="1213"/>
      <c r="V102" s="1213"/>
      <c r="W102" s="1213"/>
      <c r="X102" s="1213"/>
      <c r="Y102" s="1213"/>
      <c r="Z102" s="1213"/>
      <c r="AA102" s="1213"/>
      <c r="AB102" s="1213"/>
      <c r="AC102" s="1213"/>
      <c r="AD102" s="1213"/>
      <c r="AE102" s="1213"/>
      <c r="AF102" s="1213"/>
      <c r="AG102" s="1213"/>
      <c r="AH102" s="1213"/>
      <c r="AI102" s="1213"/>
      <c r="AJ102" s="1213"/>
      <c r="AK102" s="1213"/>
      <c r="AL102" s="1213"/>
      <c r="AM102" s="1213"/>
      <c r="AN102" s="1213"/>
      <c r="AO102" s="1213"/>
      <c r="AP102" s="1213"/>
      <c r="AQ102" s="1213"/>
      <c r="AR102" s="1213"/>
      <c r="AS102" s="1213"/>
      <c r="AT102" s="1213"/>
      <c r="AU102" s="1213"/>
      <c r="AV102" s="1213"/>
      <c r="AW102" s="1213"/>
      <c r="AX102" s="1213"/>
      <c r="AY102" s="1213"/>
      <c r="AZ102" s="1213"/>
      <c r="BA102" s="1213"/>
      <c r="BB102" s="1213"/>
      <c r="BC102" s="1213"/>
      <c r="BD102" s="1213"/>
      <c r="BE102" s="1213"/>
      <c r="BF102" s="1213"/>
      <c r="BG102" s="1213"/>
      <c r="BH102" s="1213"/>
      <c r="BI102" s="1213"/>
      <c r="BJ102" s="1213"/>
      <c r="BK102" s="1213"/>
    </row>
    <row r="103" spans="1:63" ht="12.75" customHeight="1" x14ac:dyDescent="0.3">
      <c r="A103" s="1213"/>
      <c r="B103" s="548"/>
      <c r="C103" s="548"/>
      <c r="D103" s="1310"/>
      <c r="E103" s="1310"/>
      <c r="F103" s="1310"/>
      <c r="G103" s="1310"/>
      <c r="H103" s="1227">
        <f t="shared" si="1"/>
        <v>21</v>
      </c>
      <c r="I103" s="1306"/>
      <c r="J103" s="1307"/>
      <c r="K103" s="1308"/>
      <c r="L103" s="1309"/>
      <c r="M103" s="1213"/>
      <c r="N103" s="1172"/>
      <c r="O103" s="784">
        <v>45809</v>
      </c>
      <c r="P103" s="785">
        <v>2.7355000000000001E-2</v>
      </c>
      <c r="Q103" s="1293">
        <f t="shared" si="2"/>
        <v>45809</v>
      </c>
      <c r="R103" s="1213"/>
      <c r="S103" s="1213"/>
      <c r="T103" s="1213"/>
      <c r="U103" s="1213"/>
      <c r="V103" s="1213"/>
      <c r="W103" s="1213"/>
      <c r="X103" s="1213"/>
      <c r="Y103" s="1213"/>
      <c r="Z103" s="1213"/>
      <c r="AA103" s="1213"/>
      <c r="AB103" s="1213"/>
      <c r="AC103" s="1213"/>
      <c r="AD103" s="1213"/>
      <c r="AE103" s="1213"/>
      <c r="AF103" s="1213"/>
      <c r="AG103" s="1213"/>
      <c r="AH103" s="1213"/>
      <c r="AI103" s="1213"/>
      <c r="AJ103" s="1213"/>
      <c r="AK103" s="1213"/>
      <c r="AL103" s="1213"/>
      <c r="AM103" s="1213"/>
      <c r="AN103" s="1213"/>
      <c r="AO103" s="1213"/>
      <c r="AP103" s="1213"/>
      <c r="AQ103" s="1213"/>
      <c r="AR103" s="1213"/>
      <c r="AS103" s="1213"/>
      <c r="AT103" s="1213"/>
      <c r="AU103" s="1213"/>
      <c r="AV103" s="1213"/>
      <c r="AW103" s="1213"/>
      <c r="AX103" s="1213"/>
      <c r="AY103" s="1213"/>
      <c r="AZ103" s="1213"/>
      <c r="BA103" s="1213"/>
      <c r="BB103" s="1213"/>
      <c r="BC103" s="1213"/>
      <c r="BD103" s="1213"/>
      <c r="BE103" s="1213"/>
      <c r="BF103" s="1213"/>
      <c r="BG103" s="1213"/>
      <c r="BH103" s="1213"/>
      <c r="BI103" s="1213"/>
      <c r="BJ103" s="1213"/>
      <c r="BK103" s="1213"/>
    </row>
    <row r="104" spans="1:63" ht="12.75" customHeight="1" x14ac:dyDescent="0.3">
      <c r="A104" s="1213"/>
      <c r="B104" s="548"/>
      <c r="C104" s="548"/>
      <c r="D104" s="1310"/>
      <c r="E104" s="1310"/>
      <c r="F104" s="1310"/>
      <c r="G104" s="1310"/>
      <c r="H104" s="1227">
        <f t="shared" si="1"/>
        <v>22</v>
      </c>
      <c r="I104" s="1306"/>
      <c r="J104" s="1307"/>
      <c r="K104" s="1308"/>
      <c r="L104" s="1309"/>
      <c r="M104" s="1213"/>
      <c r="N104" s="1213"/>
      <c r="O104" s="1213"/>
      <c r="P104" s="1213"/>
      <c r="Q104" s="1213"/>
      <c r="R104" s="1213"/>
      <c r="S104" s="1213"/>
      <c r="T104" s="1213"/>
      <c r="U104" s="1213"/>
      <c r="V104" s="1213"/>
      <c r="W104" s="1213"/>
      <c r="X104" s="1213"/>
      <c r="Y104" s="1213"/>
      <c r="Z104" s="1213"/>
      <c r="AA104" s="1213"/>
      <c r="AB104" s="1213"/>
      <c r="AC104" s="1213"/>
      <c r="AD104" s="1213"/>
      <c r="AE104" s="1213"/>
      <c r="AF104" s="1213"/>
      <c r="AG104" s="1213"/>
      <c r="AH104" s="1213"/>
      <c r="AI104" s="1213"/>
      <c r="AJ104" s="1213"/>
      <c r="AK104" s="1213"/>
      <c r="AL104" s="1213"/>
      <c r="AM104" s="1213"/>
      <c r="AN104" s="1213"/>
      <c r="AO104" s="1213"/>
      <c r="AP104" s="1213"/>
      <c r="AQ104" s="1213"/>
      <c r="AR104" s="1213"/>
      <c r="AS104" s="1213"/>
      <c r="AT104" s="1213"/>
      <c r="AU104" s="1213"/>
      <c r="AV104" s="1213"/>
      <c r="AW104" s="1213"/>
      <c r="AX104" s="1213"/>
      <c r="AY104" s="1213"/>
      <c r="AZ104" s="1213"/>
      <c r="BA104" s="1213"/>
      <c r="BB104" s="1213"/>
      <c r="BC104" s="1213"/>
      <c r="BD104" s="1213"/>
      <c r="BE104" s="1213"/>
      <c r="BF104" s="1213"/>
      <c r="BG104" s="1213"/>
      <c r="BH104" s="1213"/>
      <c r="BI104" s="1213"/>
      <c r="BJ104" s="1213"/>
      <c r="BK104" s="1213"/>
    </row>
    <row r="105" spans="1:63" ht="12.75" customHeight="1" x14ac:dyDescent="0.3">
      <c r="A105" s="1213"/>
      <c r="B105" s="548"/>
      <c r="C105" s="548"/>
      <c r="D105" s="1310"/>
      <c r="E105" s="1310"/>
      <c r="F105" s="1310"/>
      <c r="G105" s="1310"/>
      <c r="H105" s="1227">
        <f t="shared" si="1"/>
        <v>23</v>
      </c>
      <c r="I105" s="1306"/>
      <c r="J105" s="1307"/>
      <c r="K105" s="1308"/>
      <c r="L105" s="1309"/>
      <c r="M105" s="1213"/>
      <c r="N105" s="1213"/>
      <c r="O105" s="1290"/>
      <c r="P105" s="1290" t="s">
        <v>493</v>
      </c>
      <c r="Q105" s="1290"/>
      <c r="R105" s="1213"/>
      <c r="S105" s="1213"/>
      <c r="T105" s="1213"/>
      <c r="U105" s="1213"/>
      <c r="V105" s="1213"/>
      <c r="W105" s="1213"/>
      <c r="X105" s="1213"/>
      <c r="Y105" s="1213"/>
      <c r="Z105" s="1213"/>
      <c r="AA105" s="1213"/>
      <c r="AB105" s="1213"/>
      <c r="AC105" s="1213"/>
      <c r="AD105" s="1213"/>
      <c r="AE105" s="1213"/>
      <c r="AF105" s="1213"/>
      <c r="AG105" s="1213"/>
      <c r="AH105" s="1213"/>
      <c r="AI105" s="1213"/>
      <c r="AJ105" s="1213"/>
      <c r="AK105" s="1213"/>
      <c r="AL105" s="1213"/>
      <c r="AM105" s="1213"/>
      <c r="AN105" s="1213"/>
      <c r="AO105" s="1213"/>
      <c r="AP105" s="1213"/>
      <c r="AQ105" s="1213"/>
      <c r="AR105" s="1213"/>
      <c r="AS105" s="1213"/>
      <c r="AT105" s="1213"/>
      <c r="AU105" s="1213"/>
      <c r="AV105" s="1213"/>
      <c r="AW105" s="1213"/>
      <c r="AX105" s="1213"/>
      <c r="AY105" s="1213"/>
      <c r="AZ105" s="1213"/>
      <c r="BA105" s="1213"/>
      <c r="BB105" s="1213"/>
      <c r="BC105" s="1213"/>
      <c r="BD105" s="1213"/>
      <c r="BE105" s="1213"/>
      <c r="BF105" s="1213"/>
      <c r="BG105" s="1213"/>
      <c r="BH105" s="1213"/>
      <c r="BI105" s="1213"/>
      <c r="BJ105" s="1213"/>
      <c r="BK105" s="1213"/>
    </row>
    <row r="106" spans="1:63" ht="12.75" customHeight="1" x14ac:dyDescent="0.3">
      <c r="A106" s="1213"/>
      <c r="B106" s="548"/>
      <c r="C106" s="548"/>
      <c r="D106" s="1310"/>
      <c r="E106" s="1310"/>
      <c r="F106" s="1310"/>
      <c r="G106" s="1310"/>
      <c r="H106" s="1227">
        <f t="shared" si="1"/>
        <v>24</v>
      </c>
      <c r="I106" s="1306"/>
      <c r="J106" s="1307"/>
      <c r="K106" s="1308"/>
      <c r="L106" s="1309"/>
      <c r="M106" s="1213"/>
      <c r="N106" s="1213"/>
      <c r="O106" s="1290" t="s">
        <v>1</v>
      </c>
      <c r="P106" s="1290" t="s">
        <v>1</v>
      </c>
      <c r="Q106" s="1290" t="s">
        <v>494</v>
      </c>
      <c r="R106" s="1213"/>
      <c r="S106" s="1213"/>
      <c r="T106" s="1213"/>
      <c r="U106" s="1213"/>
      <c r="V106" s="1213"/>
      <c r="W106" s="1213"/>
      <c r="X106" s="1213"/>
      <c r="Y106" s="1213"/>
      <c r="Z106" s="1213"/>
      <c r="AA106" s="1213"/>
      <c r="AB106" s="1213"/>
      <c r="AC106" s="1213"/>
      <c r="AD106" s="1213"/>
      <c r="AE106" s="1213"/>
      <c r="AF106" s="1213"/>
      <c r="AG106" s="1213"/>
      <c r="AH106" s="1213"/>
      <c r="AI106" s="1213"/>
      <c r="AJ106" s="1213"/>
      <c r="AK106" s="1213"/>
      <c r="AL106" s="1213"/>
      <c r="AM106" s="1213"/>
      <c r="AN106" s="1213"/>
      <c r="AO106" s="1213"/>
      <c r="AP106" s="1213"/>
      <c r="AQ106" s="1213"/>
      <c r="AR106" s="1213"/>
      <c r="AS106" s="1213"/>
      <c r="AT106" s="1213"/>
      <c r="AU106" s="1213"/>
      <c r="AV106" s="1213"/>
      <c r="AW106" s="1213"/>
      <c r="AX106" s="1213"/>
      <c r="AY106" s="1213"/>
      <c r="AZ106" s="1213"/>
      <c r="BA106" s="1213"/>
      <c r="BB106" s="1213"/>
      <c r="BC106" s="1213"/>
      <c r="BD106" s="1213"/>
      <c r="BE106" s="1213"/>
      <c r="BF106" s="1213"/>
      <c r="BG106" s="1213"/>
      <c r="BH106" s="1213"/>
      <c r="BI106" s="1213"/>
      <c r="BJ106" s="1213"/>
      <c r="BK106" s="1213"/>
    </row>
    <row r="107" spans="1:63" ht="12.75" customHeight="1" x14ac:dyDescent="0.3">
      <c r="A107" s="1213"/>
      <c r="B107" s="548"/>
      <c r="C107" s="548"/>
      <c r="D107" s="1310"/>
      <c r="E107" s="1310"/>
      <c r="F107" s="1310"/>
      <c r="G107" s="1310"/>
      <c r="H107" s="1227">
        <f t="shared" si="1"/>
        <v>25</v>
      </c>
      <c r="I107" s="1306"/>
      <c r="J107" s="1307"/>
      <c r="K107" s="1308"/>
      <c r="L107" s="1309"/>
      <c r="M107" s="1213"/>
      <c r="N107" s="1213"/>
      <c r="O107" s="784">
        <v>44949</v>
      </c>
      <c r="P107" s="1173">
        <v>44957</v>
      </c>
      <c r="Q107" s="785">
        <v>4.5629500000000003E-2</v>
      </c>
      <c r="R107" s="1213"/>
      <c r="S107" s="1213"/>
      <c r="T107" s="1213"/>
      <c r="U107" s="1213"/>
      <c r="V107" s="1213"/>
      <c r="W107" s="1213"/>
      <c r="X107" s="1213"/>
      <c r="Y107" s="1213"/>
      <c r="Z107" s="1213"/>
      <c r="AA107" s="1213"/>
      <c r="AB107" s="1213"/>
      <c r="AC107" s="1213"/>
      <c r="AD107" s="1213"/>
      <c r="AE107" s="1213"/>
      <c r="AF107" s="1213"/>
      <c r="AG107" s="1213"/>
      <c r="AH107" s="1213"/>
      <c r="AI107" s="1213"/>
      <c r="AJ107" s="1213"/>
      <c r="AK107" s="1213"/>
      <c r="AL107" s="1213"/>
      <c r="AM107" s="1213"/>
      <c r="AN107" s="1213"/>
      <c r="AO107" s="1213"/>
      <c r="AP107" s="1213"/>
      <c r="AQ107" s="1213"/>
      <c r="AR107" s="1213"/>
      <c r="AS107" s="1213"/>
      <c r="AT107" s="1213"/>
      <c r="AU107" s="1213"/>
      <c r="AV107" s="1213"/>
      <c r="AW107" s="1213"/>
      <c r="AX107" s="1213"/>
      <c r="AY107" s="1213"/>
      <c r="AZ107" s="1213"/>
      <c r="BA107" s="1213"/>
      <c r="BB107" s="1213"/>
      <c r="BC107" s="1213"/>
      <c r="BD107" s="1213"/>
      <c r="BE107" s="1213"/>
      <c r="BF107" s="1213"/>
      <c r="BG107" s="1213"/>
      <c r="BH107" s="1213"/>
      <c r="BI107" s="1213"/>
      <c r="BJ107" s="1213"/>
      <c r="BK107" s="1213"/>
    </row>
    <row r="108" spans="1:63" ht="12.75" customHeight="1" x14ac:dyDescent="0.3">
      <c r="A108" s="1213"/>
      <c r="B108" s="548"/>
      <c r="C108" s="548"/>
      <c r="D108" s="1310"/>
      <c r="E108" s="1310"/>
      <c r="F108" s="1310"/>
      <c r="G108" s="1310"/>
      <c r="H108" s="1227">
        <f t="shared" si="1"/>
        <v>26</v>
      </c>
      <c r="I108" s="1306"/>
      <c r="J108" s="1307"/>
      <c r="K108" s="1308"/>
      <c r="L108" s="1309"/>
      <c r="M108" s="1213"/>
      <c r="N108" s="1213"/>
      <c r="O108" s="784">
        <v>44980</v>
      </c>
      <c r="P108" s="1173">
        <v>44985</v>
      </c>
      <c r="Q108" s="785">
        <v>4.6391700000000001E-2</v>
      </c>
      <c r="R108" s="1213"/>
      <c r="S108" s="1213"/>
      <c r="T108" s="1213"/>
      <c r="U108" s="1213"/>
      <c r="V108" s="1213"/>
      <c r="W108" s="1213"/>
      <c r="X108" s="1213"/>
      <c r="Y108" s="1213"/>
      <c r="Z108" s="1213"/>
      <c r="AA108" s="1213"/>
      <c r="AB108" s="1213"/>
      <c r="AC108" s="1213"/>
      <c r="AD108" s="1213"/>
      <c r="AE108" s="1213"/>
      <c r="AF108" s="1213"/>
      <c r="AG108" s="1213"/>
      <c r="AH108" s="1213"/>
      <c r="AI108" s="1213"/>
      <c r="AJ108" s="1213"/>
      <c r="AK108" s="1213"/>
      <c r="AL108" s="1213"/>
      <c r="AM108" s="1213"/>
      <c r="AN108" s="1213"/>
      <c r="AO108" s="1213"/>
      <c r="AP108" s="1213"/>
      <c r="AQ108" s="1213"/>
      <c r="AR108" s="1213"/>
      <c r="AS108" s="1213"/>
      <c r="AT108" s="1213"/>
      <c r="AU108" s="1213"/>
      <c r="AV108" s="1213"/>
      <c r="AW108" s="1213"/>
      <c r="AX108" s="1213"/>
      <c r="AY108" s="1213"/>
      <c r="AZ108" s="1213"/>
      <c r="BA108" s="1213"/>
      <c r="BB108" s="1213"/>
      <c r="BC108" s="1213"/>
      <c r="BD108" s="1213"/>
      <c r="BE108" s="1213"/>
      <c r="BF108" s="1213"/>
      <c r="BG108" s="1213"/>
      <c r="BH108" s="1213"/>
      <c r="BI108" s="1213"/>
      <c r="BJ108" s="1213"/>
      <c r="BK108" s="1213"/>
    </row>
    <row r="109" spans="1:63" ht="12.75" customHeight="1" x14ac:dyDescent="0.3">
      <c r="A109" s="1213"/>
      <c r="B109" s="548"/>
      <c r="C109" s="548"/>
      <c r="D109" s="1310"/>
      <c r="E109" s="1310"/>
      <c r="F109" s="1310"/>
      <c r="G109" s="1310"/>
      <c r="H109" s="1227">
        <f t="shared" si="1"/>
        <v>27</v>
      </c>
      <c r="I109" s="1306"/>
      <c r="J109" s="1307"/>
      <c r="K109" s="1308"/>
      <c r="L109" s="1309"/>
      <c r="M109" s="1213"/>
      <c r="N109" s="1213"/>
      <c r="O109" s="784">
        <v>45008</v>
      </c>
      <c r="P109" s="1173">
        <v>45016</v>
      </c>
      <c r="Q109" s="785">
        <v>4.7722599999999997E-2</v>
      </c>
      <c r="R109" s="1213"/>
      <c r="S109" s="1213"/>
      <c r="T109" s="1213"/>
      <c r="U109" s="1213"/>
      <c r="V109" s="1213"/>
      <c r="W109" s="1213"/>
      <c r="X109" s="1213"/>
      <c r="Y109" s="1213"/>
      <c r="Z109" s="1213"/>
      <c r="AA109" s="1213"/>
      <c r="AB109" s="1213"/>
      <c r="AC109" s="1213"/>
      <c r="AD109" s="1213"/>
      <c r="AE109" s="1213"/>
      <c r="AF109" s="1213"/>
      <c r="AG109" s="1213"/>
      <c r="AH109" s="1213"/>
      <c r="AI109" s="1213"/>
      <c r="AJ109" s="1213"/>
      <c r="AK109" s="1213"/>
      <c r="AL109" s="1213"/>
      <c r="AM109" s="1213"/>
      <c r="AN109" s="1213"/>
      <c r="AO109" s="1213"/>
      <c r="AP109" s="1213"/>
      <c r="AQ109" s="1213"/>
      <c r="AR109" s="1213"/>
      <c r="AS109" s="1213"/>
      <c r="AT109" s="1213"/>
      <c r="AU109" s="1213"/>
      <c r="AV109" s="1213"/>
      <c r="AW109" s="1213"/>
      <c r="AX109" s="1213"/>
      <c r="AY109" s="1213"/>
      <c r="AZ109" s="1213"/>
      <c r="BA109" s="1213"/>
      <c r="BB109" s="1213"/>
      <c r="BC109" s="1213"/>
      <c r="BD109" s="1213"/>
      <c r="BE109" s="1213"/>
      <c r="BF109" s="1213"/>
      <c r="BG109" s="1213"/>
      <c r="BH109" s="1213"/>
      <c r="BI109" s="1213"/>
      <c r="BJ109" s="1213"/>
      <c r="BK109" s="1213"/>
    </row>
    <row r="110" spans="1:63" ht="12.75" customHeight="1" x14ac:dyDescent="0.3">
      <c r="A110" s="1213"/>
      <c r="B110" s="548"/>
      <c r="C110" s="548"/>
      <c r="D110" s="1310"/>
      <c r="E110" s="1310"/>
      <c r="F110" s="1310"/>
      <c r="G110" s="1310"/>
      <c r="H110" s="1227">
        <f t="shared" si="1"/>
        <v>28</v>
      </c>
      <c r="I110" s="1306"/>
      <c r="J110" s="1307"/>
      <c r="K110" s="1308"/>
      <c r="L110" s="1309"/>
      <c r="M110" s="1213"/>
      <c r="N110" s="1213"/>
      <c r="O110" s="784">
        <v>45040</v>
      </c>
      <c r="P110" s="1173">
        <v>45046</v>
      </c>
      <c r="Q110" s="785">
        <v>4.8630699999999999E-2</v>
      </c>
      <c r="R110" s="1213"/>
      <c r="S110" s="1213"/>
      <c r="T110" s="1213"/>
      <c r="U110" s="1213"/>
      <c r="V110" s="1213"/>
      <c r="W110" s="1213"/>
      <c r="X110" s="1213"/>
      <c r="Y110" s="1213"/>
      <c r="Z110" s="1213"/>
      <c r="AA110" s="1213"/>
      <c r="AB110" s="1213"/>
      <c r="AC110" s="1213"/>
      <c r="AD110" s="1213"/>
      <c r="AE110" s="1213"/>
      <c r="AF110" s="1213"/>
      <c r="AG110" s="1213"/>
      <c r="AH110" s="1213"/>
      <c r="AI110" s="1213"/>
      <c r="AJ110" s="1213"/>
      <c r="AK110" s="1213"/>
      <c r="AL110" s="1213"/>
      <c r="AM110" s="1213"/>
      <c r="AN110" s="1213"/>
      <c r="AO110" s="1213"/>
      <c r="AP110" s="1213"/>
      <c r="AQ110" s="1213"/>
      <c r="AR110" s="1213"/>
      <c r="AS110" s="1213"/>
      <c r="AT110" s="1213"/>
      <c r="AU110" s="1213"/>
      <c r="AV110" s="1213"/>
      <c r="AW110" s="1213"/>
      <c r="AX110" s="1213"/>
      <c r="AY110" s="1213"/>
      <c r="AZ110" s="1213"/>
      <c r="BA110" s="1213"/>
      <c r="BB110" s="1213"/>
      <c r="BC110" s="1213"/>
      <c r="BD110" s="1213"/>
      <c r="BE110" s="1213"/>
      <c r="BF110" s="1213"/>
      <c r="BG110" s="1213"/>
      <c r="BH110" s="1213"/>
      <c r="BI110" s="1213"/>
      <c r="BJ110" s="1213"/>
      <c r="BK110" s="1213"/>
    </row>
    <row r="111" spans="1:63" ht="12.75" customHeight="1" x14ac:dyDescent="0.3">
      <c r="A111" s="1213"/>
      <c r="B111" s="548"/>
      <c r="C111" s="548"/>
      <c r="D111" s="1310"/>
      <c r="E111" s="1310"/>
      <c r="F111" s="1310"/>
      <c r="G111" s="1310"/>
      <c r="H111" s="1227">
        <f t="shared" si="1"/>
        <v>29</v>
      </c>
      <c r="I111" s="1306"/>
      <c r="J111" s="1307"/>
      <c r="K111" s="1308"/>
      <c r="L111" s="1309"/>
      <c r="M111" s="1213"/>
      <c r="N111" s="1213"/>
      <c r="O111" s="784">
        <v>45069</v>
      </c>
      <c r="P111" s="1173">
        <v>45077</v>
      </c>
      <c r="Q111" s="785">
        <v>4.8720699999999999E-2</v>
      </c>
      <c r="R111" s="1213"/>
      <c r="S111" s="1213"/>
      <c r="T111" s="1213"/>
      <c r="U111" s="1213"/>
      <c r="V111" s="1213"/>
      <c r="W111" s="1213"/>
      <c r="X111" s="1213"/>
      <c r="Y111" s="1213"/>
      <c r="Z111" s="1213"/>
      <c r="AA111" s="1213"/>
      <c r="AB111" s="1213"/>
      <c r="AC111" s="1213"/>
      <c r="AD111" s="1213"/>
      <c r="AE111" s="1213"/>
      <c r="AF111" s="1213"/>
      <c r="AG111" s="1213"/>
      <c r="AH111" s="1213"/>
      <c r="AI111" s="1213"/>
      <c r="AJ111" s="1213"/>
      <c r="AK111" s="1213"/>
      <c r="AL111" s="1213"/>
      <c r="AM111" s="1213"/>
      <c r="AN111" s="1213"/>
      <c r="AO111" s="1213"/>
      <c r="AP111" s="1213"/>
      <c r="AQ111" s="1213"/>
      <c r="AR111" s="1213"/>
      <c r="AS111" s="1213"/>
      <c r="AT111" s="1213"/>
      <c r="AU111" s="1213"/>
      <c r="AV111" s="1213"/>
      <c r="AW111" s="1213"/>
      <c r="AX111" s="1213"/>
      <c r="AY111" s="1213"/>
      <c r="AZ111" s="1213"/>
      <c r="BA111" s="1213"/>
      <c r="BB111" s="1213"/>
      <c r="BC111" s="1213"/>
      <c r="BD111" s="1213"/>
      <c r="BE111" s="1213"/>
      <c r="BF111" s="1213"/>
      <c r="BG111" s="1213"/>
      <c r="BH111" s="1213"/>
      <c r="BI111" s="1213"/>
      <c r="BJ111" s="1213"/>
      <c r="BK111" s="1213"/>
    </row>
    <row r="112" spans="1:63" ht="12.75" customHeight="1" x14ac:dyDescent="0.3">
      <c r="A112" s="1213"/>
      <c r="B112" s="548"/>
      <c r="C112" s="548"/>
      <c r="D112" s="1233"/>
      <c r="E112" s="548"/>
      <c r="F112" s="1311"/>
      <c r="G112" s="1213"/>
      <c r="H112" s="1227">
        <f t="shared" si="1"/>
        <v>30</v>
      </c>
      <c r="I112" s="1306"/>
      <c r="J112" s="1307"/>
      <c r="K112" s="1308"/>
      <c r="L112" s="1309"/>
      <c r="M112" s="1213"/>
      <c r="N112" s="1213"/>
      <c r="O112" s="784">
        <v>45100</v>
      </c>
      <c r="P112" s="1173">
        <v>45107</v>
      </c>
      <c r="Q112" s="785">
        <v>4.8637399999999997E-2</v>
      </c>
      <c r="R112" s="1213"/>
      <c r="S112" s="1213"/>
      <c r="T112" s="1213"/>
      <c r="U112" s="1213"/>
      <c r="V112" s="1213"/>
      <c r="W112" s="1213"/>
      <c r="X112" s="1213"/>
      <c r="Y112" s="1213"/>
      <c r="Z112" s="1213"/>
      <c r="AA112" s="1213"/>
      <c r="AB112" s="1213"/>
      <c r="AC112" s="1213"/>
      <c r="AD112" s="1213"/>
      <c r="AE112" s="1213"/>
      <c r="AF112" s="1213"/>
      <c r="AG112" s="1213"/>
      <c r="AH112" s="1213"/>
      <c r="AI112" s="1213"/>
      <c r="AJ112" s="1213"/>
      <c r="AK112" s="1213"/>
      <c r="AL112" s="1213"/>
      <c r="AM112" s="1213"/>
      <c r="AN112" s="1213"/>
      <c r="AO112" s="1213"/>
      <c r="AP112" s="1213"/>
      <c r="AQ112" s="1213"/>
      <c r="AR112" s="1213"/>
      <c r="AS112" s="1213"/>
      <c r="AT112" s="1213"/>
      <c r="AU112" s="1213"/>
      <c r="AV112" s="1213"/>
      <c r="AW112" s="1213"/>
      <c r="AX112" s="1213"/>
      <c r="AY112" s="1213"/>
      <c r="AZ112" s="1213"/>
      <c r="BA112" s="1213"/>
      <c r="BB112" s="1213"/>
      <c r="BC112" s="1213"/>
      <c r="BD112" s="1213"/>
      <c r="BE112" s="1213"/>
      <c r="BF112" s="1213"/>
      <c r="BG112" s="1213"/>
      <c r="BH112" s="1213"/>
      <c r="BI112" s="1213"/>
      <c r="BJ112" s="1213"/>
      <c r="BK112" s="1213"/>
    </row>
    <row r="113" spans="1:63" ht="12.75" customHeight="1" x14ac:dyDescent="0.3">
      <c r="A113" s="1213"/>
      <c r="B113" s="548"/>
      <c r="C113" s="548"/>
      <c r="D113" s="1233"/>
      <c r="E113" s="548"/>
      <c r="F113" s="1311"/>
      <c r="G113" s="1213"/>
      <c r="H113" s="1227">
        <f t="shared" si="1"/>
        <v>31</v>
      </c>
      <c r="I113" s="1306"/>
      <c r="J113" s="1307"/>
      <c r="K113" s="1308"/>
      <c r="L113" s="1309"/>
      <c r="M113" s="1213"/>
      <c r="N113" s="1213"/>
      <c r="O113" s="784">
        <v>45131</v>
      </c>
      <c r="P113" s="1173">
        <v>45138</v>
      </c>
      <c r="Q113" s="785">
        <v>4.8109699999999998E-2</v>
      </c>
      <c r="R113" s="1213"/>
      <c r="S113" s="1213"/>
      <c r="T113" s="1213"/>
      <c r="U113" s="1213"/>
      <c r="V113" s="1213"/>
      <c r="W113" s="1213"/>
      <c r="X113" s="1213"/>
      <c r="Y113" s="1213"/>
      <c r="Z113" s="1213"/>
      <c r="AA113" s="1213"/>
      <c r="AB113" s="1213"/>
      <c r="AC113" s="1213"/>
      <c r="AD113" s="1213"/>
      <c r="AE113" s="1213"/>
      <c r="AF113" s="1213"/>
      <c r="AG113" s="1213"/>
      <c r="AH113" s="1213"/>
      <c r="AI113" s="1213"/>
      <c r="AJ113" s="1213"/>
      <c r="AK113" s="1213"/>
      <c r="AL113" s="1213"/>
      <c r="AM113" s="1213"/>
      <c r="AN113" s="1213"/>
      <c r="AO113" s="1213"/>
      <c r="AP113" s="1213"/>
      <c r="AQ113" s="1213"/>
      <c r="AR113" s="1213"/>
      <c r="AS113" s="1213"/>
      <c r="AT113" s="1213"/>
      <c r="AU113" s="1213"/>
      <c r="AV113" s="1213"/>
      <c r="AW113" s="1213"/>
      <c r="AX113" s="1213"/>
      <c r="AY113" s="1213"/>
      <c r="AZ113" s="1213"/>
      <c r="BA113" s="1213"/>
      <c r="BB113" s="1213"/>
      <c r="BC113" s="1213"/>
      <c r="BD113" s="1213"/>
      <c r="BE113" s="1213"/>
      <c r="BF113" s="1213"/>
      <c r="BG113" s="1213"/>
      <c r="BH113" s="1213"/>
      <c r="BI113" s="1213"/>
      <c r="BJ113" s="1213"/>
      <c r="BK113" s="1213"/>
    </row>
    <row r="114" spans="1:63" ht="12.75" customHeight="1" x14ac:dyDescent="0.3">
      <c r="A114" s="1213"/>
      <c r="B114" s="548"/>
      <c r="C114" s="548"/>
      <c r="D114" s="1233"/>
      <c r="E114" s="548"/>
      <c r="F114" s="1311"/>
      <c r="G114" s="1213"/>
      <c r="H114" s="1227">
        <f t="shared" si="1"/>
        <v>32</v>
      </c>
      <c r="I114" s="1306"/>
      <c r="J114" s="1307"/>
      <c r="K114" s="1308"/>
      <c r="L114" s="1309"/>
      <c r="M114" s="1213"/>
      <c r="N114" s="1213"/>
      <c r="O114" s="784">
        <v>45161</v>
      </c>
      <c r="P114" s="1173">
        <v>45169</v>
      </c>
      <c r="Q114" s="785">
        <v>4.7322599999999999E-2</v>
      </c>
      <c r="R114" s="1213"/>
      <c r="S114" s="1213"/>
      <c r="T114" s="1213"/>
      <c r="U114" s="1213"/>
      <c r="V114" s="1213"/>
      <c r="W114" s="1213"/>
      <c r="X114" s="1213"/>
      <c r="Y114" s="1213"/>
      <c r="Z114" s="1213"/>
      <c r="AA114" s="1213"/>
      <c r="AB114" s="1213"/>
      <c r="AC114" s="1213"/>
      <c r="AD114" s="1213"/>
      <c r="AE114" s="1213"/>
      <c r="AF114" s="1213"/>
      <c r="AG114" s="1213"/>
      <c r="AH114" s="1213"/>
      <c r="AI114" s="1213"/>
      <c r="AJ114" s="1213"/>
      <c r="AK114" s="1213"/>
      <c r="AL114" s="1213"/>
      <c r="AM114" s="1213"/>
      <c r="AN114" s="1213"/>
      <c r="AO114" s="1213"/>
      <c r="AP114" s="1213"/>
      <c r="AQ114" s="1213"/>
      <c r="AR114" s="1213"/>
      <c r="AS114" s="1213"/>
      <c r="AT114" s="1213"/>
      <c r="AU114" s="1213"/>
      <c r="AV114" s="1213"/>
      <c r="AW114" s="1213"/>
      <c r="AX114" s="1213"/>
      <c r="AY114" s="1213"/>
      <c r="AZ114" s="1213"/>
      <c r="BA114" s="1213"/>
      <c r="BB114" s="1213"/>
      <c r="BC114" s="1213"/>
      <c r="BD114" s="1213"/>
      <c r="BE114" s="1213"/>
      <c r="BF114" s="1213"/>
      <c r="BG114" s="1213"/>
      <c r="BH114" s="1213"/>
      <c r="BI114" s="1213"/>
      <c r="BJ114" s="1213"/>
      <c r="BK114" s="1213"/>
    </row>
    <row r="115" spans="1:63" ht="12.75" customHeight="1" x14ac:dyDescent="0.3">
      <c r="A115" s="1213"/>
      <c r="B115" s="548"/>
      <c r="C115" s="548"/>
      <c r="D115" s="1233"/>
      <c r="E115" s="548"/>
      <c r="F115" s="1311"/>
      <c r="G115" s="1213"/>
      <c r="H115" s="1227">
        <f t="shared" si="1"/>
        <v>33</v>
      </c>
      <c r="I115" s="1306"/>
      <c r="J115" s="1307"/>
      <c r="K115" s="1308"/>
      <c r="L115" s="1309"/>
      <c r="M115" s="1213"/>
      <c r="N115" s="1213"/>
      <c r="O115" s="784">
        <v>45194</v>
      </c>
      <c r="P115" s="1173">
        <v>45199</v>
      </c>
      <c r="Q115" s="785">
        <v>4.6548199999999998E-2</v>
      </c>
      <c r="R115" s="1213"/>
      <c r="S115" s="1213"/>
      <c r="T115" s="1213"/>
      <c r="U115" s="1213"/>
      <c r="V115" s="1213"/>
      <c r="W115" s="1213"/>
      <c r="X115" s="1213"/>
      <c r="Y115" s="1213"/>
      <c r="Z115" s="1213"/>
      <c r="AA115" s="1213"/>
      <c r="AB115" s="1213"/>
      <c r="AC115" s="1213"/>
      <c r="AD115" s="1213"/>
      <c r="AE115" s="1213"/>
      <c r="AF115" s="1213"/>
      <c r="AG115" s="1213"/>
      <c r="AH115" s="1213"/>
      <c r="AI115" s="1213"/>
      <c r="AJ115" s="1213"/>
      <c r="AK115" s="1213"/>
      <c r="AL115" s="1213"/>
      <c r="AM115" s="1213"/>
      <c r="AN115" s="1213"/>
      <c r="AO115" s="1213"/>
      <c r="AP115" s="1213"/>
      <c r="AQ115" s="1213"/>
      <c r="AR115" s="1213"/>
      <c r="AS115" s="1213"/>
      <c r="AT115" s="1213"/>
      <c r="AU115" s="1213"/>
      <c r="AV115" s="1213"/>
      <c r="AW115" s="1213"/>
      <c r="AX115" s="1213"/>
      <c r="AY115" s="1213"/>
      <c r="AZ115" s="1213"/>
      <c r="BA115" s="1213"/>
      <c r="BB115" s="1213"/>
      <c r="BC115" s="1213"/>
      <c r="BD115" s="1213"/>
      <c r="BE115" s="1213"/>
      <c r="BF115" s="1213"/>
      <c r="BG115" s="1213"/>
      <c r="BH115" s="1213"/>
      <c r="BI115" s="1213"/>
      <c r="BJ115" s="1213"/>
      <c r="BK115" s="1213"/>
    </row>
    <row r="116" spans="1:63" ht="12.75" customHeight="1" x14ac:dyDescent="0.3">
      <c r="A116" s="1213"/>
      <c r="B116" s="1213"/>
      <c r="C116" s="1213"/>
      <c r="D116" s="1214"/>
      <c r="E116" s="1213"/>
      <c r="F116" s="1213"/>
      <c r="G116" s="1213"/>
      <c r="H116" s="1227">
        <f t="shared" si="1"/>
        <v>34</v>
      </c>
      <c r="I116" s="1306"/>
      <c r="J116" s="1307"/>
      <c r="K116" s="1308"/>
      <c r="L116" s="1309"/>
      <c r="M116" s="1213"/>
      <c r="N116" s="1213"/>
      <c r="O116" s="784">
        <v>45222</v>
      </c>
      <c r="P116" s="1173">
        <v>45230</v>
      </c>
      <c r="Q116" s="785">
        <v>4.6548199999999998E-2</v>
      </c>
      <c r="R116" s="1310"/>
      <c r="S116" s="1310"/>
      <c r="T116" s="1310"/>
      <c r="U116" s="1310"/>
      <c r="V116" s="1310"/>
      <c r="W116" s="1310"/>
      <c r="X116" s="1310"/>
      <c r="Y116" s="1213"/>
      <c r="Z116" s="1213"/>
      <c r="AA116" s="1213"/>
      <c r="AB116" s="1213"/>
      <c r="AC116" s="1213"/>
      <c r="AD116" s="1213"/>
      <c r="AE116" s="1213"/>
      <c r="AF116" s="1213"/>
      <c r="AG116" s="1213"/>
      <c r="AH116" s="1213"/>
      <c r="AI116" s="1213"/>
      <c r="AJ116" s="1213"/>
      <c r="AK116" s="1213"/>
      <c r="AL116" s="1213"/>
      <c r="AM116" s="1213"/>
      <c r="AN116" s="1213"/>
      <c r="AO116" s="1213"/>
      <c r="AP116" s="1213"/>
      <c r="AQ116" s="1213"/>
      <c r="AR116" s="1213"/>
      <c r="AS116" s="1213"/>
      <c r="AT116" s="1213"/>
      <c r="AU116" s="1213"/>
      <c r="AV116" s="1213"/>
      <c r="AW116" s="1213"/>
      <c r="AX116" s="1213"/>
      <c r="AY116" s="1213"/>
      <c r="AZ116" s="1213"/>
      <c r="BA116" s="1213"/>
      <c r="BB116" s="1213"/>
      <c r="BC116" s="1213"/>
      <c r="BD116" s="1213"/>
      <c r="BE116" s="1213"/>
      <c r="BF116" s="1213"/>
      <c r="BG116" s="1213"/>
      <c r="BH116" s="1213"/>
      <c r="BI116" s="1213"/>
      <c r="BJ116" s="1213"/>
      <c r="BK116" s="1213"/>
    </row>
    <row r="117" spans="1:63" ht="12.75" hidden="1" customHeight="1" outlineLevel="1" x14ac:dyDescent="0.3">
      <c r="A117" s="1213"/>
      <c r="B117" s="1213"/>
      <c r="C117" s="1213"/>
      <c r="D117" s="1214"/>
      <c r="E117" s="1213"/>
      <c r="F117" s="1213"/>
      <c r="G117" s="1213"/>
      <c r="H117" s="1227">
        <f t="shared" si="1"/>
        <v>35</v>
      </c>
      <c r="I117" s="1306">
        <f>I40</f>
        <v>0</v>
      </c>
      <c r="J117" s="1307"/>
      <c r="K117" s="1312"/>
      <c r="L117" s="1309"/>
      <c r="M117" s="1213"/>
      <c r="N117" s="1213"/>
      <c r="O117" s="784">
        <v>45253</v>
      </c>
      <c r="P117" s="1173">
        <v>45260</v>
      </c>
      <c r="Q117" s="785">
        <v>4.4733200000000001E-2</v>
      </c>
      <c r="R117" s="1310"/>
      <c r="S117" s="1310"/>
      <c r="T117" s="1310"/>
      <c r="U117" s="1310"/>
      <c r="V117" s="1310"/>
      <c r="W117" s="1310"/>
      <c r="X117" s="1310"/>
      <c r="Y117" s="1310"/>
      <c r="Z117" s="1310"/>
      <c r="AA117" s="1310"/>
      <c r="AB117" s="1310"/>
      <c r="AC117" s="1310"/>
      <c r="AD117" s="1310"/>
      <c r="AE117" s="1310"/>
      <c r="AF117" s="1310"/>
      <c r="AG117" s="1310"/>
      <c r="AH117" s="1310"/>
      <c r="AI117" s="1310"/>
      <c r="AJ117" s="1310"/>
      <c r="AK117" s="1310"/>
      <c r="AL117" s="1310"/>
      <c r="AM117" s="1310"/>
      <c r="AN117" s="1310"/>
      <c r="AO117" s="1310"/>
      <c r="AP117" s="1310"/>
      <c r="AQ117" s="1310"/>
      <c r="AR117" s="1310"/>
      <c r="AS117" s="1310"/>
      <c r="AT117" s="1310"/>
      <c r="AU117" s="1310"/>
      <c r="AV117" s="1310"/>
      <c r="AW117" s="1310"/>
      <c r="AX117" s="1310"/>
      <c r="AY117" s="1310"/>
      <c r="AZ117" s="1310"/>
      <c r="BA117" s="1310"/>
      <c r="BB117" s="1310"/>
      <c r="BC117" s="1310"/>
      <c r="BD117" s="1310"/>
      <c r="BE117" s="1310"/>
      <c r="BF117" s="1310"/>
      <c r="BG117" s="1310"/>
      <c r="BH117" s="1310"/>
      <c r="BI117" s="1310"/>
      <c r="BJ117" s="1310"/>
      <c r="BK117" s="1310"/>
    </row>
    <row r="118" spans="1:63" ht="12.75" customHeight="1" collapsed="1" x14ac:dyDescent="0.3">
      <c r="A118" s="1213"/>
      <c r="B118" s="1213"/>
      <c r="C118" s="1213"/>
      <c r="D118" s="1214"/>
      <c r="E118" s="1213"/>
      <c r="F118" s="1213"/>
      <c r="G118" s="1213"/>
      <c r="H118" s="1213"/>
      <c r="I118" s="1296"/>
      <c r="J118" s="1296"/>
      <c r="K118" s="1296"/>
      <c r="L118" s="1296"/>
      <c r="M118" s="1213"/>
      <c r="N118" s="1213"/>
      <c r="O118" s="784">
        <v>45285</v>
      </c>
      <c r="P118" s="1173">
        <v>45291</v>
      </c>
      <c r="Q118" s="785">
        <v>4.28025E-2</v>
      </c>
      <c r="R118" s="1310"/>
      <c r="S118" s="1310"/>
      <c r="T118" s="1310"/>
      <c r="U118" s="1310"/>
      <c r="V118" s="1310"/>
      <c r="W118" s="1310"/>
      <c r="X118" s="1310"/>
      <c r="Y118" s="1310"/>
      <c r="Z118" s="1310"/>
      <c r="AA118" s="1310"/>
      <c r="AB118" s="1310"/>
      <c r="AC118" s="1310"/>
      <c r="AD118" s="1310"/>
      <c r="AE118" s="1310"/>
      <c r="AF118" s="1310"/>
      <c r="AG118" s="1310"/>
      <c r="AH118" s="1310"/>
      <c r="AI118" s="1310"/>
      <c r="AJ118" s="1310"/>
      <c r="AK118" s="1310"/>
      <c r="AL118" s="1310"/>
      <c r="AM118" s="1310"/>
      <c r="AN118" s="1310"/>
      <c r="AO118" s="1310"/>
      <c r="AP118" s="1310"/>
      <c r="AQ118" s="1310"/>
      <c r="AR118" s="1310"/>
      <c r="AS118" s="1310"/>
      <c r="AT118" s="1310"/>
      <c r="AU118" s="1310"/>
      <c r="AV118" s="1310"/>
      <c r="AW118" s="1310"/>
      <c r="AX118" s="1310"/>
      <c r="AY118" s="1310"/>
      <c r="AZ118" s="1310"/>
      <c r="BA118" s="1310"/>
      <c r="BB118" s="1310"/>
      <c r="BC118" s="1310"/>
      <c r="BD118" s="1310"/>
      <c r="BE118" s="1310"/>
      <c r="BF118" s="1310"/>
      <c r="BG118" s="1310"/>
      <c r="BH118" s="1310"/>
      <c r="BI118" s="1310"/>
      <c r="BJ118" s="1310"/>
      <c r="BK118" s="1310"/>
    </row>
    <row r="119" spans="1:63" ht="12.75" customHeight="1" x14ac:dyDescent="0.3">
      <c r="A119" s="1310"/>
      <c r="B119" s="1310"/>
      <c r="C119" s="1310"/>
      <c r="D119" s="1313"/>
      <c r="E119" s="1310"/>
      <c r="F119" s="1310"/>
      <c r="G119" s="1310"/>
      <c r="H119" s="1213"/>
      <c r="I119" s="1213"/>
      <c r="J119" s="1213"/>
      <c r="K119" s="1213"/>
      <c r="L119" s="1213"/>
      <c r="M119" s="1213"/>
      <c r="N119" s="1213"/>
      <c r="O119" s="784">
        <v>45314</v>
      </c>
      <c r="P119" s="1173">
        <v>45322</v>
      </c>
      <c r="Q119" s="785">
        <v>4.2792299999999998E-2</v>
      </c>
      <c r="R119" s="1310"/>
      <c r="S119" s="1310"/>
      <c r="T119" s="1310"/>
      <c r="U119" s="1310"/>
      <c r="V119" s="1310"/>
      <c r="W119" s="1310"/>
      <c r="X119" s="1310"/>
      <c r="Y119" s="1310"/>
      <c r="Z119" s="1310"/>
      <c r="AA119" s="1310"/>
      <c r="AB119" s="1310"/>
      <c r="AC119" s="1310"/>
      <c r="AD119" s="1310"/>
      <c r="AE119" s="1310"/>
      <c r="AF119" s="1310"/>
      <c r="AG119" s="1310"/>
      <c r="AH119" s="1310"/>
      <c r="AI119" s="1310"/>
      <c r="AJ119" s="1310"/>
      <c r="AK119" s="1310"/>
      <c r="AL119" s="1310"/>
      <c r="AM119" s="1310"/>
      <c r="AN119" s="1310"/>
      <c r="AO119" s="1310"/>
      <c r="AP119" s="1310"/>
      <c r="AQ119" s="1310"/>
      <c r="AR119" s="1310"/>
      <c r="AS119" s="1310"/>
      <c r="AT119" s="1310"/>
      <c r="AU119" s="1310"/>
      <c r="AV119" s="1310"/>
      <c r="AW119" s="1310"/>
      <c r="AX119" s="1310"/>
      <c r="AY119" s="1310"/>
      <c r="AZ119" s="1310"/>
      <c r="BA119" s="1310"/>
      <c r="BB119" s="1310"/>
      <c r="BC119" s="1310"/>
      <c r="BD119" s="1310"/>
      <c r="BE119" s="1310"/>
      <c r="BF119" s="1310"/>
      <c r="BG119" s="1310"/>
      <c r="BH119" s="1310"/>
      <c r="BI119" s="1310"/>
      <c r="BJ119" s="1310"/>
      <c r="BK119" s="1310"/>
    </row>
    <row r="120" spans="1:63" ht="12.75" customHeight="1" x14ac:dyDescent="0.3">
      <c r="A120" s="1310"/>
      <c r="B120" s="1310"/>
      <c r="C120" s="1310"/>
      <c r="D120" s="1313"/>
      <c r="E120" s="1310"/>
      <c r="F120" s="1310"/>
      <c r="G120" s="1310"/>
      <c r="H120" s="1213"/>
      <c r="I120" s="1213"/>
      <c r="J120" s="1213"/>
      <c r="K120" s="1213"/>
      <c r="L120" s="1213"/>
      <c r="M120" s="1213"/>
      <c r="N120" s="1213"/>
      <c r="O120" s="784">
        <v>45345</v>
      </c>
      <c r="P120" s="1173">
        <v>45351</v>
      </c>
      <c r="Q120" s="785">
        <v>4.0265200000000001E-2</v>
      </c>
      <c r="R120" s="1310"/>
      <c r="S120" s="1310"/>
      <c r="T120" s="1310"/>
      <c r="U120" s="1310"/>
      <c r="V120" s="1310"/>
      <c r="W120" s="1310"/>
      <c r="X120" s="1310"/>
      <c r="Y120" s="1310"/>
      <c r="Z120" s="1310"/>
      <c r="AA120" s="1310"/>
      <c r="AB120" s="1310"/>
      <c r="AC120" s="1310"/>
      <c r="AD120" s="1310"/>
      <c r="AE120" s="1310"/>
      <c r="AF120" s="1310"/>
      <c r="AG120" s="1310"/>
      <c r="AH120" s="1310"/>
      <c r="AI120" s="1310"/>
      <c r="AJ120" s="1310"/>
      <c r="AK120" s="1310"/>
      <c r="AL120" s="1310"/>
      <c r="AM120" s="1310"/>
      <c r="AN120" s="1310"/>
      <c r="AO120" s="1310"/>
      <c r="AP120" s="1310"/>
      <c r="AQ120" s="1310"/>
      <c r="AR120" s="1310"/>
      <c r="AS120" s="1310"/>
      <c r="AT120" s="1310"/>
      <c r="AU120" s="1310"/>
      <c r="AV120" s="1310"/>
      <c r="AW120" s="1310"/>
      <c r="AX120" s="1310"/>
      <c r="AY120" s="1310"/>
      <c r="AZ120" s="1310"/>
      <c r="BA120" s="1310"/>
      <c r="BB120" s="1310"/>
      <c r="BC120" s="1310"/>
      <c r="BD120" s="1310"/>
      <c r="BE120" s="1310"/>
      <c r="BF120" s="1310"/>
      <c r="BG120" s="1310"/>
      <c r="BH120" s="1310"/>
      <c r="BI120" s="1310"/>
      <c r="BJ120" s="1310"/>
      <c r="BK120" s="1310"/>
    </row>
    <row r="121" spans="1:63" ht="12.75" customHeight="1" x14ac:dyDescent="0.3">
      <c r="A121" s="1310"/>
      <c r="B121" s="1310"/>
      <c r="C121" s="1310"/>
      <c r="D121" s="1313"/>
      <c r="E121" s="1310"/>
      <c r="F121" s="1310"/>
      <c r="G121" s="1310"/>
      <c r="H121" s="1213"/>
      <c r="I121" s="1213"/>
      <c r="J121" s="1213"/>
      <c r="K121" s="1213"/>
      <c r="L121" s="1213"/>
      <c r="M121" s="1213"/>
      <c r="N121" s="1213"/>
      <c r="O121" s="784">
        <v>45376</v>
      </c>
      <c r="P121" s="1173">
        <v>45382</v>
      </c>
      <c r="Q121" s="785">
        <v>3.7562900000000003E-2</v>
      </c>
      <c r="R121" s="1310"/>
      <c r="S121" s="1310"/>
      <c r="T121" s="1310"/>
      <c r="U121" s="1310"/>
      <c r="V121" s="1310"/>
      <c r="W121" s="1310"/>
      <c r="X121" s="1310"/>
      <c r="Y121" s="1310"/>
      <c r="Z121" s="1310"/>
      <c r="AA121" s="1310"/>
      <c r="AB121" s="1310"/>
      <c r="AC121" s="1310"/>
      <c r="AD121" s="1310"/>
      <c r="AE121" s="1310"/>
      <c r="AF121" s="1310"/>
      <c r="AG121" s="1310"/>
      <c r="AH121" s="1310"/>
      <c r="AI121" s="1310"/>
      <c r="AJ121" s="1310"/>
      <c r="AK121" s="1310"/>
      <c r="AL121" s="1310"/>
      <c r="AM121" s="1310"/>
      <c r="AN121" s="1310"/>
      <c r="AO121" s="1310"/>
      <c r="AP121" s="1310"/>
      <c r="AQ121" s="1310"/>
      <c r="AR121" s="1310"/>
      <c r="AS121" s="1310"/>
      <c r="AT121" s="1310"/>
      <c r="AU121" s="1310"/>
      <c r="AV121" s="1310"/>
      <c r="AW121" s="1310"/>
      <c r="AX121" s="1310"/>
      <c r="AY121" s="1310"/>
      <c r="AZ121" s="1310"/>
      <c r="BA121" s="1310"/>
      <c r="BB121" s="1310"/>
      <c r="BC121" s="1310"/>
      <c r="BD121" s="1310"/>
      <c r="BE121" s="1310"/>
      <c r="BF121" s="1310"/>
      <c r="BG121" s="1310"/>
      <c r="BH121" s="1310"/>
      <c r="BI121" s="1310"/>
      <c r="BJ121" s="1310"/>
      <c r="BK121" s="1310"/>
    </row>
    <row r="122" spans="1:63" ht="12.75" customHeight="1" x14ac:dyDescent="0.3">
      <c r="A122" s="1310"/>
      <c r="B122" s="1310"/>
      <c r="C122" s="1310"/>
      <c r="D122" s="1313"/>
      <c r="E122" s="1310"/>
      <c r="F122" s="1310"/>
      <c r="G122" s="1310"/>
      <c r="H122" s="1213"/>
      <c r="I122" s="1213"/>
      <c r="J122" s="1213"/>
      <c r="K122" s="1213"/>
      <c r="L122" s="1213"/>
      <c r="M122" s="1213"/>
      <c r="N122" s="1213"/>
      <c r="O122" s="784">
        <v>45405</v>
      </c>
      <c r="P122" s="1173">
        <v>45412</v>
      </c>
      <c r="Q122" s="785">
        <v>3.7564899999999998E-2</v>
      </c>
      <c r="R122" s="1310"/>
      <c r="S122" s="1310"/>
      <c r="T122" s="1310"/>
      <c r="U122" s="1310"/>
      <c r="V122" s="1310"/>
      <c r="W122" s="1310"/>
      <c r="X122" s="1310"/>
      <c r="Y122" s="1310"/>
      <c r="Z122" s="1310"/>
      <c r="AA122" s="1310"/>
      <c r="AB122" s="1310"/>
      <c r="AC122" s="1310"/>
      <c r="AD122" s="1310"/>
      <c r="AE122" s="1310"/>
      <c r="AF122" s="1310"/>
      <c r="AG122" s="1310"/>
      <c r="AH122" s="1310"/>
      <c r="AI122" s="1310"/>
      <c r="AJ122" s="1310"/>
      <c r="AK122" s="1310"/>
      <c r="AL122" s="1310"/>
      <c r="AM122" s="1310"/>
      <c r="AN122" s="1310"/>
      <c r="AO122" s="1310"/>
      <c r="AP122" s="1310"/>
      <c r="AQ122" s="1310"/>
      <c r="AR122" s="1310"/>
      <c r="AS122" s="1310"/>
      <c r="AT122" s="1310"/>
      <c r="AU122" s="1310"/>
      <c r="AV122" s="1310"/>
      <c r="AW122" s="1310"/>
      <c r="AX122" s="1310"/>
      <c r="AY122" s="1310"/>
      <c r="AZ122" s="1310"/>
      <c r="BA122" s="1310"/>
      <c r="BB122" s="1310"/>
      <c r="BC122" s="1310"/>
      <c r="BD122" s="1310"/>
      <c r="BE122" s="1310"/>
      <c r="BF122" s="1310"/>
      <c r="BG122" s="1310"/>
      <c r="BH122" s="1310"/>
      <c r="BI122" s="1310"/>
      <c r="BJ122" s="1310"/>
      <c r="BK122" s="1310"/>
    </row>
    <row r="123" spans="1:63" ht="12.75" customHeight="1" x14ac:dyDescent="0.3">
      <c r="A123" s="1310"/>
      <c r="B123" s="1310"/>
      <c r="C123" s="1310"/>
      <c r="D123" s="1313"/>
      <c r="E123" s="1310"/>
      <c r="F123" s="1310"/>
      <c r="G123" s="1310"/>
      <c r="H123" s="1213"/>
      <c r="I123" s="1213"/>
      <c r="J123" s="1213"/>
      <c r="K123" s="1213"/>
      <c r="L123" s="1213"/>
      <c r="M123" s="1213"/>
      <c r="N123" s="1213"/>
      <c r="O123" s="784">
        <v>45435</v>
      </c>
      <c r="P123" s="1173">
        <v>45443</v>
      </c>
      <c r="Q123" s="785">
        <v>3.6294300000000002E-2</v>
      </c>
      <c r="R123" s="1310"/>
      <c r="S123" s="1310"/>
      <c r="T123" s="1310"/>
      <c r="U123" s="1310"/>
      <c r="V123" s="1310"/>
      <c r="W123" s="1310"/>
      <c r="X123" s="1310"/>
      <c r="Y123" s="1310"/>
      <c r="Z123" s="1310"/>
      <c r="AA123" s="1310"/>
      <c r="AB123" s="1310"/>
      <c r="AC123" s="1310"/>
      <c r="AD123" s="1310"/>
      <c r="AE123" s="1310"/>
      <c r="AF123" s="1310"/>
      <c r="AG123" s="1310"/>
      <c r="AH123" s="1310"/>
      <c r="AI123" s="1310"/>
      <c r="AJ123" s="1310"/>
      <c r="AK123" s="1310"/>
      <c r="AL123" s="1310"/>
      <c r="AM123" s="1310"/>
      <c r="AN123" s="1310"/>
      <c r="AO123" s="1310"/>
      <c r="AP123" s="1310"/>
      <c r="AQ123" s="1310"/>
      <c r="AR123" s="1310"/>
      <c r="AS123" s="1310"/>
      <c r="AT123" s="1310"/>
      <c r="AU123" s="1310"/>
      <c r="AV123" s="1310"/>
      <c r="AW123" s="1310"/>
      <c r="AX123" s="1310"/>
      <c r="AY123" s="1310"/>
      <c r="AZ123" s="1310"/>
      <c r="BA123" s="1310"/>
      <c r="BB123" s="1310"/>
      <c r="BC123" s="1310"/>
      <c r="BD123" s="1310"/>
      <c r="BE123" s="1310"/>
      <c r="BF123" s="1310"/>
      <c r="BG123" s="1310"/>
      <c r="BH123" s="1310"/>
      <c r="BI123" s="1310"/>
      <c r="BJ123" s="1310"/>
      <c r="BK123" s="1310"/>
    </row>
    <row r="124" spans="1:63" ht="12.75" customHeight="1" x14ac:dyDescent="0.3">
      <c r="A124" s="1310"/>
      <c r="B124" s="1310"/>
      <c r="C124" s="1310"/>
      <c r="D124" s="1313"/>
      <c r="E124" s="1310"/>
      <c r="F124" s="1310"/>
      <c r="G124" s="1310"/>
      <c r="H124" s="1213"/>
      <c r="I124" s="1213"/>
      <c r="J124" s="1213"/>
      <c r="K124" s="1213"/>
      <c r="L124" s="1213"/>
      <c r="M124" s="1213"/>
      <c r="N124" s="1213"/>
      <c r="O124" s="784">
        <v>45467</v>
      </c>
      <c r="P124" s="1173">
        <v>45473</v>
      </c>
      <c r="Q124" s="785">
        <v>3.3496900000000003E-2</v>
      </c>
      <c r="R124" s="1310"/>
      <c r="S124" s="1310"/>
      <c r="T124" s="1310"/>
      <c r="U124" s="1310"/>
      <c r="V124" s="1310"/>
      <c r="W124" s="1310"/>
      <c r="X124" s="1310"/>
      <c r="Y124" s="1310"/>
      <c r="Z124" s="1310"/>
      <c r="AA124" s="1310"/>
      <c r="AB124" s="1310"/>
      <c r="AC124" s="1310"/>
      <c r="AD124" s="1310"/>
      <c r="AE124" s="1310"/>
      <c r="AF124" s="1310"/>
      <c r="AG124" s="1310"/>
      <c r="AH124" s="1310"/>
      <c r="AI124" s="1310"/>
      <c r="AJ124" s="1310"/>
      <c r="AK124" s="1310"/>
      <c r="AL124" s="1310"/>
      <c r="AM124" s="1310"/>
      <c r="AN124" s="1310"/>
      <c r="AO124" s="1310"/>
      <c r="AP124" s="1310"/>
      <c r="AQ124" s="1310"/>
      <c r="AR124" s="1310"/>
      <c r="AS124" s="1310"/>
      <c r="AT124" s="1310"/>
      <c r="AU124" s="1310"/>
      <c r="AV124" s="1310"/>
      <c r="AW124" s="1310"/>
      <c r="AX124" s="1310"/>
      <c r="AY124" s="1310"/>
      <c r="AZ124" s="1310"/>
      <c r="BA124" s="1310"/>
      <c r="BB124" s="1310"/>
      <c r="BC124" s="1310"/>
      <c r="BD124" s="1310"/>
      <c r="BE124" s="1310"/>
      <c r="BF124" s="1310"/>
      <c r="BG124" s="1310"/>
      <c r="BH124" s="1310"/>
      <c r="BI124" s="1310"/>
      <c r="BJ124" s="1310"/>
      <c r="BK124" s="1310"/>
    </row>
    <row r="125" spans="1:63" ht="12.75" customHeight="1" x14ac:dyDescent="0.3">
      <c r="A125" s="1310"/>
      <c r="B125" s="1310"/>
      <c r="C125" s="1310"/>
      <c r="D125" s="1313"/>
      <c r="E125" s="1310"/>
      <c r="F125" s="1310"/>
      <c r="G125" s="1310"/>
      <c r="H125" s="1213"/>
      <c r="I125" s="1213"/>
      <c r="J125" s="1213"/>
      <c r="K125" s="1213"/>
      <c r="L125" s="1213"/>
      <c r="M125" s="1213"/>
      <c r="N125" s="1213"/>
      <c r="O125" s="784">
        <v>45496</v>
      </c>
      <c r="P125" s="1173">
        <v>45504</v>
      </c>
      <c r="Q125" s="785">
        <v>3.2058999999999997E-2</v>
      </c>
      <c r="R125" s="1310"/>
      <c r="S125" s="1310"/>
      <c r="T125" s="1310"/>
      <c r="U125" s="1310"/>
      <c r="V125" s="1310"/>
      <c r="W125" s="1310"/>
      <c r="X125" s="1310"/>
      <c r="Y125" s="1310"/>
      <c r="Z125" s="1310"/>
      <c r="AA125" s="1310"/>
      <c r="AB125" s="1310"/>
      <c r="AC125" s="1310"/>
      <c r="AD125" s="1310"/>
      <c r="AE125" s="1310"/>
      <c r="AF125" s="1310"/>
      <c r="AG125" s="1310"/>
      <c r="AH125" s="1310"/>
      <c r="AI125" s="1310"/>
      <c r="AJ125" s="1310"/>
      <c r="AK125" s="1310"/>
      <c r="AL125" s="1310"/>
      <c r="AM125" s="1310"/>
      <c r="AN125" s="1310"/>
      <c r="AO125" s="1310"/>
      <c r="AP125" s="1310"/>
      <c r="AQ125" s="1310"/>
      <c r="AR125" s="1310"/>
      <c r="AS125" s="1310"/>
      <c r="AT125" s="1310"/>
      <c r="AU125" s="1310"/>
      <c r="AV125" s="1310"/>
      <c r="AW125" s="1310"/>
      <c r="AX125" s="1310"/>
      <c r="AY125" s="1310"/>
      <c r="AZ125" s="1310"/>
      <c r="BA125" s="1310"/>
      <c r="BB125" s="1310"/>
      <c r="BC125" s="1310"/>
      <c r="BD125" s="1310"/>
      <c r="BE125" s="1310"/>
      <c r="BF125" s="1310"/>
      <c r="BG125" s="1310"/>
      <c r="BH125" s="1310"/>
      <c r="BI125" s="1310"/>
      <c r="BJ125" s="1310"/>
      <c r="BK125" s="1310"/>
    </row>
    <row r="126" spans="1:63" ht="12.75" customHeight="1" x14ac:dyDescent="0.3">
      <c r="A126" s="1310"/>
      <c r="B126" s="1310"/>
      <c r="C126" s="1310"/>
      <c r="D126" s="1313"/>
      <c r="E126" s="1310"/>
      <c r="F126" s="1310"/>
      <c r="G126" s="1310"/>
      <c r="H126" s="1213"/>
      <c r="I126" s="1213"/>
      <c r="J126" s="1213"/>
      <c r="K126" s="1213"/>
      <c r="L126" s="1213"/>
      <c r="M126" s="1213"/>
      <c r="N126" s="1213"/>
      <c r="O126" s="784">
        <v>45527</v>
      </c>
      <c r="P126" s="1173">
        <v>45535</v>
      </c>
      <c r="Q126" s="785">
        <v>3.09439E-2</v>
      </c>
      <c r="R126" s="1310"/>
      <c r="S126" s="1310"/>
      <c r="T126" s="1310"/>
      <c r="U126" s="1310"/>
      <c r="V126" s="1310"/>
      <c r="W126" s="1310"/>
      <c r="X126" s="1310"/>
      <c r="Y126" s="1310"/>
      <c r="Z126" s="1310"/>
      <c r="AA126" s="1310"/>
      <c r="AB126" s="1310"/>
      <c r="AC126" s="1310"/>
      <c r="AD126" s="1310"/>
      <c r="AE126" s="1310"/>
      <c r="AF126" s="1310"/>
      <c r="AG126" s="1310"/>
      <c r="AH126" s="1310"/>
      <c r="AI126" s="1310"/>
      <c r="AJ126" s="1310"/>
      <c r="AK126" s="1310"/>
      <c r="AL126" s="1310"/>
      <c r="AM126" s="1310"/>
      <c r="AN126" s="1310"/>
      <c r="AO126" s="1310"/>
      <c r="AP126" s="1310"/>
      <c r="AQ126" s="1310"/>
      <c r="AR126" s="1310"/>
      <c r="AS126" s="1310"/>
      <c r="AT126" s="1310"/>
      <c r="AU126" s="1310"/>
      <c r="AV126" s="1310"/>
      <c r="AW126" s="1310"/>
      <c r="AX126" s="1310"/>
      <c r="AY126" s="1310"/>
      <c r="AZ126" s="1310"/>
      <c r="BA126" s="1310"/>
      <c r="BB126" s="1310"/>
      <c r="BC126" s="1310"/>
      <c r="BD126" s="1310"/>
      <c r="BE126" s="1310"/>
      <c r="BF126" s="1310"/>
      <c r="BG126" s="1310"/>
      <c r="BH126" s="1310"/>
      <c r="BI126" s="1310"/>
      <c r="BJ126" s="1310"/>
      <c r="BK126" s="1310"/>
    </row>
    <row r="127" spans="1:63" ht="12.75" customHeight="1" x14ac:dyDescent="0.3">
      <c r="A127" s="1310"/>
      <c r="B127" s="1310"/>
      <c r="C127" s="1310"/>
      <c r="D127" s="1313"/>
      <c r="E127" s="1310"/>
      <c r="F127" s="1310"/>
      <c r="G127" s="1310"/>
      <c r="H127" s="1213"/>
      <c r="I127" s="1213"/>
      <c r="J127" s="1213"/>
      <c r="K127" s="1213"/>
      <c r="L127" s="1213"/>
      <c r="M127" s="1213"/>
      <c r="N127" s="1213"/>
      <c r="O127" s="784">
        <v>45558</v>
      </c>
      <c r="P127" s="1173">
        <v>45565</v>
      </c>
      <c r="Q127" s="785">
        <v>2.99116E-2</v>
      </c>
      <c r="R127" s="1310"/>
      <c r="S127" s="1310"/>
      <c r="T127" s="1310"/>
      <c r="U127" s="1310"/>
      <c r="V127" s="1310"/>
      <c r="W127" s="1310"/>
      <c r="X127" s="1310"/>
      <c r="Y127" s="1310"/>
      <c r="Z127" s="1310"/>
      <c r="AA127" s="1310"/>
      <c r="AB127" s="1310"/>
      <c r="AC127" s="1310"/>
      <c r="AD127" s="1310"/>
      <c r="AE127" s="1310"/>
      <c r="AF127" s="1310"/>
      <c r="AG127" s="1310"/>
      <c r="AH127" s="1310"/>
      <c r="AI127" s="1310"/>
      <c r="AJ127" s="1310"/>
      <c r="AK127" s="1310"/>
      <c r="AL127" s="1310"/>
      <c r="AM127" s="1310"/>
      <c r="AN127" s="1310"/>
      <c r="AO127" s="1310"/>
      <c r="AP127" s="1310"/>
      <c r="AQ127" s="1310"/>
      <c r="AR127" s="1310"/>
      <c r="AS127" s="1310"/>
      <c r="AT127" s="1310"/>
      <c r="AU127" s="1310"/>
      <c r="AV127" s="1310"/>
      <c r="AW127" s="1310"/>
      <c r="AX127" s="1310"/>
      <c r="AY127" s="1310"/>
      <c r="AZ127" s="1310"/>
      <c r="BA127" s="1310"/>
      <c r="BB127" s="1310"/>
      <c r="BC127" s="1310"/>
      <c r="BD127" s="1310"/>
      <c r="BE127" s="1310"/>
      <c r="BF127" s="1310"/>
      <c r="BG127" s="1310"/>
      <c r="BH127" s="1310"/>
      <c r="BI127" s="1310"/>
      <c r="BJ127" s="1310"/>
      <c r="BK127" s="1310"/>
    </row>
    <row r="128" spans="1:63" ht="12.75" customHeight="1" x14ac:dyDescent="0.3">
      <c r="A128" s="1310"/>
      <c r="B128" s="1310"/>
      <c r="C128" s="1310"/>
      <c r="D128" s="1313"/>
      <c r="E128" s="1310"/>
      <c r="F128" s="1310"/>
      <c r="G128" s="1310"/>
      <c r="H128" s="1213"/>
      <c r="I128" s="1213"/>
      <c r="J128" s="1213"/>
      <c r="K128" s="1213"/>
      <c r="L128" s="1213"/>
      <c r="M128" s="1213"/>
      <c r="N128" s="1213"/>
      <c r="O128" s="784">
        <v>45588</v>
      </c>
      <c r="P128" s="1173">
        <v>45596</v>
      </c>
      <c r="Q128" s="785">
        <v>2.9054699999999999E-2</v>
      </c>
      <c r="R128" s="1310"/>
      <c r="S128" s="1310"/>
      <c r="T128" s="1310"/>
      <c r="U128" s="1310"/>
      <c r="V128" s="1310"/>
      <c r="W128" s="1310"/>
      <c r="X128" s="1310"/>
      <c r="Y128" s="1310"/>
      <c r="Z128" s="1310"/>
      <c r="AA128" s="1310"/>
      <c r="AB128" s="1310"/>
      <c r="AC128" s="1310"/>
      <c r="AD128" s="1310"/>
      <c r="AE128" s="1310"/>
      <c r="AF128" s="1310"/>
      <c r="AG128" s="1310"/>
      <c r="AH128" s="1310"/>
      <c r="AI128" s="1310"/>
      <c r="AJ128" s="1310"/>
      <c r="AK128" s="1310"/>
      <c r="AL128" s="1310"/>
      <c r="AM128" s="1310"/>
      <c r="AN128" s="1310"/>
      <c r="AO128" s="1310"/>
      <c r="AP128" s="1310"/>
      <c r="AQ128" s="1310"/>
      <c r="AR128" s="1310"/>
      <c r="AS128" s="1310"/>
      <c r="AT128" s="1310"/>
      <c r="AU128" s="1310"/>
      <c r="AV128" s="1310"/>
      <c r="AW128" s="1310"/>
      <c r="AX128" s="1310"/>
      <c r="AY128" s="1310"/>
      <c r="AZ128" s="1310"/>
      <c r="BA128" s="1310"/>
      <c r="BB128" s="1310"/>
      <c r="BC128" s="1310"/>
      <c r="BD128" s="1310"/>
      <c r="BE128" s="1310"/>
      <c r="BF128" s="1310"/>
      <c r="BG128" s="1310"/>
      <c r="BH128" s="1310"/>
      <c r="BI128" s="1310"/>
      <c r="BJ128" s="1310"/>
      <c r="BK128" s="1310"/>
    </row>
    <row r="129" spans="1:63" ht="12.75" customHeight="1" x14ac:dyDescent="0.3">
      <c r="A129" s="1310"/>
      <c r="B129" s="1310"/>
      <c r="C129" s="1310"/>
      <c r="D129" s="1313"/>
      <c r="E129" s="1310"/>
      <c r="F129" s="1310"/>
      <c r="G129" s="1310"/>
      <c r="H129" s="1213"/>
      <c r="I129" s="1213"/>
      <c r="J129" s="1213"/>
      <c r="K129" s="1213"/>
      <c r="L129" s="1213"/>
      <c r="M129" s="1213"/>
      <c r="N129" s="1213"/>
      <c r="O129" s="784">
        <v>45621</v>
      </c>
      <c r="P129" s="1173">
        <v>45626</v>
      </c>
      <c r="Q129" s="785">
        <v>2.8413500000000001E-2</v>
      </c>
      <c r="R129" s="1310"/>
      <c r="S129" s="1310"/>
      <c r="T129" s="1310"/>
      <c r="U129" s="1310"/>
      <c r="V129" s="1310"/>
      <c r="W129" s="1310"/>
      <c r="X129" s="1310"/>
      <c r="Y129" s="1310"/>
      <c r="Z129" s="1310"/>
      <c r="AA129" s="1310"/>
      <c r="AB129" s="1310"/>
      <c r="AC129" s="1310"/>
      <c r="AD129" s="1310"/>
      <c r="AE129" s="1310"/>
      <c r="AF129" s="1310"/>
      <c r="AG129" s="1310"/>
      <c r="AH129" s="1310"/>
      <c r="AI129" s="1310"/>
      <c r="AJ129" s="1310"/>
      <c r="AK129" s="1310"/>
      <c r="AL129" s="1310"/>
      <c r="AM129" s="1310"/>
      <c r="AN129" s="1310"/>
      <c r="AO129" s="1310"/>
      <c r="AP129" s="1310"/>
      <c r="AQ129" s="1310"/>
      <c r="AR129" s="1310"/>
      <c r="AS129" s="1310"/>
      <c r="AT129" s="1310"/>
      <c r="AU129" s="1310"/>
      <c r="AV129" s="1310"/>
      <c r="AW129" s="1310"/>
      <c r="AX129" s="1310"/>
      <c r="AY129" s="1310"/>
      <c r="AZ129" s="1310"/>
      <c r="BA129" s="1310"/>
      <c r="BB129" s="1310"/>
      <c r="BC129" s="1310"/>
      <c r="BD129" s="1310"/>
      <c r="BE129" s="1310"/>
      <c r="BF129" s="1310"/>
      <c r="BG129" s="1310"/>
      <c r="BH129" s="1310"/>
      <c r="BI129" s="1310"/>
      <c r="BJ129" s="1310"/>
      <c r="BK129" s="1310"/>
    </row>
    <row r="130" spans="1:63" ht="12.75" customHeight="1" x14ac:dyDescent="0.3">
      <c r="A130" s="1310"/>
      <c r="B130" s="1310"/>
      <c r="C130" s="1310"/>
      <c r="D130" s="1313"/>
      <c r="E130" s="1310"/>
      <c r="F130" s="1310"/>
      <c r="G130" s="1310"/>
      <c r="H130" s="1213"/>
      <c r="I130" s="1213"/>
      <c r="J130" s="1213"/>
      <c r="K130" s="1213"/>
      <c r="L130" s="1213"/>
      <c r="M130" s="1213"/>
      <c r="N130" s="1213"/>
      <c r="O130" s="784">
        <v>45649</v>
      </c>
      <c r="P130" s="1173">
        <v>45657</v>
      </c>
      <c r="Q130" s="785">
        <v>2.79159E-2</v>
      </c>
      <c r="Y130" s="1310"/>
      <c r="Z130" s="1310"/>
      <c r="AA130" s="1310"/>
      <c r="AB130" s="1310"/>
      <c r="AC130" s="1310"/>
      <c r="AD130" s="1310"/>
      <c r="AE130" s="1310"/>
      <c r="AF130" s="1310"/>
      <c r="AG130" s="1310"/>
      <c r="AH130" s="1310"/>
      <c r="AI130" s="1310"/>
      <c r="AJ130" s="1310"/>
      <c r="AK130" s="1310"/>
      <c r="AL130" s="1310"/>
      <c r="AM130" s="1310"/>
      <c r="AN130" s="1310"/>
      <c r="AO130" s="1310"/>
      <c r="AP130" s="1310"/>
      <c r="AQ130" s="1310"/>
      <c r="AR130" s="1310"/>
      <c r="AS130" s="1310"/>
      <c r="AT130" s="1310"/>
      <c r="AU130" s="1310"/>
      <c r="AV130" s="1310"/>
      <c r="AW130" s="1310"/>
      <c r="AX130" s="1310"/>
      <c r="AY130" s="1310"/>
      <c r="AZ130" s="1310"/>
      <c r="BA130" s="1310"/>
      <c r="BB130" s="1310"/>
      <c r="BC130" s="1310"/>
      <c r="BD130" s="1310"/>
      <c r="BE130" s="1310"/>
      <c r="BF130" s="1310"/>
      <c r="BG130" s="1310"/>
      <c r="BH130" s="1310"/>
      <c r="BI130" s="1310"/>
      <c r="BJ130" s="1310"/>
      <c r="BK130" s="1310"/>
    </row>
    <row r="131" spans="1:63" ht="12.75" customHeight="1" x14ac:dyDescent="0.3">
      <c r="A131" s="1310"/>
      <c r="B131" s="1310"/>
      <c r="C131" s="1310"/>
      <c r="D131" s="1313"/>
      <c r="E131" s="1310"/>
      <c r="F131" s="1310"/>
      <c r="G131" s="1310"/>
      <c r="H131" s="1213"/>
      <c r="I131" s="1213"/>
      <c r="J131" s="1213"/>
      <c r="K131" s="1213"/>
      <c r="L131" s="1213"/>
      <c r="M131" s="1213"/>
      <c r="N131" s="1213"/>
      <c r="O131" s="784">
        <v>45680</v>
      </c>
      <c r="P131" s="1173">
        <v>45688</v>
      </c>
      <c r="Q131" s="785">
        <v>2.7586099999999999E-2</v>
      </c>
    </row>
    <row r="132" spans="1:63" ht="12.75" customHeight="1" x14ac:dyDescent="0.3">
      <c r="A132" s="1310"/>
      <c r="B132" s="1310"/>
      <c r="C132" s="1310"/>
      <c r="D132" s="1313"/>
      <c r="E132" s="1310"/>
      <c r="F132" s="1310"/>
      <c r="G132" s="1310"/>
      <c r="H132" s="1213"/>
      <c r="I132" s="1213"/>
      <c r="J132" s="1213"/>
      <c r="K132" s="1213"/>
      <c r="L132" s="1213"/>
      <c r="M132" s="1213"/>
      <c r="N132" s="1213"/>
      <c r="O132" s="784">
        <v>45712</v>
      </c>
      <c r="P132" s="1173">
        <v>45716</v>
      </c>
      <c r="Q132" s="785">
        <v>2.7314700000000001E-2</v>
      </c>
    </row>
    <row r="133" spans="1:63" ht="12.75" customHeight="1" x14ac:dyDescent="0.3">
      <c r="H133" s="1213"/>
      <c r="I133" s="1213"/>
      <c r="J133" s="1213"/>
      <c r="K133" s="1213"/>
      <c r="L133" s="1213"/>
      <c r="M133" s="1213"/>
      <c r="N133" s="1213"/>
      <c r="O133" s="784">
        <v>45740</v>
      </c>
      <c r="P133" s="1173">
        <v>45747</v>
      </c>
      <c r="Q133" s="785">
        <v>2.7050999999999999E-2</v>
      </c>
    </row>
    <row r="134" spans="1:63" ht="12.75" customHeight="1" x14ac:dyDescent="0.3">
      <c r="H134" s="1213"/>
      <c r="I134" s="1213"/>
      <c r="J134" s="1213"/>
      <c r="K134" s="1213"/>
      <c r="L134" s="1213"/>
      <c r="M134" s="1213"/>
      <c r="N134" s="1213"/>
      <c r="O134" s="784">
        <v>45770</v>
      </c>
      <c r="P134" s="1173">
        <v>45777</v>
      </c>
      <c r="Q134" s="785">
        <v>2.68148E-2</v>
      </c>
    </row>
    <row r="135" spans="1:63" ht="12.75" customHeight="1" x14ac:dyDescent="0.3">
      <c r="H135" s="1310"/>
      <c r="I135" s="1213"/>
      <c r="J135" s="1213"/>
      <c r="K135" s="1213"/>
      <c r="L135" s="1213"/>
      <c r="M135" s="1310"/>
      <c r="N135" s="1310"/>
      <c r="O135" s="784">
        <v>45800</v>
      </c>
      <c r="P135" s="1173">
        <v>45808</v>
      </c>
      <c r="Q135" s="785">
        <v>2.6626500000000001E-2</v>
      </c>
    </row>
    <row r="136" spans="1:63" ht="12.75" customHeight="1" x14ac:dyDescent="0.3">
      <c r="H136" s="1310"/>
      <c r="I136" s="1213"/>
      <c r="J136" s="1213"/>
      <c r="K136" s="1213"/>
      <c r="L136" s="1213"/>
      <c r="M136" s="1310"/>
      <c r="N136" s="1310"/>
      <c r="O136" s="784">
        <v>45831</v>
      </c>
      <c r="P136" s="1173">
        <v>45838</v>
      </c>
      <c r="Q136" s="785">
        <v>2.64525E-2</v>
      </c>
    </row>
    <row r="137" spans="1:63" ht="12.75" customHeight="1" x14ac:dyDescent="0.3">
      <c r="H137" s="1310"/>
      <c r="I137" s="1213"/>
      <c r="J137" s="1213"/>
      <c r="K137" s="1213"/>
      <c r="L137" s="1213"/>
      <c r="M137" s="1310"/>
      <c r="N137" s="1310"/>
      <c r="O137" s="784">
        <v>45861</v>
      </c>
      <c r="P137" s="1173">
        <v>45869</v>
      </c>
      <c r="Q137" s="785">
        <v>2.63019E-2</v>
      </c>
    </row>
    <row r="138" spans="1:63" ht="12.75" customHeight="1" x14ac:dyDescent="0.3">
      <c r="H138" s="1310"/>
      <c r="I138" s="1213"/>
      <c r="J138" s="1213"/>
      <c r="K138" s="1213"/>
      <c r="L138" s="1213"/>
      <c r="M138" s="1310"/>
      <c r="N138" s="1310"/>
      <c r="O138" s="784">
        <v>45894</v>
      </c>
      <c r="P138" s="1173">
        <v>45900</v>
      </c>
      <c r="Q138" s="785">
        <v>2.6187599999999998E-2</v>
      </c>
    </row>
    <row r="139" spans="1:63" ht="12.75" customHeight="1" x14ac:dyDescent="0.3">
      <c r="H139" s="1310"/>
      <c r="I139" s="1213"/>
      <c r="J139" s="1213"/>
      <c r="K139" s="1213"/>
      <c r="L139" s="1213"/>
      <c r="M139" s="1310"/>
      <c r="N139" s="1310"/>
      <c r="O139" s="784">
        <v>45923</v>
      </c>
      <c r="P139" s="1173">
        <v>45930</v>
      </c>
      <c r="Q139" s="785">
        <v>2.6098900000000001E-2</v>
      </c>
    </row>
    <row r="140" spans="1:63" ht="12.75" customHeight="1" x14ac:dyDescent="0.3">
      <c r="H140" s="1310"/>
      <c r="I140" s="1213"/>
      <c r="J140" s="1213"/>
      <c r="K140" s="1213"/>
      <c r="L140" s="1213"/>
      <c r="M140" s="1310"/>
      <c r="N140" s="1310"/>
      <c r="O140" s="784">
        <v>45953</v>
      </c>
      <c r="P140" s="1173">
        <v>45961</v>
      </c>
      <c r="Q140" s="785">
        <v>2.6035900000000001E-2</v>
      </c>
    </row>
    <row r="141" spans="1:63" ht="12.75" customHeight="1" x14ac:dyDescent="0.3">
      <c r="H141" s="1310"/>
      <c r="I141" s="1213"/>
      <c r="J141" s="1213"/>
      <c r="K141" s="1213"/>
      <c r="L141" s="1213"/>
      <c r="M141" s="1310"/>
      <c r="N141" s="1310"/>
      <c r="O141" s="784">
        <v>45985</v>
      </c>
      <c r="P141" s="1173">
        <v>45991</v>
      </c>
      <c r="Q141" s="785">
        <v>2.6003999999999999E-2</v>
      </c>
    </row>
    <row r="142" spans="1:63" ht="12.75" customHeight="1" x14ac:dyDescent="0.3">
      <c r="H142" s="1310"/>
      <c r="I142" s="1213"/>
      <c r="J142" s="1213"/>
      <c r="K142" s="1213"/>
      <c r="L142" s="1213"/>
      <c r="M142" s="1310"/>
      <c r="N142" s="1310"/>
      <c r="O142" s="784">
        <v>46014</v>
      </c>
      <c r="P142" s="1173">
        <v>46022</v>
      </c>
      <c r="Q142" s="785">
        <v>2.59969E-2</v>
      </c>
    </row>
    <row r="143" spans="1:63" ht="12.75" customHeight="1" x14ac:dyDescent="0.25">
      <c r="H143" s="1310"/>
      <c r="I143" s="1310"/>
      <c r="J143" s="1310"/>
      <c r="K143" s="1310"/>
      <c r="L143" s="1310"/>
      <c r="M143" s="1310"/>
      <c r="N143" s="1310"/>
      <c r="O143" s="784">
        <v>46045</v>
      </c>
      <c r="P143" s="1173">
        <v>46053</v>
      </c>
      <c r="Q143" s="785">
        <v>2.6010100000000001E-2</v>
      </c>
    </row>
    <row r="144" spans="1:63" ht="12.75" customHeight="1" x14ac:dyDescent="0.25">
      <c r="H144" s="1310"/>
      <c r="I144" s="1310"/>
      <c r="J144" s="1310"/>
      <c r="K144" s="1310"/>
      <c r="L144" s="1310"/>
      <c r="M144" s="1310"/>
      <c r="N144" s="1310"/>
      <c r="O144" s="784">
        <v>46076</v>
      </c>
      <c r="P144" s="1173">
        <v>46081</v>
      </c>
      <c r="Q144" s="785">
        <v>2.6035099999999999E-2</v>
      </c>
    </row>
    <row r="145" spans="8:17" ht="12.75" customHeight="1" x14ac:dyDescent="0.25">
      <c r="H145" s="1310"/>
      <c r="I145" s="1310"/>
      <c r="J145" s="1310"/>
      <c r="K145" s="1310"/>
      <c r="L145" s="1310"/>
      <c r="M145" s="1310"/>
      <c r="N145" s="1310"/>
      <c r="O145" s="784">
        <v>46104</v>
      </c>
      <c r="P145" s="1173">
        <v>46112</v>
      </c>
      <c r="Q145" s="785">
        <v>2.6059499999999999E-2</v>
      </c>
    </row>
    <row r="146" spans="8:17" ht="12.75" customHeight="1" x14ac:dyDescent="0.25">
      <c r="H146" s="1310"/>
      <c r="I146" s="1310"/>
      <c r="J146" s="1310"/>
      <c r="K146" s="1310"/>
      <c r="L146" s="1310"/>
      <c r="M146" s="1310"/>
      <c r="N146" s="1310"/>
      <c r="O146" s="784">
        <v>46135</v>
      </c>
      <c r="P146" s="1173">
        <v>46142</v>
      </c>
      <c r="Q146" s="785">
        <v>2.6085000000000001E-2</v>
      </c>
    </row>
    <row r="147" spans="8:17" ht="12.75" customHeight="1" x14ac:dyDescent="0.25">
      <c r="H147" s="1310"/>
      <c r="I147" s="1310"/>
      <c r="J147" s="1310"/>
      <c r="K147" s="1310"/>
      <c r="L147" s="1310"/>
      <c r="M147" s="1310"/>
      <c r="N147" s="1310"/>
      <c r="O147" s="784">
        <v>46167</v>
      </c>
      <c r="P147" s="1173">
        <v>46173</v>
      </c>
      <c r="Q147" s="785">
        <v>2.6113399999999998E-2</v>
      </c>
    </row>
    <row r="148" spans="8:17" ht="12.75" customHeight="1" x14ac:dyDescent="0.25">
      <c r="H148" s="1310"/>
      <c r="I148" s="1310"/>
      <c r="J148" s="1310"/>
      <c r="K148" s="1310"/>
      <c r="L148" s="1310"/>
      <c r="M148" s="1310"/>
      <c r="N148" s="1310"/>
      <c r="O148" s="784">
        <v>46196</v>
      </c>
      <c r="P148" s="1173">
        <v>46203</v>
      </c>
      <c r="Q148" s="785">
        <v>2.6140099999999999E-2</v>
      </c>
    </row>
    <row r="149" spans="8:17" ht="12.75" customHeight="1" x14ac:dyDescent="0.25">
      <c r="I149" s="1310"/>
      <c r="J149" s="1310"/>
      <c r="K149" s="1310"/>
      <c r="L149" s="1310"/>
      <c r="O149" s="784">
        <v>46226</v>
      </c>
      <c r="P149" s="1173">
        <v>46234</v>
      </c>
      <c r="Q149" s="785">
        <v>2.6165999999999998E-2</v>
      </c>
    </row>
    <row r="150" spans="8:17" ht="12.75" customHeight="1" x14ac:dyDescent="0.25">
      <c r="I150" s="1310"/>
      <c r="J150" s="1310"/>
      <c r="K150" s="1310"/>
      <c r="L150" s="1310"/>
      <c r="O150" s="784">
        <v>46258</v>
      </c>
      <c r="P150" s="1173">
        <v>46265</v>
      </c>
      <c r="Q150" s="785">
        <v>2.61972E-2</v>
      </c>
    </row>
    <row r="151" spans="8:17" ht="12.75" customHeight="1" x14ac:dyDescent="0.25">
      <c r="I151" s="1310"/>
      <c r="J151" s="1310"/>
      <c r="K151" s="1310"/>
      <c r="L151" s="1310"/>
      <c r="O151" s="784">
        <v>46288</v>
      </c>
      <c r="P151" s="1173">
        <v>46295</v>
      </c>
      <c r="Q151" s="785">
        <v>2.62276E-2</v>
      </c>
    </row>
    <row r="152" spans="8:17" ht="12.75" customHeight="1" x14ac:dyDescent="0.25">
      <c r="I152" s="1310"/>
      <c r="J152" s="1310"/>
      <c r="K152" s="1310"/>
      <c r="L152" s="1310"/>
      <c r="O152" s="784">
        <v>46318</v>
      </c>
      <c r="P152" s="1173">
        <v>46326</v>
      </c>
      <c r="Q152" s="785">
        <v>2.6255899999999999E-2</v>
      </c>
    </row>
    <row r="153" spans="8:17" ht="12.75" customHeight="1" x14ac:dyDescent="0.25">
      <c r="I153" s="1310"/>
      <c r="J153" s="1310"/>
      <c r="K153" s="1310"/>
      <c r="L153" s="1310"/>
      <c r="O153" s="784">
        <v>46349</v>
      </c>
      <c r="P153" s="1173">
        <v>46356</v>
      </c>
      <c r="Q153" s="785">
        <v>2.62908E-2</v>
      </c>
    </row>
    <row r="154" spans="8:17" ht="12.75" customHeight="1" x14ac:dyDescent="0.25">
      <c r="I154" s="1310"/>
      <c r="J154" s="1310"/>
      <c r="K154" s="1310"/>
      <c r="L154" s="1310"/>
      <c r="O154" s="784">
        <v>46379</v>
      </c>
      <c r="P154" s="1173">
        <v>46387</v>
      </c>
      <c r="Q154" s="785">
        <v>2.6324400000000001E-2</v>
      </c>
    </row>
    <row r="155" spans="8:17" ht="12.75" customHeight="1" x14ac:dyDescent="0.25">
      <c r="I155" s="1310"/>
      <c r="J155" s="1310"/>
      <c r="K155" s="1310"/>
      <c r="L155" s="1310"/>
      <c r="O155" s="784">
        <v>46412</v>
      </c>
      <c r="P155" s="1173">
        <v>46418</v>
      </c>
      <c r="Q155" s="785">
        <v>2.6354200000000001E-2</v>
      </c>
    </row>
    <row r="156" spans="8:17" ht="12.75" customHeight="1" x14ac:dyDescent="0.25">
      <c r="I156" s="1310"/>
      <c r="J156" s="1310"/>
      <c r="K156" s="1310"/>
      <c r="L156" s="1310"/>
      <c r="O156" s="784">
        <v>46441</v>
      </c>
      <c r="P156" s="1173">
        <v>46446</v>
      </c>
      <c r="Q156" s="785">
        <v>2.6397199999999999E-2</v>
      </c>
    </row>
    <row r="157" spans="8:17" ht="12.75" customHeight="1" x14ac:dyDescent="0.25">
      <c r="O157" s="784">
        <v>46469</v>
      </c>
      <c r="P157" s="1173">
        <v>46477</v>
      </c>
      <c r="Q157" s="785">
        <v>2.6437700000000001E-2</v>
      </c>
    </row>
    <row r="158" spans="8:17" ht="12.75" customHeight="1" x14ac:dyDescent="0.25">
      <c r="O158" s="784">
        <v>46500</v>
      </c>
      <c r="P158" s="1173">
        <v>46507</v>
      </c>
      <c r="Q158" s="785">
        <v>2.6481399999999999E-2</v>
      </c>
    </row>
    <row r="159" spans="8:17" ht="12.75" customHeight="1" x14ac:dyDescent="0.25">
      <c r="O159" s="784">
        <v>46531</v>
      </c>
      <c r="P159" s="1173">
        <v>46538</v>
      </c>
      <c r="Q159" s="785">
        <v>2.6535300000000001E-2</v>
      </c>
    </row>
    <row r="160" spans="8:17" ht="12.75" customHeight="1" x14ac:dyDescent="0.25">
      <c r="O160" s="784">
        <v>46561</v>
      </c>
      <c r="P160" s="1173">
        <v>46568</v>
      </c>
      <c r="Q160" s="785">
        <v>2.6589399999999999E-2</v>
      </c>
    </row>
    <row r="161" spans="15:17" ht="12.75" customHeight="1" x14ac:dyDescent="0.25">
      <c r="O161" s="784">
        <v>46591</v>
      </c>
      <c r="P161" s="1173">
        <v>46599</v>
      </c>
      <c r="Q161" s="785">
        <v>2.66419E-2</v>
      </c>
    </row>
    <row r="162" spans="15:17" ht="12.75" customHeight="1" x14ac:dyDescent="0.25">
      <c r="O162" s="784">
        <v>46622</v>
      </c>
      <c r="P162" s="1173">
        <v>46630</v>
      </c>
      <c r="Q162" s="785">
        <v>2.67038E-2</v>
      </c>
    </row>
    <row r="163" spans="15:17" ht="12.75" customHeight="1" x14ac:dyDescent="0.25">
      <c r="O163" s="784">
        <v>46653</v>
      </c>
      <c r="P163" s="1173">
        <v>46660</v>
      </c>
      <c r="Q163" s="785">
        <v>2.6769600000000001E-2</v>
      </c>
    </row>
    <row r="164" spans="15:17" ht="12.75" customHeight="1" x14ac:dyDescent="0.25">
      <c r="O164" s="784">
        <v>46685</v>
      </c>
      <c r="P164" s="1173">
        <v>46691</v>
      </c>
      <c r="Q164" s="785">
        <v>2.6834799999999999E-2</v>
      </c>
    </row>
    <row r="165" spans="15:17" ht="12.75" customHeight="1" x14ac:dyDescent="0.25">
      <c r="O165" s="784">
        <v>46714</v>
      </c>
      <c r="P165" s="1173">
        <v>46721</v>
      </c>
      <c r="Q165" s="785">
        <v>2.6908000000000001E-2</v>
      </c>
    </row>
    <row r="166" spans="15:17" ht="12.75" customHeight="1" x14ac:dyDescent="0.25">
      <c r="O166" s="784">
        <v>46744</v>
      </c>
      <c r="P166" s="1173">
        <v>46752</v>
      </c>
      <c r="Q166" s="785">
        <v>2.69853E-2</v>
      </c>
    </row>
    <row r="167" spans="15:17" ht="12.75" customHeight="1" x14ac:dyDescent="0.25">
      <c r="O167" s="784">
        <v>46776</v>
      </c>
      <c r="P167" s="1173">
        <v>46783</v>
      </c>
      <c r="Q167" s="785">
        <v>2.7061000000000002E-2</v>
      </c>
    </row>
    <row r="168" spans="15:17" ht="12.75" customHeight="1" x14ac:dyDescent="0.25">
      <c r="O168" s="784">
        <v>46806</v>
      </c>
      <c r="P168" s="1173">
        <v>46812</v>
      </c>
      <c r="Q168" s="785">
        <v>2.7140500000000001E-2</v>
      </c>
    </row>
    <row r="169" spans="15:17" ht="12.75" customHeight="1" x14ac:dyDescent="0.25">
      <c r="O169" s="784">
        <v>46835</v>
      </c>
      <c r="P169" s="1173">
        <v>46843</v>
      </c>
      <c r="Q169" s="785">
        <v>2.7217000000000002E-2</v>
      </c>
    </row>
    <row r="170" spans="15:17" ht="12.75" customHeight="1" x14ac:dyDescent="0.25">
      <c r="O170" s="784">
        <v>46867</v>
      </c>
      <c r="P170" s="1173">
        <v>46873</v>
      </c>
      <c r="Q170" s="785">
        <v>2.7298900000000001E-2</v>
      </c>
    </row>
    <row r="171" spans="15:17" ht="12.75" customHeight="1" x14ac:dyDescent="0.25">
      <c r="O171" s="784">
        <v>46896</v>
      </c>
      <c r="P171" s="1173">
        <v>46904</v>
      </c>
      <c r="Q171" s="785">
        <v>2.7373399999999999E-2</v>
      </c>
    </row>
    <row r="172" spans="15:17" ht="12.75" customHeight="1" x14ac:dyDescent="0.25">
      <c r="O172" s="784">
        <v>46927</v>
      </c>
      <c r="P172" s="1173">
        <v>46934</v>
      </c>
      <c r="Q172" s="785">
        <v>2.7443499999999999E-2</v>
      </c>
    </row>
    <row r="173" spans="15:17" ht="12.75" customHeight="1" x14ac:dyDescent="0.25">
      <c r="O173" s="784">
        <v>46958</v>
      </c>
      <c r="P173" s="1173">
        <v>46965</v>
      </c>
      <c r="Q173" s="785">
        <v>2.7522000000000001E-2</v>
      </c>
    </row>
    <row r="174" spans="15:17" ht="12.75" customHeight="1" x14ac:dyDescent="0.25">
      <c r="O174" s="784">
        <v>46988</v>
      </c>
      <c r="P174" s="1173">
        <v>46996</v>
      </c>
      <c r="Q174" s="785">
        <v>2.7592700000000001E-2</v>
      </c>
    </row>
    <row r="175" spans="15:17" ht="12.75" customHeight="1" x14ac:dyDescent="0.25">
      <c r="O175" s="784">
        <v>47021</v>
      </c>
      <c r="P175" s="1173">
        <v>47026</v>
      </c>
      <c r="Q175" s="785">
        <v>2.76595E-2</v>
      </c>
    </row>
    <row r="176" spans="15:17" ht="12.75" customHeight="1" x14ac:dyDescent="0.25">
      <c r="O176" s="784">
        <v>47049</v>
      </c>
      <c r="P176" s="1173">
        <v>47057</v>
      </c>
      <c r="Q176" s="785">
        <v>2.7729899999999998E-2</v>
      </c>
    </row>
    <row r="177" spans="15:17" ht="12.75" customHeight="1" x14ac:dyDescent="0.25">
      <c r="O177" s="784">
        <v>47080</v>
      </c>
      <c r="P177" s="1173">
        <v>47087</v>
      </c>
      <c r="Q177" s="785">
        <v>2.7799000000000001E-2</v>
      </c>
    </row>
    <row r="178" spans="15:17" ht="12.75" customHeight="1" x14ac:dyDescent="0.25">
      <c r="O178" s="784">
        <v>47112</v>
      </c>
      <c r="P178" s="1173">
        <v>47118</v>
      </c>
      <c r="Q178" s="785">
        <v>2.7869000000000001E-2</v>
      </c>
    </row>
    <row r="179" spans="15:17" ht="12.75" customHeight="1" x14ac:dyDescent="0.25">
      <c r="O179" s="784">
        <v>47141</v>
      </c>
      <c r="P179" s="1173">
        <v>47149</v>
      </c>
      <c r="Q179" s="785">
        <v>2.7929200000000001E-2</v>
      </c>
    </row>
    <row r="180" spans="15:17" ht="12.75" customHeight="1" x14ac:dyDescent="0.25">
      <c r="O180" s="784">
        <v>47172</v>
      </c>
      <c r="P180" s="1173">
        <v>47177</v>
      </c>
      <c r="Q180" s="785">
        <v>2.79948E-2</v>
      </c>
    </row>
    <row r="181" spans="15:17" ht="12.75" customHeight="1" x14ac:dyDescent="0.25">
      <c r="O181" s="784">
        <v>47200</v>
      </c>
      <c r="P181" s="1173">
        <v>47208</v>
      </c>
      <c r="Q181" s="785">
        <v>2.8052799999999999E-2</v>
      </c>
    </row>
    <row r="182" spans="15:17" ht="12.75" customHeight="1" x14ac:dyDescent="0.25">
      <c r="O182" s="784">
        <v>47231</v>
      </c>
      <c r="P182" s="1173">
        <v>47238</v>
      </c>
      <c r="Q182" s="785">
        <v>2.8118199999999999E-2</v>
      </c>
    </row>
    <row r="183" spans="15:17" ht="12.75" customHeight="1" x14ac:dyDescent="0.25">
      <c r="O183" s="784">
        <v>47261</v>
      </c>
      <c r="P183" s="1173">
        <v>47269</v>
      </c>
      <c r="Q183" s="785">
        <v>2.818E-2</v>
      </c>
    </row>
    <row r="184" spans="15:17" ht="12.75" customHeight="1" x14ac:dyDescent="0.25">
      <c r="O184" s="784">
        <v>47294</v>
      </c>
      <c r="P184" s="1173">
        <v>47299</v>
      </c>
      <c r="Q184" s="785">
        <v>2.8236799999999999E-2</v>
      </c>
    </row>
    <row r="185" spans="15:17" ht="12.75" customHeight="1" x14ac:dyDescent="0.25">
      <c r="O185" s="784">
        <v>47322</v>
      </c>
      <c r="P185" s="1173">
        <v>47330</v>
      </c>
      <c r="Q185" s="785">
        <v>2.8298400000000001E-2</v>
      </c>
    </row>
    <row r="186" spans="15:17" ht="12.75" customHeight="1" x14ac:dyDescent="0.25">
      <c r="O186" s="784">
        <v>47353</v>
      </c>
      <c r="P186" s="1173">
        <v>47361</v>
      </c>
      <c r="Q186" s="785">
        <v>2.8354500000000001E-2</v>
      </c>
    </row>
    <row r="187" spans="15:17" ht="12.75" customHeight="1" x14ac:dyDescent="0.25">
      <c r="O187" s="784">
        <v>47385</v>
      </c>
      <c r="P187" s="1173">
        <v>47391</v>
      </c>
      <c r="Q187" s="785">
        <v>2.8413999999999998E-2</v>
      </c>
    </row>
    <row r="188" spans="15:17" ht="12.75" customHeight="1" x14ac:dyDescent="0.25">
      <c r="O188" s="784">
        <v>47414</v>
      </c>
      <c r="P188" s="1173">
        <v>47422</v>
      </c>
      <c r="Q188" s="785">
        <v>2.84674E-2</v>
      </c>
    </row>
    <row r="189" spans="15:17" ht="12.75" customHeight="1" x14ac:dyDescent="0.25">
      <c r="O189" s="784">
        <v>47445</v>
      </c>
      <c r="P189" s="1173">
        <v>47452</v>
      </c>
      <c r="Q189" s="785">
        <v>2.8518700000000001E-2</v>
      </c>
    </row>
    <row r="190" spans="15:17" ht="12.75" customHeight="1" x14ac:dyDescent="0.25">
      <c r="O190" s="784">
        <v>47476</v>
      </c>
      <c r="P190" s="1173">
        <v>47483</v>
      </c>
      <c r="Q190" s="785">
        <v>2.8574200000000001E-2</v>
      </c>
    </row>
    <row r="191" spans="15:17" ht="12.75" customHeight="1" x14ac:dyDescent="0.25">
      <c r="O191" s="784">
        <v>47506</v>
      </c>
      <c r="P191" s="1173">
        <v>47514</v>
      </c>
      <c r="Q191" s="785">
        <v>2.8620400000000001E-2</v>
      </c>
    </row>
    <row r="192" spans="15:17" ht="12.75" customHeight="1" x14ac:dyDescent="0.25">
      <c r="O192" s="784">
        <v>47539</v>
      </c>
      <c r="P192" s="1173">
        <v>47542</v>
      </c>
      <c r="Q192" s="785">
        <v>2.8673500000000001E-2</v>
      </c>
    </row>
    <row r="193" spans="15:17" ht="12.75" customHeight="1" x14ac:dyDescent="0.25">
      <c r="O193" s="784">
        <v>47567</v>
      </c>
      <c r="P193" s="1173">
        <v>47573</v>
      </c>
      <c r="Q193" s="785">
        <v>2.87221E-2</v>
      </c>
    </row>
    <row r="194" spans="15:17" ht="12.75" customHeight="1" x14ac:dyDescent="0.25">
      <c r="O194" s="784">
        <v>47596</v>
      </c>
      <c r="P194" s="1173">
        <v>47603</v>
      </c>
      <c r="Q194" s="785">
        <v>2.8774600000000001E-2</v>
      </c>
    </row>
    <row r="195" spans="15:17" ht="12.75" customHeight="1" x14ac:dyDescent="0.25">
      <c r="O195" s="784">
        <v>47626</v>
      </c>
      <c r="P195" s="1173">
        <v>47634</v>
      </c>
      <c r="Q195" s="785">
        <v>2.8824900000000001E-2</v>
      </c>
    </row>
    <row r="196" spans="15:17" ht="12.75" customHeight="1" x14ac:dyDescent="0.25">
      <c r="O196" s="784">
        <v>47658</v>
      </c>
      <c r="P196" s="1173">
        <v>47664</v>
      </c>
      <c r="Q196" s="785">
        <v>2.8881500000000001E-2</v>
      </c>
    </row>
    <row r="197" spans="15:17" ht="12.75" customHeight="1" x14ac:dyDescent="0.25">
      <c r="O197" s="784">
        <v>47687</v>
      </c>
      <c r="P197" s="1173">
        <v>47695</v>
      </c>
      <c r="Q197" s="785">
        <v>2.8933199999999999E-2</v>
      </c>
    </row>
    <row r="198" spans="15:17" ht="12.75" customHeight="1" x14ac:dyDescent="0.25">
      <c r="O198" s="784">
        <v>47718</v>
      </c>
      <c r="P198" s="1173">
        <v>47726</v>
      </c>
      <c r="Q198" s="785">
        <v>2.8980100000000002E-2</v>
      </c>
    </row>
    <row r="199" spans="15:17" ht="12.75" customHeight="1" x14ac:dyDescent="0.25">
      <c r="O199" s="784">
        <v>47749</v>
      </c>
      <c r="P199" s="1173">
        <v>47756</v>
      </c>
      <c r="Q199" s="785">
        <v>2.9034799999999999E-2</v>
      </c>
    </row>
    <row r="200" spans="15:17" ht="12.75" customHeight="1" x14ac:dyDescent="0.25">
      <c r="O200" s="784">
        <v>47779</v>
      </c>
      <c r="P200" s="1173">
        <v>47787</v>
      </c>
      <c r="Q200" s="785">
        <v>2.9084700000000002E-2</v>
      </c>
    </row>
    <row r="201" spans="15:17" ht="12.75" customHeight="1" x14ac:dyDescent="0.25">
      <c r="O201" s="784">
        <v>47812</v>
      </c>
      <c r="P201" s="1173">
        <v>47817</v>
      </c>
      <c r="Q201" s="785">
        <v>2.91357E-2</v>
      </c>
    </row>
    <row r="202" spans="15:17" ht="12.75" customHeight="1" x14ac:dyDescent="0.25">
      <c r="O202" s="784">
        <v>47840</v>
      </c>
      <c r="P202" s="1173">
        <v>47848</v>
      </c>
      <c r="Q202" s="785">
        <v>2.9188100000000002E-2</v>
      </c>
    </row>
    <row r="203" spans="15:17" ht="12.75" customHeight="1" x14ac:dyDescent="0.25">
      <c r="O203" s="784">
        <v>47871</v>
      </c>
      <c r="P203" s="1173">
        <v>47879</v>
      </c>
      <c r="Q203" s="785">
        <v>2.9234400000000001E-2</v>
      </c>
    </row>
    <row r="204" spans="15:17" ht="12.75" customHeight="1" x14ac:dyDescent="0.25">
      <c r="O204" s="784">
        <v>47903</v>
      </c>
      <c r="P204" s="1173">
        <v>47907</v>
      </c>
      <c r="Q204" s="785">
        <v>2.9287799999999999E-2</v>
      </c>
    </row>
    <row r="205" spans="15:17" ht="12.75" customHeight="1" x14ac:dyDescent="0.25">
      <c r="O205" s="784">
        <v>47931</v>
      </c>
      <c r="P205" s="1173">
        <v>47938</v>
      </c>
      <c r="Q205" s="785">
        <v>2.9342199999999999E-2</v>
      </c>
    </row>
    <row r="206" spans="15:17" ht="12.75" customHeight="1" x14ac:dyDescent="0.25">
      <c r="O206" s="784">
        <f>P206</f>
        <v>47968</v>
      </c>
      <c r="P206" s="1173">
        <f>EOMONTH(P205,1)</f>
        <v>47968</v>
      </c>
      <c r="Q206" s="785">
        <v>2.9394300000000002E-2</v>
      </c>
    </row>
    <row r="207" spans="15:17" ht="12.75" customHeight="1" x14ac:dyDescent="0.25">
      <c r="O207" s="784">
        <f t="shared" ref="O207:O226" si="3">P207</f>
        <v>47999</v>
      </c>
      <c r="P207" s="1173">
        <f t="shared" ref="P207:P226" si="4">EOMONTH(P206,1)</f>
        <v>47999</v>
      </c>
      <c r="Q207" s="785">
        <v>2.94413E-2</v>
      </c>
    </row>
    <row r="208" spans="15:17" ht="12.75" customHeight="1" x14ac:dyDescent="0.25">
      <c r="O208" s="784">
        <f t="shared" si="3"/>
        <v>48029</v>
      </c>
      <c r="P208" s="1173">
        <f t="shared" si="4"/>
        <v>48029</v>
      </c>
      <c r="Q208" s="785">
        <v>2.9496100000000001E-2</v>
      </c>
    </row>
    <row r="209" spans="15:17" ht="12.75" customHeight="1" x14ac:dyDescent="0.25">
      <c r="O209" s="784">
        <f t="shared" si="3"/>
        <v>48060</v>
      </c>
      <c r="P209" s="1173">
        <f t="shared" si="4"/>
        <v>48060</v>
      </c>
      <c r="Q209" s="785">
        <v>2.95482E-2</v>
      </c>
    </row>
    <row r="210" spans="15:17" ht="12.75" customHeight="1" x14ac:dyDescent="0.25">
      <c r="O210" s="784">
        <f t="shared" si="3"/>
        <v>48091</v>
      </c>
      <c r="P210" s="1173">
        <f t="shared" si="4"/>
        <v>48091</v>
      </c>
      <c r="Q210" s="785">
        <v>2.9596899999999999E-2</v>
      </c>
    </row>
    <row r="211" spans="15:17" ht="12.75" customHeight="1" x14ac:dyDescent="0.25">
      <c r="O211" s="784">
        <f t="shared" si="3"/>
        <v>48121</v>
      </c>
      <c r="P211" s="1173">
        <f t="shared" si="4"/>
        <v>48121</v>
      </c>
      <c r="Q211" s="785">
        <v>2.96498E-2</v>
      </c>
    </row>
    <row r="212" spans="15:17" ht="12.75" customHeight="1" x14ac:dyDescent="0.25">
      <c r="O212" s="784">
        <f t="shared" si="3"/>
        <v>48152</v>
      </c>
      <c r="P212" s="1173">
        <f t="shared" si="4"/>
        <v>48152</v>
      </c>
      <c r="Q212" s="785">
        <v>2.97002E-2</v>
      </c>
    </row>
    <row r="213" spans="15:17" ht="12.75" customHeight="1" x14ac:dyDescent="0.25">
      <c r="O213" s="784">
        <f t="shared" si="3"/>
        <v>48182</v>
      </c>
      <c r="P213" s="1173">
        <f t="shared" si="4"/>
        <v>48182</v>
      </c>
      <c r="Q213" s="785">
        <v>2.97573E-2</v>
      </c>
    </row>
    <row r="214" spans="15:17" ht="12.75" customHeight="1" x14ac:dyDescent="0.25">
      <c r="O214" s="784">
        <f t="shared" si="3"/>
        <v>48213</v>
      </c>
      <c r="P214" s="1173">
        <f t="shared" si="4"/>
        <v>48213</v>
      </c>
      <c r="Q214" s="785">
        <v>2.9808999999999999E-2</v>
      </c>
    </row>
    <row r="215" spans="15:17" ht="12.75" customHeight="1" x14ac:dyDescent="0.25">
      <c r="O215" s="784">
        <f t="shared" si="3"/>
        <v>48244</v>
      </c>
      <c r="P215" s="1173">
        <f t="shared" si="4"/>
        <v>48244</v>
      </c>
      <c r="Q215" s="785">
        <v>2.9853999999999999E-2</v>
      </c>
    </row>
    <row r="216" spans="15:17" ht="12.75" customHeight="1" x14ac:dyDescent="0.25">
      <c r="O216" s="784">
        <f t="shared" si="3"/>
        <v>48273</v>
      </c>
      <c r="P216" s="1173">
        <f t="shared" si="4"/>
        <v>48273</v>
      </c>
      <c r="Q216" s="785">
        <v>2.9911500000000001E-2</v>
      </c>
    </row>
    <row r="217" spans="15:17" ht="12.75" customHeight="1" x14ac:dyDescent="0.25">
      <c r="O217" s="784">
        <f t="shared" si="3"/>
        <v>48304</v>
      </c>
      <c r="P217" s="1173">
        <f t="shared" si="4"/>
        <v>48304</v>
      </c>
      <c r="Q217" s="785">
        <v>2.99612E-2</v>
      </c>
    </row>
    <row r="218" spans="15:17" ht="12.75" customHeight="1" x14ac:dyDescent="0.25">
      <c r="O218" s="784">
        <f t="shared" si="3"/>
        <v>48334</v>
      </c>
      <c r="P218" s="1173">
        <f t="shared" si="4"/>
        <v>48334</v>
      </c>
      <c r="Q218" s="785">
        <v>3.0010800000000001E-2</v>
      </c>
    </row>
    <row r="219" spans="15:17" ht="12.75" customHeight="1" x14ac:dyDescent="0.25">
      <c r="O219" s="784">
        <f t="shared" si="3"/>
        <v>48365</v>
      </c>
      <c r="P219" s="1173">
        <f t="shared" si="4"/>
        <v>48365</v>
      </c>
      <c r="Q219" s="785">
        <v>3.00676E-2</v>
      </c>
    </row>
    <row r="220" spans="15:17" ht="12.75" customHeight="1" x14ac:dyDescent="0.25">
      <c r="O220" s="784">
        <f t="shared" si="3"/>
        <v>48395</v>
      </c>
      <c r="P220" s="1173">
        <f t="shared" si="4"/>
        <v>48395</v>
      </c>
      <c r="Q220" s="785">
        <v>3.0119400000000001E-2</v>
      </c>
    </row>
    <row r="221" spans="15:17" ht="12.75" customHeight="1" x14ac:dyDescent="0.25">
      <c r="O221" s="784">
        <f t="shared" si="3"/>
        <v>48426</v>
      </c>
      <c r="P221" s="1173">
        <f t="shared" si="4"/>
        <v>48426</v>
      </c>
      <c r="Q221" s="785">
        <v>3.01669E-2</v>
      </c>
    </row>
    <row r="222" spans="15:17" ht="12.75" customHeight="1" x14ac:dyDescent="0.25">
      <c r="O222" s="784">
        <f t="shared" si="3"/>
        <v>48457</v>
      </c>
      <c r="P222" s="1173">
        <f t="shared" si="4"/>
        <v>48457</v>
      </c>
      <c r="Q222" s="785">
        <v>3.02195E-2</v>
      </c>
    </row>
    <row r="223" spans="15:17" ht="12.75" customHeight="1" x14ac:dyDescent="0.25">
      <c r="O223" s="784">
        <f t="shared" si="3"/>
        <v>48487</v>
      </c>
      <c r="P223" s="1173">
        <f t="shared" si="4"/>
        <v>48487</v>
      </c>
      <c r="Q223" s="785">
        <v>3.0272199999999999E-2</v>
      </c>
    </row>
    <row r="224" spans="15:17" ht="12.75" customHeight="1" x14ac:dyDescent="0.25">
      <c r="O224" s="784">
        <f t="shared" si="3"/>
        <v>48518</v>
      </c>
      <c r="P224" s="1173">
        <f t="shared" si="4"/>
        <v>48518</v>
      </c>
      <c r="Q224" s="785">
        <v>3.0321000000000001E-2</v>
      </c>
    </row>
    <row r="225" spans="15:17" ht="12.75" customHeight="1" x14ac:dyDescent="0.25">
      <c r="O225" s="784">
        <f t="shared" si="3"/>
        <v>48548</v>
      </c>
      <c r="P225" s="1173">
        <f t="shared" si="4"/>
        <v>48548</v>
      </c>
      <c r="Q225" s="785">
        <v>3.0374100000000001E-2</v>
      </c>
    </row>
    <row r="226" spans="15:17" ht="12.75" customHeight="1" x14ac:dyDescent="0.25">
      <c r="O226" s="784">
        <f t="shared" si="3"/>
        <v>48579</v>
      </c>
      <c r="P226" s="1173">
        <f t="shared" si="4"/>
        <v>48579</v>
      </c>
      <c r="Q226" s="785">
        <v>3.04268E-2</v>
      </c>
    </row>
    <row r="227" spans="15:17" ht="12.75" customHeight="1" x14ac:dyDescent="0.25">
      <c r="Q227" s="1222">
        <v>3.0472900000000001E-2</v>
      </c>
    </row>
  </sheetData>
  <pageMargins left="0.7" right="0.7" top="0.75" bottom="0.75" header="0.3" footer="0.3"/>
  <pageSetup scale="56" orientation="landscape"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62D80-2F53-4F8D-B221-1842AB2CC7CF}">
  <sheetPr codeName="Sheet17">
    <tabColor rgb="FF00B0F0"/>
  </sheetPr>
  <dimension ref="A1:J74"/>
  <sheetViews>
    <sheetView zoomScale="80" zoomScaleNormal="80" workbookViewId="0"/>
  </sheetViews>
  <sheetFormatPr defaultColWidth="9.33203125" defaultRowHeight="14.4" x14ac:dyDescent="0.3"/>
  <cols>
    <col min="1" max="1" width="27.33203125" style="1323" customWidth="1"/>
    <col min="2" max="2" width="21" style="1322" customWidth="1"/>
    <col min="3" max="3" width="22.5546875" style="1323" customWidth="1"/>
    <col min="4" max="4" width="21" style="1322" customWidth="1"/>
    <col min="5" max="5" width="29.44140625" style="1323" customWidth="1"/>
    <col min="6" max="6" width="45.44140625" style="1319" bestFit="1" customWidth="1"/>
    <col min="7" max="7" width="15.33203125" style="1319" bestFit="1" customWidth="1"/>
    <col min="8" max="8" width="18" style="1319" bestFit="1" customWidth="1"/>
    <col min="9" max="9" width="12.33203125" style="1319" bestFit="1" customWidth="1"/>
    <col min="10" max="10" width="12.6640625" style="1319" bestFit="1" customWidth="1"/>
    <col min="11" max="16384" width="9.33203125" style="1319"/>
  </cols>
  <sheetData>
    <row r="1" spans="1:10" x14ac:dyDescent="0.3">
      <c r="A1" s="1315" t="s">
        <v>495</v>
      </c>
      <c r="B1" s="1316"/>
      <c r="C1" s="1317"/>
      <c r="D1" s="1316"/>
      <c r="E1" s="1317"/>
      <c r="F1" s="1318"/>
    </row>
    <row r="2" spans="1:10" x14ac:dyDescent="0.3">
      <c r="A2" s="2606" t="s">
        <v>496</v>
      </c>
      <c r="B2" s="2607"/>
      <c r="C2" s="2607"/>
      <c r="D2" s="2607"/>
      <c r="E2" s="2607"/>
      <c r="F2" s="2607"/>
      <c r="G2" s="1320"/>
      <c r="H2" s="1320"/>
    </row>
    <row r="3" spans="1:10" x14ac:dyDescent="0.3">
      <c r="A3" s="1321" t="s">
        <v>497</v>
      </c>
      <c r="G3" s="1320"/>
      <c r="H3" s="1320"/>
    </row>
    <row r="4" spans="1:10" x14ac:dyDescent="0.3">
      <c r="A4" s="1323" t="s">
        <v>498</v>
      </c>
      <c r="B4" s="1323" t="s">
        <v>499</v>
      </c>
      <c r="G4" s="1324"/>
      <c r="H4" s="1325"/>
      <c r="I4" s="1325" t="s">
        <v>500</v>
      </c>
      <c r="J4" s="1325" t="s">
        <v>501</v>
      </c>
    </row>
    <row r="5" spans="1:10" x14ac:dyDescent="0.3">
      <c r="A5" s="1323" t="s">
        <v>502</v>
      </c>
      <c r="B5" s="1323" t="s">
        <v>503</v>
      </c>
      <c r="G5" s="1324"/>
      <c r="H5" s="1319" t="s">
        <v>504</v>
      </c>
      <c r="I5" s="1326">
        <v>5.2460518149143924E-2</v>
      </c>
      <c r="J5" s="1327">
        <f ca="1">+Summary!$D$51</f>
        <v>6.6452831626234915E-2</v>
      </c>
    </row>
    <row r="6" spans="1:10" x14ac:dyDescent="0.3">
      <c r="A6" s="1323" t="s">
        <v>505</v>
      </c>
      <c r="B6" s="1323" t="s">
        <v>506</v>
      </c>
      <c r="F6" s="1328">
        <v>245.99509556505214</v>
      </c>
      <c r="G6" s="1329"/>
      <c r="H6" s="1319" t="s">
        <v>507</v>
      </c>
      <c r="I6" s="1326">
        <v>0.12780935993239106</v>
      </c>
      <c r="J6" s="1327">
        <f ca="1">+Summary!$S$51</f>
        <v>0.30587547483465172</v>
      </c>
    </row>
    <row r="7" spans="1:10" x14ac:dyDescent="0.3">
      <c r="A7" s="1323" t="s">
        <v>508</v>
      </c>
      <c r="B7" s="1323" t="s">
        <v>509</v>
      </c>
      <c r="E7" s="1330"/>
      <c r="G7" s="1324"/>
      <c r="H7" s="1324"/>
    </row>
    <row r="8" spans="1:10" x14ac:dyDescent="0.3">
      <c r="A8" s="1323" t="s">
        <v>510</v>
      </c>
      <c r="B8" s="1323" t="s">
        <v>511</v>
      </c>
      <c r="E8" s="1330"/>
      <c r="G8" s="1324"/>
      <c r="H8" s="1324"/>
    </row>
    <row r="9" spans="1:10" x14ac:dyDescent="0.3">
      <c r="A9" s="1323" t="s">
        <v>512</v>
      </c>
      <c r="B9" s="1323" t="s">
        <v>513</v>
      </c>
      <c r="E9" s="1330"/>
      <c r="F9" s="1331"/>
      <c r="G9" s="1324"/>
      <c r="H9" s="1324"/>
    </row>
    <row r="10" spans="1:10" x14ac:dyDescent="0.3">
      <c r="A10" s="1323" t="s">
        <v>514</v>
      </c>
      <c r="B10" s="1323" t="s">
        <v>515</v>
      </c>
      <c r="E10" s="1330"/>
      <c r="F10" s="1332"/>
      <c r="G10" s="1324"/>
      <c r="H10" s="1324"/>
    </row>
    <row r="11" spans="1:10" x14ac:dyDescent="0.3">
      <c r="A11" s="1323" t="s">
        <v>516</v>
      </c>
      <c r="B11" s="1323" t="s">
        <v>517</v>
      </c>
      <c r="E11" s="1330"/>
      <c r="G11" s="1324"/>
      <c r="H11" s="1324"/>
    </row>
    <row r="12" spans="1:10" x14ac:dyDescent="0.3">
      <c r="A12" s="1323" t="s">
        <v>518</v>
      </c>
      <c r="B12" s="1323" t="s">
        <v>519</v>
      </c>
      <c r="E12" s="1330"/>
      <c r="G12" s="1324"/>
      <c r="H12" s="1324"/>
    </row>
    <row r="13" spans="1:10" x14ac:dyDescent="0.3">
      <c r="A13" s="1323" t="s">
        <v>520</v>
      </c>
      <c r="B13" s="1323" t="s">
        <v>521</v>
      </c>
      <c r="E13" s="1330"/>
      <c r="G13" s="1324"/>
      <c r="H13" s="1324"/>
    </row>
    <row r="14" spans="1:10" x14ac:dyDescent="0.3">
      <c r="A14" s="1333" t="s">
        <v>1</v>
      </c>
      <c r="B14" s="1334" t="s">
        <v>400</v>
      </c>
      <c r="C14" s="1333" t="s">
        <v>522</v>
      </c>
      <c r="D14" s="1334" t="s">
        <v>523</v>
      </c>
      <c r="E14" s="1333" t="s">
        <v>291</v>
      </c>
      <c r="F14" s="1335" t="s">
        <v>524</v>
      </c>
    </row>
    <row r="15" spans="1:10" x14ac:dyDescent="0.3">
      <c r="A15" s="1336" t="s">
        <v>525</v>
      </c>
      <c r="B15" s="1337"/>
      <c r="C15" s="1338"/>
      <c r="D15" s="1337"/>
      <c r="E15" s="1338"/>
      <c r="F15" s="1339"/>
    </row>
    <row r="16" spans="1:10" x14ac:dyDescent="0.3">
      <c r="A16" s="1340"/>
      <c r="B16" s="1323" t="s">
        <v>526</v>
      </c>
      <c r="C16" s="1323" t="s">
        <v>527</v>
      </c>
      <c r="D16" s="1341">
        <f>'General Inputs'!H45</f>
        <v>28</v>
      </c>
      <c r="E16" s="1323" t="s">
        <v>528</v>
      </c>
    </row>
    <row r="17" spans="1:6" x14ac:dyDescent="0.3">
      <c r="B17" s="1323" t="s">
        <v>529</v>
      </c>
      <c r="C17" s="1323" t="s">
        <v>530</v>
      </c>
      <c r="D17" s="1342">
        <f>'General Inputs'!J10</f>
        <v>0.9</v>
      </c>
      <c r="E17" s="1343">
        <v>0.9</v>
      </c>
    </row>
    <row r="18" spans="1:6" x14ac:dyDescent="0.3">
      <c r="B18" s="1323" t="s">
        <v>531</v>
      </c>
      <c r="C18" s="1323" t="s">
        <v>532</v>
      </c>
      <c r="D18" s="1342">
        <f>'General Inputs'!K10</f>
        <v>9.9999999999999978E-2</v>
      </c>
      <c r="E18" s="1343">
        <v>0.1</v>
      </c>
    </row>
    <row r="19" spans="1:6" x14ac:dyDescent="0.3">
      <c r="B19" s="1323" t="s">
        <v>533</v>
      </c>
      <c r="C19" s="1323" t="s">
        <v>534</v>
      </c>
      <c r="D19" s="1344">
        <f>+'General Inputs'!H25</f>
        <v>0.55000000000000004</v>
      </c>
      <c r="E19" s="1345" t="s">
        <v>535</v>
      </c>
      <c r="F19" s="1319" t="s">
        <v>536</v>
      </c>
    </row>
    <row r="20" spans="1:6" x14ac:dyDescent="0.3">
      <c r="B20" s="1323" t="s">
        <v>537</v>
      </c>
      <c r="C20" s="1323" t="s">
        <v>538</v>
      </c>
      <c r="D20" s="1346">
        <f ca="1">+'General Inputs'!H18</f>
        <v>7.4999999999999997E-3</v>
      </c>
      <c r="E20" s="1347">
        <v>7.4999999999999997E-3</v>
      </c>
    </row>
    <row r="21" spans="1:6" x14ac:dyDescent="0.3">
      <c r="B21" s="1323" t="s">
        <v>539</v>
      </c>
      <c r="C21" s="1323" t="s">
        <v>540</v>
      </c>
      <c r="D21" s="1348">
        <f>+'General Inputs'!$C$39</f>
        <v>46174</v>
      </c>
      <c r="E21" s="1349">
        <v>44927</v>
      </c>
    </row>
    <row r="22" spans="1:6" x14ac:dyDescent="0.3">
      <c r="B22" s="1323" t="s">
        <v>541</v>
      </c>
      <c r="C22" s="1323" t="s">
        <v>542</v>
      </c>
      <c r="D22" s="1348">
        <f>+'General Inputs'!$C$37</f>
        <v>46174</v>
      </c>
      <c r="E22" s="1349">
        <v>44927</v>
      </c>
    </row>
    <row r="23" spans="1:6" x14ac:dyDescent="0.3">
      <c r="B23" s="1323" t="s">
        <v>543</v>
      </c>
      <c r="C23" s="1323" t="s">
        <v>544</v>
      </c>
      <c r="D23" s="1348">
        <f>+'General Inputs'!$C$38</f>
        <v>46174</v>
      </c>
      <c r="E23" s="1349">
        <v>44927</v>
      </c>
    </row>
    <row r="24" spans="1:6" x14ac:dyDescent="0.3">
      <c r="B24" s="1323" t="s">
        <v>545</v>
      </c>
      <c r="C24" s="1323" t="s">
        <v>546</v>
      </c>
      <c r="D24" s="1346">
        <f>+AVERAGE('General Inputs'!M36:M37)</f>
        <v>0.03</v>
      </c>
      <c r="E24" s="1347">
        <v>0</v>
      </c>
      <c r="F24" s="1319" t="s">
        <v>547</v>
      </c>
    </row>
    <row r="25" spans="1:6" x14ac:dyDescent="0.3">
      <c r="B25" s="1323" t="s">
        <v>548</v>
      </c>
      <c r="C25" s="1323" t="s">
        <v>549</v>
      </c>
      <c r="D25" s="1346">
        <f>+AVERAGE('General Inputs'!$H$36:$H$42)</f>
        <v>3.376071428571429E-2</v>
      </c>
      <c r="E25" s="1347">
        <v>0.03</v>
      </c>
    </row>
    <row r="26" spans="1:6" x14ac:dyDescent="0.3">
      <c r="A26" s="1336" t="s">
        <v>550</v>
      </c>
      <c r="B26" s="1337"/>
      <c r="C26" s="1338"/>
      <c r="D26" s="1337"/>
      <c r="E26" s="1338"/>
      <c r="F26" s="1339"/>
    </row>
    <row r="27" spans="1:6" x14ac:dyDescent="0.3">
      <c r="A27" s="1340"/>
      <c r="B27" s="1323" t="s">
        <v>551</v>
      </c>
      <c r="C27" s="1323" t="s">
        <v>552</v>
      </c>
      <c r="D27" s="1350" t="str">
        <f>+'Development Inputs'!N97</f>
        <v>Merchant</v>
      </c>
      <c r="E27" s="1323" t="s">
        <v>553</v>
      </c>
    </row>
    <row r="28" spans="1:6" x14ac:dyDescent="0.3">
      <c r="B28" s="1323" t="s">
        <v>554</v>
      </c>
      <c r="C28" s="1323" t="s">
        <v>555</v>
      </c>
      <c r="D28" s="1346">
        <f>+'Development Inputs'!K99</f>
        <v>0.04</v>
      </c>
      <c r="E28" s="1351">
        <v>0.05</v>
      </c>
    </row>
    <row r="29" spans="1:6" x14ac:dyDescent="0.3">
      <c r="B29" s="1323"/>
      <c r="C29" s="1323" t="s">
        <v>556</v>
      </c>
      <c r="D29" s="1350" t="str">
        <f>+'Development Inputs'!N99</f>
        <v>Less Land &amp; Fees</v>
      </c>
      <c r="E29" s="1323" t="s">
        <v>557</v>
      </c>
    </row>
    <row r="30" spans="1:6" x14ac:dyDescent="0.3">
      <c r="B30" s="1323" t="s">
        <v>558</v>
      </c>
      <c r="C30" s="1323" t="s">
        <v>559</v>
      </c>
      <c r="D30" s="1346">
        <f>+'Development Inputs'!B14</f>
        <v>0.05</v>
      </c>
      <c r="E30" s="1351">
        <v>0.05</v>
      </c>
    </row>
    <row r="31" spans="1:6" x14ac:dyDescent="0.3">
      <c r="B31" s="1323" t="s">
        <v>560</v>
      </c>
      <c r="C31" s="1323" t="s">
        <v>561</v>
      </c>
      <c r="D31" s="1346">
        <f>+'Development Inputs'!B13</f>
        <v>0.05</v>
      </c>
      <c r="E31" s="1351">
        <v>0.05</v>
      </c>
    </row>
    <row r="32" spans="1:6" x14ac:dyDescent="0.3">
      <c r="B32" s="1323" t="s">
        <v>562</v>
      </c>
      <c r="D32" s="1346"/>
      <c r="E32" s="1351"/>
    </row>
    <row r="33" spans="1:6" x14ac:dyDescent="0.3">
      <c r="A33" s="1336" t="s">
        <v>563</v>
      </c>
      <c r="B33" s="1337"/>
      <c r="C33" s="1338"/>
      <c r="D33" s="1337"/>
      <c r="E33" s="1338"/>
      <c r="F33" s="1339"/>
    </row>
    <row r="34" spans="1:6" x14ac:dyDescent="0.3">
      <c r="A34" s="1340"/>
      <c r="B34" s="1323" t="s">
        <v>564</v>
      </c>
      <c r="C34" s="1323" t="s">
        <v>565</v>
      </c>
      <c r="D34" s="1346">
        <f>+'Operating Inputs'!H184</f>
        <v>0.03</v>
      </c>
      <c r="E34" s="1351">
        <v>0.03</v>
      </c>
    </row>
    <row r="35" spans="1:6" x14ac:dyDescent="0.3">
      <c r="A35" s="1336" t="s">
        <v>566</v>
      </c>
      <c r="B35" s="1338"/>
      <c r="C35" s="1338"/>
      <c r="D35" s="1337"/>
      <c r="E35" s="1338"/>
      <c r="F35" s="1339"/>
    </row>
    <row r="36" spans="1:6" x14ac:dyDescent="0.3">
      <c r="A36" s="1340"/>
      <c r="B36" s="1323" t="s">
        <v>567</v>
      </c>
      <c r="C36" s="1323" t="s">
        <v>568</v>
      </c>
      <c r="D36" s="1346">
        <f>+'Forward Curves'!$H$4</f>
        <v>3.2500000000000001E-2</v>
      </c>
      <c r="E36" s="1351">
        <v>2.75E-2</v>
      </c>
    </row>
    <row r="37" spans="1:6" x14ac:dyDescent="0.3">
      <c r="B37" s="1323" t="s">
        <v>569</v>
      </c>
      <c r="D37" s="1346" t="s">
        <v>570</v>
      </c>
      <c r="E37" s="1351" t="s">
        <v>570</v>
      </c>
    </row>
    <row r="38" spans="1:6" x14ac:dyDescent="0.3">
      <c r="B38" s="1323"/>
    </row>
    <row r="39" spans="1:6" x14ac:dyDescent="0.3">
      <c r="A39" s="2606" t="s">
        <v>571</v>
      </c>
      <c r="B39" s="2607"/>
      <c r="C39" s="2607"/>
      <c r="D39" s="2607"/>
      <c r="E39" s="2607"/>
      <c r="F39" s="2607"/>
    </row>
    <row r="40" spans="1:6" x14ac:dyDescent="0.3">
      <c r="A40" s="1352" t="s">
        <v>572</v>
      </c>
      <c r="B40" s="1353" t="s">
        <v>573</v>
      </c>
      <c r="C40" s="1352" t="s">
        <v>574</v>
      </c>
    </row>
    <row r="41" spans="1:6" x14ac:dyDescent="0.3">
      <c r="A41" s="1323" t="s">
        <v>575</v>
      </c>
      <c r="C41" s="1323" t="s">
        <v>576</v>
      </c>
    </row>
    <row r="42" spans="1:6" x14ac:dyDescent="0.3">
      <c r="A42" s="1323" t="s">
        <v>577</v>
      </c>
      <c r="C42" s="1323" t="s">
        <v>578</v>
      </c>
      <c r="D42" s="1319"/>
    </row>
    <row r="43" spans="1:6" x14ac:dyDescent="0.3">
      <c r="A43" s="1323" t="s">
        <v>550</v>
      </c>
      <c r="B43" s="1322" t="s">
        <v>579</v>
      </c>
      <c r="C43" s="1323" t="s">
        <v>580</v>
      </c>
      <c r="D43" s="1319"/>
    </row>
    <row r="44" spans="1:6" x14ac:dyDescent="0.3">
      <c r="A44" s="1323" t="s">
        <v>550</v>
      </c>
      <c r="B44" s="1322" t="s">
        <v>581</v>
      </c>
      <c r="C44" s="1323" t="s">
        <v>582</v>
      </c>
    </row>
    <row r="45" spans="1:6" x14ac:dyDescent="0.3">
      <c r="A45" s="1323" t="s">
        <v>550</v>
      </c>
      <c r="B45" s="1322" t="s">
        <v>583</v>
      </c>
      <c r="C45" s="1323" t="s">
        <v>584</v>
      </c>
    </row>
    <row r="46" spans="1:6" x14ac:dyDescent="0.3">
      <c r="A46" s="1323" t="s">
        <v>550</v>
      </c>
      <c r="B46" s="1322" t="s">
        <v>585</v>
      </c>
      <c r="C46" s="1323" t="s">
        <v>586</v>
      </c>
    </row>
    <row r="47" spans="1:6" x14ac:dyDescent="0.3">
      <c r="A47" s="1323" t="s">
        <v>550</v>
      </c>
      <c r="B47" s="1322" t="s">
        <v>587</v>
      </c>
      <c r="C47" s="1323" t="s">
        <v>588</v>
      </c>
    </row>
    <row r="48" spans="1:6" x14ac:dyDescent="0.3">
      <c r="A48" s="1323" t="s">
        <v>589</v>
      </c>
      <c r="C48" s="1323" t="s">
        <v>576</v>
      </c>
    </row>
    <row r="49" spans="1:4" x14ac:dyDescent="0.3">
      <c r="A49" s="1323" t="s">
        <v>590</v>
      </c>
      <c r="B49" s="1322" t="s">
        <v>591</v>
      </c>
      <c r="C49" s="1323" t="s">
        <v>592</v>
      </c>
      <c r="D49" s="1319"/>
    </row>
    <row r="50" spans="1:4" x14ac:dyDescent="0.3">
      <c r="A50" s="1323" t="s">
        <v>590</v>
      </c>
      <c r="B50" s="1322" t="s">
        <v>593</v>
      </c>
      <c r="C50" s="1323" t="s">
        <v>592</v>
      </c>
      <c r="D50" s="1319"/>
    </row>
    <row r="51" spans="1:4" x14ac:dyDescent="0.3">
      <c r="A51" s="1323" t="s">
        <v>590</v>
      </c>
      <c r="C51" s="1323" t="s">
        <v>594</v>
      </c>
      <c r="D51" s="1319"/>
    </row>
    <row r="52" spans="1:4" x14ac:dyDescent="0.3">
      <c r="A52" s="1323" t="s">
        <v>566</v>
      </c>
      <c r="B52" s="1322" t="s">
        <v>595</v>
      </c>
      <c r="C52" s="1323" t="s">
        <v>596</v>
      </c>
      <c r="D52" s="1319"/>
    </row>
    <row r="53" spans="1:4" x14ac:dyDescent="0.3">
      <c r="A53" s="1323" t="s">
        <v>566</v>
      </c>
      <c r="B53" s="1322" t="s">
        <v>597</v>
      </c>
      <c r="C53" s="1323" t="s">
        <v>598</v>
      </c>
      <c r="D53" s="1319"/>
    </row>
    <row r="54" spans="1:4" x14ac:dyDescent="0.3">
      <c r="A54" s="1323" t="s">
        <v>566</v>
      </c>
      <c r="B54" s="1322" t="s">
        <v>599</v>
      </c>
      <c r="C54" s="1323" t="s">
        <v>600</v>
      </c>
      <c r="D54" s="1319"/>
    </row>
    <row r="55" spans="1:4" x14ac:dyDescent="0.3">
      <c r="A55" s="1323" t="s">
        <v>566</v>
      </c>
      <c r="B55" s="1322" t="s">
        <v>601</v>
      </c>
      <c r="C55" s="1323" t="s">
        <v>602</v>
      </c>
      <c r="D55" s="1319"/>
    </row>
    <row r="56" spans="1:4" x14ac:dyDescent="0.3">
      <c r="A56" s="1323" t="s">
        <v>566</v>
      </c>
      <c r="B56" s="1322" t="s">
        <v>603</v>
      </c>
      <c r="C56" s="1323" t="s">
        <v>604</v>
      </c>
      <c r="D56" s="1319"/>
    </row>
    <row r="57" spans="1:4" x14ac:dyDescent="0.3">
      <c r="A57" s="1323" t="s">
        <v>566</v>
      </c>
      <c r="B57" s="1322" t="s">
        <v>605</v>
      </c>
      <c r="C57" s="1323" t="s">
        <v>606</v>
      </c>
      <c r="D57" s="1319"/>
    </row>
    <row r="58" spans="1:4" x14ac:dyDescent="0.3">
      <c r="A58" s="1323" t="s">
        <v>566</v>
      </c>
      <c r="B58" s="1322" t="s">
        <v>607</v>
      </c>
      <c r="C58" s="1323" t="s">
        <v>608</v>
      </c>
      <c r="D58" s="1319"/>
    </row>
    <row r="59" spans="1:4" x14ac:dyDescent="0.3">
      <c r="A59" s="1323" t="s">
        <v>525</v>
      </c>
      <c r="B59" s="1322" t="s">
        <v>609</v>
      </c>
      <c r="C59" s="1323" t="s">
        <v>610</v>
      </c>
      <c r="D59" s="1319"/>
    </row>
    <row r="60" spans="1:4" x14ac:dyDescent="0.3">
      <c r="A60" s="1323" t="s">
        <v>525</v>
      </c>
      <c r="B60" s="1322" t="s">
        <v>611</v>
      </c>
      <c r="C60" s="1323" t="s">
        <v>612</v>
      </c>
    </row>
    <row r="61" spans="1:4" x14ac:dyDescent="0.3">
      <c r="A61" s="1323" t="s">
        <v>613</v>
      </c>
      <c r="C61" s="1323" t="s">
        <v>576</v>
      </c>
    </row>
    <row r="62" spans="1:4" x14ac:dyDescent="0.3">
      <c r="A62" s="1323" t="s">
        <v>614</v>
      </c>
      <c r="C62" s="1323" t="s">
        <v>576</v>
      </c>
    </row>
    <row r="63" spans="1:4" x14ac:dyDescent="0.3">
      <c r="A63" s="1323" t="s">
        <v>615</v>
      </c>
      <c r="C63" s="1323" t="s">
        <v>616</v>
      </c>
      <c r="D63" s="1319"/>
    </row>
    <row r="64" spans="1:4" x14ac:dyDescent="0.3">
      <c r="A64" s="1323" t="s">
        <v>615</v>
      </c>
      <c r="C64" s="1323" t="s">
        <v>617</v>
      </c>
      <c r="D64" s="1319"/>
    </row>
    <row r="65" spans="1:4" x14ac:dyDescent="0.3">
      <c r="A65" s="1323" t="s">
        <v>563</v>
      </c>
      <c r="C65" s="1323" t="s">
        <v>618</v>
      </c>
    </row>
    <row r="66" spans="1:4" x14ac:dyDescent="0.3">
      <c r="A66" s="1323" t="s">
        <v>619</v>
      </c>
      <c r="C66" s="1323" t="s">
        <v>576</v>
      </c>
    </row>
    <row r="67" spans="1:4" x14ac:dyDescent="0.3">
      <c r="A67" s="1323" t="s">
        <v>620</v>
      </c>
      <c r="C67" s="1323" t="s">
        <v>576</v>
      </c>
    </row>
    <row r="68" spans="1:4" x14ac:dyDescent="0.3">
      <c r="A68" s="1323" t="s">
        <v>621</v>
      </c>
      <c r="C68" s="1323" t="s">
        <v>622</v>
      </c>
    </row>
    <row r="69" spans="1:4" x14ac:dyDescent="0.3">
      <c r="A69" s="1323" t="s">
        <v>144</v>
      </c>
      <c r="B69" s="1322" t="s">
        <v>591</v>
      </c>
      <c r="C69" s="1323" t="s">
        <v>623</v>
      </c>
      <c r="D69" s="1319"/>
    </row>
    <row r="70" spans="1:4" x14ac:dyDescent="0.3">
      <c r="A70" s="1323" t="s">
        <v>144</v>
      </c>
      <c r="B70" s="1322" t="s">
        <v>593</v>
      </c>
      <c r="C70" s="1323" t="s">
        <v>623</v>
      </c>
      <c r="D70" s="1319"/>
    </row>
    <row r="71" spans="1:4" x14ac:dyDescent="0.3">
      <c r="A71" s="1323" t="s">
        <v>144</v>
      </c>
      <c r="C71" s="1323" t="s">
        <v>624</v>
      </c>
      <c r="D71" s="1319"/>
    </row>
    <row r="72" spans="1:4" x14ac:dyDescent="0.3">
      <c r="A72" s="1323" t="s">
        <v>625</v>
      </c>
      <c r="C72" s="1323" t="s">
        <v>626</v>
      </c>
      <c r="D72" s="1319"/>
    </row>
    <row r="73" spans="1:4" x14ac:dyDescent="0.3">
      <c r="A73" s="1323" t="s">
        <v>627</v>
      </c>
      <c r="C73" s="1323" t="s">
        <v>628</v>
      </c>
      <c r="D73" s="1319"/>
    </row>
    <row r="74" spans="1:4" x14ac:dyDescent="0.3">
      <c r="A74" s="1323" t="s">
        <v>627</v>
      </c>
      <c r="B74" s="1322" t="s">
        <v>629</v>
      </c>
      <c r="C74" s="1323" t="s">
        <v>630</v>
      </c>
      <c r="D74" s="1319"/>
    </row>
  </sheetData>
  <sortState xmlns:xlrd2="http://schemas.microsoft.com/office/spreadsheetml/2017/richdata2" ref="A41:J74">
    <sortCondition ref="A41:A74"/>
  </sortState>
  <mergeCells count="2">
    <mergeCell ref="A39:F39"/>
    <mergeCell ref="A2:F2"/>
  </mergeCells>
  <phoneticPr fontId="113" type="noConversion"/>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6C165-DEA2-4C5E-B73F-A9D2177EA24E}">
  <sheetPr codeName="Sheet18">
    <tabColor theme="4"/>
  </sheetPr>
  <dimension ref="A3:V87"/>
  <sheetViews>
    <sheetView showGridLines="0" view="pageBreakPreview" zoomScale="85" zoomScaleNormal="100" zoomScaleSheetLayoutView="85" workbookViewId="0">
      <selection activeCell="S8" sqref="S8"/>
    </sheetView>
  </sheetViews>
  <sheetFormatPr defaultRowHeight="14.4" outlineLevelRow="1" x14ac:dyDescent="0.3"/>
  <cols>
    <col min="1" max="2" width="3.5546875" customWidth="1"/>
    <col min="3" max="3" width="30.5546875" customWidth="1"/>
    <col min="4" max="6" width="25.5546875" customWidth="1"/>
    <col min="7" max="7" width="3.5546875" customWidth="1"/>
    <col min="8" max="8" width="35.109375" customWidth="1"/>
    <col min="9" max="9" width="25.5546875" customWidth="1"/>
    <col min="10" max="10" width="15.33203125" customWidth="1"/>
    <col min="11" max="11" width="16.33203125" bestFit="1" customWidth="1"/>
  </cols>
  <sheetData>
    <row r="3" spans="2:11" ht="21.6" thickBot="1" x14ac:dyDescent="0.45">
      <c r="B3" s="2266" t="s">
        <v>631</v>
      </c>
      <c r="C3" s="2267"/>
      <c r="D3" s="2267"/>
      <c r="E3" s="2267"/>
      <c r="F3" s="2267"/>
      <c r="G3" s="2268" t="s">
        <v>632</v>
      </c>
    </row>
    <row r="4" spans="2:11" ht="18" x14ac:dyDescent="0.35">
      <c r="B4" s="2269" t="s">
        <v>633</v>
      </c>
    </row>
    <row r="6" spans="2:11" ht="16.2" x14ac:dyDescent="0.45">
      <c r="C6" s="2270" t="s">
        <v>634</v>
      </c>
      <c r="D6" s="2271" t="s">
        <v>635</v>
      </c>
    </row>
    <row r="7" spans="2:11" x14ac:dyDescent="0.3">
      <c r="C7" s="2272" t="s">
        <v>636</v>
      </c>
      <c r="D7" s="2273" t="str">
        <f>'General Inputs'!B7</f>
        <v>Emblem Meridian</v>
      </c>
    </row>
    <row r="8" spans="2:11" x14ac:dyDescent="0.3">
      <c r="C8" s="2272" t="s">
        <v>637</v>
      </c>
      <c r="D8" s="2274" t="str">
        <f>'General Inputs'!$B$8&amp;", "&amp;'General Inputs'!$D$8</f>
        <v>Meridian, Other</v>
      </c>
    </row>
    <row r="9" spans="2:11" x14ac:dyDescent="0.3">
      <c r="C9" s="2272" t="s">
        <v>638</v>
      </c>
      <c r="D9" s="2275"/>
      <c r="E9" t="s">
        <v>639</v>
      </c>
    </row>
    <row r="10" spans="2:11" x14ac:dyDescent="0.3">
      <c r="C10" s="2272" t="s">
        <v>640</v>
      </c>
      <c r="D10" s="2275"/>
    </row>
    <row r="11" spans="2:11" x14ac:dyDescent="0.3">
      <c r="C11" s="2272" t="s">
        <v>410</v>
      </c>
      <c r="D11" s="2276">
        <f>'General Inputs'!$B$13</f>
        <v>256</v>
      </c>
    </row>
    <row r="12" spans="2:11" x14ac:dyDescent="0.3">
      <c r="C12" s="2272" t="s">
        <v>407</v>
      </c>
      <c r="D12" s="2277">
        <f ca="1">D46</f>
        <v>77959624.342178464</v>
      </c>
    </row>
    <row r="13" spans="2:11" ht="16.2" x14ac:dyDescent="0.45">
      <c r="C13" s="2272" t="s">
        <v>641</v>
      </c>
      <c r="D13" s="2277">
        <f ca="1">F46</f>
        <v>304529.78258663462</v>
      </c>
      <c r="J13" s="2278" t="s">
        <v>642</v>
      </c>
      <c r="K13" s="2279"/>
    </row>
    <row r="14" spans="2:11" x14ac:dyDescent="0.3">
      <c r="C14" s="2272" t="s">
        <v>643</v>
      </c>
      <c r="D14" s="2280">
        <f>INDEX(Summary!$R$29:$R$35,MATCH(J14,Summary!$Q$29:$Q$35,0))</f>
        <v>46661</v>
      </c>
      <c r="J14" s="2281" t="s">
        <v>644</v>
      </c>
      <c r="K14" s="2282"/>
    </row>
    <row r="15" spans="2:11" x14ac:dyDescent="0.3">
      <c r="C15" s="2272" t="s">
        <v>645</v>
      </c>
      <c r="D15" s="2280">
        <f>INDEX(Summary!$R$29:$R$35,MATCH(J15,Summary!$Q$29:$Q$35,0))</f>
        <v>47392</v>
      </c>
      <c r="J15" s="2281" t="s">
        <v>646</v>
      </c>
      <c r="K15" s="2282"/>
    </row>
    <row r="16" spans="2:11" x14ac:dyDescent="0.3">
      <c r="C16" s="2272" t="s">
        <v>647</v>
      </c>
      <c r="D16" s="2280">
        <f>INDEX(Summary!$R$29:$R$35,MATCH(J16,Summary!$Q$29:$Q$35,0))</f>
        <v>47453</v>
      </c>
      <c r="J16" s="2281" t="s">
        <v>648</v>
      </c>
      <c r="K16" s="2282"/>
    </row>
    <row r="17" spans="3:12" x14ac:dyDescent="0.3">
      <c r="C17" s="2272" t="s">
        <v>649</v>
      </c>
      <c r="D17" s="2283">
        <f>Summary!$R$19</f>
        <v>2068.8063802083334</v>
      </c>
      <c r="J17" s="2284"/>
    </row>
    <row r="18" spans="3:12" x14ac:dyDescent="0.3">
      <c r="C18" s="2272" t="s">
        <v>650</v>
      </c>
      <c r="D18" s="2285">
        <f ca="1">D82</f>
        <v>6.6452831626234915E-2</v>
      </c>
      <c r="J18" s="2284"/>
    </row>
    <row r="19" spans="3:12" x14ac:dyDescent="0.3">
      <c r="C19" s="2272" t="s">
        <v>651</v>
      </c>
      <c r="D19" s="2277">
        <f ca="1">D31</f>
        <v>2658062.4746991713</v>
      </c>
      <c r="J19" s="2284"/>
    </row>
    <row r="20" spans="3:12" x14ac:dyDescent="0.3">
      <c r="C20" s="2272" t="s">
        <v>652</v>
      </c>
      <c r="D20" s="2277">
        <f ca="1">D36</f>
        <v>0</v>
      </c>
      <c r="J20" s="2284"/>
    </row>
    <row r="21" spans="3:12" x14ac:dyDescent="0.3">
      <c r="C21" s="2272" t="s">
        <v>653</v>
      </c>
      <c r="D21" s="2286">
        <f ca="1">D19/D12</f>
        <v>3.4095373048906301E-2</v>
      </c>
      <c r="J21" s="2284"/>
    </row>
    <row r="22" spans="3:12" x14ac:dyDescent="0.3">
      <c r="C22" s="2272" t="s">
        <v>654</v>
      </c>
      <c r="D22" s="2286" cm="1">
        <f t="array" aca="1" ref="D22" ca="1">SUMPRODUCT(OperBgt!$81:$81,--(OperBgt!$5:$5&gt;=Summary!$S$34),--(OperBgt!$5:$5&lt;(Summary!$S$34+12)))/D46</f>
        <v>7.1629138585725616E-2</v>
      </c>
      <c r="J22" s="2284"/>
    </row>
    <row r="23" spans="3:12" x14ac:dyDescent="0.3">
      <c r="C23" s="2287" t="s">
        <v>548</v>
      </c>
      <c r="D23" s="2288">
        <f>'Development Inputs'!$J$171/(COUNT('Development Inputs'!$J$134:$J$171)/12)</f>
        <v>1.7016875349453287E-2</v>
      </c>
      <c r="J23" s="2284"/>
    </row>
    <row r="24" spans="3:12" x14ac:dyDescent="0.3">
      <c r="J24" s="2284"/>
    </row>
    <row r="25" spans="3:12" ht="20.100000000000001" customHeight="1" x14ac:dyDescent="0.3">
      <c r="C25" s="2484" t="s">
        <v>655</v>
      </c>
      <c r="D25" s="2485" t="s">
        <v>656</v>
      </c>
      <c r="E25" s="2485" t="s">
        <v>446</v>
      </c>
      <c r="F25" s="2485" t="s">
        <v>657</v>
      </c>
      <c r="H25" s="2289" t="s">
        <v>658</v>
      </c>
      <c r="I25" s="188"/>
      <c r="J25" s="2284"/>
    </row>
    <row r="26" spans="3:12" ht="20.100000000000001" customHeight="1" x14ac:dyDescent="0.3">
      <c r="C26" s="2486" t="s">
        <v>659</v>
      </c>
      <c r="D26" s="2487" cm="1">
        <f t="array" aca="1" ref="D26" ca="1">SUMPRODUCT(Summary!$D$6:$D$25,--(Summary!$A$6:$A$25='TPG Summary'!$J26))+SUMPRODUCT(Summary!$D$6:$D$25,--(Summary!$A$6:$A$25='TPG Summary'!$K26))</f>
        <v>9092959.6243421789</v>
      </c>
      <c r="E26" s="2488">
        <f t="shared" ref="E26:E44" ca="1" si="0">D26/$D$44</f>
        <v>0.11663678091150856</v>
      </c>
      <c r="F26" s="2487">
        <f ca="1">D26/$D$11</f>
        <v>35519.373532586636</v>
      </c>
      <c r="H26" s="2289" t="b">
        <f ca="1">D44=Summary!D25</f>
        <v>1</v>
      </c>
      <c r="J26" s="2284" t="s">
        <v>660</v>
      </c>
      <c r="K26" t="s">
        <v>661</v>
      </c>
      <c r="L26" t="s">
        <v>662</v>
      </c>
    </row>
    <row r="27" spans="3:12" ht="20.100000000000001" customHeight="1" x14ac:dyDescent="0.3">
      <c r="C27" s="2489" t="s">
        <v>663</v>
      </c>
      <c r="D27" s="2490">
        <f>Summary!D22-'TPG Summary'!D28</f>
        <v>49594618.826275229</v>
      </c>
      <c r="E27" s="2491">
        <f t="shared" ca="1" si="0"/>
        <v>0.6361577450475614</v>
      </c>
      <c r="F27" s="2490">
        <f t="shared" ref="F27:F43" si="1">D27/$D$11</f>
        <v>193728.97979013762</v>
      </c>
      <c r="H27" s="2289" t="s">
        <v>664</v>
      </c>
      <c r="J27" s="2291" t="str">
        <f>Summary!A22</f>
        <v>Hard Costs (Input/GMP = $208/$216)</v>
      </c>
      <c r="K27" s="2289"/>
    </row>
    <row r="28" spans="3:12" ht="20.100000000000001" customHeight="1" x14ac:dyDescent="0.3">
      <c r="C28" s="2489" t="s">
        <v>665</v>
      </c>
      <c r="D28" s="2490">
        <f>'Development Inputs'!D49</f>
        <v>2385454.0677857324</v>
      </c>
      <c r="E28" s="2491">
        <f t="shared" ca="1" si="0"/>
        <v>3.0598583406656197E-2</v>
      </c>
      <c r="F28" s="2490">
        <f t="shared" si="1"/>
        <v>9318.1799522880174</v>
      </c>
      <c r="H28" s="2289" t="b">
        <f>'General Inputs'!$H$25=50%</f>
        <v>0</v>
      </c>
      <c r="J28" s="2291"/>
      <c r="K28" s="2289"/>
    </row>
    <row r="29" spans="3:12" ht="20.100000000000001" customHeight="1" x14ac:dyDescent="0.3">
      <c r="C29" s="2489" t="s">
        <v>666</v>
      </c>
      <c r="D29" s="2490">
        <f>Summary!D23</f>
        <v>2599003.6447030478</v>
      </c>
      <c r="E29" s="2491">
        <f t="shared" ca="1" si="0"/>
        <v>3.3337816422710879E-2</v>
      </c>
      <c r="F29" s="2490">
        <f t="shared" si="1"/>
        <v>10152.357987121281</v>
      </c>
      <c r="J29" s="2291" t="str">
        <f>Summary!A23</f>
        <v>Hard Cost Contingency (5.0%)</v>
      </c>
      <c r="K29" s="2289"/>
    </row>
    <row r="30" spans="3:12" ht="20.100000000000001" customHeight="1" x14ac:dyDescent="0.3">
      <c r="C30" s="2492" t="s">
        <v>667</v>
      </c>
      <c r="D30" s="2493">
        <f>SUM(D27:D29)</f>
        <v>54579076.538764007</v>
      </c>
      <c r="E30" s="2488">
        <f t="shared" ca="1" si="0"/>
        <v>0.70009414487692845</v>
      </c>
      <c r="F30" s="2487">
        <f t="shared" si="1"/>
        <v>213199.5177295469</v>
      </c>
      <c r="J30" s="2292"/>
      <c r="K30" s="111"/>
    </row>
    <row r="31" spans="3:12" ht="20.100000000000001" customHeight="1" x14ac:dyDescent="0.3">
      <c r="C31" s="2494" t="s">
        <v>668</v>
      </c>
      <c r="D31" s="2495">
        <f ca="1">Summary!D18</f>
        <v>2658062.4746991713</v>
      </c>
      <c r="E31" s="2496">
        <f t="shared" ca="1" si="0"/>
        <v>3.4095373048906301E-2</v>
      </c>
      <c r="F31" s="2495">
        <f t="shared" ca="1" si="1"/>
        <v>10383.056541793638</v>
      </c>
      <c r="J31" s="2291" t="str">
        <f>Summary!A18</f>
        <v>Overhead &amp; Administration Fees</v>
      </c>
      <c r="K31" s="2289"/>
    </row>
    <row r="32" spans="3:12" ht="20.100000000000001" customHeight="1" x14ac:dyDescent="0.3">
      <c r="C32" s="2489" t="s">
        <v>669</v>
      </c>
      <c r="D32" s="2490">
        <f>Summary!D19</f>
        <v>4459158.9889518414</v>
      </c>
      <c r="E32" s="2491">
        <f t="shared" ca="1" si="0"/>
        <v>5.7198312929008108E-2</v>
      </c>
      <c r="F32" s="2490">
        <f t="shared" si="1"/>
        <v>17418.58980059313</v>
      </c>
      <c r="J32" s="2291" t="str">
        <f>Summary!A19</f>
        <v>Permits &amp; Fees</v>
      </c>
      <c r="K32" s="2289"/>
    </row>
    <row r="33" spans="1:22" ht="20.100000000000001" customHeight="1" x14ac:dyDescent="0.3">
      <c r="C33" s="2489" t="s">
        <v>670</v>
      </c>
      <c r="D33" s="2490">
        <f>Summary!D11</f>
        <v>1500605.0000000002</v>
      </c>
      <c r="E33" s="2491">
        <f t="shared" ca="1" si="0"/>
        <v>1.924848936436099E-2</v>
      </c>
      <c r="F33" s="2490">
        <f t="shared" si="1"/>
        <v>5861.7382812500009</v>
      </c>
      <c r="J33" s="2291" t="str">
        <f>Summary!A11</f>
        <v>Architectural &amp; Engineering</v>
      </c>
      <c r="K33" s="2289"/>
    </row>
    <row r="34" spans="1:22" ht="20.100000000000001" customHeight="1" x14ac:dyDescent="0.3">
      <c r="C34" s="2489" t="s">
        <v>671</v>
      </c>
      <c r="D34" s="2490">
        <f ca="1">Summary!D15</f>
        <v>1418022.6257534006</v>
      </c>
      <c r="E34" s="2491">
        <f t="shared" ca="1" si="0"/>
        <v>1.8189192645791243E-2</v>
      </c>
      <c r="F34" s="2490">
        <f t="shared" ca="1" si="1"/>
        <v>5539.1508818492212</v>
      </c>
      <c r="J34" s="2291" t="str">
        <f>Summary!A15</f>
        <v>Insurance</v>
      </c>
      <c r="K34" s="2289"/>
    </row>
    <row r="35" spans="1:22" ht="20.100000000000001" customHeight="1" x14ac:dyDescent="0.3">
      <c r="C35" s="2489" t="s">
        <v>672</v>
      </c>
      <c r="D35" s="2490">
        <f ca="1">Summary!D12</f>
        <v>1086262.1410115552</v>
      </c>
      <c r="E35" s="2491">
        <f t="shared" ca="1" si="0"/>
        <v>1.3933650273169097E-2</v>
      </c>
      <c r="F35" s="2490">
        <f t="shared" ca="1" si="1"/>
        <v>4243.2114883263876</v>
      </c>
      <c r="J35" s="2291" t="str">
        <f>Summary!A12</f>
        <v>Construction Interest</v>
      </c>
      <c r="K35" s="2289"/>
    </row>
    <row r="36" spans="1:22" s="2294" customFormat="1" ht="20.100000000000001" customHeight="1" x14ac:dyDescent="0.3">
      <c r="A36"/>
      <c r="B36"/>
      <c r="C36" s="2497" t="s">
        <v>673</v>
      </c>
      <c r="D36" s="2490">
        <f ca="1">J36</f>
        <v>0</v>
      </c>
      <c r="E36" s="2491">
        <f t="shared" ca="1" si="0"/>
        <v>0</v>
      </c>
      <c r="F36" s="2490">
        <f t="shared" ca="1" si="1"/>
        <v>0</v>
      </c>
      <c r="G36"/>
      <c r="H36"/>
      <c r="I36"/>
      <c r="J36" s="2293">
        <f ca="1">-SUMIF(Waterfalls!$E$160:$EG$160,"&lt;0",Waterfalls!$E$159:$EG$159)</f>
        <v>0</v>
      </c>
      <c r="K36" s="2289"/>
      <c r="L36"/>
      <c r="M36"/>
      <c r="N36"/>
      <c r="O36"/>
      <c r="P36"/>
      <c r="Q36"/>
      <c r="R36"/>
      <c r="S36"/>
      <c r="T36"/>
      <c r="U36"/>
      <c r="V36"/>
    </row>
    <row r="37" spans="1:22" ht="20.100000000000001" customHeight="1" x14ac:dyDescent="0.3">
      <c r="C37" s="2489" t="s">
        <v>674</v>
      </c>
      <c r="D37" s="2490">
        <f ca="1">Summary!D13</f>
        <v>896583.45041148621</v>
      </c>
      <c r="E37" s="2491">
        <f t="shared" ca="1" si="0"/>
        <v>1.1500612759192171E-2</v>
      </c>
      <c r="F37" s="2490">
        <f t="shared" ca="1" si="1"/>
        <v>3502.279103169868</v>
      </c>
      <c r="J37" s="2291" t="str">
        <f>Summary!A13</f>
        <v>Financing</v>
      </c>
      <c r="K37" s="2289"/>
    </row>
    <row r="38" spans="1:22" ht="20.100000000000001" customHeight="1" x14ac:dyDescent="0.3">
      <c r="C38" s="2489" t="s">
        <v>675</v>
      </c>
      <c r="D38" s="2490">
        <f>Summary!D14</f>
        <v>625000</v>
      </c>
      <c r="E38" s="2491">
        <f t="shared" ca="1" si="0"/>
        <v>8.0169703904262729E-3</v>
      </c>
      <c r="F38" s="2490">
        <f t="shared" si="1"/>
        <v>2441.40625</v>
      </c>
      <c r="J38" s="2291" t="str">
        <f>Summary!A14</f>
        <v>Furniture, Fixtures &amp; Equipment</v>
      </c>
      <c r="K38" s="2289"/>
    </row>
    <row r="39" spans="1:22" ht="20.100000000000001" customHeight="1" x14ac:dyDescent="0.3">
      <c r="C39" s="2497" t="s">
        <v>676</v>
      </c>
      <c r="D39" s="2490">
        <f ca="1">Summary!D17-'TPG Summary'!D36</f>
        <v>329080.53404430853</v>
      </c>
      <c r="E39" s="2491">
        <f t="shared" ca="1" si="0"/>
        <v>4.2211662359982185E-3</v>
      </c>
      <c r="F39" s="2490">
        <f t="shared" ca="1" si="1"/>
        <v>1285.4708361105802</v>
      </c>
      <c r="J39" s="2291" t="str">
        <f>Summary!A17</f>
        <v>Operating Deficits</v>
      </c>
      <c r="K39" s="2289"/>
    </row>
    <row r="40" spans="1:22" ht="20.100000000000001" customHeight="1" x14ac:dyDescent="0.3">
      <c r="C40" s="2489" t="s">
        <v>677</v>
      </c>
      <c r="D40" s="2490">
        <f ca="1">Summary!D10</f>
        <v>83335.391794650437</v>
      </c>
      <c r="E40" s="2491">
        <f t="shared" ca="1" si="0"/>
        <v>1.0689557895876562E-3</v>
      </c>
      <c r="F40" s="2490">
        <f t="shared" ca="1" si="1"/>
        <v>325.52887419785327</v>
      </c>
      <c r="J40" s="2291" t="str">
        <f>Summary!A10</f>
        <v>Ad Valorem Taxes</v>
      </c>
      <c r="K40" s="2289"/>
    </row>
    <row r="41" spans="1:22" ht="20.100000000000001" customHeight="1" x14ac:dyDescent="0.3">
      <c r="C41" s="2489" t="s">
        <v>678</v>
      </c>
      <c r="D41" s="2490">
        <f>Summary!D16</f>
        <v>375000</v>
      </c>
      <c r="E41" s="2491">
        <f t="shared" ca="1" si="0"/>
        <v>4.8101822342557637E-3</v>
      </c>
      <c r="F41" s="2490">
        <f t="shared" si="1"/>
        <v>1464.84375</v>
      </c>
      <c r="J41" s="2291" t="str">
        <f>Summary!A16</f>
        <v>Start-Up Expenses &amp; Marketing</v>
      </c>
      <c r="K41" s="2289"/>
    </row>
    <row r="42" spans="1:22" ht="20.100000000000001" customHeight="1" x14ac:dyDescent="0.3">
      <c r="C42" s="2489" t="s">
        <v>679</v>
      </c>
      <c r="D42" s="2490">
        <f ca="1">Summary!D20</f>
        <v>856477.57240587578</v>
      </c>
      <c r="E42" s="2491">
        <f t="shared" ca="1" si="0"/>
        <v>1.0986168540867328E-2</v>
      </c>
      <c r="F42" s="2490">
        <f t="shared" ca="1" si="1"/>
        <v>3345.6155172104523</v>
      </c>
      <c r="J42" s="2291" t="str">
        <f>Summary!A20</f>
        <v>Soft Cost Contingency (5.0%)</v>
      </c>
      <c r="K42" s="2289"/>
    </row>
    <row r="43" spans="1:22" ht="20.100000000000001" customHeight="1" x14ac:dyDescent="0.3">
      <c r="C43" s="2492" t="s">
        <v>680</v>
      </c>
      <c r="D43" s="2493">
        <f ca="1">SUM(D31:D42)</f>
        <v>14287588.179072289</v>
      </c>
      <c r="E43" s="2498">
        <f t="shared" ca="1" si="0"/>
        <v>0.18326907421156313</v>
      </c>
      <c r="F43" s="2487">
        <f t="shared" ca="1" si="1"/>
        <v>55810.891324501128</v>
      </c>
      <c r="J43" s="2292"/>
      <c r="K43" s="111"/>
    </row>
    <row r="44" spans="1:22" ht="20.100000000000001" customHeight="1" x14ac:dyDescent="0.3">
      <c r="C44" s="2499" t="s">
        <v>681</v>
      </c>
      <c r="D44" s="2500">
        <f ca="1">D43+D30+D26</f>
        <v>77959624.342178464</v>
      </c>
      <c r="E44" s="2501">
        <f t="shared" ca="1" si="0"/>
        <v>1</v>
      </c>
      <c r="F44" s="2500">
        <f ca="1">D44/$D$11</f>
        <v>304529.78258663462</v>
      </c>
      <c r="H44" s="2295">
        <f ca="1">D44-Summary!D25</f>
        <v>0</v>
      </c>
      <c r="J44" s="2292"/>
      <c r="K44" s="111"/>
    </row>
    <row r="45" spans="1:22" ht="20.100000000000001" customHeight="1" x14ac:dyDescent="0.3">
      <c r="C45" s="2502" t="s">
        <v>682</v>
      </c>
      <c r="D45" s="2503">
        <f ca="1">-D36</f>
        <v>0</v>
      </c>
      <c r="E45" s="2504">
        <f ca="1">D45/D46</f>
        <v>0</v>
      </c>
      <c r="F45" s="2503">
        <f ca="1">D45/$D$11</f>
        <v>0</v>
      </c>
      <c r="J45" s="2292"/>
      <c r="K45" s="111"/>
    </row>
    <row r="46" spans="1:22" ht="20.100000000000001" customHeight="1" x14ac:dyDescent="0.3">
      <c r="C46" s="2505" t="s">
        <v>683</v>
      </c>
      <c r="D46" s="2506">
        <f ca="1">SUM(D44:D45)</f>
        <v>77959624.342178464</v>
      </c>
      <c r="E46" s="2507"/>
      <c r="F46" s="2506">
        <f ca="1">D46/$D$11</f>
        <v>304529.78258663462</v>
      </c>
      <c r="J46" s="2292"/>
      <c r="K46" s="111"/>
    </row>
    <row r="47" spans="1:22" x14ac:dyDescent="0.3">
      <c r="F47" s="2296"/>
      <c r="J47" s="2290"/>
    </row>
    <row r="48" spans="1:22" x14ac:dyDescent="0.3">
      <c r="F48" s="2296"/>
      <c r="J48" s="2290"/>
    </row>
    <row r="49" spans="3:13" x14ac:dyDescent="0.3">
      <c r="C49" s="2508"/>
      <c r="D49" s="2509" t="s">
        <v>684</v>
      </c>
      <c r="E49" s="2509"/>
      <c r="J49" s="2290"/>
    </row>
    <row r="50" spans="3:13" ht="20.100000000000001" customHeight="1" x14ac:dyDescent="0.3">
      <c r="C50" s="2510" t="s">
        <v>685</v>
      </c>
      <c r="D50" s="2511" t="s">
        <v>656</v>
      </c>
      <c r="E50" s="2511" t="s">
        <v>657</v>
      </c>
      <c r="F50" s="2296"/>
      <c r="J50" s="2291"/>
      <c r="K50" s="2289"/>
    </row>
    <row r="51" spans="3:13" ht="20.100000000000001" customHeight="1" x14ac:dyDescent="0.3">
      <c r="C51" s="2512" t="s">
        <v>686</v>
      </c>
      <c r="D51" s="2513">
        <f>'Operating Inputs'!L84</f>
        <v>6355373.2000000002</v>
      </c>
      <c r="E51" s="2513">
        <f>D51/$D$11</f>
        <v>24825.676562500001</v>
      </c>
      <c r="J51" s="2291" t="s">
        <v>687</v>
      </c>
      <c r="K51" s="2289"/>
    </row>
    <row r="52" spans="3:13" ht="20.100000000000001" customHeight="1" x14ac:dyDescent="0.3">
      <c r="C52" s="2514" t="str">
        <f>"Vacancy"&amp;" | ("&amp;TEXT('Operating Inputs'!C8+'Operating Inputs'!C10,"0.0%")&amp;")"</f>
        <v>Vacancy | (5.4%)</v>
      </c>
      <c r="D52" s="2515">
        <f>-SUM(D51,D56,D57)*('Operating Inputs'!C8+'Operating Inputs'!C10)</f>
        <v>-398910.41866875003</v>
      </c>
      <c r="E52" s="2515">
        <f t="shared" ref="E52:E66" si="2">D52/$D$11</f>
        <v>-1558.2438229248048</v>
      </c>
      <c r="J52" s="2291" t="s">
        <v>688</v>
      </c>
      <c r="K52" s="2289"/>
      <c r="M52" s="307" t="s">
        <v>689</v>
      </c>
    </row>
    <row r="53" spans="3:13" ht="20.100000000000001" customHeight="1" x14ac:dyDescent="0.3">
      <c r="C53" s="2514" t="s">
        <v>690</v>
      </c>
      <c r="D53" s="2515">
        <f>-SUM(D51,D56,D57)*('Operating Inputs'!C9)</f>
        <v>-37161.960400000004</v>
      </c>
      <c r="E53" s="2515">
        <f t="shared" si="2"/>
        <v>-145.16390781250001</v>
      </c>
      <c r="F53" s="2297"/>
      <c r="J53" s="2291" t="s">
        <v>691</v>
      </c>
      <c r="K53" s="2289"/>
    </row>
    <row r="54" spans="3:13" ht="20.100000000000001" customHeight="1" outlineLevel="1" x14ac:dyDescent="0.3">
      <c r="C54" s="2514" t="s">
        <v>249</v>
      </c>
      <c r="D54" s="2515" t="str">
        <f>Summary!D66</f>
        <v/>
      </c>
      <c r="E54" s="2515" t="str">
        <f>IFERROR(D54/$D$11,"")</f>
        <v/>
      </c>
      <c r="F54" s="2297"/>
      <c r="J54" s="2291"/>
      <c r="K54" s="2289"/>
    </row>
    <row r="55" spans="3:13" ht="20.100000000000001" customHeight="1" x14ac:dyDescent="0.3">
      <c r="C55" s="2516" t="s">
        <v>692</v>
      </c>
      <c r="D55" s="2517">
        <f>SUM(D51:D54)</f>
        <v>5919300.8209312502</v>
      </c>
      <c r="E55" s="2517">
        <f>D55/$D$11</f>
        <v>23122.268831762696</v>
      </c>
      <c r="J55" s="2291" t="s">
        <v>693</v>
      </c>
      <c r="K55" s="2289"/>
    </row>
    <row r="56" spans="3:13" ht="20.100000000000001" customHeight="1" x14ac:dyDescent="0.3">
      <c r="C56" s="2514" t="s">
        <v>694</v>
      </c>
      <c r="D56" s="2515">
        <f>'Operating Inputs'!L96</f>
        <v>152320</v>
      </c>
      <c r="E56" s="2515">
        <f t="shared" si="2"/>
        <v>595</v>
      </c>
      <c r="J56" s="2291" t="s">
        <v>695</v>
      </c>
      <c r="K56" s="2289"/>
    </row>
    <row r="57" spans="3:13" ht="20.100000000000001" customHeight="1" x14ac:dyDescent="0.3">
      <c r="C57" s="2518" t="s">
        <v>696</v>
      </c>
      <c r="D57" s="2519">
        <f>'Operating Inputs'!L92</f>
        <v>924698.88</v>
      </c>
      <c r="E57" s="2520">
        <f t="shared" si="2"/>
        <v>3612.105</v>
      </c>
      <c r="J57" s="2291" t="s">
        <v>697</v>
      </c>
      <c r="K57" s="2289"/>
    </row>
    <row r="58" spans="3:13" ht="20.100000000000001" customHeight="1" x14ac:dyDescent="0.3">
      <c r="C58" s="2521" t="s">
        <v>698</v>
      </c>
      <c r="D58" s="2522">
        <f>SUM(D55:D57)</f>
        <v>6996319.7009312501</v>
      </c>
      <c r="E58" s="2522">
        <f t="shared" si="2"/>
        <v>27329.373831762696</v>
      </c>
      <c r="J58" s="2291"/>
      <c r="K58" s="2289"/>
    </row>
    <row r="59" spans="3:13" ht="20.100000000000001" customHeight="1" x14ac:dyDescent="0.3">
      <c r="C59" s="2514" t="s">
        <v>699</v>
      </c>
      <c r="D59" s="2515">
        <f>'Operating Inputs'!C117</f>
        <v>108032</v>
      </c>
      <c r="E59" s="2515">
        <f t="shared" si="2"/>
        <v>422</v>
      </c>
      <c r="J59" s="2291" t="s">
        <v>700</v>
      </c>
      <c r="K59" s="2289"/>
    </row>
    <row r="60" spans="3:13" ht="20.100000000000001" customHeight="1" x14ac:dyDescent="0.3">
      <c r="C60" s="2514" t="s">
        <v>678</v>
      </c>
      <c r="D60" s="2515">
        <f>'Operating Inputs'!C118</f>
        <v>91392</v>
      </c>
      <c r="E60" s="2515">
        <f t="shared" si="2"/>
        <v>357</v>
      </c>
      <c r="J60" s="2291" t="s">
        <v>678</v>
      </c>
      <c r="K60" s="2289"/>
    </row>
    <row r="61" spans="3:13" ht="20.100000000000001" customHeight="1" x14ac:dyDescent="0.3">
      <c r="C61" s="2514" t="s">
        <v>701</v>
      </c>
      <c r="D61" s="2515">
        <f>'Operating Inputs'!C119</f>
        <v>406272</v>
      </c>
      <c r="E61" s="2515">
        <f t="shared" si="2"/>
        <v>1587</v>
      </c>
      <c r="J61" s="2291" t="s">
        <v>701</v>
      </c>
      <c r="K61" s="2289"/>
    </row>
    <row r="62" spans="3:13" ht="20.100000000000001" customHeight="1" x14ac:dyDescent="0.3">
      <c r="C62" s="2514" t="s">
        <v>702</v>
      </c>
      <c r="D62" s="2515">
        <f>'Operating Inputs'!C120</f>
        <v>121856</v>
      </c>
      <c r="E62" s="2515">
        <f t="shared" si="2"/>
        <v>476</v>
      </c>
      <c r="J62" s="2291" t="s">
        <v>702</v>
      </c>
      <c r="K62" s="2289"/>
    </row>
    <row r="63" spans="3:13" ht="20.100000000000001" customHeight="1" x14ac:dyDescent="0.3">
      <c r="C63" s="2514" t="s">
        <v>703</v>
      </c>
      <c r="D63" s="2515">
        <f>'Operating Inputs'!C122</f>
        <v>218880</v>
      </c>
      <c r="E63" s="2515">
        <f>D63/$D$11</f>
        <v>855</v>
      </c>
      <c r="J63" s="2291" t="str">
        <f>'Operating Inputs'!A122</f>
        <v>Contracts</v>
      </c>
      <c r="K63" s="2289"/>
    </row>
    <row r="64" spans="3:13" ht="20.100000000000001" customHeight="1" x14ac:dyDescent="0.3">
      <c r="C64" s="2514" t="s">
        <v>704</v>
      </c>
      <c r="D64" s="2515">
        <f>'Operating Inputs'!C121</f>
        <v>316416</v>
      </c>
      <c r="E64" s="2515">
        <f t="shared" si="2"/>
        <v>1236</v>
      </c>
      <c r="H64" s="229"/>
      <c r="J64" s="2291" t="s">
        <v>704</v>
      </c>
      <c r="K64" s="2289"/>
    </row>
    <row r="65" spans="3:11" ht="20.100000000000001" customHeight="1" x14ac:dyDescent="0.3">
      <c r="C65" s="2523" t="s">
        <v>705</v>
      </c>
      <c r="D65" s="2524">
        <f>SUM(D59:D64)</f>
        <v>1262848</v>
      </c>
      <c r="E65" s="2524">
        <f t="shared" si="2"/>
        <v>4933</v>
      </c>
      <c r="J65" s="2291"/>
      <c r="K65" s="2289"/>
    </row>
    <row r="66" spans="3:11" ht="20.100000000000001" customHeight="1" x14ac:dyDescent="0.3">
      <c r="C66" s="2525" t="s">
        <v>706</v>
      </c>
      <c r="D66" s="2526">
        <f>'Operating Inputs'!C128</f>
        <v>51200</v>
      </c>
      <c r="E66" s="2526">
        <f t="shared" si="2"/>
        <v>200</v>
      </c>
      <c r="H66" s="229"/>
      <c r="J66" s="2291" t="s">
        <v>706</v>
      </c>
      <c r="K66" s="2289"/>
    </row>
    <row r="67" spans="3:11" ht="20.100000000000001" customHeight="1" x14ac:dyDescent="0.3">
      <c r="C67" s="2514" t="s">
        <v>707</v>
      </c>
      <c r="D67" s="2515">
        <f ca="1">'Operating Inputs'!C125</f>
        <v>324020.08706225583</v>
      </c>
      <c r="E67" s="2515">
        <f ca="1">D67/$D$11</f>
        <v>1265.7034650869368</v>
      </c>
      <c r="J67" s="2291" t="s">
        <v>708</v>
      </c>
      <c r="K67" s="2289"/>
    </row>
    <row r="68" spans="3:11" ht="20.100000000000001" customHeight="1" x14ac:dyDescent="0.3">
      <c r="C68" s="2514" t="s">
        <v>671</v>
      </c>
      <c r="D68" s="2515">
        <f>'Operating Inputs'!C126</f>
        <v>111616</v>
      </c>
      <c r="E68" s="2515">
        <f t="shared" ref="E68:E71" si="3">D68/$D$11</f>
        <v>436</v>
      </c>
      <c r="J68" s="2291" t="s">
        <v>671</v>
      </c>
      <c r="K68" s="2289"/>
    </row>
    <row r="69" spans="3:11" ht="20.100000000000001" customHeight="1" x14ac:dyDescent="0.3">
      <c r="C69" s="2514" t="s">
        <v>709</v>
      </c>
      <c r="D69" s="2515">
        <f>'Operating Inputs'!C127</f>
        <v>209889.59102793751</v>
      </c>
      <c r="E69" s="2515">
        <f t="shared" si="3"/>
        <v>819.8812149528809</v>
      </c>
      <c r="J69" s="2291" t="s">
        <v>710</v>
      </c>
      <c r="K69" s="2289"/>
    </row>
    <row r="70" spans="3:11" ht="20.100000000000001" customHeight="1" x14ac:dyDescent="0.3">
      <c r="C70" s="2527" t="s">
        <v>711</v>
      </c>
      <c r="D70" s="2515">
        <f>'Operating Inputs'!C129</f>
        <v>256</v>
      </c>
      <c r="E70" s="2528">
        <f t="shared" si="3"/>
        <v>1</v>
      </c>
      <c r="J70" s="2291" t="s">
        <v>711</v>
      </c>
      <c r="K70" s="2289"/>
    </row>
    <row r="71" spans="3:11" ht="20.100000000000001" customHeight="1" x14ac:dyDescent="0.3">
      <c r="C71" s="2529" t="s">
        <v>712</v>
      </c>
      <c r="D71" s="2530">
        <f ca="1">SUM(D66:D70)</f>
        <v>696981.67809019331</v>
      </c>
      <c r="E71" s="2530">
        <f t="shared" ca="1" si="3"/>
        <v>2722.5846800398176</v>
      </c>
      <c r="J71" s="2291"/>
      <c r="K71" s="2289"/>
    </row>
    <row r="72" spans="3:11" ht="20.100000000000001" customHeight="1" x14ac:dyDescent="0.3">
      <c r="C72" s="2492" t="s">
        <v>713</v>
      </c>
      <c r="D72" s="2493">
        <f ca="1">D71+D65</f>
        <v>1959829.6780901933</v>
      </c>
      <c r="E72" s="2493">
        <f ca="1">E71+E65</f>
        <v>7655.5846800398176</v>
      </c>
      <c r="H72" s="2298" t="s">
        <v>714</v>
      </c>
      <c r="I72" s="2299"/>
      <c r="J72" s="2291"/>
      <c r="K72" s="2289"/>
    </row>
    <row r="73" spans="3:11" s="2533" customFormat="1" ht="5.0999999999999996" customHeight="1" x14ac:dyDescent="0.15">
      <c r="C73" s="2531"/>
      <c r="D73" s="2532"/>
      <c r="E73" s="2532"/>
      <c r="H73" s="2534"/>
      <c r="I73" s="2535"/>
      <c r="J73" s="2536"/>
      <c r="K73" s="2537"/>
    </row>
    <row r="74" spans="3:11" ht="20.100000000000001" customHeight="1" x14ac:dyDescent="0.3">
      <c r="C74" s="2538" t="s">
        <v>266</v>
      </c>
      <c r="D74" s="2539">
        <f ca="1">D58-D72</f>
        <v>5036490.0228410568</v>
      </c>
      <c r="E74" s="2539">
        <f ca="1">E58-E72</f>
        <v>19673.789151722878</v>
      </c>
      <c r="F74" s="2296"/>
      <c r="H74" s="2300">
        <f ca="1">Summary!$D$49</f>
        <v>5036490.0228410568</v>
      </c>
      <c r="I74" s="2299"/>
      <c r="J74" s="2291"/>
      <c r="K74" s="2289"/>
    </row>
    <row r="75" spans="3:11" s="2533" customFormat="1" ht="5.0999999999999996" customHeight="1" x14ac:dyDescent="0.15">
      <c r="C75" s="2531"/>
      <c r="D75" s="2532"/>
      <c r="E75" s="2532"/>
      <c r="H75" s="2540"/>
      <c r="J75" s="2536"/>
      <c r="K75" s="2537"/>
    </row>
    <row r="76" spans="3:11" ht="20.100000000000001" customHeight="1" x14ac:dyDescent="0.3">
      <c r="C76" s="2541" t="s">
        <v>715</v>
      </c>
      <c r="D76" s="2542"/>
      <c r="E76" s="2542">
        <f ca="1">E74/E58</f>
        <v>0.71987705509950772</v>
      </c>
      <c r="H76" s="2298" t="s">
        <v>716</v>
      </c>
      <c r="I76" s="2299"/>
      <c r="J76" s="2291"/>
      <c r="K76" s="2289"/>
    </row>
    <row r="77" spans="3:11" s="2533" customFormat="1" ht="4.2" customHeight="1" x14ac:dyDescent="0.15">
      <c r="C77" s="2531"/>
      <c r="D77" s="2532"/>
      <c r="E77" s="2532"/>
      <c r="H77" s="2543"/>
      <c r="I77" s="2535"/>
      <c r="J77" s="2544"/>
    </row>
    <row r="78" spans="3:11" ht="20.100000000000001" customHeight="1" x14ac:dyDescent="0.3">
      <c r="C78" s="2545" t="s">
        <v>717</v>
      </c>
      <c r="D78" s="2546"/>
      <c r="E78" s="2547">
        <f ca="1">D80</f>
        <v>6.6452831626234915E-2</v>
      </c>
      <c r="H78" s="2301">
        <f ca="1">Summary!$D$51</f>
        <v>6.6452831626234915E-2</v>
      </c>
      <c r="I78" s="2299"/>
      <c r="J78" s="2290"/>
    </row>
    <row r="79" spans="3:11" ht="16.2" x14ac:dyDescent="0.3">
      <c r="C79" s="2548"/>
      <c r="D79" s="2549" t="s">
        <v>718</v>
      </c>
      <c r="E79" s="2549" t="s">
        <v>719</v>
      </c>
      <c r="J79" s="2302"/>
    </row>
    <row r="80" spans="3:11" x14ac:dyDescent="0.3">
      <c r="C80" s="2550" t="s">
        <v>720</v>
      </c>
      <c r="D80" s="2551">
        <f ca="1">D74/'Development Inputs'!$V$126</f>
        <v>6.6452831626234915E-2</v>
      </c>
      <c r="E80" s="2552">
        <f ca="1">SUM(OFFSET(OperBgt!$G$81,0,Summary!$S$34,1,12))/D44</f>
        <v>7.2030558467355357E-2</v>
      </c>
    </row>
    <row r="81" spans="3:5" x14ac:dyDescent="0.3">
      <c r="C81" s="769"/>
      <c r="D81" s="2553"/>
      <c r="E81" s="2553"/>
    </row>
    <row r="82" spans="3:5" x14ac:dyDescent="0.3">
      <c r="C82" s="2554" t="s">
        <v>721</v>
      </c>
      <c r="D82" s="2555">
        <f ca="1">D74/('Development Inputs'!$V$126+D45)</f>
        <v>6.6452831626234915E-2</v>
      </c>
      <c r="E82" s="2556">
        <f ca="1">SUM(OFFSET(OperBgt!$G$81,0,Summary!$S$34,1,12))/D46</f>
        <v>7.2030558467355357E-2</v>
      </c>
    </row>
    <row r="86" spans="3:5" x14ac:dyDescent="0.3">
      <c r="C86" s="2303" t="s">
        <v>722</v>
      </c>
      <c r="D86" s="2304" cm="1">
        <f t="array" aca="1" ref="D86" ca="1">SUMPRODUCT('Development Inputs'!$V$1:$V$280,--('Development Inputs'!$Q$1:$Q$280='Development Inputs'!$Q$171))</f>
        <v>1</v>
      </c>
    </row>
    <row r="87" spans="3:5" x14ac:dyDescent="0.3">
      <c r="C87" s="2305" t="s">
        <v>723</v>
      </c>
      <c r="D87" s="2306" cm="1">
        <f t="array" aca="1" ref="D87" ca="1">SUMPRODUCT('Development Inputs'!$X$1:$X$280,--('Development Inputs'!$Q$1:$Q$280='Development Inputs'!$Q$171))</f>
        <v>1</v>
      </c>
    </row>
  </sheetData>
  <sheetProtection algorithmName="SHA-512" hashValue="9g6ucGKjlLjUyXc5uSQrhMuy5QRdKj87lCQmpC3j6cl5+HrIX73g5evIeVb+pxGuzTON0R/NP2F+Snz0fWE14w==" saltValue="rwlPZ93fZ+8OOqnUJQ8yLQ==" spinCount="100000" sheet="1" objects="1" scenarios="1"/>
  <pageMargins left="0.7" right="0.7" top="0.75" bottom="0.75" header="0.3" footer="0.3"/>
  <pageSetup scale="45" orientation="portrait" horizontalDpi="1200" verticalDpi="1200"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1C21C9-654E-42DA-8074-BD236E12DA34}">
  <sheetPr codeName="Sheet20"/>
  <dimension ref="B1:BI6"/>
  <sheetViews>
    <sheetView topLeftCell="O1" zoomScale="85" zoomScaleNormal="85" workbookViewId="0">
      <selection activeCell="X13" sqref="X13"/>
    </sheetView>
  </sheetViews>
  <sheetFormatPr defaultRowHeight="14.4" x14ac:dyDescent="0.3"/>
  <cols>
    <col min="2" max="3" width="0" hidden="1" customWidth="1"/>
    <col min="4" max="4" width="16.6640625" bestFit="1" customWidth="1"/>
    <col min="5" max="10" width="11.5546875" hidden="1" customWidth="1"/>
    <col min="11" max="11" width="0" hidden="1" customWidth="1"/>
    <col min="12" max="12" width="14.33203125" hidden="1" customWidth="1"/>
    <col min="13" max="13" width="0" hidden="1" customWidth="1"/>
    <col min="14" max="14" width="13.6640625" bestFit="1" customWidth="1"/>
    <col min="15" max="15" width="19.33203125" bestFit="1" customWidth="1"/>
    <col min="16" max="16" width="27" bestFit="1" customWidth="1"/>
    <col min="17" max="17" width="14.44140625" bestFit="1" customWidth="1"/>
    <col min="18" max="18" width="13.44140625" bestFit="1" customWidth="1"/>
    <col min="19" max="30" width="14.6640625" customWidth="1"/>
    <col min="31" max="32" width="14.6640625" hidden="1" customWidth="1"/>
    <col min="33" max="37" width="14.6640625" customWidth="1"/>
    <col min="38" max="38" width="11.33203125" hidden="1" customWidth="1"/>
    <col min="39" max="41" width="0" hidden="1" customWidth="1"/>
    <col min="42" max="42" width="12.33203125" hidden="1" customWidth="1"/>
    <col min="43" max="43" width="11.33203125" hidden="1" customWidth="1"/>
    <col min="44" max="51" width="0" hidden="1" customWidth="1"/>
    <col min="52" max="52" width="9.6640625" hidden="1" customWidth="1"/>
    <col min="53" max="59" width="0" hidden="1" customWidth="1"/>
    <col min="60" max="60" width="11.6640625" hidden="1" customWidth="1"/>
    <col min="61" max="61" width="0" hidden="1" customWidth="1"/>
  </cols>
  <sheetData>
    <row r="1" spans="2:61" ht="15" thickBot="1" x14ac:dyDescent="0.35"/>
    <row r="2" spans="2:61" ht="58.2" thickBot="1" x14ac:dyDescent="0.35">
      <c r="B2" s="1641" t="s">
        <v>724</v>
      </c>
      <c r="C2" s="1642" t="s">
        <v>725</v>
      </c>
      <c r="D2" s="1643" t="s">
        <v>726</v>
      </c>
      <c r="E2" s="1644" t="s">
        <v>727</v>
      </c>
      <c r="F2" s="1645" t="s">
        <v>728</v>
      </c>
      <c r="G2" s="1643" t="s">
        <v>729</v>
      </c>
      <c r="H2" s="1644" t="s">
        <v>730</v>
      </c>
      <c r="I2" s="1644" t="s">
        <v>731</v>
      </c>
      <c r="J2" s="1644" t="s">
        <v>732</v>
      </c>
      <c r="K2" s="1642" t="s">
        <v>733</v>
      </c>
      <c r="L2" s="1646" t="s">
        <v>734</v>
      </c>
      <c r="M2" s="1647" t="s">
        <v>735</v>
      </c>
      <c r="N2" s="1647" t="s">
        <v>736</v>
      </c>
      <c r="O2" s="1647" t="s">
        <v>737</v>
      </c>
      <c r="P2" s="1647" t="s">
        <v>738</v>
      </c>
      <c r="Q2" s="1647" t="s">
        <v>739</v>
      </c>
      <c r="R2" s="1647" t="s">
        <v>740</v>
      </c>
      <c r="S2" s="1647" t="s">
        <v>741</v>
      </c>
      <c r="T2" s="1647" t="s">
        <v>742</v>
      </c>
      <c r="U2" s="1647" t="s">
        <v>643</v>
      </c>
      <c r="V2" s="1647" t="s">
        <v>743</v>
      </c>
      <c r="W2" s="1647" t="s">
        <v>744</v>
      </c>
      <c r="X2" s="1647" t="s">
        <v>504</v>
      </c>
      <c r="Y2" s="1647" t="s">
        <v>347</v>
      </c>
      <c r="Z2" s="1647" t="s">
        <v>745</v>
      </c>
      <c r="AA2" s="1647" t="s">
        <v>746</v>
      </c>
      <c r="AB2" s="1647" t="s">
        <v>747</v>
      </c>
      <c r="AC2" s="1647" t="s">
        <v>748</v>
      </c>
      <c r="AD2" s="1647" t="s">
        <v>749</v>
      </c>
      <c r="AE2" s="1648" t="s">
        <v>750</v>
      </c>
      <c r="AF2" s="1648" t="s">
        <v>751</v>
      </c>
      <c r="AG2" s="1649" t="s">
        <v>752</v>
      </c>
      <c r="AH2" s="1649" t="s">
        <v>647</v>
      </c>
      <c r="AI2" s="1647" t="s">
        <v>753</v>
      </c>
      <c r="AJ2" s="1650" t="s">
        <v>754</v>
      </c>
      <c r="AK2" s="1650" t="s">
        <v>755</v>
      </c>
      <c r="AL2" s="1650" t="s">
        <v>756</v>
      </c>
      <c r="AM2" s="1647" t="s">
        <v>757</v>
      </c>
      <c r="AN2" s="1642" t="s">
        <v>758</v>
      </c>
      <c r="AO2" s="1642" t="s">
        <v>759</v>
      </c>
      <c r="AP2" s="1642" t="s">
        <v>760</v>
      </c>
      <c r="AQ2" s="1642" t="s">
        <v>761</v>
      </c>
      <c r="AR2" s="1647" t="s">
        <v>762</v>
      </c>
      <c r="AS2" s="1651" t="s">
        <v>763</v>
      </c>
      <c r="AT2" s="1651" t="s">
        <v>764</v>
      </c>
      <c r="AU2" s="1651" t="s">
        <v>765</v>
      </c>
      <c r="AV2" s="1642" t="s">
        <v>766</v>
      </c>
      <c r="AW2" s="1642" t="s">
        <v>767</v>
      </c>
      <c r="AX2" s="1647" t="s">
        <v>768</v>
      </c>
      <c r="AY2" s="1647" t="s">
        <v>769</v>
      </c>
      <c r="AZ2" s="1650" t="s">
        <v>770</v>
      </c>
      <c r="BA2" s="1650" t="s">
        <v>771</v>
      </c>
      <c r="BB2" s="1650" t="s">
        <v>772</v>
      </c>
      <c r="BC2" s="1650" t="s">
        <v>773</v>
      </c>
      <c r="BD2" s="1650" t="s">
        <v>774</v>
      </c>
      <c r="BE2" s="1650" t="s">
        <v>775</v>
      </c>
      <c r="BF2" s="1650" t="s">
        <v>776</v>
      </c>
      <c r="BG2" s="1650" t="s">
        <v>777</v>
      </c>
      <c r="BH2" s="1650" t="s">
        <v>778</v>
      </c>
      <c r="BI2" s="1652" t="s">
        <v>779</v>
      </c>
    </row>
    <row r="3" spans="2:61" x14ac:dyDescent="0.3">
      <c r="D3" s="229" t="str">
        <f>'General Inputs'!$B$7</f>
        <v>Emblem Meridian</v>
      </c>
      <c r="F3" t="s">
        <v>780</v>
      </c>
      <c r="K3" s="229"/>
      <c r="L3" s="229"/>
      <c r="N3" s="229">
        <f>Summary!$M$23</f>
        <v>256</v>
      </c>
      <c r="O3" s="227">
        <f>Summary!$D$7</f>
        <v>8850000</v>
      </c>
      <c r="P3" s="227">
        <f ca="1">Summary!$D$25</f>
        <v>77959624.342178479</v>
      </c>
      <c r="Q3" s="240">
        <f>'General Inputs'!$H$25</f>
        <v>0.55000000000000004</v>
      </c>
      <c r="R3" s="240">
        <f>Summary!$E$32</f>
        <v>9.9999999999999978E-2</v>
      </c>
      <c r="S3" s="227">
        <f ca="1">(Summary!$K$44/Summary!$D$25)-1</f>
        <v>0.30913146591185425</v>
      </c>
      <c r="T3" s="376">
        <f>Summary!$R$30</f>
        <v>46661</v>
      </c>
      <c r="U3" s="376">
        <f>Summary!$R$31</f>
        <v>46661</v>
      </c>
      <c r="V3" s="376">
        <f>Summary!$R$32</f>
        <v>47058</v>
      </c>
      <c r="W3" s="376">
        <f>Summary!$R$33</f>
        <v>47392</v>
      </c>
      <c r="X3" s="198">
        <f ca="1">Summary!$D$51</f>
        <v>6.6452831626234915E-2</v>
      </c>
      <c r="Y3" s="198">
        <f ca="1">Summary!$S$51</f>
        <v>0.30587547483465172</v>
      </c>
      <c r="Z3" s="198">
        <f ca="1">LOOKUP(MonthStabilization+12,OperBgt!$G$5:$EH$5,OperBgt!$G$82:$EH$82)</f>
        <v>7.2030558467355343E-2</v>
      </c>
      <c r="AA3" s="198">
        <f ca="1">Waterfalls!$C$315</f>
        <v>0.24269524365049522</v>
      </c>
      <c r="AB3" s="229">
        <f>Summary!$Q$23</f>
        <v>938.984375</v>
      </c>
      <c r="AC3" s="198">
        <f>Summary!$S$15</f>
        <v>5.5E-2</v>
      </c>
      <c r="AD3" s="229">
        <f>Summary!$J$7</f>
        <v>593722.80000000005</v>
      </c>
      <c r="AE3" s="233">
        <f>'General Inputs'!$D$16</f>
        <v>13.63</v>
      </c>
      <c r="AF3" s="233">
        <f>'General Inputs'!$C$16</f>
        <v>13.63</v>
      </c>
      <c r="AG3" s="376">
        <f>Summary!$R$29</f>
        <v>46631</v>
      </c>
      <c r="AH3" s="376">
        <f>Summary!$R$34</f>
        <v>47453</v>
      </c>
      <c r="AI3" s="227">
        <f>'Development Inputs'!$G$52</f>
        <v>205.68494951461003</v>
      </c>
      <c r="AJ3" t="str">
        <f>IF('Development Inputs'!$G$49="Yes","In-House","3rd Party")</f>
        <v>In-House</v>
      </c>
      <c r="AK3" s="229">
        <f>Summary!$S$12</f>
        <v>3</v>
      </c>
    </row>
    <row r="6" spans="2:61" x14ac:dyDescent="0.3">
      <c r="N6" t="e" cm="1">
        <f t="array" aca="1" ref="N6" ca="1">_xll.DCPush(N$3,"Deal",$D$3,N$2)</f>
        <v>#NAME?</v>
      </c>
      <c r="O6" t="e" cm="1">
        <f t="array" aca="1" ref="O6" ca="1">_xll.DCPush(O$3,"Deal",$D$3,O$2)</f>
        <v>#NAME?</v>
      </c>
      <c r="P6" t="e" cm="1">
        <f t="array" aca="1" ref="P6" ca="1">_xll.DCPush(P$3,"Deal",$D$3,P$2)</f>
        <v>#NAME?</v>
      </c>
      <c r="Q6" t="e" cm="1">
        <f t="array" aca="1" ref="Q6" ca="1">_xll.DCPush(Q$3,"Deal",$D$3,Q$2)</f>
        <v>#NAME?</v>
      </c>
      <c r="R6" t="e" cm="1">
        <f t="array" aca="1" ref="R6" ca="1">_xll.DCPush(R$3,"Deal",$D$3,R$2)</f>
        <v>#NAME?</v>
      </c>
      <c r="S6" t="e" cm="1">
        <f t="array" aca="1" ref="S6" ca="1">_xll.DCPush(S$3,"Deal",$D$3,S$2)</f>
        <v>#NAME?</v>
      </c>
      <c r="T6" t="e" cm="1">
        <f t="array" aca="1" ref="T6" ca="1">_xll.DCPush(T$3,"Deal",$D$3,T$2)</f>
        <v>#NAME?</v>
      </c>
      <c r="U6" t="e" cm="1">
        <f t="array" aca="1" ref="U6" ca="1">_xll.DCPush(U$3,"Deal",$D$3,U$2)</f>
        <v>#NAME?</v>
      </c>
      <c r="V6" t="e" cm="1">
        <f t="array" aca="1" ref="V6" ca="1">_xll.DCPush(V$3,"Deal",$D$3,V$2)</f>
        <v>#NAME?</v>
      </c>
      <c r="W6" t="e" cm="1">
        <f t="array" aca="1" ref="W6" ca="1">_xll.DCPush(W$3,"Deal",$D$3,W$2)</f>
        <v>#NAME?</v>
      </c>
      <c r="X6" t="e" cm="1">
        <f t="array" aca="1" ref="X6" ca="1">_xll.DCPush(X$3,"Deal",$D$3,X$2)</f>
        <v>#NAME?</v>
      </c>
      <c r="Y6" t="e" cm="1">
        <f t="array" aca="1" ref="Y6" ca="1">_xll.DCPush(Y$3,"Deal",$D$3,Y$2)</f>
        <v>#NAME?</v>
      </c>
      <c r="Z6" t="e" cm="1">
        <f t="array" aca="1" ref="Z6" ca="1">_xll.DCPush(Z$3,"Deal",$D$3,Z$2)</f>
        <v>#NAME?</v>
      </c>
      <c r="AA6" t="e" cm="1">
        <f t="array" aca="1" ref="AA6" ca="1">_xll.DCPush(AA$3,"Deal",$D$3,AA$2)</f>
        <v>#NAME?</v>
      </c>
      <c r="AB6" t="e" cm="1">
        <f t="array" aca="1" ref="AB6" ca="1">_xll.DCPush(AB$3,"Deal",$D$3,AB$2)</f>
        <v>#NAME?</v>
      </c>
      <c r="AC6" t="e" cm="1">
        <f t="array" aca="1" ref="AC6" ca="1">_xll.DCPush(AC$3,"Deal",$D$3,AC$2)</f>
        <v>#NAME?</v>
      </c>
      <c r="AD6" t="e" cm="1">
        <f t="array" aca="1" ref="AD6" ca="1">_xll.DCPush(AD$3,"Deal",$D$3,AD$2)</f>
        <v>#NAME?</v>
      </c>
      <c r="AG6" t="e" cm="1">
        <f t="array" aca="1" ref="AG6" ca="1">_xll.DCPush(AG$3,"Deal",$D$3,AG$2)</f>
        <v>#NAME?</v>
      </c>
      <c r="AH6" t="e" cm="1">
        <f t="array" aca="1" ref="AH6" ca="1">_xll.DCPush(AH$3,"Deal",$D$3,AH$2)</f>
        <v>#NAME?</v>
      </c>
      <c r="AI6" t="e" cm="1">
        <f t="array" aca="1" ref="AI6" ca="1">_xll.DCPush(AI$3,"Deal",$D$3,AI$2)</f>
        <v>#NAME?</v>
      </c>
      <c r="AJ6" t="e" cm="1">
        <f t="array" aca="1" ref="AJ6" ca="1">_xll.DCPush(AJ$3,"Deal",$D$3,AJ$2)</f>
        <v>#NAME?</v>
      </c>
      <c r="AK6" t="e" cm="1">
        <f t="array" aca="1" ref="AK6" ca="1">_xll.DCPush(AK$3,"Deal",$D$3,AK$2)</f>
        <v>#NAME?</v>
      </c>
    </row>
  </sheetData>
  <sheetProtection algorithmName="SHA-512" hashValue="LF05RAqkWprN7I4ncwvC9WalBEqNLJYkVa/izSKwH8uX+EGkaOJoch6Yk1idbtVljVyBopNaOX0LtHi65f6hFw==" saltValue="kHwyCaGwBYnF4WjcWrxpOg==" spinCount="100000" sheet="1" objects="1" scenarios="1"/>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3"/>
  <dimension ref="A1:AA95"/>
  <sheetViews>
    <sheetView showGridLines="0" zoomScale="70" zoomScaleNormal="70" workbookViewId="0">
      <selection activeCell="S8" sqref="S8"/>
    </sheetView>
  </sheetViews>
  <sheetFormatPr defaultColWidth="9.33203125" defaultRowHeight="14.4" x14ac:dyDescent="0.3"/>
  <cols>
    <col min="1" max="7" width="13.6640625" style="182" customWidth="1"/>
    <col min="8" max="8" width="2.6640625" style="182" customWidth="1"/>
    <col min="9" max="11" width="13.6640625" style="182" customWidth="1"/>
    <col min="12" max="12" width="2.6640625" style="182" customWidth="1"/>
    <col min="13" max="13" width="11" style="182" customWidth="1"/>
    <col min="14" max="15" width="13.6640625" style="182" customWidth="1"/>
    <col min="16" max="16" width="2.6640625" style="182" customWidth="1"/>
    <col min="17" max="17" width="11" style="182" customWidth="1"/>
    <col min="18" max="29" width="13.6640625" style="182" customWidth="1"/>
    <col min="30" max="16384" width="9.33203125" style="182"/>
  </cols>
  <sheetData>
    <row r="1" spans="1:22" ht="28.8" x14ac:dyDescent="0.55000000000000004">
      <c r="A1" s="2609" t="str">
        <f>'General Inputs'!$B$7&amp;" - "&amp;'General Inputs'!$B$8&amp;", "&amp;'General Inputs'!D8</f>
        <v>Emblem Meridian - Meridian, Other</v>
      </c>
      <c r="B1" s="2610"/>
      <c r="C1" s="2610"/>
      <c r="D1" s="2610"/>
      <c r="E1" s="2610"/>
      <c r="F1" s="2610"/>
      <c r="G1" s="2610"/>
      <c r="H1" s="2610"/>
      <c r="I1" s="2610"/>
      <c r="J1" s="2610"/>
      <c r="K1" s="2610"/>
      <c r="L1" s="2610"/>
      <c r="M1" s="2610"/>
      <c r="N1" s="2610"/>
      <c r="O1" s="2610"/>
      <c r="P1" s="2610"/>
      <c r="Q1" s="2610"/>
      <c r="R1" s="2610"/>
      <c r="S1" s="2611"/>
    </row>
    <row r="2" spans="1:22" ht="21.6" thickBot="1" x14ac:dyDescent="0.45">
      <c r="A2" s="2612" t="s">
        <v>781</v>
      </c>
      <c r="B2" s="2613"/>
      <c r="C2" s="2613"/>
      <c r="D2" s="2613"/>
      <c r="E2" s="2613"/>
      <c r="F2" s="2613"/>
      <c r="G2" s="2613"/>
      <c r="H2" s="2613"/>
      <c r="I2" s="2613"/>
      <c r="J2" s="2613"/>
      <c r="K2" s="2613"/>
      <c r="L2" s="2613"/>
      <c r="M2" s="2613"/>
      <c r="N2" s="2613"/>
      <c r="O2" s="2613"/>
      <c r="P2" s="2613"/>
      <c r="Q2" s="2613"/>
      <c r="R2" s="2613"/>
      <c r="S2" s="2614"/>
    </row>
    <row r="3" spans="1:22" ht="7.5" customHeight="1" thickTop="1" x14ac:dyDescent="0.3"/>
    <row r="4" spans="1:22" ht="15.6" x14ac:dyDescent="0.3">
      <c r="A4" s="115" t="s">
        <v>219</v>
      </c>
      <c r="B4" s="389"/>
      <c r="C4" s="389"/>
      <c r="D4" s="389"/>
      <c r="E4" s="389"/>
      <c r="F4" s="389"/>
      <c r="G4" s="390"/>
      <c r="I4" s="2615" t="s">
        <v>782</v>
      </c>
      <c r="J4" s="2616"/>
      <c r="K4" s="2616"/>
      <c r="L4" s="2616"/>
      <c r="M4" s="2616"/>
      <c r="N4" s="2616"/>
      <c r="O4" s="2616"/>
      <c r="P4" s="2616"/>
      <c r="Q4" s="2616"/>
      <c r="R4" s="2616"/>
      <c r="S4" s="2617"/>
      <c r="T4" s="208"/>
      <c r="U4" s="2618"/>
      <c r="V4" s="2618"/>
    </row>
    <row r="5" spans="1:22" ht="3.75" customHeight="1" thickBot="1" x14ac:dyDescent="0.35">
      <c r="A5" s="119"/>
      <c r="B5" s="119"/>
      <c r="C5" s="119"/>
      <c r="D5" s="119"/>
      <c r="E5" s="119"/>
      <c r="F5" s="119"/>
      <c r="G5" s="119"/>
      <c r="I5" s="119"/>
      <c r="J5" s="119"/>
      <c r="K5" s="119"/>
      <c r="L5" s="119"/>
      <c r="M5" s="119"/>
      <c r="N5" s="119"/>
      <c r="O5" s="119"/>
      <c r="P5" s="119"/>
      <c r="Q5" s="119"/>
      <c r="R5" s="119"/>
      <c r="S5" s="119"/>
      <c r="T5" s="208"/>
      <c r="U5" s="391"/>
      <c r="V5" s="392"/>
    </row>
    <row r="6" spans="1:22" ht="15" thickTop="1" x14ac:dyDescent="0.3">
      <c r="A6" s="393" t="s">
        <v>783</v>
      </c>
      <c r="B6" s="512"/>
      <c r="D6" s="394" t="s">
        <v>173</v>
      </c>
      <c r="E6" s="394" t="s">
        <v>784</v>
      </c>
      <c r="F6" s="395" t="s">
        <v>785</v>
      </c>
      <c r="G6" s="396" t="s">
        <v>446</v>
      </c>
      <c r="I6" s="207" t="s">
        <v>786</v>
      </c>
      <c r="L6" s="207" t="s">
        <v>223</v>
      </c>
      <c r="O6" s="397"/>
      <c r="P6" s="397"/>
      <c r="R6" s="397" t="s">
        <v>787</v>
      </c>
      <c r="S6" s="397" t="s">
        <v>788</v>
      </c>
    </row>
    <row r="7" spans="1:22" x14ac:dyDescent="0.3">
      <c r="A7" s="206" t="s">
        <v>660</v>
      </c>
      <c r="B7" s="512"/>
      <c r="D7" s="398">
        <f>LandPrice</f>
        <v>8850000</v>
      </c>
      <c r="E7" s="398">
        <f>D7/Units</f>
        <v>34570.3125</v>
      </c>
      <c r="F7" s="399">
        <f>D7/TotalNRSF</f>
        <v>36.816706880772109</v>
      </c>
      <c r="G7" s="400">
        <f ca="1">D7/$D$25</f>
        <v>0.113520300728436</v>
      </c>
      <c r="I7" s="208" t="s">
        <v>789</v>
      </c>
      <c r="J7" s="401">
        <f>'General Inputs'!D17</f>
        <v>593722.80000000005</v>
      </c>
      <c r="L7" s="208" t="s">
        <v>224</v>
      </c>
      <c r="N7" s="402">
        <f>FirstUnits</f>
        <v>14</v>
      </c>
      <c r="P7" s="208" t="s">
        <v>790</v>
      </c>
      <c r="S7" s="403" t="str">
        <f>TEXT('General Inputs'!D18,("0.00"))&amp;" du/ac"</f>
        <v>18.78 du/ac</v>
      </c>
      <c r="U7" s="398"/>
    </row>
    <row r="8" spans="1:22" x14ac:dyDescent="0.3">
      <c r="A8" s="206" t="s">
        <v>661</v>
      </c>
      <c r="B8" s="512"/>
      <c r="D8" s="404">
        <f ca="1">TotalLand-LandPrice</f>
        <v>242959.62434217893</v>
      </c>
      <c r="E8" s="404">
        <f ca="1">D8/Units</f>
        <v>949.06103258663643</v>
      </c>
      <c r="F8" s="405">
        <f ca="1">D8/TotalNRSF</f>
        <v>1.0107314433071759</v>
      </c>
      <c r="G8" s="400">
        <f ca="1">D8/$D$25</f>
        <v>3.1164801830725411E-3</v>
      </c>
      <c r="I8" s="208" t="s">
        <v>791</v>
      </c>
      <c r="J8" s="403">
        <f>'General Inputs'!D16</f>
        <v>13.63</v>
      </c>
      <c r="L8" s="208" t="s">
        <v>792</v>
      </c>
      <c r="N8" s="406">
        <f>ConstPeriod</f>
        <v>25</v>
      </c>
      <c r="P8" s="208" t="s">
        <v>793</v>
      </c>
      <c r="R8" s="407">
        <f>'General Inputs'!D23</f>
        <v>54</v>
      </c>
      <c r="S8" s="401">
        <f>Summary!S8</f>
        <v>536</v>
      </c>
      <c r="U8" s="398"/>
    </row>
    <row r="9" spans="1:22" x14ac:dyDescent="0.3">
      <c r="A9" s="393" t="s">
        <v>794</v>
      </c>
      <c r="B9" s="512"/>
      <c r="D9" s="404"/>
      <c r="E9" s="404"/>
      <c r="F9" s="404"/>
      <c r="G9" s="400"/>
      <c r="I9" s="208" t="s">
        <v>795</v>
      </c>
      <c r="J9" s="408">
        <f>LandPrice</f>
        <v>8850000</v>
      </c>
      <c r="L9" s="208" t="s">
        <v>796</v>
      </c>
      <c r="N9" s="871">
        <f>UnitDelivery</f>
        <v>21.333333333333332</v>
      </c>
      <c r="P9" s="208" t="s">
        <v>797</v>
      </c>
      <c r="R9" s="409">
        <f>IF(O24=0,0,TEXT(R8/(O24/1000),"0.0")&amp;" /1k SF")</f>
        <v>0</v>
      </c>
      <c r="S9" s="410" t="str">
        <f>TEXT(('General Inputs'!D22)/Units,("#,##0.00"))&amp;" to 1"</f>
        <v>0.53 to 1</v>
      </c>
      <c r="U9" s="398"/>
      <c r="V9" s="208"/>
    </row>
    <row r="10" spans="1:22" x14ac:dyDescent="0.3">
      <c r="A10" s="206" t="str">
        <f>'A-DevBdgt'!A32</f>
        <v>Ad Valorem Taxes</v>
      </c>
      <c r="B10" s="512"/>
      <c r="D10" s="404">
        <f ca="1">DevBdgt!EH33</f>
        <v>83335.391794650437</v>
      </c>
      <c r="E10" s="404">
        <f t="shared" ref="E10:E20" ca="1" si="0">D10/Units</f>
        <v>325.52887419785327</v>
      </c>
      <c r="F10" s="405">
        <f t="shared" ref="F10:F20" ca="1" si="1">D10/TotalNRSF</f>
        <v>0.34668188615796003</v>
      </c>
      <c r="G10" s="400">
        <f t="shared" ref="G10:G20" ca="1" si="2">D10/$D$25</f>
        <v>1.068955789587656E-3</v>
      </c>
      <c r="I10" s="411" t="s">
        <v>798</v>
      </c>
      <c r="J10" s="412">
        <f>J9/J8</f>
        <v>649303.00807043281</v>
      </c>
      <c r="L10" s="208" t="s">
        <v>799</v>
      </c>
      <c r="N10" s="871">
        <f>Absorption</f>
        <v>18</v>
      </c>
      <c r="P10" s="208" t="s">
        <v>800</v>
      </c>
      <c r="S10" s="401" t="str">
        <f>'General Inputs'!B21</f>
        <v>Emblem West Coast</v>
      </c>
      <c r="U10" s="398"/>
    </row>
    <row r="11" spans="1:22" x14ac:dyDescent="0.3">
      <c r="A11" s="413" t="str">
        <f>'A-DevBdgt'!A33</f>
        <v>Architectural &amp; Engineering</v>
      </c>
      <c r="B11" s="512"/>
      <c r="D11" s="404">
        <f>DevBdgt!EH34</f>
        <v>1500605.0000000002</v>
      </c>
      <c r="E11" s="404">
        <f t="shared" si="0"/>
        <v>5861.7382812500009</v>
      </c>
      <c r="F11" s="405">
        <f t="shared" si="1"/>
        <v>6.2426366586238462</v>
      </c>
      <c r="G11" s="400">
        <f t="shared" ca="1" si="2"/>
        <v>1.9248489364360986E-2</v>
      </c>
      <c r="I11" s="411" t="s">
        <v>801</v>
      </c>
      <c r="J11" s="414">
        <f>J9/J7</f>
        <v>14.905946007126557</v>
      </c>
      <c r="L11" s="208" t="s">
        <v>802</v>
      </c>
      <c r="N11" s="400">
        <f>Summary!N11</f>
        <v>3.109397223069621E-2</v>
      </c>
      <c r="P11" s="208" t="s">
        <v>803</v>
      </c>
      <c r="S11" s="401">
        <f>'General Inputs'!B22</f>
        <v>6</v>
      </c>
      <c r="U11" s="398"/>
    </row>
    <row r="12" spans="1:22" x14ac:dyDescent="0.3">
      <c r="A12" s="413" t="s">
        <v>672</v>
      </c>
      <c r="D12" s="404">
        <f ca="1">DevBdgt!EH35</f>
        <v>1086262.1410115552</v>
      </c>
      <c r="E12" s="404">
        <f t="shared" ca="1" si="0"/>
        <v>4243.2114883263876</v>
      </c>
      <c r="F12" s="405">
        <f t="shared" ca="1" si="1"/>
        <v>4.5189372702036579</v>
      </c>
      <c r="G12" s="400">
        <f t="shared" ca="1" si="2"/>
        <v>1.3933650273169096E-2</v>
      </c>
      <c r="P12" s="208" t="s">
        <v>804</v>
      </c>
      <c r="S12" s="401">
        <f>'General Inputs'!B23</f>
        <v>3</v>
      </c>
      <c r="U12" s="398"/>
    </row>
    <row r="13" spans="1:22" x14ac:dyDescent="0.3">
      <c r="A13" s="413" t="str">
        <f>'A-DevBdgt'!A35</f>
        <v>Financing</v>
      </c>
      <c r="B13" s="512"/>
      <c r="D13" s="404">
        <f ca="1">DevBdgt!EH36</f>
        <v>896583.45041148621</v>
      </c>
      <c r="E13" s="404">
        <f t="shared" ca="1" si="0"/>
        <v>3502.279103169868</v>
      </c>
      <c r="F13" s="405">
        <f t="shared" ca="1" si="1"/>
        <v>3.7298587670001089</v>
      </c>
      <c r="G13" s="400">
        <f t="shared" ca="1" si="2"/>
        <v>1.150061275919217E-2</v>
      </c>
      <c r="I13" s="415" t="s">
        <v>805</v>
      </c>
      <c r="J13" s="416">
        <f>'General Inputs'!F36</f>
        <v>2026</v>
      </c>
      <c r="K13" s="416">
        <f>'General Inputs'!F37</f>
        <v>2027</v>
      </c>
      <c r="L13" s="416"/>
      <c r="M13" s="416">
        <f>'General Inputs'!F38</f>
        <v>2028</v>
      </c>
      <c r="N13" s="417">
        <f>'General Inputs'!F39</f>
        <v>2029</v>
      </c>
      <c r="P13" s="208" t="s">
        <v>806</v>
      </c>
      <c r="S13" s="401" t="str">
        <f>'General Inputs'!B24</f>
        <v>V</v>
      </c>
      <c r="U13" s="398"/>
    </row>
    <row r="14" spans="1:22" x14ac:dyDescent="0.3">
      <c r="A14" s="413" t="str">
        <f>'A-DevBdgt'!A36</f>
        <v>Furniture, Fixtures &amp; Equipment</v>
      </c>
      <c r="B14" s="512"/>
      <c r="D14" s="404">
        <f>DevBdgt!EH37</f>
        <v>625000</v>
      </c>
      <c r="E14" s="404">
        <f t="shared" si="0"/>
        <v>2441.40625</v>
      </c>
      <c r="F14" s="405">
        <f t="shared" si="1"/>
        <v>2.6000499209584822</v>
      </c>
      <c r="G14" s="400">
        <f t="shared" ca="1" si="2"/>
        <v>8.0169703904262712E-3</v>
      </c>
      <c r="H14" s="401"/>
      <c r="I14" s="418" t="s">
        <v>807</v>
      </c>
      <c r="J14" s="400">
        <f>'General Inputs'!H36</f>
        <v>1.0350000000000002E-2</v>
      </c>
      <c r="K14" s="400">
        <f>'General Inputs'!H37</f>
        <v>2.1600000000000001E-2</v>
      </c>
      <c r="M14" s="400">
        <f>'General Inputs'!H38</f>
        <v>2.4350000000000004E-2</v>
      </c>
      <c r="N14" s="419">
        <f>'General Inputs'!H39</f>
        <v>5.5600000000000004E-2</v>
      </c>
      <c r="U14" s="398"/>
    </row>
    <row r="15" spans="1:22" ht="15.6" x14ac:dyDescent="0.3">
      <c r="A15" s="413" t="str">
        <f>'A-DevBdgt'!A37</f>
        <v>Insurance</v>
      </c>
      <c r="B15" s="512"/>
      <c r="D15" s="404">
        <f ca="1">DevBdgt!EH38</f>
        <v>1418022.6257534006</v>
      </c>
      <c r="E15" s="404">
        <f t="shared" ca="1" si="0"/>
        <v>5539.1508818492212</v>
      </c>
      <c r="F15" s="405">
        <f t="shared" ca="1" si="1"/>
        <v>5.8990873856119501</v>
      </c>
      <c r="G15" s="400">
        <f t="shared" ca="1" si="2"/>
        <v>1.818919264579124E-2</v>
      </c>
      <c r="I15" s="420" t="s">
        <v>462</v>
      </c>
      <c r="J15" s="421">
        <f>'General Inputs'!M36</f>
        <v>0.03</v>
      </c>
      <c r="K15" s="421">
        <f>'General Inputs'!M37</f>
        <v>0.03</v>
      </c>
      <c r="L15" s="421"/>
      <c r="M15" s="421">
        <f>'General Inputs'!M38</f>
        <v>0.03</v>
      </c>
      <c r="N15" s="422">
        <f>'General Inputs'!M39</f>
        <v>0.03</v>
      </c>
      <c r="P15" s="2619" t="s">
        <v>808</v>
      </c>
      <c r="Q15" s="2620"/>
      <c r="R15" s="1606" t="str">
        <f>IF(RNRSF=0,"n/a",ExitCapRetail)</f>
        <v>n/a</v>
      </c>
      <c r="S15" s="1607">
        <f>ExitCap</f>
        <v>5.5E-2</v>
      </c>
      <c r="U15" s="398"/>
    </row>
    <row r="16" spans="1:22" x14ac:dyDescent="0.3">
      <c r="A16" s="413" t="str">
        <f>'A-DevBdgt'!A38</f>
        <v>Start-Up Expenses &amp; Marketing</v>
      </c>
      <c r="B16" s="512"/>
      <c r="D16" s="404">
        <f>DevBdgt!EH39</f>
        <v>375000</v>
      </c>
      <c r="E16" s="404">
        <f t="shared" si="0"/>
        <v>1464.84375</v>
      </c>
      <c r="F16" s="405">
        <f t="shared" si="1"/>
        <v>1.5600299525750894</v>
      </c>
      <c r="G16" s="400">
        <f t="shared" ca="1" si="2"/>
        <v>4.8101822342557629E-3</v>
      </c>
      <c r="U16" s="398"/>
    </row>
    <row r="17" spans="1:24" x14ac:dyDescent="0.3">
      <c r="A17" s="413" t="str">
        <f>'A-DevBdgt'!A39</f>
        <v>Operating Deficits</v>
      </c>
      <c r="B17" s="512"/>
      <c r="D17" s="404">
        <f ca="1">DevBdgt!EH40</f>
        <v>329080.53404430853</v>
      </c>
      <c r="E17" s="404">
        <f t="shared" ca="1" si="0"/>
        <v>1285.4708361105802</v>
      </c>
      <c r="F17" s="405">
        <f t="shared" ca="1" si="1"/>
        <v>1.3690013064494073</v>
      </c>
      <c r="G17" s="400">
        <f t="shared" ca="1" si="2"/>
        <v>4.2211662359982177E-3</v>
      </c>
      <c r="I17" s="423"/>
      <c r="J17" s="423"/>
      <c r="K17" s="424"/>
      <c r="L17" s="423"/>
      <c r="M17" s="423"/>
      <c r="N17" s="423"/>
      <c r="O17" s="423"/>
      <c r="P17" s="423"/>
      <c r="Q17" s="423"/>
      <c r="R17" s="423"/>
      <c r="S17" s="423"/>
      <c r="U17" s="398"/>
    </row>
    <row r="18" spans="1:24" x14ac:dyDescent="0.3">
      <c r="A18" s="413" t="str">
        <f>'A-DevBdgt'!A40</f>
        <v>Overhead &amp; Administration Fees</v>
      </c>
      <c r="B18" s="512"/>
      <c r="D18" s="404">
        <f ca="1">DevBdgt!EH41</f>
        <v>2658062.4746991713</v>
      </c>
      <c r="E18" s="404">
        <f t="shared" ca="1" si="0"/>
        <v>10383.056541793638</v>
      </c>
      <c r="F18" s="405">
        <f t="shared" ca="1" si="1"/>
        <v>11.057752203590862</v>
      </c>
      <c r="G18" s="400">
        <f t="shared" ca="1" si="2"/>
        <v>3.4095373048906294E-2</v>
      </c>
      <c r="K18" s="364" t="s">
        <v>144</v>
      </c>
      <c r="L18" s="397"/>
      <c r="M18" s="397" t="s">
        <v>736</v>
      </c>
      <c r="N18" s="397" t="s">
        <v>809</v>
      </c>
      <c r="O18" s="397" t="s">
        <v>810</v>
      </c>
      <c r="P18" s="397"/>
      <c r="Q18" s="397" t="s">
        <v>811</v>
      </c>
      <c r="R18" s="397" t="s">
        <v>812</v>
      </c>
      <c r="S18" s="397" t="s">
        <v>813</v>
      </c>
      <c r="U18" s="398"/>
    </row>
    <row r="19" spans="1:24" x14ac:dyDescent="0.3">
      <c r="A19" s="413" t="str">
        <f>'A-DevBdgt'!A41</f>
        <v>Permits &amp; Fees</v>
      </c>
      <c r="B19" s="512"/>
      <c r="D19" s="404">
        <f>DevBdgt!EH42</f>
        <v>4459158.9889518414</v>
      </c>
      <c r="E19" s="404">
        <f t="shared" si="0"/>
        <v>17418.58980059313</v>
      </c>
      <c r="F19" s="405">
        <f t="shared" si="1"/>
        <v>18.550457562824867</v>
      </c>
      <c r="G19" s="400">
        <f t="shared" ca="1" si="2"/>
        <v>5.7198312929008094E-2</v>
      </c>
      <c r="I19" s="203" t="s">
        <v>230</v>
      </c>
      <c r="J19" s="425">
        <f>SUMIF('Operating Inputs'!$C$15:$C$44,0,'Operating Inputs'!$E$15:$E$44)/Units</f>
        <v>0</v>
      </c>
      <c r="K19" s="365" t="s">
        <v>814</v>
      </c>
      <c r="L19" s="407"/>
      <c r="M19" s="407">
        <f>'Operating Inputs'!E53</f>
        <v>256</v>
      </c>
      <c r="N19" s="426">
        <f>'Operating Inputs'!F53</f>
        <v>1</v>
      </c>
      <c r="O19" s="407">
        <f>MarketNRSF</f>
        <v>240380</v>
      </c>
      <c r="P19" s="407"/>
      <c r="Q19" s="407">
        <f>'Operating Inputs'!G53</f>
        <v>938.984375</v>
      </c>
      <c r="R19" s="408">
        <f>'Operating Inputs'!H53</f>
        <v>2068.8063802083334</v>
      </c>
      <c r="S19" s="357">
        <f>'Operating Inputs'!I53</f>
        <v>2.2032383448428878</v>
      </c>
      <c r="U19" s="398"/>
    </row>
    <row r="20" spans="1:24" x14ac:dyDescent="0.3">
      <c r="A20" s="206" t="str">
        <f>"Soft Cost Contingency ("&amp;TEXT('Development Inputs'!B13,"0.0%")&amp;")"</f>
        <v>Soft Cost Contingency (5.0%)</v>
      </c>
      <c r="B20" s="512"/>
      <c r="D20" s="404">
        <f ca="1">DevBdgt!EH43</f>
        <v>856477.57240587578</v>
      </c>
      <c r="E20" s="404">
        <f t="shared" ca="1" si="0"/>
        <v>3345.6155172104523</v>
      </c>
      <c r="F20" s="405">
        <f t="shared" ca="1" si="1"/>
        <v>3.5630151110985762</v>
      </c>
      <c r="G20" s="400">
        <f t="shared" ca="1" si="2"/>
        <v>1.0986168540867326E-2</v>
      </c>
      <c r="I20" s="203" t="s">
        <v>815</v>
      </c>
      <c r="J20" s="425">
        <f>SUMIF('Operating Inputs'!$C$15:$C$44,1,'Operating Inputs'!$E$15:$E$44)/Units</f>
        <v>0.4375</v>
      </c>
      <c r="K20" s="365" t="s">
        <v>816</v>
      </c>
      <c r="R20" s="407">
        <f>AmenityPremiums</f>
        <v>0</v>
      </c>
      <c r="S20" s="427">
        <f>'Operating Inputs'!I61</f>
        <v>0</v>
      </c>
      <c r="U20" s="398"/>
    </row>
    <row r="21" spans="1:24" ht="15.6" x14ac:dyDescent="0.3">
      <c r="A21" s="428" t="s">
        <v>817</v>
      </c>
      <c r="B21" s="512"/>
      <c r="D21" s="404"/>
      <c r="E21" s="404"/>
      <c r="F21" s="405"/>
      <c r="G21" s="400"/>
      <c r="I21" s="203" t="s">
        <v>818</v>
      </c>
      <c r="J21" s="425">
        <f>SUMIF('Operating Inputs'!$C$15:$C$44,2,'Operating Inputs'!$E$15:$E$44)/Units</f>
        <v>0.3515625</v>
      </c>
      <c r="K21" s="429" t="s">
        <v>814</v>
      </c>
      <c r="L21" s="1653"/>
      <c r="M21" s="1653"/>
      <c r="N21" s="1654"/>
      <c r="O21" s="1653"/>
      <c r="P21" s="1653"/>
      <c r="Q21" s="1653"/>
      <c r="R21" s="1655">
        <f>SUM(R18:R20)</f>
        <v>2068.8063802083334</v>
      </c>
      <c r="S21" s="1614">
        <f>SUM(S18:S20)</f>
        <v>2.2032383448428878</v>
      </c>
      <c r="U21" s="398"/>
    </row>
    <row r="22" spans="1:24" x14ac:dyDescent="0.3">
      <c r="A22" s="413" t="str">
        <f>"Hard Costs (Input/GMP = "&amp;TEXT('Development Inputs'!$G$52,("$0"))&amp;"/"&amp;TEXT('Development Inputs'!G52*(1+'Development Inputs'!P231),"$0")&amp;")"</f>
        <v>Hard Costs (Input/GMP = $206/$213)</v>
      </c>
      <c r="B22" s="512"/>
      <c r="D22" s="404">
        <f>DevBdgt!EH45</f>
        <v>51980072.894060962</v>
      </c>
      <c r="E22" s="404">
        <f>D22/Units</f>
        <v>203047.15974242563</v>
      </c>
      <c r="F22" s="405">
        <f>D22/TotalNRSF</f>
        <v>216.24125507139098</v>
      </c>
      <c r="G22" s="400">
        <f ca="1">D22/$D$25</f>
        <v>0.66675632845421751</v>
      </c>
      <c r="I22" s="203" t="s">
        <v>819</v>
      </c>
      <c r="J22" s="425">
        <f>SUMIF('Operating Inputs'!$C$15:$C$44,3,'Operating Inputs'!$E$15:$E$44)/Units</f>
        <v>0.2109375</v>
      </c>
      <c r="K22" s="365" t="s">
        <v>235</v>
      </c>
      <c r="L22" s="407"/>
      <c r="M22" s="407">
        <f>'Operating Inputs'!E78</f>
        <v>0</v>
      </c>
      <c r="N22" s="426">
        <f>'Operating Inputs'!F78</f>
        <v>0</v>
      </c>
      <c r="O22" s="407">
        <f>BMRNRSF</f>
        <v>0</v>
      </c>
      <c r="P22" s="407"/>
      <c r="Q22" s="407">
        <f>'Operating Inputs'!G78</f>
        <v>0</v>
      </c>
      <c r="R22" s="407">
        <f>'Operating Inputs'!H78</f>
        <v>0</v>
      </c>
      <c r="S22" s="427">
        <f>'Operating Inputs'!I78</f>
        <v>0</v>
      </c>
      <c r="U22" s="398"/>
    </row>
    <row r="23" spans="1:24" ht="15" thickBot="1" x14ac:dyDescent="0.35">
      <c r="A23" s="206" t="str">
        <f>"Hard Cost Contingency ("&amp;TEXT('Development Inputs'!B14,"0.0%")&amp;")"</f>
        <v>Hard Cost Contingency (5.0%)</v>
      </c>
      <c r="B23" s="512"/>
      <c r="D23" s="404">
        <f>DevBdgt!EH46</f>
        <v>2599003.6447030478</v>
      </c>
      <c r="E23" s="404">
        <f>D23/Units</f>
        <v>10152.357987121281</v>
      </c>
      <c r="F23" s="405">
        <f>D23/TotalNRSF</f>
        <v>10.812062753569547</v>
      </c>
      <c r="G23" s="400">
        <f ca="1">D23/$D$25</f>
        <v>3.3337816422710873E-2</v>
      </c>
      <c r="K23" s="430" t="s">
        <v>820</v>
      </c>
      <c r="L23" s="431"/>
      <c r="M23" s="431">
        <f>M19+M22</f>
        <v>256</v>
      </c>
      <c r="N23" s="432">
        <f>N19+N22</f>
        <v>1</v>
      </c>
      <c r="O23" s="431">
        <f>TotalNRSF</f>
        <v>240380</v>
      </c>
      <c r="P23" s="431"/>
      <c r="Q23" s="431">
        <f>AvgUnitSize</f>
        <v>938.984375</v>
      </c>
      <c r="R23" s="433">
        <f>'Operating Inputs'!$H$84</f>
        <v>2068.8063802083334</v>
      </c>
      <c r="S23" s="434">
        <f>'Operating Inputs'!$I$84</f>
        <v>2.2032383448428878</v>
      </c>
      <c r="U23" s="398"/>
    </row>
    <row r="24" spans="1:24" ht="15" thickTop="1" x14ac:dyDescent="0.3">
      <c r="A24" s="512" t="str">
        <f>'A-DevBdgt'!A46</f>
        <v>Commercial (TI, Legal &amp; Commissions)</v>
      </c>
      <c r="B24" s="512"/>
      <c r="D24" s="404">
        <f>DevBdgt!EH47</f>
        <v>0</v>
      </c>
      <c r="E24" s="404">
        <f>D24/Units</f>
        <v>0</v>
      </c>
      <c r="F24" s="405">
        <f>D24/TotalNRSF</f>
        <v>0</v>
      </c>
      <c r="G24" s="400">
        <f ca="1">D24/$D$25</f>
        <v>0</v>
      </c>
      <c r="K24" s="440" t="s">
        <v>787</v>
      </c>
      <c r="M24" s="407">
        <f>COUNTIF('Operating Inputs'!C100:C109,"&gt;0")</f>
        <v>0</v>
      </c>
      <c r="O24" s="407">
        <f>RNRSF</f>
        <v>0</v>
      </c>
      <c r="P24" s="407"/>
      <c r="Q24" s="407">
        <f>IF(M24=0,0,O24/M24)</f>
        <v>0</v>
      </c>
      <c r="R24" s="408">
        <f>'Operating Inputs'!E110*RNRSF/12</f>
        <v>0</v>
      </c>
      <c r="S24" s="441" t="str">
        <f>TEXT('Operating Inputs'!E110,"$0.00")</f>
        <v>$0.00</v>
      </c>
      <c r="U24" s="398"/>
    </row>
    <row r="25" spans="1:24" ht="15" thickBot="1" x14ac:dyDescent="0.35">
      <c r="A25" s="435" t="s">
        <v>821</v>
      </c>
      <c r="B25" s="435"/>
      <c r="C25" s="436"/>
      <c r="D25" s="437">
        <f ca="1">SUM(D7:D24)</f>
        <v>77959624.342178479</v>
      </c>
      <c r="E25" s="437">
        <f ca="1">D25/Units</f>
        <v>304529.78258663468</v>
      </c>
      <c r="F25" s="438">
        <f ca="1">D25/TotalNRSF</f>
        <v>324.31826417413464</v>
      </c>
      <c r="G25" s="439">
        <f ca="1">SUM(G7:G24)</f>
        <v>1</v>
      </c>
      <c r="U25" s="398"/>
    </row>
    <row r="26" spans="1:24" ht="7.5" customHeight="1" thickTop="1" x14ac:dyDescent="0.3"/>
    <row r="27" spans="1:24" ht="15.6" x14ac:dyDescent="0.3">
      <c r="A27" s="115" t="s">
        <v>244</v>
      </c>
      <c r="B27" s="442"/>
      <c r="C27" s="442"/>
      <c r="D27" s="442"/>
      <c r="E27" s="442"/>
      <c r="F27" s="442"/>
      <c r="G27" s="443"/>
      <c r="I27" s="115" t="s">
        <v>822</v>
      </c>
      <c r="J27" s="204"/>
      <c r="K27" s="204"/>
      <c r="L27" s="204"/>
      <c r="M27" s="204"/>
      <c r="N27" s="204"/>
      <c r="O27" s="444"/>
      <c r="P27" s="445"/>
      <c r="Q27" s="511" t="s">
        <v>823</v>
      </c>
      <c r="R27" s="446"/>
      <c r="S27" s="447"/>
    </row>
    <row r="28" spans="1:24" ht="3.75" customHeight="1" thickBot="1" x14ac:dyDescent="0.35">
      <c r="A28" s="119"/>
      <c r="B28" s="119"/>
      <c r="C28" s="119"/>
      <c r="D28" s="206"/>
      <c r="E28" s="206"/>
      <c r="F28" s="206"/>
      <c r="G28" s="119"/>
      <c r="I28" s="119"/>
      <c r="J28" s="119"/>
      <c r="K28" s="119"/>
      <c r="L28" s="119"/>
      <c r="M28" s="119"/>
      <c r="N28" s="119"/>
      <c r="O28" s="119"/>
      <c r="P28" s="445"/>
      <c r="Q28" s="119"/>
      <c r="R28" s="119"/>
      <c r="S28" s="119"/>
      <c r="W28" s="448"/>
      <c r="X28" s="448"/>
    </row>
    <row r="29" spans="1:24" ht="16.2" thickTop="1" x14ac:dyDescent="0.3">
      <c r="B29" s="397" t="s">
        <v>824</v>
      </c>
      <c r="C29" s="397" t="s">
        <v>825</v>
      </c>
      <c r="D29" s="449" t="str">
        <f>'General Inputs'!J29</f>
        <v>LP</v>
      </c>
      <c r="E29" s="1608" t="str">
        <f>'General Inputs'!K29</f>
        <v>Quarterra</v>
      </c>
      <c r="F29" s="450" t="str">
        <f>'General Inputs'!L29</f>
        <v>LAND</v>
      </c>
      <c r="G29" s="451" t="s">
        <v>173</v>
      </c>
      <c r="I29" s="540"/>
      <c r="J29" s="540"/>
      <c r="K29" s="541"/>
      <c r="L29" s="2608"/>
      <c r="M29" s="2608"/>
      <c r="N29" s="1042"/>
      <c r="O29" s="542"/>
      <c r="P29" s="445"/>
      <c r="Q29" s="182" t="s">
        <v>826</v>
      </c>
      <c r="R29" s="454">
        <f>'General Inputs'!C28</f>
        <v>46631</v>
      </c>
      <c r="S29" s="445">
        <f>'General Inputs'!D28</f>
        <v>0</v>
      </c>
    </row>
    <row r="30" spans="1:24" ht="15.6" x14ac:dyDescent="0.3">
      <c r="A30" s="455" t="s">
        <v>157</v>
      </c>
      <c r="B30" s="398">
        <f ca="1">'General Inputs'!H8</f>
        <v>42877793.388198167</v>
      </c>
      <c r="C30" s="398">
        <f ca="1">'General Inputs'!I8</f>
        <v>0</v>
      </c>
      <c r="D30" s="398">
        <f ca="1">'General Inputs'!J8</f>
        <v>31573647.858582281</v>
      </c>
      <c r="E30" s="1609">
        <f ca="1">'General Inputs'!K8</f>
        <v>3508183.0953980302</v>
      </c>
      <c r="F30" s="398">
        <f ca="1">'General Inputs'!L8</f>
        <v>0</v>
      </c>
      <c r="G30" s="456">
        <f ca="1">SUM(B30:F30)</f>
        <v>77959624.342178479</v>
      </c>
      <c r="I30" s="543"/>
      <c r="J30" s="540"/>
      <c r="K30" s="544"/>
      <c r="L30" s="2621"/>
      <c r="M30" s="2621"/>
      <c r="N30" s="1043"/>
      <c r="O30" s="1043"/>
      <c r="P30" s="445"/>
      <c r="Q30" s="182" t="s">
        <v>827</v>
      </c>
      <c r="R30" s="454">
        <f>'General Inputs'!C29</f>
        <v>46661</v>
      </c>
      <c r="S30" s="445">
        <f>'General Inputs'!D29</f>
        <v>1</v>
      </c>
    </row>
    <row r="31" spans="1:24" ht="15.6" x14ac:dyDescent="0.3">
      <c r="A31" s="182" t="s">
        <v>274</v>
      </c>
      <c r="B31" s="400">
        <f ca="1">B30/$G$30</f>
        <v>0.55000000000000004</v>
      </c>
      <c r="C31" s="400">
        <f ca="1">C30/$G$30</f>
        <v>0</v>
      </c>
      <c r="D31" s="400"/>
      <c r="E31" s="1610"/>
      <c r="F31" s="400"/>
      <c r="G31" s="459">
        <f ca="1">SUM(B31:C31)</f>
        <v>0.55000000000000004</v>
      </c>
      <c r="I31" s="2627"/>
      <c r="J31" s="2627"/>
      <c r="K31" s="2627"/>
      <c r="L31" s="2627"/>
      <c r="M31" s="2627"/>
      <c r="N31" s="2627"/>
      <c r="O31" s="2627"/>
      <c r="P31" s="445"/>
      <c r="Q31" s="182" t="s">
        <v>644</v>
      </c>
      <c r="R31" s="454">
        <f>'General Inputs'!C30</f>
        <v>46661</v>
      </c>
      <c r="S31" s="445">
        <f>'General Inputs'!D30</f>
        <v>1</v>
      </c>
      <c r="W31" s="458"/>
    </row>
    <row r="32" spans="1:24" ht="15.6" x14ac:dyDescent="0.3">
      <c r="A32" s="182" t="s">
        <v>828</v>
      </c>
      <c r="B32" s="400"/>
      <c r="C32" s="400"/>
      <c r="D32" s="400">
        <f>ContrEquity</f>
        <v>0.9</v>
      </c>
      <c r="E32" s="1610">
        <f>ContrLennar</f>
        <v>9.9999999999999978E-2</v>
      </c>
      <c r="F32" s="400">
        <f>ContrLand</f>
        <v>0</v>
      </c>
      <c r="G32" s="459">
        <f>SUM(D32:F32)</f>
        <v>1</v>
      </c>
      <c r="I32" s="543"/>
      <c r="J32" s="540"/>
      <c r="K32" s="544"/>
      <c r="L32" s="2621"/>
      <c r="M32" s="2621"/>
      <c r="N32" s="1043"/>
      <c r="O32" s="1043"/>
      <c r="P32" s="445"/>
      <c r="Q32" s="182" t="s">
        <v>224</v>
      </c>
      <c r="R32" s="454">
        <f>'General Inputs'!C31</f>
        <v>47058</v>
      </c>
      <c r="S32" s="460">
        <f>'General Inputs'!D31</f>
        <v>14</v>
      </c>
      <c r="W32" s="458"/>
    </row>
    <row r="33" spans="1:27" ht="15.6" x14ac:dyDescent="0.3">
      <c r="A33" s="182" t="s">
        <v>829</v>
      </c>
      <c r="B33" s="400">
        <f ca="1">'General Inputs'!H14</f>
        <v>6.4999999999999988E-2</v>
      </c>
      <c r="C33" s="400">
        <f>'General Inputs'!I14</f>
        <v>0.08</v>
      </c>
      <c r="D33" s="400">
        <f>'General Inputs'!J11</f>
        <v>0.1</v>
      </c>
      <c r="E33" s="1611">
        <f>'General Inputs'!K11</f>
        <v>0.1</v>
      </c>
      <c r="F33" s="400">
        <f>'General Inputs'!L11</f>
        <v>0.1</v>
      </c>
      <c r="G33" s="459">
        <f ca="1">SUMPRODUCT(B30:F30,B33:F33)/G30</f>
        <v>8.0749999999999988E-2</v>
      </c>
      <c r="I33" s="543"/>
      <c r="J33" s="540"/>
      <c r="K33" s="544"/>
      <c r="L33" s="2621"/>
      <c r="M33" s="2621"/>
      <c r="N33" s="1043"/>
      <c r="O33" s="1043"/>
      <c r="P33" s="445"/>
      <c r="Q33" s="182" t="s">
        <v>646</v>
      </c>
      <c r="R33" s="454">
        <f>'General Inputs'!C32</f>
        <v>47392</v>
      </c>
      <c r="S33" s="460">
        <f>'General Inputs'!D32</f>
        <v>25</v>
      </c>
      <c r="W33" s="458"/>
    </row>
    <row r="34" spans="1:27" x14ac:dyDescent="0.3">
      <c r="I34" s="543"/>
      <c r="J34" s="540"/>
      <c r="K34" s="544"/>
      <c r="L34" s="2621"/>
      <c r="M34" s="2621"/>
      <c r="N34" s="1043"/>
      <c r="O34" s="1043"/>
      <c r="P34" s="445"/>
      <c r="Q34" s="182" t="s">
        <v>648</v>
      </c>
      <c r="R34" s="454">
        <f>'General Inputs'!C33</f>
        <v>47453</v>
      </c>
      <c r="S34" s="445">
        <f>'General Inputs'!D33</f>
        <v>27</v>
      </c>
      <c r="W34" s="458"/>
    </row>
    <row r="35" spans="1:27" ht="15.6" x14ac:dyDescent="0.3">
      <c r="I35" s="543"/>
      <c r="J35" s="540"/>
      <c r="K35" s="544"/>
      <c r="L35" s="2621"/>
      <c r="M35" s="2621"/>
      <c r="N35" s="1043"/>
      <c r="O35" s="1043"/>
      <c r="P35" s="445"/>
      <c r="Q35" s="1604" t="s">
        <v>830</v>
      </c>
      <c r="R35" s="1612">
        <f>'General Inputs'!C34</f>
        <v>47484</v>
      </c>
      <c r="S35" s="1613">
        <f>'General Inputs'!D34</f>
        <v>28</v>
      </c>
      <c r="W35" s="458"/>
    </row>
    <row r="36" spans="1:27" ht="7.5" customHeight="1" x14ac:dyDescent="0.3">
      <c r="J36" s="457"/>
      <c r="K36" s="457"/>
      <c r="L36" s="457"/>
      <c r="M36" s="457"/>
      <c r="N36" s="457"/>
      <c r="P36" s="445"/>
      <c r="W36" s="458"/>
    </row>
    <row r="37" spans="1:27" ht="15.6" x14ac:dyDescent="0.3">
      <c r="A37" s="115" t="s">
        <v>831</v>
      </c>
      <c r="B37" s="389"/>
      <c r="C37" s="389"/>
      <c r="D37" s="389"/>
      <c r="E37" s="389"/>
      <c r="F37" s="389"/>
      <c r="G37" s="390"/>
      <c r="I37" s="511" t="s">
        <v>832</v>
      </c>
      <c r="J37" s="446"/>
      <c r="K37" s="447"/>
      <c r="M37" s="511" t="s">
        <v>833</v>
      </c>
      <c r="N37" s="446"/>
      <c r="O37" s="446"/>
      <c r="P37" s="446"/>
      <c r="Q37" s="446"/>
      <c r="R37" s="446"/>
      <c r="S37" s="447"/>
      <c r="W37" s="458"/>
    </row>
    <row r="38" spans="1:27" ht="3.75" customHeight="1" thickBot="1" x14ac:dyDescent="0.35">
      <c r="A38" s="119"/>
      <c r="B38" s="119"/>
      <c r="C38" s="119"/>
      <c r="D38" s="119"/>
      <c r="E38" s="119"/>
      <c r="F38" s="119"/>
      <c r="G38" s="119"/>
      <c r="I38" s="119"/>
      <c r="J38" s="119"/>
      <c r="K38" s="119"/>
      <c r="M38" s="119"/>
      <c r="N38" s="119"/>
      <c r="O38" s="119"/>
      <c r="P38" s="206"/>
      <c r="Q38" s="206"/>
      <c r="R38" s="119"/>
      <c r="S38" s="119"/>
    </row>
    <row r="39" spans="1:27" ht="16.2" thickTop="1" x14ac:dyDescent="0.3">
      <c r="A39" s="182" t="s">
        <v>834</v>
      </c>
      <c r="D39" s="461" t="s">
        <v>254</v>
      </c>
      <c r="E39" s="461" t="s">
        <v>835</v>
      </c>
      <c r="F39" s="461" t="s">
        <v>836</v>
      </c>
      <c r="G39" s="461" t="s">
        <v>837</v>
      </c>
      <c r="I39" s="182" t="s">
        <v>1</v>
      </c>
      <c r="K39" s="454">
        <f>LOOKUP(K40,DevBdgt!$6:$6,DevBdgt!$7:$7)</f>
        <v>47484</v>
      </c>
      <c r="M39" s="207" t="s">
        <v>838</v>
      </c>
      <c r="N39" s="208"/>
      <c r="O39" s="462" t="str">
        <f>'General Inputs'!J29</f>
        <v>LP</v>
      </c>
      <c r="P39" s="1615"/>
      <c r="Q39" s="1616" t="str">
        <f>'General Inputs'!K29</f>
        <v>Quarterra</v>
      </c>
      <c r="R39" s="462" t="str">
        <f>'General Inputs'!L29</f>
        <v>LAND</v>
      </c>
      <c r="S39" s="463" t="s">
        <v>173</v>
      </c>
      <c r="X39" s="448"/>
    </row>
    <row r="40" spans="1:27" ht="15.6" x14ac:dyDescent="0.3">
      <c r="A40" s="182" t="s">
        <v>1</v>
      </c>
      <c r="D40" s="454">
        <f>'General Inputs'!C37</f>
        <v>46174</v>
      </c>
      <c r="E40" s="454">
        <f>LOOKUP(E41,DevBdgt!$6:$6,DevBdgt!$7:$7)</f>
        <v>46631</v>
      </c>
      <c r="F40" s="454">
        <f>LOOKUP(F41,DevBdgt!$6:$6,DevBdgt!$7:$7)</f>
        <v>46661</v>
      </c>
      <c r="G40" s="454">
        <f>LOOKUP(G41,DevBdgt!$6:$6,DevBdgt!$7:$7)</f>
        <v>47484</v>
      </c>
      <c r="I40" s="182" t="s">
        <v>839</v>
      </c>
      <c r="K40" s="468">
        <f>DispositionMonth</f>
        <v>28</v>
      </c>
      <c r="M40" s="512" t="str">
        <f>Summary!M40</f>
        <v>Preferred Return</v>
      </c>
      <c r="O40" s="464"/>
      <c r="P40" s="2622"/>
      <c r="Q40" s="2623"/>
      <c r="R40" s="464"/>
      <c r="S40" s="465">
        <f>SUM(O40:R40)</f>
        <v>0</v>
      </c>
      <c r="AA40" s="454"/>
    </row>
    <row r="41" spans="1:27" ht="15.6" x14ac:dyDescent="0.3">
      <c r="A41" s="466" t="s">
        <v>839</v>
      </c>
      <c r="B41" s="466"/>
      <c r="C41" s="466"/>
      <c r="D41" s="467">
        <f>LOOKUP(D40,'Front Money Budget'!$H$7:$AQ$7,'Front Money Budget'!$H$6:$AQ$6)</f>
        <v>-15</v>
      </c>
      <c r="E41" s="468">
        <v>0</v>
      </c>
      <c r="F41" s="468">
        <f>'General Inputs'!D30</f>
        <v>1</v>
      </c>
      <c r="G41" s="468">
        <f>DispositionMonth</f>
        <v>28</v>
      </c>
      <c r="I41" s="423" t="s">
        <v>840</v>
      </c>
      <c r="J41" s="469"/>
      <c r="K41" s="469">
        <f ca="1">LOOKUP('Finance Summary'!K40,Waterfalls!$5:$5,Waterfalls!$187:$187)</f>
        <v>102519475.19780481</v>
      </c>
      <c r="M41" s="182" t="str">
        <f>Summary!M41</f>
        <v>Profit after Pref</v>
      </c>
      <c r="P41" s="2622"/>
      <c r="Q41" s="2623"/>
      <c r="R41" s="464"/>
      <c r="S41" s="465">
        <f>SUM(O41:R41)</f>
        <v>0</v>
      </c>
    </row>
    <row r="42" spans="1:27" ht="15.6" x14ac:dyDescent="0.3">
      <c r="A42" s="182" t="s">
        <v>841</v>
      </c>
      <c r="D42" s="464">
        <f>OperBgt!E61*12</f>
        <v>7432392.0800000001</v>
      </c>
      <c r="E42" s="464">
        <f>OperBgt!F61*12</f>
        <v>7617128.7472539777</v>
      </c>
      <c r="F42" s="464">
        <f>LOOKUP(F$41,OperBgt!$5:$5,OperBgt!61:61)*12</f>
        <v>7629244.3280515801</v>
      </c>
      <c r="G42" s="464">
        <f ca="1">G45-G44</f>
        <v>8325406.2118171602</v>
      </c>
      <c r="I42" s="862" t="s">
        <v>784</v>
      </c>
      <c r="J42" s="473"/>
      <c r="K42" s="473">
        <f ca="1">K41/Units</f>
        <v>400466.69999142503</v>
      </c>
      <c r="M42" s="470" t="str">
        <f>Summary!M42</f>
        <v>Promote</v>
      </c>
      <c r="O42" s="401"/>
      <c r="P42" s="2628"/>
      <c r="Q42" s="2629"/>
      <c r="R42" s="401"/>
      <c r="S42" s="471">
        <f>SUM(O42:R42)</f>
        <v>0</v>
      </c>
    </row>
    <row r="43" spans="1:27" ht="15.6" x14ac:dyDescent="0.3">
      <c r="A43" s="475" t="s">
        <v>842</v>
      </c>
      <c r="B43" s="472"/>
      <c r="D43" s="476">
        <f>OperBgt!E48/MarketUnitSize</f>
        <v>2.2032383448428878</v>
      </c>
      <c r="E43" s="476">
        <f>OperBgt!F48/MarketUnitSize</f>
        <v>2.2532279878819907</v>
      </c>
      <c r="F43" s="476">
        <f>LOOKUP(F41,OperBgt!$5:$5,OperBgt!$48:$48)/MarketUnitSize</f>
        <v>2.2564726361845411</v>
      </c>
      <c r="G43" s="476">
        <f>(SUMIFS(OperBgt!$48:$48,OperBgt!$5:$5,"&gt;"&amp;DispositionMonth,OperBgt!$5:$5,"&lt;="&amp;DispositionMonth+12,OperBgt!$129:$129,"=Next Year")
+SUMIFS(OperBgt!$48:$48,OperBgt!$5:$5,"&lt;="&amp;DispositionMonth,OperBgt!$5:$5,"&gt;"&amp;DispositionMonth-12,OperBgt!$129:$129,"=Current Year")
+SUMIFS(OperBgt!$48:$48,OperBgt!$5:$5,"&lt;="&amp;DispositionMonth+6,OperBgt!$5:$5,"&gt;"&amp;DispositionMonth-6,OperBgt!$129:$129,"=Blend"))/12/MarketUnitSize</f>
        <v>2.5292425202383142</v>
      </c>
      <c r="I43" s="477" t="s">
        <v>125</v>
      </c>
      <c r="J43" s="478"/>
      <c r="K43" s="861">
        <f ca="1">LOOKUP('Finance Summary'!K$40,Waterfalls!$5:$5,Waterfalls!$188:$188)+LOOKUP('Finance Summary'!K$40,Waterfalls!$5:$5,Waterfalls!$189:$189)+LOOKUP('Finance Summary'!K$40,Waterfalls!$5:$5,Waterfalls!$190:$190)+LOOKUP('Finance Summary'!K$40,Waterfalls!$5:$5,Waterfalls!$191:$191)+LOOKUP('Finance Summary'!K$40,Waterfalls!$5:$5,Waterfalls!$194:$194)+LOOKUP('Finance Summary'!K$40,Waterfalls!$5:$5,Waterfalls!$195:$195)</f>
        <v>-460077.90079121926</v>
      </c>
      <c r="M43" s="1656" t="s">
        <v>843</v>
      </c>
      <c r="N43" s="613"/>
      <c r="O43" s="629"/>
      <c r="P43" s="1621"/>
      <c r="Q43" s="1622"/>
      <c r="R43" s="629"/>
      <c r="S43" s="474">
        <f>SUM(S40:S42)</f>
        <v>0</v>
      </c>
    </row>
    <row r="44" spans="1:27" ht="15.6" x14ac:dyDescent="0.3">
      <c r="A44" s="182" t="str">
        <f>"Vacancy &amp; Collection Loss ("&amp;TEXT(Vacancy,("0.00%"))&amp;")"</f>
        <v>Vacancy &amp; Collection Loss (5.87%)</v>
      </c>
      <c r="D44" s="401">
        <f>OperBgt!E62*12</f>
        <v>-436072.37906875001</v>
      </c>
      <c r="E44" s="401">
        <f>OperBgt!F62*12</f>
        <v>-446911.22571779194</v>
      </c>
      <c r="F44" s="401">
        <f>-F42*Vacancy</f>
        <v>-447622.06955990131</v>
      </c>
      <c r="G44" s="401">
        <f>SUMIFS(OperBgt!$62:$62,OperBgt!$5:$5,"&gt;"&amp;DispositionMonth,OperBgt!$5:$5,"&lt;="&amp;DispositionMonth+12,OperBgt!$129:$129,"=Next Year")
+SUMIFS(OperBgt!$62:$62,OperBgt!$5:$5,"&lt;="&amp;DispositionMonth,OperBgt!$5:$5,"&gt;"&amp;DispositionMonth-12,OperBgt!$129:$129,"=Current Year")
+SUMIFS(OperBgt!$62:$62,OperBgt!$5:$5,"&lt;="&amp;DispositionMonth+6,OperBgt!$5:$5,"&gt;"&amp;DispositionMonth-6,OperBgt!$129:$129,"=Blend")</f>
        <v>-499442.99758924521</v>
      </c>
      <c r="I44" s="182" t="s">
        <v>844</v>
      </c>
      <c r="J44" s="464"/>
      <c r="K44" s="464">
        <f ca="1">SUM(K41,K43)</f>
        <v>102059397.2970136</v>
      </c>
      <c r="M44" s="207" t="s">
        <v>845</v>
      </c>
      <c r="P44" s="1623"/>
      <c r="Q44" s="1624"/>
      <c r="S44" s="479"/>
    </row>
    <row r="45" spans="1:27" ht="15.6" x14ac:dyDescent="0.3">
      <c r="A45" s="613" t="s">
        <v>846</v>
      </c>
      <c r="B45" s="613"/>
      <c r="C45" s="613"/>
      <c r="D45" s="629">
        <f>D42+D44</f>
        <v>6996319.7009312501</v>
      </c>
      <c r="E45" s="629">
        <f>E42+E44</f>
        <v>7170217.5215361854</v>
      </c>
      <c r="F45" s="629">
        <f>F42+F44</f>
        <v>7181622.2584916791</v>
      </c>
      <c r="G45" s="629">
        <f ca="1">-G46+G49</f>
        <v>7825963.2142279148</v>
      </c>
      <c r="I45" s="182" t="s">
        <v>847</v>
      </c>
      <c r="K45" s="401">
        <f>LOOKUP('Finance Summary'!K39,Waterfalls!$5:$5,Waterfalls!$192:$192)</f>
        <v>0</v>
      </c>
      <c r="M45" s="512" t="s">
        <v>848</v>
      </c>
      <c r="O45" s="464"/>
      <c r="P45" s="1617"/>
      <c r="Q45" s="1618"/>
      <c r="R45" s="464"/>
      <c r="S45" s="465">
        <f>SUM(O45:R45)</f>
        <v>0</v>
      </c>
    </row>
    <row r="46" spans="1:27" ht="15.6" x14ac:dyDescent="0.3">
      <c r="A46" s="182" t="s">
        <v>260</v>
      </c>
      <c r="D46" s="401">
        <f ca="1">-SUM('Development Inputs'!V174,'Development Inputs'!X174)</f>
        <v>-1959829.6780901933</v>
      </c>
      <c r="E46" s="401">
        <f ca="1">-'Operating Inputs'!F130</f>
        <v>-2018717.6482273275</v>
      </c>
      <c r="F46" s="401">
        <f ca="1">-'Operating Inputs'!I130</f>
        <v>-2022708.8609822639</v>
      </c>
      <c r="G46" s="401">
        <f ca="1">-(SUMIFS(OperBgt!$80:$80,OperBgt!$5:$5,"&gt;"&amp;DispositionMonth,OperBgt!$5:$5,"&lt;="&amp;DispositionMonth+12,OperBgt!$129:$129,"=Next Year")
+SUMIFS(OperBgt!$80:$80,OperBgt!$5:$5,"&lt;="&amp;DispositionMonth,OperBgt!$5:$5,"&gt;"&amp;DispositionMonth-12,OperBgt!$129:$129,"=Current Year")
+SUMIFS(OperBgt!$80:$80,OperBgt!$5:$5,"&lt;="&amp;DispositionMonth+6,OperBgt!$5:$5,"&gt;"&amp;DispositionMonth-6,OperBgt!$129:$129,"=Blend"))</f>
        <v>-2187392.0783486506</v>
      </c>
      <c r="I46" s="477" t="s">
        <v>849</v>
      </c>
      <c r="J46" s="478"/>
      <c r="K46" s="861">
        <f ca="1">LOOKUP('Finance Summary'!K40,Waterfalls!$5:$5,Waterfalls!$193:$193)</f>
        <v>-42877793.387000009</v>
      </c>
      <c r="M46" s="512" t="s">
        <v>850</v>
      </c>
      <c r="O46" s="401"/>
      <c r="P46" s="1625"/>
      <c r="Q46" s="1626"/>
      <c r="R46" s="401"/>
      <c r="S46" s="471">
        <f>SUM(O46:R46)</f>
        <v>0</v>
      </c>
    </row>
    <row r="47" spans="1:27" ht="15.6" x14ac:dyDescent="0.3">
      <c r="A47" s="475" t="s">
        <v>851</v>
      </c>
      <c r="D47" s="480">
        <f ca="1">D46/Units</f>
        <v>-7655.5846800398176</v>
      </c>
      <c r="E47" s="480">
        <f ca="1">-'Operating Inputs'!G130</f>
        <v>-7885.6158133879981</v>
      </c>
      <c r="F47" s="480">
        <f ca="1">-'Operating Inputs'!J130</f>
        <v>-7901.2064882119685</v>
      </c>
      <c r="G47" s="480">
        <f ca="1">-SUM(OperBgt!G130:EH130)/Units</f>
        <v>-8544.5003060494164</v>
      </c>
      <c r="I47" s="182" t="s">
        <v>852</v>
      </c>
      <c r="J47" s="464"/>
      <c r="K47" s="464">
        <f ca="1">SUM(K44:K46)</f>
        <v>59181603.910013586</v>
      </c>
      <c r="M47" s="512" t="s">
        <v>853</v>
      </c>
      <c r="O47" s="401"/>
      <c r="P47" s="1619"/>
      <c r="Q47" s="1620"/>
      <c r="R47" s="401"/>
      <c r="S47" s="471">
        <f>SUM(O47:R47)</f>
        <v>0</v>
      </c>
    </row>
    <row r="48" spans="1:27" ht="15.6" x14ac:dyDescent="0.3">
      <c r="A48" s="475" t="s">
        <v>854</v>
      </c>
      <c r="B48" s="472"/>
      <c r="D48" s="482">
        <f ca="1">-D46/D45</f>
        <v>0.28012294490049228</v>
      </c>
      <c r="E48" s="482">
        <f ca="1">-E46/E45</f>
        <v>0.28154203720654025</v>
      </c>
      <c r="F48" s="482">
        <f ca="1">-F46/F45</f>
        <v>0.28165068952082195</v>
      </c>
      <c r="G48" s="482">
        <f ca="1">-G46/G45</f>
        <v>0.27950451829007888</v>
      </c>
      <c r="I48" s="182" t="s">
        <v>855</v>
      </c>
      <c r="J48" s="464"/>
      <c r="K48" s="401">
        <f ca="1">-SUM('General Inputs'!$J$8:$L$8)-(SUMIF(Waterfalls!$5:$5,"="&amp;K40,Waterfalls!$53:$53)+SUMIF(Waterfalls!$5:$5,"="&amp;K40,Waterfalls!$78:$78)+SUMIF(Waterfalls!$5:$5,"="&amp;K40,Waterfalls!$103:$103))</f>
        <v>-35081830.953980312</v>
      </c>
      <c r="M48" s="1657" t="s">
        <v>843</v>
      </c>
      <c r="N48" s="613"/>
      <c r="O48" s="629"/>
      <c r="P48" s="1627"/>
      <c r="Q48" s="1628"/>
      <c r="R48" s="629"/>
      <c r="S48" s="481">
        <f>SUM(S45:S47)</f>
        <v>0</v>
      </c>
    </row>
    <row r="49" spans="1:22" ht="16.2" thickBot="1" x14ac:dyDescent="0.35">
      <c r="A49" s="1658" t="s">
        <v>856</v>
      </c>
      <c r="B49" s="1658"/>
      <c r="C49" s="613"/>
      <c r="D49" s="629">
        <f ca="1">D45+D46</f>
        <v>5036490.0228410568</v>
      </c>
      <c r="E49" s="629">
        <f ca="1">E45+E46</f>
        <v>5151499.8733088579</v>
      </c>
      <c r="F49" s="629">
        <f ca="1">F45+F46</f>
        <v>5158913.3975094147</v>
      </c>
      <c r="G49" s="629">
        <f ca="1">(SUMIFS(Waterfalls!$151:$151,Waterfalls!$5:$5,"&gt;"&amp;DispositionMonth,Waterfalls!$5:$5,"&lt;="&amp;DispositionMonth+12,Waterfalls!$320:$320,"=Next Year")
+SUMIFS(Waterfalls!$151:$151,Waterfalls!$5:$5,"&lt;="&amp;DispositionMonth,Waterfalls!$5:$5,"&gt;"&amp;DispositionMonth-12,Waterfalls!$320:$320,"=Current Year")
+SUMIFS(Waterfalls!$151:$151,Waterfalls!$5:$5,"&lt;="&amp;DispositionMonth+6,Waterfalls!$5:$5,"&gt;"&amp;DispositionMonth-6,Waterfalls!$320:$320,"=Blend"))-G50</f>
        <v>5638571.1358792642</v>
      </c>
      <c r="I49" s="1658" t="s">
        <v>857</v>
      </c>
      <c r="J49" s="628"/>
      <c r="K49" s="628">
        <f ca="1">SUM(K47:K48)</f>
        <v>24099772.956033275</v>
      </c>
      <c r="M49" s="436" t="s">
        <v>858</v>
      </c>
      <c r="N49" s="436"/>
      <c r="O49" s="483"/>
      <c r="P49" s="1629"/>
      <c r="Q49" s="1630"/>
      <c r="R49" s="483"/>
      <c r="S49" s="484">
        <f ca="1">Summary!S49</f>
        <v>24801112.482449707</v>
      </c>
    </row>
    <row r="50" spans="1:22" ht="16.2" thickTop="1" x14ac:dyDescent="0.3">
      <c r="A50" s="182" t="s">
        <v>859</v>
      </c>
      <c r="D50" s="407">
        <f>'Operating Inputs'!$F$110*12</f>
        <v>0</v>
      </c>
      <c r="E50" s="407">
        <f>D50</f>
        <v>0</v>
      </c>
      <c r="F50" s="407">
        <f>D50</f>
        <v>0</v>
      </c>
      <c r="G50" s="407">
        <f>LOOKUP(G41,Waterfalls!$5:$5,Waterfalls!$185:$185)</f>
        <v>0</v>
      </c>
      <c r="M50" s="182" t="s">
        <v>320</v>
      </c>
      <c r="O50" s="485"/>
      <c r="P50" s="1639"/>
      <c r="Q50" s="1640"/>
      <c r="R50" s="485"/>
      <c r="S50" s="486">
        <f ca="1">Summary!S50</f>
        <v>1.7069503446095315</v>
      </c>
    </row>
    <row r="51" spans="1:22" ht="15.6" x14ac:dyDescent="0.3">
      <c r="A51" s="1604" t="s">
        <v>268</v>
      </c>
      <c r="B51" s="1605"/>
      <c r="C51" s="1637"/>
      <c r="D51" s="1637">
        <f ca="1">(D49+D50)/('Development Inputs'!V126+'Operating Inputs'!$D$224)</f>
        <v>6.6452831626234915E-2</v>
      </c>
      <c r="E51" s="1637">
        <f ca="1">(E49+E50)/('Development Inputs'!$T$126+'Operating Inputs'!$D$224)</f>
        <v>6.6164498746847475E-2</v>
      </c>
      <c r="F51" s="1637">
        <f ca="1">(F49+F50)/($D$25+'Operating Inputs'!$D$224)</f>
        <v>6.6174169527370194E-2</v>
      </c>
      <c r="G51" s="1607">
        <f ca="1">(G49+G50)/($D$25+'Operating Inputs'!$D$224)</f>
        <v>7.2326812545050051E-2</v>
      </c>
      <c r="I51" s="511" t="s">
        <v>860</v>
      </c>
      <c r="J51" s="446"/>
      <c r="K51" s="447"/>
      <c r="M51" s="1632" t="s">
        <v>861</v>
      </c>
      <c r="N51" s="1633"/>
      <c r="O51" s="1634"/>
      <c r="P51" s="1631"/>
      <c r="Q51" s="1631"/>
      <c r="R51" s="1634"/>
      <c r="S51" s="1635">
        <f ca="1">Waterfalls!C204</f>
        <v>0.30587547483465172</v>
      </c>
      <c r="U51" s="487"/>
      <c r="V51" s="487"/>
    </row>
    <row r="52" spans="1:22" ht="4.5" customHeight="1" thickBot="1" x14ac:dyDescent="0.35">
      <c r="D52" s="407"/>
      <c r="E52" s="407"/>
      <c r="F52" s="407"/>
      <c r="G52" s="407"/>
      <c r="I52" s="119"/>
      <c r="J52" s="119"/>
      <c r="K52" s="119"/>
      <c r="U52" s="487"/>
      <c r="V52" s="487"/>
    </row>
    <row r="53" spans="1:22" ht="15" thickTop="1" x14ac:dyDescent="0.3">
      <c r="A53" s="182" t="s">
        <v>862</v>
      </c>
      <c r="D53" s="408">
        <f ca="1">(PMT(('General Inputs'!N14)/12,'General Inputs'!$N$13*12,'General Inputs'!H8)*12)</f>
        <v>-3174288.3325702995</v>
      </c>
      <c r="E53" s="401">
        <f ca="1">D53</f>
        <v>-3174288.3325702995</v>
      </c>
      <c r="F53" s="401">
        <f ca="1">D53</f>
        <v>-3174288.3325702995</v>
      </c>
      <c r="G53" s="401">
        <f ca="1">D53</f>
        <v>-3174288.3325702995</v>
      </c>
      <c r="J53" s="454"/>
      <c r="K53" s="408"/>
      <c r="U53" s="488"/>
      <c r="V53" s="488"/>
    </row>
    <row r="54" spans="1:22" x14ac:dyDescent="0.3">
      <c r="A54" s="613" t="s">
        <v>863</v>
      </c>
      <c r="B54" s="613"/>
      <c r="C54" s="613"/>
      <c r="D54" s="629">
        <f ca="1">D49+D50+D53</f>
        <v>1862201.6902707573</v>
      </c>
      <c r="E54" s="629">
        <f ca="1">E49+E50+E53</f>
        <v>1977211.5407385584</v>
      </c>
      <c r="F54" s="629">
        <f ca="1">F49+F50+F53</f>
        <v>1984625.0649391152</v>
      </c>
      <c r="G54" s="629">
        <f ca="1">G49+G50+G53</f>
        <v>2464282.8033089647</v>
      </c>
      <c r="I54" s="182" t="str">
        <f>"Asset Mgmt. Fee ("&amp;TEXT('General Inputs'!$C$47,("0.00%"))&amp;"):"</f>
        <v>Asset Mgmt. Fee (0.00%):</v>
      </c>
      <c r="J54" s="454"/>
      <c r="K54" s="407">
        <f ca="1">-SUMIF(Waterfalls!$5:$5,"&lt;="&amp;MonthDisposition,Waterfalls!$159:$159)</f>
        <v>0</v>
      </c>
      <c r="L54" s="410"/>
      <c r="U54" s="489"/>
      <c r="V54" s="489"/>
    </row>
    <row r="55" spans="1:22" x14ac:dyDescent="0.3">
      <c r="A55" s="475" t="s">
        <v>864</v>
      </c>
      <c r="B55" s="472"/>
      <c r="C55" s="472"/>
      <c r="D55" s="490">
        <f ca="1">(D49+D50)/-D53</f>
        <v>1.5866517137600058</v>
      </c>
      <c r="E55" s="490">
        <f ca="1">(E49+E50)/-E53</f>
        <v>1.6228834099445406</v>
      </c>
      <c r="F55" s="490">
        <f ca="1">(F49+F50)/-F53</f>
        <v>1.6252189016906713</v>
      </c>
      <c r="G55" s="490">
        <f ca="1">(G49+G50)/-G53</f>
        <v>1.7763260753674428</v>
      </c>
      <c r="I55" s="182" t="str">
        <f>"Constr. Mgmt. Fee ("&amp;TEXT('Development Inputs'!C50,("0.00%"))&amp;"):"</f>
        <v>Constr. Mgmt. Fee (0.00%):</v>
      </c>
      <c r="J55" s="454"/>
      <c r="K55" s="407">
        <f>DevBdgt!EH45-(DevBdgt!EH45/(1+'Development Inputs'!C50))</f>
        <v>0</v>
      </c>
      <c r="U55" s="489"/>
      <c r="V55" s="489"/>
    </row>
    <row r="56" spans="1:22" x14ac:dyDescent="0.3">
      <c r="A56" s="475" t="s">
        <v>865</v>
      </c>
      <c r="B56" s="472"/>
      <c r="C56" s="472"/>
      <c r="D56" s="482">
        <f ca="1">D49/B30</f>
        <v>0.11746150221031006</v>
      </c>
      <c r="E56" s="482">
        <f ca="1">E49/'General Inputs'!$H$8</f>
        <v>0.12014377294720523</v>
      </c>
      <c r="F56" s="482">
        <f ca="1">F49/'General Inputs'!$H$8</f>
        <v>0.1203166718679458</v>
      </c>
      <c r="G56" s="482">
        <f ca="1">G49/'General Inputs'!$H$8</f>
        <v>0.13150329553645465</v>
      </c>
      <c r="I56" s="182" t="str">
        <f>"Development Fee ("&amp;TEXT('Development Inputs'!K99,("0.00%"))&amp;"):"</f>
        <v>Development Fee (4.00%):</v>
      </c>
      <c r="K56" s="407">
        <f ca="1">DevBdgt!EH41</f>
        <v>2658062.4746991713</v>
      </c>
      <c r="L56" s="464"/>
      <c r="U56" s="489"/>
      <c r="V56" s="489"/>
    </row>
    <row r="57" spans="1:22" x14ac:dyDescent="0.3">
      <c r="A57" s="182" t="s">
        <v>866</v>
      </c>
      <c r="D57" s="457"/>
      <c r="E57" s="401"/>
      <c r="F57" s="401"/>
      <c r="G57" s="401">
        <f ca="1">SUMIFS(Waterfalls!$319:$319,Waterfalls!$5:$5,"&gt;"&amp;DispositionMonth,Waterfalls!$5:$5,"&lt;="&amp;DispositionMonth+12,Waterfalls!$320:$320,"=Next Year")
+SUMIFS(Waterfalls!$319:$319,Waterfalls!$5:$5,"&lt;="&amp;DispositionMonth,Waterfalls!$5:$5,"&gt;"&amp;DispositionMonth-12,Waterfalls!$320:$320,"=Current Year")
+SUMIFS(Waterfalls!$319:$319,Waterfalls!$5:$5,"&lt;="&amp;DispositionMonth+6,Waterfalls!$5:$5,"&gt;"&amp;DispositionMonth-6,Waterfalls!$320:$320,"=Blend")</f>
        <v>0</v>
      </c>
      <c r="I57" s="182" t="str">
        <f>"Disposition Fee ("&amp;TEXT(DispositionFee,("0.00%"))&amp;"):"</f>
        <v>Disposition Fee (0.00%):</v>
      </c>
      <c r="K57" s="407">
        <f ca="1">-LOOKUP(DispositionMonth,Waterfalls!$5:$5,Waterfalls!$195:$195)</f>
        <v>0</v>
      </c>
      <c r="U57" s="489"/>
      <c r="V57" s="489"/>
    </row>
    <row r="58" spans="1:22" ht="16.2" thickBot="1" x14ac:dyDescent="0.35">
      <c r="A58" s="436" t="s">
        <v>867</v>
      </c>
      <c r="B58" s="436"/>
      <c r="C58" s="436"/>
      <c r="D58" s="483"/>
      <c r="E58" s="483"/>
      <c r="F58" s="483"/>
      <c r="G58" s="483">
        <f ca="1">G54+G57</f>
        <v>2464282.8033089647</v>
      </c>
      <c r="I58" s="436" t="s">
        <v>868</v>
      </c>
      <c r="J58" s="436"/>
      <c r="K58" s="1636">
        <f ca="1">SUM(K53:K57)</f>
        <v>2658062.4746991713</v>
      </c>
      <c r="U58" s="489"/>
      <c r="V58" s="489"/>
    </row>
    <row r="59" spans="1:22" ht="7.5" customHeight="1" thickTop="1" x14ac:dyDescent="0.3"/>
    <row r="60" spans="1:22" ht="15.6" x14ac:dyDescent="0.3">
      <c r="A60" s="115" t="s">
        <v>869</v>
      </c>
      <c r="B60" s="389"/>
      <c r="C60" s="389"/>
      <c r="D60" s="389"/>
      <c r="E60" s="389"/>
      <c r="F60" s="389"/>
      <c r="G60" s="389"/>
      <c r="H60" s="389"/>
      <c r="I60" s="389"/>
      <c r="J60" s="389"/>
      <c r="K60" s="390"/>
    </row>
    <row r="61" spans="1:22" ht="3.75" customHeight="1" thickBot="1" x14ac:dyDescent="0.35">
      <c r="A61" s="119"/>
      <c r="B61" s="119"/>
      <c r="C61" s="119"/>
      <c r="D61" s="119"/>
      <c r="E61" s="119"/>
      <c r="F61" s="119"/>
      <c r="G61" s="119"/>
      <c r="H61" s="119"/>
      <c r="I61" s="119"/>
      <c r="J61" s="119"/>
      <c r="K61" s="119"/>
    </row>
    <row r="62" spans="1:22" ht="15" thickTop="1" x14ac:dyDescent="0.3">
      <c r="A62" s="68"/>
      <c r="B62" s="2"/>
      <c r="C62" s="2"/>
      <c r="D62" s="2"/>
      <c r="E62" s="2"/>
      <c r="F62" s="69"/>
      <c r="G62" s="2"/>
      <c r="H62" s="2"/>
      <c r="I62" s="2"/>
      <c r="J62" s="70"/>
      <c r="K62" s="71"/>
      <c r="L62" s="418"/>
      <c r="N62" s="410" t="s">
        <v>870</v>
      </c>
      <c r="O62" s="410" t="s">
        <v>871</v>
      </c>
    </row>
    <row r="63" spans="1:22" x14ac:dyDescent="0.3">
      <c r="A63" s="72"/>
      <c r="B63" s="73"/>
      <c r="C63" s="73"/>
      <c r="D63" s="73"/>
      <c r="E63" s="74"/>
      <c r="F63" s="73"/>
      <c r="G63" s="73"/>
      <c r="H63" s="73"/>
      <c r="I63" s="73"/>
      <c r="J63" s="75"/>
      <c r="K63" s="76"/>
      <c r="L63" s="418"/>
      <c r="M63" s="182" t="s">
        <v>872</v>
      </c>
      <c r="N63" s="491"/>
      <c r="O63" s="491">
        <f ca="1">K58/1000000</f>
        <v>2.6580624746991712</v>
      </c>
    </row>
    <row r="64" spans="1:22" x14ac:dyDescent="0.3">
      <c r="A64" s="77"/>
      <c r="B64" s="2"/>
      <c r="C64" s="2"/>
      <c r="D64" s="2"/>
      <c r="E64" s="78"/>
      <c r="F64" s="2"/>
      <c r="G64" s="2"/>
      <c r="H64" s="2"/>
      <c r="I64" s="2"/>
      <c r="J64" s="79"/>
      <c r="K64" s="80"/>
      <c r="L64" s="418"/>
      <c r="M64" s="182" t="s">
        <v>873</v>
      </c>
      <c r="N64" s="491">
        <f ca="1">E30/1000000</f>
        <v>3.5081830953980302</v>
      </c>
      <c r="O64" s="491">
        <f>P43/1000000</f>
        <v>0</v>
      </c>
    </row>
    <row r="65" spans="1:19" x14ac:dyDescent="0.3">
      <c r="A65" s="72"/>
      <c r="B65" s="73"/>
      <c r="C65" s="73"/>
      <c r="D65" s="73"/>
      <c r="E65" s="74"/>
      <c r="F65" s="73"/>
      <c r="G65" s="73"/>
      <c r="H65" s="73"/>
      <c r="I65" s="73"/>
      <c r="J65" s="75"/>
      <c r="K65" s="76"/>
      <c r="L65" s="418"/>
      <c r="M65" s="182" t="s">
        <v>874</v>
      </c>
      <c r="N65" s="491">
        <f ca="1">D30/1000000</f>
        <v>31.57364785858228</v>
      </c>
      <c r="O65" s="491">
        <f>O43/1000000</f>
        <v>0</v>
      </c>
    </row>
    <row r="66" spans="1:19" x14ac:dyDescent="0.3">
      <c r="A66" s="77" t="str">
        <f>IF('Operating Inputs'!K10&gt;0,"Stabilized Concessions ("&amp;TEXT('Operating Inputs'!$K$10,"0.0")&amp;" months)","")</f>
        <v/>
      </c>
      <c r="B66" s="2"/>
      <c r="C66" s="2"/>
      <c r="D66" s="78" t="str">
        <f>IF($A$66="","",Summary!D66)</f>
        <v/>
      </c>
      <c r="E66" s="78" t="str">
        <f>IF($A$66="","",Summary!E66)</f>
        <v/>
      </c>
      <c r="F66" s="78" t="str">
        <f>IF($A$66="","",Summary!F66)</f>
        <v/>
      </c>
      <c r="G66" s="2"/>
      <c r="H66" s="2"/>
      <c r="I66" s="2"/>
      <c r="J66" s="79"/>
      <c r="K66" s="80"/>
      <c r="L66" s="418"/>
      <c r="M66" s="182" t="s">
        <v>783</v>
      </c>
      <c r="N66" s="491">
        <f ca="1">F30/1000000</f>
        <v>0</v>
      </c>
      <c r="O66" s="491">
        <f>R43/1000000</f>
        <v>0</v>
      </c>
    </row>
    <row r="67" spans="1:19" x14ac:dyDescent="0.3">
      <c r="A67" s="72" t="str">
        <f>IF(A66="","","NOI w/ Stabilized Concessions")</f>
        <v/>
      </c>
      <c r="B67" s="73"/>
      <c r="C67" s="73"/>
      <c r="D67" s="74" t="str">
        <f>IF($A$66="","",Summary!D67)</f>
        <v/>
      </c>
      <c r="E67" s="74" t="str">
        <f>IF($A$66="","",Summary!E67)</f>
        <v/>
      </c>
      <c r="F67" s="74" t="str">
        <f>IF($A$66="","",Summary!F67)</f>
        <v/>
      </c>
      <c r="G67" s="73"/>
      <c r="H67" s="73"/>
      <c r="I67" s="73"/>
      <c r="J67" s="75"/>
      <c r="K67" s="76"/>
      <c r="L67" s="418"/>
      <c r="M67" s="182" t="s">
        <v>875</v>
      </c>
      <c r="N67" s="491">
        <f ca="1">C30/1000000</f>
        <v>0</v>
      </c>
      <c r="O67" s="491"/>
    </row>
    <row r="68" spans="1:19" x14ac:dyDescent="0.3">
      <c r="A68" s="77" t="str">
        <f>IF(A66="","","ROC w/ Stabilized Concessions")</f>
        <v/>
      </c>
      <c r="B68" s="2"/>
      <c r="C68" s="2"/>
      <c r="D68" s="1524" t="str">
        <f>IF($A$66="","",Summary!D68)</f>
        <v/>
      </c>
      <c r="E68" s="1524" t="str">
        <f>IF($A$66="","",Summary!E68)</f>
        <v/>
      </c>
      <c r="F68" s="1524" t="str">
        <f>IF($A$66="","",Summary!F68)</f>
        <v/>
      </c>
      <c r="G68" s="2"/>
      <c r="H68" s="2"/>
      <c r="I68" s="2"/>
      <c r="J68" s="79"/>
      <c r="K68" s="80"/>
      <c r="L68" s="418"/>
      <c r="M68" s="182" t="s">
        <v>876</v>
      </c>
      <c r="N68" s="491">
        <f ca="1">B30/1000000</f>
        <v>42.877793388198164</v>
      </c>
      <c r="O68" s="491"/>
    </row>
    <row r="69" spans="1:19" x14ac:dyDescent="0.3">
      <c r="A69" s="72"/>
      <c r="B69" s="73"/>
      <c r="C69" s="73"/>
      <c r="D69" s="73"/>
      <c r="E69" s="74"/>
      <c r="F69" s="73"/>
      <c r="G69" s="73"/>
      <c r="H69" s="73"/>
      <c r="I69" s="73"/>
      <c r="J69" s="75"/>
      <c r="K69" s="76"/>
      <c r="L69" s="418"/>
    </row>
    <row r="70" spans="1:19" ht="15" thickBot="1" x14ac:dyDescent="0.35">
      <c r="A70" s="2624"/>
      <c r="B70" s="2625"/>
      <c r="C70" s="2625"/>
      <c r="D70" s="2625"/>
      <c r="E70" s="2625"/>
      <c r="F70" s="2625"/>
      <c r="G70" s="2625"/>
      <c r="H70" s="2625"/>
      <c r="I70" s="2625"/>
      <c r="J70" s="2625"/>
      <c r="K70" s="2626"/>
      <c r="L70" s="492"/>
      <c r="M70" s="493"/>
      <c r="N70" s="493"/>
      <c r="O70" s="493"/>
      <c r="P70" s="493"/>
      <c r="Q70" s="493"/>
      <c r="R70" s="493"/>
      <c r="S70" s="493"/>
    </row>
    <row r="71" spans="1:19" ht="15" thickTop="1" x14ac:dyDescent="0.3"/>
    <row r="72" spans="1:19" x14ac:dyDescent="0.3">
      <c r="I72" s="494"/>
      <c r="J72" s="494"/>
    </row>
    <row r="73" spans="1:19" x14ac:dyDescent="0.3">
      <c r="I73" s="494"/>
      <c r="J73" s="494"/>
    </row>
    <row r="74" spans="1:19" x14ac:dyDescent="0.3">
      <c r="I74" s="495"/>
      <c r="J74" s="495"/>
    </row>
    <row r="75" spans="1:19" x14ac:dyDescent="0.3">
      <c r="I75" s="496"/>
      <c r="J75" s="496"/>
    </row>
    <row r="76" spans="1:19" x14ac:dyDescent="0.3">
      <c r="A76" s="497"/>
      <c r="B76" s="498"/>
      <c r="C76" s="499"/>
      <c r="D76" s="499"/>
      <c r="E76" s="499"/>
      <c r="F76" s="499"/>
      <c r="I76" s="496"/>
      <c r="J76" s="496"/>
    </row>
    <row r="77" spans="1:19" x14ac:dyDescent="0.3">
      <c r="A77" s="500"/>
      <c r="B77" s="501"/>
      <c r="C77" s="502"/>
      <c r="D77" s="502"/>
      <c r="E77" s="502"/>
      <c r="F77" s="502"/>
      <c r="I77" s="496"/>
      <c r="J77" s="496"/>
    </row>
    <row r="78" spans="1:19" x14ac:dyDescent="0.3">
      <c r="A78" s="500"/>
      <c r="B78" s="501"/>
      <c r="C78" s="502"/>
      <c r="D78" s="502"/>
      <c r="E78" s="502"/>
      <c r="F78" s="502"/>
      <c r="I78" s="496"/>
      <c r="J78" s="496"/>
    </row>
    <row r="79" spans="1:19" x14ac:dyDescent="0.3">
      <c r="A79" s="500"/>
      <c r="B79" s="501"/>
      <c r="C79" s="502"/>
      <c r="D79" s="502"/>
      <c r="E79" s="502"/>
      <c r="F79" s="502"/>
    </row>
    <row r="95" spans="3:10" x14ac:dyDescent="0.3">
      <c r="C95" s="494"/>
      <c r="D95" s="494"/>
      <c r="E95" s="494"/>
      <c r="F95" s="494"/>
      <c r="G95" s="494"/>
      <c r="H95" s="494"/>
      <c r="I95" s="494"/>
      <c r="J95" s="494"/>
    </row>
  </sheetData>
  <sheetProtection algorithmName="SHA-512" hashValue="3VA0uFY7gvUDyL8eZJ6GWQeDaMBMyso3hXvCgY+yKTFDRtTf7R1xFsBIakx2m+btAQEd1RkVh5yo/sX5Ybjmlw==" saltValue="g53hsCDpvsMLOmf+ukXf3Q==" spinCount="100000" sheet="1" objects="1" scenarios="1"/>
  <mergeCells count="16">
    <mergeCell ref="A70:K70"/>
    <mergeCell ref="I31:O31"/>
    <mergeCell ref="L35:M35"/>
    <mergeCell ref="P42:Q42"/>
    <mergeCell ref="P41:Q41"/>
    <mergeCell ref="L30:M30"/>
    <mergeCell ref="L32:M32"/>
    <mergeCell ref="L33:M33"/>
    <mergeCell ref="L34:M34"/>
    <mergeCell ref="P40:Q40"/>
    <mergeCell ref="L29:M29"/>
    <mergeCell ref="A1:S1"/>
    <mergeCell ref="A2:S2"/>
    <mergeCell ref="I4:S4"/>
    <mergeCell ref="U4:V4"/>
    <mergeCell ref="P15:Q15"/>
  </mergeCells>
  <conditionalFormatting sqref="I75:I78">
    <cfRule type="cellIs" dxfId="312" priority="13" operator="lessThan">
      <formula>0</formula>
    </cfRule>
  </conditionalFormatting>
  <conditionalFormatting sqref="J75:J78">
    <cfRule type="cellIs" dxfId="311" priority="12" operator="greaterThan">
      <formula>1</formula>
    </cfRule>
  </conditionalFormatting>
  <conditionalFormatting sqref="J15:N15">
    <cfRule type="expression" dxfId="310" priority="18">
      <formula>J13&gt;YEAR($R$31)</formula>
    </cfRule>
  </conditionalFormatting>
  <printOptions horizontalCentered="1" verticalCentered="1"/>
  <pageMargins left="0" right="0" top="0" bottom="0" header="0" footer="0"/>
  <pageSetup scale="59"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14" id="{04858624-1186-4C32-ABCC-F54B4AA13FBB}">
            <xm:f>'Operating Inputs'!$C$110=0</xm:f>
            <x14:dxf>
              <font>
                <color theme="0" tint="-0.34998626667073579"/>
              </font>
            </x14:dxf>
          </x14:cfRule>
          <xm:sqref>A24:B24 D24:G24 V9</xm:sqref>
        </x14:conditionalFormatting>
        <x14:conditionalFormatting xmlns:xm="http://schemas.microsoft.com/office/excel/2006/main">
          <x14:cfRule type="expression" priority="11" id="{18FFCD7F-DC33-4913-9640-93EAB9D2DAB6}">
            <xm:f>'General Inputs'!$L$8=0</xm:f>
            <x14:dxf>
              <font>
                <color theme="0"/>
              </font>
            </x14:dxf>
          </x14:cfRule>
          <xm:sqref>F29:F31 F33 R39:R50</xm:sqref>
        </x14:conditionalFormatting>
        <x14:conditionalFormatting xmlns:xm="http://schemas.microsoft.com/office/excel/2006/main">
          <x14:cfRule type="expression" priority="10" id="{0CF6B5CE-120E-469F-A051-4E9C1A855679}">
            <xm:f>'Operating Inputs'!$C$110=0</xm:f>
            <x14:dxf>
              <font>
                <color theme="0" tint="-0.24994659260841701"/>
              </font>
            </x14:dxf>
          </x14:cfRule>
          <xm:sqref>A24:G24 R6:R14 O24:S24 A50 D50:G50 K24:L24</xm:sqref>
        </x14:conditionalFormatting>
        <x14:conditionalFormatting xmlns:xm="http://schemas.microsoft.com/office/excel/2006/main">
          <x14:cfRule type="expression" priority="9" id="{6FB6A4A0-AD4F-4C67-93BF-5CFE10A6B7C1}">
            <xm:f>'General Inputs'!$L$8=0</xm:f>
            <x14:dxf>
              <font>
                <color theme="3" tint="0.79998168889431442"/>
              </font>
            </x14:dxf>
          </x14:cfRule>
          <xm:sqref>R51</xm:sqref>
        </x14:conditionalFormatting>
        <x14:conditionalFormatting xmlns:xm="http://schemas.microsoft.com/office/excel/2006/main">
          <x14:cfRule type="expression" priority="6" id="{C9D91ED1-FC80-4915-98A3-061751373517}">
            <xm:f>'Operating Inputs'!$C$110=0</xm:f>
            <x14:dxf>
              <font>
                <color theme="0" tint="-0.24994659260841701"/>
              </font>
            </x14:dxf>
          </x14:cfRule>
          <xm:sqref>M24</xm:sqref>
        </x14:conditionalFormatting>
        <x14:conditionalFormatting xmlns:xm="http://schemas.microsoft.com/office/excel/2006/main">
          <x14:cfRule type="expression" priority="4" id="{95F2E5A4-A61F-4E7C-A35A-7489500CA0C4}">
            <xm:f>'General Inputs'!$L$8=0</xm:f>
            <x14:dxf>
              <font>
                <color theme="0"/>
              </font>
            </x14:dxf>
          </x14:cfRule>
          <xm:sqref>F32</xm:sqref>
        </x14:conditionalFormatting>
        <x14:conditionalFormatting xmlns:xm="http://schemas.microsoft.com/office/excel/2006/main">
          <x14:cfRule type="expression" priority="15" id="{B95181C7-4D12-4BC4-837A-6648E6991F12}">
            <xm:f>'General Inputs'!$H$54=0</xm:f>
            <x14:dxf>
              <font>
                <color theme="0" tint="-0.24994659260841701"/>
              </font>
            </x14:dxf>
          </x14:cfRule>
          <xm:sqref>I57:K57</xm:sqref>
        </x14:conditionalFormatting>
        <x14:conditionalFormatting xmlns:xm="http://schemas.microsoft.com/office/excel/2006/main">
          <x14:cfRule type="expression" priority="16" id="{D76D09D6-8D4C-46C4-90E1-D91626E735A9}">
            <xm:f>'Development Inputs'!$C$50=0</xm:f>
            <x14:dxf>
              <font>
                <color theme="0" tint="-0.24994659260841701"/>
              </font>
            </x14:dxf>
          </x14:cfRule>
          <xm:sqref>I55:K55</xm:sqref>
        </x14:conditionalFormatting>
        <x14:conditionalFormatting xmlns:xm="http://schemas.microsoft.com/office/excel/2006/main">
          <x14:cfRule type="expression" priority="17" id="{92BFC723-2D7B-4AD8-BA61-404DA47657C3}">
            <xm:f>'Development Inputs'!$K$99=0</xm:f>
            <x14:dxf>
              <font>
                <color theme="0" tint="-0.24994659260841701"/>
              </font>
            </x14:dxf>
          </x14:cfRule>
          <xm:sqref>I56:K56</xm:sqref>
        </x14:conditionalFormatting>
        <x14:conditionalFormatting xmlns:xm="http://schemas.microsoft.com/office/excel/2006/main">
          <x14:cfRule type="expression" priority="2" id="{0A2CEA97-AA42-41D8-A09A-795F18414347}">
            <xm:f>'General Inputs'!$L$8=0</xm:f>
            <x14:dxf>
              <font>
                <color theme="0"/>
              </font>
            </x14:dxf>
          </x14:cfRule>
          <xm:sqref>O29 O32:O35</xm:sqref>
        </x14:conditionalFormatting>
        <x14:conditionalFormatting xmlns:xm="http://schemas.microsoft.com/office/excel/2006/main">
          <x14:cfRule type="expression" priority="1" id="{2AC86D7C-1BC5-4868-BBFC-90C71970F1CC}">
            <xm:f>'General Inputs'!$L$8=0</xm:f>
            <x14:dxf>
              <font>
                <color theme="0"/>
              </font>
            </x14:dxf>
          </x14:cfRule>
          <xm:sqref>O30</xm:sqref>
        </x14:conditionalFormatting>
        <x14:conditionalFormatting xmlns:xm="http://schemas.microsoft.com/office/excel/2006/main">
          <x14:cfRule type="expression" priority="272" id="{05A5394A-E5C3-4913-B06A-62D5858810E1}">
            <xm:f>'General Inputs'!$C$47=0</xm:f>
            <x14:dxf>
              <font>
                <color theme="0" tint="-0.24994659260841701"/>
              </font>
            </x14:dxf>
          </x14:cfRule>
          <xm:sqref>I54:K54</xm:sqref>
        </x14:conditionalFormatting>
        <x14:conditionalFormatting xmlns:xm="http://schemas.microsoft.com/office/excel/2006/main">
          <x14:cfRule type="expression" priority="315" id="{115F8C58-58D2-4EA8-ADFA-DDFBA0EE0BD2}">
            <xm:f>'Development Inputs'!#REF!=0</xm:f>
            <x14:dxf>
              <font>
                <color theme="0" tint="-0.24994659260841701"/>
              </font>
            </x14:dxf>
          </x14:cfRule>
          <xm:sqref>I53:K53</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N74"/>
  <sheetViews>
    <sheetView showGridLines="0" zoomScale="85" zoomScaleNormal="85" zoomScaleSheetLayoutView="100" workbookViewId="0">
      <pane xSplit="2" ySplit="7" topLeftCell="C8" activePane="bottomRight" state="frozen"/>
      <selection pane="topRight" activeCell="E83" sqref="E83"/>
      <selection pane="bottomLeft" activeCell="E83" sqref="E83"/>
      <selection pane="bottomRight" activeCell="B67" sqref="B67"/>
    </sheetView>
  </sheetViews>
  <sheetFormatPr defaultColWidth="17.44140625" defaultRowHeight="14.4" x14ac:dyDescent="0.3"/>
  <cols>
    <col min="1" max="13" width="17.33203125" customWidth="1"/>
  </cols>
  <sheetData>
    <row r="1" spans="1:14" ht="28.8" x14ac:dyDescent="0.55000000000000004">
      <c r="A1" s="2630" t="str">
        <f>Summary!A1</f>
        <v>Emblem Meridian - Meridian, Other</v>
      </c>
      <c r="B1" s="2631"/>
      <c r="C1" s="2631"/>
      <c r="D1" s="2631"/>
      <c r="E1" s="2631"/>
    </row>
    <row r="2" spans="1:14" ht="21.6" thickBot="1" x14ac:dyDescent="0.45">
      <c r="A2" s="2632" t="s">
        <v>877</v>
      </c>
      <c r="B2" s="2633"/>
      <c r="C2" s="2633"/>
      <c r="D2" s="2633"/>
      <c r="E2" s="2633"/>
      <c r="N2" s="516"/>
    </row>
    <row r="3" spans="1:14" ht="7.5" customHeight="1" thickTop="1" x14ac:dyDescent="0.3"/>
    <row r="4" spans="1:14" x14ac:dyDescent="0.3">
      <c r="A4" s="517" t="s">
        <v>878</v>
      </c>
      <c r="B4" s="116"/>
      <c r="C4" s="116"/>
      <c r="D4" s="116"/>
      <c r="E4" s="116"/>
    </row>
    <row r="5" spans="1:14" ht="4.5" customHeight="1" thickBot="1" x14ac:dyDescent="0.35">
      <c r="A5" s="119"/>
      <c r="B5" s="119"/>
      <c r="C5" s="119"/>
      <c r="D5" s="119"/>
      <c r="E5" s="119"/>
    </row>
    <row r="6" spans="1:14" ht="7.5" customHeight="1" thickTop="1" thickBot="1" x14ac:dyDescent="0.35"/>
    <row r="7" spans="1:14" ht="15" thickTop="1" x14ac:dyDescent="0.3">
      <c r="A7" s="125" t="s">
        <v>879</v>
      </c>
      <c r="B7" s="1493"/>
      <c r="C7" s="1506" t="s">
        <v>880</v>
      </c>
      <c r="D7" s="1507" t="s">
        <v>881</v>
      </c>
      <c r="E7" s="1507" t="s">
        <v>882</v>
      </c>
    </row>
    <row r="8" spans="1:14" x14ac:dyDescent="0.3">
      <c r="A8" s="182"/>
      <c r="B8" s="1494">
        <f>B9-0.05</f>
        <v>2.1391693307964781</v>
      </c>
      <c r="C8" s="514">
        <v>6.229818047168529E-2</v>
      </c>
      <c r="D8" s="514">
        <v>0.17097997411650456</v>
      </c>
      <c r="E8" s="519">
        <v>30035577.050000001</v>
      </c>
    </row>
    <row r="9" spans="1:14" x14ac:dyDescent="0.3">
      <c r="A9" s="182"/>
      <c r="B9" s="1494">
        <f>B10-0.05</f>
        <v>2.1891693307964779</v>
      </c>
      <c r="C9" s="514">
        <v>6.4009154112583608E-2</v>
      </c>
      <c r="D9" s="514">
        <v>0.18542245619640019</v>
      </c>
      <c r="E9" s="519">
        <v>33144783.91</v>
      </c>
    </row>
    <row r="10" spans="1:14" x14ac:dyDescent="0.3">
      <c r="A10" s="520"/>
      <c r="B10" s="1495">
        <v>2.2391693307964777</v>
      </c>
      <c r="C10" s="1504">
        <v>6.5721405297235636E-2</v>
      </c>
      <c r="D10" s="1504">
        <v>0.19943395354794302</v>
      </c>
      <c r="E10" s="1505">
        <v>36253900.060000002</v>
      </c>
    </row>
    <row r="11" spans="1:14" x14ac:dyDescent="0.3">
      <c r="A11" s="182"/>
      <c r="B11" s="1494">
        <f>B10+0.05</f>
        <v>2.2891693307964776</v>
      </c>
      <c r="C11" s="514">
        <v>6.7434897744393499E-2</v>
      </c>
      <c r="D11" s="514">
        <v>0.21304408788630114</v>
      </c>
      <c r="E11" s="519">
        <v>39362881.619999997</v>
      </c>
    </row>
    <row r="12" spans="1:14" x14ac:dyDescent="0.3">
      <c r="A12" s="182"/>
      <c r="B12" s="1494">
        <f>B11+0.05</f>
        <v>2.3391693307964774</v>
      </c>
      <c r="C12" s="514">
        <v>6.9149729845946389E-2</v>
      </c>
      <c r="D12" s="514">
        <v>0.22628036369953386</v>
      </c>
      <c r="E12" s="519">
        <v>42471863.189999998</v>
      </c>
    </row>
    <row r="13" spans="1:14" ht="7.5" customHeight="1" thickBot="1" x14ac:dyDescent="0.35">
      <c r="B13" s="581"/>
      <c r="C13" s="212"/>
      <c r="D13" s="212"/>
      <c r="E13" s="521"/>
    </row>
    <row r="14" spans="1:14" ht="15" thickTop="1" x14ac:dyDescent="0.3">
      <c r="A14" s="125" t="s">
        <v>883</v>
      </c>
      <c r="B14" s="1493"/>
      <c r="C14" s="518" t="s">
        <v>880</v>
      </c>
      <c r="D14" s="164" t="s">
        <v>881</v>
      </c>
      <c r="E14" s="164" t="s">
        <v>882</v>
      </c>
    </row>
    <row r="15" spans="1:14" x14ac:dyDescent="0.3">
      <c r="B15" s="514">
        <f>B16-0.005</f>
        <v>4.5000000000000005E-2</v>
      </c>
      <c r="C15" s="514">
        <v>6.5721405297235636E-2</v>
      </c>
      <c r="D15" s="514">
        <v>0.29306663301190383</v>
      </c>
      <c r="E15" s="519">
        <v>60267427.350000001</v>
      </c>
    </row>
    <row r="16" spans="1:14" x14ac:dyDescent="0.3">
      <c r="B16" s="514">
        <f>B17-0.005</f>
        <v>0.05</v>
      </c>
      <c r="C16" s="514">
        <v>6.5721405297235636E-2</v>
      </c>
      <c r="D16" s="514">
        <v>0.2440141133981315</v>
      </c>
      <c r="E16" s="519">
        <v>47059987.200000003</v>
      </c>
    </row>
    <row r="17" spans="1:5" x14ac:dyDescent="0.3">
      <c r="A17" s="1496"/>
      <c r="B17" s="1497">
        <v>5.5E-2</v>
      </c>
      <c r="C17" s="1504">
        <v>6.5721405297235636E-2</v>
      </c>
      <c r="D17" s="1504">
        <v>0.19943395354794302</v>
      </c>
      <c r="E17" s="1505">
        <v>36253900.060000002</v>
      </c>
    </row>
    <row r="18" spans="1:5" x14ac:dyDescent="0.3">
      <c r="B18" s="514">
        <f>B17+0.005</f>
        <v>0.06</v>
      </c>
      <c r="C18" s="514">
        <v>6.5721405297235636E-2</v>
      </c>
      <c r="D18" s="514">
        <v>0.15838832471495046</v>
      </c>
      <c r="E18" s="519">
        <v>27248826.93</v>
      </c>
    </row>
    <row r="19" spans="1:5" x14ac:dyDescent="0.3">
      <c r="B19" s="514">
        <f>B18+0.005</f>
        <v>6.5000000000000002E-2</v>
      </c>
      <c r="C19" s="514">
        <v>6.5721405297235636E-2</v>
      </c>
      <c r="D19" s="514">
        <v>0.12017137736343431</v>
      </c>
      <c r="E19" s="519">
        <v>19629149.800000001</v>
      </c>
    </row>
    <row r="20" spans="1:5" ht="7.5" customHeight="1" thickBot="1" x14ac:dyDescent="0.35">
      <c r="B20" s="514"/>
      <c r="C20" s="212"/>
      <c r="D20" s="212"/>
      <c r="E20" s="521"/>
    </row>
    <row r="21" spans="1:5" ht="15" thickTop="1" x14ac:dyDescent="0.3">
      <c r="A21" s="125" t="s">
        <v>884</v>
      </c>
      <c r="B21" s="1493"/>
      <c r="C21" s="518" t="s">
        <v>880</v>
      </c>
      <c r="D21" s="164" t="s">
        <v>881</v>
      </c>
      <c r="E21" s="164" t="s">
        <v>882</v>
      </c>
    </row>
    <row r="22" spans="1:5" x14ac:dyDescent="0.3">
      <c r="B22" s="1498">
        <v>174589.23</v>
      </c>
      <c r="C22" s="514">
        <v>7.0435095864586364E-2</v>
      </c>
      <c r="D22" s="514">
        <v>0.23710093505434604</v>
      </c>
      <c r="E22" s="519">
        <v>42405109.509999998</v>
      </c>
    </row>
    <row r="23" spans="1:5" x14ac:dyDescent="0.3">
      <c r="B23" s="1498">
        <v>182903.01</v>
      </c>
      <c r="C23" s="514">
        <v>6.8108938738409272E-2</v>
      </c>
      <c r="D23" s="514">
        <v>0.21897018487462305</v>
      </c>
      <c r="E23" s="519">
        <v>39475962.25</v>
      </c>
    </row>
    <row r="24" spans="1:5" x14ac:dyDescent="0.3">
      <c r="A24" s="520"/>
      <c r="B24" s="1499">
        <v>192048.16</v>
      </c>
      <c r="C24" s="1504">
        <v>6.5721405297235636E-2</v>
      </c>
      <c r="D24" s="1504">
        <v>0.19943395354794302</v>
      </c>
      <c r="E24" s="1505">
        <v>36253900.060000002</v>
      </c>
    </row>
    <row r="25" spans="1:5" x14ac:dyDescent="0.3">
      <c r="B25" s="1498">
        <v>201650.56</v>
      </c>
      <c r="C25" s="514">
        <v>6.3388251221008995E-2</v>
      </c>
      <c r="D25" s="514">
        <v>0.17934417098149558</v>
      </c>
      <c r="E25" s="519">
        <v>32870734.370000001</v>
      </c>
    </row>
    <row r="26" spans="1:5" x14ac:dyDescent="0.3">
      <c r="B26" s="1498">
        <v>211252.97</v>
      </c>
      <c r="C26" s="514">
        <v>6.1215074903668704E-2</v>
      </c>
      <c r="D26" s="514">
        <v>0.15965140808256484</v>
      </c>
      <c r="E26" s="519">
        <v>29487568.670000002</v>
      </c>
    </row>
    <row r="27" spans="1:5" ht="7.5" customHeight="1" thickBot="1" x14ac:dyDescent="0.35">
      <c r="B27" s="519"/>
    </row>
    <row r="28" spans="1:5" ht="15" thickTop="1" x14ac:dyDescent="0.3">
      <c r="A28" s="125" t="s">
        <v>885</v>
      </c>
      <c r="B28" s="1493"/>
      <c r="C28" s="518" t="s">
        <v>880</v>
      </c>
      <c r="D28" s="164" t="s">
        <v>881</v>
      </c>
      <c r="E28" s="164" t="s">
        <v>882</v>
      </c>
    </row>
    <row r="29" spans="1:5" x14ac:dyDescent="0.3">
      <c r="B29" s="1500">
        <f>B30-1</f>
        <v>12</v>
      </c>
      <c r="C29" s="514">
        <v>6.6264406405002252E-2</v>
      </c>
      <c r="D29" s="514">
        <v>0.2066765255078693</v>
      </c>
      <c r="E29" s="519">
        <v>37478083.619999997</v>
      </c>
    </row>
    <row r="30" spans="1:5" x14ac:dyDescent="0.3">
      <c r="B30" s="1500">
        <f>B31-1</f>
        <v>13</v>
      </c>
      <c r="C30" s="514">
        <v>6.5913234266849974E-2</v>
      </c>
      <c r="D30" s="514">
        <v>0.20202176222632295</v>
      </c>
      <c r="E30" s="519">
        <v>36697536.409999996</v>
      </c>
    </row>
    <row r="31" spans="1:5" x14ac:dyDescent="0.3">
      <c r="A31" s="520"/>
      <c r="B31" s="1501">
        <v>14</v>
      </c>
      <c r="C31" s="1504">
        <v>6.5721405297235636E-2</v>
      </c>
      <c r="D31" s="1504">
        <v>0.19943395354794302</v>
      </c>
      <c r="E31" s="1505">
        <v>36253900.060000002</v>
      </c>
    </row>
    <row r="32" spans="1:5" x14ac:dyDescent="0.3">
      <c r="B32" s="1500">
        <f>B31+1</f>
        <v>15</v>
      </c>
      <c r="C32" s="514">
        <v>6.5543337671011281E-2</v>
      </c>
      <c r="D32" s="514">
        <v>0.19694960729253852</v>
      </c>
      <c r="E32" s="519">
        <v>35829043.060000002</v>
      </c>
    </row>
    <row r="33" spans="1:5" x14ac:dyDescent="0.3">
      <c r="B33" s="1500">
        <f>B32+1</f>
        <v>16</v>
      </c>
      <c r="C33" s="514">
        <v>6.5370880319645677E-2</v>
      </c>
      <c r="D33" s="514">
        <v>0.19450816775583313</v>
      </c>
      <c r="E33" s="519">
        <v>35408150.049999997</v>
      </c>
    </row>
    <row r="34" spans="1:5" ht="7.5" customHeight="1" thickBot="1" x14ac:dyDescent="0.35">
      <c r="B34" s="1502"/>
    </row>
    <row r="35" spans="1:5" ht="15" thickTop="1" x14ac:dyDescent="0.3">
      <c r="A35" s="125" t="s">
        <v>886</v>
      </c>
      <c r="B35" s="1493"/>
      <c r="C35" s="518" t="s">
        <v>880</v>
      </c>
      <c r="D35" s="164" t="s">
        <v>881</v>
      </c>
      <c r="E35" s="164" t="s">
        <v>882</v>
      </c>
    </row>
    <row r="36" spans="1:5" x14ac:dyDescent="0.3">
      <c r="B36" s="1500">
        <f>B37-5</f>
        <v>8</v>
      </c>
      <c r="C36" s="514">
        <v>6.3879839722505952E-2</v>
      </c>
      <c r="D36" s="514">
        <v>0.16766386281672818</v>
      </c>
      <c r="E36" s="519">
        <v>30619494.129999999</v>
      </c>
    </row>
    <row r="37" spans="1:5" x14ac:dyDescent="0.3">
      <c r="B37" s="1500">
        <f>B38-5</f>
        <v>13</v>
      </c>
      <c r="C37" s="514">
        <v>6.5188964407047065E-2</v>
      </c>
      <c r="D37" s="514">
        <v>0.18924180087931597</v>
      </c>
      <c r="E37" s="519">
        <v>34510238.07</v>
      </c>
    </row>
    <row r="38" spans="1:5" x14ac:dyDescent="0.3">
      <c r="A38" s="520"/>
      <c r="B38" s="1501">
        <v>18</v>
      </c>
      <c r="C38" s="1504">
        <v>6.5721405297235636E-2</v>
      </c>
      <c r="D38" s="1504">
        <v>0.19943395354794302</v>
      </c>
      <c r="E38" s="1505">
        <v>36253900.060000002</v>
      </c>
    </row>
    <row r="39" spans="1:5" x14ac:dyDescent="0.3">
      <c r="B39" s="1500">
        <f>B38+5</f>
        <v>23</v>
      </c>
      <c r="C39" s="514">
        <v>6.6041374553328105E-2</v>
      </c>
      <c r="D39" s="514">
        <v>0.20499153859941655</v>
      </c>
      <c r="E39" s="519">
        <v>37160058.219999999</v>
      </c>
    </row>
    <row r="40" spans="1:5" x14ac:dyDescent="0.3">
      <c r="B40" s="1500">
        <f>B39+5</f>
        <v>28</v>
      </c>
      <c r="C40" s="514">
        <v>6.6253897170603704E-2</v>
      </c>
      <c r="D40" s="514">
        <v>0.20878525631568334</v>
      </c>
      <c r="E40" s="519">
        <v>37761595.280000001</v>
      </c>
    </row>
    <row r="41" spans="1:5" ht="7.5" customHeight="1" thickBot="1" x14ac:dyDescent="0.35">
      <c r="B41" s="1502"/>
    </row>
    <row r="42" spans="1:5" ht="15" thickTop="1" x14ac:dyDescent="0.3">
      <c r="A42" s="125" t="s">
        <v>887</v>
      </c>
      <c r="B42" s="1493"/>
      <c r="C42" s="518" t="str">
        <f>'General Inputs'!S31</f>
        <v>In Place ROC</v>
      </c>
      <c r="D42" s="164" t="str">
        <f>'General Inputs'!T31</f>
        <v>LP IRR</v>
      </c>
      <c r="E42" s="164" t="s">
        <v>882</v>
      </c>
    </row>
    <row r="43" spans="1:5" x14ac:dyDescent="0.3">
      <c r="A43" s="253"/>
      <c r="B43" s="1514">
        <f>B44+6</f>
        <v>73</v>
      </c>
      <c r="C43" s="514">
        <v>6.5721405297235636E-2</v>
      </c>
      <c r="D43" s="514">
        <v>0.17116753327293344</v>
      </c>
      <c r="E43" s="519">
        <v>52340889.899999999</v>
      </c>
    </row>
    <row r="44" spans="1:5" x14ac:dyDescent="0.3">
      <c r="A44" s="253"/>
      <c r="B44" s="1514">
        <f>B45+6</f>
        <v>67</v>
      </c>
      <c r="C44" s="514">
        <v>6.5721405297235636E-2</v>
      </c>
      <c r="D44" s="514">
        <v>0.175974022550903</v>
      </c>
      <c r="E44" s="519">
        <v>48075354.840000004</v>
      </c>
    </row>
    <row r="45" spans="1:5" x14ac:dyDescent="0.3">
      <c r="A45" s="253"/>
      <c r="B45" s="1514">
        <f>B46+6</f>
        <v>61</v>
      </c>
      <c r="C45" s="514">
        <v>6.5721405297235636E-2</v>
      </c>
      <c r="D45" s="514">
        <v>0.18182599840021596</v>
      </c>
      <c r="E45" s="519">
        <v>43936573.899999999</v>
      </c>
    </row>
    <row r="46" spans="1:5" x14ac:dyDescent="0.3">
      <c r="A46" s="253"/>
      <c r="B46" s="1514">
        <f>B47+6</f>
        <v>55</v>
      </c>
      <c r="C46" s="514">
        <v>6.5721405297235636E-2</v>
      </c>
      <c r="D46" s="514">
        <v>0.18922836065371706</v>
      </c>
      <c r="E46" s="519">
        <v>39952866.899999999</v>
      </c>
    </row>
    <row r="47" spans="1:5" x14ac:dyDescent="0.3">
      <c r="A47" s="1512"/>
      <c r="B47" s="1501">
        <v>49</v>
      </c>
      <c r="C47" s="1504">
        <v>6.5721405297235636E-2</v>
      </c>
      <c r="D47" s="1504">
        <v>0.19943395354794302</v>
      </c>
      <c r="E47" s="1505">
        <v>36253900.060000002</v>
      </c>
    </row>
    <row r="48" spans="1:5" ht="7.5" customHeight="1" thickBot="1" x14ac:dyDescent="0.35">
      <c r="B48" s="1502"/>
    </row>
    <row r="49" spans="1:10" ht="15" thickTop="1" x14ac:dyDescent="0.3">
      <c r="A49" s="125" t="s">
        <v>888</v>
      </c>
      <c r="B49" s="1493"/>
      <c r="C49" s="518" t="s">
        <v>880</v>
      </c>
      <c r="D49" s="164" t="s">
        <v>881</v>
      </c>
      <c r="E49" s="164" t="s">
        <v>882</v>
      </c>
    </row>
    <row r="50" spans="1:10" x14ac:dyDescent="0.3">
      <c r="B50" s="514">
        <v>1.4702883628709085E-2</v>
      </c>
      <c r="C50" s="514">
        <v>6.5661909993140338E-2</v>
      </c>
      <c r="D50" s="514">
        <v>0.13504792455091197</v>
      </c>
      <c r="E50" s="519">
        <v>22639802.030000001</v>
      </c>
    </row>
    <row r="51" spans="1:10" x14ac:dyDescent="0.3">
      <c r="B51" s="514">
        <v>2.4940327707310805E-2</v>
      </c>
      <c r="C51" s="514">
        <v>6.5691316272740649E-2</v>
      </c>
      <c r="D51" s="514">
        <v>0.1675788885881937</v>
      </c>
      <c r="E51" s="519">
        <v>29271679.690000001</v>
      </c>
    </row>
    <row r="52" spans="1:10" x14ac:dyDescent="0.3">
      <c r="A52" s="520"/>
      <c r="B52" s="1497">
        <v>3.5272024339919161E-2</v>
      </c>
      <c r="C52" s="1504">
        <v>6.5721405297235636E-2</v>
      </c>
      <c r="D52" s="1504">
        <v>0.19943395354794302</v>
      </c>
      <c r="E52" s="1505">
        <v>36253900.060000002</v>
      </c>
    </row>
    <row r="53" spans="1:10" x14ac:dyDescent="0.3">
      <c r="B53" s="514">
        <v>4.5698758793783156E-2</v>
      </c>
      <c r="C53" s="514">
        <v>6.5752132747217321E-2</v>
      </c>
      <c r="D53" s="514">
        <v>0.23072723115207272</v>
      </c>
      <c r="E53" s="519">
        <v>43604835.450000003</v>
      </c>
    </row>
    <row r="54" spans="1:10" x14ac:dyDescent="0.3">
      <c r="B54" s="514">
        <v>5.622132219725362E-2</v>
      </c>
      <c r="C54" s="514">
        <v>6.57836442189242E-2</v>
      </c>
      <c r="D54" s="514">
        <v>0.26155567912221067</v>
      </c>
      <c r="E54" s="519">
        <v>51344081.670000002</v>
      </c>
    </row>
    <row r="55" spans="1:10" ht="6" customHeight="1" x14ac:dyDescent="0.3">
      <c r="B55" s="514"/>
    </row>
    <row r="56" spans="1:10" ht="3" customHeight="1" thickBot="1" x14ac:dyDescent="0.35">
      <c r="B56" s="581"/>
      <c r="C56" s="1503"/>
      <c r="D56" s="176"/>
      <c r="E56" s="176"/>
    </row>
    <row r="57" spans="1:10" ht="15" thickTop="1" x14ac:dyDescent="0.3">
      <c r="A57" s="125" t="s">
        <v>783</v>
      </c>
      <c r="B57" s="1493"/>
      <c r="C57" s="518" t="s">
        <v>880</v>
      </c>
      <c r="D57" s="164" t="s">
        <v>881</v>
      </c>
      <c r="E57" s="164" t="s">
        <v>882</v>
      </c>
    </row>
    <row r="58" spans="1:10" x14ac:dyDescent="0.3">
      <c r="B58" s="1498">
        <f>B59*(1-0.2)</f>
        <v>6372000</v>
      </c>
      <c r="C58" s="514">
        <v>6.8073634844355954E-2</v>
      </c>
      <c r="D58" s="514">
        <v>0.22109343813251692</v>
      </c>
      <c r="E58" s="519">
        <v>39315159.25</v>
      </c>
    </row>
    <row r="59" spans="1:10" x14ac:dyDescent="0.3">
      <c r="A59" s="252"/>
      <c r="B59" s="1498">
        <f>B60*(1-0.1)</f>
        <v>7965000</v>
      </c>
      <c r="C59" s="514">
        <v>6.6542593022862043E-2</v>
      </c>
      <c r="D59" s="514">
        <v>0.20702969011611816</v>
      </c>
      <c r="E59" s="519">
        <v>37347207.130000003</v>
      </c>
    </row>
    <row r="60" spans="1:10" x14ac:dyDescent="0.3">
      <c r="A60" s="1513"/>
      <c r="B60" s="1499">
        <v>8850000</v>
      </c>
      <c r="C60" s="1504">
        <v>6.5721405297235636E-2</v>
      </c>
      <c r="D60" s="1504">
        <v>0.19943395354794302</v>
      </c>
      <c r="E60" s="1505">
        <v>36253900.060000002</v>
      </c>
    </row>
    <row r="61" spans="1:10" x14ac:dyDescent="0.3">
      <c r="A61" s="252"/>
      <c r="B61" s="1498">
        <f>B60*(1+0.1)</f>
        <v>9735000</v>
      </c>
      <c r="C61" s="514">
        <v>6.492023869497747E-2</v>
      </c>
      <c r="D61" s="514">
        <v>0.19198337419572131</v>
      </c>
      <c r="E61" s="519">
        <v>35160592.990000002</v>
      </c>
    </row>
    <row r="62" spans="1:10" x14ac:dyDescent="0.3">
      <c r="B62" s="1498">
        <f>B61*(1+0.2)</f>
        <v>11682000</v>
      </c>
      <c r="C62" s="514">
        <v>6.3224632517175736E-2</v>
      </c>
      <c r="D62" s="514">
        <v>0.17606745382788613</v>
      </c>
      <c r="E62" s="519">
        <v>32755316.84</v>
      </c>
    </row>
    <row r="63" spans="1:10" ht="15" thickBot="1" x14ac:dyDescent="0.35"/>
    <row r="64" spans="1:10" ht="15" thickTop="1" x14ac:dyDescent="0.3">
      <c r="A64" s="125" t="s">
        <v>889</v>
      </c>
      <c r="B64" s="1493"/>
      <c r="C64" s="518" t="s">
        <v>880</v>
      </c>
      <c r="D64" s="164" t="s">
        <v>881</v>
      </c>
      <c r="E64" s="164" t="s">
        <v>882</v>
      </c>
      <c r="F64">
        <v>0.31300085856286963</v>
      </c>
      <c r="J64">
        <v>26659807.49257559</v>
      </c>
    </row>
    <row r="65" spans="1:13" x14ac:dyDescent="0.3">
      <c r="B65" s="1498">
        <f>B66-50</f>
        <v>4833</v>
      </c>
      <c r="C65" s="514">
        <v>6.6073797263739992E-2</v>
      </c>
      <c r="D65" s="514">
        <v>0.20221541613899152</v>
      </c>
      <c r="E65" s="519">
        <v>36874005.579999998</v>
      </c>
      <c r="F65">
        <v>0.29611023874438391</v>
      </c>
      <c r="G65">
        <v>0.22519656402091281</v>
      </c>
      <c r="H65">
        <v>0.31880070402376237</v>
      </c>
      <c r="I65">
        <v>0</v>
      </c>
      <c r="J65">
        <v>25592863.467407763</v>
      </c>
      <c r="K65">
        <v>4701301.242879888</v>
      </c>
      <c r="L65">
        <v>20891562.224527873</v>
      </c>
      <c r="M65">
        <v>0</v>
      </c>
    </row>
    <row r="66" spans="1:13" x14ac:dyDescent="0.3">
      <c r="A66" s="252"/>
      <c r="B66" s="1498">
        <f>B67-50</f>
        <v>4883</v>
      </c>
      <c r="C66" s="514">
        <v>6.5897573316974198E-2</v>
      </c>
      <c r="D66" s="514">
        <v>0.20082656857478787</v>
      </c>
      <c r="E66" s="519">
        <v>36563952.82</v>
      </c>
    </row>
    <row r="67" spans="1:13" x14ac:dyDescent="0.3">
      <c r="A67" s="1513"/>
      <c r="B67" s="1499">
        <v>4933</v>
      </c>
      <c r="C67" s="1504">
        <v>6.5721405297235636E-2</v>
      </c>
      <c r="D67" s="1504">
        <v>0.19943395354794302</v>
      </c>
      <c r="E67" s="1505">
        <v>36253900.060000002</v>
      </c>
    </row>
    <row r="68" spans="1:13" x14ac:dyDescent="0.3">
      <c r="A68" s="252"/>
      <c r="B68" s="1498">
        <f>B67+50</f>
        <v>4983</v>
      </c>
      <c r="C68" s="514">
        <v>6.5545293177836098E-2</v>
      </c>
      <c r="D68" s="514">
        <v>0.19803754492386583</v>
      </c>
      <c r="E68" s="519">
        <v>35943846.310000002</v>
      </c>
    </row>
    <row r="69" spans="1:13" x14ac:dyDescent="0.3">
      <c r="B69" s="1498">
        <f>B68+50</f>
        <v>5033</v>
      </c>
      <c r="C69" s="514">
        <v>6.5369236932109179E-2</v>
      </c>
      <c r="D69" s="514">
        <v>0.19663731633854575</v>
      </c>
      <c r="E69" s="519">
        <v>35633793.549999997</v>
      </c>
    </row>
    <row r="70" spans="1:13" x14ac:dyDescent="0.3">
      <c r="C70" s="198"/>
      <c r="D70" s="198"/>
      <c r="E70" s="198"/>
    </row>
    <row r="71" spans="1:13" x14ac:dyDescent="0.3">
      <c r="C71" s="198"/>
      <c r="D71" s="198"/>
      <c r="E71" s="198"/>
      <c r="F71" s="198"/>
      <c r="G71" s="198"/>
      <c r="H71" s="198"/>
      <c r="I71" s="198"/>
      <c r="J71" s="198"/>
      <c r="K71" s="198"/>
      <c r="L71" s="198"/>
      <c r="M71" s="198"/>
    </row>
    <row r="72" spans="1:13" x14ac:dyDescent="0.3">
      <c r="C72" s="198"/>
      <c r="D72" s="198"/>
      <c r="E72" s="198"/>
      <c r="F72" s="198"/>
      <c r="G72" s="198"/>
      <c r="H72" s="198"/>
      <c r="I72" s="198"/>
      <c r="J72" s="198"/>
      <c r="K72" s="198"/>
      <c r="L72" s="198"/>
      <c r="M72" s="198"/>
    </row>
    <row r="73" spans="1:13" x14ac:dyDescent="0.3">
      <c r="C73" s="198"/>
      <c r="D73" s="198"/>
      <c r="E73" s="198"/>
      <c r="F73" s="198"/>
      <c r="G73" s="198"/>
      <c r="H73" s="198"/>
      <c r="I73" s="198"/>
      <c r="J73" s="198"/>
      <c r="K73" s="198"/>
      <c r="L73" s="198"/>
      <c r="M73" s="198"/>
    </row>
    <row r="74" spans="1:13" x14ac:dyDescent="0.3">
      <c r="C74" s="198"/>
      <c r="D74" s="198"/>
      <c r="E74" s="198"/>
      <c r="F74" s="198"/>
      <c r="G74" s="198"/>
      <c r="H74" s="198"/>
      <c r="I74" s="198"/>
      <c r="J74" s="198"/>
      <c r="K74" s="198"/>
      <c r="L74" s="198"/>
      <c r="M74" s="198"/>
    </row>
  </sheetData>
  <sheetProtection algorithmName="SHA-512" hashValue="yekZtZcAu1bfkMZugMiWph9iKCbXa+6jxtWRudPnRDH6W2j5EPbbsahMqwNDiUuXiLxhCg+oxNnAdofitBQvLw==" saltValue="lWXjIcz/K0Pt4EsWU4kmVQ==" spinCount="100000" sheet="1" objects="1" scenarios="1"/>
  <mergeCells count="2">
    <mergeCell ref="A1:E1"/>
    <mergeCell ref="A2:E2"/>
  </mergeCells>
  <pageMargins left="0.25" right="0.25" top="0.4" bottom="0.4" header="0.25" footer="0.3"/>
  <pageSetup scale="60" orientation="landscape" r:id="rId1"/>
  <headerFooter>
    <oddHeader>&amp;R&amp;"Garamond,Regular"&amp;10Printed: &amp;D &amp;T</oddHeader>
    <oddFooter>&amp;R&amp;"Garamond,Regular"&amp;10Page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CalcSenTables">
                <anchor>
                  <from>
                    <xdr:col>4</xdr:col>
                    <xdr:colOff>144780</xdr:colOff>
                    <xdr:row>1</xdr:row>
                    <xdr:rowOff>22860</xdr:rowOff>
                  </from>
                  <to>
                    <xdr:col>4</xdr:col>
                    <xdr:colOff>1089660</xdr:colOff>
                    <xdr:row>1</xdr:row>
                    <xdr:rowOff>213360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58" id="{6E20907E-D366-46BF-A336-51F2788AB20E}">
            <xm:f>ROUND($L$10,0)&lt;&gt;ROUND(Summary!$P$49,0)</xm:f>
            <x14:dxf>
              <font>
                <color theme="0"/>
              </font>
            </x14:dxf>
          </x14:cfRule>
          <xm:sqref>G12:I12 K12:M12 G15:I19 K15:M19 G22:I26 K22:M26 G29:I33 K29:M33 G36:I40 K36:M40 G43:I47 K43:M47 G50:I54 K50:M54 G61:I63 K61:M63 G57:I58 K57:M58 F64:M65</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9"/>
  <dimension ref="A1:AG63"/>
  <sheetViews>
    <sheetView showGridLines="0" topLeftCell="V1" zoomScale="85" zoomScaleNormal="85" workbookViewId="0">
      <selection activeCell="V3" sqref="V3:AG61"/>
    </sheetView>
  </sheetViews>
  <sheetFormatPr defaultRowHeight="14.4" outlineLevelCol="1" x14ac:dyDescent="0.3"/>
  <cols>
    <col min="1" max="1" width="20.6640625" hidden="1" customWidth="1" outlineLevel="1"/>
    <col min="2" max="7" width="15.6640625" hidden="1" customWidth="1" outlineLevel="1"/>
    <col min="8" max="8" width="12.6640625" hidden="1" customWidth="1" outlineLevel="1"/>
    <col min="9" max="13" width="14.33203125" hidden="1" customWidth="1" outlineLevel="1"/>
    <col min="14" max="15" width="0.6640625" hidden="1" customWidth="1" outlineLevel="1"/>
    <col min="16" max="20" width="14.33203125" hidden="1" customWidth="1" outlineLevel="1"/>
    <col min="21" max="21" width="9.33203125" hidden="1" customWidth="1" outlineLevel="1"/>
    <col min="22" max="22" width="14.33203125" customWidth="1" collapsed="1"/>
    <col min="23" max="26" width="14.33203125" customWidth="1"/>
    <col min="27" max="28" width="0.6640625" customWidth="1"/>
    <col min="29" max="33" width="14.33203125" customWidth="1"/>
  </cols>
  <sheetData>
    <row r="1" spans="1:33" x14ac:dyDescent="0.3">
      <c r="A1" s="700" t="s">
        <v>890</v>
      </c>
      <c r="I1" s="700" t="s">
        <v>891</v>
      </c>
      <c r="V1" s="700" t="s">
        <v>892</v>
      </c>
    </row>
    <row r="2" spans="1:33" ht="7.5" customHeight="1" x14ac:dyDescent="0.3"/>
    <row r="3" spans="1:33" ht="15.6" x14ac:dyDescent="0.3">
      <c r="A3" s="874"/>
      <c r="B3" s="929" t="s">
        <v>893</v>
      </c>
      <c r="C3" s="929" t="s">
        <v>894</v>
      </c>
      <c r="D3" s="929" t="s">
        <v>553</v>
      </c>
      <c r="E3" s="930" t="s">
        <v>895</v>
      </c>
      <c r="I3" s="874" t="str">
        <f>Summary!A4</f>
        <v>DEVELOPMENT BUDGET (at Const. Start)</v>
      </c>
      <c r="J3" s="83"/>
      <c r="K3" s="83"/>
      <c r="L3" s="83"/>
      <c r="M3" s="83"/>
      <c r="N3" s="83"/>
      <c r="O3" s="875"/>
      <c r="P3" s="876" t="str">
        <f>+I3</f>
        <v>DEVELOPMENT BUDGET (at Const. Start)</v>
      </c>
      <c r="Q3" s="83"/>
      <c r="R3" s="83"/>
      <c r="S3" s="83"/>
      <c r="T3" s="84"/>
      <c r="V3" s="874" t="s">
        <v>219</v>
      </c>
      <c r="W3" s="83"/>
      <c r="X3" s="83"/>
      <c r="Y3" s="83"/>
      <c r="Z3" s="83"/>
      <c r="AA3" s="83"/>
      <c r="AB3" s="875"/>
      <c r="AC3" s="876" t="s">
        <v>219</v>
      </c>
      <c r="AD3" s="83"/>
      <c r="AE3" s="83"/>
      <c r="AF3" s="83"/>
      <c r="AG3" s="84"/>
    </row>
    <row r="4" spans="1:33" ht="15.75" customHeight="1" thickBot="1" x14ac:dyDescent="0.35">
      <c r="A4" t="s">
        <v>274</v>
      </c>
      <c r="B4" s="928">
        <f>'General Inputs'!$H$25</f>
        <v>0.55000000000000004</v>
      </c>
      <c r="C4" s="928">
        <f>IF('Development Inputs'!$N$97="PropCo",'SBS Summary'!$E$4,'SBS Summary'!$D$4)</f>
        <v>0.55000000000000004</v>
      </c>
      <c r="D4" s="32">
        <v>0.55000000000000004</v>
      </c>
      <c r="E4" s="32">
        <v>0.5</v>
      </c>
      <c r="F4" s="240">
        <f>IF('Development Inputs'!$N$97="PropCo",'SBS Summary'!$E$4,'SBS Summary'!$D$4)</f>
        <v>0.55000000000000004</v>
      </c>
      <c r="I4" s="877" t="s">
        <v>896</v>
      </c>
      <c r="J4" s="878"/>
      <c r="K4" s="878"/>
      <c r="L4" s="878"/>
      <c r="M4" s="878"/>
      <c r="N4" s="878"/>
      <c r="O4" s="879"/>
      <c r="P4" s="880" t="s">
        <v>897</v>
      </c>
      <c r="Q4" s="881"/>
      <c r="R4" s="881"/>
      <c r="S4" s="881"/>
      <c r="T4" s="882"/>
      <c r="V4" s="877" t="s">
        <v>896</v>
      </c>
      <c r="W4" s="878"/>
      <c r="X4" s="878"/>
      <c r="Y4" s="878"/>
      <c r="Z4" s="878"/>
      <c r="AA4" s="878"/>
      <c r="AB4" s="879"/>
      <c r="AC4" s="880" t="s">
        <v>897</v>
      </c>
      <c r="AD4" s="881"/>
      <c r="AE4" s="881"/>
      <c r="AF4" s="881"/>
      <c r="AG4" s="882"/>
    </row>
    <row r="5" spans="1:33" ht="15" thickTop="1" x14ac:dyDescent="0.3">
      <c r="A5" t="s">
        <v>898</v>
      </c>
      <c r="B5" s="928">
        <f>ContrEquity</f>
        <v>0.9</v>
      </c>
      <c r="C5" s="928">
        <f>IF('Development Inputs'!$N$97="PropCo",'SBS Summary'!$E$5,'SBS Summary'!$D$5)</f>
        <v>0.9</v>
      </c>
      <c r="D5" s="32">
        <v>0.9</v>
      </c>
      <c r="E5" s="32">
        <v>0.9</v>
      </c>
      <c r="F5" s="240">
        <f>IF('Development Inputs'!$N$97="PropCo",'SBS Summary'!$E$5,'SBS Summary'!$D$5)</f>
        <v>0.9</v>
      </c>
      <c r="I5" s="85" t="str">
        <f>Summary!A6</f>
        <v>LAND</v>
      </c>
      <c r="J5" s="850"/>
      <c r="K5" s="82"/>
      <c r="L5" s="86" t="str">
        <f>Summary!D6</f>
        <v>Total</v>
      </c>
      <c r="M5" s="86" t="str">
        <f>Summary!E6</f>
        <v>Per Home</v>
      </c>
      <c r="N5" s="883"/>
      <c r="O5" s="884"/>
      <c r="P5" s="85" t="str">
        <f>+I5</f>
        <v>LAND</v>
      </c>
      <c r="Q5" s="850"/>
      <c r="R5" s="82"/>
      <c r="S5" s="86" t="str">
        <f>+L5</f>
        <v>Total</v>
      </c>
      <c r="T5" s="86" t="str">
        <f>+M5</f>
        <v>Per Home</v>
      </c>
      <c r="V5" s="85" t="s">
        <v>783</v>
      </c>
      <c r="W5" s="850"/>
      <c r="X5" s="82"/>
      <c r="Y5" s="86" t="s">
        <v>173</v>
      </c>
      <c r="Z5" s="86" t="s">
        <v>784</v>
      </c>
      <c r="AA5" s="883"/>
      <c r="AB5" s="884"/>
      <c r="AC5" s="85" t="s">
        <v>783</v>
      </c>
      <c r="AD5" s="850"/>
      <c r="AE5" s="82"/>
      <c r="AF5" s="86" t="s">
        <v>173</v>
      </c>
      <c r="AG5" s="86" t="s">
        <v>784</v>
      </c>
    </row>
    <row r="6" spans="1:33" x14ac:dyDescent="0.3">
      <c r="A6" t="s">
        <v>899</v>
      </c>
      <c r="B6" s="928">
        <f>ContrLennar</f>
        <v>9.9999999999999978E-2</v>
      </c>
      <c r="C6" s="928">
        <f>1-ContrEquity</f>
        <v>9.9999999999999978E-2</v>
      </c>
      <c r="D6" s="32">
        <v>0.1</v>
      </c>
      <c r="E6" s="32">
        <v>0.1</v>
      </c>
      <c r="F6" s="240">
        <f>IF('Development Inputs'!$N$97="PropCo",'SBS Summary'!$E$6,'SBS Summary'!$D$6)</f>
        <v>0.1</v>
      </c>
      <c r="I6" s="81" t="str">
        <f>Summary!A7</f>
        <v>Purchase Price</v>
      </c>
      <c r="J6" s="850"/>
      <c r="K6" s="82"/>
      <c r="L6" s="87">
        <f>Summary!D7</f>
        <v>8850000</v>
      </c>
      <c r="M6" s="885">
        <f>Summary!E7</f>
        <v>34570.3125</v>
      </c>
      <c r="N6" s="886"/>
      <c r="O6" s="887"/>
      <c r="P6" s="81" t="str">
        <f>+I6</f>
        <v>Purchase Price</v>
      </c>
      <c r="Q6" s="850"/>
      <c r="R6" s="82"/>
      <c r="S6" s="87">
        <f>Summary!D7</f>
        <v>8850000</v>
      </c>
      <c r="T6" s="87">
        <f>Summary!E7</f>
        <v>34570.3125</v>
      </c>
      <c r="V6" s="81" t="s">
        <v>660</v>
      </c>
      <c r="W6" s="850"/>
      <c r="X6" s="82"/>
      <c r="Y6" s="87">
        <v>8850000</v>
      </c>
      <c r="Z6" s="885">
        <v>35400</v>
      </c>
      <c r="AA6" s="886"/>
      <c r="AB6" s="887"/>
      <c r="AC6" s="81" t="s">
        <v>660</v>
      </c>
      <c r="AD6" s="850"/>
      <c r="AE6" s="82"/>
      <c r="AF6" s="87">
        <v>8850000</v>
      </c>
      <c r="AG6" s="87">
        <v>35400</v>
      </c>
    </row>
    <row r="7" spans="1:33" x14ac:dyDescent="0.3">
      <c r="A7" t="s">
        <v>900</v>
      </c>
      <c r="B7" s="928">
        <f>'General Inputs'!J18</f>
        <v>0</v>
      </c>
      <c r="C7" s="928">
        <v>0</v>
      </c>
      <c r="D7" s="32">
        <v>0</v>
      </c>
      <c r="E7" s="32">
        <f>'General Inputs'!$J$18</f>
        <v>0</v>
      </c>
      <c r="F7" s="240"/>
      <c r="I7" s="81" t="str">
        <f>Summary!A8</f>
        <v>Acquisition Costs</v>
      </c>
      <c r="J7" s="850"/>
      <c r="K7" s="82"/>
      <c r="L7" s="88">
        <f ca="1">Summary!D8</f>
        <v>242959.62434217893</v>
      </c>
      <c r="M7" s="888">
        <f ca="1">Summary!E8</f>
        <v>949.06103258663643</v>
      </c>
      <c r="N7" s="889"/>
      <c r="O7" s="890"/>
      <c r="P7" s="81" t="str">
        <f>+I7</f>
        <v>Acquisition Costs</v>
      </c>
      <c r="Q7" s="850"/>
      <c r="R7" s="82"/>
      <c r="S7" s="88">
        <f ca="1">Summary!D8</f>
        <v>242959.62434217893</v>
      </c>
      <c r="T7" s="88">
        <f ca="1">Summary!E8</f>
        <v>949.06103258663643</v>
      </c>
      <c r="V7" s="81" t="s">
        <v>661</v>
      </c>
      <c r="W7" s="850"/>
      <c r="X7" s="82"/>
      <c r="Y7" s="88">
        <v>241210.68355618231</v>
      </c>
      <c r="Z7" s="888">
        <v>964.84273422472927</v>
      </c>
      <c r="AA7" s="889"/>
      <c r="AB7" s="890"/>
      <c r="AC7" s="81" t="s">
        <v>661</v>
      </c>
      <c r="AD7" s="850"/>
      <c r="AE7" s="82"/>
      <c r="AF7" s="88">
        <v>242584.8066634126</v>
      </c>
      <c r="AG7" s="88">
        <v>970.33922665365037</v>
      </c>
    </row>
    <row r="8" spans="1:33" x14ac:dyDescent="0.3">
      <c r="A8" t="s">
        <v>901</v>
      </c>
      <c r="B8" s="210">
        <f>DispositionMonth</f>
        <v>28</v>
      </c>
      <c r="C8" s="210">
        <f>IF('Development Inputs'!$N$97="PropCo",'SBS Summary'!$E$8,'SBS Summary'!$D$8)</f>
        <v>28</v>
      </c>
      <c r="D8" s="851">
        <f>MonthStabilization+1</f>
        <v>28</v>
      </c>
      <c r="E8" s="851">
        <f>MAX(IF(LandAcqDate=ConstrStartDate,49,48),MonthFinalUnits+24)</f>
        <v>49</v>
      </c>
      <c r="F8" s="240"/>
      <c r="I8" s="85" t="str">
        <f>Summary!A9</f>
        <v>SOFT COSTS</v>
      </c>
      <c r="J8" s="850"/>
      <c r="K8" s="82"/>
      <c r="L8" s="88"/>
      <c r="M8" s="888"/>
      <c r="N8" s="889"/>
      <c r="O8" s="890"/>
      <c r="P8" s="85" t="str">
        <f>+I8</f>
        <v>SOFT COSTS</v>
      </c>
      <c r="Q8" s="850"/>
      <c r="R8" s="82"/>
      <c r="S8" s="88"/>
      <c r="T8" s="88"/>
      <c r="V8" s="85" t="s">
        <v>794</v>
      </c>
      <c r="W8" s="850"/>
      <c r="X8" s="82"/>
      <c r="Y8" s="88"/>
      <c r="Z8" s="888"/>
      <c r="AA8" s="889"/>
      <c r="AB8" s="890"/>
      <c r="AC8" s="85" t="s">
        <v>794</v>
      </c>
      <c r="AD8" s="850"/>
      <c r="AE8" s="82"/>
      <c r="AF8" s="88"/>
      <c r="AG8" s="88"/>
    </row>
    <row r="9" spans="1:33" x14ac:dyDescent="0.3">
      <c r="A9" t="s">
        <v>902</v>
      </c>
      <c r="B9" s="210" t="str">
        <f>'Development Inputs'!$N$99</f>
        <v>Less Land &amp; Fees</v>
      </c>
      <c r="C9" s="210" t="str">
        <f>IF($N$97="PropCo",'SBS Summary'!$E$9,'SBS Summary'!$D$9)</f>
        <v>Less Land &amp; Fees</v>
      </c>
      <c r="D9" s="933" t="s">
        <v>557</v>
      </c>
      <c r="E9" s="933" t="s">
        <v>557</v>
      </c>
      <c r="F9" s="240" t="str">
        <f>IF('Development Inputs'!$N$97="PropCo",'SBS Summary'!$E$9,'SBS Summary'!$D$9)</f>
        <v>Less Land &amp; Fees</v>
      </c>
      <c r="I9" s="81" t="str">
        <f>Summary!A10</f>
        <v>Ad Valorem Taxes</v>
      </c>
      <c r="J9" s="850"/>
      <c r="K9" s="82"/>
      <c r="L9" s="88">
        <f ca="1">Summary!D10</f>
        <v>83335.391794650437</v>
      </c>
      <c r="M9" s="888">
        <f ca="1">Summary!E10</f>
        <v>325.52887419785327</v>
      </c>
      <c r="N9" s="889"/>
      <c r="O9" s="890"/>
      <c r="P9" s="81" t="str">
        <f t="shared" ref="P9:P19" si="0">+I9</f>
        <v>Ad Valorem Taxes</v>
      </c>
      <c r="Q9" s="850"/>
      <c r="R9" s="82"/>
      <c r="S9" s="88">
        <f ca="1">Summary!D10</f>
        <v>83335.391794650437</v>
      </c>
      <c r="T9" s="88">
        <f ca="1">Summary!E10</f>
        <v>325.52887419785327</v>
      </c>
      <c r="V9" s="81" t="s">
        <v>677</v>
      </c>
      <c r="W9" s="850"/>
      <c r="X9" s="82"/>
      <c r="Y9" s="88">
        <v>82841.304037454349</v>
      </c>
      <c r="Z9" s="888">
        <v>331.3652161498174</v>
      </c>
      <c r="AA9" s="889"/>
      <c r="AB9" s="890"/>
      <c r="AC9" s="81" t="s">
        <v>677</v>
      </c>
      <c r="AD9" s="850"/>
      <c r="AE9" s="82"/>
      <c r="AF9" s="88">
        <v>83782.175350522652</v>
      </c>
      <c r="AG9" s="88">
        <v>335.1287014020906</v>
      </c>
    </row>
    <row r="10" spans="1:33" x14ac:dyDescent="0.3">
      <c r="A10" t="s">
        <v>903</v>
      </c>
      <c r="B10" s="928">
        <f>'Development Inputs'!$K$99</f>
        <v>0.04</v>
      </c>
      <c r="C10" s="928">
        <f>IF($N$97="PropCo",'SBS Summary'!$E$10,'SBS Summary'!$D$10)</f>
        <v>0.04</v>
      </c>
      <c r="D10" s="32">
        <v>0.04</v>
      </c>
      <c r="E10" s="32">
        <v>0.05</v>
      </c>
      <c r="F10" s="240">
        <f>IF('Development Inputs'!$N$97="PropCo",'SBS Summary'!$E$10,'SBS Summary'!$D$10)</f>
        <v>0.04</v>
      </c>
      <c r="I10" s="89" t="str">
        <f>Summary!A11</f>
        <v>Architectural &amp; Engineering</v>
      </c>
      <c r="J10" s="850"/>
      <c r="K10" s="82"/>
      <c r="L10" s="88">
        <f>Summary!D11</f>
        <v>1500605.0000000002</v>
      </c>
      <c r="M10" s="888">
        <f>Summary!E11</f>
        <v>5861.7382812500009</v>
      </c>
      <c r="N10" s="889"/>
      <c r="O10" s="890"/>
      <c r="P10" s="89" t="str">
        <f t="shared" si="0"/>
        <v>Architectural &amp; Engineering</v>
      </c>
      <c r="Q10" s="850"/>
      <c r="R10" s="82"/>
      <c r="S10" s="88">
        <f>Summary!D11</f>
        <v>1500605.0000000002</v>
      </c>
      <c r="T10" s="88">
        <f>Summary!E11</f>
        <v>5861.7382812500009</v>
      </c>
      <c r="V10" s="89" t="s">
        <v>670</v>
      </c>
      <c r="W10" s="850"/>
      <c r="X10" s="82"/>
      <c r="Y10" s="88">
        <v>1504204.9999999991</v>
      </c>
      <c r="Z10" s="888">
        <v>6016.8199999999961</v>
      </c>
      <c r="AA10" s="889"/>
      <c r="AB10" s="890"/>
      <c r="AC10" s="89" t="s">
        <v>670</v>
      </c>
      <c r="AD10" s="850"/>
      <c r="AE10" s="82"/>
      <c r="AF10" s="88">
        <v>1504204.9999999991</v>
      </c>
      <c r="AG10" s="88">
        <v>6016.8199999999961</v>
      </c>
    </row>
    <row r="11" spans="1:33" x14ac:dyDescent="0.3">
      <c r="A11" t="s">
        <v>904</v>
      </c>
      <c r="B11" s="928">
        <f>'General Inputs'!H20</f>
        <v>0</v>
      </c>
      <c r="C11" s="928">
        <v>0</v>
      </c>
      <c r="D11" s="32">
        <v>0</v>
      </c>
      <c r="E11" s="32">
        <v>0</v>
      </c>
      <c r="F11" s="240"/>
      <c r="I11" s="89" t="str">
        <f>Summary!A12</f>
        <v>Construction Interest</v>
      </c>
      <c r="J11" s="82"/>
      <c r="K11" s="82"/>
      <c r="L11" s="88">
        <f ca="1">Summary!D12</f>
        <v>1086262.1410115552</v>
      </c>
      <c r="M11" s="888">
        <f ca="1">Summary!E12</f>
        <v>4243.2114883263876</v>
      </c>
      <c r="N11" s="889"/>
      <c r="O11" s="890"/>
      <c r="P11" s="89" t="str">
        <f t="shared" si="0"/>
        <v>Construction Interest</v>
      </c>
      <c r="Q11" s="82"/>
      <c r="R11" s="82"/>
      <c r="S11" s="88">
        <f ca="1">Summary!D12</f>
        <v>1086262.1410115552</v>
      </c>
      <c r="T11" s="88">
        <f ca="1">Summary!E12</f>
        <v>4243.2114883263876</v>
      </c>
      <c r="V11" s="89" t="s">
        <v>672</v>
      </c>
      <c r="W11" s="82"/>
      <c r="X11" s="82"/>
      <c r="Y11" s="88">
        <v>1043434.6231224334</v>
      </c>
      <c r="Z11" s="888">
        <v>4173.7384924897333</v>
      </c>
      <c r="AA11" s="889"/>
      <c r="AB11" s="890"/>
      <c r="AC11" s="89" t="s">
        <v>672</v>
      </c>
      <c r="AD11" s="82"/>
      <c r="AE11" s="82"/>
      <c r="AF11" s="88">
        <v>824772.67865514942</v>
      </c>
      <c r="AG11" s="88">
        <v>3299.0907146205977</v>
      </c>
    </row>
    <row r="12" spans="1:33" x14ac:dyDescent="0.3">
      <c r="A12" t="s">
        <v>905</v>
      </c>
      <c r="B12" s="928">
        <f>'General Inputs'!H21</f>
        <v>0</v>
      </c>
      <c r="C12" s="928">
        <v>0</v>
      </c>
      <c r="D12" s="32">
        <v>0</v>
      </c>
      <c r="E12" s="32">
        <v>0</v>
      </c>
      <c r="F12" s="240"/>
      <c r="I12" s="89" t="str">
        <f>Summary!A13</f>
        <v>Financing</v>
      </c>
      <c r="J12" s="850"/>
      <c r="K12" s="82"/>
      <c r="L12" s="88">
        <f ca="1">Summary!D13</f>
        <v>896583.45041148621</v>
      </c>
      <c r="M12" s="888">
        <f ca="1">Summary!E13</f>
        <v>3502.279103169868</v>
      </c>
      <c r="N12" s="889"/>
      <c r="O12" s="890"/>
      <c r="P12" s="89" t="str">
        <f t="shared" si="0"/>
        <v>Financing</v>
      </c>
      <c r="Q12" s="850"/>
      <c r="R12" s="82"/>
      <c r="S12" s="88">
        <f ca="1">Summary!D13</f>
        <v>896583.45041148621</v>
      </c>
      <c r="T12" s="88">
        <f ca="1">Summary!E13</f>
        <v>3502.279103169868</v>
      </c>
      <c r="V12" s="89" t="s">
        <v>674</v>
      </c>
      <c r="W12" s="850"/>
      <c r="X12" s="82"/>
      <c r="Y12" s="88">
        <v>889369.06966925063</v>
      </c>
      <c r="Z12" s="888">
        <v>3557.4762786770025</v>
      </c>
      <c r="AA12" s="889"/>
      <c r="AB12" s="890"/>
      <c r="AC12" s="89" t="s">
        <v>674</v>
      </c>
      <c r="AD12" s="850"/>
      <c r="AE12" s="82"/>
      <c r="AF12" s="88">
        <v>865943.02498779981</v>
      </c>
      <c r="AG12" s="88">
        <v>3463.7720999511994</v>
      </c>
    </row>
    <row r="13" spans="1:33" x14ac:dyDescent="0.3">
      <c r="A13" t="s">
        <v>906</v>
      </c>
      <c r="B13" s="938" t="str">
        <f>'Development Inputs'!N97</f>
        <v>Merchant</v>
      </c>
      <c r="C13" s="210" t="s">
        <v>895</v>
      </c>
      <c r="D13" s="934" t="s">
        <v>553</v>
      </c>
      <c r="E13" s="934" t="s">
        <v>895</v>
      </c>
      <c r="F13" s="240"/>
      <c r="I13" s="89" t="str">
        <f>Summary!A14</f>
        <v>Furniture, Fixtures &amp; Equipment</v>
      </c>
      <c r="J13" s="850"/>
      <c r="K13" s="82"/>
      <c r="L13" s="88">
        <f>Summary!D14</f>
        <v>625000</v>
      </c>
      <c r="M13" s="888">
        <f>Summary!E14</f>
        <v>2441.40625</v>
      </c>
      <c r="N13" s="889"/>
      <c r="O13" s="890"/>
      <c r="P13" s="89" t="str">
        <f t="shared" si="0"/>
        <v>Furniture, Fixtures &amp; Equipment</v>
      </c>
      <c r="Q13" s="850"/>
      <c r="R13" s="82"/>
      <c r="S13" s="88">
        <f>Summary!D14</f>
        <v>625000</v>
      </c>
      <c r="T13" s="88">
        <f>Summary!E14</f>
        <v>2441.40625</v>
      </c>
      <c r="V13" s="89" t="s">
        <v>675</v>
      </c>
      <c r="W13" s="850"/>
      <c r="X13" s="82"/>
      <c r="Y13" s="88">
        <v>625000</v>
      </c>
      <c r="Z13" s="888">
        <v>2500</v>
      </c>
      <c r="AA13" s="889"/>
      <c r="AB13" s="890"/>
      <c r="AC13" s="89" t="s">
        <v>675</v>
      </c>
      <c r="AD13" s="850"/>
      <c r="AE13" s="82"/>
      <c r="AF13" s="88">
        <v>625000</v>
      </c>
      <c r="AG13" s="88">
        <v>2500</v>
      </c>
    </row>
    <row r="14" spans="1:33" x14ac:dyDescent="0.3">
      <c r="A14" t="s">
        <v>155</v>
      </c>
      <c r="B14" s="212">
        <f>'General Inputs'!$J$11</f>
        <v>0.1</v>
      </c>
      <c r="C14" s="212">
        <f>IF('Development Inputs'!$N$97="PropCo",'SBS Summary'!$E$14,'SBS Summary'!$D$14)</f>
        <v>0.1</v>
      </c>
      <c r="D14" s="32">
        <v>0.1</v>
      </c>
      <c r="E14" s="32">
        <v>0.1</v>
      </c>
      <c r="F14" s="240">
        <f>IF('Development Inputs'!$N$97="PropCo",'SBS Summary'!$E$14,'SBS Summary'!$D$14)</f>
        <v>0.1</v>
      </c>
      <c r="I14" s="89" t="str">
        <f>Summary!A15</f>
        <v>Insurance</v>
      </c>
      <c r="J14" s="850"/>
      <c r="K14" s="82"/>
      <c r="L14" s="88">
        <f ca="1">Summary!D15</f>
        <v>1418022.6257534006</v>
      </c>
      <c r="M14" s="888">
        <f ca="1">Summary!E15</f>
        <v>5539.1508818492212</v>
      </c>
      <c r="N14" s="889"/>
      <c r="O14" s="890"/>
      <c r="P14" s="89" t="str">
        <f t="shared" si="0"/>
        <v>Insurance</v>
      </c>
      <c r="Q14" s="850"/>
      <c r="R14" s="82"/>
      <c r="S14" s="88">
        <f ca="1">Summary!D15</f>
        <v>1418022.6257534006</v>
      </c>
      <c r="T14" s="88">
        <f ca="1">Summary!E15</f>
        <v>5539.1508818492212</v>
      </c>
      <c r="V14" s="89" t="s">
        <v>671</v>
      </c>
      <c r="W14" s="850"/>
      <c r="X14" s="82"/>
      <c r="Y14" s="88">
        <v>1378954.3407836603</v>
      </c>
      <c r="Z14" s="888">
        <v>5515.8173631346408</v>
      </c>
      <c r="AA14" s="889"/>
      <c r="AB14" s="890"/>
      <c r="AC14" s="89" t="s">
        <v>671</v>
      </c>
      <c r="AD14" s="850"/>
      <c r="AE14" s="82"/>
      <c r="AF14" s="88">
        <v>1386445.3367328325</v>
      </c>
      <c r="AG14" s="88">
        <v>5545.7813469313296</v>
      </c>
    </row>
    <row r="15" spans="1:33" x14ac:dyDescent="0.3">
      <c r="A15" t="s">
        <v>652</v>
      </c>
      <c r="B15" s="212">
        <f>'General Inputs'!C47</f>
        <v>0</v>
      </c>
      <c r="C15" s="212">
        <f>IF('Development Inputs'!$N$97="PropCo",'SBS Summary'!$E$15,'SBS Summary'!$D$15)</f>
        <v>0</v>
      </c>
      <c r="D15" s="32">
        <v>0</v>
      </c>
      <c r="E15" s="32">
        <v>5.0000000000000001E-3</v>
      </c>
      <c r="F15" s="198">
        <f>IF('Development Inputs'!$N$97="PropCo",'SBS Summary'!$E$15,'SBS Summary'!$D$15)</f>
        <v>0</v>
      </c>
      <c r="I15" s="89" t="str">
        <f>Summary!A16</f>
        <v>Start-Up Expenses &amp; Marketing</v>
      </c>
      <c r="J15" s="850"/>
      <c r="K15" s="82"/>
      <c r="L15" s="88">
        <f>Summary!D16</f>
        <v>375000</v>
      </c>
      <c r="M15" s="888">
        <f>Summary!E16</f>
        <v>1464.84375</v>
      </c>
      <c r="N15" s="889"/>
      <c r="O15" s="890"/>
      <c r="P15" s="89" t="str">
        <f t="shared" si="0"/>
        <v>Start-Up Expenses &amp; Marketing</v>
      </c>
      <c r="Q15" s="850"/>
      <c r="R15" s="82"/>
      <c r="S15" s="88">
        <f>Summary!D16</f>
        <v>375000</v>
      </c>
      <c r="T15" s="88">
        <f>Summary!E16</f>
        <v>1464.84375</v>
      </c>
      <c r="V15" s="89" t="s">
        <v>907</v>
      </c>
      <c r="W15" s="850"/>
      <c r="X15" s="82"/>
      <c r="Y15" s="88">
        <v>375000</v>
      </c>
      <c r="Z15" s="888">
        <v>1500</v>
      </c>
      <c r="AA15" s="889"/>
      <c r="AB15" s="890"/>
      <c r="AC15" s="89" t="s">
        <v>907</v>
      </c>
      <c r="AD15" s="850"/>
      <c r="AE15" s="82"/>
      <c r="AF15" s="88">
        <v>375000</v>
      </c>
      <c r="AG15" s="88">
        <v>1500</v>
      </c>
    </row>
    <row r="16" spans="1:33" x14ac:dyDescent="0.3">
      <c r="A16" t="s">
        <v>908</v>
      </c>
      <c r="B16" s="1516">
        <f>'General Inputs'!C50</f>
        <v>0</v>
      </c>
      <c r="C16" s="1516">
        <f>IF('Development Inputs'!$N$97="PropCo",'SBS Summary'!$E$16,'SBS Summary'!$D$16)</f>
        <v>0</v>
      </c>
      <c r="D16" s="1508">
        <v>0</v>
      </c>
      <c r="E16" s="1508">
        <v>40000</v>
      </c>
      <c r="F16" s="227">
        <f>IF('Development Inputs'!$N$97="PropCo",'SBS Summary'!$E$16,'SBS Summary'!$D$16)</f>
        <v>0</v>
      </c>
      <c r="I16" s="89" t="str">
        <f>Summary!A17</f>
        <v>Operating Deficits</v>
      </c>
      <c r="J16" s="850"/>
      <c r="K16" s="82"/>
      <c r="L16" s="88">
        <f ca="1">Summary!D17</f>
        <v>329080.53404430853</v>
      </c>
      <c r="M16" s="888">
        <f ca="1">Summary!E17</f>
        <v>1285.4708361105802</v>
      </c>
      <c r="N16" s="889"/>
      <c r="O16" s="890"/>
      <c r="P16" s="89" t="str">
        <f t="shared" si="0"/>
        <v>Operating Deficits</v>
      </c>
      <c r="Q16" s="850"/>
      <c r="R16" s="82"/>
      <c r="S16" s="88">
        <f ca="1">Summary!D17</f>
        <v>329080.53404430853</v>
      </c>
      <c r="T16" s="88">
        <f ca="1">Summary!E17</f>
        <v>1285.4708361105802</v>
      </c>
      <c r="V16" s="89" t="s">
        <v>676</v>
      </c>
      <c r="W16" s="850"/>
      <c r="X16" s="82"/>
      <c r="Y16" s="88">
        <v>315465.85758200753</v>
      </c>
      <c r="Z16" s="888">
        <v>1261.8634303280301</v>
      </c>
      <c r="AA16" s="889"/>
      <c r="AB16" s="890"/>
      <c r="AC16" s="89" t="s">
        <v>676</v>
      </c>
      <c r="AD16" s="850"/>
      <c r="AE16" s="82"/>
      <c r="AF16" s="88">
        <v>1213580.370291864</v>
      </c>
      <c r="AG16" s="88">
        <v>4854.3214811674561</v>
      </c>
    </row>
    <row r="17" spans="1:33" x14ac:dyDescent="0.3">
      <c r="I17" s="89" t="str">
        <f>Summary!A18</f>
        <v>Overhead &amp; Administration Fees</v>
      </c>
      <c r="J17" s="850"/>
      <c r="K17" s="82"/>
      <c r="L17" s="88">
        <f ca="1">Summary!D18</f>
        <v>2658062.4746991713</v>
      </c>
      <c r="M17" s="888">
        <f ca="1">Summary!E18</f>
        <v>10383.056541793638</v>
      </c>
      <c r="N17" s="889"/>
      <c r="O17" s="890"/>
      <c r="P17" s="89" t="str">
        <f t="shared" si="0"/>
        <v>Overhead &amp; Administration Fees</v>
      </c>
      <c r="Q17" s="850"/>
      <c r="R17" s="82"/>
      <c r="S17" s="88">
        <f ca="1">Summary!D18</f>
        <v>2658062.4746991713</v>
      </c>
      <c r="T17" s="88">
        <f ca="1">Summary!E18</f>
        <v>10383.056541793638</v>
      </c>
      <c r="V17" s="89" t="s">
        <v>909</v>
      </c>
      <c r="W17" s="850"/>
      <c r="X17" s="82"/>
      <c r="Y17" s="88">
        <v>2590795.5213916143</v>
      </c>
      <c r="Z17" s="888">
        <v>10363.182085566457</v>
      </c>
      <c r="AA17" s="889"/>
      <c r="AB17" s="890"/>
      <c r="AC17" s="89" t="s">
        <v>909</v>
      </c>
      <c r="AD17" s="850"/>
      <c r="AE17" s="82"/>
      <c r="AF17" s="88">
        <v>3230379.9593307553</v>
      </c>
      <c r="AG17" s="88">
        <v>12921.519837323021</v>
      </c>
    </row>
    <row r="18" spans="1:33" ht="16.2" thickBot="1" x14ac:dyDescent="0.35">
      <c r="B18" s="2634" t="s">
        <v>553</v>
      </c>
      <c r="C18" s="2634"/>
      <c r="D18" s="2634"/>
      <c r="E18" s="2634" t="s">
        <v>895</v>
      </c>
      <c r="F18" s="2634"/>
      <c r="G18" s="2634"/>
      <c r="I18" s="89" t="str">
        <f>Summary!A19</f>
        <v>Permits &amp; Fees</v>
      </c>
      <c r="J18" s="850"/>
      <c r="K18" s="82"/>
      <c r="L18" s="88">
        <f>Summary!D19</f>
        <v>4459158.9889518414</v>
      </c>
      <c r="M18" s="888">
        <f>Summary!E19</f>
        <v>17418.58980059313</v>
      </c>
      <c r="N18" s="889"/>
      <c r="O18" s="890"/>
      <c r="P18" s="89" t="str">
        <f t="shared" si="0"/>
        <v>Permits &amp; Fees</v>
      </c>
      <c r="Q18" s="850"/>
      <c r="R18" s="82"/>
      <c r="S18" s="88">
        <f>Summary!D19</f>
        <v>4459158.9889518414</v>
      </c>
      <c r="T18" s="88">
        <f>Summary!E19</f>
        <v>17418.58980059313</v>
      </c>
      <c r="V18" s="89" t="s">
        <v>669</v>
      </c>
      <c r="W18" s="850"/>
      <c r="X18" s="82"/>
      <c r="Y18" s="88">
        <v>4444087.3062322941</v>
      </c>
      <c r="Z18" s="888">
        <v>17776.349224929178</v>
      </c>
      <c r="AA18" s="889"/>
      <c r="AB18" s="890"/>
      <c r="AC18" s="89" t="s">
        <v>669</v>
      </c>
      <c r="AD18" s="850"/>
      <c r="AE18" s="82"/>
      <c r="AF18" s="88">
        <v>4444087.3062322941</v>
      </c>
      <c r="AG18" s="88">
        <v>17776.349224929178</v>
      </c>
    </row>
    <row r="19" spans="1:33" ht="15" thickTop="1" x14ac:dyDescent="0.3">
      <c r="A19" s="210"/>
      <c r="B19" s="173" t="s">
        <v>910</v>
      </c>
      <c r="C19" s="63" t="s">
        <v>874</v>
      </c>
      <c r="D19" s="63" t="s">
        <v>911</v>
      </c>
      <c r="E19" s="173" t="s">
        <v>910</v>
      </c>
      <c r="F19" s="63" t="s">
        <v>874</v>
      </c>
      <c r="G19" s="63" t="s">
        <v>911</v>
      </c>
      <c r="I19" s="81" t="str">
        <f>Summary!A20</f>
        <v>Soft Cost Contingency (5.0%)</v>
      </c>
      <c r="J19" s="850"/>
      <c r="K19" s="82"/>
      <c r="L19" s="88">
        <f ca="1">Summary!D20</f>
        <v>856477.57240587578</v>
      </c>
      <c r="M19" s="888">
        <f ca="1">Summary!E20</f>
        <v>3345.6155172104523</v>
      </c>
      <c r="N19" s="889"/>
      <c r="O19" s="890"/>
      <c r="P19" s="81" t="str">
        <f t="shared" si="0"/>
        <v>Soft Cost Contingency (5.0%)</v>
      </c>
      <c r="Q19" s="850"/>
      <c r="R19" s="82"/>
      <c r="S19" s="88">
        <f ca="1">Summary!D20</f>
        <v>856477.57240587578</v>
      </c>
      <c r="T19" s="88">
        <f ca="1">Summary!E20</f>
        <v>3345.6155172104523</v>
      </c>
      <c r="V19" s="81" t="s">
        <v>912</v>
      </c>
      <c r="W19" s="850"/>
      <c r="X19" s="82"/>
      <c r="Y19" s="88">
        <v>842919.89420919982</v>
      </c>
      <c r="Z19" s="888">
        <v>3371.6795768367992</v>
      </c>
      <c r="AA19" s="889"/>
      <c r="AB19" s="890"/>
      <c r="AC19" s="81" t="s">
        <v>912</v>
      </c>
      <c r="AD19" s="850"/>
      <c r="AE19" s="82"/>
      <c r="AF19" s="88">
        <v>911626.04957076511</v>
      </c>
      <c r="AG19" s="88">
        <v>3646.5041982830603</v>
      </c>
    </row>
    <row r="20" spans="1:33" x14ac:dyDescent="0.3">
      <c r="I20" s="90" t="str">
        <f>Summary!A21</f>
        <v>HARD COSTS</v>
      </c>
      <c r="J20" s="850"/>
      <c r="K20" s="82"/>
      <c r="L20" s="88"/>
      <c r="M20" s="888"/>
      <c r="N20" s="889"/>
      <c r="O20" s="890"/>
      <c r="P20" s="90" t="str">
        <f>+I20</f>
        <v>HARD COSTS</v>
      </c>
      <c r="Q20" s="850"/>
      <c r="R20" s="82"/>
      <c r="S20" s="88"/>
      <c r="T20" s="88"/>
      <c r="V20" s="90" t="s">
        <v>817</v>
      </c>
      <c r="W20" s="850"/>
      <c r="X20" s="82"/>
      <c r="Y20" s="88"/>
      <c r="Z20" s="888"/>
      <c r="AA20" s="889"/>
      <c r="AB20" s="890"/>
      <c r="AC20" s="90" t="s">
        <v>817</v>
      </c>
      <c r="AD20" s="850"/>
      <c r="AE20" s="82"/>
      <c r="AF20" s="88"/>
      <c r="AG20" s="88"/>
    </row>
    <row r="21" spans="1:33" x14ac:dyDescent="0.3">
      <c r="A21" t="s">
        <v>165</v>
      </c>
      <c r="B21" s="952">
        <v>0.12</v>
      </c>
      <c r="C21" s="33">
        <v>0.65</v>
      </c>
      <c r="D21" s="33">
        <v>0.35</v>
      </c>
      <c r="E21" s="952">
        <v>0.15</v>
      </c>
      <c r="F21" s="33">
        <f>1-G21</f>
        <v>0.72</v>
      </c>
      <c r="G21" s="33">
        <v>0.28000000000000003</v>
      </c>
      <c r="I21" s="89" t="str">
        <f>Summary!A22</f>
        <v>Hard Costs (Input/GMP = $208/$216)</v>
      </c>
      <c r="J21" s="850"/>
      <c r="K21" s="82"/>
      <c r="L21" s="88">
        <f>Summary!D22</f>
        <v>51980072.894060962</v>
      </c>
      <c r="M21" s="888">
        <f>Summary!E22</f>
        <v>203047.15974242563</v>
      </c>
      <c r="N21" s="889"/>
      <c r="O21" s="890"/>
      <c r="P21" s="89" t="str">
        <f>+I21</f>
        <v>Hard Costs (Input/GMP = $208/$216)</v>
      </c>
      <c r="Q21" s="850"/>
      <c r="R21" s="82"/>
      <c r="S21" s="88">
        <f>Summary!D22</f>
        <v>51980072.894060962</v>
      </c>
      <c r="T21" s="88">
        <f>Summary!E22</f>
        <v>203047.15974242563</v>
      </c>
      <c r="V21" s="89" t="s">
        <v>913</v>
      </c>
      <c r="W21" s="850"/>
      <c r="X21" s="82"/>
      <c r="Y21" s="88">
        <v>50502285.671997972</v>
      </c>
      <c r="Z21" s="888">
        <v>202009.1426879919</v>
      </c>
      <c r="AA21" s="889"/>
      <c r="AB21" s="890"/>
      <c r="AC21" s="89" t="s">
        <v>913</v>
      </c>
      <c r="AD21" s="850"/>
      <c r="AE21" s="82"/>
      <c r="AF21" s="88">
        <v>50502285.671997972</v>
      </c>
      <c r="AG21" s="88">
        <v>202009.1426879919</v>
      </c>
    </row>
    <row r="22" spans="1:33" x14ac:dyDescent="0.3">
      <c r="A22" t="s">
        <v>175</v>
      </c>
      <c r="B22" s="952">
        <v>0.15</v>
      </c>
      <c r="C22" s="33">
        <v>0.6</v>
      </c>
      <c r="D22" s="33">
        <v>0.4</v>
      </c>
      <c r="E22" s="952">
        <v>0.2</v>
      </c>
      <c r="F22" s="33">
        <f>1-G22</f>
        <v>0.67500000000000004</v>
      </c>
      <c r="G22" s="33">
        <v>0.32500000000000001</v>
      </c>
      <c r="I22" s="81" t="str">
        <f>Summary!A23</f>
        <v>Hard Cost Contingency (5.0%)</v>
      </c>
      <c r="J22" s="850"/>
      <c r="K22" s="82"/>
      <c r="L22" s="88">
        <f>Summary!D23</f>
        <v>2599003.6447030478</v>
      </c>
      <c r="M22" s="888">
        <f>Summary!E23</f>
        <v>10152.357987121281</v>
      </c>
      <c r="N22" s="889"/>
      <c r="O22" s="890"/>
      <c r="P22" s="81" t="str">
        <f>+I22</f>
        <v>Hard Cost Contingency (5.0%)</v>
      </c>
      <c r="Q22" s="850"/>
      <c r="R22" s="82"/>
      <c r="S22" s="88">
        <f>Summary!D23</f>
        <v>2599003.6447030478</v>
      </c>
      <c r="T22" s="88">
        <f>Summary!E23</f>
        <v>10152.357987121281</v>
      </c>
      <c r="V22" s="81" t="s">
        <v>914</v>
      </c>
      <c r="W22" s="850"/>
      <c r="X22" s="82"/>
      <c r="Y22" s="88">
        <v>2525114.2835998992</v>
      </c>
      <c r="Z22" s="888">
        <v>10100.457134399596</v>
      </c>
      <c r="AA22" s="889"/>
      <c r="AB22" s="890"/>
      <c r="AC22" s="81" t="s">
        <v>914</v>
      </c>
      <c r="AD22" s="850"/>
      <c r="AE22" s="82"/>
      <c r="AF22" s="88">
        <v>2525114.2835998992</v>
      </c>
      <c r="AG22" s="88">
        <v>10100.457134399596</v>
      </c>
    </row>
    <row r="23" spans="1:33" x14ac:dyDescent="0.3">
      <c r="A23" t="s">
        <v>915</v>
      </c>
      <c r="B23" s="952">
        <v>0.2</v>
      </c>
      <c r="C23" s="33">
        <v>0.5</v>
      </c>
      <c r="D23" s="33">
        <v>0.5</v>
      </c>
      <c r="E23" s="952">
        <v>0.2</v>
      </c>
      <c r="F23" s="33">
        <f>1-G23</f>
        <v>0.67500000000000004</v>
      </c>
      <c r="G23" s="33">
        <v>0.32500000000000001</v>
      </c>
      <c r="I23" s="850" t="str">
        <f>Summary!A24</f>
        <v>Commercial (TI, Legal &amp; Commissions)</v>
      </c>
      <c r="J23" s="850"/>
      <c r="K23" s="82"/>
      <c r="L23" s="88">
        <f>Summary!D24</f>
        <v>0</v>
      </c>
      <c r="M23" s="888">
        <f>Summary!E24</f>
        <v>0</v>
      </c>
      <c r="N23" s="889"/>
      <c r="O23" s="890"/>
      <c r="P23" s="850" t="str">
        <f>+I23</f>
        <v>Commercial (TI, Legal &amp; Commissions)</v>
      </c>
      <c r="Q23" s="850"/>
      <c r="R23" s="82"/>
      <c r="S23" s="88">
        <f>Summary!D24</f>
        <v>0</v>
      </c>
      <c r="T23" s="88">
        <f>Summary!E24</f>
        <v>0</v>
      </c>
      <c r="V23" s="850" t="s">
        <v>916</v>
      </c>
      <c r="W23" s="850"/>
      <c r="X23" s="82"/>
      <c r="Y23" s="88">
        <v>0</v>
      </c>
      <c r="Z23" s="888">
        <v>0</v>
      </c>
      <c r="AA23" s="889"/>
      <c r="AB23" s="890"/>
      <c r="AC23" s="850" t="s">
        <v>916</v>
      </c>
      <c r="AD23" s="850"/>
      <c r="AE23" s="82"/>
      <c r="AF23" s="88">
        <v>0</v>
      </c>
      <c r="AG23" s="88">
        <v>0</v>
      </c>
    </row>
    <row r="24" spans="1:33" ht="15" thickBot="1" x14ac:dyDescent="0.35">
      <c r="A24" t="s">
        <v>917</v>
      </c>
      <c r="C24" s="33">
        <v>0.4</v>
      </c>
      <c r="D24" s="33">
        <v>0.6</v>
      </c>
      <c r="F24" s="33">
        <f>1-G24</f>
        <v>0.63</v>
      </c>
      <c r="G24" s="33">
        <v>0.37</v>
      </c>
      <c r="I24" s="91" t="str">
        <f>Summary!A25</f>
        <v>TOTAL PROJECT COST</v>
      </c>
      <c r="J24" s="91"/>
      <c r="K24" s="92"/>
      <c r="L24" s="93">
        <f ca="1">+SUM(L6:L23)</f>
        <v>77959624.342178479</v>
      </c>
      <c r="M24" s="891">
        <f ca="1">Summary!E25</f>
        <v>304529.78258663468</v>
      </c>
      <c r="N24" s="892"/>
      <c r="O24" s="893"/>
      <c r="P24" s="91" t="str">
        <f>+I24</f>
        <v>TOTAL PROJECT COST</v>
      </c>
      <c r="Q24" s="91"/>
      <c r="R24" s="92"/>
      <c r="S24" s="93">
        <f ca="1">+SUM(S6:S23)</f>
        <v>77959624.342178479</v>
      </c>
      <c r="T24" s="93">
        <f ca="1">Summary!E25</f>
        <v>304529.78258663468</v>
      </c>
      <c r="V24" s="91" t="s">
        <v>821</v>
      </c>
      <c r="W24" s="91"/>
      <c r="X24" s="92"/>
      <c r="Y24" s="93">
        <v>76210683.556181967</v>
      </c>
      <c r="Z24" s="891">
        <v>304842.73422472784</v>
      </c>
      <c r="AA24" s="892"/>
      <c r="AB24" s="893"/>
      <c r="AC24" s="91" t="s">
        <v>821</v>
      </c>
      <c r="AD24" s="91"/>
      <c r="AE24" s="92"/>
      <c r="AF24" s="93">
        <v>77584806.663413271</v>
      </c>
      <c r="AG24" s="93">
        <v>310339.22665365308</v>
      </c>
    </row>
    <row r="25" spans="1:33" ht="15" thickTop="1" x14ac:dyDescent="0.3">
      <c r="O25" s="894"/>
      <c r="AB25" s="894"/>
    </row>
    <row r="26" spans="1:33" ht="16.2" thickBot="1" x14ac:dyDescent="0.35">
      <c r="I26" s="895" t="s">
        <v>244</v>
      </c>
      <c r="J26" s="442"/>
      <c r="K26" s="442"/>
      <c r="L26" s="442"/>
      <c r="M26" s="442"/>
      <c r="N26" s="442"/>
      <c r="O26" s="896"/>
      <c r="P26" s="897" t="s">
        <v>244</v>
      </c>
      <c r="Q26" s="898"/>
      <c r="R26" s="898"/>
      <c r="S26" s="898"/>
      <c r="T26" s="899"/>
      <c r="V26" s="895" t="s">
        <v>244</v>
      </c>
      <c r="W26" s="442"/>
      <c r="X26" s="442"/>
      <c r="Y26" s="442"/>
      <c r="Z26" s="442"/>
      <c r="AA26" s="442"/>
      <c r="AB26" s="896"/>
      <c r="AC26" s="897" t="s">
        <v>244</v>
      </c>
      <c r="AD26" s="898"/>
      <c r="AE26" s="898"/>
      <c r="AF26" s="898"/>
      <c r="AG26" s="899"/>
    </row>
    <row r="27" spans="1:33" ht="15" thickTop="1" x14ac:dyDescent="0.3">
      <c r="A27" t="s">
        <v>918</v>
      </c>
      <c r="B27" s="2635"/>
      <c r="C27" s="2635"/>
      <c r="D27" s="2635"/>
      <c r="I27" s="449"/>
      <c r="J27" s="449" t="s">
        <v>824</v>
      </c>
      <c r="K27" s="449" t="str">
        <f>'General Inputs'!J29</f>
        <v>LP</v>
      </c>
      <c r="L27" s="900" t="str">
        <f>'General Inputs'!K29</f>
        <v>Quarterra</v>
      </c>
      <c r="M27" s="901" t="s">
        <v>173</v>
      </c>
      <c r="N27" s="449"/>
      <c r="O27" s="902"/>
      <c r="P27" s="449"/>
      <c r="Q27" s="449" t="s">
        <v>824</v>
      </c>
      <c r="R27" s="449" t="str">
        <f>'General Inputs'!J29</f>
        <v>LP</v>
      </c>
      <c r="S27" s="900" t="str">
        <f>'General Inputs'!K29</f>
        <v>Quarterra</v>
      </c>
      <c r="T27" s="901" t="s">
        <v>173</v>
      </c>
      <c r="V27" s="449"/>
      <c r="W27" s="449" t="s">
        <v>824</v>
      </c>
      <c r="X27" s="449" t="s">
        <v>874</v>
      </c>
      <c r="Y27" s="900" t="s">
        <v>911</v>
      </c>
      <c r="Z27" s="901" t="s">
        <v>173</v>
      </c>
      <c r="AA27" s="449"/>
      <c r="AB27" s="902"/>
      <c r="AC27" s="449"/>
      <c r="AD27" s="449" t="s">
        <v>824</v>
      </c>
      <c r="AE27" s="449" t="s">
        <v>874</v>
      </c>
      <c r="AF27" s="900" t="s">
        <v>911</v>
      </c>
      <c r="AG27" s="901" t="s">
        <v>173</v>
      </c>
    </row>
    <row r="28" spans="1:33" x14ac:dyDescent="0.3">
      <c r="A28" s="210"/>
      <c r="B28" s="1528" t="s">
        <v>910</v>
      </c>
      <c r="C28" s="1529" t="s">
        <v>874</v>
      </c>
      <c r="D28" s="1530" t="s">
        <v>911</v>
      </c>
      <c r="I28" s="455" t="s">
        <v>157</v>
      </c>
      <c r="J28" s="398">
        <f ca="1">+Summary!B30</f>
        <v>42877793.388198167</v>
      </c>
      <c r="K28" s="398">
        <f ca="1">+'General Inputs'!J8</f>
        <v>31573647.858582281</v>
      </c>
      <c r="L28" s="903">
        <f ca="1">+'General Inputs'!K8</f>
        <v>3508183.0953980302</v>
      </c>
      <c r="M28" s="398">
        <f ca="1">+SUM(J28:L28)</f>
        <v>77959624.342178479</v>
      </c>
      <c r="N28" s="398"/>
      <c r="O28" s="904"/>
      <c r="P28" s="455" t="s">
        <v>157</v>
      </c>
      <c r="Q28" s="398">
        <f ca="1">+Summary!B30</f>
        <v>42877793.388198167</v>
      </c>
      <c r="R28" s="398">
        <f ca="1">+'General Inputs'!J8</f>
        <v>31573647.858582281</v>
      </c>
      <c r="S28" s="903">
        <f ca="1">+'General Inputs'!K8</f>
        <v>3508183.0953980302</v>
      </c>
      <c r="T28" s="398">
        <f ca="1">+SUM(Q28:S28)</f>
        <v>77959624.342178479</v>
      </c>
      <c r="V28" s="455" t="s">
        <v>157</v>
      </c>
      <c r="W28" s="398">
        <v>41915875.955900088</v>
      </c>
      <c r="X28" s="398">
        <v>30865326.840253692</v>
      </c>
      <c r="Y28" s="903">
        <v>3429480.7600281881</v>
      </c>
      <c r="Z28" s="398">
        <v>76210683.556181967</v>
      </c>
      <c r="AA28" s="398"/>
      <c r="AB28" s="904"/>
      <c r="AC28" s="455" t="s">
        <v>157</v>
      </c>
      <c r="AD28" s="398">
        <v>38792403.331706636</v>
      </c>
      <c r="AE28" s="398">
        <v>34913162.998535976</v>
      </c>
      <c r="AF28" s="903">
        <v>3879240.3331706636</v>
      </c>
      <c r="AG28" s="398">
        <v>77584806.663413271</v>
      </c>
    </row>
    <row r="29" spans="1:33" x14ac:dyDescent="0.3">
      <c r="B29" s="1531"/>
      <c r="C29" s="1532"/>
      <c r="D29" s="1533"/>
      <c r="I29" s="182" t="s">
        <v>274</v>
      </c>
      <c r="J29" s="400">
        <f ca="1">J28/$L$24</f>
        <v>0.55000000000000004</v>
      </c>
      <c r="K29" s="400"/>
      <c r="L29" s="905"/>
      <c r="M29" s="400"/>
      <c r="N29" s="400"/>
      <c r="O29" s="906"/>
      <c r="P29" s="182" t="s">
        <v>274</v>
      </c>
      <c r="Q29" s="400">
        <f ca="1">Q28/$S$24</f>
        <v>0.55000000000000004</v>
      </c>
      <c r="R29" s="400"/>
      <c r="S29" s="905"/>
      <c r="T29" s="400"/>
      <c r="V29" s="182" t="s">
        <v>274</v>
      </c>
      <c r="W29" s="400">
        <v>0.55000000000000004</v>
      </c>
      <c r="X29" s="400"/>
      <c r="Y29" s="905"/>
      <c r="Z29" s="400"/>
      <c r="AA29" s="400"/>
      <c r="AB29" s="906"/>
      <c r="AC29" s="182" t="s">
        <v>274</v>
      </c>
      <c r="AD29" s="400">
        <v>0.5</v>
      </c>
      <c r="AE29" s="400"/>
      <c r="AF29" s="905"/>
      <c r="AG29" s="400"/>
    </row>
    <row r="30" spans="1:33" x14ac:dyDescent="0.3">
      <c r="A30" t="s">
        <v>165</v>
      </c>
      <c r="B30" s="1531">
        <f>IF('Development Inputs'!$N$97="PropCo",'SBS Summary'!$E$21,'SBS Summary'!$B$21)</f>
        <v>0.12</v>
      </c>
      <c r="C30" s="1532">
        <f>IF('Development Inputs'!$N$97="PropCo",'SBS Summary'!$F$21,'SBS Summary'!$C$21)</f>
        <v>0.65</v>
      </c>
      <c r="D30" s="1533">
        <f>IF('Development Inputs'!$N$97="PropCo",'SBS Summary'!$G$21,'SBS Summary'!$D$21)</f>
        <v>0.35</v>
      </c>
      <c r="I30" s="182" t="s">
        <v>828</v>
      </c>
      <c r="J30" s="400"/>
      <c r="K30" s="400">
        <f>ContrEquity</f>
        <v>0.9</v>
      </c>
      <c r="L30" s="907">
        <f>ContrLennar</f>
        <v>9.9999999999999978E-2</v>
      </c>
      <c r="M30" s="400"/>
      <c r="N30" s="400"/>
      <c r="O30" s="906"/>
      <c r="P30" s="182" t="s">
        <v>828</v>
      </c>
      <c r="Q30" s="400"/>
      <c r="R30" s="400">
        <f>ContrEquity</f>
        <v>0.9</v>
      </c>
      <c r="S30" s="907">
        <f>ContrLennar</f>
        <v>9.9999999999999978E-2</v>
      </c>
      <c r="T30" s="400"/>
      <c r="V30" s="182" t="s">
        <v>828</v>
      </c>
      <c r="W30" s="400"/>
      <c r="X30" s="400">
        <v>0.9</v>
      </c>
      <c r="Y30" s="907">
        <v>0.1</v>
      </c>
      <c r="Z30" s="400"/>
      <c r="AA30" s="400"/>
      <c r="AB30" s="906"/>
      <c r="AC30" s="182" t="s">
        <v>828</v>
      </c>
      <c r="AD30" s="400"/>
      <c r="AE30" s="400">
        <v>0.9</v>
      </c>
      <c r="AF30" s="907">
        <v>0.1</v>
      </c>
      <c r="AG30" s="400"/>
    </row>
    <row r="31" spans="1:33" ht="15.6" x14ac:dyDescent="0.3">
      <c r="A31" t="s">
        <v>175</v>
      </c>
      <c r="B31" s="1531">
        <f>IF('Development Inputs'!$N$97="PropCo",'SBS Summary'!$E$22,'SBS Summary'!$B$22)</f>
        <v>0.15</v>
      </c>
      <c r="C31" s="1532">
        <f>IF('Development Inputs'!$N$97="PropCo",'SBS Summary'!$F$22,'SBS Summary'!$C$22)</f>
        <v>0.6</v>
      </c>
      <c r="D31" s="1533">
        <f>IF('Development Inputs'!$N$97="PropCo",'SBS Summary'!$G$22,'SBS Summary'!$D$22)</f>
        <v>0.4</v>
      </c>
      <c r="I31" s="182"/>
      <c r="J31" s="400"/>
      <c r="K31" s="400"/>
      <c r="L31" s="908"/>
      <c r="M31" s="400"/>
      <c r="N31" s="400"/>
      <c r="O31" s="906"/>
      <c r="V31" s="182"/>
      <c r="W31" s="400"/>
      <c r="X31" s="400"/>
      <c r="Y31" s="908"/>
      <c r="Z31" s="400"/>
      <c r="AA31" s="400"/>
      <c r="AB31" s="906"/>
    </row>
    <row r="32" spans="1:33" ht="16.2" thickBot="1" x14ac:dyDescent="0.35">
      <c r="A32" t="s">
        <v>915</v>
      </c>
      <c r="B32" s="1531">
        <f>IF('Development Inputs'!$N$97="PropCo",'SBS Summary'!$E$23,'SBS Summary'!$B$23)</f>
        <v>0.2</v>
      </c>
      <c r="C32" s="1532">
        <f>IF('Development Inputs'!$N$97="PropCo",'SBS Summary'!$F$23,'SBS Summary'!$C$23)</f>
        <v>0.5</v>
      </c>
      <c r="D32" s="1533">
        <f>IF('Development Inputs'!$N$97="PropCo",'SBS Summary'!$G$23,'SBS Summary'!$D$23)</f>
        <v>0.5</v>
      </c>
      <c r="I32" s="909" t="s">
        <v>919</v>
      </c>
      <c r="J32" s="910"/>
      <c r="K32" s="910"/>
      <c r="L32" s="910"/>
      <c r="M32" s="910"/>
      <c r="N32" s="910"/>
      <c r="O32" s="911"/>
      <c r="P32" s="912" t="s">
        <v>919</v>
      </c>
      <c r="Q32" s="910"/>
      <c r="R32" s="910"/>
      <c r="S32" s="910"/>
      <c r="T32" s="913"/>
      <c r="V32" s="909" t="s">
        <v>919</v>
      </c>
      <c r="W32" s="910"/>
      <c r="X32" s="910"/>
      <c r="Y32" s="910"/>
      <c r="Z32" s="910"/>
      <c r="AA32" s="910"/>
      <c r="AB32" s="911"/>
      <c r="AC32" s="912" t="s">
        <v>919</v>
      </c>
      <c r="AD32" s="910"/>
      <c r="AE32" s="910"/>
      <c r="AF32" s="910"/>
      <c r="AG32" s="913"/>
    </row>
    <row r="33" spans="1:33" ht="16.2" thickTop="1" x14ac:dyDescent="0.3">
      <c r="A33" t="s">
        <v>917</v>
      </c>
      <c r="B33" s="1534"/>
      <c r="C33" s="1535">
        <f>IF('Development Inputs'!$N$97="PropCo",'SBS Summary'!$F$24,'SBS Summary'!$C$24)</f>
        <v>0.4</v>
      </c>
      <c r="D33" s="1536">
        <f>IF('Development Inputs'!$N$97="PropCo",'SBS Summary'!$G$24,'SBS Summary'!$D$24)</f>
        <v>0.6</v>
      </c>
      <c r="I33" s="914"/>
      <c r="J33" s="915"/>
      <c r="K33" s="915"/>
      <c r="L33" s="916"/>
      <c r="M33" s="915"/>
      <c r="N33" s="915"/>
      <c r="O33" s="917"/>
      <c r="P33" s="918"/>
      <c r="Q33" s="918"/>
      <c r="R33" s="918"/>
      <c r="S33" s="918"/>
      <c r="T33" s="918"/>
      <c r="V33" s="914"/>
      <c r="W33" s="915"/>
      <c r="X33" s="915"/>
      <c r="Y33" s="916"/>
      <c r="Z33" s="915"/>
      <c r="AA33" s="915"/>
      <c r="AB33" s="917"/>
      <c r="AC33" s="918"/>
      <c r="AD33" s="918"/>
      <c r="AE33" s="918"/>
      <c r="AF33" s="918"/>
      <c r="AG33" s="918"/>
    </row>
    <row r="34" spans="1:33" x14ac:dyDescent="0.3">
      <c r="I34" s="919" t="s">
        <v>920</v>
      </c>
      <c r="J34" s="920"/>
      <c r="K34" s="920"/>
      <c r="L34" s="920"/>
      <c r="M34" s="921">
        <f ca="1">+Summary!D51</f>
        <v>6.6452831626234915E-2</v>
      </c>
      <c r="O34" s="922"/>
      <c r="P34" s="919" t="s">
        <v>920</v>
      </c>
      <c r="Q34" s="920"/>
      <c r="R34" s="920"/>
      <c r="S34" s="920"/>
      <c r="T34" s="921">
        <f ca="1">+Summary!D51</f>
        <v>6.6452831626234915E-2</v>
      </c>
      <c r="V34" s="919" t="s">
        <v>920</v>
      </c>
      <c r="W34" s="920"/>
      <c r="X34" s="920"/>
      <c r="Y34" s="920"/>
      <c r="Z34" s="921">
        <v>6.6669148907845519E-2</v>
      </c>
      <c r="AB34" s="922"/>
      <c r="AC34" s="919" t="s">
        <v>920</v>
      </c>
      <c r="AD34" s="920"/>
      <c r="AE34" s="920"/>
      <c r="AF34" s="920"/>
      <c r="AG34" s="921">
        <v>6.5721405297235636E-2</v>
      </c>
    </row>
    <row r="35" spans="1:33" x14ac:dyDescent="0.3">
      <c r="O35" s="922"/>
      <c r="AB35" s="922"/>
    </row>
    <row r="36" spans="1:33" x14ac:dyDescent="0.3">
      <c r="I36" s="110" t="s">
        <v>347</v>
      </c>
      <c r="J36" s="110"/>
      <c r="K36" s="110"/>
      <c r="L36" s="110"/>
      <c r="M36" s="194">
        <f ca="1">+Summary!S51</f>
        <v>0.30587547483465172</v>
      </c>
      <c r="N36" s="110"/>
      <c r="O36" s="923"/>
      <c r="P36" s="110" t="s">
        <v>347</v>
      </c>
      <c r="Q36" s="110"/>
      <c r="R36" s="110"/>
      <c r="S36" s="110"/>
      <c r="T36" s="194">
        <f ca="1">M36</f>
        <v>0.30587547483465172</v>
      </c>
      <c r="V36" s="110" t="s">
        <v>347</v>
      </c>
      <c r="W36" s="110"/>
      <c r="X36" s="110"/>
      <c r="Y36" s="110"/>
      <c r="Z36" s="194">
        <v>0.30812216313217733</v>
      </c>
      <c r="AA36" s="110"/>
      <c r="AB36" s="923"/>
      <c r="AC36" s="110" t="s">
        <v>347</v>
      </c>
      <c r="AD36" s="110"/>
      <c r="AE36" s="110"/>
      <c r="AF36" s="110"/>
      <c r="AG36" s="194">
        <v>0.19943395354794302</v>
      </c>
    </row>
    <row r="37" spans="1:33" x14ac:dyDescent="0.3">
      <c r="I37" s="110" t="s">
        <v>921</v>
      </c>
      <c r="J37" s="110"/>
      <c r="K37" s="110"/>
      <c r="L37" s="110"/>
      <c r="M37" s="780">
        <f ca="1">+Summary!S50</f>
        <v>1.7069503446095315</v>
      </c>
      <c r="N37" s="110"/>
      <c r="O37" s="923"/>
      <c r="P37" s="110" t="s">
        <v>921</v>
      </c>
      <c r="Q37" s="110"/>
      <c r="R37" s="110"/>
      <c r="S37" s="110"/>
      <c r="T37" s="780">
        <f ca="1">M37</f>
        <v>1.7069503446095315</v>
      </c>
      <c r="V37" s="110" t="s">
        <v>921</v>
      </c>
      <c r="W37" s="110"/>
      <c r="X37" s="110"/>
      <c r="Y37" s="110"/>
      <c r="Z37" s="780">
        <v>1.7156485930787968</v>
      </c>
      <c r="AA37" s="110"/>
      <c r="AB37" s="923"/>
      <c r="AC37" s="110" t="s">
        <v>921</v>
      </c>
      <c r="AD37" s="110"/>
      <c r="AE37" s="110"/>
      <c r="AF37" s="110"/>
      <c r="AG37" s="780">
        <v>1.9345618458373872</v>
      </c>
    </row>
    <row r="38" spans="1:33" x14ac:dyDescent="0.3">
      <c r="I38" s="110"/>
      <c r="J38" s="110"/>
      <c r="K38" s="110"/>
      <c r="L38" s="110"/>
      <c r="M38" s="110"/>
      <c r="N38" s="110"/>
      <c r="O38" s="923"/>
      <c r="P38" s="110"/>
      <c r="Q38" s="110"/>
      <c r="R38" s="110"/>
      <c r="S38" s="110"/>
      <c r="T38" s="110"/>
      <c r="V38" s="110"/>
      <c r="W38" s="110"/>
      <c r="X38" s="110"/>
      <c r="Y38" s="110"/>
      <c r="Z38" s="110"/>
      <c r="AA38" s="110"/>
      <c r="AB38" s="923"/>
      <c r="AC38" s="110"/>
      <c r="AD38" s="110"/>
      <c r="AE38" s="110"/>
      <c r="AF38" s="110"/>
      <c r="AG38" s="110"/>
    </row>
    <row r="39" spans="1:33" x14ac:dyDescent="0.3">
      <c r="I39" s="110" t="s">
        <v>922</v>
      </c>
      <c r="J39" s="110"/>
      <c r="K39" s="110"/>
      <c r="L39" s="110"/>
      <c r="M39" s="194">
        <f ca="1">+Summary!P51</f>
        <v>0.88796279652512533</v>
      </c>
      <c r="N39" s="110"/>
      <c r="O39" s="923"/>
      <c r="P39" s="110" t="s">
        <v>922</v>
      </c>
      <c r="Q39" s="110"/>
      <c r="R39" s="110"/>
      <c r="S39" s="110"/>
      <c r="T39" s="194">
        <f ca="1">M39</f>
        <v>0.88796279652512533</v>
      </c>
      <c r="V39" s="110" t="s">
        <v>922</v>
      </c>
      <c r="W39" s="110"/>
      <c r="X39" s="110"/>
      <c r="Y39" s="110"/>
      <c r="Z39" s="194">
        <v>0.89632449764112332</v>
      </c>
      <c r="AA39" s="110"/>
      <c r="AB39" s="923"/>
      <c r="AC39" s="110" t="s">
        <v>922</v>
      </c>
      <c r="AD39" s="110"/>
      <c r="AE39" s="110"/>
      <c r="AF39" s="110"/>
      <c r="AG39" s="194">
        <v>0.34295303647068831</v>
      </c>
    </row>
    <row r="40" spans="1:33" x14ac:dyDescent="0.3">
      <c r="I40" s="110" t="s">
        <v>923</v>
      </c>
      <c r="J40" s="110"/>
      <c r="K40" s="110"/>
      <c r="L40" s="110"/>
      <c r="M40" s="780">
        <f ca="1">+Summary!P50</f>
        <v>3.607591203245792</v>
      </c>
      <c r="N40" s="110"/>
      <c r="O40" s="923"/>
      <c r="P40" s="110" t="s">
        <v>923</v>
      </c>
      <c r="Q40" s="110"/>
      <c r="R40" s="110"/>
      <c r="S40" s="110"/>
      <c r="T40" s="780">
        <f ca="1">M40</f>
        <v>3.607591203245792</v>
      </c>
      <c r="V40" s="110" t="s">
        <v>923</v>
      </c>
      <c r="W40" s="110"/>
      <c r="X40" s="110"/>
      <c r="Y40" s="110"/>
      <c r="Z40" s="780">
        <v>3.6540466298696077</v>
      </c>
      <c r="AA40" s="110"/>
      <c r="AB40" s="923"/>
      <c r="AC40" s="110" t="s">
        <v>923</v>
      </c>
      <c r="AD40" s="110"/>
      <c r="AE40" s="110"/>
      <c r="AF40" s="110"/>
      <c r="AG40" s="780">
        <v>2.9388671786320471</v>
      </c>
    </row>
    <row r="41" spans="1:33" x14ac:dyDescent="0.3">
      <c r="I41" s="110"/>
      <c r="J41" s="110"/>
      <c r="K41" s="110"/>
      <c r="L41" s="110"/>
      <c r="M41" s="110"/>
      <c r="N41" s="110"/>
      <c r="O41" s="923"/>
      <c r="P41" s="110"/>
      <c r="Q41" s="110"/>
      <c r="R41" s="110"/>
      <c r="S41" s="110"/>
      <c r="T41" s="110"/>
      <c r="V41" s="110"/>
      <c r="W41" s="110"/>
      <c r="X41" s="110"/>
      <c r="Y41" s="110"/>
      <c r="Z41" s="110"/>
      <c r="AA41" s="110"/>
      <c r="AB41" s="923"/>
      <c r="AC41" s="110"/>
      <c r="AD41" s="110"/>
      <c r="AE41" s="110"/>
      <c r="AF41" s="110"/>
      <c r="AG41" s="110"/>
    </row>
    <row r="42" spans="1:33" x14ac:dyDescent="0.3">
      <c r="I42" s="110" t="s">
        <v>924</v>
      </c>
      <c r="J42" s="110"/>
      <c r="K42" s="110"/>
      <c r="L42" s="110"/>
      <c r="M42" s="194">
        <f ca="1">+Summary!O51</f>
        <v>0.22292304302199129</v>
      </c>
      <c r="N42" s="110"/>
      <c r="O42" s="923"/>
      <c r="P42" s="110" t="s">
        <v>924</v>
      </c>
      <c r="Q42" s="110"/>
      <c r="R42" s="110"/>
      <c r="S42" s="110"/>
      <c r="T42" s="194">
        <f ca="1">M42</f>
        <v>0.22292304302199129</v>
      </c>
      <c r="V42" s="110" t="s">
        <v>924</v>
      </c>
      <c r="W42" s="110"/>
      <c r="X42" s="110"/>
      <c r="Y42" s="110"/>
      <c r="Z42" s="194">
        <v>0.22400935703843405</v>
      </c>
      <c r="AA42" s="110"/>
      <c r="AB42" s="923"/>
      <c r="AC42" s="110" t="s">
        <v>924</v>
      </c>
      <c r="AD42" s="110"/>
      <c r="AE42" s="110"/>
      <c r="AF42" s="110"/>
      <c r="AG42" s="194">
        <v>0.18020056656368721</v>
      </c>
    </row>
    <row r="43" spans="1:33" x14ac:dyDescent="0.3">
      <c r="I43" s="110" t="s">
        <v>925</v>
      </c>
      <c r="J43" s="110"/>
      <c r="K43" s="110"/>
      <c r="L43" s="110"/>
      <c r="M43" s="780">
        <f ca="1">+Summary!O50</f>
        <v>1.4957680269832803</v>
      </c>
      <c r="N43" s="110"/>
      <c r="O43" s="923"/>
      <c r="P43" s="110" t="s">
        <v>925</v>
      </c>
      <c r="Q43" s="110"/>
      <c r="R43" s="110"/>
      <c r="S43" s="110"/>
      <c r="T43" s="780">
        <f ca="1">M43</f>
        <v>1.4957680269832803</v>
      </c>
      <c r="V43" s="110" t="s">
        <v>925</v>
      </c>
      <c r="W43" s="110"/>
      <c r="X43" s="110"/>
      <c r="Y43" s="110"/>
      <c r="Z43" s="780">
        <v>1.5002710334353733</v>
      </c>
      <c r="AA43" s="110"/>
      <c r="AB43" s="923"/>
      <c r="AC43" s="110" t="s">
        <v>925</v>
      </c>
      <c r="AD43" s="110"/>
      <c r="AE43" s="110"/>
      <c r="AF43" s="110"/>
      <c r="AG43" s="780">
        <v>1.8229723644157585</v>
      </c>
    </row>
    <row r="44" spans="1:33" x14ac:dyDescent="0.3">
      <c r="I44" s="110"/>
      <c r="J44" s="110"/>
      <c r="K44" s="110"/>
      <c r="L44" s="110"/>
      <c r="M44" s="110"/>
      <c r="N44" s="110"/>
      <c r="O44" s="923"/>
      <c r="P44" s="110"/>
      <c r="Q44" s="110"/>
      <c r="R44" s="110"/>
      <c r="S44" s="110"/>
      <c r="T44" s="110"/>
      <c r="V44" s="110"/>
      <c r="W44" s="110"/>
      <c r="X44" s="110"/>
      <c r="Y44" s="110"/>
      <c r="Z44" s="110"/>
      <c r="AA44" s="110"/>
      <c r="AB44" s="923"/>
      <c r="AC44" s="110"/>
      <c r="AD44" s="110"/>
      <c r="AE44" s="110"/>
      <c r="AF44" s="110"/>
      <c r="AG44" s="110"/>
    </row>
    <row r="45" spans="1:33" ht="16.2" thickBot="1" x14ac:dyDescent="0.35">
      <c r="I45" s="909" t="s">
        <v>926</v>
      </c>
      <c r="J45" s="910"/>
      <c r="K45" s="910"/>
      <c r="L45" s="910"/>
      <c r="M45" s="910"/>
      <c r="N45" s="910"/>
      <c r="O45" s="911"/>
      <c r="P45" s="912" t="s">
        <v>926</v>
      </c>
      <c r="Q45" s="910"/>
      <c r="R45" s="910"/>
      <c r="S45" s="910"/>
      <c r="T45" s="913"/>
      <c r="V45" s="909" t="s">
        <v>926</v>
      </c>
      <c r="W45" s="910"/>
      <c r="X45" s="910"/>
      <c r="Y45" s="910"/>
      <c r="Z45" s="910"/>
      <c r="AA45" s="910"/>
      <c r="AB45" s="911"/>
      <c r="AC45" s="912" t="s">
        <v>926</v>
      </c>
      <c r="AD45" s="910"/>
      <c r="AE45" s="910"/>
      <c r="AF45" s="910"/>
      <c r="AG45" s="913"/>
    </row>
    <row r="46" spans="1:33" ht="16.2" thickTop="1" x14ac:dyDescent="0.3">
      <c r="I46" s="914"/>
      <c r="J46" s="915"/>
      <c r="K46" s="915"/>
      <c r="L46" s="916"/>
      <c r="M46" s="915"/>
      <c r="N46" s="915"/>
      <c r="O46" s="917"/>
      <c r="P46" s="918"/>
      <c r="Q46" s="918"/>
      <c r="R46" s="918"/>
      <c r="S46" s="918"/>
      <c r="T46" s="918"/>
      <c r="V46" s="914"/>
      <c r="W46" s="915"/>
      <c r="X46" s="915"/>
      <c r="Y46" s="916"/>
      <c r="Z46" s="915"/>
      <c r="AA46" s="915"/>
      <c r="AB46" s="917"/>
      <c r="AC46" s="918"/>
      <c r="AD46" s="918"/>
      <c r="AE46" s="918"/>
      <c r="AF46" s="918"/>
      <c r="AG46" s="918"/>
    </row>
    <row r="47" spans="1:33" x14ac:dyDescent="0.3">
      <c r="I47" s="110" t="str">
        <f>+CONCATENATE("Development Fee (",TEXT('Development Inputs'!$K$99,"0.0%"),"; ", 'Development Inputs'!$N$99,")")</f>
        <v>Development Fee (4.0%; Less Land &amp; Fees)</v>
      </c>
      <c r="M47" s="779">
        <f ca="1">+L17</f>
        <v>2658062.4746991713</v>
      </c>
      <c r="O47" s="923"/>
      <c r="P47" s="110" t="str">
        <f>+CONCATENATE("Development Fee (",TEXT('Development Inputs'!$K$99,"0.0%"),"; ", 'Development Inputs'!$N$99,")")</f>
        <v>Development Fee (4.0%; Less Land &amp; Fees)</v>
      </c>
      <c r="T47" s="779">
        <f ca="1">+S17</f>
        <v>2658062.4746991713</v>
      </c>
      <c r="V47" s="110" t="s">
        <v>927</v>
      </c>
      <c r="Z47" s="779">
        <v>2590795.5213916143</v>
      </c>
      <c r="AB47" s="923"/>
      <c r="AC47" s="110" t="s">
        <v>928</v>
      </c>
      <c r="AG47" s="779">
        <v>3230379.9593307553</v>
      </c>
    </row>
    <row r="48" spans="1:33" x14ac:dyDescent="0.3">
      <c r="I48" s="110" t="str">
        <f>+CONCATENATE("Asset Management Fee During Construction (",TEXT('General Inputs'!C50/1000,"$0k")," / Month )")</f>
        <v>Asset Management Fee During Construction ($0k / Month )</v>
      </c>
      <c r="M48" s="1517">
        <f ca="1">-SUMIF(Waterfalls!$E$159:$EG$159,-'General Inputs'!$C$50,Waterfalls!$E$159:$EG$159)</f>
        <v>0</v>
      </c>
      <c r="O48" s="923"/>
      <c r="P48" s="110" t="str">
        <f>+CONCATENATE("Asset Management Fee During Construction (",TEXT('General Inputs'!C50/1000,"$0k")," / Month )")</f>
        <v>Asset Management Fee During Construction ($0k / Month )</v>
      </c>
      <c r="T48" s="1517">
        <f ca="1">M48</f>
        <v>0</v>
      </c>
      <c r="V48" s="110" t="s">
        <v>929</v>
      </c>
      <c r="Z48" s="779">
        <v>0</v>
      </c>
      <c r="AB48" s="923"/>
      <c r="AC48" s="110" t="s">
        <v>930</v>
      </c>
      <c r="AG48" s="779">
        <v>960000</v>
      </c>
    </row>
    <row r="49" spans="9:33" x14ac:dyDescent="0.3">
      <c r="I49" s="110" t="str">
        <f>+CONCATENATE("Asset Management Fee (",TEXT('General Inputs'!C47,"0.00%"),")")</f>
        <v>Asset Management Fee (0.00%)</v>
      </c>
      <c r="M49" s="1518">
        <f ca="1">Summary!K54-'SBS Summary'!M48</f>
        <v>0</v>
      </c>
      <c r="O49" s="923"/>
      <c r="P49" s="110" t="str">
        <f>+CONCATENATE("Asset Management Fee (",TEXT('General Inputs'!C47,"0.00%"),")")</f>
        <v>Asset Management Fee (0.00%)</v>
      </c>
      <c r="T49" s="1517">
        <f ca="1">M49</f>
        <v>0</v>
      </c>
      <c r="V49" s="110" t="s">
        <v>931</v>
      </c>
      <c r="Z49" s="924">
        <v>0</v>
      </c>
      <c r="AB49" s="923"/>
      <c r="AC49" s="110" t="s">
        <v>932</v>
      </c>
      <c r="AG49" s="779">
        <v>404087.5347052766</v>
      </c>
    </row>
    <row r="50" spans="9:33" x14ac:dyDescent="0.3">
      <c r="O50" s="923"/>
      <c r="T50" s="925"/>
      <c r="AB50" s="923"/>
      <c r="AG50" s="925"/>
    </row>
    <row r="51" spans="9:33" ht="16.2" thickBot="1" x14ac:dyDescent="0.35">
      <c r="I51" s="909" t="s">
        <v>933</v>
      </c>
      <c r="J51" s="910"/>
      <c r="K51" s="910"/>
      <c r="L51" s="910"/>
      <c r="M51" s="910"/>
      <c r="N51" s="910"/>
      <c r="O51" s="911"/>
      <c r="P51" s="912" t="s">
        <v>933</v>
      </c>
      <c r="Q51" s="910"/>
      <c r="R51" s="910"/>
      <c r="S51" s="910"/>
      <c r="T51" s="913"/>
      <c r="V51" s="909" t="s">
        <v>933</v>
      </c>
      <c r="W51" s="910"/>
      <c r="X51" s="910"/>
      <c r="Y51" s="910"/>
      <c r="Z51" s="910"/>
      <c r="AA51" s="910"/>
      <c r="AB51" s="911"/>
      <c r="AC51" s="912" t="s">
        <v>933</v>
      </c>
      <c r="AD51" s="910"/>
      <c r="AE51" s="910"/>
      <c r="AF51" s="910"/>
      <c r="AG51" s="913"/>
    </row>
    <row r="52" spans="9:33" ht="16.2" thickTop="1" x14ac:dyDescent="0.3">
      <c r="I52" s="926" t="s">
        <v>901</v>
      </c>
      <c r="J52" s="915"/>
      <c r="K52" s="915"/>
      <c r="L52" s="916"/>
      <c r="M52" s="915"/>
      <c r="N52" s="915"/>
      <c r="O52" s="917"/>
      <c r="P52" s="926" t="s">
        <v>901</v>
      </c>
      <c r="Q52" s="918"/>
      <c r="R52" s="918"/>
      <c r="S52" s="918"/>
      <c r="T52" s="918"/>
      <c r="V52" s="926" t="s">
        <v>901</v>
      </c>
      <c r="W52" s="915"/>
      <c r="X52" s="915"/>
      <c r="Y52" s="916"/>
      <c r="Z52" s="915"/>
      <c r="AA52" s="915"/>
      <c r="AB52" s="917"/>
      <c r="AC52" s="926" t="s">
        <v>901</v>
      </c>
      <c r="AD52" s="918"/>
      <c r="AE52" s="918"/>
      <c r="AF52" s="918"/>
      <c r="AG52" s="918"/>
    </row>
    <row r="53" spans="9:33" x14ac:dyDescent="0.3">
      <c r="I53" s="769" t="s">
        <v>934</v>
      </c>
      <c r="J53" s="110"/>
      <c r="K53" s="110"/>
      <c r="L53" s="110"/>
      <c r="M53" s="110">
        <f>+DispositionMonth</f>
        <v>28</v>
      </c>
      <c r="N53" s="110"/>
      <c r="O53" s="923"/>
      <c r="P53" s="769" t="str">
        <f>+I53</f>
        <v>Sale Month</v>
      </c>
      <c r="Q53" s="110"/>
      <c r="R53" s="110"/>
      <c r="S53" s="110"/>
      <c r="T53" s="110">
        <f>M53</f>
        <v>28</v>
      </c>
      <c r="V53" s="769" t="s">
        <v>934</v>
      </c>
      <c r="W53" s="110"/>
      <c r="X53" s="110"/>
      <c r="Y53" s="110"/>
      <c r="Z53" s="110">
        <v>28</v>
      </c>
      <c r="AA53" s="110"/>
      <c r="AB53" s="923"/>
      <c r="AC53" s="769" t="s">
        <v>934</v>
      </c>
      <c r="AD53" s="110"/>
      <c r="AE53" s="110"/>
      <c r="AF53" s="110"/>
      <c r="AG53" s="110">
        <v>49</v>
      </c>
    </row>
    <row r="54" spans="9:33" x14ac:dyDescent="0.3">
      <c r="I54" s="769" t="s">
        <v>935</v>
      </c>
      <c r="J54" s="110"/>
      <c r="K54" s="110"/>
      <c r="L54" s="110"/>
      <c r="M54" s="927">
        <f>+Summary!R35</f>
        <v>47484</v>
      </c>
      <c r="N54" s="110"/>
      <c r="O54" s="923"/>
      <c r="P54" s="769" t="str">
        <f>+I54</f>
        <v>Sale Date</v>
      </c>
      <c r="Q54" s="110"/>
      <c r="R54" s="110"/>
      <c r="S54" s="110"/>
      <c r="T54" s="927">
        <f>M54</f>
        <v>47484</v>
      </c>
      <c r="V54" s="769" t="s">
        <v>935</v>
      </c>
      <c r="W54" s="110"/>
      <c r="X54" s="110"/>
      <c r="Y54" s="110"/>
      <c r="Z54" s="927">
        <v>47484</v>
      </c>
      <c r="AA54" s="110"/>
      <c r="AB54" s="923"/>
      <c r="AC54" s="769" t="s">
        <v>935</v>
      </c>
      <c r="AD54" s="110"/>
      <c r="AE54" s="110"/>
      <c r="AF54" s="110"/>
      <c r="AG54" s="927">
        <v>48122</v>
      </c>
    </row>
    <row r="55" spans="9:33" x14ac:dyDescent="0.3">
      <c r="I55" s="769" t="s">
        <v>936</v>
      </c>
      <c r="J55" s="110"/>
      <c r="K55" s="110"/>
      <c r="L55" s="110"/>
      <c r="M55" s="194">
        <f>+ExitCap</f>
        <v>5.5E-2</v>
      </c>
      <c r="N55" s="110"/>
      <c r="O55" s="923"/>
      <c r="P55" s="769" t="str">
        <f>+I55</f>
        <v>Exit Cap Rate (Residential)</v>
      </c>
      <c r="Q55" s="110"/>
      <c r="R55" s="110"/>
      <c r="S55" s="110"/>
      <c r="T55" s="194">
        <f>M55</f>
        <v>5.5E-2</v>
      </c>
      <c r="V55" s="769" t="s">
        <v>936</v>
      </c>
      <c r="W55" s="110"/>
      <c r="X55" s="110"/>
      <c r="Y55" s="110"/>
      <c r="Z55" s="194">
        <v>5.5E-2</v>
      </c>
      <c r="AA55" s="110"/>
      <c r="AB55" s="923"/>
      <c r="AC55" s="769" t="s">
        <v>936</v>
      </c>
      <c r="AD55" s="110"/>
      <c r="AE55" s="110"/>
      <c r="AF55" s="110"/>
      <c r="AG55" s="194">
        <v>5.5E-2</v>
      </c>
    </row>
    <row r="56" spans="9:33" x14ac:dyDescent="0.3">
      <c r="I56" s="769" t="s">
        <v>937</v>
      </c>
      <c r="J56" s="110"/>
      <c r="K56" s="110"/>
      <c r="L56" s="110"/>
      <c r="M56" s="768">
        <f ca="1">+Summary!K42</f>
        <v>400466.69999142503</v>
      </c>
      <c r="N56" s="110"/>
      <c r="O56" s="923"/>
      <c r="P56" s="769" t="str">
        <f>+I56</f>
        <v>Terminal Sales Price / Home</v>
      </c>
      <c r="Q56" s="110"/>
      <c r="R56" s="110"/>
      <c r="S56" s="110"/>
      <c r="T56" s="768">
        <f ca="1">M56</f>
        <v>400466.69999142503</v>
      </c>
      <c r="V56" s="769" t="s">
        <v>937</v>
      </c>
      <c r="W56" s="110"/>
      <c r="X56" s="110"/>
      <c r="Y56" s="110"/>
      <c r="Z56" s="768">
        <v>401883.45204255352</v>
      </c>
      <c r="AA56" s="110"/>
      <c r="AB56" s="923"/>
      <c r="AC56" s="769" t="s">
        <v>937</v>
      </c>
      <c r="AD56" s="110"/>
      <c r="AE56" s="110"/>
      <c r="AF56" s="110"/>
      <c r="AG56" s="768">
        <v>433979.41072693712</v>
      </c>
    </row>
    <row r="57" spans="9:33" x14ac:dyDescent="0.3">
      <c r="I57" s="767" t="s">
        <v>223</v>
      </c>
      <c r="J57" s="110"/>
      <c r="K57" s="110"/>
      <c r="L57" s="110"/>
      <c r="M57" s="110"/>
      <c r="N57" s="110"/>
      <c r="O57" s="923"/>
      <c r="P57" s="767" t="s">
        <v>223</v>
      </c>
      <c r="Q57" s="110"/>
      <c r="R57" s="110"/>
      <c r="S57" s="110"/>
      <c r="T57" s="110"/>
      <c r="V57" s="767" t="s">
        <v>223</v>
      </c>
      <c r="W57" s="110"/>
      <c r="X57" s="110"/>
      <c r="Y57" s="110"/>
      <c r="Z57" s="110"/>
      <c r="AA57" s="110"/>
      <c r="AB57" s="923"/>
      <c r="AC57" s="767" t="s">
        <v>223</v>
      </c>
      <c r="AD57" s="110"/>
      <c r="AE57" s="110"/>
      <c r="AF57" s="110"/>
      <c r="AG57" s="110"/>
    </row>
    <row r="58" spans="9:33" x14ac:dyDescent="0.3">
      <c r="I58" s="769" t="s">
        <v>743</v>
      </c>
      <c r="J58" s="110"/>
      <c r="K58" s="110"/>
      <c r="L58" s="110"/>
      <c r="M58" s="402">
        <f>+FirstUnits</f>
        <v>14</v>
      </c>
      <c r="N58" s="110"/>
      <c r="O58" s="923"/>
      <c r="P58" s="769" t="s">
        <v>743</v>
      </c>
      <c r="Q58" s="110"/>
      <c r="R58" s="110"/>
      <c r="S58" s="110"/>
      <c r="T58" s="402">
        <f>M58</f>
        <v>14</v>
      </c>
      <c r="V58" s="769" t="s">
        <v>743</v>
      </c>
      <c r="W58" s="110"/>
      <c r="X58" s="110"/>
      <c r="Y58" s="110"/>
      <c r="Z58" s="402">
        <v>14</v>
      </c>
      <c r="AA58" s="110"/>
      <c r="AB58" s="923"/>
      <c r="AC58" s="769" t="s">
        <v>743</v>
      </c>
      <c r="AD58" s="110"/>
      <c r="AE58" s="110"/>
      <c r="AF58" s="110"/>
      <c r="AG58" s="402">
        <v>14</v>
      </c>
    </row>
    <row r="59" spans="9:33" x14ac:dyDescent="0.3">
      <c r="I59" s="769" t="s">
        <v>938</v>
      </c>
      <c r="J59" s="110"/>
      <c r="K59" s="110"/>
      <c r="L59" s="110"/>
      <c r="M59" s="406">
        <f>+ConstPeriod</f>
        <v>25</v>
      </c>
      <c r="N59" s="110"/>
      <c r="O59" s="923"/>
      <c r="P59" s="769" t="s">
        <v>938</v>
      </c>
      <c r="Q59" s="110"/>
      <c r="R59" s="110"/>
      <c r="S59" s="110"/>
      <c r="T59" s="406">
        <f>M59</f>
        <v>25</v>
      </c>
      <c r="V59" s="769" t="s">
        <v>938</v>
      </c>
      <c r="W59" s="110"/>
      <c r="X59" s="110"/>
      <c r="Y59" s="110"/>
      <c r="Z59" s="406">
        <v>25</v>
      </c>
      <c r="AA59" s="110"/>
      <c r="AB59" s="923"/>
      <c r="AC59" s="769" t="s">
        <v>938</v>
      </c>
      <c r="AD59" s="110"/>
      <c r="AE59" s="110"/>
      <c r="AF59" s="110"/>
      <c r="AG59" s="406">
        <v>25</v>
      </c>
    </row>
    <row r="60" spans="9:33" x14ac:dyDescent="0.3">
      <c r="I60" s="769" t="s">
        <v>939</v>
      </c>
      <c r="J60" s="110"/>
      <c r="K60" s="110"/>
      <c r="L60" s="110"/>
      <c r="M60" s="871">
        <f>+UnitDelivery</f>
        <v>21.333333333333332</v>
      </c>
      <c r="N60" s="110"/>
      <c r="O60" s="923"/>
      <c r="P60" s="769" t="s">
        <v>939</v>
      </c>
      <c r="Q60" s="110"/>
      <c r="R60" s="110"/>
      <c r="S60" s="110"/>
      <c r="T60" s="871">
        <f>M60</f>
        <v>21.333333333333332</v>
      </c>
      <c r="V60" s="769" t="s">
        <v>939</v>
      </c>
      <c r="W60" s="110"/>
      <c r="X60" s="110"/>
      <c r="Y60" s="110"/>
      <c r="Z60" s="871">
        <v>20.833333333333332</v>
      </c>
      <c r="AA60" s="110"/>
      <c r="AB60" s="923"/>
      <c r="AC60" s="769" t="s">
        <v>939</v>
      </c>
      <c r="AD60" s="110"/>
      <c r="AE60" s="110"/>
      <c r="AF60" s="110"/>
      <c r="AG60" s="871">
        <v>20.833333333333332</v>
      </c>
    </row>
    <row r="61" spans="9:33" x14ac:dyDescent="0.3">
      <c r="I61" s="769" t="s">
        <v>940</v>
      </c>
      <c r="J61" s="110"/>
      <c r="K61" s="110"/>
      <c r="L61" s="110"/>
      <c r="M61" s="871">
        <f>+Absorption</f>
        <v>18</v>
      </c>
      <c r="N61" s="110"/>
      <c r="O61" s="923"/>
      <c r="P61" s="769" t="s">
        <v>940</v>
      </c>
      <c r="Q61" s="110"/>
      <c r="R61" s="110"/>
      <c r="S61" s="110"/>
      <c r="T61" s="871">
        <f>M61</f>
        <v>18</v>
      </c>
      <c r="V61" s="769" t="s">
        <v>940</v>
      </c>
      <c r="W61" s="110"/>
      <c r="X61" s="110"/>
      <c r="Y61" s="110"/>
      <c r="Z61" s="871">
        <v>18</v>
      </c>
      <c r="AA61" s="110"/>
      <c r="AB61" s="923"/>
      <c r="AC61" s="769" t="s">
        <v>940</v>
      </c>
      <c r="AD61" s="110"/>
      <c r="AE61" s="110"/>
      <c r="AF61" s="110"/>
      <c r="AG61" s="871">
        <v>18</v>
      </c>
    </row>
    <row r="62" spans="9:33" x14ac:dyDescent="0.3">
      <c r="I62" s="110"/>
      <c r="J62" s="110"/>
      <c r="K62" s="110"/>
      <c r="L62" s="110"/>
      <c r="M62" s="110"/>
      <c r="N62" s="110"/>
      <c r="O62" s="110"/>
      <c r="P62" s="110"/>
      <c r="Q62" s="110"/>
      <c r="R62" s="110"/>
      <c r="S62" s="110"/>
      <c r="T62" s="110"/>
    </row>
    <row r="63" spans="9:33" x14ac:dyDescent="0.3">
      <c r="I63" s="110"/>
      <c r="J63" s="110"/>
      <c r="K63" s="110"/>
      <c r="L63" s="110"/>
      <c r="M63" s="110"/>
      <c r="N63" s="110"/>
      <c r="O63" s="110"/>
      <c r="P63" s="110"/>
      <c r="Q63" s="110"/>
      <c r="R63" s="110"/>
      <c r="S63" s="110"/>
      <c r="T63" s="110"/>
    </row>
  </sheetData>
  <sheetProtection algorithmName="SHA-512" hashValue="OUkD0/yDPkoTnCmdiR9ItvTsP5iVawvg2FyxoQ72Rfkck6C1vY6PV86/z8g+DNVZ3/5eC/V/CzpPyriGIpHdzg==" saltValue="FphKj4vBMd6grVxI7J168Q==" spinCount="100000" sheet="1" objects="1" scenarios="1" formatColumns="0"/>
  <mergeCells count="3">
    <mergeCell ref="B18:D18"/>
    <mergeCell ref="E18:G18"/>
    <mergeCell ref="B27:D27"/>
  </mergeCells>
  <conditionalFormatting sqref="B20:B23">
    <cfRule type="expression" dxfId="295" priority="6">
      <formula>$G$29="Multiple Hurdle"</formula>
    </cfRule>
  </conditionalFormatting>
  <conditionalFormatting sqref="B19">
    <cfRule type="expression" dxfId="294" priority="5">
      <formula>$G$29="Multiple Hurdle"</formula>
    </cfRule>
  </conditionalFormatting>
  <conditionalFormatting sqref="B20:B23">
    <cfRule type="expression" dxfId="293" priority="4">
      <formula>B20=0</formula>
    </cfRule>
  </conditionalFormatting>
  <conditionalFormatting sqref="E20:E23">
    <cfRule type="expression" dxfId="292" priority="3">
      <formula>$G$29="Multiple Hurdle"</formula>
    </cfRule>
  </conditionalFormatting>
  <conditionalFormatting sqref="E19">
    <cfRule type="expression" dxfId="291" priority="2">
      <formula>$G$29="Multiple Hurdle"</formula>
    </cfRule>
  </conditionalFormatting>
  <conditionalFormatting sqref="E20:E23">
    <cfRule type="expression" dxfId="290" priority="1">
      <formula>E20=0</formula>
    </cfRule>
  </conditionalFormatting>
  <dataValidations count="3">
    <dataValidation type="list" allowBlank="1" showInputMessage="1" showErrorMessage="1" sqref="D9:E9" xr:uid="{00000000-0002-0000-0900-000000000000}">
      <formula1>"Total Cost,Less Fees,Less Land,Less Land &amp; Fees"</formula1>
    </dataValidation>
    <dataValidation type="list" allowBlank="1" showInputMessage="1" showErrorMessage="1" sqref="D13" xr:uid="{00000000-0002-0000-0900-000001000000}">
      <formula1>"Merchant,LMV"</formula1>
    </dataValidation>
    <dataValidation type="list" allowBlank="1" showInputMessage="1" showErrorMessage="1" sqref="E13" xr:uid="{FD0EE52C-805E-4452-9F53-9A6855ADA3DA}">
      <formula1>"Merchant,PropCo"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6" r:id="rId4" name="Button 2">
              <controlPr defaultSize="0" print="0" autoFill="0" autoPict="0" macro="[0]!CalculateSBSSummaryNEW">
                <anchor moveWithCells="1" sizeWithCells="1">
                  <from>
                    <xdr:col>33</xdr:col>
                    <xdr:colOff>213360</xdr:colOff>
                    <xdr:row>1</xdr:row>
                    <xdr:rowOff>99060</xdr:rowOff>
                  </from>
                  <to>
                    <xdr:col>36</xdr:col>
                    <xdr:colOff>22860</xdr:colOff>
                    <xdr:row>4</xdr:row>
                    <xdr:rowOff>114300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8" id="{0160CCE9-BE0A-4155-A3C1-331A2B6F6F0B}">
            <xm:f>'Operating Inputs'!#REF!=0</xm:f>
            <x14:dxf>
              <font>
                <color theme="0" tint="-0.34998626667073579"/>
              </font>
            </x14:dxf>
          </x14:cfRule>
          <xm:sqref>I23:J23 L23:O23</xm:sqref>
        </x14:conditionalFormatting>
        <x14:conditionalFormatting xmlns:xm="http://schemas.microsoft.com/office/excel/2006/main">
          <x14:cfRule type="expression" priority="17" id="{AAA05004-C125-468D-95C4-EFFF40502733}">
            <xm:f>'Operating Inputs'!#REF!=0</xm:f>
            <x14:dxf>
              <font>
                <color theme="0" tint="-0.24994659260841701"/>
              </font>
            </x14:dxf>
          </x14:cfRule>
          <xm:sqref>I23:O23</xm:sqref>
        </x14:conditionalFormatting>
        <x14:conditionalFormatting xmlns:xm="http://schemas.microsoft.com/office/excel/2006/main">
          <x14:cfRule type="expression" priority="16" id="{EA620024-076D-4E27-856B-A2D842C3E43F}">
            <xm:f>'Operating Inputs'!#REF!=0</xm:f>
            <x14:dxf>
              <font>
                <color theme="0" tint="-0.34998626667073579"/>
              </font>
            </x14:dxf>
          </x14:cfRule>
          <xm:sqref>Q23 S23:T23</xm:sqref>
        </x14:conditionalFormatting>
        <x14:conditionalFormatting xmlns:xm="http://schemas.microsoft.com/office/excel/2006/main">
          <x14:cfRule type="expression" priority="15" id="{0B4A8FD6-0974-438D-A236-98B6AD6900B0}">
            <xm:f>'Operating Inputs'!#REF!=0</xm:f>
            <x14:dxf>
              <font>
                <color theme="0" tint="-0.24994659260841701"/>
              </font>
            </x14:dxf>
          </x14:cfRule>
          <xm:sqref>Q23:T23</xm:sqref>
        </x14:conditionalFormatting>
        <x14:conditionalFormatting xmlns:xm="http://schemas.microsoft.com/office/excel/2006/main">
          <x14:cfRule type="expression" priority="14" id="{AB858953-86BA-4025-A0C3-337E1E6BA79F}">
            <xm:f>'Operating Inputs'!#REF!=0</xm:f>
            <x14:dxf>
              <font>
                <color theme="0" tint="-0.34998626667073579"/>
              </font>
            </x14:dxf>
          </x14:cfRule>
          <xm:sqref>P23</xm:sqref>
        </x14:conditionalFormatting>
        <x14:conditionalFormatting xmlns:xm="http://schemas.microsoft.com/office/excel/2006/main">
          <x14:cfRule type="expression" priority="13" id="{6D448A7E-18C7-46C1-ABFB-3F6AAD4A3FC2}">
            <xm:f>'Operating Inputs'!#REF!=0</xm:f>
            <x14:dxf>
              <font>
                <color theme="0" tint="-0.24994659260841701"/>
              </font>
            </x14:dxf>
          </x14:cfRule>
          <xm:sqref>P23</xm:sqref>
        </x14:conditionalFormatting>
        <x14:conditionalFormatting xmlns:xm="http://schemas.microsoft.com/office/excel/2006/main">
          <x14:cfRule type="expression" priority="12" id="{DD8A1784-F258-4F99-B308-78BE9B1F23F2}">
            <xm:f>'Operating Inputs'!#REF!=0</xm:f>
            <x14:dxf>
              <font>
                <color theme="0" tint="-0.34998626667073579"/>
              </font>
            </x14:dxf>
          </x14:cfRule>
          <xm:sqref>V23:W23 Y23:AB23</xm:sqref>
        </x14:conditionalFormatting>
        <x14:conditionalFormatting xmlns:xm="http://schemas.microsoft.com/office/excel/2006/main">
          <x14:cfRule type="expression" priority="11" id="{9E4B7E61-C278-4514-941C-36BB3929E356}">
            <xm:f>'Operating Inputs'!#REF!=0</xm:f>
            <x14:dxf>
              <font>
                <color theme="0" tint="-0.24994659260841701"/>
              </font>
            </x14:dxf>
          </x14:cfRule>
          <xm:sqref>V23:AB23</xm:sqref>
        </x14:conditionalFormatting>
        <x14:conditionalFormatting xmlns:xm="http://schemas.microsoft.com/office/excel/2006/main">
          <x14:cfRule type="expression" priority="10" id="{55C98423-02C4-4328-A680-2EB5D2F9ED26}">
            <xm:f>'Operating Inputs'!#REF!=0</xm:f>
            <x14:dxf>
              <font>
                <color theme="0" tint="-0.34998626667073579"/>
              </font>
            </x14:dxf>
          </x14:cfRule>
          <xm:sqref>AD23 AF23:AG23</xm:sqref>
        </x14:conditionalFormatting>
        <x14:conditionalFormatting xmlns:xm="http://schemas.microsoft.com/office/excel/2006/main">
          <x14:cfRule type="expression" priority="9" id="{E1D1D1AB-400B-449A-913F-209C8A6997CD}">
            <xm:f>'Operating Inputs'!#REF!=0</xm:f>
            <x14:dxf>
              <font>
                <color theme="0" tint="-0.24994659260841701"/>
              </font>
            </x14:dxf>
          </x14:cfRule>
          <xm:sqref>AD23:AG23</xm:sqref>
        </x14:conditionalFormatting>
        <x14:conditionalFormatting xmlns:xm="http://schemas.microsoft.com/office/excel/2006/main">
          <x14:cfRule type="expression" priority="8" id="{70DDD2C2-FCB5-470A-8609-68E9D5441224}">
            <xm:f>'Operating Inputs'!#REF!=0</xm:f>
            <x14:dxf>
              <font>
                <color theme="0" tint="-0.34998626667073579"/>
              </font>
            </x14:dxf>
          </x14:cfRule>
          <xm:sqref>AC23</xm:sqref>
        </x14:conditionalFormatting>
        <x14:conditionalFormatting xmlns:xm="http://schemas.microsoft.com/office/excel/2006/main">
          <x14:cfRule type="expression" priority="7" id="{07CB09BA-09A3-4E40-9FB8-0430515715C7}">
            <xm:f>'Operating Inputs'!#REF!=0</xm:f>
            <x14:dxf>
              <font>
                <color theme="0" tint="-0.24994659260841701"/>
              </font>
            </x14:dxf>
          </x14:cfRule>
          <xm:sqref>AC23</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pageSetUpPr fitToPage="1"/>
  </sheetPr>
  <dimension ref="A2:H18"/>
  <sheetViews>
    <sheetView showGridLines="0" zoomScale="90" zoomScaleNormal="90" workbookViewId="0">
      <selection activeCell="E83" sqref="E83"/>
    </sheetView>
  </sheetViews>
  <sheetFormatPr defaultRowHeight="14.4" x14ac:dyDescent="0.3"/>
  <sheetData>
    <row r="2" spans="1:8" x14ac:dyDescent="0.3">
      <c r="A2" s="182"/>
      <c r="B2" s="182"/>
      <c r="C2" s="182"/>
      <c r="D2" s="182"/>
      <c r="E2" s="182"/>
    </row>
    <row r="3" spans="1:8" x14ac:dyDescent="0.3">
      <c r="A3" s="182"/>
      <c r="B3" s="2">
        <v>1</v>
      </c>
      <c r="C3" s="182" t="s">
        <v>941</v>
      </c>
      <c r="D3" s="182"/>
      <c r="E3" s="182"/>
    </row>
    <row r="4" spans="1:8" x14ac:dyDescent="0.3">
      <c r="A4" s="182"/>
      <c r="B4" s="182"/>
      <c r="C4" s="182" t="s">
        <v>942</v>
      </c>
      <c r="D4" s="182"/>
      <c r="E4" s="182"/>
    </row>
    <row r="5" spans="1:8" x14ac:dyDescent="0.3">
      <c r="A5" s="182"/>
      <c r="B5" s="182"/>
      <c r="C5" s="182"/>
      <c r="D5" s="182"/>
      <c r="E5" s="182"/>
    </row>
    <row r="10" spans="1:8" ht="15" customHeight="1" x14ac:dyDescent="0.3">
      <c r="A10" s="533"/>
      <c r="B10" s="533"/>
      <c r="C10" s="533"/>
      <c r="D10" s="533"/>
      <c r="E10" s="533"/>
      <c r="F10" s="533"/>
      <c r="G10" s="533"/>
      <c r="H10" s="533"/>
    </row>
    <row r="11" spans="1:8" x14ac:dyDescent="0.3">
      <c r="A11" s="533"/>
      <c r="B11" s="533"/>
      <c r="C11" s="533"/>
      <c r="D11" s="533"/>
      <c r="E11" s="533"/>
      <c r="F11" s="533"/>
      <c r="G11" s="533"/>
      <c r="H11" s="533"/>
    </row>
    <row r="12" spans="1:8" x14ac:dyDescent="0.3">
      <c r="A12" s="533"/>
      <c r="B12" s="534"/>
      <c r="C12" s="535"/>
      <c r="D12" s="536"/>
      <c r="E12" s="533"/>
      <c r="F12" s="533"/>
      <c r="G12" s="533"/>
      <c r="H12" s="533"/>
    </row>
    <row r="13" spans="1:8" x14ac:dyDescent="0.3">
      <c r="A13" s="533"/>
      <c r="B13" s="533"/>
      <c r="C13" s="533"/>
      <c r="D13" s="533"/>
      <c r="E13" s="533"/>
      <c r="F13" s="533"/>
      <c r="G13" s="533"/>
      <c r="H13" s="533"/>
    </row>
    <row r="14" spans="1:8" x14ac:dyDescent="0.3">
      <c r="A14" s="533"/>
      <c r="B14" s="534"/>
      <c r="C14" s="535"/>
      <c r="D14" s="536"/>
      <c r="E14" s="533"/>
      <c r="F14" s="533"/>
      <c r="G14" s="533"/>
      <c r="H14" s="533"/>
    </row>
    <row r="15" spans="1:8" x14ac:dyDescent="0.3">
      <c r="A15" s="533"/>
      <c r="B15" s="537"/>
      <c r="C15" s="538"/>
      <c r="D15" s="539"/>
      <c r="E15" s="533"/>
      <c r="F15" s="533"/>
      <c r="G15" s="533"/>
      <c r="H15" s="533"/>
    </row>
    <row r="16" spans="1:8" x14ac:dyDescent="0.3">
      <c r="A16" s="533"/>
      <c r="B16" s="533"/>
      <c r="C16" s="533"/>
      <c r="D16" s="533"/>
      <c r="E16" s="533"/>
      <c r="F16" s="533"/>
      <c r="G16" s="533"/>
      <c r="H16" s="533"/>
    </row>
    <row r="17" spans="1:8" x14ac:dyDescent="0.3">
      <c r="A17" s="533"/>
      <c r="B17" s="533"/>
      <c r="C17" s="533"/>
      <c r="D17" s="533"/>
      <c r="E17" s="533"/>
      <c r="F17" s="533"/>
      <c r="G17" s="533"/>
      <c r="H17" s="533"/>
    </row>
    <row r="18" spans="1:8" x14ac:dyDescent="0.3">
      <c r="A18" s="533"/>
      <c r="B18" s="533"/>
      <c r="C18" s="533"/>
      <c r="D18" s="533"/>
      <c r="E18" s="533"/>
      <c r="F18" s="533"/>
      <c r="G18" s="533"/>
      <c r="H18" s="533"/>
    </row>
  </sheetData>
  <pageMargins left="0.7" right="0.7" top="0.75" bottom="0.75" header="0.3" footer="0.3"/>
  <pageSetup orientation="portrait" copies="2" r:id="rId1"/>
  <drawing r:id="rId2"/>
  <legacyDrawing r:id="rId3"/>
  <mc:AlternateContent xmlns:mc="http://schemas.openxmlformats.org/markup-compatibility/2006">
    <mc:Choice Requires="x14">
      <controls>
        <mc:AlternateContent xmlns:mc="http://schemas.openxmlformats.org/markup-compatibility/2006">
          <mc:Choice Requires="x14">
            <control shapeId="56322" r:id="rId4" name="Button 2">
              <controlPr defaultSize="0" print="0" autoFill="0" autoPict="0" macro="[0]!CalcSenTables">
                <anchor>
                  <from>
                    <xdr:col>1</xdr:col>
                    <xdr:colOff>0</xdr:colOff>
                    <xdr:row>8</xdr:row>
                    <xdr:rowOff>60960</xdr:rowOff>
                  </from>
                  <to>
                    <xdr:col>3</xdr:col>
                    <xdr:colOff>601980</xdr:colOff>
                    <xdr:row>10</xdr:row>
                    <xdr:rowOff>137160</xdr:rowOff>
                  </to>
                </anchor>
              </controlPr>
            </control>
          </mc:Choice>
        </mc:AlternateContent>
        <mc:AlternateContent xmlns:mc="http://schemas.openxmlformats.org/markup-compatibility/2006">
          <mc:Choice Requires="x14">
            <control shapeId="56328" r:id="rId5" name="Button 8">
              <controlPr defaultSize="0" print="0" autoFill="0" autoPict="0" macro="[0]!CreateValuesModel">
                <anchor moveWithCells="1">
                  <from>
                    <xdr:col>0</xdr:col>
                    <xdr:colOff>609600</xdr:colOff>
                    <xdr:row>5</xdr:row>
                    <xdr:rowOff>30480</xdr:rowOff>
                  </from>
                  <to>
                    <xdr:col>3</xdr:col>
                    <xdr:colOff>601980</xdr:colOff>
                    <xdr:row>7</xdr:row>
                    <xdr:rowOff>106680</xdr:rowOff>
                  </to>
                </anchor>
              </controlPr>
            </control>
          </mc:Choice>
        </mc:AlternateContent>
        <mc:AlternateContent xmlns:mc="http://schemas.openxmlformats.org/markup-compatibility/2006">
          <mc:Choice Requires="x14">
            <control shapeId="56332" r:id="rId6" name="Button 12">
              <controlPr defaultSize="0" print="0" autoFill="0" autoPict="0" macro="[0]!RunResetModel.RunResetModel">
                <anchor moveWithCells="1">
                  <from>
                    <xdr:col>0</xdr:col>
                    <xdr:colOff>609600</xdr:colOff>
                    <xdr:row>2</xdr:row>
                    <xdr:rowOff>22860</xdr:rowOff>
                  </from>
                  <to>
                    <xdr:col>3</xdr:col>
                    <xdr:colOff>601980</xdr:colOff>
                    <xdr:row>4</xdr:row>
                    <xdr:rowOff>99060</xdr:rowOff>
                  </to>
                </anchor>
              </controlPr>
            </control>
          </mc:Choice>
        </mc:AlternateContent>
        <mc:AlternateContent xmlns:mc="http://schemas.openxmlformats.org/markup-compatibility/2006">
          <mc:Choice Requires="x14">
            <control shapeId="56333" r:id="rId7" name="Button 13">
              <controlPr defaultSize="0" print="0" autoFill="0" autoPict="0" macro="[0]!ToggleVentureSummaryCalc">
                <anchor moveWithCells="1" sizeWithCells="1">
                  <from>
                    <xdr:col>1</xdr:col>
                    <xdr:colOff>30480</xdr:colOff>
                    <xdr:row>11</xdr:row>
                    <xdr:rowOff>99060</xdr:rowOff>
                  </from>
                  <to>
                    <xdr:col>4</xdr:col>
                    <xdr:colOff>0</xdr:colOff>
                    <xdr:row>14</xdr:row>
                    <xdr:rowOff>22860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dimension ref="A1:M34"/>
  <sheetViews>
    <sheetView showGridLines="0" tabSelected="1" zoomScaleNormal="100" workbookViewId="0">
      <selection activeCell="W16" sqref="W16"/>
    </sheetView>
  </sheetViews>
  <sheetFormatPr defaultColWidth="9.33203125" defaultRowHeight="14.4" x14ac:dyDescent="0.3"/>
  <cols>
    <col min="1" max="13" width="9.33203125" style="3" customWidth="1"/>
    <col min="14" max="16384" width="9.33203125" style="3"/>
  </cols>
  <sheetData>
    <row r="1" spans="1:13" x14ac:dyDescent="0.3">
      <c r="A1" s="523"/>
      <c r="B1" s="524"/>
      <c r="C1" s="524"/>
      <c r="D1" s="524"/>
      <c r="E1" s="524"/>
      <c r="F1" s="524"/>
      <c r="G1" s="524"/>
      <c r="H1" s="524"/>
      <c r="I1" s="524"/>
      <c r="J1" s="524"/>
      <c r="K1" s="524"/>
      <c r="L1" s="524"/>
      <c r="M1" s="525"/>
    </row>
    <row r="2" spans="1:13" x14ac:dyDescent="0.3">
      <c r="A2" s="526"/>
      <c r="B2"/>
      <c r="C2"/>
      <c r="D2"/>
      <c r="E2"/>
      <c r="F2"/>
      <c r="G2"/>
      <c r="H2"/>
      <c r="I2"/>
      <c r="J2"/>
      <c r="K2"/>
      <c r="L2"/>
      <c r="M2" s="527"/>
    </row>
    <row r="3" spans="1:13" x14ac:dyDescent="0.3">
      <c r="A3" s="526"/>
      <c r="B3"/>
      <c r="C3"/>
      <c r="D3"/>
      <c r="E3"/>
      <c r="F3"/>
      <c r="G3"/>
      <c r="H3"/>
      <c r="I3"/>
      <c r="J3"/>
      <c r="K3"/>
      <c r="L3"/>
      <c r="M3" s="527"/>
    </row>
    <row r="4" spans="1:13" x14ac:dyDescent="0.3">
      <c r="A4" s="526"/>
      <c r="B4"/>
      <c r="C4"/>
      <c r="D4"/>
      <c r="E4"/>
      <c r="F4"/>
      <c r="G4"/>
      <c r="H4"/>
      <c r="I4"/>
      <c r="J4"/>
      <c r="K4"/>
      <c r="L4"/>
      <c r="M4" s="527"/>
    </row>
    <row r="5" spans="1:13" x14ac:dyDescent="0.3">
      <c r="A5" s="526"/>
      <c r="B5"/>
      <c r="C5"/>
      <c r="D5"/>
      <c r="E5"/>
      <c r="F5"/>
      <c r="G5"/>
      <c r="H5"/>
      <c r="I5"/>
      <c r="J5"/>
      <c r="K5"/>
      <c r="L5"/>
      <c r="M5" s="527"/>
    </row>
    <row r="6" spans="1:13" x14ac:dyDescent="0.3">
      <c r="A6" s="526"/>
      <c r="B6"/>
      <c r="C6"/>
      <c r="D6"/>
      <c r="E6"/>
      <c r="F6"/>
      <c r="G6"/>
      <c r="H6"/>
      <c r="I6"/>
      <c r="J6"/>
      <c r="K6"/>
      <c r="L6"/>
      <c r="M6" s="527"/>
    </row>
    <row r="7" spans="1:13" x14ac:dyDescent="0.3">
      <c r="A7" s="526"/>
      <c r="B7"/>
      <c r="C7"/>
      <c r="D7"/>
      <c r="E7"/>
      <c r="F7"/>
      <c r="G7"/>
      <c r="H7"/>
      <c r="I7"/>
      <c r="J7"/>
      <c r="K7"/>
      <c r="L7"/>
      <c r="M7" s="527"/>
    </row>
    <row r="8" spans="1:13" x14ac:dyDescent="0.3">
      <c r="A8" s="526"/>
      <c r="B8"/>
      <c r="C8"/>
      <c r="D8"/>
      <c r="E8"/>
      <c r="F8"/>
      <c r="G8"/>
      <c r="H8"/>
      <c r="I8"/>
      <c r="J8"/>
      <c r="K8"/>
      <c r="L8"/>
      <c r="M8" s="527"/>
    </row>
    <row r="9" spans="1:13" x14ac:dyDescent="0.3">
      <c r="A9" s="526"/>
      <c r="B9"/>
      <c r="C9"/>
      <c r="D9"/>
      <c r="E9"/>
      <c r="F9"/>
      <c r="G9"/>
      <c r="H9"/>
      <c r="I9"/>
      <c r="J9"/>
      <c r="K9"/>
      <c r="L9"/>
      <c r="M9" s="527"/>
    </row>
    <row r="10" spans="1:13" x14ac:dyDescent="0.3">
      <c r="A10" s="526"/>
      <c r="B10" s="384"/>
      <c r="C10" s="873"/>
      <c r="D10"/>
      <c r="E10"/>
      <c r="F10"/>
      <c r="G10"/>
      <c r="H10"/>
      <c r="I10"/>
      <c r="J10"/>
      <c r="K10"/>
      <c r="L10"/>
      <c r="M10" s="527"/>
    </row>
    <row r="11" spans="1:13" x14ac:dyDescent="0.3">
      <c r="A11" s="526"/>
      <c r="B11"/>
      <c r="C11"/>
      <c r="D11"/>
      <c r="E11"/>
      <c r="F11"/>
      <c r="G11"/>
      <c r="H11"/>
      <c r="I11"/>
      <c r="J11"/>
      <c r="K11"/>
      <c r="L11"/>
      <c r="M11" s="527"/>
    </row>
    <row r="12" spans="1:13" ht="28.8" x14ac:dyDescent="0.55000000000000004">
      <c r="A12" s="2591" t="str">
        <f>'General Inputs'!$B$7</f>
        <v>Emblem Meridian</v>
      </c>
      <c r="B12" s="2592"/>
      <c r="C12" s="2592"/>
      <c r="D12" s="2592"/>
      <c r="E12" s="2592"/>
      <c r="F12" s="2592"/>
      <c r="G12" s="2592"/>
      <c r="H12" s="2592"/>
      <c r="I12" s="2592"/>
      <c r="J12" s="2592"/>
      <c r="K12" s="2592"/>
      <c r="L12" s="2592"/>
      <c r="M12" s="2593"/>
    </row>
    <row r="13" spans="1:13" ht="18" x14ac:dyDescent="0.35">
      <c r="A13" s="2594" t="str">
        <f>"A "&amp;TEXT(Units,("0"))&amp;" - Unit Apartment Community Located in "&amp;'General Inputs'!$B$8&amp;", "&amp;'General Inputs'!D8</f>
        <v>A 256 - Unit Apartment Community Located in Meridian, Other</v>
      </c>
      <c r="B13" s="2595"/>
      <c r="C13" s="2595"/>
      <c r="D13" s="2595"/>
      <c r="E13" s="2595"/>
      <c r="F13" s="2595"/>
      <c r="G13" s="2595"/>
      <c r="H13" s="2595"/>
      <c r="I13" s="2595"/>
      <c r="J13" s="2595"/>
      <c r="K13" s="2595"/>
      <c r="L13" s="2595"/>
      <c r="M13" s="2596"/>
    </row>
    <row r="14" spans="1:13" s="96" customFormat="1" ht="15.6" x14ac:dyDescent="0.3">
      <c r="A14" s="2600" t="str">
        <f>"Scenario: "&amp;TEXT('General Inputs'!$B$9,(""))</f>
        <v>Scenario: PIM</v>
      </c>
      <c r="B14" s="2601"/>
      <c r="C14" s="2601"/>
      <c r="D14" s="2601"/>
      <c r="E14" s="2601"/>
      <c r="F14" s="2601"/>
      <c r="G14" s="2601"/>
      <c r="H14" s="2601"/>
      <c r="I14" s="2601"/>
      <c r="J14" s="2601"/>
      <c r="K14" s="2601"/>
      <c r="L14" s="2601"/>
      <c r="M14" s="2602"/>
    </row>
    <row r="15" spans="1:13" x14ac:dyDescent="0.3">
      <c r="A15" s="2597"/>
      <c r="B15" s="2598"/>
      <c r="C15" s="2598"/>
      <c r="D15" s="2598"/>
      <c r="E15" s="2598"/>
      <c r="F15" s="2598"/>
      <c r="G15" s="2598"/>
      <c r="H15" s="2598"/>
      <c r="I15" s="2598"/>
      <c r="J15" s="2598"/>
      <c r="K15" s="2598"/>
      <c r="L15" s="2598"/>
      <c r="M15" s="2599"/>
    </row>
    <row r="16" spans="1:13" x14ac:dyDescent="0.3">
      <c r="A16" s="526"/>
      <c r="B16" s="528"/>
      <c r="C16" s="528"/>
      <c r="D16" s="528"/>
      <c r="E16" s="528"/>
      <c r="F16" s="529"/>
      <c r="G16" s="530"/>
      <c r="H16" s="531"/>
      <c r="I16" s="528"/>
      <c r="J16" s="528"/>
      <c r="K16" s="528"/>
      <c r="L16" s="528"/>
      <c r="M16" s="532"/>
    </row>
    <row r="17" spans="1:13" x14ac:dyDescent="0.3">
      <c r="A17" s="2603"/>
      <c r="B17" s="2604"/>
      <c r="C17" s="2604"/>
      <c r="D17" s="2604"/>
      <c r="E17" s="2604"/>
      <c r="F17" s="2604"/>
      <c r="G17" s="2604"/>
      <c r="H17" s="2604"/>
      <c r="I17" s="2604"/>
      <c r="J17" s="2604"/>
      <c r="K17" s="2604"/>
      <c r="L17" s="2604"/>
      <c r="M17" s="2605"/>
    </row>
    <row r="18" spans="1:13" x14ac:dyDescent="0.3">
      <c r="A18" s="94"/>
      <c r="M18" s="95"/>
    </row>
    <row r="19" spans="1:13" x14ac:dyDescent="0.3">
      <c r="A19" s="94"/>
      <c r="M19" s="95"/>
    </row>
    <row r="20" spans="1:13" x14ac:dyDescent="0.3">
      <c r="A20" s="94"/>
      <c r="M20" s="95"/>
    </row>
    <row r="21" spans="1:13" x14ac:dyDescent="0.3">
      <c r="A21" s="94"/>
      <c r="M21" s="95"/>
    </row>
    <row r="22" spans="1:13" x14ac:dyDescent="0.3">
      <c r="A22" s="94"/>
      <c r="M22" s="95"/>
    </row>
    <row r="23" spans="1:13" x14ac:dyDescent="0.3">
      <c r="A23" s="2588"/>
      <c r="B23" s="2589"/>
      <c r="C23" s="2589"/>
      <c r="D23" s="2589"/>
      <c r="E23" s="2589"/>
      <c r="F23" s="2589"/>
      <c r="G23" s="2589"/>
      <c r="H23" s="2589"/>
      <c r="I23" s="2589"/>
      <c r="J23" s="2589"/>
      <c r="K23" s="2589"/>
      <c r="L23" s="2589"/>
      <c r="M23" s="2590"/>
    </row>
    <row r="24" spans="1:13" x14ac:dyDescent="0.3">
      <c r="A24" s="94"/>
      <c r="M24" s="95"/>
    </row>
    <row r="25" spans="1:13" x14ac:dyDescent="0.3">
      <c r="A25" s="94"/>
      <c r="J25" s="97"/>
      <c r="M25" s="95"/>
    </row>
    <row r="26" spans="1:13" x14ac:dyDescent="0.3">
      <c r="A26" s="94"/>
      <c r="M26" s="95"/>
    </row>
    <row r="27" spans="1:13" x14ac:dyDescent="0.3">
      <c r="A27" s="94"/>
      <c r="M27" s="95"/>
    </row>
    <row r="28" spans="1:13" x14ac:dyDescent="0.3">
      <c r="A28" s="94"/>
      <c r="M28" s="95"/>
    </row>
    <row r="29" spans="1:13" x14ac:dyDescent="0.3">
      <c r="A29" s="94"/>
      <c r="M29" s="95"/>
    </row>
    <row r="30" spans="1:13" x14ac:dyDescent="0.3">
      <c r="A30" s="94"/>
      <c r="M30" s="95"/>
    </row>
    <row r="31" spans="1:13" x14ac:dyDescent="0.3">
      <c r="A31" s="94"/>
      <c r="M31" s="95"/>
    </row>
    <row r="32" spans="1:13" x14ac:dyDescent="0.3">
      <c r="A32" s="94"/>
      <c r="M32" s="95"/>
    </row>
    <row r="33" spans="1:13" ht="15" thickBot="1" x14ac:dyDescent="0.35">
      <c r="A33" s="98"/>
      <c r="B33" s="99"/>
      <c r="C33" s="99"/>
      <c r="D33" s="99"/>
      <c r="E33" s="99"/>
      <c r="F33" s="99"/>
      <c r="G33" s="99"/>
      <c r="H33" s="99"/>
      <c r="I33" s="99"/>
      <c r="J33" s="99"/>
      <c r="K33" s="99"/>
      <c r="L33" s="99"/>
      <c r="M33" s="100"/>
    </row>
    <row r="34" spans="1:13" ht="15" thickTop="1" x14ac:dyDescent="0.3"/>
  </sheetData>
  <sheetProtection algorithmName="SHA-512" hashValue="sWytPlrxVZNtyDAJZw8qRXUSFPOmByeIFJWntE1IIhjZ+mkg2/B9obP9PM10QXrS66yTGnw716cqq0MRvbV0tg==" saltValue="m6S09riDzhV1CkTxM0FRdQ==" spinCount="100000" sheet="1" objects="1" scenarios="1"/>
  <mergeCells count="6">
    <mergeCell ref="A23:M23"/>
    <mergeCell ref="A12:M12"/>
    <mergeCell ref="A13:M13"/>
    <mergeCell ref="A15:M15"/>
    <mergeCell ref="A14:M14"/>
    <mergeCell ref="A17:M17"/>
  </mergeCells>
  <printOptions horizontalCentered="1" verticalCentered="1"/>
  <pageMargins left="0.7" right="0.7" top="0.75" bottom="0.75" header="0.3" footer="0.3"/>
  <pageSetup fitToWidth="0" fitToHeight="0" orientation="landscape"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tabColor rgb="FF003300"/>
  </sheetPr>
  <dimension ref="A1:AA95"/>
  <sheetViews>
    <sheetView showGridLines="0" zoomScale="80" zoomScaleNormal="80" workbookViewId="0">
      <selection sqref="A1:S1"/>
    </sheetView>
  </sheetViews>
  <sheetFormatPr defaultColWidth="9.33203125" defaultRowHeight="14.4" x14ac:dyDescent="0.3"/>
  <cols>
    <col min="1" max="7" width="13.6640625" style="182" customWidth="1"/>
    <col min="8" max="8" width="2.6640625" style="182" customWidth="1"/>
    <col min="9" max="11" width="13.6640625" style="182" customWidth="1"/>
    <col min="12" max="12" width="2.6640625" style="182" customWidth="1"/>
    <col min="13" max="13" width="11" style="182" customWidth="1"/>
    <col min="14" max="15" width="13.6640625" style="182" customWidth="1"/>
    <col min="16" max="16" width="2.6640625" style="182" customWidth="1"/>
    <col min="17" max="17" width="14.33203125" style="182" bestFit="1" customWidth="1"/>
    <col min="18" max="29" width="13.6640625" style="182" customWidth="1"/>
    <col min="30" max="16384" width="9.33203125" style="182"/>
  </cols>
  <sheetData>
    <row r="1" spans="1:22" ht="28.8" x14ac:dyDescent="0.55000000000000004">
      <c r="A1" s="2609" t="str">
        <f>'General Inputs'!$B$7&amp;" - "&amp;'General Inputs'!$B$8&amp;", "&amp;'General Inputs'!D8</f>
        <v>Emblem Meridian - Meridian, Other</v>
      </c>
      <c r="B1" s="2610"/>
      <c r="C1" s="2610"/>
      <c r="D1" s="2610"/>
      <c r="E1" s="2610"/>
      <c r="F1" s="2610"/>
      <c r="G1" s="2610"/>
      <c r="H1" s="2610"/>
      <c r="I1" s="2610"/>
      <c r="J1" s="2610"/>
      <c r="K1" s="2610"/>
      <c r="L1" s="2610"/>
      <c r="M1" s="2610"/>
      <c r="N1" s="2610"/>
      <c r="O1" s="2610"/>
      <c r="P1" s="2610"/>
      <c r="Q1" s="2610"/>
      <c r="R1" s="2610"/>
      <c r="S1" s="2611"/>
    </row>
    <row r="2" spans="1:22" ht="21.6" thickBot="1" x14ac:dyDescent="0.45">
      <c r="A2" s="2612" t="s">
        <v>781</v>
      </c>
      <c r="B2" s="2613"/>
      <c r="C2" s="2613"/>
      <c r="D2" s="2613"/>
      <c r="E2" s="2613"/>
      <c r="F2" s="2613"/>
      <c r="G2" s="2613"/>
      <c r="H2" s="2613"/>
      <c r="I2" s="2613"/>
      <c r="J2" s="2613"/>
      <c r="K2" s="2613"/>
      <c r="L2" s="2613"/>
      <c r="M2" s="2613"/>
      <c r="N2" s="2613"/>
      <c r="O2" s="2613"/>
      <c r="P2" s="2613"/>
      <c r="Q2" s="2613"/>
      <c r="R2" s="2613"/>
      <c r="S2" s="2614"/>
    </row>
    <row r="3" spans="1:22" ht="7.5" customHeight="1" thickTop="1" x14ac:dyDescent="0.3"/>
    <row r="4" spans="1:22" ht="15.6" x14ac:dyDescent="0.3">
      <c r="A4" s="115" t="s">
        <v>219</v>
      </c>
      <c r="B4" s="389"/>
      <c r="C4" s="389"/>
      <c r="D4" s="389"/>
      <c r="E4" s="389"/>
      <c r="F4" s="389"/>
      <c r="G4" s="390"/>
      <c r="I4" s="2615" t="s">
        <v>782</v>
      </c>
      <c r="J4" s="2616"/>
      <c r="K4" s="2616"/>
      <c r="L4" s="2616"/>
      <c r="M4" s="2616"/>
      <c r="N4" s="2616"/>
      <c r="O4" s="2616"/>
      <c r="P4" s="2616"/>
      <c r="Q4" s="2616"/>
      <c r="R4" s="2616"/>
      <c r="S4" s="2617"/>
      <c r="T4" s="208"/>
      <c r="U4" s="2618"/>
      <c r="V4" s="2618"/>
    </row>
    <row r="5" spans="1:22" ht="3.75" customHeight="1" thickBot="1" x14ac:dyDescent="0.35">
      <c r="A5" s="119"/>
      <c r="B5" s="119"/>
      <c r="C5" s="119"/>
      <c r="D5" s="119"/>
      <c r="E5" s="119"/>
      <c r="F5" s="119"/>
      <c r="G5" s="119"/>
      <c r="I5" s="119"/>
      <c r="J5" s="119"/>
      <c r="K5" s="119"/>
      <c r="L5" s="119"/>
      <c r="M5" s="119"/>
      <c r="N5" s="119"/>
      <c r="O5" s="119"/>
      <c r="P5" s="119"/>
      <c r="Q5" s="119"/>
      <c r="R5" s="119"/>
      <c r="S5" s="119"/>
      <c r="T5" s="208"/>
      <c r="U5" s="391"/>
      <c r="V5" s="392"/>
    </row>
    <row r="6" spans="1:22" ht="15" thickTop="1" x14ac:dyDescent="0.3">
      <c r="A6" s="393" t="s">
        <v>783</v>
      </c>
      <c r="B6" s="512"/>
      <c r="D6" s="394" t="s">
        <v>173</v>
      </c>
      <c r="E6" s="394" t="s">
        <v>784</v>
      </c>
      <c r="F6" s="395" t="s">
        <v>785</v>
      </c>
      <c r="G6" s="396" t="s">
        <v>446</v>
      </c>
      <c r="I6" s="207" t="s">
        <v>786</v>
      </c>
      <c r="L6" s="207" t="s">
        <v>223</v>
      </c>
      <c r="O6" s="397"/>
      <c r="P6" s="397"/>
      <c r="R6" s="397" t="s">
        <v>787</v>
      </c>
      <c r="S6" s="397" t="s">
        <v>788</v>
      </c>
    </row>
    <row r="7" spans="1:22" x14ac:dyDescent="0.3">
      <c r="A7" s="206" t="s">
        <v>660</v>
      </c>
      <c r="B7" s="512"/>
      <c r="D7" s="398">
        <f>LandPrice</f>
        <v>8850000</v>
      </c>
      <c r="E7" s="398">
        <f>D7/Units</f>
        <v>34570.3125</v>
      </c>
      <c r="F7" s="399">
        <f>D7/TotalNRSF</f>
        <v>36.816706880772109</v>
      </c>
      <c r="G7" s="400">
        <f ca="1">D7/$D$25</f>
        <v>0.113520300728436</v>
      </c>
      <c r="I7" s="208" t="s">
        <v>789</v>
      </c>
      <c r="J7" s="401">
        <f>'General Inputs'!D17</f>
        <v>593722.80000000005</v>
      </c>
      <c r="L7" s="208" t="s">
        <v>224</v>
      </c>
      <c r="N7" s="402">
        <f>FirstUnits</f>
        <v>14</v>
      </c>
      <c r="P7" s="208" t="s">
        <v>790</v>
      </c>
      <c r="S7" s="403" t="str">
        <f>TEXT('General Inputs'!D18,("0.00"))&amp;" du/ac"</f>
        <v>18.78 du/ac</v>
      </c>
      <c r="U7" s="398"/>
    </row>
    <row r="8" spans="1:22" x14ac:dyDescent="0.3">
      <c r="A8" s="206" t="s">
        <v>661</v>
      </c>
      <c r="B8" s="512"/>
      <c r="D8" s="404">
        <f ca="1">TotalLand-LandPrice</f>
        <v>242959.62434217893</v>
      </c>
      <c r="E8" s="404">
        <f ca="1">D8/Units</f>
        <v>949.06103258663643</v>
      </c>
      <c r="F8" s="405">
        <f ca="1">D8/TotalNRSF</f>
        <v>1.0107314433071759</v>
      </c>
      <c r="G8" s="400">
        <f ca="1">D8/$D$25</f>
        <v>3.1164801830725411E-3</v>
      </c>
      <c r="I8" s="208" t="s">
        <v>791</v>
      </c>
      <c r="J8" s="403">
        <f>'General Inputs'!D16</f>
        <v>13.63</v>
      </c>
      <c r="L8" s="208" t="s">
        <v>792</v>
      </c>
      <c r="N8" s="406">
        <f>ConstPeriod</f>
        <v>25</v>
      </c>
      <c r="P8" s="208" t="s">
        <v>793</v>
      </c>
      <c r="R8" s="407">
        <f>'General Inputs'!D23</f>
        <v>54</v>
      </c>
      <c r="S8" s="401">
        <f>SUM('General Inputs'!D22:D25)</f>
        <v>536</v>
      </c>
      <c r="U8" s="398"/>
    </row>
    <row r="9" spans="1:22" x14ac:dyDescent="0.3">
      <c r="A9" s="393" t="s">
        <v>794</v>
      </c>
      <c r="B9" s="512"/>
      <c r="D9" s="404"/>
      <c r="E9" s="404"/>
      <c r="F9" s="404"/>
      <c r="G9" s="400"/>
      <c r="I9" s="208" t="s">
        <v>795</v>
      </c>
      <c r="J9" s="408">
        <f>LandPrice</f>
        <v>8850000</v>
      </c>
      <c r="L9" s="208" t="s">
        <v>796</v>
      </c>
      <c r="N9" s="871">
        <f>UnitDelivery</f>
        <v>21.333333333333332</v>
      </c>
      <c r="P9" s="208" t="s">
        <v>797</v>
      </c>
      <c r="R9" s="409">
        <f>IF(O24=0,0,TEXT(R8/(O24/1000),"0.0")&amp;" /1k SF")</f>
        <v>0</v>
      </c>
      <c r="S9" s="410" t="str">
        <f>TEXT(('General Inputs'!D22)/Units,("#,##0.00"))&amp;" to 1"</f>
        <v>0.53 to 1</v>
      </c>
      <c r="U9" s="398"/>
      <c r="V9" s="208"/>
    </row>
    <row r="10" spans="1:22" x14ac:dyDescent="0.3">
      <c r="A10" s="206" t="str">
        <f>'A-DevBdgt'!A32</f>
        <v>Ad Valorem Taxes</v>
      </c>
      <c r="B10" s="512"/>
      <c r="D10" s="404">
        <f ca="1">DevBdgt!EH33</f>
        <v>83335.391794650437</v>
      </c>
      <c r="E10" s="404">
        <f t="shared" ref="E10:E20" ca="1" si="0">D10/Units</f>
        <v>325.52887419785327</v>
      </c>
      <c r="F10" s="405">
        <f t="shared" ref="F10:F20" ca="1" si="1">D10/TotalNRSF</f>
        <v>0.34668188615796003</v>
      </c>
      <c r="G10" s="400">
        <f t="shared" ref="G10:G20" ca="1" si="2">D10/$D$25</f>
        <v>1.068955789587656E-3</v>
      </c>
      <c r="I10" s="411" t="s">
        <v>798</v>
      </c>
      <c r="J10" s="412">
        <f>J9/J8</f>
        <v>649303.00807043281</v>
      </c>
      <c r="L10" s="208" t="s">
        <v>799</v>
      </c>
      <c r="N10" s="871">
        <f>Absorption</f>
        <v>18</v>
      </c>
      <c r="P10" s="208" t="s">
        <v>800</v>
      </c>
      <c r="S10" s="401" t="str">
        <f>'General Inputs'!B21</f>
        <v>Emblem West Coast</v>
      </c>
      <c r="U10" s="398"/>
    </row>
    <row r="11" spans="1:22" x14ac:dyDescent="0.3">
      <c r="A11" s="413" t="str">
        <f>'A-DevBdgt'!A33</f>
        <v>Architectural &amp; Engineering</v>
      </c>
      <c r="B11" s="512"/>
      <c r="D11" s="404">
        <f>DevBdgt!EH34</f>
        <v>1500605.0000000002</v>
      </c>
      <c r="E11" s="404">
        <f t="shared" si="0"/>
        <v>5861.7382812500009</v>
      </c>
      <c r="F11" s="405">
        <f t="shared" si="1"/>
        <v>6.2426366586238462</v>
      </c>
      <c r="G11" s="400">
        <f t="shared" ca="1" si="2"/>
        <v>1.9248489364360986E-2</v>
      </c>
      <c r="I11" s="411" t="s">
        <v>801</v>
      </c>
      <c r="J11" s="414">
        <f>J9/J7</f>
        <v>14.905946007126557</v>
      </c>
      <c r="L11" s="208" t="s">
        <v>802</v>
      </c>
      <c r="N11" s="400">
        <f>(LOOKUP(Summary!$R$35,OperBgt!$G$6:$EH$6,OperBgt!$G$55:$EH$55)/'Operating Inputs'!K67)^(1/((Summary!$R$35-Summary!$D$40)/365))-1</f>
        <v>3.109397223069621E-2</v>
      </c>
      <c r="P11" s="208" t="s">
        <v>803</v>
      </c>
      <c r="S11" s="401">
        <f>'General Inputs'!B22</f>
        <v>6</v>
      </c>
      <c r="U11" s="398"/>
    </row>
    <row r="12" spans="1:22" x14ac:dyDescent="0.3">
      <c r="A12" s="413" t="s">
        <v>672</v>
      </c>
      <c r="D12" s="404">
        <f ca="1">DevBdgt!EH35</f>
        <v>1086262.1410115552</v>
      </c>
      <c r="E12" s="404">
        <f t="shared" ca="1" si="0"/>
        <v>4243.2114883263876</v>
      </c>
      <c r="F12" s="405">
        <f t="shared" ca="1" si="1"/>
        <v>4.5189372702036579</v>
      </c>
      <c r="G12" s="400">
        <f t="shared" ca="1" si="2"/>
        <v>1.3933650273169096E-2</v>
      </c>
      <c r="P12" s="208" t="s">
        <v>804</v>
      </c>
      <c r="S12" s="401">
        <f>'General Inputs'!B23</f>
        <v>3</v>
      </c>
      <c r="U12" s="398"/>
    </row>
    <row r="13" spans="1:22" x14ac:dyDescent="0.3">
      <c r="A13" s="413" t="str">
        <f>'A-DevBdgt'!A35</f>
        <v>Financing</v>
      </c>
      <c r="B13" s="512"/>
      <c r="D13" s="404">
        <f ca="1">DevBdgt!EH36</f>
        <v>896583.45041148621</v>
      </c>
      <c r="E13" s="404">
        <f t="shared" ca="1" si="0"/>
        <v>3502.279103169868</v>
      </c>
      <c r="F13" s="405">
        <f t="shared" ca="1" si="1"/>
        <v>3.7298587670001089</v>
      </c>
      <c r="G13" s="400">
        <f t="shared" ca="1" si="2"/>
        <v>1.150061275919217E-2</v>
      </c>
      <c r="I13" s="415" t="s">
        <v>805</v>
      </c>
      <c r="J13" s="416">
        <f>'General Inputs'!F36</f>
        <v>2026</v>
      </c>
      <c r="K13" s="416">
        <f>'General Inputs'!F37</f>
        <v>2027</v>
      </c>
      <c r="L13" s="416"/>
      <c r="M13" s="416">
        <f>'General Inputs'!F38</f>
        <v>2028</v>
      </c>
      <c r="N13" s="417">
        <f>'General Inputs'!F39</f>
        <v>2029</v>
      </c>
      <c r="P13" s="208" t="s">
        <v>806</v>
      </c>
      <c r="S13" s="401" t="str">
        <f>'General Inputs'!B24</f>
        <v>V</v>
      </c>
      <c r="U13" s="398"/>
    </row>
    <row r="14" spans="1:22" x14ac:dyDescent="0.3">
      <c r="A14" s="413" t="str">
        <f>'A-DevBdgt'!A36</f>
        <v>Furniture, Fixtures &amp; Equipment</v>
      </c>
      <c r="B14" s="512"/>
      <c r="D14" s="404">
        <f>DevBdgt!EH37</f>
        <v>625000</v>
      </c>
      <c r="E14" s="404">
        <f t="shared" si="0"/>
        <v>2441.40625</v>
      </c>
      <c r="F14" s="405">
        <f t="shared" si="1"/>
        <v>2.6000499209584822</v>
      </c>
      <c r="G14" s="400">
        <f t="shared" ca="1" si="2"/>
        <v>8.0169703904262712E-3</v>
      </c>
      <c r="H14" s="401"/>
      <c r="I14" s="418" t="s">
        <v>807</v>
      </c>
      <c r="J14" s="400">
        <f>'General Inputs'!H36</f>
        <v>1.0350000000000002E-2</v>
      </c>
      <c r="K14" s="400">
        <f>'General Inputs'!H37</f>
        <v>2.1600000000000001E-2</v>
      </c>
      <c r="M14" s="400">
        <f>'General Inputs'!H38</f>
        <v>2.4350000000000004E-2</v>
      </c>
      <c r="N14" s="419">
        <f>'General Inputs'!H39</f>
        <v>5.5600000000000004E-2</v>
      </c>
      <c r="U14" s="398"/>
    </row>
    <row r="15" spans="1:22" ht="15.6" x14ac:dyDescent="0.3">
      <c r="A15" s="413" t="str">
        <f>'A-DevBdgt'!A37</f>
        <v>Insurance</v>
      </c>
      <c r="B15" s="512"/>
      <c r="D15" s="404">
        <f ca="1">DevBdgt!EH38</f>
        <v>1418022.6257534006</v>
      </c>
      <c r="E15" s="404">
        <f t="shared" ca="1" si="0"/>
        <v>5539.1508818492212</v>
      </c>
      <c r="F15" s="405">
        <f t="shared" ca="1" si="1"/>
        <v>5.8990873856119501</v>
      </c>
      <c r="G15" s="400">
        <f t="shared" ca="1" si="2"/>
        <v>1.818919264579124E-2</v>
      </c>
      <c r="I15" s="420" t="s">
        <v>462</v>
      </c>
      <c r="J15" s="421">
        <f>'General Inputs'!M36</f>
        <v>0.03</v>
      </c>
      <c r="K15" s="421">
        <f>'General Inputs'!M37</f>
        <v>0.03</v>
      </c>
      <c r="L15" s="421"/>
      <c r="M15" s="421">
        <f>'General Inputs'!M38</f>
        <v>0.03</v>
      </c>
      <c r="N15" s="422">
        <f>'General Inputs'!M39</f>
        <v>0.03</v>
      </c>
      <c r="P15" s="2619" t="s">
        <v>808</v>
      </c>
      <c r="Q15" s="2620"/>
      <c r="R15" s="1606" t="str">
        <f>IF(RNRSF=0,"n/a",ExitCapRetail)</f>
        <v>n/a</v>
      </c>
      <c r="S15" s="1607">
        <f>ExitCap</f>
        <v>5.5E-2</v>
      </c>
      <c r="U15" s="398"/>
    </row>
    <row r="16" spans="1:22" x14ac:dyDescent="0.3">
      <c r="A16" s="413" t="str">
        <f>'A-DevBdgt'!A38</f>
        <v>Start-Up Expenses &amp; Marketing</v>
      </c>
      <c r="B16" s="512"/>
      <c r="D16" s="404">
        <f>DevBdgt!EH39</f>
        <v>375000</v>
      </c>
      <c r="E16" s="404">
        <f t="shared" si="0"/>
        <v>1464.84375</v>
      </c>
      <c r="F16" s="405">
        <f t="shared" si="1"/>
        <v>1.5600299525750894</v>
      </c>
      <c r="G16" s="400">
        <f t="shared" ca="1" si="2"/>
        <v>4.8101822342557629E-3</v>
      </c>
      <c r="U16" s="398"/>
    </row>
    <row r="17" spans="1:24" x14ac:dyDescent="0.3">
      <c r="A17" s="413" t="str">
        <f>'A-DevBdgt'!A39</f>
        <v>Operating Deficits</v>
      </c>
      <c r="B17" s="512"/>
      <c r="D17" s="404">
        <f ca="1">DevBdgt!EH40</f>
        <v>329080.53404430853</v>
      </c>
      <c r="E17" s="404">
        <f t="shared" ca="1" si="0"/>
        <v>1285.4708361105802</v>
      </c>
      <c r="F17" s="405">
        <f t="shared" ca="1" si="1"/>
        <v>1.3690013064494073</v>
      </c>
      <c r="G17" s="400">
        <f t="shared" ca="1" si="2"/>
        <v>4.2211662359982177E-3</v>
      </c>
      <c r="I17" s="423"/>
      <c r="J17" s="423"/>
      <c r="K17" s="424"/>
      <c r="L17" s="423"/>
      <c r="M17" s="423"/>
      <c r="N17" s="423"/>
      <c r="O17" s="423"/>
      <c r="P17" s="423"/>
      <c r="Q17" s="423"/>
      <c r="R17" s="423"/>
      <c r="S17" s="423"/>
      <c r="U17" s="398"/>
    </row>
    <row r="18" spans="1:24" x14ac:dyDescent="0.3">
      <c r="A18" s="413" t="str">
        <f>'A-DevBdgt'!A40</f>
        <v>Overhead &amp; Administration Fees</v>
      </c>
      <c r="B18" s="512"/>
      <c r="D18" s="404">
        <f ca="1">DevBdgt!EH41</f>
        <v>2658062.4746991713</v>
      </c>
      <c r="E18" s="404">
        <f t="shared" ca="1" si="0"/>
        <v>10383.056541793638</v>
      </c>
      <c r="F18" s="405">
        <f t="shared" ca="1" si="1"/>
        <v>11.057752203590862</v>
      </c>
      <c r="G18" s="400">
        <f t="shared" ca="1" si="2"/>
        <v>3.4095373048906294E-2</v>
      </c>
      <c r="K18" s="364" t="s">
        <v>144</v>
      </c>
      <c r="L18" s="397"/>
      <c r="M18" s="397" t="s">
        <v>736</v>
      </c>
      <c r="N18" s="397" t="s">
        <v>809</v>
      </c>
      <c r="O18" s="397" t="s">
        <v>810</v>
      </c>
      <c r="P18" s="397"/>
      <c r="Q18" s="397" t="s">
        <v>811</v>
      </c>
      <c r="R18" s="397" t="s">
        <v>812</v>
      </c>
      <c r="S18" s="397" t="s">
        <v>813</v>
      </c>
      <c r="U18" s="398"/>
    </row>
    <row r="19" spans="1:24" x14ac:dyDescent="0.3">
      <c r="A19" s="413" t="str">
        <f>'A-DevBdgt'!A41</f>
        <v>Permits &amp; Fees</v>
      </c>
      <c r="B19" s="512"/>
      <c r="D19" s="404">
        <f>DevBdgt!EH42</f>
        <v>4459158.9889518414</v>
      </c>
      <c r="E19" s="404">
        <f t="shared" si="0"/>
        <v>17418.58980059313</v>
      </c>
      <c r="F19" s="405">
        <f t="shared" si="1"/>
        <v>18.550457562824867</v>
      </c>
      <c r="G19" s="400">
        <f t="shared" ca="1" si="2"/>
        <v>5.7198312929008094E-2</v>
      </c>
      <c r="I19" s="203" t="s">
        <v>230</v>
      </c>
      <c r="J19" s="425">
        <f>SUMIF('Operating Inputs'!$C$15:$C$44,0,'Operating Inputs'!$E$15:$E$44)/Units</f>
        <v>0</v>
      </c>
      <c r="K19" s="365" t="s">
        <v>814</v>
      </c>
      <c r="L19" s="407"/>
      <c r="M19" s="407">
        <f>'Operating Inputs'!E53</f>
        <v>256</v>
      </c>
      <c r="N19" s="426">
        <f>'Operating Inputs'!F53</f>
        <v>1</v>
      </c>
      <c r="O19" s="407">
        <f>MarketNRSF</f>
        <v>240380</v>
      </c>
      <c r="P19" s="407"/>
      <c r="Q19" s="407">
        <f>'Operating Inputs'!G53</f>
        <v>938.984375</v>
      </c>
      <c r="R19" s="408">
        <f>'Operating Inputs'!H53</f>
        <v>2068.8063802083334</v>
      </c>
      <c r="S19" s="357">
        <f>'Operating Inputs'!I53</f>
        <v>2.2032383448428878</v>
      </c>
      <c r="U19" s="398"/>
    </row>
    <row r="20" spans="1:24" x14ac:dyDescent="0.3">
      <c r="A20" s="206" t="str">
        <f>"Soft Cost Contingency ("&amp;TEXT('Development Inputs'!B13,"0.0%")&amp;")"</f>
        <v>Soft Cost Contingency (5.0%)</v>
      </c>
      <c r="B20" s="512"/>
      <c r="D20" s="404">
        <f ca="1">DevBdgt!EH43</f>
        <v>856477.57240587578</v>
      </c>
      <c r="E20" s="404">
        <f t="shared" ca="1" si="0"/>
        <v>3345.6155172104523</v>
      </c>
      <c r="F20" s="405">
        <f t="shared" ca="1" si="1"/>
        <v>3.5630151110985762</v>
      </c>
      <c r="G20" s="400">
        <f t="shared" ca="1" si="2"/>
        <v>1.0986168540867326E-2</v>
      </c>
      <c r="I20" s="203" t="s">
        <v>815</v>
      </c>
      <c r="J20" s="425">
        <f>SUMIF('Operating Inputs'!$C$15:$C$44,1,'Operating Inputs'!$E$15:$E$44)/Units</f>
        <v>0.4375</v>
      </c>
      <c r="K20" s="365" t="s">
        <v>816</v>
      </c>
      <c r="R20" s="407">
        <f>AmenityPremiums</f>
        <v>0</v>
      </c>
      <c r="S20" s="427">
        <f>'Operating Inputs'!I61</f>
        <v>0</v>
      </c>
      <c r="U20" s="398"/>
    </row>
    <row r="21" spans="1:24" ht="15.6" x14ac:dyDescent="0.3">
      <c r="A21" s="428" t="s">
        <v>817</v>
      </c>
      <c r="B21" s="512"/>
      <c r="D21" s="404"/>
      <c r="E21" s="404"/>
      <c r="F21" s="405"/>
      <c r="G21" s="400"/>
      <c r="I21" s="203" t="s">
        <v>818</v>
      </c>
      <c r="J21" s="425">
        <f>SUMIF('Operating Inputs'!$C$15:$C$44,2,'Operating Inputs'!$E$15:$E$44)/Units</f>
        <v>0.3515625</v>
      </c>
      <c r="K21" s="429" t="s">
        <v>814</v>
      </c>
      <c r="L21" s="1653"/>
      <c r="M21" s="1653"/>
      <c r="N21" s="1654"/>
      <c r="O21" s="1653"/>
      <c r="P21" s="1653"/>
      <c r="Q21" s="1653"/>
      <c r="R21" s="1655">
        <f>SUM(R18:R20)</f>
        <v>2068.8063802083334</v>
      </c>
      <c r="S21" s="1614">
        <f>SUM(S18:S20)</f>
        <v>2.2032383448428878</v>
      </c>
      <c r="U21" s="398"/>
    </row>
    <row r="22" spans="1:24" x14ac:dyDescent="0.3">
      <c r="A22" s="413" t="str">
        <f>"Hard Costs (Input/GMP = "&amp;TEXT('Development Inputs'!$G$65,("$0"))&amp;"/"&amp;TEXT('Development Inputs'!G65*(1+'Development Inputs'!P231),"$0")&amp;")"</f>
        <v>Hard Costs (Input/GMP = $208/$216)</v>
      </c>
      <c r="B22" s="512"/>
      <c r="D22" s="404">
        <f>DevBdgt!EH45</f>
        <v>51980072.894060962</v>
      </c>
      <c r="E22" s="404">
        <f>D22/Units</f>
        <v>203047.15974242563</v>
      </c>
      <c r="F22" s="405">
        <f>D22/TotalNRSF</f>
        <v>216.24125507139098</v>
      </c>
      <c r="G22" s="400">
        <f ca="1">D22/$D$25</f>
        <v>0.66675632845421751</v>
      </c>
      <c r="I22" s="203" t="s">
        <v>819</v>
      </c>
      <c r="J22" s="425">
        <f>SUMIF('Operating Inputs'!$C$15:$C$44,3,'Operating Inputs'!$E$15:$E$44)/Units</f>
        <v>0.2109375</v>
      </c>
      <c r="K22" s="365" t="s">
        <v>235</v>
      </c>
      <c r="L22" s="407"/>
      <c r="M22" s="407">
        <f>'Operating Inputs'!E78</f>
        <v>0</v>
      </c>
      <c r="N22" s="426">
        <f>'Operating Inputs'!F78</f>
        <v>0</v>
      </c>
      <c r="O22" s="407">
        <f>BMRNRSF</f>
        <v>0</v>
      </c>
      <c r="P22" s="407"/>
      <c r="Q22" s="407">
        <f>'Operating Inputs'!G78</f>
        <v>0</v>
      </c>
      <c r="R22" s="407">
        <f>'Operating Inputs'!H78</f>
        <v>0</v>
      </c>
      <c r="S22" s="427">
        <f>'Operating Inputs'!I78</f>
        <v>0</v>
      </c>
      <c r="U22" s="398"/>
    </row>
    <row r="23" spans="1:24" ht="15" thickBot="1" x14ac:dyDescent="0.35">
      <c r="A23" s="206" t="str">
        <f>"Hard Cost Contingency ("&amp;TEXT('Development Inputs'!B14,"0.0%")&amp;")"</f>
        <v>Hard Cost Contingency (5.0%)</v>
      </c>
      <c r="B23" s="512"/>
      <c r="D23" s="404">
        <f>DevBdgt!EH46</f>
        <v>2599003.6447030478</v>
      </c>
      <c r="E23" s="404">
        <f>D23/Units</f>
        <v>10152.357987121281</v>
      </c>
      <c r="F23" s="405">
        <f>D23/TotalNRSF</f>
        <v>10.812062753569547</v>
      </c>
      <c r="G23" s="400">
        <f ca="1">D23/$D$25</f>
        <v>3.3337816422710873E-2</v>
      </c>
      <c r="K23" s="430" t="s">
        <v>820</v>
      </c>
      <c r="L23" s="431"/>
      <c r="M23" s="431">
        <f>M19+M22</f>
        <v>256</v>
      </c>
      <c r="N23" s="432">
        <f>N19+N22</f>
        <v>1</v>
      </c>
      <c r="O23" s="431">
        <f>TotalNRSF</f>
        <v>240380</v>
      </c>
      <c r="P23" s="431"/>
      <c r="Q23" s="431">
        <f>AvgUnitSize</f>
        <v>938.984375</v>
      </c>
      <c r="R23" s="433">
        <f>'Operating Inputs'!$H$84</f>
        <v>2068.8063802083334</v>
      </c>
      <c r="S23" s="434">
        <f>'Operating Inputs'!$I$84</f>
        <v>2.2032383448428878</v>
      </c>
      <c r="U23" s="398"/>
    </row>
    <row r="24" spans="1:24" ht="15" thickTop="1" x14ac:dyDescent="0.3">
      <c r="A24" s="512" t="str">
        <f>'A-DevBdgt'!A46</f>
        <v>Commercial (TI, Legal &amp; Commissions)</v>
      </c>
      <c r="B24" s="512"/>
      <c r="D24" s="404">
        <f>DevBdgt!EH47</f>
        <v>0</v>
      </c>
      <c r="E24" s="404">
        <f>D24/Units</f>
        <v>0</v>
      </c>
      <c r="F24" s="405">
        <f>D24/TotalNRSF</f>
        <v>0</v>
      </c>
      <c r="G24" s="400">
        <f ca="1">D24/$D$25</f>
        <v>0</v>
      </c>
      <c r="K24" s="440" t="s">
        <v>787</v>
      </c>
      <c r="M24" s="407">
        <f>COUNTIF('Operating Inputs'!C100:C109,"&gt;0")</f>
        <v>0</v>
      </c>
      <c r="O24" s="407">
        <f>RNRSF</f>
        <v>0</v>
      </c>
      <c r="P24" s="407"/>
      <c r="Q24" s="407">
        <f>IF(M24=0,0,O24/M24)</f>
        <v>0</v>
      </c>
      <c r="R24" s="408">
        <f>'Operating Inputs'!E110*RNRSF/12</f>
        <v>0</v>
      </c>
      <c r="S24" s="441" t="str">
        <f>TEXT('Operating Inputs'!E110,"$0.00")</f>
        <v>$0.00</v>
      </c>
      <c r="U24" s="398"/>
    </row>
    <row r="25" spans="1:24" ht="15" thickBot="1" x14ac:dyDescent="0.35">
      <c r="A25" s="435" t="s">
        <v>821</v>
      </c>
      <c r="B25" s="435"/>
      <c r="C25" s="436"/>
      <c r="D25" s="437">
        <f ca="1">SUM(D7:D24)</f>
        <v>77959624.342178479</v>
      </c>
      <c r="E25" s="437">
        <f ca="1">D25/Units</f>
        <v>304529.78258663468</v>
      </c>
      <c r="F25" s="438">
        <f ca="1">D25/TotalNRSF</f>
        <v>324.31826417413464</v>
      </c>
      <c r="G25" s="439">
        <f ca="1">SUM(G7:G24)</f>
        <v>1</v>
      </c>
      <c r="U25" s="398"/>
    </row>
    <row r="26" spans="1:24" ht="7.5" customHeight="1" thickTop="1" x14ac:dyDescent="0.3"/>
    <row r="27" spans="1:24" ht="15.6" x14ac:dyDescent="0.3">
      <c r="A27" s="115" t="s">
        <v>244</v>
      </c>
      <c r="B27" s="442"/>
      <c r="C27" s="442"/>
      <c r="D27" s="442"/>
      <c r="E27" s="442"/>
      <c r="F27" s="442"/>
      <c r="G27" s="443"/>
      <c r="I27" s="115" t="s">
        <v>822</v>
      </c>
      <c r="J27" s="204"/>
      <c r="K27" s="204"/>
      <c r="L27" s="204"/>
      <c r="M27" s="204"/>
      <c r="N27" s="204"/>
      <c r="O27" s="444"/>
      <c r="P27" s="445"/>
      <c r="Q27" s="511" t="s">
        <v>823</v>
      </c>
      <c r="R27" s="446"/>
      <c r="S27" s="447"/>
    </row>
    <row r="28" spans="1:24" ht="3.75" customHeight="1" thickBot="1" x14ac:dyDescent="0.35">
      <c r="A28" s="119"/>
      <c r="B28" s="119"/>
      <c r="C28" s="119"/>
      <c r="D28" s="206"/>
      <c r="E28" s="206"/>
      <c r="F28" s="206"/>
      <c r="G28" s="119"/>
      <c r="I28" s="119"/>
      <c r="J28" s="119"/>
      <c r="K28" s="119"/>
      <c r="L28" s="119"/>
      <c r="M28" s="119"/>
      <c r="N28" s="119"/>
      <c r="O28" s="119"/>
      <c r="P28" s="445"/>
      <c r="Q28" s="119"/>
      <c r="R28" s="119"/>
      <c r="S28" s="119"/>
      <c r="W28" s="448"/>
      <c r="X28" s="448"/>
    </row>
    <row r="29" spans="1:24" ht="16.2" thickTop="1" x14ac:dyDescent="0.3">
      <c r="B29" s="397" t="s">
        <v>824</v>
      </c>
      <c r="C29" s="397" t="s">
        <v>825</v>
      </c>
      <c r="D29" s="449" t="str">
        <f>'General Inputs'!J29</f>
        <v>LP</v>
      </c>
      <c r="E29" s="1608" t="str">
        <f>'General Inputs'!K29</f>
        <v>Quarterra</v>
      </c>
      <c r="F29" s="450" t="str">
        <f>'General Inputs'!L29</f>
        <v>LAND</v>
      </c>
      <c r="G29" s="451" t="s">
        <v>173</v>
      </c>
      <c r="K29" s="452"/>
      <c r="L29" s="2647" t="str">
        <f>'General Inputs'!J29</f>
        <v>LP</v>
      </c>
      <c r="M29" s="2647"/>
      <c r="N29" s="513" t="str">
        <f>'General Inputs'!K29</f>
        <v>Quarterra</v>
      </c>
      <c r="O29" s="453" t="str">
        <f>'General Inputs'!L29</f>
        <v>LAND</v>
      </c>
      <c r="P29" s="445"/>
      <c r="Q29" s="182" t="s">
        <v>826</v>
      </c>
      <c r="R29" s="454">
        <f>'General Inputs'!C28</f>
        <v>46631</v>
      </c>
      <c r="S29" s="445">
        <f>'General Inputs'!D28</f>
        <v>0</v>
      </c>
    </row>
    <row r="30" spans="1:24" ht="15.6" x14ac:dyDescent="0.3">
      <c r="A30" s="455" t="s">
        <v>157</v>
      </c>
      <c r="B30" s="398">
        <f ca="1">'General Inputs'!H8</f>
        <v>42877793.388198167</v>
      </c>
      <c r="C30" s="398">
        <f ca="1">'General Inputs'!I8</f>
        <v>0</v>
      </c>
      <c r="D30" s="398">
        <f ca="1">'General Inputs'!J8</f>
        <v>31573647.858582281</v>
      </c>
      <c r="E30" s="1609">
        <f ca="1">'General Inputs'!K8</f>
        <v>3508183.0953980302</v>
      </c>
      <c r="F30" s="398">
        <f ca="1">'General Inputs'!L8</f>
        <v>0</v>
      </c>
      <c r="G30" s="456">
        <f ca="1">SUM(B30:F30)</f>
        <v>77959624.342178479</v>
      </c>
      <c r="I30" s="512" t="str">
        <f>"Preferred Return ("&amp;TEXT('General Inputs'!J11,"0.00%")&amp;") paid Pari Passu"</f>
        <v>Preferred Return (10.00%) paid Pari Passu</v>
      </c>
      <c r="K30" s="457"/>
      <c r="L30" s="2648">
        <f>ContrEquity</f>
        <v>0.9</v>
      </c>
      <c r="M30" s="2648"/>
      <c r="N30" s="514">
        <f>ContrLennar</f>
        <v>9.9999999999999978E-2</v>
      </c>
      <c r="O30" s="514">
        <f>ContrLand</f>
        <v>0</v>
      </c>
      <c r="P30" s="445"/>
      <c r="Q30" s="182" t="s">
        <v>827</v>
      </c>
      <c r="R30" s="454">
        <f>'General Inputs'!C29</f>
        <v>46661</v>
      </c>
      <c r="S30" s="445">
        <f>'General Inputs'!D29</f>
        <v>1</v>
      </c>
    </row>
    <row r="31" spans="1:24" ht="15.6" x14ac:dyDescent="0.3">
      <c r="A31" s="182" t="s">
        <v>274</v>
      </c>
      <c r="B31" s="400">
        <f ca="1">B30/$G$30</f>
        <v>0.55000000000000004</v>
      </c>
      <c r="C31" s="400">
        <f ca="1">C30/$G$30</f>
        <v>0</v>
      </c>
      <c r="D31" s="400"/>
      <c r="E31" s="1610"/>
      <c r="F31" s="400"/>
      <c r="G31" s="459">
        <f ca="1">SUM(B31:C31)</f>
        <v>0.55000000000000004</v>
      </c>
      <c r="I31" s="512" t="str">
        <f ca="1">"Tier 1: After pref. to a "&amp;IF('General Inputs'!$N$30="IRR",TEXT('General Inputs'!I30,"0.00%")&amp;" IRR, split",TEXT('General Inputs'!H30,"0.00x")&amp;" Mult, split")</f>
        <v>Tier 1: After pref. to a 12.00% IRR, split</v>
      </c>
      <c r="K31" s="457"/>
      <c r="L31" s="2648">
        <f>'General Inputs'!J30</f>
        <v>0.65</v>
      </c>
      <c r="M31" s="2648"/>
      <c r="N31" s="514">
        <f>'General Inputs'!K30</f>
        <v>0.35</v>
      </c>
      <c r="O31" s="514">
        <f>'General Inputs'!L30</f>
        <v>0</v>
      </c>
      <c r="P31" s="445"/>
      <c r="Q31" s="182" t="s">
        <v>644</v>
      </c>
      <c r="R31" s="454">
        <f>'General Inputs'!C30</f>
        <v>46661</v>
      </c>
      <c r="S31" s="445">
        <f>'General Inputs'!D30</f>
        <v>1</v>
      </c>
      <c r="W31" s="458"/>
    </row>
    <row r="32" spans="1:24" ht="15.6" x14ac:dyDescent="0.3">
      <c r="A32" s="182" t="s">
        <v>828</v>
      </c>
      <c r="B32" s="400"/>
      <c r="C32" s="400"/>
      <c r="D32" s="400">
        <f>ContrEquity</f>
        <v>0.9</v>
      </c>
      <c r="E32" s="1610">
        <f>ContrLennar</f>
        <v>9.9999999999999978E-2</v>
      </c>
      <c r="F32" s="400">
        <f>ContrLand</f>
        <v>0</v>
      </c>
      <c r="G32" s="459">
        <f>SUM(D32:F32)</f>
        <v>1</v>
      </c>
      <c r="I32" s="512" t="str">
        <f ca="1">IF(AND(L31=L32,N31=N32,O31=O32),"","Tier 2: From a "&amp;IF('General Inputs'!$N$30="IRR",TEXT('General Inputs'!I30,"0.00%")&amp;" IRR to a ",TEXT('General Inputs'!$H$30,"0.00x")&amp;" Mult to a ")&amp;IF('General Inputs'!$N$31="IRR",TEXT('General Inputs'!I31,"0.00%")&amp;" IRR, split",TEXT('General Inputs'!$H$31,"0.00x")&amp;" Mult, split"))</f>
        <v>Tier 2: From a 12.00% IRR to a 15.00% IRR, split</v>
      </c>
      <c r="K32" s="457"/>
      <c r="L32" s="2648">
        <f>'General Inputs'!J31</f>
        <v>0.6</v>
      </c>
      <c r="M32" s="2648"/>
      <c r="N32" s="514">
        <f>'General Inputs'!K31</f>
        <v>0.4</v>
      </c>
      <c r="O32" s="514">
        <f>'General Inputs'!L31</f>
        <v>0</v>
      </c>
      <c r="P32" s="445"/>
      <c r="Q32" s="182" t="s">
        <v>224</v>
      </c>
      <c r="R32" s="454">
        <f>'General Inputs'!C31</f>
        <v>47058</v>
      </c>
      <c r="S32" s="460">
        <f>'General Inputs'!D31</f>
        <v>14</v>
      </c>
      <c r="W32" s="458"/>
    </row>
    <row r="33" spans="1:27" ht="15.6" x14ac:dyDescent="0.3">
      <c r="A33" s="182" t="s">
        <v>829</v>
      </c>
      <c r="B33" s="400">
        <f ca="1">'General Inputs'!H14</f>
        <v>6.4999999999999988E-2</v>
      </c>
      <c r="C33" s="400">
        <f>'General Inputs'!I14</f>
        <v>0.08</v>
      </c>
      <c r="D33" s="400">
        <f>'General Inputs'!J11</f>
        <v>0.1</v>
      </c>
      <c r="E33" s="1611">
        <f>'General Inputs'!K11</f>
        <v>0.1</v>
      </c>
      <c r="F33" s="400">
        <f>'General Inputs'!L11</f>
        <v>0.1</v>
      </c>
      <c r="G33" s="459">
        <f ca="1">SUMPRODUCT(B30:F30,B33:F33)/G30</f>
        <v>8.0749999999999988E-2</v>
      </c>
      <c r="I33" s="512" t="str">
        <f ca="1">IF(AND(L32=L33,N32=N33,O32=O33),"","Tier 3: From a "&amp;IF('General Inputs'!$N$31="IRR",TEXT('General Inputs'!I31,"0.00%")&amp;" IRR to a ",TEXT('General Inputs'!$H$31,"0.00x")&amp;" Mult to a ")&amp;IF('General Inputs'!$N$32="IRR",TEXT('General Inputs'!I32,"0.00%")&amp;" IRR, split",TEXT('General Inputs'!$H$32,"0.00x")&amp;" Mult, split"))</f>
        <v>Tier 3: From a 15.00% IRR to a 20.00% IRR, split</v>
      </c>
      <c r="K33" s="457"/>
      <c r="L33" s="2648">
        <f>'General Inputs'!J32</f>
        <v>0.5</v>
      </c>
      <c r="M33" s="2648"/>
      <c r="N33" s="514">
        <f>'General Inputs'!K32</f>
        <v>0.5</v>
      </c>
      <c r="O33" s="514">
        <f>'General Inputs'!L32</f>
        <v>0</v>
      </c>
      <c r="P33" s="445"/>
      <c r="Q33" s="182" t="s">
        <v>646</v>
      </c>
      <c r="R33" s="454">
        <f>'General Inputs'!C32</f>
        <v>47392</v>
      </c>
      <c r="S33" s="460">
        <f>'General Inputs'!D32</f>
        <v>25</v>
      </c>
      <c r="W33" s="458"/>
    </row>
    <row r="34" spans="1:27" x14ac:dyDescent="0.3">
      <c r="I34" s="512" t="str">
        <f ca="1">"Residual: After a "&amp;IF('General Inputs'!$N$32="IRR",TEXT('General Inputs'!I32,"0.00%")&amp;" IRR, split",TEXT('General Inputs'!$H$32,"0.00x")&amp;" Mult, split")</f>
        <v>Residual: After a 20.00% IRR, split</v>
      </c>
      <c r="K34" s="457"/>
      <c r="L34" s="2648">
        <f>'General Inputs'!J33</f>
        <v>0.4</v>
      </c>
      <c r="M34" s="2648"/>
      <c r="N34" s="514">
        <f>'General Inputs'!K33</f>
        <v>0.6</v>
      </c>
      <c r="O34" s="514">
        <f>'General Inputs'!L33</f>
        <v>0</v>
      </c>
      <c r="P34" s="445"/>
      <c r="Q34" s="182" t="s">
        <v>648</v>
      </c>
      <c r="R34" s="454">
        <f>'General Inputs'!C33</f>
        <v>47453</v>
      </c>
      <c r="S34" s="445">
        <f>'General Inputs'!D33</f>
        <v>27</v>
      </c>
      <c r="W34" s="458"/>
    </row>
    <row r="35" spans="1:27" ht="15.6" x14ac:dyDescent="0.3">
      <c r="I35" s="512"/>
      <c r="K35" s="457"/>
      <c r="L35" s="514"/>
      <c r="M35" s="514"/>
      <c r="N35" s="514"/>
      <c r="O35" s="514"/>
      <c r="P35" s="445"/>
      <c r="Q35" s="1604" t="s">
        <v>830</v>
      </c>
      <c r="R35" s="1612">
        <f>'General Inputs'!C34</f>
        <v>47484</v>
      </c>
      <c r="S35" s="1613">
        <f>'General Inputs'!D34</f>
        <v>28</v>
      </c>
      <c r="W35" s="458"/>
    </row>
    <row r="36" spans="1:27" ht="7.5" customHeight="1" x14ac:dyDescent="0.3">
      <c r="J36" s="457"/>
      <c r="K36" s="457"/>
      <c r="L36" s="457"/>
      <c r="M36" s="457"/>
      <c r="N36" s="457"/>
      <c r="P36" s="445"/>
      <c r="W36" s="458"/>
    </row>
    <row r="37" spans="1:27" ht="15.6" x14ac:dyDescent="0.3">
      <c r="A37" s="115" t="s">
        <v>831</v>
      </c>
      <c r="B37" s="389"/>
      <c r="C37" s="389"/>
      <c r="D37" s="389"/>
      <c r="E37" s="389"/>
      <c r="F37" s="389"/>
      <c r="G37" s="390"/>
      <c r="I37" s="511" t="s">
        <v>832</v>
      </c>
      <c r="J37" s="446"/>
      <c r="K37" s="447"/>
      <c r="M37" s="511" t="s">
        <v>833</v>
      </c>
      <c r="N37" s="446"/>
      <c r="O37" s="446"/>
      <c r="P37" s="446"/>
      <c r="Q37" s="446"/>
      <c r="R37" s="446"/>
      <c r="S37" s="447"/>
      <c r="W37" s="458"/>
    </row>
    <row r="38" spans="1:27" ht="3.75" customHeight="1" thickBot="1" x14ac:dyDescent="0.35">
      <c r="A38" s="119"/>
      <c r="B38" s="119"/>
      <c r="C38" s="119"/>
      <c r="D38" s="119"/>
      <c r="E38" s="119"/>
      <c r="F38" s="119"/>
      <c r="G38" s="119"/>
      <c r="I38" s="119"/>
      <c r="J38" s="119"/>
      <c r="K38" s="119"/>
      <c r="M38" s="119"/>
      <c r="N38" s="119"/>
      <c r="O38" s="119"/>
      <c r="P38" s="206"/>
      <c r="Q38" s="206"/>
      <c r="R38" s="119"/>
      <c r="S38" s="119"/>
    </row>
    <row r="39" spans="1:27" ht="16.2" thickTop="1" x14ac:dyDescent="0.3">
      <c r="A39" s="182" t="s">
        <v>834</v>
      </c>
      <c r="D39" s="461" t="s">
        <v>254</v>
      </c>
      <c r="E39" s="461" t="s">
        <v>835</v>
      </c>
      <c r="F39" s="461" t="s">
        <v>836</v>
      </c>
      <c r="G39" s="461" t="s">
        <v>837</v>
      </c>
      <c r="I39" s="182" t="s">
        <v>1</v>
      </c>
      <c r="K39" s="454">
        <f>LOOKUP(K40,DevBdgt!$6:$6,DevBdgt!$7:$7)</f>
        <v>47484</v>
      </c>
      <c r="M39" s="207" t="s">
        <v>838</v>
      </c>
      <c r="N39" s="208"/>
      <c r="O39" s="462" t="str">
        <f>'General Inputs'!J29</f>
        <v>LP</v>
      </c>
      <c r="P39" s="1615"/>
      <c r="Q39" s="1616" t="str">
        <f>'General Inputs'!K29</f>
        <v>Quarterra</v>
      </c>
      <c r="R39" s="462" t="str">
        <f>'General Inputs'!L29</f>
        <v>LAND</v>
      </c>
      <c r="S39" s="463" t="s">
        <v>173</v>
      </c>
      <c r="X39" s="448"/>
    </row>
    <row r="40" spans="1:27" ht="15.6" x14ac:dyDescent="0.3">
      <c r="A40" s="182" t="s">
        <v>1</v>
      </c>
      <c r="D40" s="454">
        <f>'General Inputs'!C37</f>
        <v>46174</v>
      </c>
      <c r="E40" s="454">
        <f>LOOKUP(E41,DevBdgt!$6:$6,DevBdgt!$7:$7)</f>
        <v>46631</v>
      </c>
      <c r="F40" s="454">
        <f>LOOKUP(F41,DevBdgt!$6:$6,DevBdgt!$7:$7)</f>
        <v>46661</v>
      </c>
      <c r="G40" s="454">
        <f>LOOKUP(G41,DevBdgt!$6:$6,DevBdgt!$7:$7)</f>
        <v>47484</v>
      </c>
      <c r="I40" s="182" t="s">
        <v>839</v>
      </c>
      <c r="K40" s="468">
        <f>DispositionMonth</f>
        <v>28</v>
      </c>
      <c r="M40" s="512" t="s">
        <v>155</v>
      </c>
      <c r="O40" s="464">
        <f ca="1">SUMIF(Waterfalls!$5:$5,"="&amp;DispositionMonth,Waterfalls!212:212)-D30</f>
        <v>6313033.6563139558</v>
      </c>
      <c r="P40" s="2622">
        <f ca="1">SUMIF(Waterfalls!$5:$5,"="&amp;DispositionMonth,Waterfalls!220:220)-E30</f>
        <v>701448.18403488211</v>
      </c>
      <c r="Q40" s="2623"/>
      <c r="R40" s="464">
        <f ca="1">SUMIF(Waterfalls!$5:$5,"="&amp;DispositionMonth,Waterfalls!113:113)</f>
        <v>0</v>
      </c>
      <c r="S40" s="465">
        <f ca="1">SUM(O40:R40)</f>
        <v>7014481.8403488379</v>
      </c>
      <c r="AA40" s="454"/>
    </row>
    <row r="41" spans="1:27" ht="15.6" x14ac:dyDescent="0.3">
      <c r="A41" s="466" t="s">
        <v>839</v>
      </c>
      <c r="B41" s="466"/>
      <c r="C41" s="466"/>
      <c r="D41" s="467">
        <f>LOOKUP(D40,'Front Money Budget'!$H$7:$CZ$7,'Front Money Budget'!$H$6:$CZ$6)</f>
        <v>-15</v>
      </c>
      <c r="E41" s="468">
        <v>0</v>
      </c>
      <c r="F41" s="468">
        <f>'General Inputs'!D30</f>
        <v>1</v>
      </c>
      <c r="G41" s="468">
        <f>DispositionMonth</f>
        <v>28</v>
      </c>
      <c r="I41" s="423" t="s">
        <v>840</v>
      </c>
      <c r="J41" s="469"/>
      <c r="K41" s="469">
        <f ca="1">LOOKUP(Summary!K40,Waterfalls!$5:$5,Waterfalls!$187:$187)</f>
        <v>102519475.19780481</v>
      </c>
      <c r="M41" s="512" t="s">
        <v>943</v>
      </c>
      <c r="O41" s="464">
        <f ca="1">SUM(Waterfalls!286:286)</f>
        <v>8708966.546183683</v>
      </c>
      <c r="P41" s="2622">
        <f ca="1">ROUND(($K$49+$S$45)*ContrLennar-P40-P45,0)</f>
        <v>1708529</v>
      </c>
      <c r="Q41" s="2623"/>
      <c r="R41" s="464">
        <f ca="1">SUM(Waterfalls!288:288)</f>
        <v>0</v>
      </c>
      <c r="S41" s="471">
        <f ca="1">ROUND(SUM(O41:R41),0)</f>
        <v>10417496</v>
      </c>
    </row>
    <row r="42" spans="1:27" ht="15.6" x14ac:dyDescent="0.3">
      <c r="A42" s="182" t="s">
        <v>841</v>
      </c>
      <c r="D42" s="464">
        <f>OperBgt!E61*12</f>
        <v>7432392.0800000001</v>
      </c>
      <c r="E42" s="464">
        <f>OperBgt!F61*12</f>
        <v>7617128.7472539777</v>
      </c>
      <c r="F42" s="464">
        <f>LOOKUP(F$41,OperBgt!$5:$5,OperBgt!61:61)*12</f>
        <v>7629244.3280515801</v>
      </c>
      <c r="G42" s="464">
        <f ca="1">G45-G44</f>
        <v>8325406.2118171602</v>
      </c>
      <c r="I42" s="862" t="s">
        <v>784</v>
      </c>
      <c r="J42" s="473"/>
      <c r="K42" s="473">
        <f ca="1">K41/Units</f>
        <v>400466.69999142503</v>
      </c>
      <c r="M42" s="470" t="s">
        <v>342</v>
      </c>
      <c r="O42" s="401">
        <v>0</v>
      </c>
      <c r="P42" s="2628">
        <f ca="1">SUM(Waterfalls!287:287)-Summary!P41</f>
        <v>6667795.4538163161</v>
      </c>
      <c r="Q42" s="2629"/>
      <c r="R42" s="401">
        <v>0</v>
      </c>
      <c r="S42" s="471">
        <f ca="1">SUM(O42:R42)</f>
        <v>6667795.4538163161</v>
      </c>
    </row>
    <row r="43" spans="1:27" ht="15.6" x14ac:dyDescent="0.3">
      <c r="A43" s="475" t="s">
        <v>842</v>
      </c>
      <c r="B43" s="472"/>
      <c r="D43" s="476">
        <f>OperBgt!E48/MarketUnitSize</f>
        <v>2.2032383448428878</v>
      </c>
      <c r="E43" s="476">
        <f>OperBgt!F48/MarketUnitSize</f>
        <v>2.2532279878819907</v>
      </c>
      <c r="F43" s="476">
        <f>LOOKUP(F41,OperBgt!$5:$5,OperBgt!$48:$48)/MarketUnitSize</f>
        <v>2.2564726361845411</v>
      </c>
      <c r="G43" s="476">
        <f>(SUMIFS(OperBgt!$48:$48,OperBgt!$5:$5,"&gt;"&amp;DispositionMonth,OperBgt!$5:$5,"&lt;="&amp;DispositionMonth+12,OperBgt!$129:$129,"=Next Year")
+SUMIFS(OperBgt!$48:$48,OperBgt!$5:$5,"&lt;="&amp;DispositionMonth,OperBgt!$5:$5,"&gt;"&amp;DispositionMonth-12,OperBgt!$129:$129,"=Current Year")
+SUMIFS(OperBgt!$48:$48,OperBgt!$5:$5,"&lt;="&amp;DispositionMonth+6,OperBgt!$5:$5,"&gt;"&amp;DispositionMonth-6,OperBgt!$129:$129,"=Blend"))/12/MarketUnitSize</f>
        <v>2.5292425202383142</v>
      </c>
      <c r="I43" s="477" t="s">
        <v>125</v>
      </c>
      <c r="J43" s="478"/>
      <c r="K43" s="861">
        <f ca="1">LOOKUP(Summary!K$40,Waterfalls!$5:$5,Waterfalls!$188:$188)+LOOKUP(Summary!K$40,Waterfalls!$5:$5,Waterfalls!$189:$189)+LOOKUP(Summary!K$40,Waterfalls!$5:$5,Waterfalls!$190:$190)+LOOKUP(Summary!K$40,Waterfalls!$5:$5,Waterfalls!$191:$191)+LOOKUP(Summary!K$40,Waterfalls!$5:$5,Waterfalls!$194:$194)+LOOKUP(Summary!K$40,Waterfalls!$5:$5,Waterfalls!$195:$195)</f>
        <v>-460077.90079121926</v>
      </c>
      <c r="M43" s="1656" t="s">
        <v>843</v>
      </c>
      <c r="N43" s="613"/>
      <c r="O43" s="629">
        <f ca="1">SUM(O40:O42)</f>
        <v>15022000.202497639</v>
      </c>
      <c r="P43" s="2636">
        <f ca="1">SUM(P40:Q42)</f>
        <v>9077772.6378511973</v>
      </c>
      <c r="Q43" s="2637"/>
      <c r="R43" s="629">
        <f ca="1">SUM(R40:R42)</f>
        <v>0</v>
      </c>
      <c r="S43" s="474">
        <f ca="1">SUM(S40:S42)</f>
        <v>24099773.294165157</v>
      </c>
    </row>
    <row r="44" spans="1:27" ht="15.6" x14ac:dyDescent="0.3">
      <c r="A44" s="182" t="str">
        <f>"Vacancy &amp; Collection Loss ("&amp;TEXT(Vacancy,("0.00%"))&amp;")"</f>
        <v>Vacancy &amp; Collection Loss (5.87%)</v>
      </c>
      <c r="D44" s="401">
        <f>OperBgt!E62*12</f>
        <v>-436072.37906875001</v>
      </c>
      <c r="E44" s="401">
        <f>OperBgt!F62*12</f>
        <v>-446911.22571779194</v>
      </c>
      <c r="F44" s="401">
        <f>-F42*Vacancy</f>
        <v>-447622.06955990131</v>
      </c>
      <c r="G44" s="401">
        <f>SUMIFS(OperBgt!$62:$62,OperBgt!$5:$5,"&gt;"&amp;DispositionMonth,OperBgt!$5:$5,"&lt;="&amp;DispositionMonth+12,OperBgt!$129:$129,"=Next Year")
+SUMIFS(OperBgt!$62:$62,OperBgt!$5:$5,"&lt;="&amp;DispositionMonth,OperBgt!$5:$5,"&gt;"&amp;DispositionMonth-12,OperBgt!$129:$129,"=Current Year")
+SUMIFS(OperBgt!$62:$62,OperBgt!$5:$5,"&lt;="&amp;DispositionMonth+6,OperBgt!$5:$5,"&gt;"&amp;DispositionMonth-6,OperBgt!$129:$129,"=Blend")</f>
        <v>-499442.99758924521</v>
      </c>
      <c r="I44" s="182" t="s">
        <v>844</v>
      </c>
      <c r="J44" s="464"/>
      <c r="K44" s="464">
        <f ca="1">SUM(K41,K43)</f>
        <v>102059397.2970136</v>
      </c>
      <c r="M44" s="207" t="s">
        <v>845</v>
      </c>
      <c r="P44" s="1623"/>
      <c r="Q44" s="1624"/>
      <c r="S44" s="479"/>
    </row>
    <row r="45" spans="1:27" ht="15.6" x14ac:dyDescent="0.3">
      <c r="A45" s="613" t="s">
        <v>846</v>
      </c>
      <c r="B45" s="613"/>
      <c r="C45" s="613"/>
      <c r="D45" s="629">
        <f>D42+D44</f>
        <v>6996319.7009312501</v>
      </c>
      <c r="E45" s="629">
        <f>E42+E44</f>
        <v>7170217.5215361854</v>
      </c>
      <c r="F45" s="629">
        <f>F42+F44</f>
        <v>7181622.2584916791</v>
      </c>
      <c r="G45" s="629">
        <f ca="1">-G46+G49</f>
        <v>7825963.2142279148</v>
      </c>
      <c r="I45" s="182" t="s">
        <v>847</v>
      </c>
      <c r="K45" s="401">
        <f>LOOKUP(Summary!K39,Waterfalls!$5:$5,Waterfalls!$192:$192)</f>
        <v>0</v>
      </c>
      <c r="M45" s="512" t="s">
        <v>848</v>
      </c>
      <c r="O45" s="464">
        <f ca="1">SUM(Waterfalls!209:209)</f>
        <v>631204.67809353163</v>
      </c>
      <c r="P45" s="2622">
        <f ca="1">SUM(Waterfalls!217:217)</f>
        <v>70133.853121503504</v>
      </c>
      <c r="Q45" s="2623"/>
      <c r="R45" s="464">
        <f ca="1">SUM(Waterfalls!225:225)</f>
        <v>0</v>
      </c>
      <c r="S45" s="465">
        <f ca="1">SUM(O45:R45)</f>
        <v>701338.53121503512</v>
      </c>
    </row>
    <row r="46" spans="1:27" ht="15.6" x14ac:dyDescent="0.3">
      <c r="A46" s="182" t="s">
        <v>260</v>
      </c>
      <c r="D46" s="401">
        <f ca="1">-SUM('Development Inputs'!V174,'Development Inputs'!X174)</f>
        <v>-1959829.6780901933</v>
      </c>
      <c r="E46" s="401">
        <f ca="1">-'Operating Inputs'!F130</f>
        <v>-2018717.6482273275</v>
      </c>
      <c r="F46" s="401">
        <f ca="1">-'Operating Inputs'!I130</f>
        <v>-2022708.8609822639</v>
      </c>
      <c r="G46" s="401">
        <f ca="1">-(SUMIFS(OperBgt!$80:$80,OperBgt!$5:$5,"&gt;"&amp;DispositionMonth,OperBgt!$5:$5,"&lt;="&amp;DispositionMonth+12,OperBgt!$129:$129,"=Next Year")
+SUMIFS(OperBgt!$80:$80,OperBgt!$5:$5,"&lt;="&amp;DispositionMonth,OperBgt!$5:$5,"&gt;"&amp;DispositionMonth-12,OperBgt!$129:$129,"=Current Year")
+SUMIFS(OperBgt!$80:$80,OperBgt!$5:$5,"&lt;="&amp;DispositionMonth+6,OperBgt!$5:$5,"&gt;"&amp;DispositionMonth-6,OperBgt!$129:$129,"=Blend"))</f>
        <v>-2187392.0783486506</v>
      </c>
      <c r="I46" s="477" t="s">
        <v>849</v>
      </c>
      <c r="J46" s="478"/>
      <c r="K46" s="861">
        <f ca="1">LOOKUP(Summary!K40,Waterfalls!$5:$5,Waterfalls!$193:$193)</f>
        <v>-42877793.387000009</v>
      </c>
      <c r="M46" s="512" t="s">
        <v>850</v>
      </c>
      <c r="O46" s="401">
        <f>SUM(Waterfalls!210:210)</f>
        <v>0</v>
      </c>
      <c r="P46" s="2642">
        <f>SUM(Waterfalls!218:218)</f>
        <v>0</v>
      </c>
      <c r="Q46" s="2643"/>
      <c r="R46" s="401">
        <f>SUM(Waterfalls!226:226)</f>
        <v>0</v>
      </c>
      <c r="S46" s="471">
        <f>SUM(O46:R46)</f>
        <v>0</v>
      </c>
    </row>
    <row r="47" spans="1:27" ht="15.6" x14ac:dyDescent="0.3">
      <c r="A47" s="475" t="s">
        <v>851</v>
      </c>
      <c r="D47" s="480">
        <f ca="1">D46/Units</f>
        <v>-7655.5846800398176</v>
      </c>
      <c r="E47" s="480">
        <f ca="1">-'Operating Inputs'!G130</f>
        <v>-7885.6158133879981</v>
      </c>
      <c r="F47" s="480">
        <f ca="1">-'Operating Inputs'!J130</f>
        <v>-7901.2064882119685</v>
      </c>
      <c r="G47" s="480">
        <f ca="1">-SUM(OperBgt!G130:EH130)/Units</f>
        <v>-8544.5003060494164</v>
      </c>
      <c r="I47" s="182" t="s">
        <v>852</v>
      </c>
      <c r="J47" s="464"/>
      <c r="K47" s="464">
        <f ca="1">SUM(K44:K46)</f>
        <v>59181603.910013586</v>
      </c>
      <c r="M47" s="512" t="s">
        <v>853</v>
      </c>
      <c r="O47" s="401">
        <f ca="1">SUM(Waterfalls!208:208)</f>
        <v>0</v>
      </c>
      <c r="P47" s="2628">
        <f ca="1">SUM(Waterfalls!216:216)</f>
        <v>0</v>
      </c>
      <c r="Q47" s="2629"/>
      <c r="R47" s="401">
        <f ca="1">SUM(Waterfalls!224:224)</f>
        <v>0</v>
      </c>
      <c r="S47" s="471">
        <f ca="1">SUM(O47:R47)</f>
        <v>0</v>
      </c>
    </row>
    <row r="48" spans="1:27" ht="15.6" x14ac:dyDescent="0.3">
      <c r="A48" s="475" t="s">
        <v>854</v>
      </c>
      <c r="B48" s="472"/>
      <c r="D48" s="482">
        <f ca="1">-D46/D45</f>
        <v>0.28012294490049228</v>
      </c>
      <c r="E48" s="482">
        <f ca="1">-E46/E45</f>
        <v>0.28154203720654025</v>
      </c>
      <c r="F48" s="482">
        <f ca="1">-F46/F45</f>
        <v>0.28165068952082195</v>
      </c>
      <c r="G48" s="482">
        <f ca="1">-G46/G45</f>
        <v>0.27950451829007888</v>
      </c>
      <c r="I48" s="182" t="s">
        <v>855</v>
      </c>
      <c r="J48" s="464"/>
      <c r="K48" s="401">
        <f ca="1">-SUM('General Inputs'!$J$8:$L$8)-(SUMIF(Waterfalls!$5:$5,"="&amp;K40,Waterfalls!$53:$53)+SUMIF(Waterfalls!$5:$5,"="&amp;K40,Waterfalls!$78:$78)+SUMIF(Waterfalls!$5:$5,"="&amp;K40,Waterfalls!$103:$103))</f>
        <v>-35081830.953980312</v>
      </c>
      <c r="M48" s="1657" t="s">
        <v>843</v>
      </c>
      <c r="N48" s="613"/>
      <c r="O48" s="629">
        <f ca="1">SUM(O45:O47)</f>
        <v>631204.67809353163</v>
      </c>
      <c r="P48" s="2640">
        <f ca="1">SUM(P45:Q47)</f>
        <v>70133.853121503504</v>
      </c>
      <c r="Q48" s="2641"/>
      <c r="R48" s="629">
        <f ca="1">SUM(R45:R47)</f>
        <v>0</v>
      </c>
      <c r="S48" s="481">
        <f ca="1">SUM(S45:S47)</f>
        <v>701338.53121503512</v>
      </c>
    </row>
    <row r="49" spans="1:22" ht="16.2" thickBot="1" x14ac:dyDescent="0.35">
      <c r="A49" s="1658" t="s">
        <v>856</v>
      </c>
      <c r="B49" s="1658"/>
      <c r="C49" s="613"/>
      <c r="D49" s="629">
        <f ca="1">D45+D46</f>
        <v>5036490.0228410568</v>
      </c>
      <c r="E49" s="629">
        <f ca="1">E45+E46</f>
        <v>5151499.8733088579</v>
      </c>
      <c r="F49" s="629">
        <f ca="1">F45+F46</f>
        <v>5158913.3975094147</v>
      </c>
      <c r="G49" s="629">
        <f ca="1">(SUMIFS(Waterfalls!$151:$151,Waterfalls!$5:$5,"&gt;"&amp;DispositionMonth,Waterfalls!$5:$5,"&lt;="&amp;DispositionMonth+12,Waterfalls!$320:$320,"=Next Year")
+SUMIFS(Waterfalls!$151:$151,Waterfalls!$5:$5,"&lt;="&amp;DispositionMonth,Waterfalls!$5:$5,"&gt;"&amp;DispositionMonth-12,Waterfalls!$320:$320,"=Current Year")
+SUMIFS(Waterfalls!$151:$151,Waterfalls!$5:$5,"&lt;="&amp;DispositionMonth+6,Waterfalls!$5:$5,"&gt;"&amp;DispositionMonth-6,Waterfalls!$320:$320,"=Blend"))-G50</f>
        <v>5638571.1358792642</v>
      </c>
      <c r="I49" s="1658" t="s">
        <v>857</v>
      </c>
      <c r="J49" s="628"/>
      <c r="K49" s="628">
        <f ca="1">SUM(K47:K48)</f>
        <v>24099772.956033275</v>
      </c>
      <c r="M49" s="436" t="s">
        <v>858</v>
      </c>
      <c r="N49" s="436"/>
      <c r="O49" s="483">
        <f ca="1">SUM(Waterfalls!295:295)</f>
        <v>15653205.103514209</v>
      </c>
      <c r="P49" s="2638">
        <f ca="1">SUM(Waterfalls!302:302)</f>
        <v>9147907.3789354973</v>
      </c>
      <c r="Q49" s="2639"/>
      <c r="R49" s="483">
        <f ca="1">SUM(Waterfalls!309:309)</f>
        <v>0</v>
      </c>
      <c r="S49" s="484">
        <f ca="1">SUM(O49:R49)</f>
        <v>24801112.482449707</v>
      </c>
    </row>
    <row r="50" spans="1:22" ht="16.2" thickTop="1" x14ac:dyDescent="0.3">
      <c r="A50" s="182" t="s">
        <v>859</v>
      </c>
      <c r="D50" s="407">
        <f>'Operating Inputs'!$F$110*12</f>
        <v>0</v>
      </c>
      <c r="E50" s="407">
        <f>D50</f>
        <v>0</v>
      </c>
      <c r="F50" s="407">
        <f>D50</f>
        <v>0</v>
      </c>
      <c r="G50" s="407">
        <f>LOOKUP(G41,Waterfalls!$5:$5,Waterfalls!$185:$185)</f>
        <v>0</v>
      </c>
      <c r="M50" s="182" t="s">
        <v>320</v>
      </c>
      <c r="O50" s="485">
        <f ca="1">IF('General Inputs'!J8=0,0,O49/'General Inputs'!J8+1)</f>
        <v>1.4957680269832803</v>
      </c>
      <c r="P50" s="2644">
        <f ca="1">IF('General Inputs'!K8=0,0,P49/'General Inputs'!K8+1)</f>
        <v>3.607591203245792</v>
      </c>
      <c r="Q50" s="2645"/>
      <c r="R50" s="485">
        <f ca="1">IF('General Inputs'!L8=0,0,R49/'General Inputs'!L8+1)</f>
        <v>0</v>
      </c>
      <c r="S50" s="486">
        <f ca="1">S49/SUM('General Inputs'!J8:L8)+1</f>
        <v>1.7069503446095315</v>
      </c>
    </row>
    <row r="51" spans="1:22" ht="15.6" x14ac:dyDescent="0.3">
      <c r="A51" s="1604" t="s">
        <v>268</v>
      </c>
      <c r="B51" s="1605"/>
      <c r="C51" s="1637"/>
      <c r="D51" s="1637">
        <f ca="1">(D49+D50)/('Development Inputs'!V126+'Operating Inputs'!$D$224)</f>
        <v>6.6452831626234915E-2</v>
      </c>
      <c r="E51" s="1637">
        <f ca="1">(E49+E50)/('Development Inputs'!$T$126+'Operating Inputs'!$D$224)</f>
        <v>6.6164498746847475E-2</v>
      </c>
      <c r="F51" s="1637">
        <f ca="1">(F49+F50)/($D$25+'Operating Inputs'!$D$224)</f>
        <v>6.6174169527370194E-2</v>
      </c>
      <c r="G51" s="1607">
        <f ca="1">(G49+G50)/($D$25+'Operating Inputs'!$D$224)</f>
        <v>7.2326812545050051E-2</v>
      </c>
      <c r="I51" s="511" t="s">
        <v>860</v>
      </c>
      <c r="J51" s="446"/>
      <c r="K51" s="447"/>
      <c r="M51" s="1632" t="s">
        <v>861</v>
      </c>
      <c r="N51" s="1633"/>
      <c r="O51" s="1634">
        <f ca="1">IF(ISERR(Waterfalls!C295),"",Waterfalls!C295)</f>
        <v>0.22292304302199129</v>
      </c>
      <c r="P51" s="2646">
        <f ca="1">IF(ISERR(Waterfalls!C302),"",Waterfalls!C302)</f>
        <v>0.88796279652512533</v>
      </c>
      <c r="Q51" s="2646"/>
      <c r="R51" s="1638">
        <f ca="1">IF(ISERR(Waterfalls!C309),"",Waterfalls!C309)</f>
        <v>0</v>
      </c>
      <c r="S51" s="1635">
        <f ca="1">Waterfalls!C204</f>
        <v>0.30587547483465172</v>
      </c>
    </row>
    <row r="52" spans="1:22" ht="4.5" customHeight="1" thickBot="1" x14ac:dyDescent="0.35">
      <c r="D52" s="407"/>
      <c r="E52" s="407"/>
      <c r="F52" s="407"/>
      <c r="G52" s="407"/>
      <c r="I52" s="119"/>
      <c r="J52" s="119"/>
      <c r="K52" s="119"/>
      <c r="O52" s="400"/>
      <c r="P52" s="400"/>
      <c r="Q52" s="400"/>
      <c r="R52" s="400"/>
      <c r="S52" s="400"/>
      <c r="U52" s="487"/>
      <c r="V52" s="487"/>
    </row>
    <row r="53" spans="1:22" ht="15" thickTop="1" x14ac:dyDescent="0.3">
      <c r="A53" s="182" t="s">
        <v>862</v>
      </c>
      <c r="D53" s="408">
        <f ca="1">(PMT(('General Inputs'!N14)/12,'General Inputs'!$N$13*12,'General Inputs'!H8)*12)</f>
        <v>-3174288.3325702995</v>
      </c>
      <c r="E53" s="401">
        <f ca="1">D53</f>
        <v>-3174288.3325702995</v>
      </c>
      <c r="F53" s="401">
        <f ca="1">D53</f>
        <v>-3174288.3325702995</v>
      </c>
      <c r="G53" s="401">
        <f ca="1">D53</f>
        <v>-3174288.3325702995</v>
      </c>
      <c r="J53" s="454"/>
      <c r="K53" s="408"/>
      <c r="U53" s="488"/>
      <c r="V53" s="488"/>
    </row>
    <row r="54" spans="1:22" x14ac:dyDescent="0.3">
      <c r="A54" s="613" t="s">
        <v>863</v>
      </c>
      <c r="B54" s="613"/>
      <c r="C54" s="613"/>
      <c r="D54" s="629">
        <f ca="1">D49+D50+D53</f>
        <v>1862201.6902707573</v>
      </c>
      <c r="E54" s="629">
        <f ca="1">E49+E50+E53</f>
        <v>1977211.5407385584</v>
      </c>
      <c r="F54" s="629">
        <f ca="1">F49+F50+F53</f>
        <v>1984625.0649391152</v>
      </c>
      <c r="G54" s="629">
        <f ca="1">G49+G50+G53</f>
        <v>2464282.8033089647</v>
      </c>
      <c r="I54" s="182" t="str">
        <f>"Asset Mgmt. Fee ("&amp;TEXT('General Inputs'!$C$47,("0.00%"))&amp;"):"</f>
        <v>Asset Mgmt. Fee (0.00%):</v>
      </c>
      <c r="J54" s="454"/>
      <c r="K54" s="407">
        <f ca="1">-SUMIF(Waterfalls!$5:$5,"&lt;="&amp;MonthDisposition,Waterfalls!$159:$159)</f>
        <v>0</v>
      </c>
      <c r="L54" s="410"/>
      <c r="U54" s="489"/>
      <c r="V54" s="489"/>
    </row>
    <row r="55" spans="1:22" x14ac:dyDescent="0.3">
      <c r="A55" s="475" t="s">
        <v>864</v>
      </c>
      <c r="B55" s="472"/>
      <c r="C55" s="472"/>
      <c r="D55" s="490">
        <f ca="1">IF(D53=0,0,(D49+D50)/-D53)</f>
        <v>1.5866517137600058</v>
      </c>
      <c r="E55" s="490">
        <f ca="1">IF(E53=0,0,(E49+E50)/-E53)</f>
        <v>1.6228834099445406</v>
      </c>
      <c r="F55" s="490">
        <f ca="1">IF(F53=0,0,(F49+F50)/-F53)</f>
        <v>1.6252189016906713</v>
      </c>
      <c r="G55" s="490">
        <f ca="1">IF(G53=0,0,(G49+G50)/-G53)</f>
        <v>1.7763260753674428</v>
      </c>
      <c r="I55" s="182" t="str">
        <f>"Constr. Mgmt. Fee ("&amp;TEXT('Development Inputs'!C50,("0.00%"))&amp;"):"</f>
        <v>Constr. Mgmt. Fee (0.00%):</v>
      </c>
      <c r="J55" s="454"/>
      <c r="K55" s="407">
        <f>DevBdgt!EH45-(DevBdgt!EH45/(1+'Development Inputs'!C50))</f>
        <v>0</v>
      </c>
      <c r="U55" s="489"/>
      <c r="V55" s="489"/>
    </row>
    <row r="56" spans="1:22" x14ac:dyDescent="0.3">
      <c r="A56" s="475" t="s">
        <v>865</v>
      </c>
      <c r="B56" s="472"/>
      <c r="C56" s="472"/>
      <c r="D56" s="482">
        <f ca="1">IF('General Inputs'!$H$8=0,0,SUM(D49:D50)/'General Inputs'!$H$8)</f>
        <v>0.11746150221031006</v>
      </c>
      <c r="E56" s="482">
        <f ca="1">IF('General Inputs'!$H$8=0,0,SUM(E49:E50)/'General Inputs'!$H$8)</f>
        <v>0.12014377294720523</v>
      </c>
      <c r="F56" s="482">
        <f ca="1">IF('General Inputs'!$H$8=0,0,SUM(F49:F50)/'General Inputs'!$H$8)</f>
        <v>0.1203166718679458</v>
      </c>
      <c r="G56" s="482">
        <f ca="1">IF('General Inputs'!$H$8=0,0,SUM(G49:G50)/'General Inputs'!$H$8)</f>
        <v>0.13150329553645465</v>
      </c>
      <c r="I56" s="182" t="str">
        <f>"Development Fee ("&amp;TEXT('Development Inputs'!K99,("0.00%"))&amp;"):"</f>
        <v>Development Fee (4.00%):</v>
      </c>
      <c r="K56" s="407">
        <f ca="1">DevBdgt!EH41</f>
        <v>2658062.4746991713</v>
      </c>
      <c r="L56" s="464"/>
      <c r="U56" s="489"/>
      <c r="V56" s="489"/>
    </row>
    <row r="57" spans="1:22" x14ac:dyDescent="0.3">
      <c r="A57" s="182" t="s">
        <v>866</v>
      </c>
      <c r="D57" s="457"/>
      <c r="E57" s="401"/>
      <c r="F57" s="401"/>
      <c r="G57" s="401">
        <f ca="1">SUMIFS(Waterfalls!$319:$319,Waterfalls!$5:$5,"&gt;"&amp;DispositionMonth,Waterfalls!$5:$5,"&lt;="&amp;DispositionMonth+12,Waterfalls!$320:$320,"=Next Year")
+SUMIFS(Waterfalls!$319:$319,Waterfalls!$5:$5,"&lt;="&amp;DispositionMonth,Waterfalls!$5:$5,"&gt;"&amp;DispositionMonth-12,Waterfalls!$320:$320,"=Current Year")
+SUMIFS(Waterfalls!$319:$319,Waterfalls!$5:$5,"&lt;="&amp;DispositionMonth+6,Waterfalls!$5:$5,"&gt;"&amp;DispositionMonth-6,Waterfalls!$320:$320,"=Blend")</f>
        <v>0</v>
      </c>
      <c r="I57" s="182" t="str">
        <f>"Disposition Fee ("&amp;TEXT(DispositionFee,("0.00%"))&amp;"):"</f>
        <v>Disposition Fee (0.00%):</v>
      </c>
      <c r="K57" s="407">
        <f ca="1">-LOOKUP(DispositionMonth,Waterfalls!$5:$5,Waterfalls!$195:$195)</f>
        <v>0</v>
      </c>
      <c r="U57" s="489"/>
      <c r="V57" s="489"/>
    </row>
    <row r="58" spans="1:22" ht="16.2" thickBot="1" x14ac:dyDescent="0.35">
      <c r="A58" s="436" t="s">
        <v>867</v>
      </c>
      <c r="B58" s="436"/>
      <c r="C58" s="436"/>
      <c r="D58" s="483"/>
      <c r="E58" s="483"/>
      <c r="F58" s="483"/>
      <c r="G58" s="483">
        <f ca="1">G54+G57</f>
        <v>2464282.8033089647</v>
      </c>
      <c r="I58" s="436" t="s">
        <v>868</v>
      </c>
      <c r="J58" s="436"/>
      <c r="K58" s="1636">
        <f ca="1">SUM(K53:K57)</f>
        <v>2658062.4746991713</v>
      </c>
      <c r="U58" s="489"/>
      <c r="V58" s="489"/>
    </row>
    <row r="59" spans="1:22" ht="7.5" customHeight="1" thickTop="1" x14ac:dyDescent="0.3"/>
    <row r="60" spans="1:22" ht="15.6" x14ac:dyDescent="0.3">
      <c r="A60" s="115" t="s">
        <v>869</v>
      </c>
      <c r="B60" s="389"/>
      <c r="C60" s="389"/>
      <c r="D60" s="389"/>
      <c r="E60" s="389"/>
      <c r="F60" s="389"/>
      <c r="G60" s="389"/>
      <c r="H60" s="389"/>
      <c r="I60" s="389"/>
      <c r="J60" s="389"/>
      <c r="K60" s="390"/>
    </row>
    <row r="61" spans="1:22" ht="3.75" customHeight="1" thickBot="1" x14ac:dyDescent="0.35">
      <c r="A61" s="119"/>
      <c r="B61" s="119"/>
      <c r="C61" s="119"/>
      <c r="D61" s="119"/>
      <c r="E61" s="119"/>
      <c r="F61" s="119"/>
      <c r="G61" s="119"/>
      <c r="H61" s="119"/>
      <c r="I61" s="119"/>
      <c r="J61" s="119"/>
      <c r="K61" s="119"/>
    </row>
    <row r="62" spans="1:22" ht="15" thickTop="1" x14ac:dyDescent="0.3">
      <c r="A62" s="68"/>
      <c r="B62" s="2"/>
      <c r="C62" s="2"/>
      <c r="D62" s="2"/>
      <c r="E62" s="2"/>
      <c r="F62" s="69"/>
      <c r="G62" s="2"/>
      <c r="H62" s="2"/>
      <c r="I62" s="2"/>
      <c r="J62" s="70"/>
      <c r="K62" s="71"/>
      <c r="L62" s="418"/>
    </row>
    <row r="63" spans="1:22" x14ac:dyDescent="0.3">
      <c r="A63" s="72"/>
      <c r="B63" s="73"/>
      <c r="C63" s="73"/>
      <c r="D63" s="1520"/>
      <c r="E63" s="74"/>
      <c r="F63" s="73"/>
      <c r="G63" s="1520"/>
      <c r="H63" s="73"/>
      <c r="I63" s="73"/>
      <c r="J63" s="75"/>
      <c r="K63" s="76"/>
      <c r="L63" s="418"/>
      <c r="N63" s="410" t="s">
        <v>870</v>
      </c>
      <c r="O63" s="410" t="s">
        <v>871</v>
      </c>
    </row>
    <row r="64" spans="1:22" x14ac:dyDescent="0.3">
      <c r="A64" s="77"/>
      <c r="B64" s="2"/>
      <c r="C64" s="2"/>
      <c r="D64" s="2"/>
      <c r="E64" s="78"/>
      <c r="F64" s="2"/>
      <c r="G64" s="2576"/>
      <c r="H64" s="2"/>
      <c r="I64" s="2"/>
      <c r="J64" s="79"/>
      <c r="K64" s="80"/>
      <c r="L64" s="418"/>
      <c r="M64" s="182" t="s">
        <v>944</v>
      </c>
      <c r="N64" s="491"/>
      <c r="O64" s="491">
        <f ca="1">K58/1000000</f>
        <v>2.6580624746991712</v>
      </c>
    </row>
    <row r="65" spans="1:19" x14ac:dyDescent="0.3">
      <c r="A65" s="72"/>
      <c r="B65" s="73"/>
      <c r="C65" s="1523"/>
      <c r="D65" s="73"/>
      <c r="E65" s="74"/>
      <c r="F65" s="73"/>
      <c r="G65" s="73"/>
      <c r="H65" s="73"/>
      <c r="I65" s="73"/>
      <c r="J65" s="75"/>
      <c r="K65" s="76"/>
      <c r="L65" s="418"/>
      <c r="M65" s="182" t="s">
        <v>945</v>
      </c>
      <c r="N65" s="491">
        <f ca="1">E30/1000000</f>
        <v>3.5081830953980302</v>
      </c>
      <c r="O65" s="491">
        <f ca="1">P43/1000000</f>
        <v>9.0777726378511971</v>
      </c>
    </row>
    <row r="66" spans="1:19" x14ac:dyDescent="0.3">
      <c r="A66" s="77" t="str">
        <f>IF('Operating Inputs'!K10&gt;0,"Stabilized Concessions ("&amp;TEXT('Operating Inputs'!$K$10,"0.0")&amp;" months)","")</f>
        <v/>
      </c>
      <c r="B66" s="2"/>
      <c r="C66" s="1522"/>
      <c r="D66" s="78" t="str">
        <f>IF($A$66="","",(-D43*AvgUnitSize)*(1-Vacancy)*Units*('Operating Inputs'!$K$10/12)*12)</f>
        <v/>
      </c>
      <c r="E66" s="78" t="str">
        <f>IF($A$66="","",(-E43*AvgUnitSize)*(1-Vacancy)*Units*('Operating Inputs'!$K$10/12)*12)</f>
        <v/>
      </c>
      <c r="F66" s="78" t="str">
        <f>IF($A$66="","",(-F43*AvgUnitSize)*(1-Vacancy)*Units*('Operating Inputs'!$K$10/12)*12)</f>
        <v/>
      </c>
      <c r="G66" s="78"/>
      <c r="H66" s="2"/>
      <c r="I66" s="2"/>
      <c r="J66" s="79"/>
      <c r="K66" s="80"/>
      <c r="L66" s="418"/>
      <c r="M66" s="182" t="s">
        <v>874</v>
      </c>
      <c r="N66" s="491">
        <f ca="1">D30/1000000</f>
        <v>31.57364785858228</v>
      </c>
      <c r="O66" s="491">
        <f ca="1">O43/1000000</f>
        <v>15.022000202497638</v>
      </c>
    </row>
    <row r="67" spans="1:19" x14ac:dyDescent="0.3">
      <c r="A67" s="72" t="str">
        <f>IF(A66="","","NOI w/ Stabilized Concessions")</f>
        <v/>
      </c>
      <c r="B67" s="73"/>
      <c r="C67" s="73"/>
      <c r="D67" s="74" t="str">
        <f>IF($A$66="","",D49+D66)</f>
        <v/>
      </c>
      <c r="E67" s="74" t="str">
        <f>IF($A$66="","",E49+E66)</f>
        <v/>
      </c>
      <c r="F67" s="74" t="str">
        <f>IF($A$66="","",F49+F66)</f>
        <v/>
      </c>
      <c r="G67" s="74"/>
      <c r="H67" s="73"/>
      <c r="I67" s="73"/>
      <c r="J67" s="75"/>
      <c r="K67" s="76"/>
      <c r="L67" s="418"/>
      <c r="M67" s="182" t="s">
        <v>783</v>
      </c>
      <c r="N67" s="491">
        <f ca="1">F30/1000000</f>
        <v>0</v>
      </c>
      <c r="O67" s="491">
        <f ca="1">R43/1000000</f>
        <v>0</v>
      </c>
    </row>
    <row r="68" spans="1:19" x14ac:dyDescent="0.3">
      <c r="A68" s="77" t="str">
        <f>IF(A66="","","ROC w/ Stabilized Concessions")</f>
        <v/>
      </c>
      <c r="B68" s="2"/>
      <c r="C68" s="2"/>
      <c r="D68" s="1524" t="str">
        <f>IF($A$66="","",(D67)/('Development Inputs'!V126+'Operating Inputs'!$D$224))</f>
        <v/>
      </c>
      <c r="E68" s="1524" t="str">
        <f>IF($A$66="","",E67/('Development Inputs'!$T$126+'Operating Inputs'!$D$224))</f>
        <v/>
      </c>
      <c r="F68" s="1524" t="str">
        <f>IF($A$66="","",F67/($D$25+'Operating Inputs'!$D$224))</f>
        <v/>
      </c>
      <c r="G68" s="1524" t="str">
        <f>IF($G$66="","",G67/($D$25+'Operating Inputs'!$D$224))</f>
        <v/>
      </c>
      <c r="H68" s="2"/>
      <c r="I68" s="2"/>
      <c r="J68" s="79"/>
      <c r="K68" s="80"/>
      <c r="L68" s="418"/>
      <c r="M68" s="182" t="s">
        <v>875</v>
      </c>
      <c r="N68" s="491">
        <f ca="1">C30/1000000</f>
        <v>0</v>
      </c>
      <c r="O68" s="491"/>
    </row>
    <row r="69" spans="1:19" x14ac:dyDescent="0.3">
      <c r="A69" s="72"/>
      <c r="B69" s="73"/>
      <c r="C69" s="73"/>
      <c r="D69" s="73"/>
      <c r="E69" s="74"/>
      <c r="F69" s="73"/>
      <c r="G69" s="73"/>
      <c r="H69" s="73"/>
      <c r="I69" s="73"/>
      <c r="J69" s="75"/>
      <c r="K69" s="76"/>
      <c r="L69" s="418"/>
      <c r="M69" s="182" t="s">
        <v>876</v>
      </c>
      <c r="N69" s="491">
        <f ca="1">B30/1000000</f>
        <v>42.877793388198164</v>
      </c>
      <c r="O69" s="491"/>
    </row>
    <row r="70" spans="1:19" ht="15" thickBot="1" x14ac:dyDescent="0.35">
      <c r="A70" s="2624"/>
      <c r="B70" s="2625"/>
      <c r="C70" s="2625"/>
      <c r="D70" s="2625"/>
      <c r="E70" s="2625"/>
      <c r="F70" s="2625"/>
      <c r="G70" s="2625"/>
      <c r="H70" s="2625"/>
      <c r="I70" s="2625"/>
      <c r="J70" s="2625"/>
      <c r="K70" s="2626"/>
      <c r="L70" s="492"/>
      <c r="M70" s="493"/>
      <c r="N70" s="493"/>
      <c r="O70" s="493"/>
      <c r="P70" s="493"/>
      <c r="Q70" s="493"/>
      <c r="R70" s="493"/>
      <c r="S70" s="493"/>
    </row>
    <row r="71" spans="1:19" ht="15" thickTop="1" x14ac:dyDescent="0.3"/>
    <row r="72" spans="1:19" x14ac:dyDescent="0.3">
      <c r="I72" s="494"/>
      <c r="J72" s="494"/>
    </row>
    <row r="73" spans="1:19" x14ac:dyDescent="0.3">
      <c r="I73" s="494"/>
      <c r="J73" s="494"/>
    </row>
    <row r="74" spans="1:19" x14ac:dyDescent="0.3">
      <c r="I74" s="495"/>
      <c r="J74" s="495"/>
    </row>
    <row r="75" spans="1:19" x14ac:dyDescent="0.3">
      <c r="I75" s="496"/>
      <c r="J75" s="496"/>
    </row>
    <row r="76" spans="1:19" x14ac:dyDescent="0.3">
      <c r="A76" s="497"/>
      <c r="B76" s="498"/>
      <c r="C76" s="499"/>
      <c r="D76" s="499"/>
      <c r="E76" s="499"/>
      <c r="F76" s="499"/>
      <c r="I76" s="496"/>
      <c r="J76" s="496"/>
    </row>
    <row r="77" spans="1:19" x14ac:dyDescent="0.3">
      <c r="A77" s="500"/>
      <c r="B77" s="501"/>
      <c r="C77" s="502"/>
      <c r="D77" s="502"/>
      <c r="E77" s="502"/>
      <c r="F77" s="502"/>
      <c r="I77" s="496"/>
      <c r="J77" s="496"/>
    </row>
    <row r="78" spans="1:19" x14ac:dyDescent="0.3">
      <c r="A78" s="500"/>
      <c r="B78" s="501"/>
      <c r="C78" s="502"/>
      <c r="D78" s="502"/>
      <c r="E78" s="502"/>
      <c r="F78" s="502"/>
      <c r="I78" s="496"/>
      <c r="J78" s="496"/>
    </row>
    <row r="79" spans="1:19" x14ac:dyDescent="0.3">
      <c r="A79" s="500"/>
      <c r="B79" s="501"/>
      <c r="C79" s="502"/>
      <c r="D79" s="502"/>
      <c r="E79" s="502"/>
      <c r="F79" s="502"/>
    </row>
    <row r="95" spans="3:10" x14ac:dyDescent="0.3">
      <c r="C95" s="494"/>
      <c r="D95" s="494"/>
      <c r="E95" s="494"/>
      <c r="F95" s="494"/>
      <c r="G95" s="494"/>
      <c r="H95" s="494"/>
      <c r="I95" s="494"/>
      <c r="J95" s="494"/>
    </row>
  </sheetData>
  <sheetProtection algorithmName="SHA-512" hashValue="PE6brgcKbbbeopETNx1SF0EM7It0KaufQhq63QHsznJ1pB1B8ZxDSpOByiElVY1IcyaNSjUMYmTKOPXHX2qC1g==" saltValue="eDqaWm4lzudUI65wukLkyA==" spinCount="100000" sheet="1" objects="1" scenarios="1"/>
  <sortState xmlns:xlrd2="http://schemas.microsoft.com/office/spreadsheetml/2017/richdata2" ref="A9:H22">
    <sortCondition ref="A9"/>
  </sortState>
  <mergeCells count="23">
    <mergeCell ref="P41:Q41"/>
    <mergeCell ref="A1:S1"/>
    <mergeCell ref="A2:S2"/>
    <mergeCell ref="I4:S4"/>
    <mergeCell ref="U4:V4"/>
    <mergeCell ref="P40:Q40"/>
    <mergeCell ref="P15:Q15"/>
    <mergeCell ref="L29:M29"/>
    <mergeCell ref="L31:M31"/>
    <mergeCell ref="L32:M32"/>
    <mergeCell ref="L33:M33"/>
    <mergeCell ref="L34:M34"/>
    <mergeCell ref="L30:M30"/>
    <mergeCell ref="A70:K70"/>
    <mergeCell ref="P42:Q42"/>
    <mergeCell ref="P43:Q43"/>
    <mergeCell ref="P49:Q49"/>
    <mergeCell ref="P48:Q48"/>
    <mergeCell ref="P47:Q47"/>
    <mergeCell ref="P46:Q46"/>
    <mergeCell ref="P45:Q45"/>
    <mergeCell ref="P50:Q50"/>
    <mergeCell ref="P51:Q51"/>
  </mergeCells>
  <conditionalFormatting sqref="I75:I78">
    <cfRule type="cellIs" dxfId="277" priority="29" operator="lessThan">
      <formula>0</formula>
    </cfRule>
  </conditionalFormatting>
  <conditionalFormatting sqref="J75:J78">
    <cfRule type="cellIs" dxfId="276" priority="28" operator="greaterThan">
      <formula>1</formula>
    </cfRule>
  </conditionalFormatting>
  <conditionalFormatting sqref="L32:L33 N32:O33">
    <cfRule type="expression" dxfId="275" priority="2">
      <formula>$I32=""</formula>
    </cfRule>
  </conditionalFormatting>
  <conditionalFormatting sqref="J15:N15">
    <cfRule type="expression" dxfId="274" priority="258">
      <formula>J13&gt;YEAR($R$31)</formula>
    </cfRule>
  </conditionalFormatting>
  <printOptions horizontalCentered="1" verticalCentered="1"/>
  <pageMargins left="0" right="0" top="0" bottom="0" header="0" footer="0"/>
  <pageSetup scale="59"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38" id="{6760BCD1-CB1B-4322-88AB-FDD2FAF0B0A5}">
            <xm:f>'Operating Inputs'!$C$110=0</xm:f>
            <x14:dxf>
              <font>
                <color theme="0" tint="-0.34998626667073579"/>
              </font>
            </x14:dxf>
          </x14:cfRule>
          <xm:sqref>A24:B24 D24:G24 V9</xm:sqref>
        </x14:conditionalFormatting>
        <x14:conditionalFormatting xmlns:xm="http://schemas.microsoft.com/office/excel/2006/main">
          <x14:cfRule type="expression" priority="25" id="{25E1D212-4E9D-42B6-BDB9-3E47FC2F2A38}">
            <xm:f>'General Inputs'!$L$8=0</xm:f>
            <x14:dxf>
              <font>
                <color theme="0"/>
              </font>
            </x14:dxf>
          </x14:cfRule>
          <xm:sqref>R52 O29 O31:O35 F29:F31 F33</xm:sqref>
        </x14:conditionalFormatting>
        <x14:conditionalFormatting xmlns:xm="http://schemas.microsoft.com/office/excel/2006/main">
          <x14:cfRule type="expression" priority="24" id="{5436DB25-A016-40D8-B1CB-85344F4E75F3}">
            <xm:f>'Operating Inputs'!$C$110=0</xm:f>
            <x14:dxf>
              <font>
                <color theme="0" tint="-0.24994659260841701"/>
              </font>
            </x14:dxf>
          </x14:cfRule>
          <xm:sqref>A24:G24 R6:R14 O24:S24 A50 D50:G50 K24:L24</xm:sqref>
        </x14:conditionalFormatting>
        <x14:conditionalFormatting xmlns:xm="http://schemas.microsoft.com/office/excel/2006/main">
          <x14:cfRule type="expression" priority="10" id="{D3EE8844-262E-449B-BE1F-F0868D32ED55}">
            <xm:f>'Operating Inputs'!$C$110=0</xm:f>
            <x14:dxf>
              <font>
                <color theme="0" tint="-0.24994659260841701"/>
              </font>
            </x14:dxf>
          </x14:cfRule>
          <xm:sqref>M24</xm:sqref>
        </x14:conditionalFormatting>
        <x14:conditionalFormatting xmlns:xm="http://schemas.microsoft.com/office/excel/2006/main">
          <x14:cfRule type="expression" priority="4" id="{AB2C5B55-1265-43F1-B53C-DC1C706B3F4B}">
            <xm:f>'General Inputs'!$L$8=0</xm:f>
            <x14:dxf>
              <font>
                <color theme="0"/>
              </font>
            </x14:dxf>
          </x14:cfRule>
          <xm:sqref>O30</xm:sqref>
        </x14:conditionalFormatting>
        <x14:conditionalFormatting xmlns:xm="http://schemas.microsoft.com/office/excel/2006/main">
          <x14:cfRule type="expression" priority="3" id="{C8110AB0-1AB2-437F-BE96-B15C0E4EA596}">
            <xm:f>'General Inputs'!$L$8=0</xm:f>
            <x14:dxf>
              <font>
                <color theme="0"/>
              </font>
            </x14:dxf>
          </x14:cfRule>
          <xm:sqref>F32</xm:sqref>
        </x14:conditionalFormatting>
        <x14:conditionalFormatting xmlns:xm="http://schemas.microsoft.com/office/excel/2006/main">
          <x14:cfRule type="expression" priority="186" id="{27002EB8-7515-4008-B982-1A4E28C09955}">
            <xm:f>'General Inputs'!$H$54=0</xm:f>
            <x14:dxf>
              <font>
                <color theme="0" tint="-0.24994659260841701"/>
              </font>
            </x14:dxf>
          </x14:cfRule>
          <xm:sqref>I57:K57</xm:sqref>
        </x14:conditionalFormatting>
        <x14:conditionalFormatting xmlns:xm="http://schemas.microsoft.com/office/excel/2006/main">
          <x14:cfRule type="expression" priority="213" id="{C9B875A1-8D3E-435D-822B-0715F81FE6C1}">
            <xm:f>'Development Inputs'!$C$50=0</xm:f>
            <x14:dxf>
              <font>
                <color theme="0" tint="-0.24994659260841701"/>
              </font>
            </x14:dxf>
          </x14:cfRule>
          <xm:sqref>I55:K55</xm:sqref>
        </x14:conditionalFormatting>
        <x14:conditionalFormatting xmlns:xm="http://schemas.microsoft.com/office/excel/2006/main">
          <x14:cfRule type="expression" priority="215" id="{15C0AD47-FD10-4C6A-B3C8-FE1060EA5768}">
            <xm:f>'Development Inputs'!$K$99=0</xm:f>
            <x14:dxf>
              <font>
                <color theme="0" tint="-0.24994659260841701"/>
              </font>
            </x14:dxf>
          </x14:cfRule>
          <xm:sqref>I56:K56</xm:sqref>
        </x14:conditionalFormatting>
        <x14:conditionalFormatting xmlns:xm="http://schemas.microsoft.com/office/excel/2006/main">
          <x14:cfRule type="expression" priority="274" id="{1F078C6C-A764-4105-9A89-866FA4B14028}">
            <xm:f>'General Inputs'!$C$47=0</xm:f>
            <x14:dxf>
              <font>
                <color theme="0" tint="-0.24994659260841701"/>
              </font>
            </x14:dxf>
          </x14:cfRule>
          <xm:sqref>I54:K54</xm:sqref>
        </x14:conditionalFormatting>
        <x14:conditionalFormatting xmlns:xm="http://schemas.microsoft.com/office/excel/2006/main">
          <x14:cfRule type="expression" priority="317" id="{57F0E547-A2CC-4573-932D-E133862960A7}">
            <xm:f>'Development Inputs'!#REF!=0</xm:f>
            <x14:dxf>
              <font>
                <color theme="0" tint="-0.24994659260841701"/>
              </font>
            </x14:dxf>
          </x14:cfRule>
          <xm:sqref>I53:K53</xm:sqref>
        </x14:conditionalFormatting>
        <x14:conditionalFormatting xmlns:xm="http://schemas.microsoft.com/office/excel/2006/main">
          <x14:cfRule type="expression" priority="1" id="{23AB1F13-6EC8-4BAD-A9BF-EB066218E767}">
            <xm:f>'General Inputs'!$H$25=0</xm:f>
            <x14:dxf>
              <font>
                <color theme="0" tint="-0.34998626667073579"/>
              </font>
            </x14:dxf>
          </x14:cfRule>
          <xm:sqref>A53:G57 B29:B33 A12:G12</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8">
    <tabColor rgb="FF003300"/>
  </sheetPr>
  <dimension ref="A1:Z78"/>
  <sheetViews>
    <sheetView showGridLines="0" zoomScale="60" zoomScaleNormal="60" zoomScaleSheetLayoutView="80" workbookViewId="0">
      <pane ySplit="5" topLeftCell="A6" activePane="bottomLeft" state="frozen"/>
      <selection pane="bottomLeft" sqref="A1:O1"/>
    </sheetView>
  </sheetViews>
  <sheetFormatPr defaultColWidth="15.6640625" defaultRowHeight="14.4" outlineLevelCol="1" x14ac:dyDescent="0.3"/>
  <cols>
    <col min="1" max="1" width="15.6640625" customWidth="1"/>
    <col min="2" max="2" width="18.6640625" bestFit="1" customWidth="1"/>
    <col min="3" max="4" width="15.6640625" customWidth="1"/>
    <col min="5" max="5" width="1.44140625" customWidth="1"/>
    <col min="6" max="16" width="15.6640625" customWidth="1"/>
    <col min="17" max="17" width="15.6640625" hidden="1" customWidth="1" outlineLevel="1"/>
    <col min="18" max="18" width="15.6640625" style="111" hidden="1" customWidth="1" outlineLevel="1"/>
    <col min="19" max="22" width="15.6640625" hidden="1" customWidth="1" outlineLevel="1"/>
    <col min="23" max="23" width="15.6640625" collapsed="1"/>
  </cols>
  <sheetData>
    <row r="1" spans="1:22" ht="28.8" x14ac:dyDescent="0.55000000000000004">
      <c r="A1" s="2630" t="str">
        <f>Summary!A1</f>
        <v>Emblem Meridian - Meridian, Other</v>
      </c>
      <c r="B1" s="2631"/>
      <c r="C1" s="2631"/>
      <c r="D1" s="2631"/>
      <c r="E1" s="2631"/>
      <c r="F1" s="2631"/>
      <c r="G1" s="2631"/>
      <c r="H1" s="2631"/>
      <c r="I1" s="2631"/>
      <c r="J1" s="2631"/>
      <c r="K1" s="2631"/>
      <c r="L1" s="2631"/>
      <c r="M1" s="2631"/>
      <c r="N1" s="2631"/>
      <c r="O1" s="2662"/>
      <c r="P1" s="110"/>
    </row>
    <row r="2" spans="1:22" ht="21.6" thickBot="1" x14ac:dyDescent="0.45">
      <c r="A2" s="112"/>
      <c r="B2" s="113"/>
      <c r="C2" s="113"/>
      <c r="D2" s="2674" t="s">
        <v>525</v>
      </c>
      <c r="E2" s="2674"/>
      <c r="F2" s="2674"/>
      <c r="G2" s="2674"/>
      <c r="H2" s="2674"/>
      <c r="I2" s="2674"/>
      <c r="J2" s="2674"/>
      <c r="K2" s="2674"/>
      <c r="L2" s="2674"/>
      <c r="M2" s="113"/>
      <c r="N2" s="113"/>
      <c r="O2" s="114" t="str">
        <f ca="1">"In-Place ROC = "&amp;TEXT(Summary!$D$51,"0.00%")&amp;"; Project IRR = "&amp;TEXT(Summary!$S$51,"0.00%")</f>
        <v>In-Place ROC = 6.65%; Project IRR = 30.59%</v>
      </c>
      <c r="P2" s="110"/>
    </row>
    <row r="3" spans="1:22" ht="7.5" customHeight="1" thickTop="1" x14ac:dyDescent="0.3">
      <c r="P3" s="110"/>
    </row>
    <row r="4" spans="1:22" ht="15.6" x14ac:dyDescent="0.3">
      <c r="A4" s="115" t="s">
        <v>946</v>
      </c>
      <c r="B4" s="116"/>
      <c r="C4" s="116"/>
      <c r="D4" s="116"/>
      <c r="E4" s="116"/>
      <c r="F4" s="116"/>
      <c r="G4" s="116"/>
      <c r="H4" s="116"/>
      <c r="I4" s="116"/>
      <c r="J4" s="116"/>
      <c r="K4" s="116"/>
      <c r="L4" s="116"/>
      <c r="M4" s="116"/>
      <c r="N4" s="116"/>
      <c r="O4" s="117"/>
      <c r="P4" s="110"/>
      <c r="Q4" s="118" t="s">
        <v>947</v>
      </c>
    </row>
    <row r="5" spans="1:22" ht="3.75" customHeight="1" thickBot="1" x14ac:dyDescent="0.35">
      <c r="A5" s="119"/>
      <c r="B5" s="119"/>
      <c r="C5" s="119"/>
      <c r="D5" s="119"/>
      <c r="E5" s="119"/>
      <c r="F5" s="119"/>
      <c r="G5" s="119"/>
      <c r="H5" s="119"/>
      <c r="I5" s="119"/>
      <c r="J5" s="119"/>
      <c r="K5" s="119"/>
      <c r="L5" s="119"/>
      <c r="M5" s="119"/>
      <c r="N5" s="119"/>
      <c r="O5" s="119"/>
      <c r="P5" s="110"/>
      <c r="Q5" s="118"/>
    </row>
    <row r="6" spans="1:22" s="120" customFormat="1" ht="7.5" customHeight="1" thickTop="1" thickBot="1" x14ac:dyDescent="0.35">
      <c r="D6" s="121"/>
      <c r="E6" s="121"/>
      <c r="F6" s="121"/>
      <c r="G6" s="121"/>
      <c r="H6" s="121"/>
      <c r="I6" s="121"/>
      <c r="J6" s="122">
        <f ca="1">IF(SUM($J$9:$L$9)=0,0,J9/SUM($J$9:$L$9))</f>
        <v>0.9</v>
      </c>
      <c r="K6" s="122">
        <f ca="1">IF(SUM($K$9:$L$9)=0,0,K9/SUM($K$9:$L$9))</f>
        <v>1</v>
      </c>
      <c r="L6" s="122">
        <f ca="1">IF(SUM($L$9)=0,0,L9/SUM($L$9))</f>
        <v>0</v>
      </c>
      <c r="M6" s="121"/>
      <c r="N6" s="123"/>
      <c r="O6" s="123"/>
      <c r="P6" s="110"/>
      <c r="R6" s="124"/>
    </row>
    <row r="7" spans="1:22" s="110" customFormat="1" ht="15" thickTop="1" x14ac:dyDescent="0.3">
      <c r="A7" s="110" t="s">
        <v>948</v>
      </c>
      <c r="B7" s="2649" t="s">
        <v>949</v>
      </c>
      <c r="C7" s="2650"/>
      <c r="D7" s="2651"/>
      <c r="F7" s="125" t="s">
        <v>950</v>
      </c>
      <c r="G7" s="126"/>
      <c r="H7" s="127" t="s">
        <v>824</v>
      </c>
      <c r="I7" s="128" t="s">
        <v>951</v>
      </c>
      <c r="J7" s="129" t="str">
        <f>J29</f>
        <v>LP</v>
      </c>
      <c r="K7" s="128" t="str">
        <f>K29</f>
        <v>Quarterra</v>
      </c>
      <c r="L7" s="129" t="str">
        <f>L29</f>
        <v>LAND</v>
      </c>
      <c r="M7" s="128" t="s">
        <v>173</v>
      </c>
      <c r="N7" s="128" t="s">
        <v>952</v>
      </c>
      <c r="O7" s="128" t="s">
        <v>953</v>
      </c>
      <c r="Q7" s="130" t="s">
        <v>883</v>
      </c>
      <c r="R7" s="131"/>
      <c r="S7" s="1491" t="s">
        <v>880</v>
      </c>
      <c r="T7" s="1491" t="str">
        <f>TEXT('General Inputs'!J$29,(""))&amp;" IRR"</f>
        <v>LP IRR</v>
      </c>
      <c r="U7" s="1491" t="s">
        <v>882</v>
      </c>
      <c r="V7" s="1492"/>
    </row>
    <row r="8" spans="1:22" s="110" customFormat="1" x14ac:dyDescent="0.3">
      <c r="A8" s="110" t="s">
        <v>954</v>
      </c>
      <c r="B8" s="2649" t="s">
        <v>955</v>
      </c>
      <c r="C8" s="2651"/>
      <c r="D8" s="515" t="s">
        <v>956</v>
      </c>
      <c r="F8" s="2666" t="s">
        <v>957</v>
      </c>
      <c r="G8" s="2667"/>
      <c r="H8" s="133">
        <f ca="1">IF(N24="No",TotalProjectCost*H25,MIN(I25:I27))</f>
        <v>42877793.388198167</v>
      </c>
      <c r="I8" s="133">
        <f ca="1">TotalProjectCost*I9</f>
        <v>0</v>
      </c>
      <c r="J8" s="133">
        <f ca="1">(TotalProjectCost-SUM($H$8:$I$8))*J10</f>
        <v>31573647.858582281</v>
      </c>
      <c r="K8" s="133">
        <f ca="1">(TotalProjectCost-SUM($H$8:$I$8))*K10</f>
        <v>3508183.0953980302</v>
      </c>
      <c r="L8" s="133">
        <f ca="1">(TotalProjectCost-SUM($H$8:$I$8))*L10</f>
        <v>0</v>
      </c>
      <c r="M8" s="133">
        <f ca="1">SUM(H8:L8)</f>
        <v>77959624.342178479</v>
      </c>
      <c r="N8" s="133">
        <f ca="1">IF($N$17="LTV",(LOOKUP(MonthRefi,OperBgt!$5:$5,OperBgt!$81:$81)*12/ExitCap*$N$9)+(LOOKUP(MonthRefi,OperBgt!$5:$5,OperBgt!$81:$81)*12/ExitCap*$N$9*SUM($N$18:$N$19)),($M$8*$N$9*SUM($N$18:$N$19))+($M$8*$N$9))</f>
        <v>43199376.838609651</v>
      </c>
      <c r="O8" s="133">
        <f ca="1">IF($O$17="LTV",(LOOKUP(O12,OperBgt!$5:$5,OperBgt!$81:$81)*12/ExitCap*$O$9)+(LOOKUP(O12,OperBgt!$5:$5,OperBgt!$81:$81)*12/ExitCap*$O$9*SUM($O$18:$O$19)),($M$8*$O$9*SUM($O$18:$O$19))+($M$8*$O$9))</f>
        <v>0</v>
      </c>
      <c r="Q8" s="134"/>
      <c r="R8" s="135"/>
      <c r="S8" s="136">
        <f ca="1">S32</f>
        <v>6.6452831626234915E-2</v>
      </c>
      <c r="T8" s="136">
        <f ca="1">T32</f>
        <v>0.30587547483465172</v>
      </c>
      <c r="U8" s="137">
        <f ca="1">U32</f>
        <v>24801112.482449707</v>
      </c>
      <c r="V8" s="137"/>
    </row>
    <row r="9" spans="1:22" s="110" customFormat="1" x14ac:dyDescent="0.3">
      <c r="A9" s="110" t="s">
        <v>958</v>
      </c>
      <c r="B9" s="2663" t="s">
        <v>959</v>
      </c>
      <c r="C9" s="2664"/>
      <c r="D9" s="2665"/>
      <c r="F9" s="2655" t="s">
        <v>960</v>
      </c>
      <c r="G9" s="2653"/>
      <c r="H9" s="138">
        <f ca="1">H8/TotalProjectCost</f>
        <v>0.55000000000000004</v>
      </c>
      <c r="I9" s="28">
        <v>0</v>
      </c>
      <c r="J9" s="138">
        <f ca="1">J8/TotalProjectCost</f>
        <v>0.40499999999999997</v>
      </c>
      <c r="K9" s="138">
        <f ca="1">K8/TotalProjectCost</f>
        <v>4.4999999999999984E-2</v>
      </c>
      <c r="L9" s="138">
        <f ca="1">L8/TotalProjectCost</f>
        <v>0</v>
      </c>
      <c r="M9" s="138">
        <f ca="1">SUM(H9:L9)</f>
        <v>1</v>
      </c>
      <c r="N9" s="766">
        <f>H25</f>
        <v>0.55000000000000004</v>
      </c>
      <c r="O9" s="766">
        <f>ContrMezz</f>
        <v>0</v>
      </c>
      <c r="Q9" s="134"/>
      <c r="R9" s="139">
        <f>Sensitivity!B15</f>
        <v>4.5000000000000005E-2</v>
      </c>
      <c r="S9" s="136"/>
      <c r="T9" s="136"/>
      <c r="U9" s="137"/>
      <c r="V9" s="137"/>
    </row>
    <row r="10" spans="1:22" s="110" customFormat="1" x14ac:dyDescent="0.3">
      <c r="A10" s="110" t="s">
        <v>961</v>
      </c>
      <c r="B10" s="56">
        <v>46248</v>
      </c>
      <c r="C10" s="1">
        <v>0.67652777777777773</v>
      </c>
      <c r="D10" s="140"/>
      <c r="F10" s="2655" t="s">
        <v>962</v>
      </c>
      <c r="G10" s="2653"/>
      <c r="H10" s="2653"/>
      <c r="I10" s="2654"/>
      <c r="J10" s="950">
        <f>IF('Development Inputs'!$N$97="PropCo",'SBS Summary'!$E$5,'SBS Summary'!$D$5)</f>
        <v>0.9</v>
      </c>
      <c r="K10" s="951">
        <f>1-ContrEquity</f>
        <v>9.9999999999999978E-2</v>
      </c>
      <c r="L10" s="951">
        <v>0</v>
      </c>
      <c r="M10" s="138">
        <f>SUM(J10:L10)</f>
        <v>1</v>
      </c>
      <c r="N10" s="138"/>
      <c r="O10" s="138"/>
      <c r="Q10" s="134"/>
      <c r="R10" s="139">
        <f>Sensitivity!B16</f>
        <v>0.05</v>
      </c>
      <c r="S10" s="136"/>
      <c r="T10" s="136"/>
      <c r="U10" s="137"/>
      <c r="V10" s="137"/>
    </row>
    <row r="11" spans="1:22" s="110" customFormat="1" ht="15" thickBot="1" x14ac:dyDescent="0.35">
      <c r="B11" s="141"/>
      <c r="C11" s="140"/>
      <c r="D11" s="140"/>
      <c r="F11" s="2655" t="s">
        <v>155</v>
      </c>
      <c r="G11" s="2653"/>
      <c r="H11" s="2653"/>
      <c r="I11" s="2654"/>
      <c r="J11" s="950">
        <f>IF('Development Inputs'!$N$97="PropCo",'SBS Summary'!$E$14,'SBS Summary'!$D$14)</f>
        <v>0.1</v>
      </c>
      <c r="K11" s="950">
        <f>J11</f>
        <v>0.1</v>
      </c>
      <c r="L11" s="950">
        <f>J11</f>
        <v>0.1</v>
      </c>
      <c r="M11" s="1108" t="s">
        <v>963</v>
      </c>
      <c r="Q11" s="134"/>
      <c r="R11" s="139">
        <f>Sensitivity!B17</f>
        <v>5.5E-2</v>
      </c>
      <c r="S11" s="136"/>
      <c r="T11" s="136"/>
      <c r="U11" s="137"/>
      <c r="V11" s="137"/>
    </row>
    <row r="12" spans="1:22" s="110" customFormat="1" ht="15" thickTop="1" x14ac:dyDescent="0.3">
      <c r="A12" s="125" t="s">
        <v>964</v>
      </c>
      <c r="B12" s="142"/>
      <c r="C12" s="143"/>
      <c r="D12" s="144"/>
      <c r="F12" s="2655" t="s">
        <v>965</v>
      </c>
      <c r="G12" s="2653"/>
      <c r="H12" s="1202" cm="1">
        <f t="array" aca="1" ref="H12" ca="1">IF(H25=0,"n/a",MATCH(1,INDEX((Waterfalls!E10:EG10&lt;&gt;0)+0,1,0),0)-1)</f>
        <v>10</v>
      </c>
      <c r="I12" s="145">
        <v>0</v>
      </c>
      <c r="J12" s="145">
        <v>0</v>
      </c>
      <c r="K12" s="145">
        <v>0</v>
      </c>
      <c r="L12" s="145">
        <v>0</v>
      </c>
      <c r="M12" s="146" t="s">
        <v>966</v>
      </c>
      <c r="N12" s="764">
        <f>DispositionMonth+1</f>
        <v>29</v>
      </c>
      <c r="O12" s="145">
        <f>MonthRefi</f>
        <v>29</v>
      </c>
      <c r="Q12" s="134"/>
      <c r="R12" s="139">
        <f>Sensitivity!B18</f>
        <v>0.06</v>
      </c>
      <c r="S12" s="136"/>
      <c r="T12" s="136"/>
      <c r="U12" s="137"/>
      <c r="V12" s="137"/>
    </row>
    <row r="13" spans="1:22" s="110" customFormat="1" x14ac:dyDescent="0.3">
      <c r="A13" s="110" t="s">
        <v>967</v>
      </c>
      <c r="B13" s="147">
        <f>Units</f>
        <v>256</v>
      </c>
      <c r="F13" s="2655" t="s">
        <v>107</v>
      </c>
      <c r="G13" s="2653"/>
      <c r="H13" s="2654"/>
      <c r="I13" s="29">
        <v>30</v>
      </c>
      <c r="J13" s="2652" t="s">
        <v>966</v>
      </c>
      <c r="K13" s="2653"/>
      <c r="L13" s="2653"/>
      <c r="M13" s="2654"/>
      <c r="N13" s="29">
        <v>30</v>
      </c>
      <c r="O13" s="765">
        <f>I13</f>
        <v>30</v>
      </c>
      <c r="Q13" s="134"/>
      <c r="R13" s="139">
        <f>Sensitivity!B19</f>
        <v>6.5000000000000002E-2</v>
      </c>
      <c r="S13" s="136"/>
      <c r="T13" s="136"/>
      <c r="U13" s="137"/>
      <c r="V13" s="137"/>
    </row>
    <row r="14" spans="1:22" s="110" customFormat="1" ht="15" thickBot="1" x14ac:dyDescent="0.35">
      <c r="A14" s="110" t="s">
        <v>968</v>
      </c>
      <c r="B14" s="147">
        <f>TotalNRSF</f>
        <v>240380</v>
      </c>
      <c r="F14" s="2655" t="s">
        <v>969</v>
      </c>
      <c r="G14" s="2653"/>
      <c r="H14" s="148">
        <f ca="1">IF(H25=0,0,AVERAGE('Forward Curves'!$V$18:$V$459)/AVERAGE('Forward Curves'!$U$18:$U$459)*12)</f>
        <v>6.4999999999999988E-2</v>
      </c>
      <c r="I14" s="30">
        <v>0.08</v>
      </c>
      <c r="J14" s="2652" t="s">
        <v>966</v>
      </c>
      <c r="K14" s="2653"/>
      <c r="L14" s="2653"/>
      <c r="M14" s="2653"/>
      <c r="N14" s="149">
        <f>IF(N22="Floating",AVERAGE('Forward Curves'!$Z$18:$Z$459)/AVERAGE('Forward Curves'!$Y$18:$Y$459)*12,IF(N15&gt;0,N15,'Forward Curves'!$O$7))</f>
        <v>6.2685699999999997E-2</v>
      </c>
      <c r="O14" s="766">
        <f>I14</f>
        <v>0.08</v>
      </c>
      <c r="Q14" s="134"/>
      <c r="R14" s="135"/>
      <c r="S14" s="134"/>
      <c r="T14" s="134"/>
      <c r="U14" s="134"/>
      <c r="V14" s="134"/>
    </row>
    <row r="15" spans="1:22" s="110" customFormat="1" ht="15" thickTop="1" x14ac:dyDescent="0.3">
      <c r="A15" s="110" t="s">
        <v>970</v>
      </c>
      <c r="B15" s="147">
        <f>RNRSF</f>
        <v>0</v>
      </c>
      <c r="C15" s="150" t="s">
        <v>971</v>
      </c>
      <c r="D15" s="150" t="s">
        <v>972</v>
      </c>
      <c r="F15" s="2655" t="s">
        <v>973</v>
      </c>
      <c r="G15" s="2654"/>
      <c r="H15" s="30">
        <v>6.5000000000000002E-2</v>
      </c>
      <c r="I15" s="2652" t="s">
        <v>966</v>
      </c>
      <c r="J15" s="2653"/>
      <c r="K15" s="2653"/>
      <c r="L15" s="2653"/>
      <c r="M15" s="2654"/>
      <c r="N15" s="30">
        <v>0</v>
      </c>
      <c r="Q15" s="130" t="s">
        <v>885</v>
      </c>
      <c r="R15" s="131"/>
      <c r="S15" s="132" t="s">
        <v>880</v>
      </c>
      <c r="T15" s="132" t="str">
        <f>TEXT('General Inputs'!J$29,(""))&amp;" IRR"</f>
        <v>LP IRR</v>
      </c>
      <c r="U15" s="132" t="s">
        <v>882</v>
      </c>
      <c r="V15" s="1492"/>
    </row>
    <row r="16" spans="1:22" s="110" customFormat="1" x14ac:dyDescent="0.3">
      <c r="A16" s="110" t="s">
        <v>974</v>
      </c>
      <c r="C16" s="40">
        <v>13.63</v>
      </c>
      <c r="D16" s="40">
        <v>13.63</v>
      </c>
      <c r="F16" s="2655" t="s">
        <v>975</v>
      </c>
      <c r="G16" s="2653"/>
      <c r="H16" s="2654"/>
      <c r="I16" s="64">
        <v>0</v>
      </c>
      <c r="J16" s="2652" t="s">
        <v>966</v>
      </c>
      <c r="K16" s="2653"/>
      <c r="L16" s="2653"/>
      <c r="M16" s="2653"/>
      <c r="N16" s="2654"/>
      <c r="O16" s="64">
        <v>0</v>
      </c>
      <c r="Q16" s="134"/>
      <c r="R16" s="135"/>
      <c r="S16" s="136">
        <f ca="1">S32</f>
        <v>6.6452831626234915E-2</v>
      </c>
      <c r="T16" s="136">
        <f ca="1">T32</f>
        <v>0.30587547483465172</v>
      </c>
      <c r="U16" s="137">
        <f ca="1">U32</f>
        <v>24801112.482449707</v>
      </c>
      <c r="V16" s="137"/>
    </row>
    <row r="17" spans="1:26" s="110" customFormat="1" x14ac:dyDescent="0.3">
      <c r="A17" s="110" t="s">
        <v>976</v>
      </c>
      <c r="C17" s="151">
        <f>43560*C16</f>
        <v>593722.80000000005</v>
      </c>
      <c r="D17" s="151">
        <f>43560*D16</f>
        <v>593722.80000000005</v>
      </c>
      <c r="F17" s="2655" t="s">
        <v>977</v>
      </c>
      <c r="G17" s="2653"/>
      <c r="H17" s="2653"/>
      <c r="I17" s="2653"/>
      <c r="J17" s="2653"/>
      <c r="K17" s="2653"/>
      <c r="L17" s="2653"/>
      <c r="M17" s="2654"/>
      <c r="N17" s="25" t="s">
        <v>274</v>
      </c>
      <c r="O17" s="25" t="s">
        <v>274</v>
      </c>
      <c r="Q17" s="134"/>
      <c r="R17" s="152">
        <f>Sensitivity!B29</f>
        <v>12</v>
      </c>
      <c r="S17" s="136"/>
      <c r="T17" s="136"/>
      <c r="U17" s="137"/>
      <c r="V17" s="137"/>
    </row>
    <row r="18" spans="1:26" s="110" customFormat="1" x14ac:dyDescent="0.3">
      <c r="A18" s="110" t="s">
        <v>790</v>
      </c>
      <c r="C18" s="153">
        <f>IF(C16=0,0,Units/C16)</f>
        <v>18.782098312545855</v>
      </c>
      <c r="D18" s="153">
        <f>IF(D16=0,0,Units/D16)</f>
        <v>18.782098312545855</v>
      </c>
      <c r="F18" s="2656" t="s">
        <v>978</v>
      </c>
      <c r="G18" s="2658"/>
      <c r="H18" s="30">
        <f ca="1">IF(H8&gt;100000000,1%,0.75%)</f>
        <v>7.4999999999999997E-3</v>
      </c>
      <c r="I18" s="30">
        <v>0</v>
      </c>
      <c r="J18" s="30">
        <v>0</v>
      </c>
      <c r="K18" s="30">
        <v>0</v>
      </c>
      <c r="L18" s="30">
        <v>0</v>
      </c>
      <c r="M18" s="146" t="s">
        <v>966</v>
      </c>
      <c r="N18" s="30">
        <v>7.4999999999999997E-3</v>
      </c>
      <c r="O18" s="30">
        <v>7.4999999999999997E-3</v>
      </c>
      <c r="Q18" s="134"/>
      <c r="R18" s="152">
        <f>Sensitivity!B30</f>
        <v>13</v>
      </c>
      <c r="S18" s="136"/>
      <c r="T18" s="136"/>
      <c r="U18" s="137"/>
      <c r="V18" s="137"/>
    </row>
    <row r="19" spans="1:26" s="110" customFormat="1" x14ac:dyDescent="0.3">
      <c r="A19" s="110" t="s">
        <v>979</v>
      </c>
      <c r="C19" s="154">
        <f>IF(C17=0,0,LandPrice/C17)</f>
        <v>14.905946007126557</v>
      </c>
      <c r="D19" s="154">
        <f>IF(D17=0,0,LandPrice/D17)</f>
        <v>14.905946007126557</v>
      </c>
      <c r="F19" s="2656" t="s">
        <v>980</v>
      </c>
      <c r="G19" s="2658"/>
      <c r="H19" s="30">
        <v>0</v>
      </c>
      <c r="I19" s="30">
        <v>0</v>
      </c>
      <c r="J19" s="30">
        <v>0</v>
      </c>
      <c r="K19" s="2652" t="s">
        <v>966</v>
      </c>
      <c r="L19" s="2653"/>
      <c r="M19" s="2654"/>
      <c r="N19" s="30">
        <v>0</v>
      </c>
      <c r="O19" s="30">
        <v>0</v>
      </c>
      <c r="Q19" s="134"/>
      <c r="R19" s="152">
        <f>Sensitivity!B31</f>
        <v>14</v>
      </c>
      <c r="S19" s="136"/>
      <c r="T19" s="136"/>
      <c r="U19" s="137"/>
      <c r="V19" s="137"/>
    </row>
    <row r="20" spans="1:26" s="110" customFormat="1" x14ac:dyDescent="0.3">
      <c r="F20" s="155" t="s">
        <v>981</v>
      </c>
      <c r="G20" s="31">
        <v>37</v>
      </c>
      <c r="H20" s="1118">
        <v>0</v>
      </c>
      <c r="I20" s="156" t="str">
        <f>IF(AND(H20&gt;0,G20&gt;=$N$12),"Remove extension fee or change permanent loan funding!","")</f>
        <v/>
      </c>
      <c r="O20" s="157"/>
      <c r="Q20" s="134"/>
      <c r="R20" s="152">
        <f>Sensitivity!B32</f>
        <v>15</v>
      </c>
      <c r="S20" s="136"/>
      <c r="T20" s="136"/>
      <c r="U20" s="137"/>
      <c r="V20" s="137"/>
    </row>
    <row r="21" spans="1:26" s="110" customFormat="1" x14ac:dyDescent="0.3">
      <c r="A21" s="110" t="s">
        <v>982</v>
      </c>
      <c r="B21" s="39" t="s">
        <v>983</v>
      </c>
      <c r="C21" s="158" t="s">
        <v>984</v>
      </c>
      <c r="D21" s="159" t="s">
        <v>985</v>
      </c>
      <c r="F21" s="155" t="s">
        <v>986</v>
      </c>
      <c r="G21" s="31">
        <v>49</v>
      </c>
      <c r="H21" s="1118">
        <v>0</v>
      </c>
      <c r="I21" s="156" t="str">
        <f>IF(AND(H21&gt;0,G21&gt;=$N$12),"Remove extension fee or change permanent loan funding!","")</f>
        <v/>
      </c>
      <c r="Q21" s="134"/>
      <c r="R21" s="152">
        <f>Sensitivity!B33</f>
        <v>16</v>
      </c>
      <c r="S21" s="136"/>
      <c r="T21" s="136"/>
      <c r="U21" s="137"/>
      <c r="V21" s="137"/>
      <c r="Y21" s="160"/>
    </row>
    <row r="22" spans="1:26" s="110" customFormat="1" ht="15" thickBot="1" x14ac:dyDescent="0.35">
      <c r="A22" s="110" t="s">
        <v>803</v>
      </c>
      <c r="B22" s="39">
        <f>'Module Builder'!H24</f>
        <v>6</v>
      </c>
      <c r="C22" s="2307" t="s">
        <v>987</v>
      </c>
      <c r="D22" s="39">
        <f>'General Input Details'!C12</f>
        <v>135</v>
      </c>
      <c r="F22" s="2656" t="s">
        <v>988</v>
      </c>
      <c r="G22" s="2657"/>
      <c r="H22" s="2658"/>
      <c r="I22" s="30">
        <v>0</v>
      </c>
      <c r="J22" s="162"/>
      <c r="K22" s="146"/>
      <c r="L22" s="2653" t="s">
        <v>989</v>
      </c>
      <c r="M22" s="2654"/>
      <c r="N22" s="25" t="s">
        <v>990</v>
      </c>
      <c r="O22" s="146"/>
      <c r="Q22" s="134"/>
      <c r="R22" s="135"/>
      <c r="S22" s="134"/>
      <c r="T22" s="134"/>
      <c r="U22" s="134"/>
      <c r="V22" s="134"/>
    </row>
    <row r="23" spans="1:26" s="110" customFormat="1" ht="15.6" thickTop="1" thickBot="1" x14ac:dyDescent="0.35">
      <c r="A23" s="1593" t="s">
        <v>804</v>
      </c>
      <c r="B23" s="1563">
        <v>3</v>
      </c>
      <c r="C23" s="2307" t="s">
        <v>991</v>
      </c>
      <c r="D23" s="39">
        <f>'General Input Details'!C13</f>
        <v>54</v>
      </c>
      <c r="F23" s="163"/>
      <c r="Q23" s="130" t="s">
        <v>886</v>
      </c>
      <c r="R23" s="131"/>
      <c r="S23" s="132" t="s">
        <v>880</v>
      </c>
      <c r="T23" s="132" t="str">
        <f>TEXT('General Inputs'!J$29,(""))&amp;" IRR"</f>
        <v>LP IRR</v>
      </c>
      <c r="U23" s="132" t="s">
        <v>882</v>
      </c>
      <c r="V23" s="1492"/>
    </row>
    <row r="24" spans="1:26" s="110" customFormat="1" ht="15" thickTop="1" x14ac:dyDescent="0.3">
      <c r="A24" s="110" t="s">
        <v>806</v>
      </c>
      <c r="B24" s="1564" t="s">
        <v>992</v>
      </c>
      <c r="C24" s="2307" t="s">
        <v>993</v>
      </c>
      <c r="D24" s="39">
        <f>'General Input Details'!C14</f>
        <v>137</v>
      </c>
      <c r="F24" s="125" t="s">
        <v>994</v>
      </c>
      <c r="G24" s="126"/>
      <c r="H24" s="143" t="s">
        <v>995</v>
      </c>
      <c r="I24" s="164" t="s">
        <v>996</v>
      </c>
      <c r="J24" s="165"/>
      <c r="K24" s="165"/>
      <c r="L24" s="165"/>
      <c r="M24" s="166" t="s">
        <v>997</v>
      </c>
      <c r="N24" s="63" t="s">
        <v>998</v>
      </c>
      <c r="O24" s="165"/>
      <c r="Q24" s="134"/>
      <c r="R24" s="135"/>
      <c r="S24" s="136">
        <f ca="1">S32</f>
        <v>6.6452831626234915E-2</v>
      </c>
      <c r="T24" s="136">
        <f ca="1">T32</f>
        <v>0.30587547483465172</v>
      </c>
      <c r="U24" s="137">
        <f ca="1">U32</f>
        <v>24801112.482449707</v>
      </c>
      <c r="V24" s="137"/>
    </row>
    <row r="25" spans="1:26" s="110" customFormat="1" ht="15" thickBot="1" x14ac:dyDescent="0.35">
      <c r="C25" s="2307" t="s">
        <v>999</v>
      </c>
      <c r="D25" s="39">
        <f>'General Input Details'!C15</f>
        <v>210</v>
      </c>
      <c r="F25" s="163" t="s">
        <v>1000</v>
      </c>
      <c r="H25" s="33">
        <f>IF('Development Inputs'!$N$97="PropCo",'SBS Summary'!$E$4,'SBS Summary'!$D$4)</f>
        <v>0.55000000000000004</v>
      </c>
      <c r="I25" s="133">
        <f ca="1">H25*TotalProjectCost</f>
        <v>42877793.388198167</v>
      </c>
      <c r="K25" s="167"/>
      <c r="Q25" s="134"/>
      <c r="R25" s="168">
        <f>Sensitivity!B36</f>
        <v>8</v>
      </c>
      <c r="S25" s="136"/>
      <c r="T25" s="136"/>
      <c r="U25" s="137"/>
      <c r="V25" s="137"/>
    </row>
    <row r="26" spans="1:26" s="110" customFormat="1" ht="15" thickTop="1" x14ac:dyDescent="0.3">
      <c r="A26" s="125" t="s">
        <v>823</v>
      </c>
      <c r="B26" s="142"/>
      <c r="C26" s="143"/>
      <c r="D26" s="144"/>
      <c r="F26" s="163" t="s">
        <v>865</v>
      </c>
      <c r="H26" s="32">
        <v>9.0999999999999998E-2</v>
      </c>
      <c r="I26" s="169">
        <f ca="1">Summary!$D$49/'General Inputs'!$H$26</f>
        <v>55346044.207044579</v>
      </c>
      <c r="Q26" s="134"/>
      <c r="R26" s="168">
        <f>Sensitivity!B37</f>
        <v>13</v>
      </c>
      <c r="S26" s="136"/>
      <c r="T26" s="136"/>
      <c r="U26" s="137"/>
      <c r="V26" s="137"/>
    </row>
    <row r="27" spans="1:26" s="110" customFormat="1" ht="15.6" x14ac:dyDescent="0.3">
      <c r="A27" s="110" t="s">
        <v>1001</v>
      </c>
      <c r="C27" s="1206">
        <v>46174</v>
      </c>
      <c r="F27" s="163" t="s">
        <v>1002</v>
      </c>
      <c r="H27" s="66">
        <v>1.2</v>
      </c>
      <c r="I27" s="169">
        <f ca="1">OperBgt!E81/'General Inputs'!H27/(-PMT(L27/12,M27*12,1)*12)</f>
        <v>56693436.968026727</v>
      </c>
      <c r="J27" s="110" t="s">
        <v>1003</v>
      </c>
      <c r="K27" s="169"/>
      <c r="L27" s="33">
        <f>'Forward Curves'!O7</f>
        <v>6.2685699999999997E-2</v>
      </c>
      <c r="M27" s="67">
        <v>30</v>
      </c>
      <c r="N27" s="110" t="s">
        <v>1004</v>
      </c>
      <c r="Q27" s="134"/>
      <c r="R27" s="168">
        <f>Sensitivity!B38</f>
        <v>18</v>
      </c>
      <c r="S27" s="136"/>
      <c r="T27" s="136"/>
      <c r="U27" s="137"/>
      <c r="V27" s="137"/>
      <c r="W27" s="2659" t="s">
        <v>548</v>
      </c>
      <c r="X27" s="2659"/>
      <c r="Y27" s="2659"/>
      <c r="Z27" s="2660"/>
    </row>
    <row r="28" spans="1:26" s="110" customFormat="1" ht="15" thickBot="1" x14ac:dyDescent="0.35">
      <c r="A28" s="110" t="s">
        <v>1005</v>
      </c>
      <c r="B28" s="140"/>
      <c r="C28" s="1206">
        <f>EDATE(AnalysisStartDate,15)</f>
        <v>46631</v>
      </c>
      <c r="D28" s="170">
        <v>0</v>
      </c>
      <c r="F28" s="163"/>
      <c r="K28" s="171"/>
      <c r="Q28" s="134"/>
      <c r="R28" s="168">
        <f>Sensitivity!B39</f>
        <v>23</v>
      </c>
      <c r="S28" s="136"/>
      <c r="T28" s="136"/>
      <c r="U28" s="137"/>
      <c r="V28" s="137"/>
      <c r="W28" s="288" t="s">
        <v>1006</v>
      </c>
      <c r="X28" s="288" t="s">
        <v>839</v>
      </c>
      <c r="Y28" s="288" t="s">
        <v>1007</v>
      </c>
      <c r="Z28" s="288" t="s">
        <v>548</v>
      </c>
    </row>
    <row r="29" spans="1:26" s="110" customFormat="1" ht="15" thickTop="1" x14ac:dyDescent="0.3">
      <c r="A29" s="110" t="s">
        <v>1008</v>
      </c>
      <c r="C29" s="1206">
        <f>EDATE(JVClosingDate,1)</f>
        <v>46661</v>
      </c>
      <c r="D29" s="1141">
        <f>LOOKUP(LandAcqDate,'Development Inputs'!$B$134:$B$230,'Development Inputs'!$A$134:$A$230)</f>
        <v>1</v>
      </c>
      <c r="F29" s="125" t="s">
        <v>1009</v>
      </c>
      <c r="G29" s="143"/>
      <c r="H29" s="172" t="s">
        <v>1010</v>
      </c>
      <c r="I29" s="173" t="s">
        <v>910</v>
      </c>
      <c r="J29" s="63" t="s">
        <v>874</v>
      </c>
      <c r="K29" s="63" t="s">
        <v>911</v>
      </c>
      <c r="L29" s="63" t="s">
        <v>783</v>
      </c>
      <c r="M29" s="174" t="s">
        <v>173</v>
      </c>
      <c r="N29" s="164" t="s">
        <v>1011</v>
      </c>
      <c r="O29" s="175"/>
      <c r="P29" s="176"/>
      <c r="Q29" s="134"/>
      <c r="R29" s="168">
        <f>Sensitivity!B40</f>
        <v>28</v>
      </c>
      <c r="S29" s="136"/>
      <c r="T29" s="136"/>
      <c r="U29" s="137"/>
      <c r="V29" s="137"/>
      <c r="W29" s="210">
        <v>1</v>
      </c>
      <c r="X29" s="210" t="s">
        <v>1012</v>
      </c>
      <c r="Y29" s="1109">
        <f>N50/3</f>
        <v>6.6666666666666666E-2</v>
      </c>
      <c r="Z29" s="1486">
        <f>$H$36*Y29</f>
        <v>6.9000000000000008E-4</v>
      </c>
    </row>
    <row r="30" spans="1:26" s="110" customFormat="1" ht="15" thickBot="1" x14ac:dyDescent="0.35">
      <c r="A30" s="110" t="s">
        <v>1013</v>
      </c>
      <c r="C30" s="1206">
        <f>LandAcqDate</f>
        <v>46661</v>
      </c>
      <c r="D30" s="170">
        <f>MAX(1,LOOKUP(ConstrStartDate,DevBdgt!$E$7:$EG$7,DevBdgt!$E$6:$EG$6))</f>
        <v>1</v>
      </c>
      <c r="F30" s="2656" t="s">
        <v>165</v>
      </c>
      <c r="G30" s="2658"/>
      <c r="H30" s="65">
        <v>0</v>
      </c>
      <c r="I30" s="33">
        <f>IF('Development Inputs'!$N$97="PropCo",'SBS Summary'!$E$21,'SBS Summary'!$B$21)</f>
        <v>0.12</v>
      </c>
      <c r="J30" s="33">
        <f>IF('Development Inputs'!$N$97="PropCo",'SBS Summary'!$F$21,'SBS Summary'!$C$21)</f>
        <v>0.65</v>
      </c>
      <c r="K30" s="33">
        <f>IF('Development Inputs'!$N$97="PropCo",'SBS Summary'!$G$21,'SBS Summary'!$D$21)</f>
        <v>0.35</v>
      </c>
      <c r="L30" s="177">
        <f>1-J30-K30</f>
        <v>0</v>
      </c>
      <c r="M30" s="178">
        <f>SUM(J30:L30)</f>
        <v>1</v>
      </c>
      <c r="N30" s="179" t="str">
        <f ca="1">IF(O30=H30,"Multiple","IRR")</f>
        <v>IRR</v>
      </c>
      <c r="O30" s="180">
        <f ca="1">SUM(Waterfalls!E241:DU241)/'General Inputs'!$J$8+1</f>
        <v>1.2539568873229627</v>
      </c>
      <c r="Q30" s="134"/>
      <c r="R30" s="135"/>
      <c r="S30" s="134"/>
      <c r="T30" s="134"/>
      <c r="U30" s="134"/>
      <c r="V30" s="134"/>
      <c r="W30" s="210">
        <v>2</v>
      </c>
      <c r="X30" s="210" t="s">
        <v>1014</v>
      </c>
      <c r="Y30" s="1109">
        <f>N50/3</f>
        <v>6.6666666666666666E-2</v>
      </c>
      <c r="Z30" s="1486">
        <f t="shared" ref="Z30:Z40" si="0">$H$36*Y30</f>
        <v>6.9000000000000008E-4</v>
      </c>
    </row>
    <row r="31" spans="1:26" s="110" customFormat="1" ht="15" thickTop="1" x14ac:dyDescent="0.3">
      <c r="A31" s="110" t="s">
        <v>1015</v>
      </c>
      <c r="C31" s="181">
        <f>EDATE(C30,FirstUnits-1)</f>
        <v>47058</v>
      </c>
      <c r="D31" s="170">
        <f>LOOKUP(DateFirstUnits,DevBdgt!$E$7:$EG$7,DevBdgt!$E$6:$EG$6)</f>
        <v>14</v>
      </c>
      <c r="F31" s="2656" t="s">
        <v>175</v>
      </c>
      <c r="G31" s="2658"/>
      <c r="H31" s="65">
        <v>0</v>
      </c>
      <c r="I31" s="33">
        <f>IF('Development Inputs'!$N$97="PropCo",'SBS Summary'!$E$22,'SBS Summary'!$B$22)</f>
        <v>0.15</v>
      </c>
      <c r="J31" s="33">
        <f>IF('Development Inputs'!$N$97="PropCo",'SBS Summary'!$F$22,'SBS Summary'!$C$22)</f>
        <v>0.6</v>
      </c>
      <c r="K31" s="33">
        <f>IF('Development Inputs'!$N$97="PropCo",'SBS Summary'!$G$22,'SBS Summary'!$D$22)</f>
        <v>0.4</v>
      </c>
      <c r="L31" s="177">
        <f>1-J31-K31</f>
        <v>0</v>
      </c>
      <c r="M31" s="178">
        <f>SUM(J31:L31)</f>
        <v>1</v>
      </c>
      <c r="N31" s="179" t="str">
        <f ca="1">IF(O31=H31,"Multiple","IRR")</f>
        <v>IRR</v>
      </c>
      <c r="O31" s="180">
        <f ca="1">SUM(Waterfalls!E254:DU254)/'General Inputs'!$J$8+1</f>
        <v>1.3221404183902434</v>
      </c>
      <c r="Q31" s="130" t="s">
        <v>887</v>
      </c>
      <c r="R31" s="131"/>
      <c r="S31" s="132" t="s">
        <v>880</v>
      </c>
      <c r="T31" s="132" t="str">
        <f>TEXT('General Inputs'!J$29,(""))&amp;" IRR"</f>
        <v>LP IRR</v>
      </c>
      <c r="U31" s="132" t="s">
        <v>882</v>
      </c>
      <c r="V31" s="1492"/>
      <c r="W31" s="210">
        <v>3</v>
      </c>
      <c r="X31" s="210" t="s">
        <v>1016</v>
      </c>
      <c r="Y31" s="1109">
        <f>N50/3</f>
        <v>6.6666666666666666E-2</v>
      </c>
      <c r="Z31" s="1486">
        <f t="shared" si="0"/>
        <v>6.9000000000000008E-4</v>
      </c>
    </row>
    <row r="32" spans="1:26" s="110" customFormat="1" x14ac:dyDescent="0.3">
      <c r="A32" s="110" t="s">
        <v>1017</v>
      </c>
      <c r="C32" s="181">
        <f>EDATE(C30,ConstPeriod-1)</f>
        <v>47392</v>
      </c>
      <c r="D32" s="170">
        <f>LOOKUP(DateFinalUnits,DevBdgt!$E$7:$EG$7,DevBdgt!$E$6:$EG$6)</f>
        <v>25</v>
      </c>
      <c r="F32" s="2656" t="s">
        <v>915</v>
      </c>
      <c r="G32" s="2658"/>
      <c r="H32" s="65">
        <v>0</v>
      </c>
      <c r="I32" s="33">
        <f>IF('Development Inputs'!$N$97="PropCo",'SBS Summary'!$E$23,'SBS Summary'!$B$23)</f>
        <v>0.2</v>
      </c>
      <c r="J32" s="33">
        <f>IF('Development Inputs'!$N$97="PropCo",'SBS Summary'!$F$23,'SBS Summary'!$C$23)</f>
        <v>0.5</v>
      </c>
      <c r="K32" s="33">
        <f>IF('Development Inputs'!$N$97="PropCo",'SBS Summary'!$G$23,'SBS Summary'!$D$23)</f>
        <v>0.5</v>
      </c>
      <c r="L32" s="177">
        <f>1-J32-K32</f>
        <v>0</v>
      </c>
      <c r="M32" s="178">
        <f>SUM(J32:L32)</f>
        <v>1</v>
      </c>
      <c r="N32" s="179" t="str">
        <f ca="1">IF(O32=H32,"Multiple","IRR")</f>
        <v>IRR</v>
      </c>
      <c r="O32" s="180">
        <f ca="1">SUM(Waterfalls!E267:DU267)/'General Inputs'!$J$8+1</f>
        <v>1.4399809575085316</v>
      </c>
      <c r="Q32" s="134"/>
      <c r="R32" s="135"/>
      <c r="S32" s="136">
        <f ca="1">Summary!D51</f>
        <v>6.6452831626234915E-2</v>
      </c>
      <c r="T32" s="136">
        <f ca="1">Summary!S51</f>
        <v>0.30587547483465172</v>
      </c>
      <c r="U32" s="137">
        <f ca="1">Summary!S49</f>
        <v>24801112.482449707</v>
      </c>
      <c r="V32" s="137"/>
      <c r="W32" s="210">
        <v>4</v>
      </c>
      <c r="X32" s="210" t="s">
        <v>1018</v>
      </c>
      <c r="Y32" s="1109">
        <f>N51/3</f>
        <v>9.9999999999999992E-2</v>
      </c>
      <c r="Z32" s="1486">
        <f t="shared" si="0"/>
        <v>1.0350000000000001E-3</v>
      </c>
    </row>
    <row r="33" spans="1:26" s="110" customFormat="1" x14ac:dyDescent="0.3">
      <c r="A33" s="110" t="s">
        <v>648</v>
      </c>
      <c r="C33" s="181">
        <f>HLOOKUP(MATCH((1-Vacancy)*Units/Units,OperBgt!G38:EH38,0),OperBgt!$G$5:$EH$6,2,FALSE)</f>
        <v>47453</v>
      </c>
      <c r="D33" s="170">
        <f>LOOKUP(DateStabilization,DevBdgt!$E$7:$EG$7,DevBdgt!$E$6:$EG$6)</f>
        <v>27</v>
      </c>
      <c r="F33" s="2656" t="s">
        <v>917</v>
      </c>
      <c r="G33" s="2657"/>
      <c r="H33" s="2657"/>
      <c r="I33" s="2658"/>
      <c r="J33" s="33">
        <f>IF('Development Inputs'!$N$97="PropCo",'SBS Summary'!$F$24,'SBS Summary'!$C$24)</f>
        <v>0.4</v>
      </c>
      <c r="K33" s="33">
        <f>IF('Development Inputs'!$N$97="PropCo",'SBS Summary'!$G$24,'SBS Summary'!$D$24)</f>
        <v>0.6</v>
      </c>
      <c r="L33" s="177">
        <f>1-J33-K33</f>
        <v>0</v>
      </c>
      <c r="M33" s="178">
        <f>SUM(J33:L33)</f>
        <v>1</v>
      </c>
      <c r="N33" s="179"/>
      <c r="O33" s="182"/>
      <c r="Q33" s="134"/>
      <c r="R33" s="152">
        <f>Sensitivity!B43</f>
        <v>73</v>
      </c>
      <c r="S33" s="136"/>
      <c r="T33" s="136"/>
      <c r="U33" s="137"/>
      <c r="V33" s="137"/>
      <c r="W33" s="210">
        <v>5</v>
      </c>
      <c r="X33" s="210" t="s">
        <v>1019</v>
      </c>
      <c r="Y33" s="1109">
        <f>N51/3</f>
        <v>9.9999999999999992E-2</v>
      </c>
      <c r="Z33" s="1486">
        <f t="shared" si="0"/>
        <v>1.0350000000000001E-3</v>
      </c>
    </row>
    <row r="34" spans="1:26" s="110" customFormat="1" ht="15" thickBot="1" x14ac:dyDescent="0.35">
      <c r="A34" s="110" t="s">
        <v>830</v>
      </c>
      <c r="C34" s="181">
        <f>LOOKUP(DispositionMonth,DevBdgt!$E$6:$EG$6,DevBdgt!$E$7:$EG$7)</f>
        <v>47484</v>
      </c>
      <c r="D34" s="170">
        <f>DispositionMonth</f>
        <v>28</v>
      </c>
      <c r="F34" s="183"/>
      <c r="O34" s="120"/>
      <c r="Q34" s="134"/>
      <c r="R34" s="152">
        <f>Sensitivity!B44</f>
        <v>67</v>
      </c>
      <c r="S34" s="136"/>
      <c r="T34" s="136"/>
      <c r="U34" s="137"/>
      <c r="V34" s="137"/>
      <c r="W34" s="210">
        <v>6</v>
      </c>
      <c r="X34" s="210" t="s">
        <v>1020</v>
      </c>
      <c r="Y34" s="1109">
        <f>N51/3</f>
        <v>9.9999999999999992E-2</v>
      </c>
      <c r="Z34" s="1486">
        <f t="shared" si="0"/>
        <v>1.0350000000000001E-3</v>
      </c>
    </row>
    <row r="35" spans="1:26" s="110" customFormat="1" ht="15.6" thickTop="1" thickBot="1" x14ac:dyDescent="0.35">
      <c r="F35" s="125" t="s">
        <v>1021</v>
      </c>
      <c r="G35" s="126"/>
      <c r="H35" s="143" t="s">
        <v>1022</v>
      </c>
      <c r="I35" s="164" t="s">
        <v>1023</v>
      </c>
      <c r="J35" s="164" t="s">
        <v>694</v>
      </c>
      <c r="K35" s="164" t="s">
        <v>1024</v>
      </c>
      <c r="L35" s="164" t="s">
        <v>1025</v>
      </c>
      <c r="M35" s="164" t="s">
        <v>462</v>
      </c>
      <c r="N35" s="763">
        <f>YEAR(LOOKUP(60,DevBdgt!6:6,DevBdgt!7:7))</f>
        <v>2032</v>
      </c>
      <c r="O35" s="184"/>
      <c r="P35" s="185"/>
      <c r="Q35" s="134"/>
      <c r="R35" s="152">
        <f>Sensitivity!B45</f>
        <v>61</v>
      </c>
      <c r="S35" s="136"/>
      <c r="T35" s="136"/>
      <c r="U35" s="137"/>
      <c r="V35" s="137"/>
      <c r="W35" s="210">
        <v>7</v>
      </c>
      <c r="X35" s="210" t="s">
        <v>1026</v>
      </c>
      <c r="Y35" s="1109">
        <f>N52/3</f>
        <v>9.9999999999999992E-2</v>
      </c>
      <c r="Z35" s="1486">
        <f t="shared" si="0"/>
        <v>1.0350000000000001E-3</v>
      </c>
    </row>
    <row r="36" spans="1:26" s="110" customFormat="1" ht="15.75" customHeight="1" thickTop="1" x14ac:dyDescent="0.3">
      <c r="A36" s="125" t="s">
        <v>1027</v>
      </c>
      <c r="B36" s="142"/>
      <c r="C36" s="186" t="str">
        <f>IF(OR(C37&lt;AnalysisStartDate,C38&lt;AnalysisStartDate,C39&lt;AnalysisStartDate),"These dates must be = &gt; the Analysis Start Date!","")</f>
        <v/>
      </c>
      <c r="D36" s="144"/>
      <c r="F36" s="187">
        <f t="shared" ref="F36:F42" si="1">G36</f>
        <v>2026</v>
      </c>
      <c r="G36" s="188">
        <f>YEAR(AnalysisStartDate)</f>
        <v>2026</v>
      </c>
      <c r="H36" s="32">
        <v>1.0350000000000002E-2</v>
      </c>
      <c r="I36" s="1590">
        <v>0.02</v>
      </c>
      <c r="J36" s="1590">
        <v>0.03</v>
      </c>
      <c r="K36" s="1590">
        <v>0.03</v>
      </c>
      <c r="L36" s="32">
        <v>0.03</v>
      </c>
      <c r="M36" s="32">
        <v>0.03</v>
      </c>
      <c r="N36" s="2668" t="s">
        <v>1028</v>
      </c>
      <c r="O36" s="2669"/>
      <c r="Q36" s="134"/>
      <c r="R36" s="152">
        <f>Sensitivity!B46</f>
        <v>55</v>
      </c>
      <c r="S36" s="136"/>
      <c r="T36" s="136"/>
      <c r="U36" s="137"/>
      <c r="V36" s="137"/>
      <c r="W36" s="210">
        <v>8</v>
      </c>
      <c r="X36" s="210" t="s">
        <v>1029</v>
      </c>
      <c r="Y36" s="1109">
        <f>N52/3</f>
        <v>9.9999999999999992E-2</v>
      </c>
      <c r="Z36" s="1486">
        <f t="shared" si="0"/>
        <v>1.0350000000000001E-3</v>
      </c>
    </row>
    <row r="37" spans="1:26" s="110" customFormat="1" x14ac:dyDescent="0.3">
      <c r="A37" s="110" t="s">
        <v>1030</v>
      </c>
      <c r="C37" s="55">
        <f>AnalysisStartDate</f>
        <v>46174</v>
      </c>
      <c r="F37" s="187">
        <f t="shared" si="1"/>
        <v>2027</v>
      </c>
      <c r="G37" s="188">
        <f t="shared" ref="G37:G42" si="2">G36+1</f>
        <v>2027</v>
      </c>
      <c r="H37" s="32">
        <v>2.1600000000000001E-2</v>
      </c>
      <c r="I37" s="1590">
        <v>0.02</v>
      </c>
      <c r="J37" s="1590">
        <v>0.03</v>
      </c>
      <c r="K37" s="1590">
        <v>0.03</v>
      </c>
      <c r="L37" s="32">
        <v>0.03</v>
      </c>
      <c r="M37" s="32">
        <v>0.03</v>
      </c>
      <c r="N37" s="2670"/>
      <c r="O37" s="2671"/>
      <c r="Q37" s="134"/>
      <c r="R37" s="152">
        <f>Sensitivity!B47</f>
        <v>49</v>
      </c>
      <c r="S37" s="136"/>
      <c r="T37" s="136"/>
      <c r="U37" s="137"/>
      <c r="V37" s="137"/>
      <c r="W37" s="210">
        <v>9</v>
      </c>
      <c r="X37" s="210" t="s">
        <v>1031</v>
      </c>
      <c r="Y37" s="1109">
        <f>N52/3</f>
        <v>9.9999999999999992E-2</v>
      </c>
      <c r="Z37" s="1486">
        <f t="shared" si="0"/>
        <v>1.0350000000000001E-3</v>
      </c>
    </row>
    <row r="38" spans="1:26" s="110" customFormat="1" ht="15" thickBot="1" x14ac:dyDescent="0.35">
      <c r="A38" s="110" t="s">
        <v>1032</v>
      </c>
      <c r="C38" s="55">
        <f>AnalysisStartDate</f>
        <v>46174</v>
      </c>
      <c r="F38" s="187">
        <f t="shared" si="1"/>
        <v>2028</v>
      </c>
      <c r="G38" s="188">
        <f t="shared" si="2"/>
        <v>2028</v>
      </c>
      <c r="H38" s="32">
        <v>2.4350000000000004E-2</v>
      </c>
      <c r="I38" s="1590">
        <v>0.02</v>
      </c>
      <c r="J38" s="1590">
        <v>0.03</v>
      </c>
      <c r="K38" s="1590">
        <v>0.03</v>
      </c>
      <c r="L38" s="32">
        <v>0.03</v>
      </c>
      <c r="M38" s="32">
        <v>0.03</v>
      </c>
      <c r="N38" s="2670"/>
      <c r="O38" s="2671"/>
      <c r="Q38" s="134"/>
      <c r="R38" s="135"/>
      <c r="S38" s="134"/>
      <c r="T38" s="134"/>
      <c r="U38" s="134"/>
      <c r="V38" s="134"/>
      <c r="W38" s="210">
        <v>10</v>
      </c>
      <c r="X38" s="210" t="s">
        <v>1033</v>
      </c>
      <c r="Y38" s="1109">
        <f>N53/3</f>
        <v>6.6666666666666666E-2</v>
      </c>
      <c r="Z38" s="1486">
        <f t="shared" si="0"/>
        <v>6.9000000000000008E-4</v>
      </c>
    </row>
    <row r="39" spans="1:26" s="110" customFormat="1" ht="15" thickTop="1" x14ac:dyDescent="0.3">
      <c r="A39" s="110" t="s">
        <v>1034</v>
      </c>
      <c r="C39" s="55">
        <f>AnalysisStartDate</f>
        <v>46174</v>
      </c>
      <c r="F39" s="187">
        <f t="shared" si="1"/>
        <v>2029</v>
      </c>
      <c r="G39" s="188">
        <f t="shared" si="2"/>
        <v>2029</v>
      </c>
      <c r="H39" s="32">
        <v>5.5600000000000004E-2</v>
      </c>
      <c r="I39" s="1590">
        <v>0.02</v>
      </c>
      <c r="J39" s="1590">
        <v>0.03</v>
      </c>
      <c r="K39" s="1590">
        <v>0.03</v>
      </c>
      <c r="L39" s="32">
        <v>0.03</v>
      </c>
      <c r="M39" s="32">
        <v>0.03</v>
      </c>
      <c r="N39" s="2670"/>
      <c r="O39" s="2671"/>
      <c r="Q39" s="130" t="s">
        <v>548</v>
      </c>
      <c r="R39" s="1489">
        <v>0</v>
      </c>
      <c r="S39" s="132" t="s">
        <v>880</v>
      </c>
      <c r="T39" s="132" t="str">
        <f>TEXT('General Inputs'!J$29,(""))&amp;" IRR"</f>
        <v>LP IRR</v>
      </c>
      <c r="U39" s="132" t="s">
        <v>882</v>
      </c>
      <c r="V39" s="132" t="s">
        <v>313</v>
      </c>
      <c r="W39" s="210">
        <v>11</v>
      </c>
      <c r="X39" s="210" t="s">
        <v>1035</v>
      </c>
      <c r="Y39" s="1109">
        <f>N53/3</f>
        <v>6.6666666666666666E-2</v>
      </c>
      <c r="Z39" s="1486">
        <f t="shared" si="0"/>
        <v>6.9000000000000008E-4</v>
      </c>
    </row>
    <row r="40" spans="1:26" s="110" customFormat="1" ht="15" thickBot="1" x14ac:dyDescent="0.35">
      <c r="F40" s="187">
        <f t="shared" si="1"/>
        <v>2030</v>
      </c>
      <c r="G40" s="188">
        <f t="shared" si="2"/>
        <v>2030</v>
      </c>
      <c r="H40" s="32">
        <v>5.04E-2</v>
      </c>
      <c r="I40" s="1590">
        <v>0.02</v>
      </c>
      <c r="J40" s="1590">
        <v>0.03</v>
      </c>
      <c r="K40" s="1590">
        <v>0.03</v>
      </c>
      <c r="L40" s="32">
        <v>0.03</v>
      </c>
      <c r="M40" s="32">
        <v>0.03</v>
      </c>
      <c r="N40" s="2670"/>
      <c r="O40" s="2671"/>
      <c r="Q40" s="134"/>
      <c r="R40" s="135"/>
      <c r="S40" s="136">
        <f ca="1">S32</f>
        <v>6.6452831626234915E-2</v>
      </c>
      <c r="T40" s="136">
        <f ca="1">T32</f>
        <v>0.30587547483465172</v>
      </c>
      <c r="U40" s="137">
        <f ca="1">U32</f>
        <v>24801112.482449707</v>
      </c>
      <c r="V40" s="1490">
        <f>((LOOKUP(DateDisposition,OperBgt!$6:$6,OperBgt!$46:$46)/MarketBaseRent)^(1/((DateDisposition-'General Inputs'!C37)/365)))-1</f>
        <v>3.109397223069621E-2</v>
      </c>
      <c r="W40" s="210">
        <v>12</v>
      </c>
      <c r="X40" s="210" t="s">
        <v>1036</v>
      </c>
      <c r="Y40" s="1109">
        <f>N53/3</f>
        <v>6.6666666666666666E-2</v>
      </c>
      <c r="Z40" s="1486">
        <f t="shared" si="0"/>
        <v>6.9000000000000008E-4</v>
      </c>
    </row>
    <row r="41" spans="1:26" s="110" customFormat="1" ht="15" thickTop="1" x14ac:dyDescent="0.3">
      <c r="A41" s="125" t="s">
        <v>1037</v>
      </c>
      <c r="B41" s="142"/>
      <c r="C41" s="143"/>
      <c r="D41" s="144"/>
      <c r="F41" s="187">
        <f>G41</f>
        <v>2031</v>
      </c>
      <c r="G41" s="188">
        <f t="shared" si="2"/>
        <v>2031</v>
      </c>
      <c r="H41" s="32">
        <v>3.2550000000000003E-2</v>
      </c>
      <c r="I41" s="1590">
        <v>0.02</v>
      </c>
      <c r="J41" s="1590">
        <v>0.03</v>
      </c>
      <c r="K41" s="1590">
        <v>0.03</v>
      </c>
      <c r="L41" s="32">
        <v>0.03</v>
      </c>
      <c r="M41" s="32">
        <v>0.03</v>
      </c>
      <c r="N41" s="2670"/>
      <c r="O41" s="2671"/>
      <c r="Q41" s="136"/>
      <c r="R41" s="136">
        <v>-0.02</v>
      </c>
      <c r="S41" s="136"/>
      <c r="T41" s="136"/>
      <c r="U41" s="137"/>
      <c r="V41" s="1490"/>
      <c r="W41" s="1054" t="s">
        <v>173</v>
      </c>
      <c r="X41" s="747"/>
      <c r="Y41" s="1488">
        <f>SUM(Y29:Y40)</f>
        <v>0.99999999999999989</v>
      </c>
      <c r="Z41" s="1487">
        <f>SUM(Z29:Z40)</f>
        <v>1.035E-2</v>
      </c>
    </row>
    <row r="42" spans="1:26" s="110" customFormat="1" x14ac:dyDescent="0.3">
      <c r="A42" s="110" t="s">
        <v>1038</v>
      </c>
      <c r="C42" s="37">
        <v>25</v>
      </c>
      <c r="D42" s="189"/>
      <c r="F42" s="190">
        <f t="shared" si="1"/>
        <v>2032</v>
      </c>
      <c r="G42" s="188">
        <f t="shared" si="2"/>
        <v>2032</v>
      </c>
      <c r="H42" s="32">
        <v>4.1474999999999998E-2</v>
      </c>
      <c r="I42" s="1590">
        <v>0.02</v>
      </c>
      <c r="J42" s="1590">
        <v>0.03</v>
      </c>
      <c r="K42" s="1590">
        <v>0.03</v>
      </c>
      <c r="L42" s="32">
        <v>0.03</v>
      </c>
      <c r="M42" s="32">
        <v>0.03</v>
      </c>
      <c r="N42" s="2672"/>
      <c r="O42" s="2673"/>
      <c r="Q42" s="136"/>
      <c r="R42" s="136">
        <v>-0.01</v>
      </c>
      <c r="S42" s="136"/>
      <c r="T42" s="136"/>
      <c r="U42" s="137"/>
      <c r="V42" s="1490"/>
      <c r="Y42" s="1050" t="str">
        <f>IF(Y41=1,"Must equal 100.00% ^^^","ERROR! Must equal 100.00% ^^^")</f>
        <v>Must equal 100.00% ^^^</v>
      </c>
    </row>
    <row r="43" spans="1:26" s="110" customFormat="1" ht="15" thickBot="1" x14ac:dyDescent="0.35">
      <c r="A43" s="161" t="s">
        <v>1039</v>
      </c>
      <c r="C43" s="151">
        <f>Units/(ConstPeriod-FirstUnits+1)</f>
        <v>21.333333333333332</v>
      </c>
      <c r="F43" s="163"/>
      <c r="K43" s="1589"/>
      <c r="Q43" s="136"/>
      <c r="R43" s="136">
        <v>0</v>
      </c>
      <c r="S43" s="136"/>
      <c r="T43" s="136"/>
      <c r="U43" s="137"/>
      <c r="V43" s="1490"/>
    </row>
    <row r="44" spans="1:26" s="110" customFormat="1" ht="16.2" thickTop="1" x14ac:dyDescent="0.3">
      <c r="A44" s="161" t="s">
        <v>1040</v>
      </c>
      <c r="C44" s="37">
        <v>14</v>
      </c>
      <c r="F44" s="125" t="s">
        <v>1041</v>
      </c>
      <c r="G44" s="126"/>
      <c r="H44" s="143"/>
      <c r="I44" s="191"/>
      <c r="J44" s="191"/>
      <c r="K44" s="191"/>
      <c r="L44" s="125" t="s">
        <v>886</v>
      </c>
      <c r="M44" s="142"/>
      <c r="N44" s="143"/>
      <c r="O44" s="144"/>
      <c r="P44" s="192"/>
      <c r="Q44" s="136"/>
      <c r="R44" s="136">
        <v>0.01</v>
      </c>
      <c r="S44" s="136"/>
      <c r="T44" s="136"/>
      <c r="U44" s="137"/>
      <c r="V44" s="1490"/>
      <c r="W44" s="2661" t="s">
        <v>1042</v>
      </c>
      <c r="X44" s="2659"/>
      <c r="Y44" s="2659"/>
      <c r="Z44" s="2660"/>
    </row>
    <row r="45" spans="1:26" s="110" customFormat="1" ht="15" thickBot="1" x14ac:dyDescent="0.35">
      <c r="F45" s="193" t="s">
        <v>1043</v>
      </c>
      <c r="H45" s="34">
        <f>IF('Development Inputs'!$N$97="PropCo",'SBS Summary'!$E$8,'SBS Summary'!$D$8)</f>
        <v>28</v>
      </c>
      <c r="I45" s="189" t="str">
        <f>IF(DispositionMonth&lt;MonthStabilization,"ERROR - Disposition date must not be before the Stabilization date","")</f>
        <v/>
      </c>
      <c r="L45" s="1046" t="s">
        <v>1044</v>
      </c>
      <c r="N45" s="851">
        <v>18</v>
      </c>
      <c r="Q45" s="136"/>
      <c r="R45" s="136">
        <v>0.02</v>
      </c>
      <c r="S45" s="136"/>
      <c r="T45" s="136"/>
      <c r="U45" s="137"/>
      <c r="V45" s="1490"/>
      <c r="W45" s="288" t="s">
        <v>1006</v>
      </c>
      <c r="X45" s="288" t="s">
        <v>839</v>
      </c>
      <c r="Y45" s="288" t="s">
        <v>1007</v>
      </c>
      <c r="Z45" s="288" t="s">
        <v>940</v>
      </c>
    </row>
    <row r="46" spans="1:26" s="110" customFormat="1" ht="15" thickTop="1" x14ac:dyDescent="0.3">
      <c r="A46" s="125" t="s">
        <v>1045</v>
      </c>
      <c r="B46" s="126"/>
      <c r="C46" s="191"/>
      <c r="D46" s="191"/>
      <c r="F46" s="193" t="s">
        <v>1046</v>
      </c>
      <c r="H46" s="30">
        <v>5.5E-2</v>
      </c>
      <c r="L46" s="163" t="s">
        <v>1047</v>
      </c>
      <c r="N46" s="1109">
        <v>1</v>
      </c>
      <c r="Q46" s="136"/>
      <c r="R46" s="136"/>
      <c r="S46" s="136"/>
      <c r="T46" s="136"/>
      <c r="U46" s="137"/>
      <c r="V46" s="1490"/>
      <c r="W46" s="210">
        <v>1</v>
      </c>
      <c r="X46" s="210" t="s">
        <v>1012</v>
      </c>
      <c r="Y46" s="1109">
        <f>N50/3</f>
        <v>6.6666666666666666E-2</v>
      </c>
      <c r="Z46" s="1053">
        <f>Absorption*12*Y46</f>
        <v>14.4</v>
      </c>
    </row>
    <row r="47" spans="1:26" s="110" customFormat="1" x14ac:dyDescent="0.3">
      <c r="A47" s="110" t="s">
        <v>1048</v>
      </c>
      <c r="C47" s="30">
        <f>IF('Development Inputs'!$N$97="PropCo",'SBS Summary'!$E$15,'SBS Summary'!$D$15)</f>
        <v>0</v>
      </c>
      <c r="F47" s="193" t="s">
        <v>1049</v>
      </c>
      <c r="H47" s="30">
        <v>0.06</v>
      </c>
      <c r="L47" s="163"/>
      <c r="Q47" s="136"/>
      <c r="R47" s="136"/>
      <c r="S47" s="136"/>
      <c r="T47" s="136"/>
      <c r="U47" s="137"/>
      <c r="V47" s="1490"/>
      <c r="W47" s="210">
        <v>2</v>
      </c>
      <c r="X47" s="210" t="s">
        <v>1014</v>
      </c>
      <c r="Y47" s="1109">
        <f>N50/3</f>
        <v>6.6666666666666666E-2</v>
      </c>
      <c r="Z47" s="1053">
        <f t="shared" ref="Z47:Z57" si="3">Absorption*12*Y47</f>
        <v>14.4</v>
      </c>
    </row>
    <row r="48" spans="1:26" s="110" customFormat="1" x14ac:dyDescent="0.3">
      <c r="A48" s="110" t="s">
        <v>1050</v>
      </c>
      <c r="C48" s="38">
        <f>DateFinalUnits</f>
        <v>47392</v>
      </c>
      <c r="F48" s="163" t="s">
        <v>1051</v>
      </c>
      <c r="H48" s="25" t="s">
        <v>1052</v>
      </c>
      <c r="I48" s="189" t="str">
        <f>IF(OR(AND(H48="Current Year",(DispositionMonth-MonthStabilization)&lt;11),AND(H48="Blend",(DispositionMonth-MonthStabilization)&lt;5),AND(H48="Next Year",DispositionMonth&lt;MonthStabilization)),"ERROR - NOI includes non-stabilized months.  Push out disposition date or change NOI type.","")</f>
        <v/>
      </c>
      <c r="L48" s="163" t="s">
        <v>1053</v>
      </c>
      <c r="Q48" s="136"/>
      <c r="R48" s="136"/>
      <c r="S48" s="136"/>
      <c r="T48" s="136"/>
      <c r="U48" s="137"/>
      <c r="V48" s="1490"/>
      <c r="W48" s="210">
        <v>3</v>
      </c>
      <c r="X48" s="210" t="s">
        <v>1016</v>
      </c>
      <c r="Y48" s="1109">
        <f>N50/3</f>
        <v>6.6666666666666666E-2</v>
      </c>
      <c r="Z48" s="1053">
        <f t="shared" si="3"/>
        <v>14.4</v>
      </c>
    </row>
    <row r="49" spans="1:26" s="110" customFormat="1" x14ac:dyDescent="0.3">
      <c r="F49" s="163" t="s">
        <v>1054</v>
      </c>
      <c r="H49" s="35" t="s">
        <v>998</v>
      </c>
      <c r="I49" s="33">
        <v>0.4</v>
      </c>
      <c r="J49" s="161" t="s">
        <v>1055</v>
      </c>
      <c r="L49" s="1049" t="s">
        <v>1056</v>
      </c>
      <c r="T49" s="136"/>
      <c r="W49" s="210">
        <v>4</v>
      </c>
      <c r="X49" s="210" t="s">
        <v>1018</v>
      </c>
      <c r="Y49" s="1109">
        <f>N51/3</f>
        <v>9.9999999999999992E-2</v>
      </c>
      <c r="Z49" s="1053">
        <f t="shared" si="3"/>
        <v>21.599999999999998</v>
      </c>
    </row>
    <row r="50" spans="1:26" s="110" customFormat="1" x14ac:dyDescent="0.3">
      <c r="A50" s="110" t="s">
        <v>1057</v>
      </c>
      <c r="C50" s="1484">
        <f>IF('Development Inputs'!$N$97="PropCo",'SBS Summary'!$E$16,'SBS Summary'!$D$16)</f>
        <v>0</v>
      </c>
      <c r="F50" s="163" t="s">
        <v>1058</v>
      </c>
      <c r="H50" s="30">
        <v>0</v>
      </c>
      <c r="I50" s="194"/>
      <c r="J50" s="194"/>
      <c r="L50" s="163"/>
      <c r="M50" s="210" t="s">
        <v>1059</v>
      </c>
      <c r="N50" s="1109">
        <v>0.2</v>
      </c>
      <c r="W50" s="210">
        <v>5</v>
      </c>
      <c r="X50" s="210" t="s">
        <v>1019</v>
      </c>
      <c r="Y50" s="1109">
        <f>N51/3</f>
        <v>9.9999999999999992E-2</v>
      </c>
      <c r="Z50" s="1053">
        <f t="shared" si="3"/>
        <v>21.599999999999998</v>
      </c>
    </row>
    <row r="51" spans="1:26" s="110" customFormat="1" x14ac:dyDescent="0.3">
      <c r="A51" s="110" t="s">
        <v>1050</v>
      </c>
      <c r="C51" s="38">
        <f>EDATE(ConstrStartDate,0)</f>
        <v>46661</v>
      </c>
      <c r="F51" s="163" t="s">
        <v>1060</v>
      </c>
      <c r="H51" s="30">
        <v>1E-3</v>
      </c>
      <c r="I51" s="194"/>
      <c r="J51" s="194"/>
      <c r="L51" s="163"/>
      <c r="M51" s="210" t="s">
        <v>1061</v>
      </c>
      <c r="N51" s="1109">
        <v>0.3</v>
      </c>
      <c r="P51" s="195"/>
      <c r="T51" s="177"/>
      <c r="U51" s="196"/>
      <c r="V51" s="196"/>
      <c r="W51" s="210">
        <v>6</v>
      </c>
      <c r="X51" s="210" t="s">
        <v>1020</v>
      </c>
      <c r="Y51" s="1109">
        <f>N51/3</f>
        <v>9.9999999999999992E-2</v>
      </c>
      <c r="Z51" s="1053">
        <f t="shared" si="3"/>
        <v>21.599999999999998</v>
      </c>
    </row>
    <row r="52" spans="1:26" s="110" customFormat="1" x14ac:dyDescent="0.3">
      <c r="F52" s="163" t="s">
        <v>1062</v>
      </c>
      <c r="H52" s="36">
        <v>50000</v>
      </c>
      <c r="I52" s="194"/>
      <c r="J52" s="194"/>
      <c r="L52" s="163"/>
      <c r="M52" s="210" t="s">
        <v>1063</v>
      </c>
      <c r="N52" s="1109">
        <v>0.3</v>
      </c>
      <c r="P52" s="195"/>
      <c r="T52" s="177"/>
      <c r="U52" s="196"/>
      <c r="V52" s="196"/>
      <c r="W52" s="210">
        <v>7</v>
      </c>
      <c r="X52" s="210" t="s">
        <v>1026</v>
      </c>
      <c r="Y52" s="1109">
        <f>N52/3</f>
        <v>9.9999999999999992E-2</v>
      </c>
      <c r="Z52" s="1053">
        <f t="shared" si="3"/>
        <v>21.599999999999998</v>
      </c>
    </row>
    <row r="53" spans="1:26" s="110" customFormat="1" x14ac:dyDescent="0.3">
      <c r="F53" s="163" t="s">
        <v>1064</v>
      </c>
      <c r="H53" s="30">
        <v>3.0000000000000001E-3</v>
      </c>
      <c r="I53" s="194"/>
      <c r="J53" s="194"/>
      <c r="L53" s="163"/>
      <c r="M53" s="210" t="s">
        <v>1065</v>
      </c>
      <c r="N53" s="1109">
        <v>0.2</v>
      </c>
      <c r="P53" s="195"/>
      <c r="T53" s="177"/>
      <c r="U53" s="196"/>
      <c r="V53" s="196"/>
      <c r="W53" s="210">
        <v>8</v>
      </c>
      <c r="X53" s="210" t="s">
        <v>1029</v>
      </c>
      <c r="Y53" s="1109">
        <f>N52/3</f>
        <v>9.9999999999999992E-2</v>
      </c>
      <c r="Z53" s="1053">
        <f t="shared" si="3"/>
        <v>21.599999999999998</v>
      </c>
    </row>
    <row r="54" spans="1:26" s="110" customFormat="1" x14ac:dyDescent="0.3">
      <c r="F54" s="163" t="s">
        <v>1066</v>
      </c>
      <c r="H54" s="30">
        <v>0</v>
      </c>
      <c r="I54" s="194"/>
      <c r="J54" s="194"/>
      <c r="L54" s="1047"/>
      <c r="M54" s="1050" t="str">
        <f>IF(N54=1,"Must equal 100.00% &gt;&gt;&gt;","ERROR! Must equal 100.00% &gt;&gt;&gt;")</f>
        <v>Must equal 100.00% &gt;&gt;&gt;</v>
      </c>
      <c r="N54" s="1051">
        <f>SUM(N50:N53)</f>
        <v>1</v>
      </c>
      <c r="P54" s="195"/>
      <c r="W54" s="210">
        <v>9</v>
      </c>
      <c r="X54" s="210" t="s">
        <v>1031</v>
      </c>
      <c r="Y54" s="1109">
        <f>N52/3</f>
        <v>9.9999999999999992E-2</v>
      </c>
      <c r="Z54" s="1053">
        <f t="shared" si="3"/>
        <v>21.599999999999998</v>
      </c>
    </row>
    <row r="55" spans="1:26" s="110" customFormat="1" x14ac:dyDescent="0.3">
      <c r="F55" s="163"/>
      <c r="G55"/>
      <c r="H55"/>
      <c r="I55"/>
      <c r="J55"/>
      <c r="L55" s="1047"/>
      <c r="P55" s="195"/>
      <c r="W55" s="210">
        <v>10</v>
      </c>
      <c r="X55" s="210" t="s">
        <v>1033</v>
      </c>
      <c r="Y55" s="1109">
        <f>N53/3</f>
        <v>6.6666666666666666E-2</v>
      </c>
      <c r="Z55" s="1053">
        <f t="shared" si="3"/>
        <v>14.4</v>
      </c>
    </row>
    <row r="56" spans="1:26" x14ac:dyDescent="0.3">
      <c r="E56" s="110"/>
      <c r="F56" s="163"/>
      <c r="H56" s="536"/>
      <c r="L56" s="1047" t="s">
        <v>1067</v>
      </c>
      <c r="P56" s="199"/>
      <c r="W56" s="210">
        <v>11</v>
      </c>
      <c r="X56" s="210" t="s">
        <v>1035</v>
      </c>
      <c r="Y56" s="1109">
        <f>N53/3</f>
        <v>6.6666666666666666E-2</v>
      </c>
      <c r="Z56" s="1053">
        <f t="shared" si="3"/>
        <v>14.4</v>
      </c>
    </row>
    <row r="57" spans="1:26" x14ac:dyDescent="0.3">
      <c r="E57" s="110"/>
      <c r="F57" s="163"/>
      <c r="L57" s="1052" t="s">
        <v>1068</v>
      </c>
      <c r="P57" s="199"/>
      <c r="W57" s="210">
        <v>12</v>
      </c>
      <c r="X57" s="210" t="s">
        <v>1036</v>
      </c>
      <c r="Y57" s="1109">
        <f>N53/3</f>
        <v>6.6666666666666666E-2</v>
      </c>
      <c r="Z57" s="1053">
        <f t="shared" si="3"/>
        <v>14.4</v>
      </c>
    </row>
    <row r="58" spans="1:26" x14ac:dyDescent="0.3">
      <c r="E58" s="110"/>
      <c r="F58" s="163"/>
      <c r="L58" s="1047"/>
      <c r="P58" s="199"/>
      <c r="W58" s="1054" t="s">
        <v>1069</v>
      </c>
      <c r="X58" s="747"/>
      <c r="Y58" s="1488">
        <f>SUM(Y46:Y57)</f>
        <v>0.99999999999999989</v>
      </c>
      <c r="Z58" s="1055">
        <f>AVERAGE(Z46:Z57)</f>
        <v>18</v>
      </c>
    </row>
    <row r="59" spans="1:26" x14ac:dyDescent="0.3">
      <c r="E59" s="110"/>
      <c r="F59" s="163"/>
      <c r="L59" s="1047" t="s">
        <v>1070</v>
      </c>
      <c r="P59" s="199"/>
      <c r="Y59" s="1050" t="str">
        <f>IF(Y58=1,"Must equal 100.00% ^^^","ERROR! Must equal 100.00% ^^^")</f>
        <v>Must equal 100.00% ^^^</v>
      </c>
    </row>
    <row r="60" spans="1:26" x14ac:dyDescent="0.3">
      <c r="A60" s="241"/>
      <c r="B60" s="241"/>
      <c r="C60" s="241"/>
      <c r="D60" s="241"/>
      <c r="E60" s="197"/>
      <c r="F60" s="1045"/>
      <c r="G60" s="241"/>
      <c r="H60" s="241"/>
      <c r="I60" s="241"/>
      <c r="J60" s="241"/>
      <c r="K60" s="241"/>
      <c r="L60" s="1048" t="s">
        <v>1071</v>
      </c>
      <c r="M60" s="241"/>
      <c r="N60" s="241"/>
      <c r="O60" s="241"/>
    </row>
    <row r="61" spans="1:26" x14ac:dyDescent="0.3">
      <c r="A61" s="701"/>
      <c r="B61" s="701"/>
      <c r="C61" s="701"/>
      <c r="D61" s="701"/>
      <c r="E61" s="701"/>
      <c r="F61" s="701"/>
      <c r="G61" s="701"/>
      <c r="H61" s="701"/>
      <c r="I61" s="701"/>
      <c r="J61" s="701"/>
      <c r="K61" s="701"/>
      <c r="L61" s="701"/>
      <c r="M61" s="701"/>
      <c r="N61" s="701"/>
      <c r="O61" s="701"/>
    </row>
    <row r="68" spans="1:1" x14ac:dyDescent="0.3">
      <c r="A68" s="110"/>
    </row>
    <row r="74" spans="1:1" x14ac:dyDescent="0.3">
      <c r="A74" s="110"/>
    </row>
    <row r="75" spans="1:1" x14ac:dyDescent="0.3">
      <c r="A75" s="110"/>
    </row>
    <row r="76" spans="1:1" x14ac:dyDescent="0.3">
      <c r="A76" s="110"/>
    </row>
    <row r="77" spans="1:1" x14ac:dyDescent="0.3">
      <c r="A77" s="110"/>
    </row>
    <row r="78" spans="1:1" x14ac:dyDescent="0.3">
      <c r="A78" s="110"/>
    </row>
  </sheetData>
  <sheetProtection algorithmName="SHA-512" hashValue="Xo5zZYDKjmxNPJRpGWcV1rJZ15vcSlkSiRXbnTpBSrjDar3Ahjq67myoRZcchv2g64cGTCmSdd3BGJHnaZZTuQ==" saltValue="L29z+3GyaQ+eEpFG57hbcQ==" spinCount="100000" sheet="1" objects="1" scenarios="1"/>
  <dataConsolidate link="1"/>
  <mergeCells count="31">
    <mergeCell ref="W27:Z27"/>
    <mergeCell ref="W44:Z44"/>
    <mergeCell ref="F14:G14"/>
    <mergeCell ref="A1:O1"/>
    <mergeCell ref="F11:I11"/>
    <mergeCell ref="J14:M14"/>
    <mergeCell ref="F9:G9"/>
    <mergeCell ref="B9:D9"/>
    <mergeCell ref="F10:I10"/>
    <mergeCell ref="J13:M13"/>
    <mergeCell ref="B8:C8"/>
    <mergeCell ref="F8:G8"/>
    <mergeCell ref="F12:G12"/>
    <mergeCell ref="F13:H13"/>
    <mergeCell ref="N36:O42"/>
    <mergeCell ref="D2:L2"/>
    <mergeCell ref="F33:I33"/>
    <mergeCell ref="F18:G18"/>
    <mergeCell ref="F22:H22"/>
    <mergeCell ref="K19:M19"/>
    <mergeCell ref="F19:G19"/>
    <mergeCell ref="F30:G30"/>
    <mergeCell ref="F31:G31"/>
    <mergeCell ref="F32:G32"/>
    <mergeCell ref="L22:M22"/>
    <mergeCell ref="B7:D7"/>
    <mergeCell ref="I15:M15"/>
    <mergeCell ref="F16:H16"/>
    <mergeCell ref="F17:M17"/>
    <mergeCell ref="J16:N16"/>
    <mergeCell ref="F15:G15"/>
  </mergeCells>
  <conditionalFormatting sqref="M9">
    <cfRule type="cellIs" dxfId="261" priority="56" operator="greaterThan">
      <formula>1</formula>
    </cfRule>
  </conditionalFormatting>
  <conditionalFormatting sqref="L30:L33">
    <cfRule type="cellIs" dxfId="260" priority="55" operator="lessThan">
      <formula>0</formula>
    </cfRule>
  </conditionalFormatting>
  <conditionalFormatting sqref="M30:M33">
    <cfRule type="cellIs" dxfId="259" priority="54" operator="greaterThan">
      <formula>1</formula>
    </cfRule>
  </conditionalFormatting>
  <conditionalFormatting sqref="I25:I27">
    <cfRule type="top10" dxfId="258" priority="53" bottom="1" rank="1"/>
  </conditionalFormatting>
  <conditionalFormatting sqref="H9">
    <cfRule type="cellIs" dxfId="257" priority="52" operator="greaterThan">
      <formula>1</formula>
    </cfRule>
  </conditionalFormatting>
  <conditionalFormatting sqref="A48:C48">
    <cfRule type="expression" dxfId="256" priority="49">
      <formula>$C$47=0</formula>
    </cfRule>
  </conditionalFormatting>
  <conditionalFormatting sqref="M10:N10">
    <cfRule type="cellIs" dxfId="255" priority="48" operator="greaterThan">
      <formula>1</formula>
    </cfRule>
  </conditionalFormatting>
  <conditionalFormatting sqref="J9:L9">
    <cfRule type="cellIs" dxfId="254" priority="46" operator="greaterThan">
      <formula>1</formula>
    </cfRule>
  </conditionalFormatting>
  <conditionalFormatting sqref="M10">
    <cfRule type="cellIs" dxfId="253" priority="45" operator="greaterThan">
      <formula>1</formula>
    </cfRule>
  </conditionalFormatting>
  <conditionalFormatting sqref="F26:N27">
    <cfRule type="expression" dxfId="252" priority="44">
      <formula>$N$24="No"</formula>
    </cfRule>
  </conditionalFormatting>
  <conditionalFormatting sqref="M36:M42">
    <cfRule type="expression" dxfId="251" priority="32">
      <formula>F36&gt;YEAR($C$30)</formula>
    </cfRule>
  </conditionalFormatting>
  <conditionalFormatting sqref="I49:J49">
    <cfRule type="expression" dxfId="250" priority="31">
      <formula>$H$49="no"</formula>
    </cfRule>
  </conditionalFormatting>
  <conditionalFormatting sqref="N14">
    <cfRule type="cellIs" dxfId="249" priority="29" operator="greaterThan">
      <formula>1</formula>
    </cfRule>
  </conditionalFormatting>
  <conditionalFormatting sqref="H29">
    <cfRule type="expression" dxfId="248" priority="24">
      <formula>$G$29="IRR Hurdle"</formula>
    </cfRule>
  </conditionalFormatting>
  <conditionalFormatting sqref="I29">
    <cfRule type="expression" dxfId="247" priority="21">
      <formula>$G$29="Multiple Hurdle"</formula>
    </cfRule>
  </conditionalFormatting>
  <conditionalFormatting sqref="N15">
    <cfRule type="expression" dxfId="246" priority="20">
      <formula>$N$15=0</formula>
    </cfRule>
  </conditionalFormatting>
  <conditionalFormatting sqref="H15">
    <cfRule type="expression" dxfId="245" priority="19">
      <formula>$H$15=0</formula>
    </cfRule>
  </conditionalFormatting>
  <conditionalFormatting sqref="O10">
    <cfRule type="cellIs" dxfId="244" priority="18" operator="greaterThan">
      <formula>1</formula>
    </cfRule>
  </conditionalFormatting>
  <conditionalFormatting sqref="H30:H32">
    <cfRule type="expression" dxfId="243" priority="12">
      <formula>H30=0</formula>
    </cfRule>
  </conditionalFormatting>
  <conditionalFormatting sqref="K36:K43 H36:J42">
    <cfRule type="expression" dxfId="242" priority="8">
      <formula>$F36&gt;$N$35</formula>
    </cfRule>
  </conditionalFormatting>
  <conditionalFormatting sqref="N54">
    <cfRule type="expression" dxfId="241" priority="6">
      <formula>$N$54&lt;&gt;1</formula>
    </cfRule>
  </conditionalFormatting>
  <conditionalFormatting sqref="M54">
    <cfRule type="expression" dxfId="240" priority="5">
      <formula>$N$54&lt;&gt;1</formula>
    </cfRule>
  </conditionalFormatting>
  <conditionalFormatting sqref="H7:H9 H12 H14:H15 H18:H19 G20:H21">
    <cfRule type="expression" dxfId="239" priority="4">
      <formula>$H$25=0</formula>
    </cfRule>
  </conditionalFormatting>
  <conditionalFormatting sqref="A51:C51">
    <cfRule type="expression" dxfId="238" priority="3">
      <formula>$C$47=0</formula>
    </cfRule>
  </conditionalFormatting>
  <conditionalFormatting sqref="Y42">
    <cfRule type="expression" dxfId="237" priority="2">
      <formula>$N$54&lt;&gt;1</formula>
    </cfRule>
  </conditionalFormatting>
  <conditionalFormatting sqref="Y59">
    <cfRule type="expression" dxfId="236" priority="1">
      <formula>$N$54&lt;&gt;1</formula>
    </cfRule>
  </conditionalFormatting>
  <dataValidations count="10">
    <dataValidation type="whole" allowBlank="1" showInputMessage="1" showErrorMessage="1" sqref="N12" xr:uid="{00000000-0002-0000-0F00-000001000000}">
      <formula1>1</formula1>
      <formula2>120</formula2>
    </dataValidation>
    <dataValidation type="list" allowBlank="1" showInputMessage="1" showErrorMessage="1" sqref="H48" xr:uid="{00000000-0002-0000-0F00-000002000000}">
      <formula1>"Current Year,Next Year,Blend"</formula1>
    </dataValidation>
    <dataValidation type="list" allowBlank="1" showInputMessage="1" showErrorMessage="1" sqref="N24 H49" xr:uid="{00000000-0002-0000-0F00-000003000000}">
      <formula1>"Yes,No"</formula1>
    </dataValidation>
    <dataValidation type="decimal" operator="greaterThan" allowBlank="1" showInputMessage="1" showErrorMessage="1" sqref="H46:H47" xr:uid="{00000000-0002-0000-0F00-000004000000}">
      <formula1>0</formula1>
    </dataValidation>
    <dataValidation type="date" operator="greaterThanOrEqual" allowBlank="1" showInputMessage="1" showErrorMessage="1" sqref="C37:C39" xr:uid="{00000000-0002-0000-0F00-000005000000}">
      <formula1>$C$27</formula1>
    </dataValidation>
    <dataValidation type="list" allowBlank="1" showInputMessage="1" showErrorMessage="1" sqref="N17:O17" xr:uid="{00000000-0002-0000-0F00-000006000000}">
      <formula1>"LTC,LTV"</formula1>
    </dataValidation>
    <dataValidation type="list" allowBlank="1" showInputMessage="1" showErrorMessage="1" sqref="M11" xr:uid="{00000000-0002-0000-0F00-000007000000}">
      <formula1>"Effective,Nominal"</formula1>
    </dataValidation>
    <dataValidation type="whole" allowBlank="1" showInputMessage="1" showErrorMessage="1" errorTitle="Construction Period" error="Please enter a number within the range of 10-48." sqref="C42" xr:uid="{00000000-0002-0000-0F00-000008000000}">
      <formula1>10</formula1>
      <formula2>60</formula2>
    </dataValidation>
    <dataValidation type="list" allowBlank="1" showInputMessage="1" showErrorMessage="1" sqref="D8" xr:uid="{00000000-0002-0000-0F00-00000C000000}">
      <formula1>"AZ,CA,CO,FL,GA,IL,MD,MN,NV,NJ,NC,OR,TX,UT,WA,State,Other"</formula1>
    </dataValidation>
    <dataValidation type="list" allowBlank="1" showInputMessage="1" showErrorMessage="1" sqref="N22" xr:uid="{D43CD707-9DE9-4EC5-B941-D3A3F7BA4F70}">
      <formula1>"Fixed,Floating"</formula1>
    </dataValidation>
  </dataValidations>
  <pageMargins left="0.25" right="0.25" top="0.4" bottom="0.4" header="0.25" footer="0.25"/>
  <pageSetup scale="60" orientation="landscape" r:id="rId1"/>
  <headerFooter>
    <oddHeader>&amp;R&amp;"Garamond,Regular"&amp;10Printed: &amp;D &amp;T</oddHeader>
    <oddFooter>&amp;R&amp;"Garamond,Regular"&amp;10Page &amp;P of &amp;N</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43" id="{9E01778C-8B43-405B-A761-5A24F7E8BB9D}">
            <xm:f>'Operating Inputs'!$C$110=0</xm:f>
            <x14:dxf>
              <font>
                <color theme="0" tint="-0.34998626667073579"/>
              </font>
            </x14:dxf>
          </x14:cfRule>
          <xm:sqref>F47:H47</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prompt="All dates in this model must be input as the first day of the month." xr:uid="{00000000-0002-0000-0F00-000009000000}">
          <x14:formula1>
            <xm:f>'Forward Curves'!$B$4:$B$459</xm:f>
          </x14:formula1>
          <xm:sqref>C27:C30</xm:sqref>
        </x14:dataValidation>
        <x14:dataValidation type="whole" operator="lessThanOrEqual" allowBlank="1" showInputMessage="1" showErrorMessage="1" errorTitle="Absorption" error="Absorption can not be more than units delivered less physical vacancy!" xr:uid="{00000000-0002-0000-0F00-00000A000000}">
          <x14:formula1>
            <xm:f>C43*(1-'Operating Inputs'!$C$8)</xm:f>
          </x14:formula1>
          <xm:sqref>N45</xm:sqref>
        </x14:dataValidation>
        <x14:dataValidation type="list" allowBlank="1" showInputMessage="1" showErrorMessage="1" xr:uid="{00000000-0002-0000-0F00-00000B000000}">
          <x14:formula1>
            <xm:f>'Development Inputs'!$B$247:$B$251</xm:f>
          </x14:formula1>
          <xm:sqref>B21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96059-2EDE-437C-BCCA-274EED1F211C}">
  <sheetPr codeName="Sheet32">
    <tabColor rgb="FF7030A0"/>
  </sheetPr>
  <dimension ref="A1:C62"/>
  <sheetViews>
    <sheetView showGridLines="0" topLeftCell="A10" workbookViewId="0">
      <selection activeCell="B29" sqref="B29"/>
    </sheetView>
  </sheetViews>
  <sheetFormatPr defaultRowHeight="14.4" x14ac:dyDescent="0.3"/>
  <cols>
    <col min="1" max="1" width="30" bestFit="1" customWidth="1"/>
    <col min="2" max="2" width="41.44140625" bestFit="1" customWidth="1"/>
    <col min="3" max="3" width="101.109375" style="226" customWidth="1"/>
  </cols>
  <sheetData>
    <row r="1" spans="1:3" x14ac:dyDescent="0.3">
      <c r="A1" s="2344" t="s">
        <v>1072</v>
      </c>
      <c r="B1" s="2344" t="s">
        <v>1073</v>
      </c>
      <c r="C1" s="2345" t="s">
        <v>834</v>
      </c>
    </row>
    <row r="2" spans="1:3" x14ac:dyDescent="0.3">
      <c r="A2" s="2675" t="s">
        <v>1074</v>
      </c>
      <c r="B2" s="2311" t="s">
        <v>1075</v>
      </c>
      <c r="C2" s="2419"/>
    </row>
    <row r="3" spans="1:3" x14ac:dyDescent="0.3">
      <c r="A3" s="2677"/>
      <c r="B3" s="2311" t="s">
        <v>1076</v>
      </c>
      <c r="C3" s="2419"/>
    </row>
    <row r="4" spans="1:3" x14ac:dyDescent="0.3">
      <c r="A4" s="2677"/>
      <c r="B4" s="2311" t="s">
        <v>1077</v>
      </c>
      <c r="C4" s="2419"/>
    </row>
    <row r="5" spans="1:3" x14ac:dyDescent="0.3">
      <c r="A5" s="2677"/>
      <c r="B5" s="2311" t="s">
        <v>1078</v>
      </c>
      <c r="C5" s="2419"/>
    </row>
    <row r="6" spans="1:3" x14ac:dyDescent="0.3">
      <c r="A6" s="2677"/>
      <c r="B6" s="2311" t="s">
        <v>1079</v>
      </c>
      <c r="C6" s="2419"/>
    </row>
    <row r="7" spans="1:3" x14ac:dyDescent="0.3">
      <c r="A7" s="2677"/>
      <c r="B7" s="2311" t="s">
        <v>1080</v>
      </c>
      <c r="C7" s="2419"/>
    </row>
    <row r="8" spans="1:3" x14ac:dyDescent="0.3">
      <c r="A8" s="2677"/>
      <c r="B8" s="2311" t="s">
        <v>1081</v>
      </c>
      <c r="C8" s="2419"/>
    </row>
    <row r="9" spans="1:3" x14ac:dyDescent="0.3">
      <c r="A9" s="2677"/>
      <c r="B9" s="2311" t="s">
        <v>1082</v>
      </c>
      <c r="C9" s="2419"/>
    </row>
    <row r="10" spans="1:3" x14ac:dyDescent="0.3">
      <c r="A10" s="2677"/>
      <c r="B10" s="2311" t="s">
        <v>1083</v>
      </c>
      <c r="C10" s="2419"/>
    </row>
    <row r="11" spans="1:3" x14ac:dyDescent="0.3">
      <c r="A11" s="2677"/>
      <c r="B11" s="2311" t="s">
        <v>1084</v>
      </c>
      <c r="C11" s="2419"/>
    </row>
    <row r="12" spans="1:3" x14ac:dyDescent="0.3">
      <c r="A12" s="2677"/>
      <c r="B12" s="2311" t="s">
        <v>1085</v>
      </c>
      <c r="C12" s="2419"/>
    </row>
    <row r="13" spans="1:3" x14ac:dyDescent="0.3">
      <c r="A13" s="2677"/>
      <c r="B13" s="2311" t="s">
        <v>1086</v>
      </c>
      <c r="C13" s="2420"/>
    </row>
    <row r="14" spans="1:3" x14ac:dyDescent="0.3">
      <c r="A14" s="2677"/>
      <c r="B14" s="2311" t="s">
        <v>1087</v>
      </c>
      <c r="C14" s="2420"/>
    </row>
    <row r="15" spans="1:3" x14ac:dyDescent="0.3">
      <c r="A15" s="2677"/>
      <c r="B15" s="2311" t="s">
        <v>1088</v>
      </c>
      <c r="C15" s="2419"/>
    </row>
    <row r="16" spans="1:3" x14ac:dyDescent="0.3">
      <c r="A16" s="2677"/>
      <c r="B16" s="2311" t="s">
        <v>1089</v>
      </c>
      <c r="C16" s="2419"/>
    </row>
    <row r="17" spans="1:3" x14ac:dyDescent="0.3">
      <c r="A17" s="2677"/>
      <c r="B17" s="2311" t="s">
        <v>1090</v>
      </c>
      <c r="C17" s="2419"/>
    </row>
    <row r="18" spans="1:3" x14ac:dyDescent="0.3">
      <c r="A18" s="2677"/>
      <c r="B18" s="2311" t="s">
        <v>1091</v>
      </c>
      <c r="C18" s="2419"/>
    </row>
    <row r="19" spans="1:3" x14ac:dyDescent="0.3">
      <c r="A19" s="2677"/>
      <c r="B19" s="2311" t="s">
        <v>1092</v>
      </c>
      <c r="C19" s="2419"/>
    </row>
    <row r="20" spans="1:3" x14ac:dyDescent="0.3">
      <c r="A20" s="2676"/>
      <c r="B20" s="2311" t="s">
        <v>1093</v>
      </c>
      <c r="C20" s="2420"/>
    </row>
    <row r="21" spans="1:3" x14ac:dyDescent="0.3">
      <c r="A21" s="2675" t="s">
        <v>1094</v>
      </c>
      <c r="B21" s="2311" t="s">
        <v>1095</v>
      </c>
      <c r="C21" s="2419"/>
    </row>
    <row r="22" spans="1:3" x14ac:dyDescent="0.3">
      <c r="A22" s="2677"/>
      <c r="B22" s="2311" t="s">
        <v>1096</v>
      </c>
      <c r="C22" s="2419"/>
    </row>
    <row r="23" spans="1:3" x14ac:dyDescent="0.3">
      <c r="A23" s="2677"/>
      <c r="B23" s="2311" t="s">
        <v>1097</v>
      </c>
      <c r="C23" s="2419"/>
    </row>
    <row r="24" spans="1:3" x14ac:dyDescent="0.3">
      <c r="A24" s="2677"/>
      <c r="B24" s="2311" t="s">
        <v>1098</v>
      </c>
      <c r="C24" s="2419"/>
    </row>
    <row r="25" spans="1:3" x14ac:dyDescent="0.3">
      <c r="A25" s="2677"/>
      <c r="B25" s="2311" t="s">
        <v>1099</v>
      </c>
      <c r="C25" s="2419"/>
    </row>
    <row r="26" spans="1:3" x14ac:dyDescent="0.3">
      <c r="A26" s="2677"/>
      <c r="B26" s="2311" t="s">
        <v>1100</v>
      </c>
      <c r="C26" s="2419"/>
    </row>
    <row r="27" spans="1:3" x14ac:dyDescent="0.3">
      <c r="A27" s="2677"/>
      <c r="B27" s="2311" t="s">
        <v>1101</v>
      </c>
      <c r="C27" s="2419"/>
    </row>
    <row r="28" spans="1:3" x14ac:dyDescent="0.3">
      <c r="A28" s="2676"/>
      <c r="B28" s="2311" t="s">
        <v>1102</v>
      </c>
      <c r="C28" s="2419"/>
    </row>
    <row r="29" spans="1:3" x14ac:dyDescent="0.3">
      <c r="A29" s="2675" t="s">
        <v>1103</v>
      </c>
      <c r="B29" s="2311" t="s">
        <v>1104</v>
      </c>
      <c r="C29" s="2419"/>
    </row>
    <row r="30" spans="1:3" x14ac:dyDescent="0.3">
      <c r="A30" s="2677"/>
      <c r="B30" s="2311" t="s">
        <v>1105</v>
      </c>
      <c r="C30" s="2419"/>
    </row>
    <row r="31" spans="1:3" x14ac:dyDescent="0.3">
      <c r="A31" s="2677"/>
      <c r="B31" s="2311" t="s">
        <v>1106</v>
      </c>
      <c r="C31" s="2419"/>
    </row>
    <row r="32" spans="1:3" x14ac:dyDescent="0.3">
      <c r="A32" s="2677"/>
      <c r="B32" s="2311" t="s">
        <v>1107</v>
      </c>
      <c r="C32" s="2419"/>
    </row>
    <row r="33" spans="1:3" x14ac:dyDescent="0.3">
      <c r="A33" s="2677"/>
      <c r="B33" s="2311" t="s">
        <v>1108</v>
      </c>
      <c r="C33" s="2419"/>
    </row>
    <row r="34" spans="1:3" x14ac:dyDescent="0.3">
      <c r="A34" s="2677"/>
      <c r="B34" s="2311" t="s">
        <v>1109</v>
      </c>
      <c r="C34" s="2419"/>
    </row>
    <row r="35" spans="1:3" x14ac:dyDescent="0.3">
      <c r="A35" s="2677"/>
      <c r="B35" s="2311" t="s">
        <v>1110</v>
      </c>
      <c r="C35" s="2419"/>
    </row>
    <row r="36" spans="1:3" x14ac:dyDescent="0.3">
      <c r="A36" s="2677"/>
      <c r="B36" s="2311" t="s">
        <v>1111</v>
      </c>
      <c r="C36" s="2419"/>
    </row>
    <row r="37" spans="1:3" x14ac:dyDescent="0.3">
      <c r="A37" s="2677"/>
      <c r="B37" s="2311" t="s">
        <v>1112</v>
      </c>
      <c r="C37" s="2419"/>
    </row>
    <row r="38" spans="1:3" x14ac:dyDescent="0.3">
      <c r="A38" s="2677"/>
      <c r="B38" s="2311" t="s">
        <v>1113</v>
      </c>
      <c r="C38" s="2419"/>
    </row>
    <row r="39" spans="1:3" x14ac:dyDescent="0.3">
      <c r="A39" s="2676"/>
      <c r="B39" s="2311" t="s">
        <v>1114</v>
      </c>
      <c r="C39" s="2419"/>
    </row>
    <row r="40" spans="1:3" x14ac:dyDescent="0.3">
      <c r="A40" s="2675" t="s">
        <v>1115</v>
      </c>
      <c r="B40" s="2311" t="s">
        <v>1116</v>
      </c>
      <c r="C40" s="2419"/>
    </row>
    <row r="41" spans="1:3" x14ac:dyDescent="0.3">
      <c r="A41" s="2677"/>
      <c r="B41" s="2311" t="s">
        <v>1117</v>
      </c>
      <c r="C41" s="2419"/>
    </row>
    <row r="42" spans="1:3" x14ac:dyDescent="0.3">
      <c r="A42" s="2677"/>
      <c r="B42" s="2311" t="s">
        <v>1118</v>
      </c>
      <c r="C42" s="2419"/>
    </row>
    <row r="43" spans="1:3" x14ac:dyDescent="0.3">
      <c r="A43" s="2677"/>
      <c r="B43" s="2311" t="s">
        <v>1119</v>
      </c>
      <c r="C43" s="2419"/>
    </row>
    <row r="44" spans="1:3" x14ac:dyDescent="0.3">
      <c r="A44" s="2677"/>
      <c r="B44" s="2311" t="s">
        <v>1120</v>
      </c>
      <c r="C44" s="2419"/>
    </row>
    <row r="45" spans="1:3" x14ac:dyDescent="0.3">
      <c r="A45" s="2676"/>
      <c r="B45" s="2311" t="s">
        <v>1121</v>
      </c>
      <c r="C45" s="2419"/>
    </row>
    <row r="46" spans="1:3" x14ac:dyDescent="0.3">
      <c r="A46" s="2675" t="s">
        <v>956</v>
      </c>
      <c r="B46" s="2421" t="s">
        <v>1122</v>
      </c>
      <c r="C46" s="2422" t="s">
        <v>1122</v>
      </c>
    </row>
    <row r="47" spans="1:3" x14ac:dyDescent="0.3">
      <c r="A47" s="2676"/>
      <c r="B47" s="2421" t="s">
        <v>1122</v>
      </c>
      <c r="C47" s="2422" t="s">
        <v>1122</v>
      </c>
    </row>
    <row r="49" spans="1:3" x14ac:dyDescent="0.3">
      <c r="A49" s="2344" t="s">
        <v>1123</v>
      </c>
      <c r="B49" s="2344" t="s">
        <v>1124</v>
      </c>
      <c r="C49" s="2345" t="s">
        <v>1125</v>
      </c>
    </row>
    <row r="50" spans="1:3" x14ac:dyDescent="0.3">
      <c r="A50" s="2311" t="s">
        <v>1126</v>
      </c>
      <c r="B50" s="2348"/>
      <c r="C50" s="2423"/>
    </row>
    <row r="51" spans="1:3" x14ac:dyDescent="0.3">
      <c r="A51" s="2311" t="s">
        <v>1127</v>
      </c>
      <c r="B51" s="2348"/>
      <c r="C51" s="2423"/>
    </row>
    <row r="52" spans="1:3" x14ac:dyDescent="0.3">
      <c r="A52" s="2311" t="s">
        <v>1128</v>
      </c>
      <c r="B52" s="2348"/>
      <c r="C52" s="2423"/>
    </row>
    <row r="53" spans="1:3" x14ac:dyDescent="0.3">
      <c r="A53" s="2311" t="s">
        <v>1129</v>
      </c>
      <c r="B53" s="2348"/>
      <c r="C53" s="2420"/>
    </row>
    <row r="54" spans="1:3" x14ac:dyDescent="0.3">
      <c r="A54" s="2311" t="s">
        <v>1130</v>
      </c>
      <c r="B54" s="2348"/>
      <c r="C54" s="2423"/>
    </row>
    <row r="55" spans="1:3" x14ac:dyDescent="0.3">
      <c r="A55" s="2311" t="s">
        <v>1131</v>
      </c>
      <c r="B55" s="2348"/>
      <c r="C55" s="2423"/>
    </row>
    <row r="56" spans="1:3" x14ac:dyDescent="0.3">
      <c r="A56" s="2311" t="s">
        <v>1132</v>
      </c>
      <c r="B56" s="2348"/>
      <c r="C56" s="2423"/>
    </row>
    <row r="57" spans="1:3" x14ac:dyDescent="0.3">
      <c r="A57" s="2311" t="s">
        <v>1133</v>
      </c>
      <c r="B57" s="2348"/>
      <c r="C57" s="2423"/>
    </row>
    <row r="58" spans="1:3" x14ac:dyDescent="0.3">
      <c r="A58" s="2311" t="s">
        <v>1134</v>
      </c>
      <c r="B58" s="2348"/>
      <c r="C58" s="2420"/>
    </row>
    <row r="59" spans="1:3" x14ac:dyDescent="0.3">
      <c r="A59" s="2311" t="s">
        <v>1135</v>
      </c>
      <c r="B59" s="2348"/>
      <c r="C59" s="2423"/>
    </row>
    <row r="60" spans="1:3" x14ac:dyDescent="0.3">
      <c r="A60" s="2311" t="s">
        <v>1136</v>
      </c>
      <c r="B60" s="2348"/>
      <c r="C60" s="2420"/>
    </row>
    <row r="61" spans="1:3" x14ac:dyDescent="0.3">
      <c r="A61" s="2311" t="s">
        <v>1137</v>
      </c>
      <c r="B61" s="2348"/>
      <c r="C61" s="2420"/>
    </row>
    <row r="62" spans="1:3" x14ac:dyDescent="0.3">
      <c r="A62" s="2421" t="s">
        <v>1122</v>
      </c>
      <c r="B62" s="2421" t="s">
        <v>1122</v>
      </c>
      <c r="C62" s="2422" t="s">
        <v>1122</v>
      </c>
    </row>
  </sheetData>
  <mergeCells count="5">
    <mergeCell ref="A46:A47"/>
    <mergeCell ref="A2:A20"/>
    <mergeCell ref="A29:A39"/>
    <mergeCell ref="A40:A45"/>
    <mergeCell ref="A21:A28"/>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588B0E-D771-4741-BDC3-C11686DA3971}">
  <sheetPr>
    <tabColor rgb="FF7030A0"/>
  </sheetPr>
  <dimension ref="B2:F5"/>
  <sheetViews>
    <sheetView view="pageBreakPreview" zoomScale="145" zoomScaleNormal="100" zoomScaleSheetLayoutView="145" workbookViewId="0">
      <selection activeCell="C4" sqref="C4"/>
    </sheetView>
  </sheetViews>
  <sheetFormatPr defaultColWidth="8.6640625" defaultRowHeight="14.4" x14ac:dyDescent="0.3"/>
  <cols>
    <col min="1" max="2" width="8.6640625" style="3"/>
    <col min="3" max="6" width="13.5546875" style="3" customWidth="1"/>
    <col min="7" max="16384" width="8.6640625" style="3"/>
  </cols>
  <sheetData>
    <row r="2" spans="2:6" x14ac:dyDescent="0.3">
      <c r="C2" s="2678" t="s">
        <v>1138</v>
      </c>
      <c r="D2" s="2679"/>
      <c r="E2" s="2679"/>
      <c r="F2" s="2680"/>
    </row>
    <row r="3" spans="2:6" ht="28.8" x14ac:dyDescent="0.3">
      <c r="C3" s="2582" t="s">
        <v>1139</v>
      </c>
      <c r="D3" s="2583" t="s">
        <v>1140</v>
      </c>
      <c r="E3" s="2583" t="s">
        <v>1141</v>
      </c>
      <c r="F3" s="2584" t="s">
        <v>1142</v>
      </c>
    </row>
    <row r="4" spans="2:6" x14ac:dyDescent="0.3">
      <c r="B4" s="2229" t="s">
        <v>1143</v>
      </c>
      <c r="C4" s="2336">
        <v>0.19545593649098358</v>
      </c>
      <c r="D4" s="2336">
        <v>0.18337627673198753</v>
      </c>
      <c r="E4" s="2336">
        <v>0.1802644348357112</v>
      </c>
      <c r="F4" s="2336">
        <v>0.15231608432092125</v>
      </c>
    </row>
    <row r="5" spans="2:6" x14ac:dyDescent="0.3">
      <c r="B5" s="2585" t="s">
        <v>1144</v>
      </c>
      <c r="C5" s="2585"/>
      <c r="D5" s="2586">
        <f>+(D4-$C$4)*100*100</f>
        <v>-120.79659758996053</v>
      </c>
      <c r="E5" s="2586">
        <f t="shared" ref="E5:F5" si="0">+(E4-$C$4)*100*100</f>
        <v>-151.91501655272387</v>
      </c>
      <c r="F5" s="2586">
        <f t="shared" si="0"/>
        <v>-431.39852170062329</v>
      </c>
    </row>
  </sheetData>
  <mergeCells count="1">
    <mergeCell ref="C2:F2"/>
  </mergeCell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83200-B70F-4DCD-9C81-61F703429DD7}">
  <sheetPr codeName="Sheet38">
    <tabColor rgb="FF7030A0"/>
  </sheetPr>
  <dimension ref="A1:L35"/>
  <sheetViews>
    <sheetView showGridLines="0" workbookViewId="0">
      <selection activeCell="F4" sqref="F4"/>
    </sheetView>
  </sheetViews>
  <sheetFormatPr defaultRowHeight="14.4" x14ac:dyDescent="0.3"/>
  <cols>
    <col min="1" max="1" width="33" customWidth="1"/>
    <col min="2" max="3" width="14.6640625" customWidth="1"/>
    <col min="4" max="4" width="49.33203125" customWidth="1"/>
  </cols>
  <sheetData>
    <row r="1" spans="1:9" s="1783" customFormat="1" x14ac:dyDescent="0.3">
      <c r="A1" s="2347" t="s">
        <v>1145</v>
      </c>
      <c r="B1" s="2347"/>
      <c r="C1" s="2347"/>
      <c r="D1" s="2347"/>
    </row>
    <row r="2" spans="1:9" x14ac:dyDescent="0.3">
      <c r="A2" s="2346" t="s">
        <v>1146</v>
      </c>
      <c r="B2" s="2346" t="s">
        <v>1147</v>
      </c>
      <c r="C2" s="2346" t="s">
        <v>1148</v>
      </c>
      <c r="D2" s="2346" t="s">
        <v>1149</v>
      </c>
    </row>
    <row r="3" spans="1:9" x14ac:dyDescent="0.3">
      <c r="A3" s="2311" t="s">
        <v>815</v>
      </c>
      <c r="B3" s="2348">
        <v>1.5</v>
      </c>
      <c r="C3" s="2311">
        <f>+B3*SUMIFS('Operating Inputs'!$E$15:$E$44,'Operating Inputs'!$A$15:$A$44,"&lt;&gt;T-*",'Operating Inputs'!$C$15:$C$44,1)</f>
        <v>168</v>
      </c>
      <c r="D3" s="2311"/>
    </row>
    <row r="4" spans="1:9" x14ac:dyDescent="0.3">
      <c r="A4" s="2311" t="s">
        <v>818</v>
      </c>
      <c r="B4" s="2348">
        <v>2</v>
      </c>
      <c r="C4" s="2311">
        <f>+B4*SUMIFS('Operating Inputs'!$E$15:$E$44,'Operating Inputs'!$C$15:$C$44,2)</f>
        <v>180</v>
      </c>
      <c r="D4" s="2311"/>
    </row>
    <row r="5" spans="1:9" x14ac:dyDescent="0.3">
      <c r="A5" s="2311" t="s">
        <v>1150</v>
      </c>
      <c r="B5" s="2348">
        <v>3</v>
      </c>
      <c r="C5" s="2311">
        <f>+B5*SUMIFS('Operating Inputs'!$E$15:$E$44,'Operating Inputs'!$C$15:$C$44,3)</f>
        <v>162</v>
      </c>
      <c r="D5" s="2311"/>
    </row>
    <row r="6" spans="1:9" x14ac:dyDescent="0.3">
      <c r="A6" s="2311"/>
      <c r="B6" s="2348"/>
      <c r="C6" s="2311"/>
      <c r="D6" s="2311"/>
    </row>
    <row r="7" spans="1:9" x14ac:dyDescent="0.3">
      <c r="A7" s="2311"/>
      <c r="B7" s="2348"/>
      <c r="C7" s="2311"/>
      <c r="D7" s="2311"/>
    </row>
    <row r="8" spans="1:9" x14ac:dyDescent="0.3">
      <c r="A8" s="2311" t="s">
        <v>1151</v>
      </c>
      <c r="B8" s="2348">
        <f>0.1*Units</f>
        <v>25.6</v>
      </c>
      <c r="C8" s="2311">
        <f>B8</f>
        <v>25.6</v>
      </c>
      <c r="D8" s="2311"/>
    </row>
    <row r="9" spans="1:9" x14ac:dyDescent="0.3">
      <c r="A9" s="2311" t="s">
        <v>1152</v>
      </c>
      <c r="B9" s="2311"/>
      <c r="C9" s="2311">
        <f>SUM(C3:C8)</f>
        <v>535.6</v>
      </c>
      <c r="D9" s="2311"/>
    </row>
    <row r="10" spans="1:9" x14ac:dyDescent="0.3">
      <c r="A10" s="2311" t="s">
        <v>1153</v>
      </c>
      <c r="B10" s="2311"/>
      <c r="C10" s="2337">
        <f>C9/Units</f>
        <v>2.0921875000000001</v>
      </c>
      <c r="D10" s="2311"/>
    </row>
    <row r="11" spans="1:9" x14ac:dyDescent="0.3">
      <c r="F11" s="700">
        <v>250</v>
      </c>
      <c r="G11" s="700" t="s">
        <v>1154</v>
      </c>
      <c r="H11" s="700">
        <v>240</v>
      </c>
      <c r="I11" t="s">
        <v>1154</v>
      </c>
    </row>
    <row r="12" spans="1:9" x14ac:dyDescent="0.3">
      <c r="A12" s="2311" t="s">
        <v>1155</v>
      </c>
      <c r="B12" s="2349">
        <f>G12-B13</f>
        <v>0.33076923076923082</v>
      </c>
      <c r="C12" s="2311">
        <f>ROUND(C$9*B12,0)-42</f>
        <v>135</v>
      </c>
      <c r="F12">
        <v>224</v>
      </c>
      <c r="G12">
        <f>F12/F$16</f>
        <v>0.43076923076923079</v>
      </c>
      <c r="H12">
        <v>231</v>
      </c>
      <c r="I12">
        <v>0.43076923076923079</v>
      </c>
    </row>
    <row r="13" spans="1:9" x14ac:dyDescent="0.3">
      <c r="A13" s="2311" t="s">
        <v>1156</v>
      </c>
      <c r="B13" s="2349">
        <v>0.1</v>
      </c>
      <c r="C13" s="2311">
        <f>ROUND(C$9*B13,0)</f>
        <v>54</v>
      </c>
      <c r="G13">
        <f>F13/F$16</f>
        <v>0</v>
      </c>
      <c r="I13">
        <v>0</v>
      </c>
    </row>
    <row r="14" spans="1:9" x14ac:dyDescent="0.3">
      <c r="A14" s="2311" t="s">
        <v>1157</v>
      </c>
      <c r="B14" s="2349">
        <f>G14</f>
        <v>0.17692307692307693</v>
      </c>
      <c r="C14" s="2311">
        <f>ROUND(C$9*B14,0)+42</f>
        <v>137</v>
      </c>
      <c r="F14">
        <v>92</v>
      </c>
      <c r="G14">
        <f>F14/F$16</f>
        <v>0.17692307692307693</v>
      </c>
      <c r="H14">
        <v>72</v>
      </c>
      <c r="I14">
        <v>0.17692307692307693</v>
      </c>
    </row>
    <row r="15" spans="1:9" x14ac:dyDescent="0.3">
      <c r="A15" s="2311" t="s">
        <v>1158</v>
      </c>
      <c r="B15" s="2349">
        <f>G15</f>
        <v>0.3923076923076923</v>
      </c>
      <c r="C15" s="2311">
        <f>ROUND(C$9*B15,0)</f>
        <v>210</v>
      </c>
      <c r="D15" t="b">
        <f>+(C15+C14)&gt;=SUMIF('Operating Inputs'!$A$15:$A$44,"&lt;&gt;T-*",'Operating Inputs'!$E$15:$E$44)</f>
        <v>1</v>
      </c>
      <c r="F15">
        <v>204</v>
      </c>
      <c r="G15">
        <f>F15/F$16</f>
        <v>0.3923076923076923</v>
      </c>
      <c r="H15">
        <v>204</v>
      </c>
      <c r="I15">
        <v>0.3923076923076923</v>
      </c>
    </row>
    <row r="16" spans="1:9" x14ac:dyDescent="0.3">
      <c r="A16" s="2311" t="s">
        <v>1152</v>
      </c>
      <c r="B16" s="2312">
        <f>SUM(B12:B15)</f>
        <v>1</v>
      </c>
      <c r="C16" s="2311">
        <f>SUM(C12:C15)</f>
        <v>536</v>
      </c>
      <c r="D16" s="2476" t="b">
        <f>C16=C9</f>
        <v>0</v>
      </c>
      <c r="F16">
        <f>SUM(F12:F15)</f>
        <v>520</v>
      </c>
      <c r="H16">
        <f>SUM(H12:H15)</f>
        <v>507</v>
      </c>
    </row>
    <row r="18" spans="1:12" s="1783" customFormat="1" x14ac:dyDescent="0.3">
      <c r="A18" s="2347" t="s">
        <v>1159</v>
      </c>
      <c r="B18" s="2347"/>
      <c r="C18"/>
      <c r="D18"/>
    </row>
    <row r="19" spans="1:12" x14ac:dyDescent="0.3">
      <c r="A19" s="2310" t="s">
        <v>1160</v>
      </c>
      <c r="B19" s="2313">
        <f>Units</f>
        <v>256</v>
      </c>
    </row>
    <row r="20" spans="1:12" x14ac:dyDescent="0.3">
      <c r="A20" s="2310" t="s">
        <v>1161</v>
      </c>
      <c r="B20" s="2313">
        <f>FirstUnits</f>
        <v>14</v>
      </c>
    </row>
    <row r="21" spans="1:12" x14ac:dyDescent="0.3">
      <c r="A21" s="2310" t="s">
        <v>1162</v>
      </c>
      <c r="B21" s="2350">
        <v>24</v>
      </c>
    </row>
    <row r="22" spans="1:12" x14ac:dyDescent="0.3">
      <c r="A22" s="2310" t="s">
        <v>1163</v>
      </c>
      <c r="B22" s="2313">
        <f>B19-B21</f>
        <v>232</v>
      </c>
      <c r="L22">
        <f ca="1">+'Tax Calcs'!AG12/(1.03^5)</f>
        <v>69266116.488398239</v>
      </c>
    </row>
    <row r="23" spans="1:12" x14ac:dyDescent="0.3">
      <c r="A23" s="2310" t="s">
        <v>1164</v>
      </c>
      <c r="B23" s="2350">
        <v>24</v>
      </c>
    </row>
    <row r="24" spans="1:12" x14ac:dyDescent="0.3">
      <c r="A24" s="2310" t="s">
        <v>1165</v>
      </c>
      <c r="B24" s="2313">
        <f>B22/B23</f>
        <v>9.6666666666666661</v>
      </c>
    </row>
    <row r="25" spans="1:12" x14ac:dyDescent="0.3">
      <c r="A25" s="2310" t="s">
        <v>1166</v>
      </c>
      <c r="B25" s="2313">
        <f>B20+B24</f>
        <v>23.666666666666664</v>
      </c>
    </row>
    <row r="26" spans="1:12" x14ac:dyDescent="0.3">
      <c r="A26" s="2310" t="s">
        <v>1167</v>
      </c>
      <c r="B26" s="2314">
        <f>B25+3</f>
        <v>26.666666666666664</v>
      </c>
    </row>
    <row r="28" spans="1:12" s="1783" customFormat="1" x14ac:dyDescent="0.3">
      <c r="A28" s="2347" t="s">
        <v>1168</v>
      </c>
      <c r="B28" s="2347"/>
      <c r="C28"/>
      <c r="D28"/>
    </row>
    <row r="29" spans="1:12" x14ac:dyDescent="0.3">
      <c r="A29" s="2315">
        <f>'General Inputs'!F36</f>
        <v>2026</v>
      </c>
      <c r="B29" s="2454">
        <v>1.0350000000000002E-2</v>
      </c>
    </row>
    <row r="30" spans="1:12" x14ac:dyDescent="0.3">
      <c r="A30" s="2315">
        <f>'General Inputs'!F37</f>
        <v>2027</v>
      </c>
      <c r="B30" s="2454">
        <v>2.1600000000000001E-2</v>
      </c>
    </row>
    <row r="31" spans="1:12" x14ac:dyDescent="0.3">
      <c r="A31" s="2315">
        <f>'General Inputs'!F38</f>
        <v>2028</v>
      </c>
      <c r="B31" s="2454">
        <v>2.4350000000000004E-2</v>
      </c>
    </row>
    <row r="32" spans="1:12" x14ac:dyDescent="0.3">
      <c r="A32" s="2315">
        <f>'General Inputs'!F39</f>
        <v>2029</v>
      </c>
      <c r="B32" s="2454">
        <v>5.5600000000000004E-2</v>
      </c>
    </row>
    <row r="33" spans="1:2" x14ac:dyDescent="0.3">
      <c r="A33" s="2315">
        <f>'General Inputs'!F40</f>
        <v>2030</v>
      </c>
      <c r="B33" s="2454">
        <v>5.04E-2</v>
      </c>
    </row>
    <row r="34" spans="1:2" x14ac:dyDescent="0.3">
      <c r="A34" s="2315">
        <f>'General Inputs'!F41</f>
        <v>2031</v>
      </c>
      <c r="B34" s="2454">
        <v>3.2550000000000003E-2</v>
      </c>
    </row>
    <row r="35" spans="1:2" x14ac:dyDescent="0.3">
      <c r="A35" s="2315">
        <f>'General Inputs'!F42</f>
        <v>2032</v>
      </c>
      <c r="B35" s="2454">
        <f>AVERAGE(B33:B34)</f>
        <v>4.1474999999999998E-2</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
    <tabColor rgb="FF003300"/>
  </sheetPr>
  <dimension ref="A1:JX1436"/>
  <sheetViews>
    <sheetView showGridLines="0" topLeftCell="F1" zoomScale="70" zoomScaleNormal="70" zoomScaleSheetLayoutView="90" workbookViewId="0">
      <pane ySplit="2" topLeftCell="A3" activePane="bottomLeft" state="frozen"/>
      <selection pane="bottomLeft" sqref="A1:M1"/>
    </sheetView>
  </sheetViews>
  <sheetFormatPr defaultColWidth="18.5546875" defaultRowHeight="14.4" outlineLevelCol="1" x14ac:dyDescent="0.3"/>
  <cols>
    <col min="1" max="11" width="17.33203125" customWidth="1"/>
    <col min="12" max="12" width="18.5546875" bestFit="1" customWidth="1"/>
    <col min="13" max="13" width="17.33203125" customWidth="1"/>
    <col min="14" max="14" width="18.5546875" style="200" hidden="1" customWidth="1"/>
    <col min="15" max="148" width="18.5546875" hidden="1" customWidth="1" outlineLevel="1"/>
    <col min="149" max="149" width="18.5546875" customWidth="1" collapsed="1"/>
    <col min="150" max="282" width="18.5546875" hidden="1" customWidth="1" outlineLevel="1"/>
    <col min="283" max="283" width="18.5546875" collapsed="1"/>
  </cols>
  <sheetData>
    <row r="1" spans="1:149" ht="28.8" x14ac:dyDescent="0.55000000000000004">
      <c r="A1" s="2630" t="str">
        <f>Summary!A1</f>
        <v>Emblem Meridian - Meridian, Other</v>
      </c>
      <c r="B1" s="2631"/>
      <c r="C1" s="2631"/>
      <c r="D1" s="2631"/>
      <c r="E1" s="2631"/>
      <c r="F1" s="2631"/>
      <c r="G1" s="2631"/>
      <c r="H1" s="2631"/>
      <c r="I1" s="2631"/>
      <c r="J1" s="2631"/>
      <c r="K1" s="2631"/>
      <c r="L1" s="2631"/>
      <c r="M1" s="2662"/>
    </row>
    <row r="2" spans="1:149" ht="21.6" thickBot="1" x14ac:dyDescent="0.45">
      <c r="A2" s="201"/>
      <c r="B2" s="202"/>
      <c r="C2" s="113"/>
      <c r="D2" s="2674" t="s">
        <v>563</v>
      </c>
      <c r="E2" s="2674"/>
      <c r="F2" s="2674"/>
      <c r="G2" s="2674"/>
      <c r="H2" s="2674"/>
      <c r="I2" s="2674"/>
      <c r="J2" s="2674"/>
      <c r="K2" s="113"/>
      <c r="L2" s="202"/>
      <c r="M2" s="114" t="str">
        <f ca="1">'General Inputs'!$O$2</f>
        <v>In-Place ROC = 6.65%; Project IRR = 30.59%</v>
      </c>
    </row>
    <row r="3" spans="1:149" ht="7.5" customHeight="1" thickTop="1" x14ac:dyDescent="0.3">
      <c r="H3" s="203"/>
    </row>
    <row r="4" spans="1:149" ht="15.6" x14ac:dyDescent="0.3">
      <c r="A4" s="115" t="str">
        <f>"INCOME INPUTS (as of "&amp;TEXT('General Inputs'!C37,"MM-DD-YY")&amp;")"</f>
        <v>INCOME INPUTS (as of 06-01-26)</v>
      </c>
      <c r="B4" s="204"/>
      <c r="C4" s="204"/>
      <c r="D4" s="204"/>
      <c r="E4" s="204"/>
      <c r="F4" s="204"/>
      <c r="G4" s="204"/>
      <c r="H4" s="204"/>
      <c r="I4" s="204"/>
      <c r="J4" s="204"/>
      <c r="K4" s="204"/>
      <c r="L4" s="204"/>
      <c r="M4" s="117"/>
      <c r="N4" s="205">
        <v>2.4922991142940227</v>
      </c>
    </row>
    <row r="5" spans="1:149" ht="3.75" customHeight="1" thickBot="1" x14ac:dyDescent="0.35">
      <c r="A5" s="119"/>
      <c r="B5" s="119"/>
      <c r="C5" s="119"/>
      <c r="D5" s="119"/>
      <c r="E5" s="119"/>
      <c r="F5" s="119"/>
      <c r="G5" s="119"/>
      <c r="H5" s="119"/>
      <c r="I5" s="119"/>
      <c r="J5" s="119"/>
      <c r="K5" s="119"/>
      <c r="L5" s="119"/>
      <c r="M5" s="119"/>
      <c r="N5" s="205">
        <v>2.4807164262232058</v>
      </c>
    </row>
    <row r="6" spans="1:149" ht="7.5" customHeight="1" thickTop="1" x14ac:dyDescent="0.3">
      <c r="A6" s="206"/>
      <c r="B6" s="206"/>
      <c r="C6" s="206"/>
      <c r="D6" s="206"/>
      <c r="E6" s="206"/>
      <c r="F6" s="206"/>
      <c r="G6" s="206"/>
      <c r="H6" s="206"/>
      <c r="I6" s="206"/>
      <c r="J6" s="206"/>
      <c r="K6" s="206"/>
      <c r="L6" s="206"/>
      <c r="M6" s="206"/>
      <c r="N6" s="205"/>
    </row>
    <row r="7" spans="1:149" s="182" customFormat="1" x14ac:dyDescent="0.3">
      <c r="A7" s="207" t="s">
        <v>1169</v>
      </c>
      <c r="B7" s="208"/>
      <c r="E7" s="207" t="s">
        <v>1170</v>
      </c>
      <c r="F7" s="208"/>
      <c r="H7" s="209"/>
      <c r="K7" s="207"/>
      <c r="N7" s="205"/>
    </row>
    <row r="8" spans="1:149" x14ac:dyDescent="0.3">
      <c r="A8" s="111" t="s">
        <v>688</v>
      </c>
      <c r="B8" s="210"/>
      <c r="C8" s="7">
        <v>0.04</v>
      </c>
      <c r="E8" s="111" t="s">
        <v>1171</v>
      </c>
      <c r="G8" s="8" t="s">
        <v>998</v>
      </c>
      <c r="H8" s="9">
        <v>2.4900000000000002</v>
      </c>
      <c r="J8" s="351" t="s">
        <v>1172</v>
      </c>
      <c r="K8" s="10">
        <v>1.5</v>
      </c>
      <c r="L8" s="351" t="s">
        <v>1173</v>
      </c>
      <c r="M8" s="11">
        <v>0.6</v>
      </c>
      <c r="N8" s="205">
        <f>IF(SUM(N15:N44)=0,0,SUMIF(N15:N44,1,K15:K44)/BMRNRSF)</f>
        <v>0</v>
      </c>
    </row>
    <row r="9" spans="1:149" x14ac:dyDescent="0.3">
      <c r="A9" s="111" t="s">
        <v>691</v>
      </c>
      <c r="B9" s="210"/>
      <c r="C9" s="7">
        <v>5.0000000000000001E-3</v>
      </c>
      <c r="E9" t="s">
        <v>1174</v>
      </c>
      <c r="G9" s="8" t="s">
        <v>998</v>
      </c>
      <c r="H9" s="9">
        <v>2.35</v>
      </c>
      <c r="J9" s="351" t="s">
        <v>1175</v>
      </c>
      <c r="K9" s="11">
        <v>0.9</v>
      </c>
      <c r="N9" s="205">
        <f>SUMIF(N15:N44,0,K15:K44)/MarketNRSF</f>
        <v>2.2032383448428878</v>
      </c>
    </row>
    <row r="10" spans="1:149" x14ac:dyDescent="0.3">
      <c r="A10" s="111" t="s">
        <v>693</v>
      </c>
      <c r="C10" s="212">
        <f>Models/Units</f>
        <v>1.3671875E-2</v>
      </c>
      <c r="D10" s="1115">
        <v>3.5</v>
      </c>
      <c r="E10" t="s">
        <v>1176</v>
      </c>
      <c r="G10" s="1598">
        <v>12</v>
      </c>
      <c r="J10" s="351" t="s">
        <v>1177</v>
      </c>
      <c r="K10" s="10">
        <v>0</v>
      </c>
      <c r="N10" s="205">
        <f>I45</f>
        <v>2.2032383448428878</v>
      </c>
    </row>
    <row r="11" spans="1:149" ht="15" thickBot="1" x14ac:dyDescent="0.35">
      <c r="A11" s="213" t="s">
        <v>1169</v>
      </c>
      <c r="B11" s="214"/>
      <c r="C11" s="215">
        <f>SUM(C8:C10)</f>
        <v>5.8671874999999998E-2</v>
      </c>
      <c r="D11" s="701"/>
      <c r="E11" t="s">
        <v>1178</v>
      </c>
      <c r="G11" s="1598">
        <v>12</v>
      </c>
      <c r="H11" s="210"/>
      <c r="J11" s="351" t="s">
        <v>1179</v>
      </c>
      <c r="K11" s="1485">
        <f>IF('Development Inputs'!$N$97="PropCo",Summary!S35-Summary!S34,0)</f>
        <v>0</v>
      </c>
      <c r="N11" s="200">
        <v>0</v>
      </c>
    </row>
    <row r="12" spans="1:149" ht="15" thickTop="1" x14ac:dyDescent="0.3">
      <c r="N12" s="200">
        <v>0</v>
      </c>
    </row>
    <row r="13" spans="1:149" x14ac:dyDescent="0.3">
      <c r="A13" s="216" t="s">
        <v>1180</v>
      </c>
      <c r="B13" s="217"/>
      <c r="C13" s="218"/>
      <c r="D13" s="218"/>
      <c r="E13" s="218"/>
      <c r="F13" s="218"/>
      <c r="G13" s="218"/>
      <c r="H13" s="218" t="s">
        <v>1181</v>
      </c>
      <c r="I13" s="218" t="s">
        <v>1181</v>
      </c>
      <c r="J13" s="218"/>
      <c r="K13" s="218" t="s">
        <v>1182</v>
      </c>
      <c r="L13" s="218" t="s">
        <v>1182</v>
      </c>
      <c r="M13" s="219" t="s">
        <v>1183</v>
      </c>
      <c r="N13" s="220"/>
      <c r="P13" s="118" t="s">
        <v>947</v>
      </c>
    </row>
    <row r="14" spans="1:149" s="226" customFormat="1" ht="15" thickBot="1" x14ac:dyDescent="0.35">
      <c r="A14" s="221" t="s">
        <v>1184</v>
      </c>
      <c r="B14" s="222" t="s">
        <v>1072</v>
      </c>
      <c r="C14" s="222" t="s">
        <v>1185</v>
      </c>
      <c r="D14" s="222" t="s">
        <v>1186</v>
      </c>
      <c r="E14" s="222" t="s">
        <v>736</v>
      </c>
      <c r="F14" s="222" t="s">
        <v>229</v>
      </c>
      <c r="G14" s="222" t="s">
        <v>1187</v>
      </c>
      <c r="H14" s="223" t="s">
        <v>1188</v>
      </c>
      <c r="I14" s="223" t="s">
        <v>1189</v>
      </c>
      <c r="J14" s="222" t="s">
        <v>810</v>
      </c>
      <c r="K14" s="222" t="s">
        <v>1190</v>
      </c>
      <c r="L14" s="223" t="s">
        <v>1191</v>
      </c>
      <c r="M14" s="224" t="s">
        <v>1192</v>
      </c>
      <c r="N14" s="225"/>
      <c r="O14"/>
      <c r="P14"/>
      <c r="Q14"/>
      <c r="R14"/>
      <c r="S14"/>
      <c r="T14"/>
      <c r="U14"/>
      <c r="V14"/>
      <c r="W14"/>
      <c r="X14"/>
      <c r="Y14"/>
      <c r="Z14"/>
      <c r="AA14"/>
      <c r="AB14"/>
    </row>
    <row r="15" spans="1:149" ht="15" thickTop="1" x14ac:dyDescent="0.3">
      <c r="A15" s="1548" t="str">
        <f>IF('Development Inputs'!$B$245='Development Inputs'!$B$251,'Emblem Unit Mix'!J7,'Emblem Unit Mix'!D7)</f>
        <v>A1.1</v>
      </c>
      <c r="B15" s="1549" t="s">
        <v>1022</v>
      </c>
      <c r="C15" s="1550">
        <f>IF('Development Inputs'!$B$245='Development Inputs'!$B$251,'Emblem Unit Mix'!K7,'Emblem Unit Mix'!E7)</f>
        <v>1</v>
      </c>
      <c r="D15" s="1551">
        <f>IF('Development Inputs'!$B$245='Development Inputs'!$B$251,'Emblem Unit Mix'!L7,'Emblem Unit Mix'!F7)</f>
        <v>1</v>
      </c>
      <c r="E15" s="12">
        <f>+VLOOKUP($A15,'Module Builder'!$C$60:$J$83,8,FALSE)</f>
        <v>36</v>
      </c>
      <c r="F15" s="199">
        <f t="shared" ref="F15:F44" si="0">IF(Units=0,0,E15/Units)</f>
        <v>0.140625</v>
      </c>
      <c r="G15" s="12">
        <f>IFERROR(VLOOKUP($A15,'Emblem Unit Mix'!$D$39:$G$66,4,0),0)</f>
        <v>635</v>
      </c>
      <c r="H15" s="227">
        <f t="shared" ref="H15:H44" si="1">IF(AND($G$9="Yes",$N15=0),$H$9*$G15,IF(AND($G$8="Yes",$N15=1),$H$8*$G15,M15))</f>
        <v>1672.895</v>
      </c>
      <c r="I15" s="228">
        <f t="shared" ref="I15:I44" si="2">IF(J15=0,0,K15/J15)</f>
        <v>2.63448031496063</v>
      </c>
      <c r="J15" s="229">
        <f t="shared" ref="J15:J44" si="3">G15*E15</f>
        <v>22860</v>
      </c>
      <c r="K15" s="227">
        <f t="shared" ref="K15:K44" si="4">H15*E15</f>
        <v>60224.22</v>
      </c>
      <c r="L15" s="227">
        <f t="shared" ref="L15:L44" si="5">K15*12</f>
        <v>722690.64</v>
      </c>
      <c r="M15" s="12">
        <f>+'Operating Input Details'!$S$12</f>
        <v>1672.895</v>
      </c>
      <c r="N15" s="230">
        <f t="shared" ref="N15:N44" si="6">IF(OR(B15="Market",B15=0),0,1)</f>
        <v>0</v>
      </c>
    </row>
    <row r="16" spans="1:149" x14ac:dyDescent="0.3">
      <c r="A16" s="1552" t="str">
        <f>IF('Development Inputs'!$B$245='Development Inputs'!$B$251,'Emblem Unit Mix'!J8,'Emblem Unit Mix'!D8)</f>
        <v>A1.2</v>
      </c>
      <c r="B16" s="1553" t="s">
        <v>1022</v>
      </c>
      <c r="C16" s="1545">
        <f>IF('Development Inputs'!$B$245='Development Inputs'!$B$251,'Emblem Unit Mix'!K8,'Emblem Unit Mix'!E8)</f>
        <v>1</v>
      </c>
      <c r="D16" s="1554">
        <f>IF('Development Inputs'!$B$245='Development Inputs'!$B$251,'Emblem Unit Mix'!L8,'Emblem Unit Mix'!F8)</f>
        <v>1</v>
      </c>
      <c r="E16" s="12">
        <f>+VLOOKUP($A16,'Module Builder'!$C$60:$J$83,8,FALSE)</f>
        <v>4</v>
      </c>
      <c r="F16" s="199">
        <f t="shared" si="0"/>
        <v>1.5625E-2</v>
      </c>
      <c r="G16" s="12">
        <f>IFERROR(VLOOKUP($A16,'Emblem Unit Mix'!$D$39:$G$66,4,0),0)</f>
        <v>677</v>
      </c>
      <c r="H16" s="229">
        <f t="shared" si="1"/>
        <v>1672.895</v>
      </c>
      <c r="I16" s="233">
        <f t="shared" si="2"/>
        <v>2.4710413589364846</v>
      </c>
      <c r="J16" s="229">
        <f t="shared" si="3"/>
        <v>2708</v>
      </c>
      <c r="K16" s="229">
        <f t="shared" si="4"/>
        <v>6691.58</v>
      </c>
      <c r="L16" s="229">
        <f t="shared" si="5"/>
        <v>80298.959999999992</v>
      </c>
      <c r="M16" s="12">
        <f>+'Operating Input Details'!$S$12</f>
        <v>1672.895</v>
      </c>
      <c r="N16" s="230">
        <f t="shared" si="6"/>
        <v>0</v>
      </c>
      <c r="ES16" s="229"/>
    </row>
    <row r="17" spans="1:149" x14ac:dyDescent="0.3">
      <c r="A17" s="1552" t="str">
        <f>IF('Development Inputs'!$B$245='Development Inputs'!$B$251,'Emblem Unit Mix'!J9,'Emblem Unit Mix'!D9)</f>
        <v>A2.1</v>
      </c>
      <c r="B17" s="1553" t="s">
        <v>1022</v>
      </c>
      <c r="C17" s="1545">
        <f>IF('Development Inputs'!$B$245='Development Inputs'!$B$251,'Emblem Unit Mix'!K9,'Emblem Unit Mix'!E9)</f>
        <v>1</v>
      </c>
      <c r="D17" s="1554">
        <f>IF('Development Inputs'!$B$245='Development Inputs'!$B$251,'Emblem Unit Mix'!L9,'Emblem Unit Mix'!F9)</f>
        <v>1</v>
      </c>
      <c r="E17" s="12">
        <f>+VLOOKUP($A17,'Module Builder'!$C$60:$J$83,8,FALSE)</f>
        <v>60</v>
      </c>
      <c r="F17" s="199">
        <f t="shared" si="0"/>
        <v>0.234375</v>
      </c>
      <c r="G17" s="12">
        <f>IFERROR(VLOOKUP($A17,'Emblem Unit Mix'!$D$39:$G$66,4,0),0)</f>
        <v>725</v>
      </c>
      <c r="H17" s="229">
        <f t="shared" si="1"/>
        <v>1786.575</v>
      </c>
      <c r="I17" s="233">
        <f t="shared" si="2"/>
        <v>2.4642413793103448</v>
      </c>
      <c r="J17" s="229">
        <f t="shared" si="3"/>
        <v>43500</v>
      </c>
      <c r="K17" s="229">
        <f t="shared" si="4"/>
        <v>107194.5</v>
      </c>
      <c r="L17" s="229">
        <f t="shared" si="5"/>
        <v>1286334</v>
      </c>
      <c r="M17" s="12">
        <f>+'Operating Input Details'!$S$13</f>
        <v>1786.575</v>
      </c>
      <c r="N17" s="230">
        <f t="shared" si="6"/>
        <v>0</v>
      </c>
      <c r="ES17" s="229"/>
    </row>
    <row r="18" spans="1:149" x14ac:dyDescent="0.3">
      <c r="A18" s="1552" t="str">
        <f>IF('Development Inputs'!$B$245='Development Inputs'!$B$251,'Emblem Unit Mix'!J10,'Emblem Unit Mix'!D10)</f>
        <v>A2.2</v>
      </c>
      <c r="B18" s="1553" t="s">
        <v>1022</v>
      </c>
      <c r="C18" s="1545">
        <f>IF('Development Inputs'!$B$245='Development Inputs'!$B$251,'Emblem Unit Mix'!K10,'Emblem Unit Mix'!E10)</f>
        <v>1</v>
      </c>
      <c r="D18" s="1554">
        <f>IF('Development Inputs'!$B$245='Development Inputs'!$B$251,'Emblem Unit Mix'!L10,'Emblem Unit Mix'!F10)</f>
        <v>1</v>
      </c>
      <c r="E18" s="12">
        <f>+VLOOKUP($A18,'Module Builder'!$C$60:$J$83,8,FALSE)</f>
        <v>12</v>
      </c>
      <c r="F18" s="199">
        <f t="shared" si="0"/>
        <v>4.6875E-2</v>
      </c>
      <c r="G18" s="12">
        <f>IFERROR(VLOOKUP($A18,'Emblem Unit Mix'!$D$39:$G$66,4,0),0)</f>
        <v>767</v>
      </c>
      <c r="H18" s="229">
        <f t="shared" si="1"/>
        <v>1786.575</v>
      </c>
      <c r="I18" s="233">
        <f t="shared" si="2"/>
        <v>2.3293024771838331</v>
      </c>
      <c r="J18" s="229">
        <f t="shared" si="3"/>
        <v>9204</v>
      </c>
      <c r="K18" s="229">
        <f t="shared" si="4"/>
        <v>21438.9</v>
      </c>
      <c r="L18" s="229">
        <f t="shared" si="5"/>
        <v>257266.80000000002</v>
      </c>
      <c r="M18" s="12">
        <f>+'Operating Input Details'!$S$13</f>
        <v>1786.575</v>
      </c>
      <c r="N18" s="230">
        <f t="shared" si="6"/>
        <v>0</v>
      </c>
      <c r="ES18" s="229"/>
    </row>
    <row r="19" spans="1:149" x14ac:dyDescent="0.3">
      <c r="A19" s="1552" t="str">
        <f>IF('Development Inputs'!$B$245='Development Inputs'!$B$251,'Emblem Unit Mix'!J11,'Emblem Unit Mix'!D11)</f>
        <v>B1.1</v>
      </c>
      <c r="B19" s="1553" t="s">
        <v>1022</v>
      </c>
      <c r="C19" s="1545">
        <f>IF('Development Inputs'!$B$245='Development Inputs'!$B$251,'Emblem Unit Mix'!K11,'Emblem Unit Mix'!E11)</f>
        <v>2</v>
      </c>
      <c r="D19" s="1554">
        <f>IF('Development Inputs'!$B$245='Development Inputs'!$B$251,'Emblem Unit Mix'!L11,'Emblem Unit Mix'!F11)</f>
        <v>1</v>
      </c>
      <c r="E19" s="12">
        <f>+VLOOKUP($A19,'Module Builder'!$C$60:$J$83,8,FALSE)</f>
        <v>12</v>
      </c>
      <c r="F19" s="199">
        <f t="shared" si="0"/>
        <v>4.6875E-2</v>
      </c>
      <c r="G19" s="12">
        <f>IFERROR(VLOOKUP($A19,'Emblem Unit Mix'!$D$39:$G$66,4,0),0)</f>
        <v>852</v>
      </c>
      <c r="H19" s="229">
        <f t="shared" si="1"/>
        <v>2028.1916666666668</v>
      </c>
      <c r="I19" s="233">
        <f t="shared" si="2"/>
        <v>2.3805066510172148</v>
      </c>
      <c r="J19" s="229">
        <f t="shared" si="3"/>
        <v>10224</v>
      </c>
      <c r="K19" s="229">
        <f t="shared" si="4"/>
        <v>24338.300000000003</v>
      </c>
      <c r="L19" s="229">
        <f t="shared" si="5"/>
        <v>292059.60000000003</v>
      </c>
      <c r="M19" s="12">
        <f>+'Operating Input Details'!$S$15</f>
        <v>2028.1916666666668</v>
      </c>
      <c r="N19" s="230">
        <f t="shared" si="6"/>
        <v>0</v>
      </c>
      <c r="ES19" s="229"/>
    </row>
    <row r="20" spans="1:149" x14ac:dyDescent="0.3">
      <c r="A20" s="1552" t="str">
        <f>IF('Development Inputs'!$B$245='Development Inputs'!$B$251,'Emblem Unit Mix'!J12,'Emblem Unit Mix'!D12)</f>
        <v>B1.2</v>
      </c>
      <c r="B20" s="1553" t="s">
        <v>1022</v>
      </c>
      <c r="C20" s="1545">
        <f>IF('Development Inputs'!$B$245='Development Inputs'!$B$251,'Emblem Unit Mix'!K12,'Emblem Unit Mix'!E12)</f>
        <v>2</v>
      </c>
      <c r="D20" s="1554">
        <f>IF('Development Inputs'!$B$245='Development Inputs'!$B$251,'Emblem Unit Mix'!L12,'Emblem Unit Mix'!F12)</f>
        <v>1</v>
      </c>
      <c r="E20" s="12">
        <f>+VLOOKUP($A20,'Module Builder'!$C$60:$J$83,8,FALSE)</f>
        <v>12</v>
      </c>
      <c r="F20" s="199">
        <f t="shared" si="0"/>
        <v>4.6875E-2</v>
      </c>
      <c r="G20" s="12">
        <f>IFERROR(VLOOKUP($A20,'Emblem Unit Mix'!$D$39:$G$66,4,0),0)</f>
        <v>894</v>
      </c>
      <c r="H20" s="229">
        <f t="shared" si="1"/>
        <v>2028.1916666666668</v>
      </c>
      <c r="I20" s="233">
        <f t="shared" si="2"/>
        <v>2.2686707680835201</v>
      </c>
      <c r="J20" s="229">
        <f t="shared" si="3"/>
        <v>10728</v>
      </c>
      <c r="K20" s="229">
        <f t="shared" si="4"/>
        <v>24338.300000000003</v>
      </c>
      <c r="L20" s="229">
        <f t="shared" si="5"/>
        <v>292059.60000000003</v>
      </c>
      <c r="M20" s="12">
        <f>+'Operating Input Details'!$S$15</f>
        <v>2028.1916666666668</v>
      </c>
      <c r="N20" s="230">
        <f t="shared" si="6"/>
        <v>0</v>
      </c>
      <c r="ES20" s="229"/>
    </row>
    <row r="21" spans="1:149" x14ac:dyDescent="0.3">
      <c r="A21" s="1552" t="str">
        <f>IF('Development Inputs'!$B$245='Development Inputs'!$B$251,'Emblem Unit Mix'!J13,'Emblem Unit Mix'!D13)</f>
        <v>B2.1</v>
      </c>
      <c r="B21" s="1553" t="s">
        <v>1022</v>
      </c>
      <c r="C21" s="1545">
        <f>IF('Development Inputs'!$B$245='Development Inputs'!$B$251,'Emblem Unit Mix'!K13,'Emblem Unit Mix'!E13)</f>
        <v>2</v>
      </c>
      <c r="D21" s="1554">
        <f>IF('Development Inputs'!$B$245='Development Inputs'!$B$251,'Emblem Unit Mix'!L13,'Emblem Unit Mix'!F13)</f>
        <v>2</v>
      </c>
      <c r="E21" s="12">
        <f>+VLOOKUP($A21,'Module Builder'!$C$60:$J$83,8,FALSE)</f>
        <v>20</v>
      </c>
      <c r="F21" s="199">
        <f t="shared" si="0"/>
        <v>7.8125E-2</v>
      </c>
      <c r="G21" s="12">
        <f>IFERROR(VLOOKUP($A21,'Emblem Unit Mix'!$D$39:$G$66,4,0),0)</f>
        <v>924</v>
      </c>
      <c r="H21" s="229">
        <f t="shared" si="1"/>
        <v>2119.1479166666668</v>
      </c>
      <c r="I21" s="233">
        <f t="shared" si="2"/>
        <v>2.2934501262626266</v>
      </c>
      <c r="J21" s="229">
        <f t="shared" si="3"/>
        <v>18480</v>
      </c>
      <c r="K21" s="229">
        <f t="shared" si="4"/>
        <v>42382.958333333336</v>
      </c>
      <c r="L21" s="229">
        <f t="shared" si="5"/>
        <v>508595.5</v>
      </c>
      <c r="M21" s="12">
        <f>+'Operating Input Details'!$S$16</f>
        <v>2119.1479166666668</v>
      </c>
      <c r="N21" s="230">
        <f t="shared" si="6"/>
        <v>0</v>
      </c>
      <c r="ES21" s="229"/>
    </row>
    <row r="22" spans="1:149" ht="15" thickBot="1" x14ac:dyDescent="0.35">
      <c r="A22" s="1552" t="str">
        <f>IF('Development Inputs'!$B$245='Development Inputs'!$B$251,'Emblem Unit Mix'!J14,'Emblem Unit Mix'!D14)</f>
        <v>B2.2</v>
      </c>
      <c r="B22" s="1553" t="s">
        <v>1022</v>
      </c>
      <c r="C22" s="1545">
        <f>IF('Development Inputs'!$B$245='Development Inputs'!$B$251,'Emblem Unit Mix'!K14,'Emblem Unit Mix'!E14)</f>
        <v>2</v>
      </c>
      <c r="D22" s="1554">
        <f>IF('Development Inputs'!$B$245='Development Inputs'!$B$251,'Emblem Unit Mix'!L14,'Emblem Unit Mix'!F14)</f>
        <v>2</v>
      </c>
      <c r="E22" s="12">
        <f>+VLOOKUP($A22,'Module Builder'!$C$60:$J$83,8,FALSE)</f>
        <v>6</v>
      </c>
      <c r="F22" s="199">
        <f t="shared" si="0"/>
        <v>2.34375E-2</v>
      </c>
      <c r="G22" s="12">
        <f>IFERROR(VLOOKUP($A22,'Emblem Unit Mix'!$D$39:$G$66,4,0),0)</f>
        <v>965</v>
      </c>
      <c r="H22" s="229">
        <f t="shared" si="1"/>
        <v>2119.1479166666668</v>
      </c>
      <c r="I22" s="233">
        <f t="shared" si="2"/>
        <v>2.1960082037996549</v>
      </c>
      <c r="J22" s="229">
        <f t="shared" si="3"/>
        <v>5790</v>
      </c>
      <c r="K22" s="229">
        <f t="shared" si="4"/>
        <v>12714.887500000001</v>
      </c>
      <c r="L22" s="229">
        <f t="shared" si="5"/>
        <v>152578.65000000002</v>
      </c>
      <c r="M22" s="12">
        <f>+'Operating Input Details'!$S$16</f>
        <v>2119.1479166666668</v>
      </c>
      <c r="N22" s="230">
        <f t="shared" si="6"/>
        <v>0</v>
      </c>
      <c r="ES22" s="229"/>
    </row>
    <row r="23" spans="1:149" ht="15" thickTop="1" x14ac:dyDescent="0.3">
      <c r="A23" s="1552" t="str">
        <f>IF('Development Inputs'!$B$245='Development Inputs'!$B$251,'Emblem Unit Mix'!J15,'Emblem Unit Mix'!D15)</f>
        <v>B2.3</v>
      </c>
      <c r="B23" s="1553" t="s">
        <v>1022</v>
      </c>
      <c r="C23" s="1545">
        <f>IF('Development Inputs'!$B$245='Development Inputs'!$B$251,'Emblem Unit Mix'!K15,'Emblem Unit Mix'!E15)</f>
        <v>2</v>
      </c>
      <c r="D23" s="1554">
        <f>IF('Development Inputs'!$B$245='Development Inputs'!$B$251,'Emblem Unit Mix'!L15,'Emblem Unit Mix'!F15)</f>
        <v>2</v>
      </c>
      <c r="E23" s="12">
        <f>+VLOOKUP($A23,'Module Builder'!$C$60:$J$83,8,FALSE)</f>
        <v>6</v>
      </c>
      <c r="F23" s="199">
        <f t="shared" si="0"/>
        <v>2.34375E-2</v>
      </c>
      <c r="G23" s="12">
        <f>IFERROR(VLOOKUP($A23,'Emblem Unit Mix'!$D$39:$G$66,4,0),0)</f>
        <v>1007</v>
      </c>
      <c r="H23" s="229">
        <f t="shared" si="1"/>
        <v>2119.1479166666668</v>
      </c>
      <c r="I23" s="233">
        <f t="shared" si="2"/>
        <v>2.1044169976828866</v>
      </c>
      <c r="J23" s="229">
        <f t="shared" si="3"/>
        <v>6042</v>
      </c>
      <c r="K23" s="229">
        <f t="shared" si="4"/>
        <v>12714.887500000001</v>
      </c>
      <c r="L23" s="229">
        <f t="shared" si="5"/>
        <v>152578.65000000002</v>
      </c>
      <c r="M23" s="12">
        <f>+'Operating Input Details'!$S$16</f>
        <v>2119.1479166666668</v>
      </c>
      <c r="N23" s="230">
        <f t="shared" si="6"/>
        <v>0</v>
      </c>
      <c r="P23" s="231" t="s">
        <v>1193</v>
      </c>
      <c r="Q23" s="232"/>
      <c r="R23" s="132" t="s">
        <v>880</v>
      </c>
      <c r="S23" s="132" t="s">
        <v>881</v>
      </c>
      <c r="T23" s="132" t="s">
        <v>882</v>
      </c>
      <c r="ES23" s="229"/>
    </row>
    <row r="24" spans="1:149" x14ac:dyDescent="0.3">
      <c r="A24" s="1552" t="str">
        <f>IF('Development Inputs'!$B$245='Development Inputs'!$B$251,'Emblem Unit Mix'!J16,'Emblem Unit Mix'!D16)</f>
        <v>B3.1</v>
      </c>
      <c r="B24" s="1553" t="s">
        <v>1022</v>
      </c>
      <c r="C24" s="1545">
        <f>IF('Development Inputs'!$B$245='Development Inputs'!$B$251,'Emblem Unit Mix'!K16,'Emblem Unit Mix'!E16)</f>
        <v>2</v>
      </c>
      <c r="D24" s="1554">
        <f>IF('Development Inputs'!$B$245='Development Inputs'!$B$251,'Emblem Unit Mix'!L16,'Emblem Unit Mix'!F16)</f>
        <v>2</v>
      </c>
      <c r="E24" s="12">
        <f>+VLOOKUP($A24,'Module Builder'!$C$60:$J$83,8,FALSE)</f>
        <v>24</v>
      </c>
      <c r="F24" s="199">
        <f t="shared" si="0"/>
        <v>9.375E-2</v>
      </c>
      <c r="G24" s="12">
        <f>IFERROR(VLOOKUP($A24,'Emblem Unit Mix'!$D$39:$G$66,4,0),0)</f>
        <v>1014</v>
      </c>
      <c r="H24" s="229">
        <f t="shared" si="1"/>
        <v>2200.916666666667</v>
      </c>
      <c r="I24" s="233">
        <f t="shared" si="2"/>
        <v>2.1705292570677188</v>
      </c>
      <c r="J24" s="229">
        <f t="shared" si="3"/>
        <v>24336</v>
      </c>
      <c r="K24" s="229">
        <f t="shared" si="4"/>
        <v>52822.000000000007</v>
      </c>
      <c r="L24" s="229">
        <f t="shared" si="5"/>
        <v>633864.00000000012</v>
      </c>
      <c r="M24" s="12">
        <f>+'Operating Input Details'!$S$17</f>
        <v>2200.916666666667</v>
      </c>
      <c r="N24" s="230">
        <f t="shared" si="6"/>
        <v>0</v>
      </c>
      <c r="P24" s="234"/>
      <c r="Q24" s="235"/>
      <c r="R24" s="236">
        <f ca="1">Summary!$D$51</f>
        <v>6.6452831626234915E-2</v>
      </c>
      <c r="S24" s="236">
        <f ca="1">Summary!$S$51</f>
        <v>0.30587547483465172</v>
      </c>
      <c r="T24" s="237">
        <f ca="1">Summary!$S$49</f>
        <v>24801112.482449707</v>
      </c>
      <c r="ES24" s="229"/>
    </row>
    <row r="25" spans="1:149" x14ac:dyDescent="0.3">
      <c r="A25" s="1552" t="str">
        <f>IF('Development Inputs'!$B$245='Development Inputs'!$B$251,'Emblem Unit Mix'!J17,'Emblem Unit Mix'!D17)</f>
        <v>B3.2</v>
      </c>
      <c r="B25" s="1553" t="s">
        <v>1022</v>
      </c>
      <c r="C25" s="1545">
        <f>IF('Development Inputs'!$B$245='Development Inputs'!$B$251,'Emblem Unit Mix'!K17,'Emblem Unit Mix'!E17)</f>
        <v>2</v>
      </c>
      <c r="D25" s="1554">
        <f>IF('Development Inputs'!$B$245='Development Inputs'!$B$251,'Emblem Unit Mix'!L17,'Emblem Unit Mix'!F17)</f>
        <v>2</v>
      </c>
      <c r="E25" s="12">
        <f>+VLOOKUP($A25,'Module Builder'!$C$60:$J$83,8,FALSE)</f>
        <v>0</v>
      </c>
      <c r="F25" s="199">
        <f t="shared" si="0"/>
        <v>0</v>
      </c>
      <c r="G25" s="12">
        <f>IFERROR(VLOOKUP($A25,'Emblem Unit Mix'!$D$39:$G$66,4,0),0)</f>
        <v>1055</v>
      </c>
      <c r="H25" s="229">
        <f t="shared" si="1"/>
        <v>2200.916666666667</v>
      </c>
      <c r="I25" s="233">
        <f t="shared" si="2"/>
        <v>0</v>
      </c>
      <c r="J25" s="229">
        <f t="shared" si="3"/>
        <v>0</v>
      </c>
      <c r="K25" s="229">
        <f t="shared" si="4"/>
        <v>0</v>
      </c>
      <c r="L25" s="229">
        <f t="shared" si="5"/>
        <v>0</v>
      </c>
      <c r="M25" s="12">
        <f>+'Operating Input Details'!$S$17</f>
        <v>2200.916666666667</v>
      </c>
      <c r="N25" s="230">
        <f t="shared" si="6"/>
        <v>0</v>
      </c>
      <c r="P25" s="234"/>
      <c r="Q25" s="238">
        <f>Sensitivity!B8</f>
        <v>2.1391693307964781</v>
      </c>
      <c r="R25" s="236"/>
      <c r="S25" s="236"/>
      <c r="T25" s="236"/>
      <c r="U25" s="236"/>
    </row>
    <row r="26" spans="1:149" x14ac:dyDescent="0.3">
      <c r="A26" s="1552" t="str">
        <f>IF('Development Inputs'!$B$245='Development Inputs'!$B$251,'Emblem Unit Mix'!J18,'Emblem Unit Mix'!D18)</f>
        <v>B3.3</v>
      </c>
      <c r="B26" s="1553" t="s">
        <v>1022</v>
      </c>
      <c r="C26" s="1545">
        <f>IF('Development Inputs'!$B$245='Development Inputs'!$B$251,'Emblem Unit Mix'!K18,'Emblem Unit Mix'!E18)</f>
        <v>2</v>
      </c>
      <c r="D26" s="1554">
        <f>IF('Development Inputs'!$B$245='Development Inputs'!$B$251,'Emblem Unit Mix'!L18,'Emblem Unit Mix'!F18)</f>
        <v>2</v>
      </c>
      <c r="E26" s="12">
        <f>+VLOOKUP($A26,'Module Builder'!$C$60:$J$83,8,FALSE)</f>
        <v>0</v>
      </c>
      <c r="F26" s="199">
        <f t="shared" si="0"/>
        <v>0</v>
      </c>
      <c r="G26" s="12">
        <f>IFERROR(VLOOKUP($A26,'Emblem Unit Mix'!$D$39:$G$66,4,0),0)</f>
        <v>1097</v>
      </c>
      <c r="H26" s="229">
        <f t="shared" si="1"/>
        <v>2200.916666666667</v>
      </c>
      <c r="I26" s="233">
        <f t="shared" si="2"/>
        <v>0</v>
      </c>
      <c r="J26" s="229">
        <f t="shared" si="3"/>
        <v>0</v>
      </c>
      <c r="K26" s="229">
        <f t="shared" si="4"/>
        <v>0</v>
      </c>
      <c r="L26" s="229">
        <f t="shared" si="5"/>
        <v>0</v>
      </c>
      <c r="M26" s="12">
        <f>+'Operating Input Details'!$S$17</f>
        <v>2200.916666666667</v>
      </c>
      <c r="N26" s="230">
        <f t="shared" si="6"/>
        <v>0</v>
      </c>
      <c r="P26" s="234"/>
      <c r="Q26" s="238">
        <f>Sensitivity!B9</f>
        <v>2.1891693307964779</v>
      </c>
      <c r="R26" s="236"/>
      <c r="S26" s="236"/>
      <c r="T26" s="236"/>
      <c r="U26" s="236"/>
    </row>
    <row r="27" spans="1:149" x14ac:dyDescent="0.3">
      <c r="A27" s="1552" t="str">
        <f>IF('Development Inputs'!$B$245='Development Inputs'!$B$251,'Emblem Unit Mix'!J19,'Emblem Unit Mix'!D19)</f>
        <v>C1.1</v>
      </c>
      <c r="B27" s="1553" t="s">
        <v>1022</v>
      </c>
      <c r="C27" s="1545">
        <f>IF('Development Inputs'!$B$245='Development Inputs'!$B$251,'Emblem Unit Mix'!K19,'Emblem Unit Mix'!E19)</f>
        <v>3</v>
      </c>
      <c r="D27" s="1554">
        <f>IF('Development Inputs'!$B$245='Development Inputs'!$B$251,'Emblem Unit Mix'!L19,'Emblem Unit Mix'!F19)</f>
        <v>2</v>
      </c>
      <c r="E27" s="12">
        <f>+VLOOKUP($A27,'Module Builder'!$C$60:$J$83,8,FALSE)</f>
        <v>14</v>
      </c>
      <c r="F27" s="199">
        <f t="shared" si="0"/>
        <v>5.46875E-2</v>
      </c>
      <c r="G27" s="12">
        <f>IFERROR(VLOOKUP($A27,'Emblem Unit Mix'!$D$39:$G$66,4,0),0)</f>
        <v>1207</v>
      </c>
      <c r="H27" s="229">
        <f t="shared" si="1"/>
        <v>2656.4124999999999</v>
      </c>
      <c r="I27" s="233">
        <f t="shared" si="2"/>
        <v>2.2008388566694284</v>
      </c>
      <c r="J27" s="229">
        <f t="shared" si="3"/>
        <v>16898</v>
      </c>
      <c r="K27" s="229">
        <f t="shared" si="4"/>
        <v>37189.775000000001</v>
      </c>
      <c r="L27" s="229">
        <f t="shared" si="5"/>
        <v>446277.30000000005</v>
      </c>
      <c r="M27" s="12">
        <f>+'Operating Input Details'!$S$18</f>
        <v>2656.4124999999999</v>
      </c>
      <c r="N27" s="230">
        <f t="shared" si="6"/>
        <v>0</v>
      </c>
      <c r="P27" s="234"/>
      <c r="Q27" s="238">
        <f>Sensitivity!B10</f>
        <v>2.2391693307964777</v>
      </c>
      <c r="R27" s="236"/>
      <c r="S27" s="236"/>
      <c r="T27" s="236"/>
      <c r="U27" s="236"/>
    </row>
    <row r="28" spans="1:149" x14ac:dyDescent="0.3">
      <c r="A28" s="1555" t="str">
        <f>IF('Development Inputs'!$B$245='Development Inputs'!$B$251,'Emblem Unit Mix'!J20,'Emblem Unit Mix'!D20)</f>
        <v>C1.2</v>
      </c>
      <c r="B28" s="1556" t="s">
        <v>1022</v>
      </c>
      <c r="C28" s="1557">
        <f>IF('Development Inputs'!$B$245='Development Inputs'!$B$251,'Emblem Unit Mix'!K20,'Emblem Unit Mix'!E20)</f>
        <v>3</v>
      </c>
      <c r="D28" s="1558">
        <f>IF('Development Inputs'!$B$245='Development Inputs'!$B$251,'Emblem Unit Mix'!L20,'Emblem Unit Mix'!F20)</f>
        <v>2</v>
      </c>
      <c r="E28" s="12">
        <f>+VLOOKUP($A28,'Module Builder'!$C$60:$J$83,8,FALSE)</f>
        <v>10</v>
      </c>
      <c r="F28" s="199">
        <f t="shared" si="0"/>
        <v>3.90625E-2</v>
      </c>
      <c r="G28" s="12">
        <f>IFERROR(VLOOKUP($A28,'Emblem Unit Mix'!$D$39:$G$66,4,0),0)</f>
        <v>1249</v>
      </c>
      <c r="H28" s="229">
        <f t="shared" si="1"/>
        <v>2656.4124999999999</v>
      </c>
      <c r="I28" s="233">
        <f t="shared" si="2"/>
        <v>2.1268314651721378</v>
      </c>
      <c r="J28" s="229">
        <f t="shared" si="3"/>
        <v>12490</v>
      </c>
      <c r="K28" s="229">
        <f t="shared" si="4"/>
        <v>26564.125</v>
      </c>
      <c r="L28" s="229">
        <f t="shared" si="5"/>
        <v>318769.5</v>
      </c>
      <c r="M28" s="12">
        <f>+'Operating Input Details'!$S$18</f>
        <v>2656.4124999999999</v>
      </c>
      <c r="N28" s="230">
        <f t="shared" si="6"/>
        <v>0</v>
      </c>
      <c r="P28" s="234"/>
      <c r="Q28" s="238">
        <f>Sensitivity!B11</f>
        <v>2.2891693307964776</v>
      </c>
      <c r="R28" s="236"/>
      <c r="S28" s="236"/>
      <c r="T28" s="236"/>
      <c r="U28" s="236"/>
    </row>
    <row r="29" spans="1:149" x14ac:dyDescent="0.3">
      <c r="A29" s="13" t="s">
        <v>1194</v>
      </c>
      <c r="B29" s="14" t="s">
        <v>1022</v>
      </c>
      <c r="C29" s="12">
        <v>2</v>
      </c>
      <c r="D29" s="12">
        <v>2</v>
      </c>
      <c r="E29" s="12">
        <v>10</v>
      </c>
      <c r="F29" s="199">
        <f t="shared" si="0"/>
        <v>3.90625E-2</v>
      </c>
      <c r="G29" s="12">
        <v>1315</v>
      </c>
      <c r="H29" s="229">
        <f t="shared" si="1"/>
        <v>2300</v>
      </c>
      <c r="I29" s="233">
        <f t="shared" si="2"/>
        <v>1.7490494296577948</v>
      </c>
      <c r="J29" s="229">
        <f t="shared" si="3"/>
        <v>13150</v>
      </c>
      <c r="K29" s="229">
        <f t="shared" si="4"/>
        <v>23000</v>
      </c>
      <c r="L29" s="229">
        <f t="shared" si="5"/>
        <v>276000</v>
      </c>
      <c r="M29" s="12">
        <f>+'Operating Input Details'!S19</f>
        <v>2300</v>
      </c>
      <c r="N29" s="230">
        <f t="shared" si="6"/>
        <v>0</v>
      </c>
      <c r="P29" s="234"/>
      <c r="Q29" s="238">
        <f>Sensitivity!B12</f>
        <v>2.3391693307964774</v>
      </c>
      <c r="R29" s="236"/>
      <c r="S29" s="236"/>
      <c r="T29" s="236"/>
      <c r="U29" s="236"/>
    </row>
    <row r="30" spans="1:149" x14ac:dyDescent="0.3">
      <c r="A30" s="13" t="s">
        <v>1195</v>
      </c>
      <c r="B30" s="14" t="s">
        <v>1022</v>
      </c>
      <c r="C30" s="12">
        <v>3</v>
      </c>
      <c r="D30" s="12">
        <v>2</v>
      </c>
      <c r="E30" s="12">
        <v>20</v>
      </c>
      <c r="F30" s="199">
        <f t="shared" si="0"/>
        <v>7.8125E-2</v>
      </c>
      <c r="G30" s="12">
        <v>1442</v>
      </c>
      <c r="H30" s="229">
        <f t="shared" si="1"/>
        <v>2600</v>
      </c>
      <c r="I30" s="233">
        <f t="shared" si="2"/>
        <v>1.8030513176144245</v>
      </c>
      <c r="J30" s="229">
        <f t="shared" si="3"/>
        <v>28840</v>
      </c>
      <c r="K30" s="229">
        <f t="shared" si="4"/>
        <v>52000</v>
      </c>
      <c r="L30" s="229">
        <f t="shared" si="5"/>
        <v>624000</v>
      </c>
      <c r="M30" s="12">
        <f>+'Operating Input Details'!S20</f>
        <v>2600</v>
      </c>
      <c r="N30" s="230">
        <f t="shared" si="6"/>
        <v>0</v>
      </c>
    </row>
    <row r="31" spans="1:149" x14ac:dyDescent="0.3">
      <c r="A31" s="13" t="s">
        <v>2345</v>
      </c>
      <c r="B31" s="14" t="s">
        <v>1022</v>
      </c>
      <c r="C31" s="12">
        <f>IFERROR(VLOOKUP($A31,'Emblem Unit Mix'!$D$39:$G$66,2,0),0)</f>
        <v>3</v>
      </c>
      <c r="D31" s="12">
        <f>IFERROR(VLOOKUP($A31,'Emblem Unit Mix'!$D$39:$G$66,3,0),0)</f>
        <v>2.5</v>
      </c>
      <c r="E31" s="12">
        <v>10</v>
      </c>
      <c r="F31" s="199">
        <f t="shared" si="0"/>
        <v>3.90625E-2</v>
      </c>
      <c r="G31" s="12">
        <v>1513</v>
      </c>
      <c r="H31" s="229">
        <f t="shared" si="1"/>
        <v>2600</v>
      </c>
      <c r="I31" s="233">
        <f t="shared" si="2"/>
        <v>1.7184401850627891</v>
      </c>
      <c r="J31" s="229">
        <f t="shared" si="3"/>
        <v>15130</v>
      </c>
      <c r="K31" s="229">
        <f t="shared" si="4"/>
        <v>26000</v>
      </c>
      <c r="L31" s="229">
        <f t="shared" si="5"/>
        <v>312000</v>
      </c>
      <c r="M31" s="12">
        <f>+M30</f>
        <v>2600</v>
      </c>
      <c r="N31" s="230">
        <f t="shared" si="6"/>
        <v>0</v>
      </c>
    </row>
    <row r="32" spans="1:149" x14ac:dyDescent="0.3">
      <c r="A32" s="13"/>
      <c r="B32" s="14"/>
      <c r="C32" s="12">
        <f>IFERROR(VLOOKUP($A32,'Emblem Unit Mix'!$D$39:$G$66,2,0),0)</f>
        <v>0</v>
      </c>
      <c r="D32" s="12">
        <f>IFERROR(VLOOKUP($A32,'Emblem Unit Mix'!$D$39:$G$66,3,0),0)</f>
        <v>0</v>
      </c>
      <c r="E32" s="12"/>
      <c r="F32" s="199">
        <f t="shared" ref="F32:F42" si="7">IF(Units=0,0,E32/Units)</f>
        <v>0</v>
      </c>
      <c r="G32" s="12">
        <f>IFERROR(VLOOKUP($A32,'Emblem Unit Mix'!$D$39:$G$66,4,0),0)</f>
        <v>0</v>
      </c>
      <c r="H32" s="229">
        <f t="shared" si="1"/>
        <v>0</v>
      </c>
      <c r="I32" s="233">
        <f t="shared" si="2"/>
        <v>0</v>
      </c>
      <c r="J32" s="229">
        <f t="shared" si="3"/>
        <v>0</v>
      </c>
      <c r="K32" s="229">
        <f t="shared" si="4"/>
        <v>0</v>
      </c>
      <c r="L32" s="229">
        <f t="shared" si="5"/>
        <v>0</v>
      </c>
      <c r="M32" s="12"/>
      <c r="N32" s="230">
        <f t="shared" si="6"/>
        <v>0</v>
      </c>
    </row>
    <row r="33" spans="1:14" x14ac:dyDescent="0.3">
      <c r="A33" s="13"/>
      <c r="B33" s="14"/>
      <c r="C33" s="12">
        <f>IFERROR(VLOOKUP($A33,'Emblem Unit Mix'!$D$39:$G$66,2,0),0)</f>
        <v>0</v>
      </c>
      <c r="D33" s="12">
        <f>IFERROR(VLOOKUP($A33,'Emblem Unit Mix'!$D$39:$G$66,3,0),0)</f>
        <v>0</v>
      </c>
      <c r="E33" s="12"/>
      <c r="F33" s="199">
        <f t="shared" si="7"/>
        <v>0</v>
      </c>
      <c r="G33" s="12">
        <f>IFERROR(VLOOKUP($A33,'Emblem Unit Mix'!$D$39:$G$66,4,0),0)</f>
        <v>0</v>
      </c>
      <c r="H33" s="229">
        <f t="shared" ref="H33:H42" si="8">IF(AND($G$9="Yes",$N33=0),$H$9*$G33,IF(AND($G$8="Yes",$N33=1),$H$8*$G33,M33))</f>
        <v>0</v>
      </c>
      <c r="I33" s="233">
        <f t="shared" ref="I33:I42" si="9">IF(J33=0,0,K33/J33)</f>
        <v>0</v>
      </c>
      <c r="J33" s="229">
        <f t="shared" ref="J33:J42" si="10">G33*E33</f>
        <v>0</v>
      </c>
      <c r="K33" s="229">
        <f t="shared" ref="K33:K42" si="11">H33*E33</f>
        <v>0</v>
      </c>
      <c r="L33" s="229">
        <f t="shared" ref="L33:L42" si="12">K33*12</f>
        <v>0</v>
      </c>
      <c r="M33" s="12"/>
      <c r="N33" s="230">
        <f t="shared" si="6"/>
        <v>0</v>
      </c>
    </row>
    <row r="34" spans="1:14" x14ac:dyDescent="0.3">
      <c r="A34" s="13"/>
      <c r="B34" s="14"/>
      <c r="C34" s="12">
        <f>IFERROR(VLOOKUP($A34,'Emblem Unit Mix'!$D$39:$G$66,2,0),0)</f>
        <v>0</v>
      </c>
      <c r="D34" s="12">
        <f>IFERROR(VLOOKUP($A34,'Emblem Unit Mix'!$D$39:$G$66,3,0),0)</f>
        <v>0</v>
      </c>
      <c r="E34" s="12"/>
      <c r="F34" s="199">
        <f t="shared" si="7"/>
        <v>0</v>
      </c>
      <c r="G34" s="12">
        <f>IFERROR(VLOOKUP($A34,'Emblem Unit Mix'!$D$39:$G$66,4,0),0)</f>
        <v>0</v>
      </c>
      <c r="H34" s="229">
        <f t="shared" si="8"/>
        <v>0</v>
      </c>
      <c r="I34" s="233">
        <f t="shared" si="9"/>
        <v>0</v>
      </c>
      <c r="J34" s="229">
        <f t="shared" si="10"/>
        <v>0</v>
      </c>
      <c r="K34" s="229">
        <f t="shared" si="11"/>
        <v>0</v>
      </c>
      <c r="L34" s="229">
        <f t="shared" si="12"/>
        <v>0</v>
      </c>
      <c r="M34" s="12"/>
      <c r="N34" s="230">
        <f t="shared" si="6"/>
        <v>0</v>
      </c>
    </row>
    <row r="35" spans="1:14" x14ac:dyDescent="0.3">
      <c r="A35" s="13"/>
      <c r="B35" s="14"/>
      <c r="C35" s="12">
        <f>IFERROR(VLOOKUP($A35,'Emblem Unit Mix'!$D$39:$G$66,2,0),0)</f>
        <v>0</v>
      </c>
      <c r="D35" s="12">
        <f>IFERROR(VLOOKUP($A35,'Emblem Unit Mix'!$D$39:$G$66,3,0),0)</f>
        <v>0</v>
      </c>
      <c r="E35" s="12"/>
      <c r="F35" s="199">
        <f t="shared" si="7"/>
        <v>0</v>
      </c>
      <c r="G35" s="12">
        <f>IFERROR(VLOOKUP($A35,'Emblem Unit Mix'!$D$39:$G$66,4,0),0)</f>
        <v>0</v>
      </c>
      <c r="H35" s="229">
        <f t="shared" si="8"/>
        <v>0</v>
      </c>
      <c r="I35" s="233">
        <f t="shared" si="9"/>
        <v>0</v>
      </c>
      <c r="J35" s="229">
        <f t="shared" si="10"/>
        <v>0</v>
      </c>
      <c r="K35" s="229">
        <f t="shared" si="11"/>
        <v>0</v>
      </c>
      <c r="L35" s="229">
        <f t="shared" si="12"/>
        <v>0</v>
      </c>
      <c r="M35" s="12"/>
      <c r="N35" s="230">
        <f t="shared" si="6"/>
        <v>0</v>
      </c>
    </row>
    <row r="36" spans="1:14" x14ac:dyDescent="0.3">
      <c r="A36" s="13"/>
      <c r="B36" s="14"/>
      <c r="C36" s="12">
        <f>IFERROR(VLOOKUP($A36,'Emblem Unit Mix'!$D$39:$G$66,2,0),0)</f>
        <v>0</v>
      </c>
      <c r="D36" s="12">
        <f>IFERROR(VLOOKUP($A36,'Emblem Unit Mix'!$D$39:$G$66,3,0),0)</f>
        <v>0</v>
      </c>
      <c r="E36" s="12"/>
      <c r="F36" s="199">
        <f t="shared" si="7"/>
        <v>0</v>
      </c>
      <c r="G36" s="12">
        <f>IFERROR(VLOOKUP($A36,'Emblem Unit Mix'!$D$39:$G$66,4,0),0)</f>
        <v>0</v>
      </c>
      <c r="H36" s="229">
        <f t="shared" si="8"/>
        <v>0</v>
      </c>
      <c r="I36" s="233">
        <f t="shared" si="9"/>
        <v>0</v>
      </c>
      <c r="J36" s="229">
        <f t="shared" si="10"/>
        <v>0</v>
      </c>
      <c r="K36" s="229">
        <f t="shared" si="11"/>
        <v>0</v>
      </c>
      <c r="L36" s="229">
        <f t="shared" si="12"/>
        <v>0</v>
      </c>
      <c r="M36" s="12"/>
      <c r="N36" s="230">
        <f t="shared" si="6"/>
        <v>0</v>
      </c>
    </row>
    <row r="37" spans="1:14" x14ac:dyDescent="0.3">
      <c r="A37" s="13"/>
      <c r="B37" s="14"/>
      <c r="C37" s="12">
        <f>IFERROR(VLOOKUP($A37,'Emblem Unit Mix'!$D$39:$G$66,2,0),0)</f>
        <v>0</v>
      </c>
      <c r="D37" s="12">
        <f>IFERROR(VLOOKUP($A37,'Emblem Unit Mix'!$D$39:$G$66,3,0),0)</f>
        <v>0</v>
      </c>
      <c r="E37" s="12"/>
      <c r="F37" s="199">
        <f t="shared" si="7"/>
        <v>0</v>
      </c>
      <c r="G37" s="12">
        <f>IFERROR(VLOOKUP($A37,'Emblem Unit Mix'!$D$39:$G$66,4,0),0)</f>
        <v>0</v>
      </c>
      <c r="H37" s="229">
        <f t="shared" si="8"/>
        <v>0</v>
      </c>
      <c r="I37" s="233">
        <f t="shared" si="9"/>
        <v>0</v>
      </c>
      <c r="J37" s="229">
        <f t="shared" si="10"/>
        <v>0</v>
      </c>
      <c r="K37" s="229">
        <f t="shared" si="11"/>
        <v>0</v>
      </c>
      <c r="L37" s="229">
        <f t="shared" si="12"/>
        <v>0</v>
      </c>
      <c r="M37" s="12"/>
      <c r="N37" s="230">
        <f t="shared" si="6"/>
        <v>0</v>
      </c>
    </row>
    <row r="38" spans="1:14" x14ac:dyDescent="0.3">
      <c r="A38" s="13"/>
      <c r="B38" s="14"/>
      <c r="C38" s="12">
        <f>IFERROR(VLOOKUP($A38,'Emblem Unit Mix'!$D$39:$G$66,2,0),0)</f>
        <v>0</v>
      </c>
      <c r="D38" s="12">
        <f>IFERROR(VLOOKUP($A38,'Emblem Unit Mix'!$D$39:$G$66,3,0),0)</f>
        <v>0</v>
      </c>
      <c r="E38" s="12"/>
      <c r="F38" s="199">
        <f t="shared" si="7"/>
        <v>0</v>
      </c>
      <c r="G38" s="12">
        <f>IFERROR(VLOOKUP($A38,'Emblem Unit Mix'!$D$39:$G$66,4,0),0)</f>
        <v>0</v>
      </c>
      <c r="H38" s="229">
        <f t="shared" si="8"/>
        <v>0</v>
      </c>
      <c r="I38" s="233">
        <f t="shared" si="9"/>
        <v>0</v>
      </c>
      <c r="J38" s="229">
        <f t="shared" si="10"/>
        <v>0</v>
      </c>
      <c r="K38" s="229">
        <f t="shared" si="11"/>
        <v>0</v>
      </c>
      <c r="L38" s="229">
        <f t="shared" si="12"/>
        <v>0</v>
      </c>
      <c r="M38" s="12"/>
      <c r="N38" s="230">
        <f t="shared" si="6"/>
        <v>0</v>
      </c>
    </row>
    <row r="39" spans="1:14" x14ac:dyDescent="0.3">
      <c r="A39" s="13"/>
      <c r="B39" s="14"/>
      <c r="C39" s="12">
        <f>IFERROR(VLOOKUP($A39,'Emblem Unit Mix'!$D$39:$G$66,2,0),0)</f>
        <v>0</v>
      </c>
      <c r="D39" s="12">
        <f>IFERROR(VLOOKUP($A39,'Emblem Unit Mix'!$D$39:$G$66,3,0),0)</f>
        <v>0</v>
      </c>
      <c r="E39" s="12"/>
      <c r="F39" s="199">
        <f t="shared" si="7"/>
        <v>0</v>
      </c>
      <c r="G39" s="12">
        <f>IFERROR(VLOOKUP($A39,'Emblem Unit Mix'!$D$39:$G$66,4,0),0)</f>
        <v>0</v>
      </c>
      <c r="H39" s="229">
        <f t="shared" si="8"/>
        <v>0</v>
      </c>
      <c r="I39" s="233">
        <f t="shared" si="9"/>
        <v>0</v>
      </c>
      <c r="J39" s="229">
        <f t="shared" si="10"/>
        <v>0</v>
      </c>
      <c r="K39" s="229">
        <f t="shared" si="11"/>
        <v>0</v>
      </c>
      <c r="L39" s="229">
        <f t="shared" si="12"/>
        <v>0</v>
      </c>
      <c r="M39" s="12"/>
      <c r="N39" s="230">
        <f t="shared" si="6"/>
        <v>0</v>
      </c>
    </row>
    <row r="40" spans="1:14" x14ac:dyDescent="0.3">
      <c r="A40" s="13"/>
      <c r="B40" s="14"/>
      <c r="C40" s="12">
        <f>IFERROR(VLOOKUP($A40,'Emblem Unit Mix'!$D$39:$G$66,2,0),0)</f>
        <v>0</v>
      </c>
      <c r="D40" s="12">
        <f>IFERROR(VLOOKUP($A40,'Emblem Unit Mix'!$D$39:$G$66,3,0),0)</f>
        <v>0</v>
      </c>
      <c r="E40" s="12"/>
      <c r="F40" s="199">
        <f t="shared" si="7"/>
        <v>0</v>
      </c>
      <c r="G40" s="12">
        <f>IFERROR(VLOOKUP($A40,'Emblem Unit Mix'!$D$39:$G$66,4,0),0)</f>
        <v>0</v>
      </c>
      <c r="H40" s="229">
        <f t="shared" si="8"/>
        <v>0</v>
      </c>
      <c r="I40" s="233">
        <f t="shared" si="9"/>
        <v>0</v>
      </c>
      <c r="J40" s="229">
        <f t="shared" si="10"/>
        <v>0</v>
      </c>
      <c r="K40" s="229">
        <f t="shared" si="11"/>
        <v>0</v>
      </c>
      <c r="L40" s="229">
        <f t="shared" si="12"/>
        <v>0</v>
      </c>
      <c r="M40" s="12"/>
      <c r="N40" s="230">
        <f t="shared" si="6"/>
        <v>0</v>
      </c>
    </row>
    <row r="41" spans="1:14" x14ac:dyDescent="0.3">
      <c r="A41" s="13"/>
      <c r="B41" s="14"/>
      <c r="C41" s="12">
        <f>IFERROR(VLOOKUP($A41,'Emblem Unit Mix'!$D$39:$G$66,2,0),0)</f>
        <v>0</v>
      </c>
      <c r="D41" s="12">
        <f>IFERROR(VLOOKUP($A41,'Emblem Unit Mix'!$D$39:$G$66,3,0),0)</f>
        <v>0</v>
      </c>
      <c r="E41" s="12"/>
      <c r="F41" s="199">
        <f t="shared" si="7"/>
        <v>0</v>
      </c>
      <c r="G41" s="12">
        <f>IFERROR(VLOOKUP($A41,'Emblem Unit Mix'!$D$39:$G$66,4,0),0)</f>
        <v>0</v>
      </c>
      <c r="H41" s="229">
        <f t="shared" si="8"/>
        <v>0</v>
      </c>
      <c r="I41" s="233">
        <f t="shared" si="9"/>
        <v>0</v>
      </c>
      <c r="J41" s="229">
        <f t="shared" si="10"/>
        <v>0</v>
      </c>
      <c r="K41" s="229">
        <f t="shared" si="11"/>
        <v>0</v>
      </c>
      <c r="L41" s="229">
        <f t="shared" si="12"/>
        <v>0</v>
      </c>
      <c r="M41" s="12"/>
      <c r="N41" s="230">
        <f t="shared" si="6"/>
        <v>0</v>
      </c>
    </row>
    <row r="42" spans="1:14" x14ac:dyDescent="0.3">
      <c r="A42" s="13"/>
      <c r="B42" s="14"/>
      <c r="C42" s="12">
        <f>IFERROR(VLOOKUP($A42,'Emblem Unit Mix'!$D$39:$G$66,2,0),0)</f>
        <v>0</v>
      </c>
      <c r="D42" s="12">
        <f>IFERROR(VLOOKUP($A42,'Emblem Unit Mix'!$D$39:$G$66,3,0),0)</f>
        <v>0</v>
      </c>
      <c r="E42" s="12"/>
      <c r="F42" s="199">
        <f t="shared" si="7"/>
        <v>0</v>
      </c>
      <c r="G42" s="12">
        <f>IFERROR(VLOOKUP($A42,'Emblem Unit Mix'!$D$39:$G$66,4,0),0)</f>
        <v>0</v>
      </c>
      <c r="H42" s="229">
        <f t="shared" si="8"/>
        <v>0</v>
      </c>
      <c r="I42" s="233">
        <f t="shared" si="9"/>
        <v>0</v>
      </c>
      <c r="J42" s="229">
        <f t="shared" si="10"/>
        <v>0</v>
      </c>
      <c r="K42" s="229">
        <f t="shared" si="11"/>
        <v>0</v>
      </c>
      <c r="L42" s="229">
        <f t="shared" si="12"/>
        <v>0</v>
      </c>
      <c r="M42" s="12"/>
      <c r="N42" s="230">
        <f t="shared" si="6"/>
        <v>0</v>
      </c>
    </row>
    <row r="43" spans="1:14" x14ac:dyDescent="0.3">
      <c r="A43" s="13"/>
      <c r="B43" s="14"/>
      <c r="C43" s="12">
        <f>IFERROR(VLOOKUP($A43,'Emblem Unit Mix'!$D$39:$G$66,2,0),0)</f>
        <v>0</v>
      </c>
      <c r="D43" s="12">
        <f>IFERROR(VLOOKUP($A43,'Emblem Unit Mix'!$D$39:$G$66,3,0),0)</f>
        <v>0</v>
      </c>
      <c r="E43" s="12"/>
      <c r="F43" s="199">
        <f t="shared" si="0"/>
        <v>0</v>
      </c>
      <c r="G43" s="12">
        <f>IFERROR(VLOOKUP($A43,'Emblem Unit Mix'!$D$39:$G$66,4,0),0)</f>
        <v>0</v>
      </c>
      <c r="H43" s="229">
        <f t="shared" si="1"/>
        <v>0</v>
      </c>
      <c r="I43" s="233">
        <f t="shared" si="2"/>
        <v>0</v>
      </c>
      <c r="J43" s="229">
        <f t="shared" si="3"/>
        <v>0</v>
      </c>
      <c r="K43" s="229">
        <f t="shared" si="4"/>
        <v>0</v>
      </c>
      <c r="L43" s="229">
        <f t="shared" si="5"/>
        <v>0</v>
      </c>
      <c r="M43" s="12"/>
      <c r="N43" s="230">
        <f t="shared" si="6"/>
        <v>0</v>
      </c>
    </row>
    <row r="44" spans="1:14" x14ac:dyDescent="0.3">
      <c r="A44" s="13"/>
      <c r="B44" s="14"/>
      <c r="C44" s="12">
        <f>IFERROR(VLOOKUP($A44,'Emblem Unit Mix'!$D$39:$G$66,2,0),0)</f>
        <v>0</v>
      </c>
      <c r="D44" s="12">
        <f>IFERROR(VLOOKUP($A44,'Emblem Unit Mix'!$D$39:$G$66,3,0),0)</f>
        <v>0</v>
      </c>
      <c r="E44" s="12"/>
      <c r="F44" s="199">
        <f t="shared" si="0"/>
        <v>0</v>
      </c>
      <c r="G44" s="12">
        <f>IFERROR(VLOOKUP($A44,'Emblem Unit Mix'!$D$39:$G$66,4,0),0)</f>
        <v>0</v>
      </c>
      <c r="H44" s="229">
        <f t="shared" si="1"/>
        <v>0</v>
      </c>
      <c r="I44" s="233">
        <f t="shared" si="2"/>
        <v>0</v>
      </c>
      <c r="J44" s="229">
        <f t="shared" si="3"/>
        <v>0</v>
      </c>
      <c r="K44" s="229">
        <f t="shared" si="4"/>
        <v>0</v>
      </c>
      <c r="L44" s="229">
        <f t="shared" si="5"/>
        <v>0</v>
      </c>
      <c r="M44" s="12"/>
      <c r="N44" s="230">
        <f t="shared" si="6"/>
        <v>0</v>
      </c>
    </row>
    <row r="45" spans="1:14" x14ac:dyDescent="0.3">
      <c r="A45" s="701" t="s">
        <v>1196</v>
      </c>
      <c r="B45" s="701"/>
      <c r="C45" s="975">
        <f>SUMPRODUCT(C15:C44,E15:E44)+SUMIF(C15:C44,0,E15:E44)</f>
        <v>454</v>
      </c>
      <c r="D45" s="975">
        <f>SUMPRODUCT(D15:D44,E15:E44)</f>
        <v>381</v>
      </c>
      <c r="E45" s="975">
        <f>SUM(E15:E44)</f>
        <v>256</v>
      </c>
      <c r="F45" s="1659">
        <f>SUM(F15:F44)</f>
        <v>1</v>
      </c>
      <c r="G45" s="975">
        <f>IF(Units=0,0,TotalNRSF/Units)</f>
        <v>938.984375</v>
      </c>
      <c r="H45" s="702">
        <f>IF(Units=0,0,K45/Units)</f>
        <v>2068.8063802083334</v>
      </c>
      <c r="I45" s="993">
        <f>IF(TotalNRSF=0,0,K45/TotalNRSF)</f>
        <v>2.2032383448428878</v>
      </c>
      <c r="J45" s="975">
        <f>SUM(J15:J44)</f>
        <v>240380</v>
      </c>
      <c r="K45" s="702">
        <f>SUM(K15:K44)</f>
        <v>529614.43333333335</v>
      </c>
      <c r="L45" s="702">
        <f>SUM(L15:L44)</f>
        <v>6355373.2000000002</v>
      </c>
      <c r="M45" s="975"/>
      <c r="N45" s="230"/>
    </row>
    <row r="47" spans="1:14" x14ac:dyDescent="0.3">
      <c r="A47" s="216" t="s">
        <v>1197</v>
      </c>
      <c r="B47" s="217"/>
      <c r="C47" s="218"/>
      <c r="D47" s="218"/>
      <c r="E47" s="218"/>
      <c r="F47" s="218"/>
      <c r="G47" s="218"/>
      <c r="H47" s="218" t="s">
        <v>1181</v>
      </c>
      <c r="I47" s="218" t="s">
        <v>1181</v>
      </c>
      <c r="J47" s="218"/>
      <c r="K47" s="218" t="s">
        <v>1182</v>
      </c>
      <c r="L47" s="218" t="s">
        <v>1182</v>
      </c>
      <c r="M47" s="219"/>
    </row>
    <row r="48" spans="1:14" s="226" customFormat="1" ht="15" thickBot="1" x14ac:dyDescent="0.35">
      <c r="A48" s="221" t="s">
        <v>1184</v>
      </c>
      <c r="B48" s="222"/>
      <c r="C48" s="222"/>
      <c r="D48" s="222"/>
      <c r="E48" s="222" t="s">
        <v>736</v>
      </c>
      <c r="F48" s="222" t="s">
        <v>229</v>
      </c>
      <c r="G48" s="222" t="s">
        <v>1187</v>
      </c>
      <c r="H48" s="223" t="s">
        <v>1188</v>
      </c>
      <c r="I48" s="223" t="s">
        <v>1189</v>
      </c>
      <c r="J48" s="222" t="s">
        <v>810</v>
      </c>
      <c r="K48" s="222" t="s">
        <v>1190</v>
      </c>
      <c r="L48" s="223" t="s">
        <v>1191</v>
      </c>
      <c r="M48" s="224"/>
      <c r="N48" s="239"/>
    </row>
    <row r="49" spans="1:19" ht="15" thickTop="1" x14ac:dyDescent="0.3">
      <c r="A49" s="2683">
        <v>0</v>
      </c>
      <c r="B49" s="2683"/>
      <c r="E49" s="229">
        <f>SUMPRODUCT(($B$15:$B$44="Market")*($C$15:$C$44=0)*$E$15:$E$44)</f>
        <v>0</v>
      </c>
      <c r="F49" s="240">
        <f>IF(Units=0,0,E49/Units)</f>
        <v>0</v>
      </c>
      <c r="G49" s="229">
        <f>IF($E49=0,0,J49/E49)</f>
        <v>0</v>
      </c>
      <c r="H49" s="227">
        <f>IF($E49=0,0,K49/E49)</f>
        <v>0</v>
      </c>
      <c r="I49" s="228">
        <f>IF($J49=0,0,K49/J49)</f>
        <v>0</v>
      </c>
      <c r="J49" s="229">
        <f>SUMPRODUCT(($B$15:$B$44="Market")*($C$15:$C$44=0)*$E$15:$E$44*$G$15:$G$44)</f>
        <v>0</v>
      </c>
      <c r="K49" s="227">
        <f>SUMPRODUCT(($B$15:$B$44="Market")*($C$15:$C$44=0)*$E$15:$E$44*$H$15:$H$44)</f>
        <v>0</v>
      </c>
      <c r="L49" s="227">
        <f>K49*12</f>
        <v>0</v>
      </c>
      <c r="S49" s="210"/>
    </row>
    <row r="50" spans="1:19" x14ac:dyDescent="0.3">
      <c r="A50" s="2681">
        <v>1</v>
      </c>
      <c r="B50" s="2681"/>
      <c r="E50" s="229">
        <f>SUMPRODUCT(($B$15:$B$44="Market")*($C$15:$C$44=1)*$E$15:$E$44)</f>
        <v>112</v>
      </c>
      <c r="F50" s="240">
        <f>IF(Units=0,0,E50/Units)</f>
        <v>0.4375</v>
      </c>
      <c r="G50" s="229">
        <f>IF($E50=0,0,J50/E50)</f>
        <v>698.85714285714289</v>
      </c>
      <c r="H50" s="229">
        <f>IF($E50=0,0,K50/E50)</f>
        <v>1745.9749999999999</v>
      </c>
      <c r="I50" s="233">
        <f>IF($J50=0,0,K50/J50)</f>
        <v>2.4983289043336057</v>
      </c>
      <c r="J50" s="229">
        <f>SUMPRODUCT(($B$15:$B$44="Market")*($C$15:$C$44=1)*$E$15:$E$44*$G$15:$G$44)</f>
        <v>78272</v>
      </c>
      <c r="K50" s="229">
        <f>SUMPRODUCT(($B$15:$B$44="Market")*($C$15:$C$44=1)*$E$15:$E$44*$H$15:$H$44)</f>
        <v>195549.19999999998</v>
      </c>
      <c r="L50" s="229">
        <f>K50*12</f>
        <v>2346590.4</v>
      </c>
    </row>
    <row r="51" spans="1:19" x14ac:dyDescent="0.3">
      <c r="A51" s="2681">
        <v>2</v>
      </c>
      <c r="B51" s="2681"/>
      <c r="E51" s="229">
        <f>SUMPRODUCT(($B$15:$B$44="Market")*($C$15:$C$44=2)*$E$15:$E$44)</f>
        <v>90</v>
      </c>
      <c r="F51" s="240">
        <f>IF(Units=0,0,E51/Units)</f>
        <v>0.3515625</v>
      </c>
      <c r="G51" s="229">
        <f>IF($E51=0,0,J51/E51)</f>
        <v>986.11111111111109</v>
      </c>
      <c r="H51" s="229">
        <f>IF($E51=0,0,K51/E51)</f>
        <v>2136.7925925925929</v>
      </c>
      <c r="I51" s="233">
        <f>IF($J51=0,0,K51/J51)</f>
        <v>2.1668882629107982</v>
      </c>
      <c r="J51" s="229">
        <f>SUMPRODUCT(($B$15:$B$44="Market")*($C$15:$C$44=2)*$E$15:$E$44*$G$15:$G$44)</f>
        <v>88750</v>
      </c>
      <c r="K51" s="229">
        <f>SUMPRODUCT(($B$15:$B$44="Market")*($C$15:$C$44=2)*$E$15:$E$44*$H$15:$H$44)</f>
        <v>192311.33333333334</v>
      </c>
      <c r="L51" s="229">
        <f>K51*12</f>
        <v>2307736</v>
      </c>
    </row>
    <row r="52" spans="1:19" x14ac:dyDescent="0.3">
      <c r="A52" s="2682">
        <v>3</v>
      </c>
      <c r="B52" s="2682"/>
      <c r="C52" s="241"/>
      <c r="D52" s="241"/>
      <c r="E52" s="242">
        <f>SUMPRODUCT(($B$15:$B$44="Market")*($C$15:$C$44=3)*$E$15:$E$44)</f>
        <v>54</v>
      </c>
      <c r="F52" s="243">
        <f>IF(Units=0,0,E52/Units)</f>
        <v>0.2109375</v>
      </c>
      <c r="G52" s="242">
        <f>IF($E52=0,0,J52/E52)</f>
        <v>1358.4814814814815</v>
      </c>
      <c r="H52" s="242">
        <f>IF($E52=0,0,K52/E52)</f>
        <v>2625.0722222222221</v>
      </c>
      <c r="I52" s="244">
        <f>IF($J52=0,0,K52/J52)</f>
        <v>1.9323577523923769</v>
      </c>
      <c r="J52" s="242">
        <f>SUMPRODUCT(($B$15:$B$44="Market")*($C$15:$C$44=3)*$E$15:$E$44*$G$15:$G$44)</f>
        <v>73358</v>
      </c>
      <c r="K52" s="242">
        <f>SUMPRODUCT(($B$15:$B$44="Market")*($C$15:$C$44=3)*$E$15:$E$44*$H$15:$H$44)</f>
        <v>141753.9</v>
      </c>
      <c r="L52" s="242">
        <f>K52*12</f>
        <v>1701046.7999999998</v>
      </c>
    </row>
    <row r="53" spans="1:19" x14ac:dyDescent="0.3">
      <c r="A53" s="245" t="s">
        <v>1198</v>
      </c>
      <c r="E53" s="229">
        <f>SUBTOTAL(9,E49:E52)</f>
        <v>256</v>
      </c>
      <c r="F53" s="240">
        <f>SUM(F49:F52)</f>
        <v>1</v>
      </c>
      <c r="G53" s="229">
        <f>IF(E53=0,0,J53/E53)</f>
        <v>938.984375</v>
      </c>
      <c r="H53" s="227">
        <f>IF(E53=0,0,K53/E53)</f>
        <v>2068.8063802083334</v>
      </c>
      <c r="I53" s="228">
        <f>IF(J53=0,0,K53/J53)</f>
        <v>2.2032383448428878</v>
      </c>
      <c r="J53" s="229">
        <f>SUBTOTAL(9,J49:J52)</f>
        <v>240380</v>
      </c>
      <c r="K53" s="227">
        <f>SUBTOTAL(9,K49:K52)</f>
        <v>529614.43333333335</v>
      </c>
      <c r="L53" s="227">
        <f>SUBTOTAL(9,L49:L52)</f>
        <v>6355373.2000000002</v>
      </c>
      <c r="M53" s="701"/>
    </row>
    <row r="54" spans="1:19" hidden="1" x14ac:dyDescent="0.3"/>
    <row r="55" spans="1:19" hidden="1" x14ac:dyDescent="0.3">
      <c r="A55" s="216" t="s">
        <v>1199</v>
      </c>
      <c r="B55" s="217"/>
      <c r="C55" s="218"/>
      <c r="D55" s="218"/>
      <c r="E55" s="218"/>
      <c r="F55" s="218"/>
      <c r="G55" s="218"/>
      <c r="H55" s="218" t="s">
        <v>1181</v>
      </c>
      <c r="I55" s="218" t="s">
        <v>1181</v>
      </c>
      <c r="J55" s="218"/>
      <c r="K55" s="218" t="s">
        <v>1182</v>
      </c>
      <c r="L55" s="218" t="s">
        <v>1182</v>
      </c>
      <c r="M55" s="219"/>
    </row>
    <row r="56" spans="1:19" ht="15" hidden="1" thickBot="1" x14ac:dyDescent="0.35">
      <c r="A56" s="221" t="s">
        <v>1200</v>
      </c>
      <c r="B56" s="222"/>
      <c r="C56" s="222"/>
      <c r="D56" s="222"/>
      <c r="E56" s="222" t="s">
        <v>736</v>
      </c>
      <c r="F56" s="222" t="s">
        <v>1201</v>
      </c>
      <c r="G56" s="222"/>
      <c r="H56" s="223" t="s">
        <v>1188</v>
      </c>
      <c r="I56" s="223" t="s">
        <v>1189</v>
      </c>
      <c r="J56" s="222"/>
      <c r="K56" s="222" t="s">
        <v>1190</v>
      </c>
      <c r="L56" s="223" t="s">
        <v>1191</v>
      </c>
      <c r="M56" s="224"/>
    </row>
    <row r="57" spans="1:19" ht="15" hidden="1" thickTop="1" x14ac:dyDescent="0.3">
      <c r="A57" s="2684" t="s">
        <v>1202</v>
      </c>
      <c r="B57" s="2685"/>
      <c r="C57" s="2686"/>
      <c r="E57" s="229">
        <v>0</v>
      </c>
      <c r="F57" s="240">
        <f>IF(Units=0,0,E57/Units)</f>
        <v>0</v>
      </c>
      <c r="H57" s="227">
        <v>0</v>
      </c>
      <c r="I57" s="228">
        <f>IF(MarketNRSF=0,0,K57/MarketNRSF)</f>
        <v>0</v>
      </c>
      <c r="K57" s="227">
        <f>H57*E57</f>
        <v>0</v>
      </c>
      <c r="L57" s="227">
        <f>K57*12</f>
        <v>0</v>
      </c>
    </row>
    <row r="58" spans="1:19" hidden="1" x14ac:dyDescent="0.3">
      <c r="A58" s="2687" t="s">
        <v>1203</v>
      </c>
      <c r="B58" s="2688"/>
      <c r="C58" s="2689"/>
      <c r="E58" s="229">
        <v>0</v>
      </c>
      <c r="F58" s="240">
        <f>IF(Units=0,0,E58/Units)</f>
        <v>0</v>
      </c>
      <c r="H58" s="229">
        <v>0</v>
      </c>
      <c r="I58" s="233">
        <f>IF(MarketNRSF=0,0,K58/MarketNRSF)</f>
        <v>0</v>
      </c>
      <c r="K58" s="229">
        <f>H58*E58</f>
        <v>0</v>
      </c>
      <c r="L58" s="229">
        <f>K58*12</f>
        <v>0</v>
      </c>
    </row>
    <row r="59" spans="1:19" hidden="1" x14ac:dyDescent="0.3">
      <c r="A59" s="2687" t="s">
        <v>1204</v>
      </c>
      <c r="B59" s="2688"/>
      <c r="C59" s="2689"/>
      <c r="E59" s="229">
        <v>0</v>
      </c>
      <c r="F59" s="240">
        <f>IF(Units=0,0,E59/Units)</f>
        <v>0</v>
      </c>
      <c r="H59" s="229">
        <v>0</v>
      </c>
      <c r="I59" s="233">
        <f>IF(MarketNRSF=0,0,K59/MarketNRSF)</f>
        <v>0</v>
      </c>
      <c r="K59" s="229">
        <f>H59*E59</f>
        <v>0</v>
      </c>
      <c r="L59" s="229">
        <f>K59*12</f>
        <v>0</v>
      </c>
    </row>
    <row r="60" spans="1:19" hidden="1" x14ac:dyDescent="0.3">
      <c r="A60" s="2690" t="s">
        <v>1205</v>
      </c>
      <c r="B60" s="2691"/>
      <c r="C60" s="2692"/>
      <c r="E60" s="242">
        <v>0</v>
      </c>
      <c r="F60" s="240">
        <f>IF(Units=0,0,E60/Units)</f>
        <v>0</v>
      </c>
      <c r="H60" s="242">
        <v>0</v>
      </c>
      <c r="I60" s="233">
        <f>IF(MarketNRSF=0,0,K60/MarketNRSF)</f>
        <v>0</v>
      </c>
      <c r="K60" s="229">
        <f>H60*E60</f>
        <v>0</v>
      </c>
      <c r="L60" s="229">
        <f>K60*12</f>
        <v>0</v>
      </c>
    </row>
    <row r="61" spans="1:19" hidden="1" x14ac:dyDescent="0.3">
      <c r="A61" s="992" t="s">
        <v>1206</v>
      </c>
      <c r="B61" s="701"/>
      <c r="C61" s="701"/>
      <c r="D61" s="701"/>
      <c r="E61" s="701"/>
      <c r="F61" s="701"/>
      <c r="G61" s="701"/>
      <c r="H61" s="702">
        <f>IF(E53=0,0,K61/E53)</f>
        <v>0</v>
      </c>
      <c r="I61" s="993">
        <f>IF(MarketNRSF=0,0,K61/MarketNRSF)</f>
        <v>0</v>
      </c>
      <c r="J61" s="975"/>
      <c r="K61" s="702">
        <f>SUBTOTAL(9,K57:K60)</f>
        <v>0</v>
      </c>
      <c r="L61" s="702">
        <f>SUBTOTAL(9,L57:L60)</f>
        <v>0</v>
      </c>
      <c r="M61" s="701"/>
    </row>
    <row r="63" spans="1:19" x14ac:dyDescent="0.3">
      <c r="A63" s="216" t="s">
        <v>1207</v>
      </c>
      <c r="B63" s="217"/>
      <c r="C63" s="218"/>
      <c r="D63" s="218"/>
      <c r="E63" s="218"/>
      <c r="F63" s="218"/>
      <c r="G63" s="218" t="s">
        <v>1208</v>
      </c>
      <c r="H63" s="218" t="s">
        <v>1181</v>
      </c>
      <c r="I63" s="218" t="s">
        <v>1181</v>
      </c>
      <c r="J63" s="218"/>
      <c r="K63" s="218" t="s">
        <v>1209</v>
      </c>
      <c r="L63" s="218" t="s">
        <v>1209</v>
      </c>
      <c r="M63" s="219"/>
    </row>
    <row r="64" spans="1:19" ht="15" thickBot="1" x14ac:dyDescent="0.35">
      <c r="A64" s="221"/>
      <c r="B64" s="222"/>
      <c r="C64" s="222"/>
      <c r="D64" s="222"/>
      <c r="E64" s="222" t="s">
        <v>736</v>
      </c>
      <c r="F64" s="222" t="s">
        <v>229</v>
      </c>
      <c r="G64" s="222" t="s">
        <v>1187</v>
      </c>
      <c r="H64" s="223" t="s">
        <v>1188</v>
      </c>
      <c r="I64" s="223" t="s">
        <v>1189</v>
      </c>
      <c r="J64" s="222" t="s">
        <v>810</v>
      </c>
      <c r="K64" s="222" t="s">
        <v>1210</v>
      </c>
      <c r="L64" s="223" t="s">
        <v>1211</v>
      </c>
      <c r="M64" s="224"/>
    </row>
    <row r="65" spans="1:14" ht="15" thickTop="1" x14ac:dyDescent="0.3">
      <c r="A65" t="s">
        <v>1212</v>
      </c>
      <c r="E65" s="229">
        <f>MarketRateUnits</f>
        <v>256</v>
      </c>
      <c r="F65" s="535">
        <f>F53</f>
        <v>1</v>
      </c>
      <c r="G65" s="229">
        <f>MarketUnitSize</f>
        <v>938.984375</v>
      </c>
      <c r="H65" s="227">
        <f>MarketBaseRent</f>
        <v>2068.8063802083334</v>
      </c>
      <c r="I65" s="228">
        <f>I53</f>
        <v>2.2032383448428878</v>
      </c>
      <c r="J65" s="229">
        <f>MarketNRSF</f>
        <v>240380</v>
      </c>
      <c r="K65" s="227">
        <f>K53</f>
        <v>529614.43333333335</v>
      </c>
      <c r="L65" s="227">
        <f>L53</f>
        <v>6355373.2000000002</v>
      </c>
    </row>
    <row r="66" spans="1:14" x14ac:dyDescent="0.3">
      <c r="A66" t="s">
        <v>1213</v>
      </c>
      <c r="E66" s="229"/>
      <c r="F66" s="229"/>
      <c r="G66" s="229"/>
      <c r="H66" s="229">
        <f>AmenityPremiums</f>
        <v>0</v>
      </c>
      <c r="I66" s="233">
        <f>I61</f>
        <v>0</v>
      </c>
      <c r="J66" s="229"/>
      <c r="K66" s="229">
        <f>K61</f>
        <v>0</v>
      </c>
      <c r="L66" s="229">
        <f>L61</f>
        <v>0</v>
      </c>
    </row>
    <row r="67" spans="1:14" x14ac:dyDescent="0.3">
      <c r="A67" s="992" t="s">
        <v>1214</v>
      </c>
      <c r="B67" s="701"/>
      <c r="C67" s="701"/>
      <c r="D67" s="701"/>
      <c r="E67" s="975">
        <f>SUM(E65:E66)</f>
        <v>256</v>
      </c>
      <c r="F67" s="1035">
        <f>SUM(F65:F66)</f>
        <v>1</v>
      </c>
      <c r="G67" s="975">
        <f>SUM(G65:G66)</f>
        <v>938.984375</v>
      </c>
      <c r="H67" s="702">
        <f>IF(E67=0,0,K67/E67)</f>
        <v>2068.8063802083334</v>
      </c>
      <c r="I67" s="993">
        <f>IF(J67=0,0,K67/J67)</f>
        <v>2.2032383448428878</v>
      </c>
      <c r="J67" s="975">
        <f>SUM(J65:J66)</f>
        <v>240380</v>
      </c>
      <c r="K67" s="702">
        <f>SUM(K65:K66)</f>
        <v>529614.43333333335</v>
      </c>
      <c r="L67" s="702">
        <f>SUM(L65:L66)</f>
        <v>6355373.2000000002</v>
      </c>
      <c r="M67" s="701"/>
    </row>
    <row r="69" spans="1:14" ht="15.6" x14ac:dyDescent="0.3">
      <c r="A69" s="115" t="s">
        <v>1215</v>
      </c>
      <c r="B69" s="204"/>
      <c r="C69" s="204"/>
      <c r="D69" s="204"/>
      <c r="E69" s="204"/>
      <c r="F69" s="204"/>
      <c r="G69" s="204"/>
      <c r="H69" s="204"/>
      <c r="I69" s="204"/>
      <c r="J69" s="204"/>
      <c r="K69" s="204"/>
      <c r="L69" s="204"/>
      <c r="M69" s="117" t="str">
        <f ca="1">'General Inputs'!$O$2</f>
        <v>In-Place ROC = 6.65%; Project IRR = 30.59%</v>
      </c>
      <c r="N69" s="205"/>
    </row>
    <row r="70" spans="1:14" ht="3.75" customHeight="1" thickBot="1" x14ac:dyDescent="0.35">
      <c r="A70" s="119"/>
      <c r="B70" s="119"/>
      <c r="C70" s="119"/>
      <c r="D70" s="119"/>
      <c r="E70" s="119"/>
      <c r="F70" s="119"/>
      <c r="G70" s="119"/>
      <c r="H70" s="119"/>
      <c r="I70" s="119"/>
      <c r="J70" s="119"/>
      <c r="K70" s="119"/>
      <c r="L70" s="119"/>
      <c r="M70" s="119"/>
      <c r="N70" s="205"/>
    </row>
    <row r="71" spans="1:14" ht="7.5" customHeight="1" thickTop="1" x14ac:dyDescent="0.3">
      <c r="A71" s="206"/>
      <c r="B71" s="206"/>
      <c r="C71" s="206"/>
      <c r="D71" s="206"/>
      <c r="E71" s="206"/>
      <c r="F71" s="206"/>
      <c r="G71" s="206"/>
      <c r="H71" s="206"/>
      <c r="I71" s="206"/>
      <c r="J71" s="206"/>
      <c r="K71" s="206"/>
      <c r="L71" s="206"/>
      <c r="M71" s="206"/>
      <c r="N71" s="205"/>
    </row>
    <row r="72" spans="1:14" x14ac:dyDescent="0.3">
      <c r="A72" s="216" t="s">
        <v>1216</v>
      </c>
      <c r="B72" s="217"/>
      <c r="C72" s="218"/>
      <c r="D72" s="218"/>
      <c r="E72" s="218"/>
      <c r="F72" s="218"/>
      <c r="G72" s="218" t="s">
        <v>1208</v>
      </c>
      <c r="H72" s="218" t="s">
        <v>1181</v>
      </c>
      <c r="I72" s="218" t="s">
        <v>1181</v>
      </c>
      <c r="J72" s="218"/>
      <c r="K72" s="218" t="s">
        <v>1209</v>
      </c>
      <c r="L72" s="218" t="s">
        <v>1209</v>
      </c>
      <c r="M72" s="219"/>
    </row>
    <row r="73" spans="1:14" s="226" customFormat="1" ht="15" thickBot="1" x14ac:dyDescent="0.35">
      <c r="A73" s="221" t="s">
        <v>1184</v>
      </c>
      <c r="B73" s="222"/>
      <c r="C73" s="222"/>
      <c r="D73" s="222"/>
      <c r="E73" s="222" t="s">
        <v>410</v>
      </c>
      <c r="F73" s="222" t="s">
        <v>1217</v>
      </c>
      <c r="G73" s="222" t="s">
        <v>1187</v>
      </c>
      <c r="H73" s="223" t="s">
        <v>1188</v>
      </c>
      <c r="I73" s="223" t="s">
        <v>1189</v>
      </c>
      <c r="J73" s="222" t="s">
        <v>810</v>
      </c>
      <c r="K73" s="222" t="s">
        <v>1210</v>
      </c>
      <c r="L73" s="223" t="s">
        <v>1211</v>
      </c>
      <c r="M73" s="224"/>
      <c r="N73" s="239"/>
    </row>
    <row r="74" spans="1:14" ht="15" thickTop="1" x14ac:dyDescent="0.3">
      <c r="A74" s="2683">
        <v>0</v>
      </c>
      <c r="B74" s="2683"/>
      <c r="E74" s="229">
        <f>SUMPRODUCT(($N$15:$N$44=1)*($C$15:$C$44=0)*$E$15:$E$44)</f>
        <v>0</v>
      </c>
      <c r="F74" s="240">
        <f>IF(Units=0,0,E74/Units)</f>
        <v>0</v>
      </c>
      <c r="G74" s="229">
        <f>IF($E74=0,0,J74/E74)</f>
        <v>0</v>
      </c>
      <c r="H74" s="252">
        <f>IF($E74=0,0,K74/E74)</f>
        <v>0</v>
      </c>
      <c r="I74" s="228">
        <f>IF($J74=0,0,K74/J74)</f>
        <v>0</v>
      </c>
      <c r="J74" s="229">
        <f>SUMPRODUCT(($N$15:$N$44=1)*($C$15:$C$44=0)*$E$15:$E$44*$G$15:$G$44)</f>
        <v>0</v>
      </c>
      <c r="K74" s="227">
        <f>SUMPRODUCT(($N$15:$N$44=1)*($C$15:$C$44=0)*$E$15:$E$44*$H$15:$H$44)</f>
        <v>0</v>
      </c>
      <c r="L74" s="227">
        <f>K74*12</f>
        <v>0</v>
      </c>
    </row>
    <row r="75" spans="1:14" x14ac:dyDescent="0.3">
      <c r="A75" s="2681">
        <v>1</v>
      </c>
      <c r="B75" s="2681"/>
      <c r="E75" s="229">
        <f>SUMPRODUCT(($N$15:$N$44=1)*($C$15:$C$44=1)*$E$15:$E$44)</f>
        <v>0</v>
      </c>
      <c r="F75" s="240">
        <f>IF(Units=0,0,E75/Units)</f>
        <v>0</v>
      </c>
      <c r="G75" s="229">
        <f>IF($E75=0,0,J75/E75)</f>
        <v>0</v>
      </c>
      <c r="H75" s="253">
        <f>IF($E75=0,0,K75/E75)</f>
        <v>0</v>
      </c>
      <c r="I75" s="233">
        <f>IF($J75=0,0,K75/J75)</f>
        <v>0</v>
      </c>
      <c r="J75" s="229">
        <f>SUMPRODUCT(($N$15:$N$44=1)*($C$15:$C$44=1)*$E$15:$E$44*$G$15:$G$44)</f>
        <v>0</v>
      </c>
      <c r="K75" s="229">
        <f>SUMPRODUCT(($N$15:$N$44=1)*($C$15:$C$44=1)*$E$15:$E$44*$H$15:$H$44)</f>
        <v>0</v>
      </c>
      <c r="L75" s="229">
        <f>K75*12</f>
        <v>0</v>
      </c>
    </row>
    <row r="76" spans="1:14" x14ac:dyDescent="0.3">
      <c r="A76" s="2681">
        <v>2</v>
      </c>
      <c r="B76" s="2681"/>
      <c r="E76" s="229">
        <f>SUMPRODUCT(($N$15:$N$44=1)*($C$15:$C$44=2)*$E$15:$E$44)</f>
        <v>0</v>
      </c>
      <c r="F76" s="240">
        <f>IF(Units=0,0,E76/Units)</f>
        <v>0</v>
      </c>
      <c r="G76" s="229">
        <f>IF($E76=0,0,J76/E76)</f>
        <v>0</v>
      </c>
      <c r="H76" s="253">
        <f>IF($E76=0,0,K76/E76)</f>
        <v>0</v>
      </c>
      <c r="I76" s="233">
        <f>IF($J76=0,0,K76/J76)</f>
        <v>0</v>
      </c>
      <c r="J76" s="229">
        <f>SUMPRODUCT(($N$15:$N$44=1)*($C$15:$C$44=2)*$E$15:$E$44*$G$15:$G$44)</f>
        <v>0</v>
      </c>
      <c r="K76" s="229">
        <f>SUMPRODUCT(($N$15:$N$44=1)*($C$15:$C$44=2)*$E$15:$E$44*$H$15:$H$44)</f>
        <v>0</v>
      </c>
      <c r="L76" s="229">
        <f>K76*12</f>
        <v>0</v>
      </c>
    </row>
    <row r="77" spans="1:14" x14ac:dyDescent="0.3">
      <c r="A77" s="2682">
        <v>3</v>
      </c>
      <c r="B77" s="2682"/>
      <c r="C77" s="241"/>
      <c r="D77" s="241"/>
      <c r="E77" s="242">
        <f>SUMPRODUCT(($N$15:$N$44=1)*($C$15:$C$44=3)*$E$15:$E$44)</f>
        <v>0</v>
      </c>
      <c r="F77" s="243">
        <f>IF(Units=0,0,E77/Units)</f>
        <v>0</v>
      </c>
      <c r="G77" s="242">
        <f>IF($E77=0,0,J77/E77)</f>
        <v>0</v>
      </c>
      <c r="H77" s="254">
        <f>IF($E77=0,0,K77/E77)</f>
        <v>0</v>
      </c>
      <c r="I77" s="244">
        <f>IF($J77=0,0,K77/J77)</f>
        <v>0</v>
      </c>
      <c r="J77" s="242">
        <f>SUMPRODUCT(($N$15:$N$44=1)*($C$15:$C$44=3)*$E$15:$E$44*$G$15:$G$44)</f>
        <v>0</v>
      </c>
      <c r="K77" s="242">
        <f>SUMPRODUCT(($N$15:$N$44=1)*($C$15:$C$44=3)*$E$15:$E$44*$H$15:$H$44)</f>
        <v>0</v>
      </c>
      <c r="L77" s="242">
        <f>K77*12</f>
        <v>0</v>
      </c>
    </row>
    <row r="78" spans="1:14" x14ac:dyDescent="0.3">
      <c r="A78" s="245" t="s">
        <v>1218</v>
      </c>
      <c r="E78" s="229">
        <f>SUBTOTAL(9,E74:E77)</f>
        <v>0</v>
      </c>
      <c r="F78" s="240">
        <f>SUM(F74:F77)</f>
        <v>0</v>
      </c>
      <c r="G78" s="229">
        <f>IF(E78=0,0,J78/E78)</f>
        <v>0</v>
      </c>
      <c r="H78" s="252">
        <f>IF(E78=0,0,K78/E78)</f>
        <v>0</v>
      </c>
      <c r="I78" s="228">
        <f>IF(J78=0,0,K78/J78)</f>
        <v>0</v>
      </c>
      <c r="J78" s="229">
        <f>SUBTOTAL(9,J74:J77)</f>
        <v>0</v>
      </c>
      <c r="K78" s="227">
        <f>SUBTOTAL(9,K74:K77)</f>
        <v>0</v>
      </c>
      <c r="L78" s="227">
        <f>SUBTOTAL(9,L74:L77)</f>
        <v>0</v>
      </c>
      <c r="M78" s="701"/>
    </row>
    <row r="80" spans="1:14" x14ac:dyDescent="0.3">
      <c r="A80" s="216" t="s">
        <v>1219</v>
      </c>
      <c r="B80" s="217"/>
      <c r="C80" s="218"/>
      <c r="D80" s="218"/>
      <c r="E80" s="218"/>
      <c r="F80" s="218"/>
      <c r="G80" s="218" t="s">
        <v>1208</v>
      </c>
      <c r="H80" s="218" t="s">
        <v>1181</v>
      </c>
      <c r="I80" s="218" t="s">
        <v>1181</v>
      </c>
      <c r="J80" s="218"/>
      <c r="K80" s="218" t="s">
        <v>1209</v>
      </c>
      <c r="L80" s="218" t="s">
        <v>1209</v>
      </c>
      <c r="M80" s="219"/>
    </row>
    <row r="81" spans="1:284" ht="15" thickBot="1" x14ac:dyDescent="0.35">
      <c r="A81" s="221" t="s">
        <v>1184</v>
      </c>
      <c r="B81" s="222"/>
      <c r="C81" s="222"/>
      <c r="D81" s="222"/>
      <c r="E81" s="222" t="s">
        <v>410</v>
      </c>
      <c r="F81" s="222" t="s">
        <v>1217</v>
      </c>
      <c r="G81" s="222" t="s">
        <v>1187</v>
      </c>
      <c r="H81" s="223" t="s">
        <v>1188</v>
      </c>
      <c r="I81" s="223" t="s">
        <v>1189</v>
      </c>
      <c r="J81" s="222" t="s">
        <v>810</v>
      </c>
      <c r="K81" s="222" t="s">
        <v>1210</v>
      </c>
      <c r="L81" s="223" t="s">
        <v>1211</v>
      </c>
      <c r="M81" s="224"/>
    </row>
    <row r="82" spans="1:284" ht="15" thickTop="1" x14ac:dyDescent="0.3">
      <c r="A82" t="s">
        <v>1220</v>
      </c>
      <c r="E82" s="229">
        <f>E67</f>
        <v>256</v>
      </c>
      <c r="F82" s="535">
        <f>F67</f>
        <v>1</v>
      </c>
      <c r="G82" s="229">
        <f>J82/E82</f>
        <v>938.984375</v>
      </c>
      <c r="H82" s="227">
        <f>K82/E82</f>
        <v>2068.8063802083334</v>
      </c>
      <c r="I82" s="228">
        <f>K82/J82</f>
        <v>2.2032383448428878</v>
      </c>
      <c r="J82" s="229">
        <f>J67</f>
        <v>240380</v>
      </c>
      <c r="K82" s="227">
        <f>K67</f>
        <v>529614.43333333335</v>
      </c>
      <c r="L82" s="227">
        <f>L67</f>
        <v>6355373.2000000002</v>
      </c>
    </row>
    <row r="83" spans="1:284" x14ac:dyDescent="0.3">
      <c r="A83" t="s">
        <v>1221</v>
      </c>
      <c r="E83" s="229">
        <f>BMRUnits</f>
        <v>0</v>
      </c>
      <c r="F83" s="535">
        <f>F78</f>
        <v>0</v>
      </c>
      <c r="G83" s="229">
        <f>IF(E83=0,0,J83/E83)</f>
        <v>0</v>
      </c>
      <c r="H83" s="229">
        <f>IF(E83=0,0,K83/E83)</f>
        <v>0</v>
      </c>
      <c r="I83" s="233">
        <f>IF(K83=0,0,K83/J83)</f>
        <v>0</v>
      </c>
      <c r="J83" s="229">
        <f>BMRNRSF</f>
        <v>0</v>
      </c>
      <c r="K83" s="229">
        <f>K78</f>
        <v>0</v>
      </c>
      <c r="L83" s="229">
        <f>L78</f>
        <v>0</v>
      </c>
    </row>
    <row r="84" spans="1:284" ht="15" thickBot="1" x14ac:dyDescent="0.35">
      <c r="A84" s="248" t="s">
        <v>687</v>
      </c>
      <c r="B84" s="248"/>
      <c r="C84" s="248"/>
      <c r="D84" s="248"/>
      <c r="E84" s="249">
        <f>SUM(E82:E83)</f>
        <v>256</v>
      </c>
      <c r="F84" s="1036">
        <f>SUM(F82:F83)</f>
        <v>1</v>
      </c>
      <c r="G84" s="249">
        <f>J84/E84</f>
        <v>938.984375</v>
      </c>
      <c r="H84" s="250">
        <f>IF(E84=0,0,K84/E84)</f>
        <v>2068.8063802083334</v>
      </c>
      <c r="I84" s="251">
        <f>K84/J84</f>
        <v>2.2032383448428878</v>
      </c>
      <c r="J84" s="249">
        <f>SUM(J82:J83)</f>
        <v>240380</v>
      </c>
      <c r="K84" s="250">
        <f>SUM(K82:K83)</f>
        <v>529614.43333333335</v>
      </c>
      <c r="L84" s="250">
        <f>SUM(L82:L83)</f>
        <v>6355373.2000000002</v>
      </c>
      <c r="M84" s="248"/>
    </row>
    <row r="85" spans="1:284" ht="15" thickTop="1" x14ac:dyDescent="0.3"/>
    <row r="86" spans="1:284" x14ac:dyDescent="0.3">
      <c r="A86" s="216" t="s">
        <v>1222</v>
      </c>
      <c r="B86" s="217"/>
      <c r="C86" s="218"/>
      <c r="D86" s="218"/>
      <c r="E86" s="218"/>
      <c r="F86" s="218"/>
      <c r="G86" s="218"/>
      <c r="H86" s="218" t="s">
        <v>1223</v>
      </c>
      <c r="I86" s="218" t="s">
        <v>1181</v>
      </c>
      <c r="J86" s="218"/>
      <c r="K86" s="218" t="s">
        <v>1209</v>
      </c>
      <c r="L86" s="218" t="s">
        <v>1209</v>
      </c>
      <c r="M86" s="219"/>
    </row>
    <row r="87" spans="1:284" ht="15" thickBot="1" x14ac:dyDescent="0.35">
      <c r="A87" s="221" t="s">
        <v>1224</v>
      </c>
      <c r="B87" s="222"/>
      <c r="C87" s="222"/>
      <c r="D87" s="222"/>
      <c r="E87" s="222" t="s">
        <v>1225</v>
      </c>
      <c r="F87" s="222" t="s">
        <v>1226</v>
      </c>
      <c r="G87" s="222"/>
      <c r="H87" s="223" t="s">
        <v>1188</v>
      </c>
      <c r="I87" s="223" t="s">
        <v>1189</v>
      </c>
      <c r="J87" s="222"/>
      <c r="K87" s="222" t="s">
        <v>1210</v>
      </c>
      <c r="L87" s="223" t="s">
        <v>1211</v>
      </c>
      <c r="M87" s="224"/>
    </row>
    <row r="88" spans="1:284" ht="15" thickTop="1" x14ac:dyDescent="0.3">
      <c r="A88" s="2711" t="s">
        <v>1227</v>
      </c>
      <c r="B88" s="2712"/>
      <c r="C88" s="2713"/>
      <c r="E88" s="1559">
        <f>+SUM('General Inputs'!D22:D25)</f>
        <v>536</v>
      </c>
      <c r="F88" s="240">
        <f>IF(Units=0,0,E88/Units)</f>
        <v>2.09375</v>
      </c>
      <c r="H88" s="16">
        <f>+SUMPRODUCT(JX89:JX92,JW89:JW92)/SUM(JW89:JW92)</f>
        <v>41.417910447761194</v>
      </c>
      <c r="I88" s="228">
        <f>IF(MarketNRSF=0,0,K88/MarketNRSF)</f>
        <v>9.2353773192445296E-2</v>
      </c>
      <c r="K88" s="227">
        <f>E88*H88</f>
        <v>22200</v>
      </c>
      <c r="L88" s="227">
        <f>K88*12</f>
        <v>266400</v>
      </c>
      <c r="ES88" s="700" t="s">
        <v>1228</v>
      </c>
      <c r="JW88" s="1546" t="s">
        <v>985</v>
      </c>
      <c r="JX88" s="1546" t="s">
        <v>1229</v>
      </c>
    </row>
    <row r="89" spans="1:284" x14ac:dyDescent="0.3">
      <c r="A89" s="2714" t="s">
        <v>1230</v>
      </c>
      <c r="B89" s="2715"/>
      <c r="C89" s="2716"/>
      <c r="E89" s="1560">
        <f>Units*0.3</f>
        <v>76.8</v>
      </c>
      <c r="F89" s="240">
        <f>IF(Units=0,0,E89/Units)</f>
        <v>0.3</v>
      </c>
      <c r="H89" s="16">
        <f>'Operating Input Details'!B24</f>
        <v>35</v>
      </c>
      <c r="I89" s="233">
        <f>IF(MarketNRSF=0,0,K89/MarketNRSF)</f>
        <v>1.1182294700058241E-2</v>
      </c>
      <c r="K89" s="229">
        <f>E89*H89</f>
        <v>2688</v>
      </c>
      <c r="L89" s="229">
        <f>K89*12</f>
        <v>32256</v>
      </c>
      <c r="ES89" s="124" t="str">
        <f>'General Inputs'!C22</f>
        <v>Surface:</v>
      </c>
      <c r="JW89" s="1094">
        <f>'General Inputs'!D22</f>
        <v>135</v>
      </c>
      <c r="JX89" s="1547">
        <f>'Operating Input Details'!B33</f>
        <v>0</v>
      </c>
    </row>
    <row r="90" spans="1:284" x14ac:dyDescent="0.3">
      <c r="A90" s="2714" t="s">
        <v>1231</v>
      </c>
      <c r="B90" s="2715"/>
      <c r="C90" s="2716"/>
      <c r="E90" s="1560">
        <f>Units</f>
        <v>256</v>
      </c>
      <c r="F90" s="240">
        <f>IF(Units=0,0,E90/Units)</f>
        <v>1</v>
      </c>
      <c r="H90" s="16">
        <f>+(L121*0.93)/12</f>
        <v>95.79</v>
      </c>
      <c r="I90" s="233">
        <f>IF(MarketNRSF=0,0,K90/MarketNRSF)</f>
        <v>0.10201447707795991</v>
      </c>
      <c r="K90" s="229">
        <f>E90*H90</f>
        <v>24522.240000000002</v>
      </c>
      <c r="L90" s="229">
        <f>K90*12</f>
        <v>294266.88</v>
      </c>
      <c r="ES90" s="120" t="str">
        <f>'General Inputs'!C23</f>
        <v>EV:</v>
      </c>
      <c r="JW90" s="1094">
        <f>'General Inputs'!D23</f>
        <v>54</v>
      </c>
      <c r="JX90" s="1547">
        <f>'Operating Input Details'!B34</f>
        <v>100</v>
      </c>
    </row>
    <row r="91" spans="1:284" x14ac:dyDescent="0.3">
      <c r="A91" s="2717" t="s">
        <v>1232</v>
      </c>
      <c r="B91" s="2718"/>
      <c r="C91" s="2719"/>
      <c r="E91" s="1561">
        <f>Units</f>
        <v>256</v>
      </c>
      <c r="F91" s="240">
        <f>IF(Units=0,0,E91/Units)</f>
        <v>1</v>
      </c>
      <c r="H91" s="16">
        <f>'Operating Input Details'!B25</f>
        <v>108</v>
      </c>
      <c r="I91" s="233">
        <f>IF(MarketNRSF=0,0,K91/MarketNRSF)</f>
        <v>0.11501788834345619</v>
      </c>
      <c r="K91" s="229">
        <f>E91*H91</f>
        <v>27648</v>
      </c>
      <c r="L91" s="229">
        <f>K91*12</f>
        <v>331776</v>
      </c>
      <c r="ES91" s="120" t="str">
        <f>'General Inputs'!C24</f>
        <v>Garage:</v>
      </c>
      <c r="JW91" s="1094">
        <f>'General Inputs'!D24</f>
        <v>137</v>
      </c>
      <c r="JX91" s="1547">
        <f>+(175*42)/JW91</f>
        <v>53.649635036496349</v>
      </c>
    </row>
    <row r="92" spans="1:284" x14ac:dyDescent="0.3">
      <c r="A92" s="992" t="s">
        <v>697</v>
      </c>
      <c r="B92" s="701"/>
      <c r="C92" s="701"/>
      <c r="D92" s="701"/>
      <c r="E92" s="975"/>
      <c r="F92" s="701"/>
      <c r="G92" s="701"/>
      <c r="H92" s="702">
        <f>IF(E45=0,0,K92/E45)</f>
        <v>301.00875000000002</v>
      </c>
      <c r="I92" s="993">
        <f>IF(MarketNRSF=0,0,K92/MarketNRSF)</f>
        <v>0.32056843331391965</v>
      </c>
      <c r="J92" s="975"/>
      <c r="K92" s="702">
        <f>SUBTOTAL(9,K88:K91)</f>
        <v>77058.240000000005</v>
      </c>
      <c r="L92" s="702">
        <f>SUBTOTAL(9,L88:L91)</f>
        <v>924698.88</v>
      </c>
      <c r="M92" s="701"/>
      <c r="ES92" t="str">
        <f>'General Inputs'!C25</f>
        <v>Carports:</v>
      </c>
      <c r="JW92" s="1094">
        <f>'General Inputs'!D25</f>
        <v>210</v>
      </c>
      <c r="JX92" s="1547">
        <f>'Operating Input Details'!B36</f>
        <v>45</v>
      </c>
    </row>
    <row r="93" spans="1:284" x14ac:dyDescent="0.3">
      <c r="A93" s="1037"/>
      <c r="B93" s="1037"/>
      <c r="C93" s="1037"/>
      <c r="D93" s="1037"/>
      <c r="E93" s="1037"/>
      <c r="F93" s="1037"/>
      <c r="G93" s="1037"/>
      <c r="H93" s="1037"/>
      <c r="I93" s="1037"/>
      <c r="J93" s="1037"/>
      <c r="K93" s="1037"/>
      <c r="L93" s="1037"/>
      <c r="M93" s="1037"/>
      <c r="N93" s="205"/>
    </row>
    <row r="94" spans="1:284" x14ac:dyDescent="0.3">
      <c r="A94" s="216" t="s">
        <v>1233</v>
      </c>
      <c r="B94" s="217"/>
      <c r="C94" s="218"/>
      <c r="D94" s="218"/>
      <c r="E94" s="218"/>
      <c r="F94" s="218"/>
      <c r="G94" s="218"/>
      <c r="H94" s="218" t="s">
        <v>694</v>
      </c>
      <c r="I94" s="218" t="s">
        <v>694</v>
      </c>
      <c r="J94" s="218"/>
      <c r="K94" s="218" t="s">
        <v>1234</v>
      </c>
      <c r="L94" s="218" t="s">
        <v>1234</v>
      </c>
      <c r="M94" s="219"/>
    </row>
    <row r="95" spans="1:284" ht="15" thickBot="1" x14ac:dyDescent="0.35">
      <c r="A95" s="221"/>
      <c r="B95" s="222"/>
      <c r="C95" s="222"/>
      <c r="D95" s="222"/>
      <c r="E95" s="222" t="s">
        <v>410</v>
      </c>
      <c r="F95" s="222" t="s">
        <v>1217</v>
      </c>
      <c r="G95" s="222" t="s">
        <v>1187</v>
      </c>
      <c r="H95" s="223" t="s">
        <v>1188</v>
      </c>
      <c r="I95" s="223" t="s">
        <v>1189</v>
      </c>
      <c r="J95" s="222" t="s">
        <v>810</v>
      </c>
      <c r="K95" s="222" t="s">
        <v>1210</v>
      </c>
      <c r="L95" s="223" t="s">
        <v>1211</v>
      </c>
      <c r="M95" s="224"/>
    </row>
    <row r="96" spans="1:284" ht="15" thickTop="1" x14ac:dyDescent="0.3">
      <c r="A96" s="111" t="s">
        <v>695</v>
      </c>
      <c r="E96" s="229">
        <f>Units</f>
        <v>256</v>
      </c>
      <c r="F96" s="240">
        <f>E96/Units</f>
        <v>1</v>
      </c>
      <c r="G96" s="229">
        <f>IF(E96=0,0,J96/E96)</f>
        <v>938.984375</v>
      </c>
      <c r="H96" s="17">
        <f>'Operating Input Details'!B26</f>
        <v>49.583333333333336</v>
      </c>
      <c r="I96" s="228">
        <f>IF(J96=0,0,K96/J96)</f>
        <v>5.2805280528052806E-2</v>
      </c>
      <c r="J96" s="229">
        <f>TotalNRSF</f>
        <v>240380</v>
      </c>
      <c r="K96" s="227">
        <f>OtherIncome*E96</f>
        <v>12693.333333333334</v>
      </c>
      <c r="L96" s="227">
        <f>K96*12</f>
        <v>152320</v>
      </c>
    </row>
    <row r="97" spans="1:282" x14ac:dyDescent="0.3">
      <c r="P97" s="118" t="s">
        <v>1235</v>
      </c>
    </row>
    <row r="98" spans="1:282" ht="15" hidden="1" thickBot="1" x14ac:dyDescent="0.35">
      <c r="A98" s="216" t="s">
        <v>1236</v>
      </c>
      <c r="B98" s="260"/>
      <c r="C98" s="261"/>
      <c r="D98" s="261"/>
      <c r="E98" s="261" t="s">
        <v>1237</v>
      </c>
      <c r="F98" s="261" t="s">
        <v>1238</v>
      </c>
      <c r="G98" s="261" t="s">
        <v>1239</v>
      </c>
      <c r="H98" s="261" t="s">
        <v>1240</v>
      </c>
      <c r="I98" s="261" t="s">
        <v>1241</v>
      </c>
      <c r="J98" s="261" t="s">
        <v>249</v>
      </c>
      <c r="K98" s="261" t="s">
        <v>1242</v>
      </c>
      <c r="L98" s="261" t="s">
        <v>1243</v>
      </c>
      <c r="M98" s="262" t="s">
        <v>1244</v>
      </c>
      <c r="P98" s="263" t="s">
        <v>1245</v>
      </c>
      <c r="ET98" s="263" t="s">
        <v>1246</v>
      </c>
    </row>
    <row r="99" spans="1:282" ht="15" hidden="1" thickBot="1" x14ac:dyDescent="0.35">
      <c r="A99" s="264" t="s">
        <v>1247</v>
      </c>
      <c r="B99" s="265" t="s">
        <v>1248</v>
      </c>
      <c r="C99" s="265" t="s">
        <v>1187</v>
      </c>
      <c r="D99" s="265" t="s">
        <v>1249</v>
      </c>
      <c r="E99" s="265" t="s">
        <v>1250</v>
      </c>
      <c r="F99" s="265" t="s">
        <v>1237</v>
      </c>
      <c r="G99" s="265" t="s">
        <v>1251</v>
      </c>
      <c r="H99" s="266" t="s">
        <v>1239</v>
      </c>
      <c r="I99" s="266" t="s">
        <v>1252</v>
      </c>
      <c r="J99" s="265" t="s">
        <v>1253</v>
      </c>
      <c r="K99" s="265" t="s">
        <v>1254</v>
      </c>
      <c r="L99" s="266" t="s">
        <v>126</v>
      </c>
      <c r="M99" s="267" t="s">
        <v>805</v>
      </c>
      <c r="P99" s="268">
        <v>0</v>
      </c>
      <c r="Q99" s="268">
        <v>1</v>
      </c>
      <c r="R99" s="268">
        <v>2</v>
      </c>
      <c r="S99" s="268">
        <v>3</v>
      </c>
      <c r="T99" s="268">
        <v>4</v>
      </c>
      <c r="U99" s="268">
        <v>5</v>
      </c>
      <c r="V99" s="268">
        <v>6</v>
      </c>
      <c r="W99" s="268">
        <v>7</v>
      </c>
      <c r="X99" s="268">
        <v>8</v>
      </c>
      <c r="Y99" s="268">
        <v>9</v>
      </c>
      <c r="Z99" s="268">
        <v>10</v>
      </c>
      <c r="AA99" s="268">
        <v>11</v>
      </c>
      <c r="AB99" s="268">
        <v>12</v>
      </c>
      <c r="AC99" s="268">
        <v>13</v>
      </c>
      <c r="AD99" s="268">
        <v>14</v>
      </c>
      <c r="AE99" s="268">
        <v>15</v>
      </c>
      <c r="AF99" s="268">
        <v>16</v>
      </c>
      <c r="AG99" s="268">
        <v>17</v>
      </c>
      <c r="AH99" s="268">
        <v>18</v>
      </c>
      <c r="AI99" s="268">
        <v>19</v>
      </c>
      <c r="AJ99" s="268">
        <v>20</v>
      </c>
      <c r="AK99" s="268">
        <v>21</v>
      </c>
      <c r="AL99" s="268">
        <v>22</v>
      </c>
      <c r="AM99" s="268">
        <v>23</v>
      </c>
      <c r="AN99" s="268">
        <v>24</v>
      </c>
      <c r="AO99" s="268">
        <v>25</v>
      </c>
      <c r="AP99" s="268">
        <v>26</v>
      </c>
      <c r="AQ99" s="268">
        <v>27</v>
      </c>
      <c r="AR99" s="268">
        <v>28</v>
      </c>
      <c r="AS99" s="268">
        <v>29</v>
      </c>
      <c r="AT99" s="268">
        <v>30</v>
      </c>
      <c r="AU99" s="268">
        <v>31</v>
      </c>
      <c r="AV99" s="268">
        <v>32</v>
      </c>
      <c r="AW99" s="268">
        <v>33</v>
      </c>
      <c r="AX99" s="268">
        <v>34</v>
      </c>
      <c r="AY99" s="268">
        <v>35</v>
      </c>
      <c r="AZ99" s="268">
        <v>36</v>
      </c>
      <c r="BA99" s="268">
        <v>37</v>
      </c>
      <c r="BB99" s="268">
        <v>38</v>
      </c>
      <c r="BC99" s="268">
        <v>39</v>
      </c>
      <c r="BD99" s="268">
        <v>40</v>
      </c>
      <c r="BE99" s="268">
        <v>41</v>
      </c>
      <c r="BF99" s="268">
        <v>42</v>
      </c>
      <c r="BG99" s="268">
        <v>43</v>
      </c>
      <c r="BH99" s="268">
        <v>44</v>
      </c>
      <c r="BI99" s="268">
        <v>45</v>
      </c>
      <c r="BJ99" s="268">
        <v>46</v>
      </c>
      <c r="BK99" s="268">
        <v>47</v>
      </c>
      <c r="BL99" s="268">
        <v>48</v>
      </c>
      <c r="BM99" s="268">
        <v>49</v>
      </c>
      <c r="BN99" s="268">
        <v>50</v>
      </c>
      <c r="BO99" s="268">
        <v>51</v>
      </c>
      <c r="BP99" s="268">
        <v>52</v>
      </c>
      <c r="BQ99" s="268">
        <v>53</v>
      </c>
      <c r="BR99" s="268">
        <v>54</v>
      </c>
      <c r="BS99" s="268">
        <v>55</v>
      </c>
      <c r="BT99" s="268">
        <v>56</v>
      </c>
      <c r="BU99" s="268">
        <v>57</v>
      </c>
      <c r="BV99" s="268">
        <v>58</v>
      </c>
      <c r="BW99" s="268">
        <v>59</v>
      </c>
      <c r="BX99" s="268">
        <v>60</v>
      </c>
      <c r="BY99" s="268">
        <v>61</v>
      </c>
      <c r="BZ99" s="268">
        <v>62</v>
      </c>
      <c r="CA99" s="268">
        <v>63</v>
      </c>
      <c r="CB99" s="268">
        <v>64</v>
      </c>
      <c r="CC99" s="268">
        <v>65</v>
      </c>
      <c r="CD99" s="268">
        <v>66</v>
      </c>
      <c r="CE99" s="268">
        <v>67</v>
      </c>
      <c r="CF99" s="268">
        <v>68</v>
      </c>
      <c r="CG99" s="268">
        <v>69</v>
      </c>
      <c r="CH99" s="268">
        <v>70</v>
      </c>
      <c r="CI99" s="268">
        <v>71</v>
      </c>
      <c r="CJ99" s="268">
        <v>72</v>
      </c>
      <c r="CK99" s="268">
        <v>73</v>
      </c>
      <c r="CL99" s="268">
        <v>74</v>
      </c>
      <c r="CM99" s="268">
        <v>75</v>
      </c>
      <c r="CN99" s="268">
        <v>76</v>
      </c>
      <c r="CO99" s="268">
        <v>77</v>
      </c>
      <c r="CP99" s="268">
        <v>78</v>
      </c>
      <c r="CQ99" s="268">
        <v>79</v>
      </c>
      <c r="CR99" s="268">
        <v>80</v>
      </c>
      <c r="CS99" s="268">
        <v>81</v>
      </c>
      <c r="CT99" s="268">
        <v>82</v>
      </c>
      <c r="CU99" s="268">
        <v>83</v>
      </c>
      <c r="CV99" s="268">
        <v>84</v>
      </c>
      <c r="CW99" s="268">
        <v>85</v>
      </c>
      <c r="CX99" s="268">
        <v>86</v>
      </c>
      <c r="CY99" s="268">
        <v>87</v>
      </c>
      <c r="CZ99" s="268">
        <v>88</v>
      </c>
      <c r="DA99" s="268">
        <v>89</v>
      </c>
      <c r="DB99" s="268">
        <v>90</v>
      </c>
      <c r="DC99" s="268">
        <v>91</v>
      </c>
      <c r="DD99" s="268">
        <v>92</v>
      </c>
      <c r="DE99" s="268">
        <v>93</v>
      </c>
      <c r="DF99" s="268">
        <v>94</v>
      </c>
      <c r="DG99" s="268">
        <v>95</v>
      </c>
      <c r="DH99" s="268">
        <v>96</v>
      </c>
      <c r="DI99" s="268">
        <v>97</v>
      </c>
      <c r="DJ99" s="268">
        <v>98</v>
      </c>
      <c r="DK99" s="268">
        <v>99</v>
      </c>
      <c r="DL99" s="268">
        <v>100</v>
      </c>
      <c r="DM99" s="268">
        <v>101</v>
      </c>
      <c r="DN99" s="268">
        <v>102</v>
      </c>
      <c r="DO99" s="268">
        <v>103</v>
      </c>
      <c r="DP99" s="268">
        <v>104</v>
      </c>
      <c r="DQ99" s="268">
        <v>105</v>
      </c>
      <c r="DR99" s="268">
        <v>106</v>
      </c>
      <c r="DS99" s="268">
        <v>107</v>
      </c>
      <c r="DT99" s="268">
        <v>108</v>
      </c>
      <c r="DU99" s="268">
        <v>109</v>
      </c>
      <c r="DV99" s="268">
        <v>110</v>
      </c>
      <c r="DW99" s="268">
        <v>111</v>
      </c>
      <c r="DX99" s="268">
        <v>112</v>
      </c>
      <c r="DY99" s="268">
        <v>113</v>
      </c>
      <c r="DZ99" s="268">
        <v>114</v>
      </c>
      <c r="EA99" s="268">
        <v>115</v>
      </c>
      <c r="EB99" s="268">
        <v>116</v>
      </c>
      <c r="EC99" s="268">
        <v>117</v>
      </c>
      <c r="ED99" s="268">
        <v>118</v>
      </c>
      <c r="EE99" s="268">
        <v>119</v>
      </c>
      <c r="EF99" s="268">
        <v>120</v>
      </c>
      <c r="EG99" s="268">
        <v>121</v>
      </c>
      <c r="EH99" s="268">
        <v>122</v>
      </c>
      <c r="EI99" s="268">
        <v>123</v>
      </c>
      <c r="EJ99" s="268">
        <v>124</v>
      </c>
      <c r="EK99" s="268">
        <v>125</v>
      </c>
      <c r="EL99" s="268">
        <v>126</v>
      </c>
      <c r="EM99" s="268">
        <v>127</v>
      </c>
      <c r="EN99" s="268">
        <v>128</v>
      </c>
      <c r="EO99" s="268">
        <v>129</v>
      </c>
      <c r="EP99" s="268">
        <v>130</v>
      </c>
      <c r="EQ99" s="268">
        <v>131</v>
      </c>
      <c r="ER99" s="268">
        <v>132</v>
      </c>
      <c r="ET99" s="268">
        <v>0</v>
      </c>
      <c r="EU99" s="268">
        <v>1</v>
      </c>
      <c r="EV99" s="268">
        <v>2</v>
      </c>
      <c r="EW99" s="268">
        <v>3</v>
      </c>
      <c r="EX99" s="268">
        <v>4</v>
      </c>
      <c r="EY99" s="268">
        <v>5</v>
      </c>
      <c r="EZ99" s="268">
        <v>6</v>
      </c>
      <c r="FA99" s="268">
        <v>7</v>
      </c>
      <c r="FB99" s="268">
        <v>8</v>
      </c>
      <c r="FC99" s="268">
        <v>9</v>
      </c>
      <c r="FD99" s="268">
        <v>10</v>
      </c>
      <c r="FE99" s="268">
        <v>11</v>
      </c>
      <c r="FF99" s="268">
        <v>12</v>
      </c>
      <c r="FG99" s="268">
        <v>13</v>
      </c>
      <c r="FH99" s="268">
        <v>14</v>
      </c>
      <c r="FI99" s="268">
        <v>15</v>
      </c>
      <c r="FJ99" s="268">
        <v>16</v>
      </c>
      <c r="FK99" s="268">
        <v>17</v>
      </c>
      <c r="FL99" s="268">
        <v>18</v>
      </c>
      <c r="FM99" s="268">
        <v>19</v>
      </c>
      <c r="FN99" s="268">
        <v>20</v>
      </c>
      <c r="FO99" s="268">
        <v>21</v>
      </c>
      <c r="FP99" s="268">
        <v>22</v>
      </c>
      <c r="FQ99" s="268">
        <v>23</v>
      </c>
      <c r="FR99" s="268">
        <v>24</v>
      </c>
      <c r="FS99" s="268">
        <v>25</v>
      </c>
      <c r="FT99" s="268">
        <v>26</v>
      </c>
      <c r="FU99" s="268">
        <v>27</v>
      </c>
      <c r="FV99" s="268">
        <v>28</v>
      </c>
      <c r="FW99" s="268">
        <v>29</v>
      </c>
      <c r="FX99" s="268">
        <v>30</v>
      </c>
      <c r="FY99" s="268">
        <v>31</v>
      </c>
      <c r="FZ99" s="268">
        <v>32</v>
      </c>
      <c r="GA99" s="268">
        <v>33</v>
      </c>
      <c r="GB99" s="268">
        <v>34</v>
      </c>
      <c r="GC99" s="268">
        <v>35</v>
      </c>
      <c r="GD99" s="268">
        <v>36</v>
      </c>
      <c r="GE99" s="268">
        <v>37</v>
      </c>
      <c r="GF99" s="268">
        <v>38</v>
      </c>
      <c r="GG99" s="268">
        <v>39</v>
      </c>
      <c r="GH99" s="268">
        <v>40</v>
      </c>
      <c r="GI99" s="268">
        <v>41</v>
      </c>
      <c r="GJ99" s="268">
        <v>42</v>
      </c>
      <c r="GK99" s="268">
        <v>43</v>
      </c>
      <c r="GL99" s="268">
        <v>44</v>
      </c>
      <c r="GM99" s="268">
        <v>45</v>
      </c>
      <c r="GN99" s="268">
        <v>46</v>
      </c>
      <c r="GO99" s="268">
        <v>47</v>
      </c>
      <c r="GP99" s="268">
        <v>48</v>
      </c>
      <c r="GQ99" s="268">
        <v>49</v>
      </c>
      <c r="GR99" s="268">
        <v>50</v>
      </c>
      <c r="GS99" s="268">
        <v>51</v>
      </c>
      <c r="GT99" s="268">
        <v>52</v>
      </c>
      <c r="GU99" s="268">
        <v>53</v>
      </c>
      <c r="GV99" s="268">
        <v>54</v>
      </c>
      <c r="GW99" s="268">
        <v>55</v>
      </c>
      <c r="GX99" s="268">
        <v>56</v>
      </c>
      <c r="GY99" s="268">
        <v>57</v>
      </c>
      <c r="GZ99" s="268">
        <v>58</v>
      </c>
      <c r="HA99" s="268">
        <v>59</v>
      </c>
      <c r="HB99" s="268">
        <v>60</v>
      </c>
      <c r="HC99" s="268">
        <v>61</v>
      </c>
      <c r="HD99" s="268">
        <v>62</v>
      </c>
      <c r="HE99" s="268">
        <v>63</v>
      </c>
      <c r="HF99" s="268">
        <v>64</v>
      </c>
      <c r="HG99" s="268">
        <v>65</v>
      </c>
      <c r="HH99" s="268">
        <v>66</v>
      </c>
      <c r="HI99" s="268">
        <v>67</v>
      </c>
      <c r="HJ99" s="268">
        <v>68</v>
      </c>
      <c r="HK99" s="268">
        <v>69</v>
      </c>
      <c r="HL99" s="268">
        <v>70</v>
      </c>
      <c r="HM99" s="268">
        <v>71</v>
      </c>
      <c r="HN99" s="268">
        <v>72</v>
      </c>
      <c r="HO99" s="268">
        <v>73</v>
      </c>
      <c r="HP99" s="268">
        <v>74</v>
      </c>
      <c r="HQ99" s="268">
        <v>75</v>
      </c>
      <c r="HR99" s="268">
        <v>76</v>
      </c>
      <c r="HS99" s="268">
        <v>77</v>
      </c>
      <c r="HT99" s="268">
        <v>78</v>
      </c>
      <c r="HU99" s="268">
        <v>79</v>
      </c>
      <c r="HV99" s="268">
        <v>80</v>
      </c>
      <c r="HW99" s="268">
        <v>81</v>
      </c>
      <c r="HX99" s="268">
        <v>82</v>
      </c>
      <c r="HY99" s="268">
        <v>83</v>
      </c>
      <c r="HZ99" s="268">
        <v>84</v>
      </c>
      <c r="IA99" s="268">
        <v>85</v>
      </c>
      <c r="IB99" s="268">
        <v>86</v>
      </c>
      <c r="IC99" s="268">
        <v>87</v>
      </c>
      <c r="ID99" s="268">
        <v>88</v>
      </c>
      <c r="IE99" s="268">
        <v>89</v>
      </c>
      <c r="IF99" s="268">
        <v>90</v>
      </c>
      <c r="IG99" s="268">
        <v>91</v>
      </c>
      <c r="IH99" s="268">
        <v>92</v>
      </c>
      <c r="II99" s="268">
        <v>93</v>
      </c>
      <c r="IJ99" s="268">
        <v>94</v>
      </c>
      <c r="IK99" s="268">
        <v>95</v>
      </c>
      <c r="IL99" s="268">
        <v>96</v>
      </c>
      <c r="IM99" s="268">
        <v>97</v>
      </c>
      <c r="IN99" s="268">
        <v>98</v>
      </c>
      <c r="IO99" s="268">
        <v>99</v>
      </c>
      <c r="IP99" s="268">
        <v>100</v>
      </c>
      <c r="IQ99" s="268">
        <v>101</v>
      </c>
      <c r="IR99" s="268">
        <v>102</v>
      </c>
      <c r="IS99" s="268">
        <v>103</v>
      </c>
      <c r="IT99" s="268">
        <v>104</v>
      </c>
      <c r="IU99" s="268">
        <v>105</v>
      </c>
      <c r="IV99" s="268">
        <v>106</v>
      </c>
      <c r="IW99" s="268">
        <v>107</v>
      </c>
      <c r="IX99" s="268">
        <v>108</v>
      </c>
      <c r="IY99" s="268">
        <v>109</v>
      </c>
      <c r="IZ99" s="268">
        <v>110</v>
      </c>
      <c r="JA99" s="268">
        <v>111</v>
      </c>
      <c r="JB99" s="268">
        <v>112</v>
      </c>
      <c r="JC99" s="268">
        <v>113</v>
      </c>
      <c r="JD99" s="268">
        <v>114</v>
      </c>
      <c r="JE99" s="268">
        <v>115</v>
      </c>
      <c r="JF99" s="268">
        <v>116</v>
      </c>
      <c r="JG99" s="268">
        <v>117</v>
      </c>
      <c r="JH99" s="268">
        <v>118</v>
      </c>
      <c r="JI99" s="268">
        <v>119</v>
      </c>
      <c r="JJ99" s="268">
        <v>120</v>
      </c>
      <c r="JK99" s="268">
        <v>121</v>
      </c>
      <c r="JL99" s="268">
        <v>122</v>
      </c>
      <c r="JM99" s="268">
        <v>123</v>
      </c>
      <c r="JN99" s="268">
        <v>124</v>
      </c>
      <c r="JO99" s="268">
        <v>125</v>
      </c>
      <c r="JP99" s="268">
        <v>126</v>
      </c>
      <c r="JQ99" s="268">
        <v>127</v>
      </c>
      <c r="JR99" s="268">
        <v>128</v>
      </c>
      <c r="JS99" s="268">
        <v>129</v>
      </c>
      <c r="JT99" s="268">
        <v>130</v>
      </c>
      <c r="JU99" s="268">
        <v>131</v>
      </c>
      <c r="JV99" s="268">
        <v>132</v>
      </c>
    </row>
    <row r="100" spans="1:282" ht="15" hidden="1" thickTop="1" x14ac:dyDescent="0.3">
      <c r="A100" s="16"/>
      <c r="B100" s="18"/>
      <c r="C100" s="19"/>
      <c r="D100" s="20"/>
      <c r="E100" s="1136"/>
      <c r="F100" s="227">
        <f>E100*C100*D100/12</f>
        <v>0</v>
      </c>
      <c r="G100" s="1071"/>
      <c r="H100" s="227">
        <f t="shared" ref="H100:H109" si="13">G100*C100</f>
        <v>0</v>
      </c>
      <c r="I100" s="21"/>
      <c r="J100" s="21"/>
      <c r="K100" s="22"/>
      <c r="L100" s="227">
        <f>E100*C100*5*K100</f>
        <v>0</v>
      </c>
      <c r="M100" s="22"/>
      <c r="P100" s="229">
        <f>IF(AND(P$99&gt;$B100+$J100-1,P$99&lt;=$B100+11),$F100,IF(P$99&lt;=$B100+$J100-1,0,IF(MOD(P$99-$B100,12)&lt;&gt;0,O100,$F100*IF(MOD(P$99-$B100,12)=0,(1+$M100)^((P$99-$B100)/12),0))))</f>
        <v>0</v>
      </c>
      <c r="Q100" s="227">
        <f t="shared" ref="Q100:AU100" si="14">IF(AND(Q$99&gt;$B100+$J100-1,Q$99&lt;=$B100+11),$F100,IF(Q$99&lt;=$B100+$J100-1,0,IF(MOD(Q$99-$B100,12)&lt;&gt;0,P100,$F100*IF(MOD(Q$99-$B100,12)=0,(1+$M100)^((Q$99-$B100)/12),0))))</f>
        <v>0</v>
      </c>
      <c r="R100" s="227">
        <f t="shared" si="14"/>
        <v>0</v>
      </c>
      <c r="S100" s="227">
        <f t="shared" si="14"/>
        <v>0</v>
      </c>
      <c r="T100" s="227">
        <f t="shared" si="14"/>
        <v>0</v>
      </c>
      <c r="U100" s="227">
        <f t="shared" si="14"/>
        <v>0</v>
      </c>
      <c r="V100" s="227">
        <f t="shared" si="14"/>
        <v>0</v>
      </c>
      <c r="W100" s="227">
        <f t="shared" si="14"/>
        <v>0</v>
      </c>
      <c r="X100" s="227">
        <f t="shared" si="14"/>
        <v>0</v>
      </c>
      <c r="Y100" s="227">
        <f t="shared" si="14"/>
        <v>0</v>
      </c>
      <c r="Z100" s="227">
        <f t="shared" si="14"/>
        <v>0</v>
      </c>
      <c r="AA100" s="227">
        <f t="shared" si="14"/>
        <v>0</v>
      </c>
      <c r="AB100" s="227">
        <f t="shared" si="14"/>
        <v>0</v>
      </c>
      <c r="AC100" s="227">
        <f t="shared" si="14"/>
        <v>0</v>
      </c>
      <c r="AD100" s="227">
        <f t="shared" si="14"/>
        <v>0</v>
      </c>
      <c r="AE100" s="227">
        <f t="shared" si="14"/>
        <v>0</v>
      </c>
      <c r="AF100" s="227">
        <f t="shared" si="14"/>
        <v>0</v>
      </c>
      <c r="AG100" s="227">
        <f t="shared" si="14"/>
        <v>0</v>
      </c>
      <c r="AH100" s="227">
        <f t="shared" si="14"/>
        <v>0</v>
      </c>
      <c r="AI100" s="227">
        <f t="shared" si="14"/>
        <v>0</v>
      </c>
      <c r="AJ100" s="227">
        <f t="shared" si="14"/>
        <v>0</v>
      </c>
      <c r="AK100" s="227">
        <f t="shared" si="14"/>
        <v>0</v>
      </c>
      <c r="AL100" s="227">
        <f t="shared" si="14"/>
        <v>0</v>
      </c>
      <c r="AM100" s="227">
        <f t="shared" si="14"/>
        <v>0</v>
      </c>
      <c r="AN100" s="227">
        <f t="shared" si="14"/>
        <v>0</v>
      </c>
      <c r="AO100" s="227">
        <f t="shared" si="14"/>
        <v>0</v>
      </c>
      <c r="AP100" s="227">
        <f t="shared" si="14"/>
        <v>0</v>
      </c>
      <c r="AQ100" s="227">
        <f t="shared" si="14"/>
        <v>0</v>
      </c>
      <c r="AR100" s="227">
        <f t="shared" si="14"/>
        <v>0</v>
      </c>
      <c r="AS100" s="227">
        <f>IF(AND(AS$99&gt;$B100+$J100-1,AS$99&lt;=$B100+11),$F100,IF(AS$99&lt;=$B100+$J100-1,0,IF(MOD(AS$99-$B100,12)&lt;&gt;0,AR100,$F100*IF(MOD(AS$99-$B100,12)=0,(1+$M100)^((AS$99-$B100)/12),0))))</f>
        <v>0</v>
      </c>
      <c r="AT100" s="227">
        <f t="shared" si="14"/>
        <v>0</v>
      </c>
      <c r="AU100" s="227">
        <f t="shared" si="14"/>
        <v>0</v>
      </c>
      <c r="AV100" s="227">
        <f t="shared" ref="AV100:CA100" si="15">IF(AND(AV$99&gt;$B100+$J100-1,AV$99&lt;=$B100+11),$F100,IF(AV$99&lt;=$B100+$J100-1,0,IF(MOD(AV$99-$B100,12)&lt;&gt;0,AU100,$F100*IF(MOD(AV$99-$B100,12)=0,(1+$M100)^((AV$99-$B100)/12),0))))</f>
        <v>0</v>
      </c>
      <c r="AW100" s="227">
        <f t="shared" si="15"/>
        <v>0</v>
      </c>
      <c r="AX100" s="227">
        <f t="shared" si="15"/>
        <v>0</v>
      </c>
      <c r="AY100" s="227">
        <f t="shared" si="15"/>
        <v>0</v>
      </c>
      <c r="AZ100" s="227">
        <f t="shared" si="15"/>
        <v>0</v>
      </c>
      <c r="BA100" s="227">
        <f t="shared" si="15"/>
        <v>0</v>
      </c>
      <c r="BB100" s="227">
        <f t="shared" si="15"/>
        <v>0</v>
      </c>
      <c r="BC100" s="227">
        <f t="shared" si="15"/>
        <v>0</v>
      </c>
      <c r="BD100" s="227">
        <f t="shared" si="15"/>
        <v>0</v>
      </c>
      <c r="BE100" s="227">
        <f t="shared" si="15"/>
        <v>0</v>
      </c>
      <c r="BF100" s="227">
        <f t="shared" si="15"/>
        <v>0</v>
      </c>
      <c r="BG100" s="227">
        <f t="shared" si="15"/>
        <v>0</v>
      </c>
      <c r="BH100" s="227">
        <f t="shared" si="15"/>
        <v>0</v>
      </c>
      <c r="BI100" s="227">
        <f t="shared" si="15"/>
        <v>0</v>
      </c>
      <c r="BJ100" s="227">
        <f t="shared" si="15"/>
        <v>0</v>
      </c>
      <c r="BK100" s="227">
        <f t="shared" si="15"/>
        <v>0</v>
      </c>
      <c r="BL100" s="227">
        <f t="shared" si="15"/>
        <v>0</v>
      </c>
      <c r="BM100" s="227">
        <f t="shared" si="15"/>
        <v>0</v>
      </c>
      <c r="BN100" s="227">
        <f t="shared" si="15"/>
        <v>0</v>
      </c>
      <c r="BO100" s="227">
        <f t="shared" si="15"/>
        <v>0</v>
      </c>
      <c r="BP100" s="227">
        <f t="shared" si="15"/>
        <v>0</v>
      </c>
      <c r="BQ100" s="227">
        <f t="shared" si="15"/>
        <v>0</v>
      </c>
      <c r="BR100" s="227">
        <f t="shared" si="15"/>
        <v>0</v>
      </c>
      <c r="BS100" s="227">
        <f t="shared" si="15"/>
        <v>0</v>
      </c>
      <c r="BT100" s="227">
        <f t="shared" si="15"/>
        <v>0</v>
      </c>
      <c r="BU100" s="227">
        <f t="shared" si="15"/>
        <v>0</v>
      </c>
      <c r="BV100" s="227">
        <f t="shared" si="15"/>
        <v>0</v>
      </c>
      <c r="BW100" s="227">
        <f t="shared" si="15"/>
        <v>0</v>
      </c>
      <c r="BX100" s="227">
        <f t="shared" si="15"/>
        <v>0</v>
      </c>
      <c r="BY100" s="227">
        <f t="shared" si="15"/>
        <v>0</v>
      </c>
      <c r="BZ100" s="227">
        <f t="shared" si="15"/>
        <v>0</v>
      </c>
      <c r="CA100" s="227">
        <f t="shared" si="15"/>
        <v>0</v>
      </c>
      <c r="CB100" s="227">
        <f t="shared" ref="CB100:DG100" si="16">IF(AND(CB$99&gt;$B100+$J100-1,CB$99&lt;=$B100+11),$F100,IF(CB$99&lt;=$B100+$J100-1,0,IF(MOD(CB$99-$B100,12)&lt;&gt;0,CA100,$F100*IF(MOD(CB$99-$B100,12)=0,(1+$M100)^((CB$99-$B100)/12),0))))</f>
        <v>0</v>
      </c>
      <c r="CC100" s="227">
        <f t="shared" si="16"/>
        <v>0</v>
      </c>
      <c r="CD100" s="227">
        <f t="shared" si="16"/>
        <v>0</v>
      </c>
      <c r="CE100" s="227">
        <f t="shared" si="16"/>
        <v>0</v>
      </c>
      <c r="CF100" s="227">
        <f t="shared" si="16"/>
        <v>0</v>
      </c>
      <c r="CG100" s="227">
        <f t="shared" si="16"/>
        <v>0</v>
      </c>
      <c r="CH100" s="227">
        <f t="shared" si="16"/>
        <v>0</v>
      </c>
      <c r="CI100" s="227">
        <f t="shared" si="16"/>
        <v>0</v>
      </c>
      <c r="CJ100" s="227">
        <f t="shared" si="16"/>
        <v>0</v>
      </c>
      <c r="CK100" s="227">
        <f t="shared" si="16"/>
        <v>0</v>
      </c>
      <c r="CL100" s="227">
        <f t="shared" si="16"/>
        <v>0</v>
      </c>
      <c r="CM100" s="227">
        <f t="shared" si="16"/>
        <v>0</v>
      </c>
      <c r="CN100" s="227">
        <f t="shared" si="16"/>
        <v>0</v>
      </c>
      <c r="CO100" s="227">
        <f t="shared" si="16"/>
        <v>0</v>
      </c>
      <c r="CP100" s="227">
        <f t="shared" si="16"/>
        <v>0</v>
      </c>
      <c r="CQ100" s="227">
        <f t="shared" si="16"/>
        <v>0</v>
      </c>
      <c r="CR100" s="227">
        <f t="shared" si="16"/>
        <v>0</v>
      </c>
      <c r="CS100" s="227">
        <f t="shared" si="16"/>
        <v>0</v>
      </c>
      <c r="CT100" s="227">
        <f t="shared" si="16"/>
        <v>0</v>
      </c>
      <c r="CU100" s="227">
        <f t="shared" si="16"/>
        <v>0</v>
      </c>
      <c r="CV100" s="227">
        <f t="shared" si="16"/>
        <v>0</v>
      </c>
      <c r="CW100" s="227">
        <f t="shared" si="16"/>
        <v>0</v>
      </c>
      <c r="CX100" s="227">
        <f t="shared" si="16"/>
        <v>0</v>
      </c>
      <c r="CY100" s="227">
        <f t="shared" si="16"/>
        <v>0</v>
      </c>
      <c r="CZ100" s="227">
        <f t="shared" si="16"/>
        <v>0</v>
      </c>
      <c r="DA100" s="227">
        <f t="shared" si="16"/>
        <v>0</v>
      </c>
      <c r="DB100" s="227">
        <f t="shared" si="16"/>
        <v>0</v>
      </c>
      <c r="DC100" s="227">
        <f t="shared" si="16"/>
        <v>0</v>
      </c>
      <c r="DD100" s="227">
        <f t="shared" si="16"/>
        <v>0</v>
      </c>
      <c r="DE100" s="227">
        <f t="shared" si="16"/>
        <v>0</v>
      </c>
      <c r="DF100" s="227">
        <f t="shared" si="16"/>
        <v>0</v>
      </c>
      <c r="DG100" s="227">
        <f t="shared" si="16"/>
        <v>0</v>
      </c>
      <c r="DH100" s="227">
        <f t="shared" ref="DH100:ER100" si="17">IF(AND(DH$99&gt;$B100+$J100-1,DH$99&lt;=$B100+11),$F100,IF(DH$99&lt;=$B100+$J100-1,0,IF(MOD(DH$99-$B100,12)&lt;&gt;0,DG100,$F100*IF(MOD(DH$99-$B100,12)=0,(1+$M100)^((DH$99-$B100)/12),0))))</f>
        <v>0</v>
      </c>
      <c r="DI100" s="227">
        <f t="shared" si="17"/>
        <v>0</v>
      </c>
      <c r="DJ100" s="227">
        <f t="shared" si="17"/>
        <v>0</v>
      </c>
      <c r="DK100" s="227">
        <f t="shared" si="17"/>
        <v>0</v>
      </c>
      <c r="DL100" s="227">
        <f t="shared" si="17"/>
        <v>0</v>
      </c>
      <c r="DM100" s="227">
        <f t="shared" si="17"/>
        <v>0</v>
      </c>
      <c r="DN100" s="227">
        <f t="shared" si="17"/>
        <v>0</v>
      </c>
      <c r="DO100" s="227">
        <f t="shared" si="17"/>
        <v>0</v>
      </c>
      <c r="DP100" s="227">
        <f t="shared" si="17"/>
        <v>0</v>
      </c>
      <c r="DQ100" s="227">
        <f t="shared" si="17"/>
        <v>0</v>
      </c>
      <c r="DR100" s="227">
        <f t="shared" si="17"/>
        <v>0</v>
      </c>
      <c r="DS100" s="227">
        <f t="shared" si="17"/>
        <v>0</v>
      </c>
      <c r="DT100" s="227">
        <f t="shared" si="17"/>
        <v>0</v>
      </c>
      <c r="DU100" s="227">
        <f t="shared" si="17"/>
        <v>0</v>
      </c>
      <c r="DV100" s="227">
        <f t="shared" si="17"/>
        <v>0</v>
      </c>
      <c r="DW100" s="227">
        <f t="shared" si="17"/>
        <v>0</v>
      </c>
      <c r="DX100" s="227">
        <f t="shared" si="17"/>
        <v>0</v>
      </c>
      <c r="DY100" s="227">
        <f t="shared" si="17"/>
        <v>0</v>
      </c>
      <c r="DZ100" s="227">
        <f t="shared" si="17"/>
        <v>0</v>
      </c>
      <c r="EA100" s="227">
        <f t="shared" si="17"/>
        <v>0</v>
      </c>
      <c r="EB100" s="227">
        <f t="shared" si="17"/>
        <v>0</v>
      </c>
      <c r="EC100" s="227">
        <f t="shared" si="17"/>
        <v>0</v>
      </c>
      <c r="ED100" s="227">
        <f t="shared" si="17"/>
        <v>0</v>
      </c>
      <c r="EE100" s="227">
        <f t="shared" si="17"/>
        <v>0</v>
      </c>
      <c r="EF100" s="227">
        <f t="shared" si="17"/>
        <v>0</v>
      </c>
      <c r="EG100" s="227">
        <f t="shared" si="17"/>
        <v>0</v>
      </c>
      <c r="EH100" s="227">
        <f t="shared" si="17"/>
        <v>0</v>
      </c>
      <c r="EI100" s="227">
        <f t="shared" si="17"/>
        <v>0</v>
      </c>
      <c r="EJ100" s="227">
        <f t="shared" si="17"/>
        <v>0</v>
      </c>
      <c r="EK100" s="227">
        <f t="shared" si="17"/>
        <v>0</v>
      </c>
      <c r="EL100" s="227">
        <f t="shared" si="17"/>
        <v>0</v>
      </c>
      <c r="EM100" s="227">
        <f t="shared" si="17"/>
        <v>0</v>
      </c>
      <c r="EN100" s="227">
        <f t="shared" si="17"/>
        <v>0</v>
      </c>
      <c r="EO100" s="227">
        <f t="shared" si="17"/>
        <v>0</v>
      </c>
      <c r="EP100" s="227">
        <f t="shared" si="17"/>
        <v>0</v>
      </c>
      <c r="EQ100" s="227">
        <f t="shared" si="17"/>
        <v>0</v>
      </c>
      <c r="ER100" s="227">
        <f t="shared" si="17"/>
        <v>0</v>
      </c>
      <c r="ET100" s="227">
        <f t="shared" ref="ET100:FC109" si="18">IF(AND(ET$99&gt;=$B100,ET$99&lt;$B100+$I100),$H100/$I100,0)+IF(ET$99=$B100,$L100,0)</f>
        <v>0</v>
      </c>
      <c r="EU100" s="227">
        <f t="shared" si="18"/>
        <v>0</v>
      </c>
      <c r="EV100" s="227">
        <f t="shared" si="18"/>
        <v>0</v>
      </c>
      <c r="EW100" s="227">
        <f t="shared" si="18"/>
        <v>0</v>
      </c>
      <c r="EX100" s="227">
        <f t="shared" si="18"/>
        <v>0</v>
      </c>
      <c r="EY100" s="227">
        <f t="shared" si="18"/>
        <v>0</v>
      </c>
      <c r="EZ100" s="227">
        <f t="shared" si="18"/>
        <v>0</v>
      </c>
      <c r="FA100" s="227">
        <f t="shared" si="18"/>
        <v>0</v>
      </c>
      <c r="FB100" s="227">
        <f t="shared" si="18"/>
        <v>0</v>
      </c>
      <c r="FC100" s="227">
        <f t="shared" si="18"/>
        <v>0</v>
      </c>
      <c r="FD100" s="227">
        <f t="shared" ref="FD100:FM109" si="19">IF(AND(FD$99&gt;=$B100,FD$99&lt;$B100+$I100),$H100/$I100,0)+IF(FD$99=$B100,$L100,0)</f>
        <v>0</v>
      </c>
      <c r="FE100" s="227">
        <f t="shared" si="19"/>
        <v>0</v>
      </c>
      <c r="FF100" s="227">
        <f t="shared" si="19"/>
        <v>0</v>
      </c>
      <c r="FG100" s="227">
        <f t="shared" si="19"/>
        <v>0</v>
      </c>
      <c r="FH100" s="227">
        <f t="shared" si="19"/>
        <v>0</v>
      </c>
      <c r="FI100" s="227">
        <f t="shared" si="19"/>
        <v>0</v>
      </c>
      <c r="FJ100" s="227">
        <f t="shared" si="19"/>
        <v>0</v>
      </c>
      <c r="FK100" s="227">
        <f t="shared" si="19"/>
        <v>0</v>
      </c>
      <c r="FL100" s="227">
        <f t="shared" si="19"/>
        <v>0</v>
      </c>
      <c r="FM100" s="227">
        <f t="shared" si="19"/>
        <v>0</v>
      </c>
      <c r="FN100" s="227">
        <f t="shared" ref="FN100:FW109" si="20">IF(AND(FN$99&gt;=$B100,FN$99&lt;$B100+$I100),$H100/$I100,0)+IF(FN$99=$B100,$L100,0)</f>
        <v>0</v>
      </c>
      <c r="FO100" s="227">
        <f t="shared" si="20"/>
        <v>0</v>
      </c>
      <c r="FP100" s="227">
        <f t="shared" si="20"/>
        <v>0</v>
      </c>
      <c r="FQ100" s="227">
        <f t="shared" si="20"/>
        <v>0</v>
      </c>
      <c r="FR100" s="227">
        <f t="shared" si="20"/>
        <v>0</v>
      </c>
      <c r="FS100" s="227">
        <f t="shared" si="20"/>
        <v>0</v>
      </c>
      <c r="FT100" s="227">
        <f t="shared" si="20"/>
        <v>0</v>
      </c>
      <c r="FU100" s="227">
        <f t="shared" si="20"/>
        <v>0</v>
      </c>
      <c r="FV100" s="227">
        <f t="shared" si="20"/>
        <v>0</v>
      </c>
      <c r="FW100" s="227">
        <f t="shared" si="20"/>
        <v>0</v>
      </c>
      <c r="FX100" s="227">
        <f t="shared" ref="FX100:GG109" si="21">IF(AND(FX$99&gt;=$B100,FX$99&lt;$B100+$I100),$H100/$I100,0)+IF(FX$99=$B100,$L100,0)</f>
        <v>0</v>
      </c>
      <c r="FY100" s="227">
        <f t="shared" si="21"/>
        <v>0</v>
      </c>
      <c r="FZ100" s="227">
        <f t="shared" si="21"/>
        <v>0</v>
      </c>
      <c r="GA100" s="227">
        <f t="shared" si="21"/>
        <v>0</v>
      </c>
      <c r="GB100" s="227">
        <f t="shared" si="21"/>
        <v>0</v>
      </c>
      <c r="GC100" s="227">
        <f t="shared" si="21"/>
        <v>0</v>
      </c>
      <c r="GD100" s="227">
        <f t="shared" si="21"/>
        <v>0</v>
      </c>
      <c r="GE100" s="227">
        <f t="shared" si="21"/>
        <v>0</v>
      </c>
      <c r="GF100" s="227">
        <f t="shared" si="21"/>
        <v>0</v>
      </c>
      <c r="GG100" s="227">
        <f t="shared" si="21"/>
        <v>0</v>
      </c>
      <c r="GH100" s="227">
        <f t="shared" ref="GH100:GQ109" si="22">IF(AND(GH$99&gt;=$B100,GH$99&lt;$B100+$I100),$H100/$I100,0)+IF(GH$99=$B100,$L100,0)</f>
        <v>0</v>
      </c>
      <c r="GI100" s="227">
        <f t="shared" si="22"/>
        <v>0</v>
      </c>
      <c r="GJ100" s="227">
        <f t="shared" si="22"/>
        <v>0</v>
      </c>
      <c r="GK100" s="227">
        <f t="shared" si="22"/>
        <v>0</v>
      </c>
      <c r="GL100" s="227">
        <f t="shared" si="22"/>
        <v>0</v>
      </c>
      <c r="GM100" s="227">
        <f t="shared" si="22"/>
        <v>0</v>
      </c>
      <c r="GN100" s="227">
        <f t="shared" si="22"/>
        <v>0</v>
      </c>
      <c r="GO100" s="227">
        <f t="shared" si="22"/>
        <v>0</v>
      </c>
      <c r="GP100" s="227">
        <f t="shared" si="22"/>
        <v>0</v>
      </c>
      <c r="GQ100" s="227">
        <f t="shared" si="22"/>
        <v>0</v>
      </c>
      <c r="GR100" s="227">
        <f t="shared" ref="GR100:HA109" si="23">IF(AND(GR$99&gt;=$B100,GR$99&lt;$B100+$I100),$H100/$I100,0)+IF(GR$99=$B100,$L100,0)</f>
        <v>0</v>
      </c>
      <c r="GS100" s="227">
        <f t="shared" si="23"/>
        <v>0</v>
      </c>
      <c r="GT100" s="227">
        <f t="shared" si="23"/>
        <v>0</v>
      </c>
      <c r="GU100" s="227">
        <f t="shared" si="23"/>
        <v>0</v>
      </c>
      <c r="GV100" s="227">
        <f t="shared" si="23"/>
        <v>0</v>
      </c>
      <c r="GW100" s="227">
        <f t="shared" si="23"/>
        <v>0</v>
      </c>
      <c r="GX100" s="227">
        <f t="shared" si="23"/>
        <v>0</v>
      </c>
      <c r="GY100" s="227">
        <f t="shared" si="23"/>
        <v>0</v>
      </c>
      <c r="GZ100" s="227">
        <f t="shared" si="23"/>
        <v>0</v>
      </c>
      <c r="HA100" s="227">
        <f t="shared" si="23"/>
        <v>0</v>
      </c>
      <c r="HB100" s="227">
        <f t="shared" ref="HB100:HK109" si="24">IF(AND(HB$99&gt;=$B100,HB$99&lt;$B100+$I100),$H100/$I100,0)+IF(HB$99=$B100,$L100,0)</f>
        <v>0</v>
      </c>
      <c r="HC100" s="227">
        <f t="shared" si="24"/>
        <v>0</v>
      </c>
      <c r="HD100" s="227">
        <f t="shared" si="24"/>
        <v>0</v>
      </c>
      <c r="HE100" s="227">
        <f t="shared" si="24"/>
        <v>0</v>
      </c>
      <c r="HF100" s="227">
        <f t="shared" si="24"/>
        <v>0</v>
      </c>
      <c r="HG100" s="227">
        <f t="shared" si="24"/>
        <v>0</v>
      </c>
      <c r="HH100" s="227">
        <f t="shared" si="24"/>
        <v>0</v>
      </c>
      <c r="HI100" s="227">
        <f t="shared" si="24"/>
        <v>0</v>
      </c>
      <c r="HJ100" s="227">
        <f t="shared" si="24"/>
        <v>0</v>
      </c>
      <c r="HK100" s="227">
        <f t="shared" si="24"/>
        <v>0</v>
      </c>
      <c r="HL100" s="227">
        <f t="shared" ref="HL100:HU109" si="25">IF(AND(HL$99&gt;=$B100,HL$99&lt;$B100+$I100),$H100/$I100,0)+IF(HL$99=$B100,$L100,0)</f>
        <v>0</v>
      </c>
      <c r="HM100" s="227">
        <f t="shared" si="25"/>
        <v>0</v>
      </c>
      <c r="HN100" s="227">
        <f t="shared" si="25"/>
        <v>0</v>
      </c>
      <c r="HO100" s="227">
        <f t="shared" si="25"/>
        <v>0</v>
      </c>
      <c r="HP100" s="227">
        <f t="shared" si="25"/>
        <v>0</v>
      </c>
      <c r="HQ100" s="227">
        <f t="shared" si="25"/>
        <v>0</v>
      </c>
      <c r="HR100" s="227">
        <f t="shared" si="25"/>
        <v>0</v>
      </c>
      <c r="HS100" s="227">
        <f t="shared" si="25"/>
        <v>0</v>
      </c>
      <c r="HT100" s="227">
        <f t="shared" si="25"/>
        <v>0</v>
      </c>
      <c r="HU100" s="227">
        <f t="shared" si="25"/>
        <v>0</v>
      </c>
      <c r="HV100" s="227">
        <f t="shared" ref="HV100:IE109" si="26">IF(AND(HV$99&gt;=$B100,HV$99&lt;$B100+$I100),$H100/$I100,0)+IF(HV$99=$B100,$L100,0)</f>
        <v>0</v>
      </c>
      <c r="HW100" s="227">
        <f t="shared" si="26"/>
        <v>0</v>
      </c>
      <c r="HX100" s="227">
        <f t="shared" si="26"/>
        <v>0</v>
      </c>
      <c r="HY100" s="227">
        <f t="shared" si="26"/>
        <v>0</v>
      </c>
      <c r="HZ100" s="227">
        <f t="shared" si="26"/>
        <v>0</v>
      </c>
      <c r="IA100" s="227">
        <f t="shared" si="26"/>
        <v>0</v>
      </c>
      <c r="IB100" s="227">
        <f t="shared" si="26"/>
        <v>0</v>
      </c>
      <c r="IC100" s="227">
        <f t="shared" si="26"/>
        <v>0</v>
      </c>
      <c r="ID100" s="227">
        <f t="shared" si="26"/>
        <v>0</v>
      </c>
      <c r="IE100" s="227">
        <f t="shared" si="26"/>
        <v>0</v>
      </c>
      <c r="IF100" s="227">
        <f t="shared" ref="IF100:IO109" si="27">IF(AND(IF$99&gt;=$B100,IF$99&lt;$B100+$I100),$H100/$I100,0)+IF(IF$99=$B100,$L100,0)</f>
        <v>0</v>
      </c>
      <c r="IG100" s="227">
        <f t="shared" si="27"/>
        <v>0</v>
      </c>
      <c r="IH100" s="227">
        <f t="shared" si="27"/>
        <v>0</v>
      </c>
      <c r="II100" s="227">
        <f t="shared" si="27"/>
        <v>0</v>
      </c>
      <c r="IJ100" s="227">
        <f t="shared" si="27"/>
        <v>0</v>
      </c>
      <c r="IK100" s="227">
        <f t="shared" si="27"/>
        <v>0</v>
      </c>
      <c r="IL100" s="227">
        <f t="shared" si="27"/>
        <v>0</v>
      </c>
      <c r="IM100" s="227">
        <f t="shared" si="27"/>
        <v>0</v>
      </c>
      <c r="IN100" s="227">
        <f t="shared" si="27"/>
        <v>0</v>
      </c>
      <c r="IO100" s="227">
        <f t="shared" si="27"/>
        <v>0</v>
      </c>
      <c r="IP100" s="227">
        <f t="shared" ref="IP100:IY109" si="28">IF(AND(IP$99&gt;=$B100,IP$99&lt;$B100+$I100),$H100/$I100,0)+IF(IP$99=$B100,$L100,0)</f>
        <v>0</v>
      </c>
      <c r="IQ100" s="227">
        <f t="shared" si="28"/>
        <v>0</v>
      </c>
      <c r="IR100" s="227">
        <f t="shared" si="28"/>
        <v>0</v>
      </c>
      <c r="IS100" s="227">
        <f t="shared" si="28"/>
        <v>0</v>
      </c>
      <c r="IT100" s="227">
        <f t="shared" si="28"/>
        <v>0</v>
      </c>
      <c r="IU100" s="227">
        <f t="shared" si="28"/>
        <v>0</v>
      </c>
      <c r="IV100" s="227">
        <f t="shared" si="28"/>
        <v>0</v>
      </c>
      <c r="IW100" s="227">
        <f t="shared" si="28"/>
        <v>0</v>
      </c>
      <c r="IX100" s="227">
        <f t="shared" si="28"/>
        <v>0</v>
      </c>
      <c r="IY100" s="227">
        <f t="shared" si="28"/>
        <v>0</v>
      </c>
      <c r="IZ100" s="227">
        <f t="shared" ref="IZ100:JI109" si="29">IF(AND(IZ$99&gt;=$B100,IZ$99&lt;$B100+$I100),$H100/$I100,0)+IF(IZ$99=$B100,$L100,0)</f>
        <v>0</v>
      </c>
      <c r="JA100" s="227">
        <f t="shared" si="29"/>
        <v>0</v>
      </c>
      <c r="JB100" s="227">
        <f t="shared" si="29"/>
        <v>0</v>
      </c>
      <c r="JC100" s="227">
        <f t="shared" si="29"/>
        <v>0</v>
      </c>
      <c r="JD100" s="227">
        <f t="shared" si="29"/>
        <v>0</v>
      </c>
      <c r="JE100" s="227">
        <f t="shared" si="29"/>
        <v>0</v>
      </c>
      <c r="JF100" s="227">
        <f t="shared" si="29"/>
        <v>0</v>
      </c>
      <c r="JG100" s="227">
        <f t="shared" si="29"/>
        <v>0</v>
      </c>
      <c r="JH100" s="227">
        <f t="shared" si="29"/>
        <v>0</v>
      </c>
      <c r="JI100" s="227">
        <f t="shared" si="29"/>
        <v>0</v>
      </c>
      <c r="JJ100" s="227">
        <f t="shared" ref="JJ100:JV109" si="30">IF(AND(JJ$99&gt;=$B100,JJ$99&lt;$B100+$I100),$H100/$I100,0)+IF(JJ$99=$B100,$L100,0)</f>
        <v>0</v>
      </c>
      <c r="JK100" s="227">
        <f t="shared" si="30"/>
        <v>0</v>
      </c>
      <c r="JL100" s="227">
        <f t="shared" si="30"/>
        <v>0</v>
      </c>
      <c r="JM100" s="227">
        <f t="shared" si="30"/>
        <v>0</v>
      </c>
      <c r="JN100" s="227">
        <f t="shared" si="30"/>
        <v>0</v>
      </c>
      <c r="JO100" s="227">
        <f t="shared" si="30"/>
        <v>0</v>
      </c>
      <c r="JP100" s="227">
        <f t="shared" si="30"/>
        <v>0</v>
      </c>
      <c r="JQ100" s="227">
        <f t="shared" si="30"/>
        <v>0</v>
      </c>
      <c r="JR100" s="227">
        <f t="shared" si="30"/>
        <v>0</v>
      </c>
      <c r="JS100" s="227">
        <f t="shared" si="30"/>
        <v>0</v>
      </c>
      <c r="JT100" s="227">
        <f t="shared" si="30"/>
        <v>0</v>
      </c>
      <c r="JU100" s="227">
        <f t="shared" si="30"/>
        <v>0</v>
      </c>
      <c r="JV100" s="227">
        <f t="shared" si="30"/>
        <v>0</v>
      </c>
    </row>
    <row r="101" spans="1:282" hidden="1" x14ac:dyDescent="0.3">
      <c r="A101" s="16"/>
      <c r="B101" s="18"/>
      <c r="C101" s="19"/>
      <c r="D101" s="20"/>
      <c r="E101" s="1136"/>
      <c r="F101" s="229">
        <f t="shared" ref="F101:F109" si="31">E101*C101*D101/12</f>
        <v>0</v>
      </c>
      <c r="G101" s="1071"/>
      <c r="H101" s="229">
        <f t="shared" si="13"/>
        <v>0</v>
      </c>
      <c r="I101" s="21"/>
      <c r="J101" s="21"/>
      <c r="K101" s="22"/>
      <c r="L101" s="229">
        <f t="shared" ref="L101:L109" si="32">E101*C101*5*K101</f>
        <v>0</v>
      </c>
      <c r="M101" s="22"/>
      <c r="P101" s="229">
        <f t="shared" ref="P101:AU101" si="33">IF(AND(P$99&gt;$B101+$J101-1,P$99&lt;=$B101+11),$F101,IF(P$99&lt;=$B101+$J101-1,0,IF(MOD(P$99-$B101,12)&lt;&gt;0,O101,$F101*IF(MOD(P$99-$B101,12)=0,(1+$M101)^((P$99-$B101)/12),0))))</f>
        <v>0</v>
      </c>
      <c r="Q101" s="229">
        <f t="shared" si="33"/>
        <v>0</v>
      </c>
      <c r="R101" s="229">
        <f t="shared" si="33"/>
        <v>0</v>
      </c>
      <c r="S101" s="229">
        <f t="shared" si="33"/>
        <v>0</v>
      </c>
      <c r="T101" s="229">
        <f t="shared" si="33"/>
        <v>0</v>
      </c>
      <c r="U101" s="229">
        <f t="shared" si="33"/>
        <v>0</v>
      </c>
      <c r="V101" s="229">
        <f t="shared" si="33"/>
        <v>0</v>
      </c>
      <c r="W101" s="229">
        <f t="shared" si="33"/>
        <v>0</v>
      </c>
      <c r="X101" s="229">
        <f t="shared" si="33"/>
        <v>0</v>
      </c>
      <c r="Y101" s="229">
        <f t="shared" si="33"/>
        <v>0</v>
      </c>
      <c r="Z101" s="229">
        <f t="shared" si="33"/>
        <v>0</v>
      </c>
      <c r="AA101" s="229">
        <f t="shared" si="33"/>
        <v>0</v>
      </c>
      <c r="AB101" s="229">
        <f t="shared" si="33"/>
        <v>0</v>
      </c>
      <c r="AC101" s="229">
        <f t="shared" si="33"/>
        <v>0</v>
      </c>
      <c r="AD101" s="229">
        <f t="shared" si="33"/>
        <v>0</v>
      </c>
      <c r="AE101" s="229">
        <f t="shared" si="33"/>
        <v>0</v>
      </c>
      <c r="AF101" s="229">
        <f t="shared" si="33"/>
        <v>0</v>
      </c>
      <c r="AG101" s="229">
        <f t="shared" si="33"/>
        <v>0</v>
      </c>
      <c r="AH101" s="229">
        <f t="shared" si="33"/>
        <v>0</v>
      </c>
      <c r="AI101" s="229">
        <f t="shared" si="33"/>
        <v>0</v>
      </c>
      <c r="AJ101" s="229">
        <f t="shared" si="33"/>
        <v>0</v>
      </c>
      <c r="AK101" s="229">
        <f t="shared" si="33"/>
        <v>0</v>
      </c>
      <c r="AL101" s="229">
        <f t="shared" si="33"/>
        <v>0</v>
      </c>
      <c r="AM101" s="229">
        <f t="shared" si="33"/>
        <v>0</v>
      </c>
      <c r="AN101" s="229">
        <f t="shared" si="33"/>
        <v>0</v>
      </c>
      <c r="AO101" s="229">
        <f t="shared" si="33"/>
        <v>0</v>
      </c>
      <c r="AP101" s="229">
        <f t="shared" si="33"/>
        <v>0</v>
      </c>
      <c r="AQ101" s="229">
        <f t="shared" si="33"/>
        <v>0</v>
      </c>
      <c r="AR101" s="229">
        <f t="shared" si="33"/>
        <v>0</v>
      </c>
      <c r="AS101" s="229">
        <f t="shared" si="33"/>
        <v>0</v>
      </c>
      <c r="AT101" s="229">
        <f t="shared" si="33"/>
        <v>0</v>
      </c>
      <c r="AU101" s="229">
        <f t="shared" si="33"/>
        <v>0</v>
      </c>
      <c r="AV101" s="229">
        <f t="shared" ref="AV101:CA101" si="34">IF(AND(AV$99&gt;$B101+$J101-1,AV$99&lt;=$B101+11),$F101,IF(AV$99&lt;=$B101+$J101-1,0,IF(MOD(AV$99-$B101,12)&lt;&gt;0,AU101,$F101*IF(MOD(AV$99-$B101,12)=0,(1+$M101)^((AV$99-$B101)/12),0))))</f>
        <v>0</v>
      </c>
      <c r="AW101" s="229">
        <f t="shared" si="34"/>
        <v>0</v>
      </c>
      <c r="AX101" s="229">
        <f t="shared" si="34"/>
        <v>0</v>
      </c>
      <c r="AY101" s="229">
        <f t="shared" si="34"/>
        <v>0</v>
      </c>
      <c r="AZ101" s="229">
        <f t="shared" si="34"/>
        <v>0</v>
      </c>
      <c r="BA101" s="229">
        <f t="shared" si="34"/>
        <v>0</v>
      </c>
      <c r="BB101" s="229">
        <f t="shared" si="34"/>
        <v>0</v>
      </c>
      <c r="BC101" s="229">
        <f t="shared" si="34"/>
        <v>0</v>
      </c>
      <c r="BD101" s="229">
        <f t="shared" si="34"/>
        <v>0</v>
      </c>
      <c r="BE101" s="229">
        <f t="shared" si="34"/>
        <v>0</v>
      </c>
      <c r="BF101" s="229">
        <f t="shared" si="34"/>
        <v>0</v>
      </c>
      <c r="BG101" s="229">
        <f t="shared" si="34"/>
        <v>0</v>
      </c>
      <c r="BH101" s="229">
        <f t="shared" si="34"/>
        <v>0</v>
      </c>
      <c r="BI101" s="229">
        <f t="shared" si="34"/>
        <v>0</v>
      </c>
      <c r="BJ101" s="229">
        <f t="shared" si="34"/>
        <v>0</v>
      </c>
      <c r="BK101" s="229">
        <f t="shared" si="34"/>
        <v>0</v>
      </c>
      <c r="BL101" s="229">
        <f t="shared" si="34"/>
        <v>0</v>
      </c>
      <c r="BM101" s="229">
        <f t="shared" si="34"/>
        <v>0</v>
      </c>
      <c r="BN101" s="229">
        <f t="shared" si="34"/>
        <v>0</v>
      </c>
      <c r="BO101" s="229">
        <f t="shared" si="34"/>
        <v>0</v>
      </c>
      <c r="BP101" s="229">
        <f t="shared" si="34"/>
        <v>0</v>
      </c>
      <c r="BQ101" s="229">
        <f t="shared" si="34"/>
        <v>0</v>
      </c>
      <c r="BR101" s="229">
        <f t="shared" si="34"/>
        <v>0</v>
      </c>
      <c r="BS101" s="229">
        <f t="shared" si="34"/>
        <v>0</v>
      </c>
      <c r="BT101" s="229">
        <f t="shared" si="34"/>
        <v>0</v>
      </c>
      <c r="BU101" s="229">
        <f t="shared" si="34"/>
        <v>0</v>
      </c>
      <c r="BV101" s="229">
        <f t="shared" si="34"/>
        <v>0</v>
      </c>
      <c r="BW101" s="229">
        <f t="shared" si="34"/>
        <v>0</v>
      </c>
      <c r="BX101" s="229">
        <f t="shared" si="34"/>
        <v>0</v>
      </c>
      <c r="BY101" s="229">
        <f t="shared" si="34"/>
        <v>0</v>
      </c>
      <c r="BZ101" s="229">
        <f t="shared" si="34"/>
        <v>0</v>
      </c>
      <c r="CA101" s="229">
        <f t="shared" si="34"/>
        <v>0</v>
      </c>
      <c r="CB101" s="229">
        <f t="shared" ref="CB101:DG101" si="35">IF(AND(CB$99&gt;$B101+$J101-1,CB$99&lt;=$B101+11),$F101,IF(CB$99&lt;=$B101+$J101-1,0,IF(MOD(CB$99-$B101,12)&lt;&gt;0,CA101,$F101*IF(MOD(CB$99-$B101,12)=0,(1+$M101)^((CB$99-$B101)/12),0))))</f>
        <v>0</v>
      </c>
      <c r="CC101" s="229">
        <f t="shared" si="35"/>
        <v>0</v>
      </c>
      <c r="CD101" s="229">
        <f t="shared" si="35"/>
        <v>0</v>
      </c>
      <c r="CE101" s="229">
        <f t="shared" si="35"/>
        <v>0</v>
      </c>
      <c r="CF101" s="229">
        <f t="shared" si="35"/>
        <v>0</v>
      </c>
      <c r="CG101" s="229">
        <f t="shared" si="35"/>
        <v>0</v>
      </c>
      <c r="CH101" s="229">
        <f t="shared" si="35"/>
        <v>0</v>
      </c>
      <c r="CI101" s="229">
        <f t="shared" si="35"/>
        <v>0</v>
      </c>
      <c r="CJ101" s="229">
        <f t="shared" si="35"/>
        <v>0</v>
      </c>
      <c r="CK101" s="229">
        <f t="shared" si="35"/>
        <v>0</v>
      </c>
      <c r="CL101" s="229">
        <f t="shared" si="35"/>
        <v>0</v>
      </c>
      <c r="CM101" s="229">
        <f t="shared" si="35"/>
        <v>0</v>
      </c>
      <c r="CN101" s="229">
        <f t="shared" si="35"/>
        <v>0</v>
      </c>
      <c r="CO101" s="229">
        <f t="shared" si="35"/>
        <v>0</v>
      </c>
      <c r="CP101" s="229">
        <f t="shared" si="35"/>
        <v>0</v>
      </c>
      <c r="CQ101" s="229">
        <f t="shared" si="35"/>
        <v>0</v>
      </c>
      <c r="CR101" s="229">
        <f t="shared" si="35"/>
        <v>0</v>
      </c>
      <c r="CS101" s="229">
        <f t="shared" si="35"/>
        <v>0</v>
      </c>
      <c r="CT101" s="229">
        <f t="shared" si="35"/>
        <v>0</v>
      </c>
      <c r="CU101" s="229">
        <f t="shared" si="35"/>
        <v>0</v>
      </c>
      <c r="CV101" s="229">
        <f t="shared" si="35"/>
        <v>0</v>
      </c>
      <c r="CW101" s="229">
        <f t="shared" si="35"/>
        <v>0</v>
      </c>
      <c r="CX101" s="229">
        <f t="shared" si="35"/>
        <v>0</v>
      </c>
      <c r="CY101" s="229">
        <f t="shared" si="35"/>
        <v>0</v>
      </c>
      <c r="CZ101" s="229">
        <f t="shared" si="35"/>
        <v>0</v>
      </c>
      <c r="DA101" s="229">
        <f t="shared" si="35"/>
        <v>0</v>
      </c>
      <c r="DB101" s="229">
        <f t="shared" si="35"/>
        <v>0</v>
      </c>
      <c r="DC101" s="229">
        <f t="shared" si="35"/>
        <v>0</v>
      </c>
      <c r="DD101" s="229">
        <f t="shared" si="35"/>
        <v>0</v>
      </c>
      <c r="DE101" s="229">
        <f t="shared" si="35"/>
        <v>0</v>
      </c>
      <c r="DF101" s="229">
        <f t="shared" si="35"/>
        <v>0</v>
      </c>
      <c r="DG101" s="229">
        <f t="shared" si="35"/>
        <v>0</v>
      </c>
      <c r="DH101" s="229">
        <f t="shared" ref="DH101:ER101" si="36">IF(AND(DH$99&gt;$B101+$J101-1,DH$99&lt;=$B101+11),$F101,IF(DH$99&lt;=$B101+$J101-1,0,IF(MOD(DH$99-$B101,12)&lt;&gt;0,DG101,$F101*IF(MOD(DH$99-$B101,12)=0,(1+$M101)^((DH$99-$B101)/12),0))))</f>
        <v>0</v>
      </c>
      <c r="DI101" s="229">
        <f t="shared" si="36"/>
        <v>0</v>
      </c>
      <c r="DJ101" s="229">
        <f t="shared" si="36"/>
        <v>0</v>
      </c>
      <c r="DK101" s="229">
        <f t="shared" si="36"/>
        <v>0</v>
      </c>
      <c r="DL101" s="229">
        <f t="shared" si="36"/>
        <v>0</v>
      </c>
      <c r="DM101" s="229">
        <f t="shared" si="36"/>
        <v>0</v>
      </c>
      <c r="DN101" s="229">
        <f t="shared" si="36"/>
        <v>0</v>
      </c>
      <c r="DO101" s="229">
        <f t="shared" si="36"/>
        <v>0</v>
      </c>
      <c r="DP101" s="229">
        <f t="shared" si="36"/>
        <v>0</v>
      </c>
      <c r="DQ101" s="229">
        <f t="shared" si="36"/>
        <v>0</v>
      </c>
      <c r="DR101" s="229">
        <f t="shared" si="36"/>
        <v>0</v>
      </c>
      <c r="DS101" s="229">
        <f t="shared" si="36"/>
        <v>0</v>
      </c>
      <c r="DT101" s="229">
        <f t="shared" si="36"/>
        <v>0</v>
      </c>
      <c r="DU101" s="229">
        <f t="shared" si="36"/>
        <v>0</v>
      </c>
      <c r="DV101" s="229">
        <f t="shared" si="36"/>
        <v>0</v>
      </c>
      <c r="DW101" s="229">
        <f t="shared" si="36"/>
        <v>0</v>
      </c>
      <c r="DX101" s="229">
        <f t="shared" si="36"/>
        <v>0</v>
      </c>
      <c r="DY101" s="229">
        <f t="shared" si="36"/>
        <v>0</v>
      </c>
      <c r="DZ101" s="229">
        <f t="shared" si="36"/>
        <v>0</v>
      </c>
      <c r="EA101" s="229">
        <f t="shared" si="36"/>
        <v>0</v>
      </c>
      <c r="EB101" s="229">
        <f t="shared" si="36"/>
        <v>0</v>
      </c>
      <c r="EC101" s="229">
        <f t="shared" si="36"/>
        <v>0</v>
      </c>
      <c r="ED101" s="229">
        <f t="shared" si="36"/>
        <v>0</v>
      </c>
      <c r="EE101" s="229">
        <f t="shared" si="36"/>
        <v>0</v>
      </c>
      <c r="EF101" s="229">
        <f t="shared" si="36"/>
        <v>0</v>
      </c>
      <c r="EG101" s="229">
        <f t="shared" si="36"/>
        <v>0</v>
      </c>
      <c r="EH101" s="229">
        <f t="shared" si="36"/>
        <v>0</v>
      </c>
      <c r="EI101" s="229">
        <f t="shared" si="36"/>
        <v>0</v>
      </c>
      <c r="EJ101" s="229">
        <f t="shared" si="36"/>
        <v>0</v>
      </c>
      <c r="EK101" s="229">
        <f t="shared" si="36"/>
        <v>0</v>
      </c>
      <c r="EL101" s="229">
        <f t="shared" si="36"/>
        <v>0</v>
      </c>
      <c r="EM101" s="229">
        <f t="shared" si="36"/>
        <v>0</v>
      </c>
      <c r="EN101" s="229">
        <f t="shared" si="36"/>
        <v>0</v>
      </c>
      <c r="EO101" s="229">
        <f t="shared" si="36"/>
        <v>0</v>
      </c>
      <c r="EP101" s="229">
        <f t="shared" si="36"/>
        <v>0</v>
      </c>
      <c r="EQ101" s="229">
        <f t="shared" si="36"/>
        <v>0</v>
      </c>
      <c r="ER101" s="229">
        <f t="shared" si="36"/>
        <v>0</v>
      </c>
      <c r="ET101" s="229">
        <f t="shared" si="18"/>
        <v>0</v>
      </c>
      <c r="EU101" s="229">
        <f t="shared" si="18"/>
        <v>0</v>
      </c>
      <c r="EV101" s="229">
        <f t="shared" si="18"/>
        <v>0</v>
      </c>
      <c r="EW101" s="229">
        <f t="shared" si="18"/>
        <v>0</v>
      </c>
      <c r="EX101" s="229">
        <f t="shared" si="18"/>
        <v>0</v>
      </c>
      <c r="EY101" s="229">
        <f t="shared" si="18"/>
        <v>0</v>
      </c>
      <c r="EZ101" s="229">
        <f t="shared" si="18"/>
        <v>0</v>
      </c>
      <c r="FA101" s="229">
        <f t="shared" si="18"/>
        <v>0</v>
      </c>
      <c r="FB101" s="229">
        <f t="shared" si="18"/>
        <v>0</v>
      </c>
      <c r="FC101" s="229">
        <f t="shared" si="18"/>
        <v>0</v>
      </c>
      <c r="FD101" s="229">
        <f t="shared" si="19"/>
        <v>0</v>
      </c>
      <c r="FE101" s="229">
        <f t="shared" si="19"/>
        <v>0</v>
      </c>
      <c r="FF101" s="229">
        <f t="shared" si="19"/>
        <v>0</v>
      </c>
      <c r="FG101" s="229">
        <f t="shared" si="19"/>
        <v>0</v>
      </c>
      <c r="FH101" s="229">
        <f t="shared" si="19"/>
        <v>0</v>
      </c>
      <c r="FI101" s="229">
        <f t="shared" si="19"/>
        <v>0</v>
      </c>
      <c r="FJ101" s="229">
        <f t="shared" si="19"/>
        <v>0</v>
      </c>
      <c r="FK101" s="229">
        <f t="shared" si="19"/>
        <v>0</v>
      </c>
      <c r="FL101" s="229">
        <f t="shared" si="19"/>
        <v>0</v>
      </c>
      <c r="FM101" s="229">
        <f t="shared" si="19"/>
        <v>0</v>
      </c>
      <c r="FN101" s="229">
        <f t="shared" si="20"/>
        <v>0</v>
      </c>
      <c r="FO101" s="229">
        <f t="shared" si="20"/>
        <v>0</v>
      </c>
      <c r="FP101" s="229">
        <f t="shared" si="20"/>
        <v>0</v>
      </c>
      <c r="FQ101" s="229">
        <f t="shared" si="20"/>
        <v>0</v>
      </c>
      <c r="FR101" s="229">
        <f t="shared" si="20"/>
        <v>0</v>
      </c>
      <c r="FS101" s="229">
        <f t="shared" si="20"/>
        <v>0</v>
      </c>
      <c r="FT101" s="229">
        <f t="shared" si="20"/>
        <v>0</v>
      </c>
      <c r="FU101" s="229">
        <f t="shared" si="20"/>
        <v>0</v>
      </c>
      <c r="FV101" s="229">
        <f t="shared" si="20"/>
        <v>0</v>
      </c>
      <c r="FW101" s="229">
        <f t="shared" si="20"/>
        <v>0</v>
      </c>
      <c r="FX101" s="229">
        <f t="shared" si="21"/>
        <v>0</v>
      </c>
      <c r="FY101" s="229">
        <f t="shared" si="21"/>
        <v>0</v>
      </c>
      <c r="FZ101" s="229">
        <f t="shared" si="21"/>
        <v>0</v>
      </c>
      <c r="GA101" s="229">
        <f t="shared" si="21"/>
        <v>0</v>
      </c>
      <c r="GB101" s="229">
        <f t="shared" si="21"/>
        <v>0</v>
      </c>
      <c r="GC101" s="229">
        <f t="shared" si="21"/>
        <v>0</v>
      </c>
      <c r="GD101" s="229">
        <f t="shared" si="21"/>
        <v>0</v>
      </c>
      <c r="GE101" s="229">
        <f t="shared" si="21"/>
        <v>0</v>
      </c>
      <c r="GF101" s="229">
        <f t="shared" si="21"/>
        <v>0</v>
      </c>
      <c r="GG101" s="229">
        <f t="shared" si="21"/>
        <v>0</v>
      </c>
      <c r="GH101" s="229">
        <f t="shared" si="22"/>
        <v>0</v>
      </c>
      <c r="GI101" s="229">
        <f t="shared" si="22"/>
        <v>0</v>
      </c>
      <c r="GJ101" s="229">
        <f t="shared" si="22"/>
        <v>0</v>
      </c>
      <c r="GK101" s="229">
        <f t="shared" si="22"/>
        <v>0</v>
      </c>
      <c r="GL101" s="229">
        <f t="shared" si="22"/>
        <v>0</v>
      </c>
      <c r="GM101" s="229">
        <f t="shared" si="22"/>
        <v>0</v>
      </c>
      <c r="GN101" s="229">
        <f t="shared" si="22"/>
        <v>0</v>
      </c>
      <c r="GO101" s="229">
        <f t="shared" si="22"/>
        <v>0</v>
      </c>
      <c r="GP101" s="229">
        <f t="shared" si="22"/>
        <v>0</v>
      </c>
      <c r="GQ101" s="229">
        <f t="shared" si="22"/>
        <v>0</v>
      </c>
      <c r="GR101" s="229">
        <f t="shared" si="23"/>
        <v>0</v>
      </c>
      <c r="GS101" s="229">
        <f t="shared" si="23"/>
        <v>0</v>
      </c>
      <c r="GT101" s="229">
        <f t="shared" si="23"/>
        <v>0</v>
      </c>
      <c r="GU101" s="229">
        <f t="shared" si="23"/>
        <v>0</v>
      </c>
      <c r="GV101" s="229">
        <f t="shared" si="23"/>
        <v>0</v>
      </c>
      <c r="GW101" s="229">
        <f t="shared" si="23"/>
        <v>0</v>
      </c>
      <c r="GX101" s="229">
        <f t="shared" si="23"/>
        <v>0</v>
      </c>
      <c r="GY101" s="229">
        <f t="shared" si="23"/>
        <v>0</v>
      </c>
      <c r="GZ101" s="229">
        <f t="shared" si="23"/>
        <v>0</v>
      </c>
      <c r="HA101" s="229">
        <f t="shared" si="23"/>
        <v>0</v>
      </c>
      <c r="HB101" s="229">
        <f t="shared" si="24"/>
        <v>0</v>
      </c>
      <c r="HC101" s="229">
        <f t="shared" si="24"/>
        <v>0</v>
      </c>
      <c r="HD101" s="229">
        <f t="shared" si="24"/>
        <v>0</v>
      </c>
      <c r="HE101" s="229">
        <f t="shared" si="24"/>
        <v>0</v>
      </c>
      <c r="HF101" s="229">
        <f t="shared" si="24"/>
        <v>0</v>
      </c>
      <c r="HG101" s="229">
        <f t="shared" si="24"/>
        <v>0</v>
      </c>
      <c r="HH101" s="229">
        <f t="shared" si="24"/>
        <v>0</v>
      </c>
      <c r="HI101" s="229">
        <f t="shared" si="24"/>
        <v>0</v>
      </c>
      <c r="HJ101" s="229">
        <f t="shared" si="24"/>
        <v>0</v>
      </c>
      <c r="HK101" s="229">
        <f t="shared" si="24"/>
        <v>0</v>
      </c>
      <c r="HL101" s="229">
        <f t="shared" si="25"/>
        <v>0</v>
      </c>
      <c r="HM101" s="229">
        <f t="shared" si="25"/>
        <v>0</v>
      </c>
      <c r="HN101" s="229">
        <f t="shared" si="25"/>
        <v>0</v>
      </c>
      <c r="HO101" s="229">
        <f t="shared" si="25"/>
        <v>0</v>
      </c>
      <c r="HP101" s="229">
        <f t="shared" si="25"/>
        <v>0</v>
      </c>
      <c r="HQ101" s="229">
        <f t="shared" si="25"/>
        <v>0</v>
      </c>
      <c r="HR101" s="229">
        <f t="shared" si="25"/>
        <v>0</v>
      </c>
      <c r="HS101" s="229">
        <f t="shared" si="25"/>
        <v>0</v>
      </c>
      <c r="HT101" s="229">
        <f t="shared" si="25"/>
        <v>0</v>
      </c>
      <c r="HU101" s="229">
        <f t="shared" si="25"/>
        <v>0</v>
      </c>
      <c r="HV101" s="229">
        <f t="shared" si="26"/>
        <v>0</v>
      </c>
      <c r="HW101" s="229">
        <f t="shared" si="26"/>
        <v>0</v>
      </c>
      <c r="HX101" s="229">
        <f t="shared" si="26"/>
        <v>0</v>
      </c>
      <c r="HY101" s="229">
        <f t="shared" si="26"/>
        <v>0</v>
      </c>
      <c r="HZ101" s="229">
        <f t="shared" si="26"/>
        <v>0</v>
      </c>
      <c r="IA101" s="229">
        <f t="shared" si="26"/>
        <v>0</v>
      </c>
      <c r="IB101" s="229">
        <f t="shared" si="26"/>
        <v>0</v>
      </c>
      <c r="IC101" s="229">
        <f t="shared" si="26"/>
        <v>0</v>
      </c>
      <c r="ID101" s="229">
        <f t="shared" si="26"/>
        <v>0</v>
      </c>
      <c r="IE101" s="229">
        <f t="shared" si="26"/>
        <v>0</v>
      </c>
      <c r="IF101" s="229">
        <f t="shared" si="27"/>
        <v>0</v>
      </c>
      <c r="IG101" s="229">
        <f t="shared" si="27"/>
        <v>0</v>
      </c>
      <c r="IH101" s="229">
        <f t="shared" si="27"/>
        <v>0</v>
      </c>
      <c r="II101" s="229">
        <f t="shared" si="27"/>
        <v>0</v>
      </c>
      <c r="IJ101" s="229">
        <f t="shared" si="27"/>
        <v>0</v>
      </c>
      <c r="IK101" s="229">
        <f t="shared" si="27"/>
        <v>0</v>
      </c>
      <c r="IL101" s="229">
        <f t="shared" si="27"/>
        <v>0</v>
      </c>
      <c r="IM101" s="229">
        <f t="shared" si="27"/>
        <v>0</v>
      </c>
      <c r="IN101" s="229">
        <f t="shared" si="27"/>
        <v>0</v>
      </c>
      <c r="IO101" s="229">
        <f t="shared" si="27"/>
        <v>0</v>
      </c>
      <c r="IP101" s="229">
        <f t="shared" si="28"/>
        <v>0</v>
      </c>
      <c r="IQ101" s="229">
        <f t="shared" si="28"/>
        <v>0</v>
      </c>
      <c r="IR101" s="229">
        <f t="shared" si="28"/>
        <v>0</v>
      </c>
      <c r="IS101" s="229">
        <f t="shared" si="28"/>
        <v>0</v>
      </c>
      <c r="IT101" s="229">
        <f t="shared" si="28"/>
        <v>0</v>
      </c>
      <c r="IU101" s="229">
        <f t="shared" si="28"/>
        <v>0</v>
      </c>
      <c r="IV101" s="229">
        <f t="shared" si="28"/>
        <v>0</v>
      </c>
      <c r="IW101" s="229">
        <f t="shared" si="28"/>
        <v>0</v>
      </c>
      <c r="IX101" s="229">
        <f t="shared" si="28"/>
        <v>0</v>
      </c>
      <c r="IY101" s="229">
        <f t="shared" si="28"/>
        <v>0</v>
      </c>
      <c r="IZ101" s="229">
        <f t="shared" si="29"/>
        <v>0</v>
      </c>
      <c r="JA101" s="229">
        <f t="shared" si="29"/>
        <v>0</v>
      </c>
      <c r="JB101" s="229">
        <f t="shared" si="29"/>
        <v>0</v>
      </c>
      <c r="JC101" s="229">
        <f t="shared" si="29"/>
        <v>0</v>
      </c>
      <c r="JD101" s="229">
        <f t="shared" si="29"/>
        <v>0</v>
      </c>
      <c r="JE101" s="229">
        <f t="shared" si="29"/>
        <v>0</v>
      </c>
      <c r="JF101" s="229">
        <f t="shared" si="29"/>
        <v>0</v>
      </c>
      <c r="JG101" s="229">
        <f t="shared" si="29"/>
        <v>0</v>
      </c>
      <c r="JH101" s="229">
        <f t="shared" si="29"/>
        <v>0</v>
      </c>
      <c r="JI101" s="229">
        <f t="shared" si="29"/>
        <v>0</v>
      </c>
      <c r="JJ101" s="229">
        <f t="shared" si="30"/>
        <v>0</v>
      </c>
      <c r="JK101" s="229">
        <f t="shared" si="30"/>
        <v>0</v>
      </c>
      <c r="JL101" s="229">
        <f t="shared" si="30"/>
        <v>0</v>
      </c>
      <c r="JM101" s="229">
        <f t="shared" si="30"/>
        <v>0</v>
      </c>
      <c r="JN101" s="229">
        <f t="shared" si="30"/>
        <v>0</v>
      </c>
      <c r="JO101" s="229">
        <f t="shared" si="30"/>
        <v>0</v>
      </c>
      <c r="JP101" s="229">
        <f t="shared" si="30"/>
        <v>0</v>
      </c>
      <c r="JQ101" s="229">
        <f t="shared" si="30"/>
        <v>0</v>
      </c>
      <c r="JR101" s="229">
        <f t="shared" si="30"/>
        <v>0</v>
      </c>
      <c r="JS101" s="229">
        <f t="shared" si="30"/>
        <v>0</v>
      </c>
      <c r="JT101" s="229">
        <f t="shared" si="30"/>
        <v>0</v>
      </c>
      <c r="JU101" s="229">
        <f t="shared" si="30"/>
        <v>0</v>
      </c>
      <c r="JV101" s="229">
        <f t="shared" si="30"/>
        <v>0</v>
      </c>
    </row>
    <row r="102" spans="1:282" hidden="1" x14ac:dyDescent="0.3">
      <c r="A102" s="16"/>
      <c r="B102" s="18"/>
      <c r="C102" s="19"/>
      <c r="D102" s="20"/>
      <c r="E102" s="1136"/>
      <c r="F102" s="229">
        <f t="shared" si="31"/>
        <v>0</v>
      </c>
      <c r="G102" s="1071"/>
      <c r="H102" s="229">
        <f t="shared" si="13"/>
        <v>0</v>
      </c>
      <c r="I102" s="21"/>
      <c r="J102" s="21"/>
      <c r="K102" s="22"/>
      <c r="L102" s="229">
        <f t="shared" si="32"/>
        <v>0</v>
      </c>
      <c r="M102" s="22"/>
      <c r="P102" s="229">
        <f t="shared" ref="P102:AU102" si="37">IF(AND(P$99&gt;$B102+$J102-1,P$99&lt;=$B102+11),$F102,IF(P$99&lt;=$B102+$J102-1,0,IF(MOD(P$99-$B102,12)&lt;&gt;0,O102,$F102*IF(MOD(P$99-$B102,12)=0,(1+$M102)^((P$99-$B102)/12),0))))</f>
        <v>0</v>
      </c>
      <c r="Q102" s="229">
        <f t="shared" si="37"/>
        <v>0</v>
      </c>
      <c r="R102" s="229">
        <f t="shared" si="37"/>
        <v>0</v>
      </c>
      <c r="S102" s="229">
        <f t="shared" si="37"/>
        <v>0</v>
      </c>
      <c r="T102" s="229">
        <f t="shared" si="37"/>
        <v>0</v>
      </c>
      <c r="U102" s="229">
        <f t="shared" si="37"/>
        <v>0</v>
      </c>
      <c r="V102" s="229">
        <f t="shared" si="37"/>
        <v>0</v>
      </c>
      <c r="W102" s="229">
        <f t="shared" si="37"/>
        <v>0</v>
      </c>
      <c r="X102" s="229">
        <f t="shared" si="37"/>
        <v>0</v>
      </c>
      <c r="Y102" s="229">
        <f t="shared" si="37"/>
        <v>0</v>
      </c>
      <c r="Z102" s="229">
        <f t="shared" si="37"/>
        <v>0</v>
      </c>
      <c r="AA102" s="229">
        <f t="shared" si="37"/>
        <v>0</v>
      </c>
      <c r="AB102" s="229">
        <f t="shared" si="37"/>
        <v>0</v>
      </c>
      <c r="AC102" s="229">
        <f t="shared" si="37"/>
        <v>0</v>
      </c>
      <c r="AD102" s="229">
        <f t="shared" si="37"/>
        <v>0</v>
      </c>
      <c r="AE102" s="229">
        <f t="shared" si="37"/>
        <v>0</v>
      </c>
      <c r="AF102" s="229">
        <f t="shared" si="37"/>
        <v>0</v>
      </c>
      <c r="AG102" s="229">
        <f t="shared" si="37"/>
        <v>0</v>
      </c>
      <c r="AH102" s="229">
        <f t="shared" si="37"/>
        <v>0</v>
      </c>
      <c r="AI102" s="229">
        <f t="shared" si="37"/>
        <v>0</v>
      </c>
      <c r="AJ102" s="229">
        <f t="shared" si="37"/>
        <v>0</v>
      </c>
      <c r="AK102" s="229">
        <f t="shared" si="37"/>
        <v>0</v>
      </c>
      <c r="AL102" s="229">
        <f t="shared" si="37"/>
        <v>0</v>
      </c>
      <c r="AM102" s="229">
        <f t="shared" si="37"/>
        <v>0</v>
      </c>
      <c r="AN102" s="229">
        <f t="shared" si="37"/>
        <v>0</v>
      </c>
      <c r="AO102" s="229">
        <f t="shared" si="37"/>
        <v>0</v>
      </c>
      <c r="AP102" s="229">
        <f t="shared" si="37"/>
        <v>0</v>
      </c>
      <c r="AQ102" s="229">
        <f t="shared" si="37"/>
        <v>0</v>
      </c>
      <c r="AR102" s="229">
        <f t="shared" si="37"/>
        <v>0</v>
      </c>
      <c r="AS102" s="229">
        <f t="shared" si="37"/>
        <v>0</v>
      </c>
      <c r="AT102" s="229">
        <f t="shared" si="37"/>
        <v>0</v>
      </c>
      <c r="AU102" s="229">
        <f t="shared" si="37"/>
        <v>0</v>
      </c>
      <c r="AV102" s="229">
        <f t="shared" ref="AV102:CA102" si="38">IF(AND(AV$99&gt;$B102+$J102-1,AV$99&lt;=$B102+11),$F102,IF(AV$99&lt;=$B102+$J102-1,0,IF(MOD(AV$99-$B102,12)&lt;&gt;0,AU102,$F102*IF(MOD(AV$99-$B102,12)=0,(1+$M102)^((AV$99-$B102)/12),0))))</f>
        <v>0</v>
      </c>
      <c r="AW102" s="229">
        <f t="shared" si="38"/>
        <v>0</v>
      </c>
      <c r="AX102" s="229">
        <f t="shared" si="38"/>
        <v>0</v>
      </c>
      <c r="AY102" s="229">
        <f t="shared" si="38"/>
        <v>0</v>
      </c>
      <c r="AZ102" s="229">
        <f t="shared" si="38"/>
        <v>0</v>
      </c>
      <c r="BA102" s="229">
        <f t="shared" si="38"/>
        <v>0</v>
      </c>
      <c r="BB102" s="229">
        <f t="shared" si="38"/>
        <v>0</v>
      </c>
      <c r="BC102" s="229">
        <f t="shared" si="38"/>
        <v>0</v>
      </c>
      <c r="BD102" s="229">
        <f t="shared" si="38"/>
        <v>0</v>
      </c>
      <c r="BE102" s="229">
        <f t="shared" si="38"/>
        <v>0</v>
      </c>
      <c r="BF102" s="229">
        <f t="shared" si="38"/>
        <v>0</v>
      </c>
      <c r="BG102" s="229">
        <f t="shared" si="38"/>
        <v>0</v>
      </c>
      <c r="BH102" s="229">
        <f t="shared" si="38"/>
        <v>0</v>
      </c>
      <c r="BI102" s="229">
        <f t="shared" si="38"/>
        <v>0</v>
      </c>
      <c r="BJ102" s="229">
        <f t="shared" si="38"/>
        <v>0</v>
      </c>
      <c r="BK102" s="229">
        <f t="shared" si="38"/>
        <v>0</v>
      </c>
      <c r="BL102" s="229">
        <f t="shared" si="38"/>
        <v>0</v>
      </c>
      <c r="BM102" s="229">
        <f t="shared" si="38"/>
        <v>0</v>
      </c>
      <c r="BN102" s="229">
        <f t="shared" si="38"/>
        <v>0</v>
      </c>
      <c r="BO102" s="229">
        <f t="shared" si="38"/>
        <v>0</v>
      </c>
      <c r="BP102" s="229">
        <f t="shared" si="38"/>
        <v>0</v>
      </c>
      <c r="BQ102" s="229">
        <f t="shared" si="38"/>
        <v>0</v>
      </c>
      <c r="BR102" s="229">
        <f t="shared" si="38"/>
        <v>0</v>
      </c>
      <c r="BS102" s="229">
        <f t="shared" si="38"/>
        <v>0</v>
      </c>
      <c r="BT102" s="229">
        <f t="shared" si="38"/>
        <v>0</v>
      </c>
      <c r="BU102" s="229">
        <f t="shared" si="38"/>
        <v>0</v>
      </c>
      <c r="BV102" s="229">
        <f t="shared" si="38"/>
        <v>0</v>
      </c>
      <c r="BW102" s="229">
        <f t="shared" si="38"/>
        <v>0</v>
      </c>
      <c r="BX102" s="229">
        <f t="shared" si="38"/>
        <v>0</v>
      </c>
      <c r="BY102" s="229">
        <f t="shared" si="38"/>
        <v>0</v>
      </c>
      <c r="BZ102" s="229">
        <f t="shared" si="38"/>
        <v>0</v>
      </c>
      <c r="CA102" s="229">
        <f t="shared" si="38"/>
        <v>0</v>
      </c>
      <c r="CB102" s="229">
        <f t="shared" ref="CB102:DG102" si="39">IF(AND(CB$99&gt;$B102+$J102-1,CB$99&lt;=$B102+11),$F102,IF(CB$99&lt;=$B102+$J102-1,0,IF(MOD(CB$99-$B102,12)&lt;&gt;0,CA102,$F102*IF(MOD(CB$99-$B102,12)=0,(1+$M102)^((CB$99-$B102)/12),0))))</f>
        <v>0</v>
      </c>
      <c r="CC102" s="229">
        <f t="shared" si="39"/>
        <v>0</v>
      </c>
      <c r="CD102" s="229">
        <f t="shared" si="39"/>
        <v>0</v>
      </c>
      <c r="CE102" s="229">
        <f t="shared" si="39"/>
        <v>0</v>
      </c>
      <c r="CF102" s="229">
        <f t="shared" si="39"/>
        <v>0</v>
      </c>
      <c r="CG102" s="229">
        <f t="shared" si="39"/>
        <v>0</v>
      </c>
      <c r="CH102" s="229">
        <f t="shared" si="39"/>
        <v>0</v>
      </c>
      <c r="CI102" s="229">
        <f t="shared" si="39"/>
        <v>0</v>
      </c>
      <c r="CJ102" s="229">
        <f t="shared" si="39"/>
        <v>0</v>
      </c>
      <c r="CK102" s="229">
        <f t="shared" si="39"/>
        <v>0</v>
      </c>
      <c r="CL102" s="229">
        <f t="shared" si="39"/>
        <v>0</v>
      </c>
      <c r="CM102" s="229">
        <f t="shared" si="39"/>
        <v>0</v>
      </c>
      <c r="CN102" s="229">
        <f t="shared" si="39"/>
        <v>0</v>
      </c>
      <c r="CO102" s="229">
        <f t="shared" si="39"/>
        <v>0</v>
      </c>
      <c r="CP102" s="229">
        <f t="shared" si="39"/>
        <v>0</v>
      </c>
      <c r="CQ102" s="229">
        <f t="shared" si="39"/>
        <v>0</v>
      </c>
      <c r="CR102" s="229">
        <f t="shared" si="39"/>
        <v>0</v>
      </c>
      <c r="CS102" s="229">
        <f t="shared" si="39"/>
        <v>0</v>
      </c>
      <c r="CT102" s="229">
        <f t="shared" si="39"/>
        <v>0</v>
      </c>
      <c r="CU102" s="229">
        <f t="shared" si="39"/>
        <v>0</v>
      </c>
      <c r="CV102" s="229">
        <f t="shared" si="39"/>
        <v>0</v>
      </c>
      <c r="CW102" s="229">
        <f t="shared" si="39"/>
        <v>0</v>
      </c>
      <c r="CX102" s="229">
        <f t="shared" si="39"/>
        <v>0</v>
      </c>
      <c r="CY102" s="229">
        <f t="shared" si="39"/>
        <v>0</v>
      </c>
      <c r="CZ102" s="229">
        <f t="shared" si="39"/>
        <v>0</v>
      </c>
      <c r="DA102" s="229">
        <f t="shared" si="39"/>
        <v>0</v>
      </c>
      <c r="DB102" s="229">
        <f t="shared" si="39"/>
        <v>0</v>
      </c>
      <c r="DC102" s="229">
        <f t="shared" si="39"/>
        <v>0</v>
      </c>
      <c r="DD102" s="229">
        <f t="shared" si="39"/>
        <v>0</v>
      </c>
      <c r="DE102" s="229">
        <f t="shared" si="39"/>
        <v>0</v>
      </c>
      <c r="DF102" s="229">
        <f t="shared" si="39"/>
        <v>0</v>
      </c>
      <c r="DG102" s="229">
        <f t="shared" si="39"/>
        <v>0</v>
      </c>
      <c r="DH102" s="229">
        <f t="shared" ref="DH102:ER102" si="40">IF(AND(DH$99&gt;$B102+$J102-1,DH$99&lt;=$B102+11),$F102,IF(DH$99&lt;=$B102+$J102-1,0,IF(MOD(DH$99-$B102,12)&lt;&gt;0,DG102,$F102*IF(MOD(DH$99-$B102,12)=0,(1+$M102)^((DH$99-$B102)/12),0))))</f>
        <v>0</v>
      </c>
      <c r="DI102" s="229">
        <f t="shared" si="40"/>
        <v>0</v>
      </c>
      <c r="DJ102" s="229">
        <f t="shared" si="40"/>
        <v>0</v>
      </c>
      <c r="DK102" s="229">
        <f t="shared" si="40"/>
        <v>0</v>
      </c>
      <c r="DL102" s="229">
        <f t="shared" si="40"/>
        <v>0</v>
      </c>
      <c r="DM102" s="229">
        <f t="shared" si="40"/>
        <v>0</v>
      </c>
      <c r="DN102" s="229">
        <f t="shared" si="40"/>
        <v>0</v>
      </c>
      <c r="DO102" s="229">
        <f t="shared" si="40"/>
        <v>0</v>
      </c>
      <c r="DP102" s="229">
        <f t="shared" si="40"/>
        <v>0</v>
      </c>
      <c r="DQ102" s="229">
        <f t="shared" si="40"/>
        <v>0</v>
      </c>
      <c r="DR102" s="229">
        <f t="shared" si="40"/>
        <v>0</v>
      </c>
      <c r="DS102" s="229">
        <f t="shared" si="40"/>
        <v>0</v>
      </c>
      <c r="DT102" s="229">
        <f t="shared" si="40"/>
        <v>0</v>
      </c>
      <c r="DU102" s="229">
        <f t="shared" si="40"/>
        <v>0</v>
      </c>
      <c r="DV102" s="229">
        <f t="shared" si="40"/>
        <v>0</v>
      </c>
      <c r="DW102" s="229">
        <f t="shared" si="40"/>
        <v>0</v>
      </c>
      <c r="DX102" s="229">
        <f t="shared" si="40"/>
        <v>0</v>
      </c>
      <c r="DY102" s="229">
        <f t="shared" si="40"/>
        <v>0</v>
      </c>
      <c r="DZ102" s="229">
        <f t="shared" si="40"/>
        <v>0</v>
      </c>
      <c r="EA102" s="229">
        <f t="shared" si="40"/>
        <v>0</v>
      </c>
      <c r="EB102" s="229">
        <f t="shared" si="40"/>
        <v>0</v>
      </c>
      <c r="EC102" s="229">
        <f t="shared" si="40"/>
        <v>0</v>
      </c>
      <c r="ED102" s="229">
        <f t="shared" si="40"/>
        <v>0</v>
      </c>
      <c r="EE102" s="229">
        <f t="shared" si="40"/>
        <v>0</v>
      </c>
      <c r="EF102" s="229">
        <f t="shared" si="40"/>
        <v>0</v>
      </c>
      <c r="EG102" s="229">
        <f t="shared" si="40"/>
        <v>0</v>
      </c>
      <c r="EH102" s="229">
        <f t="shared" si="40"/>
        <v>0</v>
      </c>
      <c r="EI102" s="229">
        <f t="shared" si="40"/>
        <v>0</v>
      </c>
      <c r="EJ102" s="229">
        <f t="shared" si="40"/>
        <v>0</v>
      </c>
      <c r="EK102" s="229">
        <f t="shared" si="40"/>
        <v>0</v>
      </c>
      <c r="EL102" s="229">
        <f t="shared" si="40"/>
        <v>0</v>
      </c>
      <c r="EM102" s="229">
        <f t="shared" si="40"/>
        <v>0</v>
      </c>
      <c r="EN102" s="229">
        <f t="shared" si="40"/>
        <v>0</v>
      </c>
      <c r="EO102" s="229">
        <f t="shared" si="40"/>
        <v>0</v>
      </c>
      <c r="EP102" s="229">
        <f t="shared" si="40"/>
        <v>0</v>
      </c>
      <c r="EQ102" s="229">
        <f t="shared" si="40"/>
        <v>0</v>
      </c>
      <c r="ER102" s="229">
        <f t="shared" si="40"/>
        <v>0</v>
      </c>
      <c r="ET102" s="229">
        <f t="shared" si="18"/>
        <v>0</v>
      </c>
      <c r="EU102" s="229">
        <f t="shared" si="18"/>
        <v>0</v>
      </c>
      <c r="EV102" s="229">
        <f t="shared" si="18"/>
        <v>0</v>
      </c>
      <c r="EW102" s="229">
        <f t="shared" si="18"/>
        <v>0</v>
      </c>
      <c r="EX102" s="229">
        <f t="shared" si="18"/>
        <v>0</v>
      </c>
      <c r="EY102" s="229">
        <f t="shared" si="18"/>
        <v>0</v>
      </c>
      <c r="EZ102" s="229">
        <f t="shared" si="18"/>
        <v>0</v>
      </c>
      <c r="FA102" s="229">
        <f t="shared" si="18"/>
        <v>0</v>
      </c>
      <c r="FB102" s="229">
        <f t="shared" si="18"/>
        <v>0</v>
      </c>
      <c r="FC102" s="229">
        <f t="shared" si="18"/>
        <v>0</v>
      </c>
      <c r="FD102" s="229">
        <f t="shared" si="19"/>
        <v>0</v>
      </c>
      <c r="FE102" s="229">
        <f t="shared" si="19"/>
        <v>0</v>
      </c>
      <c r="FF102" s="229">
        <f t="shared" si="19"/>
        <v>0</v>
      </c>
      <c r="FG102" s="229">
        <f t="shared" si="19"/>
        <v>0</v>
      </c>
      <c r="FH102" s="229">
        <f t="shared" si="19"/>
        <v>0</v>
      </c>
      <c r="FI102" s="229">
        <f t="shared" si="19"/>
        <v>0</v>
      </c>
      <c r="FJ102" s="229">
        <f t="shared" si="19"/>
        <v>0</v>
      </c>
      <c r="FK102" s="229">
        <f t="shared" si="19"/>
        <v>0</v>
      </c>
      <c r="FL102" s="229">
        <f t="shared" si="19"/>
        <v>0</v>
      </c>
      <c r="FM102" s="229">
        <f t="shared" si="19"/>
        <v>0</v>
      </c>
      <c r="FN102" s="229">
        <f t="shared" si="20"/>
        <v>0</v>
      </c>
      <c r="FO102" s="229">
        <f t="shared" si="20"/>
        <v>0</v>
      </c>
      <c r="FP102" s="229">
        <f t="shared" si="20"/>
        <v>0</v>
      </c>
      <c r="FQ102" s="229">
        <f t="shared" si="20"/>
        <v>0</v>
      </c>
      <c r="FR102" s="229">
        <f t="shared" si="20"/>
        <v>0</v>
      </c>
      <c r="FS102" s="229">
        <f t="shared" si="20"/>
        <v>0</v>
      </c>
      <c r="FT102" s="229">
        <f t="shared" si="20"/>
        <v>0</v>
      </c>
      <c r="FU102" s="229">
        <f t="shared" si="20"/>
        <v>0</v>
      </c>
      <c r="FV102" s="229">
        <f t="shared" si="20"/>
        <v>0</v>
      </c>
      <c r="FW102" s="229">
        <f t="shared" si="20"/>
        <v>0</v>
      </c>
      <c r="FX102" s="229">
        <f t="shared" si="21"/>
        <v>0</v>
      </c>
      <c r="FY102" s="229">
        <f t="shared" si="21"/>
        <v>0</v>
      </c>
      <c r="FZ102" s="229">
        <f t="shared" si="21"/>
        <v>0</v>
      </c>
      <c r="GA102" s="229">
        <f t="shared" si="21"/>
        <v>0</v>
      </c>
      <c r="GB102" s="229">
        <f t="shared" si="21"/>
        <v>0</v>
      </c>
      <c r="GC102" s="229">
        <f t="shared" si="21"/>
        <v>0</v>
      </c>
      <c r="GD102" s="229">
        <f t="shared" si="21"/>
        <v>0</v>
      </c>
      <c r="GE102" s="229">
        <f t="shared" si="21"/>
        <v>0</v>
      </c>
      <c r="GF102" s="229">
        <f t="shared" si="21"/>
        <v>0</v>
      </c>
      <c r="GG102" s="229">
        <f t="shared" si="21"/>
        <v>0</v>
      </c>
      <c r="GH102" s="229">
        <f t="shared" si="22"/>
        <v>0</v>
      </c>
      <c r="GI102" s="229">
        <f t="shared" si="22"/>
        <v>0</v>
      </c>
      <c r="GJ102" s="229">
        <f t="shared" si="22"/>
        <v>0</v>
      </c>
      <c r="GK102" s="229">
        <f t="shared" si="22"/>
        <v>0</v>
      </c>
      <c r="GL102" s="229">
        <f t="shared" si="22"/>
        <v>0</v>
      </c>
      <c r="GM102" s="229">
        <f t="shared" si="22"/>
        <v>0</v>
      </c>
      <c r="GN102" s="229">
        <f t="shared" si="22"/>
        <v>0</v>
      </c>
      <c r="GO102" s="229">
        <f t="shared" si="22"/>
        <v>0</v>
      </c>
      <c r="GP102" s="229">
        <f t="shared" si="22"/>
        <v>0</v>
      </c>
      <c r="GQ102" s="229">
        <f t="shared" si="22"/>
        <v>0</v>
      </c>
      <c r="GR102" s="229">
        <f t="shared" si="23"/>
        <v>0</v>
      </c>
      <c r="GS102" s="229">
        <f t="shared" si="23"/>
        <v>0</v>
      </c>
      <c r="GT102" s="229">
        <f t="shared" si="23"/>
        <v>0</v>
      </c>
      <c r="GU102" s="229">
        <f t="shared" si="23"/>
        <v>0</v>
      </c>
      <c r="GV102" s="229">
        <f t="shared" si="23"/>
        <v>0</v>
      </c>
      <c r="GW102" s="229">
        <f t="shared" si="23"/>
        <v>0</v>
      </c>
      <c r="GX102" s="229">
        <f t="shared" si="23"/>
        <v>0</v>
      </c>
      <c r="GY102" s="229">
        <f t="shared" si="23"/>
        <v>0</v>
      </c>
      <c r="GZ102" s="229">
        <f t="shared" si="23"/>
        <v>0</v>
      </c>
      <c r="HA102" s="229">
        <f t="shared" si="23"/>
        <v>0</v>
      </c>
      <c r="HB102" s="229">
        <f t="shared" si="24"/>
        <v>0</v>
      </c>
      <c r="HC102" s="229">
        <f t="shared" si="24"/>
        <v>0</v>
      </c>
      <c r="HD102" s="229">
        <f t="shared" si="24"/>
        <v>0</v>
      </c>
      <c r="HE102" s="229">
        <f t="shared" si="24"/>
        <v>0</v>
      </c>
      <c r="HF102" s="229">
        <f t="shared" si="24"/>
        <v>0</v>
      </c>
      <c r="HG102" s="229">
        <f t="shared" si="24"/>
        <v>0</v>
      </c>
      <c r="HH102" s="229">
        <f t="shared" si="24"/>
        <v>0</v>
      </c>
      <c r="HI102" s="229">
        <f t="shared" si="24"/>
        <v>0</v>
      </c>
      <c r="HJ102" s="229">
        <f t="shared" si="24"/>
        <v>0</v>
      </c>
      <c r="HK102" s="229">
        <f t="shared" si="24"/>
        <v>0</v>
      </c>
      <c r="HL102" s="229">
        <f t="shared" si="25"/>
        <v>0</v>
      </c>
      <c r="HM102" s="229">
        <f t="shared" si="25"/>
        <v>0</v>
      </c>
      <c r="HN102" s="229">
        <f t="shared" si="25"/>
        <v>0</v>
      </c>
      <c r="HO102" s="229">
        <f t="shared" si="25"/>
        <v>0</v>
      </c>
      <c r="HP102" s="229">
        <f t="shared" si="25"/>
        <v>0</v>
      </c>
      <c r="HQ102" s="229">
        <f t="shared" si="25"/>
        <v>0</v>
      </c>
      <c r="HR102" s="229">
        <f t="shared" si="25"/>
        <v>0</v>
      </c>
      <c r="HS102" s="229">
        <f t="shared" si="25"/>
        <v>0</v>
      </c>
      <c r="HT102" s="229">
        <f t="shared" si="25"/>
        <v>0</v>
      </c>
      <c r="HU102" s="229">
        <f t="shared" si="25"/>
        <v>0</v>
      </c>
      <c r="HV102" s="229">
        <f t="shared" si="26"/>
        <v>0</v>
      </c>
      <c r="HW102" s="229">
        <f t="shared" si="26"/>
        <v>0</v>
      </c>
      <c r="HX102" s="229">
        <f t="shared" si="26"/>
        <v>0</v>
      </c>
      <c r="HY102" s="229">
        <f t="shared" si="26"/>
        <v>0</v>
      </c>
      <c r="HZ102" s="229">
        <f t="shared" si="26"/>
        <v>0</v>
      </c>
      <c r="IA102" s="229">
        <f t="shared" si="26"/>
        <v>0</v>
      </c>
      <c r="IB102" s="229">
        <f t="shared" si="26"/>
        <v>0</v>
      </c>
      <c r="IC102" s="229">
        <f t="shared" si="26"/>
        <v>0</v>
      </c>
      <c r="ID102" s="229">
        <f t="shared" si="26"/>
        <v>0</v>
      </c>
      <c r="IE102" s="229">
        <f t="shared" si="26"/>
        <v>0</v>
      </c>
      <c r="IF102" s="229">
        <f t="shared" si="27"/>
        <v>0</v>
      </c>
      <c r="IG102" s="229">
        <f t="shared" si="27"/>
        <v>0</v>
      </c>
      <c r="IH102" s="229">
        <f t="shared" si="27"/>
        <v>0</v>
      </c>
      <c r="II102" s="229">
        <f t="shared" si="27"/>
        <v>0</v>
      </c>
      <c r="IJ102" s="229">
        <f t="shared" si="27"/>
        <v>0</v>
      </c>
      <c r="IK102" s="229">
        <f t="shared" si="27"/>
        <v>0</v>
      </c>
      <c r="IL102" s="229">
        <f t="shared" si="27"/>
        <v>0</v>
      </c>
      <c r="IM102" s="229">
        <f t="shared" si="27"/>
        <v>0</v>
      </c>
      <c r="IN102" s="229">
        <f t="shared" si="27"/>
        <v>0</v>
      </c>
      <c r="IO102" s="229">
        <f t="shared" si="27"/>
        <v>0</v>
      </c>
      <c r="IP102" s="229">
        <f t="shared" si="28"/>
        <v>0</v>
      </c>
      <c r="IQ102" s="229">
        <f t="shared" si="28"/>
        <v>0</v>
      </c>
      <c r="IR102" s="229">
        <f t="shared" si="28"/>
        <v>0</v>
      </c>
      <c r="IS102" s="229">
        <f t="shared" si="28"/>
        <v>0</v>
      </c>
      <c r="IT102" s="229">
        <f t="shared" si="28"/>
        <v>0</v>
      </c>
      <c r="IU102" s="229">
        <f t="shared" si="28"/>
        <v>0</v>
      </c>
      <c r="IV102" s="229">
        <f t="shared" si="28"/>
        <v>0</v>
      </c>
      <c r="IW102" s="229">
        <f t="shared" si="28"/>
        <v>0</v>
      </c>
      <c r="IX102" s="229">
        <f t="shared" si="28"/>
        <v>0</v>
      </c>
      <c r="IY102" s="229">
        <f t="shared" si="28"/>
        <v>0</v>
      </c>
      <c r="IZ102" s="229">
        <f t="shared" si="29"/>
        <v>0</v>
      </c>
      <c r="JA102" s="229">
        <f t="shared" si="29"/>
        <v>0</v>
      </c>
      <c r="JB102" s="229">
        <f t="shared" si="29"/>
        <v>0</v>
      </c>
      <c r="JC102" s="229">
        <f t="shared" si="29"/>
        <v>0</v>
      </c>
      <c r="JD102" s="229">
        <f t="shared" si="29"/>
        <v>0</v>
      </c>
      <c r="JE102" s="229">
        <f t="shared" si="29"/>
        <v>0</v>
      </c>
      <c r="JF102" s="229">
        <f t="shared" si="29"/>
        <v>0</v>
      </c>
      <c r="JG102" s="229">
        <f t="shared" si="29"/>
        <v>0</v>
      </c>
      <c r="JH102" s="229">
        <f t="shared" si="29"/>
        <v>0</v>
      </c>
      <c r="JI102" s="229">
        <f t="shared" si="29"/>
        <v>0</v>
      </c>
      <c r="JJ102" s="229">
        <f t="shared" si="30"/>
        <v>0</v>
      </c>
      <c r="JK102" s="229">
        <f t="shared" si="30"/>
        <v>0</v>
      </c>
      <c r="JL102" s="229">
        <f t="shared" si="30"/>
        <v>0</v>
      </c>
      <c r="JM102" s="229">
        <f t="shared" si="30"/>
        <v>0</v>
      </c>
      <c r="JN102" s="229">
        <f t="shared" si="30"/>
        <v>0</v>
      </c>
      <c r="JO102" s="229">
        <f t="shared" si="30"/>
        <v>0</v>
      </c>
      <c r="JP102" s="229">
        <f t="shared" si="30"/>
        <v>0</v>
      </c>
      <c r="JQ102" s="229">
        <f t="shared" si="30"/>
        <v>0</v>
      </c>
      <c r="JR102" s="229">
        <f t="shared" si="30"/>
        <v>0</v>
      </c>
      <c r="JS102" s="229">
        <f t="shared" si="30"/>
        <v>0</v>
      </c>
      <c r="JT102" s="229">
        <f t="shared" si="30"/>
        <v>0</v>
      </c>
      <c r="JU102" s="229">
        <f t="shared" si="30"/>
        <v>0</v>
      </c>
      <c r="JV102" s="229">
        <f t="shared" si="30"/>
        <v>0</v>
      </c>
    </row>
    <row r="103" spans="1:282" hidden="1" x14ac:dyDescent="0.3">
      <c r="A103" s="16"/>
      <c r="B103" s="18"/>
      <c r="C103" s="19"/>
      <c r="D103" s="20"/>
      <c r="E103" s="1136"/>
      <c r="F103" s="229">
        <f t="shared" si="31"/>
        <v>0</v>
      </c>
      <c r="G103" s="1071"/>
      <c r="H103" s="229">
        <f t="shared" si="13"/>
        <v>0</v>
      </c>
      <c r="I103" s="21"/>
      <c r="J103" s="21"/>
      <c r="K103" s="22"/>
      <c r="L103" s="229">
        <f t="shared" si="32"/>
        <v>0</v>
      </c>
      <c r="M103" s="22"/>
      <c r="P103" s="229">
        <f t="shared" ref="P103:AU103" si="41">IF(AND(P$99&gt;$B103+$J103-1,P$99&lt;=$B103+11),$F103,IF(P$99&lt;=$B103+$J103-1,0,IF(MOD(P$99-$B103,12)&lt;&gt;0,O103,$F103*IF(MOD(P$99-$B103,12)=0,(1+$M103)^((P$99-$B103)/12),0))))</f>
        <v>0</v>
      </c>
      <c r="Q103" s="229">
        <f t="shared" si="41"/>
        <v>0</v>
      </c>
      <c r="R103" s="229">
        <f t="shared" si="41"/>
        <v>0</v>
      </c>
      <c r="S103" s="229">
        <f t="shared" si="41"/>
        <v>0</v>
      </c>
      <c r="T103" s="229">
        <f t="shared" si="41"/>
        <v>0</v>
      </c>
      <c r="U103" s="229">
        <f t="shared" si="41"/>
        <v>0</v>
      </c>
      <c r="V103" s="229">
        <f t="shared" si="41"/>
        <v>0</v>
      </c>
      <c r="W103" s="229">
        <f t="shared" si="41"/>
        <v>0</v>
      </c>
      <c r="X103" s="229">
        <f t="shared" si="41"/>
        <v>0</v>
      </c>
      <c r="Y103" s="229">
        <f t="shared" si="41"/>
        <v>0</v>
      </c>
      <c r="Z103" s="229">
        <f t="shared" si="41"/>
        <v>0</v>
      </c>
      <c r="AA103" s="229">
        <f t="shared" si="41"/>
        <v>0</v>
      </c>
      <c r="AB103" s="229">
        <f t="shared" si="41"/>
        <v>0</v>
      </c>
      <c r="AC103" s="229">
        <f t="shared" si="41"/>
        <v>0</v>
      </c>
      <c r="AD103" s="229">
        <f t="shared" si="41"/>
        <v>0</v>
      </c>
      <c r="AE103" s="229">
        <f t="shared" si="41"/>
        <v>0</v>
      </c>
      <c r="AF103" s="229">
        <f t="shared" si="41"/>
        <v>0</v>
      </c>
      <c r="AG103" s="229">
        <f t="shared" si="41"/>
        <v>0</v>
      </c>
      <c r="AH103" s="229">
        <f t="shared" si="41"/>
        <v>0</v>
      </c>
      <c r="AI103" s="229">
        <f t="shared" si="41"/>
        <v>0</v>
      </c>
      <c r="AJ103" s="229">
        <f t="shared" si="41"/>
        <v>0</v>
      </c>
      <c r="AK103" s="229">
        <f t="shared" si="41"/>
        <v>0</v>
      </c>
      <c r="AL103" s="229">
        <f t="shared" si="41"/>
        <v>0</v>
      </c>
      <c r="AM103" s="229">
        <f t="shared" si="41"/>
        <v>0</v>
      </c>
      <c r="AN103" s="229">
        <f t="shared" si="41"/>
        <v>0</v>
      </c>
      <c r="AO103" s="229">
        <f t="shared" si="41"/>
        <v>0</v>
      </c>
      <c r="AP103" s="229">
        <f t="shared" si="41"/>
        <v>0</v>
      </c>
      <c r="AQ103" s="229">
        <f t="shared" si="41"/>
        <v>0</v>
      </c>
      <c r="AR103" s="229">
        <f t="shared" si="41"/>
        <v>0</v>
      </c>
      <c r="AS103" s="229">
        <f t="shared" si="41"/>
        <v>0</v>
      </c>
      <c r="AT103" s="229">
        <f t="shared" si="41"/>
        <v>0</v>
      </c>
      <c r="AU103" s="229">
        <f t="shared" si="41"/>
        <v>0</v>
      </c>
      <c r="AV103" s="229">
        <f t="shared" ref="AV103:CA103" si="42">IF(AND(AV$99&gt;$B103+$J103-1,AV$99&lt;=$B103+11),$F103,IF(AV$99&lt;=$B103+$J103-1,0,IF(MOD(AV$99-$B103,12)&lt;&gt;0,AU103,$F103*IF(MOD(AV$99-$B103,12)=0,(1+$M103)^((AV$99-$B103)/12),0))))</f>
        <v>0</v>
      </c>
      <c r="AW103" s="229">
        <f t="shared" si="42"/>
        <v>0</v>
      </c>
      <c r="AX103" s="229">
        <f t="shared" si="42"/>
        <v>0</v>
      </c>
      <c r="AY103" s="229">
        <f t="shared" si="42"/>
        <v>0</v>
      </c>
      <c r="AZ103" s="229">
        <f t="shared" si="42"/>
        <v>0</v>
      </c>
      <c r="BA103" s="229">
        <f t="shared" si="42"/>
        <v>0</v>
      </c>
      <c r="BB103" s="229">
        <f t="shared" si="42"/>
        <v>0</v>
      </c>
      <c r="BC103" s="229">
        <f t="shared" si="42"/>
        <v>0</v>
      </c>
      <c r="BD103" s="229">
        <f t="shared" si="42"/>
        <v>0</v>
      </c>
      <c r="BE103" s="229">
        <f t="shared" si="42"/>
        <v>0</v>
      </c>
      <c r="BF103" s="229">
        <f t="shared" si="42"/>
        <v>0</v>
      </c>
      <c r="BG103" s="229">
        <f t="shared" si="42"/>
        <v>0</v>
      </c>
      <c r="BH103" s="229">
        <f t="shared" si="42"/>
        <v>0</v>
      </c>
      <c r="BI103" s="229">
        <f t="shared" si="42"/>
        <v>0</v>
      </c>
      <c r="BJ103" s="229">
        <f t="shared" si="42"/>
        <v>0</v>
      </c>
      <c r="BK103" s="229">
        <f t="shared" si="42"/>
        <v>0</v>
      </c>
      <c r="BL103" s="229">
        <f t="shared" si="42"/>
        <v>0</v>
      </c>
      <c r="BM103" s="229">
        <f t="shared" si="42"/>
        <v>0</v>
      </c>
      <c r="BN103" s="229">
        <f t="shared" si="42"/>
        <v>0</v>
      </c>
      <c r="BO103" s="229">
        <f t="shared" si="42"/>
        <v>0</v>
      </c>
      <c r="BP103" s="229">
        <f t="shared" si="42"/>
        <v>0</v>
      </c>
      <c r="BQ103" s="229">
        <f t="shared" si="42"/>
        <v>0</v>
      </c>
      <c r="BR103" s="229">
        <f t="shared" si="42"/>
        <v>0</v>
      </c>
      <c r="BS103" s="229">
        <f t="shared" si="42"/>
        <v>0</v>
      </c>
      <c r="BT103" s="229">
        <f t="shared" si="42"/>
        <v>0</v>
      </c>
      <c r="BU103" s="229">
        <f t="shared" si="42"/>
        <v>0</v>
      </c>
      <c r="BV103" s="229">
        <f t="shared" si="42"/>
        <v>0</v>
      </c>
      <c r="BW103" s="229">
        <f t="shared" si="42"/>
        <v>0</v>
      </c>
      <c r="BX103" s="229">
        <f t="shared" si="42"/>
        <v>0</v>
      </c>
      <c r="BY103" s="229">
        <f t="shared" si="42"/>
        <v>0</v>
      </c>
      <c r="BZ103" s="229">
        <f t="shared" si="42"/>
        <v>0</v>
      </c>
      <c r="CA103" s="229">
        <f t="shared" si="42"/>
        <v>0</v>
      </c>
      <c r="CB103" s="229">
        <f t="shared" ref="CB103:DG103" si="43">IF(AND(CB$99&gt;$B103+$J103-1,CB$99&lt;=$B103+11),$F103,IF(CB$99&lt;=$B103+$J103-1,0,IF(MOD(CB$99-$B103,12)&lt;&gt;0,CA103,$F103*IF(MOD(CB$99-$B103,12)=0,(1+$M103)^((CB$99-$B103)/12),0))))</f>
        <v>0</v>
      </c>
      <c r="CC103" s="229">
        <f t="shared" si="43"/>
        <v>0</v>
      </c>
      <c r="CD103" s="229">
        <f t="shared" si="43"/>
        <v>0</v>
      </c>
      <c r="CE103" s="229">
        <f t="shared" si="43"/>
        <v>0</v>
      </c>
      <c r="CF103" s="229">
        <f t="shared" si="43"/>
        <v>0</v>
      </c>
      <c r="CG103" s="229">
        <f t="shared" si="43"/>
        <v>0</v>
      </c>
      <c r="CH103" s="229">
        <f t="shared" si="43"/>
        <v>0</v>
      </c>
      <c r="CI103" s="229">
        <f t="shared" si="43"/>
        <v>0</v>
      </c>
      <c r="CJ103" s="229">
        <f t="shared" si="43"/>
        <v>0</v>
      </c>
      <c r="CK103" s="229">
        <f t="shared" si="43"/>
        <v>0</v>
      </c>
      <c r="CL103" s="229">
        <f t="shared" si="43"/>
        <v>0</v>
      </c>
      <c r="CM103" s="229">
        <f t="shared" si="43"/>
        <v>0</v>
      </c>
      <c r="CN103" s="229">
        <f t="shared" si="43"/>
        <v>0</v>
      </c>
      <c r="CO103" s="229">
        <f t="shared" si="43"/>
        <v>0</v>
      </c>
      <c r="CP103" s="229">
        <f t="shared" si="43"/>
        <v>0</v>
      </c>
      <c r="CQ103" s="229">
        <f t="shared" si="43"/>
        <v>0</v>
      </c>
      <c r="CR103" s="229">
        <f t="shared" si="43"/>
        <v>0</v>
      </c>
      <c r="CS103" s="229">
        <f t="shared" si="43"/>
        <v>0</v>
      </c>
      <c r="CT103" s="229">
        <f t="shared" si="43"/>
        <v>0</v>
      </c>
      <c r="CU103" s="229">
        <f t="shared" si="43"/>
        <v>0</v>
      </c>
      <c r="CV103" s="229">
        <f t="shared" si="43"/>
        <v>0</v>
      </c>
      <c r="CW103" s="229">
        <f t="shared" si="43"/>
        <v>0</v>
      </c>
      <c r="CX103" s="229">
        <f t="shared" si="43"/>
        <v>0</v>
      </c>
      <c r="CY103" s="229">
        <f t="shared" si="43"/>
        <v>0</v>
      </c>
      <c r="CZ103" s="229">
        <f t="shared" si="43"/>
        <v>0</v>
      </c>
      <c r="DA103" s="229">
        <f t="shared" si="43"/>
        <v>0</v>
      </c>
      <c r="DB103" s="229">
        <f t="shared" si="43"/>
        <v>0</v>
      </c>
      <c r="DC103" s="229">
        <f t="shared" si="43"/>
        <v>0</v>
      </c>
      <c r="DD103" s="229">
        <f t="shared" si="43"/>
        <v>0</v>
      </c>
      <c r="DE103" s="229">
        <f t="shared" si="43"/>
        <v>0</v>
      </c>
      <c r="DF103" s="229">
        <f t="shared" si="43"/>
        <v>0</v>
      </c>
      <c r="DG103" s="229">
        <f t="shared" si="43"/>
        <v>0</v>
      </c>
      <c r="DH103" s="229">
        <f t="shared" ref="DH103:ER103" si="44">IF(AND(DH$99&gt;$B103+$J103-1,DH$99&lt;=$B103+11),$F103,IF(DH$99&lt;=$B103+$J103-1,0,IF(MOD(DH$99-$B103,12)&lt;&gt;0,DG103,$F103*IF(MOD(DH$99-$B103,12)=0,(1+$M103)^((DH$99-$B103)/12),0))))</f>
        <v>0</v>
      </c>
      <c r="DI103" s="229">
        <f t="shared" si="44"/>
        <v>0</v>
      </c>
      <c r="DJ103" s="229">
        <f t="shared" si="44"/>
        <v>0</v>
      </c>
      <c r="DK103" s="229">
        <f t="shared" si="44"/>
        <v>0</v>
      </c>
      <c r="DL103" s="229">
        <f t="shared" si="44"/>
        <v>0</v>
      </c>
      <c r="DM103" s="229">
        <f t="shared" si="44"/>
        <v>0</v>
      </c>
      <c r="DN103" s="229">
        <f t="shared" si="44"/>
        <v>0</v>
      </c>
      <c r="DO103" s="229">
        <f t="shared" si="44"/>
        <v>0</v>
      </c>
      <c r="DP103" s="229">
        <f t="shared" si="44"/>
        <v>0</v>
      </c>
      <c r="DQ103" s="229">
        <f t="shared" si="44"/>
        <v>0</v>
      </c>
      <c r="DR103" s="229">
        <f t="shared" si="44"/>
        <v>0</v>
      </c>
      <c r="DS103" s="229">
        <f t="shared" si="44"/>
        <v>0</v>
      </c>
      <c r="DT103" s="229">
        <f t="shared" si="44"/>
        <v>0</v>
      </c>
      <c r="DU103" s="229">
        <f t="shared" si="44"/>
        <v>0</v>
      </c>
      <c r="DV103" s="229">
        <f t="shared" si="44"/>
        <v>0</v>
      </c>
      <c r="DW103" s="229">
        <f t="shared" si="44"/>
        <v>0</v>
      </c>
      <c r="DX103" s="229">
        <f t="shared" si="44"/>
        <v>0</v>
      </c>
      <c r="DY103" s="229">
        <f t="shared" si="44"/>
        <v>0</v>
      </c>
      <c r="DZ103" s="229">
        <f t="shared" si="44"/>
        <v>0</v>
      </c>
      <c r="EA103" s="229">
        <f t="shared" si="44"/>
        <v>0</v>
      </c>
      <c r="EB103" s="229">
        <f t="shared" si="44"/>
        <v>0</v>
      </c>
      <c r="EC103" s="229">
        <f t="shared" si="44"/>
        <v>0</v>
      </c>
      <c r="ED103" s="229">
        <f t="shared" si="44"/>
        <v>0</v>
      </c>
      <c r="EE103" s="229">
        <f t="shared" si="44"/>
        <v>0</v>
      </c>
      <c r="EF103" s="229">
        <f t="shared" si="44"/>
        <v>0</v>
      </c>
      <c r="EG103" s="229">
        <f t="shared" si="44"/>
        <v>0</v>
      </c>
      <c r="EH103" s="229">
        <f t="shared" si="44"/>
        <v>0</v>
      </c>
      <c r="EI103" s="229">
        <f t="shared" si="44"/>
        <v>0</v>
      </c>
      <c r="EJ103" s="229">
        <f t="shared" si="44"/>
        <v>0</v>
      </c>
      <c r="EK103" s="229">
        <f t="shared" si="44"/>
        <v>0</v>
      </c>
      <c r="EL103" s="229">
        <f t="shared" si="44"/>
        <v>0</v>
      </c>
      <c r="EM103" s="229">
        <f t="shared" si="44"/>
        <v>0</v>
      </c>
      <c r="EN103" s="229">
        <f t="shared" si="44"/>
        <v>0</v>
      </c>
      <c r="EO103" s="229">
        <f t="shared" si="44"/>
        <v>0</v>
      </c>
      <c r="EP103" s="229">
        <f t="shared" si="44"/>
        <v>0</v>
      </c>
      <c r="EQ103" s="229">
        <f t="shared" si="44"/>
        <v>0</v>
      </c>
      <c r="ER103" s="229">
        <f t="shared" si="44"/>
        <v>0</v>
      </c>
      <c r="ET103" s="229">
        <f t="shared" si="18"/>
        <v>0</v>
      </c>
      <c r="EU103" s="229">
        <f t="shared" si="18"/>
        <v>0</v>
      </c>
      <c r="EV103" s="229">
        <f t="shared" si="18"/>
        <v>0</v>
      </c>
      <c r="EW103" s="229">
        <f t="shared" si="18"/>
        <v>0</v>
      </c>
      <c r="EX103" s="229">
        <f t="shared" si="18"/>
        <v>0</v>
      </c>
      <c r="EY103" s="229">
        <f t="shared" si="18"/>
        <v>0</v>
      </c>
      <c r="EZ103" s="229">
        <f t="shared" si="18"/>
        <v>0</v>
      </c>
      <c r="FA103" s="229">
        <f t="shared" si="18"/>
        <v>0</v>
      </c>
      <c r="FB103" s="229">
        <f t="shared" si="18"/>
        <v>0</v>
      </c>
      <c r="FC103" s="229">
        <f t="shared" si="18"/>
        <v>0</v>
      </c>
      <c r="FD103" s="229">
        <f t="shared" si="19"/>
        <v>0</v>
      </c>
      <c r="FE103" s="229">
        <f t="shared" si="19"/>
        <v>0</v>
      </c>
      <c r="FF103" s="229">
        <f t="shared" si="19"/>
        <v>0</v>
      </c>
      <c r="FG103" s="229">
        <f t="shared" si="19"/>
        <v>0</v>
      </c>
      <c r="FH103" s="229">
        <f t="shared" si="19"/>
        <v>0</v>
      </c>
      <c r="FI103" s="229">
        <f t="shared" si="19"/>
        <v>0</v>
      </c>
      <c r="FJ103" s="229">
        <f t="shared" si="19"/>
        <v>0</v>
      </c>
      <c r="FK103" s="229">
        <f t="shared" si="19"/>
        <v>0</v>
      </c>
      <c r="FL103" s="229">
        <f t="shared" si="19"/>
        <v>0</v>
      </c>
      <c r="FM103" s="229">
        <f t="shared" si="19"/>
        <v>0</v>
      </c>
      <c r="FN103" s="229">
        <f t="shared" si="20"/>
        <v>0</v>
      </c>
      <c r="FO103" s="229">
        <f t="shared" si="20"/>
        <v>0</v>
      </c>
      <c r="FP103" s="229">
        <f t="shared" si="20"/>
        <v>0</v>
      </c>
      <c r="FQ103" s="229">
        <f t="shared" si="20"/>
        <v>0</v>
      </c>
      <c r="FR103" s="229">
        <f t="shared" si="20"/>
        <v>0</v>
      </c>
      <c r="FS103" s="229">
        <f t="shared" si="20"/>
        <v>0</v>
      </c>
      <c r="FT103" s="229">
        <f t="shared" si="20"/>
        <v>0</v>
      </c>
      <c r="FU103" s="229">
        <f t="shared" si="20"/>
        <v>0</v>
      </c>
      <c r="FV103" s="229">
        <f t="shared" si="20"/>
        <v>0</v>
      </c>
      <c r="FW103" s="229">
        <f t="shared" si="20"/>
        <v>0</v>
      </c>
      <c r="FX103" s="229">
        <f t="shared" si="21"/>
        <v>0</v>
      </c>
      <c r="FY103" s="229">
        <f t="shared" si="21"/>
        <v>0</v>
      </c>
      <c r="FZ103" s="229">
        <f t="shared" si="21"/>
        <v>0</v>
      </c>
      <c r="GA103" s="229">
        <f t="shared" si="21"/>
        <v>0</v>
      </c>
      <c r="GB103" s="229">
        <f t="shared" si="21"/>
        <v>0</v>
      </c>
      <c r="GC103" s="229">
        <f t="shared" si="21"/>
        <v>0</v>
      </c>
      <c r="GD103" s="229">
        <f t="shared" si="21"/>
        <v>0</v>
      </c>
      <c r="GE103" s="229">
        <f t="shared" si="21"/>
        <v>0</v>
      </c>
      <c r="GF103" s="229">
        <f t="shared" si="21"/>
        <v>0</v>
      </c>
      <c r="GG103" s="229">
        <f t="shared" si="21"/>
        <v>0</v>
      </c>
      <c r="GH103" s="229">
        <f t="shared" si="22"/>
        <v>0</v>
      </c>
      <c r="GI103" s="229">
        <f t="shared" si="22"/>
        <v>0</v>
      </c>
      <c r="GJ103" s="229">
        <f t="shared" si="22"/>
        <v>0</v>
      </c>
      <c r="GK103" s="229">
        <f t="shared" si="22"/>
        <v>0</v>
      </c>
      <c r="GL103" s="229">
        <f t="shared" si="22"/>
        <v>0</v>
      </c>
      <c r="GM103" s="229">
        <f t="shared" si="22"/>
        <v>0</v>
      </c>
      <c r="GN103" s="229">
        <f t="shared" si="22"/>
        <v>0</v>
      </c>
      <c r="GO103" s="229">
        <f t="shared" si="22"/>
        <v>0</v>
      </c>
      <c r="GP103" s="229">
        <f t="shared" si="22"/>
        <v>0</v>
      </c>
      <c r="GQ103" s="229">
        <f t="shared" si="22"/>
        <v>0</v>
      </c>
      <c r="GR103" s="229">
        <f t="shared" si="23"/>
        <v>0</v>
      </c>
      <c r="GS103" s="229">
        <f t="shared" si="23"/>
        <v>0</v>
      </c>
      <c r="GT103" s="229">
        <f t="shared" si="23"/>
        <v>0</v>
      </c>
      <c r="GU103" s="229">
        <f t="shared" si="23"/>
        <v>0</v>
      </c>
      <c r="GV103" s="229">
        <f t="shared" si="23"/>
        <v>0</v>
      </c>
      <c r="GW103" s="229">
        <f t="shared" si="23"/>
        <v>0</v>
      </c>
      <c r="GX103" s="229">
        <f t="shared" si="23"/>
        <v>0</v>
      </c>
      <c r="GY103" s="229">
        <f t="shared" si="23"/>
        <v>0</v>
      </c>
      <c r="GZ103" s="229">
        <f t="shared" si="23"/>
        <v>0</v>
      </c>
      <c r="HA103" s="229">
        <f t="shared" si="23"/>
        <v>0</v>
      </c>
      <c r="HB103" s="229">
        <f t="shared" si="24"/>
        <v>0</v>
      </c>
      <c r="HC103" s="229">
        <f t="shared" si="24"/>
        <v>0</v>
      </c>
      <c r="HD103" s="229">
        <f t="shared" si="24"/>
        <v>0</v>
      </c>
      <c r="HE103" s="229">
        <f t="shared" si="24"/>
        <v>0</v>
      </c>
      <c r="HF103" s="229">
        <f t="shared" si="24"/>
        <v>0</v>
      </c>
      <c r="HG103" s="229">
        <f t="shared" si="24"/>
        <v>0</v>
      </c>
      <c r="HH103" s="229">
        <f t="shared" si="24"/>
        <v>0</v>
      </c>
      <c r="HI103" s="229">
        <f t="shared" si="24"/>
        <v>0</v>
      </c>
      <c r="HJ103" s="229">
        <f t="shared" si="24"/>
        <v>0</v>
      </c>
      <c r="HK103" s="229">
        <f t="shared" si="24"/>
        <v>0</v>
      </c>
      <c r="HL103" s="229">
        <f t="shared" si="25"/>
        <v>0</v>
      </c>
      <c r="HM103" s="229">
        <f t="shared" si="25"/>
        <v>0</v>
      </c>
      <c r="HN103" s="229">
        <f t="shared" si="25"/>
        <v>0</v>
      </c>
      <c r="HO103" s="229">
        <f t="shared" si="25"/>
        <v>0</v>
      </c>
      <c r="HP103" s="229">
        <f t="shared" si="25"/>
        <v>0</v>
      </c>
      <c r="HQ103" s="229">
        <f t="shared" si="25"/>
        <v>0</v>
      </c>
      <c r="HR103" s="229">
        <f t="shared" si="25"/>
        <v>0</v>
      </c>
      <c r="HS103" s="229">
        <f t="shared" si="25"/>
        <v>0</v>
      </c>
      <c r="HT103" s="229">
        <f t="shared" si="25"/>
        <v>0</v>
      </c>
      <c r="HU103" s="229">
        <f t="shared" si="25"/>
        <v>0</v>
      </c>
      <c r="HV103" s="229">
        <f t="shared" si="26"/>
        <v>0</v>
      </c>
      <c r="HW103" s="229">
        <f t="shared" si="26"/>
        <v>0</v>
      </c>
      <c r="HX103" s="229">
        <f t="shared" si="26"/>
        <v>0</v>
      </c>
      <c r="HY103" s="229">
        <f t="shared" si="26"/>
        <v>0</v>
      </c>
      <c r="HZ103" s="229">
        <f t="shared" si="26"/>
        <v>0</v>
      </c>
      <c r="IA103" s="229">
        <f t="shared" si="26"/>
        <v>0</v>
      </c>
      <c r="IB103" s="229">
        <f t="shared" si="26"/>
        <v>0</v>
      </c>
      <c r="IC103" s="229">
        <f t="shared" si="26"/>
        <v>0</v>
      </c>
      <c r="ID103" s="229">
        <f t="shared" si="26"/>
        <v>0</v>
      </c>
      <c r="IE103" s="229">
        <f t="shared" si="26"/>
        <v>0</v>
      </c>
      <c r="IF103" s="229">
        <f t="shared" si="27"/>
        <v>0</v>
      </c>
      <c r="IG103" s="229">
        <f t="shared" si="27"/>
        <v>0</v>
      </c>
      <c r="IH103" s="229">
        <f t="shared" si="27"/>
        <v>0</v>
      </c>
      <c r="II103" s="229">
        <f t="shared" si="27"/>
        <v>0</v>
      </c>
      <c r="IJ103" s="229">
        <f t="shared" si="27"/>
        <v>0</v>
      </c>
      <c r="IK103" s="229">
        <f t="shared" si="27"/>
        <v>0</v>
      </c>
      <c r="IL103" s="229">
        <f t="shared" si="27"/>
        <v>0</v>
      </c>
      <c r="IM103" s="229">
        <f t="shared" si="27"/>
        <v>0</v>
      </c>
      <c r="IN103" s="229">
        <f t="shared" si="27"/>
        <v>0</v>
      </c>
      <c r="IO103" s="229">
        <f t="shared" si="27"/>
        <v>0</v>
      </c>
      <c r="IP103" s="229">
        <f t="shared" si="28"/>
        <v>0</v>
      </c>
      <c r="IQ103" s="229">
        <f t="shared" si="28"/>
        <v>0</v>
      </c>
      <c r="IR103" s="229">
        <f t="shared" si="28"/>
        <v>0</v>
      </c>
      <c r="IS103" s="229">
        <f t="shared" si="28"/>
        <v>0</v>
      </c>
      <c r="IT103" s="229">
        <f t="shared" si="28"/>
        <v>0</v>
      </c>
      <c r="IU103" s="229">
        <f t="shared" si="28"/>
        <v>0</v>
      </c>
      <c r="IV103" s="229">
        <f t="shared" si="28"/>
        <v>0</v>
      </c>
      <c r="IW103" s="229">
        <f t="shared" si="28"/>
        <v>0</v>
      </c>
      <c r="IX103" s="229">
        <f t="shared" si="28"/>
        <v>0</v>
      </c>
      <c r="IY103" s="229">
        <f t="shared" si="28"/>
        <v>0</v>
      </c>
      <c r="IZ103" s="229">
        <f t="shared" si="29"/>
        <v>0</v>
      </c>
      <c r="JA103" s="229">
        <f t="shared" si="29"/>
        <v>0</v>
      </c>
      <c r="JB103" s="229">
        <f t="shared" si="29"/>
        <v>0</v>
      </c>
      <c r="JC103" s="229">
        <f t="shared" si="29"/>
        <v>0</v>
      </c>
      <c r="JD103" s="229">
        <f t="shared" si="29"/>
        <v>0</v>
      </c>
      <c r="JE103" s="229">
        <f t="shared" si="29"/>
        <v>0</v>
      </c>
      <c r="JF103" s="229">
        <f t="shared" si="29"/>
        <v>0</v>
      </c>
      <c r="JG103" s="229">
        <f t="shared" si="29"/>
        <v>0</v>
      </c>
      <c r="JH103" s="229">
        <f t="shared" si="29"/>
        <v>0</v>
      </c>
      <c r="JI103" s="229">
        <f t="shared" si="29"/>
        <v>0</v>
      </c>
      <c r="JJ103" s="229">
        <f t="shared" si="30"/>
        <v>0</v>
      </c>
      <c r="JK103" s="229">
        <f t="shared" si="30"/>
        <v>0</v>
      </c>
      <c r="JL103" s="229">
        <f t="shared" si="30"/>
        <v>0</v>
      </c>
      <c r="JM103" s="229">
        <f t="shared" si="30"/>
        <v>0</v>
      </c>
      <c r="JN103" s="229">
        <f t="shared" si="30"/>
        <v>0</v>
      </c>
      <c r="JO103" s="229">
        <f t="shared" si="30"/>
        <v>0</v>
      </c>
      <c r="JP103" s="229">
        <f t="shared" si="30"/>
        <v>0</v>
      </c>
      <c r="JQ103" s="229">
        <f t="shared" si="30"/>
        <v>0</v>
      </c>
      <c r="JR103" s="229">
        <f t="shared" si="30"/>
        <v>0</v>
      </c>
      <c r="JS103" s="229">
        <f t="shared" si="30"/>
        <v>0</v>
      </c>
      <c r="JT103" s="229">
        <f t="shared" si="30"/>
        <v>0</v>
      </c>
      <c r="JU103" s="229">
        <f t="shared" si="30"/>
        <v>0</v>
      </c>
      <c r="JV103" s="229">
        <f t="shared" si="30"/>
        <v>0</v>
      </c>
    </row>
    <row r="104" spans="1:282" hidden="1" x14ac:dyDescent="0.3">
      <c r="A104" s="16"/>
      <c r="B104" s="18"/>
      <c r="C104" s="19"/>
      <c r="D104" s="20"/>
      <c r="E104" s="1136"/>
      <c r="F104" s="229">
        <f t="shared" si="31"/>
        <v>0</v>
      </c>
      <c r="G104" s="1071"/>
      <c r="H104" s="229">
        <f t="shared" si="13"/>
        <v>0</v>
      </c>
      <c r="I104" s="21"/>
      <c r="J104" s="21"/>
      <c r="K104" s="22"/>
      <c r="L104" s="229">
        <f t="shared" si="32"/>
        <v>0</v>
      </c>
      <c r="M104" s="22"/>
      <c r="P104" s="229">
        <f t="shared" ref="P104:AU104" si="45">IF(AND(P$99&gt;$B104+$J104-1,P$99&lt;=$B104+11),$F104,IF(P$99&lt;=$B104+$J104-1,0,IF(MOD(P$99-$B104,12)&lt;&gt;0,O104,$F104*IF(MOD(P$99-$B104,12)=0,(1+$M104)^((P$99-$B104)/12),0))))</f>
        <v>0</v>
      </c>
      <c r="Q104" s="229">
        <f t="shared" si="45"/>
        <v>0</v>
      </c>
      <c r="R104" s="229">
        <f t="shared" si="45"/>
        <v>0</v>
      </c>
      <c r="S104" s="229">
        <f t="shared" si="45"/>
        <v>0</v>
      </c>
      <c r="T104" s="229">
        <f t="shared" si="45"/>
        <v>0</v>
      </c>
      <c r="U104" s="229">
        <f t="shared" si="45"/>
        <v>0</v>
      </c>
      <c r="V104" s="229">
        <f t="shared" si="45"/>
        <v>0</v>
      </c>
      <c r="W104" s="229">
        <f t="shared" si="45"/>
        <v>0</v>
      </c>
      <c r="X104" s="229">
        <f t="shared" si="45"/>
        <v>0</v>
      </c>
      <c r="Y104" s="229">
        <f t="shared" si="45"/>
        <v>0</v>
      </c>
      <c r="Z104" s="229">
        <f t="shared" si="45"/>
        <v>0</v>
      </c>
      <c r="AA104" s="229">
        <f t="shared" si="45"/>
        <v>0</v>
      </c>
      <c r="AB104" s="229">
        <f t="shared" si="45"/>
        <v>0</v>
      </c>
      <c r="AC104" s="229">
        <f t="shared" si="45"/>
        <v>0</v>
      </c>
      <c r="AD104" s="229">
        <f t="shared" si="45"/>
        <v>0</v>
      </c>
      <c r="AE104" s="229">
        <f t="shared" si="45"/>
        <v>0</v>
      </c>
      <c r="AF104" s="229">
        <f t="shared" si="45"/>
        <v>0</v>
      </c>
      <c r="AG104" s="229">
        <f t="shared" si="45"/>
        <v>0</v>
      </c>
      <c r="AH104" s="229">
        <f t="shared" si="45"/>
        <v>0</v>
      </c>
      <c r="AI104" s="229">
        <f t="shared" si="45"/>
        <v>0</v>
      </c>
      <c r="AJ104" s="229">
        <f t="shared" si="45"/>
        <v>0</v>
      </c>
      <c r="AK104" s="229">
        <f t="shared" si="45"/>
        <v>0</v>
      </c>
      <c r="AL104" s="229">
        <f t="shared" si="45"/>
        <v>0</v>
      </c>
      <c r="AM104" s="229">
        <f t="shared" si="45"/>
        <v>0</v>
      </c>
      <c r="AN104" s="229">
        <f t="shared" si="45"/>
        <v>0</v>
      </c>
      <c r="AO104" s="229">
        <f t="shared" si="45"/>
        <v>0</v>
      </c>
      <c r="AP104" s="229">
        <f t="shared" si="45"/>
        <v>0</v>
      </c>
      <c r="AQ104" s="229">
        <f t="shared" si="45"/>
        <v>0</v>
      </c>
      <c r="AR104" s="229">
        <f t="shared" si="45"/>
        <v>0</v>
      </c>
      <c r="AS104" s="229">
        <f t="shared" si="45"/>
        <v>0</v>
      </c>
      <c r="AT104" s="229">
        <f t="shared" si="45"/>
        <v>0</v>
      </c>
      <c r="AU104" s="229">
        <f t="shared" si="45"/>
        <v>0</v>
      </c>
      <c r="AV104" s="229">
        <f t="shared" ref="AV104:CA104" si="46">IF(AND(AV$99&gt;$B104+$J104-1,AV$99&lt;=$B104+11),$F104,IF(AV$99&lt;=$B104+$J104-1,0,IF(MOD(AV$99-$B104,12)&lt;&gt;0,AU104,$F104*IF(MOD(AV$99-$B104,12)=0,(1+$M104)^((AV$99-$B104)/12),0))))</f>
        <v>0</v>
      </c>
      <c r="AW104" s="229">
        <f t="shared" si="46"/>
        <v>0</v>
      </c>
      <c r="AX104" s="229">
        <f t="shared" si="46"/>
        <v>0</v>
      </c>
      <c r="AY104" s="229">
        <f t="shared" si="46"/>
        <v>0</v>
      </c>
      <c r="AZ104" s="229">
        <f t="shared" si="46"/>
        <v>0</v>
      </c>
      <c r="BA104" s="229">
        <f t="shared" si="46"/>
        <v>0</v>
      </c>
      <c r="BB104" s="229">
        <f t="shared" si="46"/>
        <v>0</v>
      </c>
      <c r="BC104" s="229">
        <f t="shared" si="46"/>
        <v>0</v>
      </c>
      <c r="BD104" s="229">
        <f t="shared" si="46"/>
        <v>0</v>
      </c>
      <c r="BE104" s="229">
        <f t="shared" si="46"/>
        <v>0</v>
      </c>
      <c r="BF104" s="229">
        <f t="shared" si="46"/>
        <v>0</v>
      </c>
      <c r="BG104" s="229">
        <f t="shared" si="46"/>
        <v>0</v>
      </c>
      <c r="BH104" s="229">
        <f t="shared" si="46"/>
        <v>0</v>
      </c>
      <c r="BI104" s="229">
        <f t="shared" si="46"/>
        <v>0</v>
      </c>
      <c r="BJ104" s="229">
        <f t="shared" si="46"/>
        <v>0</v>
      </c>
      <c r="BK104" s="229">
        <f t="shared" si="46"/>
        <v>0</v>
      </c>
      <c r="BL104" s="229">
        <f t="shared" si="46"/>
        <v>0</v>
      </c>
      <c r="BM104" s="229">
        <f t="shared" si="46"/>
        <v>0</v>
      </c>
      <c r="BN104" s="229">
        <f t="shared" si="46"/>
        <v>0</v>
      </c>
      <c r="BO104" s="229">
        <f t="shared" si="46"/>
        <v>0</v>
      </c>
      <c r="BP104" s="229">
        <f t="shared" si="46"/>
        <v>0</v>
      </c>
      <c r="BQ104" s="229">
        <f t="shared" si="46"/>
        <v>0</v>
      </c>
      <c r="BR104" s="229">
        <f t="shared" si="46"/>
        <v>0</v>
      </c>
      <c r="BS104" s="229">
        <f t="shared" si="46"/>
        <v>0</v>
      </c>
      <c r="BT104" s="229">
        <f t="shared" si="46"/>
        <v>0</v>
      </c>
      <c r="BU104" s="229">
        <f t="shared" si="46"/>
        <v>0</v>
      </c>
      <c r="BV104" s="229">
        <f t="shared" si="46"/>
        <v>0</v>
      </c>
      <c r="BW104" s="229">
        <f t="shared" si="46"/>
        <v>0</v>
      </c>
      <c r="BX104" s="229">
        <f t="shared" si="46"/>
        <v>0</v>
      </c>
      <c r="BY104" s="229">
        <f t="shared" si="46"/>
        <v>0</v>
      </c>
      <c r="BZ104" s="229">
        <f t="shared" si="46"/>
        <v>0</v>
      </c>
      <c r="CA104" s="229">
        <f t="shared" si="46"/>
        <v>0</v>
      </c>
      <c r="CB104" s="229">
        <f t="shared" ref="CB104:DG104" si="47">IF(AND(CB$99&gt;$B104+$J104-1,CB$99&lt;=$B104+11),$F104,IF(CB$99&lt;=$B104+$J104-1,0,IF(MOD(CB$99-$B104,12)&lt;&gt;0,CA104,$F104*IF(MOD(CB$99-$B104,12)=0,(1+$M104)^((CB$99-$B104)/12),0))))</f>
        <v>0</v>
      </c>
      <c r="CC104" s="229">
        <f t="shared" si="47"/>
        <v>0</v>
      </c>
      <c r="CD104" s="229">
        <f t="shared" si="47"/>
        <v>0</v>
      </c>
      <c r="CE104" s="229">
        <f t="shared" si="47"/>
        <v>0</v>
      </c>
      <c r="CF104" s="229">
        <f t="shared" si="47"/>
        <v>0</v>
      </c>
      <c r="CG104" s="229">
        <f t="shared" si="47"/>
        <v>0</v>
      </c>
      <c r="CH104" s="229">
        <f t="shared" si="47"/>
        <v>0</v>
      </c>
      <c r="CI104" s="229">
        <f t="shared" si="47"/>
        <v>0</v>
      </c>
      <c r="CJ104" s="229">
        <f t="shared" si="47"/>
        <v>0</v>
      </c>
      <c r="CK104" s="229">
        <f t="shared" si="47"/>
        <v>0</v>
      </c>
      <c r="CL104" s="229">
        <f t="shared" si="47"/>
        <v>0</v>
      </c>
      <c r="CM104" s="229">
        <f t="shared" si="47"/>
        <v>0</v>
      </c>
      <c r="CN104" s="229">
        <f t="shared" si="47"/>
        <v>0</v>
      </c>
      <c r="CO104" s="229">
        <f t="shared" si="47"/>
        <v>0</v>
      </c>
      <c r="CP104" s="229">
        <f t="shared" si="47"/>
        <v>0</v>
      </c>
      <c r="CQ104" s="229">
        <f t="shared" si="47"/>
        <v>0</v>
      </c>
      <c r="CR104" s="229">
        <f t="shared" si="47"/>
        <v>0</v>
      </c>
      <c r="CS104" s="229">
        <f t="shared" si="47"/>
        <v>0</v>
      </c>
      <c r="CT104" s="229">
        <f t="shared" si="47"/>
        <v>0</v>
      </c>
      <c r="CU104" s="229">
        <f t="shared" si="47"/>
        <v>0</v>
      </c>
      <c r="CV104" s="229">
        <f t="shared" si="47"/>
        <v>0</v>
      </c>
      <c r="CW104" s="229">
        <f t="shared" si="47"/>
        <v>0</v>
      </c>
      <c r="CX104" s="229">
        <f t="shared" si="47"/>
        <v>0</v>
      </c>
      <c r="CY104" s="229">
        <f t="shared" si="47"/>
        <v>0</v>
      </c>
      <c r="CZ104" s="229">
        <f t="shared" si="47"/>
        <v>0</v>
      </c>
      <c r="DA104" s="229">
        <f t="shared" si="47"/>
        <v>0</v>
      </c>
      <c r="DB104" s="229">
        <f t="shared" si="47"/>
        <v>0</v>
      </c>
      <c r="DC104" s="229">
        <f t="shared" si="47"/>
        <v>0</v>
      </c>
      <c r="DD104" s="229">
        <f t="shared" si="47"/>
        <v>0</v>
      </c>
      <c r="DE104" s="229">
        <f t="shared" si="47"/>
        <v>0</v>
      </c>
      <c r="DF104" s="229">
        <f t="shared" si="47"/>
        <v>0</v>
      </c>
      <c r="DG104" s="229">
        <f t="shared" si="47"/>
        <v>0</v>
      </c>
      <c r="DH104" s="229">
        <f t="shared" ref="DH104:ER104" si="48">IF(AND(DH$99&gt;$B104+$J104-1,DH$99&lt;=$B104+11),$F104,IF(DH$99&lt;=$B104+$J104-1,0,IF(MOD(DH$99-$B104,12)&lt;&gt;0,DG104,$F104*IF(MOD(DH$99-$B104,12)=0,(1+$M104)^((DH$99-$B104)/12),0))))</f>
        <v>0</v>
      </c>
      <c r="DI104" s="229">
        <f t="shared" si="48"/>
        <v>0</v>
      </c>
      <c r="DJ104" s="229">
        <f t="shared" si="48"/>
        <v>0</v>
      </c>
      <c r="DK104" s="229">
        <f t="shared" si="48"/>
        <v>0</v>
      </c>
      <c r="DL104" s="229">
        <f t="shared" si="48"/>
        <v>0</v>
      </c>
      <c r="DM104" s="229">
        <f t="shared" si="48"/>
        <v>0</v>
      </c>
      <c r="DN104" s="229">
        <f t="shared" si="48"/>
        <v>0</v>
      </c>
      <c r="DO104" s="229">
        <f t="shared" si="48"/>
        <v>0</v>
      </c>
      <c r="DP104" s="229">
        <f t="shared" si="48"/>
        <v>0</v>
      </c>
      <c r="DQ104" s="229">
        <f t="shared" si="48"/>
        <v>0</v>
      </c>
      <c r="DR104" s="229">
        <f t="shared" si="48"/>
        <v>0</v>
      </c>
      <c r="DS104" s="229">
        <f t="shared" si="48"/>
        <v>0</v>
      </c>
      <c r="DT104" s="229">
        <f t="shared" si="48"/>
        <v>0</v>
      </c>
      <c r="DU104" s="229">
        <f t="shared" si="48"/>
        <v>0</v>
      </c>
      <c r="DV104" s="229">
        <f t="shared" si="48"/>
        <v>0</v>
      </c>
      <c r="DW104" s="229">
        <f t="shared" si="48"/>
        <v>0</v>
      </c>
      <c r="DX104" s="229">
        <f t="shared" si="48"/>
        <v>0</v>
      </c>
      <c r="DY104" s="229">
        <f t="shared" si="48"/>
        <v>0</v>
      </c>
      <c r="DZ104" s="229">
        <f t="shared" si="48"/>
        <v>0</v>
      </c>
      <c r="EA104" s="229">
        <f t="shared" si="48"/>
        <v>0</v>
      </c>
      <c r="EB104" s="229">
        <f t="shared" si="48"/>
        <v>0</v>
      </c>
      <c r="EC104" s="229">
        <f t="shared" si="48"/>
        <v>0</v>
      </c>
      <c r="ED104" s="229">
        <f t="shared" si="48"/>
        <v>0</v>
      </c>
      <c r="EE104" s="229">
        <f t="shared" si="48"/>
        <v>0</v>
      </c>
      <c r="EF104" s="229">
        <f t="shared" si="48"/>
        <v>0</v>
      </c>
      <c r="EG104" s="229">
        <f t="shared" si="48"/>
        <v>0</v>
      </c>
      <c r="EH104" s="229">
        <f t="shared" si="48"/>
        <v>0</v>
      </c>
      <c r="EI104" s="229">
        <f t="shared" si="48"/>
        <v>0</v>
      </c>
      <c r="EJ104" s="229">
        <f t="shared" si="48"/>
        <v>0</v>
      </c>
      <c r="EK104" s="229">
        <f t="shared" si="48"/>
        <v>0</v>
      </c>
      <c r="EL104" s="229">
        <f t="shared" si="48"/>
        <v>0</v>
      </c>
      <c r="EM104" s="229">
        <f t="shared" si="48"/>
        <v>0</v>
      </c>
      <c r="EN104" s="229">
        <f t="shared" si="48"/>
        <v>0</v>
      </c>
      <c r="EO104" s="229">
        <f t="shared" si="48"/>
        <v>0</v>
      </c>
      <c r="EP104" s="229">
        <f t="shared" si="48"/>
        <v>0</v>
      </c>
      <c r="EQ104" s="229">
        <f t="shared" si="48"/>
        <v>0</v>
      </c>
      <c r="ER104" s="229">
        <f t="shared" si="48"/>
        <v>0</v>
      </c>
      <c r="ET104" s="229">
        <f t="shared" si="18"/>
        <v>0</v>
      </c>
      <c r="EU104" s="229">
        <f t="shared" si="18"/>
        <v>0</v>
      </c>
      <c r="EV104" s="229">
        <f t="shared" si="18"/>
        <v>0</v>
      </c>
      <c r="EW104" s="229">
        <f t="shared" si="18"/>
        <v>0</v>
      </c>
      <c r="EX104" s="229">
        <f t="shared" si="18"/>
        <v>0</v>
      </c>
      <c r="EY104" s="229">
        <f t="shared" si="18"/>
        <v>0</v>
      </c>
      <c r="EZ104" s="229">
        <f t="shared" si="18"/>
        <v>0</v>
      </c>
      <c r="FA104" s="229">
        <f t="shared" si="18"/>
        <v>0</v>
      </c>
      <c r="FB104" s="229">
        <f t="shared" si="18"/>
        <v>0</v>
      </c>
      <c r="FC104" s="229">
        <f t="shared" si="18"/>
        <v>0</v>
      </c>
      <c r="FD104" s="229">
        <f t="shared" si="19"/>
        <v>0</v>
      </c>
      <c r="FE104" s="229">
        <f t="shared" si="19"/>
        <v>0</v>
      </c>
      <c r="FF104" s="229">
        <f t="shared" si="19"/>
        <v>0</v>
      </c>
      <c r="FG104" s="229">
        <f t="shared" si="19"/>
        <v>0</v>
      </c>
      <c r="FH104" s="229">
        <f t="shared" si="19"/>
        <v>0</v>
      </c>
      <c r="FI104" s="229">
        <f t="shared" si="19"/>
        <v>0</v>
      </c>
      <c r="FJ104" s="229">
        <f t="shared" si="19"/>
        <v>0</v>
      </c>
      <c r="FK104" s="229">
        <f t="shared" si="19"/>
        <v>0</v>
      </c>
      <c r="FL104" s="229">
        <f t="shared" si="19"/>
        <v>0</v>
      </c>
      <c r="FM104" s="229">
        <f t="shared" si="19"/>
        <v>0</v>
      </c>
      <c r="FN104" s="229">
        <f t="shared" si="20"/>
        <v>0</v>
      </c>
      <c r="FO104" s="229">
        <f t="shared" si="20"/>
        <v>0</v>
      </c>
      <c r="FP104" s="229">
        <f t="shared" si="20"/>
        <v>0</v>
      </c>
      <c r="FQ104" s="229">
        <f t="shared" si="20"/>
        <v>0</v>
      </c>
      <c r="FR104" s="229">
        <f t="shared" si="20"/>
        <v>0</v>
      </c>
      <c r="FS104" s="229">
        <f t="shared" si="20"/>
        <v>0</v>
      </c>
      <c r="FT104" s="229">
        <f t="shared" si="20"/>
        <v>0</v>
      </c>
      <c r="FU104" s="229">
        <f t="shared" si="20"/>
        <v>0</v>
      </c>
      <c r="FV104" s="229">
        <f t="shared" si="20"/>
        <v>0</v>
      </c>
      <c r="FW104" s="229">
        <f t="shared" si="20"/>
        <v>0</v>
      </c>
      <c r="FX104" s="229">
        <f t="shared" si="21"/>
        <v>0</v>
      </c>
      <c r="FY104" s="229">
        <f t="shared" si="21"/>
        <v>0</v>
      </c>
      <c r="FZ104" s="229">
        <f t="shared" si="21"/>
        <v>0</v>
      </c>
      <c r="GA104" s="229">
        <f t="shared" si="21"/>
        <v>0</v>
      </c>
      <c r="GB104" s="229">
        <f t="shared" si="21"/>
        <v>0</v>
      </c>
      <c r="GC104" s="229">
        <f t="shared" si="21"/>
        <v>0</v>
      </c>
      <c r="GD104" s="229">
        <f t="shared" si="21"/>
        <v>0</v>
      </c>
      <c r="GE104" s="229">
        <f t="shared" si="21"/>
        <v>0</v>
      </c>
      <c r="GF104" s="229">
        <f t="shared" si="21"/>
        <v>0</v>
      </c>
      <c r="GG104" s="229">
        <f t="shared" si="21"/>
        <v>0</v>
      </c>
      <c r="GH104" s="229">
        <f t="shared" si="22"/>
        <v>0</v>
      </c>
      <c r="GI104" s="229">
        <f t="shared" si="22"/>
        <v>0</v>
      </c>
      <c r="GJ104" s="229">
        <f t="shared" si="22"/>
        <v>0</v>
      </c>
      <c r="GK104" s="229">
        <f t="shared" si="22"/>
        <v>0</v>
      </c>
      <c r="GL104" s="229">
        <f t="shared" si="22"/>
        <v>0</v>
      </c>
      <c r="GM104" s="229">
        <f t="shared" si="22"/>
        <v>0</v>
      </c>
      <c r="GN104" s="229">
        <f t="shared" si="22"/>
        <v>0</v>
      </c>
      <c r="GO104" s="229">
        <f t="shared" si="22"/>
        <v>0</v>
      </c>
      <c r="GP104" s="229">
        <f t="shared" si="22"/>
        <v>0</v>
      </c>
      <c r="GQ104" s="229">
        <f t="shared" si="22"/>
        <v>0</v>
      </c>
      <c r="GR104" s="229">
        <f t="shared" si="23"/>
        <v>0</v>
      </c>
      <c r="GS104" s="229">
        <f t="shared" si="23"/>
        <v>0</v>
      </c>
      <c r="GT104" s="229">
        <f t="shared" si="23"/>
        <v>0</v>
      </c>
      <c r="GU104" s="229">
        <f t="shared" si="23"/>
        <v>0</v>
      </c>
      <c r="GV104" s="229">
        <f t="shared" si="23"/>
        <v>0</v>
      </c>
      <c r="GW104" s="229">
        <f t="shared" si="23"/>
        <v>0</v>
      </c>
      <c r="GX104" s="229">
        <f t="shared" si="23"/>
        <v>0</v>
      </c>
      <c r="GY104" s="229">
        <f t="shared" si="23"/>
        <v>0</v>
      </c>
      <c r="GZ104" s="229">
        <f t="shared" si="23"/>
        <v>0</v>
      </c>
      <c r="HA104" s="229">
        <f t="shared" si="23"/>
        <v>0</v>
      </c>
      <c r="HB104" s="229">
        <f t="shared" si="24"/>
        <v>0</v>
      </c>
      <c r="HC104" s="229">
        <f t="shared" si="24"/>
        <v>0</v>
      </c>
      <c r="HD104" s="229">
        <f t="shared" si="24"/>
        <v>0</v>
      </c>
      <c r="HE104" s="229">
        <f t="shared" si="24"/>
        <v>0</v>
      </c>
      <c r="HF104" s="229">
        <f t="shared" si="24"/>
        <v>0</v>
      </c>
      <c r="HG104" s="229">
        <f t="shared" si="24"/>
        <v>0</v>
      </c>
      <c r="HH104" s="229">
        <f t="shared" si="24"/>
        <v>0</v>
      </c>
      <c r="HI104" s="229">
        <f t="shared" si="24"/>
        <v>0</v>
      </c>
      <c r="HJ104" s="229">
        <f t="shared" si="24"/>
        <v>0</v>
      </c>
      <c r="HK104" s="229">
        <f t="shared" si="24"/>
        <v>0</v>
      </c>
      <c r="HL104" s="229">
        <f t="shared" si="25"/>
        <v>0</v>
      </c>
      <c r="HM104" s="229">
        <f t="shared" si="25"/>
        <v>0</v>
      </c>
      <c r="HN104" s="229">
        <f t="shared" si="25"/>
        <v>0</v>
      </c>
      <c r="HO104" s="229">
        <f t="shared" si="25"/>
        <v>0</v>
      </c>
      <c r="HP104" s="229">
        <f t="shared" si="25"/>
        <v>0</v>
      </c>
      <c r="HQ104" s="229">
        <f t="shared" si="25"/>
        <v>0</v>
      </c>
      <c r="HR104" s="229">
        <f t="shared" si="25"/>
        <v>0</v>
      </c>
      <c r="HS104" s="229">
        <f t="shared" si="25"/>
        <v>0</v>
      </c>
      <c r="HT104" s="229">
        <f t="shared" si="25"/>
        <v>0</v>
      </c>
      <c r="HU104" s="229">
        <f t="shared" si="25"/>
        <v>0</v>
      </c>
      <c r="HV104" s="229">
        <f t="shared" si="26"/>
        <v>0</v>
      </c>
      <c r="HW104" s="229">
        <f t="shared" si="26"/>
        <v>0</v>
      </c>
      <c r="HX104" s="229">
        <f t="shared" si="26"/>
        <v>0</v>
      </c>
      <c r="HY104" s="229">
        <f t="shared" si="26"/>
        <v>0</v>
      </c>
      <c r="HZ104" s="229">
        <f t="shared" si="26"/>
        <v>0</v>
      </c>
      <c r="IA104" s="229">
        <f t="shared" si="26"/>
        <v>0</v>
      </c>
      <c r="IB104" s="229">
        <f t="shared" si="26"/>
        <v>0</v>
      </c>
      <c r="IC104" s="229">
        <f t="shared" si="26"/>
        <v>0</v>
      </c>
      <c r="ID104" s="229">
        <f t="shared" si="26"/>
        <v>0</v>
      </c>
      <c r="IE104" s="229">
        <f t="shared" si="26"/>
        <v>0</v>
      </c>
      <c r="IF104" s="229">
        <f t="shared" si="27"/>
        <v>0</v>
      </c>
      <c r="IG104" s="229">
        <f t="shared" si="27"/>
        <v>0</v>
      </c>
      <c r="IH104" s="229">
        <f t="shared" si="27"/>
        <v>0</v>
      </c>
      <c r="II104" s="229">
        <f t="shared" si="27"/>
        <v>0</v>
      </c>
      <c r="IJ104" s="229">
        <f t="shared" si="27"/>
        <v>0</v>
      </c>
      <c r="IK104" s="229">
        <f t="shared" si="27"/>
        <v>0</v>
      </c>
      <c r="IL104" s="229">
        <f t="shared" si="27"/>
        <v>0</v>
      </c>
      <c r="IM104" s="229">
        <f t="shared" si="27"/>
        <v>0</v>
      </c>
      <c r="IN104" s="229">
        <f t="shared" si="27"/>
        <v>0</v>
      </c>
      <c r="IO104" s="229">
        <f t="shared" si="27"/>
        <v>0</v>
      </c>
      <c r="IP104" s="229">
        <f t="shared" si="28"/>
        <v>0</v>
      </c>
      <c r="IQ104" s="229">
        <f t="shared" si="28"/>
        <v>0</v>
      </c>
      <c r="IR104" s="229">
        <f t="shared" si="28"/>
        <v>0</v>
      </c>
      <c r="IS104" s="229">
        <f t="shared" si="28"/>
        <v>0</v>
      </c>
      <c r="IT104" s="229">
        <f t="shared" si="28"/>
        <v>0</v>
      </c>
      <c r="IU104" s="229">
        <f t="shared" si="28"/>
        <v>0</v>
      </c>
      <c r="IV104" s="229">
        <f t="shared" si="28"/>
        <v>0</v>
      </c>
      <c r="IW104" s="229">
        <f t="shared" si="28"/>
        <v>0</v>
      </c>
      <c r="IX104" s="229">
        <f t="shared" si="28"/>
        <v>0</v>
      </c>
      <c r="IY104" s="229">
        <f t="shared" si="28"/>
        <v>0</v>
      </c>
      <c r="IZ104" s="229">
        <f t="shared" si="29"/>
        <v>0</v>
      </c>
      <c r="JA104" s="229">
        <f t="shared" si="29"/>
        <v>0</v>
      </c>
      <c r="JB104" s="229">
        <f t="shared" si="29"/>
        <v>0</v>
      </c>
      <c r="JC104" s="229">
        <f t="shared" si="29"/>
        <v>0</v>
      </c>
      <c r="JD104" s="229">
        <f t="shared" si="29"/>
        <v>0</v>
      </c>
      <c r="JE104" s="229">
        <f t="shared" si="29"/>
        <v>0</v>
      </c>
      <c r="JF104" s="229">
        <f t="shared" si="29"/>
        <v>0</v>
      </c>
      <c r="JG104" s="229">
        <f t="shared" si="29"/>
        <v>0</v>
      </c>
      <c r="JH104" s="229">
        <f t="shared" si="29"/>
        <v>0</v>
      </c>
      <c r="JI104" s="229">
        <f t="shared" si="29"/>
        <v>0</v>
      </c>
      <c r="JJ104" s="229">
        <f t="shared" si="30"/>
        <v>0</v>
      </c>
      <c r="JK104" s="229">
        <f t="shared" si="30"/>
        <v>0</v>
      </c>
      <c r="JL104" s="229">
        <f t="shared" si="30"/>
        <v>0</v>
      </c>
      <c r="JM104" s="229">
        <f t="shared" si="30"/>
        <v>0</v>
      </c>
      <c r="JN104" s="229">
        <f t="shared" si="30"/>
        <v>0</v>
      </c>
      <c r="JO104" s="229">
        <f t="shared" si="30"/>
        <v>0</v>
      </c>
      <c r="JP104" s="229">
        <f t="shared" si="30"/>
        <v>0</v>
      </c>
      <c r="JQ104" s="229">
        <f t="shared" si="30"/>
        <v>0</v>
      </c>
      <c r="JR104" s="229">
        <f t="shared" si="30"/>
        <v>0</v>
      </c>
      <c r="JS104" s="229">
        <f t="shared" si="30"/>
        <v>0</v>
      </c>
      <c r="JT104" s="229">
        <f t="shared" si="30"/>
        <v>0</v>
      </c>
      <c r="JU104" s="229">
        <f t="shared" si="30"/>
        <v>0</v>
      </c>
      <c r="JV104" s="229">
        <f t="shared" si="30"/>
        <v>0</v>
      </c>
    </row>
    <row r="105" spans="1:282" hidden="1" x14ac:dyDescent="0.3">
      <c r="A105" s="16"/>
      <c r="B105" s="18"/>
      <c r="C105" s="19"/>
      <c r="D105" s="20"/>
      <c r="E105" s="1136"/>
      <c r="F105" s="229">
        <f t="shared" si="31"/>
        <v>0</v>
      </c>
      <c r="G105" s="1071"/>
      <c r="H105" s="229">
        <f t="shared" si="13"/>
        <v>0</v>
      </c>
      <c r="I105" s="21"/>
      <c r="J105" s="21"/>
      <c r="K105" s="22"/>
      <c r="L105" s="229">
        <f t="shared" si="32"/>
        <v>0</v>
      </c>
      <c r="M105" s="22"/>
      <c r="P105" s="229">
        <f t="shared" ref="P105:AU105" si="49">IF(AND(P$99&gt;$B105+$J105-1,P$99&lt;=$B105+11),$F105,IF(P$99&lt;=$B105+$J105-1,0,IF(MOD(P$99-$B105,12)&lt;&gt;0,O105,$F105*IF(MOD(P$99-$B105,12)=0,(1+$M105)^((P$99-$B105)/12),0))))</f>
        <v>0</v>
      </c>
      <c r="Q105" s="229">
        <f t="shared" si="49"/>
        <v>0</v>
      </c>
      <c r="R105" s="229">
        <f t="shared" si="49"/>
        <v>0</v>
      </c>
      <c r="S105" s="229">
        <f t="shared" si="49"/>
        <v>0</v>
      </c>
      <c r="T105" s="229">
        <f t="shared" si="49"/>
        <v>0</v>
      </c>
      <c r="U105" s="229">
        <f t="shared" si="49"/>
        <v>0</v>
      </c>
      <c r="V105" s="229">
        <f t="shared" si="49"/>
        <v>0</v>
      </c>
      <c r="W105" s="229">
        <f t="shared" si="49"/>
        <v>0</v>
      </c>
      <c r="X105" s="229">
        <f t="shared" si="49"/>
        <v>0</v>
      </c>
      <c r="Y105" s="229">
        <f t="shared" si="49"/>
        <v>0</v>
      </c>
      <c r="Z105" s="229">
        <f t="shared" si="49"/>
        <v>0</v>
      </c>
      <c r="AA105" s="229">
        <f t="shared" si="49"/>
        <v>0</v>
      </c>
      <c r="AB105" s="229">
        <f t="shared" si="49"/>
        <v>0</v>
      </c>
      <c r="AC105" s="229">
        <f t="shared" si="49"/>
        <v>0</v>
      </c>
      <c r="AD105" s="229">
        <f t="shared" si="49"/>
        <v>0</v>
      </c>
      <c r="AE105" s="229">
        <f t="shared" si="49"/>
        <v>0</v>
      </c>
      <c r="AF105" s="229">
        <f t="shared" si="49"/>
        <v>0</v>
      </c>
      <c r="AG105" s="229">
        <f t="shared" si="49"/>
        <v>0</v>
      </c>
      <c r="AH105" s="229">
        <f t="shared" si="49"/>
        <v>0</v>
      </c>
      <c r="AI105" s="229">
        <f t="shared" si="49"/>
        <v>0</v>
      </c>
      <c r="AJ105" s="229">
        <f t="shared" si="49"/>
        <v>0</v>
      </c>
      <c r="AK105" s="229">
        <f t="shared" si="49"/>
        <v>0</v>
      </c>
      <c r="AL105" s="229">
        <f t="shared" si="49"/>
        <v>0</v>
      </c>
      <c r="AM105" s="229">
        <f t="shared" si="49"/>
        <v>0</v>
      </c>
      <c r="AN105" s="229">
        <f t="shared" si="49"/>
        <v>0</v>
      </c>
      <c r="AO105" s="229">
        <f t="shared" si="49"/>
        <v>0</v>
      </c>
      <c r="AP105" s="229">
        <f t="shared" si="49"/>
        <v>0</v>
      </c>
      <c r="AQ105" s="229">
        <f t="shared" si="49"/>
        <v>0</v>
      </c>
      <c r="AR105" s="229">
        <f t="shared" si="49"/>
        <v>0</v>
      </c>
      <c r="AS105" s="229">
        <f t="shared" si="49"/>
        <v>0</v>
      </c>
      <c r="AT105" s="229">
        <f t="shared" si="49"/>
        <v>0</v>
      </c>
      <c r="AU105" s="229">
        <f t="shared" si="49"/>
        <v>0</v>
      </c>
      <c r="AV105" s="229">
        <f t="shared" ref="AV105:CA105" si="50">IF(AND(AV$99&gt;$B105+$J105-1,AV$99&lt;=$B105+11),$F105,IF(AV$99&lt;=$B105+$J105-1,0,IF(MOD(AV$99-$B105,12)&lt;&gt;0,AU105,$F105*IF(MOD(AV$99-$B105,12)=0,(1+$M105)^((AV$99-$B105)/12),0))))</f>
        <v>0</v>
      </c>
      <c r="AW105" s="229">
        <f t="shared" si="50"/>
        <v>0</v>
      </c>
      <c r="AX105" s="229">
        <f t="shared" si="50"/>
        <v>0</v>
      </c>
      <c r="AY105" s="229">
        <f t="shared" si="50"/>
        <v>0</v>
      </c>
      <c r="AZ105" s="229">
        <f t="shared" si="50"/>
        <v>0</v>
      </c>
      <c r="BA105" s="229">
        <f t="shared" si="50"/>
        <v>0</v>
      </c>
      <c r="BB105" s="229">
        <f t="shared" si="50"/>
        <v>0</v>
      </c>
      <c r="BC105" s="229">
        <f t="shared" si="50"/>
        <v>0</v>
      </c>
      <c r="BD105" s="229">
        <f t="shared" si="50"/>
        <v>0</v>
      </c>
      <c r="BE105" s="229">
        <f t="shared" si="50"/>
        <v>0</v>
      </c>
      <c r="BF105" s="229">
        <f t="shared" si="50"/>
        <v>0</v>
      </c>
      <c r="BG105" s="229">
        <f t="shared" si="50"/>
        <v>0</v>
      </c>
      <c r="BH105" s="229">
        <f t="shared" si="50"/>
        <v>0</v>
      </c>
      <c r="BI105" s="229">
        <f t="shared" si="50"/>
        <v>0</v>
      </c>
      <c r="BJ105" s="229">
        <f t="shared" si="50"/>
        <v>0</v>
      </c>
      <c r="BK105" s="229">
        <f t="shared" si="50"/>
        <v>0</v>
      </c>
      <c r="BL105" s="229">
        <f t="shared" si="50"/>
        <v>0</v>
      </c>
      <c r="BM105" s="229">
        <f t="shared" si="50"/>
        <v>0</v>
      </c>
      <c r="BN105" s="229">
        <f t="shared" si="50"/>
        <v>0</v>
      </c>
      <c r="BO105" s="229">
        <f t="shared" si="50"/>
        <v>0</v>
      </c>
      <c r="BP105" s="229">
        <f t="shared" si="50"/>
        <v>0</v>
      </c>
      <c r="BQ105" s="229">
        <f t="shared" si="50"/>
        <v>0</v>
      </c>
      <c r="BR105" s="229">
        <f t="shared" si="50"/>
        <v>0</v>
      </c>
      <c r="BS105" s="229">
        <f t="shared" si="50"/>
        <v>0</v>
      </c>
      <c r="BT105" s="229">
        <f t="shared" si="50"/>
        <v>0</v>
      </c>
      <c r="BU105" s="229">
        <f t="shared" si="50"/>
        <v>0</v>
      </c>
      <c r="BV105" s="229">
        <f t="shared" si="50"/>
        <v>0</v>
      </c>
      <c r="BW105" s="229">
        <f t="shared" si="50"/>
        <v>0</v>
      </c>
      <c r="BX105" s="229">
        <f t="shared" si="50"/>
        <v>0</v>
      </c>
      <c r="BY105" s="229">
        <f t="shared" si="50"/>
        <v>0</v>
      </c>
      <c r="BZ105" s="229">
        <f t="shared" si="50"/>
        <v>0</v>
      </c>
      <c r="CA105" s="229">
        <f t="shared" si="50"/>
        <v>0</v>
      </c>
      <c r="CB105" s="229">
        <f t="shared" ref="CB105:DG105" si="51">IF(AND(CB$99&gt;$B105+$J105-1,CB$99&lt;=$B105+11),$F105,IF(CB$99&lt;=$B105+$J105-1,0,IF(MOD(CB$99-$B105,12)&lt;&gt;0,CA105,$F105*IF(MOD(CB$99-$B105,12)=0,(1+$M105)^((CB$99-$B105)/12),0))))</f>
        <v>0</v>
      </c>
      <c r="CC105" s="229">
        <f t="shared" si="51"/>
        <v>0</v>
      </c>
      <c r="CD105" s="229">
        <f t="shared" si="51"/>
        <v>0</v>
      </c>
      <c r="CE105" s="229">
        <f t="shared" si="51"/>
        <v>0</v>
      </c>
      <c r="CF105" s="229">
        <f t="shared" si="51"/>
        <v>0</v>
      </c>
      <c r="CG105" s="229">
        <f t="shared" si="51"/>
        <v>0</v>
      </c>
      <c r="CH105" s="229">
        <f t="shared" si="51"/>
        <v>0</v>
      </c>
      <c r="CI105" s="229">
        <f t="shared" si="51"/>
        <v>0</v>
      </c>
      <c r="CJ105" s="229">
        <f t="shared" si="51"/>
        <v>0</v>
      </c>
      <c r="CK105" s="229">
        <f t="shared" si="51"/>
        <v>0</v>
      </c>
      <c r="CL105" s="229">
        <f t="shared" si="51"/>
        <v>0</v>
      </c>
      <c r="CM105" s="229">
        <f t="shared" si="51"/>
        <v>0</v>
      </c>
      <c r="CN105" s="229">
        <f t="shared" si="51"/>
        <v>0</v>
      </c>
      <c r="CO105" s="229">
        <f t="shared" si="51"/>
        <v>0</v>
      </c>
      <c r="CP105" s="229">
        <f t="shared" si="51"/>
        <v>0</v>
      </c>
      <c r="CQ105" s="229">
        <f t="shared" si="51"/>
        <v>0</v>
      </c>
      <c r="CR105" s="229">
        <f t="shared" si="51"/>
        <v>0</v>
      </c>
      <c r="CS105" s="229">
        <f t="shared" si="51"/>
        <v>0</v>
      </c>
      <c r="CT105" s="229">
        <f t="shared" si="51"/>
        <v>0</v>
      </c>
      <c r="CU105" s="229">
        <f t="shared" si="51"/>
        <v>0</v>
      </c>
      <c r="CV105" s="229">
        <f t="shared" si="51"/>
        <v>0</v>
      </c>
      <c r="CW105" s="229">
        <f t="shared" si="51"/>
        <v>0</v>
      </c>
      <c r="CX105" s="229">
        <f t="shared" si="51"/>
        <v>0</v>
      </c>
      <c r="CY105" s="229">
        <f t="shared" si="51"/>
        <v>0</v>
      </c>
      <c r="CZ105" s="229">
        <f t="shared" si="51"/>
        <v>0</v>
      </c>
      <c r="DA105" s="229">
        <f t="shared" si="51"/>
        <v>0</v>
      </c>
      <c r="DB105" s="229">
        <f t="shared" si="51"/>
        <v>0</v>
      </c>
      <c r="DC105" s="229">
        <f t="shared" si="51"/>
        <v>0</v>
      </c>
      <c r="DD105" s="229">
        <f t="shared" si="51"/>
        <v>0</v>
      </c>
      <c r="DE105" s="229">
        <f t="shared" si="51"/>
        <v>0</v>
      </c>
      <c r="DF105" s="229">
        <f t="shared" si="51"/>
        <v>0</v>
      </c>
      <c r="DG105" s="229">
        <f t="shared" si="51"/>
        <v>0</v>
      </c>
      <c r="DH105" s="229">
        <f t="shared" ref="DH105:ER105" si="52">IF(AND(DH$99&gt;$B105+$J105-1,DH$99&lt;=$B105+11),$F105,IF(DH$99&lt;=$B105+$J105-1,0,IF(MOD(DH$99-$B105,12)&lt;&gt;0,DG105,$F105*IF(MOD(DH$99-$B105,12)=0,(1+$M105)^((DH$99-$B105)/12),0))))</f>
        <v>0</v>
      </c>
      <c r="DI105" s="229">
        <f t="shared" si="52"/>
        <v>0</v>
      </c>
      <c r="DJ105" s="229">
        <f t="shared" si="52"/>
        <v>0</v>
      </c>
      <c r="DK105" s="229">
        <f t="shared" si="52"/>
        <v>0</v>
      </c>
      <c r="DL105" s="229">
        <f t="shared" si="52"/>
        <v>0</v>
      </c>
      <c r="DM105" s="229">
        <f t="shared" si="52"/>
        <v>0</v>
      </c>
      <c r="DN105" s="229">
        <f t="shared" si="52"/>
        <v>0</v>
      </c>
      <c r="DO105" s="229">
        <f t="shared" si="52"/>
        <v>0</v>
      </c>
      <c r="DP105" s="229">
        <f t="shared" si="52"/>
        <v>0</v>
      </c>
      <c r="DQ105" s="229">
        <f t="shared" si="52"/>
        <v>0</v>
      </c>
      <c r="DR105" s="229">
        <f t="shared" si="52"/>
        <v>0</v>
      </c>
      <c r="DS105" s="229">
        <f t="shared" si="52"/>
        <v>0</v>
      </c>
      <c r="DT105" s="229">
        <f t="shared" si="52"/>
        <v>0</v>
      </c>
      <c r="DU105" s="229">
        <f t="shared" si="52"/>
        <v>0</v>
      </c>
      <c r="DV105" s="229">
        <f t="shared" si="52"/>
        <v>0</v>
      </c>
      <c r="DW105" s="229">
        <f t="shared" si="52"/>
        <v>0</v>
      </c>
      <c r="DX105" s="229">
        <f t="shared" si="52"/>
        <v>0</v>
      </c>
      <c r="DY105" s="229">
        <f t="shared" si="52"/>
        <v>0</v>
      </c>
      <c r="DZ105" s="229">
        <f t="shared" si="52"/>
        <v>0</v>
      </c>
      <c r="EA105" s="229">
        <f t="shared" si="52"/>
        <v>0</v>
      </c>
      <c r="EB105" s="229">
        <f t="shared" si="52"/>
        <v>0</v>
      </c>
      <c r="EC105" s="229">
        <f t="shared" si="52"/>
        <v>0</v>
      </c>
      <c r="ED105" s="229">
        <f t="shared" si="52"/>
        <v>0</v>
      </c>
      <c r="EE105" s="229">
        <f t="shared" si="52"/>
        <v>0</v>
      </c>
      <c r="EF105" s="229">
        <f t="shared" si="52"/>
        <v>0</v>
      </c>
      <c r="EG105" s="229">
        <f t="shared" si="52"/>
        <v>0</v>
      </c>
      <c r="EH105" s="229">
        <f t="shared" si="52"/>
        <v>0</v>
      </c>
      <c r="EI105" s="229">
        <f t="shared" si="52"/>
        <v>0</v>
      </c>
      <c r="EJ105" s="229">
        <f t="shared" si="52"/>
        <v>0</v>
      </c>
      <c r="EK105" s="229">
        <f t="shared" si="52"/>
        <v>0</v>
      </c>
      <c r="EL105" s="229">
        <f t="shared" si="52"/>
        <v>0</v>
      </c>
      <c r="EM105" s="229">
        <f t="shared" si="52"/>
        <v>0</v>
      </c>
      <c r="EN105" s="229">
        <f t="shared" si="52"/>
        <v>0</v>
      </c>
      <c r="EO105" s="229">
        <f t="shared" si="52"/>
        <v>0</v>
      </c>
      <c r="EP105" s="229">
        <f t="shared" si="52"/>
        <v>0</v>
      </c>
      <c r="EQ105" s="229">
        <f t="shared" si="52"/>
        <v>0</v>
      </c>
      <c r="ER105" s="229">
        <f t="shared" si="52"/>
        <v>0</v>
      </c>
      <c r="ET105" s="229">
        <f t="shared" si="18"/>
        <v>0</v>
      </c>
      <c r="EU105" s="229">
        <f t="shared" si="18"/>
        <v>0</v>
      </c>
      <c r="EV105" s="229">
        <f t="shared" si="18"/>
        <v>0</v>
      </c>
      <c r="EW105" s="229">
        <f t="shared" si="18"/>
        <v>0</v>
      </c>
      <c r="EX105" s="229">
        <f t="shared" si="18"/>
        <v>0</v>
      </c>
      <c r="EY105" s="229">
        <f t="shared" si="18"/>
        <v>0</v>
      </c>
      <c r="EZ105" s="229">
        <f t="shared" si="18"/>
        <v>0</v>
      </c>
      <c r="FA105" s="229">
        <f t="shared" si="18"/>
        <v>0</v>
      </c>
      <c r="FB105" s="229">
        <f t="shared" si="18"/>
        <v>0</v>
      </c>
      <c r="FC105" s="229">
        <f t="shared" si="18"/>
        <v>0</v>
      </c>
      <c r="FD105" s="229">
        <f t="shared" si="19"/>
        <v>0</v>
      </c>
      <c r="FE105" s="229">
        <f t="shared" si="19"/>
        <v>0</v>
      </c>
      <c r="FF105" s="229">
        <f t="shared" si="19"/>
        <v>0</v>
      </c>
      <c r="FG105" s="229">
        <f t="shared" si="19"/>
        <v>0</v>
      </c>
      <c r="FH105" s="229">
        <f t="shared" si="19"/>
        <v>0</v>
      </c>
      <c r="FI105" s="229">
        <f t="shared" si="19"/>
        <v>0</v>
      </c>
      <c r="FJ105" s="229">
        <f t="shared" si="19"/>
        <v>0</v>
      </c>
      <c r="FK105" s="229">
        <f t="shared" si="19"/>
        <v>0</v>
      </c>
      <c r="FL105" s="229">
        <f t="shared" si="19"/>
        <v>0</v>
      </c>
      <c r="FM105" s="229">
        <f t="shared" si="19"/>
        <v>0</v>
      </c>
      <c r="FN105" s="229">
        <f t="shared" si="20"/>
        <v>0</v>
      </c>
      <c r="FO105" s="229">
        <f t="shared" si="20"/>
        <v>0</v>
      </c>
      <c r="FP105" s="229">
        <f t="shared" si="20"/>
        <v>0</v>
      </c>
      <c r="FQ105" s="229">
        <f t="shared" si="20"/>
        <v>0</v>
      </c>
      <c r="FR105" s="229">
        <f t="shared" si="20"/>
        <v>0</v>
      </c>
      <c r="FS105" s="229">
        <f t="shared" si="20"/>
        <v>0</v>
      </c>
      <c r="FT105" s="229">
        <f t="shared" si="20"/>
        <v>0</v>
      </c>
      <c r="FU105" s="229">
        <f t="shared" si="20"/>
        <v>0</v>
      </c>
      <c r="FV105" s="229">
        <f t="shared" si="20"/>
        <v>0</v>
      </c>
      <c r="FW105" s="229">
        <f t="shared" si="20"/>
        <v>0</v>
      </c>
      <c r="FX105" s="229">
        <f t="shared" si="21"/>
        <v>0</v>
      </c>
      <c r="FY105" s="229">
        <f t="shared" si="21"/>
        <v>0</v>
      </c>
      <c r="FZ105" s="229">
        <f t="shared" si="21"/>
        <v>0</v>
      </c>
      <c r="GA105" s="229">
        <f t="shared" si="21"/>
        <v>0</v>
      </c>
      <c r="GB105" s="229">
        <f t="shared" si="21"/>
        <v>0</v>
      </c>
      <c r="GC105" s="229">
        <f t="shared" si="21"/>
        <v>0</v>
      </c>
      <c r="GD105" s="229">
        <f t="shared" si="21"/>
        <v>0</v>
      </c>
      <c r="GE105" s="229">
        <f t="shared" si="21"/>
        <v>0</v>
      </c>
      <c r="GF105" s="229">
        <f t="shared" si="21"/>
        <v>0</v>
      </c>
      <c r="GG105" s="229">
        <f t="shared" si="21"/>
        <v>0</v>
      </c>
      <c r="GH105" s="229">
        <f t="shared" si="22"/>
        <v>0</v>
      </c>
      <c r="GI105" s="229">
        <f t="shared" si="22"/>
        <v>0</v>
      </c>
      <c r="GJ105" s="229">
        <f t="shared" si="22"/>
        <v>0</v>
      </c>
      <c r="GK105" s="229">
        <f t="shared" si="22"/>
        <v>0</v>
      </c>
      <c r="GL105" s="229">
        <f t="shared" si="22"/>
        <v>0</v>
      </c>
      <c r="GM105" s="229">
        <f t="shared" si="22"/>
        <v>0</v>
      </c>
      <c r="GN105" s="229">
        <f t="shared" si="22"/>
        <v>0</v>
      </c>
      <c r="GO105" s="229">
        <f t="shared" si="22"/>
        <v>0</v>
      </c>
      <c r="GP105" s="229">
        <f t="shared" si="22"/>
        <v>0</v>
      </c>
      <c r="GQ105" s="229">
        <f t="shared" si="22"/>
        <v>0</v>
      </c>
      <c r="GR105" s="229">
        <f t="shared" si="23"/>
        <v>0</v>
      </c>
      <c r="GS105" s="229">
        <f t="shared" si="23"/>
        <v>0</v>
      </c>
      <c r="GT105" s="229">
        <f t="shared" si="23"/>
        <v>0</v>
      </c>
      <c r="GU105" s="229">
        <f t="shared" si="23"/>
        <v>0</v>
      </c>
      <c r="GV105" s="229">
        <f t="shared" si="23"/>
        <v>0</v>
      </c>
      <c r="GW105" s="229">
        <f t="shared" si="23"/>
        <v>0</v>
      </c>
      <c r="GX105" s="229">
        <f t="shared" si="23"/>
        <v>0</v>
      </c>
      <c r="GY105" s="229">
        <f t="shared" si="23"/>
        <v>0</v>
      </c>
      <c r="GZ105" s="229">
        <f t="shared" si="23"/>
        <v>0</v>
      </c>
      <c r="HA105" s="229">
        <f t="shared" si="23"/>
        <v>0</v>
      </c>
      <c r="HB105" s="229">
        <f t="shared" si="24"/>
        <v>0</v>
      </c>
      <c r="HC105" s="229">
        <f t="shared" si="24"/>
        <v>0</v>
      </c>
      <c r="HD105" s="229">
        <f t="shared" si="24"/>
        <v>0</v>
      </c>
      <c r="HE105" s="229">
        <f t="shared" si="24"/>
        <v>0</v>
      </c>
      <c r="HF105" s="229">
        <f t="shared" si="24"/>
        <v>0</v>
      </c>
      <c r="HG105" s="229">
        <f t="shared" si="24"/>
        <v>0</v>
      </c>
      <c r="HH105" s="229">
        <f t="shared" si="24"/>
        <v>0</v>
      </c>
      <c r="HI105" s="229">
        <f t="shared" si="24"/>
        <v>0</v>
      </c>
      <c r="HJ105" s="229">
        <f t="shared" si="24"/>
        <v>0</v>
      </c>
      <c r="HK105" s="229">
        <f t="shared" si="24"/>
        <v>0</v>
      </c>
      <c r="HL105" s="229">
        <f t="shared" si="25"/>
        <v>0</v>
      </c>
      <c r="HM105" s="229">
        <f t="shared" si="25"/>
        <v>0</v>
      </c>
      <c r="HN105" s="229">
        <f t="shared" si="25"/>
        <v>0</v>
      </c>
      <c r="HO105" s="229">
        <f t="shared" si="25"/>
        <v>0</v>
      </c>
      <c r="HP105" s="229">
        <f t="shared" si="25"/>
        <v>0</v>
      </c>
      <c r="HQ105" s="229">
        <f t="shared" si="25"/>
        <v>0</v>
      </c>
      <c r="HR105" s="229">
        <f t="shared" si="25"/>
        <v>0</v>
      </c>
      <c r="HS105" s="229">
        <f t="shared" si="25"/>
        <v>0</v>
      </c>
      <c r="HT105" s="229">
        <f t="shared" si="25"/>
        <v>0</v>
      </c>
      <c r="HU105" s="229">
        <f t="shared" si="25"/>
        <v>0</v>
      </c>
      <c r="HV105" s="229">
        <f t="shared" si="26"/>
        <v>0</v>
      </c>
      <c r="HW105" s="229">
        <f t="shared" si="26"/>
        <v>0</v>
      </c>
      <c r="HX105" s="229">
        <f t="shared" si="26"/>
        <v>0</v>
      </c>
      <c r="HY105" s="229">
        <f t="shared" si="26"/>
        <v>0</v>
      </c>
      <c r="HZ105" s="229">
        <f t="shared" si="26"/>
        <v>0</v>
      </c>
      <c r="IA105" s="229">
        <f t="shared" si="26"/>
        <v>0</v>
      </c>
      <c r="IB105" s="229">
        <f t="shared" si="26"/>
        <v>0</v>
      </c>
      <c r="IC105" s="229">
        <f t="shared" si="26"/>
        <v>0</v>
      </c>
      <c r="ID105" s="229">
        <f t="shared" si="26"/>
        <v>0</v>
      </c>
      <c r="IE105" s="229">
        <f t="shared" si="26"/>
        <v>0</v>
      </c>
      <c r="IF105" s="229">
        <f t="shared" si="27"/>
        <v>0</v>
      </c>
      <c r="IG105" s="229">
        <f t="shared" si="27"/>
        <v>0</v>
      </c>
      <c r="IH105" s="229">
        <f t="shared" si="27"/>
        <v>0</v>
      </c>
      <c r="II105" s="229">
        <f t="shared" si="27"/>
        <v>0</v>
      </c>
      <c r="IJ105" s="229">
        <f t="shared" si="27"/>
        <v>0</v>
      </c>
      <c r="IK105" s="229">
        <f t="shared" si="27"/>
        <v>0</v>
      </c>
      <c r="IL105" s="229">
        <f t="shared" si="27"/>
        <v>0</v>
      </c>
      <c r="IM105" s="229">
        <f t="shared" si="27"/>
        <v>0</v>
      </c>
      <c r="IN105" s="229">
        <f t="shared" si="27"/>
        <v>0</v>
      </c>
      <c r="IO105" s="229">
        <f t="shared" si="27"/>
        <v>0</v>
      </c>
      <c r="IP105" s="229">
        <f t="shared" si="28"/>
        <v>0</v>
      </c>
      <c r="IQ105" s="229">
        <f t="shared" si="28"/>
        <v>0</v>
      </c>
      <c r="IR105" s="229">
        <f t="shared" si="28"/>
        <v>0</v>
      </c>
      <c r="IS105" s="229">
        <f t="shared" si="28"/>
        <v>0</v>
      </c>
      <c r="IT105" s="229">
        <f t="shared" si="28"/>
        <v>0</v>
      </c>
      <c r="IU105" s="229">
        <f t="shared" si="28"/>
        <v>0</v>
      </c>
      <c r="IV105" s="229">
        <f t="shared" si="28"/>
        <v>0</v>
      </c>
      <c r="IW105" s="229">
        <f t="shared" si="28"/>
        <v>0</v>
      </c>
      <c r="IX105" s="229">
        <f t="shared" si="28"/>
        <v>0</v>
      </c>
      <c r="IY105" s="229">
        <f t="shared" si="28"/>
        <v>0</v>
      </c>
      <c r="IZ105" s="229">
        <f t="shared" si="29"/>
        <v>0</v>
      </c>
      <c r="JA105" s="229">
        <f t="shared" si="29"/>
        <v>0</v>
      </c>
      <c r="JB105" s="229">
        <f t="shared" si="29"/>
        <v>0</v>
      </c>
      <c r="JC105" s="229">
        <f t="shared" si="29"/>
        <v>0</v>
      </c>
      <c r="JD105" s="229">
        <f t="shared" si="29"/>
        <v>0</v>
      </c>
      <c r="JE105" s="229">
        <f t="shared" si="29"/>
        <v>0</v>
      </c>
      <c r="JF105" s="229">
        <f t="shared" si="29"/>
        <v>0</v>
      </c>
      <c r="JG105" s="229">
        <f t="shared" si="29"/>
        <v>0</v>
      </c>
      <c r="JH105" s="229">
        <f t="shared" si="29"/>
        <v>0</v>
      </c>
      <c r="JI105" s="229">
        <f t="shared" si="29"/>
        <v>0</v>
      </c>
      <c r="JJ105" s="229">
        <f t="shared" si="30"/>
        <v>0</v>
      </c>
      <c r="JK105" s="229">
        <f t="shared" si="30"/>
        <v>0</v>
      </c>
      <c r="JL105" s="229">
        <f t="shared" si="30"/>
        <v>0</v>
      </c>
      <c r="JM105" s="229">
        <f t="shared" si="30"/>
        <v>0</v>
      </c>
      <c r="JN105" s="229">
        <f t="shared" si="30"/>
        <v>0</v>
      </c>
      <c r="JO105" s="229">
        <f t="shared" si="30"/>
        <v>0</v>
      </c>
      <c r="JP105" s="229">
        <f t="shared" si="30"/>
        <v>0</v>
      </c>
      <c r="JQ105" s="229">
        <f t="shared" si="30"/>
        <v>0</v>
      </c>
      <c r="JR105" s="229">
        <f t="shared" si="30"/>
        <v>0</v>
      </c>
      <c r="JS105" s="229">
        <f t="shared" si="30"/>
        <v>0</v>
      </c>
      <c r="JT105" s="229">
        <f t="shared" si="30"/>
        <v>0</v>
      </c>
      <c r="JU105" s="229">
        <f t="shared" si="30"/>
        <v>0</v>
      </c>
      <c r="JV105" s="229">
        <f t="shared" si="30"/>
        <v>0</v>
      </c>
    </row>
    <row r="106" spans="1:282" hidden="1" x14ac:dyDescent="0.3">
      <c r="A106" s="16"/>
      <c r="B106" s="18"/>
      <c r="C106" s="19"/>
      <c r="D106" s="20"/>
      <c r="E106" s="1136"/>
      <c r="F106" s="229">
        <f t="shared" si="31"/>
        <v>0</v>
      </c>
      <c r="G106" s="1071"/>
      <c r="H106" s="229">
        <f t="shared" si="13"/>
        <v>0</v>
      </c>
      <c r="I106" s="21"/>
      <c r="J106" s="21"/>
      <c r="K106" s="22"/>
      <c r="L106" s="229">
        <f t="shared" si="32"/>
        <v>0</v>
      </c>
      <c r="M106" s="22"/>
      <c r="P106" s="229">
        <f t="shared" ref="P106:AU106" si="53">IF(AND(P$99&gt;$B106+$J106-1,P$99&lt;=$B106+11),$F106,IF(P$99&lt;=$B106+$J106-1,0,IF(MOD(P$99-$B106,12)&lt;&gt;0,O106,$F106*IF(MOD(P$99-$B106,12)=0,(1+$M106)^((P$99-$B106)/12),0))))</f>
        <v>0</v>
      </c>
      <c r="Q106" s="229">
        <f t="shared" si="53"/>
        <v>0</v>
      </c>
      <c r="R106" s="229">
        <f t="shared" si="53"/>
        <v>0</v>
      </c>
      <c r="S106" s="229">
        <f t="shared" si="53"/>
        <v>0</v>
      </c>
      <c r="T106" s="229">
        <f t="shared" si="53"/>
        <v>0</v>
      </c>
      <c r="U106" s="229">
        <f t="shared" si="53"/>
        <v>0</v>
      </c>
      <c r="V106" s="229">
        <f t="shared" si="53"/>
        <v>0</v>
      </c>
      <c r="W106" s="229">
        <f t="shared" si="53"/>
        <v>0</v>
      </c>
      <c r="X106" s="229">
        <f t="shared" si="53"/>
        <v>0</v>
      </c>
      <c r="Y106" s="229">
        <f t="shared" si="53"/>
        <v>0</v>
      </c>
      <c r="Z106" s="229">
        <f t="shared" si="53"/>
        <v>0</v>
      </c>
      <c r="AA106" s="229">
        <f t="shared" si="53"/>
        <v>0</v>
      </c>
      <c r="AB106" s="229">
        <f t="shared" si="53"/>
        <v>0</v>
      </c>
      <c r="AC106" s="229">
        <f t="shared" si="53"/>
        <v>0</v>
      </c>
      <c r="AD106" s="229">
        <f t="shared" si="53"/>
        <v>0</v>
      </c>
      <c r="AE106" s="229">
        <f t="shared" si="53"/>
        <v>0</v>
      </c>
      <c r="AF106" s="229">
        <f t="shared" si="53"/>
        <v>0</v>
      </c>
      <c r="AG106" s="229">
        <f t="shared" si="53"/>
        <v>0</v>
      </c>
      <c r="AH106" s="229">
        <f t="shared" si="53"/>
        <v>0</v>
      </c>
      <c r="AI106" s="229">
        <f t="shared" si="53"/>
        <v>0</v>
      </c>
      <c r="AJ106" s="229">
        <f t="shared" si="53"/>
        <v>0</v>
      </c>
      <c r="AK106" s="229">
        <f t="shared" si="53"/>
        <v>0</v>
      </c>
      <c r="AL106" s="229">
        <f t="shared" si="53"/>
        <v>0</v>
      </c>
      <c r="AM106" s="229">
        <f t="shared" si="53"/>
        <v>0</v>
      </c>
      <c r="AN106" s="229">
        <f t="shared" si="53"/>
        <v>0</v>
      </c>
      <c r="AO106" s="229">
        <f t="shared" si="53"/>
        <v>0</v>
      </c>
      <c r="AP106" s="229">
        <f t="shared" si="53"/>
        <v>0</v>
      </c>
      <c r="AQ106" s="229">
        <f t="shared" si="53"/>
        <v>0</v>
      </c>
      <c r="AR106" s="229">
        <f t="shared" si="53"/>
        <v>0</v>
      </c>
      <c r="AS106" s="229">
        <f t="shared" si="53"/>
        <v>0</v>
      </c>
      <c r="AT106" s="229">
        <f t="shared" si="53"/>
        <v>0</v>
      </c>
      <c r="AU106" s="229">
        <f t="shared" si="53"/>
        <v>0</v>
      </c>
      <c r="AV106" s="229">
        <f t="shared" ref="AV106:CA106" si="54">IF(AND(AV$99&gt;$B106+$J106-1,AV$99&lt;=$B106+11),$F106,IF(AV$99&lt;=$B106+$J106-1,0,IF(MOD(AV$99-$B106,12)&lt;&gt;0,AU106,$F106*IF(MOD(AV$99-$B106,12)=0,(1+$M106)^((AV$99-$B106)/12),0))))</f>
        <v>0</v>
      </c>
      <c r="AW106" s="229">
        <f t="shared" si="54"/>
        <v>0</v>
      </c>
      <c r="AX106" s="229">
        <f t="shared" si="54"/>
        <v>0</v>
      </c>
      <c r="AY106" s="229">
        <f t="shared" si="54"/>
        <v>0</v>
      </c>
      <c r="AZ106" s="229">
        <f t="shared" si="54"/>
        <v>0</v>
      </c>
      <c r="BA106" s="229">
        <f t="shared" si="54"/>
        <v>0</v>
      </c>
      <c r="BB106" s="229">
        <f t="shared" si="54"/>
        <v>0</v>
      </c>
      <c r="BC106" s="229">
        <f t="shared" si="54"/>
        <v>0</v>
      </c>
      <c r="BD106" s="229">
        <f t="shared" si="54"/>
        <v>0</v>
      </c>
      <c r="BE106" s="229">
        <f t="shared" si="54"/>
        <v>0</v>
      </c>
      <c r="BF106" s="229">
        <f t="shared" si="54"/>
        <v>0</v>
      </c>
      <c r="BG106" s="229">
        <f t="shared" si="54"/>
        <v>0</v>
      </c>
      <c r="BH106" s="229">
        <f t="shared" si="54"/>
        <v>0</v>
      </c>
      <c r="BI106" s="229">
        <f t="shared" si="54"/>
        <v>0</v>
      </c>
      <c r="BJ106" s="229">
        <f t="shared" si="54"/>
        <v>0</v>
      </c>
      <c r="BK106" s="229">
        <f t="shared" si="54"/>
        <v>0</v>
      </c>
      <c r="BL106" s="229">
        <f t="shared" si="54"/>
        <v>0</v>
      </c>
      <c r="BM106" s="229">
        <f t="shared" si="54"/>
        <v>0</v>
      </c>
      <c r="BN106" s="229">
        <f t="shared" si="54"/>
        <v>0</v>
      </c>
      <c r="BO106" s="229">
        <f t="shared" si="54"/>
        <v>0</v>
      </c>
      <c r="BP106" s="229">
        <f t="shared" si="54"/>
        <v>0</v>
      </c>
      <c r="BQ106" s="229">
        <f t="shared" si="54"/>
        <v>0</v>
      </c>
      <c r="BR106" s="229">
        <f t="shared" si="54"/>
        <v>0</v>
      </c>
      <c r="BS106" s="229">
        <f t="shared" si="54"/>
        <v>0</v>
      </c>
      <c r="BT106" s="229">
        <f t="shared" si="54"/>
        <v>0</v>
      </c>
      <c r="BU106" s="229">
        <f t="shared" si="54"/>
        <v>0</v>
      </c>
      <c r="BV106" s="229">
        <f t="shared" si="54"/>
        <v>0</v>
      </c>
      <c r="BW106" s="229">
        <f t="shared" si="54"/>
        <v>0</v>
      </c>
      <c r="BX106" s="229">
        <f t="shared" si="54"/>
        <v>0</v>
      </c>
      <c r="BY106" s="229">
        <f t="shared" si="54"/>
        <v>0</v>
      </c>
      <c r="BZ106" s="229">
        <f t="shared" si="54"/>
        <v>0</v>
      </c>
      <c r="CA106" s="229">
        <f t="shared" si="54"/>
        <v>0</v>
      </c>
      <c r="CB106" s="229">
        <f t="shared" ref="CB106:DG106" si="55">IF(AND(CB$99&gt;$B106+$J106-1,CB$99&lt;=$B106+11),$F106,IF(CB$99&lt;=$B106+$J106-1,0,IF(MOD(CB$99-$B106,12)&lt;&gt;0,CA106,$F106*IF(MOD(CB$99-$B106,12)=0,(1+$M106)^((CB$99-$B106)/12),0))))</f>
        <v>0</v>
      </c>
      <c r="CC106" s="229">
        <f t="shared" si="55"/>
        <v>0</v>
      </c>
      <c r="CD106" s="229">
        <f t="shared" si="55"/>
        <v>0</v>
      </c>
      <c r="CE106" s="229">
        <f t="shared" si="55"/>
        <v>0</v>
      </c>
      <c r="CF106" s="229">
        <f t="shared" si="55"/>
        <v>0</v>
      </c>
      <c r="CG106" s="229">
        <f t="shared" si="55"/>
        <v>0</v>
      </c>
      <c r="CH106" s="229">
        <f t="shared" si="55"/>
        <v>0</v>
      </c>
      <c r="CI106" s="229">
        <f t="shared" si="55"/>
        <v>0</v>
      </c>
      <c r="CJ106" s="229">
        <f t="shared" si="55"/>
        <v>0</v>
      </c>
      <c r="CK106" s="229">
        <f t="shared" si="55"/>
        <v>0</v>
      </c>
      <c r="CL106" s="229">
        <f t="shared" si="55"/>
        <v>0</v>
      </c>
      <c r="CM106" s="229">
        <f t="shared" si="55"/>
        <v>0</v>
      </c>
      <c r="CN106" s="229">
        <f t="shared" si="55"/>
        <v>0</v>
      </c>
      <c r="CO106" s="229">
        <f t="shared" si="55"/>
        <v>0</v>
      </c>
      <c r="CP106" s="229">
        <f t="shared" si="55"/>
        <v>0</v>
      </c>
      <c r="CQ106" s="229">
        <f t="shared" si="55"/>
        <v>0</v>
      </c>
      <c r="CR106" s="229">
        <f t="shared" si="55"/>
        <v>0</v>
      </c>
      <c r="CS106" s="229">
        <f t="shared" si="55"/>
        <v>0</v>
      </c>
      <c r="CT106" s="229">
        <f t="shared" si="55"/>
        <v>0</v>
      </c>
      <c r="CU106" s="229">
        <f t="shared" si="55"/>
        <v>0</v>
      </c>
      <c r="CV106" s="229">
        <f t="shared" si="55"/>
        <v>0</v>
      </c>
      <c r="CW106" s="229">
        <f t="shared" si="55"/>
        <v>0</v>
      </c>
      <c r="CX106" s="229">
        <f t="shared" si="55"/>
        <v>0</v>
      </c>
      <c r="CY106" s="229">
        <f t="shared" si="55"/>
        <v>0</v>
      </c>
      <c r="CZ106" s="229">
        <f t="shared" si="55"/>
        <v>0</v>
      </c>
      <c r="DA106" s="229">
        <f t="shared" si="55"/>
        <v>0</v>
      </c>
      <c r="DB106" s="229">
        <f t="shared" si="55"/>
        <v>0</v>
      </c>
      <c r="DC106" s="229">
        <f t="shared" si="55"/>
        <v>0</v>
      </c>
      <c r="DD106" s="229">
        <f t="shared" si="55"/>
        <v>0</v>
      </c>
      <c r="DE106" s="229">
        <f t="shared" si="55"/>
        <v>0</v>
      </c>
      <c r="DF106" s="229">
        <f t="shared" si="55"/>
        <v>0</v>
      </c>
      <c r="DG106" s="229">
        <f t="shared" si="55"/>
        <v>0</v>
      </c>
      <c r="DH106" s="229">
        <f t="shared" ref="DH106:ER106" si="56">IF(AND(DH$99&gt;$B106+$J106-1,DH$99&lt;=$B106+11),$F106,IF(DH$99&lt;=$B106+$J106-1,0,IF(MOD(DH$99-$B106,12)&lt;&gt;0,DG106,$F106*IF(MOD(DH$99-$B106,12)=0,(1+$M106)^((DH$99-$B106)/12),0))))</f>
        <v>0</v>
      </c>
      <c r="DI106" s="229">
        <f t="shared" si="56"/>
        <v>0</v>
      </c>
      <c r="DJ106" s="229">
        <f t="shared" si="56"/>
        <v>0</v>
      </c>
      <c r="DK106" s="229">
        <f t="shared" si="56"/>
        <v>0</v>
      </c>
      <c r="DL106" s="229">
        <f t="shared" si="56"/>
        <v>0</v>
      </c>
      <c r="DM106" s="229">
        <f t="shared" si="56"/>
        <v>0</v>
      </c>
      <c r="DN106" s="229">
        <f t="shared" si="56"/>
        <v>0</v>
      </c>
      <c r="DO106" s="229">
        <f t="shared" si="56"/>
        <v>0</v>
      </c>
      <c r="DP106" s="229">
        <f t="shared" si="56"/>
        <v>0</v>
      </c>
      <c r="DQ106" s="229">
        <f t="shared" si="56"/>
        <v>0</v>
      </c>
      <c r="DR106" s="229">
        <f t="shared" si="56"/>
        <v>0</v>
      </c>
      <c r="DS106" s="229">
        <f t="shared" si="56"/>
        <v>0</v>
      </c>
      <c r="DT106" s="229">
        <f t="shared" si="56"/>
        <v>0</v>
      </c>
      <c r="DU106" s="229">
        <f t="shared" si="56"/>
        <v>0</v>
      </c>
      <c r="DV106" s="229">
        <f t="shared" si="56"/>
        <v>0</v>
      </c>
      <c r="DW106" s="229">
        <f t="shared" si="56"/>
        <v>0</v>
      </c>
      <c r="DX106" s="229">
        <f t="shared" si="56"/>
        <v>0</v>
      </c>
      <c r="DY106" s="229">
        <f t="shared" si="56"/>
        <v>0</v>
      </c>
      <c r="DZ106" s="229">
        <f t="shared" si="56"/>
        <v>0</v>
      </c>
      <c r="EA106" s="229">
        <f t="shared" si="56"/>
        <v>0</v>
      </c>
      <c r="EB106" s="229">
        <f t="shared" si="56"/>
        <v>0</v>
      </c>
      <c r="EC106" s="229">
        <f t="shared" si="56"/>
        <v>0</v>
      </c>
      <c r="ED106" s="229">
        <f t="shared" si="56"/>
        <v>0</v>
      </c>
      <c r="EE106" s="229">
        <f t="shared" si="56"/>
        <v>0</v>
      </c>
      <c r="EF106" s="229">
        <f t="shared" si="56"/>
        <v>0</v>
      </c>
      <c r="EG106" s="229">
        <f t="shared" si="56"/>
        <v>0</v>
      </c>
      <c r="EH106" s="229">
        <f t="shared" si="56"/>
        <v>0</v>
      </c>
      <c r="EI106" s="229">
        <f t="shared" si="56"/>
        <v>0</v>
      </c>
      <c r="EJ106" s="229">
        <f t="shared" si="56"/>
        <v>0</v>
      </c>
      <c r="EK106" s="229">
        <f t="shared" si="56"/>
        <v>0</v>
      </c>
      <c r="EL106" s="229">
        <f t="shared" si="56"/>
        <v>0</v>
      </c>
      <c r="EM106" s="229">
        <f t="shared" si="56"/>
        <v>0</v>
      </c>
      <c r="EN106" s="229">
        <f t="shared" si="56"/>
        <v>0</v>
      </c>
      <c r="EO106" s="229">
        <f t="shared" si="56"/>
        <v>0</v>
      </c>
      <c r="EP106" s="229">
        <f t="shared" si="56"/>
        <v>0</v>
      </c>
      <c r="EQ106" s="229">
        <f t="shared" si="56"/>
        <v>0</v>
      </c>
      <c r="ER106" s="229">
        <f t="shared" si="56"/>
        <v>0</v>
      </c>
      <c r="ET106" s="229">
        <f t="shared" si="18"/>
        <v>0</v>
      </c>
      <c r="EU106" s="229">
        <f t="shared" si="18"/>
        <v>0</v>
      </c>
      <c r="EV106" s="229">
        <f t="shared" si="18"/>
        <v>0</v>
      </c>
      <c r="EW106" s="229">
        <f t="shared" si="18"/>
        <v>0</v>
      </c>
      <c r="EX106" s="229">
        <f t="shared" si="18"/>
        <v>0</v>
      </c>
      <c r="EY106" s="229">
        <f t="shared" si="18"/>
        <v>0</v>
      </c>
      <c r="EZ106" s="229">
        <f t="shared" si="18"/>
        <v>0</v>
      </c>
      <c r="FA106" s="229">
        <f t="shared" si="18"/>
        <v>0</v>
      </c>
      <c r="FB106" s="229">
        <f t="shared" si="18"/>
        <v>0</v>
      </c>
      <c r="FC106" s="229">
        <f t="shared" si="18"/>
        <v>0</v>
      </c>
      <c r="FD106" s="229">
        <f t="shared" si="19"/>
        <v>0</v>
      </c>
      <c r="FE106" s="229">
        <f t="shared" si="19"/>
        <v>0</v>
      </c>
      <c r="FF106" s="229">
        <f t="shared" si="19"/>
        <v>0</v>
      </c>
      <c r="FG106" s="229">
        <f t="shared" si="19"/>
        <v>0</v>
      </c>
      <c r="FH106" s="229">
        <f t="shared" si="19"/>
        <v>0</v>
      </c>
      <c r="FI106" s="229">
        <f t="shared" si="19"/>
        <v>0</v>
      </c>
      <c r="FJ106" s="229">
        <f t="shared" si="19"/>
        <v>0</v>
      </c>
      <c r="FK106" s="229">
        <f t="shared" si="19"/>
        <v>0</v>
      </c>
      <c r="FL106" s="229">
        <f t="shared" si="19"/>
        <v>0</v>
      </c>
      <c r="FM106" s="229">
        <f t="shared" si="19"/>
        <v>0</v>
      </c>
      <c r="FN106" s="229">
        <f t="shared" si="20"/>
        <v>0</v>
      </c>
      <c r="FO106" s="229">
        <f t="shared" si="20"/>
        <v>0</v>
      </c>
      <c r="FP106" s="229">
        <f t="shared" si="20"/>
        <v>0</v>
      </c>
      <c r="FQ106" s="229">
        <f t="shared" si="20"/>
        <v>0</v>
      </c>
      <c r="FR106" s="229">
        <f t="shared" si="20"/>
        <v>0</v>
      </c>
      <c r="FS106" s="229">
        <f t="shared" si="20"/>
        <v>0</v>
      </c>
      <c r="FT106" s="229">
        <f t="shared" si="20"/>
        <v>0</v>
      </c>
      <c r="FU106" s="229">
        <f t="shared" si="20"/>
        <v>0</v>
      </c>
      <c r="FV106" s="229">
        <f t="shared" si="20"/>
        <v>0</v>
      </c>
      <c r="FW106" s="229">
        <f t="shared" si="20"/>
        <v>0</v>
      </c>
      <c r="FX106" s="229">
        <f t="shared" si="21"/>
        <v>0</v>
      </c>
      <c r="FY106" s="229">
        <f t="shared" si="21"/>
        <v>0</v>
      </c>
      <c r="FZ106" s="229">
        <f t="shared" si="21"/>
        <v>0</v>
      </c>
      <c r="GA106" s="229">
        <f t="shared" si="21"/>
        <v>0</v>
      </c>
      <c r="GB106" s="229">
        <f t="shared" si="21"/>
        <v>0</v>
      </c>
      <c r="GC106" s="229">
        <f t="shared" si="21"/>
        <v>0</v>
      </c>
      <c r="GD106" s="229">
        <f t="shared" si="21"/>
        <v>0</v>
      </c>
      <c r="GE106" s="229">
        <f t="shared" si="21"/>
        <v>0</v>
      </c>
      <c r="GF106" s="229">
        <f t="shared" si="21"/>
        <v>0</v>
      </c>
      <c r="GG106" s="229">
        <f t="shared" si="21"/>
        <v>0</v>
      </c>
      <c r="GH106" s="229">
        <f t="shared" si="22"/>
        <v>0</v>
      </c>
      <c r="GI106" s="229">
        <f t="shared" si="22"/>
        <v>0</v>
      </c>
      <c r="GJ106" s="229">
        <f t="shared" si="22"/>
        <v>0</v>
      </c>
      <c r="GK106" s="229">
        <f t="shared" si="22"/>
        <v>0</v>
      </c>
      <c r="GL106" s="229">
        <f t="shared" si="22"/>
        <v>0</v>
      </c>
      <c r="GM106" s="229">
        <f t="shared" si="22"/>
        <v>0</v>
      </c>
      <c r="GN106" s="229">
        <f t="shared" si="22"/>
        <v>0</v>
      </c>
      <c r="GO106" s="229">
        <f t="shared" si="22"/>
        <v>0</v>
      </c>
      <c r="GP106" s="229">
        <f t="shared" si="22"/>
        <v>0</v>
      </c>
      <c r="GQ106" s="229">
        <f t="shared" si="22"/>
        <v>0</v>
      </c>
      <c r="GR106" s="229">
        <f t="shared" si="23"/>
        <v>0</v>
      </c>
      <c r="GS106" s="229">
        <f t="shared" si="23"/>
        <v>0</v>
      </c>
      <c r="GT106" s="229">
        <f t="shared" si="23"/>
        <v>0</v>
      </c>
      <c r="GU106" s="229">
        <f t="shared" si="23"/>
        <v>0</v>
      </c>
      <c r="GV106" s="229">
        <f t="shared" si="23"/>
        <v>0</v>
      </c>
      <c r="GW106" s="229">
        <f t="shared" si="23"/>
        <v>0</v>
      </c>
      <c r="GX106" s="229">
        <f t="shared" si="23"/>
        <v>0</v>
      </c>
      <c r="GY106" s="229">
        <f t="shared" si="23"/>
        <v>0</v>
      </c>
      <c r="GZ106" s="229">
        <f t="shared" si="23"/>
        <v>0</v>
      </c>
      <c r="HA106" s="229">
        <f t="shared" si="23"/>
        <v>0</v>
      </c>
      <c r="HB106" s="229">
        <f t="shared" si="24"/>
        <v>0</v>
      </c>
      <c r="HC106" s="229">
        <f t="shared" si="24"/>
        <v>0</v>
      </c>
      <c r="HD106" s="229">
        <f t="shared" si="24"/>
        <v>0</v>
      </c>
      <c r="HE106" s="229">
        <f t="shared" si="24"/>
        <v>0</v>
      </c>
      <c r="HF106" s="229">
        <f t="shared" si="24"/>
        <v>0</v>
      </c>
      <c r="HG106" s="229">
        <f t="shared" si="24"/>
        <v>0</v>
      </c>
      <c r="HH106" s="229">
        <f t="shared" si="24"/>
        <v>0</v>
      </c>
      <c r="HI106" s="229">
        <f t="shared" si="24"/>
        <v>0</v>
      </c>
      <c r="HJ106" s="229">
        <f t="shared" si="24"/>
        <v>0</v>
      </c>
      <c r="HK106" s="229">
        <f t="shared" si="24"/>
        <v>0</v>
      </c>
      <c r="HL106" s="229">
        <f t="shared" si="25"/>
        <v>0</v>
      </c>
      <c r="HM106" s="229">
        <f t="shared" si="25"/>
        <v>0</v>
      </c>
      <c r="HN106" s="229">
        <f t="shared" si="25"/>
        <v>0</v>
      </c>
      <c r="HO106" s="229">
        <f t="shared" si="25"/>
        <v>0</v>
      </c>
      <c r="HP106" s="229">
        <f t="shared" si="25"/>
        <v>0</v>
      </c>
      <c r="HQ106" s="229">
        <f t="shared" si="25"/>
        <v>0</v>
      </c>
      <c r="HR106" s="229">
        <f t="shared" si="25"/>
        <v>0</v>
      </c>
      <c r="HS106" s="229">
        <f t="shared" si="25"/>
        <v>0</v>
      </c>
      <c r="HT106" s="229">
        <f t="shared" si="25"/>
        <v>0</v>
      </c>
      <c r="HU106" s="229">
        <f t="shared" si="25"/>
        <v>0</v>
      </c>
      <c r="HV106" s="229">
        <f t="shared" si="26"/>
        <v>0</v>
      </c>
      <c r="HW106" s="229">
        <f t="shared" si="26"/>
        <v>0</v>
      </c>
      <c r="HX106" s="229">
        <f t="shared" si="26"/>
        <v>0</v>
      </c>
      <c r="HY106" s="229">
        <f t="shared" si="26"/>
        <v>0</v>
      </c>
      <c r="HZ106" s="229">
        <f t="shared" si="26"/>
        <v>0</v>
      </c>
      <c r="IA106" s="229">
        <f t="shared" si="26"/>
        <v>0</v>
      </c>
      <c r="IB106" s="229">
        <f t="shared" si="26"/>
        <v>0</v>
      </c>
      <c r="IC106" s="229">
        <f t="shared" si="26"/>
        <v>0</v>
      </c>
      <c r="ID106" s="229">
        <f t="shared" si="26"/>
        <v>0</v>
      </c>
      <c r="IE106" s="229">
        <f t="shared" si="26"/>
        <v>0</v>
      </c>
      <c r="IF106" s="229">
        <f t="shared" si="27"/>
        <v>0</v>
      </c>
      <c r="IG106" s="229">
        <f t="shared" si="27"/>
        <v>0</v>
      </c>
      <c r="IH106" s="229">
        <f t="shared" si="27"/>
        <v>0</v>
      </c>
      <c r="II106" s="229">
        <f t="shared" si="27"/>
        <v>0</v>
      </c>
      <c r="IJ106" s="229">
        <f t="shared" si="27"/>
        <v>0</v>
      </c>
      <c r="IK106" s="229">
        <f t="shared" si="27"/>
        <v>0</v>
      </c>
      <c r="IL106" s="229">
        <f t="shared" si="27"/>
        <v>0</v>
      </c>
      <c r="IM106" s="229">
        <f t="shared" si="27"/>
        <v>0</v>
      </c>
      <c r="IN106" s="229">
        <f t="shared" si="27"/>
        <v>0</v>
      </c>
      <c r="IO106" s="229">
        <f t="shared" si="27"/>
        <v>0</v>
      </c>
      <c r="IP106" s="229">
        <f t="shared" si="28"/>
        <v>0</v>
      </c>
      <c r="IQ106" s="229">
        <f t="shared" si="28"/>
        <v>0</v>
      </c>
      <c r="IR106" s="229">
        <f t="shared" si="28"/>
        <v>0</v>
      </c>
      <c r="IS106" s="229">
        <f t="shared" si="28"/>
        <v>0</v>
      </c>
      <c r="IT106" s="229">
        <f t="shared" si="28"/>
        <v>0</v>
      </c>
      <c r="IU106" s="229">
        <f t="shared" si="28"/>
        <v>0</v>
      </c>
      <c r="IV106" s="229">
        <f t="shared" si="28"/>
        <v>0</v>
      </c>
      <c r="IW106" s="229">
        <f t="shared" si="28"/>
        <v>0</v>
      </c>
      <c r="IX106" s="229">
        <f t="shared" si="28"/>
        <v>0</v>
      </c>
      <c r="IY106" s="229">
        <f t="shared" si="28"/>
        <v>0</v>
      </c>
      <c r="IZ106" s="229">
        <f t="shared" si="29"/>
        <v>0</v>
      </c>
      <c r="JA106" s="229">
        <f t="shared" si="29"/>
        <v>0</v>
      </c>
      <c r="JB106" s="229">
        <f t="shared" si="29"/>
        <v>0</v>
      </c>
      <c r="JC106" s="229">
        <f t="shared" si="29"/>
        <v>0</v>
      </c>
      <c r="JD106" s="229">
        <f t="shared" si="29"/>
        <v>0</v>
      </c>
      <c r="JE106" s="229">
        <f t="shared" si="29"/>
        <v>0</v>
      </c>
      <c r="JF106" s="229">
        <f t="shared" si="29"/>
        <v>0</v>
      </c>
      <c r="JG106" s="229">
        <f t="shared" si="29"/>
        <v>0</v>
      </c>
      <c r="JH106" s="229">
        <f t="shared" si="29"/>
        <v>0</v>
      </c>
      <c r="JI106" s="229">
        <f t="shared" si="29"/>
        <v>0</v>
      </c>
      <c r="JJ106" s="229">
        <f t="shared" si="30"/>
        <v>0</v>
      </c>
      <c r="JK106" s="229">
        <f t="shared" si="30"/>
        <v>0</v>
      </c>
      <c r="JL106" s="229">
        <f t="shared" si="30"/>
        <v>0</v>
      </c>
      <c r="JM106" s="229">
        <f t="shared" si="30"/>
        <v>0</v>
      </c>
      <c r="JN106" s="229">
        <f t="shared" si="30"/>
        <v>0</v>
      </c>
      <c r="JO106" s="229">
        <f t="shared" si="30"/>
        <v>0</v>
      </c>
      <c r="JP106" s="229">
        <f t="shared" si="30"/>
        <v>0</v>
      </c>
      <c r="JQ106" s="229">
        <f t="shared" si="30"/>
        <v>0</v>
      </c>
      <c r="JR106" s="229">
        <f t="shared" si="30"/>
        <v>0</v>
      </c>
      <c r="JS106" s="229">
        <f t="shared" si="30"/>
        <v>0</v>
      </c>
      <c r="JT106" s="229">
        <f t="shared" si="30"/>
        <v>0</v>
      </c>
      <c r="JU106" s="229">
        <f t="shared" si="30"/>
        <v>0</v>
      </c>
      <c r="JV106" s="229">
        <f t="shared" si="30"/>
        <v>0</v>
      </c>
    </row>
    <row r="107" spans="1:282" hidden="1" x14ac:dyDescent="0.3">
      <c r="A107" s="16"/>
      <c r="B107" s="18"/>
      <c r="C107" s="19"/>
      <c r="D107" s="20"/>
      <c r="E107" s="1136"/>
      <c r="F107" s="229">
        <f t="shared" si="31"/>
        <v>0</v>
      </c>
      <c r="G107" s="1071"/>
      <c r="H107" s="229">
        <f t="shared" si="13"/>
        <v>0</v>
      </c>
      <c r="I107" s="21"/>
      <c r="J107" s="21"/>
      <c r="K107" s="22"/>
      <c r="L107" s="229">
        <f t="shared" si="32"/>
        <v>0</v>
      </c>
      <c r="M107" s="22"/>
      <c r="P107" s="229">
        <f t="shared" ref="P107:AU107" si="57">IF(AND(P$99&gt;$B107+$J107-1,P$99&lt;=$B107+11),$F107,IF(P$99&lt;=$B107+$J107-1,0,IF(MOD(P$99-$B107,12)&lt;&gt;0,O107,$F107*IF(MOD(P$99-$B107,12)=0,(1+$M107)^((P$99-$B107)/12),0))))</f>
        <v>0</v>
      </c>
      <c r="Q107" s="229">
        <f t="shared" si="57"/>
        <v>0</v>
      </c>
      <c r="R107" s="229">
        <f t="shared" si="57"/>
        <v>0</v>
      </c>
      <c r="S107" s="229">
        <f t="shared" si="57"/>
        <v>0</v>
      </c>
      <c r="T107" s="229">
        <f t="shared" si="57"/>
        <v>0</v>
      </c>
      <c r="U107" s="229">
        <f t="shared" si="57"/>
        <v>0</v>
      </c>
      <c r="V107" s="229">
        <f t="shared" si="57"/>
        <v>0</v>
      </c>
      <c r="W107" s="229">
        <f t="shared" si="57"/>
        <v>0</v>
      </c>
      <c r="X107" s="229">
        <f t="shared" si="57"/>
        <v>0</v>
      </c>
      <c r="Y107" s="229">
        <f t="shared" si="57"/>
        <v>0</v>
      </c>
      <c r="Z107" s="229">
        <f t="shared" si="57"/>
        <v>0</v>
      </c>
      <c r="AA107" s="229">
        <f t="shared" si="57"/>
        <v>0</v>
      </c>
      <c r="AB107" s="229">
        <f t="shared" si="57"/>
        <v>0</v>
      </c>
      <c r="AC107" s="229">
        <f t="shared" si="57"/>
        <v>0</v>
      </c>
      <c r="AD107" s="229">
        <f t="shared" si="57"/>
        <v>0</v>
      </c>
      <c r="AE107" s="229">
        <f t="shared" si="57"/>
        <v>0</v>
      </c>
      <c r="AF107" s="229">
        <f t="shared" si="57"/>
        <v>0</v>
      </c>
      <c r="AG107" s="229">
        <f t="shared" si="57"/>
        <v>0</v>
      </c>
      <c r="AH107" s="229">
        <f t="shared" si="57"/>
        <v>0</v>
      </c>
      <c r="AI107" s="229">
        <f t="shared" si="57"/>
        <v>0</v>
      </c>
      <c r="AJ107" s="229">
        <f t="shared" si="57"/>
        <v>0</v>
      </c>
      <c r="AK107" s="229">
        <f t="shared" si="57"/>
        <v>0</v>
      </c>
      <c r="AL107" s="229">
        <f t="shared" si="57"/>
        <v>0</v>
      </c>
      <c r="AM107" s="229">
        <f t="shared" si="57"/>
        <v>0</v>
      </c>
      <c r="AN107" s="229">
        <f t="shared" si="57"/>
        <v>0</v>
      </c>
      <c r="AO107" s="229">
        <f t="shared" si="57"/>
        <v>0</v>
      </c>
      <c r="AP107" s="229">
        <f t="shared" si="57"/>
        <v>0</v>
      </c>
      <c r="AQ107" s="229">
        <f t="shared" si="57"/>
        <v>0</v>
      </c>
      <c r="AR107" s="229">
        <f t="shared" si="57"/>
        <v>0</v>
      </c>
      <c r="AS107" s="229">
        <f t="shared" si="57"/>
        <v>0</v>
      </c>
      <c r="AT107" s="229">
        <f t="shared" si="57"/>
        <v>0</v>
      </c>
      <c r="AU107" s="229">
        <f t="shared" si="57"/>
        <v>0</v>
      </c>
      <c r="AV107" s="229">
        <f t="shared" ref="AV107:CA107" si="58">IF(AND(AV$99&gt;$B107+$J107-1,AV$99&lt;=$B107+11),$F107,IF(AV$99&lt;=$B107+$J107-1,0,IF(MOD(AV$99-$B107,12)&lt;&gt;0,AU107,$F107*IF(MOD(AV$99-$B107,12)=0,(1+$M107)^((AV$99-$B107)/12),0))))</f>
        <v>0</v>
      </c>
      <c r="AW107" s="229">
        <f t="shared" si="58"/>
        <v>0</v>
      </c>
      <c r="AX107" s="229">
        <f t="shared" si="58"/>
        <v>0</v>
      </c>
      <c r="AY107" s="229">
        <f t="shared" si="58"/>
        <v>0</v>
      </c>
      <c r="AZ107" s="229">
        <f t="shared" si="58"/>
        <v>0</v>
      </c>
      <c r="BA107" s="229">
        <f t="shared" si="58"/>
        <v>0</v>
      </c>
      <c r="BB107" s="229">
        <f t="shared" si="58"/>
        <v>0</v>
      </c>
      <c r="BC107" s="229">
        <f t="shared" si="58"/>
        <v>0</v>
      </c>
      <c r="BD107" s="229">
        <f t="shared" si="58"/>
        <v>0</v>
      </c>
      <c r="BE107" s="229">
        <f t="shared" si="58"/>
        <v>0</v>
      </c>
      <c r="BF107" s="229">
        <f t="shared" si="58"/>
        <v>0</v>
      </c>
      <c r="BG107" s="229">
        <f t="shared" si="58"/>
        <v>0</v>
      </c>
      <c r="BH107" s="229">
        <f t="shared" si="58"/>
        <v>0</v>
      </c>
      <c r="BI107" s="229">
        <f t="shared" si="58"/>
        <v>0</v>
      </c>
      <c r="BJ107" s="229">
        <f t="shared" si="58"/>
        <v>0</v>
      </c>
      <c r="BK107" s="229">
        <f t="shared" si="58"/>
        <v>0</v>
      </c>
      <c r="BL107" s="229">
        <f t="shared" si="58"/>
        <v>0</v>
      </c>
      <c r="BM107" s="229">
        <f t="shared" si="58"/>
        <v>0</v>
      </c>
      <c r="BN107" s="229">
        <f t="shared" si="58"/>
        <v>0</v>
      </c>
      <c r="BO107" s="229">
        <f t="shared" si="58"/>
        <v>0</v>
      </c>
      <c r="BP107" s="229">
        <f t="shared" si="58"/>
        <v>0</v>
      </c>
      <c r="BQ107" s="229">
        <f t="shared" si="58"/>
        <v>0</v>
      </c>
      <c r="BR107" s="229">
        <f t="shared" si="58"/>
        <v>0</v>
      </c>
      <c r="BS107" s="229">
        <f t="shared" si="58"/>
        <v>0</v>
      </c>
      <c r="BT107" s="229">
        <f t="shared" si="58"/>
        <v>0</v>
      </c>
      <c r="BU107" s="229">
        <f t="shared" si="58"/>
        <v>0</v>
      </c>
      <c r="BV107" s="229">
        <f t="shared" si="58"/>
        <v>0</v>
      </c>
      <c r="BW107" s="229">
        <f t="shared" si="58"/>
        <v>0</v>
      </c>
      <c r="BX107" s="229">
        <f t="shared" si="58"/>
        <v>0</v>
      </c>
      <c r="BY107" s="229">
        <f t="shared" si="58"/>
        <v>0</v>
      </c>
      <c r="BZ107" s="229">
        <f t="shared" si="58"/>
        <v>0</v>
      </c>
      <c r="CA107" s="229">
        <f t="shared" si="58"/>
        <v>0</v>
      </c>
      <c r="CB107" s="229">
        <f t="shared" ref="CB107:DG107" si="59">IF(AND(CB$99&gt;$B107+$J107-1,CB$99&lt;=$B107+11),$F107,IF(CB$99&lt;=$B107+$J107-1,0,IF(MOD(CB$99-$B107,12)&lt;&gt;0,CA107,$F107*IF(MOD(CB$99-$B107,12)=0,(1+$M107)^((CB$99-$B107)/12),0))))</f>
        <v>0</v>
      </c>
      <c r="CC107" s="229">
        <f t="shared" si="59"/>
        <v>0</v>
      </c>
      <c r="CD107" s="229">
        <f t="shared" si="59"/>
        <v>0</v>
      </c>
      <c r="CE107" s="229">
        <f t="shared" si="59"/>
        <v>0</v>
      </c>
      <c r="CF107" s="229">
        <f t="shared" si="59"/>
        <v>0</v>
      </c>
      <c r="CG107" s="229">
        <f t="shared" si="59"/>
        <v>0</v>
      </c>
      <c r="CH107" s="229">
        <f t="shared" si="59"/>
        <v>0</v>
      </c>
      <c r="CI107" s="229">
        <f t="shared" si="59"/>
        <v>0</v>
      </c>
      <c r="CJ107" s="229">
        <f t="shared" si="59"/>
        <v>0</v>
      </c>
      <c r="CK107" s="229">
        <f t="shared" si="59"/>
        <v>0</v>
      </c>
      <c r="CL107" s="229">
        <f t="shared" si="59"/>
        <v>0</v>
      </c>
      <c r="CM107" s="229">
        <f t="shared" si="59"/>
        <v>0</v>
      </c>
      <c r="CN107" s="229">
        <f t="shared" si="59"/>
        <v>0</v>
      </c>
      <c r="CO107" s="229">
        <f t="shared" si="59"/>
        <v>0</v>
      </c>
      <c r="CP107" s="229">
        <f t="shared" si="59"/>
        <v>0</v>
      </c>
      <c r="CQ107" s="229">
        <f t="shared" si="59"/>
        <v>0</v>
      </c>
      <c r="CR107" s="229">
        <f t="shared" si="59"/>
        <v>0</v>
      </c>
      <c r="CS107" s="229">
        <f t="shared" si="59"/>
        <v>0</v>
      </c>
      <c r="CT107" s="229">
        <f t="shared" si="59"/>
        <v>0</v>
      </c>
      <c r="CU107" s="229">
        <f t="shared" si="59"/>
        <v>0</v>
      </c>
      <c r="CV107" s="229">
        <f t="shared" si="59"/>
        <v>0</v>
      </c>
      <c r="CW107" s="229">
        <f t="shared" si="59"/>
        <v>0</v>
      </c>
      <c r="CX107" s="229">
        <f t="shared" si="59"/>
        <v>0</v>
      </c>
      <c r="CY107" s="229">
        <f t="shared" si="59"/>
        <v>0</v>
      </c>
      <c r="CZ107" s="229">
        <f t="shared" si="59"/>
        <v>0</v>
      </c>
      <c r="DA107" s="229">
        <f t="shared" si="59"/>
        <v>0</v>
      </c>
      <c r="DB107" s="229">
        <f t="shared" si="59"/>
        <v>0</v>
      </c>
      <c r="DC107" s="229">
        <f t="shared" si="59"/>
        <v>0</v>
      </c>
      <c r="DD107" s="229">
        <f t="shared" si="59"/>
        <v>0</v>
      </c>
      <c r="DE107" s="229">
        <f t="shared" si="59"/>
        <v>0</v>
      </c>
      <c r="DF107" s="229">
        <f t="shared" si="59"/>
        <v>0</v>
      </c>
      <c r="DG107" s="229">
        <f t="shared" si="59"/>
        <v>0</v>
      </c>
      <c r="DH107" s="229">
        <f t="shared" ref="DH107:ER107" si="60">IF(AND(DH$99&gt;$B107+$J107-1,DH$99&lt;=$B107+11),$F107,IF(DH$99&lt;=$B107+$J107-1,0,IF(MOD(DH$99-$B107,12)&lt;&gt;0,DG107,$F107*IF(MOD(DH$99-$B107,12)=0,(1+$M107)^((DH$99-$B107)/12),0))))</f>
        <v>0</v>
      </c>
      <c r="DI107" s="229">
        <f t="shared" si="60"/>
        <v>0</v>
      </c>
      <c r="DJ107" s="229">
        <f t="shared" si="60"/>
        <v>0</v>
      </c>
      <c r="DK107" s="229">
        <f t="shared" si="60"/>
        <v>0</v>
      </c>
      <c r="DL107" s="229">
        <f t="shared" si="60"/>
        <v>0</v>
      </c>
      <c r="DM107" s="229">
        <f t="shared" si="60"/>
        <v>0</v>
      </c>
      <c r="DN107" s="229">
        <f t="shared" si="60"/>
        <v>0</v>
      </c>
      <c r="DO107" s="229">
        <f t="shared" si="60"/>
        <v>0</v>
      </c>
      <c r="DP107" s="229">
        <f t="shared" si="60"/>
        <v>0</v>
      </c>
      <c r="DQ107" s="229">
        <f t="shared" si="60"/>
        <v>0</v>
      </c>
      <c r="DR107" s="229">
        <f t="shared" si="60"/>
        <v>0</v>
      </c>
      <c r="DS107" s="229">
        <f t="shared" si="60"/>
        <v>0</v>
      </c>
      <c r="DT107" s="229">
        <f t="shared" si="60"/>
        <v>0</v>
      </c>
      <c r="DU107" s="229">
        <f t="shared" si="60"/>
        <v>0</v>
      </c>
      <c r="DV107" s="229">
        <f t="shared" si="60"/>
        <v>0</v>
      </c>
      <c r="DW107" s="229">
        <f t="shared" si="60"/>
        <v>0</v>
      </c>
      <c r="DX107" s="229">
        <f t="shared" si="60"/>
        <v>0</v>
      </c>
      <c r="DY107" s="229">
        <f t="shared" si="60"/>
        <v>0</v>
      </c>
      <c r="DZ107" s="229">
        <f t="shared" si="60"/>
        <v>0</v>
      </c>
      <c r="EA107" s="229">
        <f t="shared" si="60"/>
        <v>0</v>
      </c>
      <c r="EB107" s="229">
        <f t="shared" si="60"/>
        <v>0</v>
      </c>
      <c r="EC107" s="229">
        <f t="shared" si="60"/>
        <v>0</v>
      </c>
      <c r="ED107" s="229">
        <f t="shared" si="60"/>
        <v>0</v>
      </c>
      <c r="EE107" s="229">
        <f t="shared" si="60"/>
        <v>0</v>
      </c>
      <c r="EF107" s="229">
        <f t="shared" si="60"/>
        <v>0</v>
      </c>
      <c r="EG107" s="229">
        <f t="shared" si="60"/>
        <v>0</v>
      </c>
      <c r="EH107" s="229">
        <f t="shared" si="60"/>
        <v>0</v>
      </c>
      <c r="EI107" s="229">
        <f t="shared" si="60"/>
        <v>0</v>
      </c>
      <c r="EJ107" s="229">
        <f t="shared" si="60"/>
        <v>0</v>
      </c>
      <c r="EK107" s="229">
        <f t="shared" si="60"/>
        <v>0</v>
      </c>
      <c r="EL107" s="229">
        <f t="shared" si="60"/>
        <v>0</v>
      </c>
      <c r="EM107" s="229">
        <f t="shared" si="60"/>
        <v>0</v>
      </c>
      <c r="EN107" s="229">
        <f t="shared" si="60"/>
        <v>0</v>
      </c>
      <c r="EO107" s="229">
        <f t="shared" si="60"/>
        <v>0</v>
      </c>
      <c r="EP107" s="229">
        <f t="shared" si="60"/>
        <v>0</v>
      </c>
      <c r="EQ107" s="229">
        <f t="shared" si="60"/>
        <v>0</v>
      </c>
      <c r="ER107" s="229">
        <f t="shared" si="60"/>
        <v>0</v>
      </c>
      <c r="ET107" s="229">
        <f t="shared" si="18"/>
        <v>0</v>
      </c>
      <c r="EU107" s="229">
        <f t="shared" si="18"/>
        <v>0</v>
      </c>
      <c r="EV107" s="229">
        <f t="shared" si="18"/>
        <v>0</v>
      </c>
      <c r="EW107" s="229">
        <f t="shared" si="18"/>
        <v>0</v>
      </c>
      <c r="EX107" s="229">
        <f t="shared" si="18"/>
        <v>0</v>
      </c>
      <c r="EY107" s="229">
        <f t="shared" si="18"/>
        <v>0</v>
      </c>
      <c r="EZ107" s="229">
        <f t="shared" si="18"/>
        <v>0</v>
      </c>
      <c r="FA107" s="229">
        <f t="shared" si="18"/>
        <v>0</v>
      </c>
      <c r="FB107" s="229">
        <f t="shared" si="18"/>
        <v>0</v>
      </c>
      <c r="FC107" s="229">
        <f t="shared" si="18"/>
        <v>0</v>
      </c>
      <c r="FD107" s="229">
        <f t="shared" si="19"/>
        <v>0</v>
      </c>
      <c r="FE107" s="229">
        <f t="shared" si="19"/>
        <v>0</v>
      </c>
      <c r="FF107" s="229">
        <f t="shared" si="19"/>
        <v>0</v>
      </c>
      <c r="FG107" s="229">
        <f t="shared" si="19"/>
        <v>0</v>
      </c>
      <c r="FH107" s="229">
        <f t="shared" si="19"/>
        <v>0</v>
      </c>
      <c r="FI107" s="229">
        <f t="shared" si="19"/>
        <v>0</v>
      </c>
      <c r="FJ107" s="229">
        <f t="shared" si="19"/>
        <v>0</v>
      </c>
      <c r="FK107" s="229">
        <f t="shared" si="19"/>
        <v>0</v>
      </c>
      <c r="FL107" s="229">
        <f t="shared" si="19"/>
        <v>0</v>
      </c>
      <c r="FM107" s="229">
        <f t="shared" si="19"/>
        <v>0</v>
      </c>
      <c r="FN107" s="229">
        <f t="shared" si="20"/>
        <v>0</v>
      </c>
      <c r="FO107" s="229">
        <f t="shared" si="20"/>
        <v>0</v>
      </c>
      <c r="FP107" s="229">
        <f t="shared" si="20"/>
        <v>0</v>
      </c>
      <c r="FQ107" s="229">
        <f t="shared" si="20"/>
        <v>0</v>
      </c>
      <c r="FR107" s="229">
        <f t="shared" si="20"/>
        <v>0</v>
      </c>
      <c r="FS107" s="229">
        <f t="shared" si="20"/>
        <v>0</v>
      </c>
      <c r="FT107" s="229">
        <f t="shared" si="20"/>
        <v>0</v>
      </c>
      <c r="FU107" s="229">
        <f t="shared" si="20"/>
        <v>0</v>
      </c>
      <c r="FV107" s="229">
        <f t="shared" si="20"/>
        <v>0</v>
      </c>
      <c r="FW107" s="229">
        <f t="shared" si="20"/>
        <v>0</v>
      </c>
      <c r="FX107" s="229">
        <f t="shared" si="21"/>
        <v>0</v>
      </c>
      <c r="FY107" s="229">
        <f t="shared" si="21"/>
        <v>0</v>
      </c>
      <c r="FZ107" s="229">
        <f t="shared" si="21"/>
        <v>0</v>
      </c>
      <c r="GA107" s="229">
        <f t="shared" si="21"/>
        <v>0</v>
      </c>
      <c r="GB107" s="229">
        <f t="shared" si="21"/>
        <v>0</v>
      </c>
      <c r="GC107" s="229">
        <f t="shared" si="21"/>
        <v>0</v>
      </c>
      <c r="GD107" s="229">
        <f t="shared" si="21"/>
        <v>0</v>
      </c>
      <c r="GE107" s="229">
        <f t="shared" si="21"/>
        <v>0</v>
      </c>
      <c r="GF107" s="229">
        <f t="shared" si="21"/>
        <v>0</v>
      </c>
      <c r="GG107" s="229">
        <f t="shared" si="21"/>
        <v>0</v>
      </c>
      <c r="GH107" s="229">
        <f t="shared" si="22"/>
        <v>0</v>
      </c>
      <c r="GI107" s="229">
        <f t="shared" si="22"/>
        <v>0</v>
      </c>
      <c r="GJ107" s="229">
        <f t="shared" si="22"/>
        <v>0</v>
      </c>
      <c r="GK107" s="229">
        <f t="shared" si="22"/>
        <v>0</v>
      </c>
      <c r="GL107" s="229">
        <f t="shared" si="22"/>
        <v>0</v>
      </c>
      <c r="GM107" s="229">
        <f t="shared" si="22"/>
        <v>0</v>
      </c>
      <c r="GN107" s="229">
        <f t="shared" si="22"/>
        <v>0</v>
      </c>
      <c r="GO107" s="229">
        <f t="shared" si="22"/>
        <v>0</v>
      </c>
      <c r="GP107" s="229">
        <f t="shared" si="22"/>
        <v>0</v>
      </c>
      <c r="GQ107" s="229">
        <f t="shared" si="22"/>
        <v>0</v>
      </c>
      <c r="GR107" s="229">
        <f t="shared" si="23"/>
        <v>0</v>
      </c>
      <c r="GS107" s="229">
        <f t="shared" si="23"/>
        <v>0</v>
      </c>
      <c r="GT107" s="229">
        <f t="shared" si="23"/>
        <v>0</v>
      </c>
      <c r="GU107" s="229">
        <f t="shared" si="23"/>
        <v>0</v>
      </c>
      <c r="GV107" s="229">
        <f t="shared" si="23"/>
        <v>0</v>
      </c>
      <c r="GW107" s="229">
        <f t="shared" si="23"/>
        <v>0</v>
      </c>
      <c r="GX107" s="229">
        <f t="shared" si="23"/>
        <v>0</v>
      </c>
      <c r="GY107" s="229">
        <f t="shared" si="23"/>
        <v>0</v>
      </c>
      <c r="GZ107" s="229">
        <f t="shared" si="23"/>
        <v>0</v>
      </c>
      <c r="HA107" s="229">
        <f t="shared" si="23"/>
        <v>0</v>
      </c>
      <c r="HB107" s="229">
        <f t="shared" si="24"/>
        <v>0</v>
      </c>
      <c r="HC107" s="229">
        <f t="shared" si="24"/>
        <v>0</v>
      </c>
      <c r="HD107" s="229">
        <f t="shared" si="24"/>
        <v>0</v>
      </c>
      <c r="HE107" s="229">
        <f t="shared" si="24"/>
        <v>0</v>
      </c>
      <c r="HF107" s="229">
        <f t="shared" si="24"/>
        <v>0</v>
      </c>
      <c r="HG107" s="229">
        <f t="shared" si="24"/>
        <v>0</v>
      </c>
      <c r="HH107" s="229">
        <f t="shared" si="24"/>
        <v>0</v>
      </c>
      <c r="HI107" s="229">
        <f t="shared" si="24"/>
        <v>0</v>
      </c>
      <c r="HJ107" s="229">
        <f t="shared" si="24"/>
        <v>0</v>
      </c>
      <c r="HK107" s="229">
        <f t="shared" si="24"/>
        <v>0</v>
      </c>
      <c r="HL107" s="229">
        <f t="shared" si="25"/>
        <v>0</v>
      </c>
      <c r="HM107" s="229">
        <f t="shared" si="25"/>
        <v>0</v>
      </c>
      <c r="HN107" s="229">
        <f t="shared" si="25"/>
        <v>0</v>
      </c>
      <c r="HO107" s="229">
        <f t="shared" si="25"/>
        <v>0</v>
      </c>
      <c r="HP107" s="229">
        <f t="shared" si="25"/>
        <v>0</v>
      </c>
      <c r="HQ107" s="229">
        <f t="shared" si="25"/>
        <v>0</v>
      </c>
      <c r="HR107" s="229">
        <f t="shared" si="25"/>
        <v>0</v>
      </c>
      <c r="HS107" s="229">
        <f t="shared" si="25"/>
        <v>0</v>
      </c>
      <c r="HT107" s="229">
        <f t="shared" si="25"/>
        <v>0</v>
      </c>
      <c r="HU107" s="229">
        <f t="shared" si="25"/>
        <v>0</v>
      </c>
      <c r="HV107" s="229">
        <f t="shared" si="26"/>
        <v>0</v>
      </c>
      <c r="HW107" s="229">
        <f t="shared" si="26"/>
        <v>0</v>
      </c>
      <c r="HX107" s="229">
        <f t="shared" si="26"/>
        <v>0</v>
      </c>
      <c r="HY107" s="229">
        <f t="shared" si="26"/>
        <v>0</v>
      </c>
      <c r="HZ107" s="229">
        <f t="shared" si="26"/>
        <v>0</v>
      </c>
      <c r="IA107" s="229">
        <f t="shared" si="26"/>
        <v>0</v>
      </c>
      <c r="IB107" s="229">
        <f t="shared" si="26"/>
        <v>0</v>
      </c>
      <c r="IC107" s="229">
        <f t="shared" si="26"/>
        <v>0</v>
      </c>
      <c r="ID107" s="229">
        <f t="shared" si="26"/>
        <v>0</v>
      </c>
      <c r="IE107" s="229">
        <f t="shared" si="26"/>
        <v>0</v>
      </c>
      <c r="IF107" s="229">
        <f t="shared" si="27"/>
        <v>0</v>
      </c>
      <c r="IG107" s="229">
        <f t="shared" si="27"/>
        <v>0</v>
      </c>
      <c r="IH107" s="229">
        <f t="shared" si="27"/>
        <v>0</v>
      </c>
      <c r="II107" s="229">
        <f t="shared" si="27"/>
        <v>0</v>
      </c>
      <c r="IJ107" s="229">
        <f t="shared" si="27"/>
        <v>0</v>
      </c>
      <c r="IK107" s="229">
        <f t="shared" si="27"/>
        <v>0</v>
      </c>
      <c r="IL107" s="229">
        <f t="shared" si="27"/>
        <v>0</v>
      </c>
      <c r="IM107" s="229">
        <f t="shared" si="27"/>
        <v>0</v>
      </c>
      <c r="IN107" s="229">
        <f t="shared" si="27"/>
        <v>0</v>
      </c>
      <c r="IO107" s="229">
        <f t="shared" si="27"/>
        <v>0</v>
      </c>
      <c r="IP107" s="229">
        <f t="shared" si="28"/>
        <v>0</v>
      </c>
      <c r="IQ107" s="229">
        <f t="shared" si="28"/>
        <v>0</v>
      </c>
      <c r="IR107" s="229">
        <f t="shared" si="28"/>
        <v>0</v>
      </c>
      <c r="IS107" s="229">
        <f t="shared" si="28"/>
        <v>0</v>
      </c>
      <c r="IT107" s="229">
        <f t="shared" si="28"/>
        <v>0</v>
      </c>
      <c r="IU107" s="229">
        <f t="shared" si="28"/>
        <v>0</v>
      </c>
      <c r="IV107" s="229">
        <f t="shared" si="28"/>
        <v>0</v>
      </c>
      <c r="IW107" s="229">
        <f t="shared" si="28"/>
        <v>0</v>
      </c>
      <c r="IX107" s="229">
        <f t="shared" si="28"/>
        <v>0</v>
      </c>
      <c r="IY107" s="229">
        <f t="shared" si="28"/>
        <v>0</v>
      </c>
      <c r="IZ107" s="229">
        <f t="shared" si="29"/>
        <v>0</v>
      </c>
      <c r="JA107" s="229">
        <f t="shared" si="29"/>
        <v>0</v>
      </c>
      <c r="JB107" s="229">
        <f t="shared" si="29"/>
        <v>0</v>
      </c>
      <c r="JC107" s="229">
        <f t="shared" si="29"/>
        <v>0</v>
      </c>
      <c r="JD107" s="229">
        <f t="shared" si="29"/>
        <v>0</v>
      </c>
      <c r="JE107" s="229">
        <f t="shared" si="29"/>
        <v>0</v>
      </c>
      <c r="JF107" s="229">
        <f t="shared" si="29"/>
        <v>0</v>
      </c>
      <c r="JG107" s="229">
        <f t="shared" si="29"/>
        <v>0</v>
      </c>
      <c r="JH107" s="229">
        <f t="shared" si="29"/>
        <v>0</v>
      </c>
      <c r="JI107" s="229">
        <f t="shared" si="29"/>
        <v>0</v>
      </c>
      <c r="JJ107" s="229">
        <f t="shared" si="30"/>
        <v>0</v>
      </c>
      <c r="JK107" s="229">
        <f t="shared" si="30"/>
        <v>0</v>
      </c>
      <c r="JL107" s="229">
        <f t="shared" si="30"/>
        <v>0</v>
      </c>
      <c r="JM107" s="229">
        <f t="shared" si="30"/>
        <v>0</v>
      </c>
      <c r="JN107" s="229">
        <f t="shared" si="30"/>
        <v>0</v>
      </c>
      <c r="JO107" s="229">
        <f t="shared" si="30"/>
        <v>0</v>
      </c>
      <c r="JP107" s="229">
        <f t="shared" si="30"/>
        <v>0</v>
      </c>
      <c r="JQ107" s="229">
        <f t="shared" si="30"/>
        <v>0</v>
      </c>
      <c r="JR107" s="229">
        <f t="shared" si="30"/>
        <v>0</v>
      </c>
      <c r="JS107" s="229">
        <f t="shared" si="30"/>
        <v>0</v>
      </c>
      <c r="JT107" s="229">
        <f t="shared" si="30"/>
        <v>0</v>
      </c>
      <c r="JU107" s="229">
        <f t="shared" si="30"/>
        <v>0</v>
      </c>
      <c r="JV107" s="229">
        <f t="shared" si="30"/>
        <v>0</v>
      </c>
    </row>
    <row r="108" spans="1:282" hidden="1" x14ac:dyDescent="0.3">
      <c r="A108" s="16"/>
      <c r="B108" s="18"/>
      <c r="C108" s="19"/>
      <c r="D108" s="20"/>
      <c r="E108" s="1136"/>
      <c r="F108" s="229">
        <f t="shared" si="31"/>
        <v>0</v>
      </c>
      <c r="G108" s="1071"/>
      <c r="H108" s="229">
        <f t="shared" si="13"/>
        <v>0</v>
      </c>
      <c r="I108" s="21"/>
      <c r="J108" s="21"/>
      <c r="K108" s="22"/>
      <c r="L108" s="229">
        <f t="shared" si="32"/>
        <v>0</v>
      </c>
      <c r="M108" s="22"/>
      <c r="P108" s="229">
        <f t="shared" ref="P108:AU108" si="61">IF(AND(P$99&gt;$B108+$J108-1,P$99&lt;=$B108+11),$F108,IF(P$99&lt;=$B108+$J108-1,0,IF(MOD(P$99-$B108,12)&lt;&gt;0,O108,$F108*IF(MOD(P$99-$B108,12)=0,(1+$M108)^((P$99-$B108)/12),0))))</f>
        <v>0</v>
      </c>
      <c r="Q108" s="229">
        <f t="shared" si="61"/>
        <v>0</v>
      </c>
      <c r="R108" s="229">
        <f t="shared" si="61"/>
        <v>0</v>
      </c>
      <c r="S108" s="229">
        <f t="shared" si="61"/>
        <v>0</v>
      </c>
      <c r="T108" s="229">
        <f t="shared" si="61"/>
        <v>0</v>
      </c>
      <c r="U108" s="229">
        <f t="shared" si="61"/>
        <v>0</v>
      </c>
      <c r="V108" s="229">
        <f t="shared" si="61"/>
        <v>0</v>
      </c>
      <c r="W108" s="229">
        <f t="shared" si="61"/>
        <v>0</v>
      </c>
      <c r="X108" s="229">
        <f t="shared" si="61"/>
        <v>0</v>
      </c>
      <c r="Y108" s="229">
        <f t="shared" si="61"/>
        <v>0</v>
      </c>
      <c r="Z108" s="229">
        <f t="shared" si="61"/>
        <v>0</v>
      </c>
      <c r="AA108" s="229">
        <f t="shared" si="61"/>
        <v>0</v>
      </c>
      <c r="AB108" s="229">
        <f t="shared" si="61"/>
        <v>0</v>
      </c>
      <c r="AC108" s="229">
        <f t="shared" si="61"/>
        <v>0</v>
      </c>
      <c r="AD108" s="229">
        <f t="shared" si="61"/>
        <v>0</v>
      </c>
      <c r="AE108" s="229">
        <f t="shared" si="61"/>
        <v>0</v>
      </c>
      <c r="AF108" s="229">
        <f t="shared" si="61"/>
        <v>0</v>
      </c>
      <c r="AG108" s="229">
        <f t="shared" si="61"/>
        <v>0</v>
      </c>
      <c r="AH108" s="229">
        <f t="shared" si="61"/>
        <v>0</v>
      </c>
      <c r="AI108" s="229">
        <f t="shared" si="61"/>
        <v>0</v>
      </c>
      <c r="AJ108" s="229">
        <f t="shared" si="61"/>
        <v>0</v>
      </c>
      <c r="AK108" s="229">
        <f t="shared" si="61"/>
        <v>0</v>
      </c>
      <c r="AL108" s="229">
        <f t="shared" si="61"/>
        <v>0</v>
      </c>
      <c r="AM108" s="229">
        <f t="shared" si="61"/>
        <v>0</v>
      </c>
      <c r="AN108" s="229">
        <f t="shared" si="61"/>
        <v>0</v>
      </c>
      <c r="AO108" s="229">
        <f t="shared" si="61"/>
        <v>0</v>
      </c>
      <c r="AP108" s="229">
        <f t="shared" si="61"/>
        <v>0</v>
      </c>
      <c r="AQ108" s="229">
        <f t="shared" si="61"/>
        <v>0</v>
      </c>
      <c r="AR108" s="229">
        <f t="shared" si="61"/>
        <v>0</v>
      </c>
      <c r="AS108" s="229">
        <f t="shared" si="61"/>
        <v>0</v>
      </c>
      <c r="AT108" s="229">
        <f t="shared" si="61"/>
        <v>0</v>
      </c>
      <c r="AU108" s="229">
        <f t="shared" si="61"/>
        <v>0</v>
      </c>
      <c r="AV108" s="229">
        <f t="shared" ref="AV108:CA108" si="62">IF(AND(AV$99&gt;$B108+$J108-1,AV$99&lt;=$B108+11),$F108,IF(AV$99&lt;=$B108+$J108-1,0,IF(MOD(AV$99-$B108,12)&lt;&gt;0,AU108,$F108*IF(MOD(AV$99-$B108,12)=0,(1+$M108)^((AV$99-$B108)/12),0))))</f>
        <v>0</v>
      </c>
      <c r="AW108" s="229">
        <f t="shared" si="62"/>
        <v>0</v>
      </c>
      <c r="AX108" s="229">
        <f t="shared" si="62"/>
        <v>0</v>
      </c>
      <c r="AY108" s="229">
        <f t="shared" si="62"/>
        <v>0</v>
      </c>
      <c r="AZ108" s="229">
        <f t="shared" si="62"/>
        <v>0</v>
      </c>
      <c r="BA108" s="229">
        <f t="shared" si="62"/>
        <v>0</v>
      </c>
      <c r="BB108" s="229">
        <f t="shared" si="62"/>
        <v>0</v>
      </c>
      <c r="BC108" s="229">
        <f t="shared" si="62"/>
        <v>0</v>
      </c>
      <c r="BD108" s="229">
        <f t="shared" si="62"/>
        <v>0</v>
      </c>
      <c r="BE108" s="229">
        <f t="shared" si="62"/>
        <v>0</v>
      </c>
      <c r="BF108" s="229">
        <f t="shared" si="62"/>
        <v>0</v>
      </c>
      <c r="BG108" s="229">
        <f t="shared" si="62"/>
        <v>0</v>
      </c>
      <c r="BH108" s="229">
        <f t="shared" si="62"/>
        <v>0</v>
      </c>
      <c r="BI108" s="229">
        <f t="shared" si="62"/>
        <v>0</v>
      </c>
      <c r="BJ108" s="229">
        <f t="shared" si="62"/>
        <v>0</v>
      </c>
      <c r="BK108" s="229">
        <f t="shared" si="62"/>
        <v>0</v>
      </c>
      <c r="BL108" s="229">
        <f t="shared" si="62"/>
        <v>0</v>
      </c>
      <c r="BM108" s="229">
        <f t="shared" si="62"/>
        <v>0</v>
      </c>
      <c r="BN108" s="229">
        <f t="shared" si="62"/>
        <v>0</v>
      </c>
      <c r="BO108" s="229">
        <f t="shared" si="62"/>
        <v>0</v>
      </c>
      <c r="BP108" s="229">
        <f t="shared" si="62"/>
        <v>0</v>
      </c>
      <c r="BQ108" s="229">
        <f t="shared" si="62"/>
        <v>0</v>
      </c>
      <c r="BR108" s="229">
        <f t="shared" si="62"/>
        <v>0</v>
      </c>
      <c r="BS108" s="229">
        <f t="shared" si="62"/>
        <v>0</v>
      </c>
      <c r="BT108" s="229">
        <f t="shared" si="62"/>
        <v>0</v>
      </c>
      <c r="BU108" s="229">
        <f t="shared" si="62"/>
        <v>0</v>
      </c>
      <c r="BV108" s="229">
        <f t="shared" si="62"/>
        <v>0</v>
      </c>
      <c r="BW108" s="229">
        <f t="shared" si="62"/>
        <v>0</v>
      </c>
      <c r="BX108" s="229">
        <f t="shared" si="62"/>
        <v>0</v>
      </c>
      <c r="BY108" s="229">
        <f t="shared" si="62"/>
        <v>0</v>
      </c>
      <c r="BZ108" s="229">
        <f t="shared" si="62"/>
        <v>0</v>
      </c>
      <c r="CA108" s="229">
        <f t="shared" si="62"/>
        <v>0</v>
      </c>
      <c r="CB108" s="229">
        <f t="shared" ref="CB108:DG108" si="63">IF(AND(CB$99&gt;$B108+$J108-1,CB$99&lt;=$B108+11),$F108,IF(CB$99&lt;=$B108+$J108-1,0,IF(MOD(CB$99-$B108,12)&lt;&gt;0,CA108,$F108*IF(MOD(CB$99-$B108,12)=0,(1+$M108)^((CB$99-$B108)/12),0))))</f>
        <v>0</v>
      </c>
      <c r="CC108" s="229">
        <f t="shared" si="63"/>
        <v>0</v>
      </c>
      <c r="CD108" s="229">
        <f t="shared" si="63"/>
        <v>0</v>
      </c>
      <c r="CE108" s="229">
        <f t="shared" si="63"/>
        <v>0</v>
      </c>
      <c r="CF108" s="229">
        <f t="shared" si="63"/>
        <v>0</v>
      </c>
      <c r="CG108" s="229">
        <f t="shared" si="63"/>
        <v>0</v>
      </c>
      <c r="CH108" s="229">
        <f t="shared" si="63"/>
        <v>0</v>
      </c>
      <c r="CI108" s="229">
        <f t="shared" si="63"/>
        <v>0</v>
      </c>
      <c r="CJ108" s="229">
        <f t="shared" si="63"/>
        <v>0</v>
      </c>
      <c r="CK108" s="229">
        <f t="shared" si="63"/>
        <v>0</v>
      </c>
      <c r="CL108" s="229">
        <f t="shared" si="63"/>
        <v>0</v>
      </c>
      <c r="CM108" s="229">
        <f t="shared" si="63"/>
        <v>0</v>
      </c>
      <c r="CN108" s="229">
        <f t="shared" si="63"/>
        <v>0</v>
      </c>
      <c r="CO108" s="229">
        <f t="shared" si="63"/>
        <v>0</v>
      </c>
      <c r="CP108" s="229">
        <f t="shared" si="63"/>
        <v>0</v>
      </c>
      <c r="CQ108" s="229">
        <f t="shared" si="63"/>
        <v>0</v>
      </c>
      <c r="CR108" s="229">
        <f t="shared" si="63"/>
        <v>0</v>
      </c>
      <c r="CS108" s="229">
        <f t="shared" si="63"/>
        <v>0</v>
      </c>
      <c r="CT108" s="229">
        <f t="shared" si="63"/>
        <v>0</v>
      </c>
      <c r="CU108" s="229">
        <f t="shared" si="63"/>
        <v>0</v>
      </c>
      <c r="CV108" s="229">
        <f t="shared" si="63"/>
        <v>0</v>
      </c>
      <c r="CW108" s="229">
        <f t="shared" si="63"/>
        <v>0</v>
      </c>
      <c r="CX108" s="229">
        <f t="shared" si="63"/>
        <v>0</v>
      </c>
      <c r="CY108" s="229">
        <f t="shared" si="63"/>
        <v>0</v>
      </c>
      <c r="CZ108" s="229">
        <f t="shared" si="63"/>
        <v>0</v>
      </c>
      <c r="DA108" s="229">
        <f t="shared" si="63"/>
        <v>0</v>
      </c>
      <c r="DB108" s="229">
        <f t="shared" si="63"/>
        <v>0</v>
      </c>
      <c r="DC108" s="229">
        <f t="shared" si="63"/>
        <v>0</v>
      </c>
      <c r="DD108" s="229">
        <f t="shared" si="63"/>
        <v>0</v>
      </c>
      <c r="DE108" s="229">
        <f t="shared" si="63"/>
        <v>0</v>
      </c>
      <c r="DF108" s="229">
        <f t="shared" si="63"/>
        <v>0</v>
      </c>
      <c r="DG108" s="229">
        <f t="shared" si="63"/>
        <v>0</v>
      </c>
      <c r="DH108" s="229">
        <f t="shared" ref="DH108:ER108" si="64">IF(AND(DH$99&gt;$B108+$J108-1,DH$99&lt;=$B108+11),$F108,IF(DH$99&lt;=$B108+$J108-1,0,IF(MOD(DH$99-$B108,12)&lt;&gt;0,DG108,$F108*IF(MOD(DH$99-$B108,12)=0,(1+$M108)^((DH$99-$B108)/12),0))))</f>
        <v>0</v>
      </c>
      <c r="DI108" s="229">
        <f t="shared" si="64"/>
        <v>0</v>
      </c>
      <c r="DJ108" s="229">
        <f t="shared" si="64"/>
        <v>0</v>
      </c>
      <c r="DK108" s="229">
        <f t="shared" si="64"/>
        <v>0</v>
      </c>
      <c r="DL108" s="229">
        <f t="shared" si="64"/>
        <v>0</v>
      </c>
      <c r="DM108" s="229">
        <f t="shared" si="64"/>
        <v>0</v>
      </c>
      <c r="DN108" s="229">
        <f t="shared" si="64"/>
        <v>0</v>
      </c>
      <c r="DO108" s="229">
        <f t="shared" si="64"/>
        <v>0</v>
      </c>
      <c r="DP108" s="229">
        <f t="shared" si="64"/>
        <v>0</v>
      </c>
      <c r="DQ108" s="229">
        <f t="shared" si="64"/>
        <v>0</v>
      </c>
      <c r="DR108" s="229">
        <f t="shared" si="64"/>
        <v>0</v>
      </c>
      <c r="DS108" s="229">
        <f t="shared" si="64"/>
        <v>0</v>
      </c>
      <c r="DT108" s="229">
        <f t="shared" si="64"/>
        <v>0</v>
      </c>
      <c r="DU108" s="229">
        <f t="shared" si="64"/>
        <v>0</v>
      </c>
      <c r="DV108" s="229">
        <f t="shared" si="64"/>
        <v>0</v>
      </c>
      <c r="DW108" s="229">
        <f t="shared" si="64"/>
        <v>0</v>
      </c>
      <c r="DX108" s="229">
        <f t="shared" si="64"/>
        <v>0</v>
      </c>
      <c r="DY108" s="229">
        <f t="shared" si="64"/>
        <v>0</v>
      </c>
      <c r="DZ108" s="229">
        <f t="shared" si="64"/>
        <v>0</v>
      </c>
      <c r="EA108" s="229">
        <f t="shared" si="64"/>
        <v>0</v>
      </c>
      <c r="EB108" s="229">
        <f t="shared" si="64"/>
        <v>0</v>
      </c>
      <c r="EC108" s="229">
        <f t="shared" si="64"/>
        <v>0</v>
      </c>
      <c r="ED108" s="229">
        <f t="shared" si="64"/>
        <v>0</v>
      </c>
      <c r="EE108" s="229">
        <f t="shared" si="64"/>
        <v>0</v>
      </c>
      <c r="EF108" s="229">
        <f t="shared" si="64"/>
        <v>0</v>
      </c>
      <c r="EG108" s="229">
        <f t="shared" si="64"/>
        <v>0</v>
      </c>
      <c r="EH108" s="229">
        <f t="shared" si="64"/>
        <v>0</v>
      </c>
      <c r="EI108" s="229">
        <f t="shared" si="64"/>
        <v>0</v>
      </c>
      <c r="EJ108" s="229">
        <f t="shared" si="64"/>
        <v>0</v>
      </c>
      <c r="EK108" s="229">
        <f t="shared" si="64"/>
        <v>0</v>
      </c>
      <c r="EL108" s="229">
        <f t="shared" si="64"/>
        <v>0</v>
      </c>
      <c r="EM108" s="229">
        <f t="shared" si="64"/>
        <v>0</v>
      </c>
      <c r="EN108" s="229">
        <f t="shared" si="64"/>
        <v>0</v>
      </c>
      <c r="EO108" s="229">
        <f t="shared" si="64"/>
        <v>0</v>
      </c>
      <c r="EP108" s="229">
        <f t="shared" si="64"/>
        <v>0</v>
      </c>
      <c r="EQ108" s="229">
        <f t="shared" si="64"/>
        <v>0</v>
      </c>
      <c r="ER108" s="229">
        <f t="shared" si="64"/>
        <v>0</v>
      </c>
      <c r="ET108" s="229">
        <f t="shared" si="18"/>
        <v>0</v>
      </c>
      <c r="EU108" s="229">
        <f t="shared" si="18"/>
        <v>0</v>
      </c>
      <c r="EV108" s="229">
        <f t="shared" si="18"/>
        <v>0</v>
      </c>
      <c r="EW108" s="229">
        <f t="shared" si="18"/>
        <v>0</v>
      </c>
      <c r="EX108" s="229">
        <f t="shared" si="18"/>
        <v>0</v>
      </c>
      <c r="EY108" s="229">
        <f t="shared" si="18"/>
        <v>0</v>
      </c>
      <c r="EZ108" s="229">
        <f t="shared" si="18"/>
        <v>0</v>
      </c>
      <c r="FA108" s="229">
        <f t="shared" si="18"/>
        <v>0</v>
      </c>
      <c r="FB108" s="229">
        <f t="shared" si="18"/>
        <v>0</v>
      </c>
      <c r="FC108" s="229">
        <f t="shared" si="18"/>
        <v>0</v>
      </c>
      <c r="FD108" s="229">
        <f t="shared" si="19"/>
        <v>0</v>
      </c>
      <c r="FE108" s="229">
        <f t="shared" si="19"/>
        <v>0</v>
      </c>
      <c r="FF108" s="229">
        <f t="shared" si="19"/>
        <v>0</v>
      </c>
      <c r="FG108" s="229">
        <f t="shared" si="19"/>
        <v>0</v>
      </c>
      <c r="FH108" s="229">
        <f t="shared" si="19"/>
        <v>0</v>
      </c>
      <c r="FI108" s="229">
        <f t="shared" si="19"/>
        <v>0</v>
      </c>
      <c r="FJ108" s="229">
        <f t="shared" si="19"/>
        <v>0</v>
      </c>
      <c r="FK108" s="229">
        <f t="shared" si="19"/>
        <v>0</v>
      </c>
      <c r="FL108" s="229">
        <f t="shared" si="19"/>
        <v>0</v>
      </c>
      <c r="FM108" s="229">
        <f t="shared" si="19"/>
        <v>0</v>
      </c>
      <c r="FN108" s="229">
        <f t="shared" si="20"/>
        <v>0</v>
      </c>
      <c r="FO108" s="229">
        <f t="shared" si="20"/>
        <v>0</v>
      </c>
      <c r="FP108" s="229">
        <f t="shared" si="20"/>
        <v>0</v>
      </c>
      <c r="FQ108" s="229">
        <f t="shared" si="20"/>
        <v>0</v>
      </c>
      <c r="FR108" s="229">
        <f t="shared" si="20"/>
        <v>0</v>
      </c>
      <c r="FS108" s="229">
        <f t="shared" si="20"/>
        <v>0</v>
      </c>
      <c r="FT108" s="229">
        <f t="shared" si="20"/>
        <v>0</v>
      </c>
      <c r="FU108" s="229">
        <f t="shared" si="20"/>
        <v>0</v>
      </c>
      <c r="FV108" s="229">
        <f t="shared" si="20"/>
        <v>0</v>
      </c>
      <c r="FW108" s="229">
        <f t="shared" si="20"/>
        <v>0</v>
      </c>
      <c r="FX108" s="229">
        <f t="shared" si="21"/>
        <v>0</v>
      </c>
      <c r="FY108" s="229">
        <f t="shared" si="21"/>
        <v>0</v>
      </c>
      <c r="FZ108" s="229">
        <f t="shared" si="21"/>
        <v>0</v>
      </c>
      <c r="GA108" s="229">
        <f t="shared" si="21"/>
        <v>0</v>
      </c>
      <c r="GB108" s="229">
        <f t="shared" si="21"/>
        <v>0</v>
      </c>
      <c r="GC108" s="229">
        <f t="shared" si="21"/>
        <v>0</v>
      </c>
      <c r="GD108" s="229">
        <f t="shared" si="21"/>
        <v>0</v>
      </c>
      <c r="GE108" s="229">
        <f t="shared" si="21"/>
        <v>0</v>
      </c>
      <c r="GF108" s="229">
        <f t="shared" si="21"/>
        <v>0</v>
      </c>
      <c r="GG108" s="229">
        <f t="shared" si="21"/>
        <v>0</v>
      </c>
      <c r="GH108" s="229">
        <f t="shared" si="22"/>
        <v>0</v>
      </c>
      <c r="GI108" s="229">
        <f t="shared" si="22"/>
        <v>0</v>
      </c>
      <c r="GJ108" s="229">
        <f t="shared" si="22"/>
        <v>0</v>
      </c>
      <c r="GK108" s="229">
        <f t="shared" si="22"/>
        <v>0</v>
      </c>
      <c r="GL108" s="229">
        <f t="shared" si="22"/>
        <v>0</v>
      </c>
      <c r="GM108" s="229">
        <f t="shared" si="22"/>
        <v>0</v>
      </c>
      <c r="GN108" s="229">
        <f t="shared" si="22"/>
        <v>0</v>
      </c>
      <c r="GO108" s="229">
        <f t="shared" si="22"/>
        <v>0</v>
      </c>
      <c r="GP108" s="229">
        <f t="shared" si="22"/>
        <v>0</v>
      </c>
      <c r="GQ108" s="229">
        <f t="shared" si="22"/>
        <v>0</v>
      </c>
      <c r="GR108" s="229">
        <f t="shared" si="23"/>
        <v>0</v>
      </c>
      <c r="GS108" s="229">
        <f t="shared" si="23"/>
        <v>0</v>
      </c>
      <c r="GT108" s="229">
        <f t="shared" si="23"/>
        <v>0</v>
      </c>
      <c r="GU108" s="229">
        <f t="shared" si="23"/>
        <v>0</v>
      </c>
      <c r="GV108" s="229">
        <f t="shared" si="23"/>
        <v>0</v>
      </c>
      <c r="GW108" s="229">
        <f t="shared" si="23"/>
        <v>0</v>
      </c>
      <c r="GX108" s="229">
        <f t="shared" si="23"/>
        <v>0</v>
      </c>
      <c r="GY108" s="229">
        <f t="shared" si="23"/>
        <v>0</v>
      </c>
      <c r="GZ108" s="229">
        <f t="shared" si="23"/>
        <v>0</v>
      </c>
      <c r="HA108" s="229">
        <f t="shared" si="23"/>
        <v>0</v>
      </c>
      <c r="HB108" s="229">
        <f t="shared" si="24"/>
        <v>0</v>
      </c>
      <c r="HC108" s="229">
        <f t="shared" si="24"/>
        <v>0</v>
      </c>
      <c r="HD108" s="229">
        <f t="shared" si="24"/>
        <v>0</v>
      </c>
      <c r="HE108" s="229">
        <f t="shared" si="24"/>
        <v>0</v>
      </c>
      <c r="HF108" s="229">
        <f t="shared" si="24"/>
        <v>0</v>
      </c>
      <c r="HG108" s="229">
        <f t="shared" si="24"/>
        <v>0</v>
      </c>
      <c r="HH108" s="229">
        <f t="shared" si="24"/>
        <v>0</v>
      </c>
      <c r="HI108" s="229">
        <f t="shared" si="24"/>
        <v>0</v>
      </c>
      <c r="HJ108" s="229">
        <f t="shared" si="24"/>
        <v>0</v>
      </c>
      <c r="HK108" s="229">
        <f t="shared" si="24"/>
        <v>0</v>
      </c>
      <c r="HL108" s="229">
        <f t="shared" si="25"/>
        <v>0</v>
      </c>
      <c r="HM108" s="229">
        <f t="shared" si="25"/>
        <v>0</v>
      </c>
      <c r="HN108" s="229">
        <f t="shared" si="25"/>
        <v>0</v>
      </c>
      <c r="HO108" s="229">
        <f t="shared" si="25"/>
        <v>0</v>
      </c>
      <c r="HP108" s="229">
        <f t="shared" si="25"/>
        <v>0</v>
      </c>
      <c r="HQ108" s="229">
        <f t="shared" si="25"/>
        <v>0</v>
      </c>
      <c r="HR108" s="229">
        <f t="shared" si="25"/>
        <v>0</v>
      </c>
      <c r="HS108" s="229">
        <f t="shared" si="25"/>
        <v>0</v>
      </c>
      <c r="HT108" s="229">
        <f t="shared" si="25"/>
        <v>0</v>
      </c>
      <c r="HU108" s="229">
        <f t="shared" si="25"/>
        <v>0</v>
      </c>
      <c r="HV108" s="229">
        <f t="shared" si="26"/>
        <v>0</v>
      </c>
      <c r="HW108" s="229">
        <f t="shared" si="26"/>
        <v>0</v>
      </c>
      <c r="HX108" s="229">
        <f t="shared" si="26"/>
        <v>0</v>
      </c>
      <c r="HY108" s="229">
        <f t="shared" si="26"/>
        <v>0</v>
      </c>
      <c r="HZ108" s="229">
        <f t="shared" si="26"/>
        <v>0</v>
      </c>
      <c r="IA108" s="229">
        <f t="shared" si="26"/>
        <v>0</v>
      </c>
      <c r="IB108" s="229">
        <f t="shared" si="26"/>
        <v>0</v>
      </c>
      <c r="IC108" s="229">
        <f t="shared" si="26"/>
        <v>0</v>
      </c>
      <c r="ID108" s="229">
        <f t="shared" si="26"/>
        <v>0</v>
      </c>
      <c r="IE108" s="229">
        <f t="shared" si="26"/>
        <v>0</v>
      </c>
      <c r="IF108" s="229">
        <f t="shared" si="27"/>
        <v>0</v>
      </c>
      <c r="IG108" s="229">
        <f t="shared" si="27"/>
        <v>0</v>
      </c>
      <c r="IH108" s="229">
        <f t="shared" si="27"/>
        <v>0</v>
      </c>
      <c r="II108" s="229">
        <f t="shared" si="27"/>
        <v>0</v>
      </c>
      <c r="IJ108" s="229">
        <f t="shared" si="27"/>
        <v>0</v>
      </c>
      <c r="IK108" s="229">
        <f t="shared" si="27"/>
        <v>0</v>
      </c>
      <c r="IL108" s="229">
        <f t="shared" si="27"/>
        <v>0</v>
      </c>
      <c r="IM108" s="229">
        <f t="shared" si="27"/>
        <v>0</v>
      </c>
      <c r="IN108" s="229">
        <f t="shared" si="27"/>
        <v>0</v>
      </c>
      <c r="IO108" s="229">
        <f t="shared" si="27"/>
        <v>0</v>
      </c>
      <c r="IP108" s="229">
        <f t="shared" si="28"/>
        <v>0</v>
      </c>
      <c r="IQ108" s="229">
        <f t="shared" si="28"/>
        <v>0</v>
      </c>
      <c r="IR108" s="229">
        <f t="shared" si="28"/>
        <v>0</v>
      </c>
      <c r="IS108" s="229">
        <f t="shared" si="28"/>
        <v>0</v>
      </c>
      <c r="IT108" s="229">
        <f t="shared" si="28"/>
        <v>0</v>
      </c>
      <c r="IU108" s="229">
        <f t="shared" si="28"/>
        <v>0</v>
      </c>
      <c r="IV108" s="229">
        <f t="shared" si="28"/>
        <v>0</v>
      </c>
      <c r="IW108" s="229">
        <f t="shared" si="28"/>
        <v>0</v>
      </c>
      <c r="IX108" s="229">
        <f t="shared" si="28"/>
        <v>0</v>
      </c>
      <c r="IY108" s="229">
        <f t="shared" si="28"/>
        <v>0</v>
      </c>
      <c r="IZ108" s="229">
        <f t="shared" si="29"/>
        <v>0</v>
      </c>
      <c r="JA108" s="229">
        <f t="shared" si="29"/>
        <v>0</v>
      </c>
      <c r="JB108" s="229">
        <f t="shared" si="29"/>
        <v>0</v>
      </c>
      <c r="JC108" s="229">
        <f t="shared" si="29"/>
        <v>0</v>
      </c>
      <c r="JD108" s="229">
        <f t="shared" si="29"/>
        <v>0</v>
      </c>
      <c r="JE108" s="229">
        <f t="shared" si="29"/>
        <v>0</v>
      </c>
      <c r="JF108" s="229">
        <f t="shared" si="29"/>
        <v>0</v>
      </c>
      <c r="JG108" s="229">
        <f t="shared" si="29"/>
        <v>0</v>
      </c>
      <c r="JH108" s="229">
        <f t="shared" si="29"/>
        <v>0</v>
      </c>
      <c r="JI108" s="229">
        <f t="shared" si="29"/>
        <v>0</v>
      </c>
      <c r="JJ108" s="229">
        <f t="shared" si="30"/>
        <v>0</v>
      </c>
      <c r="JK108" s="229">
        <f t="shared" si="30"/>
        <v>0</v>
      </c>
      <c r="JL108" s="229">
        <f t="shared" si="30"/>
        <v>0</v>
      </c>
      <c r="JM108" s="229">
        <f t="shared" si="30"/>
        <v>0</v>
      </c>
      <c r="JN108" s="229">
        <f t="shared" si="30"/>
        <v>0</v>
      </c>
      <c r="JO108" s="229">
        <f t="shared" si="30"/>
        <v>0</v>
      </c>
      <c r="JP108" s="229">
        <f t="shared" si="30"/>
        <v>0</v>
      </c>
      <c r="JQ108" s="229">
        <f t="shared" si="30"/>
        <v>0</v>
      </c>
      <c r="JR108" s="229">
        <f t="shared" si="30"/>
        <v>0</v>
      </c>
      <c r="JS108" s="229">
        <f t="shared" si="30"/>
        <v>0</v>
      </c>
      <c r="JT108" s="229">
        <f t="shared" si="30"/>
        <v>0</v>
      </c>
      <c r="JU108" s="229">
        <f t="shared" si="30"/>
        <v>0</v>
      </c>
      <c r="JV108" s="229">
        <f t="shared" si="30"/>
        <v>0</v>
      </c>
    </row>
    <row r="109" spans="1:282" hidden="1" x14ac:dyDescent="0.3">
      <c r="A109" s="16"/>
      <c r="B109" s="18"/>
      <c r="C109" s="19"/>
      <c r="D109" s="20"/>
      <c r="E109" s="1136"/>
      <c r="F109" s="229">
        <f t="shared" si="31"/>
        <v>0</v>
      </c>
      <c r="G109" s="1071"/>
      <c r="H109" s="229">
        <f t="shared" si="13"/>
        <v>0</v>
      </c>
      <c r="I109" s="21"/>
      <c r="J109" s="21"/>
      <c r="K109" s="22"/>
      <c r="L109" s="229">
        <f t="shared" si="32"/>
        <v>0</v>
      </c>
      <c r="M109" s="22"/>
      <c r="P109" s="229">
        <f t="shared" ref="P109:AU109" si="65">IF(AND(P$99&gt;$B109+$J109-1,P$99&lt;=$B109+11),$F109,IF(P$99&lt;=$B109+$J109-1,0,IF(MOD(P$99-$B109,12)&lt;&gt;0,O109,$F109*IF(MOD(P$99-$B109,12)=0,(1+$M109)^((P$99-$B109)/12),0))))</f>
        <v>0</v>
      </c>
      <c r="Q109" s="229">
        <f t="shared" si="65"/>
        <v>0</v>
      </c>
      <c r="R109" s="229">
        <f t="shared" si="65"/>
        <v>0</v>
      </c>
      <c r="S109" s="229">
        <f t="shared" si="65"/>
        <v>0</v>
      </c>
      <c r="T109" s="229">
        <f t="shared" si="65"/>
        <v>0</v>
      </c>
      <c r="U109" s="229">
        <f t="shared" si="65"/>
        <v>0</v>
      </c>
      <c r="V109" s="229">
        <f t="shared" si="65"/>
        <v>0</v>
      </c>
      <c r="W109" s="229">
        <f t="shared" si="65"/>
        <v>0</v>
      </c>
      <c r="X109" s="229">
        <f t="shared" si="65"/>
        <v>0</v>
      </c>
      <c r="Y109" s="229">
        <f t="shared" si="65"/>
        <v>0</v>
      </c>
      <c r="Z109" s="229">
        <f t="shared" si="65"/>
        <v>0</v>
      </c>
      <c r="AA109" s="229">
        <f t="shared" si="65"/>
        <v>0</v>
      </c>
      <c r="AB109" s="229">
        <f t="shared" si="65"/>
        <v>0</v>
      </c>
      <c r="AC109" s="229">
        <f t="shared" si="65"/>
        <v>0</v>
      </c>
      <c r="AD109" s="229">
        <f t="shared" si="65"/>
        <v>0</v>
      </c>
      <c r="AE109" s="229">
        <f t="shared" si="65"/>
        <v>0</v>
      </c>
      <c r="AF109" s="229">
        <f t="shared" si="65"/>
        <v>0</v>
      </c>
      <c r="AG109" s="229">
        <f t="shared" si="65"/>
        <v>0</v>
      </c>
      <c r="AH109" s="229">
        <f t="shared" si="65"/>
        <v>0</v>
      </c>
      <c r="AI109" s="229">
        <f t="shared" si="65"/>
        <v>0</v>
      </c>
      <c r="AJ109" s="229">
        <f t="shared" si="65"/>
        <v>0</v>
      </c>
      <c r="AK109" s="229">
        <f t="shared" si="65"/>
        <v>0</v>
      </c>
      <c r="AL109" s="229">
        <f t="shared" si="65"/>
        <v>0</v>
      </c>
      <c r="AM109" s="229">
        <f t="shared" si="65"/>
        <v>0</v>
      </c>
      <c r="AN109" s="229">
        <f t="shared" si="65"/>
        <v>0</v>
      </c>
      <c r="AO109" s="229">
        <f t="shared" si="65"/>
        <v>0</v>
      </c>
      <c r="AP109" s="229">
        <f t="shared" si="65"/>
        <v>0</v>
      </c>
      <c r="AQ109" s="229">
        <f t="shared" si="65"/>
        <v>0</v>
      </c>
      <c r="AR109" s="229">
        <f t="shared" si="65"/>
        <v>0</v>
      </c>
      <c r="AS109" s="229">
        <f t="shared" si="65"/>
        <v>0</v>
      </c>
      <c r="AT109" s="229">
        <f t="shared" si="65"/>
        <v>0</v>
      </c>
      <c r="AU109" s="229">
        <f t="shared" si="65"/>
        <v>0</v>
      </c>
      <c r="AV109" s="229">
        <f t="shared" ref="AV109:CA109" si="66">IF(AND(AV$99&gt;$B109+$J109-1,AV$99&lt;=$B109+11),$F109,IF(AV$99&lt;=$B109+$J109-1,0,IF(MOD(AV$99-$B109,12)&lt;&gt;0,AU109,$F109*IF(MOD(AV$99-$B109,12)=0,(1+$M109)^((AV$99-$B109)/12),0))))</f>
        <v>0</v>
      </c>
      <c r="AW109" s="229">
        <f t="shared" si="66"/>
        <v>0</v>
      </c>
      <c r="AX109" s="229">
        <f t="shared" si="66"/>
        <v>0</v>
      </c>
      <c r="AY109" s="229">
        <f t="shared" si="66"/>
        <v>0</v>
      </c>
      <c r="AZ109" s="229">
        <f t="shared" si="66"/>
        <v>0</v>
      </c>
      <c r="BA109" s="229">
        <f t="shared" si="66"/>
        <v>0</v>
      </c>
      <c r="BB109" s="229">
        <f t="shared" si="66"/>
        <v>0</v>
      </c>
      <c r="BC109" s="229">
        <f t="shared" si="66"/>
        <v>0</v>
      </c>
      <c r="BD109" s="229">
        <f t="shared" si="66"/>
        <v>0</v>
      </c>
      <c r="BE109" s="229">
        <f t="shared" si="66"/>
        <v>0</v>
      </c>
      <c r="BF109" s="229">
        <f t="shared" si="66"/>
        <v>0</v>
      </c>
      <c r="BG109" s="229">
        <f t="shared" si="66"/>
        <v>0</v>
      </c>
      <c r="BH109" s="229">
        <f t="shared" si="66"/>
        <v>0</v>
      </c>
      <c r="BI109" s="229">
        <f t="shared" si="66"/>
        <v>0</v>
      </c>
      <c r="BJ109" s="229">
        <f t="shared" si="66"/>
        <v>0</v>
      </c>
      <c r="BK109" s="229">
        <f t="shared" si="66"/>
        <v>0</v>
      </c>
      <c r="BL109" s="229">
        <f t="shared" si="66"/>
        <v>0</v>
      </c>
      <c r="BM109" s="229">
        <f t="shared" si="66"/>
        <v>0</v>
      </c>
      <c r="BN109" s="229">
        <f t="shared" si="66"/>
        <v>0</v>
      </c>
      <c r="BO109" s="229">
        <f t="shared" si="66"/>
        <v>0</v>
      </c>
      <c r="BP109" s="229">
        <f t="shared" si="66"/>
        <v>0</v>
      </c>
      <c r="BQ109" s="229">
        <f t="shared" si="66"/>
        <v>0</v>
      </c>
      <c r="BR109" s="229">
        <f t="shared" si="66"/>
        <v>0</v>
      </c>
      <c r="BS109" s="229">
        <f t="shared" si="66"/>
        <v>0</v>
      </c>
      <c r="BT109" s="229">
        <f t="shared" si="66"/>
        <v>0</v>
      </c>
      <c r="BU109" s="229">
        <f t="shared" si="66"/>
        <v>0</v>
      </c>
      <c r="BV109" s="229">
        <f t="shared" si="66"/>
        <v>0</v>
      </c>
      <c r="BW109" s="229">
        <f t="shared" si="66"/>
        <v>0</v>
      </c>
      <c r="BX109" s="229">
        <f t="shared" si="66"/>
        <v>0</v>
      </c>
      <c r="BY109" s="229">
        <f t="shared" si="66"/>
        <v>0</v>
      </c>
      <c r="BZ109" s="229">
        <f t="shared" si="66"/>
        <v>0</v>
      </c>
      <c r="CA109" s="229">
        <f t="shared" si="66"/>
        <v>0</v>
      </c>
      <c r="CB109" s="229">
        <f t="shared" ref="CB109:DG109" si="67">IF(AND(CB$99&gt;$B109+$J109-1,CB$99&lt;=$B109+11),$F109,IF(CB$99&lt;=$B109+$J109-1,0,IF(MOD(CB$99-$B109,12)&lt;&gt;0,CA109,$F109*IF(MOD(CB$99-$B109,12)=0,(1+$M109)^((CB$99-$B109)/12),0))))</f>
        <v>0</v>
      </c>
      <c r="CC109" s="229">
        <f t="shared" si="67"/>
        <v>0</v>
      </c>
      <c r="CD109" s="229">
        <f t="shared" si="67"/>
        <v>0</v>
      </c>
      <c r="CE109" s="229">
        <f t="shared" si="67"/>
        <v>0</v>
      </c>
      <c r="CF109" s="229">
        <f t="shared" si="67"/>
        <v>0</v>
      </c>
      <c r="CG109" s="229">
        <f t="shared" si="67"/>
        <v>0</v>
      </c>
      <c r="CH109" s="229">
        <f t="shared" si="67"/>
        <v>0</v>
      </c>
      <c r="CI109" s="229">
        <f t="shared" si="67"/>
        <v>0</v>
      </c>
      <c r="CJ109" s="229">
        <f t="shared" si="67"/>
        <v>0</v>
      </c>
      <c r="CK109" s="229">
        <f t="shared" si="67"/>
        <v>0</v>
      </c>
      <c r="CL109" s="229">
        <f t="shared" si="67"/>
        <v>0</v>
      </c>
      <c r="CM109" s="229">
        <f t="shared" si="67"/>
        <v>0</v>
      </c>
      <c r="CN109" s="229">
        <f t="shared" si="67"/>
        <v>0</v>
      </c>
      <c r="CO109" s="229">
        <f t="shared" si="67"/>
        <v>0</v>
      </c>
      <c r="CP109" s="229">
        <f t="shared" si="67"/>
        <v>0</v>
      </c>
      <c r="CQ109" s="229">
        <f t="shared" si="67"/>
        <v>0</v>
      </c>
      <c r="CR109" s="229">
        <f t="shared" si="67"/>
        <v>0</v>
      </c>
      <c r="CS109" s="229">
        <f t="shared" si="67"/>
        <v>0</v>
      </c>
      <c r="CT109" s="229">
        <f t="shared" si="67"/>
        <v>0</v>
      </c>
      <c r="CU109" s="229">
        <f t="shared" si="67"/>
        <v>0</v>
      </c>
      <c r="CV109" s="229">
        <f t="shared" si="67"/>
        <v>0</v>
      </c>
      <c r="CW109" s="229">
        <f t="shared" si="67"/>
        <v>0</v>
      </c>
      <c r="CX109" s="229">
        <f t="shared" si="67"/>
        <v>0</v>
      </c>
      <c r="CY109" s="229">
        <f t="shared" si="67"/>
        <v>0</v>
      </c>
      <c r="CZ109" s="229">
        <f t="shared" si="67"/>
        <v>0</v>
      </c>
      <c r="DA109" s="229">
        <f t="shared" si="67"/>
        <v>0</v>
      </c>
      <c r="DB109" s="229">
        <f t="shared" si="67"/>
        <v>0</v>
      </c>
      <c r="DC109" s="229">
        <f t="shared" si="67"/>
        <v>0</v>
      </c>
      <c r="DD109" s="229">
        <f t="shared" si="67"/>
        <v>0</v>
      </c>
      <c r="DE109" s="229">
        <f t="shared" si="67"/>
        <v>0</v>
      </c>
      <c r="DF109" s="229">
        <f t="shared" si="67"/>
        <v>0</v>
      </c>
      <c r="DG109" s="229">
        <f t="shared" si="67"/>
        <v>0</v>
      </c>
      <c r="DH109" s="229">
        <f t="shared" ref="DH109:ER109" si="68">IF(AND(DH$99&gt;$B109+$J109-1,DH$99&lt;=$B109+11),$F109,IF(DH$99&lt;=$B109+$J109-1,0,IF(MOD(DH$99-$B109,12)&lt;&gt;0,DG109,$F109*IF(MOD(DH$99-$B109,12)=0,(1+$M109)^((DH$99-$B109)/12),0))))</f>
        <v>0</v>
      </c>
      <c r="DI109" s="229">
        <f t="shared" si="68"/>
        <v>0</v>
      </c>
      <c r="DJ109" s="229">
        <f t="shared" si="68"/>
        <v>0</v>
      </c>
      <c r="DK109" s="229">
        <f t="shared" si="68"/>
        <v>0</v>
      </c>
      <c r="DL109" s="229">
        <f t="shared" si="68"/>
        <v>0</v>
      </c>
      <c r="DM109" s="229">
        <f t="shared" si="68"/>
        <v>0</v>
      </c>
      <c r="DN109" s="229">
        <f t="shared" si="68"/>
        <v>0</v>
      </c>
      <c r="DO109" s="229">
        <f t="shared" si="68"/>
        <v>0</v>
      </c>
      <c r="DP109" s="229">
        <f t="shared" si="68"/>
        <v>0</v>
      </c>
      <c r="DQ109" s="229">
        <f t="shared" si="68"/>
        <v>0</v>
      </c>
      <c r="DR109" s="229">
        <f t="shared" si="68"/>
        <v>0</v>
      </c>
      <c r="DS109" s="229">
        <f t="shared" si="68"/>
        <v>0</v>
      </c>
      <c r="DT109" s="229">
        <f t="shared" si="68"/>
        <v>0</v>
      </c>
      <c r="DU109" s="229">
        <f t="shared" si="68"/>
        <v>0</v>
      </c>
      <c r="DV109" s="229">
        <f t="shared" si="68"/>
        <v>0</v>
      </c>
      <c r="DW109" s="229">
        <f t="shared" si="68"/>
        <v>0</v>
      </c>
      <c r="DX109" s="229">
        <f t="shared" si="68"/>
        <v>0</v>
      </c>
      <c r="DY109" s="229">
        <f t="shared" si="68"/>
        <v>0</v>
      </c>
      <c r="DZ109" s="229">
        <f t="shared" si="68"/>
        <v>0</v>
      </c>
      <c r="EA109" s="229">
        <f t="shared" si="68"/>
        <v>0</v>
      </c>
      <c r="EB109" s="229">
        <f t="shared" si="68"/>
        <v>0</v>
      </c>
      <c r="EC109" s="229">
        <f t="shared" si="68"/>
        <v>0</v>
      </c>
      <c r="ED109" s="229">
        <f t="shared" si="68"/>
        <v>0</v>
      </c>
      <c r="EE109" s="229">
        <f t="shared" si="68"/>
        <v>0</v>
      </c>
      <c r="EF109" s="229">
        <f t="shared" si="68"/>
        <v>0</v>
      </c>
      <c r="EG109" s="229">
        <f t="shared" si="68"/>
        <v>0</v>
      </c>
      <c r="EH109" s="229">
        <f t="shared" si="68"/>
        <v>0</v>
      </c>
      <c r="EI109" s="229">
        <f t="shared" si="68"/>
        <v>0</v>
      </c>
      <c r="EJ109" s="229">
        <f t="shared" si="68"/>
        <v>0</v>
      </c>
      <c r="EK109" s="229">
        <f t="shared" si="68"/>
        <v>0</v>
      </c>
      <c r="EL109" s="229">
        <f t="shared" si="68"/>
        <v>0</v>
      </c>
      <c r="EM109" s="229">
        <f t="shared" si="68"/>
        <v>0</v>
      </c>
      <c r="EN109" s="229">
        <f t="shared" si="68"/>
        <v>0</v>
      </c>
      <c r="EO109" s="229">
        <f t="shared" si="68"/>
        <v>0</v>
      </c>
      <c r="EP109" s="229">
        <f t="shared" si="68"/>
        <v>0</v>
      </c>
      <c r="EQ109" s="229">
        <f t="shared" si="68"/>
        <v>0</v>
      </c>
      <c r="ER109" s="229">
        <f t="shared" si="68"/>
        <v>0</v>
      </c>
      <c r="ET109" s="229">
        <f t="shared" si="18"/>
        <v>0</v>
      </c>
      <c r="EU109" s="229">
        <f t="shared" si="18"/>
        <v>0</v>
      </c>
      <c r="EV109" s="229">
        <f t="shared" si="18"/>
        <v>0</v>
      </c>
      <c r="EW109" s="229">
        <f t="shared" si="18"/>
        <v>0</v>
      </c>
      <c r="EX109" s="229">
        <f t="shared" si="18"/>
        <v>0</v>
      </c>
      <c r="EY109" s="229">
        <f t="shared" si="18"/>
        <v>0</v>
      </c>
      <c r="EZ109" s="229">
        <f t="shared" si="18"/>
        <v>0</v>
      </c>
      <c r="FA109" s="229">
        <f t="shared" si="18"/>
        <v>0</v>
      </c>
      <c r="FB109" s="229">
        <f t="shared" si="18"/>
        <v>0</v>
      </c>
      <c r="FC109" s="229">
        <f t="shared" si="18"/>
        <v>0</v>
      </c>
      <c r="FD109" s="229">
        <f t="shared" si="19"/>
        <v>0</v>
      </c>
      <c r="FE109" s="229">
        <f t="shared" si="19"/>
        <v>0</v>
      </c>
      <c r="FF109" s="229">
        <f t="shared" si="19"/>
        <v>0</v>
      </c>
      <c r="FG109" s="229">
        <f t="shared" si="19"/>
        <v>0</v>
      </c>
      <c r="FH109" s="229">
        <f t="shared" si="19"/>
        <v>0</v>
      </c>
      <c r="FI109" s="229">
        <f t="shared" si="19"/>
        <v>0</v>
      </c>
      <c r="FJ109" s="229">
        <f t="shared" si="19"/>
        <v>0</v>
      </c>
      <c r="FK109" s="229">
        <f t="shared" si="19"/>
        <v>0</v>
      </c>
      <c r="FL109" s="229">
        <f t="shared" si="19"/>
        <v>0</v>
      </c>
      <c r="FM109" s="229">
        <f t="shared" si="19"/>
        <v>0</v>
      </c>
      <c r="FN109" s="229">
        <f t="shared" si="20"/>
        <v>0</v>
      </c>
      <c r="FO109" s="229">
        <f t="shared" si="20"/>
        <v>0</v>
      </c>
      <c r="FP109" s="229">
        <f t="shared" si="20"/>
        <v>0</v>
      </c>
      <c r="FQ109" s="229">
        <f t="shared" si="20"/>
        <v>0</v>
      </c>
      <c r="FR109" s="229">
        <f t="shared" si="20"/>
        <v>0</v>
      </c>
      <c r="FS109" s="229">
        <f t="shared" si="20"/>
        <v>0</v>
      </c>
      <c r="FT109" s="229">
        <f t="shared" si="20"/>
        <v>0</v>
      </c>
      <c r="FU109" s="229">
        <f t="shared" si="20"/>
        <v>0</v>
      </c>
      <c r="FV109" s="229">
        <f t="shared" si="20"/>
        <v>0</v>
      </c>
      <c r="FW109" s="229">
        <f t="shared" si="20"/>
        <v>0</v>
      </c>
      <c r="FX109" s="229">
        <f t="shared" si="21"/>
        <v>0</v>
      </c>
      <c r="FY109" s="229">
        <f t="shared" si="21"/>
        <v>0</v>
      </c>
      <c r="FZ109" s="229">
        <f t="shared" si="21"/>
        <v>0</v>
      </c>
      <c r="GA109" s="229">
        <f t="shared" si="21"/>
        <v>0</v>
      </c>
      <c r="GB109" s="229">
        <f t="shared" si="21"/>
        <v>0</v>
      </c>
      <c r="GC109" s="229">
        <f t="shared" si="21"/>
        <v>0</v>
      </c>
      <c r="GD109" s="229">
        <f t="shared" si="21"/>
        <v>0</v>
      </c>
      <c r="GE109" s="229">
        <f t="shared" si="21"/>
        <v>0</v>
      </c>
      <c r="GF109" s="229">
        <f t="shared" si="21"/>
        <v>0</v>
      </c>
      <c r="GG109" s="229">
        <f t="shared" si="21"/>
        <v>0</v>
      </c>
      <c r="GH109" s="229">
        <f t="shared" si="22"/>
        <v>0</v>
      </c>
      <c r="GI109" s="229">
        <f t="shared" si="22"/>
        <v>0</v>
      </c>
      <c r="GJ109" s="229">
        <f t="shared" si="22"/>
        <v>0</v>
      </c>
      <c r="GK109" s="229">
        <f t="shared" si="22"/>
        <v>0</v>
      </c>
      <c r="GL109" s="229">
        <f t="shared" si="22"/>
        <v>0</v>
      </c>
      <c r="GM109" s="229">
        <f t="shared" si="22"/>
        <v>0</v>
      </c>
      <c r="GN109" s="229">
        <f t="shared" si="22"/>
        <v>0</v>
      </c>
      <c r="GO109" s="229">
        <f t="shared" si="22"/>
        <v>0</v>
      </c>
      <c r="GP109" s="229">
        <f t="shared" si="22"/>
        <v>0</v>
      </c>
      <c r="GQ109" s="229">
        <f t="shared" si="22"/>
        <v>0</v>
      </c>
      <c r="GR109" s="229">
        <f t="shared" si="23"/>
        <v>0</v>
      </c>
      <c r="GS109" s="229">
        <f t="shared" si="23"/>
        <v>0</v>
      </c>
      <c r="GT109" s="229">
        <f t="shared" si="23"/>
        <v>0</v>
      </c>
      <c r="GU109" s="229">
        <f t="shared" si="23"/>
        <v>0</v>
      </c>
      <c r="GV109" s="229">
        <f t="shared" si="23"/>
        <v>0</v>
      </c>
      <c r="GW109" s="229">
        <f t="shared" si="23"/>
        <v>0</v>
      </c>
      <c r="GX109" s="229">
        <f t="shared" si="23"/>
        <v>0</v>
      </c>
      <c r="GY109" s="229">
        <f t="shared" si="23"/>
        <v>0</v>
      </c>
      <c r="GZ109" s="229">
        <f t="shared" si="23"/>
        <v>0</v>
      </c>
      <c r="HA109" s="229">
        <f t="shared" si="23"/>
        <v>0</v>
      </c>
      <c r="HB109" s="229">
        <f t="shared" si="24"/>
        <v>0</v>
      </c>
      <c r="HC109" s="229">
        <f t="shared" si="24"/>
        <v>0</v>
      </c>
      <c r="HD109" s="229">
        <f t="shared" si="24"/>
        <v>0</v>
      </c>
      <c r="HE109" s="229">
        <f t="shared" si="24"/>
        <v>0</v>
      </c>
      <c r="HF109" s="229">
        <f t="shared" si="24"/>
        <v>0</v>
      </c>
      <c r="HG109" s="229">
        <f t="shared" si="24"/>
        <v>0</v>
      </c>
      <c r="HH109" s="229">
        <f t="shared" si="24"/>
        <v>0</v>
      </c>
      <c r="HI109" s="229">
        <f t="shared" si="24"/>
        <v>0</v>
      </c>
      <c r="HJ109" s="229">
        <f t="shared" si="24"/>
        <v>0</v>
      </c>
      <c r="HK109" s="229">
        <f t="shared" si="24"/>
        <v>0</v>
      </c>
      <c r="HL109" s="229">
        <f t="shared" si="25"/>
        <v>0</v>
      </c>
      <c r="HM109" s="229">
        <f t="shared" si="25"/>
        <v>0</v>
      </c>
      <c r="HN109" s="229">
        <f t="shared" si="25"/>
        <v>0</v>
      </c>
      <c r="HO109" s="229">
        <f t="shared" si="25"/>
        <v>0</v>
      </c>
      <c r="HP109" s="229">
        <f t="shared" si="25"/>
        <v>0</v>
      </c>
      <c r="HQ109" s="229">
        <f t="shared" si="25"/>
        <v>0</v>
      </c>
      <c r="HR109" s="229">
        <f t="shared" si="25"/>
        <v>0</v>
      </c>
      <c r="HS109" s="229">
        <f t="shared" si="25"/>
        <v>0</v>
      </c>
      <c r="HT109" s="229">
        <f t="shared" si="25"/>
        <v>0</v>
      </c>
      <c r="HU109" s="229">
        <f t="shared" si="25"/>
        <v>0</v>
      </c>
      <c r="HV109" s="229">
        <f t="shared" si="26"/>
        <v>0</v>
      </c>
      <c r="HW109" s="229">
        <f t="shared" si="26"/>
        <v>0</v>
      </c>
      <c r="HX109" s="229">
        <f t="shared" si="26"/>
        <v>0</v>
      </c>
      <c r="HY109" s="229">
        <f t="shared" si="26"/>
        <v>0</v>
      </c>
      <c r="HZ109" s="229">
        <f t="shared" si="26"/>
        <v>0</v>
      </c>
      <c r="IA109" s="229">
        <f t="shared" si="26"/>
        <v>0</v>
      </c>
      <c r="IB109" s="229">
        <f t="shared" si="26"/>
        <v>0</v>
      </c>
      <c r="IC109" s="229">
        <f t="shared" si="26"/>
        <v>0</v>
      </c>
      <c r="ID109" s="229">
        <f t="shared" si="26"/>
        <v>0</v>
      </c>
      <c r="IE109" s="229">
        <f t="shared" si="26"/>
        <v>0</v>
      </c>
      <c r="IF109" s="229">
        <f t="shared" si="27"/>
        <v>0</v>
      </c>
      <c r="IG109" s="229">
        <f t="shared" si="27"/>
        <v>0</v>
      </c>
      <c r="IH109" s="229">
        <f t="shared" si="27"/>
        <v>0</v>
      </c>
      <c r="II109" s="229">
        <f t="shared" si="27"/>
        <v>0</v>
      </c>
      <c r="IJ109" s="229">
        <f t="shared" si="27"/>
        <v>0</v>
      </c>
      <c r="IK109" s="229">
        <f t="shared" si="27"/>
        <v>0</v>
      </c>
      <c r="IL109" s="229">
        <f t="shared" si="27"/>
        <v>0</v>
      </c>
      <c r="IM109" s="229">
        <f t="shared" si="27"/>
        <v>0</v>
      </c>
      <c r="IN109" s="229">
        <f t="shared" si="27"/>
        <v>0</v>
      </c>
      <c r="IO109" s="229">
        <f t="shared" si="27"/>
        <v>0</v>
      </c>
      <c r="IP109" s="229">
        <f t="shared" si="28"/>
        <v>0</v>
      </c>
      <c r="IQ109" s="229">
        <f t="shared" si="28"/>
        <v>0</v>
      </c>
      <c r="IR109" s="229">
        <f t="shared" si="28"/>
        <v>0</v>
      </c>
      <c r="IS109" s="229">
        <f t="shared" si="28"/>
        <v>0</v>
      </c>
      <c r="IT109" s="229">
        <f t="shared" si="28"/>
        <v>0</v>
      </c>
      <c r="IU109" s="229">
        <f t="shared" si="28"/>
        <v>0</v>
      </c>
      <c r="IV109" s="229">
        <f t="shared" si="28"/>
        <v>0</v>
      </c>
      <c r="IW109" s="229">
        <f t="shared" si="28"/>
        <v>0</v>
      </c>
      <c r="IX109" s="229">
        <f t="shared" si="28"/>
        <v>0</v>
      </c>
      <c r="IY109" s="229">
        <f t="shared" si="28"/>
        <v>0</v>
      </c>
      <c r="IZ109" s="229">
        <f t="shared" si="29"/>
        <v>0</v>
      </c>
      <c r="JA109" s="229">
        <f t="shared" si="29"/>
        <v>0</v>
      </c>
      <c r="JB109" s="229">
        <f t="shared" si="29"/>
        <v>0</v>
      </c>
      <c r="JC109" s="229">
        <f t="shared" si="29"/>
        <v>0</v>
      </c>
      <c r="JD109" s="229">
        <f t="shared" si="29"/>
        <v>0</v>
      </c>
      <c r="JE109" s="229">
        <f t="shared" si="29"/>
        <v>0</v>
      </c>
      <c r="JF109" s="229">
        <f t="shared" si="29"/>
        <v>0</v>
      </c>
      <c r="JG109" s="229">
        <f t="shared" si="29"/>
        <v>0</v>
      </c>
      <c r="JH109" s="229">
        <f t="shared" si="29"/>
        <v>0</v>
      </c>
      <c r="JI109" s="229">
        <f t="shared" si="29"/>
        <v>0</v>
      </c>
      <c r="JJ109" s="229">
        <f t="shared" si="30"/>
        <v>0</v>
      </c>
      <c r="JK109" s="229">
        <f t="shared" si="30"/>
        <v>0</v>
      </c>
      <c r="JL109" s="229">
        <f t="shared" si="30"/>
        <v>0</v>
      </c>
      <c r="JM109" s="229">
        <f t="shared" si="30"/>
        <v>0</v>
      </c>
      <c r="JN109" s="229">
        <f t="shared" si="30"/>
        <v>0</v>
      </c>
      <c r="JO109" s="229">
        <f t="shared" si="30"/>
        <v>0</v>
      </c>
      <c r="JP109" s="229">
        <f t="shared" si="30"/>
        <v>0</v>
      </c>
      <c r="JQ109" s="229">
        <f t="shared" si="30"/>
        <v>0</v>
      </c>
      <c r="JR109" s="229">
        <f t="shared" si="30"/>
        <v>0</v>
      </c>
      <c r="JS109" s="229">
        <f t="shared" si="30"/>
        <v>0</v>
      </c>
      <c r="JT109" s="229">
        <f t="shared" si="30"/>
        <v>0</v>
      </c>
      <c r="JU109" s="229">
        <f t="shared" si="30"/>
        <v>0</v>
      </c>
      <c r="JV109" s="229">
        <f t="shared" si="30"/>
        <v>0</v>
      </c>
    </row>
    <row r="110" spans="1:282" s="273" customFormat="1" ht="15" hidden="1" thickBot="1" x14ac:dyDescent="0.35">
      <c r="A110" s="256" t="s">
        <v>144</v>
      </c>
      <c r="B110" s="269">
        <f>IF(RNRSF=0,0,SUMPRODUCT(B100:B109,$C$100:$C$109)/RNRSF)</f>
        <v>0</v>
      </c>
      <c r="C110" s="257">
        <f>SUM(C100:C109)</f>
        <v>0</v>
      </c>
      <c r="D110" s="256"/>
      <c r="E110" s="259">
        <f>IF(RNRSF=0,0,SUMPRODUCT(E100:E109,$C$100:$C$109)/RNRSF)</f>
        <v>0</v>
      </c>
      <c r="F110" s="258">
        <f>SUM(F100:F109)</f>
        <v>0</v>
      </c>
      <c r="G110" s="259">
        <f>IF(RNRSF=0,0,H110/RNRSF)</f>
        <v>0</v>
      </c>
      <c r="H110" s="258">
        <f>SUM(H100:H109)</f>
        <v>0</v>
      </c>
      <c r="I110" s="270">
        <f>IF(RNRSF=0,0,SUMPRODUCT(I100:I109,$C$100:$C$109)/RNRSF)</f>
        <v>0</v>
      </c>
      <c r="J110" s="270">
        <f>IF(RNRSF=0,0,SUMPRODUCT(J100:J109,$C$100:$C$109)/RNRSF)</f>
        <v>0</v>
      </c>
      <c r="K110" s="271">
        <f>IF(RNRSF=0,0,SUMPRODUCT(K100:K109,$C$100:$C$109)/RNRSF)</f>
        <v>0</v>
      </c>
      <c r="L110" s="258">
        <f>SUM(L100:L109)</f>
        <v>0</v>
      </c>
      <c r="M110" s="271">
        <f>IF(RNRSF=0,0,SUMPRODUCT(M100:M109,$C$100:$C$109)/RNRSF)</f>
        <v>0</v>
      </c>
      <c r="N110" s="272"/>
      <c r="P110" s="250">
        <f>SUM(P100:P109)</f>
        <v>0</v>
      </c>
      <c r="Q110" s="250">
        <f t="shared" ref="Q110:CB110" si="69">SUM(Q100:Q109)</f>
        <v>0</v>
      </c>
      <c r="R110" s="250">
        <f t="shared" si="69"/>
        <v>0</v>
      </c>
      <c r="S110" s="250">
        <f t="shared" si="69"/>
        <v>0</v>
      </c>
      <c r="T110" s="250">
        <f t="shared" si="69"/>
        <v>0</v>
      </c>
      <c r="U110" s="250">
        <f t="shared" si="69"/>
        <v>0</v>
      </c>
      <c r="V110" s="250">
        <f t="shared" si="69"/>
        <v>0</v>
      </c>
      <c r="W110" s="250">
        <f t="shared" si="69"/>
        <v>0</v>
      </c>
      <c r="X110" s="250">
        <f t="shared" si="69"/>
        <v>0</v>
      </c>
      <c r="Y110" s="250">
        <f t="shared" si="69"/>
        <v>0</v>
      </c>
      <c r="Z110" s="250">
        <f t="shared" si="69"/>
        <v>0</v>
      </c>
      <c r="AA110" s="250">
        <f t="shared" si="69"/>
        <v>0</v>
      </c>
      <c r="AB110" s="250">
        <f t="shared" si="69"/>
        <v>0</v>
      </c>
      <c r="AC110" s="250">
        <f t="shared" si="69"/>
        <v>0</v>
      </c>
      <c r="AD110" s="250">
        <f t="shared" si="69"/>
        <v>0</v>
      </c>
      <c r="AE110" s="250">
        <f t="shared" si="69"/>
        <v>0</v>
      </c>
      <c r="AF110" s="250">
        <f t="shared" si="69"/>
        <v>0</v>
      </c>
      <c r="AG110" s="250">
        <f t="shared" si="69"/>
        <v>0</v>
      </c>
      <c r="AH110" s="250">
        <f t="shared" si="69"/>
        <v>0</v>
      </c>
      <c r="AI110" s="250">
        <f t="shared" si="69"/>
        <v>0</v>
      </c>
      <c r="AJ110" s="250">
        <f t="shared" si="69"/>
        <v>0</v>
      </c>
      <c r="AK110" s="250">
        <f t="shared" si="69"/>
        <v>0</v>
      </c>
      <c r="AL110" s="250">
        <f t="shared" si="69"/>
        <v>0</v>
      </c>
      <c r="AM110" s="250">
        <f t="shared" si="69"/>
        <v>0</v>
      </c>
      <c r="AN110" s="250">
        <f t="shared" si="69"/>
        <v>0</v>
      </c>
      <c r="AO110" s="250">
        <f t="shared" si="69"/>
        <v>0</v>
      </c>
      <c r="AP110" s="250">
        <f t="shared" si="69"/>
        <v>0</v>
      </c>
      <c r="AQ110" s="250">
        <f t="shared" si="69"/>
        <v>0</v>
      </c>
      <c r="AR110" s="250">
        <f t="shared" si="69"/>
        <v>0</v>
      </c>
      <c r="AS110" s="250">
        <f t="shared" si="69"/>
        <v>0</v>
      </c>
      <c r="AT110" s="250">
        <f t="shared" si="69"/>
        <v>0</v>
      </c>
      <c r="AU110" s="250">
        <f t="shared" si="69"/>
        <v>0</v>
      </c>
      <c r="AV110" s="250">
        <f t="shared" si="69"/>
        <v>0</v>
      </c>
      <c r="AW110" s="250">
        <f t="shared" si="69"/>
        <v>0</v>
      </c>
      <c r="AX110" s="250">
        <f t="shared" si="69"/>
        <v>0</v>
      </c>
      <c r="AY110" s="250">
        <f t="shared" si="69"/>
        <v>0</v>
      </c>
      <c r="AZ110" s="250">
        <f t="shared" si="69"/>
        <v>0</v>
      </c>
      <c r="BA110" s="250">
        <f t="shared" si="69"/>
        <v>0</v>
      </c>
      <c r="BB110" s="250">
        <f t="shared" si="69"/>
        <v>0</v>
      </c>
      <c r="BC110" s="250">
        <f t="shared" si="69"/>
        <v>0</v>
      </c>
      <c r="BD110" s="250">
        <f t="shared" si="69"/>
        <v>0</v>
      </c>
      <c r="BE110" s="250">
        <f t="shared" si="69"/>
        <v>0</v>
      </c>
      <c r="BF110" s="250">
        <f t="shared" si="69"/>
        <v>0</v>
      </c>
      <c r="BG110" s="250">
        <f t="shared" si="69"/>
        <v>0</v>
      </c>
      <c r="BH110" s="250">
        <f t="shared" si="69"/>
        <v>0</v>
      </c>
      <c r="BI110" s="250">
        <f t="shared" si="69"/>
        <v>0</v>
      </c>
      <c r="BJ110" s="250">
        <f t="shared" si="69"/>
        <v>0</v>
      </c>
      <c r="BK110" s="250">
        <f t="shared" si="69"/>
        <v>0</v>
      </c>
      <c r="BL110" s="250">
        <f t="shared" si="69"/>
        <v>0</v>
      </c>
      <c r="BM110" s="250">
        <f t="shared" si="69"/>
        <v>0</v>
      </c>
      <c r="BN110" s="250">
        <f t="shared" si="69"/>
        <v>0</v>
      </c>
      <c r="BO110" s="250">
        <f t="shared" si="69"/>
        <v>0</v>
      </c>
      <c r="BP110" s="250">
        <f t="shared" si="69"/>
        <v>0</v>
      </c>
      <c r="BQ110" s="250">
        <f t="shared" si="69"/>
        <v>0</v>
      </c>
      <c r="BR110" s="250">
        <f t="shared" si="69"/>
        <v>0</v>
      </c>
      <c r="BS110" s="250">
        <f t="shared" si="69"/>
        <v>0</v>
      </c>
      <c r="BT110" s="250">
        <f t="shared" si="69"/>
        <v>0</v>
      </c>
      <c r="BU110" s="250">
        <f t="shared" si="69"/>
        <v>0</v>
      </c>
      <c r="BV110" s="250">
        <f t="shared" si="69"/>
        <v>0</v>
      </c>
      <c r="BW110" s="250">
        <f t="shared" si="69"/>
        <v>0</v>
      </c>
      <c r="BX110" s="250">
        <f t="shared" si="69"/>
        <v>0</v>
      </c>
      <c r="BY110" s="250">
        <f t="shared" si="69"/>
        <v>0</v>
      </c>
      <c r="BZ110" s="250">
        <f t="shared" si="69"/>
        <v>0</v>
      </c>
      <c r="CA110" s="250">
        <f t="shared" si="69"/>
        <v>0</v>
      </c>
      <c r="CB110" s="250">
        <f t="shared" si="69"/>
        <v>0</v>
      </c>
      <c r="CC110" s="250">
        <f t="shared" ref="CC110:EN110" si="70">SUM(CC100:CC109)</f>
        <v>0</v>
      </c>
      <c r="CD110" s="250">
        <f t="shared" si="70"/>
        <v>0</v>
      </c>
      <c r="CE110" s="250">
        <f t="shared" si="70"/>
        <v>0</v>
      </c>
      <c r="CF110" s="250">
        <f t="shared" si="70"/>
        <v>0</v>
      </c>
      <c r="CG110" s="250">
        <f t="shared" si="70"/>
        <v>0</v>
      </c>
      <c r="CH110" s="250">
        <f t="shared" si="70"/>
        <v>0</v>
      </c>
      <c r="CI110" s="250">
        <f t="shared" si="70"/>
        <v>0</v>
      </c>
      <c r="CJ110" s="250">
        <f t="shared" si="70"/>
        <v>0</v>
      </c>
      <c r="CK110" s="250">
        <f t="shared" si="70"/>
        <v>0</v>
      </c>
      <c r="CL110" s="250">
        <f t="shared" si="70"/>
        <v>0</v>
      </c>
      <c r="CM110" s="250">
        <f t="shared" si="70"/>
        <v>0</v>
      </c>
      <c r="CN110" s="250">
        <f t="shared" si="70"/>
        <v>0</v>
      </c>
      <c r="CO110" s="250">
        <f t="shared" si="70"/>
        <v>0</v>
      </c>
      <c r="CP110" s="250">
        <f t="shared" si="70"/>
        <v>0</v>
      </c>
      <c r="CQ110" s="250">
        <f t="shared" si="70"/>
        <v>0</v>
      </c>
      <c r="CR110" s="250">
        <f t="shared" si="70"/>
        <v>0</v>
      </c>
      <c r="CS110" s="250">
        <f t="shared" si="70"/>
        <v>0</v>
      </c>
      <c r="CT110" s="250">
        <f t="shared" si="70"/>
        <v>0</v>
      </c>
      <c r="CU110" s="250">
        <f t="shared" si="70"/>
        <v>0</v>
      </c>
      <c r="CV110" s="250">
        <f t="shared" si="70"/>
        <v>0</v>
      </c>
      <c r="CW110" s="250">
        <f t="shared" si="70"/>
        <v>0</v>
      </c>
      <c r="CX110" s="250">
        <f t="shared" si="70"/>
        <v>0</v>
      </c>
      <c r="CY110" s="250">
        <f t="shared" si="70"/>
        <v>0</v>
      </c>
      <c r="CZ110" s="250">
        <f t="shared" si="70"/>
        <v>0</v>
      </c>
      <c r="DA110" s="250">
        <f t="shared" si="70"/>
        <v>0</v>
      </c>
      <c r="DB110" s="250">
        <f t="shared" si="70"/>
        <v>0</v>
      </c>
      <c r="DC110" s="250">
        <f t="shared" si="70"/>
        <v>0</v>
      </c>
      <c r="DD110" s="250">
        <f t="shared" si="70"/>
        <v>0</v>
      </c>
      <c r="DE110" s="250">
        <f t="shared" si="70"/>
        <v>0</v>
      </c>
      <c r="DF110" s="250">
        <f t="shared" si="70"/>
        <v>0</v>
      </c>
      <c r="DG110" s="250">
        <f t="shared" si="70"/>
        <v>0</v>
      </c>
      <c r="DH110" s="250">
        <f t="shared" si="70"/>
        <v>0</v>
      </c>
      <c r="DI110" s="250">
        <f t="shared" si="70"/>
        <v>0</v>
      </c>
      <c r="DJ110" s="250">
        <f t="shared" si="70"/>
        <v>0</v>
      </c>
      <c r="DK110" s="250">
        <f t="shared" si="70"/>
        <v>0</v>
      </c>
      <c r="DL110" s="250">
        <f t="shared" si="70"/>
        <v>0</v>
      </c>
      <c r="DM110" s="250">
        <f t="shared" si="70"/>
        <v>0</v>
      </c>
      <c r="DN110" s="250">
        <f t="shared" si="70"/>
        <v>0</v>
      </c>
      <c r="DO110" s="250">
        <f t="shared" si="70"/>
        <v>0</v>
      </c>
      <c r="DP110" s="250">
        <f t="shared" si="70"/>
        <v>0</v>
      </c>
      <c r="DQ110" s="250">
        <f t="shared" si="70"/>
        <v>0</v>
      </c>
      <c r="DR110" s="250">
        <f t="shared" si="70"/>
        <v>0</v>
      </c>
      <c r="DS110" s="250">
        <f t="shared" si="70"/>
        <v>0</v>
      </c>
      <c r="DT110" s="250">
        <f t="shared" si="70"/>
        <v>0</v>
      </c>
      <c r="DU110" s="250">
        <f t="shared" si="70"/>
        <v>0</v>
      </c>
      <c r="DV110" s="250">
        <f t="shared" si="70"/>
        <v>0</v>
      </c>
      <c r="DW110" s="250">
        <f t="shared" si="70"/>
        <v>0</v>
      </c>
      <c r="DX110" s="250">
        <f t="shared" si="70"/>
        <v>0</v>
      </c>
      <c r="DY110" s="250">
        <f t="shared" si="70"/>
        <v>0</v>
      </c>
      <c r="DZ110" s="250">
        <f t="shared" si="70"/>
        <v>0</v>
      </c>
      <c r="EA110" s="250">
        <f t="shared" si="70"/>
        <v>0</v>
      </c>
      <c r="EB110" s="250">
        <f t="shared" si="70"/>
        <v>0</v>
      </c>
      <c r="EC110" s="250">
        <f t="shared" si="70"/>
        <v>0</v>
      </c>
      <c r="ED110" s="250">
        <f t="shared" si="70"/>
        <v>0</v>
      </c>
      <c r="EE110" s="250">
        <f t="shared" si="70"/>
        <v>0</v>
      </c>
      <c r="EF110" s="250">
        <f t="shared" si="70"/>
        <v>0</v>
      </c>
      <c r="EG110" s="250">
        <f t="shared" si="70"/>
        <v>0</v>
      </c>
      <c r="EH110" s="250">
        <f t="shared" si="70"/>
        <v>0</v>
      </c>
      <c r="EI110" s="250">
        <f t="shared" si="70"/>
        <v>0</v>
      </c>
      <c r="EJ110" s="250">
        <f t="shared" si="70"/>
        <v>0</v>
      </c>
      <c r="EK110" s="250">
        <f t="shared" si="70"/>
        <v>0</v>
      </c>
      <c r="EL110" s="250">
        <f t="shared" si="70"/>
        <v>0</v>
      </c>
      <c r="EM110" s="250">
        <f t="shared" si="70"/>
        <v>0</v>
      </c>
      <c r="EN110" s="250">
        <f t="shared" si="70"/>
        <v>0</v>
      </c>
      <c r="EO110" s="250">
        <f>SUM(EO100:EO109)</f>
        <v>0</v>
      </c>
      <c r="EP110" s="250">
        <f>SUM(EP100:EP109)</f>
        <v>0</v>
      </c>
      <c r="EQ110" s="250">
        <f>SUM(EQ100:EQ109)</f>
        <v>0</v>
      </c>
      <c r="ER110" s="250">
        <f>SUM(ER100:ER109)</f>
        <v>0</v>
      </c>
      <c r="ET110" s="250">
        <f t="shared" ref="ET110:FY110" si="71">SUM(ET100:ET109)</f>
        <v>0</v>
      </c>
      <c r="EU110" s="250">
        <f t="shared" si="71"/>
        <v>0</v>
      </c>
      <c r="EV110" s="250">
        <f t="shared" si="71"/>
        <v>0</v>
      </c>
      <c r="EW110" s="250">
        <f t="shared" si="71"/>
        <v>0</v>
      </c>
      <c r="EX110" s="250">
        <f t="shared" si="71"/>
        <v>0</v>
      </c>
      <c r="EY110" s="250">
        <f t="shared" si="71"/>
        <v>0</v>
      </c>
      <c r="EZ110" s="250">
        <f t="shared" si="71"/>
        <v>0</v>
      </c>
      <c r="FA110" s="250">
        <f t="shared" si="71"/>
        <v>0</v>
      </c>
      <c r="FB110" s="250">
        <f t="shared" si="71"/>
        <v>0</v>
      </c>
      <c r="FC110" s="250">
        <f t="shared" si="71"/>
        <v>0</v>
      </c>
      <c r="FD110" s="250">
        <f t="shared" si="71"/>
        <v>0</v>
      </c>
      <c r="FE110" s="250">
        <f t="shared" si="71"/>
        <v>0</v>
      </c>
      <c r="FF110" s="250">
        <f t="shared" si="71"/>
        <v>0</v>
      </c>
      <c r="FG110" s="250">
        <f t="shared" si="71"/>
        <v>0</v>
      </c>
      <c r="FH110" s="250">
        <f t="shared" si="71"/>
        <v>0</v>
      </c>
      <c r="FI110" s="250">
        <f t="shared" si="71"/>
        <v>0</v>
      </c>
      <c r="FJ110" s="250">
        <f t="shared" si="71"/>
        <v>0</v>
      </c>
      <c r="FK110" s="250">
        <f t="shared" si="71"/>
        <v>0</v>
      </c>
      <c r="FL110" s="250">
        <f t="shared" si="71"/>
        <v>0</v>
      </c>
      <c r="FM110" s="250">
        <f t="shared" si="71"/>
        <v>0</v>
      </c>
      <c r="FN110" s="250">
        <f t="shared" si="71"/>
        <v>0</v>
      </c>
      <c r="FO110" s="250">
        <f t="shared" si="71"/>
        <v>0</v>
      </c>
      <c r="FP110" s="250">
        <f t="shared" si="71"/>
        <v>0</v>
      </c>
      <c r="FQ110" s="250">
        <f t="shared" si="71"/>
        <v>0</v>
      </c>
      <c r="FR110" s="250">
        <f t="shared" si="71"/>
        <v>0</v>
      </c>
      <c r="FS110" s="250">
        <f t="shared" si="71"/>
        <v>0</v>
      </c>
      <c r="FT110" s="250">
        <f t="shared" si="71"/>
        <v>0</v>
      </c>
      <c r="FU110" s="250">
        <f t="shared" si="71"/>
        <v>0</v>
      </c>
      <c r="FV110" s="250">
        <f t="shared" si="71"/>
        <v>0</v>
      </c>
      <c r="FW110" s="250">
        <f t="shared" si="71"/>
        <v>0</v>
      </c>
      <c r="FX110" s="250">
        <f t="shared" si="71"/>
        <v>0</v>
      </c>
      <c r="FY110" s="250">
        <f t="shared" si="71"/>
        <v>0</v>
      </c>
      <c r="FZ110" s="250">
        <f t="shared" ref="FZ110:HE110" si="72">SUM(FZ100:FZ109)</f>
        <v>0</v>
      </c>
      <c r="GA110" s="250">
        <f t="shared" si="72"/>
        <v>0</v>
      </c>
      <c r="GB110" s="250">
        <f t="shared" si="72"/>
        <v>0</v>
      </c>
      <c r="GC110" s="250">
        <f t="shared" si="72"/>
        <v>0</v>
      </c>
      <c r="GD110" s="250">
        <f t="shared" si="72"/>
        <v>0</v>
      </c>
      <c r="GE110" s="250">
        <f t="shared" si="72"/>
        <v>0</v>
      </c>
      <c r="GF110" s="250">
        <f t="shared" si="72"/>
        <v>0</v>
      </c>
      <c r="GG110" s="250">
        <f t="shared" si="72"/>
        <v>0</v>
      </c>
      <c r="GH110" s="250">
        <f t="shared" si="72"/>
        <v>0</v>
      </c>
      <c r="GI110" s="250">
        <f t="shared" si="72"/>
        <v>0</v>
      </c>
      <c r="GJ110" s="250">
        <f t="shared" si="72"/>
        <v>0</v>
      </c>
      <c r="GK110" s="250">
        <f t="shared" si="72"/>
        <v>0</v>
      </c>
      <c r="GL110" s="250">
        <f t="shared" si="72"/>
        <v>0</v>
      </c>
      <c r="GM110" s="250">
        <f t="shared" si="72"/>
        <v>0</v>
      </c>
      <c r="GN110" s="250">
        <f t="shared" si="72"/>
        <v>0</v>
      </c>
      <c r="GO110" s="250">
        <f t="shared" si="72"/>
        <v>0</v>
      </c>
      <c r="GP110" s="250">
        <f t="shared" si="72"/>
        <v>0</v>
      </c>
      <c r="GQ110" s="250">
        <f t="shared" si="72"/>
        <v>0</v>
      </c>
      <c r="GR110" s="250">
        <f t="shared" si="72"/>
        <v>0</v>
      </c>
      <c r="GS110" s="250">
        <f t="shared" si="72"/>
        <v>0</v>
      </c>
      <c r="GT110" s="250">
        <f t="shared" si="72"/>
        <v>0</v>
      </c>
      <c r="GU110" s="250">
        <f t="shared" si="72"/>
        <v>0</v>
      </c>
      <c r="GV110" s="250">
        <f t="shared" si="72"/>
        <v>0</v>
      </c>
      <c r="GW110" s="250">
        <f t="shared" si="72"/>
        <v>0</v>
      </c>
      <c r="GX110" s="250">
        <f t="shared" si="72"/>
        <v>0</v>
      </c>
      <c r="GY110" s="250">
        <f t="shared" si="72"/>
        <v>0</v>
      </c>
      <c r="GZ110" s="250">
        <f t="shared" si="72"/>
        <v>0</v>
      </c>
      <c r="HA110" s="250">
        <f t="shared" si="72"/>
        <v>0</v>
      </c>
      <c r="HB110" s="250">
        <f t="shared" si="72"/>
        <v>0</v>
      </c>
      <c r="HC110" s="250">
        <f t="shared" si="72"/>
        <v>0</v>
      </c>
      <c r="HD110" s="250">
        <f t="shared" si="72"/>
        <v>0</v>
      </c>
      <c r="HE110" s="250">
        <f t="shared" si="72"/>
        <v>0</v>
      </c>
      <c r="HF110" s="250">
        <f t="shared" ref="HF110:IK110" si="73">SUM(HF100:HF109)</f>
        <v>0</v>
      </c>
      <c r="HG110" s="250">
        <f t="shared" si="73"/>
        <v>0</v>
      </c>
      <c r="HH110" s="250">
        <f t="shared" si="73"/>
        <v>0</v>
      </c>
      <c r="HI110" s="250">
        <f t="shared" si="73"/>
        <v>0</v>
      </c>
      <c r="HJ110" s="250">
        <f t="shared" si="73"/>
        <v>0</v>
      </c>
      <c r="HK110" s="250">
        <f t="shared" si="73"/>
        <v>0</v>
      </c>
      <c r="HL110" s="250">
        <f t="shared" si="73"/>
        <v>0</v>
      </c>
      <c r="HM110" s="250">
        <f t="shared" si="73"/>
        <v>0</v>
      </c>
      <c r="HN110" s="250">
        <f t="shared" si="73"/>
        <v>0</v>
      </c>
      <c r="HO110" s="250">
        <f t="shared" si="73"/>
        <v>0</v>
      </c>
      <c r="HP110" s="250">
        <f t="shared" si="73"/>
        <v>0</v>
      </c>
      <c r="HQ110" s="250">
        <f t="shared" si="73"/>
        <v>0</v>
      </c>
      <c r="HR110" s="250">
        <f t="shared" si="73"/>
        <v>0</v>
      </c>
      <c r="HS110" s="250">
        <f t="shared" si="73"/>
        <v>0</v>
      </c>
      <c r="HT110" s="250">
        <f t="shared" si="73"/>
        <v>0</v>
      </c>
      <c r="HU110" s="250">
        <f t="shared" si="73"/>
        <v>0</v>
      </c>
      <c r="HV110" s="250">
        <f t="shared" si="73"/>
        <v>0</v>
      </c>
      <c r="HW110" s="250">
        <f t="shared" si="73"/>
        <v>0</v>
      </c>
      <c r="HX110" s="250">
        <f t="shared" si="73"/>
        <v>0</v>
      </c>
      <c r="HY110" s="250">
        <f t="shared" si="73"/>
        <v>0</v>
      </c>
      <c r="HZ110" s="250">
        <f t="shared" si="73"/>
        <v>0</v>
      </c>
      <c r="IA110" s="250">
        <f t="shared" si="73"/>
        <v>0</v>
      </c>
      <c r="IB110" s="250">
        <f t="shared" si="73"/>
        <v>0</v>
      </c>
      <c r="IC110" s="250">
        <f t="shared" si="73"/>
        <v>0</v>
      </c>
      <c r="ID110" s="250">
        <f t="shared" si="73"/>
        <v>0</v>
      </c>
      <c r="IE110" s="250">
        <f t="shared" si="73"/>
        <v>0</v>
      </c>
      <c r="IF110" s="250">
        <f t="shared" si="73"/>
        <v>0</v>
      </c>
      <c r="IG110" s="250">
        <f t="shared" si="73"/>
        <v>0</v>
      </c>
      <c r="IH110" s="250">
        <f t="shared" si="73"/>
        <v>0</v>
      </c>
      <c r="II110" s="250">
        <f t="shared" si="73"/>
        <v>0</v>
      </c>
      <c r="IJ110" s="250">
        <f t="shared" si="73"/>
        <v>0</v>
      </c>
      <c r="IK110" s="250">
        <f t="shared" si="73"/>
        <v>0</v>
      </c>
      <c r="IL110" s="250">
        <f t="shared" ref="IL110:JQ110" si="74">SUM(IL100:IL109)</f>
        <v>0</v>
      </c>
      <c r="IM110" s="250">
        <f t="shared" si="74"/>
        <v>0</v>
      </c>
      <c r="IN110" s="250">
        <f t="shared" si="74"/>
        <v>0</v>
      </c>
      <c r="IO110" s="250">
        <f t="shared" si="74"/>
        <v>0</v>
      </c>
      <c r="IP110" s="250">
        <f t="shared" si="74"/>
        <v>0</v>
      </c>
      <c r="IQ110" s="250">
        <f t="shared" si="74"/>
        <v>0</v>
      </c>
      <c r="IR110" s="250">
        <f t="shared" si="74"/>
        <v>0</v>
      </c>
      <c r="IS110" s="250">
        <f t="shared" si="74"/>
        <v>0</v>
      </c>
      <c r="IT110" s="250">
        <f t="shared" si="74"/>
        <v>0</v>
      </c>
      <c r="IU110" s="250">
        <f t="shared" si="74"/>
        <v>0</v>
      </c>
      <c r="IV110" s="250">
        <f t="shared" si="74"/>
        <v>0</v>
      </c>
      <c r="IW110" s="250">
        <f t="shared" si="74"/>
        <v>0</v>
      </c>
      <c r="IX110" s="250">
        <f t="shared" si="74"/>
        <v>0</v>
      </c>
      <c r="IY110" s="250">
        <f t="shared" si="74"/>
        <v>0</v>
      </c>
      <c r="IZ110" s="250">
        <f t="shared" si="74"/>
        <v>0</v>
      </c>
      <c r="JA110" s="250">
        <f t="shared" si="74"/>
        <v>0</v>
      </c>
      <c r="JB110" s="250">
        <f t="shared" si="74"/>
        <v>0</v>
      </c>
      <c r="JC110" s="250">
        <f t="shared" si="74"/>
        <v>0</v>
      </c>
      <c r="JD110" s="250">
        <f t="shared" si="74"/>
        <v>0</v>
      </c>
      <c r="JE110" s="250">
        <f t="shared" si="74"/>
        <v>0</v>
      </c>
      <c r="JF110" s="250">
        <f t="shared" si="74"/>
        <v>0</v>
      </c>
      <c r="JG110" s="250">
        <f t="shared" si="74"/>
        <v>0</v>
      </c>
      <c r="JH110" s="250">
        <f t="shared" si="74"/>
        <v>0</v>
      </c>
      <c r="JI110" s="250">
        <f t="shared" si="74"/>
        <v>0</v>
      </c>
      <c r="JJ110" s="250">
        <f t="shared" si="74"/>
        <v>0</v>
      </c>
      <c r="JK110" s="250">
        <f t="shared" si="74"/>
        <v>0</v>
      </c>
      <c r="JL110" s="250">
        <f t="shared" si="74"/>
        <v>0</v>
      </c>
      <c r="JM110" s="250">
        <f t="shared" si="74"/>
        <v>0</v>
      </c>
      <c r="JN110" s="250">
        <f t="shared" si="74"/>
        <v>0</v>
      </c>
      <c r="JO110" s="250">
        <f t="shared" si="74"/>
        <v>0</v>
      </c>
      <c r="JP110" s="250">
        <f t="shared" si="74"/>
        <v>0</v>
      </c>
      <c r="JQ110" s="250">
        <f t="shared" si="74"/>
        <v>0</v>
      </c>
      <c r="JR110" s="250">
        <f>SUM(JR100:JR109)</f>
        <v>0</v>
      </c>
      <c r="JS110" s="250">
        <f>SUM(JS100:JS109)</f>
        <v>0</v>
      </c>
      <c r="JT110" s="250">
        <f>SUM(JT100:JT109)</f>
        <v>0</v>
      </c>
      <c r="JU110" s="250">
        <f>SUM(JU100:JU109)</f>
        <v>0</v>
      </c>
      <c r="JV110" s="250">
        <f>SUM(JV100:JV109)</f>
        <v>0</v>
      </c>
    </row>
    <row r="111" spans="1:282" s="273" customFormat="1" ht="15" hidden="1" thickTop="1" x14ac:dyDescent="0.3">
      <c r="B111" s="274"/>
      <c r="C111" s="275"/>
      <c r="D111" s="276"/>
      <c r="E111" s="277"/>
      <c r="F111" s="276"/>
      <c r="G111" s="277"/>
      <c r="H111" s="278"/>
      <c r="I111" s="278"/>
      <c r="J111" s="279"/>
      <c r="K111" s="277"/>
      <c r="L111" s="279"/>
      <c r="N111" s="272"/>
      <c r="P111" s="227"/>
      <c r="Q111" s="227"/>
      <c r="R111" s="227"/>
      <c r="S111" s="227"/>
      <c r="T111" s="227"/>
      <c r="U111" s="227"/>
      <c r="V111" s="227"/>
      <c r="W111" s="227"/>
      <c r="X111" s="227"/>
      <c r="Y111" s="227"/>
      <c r="Z111" s="227"/>
      <c r="AA111" s="227"/>
      <c r="AB111" s="227"/>
      <c r="AC111" s="227"/>
      <c r="AD111" s="227"/>
      <c r="AE111" s="227"/>
      <c r="AF111" s="227"/>
      <c r="AG111" s="227"/>
      <c r="AH111" s="227"/>
      <c r="AI111" s="227"/>
      <c r="AJ111" s="227"/>
      <c r="AK111" s="227"/>
      <c r="AL111" s="227"/>
      <c r="AM111" s="227"/>
      <c r="AN111" s="227"/>
      <c r="AO111" s="227"/>
      <c r="AP111" s="227"/>
      <c r="AQ111" s="227"/>
      <c r="AR111" s="227"/>
      <c r="AS111" s="227"/>
      <c r="AT111" s="227"/>
      <c r="AU111" s="227"/>
      <c r="AV111" s="227"/>
      <c r="AW111" s="227"/>
      <c r="AX111" s="227"/>
      <c r="AY111" s="227"/>
      <c r="AZ111" s="227"/>
      <c r="BA111" s="227"/>
      <c r="BB111" s="227"/>
      <c r="BC111" s="227"/>
      <c r="BD111" s="227"/>
      <c r="BE111" s="227"/>
      <c r="BF111" s="227"/>
      <c r="BG111" s="227"/>
      <c r="BH111" s="227"/>
      <c r="BI111" s="227"/>
      <c r="BJ111" s="227"/>
      <c r="BK111" s="227"/>
      <c r="BL111" s="227"/>
      <c r="BM111" s="227"/>
      <c r="BN111" s="227"/>
      <c r="BO111" s="227"/>
      <c r="BP111" s="227"/>
      <c r="BQ111" s="227"/>
      <c r="BR111" s="227"/>
      <c r="BS111" s="227"/>
      <c r="BT111" s="227"/>
      <c r="BU111" s="227"/>
      <c r="BV111" s="227"/>
      <c r="BW111" s="227"/>
      <c r="BX111" s="227"/>
      <c r="BY111" s="227"/>
      <c r="BZ111" s="227"/>
      <c r="CA111" s="227"/>
      <c r="CB111" s="227"/>
      <c r="CC111" s="227"/>
      <c r="CD111" s="227"/>
      <c r="CE111" s="227"/>
      <c r="CF111" s="227"/>
      <c r="CG111" s="227"/>
      <c r="CH111" s="227"/>
      <c r="CI111" s="227"/>
      <c r="CJ111" s="227"/>
      <c r="CK111" s="227"/>
      <c r="CL111" s="227"/>
      <c r="CM111" s="227"/>
      <c r="CN111" s="227"/>
      <c r="CO111" s="227"/>
      <c r="CP111" s="227"/>
      <c r="CQ111" s="227"/>
      <c r="CR111" s="227"/>
      <c r="CS111" s="227"/>
      <c r="CT111" s="227"/>
      <c r="CU111" s="227"/>
      <c r="CV111" s="227"/>
      <c r="CW111" s="227"/>
      <c r="CX111" s="227"/>
      <c r="CY111" s="227"/>
      <c r="CZ111" s="227"/>
      <c r="DA111" s="227"/>
      <c r="DB111" s="227"/>
      <c r="DC111" s="227"/>
      <c r="DD111" s="227"/>
      <c r="DE111" s="227"/>
      <c r="DF111" s="227"/>
      <c r="DG111" s="227"/>
      <c r="DH111" s="227"/>
      <c r="DI111" s="227"/>
      <c r="DJ111" s="227"/>
      <c r="DK111" s="227"/>
      <c r="DL111" s="227"/>
      <c r="DM111" s="227"/>
      <c r="DN111" s="227"/>
      <c r="DO111" s="227"/>
      <c r="DP111" s="227"/>
      <c r="DQ111" s="227"/>
      <c r="DR111" s="227"/>
      <c r="DS111" s="227"/>
      <c r="DT111" s="227"/>
      <c r="DU111" s="227"/>
      <c r="DV111" s="227"/>
      <c r="DW111" s="227"/>
      <c r="DX111" s="227"/>
      <c r="DY111" s="227"/>
      <c r="DZ111" s="227"/>
      <c r="EA111" s="227"/>
      <c r="EB111" s="227"/>
      <c r="EC111" s="227"/>
      <c r="ED111" s="227"/>
      <c r="EE111" s="227"/>
      <c r="EF111" s="227"/>
      <c r="EG111" s="227"/>
      <c r="EH111" s="227"/>
      <c r="EI111" s="227"/>
      <c r="EJ111" s="227"/>
      <c r="EK111" s="227"/>
      <c r="EL111" s="227"/>
      <c r="EM111" s="227"/>
      <c r="EN111" s="227"/>
      <c r="EO111" s="227"/>
      <c r="EP111" s="227"/>
      <c r="EQ111" s="227"/>
      <c r="ER111" s="227"/>
      <c r="ET111" s="227"/>
      <c r="EU111" s="227"/>
      <c r="EV111" s="227"/>
      <c r="EW111" s="227"/>
      <c r="EX111" s="227"/>
      <c r="EY111" s="227"/>
      <c r="EZ111" s="227"/>
      <c r="FA111" s="227"/>
      <c r="FB111" s="227"/>
      <c r="FC111" s="227"/>
      <c r="FD111" s="227"/>
      <c r="FE111" s="227"/>
      <c r="FF111" s="227"/>
      <c r="FG111" s="227"/>
      <c r="FH111" s="227"/>
      <c r="FI111" s="227"/>
      <c r="FJ111" s="227"/>
      <c r="FK111" s="227"/>
      <c r="FL111" s="227"/>
      <c r="FM111" s="227"/>
      <c r="FN111" s="227"/>
      <c r="FO111" s="227"/>
      <c r="FP111" s="227"/>
      <c r="FQ111" s="227"/>
      <c r="FR111" s="227"/>
      <c r="FS111" s="227"/>
      <c r="FT111" s="227"/>
      <c r="FU111" s="227"/>
      <c r="FV111" s="227"/>
      <c r="FW111" s="227"/>
      <c r="FX111" s="227"/>
      <c r="FY111" s="227"/>
      <c r="FZ111" s="227"/>
      <c r="GA111" s="227"/>
      <c r="GB111" s="227"/>
      <c r="GC111" s="227"/>
      <c r="GD111" s="227"/>
      <c r="GE111" s="227"/>
      <c r="GF111" s="227"/>
      <c r="GG111" s="227"/>
      <c r="GH111" s="227"/>
      <c r="GI111" s="227"/>
      <c r="GJ111" s="227"/>
      <c r="GK111" s="227"/>
      <c r="GL111" s="227"/>
      <c r="GM111" s="227"/>
      <c r="GN111" s="227"/>
      <c r="GO111" s="227"/>
      <c r="GP111" s="227"/>
      <c r="GQ111" s="227"/>
      <c r="GR111" s="227"/>
      <c r="GS111" s="227"/>
      <c r="GT111" s="227"/>
      <c r="GU111" s="227"/>
      <c r="GV111" s="227"/>
      <c r="GW111" s="227"/>
      <c r="GX111" s="227"/>
      <c r="GY111" s="227"/>
      <c r="GZ111" s="227"/>
      <c r="HA111" s="227"/>
      <c r="HB111" s="227"/>
      <c r="HC111" s="227"/>
      <c r="HD111" s="227"/>
      <c r="HE111" s="227"/>
      <c r="HF111" s="227"/>
      <c r="HG111" s="227"/>
      <c r="HH111" s="227"/>
      <c r="HI111" s="227"/>
      <c r="HJ111" s="227"/>
      <c r="HK111" s="227"/>
      <c r="HL111" s="227"/>
      <c r="HM111" s="227"/>
      <c r="HN111" s="227"/>
      <c r="HO111" s="227"/>
      <c r="HP111" s="227"/>
      <c r="HQ111" s="227"/>
      <c r="HR111" s="227"/>
      <c r="HS111" s="227"/>
      <c r="HT111" s="227"/>
      <c r="HU111" s="227"/>
      <c r="HV111" s="227"/>
      <c r="HW111" s="227"/>
      <c r="HX111" s="227"/>
      <c r="HY111" s="227"/>
      <c r="HZ111" s="227"/>
      <c r="IA111" s="227"/>
      <c r="IB111" s="227"/>
      <c r="IC111" s="227"/>
      <c r="ID111" s="227"/>
      <c r="IE111" s="227"/>
      <c r="IF111" s="227"/>
      <c r="IG111" s="227"/>
      <c r="IH111" s="227"/>
      <c r="II111" s="227"/>
      <c r="IJ111" s="227"/>
      <c r="IK111" s="227"/>
      <c r="IL111" s="227"/>
      <c r="IM111" s="227"/>
      <c r="IN111" s="227"/>
      <c r="IO111" s="227"/>
      <c r="IP111" s="227"/>
      <c r="IQ111" s="227"/>
      <c r="IR111" s="227"/>
      <c r="IS111" s="227"/>
      <c r="IT111" s="227"/>
      <c r="IU111" s="227"/>
      <c r="IV111" s="227"/>
      <c r="IW111" s="227"/>
      <c r="IX111" s="227"/>
      <c r="IY111" s="227"/>
      <c r="IZ111" s="227"/>
      <c r="JA111" s="227"/>
      <c r="JB111" s="227"/>
      <c r="JC111" s="227"/>
      <c r="JD111" s="227"/>
      <c r="JE111" s="227"/>
      <c r="JF111" s="227"/>
      <c r="JG111" s="227"/>
      <c r="JH111" s="227"/>
      <c r="JI111" s="227"/>
      <c r="JJ111" s="227"/>
      <c r="JK111" s="227"/>
      <c r="JL111" s="227"/>
      <c r="JM111" s="227"/>
      <c r="JN111" s="227"/>
      <c r="JO111" s="227"/>
      <c r="JP111" s="227"/>
      <c r="JQ111" s="227"/>
      <c r="JR111" s="227"/>
      <c r="JS111" s="227"/>
      <c r="JT111" s="227"/>
      <c r="JU111" s="227"/>
      <c r="JV111" s="227"/>
    </row>
    <row r="112" spans="1:282" ht="15.6" x14ac:dyDescent="0.3">
      <c r="A112" s="115" t="str">
        <f>"OPERATING EXPENSES (as of "&amp;TEXT('General Inputs'!C38,"MM-DD-YY")&amp;")"</f>
        <v>OPERATING EXPENSES (as of 06-01-26)</v>
      </c>
      <c r="B112" s="204"/>
      <c r="C112" s="204"/>
      <c r="D112" s="204"/>
      <c r="E112" s="204"/>
      <c r="F112" s="204"/>
      <c r="G112" s="204"/>
      <c r="H112" s="204"/>
      <c r="I112" s="204"/>
      <c r="J112" s="204"/>
      <c r="K112" s="204"/>
      <c r="L112" s="204"/>
      <c r="M112" s="117" t="str">
        <f ca="1">'General Inputs'!$O$2</f>
        <v>In-Place ROC = 6.65%; Project IRR = 30.59%</v>
      </c>
      <c r="N112" s="205"/>
    </row>
    <row r="113" spans="1:20" ht="3.75" customHeight="1" thickBot="1" x14ac:dyDescent="0.35">
      <c r="A113" s="119"/>
      <c r="B113" s="119"/>
      <c r="C113" s="119"/>
      <c r="D113" s="119"/>
      <c r="E113" s="119"/>
      <c r="F113" s="119"/>
      <c r="G113" s="119"/>
      <c r="H113" s="119"/>
      <c r="I113" s="119"/>
      <c r="J113" s="119"/>
      <c r="K113" s="119"/>
      <c r="L113" s="119"/>
      <c r="M113" s="119"/>
      <c r="N113" s="205"/>
    </row>
    <row r="114" spans="1:20" ht="7.5" customHeight="1" thickTop="1" thickBot="1" x14ac:dyDescent="0.35">
      <c r="A114" s="206"/>
      <c r="B114" s="206"/>
      <c r="C114" s="206"/>
      <c r="D114" s="206"/>
      <c r="E114" s="206"/>
      <c r="F114" s="206"/>
      <c r="G114" s="206"/>
      <c r="H114" s="206"/>
      <c r="I114" s="206"/>
      <c r="J114" s="206"/>
      <c r="K114" s="206"/>
      <c r="L114" s="206"/>
      <c r="M114" s="206"/>
    </row>
    <row r="115" spans="1:20" s="182" customFormat="1" ht="15.75" customHeight="1" thickTop="1" x14ac:dyDescent="0.3">
      <c r="A115" s="125" t="s">
        <v>1255</v>
      </c>
      <c r="B115" s="281"/>
      <c r="C115" s="2700" t="str">
        <f>"@ INPUT DATE ("&amp;TEXT('General Inputs'!$C$38,("mm-DD-YY"))&amp;")"</f>
        <v>@ INPUT DATE (06-01-26)</v>
      </c>
      <c r="D115" s="2700"/>
      <c r="E115" s="281"/>
      <c r="F115" s="2709" t="s">
        <v>1256</v>
      </c>
      <c r="G115" s="2709"/>
      <c r="H115" s="281"/>
      <c r="I115" s="2700" t="str">
        <f>"@ CONSTRUCTION START (Month "&amp;TEXT('General Inputs'!D30,"0")&amp;")"</f>
        <v>@ CONSTRUCTION START (Month 1)</v>
      </c>
      <c r="J115" s="2700"/>
      <c r="K115" s="281"/>
      <c r="L115" s="2700" t="s">
        <v>1257</v>
      </c>
      <c r="M115" s="2710"/>
      <c r="N115" s="282"/>
      <c r="P115" s="231" t="s">
        <v>1258</v>
      </c>
      <c r="Q115" s="232"/>
      <c r="R115" s="132" t="s">
        <v>880</v>
      </c>
      <c r="S115" s="132" t="s">
        <v>881</v>
      </c>
      <c r="T115" s="132" t="s">
        <v>882</v>
      </c>
    </row>
    <row r="116" spans="1:20" x14ac:dyDescent="0.3">
      <c r="C116" s="283" t="s">
        <v>173</v>
      </c>
      <c r="D116" s="284" t="s">
        <v>1259</v>
      </c>
      <c r="F116" s="283" t="s">
        <v>173</v>
      </c>
      <c r="G116" s="283" t="s">
        <v>1259</v>
      </c>
      <c r="I116" s="283" t="s">
        <v>173</v>
      </c>
      <c r="J116" s="283" t="s">
        <v>1259</v>
      </c>
      <c r="L116" s="283" t="s">
        <v>1260</v>
      </c>
      <c r="M116" s="1122" t="s">
        <v>956</v>
      </c>
      <c r="P116" s="234">
        <v>855</v>
      </c>
      <c r="Q116" s="235"/>
      <c r="R116" s="236">
        <f ca="1">Summary!$D$51</f>
        <v>6.6452831626234915E-2</v>
      </c>
      <c r="S116" s="236">
        <f ca="1">Summary!$S$51</f>
        <v>0.30587547483465172</v>
      </c>
      <c r="T116" s="237">
        <f ca="1">Summary!$S$49</f>
        <v>24801112.482449707</v>
      </c>
    </row>
    <row r="117" spans="1:20" x14ac:dyDescent="0.3">
      <c r="A117" s="2705" t="s">
        <v>700</v>
      </c>
      <c r="B117" s="2705"/>
      <c r="C117" s="227">
        <f>IF(L117&gt;0,L117*Units,E162)</f>
        <v>108032</v>
      </c>
      <c r="D117" s="227">
        <f t="shared" ref="D117:D122" si="75">C117/Units</f>
        <v>422</v>
      </c>
      <c r="F117" s="227">
        <f t="shared" ref="F117:F122" si="76">C117*(1+PrestartExpGwth)</f>
        <v>112098.27953124094</v>
      </c>
      <c r="G117" s="227">
        <f t="shared" ref="G117:G123" si="77">F117/Units</f>
        <v>437.88390441890994</v>
      </c>
      <c r="I117" s="227">
        <f>LOOKUP('General Inputs'!$D$30,OperBgt!$5:$5,OperBgt!$137:$137)</f>
        <v>112374.74412957609</v>
      </c>
      <c r="J117" s="227">
        <f t="shared" ref="J117:J123" si="78">I117/Units</f>
        <v>438.96384425615662</v>
      </c>
      <c r="L117" s="19">
        <f>'Operating Input Details'!D41</f>
        <v>422</v>
      </c>
      <c r="M117" s="1123">
        <f t="shared" ref="M117:M122" si="79">D117</f>
        <v>422</v>
      </c>
      <c r="P117" s="234"/>
      <c r="Q117" s="1515">
        <f>Q118-50</f>
        <v>755</v>
      </c>
      <c r="R117" s="236"/>
      <c r="S117" s="236"/>
      <c r="T117" s="1596"/>
    </row>
    <row r="118" spans="1:20" x14ac:dyDescent="0.3">
      <c r="A118" s="2705" t="s">
        <v>678</v>
      </c>
      <c r="B118" s="2705"/>
      <c r="C118" s="229">
        <f>IF(L118&gt;0,L118*Units,E188)</f>
        <v>91392</v>
      </c>
      <c r="D118" s="229">
        <f t="shared" si="75"/>
        <v>357</v>
      </c>
      <c r="F118" s="229">
        <f t="shared" si="76"/>
        <v>94831.956854627992</v>
      </c>
      <c r="G118" s="229">
        <f t="shared" si="77"/>
        <v>370.43733146339059</v>
      </c>
      <c r="I118" s="229">
        <f>LOOKUP('General Inputs'!$D$30,OperBgt!$5:$5,OperBgt!$142:$142)</f>
        <v>95065.838043266966</v>
      </c>
      <c r="J118" s="229">
        <f t="shared" si="78"/>
        <v>371.35092985651158</v>
      </c>
      <c r="L118" s="19">
        <f>'Operating Input Details'!D42</f>
        <v>357</v>
      </c>
      <c r="M118" s="1123">
        <f t="shared" si="79"/>
        <v>357</v>
      </c>
      <c r="P118" s="234"/>
      <c r="Q118" s="1515">
        <f>Q119-50</f>
        <v>805</v>
      </c>
      <c r="R118" s="236"/>
      <c r="S118" s="236"/>
      <c r="T118" s="1596"/>
    </row>
    <row r="119" spans="1:20" x14ac:dyDescent="0.3">
      <c r="A119" s="2705" t="s">
        <v>701</v>
      </c>
      <c r="B119" s="2705"/>
      <c r="C119" s="229">
        <f>IF(L119&gt;0,L119*Units,M165)</f>
        <v>406272</v>
      </c>
      <c r="D119" s="229">
        <f>C119/Units</f>
        <v>1587</v>
      </c>
      <c r="F119" s="229">
        <f t="shared" si="76"/>
        <v>421563.9090428421</v>
      </c>
      <c r="G119" s="229">
        <f>F119/Units</f>
        <v>1646.734019698602</v>
      </c>
      <c r="I119" s="229">
        <f>LOOKUP('General Inputs'!$D$30,OperBgt!$5:$5,OperBgt!$147:$147)</f>
        <v>422603.59936880867</v>
      </c>
      <c r="J119" s="229">
        <f t="shared" si="78"/>
        <v>1650.7953100344089</v>
      </c>
      <c r="L119" s="19">
        <f>'Operating Input Details'!D43</f>
        <v>1587</v>
      </c>
      <c r="M119" s="1123">
        <f t="shared" si="79"/>
        <v>1587</v>
      </c>
      <c r="P119" s="234"/>
      <c r="Q119" s="1515">
        <v>855</v>
      </c>
      <c r="R119" s="236"/>
      <c r="S119" s="236"/>
      <c r="T119" s="1596"/>
    </row>
    <row r="120" spans="1:20" x14ac:dyDescent="0.3">
      <c r="A120" s="2705" t="s">
        <v>702</v>
      </c>
      <c r="B120" s="2705"/>
      <c r="C120" s="229">
        <f>IF(L120&gt;0,L120*Units,D221)</f>
        <v>121856</v>
      </c>
      <c r="D120" s="229">
        <f t="shared" si="75"/>
        <v>476</v>
      </c>
      <c r="F120" s="229">
        <f t="shared" si="76"/>
        <v>126442.609139504</v>
      </c>
      <c r="G120" s="229">
        <f t="shared" si="77"/>
        <v>493.91644195118749</v>
      </c>
      <c r="I120" s="229">
        <f>LOOKUP('General Inputs'!$D$30,OperBgt!$5:$5,OperBgt!$152:$152)</f>
        <v>126754.45072435596</v>
      </c>
      <c r="J120" s="229">
        <f t="shared" si="78"/>
        <v>495.13457314201548</v>
      </c>
      <c r="L120" s="19">
        <f>'Operating Input Details'!D44</f>
        <v>476</v>
      </c>
      <c r="M120" s="1123">
        <f t="shared" si="79"/>
        <v>476</v>
      </c>
      <c r="P120" s="234"/>
      <c r="Q120" s="1515">
        <f>Q119+50</f>
        <v>905</v>
      </c>
      <c r="R120" s="236"/>
      <c r="S120" s="236"/>
      <c r="T120" s="1596"/>
    </row>
    <row r="121" spans="1:20" x14ac:dyDescent="0.3">
      <c r="A121" s="2705" t="s">
        <v>704</v>
      </c>
      <c r="B121" s="2705"/>
      <c r="C121" s="229">
        <f>IF(L121&gt;0,L121*Units,M177)</f>
        <v>316416</v>
      </c>
      <c r="D121" s="229">
        <f t="shared" si="75"/>
        <v>1236</v>
      </c>
      <c r="F121" s="229">
        <f t="shared" si="76"/>
        <v>328325.76658913225</v>
      </c>
      <c r="G121" s="229">
        <f t="shared" si="77"/>
        <v>1282.5225257387979</v>
      </c>
      <c r="I121" s="229">
        <f>LOOKUP('General Inputs'!$D$30,OperBgt!$5:$5,OperBgt!$156:$156)</f>
        <v>329135.50650273944</v>
      </c>
      <c r="J121" s="229">
        <f t="shared" si="78"/>
        <v>1285.685572276326</v>
      </c>
      <c r="L121" s="19">
        <f>'Operating Input Details'!D45</f>
        <v>1236</v>
      </c>
      <c r="M121" s="1123">
        <f t="shared" si="79"/>
        <v>1236</v>
      </c>
      <c r="P121" s="234"/>
      <c r="Q121" s="1515">
        <f>Q120+50</f>
        <v>955</v>
      </c>
      <c r="R121" s="236"/>
      <c r="S121" s="236"/>
      <c r="T121" s="1596"/>
    </row>
    <row r="122" spans="1:20" x14ac:dyDescent="0.3">
      <c r="A122" s="2696" t="s">
        <v>1261</v>
      </c>
      <c r="B122" s="2697"/>
      <c r="C122" s="1603">
        <f>IF(AND(L122=0,L120=0),D208,L122*Units)</f>
        <v>218880</v>
      </c>
      <c r="D122" s="229">
        <f t="shared" si="75"/>
        <v>855</v>
      </c>
      <c r="F122" s="229">
        <f t="shared" si="76"/>
        <v>227118.55213083175</v>
      </c>
      <c r="G122" s="229">
        <f t="shared" si="77"/>
        <v>887.18184426106154</v>
      </c>
      <c r="I122" s="229">
        <f>LOOKUP('General Inputs'!$D$30,OperBgt!$5:$5,OperBgt!$161:$161)</f>
        <v>227678.68775068139</v>
      </c>
      <c r="J122" s="229">
        <f t="shared" si="78"/>
        <v>889.36987402609918</v>
      </c>
      <c r="L122" s="23">
        <v>855</v>
      </c>
      <c r="M122" s="1124">
        <f t="shared" si="79"/>
        <v>855</v>
      </c>
    </row>
    <row r="123" spans="1:20" x14ac:dyDescent="0.3">
      <c r="A123" s="285" t="s">
        <v>1262</v>
      </c>
      <c r="B123" s="701"/>
      <c r="C123" s="702">
        <f>SUBTOTAL(9,C117:C122)</f>
        <v>1262848</v>
      </c>
      <c r="D123" s="702">
        <f>C123/Units</f>
        <v>4933</v>
      </c>
      <c r="E123" s="701"/>
      <c r="F123" s="702">
        <f>SUBTOTAL(9,F117:F122)</f>
        <v>1310381.073288179</v>
      </c>
      <c r="G123" s="702">
        <f t="shared" si="77"/>
        <v>5118.6760675319492</v>
      </c>
      <c r="H123" s="701"/>
      <c r="I123" s="702">
        <f>SUBTOTAL(9,I117:I122)</f>
        <v>1313612.8265194285</v>
      </c>
      <c r="J123" s="702">
        <f t="shared" si="78"/>
        <v>5131.3001035915177</v>
      </c>
      <c r="K123" s="701"/>
      <c r="L123" s="702">
        <f>SUM(L117:L122)</f>
        <v>4933</v>
      </c>
      <c r="M123" s="1660">
        <f>SUM(M117:M122)</f>
        <v>4933</v>
      </c>
    </row>
    <row r="124" spans="1:20" x14ac:dyDescent="0.3">
      <c r="A124" s="211"/>
      <c r="F124" s="227"/>
      <c r="G124" s="227"/>
      <c r="I124" s="227"/>
      <c r="J124" s="227"/>
      <c r="L124" s="228"/>
      <c r="M124" s="1125"/>
    </row>
    <row r="125" spans="1:20" x14ac:dyDescent="0.3">
      <c r="A125" t="s">
        <v>708</v>
      </c>
      <c r="C125" s="227">
        <f ca="1">I179</f>
        <v>324020.08706225583</v>
      </c>
      <c r="D125" s="227">
        <f t="shared" ref="D125:D130" ca="1" si="80">C125/Units</f>
        <v>1265.7034650869368</v>
      </c>
      <c r="F125" s="227">
        <f ca="1">C125</f>
        <v>324020.08706225583</v>
      </c>
      <c r="G125" s="227">
        <f t="shared" ref="G125:G130" ca="1" si="81">F125/Units</f>
        <v>1265.7034650869368</v>
      </c>
      <c r="I125" s="227">
        <f ca="1">F125</f>
        <v>324020.08706225583</v>
      </c>
      <c r="J125" s="227">
        <f t="shared" ref="J125:J130" ca="1" si="82">I125/Units</f>
        <v>1265.7034650869368</v>
      </c>
      <c r="L125" s="227">
        <f ca="1">D125</f>
        <v>1265.7034650869368</v>
      </c>
      <c r="M125" s="1126">
        <f ca="1">L125</f>
        <v>1265.7034650869368</v>
      </c>
      <c r="N125" s="652"/>
    </row>
    <row r="126" spans="1:20" x14ac:dyDescent="0.3">
      <c r="A126" t="s">
        <v>671</v>
      </c>
      <c r="C126" s="229">
        <f>L126*Units</f>
        <v>111616</v>
      </c>
      <c r="D126" s="229">
        <f t="shared" si="80"/>
        <v>436</v>
      </c>
      <c r="F126" s="229">
        <f>C126*(1+PrestartExpGwth)</f>
        <v>115817.17980004988</v>
      </c>
      <c r="G126" s="229">
        <f t="shared" si="81"/>
        <v>452.41085859394485</v>
      </c>
      <c r="I126" s="229">
        <f>LOOKUP('General Inputs'!$D$30,OperBgt!$5:$5,OperBgt!$166:$166)</f>
        <v>116102.81620970421</v>
      </c>
      <c r="J126" s="229">
        <f t="shared" si="82"/>
        <v>453.52662581915706</v>
      </c>
      <c r="L126" s="19">
        <f>'Operating Input Details'!D47</f>
        <v>436</v>
      </c>
      <c r="M126" s="1123">
        <f>L126</f>
        <v>436</v>
      </c>
    </row>
    <row r="127" spans="1:20" x14ac:dyDescent="0.3">
      <c r="A127" t="s">
        <v>710</v>
      </c>
      <c r="C127" s="229">
        <f>I186</f>
        <v>209889.59102793751</v>
      </c>
      <c r="D127" s="229">
        <f t="shared" si="80"/>
        <v>819.8812149528809</v>
      </c>
      <c r="F127" s="229">
        <f>(Summary!E45+Summary!E50)*ManagmentFeePct</f>
        <v>215106.52564608556</v>
      </c>
      <c r="G127" s="229">
        <f t="shared" si="81"/>
        <v>840.25986580502172</v>
      </c>
      <c r="I127" s="229">
        <f>(Summary!$F$45+Summary!$F$50)*ManagmentFeePct</f>
        <v>215448.66775475038</v>
      </c>
      <c r="J127" s="229">
        <f t="shared" si="82"/>
        <v>841.59635841699367</v>
      </c>
      <c r="L127" s="229">
        <f>D127</f>
        <v>819.8812149528809</v>
      </c>
      <c r="M127" s="1127">
        <f>OperBgt!$E$66*12*H185/Units</f>
        <v>819.8812149528809</v>
      </c>
    </row>
    <row r="128" spans="1:20" x14ac:dyDescent="0.3">
      <c r="A128" t="s">
        <v>706</v>
      </c>
      <c r="C128" s="229">
        <f>L128*Units</f>
        <v>51200</v>
      </c>
      <c r="D128" s="229">
        <f t="shared" si="80"/>
        <v>200</v>
      </c>
      <c r="F128" s="229">
        <f>C128*(1+PrestartExpGwth)</f>
        <v>53127.146697270589</v>
      </c>
      <c r="G128" s="229">
        <f t="shared" si="81"/>
        <v>207.52791678621324</v>
      </c>
      <c r="I128" s="229">
        <f>LOOKUP('General Inputs'!$D$30,OperBgt!$5:$5,OperBgt!$171:$171)</f>
        <v>53258.172573258809</v>
      </c>
      <c r="J128" s="229">
        <f t="shared" si="82"/>
        <v>208.03973661429222</v>
      </c>
      <c r="L128" s="19">
        <f>'Operating Input Details'!D48</f>
        <v>200</v>
      </c>
      <c r="M128" s="1123">
        <f>L128</f>
        <v>200</v>
      </c>
    </row>
    <row r="129" spans="1:147" x14ac:dyDescent="0.3">
      <c r="A129" s="2698" t="s">
        <v>711</v>
      </c>
      <c r="B129" s="2699"/>
      <c r="C129" s="229">
        <f>L129*Units</f>
        <v>256</v>
      </c>
      <c r="D129" s="229">
        <f t="shared" si="80"/>
        <v>1</v>
      </c>
      <c r="F129" s="229">
        <f>C129*(1+PrestartExpGwth)</f>
        <v>265.63573348635293</v>
      </c>
      <c r="G129" s="229">
        <f t="shared" si="81"/>
        <v>1.0376395839310661</v>
      </c>
      <c r="I129" s="229">
        <f>LOOKUP('General Inputs'!$D$30,OperBgt!$5:$5,OperBgt!$176:$176)</f>
        <v>266.29086286629405</v>
      </c>
      <c r="J129" s="229">
        <f t="shared" si="82"/>
        <v>1.0401986830714611</v>
      </c>
      <c r="L129" s="23">
        <v>1</v>
      </c>
      <c r="M129" s="1124">
        <f>L129</f>
        <v>1</v>
      </c>
    </row>
    <row r="130" spans="1:147" ht="15" thickBot="1" x14ac:dyDescent="0.35">
      <c r="A130" s="213" t="s">
        <v>1263</v>
      </c>
      <c r="B130" s="248"/>
      <c r="C130" s="250">
        <f ca="1">SUBTOTAL(9,C117:C129)</f>
        <v>1959829.6780901935</v>
      </c>
      <c r="D130" s="250">
        <f t="shared" ca="1" si="80"/>
        <v>7655.5846800398185</v>
      </c>
      <c r="E130" s="248"/>
      <c r="F130" s="250">
        <f ca="1">SUBTOTAL(9,F117:F129)</f>
        <v>2018717.6482273275</v>
      </c>
      <c r="G130" s="250">
        <f t="shared" ca="1" si="81"/>
        <v>7885.6158133879981</v>
      </c>
      <c r="H130" s="248"/>
      <c r="I130" s="250">
        <f ca="1">SUBTOTAL(9,I117:I129)</f>
        <v>2022708.8609822639</v>
      </c>
      <c r="J130" s="250">
        <f t="shared" ca="1" si="82"/>
        <v>7901.2064882119685</v>
      </c>
      <c r="K130" s="248"/>
      <c r="L130" s="250">
        <f ca="1">SUM(L123:L129)</f>
        <v>7655.5846800398185</v>
      </c>
      <c r="M130" s="1128">
        <f ca="1">SUM(M123:M129)</f>
        <v>7655.5846800398185</v>
      </c>
    </row>
    <row r="131" spans="1:147" ht="15" thickTop="1" x14ac:dyDescent="0.3">
      <c r="A131" s="337"/>
      <c r="C131" s="227"/>
      <c r="D131" s="227"/>
      <c r="F131" s="227"/>
      <c r="G131" s="227"/>
      <c r="H131" s="227"/>
      <c r="I131" s="227"/>
      <c r="K131" s="227"/>
      <c r="L131" s="227"/>
    </row>
    <row r="132" spans="1:147" ht="15.6" x14ac:dyDescent="0.3">
      <c r="A132" s="115" t="s">
        <v>1264</v>
      </c>
      <c r="B132" s="204"/>
      <c r="C132" s="204"/>
      <c r="D132" s="204"/>
      <c r="E132" s="204"/>
      <c r="F132" s="204"/>
      <c r="G132" s="204"/>
      <c r="H132" s="204"/>
      <c r="I132" s="204"/>
      <c r="J132" s="204"/>
      <c r="K132" s="204"/>
      <c r="L132" s="204"/>
      <c r="M132" s="117" t="str">
        <f ca="1">'General Inputs'!$O$2</f>
        <v>In-Place ROC = 6.65%; Project IRR = 30.59%</v>
      </c>
    </row>
    <row r="133" spans="1:147" ht="3.75" customHeight="1" thickBot="1" x14ac:dyDescent="0.35">
      <c r="A133" s="119"/>
      <c r="B133" s="119"/>
      <c r="C133" s="119"/>
      <c r="D133" s="119"/>
      <c r="E133" s="119"/>
      <c r="F133" s="119"/>
      <c r="G133" s="119"/>
      <c r="H133" s="119"/>
      <c r="I133" s="119"/>
      <c r="J133" s="119"/>
      <c r="K133" s="119"/>
      <c r="L133" s="119"/>
      <c r="M133" s="119"/>
    </row>
    <row r="134" spans="1:147" ht="7.5" customHeight="1" thickTop="1" thickBot="1" x14ac:dyDescent="0.35">
      <c r="O134" s="280"/>
      <c r="P134" s="280"/>
      <c r="Q134" s="280"/>
      <c r="R134" s="280"/>
      <c r="S134" s="280"/>
      <c r="T134" s="280"/>
      <c r="U134" s="280"/>
      <c r="V134" s="280"/>
      <c r="W134" s="280"/>
      <c r="X134" s="280"/>
      <c r="Y134" s="280"/>
      <c r="Z134" s="280"/>
      <c r="AA134" s="280"/>
      <c r="AB134" s="280"/>
      <c r="AC134" s="280"/>
      <c r="AD134" s="280"/>
      <c r="AE134" s="280"/>
      <c r="AF134" s="280"/>
      <c r="AG134" s="280"/>
      <c r="AH134" s="280"/>
      <c r="AI134" s="280"/>
      <c r="AJ134" s="280"/>
      <c r="AK134" s="280"/>
      <c r="AL134" s="280"/>
      <c r="AM134" s="280"/>
      <c r="AN134" s="280"/>
      <c r="AO134" s="280"/>
      <c r="AP134" s="280"/>
      <c r="AQ134" s="280"/>
      <c r="AR134" s="280"/>
      <c r="AS134" s="280"/>
      <c r="AT134" s="280"/>
      <c r="AU134" s="280"/>
      <c r="AV134" s="280"/>
      <c r="AW134" s="280"/>
      <c r="AX134" s="280"/>
      <c r="AY134" s="280"/>
      <c r="AZ134" s="280"/>
      <c r="BA134" s="280"/>
      <c r="BB134" s="280"/>
      <c r="BC134" s="280"/>
      <c r="BD134" s="280"/>
      <c r="BE134" s="280"/>
      <c r="BF134" s="280"/>
      <c r="BG134" s="280"/>
      <c r="BH134" s="280"/>
      <c r="BI134" s="280"/>
      <c r="BJ134" s="280"/>
      <c r="BK134" s="280"/>
      <c r="BL134" s="280"/>
      <c r="BM134" s="280"/>
      <c r="BN134" s="280"/>
      <c r="BO134" s="280"/>
      <c r="BP134" s="280"/>
      <c r="BQ134" s="280"/>
      <c r="BR134" s="280"/>
      <c r="BS134" s="280"/>
      <c r="BT134" s="280"/>
      <c r="BU134" s="280"/>
      <c r="BV134" s="280"/>
      <c r="BW134" s="280"/>
      <c r="BX134" s="280"/>
      <c r="BY134" s="280"/>
      <c r="BZ134" s="280"/>
      <c r="CA134" s="280"/>
      <c r="CB134" s="280"/>
      <c r="CC134" s="280"/>
      <c r="CD134" s="280"/>
      <c r="CE134" s="280"/>
      <c r="CF134" s="280"/>
      <c r="CG134" s="280"/>
      <c r="CH134" s="280"/>
      <c r="CI134" s="280"/>
      <c r="CJ134" s="280"/>
      <c r="CK134" s="280"/>
      <c r="CL134" s="280"/>
      <c r="CM134" s="280"/>
      <c r="CN134" s="280"/>
      <c r="CO134" s="280"/>
      <c r="CP134" s="280"/>
      <c r="CQ134" s="280"/>
      <c r="CR134" s="280"/>
      <c r="CS134" s="280"/>
      <c r="CT134" s="280"/>
      <c r="CU134" s="280"/>
      <c r="CV134" s="280"/>
      <c r="CW134" s="280"/>
      <c r="CX134" s="280"/>
      <c r="CY134" s="280"/>
      <c r="CZ134" s="280"/>
      <c r="DA134" s="280"/>
      <c r="DB134" s="280"/>
      <c r="DC134" s="280"/>
      <c r="DD134" s="280"/>
      <c r="DE134" s="280"/>
      <c r="DF134" s="280"/>
      <c r="DG134" s="280"/>
      <c r="DH134" s="280"/>
      <c r="DI134" s="280"/>
      <c r="DJ134" s="280"/>
      <c r="DK134" s="280"/>
      <c r="DL134" s="280"/>
      <c r="DM134" s="280"/>
      <c r="DN134" s="280"/>
      <c r="DO134" s="280"/>
      <c r="DP134" s="280"/>
      <c r="DQ134" s="280"/>
      <c r="DR134" s="280"/>
      <c r="DS134" s="280"/>
      <c r="DT134" s="280"/>
      <c r="DU134" s="280"/>
      <c r="DV134" s="280"/>
      <c r="DW134" s="280"/>
      <c r="DX134" s="280"/>
      <c r="DY134" s="280"/>
      <c r="DZ134" s="280"/>
      <c r="EA134" s="280"/>
      <c r="EB134" s="280"/>
      <c r="EC134" s="280"/>
      <c r="ED134" s="280"/>
      <c r="EE134" s="280"/>
      <c r="EF134" s="280"/>
      <c r="EG134" s="280"/>
      <c r="EH134" s="280"/>
      <c r="EI134" s="280"/>
      <c r="EJ134" s="280"/>
      <c r="EK134" s="280"/>
      <c r="EL134" s="280"/>
      <c r="EM134" s="280"/>
      <c r="EN134" s="280"/>
      <c r="EO134" s="280"/>
      <c r="EP134" s="280"/>
      <c r="EQ134" s="280"/>
    </row>
    <row r="135" spans="1:147" ht="15" thickTop="1" x14ac:dyDescent="0.3">
      <c r="A135" s="125" t="s">
        <v>1265</v>
      </c>
      <c r="B135" s="142"/>
      <c r="C135" s="322"/>
      <c r="D135" s="1081" t="s">
        <v>1266</v>
      </c>
      <c r="E135" s="1072" t="s">
        <v>1244</v>
      </c>
      <c r="F135" s="125" t="s">
        <v>1267</v>
      </c>
      <c r="G135" s="142"/>
      <c r="H135" s="191"/>
      <c r="I135" s="191"/>
      <c r="J135" s="191"/>
      <c r="K135" s="191"/>
      <c r="L135" s="191"/>
      <c r="M135" s="191"/>
    </row>
    <row r="136" spans="1:147" x14ac:dyDescent="0.3">
      <c r="A136" s="111" t="s">
        <v>1268</v>
      </c>
      <c r="B136" s="111"/>
      <c r="D136" s="944">
        <f>E136/12</f>
        <v>579</v>
      </c>
      <c r="E136" s="1087">
        <v>6948</v>
      </c>
      <c r="F136" s="1088" t="s">
        <v>1269</v>
      </c>
      <c r="G136" s="374" t="s">
        <v>1270</v>
      </c>
      <c r="H136" s="374" t="s">
        <v>1271</v>
      </c>
      <c r="I136" s="374" t="s">
        <v>1272</v>
      </c>
      <c r="J136" s="374" t="s">
        <v>1273</v>
      </c>
      <c r="K136" s="374"/>
      <c r="L136" s="374" t="s">
        <v>1274</v>
      </c>
      <c r="M136" s="509" t="s">
        <v>1275</v>
      </c>
    </row>
    <row r="137" spans="1:147" x14ac:dyDescent="0.3">
      <c r="A137" s="111" t="s">
        <v>1276</v>
      </c>
      <c r="B137" s="111"/>
      <c r="D137" s="944">
        <f t="shared" ref="D137:D162" si="83">E137/12</f>
        <v>237.44000000000003</v>
      </c>
      <c r="E137" s="1082">
        <v>2849.28</v>
      </c>
      <c r="F137" s="1089" t="s">
        <v>1277</v>
      </c>
      <c r="G137" s="246"/>
      <c r="H137" s="246"/>
      <c r="I137" s="246"/>
      <c r="J137" s="246"/>
      <c r="K137" s="1063"/>
      <c r="L137" s="246"/>
      <c r="M137" s="246"/>
    </row>
    <row r="138" spans="1:147" x14ac:dyDescent="0.3">
      <c r="A138" s="111" t="s">
        <v>1278</v>
      </c>
      <c r="B138" s="111"/>
      <c r="D138" s="944">
        <f t="shared" si="83"/>
        <v>237.5</v>
      </c>
      <c r="E138" s="1082">
        <v>2850</v>
      </c>
      <c r="F138" s="287" t="s">
        <v>1279</v>
      </c>
      <c r="G138" s="210" t="s">
        <v>1280</v>
      </c>
      <c r="H138" s="1090" t="s">
        <v>1280</v>
      </c>
      <c r="I138" s="1056">
        <v>80000</v>
      </c>
      <c r="J138" s="1057">
        <v>0.24</v>
      </c>
      <c r="K138" s="1110"/>
      <c r="L138" s="1057">
        <v>0.25</v>
      </c>
      <c r="M138" s="1065">
        <f>(I138*(1+J138)*(1+L138))</f>
        <v>124000</v>
      </c>
    </row>
    <row r="139" spans="1:147" x14ac:dyDescent="0.3">
      <c r="A139" s="111" t="s">
        <v>1281</v>
      </c>
      <c r="B139" s="111"/>
      <c r="D139" s="944">
        <f t="shared" si="83"/>
        <v>78</v>
      </c>
      <c r="E139" s="1082">
        <v>936</v>
      </c>
      <c r="F139" s="287" t="s">
        <v>1282</v>
      </c>
      <c r="G139" s="210" t="s">
        <v>1280</v>
      </c>
      <c r="H139" s="1090" t="s">
        <v>1280</v>
      </c>
      <c r="I139" s="1091">
        <v>60000</v>
      </c>
      <c r="J139" s="1092">
        <v>0.25</v>
      </c>
      <c r="K139" s="1111"/>
      <c r="L139" s="1092">
        <v>0.25</v>
      </c>
      <c r="M139" s="944">
        <f>(I139*(1+J139)*(1+L139))</f>
        <v>93750</v>
      </c>
    </row>
    <row r="140" spans="1:147" x14ac:dyDescent="0.3">
      <c r="A140" s="111" t="s">
        <v>700</v>
      </c>
      <c r="B140" s="111"/>
      <c r="D140" s="944">
        <f t="shared" si="83"/>
        <v>475</v>
      </c>
      <c r="E140" s="1082">
        <v>5700</v>
      </c>
      <c r="F140" s="287" t="s">
        <v>1283</v>
      </c>
      <c r="G140" s="1093">
        <v>20</v>
      </c>
      <c r="H140" s="1093">
        <v>15</v>
      </c>
      <c r="I140" s="1094" t="s">
        <v>1280</v>
      </c>
      <c r="J140" s="1092">
        <v>0.25</v>
      </c>
      <c r="K140" s="1111"/>
      <c r="L140" s="1092">
        <v>0.25</v>
      </c>
      <c r="M140" s="944">
        <f>(G140*52*H140*(1+J140)*(1+L140))</f>
        <v>24375</v>
      </c>
    </row>
    <row r="141" spans="1:147" x14ac:dyDescent="0.3">
      <c r="A141" s="111" t="s">
        <v>1284</v>
      </c>
      <c r="B141" s="111"/>
      <c r="D141" s="944">
        <f t="shared" si="83"/>
        <v>0</v>
      </c>
      <c r="E141" s="1082">
        <v>0</v>
      </c>
      <c r="F141" s="287" t="s">
        <v>1283</v>
      </c>
      <c r="G141" s="1093">
        <v>40</v>
      </c>
      <c r="H141" s="1093">
        <v>15</v>
      </c>
      <c r="I141" s="1094" t="s">
        <v>1280</v>
      </c>
      <c r="J141" s="1092">
        <v>0.25</v>
      </c>
      <c r="K141" s="1111"/>
      <c r="L141" s="1092">
        <v>0.25</v>
      </c>
      <c r="M141" s="944">
        <f>(G141*52*H141*(1+J141)*(1+L141))</f>
        <v>48750</v>
      </c>
    </row>
    <row r="142" spans="1:147" x14ac:dyDescent="0.3">
      <c r="A142" s="111" t="s">
        <v>1285</v>
      </c>
      <c r="B142" s="111"/>
      <c r="D142" s="944">
        <f t="shared" si="83"/>
        <v>120</v>
      </c>
      <c r="E142" s="1082">
        <v>1440</v>
      </c>
      <c r="F142" s="1095" t="s">
        <v>1286</v>
      </c>
      <c r="G142" s="1093">
        <v>20</v>
      </c>
      <c r="H142" s="1093">
        <v>15</v>
      </c>
      <c r="I142" s="1094" t="s">
        <v>1280</v>
      </c>
      <c r="J142" s="1092">
        <v>0</v>
      </c>
      <c r="K142" s="1111"/>
      <c r="L142" s="1092">
        <v>0.25</v>
      </c>
      <c r="M142" s="944">
        <f>(G142*52*H142*(1+J142)*(1+L142))</f>
        <v>19500</v>
      </c>
    </row>
    <row r="143" spans="1:147" x14ac:dyDescent="0.3">
      <c r="A143" s="111" t="s">
        <v>1287</v>
      </c>
      <c r="B143" s="111"/>
      <c r="D143" s="944">
        <f t="shared" si="83"/>
        <v>800</v>
      </c>
      <c r="E143" s="1082">
        <v>9600</v>
      </c>
      <c r="F143" s="1096" t="s">
        <v>1286</v>
      </c>
      <c r="G143" s="1093">
        <v>40</v>
      </c>
      <c r="H143" s="1093">
        <v>15</v>
      </c>
      <c r="I143" s="1094" t="s">
        <v>1280</v>
      </c>
      <c r="J143" s="1092">
        <v>0</v>
      </c>
      <c r="K143" s="1112"/>
      <c r="L143" s="1092">
        <v>0.25</v>
      </c>
      <c r="M143" s="944">
        <f>(G143*52*H143*(1+J143)*(1+L143))</f>
        <v>39000</v>
      </c>
    </row>
    <row r="144" spans="1:147" x14ac:dyDescent="0.3">
      <c r="A144" s="111" t="s">
        <v>1288</v>
      </c>
      <c r="B144" s="111"/>
      <c r="D144" s="944">
        <f t="shared" si="83"/>
        <v>3384</v>
      </c>
      <c r="E144" s="1082">
        <v>40608</v>
      </c>
      <c r="F144" s="1089" t="s">
        <v>1289</v>
      </c>
      <c r="G144" s="246"/>
      <c r="H144" s="246"/>
      <c r="I144" s="246"/>
      <c r="J144" s="246"/>
      <c r="K144" s="701"/>
      <c r="L144" s="246"/>
      <c r="M144" s="1064"/>
    </row>
    <row r="145" spans="1:149" x14ac:dyDescent="0.3">
      <c r="A145" s="111" t="s">
        <v>1290</v>
      </c>
      <c r="B145" s="111"/>
      <c r="D145" s="944">
        <f t="shared" si="83"/>
        <v>0</v>
      </c>
      <c r="E145" s="1082">
        <v>0</v>
      </c>
      <c r="F145" s="287" t="s">
        <v>1291</v>
      </c>
      <c r="G145" s="210" t="s">
        <v>1280</v>
      </c>
      <c r="H145" s="1090" t="s">
        <v>1280</v>
      </c>
      <c r="I145" s="1056">
        <v>75000</v>
      </c>
      <c r="J145" s="1057">
        <v>0.01</v>
      </c>
      <c r="K145" s="1110"/>
      <c r="L145" s="1057">
        <v>0.25</v>
      </c>
      <c r="M145" s="1065">
        <f>(I145*(1+J145)*(1+L145))</f>
        <v>94687.5</v>
      </c>
    </row>
    <row r="146" spans="1:149" x14ac:dyDescent="0.3">
      <c r="A146" s="111" t="s">
        <v>1292</v>
      </c>
      <c r="B146" s="111"/>
      <c r="D146" s="944">
        <f t="shared" si="83"/>
        <v>182</v>
      </c>
      <c r="E146" s="1082">
        <v>2184</v>
      </c>
      <c r="F146" s="287" t="s">
        <v>1293</v>
      </c>
      <c r="G146" s="1093">
        <v>40</v>
      </c>
      <c r="H146" s="1093">
        <v>19</v>
      </c>
      <c r="I146" s="1094" t="s">
        <v>1280</v>
      </c>
      <c r="J146" s="1057">
        <v>0</v>
      </c>
      <c r="K146" s="1111"/>
      <c r="L146" s="1092">
        <v>0.25</v>
      </c>
      <c r="M146" s="944">
        <f>(G146*52*H146*(1+J146)*(1+L146))</f>
        <v>49400</v>
      </c>
    </row>
    <row r="147" spans="1:149" x14ac:dyDescent="0.3">
      <c r="A147" s="111" t="s">
        <v>1294</v>
      </c>
      <c r="B147" s="111"/>
      <c r="D147" s="944">
        <f t="shared" si="83"/>
        <v>187.16666666666666</v>
      </c>
      <c r="E147" s="1082">
        <v>2246</v>
      </c>
      <c r="F147" s="287" t="s">
        <v>1295</v>
      </c>
      <c r="G147" s="1093">
        <v>20</v>
      </c>
      <c r="H147" s="1093">
        <v>19</v>
      </c>
      <c r="I147" s="1094" t="s">
        <v>1280</v>
      </c>
      <c r="J147" s="1057">
        <v>0</v>
      </c>
      <c r="K147" s="1111"/>
      <c r="L147" s="1092">
        <v>0.25</v>
      </c>
      <c r="M147" s="944">
        <f>(G147*52*H147*(1+J147)*(1+L147))</f>
        <v>24700</v>
      </c>
    </row>
    <row r="148" spans="1:149" x14ac:dyDescent="0.3">
      <c r="A148" s="111" t="s">
        <v>1296</v>
      </c>
      <c r="B148" s="111"/>
      <c r="D148" s="944">
        <f t="shared" si="83"/>
        <v>275</v>
      </c>
      <c r="E148" s="1082">
        <v>3300</v>
      </c>
      <c r="F148" s="287" t="s">
        <v>1295</v>
      </c>
      <c r="G148" s="1093">
        <v>40</v>
      </c>
      <c r="H148" s="1093">
        <v>19</v>
      </c>
      <c r="I148" s="1094" t="s">
        <v>1280</v>
      </c>
      <c r="J148" s="1057">
        <v>0</v>
      </c>
      <c r="K148" s="1111"/>
      <c r="L148" s="1092">
        <v>0.25</v>
      </c>
      <c r="M148" s="944">
        <f>(G148*52*H148*(1+J148)*(1+L148))</f>
        <v>49400</v>
      </c>
    </row>
    <row r="149" spans="1:149" x14ac:dyDescent="0.3">
      <c r="A149" s="111" t="s">
        <v>1297</v>
      </c>
      <c r="B149" s="111"/>
      <c r="D149" s="944">
        <f t="shared" si="83"/>
        <v>296.66666666666669</v>
      </c>
      <c r="E149" s="1082">
        <v>3560</v>
      </c>
      <c r="F149" s="1095" t="s">
        <v>1286</v>
      </c>
      <c r="G149" s="1093">
        <v>20</v>
      </c>
      <c r="H149" s="1093">
        <v>19</v>
      </c>
      <c r="I149" s="1094" t="s">
        <v>1280</v>
      </c>
      <c r="J149" s="1057">
        <v>0</v>
      </c>
      <c r="K149" s="1111"/>
      <c r="L149" s="1092">
        <v>0.25</v>
      </c>
      <c r="M149" s="944">
        <f>(G149*52*H149*(1+J149)*(1+L149))</f>
        <v>24700</v>
      </c>
    </row>
    <row r="150" spans="1:149" x14ac:dyDescent="0.3">
      <c r="A150" s="111" t="s">
        <v>1298</v>
      </c>
      <c r="B150" s="111"/>
      <c r="D150" s="944">
        <f t="shared" si="83"/>
        <v>100</v>
      </c>
      <c r="E150" s="1082">
        <v>1200</v>
      </c>
      <c r="F150" s="1096" t="s">
        <v>1286</v>
      </c>
      <c r="G150" s="1093">
        <v>40</v>
      </c>
      <c r="H150" s="1093">
        <v>19</v>
      </c>
      <c r="I150" s="1094" t="s">
        <v>1280</v>
      </c>
      <c r="J150" s="1057">
        <v>0</v>
      </c>
      <c r="K150" s="1112"/>
      <c r="L150" s="1092">
        <v>0.25</v>
      </c>
      <c r="M150" s="944">
        <f>(G150*52*H150*(1+J150)*(1+L150))</f>
        <v>49400</v>
      </c>
    </row>
    <row r="151" spans="1:149" x14ac:dyDescent="0.3">
      <c r="A151" s="111" t="s">
        <v>1299</v>
      </c>
      <c r="B151" s="111"/>
      <c r="D151" s="944">
        <f t="shared" si="83"/>
        <v>0</v>
      </c>
      <c r="E151" s="1082">
        <v>0</v>
      </c>
      <c r="F151" s="1089" t="s">
        <v>1300</v>
      </c>
      <c r="G151" s="246"/>
      <c r="H151" s="246"/>
      <c r="I151" s="246"/>
      <c r="J151" s="246"/>
      <c r="K151" s="701"/>
      <c r="L151" s="246"/>
      <c r="M151" s="1064"/>
    </row>
    <row r="152" spans="1:149" x14ac:dyDescent="0.3">
      <c r="A152" s="111" t="s">
        <v>1301</v>
      </c>
      <c r="B152" s="111"/>
      <c r="D152" s="944">
        <f t="shared" si="83"/>
        <v>100</v>
      </c>
      <c r="E152" s="1082">
        <v>1200</v>
      </c>
      <c r="F152" s="287" t="s">
        <v>1302</v>
      </c>
      <c r="G152" s="1093">
        <v>20</v>
      </c>
      <c r="H152" s="1093">
        <v>19</v>
      </c>
      <c r="I152" s="1094" t="s">
        <v>1280</v>
      </c>
      <c r="J152" s="1057">
        <v>0</v>
      </c>
      <c r="K152" s="1113"/>
      <c r="L152" s="1092">
        <v>0.25</v>
      </c>
      <c r="M152" s="1065">
        <f>(G152*52*H152*(1+J152)*(1+L152))</f>
        <v>24700</v>
      </c>
    </row>
    <row r="153" spans="1:149" x14ac:dyDescent="0.3">
      <c r="A153" s="111" t="s">
        <v>1303</v>
      </c>
      <c r="B153" s="111"/>
      <c r="D153" s="944">
        <f t="shared" si="83"/>
        <v>25</v>
      </c>
      <c r="E153" s="1082">
        <v>300</v>
      </c>
      <c r="F153" s="287" t="s">
        <v>1302</v>
      </c>
      <c r="G153" s="1093">
        <v>40</v>
      </c>
      <c r="H153" s="1093">
        <v>19</v>
      </c>
      <c r="I153" s="1094" t="s">
        <v>1280</v>
      </c>
      <c r="J153" s="1057">
        <v>0</v>
      </c>
      <c r="K153" s="1114"/>
      <c r="L153" s="1092">
        <v>0.25</v>
      </c>
      <c r="M153" s="944">
        <f>(G153*52*H153*(1+J153)*(1+L153))</f>
        <v>49400</v>
      </c>
    </row>
    <row r="154" spans="1:149" x14ac:dyDescent="0.3">
      <c r="A154" s="111" t="s">
        <v>1304</v>
      </c>
      <c r="B154" s="111"/>
      <c r="D154" s="944">
        <f t="shared" si="83"/>
        <v>300</v>
      </c>
      <c r="E154" s="1082">
        <v>3600</v>
      </c>
      <c r="F154" s="1097" t="s">
        <v>1305</v>
      </c>
      <c r="G154" s="1058"/>
      <c r="H154" s="1058"/>
      <c r="I154" s="1058"/>
      <c r="J154" s="1058"/>
      <c r="K154" s="1058"/>
      <c r="L154" s="1058"/>
      <c r="M154" s="1066">
        <f>SUM(M138:M153)</f>
        <v>715762.5</v>
      </c>
    </row>
    <row r="155" spans="1:149" x14ac:dyDescent="0.3">
      <c r="A155" s="111" t="s">
        <v>1306</v>
      </c>
      <c r="B155" s="111"/>
      <c r="D155" s="944">
        <f t="shared" si="83"/>
        <v>856</v>
      </c>
      <c r="E155" s="1082">
        <v>10272</v>
      </c>
      <c r="F155" s="287"/>
      <c r="M155" s="351"/>
    </row>
    <row r="156" spans="1:149" x14ac:dyDescent="0.3">
      <c r="A156" s="111" t="s">
        <v>1307</v>
      </c>
      <c r="B156" s="111"/>
      <c r="D156" s="944">
        <f t="shared" si="83"/>
        <v>66.666666666666671</v>
      </c>
      <c r="E156" s="1082">
        <v>800</v>
      </c>
      <c r="F156" s="1088" t="s">
        <v>1308</v>
      </c>
      <c r="H156" s="374" t="s">
        <v>1309</v>
      </c>
      <c r="I156" s="374" t="s">
        <v>1310</v>
      </c>
      <c r="J156" s="374" t="s">
        <v>1311</v>
      </c>
      <c r="K156" s="374" t="s">
        <v>1312</v>
      </c>
      <c r="L156" s="273" t="s">
        <v>1313</v>
      </c>
      <c r="M156" s="509" t="s">
        <v>1314</v>
      </c>
    </row>
    <row r="157" spans="1:149" x14ac:dyDescent="0.3">
      <c r="A157" s="111" t="s">
        <v>1315</v>
      </c>
      <c r="B157" s="111"/>
      <c r="D157" s="944">
        <f t="shared" si="83"/>
        <v>0</v>
      </c>
      <c r="E157" s="1082">
        <v>0</v>
      </c>
      <c r="F157" s="1098" t="s">
        <v>1316</v>
      </c>
      <c r="G157" s="701"/>
      <c r="H157" s="1061">
        <f>ROUND((1-TurnoverPct)*Units,0)</f>
        <v>102</v>
      </c>
      <c r="I157" s="1060">
        <v>10</v>
      </c>
      <c r="J157" s="1062">
        <f>ROUND(Units-(Units*(C8+C10))-H157,0)</f>
        <v>140</v>
      </c>
      <c r="K157" s="1059">
        <f>J157+I157</f>
        <v>150</v>
      </c>
      <c r="L157" s="1116">
        <v>100</v>
      </c>
      <c r="M157" s="1066">
        <f>((H157-I157)+K157)*L157</f>
        <v>24200</v>
      </c>
      <c r="ES157" s="229"/>
    </row>
    <row r="158" spans="1:149" x14ac:dyDescent="0.3">
      <c r="A158" s="111" t="s">
        <v>1317</v>
      </c>
      <c r="B158" s="111"/>
      <c r="D158" s="944">
        <f t="shared" si="83"/>
        <v>0</v>
      </c>
      <c r="E158" s="1082">
        <v>0</v>
      </c>
      <c r="F158" s="2706" t="s">
        <v>1318</v>
      </c>
      <c r="G158" s="2707"/>
      <c r="H158" s="2707"/>
      <c r="I158" s="2707"/>
      <c r="J158" s="2707"/>
      <c r="K158" s="2707"/>
      <c r="L158" s="2708"/>
      <c r="M158" s="1137">
        <v>10000</v>
      </c>
      <c r="ES158" s="229"/>
    </row>
    <row r="159" spans="1:149" x14ac:dyDescent="0.3">
      <c r="A159" s="111" t="s">
        <v>1319</v>
      </c>
      <c r="B159" s="111"/>
      <c r="D159" s="944">
        <f t="shared" si="83"/>
        <v>0</v>
      </c>
      <c r="E159" s="1082">
        <v>0</v>
      </c>
      <c r="F159" s="1097" t="s">
        <v>1320</v>
      </c>
      <c r="G159" s="701"/>
      <c r="H159" s="1061"/>
      <c r="I159" s="1068"/>
      <c r="J159" s="1069"/>
      <c r="K159" s="1059"/>
      <c r="L159" s="1070"/>
      <c r="M159" s="1066">
        <f>SUM(M157:M158)</f>
        <v>34200</v>
      </c>
      <c r="ES159" s="229"/>
    </row>
    <row r="160" spans="1:149" x14ac:dyDescent="0.3">
      <c r="A160" s="111" t="s">
        <v>1321</v>
      </c>
      <c r="B160" s="111"/>
      <c r="D160" s="944">
        <f t="shared" si="83"/>
        <v>88.333333333333329</v>
      </c>
      <c r="E160" s="1082">
        <v>1060</v>
      </c>
      <c r="F160" s="2702" t="s">
        <v>1322</v>
      </c>
      <c r="G160" s="2703"/>
      <c r="H160" s="2703"/>
      <c r="I160" s="2703"/>
      <c r="J160" s="2703"/>
      <c r="K160" s="2703"/>
      <c r="L160" s="2704"/>
      <c r="M160" s="1138">
        <v>600</v>
      </c>
    </row>
    <row r="161" spans="1:13" x14ac:dyDescent="0.3">
      <c r="A161" s="111" t="s">
        <v>1323</v>
      </c>
      <c r="B161" s="111"/>
      <c r="D161" s="944">
        <f t="shared" si="83"/>
        <v>267.33333333333331</v>
      </c>
      <c r="E161" s="1077">
        <v>3208</v>
      </c>
      <c r="F161" s="2702" t="s">
        <v>1324</v>
      </c>
      <c r="G161" s="2703"/>
      <c r="H161" s="2703"/>
      <c r="I161" s="2703"/>
      <c r="J161" s="2703"/>
      <c r="K161" s="2703"/>
      <c r="L161" s="2704"/>
      <c r="M161" s="1139">
        <v>2850</v>
      </c>
    </row>
    <row r="162" spans="1:13" ht="15" thickBot="1" x14ac:dyDescent="0.35">
      <c r="A162" s="248" t="str">
        <f>"TOTAL ADMINISTRATION ("&amp;TEXT(E162/Units,("$#,##0"))&amp;"/Unit/Yr)"</f>
        <v>TOTAL ADMINISTRATION ($406/Unit/Yr)</v>
      </c>
      <c r="B162" s="248"/>
      <c r="C162" s="248"/>
      <c r="D162" s="1067">
        <f t="shared" si="83"/>
        <v>8655.1066666666666</v>
      </c>
      <c r="E162" s="250">
        <f>SUM(E136:E161)</f>
        <v>103861.28</v>
      </c>
      <c r="F162" s="2702" t="s">
        <v>1325</v>
      </c>
      <c r="G162" s="2703"/>
      <c r="H162" s="2703"/>
      <c r="I162" s="2703"/>
      <c r="J162" s="2703"/>
      <c r="K162" s="2703"/>
      <c r="L162" s="2704"/>
      <c r="M162" s="1139">
        <v>300</v>
      </c>
    </row>
    <row r="163" spans="1:13" ht="15" thickTop="1" x14ac:dyDescent="0.3">
      <c r="F163" s="2702" t="s">
        <v>1326</v>
      </c>
      <c r="G163" s="2703"/>
      <c r="H163" s="2703"/>
      <c r="I163" s="2703"/>
      <c r="J163" s="2703"/>
      <c r="K163" s="2703"/>
      <c r="L163" s="2704"/>
      <c r="M163" s="1139">
        <v>624</v>
      </c>
    </row>
    <row r="164" spans="1:13" x14ac:dyDescent="0.3">
      <c r="F164" s="2702" t="s">
        <v>1327</v>
      </c>
      <c r="G164" s="2703"/>
      <c r="H164" s="2703"/>
      <c r="I164" s="2703"/>
      <c r="J164" s="2703"/>
      <c r="K164" s="2703"/>
      <c r="L164" s="2704"/>
      <c r="M164" s="1140">
        <v>0</v>
      </c>
    </row>
    <row r="165" spans="1:13" ht="15" thickBot="1" x14ac:dyDescent="0.35">
      <c r="F165" s="1084" t="str">
        <f>"TOTAL PERSONNEL ("&amp;TEXT(M165/Units,("$#,##0"))&amp;"/Unit/Yr)"</f>
        <v>TOTAL PERSONNEL ($2,947/Unit/Yr)</v>
      </c>
      <c r="G165" s="248"/>
      <c r="H165" s="248"/>
      <c r="I165" s="248"/>
      <c r="J165" s="248"/>
      <c r="K165" s="248"/>
      <c r="L165" s="248"/>
      <c r="M165" s="1067">
        <f>SUM(M154,M159,M160:M164)</f>
        <v>754336.5</v>
      </c>
    </row>
    <row r="166" spans="1:13" ht="15.6" thickTop="1" thickBot="1" x14ac:dyDescent="0.35"/>
    <row r="167" spans="1:13" ht="15" thickTop="1" x14ac:dyDescent="0.3">
      <c r="A167" s="125" t="s">
        <v>1328</v>
      </c>
      <c r="B167" s="142"/>
      <c r="C167" s="322"/>
      <c r="D167" s="1081" t="s">
        <v>1266</v>
      </c>
      <c r="E167" s="128" t="s">
        <v>1244</v>
      </c>
      <c r="F167" s="125" t="s">
        <v>1329</v>
      </c>
      <c r="G167" s="142"/>
      <c r="H167" s="191"/>
      <c r="I167" s="286"/>
      <c r="J167" s="125" t="s">
        <v>1330</v>
      </c>
      <c r="K167" s="1079"/>
      <c r="L167" s="1081" t="s">
        <v>1331</v>
      </c>
      <c r="M167" s="128" t="s">
        <v>1244</v>
      </c>
    </row>
    <row r="168" spans="1:13" x14ac:dyDescent="0.3">
      <c r="A168" t="s">
        <v>1332</v>
      </c>
      <c r="D168" s="944">
        <f>E168/12</f>
        <v>90</v>
      </c>
      <c r="E168" s="1082">
        <v>1080</v>
      </c>
      <c r="F168" s="287" t="s">
        <v>1333</v>
      </c>
      <c r="I168" s="1073">
        <f>LandPrice</f>
        <v>8850000</v>
      </c>
      <c r="J168" s="287" t="s">
        <v>1334</v>
      </c>
      <c r="L168" s="1080">
        <f t="shared" ref="L168:L177" si="84">M168/Units/12</f>
        <v>0</v>
      </c>
      <c r="M168" s="1071">
        <v>0</v>
      </c>
    </row>
    <row r="169" spans="1:13" x14ac:dyDescent="0.3">
      <c r="A169" t="s">
        <v>1335</v>
      </c>
      <c r="D169" s="944">
        <f t="shared" ref="D169:D188" si="85">E169/12</f>
        <v>2825</v>
      </c>
      <c r="E169" s="1082">
        <v>33900</v>
      </c>
      <c r="F169" s="287" t="s">
        <v>1336</v>
      </c>
      <c r="H169" s="226"/>
      <c r="I169" s="1074">
        <v>1</v>
      </c>
      <c r="J169" s="287" t="s">
        <v>1337</v>
      </c>
      <c r="L169" s="1080">
        <f t="shared" si="84"/>
        <v>11.71875</v>
      </c>
      <c r="M169" s="19">
        <v>36000</v>
      </c>
    </row>
    <row r="170" spans="1:13" x14ac:dyDescent="0.3">
      <c r="A170" t="s">
        <v>1338</v>
      </c>
      <c r="D170" s="944">
        <f t="shared" si="85"/>
        <v>275</v>
      </c>
      <c r="E170" s="1082">
        <v>3300</v>
      </c>
      <c r="F170" s="1083" t="s">
        <v>1339</v>
      </c>
      <c r="G170" s="288"/>
      <c r="H170" s="288"/>
      <c r="I170" s="288" t="s">
        <v>1340</v>
      </c>
      <c r="J170" s="287" t="s">
        <v>1341</v>
      </c>
      <c r="L170" s="1080">
        <f t="shared" si="84"/>
        <v>20.841406250000002</v>
      </c>
      <c r="M170" s="19">
        <v>64024.80000000001</v>
      </c>
    </row>
    <row r="171" spans="1:13" x14ac:dyDescent="0.3">
      <c r="A171" t="s">
        <v>1342</v>
      </c>
      <c r="D171" s="944">
        <f t="shared" si="85"/>
        <v>0</v>
      </c>
      <c r="E171" s="1082">
        <v>0</v>
      </c>
      <c r="F171" s="2701" t="s">
        <v>490</v>
      </c>
      <c r="G171" s="2689"/>
      <c r="H171" s="288"/>
      <c r="I171" s="1075">
        <f>'Operating Input Details'!B66*100</f>
        <v>0.45068985965224811</v>
      </c>
      <c r="J171" s="287" t="s">
        <v>1343</v>
      </c>
      <c r="L171" s="1080">
        <f t="shared" si="84"/>
        <v>0.9375</v>
      </c>
      <c r="M171" s="19">
        <v>2880</v>
      </c>
    </row>
    <row r="172" spans="1:13" ht="15" thickBot="1" x14ac:dyDescent="0.35">
      <c r="A172" t="s">
        <v>1344</v>
      </c>
      <c r="D172" s="944">
        <f t="shared" si="85"/>
        <v>62.5</v>
      </c>
      <c r="E172" s="1082">
        <v>750</v>
      </c>
      <c r="F172" s="1084" t="s">
        <v>1345</v>
      </c>
      <c r="G172" s="248"/>
      <c r="H172" s="290"/>
      <c r="I172" s="291">
        <f>SUM(I171:I171)</f>
        <v>0.45068985965224811</v>
      </c>
      <c r="J172" s="287" t="s">
        <v>1346</v>
      </c>
      <c r="L172" s="1080">
        <f t="shared" si="84"/>
        <v>9.765625</v>
      </c>
      <c r="M172" s="19">
        <v>30000</v>
      </c>
    </row>
    <row r="173" spans="1:13" ht="15" thickTop="1" x14ac:dyDescent="0.3">
      <c r="A173" t="s">
        <v>1347</v>
      </c>
      <c r="D173" s="944">
        <f t="shared" si="85"/>
        <v>803.33333333333337</v>
      </c>
      <c r="E173" s="1082">
        <v>9640</v>
      </c>
      <c r="F173" s="287" t="s">
        <v>1348</v>
      </c>
      <c r="I173" s="227">
        <f ca="1">TotalProjectCost+IF(LandPrice=0,D224,0)</f>
        <v>77959624.342178479</v>
      </c>
      <c r="J173" s="287" t="s">
        <v>1349</v>
      </c>
      <c r="L173" s="1080">
        <f t="shared" si="84"/>
        <v>0.390625</v>
      </c>
      <c r="M173" s="19">
        <v>1200</v>
      </c>
    </row>
    <row r="174" spans="1:13" x14ac:dyDescent="0.3">
      <c r="A174" t="s">
        <v>1350</v>
      </c>
      <c r="D174" s="944">
        <f t="shared" si="85"/>
        <v>83.333333333333329</v>
      </c>
      <c r="E174" s="1082">
        <v>1000</v>
      </c>
      <c r="F174" s="287" t="s">
        <v>1351</v>
      </c>
      <c r="I174" s="1076">
        <f ca="1">'Operating Input Details'!B76</f>
        <v>0.92219849663741671</v>
      </c>
      <c r="J174" s="287" t="s">
        <v>1352</v>
      </c>
      <c r="L174" s="1080">
        <f t="shared" si="84"/>
        <v>0.9765625</v>
      </c>
      <c r="M174" s="19">
        <v>3000</v>
      </c>
    </row>
    <row r="175" spans="1:13" x14ac:dyDescent="0.3">
      <c r="A175" t="s">
        <v>1353</v>
      </c>
      <c r="D175" s="944">
        <f t="shared" si="85"/>
        <v>99.666666666666671</v>
      </c>
      <c r="E175" s="1082">
        <v>1196</v>
      </c>
      <c r="F175" s="292" t="s">
        <v>1354</v>
      </c>
      <c r="G175" s="701"/>
      <c r="H175" s="701"/>
      <c r="I175" s="702">
        <f ca="1">I173*AssessPct</f>
        <v>71894248.366774753</v>
      </c>
      <c r="J175" s="287" t="s">
        <v>1355</v>
      </c>
      <c r="L175" s="1080">
        <f t="shared" si="84"/>
        <v>3.96484375</v>
      </c>
      <c r="M175" s="19">
        <v>12180</v>
      </c>
    </row>
    <row r="176" spans="1:13" x14ac:dyDescent="0.3">
      <c r="A176" t="s">
        <v>1356</v>
      </c>
      <c r="D176" s="944">
        <f t="shared" si="85"/>
        <v>153.5</v>
      </c>
      <c r="E176" s="1082">
        <v>1842</v>
      </c>
      <c r="F176" s="313" t="s">
        <v>1340</v>
      </c>
      <c r="G176" s="241"/>
      <c r="H176" s="293"/>
      <c r="I176" s="294">
        <f>MillRate</f>
        <v>0.45068985965224811</v>
      </c>
      <c r="J176" s="287" t="s">
        <v>1357</v>
      </c>
      <c r="L176" s="1080">
        <f t="shared" si="84"/>
        <v>16.34765625</v>
      </c>
      <c r="M176" s="19">
        <v>50220</v>
      </c>
    </row>
    <row r="177" spans="1:13" ht="15" thickBot="1" x14ac:dyDescent="0.35">
      <c r="A177" t="s">
        <v>1358</v>
      </c>
      <c r="D177" s="944">
        <f t="shared" si="85"/>
        <v>0</v>
      </c>
      <c r="E177" s="1082">
        <v>0</v>
      </c>
      <c r="F177" s="1085" t="s">
        <v>1359</v>
      </c>
      <c r="G177" s="226"/>
      <c r="H177" s="226"/>
      <c r="I177" s="229">
        <f ca="1">I175/100*I176</f>
        <v>324020.08706225583</v>
      </c>
      <c r="J177" s="295" t="str">
        <f>"TOTAL UTILITIES ("&amp;TEXT(M177/Units,("$#,##0"))&amp;"/Unit/Yr)"</f>
        <v>TOTAL UTILITIES ($779/Unit/Yr)</v>
      </c>
      <c r="K177" s="248"/>
      <c r="L177" s="1102">
        <f t="shared" si="84"/>
        <v>64.942968750000006</v>
      </c>
      <c r="M177" s="250">
        <f>SUM(M168:M176)</f>
        <v>199504.80000000002</v>
      </c>
    </row>
    <row r="178" spans="1:13" ht="15" thickTop="1" x14ac:dyDescent="0.3">
      <c r="A178" t="s">
        <v>1360</v>
      </c>
      <c r="D178" s="944">
        <f t="shared" si="85"/>
        <v>0</v>
      </c>
      <c r="E178" s="1082">
        <v>0</v>
      </c>
      <c r="F178" s="313" t="s">
        <v>1361</v>
      </c>
      <c r="G178" s="241"/>
      <c r="H178" s="226"/>
      <c r="I178" s="1077">
        <v>0</v>
      </c>
      <c r="J178" s="287"/>
    </row>
    <row r="179" spans="1:13" ht="15" thickBot="1" x14ac:dyDescent="0.35">
      <c r="A179" t="s">
        <v>1362</v>
      </c>
      <c r="D179" s="944">
        <f t="shared" si="85"/>
        <v>0</v>
      </c>
      <c r="E179" s="1082">
        <v>0</v>
      </c>
      <c r="F179" s="295" t="str">
        <f ca="1">"TOTAL AD VALOREM TAXES ("&amp;TEXT(I179/Units,("$#,##0"))&amp;"/Unit/Yr)"</f>
        <v>TOTAL AD VALOREM TAXES ($1,266/Unit/Yr)</v>
      </c>
      <c r="G179" s="248"/>
      <c r="H179" s="296"/>
      <c r="I179" s="250">
        <f ca="1">SUM(I177:I178)</f>
        <v>324020.08706225583</v>
      </c>
      <c r="J179" s="287"/>
    </row>
    <row r="180" spans="1:13" ht="15.6" thickTop="1" thickBot="1" x14ac:dyDescent="0.35">
      <c r="A180" t="s">
        <v>1363</v>
      </c>
      <c r="D180" s="944">
        <f t="shared" si="85"/>
        <v>0</v>
      </c>
      <c r="E180" s="1082">
        <v>0</v>
      </c>
      <c r="F180" s="2693" t="str">
        <f ca="1">'Development Inputs'!B11</f>
        <v>Changes have been made to default assessment calcs. on Tax Calcs tab.</v>
      </c>
      <c r="G180" s="2694"/>
      <c r="H180" s="2694"/>
      <c r="I180" s="2695"/>
      <c r="J180" s="287"/>
    </row>
    <row r="181" spans="1:13" ht="15" thickTop="1" x14ac:dyDescent="0.3">
      <c r="A181" t="s">
        <v>1364</v>
      </c>
      <c r="D181" s="944">
        <f t="shared" si="85"/>
        <v>208.33333333333334</v>
      </c>
      <c r="E181" s="1082">
        <v>2500</v>
      </c>
      <c r="F181" s="1078" t="s">
        <v>1365</v>
      </c>
      <c r="G181" s="142"/>
      <c r="H181" s="191"/>
      <c r="I181" s="191"/>
      <c r="J181" s="287"/>
    </row>
    <row r="182" spans="1:13" x14ac:dyDescent="0.3">
      <c r="A182" t="s">
        <v>1366</v>
      </c>
      <c r="D182" s="944">
        <f t="shared" si="85"/>
        <v>1498</v>
      </c>
      <c r="E182" s="1082">
        <v>17976</v>
      </c>
      <c r="F182" s="287" t="s">
        <v>1367</v>
      </c>
      <c r="H182" s="24">
        <v>10000</v>
      </c>
      <c r="I182" s="226"/>
      <c r="J182" s="287"/>
    </row>
    <row r="183" spans="1:13" x14ac:dyDescent="0.3">
      <c r="A183" t="s">
        <v>1368</v>
      </c>
      <c r="D183" s="944">
        <f t="shared" si="85"/>
        <v>100</v>
      </c>
      <c r="E183" s="1082">
        <v>1200</v>
      </c>
      <c r="F183" s="1086"/>
      <c r="G183" s="289"/>
      <c r="H183" s="297" t="s">
        <v>1192</v>
      </c>
      <c r="I183" s="298" t="s">
        <v>1244</v>
      </c>
      <c r="J183" s="287"/>
    </row>
    <row r="184" spans="1:13" x14ac:dyDescent="0.3">
      <c r="A184" t="s">
        <v>1369</v>
      </c>
      <c r="D184" s="944">
        <f t="shared" si="85"/>
        <v>0</v>
      </c>
      <c r="E184" s="1082">
        <v>0</v>
      </c>
      <c r="F184" s="287" t="s">
        <v>1370</v>
      </c>
      <c r="H184" s="1106">
        <f>IF('Development Inputs'!$N$97="PropCo",2.75%,3%)</f>
        <v>0.03</v>
      </c>
      <c r="I184" s="227">
        <f>OperBgt!$E$66*12*ManagmentFeePct</f>
        <v>209889.59102793751</v>
      </c>
      <c r="J184" s="287"/>
    </row>
    <row r="185" spans="1:13" x14ac:dyDescent="0.3">
      <c r="A185" t="s">
        <v>1371</v>
      </c>
      <c r="D185" s="944">
        <f t="shared" si="85"/>
        <v>375</v>
      </c>
      <c r="E185" s="1082">
        <v>4500</v>
      </c>
      <c r="F185" s="1129" t="s">
        <v>1372</v>
      </c>
      <c r="G185" s="1130"/>
      <c r="H185" s="1131">
        <f>ManagmentFeePct</f>
        <v>0.03</v>
      </c>
      <c r="I185" s="1132"/>
      <c r="J185" s="287"/>
    </row>
    <row r="186" spans="1:13" ht="15" thickBot="1" x14ac:dyDescent="0.35">
      <c r="A186" t="s">
        <v>1373</v>
      </c>
      <c r="D186" s="944">
        <f t="shared" si="85"/>
        <v>1600.25</v>
      </c>
      <c r="E186" s="1082">
        <v>19203</v>
      </c>
      <c r="F186" s="295" t="str">
        <f>"TOTAL MANAGEMENT FEE ("&amp;TEXT(I186/Units,("$#,##0"))&amp;"/Unit/Yr)"</f>
        <v>TOTAL MANAGEMENT FEE ($820/Unit/Yr)</v>
      </c>
      <c r="G186" s="248"/>
      <c r="H186" s="250"/>
      <c r="I186" s="1117">
        <f>I184</f>
        <v>209889.59102793751</v>
      </c>
    </row>
    <row r="187" spans="1:13" ht="15" thickTop="1" x14ac:dyDescent="0.3">
      <c r="A187" t="s">
        <v>1374</v>
      </c>
      <c r="D187" s="944">
        <f t="shared" si="85"/>
        <v>0</v>
      </c>
      <c r="E187" s="1077">
        <v>0</v>
      </c>
      <c r="F187" s="287"/>
    </row>
    <row r="188" spans="1:13" ht="15" thickBot="1" x14ac:dyDescent="0.35">
      <c r="A188" s="295" t="str">
        <f>"TOTAL MARKETING ("&amp;TEXT(E188/Units,("$#,##0"))&amp;"/Unit/Yr)"</f>
        <v>TOTAL MARKETING ($383/Unit/Yr)</v>
      </c>
      <c r="B188" s="248"/>
      <c r="C188" s="248"/>
      <c r="D188" s="1067">
        <f t="shared" si="85"/>
        <v>8173.916666666667</v>
      </c>
      <c r="E188" s="250">
        <f>SUM(E168:E187)</f>
        <v>98087</v>
      </c>
      <c r="F188" s="287"/>
    </row>
    <row r="189" spans="1:13" ht="15" thickTop="1" x14ac:dyDescent="0.3"/>
    <row r="190" spans="1:13" ht="15.6" x14ac:dyDescent="0.3">
      <c r="A190" s="115" t="s">
        <v>1264</v>
      </c>
      <c r="B190" s="204"/>
      <c r="C190" s="204"/>
      <c r="D190" s="204"/>
      <c r="E190" s="204"/>
      <c r="F190" s="204"/>
      <c r="G190" s="204"/>
      <c r="H190" s="204"/>
      <c r="I190" s="204"/>
      <c r="J190" s="204"/>
      <c r="K190" s="204"/>
      <c r="L190" s="204"/>
      <c r="M190" s="117" t="str">
        <f ca="1">'General Inputs'!$O$2</f>
        <v>In-Place ROC = 6.65%; Project IRR = 30.59%</v>
      </c>
    </row>
    <row r="191" spans="1:13" ht="3.75" customHeight="1" thickBot="1" x14ac:dyDescent="0.35">
      <c r="A191" s="119"/>
      <c r="B191" s="119"/>
      <c r="C191" s="119"/>
      <c r="D191" s="119"/>
      <c r="E191" s="119"/>
      <c r="F191" s="119"/>
      <c r="G191" s="119"/>
      <c r="H191" s="119"/>
      <c r="I191" s="119"/>
      <c r="J191" s="119"/>
      <c r="K191" s="119"/>
      <c r="L191" s="119"/>
      <c r="M191" s="119"/>
    </row>
    <row r="192" spans="1:13" ht="7.5" customHeight="1" thickTop="1" thickBot="1" x14ac:dyDescent="0.35"/>
    <row r="193" spans="1:13" ht="15" thickTop="1" x14ac:dyDescent="0.3">
      <c r="A193" s="125" t="s">
        <v>1375</v>
      </c>
      <c r="B193" s="142"/>
      <c r="C193" s="143"/>
      <c r="D193" s="191"/>
      <c r="E193" s="191"/>
      <c r="F193" s="191"/>
      <c r="G193" s="191"/>
      <c r="H193" s="191"/>
      <c r="I193" s="191"/>
      <c r="J193" s="191"/>
      <c r="K193" s="191"/>
      <c r="L193" s="191"/>
      <c r="M193" s="191"/>
    </row>
    <row r="194" spans="1:13" x14ac:dyDescent="0.3">
      <c r="A194" s="1105" t="s">
        <v>703</v>
      </c>
      <c r="B194" s="1099"/>
      <c r="C194" s="1103" t="s">
        <v>1376</v>
      </c>
      <c r="D194" s="1103" t="s">
        <v>1244</v>
      </c>
      <c r="E194" s="1105" t="s">
        <v>1377</v>
      </c>
      <c r="F194" s="1099"/>
      <c r="G194" s="1104"/>
      <c r="H194" s="1103" t="s">
        <v>1376</v>
      </c>
      <c r="I194" s="1100" t="s">
        <v>1244</v>
      </c>
      <c r="J194" s="1105" t="s">
        <v>1378</v>
      </c>
      <c r="K194" s="1099"/>
      <c r="L194" s="1101" t="s">
        <v>1376</v>
      </c>
      <c r="M194" s="1100" t="s">
        <v>1244</v>
      </c>
    </row>
    <row r="195" spans="1:13" x14ac:dyDescent="0.3">
      <c r="A195" t="s">
        <v>1379</v>
      </c>
      <c r="C195" s="1080">
        <f t="shared" ref="C195:C208" si="86">D195/Units</f>
        <v>0</v>
      </c>
      <c r="D195" s="1082">
        <v>0</v>
      </c>
      <c r="E195" s="287" t="s">
        <v>1380</v>
      </c>
      <c r="H195" s="1080">
        <f t="shared" ref="H195:H212" si="87">I195/Units</f>
        <v>2.34375</v>
      </c>
      <c r="I195" s="1082">
        <v>600</v>
      </c>
      <c r="J195" s="287" t="s">
        <v>1381</v>
      </c>
      <c r="L195" s="1080">
        <f t="shared" ref="L195:L212" si="88">M195/Units</f>
        <v>3.515625</v>
      </c>
      <c r="M195" s="19">
        <v>900</v>
      </c>
    </row>
    <row r="196" spans="1:13" x14ac:dyDescent="0.3">
      <c r="A196" t="s">
        <v>1382</v>
      </c>
      <c r="C196" s="233">
        <f t="shared" si="86"/>
        <v>142.171875</v>
      </c>
      <c r="D196" s="1082">
        <v>36396</v>
      </c>
      <c r="E196" s="287" t="s">
        <v>1383</v>
      </c>
      <c r="H196" s="1080">
        <f t="shared" si="87"/>
        <v>2.34375</v>
      </c>
      <c r="I196" s="1082">
        <v>600</v>
      </c>
      <c r="J196" s="287" t="s">
        <v>1384</v>
      </c>
      <c r="L196" s="1080">
        <f t="shared" si="88"/>
        <v>1.171875</v>
      </c>
      <c r="M196" s="19">
        <v>300</v>
      </c>
    </row>
    <row r="197" spans="1:13" x14ac:dyDescent="0.3">
      <c r="A197" t="s">
        <v>1385</v>
      </c>
      <c r="C197" s="233">
        <f t="shared" si="86"/>
        <v>56.25</v>
      </c>
      <c r="D197" s="1082">
        <v>14400</v>
      </c>
      <c r="E197" s="287" t="s">
        <v>1386</v>
      </c>
      <c r="H197" s="1080">
        <f t="shared" si="87"/>
        <v>4.6875</v>
      </c>
      <c r="I197" s="1082">
        <v>1200</v>
      </c>
      <c r="J197" s="287" t="s">
        <v>1387</v>
      </c>
      <c r="L197" s="1080">
        <f t="shared" si="88"/>
        <v>4.6875</v>
      </c>
      <c r="M197" s="19">
        <v>1200</v>
      </c>
    </row>
    <row r="198" spans="1:13" x14ac:dyDescent="0.3">
      <c r="A198" t="s">
        <v>1388</v>
      </c>
      <c r="C198" s="233">
        <f t="shared" si="86"/>
        <v>32.8125</v>
      </c>
      <c r="D198" s="1082">
        <v>8400</v>
      </c>
      <c r="E198" s="287" t="s">
        <v>1389</v>
      </c>
      <c r="H198" s="1080">
        <f t="shared" si="87"/>
        <v>5.3125</v>
      </c>
      <c r="I198" s="1082">
        <v>1360</v>
      </c>
      <c r="J198" s="287" t="s">
        <v>1390</v>
      </c>
      <c r="L198" s="1080">
        <f t="shared" si="88"/>
        <v>2.34375</v>
      </c>
      <c r="M198" s="19">
        <v>600</v>
      </c>
    </row>
    <row r="199" spans="1:13" x14ac:dyDescent="0.3">
      <c r="A199" t="s">
        <v>1391</v>
      </c>
      <c r="C199" s="233">
        <f t="shared" si="86"/>
        <v>0</v>
      </c>
      <c r="D199" s="1082">
        <v>0</v>
      </c>
      <c r="E199" s="287" t="s">
        <v>1392</v>
      </c>
      <c r="H199" s="1080">
        <f t="shared" si="87"/>
        <v>0</v>
      </c>
      <c r="I199" s="1082">
        <v>0</v>
      </c>
      <c r="J199" s="287" t="s">
        <v>1393</v>
      </c>
      <c r="L199" s="1080">
        <f t="shared" si="88"/>
        <v>6.640625</v>
      </c>
      <c r="M199" s="19">
        <v>1700</v>
      </c>
    </row>
    <row r="200" spans="1:13" x14ac:dyDescent="0.3">
      <c r="A200" t="s">
        <v>1394</v>
      </c>
      <c r="C200" s="233">
        <f t="shared" si="86"/>
        <v>14.859375</v>
      </c>
      <c r="D200" s="1082">
        <v>3804</v>
      </c>
      <c r="E200" s="287" t="s">
        <v>1395</v>
      </c>
      <c r="H200" s="1080">
        <f t="shared" si="87"/>
        <v>0</v>
      </c>
      <c r="I200" s="1082">
        <v>0</v>
      </c>
      <c r="J200" s="287" t="s">
        <v>1396</v>
      </c>
      <c r="L200" s="1080">
        <f t="shared" si="88"/>
        <v>3.125</v>
      </c>
      <c r="M200" s="19">
        <v>800</v>
      </c>
    </row>
    <row r="201" spans="1:13" x14ac:dyDescent="0.3">
      <c r="A201" t="s">
        <v>1397</v>
      </c>
      <c r="C201" s="233">
        <f t="shared" si="86"/>
        <v>0</v>
      </c>
      <c r="D201" s="1082">
        <v>0</v>
      </c>
      <c r="E201" s="287" t="s">
        <v>1398</v>
      </c>
      <c r="H201" s="1080">
        <f t="shared" si="87"/>
        <v>0</v>
      </c>
      <c r="I201" s="1082">
        <v>0</v>
      </c>
      <c r="J201" s="287" t="s">
        <v>1399</v>
      </c>
      <c r="L201" s="1080">
        <f t="shared" si="88"/>
        <v>7.5</v>
      </c>
      <c r="M201" s="19">
        <v>1920</v>
      </c>
    </row>
    <row r="202" spans="1:13" x14ac:dyDescent="0.3">
      <c r="A202" t="s">
        <v>1400</v>
      </c>
      <c r="C202" s="233">
        <f t="shared" si="86"/>
        <v>5.46875</v>
      </c>
      <c r="D202" s="1082">
        <v>1400</v>
      </c>
      <c r="E202" s="287" t="s">
        <v>1401</v>
      </c>
      <c r="H202" s="1080">
        <f t="shared" si="87"/>
        <v>21.171875</v>
      </c>
      <c r="I202" s="1082">
        <v>5420</v>
      </c>
      <c r="J202" s="287" t="s">
        <v>1402</v>
      </c>
      <c r="L202" s="1080">
        <f t="shared" si="88"/>
        <v>2.34375</v>
      </c>
      <c r="M202" s="19">
        <v>600</v>
      </c>
    </row>
    <row r="203" spans="1:13" x14ac:dyDescent="0.3">
      <c r="A203" t="s">
        <v>1403</v>
      </c>
      <c r="C203" s="233">
        <f t="shared" si="86"/>
        <v>0</v>
      </c>
      <c r="D203" s="1082">
        <v>0</v>
      </c>
      <c r="E203" s="287" t="s">
        <v>1404</v>
      </c>
      <c r="H203" s="1080">
        <f t="shared" si="87"/>
        <v>7.03125</v>
      </c>
      <c r="I203" s="1082">
        <v>1800</v>
      </c>
      <c r="J203" s="287" t="s">
        <v>1405</v>
      </c>
      <c r="L203" s="1080">
        <f t="shared" si="88"/>
        <v>2.34375</v>
      </c>
      <c r="M203" s="19">
        <v>600</v>
      </c>
    </row>
    <row r="204" spans="1:13" x14ac:dyDescent="0.3">
      <c r="A204" t="s">
        <v>1406</v>
      </c>
      <c r="C204" s="233">
        <f t="shared" si="86"/>
        <v>39.84375</v>
      </c>
      <c r="D204" s="1082">
        <v>10200</v>
      </c>
      <c r="E204" s="287" t="s">
        <v>1407</v>
      </c>
      <c r="H204" s="1080">
        <f t="shared" si="87"/>
        <v>3.3203125</v>
      </c>
      <c r="I204" s="1082">
        <v>850</v>
      </c>
      <c r="J204" s="287" t="s">
        <v>1408</v>
      </c>
      <c r="L204" s="1080">
        <f t="shared" si="88"/>
        <v>7.03125</v>
      </c>
      <c r="M204" s="19">
        <v>1800</v>
      </c>
    </row>
    <row r="205" spans="1:13" x14ac:dyDescent="0.3">
      <c r="A205" t="s">
        <v>1409</v>
      </c>
      <c r="C205" s="233">
        <f t="shared" si="86"/>
        <v>93.75</v>
      </c>
      <c r="D205" s="1082">
        <v>24000</v>
      </c>
      <c r="E205" s="287" t="s">
        <v>1410</v>
      </c>
      <c r="H205" s="1080">
        <f t="shared" si="87"/>
        <v>5.46875</v>
      </c>
      <c r="I205" s="1082">
        <v>1400</v>
      </c>
      <c r="J205" s="287" t="s">
        <v>1411</v>
      </c>
      <c r="L205" s="1080">
        <f t="shared" si="88"/>
        <v>5.1953125</v>
      </c>
      <c r="M205" s="19">
        <v>1330</v>
      </c>
    </row>
    <row r="206" spans="1:13" x14ac:dyDescent="0.3">
      <c r="A206" t="s">
        <v>1412</v>
      </c>
      <c r="C206" s="233">
        <f t="shared" si="86"/>
        <v>13.03125</v>
      </c>
      <c r="D206" s="1082">
        <v>3336</v>
      </c>
      <c r="E206" s="287" t="s">
        <v>1413</v>
      </c>
      <c r="H206" s="1080">
        <f t="shared" si="87"/>
        <v>3.515625</v>
      </c>
      <c r="I206" s="1082">
        <v>900</v>
      </c>
      <c r="J206" s="287" t="s">
        <v>1414</v>
      </c>
      <c r="L206" s="1080">
        <f t="shared" si="88"/>
        <v>7.03125</v>
      </c>
      <c r="M206" s="19">
        <v>1800</v>
      </c>
    </row>
    <row r="207" spans="1:13" x14ac:dyDescent="0.3">
      <c r="A207" t="s">
        <v>1415</v>
      </c>
      <c r="C207" s="233">
        <f t="shared" si="86"/>
        <v>192.1875</v>
      </c>
      <c r="D207" s="1077">
        <v>49200</v>
      </c>
      <c r="E207" s="287" t="s">
        <v>1416</v>
      </c>
      <c r="H207" s="1080">
        <f t="shared" si="87"/>
        <v>3.515625</v>
      </c>
      <c r="I207" s="1082">
        <v>900</v>
      </c>
      <c r="J207" s="287" t="s">
        <v>1417</v>
      </c>
      <c r="L207" s="1080">
        <f t="shared" si="88"/>
        <v>1.7578125</v>
      </c>
      <c r="M207" s="19">
        <v>450</v>
      </c>
    </row>
    <row r="208" spans="1:13" x14ac:dyDescent="0.3">
      <c r="A208" s="992" t="str">
        <f>"Subtotal Contract Services ("&amp;TEXT(D208/Units,("$#,##0"))&amp;"/Unit/Yr)"</f>
        <v>Subtotal Contract Services ($590/Unit/Yr)</v>
      </c>
      <c r="B208" s="701"/>
      <c r="C208" s="702">
        <f t="shared" si="86"/>
        <v>590.375</v>
      </c>
      <c r="D208" s="702">
        <f>SUM(D195:D207)</f>
        <v>151136</v>
      </c>
      <c r="E208" s="287" t="s">
        <v>1418</v>
      </c>
      <c r="H208" s="1080">
        <f t="shared" si="87"/>
        <v>2.34375</v>
      </c>
      <c r="I208" s="1082">
        <v>600</v>
      </c>
      <c r="J208" s="287" t="s">
        <v>1419</v>
      </c>
      <c r="L208" s="1080">
        <f t="shared" si="88"/>
        <v>2.34375</v>
      </c>
      <c r="M208" s="19">
        <v>600</v>
      </c>
    </row>
    <row r="209" spans="1:13" x14ac:dyDescent="0.3">
      <c r="E209" s="287" t="s">
        <v>1420</v>
      </c>
      <c r="H209" s="1080">
        <f t="shared" si="87"/>
        <v>0</v>
      </c>
      <c r="I209" s="1082">
        <v>0</v>
      </c>
      <c r="J209" s="287" t="s">
        <v>1421</v>
      </c>
      <c r="L209" s="1080">
        <f t="shared" si="88"/>
        <v>4.6875</v>
      </c>
      <c r="M209" s="19">
        <v>1200</v>
      </c>
    </row>
    <row r="210" spans="1:13" x14ac:dyDescent="0.3">
      <c r="A210" s="1105" t="s">
        <v>1422</v>
      </c>
      <c r="B210" s="1099"/>
      <c r="C210" s="1103" t="s">
        <v>1376</v>
      </c>
      <c r="D210" s="1103" t="s">
        <v>1244</v>
      </c>
      <c r="E210" s="287" t="s">
        <v>1423</v>
      </c>
      <c r="H210" s="1080">
        <f t="shared" si="87"/>
        <v>2.34375</v>
      </c>
      <c r="I210" s="1082">
        <v>600</v>
      </c>
      <c r="J210" s="287" t="s">
        <v>1424</v>
      </c>
      <c r="L210" s="1080">
        <f t="shared" si="88"/>
        <v>18.03125</v>
      </c>
      <c r="M210" s="19">
        <v>4616</v>
      </c>
    </row>
    <row r="211" spans="1:13" x14ac:dyDescent="0.3">
      <c r="A211" t="s">
        <v>1425</v>
      </c>
      <c r="C211" s="1080">
        <f t="shared" ref="C211:C220" si="89">D211/Units</f>
        <v>5.1953125</v>
      </c>
      <c r="D211" s="1082">
        <v>1330</v>
      </c>
      <c r="E211" s="287" t="s">
        <v>1426</v>
      </c>
      <c r="H211" s="1080">
        <f t="shared" si="87"/>
        <v>18.359375</v>
      </c>
      <c r="I211" s="1077">
        <v>4700</v>
      </c>
      <c r="J211" s="287" t="s">
        <v>1427</v>
      </c>
      <c r="L211" s="1080">
        <f t="shared" si="88"/>
        <v>4.6875</v>
      </c>
      <c r="M211" s="19">
        <v>1200</v>
      </c>
    </row>
    <row r="212" spans="1:13" x14ac:dyDescent="0.3">
      <c r="A212" t="s">
        <v>1428</v>
      </c>
      <c r="C212" s="1080">
        <f t="shared" si="89"/>
        <v>30.68359375</v>
      </c>
      <c r="D212" s="1082">
        <v>7855</v>
      </c>
      <c r="E212" s="1097" t="str">
        <f>"Subtotal Exterior Maint. ("&amp;TEXT(I212/Units,("$#,##0"))&amp;"/Unit/Yr)"</f>
        <v>Subtotal Exterior Maint. ($82/Unit/Yr)</v>
      </c>
      <c r="F212" s="701"/>
      <c r="G212" s="701"/>
      <c r="H212" s="1066">
        <f t="shared" si="87"/>
        <v>81.7578125</v>
      </c>
      <c r="I212" s="702">
        <f>SUM(I195:I211)</f>
        <v>20930</v>
      </c>
      <c r="J212" s="1097" t="str">
        <f>"Subt. Interior Maint. ("&amp;TEXT(M212/Units,("$#,##0"))&amp;"/Unit/Yr)"</f>
        <v>Subt. Interior Maint. ($84/Unit/Yr)</v>
      </c>
      <c r="K212" s="701"/>
      <c r="L212" s="1066">
        <f t="shared" si="88"/>
        <v>84.4375</v>
      </c>
      <c r="M212" s="702">
        <f>SUM(M195:M211)</f>
        <v>21616</v>
      </c>
    </row>
    <row r="213" spans="1:13" x14ac:dyDescent="0.3">
      <c r="A213" t="s">
        <v>1419</v>
      </c>
      <c r="C213" s="1080">
        <f t="shared" si="89"/>
        <v>0.9375</v>
      </c>
      <c r="D213" s="1082">
        <v>240</v>
      </c>
      <c r="E213" s="287"/>
    </row>
    <row r="214" spans="1:13" x14ac:dyDescent="0.3">
      <c r="A214" t="s">
        <v>1429</v>
      </c>
      <c r="C214" s="233">
        <f t="shared" si="89"/>
        <v>51.953125</v>
      </c>
      <c r="D214" s="1082">
        <v>13300</v>
      </c>
      <c r="E214" s="287"/>
    </row>
    <row r="215" spans="1:13" x14ac:dyDescent="0.3">
      <c r="A215" t="s">
        <v>1430</v>
      </c>
      <c r="C215" s="233">
        <f t="shared" si="89"/>
        <v>1.171875</v>
      </c>
      <c r="D215" s="1082">
        <v>300</v>
      </c>
      <c r="E215" s="287"/>
    </row>
    <row r="216" spans="1:13" x14ac:dyDescent="0.3">
      <c r="A216" t="s">
        <v>1431</v>
      </c>
      <c r="C216" s="233">
        <f t="shared" si="89"/>
        <v>51.953125</v>
      </c>
      <c r="D216" s="1082">
        <v>13300</v>
      </c>
      <c r="E216" s="287"/>
    </row>
    <row r="217" spans="1:13" x14ac:dyDescent="0.3">
      <c r="A217" t="s">
        <v>1432</v>
      </c>
      <c r="C217" s="233">
        <f t="shared" si="89"/>
        <v>1.171875</v>
      </c>
      <c r="D217" s="1082">
        <v>300</v>
      </c>
      <c r="E217" s="287"/>
    </row>
    <row r="218" spans="1:13" x14ac:dyDescent="0.3">
      <c r="A218" t="s">
        <v>1433</v>
      </c>
      <c r="C218" s="233">
        <f t="shared" si="89"/>
        <v>4.6875</v>
      </c>
      <c r="D218" s="1082">
        <v>1200</v>
      </c>
      <c r="E218" s="287"/>
    </row>
    <row r="219" spans="1:13" x14ac:dyDescent="0.3">
      <c r="A219" t="s">
        <v>1434</v>
      </c>
      <c r="C219" s="233">
        <f t="shared" si="89"/>
        <v>0</v>
      </c>
      <c r="D219" s="1077">
        <v>0</v>
      </c>
      <c r="E219" s="287"/>
    </row>
    <row r="220" spans="1:13" x14ac:dyDescent="0.3">
      <c r="A220" s="992" t="str">
        <f>"Subtotal Turnover Expense ("&amp;TEXT(D220/Units,("$#,##0"))&amp;"/Unit/Yr)"</f>
        <v>Subtotal Turnover Expense ($148/Unit/Yr)</v>
      </c>
      <c r="B220" s="701"/>
      <c r="C220" s="702">
        <f t="shared" si="89"/>
        <v>147.75390625</v>
      </c>
      <c r="D220" s="702">
        <f>SUM(D211:D219)</f>
        <v>37825</v>
      </c>
      <c r="E220" s="287"/>
    </row>
    <row r="221" spans="1:13" ht="15" thickBot="1" x14ac:dyDescent="0.35">
      <c r="A221" s="213" t="str">
        <f>"TOTAL REPAIRS &amp; MAINTENANCE ("&amp;TEXT(D221/Units,("$#,##0"))&amp;"/Unit/Yr)"</f>
        <v>TOTAL REPAIRS &amp; MAINTENANCE ($314/Unit/Yr)</v>
      </c>
      <c r="B221" s="248"/>
      <c r="C221" s="248"/>
      <c r="D221" s="1562">
        <f>SUM(M212,I212,D220)</f>
        <v>80371</v>
      </c>
      <c r="E221" s="287"/>
    </row>
    <row r="222" spans="1:13" ht="15.6" thickTop="1" thickBot="1" x14ac:dyDescent="0.35">
      <c r="A222" s="337"/>
      <c r="D222" s="227"/>
    </row>
    <row r="223" spans="1:13" ht="15" thickTop="1" x14ac:dyDescent="0.3">
      <c r="A223" s="125" t="s">
        <v>1435</v>
      </c>
      <c r="B223" s="142"/>
      <c r="C223" s="300" t="s">
        <v>1436</v>
      </c>
      <c r="D223" s="300" t="s">
        <v>1437</v>
      </c>
      <c r="E223" s="301"/>
      <c r="F223" s="125" t="s">
        <v>1438</v>
      </c>
      <c r="G223" s="302"/>
      <c r="H223" s="142"/>
      <c r="I223" s="303"/>
      <c r="J223" s="303"/>
      <c r="K223" s="303"/>
      <c r="L223" s="303"/>
      <c r="M223" s="303"/>
    </row>
    <row r="224" spans="1:13" x14ac:dyDescent="0.3">
      <c r="A224" s="304"/>
      <c r="B224" s="305">
        <v>0</v>
      </c>
      <c r="D224" s="227">
        <f t="shared" ref="D224:D235" si="90">LOOKUP(B224,$P$243:$AA$243,$P$245:$AA$245)</f>
        <v>0</v>
      </c>
      <c r="F224" s="306" t="str">
        <f>"(Modifies when the "&amp;A129&amp;" line starts and how it escalates)"</f>
        <v>(Modifies when the Other Non-Controllable Expense line starts and how it escalates)</v>
      </c>
    </row>
    <row r="225" spans="1:13" x14ac:dyDescent="0.3">
      <c r="A225" s="287"/>
      <c r="B225" s="305">
        <v>1</v>
      </c>
      <c r="C225" s="16">
        <v>0</v>
      </c>
      <c r="D225" s="227">
        <f t="shared" si="90"/>
        <v>0</v>
      </c>
      <c r="F225" s="287" t="s">
        <v>1439</v>
      </c>
      <c r="G225" s="111"/>
      <c r="H225" s="25" t="s">
        <v>998</v>
      </c>
    </row>
    <row r="226" spans="1:13" x14ac:dyDescent="0.3">
      <c r="A226" s="287"/>
      <c r="B226" s="305">
        <v>2</v>
      </c>
      <c r="C226" s="16">
        <v>0</v>
      </c>
      <c r="D226" s="227">
        <f t="shared" si="90"/>
        <v>0</v>
      </c>
      <c r="F226" s="287" t="s">
        <v>1440</v>
      </c>
      <c r="G226" s="111"/>
      <c r="H226" s="18">
        <v>12</v>
      </c>
    </row>
    <row r="227" spans="1:13" x14ac:dyDescent="0.3">
      <c r="A227" s="287"/>
      <c r="B227" s="305">
        <v>3</v>
      </c>
      <c r="C227" s="16">
        <v>0</v>
      </c>
      <c r="D227" s="227">
        <f t="shared" si="90"/>
        <v>0</v>
      </c>
      <c r="F227" s="287" t="s">
        <v>1441</v>
      </c>
      <c r="H227" s="25" t="s">
        <v>780</v>
      </c>
    </row>
    <row r="228" spans="1:13" x14ac:dyDescent="0.3">
      <c r="A228" s="287"/>
      <c r="B228" s="305">
        <v>4</v>
      </c>
      <c r="C228" s="16">
        <v>0</v>
      </c>
      <c r="D228" s="227">
        <f t="shared" si="90"/>
        <v>0</v>
      </c>
      <c r="F228" s="287" t="s">
        <v>1442</v>
      </c>
      <c r="G228" s="111"/>
      <c r="H228" s="25" t="s">
        <v>998</v>
      </c>
    </row>
    <row r="229" spans="1:13" x14ac:dyDescent="0.3">
      <c r="A229" s="287"/>
      <c r="B229" s="305">
        <v>5</v>
      </c>
      <c r="C229" s="16">
        <v>0</v>
      </c>
      <c r="D229" s="227">
        <f t="shared" si="90"/>
        <v>0</v>
      </c>
      <c r="F229" s="287" t="s">
        <v>1443</v>
      </c>
      <c r="G229" s="111"/>
      <c r="H229" s="22">
        <v>0.03</v>
      </c>
    </row>
    <row r="230" spans="1:13" x14ac:dyDescent="0.3">
      <c r="A230" s="287"/>
      <c r="B230" s="305">
        <v>6</v>
      </c>
      <c r="C230" s="16">
        <v>0</v>
      </c>
      <c r="D230" s="227">
        <f t="shared" si="90"/>
        <v>0</v>
      </c>
      <c r="F230" s="287" t="s">
        <v>1444</v>
      </c>
      <c r="H230" s="26" t="s">
        <v>1445</v>
      </c>
    </row>
    <row r="231" spans="1:13" x14ac:dyDescent="0.3">
      <c r="A231" s="287"/>
      <c r="B231" s="305">
        <v>7</v>
      </c>
      <c r="C231" s="16">
        <v>0</v>
      </c>
      <c r="D231" s="227">
        <f t="shared" si="90"/>
        <v>0</v>
      </c>
      <c r="F231" s="287"/>
    </row>
    <row r="232" spans="1:13" x14ac:dyDescent="0.3">
      <c r="A232" s="287"/>
      <c r="B232" s="305">
        <v>8</v>
      </c>
      <c r="C232" s="16">
        <v>0</v>
      </c>
      <c r="D232" s="227">
        <f t="shared" si="90"/>
        <v>0</v>
      </c>
      <c r="F232" s="287"/>
    </row>
    <row r="233" spans="1:13" x14ac:dyDescent="0.3">
      <c r="A233" s="287"/>
      <c r="B233" s="305">
        <v>9</v>
      </c>
      <c r="C233" s="16">
        <v>0</v>
      </c>
      <c r="D233" s="227">
        <f t="shared" si="90"/>
        <v>0</v>
      </c>
      <c r="F233" s="287"/>
    </row>
    <row r="234" spans="1:13" x14ac:dyDescent="0.3">
      <c r="A234" s="287"/>
      <c r="B234" s="305">
        <v>10</v>
      </c>
      <c r="C234" s="16">
        <v>0</v>
      </c>
      <c r="D234" s="227">
        <f t="shared" si="90"/>
        <v>0</v>
      </c>
      <c r="F234" s="287"/>
    </row>
    <row r="235" spans="1:13" x14ac:dyDescent="0.3">
      <c r="A235" s="287"/>
      <c r="B235" s="311">
        <v>11</v>
      </c>
      <c r="C235" s="16">
        <v>0</v>
      </c>
      <c r="D235" s="227">
        <f t="shared" si="90"/>
        <v>0</v>
      </c>
      <c r="F235" s="287"/>
    </row>
    <row r="236" spans="1:13" x14ac:dyDescent="0.3">
      <c r="A236" s="287"/>
      <c r="B236" s="312" t="s">
        <v>1446</v>
      </c>
      <c r="C236" s="22">
        <v>6.25E-2</v>
      </c>
      <c r="F236" s="287"/>
    </row>
    <row r="237" spans="1:13" x14ac:dyDescent="0.3">
      <c r="A237" s="287"/>
      <c r="B237" t="s">
        <v>1447</v>
      </c>
      <c r="C237" s="22">
        <v>0.02</v>
      </c>
      <c r="F237" s="287"/>
    </row>
    <row r="238" spans="1:13" x14ac:dyDescent="0.3">
      <c r="A238" s="313"/>
      <c r="B238" s="241"/>
      <c r="C238" s="241"/>
      <c r="D238" s="241"/>
      <c r="E238" s="241"/>
      <c r="F238" s="313"/>
      <c r="G238" s="241"/>
      <c r="H238" s="241"/>
      <c r="I238" s="241"/>
      <c r="J238" s="241"/>
      <c r="K238" s="241"/>
      <c r="L238" s="241"/>
      <c r="M238" s="241"/>
    </row>
    <row r="240" spans="1:13" x14ac:dyDescent="0.3">
      <c r="A240" s="337"/>
      <c r="D240" s="227"/>
    </row>
    <row r="241" spans="15:147" x14ac:dyDescent="0.3">
      <c r="P241" s="118" t="s">
        <v>1235</v>
      </c>
    </row>
    <row r="242" spans="15:147" ht="15" thickBot="1" x14ac:dyDescent="0.35">
      <c r="P242" s="307" t="s">
        <v>1448</v>
      </c>
    </row>
    <row r="243" spans="15:147" x14ac:dyDescent="0.3">
      <c r="P243" s="308">
        <v>0</v>
      </c>
      <c r="Q243" s="308">
        <v>1</v>
      </c>
      <c r="R243" s="308">
        <v>2</v>
      </c>
      <c r="S243" s="308">
        <v>3</v>
      </c>
      <c r="T243" s="308">
        <v>4</v>
      </c>
      <c r="U243" s="308">
        <v>5</v>
      </c>
      <c r="V243" s="308">
        <v>6</v>
      </c>
      <c r="W243" s="308">
        <v>7</v>
      </c>
      <c r="X243" s="308">
        <v>8</v>
      </c>
      <c r="Y243" s="308">
        <v>9</v>
      </c>
      <c r="Z243" s="308">
        <v>10</v>
      </c>
      <c r="AA243" s="308">
        <v>11</v>
      </c>
      <c r="AB243" s="308">
        <v>12</v>
      </c>
      <c r="AC243" s="308">
        <v>13</v>
      </c>
      <c r="AD243" s="308">
        <v>14</v>
      </c>
      <c r="AE243" s="308">
        <v>15</v>
      </c>
      <c r="AF243" s="308">
        <v>16</v>
      </c>
      <c r="AG243" s="308">
        <v>17</v>
      </c>
      <c r="AH243" s="308">
        <v>18</v>
      </c>
      <c r="AI243" s="308">
        <v>19</v>
      </c>
      <c r="AJ243" s="308">
        <v>20</v>
      </c>
      <c r="AK243" s="308">
        <v>21</v>
      </c>
      <c r="AL243" s="308">
        <v>22</v>
      </c>
      <c r="AM243" s="308">
        <v>23</v>
      </c>
      <c r="AN243" s="308">
        <v>24</v>
      </c>
      <c r="AO243" s="308">
        <v>25</v>
      </c>
      <c r="AP243" s="308">
        <v>26</v>
      </c>
      <c r="AQ243" s="308">
        <v>27</v>
      </c>
      <c r="AR243" s="308">
        <v>28</v>
      </c>
      <c r="AS243" s="308">
        <v>29</v>
      </c>
      <c r="AT243" s="308">
        <v>30</v>
      </c>
      <c r="AU243" s="308">
        <v>31</v>
      </c>
      <c r="AV243" s="308">
        <v>32</v>
      </c>
      <c r="AW243" s="308">
        <v>33</v>
      </c>
      <c r="AX243" s="308">
        <v>34</v>
      </c>
      <c r="AY243" s="308">
        <v>35</v>
      </c>
      <c r="AZ243" s="308">
        <v>36</v>
      </c>
      <c r="BA243" s="308">
        <v>37</v>
      </c>
      <c r="BB243" s="308">
        <v>38</v>
      </c>
      <c r="BC243" s="308">
        <v>39</v>
      </c>
      <c r="BD243" s="308">
        <v>40</v>
      </c>
      <c r="BE243" s="308">
        <v>41</v>
      </c>
      <c r="BF243" s="308">
        <v>42</v>
      </c>
      <c r="BG243" s="308">
        <v>43</v>
      </c>
      <c r="BH243" s="308">
        <v>44</v>
      </c>
      <c r="BI243" s="308">
        <v>45</v>
      </c>
      <c r="BJ243" s="308">
        <v>46</v>
      </c>
      <c r="BK243" s="308">
        <v>47</v>
      </c>
      <c r="BL243" s="308">
        <v>48</v>
      </c>
      <c r="BM243" s="308">
        <v>49</v>
      </c>
      <c r="BN243" s="308">
        <v>50</v>
      </c>
      <c r="BO243" s="308">
        <v>51</v>
      </c>
      <c r="BP243" s="308">
        <v>52</v>
      </c>
      <c r="BQ243" s="308">
        <v>53</v>
      </c>
      <c r="BR243" s="308">
        <v>54</v>
      </c>
      <c r="BS243" s="308">
        <v>55</v>
      </c>
      <c r="BT243" s="308">
        <v>56</v>
      </c>
      <c r="BU243" s="308">
        <v>57</v>
      </c>
      <c r="BV243" s="308">
        <v>58</v>
      </c>
      <c r="BW243" s="308">
        <v>59</v>
      </c>
      <c r="BX243" s="308">
        <v>60</v>
      </c>
      <c r="BY243" s="308">
        <v>61</v>
      </c>
      <c r="BZ243" s="308">
        <v>62</v>
      </c>
      <c r="CA243" s="308">
        <v>63</v>
      </c>
      <c r="CB243" s="308">
        <v>64</v>
      </c>
      <c r="CC243" s="308">
        <v>65</v>
      </c>
      <c r="CD243" s="308">
        <v>66</v>
      </c>
      <c r="CE243" s="308">
        <v>67</v>
      </c>
      <c r="CF243" s="308">
        <v>68</v>
      </c>
      <c r="CG243" s="308">
        <v>69</v>
      </c>
      <c r="CH243" s="308">
        <v>70</v>
      </c>
      <c r="CI243" s="308">
        <v>71</v>
      </c>
      <c r="CJ243" s="308">
        <v>72</v>
      </c>
      <c r="CK243" s="308">
        <v>73</v>
      </c>
      <c r="CL243" s="308">
        <v>74</v>
      </c>
      <c r="CM243" s="308">
        <v>75</v>
      </c>
      <c r="CN243" s="308">
        <v>76</v>
      </c>
      <c r="CO243" s="308">
        <v>77</v>
      </c>
      <c r="CP243" s="308">
        <v>78</v>
      </c>
      <c r="CQ243" s="308">
        <v>79</v>
      </c>
      <c r="CR243" s="308">
        <v>80</v>
      </c>
      <c r="CS243" s="308">
        <v>81</v>
      </c>
      <c r="CT243" s="308">
        <v>82</v>
      </c>
      <c r="CU243" s="308">
        <v>83</v>
      </c>
      <c r="CV243" s="308">
        <v>84</v>
      </c>
      <c r="CW243" s="308">
        <v>85</v>
      </c>
      <c r="CX243" s="308">
        <v>86</v>
      </c>
      <c r="CY243" s="308">
        <v>87</v>
      </c>
      <c r="CZ243" s="308">
        <v>88</v>
      </c>
      <c r="DA243" s="308">
        <v>89</v>
      </c>
      <c r="DB243" s="308">
        <v>90</v>
      </c>
      <c r="DC243" s="308">
        <v>91</v>
      </c>
      <c r="DD243" s="308">
        <v>92</v>
      </c>
      <c r="DE243" s="308">
        <v>93</v>
      </c>
      <c r="DF243" s="308">
        <v>94</v>
      </c>
      <c r="DG243" s="308">
        <v>95</v>
      </c>
      <c r="DH243" s="308">
        <v>96</v>
      </c>
      <c r="DI243" s="308">
        <v>97</v>
      </c>
      <c r="DJ243" s="308">
        <v>98</v>
      </c>
      <c r="DK243" s="308">
        <v>99</v>
      </c>
    </row>
    <row r="244" spans="15:147" x14ac:dyDescent="0.3">
      <c r="O244" t="s">
        <v>1449</v>
      </c>
      <c r="P244" s="227">
        <f t="shared" ref="P244:AA244" si="91">VLOOKUP(P$243,$B$224:$C$235,2,FALSE)</f>
        <v>0</v>
      </c>
      <c r="Q244" s="227">
        <f t="shared" si="91"/>
        <v>0</v>
      </c>
      <c r="R244" s="227">
        <f t="shared" si="91"/>
        <v>0</v>
      </c>
      <c r="S244" s="227">
        <f t="shared" si="91"/>
        <v>0</v>
      </c>
      <c r="T244" s="227">
        <f t="shared" si="91"/>
        <v>0</v>
      </c>
      <c r="U244" s="227">
        <f t="shared" si="91"/>
        <v>0</v>
      </c>
      <c r="V244" s="227">
        <f t="shared" si="91"/>
        <v>0</v>
      </c>
      <c r="W244" s="227">
        <f t="shared" si="91"/>
        <v>0</v>
      </c>
      <c r="X244" s="227">
        <f t="shared" si="91"/>
        <v>0</v>
      </c>
      <c r="Y244" s="227">
        <f t="shared" si="91"/>
        <v>0</v>
      </c>
      <c r="Z244" s="227">
        <f t="shared" si="91"/>
        <v>0</v>
      </c>
      <c r="AA244" s="227">
        <f t="shared" si="91"/>
        <v>0</v>
      </c>
      <c r="AB244" s="309">
        <f t="shared" ref="AB244:BG244" si="92">AA244*(1+$C$237)</f>
        <v>0</v>
      </c>
      <c r="AC244" s="309">
        <f t="shared" si="92"/>
        <v>0</v>
      </c>
      <c r="AD244" s="309">
        <f t="shared" si="92"/>
        <v>0</v>
      </c>
      <c r="AE244" s="309">
        <f t="shared" si="92"/>
        <v>0</v>
      </c>
      <c r="AF244" s="309">
        <f t="shared" si="92"/>
        <v>0</v>
      </c>
      <c r="AG244" s="309">
        <f t="shared" si="92"/>
        <v>0</v>
      </c>
      <c r="AH244" s="309">
        <f t="shared" si="92"/>
        <v>0</v>
      </c>
      <c r="AI244" s="309">
        <f t="shared" si="92"/>
        <v>0</v>
      </c>
      <c r="AJ244" s="309">
        <f t="shared" si="92"/>
        <v>0</v>
      </c>
      <c r="AK244" s="309">
        <f t="shared" si="92"/>
        <v>0</v>
      </c>
      <c r="AL244" s="309">
        <f t="shared" si="92"/>
        <v>0</v>
      </c>
      <c r="AM244" s="309">
        <f t="shared" si="92"/>
        <v>0</v>
      </c>
      <c r="AN244" s="309">
        <f t="shared" si="92"/>
        <v>0</v>
      </c>
      <c r="AO244" s="309">
        <f t="shared" si="92"/>
        <v>0</v>
      </c>
      <c r="AP244" s="309">
        <f t="shared" si="92"/>
        <v>0</v>
      </c>
      <c r="AQ244" s="309">
        <f t="shared" si="92"/>
        <v>0</v>
      </c>
      <c r="AR244" s="309">
        <f t="shared" si="92"/>
        <v>0</v>
      </c>
      <c r="AS244" s="309">
        <f t="shared" si="92"/>
        <v>0</v>
      </c>
      <c r="AT244" s="309">
        <f t="shared" si="92"/>
        <v>0</v>
      </c>
      <c r="AU244" s="309">
        <f t="shared" si="92"/>
        <v>0</v>
      </c>
      <c r="AV244" s="309">
        <f t="shared" si="92"/>
        <v>0</v>
      </c>
      <c r="AW244" s="309">
        <f t="shared" si="92"/>
        <v>0</v>
      </c>
      <c r="AX244" s="309">
        <f t="shared" si="92"/>
        <v>0</v>
      </c>
      <c r="AY244" s="309">
        <f t="shared" si="92"/>
        <v>0</v>
      </c>
      <c r="AZ244" s="309">
        <f t="shared" si="92"/>
        <v>0</v>
      </c>
      <c r="BA244" s="309">
        <f t="shared" si="92"/>
        <v>0</v>
      </c>
      <c r="BB244" s="309">
        <f t="shared" si="92"/>
        <v>0</v>
      </c>
      <c r="BC244" s="309">
        <f t="shared" si="92"/>
        <v>0</v>
      </c>
      <c r="BD244" s="309">
        <f t="shared" si="92"/>
        <v>0</v>
      </c>
      <c r="BE244" s="309">
        <f t="shared" si="92"/>
        <v>0</v>
      </c>
      <c r="BF244" s="309">
        <f t="shared" si="92"/>
        <v>0</v>
      </c>
      <c r="BG244" s="309">
        <f t="shared" si="92"/>
        <v>0</v>
      </c>
      <c r="BH244" s="309">
        <f t="shared" ref="BH244:CM244" si="93">BG244*(1+$C$237)</f>
        <v>0</v>
      </c>
      <c r="BI244" s="309">
        <f t="shared" si="93"/>
        <v>0</v>
      </c>
      <c r="BJ244" s="309">
        <f t="shared" si="93"/>
        <v>0</v>
      </c>
      <c r="BK244" s="309">
        <f t="shared" si="93"/>
        <v>0</v>
      </c>
      <c r="BL244" s="309">
        <f t="shared" si="93"/>
        <v>0</v>
      </c>
      <c r="BM244" s="309">
        <f t="shared" si="93"/>
        <v>0</v>
      </c>
      <c r="BN244" s="309">
        <f t="shared" si="93"/>
        <v>0</v>
      </c>
      <c r="BO244" s="309">
        <f t="shared" si="93"/>
        <v>0</v>
      </c>
      <c r="BP244" s="309">
        <f t="shared" si="93"/>
        <v>0</v>
      </c>
      <c r="BQ244" s="309">
        <f t="shared" si="93"/>
        <v>0</v>
      </c>
      <c r="BR244" s="309">
        <f t="shared" si="93"/>
        <v>0</v>
      </c>
      <c r="BS244" s="309">
        <f t="shared" si="93"/>
        <v>0</v>
      </c>
      <c r="BT244" s="309">
        <f t="shared" si="93"/>
        <v>0</v>
      </c>
      <c r="BU244" s="309">
        <f t="shared" si="93"/>
        <v>0</v>
      </c>
      <c r="BV244" s="309">
        <f t="shared" si="93"/>
        <v>0</v>
      </c>
      <c r="BW244" s="309">
        <f t="shared" si="93"/>
        <v>0</v>
      </c>
      <c r="BX244" s="309">
        <f t="shared" si="93"/>
        <v>0</v>
      </c>
      <c r="BY244" s="309">
        <f t="shared" si="93"/>
        <v>0</v>
      </c>
      <c r="BZ244" s="309">
        <f t="shared" si="93"/>
        <v>0</v>
      </c>
      <c r="CA244" s="309">
        <f t="shared" si="93"/>
        <v>0</v>
      </c>
      <c r="CB244" s="309">
        <f t="shared" si="93"/>
        <v>0</v>
      </c>
      <c r="CC244" s="309">
        <f t="shared" si="93"/>
        <v>0</v>
      </c>
      <c r="CD244" s="309">
        <f t="shared" si="93"/>
        <v>0</v>
      </c>
      <c r="CE244" s="309">
        <f t="shared" si="93"/>
        <v>0</v>
      </c>
      <c r="CF244" s="309">
        <f t="shared" si="93"/>
        <v>0</v>
      </c>
      <c r="CG244" s="309">
        <f t="shared" si="93"/>
        <v>0</v>
      </c>
      <c r="CH244" s="309">
        <f t="shared" si="93"/>
        <v>0</v>
      </c>
      <c r="CI244" s="309">
        <f t="shared" si="93"/>
        <v>0</v>
      </c>
      <c r="CJ244" s="309">
        <f t="shared" si="93"/>
        <v>0</v>
      </c>
      <c r="CK244" s="309">
        <f t="shared" si="93"/>
        <v>0</v>
      </c>
      <c r="CL244" s="309">
        <f t="shared" si="93"/>
        <v>0</v>
      </c>
      <c r="CM244" s="309">
        <f t="shared" si="93"/>
        <v>0</v>
      </c>
      <c r="CN244" s="309">
        <f t="shared" ref="CN244:DK244" si="94">CM244*(1+$C$237)</f>
        <v>0</v>
      </c>
      <c r="CO244" s="309">
        <f t="shared" si="94"/>
        <v>0</v>
      </c>
      <c r="CP244" s="309">
        <f t="shared" si="94"/>
        <v>0</v>
      </c>
      <c r="CQ244" s="309">
        <f t="shared" si="94"/>
        <v>0</v>
      </c>
      <c r="CR244" s="309">
        <f t="shared" si="94"/>
        <v>0</v>
      </c>
      <c r="CS244" s="309">
        <f t="shared" si="94"/>
        <v>0</v>
      </c>
      <c r="CT244" s="309">
        <f t="shared" si="94"/>
        <v>0</v>
      </c>
      <c r="CU244" s="309">
        <f t="shared" si="94"/>
        <v>0</v>
      </c>
      <c r="CV244" s="309">
        <f t="shared" si="94"/>
        <v>0</v>
      </c>
      <c r="CW244" s="309">
        <f t="shared" si="94"/>
        <v>0</v>
      </c>
      <c r="CX244" s="309">
        <f t="shared" si="94"/>
        <v>0</v>
      </c>
      <c r="CY244" s="309">
        <f t="shared" si="94"/>
        <v>0</v>
      </c>
      <c r="CZ244" s="309">
        <f t="shared" si="94"/>
        <v>0</v>
      </c>
      <c r="DA244" s="309">
        <f t="shared" si="94"/>
        <v>0</v>
      </c>
      <c r="DB244" s="309">
        <f t="shared" si="94"/>
        <v>0</v>
      </c>
      <c r="DC244" s="309">
        <f t="shared" si="94"/>
        <v>0</v>
      </c>
      <c r="DD244" s="309">
        <f t="shared" si="94"/>
        <v>0</v>
      </c>
      <c r="DE244" s="309">
        <f t="shared" si="94"/>
        <v>0</v>
      </c>
      <c r="DF244" s="309">
        <f t="shared" si="94"/>
        <v>0</v>
      </c>
      <c r="DG244" s="309">
        <f t="shared" si="94"/>
        <v>0</v>
      </c>
      <c r="DH244" s="309">
        <f t="shared" si="94"/>
        <v>0</v>
      </c>
      <c r="DI244" s="309">
        <f t="shared" si="94"/>
        <v>0</v>
      </c>
      <c r="DJ244" s="309">
        <f t="shared" si="94"/>
        <v>0</v>
      </c>
      <c r="DK244" s="309">
        <f t="shared" si="94"/>
        <v>0</v>
      </c>
    </row>
    <row r="245" spans="15:147" x14ac:dyDescent="0.3">
      <c r="O245" t="s">
        <v>1437</v>
      </c>
      <c r="P245" s="227">
        <f>T248</f>
        <v>0</v>
      </c>
      <c r="Q245" s="227">
        <f t="shared" ref="Q245:AV245" si="95">LOOKUP((Q243*12),$P$248:$P$1430,$T$248:$T$1430)</f>
        <v>0</v>
      </c>
      <c r="R245" s="227">
        <f t="shared" si="95"/>
        <v>0</v>
      </c>
      <c r="S245" s="227">
        <f t="shared" si="95"/>
        <v>0</v>
      </c>
      <c r="T245" s="227">
        <f t="shared" si="95"/>
        <v>0</v>
      </c>
      <c r="U245" s="227">
        <f t="shared" si="95"/>
        <v>0</v>
      </c>
      <c r="V245" s="227">
        <f t="shared" si="95"/>
        <v>0</v>
      </c>
      <c r="W245" s="227">
        <f t="shared" si="95"/>
        <v>0</v>
      </c>
      <c r="X245" s="227">
        <f t="shared" si="95"/>
        <v>0</v>
      </c>
      <c r="Y245" s="227">
        <f t="shared" si="95"/>
        <v>0</v>
      </c>
      <c r="Z245" s="227">
        <f t="shared" si="95"/>
        <v>0</v>
      </c>
      <c r="AA245" s="227">
        <f t="shared" si="95"/>
        <v>0</v>
      </c>
      <c r="AB245" s="227">
        <f t="shared" si="95"/>
        <v>0</v>
      </c>
      <c r="AC245" s="227">
        <f t="shared" si="95"/>
        <v>0</v>
      </c>
      <c r="AD245" s="227">
        <f t="shared" si="95"/>
        <v>0</v>
      </c>
      <c r="AE245" s="227">
        <f t="shared" si="95"/>
        <v>0</v>
      </c>
      <c r="AF245" s="227">
        <f t="shared" si="95"/>
        <v>0</v>
      </c>
      <c r="AG245" s="227">
        <f t="shared" si="95"/>
        <v>0</v>
      </c>
      <c r="AH245" s="227">
        <f t="shared" si="95"/>
        <v>0</v>
      </c>
      <c r="AI245" s="227">
        <f t="shared" si="95"/>
        <v>0</v>
      </c>
      <c r="AJ245" s="227">
        <f t="shared" si="95"/>
        <v>0</v>
      </c>
      <c r="AK245" s="227">
        <f t="shared" si="95"/>
        <v>0</v>
      </c>
      <c r="AL245" s="227">
        <f t="shared" si="95"/>
        <v>0</v>
      </c>
      <c r="AM245" s="227">
        <f t="shared" si="95"/>
        <v>0</v>
      </c>
      <c r="AN245" s="227">
        <f t="shared" si="95"/>
        <v>0</v>
      </c>
      <c r="AO245" s="227">
        <f t="shared" si="95"/>
        <v>0</v>
      </c>
      <c r="AP245" s="227">
        <f t="shared" si="95"/>
        <v>0</v>
      </c>
      <c r="AQ245" s="227">
        <f t="shared" si="95"/>
        <v>0</v>
      </c>
      <c r="AR245" s="227">
        <f t="shared" si="95"/>
        <v>0</v>
      </c>
      <c r="AS245" s="227">
        <f t="shared" si="95"/>
        <v>0</v>
      </c>
      <c r="AT245" s="227">
        <f t="shared" si="95"/>
        <v>0</v>
      </c>
      <c r="AU245" s="227">
        <f t="shared" si="95"/>
        <v>0</v>
      </c>
      <c r="AV245" s="227">
        <f t="shared" si="95"/>
        <v>0</v>
      </c>
      <c r="AW245" s="227">
        <f t="shared" ref="AW245:CB245" si="96">LOOKUP((AW243*12),$P$248:$P$1430,$T$248:$T$1430)</f>
        <v>0</v>
      </c>
      <c r="AX245" s="227">
        <f t="shared" si="96"/>
        <v>0</v>
      </c>
      <c r="AY245" s="227">
        <f t="shared" si="96"/>
        <v>0</v>
      </c>
      <c r="AZ245" s="227">
        <f t="shared" si="96"/>
        <v>0</v>
      </c>
      <c r="BA245" s="227">
        <f t="shared" si="96"/>
        <v>0</v>
      </c>
      <c r="BB245" s="227">
        <f t="shared" si="96"/>
        <v>0</v>
      </c>
      <c r="BC245" s="227">
        <f t="shared" si="96"/>
        <v>0</v>
      </c>
      <c r="BD245" s="227">
        <f t="shared" si="96"/>
        <v>0</v>
      </c>
      <c r="BE245" s="227">
        <f t="shared" si="96"/>
        <v>0</v>
      </c>
      <c r="BF245" s="227">
        <f t="shared" si="96"/>
        <v>0</v>
      </c>
      <c r="BG245" s="227">
        <f t="shared" si="96"/>
        <v>0</v>
      </c>
      <c r="BH245" s="227">
        <f t="shared" si="96"/>
        <v>0</v>
      </c>
      <c r="BI245" s="227">
        <f t="shared" si="96"/>
        <v>0</v>
      </c>
      <c r="BJ245" s="227">
        <f t="shared" si="96"/>
        <v>0</v>
      </c>
      <c r="BK245" s="227">
        <f t="shared" si="96"/>
        <v>0</v>
      </c>
      <c r="BL245" s="227">
        <f t="shared" si="96"/>
        <v>0</v>
      </c>
      <c r="BM245" s="227">
        <f t="shared" si="96"/>
        <v>0</v>
      </c>
      <c r="BN245" s="227">
        <f t="shared" si="96"/>
        <v>0</v>
      </c>
      <c r="BO245" s="227">
        <f t="shared" si="96"/>
        <v>0</v>
      </c>
      <c r="BP245" s="227">
        <f t="shared" si="96"/>
        <v>0</v>
      </c>
      <c r="BQ245" s="227">
        <f t="shared" si="96"/>
        <v>0</v>
      </c>
      <c r="BR245" s="227">
        <f t="shared" si="96"/>
        <v>0</v>
      </c>
      <c r="BS245" s="227">
        <f t="shared" si="96"/>
        <v>0</v>
      </c>
      <c r="BT245" s="227">
        <f t="shared" si="96"/>
        <v>0</v>
      </c>
      <c r="BU245" s="227">
        <f t="shared" si="96"/>
        <v>0</v>
      </c>
      <c r="BV245" s="227">
        <f t="shared" si="96"/>
        <v>0</v>
      </c>
      <c r="BW245" s="227">
        <f t="shared" si="96"/>
        <v>0</v>
      </c>
      <c r="BX245" s="227">
        <f t="shared" si="96"/>
        <v>0</v>
      </c>
      <c r="BY245" s="227">
        <f t="shared" si="96"/>
        <v>0</v>
      </c>
      <c r="BZ245" s="227">
        <f t="shared" si="96"/>
        <v>0</v>
      </c>
      <c r="CA245" s="227">
        <f t="shared" si="96"/>
        <v>0</v>
      </c>
      <c r="CB245" s="227">
        <f t="shared" si="96"/>
        <v>0</v>
      </c>
      <c r="CC245" s="227">
        <f t="shared" ref="CC245:DJ245" si="97">LOOKUP((CC243*12),$P$248:$P$1430,$T$248:$T$1430)</f>
        <v>0</v>
      </c>
      <c r="CD245" s="227">
        <f t="shared" si="97"/>
        <v>0</v>
      </c>
      <c r="CE245" s="227">
        <f t="shared" si="97"/>
        <v>0</v>
      </c>
      <c r="CF245" s="227">
        <f t="shared" si="97"/>
        <v>0</v>
      </c>
      <c r="CG245" s="227">
        <f t="shared" si="97"/>
        <v>0</v>
      </c>
      <c r="CH245" s="227">
        <f t="shared" si="97"/>
        <v>0</v>
      </c>
      <c r="CI245" s="227">
        <f t="shared" si="97"/>
        <v>0</v>
      </c>
      <c r="CJ245" s="227">
        <f t="shared" si="97"/>
        <v>0</v>
      </c>
      <c r="CK245" s="227">
        <f t="shared" si="97"/>
        <v>0</v>
      </c>
      <c r="CL245" s="227">
        <f t="shared" si="97"/>
        <v>0</v>
      </c>
      <c r="CM245" s="227">
        <f t="shared" si="97"/>
        <v>0</v>
      </c>
      <c r="CN245" s="227">
        <f t="shared" si="97"/>
        <v>0</v>
      </c>
      <c r="CO245" s="227">
        <f t="shared" si="97"/>
        <v>0</v>
      </c>
      <c r="CP245" s="227">
        <f t="shared" si="97"/>
        <v>0</v>
      </c>
      <c r="CQ245" s="227">
        <f t="shared" si="97"/>
        <v>0</v>
      </c>
      <c r="CR245" s="227">
        <f t="shared" si="97"/>
        <v>0</v>
      </c>
      <c r="CS245" s="227">
        <f t="shared" si="97"/>
        <v>0</v>
      </c>
      <c r="CT245" s="227">
        <f t="shared" si="97"/>
        <v>0</v>
      </c>
      <c r="CU245" s="227">
        <f t="shared" si="97"/>
        <v>0</v>
      </c>
      <c r="CV245" s="227">
        <f t="shared" si="97"/>
        <v>0</v>
      </c>
      <c r="CW245" s="227">
        <f t="shared" si="97"/>
        <v>0</v>
      </c>
      <c r="CX245" s="227">
        <f t="shared" si="97"/>
        <v>0</v>
      </c>
      <c r="CY245" s="227">
        <f t="shared" si="97"/>
        <v>0</v>
      </c>
      <c r="CZ245" s="227">
        <f t="shared" si="97"/>
        <v>0</v>
      </c>
      <c r="DA245" s="227">
        <f t="shared" si="97"/>
        <v>0</v>
      </c>
      <c r="DB245" s="227">
        <f t="shared" si="97"/>
        <v>0</v>
      </c>
      <c r="DC245" s="227">
        <f t="shared" si="97"/>
        <v>0</v>
      </c>
      <c r="DD245" s="227">
        <f t="shared" si="97"/>
        <v>0</v>
      </c>
      <c r="DE245" s="227">
        <f t="shared" si="97"/>
        <v>0</v>
      </c>
      <c r="DF245" s="227">
        <f t="shared" si="97"/>
        <v>0</v>
      </c>
      <c r="DG245" s="227">
        <f t="shared" si="97"/>
        <v>0</v>
      </c>
      <c r="DH245" s="227">
        <f t="shared" si="97"/>
        <v>0</v>
      </c>
      <c r="DI245" s="227">
        <f t="shared" si="97"/>
        <v>0</v>
      </c>
      <c r="DJ245" s="227">
        <f t="shared" si="97"/>
        <v>0</v>
      </c>
      <c r="DK245" s="227">
        <f>DK244</f>
        <v>0</v>
      </c>
    </row>
    <row r="248" spans="15:147" x14ac:dyDescent="0.3">
      <c r="P248" s="310">
        <v>0</v>
      </c>
      <c r="Q248">
        <f>IF(MOD(P248,12)=0,(P248/12)+1,0)</f>
        <v>1</v>
      </c>
      <c r="R248" s="280">
        <f>LOOKUP(Q248,$Q$243:$DK$243,$Q$244:$DK$244)</f>
        <v>0</v>
      </c>
      <c r="T248" s="227">
        <f>NPV($C$236/12,S249:$S$1436)</f>
        <v>0</v>
      </c>
    </row>
    <row r="249" spans="15:147" x14ac:dyDescent="0.3">
      <c r="P249" s="310">
        <v>1</v>
      </c>
      <c r="Q249">
        <f t="shared" ref="Q249:Q312" si="98">IF(MOD(P249,12)=0,(P249/12)+1,0)</f>
        <v>0</v>
      </c>
      <c r="R249" s="280"/>
      <c r="S249" s="280">
        <f>R248/12</f>
        <v>0</v>
      </c>
      <c r="T249" s="227">
        <f>NPV($C$236/12,S250:$S$1436)</f>
        <v>0</v>
      </c>
      <c r="U249" s="227"/>
      <c r="V249" s="227"/>
      <c r="W249" s="227"/>
      <c r="X249" s="227"/>
      <c r="Y249" s="227"/>
      <c r="Z249" s="227"/>
      <c r="AA249" s="227"/>
      <c r="AB249" s="227"/>
      <c r="AC249" s="227"/>
      <c r="AD249" s="227"/>
      <c r="AE249" s="227"/>
      <c r="AF249" s="227"/>
      <c r="AG249" s="227"/>
      <c r="AH249" s="227"/>
      <c r="AI249" s="227"/>
      <c r="AJ249" s="227"/>
      <c r="AK249" s="227"/>
      <c r="AL249" s="227"/>
      <c r="AM249" s="227"/>
      <c r="AN249" s="227"/>
      <c r="AO249" s="227"/>
      <c r="AP249" s="227"/>
      <c r="AQ249" s="227"/>
      <c r="AR249" s="227"/>
      <c r="AS249" s="227"/>
      <c r="AT249" s="227"/>
      <c r="AU249" s="227"/>
      <c r="AV249" s="227"/>
      <c r="AW249" s="227"/>
      <c r="AX249" s="227"/>
      <c r="AY249" s="227"/>
      <c r="AZ249" s="227"/>
      <c r="BA249" s="227"/>
      <c r="BB249" s="227"/>
      <c r="BC249" s="227"/>
      <c r="BD249" s="227"/>
      <c r="BE249" s="227"/>
      <c r="BF249" s="227"/>
      <c r="BG249" s="227"/>
      <c r="BH249" s="227"/>
      <c r="BI249" s="227"/>
      <c r="BJ249" s="227"/>
      <c r="BK249" s="227"/>
      <c r="BL249" s="227"/>
      <c r="BM249" s="227"/>
      <c r="BN249" s="227"/>
      <c r="BO249" s="227"/>
      <c r="BP249" s="227"/>
      <c r="BQ249" s="227"/>
      <c r="BR249" s="227"/>
      <c r="BS249" s="227"/>
      <c r="BT249" s="227"/>
      <c r="BU249" s="227"/>
      <c r="BV249" s="227"/>
      <c r="BW249" s="227"/>
      <c r="BX249" s="227"/>
      <c r="BY249" s="227"/>
      <c r="BZ249" s="227"/>
      <c r="CA249" s="227"/>
      <c r="CB249" s="227"/>
      <c r="CC249" s="227"/>
      <c r="CD249" s="227"/>
      <c r="CE249" s="227"/>
      <c r="CF249" s="227"/>
      <c r="CG249" s="227"/>
      <c r="CH249" s="227"/>
      <c r="CI249" s="227"/>
      <c r="CJ249" s="227"/>
      <c r="CK249" s="227"/>
      <c r="CL249" s="227"/>
      <c r="CM249" s="227"/>
      <c r="CN249" s="227"/>
      <c r="CO249" s="227"/>
      <c r="CP249" s="227"/>
      <c r="CQ249" s="227"/>
      <c r="CR249" s="227"/>
      <c r="CS249" s="227"/>
      <c r="CT249" s="227"/>
      <c r="CU249" s="227"/>
      <c r="CV249" s="227"/>
      <c r="CW249" s="227"/>
      <c r="CX249" s="227"/>
      <c r="CY249" s="227"/>
      <c r="CZ249" s="227"/>
      <c r="DA249" s="227"/>
      <c r="DB249" s="227"/>
      <c r="DC249" s="227"/>
      <c r="DD249" s="227"/>
      <c r="DE249" s="227"/>
      <c r="DF249" s="227"/>
      <c r="DG249" s="227"/>
      <c r="DH249" s="227"/>
      <c r="DI249" s="227"/>
      <c r="DJ249" s="227"/>
      <c r="DK249" s="227"/>
      <c r="DL249" s="227"/>
      <c r="DM249" s="227"/>
      <c r="DN249" s="227"/>
      <c r="DO249" s="227"/>
      <c r="DP249" s="227"/>
      <c r="DQ249" s="227"/>
      <c r="DR249" s="227"/>
      <c r="DS249" s="227"/>
      <c r="DT249" s="227"/>
      <c r="DU249" s="227"/>
      <c r="DV249" s="227"/>
      <c r="DW249" s="227"/>
      <c r="DX249" s="227"/>
      <c r="DY249" s="227"/>
      <c r="DZ249" s="227"/>
      <c r="EA249" s="227"/>
      <c r="EB249" s="227"/>
      <c r="EC249" s="227"/>
      <c r="ED249" s="227"/>
      <c r="EE249" s="227"/>
      <c r="EF249" s="227"/>
      <c r="EG249" s="227"/>
      <c r="EH249" s="227"/>
      <c r="EI249" s="227"/>
      <c r="EJ249" s="227"/>
      <c r="EK249" s="227"/>
      <c r="EL249" s="227"/>
      <c r="EM249" s="227"/>
      <c r="EN249" s="227"/>
      <c r="EO249" s="227"/>
      <c r="EP249" s="227"/>
      <c r="EQ249" s="227"/>
    </row>
    <row r="250" spans="15:147" x14ac:dyDescent="0.3">
      <c r="P250" s="310">
        <v>2</v>
      </c>
      <c r="Q250">
        <f t="shared" si="98"/>
        <v>0</v>
      </c>
      <c r="R250" s="280"/>
      <c r="S250" s="280">
        <f>R248/12</f>
        <v>0</v>
      </c>
      <c r="T250" s="227">
        <f>NPV($C$236/12,S251:$S$1436)</f>
        <v>0</v>
      </c>
      <c r="U250" s="227"/>
      <c r="V250" s="227"/>
      <c r="W250" s="227"/>
      <c r="X250" s="227"/>
      <c r="Y250" s="227"/>
      <c r="Z250" s="227"/>
      <c r="AA250" s="227"/>
      <c r="AB250" s="227"/>
      <c r="AC250" s="227"/>
      <c r="AD250" s="227"/>
      <c r="AE250" s="227"/>
      <c r="AF250" s="227"/>
      <c r="AG250" s="227"/>
      <c r="AH250" s="227"/>
      <c r="AI250" s="227"/>
      <c r="AJ250" s="227"/>
      <c r="AK250" s="227"/>
      <c r="AL250" s="227"/>
      <c r="AM250" s="227"/>
      <c r="AN250" s="227"/>
      <c r="AO250" s="227"/>
      <c r="AP250" s="227"/>
      <c r="AQ250" s="227"/>
      <c r="AR250" s="227"/>
      <c r="AS250" s="227"/>
      <c r="AT250" s="227"/>
      <c r="AU250" s="227"/>
      <c r="AV250" s="227"/>
      <c r="AW250" s="227"/>
      <c r="AX250" s="227"/>
      <c r="AY250" s="227"/>
      <c r="AZ250" s="227"/>
      <c r="BA250" s="227"/>
      <c r="BB250" s="227"/>
      <c r="BC250" s="227"/>
      <c r="BD250" s="227"/>
      <c r="BE250" s="227"/>
      <c r="BF250" s="227"/>
      <c r="BG250" s="227"/>
      <c r="BH250" s="227"/>
      <c r="BI250" s="227"/>
      <c r="BJ250" s="227"/>
      <c r="BK250" s="227"/>
      <c r="BL250" s="227"/>
      <c r="BM250" s="227"/>
      <c r="BN250" s="227"/>
      <c r="BO250" s="227"/>
      <c r="BP250" s="227"/>
      <c r="BQ250" s="227"/>
      <c r="BR250" s="227"/>
      <c r="BS250" s="227"/>
      <c r="BT250" s="227"/>
      <c r="BU250" s="227"/>
      <c r="BV250" s="227"/>
      <c r="BW250" s="227"/>
      <c r="BX250" s="227"/>
      <c r="BY250" s="227"/>
      <c r="BZ250" s="227"/>
      <c r="CA250" s="227"/>
      <c r="CB250" s="227"/>
      <c r="CC250" s="227"/>
      <c r="CD250" s="227"/>
      <c r="CE250" s="227"/>
      <c r="CF250" s="227"/>
      <c r="CG250" s="227"/>
      <c r="CH250" s="227"/>
      <c r="CI250" s="227"/>
      <c r="CJ250" s="227"/>
      <c r="CK250" s="227"/>
      <c r="CL250" s="227"/>
      <c r="CM250" s="227"/>
      <c r="CN250" s="227"/>
      <c r="CO250" s="227"/>
      <c r="CP250" s="227"/>
      <c r="CQ250" s="227"/>
      <c r="CR250" s="227"/>
      <c r="CS250" s="227"/>
      <c r="CT250" s="227"/>
      <c r="CU250" s="227"/>
      <c r="CV250" s="227"/>
      <c r="CW250" s="227"/>
      <c r="CX250" s="227"/>
      <c r="CY250" s="227"/>
      <c r="CZ250" s="227"/>
      <c r="DA250" s="227"/>
      <c r="DB250" s="227"/>
      <c r="DC250" s="227"/>
      <c r="DD250" s="227"/>
      <c r="DE250" s="227"/>
      <c r="DF250" s="227"/>
      <c r="DG250" s="227"/>
      <c r="DH250" s="227"/>
      <c r="DI250" s="227"/>
      <c r="DJ250" s="227"/>
      <c r="DK250" s="227"/>
      <c r="DL250" s="227"/>
      <c r="DM250" s="227"/>
      <c r="DN250" s="227"/>
      <c r="DO250" s="227"/>
      <c r="DP250" s="227"/>
      <c r="DQ250" s="227"/>
      <c r="DR250" s="227"/>
      <c r="DS250" s="227"/>
      <c r="DT250" s="227"/>
      <c r="DU250" s="227"/>
      <c r="DV250" s="227"/>
      <c r="DW250" s="227"/>
      <c r="DX250" s="227"/>
      <c r="DY250" s="227"/>
      <c r="DZ250" s="227"/>
      <c r="EA250" s="227"/>
      <c r="EB250" s="227"/>
      <c r="EC250" s="227"/>
      <c r="ED250" s="227"/>
      <c r="EE250" s="227"/>
      <c r="EF250" s="227"/>
      <c r="EG250" s="227"/>
      <c r="EH250" s="227"/>
      <c r="EI250" s="227"/>
      <c r="EJ250" s="227"/>
      <c r="EK250" s="227"/>
      <c r="EL250" s="227"/>
      <c r="EM250" s="227"/>
      <c r="EN250" s="227"/>
      <c r="EO250" s="227"/>
      <c r="EP250" s="227"/>
      <c r="EQ250" s="227"/>
    </row>
    <row r="251" spans="15:147" x14ac:dyDescent="0.3">
      <c r="P251" s="310">
        <v>3</v>
      </c>
      <c r="Q251">
        <f t="shared" si="98"/>
        <v>0</v>
      </c>
      <c r="R251" s="280"/>
      <c r="S251" s="280">
        <f>R248/12</f>
        <v>0</v>
      </c>
      <c r="T251" s="227">
        <f>NPV($C$236/12,S252:$S$1436)</f>
        <v>0</v>
      </c>
    </row>
    <row r="252" spans="15:147" x14ac:dyDescent="0.3">
      <c r="P252" s="310">
        <v>4</v>
      </c>
      <c r="Q252">
        <f t="shared" si="98"/>
        <v>0</v>
      </c>
      <c r="R252" s="280"/>
      <c r="S252" s="280">
        <f>R248/12</f>
        <v>0</v>
      </c>
      <c r="T252" s="227">
        <f>NPV($C$236/12,S253:$S$1436)</f>
        <v>0</v>
      </c>
    </row>
    <row r="253" spans="15:147" x14ac:dyDescent="0.3">
      <c r="P253" s="310">
        <v>5</v>
      </c>
      <c r="Q253">
        <f t="shared" si="98"/>
        <v>0</v>
      </c>
      <c r="R253" s="280"/>
      <c r="S253" s="280">
        <f>R248/12</f>
        <v>0</v>
      </c>
      <c r="T253" s="227">
        <f>NPV($C$236/12,S254:$S$1436)</f>
        <v>0</v>
      </c>
    </row>
    <row r="254" spans="15:147" x14ac:dyDescent="0.3">
      <c r="P254" s="310">
        <v>6</v>
      </c>
      <c r="Q254">
        <f t="shared" si="98"/>
        <v>0</v>
      </c>
      <c r="R254" s="280"/>
      <c r="S254" s="280">
        <f>R248/12</f>
        <v>0</v>
      </c>
      <c r="T254" s="227">
        <f>NPV($C$236/12,S255:$S$1436)</f>
        <v>0</v>
      </c>
    </row>
    <row r="255" spans="15:147" x14ac:dyDescent="0.3">
      <c r="P255" s="310">
        <v>7</v>
      </c>
      <c r="Q255">
        <f t="shared" si="98"/>
        <v>0</v>
      </c>
      <c r="R255" s="280"/>
      <c r="S255" s="280">
        <f>R248/12</f>
        <v>0</v>
      </c>
      <c r="T255" s="227">
        <f>NPV($C$236/12,S256:$S$1436)</f>
        <v>0</v>
      </c>
    </row>
    <row r="256" spans="15:147" x14ac:dyDescent="0.3">
      <c r="P256" s="310">
        <v>8</v>
      </c>
      <c r="Q256">
        <f t="shared" si="98"/>
        <v>0</v>
      </c>
      <c r="R256" s="280"/>
      <c r="S256" s="280">
        <f>R248/12</f>
        <v>0</v>
      </c>
      <c r="T256" s="227">
        <f>NPV($C$236/12,S257:$S$1436)</f>
        <v>0</v>
      </c>
    </row>
    <row r="257" spans="14:20" x14ac:dyDescent="0.3">
      <c r="P257" s="310">
        <v>9</v>
      </c>
      <c r="Q257">
        <f t="shared" si="98"/>
        <v>0</v>
      </c>
      <c r="R257" s="280"/>
      <c r="S257" s="280">
        <f>R248/12</f>
        <v>0</v>
      </c>
      <c r="T257" s="227">
        <f>NPV($C$236/12,S258:$S$1436)</f>
        <v>0</v>
      </c>
    </row>
    <row r="258" spans="14:20" x14ac:dyDescent="0.3">
      <c r="P258" s="310">
        <v>10</v>
      </c>
      <c r="Q258">
        <f t="shared" si="98"/>
        <v>0</v>
      </c>
      <c r="R258" s="280"/>
      <c r="S258" s="280">
        <f>R248/12</f>
        <v>0</v>
      </c>
      <c r="T258" s="227">
        <f>NPV($C$236/12,S259:$S$1436)</f>
        <v>0</v>
      </c>
    </row>
    <row r="259" spans="14:20" x14ac:dyDescent="0.3">
      <c r="N259" s="205"/>
      <c r="P259" s="310">
        <v>11</v>
      </c>
      <c r="Q259">
        <f t="shared" si="98"/>
        <v>0</v>
      </c>
      <c r="R259" s="280"/>
      <c r="S259" s="280">
        <f>R248/12</f>
        <v>0</v>
      </c>
      <c r="T259" s="227">
        <f>NPV($C$236/12,S260:$S$1436)</f>
        <v>0</v>
      </c>
    </row>
    <row r="260" spans="14:20" x14ac:dyDescent="0.3">
      <c r="P260" s="310">
        <v>12</v>
      </c>
      <c r="Q260">
        <f t="shared" si="98"/>
        <v>2</v>
      </c>
      <c r="R260" s="280">
        <f>LOOKUP(Q260,$Q$243:$DK$243,$Q$244:$DK$244)</f>
        <v>0</v>
      </c>
      <c r="S260" s="280">
        <f>R248/12</f>
        <v>0</v>
      </c>
      <c r="T260" s="227">
        <f>NPV($C$236/12,S261:$S$1436)</f>
        <v>0</v>
      </c>
    </row>
    <row r="261" spans="14:20" x14ac:dyDescent="0.3">
      <c r="P261" s="310">
        <v>13</v>
      </c>
      <c r="Q261">
        <f t="shared" si="98"/>
        <v>0</v>
      </c>
      <c r="R261" s="280"/>
      <c r="S261" s="280">
        <f>R260/12</f>
        <v>0</v>
      </c>
      <c r="T261" s="227">
        <f>NPV($C$236/12,S262:$S$1436)</f>
        <v>0</v>
      </c>
    </row>
    <row r="262" spans="14:20" x14ac:dyDescent="0.3">
      <c r="P262" s="310">
        <v>14</v>
      </c>
      <c r="Q262">
        <f t="shared" si="98"/>
        <v>0</v>
      </c>
      <c r="R262" s="280"/>
      <c r="S262" s="280">
        <f>R260/12</f>
        <v>0</v>
      </c>
      <c r="T262" s="227">
        <f>NPV($C$236/12,S263:$S$1436)</f>
        <v>0</v>
      </c>
    </row>
    <row r="263" spans="14:20" x14ac:dyDescent="0.3">
      <c r="P263" s="310">
        <v>15</v>
      </c>
      <c r="Q263">
        <f t="shared" si="98"/>
        <v>0</v>
      </c>
      <c r="R263" s="280"/>
      <c r="S263" s="280">
        <f>R260/12</f>
        <v>0</v>
      </c>
      <c r="T263" s="227">
        <f>NPV($C$236/12,S264:$S$1436)</f>
        <v>0</v>
      </c>
    </row>
    <row r="264" spans="14:20" x14ac:dyDescent="0.3">
      <c r="P264" s="310">
        <v>16</v>
      </c>
      <c r="Q264">
        <f t="shared" si="98"/>
        <v>0</v>
      </c>
      <c r="R264" s="280"/>
      <c r="S264" s="280">
        <f>R260/12</f>
        <v>0</v>
      </c>
      <c r="T264" s="227">
        <f>NPV($C$236/12,S265:$S$1436)</f>
        <v>0</v>
      </c>
    </row>
    <row r="265" spans="14:20" x14ac:dyDescent="0.3">
      <c r="P265" s="310">
        <v>17</v>
      </c>
      <c r="Q265">
        <f t="shared" si="98"/>
        <v>0</v>
      </c>
      <c r="R265" s="280"/>
      <c r="S265" s="280">
        <f>R260/12</f>
        <v>0</v>
      </c>
      <c r="T265" s="227">
        <f>NPV($C$236/12,S266:$S$1436)</f>
        <v>0</v>
      </c>
    </row>
    <row r="266" spans="14:20" x14ac:dyDescent="0.3">
      <c r="P266" s="310">
        <v>18</v>
      </c>
      <c r="Q266">
        <f t="shared" si="98"/>
        <v>0</v>
      </c>
      <c r="R266" s="280"/>
      <c r="S266" s="280">
        <f>R260/12</f>
        <v>0</v>
      </c>
      <c r="T266" s="227">
        <f>NPV($C$236/12,S267:$S$1436)</f>
        <v>0</v>
      </c>
    </row>
    <row r="267" spans="14:20" x14ac:dyDescent="0.3">
      <c r="P267" s="310">
        <v>19</v>
      </c>
      <c r="Q267">
        <f t="shared" si="98"/>
        <v>0</v>
      </c>
      <c r="R267" s="280"/>
      <c r="S267" s="280">
        <f>R260/12</f>
        <v>0</v>
      </c>
      <c r="T267" s="227">
        <f>NPV($C$236/12,S268:$S$1436)</f>
        <v>0</v>
      </c>
    </row>
    <row r="268" spans="14:20" x14ac:dyDescent="0.3">
      <c r="P268" s="310">
        <v>20</v>
      </c>
      <c r="Q268">
        <f t="shared" si="98"/>
        <v>0</v>
      </c>
      <c r="R268" s="280"/>
      <c r="S268" s="280">
        <f>R260/12</f>
        <v>0</v>
      </c>
      <c r="T268" s="227">
        <f>NPV($C$236/12,S269:$S$1436)</f>
        <v>0</v>
      </c>
    </row>
    <row r="269" spans="14:20" x14ac:dyDescent="0.3">
      <c r="P269" s="310">
        <v>21</v>
      </c>
      <c r="Q269">
        <f t="shared" si="98"/>
        <v>0</v>
      </c>
      <c r="R269" s="280"/>
      <c r="S269" s="280">
        <f>R260/12</f>
        <v>0</v>
      </c>
      <c r="T269" s="227">
        <f>NPV($C$236/12,S270:$S$1436)</f>
        <v>0</v>
      </c>
    </row>
    <row r="270" spans="14:20" x14ac:dyDescent="0.3">
      <c r="P270" s="310">
        <v>22</v>
      </c>
      <c r="Q270">
        <f t="shared" si="98"/>
        <v>0</v>
      </c>
      <c r="R270" s="280"/>
      <c r="S270" s="280">
        <f>R260/12</f>
        <v>0</v>
      </c>
      <c r="T270" s="227">
        <f>NPV($C$236/12,S271:$S$1436)</f>
        <v>0</v>
      </c>
    </row>
    <row r="271" spans="14:20" x14ac:dyDescent="0.3">
      <c r="P271" s="310">
        <v>23</v>
      </c>
      <c r="Q271">
        <f t="shared" si="98"/>
        <v>0</v>
      </c>
      <c r="R271" s="280"/>
      <c r="S271" s="280">
        <f>R260/12</f>
        <v>0</v>
      </c>
      <c r="T271" s="227">
        <f>NPV($C$236/12,S272:$S$1436)</f>
        <v>0</v>
      </c>
    </row>
    <row r="272" spans="14:20" x14ac:dyDescent="0.3">
      <c r="P272" s="310">
        <v>24</v>
      </c>
      <c r="Q272">
        <f t="shared" si="98"/>
        <v>3</v>
      </c>
      <c r="R272" s="280">
        <f>LOOKUP(Q272,$Q$243:$DK$243,$Q$244:$DK$244)</f>
        <v>0</v>
      </c>
      <c r="S272" s="280">
        <f>R260/12</f>
        <v>0</v>
      </c>
      <c r="T272" s="227">
        <f>NPV($C$236/12,S273:$S$1436)</f>
        <v>0</v>
      </c>
    </row>
    <row r="273" spans="10:20" x14ac:dyDescent="0.3">
      <c r="P273" s="310">
        <v>25</v>
      </c>
      <c r="Q273">
        <f t="shared" si="98"/>
        <v>0</v>
      </c>
      <c r="R273" s="280"/>
      <c r="S273" s="280">
        <f>R272/12</f>
        <v>0</v>
      </c>
      <c r="T273" s="227">
        <f>NPV($C$236/12,S274:$S$1436)</f>
        <v>0</v>
      </c>
    </row>
    <row r="274" spans="10:20" x14ac:dyDescent="0.3">
      <c r="P274" s="310">
        <v>26</v>
      </c>
      <c r="Q274">
        <f t="shared" si="98"/>
        <v>0</v>
      </c>
      <c r="R274" s="280"/>
      <c r="S274" s="280">
        <f>R272/12</f>
        <v>0</v>
      </c>
      <c r="T274" s="227">
        <f>NPV($C$236/12,S275:$S$1436)</f>
        <v>0</v>
      </c>
    </row>
    <row r="275" spans="10:20" x14ac:dyDescent="0.3">
      <c r="J275" s="227"/>
      <c r="P275" s="310">
        <v>27</v>
      </c>
      <c r="Q275">
        <f t="shared" si="98"/>
        <v>0</v>
      </c>
      <c r="R275" s="280"/>
      <c r="S275" s="280">
        <f>R272/12</f>
        <v>0</v>
      </c>
      <c r="T275" s="227">
        <f>NPV($C$236/12,S276:$S$1436)</f>
        <v>0</v>
      </c>
    </row>
    <row r="276" spans="10:20" x14ac:dyDescent="0.3">
      <c r="J276" s="228"/>
      <c r="P276" s="310">
        <v>28</v>
      </c>
      <c r="Q276">
        <f t="shared" si="98"/>
        <v>0</v>
      </c>
      <c r="R276" s="280"/>
      <c r="S276" s="280">
        <f>R272/12</f>
        <v>0</v>
      </c>
      <c r="T276" s="227">
        <f>NPV($C$236/12,S277:$S$1436)</f>
        <v>0</v>
      </c>
    </row>
    <row r="277" spans="10:20" x14ac:dyDescent="0.3">
      <c r="J277" s="228"/>
      <c r="P277" s="310">
        <v>29</v>
      </c>
      <c r="Q277">
        <f t="shared" si="98"/>
        <v>0</v>
      </c>
      <c r="R277" s="280"/>
      <c r="S277" s="280">
        <f>R272/12</f>
        <v>0</v>
      </c>
      <c r="T277" s="227">
        <f>NPV($C$236/12,S278:$S$1436)</f>
        <v>0</v>
      </c>
    </row>
    <row r="278" spans="10:20" x14ac:dyDescent="0.3">
      <c r="P278" s="310">
        <v>30</v>
      </c>
      <c r="Q278">
        <f t="shared" si="98"/>
        <v>0</v>
      </c>
      <c r="R278" s="280"/>
      <c r="S278" s="280">
        <f>R272/12</f>
        <v>0</v>
      </c>
      <c r="T278" s="227">
        <f>NPV($C$236/12,S279:$S$1436)</f>
        <v>0</v>
      </c>
    </row>
    <row r="279" spans="10:20" x14ac:dyDescent="0.3">
      <c r="P279" s="310">
        <v>31</v>
      </c>
      <c r="Q279">
        <f t="shared" si="98"/>
        <v>0</v>
      </c>
      <c r="R279" s="280"/>
      <c r="S279" s="280">
        <f>R272/12</f>
        <v>0</v>
      </c>
      <c r="T279" s="227">
        <f>NPV($C$236/12,S280:$S$1436)</f>
        <v>0</v>
      </c>
    </row>
    <row r="280" spans="10:20" x14ac:dyDescent="0.3">
      <c r="P280" s="310">
        <v>32</v>
      </c>
      <c r="Q280">
        <f t="shared" si="98"/>
        <v>0</v>
      </c>
      <c r="R280" s="280"/>
      <c r="S280" s="280">
        <f>R272/12</f>
        <v>0</v>
      </c>
      <c r="T280" s="227">
        <f>NPV($C$236/12,S281:$S$1436)</f>
        <v>0</v>
      </c>
    </row>
    <row r="281" spans="10:20" x14ac:dyDescent="0.3">
      <c r="P281" s="310">
        <v>33</v>
      </c>
      <c r="Q281">
        <f t="shared" si="98"/>
        <v>0</v>
      </c>
      <c r="R281" s="280"/>
      <c r="S281" s="280">
        <f>R272/12</f>
        <v>0</v>
      </c>
      <c r="T281" s="227">
        <f>NPV($C$236/12,S282:$S$1436)</f>
        <v>0</v>
      </c>
    </row>
    <row r="282" spans="10:20" x14ac:dyDescent="0.3">
      <c r="P282" s="310">
        <v>34</v>
      </c>
      <c r="Q282">
        <f t="shared" si="98"/>
        <v>0</v>
      </c>
      <c r="R282" s="280"/>
      <c r="S282" s="280">
        <f>R272/12</f>
        <v>0</v>
      </c>
      <c r="T282" s="227">
        <f>NPV($C$236/12,S283:$S$1436)</f>
        <v>0</v>
      </c>
    </row>
    <row r="283" spans="10:20" x14ac:dyDescent="0.3">
      <c r="P283" s="310">
        <v>35</v>
      </c>
      <c r="Q283">
        <f t="shared" si="98"/>
        <v>0</v>
      </c>
      <c r="R283" s="280"/>
      <c r="S283" s="280">
        <f>R272/12</f>
        <v>0</v>
      </c>
      <c r="T283" s="227">
        <f>NPV($C$236/12,S284:$S$1436)</f>
        <v>0</v>
      </c>
    </row>
    <row r="284" spans="10:20" x14ac:dyDescent="0.3">
      <c r="P284" s="310">
        <v>36</v>
      </c>
      <c r="Q284">
        <f t="shared" si="98"/>
        <v>4</v>
      </c>
      <c r="R284" s="280">
        <f>LOOKUP(Q284,$Q$243:$DK$243,$Q$244:$DK$244)</f>
        <v>0</v>
      </c>
      <c r="S284" s="280">
        <f>R272/12</f>
        <v>0</v>
      </c>
      <c r="T284" s="227">
        <f>NPV($C$236/12,S285:$S$1436)</f>
        <v>0</v>
      </c>
    </row>
    <row r="285" spans="10:20" x14ac:dyDescent="0.3">
      <c r="P285" s="310">
        <v>37</v>
      </c>
      <c r="Q285">
        <f t="shared" si="98"/>
        <v>0</v>
      </c>
      <c r="R285" s="280"/>
      <c r="S285" s="280">
        <f>R284/12</f>
        <v>0</v>
      </c>
      <c r="T285" s="227">
        <f>NPV($C$236/12,S286:$S$1436)</f>
        <v>0</v>
      </c>
    </row>
    <row r="286" spans="10:20" x14ac:dyDescent="0.3">
      <c r="P286" s="310">
        <v>38</v>
      </c>
      <c r="Q286">
        <f t="shared" si="98"/>
        <v>0</v>
      </c>
      <c r="R286" s="280"/>
      <c r="S286" s="280">
        <f>R284/12</f>
        <v>0</v>
      </c>
      <c r="T286" s="227">
        <f>NPV($C$236/12,S287:$S$1436)</f>
        <v>0</v>
      </c>
    </row>
    <row r="287" spans="10:20" x14ac:dyDescent="0.3">
      <c r="P287" s="310">
        <v>39</v>
      </c>
      <c r="Q287">
        <f t="shared" si="98"/>
        <v>0</v>
      </c>
      <c r="R287" s="280"/>
      <c r="S287" s="280">
        <f>R284/12</f>
        <v>0</v>
      </c>
      <c r="T287" s="227">
        <f>NPV($C$236/12,S288:$S$1436)</f>
        <v>0</v>
      </c>
    </row>
    <row r="288" spans="10:20" x14ac:dyDescent="0.3">
      <c r="P288" s="310">
        <v>40</v>
      </c>
      <c r="Q288">
        <f t="shared" si="98"/>
        <v>0</v>
      </c>
      <c r="R288" s="280"/>
      <c r="S288" s="280">
        <f>R284/12</f>
        <v>0</v>
      </c>
      <c r="T288" s="227">
        <f>NPV($C$236/12,S289:$S$1436)</f>
        <v>0</v>
      </c>
    </row>
    <row r="289" spans="16:20" x14ac:dyDescent="0.3">
      <c r="P289" s="310">
        <v>41</v>
      </c>
      <c r="Q289">
        <f t="shared" si="98"/>
        <v>0</v>
      </c>
      <c r="R289" s="280"/>
      <c r="S289" s="280">
        <f>R284/12</f>
        <v>0</v>
      </c>
      <c r="T289" s="227">
        <f>NPV($C$236/12,S290:$S$1436)</f>
        <v>0</v>
      </c>
    </row>
    <row r="290" spans="16:20" x14ac:dyDescent="0.3">
      <c r="P290" s="310">
        <v>42</v>
      </c>
      <c r="Q290">
        <f t="shared" si="98"/>
        <v>0</v>
      </c>
      <c r="R290" s="280"/>
      <c r="S290" s="280">
        <f>R284/12</f>
        <v>0</v>
      </c>
      <c r="T290" s="227">
        <f>NPV($C$236/12,S291:$S$1436)</f>
        <v>0</v>
      </c>
    </row>
    <row r="291" spans="16:20" x14ac:dyDescent="0.3">
      <c r="P291" s="310">
        <v>43</v>
      </c>
      <c r="Q291">
        <f t="shared" si="98"/>
        <v>0</v>
      </c>
      <c r="R291" s="280"/>
      <c r="S291" s="280">
        <f>R284/12</f>
        <v>0</v>
      </c>
      <c r="T291" s="227">
        <f>NPV($C$236/12,S292:$S$1436)</f>
        <v>0</v>
      </c>
    </row>
    <row r="292" spans="16:20" x14ac:dyDescent="0.3">
      <c r="P292" s="310">
        <v>44</v>
      </c>
      <c r="Q292">
        <f t="shared" si="98"/>
        <v>0</v>
      </c>
      <c r="R292" s="280"/>
      <c r="S292" s="280">
        <f>R284/12</f>
        <v>0</v>
      </c>
      <c r="T292" s="227">
        <f>NPV($C$236/12,S293:$S$1436)</f>
        <v>0</v>
      </c>
    </row>
    <row r="293" spans="16:20" x14ac:dyDescent="0.3">
      <c r="P293" s="310">
        <v>45</v>
      </c>
      <c r="Q293">
        <f t="shared" si="98"/>
        <v>0</v>
      </c>
      <c r="R293" s="280"/>
      <c r="S293" s="280">
        <f>R284/12</f>
        <v>0</v>
      </c>
      <c r="T293" s="227">
        <f>NPV($C$236/12,S294:$S$1436)</f>
        <v>0</v>
      </c>
    </row>
    <row r="294" spans="16:20" x14ac:dyDescent="0.3">
      <c r="P294" s="310">
        <v>46</v>
      </c>
      <c r="Q294">
        <f t="shared" si="98"/>
        <v>0</v>
      </c>
      <c r="R294" s="280"/>
      <c r="S294" s="280">
        <f>R284/12</f>
        <v>0</v>
      </c>
      <c r="T294" s="227">
        <f>NPV($C$236/12,S295:$S$1436)</f>
        <v>0</v>
      </c>
    </row>
    <row r="295" spans="16:20" x14ac:dyDescent="0.3">
      <c r="P295" s="310">
        <v>47</v>
      </c>
      <c r="Q295">
        <f t="shared" si="98"/>
        <v>0</v>
      </c>
      <c r="R295" s="280"/>
      <c r="S295" s="280">
        <f>R284/12</f>
        <v>0</v>
      </c>
      <c r="T295" s="227">
        <f>NPV($C$236/12,S296:$S$1436)</f>
        <v>0</v>
      </c>
    </row>
    <row r="296" spans="16:20" x14ac:dyDescent="0.3">
      <c r="P296" s="310">
        <v>48</v>
      </c>
      <c r="Q296">
        <f t="shared" si="98"/>
        <v>5</v>
      </c>
      <c r="R296" s="280">
        <f>LOOKUP(Q296,$Q$243:$DK$243,$Q$244:$DK$244)</f>
        <v>0</v>
      </c>
      <c r="S296" s="280">
        <f>R284/12</f>
        <v>0</v>
      </c>
      <c r="T296" s="227">
        <f>NPV($C$236/12,S297:$S$1436)</f>
        <v>0</v>
      </c>
    </row>
    <row r="297" spans="16:20" x14ac:dyDescent="0.3">
      <c r="P297" s="310">
        <v>49</v>
      </c>
      <c r="Q297">
        <f t="shared" si="98"/>
        <v>0</v>
      </c>
      <c r="R297" s="280"/>
      <c r="S297" s="280">
        <f>R296/12</f>
        <v>0</v>
      </c>
      <c r="T297" s="227">
        <f>NPV($C$236/12,S298:$S$1436)</f>
        <v>0</v>
      </c>
    </row>
    <row r="298" spans="16:20" x14ac:dyDescent="0.3">
      <c r="P298" s="310">
        <v>50</v>
      </c>
      <c r="Q298">
        <f t="shared" si="98"/>
        <v>0</v>
      </c>
      <c r="R298" s="280"/>
      <c r="S298" s="280">
        <f>R296/12</f>
        <v>0</v>
      </c>
      <c r="T298" s="227">
        <f>NPV($C$236/12,S299:$S$1436)</f>
        <v>0</v>
      </c>
    </row>
    <row r="299" spans="16:20" x14ac:dyDescent="0.3">
      <c r="P299" s="310">
        <v>51</v>
      </c>
      <c r="Q299">
        <f t="shared" si="98"/>
        <v>0</v>
      </c>
      <c r="R299" s="280"/>
      <c r="S299" s="280">
        <f>R296/12</f>
        <v>0</v>
      </c>
      <c r="T299" s="227">
        <f>NPV($C$236/12,S300:$S$1436)</f>
        <v>0</v>
      </c>
    </row>
    <row r="300" spans="16:20" x14ac:dyDescent="0.3">
      <c r="P300" s="310">
        <v>52</v>
      </c>
      <c r="Q300">
        <f t="shared" si="98"/>
        <v>0</v>
      </c>
      <c r="R300" s="280"/>
      <c r="S300" s="280">
        <f>R296/12</f>
        <v>0</v>
      </c>
      <c r="T300" s="227">
        <f>NPV($C$236/12,S301:$S$1436)</f>
        <v>0</v>
      </c>
    </row>
    <row r="301" spans="16:20" x14ac:dyDescent="0.3">
      <c r="P301" s="310">
        <v>53</v>
      </c>
      <c r="Q301">
        <f t="shared" si="98"/>
        <v>0</v>
      </c>
      <c r="R301" s="280"/>
      <c r="S301" s="280">
        <f>R296/12</f>
        <v>0</v>
      </c>
      <c r="T301" s="227">
        <f>NPV($C$236/12,S302:$S$1436)</f>
        <v>0</v>
      </c>
    </row>
    <row r="302" spans="16:20" x14ac:dyDescent="0.3">
      <c r="P302" s="310">
        <v>54</v>
      </c>
      <c r="Q302">
        <f t="shared" si="98"/>
        <v>0</v>
      </c>
      <c r="R302" s="280"/>
      <c r="S302" s="280">
        <f>R296/12</f>
        <v>0</v>
      </c>
      <c r="T302" s="227">
        <f>NPV($C$236/12,S303:$S$1436)</f>
        <v>0</v>
      </c>
    </row>
    <row r="303" spans="16:20" x14ac:dyDescent="0.3">
      <c r="P303" s="310">
        <v>55</v>
      </c>
      <c r="Q303">
        <f t="shared" si="98"/>
        <v>0</v>
      </c>
      <c r="R303" s="280"/>
      <c r="S303" s="280">
        <f>R296/12</f>
        <v>0</v>
      </c>
      <c r="T303" s="227">
        <f>NPV($C$236/12,S304:$S$1436)</f>
        <v>0</v>
      </c>
    </row>
    <row r="304" spans="16:20" x14ac:dyDescent="0.3">
      <c r="P304" s="310">
        <v>56</v>
      </c>
      <c r="Q304">
        <f t="shared" si="98"/>
        <v>0</v>
      </c>
      <c r="R304" s="280"/>
      <c r="S304" s="280">
        <f>R296/12</f>
        <v>0</v>
      </c>
      <c r="T304" s="227">
        <f>NPV($C$236/12,S305:$S$1436)</f>
        <v>0</v>
      </c>
    </row>
    <row r="305" spans="16:20" x14ac:dyDescent="0.3">
      <c r="P305" s="310">
        <v>57</v>
      </c>
      <c r="Q305">
        <f t="shared" si="98"/>
        <v>0</v>
      </c>
      <c r="R305" s="280"/>
      <c r="S305" s="280">
        <f>R296/12</f>
        <v>0</v>
      </c>
      <c r="T305" s="227">
        <f>NPV($C$236/12,S306:$S$1436)</f>
        <v>0</v>
      </c>
    </row>
    <row r="306" spans="16:20" x14ac:dyDescent="0.3">
      <c r="P306" s="310">
        <v>58</v>
      </c>
      <c r="Q306">
        <f t="shared" si="98"/>
        <v>0</v>
      </c>
      <c r="R306" s="280"/>
      <c r="S306" s="280">
        <f>R296/12</f>
        <v>0</v>
      </c>
      <c r="T306" s="227">
        <f>NPV($C$236/12,S307:$S$1436)</f>
        <v>0</v>
      </c>
    </row>
    <row r="307" spans="16:20" x14ac:dyDescent="0.3">
      <c r="P307" s="310">
        <v>59</v>
      </c>
      <c r="Q307">
        <f t="shared" si="98"/>
        <v>0</v>
      </c>
      <c r="R307" s="280"/>
      <c r="S307" s="280">
        <f>R296/12</f>
        <v>0</v>
      </c>
      <c r="T307" s="227">
        <f>NPV($C$236/12,S308:$S$1436)</f>
        <v>0</v>
      </c>
    </row>
    <row r="308" spans="16:20" x14ac:dyDescent="0.3">
      <c r="P308" s="310">
        <v>60</v>
      </c>
      <c r="Q308">
        <f t="shared" si="98"/>
        <v>6</v>
      </c>
      <c r="R308" s="280">
        <f>LOOKUP(Q308,$Q$243:$DK$243,$Q$244:$DK$244)</f>
        <v>0</v>
      </c>
      <c r="S308" s="280">
        <f>R296/12</f>
        <v>0</v>
      </c>
      <c r="T308" s="227">
        <f>NPV($C$236/12,S309:$S$1436)</f>
        <v>0</v>
      </c>
    </row>
    <row r="309" spans="16:20" x14ac:dyDescent="0.3">
      <c r="P309" s="310">
        <v>61</v>
      </c>
      <c r="Q309">
        <f t="shared" si="98"/>
        <v>0</v>
      </c>
      <c r="R309" s="280"/>
      <c r="S309" s="280">
        <f>R308/12</f>
        <v>0</v>
      </c>
      <c r="T309" s="227">
        <f>NPV($C$236/12,S310:$S$1436)</f>
        <v>0</v>
      </c>
    </row>
    <row r="310" spans="16:20" x14ac:dyDescent="0.3">
      <c r="P310" s="310">
        <v>62</v>
      </c>
      <c r="Q310">
        <f t="shared" si="98"/>
        <v>0</v>
      </c>
      <c r="R310" s="280"/>
      <c r="S310" s="280">
        <f>R308/12</f>
        <v>0</v>
      </c>
      <c r="T310" s="227">
        <f>NPV($C$236/12,S311:$S$1436)</f>
        <v>0</v>
      </c>
    </row>
    <row r="311" spans="16:20" x14ac:dyDescent="0.3">
      <c r="P311" s="310">
        <v>63</v>
      </c>
      <c r="Q311">
        <f t="shared" si="98"/>
        <v>0</v>
      </c>
      <c r="R311" s="280"/>
      <c r="S311" s="280">
        <f>R308/12</f>
        <v>0</v>
      </c>
      <c r="T311" s="227">
        <f>NPV($C$236/12,S312:$S$1436)</f>
        <v>0</v>
      </c>
    </row>
    <row r="312" spans="16:20" x14ac:dyDescent="0.3">
      <c r="P312" s="310">
        <v>64</v>
      </c>
      <c r="Q312">
        <f t="shared" si="98"/>
        <v>0</v>
      </c>
      <c r="R312" s="280"/>
      <c r="S312" s="280">
        <f>R308/12</f>
        <v>0</v>
      </c>
      <c r="T312" s="227">
        <f>NPV($C$236/12,S313:$S$1436)</f>
        <v>0</v>
      </c>
    </row>
    <row r="313" spans="16:20" x14ac:dyDescent="0.3">
      <c r="P313" s="310">
        <v>65</v>
      </c>
      <c r="Q313">
        <f t="shared" ref="Q313:Q376" si="99">IF(MOD(P313,12)=0,(P313/12)+1,0)</f>
        <v>0</v>
      </c>
      <c r="R313" s="280"/>
      <c r="S313" s="280">
        <f>R308/12</f>
        <v>0</v>
      </c>
      <c r="T313" s="227">
        <f>NPV($C$236/12,S314:$S$1436)</f>
        <v>0</v>
      </c>
    </row>
    <row r="314" spans="16:20" x14ac:dyDescent="0.3">
      <c r="P314" s="310">
        <v>66</v>
      </c>
      <c r="Q314">
        <f t="shared" si="99"/>
        <v>0</v>
      </c>
      <c r="R314" s="280"/>
      <c r="S314" s="280">
        <f>R308/12</f>
        <v>0</v>
      </c>
      <c r="T314" s="227">
        <f>NPV($C$236/12,S315:$S$1436)</f>
        <v>0</v>
      </c>
    </row>
    <row r="315" spans="16:20" x14ac:dyDescent="0.3">
      <c r="P315" s="310">
        <v>67</v>
      </c>
      <c r="Q315">
        <f t="shared" si="99"/>
        <v>0</v>
      </c>
      <c r="R315" s="280"/>
      <c r="S315" s="280">
        <f>R308/12</f>
        <v>0</v>
      </c>
      <c r="T315" s="227">
        <f>NPV($C$236/12,S316:$S$1436)</f>
        <v>0</v>
      </c>
    </row>
    <row r="316" spans="16:20" x14ac:dyDescent="0.3">
      <c r="P316" s="310">
        <v>68</v>
      </c>
      <c r="Q316">
        <f t="shared" si="99"/>
        <v>0</v>
      </c>
      <c r="R316" s="280"/>
      <c r="S316" s="280">
        <f>R308/12</f>
        <v>0</v>
      </c>
      <c r="T316" s="227">
        <f>NPV($C$236/12,S317:$S$1436)</f>
        <v>0</v>
      </c>
    </row>
    <row r="317" spans="16:20" x14ac:dyDescent="0.3">
      <c r="P317" s="310">
        <v>69</v>
      </c>
      <c r="Q317">
        <f t="shared" si="99"/>
        <v>0</v>
      </c>
      <c r="R317" s="280"/>
      <c r="S317" s="280">
        <f>R308/12</f>
        <v>0</v>
      </c>
      <c r="T317" s="227">
        <f>NPV($C$236/12,S318:$S$1436)</f>
        <v>0</v>
      </c>
    </row>
    <row r="318" spans="16:20" x14ac:dyDescent="0.3">
      <c r="P318" s="310">
        <v>70</v>
      </c>
      <c r="Q318">
        <f t="shared" si="99"/>
        <v>0</v>
      </c>
      <c r="R318" s="280"/>
      <c r="S318" s="280">
        <f>R308/12</f>
        <v>0</v>
      </c>
      <c r="T318" s="227">
        <f>NPV($C$236/12,S319:$S$1436)</f>
        <v>0</v>
      </c>
    </row>
    <row r="319" spans="16:20" x14ac:dyDescent="0.3">
      <c r="P319" s="310">
        <v>71</v>
      </c>
      <c r="Q319">
        <f t="shared" si="99"/>
        <v>0</v>
      </c>
      <c r="R319" s="280"/>
      <c r="S319" s="280">
        <f>R308/12</f>
        <v>0</v>
      </c>
      <c r="T319" s="227">
        <f>NPV($C$236/12,S320:$S$1436)</f>
        <v>0</v>
      </c>
    </row>
    <row r="320" spans="16:20" x14ac:dyDescent="0.3">
      <c r="P320" s="310">
        <v>72</v>
      </c>
      <c r="Q320">
        <f t="shared" si="99"/>
        <v>7</v>
      </c>
      <c r="R320" s="280">
        <f>LOOKUP(Q320,$Q$243:$DK$243,$Q$244:$DK$244)</f>
        <v>0</v>
      </c>
      <c r="S320" s="280">
        <f>R308/12</f>
        <v>0</v>
      </c>
      <c r="T320" s="227">
        <f>NPV($C$236/12,S321:$S$1436)</f>
        <v>0</v>
      </c>
    </row>
    <row r="321" spans="16:20" x14ac:dyDescent="0.3">
      <c r="P321" s="310">
        <v>73</v>
      </c>
      <c r="Q321">
        <f t="shared" si="99"/>
        <v>0</v>
      </c>
      <c r="R321" s="280"/>
      <c r="S321" s="280">
        <f>R320/12</f>
        <v>0</v>
      </c>
      <c r="T321" s="227">
        <f>NPV($C$236/12,S322:$S$1436)</f>
        <v>0</v>
      </c>
    </row>
    <row r="322" spans="16:20" x14ac:dyDescent="0.3">
      <c r="P322" s="310">
        <v>74</v>
      </c>
      <c r="Q322">
        <f t="shared" si="99"/>
        <v>0</v>
      </c>
      <c r="R322" s="280"/>
      <c r="S322" s="280">
        <f>R320/12</f>
        <v>0</v>
      </c>
      <c r="T322" s="227">
        <f>NPV($C$236/12,S323:$S$1436)</f>
        <v>0</v>
      </c>
    </row>
    <row r="323" spans="16:20" x14ac:dyDescent="0.3">
      <c r="P323" s="310">
        <v>75</v>
      </c>
      <c r="Q323">
        <f t="shared" si="99"/>
        <v>0</v>
      </c>
      <c r="R323" s="280"/>
      <c r="S323" s="280">
        <f>R320/12</f>
        <v>0</v>
      </c>
      <c r="T323" s="227">
        <f>NPV($C$236/12,S324:$S$1436)</f>
        <v>0</v>
      </c>
    </row>
    <row r="324" spans="16:20" x14ac:dyDescent="0.3">
      <c r="P324" s="310">
        <v>76</v>
      </c>
      <c r="Q324">
        <f t="shared" si="99"/>
        <v>0</v>
      </c>
      <c r="R324" s="280"/>
      <c r="S324" s="280">
        <f>R320/12</f>
        <v>0</v>
      </c>
      <c r="T324" s="227">
        <f>NPV($C$236/12,S325:$S$1436)</f>
        <v>0</v>
      </c>
    </row>
    <row r="325" spans="16:20" x14ac:dyDescent="0.3">
      <c r="P325" s="310">
        <v>77</v>
      </c>
      <c r="Q325">
        <f t="shared" si="99"/>
        <v>0</v>
      </c>
      <c r="R325" s="280"/>
      <c r="S325" s="280">
        <f>R320/12</f>
        <v>0</v>
      </c>
      <c r="T325" s="227">
        <f>NPV($C$236/12,S326:$S$1436)</f>
        <v>0</v>
      </c>
    </row>
    <row r="326" spans="16:20" x14ac:dyDescent="0.3">
      <c r="P326" s="310">
        <v>78</v>
      </c>
      <c r="Q326">
        <f t="shared" si="99"/>
        <v>0</v>
      </c>
      <c r="R326" s="280"/>
      <c r="S326" s="280">
        <f>R320/12</f>
        <v>0</v>
      </c>
      <c r="T326" s="227">
        <f>NPV($C$236/12,S327:$S$1436)</f>
        <v>0</v>
      </c>
    </row>
    <row r="327" spans="16:20" x14ac:dyDescent="0.3">
      <c r="P327" s="310">
        <v>79</v>
      </c>
      <c r="Q327">
        <f t="shared" si="99"/>
        <v>0</v>
      </c>
      <c r="R327" s="280"/>
      <c r="S327" s="280">
        <f>R320/12</f>
        <v>0</v>
      </c>
      <c r="T327" s="227">
        <f>NPV($C$236/12,S328:$S$1436)</f>
        <v>0</v>
      </c>
    </row>
    <row r="328" spans="16:20" x14ac:dyDescent="0.3">
      <c r="P328" s="310">
        <v>80</v>
      </c>
      <c r="Q328">
        <f t="shared" si="99"/>
        <v>0</v>
      </c>
      <c r="R328" s="280"/>
      <c r="S328" s="280">
        <f>R320/12</f>
        <v>0</v>
      </c>
      <c r="T328" s="227">
        <f>NPV($C$236/12,S329:$S$1436)</f>
        <v>0</v>
      </c>
    </row>
    <row r="329" spans="16:20" x14ac:dyDescent="0.3">
      <c r="P329" s="310">
        <v>81</v>
      </c>
      <c r="Q329">
        <f t="shared" si="99"/>
        <v>0</v>
      </c>
      <c r="R329" s="280"/>
      <c r="S329" s="280">
        <f>R320/12</f>
        <v>0</v>
      </c>
      <c r="T329" s="227">
        <f>NPV($C$236/12,S330:$S$1436)</f>
        <v>0</v>
      </c>
    </row>
    <row r="330" spans="16:20" x14ac:dyDescent="0.3">
      <c r="P330" s="310">
        <v>82</v>
      </c>
      <c r="Q330">
        <f t="shared" si="99"/>
        <v>0</v>
      </c>
      <c r="R330" s="280"/>
      <c r="S330" s="280">
        <f>R320/12</f>
        <v>0</v>
      </c>
      <c r="T330" s="227">
        <f>NPV($C$236/12,S331:$S$1436)</f>
        <v>0</v>
      </c>
    </row>
    <row r="331" spans="16:20" x14ac:dyDescent="0.3">
      <c r="P331" s="310">
        <v>83</v>
      </c>
      <c r="Q331">
        <f t="shared" si="99"/>
        <v>0</v>
      </c>
      <c r="R331" s="280"/>
      <c r="S331" s="280">
        <f>R320/12</f>
        <v>0</v>
      </c>
      <c r="T331" s="227">
        <f>NPV($C$236/12,S332:$S$1436)</f>
        <v>0</v>
      </c>
    </row>
    <row r="332" spans="16:20" x14ac:dyDescent="0.3">
      <c r="P332" s="310">
        <v>84</v>
      </c>
      <c r="Q332">
        <f t="shared" si="99"/>
        <v>8</v>
      </c>
      <c r="R332" s="280">
        <f>LOOKUP(Q332,$Q$243:$DK$243,$Q$244:$DK$244)</f>
        <v>0</v>
      </c>
      <c r="S332" s="280">
        <f>R320/12</f>
        <v>0</v>
      </c>
      <c r="T332" s="227">
        <f>NPV($C$236/12,S333:$S$1436)</f>
        <v>0</v>
      </c>
    </row>
    <row r="333" spans="16:20" x14ac:dyDescent="0.3">
      <c r="P333" s="310">
        <v>85</v>
      </c>
      <c r="Q333">
        <f t="shared" si="99"/>
        <v>0</v>
      </c>
      <c r="R333" s="280"/>
      <c r="S333" s="280">
        <f>R332/12</f>
        <v>0</v>
      </c>
      <c r="T333" s="227">
        <f>NPV($C$236/12,S334:$S$1436)</f>
        <v>0</v>
      </c>
    </row>
    <row r="334" spans="16:20" x14ac:dyDescent="0.3">
      <c r="P334" s="310">
        <v>86</v>
      </c>
      <c r="Q334">
        <f t="shared" si="99"/>
        <v>0</v>
      </c>
      <c r="R334" s="280"/>
      <c r="S334" s="280">
        <f>R332/12</f>
        <v>0</v>
      </c>
      <c r="T334" s="227">
        <f>NPV($C$236/12,S335:$S$1436)</f>
        <v>0</v>
      </c>
    </row>
    <row r="335" spans="16:20" x14ac:dyDescent="0.3">
      <c r="P335" s="310">
        <v>87</v>
      </c>
      <c r="Q335">
        <f t="shared" si="99"/>
        <v>0</v>
      </c>
      <c r="R335" s="280"/>
      <c r="S335" s="280">
        <f>R332/12</f>
        <v>0</v>
      </c>
      <c r="T335" s="227">
        <f>NPV($C$236/12,S336:$S$1436)</f>
        <v>0</v>
      </c>
    </row>
    <row r="336" spans="16:20" x14ac:dyDescent="0.3">
      <c r="P336" s="310">
        <v>88</v>
      </c>
      <c r="Q336">
        <f t="shared" si="99"/>
        <v>0</v>
      </c>
      <c r="R336" s="280"/>
      <c r="S336" s="280">
        <f>R332/12</f>
        <v>0</v>
      </c>
      <c r="T336" s="227">
        <f>NPV($C$236/12,S337:$S$1436)</f>
        <v>0</v>
      </c>
    </row>
    <row r="337" spans="16:20" x14ac:dyDescent="0.3">
      <c r="P337" s="310">
        <v>89</v>
      </c>
      <c r="Q337">
        <f t="shared" si="99"/>
        <v>0</v>
      </c>
      <c r="R337" s="280"/>
      <c r="S337" s="280">
        <f>R332/12</f>
        <v>0</v>
      </c>
      <c r="T337" s="227">
        <f>NPV($C$236/12,S338:$S$1436)</f>
        <v>0</v>
      </c>
    </row>
    <row r="338" spans="16:20" x14ac:dyDescent="0.3">
      <c r="P338" s="310">
        <v>90</v>
      </c>
      <c r="Q338">
        <f t="shared" si="99"/>
        <v>0</v>
      </c>
      <c r="R338" s="280"/>
      <c r="S338" s="280">
        <f>R332/12</f>
        <v>0</v>
      </c>
      <c r="T338" s="227">
        <f>NPV($C$236/12,S339:$S$1436)</f>
        <v>0</v>
      </c>
    </row>
    <row r="339" spans="16:20" x14ac:dyDescent="0.3">
      <c r="P339" s="310">
        <v>91</v>
      </c>
      <c r="Q339">
        <f t="shared" si="99"/>
        <v>0</v>
      </c>
      <c r="R339" s="280"/>
      <c r="S339" s="280">
        <f>R332/12</f>
        <v>0</v>
      </c>
      <c r="T339" s="227">
        <f>NPV($C$236/12,S340:$S$1436)</f>
        <v>0</v>
      </c>
    </row>
    <row r="340" spans="16:20" x14ac:dyDescent="0.3">
      <c r="P340" s="310">
        <v>92</v>
      </c>
      <c r="Q340">
        <f t="shared" si="99"/>
        <v>0</v>
      </c>
      <c r="R340" s="280"/>
      <c r="S340" s="280">
        <f>R332/12</f>
        <v>0</v>
      </c>
      <c r="T340" s="227">
        <f>NPV($C$236/12,S341:$S$1436)</f>
        <v>0</v>
      </c>
    </row>
    <row r="341" spans="16:20" x14ac:dyDescent="0.3">
      <c r="P341" s="310">
        <v>93</v>
      </c>
      <c r="Q341">
        <f t="shared" si="99"/>
        <v>0</v>
      </c>
      <c r="R341" s="280"/>
      <c r="S341" s="280">
        <f>R332/12</f>
        <v>0</v>
      </c>
      <c r="T341" s="227">
        <f>NPV($C$236/12,S342:$S$1436)</f>
        <v>0</v>
      </c>
    </row>
    <row r="342" spans="16:20" x14ac:dyDescent="0.3">
      <c r="P342" s="310">
        <v>94</v>
      </c>
      <c r="Q342">
        <f t="shared" si="99"/>
        <v>0</v>
      </c>
      <c r="R342" s="280"/>
      <c r="S342" s="280">
        <f>R332/12</f>
        <v>0</v>
      </c>
      <c r="T342" s="227">
        <f>NPV($C$236/12,S343:$S$1436)</f>
        <v>0</v>
      </c>
    </row>
    <row r="343" spans="16:20" x14ac:dyDescent="0.3">
      <c r="P343" s="310">
        <v>95</v>
      </c>
      <c r="Q343">
        <f t="shared" si="99"/>
        <v>0</v>
      </c>
      <c r="R343" s="280"/>
      <c r="S343" s="280">
        <f>R332/12</f>
        <v>0</v>
      </c>
      <c r="T343" s="227">
        <f>NPV($C$236/12,S344:$S$1436)</f>
        <v>0</v>
      </c>
    </row>
    <row r="344" spans="16:20" x14ac:dyDescent="0.3">
      <c r="P344" s="310">
        <v>96</v>
      </c>
      <c r="Q344">
        <f t="shared" si="99"/>
        <v>9</v>
      </c>
      <c r="R344" s="280">
        <f>LOOKUP(Q344,$Q$243:$DK$243,$Q$244:$DK$244)</f>
        <v>0</v>
      </c>
      <c r="S344" s="280">
        <f>R332/12</f>
        <v>0</v>
      </c>
      <c r="T344" s="227">
        <f>NPV($C$236/12,S345:$S$1436)</f>
        <v>0</v>
      </c>
    </row>
    <row r="345" spans="16:20" x14ac:dyDescent="0.3">
      <c r="P345" s="310">
        <v>97</v>
      </c>
      <c r="Q345">
        <f t="shared" si="99"/>
        <v>0</v>
      </c>
      <c r="R345" s="280"/>
      <c r="S345" s="280">
        <f>R344/12</f>
        <v>0</v>
      </c>
      <c r="T345" s="227">
        <f>NPV($C$236/12,S346:$S$1436)</f>
        <v>0</v>
      </c>
    </row>
    <row r="346" spans="16:20" x14ac:dyDescent="0.3">
      <c r="P346" s="310">
        <v>98</v>
      </c>
      <c r="Q346">
        <f t="shared" si="99"/>
        <v>0</v>
      </c>
      <c r="R346" s="280"/>
      <c r="S346" s="280">
        <f>R344/12</f>
        <v>0</v>
      </c>
      <c r="T346" s="227">
        <f>NPV($C$236/12,S347:$S$1436)</f>
        <v>0</v>
      </c>
    </row>
    <row r="347" spans="16:20" x14ac:dyDescent="0.3">
      <c r="P347" s="310">
        <v>99</v>
      </c>
      <c r="Q347">
        <f t="shared" si="99"/>
        <v>0</v>
      </c>
      <c r="R347" s="280"/>
      <c r="S347" s="280">
        <f>R344/12</f>
        <v>0</v>
      </c>
      <c r="T347" s="227">
        <f>NPV($C$236/12,S348:$S$1436)</f>
        <v>0</v>
      </c>
    </row>
    <row r="348" spans="16:20" x14ac:dyDescent="0.3">
      <c r="P348" s="310">
        <v>100</v>
      </c>
      <c r="Q348">
        <f t="shared" si="99"/>
        <v>0</v>
      </c>
      <c r="R348" s="280"/>
      <c r="S348" s="280">
        <f>R344/12</f>
        <v>0</v>
      </c>
      <c r="T348" s="227">
        <f>NPV($C$236/12,S349:$S$1436)</f>
        <v>0</v>
      </c>
    </row>
    <row r="349" spans="16:20" x14ac:dyDescent="0.3">
      <c r="P349" s="310">
        <v>101</v>
      </c>
      <c r="Q349">
        <f t="shared" si="99"/>
        <v>0</v>
      </c>
      <c r="R349" s="280"/>
      <c r="S349" s="280">
        <f>R344/12</f>
        <v>0</v>
      </c>
      <c r="T349" s="227">
        <f>NPV($C$236/12,S350:$S$1436)</f>
        <v>0</v>
      </c>
    </row>
    <row r="350" spans="16:20" x14ac:dyDescent="0.3">
      <c r="P350" s="310">
        <v>102</v>
      </c>
      <c r="Q350">
        <f t="shared" si="99"/>
        <v>0</v>
      </c>
      <c r="R350" s="280"/>
      <c r="S350" s="280">
        <f>R344/12</f>
        <v>0</v>
      </c>
      <c r="T350" s="227">
        <f>NPV($C$236/12,S351:$S$1436)</f>
        <v>0</v>
      </c>
    </row>
    <row r="351" spans="16:20" x14ac:dyDescent="0.3">
      <c r="P351" s="310">
        <v>103</v>
      </c>
      <c r="Q351">
        <f t="shared" si="99"/>
        <v>0</v>
      </c>
      <c r="R351" s="280"/>
      <c r="S351" s="280">
        <f>R344/12</f>
        <v>0</v>
      </c>
      <c r="T351" s="227">
        <f>NPV($C$236/12,S352:$S$1436)</f>
        <v>0</v>
      </c>
    </row>
    <row r="352" spans="16:20" x14ac:dyDescent="0.3">
      <c r="P352" s="310">
        <v>104</v>
      </c>
      <c r="Q352">
        <f t="shared" si="99"/>
        <v>0</v>
      </c>
      <c r="R352" s="280"/>
      <c r="S352" s="280">
        <f>R344/12</f>
        <v>0</v>
      </c>
      <c r="T352" s="227">
        <f>NPV($C$236/12,S353:$S$1436)</f>
        <v>0</v>
      </c>
    </row>
    <row r="353" spans="16:20" x14ac:dyDescent="0.3">
      <c r="P353" s="310">
        <v>105</v>
      </c>
      <c r="Q353">
        <f t="shared" si="99"/>
        <v>0</v>
      </c>
      <c r="R353" s="280"/>
      <c r="S353" s="280">
        <f>R344/12</f>
        <v>0</v>
      </c>
      <c r="T353" s="227">
        <f>NPV($C$236/12,S354:$S$1436)</f>
        <v>0</v>
      </c>
    </row>
    <row r="354" spans="16:20" x14ac:dyDescent="0.3">
      <c r="P354" s="310">
        <v>106</v>
      </c>
      <c r="Q354">
        <f t="shared" si="99"/>
        <v>0</v>
      </c>
      <c r="R354" s="280"/>
      <c r="S354" s="280">
        <f>R344/12</f>
        <v>0</v>
      </c>
      <c r="T354" s="227">
        <f>NPV($C$236/12,S355:$S$1436)</f>
        <v>0</v>
      </c>
    </row>
    <row r="355" spans="16:20" x14ac:dyDescent="0.3">
      <c r="P355" s="310">
        <v>107</v>
      </c>
      <c r="Q355">
        <f t="shared" si="99"/>
        <v>0</v>
      </c>
      <c r="R355" s="280"/>
      <c r="S355" s="280">
        <f>R344/12</f>
        <v>0</v>
      </c>
      <c r="T355" s="227">
        <f>NPV($C$236/12,S356:$S$1436)</f>
        <v>0</v>
      </c>
    </row>
    <row r="356" spans="16:20" x14ac:dyDescent="0.3">
      <c r="P356" s="310">
        <v>108</v>
      </c>
      <c r="Q356">
        <f t="shared" si="99"/>
        <v>10</v>
      </c>
      <c r="R356" s="280">
        <f>LOOKUP(Q356,$Q$243:$DK$243,$Q$244:$DK$244)</f>
        <v>0</v>
      </c>
      <c r="S356" s="280">
        <f>R344/12</f>
        <v>0</v>
      </c>
      <c r="T356" s="227">
        <f>NPV($C$236/12,S357:$S$1436)</f>
        <v>0</v>
      </c>
    </row>
    <row r="357" spans="16:20" x14ac:dyDescent="0.3">
      <c r="P357" s="310">
        <v>109</v>
      </c>
      <c r="Q357">
        <f t="shared" si="99"/>
        <v>0</v>
      </c>
      <c r="R357" s="280"/>
      <c r="S357" s="280">
        <f>R356/12</f>
        <v>0</v>
      </c>
      <c r="T357" s="227">
        <f>NPV($C$236/12,S358:$S$1436)</f>
        <v>0</v>
      </c>
    </row>
    <row r="358" spans="16:20" x14ac:dyDescent="0.3">
      <c r="P358" s="310">
        <v>110</v>
      </c>
      <c r="Q358">
        <f t="shared" si="99"/>
        <v>0</v>
      </c>
      <c r="R358" s="280"/>
      <c r="S358" s="280">
        <f>R356/12</f>
        <v>0</v>
      </c>
      <c r="T358" s="227">
        <f>NPV($C$236/12,S359:$S$1436)</f>
        <v>0</v>
      </c>
    </row>
    <row r="359" spans="16:20" x14ac:dyDescent="0.3">
      <c r="P359" s="310">
        <v>111</v>
      </c>
      <c r="Q359">
        <f t="shared" si="99"/>
        <v>0</v>
      </c>
      <c r="R359" s="280"/>
      <c r="S359" s="280">
        <f>R356/12</f>
        <v>0</v>
      </c>
      <c r="T359" s="227">
        <f>NPV($C$236/12,S360:$S$1436)</f>
        <v>0</v>
      </c>
    </row>
    <row r="360" spans="16:20" x14ac:dyDescent="0.3">
      <c r="P360" s="310">
        <v>112</v>
      </c>
      <c r="Q360">
        <f t="shared" si="99"/>
        <v>0</v>
      </c>
      <c r="R360" s="280"/>
      <c r="S360" s="280">
        <f>R356/12</f>
        <v>0</v>
      </c>
      <c r="T360" s="227">
        <f>NPV($C$236/12,S361:$S$1436)</f>
        <v>0</v>
      </c>
    </row>
    <row r="361" spans="16:20" x14ac:dyDescent="0.3">
      <c r="P361" s="310">
        <v>113</v>
      </c>
      <c r="Q361">
        <f t="shared" si="99"/>
        <v>0</v>
      </c>
      <c r="R361" s="280"/>
      <c r="S361" s="280">
        <f>R356/12</f>
        <v>0</v>
      </c>
      <c r="T361" s="227">
        <f>NPV($C$236/12,S362:$S$1436)</f>
        <v>0</v>
      </c>
    </row>
    <row r="362" spans="16:20" x14ac:dyDescent="0.3">
      <c r="P362" s="310">
        <v>114</v>
      </c>
      <c r="Q362">
        <f t="shared" si="99"/>
        <v>0</v>
      </c>
      <c r="R362" s="280"/>
      <c r="S362" s="280">
        <f>R356/12</f>
        <v>0</v>
      </c>
      <c r="T362" s="227">
        <f>NPV($C$236/12,S363:$S$1436)</f>
        <v>0</v>
      </c>
    </row>
    <row r="363" spans="16:20" x14ac:dyDescent="0.3">
      <c r="P363" s="310">
        <v>115</v>
      </c>
      <c r="Q363">
        <f t="shared" si="99"/>
        <v>0</v>
      </c>
      <c r="R363" s="280"/>
      <c r="S363" s="280">
        <f>R356/12</f>
        <v>0</v>
      </c>
      <c r="T363" s="227">
        <f>NPV($C$236/12,S364:$S$1436)</f>
        <v>0</v>
      </c>
    </row>
    <row r="364" spans="16:20" x14ac:dyDescent="0.3">
      <c r="P364" s="310">
        <v>116</v>
      </c>
      <c r="Q364">
        <f t="shared" si="99"/>
        <v>0</v>
      </c>
      <c r="R364" s="280"/>
      <c r="S364" s="280">
        <f>R356/12</f>
        <v>0</v>
      </c>
      <c r="T364" s="227">
        <f>NPV($C$236/12,S365:$S$1436)</f>
        <v>0</v>
      </c>
    </row>
    <row r="365" spans="16:20" x14ac:dyDescent="0.3">
      <c r="P365" s="310">
        <v>117</v>
      </c>
      <c r="Q365">
        <f t="shared" si="99"/>
        <v>0</v>
      </c>
      <c r="R365" s="280"/>
      <c r="S365" s="280">
        <f>R356/12</f>
        <v>0</v>
      </c>
      <c r="T365" s="227">
        <f>NPV($C$236/12,S366:$S$1436)</f>
        <v>0</v>
      </c>
    </row>
    <row r="366" spans="16:20" x14ac:dyDescent="0.3">
      <c r="P366" s="310">
        <v>118</v>
      </c>
      <c r="Q366">
        <f t="shared" si="99"/>
        <v>0</v>
      </c>
      <c r="R366" s="280"/>
      <c r="S366" s="280">
        <f>R356/12</f>
        <v>0</v>
      </c>
      <c r="T366" s="227">
        <f>NPV($C$236/12,S367:$S$1436)</f>
        <v>0</v>
      </c>
    </row>
    <row r="367" spans="16:20" x14ac:dyDescent="0.3">
      <c r="P367" s="310">
        <v>119</v>
      </c>
      <c r="Q367">
        <f t="shared" si="99"/>
        <v>0</v>
      </c>
      <c r="R367" s="280"/>
      <c r="S367" s="280">
        <f>R356/12</f>
        <v>0</v>
      </c>
      <c r="T367" s="227">
        <f>NPV($C$236/12,S368:$S$1436)</f>
        <v>0</v>
      </c>
    </row>
    <row r="368" spans="16:20" x14ac:dyDescent="0.3">
      <c r="P368" s="310">
        <v>120</v>
      </c>
      <c r="Q368">
        <f t="shared" si="99"/>
        <v>11</v>
      </c>
      <c r="R368" s="280">
        <f>LOOKUP(Q368,$Q$243:$DK$243,$Q$244:$DK$244)</f>
        <v>0</v>
      </c>
      <c r="S368" s="280">
        <f>R356/12</f>
        <v>0</v>
      </c>
      <c r="T368" s="227">
        <f>NPV($C$236/12,S369:$S$1436)</f>
        <v>0</v>
      </c>
    </row>
    <row r="369" spans="16:20" x14ac:dyDescent="0.3">
      <c r="P369" s="310">
        <v>121</v>
      </c>
      <c r="Q369">
        <f t="shared" si="99"/>
        <v>0</v>
      </c>
      <c r="R369" s="280"/>
      <c r="S369" s="280">
        <f>R368/12</f>
        <v>0</v>
      </c>
      <c r="T369" s="227">
        <f>NPV($C$236/12,S370:$S$1436)</f>
        <v>0</v>
      </c>
    </row>
    <row r="370" spans="16:20" x14ac:dyDescent="0.3">
      <c r="P370" s="310">
        <v>122</v>
      </c>
      <c r="Q370">
        <f t="shared" si="99"/>
        <v>0</v>
      </c>
      <c r="R370" s="280"/>
      <c r="S370" s="280">
        <f>R368/12</f>
        <v>0</v>
      </c>
      <c r="T370" s="227">
        <f>NPV($C$236/12,S371:$S$1436)</f>
        <v>0</v>
      </c>
    </row>
    <row r="371" spans="16:20" x14ac:dyDescent="0.3">
      <c r="P371" s="310">
        <v>123</v>
      </c>
      <c r="Q371">
        <f t="shared" si="99"/>
        <v>0</v>
      </c>
      <c r="R371" s="280"/>
      <c r="S371" s="280">
        <f>R368/12</f>
        <v>0</v>
      </c>
      <c r="T371" s="227">
        <f>NPV($C$236/12,S372:$S$1436)</f>
        <v>0</v>
      </c>
    </row>
    <row r="372" spans="16:20" x14ac:dyDescent="0.3">
      <c r="P372" s="310">
        <v>124</v>
      </c>
      <c r="Q372">
        <f t="shared" si="99"/>
        <v>0</v>
      </c>
      <c r="R372" s="280"/>
      <c r="S372" s="280">
        <f>R368/12</f>
        <v>0</v>
      </c>
      <c r="T372" s="227">
        <f>NPV($C$236/12,S373:$S$1436)</f>
        <v>0</v>
      </c>
    </row>
    <row r="373" spans="16:20" x14ac:dyDescent="0.3">
      <c r="P373" s="310">
        <v>125</v>
      </c>
      <c r="Q373">
        <f t="shared" si="99"/>
        <v>0</v>
      </c>
      <c r="R373" s="280"/>
      <c r="S373" s="280">
        <f>R368/12</f>
        <v>0</v>
      </c>
      <c r="T373" s="227">
        <f>NPV($C$236/12,S374:$S$1436)</f>
        <v>0</v>
      </c>
    </row>
    <row r="374" spans="16:20" x14ac:dyDescent="0.3">
      <c r="P374" s="310">
        <v>126</v>
      </c>
      <c r="Q374">
        <f t="shared" si="99"/>
        <v>0</v>
      </c>
      <c r="R374" s="280"/>
      <c r="S374" s="280">
        <f>R368/12</f>
        <v>0</v>
      </c>
      <c r="T374" s="227">
        <f>NPV($C$236/12,S375:$S$1436)</f>
        <v>0</v>
      </c>
    </row>
    <row r="375" spans="16:20" x14ac:dyDescent="0.3">
      <c r="P375" s="310">
        <v>127</v>
      </c>
      <c r="Q375">
        <f t="shared" si="99"/>
        <v>0</v>
      </c>
      <c r="R375" s="280"/>
      <c r="S375" s="280">
        <f>R368/12</f>
        <v>0</v>
      </c>
      <c r="T375" s="227">
        <f>NPV($C$236/12,S376:$S$1436)</f>
        <v>0</v>
      </c>
    </row>
    <row r="376" spans="16:20" x14ac:dyDescent="0.3">
      <c r="P376" s="310">
        <v>128</v>
      </c>
      <c r="Q376">
        <f t="shared" si="99"/>
        <v>0</v>
      </c>
      <c r="R376" s="280"/>
      <c r="S376" s="280">
        <f>R368/12</f>
        <v>0</v>
      </c>
      <c r="T376" s="227">
        <f>NPV($C$236/12,S377:$S$1436)</f>
        <v>0</v>
      </c>
    </row>
    <row r="377" spans="16:20" x14ac:dyDescent="0.3">
      <c r="P377" s="310">
        <v>129</v>
      </c>
      <c r="Q377">
        <f t="shared" ref="Q377:Q440" si="100">IF(MOD(P377,12)=0,(P377/12)+1,0)</f>
        <v>0</v>
      </c>
      <c r="R377" s="280"/>
      <c r="S377" s="280">
        <f>R368/12</f>
        <v>0</v>
      </c>
      <c r="T377" s="227">
        <f>NPV($C$236/12,S378:$S$1436)</f>
        <v>0</v>
      </c>
    </row>
    <row r="378" spans="16:20" x14ac:dyDescent="0.3">
      <c r="P378" s="310">
        <v>130</v>
      </c>
      <c r="Q378">
        <f t="shared" si="100"/>
        <v>0</v>
      </c>
      <c r="R378" s="280"/>
      <c r="S378" s="280">
        <f>R368/12</f>
        <v>0</v>
      </c>
      <c r="T378" s="227">
        <f>NPV($C$236/12,S379:$S$1436)</f>
        <v>0</v>
      </c>
    </row>
    <row r="379" spans="16:20" x14ac:dyDescent="0.3">
      <c r="P379" s="310">
        <v>131</v>
      </c>
      <c r="Q379">
        <f t="shared" si="100"/>
        <v>0</v>
      </c>
      <c r="R379" s="280"/>
      <c r="S379" s="280">
        <f>R368/12</f>
        <v>0</v>
      </c>
      <c r="T379" s="227">
        <f>NPV($C$236/12,S380:$S$1436)</f>
        <v>0</v>
      </c>
    </row>
    <row r="380" spans="16:20" x14ac:dyDescent="0.3">
      <c r="P380" s="310">
        <v>132</v>
      </c>
      <c r="Q380">
        <f t="shared" si="100"/>
        <v>12</v>
      </c>
      <c r="R380" s="280">
        <f>LOOKUP(Q380,$Q$243:$DK$243,$Q$244:$DK$244)</f>
        <v>0</v>
      </c>
      <c r="S380" s="280">
        <f>R368/12</f>
        <v>0</v>
      </c>
      <c r="T380" s="227">
        <f>NPV($C$236/12,S381:$S$1436)</f>
        <v>0</v>
      </c>
    </row>
    <row r="381" spans="16:20" x14ac:dyDescent="0.3">
      <c r="P381" s="310">
        <v>133</v>
      </c>
      <c r="Q381">
        <f t="shared" si="100"/>
        <v>0</v>
      </c>
      <c r="R381" s="280"/>
      <c r="S381" s="280">
        <f>R380/12</f>
        <v>0</v>
      </c>
      <c r="T381" s="227">
        <f>NPV($C$236/12,S382:$S$1436)</f>
        <v>0</v>
      </c>
    </row>
    <row r="382" spans="16:20" x14ac:dyDescent="0.3">
      <c r="P382" s="310">
        <v>134</v>
      </c>
      <c r="Q382">
        <f t="shared" si="100"/>
        <v>0</v>
      </c>
      <c r="R382" s="280"/>
      <c r="S382" s="280">
        <f>R380/12</f>
        <v>0</v>
      </c>
      <c r="T382" s="227">
        <f>NPV($C$236/12,S383:$S$1436)</f>
        <v>0</v>
      </c>
    </row>
    <row r="383" spans="16:20" x14ac:dyDescent="0.3">
      <c r="P383" s="310">
        <v>135</v>
      </c>
      <c r="Q383">
        <f t="shared" si="100"/>
        <v>0</v>
      </c>
      <c r="R383" s="280"/>
      <c r="S383" s="280">
        <f>R380/12</f>
        <v>0</v>
      </c>
      <c r="T383" s="227">
        <f>NPV($C$236/12,S384:$S$1436)</f>
        <v>0</v>
      </c>
    </row>
    <row r="384" spans="16:20" x14ac:dyDescent="0.3">
      <c r="P384" s="310">
        <v>136</v>
      </c>
      <c r="Q384">
        <f t="shared" si="100"/>
        <v>0</v>
      </c>
      <c r="R384" s="280"/>
      <c r="S384" s="280">
        <f>R380/12</f>
        <v>0</v>
      </c>
      <c r="T384" s="227">
        <f>NPV($C$236/12,S385:$S$1436)</f>
        <v>0</v>
      </c>
    </row>
    <row r="385" spans="16:20" x14ac:dyDescent="0.3">
      <c r="P385" s="310">
        <v>137</v>
      </c>
      <c r="Q385">
        <f t="shared" si="100"/>
        <v>0</v>
      </c>
      <c r="R385" s="280"/>
      <c r="S385" s="280">
        <f>R380/12</f>
        <v>0</v>
      </c>
      <c r="T385" s="227">
        <f>NPV($C$236/12,S386:$S$1436)</f>
        <v>0</v>
      </c>
    </row>
    <row r="386" spans="16:20" x14ac:dyDescent="0.3">
      <c r="P386" s="310">
        <v>138</v>
      </c>
      <c r="Q386">
        <f t="shared" si="100"/>
        <v>0</v>
      </c>
      <c r="R386" s="280"/>
      <c r="S386" s="280">
        <f>R380/12</f>
        <v>0</v>
      </c>
      <c r="T386" s="227">
        <f>NPV($C$236/12,S387:$S$1436)</f>
        <v>0</v>
      </c>
    </row>
    <row r="387" spans="16:20" x14ac:dyDescent="0.3">
      <c r="P387" s="310">
        <v>139</v>
      </c>
      <c r="Q387">
        <f t="shared" si="100"/>
        <v>0</v>
      </c>
      <c r="R387" s="280"/>
      <c r="S387" s="280">
        <f>R380/12</f>
        <v>0</v>
      </c>
      <c r="T387" s="227">
        <f>NPV($C$236/12,S388:$S$1436)</f>
        <v>0</v>
      </c>
    </row>
    <row r="388" spans="16:20" x14ac:dyDescent="0.3">
      <c r="P388" s="310">
        <v>140</v>
      </c>
      <c r="Q388">
        <f t="shared" si="100"/>
        <v>0</v>
      </c>
      <c r="R388" s="280"/>
      <c r="S388" s="280">
        <f>R380/12</f>
        <v>0</v>
      </c>
      <c r="T388" s="227">
        <f>NPV($C$236/12,S389:$S$1436)</f>
        <v>0</v>
      </c>
    </row>
    <row r="389" spans="16:20" x14ac:dyDescent="0.3">
      <c r="P389" s="310">
        <v>141</v>
      </c>
      <c r="Q389">
        <f t="shared" si="100"/>
        <v>0</v>
      </c>
      <c r="R389" s="280"/>
      <c r="S389" s="280">
        <f>R380/12</f>
        <v>0</v>
      </c>
      <c r="T389" s="227">
        <f>NPV($C$236/12,S390:$S$1436)</f>
        <v>0</v>
      </c>
    </row>
    <row r="390" spans="16:20" x14ac:dyDescent="0.3">
      <c r="P390" s="310">
        <v>142</v>
      </c>
      <c r="Q390">
        <f t="shared" si="100"/>
        <v>0</v>
      </c>
      <c r="R390" s="280"/>
      <c r="S390" s="280">
        <f>R380/12</f>
        <v>0</v>
      </c>
      <c r="T390" s="227">
        <f>NPV($C$236/12,S391:$S$1436)</f>
        <v>0</v>
      </c>
    </row>
    <row r="391" spans="16:20" x14ac:dyDescent="0.3">
      <c r="P391" s="310">
        <v>143</v>
      </c>
      <c r="Q391">
        <f t="shared" si="100"/>
        <v>0</v>
      </c>
      <c r="R391" s="280"/>
      <c r="S391" s="280">
        <f>R380/12</f>
        <v>0</v>
      </c>
      <c r="T391" s="227">
        <f>NPV($C$236/12,S392:$S$1436)</f>
        <v>0</v>
      </c>
    </row>
    <row r="392" spans="16:20" x14ac:dyDescent="0.3">
      <c r="P392" s="310">
        <v>144</v>
      </c>
      <c r="Q392">
        <f t="shared" si="100"/>
        <v>13</v>
      </c>
      <c r="R392" s="280">
        <f>LOOKUP(Q392,$Q$243:$DK$243,$Q$244:$DK$244)</f>
        <v>0</v>
      </c>
      <c r="S392" s="280">
        <f>R380/12</f>
        <v>0</v>
      </c>
      <c r="T392" s="227">
        <f>NPV($C$236/12,S393:$S$1436)</f>
        <v>0</v>
      </c>
    </row>
    <row r="393" spans="16:20" x14ac:dyDescent="0.3">
      <c r="P393" s="310">
        <v>145</v>
      </c>
      <c r="Q393">
        <f t="shared" si="100"/>
        <v>0</v>
      </c>
      <c r="R393" s="280"/>
      <c r="S393" s="280">
        <f>R392/12</f>
        <v>0</v>
      </c>
      <c r="T393" s="227">
        <f>NPV($C$236/12,S394:$S$1436)</f>
        <v>0</v>
      </c>
    </row>
    <row r="394" spans="16:20" x14ac:dyDescent="0.3">
      <c r="P394" s="310">
        <v>146</v>
      </c>
      <c r="Q394">
        <f t="shared" si="100"/>
        <v>0</v>
      </c>
      <c r="R394" s="280"/>
      <c r="S394" s="280">
        <f>R392/12</f>
        <v>0</v>
      </c>
      <c r="T394" s="227">
        <f>NPV($C$236/12,S395:$S$1436)</f>
        <v>0</v>
      </c>
    </row>
    <row r="395" spans="16:20" x14ac:dyDescent="0.3">
      <c r="P395" s="310">
        <v>147</v>
      </c>
      <c r="Q395">
        <f t="shared" si="100"/>
        <v>0</v>
      </c>
      <c r="R395" s="280"/>
      <c r="S395" s="280">
        <f>R392/12</f>
        <v>0</v>
      </c>
      <c r="T395" s="227">
        <f>NPV($C$236/12,S396:$S$1436)</f>
        <v>0</v>
      </c>
    </row>
    <row r="396" spans="16:20" x14ac:dyDescent="0.3">
      <c r="P396" s="310">
        <v>148</v>
      </c>
      <c r="Q396">
        <f t="shared" si="100"/>
        <v>0</v>
      </c>
      <c r="R396" s="280"/>
      <c r="S396" s="280">
        <f>R392/12</f>
        <v>0</v>
      </c>
      <c r="T396" s="227">
        <f>NPV($C$236/12,S397:$S$1436)</f>
        <v>0</v>
      </c>
    </row>
    <row r="397" spans="16:20" x14ac:dyDescent="0.3">
      <c r="P397" s="310">
        <v>149</v>
      </c>
      <c r="Q397">
        <f t="shared" si="100"/>
        <v>0</v>
      </c>
      <c r="R397" s="280"/>
      <c r="S397" s="280">
        <f>R392/12</f>
        <v>0</v>
      </c>
      <c r="T397" s="227">
        <f>NPV($C$236/12,S398:$S$1436)</f>
        <v>0</v>
      </c>
    </row>
    <row r="398" spans="16:20" x14ac:dyDescent="0.3">
      <c r="P398" s="310">
        <v>150</v>
      </c>
      <c r="Q398">
        <f t="shared" si="100"/>
        <v>0</v>
      </c>
      <c r="R398" s="280"/>
      <c r="S398" s="280">
        <f>R392/12</f>
        <v>0</v>
      </c>
      <c r="T398" s="227">
        <f>NPV($C$236/12,S399:$S$1436)</f>
        <v>0</v>
      </c>
    </row>
    <row r="399" spans="16:20" x14ac:dyDescent="0.3">
      <c r="P399" s="310">
        <v>151</v>
      </c>
      <c r="Q399">
        <f t="shared" si="100"/>
        <v>0</v>
      </c>
      <c r="R399" s="280"/>
      <c r="S399" s="280">
        <f>R392/12</f>
        <v>0</v>
      </c>
      <c r="T399" s="227">
        <f>NPV($C$236/12,S400:$S$1436)</f>
        <v>0</v>
      </c>
    </row>
    <row r="400" spans="16:20" x14ac:dyDescent="0.3">
      <c r="P400" s="310">
        <v>152</v>
      </c>
      <c r="Q400">
        <f t="shared" si="100"/>
        <v>0</v>
      </c>
      <c r="R400" s="280"/>
      <c r="S400" s="280">
        <f>R392/12</f>
        <v>0</v>
      </c>
      <c r="T400" s="227">
        <f>NPV($C$236/12,S401:$S$1436)</f>
        <v>0</v>
      </c>
    </row>
    <row r="401" spans="16:20" x14ac:dyDescent="0.3">
      <c r="P401" s="310">
        <v>153</v>
      </c>
      <c r="Q401">
        <f t="shared" si="100"/>
        <v>0</v>
      </c>
      <c r="R401" s="280"/>
      <c r="S401" s="280">
        <f>R392/12</f>
        <v>0</v>
      </c>
      <c r="T401" s="227">
        <f>NPV($C$236/12,S402:$S$1436)</f>
        <v>0</v>
      </c>
    </row>
    <row r="402" spans="16:20" x14ac:dyDescent="0.3">
      <c r="P402" s="310">
        <v>154</v>
      </c>
      <c r="Q402">
        <f t="shared" si="100"/>
        <v>0</v>
      </c>
      <c r="R402" s="280"/>
      <c r="S402" s="280">
        <f>R392/12</f>
        <v>0</v>
      </c>
      <c r="T402" s="227">
        <f>NPV($C$236/12,S403:$S$1436)</f>
        <v>0</v>
      </c>
    </row>
    <row r="403" spans="16:20" x14ac:dyDescent="0.3">
      <c r="P403" s="310">
        <v>155</v>
      </c>
      <c r="Q403">
        <f t="shared" si="100"/>
        <v>0</v>
      </c>
      <c r="R403" s="280"/>
      <c r="S403" s="280">
        <f>R392/12</f>
        <v>0</v>
      </c>
      <c r="T403" s="227">
        <f>NPV($C$236/12,S404:$S$1436)</f>
        <v>0</v>
      </c>
    </row>
    <row r="404" spans="16:20" x14ac:dyDescent="0.3">
      <c r="P404" s="310">
        <v>156</v>
      </c>
      <c r="Q404">
        <f t="shared" si="100"/>
        <v>14</v>
      </c>
      <c r="R404" s="280">
        <f>LOOKUP(Q404,$Q$243:$DK$243,$Q$244:$DK$244)</f>
        <v>0</v>
      </c>
      <c r="S404" s="280">
        <f>R392/12</f>
        <v>0</v>
      </c>
      <c r="T404" s="227">
        <f>NPV($C$236/12,S405:$S$1436)</f>
        <v>0</v>
      </c>
    </row>
    <row r="405" spans="16:20" x14ac:dyDescent="0.3">
      <c r="P405" s="310">
        <v>157</v>
      </c>
      <c r="Q405">
        <f t="shared" si="100"/>
        <v>0</v>
      </c>
      <c r="R405" s="280"/>
      <c r="S405" s="280">
        <f>R404/12</f>
        <v>0</v>
      </c>
      <c r="T405" s="227">
        <f>NPV($C$236/12,S406:$S$1436)</f>
        <v>0</v>
      </c>
    </row>
    <row r="406" spans="16:20" x14ac:dyDescent="0.3">
      <c r="P406" s="310">
        <v>158</v>
      </c>
      <c r="Q406">
        <f t="shared" si="100"/>
        <v>0</v>
      </c>
      <c r="R406" s="280"/>
      <c r="S406" s="280">
        <f>R404/12</f>
        <v>0</v>
      </c>
      <c r="T406" s="227">
        <f>NPV($C$236/12,S407:$S$1436)</f>
        <v>0</v>
      </c>
    </row>
    <row r="407" spans="16:20" x14ac:dyDescent="0.3">
      <c r="P407" s="310">
        <v>159</v>
      </c>
      <c r="Q407">
        <f t="shared" si="100"/>
        <v>0</v>
      </c>
      <c r="R407" s="280"/>
      <c r="S407" s="280">
        <f>R404/12</f>
        <v>0</v>
      </c>
      <c r="T407" s="227">
        <f>NPV($C$236/12,S408:$S$1436)</f>
        <v>0</v>
      </c>
    </row>
    <row r="408" spans="16:20" x14ac:dyDescent="0.3">
      <c r="P408" s="310">
        <v>160</v>
      </c>
      <c r="Q408">
        <f t="shared" si="100"/>
        <v>0</v>
      </c>
      <c r="R408" s="280"/>
      <c r="S408" s="280">
        <f>R404/12</f>
        <v>0</v>
      </c>
      <c r="T408" s="227">
        <f>NPV($C$236/12,S409:$S$1436)</f>
        <v>0</v>
      </c>
    </row>
    <row r="409" spans="16:20" x14ac:dyDescent="0.3">
      <c r="P409" s="310">
        <v>161</v>
      </c>
      <c r="Q409">
        <f t="shared" si="100"/>
        <v>0</v>
      </c>
      <c r="R409" s="280"/>
      <c r="S409" s="280">
        <f>R404/12</f>
        <v>0</v>
      </c>
      <c r="T409" s="227">
        <f>NPV($C$236/12,S410:$S$1436)</f>
        <v>0</v>
      </c>
    </row>
    <row r="410" spans="16:20" x14ac:dyDescent="0.3">
      <c r="P410" s="310">
        <v>162</v>
      </c>
      <c r="Q410">
        <f t="shared" si="100"/>
        <v>0</v>
      </c>
      <c r="R410" s="280"/>
      <c r="S410" s="280">
        <f>R404/12</f>
        <v>0</v>
      </c>
      <c r="T410" s="227">
        <f>NPV($C$236/12,S411:$S$1436)</f>
        <v>0</v>
      </c>
    </row>
    <row r="411" spans="16:20" x14ac:dyDescent="0.3">
      <c r="P411" s="310">
        <v>163</v>
      </c>
      <c r="Q411">
        <f t="shared" si="100"/>
        <v>0</v>
      </c>
      <c r="R411" s="280"/>
      <c r="S411" s="280">
        <f>R404/12</f>
        <v>0</v>
      </c>
      <c r="T411" s="227">
        <f>NPV($C$236/12,S412:$S$1436)</f>
        <v>0</v>
      </c>
    </row>
    <row r="412" spans="16:20" x14ac:dyDescent="0.3">
      <c r="P412" s="310">
        <v>164</v>
      </c>
      <c r="Q412">
        <f t="shared" si="100"/>
        <v>0</v>
      </c>
      <c r="R412" s="280"/>
      <c r="S412" s="280">
        <f>R404/12</f>
        <v>0</v>
      </c>
      <c r="T412" s="227">
        <f>NPV($C$236/12,S413:$S$1436)</f>
        <v>0</v>
      </c>
    </row>
    <row r="413" spans="16:20" x14ac:dyDescent="0.3">
      <c r="P413" s="310">
        <v>165</v>
      </c>
      <c r="Q413">
        <f t="shared" si="100"/>
        <v>0</v>
      </c>
      <c r="R413" s="280"/>
      <c r="S413" s="280">
        <f>R404/12</f>
        <v>0</v>
      </c>
      <c r="T413" s="227">
        <f>NPV($C$236/12,S414:$S$1436)</f>
        <v>0</v>
      </c>
    </row>
    <row r="414" spans="16:20" x14ac:dyDescent="0.3">
      <c r="P414" s="310">
        <v>166</v>
      </c>
      <c r="Q414">
        <f t="shared" si="100"/>
        <v>0</v>
      </c>
      <c r="R414" s="280"/>
      <c r="S414" s="280">
        <f>R404/12</f>
        <v>0</v>
      </c>
      <c r="T414" s="227">
        <f>NPV($C$236/12,S415:$S$1436)</f>
        <v>0</v>
      </c>
    </row>
    <row r="415" spans="16:20" x14ac:dyDescent="0.3">
      <c r="P415" s="310">
        <v>167</v>
      </c>
      <c r="Q415">
        <f t="shared" si="100"/>
        <v>0</v>
      </c>
      <c r="R415" s="280"/>
      <c r="S415" s="280">
        <f>R404/12</f>
        <v>0</v>
      </c>
      <c r="T415" s="227">
        <f>NPV($C$236/12,S416:$S$1436)</f>
        <v>0</v>
      </c>
    </row>
    <row r="416" spans="16:20" x14ac:dyDescent="0.3">
      <c r="P416" s="310">
        <v>168</v>
      </c>
      <c r="Q416">
        <f t="shared" si="100"/>
        <v>15</v>
      </c>
      <c r="R416" s="280">
        <f>LOOKUP(Q416,$Q$243:$DK$243,$Q$244:$DK$244)</f>
        <v>0</v>
      </c>
      <c r="S416" s="280">
        <f>R404/12</f>
        <v>0</v>
      </c>
      <c r="T416" s="227">
        <f>NPV($C$236/12,S417:$S$1436)</f>
        <v>0</v>
      </c>
    </row>
    <row r="417" spans="16:20" x14ac:dyDescent="0.3">
      <c r="P417" s="310">
        <v>169</v>
      </c>
      <c r="Q417">
        <f t="shared" si="100"/>
        <v>0</v>
      </c>
      <c r="R417" s="280"/>
      <c r="S417" s="280">
        <f>R416/12</f>
        <v>0</v>
      </c>
      <c r="T417" s="227">
        <f>NPV($C$236/12,S418:$S$1436)</f>
        <v>0</v>
      </c>
    </row>
    <row r="418" spans="16:20" x14ac:dyDescent="0.3">
      <c r="P418" s="310">
        <v>170</v>
      </c>
      <c r="Q418">
        <f t="shared" si="100"/>
        <v>0</v>
      </c>
      <c r="R418" s="280"/>
      <c r="S418" s="280">
        <f>R416/12</f>
        <v>0</v>
      </c>
      <c r="T418" s="227">
        <f>NPV($C$236/12,S419:$S$1436)</f>
        <v>0</v>
      </c>
    </row>
    <row r="419" spans="16:20" x14ac:dyDescent="0.3">
      <c r="P419" s="310">
        <v>171</v>
      </c>
      <c r="Q419">
        <f t="shared" si="100"/>
        <v>0</v>
      </c>
      <c r="R419" s="280"/>
      <c r="S419" s="280">
        <f>R416/12</f>
        <v>0</v>
      </c>
      <c r="T419" s="227">
        <f>NPV($C$236/12,S420:$S$1436)</f>
        <v>0</v>
      </c>
    </row>
    <row r="420" spans="16:20" x14ac:dyDescent="0.3">
      <c r="P420" s="310">
        <v>172</v>
      </c>
      <c r="Q420">
        <f t="shared" si="100"/>
        <v>0</v>
      </c>
      <c r="R420" s="280"/>
      <c r="S420" s="280">
        <f>R416/12</f>
        <v>0</v>
      </c>
      <c r="T420" s="227">
        <f>NPV($C$236/12,S421:$S$1436)</f>
        <v>0</v>
      </c>
    </row>
    <row r="421" spans="16:20" x14ac:dyDescent="0.3">
      <c r="P421" s="310">
        <v>173</v>
      </c>
      <c r="Q421">
        <f t="shared" si="100"/>
        <v>0</v>
      </c>
      <c r="R421" s="280"/>
      <c r="S421" s="280">
        <f>R416/12</f>
        <v>0</v>
      </c>
      <c r="T421" s="227">
        <f>NPV($C$236/12,S422:$S$1436)</f>
        <v>0</v>
      </c>
    </row>
    <row r="422" spans="16:20" x14ac:dyDescent="0.3">
      <c r="P422" s="310">
        <v>174</v>
      </c>
      <c r="Q422">
        <f t="shared" si="100"/>
        <v>0</v>
      </c>
      <c r="R422" s="280"/>
      <c r="S422" s="280">
        <f>R416/12</f>
        <v>0</v>
      </c>
      <c r="T422" s="227">
        <f>NPV($C$236/12,S423:$S$1436)</f>
        <v>0</v>
      </c>
    </row>
    <row r="423" spans="16:20" x14ac:dyDescent="0.3">
      <c r="P423" s="310">
        <v>175</v>
      </c>
      <c r="Q423">
        <f t="shared" si="100"/>
        <v>0</v>
      </c>
      <c r="R423" s="280"/>
      <c r="S423" s="280">
        <f>R416/12</f>
        <v>0</v>
      </c>
      <c r="T423" s="227">
        <f>NPV($C$236/12,S424:$S$1436)</f>
        <v>0</v>
      </c>
    </row>
    <row r="424" spans="16:20" x14ac:dyDescent="0.3">
      <c r="P424" s="310">
        <v>176</v>
      </c>
      <c r="Q424">
        <f t="shared" si="100"/>
        <v>0</v>
      </c>
      <c r="R424" s="280"/>
      <c r="S424" s="280">
        <f>R416/12</f>
        <v>0</v>
      </c>
      <c r="T424" s="227">
        <f>NPV($C$236/12,S425:$S$1436)</f>
        <v>0</v>
      </c>
    </row>
    <row r="425" spans="16:20" x14ac:dyDescent="0.3">
      <c r="P425" s="310">
        <v>177</v>
      </c>
      <c r="Q425">
        <f t="shared" si="100"/>
        <v>0</v>
      </c>
      <c r="R425" s="280"/>
      <c r="S425" s="280">
        <f>R416/12</f>
        <v>0</v>
      </c>
      <c r="T425" s="227">
        <f>NPV($C$236/12,S426:$S$1436)</f>
        <v>0</v>
      </c>
    </row>
    <row r="426" spans="16:20" x14ac:dyDescent="0.3">
      <c r="P426" s="310">
        <v>178</v>
      </c>
      <c r="Q426">
        <f t="shared" si="100"/>
        <v>0</v>
      </c>
      <c r="R426" s="280"/>
      <c r="S426" s="280">
        <f>R416/12</f>
        <v>0</v>
      </c>
      <c r="T426" s="227">
        <f>NPV($C$236/12,S427:$S$1436)</f>
        <v>0</v>
      </c>
    </row>
    <row r="427" spans="16:20" x14ac:dyDescent="0.3">
      <c r="P427" s="310">
        <v>179</v>
      </c>
      <c r="Q427">
        <f t="shared" si="100"/>
        <v>0</v>
      </c>
      <c r="R427" s="280"/>
      <c r="S427" s="280">
        <f>R416/12</f>
        <v>0</v>
      </c>
      <c r="T427" s="227">
        <f>NPV($C$236/12,S428:$S$1436)</f>
        <v>0</v>
      </c>
    </row>
    <row r="428" spans="16:20" x14ac:dyDescent="0.3">
      <c r="P428" s="310">
        <v>180</v>
      </c>
      <c r="Q428">
        <f t="shared" si="100"/>
        <v>16</v>
      </c>
      <c r="R428" s="280">
        <f>LOOKUP(Q428,$Q$243:$DK$243,$Q$244:$DK$244)</f>
        <v>0</v>
      </c>
      <c r="S428" s="280">
        <f>R416/12</f>
        <v>0</v>
      </c>
      <c r="T428" s="227">
        <f>NPV($C$236/12,S429:$S$1436)</f>
        <v>0</v>
      </c>
    </row>
    <row r="429" spans="16:20" x14ac:dyDescent="0.3">
      <c r="P429" s="310">
        <v>181</v>
      </c>
      <c r="Q429">
        <f t="shared" si="100"/>
        <v>0</v>
      </c>
      <c r="R429" s="280"/>
      <c r="S429" s="280">
        <f>R428/12</f>
        <v>0</v>
      </c>
      <c r="T429" s="227">
        <f>NPV($C$236/12,S430:$S$1436)</f>
        <v>0</v>
      </c>
    </row>
    <row r="430" spans="16:20" x14ac:dyDescent="0.3">
      <c r="P430" s="310">
        <v>182</v>
      </c>
      <c r="Q430">
        <f t="shared" si="100"/>
        <v>0</v>
      </c>
      <c r="R430" s="280"/>
      <c r="S430" s="280">
        <f>R428/12</f>
        <v>0</v>
      </c>
      <c r="T430" s="227">
        <f>NPV($C$236/12,S431:$S$1436)</f>
        <v>0</v>
      </c>
    </row>
    <row r="431" spans="16:20" x14ac:dyDescent="0.3">
      <c r="P431" s="310">
        <v>183</v>
      </c>
      <c r="Q431">
        <f t="shared" si="100"/>
        <v>0</v>
      </c>
      <c r="R431" s="280"/>
      <c r="S431" s="280">
        <f>R428/12</f>
        <v>0</v>
      </c>
      <c r="T431" s="227">
        <f>NPV($C$236/12,S432:$S$1436)</f>
        <v>0</v>
      </c>
    </row>
    <row r="432" spans="16:20" x14ac:dyDescent="0.3">
      <c r="P432" s="310">
        <v>184</v>
      </c>
      <c r="Q432">
        <f t="shared" si="100"/>
        <v>0</v>
      </c>
      <c r="R432" s="280"/>
      <c r="S432" s="280">
        <f>R428/12</f>
        <v>0</v>
      </c>
      <c r="T432" s="227">
        <f>NPV($C$236/12,S433:$S$1436)</f>
        <v>0</v>
      </c>
    </row>
    <row r="433" spans="16:20" x14ac:dyDescent="0.3">
      <c r="P433" s="310">
        <v>185</v>
      </c>
      <c r="Q433">
        <f t="shared" si="100"/>
        <v>0</v>
      </c>
      <c r="R433" s="280"/>
      <c r="S433" s="280">
        <f>R428/12</f>
        <v>0</v>
      </c>
      <c r="T433" s="227">
        <f>NPV($C$236/12,S434:$S$1436)</f>
        <v>0</v>
      </c>
    </row>
    <row r="434" spans="16:20" x14ac:dyDescent="0.3">
      <c r="P434" s="310">
        <v>186</v>
      </c>
      <c r="Q434">
        <f t="shared" si="100"/>
        <v>0</v>
      </c>
      <c r="R434" s="280"/>
      <c r="S434" s="280">
        <f>R428/12</f>
        <v>0</v>
      </c>
      <c r="T434" s="227">
        <f>NPV($C$236/12,S435:$S$1436)</f>
        <v>0</v>
      </c>
    </row>
    <row r="435" spans="16:20" x14ac:dyDescent="0.3">
      <c r="P435" s="310">
        <v>187</v>
      </c>
      <c r="Q435">
        <f t="shared" si="100"/>
        <v>0</v>
      </c>
      <c r="R435" s="280"/>
      <c r="S435" s="280">
        <f>R428/12</f>
        <v>0</v>
      </c>
      <c r="T435" s="227">
        <f>NPV($C$236/12,S436:$S$1436)</f>
        <v>0</v>
      </c>
    </row>
    <row r="436" spans="16:20" x14ac:dyDescent="0.3">
      <c r="P436" s="310">
        <v>188</v>
      </c>
      <c r="Q436">
        <f t="shared" si="100"/>
        <v>0</v>
      </c>
      <c r="R436" s="280"/>
      <c r="S436" s="280">
        <f>R428/12</f>
        <v>0</v>
      </c>
      <c r="T436" s="227">
        <f>NPV($C$236/12,S437:$S$1436)</f>
        <v>0</v>
      </c>
    </row>
    <row r="437" spans="16:20" x14ac:dyDescent="0.3">
      <c r="P437" s="310">
        <v>189</v>
      </c>
      <c r="Q437">
        <f t="shared" si="100"/>
        <v>0</v>
      </c>
      <c r="R437" s="280"/>
      <c r="S437" s="280">
        <f>R428/12</f>
        <v>0</v>
      </c>
      <c r="T437" s="227">
        <f>NPV($C$236/12,S438:$S$1436)</f>
        <v>0</v>
      </c>
    </row>
    <row r="438" spans="16:20" x14ac:dyDescent="0.3">
      <c r="P438" s="310">
        <v>190</v>
      </c>
      <c r="Q438">
        <f t="shared" si="100"/>
        <v>0</v>
      </c>
      <c r="R438" s="280"/>
      <c r="S438" s="280">
        <f>R428/12</f>
        <v>0</v>
      </c>
      <c r="T438" s="227">
        <f>NPV($C$236/12,S439:$S$1436)</f>
        <v>0</v>
      </c>
    </row>
    <row r="439" spans="16:20" x14ac:dyDescent="0.3">
      <c r="P439" s="310">
        <v>191</v>
      </c>
      <c r="Q439">
        <f t="shared" si="100"/>
        <v>0</v>
      </c>
      <c r="R439" s="280"/>
      <c r="S439" s="280">
        <f>R428/12</f>
        <v>0</v>
      </c>
      <c r="T439" s="227">
        <f>NPV($C$236/12,S440:$S$1436)</f>
        <v>0</v>
      </c>
    </row>
    <row r="440" spans="16:20" x14ac:dyDescent="0.3">
      <c r="P440" s="310">
        <v>192</v>
      </c>
      <c r="Q440">
        <f t="shared" si="100"/>
        <v>17</v>
      </c>
      <c r="R440" s="280">
        <f>LOOKUP(Q440,$Q$243:$DK$243,$Q$244:$DK$244)</f>
        <v>0</v>
      </c>
      <c r="S440" s="280">
        <f>R428/12</f>
        <v>0</v>
      </c>
      <c r="T440" s="227">
        <f>NPV($C$236/12,S441:$S$1436)</f>
        <v>0</v>
      </c>
    </row>
    <row r="441" spans="16:20" x14ac:dyDescent="0.3">
      <c r="P441" s="310">
        <v>193</v>
      </c>
      <c r="Q441">
        <f t="shared" ref="Q441:Q504" si="101">IF(MOD(P441,12)=0,(P441/12)+1,0)</f>
        <v>0</v>
      </c>
      <c r="R441" s="280"/>
      <c r="S441" s="280">
        <f>R440/12</f>
        <v>0</v>
      </c>
      <c r="T441" s="227">
        <f>NPV($C$236/12,S442:$S$1436)</f>
        <v>0</v>
      </c>
    </row>
    <row r="442" spans="16:20" x14ac:dyDescent="0.3">
      <c r="P442" s="310">
        <v>194</v>
      </c>
      <c r="Q442">
        <f t="shared" si="101"/>
        <v>0</v>
      </c>
      <c r="R442" s="280"/>
      <c r="S442" s="280">
        <f>R440/12</f>
        <v>0</v>
      </c>
      <c r="T442" s="227">
        <f>NPV($C$236/12,S443:$S$1436)</f>
        <v>0</v>
      </c>
    </row>
    <row r="443" spans="16:20" x14ac:dyDescent="0.3">
      <c r="P443" s="310">
        <v>195</v>
      </c>
      <c r="Q443">
        <f t="shared" si="101"/>
        <v>0</v>
      </c>
      <c r="R443" s="280"/>
      <c r="S443" s="280">
        <f>R440/12</f>
        <v>0</v>
      </c>
      <c r="T443" s="227">
        <f>NPV($C$236/12,S444:$S$1436)</f>
        <v>0</v>
      </c>
    </row>
    <row r="444" spans="16:20" x14ac:dyDescent="0.3">
      <c r="P444" s="310">
        <v>196</v>
      </c>
      <c r="Q444">
        <f t="shared" si="101"/>
        <v>0</v>
      </c>
      <c r="R444" s="280"/>
      <c r="S444" s="280">
        <f>R440/12</f>
        <v>0</v>
      </c>
      <c r="T444" s="227">
        <f>NPV($C$236/12,S445:$S$1436)</f>
        <v>0</v>
      </c>
    </row>
    <row r="445" spans="16:20" x14ac:dyDescent="0.3">
      <c r="P445" s="310">
        <v>197</v>
      </c>
      <c r="Q445">
        <f t="shared" si="101"/>
        <v>0</v>
      </c>
      <c r="R445" s="280"/>
      <c r="S445" s="280">
        <f>R440/12</f>
        <v>0</v>
      </c>
      <c r="T445" s="227">
        <f>NPV($C$236/12,S446:$S$1436)</f>
        <v>0</v>
      </c>
    </row>
    <row r="446" spans="16:20" x14ac:dyDescent="0.3">
      <c r="P446" s="310">
        <v>198</v>
      </c>
      <c r="Q446">
        <f t="shared" si="101"/>
        <v>0</v>
      </c>
      <c r="R446" s="280"/>
      <c r="S446" s="280">
        <f>R440/12</f>
        <v>0</v>
      </c>
      <c r="T446" s="227">
        <f>NPV($C$236/12,S447:$S$1436)</f>
        <v>0</v>
      </c>
    </row>
    <row r="447" spans="16:20" x14ac:dyDescent="0.3">
      <c r="P447" s="310">
        <v>199</v>
      </c>
      <c r="Q447">
        <f t="shared" si="101"/>
        <v>0</v>
      </c>
      <c r="R447" s="280"/>
      <c r="S447" s="280">
        <f>R440/12</f>
        <v>0</v>
      </c>
      <c r="T447" s="227">
        <f>NPV($C$236/12,S448:$S$1436)</f>
        <v>0</v>
      </c>
    </row>
    <row r="448" spans="16:20" x14ac:dyDescent="0.3">
      <c r="P448" s="310">
        <v>200</v>
      </c>
      <c r="Q448">
        <f t="shared" si="101"/>
        <v>0</v>
      </c>
      <c r="R448" s="280"/>
      <c r="S448" s="280">
        <f>R440/12</f>
        <v>0</v>
      </c>
      <c r="T448" s="227">
        <f>NPV($C$236/12,S449:$S$1436)</f>
        <v>0</v>
      </c>
    </row>
    <row r="449" spans="16:20" x14ac:dyDescent="0.3">
      <c r="P449" s="310">
        <v>201</v>
      </c>
      <c r="Q449">
        <f t="shared" si="101"/>
        <v>0</v>
      </c>
      <c r="R449" s="280"/>
      <c r="S449" s="280">
        <f>R440/12</f>
        <v>0</v>
      </c>
      <c r="T449" s="227">
        <f>NPV($C$236/12,S450:$S$1436)</f>
        <v>0</v>
      </c>
    </row>
    <row r="450" spans="16:20" x14ac:dyDescent="0.3">
      <c r="P450" s="310">
        <v>202</v>
      </c>
      <c r="Q450">
        <f t="shared" si="101"/>
        <v>0</v>
      </c>
      <c r="R450" s="280"/>
      <c r="S450" s="280">
        <f>R440/12</f>
        <v>0</v>
      </c>
      <c r="T450" s="227">
        <f>NPV($C$236/12,S451:$S$1436)</f>
        <v>0</v>
      </c>
    </row>
    <row r="451" spans="16:20" x14ac:dyDescent="0.3">
      <c r="P451" s="310">
        <v>203</v>
      </c>
      <c r="Q451">
        <f t="shared" si="101"/>
        <v>0</v>
      </c>
      <c r="R451" s="280"/>
      <c r="S451" s="280">
        <f>R440/12</f>
        <v>0</v>
      </c>
      <c r="T451" s="227">
        <f>NPV($C$236/12,S452:$S$1436)</f>
        <v>0</v>
      </c>
    </row>
    <row r="452" spans="16:20" x14ac:dyDescent="0.3">
      <c r="P452" s="310">
        <v>204</v>
      </c>
      <c r="Q452">
        <f t="shared" si="101"/>
        <v>18</v>
      </c>
      <c r="R452" s="280">
        <f>LOOKUP(Q452,$Q$243:$DK$243,$Q$244:$DK$244)</f>
        <v>0</v>
      </c>
      <c r="S452" s="280">
        <f>R440/12</f>
        <v>0</v>
      </c>
      <c r="T452" s="227">
        <f>NPV($C$236/12,S453:$S$1436)</f>
        <v>0</v>
      </c>
    </row>
    <row r="453" spans="16:20" x14ac:dyDescent="0.3">
      <c r="P453" s="310">
        <v>205</v>
      </c>
      <c r="Q453">
        <f t="shared" si="101"/>
        <v>0</v>
      </c>
      <c r="R453" s="280"/>
      <c r="S453" s="280">
        <f>R452/12</f>
        <v>0</v>
      </c>
      <c r="T453" s="227">
        <f>NPV($C$236/12,S454:$S$1436)</f>
        <v>0</v>
      </c>
    </row>
    <row r="454" spans="16:20" x14ac:dyDescent="0.3">
      <c r="P454" s="310">
        <v>206</v>
      </c>
      <c r="Q454">
        <f t="shared" si="101"/>
        <v>0</v>
      </c>
      <c r="R454" s="280"/>
      <c r="S454" s="280">
        <f>R452/12</f>
        <v>0</v>
      </c>
      <c r="T454" s="227">
        <f>NPV($C$236/12,S455:$S$1436)</f>
        <v>0</v>
      </c>
    </row>
    <row r="455" spans="16:20" x14ac:dyDescent="0.3">
      <c r="P455" s="310">
        <v>207</v>
      </c>
      <c r="Q455">
        <f t="shared" si="101"/>
        <v>0</v>
      </c>
      <c r="R455" s="280"/>
      <c r="S455" s="280">
        <f>R452/12</f>
        <v>0</v>
      </c>
      <c r="T455" s="227">
        <f>NPV($C$236/12,S456:$S$1436)</f>
        <v>0</v>
      </c>
    </row>
    <row r="456" spans="16:20" x14ac:dyDescent="0.3">
      <c r="P456" s="310">
        <v>208</v>
      </c>
      <c r="Q456">
        <f t="shared" si="101"/>
        <v>0</v>
      </c>
      <c r="R456" s="280"/>
      <c r="S456" s="280">
        <f>R452/12</f>
        <v>0</v>
      </c>
      <c r="T456" s="227">
        <f>NPV($C$236/12,S457:$S$1436)</f>
        <v>0</v>
      </c>
    </row>
    <row r="457" spans="16:20" x14ac:dyDescent="0.3">
      <c r="P457" s="310">
        <v>209</v>
      </c>
      <c r="Q457">
        <f t="shared" si="101"/>
        <v>0</v>
      </c>
      <c r="R457" s="280"/>
      <c r="S457" s="280">
        <f>R452/12</f>
        <v>0</v>
      </c>
      <c r="T457" s="227">
        <f>NPV($C$236/12,S458:$S$1436)</f>
        <v>0</v>
      </c>
    </row>
    <row r="458" spans="16:20" x14ac:dyDescent="0.3">
      <c r="P458" s="310">
        <v>210</v>
      </c>
      <c r="Q458">
        <f t="shared" si="101"/>
        <v>0</v>
      </c>
      <c r="R458" s="280"/>
      <c r="S458" s="280">
        <f>R452/12</f>
        <v>0</v>
      </c>
      <c r="T458" s="227">
        <f>NPV($C$236/12,S459:$S$1436)</f>
        <v>0</v>
      </c>
    </row>
    <row r="459" spans="16:20" x14ac:dyDescent="0.3">
      <c r="P459" s="310">
        <v>211</v>
      </c>
      <c r="Q459">
        <f t="shared" si="101"/>
        <v>0</v>
      </c>
      <c r="R459" s="280"/>
      <c r="S459" s="280">
        <f>R452/12</f>
        <v>0</v>
      </c>
      <c r="T459" s="227">
        <f>NPV($C$236/12,S460:$S$1436)</f>
        <v>0</v>
      </c>
    </row>
    <row r="460" spans="16:20" x14ac:dyDescent="0.3">
      <c r="P460" s="310">
        <v>212</v>
      </c>
      <c r="Q460">
        <f t="shared" si="101"/>
        <v>0</v>
      </c>
      <c r="R460" s="280"/>
      <c r="S460" s="280">
        <f>R452/12</f>
        <v>0</v>
      </c>
      <c r="T460" s="227">
        <f>NPV($C$236/12,S461:$S$1436)</f>
        <v>0</v>
      </c>
    </row>
    <row r="461" spans="16:20" x14ac:dyDescent="0.3">
      <c r="P461" s="310">
        <v>213</v>
      </c>
      <c r="Q461">
        <f t="shared" si="101"/>
        <v>0</v>
      </c>
      <c r="R461" s="280"/>
      <c r="S461" s="280">
        <f>R452/12</f>
        <v>0</v>
      </c>
      <c r="T461" s="227">
        <f>NPV($C$236/12,S462:$S$1436)</f>
        <v>0</v>
      </c>
    </row>
    <row r="462" spans="16:20" x14ac:dyDescent="0.3">
      <c r="P462" s="310">
        <v>214</v>
      </c>
      <c r="Q462">
        <f t="shared" si="101"/>
        <v>0</v>
      </c>
      <c r="R462" s="280"/>
      <c r="S462" s="280">
        <f>R452/12</f>
        <v>0</v>
      </c>
      <c r="T462" s="227">
        <f>NPV($C$236/12,S463:$S$1436)</f>
        <v>0</v>
      </c>
    </row>
    <row r="463" spans="16:20" x14ac:dyDescent="0.3">
      <c r="P463" s="310">
        <v>215</v>
      </c>
      <c r="Q463">
        <f t="shared" si="101"/>
        <v>0</v>
      </c>
      <c r="R463" s="280"/>
      <c r="S463" s="280">
        <f>R452/12</f>
        <v>0</v>
      </c>
      <c r="T463" s="227">
        <f>NPV($C$236/12,S464:$S$1436)</f>
        <v>0</v>
      </c>
    </row>
    <row r="464" spans="16:20" x14ac:dyDescent="0.3">
      <c r="P464" s="310">
        <v>216</v>
      </c>
      <c r="Q464">
        <f t="shared" si="101"/>
        <v>19</v>
      </c>
      <c r="R464" s="280">
        <f>LOOKUP(Q464,$Q$243:$DK$243,$Q$244:$DK$244)</f>
        <v>0</v>
      </c>
      <c r="S464" s="280">
        <f>R452/12</f>
        <v>0</v>
      </c>
      <c r="T464" s="227">
        <f>NPV($C$236/12,S465:$S$1436)</f>
        <v>0</v>
      </c>
    </row>
    <row r="465" spans="16:20" x14ac:dyDescent="0.3">
      <c r="P465" s="310">
        <v>217</v>
      </c>
      <c r="Q465">
        <f t="shared" si="101"/>
        <v>0</v>
      </c>
      <c r="R465" s="280"/>
      <c r="S465" s="280">
        <f>R464/12</f>
        <v>0</v>
      </c>
      <c r="T465" s="227">
        <f>NPV($C$236/12,S466:$S$1436)</f>
        <v>0</v>
      </c>
    </row>
    <row r="466" spans="16:20" x14ac:dyDescent="0.3">
      <c r="P466" s="310">
        <v>218</v>
      </c>
      <c r="Q466">
        <f t="shared" si="101"/>
        <v>0</v>
      </c>
      <c r="R466" s="280"/>
      <c r="S466" s="280">
        <f>R464/12</f>
        <v>0</v>
      </c>
      <c r="T466" s="227">
        <f>NPV($C$236/12,S467:$S$1436)</f>
        <v>0</v>
      </c>
    </row>
    <row r="467" spans="16:20" x14ac:dyDescent="0.3">
      <c r="P467" s="310">
        <v>219</v>
      </c>
      <c r="Q467">
        <f t="shared" si="101"/>
        <v>0</v>
      </c>
      <c r="R467" s="280"/>
      <c r="S467" s="280">
        <f>R464/12</f>
        <v>0</v>
      </c>
      <c r="T467" s="227">
        <f>NPV($C$236/12,S468:$S$1436)</f>
        <v>0</v>
      </c>
    </row>
    <row r="468" spans="16:20" x14ac:dyDescent="0.3">
      <c r="P468" s="310">
        <v>220</v>
      </c>
      <c r="Q468">
        <f t="shared" si="101"/>
        <v>0</v>
      </c>
      <c r="R468" s="280"/>
      <c r="S468" s="280">
        <f>R464/12</f>
        <v>0</v>
      </c>
      <c r="T468" s="227">
        <f>NPV($C$236/12,S469:$S$1436)</f>
        <v>0</v>
      </c>
    </row>
    <row r="469" spans="16:20" x14ac:dyDescent="0.3">
      <c r="P469" s="310">
        <v>221</v>
      </c>
      <c r="Q469">
        <f t="shared" si="101"/>
        <v>0</v>
      </c>
      <c r="R469" s="280"/>
      <c r="S469" s="280">
        <f>R464/12</f>
        <v>0</v>
      </c>
      <c r="T469" s="227">
        <f>NPV($C$236/12,S470:$S$1436)</f>
        <v>0</v>
      </c>
    </row>
    <row r="470" spans="16:20" x14ac:dyDescent="0.3">
      <c r="P470" s="310">
        <v>222</v>
      </c>
      <c r="Q470">
        <f t="shared" si="101"/>
        <v>0</v>
      </c>
      <c r="R470" s="280"/>
      <c r="S470" s="280">
        <f>R464/12</f>
        <v>0</v>
      </c>
      <c r="T470" s="227">
        <f>NPV($C$236/12,S471:$S$1436)</f>
        <v>0</v>
      </c>
    </row>
    <row r="471" spans="16:20" x14ac:dyDescent="0.3">
      <c r="P471" s="310">
        <v>223</v>
      </c>
      <c r="Q471">
        <f t="shared" si="101"/>
        <v>0</v>
      </c>
      <c r="R471" s="280"/>
      <c r="S471" s="280">
        <f>R464/12</f>
        <v>0</v>
      </c>
      <c r="T471" s="227">
        <f>NPV($C$236/12,S472:$S$1436)</f>
        <v>0</v>
      </c>
    </row>
    <row r="472" spans="16:20" x14ac:dyDescent="0.3">
      <c r="P472" s="310">
        <v>224</v>
      </c>
      <c r="Q472">
        <f t="shared" si="101"/>
        <v>0</v>
      </c>
      <c r="R472" s="280"/>
      <c r="S472" s="280">
        <f>R464/12</f>
        <v>0</v>
      </c>
      <c r="T472" s="227">
        <f>NPV($C$236/12,S473:$S$1436)</f>
        <v>0</v>
      </c>
    </row>
    <row r="473" spans="16:20" x14ac:dyDescent="0.3">
      <c r="P473" s="310">
        <v>225</v>
      </c>
      <c r="Q473">
        <f t="shared" si="101"/>
        <v>0</v>
      </c>
      <c r="R473" s="280"/>
      <c r="S473" s="280">
        <f>R464/12</f>
        <v>0</v>
      </c>
      <c r="T473" s="227">
        <f>NPV($C$236/12,S474:$S$1436)</f>
        <v>0</v>
      </c>
    </row>
    <row r="474" spans="16:20" x14ac:dyDescent="0.3">
      <c r="P474" s="310">
        <v>226</v>
      </c>
      <c r="Q474">
        <f t="shared" si="101"/>
        <v>0</v>
      </c>
      <c r="R474" s="280"/>
      <c r="S474" s="280">
        <f>R464/12</f>
        <v>0</v>
      </c>
      <c r="T474" s="227">
        <f>NPV($C$236/12,S475:$S$1436)</f>
        <v>0</v>
      </c>
    </row>
    <row r="475" spans="16:20" x14ac:dyDescent="0.3">
      <c r="P475" s="310">
        <v>227</v>
      </c>
      <c r="Q475">
        <f t="shared" si="101"/>
        <v>0</v>
      </c>
      <c r="R475" s="280"/>
      <c r="S475" s="280">
        <f>R464/12</f>
        <v>0</v>
      </c>
      <c r="T475" s="227">
        <f>NPV($C$236/12,S476:$S$1436)</f>
        <v>0</v>
      </c>
    </row>
    <row r="476" spans="16:20" x14ac:dyDescent="0.3">
      <c r="P476" s="310">
        <v>228</v>
      </c>
      <c r="Q476">
        <f t="shared" si="101"/>
        <v>20</v>
      </c>
      <c r="R476" s="280">
        <f>LOOKUP(Q476,$Q$243:$DK$243,$Q$244:$DK$244)</f>
        <v>0</v>
      </c>
      <c r="S476" s="280">
        <f>R464/12</f>
        <v>0</v>
      </c>
      <c r="T476" s="227">
        <f>NPV($C$236/12,S477:$S$1436)</f>
        <v>0</v>
      </c>
    </row>
    <row r="477" spans="16:20" x14ac:dyDescent="0.3">
      <c r="P477" s="310">
        <v>229</v>
      </c>
      <c r="Q477">
        <f t="shared" si="101"/>
        <v>0</v>
      </c>
      <c r="R477" s="280"/>
      <c r="S477" s="280">
        <f>R476/12</f>
        <v>0</v>
      </c>
      <c r="T477" s="227">
        <f>NPV($C$236/12,S478:$S$1436)</f>
        <v>0</v>
      </c>
    </row>
    <row r="478" spans="16:20" x14ac:dyDescent="0.3">
      <c r="P478" s="310">
        <v>230</v>
      </c>
      <c r="Q478">
        <f t="shared" si="101"/>
        <v>0</v>
      </c>
      <c r="R478" s="280"/>
      <c r="S478" s="280">
        <f>R476/12</f>
        <v>0</v>
      </c>
      <c r="T478" s="227">
        <f>NPV($C$236/12,S479:$S$1436)</f>
        <v>0</v>
      </c>
    </row>
    <row r="479" spans="16:20" x14ac:dyDescent="0.3">
      <c r="P479" s="310">
        <v>231</v>
      </c>
      <c r="Q479">
        <f t="shared" si="101"/>
        <v>0</v>
      </c>
      <c r="R479" s="280"/>
      <c r="S479" s="280">
        <f>R476/12</f>
        <v>0</v>
      </c>
      <c r="T479" s="227">
        <f>NPV($C$236/12,S480:$S$1436)</f>
        <v>0</v>
      </c>
    </row>
    <row r="480" spans="16:20" x14ac:dyDescent="0.3">
      <c r="P480" s="310">
        <v>232</v>
      </c>
      <c r="Q480">
        <f t="shared" si="101"/>
        <v>0</v>
      </c>
      <c r="R480" s="280"/>
      <c r="S480" s="280">
        <f>R476/12</f>
        <v>0</v>
      </c>
      <c r="T480" s="227">
        <f>NPV($C$236/12,S481:$S$1436)</f>
        <v>0</v>
      </c>
    </row>
    <row r="481" spans="16:20" x14ac:dyDescent="0.3">
      <c r="P481" s="310">
        <v>233</v>
      </c>
      <c r="Q481">
        <f t="shared" si="101"/>
        <v>0</v>
      </c>
      <c r="R481" s="280"/>
      <c r="S481" s="280">
        <f>R476/12</f>
        <v>0</v>
      </c>
      <c r="T481" s="227">
        <f>NPV($C$236/12,S482:$S$1436)</f>
        <v>0</v>
      </c>
    </row>
    <row r="482" spans="16:20" x14ac:dyDescent="0.3">
      <c r="P482" s="310">
        <v>234</v>
      </c>
      <c r="Q482">
        <f t="shared" si="101"/>
        <v>0</v>
      </c>
      <c r="R482" s="280"/>
      <c r="S482" s="280">
        <f>R476/12</f>
        <v>0</v>
      </c>
      <c r="T482" s="227">
        <f>NPV($C$236/12,S483:$S$1436)</f>
        <v>0</v>
      </c>
    </row>
    <row r="483" spans="16:20" x14ac:dyDescent="0.3">
      <c r="P483" s="310">
        <v>235</v>
      </c>
      <c r="Q483">
        <f t="shared" si="101"/>
        <v>0</v>
      </c>
      <c r="R483" s="280"/>
      <c r="S483" s="280">
        <f>R476/12</f>
        <v>0</v>
      </c>
      <c r="T483" s="227">
        <f>NPV($C$236/12,S484:$S$1436)</f>
        <v>0</v>
      </c>
    </row>
    <row r="484" spans="16:20" x14ac:dyDescent="0.3">
      <c r="P484" s="310">
        <v>236</v>
      </c>
      <c r="Q484">
        <f t="shared" si="101"/>
        <v>0</v>
      </c>
      <c r="R484" s="280"/>
      <c r="S484" s="280">
        <f>R476/12</f>
        <v>0</v>
      </c>
      <c r="T484" s="227">
        <f>NPV($C$236/12,S485:$S$1436)</f>
        <v>0</v>
      </c>
    </row>
    <row r="485" spans="16:20" x14ac:dyDescent="0.3">
      <c r="P485" s="310">
        <v>237</v>
      </c>
      <c r="Q485">
        <f t="shared" si="101"/>
        <v>0</v>
      </c>
      <c r="R485" s="280"/>
      <c r="S485" s="280">
        <f>R476/12</f>
        <v>0</v>
      </c>
      <c r="T485" s="227">
        <f>NPV($C$236/12,S486:$S$1436)</f>
        <v>0</v>
      </c>
    </row>
    <row r="486" spans="16:20" x14ac:dyDescent="0.3">
      <c r="P486" s="310">
        <v>238</v>
      </c>
      <c r="Q486">
        <f t="shared" si="101"/>
        <v>0</v>
      </c>
      <c r="R486" s="280"/>
      <c r="S486" s="280">
        <f>R476/12</f>
        <v>0</v>
      </c>
      <c r="T486" s="227">
        <f>NPV($C$236/12,S487:$S$1436)</f>
        <v>0</v>
      </c>
    </row>
    <row r="487" spans="16:20" x14ac:dyDescent="0.3">
      <c r="P487" s="310">
        <v>239</v>
      </c>
      <c r="Q487">
        <f t="shared" si="101"/>
        <v>0</v>
      </c>
      <c r="R487" s="280"/>
      <c r="S487" s="280">
        <f>R476/12</f>
        <v>0</v>
      </c>
      <c r="T487" s="227">
        <f>NPV($C$236/12,S488:$S$1436)</f>
        <v>0</v>
      </c>
    </row>
    <row r="488" spans="16:20" x14ac:dyDescent="0.3">
      <c r="P488" s="310">
        <v>240</v>
      </c>
      <c r="Q488">
        <f t="shared" si="101"/>
        <v>21</v>
      </c>
      <c r="R488" s="280">
        <f>LOOKUP(Q488,$Q$243:$DK$243,$Q$244:$DK$244)</f>
        <v>0</v>
      </c>
      <c r="S488" s="280">
        <f>R476/12</f>
        <v>0</v>
      </c>
      <c r="T488" s="227">
        <f>NPV($C$236/12,S489:$S$1436)</f>
        <v>0</v>
      </c>
    </row>
    <row r="489" spans="16:20" x14ac:dyDescent="0.3">
      <c r="P489" s="310">
        <v>241</v>
      </c>
      <c r="Q489">
        <f t="shared" si="101"/>
        <v>0</v>
      </c>
      <c r="R489" s="280"/>
      <c r="S489" s="280">
        <f>R488/12</f>
        <v>0</v>
      </c>
      <c r="T489" s="227">
        <f>NPV($C$236/12,S490:$S$1436)</f>
        <v>0</v>
      </c>
    </row>
    <row r="490" spans="16:20" x14ac:dyDescent="0.3">
      <c r="P490" s="310">
        <v>242</v>
      </c>
      <c r="Q490">
        <f t="shared" si="101"/>
        <v>0</v>
      </c>
      <c r="R490" s="280"/>
      <c r="S490" s="280">
        <f>R488/12</f>
        <v>0</v>
      </c>
      <c r="T490" s="227">
        <f>NPV($C$236/12,S491:$S$1436)</f>
        <v>0</v>
      </c>
    </row>
    <row r="491" spans="16:20" x14ac:dyDescent="0.3">
      <c r="P491" s="310">
        <v>243</v>
      </c>
      <c r="Q491">
        <f t="shared" si="101"/>
        <v>0</v>
      </c>
      <c r="R491" s="280"/>
      <c r="S491" s="280">
        <f>R488/12</f>
        <v>0</v>
      </c>
      <c r="T491" s="227">
        <f>NPV($C$236/12,S492:$S$1436)</f>
        <v>0</v>
      </c>
    </row>
    <row r="492" spans="16:20" x14ac:dyDescent="0.3">
      <c r="P492" s="310">
        <v>244</v>
      </c>
      <c r="Q492">
        <f t="shared" si="101"/>
        <v>0</v>
      </c>
      <c r="R492" s="280"/>
      <c r="S492" s="280">
        <f>R488/12</f>
        <v>0</v>
      </c>
      <c r="T492" s="227">
        <f>NPV($C$236/12,S493:$S$1436)</f>
        <v>0</v>
      </c>
    </row>
    <row r="493" spans="16:20" x14ac:dyDescent="0.3">
      <c r="P493" s="310">
        <v>245</v>
      </c>
      <c r="Q493">
        <f t="shared" si="101"/>
        <v>0</v>
      </c>
      <c r="R493" s="280"/>
      <c r="S493" s="280">
        <f>R488/12</f>
        <v>0</v>
      </c>
      <c r="T493" s="227">
        <f>NPV($C$236/12,S494:$S$1436)</f>
        <v>0</v>
      </c>
    </row>
    <row r="494" spans="16:20" x14ac:dyDescent="0.3">
      <c r="P494" s="310">
        <v>246</v>
      </c>
      <c r="Q494">
        <f t="shared" si="101"/>
        <v>0</v>
      </c>
      <c r="R494" s="280"/>
      <c r="S494" s="280">
        <f>R488/12</f>
        <v>0</v>
      </c>
      <c r="T494" s="227">
        <f>NPV($C$236/12,S495:$S$1436)</f>
        <v>0</v>
      </c>
    </row>
    <row r="495" spans="16:20" x14ac:dyDescent="0.3">
      <c r="P495" s="310">
        <v>247</v>
      </c>
      <c r="Q495">
        <f t="shared" si="101"/>
        <v>0</v>
      </c>
      <c r="R495" s="280"/>
      <c r="S495" s="280">
        <f>R488/12</f>
        <v>0</v>
      </c>
      <c r="T495" s="227">
        <f>NPV($C$236/12,S496:$S$1436)</f>
        <v>0</v>
      </c>
    </row>
    <row r="496" spans="16:20" x14ac:dyDescent="0.3">
      <c r="P496" s="310">
        <v>248</v>
      </c>
      <c r="Q496">
        <f t="shared" si="101"/>
        <v>0</v>
      </c>
      <c r="R496" s="280"/>
      <c r="S496" s="280">
        <f>R488/12</f>
        <v>0</v>
      </c>
      <c r="T496" s="227">
        <f>NPV($C$236/12,S497:$S$1436)</f>
        <v>0</v>
      </c>
    </row>
    <row r="497" spans="16:20" x14ac:dyDescent="0.3">
      <c r="P497" s="310">
        <v>249</v>
      </c>
      <c r="Q497">
        <f t="shared" si="101"/>
        <v>0</v>
      </c>
      <c r="R497" s="280"/>
      <c r="S497" s="280">
        <f>R488/12</f>
        <v>0</v>
      </c>
      <c r="T497" s="227">
        <f>NPV($C$236/12,S498:$S$1436)</f>
        <v>0</v>
      </c>
    </row>
    <row r="498" spans="16:20" x14ac:dyDescent="0.3">
      <c r="P498" s="310">
        <v>250</v>
      </c>
      <c r="Q498">
        <f t="shared" si="101"/>
        <v>0</v>
      </c>
      <c r="R498" s="280"/>
      <c r="S498" s="280">
        <f>R488/12</f>
        <v>0</v>
      </c>
      <c r="T498" s="227">
        <f>NPV($C$236/12,S499:$S$1436)</f>
        <v>0</v>
      </c>
    </row>
    <row r="499" spans="16:20" x14ac:dyDescent="0.3">
      <c r="P499" s="310">
        <v>251</v>
      </c>
      <c r="Q499">
        <f t="shared" si="101"/>
        <v>0</v>
      </c>
      <c r="R499" s="280"/>
      <c r="S499" s="280">
        <f>R488/12</f>
        <v>0</v>
      </c>
      <c r="T499" s="227">
        <f>NPV($C$236/12,S500:$S$1436)</f>
        <v>0</v>
      </c>
    </row>
    <row r="500" spans="16:20" x14ac:dyDescent="0.3">
      <c r="P500" s="310">
        <v>252</v>
      </c>
      <c r="Q500">
        <f t="shared" si="101"/>
        <v>22</v>
      </c>
      <c r="R500" s="280">
        <f>LOOKUP(Q500,$Q$243:$DK$243,$Q$244:$DK$244)</f>
        <v>0</v>
      </c>
      <c r="S500" s="280">
        <f>R488/12</f>
        <v>0</v>
      </c>
      <c r="T500" s="227">
        <f>NPV($C$236/12,S501:$S$1436)</f>
        <v>0</v>
      </c>
    </row>
    <row r="501" spans="16:20" x14ac:dyDescent="0.3">
      <c r="P501" s="310">
        <v>253</v>
      </c>
      <c r="Q501">
        <f t="shared" si="101"/>
        <v>0</v>
      </c>
      <c r="R501" s="280"/>
      <c r="S501" s="280">
        <f>R500/12</f>
        <v>0</v>
      </c>
      <c r="T501" s="227">
        <f>NPV($C$236/12,S502:$S$1436)</f>
        <v>0</v>
      </c>
    </row>
    <row r="502" spans="16:20" x14ac:dyDescent="0.3">
      <c r="P502" s="310">
        <v>254</v>
      </c>
      <c r="Q502">
        <f t="shared" si="101"/>
        <v>0</v>
      </c>
      <c r="R502" s="280"/>
      <c r="S502" s="280">
        <f>R500/12</f>
        <v>0</v>
      </c>
      <c r="T502" s="227">
        <f>NPV($C$236/12,S503:$S$1436)</f>
        <v>0</v>
      </c>
    </row>
    <row r="503" spans="16:20" x14ac:dyDescent="0.3">
      <c r="P503" s="310">
        <v>255</v>
      </c>
      <c r="Q503">
        <f t="shared" si="101"/>
        <v>0</v>
      </c>
      <c r="R503" s="280"/>
      <c r="S503" s="280">
        <f>R500/12</f>
        <v>0</v>
      </c>
      <c r="T503" s="227">
        <f>NPV($C$236/12,S504:$S$1436)</f>
        <v>0</v>
      </c>
    </row>
    <row r="504" spans="16:20" x14ac:dyDescent="0.3">
      <c r="P504" s="310">
        <v>256</v>
      </c>
      <c r="Q504">
        <f t="shared" si="101"/>
        <v>0</v>
      </c>
      <c r="R504" s="280"/>
      <c r="S504" s="280">
        <f>R500/12</f>
        <v>0</v>
      </c>
      <c r="T504" s="227">
        <f>NPV($C$236/12,S505:$S$1436)</f>
        <v>0</v>
      </c>
    </row>
    <row r="505" spans="16:20" x14ac:dyDescent="0.3">
      <c r="P505" s="310">
        <v>257</v>
      </c>
      <c r="Q505">
        <f t="shared" ref="Q505:Q568" si="102">IF(MOD(P505,12)=0,(P505/12)+1,0)</f>
        <v>0</v>
      </c>
      <c r="R505" s="280"/>
      <c r="S505" s="280">
        <f>R500/12</f>
        <v>0</v>
      </c>
      <c r="T505" s="227">
        <f>NPV($C$236/12,S506:$S$1436)</f>
        <v>0</v>
      </c>
    </row>
    <row r="506" spans="16:20" x14ac:dyDescent="0.3">
      <c r="P506" s="310">
        <v>258</v>
      </c>
      <c r="Q506">
        <f t="shared" si="102"/>
        <v>0</v>
      </c>
      <c r="R506" s="280"/>
      <c r="S506" s="280">
        <f>R500/12</f>
        <v>0</v>
      </c>
      <c r="T506" s="227">
        <f>NPV($C$236/12,S507:$S$1436)</f>
        <v>0</v>
      </c>
    </row>
    <row r="507" spans="16:20" x14ac:dyDescent="0.3">
      <c r="P507" s="310">
        <v>259</v>
      </c>
      <c r="Q507">
        <f t="shared" si="102"/>
        <v>0</v>
      </c>
      <c r="R507" s="280"/>
      <c r="S507" s="280">
        <f>R500/12</f>
        <v>0</v>
      </c>
      <c r="T507" s="227">
        <f>NPV($C$236/12,S508:$S$1436)</f>
        <v>0</v>
      </c>
    </row>
    <row r="508" spans="16:20" x14ac:dyDescent="0.3">
      <c r="P508" s="310">
        <v>260</v>
      </c>
      <c r="Q508">
        <f t="shared" si="102"/>
        <v>0</v>
      </c>
      <c r="R508" s="280"/>
      <c r="S508" s="280">
        <f>R500/12</f>
        <v>0</v>
      </c>
      <c r="T508" s="227">
        <f>NPV($C$236/12,S509:$S$1436)</f>
        <v>0</v>
      </c>
    </row>
    <row r="509" spans="16:20" x14ac:dyDescent="0.3">
      <c r="P509" s="310">
        <v>261</v>
      </c>
      <c r="Q509">
        <f t="shared" si="102"/>
        <v>0</v>
      </c>
      <c r="R509" s="280"/>
      <c r="S509" s="280">
        <f>R500/12</f>
        <v>0</v>
      </c>
      <c r="T509" s="227">
        <f>NPV($C$236/12,S510:$S$1436)</f>
        <v>0</v>
      </c>
    </row>
    <row r="510" spans="16:20" x14ac:dyDescent="0.3">
      <c r="P510" s="310">
        <v>262</v>
      </c>
      <c r="Q510">
        <f t="shared" si="102"/>
        <v>0</v>
      </c>
      <c r="R510" s="280"/>
      <c r="S510" s="280">
        <f>R500/12</f>
        <v>0</v>
      </c>
      <c r="T510" s="227">
        <f>NPV($C$236/12,S511:$S$1436)</f>
        <v>0</v>
      </c>
    </row>
    <row r="511" spans="16:20" x14ac:dyDescent="0.3">
      <c r="P511" s="310">
        <v>263</v>
      </c>
      <c r="Q511">
        <f t="shared" si="102"/>
        <v>0</v>
      </c>
      <c r="R511" s="280"/>
      <c r="S511" s="280">
        <f>R500/12</f>
        <v>0</v>
      </c>
      <c r="T511" s="227">
        <f>NPV($C$236/12,S512:$S$1436)</f>
        <v>0</v>
      </c>
    </row>
    <row r="512" spans="16:20" x14ac:dyDescent="0.3">
      <c r="P512" s="310">
        <v>264</v>
      </c>
      <c r="Q512">
        <f t="shared" si="102"/>
        <v>23</v>
      </c>
      <c r="R512" s="280">
        <f>LOOKUP(Q512,$Q$243:$DK$243,$Q$244:$DK$244)</f>
        <v>0</v>
      </c>
      <c r="S512" s="280">
        <f>R500/12</f>
        <v>0</v>
      </c>
      <c r="T512" s="227">
        <f>NPV($C$236/12,S513:$S$1436)</f>
        <v>0</v>
      </c>
    </row>
    <row r="513" spans="16:20" x14ac:dyDescent="0.3">
      <c r="P513" s="310">
        <v>265</v>
      </c>
      <c r="Q513">
        <f t="shared" si="102"/>
        <v>0</v>
      </c>
      <c r="R513" s="280"/>
      <c r="S513" s="280">
        <f>R512/12</f>
        <v>0</v>
      </c>
      <c r="T513" s="227">
        <f>NPV($C$236/12,S514:$S$1436)</f>
        <v>0</v>
      </c>
    </row>
    <row r="514" spans="16:20" x14ac:dyDescent="0.3">
      <c r="P514" s="310">
        <v>266</v>
      </c>
      <c r="Q514">
        <f t="shared" si="102"/>
        <v>0</v>
      </c>
      <c r="R514" s="280"/>
      <c r="S514" s="280">
        <f>R512/12</f>
        <v>0</v>
      </c>
      <c r="T514" s="227">
        <f>NPV($C$236/12,S515:$S$1436)</f>
        <v>0</v>
      </c>
    </row>
    <row r="515" spans="16:20" x14ac:dyDescent="0.3">
      <c r="P515" s="310">
        <v>267</v>
      </c>
      <c r="Q515">
        <f t="shared" si="102"/>
        <v>0</v>
      </c>
      <c r="R515" s="280"/>
      <c r="S515" s="280">
        <f>R512/12</f>
        <v>0</v>
      </c>
      <c r="T515" s="227">
        <f>NPV($C$236/12,S516:$S$1436)</f>
        <v>0</v>
      </c>
    </row>
    <row r="516" spans="16:20" x14ac:dyDescent="0.3">
      <c r="P516" s="310">
        <v>268</v>
      </c>
      <c r="Q516">
        <f t="shared" si="102"/>
        <v>0</v>
      </c>
      <c r="R516" s="280"/>
      <c r="S516" s="280">
        <f>R512/12</f>
        <v>0</v>
      </c>
      <c r="T516" s="227">
        <f>NPV($C$236/12,S517:$S$1436)</f>
        <v>0</v>
      </c>
    </row>
    <row r="517" spans="16:20" x14ac:dyDescent="0.3">
      <c r="P517" s="310">
        <v>269</v>
      </c>
      <c r="Q517">
        <f t="shared" si="102"/>
        <v>0</v>
      </c>
      <c r="R517" s="280"/>
      <c r="S517" s="280">
        <f>R512/12</f>
        <v>0</v>
      </c>
      <c r="T517" s="227">
        <f>NPV($C$236/12,S518:$S$1436)</f>
        <v>0</v>
      </c>
    </row>
    <row r="518" spans="16:20" x14ac:dyDescent="0.3">
      <c r="P518" s="310">
        <v>270</v>
      </c>
      <c r="Q518">
        <f t="shared" si="102"/>
        <v>0</v>
      </c>
      <c r="R518" s="280"/>
      <c r="S518" s="280">
        <f>R512/12</f>
        <v>0</v>
      </c>
      <c r="T518" s="227">
        <f>NPV($C$236/12,S519:$S$1436)</f>
        <v>0</v>
      </c>
    </row>
    <row r="519" spans="16:20" x14ac:dyDescent="0.3">
      <c r="P519" s="310">
        <v>271</v>
      </c>
      <c r="Q519">
        <f t="shared" si="102"/>
        <v>0</v>
      </c>
      <c r="R519" s="280"/>
      <c r="S519" s="280">
        <f>R512/12</f>
        <v>0</v>
      </c>
      <c r="T519" s="227">
        <f>NPV($C$236/12,S520:$S$1436)</f>
        <v>0</v>
      </c>
    </row>
    <row r="520" spans="16:20" x14ac:dyDescent="0.3">
      <c r="P520" s="310">
        <v>272</v>
      </c>
      <c r="Q520">
        <f t="shared" si="102"/>
        <v>0</v>
      </c>
      <c r="R520" s="280"/>
      <c r="S520" s="280">
        <f>R512/12</f>
        <v>0</v>
      </c>
      <c r="T520" s="227">
        <f>NPV($C$236/12,S521:$S$1436)</f>
        <v>0</v>
      </c>
    </row>
    <row r="521" spans="16:20" x14ac:dyDescent="0.3">
      <c r="P521" s="310">
        <v>273</v>
      </c>
      <c r="Q521">
        <f t="shared" si="102"/>
        <v>0</v>
      </c>
      <c r="R521" s="280"/>
      <c r="S521" s="280">
        <f>R512/12</f>
        <v>0</v>
      </c>
      <c r="T521" s="227">
        <f>NPV($C$236/12,S522:$S$1436)</f>
        <v>0</v>
      </c>
    </row>
    <row r="522" spans="16:20" x14ac:dyDescent="0.3">
      <c r="P522" s="310">
        <v>274</v>
      </c>
      <c r="Q522">
        <f t="shared" si="102"/>
        <v>0</v>
      </c>
      <c r="R522" s="280"/>
      <c r="S522" s="280">
        <f>R512/12</f>
        <v>0</v>
      </c>
      <c r="T522" s="227">
        <f>NPV($C$236/12,S523:$S$1436)</f>
        <v>0</v>
      </c>
    </row>
    <row r="523" spans="16:20" x14ac:dyDescent="0.3">
      <c r="P523" s="310">
        <v>275</v>
      </c>
      <c r="Q523">
        <f t="shared" si="102"/>
        <v>0</v>
      </c>
      <c r="R523" s="280"/>
      <c r="S523" s="280">
        <f>R512/12</f>
        <v>0</v>
      </c>
      <c r="T523" s="227">
        <f>NPV($C$236/12,S524:$S$1436)</f>
        <v>0</v>
      </c>
    </row>
    <row r="524" spans="16:20" x14ac:dyDescent="0.3">
      <c r="P524" s="310">
        <v>276</v>
      </c>
      <c r="Q524">
        <f t="shared" si="102"/>
        <v>24</v>
      </c>
      <c r="R524" s="280">
        <f>LOOKUP(Q524,$Q$243:$DK$243,$Q$244:$DK$244)</f>
        <v>0</v>
      </c>
      <c r="S524" s="280">
        <f>R512/12</f>
        <v>0</v>
      </c>
      <c r="T524" s="227">
        <f>NPV($C$236/12,S525:$S$1436)</f>
        <v>0</v>
      </c>
    </row>
    <row r="525" spans="16:20" x14ac:dyDescent="0.3">
      <c r="P525" s="310">
        <v>277</v>
      </c>
      <c r="Q525">
        <f t="shared" si="102"/>
        <v>0</v>
      </c>
      <c r="R525" s="280"/>
      <c r="S525" s="280">
        <f>R524/12</f>
        <v>0</v>
      </c>
      <c r="T525" s="227">
        <f>NPV($C$236/12,S526:$S$1436)</f>
        <v>0</v>
      </c>
    </row>
    <row r="526" spans="16:20" x14ac:dyDescent="0.3">
      <c r="P526" s="310">
        <v>278</v>
      </c>
      <c r="Q526">
        <f t="shared" si="102"/>
        <v>0</v>
      </c>
      <c r="R526" s="280"/>
      <c r="S526" s="280">
        <f>R524/12</f>
        <v>0</v>
      </c>
      <c r="T526" s="227">
        <f>NPV($C$236/12,S527:$S$1436)</f>
        <v>0</v>
      </c>
    </row>
    <row r="527" spans="16:20" x14ac:dyDescent="0.3">
      <c r="P527" s="310">
        <v>279</v>
      </c>
      <c r="Q527">
        <f t="shared" si="102"/>
        <v>0</v>
      </c>
      <c r="R527" s="280"/>
      <c r="S527" s="280">
        <f>R524/12</f>
        <v>0</v>
      </c>
      <c r="T527" s="227">
        <f>NPV($C$236/12,S528:$S$1436)</f>
        <v>0</v>
      </c>
    </row>
    <row r="528" spans="16:20" x14ac:dyDescent="0.3">
      <c r="P528" s="310">
        <v>280</v>
      </c>
      <c r="Q528">
        <f t="shared" si="102"/>
        <v>0</v>
      </c>
      <c r="R528" s="280"/>
      <c r="S528" s="280">
        <f>R524/12</f>
        <v>0</v>
      </c>
      <c r="T528" s="227">
        <f>NPV($C$236/12,S529:$S$1436)</f>
        <v>0</v>
      </c>
    </row>
    <row r="529" spans="16:20" x14ac:dyDescent="0.3">
      <c r="P529" s="310">
        <v>281</v>
      </c>
      <c r="Q529">
        <f t="shared" si="102"/>
        <v>0</v>
      </c>
      <c r="R529" s="280"/>
      <c r="S529" s="280">
        <f>R524/12</f>
        <v>0</v>
      </c>
      <c r="T529" s="227">
        <f>NPV($C$236/12,S530:$S$1436)</f>
        <v>0</v>
      </c>
    </row>
    <row r="530" spans="16:20" x14ac:dyDescent="0.3">
      <c r="P530" s="310">
        <v>282</v>
      </c>
      <c r="Q530">
        <f t="shared" si="102"/>
        <v>0</v>
      </c>
      <c r="R530" s="280"/>
      <c r="S530" s="280">
        <f>R524/12</f>
        <v>0</v>
      </c>
      <c r="T530" s="227">
        <f>NPV($C$236/12,S531:$S$1436)</f>
        <v>0</v>
      </c>
    </row>
    <row r="531" spans="16:20" x14ac:dyDescent="0.3">
      <c r="P531" s="310">
        <v>283</v>
      </c>
      <c r="Q531">
        <f t="shared" si="102"/>
        <v>0</v>
      </c>
      <c r="R531" s="280"/>
      <c r="S531" s="280">
        <f>R524/12</f>
        <v>0</v>
      </c>
      <c r="T531" s="227">
        <f>NPV($C$236/12,S532:$S$1436)</f>
        <v>0</v>
      </c>
    </row>
    <row r="532" spans="16:20" x14ac:dyDescent="0.3">
      <c r="P532" s="310">
        <v>284</v>
      </c>
      <c r="Q532">
        <f t="shared" si="102"/>
        <v>0</v>
      </c>
      <c r="R532" s="280"/>
      <c r="S532" s="280">
        <f>R524/12</f>
        <v>0</v>
      </c>
      <c r="T532" s="227">
        <f>NPV($C$236/12,S533:$S$1436)</f>
        <v>0</v>
      </c>
    </row>
    <row r="533" spans="16:20" x14ac:dyDescent="0.3">
      <c r="P533" s="310">
        <v>285</v>
      </c>
      <c r="Q533">
        <f t="shared" si="102"/>
        <v>0</v>
      </c>
      <c r="R533" s="280"/>
      <c r="S533" s="280">
        <f>R524/12</f>
        <v>0</v>
      </c>
      <c r="T533" s="227">
        <f>NPV($C$236/12,S534:$S$1436)</f>
        <v>0</v>
      </c>
    </row>
    <row r="534" spans="16:20" x14ac:dyDescent="0.3">
      <c r="P534" s="310">
        <v>286</v>
      </c>
      <c r="Q534">
        <f t="shared" si="102"/>
        <v>0</v>
      </c>
      <c r="R534" s="280"/>
      <c r="S534" s="280">
        <f>R524/12</f>
        <v>0</v>
      </c>
      <c r="T534" s="227">
        <f>NPV($C$236/12,S535:$S$1436)</f>
        <v>0</v>
      </c>
    </row>
    <row r="535" spans="16:20" x14ac:dyDescent="0.3">
      <c r="P535" s="310">
        <v>287</v>
      </c>
      <c r="Q535">
        <f t="shared" si="102"/>
        <v>0</v>
      </c>
      <c r="R535" s="280"/>
      <c r="S535" s="280">
        <f>R524/12</f>
        <v>0</v>
      </c>
      <c r="T535" s="227">
        <f>NPV($C$236/12,S536:$S$1436)</f>
        <v>0</v>
      </c>
    </row>
    <row r="536" spans="16:20" x14ac:dyDescent="0.3">
      <c r="P536" s="310">
        <v>288</v>
      </c>
      <c r="Q536">
        <f t="shared" si="102"/>
        <v>25</v>
      </c>
      <c r="R536" s="280">
        <f>LOOKUP(Q536,$Q$243:$DK$243,$Q$244:$DK$244)</f>
        <v>0</v>
      </c>
      <c r="S536" s="280">
        <f>R524/12</f>
        <v>0</v>
      </c>
      <c r="T536" s="227">
        <f>NPV($C$236/12,S537:$S$1436)</f>
        <v>0</v>
      </c>
    </row>
    <row r="537" spans="16:20" x14ac:dyDescent="0.3">
      <c r="P537" s="310">
        <v>289</v>
      </c>
      <c r="Q537">
        <f t="shared" si="102"/>
        <v>0</v>
      </c>
      <c r="R537" s="280"/>
      <c r="S537" s="280">
        <f>R536/12</f>
        <v>0</v>
      </c>
      <c r="T537" s="227">
        <f>NPV($C$236/12,S538:$S$1436)</f>
        <v>0</v>
      </c>
    </row>
    <row r="538" spans="16:20" x14ac:dyDescent="0.3">
      <c r="P538" s="310">
        <v>290</v>
      </c>
      <c r="Q538">
        <f t="shared" si="102"/>
        <v>0</v>
      </c>
      <c r="R538" s="280"/>
      <c r="S538" s="280">
        <f>R536/12</f>
        <v>0</v>
      </c>
      <c r="T538" s="227">
        <f>NPV($C$236/12,S539:$S$1436)</f>
        <v>0</v>
      </c>
    </row>
    <row r="539" spans="16:20" x14ac:dyDescent="0.3">
      <c r="P539" s="310">
        <v>291</v>
      </c>
      <c r="Q539">
        <f t="shared" si="102"/>
        <v>0</v>
      </c>
      <c r="R539" s="280"/>
      <c r="S539" s="280">
        <f>R536/12</f>
        <v>0</v>
      </c>
      <c r="T539" s="227">
        <f>NPV($C$236/12,S540:$S$1436)</f>
        <v>0</v>
      </c>
    </row>
    <row r="540" spans="16:20" x14ac:dyDescent="0.3">
      <c r="P540" s="310">
        <v>292</v>
      </c>
      <c r="Q540">
        <f t="shared" si="102"/>
        <v>0</v>
      </c>
      <c r="R540" s="280"/>
      <c r="S540" s="280">
        <f>R536/12</f>
        <v>0</v>
      </c>
      <c r="T540" s="227">
        <f>NPV($C$236/12,S541:$S$1436)</f>
        <v>0</v>
      </c>
    </row>
    <row r="541" spans="16:20" x14ac:dyDescent="0.3">
      <c r="P541" s="310">
        <v>293</v>
      </c>
      <c r="Q541">
        <f t="shared" si="102"/>
        <v>0</v>
      </c>
      <c r="R541" s="280"/>
      <c r="S541" s="280">
        <f>R536/12</f>
        <v>0</v>
      </c>
      <c r="T541" s="227">
        <f>NPV($C$236/12,S542:$S$1436)</f>
        <v>0</v>
      </c>
    </row>
    <row r="542" spans="16:20" x14ac:dyDescent="0.3">
      <c r="P542" s="310">
        <v>294</v>
      </c>
      <c r="Q542">
        <f t="shared" si="102"/>
        <v>0</v>
      </c>
      <c r="R542" s="280"/>
      <c r="S542" s="280">
        <f>R536/12</f>
        <v>0</v>
      </c>
      <c r="T542" s="227">
        <f>NPV($C$236/12,S543:$S$1436)</f>
        <v>0</v>
      </c>
    </row>
    <row r="543" spans="16:20" x14ac:dyDescent="0.3">
      <c r="P543" s="310">
        <v>295</v>
      </c>
      <c r="Q543">
        <f t="shared" si="102"/>
        <v>0</v>
      </c>
      <c r="R543" s="280"/>
      <c r="S543" s="280">
        <f>R536/12</f>
        <v>0</v>
      </c>
      <c r="T543" s="227">
        <f>NPV($C$236/12,S544:$S$1436)</f>
        <v>0</v>
      </c>
    </row>
    <row r="544" spans="16:20" x14ac:dyDescent="0.3">
      <c r="P544" s="310">
        <v>296</v>
      </c>
      <c r="Q544">
        <f t="shared" si="102"/>
        <v>0</v>
      </c>
      <c r="R544" s="280"/>
      <c r="S544" s="280">
        <f>R536/12</f>
        <v>0</v>
      </c>
      <c r="T544" s="227">
        <f>NPV($C$236/12,S545:$S$1436)</f>
        <v>0</v>
      </c>
    </row>
    <row r="545" spans="16:20" x14ac:dyDescent="0.3">
      <c r="P545" s="310">
        <v>297</v>
      </c>
      <c r="Q545">
        <f t="shared" si="102"/>
        <v>0</v>
      </c>
      <c r="R545" s="280"/>
      <c r="S545" s="280">
        <f>R536/12</f>
        <v>0</v>
      </c>
      <c r="T545" s="227">
        <f>NPV($C$236/12,S546:$S$1436)</f>
        <v>0</v>
      </c>
    </row>
    <row r="546" spans="16:20" x14ac:dyDescent="0.3">
      <c r="P546" s="310">
        <v>298</v>
      </c>
      <c r="Q546">
        <f t="shared" si="102"/>
        <v>0</v>
      </c>
      <c r="R546" s="280"/>
      <c r="S546" s="280">
        <f>R536/12</f>
        <v>0</v>
      </c>
      <c r="T546" s="227">
        <f>NPV($C$236/12,S547:$S$1436)</f>
        <v>0</v>
      </c>
    </row>
    <row r="547" spans="16:20" x14ac:dyDescent="0.3">
      <c r="P547" s="310">
        <v>299</v>
      </c>
      <c r="Q547">
        <f t="shared" si="102"/>
        <v>0</v>
      </c>
      <c r="R547" s="280"/>
      <c r="S547" s="280">
        <f>R536/12</f>
        <v>0</v>
      </c>
      <c r="T547" s="227">
        <f>NPV($C$236/12,S548:$S$1436)</f>
        <v>0</v>
      </c>
    </row>
    <row r="548" spans="16:20" x14ac:dyDescent="0.3">
      <c r="P548" s="310">
        <v>300</v>
      </c>
      <c r="Q548">
        <f t="shared" si="102"/>
        <v>26</v>
      </c>
      <c r="R548" s="280">
        <f>LOOKUP(Q548,$Q$243:$DK$243,$Q$244:$DK$244)</f>
        <v>0</v>
      </c>
      <c r="S548" s="280">
        <f>R536/12</f>
        <v>0</v>
      </c>
      <c r="T548" s="227">
        <f>NPV($C$236/12,S549:$S$1436)</f>
        <v>0</v>
      </c>
    </row>
    <row r="549" spans="16:20" x14ac:dyDescent="0.3">
      <c r="P549" s="310">
        <v>301</v>
      </c>
      <c r="Q549">
        <f t="shared" si="102"/>
        <v>0</v>
      </c>
      <c r="R549" s="280"/>
      <c r="S549" s="280">
        <f>R548/12</f>
        <v>0</v>
      </c>
      <c r="T549" s="227">
        <f>NPV($C$236/12,S550:$S$1436)</f>
        <v>0</v>
      </c>
    </row>
    <row r="550" spans="16:20" x14ac:dyDescent="0.3">
      <c r="P550" s="310">
        <v>302</v>
      </c>
      <c r="Q550">
        <f t="shared" si="102"/>
        <v>0</v>
      </c>
      <c r="R550" s="280"/>
      <c r="S550" s="280">
        <f>R548/12</f>
        <v>0</v>
      </c>
      <c r="T550" s="227">
        <f>NPV($C$236/12,S551:$S$1436)</f>
        <v>0</v>
      </c>
    </row>
    <row r="551" spans="16:20" x14ac:dyDescent="0.3">
      <c r="P551" s="310">
        <v>303</v>
      </c>
      <c r="Q551">
        <f t="shared" si="102"/>
        <v>0</v>
      </c>
      <c r="R551" s="280"/>
      <c r="S551" s="280">
        <f>R548/12</f>
        <v>0</v>
      </c>
      <c r="T551" s="227">
        <f>NPV($C$236/12,S552:$S$1436)</f>
        <v>0</v>
      </c>
    </row>
    <row r="552" spans="16:20" x14ac:dyDescent="0.3">
      <c r="P552" s="310">
        <v>304</v>
      </c>
      <c r="Q552">
        <f t="shared" si="102"/>
        <v>0</v>
      </c>
      <c r="R552" s="280"/>
      <c r="S552" s="280">
        <f>R548/12</f>
        <v>0</v>
      </c>
      <c r="T552" s="227">
        <f>NPV($C$236/12,S553:$S$1436)</f>
        <v>0</v>
      </c>
    </row>
    <row r="553" spans="16:20" x14ac:dyDescent="0.3">
      <c r="P553" s="310">
        <v>305</v>
      </c>
      <c r="Q553">
        <f t="shared" si="102"/>
        <v>0</v>
      </c>
      <c r="R553" s="280"/>
      <c r="S553" s="280">
        <f>R548/12</f>
        <v>0</v>
      </c>
      <c r="T553" s="227">
        <f>NPV($C$236/12,S554:$S$1436)</f>
        <v>0</v>
      </c>
    </row>
    <row r="554" spans="16:20" x14ac:dyDescent="0.3">
      <c r="P554" s="310">
        <v>306</v>
      </c>
      <c r="Q554">
        <f t="shared" si="102"/>
        <v>0</v>
      </c>
      <c r="R554" s="280"/>
      <c r="S554" s="280">
        <f>R548/12</f>
        <v>0</v>
      </c>
      <c r="T554" s="227">
        <f>NPV($C$236/12,S555:$S$1436)</f>
        <v>0</v>
      </c>
    </row>
    <row r="555" spans="16:20" x14ac:dyDescent="0.3">
      <c r="P555" s="310">
        <v>307</v>
      </c>
      <c r="Q555">
        <f t="shared" si="102"/>
        <v>0</v>
      </c>
      <c r="R555" s="280"/>
      <c r="S555" s="280">
        <f>R548/12</f>
        <v>0</v>
      </c>
      <c r="T555" s="227">
        <f>NPV($C$236/12,S556:$S$1436)</f>
        <v>0</v>
      </c>
    </row>
    <row r="556" spans="16:20" x14ac:dyDescent="0.3">
      <c r="P556" s="310">
        <v>308</v>
      </c>
      <c r="Q556">
        <f t="shared" si="102"/>
        <v>0</v>
      </c>
      <c r="R556" s="280"/>
      <c r="S556" s="280">
        <f>R548/12</f>
        <v>0</v>
      </c>
      <c r="T556" s="227">
        <f>NPV($C$236/12,S557:$S$1436)</f>
        <v>0</v>
      </c>
    </row>
    <row r="557" spans="16:20" x14ac:dyDescent="0.3">
      <c r="P557" s="310">
        <v>309</v>
      </c>
      <c r="Q557">
        <f t="shared" si="102"/>
        <v>0</v>
      </c>
      <c r="R557" s="280"/>
      <c r="S557" s="280">
        <f>R548/12</f>
        <v>0</v>
      </c>
      <c r="T557" s="227">
        <f>NPV($C$236/12,S558:$S$1436)</f>
        <v>0</v>
      </c>
    </row>
    <row r="558" spans="16:20" x14ac:dyDescent="0.3">
      <c r="P558" s="310">
        <v>310</v>
      </c>
      <c r="Q558">
        <f t="shared" si="102"/>
        <v>0</v>
      </c>
      <c r="R558" s="280"/>
      <c r="S558" s="280">
        <f>R548/12</f>
        <v>0</v>
      </c>
      <c r="T558" s="227">
        <f>NPV($C$236/12,S559:$S$1436)</f>
        <v>0</v>
      </c>
    </row>
    <row r="559" spans="16:20" x14ac:dyDescent="0.3">
      <c r="P559" s="310">
        <v>311</v>
      </c>
      <c r="Q559">
        <f t="shared" si="102"/>
        <v>0</v>
      </c>
      <c r="R559" s="280"/>
      <c r="S559" s="280">
        <f>R548/12</f>
        <v>0</v>
      </c>
      <c r="T559" s="227">
        <f>NPV($C$236/12,S560:$S$1436)</f>
        <v>0</v>
      </c>
    </row>
    <row r="560" spans="16:20" x14ac:dyDescent="0.3">
      <c r="P560" s="310">
        <v>312</v>
      </c>
      <c r="Q560">
        <f t="shared" si="102"/>
        <v>27</v>
      </c>
      <c r="R560" s="280">
        <f>LOOKUP(Q560,$Q$243:$DK$243,$Q$244:$DK$244)</f>
        <v>0</v>
      </c>
      <c r="S560" s="280">
        <f>R548/12</f>
        <v>0</v>
      </c>
      <c r="T560" s="227">
        <f>NPV($C$236/12,S561:$S$1436)</f>
        <v>0</v>
      </c>
    </row>
    <row r="561" spans="16:20" x14ac:dyDescent="0.3">
      <c r="P561" s="310">
        <v>313</v>
      </c>
      <c r="Q561">
        <f t="shared" si="102"/>
        <v>0</v>
      </c>
      <c r="R561" s="280"/>
      <c r="S561" s="280">
        <f>R560/12</f>
        <v>0</v>
      </c>
      <c r="T561" s="227">
        <f>NPV($C$236/12,S562:$S$1436)</f>
        <v>0</v>
      </c>
    </row>
    <row r="562" spans="16:20" x14ac:dyDescent="0.3">
      <c r="P562" s="310">
        <v>314</v>
      </c>
      <c r="Q562">
        <f t="shared" si="102"/>
        <v>0</v>
      </c>
      <c r="R562" s="280"/>
      <c r="S562" s="280">
        <f>R560/12</f>
        <v>0</v>
      </c>
      <c r="T562" s="227">
        <f>NPV($C$236/12,S563:$S$1436)</f>
        <v>0</v>
      </c>
    </row>
    <row r="563" spans="16:20" x14ac:dyDescent="0.3">
      <c r="P563" s="310">
        <v>315</v>
      </c>
      <c r="Q563">
        <f t="shared" si="102"/>
        <v>0</v>
      </c>
      <c r="R563" s="280"/>
      <c r="S563" s="280">
        <f>R560/12</f>
        <v>0</v>
      </c>
      <c r="T563" s="227">
        <f>NPV($C$236/12,S564:$S$1436)</f>
        <v>0</v>
      </c>
    </row>
    <row r="564" spans="16:20" x14ac:dyDescent="0.3">
      <c r="P564" s="310">
        <v>316</v>
      </c>
      <c r="Q564">
        <f t="shared" si="102"/>
        <v>0</v>
      </c>
      <c r="R564" s="280"/>
      <c r="S564" s="280">
        <f>R560/12</f>
        <v>0</v>
      </c>
      <c r="T564" s="227">
        <f>NPV($C$236/12,S565:$S$1436)</f>
        <v>0</v>
      </c>
    </row>
    <row r="565" spans="16:20" x14ac:dyDescent="0.3">
      <c r="P565" s="310">
        <v>317</v>
      </c>
      <c r="Q565">
        <f t="shared" si="102"/>
        <v>0</v>
      </c>
      <c r="R565" s="280"/>
      <c r="S565" s="280">
        <f>R560/12</f>
        <v>0</v>
      </c>
      <c r="T565" s="227">
        <f>NPV($C$236/12,S566:$S$1436)</f>
        <v>0</v>
      </c>
    </row>
    <row r="566" spans="16:20" x14ac:dyDescent="0.3">
      <c r="P566" s="310">
        <v>318</v>
      </c>
      <c r="Q566">
        <f t="shared" si="102"/>
        <v>0</v>
      </c>
      <c r="R566" s="280"/>
      <c r="S566" s="280">
        <f>R560/12</f>
        <v>0</v>
      </c>
      <c r="T566" s="227">
        <f>NPV($C$236/12,S567:$S$1436)</f>
        <v>0</v>
      </c>
    </row>
    <row r="567" spans="16:20" x14ac:dyDescent="0.3">
      <c r="P567" s="310">
        <v>319</v>
      </c>
      <c r="Q567">
        <f t="shared" si="102"/>
        <v>0</v>
      </c>
      <c r="R567" s="280"/>
      <c r="S567" s="280">
        <f>R560/12</f>
        <v>0</v>
      </c>
      <c r="T567" s="227">
        <f>NPV($C$236/12,S568:$S$1436)</f>
        <v>0</v>
      </c>
    </row>
    <row r="568" spans="16:20" x14ac:dyDescent="0.3">
      <c r="P568" s="310">
        <v>320</v>
      </c>
      <c r="Q568">
        <f t="shared" si="102"/>
        <v>0</v>
      </c>
      <c r="R568" s="280"/>
      <c r="S568" s="280">
        <f>R560/12</f>
        <v>0</v>
      </c>
      <c r="T568" s="227">
        <f>NPV($C$236/12,S569:$S$1436)</f>
        <v>0</v>
      </c>
    </row>
    <row r="569" spans="16:20" x14ac:dyDescent="0.3">
      <c r="P569" s="310">
        <v>321</v>
      </c>
      <c r="Q569">
        <f t="shared" ref="Q569:Q632" si="103">IF(MOD(P569,12)=0,(P569/12)+1,0)</f>
        <v>0</v>
      </c>
      <c r="R569" s="280"/>
      <c r="S569" s="280">
        <f>R560/12</f>
        <v>0</v>
      </c>
      <c r="T569" s="227">
        <f>NPV($C$236/12,S570:$S$1436)</f>
        <v>0</v>
      </c>
    </row>
    <row r="570" spans="16:20" x14ac:dyDescent="0.3">
      <c r="P570" s="310">
        <v>322</v>
      </c>
      <c r="Q570">
        <f t="shared" si="103"/>
        <v>0</v>
      </c>
      <c r="R570" s="280"/>
      <c r="S570" s="280">
        <f>R560/12</f>
        <v>0</v>
      </c>
      <c r="T570" s="227">
        <f>NPV($C$236/12,S571:$S$1436)</f>
        <v>0</v>
      </c>
    </row>
    <row r="571" spans="16:20" x14ac:dyDescent="0.3">
      <c r="P571" s="310">
        <v>323</v>
      </c>
      <c r="Q571">
        <f t="shared" si="103"/>
        <v>0</v>
      </c>
      <c r="R571" s="280"/>
      <c r="S571" s="280">
        <f>R560/12</f>
        <v>0</v>
      </c>
      <c r="T571" s="227">
        <f>NPV($C$236/12,S572:$S$1436)</f>
        <v>0</v>
      </c>
    </row>
    <row r="572" spans="16:20" x14ac:dyDescent="0.3">
      <c r="P572" s="310">
        <v>324</v>
      </c>
      <c r="Q572">
        <f t="shared" si="103"/>
        <v>28</v>
      </c>
      <c r="R572" s="280">
        <f>LOOKUP(Q572,$Q$243:$DK$243,$Q$244:$DK$244)</f>
        <v>0</v>
      </c>
      <c r="S572" s="280">
        <f>R560/12</f>
        <v>0</v>
      </c>
      <c r="T572" s="227">
        <f>NPV($C$236/12,S573:$S$1436)</f>
        <v>0</v>
      </c>
    </row>
    <row r="573" spans="16:20" x14ac:dyDescent="0.3">
      <c r="P573" s="310">
        <v>325</v>
      </c>
      <c r="Q573">
        <f t="shared" si="103"/>
        <v>0</v>
      </c>
      <c r="R573" s="280"/>
      <c r="S573" s="280">
        <f>R572/12</f>
        <v>0</v>
      </c>
      <c r="T573" s="227">
        <f>NPV($C$236/12,S574:$S$1436)</f>
        <v>0</v>
      </c>
    </row>
    <row r="574" spans="16:20" x14ac:dyDescent="0.3">
      <c r="P574" s="310">
        <v>326</v>
      </c>
      <c r="Q574">
        <f t="shared" si="103"/>
        <v>0</v>
      </c>
      <c r="R574" s="280"/>
      <c r="S574" s="280">
        <f>R572/12</f>
        <v>0</v>
      </c>
      <c r="T574" s="227">
        <f>NPV($C$236/12,S575:$S$1436)</f>
        <v>0</v>
      </c>
    </row>
    <row r="575" spans="16:20" x14ac:dyDescent="0.3">
      <c r="P575" s="310">
        <v>327</v>
      </c>
      <c r="Q575">
        <f t="shared" si="103"/>
        <v>0</v>
      </c>
      <c r="R575" s="280"/>
      <c r="S575" s="280">
        <f>R572/12</f>
        <v>0</v>
      </c>
      <c r="T575" s="227">
        <f>NPV($C$236/12,S576:$S$1436)</f>
        <v>0</v>
      </c>
    </row>
    <row r="576" spans="16:20" x14ac:dyDescent="0.3">
      <c r="P576" s="310">
        <v>328</v>
      </c>
      <c r="Q576">
        <f t="shared" si="103"/>
        <v>0</v>
      </c>
      <c r="R576" s="280"/>
      <c r="S576" s="280">
        <f>R572/12</f>
        <v>0</v>
      </c>
      <c r="T576" s="227">
        <f>NPV($C$236/12,S577:$S$1436)</f>
        <v>0</v>
      </c>
    </row>
    <row r="577" spans="16:20" x14ac:dyDescent="0.3">
      <c r="P577" s="310">
        <v>329</v>
      </c>
      <c r="Q577">
        <f t="shared" si="103"/>
        <v>0</v>
      </c>
      <c r="R577" s="280"/>
      <c r="S577" s="280">
        <f>R572/12</f>
        <v>0</v>
      </c>
      <c r="T577" s="227">
        <f>NPV($C$236/12,S578:$S$1436)</f>
        <v>0</v>
      </c>
    </row>
    <row r="578" spans="16:20" x14ac:dyDescent="0.3">
      <c r="P578" s="310">
        <v>330</v>
      </c>
      <c r="Q578">
        <f t="shared" si="103"/>
        <v>0</v>
      </c>
      <c r="R578" s="280"/>
      <c r="S578" s="280">
        <f>R572/12</f>
        <v>0</v>
      </c>
      <c r="T578" s="227">
        <f>NPV($C$236/12,S579:$S$1436)</f>
        <v>0</v>
      </c>
    </row>
    <row r="579" spans="16:20" x14ac:dyDescent="0.3">
      <c r="P579" s="310">
        <v>331</v>
      </c>
      <c r="Q579">
        <f t="shared" si="103"/>
        <v>0</v>
      </c>
      <c r="R579" s="280"/>
      <c r="S579" s="280">
        <f>R572/12</f>
        <v>0</v>
      </c>
      <c r="T579" s="227">
        <f>NPV($C$236/12,S580:$S$1436)</f>
        <v>0</v>
      </c>
    </row>
    <row r="580" spans="16:20" x14ac:dyDescent="0.3">
      <c r="P580" s="310">
        <v>332</v>
      </c>
      <c r="Q580">
        <f t="shared" si="103"/>
        <v>0</v>
      </c>
      <c r="R580" s="280"/>
      <c r="S580" s="280">
        <f>R572/12</f>
        <v>0</v>
      </c>
      <c r="T580" s="227">
        <f>NPV($C$236/12,S581:$S$1436)</f>
        <v>0</v>
      </c>
    </row>
    <row r="581" spans="16:20" x14ac:dyDescent="0.3">
      <c r="P581" s="310">
        <v>333</v>
      </c>
      <c r="Q581">
        <f t="shared" si="103"/>
        <v>0</v>
      </c>
      <c r="R581" s="280"/>
      <c r="S581" s="280">
        <f>R572/12</f>
        <v>0</v>
      </c>
      <c r="T581" s="227">
        <f>NPV($C$236/12,S582:$S$1436)</f>
        <v>0</v>
      </c>
    </row>
    <row r="582" spans="16:20" x14ac:dyDescent="0.3">
      <c r="P582" s="310">
        <v>334</v>
      </c>
      <c r="Q582">
        <f t="shared" si="103"/>
        <v>0</v>
      </c>
      <c r="R582" s="280"/>
      <c r="S582" s="280">
        <f>R572/12</f>
        <v>0</v>
      </c>
      <c r="T582" s="227">
        <f>NPV($C$236/12,S583:$S$1436)</f>
        <v>0</v>
      </c>
    </row>
    <row r="583" spans="16:20" x14ac:dyDescent="0.3">
      <c r="P583" s="310">
        <v>335</v>
      </c>
      <c r="Q583">
        <f t="shared" si="103"/>
        <v>0</v>
      </c>
      <c r="R583" s="280"/>
      <c r="S583" s="280">
        <f>R572/12</f>
        <v>0</v>
      </c>
      <c r="T583" s="227">
        <f>NPV($C$236/12,S584:$S$1436)</f>
        <v>0</v>
      </c>
    </row>
    <row r="584" spans="16:20" x14ac:dyDescent="0.3">
      <c r="P584" s="310">
        <v>336</v>
      </c>
      <c r="Q584">
        <f t="shared" si="103"/>
        <v>29</v>
      </c>
      <c r="R584" s="280">
        <f>LOOKUP(Q584,$Q$243:$DK$243,$Q$244:$DK$244)</f>
        <v>0</v>
      </c>
      <c r="S584" s="280">
        <f>R572/12</f>
        <v>0</v>
      </c>
      <c r="T584" s="227">
        <f>NPV($C$236/12,S585:$S$1436)</f>
        <v>0</v>
      </c>
    </row>
    <row r="585" spans="16:20" x14ac:dyDescent="0.3">
      <c r="P585" s="310">
        <v>337</v>
      </c>
      <c r="Q585">
        <f t="shared" si="103"/>
        <v>0</v>
      </c>
      <c r="R585" s="280"/>
      <c r="S585" s="280">
        <f>R584/12</f>
        <v>0</v>
      </c>
      <c r="T585" s="227">
        <f>NPV($C$236/12,S586:$S$1436)</f>
        <v>0</v>
      </c>
    </row>
    <row r="586" spans="16:20" x14ac:dyDescent="0.3">
      <c r="P586" s="310">
        <v>338</v>
      </c>
      <c r="Q586">
        <f t="shared" si="103"/>
        <v>0</v>
      </c>
      <c r="R586" s="280"/>
      <c r="S586" s="280">
        <f>R584/12</f>
        <v>0</v>
      </c>
      <c r="T586" s="227">
        <f>NPV($C$236/12,S587:$S$1436)</f>
        <v>0</v>
      </c>
    </row>
    <row r="587" spans="16:20" x14ac:dyDescent="0.3">
      <c r="P587" s="310">
        <v>339</v>
      </c>
      <c r="Q587">
        <f t="shared" si="103"/>
        <v>0</v>
      </c>
      <c r="R587" s="280"/>
      <c r="S587" s="280">
        <f>R584/12</f>
        <v>0</v>
      </c>
      <c r="T587" s="227">
        <f>NPV($C$236/12,S588:$S$1436)</f>
        <v>0</v>
      </c>
    </row>
    <row r="588" spans="16:20" x14ac:dyDescent="0.3">
      <c r="P588" s="310">
        <v>340</v>
      </c>
      <c r="Q588">
        <f t="shared" si="103"/>
        <v>0</v>
      </c>
      <c r="R588" s="280"/>
      <c r="S588" s="280">
        <f>R584/12</f>
        <v>0</v>
      </c>
      <c r="T588" s="227">
        <f>NPV($C$236/12,S589:$S$1436)</f>
        <v>0</v>
      </c>
    </row>
    <row r="589" spans="16:20" x14ac:dyDescent="0.3">
      <c r="P589" s="310">
        <v>341</v>
      </c>
      <c r="Q589">
        <f t="shared" si="103"/>
        <v>0</v>
      </c>
      <c r="R589" s="280"/>
      <c r="S589" s="280">
        <f>R584/12</f>
        <v>0</v>
      </c>
      <c r="T589" s="227">
        <f>NPV($C$236/12,S590:$S$1436)</f>
        <v>0</v>
      </c>
    </row>
    <row r="590" spans="16:20" x14ac:dyDescent="0.3">
      <c r="P590" s="310">
        <v>342</v>
      </c>
      <c r="Q590">
        <f t="shared" si="103"/>
        <v>0</v>
      </c>
      <c r="R590" s="280"/>
      <c r="S590" s="280">
        <f>R584/12</f>
        <v>0</v>
      </c>
      <c r="T590" s="227">
        <f>NPV($C$236/12,S591:$S$1436)</f>
        <v>0</v>
      </c>
    </row>
    <row r="591" spans="16:20" x14ac:dyDescent="0.3">
      <c r="P591" s="310">
        <v>343</v>
      </c>
      <c r="Q591">
        <f t="shared" si="103"/>
        <v>0</v>
      </c>
      <c r="R591" s="280"/>
      <c r="S591" s="280">
        <f>R584/12</f>
        <v>0</v>
      </c>
      <c r="T591" s="227">
        <f>NPV($C$236/12,S592:$S$1436)</f>
        <v>0</v>
      </c>
    </row>
    <row r="592" spans="16:20" x14ac:dyDescent="0.3">
      <c r="P592" s="310">
        <v>344</v>
      </c>
      <c r="Q592">
        <f t="shared" si="103"/>
        <v>0</v>
      </c>
      <c r="R592" s="280"/>
      <c r="S592" s="280">
        <f>R584/12</f>
        <v>0</v>
      </c>
      <c r="T592" s="227">
        <f>NPV($C$236/12,S593:$S$1436)</f>
        <v>0</v>
      </c>
    </row>
    <row r="593" spans="16:20" x14ac:dyDescent="0.3">
      <c r="P593" s="310">
        <v>345</v>
      </c>
      <c r="Q593">
        <f t="shared" si="103"/>
        <v>0</v>
      </c>
      <c r="R593" s="280"/>
      <c r="S593" s="280">
        <f>R584/12</f>
        <v>0</v>
      </c>
      <c r="T593" s="227">
        <f>NPV($C$236/12,S594:$S$1436)</f>
        <v>0</v>
      </c>
    </row>
    <row r="594" spans="16:20" x14ac:dyDescent="0.3">
      <c r="P594" s="310">
        <v>346</v>
      </c>
      <c r="Q594">
        <f t="shared" si="103"/>
        <v>0</v>
      </c>
      <c r="R594" s="280"/>
      <c r="S594" s="280">
        <f>R584/12</f>
        <v>0</v>
      </c>
      <c r="T594" s="227">
        <f>NPV($C$236/12,S595:$S$1436)</f>
        <v>0</v>
      </c>
    </row>
    <row r="595" spans="16:20" x14ac:dyDescent="0.3">
      <c r="P595" s="310">
        <v>347</v>
      </c>
      <c r="Q595">
        <f t="shared" si="103"/>
        <v>0</v>
      </c>
      <c r="R595" s="280"/>
      <c r="S595" s="280">
        <f>R584/12</f>
        <v>0</v>
      </c>
      <c r="T595" s="227">
        <f>NPV($C$236/12,S596:$S$1436)</f>
        <v>0</v>
      </c>
    </row>
    <row r="596" spans="16:20" x14ac:dyDescent="0.3">
      <c r="P596" s="310">
        <v>348</v>
      </c>
      <c r="Q596">
        <f t="shared" si="103"/>
        <v>30</v>
      </c>
      <c r="R596" s="280">
        <f>LOOKUP(Q596,$Q$243:$DK$243,$Q$244:$DK$244)</f>
        <v>0</v>
      </c>
      <c r="S596" s="280">
        <f>R584/12</f>
        <v>0</v>
      </c>
      <c r="T596" s="227">
        <f>NPV($C$236/12,S597:$S$1436)</f>
        <v>0</v>
      </c>
    </row>
    <row r="597" spans="16:20" x14ac:dyDescent="0.3">
      <c r="P597" s="310">
        <v>349</v>
      </c>
      <c r="Q597">
        <f t="shared" si="103"/>
        <v>0</v>
      </c>
      <c r="R597" s="280"/>
      <c r="S597" s="280">
        <f>R596/12</f>
        <v>0</v>
      </c>
      <c r="T597" s="227">
        <f>NPV($C$236/12,S598:$S$1436)</f>
        <v>0</v>
      </c>
    </row>
    <row r="598" spans="16:20" x14ac:dyDescent="0.3">
      <c r="P598" s="310">
        <v>350</v>
      </c>
      <c r="Q598">
        <f t="shared" si="103"/>
        <v>0</v>
      </c>
      <c r="R598" s="280"/>
      <c r="S598" s="280">
        <f>R596/12</f>
        <v>0</v>
      </c>
      <c r="T598" s="227">
        <f>NPV($C$236/12,S599:$S$1436)</f>
        <v>0</v>
      </c>
    </row>
    <row r="599" spans="16:20" x14ac:dyDescent="0.3">
      <c r="P599" s="310">
        <v>351</v>
      </c>
      <c r="Q599">
        <f t="shared" si="103"/>
        <v>0</v>
      </c>
      <c r="R599" s="280"/>
      <c r="S599" s="280">
        <f>R596/12</f>
        <v>0</v>
      </c>
      <c r="T599" s="227">
        <f>NPV($C$236/12,S600:$S$1436)</f>
        <v>0</v>
      </c>
    </row>
    <row r="600" spans="16:20" x14ac:dyDescent="0.3">
      <c r="P600" s="310">
        <v>352</v>
      </c>
      <c r="Q600">
        <f t="shared" si="103"/>
        <v>0</v>
      </c>
      <c r="R600" s="280"/>
      <c r="S600" s="280">
        <f>R596/12</f>
        <v>0</v>
      </c>
      <c r="T600" s="227">
        <f>NPV($C$236/12,S601:$S$1436)</f>
        <v>0</v>
      </c>
    </row>
    <row r="601" spans="16:20" x14ac:dyDescent="0.3">
      <c r="P601" s="310">
        <v>353</v>
      </c>
      <c r="Q601">
        <f t="shared" si="103"/>
        <v>0</v>
      </c>
      <c r="R601" s="280"/>
      <c r="S601" s="280">
        <f>R596/12</f>
        <v>0</v>
      </c>
      <c r="T601" s="227">
        <f>NPV($C$236/12,S602:$S$1436)</f>
        <v>0</v>
      </c>
    </row>
    <row r="602" spans="16:20" x14ac:dyDescent="0.3">
      <c r="P602" s="310">
        <v>354</v>
      </c>
      <c r="Q602">
        <f t="shared" si="103"/>
        <v>0</v>
      </c>
      <c r="R602" s="280"/>
      <c r="S602" s="280">
        <f>R596/12</f>
        <v>0</v>
      </c>
      <c r="T602" s="227">
        <f>NPV($C$236/12,S603:$S$1436)</f>
        <v>0</v>
      </c>
    </row>
    <row r="603" spans="16:20" x14ac:dyDescent="0.3">
      <c r="P603" s="310">
        <v>355</v>
      </c>
      <c r="Q603">
        <f t="shared" si="103"/>
        <v>0</v>
      </c>
      <c r="R603" s="280"/>
      <c r="S603" s="280">
        <f>R596/12</f>
        <v>0</v>
      </c>
      <c r="T603" s="227">
        <f>NPV($C$236/12,S604:$S$1436)</f>
        <v>0</v>
      </c>
    </row>
    <row r="604" spans="16:20" x14ac:dyDescent="0.3">
      <c r="P604" s="310">
        <v>356</v>
      </c>
      <c r="Q604">
        <f t="shared" si="103"/>
        <v>0</v>
      </c>
      <c r="R604" s="280"/>
      <c r="S604" s="280">
        <f>R596/12</f>
        <v>0</v>
      </c>
      <c r="T604" s="227">
        <f>NPV($C$236/12,S605:$S$1436)</f>
        <v>0</v>
      </c>
    </row>
    <row r="605" spans="16:20" x14ac:dyDescent="0.3">
      <c r="P605" s="310">
        <v>357</v>
      </c>
      <c r="Q605">
        <f t="shared" si="103"/>
        <v>0</v>
      </c>
      <c r="R605" s="280"/>
      <c r="S605" s="280">
        <f>R596/12</f>
        <v>0</v>
      </c>
      <c r="T605" s="227">
        <f>NPV($C$236/12,S606:$S$1436)</f>
        <v>0</v>
      </c>
    </row>
    <row r="606" spans="16:20" x14ac:dyDescent="0.3">
      <c r="P606" s="310">
        <v>358</v>
      </c>
      <c r="Q606">
        <f t="shared" si="103"/>
        <v>0</v>
      </c>
      <c r="R606" s="280"/>
      <c r="S606" s="280">
        <f>R596/12</f>
        <v>0</v>
      </c>
      <c r="T606" s="227">
        <f>NPV($C$236/12,S607:$S$1436)</f>
        <v>0</v>
      </c>
    </row>
    <row r="607" spans="16:20" x14ac:dyDescent="0.3">
      <c r="P607" s="310">
        <v>359</v>
      </c>
      <c r="Q607">
        <f t="shared" si="103"/>
        <v>0</v>
      </c>
      <c r="R607" s="280"/>
      <c r="S607" s="280">
        <f>R596/12</f>
        <v>0</v>
      </c>
      <c r="T607" s="227">
        <f>NPV($C$236/12,S608:$S$1436)</f>
        <v>0</v>
      </c>
    </row>
    <row r="608" spans="16:20" x14ac:dyDescent="0.3">
      <c r="P608" s="310">
        <v>360</v>
      </c>
      <c r="Q608">
        <f t="shared" si="103"/>
        <v>31</v>
      </c>
      <c r="R608" s="280">
        <f>LOOKUP(Q608,$Q$243:$DK$243,$Q$244:$DK$244)</f>
        <v>0</v>
      </c>
      <c r="S608" s="280">
        <f>R596/12</f>
        <v>0</v>
      </c>
      <c r="T608" s="227">
        <f>NPV($C$236/12,S609:$S$1436)</f>
        <v>0</v>
      </c>
    </row>
    <row r="609" spans="16:20" x14ac:dyDescent="0.3">
      <c r="P609" s="310">
        <v>361</v>
      </c>
      <c r="Q609">
        <f t="shared" si="103"/>
        <v>0</v>
      </c>
      <c r="R609" s="280"/>
      <c r="S609" s="280">
        <f>R608/12</f>
        <v>0</v>
      </c>
      <c r="T609" s="227">
        <f>NPV($C$236/12,S610:$S$1436)</f>
        <v>0</v>
      </c>
    </row>
    <row r="610" spans="16:20" x14ac:dyDescent="0.3">
      <c r="P610" s="310">
        <v>362</v>
      </c>
      <c r="Q610">
        <f t="shared" si="103"/>
        <v>0</v>
      </c>
      <c r="R610" s="280"/>
      <c r="S610" s="280">
        <f>R608/12</f>
        <v>0</v>
      </c>
      <c r="T610" s="227">
        <f>NPV($C$236/12,S611:$S$1436)</f>
        <v>0</v>
      </c>
    </row>
    <row r="611" spans="16:20" x14ac:dyDescent="0.3">
      <c r="P611" s="310">
        <v>363</v>
      </c>
      <c r="Q611">
        <f t="shared" si="103"/>
        <v>0</v>
      </c>
      <c r="R611" s="280"/>
      <c r="S611" s="280">
        <f>R608/12</f>
        <v>0</v>
      </c>
      <c r="T611" s="227">
        <f>NPV($C$236/12,S612:$S$1436)</f>
        <v>0</v>
      </c>
    </row>
    <row r="612" spans="16:20" x14ac:dyDescent="0.3">
      <c r="P612" s="310">
        <v>364</v>
      </c>
      <c r="Q612">
        <f t="shared" si="103"/>
        <v>0</v>
      </c>
      <c r="R612" s="280"/>
      <c r="S612" s="280">
        <f>R608/12</f>
        <v>0</v>
      </c>
      <c r="T612" s="227">
        <f>NPV($C$236/12,S613:$S$1436)</f>
        <v>0</v>
      </c>
    </row>
    <row r="613" spans="16:20" x14ac:dyDescent="0.3">
      <c r="P613" s="310">
        <v>365</v>
      </c>
      <c r="Q613">
        <f t="shared" si="103"/>
        <v>0</v>
      </c>
      <c r="R613" s="280"/>
      <c r="S613" s="280">
        <f>R608/12</f>
        <v>0</v>
      </c>
      <c r="T613" s="227">
        <f>NPV($C$236/12,S614:$S$1436)</f>
        <v>0</v>
      </c>
    </row>
    <row r="614" spans="16:20" x14ac:dyDescent="0.3">
      <c r="P614" s="310">
        <v>366</v>
      </c>
      <c r="Q614">
        <f t="shared" si="103"/>
        <v>0</v>
      </c>
      <c r="R614" s="280"/>
      <c r="S614" s="280">
        <f>R608/12</f>
        <v>0</v>
      </c>
      <c r="T614" s="227">
        <f>NPV($C$236/12,S615:$S$1436)</f>
        <v>0</v>
      </c>
    </row>
    <row r="615" spans="16:20" x14ac:dyDescent="0.3">
      <c r="P615" s="310">
        <v>367</v>
      </c>
      <c r="Q615">
        <f t="shared" si="103"/>
        <v>0</v>
      </c>
      <c r="R615" s="280"/>
      <c r="S615" s="280">
        <f>R608/12</f>
        <v>0</v>
      </c>
      <c r="T615" s="227">
        <f>NPV($C$236/12,S616:$S$1436)</f>
        <v>0</v>
      </c>
    </row>
    <row r="616" spans="16:20" x14ac:dyDescent="0.3">
      <c r="P616" s="310">
        <v>368</v>
      </c>
      <c r="Q616">
        <f t="shared" si="103"/>
        <v>0</v>
      </c>
      <c r="R616" s="280"/>
      <c r="S616" s="280">
        <f>R608/12</f>
        <v>0</v>
      </c>
      <c r="T616" s="227">
        <f>NPV($C$236/12,S617:$S$1436)</f>
        <v>0</v>
      </c>
    </row>
    <row r="617" spans="16:20" x14ac:dyDescent="0.3">
      <c r="P617" s="310">
        <v>369</v>
      </c>
      <c r="Q617">
        <f t="shared" si="103"/>
        <v>0</v>
      </c>
      <c r="R617" s="280"/>
      <c r="S617" s="280">
        <f>R608/12</f>
        <v>0</v>
      </c>
      <c r="T617" s="227">
        <f>NPV($C$236/12,S618:$S$1436)</f>
        <v>0</v>
      </c>
    </row>
    <row r="618" spans="16:20" x14ac:dyDescent="0.3">
      <c r="P618" s="310">
        <v>370</v>
      </c>
      <c r="Q618">
        <f t="shared" si="103"/>
        <v>0</v>
      </c>
      <c r="R618" s="280"/>
      <c r="S618" s="280">
        <f>R608/12</f>
        <v>0</v>
      </c>
      <c r="T618" s="227">
        <f>NPV($C$236/12,S619:$S$1436)</f>
        <v>0</v>
      </c>
    </row>
    <row r="619" spans="16:20" x14ac:dyDescent="0.3">
      <c r="P619" s="310">
        <v>371</v>
      </c>
      <c r="Q619">
        <f t="shared" si="103"/>
        <v>0</v>
      </c>
      <c r="R619" s="280"/>
      <c r="S619" s="280">
        <f>R608/12</f>
        <v>0</v>
      </c>
      <c r="T619" s="227">
        <f>NPV($C$236/12,S620:$S$1436)</f>
        <v>0</v>
      </c>
    </row>
    <row r="620" spans="16:20" x14ac:dyDescent="0.3">
      <c r="P620" s="310">
        <v>372</v>
      </c>
      <c r="Q620">
        <f t="shared" si="103"/>
        <v>32</v>
      </c>
      <c r="R620" s="280">
        <f>LOOKUP(Q620,$Q$243:$DK$243,$Q$244:$DK$244)</f>
        <v>0</v>
      </c>
      <c r="S620" s="280">
        <f>R608/12</f>
        <v>0</v>
      </c>
      <c r="T620" s="227">
        <f>NPV($C$236/12,S621:$S$1436)</f>
        <v>0</v>
      </c>
    </row>
    <row r="621" spans="16:20" x14ac:dyDescent="0.3">
      <c r="P621" s="310">
        <v>373</v>
      </c>
      <c r="Q621">
        <f t="shared" si="103"/>
        <v>0</v>
      </c>
      <c r="R621" s="280"/>
      <c r="S621" s="280">
        <f>R620/12</f>
        <v>0</v>
      </c>
      <c r="T621" s="227">
        <f>NPV($C$236/12,S622:$S$1436)</f>
        <v>0</v>
      </c>
    </row>
    <row r="622" spans="16:20" x14ac:dyDescent="0.3">
      <c r="P622" s="310">
        <v>374</v>
      </c>
      <c r="Q622">
        <f t="shared" si="103"/>
        <v>0</v>
      </c>
      <c r="R622" s="280"/>
      <c r="S622" s="280">
        <f>R620/12</f>
        <v>0</v>
      </c>
      <c r="T622" s="227">
        <f>NPV($C$236/12,S623:$S$1436)</f>
        <v>0</v>
      </c>
    </row>
    <row r="623" spans="16:20" x14ac:dyDescent="0.3">
      <c r="P623" s="310">
        <v>375</v>
      </c>
      <c r="Q623">
        <f t="shared" si="103"/>
        <v>0</v>
      </c>
      <c r="R623" s="280"/>
      <c r="S623" s="280">
        <f>R620/12</f>
        <v>0</v>
      </c>
      <c r="T623" s="227">
        <f>NPV($C$236/12,S624:$S$1436)</f>
        <v>0</v>
      </c>
    </row>
    <row r="624" spans="16:20" x14ac:dyDescent="0.3">
      <c r="P624" s="310">
        <v>376</v>
      </c>
      <c r="Q624">
        <f t="shared" si="103"/>
        <v>0</v>
      </c>
      <c r="R624" s="280"/>
      <c r="S624" s="280">
        <f>R620/12</f>
        <v>0</v>
      </c>
      <c r="T624" s="227">
        <f>NPV($C$236/12,S625:$S$1436)</f>
        <v>0</v>
      </c>
    </row>
    <row r="625" spans="16:20" x14ac:dyDescent="0.3">
      <c r="P625" s="310">
        <v>377</v>
      </c>
      <c r="Q625">
        <f t="shared" si="103"/>
        <v>0</v>
      </c>
      <c r="R625" s="280"/>
      <c r="S625" s="280">
        <f>R620/12</f>
        <v>0</v>
      </c>
      <c r="T625" s="227">
        <f>NPV($C$236/12,S626:$S$1436)</f>
        <v>0</v>
      </c>
    </row>
    <row r="626" spans="16:20" x14ac:dyDescent="0.3">
      <c r="P626" s="310">
        <v>378</v>
      </c>
      <c r="Q626">
        <f t="shared" si="103"/>
        <v>0</v>
      </c>
      <c r="R626" s="280"/>
      <c r="S626" s="280">
        <f>R620/12</f>
        <v>0</v>
      </c>
      <c r="T626" s="227">
        <f>NPV($C$236/12,S627:$S$1436)</f>
        <v>0</v>
      </c>
    </row>
    <row r="627" spans="16:20" x14ac:dyDescent="0.3">
      <c r="P627" s="310">
        <v>379</v>
      </c>
      <c r="Q627">
        <f t="shared" si="103"/>
        <v>0</v>
      </c>
      <c r="R627" s="280"/>
      <c r="S627" s="280">
        <f>R620/12</f>
        <v>0</v>
      </c>
      <c r="T627" s="227">
        <f>NPV($C$236/12,S628:$S$1436)</f>
        <v>0</v>
      </c>
    </row>
    <row r="628" spans="16:20" x14ac:dyDescent="0.3">
      <c r="P628" s="310">
        <v>380</v>
      </c>
      <c r="Q628">
        <f t="shared" si="103"/>
        <v>0</v>
      </c>
      <c r="R628" s="280"/>
      <c r="S628" s="280">
        <f>R620/12</f>
        <v>0</v>
      </c>
      <c r="T628" s="227">
        <f>NPV($C$236/12,S629:$S$1436)</f>
        <v>0</v>
      </c>
    </row>
    <row r="629" spans="16:20" x14ac:dyDescent="0.3">
      <c r="P629" s="310">
        <v>381</v>
      </c>
      <c r="Q629">
        <f t="shared" si="103"/>
        <v>0</v>
      </c>
      <c r="R629" s="280"/>
      <c r="S629" s="280">
        <f>R620/12</f>
        <v>0</v>
      </c>
      <c r="T629" s="227">
        <f>NPV($C$236/12,S630:$S$1436)</f>
        <v>0</v>
      </c>
    </row>
    <row r="630" spans="16:20" x14ac:dyDescent="0.3">
      <c r="P630" s="310">
        <v>382</v>
      </c>
      <c r="Q630">
        <f t="shared" si="103"/>
        <v>0</v>
      </c>
      <c r="R630" s="280"/>
      <c r="S630" s="280">
        <f>R620/12</f>
        <v>0</v>
      </c>
      <c r="T630" s="227">
        <f>NPV($C$236/12,S631:$S$1436)</f>
        <v>0</v>
      </c>
    </row>
    <row r="631" spans="16:20" x14ac:dyDescent="0.3">
      <c r="P631" s="310">
        <v>383</v>
      </c>
      <c r="Q631">
        <f t="shared" si="103"/>
        <v>0</v>
      </c>
      <c r="R631" s="280"/>
      <c r="S631" s="280">
        <f>R620/12</f>
        <v>0</v>
      </c>
      <c r="T631" s="227">
        <f>NPV($C$236/12,S632:$S$1436)</f>
        <v>0</v>
      </c>
    </row>
    <row r="632" spans="16:20" x14ac:dyDescent="0.3">
      <c r="P632" s="310">
        <v>384</v>
      </c>
      <c r="Q632">
        <f t="shared" si="103"/>
        <v>33</v>
      </c>
      <c r="R632" s="280">
        <f>LOOKUP(Q632,$Q$243:$DK$243,$Q$244:$DK$244)</f>
        <v>0</v>
      </c>
      <c r="S632" s="280">
        <f>R620/12</f>
        <v>0</v>
      </c>
      <c r="T632" s="227">
        <f>NPV($C$236/12,S633:$S$1436)</f>
        <v>0</v>
      </c>
    </row>
    <row r="633" spans="16:20" x14ac:dyDescent="0.3">
      <c r="P633" s="310">
        <v>385</v>
      </c>
      <c r="Q633">
        <f t="shared" ref="Q633:Q696" si="104">IF(MOD(P633,12)=0,(P633/12)+1,0)</f>
        <v>0</v>
      </c>
      <c r="R633" s="280"/>
      <c r="S633" s="280">
        <f>R632/12</f>
        <v>0</v>
      </c>
      <c r="T633" s="227">
        <f>NPV($C$236/12,S634:$S$1436)</f>
        <v>0</v>
      </c>
    </row>
    <row r="634" spans="16:20" x14ac:dyDescent="0.3">
      <c r="P634" s="310">
        <v>386</v>
      </c>
      <c r="Q634">
        <f t="shared" si="104"/>
        <v>0</v>
      </c>
      <c r="R634" s="280"/>
      <c r="S634" s="280">
        <f>R632/12</f>
        <v>0</v>
      </c>
      <c r="T634" s="227">
        <f>NPV($C$236/12,S635:$S$1436)</f>
        <v>0</v>
      </c>
    </row>
    <row r="635" spans="16:20" x14ac:dyDescent="0.3">
      <c r="P635" s="310">
        <v>387</v>
      </c>
      <c r="Q635">
        <f t="shared" si="104"/>
        <v>0</v>
      </c>
      <c r="R635" s="280"/>
      <c r="S635" s="280">
        <f>R632/12</f>
        <v>0</v>
      </c>
      <c r="T635" s="227">
        <f>NPV($C$236/12,S636:$S$1436)</f>
        <v>0</v>
      </c>
    </row>
    <row r="636" spans="16:20" x14ac:dyDescent="0.3">
      <c r="P636" s="310">
        <v>388</v>
      </c>
      <c r="Q636">
        <f t="shared" si="104"/>
        <v>0</v>
      </c>
      <c r="R636" s="280"/>
      <c r="S636" s="280">
        <f>R632/12</f>
        <v>0</v>
      </c>
      <c r="T636" s="227">
        <f>NPV($C$236/12,S637:$S$1436)</f>
        <v>0</v>
      </c>
    </row>
    <row r="637" spans="16:20" x14ac:dyDescent="0.3">
      <c r="P637" s="310">
        <v>389</v>
      </c>
      <c r="Q637">
        <f t="shared" si="104"/>
        <v>0</v>
      </c>
      <c r="R637" s="280"/>
      <c r="S637" s="280">
        <f>R632/12</f>
        <v>0</v>
      </c>
      <c r="T637" s="227">
        <f>NPV($C$236/12,S638:$S$1436)</f>
        <v>0</v>
      </c>
    </row>
    <row r="638" spans="16:20" x14ac:dyDescent="0.3">
      <c r="P638" s="310">
        <v>390</v>
      </c>
      <c r="Q638">
        <f t="shared" si="104"/>
        <v>0</v>
      </c>
      <c r="R638" s="280"/>
      <c r="S638" s="280">
        <f>R632/12</f>
        <v>0</v>
      </c>
      <c r="T638" s="227">
        <f>NPV($C$236/12,S639:$S$1436)</f>
        <v>0</v>
      </c>
    </row>
    <row r="639" spans="16:20" x14ac:dyDescent="0.3">
      <c r="P639" s="310">
        <v>391</v>
      </c>
      <c r="Q639">
        <f t="shared" si="104"/>
        <v>0</v>
      </c>
      <c r="R639" s="280"/>
      <c r="S639" s="280">
        <f>R632/12</f>
        <v>0</v>
      </c>
      <c r="T639" s="227">
        <f>NPV($C$236/12,S640:$S$1436)</f>
        <v>0</v>
      </c>
    </row>
    <row r="640" spans="16:20" x14ac:dyDescent="0.3">
      <c r="P640" s="310">
        <v>392</v>
      </c>
      <c r="Q640">
        <f t="shared" si="104"/>
        <v>0</v>
      </c>
      <c r="R640" s="280"/>
      <c r="S640" s="280">
        <f>R632/12</f>
        <v>0</v>
      </c>
      <c r="T640" s="227">
        <f>NPV($C$236/12,S641:$S$1436)</f>
        <v>0</v>
      </c>
    </row>
    <row r="641" spans="16:20" x14ac:dyDescent="0.3">
      <c r="P641" s="310">
        <v>393</v>
      </c>
      <c r="Q641">
        <f t="shared" si="104"/>
        <v>0</v>
      </c>
      <c r="R641" s="280"/>
      <c r="S641" s="280">
        <f>R632/12</f>
        <v>0</v>
      </c>
      <c r="T641" s="227">
        <f>NPV($C$236/12,S642:$S$1436)</f>
        <v>0</v>
      </c>
    </row>
    <row r="642" spans="16:20" x14ac:dyDescent="0.3">
      <c r="P642" s="310">
        <v>394</v>
      </c>
      <c r="Q642">
        <f t="shared" si="104"/>
        <v>0</v>
      </c>
      <c r="R642" s="280"/>
      <c r="S642" s="280">
        <f>R632/12</f>
        <v>0</v>
      </c>
      <c r="T642" s="227">
        <f>NPV($C$236/12,S643:$S$1436)</f>
        <v>0</v>
      </c>
    </row>
    <row r="643" spans="16:20" x14ac:dyDescent="0.3">
      <c r="P643" s="310">
        <v>395</v>
      </c>
      <c r="Q643">
        <f t="shared" si="104"/>
        <v>0</v>
      </c>
      <c r="R643" s="280"/>
      <c r="S643" s="280">
        <f>R632/12</f>
        <v>0</v>
      </c>
      <c r="T643" s="227">
        <f>NPV($C$236/12,S644:$S$1436)</f>
        <v>0</v>
      </c>
    </row>
    <row r="644" spans="16:20" x14ac:dyDescent="0.3">
      <c r="P644" s="310">
        <v>396</v>
      </c>
      <c r="Q644">
        <f t="shared" si="104"/>
        <v>34</v>
      </c>
      <c r="R644" s="280">
        <f>LOOKUP(Q644,$Q$243:$DK$243,$Q$244:$DK$244)</f>
        <v>0</v>
      </c>
      <c r="S644" s="280">
        <f>R632/12</f>
        <v>0</v>
      </c>
      <c r="T644" s="227">
        <f>NPV($C$236/12,S645:$S$1436)</f>
        <v>0</v>
      </c>
    </row>
    <row r="645" spans="16:20" x14ac:dyDescent="0.3">
      <c r="P645" s="310">
        <v>397</v>
      </c>
      <c r="Q645">
        <f t="shared" si="104"/>
        <v>0</v>
      </c>
      <c r="R645" s="280"/>
      <c r="S645" s="280">
        <f>R644/12</f>
        <v>0</v>
      </c>
      <c r="T645" s="227">
        <f>NPV($C$236/12,S646:$S$1436)</f>
        <v>0</v>
      </c>
    </row>
    <row r="646" spans="16:20" x14ac:dyDescent="0.3">
      <c r="P646" s="310">
        <v>398</v>
      </c>
      <c r="Q646">
        <f t="shared" si="104"/>
        <v>0</v>
      </c>
      <c r="R646" s="280"/>
      <c r="S646" s="280">
        <f>R644/12</f>
        <v>0</v>
      </c>
      <c r="T646" s="227">
        <f>NPV($C$236/12,S647:$S$1436)</f>
        <v>0</v>
      </c>
    </row>
    <row r="647" spans="16:20" x14ac:dyDescent="0.3">
      <c r="P647" s="310">
        <v>399</v>
      </c>
      <c r="Q647">
        <f t="shared" si="104"/>
        <v>0</v>
      </c>
      <c r="R647" s="280"/>
      <c r="S647" s="280">
        <f>R644/12</f>
        <v>0</v>
      </c>
      <c r="T647" s="227">
        <f>NPV($C$236/12,S648:$S$1436)</f>
        <v>0</v>
      </c>
    </row>
    <row r="648" spans="16:20" x14ac:dyDescent="0.3">
      <c r="P648" s="310">
        <v>400</v>
      </c>
      <c r="Q648">
        <f t="shared" si="104"/>
        <v>0</v>
      </c>
      <c r="R648" s="280"/>
      <c r="S648" s="280">
        <f>R644/12</f>
        <v>0</v>
      </c>
      <c r="T648" s="227">
        <f>NPV($C$236/12,S649:$S$1436)</f>
        <v>0</v>
      </c>
    </row>
    <row r="649" spans="16:20" x14ac:dyDescent="0.3">
      <c r="P649" s="310">
        <v>401</v>
      </c>
      <c r="Q649">
        <f t="shared" si="104"/>
        <v>0</v>
      </c>
      <c r="R649" s="280"/>
      <c r="S649" s="280">
        <f>R644/12</f>
        <v>0</v>
      </c>
      <c r="T649" s="227">
        <f>NPV($C$236/12,S650:$S$1436)</f>
        <v>0</v>
      </c>
    </row>
    <row r="650" spans="16:20" x14ac:dyDescent="0.3">
      <c r="P650" s="310">
        <v>402</v>
      </c>
      <c r="Q650">
        <f t="shared" si="104"/>
        <v>0</v>
      </c>
      <c r="R650" s="280"/>
      <c r="S650" s="280">
        <f>R644/12</f>
        <v>0</v>
      </c>
      <c r="T650" s="227">
        <f>NPV($C$236/12,S651:$S$1436)</f>
        <v>0</v>
      </c>
    </row>
    <row r="651" spans="16:20" x14ac:dyDescent="0.3">
      <c r="P651" s="310">
        <v>403</v>
      </c>
      <c r="Q651">
        <f t="shared" si="104"/>
        <v>0</v>
      </c>
      <c r="R651" s="280"/>
      <c r="S651" s="280">
        <f>R644/12</f>
        <v>0</v>
      </c>
      <c r="T651" s="227">
        <f>NPV($C$236/12,S652:$S$1436)</f>
        <v>0</v>
      </c>
    </row>
    <row r="652" spans="16:20" x14ac:dyDescent="0.3">
      <c r="P652" s="310">
        <v>404</v>
      </c>
      <c r="Q652">
        <f t="shared" si="104"/>
        <v>0</v>
      </c>
      <c r="R652" s="280"/>
      <c r="S652" s="280">
        <f>R644/12</f>
        <v>0</v>
      </c>
      <c r="T652" s="227">
        <f>NPV($C$236/12,S653:$S$1436)</f>
        <v>0</v>
      </c>
    </row>
    <row r="653" spans="16:20" x14ac:dyDescent="0.3">
      <c r="P653" s="310">
        <v>405</v>
      </c>
      <c r="Q653">
        <f t="shared" si="104"/>
        <v>0</v>
      </c>
      <c r="R653" s="280"/>
      <c r="S653" s="280">
        <f>R644/12</f>
        <v>0</v>
      </c>
      <c r="T653" s="227">
        <f>NPV($C$236/12,S654:$S$1436)</f>
        <v>0</v>
      </c>
    </row>
    <row r="654" spans="16:20" x14ac:dyDescent="0.3">
      <c r="P654" s="310">
        <v>406</v>
      </c>
      <c r="Q654">
        <f t="shared" si="104"/>
        <v>0</v>
      </c>
      <c r="R654" s="280"/>
      <c r="S654" s="280">
        <f>R644/12</f>
        <v>0</v>
      </c>
      <c r="T654" s="227">
        <f>NPV($C$236/12,S655:$S$1436)</f>
        <v>0</v>
      </c>
    </row>
    <row r="655" spans="16:20" x14ac:dyDescent="0.3">
      <c r="P655" s="310">
        <v>407</v>
      </c>
      <c r="Q655">
        <f t="shared" si="104"/>
        <v>0</v>
      </c>
      <c r="R655" s="280"/>
      <c r="S655" s="280">
        <f>R644/12</f>
        <v>0</v>
      </c>
      <c r="T655" s="227">
        <f>NPV($C$236/12,S656:$S$1436)</f>
        <v>0</v>
      </c>
    </row>
    <row r="656" spans="16:20" x14ac:dyDescent="0.3">
      <c r="P656" s="310">
        <v>408</v>
      </c>
      <c r="Q656">
        <f t="shared" si="104"/>
        <v>35</v>
      </c>
      <c r="R656" s="280">
        <f>LOOKUP(Q656,$Q$243:$DK$243,$Q$244:$DK$244)</f>
        <v>0</v>
      </c>
      <c r="S656" s="280">
        <f>R644/12</f>
        <v>0</v>
      </c>
      <c r="T656" s="227">
        <f>NPV($C$236/12,S657:$S$1436)</f>
        <v>0</v>
      </c>
    </row>
    <row r="657" spans="16:20" x14ac:dyDescent="0.3">
      <c r="P657" s="310">
        <v>409</v>
      </c>
      <c r="Q657">
        <f t="shared" si="104"/>
        <v>0</v>
      </c>
      <c r="R657" s="280"/>
      <c r="S657" s="280">
        <f>R656/12</f>
        <v>0</v>
      </c>
      <c r="T657" s="227">
        <f>NPV($C$236/12,S658:$S$1436)</f>
        <v>0</v>
      </c>
    </row>
    <row r="658" spans="16:20" x14ac:dyDescent="0.3">
      <c r="P658" s="310">
        <v>410</v>
      </c>
      <c r="Q658">
        <f t="shared" si="104"/>
        <v>0</v>
      </c>
      <c r="R658" s="280"/>
      <c r="S658" s="280">
        <f>R656/12</f>
        <v>0</v>
      </c>
      <c r="T658" s="227">
        <f>NPV($C$236/12,S659:$S$1436)</f>
        <v>0</v>
      </c>
    </row>
    <row r="659" spans="16:20" x14ac:dyDescent="0.3">
      <c r="P659" s="310">
        <v>411</v>
      </c>
      <c r="Q659">
        <f t="shared" si="104"/>
        <v>0</v>
      </c>
      <c r="R659" s="280"/>
      <c r="S659" s="280">
        <f>R656/12</f>
        <v>0</v>
      </c>
      <c r="T659" s="227">
        <f>NPV($C$236/12,S660:$S$1436)</f>
        <v>0</v>
      </c>
    </row>
    <row r="660" spans="16:20" x14ac:dyDescent="0.3">
      <c r="P660" s="310">
        <v>412</v>
      </c>
      <c r="Q660">
        <f t="shared" si="104"/>
        <v>0</v>
      </c>
      <c r="R660" s="280"/>
      <c r="S660" s="280">
        <f>R656/12</f>
        <v>0</v>
      </c>
      <c r="T660" s="227">
        <f>NPV($C$236/12,S661:$S$1436)</f>
        <v>0</v>
      </c>
    </row>
    <row r="661" spans="16:20" x14ac:dyDescent="0.3">
      <c r="P661" s="310">
        <v>413</v>
      </c>
      <c r="Q661">
        <f t="shared" si="104"/>
        <v>0</v>
      </c>
      <c r="R661" s="280"/>
      <c r="S661" s="280">
        <f>R656/12</f>
        <v>0</v>
      </c>
      <c r="T661" s="227">
        <f>NPV($C$236/12,S662:$S$1436)</f>
        <v>0</v>
      </c>
    </row>
    <row r="662" spans="16:20" x14ac:dyDescent="0.3">
      <c r="P662" s="310">
        <v>414</v>
      </c>
      <c r="Q662">
        <f t="shared" si="104"/>
        <v>0</v>
      </c>
      <c r="R662" s="280"/>
      <c r="S662" s="280">
        <f>R656/12</f>
        <v>0</v>
      </c>
      <c r="T662" s="227">
        <f>NPV($C$236/12,S663:$S$1436)</f>
        <v>0</v>
      </c>
    </row>
    <row r="663" spans="16:20" x14ac:dyDescent="0.3">
      <c r="P663" s="310">
        <v>415</v>
      </c>
      <c r="Q663">
        <f t="shared" si="104"/>
        <v>0</v>
      </c>
      <c r="R663" s="280"/>
      <c r="S663" s="280">
        <f>R656/12</f>
        <v>0</v>
      </c>
      <c r="T663" s="227">
        <f>NPV($C$236/12,S664:$S$1436)</f>
        <v>0</v>
      </c>
    </row>
    <row r="664" spans="16:20" x14ac:dyDescent="0.3">
      <c r="P664" s="310">
        <v>416</v>
      </c>
      <c r="Q664">
        <f t="shared" si="104"/>
        <v>0</v>
      </c>
      <c r="R664" s="280"/>
      <c r="S664" s="280">
        <f>R656/12</f>
        <v>0</v>
      </c>
      <c r="T664" s="227">
        <f>NPV($C$236/12,S665:$S$1436)</f>
        <v>0</v>
      </c>
    </row>
    <row r="665" spans="16:20" x14ac:dyDescent="0.3">
      <c r="P665" s="310">
        <v>417</v>
      </c>
      <c r="Q665">
        <f t="shared" si="104"/>
        <v>0</v>
      </c>
      <c r="R665" s="280"/>
      <c r="S665" s="280">
        <f>R656/12</f>
        <v>0</v>
      </c>
      <c r="T665" s="227">
        <f>NPV($C$236/12,S666:$S$1436)</f>
        <v>0</v>
      </c>
    </row>
    <row r="666" spans="16:20" x14ac:dyDescent="0.3">
      <c r="P666" s="310">
        <v>418</v>
      </c>
      <c r="Q666">
        <f t="shared" si="104"/>
        <v>0</v>
      </c>
      <c r="R666" s="280"/>
      <c r="S666" s="280">
        <f>R656/12</f>
        <v>0</v>
      </c>
      <c r="T666" s="227">
        <f>NPV($C$236/12,S667:$S$1436)</f>
        <v>0</v>
      </c>
    </row>
    <row r="667" spans="16:20" x14ac:dyDescent="0.3">
      <c r="P667" s="310">
        <v>419</v>
      </c>
      <c r="Q667">
        <f t="shared" si="104"/>
        <v>0</v>
      </c>
      <c r="R667" s="280"/>
      <c r="S667" s="280">
        <f>R656/12</f>
        <v>0</v>
      </c>
      <c r="T667" s="227">
        <f>NPV($C$236/12,S668:$S$1436)</f>
        <v>0</v>
      </c>
    </row>
    <row r="668" spans="16:20" x14ac:dyDescent="0.3">
      <c r="P668" s="310">
        <v>420</v>
      </c>
      <c r="Q668">
        <f t="shared" si="104"/>
        <v>36</v>
      </c>
      <c r="R668" s="280">
        <f>LOOKUP(Q668,$Q$243:$DK$243,$Q$244:$DK$244)</f>
        <v>0</v>
      </c>
      <c r="S668" s="280">
        <f>R656/12</f>
        <v>0</v>
      </c>
      <c r="T668" s="227">
        <f>NPV($C$236/12,S669:$S$1436)</f>
        <v>0</v>
      </c>
    </row>
    <row r="669" spans="16:20" x14ac:dyDescent="0.3">
      <c r="P669" s="310">
        <v>421</v>
      </c>
      <c r="Q669">
        <f t="shared" si="104"/>
        <v>0</v>
      </c>
      <c r="R669" s="280"/>
      <c r="S669" s="280">
        <f>R668/12</f>
        <v>0</v>
      </c>
      <c r="T669" s="227">
        <f>NPV($C$236/12,S670:$S$1436)</f>
        <v>0</v>
      </c>
    </row>
    <row r="670" spans="16:20" x14ac:dyDescent="0.3">
      <c r="P670" s="310">
        <v>422</v>
      </c>
      <c r="Q670">
        <f t="shared" si="104"/>
        <v>0</v>
      </c>
      <c r="R670" s="280"/>
      <c r="S670" s="280">
        <f>R668/12</f>
        <v>0</v>
      </c>
      <c r="T670" s="227">
        <f>NPV($C$236/12,S671:$S$1436)</f>
        <v>0</v>
      </c>
    </row>
    <row r="671" spans="16:20" x14ac:dyDescent="0.3">
      <c r="P671" s="310">
        <v>423</v>
      </c>
      <c r="Q671">
        <f t="shared" si="104"/>
        <v>0</v>
      </c>
      <c r="R671" s="280"/>
      <c r="S671" s="280">
        <f>R668/12</f>
        <v>0</v>
      </c>
      <c r="T671" s="227">
        <f>NPV($C$236/12,S672:$S$1436)</f>
        <v>0</v>
      </c>
    </row>
    <row r="672" spans="16:20" x14ac:dyDescent="0.3">
      <c r="P672" s="310">
        <v>424</v>
      </c>
      <c r="Q672">
        <f t="shared" si="104"/>
        <v>0</v>
      </c>
      <c r="R672" s="280"/>
      <c r="S672" s="280">
        <f>R668/12</f>
        <v>0</v>
      </c>
      <c r="T672" s="227">
        <f>NPV($C$236/12,S673:$S$1436)</f>
        <v>0</v>
      </c>
    </row>
    <row r="673" spans="16:20" x14ac:dyDescent="0.3">
      <c r="P673" s="310">
        <v>425</v>
      </c>
      <c r="Q673">
        <f t="shared" si="104"/>
        <v>0</v>
      </c>
      <c r="R673" s="280"/>
      <c r="S673" s="280">
        <f>R668/12</f>
        <v>0</v>
      </c>
      <c r="T673" s="227">
        <f>NPV($C$236/12,S674:$S$1436)</f>
        <v>0</v>
      </c>
    </row>
    <row r="674" spans="16:20" x14ac:dyDescent="0.3">
      <c r="P674" s="310">
        <v>426</v>
      </c>
      <c r="Q674">
        <f t="shared" si="104"/>
        <v>0</v>
      </c>
      <c r="R674" s="280"/>
      <c r="S674" s="280">
        <f>R668/12</f>
        <v>0</v>
      </c>
      <c r="T674" s="227">
        <f>NPV($C$236/12,S675:$S$1436)</f>
        <v>0</v>
      </c>
    </row>
    <row r="675" spans="16:20" x14ac:dyDescent="0.3">
      <c r="P675" s="310">
        <v>427</v>
      </c>
      <c r="Q675">
        <f t="shared" si="104"/>
        <v>0</v>
      </c>
      <c r="R675" s="280"/>
      <c r="S675" s="280">
        <f>R668/12</f>
        <v>0</v>
      </c>
      <c r="T675" s="227">
        <f>NPV($C$236/12,S676:$S$1436)</f>
        <v>0</v>
      </c>
    </row>
    <row r="676" spans="16:20" x14ac:dyDescent="0.3">
      <c r="P676" s="310">
        <v>428</v>
      </c>
      <c r="Q676">
        <f t="shared" si="104"/>
        <v>0</v>
      </c>
      <c r="R676" s="280"/>
      <c r="S676" s="280">
        <f>R668/12</f>
        <v>0</v>
      </c>
      <c r="T676" s="227">
        <f>NPV($C$236/12,S677:$S$1436)</f>
        <v>0</v>
      </c>
    </row>
    <row r="677" spans="16:20" x14ac:dyDescent="0.3">
      <c r="P677" s="310">
        <v>429</v>
      </c>
      <c r="Q677">
        <f t="shared" si="104"/>
        <v>0</v>
      </c>
      <c r="R677" s="280"/>
      <c r="S677" s="280">
        <f>R668/12</f>
        <v>0</v>
      </c>
      <c r="T677" s="227">
        <f>NPV($C$236/12,S678:$S$1436)</f>
        <v>0</v>
      </c>
    </row>
    <row r="678" spans="16:20" x14ac:dyDescent="0.3">
      <c r="P678" s="310">
        <v>430</v>
      </c>
      <c r="Q678">
        <f t="shared" si="104"/>
        <v>0</v>
      </c>
      <c r="R678" s="280"/>
      <c r="S678" s="280">
        <f>R668/12</f>
        <v>0</v>
      </c>
      <c r="T678" s="227">
        <f>NPV($C$236/12,S679:$S$1436)</f>
        <v>0</v>
      </c>
    </row>
    <row r="679" spans="16:20" x14ac:dyDescent="0.3">
      <c r="P679" s="310">
        <v>431</v>
      </c>
      <c r="Q679">
        <f t="shared" si="104"/>
        <v>0</v>
      </c>
      <c r="R679" s="280"/>
      <c r="S679" s="280">
        <f>R668/12</f>
        <v>0</v>
      </c>
      <c r="T679" s="227">
        <f>NPV($C$236/12,S680:$S$1436)</f>
        <v>0</v>
      </c>
    </row>
    <row r="680" spans="16:20" x14ac:dyDescent="0.3">
      <c r="P680" s="310">
        <v>432</v>
      </c>
      <c r="Q680">
        <f t="shared" si="104"/>
        <v>37</v>
      </c>
      <c r="R680" s="280">
        <f>LOOKUP(Q680,$Q$243:$DK$243,$Q$244:$DK$244)</f>
        <v>0</v>
      </c>
      <c r="S680" s="280">
        <f>R668/12</f>
        <v>0</v>
      </c>
      <c r="T680" s="227">
        <f>NPV($C$236/12,S681:$S$1436)</f>
        <v>0</v>
      </c>
    </row>
    <row r="681" spans="16:20" x14ac:dyDescent="0.3">
      <c r="P681" s="310">
        <v>433</v>
      </c>
      <c r="Q681">
        <f t="shared" si="104"/>
        <v>0</v>
      </c>
      <c r="R681" s="280"/>
      <c r="S681" s="280">
        <f>R680/12</f>
        <v>0</v>
      </c>
      <c r="T681" s="227">
        <f>NPV($C$236/12,S682:$S$1436)</f>
        <v>0</v>
      </c>
    </row>
    <row r="682" spans="16:20" x14ac:dyDescent="0.3">
      <c r="P682" s="310">
        <v>434</v>
      </c>
      <c r="Q682">
        <f t="shared" si="104"/>
        <v>0</v>
      </c>
      <c r="R682" s="280"/>
      <c r="S682" s="280">
        <f>R680/12</f>
        <v>0</v>
      </c>
      <c r="T682" s="227">
        <f>NPV($C$236/12,S683:$S$1436)</f>
        <v>0</v>
      </c>
    </row>
    <row r="683" spans="16:20" x14ac:dyDescent="0.3">
      <c r="P683" s="310">
        <v>435</v>
      </c>
      <c r="Q683">
        <f t="shared" si="104"/>
        <v>0</v>
      </c>
      <c r="R683" s="280"/>
      <c r="S683" s="280">
        <f>R680/12</f>
        <v>0</v>
      </c>
      <c r="T683" s="227">
        <f>NPV($C$236/12,S684:$S$1436)</f>
        <v>0</v>
      </c>
    </row>
    <row r="684" spans="16:20" x14ac:dyDescent="0.3">
      <c r="P684" s="310">
        <v>436</v>
      </c>
      <c r="Q684">
        <f t="shared" si="104"/>
        <v>0</v>
      </c>
      <c r="R684" s="280"/>
      <c r="S684" s="280">
        <f>R680/12</f>
        <v>0</v>
      </c>
      <c r="T684" s="227">
        <f>NPV($C$236/12,S685:$S$1436)</f>
        <v>0</v>
      </c>
    </row>
    <row r="685" spans="16:20" x14ac:dyDescent="0.3">
      <c r="P685" s="310">
        <v>437</v>
      </c>
      <c r="Q685">
        <f t="shared" si="104"/>
        <v>0</v>
      </c>
      <c r="R685" s="280"/>
      <c r="S685" s="280">
        <f>R680/12</f>
        <v>0</v>
      </c>
      <c r="T685" s="227">
        <f>NPV($C$236/12,S686:$S$1436)</f>
        <v>0</v>
      </c>
    </row>
    <row r="686" spans="16:20" x14ac:dyDescent="0.3">
      <c r="P686" s="310">
        <v>438</v>
      </c>
      <c r="Q686">
        <f t="shared" si="104"/>
        <v>0</v>
      </c>
      <c r="R686" s="280"/>
      <c r="S686" s="280">
        <f>R680/12</f>
        <v>0</v>
      </c>
      <c r="T686" s="227">
        <f>NPV($C$236/12,S687:$S$1436)</f>
        <v>0</v>
      </c>
    </row>
    <row r="687" spans="16:20" x14ac:dyDescent="0.3">
      <c r="P687" s="310">
        <v>439</v>
      </c>
      <c r="Q687">
        <f t="shared" si="104"/>
        <v>0</v>
      </c>
      <c r="R687" s="280"/>
      <c r="S687" s="280">
        <f>R680/12</f>
        <v>0</v>
      </c>
      <c r="T687" s="227">
        <f>NPV($C$236/12,S688:$S$1436)</f>
        <v>0</v>
      </c>
    </row>
    <row r="688" spans="16:20" x14ac:dyDescent="0.3">
      <c r="P688" s="310">
        <v>440</v>
      </c>
      <c r="Q688">
        <f t="shared" si="104"/>
        <v>0</v>
      </c>
      <c r="R688" s="280"/>
      <c r="S688" s="280">
        <f>R680/12</f>
        <v>0</v>
      </c>
      <c r="T688" s="227">
        <f>NPV($C$236/12,S689:$S$1436)</f>
        <v>0</v>
      </c>
    </row>
    <row r="689" spans="16:20" x14ac:dyDescent="0.3">
      <c r="P689" s="310">
        <v>441</v>
      </c>
      <c r="Q689">
        <f t="shared" si="104"/>
        <v>0</v>
      </c>
      <c r="R689" s="280"/>
      <c r="S689" s="280">
        <f>R680/12</f>
        <v>0</v>
      </c>
      <c r="T689" s="227">
        <f>NPV($C$236/12,S690:$S$1436)</f>
        <v>0</v>
      </c>
    </row>
    <row r="690" spans="16:20" x14ac:dyDescent="0.3">
      <c r="P690" s="310">
        <v>442</v>
      </c>
      <c r="Q690">
        <f t="shared" si="104"/>
        <v>0</v>
      </c>
      <c r="R690" s="280"/>
      <c r="S690" s="280">
        <f>R680/12</f>
        <v>0</v>
      </c>
      <c r="T690" s="227">
        <f>NPV($C$236/12,S691:$S$1436)</f>
        <v>0</v>
      </c>
    </row>
    <row r="691" spans="16:20" x14ac:dyDescent="0.3">
      <c r="P691" s="310">
        <v>443</v>
      </c>
      <c r="Q691">
        <f t="shared" si="104"/>
        <v>0</v>
      </c>
      <c r="R691" s="280"/>
      <c r="S691" s="280">
        <f>R680/12</f>
        <v>0</v>
      </c>
      <c r="T691" s="227">
        <f>NPV($C$236/12,S692:$S$1436)</f>
        <v>0</v>
      </c>
    </row>
    <row r="692" spans="16:20" x14ac:dyDescent="0.3">
      <c r="P692" s="310">
        <v>444</v>
      </c>
      <c r="Q692">
        <f t="shared" si="104"/>
        <v>38</v>
      </c>
      <c r="R692" s="280">
        <f>LOOKUP(Q692,$Q$243:$DK$243,$Q$244:$DK$244)</f>
        <v>0</v>
      </c>
      <c r="S692" s="280">
        <f>R680/12</f>
        <v>0</v>
      </c>
      <c r="T692" s="227">
        <f>NPV($C$236/12,S693:$S$1436)</f>
        <v>0</v>
      </c>
    </row>
    <row r="693" spans="16:20" x14ac:dyDescent="0.3">
      <c r="P693" s="310">
        <v>445</v>
      </c>
      <c r="Q693">
        <f t="shared" si="104"/>
        <v>0</v>
      </c>
      <c r="R693" s="280"/>
      <c r="S693" s="280">
        <f>R692/12</f>
        <v>0</v>
      </c>
      <c r="T693" s="227">
        <f>NPV($C$236/12,S694:$S$1436)</f>
        <v>0</v>
      </c>
    </row>
    <row r="694" spans="16:20" x14ac:dyDescent="0.3">
      <c r="P694" s="310">
        <v>446</v>
      </c>
      <c r="Q694">
        <f t="shared" si="104"/>
        <v>0</v>
      </c>
      <c r="R694" s="280"/>
      <c r="S694" s="280">
        <f>R692/12</f>
        <v>0</v>
      </c>
      <c r="T694" s="227">
        <f>NPV($C$236/12,S695:$S$1436)</f>
        <v>0</v>
      </c>
    </row>
    <row r="695" spans="16:20" x14ac:dyDescent="0.3">
      <c r="P695" s="310">
        <v>447</v>
      </c>
      <c r="Q695">
        <f t="shared" si="104"/>
        <v>0</v>
      </c>
      <c r="R695" s="280"/>
      <c r="S695" s="280">
        <f>R692/12</f>
        <v>0</v>
      </c>
      <c r="T695" s="227">
        <f>NPV($C$236/12,S696:$S$1436)</f>
        <v>0</v>
      </c>
    </row>
    <row r="696" spans="16:20" x14ac:dyDescent="0.3">
      <c r="P696" s="310">
        <v>448</v>
      </c>
      <c r="Q696">
        <f t="shared" si="104"/>
        <v>0</v>
      </c>
      <c r="R696" s="280"/>
      <c r="S696" s="280">
        <f>R692/12</f>
        <v>0</v>
      </c>
      <c r="T696" s="227">
        <f>NPV($C$236/12,S697:$S$1436)</f>
        <v>0</v>
      </c>
    </row>
    <row r="697" spans="16:20" x14ac:dyDescent="0.3">
      <c r="P697" s="310">
        <v>449</v>
      </c>
      <c r="Q697">
        <f t="shared" ref="Q697:Q760" si="105">IF(MOD(P697,12)=0,(P697/12)+1,0)</f>
        <v>0</v>
      </c>
      <c r="R697" s="280"/>
      <c r="S697" s="280">
        <f>R692/12</f>
        <v>0</v>
      </c>
      <c r="T697" s="227">
        <f>NPV($C$236/12,S698:$S$1436)</f>
        <v>0</v>
      </c>
    </row>
    <row r="698" spans="16:20" x14ac:dyDescent="0.3">
      <c r="P698" s="310">
        <v>450</v>
      </c>
      <c r="Q698">
        <f t="shared" si="105"/>
        <v>0</v>
      </c>
      <c r="R698" s="280"/>
      <c r="S698" s="280">
        <f>R692/12</f>
        <v>0</v>
      </c>
      <c r="T698" s="227">
        <f>NPV($C$236/12,S699:$S$1436)</f>
        <v>0</v>
      </c>
    </row>
    <row r="699" spans="16:20" x14ac:dyDescent="0.3">
      <c r="P699" s="310">
        <v>451</v>
      </c>
      <c r="Q699">
        <f t="shared" si="105"/>
        <v>0</v>
      </c>
      <c r="R699" s="280"/>
      <c r="S699" s="280">
        <f>R692/12</f>
        <v>0</v>
      </c>
      <c r="T699" s="227">
        <f>NPV($C$236/12,S700:$S$1436)</f>
        <v>0</v>
      </c>
    </row>
    <row r="700" spans="16:20" x14ac:dyDescent="0.3">
      <c r="P700" s="310">
        <v>452</v>
      </c>
      <c r="Q700">
        <f t="shared" si="105"/>
        <v>0</v>
      </c>
      <c r="R700" s="280"/>
      <c r="S700" s="280">
        <f>R692/12</f>
        <v>0</v>
      </c>
      <c r="T700" s="227">
        <f>NPV($C$236/12,S701:$S$1436)</f>
        <v>0</v>
      </c>
    </row>
    <row r="701" spans="16:20" x14ac:dyDescent="0.3">
      <c r="P701" s="310">
        <v>453</v>
      </c>
      <c r="Q701">
        <f t="shared" si="105"/>
        <v>0</v>
      </c>
      <c r="R701" s="280"/>
      <c r="S701" s="280">
        <f>R692/12</f>
        <v>0</v>
      </c>
      <c r="T701" s="227">
        <f>NPV($C$236/12,S702:$S$1436)</f>
        <v>0</v>
      </c>
    </row>
    <row r="702" spans="16:20" x14ac:dyDescent="0.3">
      <c r="P702" s="310">
        <v>454</v>
      </c>
      <c r="Q702">
        <f t="shared" si="105"/>
        <v>0</v>
      </c>
      <c r="R702" s="280"/>
      <c r="S702" s="280">
        <f>R692/12</f>
        <v>0</v>
      </c>
      <c r="T702" s="227">
        <f>NPV($C$236/12,S703:$S$1436)</f>
        <v>0</v>
      </c>
    </row>
    <row r="703" spans="16:20" x14ac:dyDescent="0.3">
      <c r="P703" s="310">
        <v>455</v>
      </c>
      <c r="Q703">
        <f t="shared" si="105"/>
        <v>0</v>
      </c>
      <c r="R703" s="280"/>
      <c r="S703" s="280">
        <f>R692/12</f>
        <v>0</v>
      </c>
      <c r="T703" s="227">
        <f>NPV($C$236/12,S704:$S$1436)</f>
        <v>0</v>
      </c>
    </row>
    <row r="704" spans="16:20" x14ac:dyDescent="0.3">
      <c r="P704" s="310">
        <v>456</v>
      </c>
      <c r="Q704">
        <f t="shared" si="105"/>
        <v>39</v>
      </c>
      <c r="R704" s="280">
        <f>LOOKUP(Q704,$Q$243:$DK$243,$Q$244:$DK$244)</f>
        <v>0</v>
      </c>
      <c r="S704" s="280">
        <f>R692/12</f>
        <v>0</v>
      </c>
      <c r="T704" s="227">
        <f>NPV($C$236/12,S705:$S$1436)</f>
        <v>0</v>
      </c>
    </row>
    <row r="705" spans="16:20" x14ac:dyDescent="0.3">
      <c r="P705" s="310">
        <v>457</v>
      </c>
      <c r="Q705">
        <f t="shared" si="105"/>
        <v>0</v>
      </c>
      <c r="R705" s="280"/>
      <c r="S705" s="280">
        <f>R704/12</f>
        <v>0</v>
      </c>
      <c r="T705" s="227">
        <f>NPV($C$236/12,S706:$S$1436)</f>
        <v>0</v>
      </c>
    </row>
    <row r="706" spans="16:20" x14ac:dyDescent="0.3">
      <c r="P706" s="310">
        <v>458</v>
      </c>
      <c r="Q706">
        <f t="shared" si="105"/>
        <v>0</v>
      </c>
      <c r="R706" s="280"/>
      <c r="S706" s="280">
        <f>R704/12</f>
        <v>0</v>
      </c>
      <c r="T706" s="227">
        <f>NPV($C$236/12,S707:$S$1436)</f>
        <v>0</v>
      </c>
    </row>
    <row r="707" spans="16:20" x14ac:dyDescent="0.3">
      <c r="P707" s="310">
        <v>459</v>
      </c>
      <c r="Q707">
        <f t="shared" si="105"/>
        <v>0</v>
      </c>
      <c r="R707" s="280"/>
      <c r="S707" s="280">
        <f>R704/12</f>
        <v>0</v>
      </c>
      <c r="T707" s="227">
        <f>NPV($C$236/12,S708:$S$1436)</f>
        <v>0</v>
      </c>
    </row>
    <row r="708" spans="16:20" x14ac:dyDescent="0.3">
      <c r="P708" s="310">
        <v>460</v>
      </c>
      <c r="Q708">
        <f t="shared" si="105"/>
        <v>0</v>
      </c>
      <c r="R708" s="280"/>
      <c r="S708" s="280">
        <f>R704/12</f>
        <v>0</v>
      </c>
      <c r="T708" s="227">
        <f>NPV($C$236/12,S709:$S$1436)</f>
        <v>0</v>
      </c>
    </row>
    <row r="709" spans="16:20" x14ac:dyDescent="0.3">
      <c r="P709" s="310">
        <v>461</v>
      </c>
      <c r="Q709">
        <f t="shared" si="105"/>
        <v>0</v>
      </c>
      <c r="R709" s="280"/>
      <c r="S709" s="280">
        <f>R704/12</f>
        <v>0</v>
      </c>
      <c r="T709" s="227">
        <f>NPV($C$236/12,S710:$S$1436)</f>
        <v>0</v>
      </c>
    </row>
    <row r="710" spans="16:20" x14ac:dyDescent="0.3">
      <c r="P710" s="310">
        <v>462</v>
      </c>
      <c r="Q710">
        <f t="shared" si="105"/>
        <v>0</v>
      </c>
      <c r="R710" s="280"/>
      <c r="S710" s="280">
        <f>R704/12</f>
        <v>0</v>
      </c>
      <c r="T710" s="227">
        <f>NPV($C$236/12,S711:$S$1436)</f>
        <v>0</v>
      </c>
    </row>
    <row r="711" spans="16:20" x14ac:dyDescent="0.3">
      <c r="P711" s="310">
        <v>463</v>
      </c>
      <c r="Q711">
        <f t="shared" si="105"/>
        <v>0</v>
      </c>
      <c r="R711" s="280"/>
      <c r="S711" s="280">
        <f>R704/12</f>
        <v>0</v>
      </c>
      <c r="T711" s="227">
        <f>NPV($C$236/12,S712:$S$1436)</f>
        <v>0</v>
      </c>
    </row>
    <row r="712" spans="16:20" x14ac:dyDescent="0.3">
      <c r="P712" s="310">
        <v>464</v>
      </c>
      <c r="Q712">
        <f t="shared" si="105"/>
        <v>0</v>
      </c>
      <c r="R712" s="280"/>
      <c r="S712" s="280">
        <f>R704/12</f>
        <v>0</v>
      </c>
      <c r="T712" s="227">
        <f>NPV($C$236/12,S713:$S$1436)</f>
        <v>0</v>
      </c>
    </row>
    <row r="713" spans="16:20" x14ac:dyDescent="0.3">
      <c r="P713" s="310">
        <v>465</v>
      </c>
      <c r="Q713">
        <f t="shared" si="105"/>
        <v>0</v>
      </c>
      <c r="R713" s="280"/>
      <c r="S713" s="280">
        <f>R704/12</f>
        <v>0</v>
      </c>
      <c r="T713" s="227">
        <f>NPV($C$236/12,S714:$S$1436)</f>
        <v>0</v>
      </c>
    </row>
    <row r="714" spans="16:20" x14ac:dyDescent="0.3">
      <c r="P714" s="310">
        <v>466</v>
      </c>
      <c r="Q714">
        <f t="shared" si="105"/>
        <v>0</v>
      </c>
      <c r="R714" s="280"/>
      <c r="S714" s="280">
        <f>R704/12</f>
        <v>0</v>
      </c>
      <c r="T714" s="227">
        <f>NPV($C$236/12,S715:$S$1436)</f>
        <v>0</v>
      </c>
    </row>
    <row r="715" spans="16:20" x14ac:dyDescent="0.3">
      <c r="P715" s="310">
        <v>467</v>
      </c>
      <c r="Q715">
        <f t="shared" si="105"/>
        <v>0</v>
      </c>
      <c r="R715" s="280"/>
      <c r="S715" s="280">
        <f>R704/12</f>
        <v>0</v>
      </c>
      <c r="T715" s="227">
        <f>NPV($C$236/12,S716:$S$1436)</f>
        <v>0</v>
      </c>
    </row>
    <row r="716" spans="16:20" x14ac:dyDescent="0.3">
      <c r="P716" s="310">
        <v>468</v>
      </c>
      <c r="Q716">
        <f t="shared" si="105"/>
        <v>40</v>
      </c>
      <c r="R716" s="280">
        <f>LOOKUP(Q716,$Q$243:$DK$243,$Q$244:$DK$244)</f>
        <v>0</v>
      </c>
      <c r="S716" s="280">
        <f>R704/12</f>
        <v>0</v>
      </c>
      <c r="T716" s="227">
        <f>NPV($C$236/12,S717:$S$1436)</f>
        <v>0</v>
      </c>
    </row>
    <row r="717" spans="16:20" x14ac:dyDescent="0.3">
      <c r="P717" s="310">
        <v>469</v>
      </c>
      <c r="Q717">
        <f t="shared" si="105"/>
        <v>0</v>
      </c>
      <c r="R717" s="280"/>
      <c r="S717" s="280">
        <f>R716/12</f>
        <v>0</v>
      </c>
      <c r="T717" s="227">
        <f>NPV($C$236/12,S718:$S$1436)</f>
        <v>0</v>
      </c>
    </row>
    <row r="718" spans="16:20" x14ac:dyDescent="0.3">
      <c r="P718" s="310">
        <v>470</v>
      </c>
      <c r="Q718">
        <f t="shared" si="105"/>
        <v>0</v>
      </c>
      <c r="R718" s="280"/>
      <c r="S718" s="280">
        <f>R716/12</f>
        <v>0</v>
      </c>
      <c r="T718" s="227">
        <f>NPV($C$236/12,S719:$S$1436)</f>
        <v>0</v>
      </c>
    </row>
    <row r="719" spans="16:20" x14ac:dyDescent="0.3">
      <c r="P719" s="310">
        <v>471</v>
      </c>
      <c r="Q719">
        <f t="shared" si="105"/>
        <v>0</v>
      </c>
      <c r="R719" s="280"/>
      <c r="S719" s="280">
        <f>R716/12</f>
        <v>0</v>
      </c>
      <c r="T719" s="227">
        <f>NPV($C$236/12,S720:$S$1436)</f>
        <v>0</v>
      </c>
    </row>
    <row r="720" spans="16:20" x14ac:dyDescent="0.3">
      <c r="P720" s="310">
        <v>472</v>
      </c>
      <c r="Q720">
        <f t="shared" si="105"/>
        <v>0</v>
      </c>
      <c r="R720" s="280"/>
      <c r="S720" s="280">
        <f>R716/12</f>
        <v>0</v>
      </c>
      <c r="T720" s="227">
        <f>NPV($C$236/12,S721:$S$1436)</f>
        <v>0</v>
      </c>
    </row>
    <row r="721" spans="16:20" x14ac:dyDescent="0.3">
      <c r="P721" s="310">
        <v>473</v>
      </c>
      <c r="Q721">
        <f t="shared" si="105"/>
        <v>0</v>
      </c>
      <c r="R721" s="280"/>
      <c r="S721" s="280">
        <f>R716/12</f>
        <v>0</v>
      </c>
      <c r="T721" s="227">
        <f>NPV($C$236/12,S722:$S$1436)</f>
        <v>0</v>
      </c>
    </row>
    <row r="722" spans="16:20" x14ac:dyDescent="0.3">
      <c r="P722" s="310">
        <v>474</v>
      </c>
      <c r="Q722">
        <f t="shared" si="105"/>
        <v>0</v>
      </c>
      <c r="R722" s="280"/>
      <c r="S722" s="280">
        <f>R716/12</f>
        <v>0</v>
      </c>
      <c r="T722" s="227">
        <f>NPV($C$236/12,S723:$S$1436)</f>
        <v>0</v>
      </c>
    </row>
    <row r="723" spans="16:20" x14ac:dyDescent="0.3">
      <c r="P723" s="310">
        <v>475</v>
      </c>
      <c r="Q723">
        <f t="shared" si="105"/>
        <v>0</v>
      </c>
      <c r="R723" s="280"/>
      <c r="S723" s="280">
        <f>R716/12</f>
        <v>0</v>
      </c>
      <c r="T723" s="227">
        <f>NPV($C$236/12,S724:$S$1436)</f>
        <v>0</v>
      </c>
    </row>
    <row r="724" spans="16:20" x14ac:dyDescent="0.3">
      <c r="P724" s="310">
        <v>476</v>
      </c>
      <c r="Q724">
        <f t="shared" si="105"/>
        <v>0</v>
      </c>
      <c r="R724" s="280"/>
      <c r="S724" s="280">
        <f>R716/12</f>
        <v>0</v>
      </c>
      <c r="T724" s="227">
        <f>NPV($C$236/12,S725:$S$1436)</f>
        <v>0</v>
      </c>
    </row>
    <row r="725" spans="16:20" x14ac:dyDescent="0.3">
      <c r="P725" s="310">
        <v>477</v>
      </c>
      <c r="Q725">
        <f t="shared" si="105"/>
        <v>0</v>
      </c>
      <c r="R725" s="280"/>
      <c r="S725" s="280">
        <f>R716/12</f>
        <v>0</v>
      </c>
      <c r="T725" s="227">
        <f>NPV($C$236/12,S726:$S$1436)</f>
        <v>0</v>
      </c>
    </row>
    <row r="726" spans="16:20" x14ac:dyDescent="0.3">
      <c r="P726" s="310">
        <v>478</v>
      </c>
      <c r="Q726">
        <f t="shared" si="105"/>
        <v>0</v>
      </c>
      <c r="R726" s="280"/>
      <c r="S726" s="280">
        <f>R716/12</f>
        <v>0</v>
      </c>
      <c r="T726" s="227">
        <f>NPV($C$236/12,S727:$S$1436)</f>
        <v>0</v>
      </c>
    </row>
    <row r="727" spans="16:20" x14ac:dyDescent="0.3">
      <c r="P727" s="310">
        <v>479</v>
      </c>
      <c r="Q727">
        <f t="shared" si="105"/>
        <v>0</v>
      </c>
      <c r="R727" s="280"/>
      <c r="S727" s="280">
        <f>R716/12</f>
        <v>0</v>
      </c>
      <c r="T727" s="227">
        <f>NPV($C$236/12,S728:$S$1436)</f>
        <v>0</v>
      </c>
    </row>
    <row r="728" spans="16:20" x14ac:dyDescent="0.3">
      <c r="P728" s="310">
        <v>480</v>
      </c>
      <c r="Q728">
        <f t="shared" si="105"/>
        <v>41</v>
      </c>
      <c r="R728" s="280">
        <f>LOOKUP(Q728,$Q$243:$DK$243,$Q$244:$DK$244)</f>
        <v>0</v>
      </c>
      <c r="S728" s="280">
        <f>R716/12</f>
        <v>0</v>
      </c>
      <c r="T728" s="227">
        <f>NPV($C$236/12,S729:$S$1436)</f>
        <v>0</v>
      </c>
    </row>
    <row r="729" spans="16:20" x14ac:dyDescent="0.3">
      <c r="P729" s="310">
        <v>481</v>
      </c>
      <c r="Q729">
        <f t="shared" si="105"/>
        <v>0</v>
      </c>
      <c r="R729" s="280"/>
      <c r="S729" s="280">
        <f>R728/12</f>
        <v>0</v>
      </c>
      <c r="T729" s="227">
        <f>NPV($C$236/12,S730:$S$1436)</f>
        <v>0</v>
      </c>
    </row>
    <row r="730" spans="16:20" x14ac:dyDescent="0.3">
      <c r="P730" s="310">
        <v>482</v>
      </c>
      <c r="Q730">
        <f t="shared" si="105"/>
        <v>0</v>
      </c>
      <c r="R730" s="280"/>
      <c r="S730" s="280">
        <f>R728/12</f>
        <v>0</v>
      </c>
      <c r="T730" s="227">
        <f>NPV($C$236/12,S731:$S$1436)</f>
        <v>0</v>
      </c>
    </row>
    <row r="731" spans="16:20" x14ac:dyDescent="0.3">
      <c r="P731" s="310">
        <v>483</v>
      </c>
      <c r="Q731">
        <f t="shared" si="105"/>
        <v>0</v>
      </c>
      <c r="R731" s="280"/>
      <c r="S731" s="280">
        <f>R728/12</f>
        <v>0</v>
      </c>
      <c r="T731" s="227">
        <f>NPV($C$236/12,S732:$S$1436)</f>
        <v>0</v>
      </c>
    </row>
    <row r="732" spans="16:20" x14ac:dyDescent="0.3">
      <c r="P732" s="310">
        <v>484</v>
      </c>
      <c r="Q732">
        <f t="shared" si="105"/>
        <v>0</v>
      </c>
      <c r="R732" s="280"/>
      <c r="S732" s="280">
        <f>R728/12</f>
        <v>0</v>
      </c>
      <c r="T732" s="227">
        <f>NPV($C$236/12,S733:$S$1436)</f>
        <v>0</v>
      </c>
    </row>
    <row r="733" spans="16:20" x14ac:dyDescent="0.3">
      <c r="P733" s="310">
        <v>485</v>
      </c>
      <c r="Q733">
        <f t="shared" si="105"/>
        <v>0</v>
      </c>
      <c r="R733" s="280"/>
      <c r="S733" s="280">
        <f>R728/12</f>
        <v>0</v>
      </c>
      <c r="T733" s="227">
        <f>NPV($C$236/12,S734:$S$1436)</f>
        <v>0</v>
      </c>
    </row>
    <row r="734" spans="16:20" x14ac:dyDescent="0.3">
      <c r="P734" s="310">
        <v>486</v>
      </c>
      <c r="Q734">
        <f t="shared" si="105"/>
        <v>0</v>
      </c>
      <c r="R734" s="280"/>
      <c r="S734" s="280">
        <f>R728/12</f>
        <v>0</v>
      </c>
      <c r="T734" s="227">
        <f>NPV($C$236/12,S735:$S$1436)</f>
        <v>0</v>
      </c>
    </row>
    <row r="735" spans="16:20" x14ac:dyDescent="0.3">
      <c r="P735" s="310">
        <v>487</v>
      </c>
      <c r="Q735">
        <f t="shared" si="105"/>
        <v>0</v>
      </c>
      <c r="R735" s="280"/>
      <c r="S735" s="280">
        <f>R728/12</f>
        <v>0</v>
      </c>
      <c r="T735" s="227">
        <f>NPV($C$236/12,S736:$S$1436)</f>
        <v>0</v>
      </c>
    </row>
    <row r="736" spans="16:20" x14ac:dyDescent="0.3">
      <c r="P736" s="310">
        <v>488</v>
      </c>
      <c r="Q736">
        <f t="shared" si="105"/>
        <v>0</v>
      </c>
      <c r="R736" s="280"/>
      <c r="S736" s="280">
        <f>R728/12</f>
        <v>0</v>
      </c>
      <c r="T736" s="227">
        <f>NPV($C$236/12,S737:$S$1436)</f>
        <v>0</v>
      </c>
    </row>
    <row r="737" spans="16:20" x14ac:dyDescent="0.3">
      <c r="P737" s="310">
        <v>489</v>
      </c>
      <c r="Q737">
        <f t="shared" si="105"/>
        <v>0</v>
      </c>
      <c r="R737" s="280"/>
      <c r="S737" s="280">
        <f>R728/12</f>
        <v>0</v>
      </c>
      <c r="T737" s="227">
        <f>NPV($C$236/12,S738:$S$1436)</f>
        <v>0</v>
      </c>
    </row>
    <row r="738" spans="16:20" x14ac:dyDescent="0.3">
      <c r="P738" s="310">
        <v>490</v>
      </c>
      <c r="Q738">
        <f t="shared" si="105"/>
        <v>0</v>
      </c>
      <c r="R738" s="280"/>
      <c r="S738" s="280">
        <f>R728/12</f>
        <v>0</v>
      </c>
      <c r="T738" s="227">
        <f>NPV($C$236/12,S739:$S$1436)</f>
        <v>0</v>
      </c>
    </row>
    <row r="739" spans="16:20" x14ac:dyDescent="0.3">
      <c r="P739" s="310">
        <v>491</v>
      </c>
      <c r="Q739">
        <f t="shared" si="105"/>
        <v>0</v>
      </c>
      <c r="R739" s="280"/>
      <c r="S739" s="280">
        <f>R728/12</f>
        <v>0</v>
      </c>
      <c r="T739" s="227">
        <f>NPV($C$236/12,S740:$S$1436)</f>
        <v>0</v>
      </c>
    </row>
    <row r="740" spans="16:20" x14ac:dyDescent="0.3">
      <c r="P740" s="310">
        <v>492</v>
      </c>
      <c r="Q740">
        <f t="shared" si="105"/>
        <v>42</v>
      </c>
      <c r="R740" s="280">
        <f>LOOKUP(Q740,$Q$243:$DK$243,$Q$244:$DK$244)</f>
        <v>0</v>
      </c>
      <c r="S740" s="280">
        <f>R728/12</f>
        <v>0</v>
      </c>
      <c r="T740" s="227">
        <f>NPV($C$236/12,S741:$S$1436)</f>
        <v>0</v>
      </c>
    </row>
    <row r="741" spans="16:20" x14ac:dyDescent="0.3">
      <c r="P741" s="310">
        <v>493</v>
      </c>
      <c r="Q741">
        <f t="shared" si="105"/>
        <v>0</v>
      </c>
      <c r="R741" s="280"/>
      <c r="S741" s="280">
        <f>R740/12</f>
        <v>0</v>
      </c>
      <c r="T741" s="227">
        <f>NPV($C$236/12,S742:$S$1436)</f>
        <v>0</v>
      </c>
    </row>
    <row r="742" spans="16:20" x14ac:dyDescent="0.3">
      <c r="P742" s="310">
        <v>494</v>
      </c>
      <c r="Q742">
        <f t="shared" si="105"/>
        <v>0</v>
      </c>
      <c r="R742" s="280"/>
      <c r="S742" s="280">
        <f>R740/12</f>
        <v>0</v>
      </c>
      <c r="T742" s="227">
        <f>NPV($C$236/12,S743:$S$1436)</f>
        <v>0</v>
      </c>
    </row>
    <row r="743" spans="16:20" x14ac:dyDescent="0.3">
      <c r="P743" s="310">
        <v>495</v>
      </c>
      <c r="Q743">
        <f t="shared" si="105"/>
        <v>0</v>
      </c>
      <c r="R743" s="280"/>
      <c r="S743" s="280">
        <f>R740/12</f>
        <v>0</v>
      </c>
      <c r="T743" s="227">
        <f>NPV($C$236/12,S744:$S$1436)</f>
        <v>0</v>
      </c>
    </row>
    <row r="744" spans="16:20" x14ac:dyDescent="0.3">
      <c r="P744" s="310">
        <v>496</v>
      </c>
      <c r="Q744">
        <f t="shared" si="105"/>
        <v>0</v>
      </c>
      <c r="R744" s="280"/>
      <c r="S744" s="280">
        <f>R740/12</f>
        <v>0</v>
      </c>
      <c r="T744" s="227">
        <f>NPV($C$236/12,S745:$S$1436)</f>
        <v>0</v>
      </c>
    </row>
    <row r="745" spans="16:20" x14ac:dyDescent="0.3">
      <c r="P745" s="310">
        <v>497</v>
      </c>
      <c r="Q745">
        <f t="shared" si="105"/>
        <v>0</v>
      </c>
      <c r="R745" s="280"/>
      <c r="S745" s="280">
        <f>R740/12</f>
        <v>0</v>
      </c>
      <c r="T745" s="227">
        <f>NPV($C$236/12,S746:$S$1436)</f>
        <v>0</v>
      </c>
    </row>
    <row r="746" spans="16:20" x14ac:dyDescent="0.3">
      <c r="P746" s="310">
        <v>498</v>
      </c>
      <c r="Q746">
        <f t="shared" si="105"/>
        <v>0</v>
      </c>
      <c r="R746" s="280"/>
      <c r="S746" s="280">
        <f>R740/12</f>
        <v>0</v>
      </c>
      <c r="T746" s="227">
        <f>NPV($C$236/12,S747:$S$1436)</f>
        <v>0</v>
      </c>
    </row>
    <row r="747" spans="16:20" x14ac:dyDescent="0.3">
      <c r="P747" s="310">
        <v>499</v>
      </c>
      <c r="Q747">
        <f t="shared" si="105"/>
        <v>0</v>
      </c>
      <c r="R747" s="280"/>
      <c r="S747" s="280">
        <f>R740/12</f>
        <v>0</v>
      </c>
      <c r="T747" s="227">
        <f>NPV($C$236/12,S748:$S$1436)</f>
        <v>0</v>
      </c>
    </row>
    <row r="748" spans="16:20" x14ac:dyDescent="0.3">
      <c r="P748" s="310">
        <v>500</v>
      </c>
      <c r="Q748">
        <f t="shared" si="105"/>
        <v>0</v>
      </c>
      <c r="R748" s="280"/>
      <c r="S748" s="280">
        <f>R740/12</f>
        <v>0</v>
      </c>
      <c r="T748" s="227">
        <f>NPV($C$236/12,S749:$S$1436)</f>
        <v>0</v>
      </c>
    </row>
    <row r="749" spans="16:20" x14ac:dyDescent="0.3">
      <c r="P749" s="310">
        <v>501</v>
      </c>
      <c r="Q749">
        <f t="shared" si="105"/>
        <v>0</v>
      </c>
      <c r="R749" s="280"/>
      <c r="S749" s="280">
        <f>R740/12</f>
        <v>0</v>
      </c>
      <c r="T749" s="227">
        <f>NPV($C$236/12,S750:$S$1436)</f>
        <v>0</v>
      </c>
    </row>
    <row r="750" spans="16:20" x14ac:dyDescent="0.3">
      <c r="P750" s="310">
        <v>502</v>
      </c>
      <c r="Q750">
        <f t="shared" si="105"/>
        <v>0</v>
      </c>
      <c r="R750" s="280"/>
      <c r="S750" s="280">
        <f>R740/12</f>
        <v>0</v>
      </c>
      <c r="T750" s="227">
        <f>NPV($C$236/12,S751:$S$1436)</f>
        <v>0</v>
      </c>
    </row>
    <row r="751" spans="16:20" x14ac:dyDescent="0.3">
      <c r="P751" s="310">
        <v>503</v>
      </c>
      <c r="Q751">
        <f t="shared" si="105"/>
        <v>0</v>
      </c>
      <c r="R751" s="280"/>
      <c r="S751" s="280">
        <f>R740/12</f>
        <v>0</v>
      </c>
      <c r="T751" s="227">
        <f>NPV($C$236/12,S752:$S$1436)</f>
        <v>0</v>
      </c>
    </row>
    <row r="752" spans="16:20" x14ac:dyDescent="0.3">
      <c r="P752" s="310">
        <v>504</v>
      </c>
      <c r="Q752">
        <f t="shared" si="105"/>
        <v>43</v>
      </c>
      <c r="R752" s="280">
        <f>LOOKUP(Q752,$Q$243:$DK$243,$Q$244:$DK$244)</f>
        <v>0</v>
      </c>
      <c r="S752" s="280">
        <f>R740/12</f>
        <v>0</v>
      </c>
      <c r="T752" s="227">
        <f>NPV($C$236/12,S753:$S$1436)</f>
        <v>0</v>
      </c>
    </row>
    <row r="753" spans="16:20" x14ac:dyDescent="0.3">
      <c r="P753" s="310">
        <v>505</v>
      </c>
      <c r="Q753">
        <f t="shared" si="105"/>
        <v>0</v>
      </c>
      <c r="R753" s="280"/>
      <c r="S753" s="280">
        <f>R752/12</f>
        <v>0</v>
      </c>
      <c r="T753" s="227">
        <f>NPV($C$236/12,S754:$S$1436)</f>
        <v>0</v>
      </c>
    </row>
    <row r="754" spans="16:20" x14ac:dyDescent="0.3">
      <c r="P754" s="310">
        <v>506</v>
      </c>
      <c r="Q754">
        <f t="shared" si="105"/>
        <v>0</v>
      </c>
      <c r="R754" s="280"/>
      <c r="S754" s="280">
        <f>R752/12</f>
        <v>0</v>
      </c>
      <c r="T754" s="227">
        <f>NPV($C$236/12,S755:$S$1436)</f>
        <v>0</v>
      </c>
    </row>
    <row r="755" spans="16:20" x14ac:dyDescent="0.3">
      <c r="P755" s="310">
        <v>507</v>
      </c>
      <c r="Q755">
        <f t="shared" si="105"/>
        <v>0</v>
      </c>
      <c r="R755" s="280"/>
      <c r="S755" s="280">
        <f>R752/12</f>
        <v>0</v>
      </c>
      <c r="T755" s="227">
        <f>NPV($C$236/12,S756:$S$1436)</f>
        <v>0</v>
      </c>
    </row>
    <row r="756" spans="16:20" x14ac:dyDescent="0.3">
      <c r="P756" s="310">
        <v>508</v>
      </c>
      <c r="Q756">
        <f t="shared" si="105"/>
        <v>0</v>
      </c>
      <c r="R756" s="280"/>
      <c r="S756" s="280">
        <f>R752/12</f>
        <v>0</v>
      </c>
      <c r="T756" s="227">
        <f>NPV($C$236/12,S757:$S$1436)</f>
        <v>0</v>
      </c>
    </row>
    <row r="757" spans="16:20" x14ac:dyDescent="0.3">
      <c r="P757" s="310">
        <v>509</v>
      </c>
      <c r="Q757">
        <f t="shared" si="105"/>
        <v>0</v>
      </c>
      <c r="R757" s="280"/>
      <c r="S757" s="280">
        <f>R752/12</f>
        <v>0</v>
      </c>
      <c r="T757" s="227">
        <f>NPV($C$236/12,S758:$S$1436)</f>
        <v>0</v>
      </c>
    </row>
    <row r="758" spans="16:20" x14ac:dyDescent="0.3">
      <c r="P758" s="310">
        <v>510</v>
      </c>
      <c r="Q758">
        <f t="shared" si="105"/>
        <v>0</v>
      </c>
      <c r="R758" s="280"/>
      <c r="S758" s="280">
        <f>R752/12</f>
        <v>0</v>
      </c>
      <c r="T758" s="227">
        <f>NPV($C$236/12,S759:$S$1436)</f>
        <v>0</v>
      </c>
    </row>
    <row r="759" spans="16:20" x14ac:dyDescent="0.3">
      <c r="P759" s="310">
        <v>511</v>
      </c>
      <c r="Q759">
        <f t="shared" si="105"/>
        <v>0</v>
      </c>
      <c r="R759" s="280"/>
      <c r="S759" s="280">
        <f>R752/12</f>
        <v>0</v>
      </c>
      <c r="T759" s="227">
        <f>NPV($C$236/12,S760:$S$1436)</f>
        <v>0</v>
      </c>
    </row>
    <row r="760" spans="16:20" x14ac:dyDescent="0.3">
      <c r="P760" s="310">
        <v>512</v>
      </c>
      <c r="Q760">
        <f t="shared" si="105"/>
        <v>0</v>
      </c>
      <c r="R760" s="280"/>
      <c r="S760" s="280">
        <f>R752/12</f>
        <v>0</v>
      </c>
      <c r="T760" s="227">
        <f>NPV($C$236/12,S761:$S$1436)</f>
        <v>0</v>
      </c>
    </row>
    <row r="761" spans="16:20" x14ac:dyDescent="0.3">
      <c r="P761" s="310">
        <v>513</v>
      </c>
      <c r="Q761">
        <f t="shared" ref="Q761:Q824" si="106">IF(MOD(P761,12)=0,(P761/12)+1,0)</f>
        <v>0</v>
      </c>
      <c r="R761" s="280"/>
      <c r="S761" s="280">
        <f>R752/12</f>
        <v>0</v>
      </c>
      <c r="T761" s="227">
        <f>NPV($C$236/12,S762:$S$1436)</f>
        <v>0</v>
      </c>
    </row>
    <row r="762" spans="16:20" x14ac:dyDescent="0.3">
      <c r="P762" s="310">
        <v>514</v>
      </c>
      <c r="Q762">
        <f t="shared" si="106"/>
        <v>0</v>
      </c>
      <c r="R762" s="280"/>
      <c r="S762" s="280">
        <f>R752/12</f>
        <v>0</v>
      </c>
      <c r="T762" s="227">
        <f>NPV($C$236/12,S763:$S$1436)</f>
        <v>0</v>
      </c>
    </row>
    <row r="763" spans="16:20" x14ac:dyDescent="0.3">
      <c r="P763" s="310">
        <v>515</v>
      </c>
      <c r="Q763">
        <f t="shared" si="106"/>
        <v>0</v>
      </c>
      <c r="R763" s="280"/>
      <c r="S763" s="280">
        <f>R752/12</f>
        <v>0</v>
      </c>
      <c r="T763" s="227">
        <f>NPV($C$236/12,S764:$S$1436)</f>
        <v>0</v>
      </c>
    </row>
    <row r="764" spans="16:20" x14ac:dyDescent="0.3">
      <c r="P764" s="310">
        <v>516</v>
      </c>
      <c r="Q764">
        <f t="shared" si="106"/>
        <v>44</v>
      </c>
      <c r="R764" s="280">
        <f>LOOKUP(Q764,$Q$243:$DK$243,$Q$244:$DK$244)</f>
        <v>0</v>
      </c>
      <c r="S764" s="280">
        <f>R752/12</f>
        <v>0</v>
      </c>
      <c r="T764" s="227">
        <f>NPV($C$236/12,S765:$S$1436)</f>
        <v>0</v>
      </c>
    </row>
    <row r="765" spans="16:20" x14ac:dyDescent="0.3">
      <c r="P765" s="310">
        <v>517</v>
      </c>
      <c r="Q765">
        <f t="shared" si="106"/>
        <v>0</v>
      </c>
      <c r="R765" s="280"/>
      <c r="S765" s="280">
        <f>R764/12</f>
        <v>0</v>
      </c>
      <c r="T765" s="227">
        <f>NPV($C$236/12,S766:$S$1436)</f>
        <v>0</v>
      </c>
    </row>
    <row r="766" spans="16:20" x14ac:dyDescent="0.3">
      <c r="P766" s="310">
        <v>518</v>
      </c>
      <c r="Q766">
        <f t="shared" si="106"/>
        <v>0</v>
      </c>
      <c r="R766" s="280"/>
      <c r="S766" s="280">
        <f>R764/12</f>
        <v>0</v>
      </c>
      <c r="T766" s="227">
        <f>NPV($C$236/12,S767:$S$1436)</f>
        <v>0</v>
      </c>
    </row>
    <row r="767" spans="16:20" x14ac:dyDescent="0.3">
      <c r="P767" s="310">
        <v>519</v>
      </c>
      <c r="Q767">
        <f t="shared" si="106"/>
        <v>0</v>
      </c>
      <c r="R767" s="280"/>
      <c r="S767" s="280">
        <f>R764/12</f>
        <v>0</v>
      </c>
      <c r="T767" s="227">
        <f>NPV($C$236/12,S768:$S$1436)</f>
        <v>0</v>
      </c>
    </row>
    <row r="768" spans="16:20" x14ac:dyDescent="0.3">
      <c r="P768" s="310">
        <v>520</v>
      </c>
      <c r="Q768">
        <f t="shared" si="106"/>
        <v>0</v>
      </c>
      <c r="R768" s="280"/>
      <c r="S768" s="280">
        <f>R764/12</f>
        <v>0</v>
      </c>
      <c r="T768" s="227">
        <f>NPV($C$236/12,S769:$S$1436)</f>
        <v>0</v>
      </c>
    </row>
    <row r="769" spans="16:20" x14ac:dyDescent="0.3">
      <c r="P769" s="310">
        <v>521</v>
      </c>
      <c r="Q769">
        <f t="shared" si="106"/>
        <v>0</v>
      </c>
      <c r="R769" s="280"/>
      <c r="S769" s="280">
        <f>R764/12</f>
        <v>0</v>
      </c>
      <c r="T769" s="227">
        <f>NPV($C$236/12,S770:$S$1436)</f>
        <v>0</v>
      </c>
    </row>
    <row r="770" spans="16:20" x14ac:dyDescent="0.3">
      <c r="P770" s="310">
        <v>522</v>
      </c>
      <c r="Q770">
        <f t="shared" si="106"/>
        <v>0</v>
      </c>
      <c r="R770" s="280"/>
      <c r="S770" s="280">
        <f>R764/12</f>
        <v>0</v>
      </c>
      <c r="T770" s="227">
        <f>NPV($C$236/12,S771:$S$1436)</f>
        <v>0</v>
      </c>
    </row>
    <row r="771" spans="16:20" x14ac:dyDescent="0.3">
      <c r="P771" s="310">
        <v>523</v>
      </c>
      <c r="Q771">
        <f t="shared" si="106"/>
        <v>0</v>
      </c>
      <c r="R771" s="280"/>
      <c r="S771" s="280">
        <f>R764/12</f>
        <v>0</v>
      </c>
      <c r="T771" s="227">
        <f>NPV($C$236/12,S772:$S$1436)</f>
        <v>0</v>
      </c>
    </row>
    <row r="772" spans="16:20" x14ac:dyDescent="0.3">
      <c r="P772" s="310">
        <v>524</v>
      </c>
      <c r="Q772">
        <f t="shared" si="106"/>
        <v>0</v>
      </c>
      <c r="R772" s="280"/>
      <c r="S772" s="280">
        <f>R764/12</f>
        <v>0</v>
      </c>
      <c r="T772" s="227">
        <f>NPV($C$236/12,S773:$S$1436)</f>
        <v>0</v>
      </c>
    </row>
    <row r="773" spans="16:20" x14ac:dyDescent="0.3">
      <c r="P773" s="310">
        <v>525</v>
      </c>
      <c r="Q773">
        <f t="shared" si="106"/>
        <v>0</v>
      </c>
      <c r="R773" s="280"/>
      <c r="S773" s="280">
        <f>R764/12</f>
        <v>0</v>
      </c>
      <c r="T773" s="227">
        <f>NPV($C$236/12,S774:$S$1436)</f>
        <v>0</v>
      </c>
    </row>
    <row r="774" spans="16:20" x14ac:dyDescent="0.3">
      <c r="P774" s="310">
        <v>526</v>
      </c>
      <c r="Q774">
        <f t="shared" si="106"/>
        <v>0</v>
      </c>
      <c r="R774" s="280"/>
      <c r="S774" s="280">
        <f>R764/12</f>
        <v>0</v>
      </c>
      <c r="T774" s="227">
        <f>NPV($C$236/12,S775:$S$1436)</f>
        <v>0</v>
      </c>
    </row>
    <row r="775" spans="16:20" x14ac:dyDescent="0.3">
      <c r="P775" s="310">
        <v>527</v>
      </c>
      <c r="Q775">
        <f t="shared" si="106"/>
        <v>0</v>
      </c>
      <c r="R775" s="280"/>
      <c r="S775" s="280">
        <f>R764/12</f>
        <v>0</v>
      </c>
      <c r="T775" s="227">
        <f>NPV($C$236/12,S776:$S$1436)</f>
        <v>0</v>
      </c>
    </row>
    <row r="776" spans="16:20" x14ac:dyDescent="0.3">
      <c r="P776" s="310">
        <v>528</v>
      </c>
      <c r="Q776">
        <f t="shared" si="106"/>
        <v>45</v>
      </c>
      <c r="R776" s="280">
        <f>LOOKUP(Q776,$Q$243:$DK$243,$Q$244:$DK$244)</f>
        <v>0</v>
      </c>
      <c r="S776" s="280">
        <f>R764/12</f>
        <v>0</v>
      </c>
      <c r="T776" s="227">
        <f>NPV($C$236/12,S777:$S$1436)</f>
        <v>0</v>
      </c>
    </row>
    <row r="777" spans="16:20" x14ac:dyDescent="0.3">
      <c r="P777" s="310">
        <v>529</v>
      </c>
      <c r="Q777">
        <f t="shared" si="106"/>
        <v>0</v>
      </c>
      <c r="R777" s="280"/>
      <c r="S777" s="280">
        <f>R776/12</f>
        <v>0</v>
      </c>
      <c r="T777" s="227">
        <f>NPV($C$236/12,S778:$S$1436)</f>
        <v>0</v>
      </c>
    </row>
    <row r="778" spans="16:20" x14ac:dyDescent="0.3">
      <c r="P778" s="310">
        <v>530</v>
      </c>
      <c r="Q778">
        <f t="shared" si="106"/>
        <v>0</v>
      </c>
      <c r="R778" s="280"/>
      <c r="S778" s="280">
        <f>R776/12</f>
        <v>0</v>
      </c>
      <c r="T778" s="227">
        <f>NPV($C$236/12,S779:$S$1436)</f>
        <v>0</v>
      </c>
    </row>
    <row r="779" spans="16:20" x14ac:dyDescent="0.3">
      <c r="P779" s="310">
        <v>531</v>
      </c>
      <c r="Q779">
        <f t="shared" si="106"/>
        <v>0</v>
      </c>
      <c r="R779" s="280"/>
      <c r="S779" s="280">
        <f>R776/12</f>
        <v>0</v>
      </c>
      <c r="T779" s="227">
        <f>NPV($C$236/12,S780:$S$1436)</f>
        <v>0</v>
      </c>
    </row>
    <row r="780" spans="16:20" x14ac:dyDescent="0.3">
      <c r="P780" s="310">
        <v>532</v>
      </c>
      <c r="Q780">
        <f t="shared" si="106"/>
        <v>0</v>
      </c>
      <c r="R780" s="280"/>
      <c r="S780" s="280">
        <f>R776/12</f>
        <v>0</v>
      </c>
      <c r="T780" s="227">
        <f>NPV($C$236/12,S781:$S$1436)</f>
        <v>0</v>
      </c>
    </row>
    <row r="781" spans="16:20" x14ac:dyDescent="0.3">
      <c r="P781" s="310">
        <v>533</v>
      </c>
      <c r="Q781">
        <f t="shared" si="106"/>
        <v>0</v>
      </c>
      <c r="R781" s="280"/>
      <c r="S781" s="280">
        <f>R776/12</f>
        <v>0</v>
      </c>
      <c r="T781" s="227">
        <f>NPV($C$236/12,S782:$S$1436)</f>
        <v>0</v>
      </c>
    </row>
    <row r="782" spans="16:20" x14ac:dyDescent="0.3">
      <c r="P782" s="310">
        <v>534</v>
      </c>
      <c r="Q782">
        <f t="shared" si="106"/>
        <v>0</v>
      </c>
      <c r="R782" s="280"/>
      <c r="S782" s="280">
        <f>R776/12</f>
        <v>0</v>
      </c>
      <c r="T782" s="227">
        <f>NPV($C$236/12,S783:$S$1436)</f>
        <v>0</v>
      </c>
    </row>
    <row r="783" spans="16:20" x14ac:dyDescent="0.3">
      <c r="P783" s="310">
        <v>535</v>
      </c>
      <c r="Q783">
        <f t="shared" si="106"/>
        <v>0</v>
      </c>
      <c r="R783" s="280"/>
      <c r="S783" s="280">
        <f>R776/12</f>
        <v>0</v>
      </c>
      <c r="T783" s="227">
        <f>NPV($C$236/12,S784:$S$1436)</f>
        <v>0</v>
      </c>
    </row>
    <row r="784" spans="16:20" x14ac:dyDescent="0.3">
      <c r="P784" s="310">
        <v>536</v>
      </c>
      <c r="Q784">
        <f t="shared" si="106"/>
        <v>0</v>
      </c>
      <c r="R784" s="280"/>
      <c r="S784" s="280">
        <f>R776/12</f>
        <v>0</v>
      </c>
      <c r="T784" s="227">
        <f>NPV($C$236/12,S785:$S$1436)</f>
        <v>0</v>
      </c>
    </row>
    <row r="785" spans="16:20" x14ac:dyDescent="0.3">
      <c r="P785" s="310">
        <v>537</v>
      </c>
      <c r="Q785">
        <f t="shared" si="106"/>
        <v>0</v>
      </c>
      <c r="R785" s="280"/>
      <c r="S785" s="280">
        <f>R776/12</f>
        <v>0</v>
      </c>
      <c r="T785" s="227">
        <f>NPV($C$236/12,S786:$S$1436)</f>
        <v>0</v>
      </c>
    </row>
    <row r="786" spans="16:20" x14ac:dyDescent="0.3">
      <c r="P786" s="310">
        <v>538</v>
      </c>
      <c r="Q786">
        <f t="shared" si="106"/>
        <v>0</v>
      </c>
      <c r="R786" s="280"/>
      <c r="S786" s="280">
        <f>R776/12</f>
        <v>0</v>
      </c>
      <c r="T786" s="227">
        <f>NPV($C$236/12,S787:$S$1436)</f>
        <v>0</v>
      </c>
    </row>
    <row r="787" spans="16:20" x14ac:dyDescent="0.3">
      <c r="P787" s="310">
        <v>539</v>
      </c>
      <c r="Q787">
        <f t="shared" si="106"/>
        <v>0</v>
      </c>
      <c r="R787" s="280"/>
      <c r="S787" s="280">
        <f>R776/12</f>
        <v>0</v>
      </c>
      <c r="T787" s="227">
        <f>NPV($C$236/12,S788:$S$1436)</f>
        <v>0</v>
      </c>
    </row>
    <row r="788" spans="16:20" x14ac:dyDescent="0.3">
      <c r="P788" s="310">
        <v>540</v>
      </c>
      <c r="Q788">
        <f t="shared" si="106"/>
        <v>46</v>
      </c>
      <c r="R788" s="280">
        <f>LOOKUP(Q788,$Q$243:$DK$243,$Q$244:$DK$244)</f>
        <v>0</v>
      </c>
      <c r="S788" s="280">
        <f>R776/12</f>
        <v>0</v>
      </c>
      <c r="T788" s="227">
        <f>NPV($C$236/12,S789:$S$1436)</f>
        <v>0</v>
      </c>
    </row>
    <row r="789" spans="16:20" x14ac:dyDescent="0.3">
      <c r="P789" s="310">
        <v>541</v>
      </c>
      <c r="Q789">
        <f t="shared" si="106"/>
        <v>0</v>
      </c>
      <c r="R789" s="280"/>
      <c r="S789" s="280">
        <f>R788/12</f>
        <v>0</v>
      </c>
      <c r="T789" s="227">
        <f>NPV($C$236/12,S790:$S$1436)</f>
        <v>0</v>
      </c>
    </row>
    <row r="790" spans="16:20" x14ac:dyDescent="0.3">
      <c r="P790" s="310">
        <v>542</v>
      </c>
      <c r="Q790">
        <f t="shared" si="106"/>
        <v>0</v>
      </c>
      <c r="R790" s="280"/>
      <c r="S790" s="280">
        <f>R788/12</f>
        <v>0</v>
      </c>
      <c r="T790" s="227">
        <f>NPV($C$236/12,S791:$S$1436)</f>
        <v>0</v>
      </c>
    </row>
    <row r="791" spans="16:20" x14ac:dyDescent="0.3">
      <c r="P791" s="310">
        <v>543</v>
      </c>
      <c r="Q791">
        <f t="shared" si="106"/>
        <v>0</v>
      </c>
      <c r="R791" s="280"/>
      <c r="S791" s="280">
        <f>R788/12</f>
        <v>0</v>
      </c>
      <c r="T791" s="227">
        <f>NPV($C$236/12,S792:$S$1436)</f>
        <v>0</v>
      </c>
    </row>
    <row r="792" spans="16:20" x14ac:dyDescent="0.3">
      <c r="P792" s="310">
        <v>544</v>
      </c>
      <c r="Q792">
        <f t="shared" si="106"/>
        <v>0</v>
      </c>
      <c r="R792" s="280"/>
      <c r="S792" s="280">
        <f>R788/12</f>
        <v>0</v>
      </c>
      <c r="T792" s="227">
        <f>NPV($C$236/12,S793:$S$1436)</f>
        <v>0</v>
      </c>
    </row>
    <row r="793" spans="16:20" x14ac:dyDescent="0.3">
      <c r="P793" s="310">
        <v>545</v>
      </c>
      <c r="Q793">
        <f t="shared" si="106"/>
        <v>0</v>
      </c>
      <c r="R793" s="280"/>
      <c r="S793" s="280">
        <f>R788/12</f>
        <v>0</v>
      </c>
      <c r="T793" s="227">
        <f>NPV($C$236/12,S794:$S$1436)</f>
        <v>0</v>
      </c>
    </row>
    <row r="794" spans="16:20" x14ac:dyDescent="0.3">
      <c r="P794" s="310">
        <v>546</v>
      </c>
      <c r="Q794">
        <f t="shared" si="106"/>
        <v>0</v>
      </c>
      <c r="R794" s="280"/>
      <c r="S794" s="280">
        <f>R788/12</f>
        <v>0</v>
      </c>
      <c r="T794" s="227">
        <f>NPV($C$236/12,S795:$S$1436)</f>
        <v>0</v>
      </c>
    </row>
    <row r="795" spans="16:20" x14ac:dyDescent="0.3">
      <c r="P795" s="310">
        <v>547</v>
      </c>
      <c r="Q795">
        <f t="shared" si="106"/>
        <v>0</v>
      </c>
      <c r="R795" s="280"/>
      <c r="S795" s="280">
        <f>R788/12</f>
        <v>0</v>
      </c>
      <c r="T795" s="227">
        <f>NPV($C$236/12,S796:$S$1436)</f>
        <v>0</v>
      </c>
    </row>
    <row r="796" spans="16:20" x14ac:dyDescent="0.3">
      <c r="P796" s="310">
        <v>548</v>
      </c>
      <c r="Q796">
        <f t="shared" si="106"/>
        <v>0</v>
      </c>
      <c r="R796" s="280"/>
      <c r="S796" s="280">
        <f>R788/12</f>
        <v>0</v>
      </c>
      <c r="T796" s="227">
        <f>NPV($C$236/12,S797:$S$1436)</f>
        <v>0</v>
      </c>
    </row>
    <row r="797" spans="16:20" x14ac:dyDescent="0.3">
      <c r="P797" s="310">
        <v>549</v>
      </c>
      <c r="Q797">
        <f t="shared" si="106"/>
        <v>0</v>
      </c>
      <c r="R797" s="280"/>
      <c r="S797" s="280">
        <f>R788/12</f>
        <v>0</v>
      </c>
      <c r="T797" s="227">
        <f>NPV($C$236/12,S798:$S$1436)</f>
        <v>0</v>
      </c>
    </row>
    <row r="798" spans="16:20" x14ac:dyDescent="0.3">
      <c r="P798" s="310">
        <v>550</v>
      </c>
      <c r="Q798">
        <f t="shared" si="106"/>
        <v>0</v>
      </c>
      <c r="R798" s="280"/>
      <c r="S798" s="280">
        <f>R788/12</f>
        <v>0</v>
      </c>
      <c r="T798" s="227">
        <f>NPV($C$236/12,S799:$S$1436)</f>
        <v>0</v>
      </c>
    </row>
    <row r="799" spans="16:20" x14ac:dyDescent="0.3">
      <c r="P799" s="310">
        <v>551</v>
      </c>
      <c r="Q799">
        <f t="shared" si="106"/>
        <v>0</v>
      </c>
      <c r="R799" s="280"/>
      <c r="S799" s="280">
        <f>R788/12</f>
        <v>0</v>
      </c>
      <c r="T799" s="227">
        <f>NPV($C$236/12,S800:$S$1436)</f>
        <v>0</v>
      </c>
    </row>
    <row r="800" spans="16:20" x14ac:dyDescent="0.3">
      <c r="P800" s="310">
        <v>552</v>
      </c>
      <c r="Q800">
        <f t="shared" si="106"/>
        <v>47</v>
      </c>
      <c r="R800" s="280">
        <f>LOOKUP(Q800,$Q$243:$DK$243,$Q$244:$DK$244)</f>
        <v>0</v>
      </c>
      <c r="S800" s="280">
        <f>R788/12</f>
        <v>0</v>
      </c>
      <c r="T800" s="227">
        <f>NPV($C$236/12,S801:$S$1436)</f>
        <v>0</v>
      </c>
    </row>
    <row r="801" spans="16:20" x14ac:dyDescent="0.3">
      <c r="P801" s="310">
        <v>553</v>
      </c>
      <c r="Q801">
        <f t="shared" si="106"/>
        <v>0</v>
      </c>
      <c r="R801" s="280"/>
      <c r="S801" s="280">
        <f>R800/12</f>
        <v>0</v>
      </c>
      <c r="T801" s="227">
        <f>NPV($C$236/12,S802:$S$1436)</f>
        <v>0</v>
      </c>
    </row>
    <row r="802" spans="16:20" x14ac:dyDescent="0.3">
      <c r="P802" s="310">
        <v>554</v>
      </c>
      <c r="Q802">
        <f t="shared" si="106"/>
        <v>0</v>
      </c>
      <c r="R802" s="280"/>
      <c r="S802" s="280">
        <f>R800/12</f>
        <v>0</v>
      </c>
      <c r="T802" s="227">
        <f>NPV($C$236/12,S803:$S$1436)</f>
        <v>0</v>
      </c>
    </row>
    <row r="803" spans="16:20" x14ac:dyDescent="0.3">
      <c r="P803" s="310">
        <v>555</v>
      </c>
      <c r="Q803">
        <f t="shared" si="106"/>
        <v>0</v>
      </c>
      <c r="R803" s="280"/>
      <c r="S803" s="280">
        <f>R800/12</f>
        <v>0</v>
      </c>
      <c r="T803" s="227">
        <f>NPV($C$236/12,S804:$S$1436)</f>
        <v>0</v>
      </c>
    </row>
    <row r="804" spans="16:20" x14ac:dyDescent="0.3">
      <c r="P804" s="310">
        <v>556</v>
      </c>
      <c r="Q804">
        <f t="shared" si="106"/>
        <v>0</v>
      </c>
      <c r="R804" s="280"/>
      <c r="S804" s="280">
        <f>R800/12</f>
        <v>0</v>
      </c>
      <c r="T804" s="227">
        <f>NPV($C$236/12,S805:$S$1436)</f>
        <v>0</v>
      </c>
    </row>
    <row r="805" spans="16:20" x14ac:dyDescent="0.3">
      <c r="P805" s="310">
        <v>557</v>
      </c>
      <c r="Q805">
        <f t="shared" si="106"/>
        <v>0</v>
      </c>
      <c r="R805" s="280"/>
      <c r="S805" s="280">
        <f>R800/12</f>
        <v>0</v>
      </c>
      <c r="T805" s="227">
        <f>NPV($C$236/12,S806:$S$1436)</f>
        <v>0</v>
      </c>
    </row>
    <row r="806" spans="16:20" x14ac:dyDescent="0.3">
      <c r="P806" s="310">
        <v>558</v>
      </c>
      <c r="Q806">
        <f t="shared" si="106"/>
        <v>0</v>
      </c>
      <c r="R806" s="280"/>
      <c r="S806" s="280">
        <f>R800/12</f>
        <v>0</v>
      </c>
      <c r="T806" s="227">
        <f>NPV($C$236/12,S807:$S$1436)</f>
        <v>0</v>
      </c>
    </row>
    <row r="807" spans="16:20" x14ac:dyDescent="0.3">
      <c r="P807" s="310">
        <v>559</v>
      </c>
      <c r="Q807">
        <f t="shared" si="106"/>
        <v>0</v>
      </c>
      <c r="R807" s="280"/>
      <c r="S807" s="280">
        <f>R800/12</f>
        <v>0</v>
      </c>
      <c r="T807" s="227">
        <f>NPV($C$236/12,S808:$S$1436)</f>
        <v>0</v>
      </c>
    </row>
    <row r="808" spans="16:20" x14ac:dyDescent="0.3">
      <c r="P808" s="310">
        <v>560</v>
      </c>
      <c r="Q808">
        <f t="shared" si="106"/>
        <v>0</v>
      </c>
      <c r="R808" s="280"/>
      <c r="S808" s="280">
        <f>R800/12</f>
        <v>0</v>
      </c>
      <c r="T808" s="227">
        <f>NPV($C$236/12,S809:$S$1436)</f>
        <v>0</v>
      </c>
    </row>
    <row r="809" spans="16:20" x14ac:dyDescent="0.3">
      <c r="P809" s="310">
        <v>561</v>
      </c>
      <c r="Q809">
        <f t="shared" si="106"/>
        <v>0</v>
      </c>
      <c r="R809" s="280"/>
      <c r="S809" s="280">
        <f>R800/12</f>
        <v>0</v>
      </c>
      <c r="T809" s="227">
        <f>NPV($C$236/12,S810:$S$1436)</f>
        <v>0</v>
      </c>
    </row>
    <row r="810" spans="16:20" x14ac:dyDescent="0.3">
      <c r="P810" s="310">
        <v>562</v>
      </c>
      <c r="Q810">
        <f t="shared" si="106"/>
        <v>0</v>
      </c>
      <c r="R810" s="280"/>
      <c r="S810" s="280">
        <f>R800/12</f>
        <v>0</v>
      </c>
      <c r="T810" s="227">
        <f>NPV($C$236/12,S811:$S$1436)</f>
        <v>0</v>
      </c>
    </row>
    <row r="811" spans="16:20" x14ac:dyDescent="0.3">
      <c r="P811" s="310">
        <v>563</v>
      </c>
      <c r="Q811">
        <f t="shared" si="106"/>
        <v>0</v>
      </c>
      <c r="R811" s="280"/>
      <c r="S811" s="280">
        <f>R800/12</f>
        <v>0</v>
      </c>
      <c r="T811" s="227">
        <f>NPV($C$236/12,S812:$S$1436)</f>
        <v>0</v>
      </c>
    </row>
    <row r="812" spans="16:20" x14ac:dyDescent="0.3">
      <c r="P812" s="310">
        <v>564</v>
      </c>
      <c r="Q812">
        <f t="shared" si="106"/>
        <v>48</v>
      </c>
      <c r="R812" s="280">
        <f>LOOKUP(Q812,$Q$243:$DK$243,$Q$244:$DK$244)</f>
        <v>0</v>
      </c>
      <c r="S812" s="280">
        <f>R800/12</f>
        <v>0</v>
      </c>
      <c r="T812" s="227">
        <f>NPV($C$236/12,S813:$S$1436)</f>
        <v>0</v>
      </c>
    </row>
    <row r="813" spans="16:20" x14ac:dyDescent="0.3">
      <c r="P813" s="310">
        <v>565</v>
      </c>
      <c r="Q813">
        <f t="shared" si="106"/>
        <v>0</v>
      </c>
      <c r="R813" s="280"/>
      <c r="S813" s="280">
        <f>R812/12</f>
        <v>0</v>
      </c>
      <c r="T813" s="227">
        <f>NPV($C$236/12,S814:$S$1436)</f>
        <v>0</v>
      </c>
    </row>
    <row r="814" spans="16:20" x14ac:dyDescent="0.3">
      <c r="P814" s="310">
        <v>566</v>
      </c>
      <c r="Q814">
        <f t="shared" si="106"/>
        <v>0</v>
      </c>
      <c r="R814" s="280"/>
      <c r="S814" s="280">
        <f>R812/12</f>
        <v>0</v>
      </c>
      <c r="T814" s="227">
        <f>NPV($C$236/12,S815:$S$1436)</f>
        <v>0</v>
      </c>
    </row>
    <row r="815" spans="16:20" x14ac:dyDescent="0.3">
      <c r="P815" s="310">
        <v>567</v>
      </c>
      <c r="Q815">
        <f t="shared" si="106"/>
        <v>0</v>
      </c>
      <c r="R815" s="280"/>
      <c r="S815" s="280">
        <f>R812/12</f>
        <v>0</v>
      </c>
      <c r="T815" s="227">
        <f>NPV($C$236/12,S816:$S$1436)</f>
        <v>0</v>
      </c>
    </row>
    <row r="816" spans="16:20" x14ac:dyDescent="0.3">
      <c r="P816" s="310">
        <v>568</v>
      </c>
      <c r="Q816">
        <f t="shared" si="106"/>
        <v>0</v>
      </c>
      <c r="R816" s="280"/>
      <c r="S816" s="280">
        <f>R812/12</f>
        <v>0</v>
      </c>
      <c r="T816" s="227">
        <f>NPV($C$236/12,S817:$S$1436)</f>
        <v>0</v>
      </c>
    </row>
    <row r="817" spans="16:20" x14ac:dyDescent="0.3">
      <c r="P817" s="310">
        <v>569</v>
      </c>
      <c r="Q817">
        <f t="shared" si="106"/>
        <v>0</v>
      </c>
      <c r="R817" s="280"/>
      <c r="S817" s="280">
        <f>R812/12</f>
        <v>0</v>
      </c>
      <c r="T817" s="227">
        <f>NPV($C$236/12,S818:$S$1436)</f>
        <v>0</v>
      </c>
    </row>
    <row r="818" spans="16:20" x14ac:dyDescent="0.3">
      <c r="P818" s="310">
        <v>570</v>
      </c>
      <c r="Q818">
        <f t="shared" si="106"/>
        <v>0</v>
      </c>
      <c r="R818" s="280"/>
      <c r="S818" s="280">
        <f>R812/12</f>
        <v>0</v>
      </c>
      <c r="T818" s="227">
        <f>NPV($C$236/12,S819:$S$1436)</f>
        <v>0</v>
      </c>
    </row>
    <row r="819" spans="16:20" x14ac:dyDescent="0.3">
      <c r="P819" s="310">
        <v>571</v>
      </c>
      <c r="Q819">
        <f t="shared" si="106"/>
        <v>0</v>
      </c>
      <c r="R819" s="280"/>
      <c r="S819" s="280">
        <f>R812/12</f>
        <v>0</v>
      </c>
      <c r="T819" s="227">
        <f>NPV($C$236/12,S820:$S$1436)</f>
        <v>0</v>
      </c>
    </row>
    <row r="820" spans="16:20" x14ac:dyDescent="0.3">
      <c r="P820" s="310">
        <v>572</v>
      </c>
      <c r="Q820">
        <f t="shared" si="106"/>
        <v>0</v>
      </c>
      <c r="R820" s="280"/>
      <c r="S820" s="280">
        <f>R812/12</f>
        <v>0</v>
      </c>
      <c r="T820" s="227">
        <f>NPV($C$236/12,S821:$S$1436)</f>
        <v>0</v>
      </c>
    </row>
    <row r="821" spans="16:20" x14ac:dyDescent="0.3">
      <c r="P821" s="310">
        <v>573</v>
      </c>
      <c r="Q821">
        <f t="shared" si="106"/>
        <v>0</v>
      </c>
      <c r="R821" s="280"/>
      <c r="S821" s="280">
        <f>R812/12</f>
        <v>0</v>
      </c>
      <c r="T821" s="227">
        <f>NPV($C$236/12,S822:$S$1436)</f>
        <v>0</v>
      </c>
    </row>
    <row r="822" spans="16:20" x14ac:dyDescent="0.3">
      <c r="P822" s="310">
        <v>574</v>
      </c>
      <c r="Q822">
        <f t="shared" si="106"/>
        <v>0</v>
      </c>
      <c r="R822" s="280"/>
      <c r="S822" s="280">
        <f>R812/12</f>
        <v>0</v>
      </c>
      <c r="T822" s="227">
        <f>NPV($C$236/12,S823:$S$1436)</f>
        <v>0</v>
      </c>
    </row>
    <row r="823" spans="16:20" x14ac:dyDescent="0.3">
      <c r="P823" s="310">
        <v>575</v>
      </c>
      <c r="Q823">
        <f t="shared" si="106"/>
        <v>0</v>
      </c>
      <c r="R823" s="280"/>
      <c r="S823" s="280">
        <f>R812/12</f>
        <v>0</v>
      </c>
      <c r="T823" s="227">
        <f>NPV($C$236/12,S824:$S$1436)</f>
        <v>0</v>
      </c>
    </row>
    <row r="824" spans="16:20" x14ac:dyDescent="0.3">
      <c r="P824" s="310">
        <v>576</v>
      </c>
      <c r="Q824">
        <f t="shared" si="106"/>
        <v>49</v>
      </c>
      <c r="R824" s="280">
        <f>LOOKUP(Q824,$Q$243:$DK$243,$Q$244:$DK$244)</f>
        <v>0</v>
      </c>
      <c r="S824" s="280">
        <f>R812/12</f>
        <v>0</v>
      </c>
      <c r="T824" s="227">
        <f>NPV($C$236/12,S825:$S$1436)</f>
        <v>0</v>
      </c>
    </row>
    <row r="825" spans="16:20" x14ac:dyDescent="0.3">
      <c r="P825" s="310">
        <v>577</v>
      </c>
      <c r="Q825">
        <f t="shared" ref="Q825:Q888" si="107">IF(MOD(P825,12)=0,(P825/12)+1,0)</f>
        <v>0</v>
      </c>
      <c r="R825" s="280"/>
      <c r="S825" s="280">
        <f>R824/12</f>
        <v>0</v>
      </c>
      <c r="T825" s="227">
        <f>NPV($C$236/12,S826:$S$1436)</f>
        <v>0</v>
      </c>
    </row>
    <row r="826" spans="16:20" x14ac:dyDescent="0.3">
      <c r="P826" s="310">
        <v>578</v>
      </c>
      <c r="Q826">
        <f t="shared" si="107"/>
        <v>0</v>
      </c>
      <c r="R826" s="280"/>
      <c r="S826" s="280">
        <f>R824/12</f>
        <v>0</v>
      </c>
      <c r="T826" s="227">
        <f>NPV($C$236/12,S827:$S$1436)</f>
        <v>0</v>
      </c>
    </row>
    <row r="827" spans="16:20" x14ac:dyDescent="0.3">
      <c r="P827" s="310">
        <v>579</v>
      </c>
      <c r="Q827">
        <f t="shared" si="107"/>
        <v>0</v>
      </c>
      <c r="R827" s="280"/>
      <c r="S827" s="280">
        <f>R824/12</f>
        <v>0</v>
      </c>
      <c r="T827" s="227">
        <f>NPV($C$236/12,S828:$S$1436)</f>
        <v>0</v>
      </c>
    </row>
    <row r="828" spans="16:20" x14ac:dyDescent="0.3">
      <c r="P828" s="310">
        <v>580</v>
      </c>
      <c r="Q828">
        <f t="shared" si="107"/>
        <v>0</v>
      </c>
      <c r="R828" s="280"/>
      <c r="S828" s="280">
        <f>R824/12</f>
        <v>0</v>
      </c>
      <c r="T828" s="227">
        <f>NPV($C$236/12,S829:$S$1436)</f>
        <v>0</v>
      </c>
    </row>
    <row r="829" spans="16:20" x14ac:dyDescent="0.3">
      <c r="P829" s="310">
        <v>581</v>
      </c>
      <c r="Q829">
        <f t="shared" si="107"/>
        <v>0</v>
      </c>
      <c r="R829" s="280"/>
      <c r="S829" s="280">
        <f>R824/12</f>
        <v>0</v>
      </c>
      <c r="T829" s="227">
        <f>NPV($C$236/12,S830:$S$1436)</f>
        <v>0</v>
      </c>
    </row>
    <row r="830" spans="16:20" x14ac:dyDescent="0.3">
      <c r="P830" s="310">
        <v>582</v>
      </c>
      <c r="Q830">
        <f t="shared" si="107"/>
        <v>0</v>
      </c>
      <c r="R830" s="280"/>
      <c r="S830" s="280">
        <f>R824/12</f>
        <v>0</v>
      </c>
      <c r="T830" s="227">
        <f>NPV($C$236/12,S831:$S$1436)</f>
        <v>0</v>
      </c>
    </row>
    <row r="831" spans="16:20" x14ac:dyDescent="0.3">
      <c r="P831" s="310">
        <v>583</v>
      </c>
      <c r="Q831">
        <f t="shared" si="107"/>
        <v>0</v>
      </c>
      <c r="R831" s="280"/>
      <c r="S831" s="280">
        <f>R824/12</f>
        <v>0</v>
      </c>
      <c r="T831" s="227">
        <f>NPV($C$236/12,S832:$S$1436)</f>
        <v>0</v>
      </c>
    </row>
    <row r="832" spans="16:20" x14ac:dyDescent="0.3">
      <c r="P832" s="310">
        <v>584</v>
      </c>
      <c r="Q832">
        <f t="shared" si="107"/>
        <v>0</v>
      </c>
      <c r="R832" s="280"/>
      <c r="S832" s="280">
        <f>R824/12</f>
        <v>0</v>
      </c>
      <c r="T832" s="227">
        <f>NPV($C$236/12,S833:$S$1436)</f>
        <v>0</v>
      </c>
    </row>
    <row r="833" spans="16:20" x14ac:dyDescent="0.3">
      <c r="P833" s="310">
        <v>585</v>
      </c>
      <c r="Q833">
        <f t="shared" si="107"/>
        <v>0</v>
      </c>
      <c r="R833" s="280"/>
      <c r="S833" s="280">
        <f>R824/12</f>
        <v>0</v>
      </c>
      <c r="T833" s="227">
        <f>NPV($C$236/12,S834:$S$1436)</f>
        <v>0</v>
      </c>
    </row>
    <row r="834" spans="16:20" x14ac:dyDescent="0.3">
      <c r="P834" s="310">
        <v>586</v>
      </c>
      <c r="Q834">
        <f t="shared" si="107"/>
        <v>0</v>
      </c>
      <c r="R834" s="280"/>
      <c r="S834" s="280">
        <f>R824/12</f>
        <v>0</v>
      </c>
      <c r="T834" s="227">
        <f>NPV($C$236/12,S835:$S$1436)</f>
        <v>0</v>
      </c>
    </row>
    <row r="835" spans="16:20" x14ac:dyDescent="0.3">
      <c r="P835" s="310">
        <v>587</v>
      </c>
      <c r="Q835">
        <f t="shared" si="107"/>
        <v>0</v>
      </c>
      <c r="R835" s="280"/>
      <c r="S835" s="280">
        <f>R824/12</f>
        <v>0</v>
      </c>
      <c r="T835" s="227">
        <f>NPV($C$236/12,S836:$S$1436)</f>
        <v>0</v>
      </c>
    </row>
    <row r="836" spans="16:20" x14ac:dyDescent="0.3">
      <c r="P836" s="310">
        <v>588</v>
      </c>
      <c r="Q836">
        <f t="shared" si="107"/>
        <v>50</v>
      </c>
      <c r="R836" s="280">
        <f>LOOKUP(Q836,$Q$243:$DK$243,$Q$244:$DK$244)</f>
        <v>0</v>
      </c>
      <c r="S836" s="280">
        <f>R824/12</f>
        <v>0</v>
      </c>
      <c r="T836" s="227">
        <f>NPV($C$236/12,S837:$S$1436)</f>
        <v>0</v>
      </c>
    </row>
    <row r="837" spans="16:20" x14ac:dyDescent="0.3">
      <c r="P837" s="310">
        <v>589</v>
      </c>
      <c r="Q837">
        <f t="shared" si="107"/>
        <v>0</v>
      </c>
      <c r="R837" s="280"/>
      <c r="S837" s="280">
        <f>R836/12</f>
        <v>0</v>
      </c>
      <c r="T837" s="227">
        <f>NPV($C$236/12,S838:$S$1436)</f>
        <v>0</v>
      </c>
    </row>
    <row r="838" spans="16:20" x14ac:dyDescent="0.3">
      <c r="P838" s="310">
        <v>590</v>
      </c>
      <c r="Q838">
        <f t="shared" si="107"/>
        <v>0</v>
      </c>
      <c r="R838" s="280"/>
      <c r="S838" s="280">
        <f>R836/12</f>
        <v>0</v>
      </c>
      <c r="T838" s="227">
        <f>NPV($C$236/12,S839:$S$1436)</f>
        <v>0</v>
      </c>
    </row>
    <row r="839" spans="16:20" x14ac:dyDescent="0.3">
      <c r="P839" s="310">
        <v>591</v>
      </c>
      <c r="Q839">
        <f t="shared" si="107"/>
        <v>0</v>
      </c>
      <c r="R839" s="280"/>
      <c r="S839" s="280">
        <f>R836/12</f>
        <v>0</v>
      </c>
      <c r="T839" s="227">
        <f>NPV($C$236/12,S840:$S$1436)</f>
        <v>0</v>
      </c>
    </row>
    <row r="840" spans="16:20" x14ac:dyDescent="0.3">
      <c r="P840" s="310">
        <v>592</v>
      </c>
      <c r="Q840">
        <f t="shared" si="107"/>
        <v>0</v>
      </c>
      <c r="R840" s="280"/>
      <c r="S840" s="280">
        <f>R836/12</f>
        <v>0</v>
      </c>
      <c r="T840" s="227">
        <f>NPV($C$236/12,S841:$S$1436)</f>
        <v>0</v>
      </c>
    </row>
    <row r="841" spans="16:20" x14ac:dyDescent="0.3">
      <c r="P841" s="310">
        <v>593</v>
      </c>
      <c r="Q841">
        <f t="shared" si="107"/>
        <v>0</v>
      </c>
      <c r="R841" s="280"/>
      <c r="S841" s="280">
        <f>R836/12</f>
        <v>0</v>
      </c>
      <c r="T841" s="227">
        <f>NPV($C$236/12,S842:$S$1436)</f>
        <v>0</v>
      </c>
    </row>
    <row r="842" spans="16:20" x14ac:dyDescent="0.3">
      <c r="P842" s="310">
        <v>594</v>
      </c>
      <c r="Q842">
        <f t="shared" si="107"/>
        <v>0</v>
      </c>
      <c r="R842" s="280"/>
      <c r="S842" s="280">
        <f>R836/12</f>
        <v>0</v>
      </c>
      <c r="T842" s="227">
        <f>NPV($C$236/12,S843:$S$1436)</f>
        <v>0</v>
      </c>
    </row>
    <row r="843" spans="16:20" x14ac:dyDescent="0.3">
      <c r="P843" s="310">
        <v>595</v>
      </c>
      <c r="Q843">
        <f t="shared" si="107"/>
        <v>0</v>
      </c>
      <c r="R843" s="280"/>
      <c r="S843" s="280">
        <f>R836/12</f>
        <v>0</v>
      </c>
      <c r="T843" s="227">
        <f>NPV($C$236/12,S844:$S$1436)</f>
        <v>0</v>
      </c>
    </row>
    <row r="844" spans="16:20" x14ac:dyDescent="0.3">
      <c r="P844" s="310">
        <v>596</v>
      </c>
      <c r="Q844">
        <f t="shared" si="107"/>
        <v>0</v>
      </c>
      <c r="R844" s="280"/>
      <c r="S844" s="280">
        <f>R836/12</f>
        <v>0</v>
      </c>
      <c r="T844" s="227">
        <f>NPV($C$236/12,S845:$S$1436)</f>
        <v>0</v>
      </c>
    </row>
    <row r="845" spans="16:20" x14ac:dyDescent="0.3">
      <c r="P845" s="310">
        <v>597</v>
      </c>
      <c r="Q845">
        <f t="shared" si="107"/>
        <v>0</v>
      </c>
      <c r="R845" s="280"/>
      <c r="S845" s="280">
        <f>R836/12</f>
        <v>0</v>
      </c>
      <c r="T845" s="227">
        <f>NPV($C$236/12,S846:$S$1436)</f>
        <v>0</v>
      </c>
    </row>
    <row r="846" spans="16:20" x14ac:dyDescent="0.3">
      <c r="P846" s="310">
        <v>598</v>
      </c>
      <c r="Q846">
        <f t="shared" si="107"/>
        <v>0</v>
      </c>
      <c r="R846" s="280"/>
      <c r="S846" s="280">
        <f>R836/12</f>
        <v>0</v>
      </c>
      <c r="T846" s="227">
        <f>NPV($C$236/12,S847:$S$1436)</f>
        <v>0</v>
      </c>
    </row>
    <row r="847" spans="16:20" x14ac:dyDescent="0.3">
      <c r="P847" s="310">
        <v>599</v>
      </c>
      <c r="Q847">
        <f t="shared" si="107"/>
        <v>0</v>
      </c>
      <c r="R847" s="280"/>
      <c r="S847" s="280">
        <f>R836/12</f>
        <v>0</v>
      </c>
      <c r="T847" s="227">
        <f>NPV($C$236/12,S848:$S$1436)</f>
        <v>0</v>
      </c>
    </row>
    <row r="848" spans="16:20" x14ac:dyDescent="0.3">
      <c r="P848" s="310">
        <v>600</v>
      </c>
      <c r="Q848">
        <f t="shared" si="107"/>
        <v>51</v>
      </c>
      <c r="R848" s="280">
        <f>LOOKUP(Q848,$Q$243:$DK$243,$Q$244:$DK$244)</f>
        <v>0</v>
      </c>
      <c r="S848" s="280">
        <f>R836/12</f>
        <v>0</v>
      </c>
      <c r="T848" s="227">
        <f>NPV($C$236/12,S849:$S$1436)</f>
        <v>0</v>
      </c>
    </row>
    <row r="849" spans="16:20" x14ac:dyDescent="0.3">
      <c r="P849" s="310">
        <v>601</v>
      </c>
      <c r="Q849">
        <f t="shared" si="107"/>
        <v>0</v>
      </c>
      <c r="R849" s="280"/>
      <c r="S849" s="280">
        <f>R848/12</f>
        <v>0</v>
      </c>
      <c r="T849" s="227">
        <f>NPV($C$236/12,S850:$S$1436)</f>
        <v>0</v>
      </c>
    </row>
    <row r="850" spans="16:20" x14ac:dyDescent="0.3">
      <c r="P850" s="310">
        <v>602</v>
      </c>
      <c r="Q850">
        <f t="shared" si="107"/>
        <v>0</v>
      </c>
      <c r="R850" s="280"/>
      <c r="S850" s="280">
        <f>R848/12</f>
        <v>0</v>
      </c>
      <c r="T850" s="227">
        <f>NPV($C$236/12,S851:$S$1436)</f>
        <v>0</v>
      </c>
    </row>
    <row r="851" spans="16:20" x14ac:dyDescent="0.3">
      <c r="P851" s="310">
        <v>603</v>
      </c>
      <c r="Q851">
        <f t="shared" si="107"/>
        <v>0</v>
      </c>
      <c r="R851" s="280"/>
      <c r="S851" s="280">
        <f>R848/12</f>
        <v>0</v>
      </c>
      <c r="T851" s="227">
        <f>NPV($C$236/12,S852:$S$1436)</f>
        <v>0</v>
      </c>
    </row>
    <row r="852" spans="16:20" x14ac:dyDescent="0.3">
      <c r="P852" s="310">
        <v>604</v>
      </c>
      <c r="Q852">
        <f t="shared" si="107"/>
        <v>0</v>
      </c>
      <c r="R852" s="280"/>
      <c r="S852" s="280">
        <f>R848/12</f>
        <v>0</v>
      </c>
      <c r="T852" s="227">
        <f>NPV($C$236/12,S853:$S$1436)</f>
        <v>0</v>
      </c>
    </row>
    <row r="853" spans="16:20" x14ac:dyDescent="0.3">
      <c r="P853" s="310">
        <v>605</v>
      </c>
      <c r="Q853">
        <f t="shared" si="107"/>
        <v>0</v>
      </c>
      <c r="R853" s="280"/>
      <c r="S853" s="280">
        <f>R848/12</f>
        <v>0</v>
      </c>
      <c r="T853" s="227">
        <f>NPV($C$236/12,S854:$S$1436)</f>
        <v>0</v>
      </c>
    </row>
    <row r="854" spans="16:20" x14ac:dyDescent="0.3">
      <c r="P854" s="310">
        <v>606</v>
      </c>
      <c r="Q854">
        <f t="shared" si="107"/>
        <v>0</v>
      </c>
      <c r="R854" s="280"/>
      <c r="S854" s="280">
        <f>R848/12</f>
        <v>0</v>
      </c>
      <c r="T854" s="227">
        <f>NPV($C$236/12,S855:$S$1436)</f>
        <v>0</v>
      </c>
    </row>
    <row r="855" spans="16:20" x14ac:dyDescent="0.3">
      <c r="P855" s="310">
        <v>607</v>
      </c>
      <c r="Q855">
        <f t="shared" si="107"/>
        <v>0</v>
      </c>
      <c r="R855" s="280"/>
      <c r="S855" s="280">
        <f>R848/12</f>
        <v>0</v>
      </c>
      <c r="T855" s="227">
        <f>NPV($C$236/12,S856:$S$1436)</f>
        <v>0</v>
      </c>
    </row>
    <row r="856" spans="16:20" x14ac:dyDescent="0.3">
      <c r="P856" s="310">
        <v>608</v>
      </c>
      <c r="Q856">
        <f t="shared" si="107"/>
        <v>0</v>
      </c>
      <c r="R856" s="280"/>
      <c r="S856" s="280">
        <f>R848/12</f>
        <v>0</v>
      </c>
      <c r="T856" s="227">
        <f>NPV($C$236/12,S857:$S$1436)</f>
        <v>0</v>
      </c>
    </row>
    <row r="857" spans="16:20" x14ac:dyDescent="0.3">
      <c r="P857" s="310">
        <v>609</v>
      </c>
      <c r="Q857">
        <f t="shared" si="107"/>
        <v>0</v>
      </c>
      <c r="R857" s="280"/>
      <c r="S857" s="280">
        <f>R848/12</f>
        <v>0</v>
      </c>
      <c r="T857" s="227">
        <f>NPV($C$236/12,S858:$S$1436)</f>
        <v>0</v>
      </c>
    </row>
    <row r="858" spans="16:20" x14ac:dyDescent="0.3">
      <c r="P858" s="310">
        <v>610</v>
      </c>
      <c r="Q858">
        <f t="shared" si="107"/>
        <v>0</v>
      </c>
      <c r="R858" s="280"/>
      <c r="S858" s="280">
        <f>R848/12</f>
        <v>0</v>
      </c>
      <c r="T858" s="227">
        <f>NPV($C$236/12,S859:$S$1436)</f>
        <v>0</v>
      </c>
    </row>
    <row r="859" spans="16:20" x14ac:dyDescent="0.3">
      <c r="P859" s="310">
        <v>611</v>
      </c>
      <c r="Q859">
        <f t="shared" si="107"/>
        <v>0</v>
      </c>
      <c r="R859" s="280"/>
      <c r="S859" s="280">
        <f>R848/12</f>
        <v>0</v>
      </c>
      <c r="T859" s="227">
        <f>NPV($C$236/12,S860:$S$1436)</f>
        <v>0</v>
      </c>
    </row>
    <row r="860" spans="16:20" x14ac:dyDescent="0.3">
      <c r="P860" s="310">
        <v>612</v>
      </c>
      <c r="Q860">
        <f t="shared" si="107"/>
        <v>52</v>
      </c>
      <c r="R860" s="280">
        <f>LOOKUP(Q860,$Q$243:$DK$243,$Q$244:$DK$244)</f>
        <v>0</v>
      </c>
      <c r="S860" s="280">
        <f>R848/12</f>
        <v>0</v>
      </c>
      <c r="T860" s="227">
        <f>NPV($C$236/12,S861:$S$1436)</f>
        <v>0</v>
      </c>
    </row>
    <row r="861" spans="16:20" x14ac:dyDescent="0.3">
      <c r="P861" s="310">
        <v>613</v>
      </c>
      <c r="Q861">
        <f t="shared" si="107"/>
        <v>0</v>
      </c>
      <c r="R861" s="280"/>
      <c r="S861" s="280">
        <f>R860/12</f>
        <v>0</v>
      </c>
      <c r="T861" s="227">
        <f>NPV($C$236/12,S862:$S$1436)</f>
        <v>0</v>
      </c>
    </row>
    <row r="862" spans="16:20" x14ac:dyDescent="0.3">
      <c r="P862" s="310">
        <v>614</v>
      </c>
      <c r="Q862">
        <f t="shared" si="107"/>
        <v>0</v>
      </c>
      <c r="R862" s="280"/>
      <c r="S862" s="280">
        <f>R860/12</f>
        <v>0</v>
      </c>
      <c r="T862" s="227">
        <f>NPV($C$236/12,S863:$S$1436)</f>
        <v>0</v>
      </c>
    </row>
    <row r="863" spans="16:20" x14ac:dyDescent="0.3">
      <c r="P863" s="310">
        <v>615</v>
      </c>
      <c r="Q863">
        <f t="shared" si="107"/>
        <v>0</v>
      </c>
      <c r="R863" s="280"/>
      <c r="S863" s="280">
        <f>R860/12</f>
        <v>0</v>
      </c>
      <c r="T863" s="227">
        <f>NPV($C$236/12,S864:$S$1436)</f>
        <v>0</v>
      </c>
    </row>
    <row r="864" spans="16:20" x14ac:dyDescent="0.3">
      <c r="P864" s="310">
        <v>616</v>
      </c>
      <c r="Q864">
        <f t="shared" si="107"/>
        <v>0</v>
      </c>
      <c r="R864" s="280"/>
      <c r="S864" s="280">
        <f>R860/12</f>
        <v>0</v>
      </c>
      <c r="T864" s="227">
        <f>NPV($C$236/12,S865:$S$1436)</f>
        <v>0</v>
      </c>
    </row>
    <row r="865" spans="16:20" x14ac:dyDescent="0.3">
      <c r="P865" s="310">
        <v>617</v>
      </c>
      <c r="Q865">
        <f t="shared" si="107"/>
        <v>0</v>
      </c>
      <c r="R865" s="280"/>
      <c r="S865" s="280">
        <f>R860/12</f>
        <v>0</v>
      </c>
      <c r="T865" s="227">
        <f>NPV($C$236/12,S866:$S$1436)</f>
        <v>0</v>
      </c>
    </row>
    <row r="866" spans="16:20" x14ac:dyDescent="0.3">
      <c r="P866" s="310">
        <v>618</v>
      </c>
      <c r="Q866">
        <f t="shared" si="107"/>
        <v>0</v>
      </c>
      <c r="R866" s="280"/>
      <c r="S866" s="280">
        <f>R860/12</f>
        <v>0</v>
      </c>
      <c r="T866" s="227">
        <f>NPV($C$236/12,S867:$S$1436)</f>
        <v>0</v>
      </c>
    </row>
    <row r="867" spans="16:20" x14ac:dyDescent="0.3">
      <c r="P867" s="310">
        <v>619</v>
      </c>
      <c r="Q867">
        <f t="shared" si="107"/>
        <v>0</v>
      </c>
      <c r="R867" s="280"/>
      <c r="S867" s="280">
        <f>R860/12</f>
        <v>0</v>
      </c>
      <c r="T867" s="227">
        <f>NPV($C$236/12,S868:$S$1436)</f>
        <v>0</v>
      </c>
    </row>
    <row r="868" spans="16:20" x14ac:dyDescent="0.3">
      <c r="P868" s="310">
        <v>620</v>
      </c>
      <c r="Q868">
        <f t="shared" si="107"/>
        <v>0</v>
      </c>
      <c r="R868" s="280"/>
      <c r="S868" s="280">
        <f>R860/12</f>
        <v>0</v>
      </c>
      <c r="T868" s="227">
        <f>NPV($C$236/12,S869:$S$1436)</f>
        <v>0</v>
      </c>
    </row>
    <row r="869" spans="16:20" x14ac:dyDescent="0.3">
      <c r="P869" s="310">
        <v>621</v>
      </c>
      <c r="Q869">
        <f t="shared" si="107"/>
        <v>0</v>
      </c>
      <c r="R869" s="280"/>
      <c r="S869" s="280">
        <f>R860/12</f>
        <v>0</v>
      </c>
      <c r="T869" s="227">
        <f>NPV($C$236/12,S870:$S$1436)</f>
        <v>0</v>
      </c>
    </row>
    <row r="870" spans="16:20" x14ac:dyDescent="0.3">
      <c r="P870" s="310">
        <v>622</v>
      </c>
      <c r="Q870">
        <f t="shared" si="107"/>
        <v>0</v>
      </c>
      <c r="R870" s="280"/>
      <c r="S870" s="280">
        <f>R860/12</f>
        <v>0</v>
      </c>
      <c r="T870" s="227">
        <f>NPV($C$236/12,S871:$S$1436)</f>
        <v>0</v>
      </c>
    </row>
    <row r="871" spans="16:20" x14ac:dyDescent="0.3">
      <c r="P871" s="310">
        <v>623</v>
      </c>
      <c r="Q871">
        <f t="shared" si="107"/>
        <v>0</v>
      </c>
      <c r="R871" s="280"/>
      <c r="S871" s="280">
        <f>R860/12</f>
        <v>0</v>
      </c>
      <c r="T871" s="227">
        <f>NPV($C$236/12,S872:$S$1436)</f>
        <v>0</v>
      </c>
    </row>
    <row r="872" spans="16:20" x14ac:dyDescent="0.3">
      <c r="P872" s="310">
        <v>624</v>
      </c>
      <c r="Q872">
        <f t="shared" si="107"/>
        <v>53</v>
      </c>
      <c r="R872" s="280">
        <f>LOOKUP(Q872,$Q$243:$DK$243,$Q$244:$DK$244)</f>
        <v>0</v>
      </c>
      <c r="S872" s="280">
        <f>R860/12</f>
        <v>0</v>
      </c>
      <c r="T872" s="227">
        <f>NPV($C$236/12,S873:$S$1436)</f>
        <v>0</v>
      </c>
    </row>
    <row r="873" spans="16:20" x14ac:dyDescent="0.3">
      <c r="P873" s="310">
        <v>625</v>
      </c>
      <c r="Q873">
        <f t="shared" si="107"/>
        <v>0</v>
      </c>
      <c r="R873" s="280"/>
      <c r="S873" s="280">
        <f>R872/12</f>
        <v>0</v>
      </c>
      <c r="T873" s="227">
        <f>NPV($C$236/12,S874:$S$1436)</f>
        <v>0</v>
      </c>
    </row>
    <row r="874" spans="16:20" x14ac:dyDescent="0.3">
      <c r="P874" s="310">
        <v>626</v>
      </c>
      <c r="Q874">
        <f t="shared" si="107"/>
        <v>0</v>
      </c>
      <c r="R874" s="280"/>
      <c r="S874" s="280">
        <f>R872/12</f>
        <v>0</v>
      </c>
      <c r="T874" s="227">
        <f>NPV($C$236/12,S875:$S$1436)</f>
        <v>0</v>
      </c>
    </row>
    <row r="875" spans="16:20" x14ac:dyDescent="0.3">
      <c r="P875" s="310">
        <v>627</v>
      </c>
      <c r="Q875">
        <f t="shared" si="107"/>
        <v>0</v>
      </c>
      <c r="R875" s="280"/>
      <c r="S875" s="280">
        <f>R872/12</f>
        <v>0</v>
      </c>
      <c r="T875" s="227">
        <f>NPV($C$236/12,S876:$S$1436)</f>
        <v>0</v>
      </c>
    </row>
    <row r="876" spans="16:20" x14ac:dyDescent="0.3">
      <c r="P876" s="310">
        <v>628</v>
      </c>
      <c r="Q876">
        <f t="shared" si="107"/>
        <v>0</v>
      </c>
      <c r="R876" s="280"/>
      <c r="S876" s="280">
        <f>R872/12</f>
        <v>0</v>
      </c>
      <c r="T876" s="227">
        <f>NPV($C$236/12,S877:$S$1436)</f>
        <v>0</v>
      </c>
    </row>
    <row r="877" spans="16:20" x14ac:dyDescent="0.3">
      <c r="P877" s="310">
        <v>629</v>
      </c>
      <c r="Q877">
        <f t="shared" si="107"/>
        <v>0</v>
      </c>
      <c r="R877" s="280"/>
      <c r="S877" s="280">
        <f>R872/12</f>
        <v>0</v>
      </c>
      <c r="T877" s="227">
        <f>NPV($C$236/12,S878:$S$1436)</f>
        <v>0</v>
      </c>
    </row>
    <row r="878" spans="16:20" x14ac:dyDescent="0.3">
      <c r="P878" s="310">
        <v>630</v>
      </c>
      <c r="Q878">
        <f t="shared" si="107"/>
        <v>0</v>
      </c>
      <c r="R878" s="280"/>
      <c r="S878" s="280">
        <f>R872/12</f>
        <v>0</v>
      </c>
      <c r="T878" s="227">
        <f>NPV($C$236/12,S879:$S$1436)</f>
        <v>0</v>
      </c>
    </row>
    <row r="879" spans="16:20" x14ac:dyDescent="0.3">
      <c r="P879" s="310">
        <v>631</v>
      </c>
      <c r="Q879">
        <f t="shared" si="107"/>
        <v>0</v>
      </c>
      <c r="R879" s="280"/>
      <c r="S879" s="280">
        <f>R872/12</f>
        <v>0</v>
      </c>
      <c r="T879" s="227">
        <f>NPV($C$236/12,S880:$S$1436)</f>
        <v>0</v>
      </c>
    </row>
    <row r="880" spans="16:20" x14ac:dyDescent="0.3">
      <c r="P880" s="310">
        <v>632</v>
      </c>
      <c r="Q880">
        <f t="shared" si="107"/>
        <v>0</v>
      </c>
      <c r="R880" s="280"/>
      <c r="S880" s="280">
        <f>R872/12</f>
        <v>0</v>
      </c>
      <c r="T880" s="227">
        <f>NPV($C$236/12,S881:$S$1436)</f>
        <v>0</v>
      </c>
    </row>
    <row r="881" spans="16:20" x14ac:dyDescent="0.3">
      <c r="P881" s="310">
        <v>633</v>
      </c>
      <c r="Q881">
        <f t="shared" si="107"/>
        <v>0</v>
      </c>
      <c r="R881" s="280"/>
      <c r="S881" s="280">
        <f>R872/12</f>
        <v>0</v>
      </c>
      <c r="T881" s="227">
        <f>NPV($C$236/12,S882:$S$1436)</f>
        <v>0</v>
      </c>
    </row>
    <row r="882" spans="16:20" x14ac:dyDescent="0.3">
      <c r="P882" s="310">
        <v>634</v>
      </c>
      <c r="Q882">
        <f t="shared" si="107"/>
        <v>0</v>
      </c>
      <c r="R882" s="280"/>
      <c r="S882" s="280">
        <f>R872/12</f>
        <v>0</v>
      </c>
      <c r="T882" s="227">
        <f>NPV($C$236/12,S883:$S$1436)</f>
        <v>0</v>
      </c>
    </row>
    <row r="883" spans="16:20" x14ac:dyDescent="0.3">
      <c r="P883" s="310">
        <v>635</v>
      </c>
      <c r="Q883">
        <f t="shared" si="107"/>
        <v>0</v>
      </c>
      <c r="R883" s="280"/>
      <c r="S883" s="280">
        <f>R872/12</f>
        <v>0</v>
      </c>
      <c r="T883" s="227">
        <f>NPV($C$236/12,S884:$S$1436)</f>
        <v>0</v>
      </c>
    </row>
    <row r="884" spans="16:20" x14ac:dyDescent="0.3">
      <c r="P884" s="310">
        <v>636</v>
      </c>
      <c r="Q884">
        <f t="shared" si="107"/>
        <v>54</v>
      </c>
      <c r="R884" s="280">
        <f>LOOKUP(Q884,$Q$243:$DK$243,$Q$244:$DK$244)</f>
        <v>0</v>
      </c>
      <c r="S884" s="280">
        <f>R872/12</f>
        <v>0</v>
      </c>
      <c r="T884" s="227">
        <f>NPV($C$236/12,S885:$S$1436)</f>
        <v>0</v>
      </c>
    </row>
    <row r="885" spans="16:20" x14ac:dyDescent="0.3">
      <c r="P885" s="310">
        <v>637</v>
      </c>
      <c r="Q885">
        <f t="shared" si="107"/>
        <v>0</v>
      </c>
      <c r="R885" s="280"/>
      <c r="S885" s="280">
        <f>R884/12</f>
        <v>0</v>
      </c>
      <c r="T885" s="227">
        <f>NPV($C$236/12,S886:$S$1436)</f>
        <v>0</v>
      </c>
    </row>
    <row r="886" spans="16:20" x14ac:dyDescent="0.3">
      <c r="P886" s="310">
        <v>638</v>
      </c>
      <c r="Q886">
        <f t="shared" si="107"/>
        <v>0</v>
      </c>
      <c r="R886" s="280"/>
      <c r="S886" s="280">
        <f>R884/12</f>
        <v>0</v>
      </c>
      <c r="T886" s="227">
        <f>NPV($C$236/12,S887:$S$1436)</f>
        <v>0</v>
      </c>
    </row>
    <row r="887" spans="16:20" x14ac:dyDescent="0.3">
      <c r="P887" s="310">
        <v>639</v>
      </c>
      <c r="Q887">
        <f t="shared" si="107"/>
        <v>0</v>
      </c>
      <c r="R887" s="280"/>
      <c r="S887" s="280">
        <f>R884/12</f>
        <v>0</v>
      </c>
      <c r="T887" s="227">
        <f>NPV($C$236/12,S888:$S$1436)</f>
        <v>0</v>
      </c>
    </row>
    <row r="888" spans="16:20" x14ac:dyDescent="0.3">
      <c r="P888" s="310">
        <v>640</v>
      </c>
      <c r="Q888">
        <f t="shared" si="107"/>
        <v>0</v>
      </c>
      <c r="R888" s="280"/>
      <c r="S888" s="280">
        <f>R884/12</f>
        <v>0</v>
      </c>
      <c r="T888" s="227">
        <f>NPV($C$236/12,S889:$S$1436)</f>
        <v>0</v>
      </c>
    </row>
    <row r="889" spans="16:20" x14ac:dyDescent="0.3">
      <c r="P889" s="310">
        <v>641</v>
      </c>
      <c r="Q889">
        <f t="shared" ref="Q889:Q952" si="108">IF(MOD(P889,12)=0,(P889/12)+1,0)</f>
        <v>0</v>
      </c>
      <c r="R889" s="280"/>
      <c r="S889" s="280">
        <f>R884/12</f>
        <v>0</v>
      </c>
      <c r="T889" s="227">
        <f>NPV($C$236/12,S890:$S$1436)</f>
        <v>0</v>
      </c>
    </row>
    <row r="890" spans="16:20" x14ac:dyDescent="0.3">
      <c r="P890" s="310">
        <v>642</v>
      </c>
      <c r="Q890">
        <f t="shared" si="108"/>
        <v>0</v>
      </c>
      <c r="R890" s="280"/>
      <c r="S890" s="280">
        <f>R884/12</f>
        <v>0</v>
      </c>
      <c r="T890" s="227">
        <f>NPV($C$236/12,S891:$S$1436)</f>
        <v>0</v>
      </c>
    </row>
    <row r="891" spans="16:20" x14ac:dyDescent="0.3">
      <c r="P891" s="310">
        <v>643</v>
      </c>
      <c r="Q891">
        <f t="shared" si="108"/>
        <v>0</v>
      </c>
      <c r="R891" s="280"/>
      <c r="S891" s="280">
        <f>R884/12</f>
        <v>0</v>
      </c>
      <c r="T891" s="227">
        <f>NPV($C$236/12,S892:$S$1436)</f>
        <v>0</v>
      </c>
    </row>
    <row r="892" spans="16:20" x14ac:dyDescent="0.3">
      <c r="P892" s="310">
        <v>644</v>
      </c>
      <c r="Q892">
        <f t="shared" si="108"/>
        <v>0</v>
      </c>
      <c r="R892" s="280"/>
      <c r="S892" s="280">
        <f>R884/12</f>
        <v>0</v>
      </c>
      <c r="T892" s="227">
        <f>NPV($C$236/12,S893:$S$1436)</f>
        <v>0</v>
      </c>
    </row>
    <row r="893" spans="16:20" x14ac:dyDescent="0.3">
      <c r="P893" s="310">
        <v>645</v>
      </c>
      <c r="Q893">
        <f t="shared" si="108"/>
        <v>0</v>
      </c>
      <c r="R893" s="280"/>
      <c r="S893" s="280">
        <f>R884/12</f>
        <v>0</v>
      </c>
      <c r="T893" s="227">
        <f>NPV($C$236/12,S894:$S$1436)</f>
        <v>0</v>
      </c>
    </row>
    <row r="894" spans="16:20" x14ac:dyDescent="0.3">
      <c r="P894" s="310">
        <v>646</v>
      </c>
      <c r="Q894">
        <f t="shared" si="108"/>
        <v>0</v>
      </c>
      <c r="R894" s="280"/>
      <c r="S894" s="280">
        <f>R884/12</f>
        <v>0</v>
      </c>
      <c r="T894" s="227">
        <f>NPV($C$236/12,S895:$S$1436)</f>
        <v>0</v>
      </c>
    </row>
    <row r="895" spans="16:20" x14ac:dyDescent="0.3">
      <c r="P895" s="310">
        <v>647</v>
      </c>
      <c r="Q895">
        <f t="shared" si="108"/>
        <v>0</v>
      </c>
      <c r="R895" s="280"/>
      <c r="S895" s="280">
        <f>R884/12</f>
        <v>0</v>
      </c>
      <c r="T895" s="227">
        <f>NPV($C$236/12,S896:$S$1436)</f>
        <v>0</v>
      </c>
    </row>
    <row r="896" spans="16:20" x14ac:dyDescent="0.3">
      <c r="P896" s="310">
        <v>648</v>
      </c>
      <c r="Q896">
        <f t="shared" si="108"/>
        <v>55</v>
      </c>
      <c r="R896" s="280">
        <f>LOOKUP(Q896,$Q$243:$DK$243,$Q$244:$DK$244)</f>
        <v>0</v>
      </c>
      <c r="S896" s="280">
        <f>R884/12</f>
        <v>0</v>
      </c>
      <c r="T896" s="227">
        <f>NPV($C$236/12,S897:$S$1436)</f>
        <v>0</v>
      </c>
    </row>
    <row r="897" spans="16:20" x14ac:dyDescent="0.3">
      <c r="P897" s="310">
        <v>649</v>
      </c>
      <c r="Q897">
        <f t="shared" si="108"/>
        <v>0</v>
      </c>
      <c r="R897" s="280"/>
      <c r="S897" s="280">
        <f>R896/12</f>
        <v>0</v>
      </c>
      <c r="T897" s="227">
        <f>NPV($C$236/12,S898:$S$1436)</f>
        <v>0</v>
      </c>
    </row>
    <row r="898" spans="16:20" x14ac:dyDescent="0.3">
      <c r="P898" s="310">
        <v>650</v>
      </c>
      <c r="Q898">
        <f t="shared" si="108"/>
        <v>0</v>
      </c>
      <c r="R898" s="280"/>
      <c r="S898" s="280">
        <f>R896/12</f>
        <v>0</v>
      </c>
      <c r="T898" s="227">
        <f>NPV($C$236/12,S899:$S$1436)</f>
        <v>0</v>
      </c>
    </row>
    <row r="899" spans="16:20" x14ac:dyDescent="0.3">
      <c r="P899" s="310">
        <v>651</v>
      </c>
      <c r="Q899">
        <f t="shared" si="108"/>
        <v>0</v>
      </c>
      <c r="R899" s="280"/>
      <c r="S899" s="280">
        <f>R896/12</f>
        <v>0</v>
      </c>
      <c r="T899" s="227">
        <f>NPV($C$236/12,S900:$S$1436)</f>
        <v>0</v>
      </c>
    </row>
    <row r="900" spans="16:20" x14ac:dyDescent="0.3">
      <c r="P900" s="310">
        <v>652</v>
      </c>
      <c r="Q900">
        <f t="shared" si="108"/>
        <v>0</v>
      </c>
      <c r="R900" s="280"/>
      <c r="S900" s="280">
        <f>R896/12</f>
        <v>0</v>
      </c>
      <c r="T900" s="227">
        <f>NPV($C$236/12,S901:$S$1436)</f>
        <v>0</v>
      </c>
    </row>
    <row r="901" spans="16:20" x14ac:dyDescent="0.3">
      <c r="P901" s="310">
        <v>653</v>
      </c>
      <c r="Q901">
        <f t="shared" si="108"/>
        <v>0</v>
      </c>
      <c r="R901" s="280"/>
      <c r="S901" s="280">
        <f>R896/12</f>
        <v>0</v>
      </c>
      <c r="T901" s="227">
        <f>NPV($C$236/12,S902:$S$1436)</f>
        <v>0</v>
      </c>
    </row>
    <row r="902" spans="16:20" x14ac:dyDescent="0.3">
      <c r="P902" s="310">
        <v>654</v>
      </c>
      <c r="Q902">
        <f t="shared" si="108"/>
        <v>0</v>
      </c>
      <c r="R902" s="280"/>
      <c r="S902" s="280">
        <f>R896/12</f>
        <v>0</v>
      </c>
      <c r="T902" s="227">
        <f>NPV($C$236/12,S903:$S$1436)</f>
        <v>0</v>
      </c>
    </row>
    <row r="903" spans="16:20" x14ac:dyDescent="0.3">
      <c r="P903" s="310">
        <v>655</v>
      </c>
      <c r="Q903">
        <f t="shared" si="108"/>
        <v>0</v>
      </c>
      <c r="R903" s="280"/>
      <c r="S903" s="280">
        <f>R896/12</f>
        <v>0</v>
      </c>
      <c r="T903" s="227">
        <f>NPV($C$236/12,S904:$S$1436)</f>
        <v>0</v>
      </c>
    </row>
    <row r="904" spans="16:20" x14ac:dyDescent="0.3">
      <c r="P904" s="310">
        <v>656</v>
      </c>
      <c r="Q904">
        <f t="shared" si="108"/>
        <v>0</v>
      </c>
      <c r="R904" s="280"/>
      <c r="S904" s="280">
        <f>R896/12</f>
        <v>0</v>
      </c>
      <c r="T904" s="227">
        <f>NPV($C$236/12,S905:$S$1436)</f>
        <v>0</v>
      </c>
    </row>
    <row r="905" spans="16:20" x14ac:dyDescent="0.3">
      <c r="P905" s="310">
        <v>657</v>
      </c>
      <c r="Q905">
        <f t="shared" si="108"/>
        <v>0</v>
      </c>
      <c r="R905" s="280"/>
      <c r="S905" s="280">
        <f>R896/12</f>
        <v>0</v>
      </c>
      <c r="T905" s="227">
        <f>NPV($C$236/12,S906:$S$1436)</f>
        <v>0</v>
      </c>
    </row>
    <row r="906" spans="16:20" x14ac:dyDescent="0.3">
      <c r="P906" s="310">
        <v>658</v>
      </c>
      <c r="Q906">
        <f t="shared" si="108"/>
        <v>0</v>
      </c>
      <c r="R906" s="280"/>
      <c r="S906" s="280">
        <f>R896/12</f>
        <v>0</v>
      </c>
      <c r="T906" s="227">
        <f>NPV($C$236/12,S907:$S$1436)</f>
        <v>0</v>
      </c>
    </row>
    <row r="907" spans="16:20" x14ac:dyDescent="0.3">
      <c r="P907" s="310">
        <v>659</v>
      </c>
      <c r="Q907">
        <f t="shared" si="108"/>
        <v>0</v>
      </c>
      <c r="R907" s="280"/>
      <c r="S907" s="280">
        <f>R896/12</f>
        <v>0</v>
      </c>
      <c r="T907" s="227">
        <f>NPV($C$236/12,S908:$S$1436)</f>
        <v>0</v>
      </c>
    </row>
    <row r="908" spans="16:20" x14ac:dyDescent="0.3">
      <c r="P908" s="310">
        <v>660</v>
      </c>
      <c r="Q908">
        <f t="shared" si="108"/>
        <v>56</v>
      </c>
      <c r="R908" s="280">
        <f>LOOKUP(Q908,$Q$243:$DK$243,$Q$244:$DK$244)</f>
        <v>0</v>
      </c>
      <c r="S908" s="280">
        <f>R896/12</f>
        <v>0</v>
      </c>
      <c r="T908" s="227">
        <f>NPV($C$236/12,S909:$S$1436)</f>
        <v>0</v>
      </c>
    </row>
    <row r="909" spans="16:20" x14ac:dyDescent="0.3">
      <c r="P909" s="310">
        <v>661</v>
      </c>
      <c r="Q909">
        <f t="shared" si="108"/>
        <v>0</v>
      </c>
      <c r="R909" s="280"/>
      <c r="S909" s="280">
        <f>R908/12</f>
        <v>0</v>
      </c>
      <c r="T909" s="227">
        <f>NPV($C$236/12,S910:$S$1436)</f>
        <v>0</v>
      </c>
    </row>
    <row r="910" spans="16:20" x14ac:dyDescent="0.3">
      <c r="P910" s="310">
        <v>662</v>
      </c>
      <c r="Q910">
        <f t="shared" si="108"/>
        <v>0</v>
      </c>
      <c r="R910" s="280"/>
      <c r="S910" s="280">
        <f>R908/12</f>
        <v>0</v>
      </c>
      <c r="T910" s="227">
        <f>NPV($C$236/12,S911:$S$1436)</f>
        <v>0</v>
      </c>
    </row>
    <row r="911" spans="16:20" x14ac:dyDescent="0.3">
      <c r="P911" s="310">
        <v>663</v>
      </c>
      <c r="Q911">
        <f t="shared" si="108"/>
        <v>0</v>
      </c>
      <c r="R911" s="280"/>
      <c r="S911" s="280">
        <f>R908/12</f>
        <v>0</v>
      </c>
      <c r="T911" s="227">
        <f>NPV($C$236/12,S912:$S$1436)</f>
        <v>0</v>
      </c>
    </row>
    <row r="912" spans="16:20" x14ac:dyDescent="0.3">
      <c r="P912" s="310">
        <v>664</v>
      </c>
      <c r="Q912">
        <f t="shared" si="108"/>
        <v>0</v>
      </c>
      <c r="R912" s="280"/>
      <c r="S912" s="280">
        <f>R908/12</f>
        <v>0</v>
      </c>
      <c r="T912" s="227">
        <f>NPV($C$236/12,S913:$S$1436)</f>
        <v>0</v>
      </c>
    </row>
    <row r="913" spans="16:20" x14ac:dyDescent="0.3">
      <c r="P913" s="310">
        <v>665</v>
      </c>
      <c r="Q913">
        <f t="shared" si="108"/>
        <v>0</v>
      </c>
      <c r="R913" s="280"/>
      <c r="S913" s="280">
        <f>R908/12</f>
        <v>0</v>
      </c>
      <c r="T913" s="227">
        <f>NPV($C$236/12,S914:$S$1436)</f>
        <v>0</v>
      </c>
    </row>
    <row r="914" spans="16:20" x14ac:dyDescent="0.3">
      <c r="P914" s="310">
        <v>666</v>
      </c>
      <c r="Q914">
        <f t="shared" si="108"/>
        <v>0</v>
      </c>
      <c r="R914" s="280"/>
      <c r="S914" s="280">
        <f>R908/12</f>
        <v>0</v>
      </c>
      <c r="T914" s="227">
        <f>NPV($C$236/12,S915:$S$1436)</f>
        <v>0</v>
      </c>
    </row>
    <row r="915" spans="16:20" x14ac:dyDescent="0.3">
      <c r="P915" s="310">
        <v>667</v>
      </c>
      <c r="Q915">
        <f t="shared" si="108"/>
        <v>0</v>
      </c>
      <c r="R915" s="280"/>
      <c r="S915" s="280">
        <f>R908/12</f>
        <v>0</v>
      </c>
      <c r="T915" s="227">
        <f>NPV($C$236/12,S916:$S$1436)</f>
        <v>0</v>
      </c>
    </row>
    <row r="916" spans="16:20" x14ac:dyDescent="0.3">
      <c r="P916" s="310">
        <v>668</v>
      </c>
      <c r="Q916">
        <f t="shared" si="108"/>
        <v>0</v>
      </c>
      <c r="R916" s="280"/>
      <c r="S916" s="280">
        <f>R908/12</f>
        <v>0</v>
      </c>
      <c r="T916" s="227">
        <f>NPV($C$236/12,S917:$S$1436)</f>
        <v>0</v>
      </c>
    </row>
    <row r="917" spans="16:20" x14ac:dyDescent="0.3">
      <c r="P917" s="310">
        <v>669</v>
      </c>
      <c r="Q917">
        <f t="shared" si="108"/>
        <v>0</v>
      </c>
      <c r="R917" s="280"/>
      <c r="S917" s="280">
        <f>R908/12</f>
        <v>0</v>
      </c>
      <c r="T917" s="227">
        <f>NPV($C$236/12,S918:$S$1436)</f>
        <v>0</v>
      </c>
    </row>
    <row r="918" spans="16:20" x14ac:dyDescent="0.3">
      <c r="P918" s="310">
        <v>670</v>
      </c>
      <c r="Q918">
        <f t="shared" si="108"/>
        <v>0</v>
      </c>
      <c r="R918" s="280"/>
      <c r="S918" s="280">
        <f>R908/12</f>
        <v>0</v>
      </c>
      <c r="T918" s="227">
        <f>NPV($C$236/12,S919:$S$1436)</f>
        <v>0</v>
      </c>
    </row>
    <row r="919" spans="16:20" x14ac:dyDescent="0.3">
      <c r="P919" s="310">
        <v>671</v>
      </c>
      <c r="Q919">
        <f t="shared" si="108"/>
        <v>0</v>
      </c>
      <c r="R919" s="280"/>
      <c r="S919" s="280">
        <f>R908/12</f>
        <v>0</v>
      </c>
      <c r="T919" s="227">
        <f>NPV($C$236/12,S920:$S$1436)</f>
        <v>0</v>
      </c>
    </row>
    <row r="920" spans="16:20" x14ac:dyDescent="0.3">
      <c r="P920" s="310">
        <v>672</v>
      </c>
      <c r="Q920">
        <f t="shared" si="108"/>
        <v>57</v>
      </c>
      <c r="R920" s="280">
        <f>LOOKUP(Q920,$Q$243:$DK$243,$Q$244:$DK$244)</f>
        <v>0</v>
      </c>
      <c r="S920" s="280">
        <f>R908/12</f>
        <v>0</v>
      </c>
      <c r="T920" s="227">
        <f>NPV($C$236/12,S921:$S$1436)</f>
        <v>0</v>
      </c>
    </row>
    <row r="921" spans="16:20" x14ac:dyDescent="0.3">
      <c r="P921" s="310">
        <v>673</v>
      </c>
      <c r="Q921">
        <f t="shared" si="108"/>
        <v>0</v>
      </c>
      <c r="R921" s="280"/>
      <c r="S921" s="280">
        <f>R920/12</f>
        <v>0</v>
      </c>
      <c r="T921" s="227">
        <f>NPV($C$236/12,S922:$S$1436)</f>
        <v>0</v>
      </c>
    </row>
    <row r="922" spans="16:20" x14ac:dyDescent="0.3">
      <c r="P922" s="310">
        <v>674</v>
      </c>
      <c r="Q922">
        <f t="shared" si="108"/>
        <v>0</v>
      </c>
      <c r="R922" s="280"/>
      <c r="S922" s="280">
        <f>R920/12</f>
        <v>0</v>
      </c>
      <c r="T922" s="227">
        <f>NPV($C$236/12,S923:$S$1436)</f>
        <v>0</v>
      </c>
    </row>
    <row r="923" spans="16:20" x14ac:dyDescent="0.3">
      <c r="P923" s="310">
        <v>675</v>
      </c>
      <c r="Q923">
        <f t="shared" si="108"/>
        <v>0</v>
      </c>
      <c r="R923" s="280"/>
      <c r="S923" s="280">
        <f>R920/12</f>
        <v>0</v>
      </c>
      <c r="T923" s="227">
        <f>NPV($C$236/12,S924:$S$1436)</f>
        <v>0</v>
      </c>
    </row>
    <row r="924" spans="16:20" x14ac:dyDescent="0.3">
      <c r="P924" s="310">
        <v>676</v>
      </c>
      <c r="Q924">
        <f t="shared" si="108"/>
        <v>0</v>
      </c>
      <c r="R924" s="280"/>
      <c r="S924" s="280">
        <f>R920/12</f>
        <v>0</v>
      </c>
      <c r="T924" s="227">
        <f>NPV($C$236/12,S925:$S$1436)</f>
        <v>0</v>
      </c>
    </row>
    <row r="925" spans="16:20" x14ac:dyDescent="0.3">
      <c r="P925" s="310">
        <v>677</v>
      </c>
      <c r="Q925">
        <f t="shared" si="108"/>
        <v>0</v>
      </c>
      <c r="R925" s="280"/>
      <c r="S925" s="280">
        <f>R920/12</f>
        <v>0</v>
      </c>
      <c r="T925" s="227">
        <f>NPV($C$236/12,S926:$S$1436)</f>
        <v>0</v>
      </c>
    </row>
    <row r="926" spans="16:20" x14ac:dyDescent="0.3">
      <c r="P926" s="310">
        <v>678</v>
      </c>
      <c r="Q926">
        <f t="shared" si="108"/>
        <v>0</v>
      </c>
      <c r="R926" s="280"/>
      <c r="S926" s="280">
        <f>R920/12</f>
        <v>0</v>
      </c>
      <c r="T926" s="227">
        <f>NPV($C$236/12,S927:$S$1436)</f>
        <v>0</v>
      </c>
    </row>
    <row r="927" spans="16:20" x14ac:dyDescent="0.3">
      <c r="P927" s="310">
        <v>679</v>
      </c>
      <c r="Q927">
        <f t="shared" si="108"/>
        <v>0</v>
      </c>
      <c r="R927" s="280"/>
      <c r="S927" s="280">
        <f>R920/12</f>
        <v>0</v>
      </c>
      <c r="T927" s="227">
        <f>NPV($C$236/12,S928:$S$1436)</f>
        <v>0</v>
      </c>
    </row>
    <row r="928" spans="16:20" x14ac:dyDescent="0.3">
      <c r="P928" s="310">
        <v>680</v>
      </c>
      <c r="Q928">
        <f t="shared" si="108"/>
        <v>0</v>
      </c>
      <c r="R928" s="280"/>
      <c r="S928" s="280">
        <f>R920/12</f>
        <v>0</v>
      </c>
      <c r="T928" s="227">
        <f>NPV($C$236/12,S929:$S$1436)</f>
        <v>0</v>
      </c>
    </row>
    <row r="929" spans="16:20" x14ac:dyDescent="0.3">
      <c r="P929" s="310">
        <v>681</v>
      </c>
      <c r="Q929">
        <f t="shared" si="108"/>
        <v>0</v>
      </c>
      <c r="R929" s="280"/>
      <c r="S929" s="280">
        <f>R920/12</f>
        <v>0</v>
      </c>
      <c r="T929" s="227">
        <f>NPV($C$236/12,S930:$S$1436)</f>
        <v>0</v>
      </c>
    </row>
    <row r="930" spans="16:20" x14ac:dyDescent="0.3">
      <c r="P930" s="310">
        <v>682</v>
      </c>
      <c r="Q930">
        <f t="shared" si="108"/>
        <v>0</v>
      </c>
      <c r="R930" s="280"/>
      <c r="S930" s="280">
        <f>R920/12</f>
        <v>0</v>
      </c>
      <c r="T930" s="227">
        <f>NPV($C$236/12,S931:$S$1436)</f>
        <v>0</v>
      </c>
    </row>
    <row r="931" spans="16:20" x14ac:dyDescent="0.3">
      <c r="P931" s="310">
        <v>683</v>
      </c>
      <c r="Q931">
        <f t="shared" si="108"/>
        <v>0</v>
      </c>
      <c r="R931" s="280"/>
      <c r="S931" s="280">
        <f>R920/12</f>
        <v>0</v>
      </c>
      <c r="T931" s="227">
        <f>NPV($C$236/12,S932:$S$1436)</f>
        <v>0</v>
      </c>
    </row>
    <row r="932" spans="16:20" x14ac:dyDescent="0.3">
      <c r="P932" s="310">
        <v>684</v>
      </c>
      <c r="Q932">
        <f t="shared" si="108"/>
        <v>58</v>
      </c>
      <c r="R932" s="280">
        <f>LOOKUP(Q932,$Q$243:$DK$243,$Q$244:$DK$244)</f>
        <v>0</v>
      </c>
      <c r="S932" s="280">
        <f>R920/12</f>
        <v>0</v>
      </c>
      <c r="T932" s="227">
        <f>NPV($C$236/12,S933:$S$1436)</f>
        <v>0</v>
      </c>
    </row>
    <row r="933" spans="16:20" x14ac:dyDescent="0.3">
      <c r="P933" s="310">
        <v>685</v>
      </c>
      <c r="Q933">
        <f t="shared" si="108"/>
        <v>0</v>
      </c>
      <c r="R933" s="280"/>
      <c r="S933" s="280">
        <f>R932/12</f>
        <v>0</v>
      </c>
      <c r="T933" s="227">
        <f>NPV($C$236/12,S934:$S$1436)</f>
        <v>0</v>
      </c>
    </row>
    <row r="934" spans="16:20" x14ac:dyDescent="0.3">
      <c r="P934" s="310">
        <v>686</v>
      </c>
      <c r="Q934">
        <f t="shared" si="108"/>
        <v>0</v>
      </c>
      <c r="R934" s="280"/>
      <c r="S934" s="280">
        <f>R932/12</f>
        <v>0</v>
      </c>
      <c r="T934" s="227">
        <f>NPV($C$236/12,S935:$S$1436)</f>
        <v>0</v>
      </c>
    </row>
    <row r="935" spans="16:20" x14ac:dyDescent="0.3">
      <c r="P935" s="310">
        <v>687</v>
      </c>
      <c r="Q935">
        <f t="shared" si="108"/>
        <v>0</v>
      </c>
      <c r="R935" s="280"/>
      <c r="S935" s="280">
        <f>R932/12</f>
        <v>0</v>
      </c>
      <c r="T935" s="227">
        <f>NPV($C$236/12,S936:$S$1436)</f>
        <v>0</v>
      </c>
    </row>
    <row r="936" spans="16:20" x14ac:dyDescent="0.3">
      <c r="P936" s="310">
        <v>688</v>
      </c>
      <c r="Q936">
        <f t="shared" si="108"/>
        <v>0</v>
      </c>
      <c r="R936" s="280"/>
      <c r="S936" s="280">
        <f>R932/12</f>
        <v>0</v>
      </c>
      <c r="T936" s="227">
        <f>NPV($C$236/12,S937:$S$1436)</f>
        <v>0</v>
      </c>
    </row>
    <row r="937" spans="16:20" x14ac:dyDescent="0.3">
      <c r="P937" s="310">
        <v>689</v>
      </c>
      <c r="Q937">
        <f t="shared" si="108"/>
        <v>0</v>
      </c>
      <c r="R937" s="280"/>
      <c r="S937" s="280">
        <f>R932/12</f>
        <v>0</v>
      </c>
      <c r="T937" s="227">
        <f>NPV($C$236/12,S938:$S$1436)</f>
        <v>0</v>
      </c>
    </row>
    <row r="938" spans="16:20" x14ac:dyDescent="0.3">
      <c r="P938" s="310">
        <v>690</v>
      </c>
      <c r="Q938">
        <f t="shared" si="108"/>
        <v>0</v>
      </c>
      <c r="R938" s="280"/>
      <c r="S938" s="280">
        <f>R932/12</f>
        <v>0</v>
      </c>
      <c r="T938" s="227">
        <f>NPV($C$236/12,S939:$S$1436)</f>
        <v>0</v>
      </c>
    </row>
    <row r="939" spans="16:20" x14ac:dyDescent="0.3">
      <c r="P939" s="310">
        <v>691</v>
      </c>
      <c r="Q939">
        <f t="shared" si="108"/>
        <v>0</v>
      </c>
      <c r="R939" s="280"/>
      <c r="S939" s="280">
        <f>R932/12</f>
        <v>0</v>
      </c>
      <c r="T939" s="227">
        <f>NPV($C$236/12,S940:$S$1436)</f>
        <v>0</v>
      </c>
    </row>
    <row r="940" spans="16:20" x14ac:dyDescent="0.3">
      <c r="P940" s="310">
        <v>692</v>
      </c>
      <c r="Q940">
        <f t="shared" si="108"/>
        <v>0</v>
      </c>
      <c r="R940" s="280"/>
      <c r="S940" s="280">
        <f>R932/12</f>
        <v>0</v>
      </c>
      <c r="T940" s="227">
        <f>NPV($C$236/12,S941:$S$1436)</f>
        <v>0</v>
      </c>
    </row>
    <row r="941" spans="16:20" x14ac:dyDescent="0.3">
      <c r="P941" s="310">
        <v>693</v>
      </c>
      <c r="Q941">
        <f t="shared" si="108"/>
        <v>0</v>
      </c>
      <c r="R941" s="280"/>
      <c r="S941" s="280">
        <f>R932/12</f>
        <v>0</v>
      </c>
      <c r="T941" s="227">
        <f>NPV($C$236/12,S942:$S$1436)</f>
        <v>0</v>
      </c>
    </row>
    <row r="942" spans="16:20" x14ac:dyDescent="0.3">
      <c r="P942" s="310">
        <v>694</v>
      </c>
      <c r="Q942">
        <f t="shared" si="108"/>
        <v>0</v>
      </c>
      <c r="R942" s="280"/>
      <c r="S942" s="280">
        <f>R932/12</f>
        <v>0</v>
      </c>
      <c r="T942" s="227">
        <f>NPV($C$236/12,S943:$S$1436)</f>
        <v>0</v>
      </c>
    </row>
    <row r="943" spans="16:20" x14ac:dyDescent="0.3">
      <c r="P943" s="310">
        <v>695</v>
      </c>
      <c r="Q943">
        <f t="shared" si="108"/>
        <v>0</v>
      </c>
      <c r="R943" s="280"/>
      <c r="S943" s="280">
        <f>R932/12</f>
        <v>0</v>
      </c>
      <c r="T943" s="227">
        <f>NPV($C$236/12,S944:$S$1436)</f>
        <v>0</v>
      </c>
    </row>
    <row r="944" spans="16:20" x14ac:dyDescent="0.3">
      <c r="P944" s="310">
        <v>696</v>
      </c>
      <c r="Q944">
        <f t="shared" si="108"/>
        <v>59</v>
      </c>
      <c r="R944" s="280">
        <f>LOOKUP(Q944,$Q$243:$DK$243,$Q$244:$DK$244)</f>
        <v>0</v>
      </c>
      <c r="S944" s="280">
        <f>R932/12</f>
        <v>0</v>
      </c>
      <c r="T944" s="227">
        <f>NPV($C$236/12,S945:$S$1436)</f>
        <v>0</v>
      </c>
    </row>
    <row r="945" spans="16:20" x14ac:dyDescent="0.3">
      <c r="P945" s="310">
        <v>697</v>
      </c>
      <c r="Q945">
        <f t="shared" si="108"/>
        <v>0</v>
      </c>
      <c r="R945" s="280"/>
      <c r="S945" s="280">
        <f>R944/12</f>
        <v>0</v>
      </c>
      <c r="T945" s="227">
        <f>NPV($C$236/12,S946:$S$1436)</f>
        <v>0</v>
      </c>
    </row>
    <row r="946" spans="16:20" x14ac:dyDescent="0.3">
      <c r="P946" s="310">
        <v>698</v>
      </c>
      <c r="Q946">
        <f t="shared" si="108"/>
        <v>0</v>
      </c>
      <c r="R946" s="280"/>
      <c r="S946" s="280">
        <f>R944/12</f>
        <v>0</v>
      </c>
      <c r="T946" s="227">
        <f>NPV($C$236/12,S947:$S$1436)</f>
        <v>0</v>
      </c>
    </row>
    <row r="947" spans="16:20" x14ac:dyDescent="0.3">
      <c r="P947" s="310">
        <v>699</v>
      </c>
      <c r="Q947">
        <f t="shared" si="108"/>
        <v>0</v>
      </c>
      <c r="R947" s="280"/>
      <c r="S947" s="280">
        <f>R944/12</f>
        <v>0</v>
      </c>
      <c r="T947" s="227">
        <f>NPV($C$236/12,S948:$S$1436)</f>
        <v>0</v>
      </c>
    </row>
    <row r="948" spans="16:20" x14ac:dyDescent="0.3">
      <c r="P948" s="310">
        <v>700</v>
      </c>
      <c r="Q948">
        <f t="shared" si="108"/>
        <v>0</v>
      </c>
      <c r="R948" s="280"/>
      <c r="S948" s="280">
        <f>R944/12</f>
        <v>0</v>
      </c>
      <c r="T948" s="227">
        <f>NPV($C$236/12,S949:$S$1436)</f>
        <v>0</v>
      </c>
    </row>
    <row r="949" spans="16:20" x14ac:dyDescent="0.3">
      <c r="P949" s="310">
        <v>701</v>
      </c>
      <c r="Q949">
        <f t="shared" si="108"/>
        <v>0</v>
      </c>
      <c r="R949" s="280"/>
      <c r="S949" s="280">
        <f>R944/12</f>
        <v>0</v>
      </c>
      <c r="T949" s="227">
        <f>NPV($C$236/12,S950:$S$1436)</f>
        <v>0</v>
      </c>
    </row>
    <row r="950" spans="16:20" x14ac:dyDescent="0.3">
      <c r="P950" s="310">
        <v>702</v>
      </c>
      <c r="Q950">
        <f t="shared" si="108"/>
        <v>0</v>
      </c>
      <c r="R950" s="280"/>
      <c r="S950" s="280">
        <f>R944/12</f>
        <v>0</v>
      </c>
      <c r="T950" s="227">
        <f>NPV($C$236/12,S951:$S$1436)</f>
        <v>0</v>
      </c>
    </row>
    <row r="951" spans="16:20" x14ac:dyDescent="0.3">
      <c r="P951" s="310">
        <v>703</v>
      </c>
      <c r="Q951">
        <f t="shared" si="108"/>
        <v>0</v>
      </c>
      <c r="R951" s="280"/>
      <c r="S951" s="280">
        <f>R944/12</f>
        <v>0</v>
      </c>
      <c r="T951" s="227">
        <f>NPV($C$236/12,S952:$S$1436)</f>
        <v>0</v>
      </c>
    </row>
    <row r="952" spans="16:20" x14ac:dyDescent="0.3">
      <c r="P952" s="310">
        <v>704</v>
      </c>
      <c r="Q952">
        <f t="shared" si="108"/>
        <v>0</v>
      </c>
      <c r="R952" s="280"/>
      <c r="S952" s="280">
        <f>R944/12</f>
        <v>0</v>
      </c>
      <c r="T952" s="227">
        <f>NPV($C$236/12,S953:$S$1436)</f>
        <v>0</v>
      </c>
    </row>
    <row r="953" spans="16:20" x14ac:dyDescent="0.3">
      <c r="P953" s="310">
        <v>705</v>
      </c>
      <c r="Q953">
        <f t="shared" ref="Q953:Q1016" si="109">IF(MOD(P953,12)=0,(P953/12)+1,0)</f>
        <v>0</v>
      </c>
      <c r="R953" s="280"/>
      <c r="S953" s="280">
        <f>R944/12</f>
        <v>0</v>
      </c>
      <c r="T953" s="227">
        <f>NPV($C$236/12,S954:$S$1436)</f>
        <v>0</v>
      </c>
    </row>
    <row r="954" spans="16:20" x14ac:dyDescent="0.3">
      <c r="P954" s="310">
        <v>706</v>
      </c>
      <c r="Q954">
        <f t="shared" si="109"/>
        <v>0</v>
      </c>
      <c r="R954" s="280"/>
      <c r="S954" s="280">
        <f>R944/12</f>
        <v>0</v>
      </c>
      <c r="T954" s="227">
        <f>NPV($C$236/12,S955:$S$1436)</f>
        <v>0</v>
      </c>
    </row>
    <row r="955" spans="16:20" x14ac:dyDescent="0.3">
      <c r="P955" s="310">
        <v>707</v>
      </c>
      <c r="Q955">
        <f t="shared" si="109"/>
        <v>0</v>
      </c>
      <c r="R955" s="280"/>
      <c r="S955" s="280">
        <f>R944/12</f>
        <v>0</v>
      </c>
      <c r="T955" s="227">
        <f>NPV($C$236/12,S956:$S$1436)</f>
        <v>0</v>
      </c>
    </row>
    <row r="956" spans="16:20" x14ac:dyDescent="0.3">
      <c r="P956" s="310">
        <v>708</v>
      </c>
      <c r="Q956">
        <f t="shared" si="109"/>
        <v>60</v>
      </c>
      <c r="R956" s="280">
        <f>LOOKUP(Q956,$Q$243:$DK$243,$Q$244:$DK$244)</f>
        <v>0</v>
      </c>
      <c r="S956" s="280">
        <f>R944/12</f>
        <v>0</v>
      </c>
      <c r="T956" s="227">
        <f>NPV($C$236/12,S957:$S$1436)</f>
        <v>0</v>
      </c>
    </row>
    <row r="957" spans="16:20" x14ac:dyDescent="0.3">
      <c r="P957" s="310">
        <v>709</v>
      </c>
      <c r="Q957">
        <f t="shared" si="109"/>
        <v>0</v>
      </c>
      <c r="R957" s="280"/>
      <c r="S957" s="280">
        <f>R956/12</f>
        <v>0</v>
      </c>
      <c r="T957" s="227">
        <f>NPV($C$236/12,S958:$S$1436)</f>
        <v>0</v>
      </c>
    </row>
    <row r="958" spans="16:20" x14ac:dyDescent="0.3">
      <c r="P958" s="310">
        <v>710</v>
      </c>
      <c r="Q958">
        <f t="shared" si="109"/>
        <v>0</v>
      </c>
      <c r="R958" s="280"/>
      <c r="S958" s="280">
        <f>R956/12</f>
        <v>0</v>
      </c>
      <c r="T958" s="227">
        <f>NPV($C$236/12,S959:$S$1436)</f>
        <v>0</v>
      </c>
    </row>
    <row r="959" spans="16:20" x14ac:dyDescent="0.3">
      <c r="P959" s="310">
        <v>711</v>
      </c>
      <c r="Q959">
        <f t="shared" si="109"/>
        <v>0</v>
      </c>
      <c r="R959" s="280"/>
      <c r="S959" s="280">
        <f>R956/12</f>
        <v>0</v>
      </c>
      <c r="T959" s="227">
        <f>NPV($C$236/12,S960:$S$1436)</f>
        <v>0</v>
      </c>
    </row>
    <row r="960" spans="16:20" x14ac:dyDescent="0.3">
      <c r="P960" s="310">
        <v>712</v>
      </c>
      <c r="Q960">
        <f t="shared" si="109"/>
        <v>0</v>
      </c>
      <c r="R960" s="280"/>
      <c r="S960" s="280">
        <f>R956/12</f>
        <v>0</v>
      </c>
      <c r="T960" s="227">
        <f>NPV($C$236/12,S961:$S$1436)</f>
        <v>0</v>
      </c>
    </row>
    <row r="961" spans="16:20" x14ac:dyDescent="0.3">
      <c r="P961" s="310">
        <v>713</v>
      </c>
      <c r="Q961">
        <f t="shared" si="109"/>
        <v>0</v>
      </c>
      <c r="R961" s="280"/>
      <c r="S961" s="280">
        <f>R956/12</f>
        <v>0</v>
      </c>
      <c r="T961" s="227">
        <f>NPV($C$236/12,S962:$S$1436)</f>
        <v>0</v>
      </c>
    </row>
    <row r="962" spans="16:20" x14ac:dyDescent="0.3">
      <c r="P962" s="310">
        <v>714</v>
      </c>
      <c r="Q962">
        <f t="shared" si="109"/>
        <v>0</v>
      </c>
      <c r="R962" s="280"/>
      <c r="S962" s="280">
        <f>R956/12</f>
        <v>0</v>
      </c>
      <c r="T962" s="227">
        <f>NPV($C$236/12,S963:$S$1436)</f>
        <v>0</v>
      </c>
    </row>
    <row r="963" spans="16:20" x14ac:dyDescent="0.3">
      <c r="P963" s="310">
        <v>715</v>
      </c>
      <c r="Q963">
        <f t="shared" si="109"/>
        <v>0</v>
      </c>
      <c r="R963" s="280"/>
      <c r="S963" s="280">
        <f>R956/12</f>
        <v>0</v>
      </c>
      <c r="T963" s="227">
        <f>NPV($C$236/12,S964:$S$1436)</f>
        <v>0</v>
      </c>
    </row>
    <row r="964" spans="16:20" x14ac:dyDescent="0.3">
      <c r="P964" s="310">
        <v>716</v>
      </c>
      <c r="Q964">
        <f t="shared" si="109"/>
        <v>0</v>
      </c>
      <c r="R964" s="280"/>
      <c r="S964" s="280">
        <f>R956/12</f>
        <v>0</v>
      </c>
      <c r="T964" s="227">
        <f>NPV($C$236/12,S965:$S$1436)</f>
        <v>0</v>
      </c>
    </row>
    <row r="965" spans="16:20" x14ac:dyDescent="0.3">
      <c r="P965" s="310">
        <v>717</v>
      </c>
      <c r="Q965">
        <f t="shared" si="109"/>
        <v>0</v>
      </c>
      <c r="R965" s="280"/>
      <c r="S965" s="280">
        <f>R956/12</f>
        <v>0</v>
      </c>
      <c r="T965" s="227">
        <f>NPV($C$236/12,S966:$S$1436)</f>
        <v>0</v>
      </c>
    </row>
    <row r="966" spans="16:20" x14ac:dyDescent="0.3">
      <c r="P966" s="310">
        <v>718</v>
      </c>
      <c r="Q966">
        <f t="shared" si="109"/>
        <v>0</v>
      </c>
      <c r="R966" s="280"/>
      <c r="S966" s="280">
        <f>R956/12</f>
        <v>0</v>
      </c>
      <c r="T966" s="227">
        <f>NPV($C$236/12,S967:$S$1436)</f>
        <v>0</v>
      </c>
    </row>
    <row r="967" spans="16:20" x14ac:dyDescent="0.3">
      <c r="P967" s="310">
        <v>719</v>
      </c>
      <c r="Q967">
        <f t="shared" si="109"/>
        <v>0</v>
      </c>
      <c r="R967" s="280"/>
      <c r="S967" s="280">
        <f>R956/12</f>
        <v>0</v>
      </c>
      <c r="T967" s="227">
        <f>NPV($C$236/12,S968:$S$1436)</f>
        <v>0</v>
      </c>
    </row>
    <row r="968" spans="16:20" x14ac:dyDescent="0.3">
      <c r="P968" s="310">
        <v>720</v>
      </c>
      <c r="Q968">
        <f t="shared" si="109"/>
        <v>61</v>
      </c>
      <c r="R968" s="280">
        <f>LOOKUP(Q968,$Q$243:$DK$243,$Q$244:$DK$244)</f>
        <v>0</v>
      </c>
      <c r="S968" s="280">
        <f>R956/12</f>
        <v>0</v>
      </c>
      <c r="T968" s="227">
        <f>NPV($C$236/12,S969:$S$1436)</f>
        <v>0</v>
      </c>
    </row>
    <row r="969" spans="16:20" x14ac:dyDescent="0.3">
      <c r="P969" s="310">
        <v>721</v>
      </c>
      <c r="Q969">
        <f t="shared" si="109"/>
        <v>0</v>
      </c>
      <c r="R969" s="280"/>
      <c r="S969" s="280">
        <f>R968/12</f>
        <v>0</v>
      </c>
      <c r="T969" s="227">
        <f>NPV($C$236/12,S970:$S$1436)</f>
        <v>0</v>
      </c>
    </row>
    <row r="970" spans="16:20" x14ac:dyDescent="0.3">
      <c r="P970" s="310">
        <v>722</v>
      </c>
      <c r="Q970">
        <f t="shared" si="109"/>
        <v>0</v>
      </c>
      <c r="R970" s="280"/>
      <c r="S970" s="280">
        <f>R968/12</f>
        <v>0</v>
      </c>
      <c r="T970" s="227">
        <f>NPV($C$236/12,S971:$S$1436)</f>
        <v>0</v>
      </c>
    </row>
    <row r="971" spans="16:20" x14ac:dyDescent="0.3">
      <c r="P971" s="310">
        <v>723</v>
      </c>
      <c r="Q971">
        <f t="shared" si="109"/>
        <v>0</v>
      </c>
      <c r="R971" s="280"/>
      <c r="S971" s="280">
        <f>R968/12</f>
        <v>0</v>
      </c>
      <c r="T971" s="227">
        <f>NPV($C$236/12,S972:$S$1436)</f>
        <v>0</v>
      </c>
    </row>
    <row r="972" spans="16:20" x14ac:dyDescent="0.3">
      <c r="P972" s="310">
        <v>724</v>
      </c>
      <c r="Q972">
        <f t="shared" si="109"/>
        <v>0</v>
      </c>
      <c r="R972" s="280"/>
      <c r="S972" s="280">
        <f>R968/12</f>
        <v>0</v>
      </c>
      <c r="T972" s="227">
        <f>NPV($C$236/12,S973:$S$1436)</f>
        <v>0</v>
      </c>
    </row>
    <row r="973" spans="16:20" x14ac:dyDescent="0.3">
      <c r="P973" s="310">
        <v>725</v>
      </c>
      <c r="Q973">
        <f t="shared" si="109"/>
        <v>0</v>
      </c>
      <c r="R973" s="280"/>
      <c r="S973" s="280">
        <f>R968/12</f>
        <v>0</v>
      </c>
      <c r="T973" s="227">
        <f>NPV($C$236/12,S974:$S$1436)</f>
        <v>0</v>
      </c>
    </row>
    <row r="974" spans="16:20" x14ac:dyDescent="0.3">
      <c r="P974" s="310">
        <v>726</v>
      </c>
      <c r="Q974">
        <f t="shared" si="109"/>
        <v>0</v>
      </c>
      <c r="R974" s="280"/>
      <c r="S974" s="280">
        <f>R968/12</f>
        <v>0</v>
      </c>
      <c r="T974" s="227">
        <f>NPV($C$236/12,S975:$S$1436)</f>
        <v>0</v>
      </c>
    </row>
    <row r="975" spans="16:20" x14ac:dyDescent="0.3">
      <c r="P975" s="310">
        <v>727</v>
      </c>
      <c r="Q975">
        <f t="shared" si="109"/>
        <v>0</v>
      </c>
      <c r="R975" s="280"/>
      <c r="S975" s="280">
        <f>R968/12</f>
        <v>0</v>
      </c>
      <c r="T975" s="227">
        <f>NPV($C$236/12,S976:$S$1436)</f>
        <v>0</v>
      </c>
    </row>
    <row r="976" spans="16:20" x14ac:dyDescent="0.3">
      <c r="P976" s="310">
        <v>728</v>
      </c>
      <c r="Q976">
        <f t="shared" si="109"/>
        <v>0</v>
      </c>
      <c r="R976" s="280"/>
      <c r="S976" s="280">
        <f>R968/12</f>
        <v>0</v>
      </c>
      <c r="T976" s="227">
        <f>NPV($C$236/12,S977:$S$1436)</f>
        <v>0</v>
      </c>
    </row>
    <row r="977" spans="16:20" x14ac:dyDescent="0.3">
      <c r="P977" s="310">
        <v>729</v>
      </c>
      <c r="Q977">
        <f t="shared" si="109"/>
        <v>0</v>
      </c>
      <c r="R977" s="280"/>
      <c r="S977" s="280">
        <f>R968/12</f>
        <v>0</v>
      </c>
      <c r="T977" s="227">
        <f>NPV($C$236/12,S978:$S$1436)</f>
        <v>0</v>
      </c>
    </row>
    <row r="978" spans="16:20" x14ac:dyDescent="0.3">
      <c r="P978" s="310">
        <v>730</v>
      </c>
      <c r="Q978">
        <f t="shared" si="109"/>
        <v>0</v>
      </c>
      <c r="R978" s="280"/>
      <c r="S978" s="280">
        <f>R968/12</f>
        <v>0</v>
      </c>
      <c r="T978" s="227">
        <f>NPV($C$236/12,S979:$S$1436)</f>
        <v>0</v>
      </c>
    </row>
    <row r="979" spans="16:20" x14ac:dyDescent="0.3">
      <c r="P979" s="310">
        <v>731</v>
      </c>
      <c r="Q979">
        <f t="shared" si="109"/>
        <v>0</v>
      </c>
      <c r="R979" s="280"/>
      <c r="S979" s="280">
        <f>R968/12</f>
        <v>0</v>
      </c>
      <c r="T979" s="227">
        <f>NPV($C$236/12,S980:$S$1436)</f>
        <v>0</v>
      </c>
    </row>
    <row r="980" spans="16:20" x14ac:dyDescent="0.3">
      <c r="P980" s="310">
        <v>732</v>
      </c>
      <c r="Q980">
        <f t="shared" si="109"/>
        <v>62</v>
      </c>
      <c r="R980" s="280">
        <f>LOOKUP(Q980,$Q$243:$DK$243,$Q$244:$DK$244)</f>
        <v>0</v>
      </c>
      <c r="S980" s="280">
        <f>R968/12</f>
        <v>0</v>
      </c>
      <c r="T980" s="227">
        <f>NPV($C$236/12,S981:$S$1436)</f>
        <v>0</v>
      </c>
    </row>
    <row r="981" spans="16:20" x14ac:dyDescent="0.3">
      <c r="P981" s="310">
        <v>733</v>
      </c>
      <c r="Q981">
        <f t="shared" si="109"/>
        <v>0</v>
      </c>
      <c r="R981" s="280"/>
      <c r="S981" s="280">
        <f>R980/12</f>
        <v>0</v>
      </c>
      <c r="T981" s="227">
        <f>NPV($C$236/12,S982:$S$1436)</f>
        <v>0</v>
      </c>
    </row>
    <row r="982" spans="16:20" x14ac:dyDescent="0.3">
      <c r="P982" s="310">
        <v>734</v>
      </c>
      <c r="Q982">
        <f t="shared" si="109"/>
        <v>0</v>
      </c>
      <c r="R982" s="280"/>
      <c r="S982" s="280">
        <f>R980/12</f>
        <v>0</v>
      </c>
      <c r="T982" s="227">
        <f>NPV($C$236/12,S983:$S$1436)</f>
        <v>0</v>
      </c>
    </row>
    <row r="983" spans="16:20" x14ac:dyDescent="0.3">
      <c r="P983" s="310">
        <v>735</v>
      </c>
      <c r="Q983">
        <f t="shared" si="109"/>
        <v>0</v>
      </c>
      <c r="R983" s="280"/>
      <c r="S983" s="280">
        <f>R980/12</f>
        <v>0</v>
      </c>
      <c r="T983" s="227">
        <f>NPV($C$236/12,S984:$S$1436)</f>
        <v>0</v>
      </c>
    </row>
    <row r="984" spans="16:20" x14ac:dyDescent="0.3">
      <c r="P984" s="310">
        <v>736</v>
      </c>
      <c r="Q984">
        <f t="shared" si="109"/>
        <v>0</v>
      </c>
      <c r="R984" s="280"/>
      <c r="S984" s="280">
        <f>R980/12</f>
        <v>0</v>
      </c>
      <c r="T984" s="227">
        <f>NPV($C$236/12,S985:$S$1436)</f>
        <v>0</v>
      </c>
    </row>
    <row r="985" spans="16:20" x14ac:dyDescent="0.3">
      <c r="P985" s="310">
        <v>737</v>
      </c>
      <c r="Q985">
        <f t="shared" si="109"/>
        <v>0</v>
      </c>
      <c r="R985" s="280"/>
      <c r="S985" s="280">
        <f>R980/12</f>
        <v>0</v>
      </c>
      <c r="T985" s="227">
        <f>NPV($C$236/12,S986:$S$1436)</f>
        <v>0</v>
      </c>
    </row>
    <row r="986" spans="16:20" x14ac:dyDescent="0.3">
      <c r="P986" s="310">
        <v>738</v>
      </c>
      <c r="Q986">
        <f t="shared" si="109"/>
        <v>0</v>
      </c>
      <c r="R986" s="280"/>
      <c r="S986" s="280">
        <f>R980/12</f>
        <v>0</v>
      </c>
      <c r="T986" s="227">
        <f>NPV($C$236/12,S987:$S$1436)</f>
        <v>0</v>
      </c>
    </row>
    <row r="987" spans="16:20" x14ac:dyDescent="0.3">
      <c r="P987" s="310">
        <v>739</v>
      </c>
      <c r="Q987">
        <f t="shared" si="109"/>
        <v>0</v>
      </c>
      <c r="R987" s="280"/>
      <c r="S987" s="280">
        <f>R980/12</f>
        <v>0</v>
      </c>
      <c r="T987" s="227">
        <f>NPV($C$236/12,S988:$S$1436)</f>
        <v>0</v>
      </c>
    </row>
    <row r="988" spans="16:20" x14ac:dyDescent="0.3">
      <c r="P988" s="310">
        <v>740</v>
      </c>
      <c r="Q988">
        <f t="shared" si="109"/>
        <v>0</v>
      </c>
      <c r="R988" s="280"/>
      <c r="S988" s="280">
        <f>R980/12</f>
        <v>0</v>
      </c>
      <c r="T988" s="227">
        <f>NPV($C$236/12,S989:$S$1436)</f>
        <v>0</v>
      </c>
    </row>
    <row r="989" spans="16:20" x14ac:dyDescent="0.3">
      <c r="P989" s="310">
        <v>741</v>
      </c>
      <c r="Q989">
        <f t="shared" si="109"/>
        <v>0</v>
      </c>
      <c r="R989" s="280"/>
      <c r="S989" s="280">
        <f>R980/12</f>
        <v>0</v>
      </c>
      <c r="T989" s="227">
        <f>NPV($C$236/12,S990:$S$1436)</f>
        <v>0</v>
      </c>
    </row>
    <row r="990" spans="16:20" x14ac:dyDescent="0.3">
      <c r="P990" s="310">
        <v>742</v>
      </c>
      <c r="Q990">
        <f t="shared" si="109"/>
        <v>0</v>
      </c>
      <c r="R990" s="280"/>
      <c r="S990" s="280">
        <f>R980/12</f>
        <v>0</v>
      </c>
      <c r="T990" s="227">
        <f>NPV($C$236/12,S991:$S$1436)</f>
        <v>0</v>
      </c>
    </row>
    <row r="991" spans="16:20" x14ac:dyDescent="0.3">
      <c r="P991" s="310">
        <v>743</v>
      </c>
      <c r="Q991">
        <f t="shared" si="109"/>
        <v>0</v>
      </c>
      <c r="R991" s="280"/>
      <c r="S991" s="280">
        <f>R980/12</f>
        <v>0</v>
      </c>
      <c r="T991" s="227">
        <f>NPV($C$236/12,S992:$S$1436)</f>
        <v>0</v>
      </c>
    </row>
    <row r="992" spans="16:20" x14ac:dyDescent="0.3">
      <c r="P992" s="310">
        <v>744</v>
      </c>
      <c r="Q992">
        <f t="shared" si="109"/>
        <v>63</v>
      </c>
      <c r="R992" s="280">
        <f>LOOKUP(Q992,$Q$243:$DK$243,$Q$244:$DK$244)</f>
        <v>0</v>
      </c>
      <c r="S992" s="280">
        <f>R980/12</f>
        <v>0</v>
      </c>
      <c r="T992" s="227">
        <f>NPV($C$236/12,S993:$S$1436)</f>
        <v>0</v>
      </c>
    </row>
    <row r="993" spans="16:20" x14ac:dyDescent="0.3">
      <c r="P993" s="310">
        <v>745</v>
      </c>
      <c r="Q993">
        <f t="shared" si="109"/>
        <v>0</v>
      </c>
      <c r="R993" s="280"/>
      <c r="S993" s="280">
        <f>R992/12</f>
        <v>0</v>
      </c>
      <c r="T993" s="227">
        <f>NPV($C$236/12,S994:$S$1436)</f>
        <v>0</v>
      </c>
    </row>
    <row r="994" spans="16:20" x14ac:dyDescent="0.3">
      <c r="P994" s="310">
        <v>746</v>
      </c>
      <c r="Q994">
        <f t="shared" si="109"/>
        <v>0</v>
      </c>
      <c r="R994" s="280"/>
      <c r="S994" s="280">
        <f>R992/12</f>
        <v>0</v>
      </c>
      <c r="T994" s="227">
        <f>NPV($C$236/12,S995:$S$1436)</f>
        <v>0</v>
      </c>
    </row>
    <row r="995" spans="16:20" x14ac:dyDescent="0.3">
      <c r="P995" s="310">
        <v>747</v>
      </c>
      <c r="Q995">
        <f t="shared" si="109"/>
        <v>0</v>
      </c>
      <c r="R995" s="280"/>
      <c r="S995" s="280">
        <f>R992/12</f>
        <v>0</v>
      </c>
      <c r="T995" s="227">
        <f>NPV($C$236/12,S996:$S$1436)</f>
        <v>0</v>
      </c>
    </row>
    <row r="996" spans="16:20" x14ac:dyDescent="0.3">
      <c r="P996" s="310">
        <v>748</v>
      </c>
      <c r="Q996">
        <f t="shared" si="109"/>
        <v>0</v>
      </c>
      <c r="R996" s="280"/>
      <c r="S996" s="280">
        <f>R992/12</f>
        <v>0</v>
      </c>
      <c r="T996" s="227">
        <f>NPV($C$236/12,S997:$S$1436)</f>
        <v>0</v>
      </c>
    </row>
    <row r="997" spans="16:20" x14ac:dyDescent="0.3">
      <c r="P997" s="310">
        <v>749</v>
      </c>
      <c r="Q997">
        <f t="shared" si="109"/>
        <v>0</v>
      </c>
      <c r="R997" s="280"/>
      <c r="S997" s="280">
        <f>R992/12</f>
        <v>0</v>
      </c>
      <c r="T997" s="227">
        <f>NPV($C$236/12,S998:$S$1436)</f>
        <v>0</v>
      </c>
    </row>
    <row r="998" spans="16:20" x14ac:dyDescent="0.3">
      <c r="P998" s="310">
        <v>750</v>
      </c>
      <c r="Q998">
        <f t="shared" si="109"/>
        <v>0</v>
      </c>
      <c r="R998" s="280"/>
      <c r="S998" s="280">
        <f>R992/12</f>
        <v>0</v>
      </c>
      <c r="T998" s="227">
        <f>NPV($C$236/12,S999:$S$1436)</f>
        <v>0</v>
      </c>
    </row>
    <row r="999" spans="16:20" x14ac:dyDescent="0.3">
      <c r="P999" s="310">
        <v>751</v>
      </c>
      <c r="Q999">
        <f t="shared" si="109"/>
        <v>0</v>
      </c>
      <c r="R999" s="280"/>
      <c r="S999" s="280">
        <f>R992/12</f>
        <v>0</v>
      </c>
      <c r="T999" s="227">
        <f>NPV($C$236/12,S1000:$S$1436)</f>
        <v>0</v>
      </c>
    </row>
    <row r="1000" spans="16:20" x14ac:dyDescent="0.3">
      <c r="P1000" s="310">
        <v>752</v>
      </c>
      <c r="Q1000">
        <f t="shared" si="109"/>
        <v>0</v>
      </c>
      <c r="R1000" s="280"/>
      <c r="S1000" s="280">
        <f>R992/12</f>
        <v>0</v>
      </c>
      <c r="T1000" s="227">
        <f>NPV($C$236/12,S1001:$S$1436)</f>
        <v>0</v>
      </c>
    </row>
    <row r="1001" spans="16:20" x14ac:dyDescent="0.3">
      <c r="P1001" s="310">
        <v>753</v>
      </c>
      <c r="Q1001">
        <f t="shared" si="109"/>
        <v>0</v>
      </c>
      <c r="R1001" s="280"/>
      <c r="S1001" s="280">
        <f>R992/12</f>
        <v>0</v>
      </c>
      <c r="T1001" s="227">
        <f>NPV($C$236/12,S1002:$S$1436)</f>
        <v>0</v>
      </c>
    </row>
    <row r="1002" spans="16:20" x14ac:dyDescent="0.3">
      <c r="P1002" s="310">
        <v>754</v>
      </c>
      <c r="Q1002">
        <f t="shared" si="109"/>
        <v>0</v>
      </c>
      <c r="R1002" s="280"/>
      <c r="S1002" s="280">
        <f>R992/12</f>
        <v>0</v>
      </c>
      <c r="T1002" s="227">
        <f>NPV($C$236/12,S1003:$S$1436)</f>
        <v>0</v>
      </c>
    </row>
    <row r="1003" spans="16:20" x14ac:dyDescent="0.3">
      <c r="P1003" s="310">
        <v>755</v>
      </c>
      <c r="Q1003">
        <f t="shared" si="109"/>
        <v>0</v>
      </c>
      <c r="R1003" s="280"/>
      <c r="S1003" s="280">
        <f>R992/12</f>
        <v>0</v>
      </c>
      <c r="T1003" s="227">
        <f>NPV($C$236/12,S1004:$S$1436)</f>
        <v>0</v>
      </c>
    </row>
    <row r="1004" spans="16:20" x14ac:dyDescent="0.3">
      <c r="P1004" s="310">
        <v>756</v>
      </c>
      <c r="Q1004">
        <f t="shared" si="109"/>
        <v>64</v>
      </c>
      <c r="R1004" s="280">
        <f>LOOKUP(Q1004,$Q$243:$DK$243,$Q$244:$DK$244)</f>
        <v>0</v>
      </c>
      <c r="S1004" s="280">
        <f>R992/12</f>
        <v>0</v>
      </c>
      <c r="T1004" s="227">
        <f>NPV($C$236/12,S1005:$S$1436)</f>
        <v>0</v>
      </c>
    </row>
    <row r="1005" spans="16:20" x14ac:dyDescent="0.3">
      <c r="P1005" s="310">
        <v>757</v>
      </c>
      <c r="Q1005">
        <f t="shared" si="109"/>
        <v>0</v>
      </c>
      <c r="R1005" s="280"/>
      <c r="S1005" s="280">
        <f>R1004/12</f>
        <v>0</v>
      </c>
      <c r="T1005" s="227">
        <f>NPV($C$236/12,S1006:$S$1436)</f>
        <v>0</v>
      </c>
    </row>
    <row r="1006" spans="16:20" x14ac:dyDescent="0.3">
      <c r="P1006" s="310">
        <v>758</v>
      </c>
      <c r="Q1006">
        <f t="shared" si="109"/>
        <v>0</v>
      </c>
      <c r="R1006" s="280"/>
      <c r="S1006" s="280">
        <f>R1004/12</f>
        <v>0</v>
      </c>
      <c r="T1006" s="227">
        <f>NPV($C$236/12,S1007:$S$1436)</f>
        <v>0</v>
      </c>
    </row>
    <row r="1007" spans="16:20" x14ac:dyDescent="0.3">
      <c r="P1007" s="310">
        <v>759</v>
      </c>
      <c r="Q1007">
        <f t="shared" si="109"/>
        <v>0</v>
      </c>
      <c r="R1007" s="280"/>
      <c r="S1007" s="280">
        <f>R1004/12</f>
        <v>0</v>
      </c>
      <c r="T1007" s="227">
        <f>NPV($C$236/12,S1008:$S$1436)</f>
        <v>0</v>
      </c>
    </row>
    <row r="1008" spans="16:20" x14ac:dyDescent="0.3">
      <c r="P1008" s="310">
        <v>760</v>
      </c>
      <c r="Q1008">
        <f t="shared" si="109"/>
        <v>0</v>
      </c>
      <c r="R1008" s="280"/>
      <c r="S1008" s="280">
        <f>R1004/12</f>
        <v>0</v>
      </c>
      <c r="T1008" s="227">
        <f>NPV($C$236/12,S1009:$S$1436)</f>
        <v>0</v>
      </c>
    </row>
    <row r="1009" spans="16:20" x14ac:dyDescent="0.3">
      <c r="P1009" s="310">
        <v>761</v>
      </c>
      <c r="Q1009">
        <f t="shared" si="109"/>
        <v>0</v>
      </c>
      <c r="R1009" s="280"/>
      <c r="S1009" s="280">
        <f>R1004/12</f>
        <v>0</v>
      </c>
      <c r="T1009" s="227">
        <f>NPV($C$236/12,S1010:$S$1436)</f>
        <v>0</v>
      </c>
    </row>
    <row r="1010" spans="16:20" x14ac:dyDescent="0.3">
      <c r="P1010" s="310">
        <v>762</v>
      </c>
      <c r="Q1010">
        <f t="shared" si="109"/>
        <v>0</v>
      </c>
      <c r="R1010" s="280"/>
      <c r="S1010" s="280">
        <f>R1004/12</f>
        <v>0</v>
      </c>
      <c r="T1010" s="227">
        <f>NPV($C$236/12,S1011:$S$1436)</f>
        <v>0</v>
      </c>
    </row>
    <row r="1011" spans="16:20" x14ac:dyDescent="0.3">
      <c r="P1011" s="310">
        <v>763</v>
      </c>
      <c r="Q1011">
        <f t="shared" si="109"/>
        <v>0</v>
      </c>
      <c r="R1011" s="280"/>
      <c r="S1011" s="280">
        <f>R1004/12</f>
        <v>0</v>
      </c>
      <c r="T1011" s="227">
        <f>NPV($C$236/12,S1012:$S$1436)</f>
        <v>0</v>
      </c>
    </row>
    <row r="1012" spans="16:20" x14ac:dyDescent="0.3">
      <c r="P1012" s="310">
        <v>764</v>
      </c>
      <c r="Q1012">
        <f t="shared" si="109"/>
        <v>0</v>
      </c>
      <c r="R1012" s="280"/>
      <c r="S1012" s="280">
        <f>R1004/12</f>
        <v>0</v>
      </c>
      <c r="T1012" s="227">
        <f>NPV($C$236/12,S1013:$S$1436)</f>
        <v>0</v>
      </c>
    </row>
    <row r="1013" spans="16:20" x14ac:dyDescent="0.3">
      <c r="P1013" s="310">
        <v>765</v>
      </c>
      <c r="Q1013">
        <f t="shared" si="109"/>
        <v>0</v>
      </c>
      <c r="R1013" s="280"/>
      <c r="S1013" s="280">
        <f>R1004/12</f>
        <v>0</v>
      </c>
      <c r="T1013" s="227">
        <f>NPV($C$236/12,S1014:$S$1436)</f>
        <v>0</v>
      </c>
    </row>
    <row r="1014" spans="16:20" x14ac:dyDescent="0.3">
      <c r="P1014" s="310">
        <v>766</v>
      </c>
      <c r="Q1014">
        <f t="shared" si="109"/>
        <v>0</v>
      </c>
      <c r="R1014" s="280"/>
      <c r="S1014" s="280">
        <f>R1004/12</f>
        <v>0</v>
      </c>
      <c r="T1014" s="227">
        <f>NPV($C$236/12,S1015:$S$1436)</f>
        <v>0</v>
      </c>
    </row>
    <row r="1015" spans="16:20" x14ac:dyDescent="0.3">
      <c r="P1015" s="310">
        <v>767</v>
      </c>
      <c r="Q1015">
        <f t="shared" si="109"/>
        <v>0</v>
      </c>
      <c r="R1015" s="280"/>
      <c r="S1015" s="280">
        <f>R1004/12</f>
        <v>0</v>
      </c>
      <c r="T1015" s="227">
        <f>NPV($C$236/12,S1016:$S$1436)</f>
        <v>0</v>
      </c>
    </row>
    <row r="1016" spans="16:20" x14ac:dyDescent="0.3">
      <c r="P1016" s="310">
        <v>768</v>
      </c>
      <c r="Q1016">
        <f t="shared" si="109"/>
        <v>65</v>
      </c>
      <c r="R1016" s="280">
        <f>LOOKUP(Q1016,$Q$243:$DK$243,$Q$244:$DK$244)</f>
        <v>0</v>
      </c>
      <c r="S1016" s="280">
        <f>R1004/12</f>
        <v>0</v>
      </c>
      <c r="T1016" s="227">
        <f>NPV($C$236/12,S1017:$S$1436)</f>
        <v>0</v>
      </c>
    </row>
    <row r="1017" spans="16:20" x14ac:dyDescent="0.3">
      <c r="P1017" s="310">
        <v>769</v>
      </c>
      <c r="Q1017">
        <f t="shared" ref="Q1017:Q1080" si="110">IF(MOD(P1017,12)=0,(P1017/12)+1,0)</f>
        <v>0</v>
      </c>
      <c r="R1017" s="280"/>
      <c r="S1017" s="280">
        <f>R1016/12</f>
        <v>0</v>
      </c>
      <c r="T1017" s="227">
        <f>NPV($C$236/12,S1018:$S$1436)</f>
        <v>0</v>
      </c>
    </row>
    <row r="1018" spans="16:20" x14ac:dyDescent="0.3">
      <c r="P1018" s="310">
        <v>770</v>
      </c>
      <c r="Q1018">
        <f t="shared" si="110"/>
        <v>0</v>
      </c>
      <c r="R1018" s="280"/>
      <c r="S1018" s="280">
        <f>R1016/12</f>
        <v>0</v>
      </c>
      <c r="T1018" s="227">
        <f>NPV($C$236/12,S1019:$S$1436)</f>
        <v>0</v>
      </c>
    </row>
    <row r="1019" spans="16:20" x14ac:dyDescent="0.3">
      <c r="P1019" s="310">
        <v>771</v>
      </c>
      <c r="Q1019">
        <f t="shared" si="110"/>
        <v>0</v>
      </c>
      <c r="R1019" s="280"/>
      <c r="S1019" s="280">
        <f>R1016/12</f>
        <v>0</v>
      </c>
      <c r="T1019" s="227">
        <f>NPV($C$236/12,S1020:$S$1436)</f>
        <v>0</v>
      </c>
    </row>
    <row r="1020" spans="16:20" x14ac:dyDescent="0.3">
      <c r="P1020" s="310">
        <v>772</v>
      </c>
      <c r="Q1020">
        <f t="shared" si="110"/>
        <v>0</v>
      </c>
      <c r="R1020" s="280"/>
      <c r="S1020" s="280">
        <f>R1016/12</f>
        <v>0</v>
      </c>
      <c r="T1020" s="227">
        <f>NPV($C$236/12,S1021:$S$1436)</f>
        <v>0</v>
      </c>
    </row>
    <row r="1021" spans="16:20" x14ac:dyDescent="0.3">
      <c r="P1021" s="310">
        <v>773</v>
      </c>
      <c r="Q1021">
        <f t="shared" si="110"/>
        <v>0</v>
      </c>
      <c r="R1021" s="280"/>
      <c r="S1021" s="280">
        <f>R1016/12</f>
        <v>0</v>
      </c>
      <c r="T1021" s="227">
        <f>NPV($C$236/12,S1022:$S$1436)</f>
        <v>0</v>
      </c>
    </row>
    <row r="1022" spans="16:20" x14ac:dyDescent="0.3">
      <c r="P1022" s="310">
        <v>774</v>
      </c>
      <c r="Q1022">
        <f t="shared" si="110"/>
        <v>0</v>
      </c>
      <c r="R1022" s="280"/>
      <c r="S1022" s="280">
        <f>R1016/12</f>
        <v>0</v>
      </c>
      <c r="T1022" s="227">
        <f>NPV($C$236/12,S1023:$S$1436)</f>
        <v>0</v>
      </c>
    </row>
    <row r="1023" spans="16:20" x14ac:dyDescent="0.3">
      <c r="P1023" s="310">
        <v>775</v>
      </c>
      <c r="Q1023">
        <f t="shared" si="110"/>
        <v>0</v>
      </c>
      <c r="R1023" s="280"/>
      <c r="S1023" s="280">
        <f>R1016/12</f>
        <v>0</v>
      </c>
      <c r="T1023" s="227">
        <f>NPV($C$236/12,S1024:$S$1436)</f>
        <v>0</v>
      </c>
    </row>
    <row r="1024" spans="16:20" x14ac:dyDescent="0.3">
      <c r="P1024" s="310">
        <v>776</v>
      </c>
      <c r="Q1024">
        <f t="shared" si="110"/>
        <v>0</v>
      </c>
      <c r="R1024" s="280"/>
      <c r="S1024" s="280">
        <f>R1016/12</f>
        <v>0</v>
      </c>
      <c r="T1024" s="227">
        <f>NPV($C$236/12,S1025:$S$1436)</f>
        <v>0</v>
      </c>
    </row>
    <row r="1025" spans="16:20" x14ac:dyDescent="0.3">
      <c r="P1025" s="310">
        <v>777</v>
      </c>
      <c r="Q1025">
        <f t="shared" si="110"/>
        <v>0</v>
      </c>
      <c r="R1025" s="280"/>
      <c r="S1025" s="280">
        <f>R1016/12</f>
        <v>0</v>
      </c>
      <c r="T1025" s="227">
        <f>NPV($C$236/12,S1026:$S$1436)</f>
        <v>0</v>
      </c>
    </row>
    <row r="1026" spans="16:20" x14ac:dyDescent="0.3">
      <c r="P1026" s="310">
        <v>778</v>
      </c>
      <c r="Q1026">
        <f t="shared" si="110"/>
        <v>0</v>
      </c>
      <c r="R1026" s="280"/>
      <c r="S1026" s="280">
        <f>R1016/12</f>
        <v>0</v>
      </c>
      <c r="T1026" s="227">
        <f>NPV($C$236/12,S1027:$S$1436)</f>
        <v>0</v>
      </c>
    </row>
    <row r="1027" spans="16:20" x14ac:dyDescent="0.3">
      <c r="P1027" s="310">
        <v>779</v>
      </c>
      <c r="Q1027">
        <f t="shared" si="110"/>
        <v>0</v>
      </c>
      <c r="R1027" s="280"/>
      <c r="S1027" s="280">
        <f>R1016/12</f>
        <v>0</v>
      </c>
      <c r="T1027" s="227">
        <f>NPV($C$236/12,S1028:$S$1436)</f>
        <v>0</v>
      </c>
    </row>
    <row r="1028" spans="16:20" x14ac:dyDescent="0.3">
      <c r="P1028" s="310">
        <v>780</v>
      </c>
      <c r="Q1028">
        <f t="shared" si="110"/>
        <v>66</v>
      </c>
      <c r="R1028" s="280">
        <f>LOOKUP(Q1028,$Q$243:$DK$243,$Q$244:$DK$244)</f>
        <v>0</v>
      </c>
      <c r="S1028" s="280">
        <f>R1016/12</f>
        <v>0</v>
      </c>
      <c r="T1028" s="227">
        <f>NPV($C$236/12,S1029:$S$1436)</f>
        <v>0</v>
      </c>
    </row>
    <row r="1029" spans="16:20" x14ac:dyDescent="0.3">
      <c r="P1029" s="310">
        <v>781</v>
      </c>
      <c r="Q1029">
        <f t="shared" si="110"/>
        <v>0</v>
      </c>
      <c r="R1029" s="280"/>
      <c r="S1029" s="280">
        <f>R1028/12</f>
        <v>0</v>
      </c>
      <c r="T1029" s="227">
        <f>NPV($C$236/12,S1030:$S$1436)</f>
        <v>0</v>
      </c>
    </row>
    <row r="1030" spans="16:20" x14ac:dyDescent="0.3">
      <c r="P1030" s="310">
        <v>782</v>
      </c>
      <c r="Q1030">
        <f t="shared" si="110"/>
        <v>0</v>
      </c>
      <c r="R1030" s="280"/>
      <c r="S1030" s="280">
        <f>R1028/12</f>
        <v>0</v>
      </c>
      <c r="T1030" s="227">
        <f>NPV($C$236/12,S1031:$S$1436)</f>
        <v>0</v>
      </c>
    </row>
    <row r="1031" spans="16:20" x14ac:dyDescent="0.3">
      <c r="P1031" s="310">
        <v>783</v>
      </c>
      <c r="Q1031">
        <f t="shared" si="110"/>
        <v>0</v>
      </c>
      <c r="R1031" s="280"/>
      <c r="S1031" s="280">
        <f>R1028/12</f>
        <v>0</v>
      </c>
      <c r="T1031" s="227">
        <f>NPV($C$236/12,S1032:$S$1436)</f>
        <v>0</v>
      </c>
    </row>
    <row r="1032" spans="16:20" x14ac:dyDescent="0.3">
      <c r="P1032" s="310">
        <v>784</v>
      </c>
      <c r="Q1032">
        <f t="shared" si="110"/>
        <v>0</v>
      </c>
      <c r="R1032" s="280"/>
      <c r="S1032" s="280">
        <f>R1028/12</f>
        <v>0</v>
      </c>
      <c r="T1032" s="227">
        <f>NPV($C$236/12,S1033:$S$1436)</f>
        <v>0</v>
      </c>
    </row>
    <row r="1033" spans="16:20" x14ac:dyDescent="0.3">
      <c r="P1033" s="310">
        <v>785</v>
      </c>
      <c r="Q1033">
        <f t="shared" si="110"/>
        <v>0</v>
      </c>
      <c r="R1033" s="280"/>
      <c r="S1033" s="280">
        <f>R1028/12</f>
        <v>0</v>
      </c>
      <c r="T1033" s="227">
        <f>NPV($C$236/12,S1034:$S$1436)</f>
        <v>0</v>
      </c>
    </row>
    <row r="1034" spans="16:20" x14ac:dyDescent="0.3">
      <c r="P1034" s="310">
        <v>786</v>
      </c>
      <c r="Q1034">
        <f t="shared" si="110"/>
        <v>0</v>
      </c>
      <c r="R1034" s="280"/>
      <c r="S1034" s="280">
        <f>R1028/12</f>
        <v>0</v>
      </c>
      <c r="T1034" s="227">
        <f>NPV($C$236/12,S1035:$S$1436)</f>
        <v>0</v>
      </c>
    </row>
    <row r="1035" spans="16:20" x14ac:dyDescent="0.3">
      <c r="P1035" s="310">
        <v>787</v>
      </c>
      <c r="Q1035">
        <f t="shared" si="110"/>
        <v>0</v>
      </c>
      <c r="R1035" s="280"/>
      <c r="S1035" s="280">
        <f>R1028/12</f>
        <v>0</v>
      </c>
      <c r="T1035" s="227">
        <f>NPV($C$236/12,S1036:$S$1436)</f>
        <v>0</v>
      </c>
    </row>
    <row r="1036" spans="16:20" x14ac:dyDescent="0.3">
      <c r="P1036" s="310">
        <v>788</v>
      </c>
      <c r="Q1036">
        <f t="shared" si="110"/>
        <v>0</v>
      </c>
      <c r="R1036" s="280"/>
      <c r="S1036" s="280">
        <f>R1028/12</f>
        <v>0</v>
      </c>
      <c r="T1036" s="227">
        <f>NPV($C$236/12,S1037:$S$1436)</f>
        <v>0</v>
      </c>
    </row>
    <row r="1037" spans="16:20" x14ac:dyDescent="0.3">
      <c r="P1037" s="310">
        <v>789</v>
      </c>
      <c r="Q1037">
        <f t="shared" si="110"/>
        <v>0</v>
      </c>
      <c r="R1037" s="280"/>
      <c r="S1037" s="280">
        <f>R1028/12</f>
        <v>0</v>
      </c>
      <c r="T1037" s="227">
        <f>NPV($C$236/12,S1038:$S$1436)</f>
        <v>0</v>
      </c>
    </row>
    <row r="1038" spans="16:20" x14ac:dyDescent="0.3">
      <c r="P1038" s="310">
        <v>790</v>
      </c>
      <c r="Q1038">
        <f t="shared" si="110"/>
        <v>0</v>
      </c>
      <c r="R1038" s="280"/>
      <c r="S1038" s="280">
        <f>R1028/12</f>
        <v>0</v>
      </c>
      <c r="T1038" s="227">
        <f>NPV($C$236/12,S1039:$S$1436)</f>
        <v>0</v>
      </c>
    </row>
    <row r="1039" spans="16:20" x14ac:dyDescent="0.3">
      <c r="P1039" s="310">
        <v>791</v>
      </c>
      <c r="Q1039">
        <f t="shared" si="110"/>
        <v>0</v>
      </c>
      <c r="R1039" s="280"/>
      <c r="S1039" s="280">
        <f>R1028/12</f>
        <v>0</v>
      </c>
      <c r="T1039" s="227">
        <f>NPV($C$236/12,S1040:$S$1436)</f>
        <v>0</v>
      </c>
    </row>
    <row r="1040" spans="16:20" x14ac:dyDescent="0.3">
      <c r="P1040" s="310">
        <v>792</v>
      </c>
      <c r="Q1040">
        <f t="shared" si="110"/>
        <v>67</v>
      </c>
      <c r="R1040" s="280">
        <f>LOOKUP(Q1040,$Q$243:$DK$243,$Q$244:$DK$244)</f>
        <v>0</v>
      </c>
      <c r="S1040" s="280">
        <f>R1028/12</f>
        <v>0</v>
      </c>
      <c r="T1040" s="227">
        <f>NPV($C$236/12,S1041:$S$1436)</f>
        <v>0</v>
      </c>
    </row>
    <row r="1041" spans="16:20" x14ac:dyDescent="0.3">
      <c r="P1041" s="310">
        <v>793</v>
      </c>
      <c r="Q1041">
        <f t="shared" si="110"/>
        <v>0</v>
      </c>
      <c r="R1041" s="280"/>
      <c r="S1041" s="280">
        <f>R1040/12</f>
        <v>0</v>
      </c>
      <c r="T1041" s="227">
        <f>NPV($C$236/12,S1042:$S$1436)</f>
        <v>0</v>
      </c>
    </row>
    <row r="1042" spans="16:20" x14ac:dyDescent="0.3">
      <c r="P1042" s="310">
        <v>794</v>
      </c>
      <c r="Q1042">
        <f t="shared" si="110"/>
        <v>0</v>
      </c>
      <c r="R1042" s="280"/>
      <c r="S1042" s="280">
        <f>R1040/12</f>
        <v>0</v>
      </c>
      <c r="T1042" s="227">
        <f>NPV($C$236/12,S1043:$S$1436)</f>
        <v>0</v>
      </c>
    </row>
    <row r="1043" spans="16:20" x14ac:dyDescent="0.3">
      <c r="P1043" s="310">
        <v>795</v>
      </c>
      <c r="Q1043">
        <f t="shared" si="110"/>
        <v>0</v>
      </c>
      <c r="R1043" s="280"/>
      <c r="S1043" s="280">
        <f>R1040/12</f>
        <v>0</v>
      </c>
      <c r="T1043" s="227">
        <f>NPV($C$236/12,S1044:$S$1436)</f>
        <v>0</v>
      </c>
    </row>
    <row r="1044" spans="16:20" x14ac:dyDescent="0.3">
      <c r="P1044" s="310">
        <v>796</v>
      </c>
      <c r="Q1044">
        <f t="shared" si="110"/>
        <v>0</v>
      </c>
      <c r="R1044" s="280"/>
      <c r="S1044" s="280">
        <f>R1040/12</f>
        <v>0</v>
      </c>
      <c r="T1044" s="227">
        <f>NPV($C$236/12,S1045:$S$1436)</f>
        <v>0</v>
      </c>
    </row>
    <row r="1045" spans="16:20" x14ac:dyDescent="0.3">
      <c r="P1045" s="310">
        <v>797</v>
      </c>
      <c r="Q1045">
        <f t="shared" si="110"/>
        <v>0</v>
      </c>
      <c r="R1045" s="280"/>
      <c r="S1045" s="280">
        <f>R1040/12</f>
        <v>0</v>
      </c>
      <c r="T1045" s="227">
        <f>NPV($C$236/12,S1046:$S$1436)</f>
        <v>0</v>
      </c>
    </row>
    <row r="1046" spans="16:20" x14ac:dyDescent="0.3">
      <c r="P1046" s="310">
        <v>798</v>
      </c>
      <c r="Q1046">
        <f t="shared" si="110"/>
        <v>0</v>
      </c>
      <c r="R1046" s="280"/>
      <c r="S1046" s="280">
        <f>R1040/12</f>
        <v>0</v>
      </c>
      <c r="T1046" s="227">
        <f>NPV($C$236/12,S1047:$S$1436)</f>
        <v>0</v>
      </c>
    </row>
    <row r="1047" spans="16:20" x14ac:dyDescent="0.3">
      <c r="P1047" s="310">
        <v>799</v>
      </c>
      <c r="Q1047">
        <f t="shared" si="110"/>
        <v>0</v>
      </c>
      <c r="R1047" s="280"/>
      <c r="S1047" s="280">
        <f>R1040/12</f>
        <v>0</v>
      </c>
      <c r="T1047" s="227">
        <f>NPV($C$236/12,S1048:$S$1436)</f>
        <v>0</v>
      </c>
    </row>
    <row r="1048" spans="16:20" x14ac:dyDescent="0.3">
      <c r="P1048" s="310">
        <v>800</v>
      </c>
      <c r="Q1048">
        <f t="shared" si="110"/>
        <v>0</v>
      </c>
      <c r="R1048" s="280"/>
      <c r="S1048" s="280">
        <f>R1040/12</f>
        <v>0</v>
      </c>
      <c r="T1048" s="227">
        <f>NPV($C$236/12,S1049:$S$1436)</f>
        <v>0</v>
      </c>
    </row>
    <row r="1049" spans="16:20" x14ac:dyDescent="0.3">
      <c r="P1049" s="310">
        <v>801</v>
      </c>
      <c r="Q1049">
        <f t="shared" si="110"/>
        <v>0</v>
      </c>
      <c r="R1049" s="280"/>
      <c r="S1049" s="280">
        <f>R1040/12</f>
        <v>0</v>
      </c>
      <c r="T1049" s="227">
        <f>NPV($C$236/12,S1050:$S$1436)</f>
        <v>0</v>
      </c>
    </row>
    <row r="1050" spans="16:20" x14ac:dyDescent="0.3">
      <c r="P1050" s="310">
        <v>802</v>
      </c>
      <c r="Q1050">
        <f t="shared" si="110"/>
        <v>0</v>
      </c>
      <c r="R1050" s="280"/>
      <c r="S1050" s="280">
        <f>R1040/12</f>
        <v>0</v>
      </c>
      <c r="T1050" s="227">
        <f>NPV($C$236/12,S1051:$S$1436)</f>
        <v>0</v>
      </c>
    </row>
    <row r="1051" spans="16:20" x14ac:dyDescent="0.3">
      <c r="P1051" s="310">
        <v>803</v>
      </c>
      <c r="Q1051">
        <f t="shared" si="110"/>
        <v>0</v>
      </c>
      <c r="R1051" s="280"/>
      <c r="S1051" s="280">
        <f>R1040/12</f>
        <v>0</v>
      </c>
      <c r="T1051" s="227">
        <f>NPV($C$236/12,S1052:$S$1436)</f>
        <v>0</v>
      </c>
    </row>
    <row r="1052" spans="16:20" x14ac:dyDescent="0.3">
      <c r="P1052" s="310">
        <v>804</v>
      </c>
      <c r="Q1052">
        <f t="shared" si="110"/>
        <v>68</v>
      </c>
      <c r="R1052" s="280">
        <f>LOOKUP(Q1052,$Q$243:$DK$243,$Q$244:$DK$244)</f>
        <v>0</v>
      </c>
      <c r="S1052" s="280">
        <f>R1040/12</f>
        <v>0</v>
      </c>
      <c r="T1052" s="227">
        <f>NPV($C$236/12,S1053:$S$1436)</f>
        <v>0</v>
      </c>
    </row>
    <row r="1053" spans="16:20" x14ac:dyDescent="0.3">
      <c r="P1053" s="310">
        <v>805</v>
      </c>
      <c r="Q1053">
        <f t="shared" si="110"/>
        <v>0</v>
      </c>
      <c r="R1053" s="280"/>
      <c r="S1053" s="280">
        <f>R1052/12</f>
        <v>0</v>
      </c>
      <c r="T1053" s="227">
        <f>NPV($C$236/12,S1054:$S$1436)</f>
        <v>0</v>
      </c>
    </row>
    <row r="1054" spans="16:20" x14ac:dyDescent="0.3">
      <c r="P1054" s="310">
        <v>806</v>
      </c>
      <c r="Q1054">
        <f t="shared" si="110"/>
        <v>0</v>
      </c>
      <c r="R1054" s="280"/>
      <c r="S1054" s="280">
        <f>R1052/12</f>
        <v>0</v>
      </c>
      <c r="T1054" s="227">
        <f>NPV($C$236/12,S1055:$S$1436)</f>
        <v>0</v>
      </c>
    </row>
    <row r="1055" spans="16:20" x14ac:dyDescent="0.3">
      <c r="P1055" s="310">
        <v>807</v>
      </c>
      <c r="Q1055">
        <f t="shared" si="110"/>
        <v>0</v>
      </c>
      <c r="R1055" s="280"/>
      <c r="S1055" s="280">
        <f>R1052/12</f>
        <v>0</v>
      </c>
      <c r="T1055" s="227">
        <f>NPV($C$236/12,S1056:$S$1436)</f>
        <v>0</v>
      </c>
    </row>
    <row r="1056" spans="16:20" x14ac:dyDescent="0.3">
      <c r="P1056" s="310">
        <v>808</v>
      </c>
      <c r="Q1056">
        <f t="shared" si="110"/>
        <v>0</v>
      </c>
      <c r="R1056" s="280"/>
      <c r="S1056" s="280">
        <f>R1052/12</f>
        <v>0</v>
      </c>
      <c r="T1056" s="227">
        <f>NPV($C$236/12,S1057:$S$1436)</f>
        <v>0</v>
      </c>
    </row>
    <row r="1057" spans="16:20" x14ac:dyDescent="0.3">
      <c r="P1057" s="310">
        <v>809</v>
      </c>
      <c r="Q1057">
        <f t="shared" si="110"/>
        <v>0</v>
      </c>
      <c r="R1057" s="280"/>
      <c r="S1057" s="280">
        <f>R1052/12</f>
        <v>0</v>
      </c>
      <c r="T1057" s="227">
        <f>NPV($C$236/12,S1058:$S$1436)</f>
        <v>0</v>
      </c>
    </row>
    <row r="1058" spans="16:20" x14ac:dyDescent="0.3">
      <c r="P1058" s="310">
        <v>810</v>
      </c>
      <c r="Q1058">
        <f t="shared" si="110"/>
        <v>0</v>
      </c>
      <c r="R1058" s="280"/>
      <c r="S1058" s="280">
        <f>R1052/12</f>
        <v>0</v>
      </c>
      <c r="T1058" s="227">
        <f>NPV($C$236/12,S1059:$S$1436)</f>
        <v>0</v>
      </c>
    </row>
    <row r="1059" spans="16:20" x14ac:dyDescent="0.3">
      <c r="P1059" s="310">
        <v>811</v>
      </c>
      <c r="Q1059">
        <f t="shared" si="110"/>
        <v>0</v>
      </c>
      <c r="R1059" s="280"/>
      <c r="S1059" s="280">
        <f>R1052/12</f>
        <v>0</v>
      </c>
      <c r="T1059" s="227">
        <f>NPV($C$236/12,S1060:$S$1436)</f>
        <v>0</v>
      </c>
    </row>
    <row r="1060" spans="16:20" x14ac:dyDescent="0.3">
      <c r="P1060" s="310">
        <v>812</v>
      </c>
      <c r="Q1060">
        <f t="shared" si="110"/>
        <v>0</v>
      </c>
      <c r="R1060" s="280"/>
      <c r="S1060" s="280">
        <f>R1052/12</f>
        <v>0</v>
      </c>
      <c r="T1060" s="227">
        <f>NPV($C$236/12,S1061:$S$1436)</f>
        <v>0</v>
      </c>
    </row>
    <row r="1061" spans="16:20" x14ac:dyDescent="0.3">
      <c r="P1061" s="310">
        <v>813</v>
      </c>
      <c r="Q1061">
        <f t="shared" si="110"/>
        <v>0</v>
      </c>
      <c r="R1061" s="280"/>
      <c r="S1061" s="280">
        <f>R1052/12</f>
        <v>0</v>
      </c>
      <c r="T1061" s="227">
        <f>NPV($C$236/12,S1062:$S$1436)</f>
        <v>0</v>
      </c>
    </row>
    <row r="1062" spans="16:20" x14ac:dyDescent="0.3">
      <c r="P1062" s="310">
        <v>814</v>
      </c>
      <c r="Q1062">
        <f t="shared" si="110"/>
        <v>0</v>
      </c>
      <c r="R1062" s="280"/>
      <c r="S1062" s="280">
        <f>R1052/12</f>
        <v>0</v>
      </c>
      <c r="T1062" s="227">
        <f>NPV($C$236/12,S1063:$S$1436)</f>
        <v>0</v>
      </c>
    </row>
    <row r="1063" spans="16:20" x14ac:dyDescent="0.3">
      <c r="P1063" s="310">
        <v>815</v>
      </c>
      <c r="Q1063">
        <f t="shared" si="110"/>
        <v>0</v>
      </c>
      <c r="R1063" s="280"/>
      <c r="S1063" s="280">
        <f>R1052/12</f>
        <v>0</v>
      </c>
      <c r="T1063" s="227">
        <f>NPV($C$236/12,S1064:$S$1436)</f>
        <v>0</v>
      </c>
    </row>
    <row r="1064" spans="16:20" x14ac:dyDescent="0.3">
      <c r="P1064" s="310">
        <v>816</v>
      </c>
      <c r="Q1064">
        <f t="shared" si="110"/>
        <v>69</v>
      </c>
      <c r="R1064" s="280">
        <f>LOOKUP(Q1064,$Q$243:$DK$243,$Q$244:$DK$244)</f>
        <v>0</v>
      </c>
      <c r="S1064" s="280">
        <f>R1052/12</f>
        <v>0</v>
      </c>
      <c r="T1064" s="227">
        <f>NPV($C$236/12,S1065:$S$1436)</f>
        <v>0</v>
      </c>
    </row>
    <row r="1065" spans="16:20" x14ac:dyDescent="0.3">
      <c r="P1065" s="310">
        <v>817</v>
      </c>
      <c r="Q1065">
        <f t="shared" si="110"/>
        <v>0</v>
      </c>
      <c r="R1065" s="280"/>
      <c r="S1065" s="280">
        <f>R1064/12</f>
        <v>0</v>
      </c>
      <c r="T1065" s="227">
        <f>NPV($C$236/12,S1066:$S$1436)</f>
        <v>0</v>
      </c>
    </row>
    <row r="1066" spans="16:20" x14ac:dyDescent="0.3">
      <c r="P1066" s="310">
        <v>818</v>
      </c>
      <c r="Q1066">
        <f t="shared" si="110"/>
        <v>0</v>
      </c>
      <c r="R1066" s="280"/>
      <c r="S1066" s="280">
        <f>R1064/12</f>
        <v>0</v>
      </c>
      <c r="T1066" s="227">
        <f>NPV($C$236/12,S1067:$S$1436)</f>
        <v>0</v>
      </c>
    </row>
    <row r="1067" spans="16:20" x14ac:dyDescent="0.3">
      <c r="P1067" s="310">
        <v>819</v>
      </c>
      <c r="Q1067">
        <f t="shared" si="110"/>
        <v>0</v>
      </c>
      <c r="R1067" s="280"/>
      <c r="S1067" s="280">
        <f>R1064/12</f>
        <v>0</v>
      </c>
      <c r="T1067" s="227">
        <f>NPV($C$236/12,S1068:$S$1436)</f>
        <v>0</v>
      </c>
    </row>
    <row r="1068" spans="16:20" x14ac:dyDescent="0.3">
      <c r="P1068" s="310">
        <v>820</v>
      </c>
      <c r="Q1068">
        <f t="shared" si="110"/>
        <v>0</v>
      </c>
      <c r="R1068" s="280"/>
      <c r="S1068" s="280">
        <f>R1064/12</f>
        <v>0</v>
      </c>
      <c r="T1068" s="227">
        <f>NPV($C$236/12,S1069:$S$1436)</f>
        <v>0</v>
      </c>
    </row>
    <row r="1069" spans="16:20" x14ac:dyDescent="0.3">
      <c r="P1069" s="310">
        <v>821</v>
      </c>
      <c r="Q1069">
        <f t="shared" si="110"/>
        <v>0</v>
      </c>
      <c r="R1069" s="280"/>
      <c r="S1069" s="280">
        <f>R1064/12</f>
        <v>0</v>
      </c>
      <c r="T1069" s="227">
        <f>NPV($C$236/12,S1070:$S$1436)</f>
        <v>0</v>
      </c>
    </row>
    <row r="1070" spans="16:20" x14ac:dyDescent="0.3">
      <c r="P1070" s="310">
        <v>822</v>
      </c>
      <c r="Q1070">
        <f t="shared" si="110"/>
        <v>0</v>
      </c>
      <c r="R1070" s="280"/>
      <c r="S1070" s="280">
        <f>R1064/12</f>
        <v>0</v>
      </c>
      <c r="T1070" s="227">
        <f>NPV($C$236/12,S1071:$S$1436)</f>
        <v>0</v>
      </c>
    </row>
    <row r="1071" spans="16:20" x14ac:dyDescent="0.3">
      <c r="P1071" s="310">
        <v>823</v>
      </c>
      <c r="Q1071">
        <f t="shared" si="110"/>
        <v>0</v>
      </c>
      <c r="R1071" s="280"/>
      <c r="S1071" s="280">
        <f>R1064/12</f>
        <v>0</v>
      </c>
      <c r="T1071" s="227">
        <f>NPV($C$236/12,S1072:$S$1436)</f>
        <v>0</v>
      </c>
    </row>
    <row r="1072" spans="16:20" x14ac:dyDescent="0.3">
      <c r="P1072" s="310">
        <v>824</v>
      </c>
      <c r="Q1072">
        <f t="shared" si="110"/>
        <v>0</v>
      </c>
      <c r="R1072" s="280"/>
      <c r="S1072" s="280">
        <f>R1064/12</f>
        <v>0</v>
      </c>
      <c r="T1072" s="227">
        <f>NPV($C$236/12,S1073:$S$1436)</f>
        <v>0</v>
      </c>
    </row>
    <row r="1073" spans="16:20" x14ac:dyDescent="0.3">
      <c r="P1073" s="310">
        <v>825</v>
      </c>
      <c r="Q1073">
        <f t="shared" si="110"/>
        <v>0</v>
      </c>
      <c r="R1073" s="280"/>
      <c r="S1073" s="280">
        <f>R1064/12</f>
        <v>0</v>
      </c>
      <c r="T1073" s="227">
        <f>NPV($C$236/12,S1074:$S$1436)</f>
        <v>0</v>
      </c>
    </row>
    <row r="1074" spans="16:20" x14ac:dyDescent="0.3">
      <c r="P1074" s="310">
        <v>826</v>
      </c>
      <c r="Q1074">
        <f t="shared" si="110"/>
        <v>0</v>
      </c>
      <c r="R1074" s="280"/>
      <c r="S1074" s="280">
        <f>R1064/12</f>
        <v>0</v>
      </c>
      <c r="T1074" s="227">
        <f>NPV($C$236/12,S1075:$S$1436)</f>
        <v>0</v>
      </c>
    </row>
    <row r="1075" spans="16:20" x14ac:dyDescent="0.3">
      <c r="P1075" s="310">
        <v>827</v>
      </c>
      <c r="Q1075">
        <f t="shared" si="110"/>
        <v>0</v>
      </c>
      <c r="R1075" s="280"/>
      <c r="S1075" s="280">
        <f>R1064/12</f>
        <v>0</v>
      </c>
      <c r="T1075" s="227">
        <f>NPV($C$236/12,S1076:$S$1436)</f>
        <v>0</v>
      </c>
    </row>
    <row r="1076" spans="16:20" x14ac:dyDescent="0.3">
      <c r="P1076" s="310">
        <v>828</v>
      </c>
      <c r="Q1076">
        <f t="shared" si="110"/>
        <v>70</v>
      </c>
      <c r="R1076" s="280">
        <f>LOOKUP(Q1076,$Q$243:$DK$243,$Q$244:$DK$244)</f>
        <v>0</v>
      </c>
      <c r="S1076" s="280">
        <f>R1064/12</f>
        <v>0</v>
      </c>
      <c r="T1076" s="227">
        <f>NPV($C$236/12,S1077:$S$1436)</f>
        <v>0</v>
      </c>
    </row>
    <row r="1077" spans="16:20" x14ac:dyDescent="0.3">
      <c r="P1077" s="310">
        <v>829</v>
      </c>
      <c r="Q1077">
        <f t="shared" si="110"/>
        <v>0</v>
      </c>
      <c r="R1077" s="280"/>
      <c r="S1077" s="280">
        <f>R1076/12</f>
        <v>0</v>
      </c>
      <c r="T1077" s="227">
        <f>NPV($C$236/12,S1078:$S$1436)</f>
        <v>0</v>
      </c>
    </row>
    <row r="1078" spans="16:20" x14ac:dyDescent="0.3">
      <c r="P1078" s="310">
        <v>830</v>
      </c>
      <c r="Q1078">
        <f t="shared" si="110"/>
        <v>0</v>
      </c>
      <c r="R1078" s="280"/>
      <c r="S1078" s="280">
        <f>R1076/12</f>
        <v>0</v>
      </c>
      <c r="T1078" s="227">
        <f>NPV($C$236/12,S1079:$S$1436)</f>
        <v>0</v>
      </c>
    </row>
    <row r="1079" spans="16:20" x14ac:dyDescent="0.3">
      <c r="P1079" s="310">
        <v>831</v>
      </c>
      <c r="Q1079">
        <f t="shared" si="110"/>
        <v>0</v>
      </c>
      <c r="R1079" s="280"/>
      <c r="S1079" s="280">
        <f>R1076/12</f>
        <v>0</v>
      </c>
      <c r="T1079" s="227">
        <f>NPV($C$236/12,S1080:$S$1436)</f>
        <v>0</v>
      </c>
    </row>
    <row r="1080" spans="16:20" x14ac:dyDescent="0.3">
      <c r="P1080" s="310">
        <v>832</v>
      </c>
      <c r="Q1080">
        <f t="shared" si="110"/>
        <v>0</v>
      </c>
      <c r="R1080" s="280"/>
      <c r="S1080" s="280">
        <f>R1076/12</f>
        <v>0</v>
      </c>
      <c r="T1080" s="227">
        <f>NPV($C$236/12,S1081:$S$1436)</f>
        <v>0</v>
      </c>
    </row>
    <row r="1081" spans="16:20" x14ac:dyDescent="0.3">
      <c r="P1081" s="310">
        <v>833</v>
      </c>
      <c r="Q1081">
        <f t="shared" ref="Q1081:Q1144" si="111">IF(MOD(P1081,12)=0,(P1081/12)+1,0)</f>
        <v>0</v>
      </c>
      <c r="R1081" s="280"/>
      <c r="S1081" s="280">
        <f>R1076/12</f>
        <v>0</v>
      </c>
      <c r="T1081" s="227">
        <f>NPV($C$236/12,S1082:$S$1436)</f>
        <v>0</v>
      </c>
    </row>
    <row r="1082" spans="16:20" x14ac:dyDescent="0.3">
      <c r="P1082" s="310">
        <v>834</v>
      </c>
      <c r="Q1082">
        <f t="shared" si="111"/>
        <v>0</v>
      </c>
      <c r="R1082" s="280"/>
      <c r="S1082" s="280">
        <f>R1076/12</f>
        <v>0</v>
      </c>
      <c r="T1082" s="227">
        <f>NPV($C$236/12,S1083:$S$1436)</f>
        <v>0</v>
      </c>
    </row>
    <row r="1083" spans="16:20" x14ac:dyDescent="0.3">
      <c r="P1083" s="310">
        <v>835</v>
      </c>
      <c r="Q1083">
        <f t="shared" si="111"/>
        <v>0</v>
      </c>
      <c r="R1083" s="280"/>
      <c r="S1083" s="280">
        <f>R1076/12</f>
        <v>0</v>
      </c>
      <c r="T1083" s="227">
        <f>NPV($C$236/12,S1084:$S$1436)</f>
        <v>0</v>
      </c>
    </row>
    <row r="1084" spans="16:20" x14ac:dyDescent="0.3">
      <c r="P1084" s="310">
        <v>836</v>
      </c>
      <c r="Q1084">
        <f t="shared" si="111"/>
        <v>0</v>
      </c>
      <c r="R1084" s="280"/>
      <c r="S1084" s="280">
        <f>R1076/12</f>
        <v>0</v>
      </c>
      <c r="T1084" s="227">
        <f>NPV($C$236/12,S1085:$S$1436)</f>
        <v>0</v>
      </c>
    </row>
    <row r="1085" spans="16:20" x14ac:dyDescent="0.3">
      <c r="P1085" s="310">
        <v>837</v>
      </c>
      <c r="Q1085">
        <f t="shared" si="111"/>
        <v>0</v>
      </c>
      <c r="R1085" s="280"/>
      <c r="S1085" s="280">
        <f>R1076/12</f>
        <v>0</v>
      </c>
      <c r="T1085" s="227">
        <f>NPV($C$236/12,S1086:$S$1436)</f>
        <v>0</v>
      </c>
    </row>
    <row r="1086" spans="16:20" x14ac:dyDescent="0.3">
      <c r="P1086" s="310">
        <v>838</v>
      </c>
      <c r="Q1086">
        <f t="shared" si="111"/>
        <v>0</v>
      </c>
      <c r="R1086" s="280"/>
      <c r="S1086" s="280">
        <f>R1076/12</f>
        <v>0</v>
      </c>
      <c r="T1086" s="227">
        <f>NPV($C$236/12,S1087:$S$1436)</f>
        <v>0</v>
      </c>
    </row>
    <row r="1087" spans="16:20" x14ac:dyDescent="0.3">
      <c r="P1087" s="310">
        <v>839</v>
      </c>
      <c r="Q1087">
        <f t="shared" si="111"/>
        <v>0</v>
      </c>
      <c r="R1087" s="280"/>
      <c r="S1087" s="280">
        <f>R1076/12</f>
        <v>0</v>
      </c>
      <c r="T1087" s="227">
        <f>NPV($C$236/12,S1088:$S$1436)</f>
        <v>0</v>
      </c>
    </row>
    <row r="1088" spans="16:20" x14ac:dyDescent="0.3">
      <c r="P1088" s="310">
        <v>840</v>
      </c>
      <c r="Q1088">
        <f t="shared" si="111"/>
        <v>71</v>
      </c>
      <c r="R1088" s="280">
        <f>LOOKUP(Q1088,$Q$243:$DK$243,$Q$244:$DK$244)</f>
        <v>0</v>
      </c>
      <c r="S1088" s="280">
        <f>R1076/12</f>
        <v>0</v>
      </c>
      <c r="T1088" s="227">
        <f>NPV($C$236/12,S1089:$S$1436)</f>
        <v>0</v>
      </c>
    </row>
    <row r="1089" spans="16:20" x14ac:dyDescent="0.3">
      <c r="P1089" s="310">
        <v>841</v>
      </c>
      <c r="Q1089">
        <f t="shared" si="111"/>
        <v>0</v>
      </c>
      <c r="R1089" s="280"/>
      <c r="S1089" s="280">
        <f>R1088/12</f>
        <v>0</v>
      </c>
      <c r="T1089" s="227">
        <f>NPV($C$236/12,S1090:$S$1436)</f>
        <v>0</v>
      </c>
    </row>
    <row r="1090" spans="16:20" x14ac:dyDescent="0.3">
      <c r="P1090" s="310">
        <v>842</v>
      </c>
      <c r="Q1090">
        <f t="shared" si="111"/>
        <v>0</v>
      </c>
      <c r="R1090" s="280"/>
      <c r="S1090" s="280">
        <f>R1088/12</f>
        <v>0</v>
      </c>
      <c r="T1090" s="227">
        <f>NPV($C$236/12,S1091:$S$1436)</f>
        <v>0</v>
      </c>
    </row>
    <row r="1091" spans="16:20" x14ac:dyDescent="0.3">
      <c r="P1091" s="310">
        <v>843</v>
      </c>
      <c r="Q1091">
        <f t="shared" si="111"/>
        <v>0</v>
      </c>
      <c r="R1091" s="280"/>
      <c r="S1091" s="280">
        <f>R1088/12</f>
        <v>0</v>
      </c>
      <c r="T1091" s="227">
        <f>NPV($C$236/12,S1092:$S$1436)</f>
        <v>0</v>
      </c>
    </row>
    <row r="1092" spans="16:20" x14ac:dyDescent="0.3">
      <c r="P1092" s="310">
        <v>844</v>
      </c>
      <c r="Q1092">
        <f t="shared" si="111"/>
        <v>0</v>
      </c>
      <c r="R1092" s="280"/>
      <c r="S1092" s="280">
        <f>R1088/12</f>
        <v>0</v>
      </c>
      <c r="T1092" s="227">
        <f>NPV($C$236/12,S1093:$S$1436)</f>
        <v>0</v>
      </c>
    </row>
    <row r="1093" spans="16:20" x14ac:dyDescent="0.3">
      <c r="P1093" s="310">
        <v>845</v>
      </c>
      <c r="Q1093">
        <f t="shared" si="111"/>
        <v>0</v>
      </c>
      <c r="R1093" s="280"/>
      <c r="S1093" s="280">
        <f>R1088/12</f>
        <v>0</v>
      </c>
      <c r="T1093" s="227">
        <f>NPV($C$236/12,S1094:$S$1436)</f>
        <v>0</v>
      </c>
    </row>
    <row r="1094" spans="16:20" x14ac:dyDescent="0.3">
      <c r="P1094" s="310">
        <v>846</v>
      </c>
      <c r="Q1094">
        <f t="shared" si="111"/>
        <v>0</v>
      </c>
      <c r="R1094" s="280"/>
      <c r="S1094" s="280">
        <f>R1088/12</f>
        <v>0</v>
      </c>
      <c r="T1094" s="227">
        <f>NPV($C$236/12,S1095:$S$1436)</f>
        <v>0</v>
      </c>
    </row>
    <row r="1095" spans="16:20" x14ac:dyDescent="0.3">
      <c r="P1095" s="310">
        <v>847</v>
      </c>
      <c r="Q1095">
        <f t="shared" si="111"/>
        <v>0</v>
      </c>
      <c r="R1095" s="280"/>
      <c r="S1095" s="280">
        <f>R1088/12</f>
        <v>0</v>
      </c>
      <c r="T1095" s="227">
        <f>NPV($C$236/12,S1096:$S$1436)</f>
        <v>0</v>
      </c>
    </row>
    <row r="1096" spans="16:20" x14ac:dyDescent="0.3">
      <c r="P1096" s="310">
        <v>848</v>
      </c>
      <c r="Q1096">
        <f t="shared" si="111"/>
        <v>0</v>
      </c>
      <c r="R1096" s="280"/>
      <c r="S1096" s="280">
        <f>R1088/12</f>
        <v>0</v>
      </c>
      <c r="T1096" s="227">
        <f>NPV($C$236/12,S1097:$S$1436)</f>
        <v>0</v>
      </c>
    </row>
    <row r="1097" spans="16:20" x14ac:dyDescent="0.3">
      <c r="P1097" s="310">
        <v>849</v>
      </c>
      <c r="Q1097">
        <f t="shared" si="111"/>
        <v>0</v>
      </c>
      <c r="R1097" s="280"/>
      <c r="S1097" s="280">
        <f>R1088/12</f>
        <v>0</v>
      </c>
      <c r="T1097" s="227">
        <f>NPV($C$236/12,S1098:$S$1436)</f>
        <v>0</v>
      </c>
    </row>
    <row r="1098" spans="16:20" x14ac:dyDescent="0.3">
      <c r="P1098" s="310">
        <v>850</v>
      </c>
      <c r="Q1098">
        <f t="shared" si="111"/>
        <v>0</v>
      </c>
      <c r="R1098" s="280"/>
      <c r="S1098" s="280">
        <f>R1088/12</f>
        <v>0</v>
      </c>
      <c r="T1098" s="227">
        <f>NPV($C$236/12,S1099:$S$1436)</f>
        <v>0</v>
      </c>
    </row>
    <row r="1099" spans="16:20" x14ac:dyDescent="0.3">
      <c r="P1099" s="310">
        <v>851</v>
      </c>
      <c r="Q1099">
        <f t="shared" si="111"/>
        <v>0</v>
      </c>
      <c r="R1099" s="280"/>
      <c r="S1099" s="280">
        <f>R1088/12</f>
        <v>0</v>
      </c>
      <c r="T1099" s="227">
        <f>NPV($C$236/12,S1100:$S$1436)</f>
        <v>0</v>
      </c>
    </row>
    <row r="1100" spans="16:20" x14ac:dyDescent="0.3">
      <c r="P1100" s="310">
        <v>852</v>
      </c>
      <c r="Q1100">
        <f t="shared" si="111"/>
        <v>72</v>
      </c>
      <c r="R1100" s="280">
        <f>LOOKUP(Q1100,$Q$243:$DK$243,$Q$244:$DK$244)</f>
        <v>0</v>
      </c>
      <c r="S1100" s="280">
        <f>R1088/12</f>
        <v>0</v>
      </c>
      <c r="T1100" s="227">
        <f>NPV($C$236/12,S1101:$S$1436)</f>
        <v>0</v>
      </c>
    </row>
    <row r="1101" spans="16:20" x14ac:dyDescent="0.3">
      <c r="P1101" s="310">
        <v>853</v>
      </c>
      <c r="Q1101">
        <f t="shared" si="111"/>
        <v>0</v>
      </c>
      <c r="R1101" s="280"/>
      <c r="S1101" s="280">
        <f>R1100/12</f>
        <v>0</v>
      </c>
      <c r="T1101" s="227">
        <f>NPV($C$236/12,S1102:$S$1436)</f>
        <v>0</v>
      </c>
    </row>
    <row r="1102" spans="16:20" x14ac:dyDescent="0.3">
      <c r="P1102" s="310">
        <v>854</v>
      </c>
      <c r="Q1102">
        <f t="shared" si="111"/>
        <v>0</v>
      </c>
      <c r="R1102" s="280"/>
      <c r="S1102" s="280">
        <f>R1100/12</f>
        <v>0</v>
      </c>
      <c r="T1102" s="227">
        <f>NPV($C$236/12,S1103:$S$1436)</f>
        <v>0</v>
      </c>
    </row>
    <row r="1103" spans="16:20" x14ac:dyDescent="0.3">
      <c r="P1103" s="310">
        <v>855</v>
      </c>
      <c r="Q1103">
        <f t="shared" si="111"/>
        <v>0</v>
      </c>
      <c r="R1103" s="280"/>
      <c r="S1103" s="280">
        <f>R1100/12</f>
        <v>0</v>
      </c>
      <c r="T1103" s="227">
        <f>NPV($C$236/12,S1104:$S$1436)</f>
        <v>0</v>
      </c>
    </row>
    <row r="1104" spans="16:20" x14ac:dyDescent="0.3">
      <c r="P1104" s="310">
        <v>856</v>
      </c>
      <c r="Q1104">
        <f t="shared" si="111"/>
        <v>0</v>
      </c>
      <c r="R1104" s="280"/>
      <c r="S1104" s="280">
        <f>R1100/12</f>
        <v>0</v>
      </c>
      <c r="T1104" s="227">
        <f>NPV($C$236/12,S1105:$S$1436)</f>
        <v>0</v>
      </c>
    </row>
    <row r="1105" spans="16:20" x14ac:dyDescent="0.3">
      <c r="P1105" s="310">
        <v>857</v>
      </c>
      <c r="Q1105">
        <f t="shared" si="111"/>
        <v>0</v>
      </c>
      <c r="R1105" s="280"/>
      <c r="S1105" s="280">
        <f>R1100/12</f>
        <v>0</v>
      </c>
      <c r="T1105" s="227">
        <f>NPV($C$236/12,S1106:$S$1436)</f>
        <v>0</v>
      </c>
    </row>
    <row r="1106" spans="16:20" x14ac:dyDescent="0.3">
      <c r="P1106" s="310">
        <v>858</v>
      </c>
      <c r="Q1106">
        <f t="shared" si="111"/>
        <v>0</v>
      </c>
      <c r="R1106" s="280"/>
      <c r="S1106" s="280">
        <f>R1100/12</f>
        <v>0</v>
      </c>
      <c r="T1106" s="227">
        <f>NPV($C$236/12,S1107:$S$1436)</f>
        <v>0</v>
      </c>
    </row>
    <row r="1107" spans="16:20" x14ac:dyDescent="0.3">
      <c r="P1107" s="310">
        <v>859</v>
      </c>
      <c r="Q1107">
        <f t="shared" si="111"/>
        <v>0</v>
      </c>
      <c r="R1107" s="280"/>
      <c r="S1107" s="280">
        <f>R1100/12</f>
        <v>0</v>
      </c>
      <c r="T1107" s="227">
        <f>NPV($C$236/12,S1108:$S$1436)</f>
        <v>0</v>
      </c>
    </row>
    <row r="1108" spans="16:20" x14ac:dyDescent="0.3">
      <c r="P1108" s="310">
        <v>860</v>
      </c>
      <c r="Q1108">
        <f t="shared" si="111"/>
        <v>0</v>
      </c>
      <c r="R1108" s="280"/>
      <c r="S1108" s="280">
        <f>R1100/12</f>
        <v>0</v>
      </c>
      <c r="T1108" s="227">
        <f>NPV($C$236/12,S1109:$S$1436)</f>
        <v>0</v>
      </c>
    </row>
    <row r="1109" spans="16:20" x14ac:dyDescent="0.3">
      <c r="P1109" s="310">
        <v>861</v>
      </c>
      <c r="Q1109">
        <f t="shared" si="111"/>
        <v>0</v>
      </c>
      <c r="R1109" s="280"/>
      <c r="S1109" s="280">
        <f>R1100/12</f>
        <v>0</v>
      </c>
      <c r="T1109" s="227">
        <f>NPV($C$236/12,S1110:$S$1436)</f>
        <v>0</v>
      </c>
    </row>
    <row r="1110" spans="16:20" x14ac:dyDescent="0.3">
      <c r="P1110" s="310">
        <v>862</v>
      </c>
      <c r="Q1110">
        <f t="shared" si="111"/>
        <v>0</v>
      </c>
      <c r="R1110" s="280"/>
      <c r="S1110" s="280">
        <f>R1100/12</f>
        <v>0</v>
      </c>
      <c r="T1110" s="227">
        <f>NPV($C$236/12,S1111:$S$1436)</f>
        <v>0</v>
      </c>
    </row>
    <row r="1111" spans="16:20" x14ac:dyDescent="0.3">
      <c r="P1111" s="310">
        <v>863</v>
      </c>
      <c r="Q1111">
        <f t="shared" si="111"/>
        <v>0</v>
      </c>
      <c r="R1111" s="280"/>
      <c r="S1111" s="280">
        <f>R1100/12</f>
        <v>0</v>
      </c>
      <c r="T1111" s="227">
        <f>NPV($C$236/12,S1112:$S$1436)</f>
        <v>0</v>
      </c>
    </row>
    <row r="1112" spans="16:20" x14ac:dyDescent="0.3">
      <c r="P1112" s="310">
        <v>864</v>
      </c>
      <c r="Q1112">
        <f t="shared" si="111"/>
        <v>73</v>
      </c>
      <c r="R1112" s="280">
        <f>LOOKUP(Q1112,$Q$243:$DK$243,$Q$244:$DK$244)</f>
        <v>0</v>
      </c>
      <c r="S1112" s="280">
        <f>R1100/12</f>
        <v>0</v>
      </c>
      <c r="T1112" s="227">
        <f>NPV($C$236/12,S1113:$S$1436)</f>
        <v>0</v>
      </c>
    </row>
    <row r="1113" spans="16:20" x14ac:dyDescent="0.3">
      <c r="P1113" s="310">
        <v>865</v>
      </c>
      <c r="Q1113">
        <f t="shared" si="111"/>
        <v>0</v>
      </c>
      <c r="R1113" s="280"/>
      <c r="S1113" s="280">
        <f>R1112/12</f>
        <v>0</v>
      </c>
      <c r="T1113" s="227">
        <f>NPV($C$236/12,S1114:$S$1436)</f>
        <v>0</v>
      </c>
    </row>
    <row r="1114" spans="16:20" x14ac:dyDescent="0.3">
      <c r="P1114" s="310">
        <v>866</v>
      </c>
      <c r="Q1114">
        <f t="shared" si="111"/>
        <v>0</v>
      </c>
      <c r="R1114" s="280"/>
      <c r="S1114" s="280">
        <f>R1112/12</f>
        <v>0</v>
      </c>
      <c r="T1114" s="227">
        <f>NPV($C$236/12,S1115:$S$1436)</f>
        <v>0</v>
      </c>
    </row>
    <row r="1115" spans="16:20" x14ac:dyDescent="0.3">
      <c r="P1115" s="310">
        <v>867</v>
      </c>
      <c r="Q1115">
        <f t="shared" si="111"/>
        <v>0</v>
      </c>
      <c r="R1115" s="280"/>
      <c r="S1115" s="280">
        <f>R1112/12</f>
        <v>0</v>
      </c>
      <c r="T1115" s="227">
        <f>NPV($C$236/12,S1116:$S$1436)</f>
        <v>0</v>
      </c>
    </row>
    <row r="1116" spans="16:20" x14ac:dyDescent="0.3">
      <c r="P1116" s="310">
        <v>868</v>
      </c>
      <c r="Q1116">
        <f t="shared" si="111"/>
        <v>0</v>
      </c>
      <c r="R1116" s="280"/>
      <c r="S1116" s="280">
        <f>R1112/12</f>
        <v>0</v>
      </c>
      <c r="T1116" s="227">
        <f>NPV($C$236/12,S1117:$S$1436)</f>
        <v>0</v>
      </c>
    </row>
    <row r="1117" spans="16:20" x14ac:dyDescent="0.3">
      <c r="P1117" s="310">
        <v>869</v>
      </c>
      <c r="Q1117">
        <f t="shared" si="111"/>
        <v>0</v>
      </c>
      <c r="R1117" s="280"/>
      <c r="S1117" s="280">
        <f>R1112/12</f>
        <v>0</v>
      </c>
      <c r="T1117" s="227">
        <f>NPV($C$236/12,S1118:$S$1436)</f>
        <v>0</v>
      </c>
    </row>
    <row r="1118" spans="16:20" x14ac:dyDescent="0.3">
      <c r="P1118" s="310">
        <v>870</v>
      </c>
      <c r="Q1118">
        <f t="shared" si="111"/>
        <v>0</v>
      </c>
      <c r="R1118" s="280"/>
      <c r="S1118" s="280">
        <f>R1112/12</f>
        <v>0</v>
      </c>
      <c r="T1118" s="227">
        <f>NPV($C$236/12,S1119:$S$1436)</f>
        <v>0</v>
      </c>
    </row>
    <row r="1119" spans="16:20" x14ac:dyDescent="0.3">
      <c r="P1119" s="310">
        <v>871</v>
      </c>
      <c r="Q1119">
        <f t="shared" si="111"/>
        <v>0</v>
      </c>
      <c r="R1119" s="280"/>
      <c r="S1119" s="280">
        <f>R1112/12</f>
        <v>0</v>
      </c>
      <c r="T1119" s="227">
        <f>NPV($C$236/12,S1120:$S$1436)</f>
        <v>0</v>
      </c>
    </row>
    <row r="1120" spans="16:20" x14ac:dyDescent="0.3">
      <c r="P1120" s="310">
        <v>872</v>
      </c>
      <c r="Q1120">
        <f t="shared" si="111"/>
        <v>0</v>
      </c>
      <c r="R1120" s="280"/>
      <c r="S1120" s="280">
        <f>R1112/12</f>
        <v>0</v>
      </c>
      <c r="T1120" s="227">
        <f>NPV($C$236/12,S1121:$S$1436)</f>
        <v>0</v>
      </c>
    </row>
    <row r="1121" spans="16:20" x14ac:dyDescent="0.3">
      <c r="P1121" s="310">
        <v>873</v>
      </c>
      <c r="Q1121">
        <f t="shared" si="111"/>
        <v>0</v>
      </c>
      <c r="R1121" s="280"/>
      <c r="S1121" s="280">
        <f>R1112/12</f>
        <v>0</v>
      </c>
      <c r="T1121" s="227">
        <f>NPV($C$236/12,S1122:$S$1436)</f>
        <v>0</v>
      </c>
    </row>
    <row r="1122" spans="16:20" x14ac:dyDescent="0.3">
      <c r="P1122" s="310">
        <v>874</v>
      </c>
      <c r="Q1122">
        <f t="shared" si="111"/>
        <v>0</v>
      </c>
      <c r="R1122" s="280"/>
      <c r="S1122" s="280">
        <f>R1112/12</f>
        <v>0</v>
      </c>
      <c r="T1122" s="227">
        <f>NPV($C$236/12,S1123:$S$1436)</f>
        <v>0</v>
      </c>
    </row>
    <row r="1123" spans="16:20" x14ac:dyDescent="0.3">
      <c r="P1123" s="310">
        <v>875</v>
      </c>
      <c r="Q1123">
        <f t="shared" si="111"/>
        <v>0</v>
      </c>
      <c r="R1123" s="280"/>
      <c r="S1123" s="280">
        <f>R1112/12</f>
        <v>0</v>
      </c>
      <c r="T1123" s="227">
        <f>NPV($C$236/12,S1124:$S$1436)</f>
        <v>0</v>
      </c>
    </row>
    <row r="1124" spans="16:20" x14ac:dyDescent="0.3">
      <c r="P1124" s="310">
        <v>876</v>
      </c>
      <c r="Q1124">
        <f t="shared" si="111"/>
        <v>74</v>
      </c>
      <c r="R1124" s="280">
        <f>LOOKUP(Q1124,$Q$243:$DK$243,$Q$244:$DK$244)</f>
        <v>0</v>
      </c>
      <c r="S1124" s="280">
        <f>R1112/12</f>
        <v>0</v>
      </c>
      <c r="T1124" s="227">
        <f>NPV($C$236/12,S1125:$S$1436)</f>
        <v>0</v>
      </c>
    </row>
    <row r="1125" spans="16:20" x14ac:dyDescent="0.3">
      <c r="P1125" s="310">
        <v>877</v>
      </c>
      <c r="Q1125">
        <f t="shared" si="111"/>
        <v>0</v>
      </c>
      <c r="R1125" s="280"/>
      <c r="S1125" s="280">
        <f>R1124/12</f>
        <v>0</v>
      </c>
      <c r="T1125" s="227">
        <f>NPV($C$236/12,S1126:$S$1436)</f>
        <v>0</v>
      </c>
    </row>
    <row r="1126" spans="16:20" x14ac:dyDescent="0.3">
      <c r="P1126" s="310">
        <v>878</v>
      </c>
      <c r="Q1126">
        <f t="shared" si="111"/>
        <v>0</v>
      </c>
      <c r="R1126" s="280"/>
      <c r="S1126" s="280">
        <f>R1124/12</f>
        <v>0</v>
      </c>
      <c r="T1126" s="227">
        <f>NPV($C$236/12,S1127:$S$1436)</f>
        <v>0</v>
      </c>
    </row>
    <row r="1127" spans="16:20" x14ac:dyDescent="0.3">
      <c r="P1127" s="310">
        <v>879</v>
      </c>
      <c r="Q1127">
        <f t="shared" si="111"/>
        <v>0</v>
      </c>
      <c r="R1127" s="280"/>
      <c r="S1127" s="280">
        <f>R1124/12</f>
        <v>0</v>
      </c>
      <c r="T1127" s="227">
        <f>NPV($C$236/12,S1128:$S$1436)</f>
        <v>0</v>
      </c>
    </row>
    <row r="1128" spans="16:20" x14ac:dyDescent="0.3">
      <c r="P1128" s="310">
        <v>880</v>
      </c>
      <c r="Q1128">
        <f t="shared" si="111"/>
        <v>0</v>
      </c>
      <c r="R1128" s="280"/>
      <c r="S1128" s="280">
        <f>R1124/12</f>
        <v>0</v>
      </c>
      <c r="T1128" s="227">
        <f>NPV($C$236/12,S1129:$S$1436)</f>
        <v>0</v>
      </c>
    </row>
    <row r="1129" spans="16:20" x14ac:dyDescent="0.3">
      <c r="P1129" s="310">
        <v>881</v>
      </c>
      <c r="Q1129">
        <f t="shared" si="111"/>
        <v>0</v>
      </c>
      <c r="R1129" s="280"/>
      <c r="S1129" s="280">
        <f>R1124/12</f>
        <v>0</v>
      </c>
      <c r="T1129" s="227">
        <f>NPV($C$236/12,S1130:$S$1436)</f>
        <v>0</v>
      </c>
    </row>
    <row r="1130" spans="16:20" x14ac:dyDescent="0.3">
      <c r="P1130" s="310">
        <v>882</v>
      </c>
      <c r="Q1130">
        <f t="shared" si="111"/>
        <v>0</v>
      </c>
      <c r="R1130" s="280"/>
      <c r="S1130" s="280">
        <f>R1124/12</f>
        <v>0</v>
      </c>
      <c r="T1130" s="227">
        <f>NPV($C$236/12,S1131:$S$1436)</f>
        <v>0</v>
      </c>
    </row>
    <row r="1131" spans="16:20" x14ac:dyDescent="0.3">
      <c r="P1131" s="310">
        <v>883</v>
      </c>
      <c r="Q1131">
        <f t="shared" si="111"/>
        <v>0</v>
      </c>
      <c r="R1131" s="280"/>
      <c r="S1131" s="280">
        <f>R1124/12</f>
        <v>0</v>
      </c>
      <c r="T1131" s="227">
        <f>NPV($C$236/12,S1132:$S$1436)</f>
        <v>0</v>
      </c>
    </row>
    <row r="1132" spans="16:20" x14ac:dyDescent="0.3">
      <c r="P1132" s="310">
        <v>884</v>
      </c>
      <c r="Q1132">
        <f t="shared" si="111"/>
        <v>0</v>
      </c>
      <c r="R1132" s="280"/>
      <c r="S1132" s="280">
        <f>R1124/12</f>
        <v>0</v>
      </c>
      <c r="T1132" s="227">
        <f>NPV($C$236/12,S1133:$S$1436)</f>
        <v>0</v>
      </c>
    </row>
    <row r="1133" spans="16:20" x14ac:dyDescent="0.3">
      <c r="P1133" s="310">
        <v>885</v>
      </c>
      <c r="Q1133">
        <f t="shared" si="111"/>
        <v>0</v>
      </c>
      <c r="R1133" s="280"/>
      <c r="S1133" s="280">
        <f>R1124/12</f>
        <v>0</v>
      </c>
      <c r="T1133" s="227">
        <f>NPV($C$236/12,S1134:$S$1436)</f>
        <v>0</v>
      </c>
    </row>
    <row r="1134" spans="16:20" x14ac:dyDescent="0.3">
      <c r="P1134" s="310">
        <v>886</v>
      </c>
      <c r="Q1134">
        <f t="shared" si="111"/>
        <v>0</v>
      </c>
      <c r="R1134" s="280"/>
      <c r="S1134" s="280">
        <f>R1124/12</f>
        <v>0</v>
      </c>
      <c r="T1134" s="227">
        <f>NPV($C$236/12,S1135:$S$1436)</f>
        <v>0</v>
      </c>
    </row>
    <row r="1135" spans="16:20" x14ac:dyDescent="0.3">
      <c r="P1135" s="310">
        <v>887</v>
      </c>
      <c r="Q1135">
        <f t="shared" si="111"/>
        <v>0</v>
      </c>
      <c r="R1135" s="280"/>
      <c r="S1135" s="280">
        <f>R1124/12</f>
        <v>0</v>
      </c>
      <c r="T1135" s="227">
        <f>NPV($C$236/12,S1136:$S$1436)</f>
        <v>0</v>
      </c>
    </row>
    <row r="1136" spans="16:20" x14ac:dyDescent="0.3">
      <c r="P1136" s="310">
        <v>888</v>
      </c>
      <c r="Q1136">
        <f t="shared" si="111"/>
        <v>75</v>
      </c>
      <c r="R1136" s="280">
        <f>LOOKUP(Q1136,$Q$243:$DK$243,$Q$244:$DK$244)</f>
        <v>0</v>
      </c>
      <c r="S1136" s="280">
        <f>R1124/12</f>
        <v>0</v>
      </c>
      <c r="T1136" s="227">
        <f>NPV($C$236/12,S1137:$S$1436)</f>
        <v>0</v>
      </c>
    </row>
    <row r="1137" spans="16:20" x14ac:dyDescent="0.3">
      <c r="P1137" s="310">
        <v>889</v>
      </c>
      <c r="Q1137">
        <f t="shared" si="111"/>
        <v>0</v>
      </c>
      <c r="R1137" s="280"/>
      <c r="S1137" s="280">
        <f>R1136/12</f>
        <v>0</v>
      </c>
      <c r="T1137" s="227">
        <f>NPV($C$236/12,S1138:$S$1436)</f>
        <v>0</v>
      </c>
    </row>
    <row r="1138" spans="16:20" x14ac:dyDescent="0.3">
      <c r="P1138" s="310">
        <v>890</v>
      </c>
      <c r="Q1138">
        <f t="shared" si="111"/>
        <v>0</v>
      </c>
      <c r="R1138" s="280"/>
      <c r="S1138" s="280">
        <f>R1136/12</f>
        <v>0</v>
      </c>
      <c r="T1138" s="227">
        <f>NPV($C$236/12,S1139:$S$1436)</f>
        <v>0</v>
      </c>
    </row>
    <row r="1139" spans="16:20" x14ac:dyDescent="0.3">
      <c r="P1139" s="310">
        <v>891</v>
      </c>
      <c r="Q1139">
        <f t="shared" si="111"/>
        <v>0</v>
      </c>
      <c r="R1139" s="280"/>
      <c r="S1139" s="280">
        <f>R1136/12</f>
        <v>0</v>
      </c>
      <c r="T1139" s="227">
        <f>NPV($C$236/12,S1140:$S$1436)</f>
        <v>0</v>
      </c>
    </row>
    <row r="1140" spans="16:20" x14ac:dyDescent="0.3">
      <c r="P1140" s="310">
        <v>892</v>
      </c>
      <c r="Q1140">
        <f t="shared" si="111"/>
        <v>0</v>
      </c>
      <c r="R1140" s="280"/>
      <c r="S1140" s="280">
        <f>R1136/12</f>
        <v>0</v>
      </c>
      <c r="T1140" s="227">
        <f>NPV($C$236/12,S1141:$S$1436)</f>
        <v>0</v>
      </c>
    </row>
    <row r="1141" spans="16:20" x14ac:dyDescent="0.3">
      <c r="P1141" s="310">
        <v>893</v>
      </c>
      <c r="Q1141">
        <f t="shared" si="111"/>
        <v>0</v>
      </c>
      <c r="R1141" s="280"/>
      <c r="S1141" s="280">
        <f>R1136/12</f>
        <v>0</v>
      </c>
      <c r="T1141" s="227">
        <f>NPV($C$236/12,S1142:$S$1436)</f>
        <v>0</v>
      </c>
    </row>
    <row r="1142" spans="16:20" x14ac:dyDescent="0.3">
      <c r="P1142" s="310">
        <v>894</v>
      </c>
      <c r="Q1142">
        <f t="shared" si="111"/>
        <v>0</v>
      </c>
      <c r="R1142" s="280"/>
      <c r="S1142" s="280">
        <f>R1136/12</f>
        <v>0</v>
      </c>
      <c r="T1142" s="227">
        <f>NPV($C$236/12,S1143:$S$1436)</f>
        <v>0</v>
      </c>
    </row>
    <row r="1143" spans="16:20" x14ac:dyDescent="0.3">
      <c r="P1143" s="310">
        <v>895</v>
      </c>
      <c r="Q1143">
        <f t="shared" si="111"/>
        <v>0</v>
      </c>
      <c r="R1143" s="280"/>
      <c r="S1143" s="280">
        <f>R1136/12</f>
        <v>0</v>
      </c>
      <c r="T1143" s="227">
        <f>NPV($C$236/12,S1144:$S$1436)</f>
        <v>0</v>
      </c>
    </row>
    <row r="1144" spans="16:20" x14ac:dyDescent="0.3">
      <c r="P1144" s="310">
        <v>896</v>
      </c>
      <c r="Q1144">
        <f t="shared" si="111"/>
        <v>0</v>
      </c>
      <c r="R1144" s="280"/>
      <c r="S1144" s="280">
        <f>R1136/12</f>
        <v>0</v>
      </c>
      <c r="T1144" s="227">
        <f>NPV($C$236/12,S1145:$S$1436)</f>
        <v>0</v>
      </c>
    </row>
    <row r="1145" spans="16:20" x14ac:dyDescent="0.3">
      <c r="P1145" s="310">
        <v>897</v>
      </c>
      <c r="Q1145">
        <f t="shared" ref="Q1145:Q1208" si="112">IF(MOD(P1145,12)=0,(P1145/12)+1,0)</f>
        <v>0</v>
      </c>
      <c r="R1145" s="280"/>
      <c r="S1145" s="280">
        <f>R1136/12</f>
        <v>0</v>
      </c>
      <c r="T1145" s="227">
        <f>NPV($C$236/12,S1146:$S$1436)</f>
        <v>0</v>
      </c>
    </row>
    <row r="1146" spans="16:20" x14ac:dyDescent="0.3">
      <c r="P1146" s="310">
        <v>898</v>
      </c>
      <c r="Q1146">
        <f t="shared" si="112"/>
        <v>0</v>
      </c>
      <c r="R1146" s="280"/>
      <c r="S1146" s="280">
        <f>R1136/12</f>
        <v>0</v>
      </c>
      <c r="T1146" s="227">
        <f>NPV($C$236/12,S1147:$S$1436)</f>
        <v>0</v>
      </c>
    </row>
    <row r="1147" spans="16:20" x14ac:dyDescent="0.3">
      <c r="P1147" s="310">
        <v>899</v>
      </c>
      <c r="Q1147">
        <f t="shared" si="112"/>
        <v>0</v>
      </c>
      <c r="R1147" s="280"/>
      <c r="S1147" s="280">
        <f>R1136/12</f>
        <v>0</v>
      </c>
      <c r="T1147" s="227">
        <f>NPV($C$236/12,S1148:$S$1436)</f>
        <v>0</v>
      </c>
    </row>
    <row r="1148" spans="16:20" x14ac:dyDescent="0.3">
      <c r="P1148" s="310">
        <v>900</v>
      </c>
      <c r="Q1148">
        <f t="shared" si="112"/>
        <v>76</v>
      </c>
      <c r="R1148" s="280">
        <f>LOOKUP(Q1148,$Q$243:$DK$243,$Q$244:$DK$244)</f>
        <v>0</v>
      </c>
      <c r="S1148" s="280">
        <f>R1136/12</f>
        <v>0</v>
      </c>
      <c r="T1148" s="227">
        <f>NPV($C$236/12,S1149:$S$1436)</f>
        <v>0</v>
      </c>
    </row>
    <row r="1149" spans="16:20" x14ac:dyDescent="0.3">
      <c r="P1149" s="310">
        <v>901</v>
      </c>
      <c r="Q1149">
        <f t="shared" si="112"/>
        <v>0</v>
      </c>
      <c r="R1149" s="280"/>
      <c r="S1149" s="280">
        <f>R1148/12</f>
        <v>0</v>
      </c>
      <c r="T1149" s="227">
        <f>NPV($C$236/12,S1150:$S$1436)</f>
        <v>0</v>
      </c>
    </row>
    <row r="1150" spans="16:20" x14ac:dyDescent="0.3">
      <c r="P1150" s="310">
        <v>902</v>
      </c>
      <c r="Q1150">
        <f t="shared" si="112"/>
        <v>0</v>
      </c>
      <c r="R1150" s="280"/>
      <c r="S1150" s="280">
        <f>R1148/12</f>
        <v>0</v>
      </c>
      <c r="T1150" s="227">
        <f>NPV($C$236/12,S1151:$S$1436)</f>
        <v>0</v>
      </c>
    </row>
    <row r="1151" spans="16:20" x14ac:dyDescent="0.3">
      <c r="P1151" s="310">
        <v>903</v>
      </c>
      <c r="Q1151">
        <f t="shared" si="112"/>
        <v>0</v>
      </c>
      <c r="R1151" s="280"/>
      <c r="S1151" s="280">
        <f>R1148/12</f>
        <v>0</v>
      </c>
      <c r="T1151" s="227">
        <f>NPV($C$236/12,S1152:$S$1436)</f>
        <v>0</v>
      </c>
    </row>
    <row r="1152" spans="16:20" x14ac:dyDescent="0.3">
      <c r="P1152" s="310">
        <v>904</v>
      </c>
      <c r="Q1152">
        <f t="shared" si="112"/>
        <v>0</v>
      </c>
      <c r="R1152" s="280"/>
      <c r="S1152" s="280">
        <f>R1148/12</f>
        <v>0</v>
      </c>
      <c r="T1152" s="227">
        <f>NPV($C$236/12,S1153:$S$1436)</f>
        <v>0</v>
      </c>
    </row>
    <row r="1153" spans="16:20" x14ac:dyDescent="0.3">
      <c r="P1153" s="310">
        <v>905</v>
      </c>
      <c r="Q1153">
        <f t="shared" si="112"/>
        <v>0</v>
      </c>
      <c r="R1153" s="280"/>
      <c r="S1153" s="280">
        <f>R1148/12</f>
        <v>0</v>
      </c>
      <c r="T1153" s="227">
        <f>NPV($C$236/12,S1154:$S$1436)</f>
        <v>0</v>
      </c>
    </row>
    <row r="1154" spans="16:20" x14ac:dyDescent="0.3">
      <c r="P1154" s="310">
        <v>906</v>
      </c>
      <c r="Q1154">
        <f t="shared" si="112"/>
        <v>0</v>
      </c>
      <c r="R1154" s="280"/>
      <c r="S1154" s="280">
        <f>R1148/12</f>
        <v>0</v>
      </c>
      <c r="T1154" s="227">
        <f>NPV($C$236/12,S1155:$S$1436)</f>
        <v>0</v>
      </c>
    </row>
    <row r="1155" spans="16:20" x14ac:dyDescent="0.3">
      <c r="P1155" s="310">
        <v>907</v>
      </c>
      <c r="Q1155">
        <f t="shared" si="112"/>
        <v>0</v>
      </c>
      <c r="R1155" s="280"/>
      <c r="S1155" s="280">
        <f>R1148/12</f>
        <v>0</v>
      </c>
      <c r="T1155" s="227">
        <f>NPV($C$236/12,S1156:$S$1436)</f>
        <v>0</v>
      </c>
    </row>
    <row r="1156" spans="16:20" x14ac:dyDescent="0.3">
      <c r="P1156" s="310">
        <v>908</v>
      </c>
      <c r="Q1156">
        <f t="shared" si="112"/>
        <v>0</v>
      </c>
      <c r="R1156" s="280"/>
      <c r="S1156" s="280">
        <f>R1148/12</f>
        <v>0</v>
      </c>
      <c r="T1156" s="227">
        <f>NPV($C$236/12,S1157:$S$1436)</f>
        <v>0</v>
      </c>
    </row>
    <row r="1157" spans="16:20" x14ac:dyDescent="0.3">
      <c r="P1157" s="310">
        <v>909</v>
      </c>
      <c r="Q1157">
        <f t="shared" si="112"/>
        <v>0</v>
      </c>
      <c r="R1157" s="280"/>
      <c r="S1157" s="280">
        <f>R1148/12</f>
        <v>0</v>
      </c>
      <c r="T1157" s="227">
        <f>NPV($C$236/12,S1158:$S$1436)</f>
        <v>0</v>
      </c>
    </row>
    <row r="1158" spans="16:20" x14ac:dyDescent="0.3">
      <c r="P1158" s="310">
        <v>910</v>
      </c>
      <c r="Q1158">
        <f t="shared" si="112"/>
        <v>0</v>
      </c>
      <c r="R1158" s="280"/>
      <c r="S1158" s="280">
        <f>R1148/12</f>
        <v>0</v>
      </c>
      <c r="T1158" s="227">
        <f>NPV($C$236/12,S1159:$S$1436)</f>
        <v>0</v>
      </c>
    </row>
    <row r="1159" spans="16:20" x14ac:dyDescent="0.3">
      <c r="P1159" s="310">
        <v>911</v>
      </c>
      <c r="Q1159">
        <f t="shared" si="112"/>
        <v>0</v>
      </c>
      <c r="R1159" s="280"/>
      <c r="S1159" s="280">
        <f>R1148/12</f>
        <v>0</v>
      </c>
      <c r="T1159" s="227">
        <f>NPV($C$236/12,S1160:$S$1436)</f>
        <v>0</v>
      </c>
    </row>
    <row r="1160" spans="16:20" x14ac:dyDescent="0.3">
      <c r="P1160" s="310">
        <v>912</v>
      </c>
      <c r="Q1160">
        <f t="shared" si="112"/>
        <v>77</v>
      </c>
      <c r="R1160" s="280">
        <f>LOOKUP(Q1160,$Q$243:$DK$243,$Q$244:$DK$244)</f>
        <v>0</v>
      </c>
      <c r="S1160" s="280">
        <f>R1148/12</f>
        <v>0</v>
      </c>
      <c r="T1160" s="227">
        <f>NPV($C$236/12,S1161:$S$1436)</f>
        <v>0</v>
      </c>
    </row>
    <row r="1161" spans="16:20" x14ac:dyDescent="0.3">
      <c r="P1161" s="310">
        <v>913</v>
      </c>
      <c r="Q1161">
        <f t="shared" si="112"/>
        <v>0</v>
      </c>
      <c r="R1161" s="280"/>
      <c r="S1161" s="280">
        <f>R1160/12</f>
        <v>0</v>
      </c>
      <c r="T1161" s="227">
        <f>NPV($C$236/12,S1162:$S$1436)</f>
        <v>0</v>
      </c>
    </row>
    <row r="1162" spans="16:20" x14ac:dyDescent="0.3">
      <c r="P1162" s="310">
        <v>914</v>
      </c>
      <c r="Q1162">
        <f t="shared" si="112"/>
        <v>0</v>
      </c>
      <c r="R1162" s="280"/>
      <c r="S1162" s="280">
        <f>R1160/12</f>
        <v>0</v>
      </c>
      <c r="T1162" s="227">
        <f>NPV($C$236/12,S1163:$S$1436)</f>
        <v>0</v>
      </c>
    </row>
    <row r="1163" spans="16:20" x14ac:dyDescent="0.3">
      <c r="P1163" s="310">
        <v>915</v>
      </c>
      <c r="Q1163">
        <f t="shared" si="112"/>
        <v>0</v>
      </c>
      <c r="R1163" s="280"/>
      <c r="S1163" s="280">
        <f>R1160/12</f>
        <v>0</v>
      </c>
      <c r="T1163" s="227">
        <f>NPV($C$236/12,S1164:$S$1436)</f>
        <v>0</v>
      </c>
    </row>
    <row r="1164" spans="16:20" x14ac:dyDescent="0.3">
      <c r="P1164" s="310">
        <v>916</v>
      </c>
      <c r="Q1164">
        <f t="shared" si="112"/>
        <v>0</v>
      </c>
      <c r="R1164" s="280"/>
      <c r="S1164" s="280">
        <f>R1160/12</f>
        <v>0</v>
      </c>
      <c r="T1164" s="227">
        <f>NPV($C$236/12,S1165:$S$1436)</f>
        <v>0</v>
      </c>
    </row>
    <row r="1165" spans="16:20" x14ac:dyDescent="0.3">
      <c r="P1165" s="310">
        <v>917</v>
      </c>
      <c r="Q1165">
        <f t="shared" si="112"/>
        <v>0</v>
      </c>
      <c r="R1165" s="280"/>
      <c r="S1165" s="280">
        <f>R1160/12</f>
        <v>0</v>
      </c>
      <c r="T1165" s="227">
        <f>NPV($C$236/12,S1166:$S$1436)</f>
        <v>0</v>
      </c>
    </row>
    <row r="1166" spans="16:20" x14ac:dyDescent="0.3">
      <c r="P1166" s="310">
        <v>918</v>
      </c>
      <c r="Q1166">
        <f t="shared" si="112"/>
        <v>0</v>
      </c>
      <c r="R1166" s="280"/>
      <c r="S1166" s="280">
        <f>R1160/12</f>
        <v>0</v>
      </c>
      <c r="T1166" s="227">
        <f>NPV($C$236/12,S1167:$S$1436)</f>
        <v>0</v>
      </c>
    </row>
    <row r="1167" spans="16:20" x14ac:dyDescent="0.3">
      <c r="P1167" s="310">
        <v>919</v>
      </c>
      <c r="Q1167">
        <f t="shared" si="112"/>
        <v>0</v>
      </c>
      <c r="R1167" s="280"/>
      <c r="S1167" s="280">
        <f>R1160/12</f>
        <v>0</v>
      </c>
      <c r="T1167" s="227">
        <f>NPV($C$236/12,S1168:$S$1436)</f>
        <v>0</v>
      </c>
    </row>
    <row r="1168" spans="16:20" x14ac:dyDescent="0.3">
      <c r="P1168" s="310">
        <v>920</v>
      </c>
      <c r="Q1168">
        <f t="shared" si="112"/>
        <v>0</v>
      </c>
      <c r="R1168" s="280"/>
      <c r="S1168" s="280">
        <f>R1160/12</f>
        <v>0</v>
      </c>
      <c r="T1168" s="227">
        <f>NPV($C$236/12,S1169:$S$1436)</f>
        <v>0</v>
      </c>
    </row>
    <row r="1169" spans="16:20" x14ac:dyDescent="0.3">
      <c r="P1169" s="310">
        <v>921</v>
      </c>
      <c r="Q1169">
        <f t="shared" si="112"/>
        <v>0</v>
      </c>
      <c r="R1169" s="280"/>
      <c r="S1169" s="280">
        <f>R1160/12</f>
        <v>0</v>
      </c>
      <c r="T1169" s="227">
        <f>NPV($C$236/12,S1170:$S$1436)</f>
        <v>0</v>
      </c>
    </row>
    <row r="1170" spans="16:20" x14ac:dyDescent="0.3">
      <c r="P1170" s="310">
        <v>922</v>
      </c>
      <c r="Q1170">
        <f t="shared" si="112"/>
        <v>0</v>
      </c>
      <c r="R1170" s="280"/>
      <c r="S1170" s="280">
        <f>R1160/12</f>
        <v>0</v>
      </c>
      <c r="T1170" s="227">
        <f>NPV($C$236/12,S1171:$S$1436)</f>
        <v>0</v>
      </c>
    </row>
    <row r="1171" spans="16:20" x14ac:dyDescent="0.3">
      <c r="P1171" s="310">
        <v>923</v>
      </c>
      <c r="Q1171">
        <f t="shared" si="112"/>
        <v>0</v>
      </c>
      <c r="R1171" s="280"/>
      <c r="S1171" s="280">
        <f>R1160/12</f>
        <v>0</v>
      </c>
      <c r="T1171" s="227">
        <f>NPV($C$236/12,S1172:$S$1436)</f>
        <v>0</v>
      </c>
    </row>
    <row r="1172" spans="16:20" x14ac:dyDescent="0.3">
      <c r="P1172" s="310">
        <v>924</v>
      </c>
      <c r="Q1172">
        <f t="shared" si="112"/>
        <v>78</v>
      </c>
      <c r="R1172" s="280">
        <f>LOOKUP(Q1172,$Q$243:$DK$243,$Q$244:$DK$244)</f>
        <v>0</v>
      </c>
      <c r="S1172" s="280">
        <f>R1160/12</f>
        <v>0</v>
      </c>
      <c r="T1172" s="227">
        <f>NPV($C$236/12,S1173:$S$1436)</f>
        <v>0</v>
      </c>
    </row>
    <row r="1173" spans="16:20" x14ac:dyDescent="0.3">
      <c r="P1173" s="310">
        <v>925</v>
      </c>
      <c r="Q1173">
        <f t="shared" si="112"/>
        <v>0</v>
      </c>
      <c r="R1173" s="280"/>
      <c r="S1173" s="280">
        <f>R1172/12</f>
        <v>0</v>
      </c>
      <c r="T1173" s="227">
        <f>NPV($C$236/12,S1174:$S$1436)</f>
        <v>0</v>
      </c>
    </row>
    <row r="1174" spans="16:20" x14ac:dyDescent="0.3">
      <c r="P1174" s="310">
        <v>926</v>
      </c>
      <c r="Q1174">
        <f t="shared" si="112"/>
        <v>0</v>
      </c>
      <c r="R1174" s="280"/>
      <c r="S1174" s="280">
        <f>R1172/12</f>
        <v>0</v>
      </c>
      <c r="T1174" s="227">
        <f>NPV($C$236/12,S1175:$S$1436)</f>
        <v>0</v>
      </c>
    </row>
    <row r="1175" spans="16:20" x14ac:dyDescent="0.3">
      <c r="P1175" s="310">
        <v>927</v>
      </c>
      <c r="Q1175">
        <f t="shared" si="112"/>
        <v>0</v>
      </c>
      <c r="R1175" s="280"/>
      <c r="S1175" s="280">
        <f>R1172/12</f>
        <v>0</v>
      </c>
      <c r="T1175" s="227">
        <f>NPV($C$236/12,S1176:$S$1436)</f>
        <v>0</v>
      </c>
    </row>
    <row r="1176" spans="16:20" x14ac:dyDescent="0.3">
      <c r="P1176" s="310">
        <v>928</v>
      </c>
      <c r="Q1176">
        <f t="shared" si="112"/>
        <v>0</v>
      </c>
      <c r="R1176" s="280"/>
      <c r="S1176" s="280">
        <f>R1172/12</f>
        <v>0</v>
      </c>
      <c r="T1176" s="227">
        <f>NPV($C$236/12,S1177:$S$1436)</f>
        <v>0</v>
      </c>
    </row>
    <row r="1177" spans="16:20" x14ac:dyDescent="0.3">
      <c r="P1177" s="310">
        <v>929</v>
      </c>
      <c r="Q1177">
        <f t="shared" si="112"/>
        <v>0</v>
      </c>
      <c r="R1177" s="280"/>
      <c r="S1177" s="280">
        <f>R1172/12</f>
        <v>0</v>
      </c>
      <c r="T1177" s="227">
        <f>NPV($C$236/12,S1178:$S$1436)</f>
        <v>0</v>
      </c>
    </row>
    <row r="1178" spans="16:20" x14ac:dyDescent="0.3">
      <c r="P1178" s="310">
        <v>930</v>
      </c>
      <c r="Q1178">
        <f t="shared" si="112"/>
        <v>0</v>
      </c>
      <c r="R1178" s="280"/>
      <c r="S1178" s="280">
        <f>R1172/12</f>
        <v>0</v>
      </c>
      <c r="T1178" s="227">
        <f>NPV($C$236/12,S1179:$S$1436)</f>
        <v>0</v>
      </c>
    </row>
    <row r="1179" spans="16:20" x14ac:dyDescent="0.3">
      <c r="P1179" s="310">
        <v>931</v>
      </c>
      <c r="Q1179">
        <f t="shared" si="112"/>
        <v>0</v>
      </c>
      <c r="R1179" s="280"/>
      <c r="S1179" s="280">
        <f>R1172/12</f>
        <v>0</v>
      </c>
      <c r="T1179" s="227">
        <f>NPV($C$236/12,S1180:$S$1436)</f>
        <v>0</v>
      </c>
    </row>
    <row r="1180" spans="16:20" x14ac:dyDescent="0.3">
      <c r="P1180" s="310">
        <v>932</v>
      </c>
      <c r="Q1180">
        <f t="shared" si="112"/>
        <v>0</v>
      </c>
      <c r="R1180" s="280"/>
      <c r="S1180" s="280">
        <f>R1172/12</f>
        <v>0</v>
      </c>
      <c r="T1180" s="227">
        <f>NPV($C$236/12,S1181:$S$1436)</f>
        <v>0</v>
      </c>
    </row>
    <row r="1181" spans="16:20" x14ac:dyDescent="0.3">
      <c r="P1181" s="310">
        <v>933</v>
      </c>
      <c r="Q1181">
        <f t="shared" si="112"/>
        <v>0</v>
      </c>
      <c r="R1181" s="280"/>
      <c r="S1181" s="280">
        <f>R1172/12</f>
        <v>0</v>
      </c>
      <c r="T1181" s="227">
        <f>NPV($C$236/12,S1182:$S$1436)</f>
        <v>0</v>
      </c>
    </row>
    <row r="1182" spans="16:20" x14ac:dyDescent="0.3">
      <c r="P1182" s="310">
        <v>934</v>
      </c>
      <c r="Q1182">
        <f t="shared" si="112"/>
        <v>0</v>
      </c>
      <c r="R1182" s="280"/>
      <c r="S1182" s="280">
        <f>R1172/12</f>
        <v>0</v>
      </c>
      <c r="T1182" s="227">
        <f>NPV($C$236/12,S1183:$S$1436)</f>
        <v>0</v>
      </c>
    </row>
    <row r="1183" spans="16:20" x14ac:dyDescent="0.3">
      <c r="P1183" s="310">
        <v>935</v>
      </c>
      <c r="Q1183">
        <f t="shared" si="112"/>
        <v>0</v>
      </c>
      <c r="R1183" s="280"/>
      <c r="S1183" s="280">
        <f>R1172/12</f>
        <v>0</v>
      </c>
      <c r="T1183" s="227">
        <f>NPV($C$236/12,S1184:$S$1436)</f>
        <v>0</v>
      </c>
    </row>
    <row r="1184" spans="16:20" x14ac:dyDescent="0.3">
      <c r="P1184" s="310">
        <v>936</v>
      </c>
      <c r="Q1184">
        <f t="shared" si="112"/>
        <v>79</v>
      </c>
      <c r="R1184" s="280">
        <f>LOOKUP(Q1184,$Q$243:$DK$243,$Q$244:$DK$244)</f>
        <v>0</v>
      </c>
      <c r="S1184" s="280">
        <f>R1172/12</f>
        <v>0</v>
      </c>
      <c r="T1184" s="227">
        <f>NPV($C$236/12,S1185:$S$1436)</f>
        <v>0</v>
      </c>
    </row>
    <row r="1185" spans="16:20" x14ac:dyDescent="0.3">
      <c r="P1185" s="310">
        <v>937</v>
      </c>
      <c r="Q1185">
        <f t="shared" si="112"/>
        <v>0</v>
      </c>
      <c r="R1185" s="280"/>
      <c r="S1185" s="280">
        <f>R1184/12</f>
        <v>0</v>
      </c>
      <c r="T1185" s="227">
        <f>NPV($C$236/12,S1186:$S$1436)</f>
        <v>0</v>
      </c>
    </row>
    <row r="1186" spans="16:20" x14ac:dyDescent="0.3">
      <c r="P1186" s="310">
        <v>938</v>
      </c>
      <c r="Q1186">
        <f t="shared" si="112"/>
        <v>0</v>
      </c>
      <c r="R1186" s="280"/>
      <c r="S1186" s="280">
        <f>R1184/12</f>
        <v>0</v>
      </c>
      <c r="T1186" s="227">
        <f>NPV($C$236/12,S1187:$S$1436)</f>
        <v>0</v>
      </c>
    </row>
    <row r="1187" spans="16:20" x14ac:dyDescent="0.3">
      <c r="P1187" s="310">
        <v>939</v>
      </c>
      <c r="Q1187">
        <f t="shared" si="112"/>
        <v>0</v>
      </c>
      <c r="R1187" s="280"/>
      <c r="S1187" s="280">
        <f>R1184/12</f>
        <v>0</v>
      </c>
      <c r="T1187" s="227">
        <f>NPV($C$236/12,S1188:$S$1436)</f>
        <v>0</v>
      </c>
    </row>
    <row r="1188" spans="16:20" x14ac:dyDescent="0.3">
      <c r="P1188" s="310">
        <v>940</v>
      </c>
      <c r="Q1188">
        <f t="shared" si="112"/>
        <v>0</v>
      </c>
      <c r="R1188" s="280"/>
      <c r="S1188" s="280">
        <f>R1184/12</f>
        <v>0</v>
      </c>
      <c r="T1188" s="227">
        <f>NPV($C$236/12,S1189:$S$1436)</f>
        <v>0</v>
      </c>
    </row>
    <row r="1189" spans="16:20" x14ac:dyDescent="0.3">
      <c r="P1189" s="310">
        <v>941</v>
      </c>
      <c r="Q1189">
        <f t="shared" si="112"/>
        <v>0</v>
      </c>
      <c r="R1189" s="280"/>
      <c r="S1189" s="280">
        <f>R1184/12</f>
        <v>0</v>
      </c>
      <c r="T1189" s="227">
        <f>NPV($C$236/12,S1190:$S$1436)</f>
        <v>0</v>
      </c>
    </row>
    <row r="1190" spans="16:20" x14ac:dyDescent="0.3">
      <c r="P1190" s="310">
        <v>942</v>
      </c>
      <c r="Q1190">
        <f t="shared" si="112"/>
        <v>0</v>
      </c>
      <c r="R1190" s="280"/>
      <c r="S1190" s="280">
        <f>R1184/12</f>
        <v>0</v>
      </c>
      <c r="T1190" s="227">
        <f>NPV($C$236/12,S1191:$S$1436)</f>
        <v>0</v>
      </c>
    </row>
    <row r="1191" spans="16:20" x14ac:dyDescent="0.3">
      <c r="P1191" s="310">
        <v>943</v>
      </c>
      <c r="Q1191">
        <f t="shared" si="112"/>
        <v>0</v>
      </c>
      <c r="R1191" s="280"/>
      <c r="S1191" s="280">
        <f>R1184/12</f>
        <v>0</v>
      </c>
      <c r="T1191" s="227">
        <f>NPV($C$236/12,S1192:$S$1436)</f>
        <v>0</v>
      </c>
    </row>
    <row r="1192" spans="16:20" x14ac:dyDescent="0.3">
      <c r="P1192" s="310">
        <v>944</v>
      </c>
      <c r="Q1192">
        <f t="shared" si="112"/>
        <v>0</v>
      </c>
      <c r="R1192" s="280"/>
      <c r="S1192" s="280">
        <f>R1184/12</f>
        <v>0</v>
      </c>
      <c r="T1192" s="227">
        <f>NPV($C$236/12,S1193:$S$1436)</f>
        <v>0</v>
      </c>
    </row>
    <row r="1193" spans="16:20" x14ac:dyDescent="0.3">
      <c r="P1193" s="310">
        <v>945</v>
      </c>
      <c r="Q1193">
        <f t="shared" si="112"/>
        <v>0</v>
      </c>
      <c r="R1193" s="280"/>
      <c r="S1193" s="280">
        <f>R1184/12</f>
        <v>0</v>
      </c>
      <c r="T1193" s="227">
        <f>NPV($C$236/12,S1194:$S$1436)</f>
        <v>0</v>
      </c>
    </row>
    <row r="1194" spans="16:20" x14ac:dyDescent="0.3">
      <c r="P1194" s="310">
        <v>946</v>
      </c>
      <c r="Q1194">
        <f t="shared" si="112"/>
        <v>0</v>
      </c>
      <c r="R1194" s="280"/>
      <c r="S1194" s="280">
        <f>R1184/12</f>
        <v>0</v>
      </c>
      <c r="T1194" s="227">
        <f>NPV($C$236/12,S1195:$S$1436)</f>
        <v>0</v>
      </c>
    </row>
    <row r="1195" spans="16:20" x14ac:dyDescent="0.3">
      <c r="P1195" s="310">
        <v>947</v>
      </c>
      <c r="Q1195">
        <f t="shared" si="112"/>
        <v>0</v>
      </c>
      <c r="R1195" s="280"/>
      <c r="S1195" s="280">
        <f>R1184/12</f>
        <v>0</v>
      </c>
      <c r="T1195" s="227">
        <f>NPV($C$236/12,S1196:$S$1436)</f>
        <v>0</v>
      </c>
    </row>
    <row r="1196" spans="16:20" x14ac:dyDescent="0.3">
      <c r="P1196" s="310">
        <v>948</v>
      </c>
      <c r="Q1196">
        <f t="shared" si="112"/>
        <v>80</v>
      </c>
      <c r="R1196" s="280">
        <f>LOOKUP(Q1196,$Q$243:$DK$243,$Q$244:$DK$244)</f>
        <v>0</v>
      </c>
      <c r="S1196" s="280">
        <f>R1184/12</f>
        <v>0</v>
      </c>
      <c r="T1196" s="227">
        <f>NPV($C$236/12,S1197:$S$1436)</f>
        <v>0</v>
      </c>
    </row>
    <row r="1197" spans="16:20" x14ac:dyDescent="0.3">
      <c r="P1197" s="310">
        <v>949</v>
      </c>
      <c r="Q1197">
        <f t="shared" si="112"/>
        <v>0</v>
      </c>
      <c r="R1197" s="280"/>
      <c r="S1197" s="280">
        <f>R1196/12</f>
        <v>0</v>
      </c>
      <c r="T1197" s="227">
        <f>NPV($C$236/12,S1198:$S$1436)</f>
        <v>0</v>
      </c>
    </row>
    <row r="1198" spans="16:20" x14ac:dyDescent="0.3">
      <c r="P1198" s="310">
        <v>950</v>
      </c>
      <c r="Q1198">
        <f t="shared" si="112"/>
        <v>0</v>
      </c>
      <c r="R1198" s="280"/>
      <c r="S1198" s="280">
        <f>R1196/12</f>
        <v>0</v>
      </c>
      <c r="T1198" s="227">
        <f>NPV($C$236/12,S1199:$S$1436)</f>
        <v>0</v>
      </c>
    </row>
    <row r="1199" spans="16:20" x14ac:dyDescent="0.3">
      <c r="P1199" s="310">
        <v>951</v>
      </c>
      <c r="Q1199">
        <f t="shared" si="112"/>
        <v>0</v>
      </c>
      <c r="R1199" s="280"/>
      <c r="S1199" s="280">
        <f>R1196/12</f>
        <v>0</v>
      </c>
      <c r="T1199" s="227">
        <f>NPV($C$236/12,S1200:$S$1436)</f>
        <v>0</v>
      </c>
    </row>
    <row r="1200" spans="16:20" x14ac:dyDescent="0.3">
      <c r="P1200" s="310">
        <v>952</v>
      </c>
      <c r="Q1200">
        <f t="shared" si="112"/>
        <v>0</v>
      </c>
      <c r="R1200" s="280"/>
      <c r="S1200" s="280">
        <f>R1196/12</f>
        <v>0</v>
      </c>
      <c r="T1200" s="227">
        <f>NPV($C$236/12,S1201:$S$1436)</f>
        <v>0</v>
      </c>
    </row>
    <row r="1201" spans="16:20" x14ac:dyDescent="0.3">
      <c r="P1201" s="310">
        <v>953</v>
      </c>
      <c r="Q1201">
        <f t="shared" si="112"/>
        <v>0</v>
      </c>
      <c r="R1201" s="280"/>
      <c r="S1201" s="280">
        <f>R1196/12</f>
        <v>0</v>
      </c>
      <c r="T1201" s="227">
        <f>NPV($C$236/12,S1202:$S$1436)</f>
        <v>0</v>
      </c>
    </row>
    <row r="1202" spans="16:20" x14ac:dyDescent="0.3">
      <c r="P1202" s="310">
        <v>954</v>
      </c>
      <c r="Q1202">
        <f t="shared" si="112"/>
        <v>0</v>
      </c>
      <c r="R1202" s="280"/>
      <c r="S1202" s="280">
        <f>R1196/12</f>
        <v>0</v>
      </c>
      <c r="T1202" s="227">
        <f>NPV($C$236/12,S1203:$S$1436)</f>
        <v>0</v>
      </c>
    </row>
    <row r="1203" spans="16:20" x14ac:dyDescent="0.3">
      <c r="P1203" s="310">
        <v>955</v>
      </c>
      <c r="Q1203">
        <f t="shared" si="112"/>
        <v>0</v>
      </c>
      <c r="R1203" s="280"/>
      <c r="S1203" s="280">
        <f>R1196/12</f>
        <v>0</v>
      </c>
      <c r="T1203" s="227">
        <f>NPV($C$236/12,S1204:$S$1436)</f>
        <v>0</v>
      </c>
    </row>
    <row r="1204" spans="16:20" x14ac:dyDescent="0.3">
      <c r="P1204" s="310">
        <v>956</v>
      </c>
      <c r="Q1204">
        <f t="shared" si="112"/>
        <v>0</v>
      </c>
      <c r="R1204" s="280"/>
      <c r="S1204" s="280">
        <f>R1196/12</f>
        <v>0</v>
      </c>
      <c r="T1204" s="227">
        <f>NPV($C$236/12,S1205:$S$1436)</f>
        <v>0</v>
      </c>
    </row>
    <row r="1205" spans="16:20" x14ac:dyDescent="0.3">
      <c r="P1205" s="310">
        <v>957</v>
      </c>
      <c r="Q1205">
        <f t="shared" si="112"/>
        <v>0</v>
      </c>
      <c r="R1205" s="280"/>
      <c r="S1205" s="280">
        <f>R1196/12</f>
        <v>0</v>
      </c>
      <c r="T1205" s="227">
        <f>NPV($C$236/12,S1206:$S$1436)</f>
        <v>0</v>
      </c>
    </row>
    <row r="1206" spans="16:20" x14ac:dyDescent="0.3">
      <c r="P1206" s="310">
        <v>958</v>
      </c>
      <c r="Q1206">
        <f t="shared" si="112"/>
        <v>0</v>
      </c>
      <c r="R1206" s="280"/>
      <c r="S1206" s="280">
        <f>R1196/12</f>
        <v>0</v>
      </c>
      <c r="T1206" s="227">
        <f>NPV($C$236/12,S1207:$S$1436)</f>
        <v>0</v>
      </c>
    </row>
    <row r="1207" spans="16:20" x14ac:dyDescent="0.3">
      <c r="P1207" s="310">
        <v>959</v>
      </c>
      <c r="Q1207">
        <f t="shared" si="112"/>
        <v>0</v>
      </c>
      <c r="R1207" s="280"/>
      <c r="S1207" s="280">
        <f>R1196/12</f>
        <v>0</v>
      </c>
      <c r="T1207" s="227">
        <f>NPV($C$236/12,S1208:$S$1436)</f>
        <v>0</v>
      </c>
    </row>
    <row r="1208" spans="16:20" x14ac:dyDescent="0.3">
      <c r="P1208" s="310">
        <v>960</v>
      </c>
      <c r="Q1208">
        <f t="shared" si="112"/>
        <v>81</v>
      </c>
      <c r="R1208" s="280">
        <f>LOOKUP(Q1208,$Q$243:$DK$243,$Q$244:$DK$244)</f>
        <v>0</v>
      </c>
      <c r="S1208" s="280">
        <f>R1196/12</f>
        <v>0</v>
      </c>
      <c r="T1208" s="227">
        <f>NPV($C$236/12,S1209:$S$1436)</f>
        <v>0</v>
      </c>
    </row>
    <row r="1209" spans="16:20" x14ac:dyDescent="0.3">
      <c r="P1209" s="310">
        <v>961</v>
      </c>
      <c r="Q1209">
        <f t="shared" ref="Q1209:Q1272" si="113">IF(MOD(P1209,12)=0,(P1209/12)+1,0)</f>
        <v>0</v>
      </c>
      <c r="R1209" s="280"/>
      <c r="S1209" s="280">
        <f>R1208/12</f>
        <v>0</v>
      </c>
      <c r="T1209" s="227">
        <f>NPV($C$236/12,S1210:$S$1436)</f>
        <v>0</v>
      </c>
    </row>
    <row r="1210" spans="16:20" x14ac:dyDescent="0.3">
      <c r="P1210" s="310">
        <v>962</v>
      </c>
      <c r="Q1210">
        <f t="shared" si="113"/>
        <v>0</v>
      </c>
      <c r="R1210" s="280"/>
      <c r="S1210" s="280">
        <f>R1208/12</f>
        <v>0</v>
      </c>
      <c r="T1210" s="227">
        <f>NPV($C$236/12,S1211:$S$1436)</f>
        <v>0</v>
      </c>
    </row>
    <row r="1211" spans="16:20" x14ac:dyDescent="0.3">
      <c r="P1211" s="310">
        <v>963</v>
      </c>
      <c r="Q1211">
        <f t="shared" si="113"/>
        <v>0</v>
      </c>
      <c r="R1211" s="280"/>
      <c r="S1211" s="280">
        <f>R1208/12</f>
        <v>0</v>
      </c>
      <c r="T1211" s="227">
        <f>NPV($C$236/12,S1212:$S$1436)</f>
        <v>0</v>
      </c>
    </row>
    <row r="1212" spans="16:20" x14ac:dyDescent="0.3">
      <c r="P1212" s="310">
        <v>964</v>
      </c>
      <c r="Q1212">
        <f t="shared" si="113"/>
        <v>0</v>
      </c>
      <c r="R1212" s="280"/>
      <c r="S1212" s="280">
        <f>R1208/12</f>
        <v>0</v>
      </c>
      <c r="T1212" s="227">
        <f>NPV($C$236/12,S1213:$S$1436)</f>
        <v>0</v>
      </c>
    </row>
    <row r="1213" spans="16:20" x14ac:dyDescent="0.3">
      <c r="P1213" s="310">
        <v>965</v>
      </c>
      <c r="Q1213">
        <f t="shared" si="113"/>
        <v>0</v>
      </c>
      <c r="R1213" s="280"/>
      <c r="S1213" s="280">
        <f>R1208/12</f>
        <v>0</v>
      </c>
      <c r="T1213" s="227">
        <f>NPV($C$236/12,S1214:$S$1436)</f>
        <v>0</v>
      </c>
    </row>
    <row r="1214" spans="16:20" x14ac:dyDescent="0.3">
      <c r="P1214" s="310">
        <v>966</v>
      </c>
      <c r="Q1214">
        <f t="shared" si="113"/>
        <v>0</v>
      </c>
      <c r="R1214" s="280"/>
      <c r="S1214" s="280">
        <f>R1208/12</f>
        <v>0</v>
      </c>
      <c r="T1214" s="227">
        <f>NPV($C$236/12,S1215:$S$1436)</f>
        <v>0</v>
      </c>
    </row>
    <row r="1215" spans="16:20" x14ac:dyDescent="0.3">
      <c r="P1215" s="310">
        <v>967</v>
      </c>
      <c r="Q1215">
        <f t="shared" si="113"/>
        <v>0</v>
      </c>
      <c r="R1215" s="280"/>
      <c r="S1215" s="280">
        <f>R1208/12</f>
        <v>0</v>
      </c>
      <c r="T1215" s="227">
        <f>NPV($C$236/12,S1216:$S$1436)</f>
        <v>0</v>
      </c>
    </row>
    <row r="1216" spans="16:20" x14ac:dyDescent="0.3">
      <c r="P1216" s="310">
        <v>968</v>
      </c>
      <c r="Q1216">
        <f t="shared" si="113"/>
        <v>0</v>
      </c>
      <c r="R1216" s="280"/>
      <c r="S1216" s="280">
        <f>R1208/12</f>
        <v>0</v>
      </c>
      <c r="T1216" s="227">
        <f>NPV($C$236/12,S1217:$S$1436)</f>
        <v>0</v>
      </c>
    </row>
    <row r="1217" spans="16:20" x14ac:dyDescent="0.3">
      <c r="P1217" s="310">
        <v>969</v>
      </c>
      <c r="Q1217">
        <f t="shared" si="113"/>
        <v>0</v>
      </c>
      <c r="R1217" s="280"/>
      <c r="S1217" s="280">
        <f>R1208/12</f>
        <v>0</v>
      </c>
      <c r="T1217" s="227">
        <f>NPV($C$236/12,S1218:$S$1436)</f>
        <v>0</v>
      </c>
    </row>
    <row r="1218" spans="16:20" x14ac:dyDescent="0.3">
      <c r="P1218" s="310">
        <v>970</v>
      </c>
      <c r="Q1218">
        <f t="shared" si="113"/>
        <v>0</v>
      </c>
      <c r="R1218" s="280"/>
      <c r="S1218" s="280">
        <f>R1208/12</f>
        <v>0</v>
      </c>
      <c r="T1218" s="227">
        <f>NPV($C$236/12,S1219:$S$1436)</f>
        <v>0</v>
      </c>
    </row>
    <row r="1219" spans="16:20" x14ac:dyDescent="0.3">
      <c r="P1219" s="310">
        <v>971</v>
      </c>
      <c r="Q1219">
        <f t="shared" si="113"/>
        <v>0</v>
      </c>
      <c r="R1219" s="280"/>
      <c r="S1219" s="280">
        <f>R1208/12</f>
        <v>0</v>
      </c>
      <c r="T1219" s="227">
        <f>NPV($C$236/12,S1220:$S$1436)</f>
        <v>0</v>
      </c>
    </row>
    <row r="1220" spans="16:20" x14ac:dyDescent="0.3">
      <c r="P1220" s="310">
        <v>972</v>
      </c>
      <c r="Q1220">
        <f t="shared" si="113"/>
        <v>82</v>
      </c>
      <c r="R1220" s="280">
        <f>LOOKUP(Q1220,$Q$243:$DK$243,$Q$244:$DK$244)</f>
        <v>0</v>
      </c>
      <c r="S1220" s="280">
        <f>R1208/12</f>
        <v>0</v>
      </c>
      <c r="T1220" s="227">
        <f>NPV($C$236/12,S1221:$S$1436)</f>
        <v>0</v>
      </c>
    </row>
    <row r="1221" spans="16:20" x14ac:dyDescent="0.3">
      <c r="P1221" s="310">
        <v>973</v>
      </c>
      <c r="Q1221">
        <f t="shared" si="113"/>
        <v>0</v>
      </c>
      <c r="R1221" s="280"/>
      <c r="S1221" s="280">
        <f>R1220/12</f>
        <v>0</v>
      </c>
      <c r="T1221" s="227">
        <f>NPV($C$236/12,S1222:$S$1436)</f>
        <v>0</v>
      </c>
    </row>
    <row r="1222" spans="16:20" x14ac:dyDescent="0.3">
      <c r="P1222" s="310">
        <v>974</v>
      </c>
      <c r="Q1222">
        <f t="shared" si="113"/>
        <v>0</v>
      </c>
      <c r="R1222" s="280"/>
      <c r="S1222" s="280">
        <f>R1220/12</f>
        <v>0</v>
      </c>
      <c r="T1222" s="227">
        <f>NPV($C$236/12,S1223:$S$1436)</f>
        <v>0</v>
      </c>
    </row>
    <row r="1223" spans="16:20" x14ac:dyDescent="0.3">
      <c r="P1223" s="310">
        <v>975</v>
      </c>
      <c r="Q1223">
        <f t="shared" si="113"/>
        <v>0</v>
      </c>
      <c r="R1223" s="280"/>
      <c r="S1223" s="280">
        <f>R1220/12</f>
        <v>0</v>
      </c>
      <c r="T1223" s="227">
        <f>NPV($C$236/12,S1224:$S$1436)</f>
        <v>0</v>
      </c>
    </row>
    <row r="1224" spans="16:20" x14ac:dyDescent="0.3">
      <c r="P1224" s="310">
        <v>976</v>
      </c>
      <c r="Q1224">
        <f t="shared" si="113"/>
        <v>0</v>
      </c>
      <c r="R1224" s="280"/>
      <c r="S1224" s="280">
        <f>R1220/12</f>
        <v>0</v>
      </c>
      <c r="T1224" s="227">
        <f>NPV($C$236/12,S1225:$S$1436)</f>
        <v>0</v>
      </c>
    </row>
    <row r="1225" spans="16:20" x14ac:dyDescent="0.3">
      <c r="P1225" s="310">
        <v>977</v>
      </c>
      <c r="Q1225">
        <f t="shared" si="113"/>
        <v>0</v>
      </c>
      <c r="R1225" s="280"/>
      <c r="S1225" s="280">
        <f>R1220/12</f>
        <v>0</v>
      </c>
      <c r="T1225" s="227">
        <f>NPV($C$236/12,S1226:$S$1436)</f>
        <v>0</v>
      </c>
    </row>
    <row r="1226" spans="16:20" x14ac:dyDescent="0.3">
      <c r="P1226" s="310">
        <v>978</v>
      </c>
      <c r="Q1226">
        <f t="shared" si="113"/>
        <v>0</v>
      </c>
      <c r="R1226" s="280"/>
      <c r="S1226" s="280">
        <f>R1220/12</f>
        <v>0</v>
      </c>
      <c r="T1226" s="227">
        <f>NPV($C$236/12,S1227:$S$1436)</f>
        <v>0</v>
      </c>
    </row>
    <row r="1227" spans="16:20" x14ac:dyDescent="0.3">
      <c r="P1227" s="310">
        <v>979</v>
      </c>
      <c r="Q1227">
        <f t="shared" si="113"/>
        <v>0</v>
      </c>
      <c r="R1227" s="280"/>
      <c r="S1227" s="280">
        <f>R1220/12</f>
        <v>0</v>
      </c>
      <c r="T1227" s="227">
        <f>NPV($C$236/12,S1228:$S$1436)</f>
        <v>0</v>
      </c>
    </row>
    <row r="1228" spans="16:20" x14ac:dyDescent="0.3">
      <c r="P1228" s="310">
        <v>980</v>
      </c>
      <c r="Q1228">
        <f t="shared" si="113"/>
        <v>0</v>
      </c>
      <c r="R1228" s="280"/>
      <c r="S1228" s="280">
        <f>R1220/12</f>
        <v>0</v>
      </c>
      <c r="T1228" s="227">
        <f>NPV($C$236/12,S1229:$S$1436)</f>
        <v>0</v>
      </c>
    </row>
    <row r="1229" spans="16:20" x14ac:dyDescent="0.3">
      <c r="P1229" s="310">
        <v>981</v>
      </c>
      <c r="Q1229">
        <f t="shared" si="113"/>
        <v>0</v>
      </c>
      <c r="R1229" s="280"/>
      <c r="S1229" s="280">
        <f>R1220/12</f>
        <v>0</v>
      </c>
      <c r="T1229" s="227">
        <f>NPV($C$236/12,S1230:$S$1436)</f>
        <v>0</v>
      </c>
    </row>
    <row r="1230" spans="16:20" x14ac:dyDescent="0.3">
      <c r="P1230" s="310">
        <v>982</v>
      </c>
      <c r="Q1230">
        <f t="shared" si="113"/>
        <v>0</v>
      </c>
      <c r="R1230" s="280"/>
      <c r="S1230" s="280">
        <f>R1220/12</f>
        <v>0</v>
      </c>
      <c r="T1230" s="227">
        <f>NPV($C$236/12,S1231:$S$1436)</f>
        <v>0</v>
      </c>
    </row>
    <row r="1231" spans="16:20" x14ac:dyDescent="0.3">
      <c r="P1231" s="310">
        <v>983</v>
      </c>
      <c r="Q1231">
        <f t="shared" si="113"/>
        <v>0</v>
      </c>
      <c r="R1231" s="280"/>
      <c r="S1231" s="280">
        <f>R1220/12</f>
        <v>0</v>
      </c>
      <c r="T1231" s="227">
        <f>NPV($C$236/12,S1232:$S$1436)</f>
        <v>0</v>
      </c>
    </row>
    <row r="1232" spans="16:20" x14ac:dyDescent="0.3">
      <c r="P1232" s="310">
        <v>984</v>
      </c>
      <c r="Q1232">
        <f t="shared" si="113"/>
        <v>83</v>
      </c>
      <c r="R1232" s="280">
        <f>LOOKUP(Q1232,$Q$243:$DK$243,$Q$244:$DK$244)</f>
        <v>0</v>
      </c>
      <c r="S1232" s="280">
        <f>R1220/12</f>
        <v>0</v>
      </c>
      <c r="T1232" s="227">
        <f>NPV($C$236/12,S1233:$S$1436)</f>
        <v>0</v>
      </c>
    </row>
    <row r="1233" spans="16:20" x14ac:dyDescent="0.3">
      <c r="P1233" s="310">
        <v>985</v>
      </c>
      <c r="Q1233">
        <f t="shared" si="113"/>
        <v>0</v>
      </c>
      <c r="R1233" s="280"/>
      <c r="S1233" s="280">
        <f>R1232/12</f>
        <v>0</v>
      </c>
      <c r="T1233" s="227">
        <f>NPV($C$236/12,S1234:$S$1436)</f>
        <v>0</v>
      </c>
    </row>
    <row r="1234" spans="16:20" x14ac:dyDescent="0.3">
      <c r="P1234" s="310">
        <v>986</v>
      </c>
      <c r="Q1234">
        <f t="shared" si="113"/>
        <v>0</v>
      </c>
      <c r="R1234" s="280"/>
      <c r="S1234" s="280">
        <f>R1232/12</f>
        <v>0</v>
      </c>
      <c r="T1234" s="227">
        <f>NPV($C$236/12,S1235:$S$1436)</f>
        <v>0</v>
      </c>
    </row>
    <row r="1235" spans="16:20" x14ac:dyDescent="0.3">
      <c r="P1235" s="310">
        <v>987</v>
      </c>
      <c r="Q1235">
        <f t="shared" si="113"/>
        <v>0</v>
      </c>
      <c r="R1235" s="280"/>
      <c r="S1235" s="280">
        <f>R1232/12</f>
        <v>0</v>
      </c>
      <c r="T1235" s="227">
        <f>NPV($C$236/12,S1236:$S$1436)</f>
        <v>0</v>
      </c>
    </row>
    <row r="1236" spans="16:20" x14ac:dyDescent="0.3">
      <c r="P1236" s="310">
        <v>988</v>
      </c>
      <c r="Q1236">
        <f t="shared" si="113"/>
        <v>0</v>
      </c>
      <c r="R1236" s="280"/>
      <c r="S1236" s="280">
        <f>R1232/12</f>
        <v>0</v>
      </c>
      <c r="T1236" s="227">
        <f>NPV($C$236/12,S1237:$S$1436)</f>
        <v>0</v>
      </c>
    </row>
    <row r="1237" spans="16:20" x14ac:dyDescent="0.3">
      <c r="P1237" s="310">
        <v>989</v>
      </c>
      <c r="Q1237">
        <f t="shared" si="113"/>
        <v>0</v>
      </c>
      <c r="R1237" s="280"/>
      <c r="S1237" s="280">
        <f>R1232/12</f>
        <v>0</v>
      </c>
      <c r="T1237" s="227">
        <f>NPV($C$236/12,S1238:$S$1436)</f>
        <v>0</v>
      </c>
    </row>
    <row r="1238" spans="16:20" x14ac:dyDescent="0.3">
      <c r="P1238" s="310">
        <v>990</v>
      </c>
      <c r="Q1238">
        <f t="shared" si="113"/>
        <v>0</v>
      </c>
      <c r="R1238" s="280"/>
      <c r="S1238" s="280">
        <f>R1232/12</f>
        <v>0</v>
      </c>
      <c r="T1238" s="227">
        <f>NPV($C$236/12,S1239:$S$1436)</f>
        <v>0</v>
      </c>
    </row>
    <row r="1239" spans="16:20" x14ac:dyDescent="0.3">
      <c r="P1239" s="310">
        <v>991</v>
      </c>
      <c r="Q1239">
        <f t="shared" si="113"/>
        <v>0</v>
      </c>
      <c r="R1239" s="280"/>
      <c r="S1239" s="280">
        <f>R1232/12</f>
        <v>0</v>
      </c>
      <c r="T1239" s="227">
        <f>NPV($C$236/12,S1240:$S$1436)</f>
        <v>0</v>
      </c>
    </row>
    <row r="1240" spans="16:20" x14ac:dyDescent="0.3">
      <c r="P1240" s="310">
        <v>992</v>
      </c>
      <c r="Q1240">
        <f t="shared" si="113"/>
        <v>0</v>
      </c>
      <c r="R1240" s="280"/>
      <c r="S1240" s="280">
        <f>R1232/12</f>
        <v>0</v>
      </c>
      <c r="T1240" s="227">
        <f>NPV($C$236/12,S1241:$S$1436)</f>
        <v>0</v>
      </c>
    </row>
    <row r="1241" spans="16:20" x14ac:dyDescent="0.3">
      <c r="P1241" s="310">
        <v>993</v>
      </c>
      <c r="Q1241">
        <f t="shared" si="113"/>
        <v>0</v>
      </c>
      <c r="R1241" s="280"/>
      <c r="S1241" s="280">
        <f>R1232/12</f>
        <v>0</v>
      </c>
      <c r="T1241" s="227">
        <f>NPV($C$236/12,S1242:$S$1436)</f>
        <v>0</v>
      </c>
    </row>
    <row r="1242" spans="16:20" x14ac:dyDescent="0.3">
      <c r="P1242" s="310">
        <v>994</v>
      </c>
      <c r="Q1242">
        <f t="shared" si="113"/>
        <v>0</v>
      </c>
      <c r="R1242" s="280"/>
      <c r="S1242" s="280">
        <f>R1232/12</f>
        <v>0</v>
      </c>
      <c r="T1242" s="227">
        <f>NPV($C$236/12,S1243:$S$1436)</f>
        <v>0</v>
      </c>
    </row>
    <row r="1243" spans="16:20" x14ac:dyDescent="0.3">
      <c r="P1243" s="310">
        <v>995</v>
      </c>
      <c r="Q1243">
        <f t="shared" si="113"/>
        <v>0</v>
      </c>
      <c r="R1243" s="280"/>
      <c r="S1243" s="280">
        <f>R1232/12</f>
        <v>0</v>
      </c>
      <c r="T1243" s="227">
        <f>NPV($C$236/12,S1244:$S$1436)</f>
        <v>0</v>
      </c>
    </row>
    <row r="1244" spans="16:20" x14ac:dyDescent="0.3">
      <c r="P1244" s="310">
        <v>996</v>
      </c>
      <c r="Q1244">
        <f t="shared" si="113"/>
        <v>84</v>
      </c>
      <c r="R1244" s="280">
        <f>LOOKUP(Q1244,$Q$243:$DK$243,$Q$244:$DK$244)</f>
        <v>0</v>
      </c>
      <c r="S1244" s="280">
        <f>R1232/12</f>
        <v>0</v>
      </c>
      <c r="T1244" s="227">
        <f>NPV($C$236/12,S1245:$S$1436)</f>
        <v>0</v>
      </c>
    </row>
    <row r="1245" spans="16:20" x14ac:dyDescent="0.3">
      <c r="P1245" s="310">
        <v>997</v>
      </c>
      <c r="Q1245">
        <f t="shared" si="113"/>
        <v>0</v>
      </c>
      <c r="R1245" s="280"/>
      <c r="S1245" s="280">
        <f>R1244/12</f>
        <v>0</v>
      </c>
      <c r="T1245" s="227">
        <f>NPV($C$236/12,S1246:$S$1436)</f>
        <v>0</v>
      </c>
    </row>
    <row r="1246" spans="16:20" x14ac:dyDescent="0.3">
      <c r="P1246" s="310">
        <v>998</v>
      </c>
      <c r="Q1246">
        <f t="shared" si="113"/>
        <v>0</v>
      </c>
      <c r="R1246" s="280"/>
      <c r="S1246" s="280">
        <f>R1244/12</f>
        <v>0</v>
      </c>
      <c r="T1246" s="227">
        <f>NPV($C$236/12,S1247:$S$1436)</f>
        <v>0</v>
      </c>
    </row>
    <row r="1247" spans="16:20" x14ac:dyDescent="0.3">
      <c r="P1247" s="310">
        <v>999</v>
      </c>
      <c r="Q1247">
        <f t="shared" si="113"/>
        <v>0</v>
      </c>
      <c r="R1247" s="280"/>
      <c r="S1247" s="280">
        <f>R1244/12</f>
        <v>0</v>
      </c>
      <c r="T1247" s="227">
        <f>NPV($C$236/12,S1248:$S$1436)</f>
        <v>0</v>
      </c>
    </row>
    <row r="1248" spans="16:20" x14ac:dyDescent="0.3">
      <c r="P1248" s="310">
        <v>1000</v>
      </c>
      <c r="Q1248">
        <f t="shared" si="113"/>
        <v>0</v>
      </c>
      <c r="R1248" s="280"/>
      <c r="S1248" s="280">
        <f>R1244/12</f>
        <v>0</v>
      </c>
      <c r="T1248" s="227">
        <f>NPV($C$236/12,S1249:$S$1436)</f>
        <v>0</v>
      </c>
    </row>
    <row r="1249" spans="16:20" x14ac:dyDescent="0.3">
      <c r="P1249" s="310">
        <v>1001</v>
      </c>
      <c r="Q1249">
        <f t="shared" si="113"/>
        <v>0</v>
      </c>
      <c r="R1249" s="280"/>
      <c r="S1249" s="280">
        <f>R1244/12</f>
        <v>0</v>
      </c>
      <c r="T1249" s="227">
        <f>NPV($C$236/12,S1250:$S$1436)</f>
        <v>0</v>
      </c>
    </row>
    <row r="1250" spans="16:20" x14ac:dyDescent="0.3">
      <c r="P1250" s="310">
        <v>1002</v>
      </c>
      <c r="Q1250">
        <f t="shared" si="113"/>
        <v>0</v>
      </c>
      <c r="R1250" s="280"/>
      <c r="S1250" s="280">
        <f>R1244/12</f>
        <v>0</v>
      </c>
      <c r="T1250" s="227">
        <f>NPV($C$236/12,S1251:$S$1436)</f>
        <v>0</v>
      </c>
    </row>
    <row r="1251" spans="16:20" x14ac:dyDescent="0.3">
      <c r="P1251" s="310">
        <v>1003</v>
      </c>
      <c r="Q1251">
        <f t="shared" si="113"/>
        <v>0</v>
      </c>
      <c r="R1251" s="280"/>
      <c r="S1251" s="280">
        <f>R1244/12</f>
        <v>0</v>
      </c>
      <c r="T1251" s="227">
        <f>NPV($C$236/12,S1252:$S$1436)</f>
        <v>0</v>
      </c>
    </row>
    <row r="1252" spans="16:20" x14ac:dyDescent="0.3">
      <c r="P1252" s="310">
        <v>1004</v>
      </c>
      <c r="Q1252">
        <f t="shared" si="113"/>
        <v>0</v>
      </c>
      <c r="R1252" s="280"/>
      <c r="S1252" s="280">
        <f>R1244/12</f>
        <v>0</v>
      </c>
      <c r="T1252" s="227">
        <f>NPV($C$236/12,S1253:$S$1436)</f>
        <v>0</v>
      </c>
    </row>
    <row r="1253" spans="16:20" x14ac:dyDescent="0.3">
      <c r="P1253" s="310">
        <v>1005</v>
      </c>
      <c r="Q1253">
        <f t="shared" si="113"/>
        <v>0</v>
      </c>
      <c r="R1253" s="280"/>
      <c r="S1253" s="280">
        <f>R1244/12</f>
        <v>0</v>
      </c>
      <c r="T1253" s="227">
        <f>NPV($C$236/12,S1254:$S$1436)</f>
        <v>0</v>
      </c>
    </row>
    <row r="1254" spans="16:20" x14ac:dyDescent="0.3">
      <c r="P1254" s="310">
        <v>1006</v>
      </c>
      <c r="Q1254">
        <f t="shared" si="113"/>
        <v>0</v>
      </c>
      <c r="R1254" s="280"/>
      <c r="S1254" s="280">
        <f>R1244/12</f>
        <v>0</v>
      </c>
      <c r="T1254" s="227">
        <f>NPV($C$236/12,S1255:$S$1436)</f>
        <v>0</v>
      </c>
    </row>
    <row r="1255" spans="16:20" x14ac:dyDescent="0.3">
      <c r="P1255" s="310">
        <v>1007</v>
      </c>
      <c r="Q1255">
        <f t="shared" si="113"/>
        <v>0</v>
      </c>
      <c r="R1255" s="280"/>
      <c r="S1255" s="280">
        <f>R1244/12</f>
        <v>0</v>
      </c>
      <c r="T1255" s="227">
        <f>NPV($C$236/12,S1256:$S$1436)</f>
        <v>0</v>
      </c>
    </row>
    <row r="1256" spans="16:20" x14ac:dyDescent="0.3">
      <c r="P1256" s="310">
        <v>1008</v>
      </c>
      <c r="Q1256">
        <f t="shared" si="113"/>
        <v>85</v>
      </c>
      <c r="R1256" s="280">
        <f>LOOKUP(Q1256,$Q$243:$DK$243,$Q$244:$DK$244)</f>
        <v>0</v>
      </c>
      <c r="S1256" s="280">
        <f>R1244/12</f>
        <v>0</v>
      </c>
      <c r="T1256" s="227">
        <f>NPV($C$236/12,S1257:$S$1436)</f>
        <v>0</v>
      </c>
    </row>
    <row r="1257" spans="16:20" x14ac:dyDescent="0.3">
      <c r="P1257" s="310">
        <v>1009</v>
      </c>
      <c r="Q1257">
        <f t="shared" si="113"/>
        <v>0</v>
      </c>
      <c r="R1257" s="280"/>
      <c r="S1257" s="280">
        <f>R1256/12</f>
        <v>0</v>
      </c>
      <c r="T1257" s="227">
        <f>NPV($C$236/12,S1258:$S$1436)</f>
        <v>0</v>
      </c>
    </row>
    <row r="1258" spans="16:20" x14ac:dyDescent="0.3">
      <c r="P1258" s="310">
        <v>1010</v>
      </c>
      <c r="Q1258">
        <f t="shared" si="113"/>
        <v>0</v>
      </c>
      <c r="R1258" s="280"/>
      <c r="S1258" s="280">
        <f>R1256/12</f>
        <v>0</v>
      </c>
      <c r="T1258" s="227">
        <f>NPV($C$236/12,S1259:$S$1436)</f>
        <v>0</v>
      </c>
    </row>
    <row r="1259" spans="16:20" x14ac:dyDescent="0.3">
      <c r="P1259" s="310">
        <v>1011</v>
      </c>
      <c r="Q1259">
        <f t="shared" si="113"/>
        <v>0</v>
      </c>
      <c r="R1259" s="280"/>
      <c r="S1259" s="280">
        <f>R1256/12</f>
        <v>0</v>
      </c>
      <c r="T1259" s="227">
        <f>NPV($C$236/12,S1260:$S$1436)</f>
        <v>0</v>
      </c>
    </row>
    <row r="1260" spans="16:20" x14ac:dyDescent="0.3">
      <c r="P1260" s="310">
        <v>1012</v>
      </c>
      <c r="Q1260">
        <f t="shared" si="113"/>
        <v>0</v>
      </c>
      <c r="R1260" s="280"/>
      <c r="S1260" s="280">
        <f>R1256/12</f>
        <v>0</v>
      </c>
      <c r="T1260" s="227">
        <f>NPV($C$236/12,S1261:$S$1436)</f>
        <v>0</v>
      </c>
    </row>
    <row r="1261" spans="16:20" x14ac:dyDescent="0.3">
      <c r="P1261" s="310">
        <v>1013</v>
      </c>
      <c r="Q1261">
        <f t="shared" si="113"/>
        <v>0</v>
      </c>
      <c r="R1261" s="280"/>
      <c r="S1261" s="280">
        <f>R1256/12</f>
        <v>0</v>
      </c>
      <c r="T1261" s="227">
        <f>NPV($C$236/12,S1262:$S$1436)</f>
        <v>0</v>
      </c>
    </row>
    <row r="1262" spans="16:20" x14ac:dyDescent="0.3">
      <c r="P1262" s="310">
        <v>1014</v>
      </c>
      <c r="Q1262">
        <f t="shared" si="113"/>
        <v>0</v>
      </c>
      <c r="R1262" s="280"/>
      <c r="S1262" s="280">
        <f>R1256/12</f>
        <v>0</v>
      </c>
      <c r="T1262" s="227">
        <f>NPV($C$236/12,S1263:$S$1436)</f>
        <v>0</v>
      </c>
    </row>
    <row r="1263" spans="16:20" x14ac:dyDescent="0.3">
      <c r="P1263" s="310">
        <v>1015</v>
      </c>
      <c r="Q1263">
        <f t="shared" si="113"/>
        <v>0</v>
      </c>
      <c r="R1263" s="280"/>
      <c r="S1263" s="280">
        <f>R1256/12</f>
        <v>0</v>
      </c>
      <c r="T1263" s="227">
        <f>NPV($C$236/12,S1264:$S$1436)</f>
        <v>0</v>
      </c>
    </row>
    <row r="1264" spans="16:20" x14ac:dyDescent="0.3">
      <c r="P1264" s="310">
        <v>1016</v>
      </c>
      <c r="Q1264">
        <f t="shared" si="113"/>
        <v>0</v>
      </c>
      <c r="R1264" s="280"/>
      <c r="S1264" s="280">
        <f>R1256/12</f>
        <v>0</v>
      </c>
      <c r="T1264" s="227">
        <f>NPV($C$236/12,S1265:$S$1436)</f>
        <v>0</v>
      </c>
    </row>
    <row r="1265" spans="16:20" x14ac:dyDescent="0.3">
      <c r="P1265" s="310">
        <v>1017</v>
      </c>
      <c r="Q1265">
        <f t="shared" si="113"/>
        <v>0</v>
      </c>
      <c r="R1265" s="280"/>
      <c r="S1265" s="280">
        <f>R1256/12</f>
        <v>0</v>
      </c>
      <c r="T1265" s="227">
        <f>NPV($C$236/12,S1266:$S$1436)</f>
        <v>0</v>
      </c>
    </row>
    <row r="1266" spans="16:20" x14ac:dyDescent="0.3">
      <c r="P1266" s="310">
        <v>1018</v>
      </c>
      <c r="Q1266">
        <f t="shared" si="113"/>
        <v>0</v>
      </c>
      <c r="R1266" s="280"/>
      <c r="S1266" s="280">
        <f>R1256/12</f>
        <v>0</v>
      </c>
      <c r="T1266" s="227">
        <f>NPV($C$236/12,S1267:$S$1436)</f>
        <v>0</v>
      </c>
    </row>
    <row r="1267" spans="16:20" x14ac:dyDescent="0.3">
      <c r="P1267" s="310">
        <v>1019</v>
      </c>
      <c r="Q1267">
        <f t="shared" si="113"/>
        <v>0</v>
      </c>
      <c r="R1267" s="280"/>
      <c r="S1267" s="280">
        <f>R1256/12</f>
        <v>0</v>
      </c>
      <c r="T1267" s="227">
        <f>NPV($C$236/12,S1268:$S$1436)</f>
        <v>0</v>
      </c>
    </row>
    <row r="1268" spans="16:20" x14ac:dyDescent="0.3">
      <c r="P1268" s="310">
        <v>1020</v>
      </c>
      <c r="Q1268">
        <f t="shared" si="113"/>
        <v>86</v>
      </c>
      <c r="R1268" s="280">
        <f>LOOKUP(Q1268,$Q$243:$DK$243,$Q$244:$DK$244)</f>
        <v>0</v>
      </c>
      <c r="S1268" s="280">
        <f>R1256/12</f>
        <v>0</v>
      </c>
      <c r="T1268" s="227">
        <f>NPV($C$236/12,S1269:$S$1436)</f>
        <v>0</v>
      </c>
    </row>
    <row r="1269" spans="16:20" x14ac:dyDescent="0.3">
      <c r="P1269" s="310">
        <v>1021</v>
      </c>
      <c r="Q1269">
        <f t="shared" si="113"/>
        <v>0</v>
      </c>
      <c r="R1269" s="280"/>
      <c r="S1269" s="280">
        <f>R1268/12</f>
        <v>0</v>
      </c>
      <c r="T1269" s="227">
        <f>NPV($C$236/12,S1270:$S$1436)</f>
        <v>0</v>
      </c>
    </row>
    <row r="1270" spans="16:20" x14ac:dyDescent="0.3">
      <c r="P1270" s="310">
        <v>1022</v>
      </c>
      <c r="Q1270">
        <f t="shared" si="113"/>
        <v>0</v>
      </c>
      <c r="R1270" s="280"/>
      <c r="S1270" s="280">
        <f>R1268/12</f>
        <v>0</v>
      </c>
      <c r="T1270" s="227">
        <f>NPV($C$236/12,S1271:$S$1436)</f>
        <v>0</v>
      </c>
    </row>
    <row r="1271" spans="16:20" x14ac:dyDescent="0.3">
      <c r="P1271" s="310">
        <v>1023</v>
      </c>
      <c r="Q1271">
        <f t="shared" si="113"/>
        <v>0</v>
      </c>
      <c r="R1271" s="280"/>
      <c r="S1271" s="280">
        <f>R1268/12</f>
        <v>0</v>
      </c>
      <c r="T1271" s="227">
        <f>NPV($C$236/12,S1272:$S$1436)</f>
        <v>0</v>
      </c>
    </row>
    <row r="1272" spans="16:20" x14ac:dyDescent="0.3">
      <c r="P1272" s="310">
        <v>1024</v>
      </c>
      <c r="Q1272">
        <f t="shared" si="113"/>
        <v>0</v>
      </c>
      <c r="R1272" s="280"/>
      <c r="S1272" s="280">
        <f>R1268/12</f>
        <v>0</v>
      </c>
      <c r="T1272" s="227">
        <f>NPV($C$236/12,S1273:$S$1436)</f>
        <v>0</v>
      </c>
    </row>
    <row r="1273" spans="16:20" x14ac:dyDescent="0.3">
      <c r="P1273" s="310">
        <v>1025</v>
      </c>
      <c r="Q1273">
        <f t="shared" ref="Q1273:Q1336" si="114">IF(MOD(P1273,12)=0,(P1273/12)+1,0)</f>
        <v>0</v>
      </c>
      <c r="R1273" s="280"/>
      <c r="S1273" s="280">
        <f>R1268/12</f>
        <v>0</v>
      </c>
      <c r="T1273" s="227">
        <f>NPV($C$236/12,S1274:$S$1436)</f>
        <v>0</v>
      </c>
    </row>
    <row r="1274" spans="16:20" x14ac:dyDescent="0.3">
      <c r="P1274" s="310">
        <v>1026</v>
      </c>
      <c r="Q1274">
        <f t="shared" si="114"/>
        <v>0</v>
      </c>
      <c r="R1274" s="280"/>
      <c r="S1274" s="280">
        <f>R1268/12</f>
        <v>0</v>
      </c>
      <c r="T1274" s="227">
        <f>NPV($C$236/12,S1275:$S$1436)</f>
        <v>0</v>
      </c>
    </row>
    <row r="1275" spans="16:20" x14ac:dyDescent="0.3">
      <c r="P1275" s="310">
        <v>1027</v>
      </c>
      <c r="Q1275">
        <f t="shared" si="114"/>
        <v>0</v>
      </c>
      <c r="R1275" s="280"/>
      <c r="S1275" s="280">
        <f>R1268/12</f>
        <v>0</v>
      </c>
      <c r="T1275" s="227">
        <f>NPV($C$236/12,S1276:$S$1436)</f>
        <v>0</v>
      </c>
    </row>
    <row r="1276" spans="16:20" x14ac:dyDescent="0.3">
      <c r="P1276" s="310">
        <v>1028</v>
      </c>
      <c r="Q1276">
        <f t="shared" si="114"/>
        <v>0</v>
      </c>
      <c r="R1276" s="280"/>
      <c r="S1276" s="280">
        <f>R1268/12</f>
        <v>0</v>
      </c>
      <c r="T1276" s="227">
        <f>NPV($C$236/12,S1277:$S$1436)</f>
        <v>0</v>
      </c>
    </row>
    <row r="1277" spans="16:20" x14ac:dyDescent="0.3">
      <c r="P1277" s="310">
        <v>1029</v>
      </c>
      <c r="Q1277">
        <f t="shared" si="114"/>
        <v>0</v>
      </c>
      <c r="R1277" s="280"/>
      <c r="S1277" s="280">
        <f>R1268/12</f>
        <v>0</v>
      </c>
      <c r="T1277" s="227">
        <f>NPV($C$236/12,S1278:$S$1436)</f>
        <v>0</v>
      </c>
    </row>
    <row r="1278" spans="16:20" x14ac:dyDescent="0.3">
      <c r="P1278" s="310">
        <v>1030</v>
      </c>
      <c r="Q1278">
        <f t="shared" si="114"/>
        <v>0</v>
      </c>
      <c r="R1278" s="280"/>
      <c r="S1278" s="280">
        <f>R1268/12</f>
        <v>0</v>
      </c>
      <c r="T1278" s="227">
        <f>NPV($C$236/12,S1279:$S$1436)</f>
        <v>0</v>
      </c>
    </row>
    <row r="1279" spans="16:20" x14ac:dyDescent="0.3">
      <c r="P1279" s="310">
        <v>1031</v>
      </c>
      <c r="Q1279">
        <f t="shared" si="114"/>
        <v>0</v>
      </c>
      <c r="R1279" s="280"/>
      <c r="S1279" s="280">
        <f>R1268/12</f>
        <v>0</v>
      </c>
      <c r="T1279" s="227">
        <f>NPV($C$236/12,S1280:$S$1436)</f>
        <v>0</v>
      </c>
    </row>
    <row r="1280" spans="16:20" x14ac:dyDescent="0.3">
      <c r="P1280" s="310">
        <v>1032</v>
      </c>
      <c r="Q1280">
        <f t="shared" si="114"/>
        <v>87</v>
      </c>
      <c r="R1280" s="280">
        <f>LOOKUP(Q1280,$Q$243:$DK$243,$Q$244:$DK$244)</f>
        <v>0</v>
      </c>
      <c r="S1280" s="280">
        <f>R1268/12</f>
        <v>0</v>
      </c>
      <c r="T1280" s="227">
        <f>NPV($C$236/12,S1281:$S$1436)</f>
        <v>0</v>
      </c>
    </row>
    <row r="1281" spans="16:20" x14ac:dyDescent="0.3">
      <c r="P1281" s="310">
        <v>1033</v>
      </c>
      <c r="Q1281">
        <f t="shared" si="114"/>
        <v>0</v>
      </c>
      <c r="R1281" s="280"/>
      <c r="S1281" s="280">
        <f>R1280/12</f>
        <v>0</v>
      </c>
      <c r="T1281" s="227">
        <f>NPV($C$236/12,S1282:$S$1436)</f>
        <v>0</v>
      </c>
    </row>
    <row r="1282" spans="16:20" x14ac:dyDescent="0.3">
      <c r="P1282" s="310">
        <v>1034</v>
      </c>
      <c r="Q1282">
        <f t="shared" si="114"/>
        <v>0</v>
      </c>
      <c r="R1282" s="280"/>
      <c r="S1282" s="280">
        <f>R1280/12</f>
        <v>0</v>
      </c>
      <c r="T1282" s="227">
        <f>NPV($C$236/12,S1283:$S$1436)</f>
        <v>0</v>
      </c>
    </row>
    <row r="1283" spans="16:20" x14ac:dyDescent="0.3">
      <c r="P1283" s="310">
        <v>1035</v>
      </c>
      <c r="Q1283">
        <f t="shared" si="114"/>
        <v>0</v>
      </c>
      <c r="R1283" s="280"/>
      <c r="S1283" s="280">
        <f>R1280/12</f>
        <v>0</v>
      </c>
      <c r="T1283" s="227">
        <f>NPV($C$236/12,S1284:$S$1436)</f>
        <v>0</v>
      </c>
    </row>
    <row r="1284" spans="16:20" x14ac:dyDescent="0.3">
      <c r="P1284" s="310">
        <v>1036</v>
      </c>
      <c r="Q1284">
        <f t="shared" si="114"/>
        <v>0</v>
      </c>
      <c r="R1284" s="280"/>
      <c r="S1284" s="280">
        <f>R1280/12</f>
        <v>0</v>
      </c>
      <c r="T1284" s="227">
        <f>NPV($C$236/12,S1285:$S$1436)</f>
        <v>0</v>
      </c>
    </row>
    <row r="1285" spans="16:20" x14ac:dyDescent="0.3">
      <c r="P1285" s="310">
        <v>1037</v>
      </c>
      <c r="Q1285">
        <f t="shared" si="114"/>
        <v>0</v>
      </c>
      <c r="R1285" s="280"/>
      <c r="S1285" s="280">
        <f>R1280/12</f>
        <v>0</v>
      </c>
      <c r="T1285" s="227">
        <f>NPV($C$236/12,S1286:$S$1436)</f>
        <v>0</v>
      </c>
    </row>
    <row r="1286" spans="16:20" x14ac:dyDescent="0.3">
      <c r="P1286" s="310">
        <v>1038</v>
      </c>
      <c r="Q1286">
        <f t="shared" si="114"/>
        <v>0</v>
      </c>
      <c r="R1286" s="280"/>
      <c r="S1286" s="280">
        <f>R1280/12</f>
        <v>0</v>
      </c>
      <c r="T1286" s="227">
        <f>NPV($C$236/12,S1287:$S$1436)</f>
        <v>0</v>
      </c>
    </row>
    <row r="1287" spans="16:20" x14ac:dyDescent="0.3">
      <c r="P1287" s="310">
        <v>1039</v>
      </c>
      <c r="Q1287">
        <f t="shared" si="114"/>
        <v>0</v>
      </c>
      <c r="R1287" s="280"/>
      <c r="S1287" s="280">
        <f>R1280/12</f>
        <v>0</v>
      </c>
      <c r="T1287" s="227">
        <f>NPV($C$236/12,S1288:$S$1436)</f>
        <v>0</v>
      </c>
    </row>
    <row r="1288" spans="16:20" x14ac:dyDescent="0.3">
      <c r="P1288" s="310">
        <v>1040</v>
      </c>
      <c r="Q1288">
        <f t="shared" si="114"/>
        <v>0</v>
      </c>
      <c r="R1288" s="280"/>
      <c r="S1288" s="280">
        <f>R1280/12</f>
        <v>0</v>
      </c>
      <c r="T1288" s="227">
        <f>NPV($C$236/12,S1289:$S$1436)</f>
        <v>0</v>
      </c>
    </row>
    <row r="1289" spans="16:20" x14ac:dyDescent="0.3">
      <c r="P1289" s="310">
        <v>1041</v>
      </c>
      <c r="Q1289">
        <f t="shared" si="114"/>
        <v>0</v>
      </c>
      <c r="R1289" s="280"/>
      <c r="S1289" s="280">
        <f>R1280/12</f>
        <v>0</v>
      </c>
      <c r="T1289" s="227">
        <f>NPV($C$236/12,S1290:$S$1436)</f>
        <v>0</v>
      </c>
    </row>
    <row r="1290" spans="16:20" x14ac:dyDescent="0.3">
      <c r="P1290" s="310">
        <v>1042</v>
      </c>
      <c r="Q1290">
        <f t="shared" si="114"/>
        <v>0</v>
      </c>
      <c r="R1290" s="280"/>
      <c r="S1290" s="280">
        <f>R1280/12</f>
        <v>0</v>
      </c>
      <c r="T1290" s="227">
        <f>NPV($C$236/12,S1291:$S$1436)</f>
        <v>0</v>
      </c>
    </row>
    <row r="1291" spans="16:20" x14ac:dyDescent="0.3">
      <c r="P1291" s="310">
        <v>1043</v>
      </c>
      <c r="Q1291">
        <f t="shared" si="114"/>
        <v>0</v>
      </c>
      <c r="R1291" s="280"/>
      <c r="S1291" s="280">
        <f>R1280/12</f>
        <v>0</v>
      </c>
      <c r="T1291" s="227">
        <f>NPV($C$236/12,S1292:$S$1436)</f>
        <v>0</v>
      </c>
    </row>
    <row r="1292" spans="16:20" x14ac:dyDescent="0.3">
      <c r="P1292" s="310">
        <v>1044</v>
      </c>
      <c r="Q1292">
        <f t="shared" si="114"/>
        <v>88</v>
      </c>
      <c r="R1292" s="280">
        <f>LOOKUP(Q1292,$Q$243:$DK$243,$Q$244:$DK$244)</f>
        <v>0</v>
      </c>
      <c r="S1292" s="280">
        <f>R1280/12</f>
        <v>0</v>
      </c>
      <c r="T1292" s="227">
        <f>NPV($C$236/12,S1293:$S$1436)</f>
        <v>0</v>
      </c>
    </row>
    <row r="1293" spans="16:20" x14ac:dyDescent="0.3">
      <c r="P1293" s="310">
        <v>1045</v>
      </c>
      <c r="Q1293">
        <f t="shared" si="114"/>
        <v>0</v>
      </c>
      <c r="R1293" s="280"/>
      <c r="S1293" s="280">
        <f>R1292/12</f>
        <v>0</v>
      </c>
      <c r="T1293" s="227">
        <f>NPV($C$236/12,S1294:$S$1436)</f>
        <v>0</v>
      </c>
    </row>
    <row r="1294" spans="16:20" x14ac:dyDescent="0.3">
      <c r="P1294" s="310">
        <v>1046</v>
      </c>
      <c r="Q1294">
        <f t="shared" si="114"/>
        <v>0</v>
      </c>
      <c r="R1294" s="280"/>
      <c r="S1294" s="280">
        <f>R1292/12</f>
        <v>0</v>
      </c>
      <c r="T1294" s="227">
        <f>NPV($C$236/12,S1295:$S$1436)</f>
        <v>0</v>
      </c>
    </row>
    <row r="1295" spans="16:20" x14ac:dyDescent="0.3">
      <c r="P1295" s="310">
        <v>1047</v>
      </c>
      <c r="Q1295">
        <f t="shared" si="114"/>
        <v>0</v>
      </c>
      <c r="R1295" s="280"/>
      <c r="S1295" s="280">
        <f>R1292/12</f>
        <v>0</v>
      </c>
      <c r="T1295" s="227">
        <f>NPV($C$236/12,S1296:$S$1436)</f>
        <v>0</v>
      </c>
    </row>
    <row r="1296" spans="16:20" x14ac:dyDescent="0.3">
      <c r="P1296" s="310">
        <v>1048</v>
      </c>
      <c r="Q1296">
        <f t="shared" si="114"/>
        <v>0</v>
      </c>
      <c r="R1296" s="280"/>
      <c r="S1296" s="280">
        <f>R1292/12</f>
        <v>0</v>
      </c>
      <c r="T1296" s="227">
        <f>NPV($C$236/12,S1297:$S$1436)</f>
        <v>0</v>
      </c>
    </row>
    <row r="1297" spans="16:20" x14ac:dyDescent="0.3">
      <c r="P1297" s="310">
        <v>1049</v>
      </c>
      <c r="Q1297">
        <f t="shared" si="114"/>
        <v>0</v>
      </c>
      <c r="R1297" s="280"/>
      <c r="S1297" s="280">
        <f>R1292/12</f>
        <v>0</v>
      </c>
      <c r="T1297" s="227">
        <f>NPV($C$236/12,S1298:$S$1436)</f>
        <v>0</v>
      </c>
    </row>
    <row r="1298" spans="16:20" x14ac:dyDescent="0.3">
      <c r="P1298" s="310">
        <v>1050</v>
      </c>
      <c r="Q1298">
        <f t="shared" si="114"/>
        <v>0</v>
      </c>
      <c r="R1298" s="280"/>
      <c r="S1298" s="280">
        <f>R1292/12</f>
        <v>0</v>
      </c>
      <c r="T1298" s="227">
        <f>NPV($C$236/12,S1299:$S$1436)</f>
        <v>0</v>
      </c>
    </row>
    <row r="1299" spans="16:20" x14ac:dyDescent="0.3">
      <c r="P1299" s="310">
        <v>1051</v>
      </c>
      <c r="Q1299">
        <f t="shared" si="114"/>
        <v>0</v>
      </c>
      <c r="R1299" s="280"/>
      <c r="S1299" s="280">
        <f>R1292/12</f>
        <v>0</v>
      </c>
      <c r="T1299" s="227">
        <f>NPV($C$236/12,S1300:$S$1436)</f>
        <v>0</v>
      </c>
    </row>
    <row r="1300" spans="16:20" x14ac:dyDescent="0.3">
      <c r="P1300" s="310">
        <v>1052</v>
      </c>
      <c r="Q1300">
        <f t="shared" si="114"/>
        <v>0</v>
      </c>
      <c r="R1300" s="280"/>
      <c r="S1300" s="280">
        <f>R1292/12</f>
        <v>0</v>
      </c>
      <c r="T1300" s="227">
        <f>NPV($C$236/12,S1301:$S$1436)</f>
        <v>0</v>
      </c>
    </row>
    <row r="1301" spans="16:20" x14ac:dyDescent="0.3">
      <c r="P1301" s="310">
        <v>1053</v>
      </c>
      <c r="Q1301">
        <f t="shared" si="114"/>
        <v>0</v>
      </c>
      <c r="R1301" s="280"/>
      <c r="S1301" s="280">
        <f>R1292/12</f>
        <v>0</v>
      </c>
      <c r="T1301" s="227">
        <f>NPV($C$236/12,S1302:$S$1436)</f>
        <v>0</v>
      </c>
    </row>
    <row r="1302" spans="16:20" x14ac:dyDescent="0.3">
      <c r="P1302" s="310">
        <v>1054</v>
      </c>
      <c r="Q1302">
        <f t="shared" si="114"/>
        <v>0</v>
      </c>
      <c r="R1302" s="280"/>
      <c r="S1302" s="280">
        <f>R1292/12</f>
        <v>0</v>
      </c>
      <c r="T1302" s="227">
        <f>NPV($C$236/12,S1303:$S$1436)</f>
        <v>0</v>
      </c>
    </row>
    <row r="1303" spans="16:20" x14ac:dyDescent="0.3">
      <c r="P1303" s="310">
        <v>1055</v>
      </c>
      <c r="Q1303">
        <f t="shared" si="114"/>
        <v>0</v>
      </c>
      <c r="R1303" s="280"/>
      <c r="S1303" s="280">
        <f>R1292/12</f>
        <v>0</v>
      </c>
      <c r="T1303" s="227">
        <f>NPV($C$236/12,S1304:$S$1436)</f>
        <v>0</v>
      </c>
    </row>
    <row r="1304" spans="16:20" x14ac:dyDescent="0.3">
      <c r="P1304" s="310">
        <v>1056</v>
      </c>
      <c r="Q1304">
        <f t="shared" si="114"/>
        <v>89</v>
      </c>
      <c r="R1304" s="280">
        <f>LOOKUP(Q1304,$Q$243:$DK$243,$Q$244:$DK$244)</f>
        <v>0</v>
      </c>
      <c r="S1304" s="280">
        <f>R1292/12</f>
        <v>0</v>
      </c>
      <c r="T1304" s="227">
        <f>NPV($C$236/12,S1305:$S$1436)</f>
        <v>0</v>
      </c>
    </row>
    <row r="1305" spans="16:20" x14ac:dyDescent="0.3">
      <c r="P1305" s="310">
        <v>1057</v>
      </c>
      <c r="Q1305">
        <f t="shared" si="114"/>
        <v>0</v>
      </c>
      <c r="R1305" s="280"/>
      <c r="S1305" s="280">
        <f>R1304/12</f>
        <v>0</v>
      </c>
      <c r="T1305" s="227">
        <f>NPV($C$236/12,S1306:$S$1436)</f>
        <v>0</v>
      </c>
    </row>
    <row r="1306" spans="16:20" x14ac:dyDescent="0.3">
      <c r="P1306" s="310">
        <v>1058</v>
      </c>
      <c r="Q1306">
        <f t="shared" si="114"/>
        <v>0</v>
      </c>
      <c r="R1306" s="280"/>
      <c r="S1306" s="280">
        <f>R1304/12</f>
        <v>0</v>
      </c>
      <c r="T1306" s="227">
        <f>NPV($C$236/12,S1307:$S$1436)</f>
        <v>0</v>
      </c>
    </row>
    <row r="1307" spans="16:20" x14ac:dyDescent="0.3">
      <c r="P1307" s="310">
        <v>1059</v>
      </c>
      <c r="Q1307">
        <f t="shared" si="114"/>
        <v>0</v>
      </c>
      <c r="R1307" s="280"/>
      <c r="S1307" s="280">
        <f>R1304/12</f>
        <v>0</v>
      </c>
      <c r="T1307" s="227">
        <f>NPV($C$236/12,S1308:$S$1436)</f>
        <v>0</v>
      </c>
    </row>
    <row r="1308" spans="16:20" x14ac:dyDescent="0.3">
      <c r="P1308" s="310">
        <v>1060</v>
      </c>
      <c r="Q1308">
        <f t="shared" si="114"/>
        <v>0</v>
      </c>
      <c r="R1308" s="280"/>
      <c r="S1308" s="280">
        <f>R1304/12</f>
        <v>0</v>
      </c>
      <c r="T1308" s="227">
        <f>NPV($C$236/12,S1309:$S$1436)</f>
        <v>0</v>
      </c>
    </row>
    <row r="1309" spans="16:20" x14ac:dyDescent="0.3">
      <c r="P1309" s="310">
        <v>1061</v>
      </c>
      <c r="Q1309">
        <f t="shared" si="114"/>
        <v>0</v>
      </c>
      <c r="R1309" s="280"/>
      <c r="S1309" s="280">
        <f>R1304/12</f>
        <v>0</v>
      </c>
      <c r="T1309" s="227">
        <f>NPV($C$236/12,S1310:$S$1436)</f>
        <v>0</v>
      </c>
    </row>
    <row r="1310" spans="16:20" x14ac:dyDescent="0.3">
      <c r="P1310" s="310">
        <v>1062</v>
      </c>
      <c r="Q1310">
        <f t="shared" si="114"/>
        <v>0</v>
      </c>
      <c r="R1310" s="280"/>
      <c r="S1310" s="280">
        <f>R1304/12</f>
        <v>0</v>
      </c>
      <c r="T1310" s="227">
        <f>NPV($C$236/12,S1311:$S$1436)</f>
        <v>0</v>
      </c>
    </row>
    <row r="1311" spans="16:20" x14ac:dyDescent="0.3">
      <c r="P1311" s="310">
        <v>1063</v>
      </c>
      <c r="Q1311">
        <f t="shared" si="114"/>
        <v>0</v>
      </c>
      <c r="R1311" s="280"/>
      <c r="S1311" s="280">
        <f>R1304/12</f>
        <v>0</v>
      </c>
      <c r="T1311" s="227">
        <f>NPV($C$236/12,S1312:$S$1436)</f>
        <v>0</v>
      </c>
    </row>
    <row r="1312" spans="16:20" x14ac:dyDescent="0.3">
      <c r="P1312" s="310">
        <v>1064</v>
      </c>
      <c r="Q1312">
        <f t="shared" si="114"/>
        <v>0</v>
      </c>
      <c r="R1312" s="280"/>
      <c r="S1312" s="280">
        <f>R1304/12</f>
        <v>0</v>
      </c>
      <c r="T1312" s="227">
        <f>NPV($C$236/12,S1313:$S$1436)</f>
        <v>0</v>
      </c>
    </row>
    <row r="1313" spans="16:20" x14ac:dyDescent="0.3">
      <c r="P1313" s="310">
        <v>1065</v>
      </c>
      <c r="Q1313">
        <f t="shared" si="114"/>
        <v>0</v>
      </c>
      <c r="R1313" s="280"/>
      <c r="S1313" s="280">
        <f>R1304/12</f>
        <v>0</v>
      </c>
      <c r="T1313" s="227">
        <f>NPV($C$236/12,S1314:$S$1436)</f>
        <v>0</v>
      </c>
    </row>
    <row r="1314" spans="16:20" x14ac:dyDescent="0.3">
      <c r="P1314" s="310">
        <v>1066</v>
      </c>
      <c r="Q1314">
        <f t="shared" si="114"/>
        <v>0</v>
      </c>
      <c r="R1314" s="280"/>
      <c r="S1314" s="280">
        <f>R1304/12</f>
        <v>0</v>
      </c>
      <c r="T1314" s="227">
        <f>NPV($C$236/12,S1315:$S$1436)</f>
        <v>0</v>
      </c>
    </row>
    <row r="1315" spans="16:20" x14ac:dyDescent="0.3">
      <c r="P1315" s="310">
        <v>1067</v>
      </c>
      <c r="Q1315">
        <f t="shared" si="114"/>
        <v>0</v>
      </c>
      <c r="R1315" s="280"/>
      <c r="S1315" s="280">
        <f>R1304/12</f>
        <v>0</v>
      </c>
      <c r="T1315" s="227">
        <f>NPV($C$236/12,S1316:$S$1436)</f>
        <v>0</v>
      </c>
    </row>
    <row r="1316" spans="16:20" x14ac:dyDescent="0.3">
      <c r="P1316" s="310">
        <v>1068</v>
      </c>
      <c r="Q1316">
        <f t="shared" si="114"/>
        <v>90</v>
      </c>
      <c r="R1316" s="280">
        <f>LOOKUP(Q1316,$Q$243:$DK$243,$Q$244:$DK$244)</f>
        <v>0</v>
      </c>
      <c r="S1316" s="280">
        <f>R1304/12</f>
        <v>0</v>
      </c>
      <c r="T1316" s="227">
        <f>NPV($C$236/12,S1317:$S$1436)</f>
        <v>0</v>
      </c>
    </row>
    <row r="1317" spans="16:20" x14ac:dyDescent="0.3">
      <c r="P1317" s="310">
        <v>1069</v>
      </c>
      <c r="Q1317">
        <f t="shared" si="114"/>
        <v>0</v>
      </c>
      <c r="R1317" s="280"/>
      <c r="S1317" s="280">
        <f>R1316/12</f>
        <v>0</v>
      </c>
      <c r="T1317" s="227">
        <f>NPV($C$236/12,S1318:$S$1436)</f>
        <v>0</v>
      </c>
    </row>
    <row r="1318" spans="16:20" x14ac:dyDescent="0.3">
      <c r="P1318" s="310">
        <v>1070</v>
      </c>
      <c r="Q1318">
        <f t="shared" si="114"/>
        <v>0</v>
      </c>
      <c r="R1318" s="280"/>
      <c r="S1318" s="280">
        <f>R1316/12</f>
        <v>0</v>
      </c>
      <c r="T1318" s="227">
        <f>NPV($C$236/12,S1319:$S$1436)</f>
        <v>0</v>
      </c>
    </row>
    <row r="1319" spans="16:20" x14ac:dyDescent="0.3">
      <c r="P1319" s="310">
        <v>1071</v>
      </c>
      <c r="Q1319">
        <f t="shared" si="114"/>
        <v>0</v>
      </c>
      <c r="R1319" s="280"/>
      <c r="S1319" s="280">
        <f>R1316/12</f>
        <v>0</v>
      </c>
      <c r="T1319" s="227">
        <f>NPV($C$236/12,S1320:$S$1436)</f>
        <v>0</v>
      </c>
    </row>
    <row r="1320" spans="16:20" x14ac:dyDescent="0.3">
      <c r="P1320" s="310">
        <v>1072</v>
      </c>
      <c r="Q1320">
        <f t="shared" si="114"/>
        <v>0</v>
      </c>
      <c r="R1320" s="280"/>
      <c r="S1320" s="280">
        <f>R1316/12</f>
        <v>0</v>
      </c>
      <c r="T1320" s="227">
        <f>NPV($C$236/12,S1321:$S$1436)</f>
        <v>0</v>
      </c>
    </row>
    <row r="1321" spans="16:20" x14ac:dyDescent="0.3">
      <c r="P1321" s="310">
        <v>1073</v>
      </c>
      <c r="Q1321">
        <f t="shared" si="114"/>
        <v>0</v>
      </c>
      <c r="R1321" s="280"/>
      <c r="S1321" s="280">
        <f>R1316/12</f>
        <v>0</v>
      </c>
      <c r="T1321" s="227">
        <f>NPV($C$236/12,S1322:$S$1436)</f>
        <v>0</v>
      </c>
    </row>
    <row r="1322" spans="16:20" x14ac:dyDescent="0.3">
      <c r="P1322" s="310">
        <v>1074</v>
      </c>
      <c r="Q1322">
        <f t="shared" si="114"/>
        <v>0</v>
      </c>
      <c r="R1322" s="280"/>
      <c r="S1322" s="280">
        <f>R1316/12</f>
        <v>0</v>
      </c>
      <c r="T1322" s="227">
        <f>NPV($C$236/12,S1323:$S$1436)</f>
        <v>0</v>
      </c>
    </row>
    <row r="1323" spans="16:20" x14ac:dyDescent="0.3">
      <c r="P1323" s="310">
        <v>1075</v>
      </c>
      <c r="Q1323">
        <f t="shared" si="114"/>
        <v>0</v>
      </c>
      <c r="R1323" s="280"/>
      <c r="S1323" s="280">
        <f>R1316/12</f>
        <v>0</v>
      </c>
      <c r="T1323" s="227">
        <f>NPV($C$236/12,S1324:$S$1436)</f>
        <v>0</v>
      </c>
    </row>
    <row r="1324" spans="16:20" x14ac:dyDescent="0.3">
      <c r="P1324" s="310">
        <v>1076</v>
      </c>
      <c r="Q1324">
        <f t="shared" si="114"/>
        <v>0</v>
      </c>
      <c r="R1324" s="280"/>
      <c r="S1324" s="280">
        <f>R1316/12</f>
        <v>0</v>
      </c>
      <c r="T1324" s="227">
        <f>NPV($C$236/12,S1325:$S$1436)</f>
        <v>0</v>
      </c>
    </row>
    <row r="1325" spans="16:20" x14ac:dyDescent="0.3">
      <c r="P1325" s="310">
        <v>1077</v>
      </c>
      <c r="Q1325">
        <f t="shared" si="114"/>
        <v>0</v>
      </c>
      <c r="R1325" s="280"/>
      <c r="S1325" s="280">
        <f>R1316/12</f>
        <v>0</v>
      </c>
      <c r="T1325" s="227">
        <f>NPV($C$236/12,S1326:$S$1436)</f>
        <v>0</v>
      </c>
    </row>
    <row r="1326" spans="16:20" x14ac:dyDescent="0.3">
      <c r="P1326" s="310">
        <v>1078</v>
      </c>
      <c r="Q1326">
        <f t="shared" si="114"/>
        <v>0</v>
      </c>
      <c r="R1326" s="280"/>
      <c r="S1326" s="280">
        <f>R1316/12</f>
        <v>0</v>
      </c>
      <c r="T1326" s="227">
        <f>NPV($C$236/12,S1327:$S$1436)</f>
        <v>0</v>
      </c>
    </row>
    <row r="1327" spans="16:20" x14ac:dyDescent="0.3">
      <c r="P1327" s="310">
        <v>1079</v>
      </c>
      <c r="Q1327">
        <f t="shared" si="114"/>
        <v>0</v>
      </c>
      <c r="R1327" s="280"/>
      <c r="S1327" s="280">
        <f>R1316/12</f>
        <v>0</v>
      </c>
      <c r="T1327" s="227">
        <f>NPV($C$236/12,S1328:$S$1436)</f>
        <v>0</v>
      </c>
    </row>
    <row r="1328" spans="16:20" x14ac:dyDescent="0.3">
      <c r="P1328" s="310">
        <v>1080</v>
      </c>
      <c r="Q1328">
        <f t="shared" si="114"/>
        <v>91</v>
      </c>
      <c r="R1328" s="280">
        <f>LOOKUP(Q1328,$Q$243:$DK$243,$Q$244:$DK$244)</f>
        <v>0</v>
      </c>
      <c r="S1328" s="280">
        <f>R1316/12</f>
        <v>0</v>
      </c>
      <c r="T1328" s="227">
        <f>NPV($C$236/12,S1329:$S$1436)</f>
        <v>0</v>
      </c>
    </row>
    <row r="1329" spans="16:20" x14ac:dyDescent="0.3">
      <c r="P1329" s="310">
        <v>1081</v>
      </c>
      <c r="Q1329">
        <f t="shared" si="114"/>
        <v>0</v>
      </c>
      <c r="R1329" s="280"/>
      <c r="S1329" s="280">
        <f>R1328/12</f>
        <v>0</v>
      </c>
      <c r="T1329" s="227">
        <f>NPV($C$236/12,S1330:$S$1436)</f>
        <v>0</v>
      </c>
    </row>
    <row r="1330" spans="16:20" x14ac:dyDescent="0.3">
      <c r="P1330" s="310">
        <v>1082</v>
      </c>
      <c r="Q1330">
        <f t="shared" si="114"/>
        <v>0</v>
      </c>
      <c r="R1330" s="280"/>
      <c r="S1330" s="280">
        <f>R1328/12</f>
        <v>0</v>
      </c>
      <c r="T1330" s="227">
        <f>NPV($C$236/12,S1331:$S$1436)</f>
        <v>0</v>
      </c>
    </row>
    <row r="1331" spans="16:20" x14ac:dyDescent="0.3">
      <c r="P1331" s="310">
        <v>1083</v>
      </c>
      <c r="Q1331">
        <f t="shared" si="114"/>
        <v>0</v>
      </c>
      <c r="R1331" s="280"/>
      <c r="S1331" s="280">
        <f>R1328/12</f>
        <v>0</v>
      </c>
      <c r="T1331" s="227">
        <f>NPV($C$236/12,S1332:$S$1436)</f>
        <v>0</v>
      </c>
    </row>
    <row r="1332" spans="16:20" x14ac:dyDescent="0.3">
      <c r="P1332" s="310">
        <v>1084</v>
      </c>
      <c r="Q1332">
        <f t="shared" si="114"/>
        <v>0</v>
      </c>
      <c r="R1332" s="280"/>
      <c r="S1332" s="280">
        <f>R1328/12</f>
        <v>0</v>
      </c>
      <c r="T1332" s="227">
        <f>NPV($C$236/12,S1333:$S$1436)</f>
        <v>0</v>
      </c>
    </row>
    <row r="1333" spans="16:20" x14ac:dyDescent="0.3">
      <c r="P1333" s="310">
        <v>1085</v>
      </c>
      <c r="Q1333">
        <f t="shared" si="114"/>
        <v>0</v>
      </c>
      <c r="R1333" s="280"/>
      <c r="S1333" s="280">
        <f>R1328/12</f>
        <v>0</v>
      </c>
      <c r="T1333" s="227">
        <f>NPV($C$236/12,S1334:$S$1436)</f>
        <v>0</v>
      </c>
    </row>
    <row r="1334" spans="16:20" x14ac:dyDescent="0.3">
      <c r="P1334" s="310">
        <v>1086</v>
      </c>
      <c r="Q1334">
        <f t="shared" si="114"/>
        <v>0</v>
      </c>
      <c r="R1334" s="280"/>
      <c r="S1334" s="280">
        <f>R1328/12</f>
        <v>0</v>
      </c>
      <c r="T1334" s="227">
        <f>NPV($C$236/12,S1335:$S$1436)</f>
        <v>0</v>
      </c>
    </row>
    <row r="1335" spans="16:20" x14ac:dyDescent="0.3">
      <c r="P1335" s="310">
        <v>1087</v>
      </c>
      <c r="Q1335">
        <f t="shared" si="114"/>
        <v>0</v>
      </c>
      <c r="R1335" s="280"/>
      <c r="S1335" s="280">
        <f>R1328/12</f>
        <v>0</v>
      </c>
      <c r="T1335" s="227">
        <f>NPV($C$236/12,S1336:$S$1436)</f>
        <v>0</v>
      </c>
    </row>
    <row r="1336" spans="16:20" x14ac:dyDescent="0.3">
      <c r="P1336" s="310">
        <v>1088</v>
      </c>
      <c r="Q1336">
        <f t="shared" si="114"/>
        <v>0</v>
      </c>
      <c r="R1336" s="280"/>
      <c r="S1336" s="280">
        <f>R1328/12</f>
        <v>0</v>
      </c>
      <c r="T1336" s="227">
        <f>NPV($C$236/12,S1337:$S$1436)</f>
        <v>0</v>
      </c>
    </row>
    <row r="1337" spans="16:20" x14ac:dyDescent="0.3">
      <c r="P1337" s="310">
        <v>1089</v>
      </c>
      <c r="Q1337">
        <f t="shared" ref="Q1337:Q1400" si="115">IF(MOD(P1337,12)=0,(P1337/12)+1,0)</f>
        <v>0</v>
      </c>
      <c r="R1337" s="280"/>
      <c r="S1337" s="280">
        <f>R1328/12</f>
        <v>0</v>
      </c>
      <c r="T1337" s="227">
        <f>NPV($C$236/12,S1338:$S$1436)</f>
        <v>0</v>
      </c>
    </row>
    <row r="1338" spans="16:20" x14ac:dyDescent="0.3">
      <c r="P1338" s="310">
        <v>1090</v>
      </c>
      <c r="Q1338">
        <f t="shared" si="115"/>
        <v>0</v>
      </c>
      <c r="R1338" s="280"/>
      <c r="S1338" s="280">
        <f>R1328/12</f>
        <v>0</v>
      </c>
      <c r="T1338" s="227">
        <f>NPV($C$236/12,S1339:$S$1436)</f>
        <v>0</v>
      </c>
    </row>
    <row r="1339" spans="16:20" x14ac:dyDescent="0.3">
      <c r="P1339" s="310">
        <v>1091</v>
      </c>
      <c r="Q1339">
        <f t="shared" si="115"/>
        <v>0</v>
      </c>
      <c r="R1339" s="280"/>
      <c r="S1339" s="280">
        <f>R1328/12</f>
        <v>0</v>
      </c>
      <c r="T1339" s="227">
        <f>NPV($C$236/12,S1340:$S$1436)</f>
        <v>0</v>
      </c>
    </row>
    <row r="1340" spans="16:20" x14ac:dyDescent="0.3">
      <c r="P1340" s="310">
        <v>1092</v>
      </c>
      <c r="Q1340">
        <f t="shared" si="115"/>
        <v>92</v>
      </c>
      <c r="R1340" s="280">
        <f>LOOKUP(Q1340,$Q$243:$DK$243,$Q$244:$DK$244)</f>
        <v>0</v>
      </c>
      <c r="S1340" s="280">
        <f>R1328/12</f>
        <v>0</v>
      </c>
      <c r="T1340" s="227">
        <f>NPV($C$236/12,S1341:$S$1436)</f>
        <v>0</v>
      </c>
    </row>
    <row r="1341" spans="16:20" x14ac:dyDescent="0.3">
      <c r="P1341" s="310">
        <v>1093</v>
      </c>
      <c r="Q1341">
        <f t="shared" si="115"/>
        <v>0</v>
      </c>
      <c r="R1341" s="280"/>
      <c r="S1341" s="280">
        <f>R1340/12</f>
        <v>0</v>
      </c>
      <c r="T1341" s="227">
        <f>NPV($C$236/12,S1342:$S$1436)</f>
        <v>0</v>
      </c>
    </row>
    <row r="1342" spans="16:20" x14ac:dyDescent="0.3">
      <c r="P1342" s="310">
        <v>1094</v>
      </c>
      <c r="Q1342">
        <f t="shared" si="115"/>
        <v>0</v>
      </c>
      <c r="R1342" s="280"/>
      <c r="S1342" s="280">
        <f>R1340/12</f>
        <v>0</v>
      </c>
      <c r="T1342" s="227">
        <f>NPV($C$236/12,S1343:$S$1436)</f>
        <v>0</v>
      </c>
    </row>
    <row r="1343" spans="16:20" x14ac:dyDescent="0.3">
      <c r="P1343" s="310">
        <v>1095</v>
      </c>
      <c r="Q1343">
        <f t="shared" si="115"/>
        <v>0</v>
      </c>
      <c r="R1343" s="280"/>
      <c r="S1343" s="280">
        <f>R1340/12</f>
        <v>0</v>
      </c>
      <c r="T1343" s="227">
        <f>NPV($C$236/12,S1344:$S$1436)</f>
        <v>0</v>
      </c>
    </row>
    <row r="1344" spans="16:20" x14ac:dyDescent="0.3">
      <c r="P1344" s="310">
        <v>1096</v>
      </c>
      <c r="Q1344">
        <f t="shared" si="115"/>
        <v>0</v>
      </c>
      <c r="R1344" s="280"/>
      <c r="S1344" s="280">
        <f>R1340/12</f>
        <v>0</v>
      </c>
      <c r="T1344" s="227">
        <f>NPV($C$236/12,S1345:$S$1436)</f>
        <v>0</v>
      </c>
    </row>
    <row r="1345" spans="16:20" x14ac:dyDescent="0.3">
      <c r="P1345" s="310">
        <v>1097</v>
      </c>
      <c r="Q1345">
        <f t="shared" si="115"/>
        <v>0</v>
      </c>
      <c r="R1345" s="280"/>
      <c r="S1345" s="280">
        <f>R1340/12</f>
        <v>0</v>
      </c>
      <c r="T1345" s="227">
        <f>NPV($C$236/12,S1346:$S$1436)</f>
        <v>0</v>
      </c>
    </row>
    <row r="1346" spans="16:20" x14ac:dyDescent="0.3">
      <c r="P1346" s="310">
        <v>1098</v>
      </c>
      <c r="Q1346">
        <f t="shared" si="115"/>
        <v>0</v>
      </c>
      <c r="R1346" s="280"/>
      <c r="S1346" s="280">
        <f>R1340/12</f>
        <v>0</v>
      </c>
      <c r="T1346" s="227">
        <f>NPV($C$236/12,S1347:$S$1436)</f>
        <v>0</v>
      </c>
    </row>
    <row r="1347" spans="16:20" x14ac:dyDescent="0.3">
      <c r="P1347" s="310">
        <v>1099</v>
      </c>
      <c r="Q1347">
        <f t="shared" si="115"/>
        <v>0</v>
      </c>
      <c r="R1347" s="280"/>
      <c r="S1347" s="280">
        <f>R1340/12</f>
        <v>0</v>
      </c>
      <c r="T1347" s="227">
        <f>NPV($C$236/12,S1348:$S$1436)</f>
        <v>0</v>
      </c>
    </row>
    <row r="1348" spans="16:20" x14ac:dyDescent="0.3">
      <c r="P1348" s="310">
        <v>1100</v>
      </c>
      <c r="Q1348">
        <f t="shared" si="115"/>
        <v>0</v>
      </c>
      <c r="R1348" s="280"/>
      <c r="S1348" s="280">
        <f>R1340/12</f>
        <v>0</v>
      </c>
      <c r="T1348" s="227">
        <f>NPV($C$236/12,S1349:$S$1436)</f>
        <v>0</v>
      </c>
    </row>
    <row r="1349" spans="16:20" x14ac:dyDescent="0.3">
      <c r="P1349" s="310">
        <v>1101</v>
      </c>
      <c r="Q1349">
        <f t="shared" si="115"/>
        <v>0</v>
      </c>
      <c r="R1349" s="280"/>
      <c r="S1349" s="280">
        <f>R1340/12</f>
        <v>0</v>
      </c>
      <c r="T1349" s="227">
        <f>NPV($C$236/12,S1350:$S$1436)</f>
        <v>0</v>
      </c>
    </row>
    <row r="1350" spans="16:20" x14ac:dyDescent="0.3">
      <c r="P1350" s="310">
        <v>1102</v>
      </c>
      <c r="Q1350">
        <f t="shared" si="115"/>
        <v>0</v>
      </c>
      <c r="R1350" s="280"/>
      <c r="S1350" s="280">
        <f>R1340/12</f>
        <v>0</v>
      </c>
      <c r="T1350" s="227">
        <f>NPV($C$236/12,S1351:$S$1436)</f>
        <v>0</v>
      </c>
    </row>
    <row r="1351" spans="16:20" x14ac:dyDescent="0.3">
      <c r="P1351" s="310">
        <v>1103</v>
      </c>
      <c r="Q1351">
        <f t="shared" si="115"/>
        <v>0</v>
      </c>
      <c r="R1351" s="280"/>
      <c r="S1351" s="280">
        <f>R1340/12</f>
        <v>0</v>
      </c>
      <c r="T1351" s="227">
        <f>NPV($C$236/12,S1352:$S$1436)</f>
        <v>0</v>
      </c>
    </row>
    <row r="1352" spans="16:20" x14ac:dyDescent="0.3">
      <c r="P1352" s="310">
        <v>1104</v>
      </c>
      <c r="Q1352">
        <f t="shared" si="115"/>
        <v>93</v>
      </c>
      <c r="R1352" s="280">
        <f>LOOKUP(Q1352,$Q$243:$DK$243,$Q$244:$DK$244)</f>
        <v>0</v>
      </c>
      <c r="S1352" s="280">
        <f>R1340/12</f>
        <v>0</v>
      </c>
      <c r="T1352" s="227">
        <f>NPV($C$236/12,S1353:$S$1436)</f>
        <v>0</v>
      </c>
    </row>
    <row r="1353" spans="16:20" x14ac:dyDescent="0.3">
      <c r="P1353" s="310">
        <v>1105</v>
      </c>
      <c r="Q1353">
        <f t="shared" si="115"/>
        <v>0</v>
      </c>
      <c r="R1353" s="280"/>
      <c r="S1353" s="280">
        <f>R1352/12</f>
        <v>0</v>
      </c>
      <c r="T1353" s="227">
        <f>NPV($C$236/12,S1354:$S$1436)</f>
        <v>0</v>
      </c>
    </row>
    <row r="1354" spans="16:20" x14ac:dyDescent="0.3">
      <c r="P1354" s="310">
        <v>1106</v>
      </c>
      <c r="Q1354">
        <f t="shared" si="115"/>
        <v>0</v>
      </c>
      <c r="R1354" s="280"/>
      <c r="S1354" s="280">
        <f>R1352/12</f>
        <v>0</v>
      </c>
      <c r="T1354" s="227">
        <f>NPV($C$236/12,S1355:$S$1436)</f>
        <v>0</v>
      </c>
    </row>
    <row r="1355" spans="16:20" x14ac:dyDescent="0.3">
      <c r="P1355" s="310">
        <v>1107</v>
      </c>
      <c r="Q1355">
        <f t="shared" si="115"/>
        <v>0</v>
      </c>
      <c r="R1355" s="280"/>
      <c r="S1355" s="280">
        <f>R1352/12</f>
        <v>0</v>
      </c>
      <c r="T1355" s="227">
        <f>NPV($C$236/12,S1356:$S$1436)</f>
        <v>0</v>
      </c>
    </row>
    <row r="1356" spans="16:20" x14ac:dyDescent="0.3">
      <c r="P1356" s="310">
        <v>1108</v>
      </c>
      <c r="Q1356">
        <f t="shared" si="115"/>
        <v>0</v>
      </c>
      <c r="R1356" s="280"/>
      <c r="S1356" s="280">
        <f>R1352/12</f>
        <v>0</v>
      </c>
      <c r="T1356" s="227">
        <f>NPV($C$236/12,S1357:$S$1436)</f>
        <v>0</v>
      </c>
    </row>
    <row r="1357" spans="16:20" x14ac:dyDescent="0.3">
      <c r="P1357" s="310">
        <v>1109</v>
      </c>
      <c r="Q1357">
        <f t="shared" si="115"/>
        <v>0</v>
      </c>
      <c r="R1357" s="280"/>
      <c r="S1357" s="280">
        <f>R1352/12</f>
        <v>0</v>
      </c>
      <c r="T1357" s="227">
        <f>NPV($C$236/12,S1358:$S$1436)</f>
        <v>0</v>
      </c>
    </row>
    <row r="1358" spans="16:20" x14ac:dyDescent="0.3">
      <c r="P1358" s="310">
        <v>1110</v>
      </c>
      <c r="Q1358">
        <f t="shared" si="115"/>
        <v>0</v>
      </c>
      <c r="R1358" s="280"/>
      <c r="S1358" s="280">
        <f>R1352/12</f>
        <v>0</v>
      </c>
      <c r="T1358" s="227">
        <f>NPV($C$236/12,S1359:$S$1436)</f>
        <v>0</v>
      </c>
    </row>
    <row r="1359" spans="16:20" x14ac:dyDescent="0.3">
      <c r="P1359" s="310">
        <v>1111</v>
      </c>
      <c r="Q1359">
        <f t="shared" si="115"/>
        <v>0</v>
      </c>
      <c r="R1359" s="280"/>
      <c r="S1359" s="280">
        <f>R1352/12</f>
        <v>0</v>
      </c>
      <c r="T1359" s="227">
        <f>NPV($C$236/12,S1360:$S$1436)</f>
        <v>0</v>
      </c>
    </row>
    <row r="1360" spans="16:20" x14ac:dyDescent="0.3">
      <c r="P1360" s="310">
        <v>1112</v>
      </c>
      <c r="Q1360">
        <f t="shared" si="115"/>
        <v>0</v>
      </c>
      <c r="R1360" s="280"/>
      <c r="S1360" s="280">
        <f>R1352/12</f>
        <v>0</v>
      </c>
      <c r="T1360" s="227">
        <f>NPV($C$236/12,S1361:$S$1436)</f>
        <v>0</v>
      </c>
    </row>
    <row r="1361" spans="16:20" x14ac:dyDescent="0.3">
      <c r="P1361" s="310">
        <v>1113</v>
      </c>
      <c r="Q1361">
        <f t="shared" si="115"/>
        <v>0</v>
      </c>
      <c r="R1361" s="280"/>
      <c r="S1361" s="280">
        <f>R1352/12</f>
        <v>0</v>
      </c>
      <c r="T1361" s="227">
        <f>NPV($C$236/12,S1362:$S$1436)</f>
        <v>0</v>
      </c>
    </row>
    <row r="1362" spans="16:20" x14ac:dyDescent="0.3">
      <c r="P1362" s="310">
        <v>1114</v>
      </c>
      <c r="Q1362">
        <f t="shared" si="115"/>
        <v>0</v>
      </c>
      <c r="R1362" s="280"/>
      <c r="S1362" s="280">
        <f>R1352/12</f>
        <v>0</v>
      </c>
      <c r="T1362" s="227">
        <f>NPV($C$236/12,S1363:$S$1436)</f>
        <v>0</v>
      </c>
    </row>
    <row r="1363" spans="16:20" x14ac:dyDescent="0.3">
      <c r="P1363" s="310">
        <v>1115</v>
      </c>
      <c r="Q1363">
        <f t="shared" si="115"/>
        <v>0</v>
      </c>
      <c r="R1363" s="280"/>
      <c r="S1363" s="280">
        <f>R1352/12</f>
        <v>0</v>
      </c>
      <c r="T1363" s="227">
        <f>NPV($C$236/12,S1364:$S$1436)</f>
        <v>0</v>
      </c>
    </row>
    <row r="1364" spans="16:20" x14ac:dyDescent="0.3">
      <c r="P1364" s="310">
        <v>1116</v>
      </c>
      <c r="Q1364">
        <f t="shared" si="115"/>
        <v>94</v>
      </c>
      <c r="R1364" s="280">
        <f>LOOKUP(Q1364,$Q$243:$DK$243,$Q$244:$DK$244)</f>
        <v>0</v>
      </c>
      <c r="S1364" s="280">
        <f>R1352/12</f>
        <v>0</v>
      </c>
      <c r="T1364" s="227">
        <f>NPV($C$236/12,S1365:$S$1436)</f>
        <v>0</v>
      </c>
    </row>
    <row r="1365" spans="16:20" x14ac:dyDescent="0.3">
      <c r="P1365" s="310">
        <v>1117</v>
      </c>
      <c r="Q1365">
        <f t="shared" si="115"/>
        <v>0</v>
      </c>
      <c r="R1365" s="280"/>
      <c r="S1365" s="280">
        <f>R1364/12</f>
        <v>0</v>
      </c>
      <c r="T1365" s="227">
        <f>NPV($C$236/12,S1366:$S$1436)</f>
        <v>0</v>
      </c>
    </row>
    <row r="1366" spans="16:20" x14ac:dyDescent="0.3">
      <c r="P1366" s="310">
        <v>1118</v>
      </c>
      <c r="Q1366">
        <f t="shared" si="115"/>
        <v>0</v>
      </c>
      <c r="R1366" s="280"/>
      <c r="S1366" s="280">
        <f>R1364/12</f>
        <v>0</v>
      </c>
      <c r="T1366" s="227">
        <f>NPV($C$236/12,S1367:$S$1436)</f>
        <v>0</v>
      </c>
    </row>
    <row r="1367" spans="16:20" x14ac:dyDescent="0.3">
      <c r="P1367" s="310">
        <v>1119</v>
      </c>
      <c r="Q1367">
        <f t="shared" si="115"/>
        <v>0</v>
      </c>
      <c r="R1367" s="280"/>
      <c r="S1367" s="280">
        <f>R1364/12</f>
        <v>0</v>
      </c>
      <c r="T1367" s="227">
        <f>NPV($C$236/12,S1368:$S$1436)</f>
        <v>0</v>
      </c>
    </row>
    <row r="1368" spans="16:20" x14ac:dyDescent="0.3">
      <c r="P1368" s="310">
        <v>1120</v>
      </c>
      <c r="Q1368">
        <f t="shared" si="115"/>
        <v>0</v>
      </c>
      <c r="R1368" s="280"/>
      <c r="S1368" s="280">
        <f>R1364/12</f>
        <v>0</v>
      </c>
      <c r="T1368" s="227">
        <f>NPV($C$236/12,S1369:$S$1436)</f>
        <v>0</v>
      </c>
    </row>
    <row r="1369" spans="16:20" x14ac:dyDescent="0.3">
      <c r="P1369" s="310">
        <v>1121</v>
      </c>
      <c r="Q1369">
        <f t="shared" si="115"/>
        <v>0</v>
      </c>
      <c r="R1369" s="280"/>
      <c r="S1369" s="280">
        <f>R1364/12</f>
        <v>0</v>
      </c>
      <c r="T1369" s="227">
        <f>NPV($C$236/12,S1370:$S$1436)</f>
        <v>0</v>
      </c>
    </row>
    <row r="1370" spans="16:20" x14ac:dyDescent="0.3">
      <c r="P1370" s="310">
        <v>1122</v>
      </c>
      <c r="Q1370">
        <f t="shared" si="115"/>
        <v>0</v>
      </c>
      <c r="R1370" s="280"/>
      <c r="S1370" s="280">
        <f>R1364/12</f>
        <v>0</v>
      </c>
      <c r="T1370" s="227">
        <f>NPV($C$236/12,S1371:$S$1436)</f>
        <v>0</v>
      </c>
    </row>
    <row r="1371" spans="16:20" x14ac:dyDescent="0.3">
      <c r="P1371" s="310">
        <v>1123</v>
      </c>
      <c r="Q1371">
        <f t="shared" si="115"/>
        <v>0</v>
      </c>
      <c r="R1371" s="280"/>
      <c r="S1371" s="280">
        <f>R1364/12</f>
        <v>0</v>
      </c>
      <c r="T1371" s="227">
        <f>NPV($C$236/12,S1372:$S$1436)</f>
        <v>0</v>
      </c>
    </row>
    <row r="1372" spans="16:20" x14ac:dyDescent="0.3">
      <c r="P1372" s="310">
        <v>1124</v>
      </c>
      <c r="Q1372">
        <f t="shared" si="115"/>
        <v>0</v>
      </c>
      <c r="R1372" s="280"/>
      <c r="S1372" s="280">
        <f>R1364/12</f>
        <v>0</v>
      </c>
      <c r="T1372" s="227">
        <f>NPV($C$236/12,S1373:$S$1436)</f>
        <v>0</v>
      </c>
    </row>
    <row r="1373" spans="16:20" x14ac:dyDescent="0.3">
      <c r="P1373" s="310">
        <v>1125</v>
      </c>
      <c r="Q1373">
        <f t="shared" si="115"/>
        <v>0</v>
      </c>
      <c r="R1373" s="280"/>
      <c r="S1373" s="280">
        <f>R1364/12</f>
        <v>0</v>
      </c>
      <c r="T1373" s="227">
        <f>NPV($C$236/12,S1374:$S$1436)</f>
        <v>0</v>
      </c>
    </row>
    <row r="1374" spans="16:20" x14ac:dyDescent="0.3">
      <c r="P1374" s="310">
        <v>1126</v>
      </c>
      <c r="Q1374">
        <f t="shared" si="115"/>
        <v>0</v>
      </c>
      <c r="R1374" s="280"/>
      <c r="S1374" s="280">
        <f>R1364/12</f>
        <v>0</v>
      </c>
      <c r="T1374" s="227">
        <f>NPV($C$236/12,S1375:$S$1436)</f>
        <v>0</v>
      </c>
    </row>
    <row r="1375" spans="16:20" x14ac:dyDescent="0.3">
      <c r="P1375" s="310">
        <v>1127</v>
      </c>
      <c r="Q1375">
        <f t="shared" si="115"/>
        <v>0</v>
      </c>
      <c r="R1375" s="280"/>
      <c r="S1375" s="280">
        <f>R1364/12</f>
        <v>0</v>
      </c>
      <c r="T1375" s="227">
        <f>NPV($C$236/12,S1376:$S$1436)</f>
        <v>0</v>
      </c>
    </row>
    <row r="1376" spans="16:20" x14ac:dyDescent="0.3">
      <c r="P1376" s="310">
        <v>1128</v>
      </c>
      <c r="Q1376">
        <f t="shared" si="115"/>
        <v>95</v>
      </c>
      <c r="R1376" s="280">
        <f>LOOKUP(Q1376,$Q$243:$DK$243,$Q$244:$DK$244)</f>
        <v>0</v>
      </c>
      <c r="S1376" s="280">
        <f>R1364/12</f>
        <v>0</v>
      </c>
      <c r="T1376" s="227">
        <f>NPV($C$236/12,S1377:$S$1436)</f>
        <v>0</v>
      </c>
    </row>
    <row r="1377" spans="16:20" x14ac:dyDescent="0.3">
      <c r="P1377" s="310">
        <v>1129</v>
      </c>
      <c r="Q1377">
        <f t="shared" si="115"/>
        <v>0</v>
      </c>
      <c r="R1377" s="280"/>
      <c r="S1377" s="280">
        <f>R1376/12</f>
        <v>0</v>
      </c>
      <c r="T1377" s="227">
        <f>NPV($C$236/12,S1378:$S$1436)</f>
        <v>0</v>
      </c>
    </row>
    <row r="1378" spans="16:20" x14ac:dyDescent="0.3">
      <c r="P1378" s="310">
        <v>1130</v>
      </c>
      <c r="Q1378">
        <f t="shared" si="115"/>
        <v>0</v>
      </c>
      <c r="R1378" s="280"/>
      <c r="S1378" s="280">
        <f>R1376/12</f>
        <v>0</v>
      </c>
      <c r="T1378" s="227">
        <f>NPV($C$236/12,S1379:$S$1436)</f>
        <v>0</v>
      </c>
    </row>
    <row r="1379" spans="16:20" x14ac:dyDescent="0.3">
      <c r="P1379" s="310">
        <v>1131</v>
      </c>
      <c r="Q1379">
        <f t="shared" si="115"/>
        <v>0</v>
      </c>
      <c r="R1379" s="280"/>
      <c r="S1379" s="280">
        <f>R1376/12</f>
        <v>0</v>
      </c>
      <c r="T1379" s="227">
        <f>NPV($C$236/12,S1380:$S$1436)</f>
        <v>0</v>
      </c>
    </row>
    <row r="1380" spans="16:20" x14ac:dyDescent="0.3">
      <c r="P1380" s="310">
        <v>1132</v>
      </c>
      <c r="Q1380">
        <f t="shared" si="115"/>
        <v>0</v>
      </c>
      <c r="R1380" s="280"/>
      <c r="S1380" s="280">
        <f>R1376/12</f>
        <v>0</v>
      </c>
      <c r="T1380" s="227">
        <f>NPV($C$236/12,S1381:$S$1436)</f>
        <v>0</v>
      </c>
    </row>
    <row r="1381" spans="16:20" x14ac:dyDescent="0.3">
      <c r="P1381" s="310">
        <v>1133</v>
      </c>
      <c r="Q1381">
        <f t="shared" si="115"/>
        <v>0</v>
      </c>
      <c r="R1381" s="280"/>
      <c r="S1381" s="280">
        <f>R1376/12</f>
        <v>0</v>
      </c>
      <c r="T1381" s="227">
        <f>NPV($C$236/12,S1382:$S$1436)</f>
        <v>0</v>
      </c>
    </row>
    <row r="1382" spans="16:20" x14ac:dyDescent="0.3">
      <c r="P1382" s="310">
        <v>1134</v>
      </c>
      <c r="Q1382">
        <f t="shared" si="115"/>
        <v>0</v>
      </c>
      <c r="R1382" s="280"/>
      <c r="S1382" s="280">
        <f>R1376/12</f>
        <v>0</v>
      </c>
      <c r="T1382" s="227">
        <f>NPV($C$236/12,S1383:$S$1436)</f>
        <v>0</v>
      </c>
    </row>
    <row r="1383" spans="16:20" x14ac:dyDescent="0.3">
      <c r="P1383" s="310">
        <v>1135</v>
      </c>
      <c r="Q1383">
        <f t="shared" si="115"/>
        <v>0</v>
      </c>
      <c r="R1383" s="280"/>
      <c r="S1383" s="280">
        <f>R1376/12</f>
        <v>0</v>
      </c>
      <c r="T1383" s="227">
        <f>NPV($C$236/12,S1384:$S$1436)</f>
        <v>0</v>
      </c>
    </row>
    <row r="1384" spans="16:20" x14ac:dyDescent="0.3">
      <c r="P1384" s="310">
        <v>1136</v>
      </c>
      <c r="Q1384">
        <f t="shared" si="115"/>
        <v>0</v>
      </c>
      <c r="R1384" s="280"/>
      <c r="S1384" s="280">
        <f>R1376/12</f>
        <v>0</v>
      </c>
      <c r="T1384" s="227">
        <f>NPV($C$236/12,S1385:$S$1436)</f>
        <v>0</v>
      </c>
    </row>
    <row r="1385" spans="16:20" x14ac:dyDescent="0.3">
      <c r="P1385" s="310">
        <v>1137</v>
      </c>
      <c r="Q1385">
        <f t="shared" si="115"/>
        <v>0</v>
      </c>
      <c r="R1385" s="280"/>
      <c r="S1385" s="280">
        <f>R1376/12</f>
        <v>0</v>
      </c>
      <c r="T1385" s="227">
        <f>NPV($C$236/12,S1386:$S$1436)</f>
        <v>0</v>
      </c>
    </row>
    <row r="1386" spans="16:20" x14ac:dyDescent="0.3">
      <c r="P1386" s="310">
        <v>1138</v>
      </c>
      <c r="Q1386">
        <f t="shared" si="115"/>
        <v>0</v>
      </c>
      <c r="R1386" s="280"/>
      <c r="S1386" s="280">
        <f>R1376/12</f>
        <v>0</v>
      </c>
      <c r="T1386" s="227">
        <f>NPV($C$236/12,S1387:$S$1436)</f>
        <v>0</v>
      </c>
    </row>
    <row r="1387" spans="16:20" x14ac:dyDescent="0.3">
      <c r="P1387" s="310">
        <v>1139</v>
      </c>
      <c r="Q1387">
        <f t="shared" si="115"/>
        <v>0</v>
      </c>
      <c r="R1387" s="280"/>
      <c r="S1387" s="280">
        <f>R1376/12</f>
        <v>0</v>
      </c>
      <c r="T1387" s="227">
        <f>NPV($C$236/12,S1388:$S$1436)</f>
        <v>0</v>
      </c>
    </row>
    <row r="1388" spans="16:20" x14ac:dyDescent="0.3">
      <c r="P1388" s="310">
        <v>1140</v>
      </c>
      <c r="Q1388">
        <f t="shared" si="115"/>
        <v>96</v>
      </c>
      <c r="R1388" s="280">
        <f>LOOKUP(Q1388,$Q$243:$DK$243,$Q$244:$DK$244)</f>
        <v>0</v>
      </c>
      <c r="S1388" s="280">
        <f>R1376/12</f>
        <v>0</v>
      </c>
      <c r="T1388" s="227">
        <f>NPV($C$236/12,S1389:$S$1436)</f>
        <v>0</v>
      </c>
    </row>
    <row r="1389" spans="16:20" x14ac:dyDescent="0.3">
      <c r="P1389" s="310">
        <v>1141</v>
      </c>
      <c r="Q1389">
        <f t="shared" si="115"/>
        <v>0</v>
      </c>
      <c r="R1389" s="280"/>
      <c r="S1389" s="280">
        <f>R1388/12</f>
        <v>0</v>
      </c>
      <c r="T1389" s="227">
        <f>NPV($C$236/12,S1390:$S$1436)</f>
        <v>0</v>
      </c>
    </row>
    <row r="1390" spans="16:20" x14ac:dyDescent="0.3">
      <c r="P1390" s="310">
        <v>1142</v>
      </c>
      <c r="Q1390">
        <f t="shared" si="115"/>
        <v>0</v>
      </c>
      <c r="R1390" s="280"/>
      <c r="S1390" s="280">
        <f>R1388/12</f>
        <v>0</v>
      </c>
      <c r="T1390" s="227">
        <f>NPV($C$236/12,S1391:$S$1436)</f>
        <v>0</v>
      </c>
    </row>
    <row r="1391" spans="16:20" x14ac:dyDescent="0.3">
      <c r="P1391" s="310">
        <v>1143</v>
      </c>
      <c r="Q1391">
        <f t="shared" si="115"/>
        <v>0</v>
      </c>
      <c r="R1391" s="280"/>
      <c r="S1391" s="280">
        <f>R1388/12</f>
        <v>0</v>
      </c>
      <c r="T1391" s="227">
        <f>NPV($C$236/12,S1392:$S$1436)</f>
        <v>0</v>
      </c>
    </row>
    <row r="1392" spans="16:20" x14ac:dyDescent="0.3">
      <c r="P1392" s="310">
        <v>1144</v>
      </c>
      <c r="Q1392">
        <f t="shared" si="115"/>
        <v>0</v>
      </c>
      <c r="R1392" s="280"/>
      <c r="S1392" s="280">
        <f>R1388/12</f>
        <v>0</v>
      </c>
      <c r="T1392" s="227">
        <f>NPV($C$236/12,S1393:$S$1436)</f>
        <v>0</v>
      </c>
    </row>
    <row r="1393" spans="16:20" x14ac:dyDescent="0.3">
      <c r="P1393" s="310">
        <v>1145</v>
      </c>
      <c r="Q1393">
        <f t="shared" si="115"/>
        <v>0</v>
      </c>
      <c r="R1393" s="280"/>
      <c r="S1393" s="280">
        <f>R1388/12</f>
        <v>0</v>
      </c>
      <c r="T1393" s="227">
        <f>NPV($C$236/12,S1394:$S$1436)</f>
        <v>0</v>
      </c>
    </row>
    <row r="1394" spans="16:20" x14ac:dyDescent="0.3">
      <c r="P1394" s="310">
        <v>1146</v>
      </c>
      <c r="Q1394">
        <f t="shared" si="115"/>
        <v>0</v>
      </c>
      <c r="R1394" s="280"/>
      <c r="S1394" s="280">
        <f>R1388/12</f>
        <v>0</v>
      </c>
      <c r="T1394" s="227">
        <f>NPV($C$236/12,S1395:$S$1436)</f>
        <v>0</v>
      </c>
    </row>
    <row r="1395" spans="16:20" x14ac:dyDescent="0.3">
      <c r="P1395" s="310">
        <v>1147</v>
      </c>
      <c r="Q1395">
        <f t="shared" si="115"/>
        <v>0</v>
      </c>
      <c r="R1395" s="280"/>
      <c r="S1395" s="280">
        <f>R1388/12</f>
        <v>0</v>
      </c>
      <c r="T1395" s="227">
        <f>NPV($C$236/12,S1396:$S$1436)</f>
        <v>0</v>
      </c>
    </row>
    <row r="1396" spans="16:20" x14ac:dyDescent="0.3">
      <c r="P1396" s="310">
        <v>1148</v>
      </c>
      <c r="Q1396">
        <f t="shared" si="115"/>
        <v>0</v>
      </c>
      <c r="R1396" s="280"/>
      <c r="S1396" s="280">
        <f>R1388/12</f>
        <v>0</v>
      </c>
      <c r="T1396" s="227">
        <f>NPV($C$236/12,S1397:$S$1436)</f>
        <v>0</v>
      </c>
    </row>
    <row r="1397" spans="16:20" x14ac:dyDescent="0.3">
      <c r="P1397" s="310">
        <v>1149</v>
      </c>
      <c r="Q1397">
        <f t="shared" si="115"/>
        <v>0</v>
      </c>
      <c r="R1397" s="280"/>
      <c r="S1397" s="280">
        <f>R1388/12</f>
        <v>0</v>
      </c>
      <c r="T1397" s="227">
        <f>NPV($C$236/12,S1398:$S$1436)</f>
        <v>0</v>
      </c>
    </row>
    <row r="1398" spans="16:20" x14ac:dyDescent="0.3">
      <c r="P1398" s="310">
        <v>1150</v>
      </c>
      <c r="Q1398">
        <f t="shared" si="115"/>
        <v>0</v>
      </c>
      <c r="R1398" s="280"/>
      <c r="S1398" s="280">
        <f>R1388/12</f>
        <v>0</v>
      </c>
      <c r="T1398" s="227">
        <f>NPV($C$236/12,S1399:$S$1436)</f>
        <v>0</v>
      </c>
    </row>
    <row r="1399" spans="16:20" x14ac:dyDescent="0.3">
      <c r="P1399" s="310">
        <v>1151</v>
      </c>
      <c r="Q1399">
        <f t="shared" si="115"/>
        <v>0</v>
      </c>
      <c r="R1399" s="280"/>
      <c r="S1399" s="280">
        <f>R1388/12</f>
        <v>0</v>
      </c>
      <c r="T1399" s="227">
        <f>NPV($C$236/12,S1400:$S$1436)</f>
        <v>0</v>
      </c>
    </row>
    <row r="1400" spans="16:20" x14ac:dyDescent="0.3">
      <c r="P1400" s="310">
        <v>1152</v>
      </c>
      <c r="Q1400">
        <f t="shared" si="115"/>
        <v>97</v>
      </c>
      <c r="R1400" s="280">
        <f>LOOKUP(Q1400,$Q$243:$DK$243,$Q$244:$DK$244)</f>
        <v>0</v>
      </c>
      <c r="S1400" s="280">
        <f>R1388/12</f>
        <v>0</v>
      </c>
      <c r="T1400" s="227">
        <f>NPV($C$236/12,S1401:$S$1436)</f>
        <v>0</v>
      </c>
    </row>
    <row r="1401" spans="16:20" x14ac:dyDescent="0.3">
      <c r="P1401" s="310">
        <v>1153</v>
      </c>
      <c r="Q1401">
        <f t="shared" ref="Q1401:Q1436" si="116">IF(MOD(P1401,12)=0,(P1401/12)+1,0)</f>
        <v>0</v>
      </c>
      <c r="R1401" s="280"/>
      <c r="S1401" s="280">
        <f>R1400/12</f>
        <v>0</v>
      </c>
      <c r="T1401" s="227">
        <f>NPV($C$236/12,S1402:$S$1436)</f>
        <v>0</v>
      </c>
    </row>
    <row r="1402" spans="16:20" x14ac:dyDescent="0.3">
      <c r="P1402" s="310">
        <v>1154</v>
      </c>
      <c r="Q1402">
        <f t="shared" si="116"/>
        <v>0</v>
      </c>
      <c r="R1402" s="280"/>
      <c r="S1402" s="280">
        <f>R1400/12</f>
        <v>0</v>
      </c>
      <c r="T1402" s="227">
        <f>NPV($C$236/12,S1403:$S$1436)</f>
        <v>0</v>
      </c>
    </row>
    <row r="1403" spans="16:20" x14ac:dyDescent="0.3">
      <c r="P1403" s="310">
        <v>1155</v>
      </c>
      <c r="Q1403">
        <f t="shared" si="116"/>
        <v>0</v>
      </c>
      <c r="R1403" s="280"/>
      <c r="S1403" s="280">
        <f>R1400/12</f>
        <v>0</v>
      </c>
      <c r="T1403" s="227">
        <f>NPV($C$236/12,S1404:$S$1436)</f>
        <v>0</v>
      </c>
    </row>
    <row r="1404" spans="16:20" x14ac:dyDescent="0.3">
      <c r="P1404" s="310">
        <v>1156</v>
      </c>
      <c r="Q1404">
        <f t="shared" si="116"/>
        <v>0</v>
      </c>
      <c r="R1404" s="280"/>
      <c r="S1404" s="280">
        <f>R1400/12</f>
        <v>0</v>
      </c>
      <c r="T1404" s="227">
        <f>NPV($C$236/12,S1405:$S$1436)</f>
        <v>0</v>
      </c>
    </row>
    <row r="1405" spans="16:20" x14ac:dyDescent="0.3">
      <c r="P1405" s="310">
        <v>1157</v>
      </c>
      <c r="Q1405">
        <f t="shared" si="116"/>
        <v>0</v>
      </c>
      <c r="R1405" s="280"/>
      <c r="S1405" s="280">
        <f>R1400/12</f>
        <v>0</v>
      </c>
      <c r="T1405" s="227">
        <f>NPV($C$236/12,S1406:$S$1436)</f>
        <v>0</v>
      </c>
    </row>
    <row r="1406" spans="16:20" x14ac:dyDescent="0.3">
      <c r="P1406" s="310">
        <v>1158</v>
      </c>
      <c r="Q1406">
        <f t="shared" si="116"/>
        <v>0</v>
      </c>
      <c r="R1406" s="280"/>
      <c r="S1406" s="280">
        <f>R1400/12</f>
        <v>0</v>
      </c>
      <c r="T1406" s="227">
        <f>NPV($C$236/12,S1407:$S$1436)</f>
        <v>0</v>
      </c>
    </row>
    <row r="1407" spans="16:20" x14ac:dyDescent="0.3">
      <c r="P1407" s="310">
        <v>1159</v>
      </c>
      <c r="Q1407">
        <f t="shared" si="116"/>
        <v>0</v>
      </c>
      <c r="R1407" s="280"/>
      <c r="S1407" s="280">
        <f>R1400/12</f>
        <v>0</v>
      </c>
      <c r="T1407" s="227">
        <f>NPV($C$236/12,S1408:$S$1436)</f>
        <v>0</v>
      </c>
    </row>
    <row r="1408" spans="16:20" x14ac:dyDescent="0.3">
      <c r="P1408" s="310">
        <v>1160</v>
      </c>
      <c r="Q1408">
        <f t="shared" si="116"/>
        <v>0</v>
      </c>
      <c r="R1408" s="280"/>
      <c r="S1408" s="280">
        <f>R1400/12</f>
        <v>0</v>
      </c>
      <c r="T1408" s="227">
        <f>NPV($C$236/12,S1409:$S$1436)</f>
        <v>0</v>
      </c>
    </row>
    <row r="1409" spans="16:20" x14ac:dyDescent="0.3">
      <c r="P1409" s="310">
        <v>1161</v>
      </c>
      <c r="Q1409">
        <f t="shared" si="116"/>
        <v>0</v>
      </c>
      <c r="R1409" s="280"/>
      <c r="S1409" s="280">
        <f>R1400/12</f>
        <v>0</v>
      </c>
      <c r="T1409" s="227">
        <f>NPV($C$236/12,S1410:$S$1436)</f>
        <v>0</v>
      </c>
    </row>
    <row r="1410" spans="16:20" x14ac:dyDescent="0.3">
      <c r="P1410" s="310">
        <v>1162</v>
      </c>
      <c r="Q1410">
        <f t="shared" si="116"/>
        <v>0</v>
      </c>
      <c r="R1410" s="280"/>
      <c r="S1410" s="280">
        <f>R1400/12</f>
        <v>0</v>
      </c>
      <c r="T1410" s="227">
        <f>NPV($C$236/12,S1411:$S$1436)</f>
        <v>0</v>
      </c>
    </row>
    <row r="1411" spans="16:20" x14ac:dyDescent="0.3">
      <c r="P1411" s="310">
        <v>1163</v>
      </c>
      <c r="Q1411">
        <f t="shared" si="116"/>
        <v>0</v>
      </c>
      <c r="R1411" s="280"/>
      <c r="S1411" s="280">
        <f>R1400/12</f>
        <v>0</v>
      </c>
      <c r="T1411" s="227">
        <f>NPV($C$236/12,S1412:$S$1436)</f>
        <v>0</v>
      </c>
    </row>
    <row r="1412" spans="16:20" x14ac:dyDescent="0.3">
      <c r="P1412" s="310">
        <v>1164</v>
      </c>
      <c r="Q1412">
        <f t="shared" si="116"/>
        <v>98</v>
      </c>
      <c r="R1412" s="280">
        <f>LOOKUP(Q1412,$Q$243:$DK$243,$Q$244:$DK$244)</f>
        <v>0</v>
      </c>
      <c r="S1412" s="280">
        <f>R1400/12</f>
        <v>0</v>
      </c>
      <c r="T1412" s="227">
        <f>NPV($C$236/12,S1413:$S$1436)</f>
        <v>0</v>
      </c>
    </row>
    <row r="1413" spans="16:20" x14ac:dyDescent="0.3">
      <c r="P1413" s="310">
        <v>1165</v>
      </c>
      <c r="Q1413">
        <f t="shared" si="116"/>
        <v>0</v>
      </c>
      <c r="R1413" s="280"/>
      <c r="S1413" s="280">
        <f>R1412/12</f>
        <v>0</v>
      </c>
      <c r="T1413" s="227">
        <f>NPV($C$236/12,S1414:$S$1436)</f>
        <v>0</v>
      </c>
    </row>
    <row r="1414" spans="16:20" x14ac:dyDescent="0.3">
      <c r="P1414" s="310">
        <v>1166</v>
      </c>
      <c r="Q1414">
        <f t="shared" si="116"/>
        <v>0</v>
      </c>
      <c r="R1414" s="280"/>
      <c r="S1414" s="280">
        <f>R1412/12</f>
        <v>0</v>
      </c>
      <c r="T1414" s="227">
        <f>NPV($C$236/12,S1415:$S$1436)</f>
        <v>0</v>
      </c>
    </row>
    <row r="1415" spans="16:20" x14ac:dyDescent="0.3">
      <c r="P1415" s="310">
        <v>1167</v>
      </c>
      <c r="Q1415">
        <f t="shared" si="116"/>
        <v>0</v>
      </c>
      <c r="R1415" s="280"/>
      <c r="S1415" s="280">
        <f>R1412/12</f>
        <v>0</v>
      </c>
      <c r="T1415" s="227">
        <f>NPV($C$236/12,S1416:$S$1436)</f>
        <v>0</v>
      </c>
    </row>
    <row r="1416" spans="16:20" x14ac:dyDescent="0.3">
      <c r="P1416" s="310">
        <v>1168</v>
      </c>
      <c r="Q1416">
        <f t="shared" si="116"/>
        <v>0</v>
      </c>
      <c r="R1416" s="280"/>
      <c r="S1416" s="280">
        <f>R1412/12</f>
        <v>0</v>
      </c>
      <c r="T1416" s="227">
        <f>NPV($C$236/12,S1417:$S$1436)</f>
        <v>0</v>
      </c>
    </row>
    <row r="1417" spans="16:20" x14ac:dyDescent="0.3">
      <c r="P1417" s="310">
        <v>1169</v>
      </c>
      <c r="Q1417">
        <f t="shared" si="116"/>
        <v>0</v>
      </c>
      <c r="R1417" s="280"/>
      <c r="S1417" s="280">
        <f>R1412/12</f>
        <v>0</v>
      </c>
      <c r="T1417" s="227">
        <f>NPV($C$236/12,S1418:$S$1436)</f>
        <v>0</v>
      </c>
    </row>
    <row r="1418" spans="16:20" x14ac:dyDescent="0.3">
      <c r="P1418" s="310">
        <v>1170</v>
      </c>
      <c r="Q1418">
        <f t="shared" si="116"/>
        <v>0</v>
      </c>
      <c r="R1418" s="280"/>
      <c r="S1418" s="280">
        <f>R1412/12</f>
        <v>0</v>
      </c>
      <c r="T1418" s="227">
        <f>NPV($C$236/12,S1419:$S$1436)</f>
        <v>0</v>
      </c>
    </row>
    <row r="1419" spans="16:20" x14ac:dyDescent="0.3">
      <c r="P1419" s="310">
        <v>1171</v>
      </c>
      <c r="Q1419">
        <f t="shared" si="116"/>
        <v>0</v>
      </c>
      <c r="R1419" s="280"/>
      <c r="S1419" s="280">
        <f>R1412/12</f>
        <v>0</v>
      </c>
      <c r="T1419" s="227">
        <f>NPV($C$236/12,S1420:$S$1436)</f>
        <v>0</v>
      </c>
    </row>
    <row r="1420" spans="16:20" x14ac:dyDescent="0.3">
      <c r="P1420" s="310">
        <v>1172</v>
      </c>
      <c r="Q1420">
        <f t="shared" si="116"/>
        <v>0</v>
      </c>
      <c r="R1420" s="280"/>
      <c r="S1420" s="280">
        <f>R1412/12</f>
        <v>0</v>
      </c>
      <c r="T1420" s="227">
        <f>NPV($C$236/12,S1421:$S$1436)</f>
        <v>0</v>
      </c>
    </row>
    <row r="1421" spans="16:20" x14ac:dyDescent="0.3">
      <c r="P1421" s="310">
        <v>1173</v>
      </c>
      <c r="Q1421">
        <f t="shared" si="116"/>
        <v>0</v>
      </c>
      <c r="R1421" s="280"/>
      <c r="S1421" s="280">
        <f>R1412/12</f>
        <v>0</v>
      </c>
      <c r="T1421" s="227">
        <f>NPV($C$236/12,S1422:$S$1436)</f>
        <v>0</v>
      </c>
    </row>
    <row r="1422" spans="16:20" x14ac:dyDescent="0.3">
      <c r="P1422" s="310">
        <v>1174</v>
      </c>
      <c r="Q1422">
        <f t="shared" si="116"/>
        <v>0</v>
      </c>
      <c r="R1422" s="280"/>
      <c r="S1422" s="280">
        <f>R1412/12</f>
        <v>0</v>
      </c>
      <c r="T1422" s="227">
        <f>NPV($C$236/12,S1423:$S$1436)</f>
        <v>0</v>
      </c>
    </row>
    <row r="1423" spans="16:20" x14ac:dyDescent="0.3">
      <c r="P1423" s="310">
        <v>1175</v>
      </c>
      <c r="Q1423">
        <f t="shared" si="116"/>
        <v>0</v>
      </c>
      <c r="R1423" s="280"/>
      <c r="S1423" s="280">
        <f>R1412/12</f>
        <v>0</v>
      </c>
      <c r="T1423" s="227">
        <f>NPV($C$236/12,S1424:$S$1436)</f>
        <v>0</v>
      </c>
    </row>
    <row r="1424" spans="16:20" x14ac:dyDescent="0.3">
      <c r="P1424" s="310">
        <v>1176</v>
      </c>
      <c r="Q1424">
        <f t="shared" si="116"/>
        <v>99</v>
      </c>
      <c r="R1424" s="280">
        <f>LOOKUP(Q1424,$Q$243:$DK$243,$Q$244:$DK$244)</f>
        <v>0</v>
      </c>
      <c r="S1424" s="280">
        <f>R1412/12</f>
        <v>0</v>
      </c>
      <c r="T1424" s="227">
        <f>NPV($C$236/12,S1425:$S$1436)</f>
        <v>0</v>
      </c>
    </row>
    <row r="1425" spans="16:20" x14ac:dyDescent="0.3">
      <c r="P1425" s="310">
        <v>1177</v>
      </c>
      <c r="Q1425">
        <f t="shared" si="116"/>
        <v>0</v>
      </c>
      <c r="R1425" s="280"/>
      <c r="S1425" s="280">
        <f>R1424/12</f>
        <v>0</v>
      </c>
      <c r="T1425" s="227">
        <f>NPV($C$236/12,S1426:$S$1436)</f>
        <v>0</v>
      </c>
    </row>
    <row r="1426" spans="16:20" x14ac:dyDescent="0.3">
      <c r="P1426" s="310">
        <v>1178</v>
      </c>
      <c r="Q1426">
        <f t="shared" si="116"/>
        <v>0</v>
      </c>
      <c r="R1426" s="280"/>
      <c r="S1426" s="280">
        <f>R1424/12</f>
        <v>0</v>
      </c>
      <c r="T1426" s="227">
        <f>NPV($C$236/12,S1427:$S$1436)</f>
        <v>0</v>
      </c>
    </row>
    <row r="1427" spans="16:20" x14ac:dyDescent="0.3">
      <c r="P1427" s="310">
        <v>1179</v>
      </c>
      <c r="Q1427">
        <f t="shared" si="116"/>
        <v>0</v>
      </c>
      <c r="R1427" s="280"/>
      <c r="S1427" s="280">
        <f>R1424/12</f>
        <v>0</v>
      </c>
      <c r="T1427" s="227">
        <f>NPV($C$236/12,S1428:$S$1436)</f>
        <v>0</v>
      </c>
    </row>
    <row r="1428" spans="16:20" x14ac:dyDescent="0.3">
      <c r="P1428" s="310">
        <v>1180</v>
      </c>
      <c r="Q1428">
        <f t="shared" si="116"/>
        <v>0</v>
      </c>
      <c r="R1428" s="280"/>
      <c r="S1428" s="280">
        <f>R1424/12</f>
        <v>0</v>
      </c>
      <c r="T1428" s="227">
        <f>NPV($C$236/12,S1429:$S$1436)</f>
        <v>0</v>
      </c>
    </row>
    <row r="1429" spans="16:20" x14ac:dyDescent="0.3">
      <c r="P1429" s="310">
        <v>1181</v>
      </c>
      <c r="Q1429">
        <f t="shared" si="116"/>
        <v>0</v>
      </c>
      <c r="R1429" s="280"/>
      <c r="S1429" s="280">
        <f>R1424/12</f>
        <v>0</v>
      </c>
      <c r="T1429" s="227">
        <f>NPV($C$236/12,S1430:$S$1436)</f>
        <v>0</v>
      </c>
    </row>
    <row r="1430" spans="16:20" x14ac:dyDescent="0.3">
      <c r="P1430" s="310">
        <v>1182</v>
      </c>
      <c r="Q1430">
        <f t="shared" si="116"/>
        <v>0</v>
      </c>
      <c r="R1430" s="280"/>
      <c r="S1430" s="280">
        <f>R1424/12</f>
        <v>0</v>
      </c>
      <c r="T1430" s="227">
        <f>NPV($C$236/12,S1431:$S$1436)</f>
        <v>0</v>
      </c>
    </row>
    <row r="1431" spans="16:20" x14ac:dyDescent="0.3">
      <c r="P1431" s="310">
        <v>1183</v>
      </c>
      <c r="Q1431">
        <f t="shared" si="116"/>
        <v>0</v>
      </c>
      <c r="R1431" s="280"/>
      <c r="S1431" s="280">
        <f>R1424/12</f>
        <v>0</v>
      </c>
      <c r="T1431" s="227">
        <f>NPV($C$236/12,S1432:$S$1436)</f>
        <v>0</v>
      </c>
    </row>
    <row r="1432" spans="16:20" x14ac:dyDescent="0.3">
      <c r="P1432" s="310">
        <v>1184</v>
      </c>
      <c r="Q1432">
        <f t="shared" si="116"/>
        <v>0</v>
      </c>
      <c r="R1432" s="280"/>
      <c r="S1432" s="280">
        <f>R1424/12</f>
        <v>0</v>
      </c>
      <c r="T1432" s="227">
        <f>NPV($C$236/12,S1433:$S$1436)</f>
        <v>0</v>
      </c>
    </row>
    <row r="1433" spans="16:20" x14ac:dyDescent="0.3">
      <c r="P1433" s="310">
        <v>1185</v>
      </c>
      <c r="Q1433">
        <f t="shared" si="116"/>
        <v>0</v>
      </c>
      <c r="R1433" s="280"/>
      <c r="S1433" s="280">
        <f>R1424/12</f>
        <v>0</v>
      </c>
      <c r="T1433" s="227">
        <f>NPV($C$236/12,S1434:$S$1436)</f>
        <v>0</v>
      </c>
    </row>
    <row r="1434" spans="16:20" x14ac:dyDescent="0.3">
      <c r="P1434" s="310">
        <v>1186</v>
      </c>
      <c r="Q1434">
        <f t="shared" si="116"/>
        <v>0</v>
      </c>
      <c r="R1434" s="280"/>
      <c r="S1434" s="280">
        <f>R1424/12</f>
        <v>0</v>
      </c>
      <c r="T1434" s="227">
        <f>NPV($C$236/12,S1435:$S$1436)</f>
        <v>0</v>
      </c>
    </row>
    <row r="1435" spans="16:20" x14ac:dyDescent="0.3">
      <c r="P1435" s="310">
        <v>1187</v>
      </c>
      <c r="Q1435">
        <f t="shared" si="116"/>
        <v>0</v>
      </c>
      <c r="R1435" s="280"/>
      <c r="S1435" s="280">
        <f>R1424/12</f>
        <v>0</v>
      </c>
      <c r="T1435" s="227">
        <f>NPV($C$236/12,S1436:$S$1436)</f>
        <v>0</v>
      </c>
    </row>
    <row r="1436" spans="16:20" x14ac:dyDescent="0.3">
      <c r="P1436" s="310">
        <v>1188</v>
      </c>
      <c r="Q1436">
        <f t="shared" si="116"/>
        <v>100</v>
      </c>
      <c r="R1436" s="280">
        <f>LOOKUP(Q1436,$Q$243:$DK$243,$Q$244:$DK$244)</f>
        <v>0</v>
      </c>
      <c r="S1436" s="280">
        <f>R1424/12</f>
        <v>0</v>
      </c>
      <c r="T1436" s="227">
        <f>NPV($C$236/12,S$1436:$S1437)</f>
        <v>0</v>
      </c>
    </row>
  </sheetData>
  <sheetProtection algorithmName="SHA-512" hashValue="P2xKRZbpkrkdUSlRXthMbw6KnjjfWqF5bj5v1N7VmcnvfT6IGgTGBwQ5TJTBQGuX0S/ityyDNbP+Wp+JA4TxwQ==" saltValue="bydJSxWdYUHf3Tzm0PZrKw==" spinCount="100000" sheet="1" objects="1" scenarios="1"/>
  <sortState xmlns:xlrd2="http://schemas.microsoft.com/office/spreadsheetml/2017/richdata2" ref="P208:P214">
    <sortCondition ref="P206"/>
  </sortState>
  <mergeCells count="37">
    <mergeCell ref="A119:B119"/>
    <mergeCell ref="A120:B120"/>
    <mergeCell ref="A121:B121"/>
    <mergeCell ref="A88:C88"/>
    <mergeCell ref="A89:C89"/>
    <mergeCell ref="A90:C90"/>
    <mergeCell ref="A91:C91"/>
    <mergeCell ref="F180:I180"/>
    <mergeCell ref="A122:B122"/>
    <mergeCell ref="A129:B129"/>
    <mergeCell ref="C115:D115"/>
    <mergeCell ref="F171:G171"/>
    <mergeCell ref="F161:L161"/>
    <mergeCell ref="F162:L162"/>
    <mergeCell ref="F163:L163"/>
    <mergeCell ref="F164:L164"/>
    <mergeCell ref="F160:L160"/>
    <mergeCell ref="A117:B117"/>
    <mergeCell ref="A118:B118"/>
    <mergeCell ref="F158:L158"/>
    <mergeCell ref="I115:J115"/>
    <mergeCell ref="F115:G115"/>
    <mergeCell ref="L115:M115"/>
    <mergeCell ref="A75:B75"/>
    <mergeCell ref="A77:B77"/>
    <mergeCell ref="A76:B76"/>
    <mergeCell ref="A1:M1"/>
    <mergeCell ref="A49:B49"/>
    <mergeCell ref="A50:B50"/>
    <mergeCell ref="A51:B51"/>
    <mergeCell ref="A74:B74"/>
    <mergeCell ref="A57:C57"/>
    <mergeCell ref="A58:C58"/>
    <mergeCell ref="A59:C59"/>
    <mergeCell ref="D2:J2"/>
    <mergeCell ref="A60:C60"/>
    <mergeCell ref="A52:B52"/>
  </mergeCells>
  <conditionalFormatting sqref="H9">
    <cfRule type="expression" dxfId="234" priority="90">
      <formula>$G$9="No"</formula>
    </cfRule>
  </conditionalFormatting>
  <conditionalFormatting sqref="K9 M8">
    <cfRule type="expression" dxfId="233" priority="80">
      <formula>$K$8=0</formula>
    </cfRule>
  </conditionalFormatting>
  <conditionalFormatting sqref="H8">
    <cfRule type="expression" dxfId="232" priority="70">
      <formula>$G$8="No"</formula>
    </cfRule>
  </conditionalFormatting>
  <conditionalFormatting sqref="F226:H226">
    <cfRule type="expression" dxfId="231" priority="50">
      <formula>$H$225="No"</formula>
    </cfRule>
  </conditionalFormatting>
  <conditionalFormatting sqref="F229:H230">
    <cfRule type="expression" dxfId="230" priority="48">
      <formula>$H$228="No"</formula>
    </cfRule>
  </conditionalFormatting>
  <conditionalFormatting sqref="L117:L121">
    <cfRule type="expression" dxfId="229" priority="34">
      <formula>$L$117=0</formula>
    </cfRule>
  </conditionalFormatting>
  <conditionalFormatting sqref="F136:L151 F154:L157 F159:L165 F158 F153:J153 L152:L153">
    <cfRule type="expression" dxfId="228" priority="320">
      <formula>$L$119&gt;0</formula>
    </cfRule>
  </conditionalFormatting>
  <conditionalFormatting sqref="A222:B222 D222 D240 A240:B240">
    <cfRule type="expression" dxfId="227" priority="321">
      <formula>$L$120&gt;0</formula>
    </cfRule>
  </conditionalFormatting>
  <conditionalFormatting sqref="A136:E162 D135:E135">
    <cfRule type="expression" dxfId="226" priority="14">
      <formula>$L$117&gt;0</formula>
    </cfRule>
  </conditionalFormatting>
  <conditionalFormatting sqref="A168:E188 D167:E167">
    <cfRule type="expression" dxfId="225" priority="13">
      <formula>$L$118&gt;0</formula>
    </cfRule>
  </conditionalFormatting>
  <conditionalFormatting sqref="J168:M177 L167:M167">
    <cfRule type="expression" dxfId="224" priority="12">
      <formula>$L$121&gt;0</formula>
    </cfRule>
  </conditionalFormatting>
  <conditionalFormatting sqref="A194:M221">
    <cfRule type="expression" dxfId="223" priority="11">
      <formula>$L$120&gt;0</formula>
    </cfRule>
  </conditionalFormatting>
  <conditionalFormatting sqref="K152">
    <cfRule type="expression" dxfId="222" priority="8">
      <formula>$L$119&gt;0</formula>
    </cfRule>
  </conditionalFormatting>
  <conditionalFormatting sqref="F152:J152">
    <cfRule type="expression" dxfId="221" priority="10">
      <formula>$L$119&gt;0</formula>
    </cfRule>
  </conditionalFormatting>
  <conditionalFormatting sqref="K153">
    <cfRule type="expression" dxfId="220" priority="9">
      <formula>$L$119&gt;0</formula>
    </cfRule>
  </conditionalFormatting>
  <conditionalFormatting sqref="M15:M44">
    <cfRule type="expression" dxfId="219" priority="325">
      <formula>(AND($G$8="Yes",$B15&lt;&gt;"Market"))</formula>
    </cfRule>
    <cfRule type="expression" dxfId="218" priority="326">
      <formula>(AND($G$9="Yes",$B15="Market"))</formula>
    </cfRule>
  </conditionalFormatting>
  <conditionalFormatting sqref="G15:G44">
    <cfRule type="expression" dxfId="217" priority="3">
      <formula>(AND($G$8="Yes",$B15&lt;&gt;"Market"))</formula>
    </cfRule>
    <cfRule type="expression" dxfId="216" priority="4">
      <formula>(AND($G$9="Yes",$B15="Market"))</formula>
    </cfRule>
  </conditionalFormatting>
  <conditionalFormatting sqref="M136:M165">
    <cfRule type="expression" dxfId="215" priority="2">
      <formula>$L$119&gt;0</formula>
    </cfRule>
  </conditionalFormatting>
  <conditionalFormatting sqref="M117:M121">
    <cfRule type="expression" dxfId="214" priority="1">
      <formula>$L$117=0</formula>
    </cfRule>
  </conditionalFormatting>
  <dataValidations count="19">
    <dataValidation type="list" allowBlank="1" showInputMessage="1" showErrorMessage="1" sqref="B15:B44" xr:uid="{00000000-0002-0000-1000-000000000000}">
      <formula1>"Market,BMR-Mod,BMR-L,BMR-VL"</formula1>
    </dataValidation>
    <dataValidation type="list" allowBlank="1" showInputMessage="1" showErrorMessage="1" sqref="G8:G9 H225 H227:H228" xr:uid="{00000000-0002-0000-1000-000001000000}">
      <formula1>"Yes,No"</formula1>
    </dataValidation>
    <dataValidation type="list" allowBlank="1" showInputMessage="1" showErrorMessage="1" sqref="H230" xr:uid="{00000000-0002-0000-1000-000002000000}">
      <formula1>"Annual,Monthly"</formula1>
    </dataValidation>
    <dataValidation type="list" allowBlank="1" showInputMessage="1" showErrorMessage="1" sqref="F145" xr:uid="{00000000-0002-0000-1000-000003000000}">
      <formula1>"Supervisor"</formula1>
    </dataValidation>
    <dataValidation type="list" allowBlank="1" showInputMessage="1" showErrorMessage="1" sqref="F140:F141" xr:uid="{00000000-0002-0000-1000-000004000000}">
      <formula1>"Leasing Prof."</formula1>
    </dataValidation>
    <dataValidation type="list" allowBlank="1" showInputMessage="1" showErrorMessage="1" sqref="F146:F148" xr:uid="{00000000-0002-0000-1000-000005000000}">
      <formula1>"Asst. Supervisor,Service Tech"</formula1>
    </dataValidation>
    <dataValidation type="list" allowBlank="1" showInputMessage="1" showErrorMessage="1" sqref="F138:F139" xr:uid="{00000000-0002-0000-1000-000006000000}">
      <formula1>"Manager, Asst. Manager"</formula1>
    </dataValidation>
    <dataValidation type="decimal" allowBlank="1" showInputMessage="1" showErrorMessage="1" prompt="Input the employee's discount." sqref="K138:K143 K145:K150 K152:K153" xr:uid="{00000000-0002-0000-1000-000007000000}">
      <formula1>0</formula1>
      <formula2>1</formula2>
    </dataValidation>
    <dataValidation allowBlank="1" showInputMessage="1" showErrorMessage="1" prompt="Input the number of Lease Renewals the will break their lease or skip prior to signing the Lease Renewal." sqref="I157 I159" xr:uid="{00000000-0002-0000-1000-000008000000}"/>
    <dataValidation allowBlank="1" showInputMessage="1" showErrorMessage="1" prompt="Input Administration costs per unit, per year, assuming the community is stabilized as of the Operating Input Date ('General Inputs' cell C38) and assuming market conditions (i.e. no LMC initiatives)." sqref="M117" xr:uid="{3550E2DF-7562-4B0D-9E74-AD4C6469C87A}"/>
    <dataValidation allowBlank="1" showInputMessage="1" showErrorMessage="1" prompt="Input Marketing costs per unit, per year, assuming the community is stabilized as of the Operating Input Date ('General Inputs' cell C38) and assuming market conditions (i.e. no LMC initiatives)." sqref="M118" xr:uid="{B664B8C7-2AD1-4CD2-BB33-08A09D739E70}"/>
    <dataValidation allowBlank="1" showInputMessage="1" showErrorMessage="1" prompt="Input Personnel costs per unit, per year, assuming the community is stabilized as of the Operating Input Date ('General Inputs' cell C38) and assuming market conditions (i.e. no LMC initiatives)." sqref="M119" xr:uid="{252EFCBE-1238-472B-8A55-5344A70FB5B5}"/>
    <dataValidation allowBlank="1" showInputMessage="1" showErrorMessage="1" prompt="Input R&amp;M costs per unit, per year, assuming the community is stabilized as of the Operating Input Date ('General Inputs' cell C38) and assuming market conditions (i.e. no LMC initiatives)." sqref="M120" xr:uid="{F5BD969A-54E8-4C6A-9A8F-8F75E8B10E30}"/>
    <dataValidation allowBlank="1" showInputMessage="1" showErrorMessage="1" prompt="Input Utilities costs per unit, per year, assuming the community is stabilized as of the Operating Input Date ('General Inputs' cell C38) and assuming market conditions (i.e. no LMC initiatives)." sqref="M121" xr:uid="{2C51984E-25D5-4398-A092-FEA54F2957CF}"/>
    <dataValidation allowBlank="1" showInputMessage="1" showErrorMessage="1" prompt="Input Other costs per unit, per year, assuming the community is stabilized as of the Operating Input Date ('General Inputs' cell C38) and assuming market conditions (i.e. no LMC initiatives)." sqref="M122 M129" xr:uid="{C6C5304A-F939-479C-A51D-8CAC0AA07A79}"/>
    <dataValidation allowBlank="1" showInputMessage="1" showErrorMessage="1" prompt="Input Insurance costs per unit, per year, assuming the community is stabilized as of the Operating Input Date ('General Inputs' cell C38) and assuming market conditions (i.e. no LMC initiatives)." sqref="M126" xr:uid="{E3D9E8B2-62DF-49C6-A360-2C95E2E3E6CB}"/>
    <dataValidation allowBlank="1" showInputMessage="1" showErrorMessage="1" prompt="Input the current market Management Fee for third-party management, if competitively bid." sqref="H185" xr:uid="{00000000-0002-0000-1000-000010000000}"/>
    <dataValidation allowBlank="1" showInputMessage="1" showErrorMessage="1" prompt="Input Replacement Reserves costs per unit, per year, assuming the community is stabilized as of the Operating Input Date ('General Inputs' cell C38) and assuming market conditions (i.e. no LMC initiatives)." sqref="M128" xr:uid="{1B25BC78-3288-43F3-AD1B-FDE27CF52E59}"/>
    <dataValidation allowBlank="1" showInputMessage="1" showErrorMessage="1" prompt="Input the number of model homes, homes given to charity, and homes or discounts provided to employees.  For example, two models, one charity home, a free manager's home, and a 15% disount for a leasing professional = 4.15." sqref="D10" xr:uid="{00000000-0002-0000-1000-000012000000}"/>
  </dataValidations>
  <printOptions horizontalCentered="1"/>
  <pageMargins left="0.25" right="0.25" top="0.4" bottom="0.4" header="0.25" footer="0.3"/>
  <pageSetup scale="58" orientation="landscape" r:id="rId1"/>
  <headerFooter>
    <oddHeader>&amp;R&amp;"Garamond,Regular"&amp;10Printed: &amp;D &amp;T</oddHeader>
    <oddFooter>&amp;R&amp;"Garamond,Regular"&amp;10Page &amp;P of &amp;N</oddFooter>
  </headerFooter>
  <rowBreaks count="3" manualBreakCount="3">
    <brk id="68" max="12" man="1"/>
    <brk id="131" max="12" man="1"/>
    <brk id="189" max="12" man="1"/>
  </rowBreaks>
  <legacyDrawing r:id="rId2"/>
  <extLst>
    <ext xmlns:x14="http://schemas.microsoft.com/office/spreadsheetml/2009/9/main" uri="{78C0D931-6437-407d-A8EE-F0AAD7539E65}">
      <x14:conditionalFormattings>
        <x14:conditionalFormatting xmlns:xm="http://schemas.microsoft.com/office/excel/2006/main">
          <x14:cfRule type="expression" priority="57" id="{39471123-D31A-4751-BDCD-51B4AC4566F2}">
            <xm:f>'General Inputs'!$D$8&lt;&gt;"Oregon"</xm:f>
            <x14:dxf>
              <font>
                <color theme="0" tint="-0.24994659260841701"/>
              </font>
            </x14:dxf>
          </x14:cfRule>
          <xm:sqref>F168:I168</xm:sqref>
        </x14:conditionalFormatting>
        <x14:conditionalFormatting xmlns:xm="http://schemas.microsoft.com/office/excel/2006/main">
          <x14:cfRule type="expression" priority="52" id="{34F83195-3275-41F0-9B75-DC6EE6AE8566}">
            <xm:f>'General Inputs'!$D$8&lt;&gt;"Oregon"</xm:f>
            <x14:dxf>
              <font>
                <color theme="0" tint="-0.24994659260841701"/>
              </font>
            </x14:dxf>
          </x14:cfRule>
          <xm:sqref>I167</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AF67DD79-FF3F-4A85-B1BD-29483908E23E}">
          <x14:formula1>
            <xm:f>'Emblem Unit Mix'!$D$39:$D$66</xm:f>
          </x14:formula1>
          <xm:sqref>A29:A44</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0B8D2-3880-47E3-A849-14D7AD3684E4}">
  <sheetPr codeName="Sheet39">
    <tabColor rgb="FF7030A0"/>
    <pageSetUpPr fitToPage="1"/>
  </sheetPr>
  <dimension ref="A1:IH156"/>
  <sheetViews>
    <sheetView showGridLines="0" topLeftCell="A56" workbookViewId="0">
      <selection activeCell="Q3" sqref="Q3"/>
    </sheetView>
  </sheetViews>
  <sheetFormatPr defaultRowHeight="14.4" outlineLevelRow="1" outlineLevelCol="1" x14ac:dyDescent="0.3"/>
  <cols>
    <col min="1" max="1" width="2.5546875" style="1509" customWidth="1"/>
    <col min="2" max="2" width="16.33203125" bestFit="1" customWidth="1"/>
    <col min="3" max="6" width="9.5546875" customWidth="1"/>
    <col min="7" max="7" width="10.6640625" bestFit="1" customWidth="1"/>
    <col min="8" max="12" width="9.5546875" customWidth="1"/>
    <col min="13" max="13" width="11.33203125" bestFit="1" customWidth="1"/>
    <col min="14" max="18" width="11.33203125" customWidth="1"/>
    <col min="19" max="19" width="2.44140625" style="1509" customWidth="1"/>
    <col min="20" max="20" width="2.44140625" customWidth="1"/>
    <col min="21" max="21" width="3.33203125" customWidth="1"/>
    <col min="22" max="22" width="2.44140625" customWidth="1"/>
    <col min="23" max="42" width="3.6640625" customWidth="1"/>
    <col min="43" max="43" width="5.33203125" bestFit="1" customWidth="1"/>
    <col min="44" max="44" width="1" customWidth="1"/>
    <col min="45" max="45" width="5.33203125" bestFit="1" customWidth="1" outlineLevel="1"/>
    <col min="46" max="49" width="3.6640625" customWidth="1" outlineLevel="1"/>
    <col min="50" max="50" width="2.6640625" style="1509" customWidth="1"/>
    <col min="51" max="51" width="4.5546875" customWidth="1"/>
    <col min="52" max="77" width="4.6640625" customWidth="1"/>
    <col min="78" max="83" width="4.6640625" customWidth="1" outlineLevel="1"/>
    <col min="84" max="84" width="4.5546875" customWidth="1"/>
    <col min="85" max="85" width="7" customWidth="1"/>
    <col min="86" max="86" width="2.33203125" hidden="1" customWidth="1" outlineLevel="1"/>
    <col min="87" max="87" width="6.33203125" hidden="1" customWidth="1" outlineLevel="1"/>
    <col min="88" max="88" width="5.44140625" hidden="1" customWidth="1" outlineLevel="1"/>
    <col min="89" max="89" width="8.6640625" hidden="1" customWidth="1" outlineLevel="1"/>
    <col min="90" max="90" width="9.6640625" hidden="1" customWidth="1" outlineLevel="1"/>
    <col min="91" max="114" width="8.6640625" hidden="1" customWidth="1" outlineLevel="1"/>
    <col min="115" max="115" width="5.6640625" hidden="1" customWidth="1" outlineLevel="1"/>
    <col min="116" max="116" width="4.33203125" hidden="1" customWidth="1" outlineLevel="1"/>
    <col min="117" max="117" width="5.5546875" hidden="1" customWidth="1" outlineLevel="1"/>
    <col min="118" max="118" width="4.44140625" hidden="1" customWidth="1" outlineLevel="1"/>
    <col min="119" max="149" width="4.33203125" hidden="1" customWidth="1" outlineLevel="1"/>
    <col min="150" max="150" width="9.33203125" collapsed="1"/>
    <col min="151" max="151" width="4.44140625" customWidth="1"/>
    <col min="152" max="157" width="7" bestFit="1" customWidth="1"/>
    <col min="158" max="158" width="4.6640625" customWidth="1"/>
    <col min="159" max="164" width="4.33203125" bestFit="1" customWidth="1"/>
    <col min="165" max="165" width="4" customWidth="1"/>
    <col min="166" max="171" width="5.6640625" bestFit="1" customWidth="1"/>
    <col min="172" max="172" width="4.6640625" customWidth="1"/>
    <col min="173" max="178" width="5.33203125" bestFit="1" customWidth="1"/>
    <col min="179" max="186" width="4.6640625" customWidth="1"/>
    <col min="187" max="242" width="5.6640625" customWidth="1"/>
  </cols>
  <sheetData>
    <row r="1" spans="1:118" ht="30.75" customHeight="1" thickBot="1" x14ac:dyDescent="0.45">
      <c r="B1" s="2736" t="s">
        <v>1450</v>
      </c>
      <c r="C1" s="2736"/>
      <c r="D1" s="2736"/>
      <c r="E1" s="2736"/>
      <c r="F1" s="2736"/>
      <c r="G1" s="2736"/>
      <c r="H1" s="2736"/>
      <c r="I1" s="2736"/>
      <c r="J1" s="2736"/>
      <c r="K1" s="2736"/>
      <c r="L1" s="2736"/>
      <c r="M1" s="2736"/>
      <c r="N1" s="2736"/>
      <c r="O1" s="2736"/>
      <c r="P1" s="2736"/>
      <c r="Q1" s="2736"/>
      <c r="R1" s="2736"/>
      <c r="T1" s="2736" t="s">
        <v>1451</v>
      </c>
      <c r="U1" s="2736"/>
      <c r="V1" s="2736"/>
      <c r="W1" s="2736"/>
      <c r="X1" s="2736"/>
      <c r="Y1" s="2736"/>
      <c r="Z1" s="2736"/>
      <c r="AA1" s="2736"/>
      <c r="AB1" s="2736"/>
      <c r="AC1" s="2736"/>
      <c r="AD1" s="2736"/>
      <c r="AE1" s="2736"/>
      <c r="AF1" s="2736"/>
      <c r="AG1" s="2736"/>
      <c r="AH1" s="2736"/>
      <c r="AI1" s="2736"/>
      <c r="AJ1" s="2736"/>
      <c r="AK1" s="2736"/>
      <c r="AL1" s="2736"/>
      <c r="AM1" s="2736"/>
      <c r="AN1" s="2736"/>
      <c r="AO1" s="2736"/>
      <c r="AP1" s="2736"/>
      <c r="AQ1" s="2736"/>
      <c r="AR1" s="1665"/>
      <c r="AS1" s="2737" t="s">
        <v>1452</v>
      </c>
      <c r="AT1" s="2737"/>
      <c r="AU1" s="2737"/>
      <c r="AV1" s="2737"/>
      <c r="AW1" s="2737"/>
      <c r="AY1" s="2736" t="s">
        <v>1453</v>
      </c>
      <c r="AZ1" s="2736"/>
      <c r="BA1" s="2736"/>
      <c r="BB1" s="2736"/>
      <c r="BC1" s="2736"/>
      <c r="BD1" s="2736"/>
      <c r="BE1" s="2736"/>
      <c r="BF1" s="2736"/>
      <c r="BG1" s="2736"/>
      <c r="BH1" s="2736"/>
      <c r="BI1" s="2736"/>
      <c r="BJ1" s="2736"/>
      <c r="BK1" s="2736"/>
      <c r="BL1" s="2736"/>
      <c r="BM1" s="2736"/>
      <c r="BN1" s="2736"/>
      <c r="BO1" s="2736"/>
      <c r="BP1" s="2736"/>
      <c r="BQ1" s="2736"/>
      <c r="BR1" s="2736"/>
      <c r="BS1" s="2736"/>
      <c r="BT1" s="2736"/>
      <c r="BU1" s="2736"/>
      <c r="BV1" s="2736"/>
      <c r="BW1" s="2736"/>
      <c r="BX1" s="2736"/>
      <c r="BY1" s="2736"/>
      <c r="BZ1" s="2736"/>
      <c r="CA1" s="2736"/>
      <c r="CB1" s="2736"/>
      <c r="CC1" s="2736"/>
      <c r="CD1" s="2736"/>
      <c r="CE1" s="2736"/>
      <c r="CF1" s="2736"/>
    </row>
    <row r="2" spans="1:118" s="1509" customFormat="1" ht="43.5" customHeight="1" thickBot="1" x14ac:dyDescent="0.45">
      <c r="A2" s="1666"/>
      <c r="B2" s="1667" t="s">
        <v>1454</v>
      </c>
      <c r="C2" s="1668"/>
      <c r="D2" s="1669"/>
      <c r="E2" s="1670"/>
      <c r="F2" s="1668"/>
      <c r="G2" s="1668"/>
      <c r="H2" s="1671"/>
      <c r="I2" s="1672" t="s">
        <v>1455</v>
      </c>
      <c r="J2" s="1672"/>
      <c r="K2" s="1673"/>
      <c r="L2" s="1673"/>
      <c r="M2" s="1673"/>
      <c r="N2" s="1673"/>
      <c r="O2" s="1674"/>
      <c r="T2" s="1666"/>
      <c r="U2" s="2738" t="s">
        <v>1456</v>
      </c>
      <c r="V2" s="2738"/>
      <c r="W2" s="2738"/>
      <c r="X2" s="2738"/>
      <c r="Y2" s="2738"/>
      <c r="Z2" s="2738"/>
      <c r="AA2" s="2738"/>
      <c r="AB2" s="2738"/>
      <c r="AC2" s="2738"/>
      <c r="AD2" s="2738"/>
      <c r="AE2" s="2738"/>
      <c r="AF2" s="2738"/>
      <c r="AG2" s="2738"/>
      <c r="AH2" s="2738"/>
      <c r="AI2" s="2738"/>
      <c r="AJ2" s="2738"/>
      <c r="AK2" s="2738"/>
      <c r="AL2" s="2738"/>
      <c r="AM2" s="2738"/>
      <c r="AN2" s="2738"/>
      <c r="AO2" s="2738"/>
      <c r="AP2" s="2738"/>
      <c r="AQ2" s="2738"/>
      <c r="AR2" s="2738"/>
      <c r="AS2" s="2738"/>
      <c r="AT2" s="2738"/>
      <c r="AU2" s="2738"/>
      <c r="AV2" s="2738"/>
      <c r="AW2" s="1675"/>
      <c r="AX2"/>
      <c r="AY2" s="2739" t="str">
        <f>"After entering module counts per building in cells "&amp;ADDRESS(ROW(D5),COLUMN(D5),4)&amp;"-"&amp;ADDRESS(ROW(G22),COLUMN(G22),4)&amp;", select modules in visual sequence for each building in the yellow cells below. Ensure module counts for each building match inputs at left. Select 'M' below any modules to be mirrored (leaving others blank), subject to finalization with architect."</f>
        <v>After entering module counts per building in cells D5-G22, select modules in visual sequence for each building in the yellow cells below. Ensure module counts for each building match inputs at left. Select 'M' below any modules to be mirrored (leaving others blank), subject to finalization with architect.</v>
      </c>
      <c r="AZ2" s="2739"/>
      <c r="BA2" s="2739"/>
      <c r="BB2" s="2739"/>
      <c r="BC2" s="2739"/>
      <c r="BD2" s="2739"/>
      <c r="BE2" s="2739"/>
      <c r="BF2" s="2739"/>
      <c r="BG2" s="2739"/>
      <c r="BH2" s="2739"/>
      <c r="BI2" s="2739"/>
      <c r="BJ2" s="2739"/>
      <c r="BK2" s="2739"/>
      <c r="BL2" s="2739"/>
      <c r="BM2" s="2739"/>
      <c r="BN2" s="2739"/>
      <c r="BO2" s="2739"/>
      <c r="BP2" s="2739"/>
      <c r="BQ2" s="2739"/>
      <c r="BR2" s="2739"/>
      <c r="BS2" s="2739"/>
      <c r="BT2" s="2739"/>
      <c r="BU2" s="2739"/>
      <c r="BV2" s="2739"/>
      <c r="BW2" s="2739"/>
      <c r="BX2" s="2739"/>
      <c r="BY2" s="2739"/>
      <c r="BZ2" s="2739"/>
      <c r="CA2" s="2739"/>
      <c r="CB2" s="2739"/>
      <c r="CC2" s="2739"/>
      <c r="CD2" s="2739"/>
      <c r="CE2" s="2739"/>
      <c r="CF2" s="2739"/>
    </row>
    <row r="3" spans="1:118" ht="18" customHeight="1" x14ac:dyDescent="0.4">
      <c r="B3" s="2723" t="s">
        <v>1457</v>
      </c>
      <c r="C3" s="2725" t="s">
        <v>1458</v>
      </c>
      <c r="D3" s="1676" t="s">
        <v>1459</v>
      </c>
      <c r="E3" s="1677" t="s">
        <v>1459</v>
      </c>
      <c r="F3" s="1677" t="s">
        <v>1459</v>
      </c>
      <c r="G3" s="1678" t="s">
        <v>1459</v>
      </c>
      <c r="H3" s="1679" t="s">
        <v>1152</v>
      </c>
      <c r="I3" s="1509"/>
      <c r="J3" s="1509"/>
      <c r="L3" s="1509"/>
      <c r="M3" s="1509"/>
      <c r="N3" s="1509"/>
      <c r="O3" s="1680"/>
      <c r="P3" s="1509"/>
      <c r="Q3" s="1509"/>
      <c r="R3" s="1509"/>
      <c r="T3" s="1681"/>
      <c r="U3" s="1681"/>
      <c r="V3" s="1681"/>
      <c r="W3" s="1681"/>
      <c r="X3" s="1681"/>
      <c r="Y3" s="1681"/>
      <c r="Z3" s="1681"/>
      <c r="AA3" s="1681"/>
      <c r="AB3" s="1681"/>
      <c r="AC3" s="1666"/>
      <c r="AD3" s="1666"/>
      <c r="AE3" s="1666"/>
      <c r="AF3" s="1666"/>
      <c r="AG3" s="1666"/>
      <c r="AH3" s="1666"/>
      <c r="AI3" s="1666"/>
      <c r="AJ3" s="1666"/>
      <c r="AK3" s="1666"/>
      <c r="AL3" s="1666"/>
      <c r="AM3" s="1666"/>
      <c r="AN3" s="1666"/>
      <c r="AO3" s="1666"/>
      <c r="AP3" s="1666"/>
      <c r="AY3" s="1682"/>
      <c r="AZ3" s="1683">
        <v>1</v>
      </c>
      <c r="BA3" s="1683">
        <v>2</v>
      </c>
      <c r="BB3" s="1683">
        <v>3</v>
      </c>
      <c r="BC3" s="1683">
        <v>4</v>
      </c>
      <c r="BD3" s="1683">
        <v>5</v>
      </c>
      <c r="BE3" s="1683">
        <v>6</v>
      </c>
      <c r="BF3" s="1683">
        <v>7</v>
      </c>
      <c r="BG3" s="1683">
        <v>8</v>
      </c>
      <c r="BH3" s="1683">
        <v>9</v>
      </c>
      <c r="BI3" s="1683">
        <v>10</v>
      </c>
      <c r="BJ3" s="1683">
        <v>11</v>
      </c>
      <c r="BK3" s="1683">
        <v>12</v>
      </c>
      <c r="BL3" s="1683">
        <v>13</v>
      </c>
      <c r="BM3" s="1683">
        <v>14</v>
      </c>
      <c r="BN3" s="1683">
        <v>15</v>
      </c>
      <c r="BO3" s="1683">
        <v>16</v>
      </c>
      <c r="BP3" s="1683">
        <v>17</v>
      </c>
      <c r="BQ3" s="1683">
        <v>18</v>
      </c>
      <c r="BR3" s="1683">
        <v>19</v>
      </c>
      <c r="BS3" s="1683">
        <v>20</v>
      </c>
      <c r="BT3" s="1683">
        <v>21</v>
      </c>
      <c r="BU3" s="1683">
        <v>22</v>
      </c>
      <c r="BV3" s="1683">
        <v>23</v>
      </c>
      <c r="BW3" s="1683">
        <v>24</v>
      </c>
      <c r="BX3" s="1683">
        <v>25</v>
      </c>
      <c r="BY3" s="1683">
        <v>26</v>
      </c>
      <c r="BZ3" s="1683">
        <v>27</v>
      </c>
      <c r="CA3" s="1683">
        <v>28</v>
      </c>
      <c r="CB3" s="1683">
        <v>29</v>
      </c>
      <c r="CC3" s="1683">
        <v>30</v>
      </c>
      <c r="CD3" s="1683">
        <v>31</v>
      </c>
      <c r="CE3" s="1683">
        <v>32</v>
      </c>
      <c r="CF3" s="1684"/>
    </row>
    <row r="4" spans="1:118" s="273" customFormat="1" ht="15.75" customHeight="1" thickBot="1" x14ac:dyDescent="0.45">
      <c r="B4" s="2724"/>
      <c r="C4" s="2726"/>
      <c r="D4" s="1685" t="s">
        <v>1460</v>
      </c>
      <c r="E4" s="1686" t="s">
        <v>1461</v>
      </c>
      <c r="F4" s="1686" t="s">
        <v>1462</v>
      </c>
      <c r="G4" s="1687" t="s">
        <v>1463</v>
      </c>
      <c r="H4" s="1688"/>
      <c r="I4" s="1689" t="s">
        <v>597</v>
      </c>
      <c r="J4" s="1690" t="s">
        <v>1464</v>
      </c>
      <c r="K4" s="1691" t="s">
        <v>1465</v>
      </c>
      <c r="L4" s="1692" t="s">
        <v>1466</v>
      </c>
      <c r="M4" s="1693" t="s">
        <v>1467</v>
      </c>
      <c r="N4" s="1694" t="s">
        <v>1468</v>
      </c>
      <c r="O4" s="1695" t="s">
        <v>1469</v>
      </c>
      <c r="P4" s="1509"/>
      <c r="Q4" s="1509"/>
      <c r="R4" s="1509"/>
      <c r="S4" s="1696"/>
      <c r="U4" s="1697" t="s">
        <v>1470</v>
      </c>
      <c r="V4" s="1698"/>
      <c r="W4" s="1698"/>
      <c r="X4" s="1698"/>
      <c r="Y4" s="1699"/>
      <c r="AC4" s="1697" t="s">
        <v>1471</v>
      </c>
      <c r="AD4" s="1698"/>
      <c r="AE4" s="1698"/>
      <c r="AF4" s="1698"/>
      <c r="AG4" s="1699"/>
      <c r="AH4" s="1696"/>
      <c r="AI4" s="1696"/>
      <c r="AJ4" s="1696"/>
      <c r="AK4" s="1697" t="s">
        <v>1472</v>
      </c>
      <c r="AL4" s="1698"/>
      <c r="AM4" s="1698"/>
      <c r="AN4" s="1698"/>
      <c r="AO4" s="1699"/>
      <c r="AP4" s="1696"/>
      <c r="AR4"/>
      <c r="AS4" s="1697" t="s">
        <v>1472</v>
      </c>
      <c r="AT4" s="1698"/>
      <c r="AU4" s="1698"/>
      <c r="AV4" s="1698"/>
      <c r="AW4" s="1699"/>
      <c r="AX4" s="1696"/>
      <c r="AY4" s="1700" t="s">
        <v>1473</v>
      </c>
      <c r="AZ4" s="1701"/>
      <c r="BA4" s="1701"/>
      <c r="BB4" s="1701"/>
      <c r="BC4" s="1701"/>
      <c r="BD4" s="1701"/>
      <c r="BE4" s="1701"/>
      <c r="BF4" s="1701"/>
      <c r="BG4" s="1701"/>
      <c r="BH4" s="1701"/>
      <c r="BI4" s="1701"/>
      <c r="BJ4" s="1701"/>
      <c r="BK4" s="1701"/>
      <c r="BL4" s="1701"/>
      <c r="BM4" s="1701"/>
      <c r="BN4" s="1701"/>
      <c r="BO4" s="1701"/>
      <c r="BP4" s="1701"/>
      <c r="BQ4" s="1701"/>
      <c r="BR4" s="1701"/>
      <c r="BS4" s="1701"/>
      <c r="BT4" s="1701"/>
      <c r="BU4" s="1701"/>
      <c r="BV4" s="1701"/>
      <c r="BW4" s="1701"/>
      <c r="BX4" s="1701"/>
      <c r="BY4" s="1701"/>
      <c r="BZ4" s="1702"/>
      <c r="CA4" s="1702"/>
      <c r="CB4" s="1702"/>
      <c r="CC4" s="1702"/>
      <c r="CD4" s="1702"/>
      <c r="CE4" s="1702"/>
      <c r="CF4" s="1703"/>
    </row>
    <row r="5" spans="1:118" ht="15.75" customHeight="1" x14ac:dyDescent="0.4">
      <c r="B5" s="1704">
        <f>SUM(U8:Y8)</f>
        <v>57</v>
      </c>
      <c r="C5" s="1705" t="s">
        <v>1470</v>
      </c>
      <c r="D5" s="1706"/>
      <c r="E5" s="1707"/>
      <c r="F5" s="1707"/>
      <c r="G5" s="1708"/>
      <c r="H5" s="1709">
        <f t="shared" ref="H5:H22" si="0">IFERROR(SUMPRODUCT(D5:G5,$D$24:$G$24),"")</f>
        <v>0</v>
      </c>
      <c r="I5" s="1710">
        <f t="shared" ref="I5" si="1">SUM(CN11:CO11)</f>
        <v>9</v>
      </c>
      <c r="J5" s="1711">
        <f t="shared" ref="J5" si="2">SUM(CP11:CQ11)</f>
        <v>0</v>
      </c>
      <c r="K5" s="1711">
        <f t="shared" ref="K5:K22" si="3">SUM(CR11:CS11)</f>
        <v>0</v>
      </c>
      <c r="L5" s="1712">
        <f t="shared" ref="L5" si="4">SUM(CT11:CU11)</f>
        <v>0</v>
      </c>
      <c r="M5" s="1712">
        <f t="shared" ref="M5" si="5">SUM(CV11:CX11)</f>
        <v>3</v>
      </c>
      <c r="N5" s="1712">
        <f t="shared" ref="N5" si="6">SUM(CY11:DA11)</f>
        <v>0</v>
      </c>
      <c r="O5" s="1713">
        <f t="shared" ref="O5" si="7">SUM(DB11:DC11)</f>
        <v>0</v>
      </c>
      <c r="P5" s="1509"/>
      <c r="Q5" s="1509"/>
      <c r="R5" s="1509"/>
      <c r="U5" s="1714"/>
      <c r="V5" s="273"/>
      <c r="W5" s="273"/>
      <c r="X5" s="273"/>
      <c r="Y5" s="273"/>
      <c r="Z5" s="273"/>
      <c r="AC5" s="1714"/>
      <c r="AD5" s="273"/>
      <c r="AE5" s="273"/>
      <c r="AF5" s="273"/>
      <c r="AG5" s="273"/>
      <c r="AH5" s="1509"/>
      <c r="AI5" s="1509"/>
      <c r="AJ5" s="1509"/>
      <c r="AK5" s="273"/>
      <c r="AL5" s="273"/>
      <c r="AM5" s="273"/>
      <c r="AN5" s="273"/>
      <c r="AO5" s="273"/>
      <c r="AP5" s="1509"/>
      <c r="AS5" s="1715"/>
      <c r="AT5" s="1716" t="s">
        <v>1474</v>
      </c>
      <c r="AU5" s="1716">
        <v>1</v>
      </c>
      <c r="AV5" s="1716">
        <v>2</v>
      </c>
      <c r="AW5" s="1716">
        <v>3</v>
      </c>
      <c r="AY5" s="1717"/>
      <c r="AZ5" s="1718" t="s">
        <v>1475</v>
      </c>
      <c r="BA5" s="1719"/>
      <c r="BB5" s="1720"/>
      <c r="BC5" s="1721">
        <f>D24</f>
        <v>2</v>
      </c>
      <c r="BD5" s="1722" t="s">
        <v>1476</v>
      </c>
      <c r="BE5" s="1722" t="s">
        <v>1476</v>
      </c>
      <c r="BF5" s="1722" t="s">
        <v>1477</v>
      </c>
      <c r="BG5" s="1722"/>
      <c r="BH5" s="1722"/>
      <c r="BI5" s="156" t="str" cm="1">
        <f t="array" ref="BI5">IF(AND(SUM(ABS($D$5:$D$22))=0,COUNTIF(BD5:BH5,"")=5),"",IF(OR(IFERROR(SUM(ABS(BJ6:BO6))&gt;0,"true"),IFERROR(MATCH("mismatch",BP6:BT6)&gt;0,"FALSE")),"Module selection mismatch",""))</f>
        <v>Module selection mismatch</v>
      </c>
      <c r="BJ5" s="1723"/>
      <c r="BK5" s="1723"/>
      <c r="BL5" s="1723"/>
      <c r="BM5" s="1723"/>
      <c r="BN5" s="1723"/>
      <c r="BO5" s="1723"/>
      <c r="BP5" s="1724"/>
      <c r="BQ5" s="1725"/>
      <c r="BR5" s="1725"/>
      <c r="BS5" s="1725"/>
      <c r="BT5" s="1725"/>
      <c r="BU5" s="1725"/>
      <c r="BV5" s="374"/>
      <c r="BW5" s="374"/>
      <c r="BX5" s="374"/>
      <c r="BY5" s="374"/>
      <c r="BZ5" s="1726"/>
      <c r="CA5" s="1726"/>
      <c r="CB5" s="1726"/>
      <c r="CC5" s="1726"/>
      <c r="CD5" s="1726"/>
      <c r="CE5" s="1726"/>
      <c r="CF5" s="1727"/>
      <c r="CI5" s="273" t="s">
        <v>1478</v>
      </c>
      <c r="CJ5" s="273" t="s">
        <v>311</v>
      </c>
      <c r="CK5" s="273" t="s">
        <v>312</v>
      </c>
      <c r="CL5" s="273" t="s">
        <v>1479</v>
      </c>
    </row>
    <row r="6" spans="1:118" ht="15.75" customHeight="1" thickBot="1" x14ac:dyDescent="0.35">
      <c r="B6" s="1728">
        <f>SUM(AC8:AG8)</f>
        <v>57</v>
      </c>
      <c r="C6" s="1729" t="s">
        <v>1471</v>
      </c>
      <c r="D6" s="1730">
        <v>1</v>
      </c>
      <c r="E6" s="1731"/>
      <c r="F6" s="1731"/>
      <c r="G6" s="1732"/>
      <c r="H6" s="1733">
        <f t="shared" si="0"/>
        <v>2</v>
      </c>
      <c r="I6" s="1734">
        <f t="shared" ref="I6:I22" si="8">SUM(CN12:CO12)</f>
        <v>10</v>
      </c>
      <c r="J6" s="1735">
        <f t="shared" ref="J6:J22" si="9">SUM(CP12:CQ12)</f>
        <v>0</v>
      </c>
      <c r="K6" s="1735">
        <f t="shared" si="3"/>
        <v>0</v>
      </c>
      <c r="L6" s="1736">
        <f t="shared" ref="L6:L22" si="10">SUM(CT12:CU12)</f>
        <v>0</v>
      </c>
      <c r="M6" s="1736">
        <f t="shared" ref="M6:M22" si="11">SUM(CV12:CX12)</f>
        <v>2</v>
      </c>
      <c r="N6" s="1736">
        <f t="shared" ref="N6:N22" si="12">SUM(CY12:DA12)</f>
        <v>0</v>
      </c>
      <c r="O6" s="1737">
        <f t="shared" ref="O6:O22" si="13">SUM(DB12:DC12)</f>
        <v>0</v>
      </c>
      <c r="P6" s="1509"/>
      <c r="Q6" s="1509"/>
      <c r="R6" s="1509"/>
      <c r="U6" s="1738"/>
      <c r="V6" s="1739"/>
      <c r="W6" s="1740"/>
      <c r="X6" s="1741"/>
      <c r="Y6" s="1742"/>
      <c r="Z6" s="273"/>
      <c r="AC6" s="1738"/>
      <c r="AD6" s="1739"/>
      <c r="AE6" s="1743"/>
      <c r="AF6" s="1741"/>
      <c r="AG6" s="1742"/>
      <c r="AH6" s="1509"/>
      <c r="AI6" s="1509"/>
      <c r="AJ6" s="1509"/>
      <c r="AP6" s="1509"/>
      <c r="AS6" s="1744" t="s">
        <v>1480</v>
      </c>
      <c r="AT6" s="1745">
        <v>2</v>
      </c>
      <c r="AU6" s="1745">
        <v>4</v>
      </c>
      <c r="AV6" s="1745">
        <v>2</v>
      </c>
      <c r="AW6" s="1745">
        <v>2</v>
      </c>
      <c r="AY6" s="1746"/>
      <c r="AZ6" s="337"/>
      <c r="BA6" s="1747"/>
      <c r="BB6" s="1747"/>
      <c r="BC6" s="1747"/>
      <c r="BD6" s="1722"/>
      <c r="BE6" s="1722"/>
      <c r="BF6" s="1722"/>
      <c r="BG6" s="1722"/>
      <c r="BH6" s="1722"/>
      <c r="BI6" s="182"/>
      <c r="BJ6" s="203">
        <f>_xlfn.XLOOKUP(CI6,$C$5:$C$22,$D$5:$D$22,0)-CL6</f>
        <v>1</v>
      </c>
      <c r="BK6" s="203">
        <f>_xlfn.XLOOKUP(CI7,$C$5:$C$22,$D$5:$D$22,0)-CL7</f>
        <v>1</v>
      </c>
      <c r="BL6" s="203">
        <f>_xlfn.XLOOKUP(CI8,$C$5:$C$22,$D$5:$D$22,0)-CL8</f>
        <v>1</v>
      </c>
      <c r="BM6" s="203">
        <f>_xlfn.XLOOKUP(CI9,$C$5:$C$22,$D$5:$D$22,0)-CL9</f>
        <v>0</v>
      </c>
      <c r="BN6" s="203">
        <f>_xlfn.XLOOKUP(CI10,$C$5:$C$22,$D$5:$D$22,0)-CL10</f>
        <v>0</v>
      </c>
      <c r="BO6" s="203">
        <f>CL11-SUM($D$5:$D$22)</f>
        <v>-3</v>
      </c>
      <c r="BP6" s="203" t="str">
        <f>_xlfn.XLOOKUP(BD5,$CI$6:$CI$11,$CJ$6:$CJ$11,"mismatch")</f>
        <v>mismatch</v>
      </c>
      <c r="BQ6" s="203" t="str">
        <f t="shared" ref="BQ6:BT6" si="14">_xlfn.XLOOKUP(BE5,$CI$6:$CI$11,$CJ$6:$CJ$11,"mismatch")</f>
        <v>mismatch</v>
      </c>
      <c r="BR6" s="203">
        <f t="shared" si="14"/>
        <v>13</v>
      </c>
      <c r="BS6" s="203" t="str">
        <f t="shared" si="14"/>
        <v/>
      </c>
      <c r="BT6" s="203" t="str">
        <f t="shared" si="14"/>
        <v/>
      </c>
      <c r="BU6" s="182"/>
      <c r="BZ6" s="203"/>
      <c r="CA6" s="203"/>
      <c r="CB6" s="203"/>
      <c r="CC6" s="203"/>
      <c r="CD6" s="203"/>
      <c r="CE6" s="203"/>
      <c r="CF6" s="1748"/>
      <c r="CI6" t="str" cm="1">
        <f t="array" ref="CI6:CI8">_xlfn.UNIQUE(_xlfn._xlws.FILTER($C$5:$C$22,$D$5:$D$22&gt;0))</f>
        <v>M1p</v>
      </c>
      <c r="CJ6">
        <v>1</v>
      </c>
      <c r="CK6">
        <f>IFERROR(CJ6-1+_xlfn.XLOOKUP(BD5,$Z$114:$Z$155,$AA$114:$AA$155),0)</f>
        <v>6</v>
      </c>
      <c r="CL6">
        <f>COUNTIF($BD$5:$BH$5,CI6)</f>
        <v>0</v>
      </c>
    </row>
    <row r="7" spans="1:118" ht="15.75" customHeight="1" thickBot="1" x14ac:dyDescent="0.35">
      <c r="B7" s="1749">
        <f>SUM(AC8:AG8)</f>
        <v>57</v>
      </c>
      <c r="C7" s="1750" t="s">
        <v>1472</v>
      </c>
      <c r="D7" s="1751"/>
      <c r="E7" s="1752"/>
      <c r="F7" s="1752"/>
      <c r="G7" s="1753"/>
      <c r="H7" s="1754">
        <f t="shared" si="0"/>
        <v>0</v>
      </c>
      <c r="I7" s="1755">
        <f t="shared" si="8"/>
        <v>12</v>
      </c>
      <c r="J7" s="1756">
        <f t="shared" si="9"/>
        <v>0</v>
      </c>
      <c r="K7" s="1756">
        <f t="shared" si="3"/>
        <v>0</v>
      </c>
      <c r="L7" s="1757">
        <f t="shared" si="10"/>
        <v>0</v>
      </c>
      <c r="M7" s="1757">
        <f t="shared" si="11"/>
        <v>2</v>
      </c>
      <c r="N7" s="1757">
        <f t="shared" si="12"/>
        <v>0</v>
      </c>
      <c r="O7" s="1758">
        <f t="shared" si="13"/>
        <v>0</v>
      </c>
      <c r="P7" s="1759"/>
      <c r="Q7" s="1759"/>
      <c r="R7" s="1759"/>
      <c r="U7" s="1760"/>
      <c r="V7" s="1761"/>
      <c r="W7" s="1762"/>
      <c r="X7" s="1763"/>
      <c r="Y7" s="1764"/>
      <c r="Z7" s="273"/>
      <c r="AC7" s="1760"/>
      <c r="AD7" s="1761"/>
      <c r="AE7" s="1765"/>
      <c r="AF7" s="1763"/>
      <c r="AG7" s="1764"/>
      <c r="AH7" s="1509"/>
      <c r="AI7" s="1509"/>
      <c r="AJ7" s="1509"/>
      <c r="AP7" s="1509"/>
      <c r="AS7" s="1744" t="s">
        <v>1481</v>
      </c>
      <c r="AT7" s="1745">
        <v>0</v>
      </c>
      <c r="AU7" s="1745">
        <v>0</v>
      </c>
      <c r="AV7" s="1745">
        <v>1</v>
      </c>
      <c r="AW7" s="1745">
        <v>1</v>
      </c>
      <c r="AY7" s="1746"/>
      <c r="AZ7" s="203" t="str">
        <f>SUBSTITUTE(IF(AND(AZ$3&lt;=$CK6,AZ$3&gt;=$CJ6),$BD5&amp;$BD6&amp;IF(AND(LEFT($BD5,2)="M5",$R$18="Yes"),"A",""),IF(AND(AZ$3&lt;=$CK7,AZ$3&gt;=$CJ7),$BE5&amp;$BE6&amp;IF(AND(LEFT($BE5,2)="M5",$R$18="Yes"),"A",""),IF(AND(AZ$3&lt;=$CK8,AZ$3&gt;=$CJ8),$BF5&amp;$BF6&amp;IF(AND(LEFT($BF5,2)="M5",$R$18="Yes"),"A",""),IF(AND(AZ$3&lt;=$CK9,AZ$3&gt;=$CJ9),$BG5&amp;$BG6&amp;IF(AND(LEFT($BG5,2)="M5",$R$18="Yes"),"A",""),IF(AND(AZ$3&lt;=$CK10,AZ$3&gt;=$CJ10),$BH5&amp;$BH6&amp;IF(AND(LEFT($BH5,2)="M5",$R$18="Yes"),"A",""),""))))),"s","")</f>
        <v>M3</v>
      </c>
      <c r="BA7" s="203" t="str">
        <f>SUBSTITUTE(IF(AND(BA$3&lt;=$CK6,BA$3&gt;=$CJ6),$BD5&amp;$BD6&amp;IF(AND(LEFT($BD5,2)="M5",$R$18="Yes"),"A",""),IF(AND(BA$3&lt;=$CK7,BA$3&gt;=$CJ7),$BE5&amp;$BE6&amp;IF(AND(LEFT($BE5,2)="M5",$R$18="Yes"),"A",""),IF(AND(BA$3&lt;=$CK8,BA$3&gt;=$CJ8),$BF5&amp;$BF6&amp;IF(AND(LEFT($BF5,2)="M5",$R$18="Yes"),"A",""),IF(AND(BA$3&lt;=$CK9,BA$3&gt;=$CJ9),$BG5&amp;$BG6&amp;IF(AND(LEFT($BG5,2)="M5",$R$18="Yes"),"A",""),IF(AND(BA$3&lt;=$CK10,BA$3&gt;=$CJ10),$BH5&amp;$BH6&amp;IF(AND(LEFT($BH5,2)="M5",$R$18="Yes"),"A",""),""))))),"s","")</f>
        <v>M3</v>
      </c>
      <c r="BB7" s="203" t="str">
        <f>SUBSTITUTE(IF(AND(BB$3&lt;=$CK6,BB$3&gt;=$CJ6),$BD5&amp;$BD6&amp;IF(AND(LEFT($BD5,2)="M5",$R$18="Yes"),"A",""),IF(AND(BB$3&lt;=$CK7,BB$3&gt;=$CJ7),$BE5&amp;$BE6&amp;IF(AND(LEFT($BE5,2)="M5",$R$18="Yes"),"A",""),IF(AND(BB$3&lt;=$CK8,BB$3&gt;=$CJ8),$BF5&amp;$BF6&amp;IF(AND(LEFT($BF5,2)="M5",$R$18="Yes"),"A",""),IF(AND(BB$3&lt;=$CK9,BB$3&gt;=$CJ9),$BG5&amp;$BG6&amp;IF(AND(LEFT($BG5,2)="M5",$R$18="Yes"),"A",""),IF(AND(BB$3&lt;=$CK10,BB$3&gt;=$CJ10),$BH5&amp;$BH6&amp;IF(AND(LEFT($BH5,2)="M5",$R$18="Yes"),"A",""),""))))),"s","")</f>
        <v>M3</v>
      </c>
      <c r="BC7" s="203" t="str">
        <f t="shared" ref="BC7:CE7" si="15">SUBSTITUTE(IF(AND(BC$3&lt;=$CK6,BC$3&gt;=$CJ6),$BD5&amp;$BD6&amp;IF(AND(LEFT($BD5,2)="M5",$R$18="Yes"),"A",""),IF(AND(BC$3&lt;=$CK7,BC$3&gt;=$CJ7),$BE5&amp;$BE6&amp;IF(AND(LEFT($BE5,2)="M5",$R$18="Yes"),"A",""),IF(AND(BC$3&lt;=$CK8,BC$3&gt;=$CJ8),$BF5&amp;$BF6&amp;IF(AND(LEFT($BF5,2)="M5",$R$18="Yes"),"A",""),IF(AND(BC$3&lt;=$CK9,BC$3&gt;=$CJ9),$BG5&amp;$BG6&amp;IF(AND(LEFT($BG5,2)="M5",$R$18="Yes"),"A",""),IF(AND(BC$3&lt;=$CK10,BC$3&gt;=$CJ10),$BH5&amp;$BH6&amp;IF(AND(LEFT($BH5,2)="M5",$R$18="Yes"),"A",""),""))))),"s","")</f>
        <v>M3</v>
      </c>
      <c r="BD7" s="203" t="str">
        <f t="shared" si="15"/>
        <v>M3</v>
      </c>
      <c r="BE7" s="203" t="str">
        <f t="shared" si="15"/>
        <v>M3</v>
      </c>
      <c r="BF7" s="203" t="str">
        <f t="shared" si="15"/>
        <v>M3</v>
      </c>
      <c r="BG7" s="203" t="str">
        <f t="shared" si="15"/>
        <v>M3</v>
      </c>
      <c r="BH7" s="203" t="str">
        <f t="shared" si="15"/>
        <v>M3</v>
      </c>
      <c r="BI7" s="203" t="str">
        <f t="shared" si="15"/>
        <v>M3</v>
      </c>
      <c r="BJ7" s="203" t="str">
        <f t="shared" si="15"/>
        <v>M3</v>
      </c>
      <c r="BK7" s="203" t="str">
        <f t="shared" si="15"/>
        <v>M3</v>
      </c>
      <c r="BL7" s="203" t="str">
        <f t="shared" si="15"/>
        <v>M5</v>
      </c>
      <c r="BM7" s="203" t="str">
        <f t="shared" si="15"/>
        <v>M5</v>
      </c>
      <c r="BN7" s="203" t="str">
        <f t="shared" si="15"/>
        <v>M5</v>
      </c>
      <c r="BO7" s="203" t="str">
        <f t="shared" si="15"/>
        <v>M5</v>
      </c>
      <c r="BP7" s="203" t="str">
        <f t="shared" si="15"/>
        <v>M5</v>
      </c>
      <c r="BQ7" s="203" t="str">
        <f t="shared" si="15"/>
        <v>M5</v>
      </c>
      <c r="BR7" s="203" t="str">
        <f t="shared" si="15"/>
        <v/>
      </c>
      <c r="BS7" s="203" t="str">
        <f t="shared" si="15"/>
        <v/>
      </c>
      <c r="BT7" s="203" t="str">
        <f t="shared" si="15"/>
        <v/>
      </c>
      <c r="BU7" s="203" t="str">
        <f t="shared" si="15"/>
        <v/>
      </c>
      <c r="BV7" s="203" t="str">
        <f t="shared" si="15"/>
        <v/>
      </c>
      <c r="BW7" s="203" t="str">
        <f t="shared" si="15"/>
        <v/>
      </c>
      <c r="BX7" s="203" t="str">
        <f t="shared" si="15"/>
        <v/>
      </c>
      <c r="BY7" s="203" t="str">
        <f t="shared" si="15"/>
        <v/>
      </c>
      <c r="BZ7" s="203" t="str">
        <f t="shared" si="15"/>
        <v/>
      </c>
      <c r="CA7" s="203" t="str">
        <f t="shared" si="15"/>
        <v/>
      </c>
      <c r="CB7" s="203" t="str">
        <f t="shared" si="15"/>
        <v/>
      </c>
      <c r="CC7" s="203" t="str">
        <f t="shared" si="15"/>
        <v/>
      </c>
      <c r="CD7" s="203" t="str">
        <f t="shared" si="15"/>
        <v/>
      </c>
      <c r="CE7" s="203" t="str">
        <f t="shared" si="15"/>
        <v/>
      </c>
      <c r="CF7" s="1748"/>
      <c r="CI7" t="str">
        <v>M2p</v>
      </c>
      <c r="CJ7">
        <f>IF(BE5="","",CK6+1)</f>
        <v>7</v>
      </c>
      <c r="CK7">
        <f>IF(BE5="","",CJ7-1+_xlfn.XLOOKUP(BE5,$Z$114:$Z$155,$AA$114:$AA$155))</f>
        <v>12</v>
      </c>
      <c r="CL7">
        <f>COUNTIF($BD$5:$BH$5,CI7)</f>
        <v>0</v>
      </c>
      <c r="CM7" s="1766" t="s">
        <v>1482</v>
      </c>
      <c r="CN7" s="1767">
        <v>635</v>
      </c>
      <c r="CO7" s="1768">
        <v>677</v>
      </c>
      <c r="CP7" s="1767">
        <v>725</v>
      </c>
      <c r="CQ7" s="1768">
        <v>767</v>
      </c>
      <c r="CR7" s="1767">
        <v>852</v>
      </c>
      <c r="CS7" s="1768">
        <v>894</v>
      </c>
      <c r="CT7" s="1767">
        <v>852</v>
      </c>
      <c r="CU7" s="1768">
        <v>894</v>
      </c>
      <c r="CV7" s="1767">
        <v>924</v>
      </c>
      <c r="CW7" s="1767">
        <v>965</v>
      </c>
      <c r="CX7" s="1768">
        <v>1007</v>
      </c>
      <c r="CY7" s="1767">
        <v>1014</v>
      </c>
      <c r="CZ7" s="1767">
        <v>1055</v>
      </c>
      <c r="DA7" s="1768">
        <v>1097</v>
      </c>
      <c r="DB7" s="1769">
        <v>1207</v>
      </c>
      <c r="DC7" s="1770">
        <v>1249</v>
      </c>
    </row>
    <row r="8" spans="1:118" ht="15.75" customHeight="1" thickBot="1" x14ac:dyDescent="0.35">
      <c r="B8" s="1704">
        <f>SUM(U17:Y17)</f>
        <v>63</v>
      </c>
      <c r="C8" s="1705" t="s">
        <v>1483</v>
      </c>
      <c r="D8" s="1706"/>
      <c r="E8" s="1707"/>
      <c r="F8" s="1707"/>
      <c r="G8" s="1708"/>
      <c r="H8" s="1709">
        <f t="shared" si="0"/>
        <v>0</v>
      </c>
      <c r="I8" s="1710">
        <f t="shared" si="8"/>
        <v>0</v>
      </c>
      <c r="J8" s="1711">
        <f t="shared" si="9"/>
        <v>9</v>
      </c>
      <c r="K8" s="1711">
        <f t="shared" si="3"/>
        <v>0</v>
      </c>
      <c r="L8" s="1712">
        <f t="shared" si="10"/>
        <v>0</v>
      </c>
      <c r="M8" s="1712">
        <f t="shared" si="11"/>
        <v>0</v>
      </c>
      <c r="N8" s="1712">
        <f t="shared" si="12"/>
        <v>3</v>
      </c>
      <c r="O8" s="1713">
        <f t="shared" si="13"/>
        <v>0</v>
      </c>
      <c r="P8" s="1759"/>
      <c r="Q8" s="1759"/>
      <c r="R8" s="1759"/>
      <c r="U8" s="1771">
        <v>34</v>
      </c>
      <c r="V8" s="1772"/>
      <c r="W8" s="1773"/>
      <c r="X8" s="1774">
        <v>23</v>
      </c>
      <c r="Y8" s="1775"/>
      <c r="Z8" s="273"/>
      <c r="AC8" s="1771">
        <v>34</v>
      </c>
      <c r="AD8" s="1772"/>
      <c r="AE8" s="1776"/>
      <c r="AF8" s="1774">
        <v>23</v>
      </c>
      <c r="AG8" s="1775"/>
      <c r="AH8" s="1509"/>
      <c r="AI8" s="1509"/>
      <c r="AJ8" s="1509"/>
      <c r="AK8" s="337" t="s">
        <v>1484</v>
      </c>
      <c r="AP8" s="1509"/>
      <c r="AS8" s="1777" t="s">
        <v>1485</v>
      </c>
      <c r="AT8" s="1745">
        <v>0</v>
      </c>
      <c r="AU8" s="1745">
        <v>0</v>
      </c>
      <c r="AV8" s="1745">
        <v>1</v>
      </c>
      <c r="AW8" s="1745">
        <v>1</v>
      </c>
      <c r="AY8" s="1746"/>
      <c r="AZ8" s="1778" t="str">
        <f t="shared" ref="AZ8:CE8" si="16">IF(AND(AZ$3&lt;=$CK6,AZ$3&gt;=$CJ6),$BD5,IF(AND(AZ$3&lt;=$CK7,AZ$3&gt;=$CJ7),$BE5,IF(AND(AZ$3&lt;=$CK8,AZ$3&gt;=$CJ8),$BF5,IF(AND(AZ$3&lt;=$CK9,AZ$3&gt;=$CJ9),$BG5,IF(AND(AZ$3&lt;=$CK10,AZ$3&gt;=$CJ10),$BH5,"")))))</f>
        <v>M3</v>
      </c>
      <c r="BA8" s="509" t="str">
        <f t="shared" si="16"/>
        <v>M3</v>
      </c>
      <c r="BB8" s="509" t="str">
        <f t="shared" si="16"/>
        <v>M3</v>
      </c>
      <c r="BC8" s="509" t="str">
        <f t="shared" si="16"/>
        <v>M3</v>
      </c>
      <c r="BD8" s="509" t="str">
        <f t="shared" si="16"/>
        <v>M3</v>
      </c>
      <c r="BE8" s="509" t="str">
        <f t="shared" si="16"/>
        <v>M3</v>
      </c>
      <c r="BF8" s="509" t="str">
        <f t="shared" si="16"/>
        <v>M3</v>
      </c>
      <c r="BG8" s="509" t="str">
        <f t="shared" si="16"/>
        <v>M3</v>
      </c>
      <c r="BH8" s="509" t="str">
        <f t="shared" si="16"/>
        <v>M3</v>
      </c>
      <c r="BI8" s="509" t="str">
        <f t="shared" si="16"/>
        <v>M3</v>
      </c>
      <c r="BJ8" s="509" t="str">
        <f t="shared" si="16"/>
        <v>M3</v>
      </c>
      <c r="BK8" s="509" t="str">
        <f t="shared" si="16"/>
        <v>M3</v>
      </c>
      <c r="BL8" s="509" t="str">
        <f t="shared" si="16"/>
        <v>M5</v>
      </c>
      <c r="BM8" s="509" t="str">
        <f t="shared" si="16"/>
        <v>M5</v>
      </c>
      <c r="BN8" s="509" t="str">
        <f t="shared" si="16"/>
        <v>M5</v>
      </c>
      <c r="BO8" s="509" t="str">
        <f t="shared" si="16"/>
        <v>M5</v>
      </c>
      <c r="BP8" s="509" t="str">
        <f t="shared" si="16"/>
        <v>M5</v>
      </c>
      <c r="BQ8" s="509" t="str">
        <f t="shared" si="16"/>
        <v>M5</v>
      </c>
      <c r="BR8" s="509" t="str">
        <f t="shared" si="16"/>
        <v/>
      </c>
      <c r="BS8" s="509" t="str">
        <f t="shared" si="16"/>
        <v/>
      </c>
      <c r="BT8" s="509" t="str">
        <f t="shared" si="16"/>
        <v/>
      </c>
      <c r="BU8" s="509" t="str">
        <f t="shared" si="16"/>
        <v/>
      </c>
      <c r="BV8" s="509" t="str">
        <f t="shared" si="16"/>
        <v/>
      </c>
      <c r="BW8" s="509" t="str">
        <f t="shared" si="16"/>
        <v/>
      </c>
      <c r="BX8" s="509" t="str">
        <f t="shared" si="16"/>
        <v/>
      </c>
      <c r="BY8" s="509" t="str">
        <f t="shared" si="16"/>
        <v/>
      </c>
      <c r="BZ8" s="1779" t="str">
        <f t="shared" si="16"/>
        <v/>
      </c>
      <c r="CA8" s="1779" t="str">
        <f t="shared" si="16"/>
        <v/>
      </c>
      <c r="CB8" s="1779" t="str">
        <f t="shared" si="16"/>
        <v/>
      </c>
      <c r="CC8" s="1779" t="str">
        <f t="shared" si="16"/>
        <v/>
      </c>
      <c r="CD8" s="1779" t="str">
        <f t="shared" si="16"/>
        <v/>
      </c>
      <c r="CE8" s="1779" t="str">
        <f t="shared" si="16"/>
        <v/>
      </c>
      <c r="CF8" s="1748"/>
      <c r="CI8" t="str">
        <v>M5</v>
      </c>
      <c r="CJ8">
        <f>IF(BF5="","",CK7+1)</f>
        <v>13</v>
      </c>
      <c r="CK8">
        <f>IF(BF5="","",CJ8-1+_xlfn.XLOOKUP(BF5,$Z$114:$Z$155,$AA$114:$AA$155))</f>
        <v>18</v>
      </c>
      <c r="CL8">
        <f>COUNTIF($BD$5:$BH$5,CI8)</f>
        <v>1</v>
      </c>
      <c r="CN8" s="1780"/>
      <c r="CO8" s="1780"/>
      <c r="CP8" s="1780"/>
      <c r="CQ8" s="1780"/>
      <c r="CR8" s="1780"/>
      <c r="CS8" s="1780"/>
      <c r="CT8" s="1780"/>
      <c r="CU8" s="1780"/>
      <c r="CV8" s="1780"/>
      <c r="CW8" s="1780"/>
      <c r="CX8" s="1780"/>
      <c r="CY8" s="1780"/>
      <c r="CZ8" s="1780"/>
      <c r="DA8" s="1780"/>
      <c r="DB8" s="1780"/>
      <c r="DC8" s="1780"/>
    </row>
    <row r="9" spans="1:118" ht="15.75" customHeight="1" x14ac:dyDescent="0.3">
      <c r="B9" s="1728">
        <f>SUM(AC17:AG17)</f>
        <v>63</v>
      </c>
      <c r="C9" s="1729" t="s">
        <v>1486</v>
      </c>
      <c r="D9" s="1730">
        <v>1</v>
      </c>
      <c r="E9" s="1731">
        <v>1</v>
      </c>
      <c r="F9" s="1731">
        <v>1</v>
      </c>
      <c r="G9" s="1732"/>
      <c r="H9" s="1733">
        <f t="shared" si="0"/>
        <v>6</v>
      </c>
      <c r="I9" s="1734">
        <f t="shared" si="8"/>
        <v>0</v>
      </c>
      <c r="J9" s="1735">
        <f t="shared" si="9"/>
        <v>10</v>
      </c>
      <c r="K9" s="1735">
        <f t="shared" si="3"/>
        <v>0</v>
      </c>
      <c r="L9" s="1736">
        <f t="shared" si="10"/>
        <v>0</v>
      </c>
      <c r="M9" s="1736">
        <f t="shared" si="11"/>
        <v>0</v>
      </c>
      <c r="N9" s="1736">
        <f t="shared" si="12"/>
        <v>2</v>
      </c>
      <c r="O9" s="1737">
        <f t="shared" si="13"/>
        <v>0</v>
      </c>
      <c r="P9" s="1759"/>
      <c r="Q9" s="1759"/>
      <c r="R9" s="1759"/>
      <c r="U9" s="1763"/>
      <c r="V9" s="1764"/>
      <c r="W9" s="1781">
        <v>11</v>
      </c>
      <c r="X9" s="1763"/>
      <c r="Y9" s="1764"/>
      <c r="Z9" s="273"/>
      <c r="AC9" s="1763"/>
      <c r="AD9" s="1764"/>
      <c r="AE9" s="1781">
        <v>11</v>
      </c>
      <c r="AF9" s="1763"/>
      <c r="AG9" s="1764"/>
      <c r="AH9" s="1509"/>
      <c r="AI9" s="1509"/>
      <c r="AJ9" s="1509"/>
      <c r="AK9" s="1741"/>
      <c r="AL9" s="1742"/>
      <c r="AM9" s="1782">
        <v>11</v>
      </c>
      <c r="AN9" s="1741"/>
      <c r="AO9" s="1742"/>
      <c r="AP9" s="1509"/>
      <c r="AS9" s="1509"/>
      <c r="AT9" s="210"/>
      <c r="AU9" s="210"/>
      <c r="AV9" s="210"/>
      <c r="AW9" s="210"/>
      <c r="AY9" s="1746"/>
      <c r="AZ9" s="1783">
        <f>IF(AZ8="","",IF(AZ8=AY6,AY8+1,1))</f>
        <v>1</v>
      </c>
      <c r="BA9" s="1783">
        <f t="shared" ref="BA9:BD9" si="17">IF(BA8="","",IF(AZ16="E",1,AZ9+1))</f>
        <v>2</v>
      </c>
      <c r="BB9" s="1783">
        <f t="shared" si="17"/>
        <v>3</v>
      </c>
      <c r="BC9" s="1783">
        <f t="shared" si="17"/>
        <v>4</v>
      </c>
      <c r="BD9" s="1783">
        <f t="shared" si="17"/>
        <v>5</v>
      </c>
      <c r="BE9" s="1783">
        <f>IF(BE8="","",IF(BD16="E",1,BD9+1))</f>
        <v>6</v>
      </c>
      <c r="BF9" s="1783">
        <f t="shared" ref="BF9:CE9" si="18">IF(BF8="","",IF(BE16="E",1,BE9+1))</f>
        <v>1</v>
      </c>
      <c r="BG9" s="1783">
        <f t="shared" si="18"/>
        <v>2</v>
      </c>
      <c r="BH9" s="1783">
        <f t="shared" si="18"/>
        <v>3</v>
      </c>
      <c r="BI9" s="1783">
        <f t="shared" si="18"/>
        <v>4</v>
      </c>
      <c r="BJ9" s="1783">
        <f t="shared" si="18"/>
        <v>5</v>
      </c>
      <c r="BK9" s="1783">
        <f t="shared" si="18"/>
        <v>6</v>
      </c>
      <c r="BL9" s="1783">
        <f t="shared" si="18"/>
        <v>1</v>
      </c>
      <c r="BM9" s="1783">
        <f t="shared" si="18"/>
        <v>2</v>
      </c>
      <c r="BN9" s="1783">
        <f t="shared" si="18"/>
        <v>3</v>
      </c>
      <c r="BO9" s="1783">
        <f t="shared" si="18"/>
        <v>4</v>
      </c>
      <c r="BP9" s="1783">
        <f t="shared" si="18"/>
        <v>5</v>
      </c>
      <c r="BQ9" s="1783">
        <f t="shared" si="18"/>
        <v>6</v>
      </c>
      <c r="BR9" s="1783" t="str">
        <f t="shared" si="18"/>
        <v/>
      </c>
      <c r="BS9" s="1783" t="str">
        <f t="shared" si="18"/>
        <v/>
      </c>
      <c r="BT9" s="1783" t="str">
        <f t="shared" si="18"/>
        <v/>
      </c>
      <c r="BU9" s="1783" t="str">
        <f t="shared" si="18"/>
        <v/>
      </c>
      <c r="BV9" s="1783" t="str">
        <f t="shared" si="18"/>
        <v/>
      </c>
      <c r="BW9" s="1783" t="str">
        <f t="shared" si="18"/>
        <v/>
      </c>
      <c r="BX9" s="1783" t="str">
        <f t="shared" si="18"/>
        <v/>
      </c>
      <c r="BY9" s="1783" t="str">
        <f t="shared" si="18"/>
        <v/>
      </c>
      <c r="BZ9" s="1783" t="str">
        <f t="shared" si="18"/>
        <v/>
      </c>
      <c r="CA9" s="1783" t="str">
        <f t="shared" si="18"/>
        <v/>
      </c>
      <c r="CB9" s="1783" t="str">
        <f t="shared" si="18"/>
        <v/>
      </c>
      <c r="CC9" s="1783" t="str">
        <f t="shared" si="18"/>
        <v/>
      </c>
      <c r="CD9" s="1783" t="str">
        <f t="shared" si="18"/>
        <v/>
      </c>
      <c r="CE9" s="1783" t="str">
        <f t="shared" si="18"/>
        <v/>
      </c>
      <c r="CF9" s="1748"/>
      <c r="CJ9" t="str">
        <f>IF(BG5="","",CK8+1)</f>
        <v/>
      </c>
      <c r="CK9" t="str">
        <f>IF(BG5="","",CJ9-1+_xlfn.XLOOKUP(BG5,$Z$114:$Z$155,$AA$114:$AA$155))</f>
        <v/>
      </c>
      <c r="CL9">
        <f>COUNTIF($BD$5:$BH$5,CI9)</f>
        <v>0</v>
      </c>
      <c r="CM9" s="1682"/>
      <c r="CN9" s="1784" t="s">
        <v>1487</v>
      </c>
      <c r="CO9" s="1784"/>
      <c r="CP9" s="1784"/>
      <c r="CQ9" s="1784"/>
      <c r="CR9" s="1784"/>
      <c r="CS9" s="1784"/>
      <c r="CT9" s="1784"/>
      <c r="CU9" s="1784"/>
      <c r="CV9" s="1784"/>
      <c r="CW9" s="1784"/>
      <c r="CX9" s="1784"/>
      <c r="CY9" s="1784"/>
      <c r="CZ9" s="1784"/>
      <c r="DA9" s="1784"/>
      <c r="DB9" s="1784"/>
      <c r="DC9" s="1785"/>
      <c r="DE9" s="1786" t="s">
        <v>1488</v>
      </c>
      <c r="DF9" s="1787"/>
      <c r="DG9" s="1787"/>
      <c r="DH9" s="1787"/>
      <c r="DI9" s="1787"/>
      <c r="DJ9" s="1787"/>
      <c r="DK9" s="1679"/>
      <c r="DM9" s="2727" t="s">
        <v>1489</v>
      </c>
      <c r="DN9" s="2728"/>
    </row>
    <row r="10" spans="1:118" ht="15.75" customHeight="1" thickBot="1" x14ac:dyDescent="0.35">
      <c r="B10" s="1749">
        <f>SUM(AC17:AG17)</f>
        <v>63</v>
      </c>
      <c r="C10" s="1750" t="s">
        <v>1490</v>
      </c>
      <c r="D10" s="1751"/>
      <c r="E10" s="1752"/>
      <c r="F10" s="1752"/>
      <c r="G10" s="1753"/>
      <c r="H10" s="1754">
        <f t="shared" si="0"/>
        <v>0</v>
      </c>
      <c r="I10" s="1755">
        <f t="shared" si="8"/>
        <v>0</v>
      </c>
      <c r="J10" s="1756">
        <f t="shared" si="9"/>
        <v>12</v>
      </c>
      <c r="K10" s="1756">
        <f t="shared" si="3"/>
        <v>0</v>
      </c>
      <c r="L10" s="1757">
        <f t="shared" si="10"/>
        <v>0</v>
      </c>
      <c r="M10" s="1757">
        <f t="shared" si="11"/>
        <v>0</v>
      </c>
      <c r="N10" s="1757">
        <f t="shared" si="12"/>
        <v>2</v>
      </c>
      <c r="O10" s="1758">
        <f t="shared" si="13"/>
        <v>0</v>
      </c>
      <c r="P10" s="1759"/>
      <c r="Q10" s="1759"/>
      <c r="R10" s="1759"/>
      <c r="U10" s="1763"/>
      <c r="V10" s="1764"/>
      <c r="W10" s="1781"/>
      <c r="X10" s="1763"/>
      <c r="Y10" s="1764"/>
      <c r="Z10" s="273"/>
      <c r="AC10" s="1763"/>
      <c r="AD10" s="1764"/>
      <c r="AE10" s="1781"/>
      <c r="AF10" s="1763"/>
      <c r="AG10" s="1764"/>
      <c r="AH10" s="1509"/>
      <c r="AI10" s="1509"/>
      <c r="AJ10" s="1509"/>
      <c r="AK10" s="1763"/>
      <c r="AL10" s="1764"/>
      <c r="AM10" s="1781"/>
      <c r="AN10" s="1763"/>
      <c r="AO10" s="1764"/>
      <c r="AP10" s="1509"/>
      <c r="AQ10" s="1509"/>
      <c r="AR10" s="1509"/>
      <c r="AS10" s="1509"/>
      <c r="AT10" s="1509"/>
      <c r="AU10" s="1509"/>
      <c r="AV10" s="1509"/>
      <c r="AW10" s="1509"/>
      <c r="AY10" s="1746"/>
      <c r="AZ10" s="1788">
        <f t="shared" ref="AZ10:CE10" si="19">SUMIFS($AZ$121:$IH$121,$AZ$119:$IH$119,AZ$7,$AZ$120:$IH$120,AZ$9)</f>
        <v>234</v>
      </c>
      <c r="BA10" s="273">
        <f t="shared" si="19"/>
        <v>234</v>
      </c>
      <c r="BB10" s="273">
        <f t="shared" si="19"/>
        <v>234</v>
      </c>
      <c r="BC10" s="273">
        <f t="shared" si="19"/>
        <v>234</v>
      </c>
      <c r="BD10" s="273">
        <f t="shared" si="19"/>
        <v>234</v>
      </c>
      <c r="BE10" s="273">
        <f t="shared" si="19"/>
        <v>234</v>
      </c>
      <c r="BF10" s="273">
        <f t="shared" si="19"/>
        <v>234</v>
      </c>
      <c r="BG10" s="273">
        <f t="shared" si="19"/>
        <v>234</v>
      </c>
      <c r="BH10" s="273">
        <f t="shared" si="19"/>
        <v>234</v>
      </c>
      <c r="BI10" s="273">
        <f t="shared" si="19"/>
        <v>234</v>
      </c>
      <c r="BJ10" s="273">
        <f t="shared" si="19"/>
        <v>234</v>
      </c>
      <c r="BK10" s="273">
        <f t="shared" si="19"/>
        <v>234</v>
      </c>
      <c r="BL10" s="273">
        <f t="shared" si="19"/>
        <v>237</v>
      </c>
      <c r="BM10" s="273">
        <f t="shared" si="19"/>
        <v>237</v>
      </c>
      <c r="BN10" s="273">
        <f t="shared" si="19"/>
        <v>237</v>
      </c>
      <c r="BO10" s="273">
        <f t="shared" si="19"/>
        <v>230</v>
      </c>
      <c r="BP10" s="273">
        <f t="shared" si="19"/>
        <v>230</v>
      </c>
      <c r="BQ10" s="273">
        <f t="shared" si="19"/>
        <v>230</v>
      </c>
      <c r="BR10" s="273">
        <f t="shared" si="19"/>
        <v>0</v>
      </c>
      <c r="BS10" s="273">
        <f t="shared" si="19"/>
        <v>0</v>
      </c>
      <c r="BT10" s="273">
        <f t="shared" si="19"/>
        <v>0</v>
      </c>
      <c r="BU10" s="273">
        <f t="shared" si="19"/>
        <v>0</v>
      </c>
      <c r="BV10" s="273">
        <f t="shared" si="19"/>
        <v>0</v>
      </c>
      <c r="BW10" s="273">
        <f t="shared" si="19"/>
        <v>0</v>
      </c>
      <c r="BX10" s="273">
        <f t="shared" si="19"/>
        <v>0</v>
      </c>
      <c r="BY10" s="273">
        <f t="shared" si="19"/>
        <v>0</v>
      </c>
      <c r="BZ10" s="1783">
        <f t="shared" si="19"/>
        <v>0</v>
      </c>
      <c r="CA10" s="1783">
        <f t="shared" si="19"/>
        <v>0</v>
      </c>
      <c r="CB10" s="1783">
        <f t="shared" si="19"/>
        <v>0</v>
      </c>
      <c r="CC10" s="1783">
        <f t="shared" si="19"/>
        <v>0</v>
      </c>
      <c r="CD10" s="1783">
        <f t="shared" si="19"/>
        <v>0</v>
      </c>
      <c r="CE10" s="1783">
        <f t="shared" si="19"/>
        <v>0</v>
      </c>
      <c r="CF10" s="1748"/>
      <c r="CJ10" t="str">
        <f>IF(BH5="","",CK9+1)</f>
        <v/>
      </c>
      <c r="CK10" t="str">
        <f>IF(BH5="","",CJ10-1+_xlfn.XLOOKUP(BH5,$Z$114:$Z$155,$AA$114:$AA$155))</f>
        <v/>
      </c>
      <c r="CL10">
        <f>COUNTIF($BD$5:$BH$5,CI10)</f>
        <v>0</v>
      </c>
      <c r="CM10" s="1789" t="s">
        <v>1491</v>
      </c>
      <c r="CN10" s="1689" t="s">
        <v>1480</v>
      </c>
      <c r="CO10" s="1689" t="s">
        <v>1481</v>
      </c>
      <c r="CP10" s="1690" t="s">
        <v>1492</v>
      </c>
      <c r="CQ10" s="1690" t="s">
        <v>1493</v>
      </c>
      <c r="CR10" s="1691" t="s">
        <v>1494</v>
      </c>
      <c r="CS10" s="1691" t="s">
        <v>1495</v>
      </c>
      <c r="CT10" s="1692" t="s">
        <v>1496</v>
      </c>
      <c r="CU10" s="1692" t="s">
        <v>1497</v>
      </c>
      <c r="CV10" s="1693" t="s">
        <v>1485</v>
      </c>
      <c r="CW10" s="1693" t="s">
        <v>1498</v>
      </c>
      <c r="CX10" s="1693" t="s">
        <v>1499</v>
      </c>
      <c r="CY10" s="1694" t="s">
        <v>1500</v>
      </c>
      <c r="CZ10" s="1694" t="s">
        <v>1501</v>
      </c>
      <c r="DA10" s="1694" t="s">
        <v>1502</v>
      </c>
      <c r="DB10" s="1790" t="s">
        <v>1503</v>
      </c>
      <c r="DC10" s="1695" t="s">
        <v>1504</v>
      </c>
      <c r="DE10" s="1791" t="s">
        <v>597</v>
      </c>
      <c r="DF10" s="1792" t="s">
        <v>1464</v>
      </c>
      <c r="DG10" s="1793" t="s">
        <v>1465</v>
      </c>
      <c r="DH10" s="1692" t="s">
        <v>1466</v>
      </c>
      <c r="DI10" s="1693" t="s">
        <v>1467</v>
      </c>
      <c r="DJ10" s="1794" t="s">
        <v>1468</v>
      </c>
      <c r="DK10" s="1795" t="s">
        <v>1469</v>
      </c>
      <c r="DM10" s="1796" t="s">
        <v>1505</v>
      </c>
      <c r="DN10" s="1797" t="s">
        <v>1506</v>
      </c>
    </row>
    <row r="11" spans="1:118" ht="15.75" customHeight="1" x14ac:dyDescent="0.3">
      <c r="B11" s="1704">
        <f>SUM(U26:Z26)</f>
        <v>68</v>
      </c>
      <c r="C11" s="1705" t="s">
        <v>1476</v>
      </c>
      <c r="D11" s="1706"/>
      <c r="E11" s="1707"/>
      <c r="F11" s="1707">
        <v>1</v>
      </c>
      <c r="G11" s="1708"/>
      <c r="H11" s="1709">
        <f t="shared" si="0"/>
        <v>2</v>
      </c>
      <c r="I11" s="1710">
        <f t="shared" si="8"/>
        <v>3</v>
      </c>
      <c r="J11" s="1711">
        <f t="shared" si="9"/>
        <v>0</v>
      </c>
      <c r="K11" s="1711">
        <f t="shared" si="3"/>
        <v>0</v>
      </c>
      <c r="L11" s="1712">
        <f t="shared" si="10"/>
        <v>0</v>
      </c>
      <c r="M11" s="1712">
        <f t="shared" si="11"/>
        <v>9</v>
      </c>
      <c r="N11" s="1712">
        <f t="shared" si="12"/>
        <v>0</v>
      </c>
      <c r="O11" s="1713">
        <f t="shared" si="13"/>
        <v>0</v>
      </c>
      <c r="P11" s="1759"/>
      <c r="Q11" s="1759"/>
      <c r="R11" s="1759"/>
      <c r="U11" s="1774">
        <v>23</v>
      </c>
      <c r="V11" s="1775"/>
      <c r="W11" s="1798"/>
      <c r="X11" s="1774">
        <v>23</v>
      </c>
      <c r="Y11" s="1775"/>
      <c r="Z11" s="273"/>
      <c r="AC11" s="1774">
        <v>23</v>
      </c>
      <c r="AD11" s="1775"/>
      <c r="AE11" s="1798"/>
      <c r="AF11" s="1774">
        <v>23</v>
      </c>
      <c r="AG11" s="1775"/>
      <c r="AH11" s="1509"/>
      <c r="AI11" s="1509"/>
      <c r="AJ11" s="1509"/>
      <c r="AK11" s="1774">
        <v>23</v>
      </c>
      <c r="AL11" s="1775"/>
      <c r="AM11" s="1798"/>
      <c r="AN11" s="1774">
        <v>23</v>
      </c>
      <c r="AO11" s="1775"/>
      <c r="AP11" s="1509"/>
      <c r="AQ11" s="1509"/>
      <c r="AR11" s="1509"/>
      <c r="AS11" s="1509"/>
      <c r="AT11" s="1509"/>
      <c r="AU11" s="1509"/>
      <c r="AV11" s="1509"/>
      <c r="AW11" s="1509"/>
      <c r="AY11" s="1746"/>
      <c r="AZ11" s="1788">
        <f t="shared" ref="AZ11:CE11" si="20">SUMIFS($AZ$122:$IH$122,$AZ$119:$IH$119,AZ$7,$AZ$120:$IH$120,AZ$9)</f>
        <v>234</v>
      </c>
      <c r="BA11" s="273">
        <f t="shared" si="20"/>
        <v>234</v>
      </c>
      <c r="BB11" s="273">
        <f t="shared" si="20"/>
        <v>234</v>
      </c>
      <c r="BC11" s="273">
        <f t="shared" si="20"/>
        <v>234</v>
      </c>
      <c r="BD11" s="273">
        <f t="shared" si="20"/>
        <v>234</v>
      </c>
      <c r="BE11" s="273">
        <f t="shared" si="20"/>
        <v>234</v>
      </c>
      <c r="BF11" s="273">
        <f t="shared" si="20"/>
        <v>234</v>
      </c>
      <c r="BG11" s="273">
        <f t="shared" si="20"/>
        <v>234</v>
      </c>
      <c r="BH11" s="273">
        <f t="shared" si="20"/>
        <v>234</v>
      </c>
      <c r="BI11" s="273">
        <f t="shared" si="20"/>
        <v>234</v>
      </c>
      <c r="BJ11" s="273">
        <f t="shared" si="20"/>
        <v>234</v>
      </c>
      <c r="BK11" s="273">
        <f t="shared" si="20"/>
        <v>234</v>
      </c>
      <c r="BL11" s="273">
        <f t="shared" si="20"/>
        <v>237</v>
      </c>
      <c r="BM11" s="273">
        <f t="shared" si="20"/>
        <v>237</v>
      </c>
      <c r="BN11" s="273">
        <f t="shared" si="20"/>
        <v>237</v>
      </c>
      <c r="BO11" s="273">
        <f t="shared" si="20"/>
        <v>230</v>
      </c>
      <c r="BP11" s="273">
        <f t="shared" si="20"/>
        <v>230</v>
      </c>
      <c r="BQ11" s="273">
        <f t="shared" si="20"/>
        <v>230</v>
      </c>
      <c r="BR11" s="273">
        <f t="shared" si="20"/>
        <v>0</v>
      </c>
      <c r="BS11" s="273">
        <f t="shared" si="20"/>
        <v>0</v>
      </c>
      <c r="BT11" s="273">
        <f t="shared" si="20"/>
        <v>0</v>
      </c>
      <c r="BU11" s="273">
        <f t="shared" si="20"/>
        <v>0</v>
      </c>
      <c r="BV11" s="273">
        <f t="shared" si="20"/>
        <v>0</v>
      </c>
      <c r="BW11" s="273">
        <f t="shared" si="20"/>
        <v>0</v>
      </c>
      <c r="BX11" s="273">
        <f t="shared" si="20"/>
        <v>0</v>
      </c>
      <c r="BY11" s="273">
        <f t="shared" si="20"/>
        <v>0</v>
      </c>
      <c r="BZ11" s="1783">
        <f t="shared" si="20"/>
        <v>0</v>
      </c>
      <c r="CA11" s="1783">
        <f t="shared" si="20"/>
        <v>0</v>
      </c>
      <c r="CB11" s="1783">
        <f t="shared" si="20"/>
        <v>0</v>
      </c>
      <c r="CC11" s="1783">
        <f t="shared" si="20"/>
        <v>0</v>
      </c>
      <c r="CD11" s="1783">
        <f t="shared" si="20"/>
        <v>0</v>
      </c>
      <c r="CE11" s="1783">
        <f t="shared" si="20"/>
        <v>0</v>
      </c>
      <c r="CF11" s="1748"/>
      <c r="CL11">
        <f>SUM(CL6:CL10)</f>
        <v>1</v>
      </c>
      <c r="CM11" s="1799" t="s">
        <v>1470</v>
      </c>
      <c r="CN11" s="1528">
        <v>6</v>
      </c>
      <c r="CO11" s="1530">
        <v>3</v>
      </c>
      <c r="CP11" s="1528"/>
      <c r="CQ11" s="1530"/>
      <c r="CR11" s="1529"/>
      <c r="CS11" s="1529"/>
      <c r="CT11" s="1528"/>
      <c r="CU11" s="1530"/>
      <c r="CV11" s="1528">
        <v>3</v>
      </c>
      <c r="CW11" s="1529"/>
      <c r="CX11" s="1530"/>
      <c r="CY11" s="1528"/>
      <c r="CZ11" s="1529"/>
      <c r="DA11" s="1530"/>
      <c r="DB11" s="1528"/>
      <c r="DC11" s="1800"/>
      <c r="DE11" s="1801">
        <f t="shared" ref="DE11:DE28" si="21">IFERROR(SUMPRODUCT(CN11:CO11,CN$7:CO$7)/I5,"")</f>
        <v>649</v>
      </c>
      <c r="DF11" s="1802" t="str">
        <f t="shared" ref="DF11:DF28" si="22">IFERROR(SUMPRODUCT(CP11:CQ11,CP$7:CQ$7)/J5,"")</f>
        <v/>
      </c>
      <c r="DG11" s="1803"/>
      <c r="DH11" s="1804" t="str">
        <f t="shared" ref="DH11:DH28" si="23">IFERROR(SUMPRODUCT(CT11:CU11,CT$7:CU$7)/L5,"")</f>
        <v/>
      </c>
      <c r="DI11" s="1802">
        <f t="shared" ref="DI11:DI28" si="24">IFERROR(SUMPRODUCT(CV11:CX11,CV$7:CX$7)/M5,"")</f>
        <v>924</v>
      </c>
      <c r="DJ11" s="1803" t="str">
        <f t="shared" ref="DJ11:DJ28" si="25">IFERROR(SUMPRODUCT(CY11:DA11,CY$7:DA$7)/N5,"")</f>
        <v/>
      </c>
      <c r="DK11" s="1805" t="str">
        <f>IFERROR(SUMPRODUCT(DB11:DC11,DB$7:DC$7)/O5,"")</f>
        <v/>
      </c>
      <c r="DM11" s="1806">
        <v>715</v>
      </c>
      <c r="DN11" s="1807">
        <v>210</v>
      </c>
    </row>
    <row r="12" spans="1:118" ht="15.75" customHeight="1" x14ac:dyDescent="0.3">
      <c r="B12" s="1728">
        <f>SUM(AC26:AH26)</f>
        <v>68</v>
      </c>
      <c r="C12" s="1729" t="s">
        <v>1507</v>
      </c>
      <c r="D12" s="1730"/>
      <c r="E12" s="1731"/>
      <c r="F12" s="1731"/>
      <c r="G12" s="1732"/>
      <c r="H12" s="1733">
        <f t="shared" si="0"/>
        <v>0</v>
      </c>
      <c r="I12" s="1734">
        <f t="shared" si="8"/>
        <v>4</v>
      </c>
      <c r="J12" s="1735">
        <f t="shared" si="9"/>
        <v>0</v>
      </c>
      <c r="K12" s="1735">
        <f t="shared" si="3"/>
        <v>0</v>
      </c>
      <c r="L12" s="1736">
        <f t="shared" si="10"/>
        <v>0</v>
      </c>
      <c r="M12" s="1736">
        <f t="shared" si="11"/>
        <v>8</v>
      </c>
      <c r="N12" s="1736">
        <f t="shared" si="12"/>
        <v>0</v>
      </c>
      <c r="O12" s="1737">
        <f t="shared" si="13"/>
        <v>0</v>
      </c>
      <c r="P12" s="1759"/>
      <c r="Q12" s="1759"/>
      <c r="R12" s="1759"/>
      <c r="U12" s="273"/>
      <c r="W12" s="273"/>
      <c r="X12" s="273"/>
      <c r="Y12" s="273"/>
      <c r="Z12" s="273"/>
      <c r="AH12" s="1509"/>
      <c r="AI12" s="1509"/>
      <c r="AJ12" s="1509"/>
      <c r="AP12" s="1509"/>
      <c r="AQ12" s="1509"/>
      <c r="AR12" s="1509"/>
      <c r="AS12" s="1509"/>
      <c r="AT12" s="1509"/>
      <c r="AU12" s="1509"/>
      <c r="AV12" s="1509"/>
      <c r="AW12" s="1509"/>
      <c r="AY12" s="1746"/>
      <c r="AZ12" s="1788">
        <f t="shared" ref="AZ12:CE12" si="26">SUMIFS($AZ$123:$IH$123,$AZ$119:$IH$119,AZ$7,$AZ$120:$IH$120,AZ$9)</f>
        <v>34</v>
      </c>
      <c r="BA12" s="273">
        <f t="shared" si="26"/>
        <v>234</v>
      </c>
      <c r="BB12" s="273">
        <f t="shared" si="26"/>
        <v>234</v>
      </c>
      <c r="BC12" s="273">
        <f t="shared" si="26"/>
        <v>34</v>
      </c>
      <c r="BD12" s="273">
        <f t="shared" si="26"/>
        <v>234</v>
      </c>
      <c r="BE12" s="273">
        <f t="shared" si="26"/>
        <v>234</v>
      </c>
      <c r="BF12" s="273">
        <f t="shared" si="26"/>
        <v>34</v>
      </c>
      <c r="BG12" s="273">
        <f t="shared" si="26"/>
        <v>234</v>
      </c>
      <c r="BH12" s="273">
        <f t="shared" si="26"/>
        <v>234</v>
      </c>
      <c r="BI12" s="273">
        <f t="shared" si="26"/>
        <v>34</v>
      </c>
      <c r="BJ12" s="273">
        <f t="shared" si="26"/>
        <v>234</v>
      </c>
      <c r="BK12" s="273">
        <f t="shared" si="26"/>
        <v>234</v>
      </c>
      <c r="BL12" s="273">
        <f t="shared" si="26"/>
        <v>37</v>
      </c>
      <c r="BM12" s="273">
        <f t="shared" si="26"/>
        <v>237</v>
      </c>
      <c r="BN12" s="273">
        <f t="shared" si="26"/>
        <v>237</v>
      </c>
      <c r="BO12" s="273">
        <f t="shared" si="26"/>
        <v>30</v>
      </c>
      <c r="BP12" s="273">
        <f t="shared" si="26"/>
        <v>230</v>
      </c>
      <c r="BQ12" s="273">
        <f t="shared" si="26"/>
        <v>230</v>
      </c>
      <c r="BR12" s="273">
        <f t="shared" si="26"/>
        <v>0</v>
      </c>
      <c r="BS12" s="273">
        <f t="shared" si="26"/>
        <v>0</v>
      </c>
      <c r="BT12" s="273">
        <f t="shared" si="26"/>
        <v>0</v>
      </c>
      <c r="BU12" s="273">
        <f t="shared" si="26"/>
        <v>0</v>
      </c>
      <c r="BV12" s="273">
        <f t="shared" si="26"/>
        <v>0</v>
      </c>
      <c r="BW12" s="273">
        <f t="shared" si="26"/>
        <v>0</v>
      </c>
      <c r="BX12" s="273">
        <f t="shared" si="26"/>
        <v>0</v>
      </c>
      <c r="BY12" s="273">
        <f t="shared" si="26"/>
        <v>0</v>
      </c>
      <c r="BZ12" s="1783">
        <f t="shared" si="26"/>
        <v>0</v>
      </c>
      <c r="CA12" s="1783">
        <f t="shared" si="26"/>
        <v>0</v>
      </c>
      <c r="CB12" s="1783">
        <f t="shared" si="26"/>
        <v>0</v>
      </c>
      <c r="CC12" s="1783">
        <f t="shared" si="26"/>
        <v>0</v>
      </c>
      <c r="CD12" s="1783">
        <f t="shared" si="26"/>
        <v>0</v>
      </c>
      <c r="CE12" s="1783">
        <f t="shared" si="26"/>
        <v>0</v>
      </c>
      <c r="CF12" s="1748"/>
      <c r="CM12" s="1808" t="s">
        <v>1471</v>
      </c>
      <c r="CN12" s="1809">
        <v>8</v>
      </c>
      <c r="CO12" s="1810">
        <v>2</v>
      </c>
      <c r="CP12" s="1809"/>
      <c r="CQ12" s="1810"/>
      <c r="CR12" s="210"/>
      <c r="CS12" s="210"/>
      <c r="CT12" s="1809"/>
      <c r="CU12" s="1810"/>
      <c r="CV12" s="1809">
        <v>2</v>
      </c>
      <c r="CW12" s="210"/>
      <c r="CX12" s="1810"/>
      <c r="CY12" s="1809"/>
      <c r="CZ12" s="210"/>
      <c r="DA12" s="1810"/>
      <c r="DB12" s="1809"/>
      <c r="DC12" s="1807"/>
      <c r="DE12" s="1811">
        <f t="shared" si="21"/>
        <v>643.4</v>
      </c>
      <c r="DF12" s="253" t="str">
        <f t="shared" si="22"/>
        <v/>
      </c>
      <c r="DG12" s="253"/>
      <c r="DH12" s="1812" t="str">
        <f t="shared" si="23"/>
        <v/>
      </c>
      <c r="DI12" s="253">
        <f t="shared" si="24"/>
        <v>924</v>
      </c>
      <c r="DJ12" s="1813" t="str">
        <f t="shared" si="25"/>
        <v/>
      </c>
      <c r="DK12" s="1805" t="str">
        <f>IFERROR(SUMPRODUCT(DB12:DC12,DB$7:DC$7)/O5,"")</f>
        <v/>
      </c>
      <c r="DM12" s="1806">
        <v>1045</v>
      </c>
      <c r="DN12" s="1807">
        <v>210</v>
      </c>
    </row>
    <row r="13" spans="1:118" ht="15.75" customHeight="1" thickBot="1" x14ac:dyDescent="0.35">
      <c r="B13" s="1749">
        <f>SUM(AC26:AH26)</f>
        <v>68</v>
      </c>
      <c r="C13" s="1750" t="s">
        <v>1508</v>
      </c>
      <c r="D13" s="1751"/>
      <c r="E13" s="1752"/>
      <c r="F13" s="1752"/>
      <c r="G13" s="1753"/>
      <c r="H13" s="1754">
        <f t="shared" si="0"/>
        <v>0</v>
      </c>
      <c r="I13" s="1755">
        <f t="shared" si="8"/>
        <v>5</v>
      </c>
      <c r="J13" s="1756">
        <f t="shared" si="9"/>
        <v>0</v>
      </c>
      <c r="K13" s="1756">
        <f t="shared" si="3"/>
        <v>0</v>
      </c>
      <c r="L13" s="1757">
        <f t="shared" si="10"/>
        <v>0</v>
      </c>
      <c r="M13" s="1757">
        <f t="shared" si="11"/>
        <v>9</v>
      </c>
      <c r="N13" s="1757">
        <f t="shared" si="12"/>
        <v>0</v>
      </c>
      <c r="O13" s="1758">
        <f t="shared" si="13"/>
        <v>0</v>
      </c>
      <c r="P13" s="1759"/>
      <c r="Q13" s="1759"/>
      <c r="R13" s="1759"/>
      <c r="U13" s="1697" t="s">
        <v>1483</v>
      </c>
      <c r="V13" s="1698"/>
      <c r="W13" s="1698"/>
      <c r="X13" s="1698"/>
      <c r="Y13" s="1699"/>
      <c r="Z13" s="273"/>
      <c r="AC13" s="1697" t="s">
        <v>1486</v>
      </c>
      <c r="AD13" s="1698"/>
      <c r="AE13" s="1698"/>
      <c r="AF13" s="1698"/>
      <c r="AG13" s="1699"/>
      <c r="AH13" s="1696"/>
      <c r="AI13" s="1509"/>
      <c r="AJ13" s="1509"/>
      <c r="AK13" s="1697" t="s">
        <v>1490</v>
      </c>
      <c r="AL13" s="1698"/>
      <c r="AM13" s="1698"/>
      <c r="AN13" s="1698"/>
      <c r="AO13" s="1699"/>
      <c r="AP13" s="1696"/>
      <c r="AQ13" s="1509"/>
      <c r="AR13" s="1509"/>
      <c r="AS13" s="1697" t="s">
        <v>1490</v>
      </c>
      <c r="AT13" s="1698"/>
      <c r="AU13" s="1698"/>
      <c r="AV13" s="1698"/>
      <c r="AW13" s="1699"/>
      <c r="AY13" s="1746"/>
      <c r="AZ13" s="1788">
        <f t="shared" ref="AZ13:CE13" si="27">SUMIFS($AZ$124:$IH$124,$AZ$119:$IH$119,AZ$7,$AZ$120:$IH$120,AZ$9)</f>
        <v>223</v>
      </c>
      <c r="BA13" s="273">
        <f t="shared" si="27"/>
        <v>223</v>
      </c>
      <c r="BB13" s="273">
        <f t="shared" si="27"/>
        <v>11</v>
      </c>
      <c r="BC13" s="273">
        <f t="shared" si="27"/>
        <v>234</v>
      </c>
      <c r="BD13" s="273">
        <f t="shared" si="27"/>
        <v>234</v>
      </c>
      <c r="BE13" s="273">
        <f t="shared" si="27"/>
        <v>234</v>
      </c>
      <c r="BF13" s="273">
        <f t="shared" si="27"/>
        <v>223</v>
      </c>
      <c r="BG13" s="273">
        <f t="shared" si="27"/>
        <v>223</v>
      </c>
      <c r="BH13" s="273">
        <f t="shared" si="27"/>
        <v>11</v>
      </c>
      <c r="BI13" s="273">
        <f t="shared" si="27"/>
        <v>234</v>
      </c>
      <c r="BJ13" s="273">
        <f t="shared" si="27"/>
        <v>234</v>
      </c>
      <c r="BK13" s="273">
        <f t="shared" si="27"/>
        <v>234</v>
      </c>
      <c r="BL13" s="273">
        <f t="shared" si="27"/>
        <v>226</v>
      </c>
      <c r="BM13" s="273">
        <f t="shared" si="27"/>
        <v>226</v>
      </c>
      <c r="BN13" s="273">
        <f t="shared" si="27"/>
        <v>11</v>
      </c>
      <c r="BO13" s="273">
        <f t="shared" si="27"/>
        <v>230</v>
      </c>
      <c r="BP13" s="273">
        <f t="shared" si="27"/>
        <v>230</v>
      </c>
      <c r="BQ13" s="273">
        <f t="shared" si="27"/>
        <v>230</v>
      </c>
      <c r="BR13" s="273">
        <f t="shared" si="27"/>
        <v>0</v>
      </c>
      <c r="BS13" s="273">
        <f t="shared" si="27"/>
        <v>0</v>
      </c>
      <c r="BT13" s="273">
        <f t="shared" si="27"/>
        <v>0</v>
      </c>
      <c r="BU13" s="273">
        <f t="shared" si="27"/>
        <v>0</v>
      </c>
      <c r="BV13" s="273">
        <f t="shared" si="27"/>
        <v>0</v>
      </c>
      <c r="BW13" s="273">
        <f t="shared" si="27"/>
        <v>0</v>
      </c>
      <c r="BX13" s="273">
        <f t="shared" si="27"/>
        <v>0</v>
      </c>
      <c r="BY13" s="273">
        <f t="shared" si="27"/>
        <v>0</v>
      </c>
      <c r="BZ13" s="1783">
        <f t="shared" si="27"/>
        <v>0</v>
      </c>
      <c r="CA13" s="1783">
        <f t="shared" si="27"/>
        <v>0</v>
      </c>
      <c r="CB13" s="1783">
        <f t="shared" si="27"/>
        <v>0</v>
      </c>
      <c r="CC13" s="1783">
        <f t="shared" si="27"/>
        <v>0</v>
      </c>
      <c r="CD13" s="1783">
        <f t="shared" si="27"/>
        <v>0</v>
      </c>
      <c r="CE13" s="1783">
        <f t="shared" si="27"/>
        <v>0</v>
      </c>
      <c r="CF13" s="1748"/>
      <c r="CM13" s="1814" t="s">
        <v>1472</v>
      </c>
      <c r="CN13" s="1534">
        <v>10</v>
      </c>
      <c r="CO13" s="1815">
        <v>2</v>
      </c>
      <c r="CP13" s="1534"/>
      <c r="CQ13" s="1815"/>
      <c r="CR13" s="1816"/>
      <c r="CS13" s="1816"/>
      <c r="CT13" s="1534"/>
      <c r="CU13" s="1815"/>
      <c r="CV13" s="1534">
        <v>2</v>
      </c>
      <c r="CW13" s="1816"/>
      <c r="CX13" s="1815"/>
      <c r="CY13" s="1534"/>
      <c r="CZ13" s="1816"/>
      <c r="DA13" s="1815"/>
      <c r="DB13" s="1534"/>
      <c r="DC13" s="1817"/>
      <c r="DE13" s="1818">
        <f t="shared" si="21"/>
        <v>642</v>
      </c>
      <c r="DF13" s="254" t="str">
        <f t="shared" si="22"/>
        <v/>
      </c>
      <c r="DG13" s="254"/>
      <c r="DH13" s="1819" t="str">
        <f t="shared" si="23"/>
        <v/>
      </c>
      <c r="DI13" s="254">
        <f t="shared" si="24"/>
        <v>924</v>
      </c>
      <c r="DJ13" s="1820" t="str">
        <f t="shared" si="25"/>
        <v/>
      </c>
      <c r="DK13" s="1821" t="str">
        <f>IFERROR(SUMPRODUCT(DB13:DC13,DB$7:DC$7)/O7,"")</f>
        <v/>
      </c>
      <c r="DM13" s="1806">
        <v>1045</v>
      </c>
      <c r="DN13" s="1807">
        <v>210</v>
      </c>
    </row>
    <row r="14" spans="1:118" ht="15.75" customHeight="1" x14ac:dyDescent="0.3">
      <c r="B14" s="1704">
        <f>SUM(U36:Z36)</f>
        <v>74</v>
      </c>
      <c r="C14" s="1705" t="s">
        <v>1509</v>
      </c>
      <c r="D14" s="1706"/>
      <c r="E14" s="1707"/>
      <c r="F14" s="1707"/>
      <c r="G14" s="1708"/>
      <c r="H14" s="1709">
        <f t="shared" si="0"/>
        <v>0</v>
      </c>
      <c r="I14" s="1710">
        <f t="shared" si="8"/>
        <v>0</v>
      </c>
      <c r="J14" s="1711">
        <f t="shared" si="9"/>
        <v>3</v>
      </c>
      <c r="K14" s="1711">
        <f t="shared" si="3"/>
        <v>0</v>
      </c>
      <c r="L14" s="1712">
        <f t="shared" si="10"/>
        <v>0</v>
      </c>
      <c r="M14" s="1712">
        <f t="shared" si="11"/>
        <v>0</v>
      </c>
      <c r="N14" s="1712">
        <f t="shared" si="12"/>
        <v>9</v>
      </c>
      <c r="O14" s="1713">
        <f t="shared" si="13"/>
        <v>0</v>
      </c>
      <c r="U14" s="273"/>
      <c r="V14" s="273"/>
      <c r="W14" s="273"/>
      <c r="X14" s="273"/>
      <c r="Y14" s="273"/>
      <c r="Z14" s="273"/>
      <c r="AC14" s="273"/>
      <c r="AD14" s="273"/>
      <c r="AE14" s="273"/>
      <c r="AF14" s="273"/>
      <c r="AG14" s="273"/>
      <c r="AH14" s="1696"/>
      <c r="AI14" s="1509"/>
      <c r="AJ14" s="1509"/>
      <c r="AK14" s="273"/>
      <c r="AL14" s="273"/>
      <c r="AM14" s="273"/>
      <c r="AN14" s="273"/>
      <c r="AO14" s="273"/>
      <c r="AP14" s="1696"/>
      <c r="AQ14" s="1509"/>
      <c r="AR14" s="1509"/>
      <c r="AS14" s="1715"/>
      <c r="AT14" s="1716" t="s">
        <v>1474</v>
      </c>
      <c r="AU14" s="1716">
        <v>1</v>
      </c>
      <c r="AV14" s="1716">
        <v>2</v>
      </c>
      <c r="AW14" s="1716">
        <v>3</v>
      </c>
      <c r="AY14" s="1746"/>
      <c r="AZ14" s="1788">
        <f t="shared" ref="AZ14:CE14" si="28">SUMIFS($AZ$125:$IH$125,$AZ$119:$IH$119,AZ$7,$AZ$120:$IH$120,AZ$9)</f>
        <v>223</v>
      </c>
      <c r="BA14" s="273">
        <f t="shared" si="28"/>
        <v>223</v>
      </c>
      <c r="BB14" s="273">
        <f t="shared" si="28"/>
        <v>11</v>
      </c>
      <c r="BC14" s="273">
        <f t="shared" si="28"/>
        <v>234</v>
      </c>
      <c r="BD14" s="273">
        <f t="shared" si="28"/>
        <v>234</v>
      </c>
      <c r="BE14" s="273">
        <f t="shared" si="28"/>
        <v>234</v>
      </c>
      <c r="BF14" s="273">
        <f t="shared" si="28"/>
        <v>223</v>
      </c>
      <c r="BG14" s="273">
        <f t="shared" si="28"/>
        <v>223</v>
      </c>
      <c r="BH14" s="273">
        <f t="shared" si="28"/>
        <v>11</v>
      </c>
      <c r="BI14" s="273">
        <f t="shared" si="28"/>
        <v>234</v>
      </c>
      <c r="BJ14" s="273">
        <f t="shared" si="28"/>
        <v>234</v>
      </c>
      <c r="BK14" s="273">
        <f t="shared" si="28"/>
        <v>234</v>
      </c>
      <c r="BL14" s="273">
        <f t="shared" si="28"/>
        <v>226</v>
      </c>
      <c r="BM14" s="273">
        <f t="shared" si="28"/>
        <v>226</v>
      </c>
      <c r="BN14" s="273">
        <f t="shared" si="28"/>
        <v>11</v>
      </c>
      <c r="BO14" s="273">
        <f t="shared" si="28"/>
        <v>230</v>
      </c>
      <c r="BP14" s="273">
        <f t="shared" si="28"/>
        <v>230</v>
      </c>
      <c r="BQ14" s="273">
        <f t="shared" si="28"/>
        <v>230</v>
      </c>
      <c r="BR14" s="273">
        <f t="shared" si="28"/>
        <v>0</v>
      </c>
      <c r="BS14" s="273">
        <f t="shared" si="28"/>
        <v>0</v>
      </c>
      <c r="BT14" s="273">
        <f t="shared" si="28"/>
        <v>0</v>
      </c>
      <c r="BU14" s="273">
        <f t="shared" si="28"/>
        <v>0</v>
      </c>
      <c r="BV14" s="273">
        <f t="shared" si="28"/>
        <v>0</v>
      </c>
      <c r="BW14" s="273">
        <f t="shared" si="28"/>
        <v>0</v>
      </c>
      <c r="BX14" s="273">
        <f t="shared" si="28"/>
        <v>0</v>
      </c>
      <c r="BY14" s="273">
        <f t="shared" si="28"/>
        <v>0</v>
      </c>
      <c r="BZ14" s="1783">
        <f t="shared" si="28"/>
        <v>0</v>
      </c>
      <c r="CA14" s="1783">
        <f t="shared" si="28"/>
        <v>0</v>
      </c>
      <c r="CB14" s="1783">
        <f t="shared" si="28"/>
        <v>0</v>
      </c>
      <c r="CC14" s="1783">
        <f t="shared" si="28"/>
        <v>0</v>
      </c>
      <c r="CD14" s="1783">
        <f t="shared" si="28"/>
        <v>0</v>
      </c>
      <c r="CE14" s="1783">
        <f t="shared" si="28"/>
        <v>0</v>
      </c>
      <c r="CF14" s="1748"/>
      <c r="CM14" s="1799" t="s">
        <v>1483</v>
      </c>
      <c r="CN14" s="1528"/>
      <c r="CO14" s="1530"/>
      <c r="CP14" s="1528">
        <v>6</v>
      </c>
      <c r="CQ14" s="1530">
        <v>3</v>
      </c>
      <c r="CR14" s="1529"/>
      <c r="CS14" s="1529"/>
      <c r="CT14" s="1528"/>
      <c r="CU14" s="1530"/>
      <c r="CV14" s="1528"/>
      <c r="CW14" s="1529"/>
      <c r="CX14" s="1530"/>
      <c r="CY14" s="1528">
        <v>3</v>
      </c>
      <c r="CZ14" s="1529"/>
      <c r="DA14" s="1530"/>
      <c r="DB14" s="1528"/>
      <c r="DC14" s="1800"/>
      <c r="DE14" s="1801" t="str">
        <f t="shared" si="21"/>
        <v/>
      </c>
      <c r="DF14" s="1802">
        <f t="shared" si="22"/>
        <v>739</v>
      </c>
      <c r="DG14" s="1803"/>
      <c r="DH14" s="1804" t="str">
        <f t="shared" si="23"/>
        <v/>
      </c>
      <c r="DI14" s="1802" t="str">
        <f t="shared" si="24"/>
        <v/>
      </c>
      <c r="DJ14" s="1803">
        <f t="shared" si="25"/>
        <v>1014</v>
      </c>
      <c r="DK14" s="1805" t="str">
        <f>IFERROR(SUMPRODUCT(DB14:DC14,DB$7:DC$7)/O8,"")</f>
        <v/>
      </c>
      <c r="DM14" s="1806">
        <v>715</v>
      </c>
      <c r="DN14" s="1807">
        <v>210</v>
      </c>
    </row>
    <row r="15" spans="1:118" ht="15.75" customHeight="1" x14ac:dyDescent="0.3">
      <c r="B15" s="1728">
        <f>SUM(AC36:AH36)</f>
        <v>74</v>
      </c>
      <c r="C15" s="1729" t="s">
        <v>1510</v>
      </c>
      <c r="D15" s="1730"/>
      <c r="E15" s="1731"/>
      <c r="F15" s="1731"/>
      <c r="G15" s="1732"/>
      <c r="H15" s="1733">
        <f t="shared" si="0"/>
        <v>0</v>
      </c>
      <c r="I15" s="1734">
        <f t="shared" si="8"/>
        <v>0</v>
      </c>
      <c r="J15" s="1735">
        <f t="shared" si="9"/>
        <v>4</v>
      </c>
      <c r="K15" s="1735">
        <f t="shared" si="3"/>
        <v>0</v>
      </c>
      <c r="L15" s="1736">
        <f t="shared" si="10"/>
        <v>0</v>
      </c>
      <c r="M15" s="1736">
        <f t="shared" si="11"/>
        <v>0</v>
      </c>
      <c r="N15" s="1736">
        <f t="shared" si="12"/>
        <v>8</v>
      </c>
      <c r="O15" s="1737">
        <f t="shared" si="13"/>
        <v>0</v>
      </c>
      <c r="P15" s="1759"/>
      <c r="Q15" s="1759"/>
      <c r="R15" s="1759"/>
      <c r="U15" s="1822"/>
      <c r="V15" s="1823"/>
      <c r="W15" s="1824"/>
      <c r="X15" s="1825"/>
      <c r="Y15" s="1826"/>
      <c r="Z15" s="273"/>
      <c r="AC15" s="1822"/>
      <c r="AD15" s="1823"/>
      <c r="AE15" s="1827"/>
      <c r="AF15" s="1825"/>
      <c r="AG15" s="1826"/>
      <c r="AH15" s="1696"/>
      <c r="AI15" s="1509"/>
      <c r="AJ15" s="1509"/>
      <c r="AP15" s="1696"/>
      <c r="AQ15" s="1509"/>
      <c r="AR15" s="1509"/>
      <c r="AS15" s="1828" t="s">
        <v>1492</v>
      </c>
      <c r="AT15" s="1745">
        <v>2</v>
      </c>
      <c r="AU15" s="1745">
        <v>4</v>
      </c>
      <c r="AV15" s="1745">
        <v>2</v>
      </c>
      <c r="AW15" s="1745">
        <v>2</v>
      </c>
      <c r="AY15" s="1746"/>
      <c r="AZ15" s="1788">
        <f t="shared" ref="AZ15:CE15" si="29">SUMIFS($AZ$126:$IH$126,$AZ$119:$IH$119,AZ$7,$AZ$120:$IH$120,AZ$9)</f>
        <v>23</v>
      </c>
      <c r="BA15" s="273">
        <f t="shared" si="29"/>
        <v>223</v>
      </c>
      <c r="BB15" s="273">
        <f t="shared" si="29"/>
        <v>11</v>
      </c>
      <c r="BC15" s="273">
        <f t="shared" si="29"/>
        <v>34</v>
      </c>
      <c r="BD15" s="273">
        <f t="shared" si="29"/>
        <v>234</v>
      </c>
      <c r="BE15" s="273">
        <f t="shared" si="29"/>
        <v>234</v>
      </c>
      <c r="BF15" s="273">
        <f t="shared" si="29"/>
        <v>23</v>
      </c>
      <c r="BG15" s="273">
        <f t="shared" si="29"/>
        <v>223</v>
      </c>
      <c r="BH15" s="273">
        <f t="shared" si="29"/>
        <v>11</v>
      </c>
      <c r="BI15" s="273">
        <f t="shared" si="29"/>
        <v>34</v>
      </c>
      <c r="BJ15" s="273">
        <f t="shared" si="29"/>
        <v>234</v>
      </c>
      <c r="BK15" s="273">
        <f t="shared" si="29"/>
        <v>234</v>
      </c>
      <c r="BL15" s="273">
        <f t="shared" si="29"/>
        <v>26</v>
      </c>
      <c r="BM15" s="273">
        <f t="shared" si="29"/>
        <v>226</v>
      </c>
      <c r="BN15" s="273">
        <f t="shared" si="29"/>
        <v>11</v>
      </c>
      <c r="BO15" s="273">
        <f t="shared" si="29"/>
        <v>30</v>
      </c>
      <c r="BP15" s="273">
        <f t="shared" si="29"/>
        <v>230</v>
      </c>
      <c r="BQ15" s="273">
        <f t="shared" si="29"/>
        <v>230</v>
      </c>
      <c r="BR15" s="273">
        <f t="shared" si="29"/>
        <v>0</v>
      </c>
      <c r="BS15" s="273">
        <f t="shared" si="29"/>
        <v>0</v>
      </c>
      <c r="BT15" s="273">
        <f t="shared" si="29"/>
        <v>0</v>
      </c>
      <c r="BU15" s="273">
        <f t="shared" si="29"/>
        <v>0</v>
      </c>
      <c r="BV15" s="273">
        <f t="shared" si="29"/>
        <v>0</v>
      </c>
      <c r="BW15" s="273">
        <f t="shared" si="29"/>
        <v>0</v>
      </c>
      <c r="BX15" s="273">
        <f t="shared" si="29"/>
        <v>0</v>
      </c>
      <c r="BY15" s="273">
        <f t="shared" si="29"/>
        <v>0</v>
      </c>
      <c r="BZ15" s="1783">
        <f t="shared" si="29"/>
        <v>0</v>
      </c>
      <c r="CA15" s="1783">
        <f t="shared" si="29"/>
        <v>0</v>
      </c>
      <c r="CB15" s="1783">
        <f t="shared" si="29"/>
        <v>0</v>
      </c>
      <c r="CC15" s="1783">
        <f t="shared" si="29"/>
        <v>0</v>
      </c>
      <c r="CD15" s="1783">
        <f t="shared" si="29"/>
        <v>0</v>
      </c>
      <c r="CE15" s="1783">
        <f t="shared" si="29"/>
        <v>0</v>
      </c>
      <c r="CF15" s="1748"/>
      <c r="CM15" s="1808" t="s">
        <v>1486</v>
      </c>
      <c r="CN15" s="1809"/>
      <c r="CO15" s="1810"/>
      <c r="CP15" s="1809">
        <v>8</v>
      </c>
      <c r="CQ15" s="1810">
        <v>2</v>
      </c>
      <c r="CR15" s="210"/>
      <c r="CS15" s="210"/>
      <c r="CT15" s="1809"/>
      <c r="CU15" s="1810"/>
      <c r="CV15" s="1809"/>
      <c r="CW15" s="210"/>
      <c r="CX15" s="1810"/>
      <c r="CY15" s="1809">
        <v>2</v>
      </c>
      <c r="CZ15" s="210"/>
      <c r="DA15" s="1810"/>
      <c r="DB15" s="1809"/>
      <c r="DC15" s="1807"/>
      <c r="DE15" s="1811" t="str">
        <f t="shared" si="21"/>
        <v/>
      </c>
      <c r="DF15" s="253">
        <f t="shared" si="22"/>
        <v>733.4</v>
      </c>
      <c r="DG15" s="253"/>
      <c r="DH15" s="1812" t="str">
        <f t="shared" si="23"/>
        <v/>
      </c>
      <c r="DI15" s="253" t="str">
        <f t="shared" si="24"/>
        <v/>
      </c>
      <c r="DJ15" s="1813">
        <f t="shared" si="25"/>
        <v>1014</v>
      </c>
      <c r="DK15" s="1805" t="str">
        <f>IFERROR(SUMPRODUCT(DB15:DC15,DB$7:DC$7)/O8,"")</f>
        <v/>
      </c>
      <c r="DM15" s="1806">
        <v>1045</v>
      </c>
      <c r="DN15" s="1807">
        <v>210</v>
      </c>
    </row>
    <row r="16" spans="1:118" ht="15.75" customHeight="1" thickBot="1" x14ac:dyDescent="0.35">
      <c r="B16" s="1749">
        <f>SUM(AC36:AH36)</f>
        <v>74</v>
      </c>
      <c r="C16" s="1750" t="s">
        <v>1511</v>
      </c>
      <c r="D16" s="1751"/>
      <c r="E16" s="1752"/>
      <c r="F16" s="1752"/>
      <c r="G16" s="1753"/>
      <c r="H16" s="1754">
        <f t="shared" si="0"/>
        <v>0</v>
      </c>
      <c r="I16" s="1755">
        <f t="shared" si="8"/>
        <v>0</v>
      </c>
      <c r="J16" s="1756">
        <f t="shared" si="9"/>
        <v>5</v>
      </c>
      <c r="K16" s="1756">
        <f t="shared" si="3"/>
        <v>0</v>
      </c>
      <c r="L16" s="1757">
        <f t="shared" si="10"/>
        <v>0</v>
      </c>
      <c r="M16" s="1757">
        <f t="shared" si="11"/>
        <v>0</v>
      </c>
      <c r="N16" s="1757">
        <f t="shared" si="12"/>
        <v>9</v>
      </c>
      <c r="O16" s="1758">
        <f t="shared" si="13"/>
        <v>0</v>
      </c>
      <c r="P16" s="1759"/>
      <c r="Q16" s="1759"/>
      <c r="R16" s="1759"/>
      <c r="U16" s="1829"/>
      <c r="V16" s="1794"/>
      <c r="W16" s="1830"/>
      <c r="X16" s="1831"/>
      <c r="Y16" s="1832"/>
      <c r="Z16" s="273"/>
      <c r="AC16" s="1829"/>
      <c r="AD16" s="1794"/>
      <c r="AE16" s="1833"/>
      <c r="AF16" s="1831"/>
      <c r="AG16" s="1832"/>
      <c r="AH16" s="1696"/>
      <c r="AI16" s="1509"/>
      <c r="AJ16" s="1509"/>
      <c r="AP16" s="1696"/>
      <c r="AQ16" s="1509"/>
      <c r="AR16" s="1509"/>
      <c r="AS16" s="1828" t="s">
        <v>1493</v>
      </c>
      <c r="AT16" s="1745">
        <v>0</v>
      </c>
      <c r="AU16" s="1745">
        <v>0</v>
      </c>
      <c r="AV16" s="1745">
        <v>1</v>
      </c>
      <c r="AW16" s="1745">
        <v>1</v>
      </c>
      <c r="AY16" s="1746"/>
      <c r="AZ16" s="1834" t="str">
        <f t="shared" ref="AZ16:CE16" si="30">IF(_xlfn.XLOOKUP(AZ7,$Z$114:$Z$155,$AA$114:$AA$155,0)=AZ9,"E",IF(_xlfn.XLOOKUP(AZ7,$Z$114:$Z$155,$AB$114:$AB$155,0)=AZ9,"M",""))</f>
        <v/>
      </c>
      <c r="BA16" s="1834" t="str">
        <f t="shared" si="30"/>
        <v/>
      </c>
      <c r="BB16" s="1834" t="str">
        <f t="shared" si="30"/>
        <v>M</v>
      </c>
      <c r="BC16" s="1834" t="str">
        <f t="shared" si="30"/>
        <v/>
      </c>
      <c r="BD16" s="1834" t="str">
        <f t="shared" si="30"/>
        <v/>
      </c>
      <c r="BE16" s="1834" t="str">
        <f t="shared" si="30"/>
        <v>E</v>
      </c>
      <c r="BF16" s="1834" t="str">
        <f t="shared" si="30"/>
        <v/>
      </c>
      <c r="BG16" s="1834" t="str">
        <f t="shared" si="30"/>
        <v/>
      </c>
      <c r="BH16" s="1834" t="str">
        <f t="shared" si="30"/>
        <v>M</v>
      </c>
      <c r="BI16" s="1834" t="str">
        <f t="shared" si="30"/>
        <v/>
      </c>
      <c r="BJ16" s="1834" t="str">
        <f t="shared" si="30"/>
        <v/>
      </c>
      <c r="BK16" s="1834" t="str">
        <f t="shared" si="30"/>
        <v>E</v>
      </c>
      <c r="BL16" s="1834" t="str">
        <f t="shared" si="30"/>
        <v/>
      </c>
      <c r="BM16" s="1834" t="str">
        <f t="shared" si="30"/>
        <v/>
      </c>
      <c r="BN16" s="1834" t="str">
        <f t="shared" si="30"/>
        <v>M</v>
      </c>
      <c r="BO16" s="1834" t="str">
        <f t="shared" si="30"/>
        <v/>
      </c>
      <c r="BP16" s="1834" t="str">
        <f t="shared" si="30"/>
        <v/>
      </c>
      <c r="BQ16" s="1834" t="str">
        <f t="shared" si="30"/>
        <v>E</v>
      </c>
      <c r="BR16" s="1834" t="str">
        <f t="shared" si="30"/>
        <v/>
      </c>
      <c r="BS16" s="1834" t="str">
        <f t="shared" si="30"/>
        <v/>
      </c>
      <c r="BT16" s="1834" t="str">
        <f t="shared" si="30"/>
        <v/>
      </c>
      <c r="BU16" s="1834" t="str">
        <f t="shared" si="30"/>
        <v/>
      </c>
      <c r="BV16" s="1834" t="str">
        <f t="shared" si="30"/>
        <v/>
      </c>
      <c r="BW16" s="1834" t="str">
        <f t="shared" si="30"/>
        <v/>
      </c>
      <c r="BX16" s="1834" t="str">
        <f t="shared" si="30"/>
        <v/>
      </c>
      <c r="BY16" s="1834" t="str">
        <f t="shared" si="30"/>
        <v/>
      </c>
      <c r="BZ16" s="1834" t="str">
        <f t="shared" si="30"/>
        <v/>
      </c>
      <c r="CA16" s="1834" t="str">
        <f t="shared" si="30"/>
        <v/>
      </c>
      <c r="CB16" s="1834" t="str">
        <f t="shared" si="30"/>
        <v/>
      </c>
      <c r="CC16" s="1834" t="str">
        <f t="shared" si="30"/>
        <v/>
      </c>
      <c r="CD16" s="1834" t="str">
        <f t="shared" si="30"/>
        <v/>
      </c>
      <c r="CE16" s="1834" t="str">
        <f t="shared" si="30"/>
        <v/>
      </c>
      <c r="CF16" s="1748"/>
      <c r="CM16" s="1814" t="s">
        <v>1490</v>
      </c>
      <c r="CN16" s="1534"/>
      <c r="CO16" s="1815"/>
      <c r="CP16" s="1534">
        <v>10</v>
      </c>
      <c r="CQ16" s="1815">
        <v>2</v>
      </c>
      <c r="CR16" s="1816"/>
      <c r="CS16" s="1816"/>
      <c r="CT16" s="1534"/>
      <c r="CU16" s="1815"/>
      <c r="CV16" s="1534"/>
      <c r="CW16" s="1816"/>
      <c r="CX16" s="1815"/>
      <c r="CY16" s="1534">
        <v>2</v>
      </c>
      <c r="CZ16" s="1816"/>
      <c r="DA16" s="1815"/>
      <c r="DB16" s="1534"/>
      <c r="DC16" s="1817"/>
      <c r="DE16" s="1818" t="str">
        <f t="shared" si="21"/>
        <v/>
      </c>
      <c r="DF16" s="254">
        <f t="shared" si="22"/>
        <v>732</v>
      </c>
      <c r="DG16" s="254"/>
      <c r="DH16" s="1819" t="str">
        <f t="shared" si="23"/>
        <v/>
      </c>
      <c r="DI16" s="254" t="str">
        <f t="shared" si="24"/>
        <v/>
      </c>
      <c r="DJ16" s="1820">
        <f t="shared" si="25"/>
        <v>1014</v>
      </c>
      <c r="DK16" s="1821" t="str">
        <f t="shared" ref="DK16:DK28" si="31">IFERROR(SUMPRODUCT(DB16:DC16,DB$7:DC$7)/O10,"")</f>
        <v/>
      </c>
      <c r="DM16" s="1806">
        <v>1045</v>
      </c>
      <c r="DN16" s="1807">
        <v>210</v>
      </c>
    </row>
    <row r="17" spans="2:118" ht="15.75" customHeight="1" x14ac:dyDescent="0.4">
      <c r="B17" s="1704">
        <f>SUM(U45:Z45)</f>
        <v>67</v>
      </c>
      <c r="C17" s="1705" t="s">
        <v>1477</v>
      </c>
      <c r="D17" s="1706">
        <v>2</v>
      </c>
      <c r="E17" s="1707"/>
      <c r="F17" s="1707"/>
      <c r="G17" s="1708"/>
      <c r="H17" s="1709">
        <f t="shared" si="0"/>
        <v>4</v>
      </c>
      <c r="I17" s="1710">
        <f t="shared" si="8"/>
        <v>0</v>
      </c>
      <c r="J17" s="1711">
        <f t="shared" si="9"/>
        <v>3</v>
      </c>
      <c r="K17" s="1711">
        <f t="shared" si="3"/>
        <v>0</v>
      </c>
      <c r="L17" s="1712">
        <f t="shared" si="10"/>
        <v>6</v>
      </c>
      <c r="M17" s="1712">
        <f t="shared" si="11"/>
        <v>0</v>
      </c>
      <c r="N17" s="1712">
        <f t="shared" si="12"/>
        <v>3</v>
      </c>
      <c r="O17" s="1713">
        <f t="shared" si="13"/>
        <v>0</v>
      </c>
      <c r="P17" s="2729" t="str">
        <f>IF(COUNTIF(D17:G19,"&gt;0")&gt;0,"For M5/M5p/M5ps: A3s instead of B1s?","")</f>
        <v>For M5/M5p/M5ps: A3s instead of B1s?</v>
      </c>
      <c r="Q17" s="2730"/>
      <c r="U17" s="1835">
        <v>37</v>
      </c>
      <c r="V17" s="1836"/>
      <c r="W17" s="1837"/>
      <c r="X17" s="1838">
        <v>26</v>
      </c>
      <c r="Y17" s="1839"/>
      <c r="Z17" s="273"/>
      <c r="AC17" s="1835">
        <v>37</v>
      </c>
      <c r="AD17" s="1836"/>
      <c r="AE17" s="1840"/>
      <c r="AF17" s="1838">
        <v>26</v>
      </c>
      <c r="AG17" s="1839"/>
      <c r="AH17" s="1696"/>
      <c r="AI17" s="1509"/>
      <c r="AJ17" s="1509"/>
      <c r="AK17" s="337" t="s">
        <v>1484</v>
      </c>
      <c r="AP17" s="1696"/>
      <c r="AQ17" s="1509"/>
      <c r="AR17" s="1509"/>
      <c r="AS17" s="1841" t="s">
        <v>1500</v>
      </c>
      <c r="AT17" s="1745">
        <v>0</v>
      </c>
      <c r="AU17" s="1745">
        <v>0</v>
      </c>
      <c r="AV17" s="1745">
        <v>1</v>
      </c>
      <c r="AW17" s="1745">
        <v>1</v>
      </c>
      <c r="AY17" s="1717"/>
      <c r="AZ17" s="1718" t="s">
        <v>1512</v>
      </c>
      <c r="BA17" s="1719"/>
      <c r="BB17" s="1720"/>
      <c r="BC17" s="1721">
        <f>E24</f>
        <v>2</v>
      </c>
      <c r="BD17" s="1722" t="s">
        <v>1509</v>
      </c>
      <c r="BE17" s="1722" t="s">
        <v>1483</v>
      </c>
      <c r="BF17" s="1722"/>
      <c r="BG17" s="1722"/>
      <c r="BH17" s="1722"/>
      <c r="BI17" s="156" t="str" cm="1">
        <f t="array" ref="BI17">IF(AND(SUM(ABS($E$5:$E$22))=0,COUNTIF(BD17:BH17,"")=5),"",IF(OR(IFERROR(SUM(ABS(BJ18:BO18))&gt;0,"true"),IFERROR(MATCH("mismatch",BP18:BT18)&gt;0,"FALSE")),"Module selection mismatch",""))</f>
        <v>Module selection mismatch</v>
      </c>
      <c r="BJ17" s="1723"/>
      <c r="BK17" s="1723"/>
      <c r="BL17" s="1723"/>
      <c r="BM17" s="1723"/>
      <c r="BN17" s="1723"/>
      <c r="BO17" s="1723"/>
      <c r="BP17" s="1724"/>
      <c r="BQ17" s="1725"/>
      <c r="BR17" s="1725"/>
      <c r="BS17" s="1725"/>
      <c r="BT17" s="1725"/>
      <c r="BU17" s="1725"/>
      <c r="BV17" s="1725"/>
      <c r="BW17" s="1725"/>
      <c r="BX17" s="1725"/>
      <c r="BY17" s="1725"/>
      <c r="BZ17" s="1726"/>
      <c r="CA17" s="1726"/>
      <c r="CB17" s="1726"/>
      <c r="CC17" s="1726"/>
      <c r="CD17" s="1726"/>
      <c r="CE17" s="1726"/>
      <c r="CF17" s="1727"/>
      <c r="CI17" s="273" t="s">
        <v>1478</v>
      </c>
      <c r="CJ17" s="273" t="s">
        <v>311</v>
      </c>
      <c r="CK17" s="273" t="s">
        <v>312</v>
      </c>
      <c r="CL17" s="273" t="s">
        <v>1479</v>
      </c>
      <c r="CM17" s="1799" t="s">
        <v>1476</v>
      </c>
      <c r="CN17" s="1528">
        <v>3</v>
      </c>
      <c r="CO17" s="1530"/>
      <c r="CP17" s="1528"/>
      <c r="CQ17" s="1530"/>
      <c r="CR17" s="1529"/>
      <c r="CS17" s="1529"/>
      <c r="CT17" s="1528"/>
      <c r="CU17" s="1530"/>
      <c r="CV17" s="1528">
        <v>3</v>
      </c>
      <c r="CW17" s="1529">
        <v>3</v>
      </c>
      <c r="CX17" s="1530">
        <v>3</v>
      </c>
      <c r="CY17" s="1528"/>
      <c r="CZ17" s="1529"/>
      <c r="DA17" s="1530"/>
      <c r="DB17" s="1528"/>
      <c r="DC17" s="1800"/>
      <c r="DE17" s="1801">
        <f t="shared" si="21"/>
        <v>635</v>
      </c>
      <c r="DF17" s="1802" t="str">
        <f t="shared" si="22"/>
        <v/>
      </c>
      <c r="DG17" s="1803"/>
      <c r="DH17" s="1804" t="str">
        <f t="shared" si="23"/>
        <v/>
      </c>
      <c r="DI17" s="1802">
        <f t="shared" si="24"/>
        <v>965.33333333333337</v>
      </c>
      <c r="DJ17" s="1803" t="str">
        <f t="shared" si="25"/>
        <v/>
      </c>
      <c r="DK17" s="1805" t="str">
        <f t="shared" si="31"/>
        <v/>
      </c>
      <c r="DM17" s="1806">
        <v>715</v>
      </c>
      <c r="DN17" s="1807">
        <v>210</v>
      </c>
    </row>
    <row r="18" spans="2:118" ht="15.75" customHeight="1" x14ac:dyDescent="0.3">
      <c r="B18" s="1728">
        <f>SUM(AC45:AH45)</f>
        <v>67</v>
      </c>
      <c r="C18" s="1729" t="s">
        <v>1513</v>
      </c>
      <c r="D18" s="1730"/>
      <c r="E18" s="1731"/>
      <c r="F18" s="1731"/>
      <c r="G18" s="1732"/>
      <c r="H18" s="1733">
        <f t="shared" si="0"/>
        <v>0</v>
      </c>
      <c r="I18" s="1734">
        <f t="shared" si="8"/>
        <v>0</v>
      </c>
      <c r="J18" s="1735">
        <f t="shared" si="9"/>
        <v>4</v>
      </c>
      <c r="K18" s="1735">
        <f t="shared" si="3"/>
        <v>0</v>
      </c>
      <c r="L18" s="1736">
        <f t="shared" si="10"/>
        <v>6</v>
      </c>
      <c r="M18" s="1736">
        <f t="shared" si="11"/>
        <v>0</v>
      </c>
      <c r="N18" s="1736">
        <f t="shared" si="12"/>
        <v>2</v>
      </c>
      <c r="O18" s="1737">
        <f t="shared" si="13"/>
        <v>0</v>
      </c>
      <c r="P18" s="2729"/>
      <c r="Q18" s="2730"/>
      <c r="R18" s="1842" t="s">
        <v>998</v>
      </c>
      <c r="U18" s="1831"/>
      <c r="V18" s="1832"/>
      <c r="W18" s="1843">
        <v>11</v>
      </c>
      <c r="X18" s="1825"/>
      <c r="Y18" s="1826"/>
      <c r="Z18" s="273"/>
      <c r="AC18" s="1831"/>
      <c r="AD18" s="1832"/>
      <c r="AE18" s="1843">
        <v>11</v>
      </c>
      <c r="AF18" s="1825"/>
      <c r="AG18" s="1826"/>
      <c r="AH18" s="1696"/>
      <c r="AI18" s="1509"/>
      <c r="AJ18" s="1509"/>
      <c r="AK18" s="1825"/>
      <c r="AL18" s="1826"/>
      <c r="AM18" s="1844">
        <v>11</v>
      </c>
      <c r="AN18" s="1825"/>
      <c r="AO18" s="1826"/>
      <c r="AP18" s="1696"/>
      <c r="AQ18" s="1509"/>
      <c r="AR18" s="1509"/>
      <c r="AS18" s="1509"/>
      <c r="AT18" s="1509"/>
      <c r="AU18" s="1509"/>
      <c r="AV18" s="1509"/>
      <c r="AW18" s="1509"/>
      <c r="AY18" s="1746"/>
      <c r="BA18" s="1723"/>
      <c r="BB18" s="1723"/>
      <c r="BC18" s="1723"/>
      <c r="BD18" s="1722"/>
      <c r="BE18" s="1722"/>
      <c r="BF18" s="1722"/>
      <c r="BG18" s="1722"/>
      <c r="BH18" s="1722"/>
      <c r="BI18" s="182"/>
      <c r="BJ18" s="203">
        <f>_xlfn.XLOOKUP(CI18,$C$5:$C$22,$E$5:$E$22,0)-CL18</f>
        <v>1</v>
      </c>
      <c r="BK18" s="203">
        <f>_xlfn.XLOOKUP(CI19,$C$5:$C$22,$E$5:$E$22,0)-CL19</f>
        <v>1</v>
      </c>
      <c r="BL18" s="203">
        <f>_xlfn.XLOOKUP(CI20,$C$5:$C$22,$E$5:$E$22,0)-CL20</f>
        <v>0</v>
      </c>
      <c r="BM18" s="203">
        <f>_xlfn.XLOOKUP(CI21,$C$5:$C$22,$E$5:$E$22,0)-CL21</f>
        <v>0</v>
      </c>
      <c r="BN18" s="203">
        <f>_xlfn.XLOOKUP(CI22,$C$5:$C$22,$E$5:$E$22,0)-CL22</f>
        <v>0</v>
      </c>
      <c r="BO18" s="203">
        <f>CL23-SUM($E$5:$E$22)</f>
        <v>-2</v>
      </c>
      <c r="BP18" s="203" t="str">
        <f>_xlfn.XLOOKUP(BD17,$CI$18:$CI$23,$CJ$18:$CJ$23,"mismatch")</f>
        <v>mismatch</v>
      </c>
      <c r="BQ18" s="203" t="str">
        <f t="shared" ref="BQ18:BT18" si="32">_xlfn.XLOOKUP(BE17,$CI$18:$CI$23,$CJ$18:$CJ$23,"mismatch")</f>
        <v>mismatch</v>
      </c>
      <c r="BR18" s="203" t="str">
        <f t="shared" si="32"/>
        <v/>
      </c>
      <c r="BS18" s="203" t="str">
        <f t="shared" si="32"/>
        <v/>
      </c>
      <c r="BT18" s="203" t="str">
        <f t="shared" si="32"/>
        <v/>
      </c>
      <c r="BU18" s="203"/>
      <c r="BV18" s="203"/>
      <c r="BW18" s="203"/>
      <c r="BX18" s="203"/>
      <c r="BY18" s="203"/>
      <c r="BZ18" s="203"/>
      <c r="CA18" s="203"/>
      <c r="CB18" s="203"/>
      <c r="CC18" s="203"/>
      <c r="CD18" s="203"/>
      <c r="CE18" s="203"/>
      <c r="CF18" s="1748"/>
      <c r="CI18" t="str" cm="1">
        <f t="array" ref="CI18:CI19">_xlfn.UNIQUE(_xlfn._xlws.FILTER($C$5:$C$22,$E$5:$E$22&gt;0))</f>
        <v>M2p</v>
      </c>
      <c r="CJ18">
        <v>1</v>
      </c>
      <c r="CK18">
        <f>IFERROR(CJ18-1+_xlfn.XLOOKUP(BD17,$Z$114:$Z$155,$AA$114:$AA$155),0)</f>
        <v>6</v>
      </c>
      <c r="CL18">
        <f>COUNTIF($BD$17:$BH$17,CI18)</f>
        <v>0</v>
      </c>
      <c r="CM18" s="1808" t="s">
        <v>1507</v>
      </c>
      <c r="CN18" s="1809">
        <v>4</v>
      </c>
      <c r="CO18" s="1810"/>
      <c r="CP18" s="1809"/>
      <c r="CQ18" s="1810"/>
      <c r="CR18" s="210"/>
      <c r="CS18" s="210"/>
      <c r="CT18" s="1809"/>
      <c r="CU18" s="1810"/>
      <c r="CV18" s="1809">
        <v>2</v>
      </c>
      <c r="CW18" s="210">
        <v>4</v>
      </c>
      <c r="CX18" s="1810">
        <v>2</v>
      </c>
      <c r="CY18" s="1809"/>
      <c r="CZ18" s="210"/>
      <c r="DA18" s="1810"/>
      <c r="DB18" s="1809"/>
      <c r="DC18" s="1807"/>
      <c r="DE18" s="1811">
        <f t="shared" si="21"/>
        <v>635</v>
      </c>
      <c r="DF18" s="253" t="str">
        <f t="shared" si="22"/>
        <v/>
      </c>
      <c r="DG18" s="253"/>
      <c r="DH18" s="1812" t="str">
        <f t="shared" si="23"/>
        <v/>
      </c>
      <c r="DI18" s="253">
        <f t="shared" si="24"/>
        <v>965.25</v>
      </c>
      <c r="DJ18" s="1813" t="str">
        <f t="shared" si="25"/>
        <v/>
      </c>
      <c r="DK18" s="1805" t="str">
        <f t="shared" si="31"/>
        <v/>
      </c>
      <c r="DM18" s="1806">
        <v>1045</v>
      </c>
      <c r="DN18" s="1807">
        <v>210</v>
      </c>
    </row>
    <row r="19" spans="2:118" ht="15.75" customHeight="1" thickBot="1" x14ac:dyDescent="0.35">
      <c r="B19" s="1749">
        <f>SUM(AC45:AH45)</f>
        <v>67</v>
      </c>
      <c r="C19" s="1750" t="s">
        <v>1514</v>
      </c>
      <c r="D19" s="1751"/>
      <c r="E19" s="1752"/>
      <c r="F19" s="1752"/>
      <c r="G19" s="1753"/>
      <c r="H19" s="1754">
        <f t="shared" si="0"/>
        <v>0</v>
      </c>
      <c r="I19" s="1755">
        <f t="shared" si="8"/>
        <v>0</v>
      </c>
      <c r="J19" s="1756">
        <f t="shared" si="9"/>
        <v>5</v>
      </c>
      <c r="K19" s="1756">
        <f t="shared" si="3"/>
        <v>0</v>
      </c>
      <c r="L19" s="1757">
        <f t="shared" si="10"/>
        <v>7</v>
      </c>
      <c r="M19" s="1757">
        <f t="shared" si="11"/>
        <v>0</v>
      </c>
      <c r="N19" s="1757">
        <f t="shared" si="12"/>
        <v>2</v>
      </c>
      <c r="O19" s="1758">
        <f t="shared" si="13"/>
        <v>0</v>
      </c>
      <c r="P19" s="1759"/>
      <c r="Q19" s="1759"/>
      <c r="R19" s="1759"/>
      <c r="U19" s="1831"/>
      <c r="V19" s="1832"/>
      <c r="W19" s="1843"/>
      <c r="X19" s="1831"/>
      <c r="Y19" s="1832"/>
      <c r="Z19" s="273"/>
      <c r="AC19" s="1831"/>
      <c r="AD19" s="1832"/>
      <c r="AE19" s="1843"/>
      <c r="AF19" s="1831"/>
      <c r="AG19" s="1832"/>
      <c r="AH19" s="1696"/>
      <c r="AI19" s="1509"/>
      <c r="AJ19" s="1509"/>
      <c r="AK19" s="1831"/>
      <c r="AL19" s="1832"/>
      <c r="AM19" s="1843"/>
      <c r="AN19" s="1831"/>
      <c r="AO19" s="1832"/>
      <c r="AP19" s="1696"/>
      <c r="AQ19" s="1509"/>
      <c r="AR19" s="1509"/>
      <c r="AS19" s="1509"/>
      <c r="AT19" s="1509"/>
      <c r="AU19" s="1509"/>
      <c r="AV19" s="1509"/>
      <c r="AW19" s="1509"/>
      <c r="AY19" s="1746"/>
      <c r="AZ19" s="203" t="str">
        <f>SUBSTITUTE(IF(AND(AZ$3&lt;=$CK18,AZ$3&gt;=$CJ18),$BD17&amp;$BD18&amp;IF(AND(LEFT($BD17,2)="M5",$R$18="Yes"),"A",""),IF(AND(AZ$3&lt;=$CK19,AZ$3&gt;=$CJ19),$BE17&amp;$BE18&amp;IF(AND(LEFT($BE17,2)="M5",$R$18="Yes"),"A",""),IF(AND(AZ$3&lt;=$CK20,AZ$3&gt;=$CJ20),$BF17&amp;$BF18&amp;IF(AND(LEFT($BF17,2)="M5",$R$18="Yes"),"A",""),IF(AND(AZ$3&lt;=$CK21,AZ$3&gt;=$CJ21),$BG17&amp;$BG18&amp;IF(AND(LEFT($BG17,2)="M5",$R$18="Yes"),"A",""),IF(AND(AZ$3&lt;=$CK22,AZ$3&gt;=$CJ22),$BH17&amp;$BH18&amp;IF(AND(LEFT($BH17,2)="M5",$R$18="Yes"),"A",""),""))))),"s","")</f>
        <v>M4</v>
      </c>
      <c r="BA19" s="203" t="str">
        <f t="shared" ref="BA19:CE19" si="33">SUBSTITUTE(IF(AND(BA$3&lt;=$CK18,BA$3&gt;=$CJ18),$BD17&amp;$BD18&amp;IF(AND(LEFT($BD17,2)="M5",$R$18="Yes"),"A",""),IF(AND(BA$3&lt;=$CK19,BA$3&gt;=$CJ19),$BE17&amp;$BE18&amp;IF(AND(LEFT($BE17,2)="M5",$R$18="Yes"),"A",""),IF(AND(BA$3&lt;=$CK20,BA$3&gt;=$CJ20),$BF17&amp;$BF18&amp;IF(AND(LEFT($BF17,2)="M5",$R$18="Yes"),"A",""),IF(AND(BA$3&lt;=$CK21,BA$3&gt;=$CJ21),$BG17&amp;$BG18&amp;IF(AND(LEFT($BG17,2)="M5",$R$18="Yes"),"A",""),IF(AND(BA$3&lt;=$CK22,BA$3&gt;=$CJ22),$BH17&amp;$BH18&amp;IF(AND(LEFT($BH17,2)="M5",$R$18="Yes"),"A",""),""))))),"s","")</f>
        <v>M4</v>
      </c>
      <c r="BB19" s="203" t="str">
        <f t="shared" si="33"/>
        <v>M4</v>
      </c>
      <c r="BC19" s="203" t="str">
        <f t="shared" si="33"/>
        <v>M4</v>
      </c>
      <c r="BD19" s="203" t="str">
        <f t="shared" si="33"/>
        <v>M4</v>
      </c>
      <c r="BE19" s="203" t="str">
        <f t="shared" si="33"/>
        <v>M4</v>
      </c>
      <c r="BF19" s="203" t="str">
        <f t="shared" si="33"/>
        <v>M2</v>
      </c>
      <c r="BG19" s="203" t="str">
        <f t="shared" si="33"/>
        <v>M2</v>
      </c>
      <c r="BH19" s="203" t="str">
        <f t="shared" si="33"/>
        <v>M2</v>
      </c>
      <c r="BI19" s="203" t="str">
        <f t="shared" si="33"/>
        <v>M2</v>
      </c>
      <c r="BJ19" s="203" t="str">
        <f t="shared" si="33"/>
        <v>M2</v>
      </c>
      <c r="BK19" s="203" t="str">
        <f t="shared" si="33"/>
        <v/>
      </c>
      <c r="BL19" s="203" t="str">
        <f t="shared" si="33"/>
        <v/>
      </c>
      <c r="BM19" s="203" t="str">
        <f t="shared" si="33"/>
        <v/>
      </c>
      <c r="BN19" s="203" t="str">
        <f t="shared" si="33"/>
        <v/>
      </c>
      <c r="BO19" s="203" t="str">
        <f t="shared" si="33"/>
        <v/>
      </c>
      <c r="BP19" s="203" t="str">
        <f t="shared" si="33"/>
        <v/>
      </c>
      <c r="BQ19" s="203" t="str">
        <f t="shared" si="33"/>
        <v/>
      </c>
      <c r="BR19" s="203" t="str">
        <f t="shared" si="33"/>
        <v/>
      </c>
      <c r="BS19" s="203" t="str">
        <f t="shared" si="33"/>
        <v/>
      </c>
      <c r="BT19" s="203" t="str">
        <f t="shared" si="33"/>
        <v/>
      </c>
      <c r="BU19" s="203" t="str">
        <f t="shared" si="33"/>
        <v/>
      </c>
      <c r="BV19" s="203" t="str">
        <f t="shared" si="33"/>
        <v/>
      </c>
      <c r="BW19" s="203" t="str">
        <f t="shared" si="33"/>
        <v/>
      </c>
      <c r="BX19" s="203" t="str">
        <f t="shared" si="33"/>
        <v/>
      </c>
      <c r="BY19" s="203" t="str">
        <f t="shared" si="33"/>
        <v/>
      </c>
      <c r="BZ19" s="203" t="str">
        <f t="shared" si="33"/>
        <v/>
      </c>
      <c r="CA19" s="203" t="str">
        <f t="shared" si="33"/>
        <v/>
      </c>
      <c r="CB19" s="203" t="str">
        <f t="shared" si="33"/>
        <v/>
      </c>
      <c r="CC19" s="203" t="str">
        <f t="shared" si="33"/>
        <v/>
      </c>
      <c r="CD19" s="203" t="str">
        <f t="shared" si="33"/>
        <v/>
      </c>
      <c r="CE19" s="203" t="str">
        <f t="shared" si="33"/>
        <v/>
      </c>
      <c r="CF19" s="1748"/>
      <c r="CI19" t="str">
        <v>M6p</v>
      </c>
      <c r="CJ19">
        <f>IF(BE17="","",CK18+1)</f>
        <v>7</v>
      </c>
      <c r="CK19">
        <f>IF(BE17="","",CJ19-1+_xlfn.XLOOKUP(BE17,$Z$114:$Z$155,$AA$114:$AA$155))</f>
        <v>11</v>
      </c>
      <c r="CL19">
        <f>COUNTIF($BD$17:$BH$17,CI19)</f>
        <v>0</v>
      </c>
      <c r="CM19" s="1814" t="s">
        <v>1508</v>
      </c>
      <c r="CN19" s="1534">
        <v>5</v>
      </c>
      <c r="CO19" s="1815"/>
      <c r="CP19" s="1534"/>
      <c r="CQ19" s="1815"/>
      <c r="CR19" s="1816"/>
      <c r="CS19" s="1816"/>
      <c r="CT19" s="1534"/>
      <c r="CU19" s="1815"/>
      <c r="CV19" s="1534">
        <v>2</v>
      </c>
      <c r="CW19" s="1816">
        <v>5</v>
      </c>
      <c r="CX19" s="1815">
        <v>2</v>
      </c>
      <c r="CY19" s="1534"/>
      <c r="CZ19" s="1816"/>
      <c r="DA19" s="1815"/>
      <c r="DB19" s="1534"/>
      <c r="DC19" s="1817"/>
      <c r="DE19" s="1818">
        <f t="shared" si="21"/>
        <v>635</v>
      </c>
      <c r="DF19" s="254" t="str">
        <f t="shared" si="22"/>
        <v/>
      </c>
      <c r="DG19" s="254"/>
      <c r="DH19" s="1819" t="str">
        <f t="shared" si="23"/>
        <v/>
      </c>
      <c r="DI19" s="254">
        <f t="shared" si="24"/>
        <v>965.22222222222217</v>
      </c>
      <c r="DJ19" s="1820" t="str">
        <f t="shared" si="25"/>
        <v/>
      </c>
      <c r="DK19" s="1821" t="str">
        <f t="shared" si="31"/>
        <v/>
      </c>
      <c r="DM19" s="1806">
        <v>1045</v>
      </c>
      <c r="DN19" s="1807">
        <v>210</v>
      </c>
    </row>
    <row r="20" spans="2:118" ht="15.75" customHeight="1" x14ac:dyDescent="0.3">
      <c r="B20" s="1704">
        <f>SUM(U54:AA54)</f>
        <v>76</v>
      </c>
      <c r="C20" s="1705" t="s">
        <v>1515</v>
      </c>
      <c r="D20" s="1706"/>
      <c r="E20" s="1707"/>
      <c r="F20" s="1707">
        <v>1</v>
      </c>
      <c r="G20" s="1708"/>
      <c r="H20" s="1709">
        <f t="shared" si="0"/>
        <v>2</v>
      </c>
      <c r="I20" s="1710">
        <f t="shared" si="8"/>
        <v>3</v>
      </c>
      <c r="J20" s="1711">
        <f t="shared" si="9"/>
        <v>0</v>
      </c>
      <c r="K20" s="1711">
        <f t="shared" si="3"/>
        <v>0</v>
      </c>
      <c r="L20" s="1712">
        <f t="shared" si="10"/>
        <v>0</v>
      </c>
      <c r="M20" s="1712">
        <f t="shared" si="11"/>
        <v>3</v>
      </c>
      <c r="N20" s="1712">
        <f t="shared" si="12"/>
        <v>0</v>
      </c>
      <c r="O20" s="1713">
        <f t="shared" si="13"/>
        <v>6</v>
      </c>
      <c r="P20" s="1845"/>
      <c r="Q20" s="1845"/>
      <c r="R20" s="1845"/>
      <c r="U20" s="1838">
        <v>26</v>
      </c>
      <c r="V20" s="1839"/>
      <c r="W20" s="1846"/>
      <c r="X20" s="1838">
        <v>26</v>
      </c>
      <c r="Y20" s="1839"/>
      <c r="Z20" s="273"/>
      <c r="AC20" s="1838">
        <v>26</v>
      </c>
      <c r="AD20" s="1839"/>
      <c r="AE20" s="1846"/>
      <c r="AF20" s="1838">
        <v>26</v>
      </c>
      <c r="AG20" s="1839"/>
      <c r="AH20" s="1696"/>
      <c r="AI20" s="1509"/>
      <c r="AJ20" s="1509"/>
      <c r="AK20" s="1838">
        <v>26</v>
      </c>
      <c r="AL20" s="1839"/>
      <c r="AM20" s="1846"/>
      <c r="AN20" s="1838">
        <v>26</v>
      </c>
      <c r="AO20" s="1839"/>
      <c r="AP20" s="1696"/>
      <c r="AQ20" s="1509"/>
      <c r="AR20" s="1509"/>
      <c r="AS20" s="1509"/>
      <c r="AT20" s="1509"/>
      <c r="AU20" s="1509"/>
      <c r="AV20" s="1509"/>
      <c r="AW20" s="1509"/>
      <c r="AY20" s="1746"/>
      <c r="AZ20" s="509" t="str">
        <f t="shared" ref="AZ20:CE20" si="34">IF(AND(AZ$3&lt;=$CK18,AZ$3&gt;=$CJ18),$BD17,IF(AND(AZ$3&lt;=$CK19,AZ$3&gt;=$CJ19),$BE17,IF(AND(AZ$3&lt;=$CK20,AZ$3&gt;=$CJ20),$BF17,IF(AND(AZ$3&lt;=$CK21,AZ$3&gt;=$CJ21),$BG17,IF(AND(AZ$3&lt;=$CK22,AZ$3&gt;=$CJ22),$BH17,"")))))</f>
        <v>M4</v>
      </c>
      <c r="BA20" s="509" t="str">
        <f t="shared" si="34"/>
        <v>M4</v>
      </c>
      <c r="BB20" s="509" t="str">
        <f t="shared" si="34"/>
        <v>M4</v>
      </c>
      <c r="BC20" s="509" t="str">
        <f t="shared" si="34"/>
        <v>M4</v>
      </c>
      <c r="BD20" s="509" t="str">
        <f t="shared" si="34"/>
        <v>M4</v>
      </c>
      <c r="BE20" s="509" t="str">
        <f t="shared" si="34"/>
        <v>M4</v>
      </c>
      <c r="BF20" s="509" t="str">
        <f t="shared" si="34"/>
        <v>M2</v>
      </c>
      <c r="BG20" s="509" t="str">
        <f t="shared" si="34"/>
        <v>M2</v>
      </c>
      <c r="BH20" s="509" t="str">
        <f t="shared" si="34"/>
        <v>M2</v>
      </c>
      <c r="BI20" s="509" t="str">
        <f t="shared" si="34"/>
        <v>M2</v>
      </c>
      <c r="BJ20" s="509" t="str">
        <f t="shared" si="34"/>
        <v>M2</v>
      </c>
      <c r="BK20" s="509" t="str">
        <f t="shared" si="34"/>
        <v/>
      </c>
      <c r="BL20" s="509" t="str">
        <f t="shared" si="34"/>
        <v/>
      </c>
      <c r="BM20" s="509" t="str">
        <f t="shared" si="34"/>
        <v/>
      </c>
      <c r="BN20" s="509" t="str">
        <f t="shared" si="34"/>
        <v/>
      </c>
      <c r="BO20" s="509" t="str">
        <f t="shared" si="34"/>
        <v/>
      </c>
      <c r="BP20" s="509" t="str">
        <f t="shared" si="34"/>
        <v/>
      </c>
      <c r="BQ20" s="509" t="str">
        <f t="shared" si="34"/>
        <v/>
      </c>
      <c r="BR20" s="509" t="str">
        <f t="shared" si="34"/>
        <v/>
      </c>
      <c r="BS20" s="509" t="str">
        <f t="shared" si="34"/>
        <v/>
      </c>
      <c r="BT20" s="509" t="str">
        <f t="shared" si="34"/>
        <v/>
      </c>
      <c r="BU20" s="509" t="str">
        <f t="shared" si="34"/>
        <v/>
      </c>
      <c r="BV20" s="509" t="str">
        <f t="shared" si="34"/>
        <v/>
      </c>
      <c r="BW20" s="509" t="str">
        <f t="shared" si="34"/>
        <v/>
      </c>
      <c r="BX20" s="509" t="str">
        <f t="shared" si="34"/>
        <v/>
      </c>
      <c r="BY20" s="509" t="str">
        <f t="shared" si="34"/>
        <v/>
      </c>
      <c r="BZ20" s="1779" t="str">
        <f t="shared" si="34"/>
        <v/>
      </c>
      <c r="CA20" s="1779" t="str">
        <f t="shared" si="34"/>
        <v/>
      </c>
      <c r="CB20" s="1779" t="str">
        <f t="shared" si="34"/>
        <v/>
      </c>
      <c r="CC20" s="1779" t="str">
        <f t="shared" si="34"/>
        <v/>
      </c>
      <c r="CD20" s="1779" t="str">
        <f t="shared" si="34"/>
        <v/>
      </c>
      <c r="CE20" s="1779" t="str">
        <f t="shared" si="34"/>
        <v/>
      </c>
      <c r="CF20" s="1748"/>
      <c r="CJ20" t="str">
        <f>IF(BF17="","",CK19+1)</f>
        <v/>
      </c>
      <c r="CK20" t="str">
        <f>IF(BF17="","",CJ20-1+_xlfn.XLOOKUP(BF17,$Z$114:$Z$155,$AA$114:$AA$155))</f>
        <v/>
      </c>
      <c r="CL20">
        <f>COUNTIF($BD$17:$BH$17,CI20)</f>
        <v>0</v>
      </c>
      <c r="CM20" s="1799" t="s">
        <v>1509</v>
      </c>
      <c r="CN20" s="1528"/>
      <c r="CO20" s="1530"/>
      <c r="CP20" s="1528">
        <v>3</v>
      </c>
      <c r="CQ20" s="1530"/>
      <c r="CR20" s="1529"/>
      <c r="CS20" s="1529"/>
      <c r="CT20" s="1528"/>
      <c r="CU20" s="1530"/>
      <c r="CV20" s="1528"/>
      <c r="CW20" s="1529"/>
      <c r="CX20" s="1530"/>
      <c r="CY20" s="1528">
        <v>3</v>
      </c>
      <c r="CZ20" s="1529">
        <v>3</v>
      </c>
      <c r="DA20" s="1530">
        <v>3</v>
      </c>
      <c r="DB20" s="1528"/>
      <c r="DC20" s="1800"/>
      <c r="DE20" s="1801" t="str">
        <f t="shared" si="21"/>
        <v/>
      </c>
      <c r="DF20" s="1802">
        <f t="shared" si="22"/>
        <v>725</v>
      </c>
      <c r="DG20" s="1803"/>
      <c r="DH20" s="1804" t="str">
        <f t="shared" si="23"/>
        <v/>
      </c>
      <c r="DI20" s="1802" t="str">
        <f t="shared" si="24"/>
        <v/>
      </c>
      <c r="DJ20" s="1803">
        <f t="shared" si="25"/>
        <v>1055.3333333333333</v>
      </c>
      <c r="DK20" s="1805" t="str">
        <f t="shared" si="31"/>
        <v/>
      </c>
      <c r="DM20" s="1806">
        <v>715</v>
      </c>
      <c r="DN20" s="1807">
        <v>210</v>
      </c>
    </row>
    <row r="21" spans="2:118" ht="15.75" customHeight="1" x14ac:dyDescent="0.3">
      <c r="B21" s="1728">
        <f>SUM(AC54:AI54)</f>
        <v>76</v>
      </c>
      <c r="C21" s="1729" t="s">
        <v>1516</v>
      </c>
      <c r="D21" s="1730"/>
      <c r="E21" s="1731">
        <v>1</v>
      </c>
      <c r="F21" s="1731"/>
      <c r="G21" s="1732"/>
      <c r="H21" s="1733">
        <f t="shared" si="0"/>
        <v>2</v>
      </c>
      <c r="I21" s="1734">
        <f t="shared" si="8"/>
        <v>4</v>
      </c>
      <c r="J21" s="1735">
        <f t="shared" si="9"/>
        <v>0</v>
      </c>
      <c r="K21" s="1735">
        <f t="shared" si="3"/>
        <v>0</v>
      </c>
      <c r="L21" s="1736">
        <f t="shared" si="10"/>
        <v>0</v>
      </c>
      <c r="M21" s="1736">
        <f t="shared" si="11"/>
        <v>2</v>
      </c>
      <c r="N21" s="1736">
        <f t="shared" si="12"/>
        <v>0</v>
      </c>
      <c r="O21" s="1737">
        <f t="shared" si="13"/>
        <v>6</v>
      </c>
      <c r="P21" s="1845"/>
      <c r="Q21" s="1845"/>
      <c r="R21" s="1845"/>
      <c r="U21" s="273"/>
      <c r="W21" s="273"/>
      <c r="X21" s="273"/>
      <c r="Y21" s="273"/>
      <c r="Z21" s="273"/>
      <c r="AC21" s="273"/>
      <c r="AD21" s="273"/>
      <c r="AE21" s="273"/>
      <c r="AF21" s="273"/>
      <c r="AG21" s="273"/>
      <c r="AH21" s="1696"/>
      <c r="AI21" s="1509"/>
      <c r="AJ21" s="1509"/>
      <c r="AK21" s="273"/>
      <c r="AL21" s="273"/>
      <c r="AM21" s="273"/>
      <c r="AN21" s="273"/>
      <c r="AO21" s="273"/>
      <c r="AP21" s="1696"/>
      <c r="AQ21" s="1509"/>
      <c r="AR21" s="1509"/>
      <c r="AS21" s="1509"/>
      <c r="AT21" s="1509"/>
      <c r="AU21" s="1509"/>
      <c r="AV21" s="1509"/>
      <c r="AW21" s="1509"/>
      <c r="AY21" s="1746"/>
      <c r="AZ21" s="1783">
        <f>IF(AZ20="","",IF(AZ20=AY18,AY20+1,1))</f>
        <v>1</v>
      </c>
      <c r="BA21" s="1783">
        <f t="shared" ref="BA21:BD21" si="35">IF(BA20="","",IF(AZ28="E",1,AZ21+1))</f>
        <v>2</v>
      </c>
      <c r="BB21" s="1783">
        <f t="shared" si="35"/>
        <v>3</v>
      </c>
      <c r="BC21" s="1783">
        <f t="shared" si="35"/>
        <v>4</v>
      </c>
      <c r="BD21" s="1783">
        <f t="shared" si="35"/>
        <v>5</v>
      </c>
      <c r="BE21" s="1783">
        <f>IF(BE20="","",IF(BD28="E",1,BD21+1))</f>
        <v>6</v>
      </c>
      <c r="BF21" s="1783">
        <f t="shared" ref="BF21:CE21" si="36">IF(BF20="","",IF(BE28="E",1,BE21+1))</f>
        <v>1</v>
      </c>
      <c r="BG21" s="1783">
        <f t="shared" si="36"/>
        <v>2</v>
      </c>
      <c r="BH21" s="1783">
        <f t="shared" si="36"/>
        <v>3</v>
      </c>
      <c r="BI21" s="1783">
        <f t="shared" si="36"/>
        <v>4</v>
      </c>
      <c r="BJ21" s="1783">
        <f t="shared" si="36"/>
        <v>5</v>
      </c>
      <c r="BK21" s="1783" t="str">
        <f t="shared" si="36"/>
        <v/>
      </c>
      <c r="BL21" s="1783" t="str">
        <f t="shared" si="36"/>
        <v/>
      </c>
      <c r="BM21" s="1783" t="str">
        <f t="shared" si="36"/>
        <v/>
      </c>
      <c r="BN21" s="1783" t="str">
        <f t="shared" si="36"/>
        <v/>
      </c>
      <c r="BO21" s="1783" t="str">
        <f t="shared" si="36"/>
        <v/>
      </c>
      <c r="BP21" s="1783" t="str">
        <f t="shared" si="36"/>
        <v/>
      </c>
      <c r="BQ21" s="1783" t="str">
        <f t="shared" si="36"/>
        <v/>
      </c>
      <c r="BR21" s="1783" t="str">
        <f t="shared" si="36"/>
        <v/>
      </c>
      <c r="BS21" s="1783" t="str">
        <f t="shared" si="36"/>
        <v/>
      </c>
      <c r="BT21" s="1783" t="str">
        <f t="shared" si="36"/>
        <v/>
      </c>
      <c r="BU21" s="1783" t="str">
        <f t="shared" si="36"/>
        <v/>
      </c>
      <c r="BV21" s="1783" t="str">
        <f t="shared" si="36"/>
        <v/>
      </c>
      <c r="BW21" s="1783" t="str">
        <f t="shared" si="36"/>
        <v/>
      </c>
      <c r="BX21" s="1783" t="str">
        <f t="shared" si="36"/>
        <v/>
      </c>
      <c r="BY21" s="1783" t="str">
        <f t="shared" si="36"/>
        <v/>
      </c>
      <c r="BZ21" s="1783" t="str">
        <f t="shared" si="36"/>
        <v/>
      </c>
      <c r="CA21" s="1783" t="str">
        <f t="shared" si="36"/>
        <v/>
      </c>
      <c r="CB21" s="1783" t="str">
        <f t="shared" si="36"/>
        <v/>
      </c>
      <c r="CC21" s="1783" t="str">
        <f t="shared" si="36"/>
        <v/>
      </c>
      <c r="CD21" s="1783" t="str">
        <f t="shared" si="36"/>
        <v/>
      </c>
      <c r="CE21" s="1783" t="str">
        <f t="shared" si="36"/>
        <v/>
      </c>
      <c r="CF21" s="1748"/>
      <c r="CJ21" t="str">
        <f>IF(BG17="","",CK20+1)</f>
        <v/>
      </c>
      <c r="CK21" t="str">
        <f>IF(BG17="","",CJ21-1+_xlfn.XLOOKUP(BG17,$Z$114:$Z$155,$AA$114:$AA$155))</f>
        <v/>
      </c>
      <c r="CL21">
        <f>COUNTIF($BD$17:$BH$17,CI21)</f>
        <v>0</v>
      </c>
      <c r="CM21" s="1808" t="s">
        <v>1510</v>
      </c>
      <c r="CN21" s="1809"/>
      <c r="CO21" s="1810"/>
      <c r="CP21" s="1809">
        <v>4</v>
      </c>
      <c r="CQ21" s="1810"/>
      <c r="CR21" s="210"/>
      <c r="CS21" s="210"/>
      <c r="CT21" s="1809"/>
      <c r="CU21" s="1810"/>
      <c r="CV21" s="1809"/>
      <c r="CW21" s="210"/>
      <c r="CX21" s="1810"/>
      <c r="CY21" s="1809">
        <v>2</v>
      </c>
      <c r="CZ21" s="210">
        <v>4</v>
      </c>
      <c r="DA21" s="1810">
        <v>2</v>
      </c>
      <c r="DB21" s="1809"/>
      <c r="DC21" s="1807"/>
      <c r="DE21" s="1811" t="str">
        <f t="shared" si="21"/>
        <v/>
      </c>
      <c r="DF21" s="253">
        <f t="shared" si="22"/>
        <v>725</v>
      </c>
      <c r="DG21" s="253"/>
      <c r="DH21" s="1812" t="str">
        <f t="shared" si="23"/>
        <v/>
      </c>
      <c r="DI21" s="253" t="str">
        <f t="shared" si="24"/>
        <v/>
      </c>
      <c r="DJ21" s="1813">
        <f t="shared" si="25"/>
        <v>1055.25</v>
      </c>
      <c r="DK21" s="1805" t="str">
        <f t="shared" si="31"/>
        <v/>
      </c>
      <c r="DM21" s="1806">
        <v>1045</v>
      </c>
      <c r="DN21" s="1807">
        <v>210</v>
      </c>
    </row>
    <row r="22" spans="2:118" ht="15.75" customHeight="1" thickBot="1" x14ac:dyDescent="0.35">
      <c r="B22" s="1749">
        <f>SUM(AC54:AI54)</f>
        <v>76</v>
      </c>
      <c r="C22" s="1750" t="s">
        <v>1517</v>
      </c>
      <c r="D22" s="1751"/>
      <c r="E22" s="1752"/>
      <c r="F22" s="1752"/>
      <c r="G22" s="1753"/>
      <c r="H22" s="1754">
        <f t="shared" si="0"/>
        <v>0</v>
      </c>
      <c r="I22" s="1755">
        <f t="shared" si="8"/>
        <v>5</v>
      </c>
      <c r="J22" s="1756">
        <f t="shared" si="9"/>
        <v>0</v>
      </c>
      <c r="K22" s="1756">
        <f t="shared" si="3"/>
        <v>0</v>
      </c>
      <c r="L22" s="1757">
        <f t="shared" si="10"/>
        <v>0</v>
      </c>
      <c r="M22" s="1757">
        <f t="shared" si="11"/>
        <v>2</v>
      </c>
      <c r="N22" s="1757">
        <f t="shared" si="12"/>
        <v>0</v>
      </c>
      <c r="O22" s="1758">
        <f t="shared" si="13"/>
        <v>7</v>
      </c>
      <c r="P22" s="1759"/>
      <c r="Q22" s="1759"/>
      <c r="R22" s="1759"/>
      <c r="U22" s="1697" t="s">
        <v>1476</v>
      </c>
      <c r="V22" s="1698"/>
      <c r="W22" s="1698"/>
      <c r="X22" s="1698"/>
      <c r="Y22" s="1698"/>
      <c r="Z22" s="1699"/>
      <c r="AC22" s="1697" t="s">
        <v>1507</v>
      </c>
      <c r="AD22" s="1698"/>
      <c r="AE22" s="1698"/>
      <c r="AF22" s="1698"/>
      <c r="AG22" s="1698"/>
      <c r="AH22" s="1699"/>
      <c r="AK22" s="1697" t="s">
        <v>1508</v>
      </c>
      <c r="AL22" s="1698"/>
      <c r="AM22" s="1698"/>
      <c r="AN22" s="1698"/>
      <c r="AO22" s="1698"/>
      <c r="AP22" s="1699"/>
      <c r="AS22" s="1697" t="s">
        <v>1508</v>
      </c>
      <c r="AT22" s="1698"/>
      <c r="AU22" s="1698"/>
      <c r="AV22" s="1698"/>
      <c r="AW22" s="1698"/>
      <c r="AX22" s="1699"/>
      <c r="AY22" s="1746"/>
      <c r="AZ22" s="1788">
        <f t="shared" ref="AZ22:CE22" si="37">SUMIFS($AZ$121:$IH$121,$AZ$119:$IH$119,AZ$19,$AZ$120:$IH$120,AZ$21)</f>
        <v>237</v>
      </c>
      <c r="BA22" s="273">
        <f t="shared" si="37"/>
        <v>237</v>
      </c>
      <c r="BB22" s="273">
        <f t="shared" si="37"/>
        <v>237</v>
      </c>
      <c r="BC22" s="273">
        <f t="shared" si="37"/>
        <v>237</v>
      </c>
      <c r="BD22" s="273">
        <f t="shared" si="37"/>
        <v>237</v>
      </c>
      <c r="BE22" s="273">
        <f t="shared" si="37"/>
        <v>237</v>
      </c>
      <c r="BF22" s="273">
        <f t="shared" si="37"/>
        <v>237</v>
      </c>
      <c r="BG22" s="273">
        <f t="shared" si="37"/>
        <v>237</v>
      </c>
      <c r="BH22" s="273">
        <f t="shared" si="37"/>
        <v>237</v>
      </c>
      <c r="BI22" s="273">
        <f t="shared" si="37"/>
        <v>226</v>
      </c>
      <c r="BJ22" s="273">
        <f t="shared" si="37"/>
        <v>226</v>
      </c>
      <c r="BK22" s="273">
        <f t="shared" si="37"/>
        <v>0</v>
      </c>
      <c r="BL22" s="273">
        <f t="shared" si="37"/>
        <v>0</v>
      </c>
      <c r="BM22" s="273">
        <f t="shared" si="37"/>
        <v>0</v>
      </c>
      <c r="BN22" s="273">
        <f t="shared" si="37"/>
        <v>0</v>
      </c>
      <c r="BO22" s="273">
        <f t="shared" si="37"/>
        <v>0</v>
      </c>
      <c r="BP22" s="273">
        <f t="shared" si="37"/>
        <v>0</v>
      </c>
      <c r="BQ22" s="273">
        <f t="shared" si="37"/>
        <v>0</v>
      </c>
      <c r="BR22" s="273">
        <f t="shared" si="37"/>
        <v>0</v>
      </c>
      <c r="BS22" s="273">
        <f t="shared" si="37"/>
        <v>0</v>
      </c>
      <c r="BT22" s="273">
        <f t="shared" si="37"/>
        <v>0</v>
      </c>
      <c r="BU22" s="273">
        <f t="shared" si="37"/>
        <v>0</v>
      </c>
      <c r="BV22" s="273">
        <f t="shared" si="37"/>
        <v>0</v>
      </c>
      <c r="BW22" s="273">
        <f t="shared" si="37"/>
        <v>0</v>
      </c>
      <c r="BX22" s="273">
        <f t="shared" si="37"/>
        <v>0</v>
      </c>
      <c r="BY22" s="273">
        <f t="shared" si="37"/>
        <v>0</v>
      </c>
      <c r="BZ22" s="1783">
        <f t="shared" si="37"/>
        <v>0</v>
      </c>
      <c r="CA22" s="1783">
        <f t="shared" si="37"/>
        <v>0</v>
      </c>
      <c r="CB22" s="1783">
        <f t="shared" si="37"/>
        <v>0</v>
      </c>
      <c r="CC22" s="1783">
        <f t="shared" si="37"/>
        <v>0</v>
      </c>
      <c r="CD22" s="1783">
        <f t="shared" si="37"/>
        <v>0</v>
      </c>
      <c r="CE22" s="1783">
        <f t="shared" si="37"/>
        <v>0</v>
      </c>
      <c r="CF22" s="1748"/>
      <c r="CJ22" t="str">
        <f>IF(BH17="","",CK21+1)</f>
        <v/>
      </c>
      <c r="CK22" t="str">
        <f>IF(BH17="","",CJ22-1+_xlfn.XLOOKUP(BH17,$Z$114:$Z$155,$AA$114:$AA$155))</f>
        <v/>
      </c>
      <c r="CL22">
        <f>COUNTIF($BD$17:$BH$17,CI22)</f>
        <v>0</v>
      </c>
      <c r="CM22" s="1814" t="s">
        <v>1511</v>
      </c>
      <c r="CN22" s="1534"/>
      <c r="CO22" s="1815"/>
      <c r="CP22" s="1534">
        <v>5</v>
      </c>
      <c r="CQ22" s="1815"/>
      <c r="CR22" s="1816"/>
      <c r="CS22" s="1816"/>
      <c r="CT22" s="1534"/>
      <c r="CU22" s="1815"/>
      <c r="CV22" s="1534"/>
      <c r="CW22" s="1816"/>
      <c r="CX22" s="1815"/>
      <c r="CY22" s="1534">
        <v>2</v>
      </c>
      <c r="CZ22" s="1816">
        <v>5</v>
      </c>
      <c r="DA22" s="1815">
        <v>2</v>
      </c>
      <c r="DB22" s="1534"/>
      <c r="DC22" s="1817"/>
      <c r="DE22" s="1818" t="str">
        <f t="shared" si="21"/>
        <v/>
      </c>
      <c r="DF22" s="254">
        <f t="shared" si="22"/>
        <v>725</v>
      </c>
      <c r="DG22" s="254"/>
      <c r="DH22" s="1819" t="str">
        <f t="shared" si="23"/>
        <v/>
      </c>
      <c r="DI22" s="254" t="str">
        <f t="shared" si="24"/>
        <v/>
      </c>
      <c r="DJ22" s="1820">
        <f t="shared" si="25"/>
        <v>1055.2222222222222</v>
      </c>
      <c r="DK22" s="1821" t="str">
        <f t="shared" si="31"/>
        <v/>
      </c>
      <c r="DM22" s="1806">
        <v>1045</v>
      </c>
      <c r="DN22" s="1807">
        <v>210</v>
      </c>
    </row>
    <row r="23" spans="2:118" ht="15.75" customHeight="1" thickBot="1" x14ac:dyDescent="0.35">
      <c r="B23" s="1847"/>
      <c r="C23" s="1509"/>
      <c r="D23" s="1848"/>
      <c r="E23" s="1849"/>
      <c r="F23" s="1849"/>
      <c r="G23" s="1849"/>
      <c r="H23" s="1850">
        <f>SUM(H5:H22)</f>
        <v>18</v>
      </c>
      <c r="I23" s="1851">
        <f t="shared" ref="I23:O23" si="38">IFERROR(SUMPRODUCT(I5:I22,$H$5:$H$22),"")</f>
        <v>40</v>
      </c>
      <c r="J23" s="1852">
        <f t="shared" si="38"/>
        <v>72</v>
      </c>
      <c r="K23" s="1852">
        <f t="shared" si="38"/>
        <v>0</v>
      </c>
      <c r="L23" s="1851">
        <f t="shared" si="38"/>
        <v>24</v>
      </c>
      <c r="M23" s="1851">
        <f t="shared" si="38"/>
        <v>32</v>
      </c>
      <c r="N23" s="1852">
        <f t="shared" si="38"/>
        <v>24</v>
      </c>
      <c r="O23" s="1853">
        <f t="shared" si="38"/>
        <v>24</v>
      </c>
      <c r="U23" s="273"/>
      <c r="V23" s="273"/>
      <c r="W23" s="273"/>
      <c r="X23" s="273"/>
      <c r="Y23" s="273"/>
      <c r="Z23" s="273"/>
      <c r="AC23" s="273"/>
      <c r="AD23" s="273"/>
      <c r="AE23" s="273"/>
      <c r="AF23" s="273"/>
      <c r="AG23" s="273"/>
      <c r="AH23" s="273"/>
      <c r="AK23" s="273"/>
      <c r="AL23" s="273"/>
      <c r="AM23" s="273"/>
      <c r="AN23" s="273"/>
      <c r="AO23" s="273"/>
      <c r="AP23" s="273"/>
      <c r="AS23" s="1715"/>
      <c r="AT23" s="1716" t="s">
        <v>1474</v>
      </c>
      <c r="AU23" s="1716">
        <v>1</v>
      </c>
      <c r="AV23" s="1716">
        <v>2</v>
      </c>
      <c r="AW23" s="1716">
        <v>3</v>
      </c>
      <c r="AY23" s="1746"/>
      <c r="AZ23" s="1788">
        <f t="shared" ref="AZ23:CE23" si="39">SUMIFS($AZ$122:$IH$122,$AZ$119:$IH$119,AZ$19,$AZ$120:$IH$120,AZ$21)</f>
        <v>237</v>
      </c>
      <c r="BA23" s="273">
        <f t="shared" si="39"/>
        <v>237</v>
      </c>
      <c r="BB23" s="273">
        <f t="shared" si="39"/>
        <v>237</v>
      </c>
      <c r="BC23" s="273">
        <f t="shared" si="39"/>
        <v>237</v>
      </c>
      <c r="BD23" s="273">
        <f t="shared" si="39"/>
        <v>237</v>
      </c>
      <c r="BE23" s="273">
        <f t="shared" si="39"/>
        <v>237</v>
      </c>
      <c r="BF23" s="273">
        <f t="shared" si="39"/>
        <v>237</v>
      </c>
      <c r="BG23" s="273">
        <f t="shared" si="39"/>
        <v>237</v>
      </c>
      <c r="BH23" s="273">
        <f t="shared" si="39"/>
        <v>237</v>
      </c>
      <c r="BI23" s="273">
        <f t="shared" si="39"/>
        <v>226</v>
      </c>
      <c r="BJ23" s="273">
        <f t="shared" si="39"/>
        <v>226</v>
      </c>
      <c r="BK23" s="273">
        <f t="shared" si="39"/>
        <v>0</v>
      </c>
      <c r="BL23" s="273">
        <f t="shared" si="39"/>
        <v>0</v>
      </c>
      <c r="BM23" s="273">
        <f t="shared" si="39"/>
        <v>0</v>
      </c>
      <c r="BN23" s="273">
        <f t="shared" si="39"/>
        <v>0</v>
      </c>
      <c r="BO23" s="273">
        <f t="shared" si="39"/>
        <v>0</v>
      </c>
      <c r="BP23" s="273">
        <f t="shared" si="39"/>
        <v>0</v>
      </c>
      <c r="BQ23" s="273">
        <f t="shared" si="39"/>
        <v>0</v>
      </c>
      <c r="BR23" s="273">
        <f t="shared" si="39"/>
        <v>0</v>
      </c>
      <c r="BS23" s="273">
        <f t="shared" si="39"/>
        <v>0</v>
      </c>
      <c r="BT23" s="273">
        <f t="shared" si="39"/>
        <v>0</v>
      </c>
      <c r="BU23" s="273">
        <f t="shared" si="39"/>
        <v>0</v>
      </c>
      <c r="BV23" s="273">
        <f t="shared" si="39"/>
        <v>0</v>
      </c>
      <c r="BW23" s="273">
        <f t="shared" si="39"/>
        <v>0</v>
      </c>
      <c r="BX23" s="273">
        <f t="shared" si="39"/>
        <v>0</v>
      </c>
      <c r="BY23" s="273">
        <f t="shared" si="39"/>
        <v>0</v>
      </c>
      <c r="BZ23" s="1783">
        <f t="shared" si="39"/>
        <v>0</v>
      </c>
      <c r="CA23" s="1783">
        <f t="shared" si="39"/>
        <v>0</v>
      </c>
      <c r="CB23" s="1783">
        <f t="shared" si="39"/>
        <v>0</v>
      </c>
      <c r="CC23" s="1783">
        <f t="shared" si="39"/>
        <v>0</v>
      </c>
      <c r="CD23" s="1783">
        <f t="shared" si="39"/>
        <v>0</v>
      </c>
      <c r="CE23" s="1783">
        <f t="shared" si="39"/>
        <v>0</v>
      </c>
      <c r="CF23" s="1748"/>
      <c r="CL23">
        <f>SUM(CL18:CL22)</f>
        <v>0</v>
      </c>
      <c r="CM23" s="1799" t="s">
        <v>1477</v>
      </c>
      <c r="CN23" s="1528"/>
      <c r="CO23" s="1530"/>
      <c r="CP23" s="1528">
        <v>3</v>
      </c>
      <c r="CQ23" s="1530"/>
      <c r="CR23" s="1529">
        <f>IF($R$18="Yes",3,0)</f>
        <v>0</v>
      </c>
      <c r="CS23" s="1529">
        <f>IF($R$18="Yes",3,0)</f>
        <v>0</v>
      </c>
      <c r="CT23" s="1528">
        <f>IF($R$18="Yes",0,3)</f>
        <v>3</v>
      </c>
      <c r="CU23" s="1530">
        <f>IF($R$18="Yes",0,3)</f>
        <v>3</v>
      </c>
      <c r="CV23" s="1528"/>
      <c r="CW23" s="1529"/>
      <c r="CX23" s="1530"/>
      <c r="CY23" s="1528">
        <v>3</v>
      </c>
      <c r="CZ23" s="1529"/>
      <c r="DA23" s="1530"/>
      <c r="DB23" s="1528"/>
      <c r="DC23" s="1800"/>
      <c r="DE23" s="1801" t="str">
        <f t="shared" si="21"/>
        <v/>
      </c>
      <c r="DF23" s="1802">
        <f t="shared" si="22"/>
        <v>725</v>
      </c>
      <c r="DG23" s="1803" t="str">
        <f>IFERROR(SUMPRODUCT(CR23:CS23,CR$7:CS$7)/K17,"")</f>
        <v/>
      </c>
      <c r="DH23" s="1804">
        <f t="shared" si="23"/>
        <v>873</v>
      </c>
      <c r="DI23" s="1802" t="str">
        <f t="shared" si="24"/>
        <v/>
      </c>
      <c r="DJ23" s="1803">
        <f t="shared" si="25"/>
        <v>1014</v>
      </c>
      <c r="DK23" s="1805" t="str">
        <f t="shared" si="31"/>
        <v/>
      </c>
      <c r="DM23" s="1806">
        <v>715</v>
      </c>
      <c r="DN23" s="1807">
        <v>210</v>
      </c>
    </row>
    <row r="24" spans="2:118" ht="15.75" customHeight="1" thickBot="1" x14ac:dyDescent="0.35">
      <c r="B24" s="1854"/>
      <c r="C24" s="1855" t="s">
        <v>1518</v>
      </c>
      <c r="D24" s="1856">
        <v>2</v>
      </c>
      <c r="E24" s="1857">
        <v>2</v>
      </c>
      <c r="F24" s="1857">
        <v>2</v>
      </c>
      <c r="G24" s="1858"/>
      <c r="H24" s="1859">
        <f>SUM(D24:G24)</f>
        <v>6</v>
      </c>
      <c r="I24" s="1860"/>
      <c r="J24" s="1860"/>
      <c r="L24" s="1860"/>
      <c r="M24" s="1860"/>
      <c r="N24" s="1860"/>
      <c r="O24" s="1861"/>
      <c r="U24" s="1738"/>
      <c r="V24" s="1739"/>
      <c r="W24" s="1740"/>
      <c r="X24" s="1738"/>
      <c r="Y24" s="1739"/>
      <c r="Z24" s="1740"/>
      <c r="AC24" s="1738"/>
      <c r="AD24" s="1739"/>
      <c r="AE24" s="1743"/>
      <c r="AF24" s="1738"/>
      <c r="AG24" s="1739"/>
      <c r="AH24" s="1740"/>
      <c r="AS24" s="1744" t="s">
        <v>1480</v>
      </c>
      <c r="AT24" s="1745">
        <v>1</v>
      </c>
      <c r="AU24" s="1745">
        <v>2</v>
      </c>
      <c r="AV24" s="1745">
        <v>1</v>
      </c>
      <c r="AW24" s="1745">
        <v>1</v>
      </c>
      <c r="AY24" s="1746"/>
      <c r="AZ24" s="1788">
        <f t="shared" ref="AZ24:CE24" si="40">SUMIFS($AZ$123:$IH$123,$AZ$119:$IH$119,AZ$19,$AZ$120:$IH$120,AZ$21)</f>
        <v>37</v>
      </c>
      <c r="BA24" s="273">
        <f t="shared" si="40"/>
        <v>237</v>
      </c>
      <c r="BB24" s="273">
        <f t="shared" si="40"/>
        <v>237</v>
      </c>
      <c r="BC24" s="273">
        <f t="shared" si="40"/>
        <v>37</v>
      </c>
      <c r="BD24" s="273">
        <f t="shared" si="40"/>
        <v>237</v>
      </c>
      <c r="BE24" s="273">
        <f t="shared" si="40"/>
        <v>237</v>
      </c>
      <c r="BF24" s="273">
        <f t="shared" si="40"/>
        <v>37</v>
      </c>
      <c r="BG24" s="273">
        <f t="shared" si="40"/>
        <v>237</v>
      </c>
      <c r="BH24" s="273">
        <f t="shared" si="40"/>
        <v>237</v>
      </c>
      <c r="BI24" s="273">
        <f t="shared" si="40"/>
        <v>26</v>
      </c>
      <c r="BJ24" s="273">
        <f t="shared" si="40"/>
        <v>226</v>
      </c>
      <c r="BK24" s="273">
        <f t="shared" si="40"/>
        <v>0</v>
      </c>
      <c r="BL24" s="273">
        <f t="shared" si="40"/>
        <v>0</v>
      </c>
      <c r="BM24" s="273">
        <f t="shared" si="40"/>
        <v>0</v>
      </c>
      <c r="BN24" s="273">
        <f t="shared" si="40"/>
        <v>0</v>
      </c>
      <c r="BO24" s="273">
        <f t="shared" si="40"/>
        <v>0</v>
      </c>
      <c r="BP24" s="273">
        <f t="shared" si="40"/>
        <v>0</v>
      </c>
      <c r="BQ24" s="273">
        <f t="shared" si="40"/>
        <v>0</v>
      </c>
      <c r="BR24" s="273">
        <f t="shared" si="40"/>
        <v>0</v>
      </c>
      <c r="BS24" s="273">
        <f t="shared" si="40"/>
        <v>0</v>
      </c>
      <c r="BT24" s="273">
        <f t="shared" si="40"/>
        <v>0</v>
      </c>
      <c r="BU24" s="273">
        <f t="shared" si="40"/>
        <v>0</v>
      </c>
      <c r="BV24" s="273">
        <f t="shared" si="40"/>
        <v>0</v>
      </c>
      <c r="BW24" s="273">
        <f t="shared" si="40"/>
        <v>0</v>
      </c>
      <c r="BX24" s="273">
        <f t="shared" si="40"/>
        <v>0</v>
      </c>
      <c r="BY24" s="273">
        <f t="shared" si="40"/>
        <v>0</v>
      </c>
      <c r="BZ24" s="1783">
        <f t="shared" si="40"/>
        <v>0</v>
      </c>
      <c r="CA24" s="1783">
        <f t="shared" si="40"/>
        <v>0</v>
      </c>
      <c r="CB24" s="1783">
        <f t="shared" si="40"/>
        <v>0</v>
      </c>
      <c r="CC24" s="1783">
        <f t="shared" si="40"/>
        <v>0</v>
      </c>
      <c r="CD24" s="1783">
        <f t="shared" si="40"/>
        <v>0</v>
      </c>
      <c r="CE24" s="1783">
        <f t="shared" si="40"/>
        <v>0</v>
      </c>
      <c r="CF24" s="1748"/>
      <c r="CM24" s="1808" t="s">
        <v>1513</v>
      </c>
      <c r="CN24" s="1809"/>
      <c r="CO24" s="1810"/>
      <c r="CP24" s="1809">
        <v>4</v>
      </c>
      <c r="CQ24" s="1810"/>
      <c r="CR24" s="210">
        <f>IF($R$18="Yes",4,0)</f>
        <v>0</v>
      </c>
      <c r="CS24" s="210">
        <f>IF($R$18="Yes",2,0)</f>
        <v>0</v>
      </c>
      <c r="CT24" s="1809">
        <f>IF($R$18="Yes",0,4)</f>
        <v>4</v>
      </c>
      <c r="CU24" s="1810">
        <f>IF($R$18="Yes",0,2)</f>
        <v>2</v>
      </c>
      <c r="CV24" s="1809"/>
      <c r="CW24" s="210"/>
      <c r="CX24" s="1810"/>
      <c r="CY24" s="1809">
        <v>2</v>
      </c>
      <c r="CZ24" s="210"/>
      <c r="DA24" s="1810"/>
      <c r="DB24" s="1809"/>
      <c r="DC24" s="1807"/>
      <c r="DE24" s="1811" t="str">
        <f t="shared" si="21"/>
        <v/>
      </c>
      <c r="DF24" s="253">
        <f t="shared" si="22"/>
        <v>725</v>
      </c>
      <c r="DG24" s="253" t="str">
        <f>IFERROR(SUMPRODUCT(CR24:CS24,CR$7:CS$7)/K18,"")</f>
        <v/>
      </c>
      <c r="DH24" s="1812">
        <f t="shared" si="23"/>
        <v>866</v>
      </c>
      <c r="DI24" s="253" t="str">
        <f t="shared" si="24"/>
        <v/>
      </c>
      <c r="DJ24" s="1813">
        <f t="shared" si="25"/>
        <v>1014</v>
      </c>
      <c r="DK24" s="1805" t="str">
        <f t="shared" si="31"/>
        <v/>
      </c>
      <c r="DM24" s="1806">
        <v>1045</v>
      </c>
      <c r="DN24" s="1807">
        <v>210</v>
      </c>
    </row>
    <row r="25" spans="2:118" ht="15.75" customHeight="1" x14ac:dyDescent="0.3">
      <c r="I25" s="2731" t="s">
        <v>1519</v>
      </c>
      <c r="J25" s="2731"/>
      <c r="K25" s="2731"/>
      <c r="L25" s="2731"/>
      <c r="M25" s="2731"/>
      <c r="N25" s="2731"/>
      <c r="U25" s="1760"/>
      <c r="V25" s="1761"/>
      <c r="W25" s="1762"/>
      <c r="X25" s="1760"/>
      <c r="Y25" s="1761"/>
      <c r="Z25" s="1762"/>
      <c r="AC25" s="1760"/>
      <c r="AD25" s="1761"/>
      <c r="AE25" s="1765"/>
      <c r="AF25" s="1760"/>
      <c r="AG25" s="1761"/>
      <c r="AH25" s="1762"/>
      <c r="AS25" s="1862" t="s">
        <v>1485</v>
      </c>
      <c r="AT25" s="1745">
        <v>0</v>
      </c>
      <c r="AU25" s="1745">
        <v>0</v>
      </c>
      <c r="AV25" s="1745">
        <v>1</v>
      </c>
      <c r="AW25" s="1745">
        <v>1</v>
      </c>
      <c r="AY25" s="1746"/>
      <c r="AZ25" s="1788">
        <f t="shared" ref="AZ25:CE25" si="41">SUMIFS($AZ$124:$IH$124,$AZ$119:$IH$119,AZ$19,$AZ$120:$IH$120,AZ$21)</f>
        <v>226</v>
      </c>
      <c r="BA25" s="273">
        <f t="shared" si="41"/>
        <v>226</v>
      </c>
      <c r="BB25" s="273">
        <f t="shared" si="41"/>
        <v>11</v>
      </c>
      <c r="BC25" s="273">
        <f t="shared" si="41"/>
        <v>237</v>
      </c>
      <c r="BD25" s="273">
        <f t="shared" si="41"/>
        <v>237</v>
      </c>
      <c r="BE25" s="273">
        <f t="shared" si="41"/>
        <v>237</v>
      </c>
      <c r="BF25" s="273">
        <f t="shared" si="41"/>
        <v>226</v>
      </c>
      <c r="BG25" s="273">
        <f t="shared" si="41"/>
        <v>226</v>
      </c>
      <c r="BH25" s="273">
        <f t="shared" si="41"/>
        <v>11</v>
      </c>
      <c r="BI25" s="273">
        <f t="shared" si="41"/>
        <v>226</v>
      </c>
      <c r="BJ25" s="273">
        <f t="shared" si="41"/>
        <v>226</v>
      </c>
      <c r="BK25" s="273">
        <f t="shared" si="41"/>
        <v>0</v>
      </c>
      <c r="BL25" s="273">
        <f t="shared" si="41"/>
        <v>0</v>
      </c>
      <c r="BM25" s="273">
        <f t="shared" si="41"/>
        <v>0</v>
      </c>
      <c r="BN25" s="273">
        <f t="shared" si="41"/>
        <v>0</v>
      </c>
      <c r="BO25" s="273">
        <f t="shared" si="41"/>
        <v>0</v>
      </c>
      <c r="BP25" s="273">
        <f t="shared" si="41"/>
        <v>0</v>
      </c>
      <c r="BQ25" s="273">
        <f t="shared" si="41"/>
        <v>0</v>
      </c>
      <c r="BR25" s="273">
        <f t="shared" si="41"/>
        <v>0</v>
      </c>
      <c r="BS25" s="273">
        <f t="shared" si="41"/>
        <v>0</v>
      </c>
      <c r="BT25" s="273">
        <f t="shared" si="41"/>
        <v>0</v>
      </c>
      <c r="BU25" s="273">
        <f t="shared" si="41"/>
        <v>0</v>
      </c>
      <c r="BV25" s="273">
        <f t="shared" si="41"/>
        <v>0</v>
      </c>
      <c r="BW25" s="273">
        <f t="shared" si="41"/>
        <v>0</v>
      </c>
      <c r="BX25" s="273">
        <f t="shared" si="41"/>
        <v>0</v>
      </c>
      <c r="BY25" s="273">
        <f t="shared" si="41"/>
        <v>0</v>
      </c>
      <c r="BZ25" s="1783">
        <f t="shared" si="41"/>
        <v>0</v>
      </c>
      <c r="CA25" s="1783">
        <f t="shared" si="41"/>
        <v>0</v>
      </c>
      <c r="CB25" s="1783">
        <f t="shared" si="41"/>
        <v>0</v>
      </c>
      <c r="CC25" s="1783">
        <f t="shared" si="41"/>
        <v>0</v>
      </c>
      <c r="CD25" s="1783">
        <f t="shared" si="41"/>
        <v>0</v>
      </c>
      <c r="CE25" s="1783">
        <f t="shared" si="41"/>
        <v>0</v>
      </c>
      <c r="CF25" s="1748"/>
      <c r="CM25" s="1814" t="s">
        <v>1514</v>
      </c>
      <c r="CN25" s="1534"/>
      <c r="CO25" s="1815"/>
      <c r="CP25" s="1534">
        <v>5</v>
      </c>
      <c r="CQ25" s="1815"/>
      <c r="CR25" s="1816">
        <f>IF($R$18="Yes",5,0)</f>
        <v>0</v>
      </c>
      <c r="CS25" s="1816">
        <f>IF($R$18="Yes",2,0)</f>
        <v>0</v>
      </c>
      <c r="CT25" s="1534">
        <f>IF($R$18="Yes",0,5)</f>
        <v>5</v>
      </c>
      <c r="CU25" s="1815">
        <f>IF($R$18="Yes",0,2)</f>
        <v>2</v>
      </c>
      <c r="CV25" s="1534"/>
      <c r="CW25" s="1816"/>
      <c r="CX25" s="1815"/>
      <c r="CY25" s="1534">
        <v>2</v>
      </c>
      <c r="CZ25" s="1816"/>
      <c r="DA25" s="1815"/>
      <c r="DB25" s="1534"/>
      <c r="DC25" s="1817"/>
      <c r="DE25" s="1818" t="str">
        <f t="shared" si="21"/>
        <v/>
      </c>
      <c r="DF25" s="254">
        <f t="shared" si="22"/>
        <v>725</v>
      </c>
      <c r="DG25" s="254" t="str">
        <f>IFERROR(SUMPRODUCT(CR25:CS25,CR$7:CS$7)/K19,"")</f>
        <v/>
      </c>
      <c r="DH25" s="1819">
        <f t="shared" si="23"/>
        <v>864</v>
      </c>
      <c r="DI25" s="254" t="str">
        <f t="shared" si="24"/>
        <v/>
      </c>
      <c r="DJ25" s="1820">
        <f t="shared" si="25"/>
        <v>1014</v>
      </c>
      <c r="DK25" s="1821" t="str">
        <f t="shared" si="31"/>
        <v/>
      </c>
      <c r="DM25" s="1806">
        <v>1045</v>
      </c>
      <c r="DN25" s="1807">
        <v>210</v>
      </c>
    </row>
    <row r="26" spans="2:118" ht="15.75" customHeight="1" x14ac:dyDescent="0.3">
      <c r="B26" s="1863" t="s">
        <v>1520</v>
      </c>
      <c r="C26" s="246"/>
      <c r="D26" s="246">
        <f>SUMPRODUCT(D5:D22,$B$5:$B$22)</f>
        <v>254</v>
      </c>
      <c r="E26" s="246">
        <f>SUMPRODUCT(E5:E22,$B$5:$B$22)</f>
        <v>139</v>
      </c>
      <c r="F26" s="246">
        <f>SUMPRODUCT(F5:F22,$B$5:$B$22)</f>
        <v>207</v>
      </c>
      <c r="G26" s="1099">
        <f>SUMPRODUCT(G5:G22,$B$5:$B$22)</f>
        <v>0</v>
      </c>
      <c r="H26" s="1509"/>
      <c r="I26" s="2732"/>
      <c r="J26" s="2732"/>
      <c r="K26" s="2732"/>
      <c r="L26" s="2732"/>
      <c r="M26" s="2732"/>
      <c r="N26" s="2732"/>
      <c r="O26" s="1509"/>
      <c r="U26" s="1771">
        <v>34</v>
      </c>
      <c r="V26" s="1772"/>
      <c r="W26" s="1773"/>
      <c r="X26" s="1771">
        <v>34</v>
      </c>
      <c r="Y26" s="1772"/>
      <c r="Z26" s="1773"/>
      <c r="AC26" s="1771">
        <v>34</v>
      </c>
      <c r="AD26" s="1772"/>
      <c r="AE26" s="1776"/>
      <c r="AF26" s="1771">
        <v>34</v>
      </c>
      <c r="AG26" s="1772"/>
      <c r="AH26" s="1773"/>
      <c r="AK26" s="337" t="s">
        <v>1484</v>
      </c>
      <c r="AS26" s="1862" t="s">
        <v>1498</v>
      </c>
      <c r="AT26" s="1745">
        <v>1</v>
      </c>
      <c r="AU26" s="1745">
        <v>2</v>
      </c>
      <c r="AV26" s="1745">
        <v>1</v>
      </c>
      <c r="AW26" s="1745">
        <v>1</v>
      </c>
      <c r="AY26" s="1746"/>
      <c r="AZ26" s="1788">
        <f t="shared" ref="AZ26:CE26" si="42">SUMIFS($AZ$125:$IH$125,$AZ$119:$IH$119,AZ$19,$AZ$120:$IH$120,AZ$21)</f>
        <v>226</v>
      </c>
      <c r="BA26" s="273">
        <f t="shared" si="42"/>
        <v>226</v>
      </c>
      <c r="BB26" s="273">
        <f t="shared" si="42"/>
        <v>11</v>
      </c>
      <c r="BC26" s="273">
        <f t="shared" si="42"/>
        <v>237</v>
      </c>
      <c r="BD26" s="273">
        <f t="shared" si="42"/>
        <v>237</v>
      </c>
      <c r="BE26" s="273">
        <f t="shared" si="42"/>
        <v>237</v>
      </c>
      <c r="BF26" s="273">
        <f t="shared" si="42"/>
        <v>226</v>
      </c>
      <c r="BG26" s="273">
        <f t="shared" si="42"/>
        <v>226</v>
      </c>
      <c r="BH26" s="273">
        <f t="shared" si="42"/>
        <v>11</v>
      </c>
      <c r="BI26" s="273">
        <f t="shared" si="42"/>
        <v>226</v>
      </c>
      <c r="BJ26" s="273">
        <f t="shared" si="42"/>
        <v>226</v>
      </c>
      <c r="BK26" s="273">
        <f t="shared" si="42"/>
        <v>0</v>
      </c>
      <c r="BL26" s="273">
        <f t="shared" si="42"/>
        <v>0</v>
      </c>
      <c r="BM26" s="273">
        <f t="shared" si="42"/>
        <v>0</v>
      </c>
      <c r="BN26" s="273">
        <f t="shared" si="42"/>
        <v>0</v>
      </c>
      <c r="BO26" s="273">
        <f t="shared" si="42"/>
        <v>0</v>
      </c>
      <c r="BP26" s="273">
        <f t="shared" si="42"/>
        <v>0</v>
      </c>
      <c r="BQ26" s="273">
        <f t="shared" si="42"/>
        <v>0</v>
      </c>
      <c r="BR26" s="273">
        <f t="shared" si="42"/>
        <v>0</v>
      </c>
      <c r="BS26" s="273">
        <f t="shared" si="42"/>
        <v>0</v>
      </c>
      <c r="BT26" s="273">
        <f t="shared" si="42"/>
        <v>0</v>
      </c>
      <c r="BU26" s="273">
        <f t="shared" si="42"/>
        <v>0</v>
      </c>
      <c r="BV26" s="273">
        <f t="shared" si="42"/>
        <v>0</v>
      </c>
      <c r="BW26" s="273">
        <f t="shared" si="42"/>
        <v>0</v>
      </c>
      <c r="BX26" s="273">
        <f t="shared" si="42"/>
        <v>0</v>
      </c>
      <c r="BY26" s="273">
        <f t="shared" si="42"/>
        <v>0</v>
      </c>
      <c r="BZ26" s="1783">
        <f t="shared" si="42"/>
        <v>0</v>
      </c>
      <c r="CA26" s="1783">
        <f t="shared" si="42"/>
        <v>0</v>
      </c>
      <c r="CB26" s="1783">
        <f t="shared" si="42"/>
        <v>0</v>
      </c>
      <c r="CC26" s="1783">
        <f t="shared" si="42"/>
        <v>0</v>
      </c>
      <c r="CD26" s="1783">
        <f t="shared" si="42"/>
        <v>0</v>
      </c>
      <c r="CE26" s="1783">
        <f t="shared" si="42"/>
        <v>0</v>
      </c>
      <c r="CF26" s="1748"/>
      <c r="CM26" s="1799" t="s">
        <v>1515</v>
      </c>
      <c r="CN26" s="1528">
        <v>3</v>
      </c>
      <c r="CO26" s="1530"/>
      <c r="CP26" s="1528"/>
      <c r="CQ26" s="1530"/>
      <c r="CR26" s="1529"/>
      <c r="CS26" s="1529"/>
      <c r="CT26" s="1528"/>
      <c r="CU26" s="1530"/>
      <c r="CV26" s="1528">
        <v>3</v>
      </c>
      <c r="CW26" s="1529"/>
      <c r="CX26" s="1530"/>
      <c r="CY26" s="1528"/>
      <c r="CZ26" s="1529"/>
      <c r="DA26" s="1530"/>
      <c r="DB26" s="1528">
        <v>3</v>
      </c>
      <c r="DC26" s="1800">
        <v>3</v>
      </c>
      <c r="DE26" s="1801">
        <f t="shared" si="21"/>
        <v>635</v>
      </c>
      <c r="DF26" s="1802" t="str">
        <f t="shared" si="22"/>
        <v/>
      </c>
      <c r="DG26" s="1803"/>
      <c r="DH26" s="1804" t="str">
        <f t="shared" si="23"/>
        <v/>
      </c>
      <c r="DI26" s="1802">
        <f t="shared" si="24"/>
        <v>924</v>
      </c>
      <c r="DJ26" s="1803" t="str">
        <f t="shared" si="25"/>
        <v/>
      </c>
      <c r="DK26" s="1805">
        <f t="shared" si="31"/>
        <v>1228</v>
      </c>
      <c r="DM26" s="1806">
        <v>715</v>
      </c>
      <c r="DN26" s="1807">
        <v>210</v>
      </c>
    </row>
    <row r="27" spans="2:118" ht="15.75" customHeight="1" x14ac:dyDescent="0.3">
      <c r="I27" s="2732"/>
      <c r="J27" s="2732"/>
      <c r="K27" s="2732"/>
      <c r="L27" s="2732"/>
      <c r="M27" s="2732"/>
      <c r="N27" s="2732"/>
      <c r="O27" s="1864"/>
      <c r="U27" s="1763"/>
      <c r="V27" s="1764"/>
      <c r="W27" s="1781">
        <v>11</v>
      </c>
      <c r="X27" s="1760"/>
      <c r="Y27" s="1761"/>
      <c r="Z27" s="1762"/>
      <c r="AC27" s="1763"/>
      <c r="AD27" s="1764"/>
      <c r="AE27" s="1781">
        <v>11</v>
      </c>
      <c r="AF27" s="1760"/>
      <c r="AG27" s="1761"/>
      <c r="AH27" s="1762"/>
      <c r="AK27" s="1741"/>
      <c r="AL27" s="1742"/>
      <c r="AM27" s="1782">
        <v>11</v>
      </c>
      <c r="AN27" s="1738"/>
      <c r="AO27" s="1739"/>
      <c r="AP27" s="1740"/>
      <c r="AS27" s="1862" t="s">
        <v>1499</v>
      </c>
      <c r="AT27" s="1745">
        <v>0</v>
      </c>
      <c r="AU27" s="1745">
        <v>0</v>
      </c>
      <c r="AV27" s="1745">
        <v>1</v>
      </c>
      <c r="AW27" s="1745">
        <v>1</v>
      </c>
      <c r="AY27" s="1746"/>
      <c r="AZ27" s="1788">
        <f t="shared" ref="AZ27:CE27" si="43">SUMIFS($AZ$126:$IH$126,$AZ$119:$IH$119,AZ$19,$AZ$120:$IH$120,AZ$21)</f>
        <v>26</v>
      </c>
      <c r="BA27" s="273">
        <f t="shared" si="43"/>
        <v>226</v>
      </c>
      <c r="BB27" s="273">
        <f t="shared" si="43"/>
        <v>11</v>
      </c>
      <c r="BC27" s="273">
        <f t="shared" si="43"/>
        <v>37</v>
      </c>
      <c r="BD27" s="273">
        <f t="shared" si="43"/>
        <v>237</v>
      </c>
      <c r="BE27" s="273">
        <f t="shared" si="43"/>
        <v>237</v>
      </c>
      <c r="BF27" s="273">
        <f t="shared" si="43"/>
        <v>26</v>
      </c>
      <c r="BG27" s="273">
        <f t="shared" si="43"/>
        <v>226</v>
      </c>
      <c r="BH27" s="273">
        <f t="shared" si="43"/>
        <v>11</v>
      </c>
      <c r="BI27" s="273">
        <f t="shared" si="43"/>
        <v>26</v>
      </c>
      <c r="BJ27" s="273">
        <f t="shared" si="43"/>
        <v>226</v>
      </c>
      <c r="BK27" s="273">
        <f t="shared" si="43"/>
        <v>0</v>
      </c>
      <c r="BL27" s="273">
        <f t="shared" si="43"/>
        <v>0</v>
      </c>
      <c r="BM27" s="273">
        <f t="shared" si="43"/>
        <v>0</v>
      </c>
      <c r="BN27" s="273">
        <f t="shared" si="43"/>
        <v>0</v>
      </c>
      <c r="BO27" s="273">
        <f t="shared" si="43"/>
        <v>0</v>
      </c>
      <c r="BP27" s="273">
        <f t="shared" si="43"/>
        <v>0</v>
      </c>
      <c r="BQ27" s="273">
        <f t="shared" si="43"/>
        <v>0</v>
      </c>
      <c r="BR27" s="273">
        <f t="shared" si="43"/>
        <v>0</v>
      </c>
      <c r="BS27" s="273">
        <f t="shared" si="43"/>
        <v>0</v>
      </c>
      <c r="BT27" s="273">
        <f t="shared" si="43"/>
        <v>0</v>
      </c>
      <c r="BU27" s="273">
        <f t="shared" si="43"/>
        <v>0</v>
      </c>
      <c r="BV27" s="273">
        <f t="shared" si="43"/>
        <v>0</v>
      </c>
      <c r="BW27" s="273">
        <f t="shared" si="43"/>
        <v>0</v>
      </c>
      <c r="BX27" s="273">
        <f t="shared" si="43"/>
        <v>0</v>
      </c>
      <c r="BY27" s="273">
        <f t="shared" si="43"/>
        <v>0</v>
      </c>
      <c r="BZ27" s="1783">
        <f t="shared" si="43"/>
        <v>0</v>
      </c>
      <c r="CA27" s="1783">
        <f t="shared" si="43"/>
        <v>0</v>
      </c>
      <c r="CB27" s="1783">
        <f t="shared" si="43"/>
        <v>0</v>
      </c>
      <c r="CC27" s="1783">
        <f t="shared" si="43"/>
        <v>0</v>
      </c>
      <c r="CD27" s="1783">
        <f t="shared" si="43"/>
        <v>0</v>
      </c>
      <c r="CE27" s="1783">
        <f t="shared" si="43"/>
        <v>0</v>
      </c>
      <c r="CF27" s="1748"/>
      <c r="CM27" s="1808" t="s">
        <v>1516</v>
      </c>
      <c r="CN27" s="1809">
        <v>4</v>
      </c>
      <c r="CO27" s="1810"/>
      <c r="CP27" s="1809"/>
      <c r="CQ27" s="1810"/>
      <c r="CR27" s="210"/>
      <c r="CS27" s="210"/>
      <c r="CT27" s="1809"/>
      <c r="CU27" s="1810"/>
      <c r="CV27" s="1809">
        <v>2</v>
      </c>
      <c r="CW27" s="210"/>
      <c r="CX27" s="1810"/>
      <c r="CY27" s="1809"/>
      <c r="CZ27" s="210"/>
      <c r="DA27" s="1810"/>
      <c r="DB27" s="1809">
        <v>4</v>
      </c>
      <c r="DC27" s="1807">
        <v>2</v>
      </c>
      <c r="DE27" s="1811">
        <f t="shared" si="21"/>
        <v>635</v>
      </c>
      <c r="DF27" s="253" t="str">
        <f t="shared" si="22"/>
        <v/>
      </c>
      <c r="DG27" s="253"/>
      <c r="DH27" s="1812" t="str">
        <f t="shared" si="23"/>
        <v/>
      </c>
      <c r="DI27" s="253">
        <f t="shared" si="24"/>
        <v>924</v>
      </c>
      <c r="DJ27" s="1813" t="str">
        <f t="shared" si="25"/>
        <v/>
      </c>
      <c r="DK27" s="1805">
        <f t="shared" si="31"/>
        <v>1221</v>
      </c>
      <c r="DM27" s="1806">
        <v>1045</v>
      </c>
      <c r="DN27" s="1807">
        <v>210</v>
      </c>
    </row>
    <row r="28" spans="2:118" ht="15.75" customHeight="1" x14ac:dyDescent="0.3">
      <c r="B28" s="1509"/>
      <c r="G28" s="1509"/>
      <c r="H28" s="1509"/>
      <c r="O28" s="1864"/>
      <c r="U28" s="1763"/>
      <c r="V28" s="1764"/>
      <c r="W28" s="1781"/>
      <c r="X28" s="1760"/>
      <c r="Y28" s="1761"/>
      <c r="Z28" s="1762"/>
      <c r="AC28" s="1763"/>
      <c r="AD28" s="1764"/>
      <c r="AE28" s="1781"/>
      <c r="AF28" s="1760"/>
      <c r="AG28" s="1761"/>
      <c r="AH28" s="1762"/>
      <c r="AK28" s="1763"/>
      <c r="AL28" s="1764"/>
      <c r="AM28" s="1781"/>
      <c r="AN28" s="1760"/>
      <c r="AO28" s="1761"/>
      <c r="AP28" s="1762"/>
      <c r="AY28" s="1746"/>
      <c r="AZ28" s="1834" t="str">
        <f t="shared" ref="AZ28:CE28" si="44">IF(_xlfn.XLOOKUP(AZ19,$Z$114:$Z$155,$AA$114:$AA$155,0)=AZ21,"E",IF(_xlfn.XLOOKUP(AZ19,$Z$114:$Z$155,$AB$114:$AB$155,0)=AZ21,"M",""))</f>
        <v/>
      </c>
      <c r="BA28" s="1834" t="str">
        <f t="shared" si="44"/>
        <v/>
      </c>
      <c r="BB28" s="1834" t="str">
        <f t="shared" si="44"/>
        <v>M</v>
      </c>
      <c r="BC28" s="1834" t="str">
        <f t="shared" si="44"/>
        <v/>
      </c>
      <c r="BD28" s="1834" t="str">
        <f t="shared" si="44"/>
        <v/>
      </c>
      <c r="BE28" s="1834" t="str">
        <f t="shared" si="44"/>
        <v>E</v>
      </c>
      <c r="BF28" s="1834" t="str">
        <f t="shared" si="44"/>
        <v/>
      </c>
      <c r="BG28" s="1834" t="str">
        <f t="shared" si="44"/>
        <v/>
      </c>
      <c r="BH28" s="1834" t="str">
        <f t="shared" si="44"/>
        <v>M</v>
      </c>
      <c r="BI28" s="1834" t="str">
        <f t="shared" si="44"/>
        <v/>
      </c>
      <c r="BJ28" s="1834" t="str">
        <f t="shared" si="44"/>
        <v>E</v>
      </c>
      <c r="BK28" s="1834" t="str">
        <f t="shared" si="44"/>
        <v/>
      </c>
      <c r="BL28" s="1834" t="str">
        <f t="shared" si="44"/>
        <v/>
      </c>
      <c r="BM28" s="1834" t="str">
        <f t="shared" si="44"/>
        <v/>
      </c>
      <c r="BN28" s="1834" t="str">
        <f t="shared" si="44"/>
        <v/>
      </c>
      <c r="BO28" s="1834" t="str">
        <f t="shared" si="44"/>
        <v/>
      </c>
      <c r="BP28" s="1834" t="str">
        <f t="shared" si="44"/>
        <v/>
      </c>
      <c r="BQ28" s="1834" t="str">
        <f t="shared" si="44"/>
        <v/>
      </c>
      <c r="BR28" s="1834" t="str">
        <f t="shared" si="44"/>
        <v/>
      </c>
      <c r="BS28" s="1834" t="str">
        <f t="shared" si="44"/>
        <v/>
      </c>
      <c r="BT28" s="1834" t="str">
        <f t="shared" si="44"/>
        <v/>
      </c>
      <c r="BU28" s="1834" t="str">
        <f t="shared" si="44"/>
        <v/>
      </c>
      <c r="BV28" s="1834" t="str">
        <f t="shared" si="44"/>
        <v/>
      </c>
      <c r="BW28" s="1834" t="str">
        <f t="shared" si="44"/>
        <v/>
      </c>
      <c r="BX28" s="1834" t="str">
        <f t="shared" si="44"/>
        <v/>
      </c>
      <c r="BY28" s="1834" t="str">
        <f t="shared" si="44"/>
        <v/>
      </c>
      <c r="BZ28" s="1834" t="str">
        <f t="shared" si="44"/>
        <v/>
      </c>
      <c r="CA28" s="1834" t="str">
        <f t="shared" si="44"/>
        <v/>
      </c>
      <c r="CB28" s="1834" t="str">
        <f t="shared" si="44"/>
        <v/>
      </c>
      <c r="CC28" s="1834" t="str">
        <f t="shared" si="44"/>
        <v/>
      </c>
      <c r="CD28" s="1834" t="str">
        <f t="shared" si="44"/>
        <v/>
      </c>
      <c r="CE28" s="1834" t="str">
        <f t="shared" si="44"/>
        <v/>
      </c>
      <c r="CF28" s="1748"/>
      <c r="CM28" s="1814" t="s">
        <v>1517</v>
      </c>
      <c r="CN28" s="1534">
        <v>5</v>
      </c>
      <c r="CO28" s="1815"/>
      <c r="CP28" s="1534"/>
      <c r="CQ28" s="1815"/>
      <c r="CR28" s="1816"/>
      <c r="CS28" s="1816"/>
      <c r="CT28" s="1534"/>
      <c r="CU28" s="1815"/>
      <c r="CV28" s="1534">
        <v>2</v>
      </c>
      <c r="CW28" s="1816"/>
      <c r="CX28" s="1815"/>
      <c r="CY28" s="1534"/>
      <c r="CZ28" s="1816"/>
      <c r="DA28" s="1815"/>
      <c r="DB28" s="1534">
        <v>5</v>
      </c>
      <c r="DC28" s="1817">
        <v>2</v>
      </c>
      <c r="DE28" s="1818">
        <f t="shared" si="21"/>
        <v>635</v>
      </c>
      <c r="DF28" s="254" t="str">
        <f t="shared" si="22"/>
        <v/>
      </c>
      <c r="DG28" s="254"/>
      <c r="DH28" s="1819" t="str">
        <f t="shared" si="23"/>
        <v/>
      </c>
      <c r="DI28" s="254">
        <f t="shared" si="24"/>
        <v>924</v>
      </c>
      <c r="DJ28" s="1820" t="str">
        <f t="shared" si="25"/>
        <v/>
      </c>
      <c r="DK28" s="1821">
        <f t="shared" si="31"/>
        <v>1219</v>
      </c>
      <c r="DM28" s="1806">
        <v>1045</v>
      </c>
      <c r="DN28" s="1807">
        <v>210</v>
      </c>
    </row>
    <row r="29" spans="2:118" ht="15.75" customHeight="1" thickBot="1" x14ac:dyDescent="0.45">
      <c r="I29" s="1865"/>
      <c r="J29" s="1865"/>
      <c r="K29" s="1865"/>
      <c r="N29" s="1864"/>
      <c r="O29" s="1864"/>
      <c r="U29" s="1774">
        <v>23</v>
      </c>
      <c r="V29" s="1775"/>
      <c r="W29" s="1798"/>
      <c r="X29" s="1771">
        <v>34</v>
      </c>
      <c r="Y29" s="1772"/>
      <c r="Z29" s="1773"/>
      <c r="AC29" s="1774">
        <v>23</v>
      </c>
      <c r="AD29" s="1775"/>
      <c r="AE29" s="1798"/>
      <c r="AF29" s="1771">
        <v>34</v>
      </c>
      <c r="AG29" s="1772"/>
      <c r="AH29" s="1773"/>
      <c r="AK29" s="1774">
        <v>23</v>
      </c>
      <c r="AL29" s="1775"/>
      <c r="AM29" s="1798"/>
      <c r="AN29" s="1771">
        <v>34</v>
      </c>
      <c r="AO29" s="1772"/>
      <c r="AP29" s="1773"/>
      <c r="AY29" s="1717"/>
      <c r="AZ29" s="1718" t="s">
        <v>1521</v>
      </c>
      <c r="BA29" s="1719"/>
      <c r="BB29" s="1720"/>
      <c r="BC29" s="1721">
        <f>F24</f>
        <v>2</v>
      </c>
      <c r="BD29" s="1722" t="s">
        <v>1508</v>
      </c>
      <c r="BE29" s="1722" t="s">
        <v>1472</v>
      </c>
      <c r="BF29" s="1722" t="s">
        <v>1514</v>
      </c>
      <c r="BG29" s="1722"/>
      <c r="BH29" s="1722"/>
      <c r="BI29" s="156" t="str" cm="1">
        <f t="array" ref="BI29">IF(AND(SUM(ABS($F$5:$F$22))=0,COUNTIF(BD29:BH29,"")=5),"",IF(OR(IFERROR(SUM(ABS(BJ30:BO30))&gt;0,"true"),IFERROR(MATCH("mismatch",BP30:BT30)&gt;0,"FALSE")),"Module selection mismatch",""))</f>
        <v>Module selection mismatch</v>
      </c>
      <c r="BJ29" s="1723"/>
      <c r="BK29" s="1723"/>
      <c r="BL29" s="1723"/>
      <c r="BM29" s="1723"/>
      <c r="BN29" s="1723"/>
      <c r="BO29" s="1723"/>
      <c r="BP29" s="1724"/>
      <c r="BQ29" s="1725"/>
      <c r="BR29" s="1725"/>
      <c r="BS29" s="1725"/>
      <c r="BT29" s="1725"/>
      <c r="BU29" s="1725"/>
      <c r="BV29" s="374"/>
      <c r="BW29" s="374"/>
      <c r="BX29" s="374"/>
      <c r="BY29" s="374"/>
      <c r="BZ29" s="1726"/>
      <c r="CA29" s="1726"/>
      <c r="CB29" s="1726"/>
      <c r="CC29" s="1726"/>
      <c r="CD29" s="1726"/>
      <c r="CE29" s="1726"/>
      <c r="CF29" s="1727"/>
      <c r="CI29" s="273" t="s">
        <v>1478</v>
      </c>
      <c r="CJ29" s="273" t="s">
        <v>311</v>
      </c>
      <c r="CK29" s="273" t="s">
        <v>312</v>
      </c>
      <c r="CL29" s="273" t="s">
        <v>1479</v>
      </c>
      <c r="CM29" s="1866"/>
      <c r="CN29" s="1867">
        <f t="shared" ref="CN29:DC29" si="45">SUMPRODUCT($H$5:$H$22,CN11:CN28)</f>
        <v>36</v>
      </c>
      <c r="CO29" s="1867">
        <f t="shared" si="45"/>
        <v>4</v>
      </c>
      <c r="CP29" s="1867">
        <f t="shared" si="45"/>
        <v>60</v>
      </c>
      <c r="CQ29" s="1867">
        <f t="shared" si="45"/>
        <v>12</v>
      </c>
      <c r="CR29" s="1867">
        <f t="shared" si="45"/>
        <v>0</v>
      </c>
      <c r="CS29" s="1867">
        <f t="shared" si="45"/>
        <v>0</v>
      </c>
      <c r="CT29" s="1867">
        <f t="shared" si="45"/>
        <v>12</v>
      </c>
      <c r="CU29" s="1867">
        <f t="shared" si="45"/>
        <v>12</v>
      </c>
      <c r="CV29" s="1867">
        <f t="shared" si="45"/>
        <v>20</v>
      </c>
      <c r="CW29" s="1867">
        <f t="shared" si="45"/>
        <v>6</v>
      </c>
      <c r="CX29" s="1867">
        <f t="shared" si="45"/>
        <v>6</v>
      </c>
      <c r="CY29" s="1867">
        <f t="shared" si="45"/>
        <v>24</v>
      </c>
      <c r="CZ29" s="1867">
        <f t="shared" si="45"/>
        <v>0</v>
      </c>
      <c r="DA29" s="1867">
        <f t="shared" si="45"/>
        <v>0</v>
      </c>
      <c r="DB29" s="1867">
        <f t="shared" si="45"/>
        <v>14</v>
      </c>
      <c r="DC29" s="1868">
        <f t="shared" si="45"/>
        <v>10</v>
      </c>
      <c r="DM29" s="1869"/>
      <c r="DN29" s="1870"/>
    </row>
    <row r="30" spans="2:118" ht="15.75" customHeight="1" x14ac:dyDescent="0.45">
      <c r="B30" s="1871"/>
      <c r="C30" s="1872"/>
      <c r="D30" s="1872"/>
      <c r="E30" s="1872"/>
      <c r="F30" s="1872"/>
      <c r="G30" s="1872"/>
      <c r="H30" s="1872"/>
      <c r="I30" s="1872"/>
      <c r="J30" s="1872"/>
      <c r="K30" s="1873"/>
      <c r="L30" s="1873"/>
      <c r="M30" s="1874"/>
      <c r="AY30" s="1746"/>
      <c r="BA30" s="1747"/>
      <c r="BB30" s="1747"/>
      <c r="BC30" s="1747"/>
      <c r="BD30" s="1722"/>
      <c r="BE30" s="1722"/>
      <c r="BF30" s="1722"/>
      <c r="BG30" s="1722"/>
      <c r="BH30" s="1722"/>
      <c r="BI30" s="182"/>
      <c r="BJ30" s="203">
        <f>_xlfn.XLOOKUP(CI30,$C$5:$C$22,$F$5:$F$22,0)-CL30</f>
        <v>1</v>
      </c>
      <c r="BK30" s="203">
        <f>_xlfn.XLOOKUP(CI31,$C$5:$C$22,$F$5:$F$22,0)-CL31</f>
        <v>1</v>
      </c>
      <c r="BL30" s="203">
        <f>_xlfn.XLOOKUP(CI32,$C$5:$C$22,$F$5:$F$22,0)-CL32</f>
        <v>1</v>
      </c>
      <c r="BM30" s="203">
        <f>_xlfn.XLOOKUP(CI33,$C$5:$C$22,$F$5:$F$22,0)-CL33</f>
        <v>0</v>
      </c>
      <c r="BN30" s="203">
        <f>_xlfn.XLOOKUP(CI34,$C$5:$C$22,$F$5:$F$22,0)-CL34</f>
        <v>0</v>
      </c>
      <c r="BO30" s="203">
        <f>CL35-SUM($F$5:$F$22)</f>
        <v>-3</v>
      </c>
      <c r="BP30" s="203" t="str">
        <f>_xlfn.XLOOKUP(BD29,$CI$30:$CI$35,$CJ$30:$CJ$35,"mismatch")</f>
        <v>mismatch</v>
      </c>
      <c r="BQ30" s="203" t="str">
        <f t="shared" ref="BQ30:BT30" si="46">_xlfn.XLOOKUP(BE29,$CI$30:$CI$35,$CJ$30:$CJ$35,"mismatch")</f>
        <v>mismatch</v>
      </c>
      <c r="BR30" s="203" t="str">
        <f t="shared" si="46"/>
        <v>mismatch</v>
      </c>
      <c r="BS30" s="203" t="str">
        <f t="shared" si="46"/>
        <v/>
      </c>
      <c r="BT30" s="203" t="str">
        <f t="shared" si="46"/>
        <v/>
      </c>
      <c r="BU30" s="182"/>
      <c r="BZ30" s="203"/>
      <c r="CA30" s="203"/>
      <c r="CB30" s="203"/>
      <c r="CC30" s="203"/>
      <c r="CD30" s="203"/>
      <c r="CE30" s="203"/>
      <c r="CF30" s="1748"/>
      <c r="CI30" t="str" cm="1">
        <f t="array" ref="CI30:CI32">_xlfn.UNIQUE(_xlfn._xlws.FILTER($C$5:$C$22,$F$5:$F$22&gt;0))</f>
        <v>M2p</v>
      </c>
      <c r="CJ30">
        <v>1</v>
      </c>
      <c r="CK30">
        <f>IFERROR(CJ30-1+_xlfn.XLOOKUP(BD29,$Z$114:$Z$155,$AA$114:$AA$155),0)</f>
        <v>6</v>
      </c>
      <c r="CL30">
        <f>COUNTIF($BD$29:$BH$29,CI30)</f>
        <v>0</v>
      </c>
    </row>
    <row r="31" spans="2:118" ht="15.75" customHeight="1" x14ac:dyDescent="0.4">
      <c r="B31" s="1875" t="s">
        <v>1522</v>
      </c>
      <c r="C31" s="1876"/>
      <c r="D31" s="1876"/>
      <c r="E31" s="1876"/>
      <c r="F31" s="1876"/>
      <c r="G31" s="1876"/>
      <c r="H31" s="1876"/>
      <c r="I31" s="1876"/>
      <c r="J31" s="1876"/>
      <c r="K31" s="1877"/>
      <c r="L31" s="1877"/>
      <c r="M31" s="1878"/>
      <c r="U31" s="1697" t="s">
        <v>1509</v>
      </c>
      <c r="V31" s="1698"/>
      <c r="W31" s="1698"/>
      <c r="X31" s="1698"/>
      <c r="Y31" s="1698"/>
      <c r="Z31" s="1699"/>
      <c r="AC31" s="1697" t="s">
        <v>1510</v>
      </c>
      <c r="AD31" s="1698"/>
      <c r="AE31" s="1698"/>
      <c r="AF31" s="1698"/>
      <c r="AG31" s="1698"/>
      <c r="AH31" s="1699"/>
      <c r="AK31" s="1697" t="s">
        <v>1511</v>
      </c>
      <c r="AL31" s="1698"/>
      <c r="AM31" s="1698"/>
      <c r="AN31" s="1698"/>
      <c r="AO31" s="1698"/>
      <c r="AP31" s="1699"/>
      <c r="AS31" s="1697" t="s">
        <v>1511</v>
      </c>
      <c r="AT31" s="1698"/>
      <c r="AU31" s="1698"/>
      <c r="AV31" s="1698"/>
      <c r="AW31" s="1699"/>
      <c r="AY31" s="1746"/>
      <c r="AZ31" s="203" t="str">
        <f>SUBSTITUTE(IF(AND(AZ$3&lt;=$CK30,AZ$3&gt;=$CJ30),$BD29&amp;$BD30&amp;IF(AND(LEFT($BD29,2)="M5",$R$18="Yes"),"A",""),IF(AND(AZ$3&lt;=$CK31,AZ$3&gt;=$CJ31),$BE29&amp;$BE30&amp;IF(AND(LEFT($BE29,2)="M5",$R$18="Yes"),"A",""),IF(AND(AZ$3&lt;=$CK32,AZ$3&gt;=$CJ32),$BF29&amp;$BF30&amp;IF(AND(LEFT($BF29,2)="M5",$R$18="Yes"),"A",""),IF(AND(AZ$3&lt;=$CK33,AZ$3&gt;=$CJ33),$BG29&amp;$BG30&amp;IF(AND(LEFT($BG29,2)="M5",$R$18="Yes"),"A",""),IF(AND(AZ$3&lt;=$CK34,AZ$3&gt;=$CJ34),$BH29&amp;$BH30&amp;IF(AND(LEFT($BH29,2)="M5",$R$18="Yes"),"A",""),""))))),"s","")</f>
        <v>M3p</v>
      </c>
      <c r="BA31" s="203" t="str">
        <f t="shared" ref="BA31:CE31" si="47">SUBSTITUTE(IF(AND(BA$3&lt;=$CK30,BA$3&gt;=$CJ30),$BD29&amp;$BD30&amp;IF(AND(LEFT($BD29,2)="M5",$R$18="Yes"),"A",""),IF(AND(BA$3&lt;=$CK31,BA$3&gt;=$CJ31),$BE29&amp;$BE30&amp;IF(AND(LEFT($BE29,2)="M5",$R$18="Yes"),"A",""),IF(AND(BA$3&lt;=$CK32,BA$3&gt;=$CJ32),$BF29&amp;$BF30&amp;IF(AND(LEFT($BF29,2)="M5",$R$18="Yes"),"A",""),IF(AND(BA$3&lt;=$CK33,BA$3&gt;=$CJ33),$BG29&amp;$BG30&amp;IF(AND(LEFT($BG29,2)="M5",$R$18="Yes"),"A",""),IF(AND(BA$3&lt;=$CK34,BA$3&gt;=$CJ34),$BH29&amp;$BH30&amp;IF(AND(LEFT($BH29,2)="M5",$R$18="Yes"),"A",""),""))))),"s","")</f>
        <v>M3p</v>
      </c>
      <c r="BB31" s="203" t="str">
        <f t="shared" si="47"/>
        <v>M3p</v>
      </c>
      <c r="BC31" s="203" t="str">
        <f t="shared" si="47"/>
        <v>M3p</v>
      </c>
      <c r="BD31" s="203" t="str">
        <f t="shared" si="47"/>
        <v>M3p</v>
      </c>
      <c r="BE31" s="203" t="str">
        <f t="shared" si="47"/>
        <v>M3p</v>
      </c>
      <c r="BF31" s="203" t="str">
        <f t="shared" si="47"/>
        <v>M1p</v>
      </c>
      <c r="BG31" s="203" t="str">
        <f t="shared" si="47"/>
        <v>M1p</v>
      </c>
      <c r="BH31" s="203" t="str">
        <f t="shared" si="47"/>
        <v>M1p</v>
      </c>
      <c r="BI31" s="203" t="str">
        <f t="shared" si="47"/>
        <v>M1p</v>
      </c>
      <c r="BJ31" s="203" t="str">
        <f t="shared" si="47"/>
        <v>M1p</v>
      </c>
      <c r="BK31" s="203" t="str">
        <f t="shared" si="47"/>
        <v>M5p</v>
      </c>
      <c r="BL31" s="203" t="str">
        <f t="shared" si="47"/>
        <v>M5p</v>
      </c>
      <c r="BM31" s="203" t="str">
        <f t="shared" si="47"/>
        <v>M5p</v>
      </c>
      <c r="BN31" s="203" t="str">
        <f t="shared" si="47"/>
        <v>M5p</v>
      </c>
      <c r="BO31" s="203" t="str">
        <f t="shared" si="47"/>
        <v>M5p</v>
      </c>
      <c r="BP31" s="203" t="str">
        <f t="shared" si="47"/>
        <v>M5p</v>
      </c>
      <c r="BQ31" s="203" t="str">
        <f t="shared" si="47"/>
        <v/>
      </c>
      <c r="BR31" s="203" t="str">
        <f t="shared" si="47"/>
        <v/>
      </c>
      <c r="BS31" s="203" t="str">
        <f t="shared" si="47"/>
        <v/>
      </c>
      <c r="BT31" s="203" t="str">
        <f t="shared" si="47"/>
        <v/>
      </c>
      <c r="BU31" s="203" t="str">
        <f t="shared" si="47"/>
        <v/>
      </c>
      <c r="BV31" s="203" t="str">
        <f t="shared" si="47"/>
        <v/>
      </c>
      <c r="BW31" s="203" t="str">
        <f t="shared" si="47"/>
        <v/>
      </c>
      <c r="BX31" s="203" t="str">
        <f t="shared" si="47"/>
        <v/>
      </c>
      <c r="BY31" s="203" t="str">
        <f t="shared" si="47"/>
        <v/>
      </c>
      <c r="BZ31" s="203" t="str">
        <f t="shared" si="47"/>
        <v/>
      </c>
      <c r="CA31" s="203" t="str">
        <f t="shared" si="47"/>
        <v/>
      </c>
      <c r="CB31" s="203" t="str">
        <f t="shared" si="47"/>
        <v/>
      </c>
      <c r="CC31" s="203" t="str">
        <f t="shared" si="47"/>
        <v/>
      </c>
      <c r="CD31" s="203" t="str">
        <f t="shared" si="47"/>
        <v/>
      </c>
      <c r="CE31" s="203" t="str">
        <f t="shared" si="47"/>
        <v/>
      </c>
      <c r="CF31" s="1748"/>
      <c r="CI31" t="str">
        <v>M3</v>
      </c>
      <c r="CJ31">
        <f>IF(BE29="","",CK30+1)</f>
        <v>7</v>
      </c>
      <c r="CK31">
        <f>IF(BE29="","",CJ31-1+_xlfn.XLOOKUP(BE29,$Z$114:$Z$155,$AA$114:$AA$155))</f>
        <v>11</v>
      </c>
      <c r="CL31">
        <f>COUNTIF($BD$29:$BH$29,CI31)</f>
        <v>0</v>
      </c>
      <c r="CR31" s="1879" t="s">
        <v>1523</v>
      </c>
      <c r="CS31" s="1879"/>
      <c r="CT31" s="1879"/>
      <c r="CU31" s="1879"/>
      <c r="CV31" s="1879"/>
      <c r="CW31" s="1879"/>
      <c r="CX31" s="1879"/>
      <c r="CY31" s="1879"/>
      <c r="CZ31" s="1879"/>
      <c r="DA31" s="1879"/>
      <c r="DB31" s="1879"/>
      <c r="DC31" s="1879"/>
      <c r="DD31" s="1879"/>
      <c r="DE31" s="1879"/>
      <c r="DF31" s="1879"/>
      <c r="DG31" s="1879"/>
      <c r="DH31" s="1879"/>
      <c r="DI31" s="1879"/>
      <c r="DJ31" s="1879"/>
    </row>
    <row r="32" spans="2:118" ht="15.75" customHeight="1" thickBot="1" x14ac:dyDescent="0.5">
      <c r="B32" s="1880"/>
      <c r="C32" s="1881"/>
      <c r="D32" s="1881"/>
      <c r="E32" s="1881"/>
      <c r="F32" s="1881"/>
      <c r="G32" s="1881"/>
      <c r="H32" s="1881"/>
      <c r="I32" s="1881"/>
      <c r="J32" s="1881"/>
      <c r="K32" s="1882"/>
      <c r="L32" s="1882"/>
      <c r="M32" s="1883"/>
      <c r="U32" s="273"/>
      <c r="V32" s="273"/>
      <c r="W32" s="273"/>
      <c r="X32" s="273"/>
      <c r="Y32" s="273"/>
      <c r="Z32" s="273"/>
      <c r="AC32" s="273"/>
      <c r="AD32" s="273"/>
      <c r="AE32" s="273"/>
      <c r="AF32" s="273"/>
      <c r="AG32" s="273"/>
      <c r="AH32" s="273"/>
      <c r="AK32" s="273"/>
      <c r="AL32" s="273"/>
      <c r="AM32" s="273"/>
      <c r="AN32" s="273"/>
      <c r="AO32" s="273"/>
      <c r="AP32" s="273"/>
      <c r="AS32" s="1715"/>
      <c r="AT32" s="1716" t="s">
        <v>1474</v>
      </c>
      <c r="AU32" s="1716">
        <v>1</v>
      </c>
      <c r="AV32" s="1716">
        <v>2</v>
      </c>
      <c r="AW32" s="1716">
        <v>3</v>
      </c>
      <c r="AY32" s="1746"/>
      <c r="AZ32" s="1778" t="str">
        <f t="shared" ref="AZ32:CE32" si="48">IF(AND(AZ$3&lt;=$CK30,AZ$3&gt;=$CJ30),$BD29,IF(AND(AZ$3&lt;=$CK31,AZ$3&gt;=$CJ31),$BE29,IF(AND(AZ$3&lt;=$CK32,AZ$3&gt;=$CJ32),$BF29,IF(AND(AZ$3&lt;=$CK33,AZ$3&gt;=$CJ33),$BG29,IF(AND(AZ$3&lt;=$CK34,AZ$3&gt;=$CJ34),$BH29,"")))))</f>
        <v>M3ps</v>
      </c>
      <c r="BA32" s="509" t="str">
        <f t="shared" si="48"/>
        <v>M3ps</v>
      </c>
      <c r="BB32" s="509" t="str">
        <f t="shared" si="48"/>
        <v>M3ps</v>
      </c>
      <c r="BC32" s="509" t="str">
        <f t="shared" si="48"/>
        <v>M3ps</v>
      </c>
      <c r="BD32" s="509" t="str">
        <f t="shared" si="48"/>
        <v>M3ps</v>
      </c>
      <c r="BE32" s="509" t="str">
        <f t="shared" si="48"/>
        <v>M3ps</v>
      </c>
      <c r="BF32" s="509" t="str">
        <f t="shared" si="48"/>
        <v>M1ps</v>
      </c>
      <c r="BG32" s="509" t="str">
        <f t="shared" si="48"/>
        <v>M1ps</v>
      </c>
      <c r="BH32" s="509" t="str">
        <f t="shared" si="48"/>
        <v>M1ps</v>
      </c>
      <c r="BI32" s="509" t="str">
        <f t="shared" si="48"/>
        <v>M1ps</v>
      </c>
      <c r="BJ32" s="509" t="str">
        <f t="shared" si="48"/>
        <v>M1ps</v>
      </c>
      <c r="BK32" s="509" t="str">
        <f t="shared" si="48"/>
        <v>M5ps</v>
      </c>
      <c r="BL32" s="509" t="str">
        <f t="shared" si="48"/>
        <v>M5ps</v>
      </c>
      <c r="BM32" s="509" t="str">
        <f t="shared" si="48"/>
        <v>M5ps</v>
      </c>
      <c r="BN32" s="509" t="str">
        <f t="shared" si="48"/>
        <v>M5ps</v>
      </c>
      <c r="BO32" s="509" t="str">
        <f t="shared" si="48"/>
        <v>M5ps</v>
      </c>
      <c r="BP32" s="509" t="str">
        <f t="shared" si="48"/>
        <v>M5ps</v>
      </c>
      <c r="BQ32" s="509" t="str">
        <f t="shared" si="48"/>
        <v/>
      </c>
      <c r="BR32" s="509" t="str">
        <f t="shared" si="48"/>
        <v/>
      </c>
      <c r="BS32" s="509" t="str">
        <f t="shared" si="48"/>
        <v/>
      </c>
      <c r="BT32" s="509" t="str">
        <f t="shared" si="48"/>
        <v/>
      </c>
      <c r="BU32" s="509" t="str">
        <f t="shared" si="48"/>
        <v/>
      </c>
      <c r="BV32" s="509" t="str">
        <f t="shared" si="48"/>
        <v/>
      </c>
      <c r="BW32" s="509" t="str">
        <f t="shared" si="48"/>
        <v/>
      </c>
      <c r="BX32" s="509" t="str">
        <f t="shared" si="48"/>
        <v/>
      </c>
      <c r="BY32" s="509" t="str">
        <f t="shared" si="48"/>
        <v/>
      </c>
      <c r="BZ32" s="1779" t="str">
        <f t="shared" si="48"/>
        <v/>
      </c>
      <c r="CA32" s="1779" t="str">
        <f t="shared" si="48"/>
        <v/>
      </c>
      <c r="CB32" s="1779" t="str">
        <f t="shared" si="48"/>
        <v/>
      </c>
      <c r="CC32" s="1779" t="str">
        <f t="shared" si="48"/>
        <v/>
      </c>
      <c r="CD32" s="1779" t="str">
        <f t="shared" si="48"/>
        <v/>
      </c>
      <c r="CE32" s="1779" t="str">
        <f t="shared" si="48"/>
        <v/>
      </c>
      <c r="CF32" s="1748"/>
      <c r="CI32" t="str">
        <v>M6</v>
      </c>
      <c r="CJ32">
        <f>IF(BF29="","",CK31+1)</f>
        <v>12</v>
      </c>
      <c r="CK32">
        <f>IF(BF29="","",CJ32-1+_xlfn.XLOOKUP(BF29,$Z$114:$Z$155,$AA$114:$AA$155))</f>
        <v>17</v>
      </c>
      <c r="CL32">
        <f>COUNTIF($BD$29:$BH$29,CI32)</f>
        <v>0</v>
      </c>
    </row>
    <row r="33" spans="2:90" ht="15.75" customHeight="1" thickBot="1" x14ac:dyDescent="0.4">
      <c r="B33" s="1884" t="s">
        <v>1524</v>
      </c>
      <c r="C33" s="1885"/>
      <c r="D33" s="1886"/>
      <c r="E33" s="1886"/>
      <c r="F33" s="1886"/>
      <c r="G33" s="1886"/>
      <c r="H33" s="1886"/>
      <c r="I33" s="1887"/>
      <c r="J33" s="1888"/>
      <c r="K33" s="1888"/>
      <c r="L33" s="1888"/>
      <c r="M33" s="1889"/>
      <c r="N33" s="1864"/>
      <c r="O33" s="1864"/>
      <c r="P33" s="1864"/>
      <c r="Q33" s="1864"/>
      <c r="R33" s="1864"/>
      <c r="U33" s="273"/>
      <c r="V33" s="273"/>
      <c r="W33" s="273"/>
      <c r="X33" s="273"/>
      <c r="Y33" s="273"/>
      <c r="Z33" s="273"/>
      <c r="AC33" s="273"/>
      <c r="AD33" s="273"/>
      <c r="AE33" s="273"/>
      <c r="AF33" s="273"/>
      <c r="AG33" s="273"/>
      <c r="AH33" s="273"/>
      <c r="AK33" s="273"/>
      <c r="AL33" s="273"/>
      <c r="AM33" s="273"/>
      <c r="AN33" s="273"/>
      <c r="AO33" s="273"/>
      <c r="AP33" s="273"/>
      <c r="AS33" s="1828" t="s">
        <v>1492</v>
      </c>
      <c r="AT33" s="1745">
        <v>1</v>
      </c>
      <c r="AU33" s="1745">
        <v>2</v>
      </c>
      <c r="AV33" s="1745">
        <v>1</v>
      </c>
      <c r="AW33" s="1745">
        <v>1</v>
      </c>
      <c r="AY33" s="1746"/>
      <c r="AZ33" s="1783">
        <f>IF(AZ32="","",IF(AZ32=AY30,AY32+1,1))</f>
        <v>1</v>
      </c>
      <c r="BA33" s="1783">
        <f t="shared" ref="BA33:CE33" si="49">IF(BA32="","",IF(AZ40="E",1,AZ33+1))</f>
        <v>2</v>
      </c>
      <c r="BB33" s="1783">
        <f t="shared" si="49"/>
        <v>3</v>
      </c>
      <c r="BC33" s="1783">
        <f t="shared" si="49"/>
        <v>4</v>
      </c>
      <c r="BD33" s="1783">
        <f t="shared" si="49"/>
        <v>5</v>
      </c>
      <c r="BE33" s="1783">
        <f t="shared" si="49"/>
        <v>6</v>
      </c>
      <c r="BF33" s="1783">
        <f t="shared" si="49"/>
        <v>1</v>
      </c>
      <c r="BG33" s="1783">
        <f t="shared" si="49"/>
        <v>2</v>
      </c>
      <c r="BH33" s="1783">
        <f t="shared" si="49"/>
        <v>3</v>
      </c>
      <c r="BI33" s="1783">
        <f t="shared" si="49"/>
        <v>4</v>
      </c>
      <c r="BJ33" s="1783">
        <f t="shared" si="49"/>
        <v>5</v>
      </c>
      <c r="BK33" s="1783">
        <f t="shared" si="49"/>
        <v>1</v>
      </c>
      <c r="BL33" s="1783">
        <f t="shared" si="49"/>
        <v>2</v>
      </c>
      <c r="BM33" s="1783">
        <f t="shared" si="49"/>
        <v>3</v>
      </c>
      <c r="BN33" s="1783">
        <f t="shared" si="49"/>
        <v>4</v>
      </c>
      <c r="BO33" s="1783">
        <f t="shared" si="49"/>
        <v>5</v>
      </c>
      <c r="BP33" s="1783">
        <f t="shared" si="49"/>
        <v>6</v>
      </c>
      <c r="BQ33" s="1783" t="str">
        <f t="shared" si="49"/>
        <v/>
      </c>
      <c r="BR33" s="1783" t="str">
        <f t="shared" si="49"/>
        <v/>
      </c>
      <c r="BS33" s="1783" t="str">
        <f t="shared" si="49"/>
        <v/>
      </c>
      <c r="BT33" s="1783" t="str">
        <f t="shared" si="49"/>
        <v/>
      </c>
      <c r="BU33" s="1783" t="str">
        <f t="shared" si="49"/>
        <v/>
      </c>
      <c r="BV33" s="1783" t="str">
        <f t="shared" si="49"/>
        <v/>
      </c>
      <c r="BW33" s="1783" t="str">
        <f t="shared" si="49"/>
        <v/>
      </c>
      <c r="BX33" s="1783" t="str">
        <f t="shared" si="49"/>
        <v/>
      </c>
      <c r="BY33" s="1783" t="str">
        <f t="shared" si="49"/>
        <v/>
      </c>
      <c r="BZ33" s="1783" t="str">
        <f t="shared" si="49"/>
        <v/>
      </c>
      <c r="CA33" s="1783" t="str">
        <f t="shared" si="49"/>
        <v/>
      </c>
      <c r="CB33" s="1783" t="str">
        <f t="shared" si="49"/>
        <v/>
      </c>
      <c r="CC33" s="1783" t="str">
        <f t="shared" si="49"/>
        <v/>
      </c>
      <c r="CD33" s="1783" t="str">
        <f t="shared" si="49"/>
        <v/>
      </c>
      <c r="CE33" s="1783" t="str">
        <f t="shared" si="49"/>
        <v/>
      </c>
      <c r="CF33" s="1748"/>
      <c r="CJ33" t="str">
        <f>IF(BG29="","",CK32+1)</f>
        <v/>
      </c>
      <c r="CK33" t="str">
        <f>IF(BG29="","",CJ33-1+_xlfn.XLOOKUP(BG29,$Z$114:$Z$155,$AA$114:$AA$155))</f>
        <v/>
      </c>
      <c r="CL33">
        <f>COUNTIF($BD$29:$BH$29,CI33)</f>
        <v>0</v>
      </c>
    </row>
    <row r="34" spans="2:90" ht="15.75" customHeight="1" thickBot="1" x14ac:dyDescent="0.35">
      <c r="B34" s="1890"/>
      <c r="C34" s="1891" t="s">
        <v>1525</v>
      </c>
      <c r="D34" s="1892"/>
      <c r="E34" s="1893"/>
      <c r="F34" s="1890"/>
      <c r="G34" s="1894" t="s">
        <v>1526</v>
      </c>
      <c r="H34" s="1894"/>
      <c r="I34" s="1895"/>
      <c r="J34" s="1896"/>
      <c r="K34" s="1891" t="s">
        <v>1527</v>
      </c>
      <c r="L34" s="1891"/>
      <c r="M34" s="1897"/>
      <c r="N34" s="1864"/>
      <c r="O34" s="1864"/>
      <c r="P34" s="1864"/>
      <c r="Q34" s="1864"/>
      <c r="R34" s="1864"/>
      <c r="U34" s="1822"/>
      <c r="V34" s="1823"/>
      <c r="W34" s="1824"/>
      <c r="X34" s="1822"/>
      <c r="Y34" s="1823"/>
      <c r="Z34" s="1824"/>
      <c r="AC34" s="1822"/>
      <c r="AD34" s="1823"/>
      <c r="AE34" s="1827"/>
      <c r="AF34" s="1822"/>
      <c r="AG34" s="1823"/>
      <c r="AH34" s="1824"/>
      <c r="AS34" s="1841" t="s">
        <v>1500</v>
      </c>
      <c r="AT34" s="1745">
        <v>0</v>
      </c>
      <c r="AU34" s="1745">
        <v>0</v>
      </c>
      <c r="AV34" s="1745">
        <v>1</v>
      </c>
      <c r="AW34" s="1745">
        <v>1</v>
      </c>
      <c r="AY34" s="1746"/>
      <c r="AZ34" s="1788">
        <f t="shared" ref="AZ34:CE34" si="50">SUMIFS($AZ$121:$IH$121,$AZ$119:$IH$119,AZ$31,$AZ$120:$IH$120,AZ$33)</f>
        <v>234</v>
      </c>
      <c r="BA34" s="273">
        <f t="shared" si="50"/>
        <v>234</v>
      </c>
      <c r="BB34" s="273">
        <f t="shared" si="50"/>
        <v>134</v>
      </c>
      <c r="BC34" s="273">
        <f t="shared" si="50"/>
        <v>234</v>
      </c>
      <c r="BD34" s="273">
        <f t="shared" si="50"/>
        <v>234</v>
      </c>
      <c r="BE34" s="273">
        <f t="shared" si="50"/>
        <v>234</v>
      </c>
      <c r="BF34" s="273">
        <f t="shared" si="50"/>
        <v>234</v>
      </c>
      <c r="BG34" s="273">
        <f t="shared" si="50"/>
        <v>234</v>
      </c>
      <c r="BH34" s="273">
        <f t="shared" si="50"/>
        <v>134</v>
      </c>
      <c r="BI34" s="273">
        <f t="shared" si="50"/>
        <v>223</v>
      </c>
      <c r="BJ34" s="273">
        <f t="shared" si="50"/>
        <v>223</v>
      </c>
      <c r="BK34" s="273">
        <f t="shared" si="50"/>
        <v>237</v>
      </c>
      <c r="BL34" s="273">
        <f t="shared" si="50"/>
        <v>237</v>
      </c>
      <c r="BM34" s="273">
        <f t="shared" si="50"/>
        <v>137</v>
      </c>
      <c r="BN34" s="273">
        <f t="shared" si="50"/>
        <v>230</v>
      </c>
      <c r="BO34" s="273">
        <f t="shared" si="50"/>
        <v>230</v>
      </c>
      <c r="BP34" s="273">
        <f t="shared" si="50"/>
        <v>230</v>
      </c>
      <c r="BQ34" s="273">
        <f t="shared" si="50"/>
        <v>0</v>
      </c>
      <c r="BR34" s="273">
        <f t="shared" si="50"/>
        <v>0</v>
      </c>
      <c r="BS34" s="273">
        <f t="shared" si="50"/>
        <v>0</v>
      </c>
      <c r="BT34" s="273">
        <f t="shared" si="50"/>
        <v>0</v>
      </c>
      <c r="BU34" s="273">
        <f t="shared" si="50"/>
        <v>0</v>
      </c>
      <c r="BV34" s="273">
        <f t="shared" si="50"/>
        <v>0</v>
      </c>
      <c r="BW34" s="273">
        <f t="shared" si="50"/>
        <v>0</v>
      </c>
      <c r="BX34" s="273">
        <f t="shared" si="50"/>
        <v>0</v>
      </c>
      <c r="BY34" s="273">
        <f t="shared" si="50"/>
        <v>0</v>
      </c>
      <c r="BZ34" s="1783">
        <f t="shared" si="50"/>
        <v>0</v>
      </c>
      <c r="CA34" s="1783">
        <f t="shared" si="50"/>
        <v>0</v>
      </c>
      <c r="CB34" s="1783">
        <f t="shared" si="50"/>
        <v>0</v>
      </c>
      <c r="CC34" s="1783">
        <f t="shared" si="50"/>
        <v>0</v>
      </c>
      <c r="CD34" s="1783">
        <f t="shared" si="50"/>
        <v>0</v>
      </c>
      <c r="CE34" s="1783">
        <f t="shared" si="50"/>
        <v>0</v>
      </c>
      <c r="CF34" s="1748"/>
      <c r="CJ34" t="str">
        <f>IF(BH29="","",CK33+1)</f>
        <v/>
      </c>
      <c r="CK34" t="str">
        <f>IF(BH29="","",CJ34-1+_xlfn.XLOOKUP(BH29,$Z$114:$Z$155,$AA$114:$AA$155))</f>
        <v/>
      </c>
      <c r="CL34">
        <f>COUNTIF($BD$29:$BH$29,CI34)</f>
        <v>0</v>
      </c>
    </row>
    <row r="35" spans="2:90" ht="15.75" customHeight="1" x14ac:dyDescent="0.3">
      <c r="B35" s="1898"/>
      <c r="C35" s="1899"/>
      <c r="D35" s="1899"/>
      <c r="E35" s="1900"/>
      <c r="F35" s="1901" t="s">
        <v>1528</v>
      </c>
      <c r="G35" s="1899" t="s">
        <v>1529</v>
      </c>
      <c r="H35" s="1899" t="s">
        <v>1530</v>
      </c>
      <c r="I35" s="1902" t="s">
        <v>1531</v>
      </c>
      <c r="J35" s="1903"/>
      <c r="K35" s="1899"/>
      <c r="L35" s="1899"/>
      <c r="M35" s="1904"/>
      <c r="N35" s="1864"/>
      <c r="O35" s="1864"/>
      <c r="P35" s="1864"/>
      <c r="Q35" s="1864"/>
      <c r="R35" s="1864"/>
      <c r="U35" s="1829"/>
      <c r="V35" s="1794"/>
      <c r="W35" s="1830"/>
      <c r="X35" s="1829"/>
      <c r="Y35" s="1794"/>
      <c r="Z35" s="1830"/>
      <c r="AC35" s="1829"/>
      <c r="AD35" s="1794"/>
      <c r="AE35" s="1833"/>
      <c r="AF35" s="1829"/>
      <c r="AG35" s="1794"/>
      <c r="AH35" s="1830"/>
      <c r="AS35" s="1841" t="s">
        <v>1501</v>
      </c>
      <c r="AT35" s="1745">
        <v>1</v>
      </c>
      <c r="AU35" s="1745">
        <v>2</v>
      </c>
      <c r="AV35" s="1745">
        <v>1</v>
      </c>
      <c r="AW35" s="1745">
        <v>1</v>
      </c>
      <c r="AY35" s="1746"/>
      <c r="AZ35" s="1788">
        <f t="shared" ref="AZ35:CE35" si="51">SUMIFS($AZ$122:$IH$122,$AZ$119:$IH$119,AZ$31,$AZ$120:$IH$120,AZ$33)</f>
        <v>234</v>
      </c>
      <c r="BA35" s="273">
        <f t="shared" si="51"/>
        <v>234</v>
      </c>
      <c r="BB35" s="273">
        <f t="shared" si="51"/>
        <v>134</v>
      </c>
      <c r="BC35" s="273">
        <f t="shared" si="51"/>
        <v>234</v>
      </c>
      <c r="BD35" s="273">
        <f t="shared" si="51"/>
        <v>234</v>
      </c>
      <c r="BE35" s="273">
        <f t="shared" si="51"/>
        <v>234</v>
      </c>
      <c r="BF35" s="273">
        <f t="shared" si="51"/>
        <v>234</v>
      </c>
      <c r="BG35" s="273">
        <f t="shared" si="51"/>
        <v>234</v>
      </c>
      <c r="BH35" s="273">
        <f t="shared" si="51"/>
        <v>134</v>
      </c>
      <c r="BI35" s="273">
        <f t="shared" si="51"/>
        <v>223</v>
      </c>
      <c r="BJ35" s="273">
        <f t="shared" si="51"/>
        <v>223</v>
      </c>
      <c r="BK35" s="273">
        <f t="shared" si="51"/>
        <v>237</v>
      </c>
      <c r="BL35" s="273">
        <f t="shared" si="51"/>
        <v>237</v>
      </c>
      <c r="BM35" s="273">
        <f t="shared" si="51"/>
        <v>137</v>
      </c>
      <c r="BN35" s="273">
        <f t="shared" si="51"/>
        <v>230</v>
      </c>
      <c r="BO35" s="273">
        <f t="shared" si="51"/>
        <v>230</v>
      </c>
      <c r="BP35" s="273">
        <f t="shared" si="51"/>
        <v>230</v>
      </c>
      <c r="BQ35" s="273">
        <f t="shared" si="51"/>
        <v>0</v>
      </c>
      <c r="BR35" s="273">
        <f t="shared" si="51"/>
        <v>0</v>
      </c>
      <c r="BS35" s="273">
        <f t="shared" si="51"/>
        <v>0</v>
      </c>
      <c r="BT35" s="273">
        <f t="shared" si="51"/>
        <v>0</v>
      </c>
      <c r="BU35" s="273">
        <f t="shared" si="51"/>
        <v>0</v>
      </c>
      <c r="BV35" s="273">
        <f t="shared" si="51"/>
        <v>0</v>
      </c>
      <c r="BW35" s="273">
        <f t="shared" si="51"/>
        <v>0</v>
      </c>
      <c r="BX35" s="273">
        <f t="shared" si="51"/>
        <v>0</v>
      </c>
      <c r="BY35" s="273">
        <f t="shared" si="51"/>
        <v>0</v>
      </c>
      <c r="BZ35" s="1783">
        <f t="shared" si="51"/>
        <v>0</v>
      </c>
      <c r="CA35" s="1783">
        <f t="shared" si="51"/>
        <v>0</v>
      </c>
      <c r="CB35" s="1783">
        <f t="shared" si="51"/>
        <v>0</v>
      </c>
      <c r="CC35" s="1783">
        <f t="shared" si="51"/>
        <v>0</v>
      </c>
      <c r="CD35" s="1783">
        <f t="shared" si="51"/>
        <v>0</v>
      </c>
      <c r="CE35" s="1783">
        <f t="shared" si="51"/>
        <v>0</v>
      </c>
      <c r="CF35" s="1748"/>
      <c r="CL35">
        <f>SUM(CL30:CL34)</f>
        <v>0</v>
      </c>
    </row>
    <row r="36" spans="2:90" ht="15.75" customHeight="1" x14ac:dyDescent="0.3">
      <c r="B36" s="1905"/>
      <c r="C36" s="1906"/>
      <c r="D36" s="1907" t="s">
        <v>1532</v>
      </c>
      <c r="E36" s="1908"/>
      <c r="F36" s="1909">
        <f>D24</f>
        <v>2</v>
      </c>
      <c r="G36" s="1906">
        <f>E24</f>
        <v>2</v>
      </c>
      <c r="H36" s="1906">
        <f>F24</f>
        <v>2</v>
      </c>
      <c r="I36" s="1910">
        <f>G24</f>
        <v>0</v>
      </c>
      <c r="J36" s="1911" t="s">
        <v>1152</v>
      </c>
      <c r="K36" s="1912"/>
      <c r="L36" s="1906" t="s">
        <v>1154</v>
      </c>
      <c r="M36" s="1913" t="s">
        <v>1533</v>
      </c>
      <c r="N36" s="1864"/>
      <c r="O36" s="1864"/>
      <c r="P36" s="1864"/>
      <c r="Q36" s="1864"/>
      <c r="R36" s="1864"/>
      <c r="U36" s="1835">
        <v>37</v>
      </c>
      <c r="V36" s="1836"/>
      <c r="W36" s="1837"/>
      <c r="X36" s="1835">
        <v>37</v>
      </c>
      <c r="Y36" s="1914"/>
      <c r="Z36" s="1837"/>
      <c r="AC36" s="1835">
        <v>37</v>
      </c>
      <c r="AD36" s="1836"/>
      <c r="AE36" s="1840"/>
      <c r="AF36" s="1835">
        <v>37</v>
      </c>
      <c r="AG36" s="1836"/>
      <c r="AH36" s="1837"/>
      <c r="AK36" s="337" t="s">
        <v>1484</v>
      </c>
      <c r="AS36" s="1841" t="s">
        <v>1502</v>
      </c>
      <c r="AT36" s="1745">
        <v>0</v>
      </c>
      <c r="AU36" s="1745">
        <v>0</v>
      </c>
      <c r="AV36" s="1745">
        <v>1</v>
      </c>
      <c r="AW36" s="1745">
        <v>1</v>
      </c>
      <c r="AY36" s="1746"/>
      <c r="AZ36" s="1788">
        <f t="shared" ref="AZ36:CE36" si="52">SUMIFS($AZ$123:$IH$123,$AZ$119:$IH$119,AZ$31,$AZ$120:$IH$120,AZ$33)</f>
        <v>34</v>
      </c>
      <c r="BA36" s="273">
        <f t="shared" si="52"/>
        <v>234</v>
      </c>
      <c r="BB36" s="273">
        <f t="shared" si="52"/>
        <v>134</v>
      </c>
      <c r="BC36" s="273">
        <f t="shared" si="52"/>
        <v>34</v>
      </c>
      <c r="BD36" s="273">
        <f t="shared" si="52"/>
        <v>234</v>
      </c>
      <c r="BE36" s="273">
        <f t="shared" si="52"/>
        <v>234</v>
      </c>
      <c r="BF36" s="273">
        <f t="shared" si="52"/>
        <v>34</v>
      </c>
      <c r="BG36" s="273">
        <f t="shared" si="52"/>
        <v>234</v>
      </c>
      <c r="BH36" s="273">
        <f t="shared" si="52"/>
        <v>134</v>
      </c>
      <c r="BI36" s="273">
        <f t="shared" si="52"/>
        <v>23</v>
      </c>
      <c r="BJ36" s="273">
        <f t="shared" si="52"/>
        <v>223</v>
      </c>
      <c r="BK36" s="273">
        <f t="shared" si="52"/>
        <v>37</v>
      </c>
      <c r="BL36" s="273">
        <f t="shared" si="52"/>
        <v>237</v>
      </c>
      <c r="BM36" s="273">
        <f t="shared" si="52"/>
        <v>137</v>
      </c>
      <c r="BN36" s="273">
        <f t="shared" si="52"/>
        <v>30</v>
      </c>
      <c r="BO36" s="273">
        <f t="shared" si="52"/>
        <v>230</v>
      </c>
      <c r="BP36" s="273">
        <f t="shared" si="52"/>
        <v>230</v>
      </c>
      <c r="BQ36" s="273">
        <f t="shared" si="52"/>
        <v>0</v>
      </c>
      <c r="BR36" s="273">
        <f t="shared" si="52"/>
        <v>0</v>
      </c>
      <c r="BS36" s="273">
        <f t="shared" si="52"/>
        <v>0</v>
      </c>
      <c r="BT36" s="273">
        <f t="shared" si="52"/>
        <v>0</v>
      </c>
      <c r="BU36" s="273">
        <f t="shared" si="52"/>
        <v>0</v>
      </c>
      <c r="BV36" s="273">
        <f t="shared" si="52"/>
        <v>0</v>
      </c>
      <c r="BW36" s="273">
        <f t="shared" si="52"/>
        <v>0</v>
      </c>
      <c r="BX36" s="273">
        <f t="shared" si="52"/>
        <v>0</v>
      </c>
      <c r="BY36" s="273">
        <f t="shared" si="52"/>
        <v>0</v>
      </c>
      <c r="BZ36" s="1783">
        <f t="shared" si="52"/>
        <v>0</v>
      </c>
      <c r="CA36" s="1783">
        <f t="shared" si="52"/>
        <v>0</v>
      </c>
      <c r="CB36" s="1783">
        <f t="shared" si="52"/>
        <v>0</v>
      </c>
      <c r="CC36" s="1783">
        <f t="shared" si="52"/>
        <v>0</v>
      </c>
      <c r="CD36" s="1783">
        <f t="shared" si="52"/>
        <v>0</v>
      </c>
      <c r="CE36" s="1783">
        <f t="shared" si="52"/>
        <v>0</v>
      </c>
      <c r="CF36" s="1748"/>
    </row>
    <row r="37" spans="2:90" ht="15.75" customHeight="1" x14ac:dyDescent="0.3">
      <c r="B37" s="1915" t="s">
        <v>1534</v>
      </c>
      <c r="C37" s="1916"/>
      <c r="D37" s="1917">
        <f>IFERROR(SUMPRODUCT(D38:D39,J38:J39)/J37,"")</f>
        <v>698.85714285714289</v>
      </c>
      <c r="E37" s="1918" t="s">
        <v>1535</v>
      </c>
      <c r="F37" s="1919">
        <f>SUM(F38:F40)</f>
        <v>26</v>
      </c>
      <c r="G37" s="1920">
        <f t="shared" ref="G37:I37" si="53">SUM(G38:G40)</f>
        <v>14</v>
      </c>
      <c r="H37" s="1920">
        <f t="shared" si="53"/>
        <v>16</v>
      </c>
      <c r="I37" s="1921">
        <f t="shared" si="53"/>
        <v>0</v>
      </c>
      <c r="J37" s="1922">
        <f>SUM(J38:J40)</f>
        <v>112</v>
      </c>
      <c r="K37" s="1923" t="s">
        <v>1536</v>
      </c>
      <c r="L37" s="1924">
        <f>SUM(L38:L39)</f>
        <v>0.51851851851851849</v>
      </c>
      <c r="M37" s="1925">
        <f>SUM(M38:M39)</f>
        <v>78272</v>
      </c>
      <c r="N37" s="1864"/>
      <c r="O37" s="1864"/>
      <c r="P37" s="1864"/>
      <c r="Q37" s="1864"/>
      <c r="R37" s="1864"/>
      <c r="U37" s="1831"/>
      <c r="V37" s="1832"/>
      <c r="W37" s="1843">
        <v>11</v>
      </c>
      <c r="X37" s="1829"/>
      <c r="Y37" s="1794"/>
      <c r="Z37" s="1830"/>
      <c r="AC37" s="1831"/>
      <c r="AD37" s="1832"/>
      <c r="AE37" s="1843">
        <v>11</v>
      </c>
      <c r="AF37" s="1829"/>
      <c r="AG37" s="1794"/>
      <c r="AH37" s="1830"/>
      <c r="AK37" s="1825"/>
      <c r="AL37" s="1826"/>
      <c r="AM37" s="1844">
        <v>11</v>
      </c>
      <c r="AN37" s="1822"/>
      <c r="AO37" s="1823"/>
      <c r="AP37" s="1824"/>
      <c r="AY37" s="1746"/>
      <c r="AZ37" s="1788">
        <f t="shared" ref="AZ37:CE37" si="54">SUMIFS($AZ$124:$IH$124,$AZ$119:$IH$119,AZ$31,$AZ$120:$IH$120,AZ$33)</f>
        <v>223</v>
      </c>
      <c r="BA37" s="273">
        <f t="shared" si="54"/>
        <v>223</v>
      </c>
      <c r="BB37" s="273">
        <f t="shared" si="54"/>
        <v>11</v>
      </c>
      <c r="BC37" s="273">
        <f t="shared" si="54"/>
        <v>234</v>
      </c>
      <c r="BD37" s="273">
        <f t="shared" si="54"/>
        <v>234</v>
      </c>
      <c r="BE37" s="273">
        <f t="shared" si="54"/>
        <v>234</v>
      </c>
      <c r="BF37" s="273">
        <f t="shared" si="54"/>
        <v>223</v>
      </c>
      <c r="BG37" s="273">
        <f t="shared" si="54"/>
        <v>223</v>
      </c>
      <c r="BH37" s="273">
        <f t="shared" si="54"/>
        <v>11</v>
      </c>
      <c r="BI37" s="273">
        <f t="shared" si="54"/>
        <v>223</v>
      </c>
      <c r="BJ37" s="273">
        <f t="shared" si="54"/>
        <v>223</v>
      </c>
      <c r="BK37" s="273">
        <f t="shared" si="54"/>
        <v>226</v>
      </c>
      <c r="BL37" s="273">
        <f t="shared" si="54"/>
        <v>226</v>
      </c>
      <c r="BM37" s="273">
        <f t="shared" si="54"/>
        <v>11</v>
      </c>
      <c r="BN37" s="273">
        <f t="shared" si="54"/>
        <v>230</v>
      </c>
      <c r="BO37" s="273">
        <f t="shared" si="54"/>
        <v>230</v>
      </c>
      <c r="BP37" s="273">
        <f t="shared" si="54"/>
        <v>230</v>
      </c>
      <c r="BQ37" s="273">
        <f t="shared" si="54"/>
        <v>0</v>
      </c>
      <c r="BR37" s="273">
        <f t="shared" si="54"/>
        <v>0</v>
      </c>
      <c r="BS37" s="273">
        <f t="shared" si="54"/>
        <v>0</v>
      </c>
      <c r="BT37" s="273">
        <f t="shared" si="54"/>
        <v>0</v>
      </c>
      <c r="BU37" s="273">
        <f t="shared" si="54"/>
        <v>0</v>
      </c>
      <c r="BV37" s="273">
        <f t="shared" si="54"/>
        <v>0</v>
      </c>
      <c r="BW37" s="273">
        <f t="shared" si="54"/>
        <v>0</v>
      </c>
      <c r="BX37" s="273">
        <f t="shared" si="54"/>
        <v>0</v>
      </c>
      <c r="BY37" s="273">
        <f t="shared" si="54"/>
        <v>0</v>
      </c>
      <c r="BZ37" s="1783">
        <f t="shared" si="54"/>
        <v>0</v>
      </c>
      <c r="CA37" s="1783">
        <f t="shared" si="54"/>
        <v>0</v>
      </c>
      <c r="CB37" s="1783">
        <f t="shared" si="54"/>
        <v>0</v>
      </c>
      <c r="CC37" s="1783">
        <f t="shared" si="54"/>
        <v>0</v>
      </c>
      <c r="CD37" s="1783">
        <f t="shared" si="54"/>
        <v>0</v>
      </c>
      <c r="CE37" s="1783">
        <f t="shared" si="54"/>
        <v>0</v>
      </c>
      <c r="CF37" s="1748"/>
    </row>
    <row r="38" spans="2:90" ht="15.75" customHeight="1" x14ac:dyDescent="0.3">
      <c r="B38" s="1926"/>
      <c r="C38" s="1927" t="s">
        <v>597</v>
      </c>
      <c r="D38" s="1928">
        <f>IFERROR(SUMPRODUCT(H5:H22,DE11:DE28,I5:I22)/J38,0)</f>
        <v>639.20000000000005</v>
      </c>
      <c r="E38" s="1929" t="s">
        <v>1535</v>
      </c>
      <c r="F38" s="1930">
        <f>IFERROR(SUMPRODUCT(D5:D22,$I$5:$I$22),0)</f>
        <v>10</v>
      </c>
      <c r="G38" s="1931">
        <f>IFERROR(SUMPRODUCT(E5:E22,$I$5:$I$22),0)</f>
        <v>4</v>
      </c>
      <c r="H38" s="1931">
        <f>IFERROR(SUMPRODUCT(F5:F22,$I$5:$I$22),0)</f>
        <v>6</v>
      </c>
      <c r="I38" s="1932">
        <f>IFERROR(SUMPRODUCT(G5:G22,$I$5:$I$22),0)</f>
        <v>0</v>
      </c>
      <c r="J38" s="1933">
        <f>IFERROR(SUMPRODUCT(H5:H22,I5:I22),0)</f>
        <v>40</v>
      </c>
      <c r="K38" s="1934" t="s">
        <v>1536</v>
      </c>
      <c r="L38" s="1935">
        <f>J38/$J$50</f>
        <v>0.18518518518518517</v>
      </c>
      <c r="M38" s="1936">
        <f>J38*D38</f>
        <v>25568</v>
      </c>
      <c r="N38" s="1864"/>
      <c r="O38" s="1864"/>
      <c r="P38" s="1864"/>
      <c r="Q38" s="1864"/>
      <c r="R38" s="1864"/>
      <c r="U38" s="1831"/>
      <c r="V38" s="1832"/>
      <c r="W38" s="1843"/>
      <c r="X38" s="1829"/>
      <c r="Y38" s="1794"/>
      <c r="Z38" s="1830"/>
      <c r="AC38" s="1831"/>
      <c r="AD38" s="1832"/>
      <c r="AE38" s="1843"/>
      <c r="AF38" s="1829"/>
      <c r="AG38" s="1794"/>
      <c r="AH38" s="1830"/>
      <c r="AK38" s="1831"/>
      <c r="AL38" s="1832"/>
      <c r="AM38" s="1843"/>
      <c r="AN38" s="1829"/>
      <c r="AO38" s="1794"/>
      <c r="AP38" s="1830"/>
      <c r="AY38" s="1746"/>
      <c r="AZ38" s="1788">
        <f t="shared" ref="AZ38:CE38" si="55">SUMIFS($AZ$125:$IH$125,$AZ$119:$IH$119,AZ$31,$AZ$120:$IH$120,AZ$33)</f>
        <v>223</v>
      </c>
      <c r="BA38" s="273">
        <f t="shared" si="55"/>
        <v>223</v>
      </c>
      <c r="BB38" s="273">
        <f t="shared" si="55"/>
        <v>11</v>
      </c>
      <c r="BC38" s="273">
        <f t="shared" si="55"/>
        <v>234</v>
      </c>
      <c r="BD38" s="273">
        <f t="shared" si="55"/>
        <v>234</v>
      </c>
      <c r="BE38" s="273">
        <f t="shared" si="55"/>
        <v>234</v>
      </c>
      <c r="BF38" s="273">
        <f t="shared" si="55"/>
        <v>223</v>
      </c>
      <c r="BG38" s="273">
        <f t="shared" si="55"/>
        <v>223</v>
      </c>
      <c r="BH38" s="273">
        <f t="shared" si="55"/>
        <v>11</v>
      </c>
      <c r="BI38" s="273">
        <f t="shared" si="55"/>
        <v>223</v>
      </c>
      <c r="BJ38" s="273">
        <f t="shared" si="55"/>
        <v>223</v>
      </c>
      <c r="BK38" s="273">
        <f t="shared" si="55"/>
        <v>226</v>
      </c>
      <c r="BL38" s="273">
        <f t="shared" si="55"/>
        <v>226</v>
      </c>
      <c r="BM38" s="273">
        <f t="shared" si="55"/>
        <v>11</v>
      </c>
      <c r="BN38" s="273">
        <f t="shared" si="55"/>
        <v>230</v>
      </c>
      <c r="BO38" s="273">
        <f t="shared" si="55"/>
        <v>230</v>
      </c>
      <c r="BP38" s="273">
        <f t="shared" si="55"/>
        <v>230</v>
      </c>
      <c r="BQ38" s="273">
        <f t="shared" si="55"/>
        <v>0</v>
      </c>
      <c r="BR38" s="273">
        <f t="shared" si="55"/>
        <v>0</v>
      </c>
      <c r="BS38" s="273">
        <f t="shared" si="55"/>
        <v>0</v>
      </c>
      <c r="BT38" s="273">
        <f t="shared" si="55"/>
        <v>0</v>
      </c>
      <c r="BU38" s="273">
        <f t="shared" si="55"/>
        <v>0</v>
      </c>
      <c r="BV38" s="273">
        <f t="shared" si="55"/>
        <v>0</v>
      </c>
      <c r="BW38" s="273">
        <f t="shared" si="55"/>
        <v>0</v>
      </c>
      <c r="BX38" s="273">
        <f t="shared" si="55"/>
        <v>0</v>
      </c>
      <c r="BY38" s="273">
        <f t="shared" si="55"/>
        <v>0</v>
      </c>
      <c r="BZ38" s="1783">
        <f t="shared" si="55"/>
        <v>0</v>
      </c>
      <c r="CA38" s="1783">
        <f t="shared" si="55"/>
        <v>0</v>
      </c>
      <c r="CB38" s="1783">
        <f t="shared" si="55"/>
        <v>0</v>
      </c>
      <c r="CC38" s="1783">
        <f t="shared" si="55"/>
        <v>0</v>
      </c>
      <c r="CD38" s="1783">
        <f t="shared" si="55"/>
        <v>0</v>
      </c>
      <c r="CE38" s="1783">
        <f t="shared" si="55"/>
        <v>0</v>
      </c>
      <c r="CF38" s="1748"/>
    </row>
    <row r="39" spans="2:90" ht="15.75" customHeight="1" x14ac:dyDescent="0.3">
      <c r="B39" s="1937"/>
      <c r="C39" s="1938" t="s">
        <v>1464</v>
      </c>
      <c r="D39" s="1928">
        <f>IFERROR(SUMPRODUCT(H5:H22,DF11:DF28,J5:J22)/J39,0)</f>
        <v>732</v>
      </c>
      <c r="E39" s="1939" t="s">
        <v>1535</v>
      </c>
      <c r="F39" s="1930">
        <f>IFERROR(SUMPRODUCT(D5:D22,$J$5:$J$22),0)</f>
        <v>16</v>
      </c>
      <c r="G39" s="1931">
        <f>IFERROR(SUMPRODUCT(E5:E22,$J$5:$J$22),0)</f>
        <v>10</v>
      </c>
      <c r="H39" s="1931">
        <f>IFERROR(SUMPRODUCT(F5:F22,$J$5:$J$22),0)</f>
        <v>10</v>
      </c>
      <c r="I39" s="1932">
        <f>IFERROR(SUMPRODUCT(G5:G22,$J$5:$J$22),0)</f>
        <v>0</v>
      </c>
      <c r="J39" s="1940">
        <f>IFERROR(SUMPRODUCT(H5:H22,J5:J22),0)</f>
        <v>72</v>
      </c>
      <c r="K39" s="1934" t="s">
        <v>1536</v>
      </c>
      <c r="L39" s="1935">
        <f>J39/$J$50</f>
        <v>0.33333333333333331</v>
      </c>
      <c r="M39" s="1941">
        <f>J39*D39</f>
        <v>52704</v>
      </c>
      <c r="N39" s="1864"/>
      <c r="O39" s="1864"/>
      <c r="P39" s="1864"/>
      <c r="Q39" s="1864"/>
      <c r="R39" s="1864"/>
      <c r="U39" s="1838">
        <v>26</v>
      </c>
      <c r="V39" s="1839"/>
      <c r="W39" s="1846"/>
      <c r="X39" s="1835">
        <v>37</v>
      </c>
      <c r="Y39" s="1836"/>
      <c r="Z39" s="1837"/>
      <c r="AC39" s="1838">
        <v>26</v>
      </c>
      <c r="AD39" s="1839"/>
      <c r="AE39" s="1846"/>
      <c r="AF39" s="1835">
        <v>37</v>
      </c>
      <c r="AG39" s="1836"/>
      <c r="AH39" s="1837"/>
      <c r="AK39" s="1838">
        <v>26</v>
      </c>
      <c r="AL39" s="1839"/>
      <c r="AM39" s="1846"/>
      <c r="AN39" s="1835">
        <v>37</v>
      </c>
      <c r="AO39" s="1836"/>
      <c r="AP39" s="1837"/>
      <c r="AY39" s="1746"/>
      <c r="AZ39" s="1788">
        <f t="shared" ref="AZ39:CE39" si="56">SUMIFS($AZ$126:$IH$126,$AZ$119:$IH$119,AZ$31,$AZ$120:$IH$120,AZ$33)</f>
        <v>23</v>
      </c>
      <c r="BA39" s="273">
        <f t="shared" si="56"/>
        <v>223</v>
      </c>
      <c r="BB39" s="273">
        <f t="shared" si="56"/>
        <v>11</v>
      </c>
      <c r="BC39" s="273">
        <f t="shared" si="56"/>
        <v>34</v>
      </c>
      <c r="BD39" s="273">
        <f t="shared" si="56"/>
        <v>234</v>
      </c>
      <c r="BE39" s="273">
        <f t="shared" si="56"/>
        <v>234</v>
      </c>
      <c r="BF39" s="273">
        <f t="shared" si="56"/>
        <v>23</v>
      </c>
      <c r="BG39" s="273">
        <f t="shared" si="56"/>
        <v>223</v>
      </c>
      <c r="BH39" s="273">
        <f t="shared" si="56"/>
        <v>11</v>
      </c>
      <c r="BI39" s="273">
        <f t="shared" si="56"/>
        <v>23</v>
      </c>
      <c r="BJ39" s="273">
        <f t="shared" si="56"/>
        <v>223</v>
      </c>
      <c r="BK39" s="273">
        <f t="shared" si="56"/>
        <v>26</v>
      </c>
      <c r="BL39" s="273">
        <f t="shared" si="56"/>
        <v>226</v>
      </c>
      <c r="BM39" s="273">
        <f t="shared" si="56"/>
        <v>11</v>
      </c>
      <c r="BN39" s="273">
        <f t="shared" si="56"/>
        <v>30</v>
      </c>
      <c r="BO39" s="273">
        <f t="shared" si="56"/>
        <v>230</v>
      </c>
      <c r="BP39" s="273">
        <f t="shared" si="56"/>
        <v>230</v>
      </c>
      <c r="BQ39" s="273">
        <f t="shared" si="56"/>
        <v>0</v>
      </c>
      <c r="BR39" s="273">
        <f t="shared" si="56"/>
        <v>0</v>
      </c>
      <c r="BS39" s="273">
        <f t="shared" si="56"/>
        <v>0</v>
      </c>
      <c r="BT39" s="273">
        <f t="shared" si="56"/>
        <v>0</v>
      </c>
      <c r="BU39" s="273">
        <f t="shared" si="56"/>
        <v>0</v>
      </c>
      <c r="BV39" s="273">
        <f t="shared" si="56"/>
        <v>0</v>
      </c>
      <c r="BW39" s="273">
        <f t="shared" si="56"/>
        <v>0</v>
      </c>
      <c r="BX39" s="273">
        <f t="shared" si="56"/>
        <v>0</v>
      </c>
      <c r="BY39" s="273">
        <f t="shared" si="56"/>
        <v>0</v>
      </c>
      <c r="BZ39" s="1783">
        <f t="shared" si="56"/>
        <v>0</v>
      </c>
      <c r="CA39" s="1783">
        <f t="shared" si="56"/>
        <v>0</v>
      </c>
      <c r="CB39" s="1783">
        <f t="shared" si="56"/>
        <v>0</v>
      </c>
      <c r="CC39" s="1783">
        <f t="shared" si="56"/>
        <v>0</v>
      </c>
      <c r="CD39" s="1783">
        <f t="shared" si="56"/>
        <v>0</v>
      </c>
      <c r="CE39" s="1783">
        <f t="shared" si="56"/>
        <v>0</v>
      </c>
      <c r="CF39" s="1748"/>
    </row>
    <row r="40" spans="2:90" ht="15.75" customHeight="1" x14ac:dyDescent="0.3">
      <c r="B40" s="1937"/>
      <c r="C40" s="1942" t="s">
        <v>1465</v>
      </c>
      <c r="D40" s="1928">
        <f>IFERROR(SUMPRODUCT(H5:H22,DG11:DG28,K5:K22)/J40,0)</f>
        <v>0</v>
      </c>
      <c r="E40" s="1939" t="s">
        <v>1535</v>
      </c>
      <c r="F40" s="1930">
        <f>IFERROR(SUMPRODUCT(D5:D22,$K$5:$K$22),0)</f>
        <v>0</v>
      </c>
      <c r="G40" s="1931">
        <f>IFERROR(SUMPRODUCT(E5:E22,$K$5:$K$22),0)</f>
        <v>0</v>
      </c>
      <c r="H40" s="1931">
        <f>IFERROR(SUMPRODUCT(F5:F22,$K$5:$K$22),0)</f>
        <v>0</v>
      </c>
      <c r="I40" s="1932">
        <f>IFERROR(SUMPRODUCT(G5:G22,$K$5:$K$22),0)</f>
        <v>0</v>
      </c>
      <c r="J40" s="1940">
        <f>IFERROR(SUMPRODUCT(H5:H22,K5:K22),0)</f>
        <v>0</v>
      </c>
      <c r="K40" s="1934" t="s">
        <v>1536</v>
      </c>
      <c r="L40" s="1935">
        <f>J40/$J$50</f>
        <v>0</v>
      </c>
      <c r="M40" s="1941">
        <f>J40*D40</f>
        <v>0</v>
      </c>
      <c r="N40" s="1864"/>
      <c r="O40" s="1864"/>
      <c r="P40" s="1864"/>
      <c r="Q40" s="1864"/>
      <c r="R40" s="1864"/>
      <c r="AY40" s="1746"/>
      <c r="AZ40" s="1834" t="str">
        <f t="shared" ref="AZ40:CE40" si="57">IF(_xlfn.XLOOKUP(AZ31,$Z$114:$Z$155,$AA$114:$AA$155,0)=AZ33,"E",IF(_xlfn.XLOOKUP(AZ31,$Z$114:$Z$155,$AB$114:$AB$155,0)=AZ33,"M",""))</f>
        <v/>
      </c>
      <c r="BA40" s="1834" t="str">
        <f t="shared" si="57"/>
        <v/>
      </c>
      <c r="BB40" s="1834" t="str">
        <f t="shared" si="57"/>
        <v>M</v>
      </c>
      <c r="BC40" s="1834" t="str">
        <f t="shared" si="57"/>
        <v/>
      </c>
      <c r="BD40" s="1834" t="str">
        <f t="shared" si="57"/>
        <v/>
      </c>
      <c r="BE40" s="1834" t="str">
        <f t="shared" si="57"/>
        <v>E</v>
      </c>
      <c r="BF40" s="1834" t="str">
        <f t="shared" si="57"/>
        <v/>
      </c>
      <c r="BG40" s="1834" t="str">
        <f t="shared" si="57"/>
        <v/>
      </c>
      <c r="BH40" s="1834" t="str">
        <f t="shared" si="57"/>
        <v>M</v>
      </c>
      <c r="BI40" s="1834" t="str">
        <f t="shared" si="57"/>
        <v/>
      </c>
      <c r="BJ40" s="1834" t="str">
        <f t="shared" si="57"/>
        <v>E</v>
      </c>
      <c r="BK40" s="1834" t="str">
        <f t="shared" si="57"/>
        <v/>
      </c>
      <c r="BL40" s="1834" t="str">
        <f t="shared" si="57"/>
        <v/>
      </c>
      <c r="BM40" s="1834" t="str">
        <f t="shared" si="57"/>
        <v>M</v>
      </c>
      <c r="BN40" s="1834" t="str">
        <f t="shared" si="57"/>
        <v/>
      </c>
      <c r="BO40" s="1834" t="str">
        <f t="shared" si="57"/>
        <v/>
      </c>
      <c r="BP40" s="1834" t="str">
        <f t="shared" si="57"/>
        <v>E</v>
      </c>
      <c r="BQ40" s="1834" t="str">
        <f t="shared" si="57"/>
        <v/>
      </c>
      <c r="BR40" s="1834" t="str">
        <f t="shared" si="57"/>
        <v/>
      </c>
      <c r="BS40" s="1834" t="str">
        <f t="shared" si="57"/>
        <v/>
      </c>
      <c r="BT40" s="1834" t="str">
        <f t="shared" si="57"/>
        <v/>
      </c>
      <c r="BU40" s="1834" t="str">
        <f t="shared" si="57"/>
        <v/>
      </c>
      <c r="BV40" s="1834" t="str">
        <f t="shared" si="57"/>
        <v/>
      </c>
      <c r="BW40" s="1834" t="str">
        <f t="shared" si="57"/>
        <v/>
      </c>
      <c r="BX40" s="1834" t="str">
        <f t="shared" si="57"/>
        <v/>
      </c>
      <c r="BY40" s="1834" t="str">
        <f t="shared" si="57"/>
        <v/>
      </c>
      <c r="BZ40" s="1834" t="str">
        <f t="shared" si="57"/>
        <v/>
      </c>
      <c r="CA40" s="1834" t="str">
        <f t="shared" si="57"/>
        <v/>
      </c>
      <c r="CB40" s="1834" t="str">
        <f t="shared" si="57"/>
        <v/>
      </c>
      <c r="CC40" s="1834" t="str">
        <f t="shared" si="57"/>
        <v/>
      </c>
      <c r="CD40" s="1834" t="str">
        <f t="shared" si="57"/>
        <v/>
      </c>
      <c r="CE40" s="1834" t="str">
        <f t="shared" si="57"/>
        <v/>
      </c>
      <c r="CF40" s="1748"/>
    </row>
    <row r="41" spans="2:90" ht="15.75" customHeight="1" x14ac:dyDescent="0.4">
      <c r="B41" s="1943"/>
      <c r="C41" s="1944"/>
      <c r="D41" s="1945"/>
      <c r="E41" s="1946"/>
      <c r="F41" s="1947"/>
      <c r="G41" s="1948"/>
      <c r="H41" s="1948"/>
      <c r="I41" s="1949"/>
      <c r="J41" s="1950"/>
      <c r="K41" s="1951"/>
      <c r="L41" s="1950"/>
      <c r="M41" s="1949"/>
      <c r="N41" s="1864"/>
      <c r="O41" s="1864"/>
      <c r="P41" s="1864"/>
      <c r="Q41" s="1864"/>
      <c r="R41" s="1864"/>
      <c r="U41" s="1697" t="s">
        <v>1477</v>
      </c>
      <c r="V41" s="1698"/>
      <c r="W41" s="1698"/>
      <c r="X41" s="1698"/>
      <c r="Y41" s="1698"/>
      <c r="Z41" s="1699"/>
      <c r="AC41" s="1697" t="s">
        <v>1513</v>
      </c>
      <c r="AD41" s="1698"/>
      <c r="AE41" s="1698"/>
      <c r="AF41" s="1698"/>
      <c r="AG41" s="1698"/>
      <c r="AH41" s="1699"/>
      <c r="AK41" s="1697" t="s">
        <v>1514</v>
      </c>
      <c r="AL41" s="1698"/>
      <c r="AM41" s="1698"/>
      <c r="AN41" s="1698"/>
      <c r="AO41" s="1698"/>
      <c r="AP41" s="1699"/>
      <c r="AS41" s="1697" t="s">
        <v>1514</v>
      </c>
      <c r="AT41" s="1698"/>
      <c r="AU41" s="1698"/>
      <c r="AV41" s="1698"/>
      <c r="AW41" s="1699"/>
      <c r="AY41" s="1717"/>
      <c r="AZ41" s="1718" t="s">
        <v>1537</v>
      </c>
      <c r="BA41" s="1719"/>
      <c r="BB41" s="1720"/>
      <c r="BC41" s="1721">
        <f>G24</f>
        <v>0</v>
      </c>
      <c r="BD41" s="1722" t="s">
        <v>1509</v>
      </c>
      <c r="BE41" s="1722" t="s">
        <v>1483</v>
      </c>
      <c r="BF41" s="1722"/>
      <c r="BG41" s="1722"/>
      <c r="BH41" s="1722"/>
      <c r="BI41" s="156" t="str" cm="1">
        <f t="array" ref="BI41">IF(AND(SUM(ABS($G$5:$G$22))=0,COUNTIF(BD41:BH41,"")=5),"",IF(OR(IFERROR(SUM(ABS(BJ42:BO42))&gt;0,"true"),IFERROR(MATCH("mismatch",BP42:BT42)&gt;0,"FALSE")),"Module selection mismatch",""))</f>
        <v>Module selection mismatch</v>
      </c>
      <c r="BJ41" s="1723"/>
      <c r="BK41" s="1723"/>
      <c r="BL41" s="1723"/>
      <c r="BM41" s="1723"/>
      <c r="BN41" s="1723"/>
      <c r="BO41" s="1723"/>
      <c r="BP41" s="1724"/>
      <c r="BQ41" s="1725"/>
      <c r="BR41" s="1725"/>
      <c r="BS41" s="1725"/>
      <c r="BT41" s="1725"/>
      <c r="BU41" s="1725"/>
      <c r="BV41" s="374"/>
      <c r="BW41" s="374"/>
      <c r="BX41" s="374"/>
      <c r="BY41" s="374"/>
      <c r="BZ41" s="1726"/>
      <c r="CA41" s="1726"/>
      <c r="CB41" s="1726"/>
      <c r="CC41" s="1726"/>
      <c r="CD41" s="1726"/>
      <c r="CE41" s="1726"/>
      <c r="CF41" s="1727"/>
      <c r="CI41" s="273" t="s">
        <v>1478</v>
      </c>
      <c r="CJ41" s="273" t="s">
        <v>311</v>
      </c>
      <c r="CK41" s="273" t="s">
        <v>312</v>
      </c>
      <c r="CL41" s="273" t="s">
        <v>1479</v>
      </c>
    </row>
    <row r="42" spans="2:90" ht="15.75" customHeight="1" x14ac:dyDescent="0.3">
      <c r="B42" s="1915" t="s">
        <v>1538</v>
      </c>
      <c r="C42" s="1916"/>
      <c r="D42" s="1917">
        <f>IFERROR(SUMPRODUCT(D43:D45,J43:J45)/J42,"")</f>
        <v>945</v>
      </c>
      <c r="E42" s="1918" t="s">
        <v>1535</v>
      </c>
      <c r="F42" s="1952">
        <f t="shared" ref="F42:I42" si="58">SUM(F43:F45)</f>
        <v>22</v>
      </c>
      <c r="G42" s="1953">
        <f t="shared" si="58"/>
        <v>4</v>
      </c>
      <c r="H42" s="1953">
        <f t="shared" si="58"/>
        <v>14</v>
      </c>
      <c r="I42" s="1925">
        <f t="shared" si="58"/>
        <v>0</v>
      </c>
      <c r="J42" s="1922">
        <f>SUM(J43:J45)</f>
        <v>80</v>
      </c>
      <c r="K42" s="1923" t="s">
        <v>1536</v>
      </c>
      <c r="L42" s="1924">
        <f>SUM(L43:L45)</f>
        <v>0.37037037037037035</v>
      </c>
      <c r="M42" s="1925">
        <f>SUM(M43:M45)</f>
        <v>75600</v>
      </c>
      <c r="N42" s="1864"/>
      <c r="O42" s="1864"/>
      <c r="P42" s="1864"/>
      <c r="Q42" s="1864"/>
      <c r="R42" s="1864"/>
      <c r="U42" s="273"/>
      <c r="V42" s="273"/>
      <c r="W42" s="273"/>
      <c r="X42" s="273"/>
      <c r="AC42" s="273"/>
      <c r="AD42" s="273"/>
      <c r="AE42" s="273"/>
      <c r="AF42" s="273"/>
      <c r="AK42" s="273"/>
      <c r="AL42" s="273"/>
      <c r="AM42" s="273"/>
      <c r="AN42" s="273"/>
      <c r="AS42" s="1715"/>
      <c r="AT42" s="1716" t="s">
        <v>1474</v>
      </c>
      <c r="AU42" s="1716">
        <v>1</v>
      </c>
      <c r="AV42" s="1716">
        <v>2</v>
      </c>
      <c r="AW42" s="1716">
        <v>3</v>
      </c>
      <c r="AY42" s="1746"/>
      <c r="BA42" s="1747"/>
      <c r="BB42" s="1747"/>
      <c r="BC42" s="1747"/>
      <c r="BD42" s="1722"/>
      <c r="BE42" s="1722"/>
      <c r="BF42" s="1722"/>
      <c r="BG42" s="1722"/>
      <c r="BH42" s="1722"/>
      <c r="BI42" s="182"/>
      <c r="BJ42" s="203" t="e" vm="1">
        <f>_xlfn.XLOOKUP(CI42,$C$5:$C$22,$G$5:$G$22,0)-CL42</f>
        <v>#VALUE!</v>
      </c>
      <c r="BK42" s="203">
        <f>_xlfn.XLOOKUP(CI43,$C$5:$C$22,$G$5:$G$22,0)-CL43</f>
        <v>0</v>
      </c>
      <c r="BL42" s="203">
        <f>_xlfn.XLOOKUP(CI44,$C$5:$C$22,$G$5:$G$22,0)-CL44</f>
        <v>0</v>
      </c>
      <c r="BM42" s="203">
        <f>_xlfn.XLOOKUP(CI45,$C$5:$C$22,$G$5:$G$22,0)-CL45</f>
        <v>0</v>
      </c>
      <c r="BN42" s="203">
        <f>_xlfn.XLOOKUP(CI46,$C$5:$C$22,$G$5:$G$22,0)-CL46</f>
        <v>0</v>
      </c>
      <c r="BO42" s="203">
        <f>CL47-SUM($G$5:$G$22)</f>
        <v>0</v>
      </c>
      <c r="BP42" s="203" t="str">
        <f>_xlfn.XLOOKUP(BD41,$CI$42:$CI$47,$CJ$42:$CJ$47,"mismatch")</f>
        <v>mismatch</v>
      </c>
      <c r="BQ42" s="203" t="str">
        <f t="shared" ref="BQ42:BT42" si="59">_xlfn.XLOOKUP(BE41,$CI$42:$CI$47,$CJ$42:$CJ$47,"mismatch")</f>
        <v>mismatch</v>
      </c>
      <c r="BR42" s="203">
        <f t="shared" si="59"/>
        <v>7</v>
      </c>
      <c r="BS42" s="203">
        <f t="shared" si="59"/>
        <v>7</v>
      </c>
      <c r="BT42" s="203">
        <f t="shared" si="59"/>
        <v>7</v>
      </c>
      <c r="BU42" s="182"/>
      <c r="BZ42" s="203"/>
      <c r="CA42" s="203"/>
      <c r="CB42" s="203"/>
      <c r="CC42" s="203"/>
      <c r="CD42" s="203"/>
      <c r="CE42" s="203"/>
      <c r="CF42" s="1748"/>
      <c r="CI42" t="e" cm="1" vm="2">
        <f t="array" ref="CI42">_xlfn.UNIQUE(_xlfn._xlws.FILTER($C$5:$C$22,$G$5:$G$22&gt;0))</f>
        <v>#VALUE!</v>
      </c>
      <c r="CJ42">
        <v>1</v>
      </c>
      <c r="CK42">
        <f>IFERROR(CJ42-1+_xlfn.XLOOKUP(BD41,$Z$114:$Z$155,$AA$114:$AA$155),0)</f>
        <v>6</v>
      </c>
      <c r="CL42">
        <f>COUNTIF($BD$41:$BH$41,CI42)</f>
        <v>0</v>
      </c>
    </row>
    <row r="43" spans="2:90" ht="15.75" customHeight="1" x14ac:dyDescent="0.3">
      <c r="B43" s="1926"/>
      <c r="C43" s="1954" t="s">
        <v>1466</v>
      </c>
      <c r="D43" s="1928">
        <f>IFERROR(SUMPRODUCT(H5:H22,DH11:DH28,L5:L22)/J43,0)</f>
        <v>873</v>
      </c>
      <c r="E43" s="1929" t="s">
        <v>1535</v>
      </c>
      <c r="F43" s="1930">
        <f>IFERROR(SUMPRODUCT(D5:D22,$L$5:$L$22),0)</f>
        <v>12</v>
      </c>
      <c r="G43" s="1931">
        <f>IFERROR(SUMPRODUCT(E5:E22,$L$5:$L$22),0)</f>
        <v>0</v>
      </c>
      <c r="H43" s="1931">
        <f>IFERROR(SUMPRODUCT(F5:F22,$L$5:$L$22),0)</f>
        <v>0</v>
      </c>
      <c r="I43" s="1932">
        <f>IFERROR(SUMPRODUCT(G5:G22,$L$5:$L$22),0)</f>
        <v>0</v>
      </c>
      <c r="J43" s="1933">
        <f>IFERROR(SUMPRODUCT(H5:H22,L5:L22),0)</f>
        <v>24</v>
      </c>
      <c r="K43" s="1955" t="s">
        <v>1536</v>
      </c>
      <c r="L43" s="1956">
        <f>J43/$J$50</f>
        <v>0.1111111111111111</v>
      </c>
      <c r="M43" s="1936">
        <f>IFERROR(J43*D43,"-")</f>
        <v>20952</v>
      </c>
      <c r="N43" s="1864"/>
      <c r="O43" s="1864"/>
      <c r="P43" s="1864"/>
      <c r="Q43" s="1864"/>
      <c r="R43" s="1864"/>
      <c r="U43" s="1822"/>
      <c r="V43" s="1823"/>
      <c r="W43" s="1824"/>
      <c r="X43" s="1957"/>
      <c r="Y43" s="1958"/>
      <c r="Z43" s="1959"/>
      <c r="AC43" s="1822"/>
      <c r="AD43" s="1823"/>
      <c r="AE43" s="1827"/>
      <c r="AF43" s="1957"/>
      <c r="AG43" s="1958"/>
      <c r="AH43" s="1959"/>
      <c r="AS43" s="1828" t="s">
        <v>1492</v>
      </c>
      <c r="AT43" s="1745">
        <v>1</v>
      </c>
      <c r="AU43" s="1745">
        <v>2</v>
      </c>
      <c r="AV43" s="1745">
        <v>1</v>
      </c>
      <c r="AW43" s="1745">
        <v>1</v>
      </c>
      <c r="AY43" s="1746"/>
      <c r="AZ43" s="203" t="str">
        <f>SUBSTITUTE(IF(AND(AZ$3&lt;=$CK42,AZ$3&gt;=$CJ42),$BD41&amp;$BD42&amp;IF(AND(LEFT($BD41,2)="M5",$R$18="Yes"),"A",""),IF(AND(AZ$3&lt;=$CK43,AZ$3&gt;=$CJ43),$BE41&amp;$BE42&amp;IF(AND(LEFT($BE41,2)="M5",$R$18="Yes"),"A",""),IF(AND(AZ$3&lt;=$CK44,AZ$3&gt;=$CJ44),$BF41&amp;$BF42&amp;IF(AND(LEFT($BF41,2)="M5",$R$18="Yes"),"A",""),IF(AND(AZ$3&lt;=$CK45,AZ$3&gt;=$CJ45),$BG41&amp;$BG42&amp;IF(AND(LEFT($BG41,2)="M5",$R$18="Yes"),"A",""),IF(AND(AZ$3&lt;=$CK46,AZ$3&gt;=$CJ46),$BH41&amp;$BH42&amp;IF(AND(LEFT($BH41,2)="M5",$R$18="Yes"),"A",""),""))))),"s","")</f>
        <v>M4</v>
      </c>
      <c r="BA43" s="203" t="str">
        <f t="shared" ref="BA43:CE43" si="60">SUBSTITUTE(IF(AND(BA$3&lt;=$CK42,BA$3&gt;=$CJ42),$BD41&amp;$BD42&amp;IF(AND(LEFT($BD41,2)="M5",$R$18="Yes"),"A",""),IF(AND(BA$3&lt;=$CK43,BA$3&gt;=$CJ43),$BE41&amp;$BE42&amp;IF(AND(LEFT($BE41,2)="M5",$R$18="Yes"),"A",""),IF(AND(BA$3&lt;=$CK44,BA$3&gt;=$CJ44),$BF41&amp;$BF42&amp;IF(AND(LEFT($BF41,2)="M5",$R$18="Yes"),"A",""),IF(AND(BA$3&lt;=$CK45,BA$3&gt;=$CJ45),$BG41&amp;$BG42&amp;IF(AND(LEFT($BG41,2)="M5",$R$18="Yes"),"A",""),IF(AND(BA$3&lt;=$CK46,BA$3&gt;=$CJ46),$BH41&amp;$BH42&amp;IF(AND(LEFT($BH41,2)="M5",$R$18="Yes"),"A",""),""))))),"s","")</f>
        <v>M4</v>
      </c>
      <c r="BB43" s="203" t="str">
        <f t="shared" si="60"/>
        <v>M4</v>
      </c>
      <c r="BC43" s="203" t="str">
        <f t="shared" si="60"/>
        <v>M4</v>
      </c>
      <c r="BD43" s="203" t="str">
        <f t="shared" si="60"/>
        <v>M4</v>
      </c>
      <c r="BE43" s="203" t="str">
        <f t="shared" si="60"/>
        <v>M4</v>
      </c>
      <c r="BF43" s="203" t="str">
        <f t="shared" si="60"/>
        <v>M2</v>
      </c>
      <c r="BG43" s="203" t="str">
        <f t="shared" si="60"/>
        <v>M2</v>
      </c>
      <c r="BH43" s="203" t="str">
        <f t="shared" si="60"/>
        <v>M2</v>
      </c>
      <c r="BI43" s="203" t="str">
        <f t="shared" si="60"/>
        <v>M2</v>
      </c>
      <c r="BJ43" s="203" t="str">
        <f t="shared" si="60"/>
        <v>M2</v>
      </c>
      <c r="BK43" s="203" t="str">
        <f t="shared" si="60"/>
        <v/>
      </c>
      <c r="BL43" s="203" t="str">
        <f t="shared" si="60"/>
        <v/>
      </c>
      <c r="BM43" s="203" t="str">
        <f t="shared" si="60"/>
        <v/>
      </c>
      <c r="BN43" s="203" t="str">
        <f t="shared" si="60"/>
        <v/>
      </c>
      <c r="BO43" s="203" t="str">
        <f t="shared" si="60"/>
        <v/>
      </c>
      <c r="BP43" s="203" t="str">
        <f t="shared" si="60"/>
        <v/>
      </c>
      <c r="BQ43" s="203" t="str">
        <f t="shared" si="60"/>
        <v/>
      </c>
      <c r="BR43" s="203" t="str">
        <f t="shared" si="60"/>
        <v/>
      </c>
      <c r="BS43" s="203" t="str">
        <f t="shared" si="60"/>
        <v/>
      </c>
      <c r="BT43" s="203" t="str">
        <f t="shared" si="60"/>
        <v/>
      </c>
      <c r="BU43" s="203" t="str">
        <f t="shared" si="60"/>
        <v/>
      </c>
      <c r="BV43" s="203" t="str">
        <f t="shared" si="60"/>
        <v/>
      </c>
      <c r="BW43" s="203" t="str">
        <f t="shared" si="60"/>
        <v/>
      </c>
      <c r="BX43" s="203" t="str">
        <f t="shared" si="60"/>
        <v/>
      </c>
      <c r="BY43" s="203" t="str">
        <f t="shared" si="60"/>
        <v/>
      </c>
      <c r="BZ43" s="203" t="str">
        <f t="shared" si="60"/>
        <v/>
      </c>
      <c r="CA43" s="203" t="str">
        <f t="shared" si="60"/>
        <v/>
      </c>
      <c r="CB43" s="203" t="str">
        <f t="shared" si="60"/>
        <v/>
      </c>
      <c r="CC43" s="203" t="str">
        <f t="shared" si="60"/>
        <v/>
      </c>
      <c r="CD43" s="203" t="str">
        <f t="shared" si="60"/>
        <v/>
      </c>
      <c r="CE43" s="203" t="str">
        <f t="shared" si="60"/>
        <v/>
      </c>
      <c r="CF43" s="1748"/>
      <c r="CJ43">
        <f>IF(BE41="","",CK42+1)</f>
        <v>7</v>
      </c>
      <c r="CK43">
        <f>IF(BE41="","",CJ43-1+_xlfn.XLOOKUP(BE41,$Z$114:$Z$155,$AA$114:$AA$155))</f>
        <v>11</v>
      </c>
      <c r="CL43">
        <f>COUNTIF($BD$41:$BH$41,CI43)</f>
        <v>0</v>
      </c>
    </row>
    <row r="44" spans="2:90" ht="15.75" customHeight="1" x14ac:dyDescent="0.3">
      <c r="B44" s="1937"/>
      <c r="C44" s="1960" t="s">
        <v>1467</v>
      </c>
      <c r="D44" s="1928">
        <f>IFERROR(SUMPRODUCT(H5:H22,DI11:DI28,M5:M22)/J44,0)</f>
        <v>947.25</v>
      </c>
      <c r="E44" s="1939" t="s">
        <v>1535</v>
      </c>
      <c r="F44" s="1930">
        <f>IFERROR(SUMPRODUCT(D5:D22,$M$5:$M$22),0)</f>
        <v>2</v>
      </c>
      <c r="G44" s="1931">
        <f>IFERROR(SUMPRODUCT(E5:E22,$M$5:$M$22),0)</f>
        <v>2</v>
      </c>
      <c r="H44" s="1931">
        <f>IFERROR(SUMPRODUCT(F5:F22,$M$5:$M$22),0)</f>
        <v>12</v>
      </c>
      <c r="I44" s="1932">
        <f>IFERROR(SUMPRODUCT(G5:G22,$M$5:$M$22),0)</f>
        <v>0</v>
      </c>
      <c r="J44" s="1940">
        <f>IFERROR(SUMPRODUCT(H5:H22,M5:M22),0)</f>
        <v>32</v>
      </c>
      <c r="K44" s="1934" t="s">
        <v>1536</v>
      </c>
      <c r="L44" s="1935">
        <f>J44/$J$50</f>
        <v>0.14814814814814814</v>
      </c>
      <c r="M44" s="1941">
        <f>J44*D44</f>
        <v>30312</v>
      </c>
      <c r="N44" s="1864"/>
      <c r="O44" s="1864"/>
      <c r="P44" s="1864"/>
      <c r="Q44" s="1864"/>
      <c r="R44" s="1864"/>
      <c r="U44" s="1829"/>
      <c r="V44" s="1794"/>
      <c r="W44" s="1830"/>
      <c r="X44" s="1961"/>
      <c r="Y44" s="1962"/>
      <c r="Z44" s="1963"/>
      <c r="AC44" s="1829"/>
      <c r="AD44" s="1794"/>
      <c r="AE44" s="1833"/>
      <c r="AF44" s="1961"/>
      <c r="AG44" s="1962"/>
      <c r="AH44" s="1963"/>
      <c r="AS44" s="1964" t="s">
        <v>1494</v>
      </c>
      <c r="AT44" s="1745">
        <f>IF($R$18="Yes",1,0)</f>
        <v>0</v>
      </c>
      <c r="AU44" s="1745">
        <f>IF($R$18="Yes",2,0)</f>
        <v>0</v>
      </c>
      <c r="AV44" s="1745">
        <f>IF($R$18="Yes",1,0)</f>
        <v>0</v>
      </c>
      <c r="AW44" s="1745">
        <f>IF($R$18="Yes",1,0)</f>
        <v>0</v>
      </c>
      <c r="AY44" s="1746"/>
      <c r="AZ44" s="1778" t="str">
        <f t="shared" ref="AZ44:CE44" si="61">IF(AND(AZ$3&lt;=$CK42,AZ$3&gt;=$CJ42),$BD41,IF(AND(AZ$3&lt;=$CK43,AZ$3&gt;=$CJ43),$BE41,IF(AND(AZ$3&lt;=$CK44,AZ$3&gt;=$CJ44),$BF41,IF(AND(AZ$3&lt;=$CK45,AZ$3&gt;=$CJ45),$BG41,IF(AND(AZ$3&lt;=$CK46,AZ$3&gt;=$CJ46),$BH41,"")))))</f>
        <v>M4</v>
      </c>
      <c r="BA44" s="509" t="str">
        <f t="shared" si="61"/>
        <v>M4</v>
      </c>
      <c r="BB44" s="509" t="str">
        <f t="shared" si="61"/>
        <v>M4</v>
      </c>
      <c r="BC44" s="509" t="str">
        <f t="shared" si="61"/>
        <v>M4</v>
      </c>
      <c r="BD44" s="509" t="str">
        <f t="shared" si="61"/>
        <v>M4</v>
      </c>
      <c r="BE44" s="509" t="str">
        <f t="shared" si="61"/>
        <v>M4</v>
      </c>
      <c r="BF44" s="509" t="str">
        <f t="shared" si="61"/>
        <v>M2</v>
      </c>
      <c r="BG44" s="509" t="str">
        <f t="shared" si="61"/>
        <v>M2</v>
      </c>
      <c r="BH44" s="509" t="str">
        <f t="shared" si="61"/>
        <v>M2</v>
      </c>
      <c r="BI44" s="509" t="str">
        <f t="shared" si="61"/>
        <v>M2</v>
      </c>
      <c r="BJ44" s="509" t="str">
        <f t="shared" si="61"/>
        <v>M2</v>
      </c>
      <c r="BK44" s="509" t="str">
        <f t="shared" si="61"/>
        <v/>
      </c>
      <c r="BL44" s="509" t="str">
        <f t="shared" si="61"/>
        <v/>
      </c>
      <c r="BM44" s="509" t="str">
        <f t="shared" si="61"/>
        <v/>
      </c>
      <c r="BN44" s="509" t="str">
        <f t="shared" si="61"/>
        <v/>
      </c>
      <c r="BO44" s="509" t="str">
        <f t="shared" si="61"/>
        <v/>
      </c>
      <c r="BP44" s="509" t="str">
        <f t="shared" si="61"/>
        <v/>
      </c>
      <c r="BQ44" s="509" t="str">
        <f t="shared" si="61"/>
        <v/>
      </c>
      <c r="BR44" s="509" t="str">
        <f t="shared" si="61"/>
        <v/>
      </c>
      <c r="BS44" s="509" t="str">
        <f t="shared" si="61"/>
        <v/>
      </c>
      <c r="BT44" s="509" t="str">
        <f t="shared" si="61"/>
        <v/>
      </c>
      <c r="BU44" s="509" t="str">
        <f t="shared" si="61"/>
        <v/>
      </c>
      <c r="BV44" s="509" t="str">
        <f t="shared" si="61"/>
        <v/>
      </c>
      <c r="BW44" s="509" t="str">
        <f t="shared" si="61"/>
        <v/>
      </c>
      <c r="BX44" s="509" t="str">
        <f t="shared" si="61"/>
        <v/>
      </c>
      <c r="BY44" s="509" t="str">
        <f t="shared" si="61"/>
        <v/>
      </c>
      <c r="BZ44" s="1779" t="str">
        <f t="shared" si="61"/>
        <v/>
      </c>
      <c r="CA44" s="1779" t="str">
        <f t="shared" si="61"/>
        <v/>
      </c>
      <c r="CB44" s="1779" t="str">
        <f t="shared" si="61"/>
        <v/>
      </c>
      <c r="CC44" s="1779" t="str">
        <f t="shared" si="61"/>
        <v/>
      </c>
      <c r="CD44" s="1779" t="str">
        <f t="shared" si="61"/>
        <v/>
      </c>
      <c r="CE44" s="1779" t="str">
        <f t="shared" si="61"/>
        <v/>
      </c>
      <c r="CF44" s="1748"/>
      <c r="CJ44" t="str">
        <f>IF(BF41="","",CK43+1)</f>
        <v/>
      </c>
      <c r="CK44" t="str">
        <f>IF(BF41="","",CJ44-1+_xlfn.XLOOKUP(BF41,$Z$114:$Z$155,$AA$114:$AA$155))</f>
        <v/>
      </c>
      <c r="CL44">
        <f>COUNTIF($BD$41:$BH$41,CI44)</f>
        <v>0</v>
      </c>
    </row>
    <row r="45" spans="2:90" ht="15.75" customHeight="1" x14ac:dyDescent="0.3">
      <c r="B45" s="1937"/>
      <c r="C45" s="1965" t="s">
        <v>1468</v>
      </c>
      <c r="D45" s="1928">
        <f>IFERROR(SUMPRODUCT(H5:H22,DJ11:DJ28,N5:N22)/J45,0)</f>
        <v>1014</v>
      </c>
      <c r="E45" s="1939" t="s">
        <v>1535</v>
      </c>
      <c r="F45" s="1930">
        <f>IFERROR(SUMPRODUCT(D5:D22,$N$5:$N$22),0)</f>
        <v>8</v>
      </c>
      <c r="G45" s="1931">
        <f>IFERROR(SUMPRODUCT(E5:E22,$N$5:$N$22),0)</f>
        <v>2</v>
      </c>
      <c r="H45" s="1931">
        <f>IFERROR(SUMPRODUCT(F5:F22,$N$5:$N$22),0)</f>
        <v>2</v>
      </c>
      <c r="I45" s="1932">
        <f>IFERROR(SUMPRODUCT(G5:G22,$N$5:$N$22),0)</f>
        <v>0</v>
      </c>
      <c r="J45" s="1940">
        <f>IFERROR(SUMPRODUCT(H5:H22,N5:N22),0)</f>
        <v>24</v>
      </c>
      <c r="K45" s="1934" t="s">
        <v>1536</v>
      </c>
      <c r="L45" s="1935">
        <f>J45/$J$50</f>
        <v>0.1111111111111111</v>
      </c>
      <c r="M45" s="1941">
        <f>J45*D45</f>
        <v>24336</v>
      </c>
      <c r="N45" s="1864"/>
      <c r="O45" s="1864"/>
      <c r="P45" s="1864"/>
      <c r="Q45" s="1864"/>
      <c r="R45" s="1864"/>
      <c r="U45" s="1835">
        <v>37</v>
      </c>
      <c r="V45" s="1836"/>
      <c r="W45" s="1837"/>
      <c r="X45" s="1966">
        <v>30</v>
      </c>
      <c r="Y45" s="1967"/>
      <c r="Z45" s="1968"/>
      <c r="AC45" s="1835">
        <v>37</v>
      </c>
      <c r="AD45" s="1836"/>
      <c r="AE45" s="1840"/>
      <c r="AF45" s="1966">
        <v>30</v>
      </c>
      <c r="AG45" s="1967"/>
      <c r="AH45" s="1968"/>
      <c r="AK45" s="337" t="s">
        <v>1484</v>
      </c>
      <c r="AS45" s="1964" t="s">
        <v>1495</v>
      </c>
      <c r="AT45" s="1745">
        <v>0</v>
      </c>
      <c r="AU45" s="1745">
        <v>0</v>
      </c>
      <c r="AV45" s="1745">
        <f>IF($R$18="Yes",1,0)</f>
        <v>0</v>
      </c>
      <c r="AW45" s="1745">
        <f>IF($R$18="Yes",1,0)</f>
        <v>0</v>
      </c>
      <c r="AY45" s="1746"/>
      <c r="AZ45" s="1783">
        <f>IF(AZ44="","",IF(AZ44=AY42,AY44+1,1))</f>
        <v>1</v>
      </c>
      <c r="BA45" s="1783">
        <f t="shared" ref="BA45:BD45" si="62">IF(BA44="","",IF(AZ52="E",1,AZ45+1))</f>
        <v>2</v>
      </c>
      <c r="BB45" s="1783">
        <f t="shared" si="62"/>
        <v>3</v>
      </c>
      <c r="BC45" s="1783">
        <f t="shared" si="62"/>
        <v>4</v>
      </c>
      <c r="BD45" s="1783">
        <f t="shared" si="62"/>
        <v>5</v>
      </c>
      <c r="BE45" s="1783">
        <f>IF(BE44="","",IF(BD52="E",1,BD45+1))</f>
        <v>6</v>
      </c>
      <c r="BF45" s="1783">
        <f t="shared" ref="BF45:CE45" si="63">IF(BF44="","",IF(BE52="E",1,BE45+1))</f>
        <v>1</v>
      </c>
      <c r="BG45" s="1783">
        <f t="shared" si="63"/>
        <v>2</v>
      </c>
      <c r="BH45" s="1783">
        <f t="shared" si="63"/>
        <v>3</v>
      </c>
      <c r="BI45" s="1783">
        <f t="shared" si="63"/>
        <v>4</v>
      </c>
      <c r="BJ45" s="1783">
        <f t="shared" si="63"/>
        <v>5</v>
      </c>
      <c r="BK45" s="1783" t="str">
        <f t="shared" si="63"/>
        <v/>
      </c>
      <c r="BL45" s="1783" t="str">
        <f t="shared" si="63"/>
        <v/>
      </c>
      <c r="BM45" s="1783" t="str">
        <f t="shared" si="63"/>
        <v/>
      </c>
      <c r="BN45" s="1783" t="str">
        <f t="shared" si="63"/>
        <v/>
      </c>
      <c r="BO45" s="1783" t="str">
        <f t="shared" si="63"/>
        <v/>
      </c>
      <c r="BP45" s="1783" t="str">
        <f t="shared" si="63"/>
        <v/>
      </c>
      <c r="BQ45" s="1783" t="str">
        <f t="shared" si="63"/>
        <v/>
      </c>
      <c r="BR45" s="1783" t="str">
        <f t="shared" si="63"/>
        <v/>
      </c>
      <c r="BS45" s="1783" t="str">
        <f t="shared" si="63"/>
        <v/>
      </c>
      <c r="BT45" s="1783" t="str">
        <f t="shared" si="63"/>
        <v/>
      </c>
      <c r="BU45" s="1783" t="str">
        <f t="shared" si="63"/>
        <v/>
      </c>
      <c r="BV45" s="1783" t="str">
        <f t="shared" si="63"/>
        <v/>
      </c>
      <c r="BW45" s="1783" t="str">
        <f t="shared" si="63"/>
        <v/>
      </c>
      <c r="BX45" s="1783" t="str">
        <f t="shared" si="63"/>
        <v/>
      </c>
      <c r="BY45" s="1783" t="str">
        <f t="shared" si="63"/>
        <v/>
      </c>
      <c r="BZ45" s="1783" t="str">
        <f t="shared" si="63"/>
        <v/>
      </c>
      <c r="CA45" s="1783" t="str">
        <f t="shared" si="63"/>
        <v/>
      </c>
      <c r="CB45" s="1783" t="str">
        <f t="shared" si="63"/>
        <v/>
      </c>
      <c r="CC45" s="1783" t="str">
        <f t="shared" si="63"/>
        <v/>
      </c>
      <c r="CD45" s="1783" t="str">
        <f t="shared" si="63"/>
        <v/>
      </c>
      <c r="CE45" s="1783" t="str">
        <f t="shared" si="63"/>
        <v/>
      </c>
      <c r="CF45" s="1748"/>
      <c r="CJ45" t="str">
        <f>IF(BG41="","",CK44+1)</f>
        <v/>
      </c>
      <c r="CK45" t="str">
        <f>IF(BG41="","",CJ45-1+_xlfn.XLOOKUP(BG41,$Z$114:$Z$155,$AA$114:$AA$155))</f>
        <v/>
      </c>
      <c r="CL45">
        <f>COUNTIF($BD$41:$BH$41,CI45)</f>
        <v>0</v>
      </c>
    </row>
    <row r="46" spans="2:90" ht="16.5" customHeight="1" x14ac:dyDescent="0.3">
      <c r="B46" s="1969"/>
      <c r="C46" s="1970"/>
      <c r="D46" s="1971"/>
      <c r="E46" s="1972"/>
      <c r="F46" s="1930"/>
      <c r="G46" s="1931"/>
      <c r="H46" s="1931"/>
      <c r="I46" s="1932"/>
      <c r="J46" s="1973"/>
      <c r="K46" s="1974"/>
      <c r="L46" s="1975"/>
      <c r="M46" s="1976"/>
      <c r="N46" s="1864"/>
      <c r="O46" s="1864"/>
      <c r="P46" s="1864"/>
      <c r="Q46" s="1864"/>
      <c r="R46" s="1864"/>
      <c r="U46" s="1831"/>
      <c r="V46" s="1832"/>
      <c r="W46" s="1843">
        <v>11</v>
      </c>
      <c r="X46" s="1961"/>
      <c r="Y46" s="1962"/>
      <c r="Z46" s="1963"/>
      <c r="AC46" s="1831"/>
      <c r="AD46" s="1832"/>
      <c r="AE46" s="1843">
        <v>11</v>
      </c>
      <c r="AF46" s="1961"/>
      <c r="AG46" s="1962"/>
      <c r="AH46" s="1963"/>
      <c r="AK46" s="1825"/>
      <c r="AL46" s="1826"/>
      <c r="AM46" s="1844">
        <v>11</v>
      </c>
      <c r="AN46" s="1957"/>
      <c r="AO46" s="1958"/>
      <c r="AP46" s="1959"/>
      <c r="AS46" s="1977" t="s">
        <v>1496</v>
      </c>
      <c r="AT46" s="1745">
        <f>IF($R$18="Yes",0,1)</f>
        <v>1</v>
      </c>
      <c r="AU46" s="1745">
        <f>IF($R$18="Yes",0,2)</f>
        <v>2</v>
      </c>
      <c r="AV46" s="1745">
        <f>IF($R$18="Yes",0,1)</f>
        <v>1</v>
      </c>
      <c r="AW46" s="1745">
        <f>IF($R$18="Yes",0,1)</f>
        <v>1</v>
      </c>
      <c r="AY46" s="1746"/>
      <c r="AZ46" s="1788">
        <f t="shared" ref="AZ46:CE46" si="64">SUMIFS($AZ$121:$IH$121,$AZ$119:$IH$119,AZ$43,$AZ$120:$IH$120,AZ$45)</f>
        <v>237</v>
      </c>
      <c r="BA46" s="273">
        <f t="shared" si="64"/>
        <v>237</v>
      </c>
      <c r="BB46" s="273">
        <f t="shared" si="64"/>
        <v>237</v>
      </c>
      <c r="BC46" s="273">
        <f t="shared" si="64"/>
        <v>237</v>
      </c>
      <c r="BD46" s="273">
        <f t="shared" si="64"/>
        <v>237</v>
      </c>
      <c r="BE46" s="273">
        <f t="shared" si="64"/>
        <v>237</v>
      </c>
      <c r="BF46" s="273">
        <f t="shared" si="64"/>
        <v>237</v>
      </c>
      <c r="BG46" s="273">
        <f t="shared" si="64"/>
        <v>237</v>
      </c>
      <c r="BH46" s="273">
        <f t="shared" si="64"/>
        <v>237</v>
      </c>
      <c r="BI46" s="273">
        <f t="shared" si="64"/>
        <v>226</v>
      </c>
      <c r="BJ46" s="273">
        <f t="shared" si="64"/>
        <v>226</v>
      </c>
      <c r="BK46" s="273">
        <f t="shared" si="64"/>
        <v>0</v>
      </c>
      <c r="BL46" s="273">
        <f t="shared" si="64"/>
        <v>0</v>
      </c>
      <c r="BM46" s="273">
        <f t="shared" si="64"/>
        <v>0</v>
      </c>
      <c r="BN46" s="273">
        <f t="shared" si="64"/>
        <v>0</v>
      </c>
      <c r="BO46" s="273">
        <f t="shared" si="64"/>
        <v>0</v>
      </c>
      <c r="BP46" s="273">
        <f t="shared" si="64"/>
        <v>0</v>
      </c>
      <c r="BQ46" s="273">
        <f t="shared" si="64"/>
        <v>0</v>
      </c>
      <c r="BR46" s="273">
        <f t="shared" si="64"/>
        <v>0</v>
      </c>
      <c r="BS46" s="273">
        <f t="shared" si="64"/>
        <v>0</v>
      </c>
      <c r="BT46" s="273">
        <f t="shared" si="64"/>
        <v>0</v>
      </c>
      <c r="BU46" s="273">
        <f t="shared" si="64"/>
        <v>0</v>
      </c>
      <c r="BV46" s="273">
        <f t="shared" si="64"/>
        <v>0</v>
      </c>
      <c r="BW46" s="273">
        <f t="shared" si="64"/>
        <v>0</v>
      </c>
      <c r="BX46" s="273">
        <f t="shared" si="64"/>
        <v>0</v>
      </c>
      <c r="BY46" s="273">
        <f t="shared" si="64"/>
        <v>0</v>
      </c>
      <c r="BZ46" s="1783">
        <f t="shared" si="64"/>
        <v>0</v>
      </c>
      <c r="CA46" s="1783">
        <f t="shared" si="64"/>
        <v>0</v>
      </c>
      <c r="CB46" s="1783">
        <f t="shared" si="64"/>
        <v>0</v>
      </c>
      <c r="CC46" s="1783">
        <f t="shared" si="64"/>
        <v>0</v>
      </c>
      <c r="CD46" s="1783">
        <f t="shared" si="64"/>
        <v>0</v>
      </c>
      <c r="CE46" s="1783">
        <f t="shared" si="64"/>
        <v>0</v>
      </c>
      <c r="CF46" s="1748"/>
      <c r="CJ46" t="str">
        <f>IF(BH41="","",CK45+1)</f>
        <v/>
      </c>
      <c r="CK46" t="str">
        <f>IF(BH41="","",CJ46-1+_xlfn.XLOOKUP(BH41,$Z$114:$Z$155,$AA$114:$AA$155))</f>
        <v/>
      </c>
      <c r="CL46">
        <f>COUNTIF($BD$41:$BH$41,CI46)</f>
        <v>0</v>
      </c>
    </row>
    <row r="47" spans="2:90" ht="15.75" customHeight="1" x14ac:dyDescent="0.3">
      <c r="B47" s="1915" t="s">
        <v>1539</v>
      </c>
      <c r="C47" s="1916"/>
      <c r="D47" s="1917">
        <f>IFERROR(SUMPRODUCT(D48,J48)/J47,"")</f>
        <v>1224.5</v>
      </c>
      <c r="E47" s="1918" t="s">
        <v>1535</v>
      </c>
      <c r="F47" s="1952">
        <f t="shared" ref="F47:I47" si="65">SUM(F48)</f>
        <v>0</v>
      </c>
      <c r="G47" s="1953">
        <f t="shared" si="65"/>
        <v>6</v>
      </c>
      <c r="H47" s="1953">
        <f t="shared" si="65"/>
        <v>6</v>
      </c>
      <c r="I47" s="1925">
        <f t="shared" si="65"/>
        <v>0</v>
      </c>
      <c r="J47" s="1922">
        <f>SUM(J48)</f>
        <v>24</v>
      </c>
      <c r="K47" s="1923" t="s">
        <v>1536</v>
      </c>
      <c r="L47" s="1924">
        <f>SUM(L48)</f>
        <v>0.1111111111111111</v>
      </c>
      <c r="M47" s="1925">
        <f>SUM(M48)</f>
        <v>29388</v>
      </c>
      <c r="N47" s="1864"/>
      <c r="O47" s="1864"/>
      <c r="P47" s="1864"/>
      <c r="Q47" s="1864"/>
      <c r="R47" s="1864"/>
      <c r="U47" s="1831"/>
      <c r="V47" s="1832"/>
      <c r="W47" s="1843"/>
      <c r="X47" s="1961"/>
      <c r="Y47" s="1962"/>
      <c r="Z47" s="1963"/>
      <c r="AC47" s="1831"/>
      <c r="AD47" s="1832"/>
      <c r="AE47" s="1843"/>
      <c r="AF47" s="1961"/>
      <c r="AG47" s="1962"/>
      <c r="AH47" s="1963"/>
      <c r="AK47" s="1831"/>
      <c r="AL47" s="1832"/>
      <c r="AM47" s="1843"/>
      <c r="AN47" s="1961"/>
      <c r="AO47" s="1962"/>
      <c r="AP47" s="1963"/>
      <c r="AS47" s="1977" t="s">
        <v>1497</v>
      </c>
      <c r="AT47" s="1745">
        <v>0</v>
      </c>
      <c r="AU47" s="1745">
        <v>0</v>
      </c>
      <c r="AV47" s="1745">
        <f>IF($R$18="Yes",0,1)</f>
        <v>1</v>
      </c>
      <c r="AW47" s="1745">
        <f>IF($R$18="Yes",0,1)</f>
        <v>1</v>
      </c>
      <c r="AY47" s="1746"/>
      <c r="AZ47" s="1788">
        <f t="shared" ref="AZ47:CE47" si="66">SUMIFS($AZ$122:$IH$122,$AZ$119:$IH$119,AZ$43,$AZ$120:$IH$120,AZ$45)</f>
        <v>237</v>
      </c>
      <c r="BA47" s="273">
        <f t="shared" si="66"/>
        <v>237</v>
      </c>
      <c r="BB47" s="273">
        <f t="shared" si="66"/>
        <v>237</v>
      </c>
      <c r="BC47" s="273">
        <f t="shared" si="66"/>
        <v>237</v>
      </c>
      <c r="BD47" s="273">
        <f t="shared" si="66"/>
        <v>237</v>
      </c>
      <c r="BE47" s="273">
        <f t="shared" si="66"/>
        <v>237</v>
      </c>
      <c r="BF47" s="273">
        <f t="shared" si="66"/>
        <v>237</v>
      </c>
      <c r="BG47" s="273">
        <f t="shared" si="66"/>
        <v>237</v>
      </c>
      <c r="BH47" s="273">
        <f t="shared" si="66"/>
        <v>237</v>
      </c>
      <c r="BI47" s="273">
        <f t="shared" si="66"/>
        <v>226</v>
      </c>
      <c r="BJ47" s="273">
        <f t="shared" si="66"/>
        <v>226</v>
      </c>
      <c r="BK47" s="273">
        <f t="shared" si="66"/>
        <v>0</v>
      </c>
      <c r="BL47" s="273">
        <f t="shared" si="66"/>
        <v>0</v>
      </c>
      <c r="BM47" s="273">
        <f t="shared" si="66"/>
        <v>0</v>
      </c>
      <c r="BN47" s="273">
        <f t="shared" si="66"/>
        <v>0</v>
      </c>
      <c r="BO47" s="273">
        <f t="shared" si="66"/>
        <v>0</v>
      </c>
      <c r="BP47" s="273">
        <f t="shared" si="66"/>
        <v>0</v>
      </c>
      <c r="BQ47" s="273">
        <f t="shared" si="66"/>
        <v>0</v>
      </c>
      <c r="BR47" s="273">
        <f t="shared" si="66"/>
        <v>0</v>
      </c>
      <c r="BS47" s="273">
        <f t="shared" si="66"/>
        <v>0</v>
      </c>
      <c r="BT47" s="273">
        <f t="shared" si="66"/>
        <v>0</v>
      </c>
      <c r="BU47" s="273">
        <f t="shared" si="66"/>
        <v>0</v>
      </c>
      <c r="BV47" s="273">
        <f t="shared" si="66"/>
        <v>0</v>
      </c>
      <c r="BW47" s="273">
        <f t="shared" si="66"/>
        <v>0</v>
      </c>
      <c r="BX47" s="273">
        <f t="shared" si="66"/>
        <v>0</v>
      </c>
      <c r="BY47" s="273">
        <f t="shared" si="66"/>
        <v>0</v>
      </c>
      <c r="BZ47" s="1783">
        <f t="shared" si="66"/>
        <v>0</v>
      </c>
      <c r="CA47" s="1783">
        <f t="shared" si="66"/>
        <v>0</v>
      </c>
      <c r="CB47" s="1783">
        <f t="shared" si="66"/>
        <v>0</v>
      </c>
      <c r="CC47" s="1783">
        <f t="shared" si="66"/>
        <v>0</v>
      </c>
      <c r="CD47" s="1783">
        <f t="shared" si="66"/>
        <v>0</v>
      </c>
      <c r="CE47" s="1783">
        <f t="shared" si="66"/>
        <v>0</v>
      </c>
      <c r="CF47" s="1748"/>
      <c r="CL47">
        <f>SUM(CL42:CL46)</f>
        <v>0</v>
      </c>
    </row>
    <row r="48" spans="2:90" ht="15.75" customHeight="1" x14ac:dyDescent="0.3">
      <c r="B48" s="1978"/>
      <c r="C48" s="1979" t="s">
        <v>1469</v>
      </c>
      <c r="D48" s="1980">
        <f>IFERROR(SUMPRODUCT(H5:H22,DK11:DK28,O5:O22)/J48,0)</f>
        <v>1224.5</v>
      </c>
      <c r="E48" s="1929" t="s">
        <v>1535</v>
      </c>
      <c r="F48" s="1930">
        <f>IFERROR(SUMPRODUCT(D5:D22,$O$5:$O$22),0)</f>
        <v>0</v>
      </c>
      <c r="G48" s="1931">
        <f>IFERROR(SUMPRODUCT(E5:E22,$O$5:$O$22),0)</f>
        <v>6</v>
      </c>
      <c r="H48" s="1931">
        <f>IFERROR(SUMPRODUCT(F5:F22,$O$5:$O$22),0)</f>
        <v>6</v>
      </c>
      <c r="I48" s="1932">
        <f>IFERROR(SUMPRODUCT(G5:G22,$O$5:$O$22),0)</f>
        <v>0</v>
      </c>
      <c r="J48" s="1981">
        <f>IFERROR(SUMPRODUCT(H5:H22,O5:O22),0)</f>
        <v>24</v>
      </c>
      <c r="K48" s="1955" t="s">
        <v>1536</v>
      </c>
      <c r="L48" s="1956">
        <f>J48/$J$50</f>
        <v>0.1111111111111111</v>
      </c>
      <c r="M48" s="1936">
        <f>J48*D48</f>
        <v>29388</v>
      </c>
      <c r="N48" s="1864"/>
      <c r="O48" s="1864"/>
      <c r="P48" s="1864"/>
      <c r="Q48" s="1864"/>
      <c r="R48" s="1864"/>
      <c r="U48" s="1838">
        <v>26</v>
      </c>
      <c r="V48" s="1839"/>
      <c r="W48" s="1846"/>
      <c r="X48" s="1966">
        <v>30</v>
      </c>
      <c r="Y48" s="1967"/>
      <c r="Z48" s="1968"/>
      <c r="AC48" s="1838">
        <v>26</v>
      </c>
      <c r="AD48" s="1839"/>
      <c r="AE48" s="1846"/>
      <c r="AF48" s="1966">
        <v>30</v>
      </c>
      <c r="AG48" s="1967"/>
      <c r="AH48" s="1968"/>
      <c r="AK48" s="1838">
        <v>26</v>
      </c>
      <c r="AL48" s="1839"/>
      <c r="AM48" s="1846"/>
      <c r="AN48" s="1966">
        <v>30</v>
      </c>
      <c r="AO48" s="1967"/>
      <c r="AP48" s="1968"/>
      <c r="AS48" s="1841" t="s">
        <v>1500</v>
      </c>
      <c r="AT48" s="1745">
        <v>0</v>
      </c>
      <c r="AU48" s="1745">
        <v>0</v>
      </c>
      <c r="AV48" s="1745">
        <v>1</v>
      </c>
      <c r="AW48" s="1745">
        <v>1</v>
      </c>
      <c r="AY48" s="1746"/>
      <c r="AZ48" s="1788">
        <f t="shared" ref="AZ48:CE48" si="67">SUMIFS($AZ$123:$IH$123,$AZ$119:$IH$119,AZ$43,$AZ$120:$IH$120,AZ$45)</f>
        <v>37</v>
      </c>
      <c r="BA48" s="273">
        <f t="shared" si="67"/>
        <v>237</v>
      </c>
      <c r="BB48" s="273">
        <f t="shared" si="67"/>
        <v>237</v>
      </c>
      <c r="BC48" s="273">
        <f t="shared" si="67"/>
        <v>37</v>
      </c>
      <c r="BD48" s="273">
        <f t="shared" si="67"/>
        <v>237</v>
      </c>
      <c r="BE48" s="273">
        <f t="shared" si="67"/>
        <v>237</v>
      </c>
      <c r="BF48" s="273">
        <f t="shared" si="67"/>
        <v>37</v>
      </c>
      <c r="BG48" s="273">
        <f t="shared" si="67"/>
        <v>237</v>
      </c>
      <c r="BH48" s="273">
        <f t="shared" si="67"/>
        <v>237</v>
      </c>
      <c r="BI48" s="273">
        <f t="shared" si="67"/>
        <v>26</v>
      </c>
      <c r="BJ48" s="273">
        <f t="shared" si="67"/>
        <v>226</v>
      </c>
      <c r="BK48" s="273">
        <f t="shared" si="67"/>
        <v>0</v>
      </c>
      <c r="BL48" s="273">
        <f t="shared" si="67"/>
        <v>0</v>
      </c>
      <c r="BM48" s="273">
        <f t="shared" si="67"/>
        <v>0</v>
      </c>
      <c r="BN48" s="273">
        <f t="shared" si="67"/>
        <v>0</v>
      </c>
      <c r="BO48" s="273">
        <f t="shared" si="67"/>
        <v>0</v>
      </c>
      <c r="BP48" s="273">
        <f t="shared" si="67"/>
        <v>0</v>
      </c>
      <c r="BQ48" s="273">
        <f t="shared" si="67"/>
        <v>0</v>
      </c>
      <c r="BR48" s="273">
        <f t="shared" si="67"/>
        <v>0</v>
      </c>
      <c r="BS48" s="273">
        <f t="shared" si="67"/>
        <v>0</v>
      </c>
      <c r="BT48" s="273">
        <f t="shared" si="67"/>
        <v>0</v>
      </c>
      <c r="BU48" s="273">
        <f t="shared" si="67"/>
        <v>0</v>
      </c>
      <c r="BV48" s="273">
        <f t="shared" si="67"/>
        <v>0</v>
      </c>
      <c r="BW48" s="273">
        <f t="shared" si="67"/>
        <v>0</v>
      </c>
      <c r="BX48" s="273">
        <f t="shared" si="67"/>
        <v>0</v>
      </c>
      <c r="BY48" s="273">
        <f t="shared" si="67"/>
        <v>0</v>
      </c>
      <c r="BZ48" s="1783">
        <f t="shared" si="67"/>
        <v>0</v>
      </c>
      <c r="CA48" s="1783">
        <f t="shared" si="67"/>
        <v>0</v>
      </c>
      <c r="CB48" s="1783">
        <f t="shared" si="67"/>
        <v>0</v>
      </c>
      <c r="CC48" s="1783">
        <f t="shared" si="67"/>
        <v>0</v>
      </c>
      <c r="CD48" s="1783">
        <f t="shared" si="67"/>
        <v>0</v>
      </c>
      <c r="CE48" s="1783">
        <f t="shared" si="67"/>
        <v>0</v>
      </c>
      <c r="CF48" s="1748"/>
    </row>
    <row r="49" spans="1:84" ht="15.75" customHeight="1" x14ac:dyDescent="0.3">
      <c r="A49" s="1982"/>
      <c r="B49" s="1943"/>
      <c r="C49" s="1944"/>
      <c r="D49" s="1945"/>
      <c r="E49" s="1946"/>
      <c r="F49" s="1947"/>
      <c r="G49" s="1948"/>
      <c r="H49" s="1948"/>
      <c r="I49" s="1949"/>
      <c r="J49" s="1944"/>
      <c r="K49" s="1983"/>
      <c r="L49" s="1944"/>
      <c r="M49" s="1984"/>
      <c r="N49" s="1864"/>
      <c r="O49" s="1864"/>
      <c r="P49" s="1864"/>
      <c r="Q49" s="1864"/>
      <c r="R49" s="1864"/>
      <c r="AY49" s="1746"/>
      <c r="AZ49" s="1788">
        <f t="shared" ref="AZ49:CE49" si="68">SUMIFS($AZ$124:$IH$124,$AZ$119:$IH$119,AZ$43,$AZ$120:$IH$120,AZ$45)</f>
        <v>226</v>
      </c>
      <c r="BA49" s="273">
        <f t="shared" si="68"/>
        <v>226</v>
      </c>
      <c r="BB49" s="273">
        <f t="shared" si="68"/>
        <v>11</v>
      </c>
      <c r="BC49" s="273">
        <f t="shared" si="68"/>
        <v>237</v>
      </c>
      <c r="BD49" s="273">
        <f t="shared" si="68"/>
        <v>237</v>
      </c>
      <c r="BE49" s="273">
        <f t="shared" si="68"/>
        <v>237</v>
      </c>
      <c r="BF49" s="273">
        <f t="shared" si="68"/>
        <v>226</v>
      </c>
      <c r="BG49" s="273">
        <f t="shared" si="68"/>
        <v>226</v>
      </c>
      <c r="BH49" s="273">
        <f t="shared" si="68"/>
        <v>11</v>
      </c>
      <c r="BI49" s="273">
        <f t="shared" si="68"/>
        <v>226</v>
      </c>
      <c r="BJ49" s="273">
        <f t="shared" si="68"/>
        <v>226</v>
      </c>
      <c r="BK49" s="273">
        <f t="shared" si="68"/>
        <v>0</v>
      </c>
      <c r="BL49" s="273">
        <f t="shared" si="68"/>
        <v>0</v>
      </c>
      <c r="BM49" s="273">
        <f t="shared" si="68"/>
        <v>0</v>
      </c>
      <c r="BN49" s="273">
        <f t="shared" si="68"/>
        <v>0</v>
      </c>
      <c r="BO49" s="273">
        <f t="shared" si="68"/>
        <v>0</v>
      </c>
      <c r="BP49" s="273">
        <f t="shared" si="68"/>
        <v>0</v>
      </c>
      <c r="BQ49" s="273">
        <f t="shared" si="68"/>
        <v>0</v>
      </c>
      <c r="BR49" s="273">
        <f t="shared" si="68"/>
        <v>0</v>
      </c>
      <c r="BS49" s="273">
        <f t="shared" si="68"/>
        <v>0</v>
      </c>
      <c r="BT49" s="273">
        <f t="shared" si="68"/>
        <v>0</v>
      </c>
      <c r="BU49" s="273">
        <f t="shared" si="68"/>
        <v>0</v>
      </c>
      <c r="BV49" s="273">
        <f t="shared" si="68"/>
        <v>0</v>
      </c>
      <c r="BW49" s="273">
        <f t="shared" si="68"/>
        <v>0</v>
      </c>
      <c r="BX49" s="273">
        <f t="shared" si="68"/>
        <v>0</v>
      </c>
      <c r="BY49" s="273">
        <f t="shared" si="68"/>
        <v>0</v>
      </c>
      <c r="BZ49" s="1783">
        <f t="shared" si="68"/>
        <v>0</v>
      </c>
      <c r="CA49" s="1783">
        <f t="shared" si="68"/>
        <v>0</v>
      </c>
      <c r="CB49" s="1783">
        <f t="shared" si="68"/>
        <v>0</v>
      </c>
      <c r="CC49" s="1783">
        <f t="shared" si="68"/>
        <v>0</v>
      </c>
      <c r="CD49" s="1783">
        <f t="shared" si="68"/>
        <v>0</v>
      </c>
      <c r="CE49" s="1783">
        <f t="shared" si="68"/>
        <v>0</v>
      </c>
      <c r="CF49" s="1748"/>
    </row>
    <row r="50" spans="1:84" ht="15.75" customHeight="1" x14ac:dyDescent="0.3">
      <c r="A50" s="1985"/>
      <c r="B50" s="1986" t="s">
        <v>1540</v>
      </c>
      <c r="C50" s="1916"/>
      <c r="D50" s="1917">
        <f>M50/J50</f>
        <v>848.42592592592598</v>
      </c>
      <c r="E50" s="1918" t="s">
        <v>1535</v>
      </c>
      <c r="F50" s="1952">
        <f t="shared" ref="F50:I50" si="69">SUM(F37,F42,F47)</f>
        <v>48</v>
      </c>
      <c r="G50" s="1953">
        <f t="shared" si="69"/>
        <v>24</v>
      </c>
      <c r="H50" s="1953">
        <f t="shared" si="69"/>
        <v>36</v>
      </c>
      <c r="I50" s="1925">
        <f t="shared" si="69"/>
        <v>0</v>
      </c>
      <c r="J50" s="1922">
        <f>SUM(J37,J42,J47)</f>
        <v>216</v>
      </c>
      <c r="K50" s="1923" t="s">
        <v>1536</v>
      </c>
      <c r="L50" s="1924">
        <f>SUM(L37,L42,L47)</f>
        <v>1</v>
      </c>
      <c r="M50" s="1925">
        <f>SUM(M37,M42,M47)</f>
        <v>183260</v>
      </c>
      <c r="N50" s="1864"/>
      <c r="O50" s="1864"/>
      <c r="P50" s="1864"/>
      <c r="Q50" s="1864"/>
      <c r="R50" s="1864"/>
      <c r="U50" s="1987" t="s">
        <v>1515</v>
      </c>
      <c r="V50" s="1988"/>
      <c r="W50" s="1988"/>
      <c r="X50" s="1988"/>
      <c r="Y50" s="1988"/>
      <c r="Z50" s="1988"/>
      <c r="AA50" s="1989"/>
      <c r="AB50" s="110"/>
      <c r="AC50" s="1987" t="s">
        <v>1516</v>
      </c>
      <c r="AD50" s="1988"/>
      <c r="AE50" s="1988"/>
      <c r="AF50" s="1988"/>
      <c r="AG50" s="1988"/>
      <c r="AH50" s="1988"/>
      <c r="AI50" s="1989"/>
      <c r="AK50" s="1987" t="s">
        <v>1517</v>
      </c>
      <c r="AL50" s="1988"/>
      <c r="AM50" s="1988"/>
      <c r="AN50" s="1988"/>
      <c r="AO50" s="1988"/>
      <c r="AP50" s="1988"/>
      <c r="AQ50" s="1989"/>
      <c r="AS50" s="1697" t="s">
        <v>1517</v>
      </c>
      <c r="AT50" s="1698"/>
      <c r="AU50" s="1698"/>
      <c r="AV50" s="1698"/>
      <c r="AW50" s="1699"/>
      <c r="AY50" s="1746"/>
      <c r="AZ50" s="1788">
        <f t="shared" ref="AZ50:CE50" si="70">SUMIFS($AZ$125:$IH$125,$AZ$119:$IH$119,AZ$43,$AZ$120:$IH$120,AZ$45)</f>
        <v>226</v>
      </c>
      <c r="BA50" s="273">
        <f t="shared" si="70"/>
        <v>226</v>
      </c>
      <c r="BB50" s="273">
        <f t="shared" si="70"/>
        <v>11</v>
      </c>
      <c r="BC50" s="273">
        <f t="shared" si="70"/>
        <v>237</v>
      </c>
      <c r="BD50" s="273">
        <f t="shared" si="70"/>
        <v>237</v>
      </c>
      <c r="BE50" s="273">
        <f t="shared" si="70"/>
        <v>237</v>
      </c>
      <c r="BF50" s="273">
        <f t="shared" si="70"/>
        <v>226</v>
      </c>
      <c r="BG50" s="273">
        <f t="shared" si="70"/>
        <v>226</v>
      </c>
      <c r="BH50" s="273">
        <f t="shared" si="70"/>
        <v>11</v>
      </c>
      <c r="BI50" s="273">
        <f t="shared" si="70"/>
        <v>226</v>
      </c>
      <c r="BJ50" s="273">
        <f t="shared" si="70"/>
        <v>226</v>
      </c>
      <c r="BK50" s="273">
        <f t="shared" si="70"/>
        <v>0</v>
      </c>
      <c r="BL50" s="273">
        <f t="shared" si="70"/>
        <v>0</v>
      </c>
      <c r="BM50" s="273">
        <f t="shared" si="70"/>
        <v>0</v>
      </c>
      <c r="BN50" s="273">
        <f t="shared" si="70"/>
        <v>0</v>
      </c>
      <c r="BO50" s="273">
        <f t="shared" si="70"/>
        <v>0</v>
      </c>
      <c r="BP50" s="273">
        <f t="shared" si="70"/>
        <v>0</v>
      </c>
      <c r="BQ50" s="273">
        <f t="shared" si="70"/>
        <v>0</v>
      </c>
      <c r="BR50" s="273">
        <f t="shared" si="70"/>
        <v>0</v>
      </c>
      <c r="BS50" s="273">
        <f t="shared" si="70"/>
        <v>0</v>
      </c>
      <c r="BT50" s="273">
        <f t="shared" si="70"/>
        <v>0</v>
      </c>
      <c r="BU50" s="273">
        <f t="shared" si="70"/>
        <v>0</v>
      </c>
      <c r="BV50" s="273">
        <f t="shared" si="70"/>
        <v>0</v>
      </c>
      <c r="BW50" s="273">
        <f t="shared" si="70"/>
        <v>0</v>
      </c>
      <c r="BX50" s="273">
        <f t="shared" si="70"/>
        <v>0</v>
      </c>
      <c r="BY50" s="273">
        <f t="shared" si="70"/>
        <v>0</v>
      </c>
      <c r="BZ50" s="1783">
        <f t="shared" si="70"/>
        <v>0</v>
      </c>
      <c r="CA50" s="1783">
        <f t="shared" si="70"/>
        <v>0</v>
      </c>
      <c r="CB50" s="1783">
        <f t="shared" si="70"/>
        <v>0</v>
      </c>
      <c r="CC50" s="1783">
        <f t="shared" si="70"/>
        <v>0</v>
      </c>
      <c r="CD50" s="1783">
        <f t="shared" si="70"/>
        <v>0</v>
      </c>
      <c r="CE50" s="1783">
        <f t="shared" si="70"/>
        <v>0</v>
      </c>
      <c r="CF50" s="1748"/>
    </row>
    <row r="51" spans="1:84" ht="15.75" customHeight="1" thickBot="1" x14ac:dyDescent="0.35">
      <c r="A51" s="1985"/>
      <c r="B51" s="1990"/>
      <c r="C51" s="1991"/>
      <c r="D51" s="1860"/>
      <c r="E51" s="1861"/>
      <c r="F51" s="1990"/>
      <c r="G51" s="1860"/>
      <c r="H51" s="1860"/>
      <c r="I51" s="1861"/>
      <c r="J51" s="1860"/>
      <c r="K51" s="1991"/>
      <c r="L51" s="1991"/>
      <c r="M51" s="1861"/>
      <c r="N51" s="1509"/>
      <c r="O51" s="1509"/>
      <c r="P51" s="1509"/>
      <c r="Q51" s="1509"/>
      <c r="R51" s="1509"/>
      <c r="U51" s="273"/>
      <c r="V51" s="273"/>
      <c r="W51" s="273"/>
      <c r="X51" s="273"/>
      <c r="AC51" s="273"/>
      <c r="AD51" s="273"/>
      <c r="AE51" s="273"/>
      <c r="AF51" s="273"/>
      <c r="AK51" s="273"/>
      <c r="AL51" s="273"/>
      <c r="AM51" s="273"/>
      <c r="AN51" s="273"/>
      <c r="AS51" s="1715"/>
      <c r="AT51" s="1716" t="s">
        <v>1474</v>
      </c>
      <c r="AU51" s="1716">
        <v>1</v>
      </c>
      <c r="AV51" s="1716">
        <v>2</v>
      </c>
      <c r="AW51" s="1716">
        <v>3</v>
      </c>
      <c r="AY51" s="1746"/>
      <c r="AZ51" s="1788">
        <f t="shared" ref="AZ51:CE51" si="71">SUMIFS($AZ$126:$IH$126,$AZ$119:$IH$119,AZ$43,$AZ$120:$IH$120,AZ$45)</f>
        <v>26</v>
      </c>
      <c r="BA51" s="273">
        <f t="shared" si="71"/>
        <v>226</v>
      </c>
      <c r="BB51" s="273">
        <f t="shared" si="71"/>
        <v>11</v>
      </c>
      <c r="BC51" s="273">
        <f t="shared" si="71"/>
        <v>37</v>
      </c>
      <c r="BD51" s="273">
        <f t="shared" si="71"/>
        <v>237</v>
      </c>
      <c r="BE51" s="273">
        <f t="shared" si="71"/>
        <v>237</v>
      </c>
      <c r="BF51" s="273">
        <f t="shared" si="71"/>
        <v>26</v>
      </c>
      <c r="BG51" s="273">
        <f t="shared" si="71"/>
        <v>226</v>
      </c>
      <c r="BH51" s="273">
        <f t="shared" si="71"/>
        <v>11</v>
      </c>
      <c r="BI51" s="273">
        <f t="shared" si="71"/>
        <v>26</v>
      </c>
      <c r="BJ51" s="273">
        <f t="shared" si="71"/>
        <v>226</v>
      </c>
      <c r="BK51" s="273">
        <f t="shared" si="71"/>
        <v>0</v>
      </c>
      <c r="BL51" s="273">
        <f t="shared" si="71"/>
        <v>0</v>
      </c>
      <c r="BM51" s="273">
        <f t="shared" si="71"/>
        <v>0</v>
      </c>
      <c r="BN51" s="273">
        <f t="shared" si="71"/>
        <v>0</v>
      </c>
      <c r="BO51" s="273">
        <f t="shared" si="71"/>
        <v>0</v>
      </c>
      <c r="BP51" s="273">
        <f t="shared" si="71"/>
        <v>0</v>
      </c>
      <c r="BQ51" s="273">
        <f t="shared" si="71"/>
        <v>0</v>
      </c>
      <c r="BR51" s="273">
        <f t="shared" si="71"/>
        <v>0</v>
      </c>
      <c r="BS51" s="273">
        <f t="shared" si="71"/>
        <v>0</v>
      </c>
      <c r="BT51" s="273">
        <f t="shared" si="71"/>
        <v>0</v>
      </c>
      <c r="BU51" s="273">
        <f t="shared" si="71"/>
        <v>0</v>
      </c>
      <c r="BV51" s="273">
        <f t="shared" si="71"/>
        <v>0</v>
      </c>
      <c r="BW51" s="273">
        <f t="shared" si="71"/>
        <v>0</v>
      </c>
      <c r="BX51" s="273">
        <f t="shared" si="71"/>
        <v>0</v>
      </c>
      <c r="BY51" s="273">
        <f t="shared" si="71"/>
        <v>0</v>
      </c>
      <c r="BZ51" s="1783">
        <f t="shared" si="71"/>
        <v>0</v>
      </c>
      <c r="CA51" s="1783">
        <f t="shared" si="71"/>
        <v>0</v>
      </c>
      <c r="CB51" s="1783">
        <f t="shared" si="71"/>
        <v>0</v>
      </c>
      <c r="CC51" s="1783">
        <f t="shared" si="71"/>
        <v>0</v>
      </c>
      <c r="CD51" s="1783">
        <f t="shared" si="71"/>
        <v>0</v>
      </c>
      <c r="CE51" s="1783">
        <f t="shared" si="71"/>
        <v>0</v>
      </c>
      <c r="CF51" s="1748"/>
    </row>
    <row r="52" spans="1:84" ht="15.75" customHeight="1" thickBot="1" x14ac:dyDescent="0.35">
      <c r="A52" s="273"/>
      <c r="N52" s="210"/>
      <c r="O52" s="1992"/>
      <c r="P52" s="1992"/>
      <c r="Q52" s="1992"/>
      <c r="R52" s="1992"/>
      <c r="U52" s="1738"/>
      <c r="V52" s="1739"/>
      <c r="W52" s="1740"/>
      <c r="X52" s="1993"/>
      <c r="Y52" s="1994"/>
      <c r="Z52" s="1994"/>
      <c r="AA52" s="1995"/>
      <c r="AB52" s="273"/>
      <c r="AC52" s="1738"/>
      <c r="AD52" s="1739"/>
      <c r="AE52" s="1743"/>
      <c r="AF52" s="1993"/>
      <c r="AG52" s="1994"/>
      <c r="AH52" s="1994"/>
      <c r="AI52" s="1995"/>
      <c r="AJ52" s="273"/>
      <c r="AR52" s="273"/>
      <c r="AS52" s="1996" t="s">
        <v>1480</v>
      </c>
      <c r="AT52" s="1745">
        <v>1</v>
      </c>
      <c r="AU52" s="1745">
        <v>2</v>
      </c>
      <c r="AV52" s="1745">
        <v>1</v>
      </c>
      <c r="AW52" s="1745">
        <v>1</v>
      </c>
      <c r="AY52" s="1746"/>
      <c r="AZ52" s="1834" t="str">
        <f t="shared" ref="AZ52:CE52" si="72">IF(_xlfn.XLOOKUP(AZ43,$Z$114:$Z$155,$AA$114:$AA$155,0)=AZ45,"E",IF(_xlfn.XLOOKUP(AZ43,$Z$114:$Z$155,$AB$114:$AB$155,0)=AZ45,"M",""))</f>
        <v/>
      </c>
      <c r="BA52" s="1834" t="str">
        <f t="shared" si="72"/>
        <v/>
      </c>
      <c r="BB52" s="1834" t="str">
        <f t="shared" si="72"/>
        <v>M</v>
      </c>
      <c r="BC52" s="1834" t="str">
        <f t="shared" si="72"/>
        <v/>
      </c>
      <c r="BD52" s="1834" t="str">
        <f t="shared" si="72"/>
        <v/>
      </c>
      <c r="BE52" s="1834" t="str">
        <f t="shared" si="72"/>
        <v>E</v>
      </c>
      <c r="BF52" s="1834" t="str">
        <f t="shared" si="72"/>
        <v/>
      </c>
      <c r="BG52" s="1834" t="str">
        <f t="shared" si="72"/>
        <v/>
      </c>
      <c r="BH52" s="1834" t="str">
        <f t="shared" si="72"/>
        <v>M</v>
      </c>
      <c r="BI52" s="1834" t="str">
        <f t="shared" si="72"/>
        <v/>
      </c>
      <c r="BJ52" s="1834" t="str">
        <f t="shared" si="72"/>
        <v>E</v>
      </c>
      <c r="BK52" s="1834" t="str">
        <f t="shared" si="72"/>
        <v/>
      </c>
      <c r="BL52" s="1834" t="str">
        <f t="shared" si="72"/>
        <v/>
      </c>
      <c r="BM52" s="1834" t="str">
        <f t="shared" si="72"/>
        <v/>
      </c>
      <c r="BN52" s="1834" t="str">
        <f t="shared" si="72"/>
        <v/>
      </c>
      <c r="BO52" s="1834" t="str">
        <f t="shared" si="72"/>
        <v/>
      </c>
      <c r="BP52" s="1834" t="str">
        <f t="shared" si="72"/>
        <v/>
      </c>
      <c r="BQ52" s="1834" t="str">
        <f t="shared" si="72"/>
        <v/>
      </c>
      <c r="BR52" s="1834" t="str">
        <f t="shared" si="72"/>
        <v/>
      </c>
      <c r="BS52" s="1834" t="str">
        <f t="shared" si="72"/>
        <v/>
      </c>
      <c r="BT52" s="1834" t="str">
        <f t="shared" si="72"/>
        <v/>
      </c>
      <c r="BU52" s="1834" t="str">
        <f t="shared" si="72"/>
        <v/>
      </c>
      <c r="BV52" s="1834" t="str">
        <f t="shared" si="72"/>
        <v/>
      </c>
      <c r="BW52" s="1834" t="str">
        <f t="shared" si="72"/>
        <v/>
      </c>
      <c r="BX52" s="1834" t="str">
        <f t="shared" si="72"/>
        <v/>
      </c>
      <c r="BY52" s="1834" t="str">
        <f t="shared" si="72"/>
        <v/>
      </c>
      <c r="BZ52" s="1834" t="str">
        <f t="shared" si="72"/>
        <v/>
      </c>
      <c r="CA52" s="1834" t="str">
        <f t="shared" si="72"/>
        <v/>
      </c>
      <c r="CB52" s="1834" t="str">
        <f t="shared" si="72"/>
        <v/>
      </c>
      <c r="CC52" s="1834" t="str">
        <f t="shared" si="72"/>
        <v/>
      </c>
      <c r="CD52" s="1834" t="str">
        <f t="shared" si="72"/>
        <v/>
      </c>
      <c r="CE52" s="1834" t="str">
        <f t="shared" si="72"/>
        <v/>
      </c>
      <c r="CF52" s="1748"/>
    </row>
    <row r="53" spans="1:84" ht="15.75" customHeight="1" thickBot="1" x14ac:dyDescent="0.5">
      <c r="A53" s="1985"/>
      <c r="B53" s="1871"/>
      <c r="C53" s="1872"/>
      <c r="D53" s="1872"/>
      <c r="E53" s="1872"/>
      <c r="F53" s="1872"/>
      <c r="G53" s="1872"/>
      <c r="H53" s="1872"/>
      <c r="I53" s="1872"/>
      <c r="J53" s="1872"/>
      <c r="K53" s="1873"/>
      <c r="L53" s="1873"/>
      <c r="M53" s="1874"/>
      <c r="N53" s="1997"/>
      <c r="O53" s="1872"/>
      <c r="P53" s="1872"/>
      <c r="Q53" s="1872"/>
      <c r="R53" s="1998"/>
      <c r="T53" s="280"/>
      <c r="U53" s="1760"/>
      <c r="V53" s="1761"/>
      <c r="W53" s="1762"/>
      <c r="X53" s="1999"/>
      <c r="Y53" s="2000"/>
      <c r="Z53" s="2000"/>
      <c r="AA53" s="2001"/>
      <c r="AB53" s="273"/>
      <c r="AC53" s="1760"/>
      <c r="AD53" s="1761"/>
      <c r="AE53" s="1765"/>
      <c r="AF53" s="1999"/>
      <c r="AG53" s="2000"/>
      <c r="AH53" s="2000"/>
      <c r="AI53" s="2001"/>
      <c r="AJ53" s="273"/>
      <c r="AR53" s="273"/>
      <c r="AS53" s="1862" t="s">
        <v>1485</v>
      </c>
      <c r="AT53" s="1745">
        <v>0</v>
      </c>
      <c r="AU53" s="1745">
        <v>0</v>
      </c>
      <c r="AV53" s="1745">
        <v>1</v>
      </c>
      <c r="AW53" s="1745">
        <v>1</v>
      </c>
      <c r="AY53" s="1866"/>
      <c r="AZ53" s="1865"/>
      <c r="BA53" s="1865"/>
      <c r="BB53" s="1865"/>
      <c r="BC53" s="1865"/>
      <c r="BD53" s="1865"/>
      <c r="BE53" s="1865"/>
      <c r="BF53" s="1865"/>
      <c r="BG53" s="1865"/>
      <c r="BH53" s="1865"/>
      <c r="BI53" s="1865"/>
      <c r="BJ53" s="1865"/>
      <c r="BK53" s="1865"/>
      <c r="BL53" s="1865"/>
      <c r="BM53" s="1865"/>
      <c r="BN53" s="1865"/>
      <c r="BO53" s="1865"/>
      <c r="BP53" s="1865"/>
      <c r="BQ53" s="1865"/>
      <c r="BR53" s="1865"/>
      <c r="BS53" s="1865"/>
      <c r="BT53" s="1865"/>
      <c r="BU53" s="1865"/>
      <c r="BV53" s="1865"/>
      <c r="BW53" s="1865"/>
      <c r="BX53" s="1865"/>
      <c r="BY53" s="1865"/>
      <c r="BZ53" s="2002"/>
      <c r="CA53" s="2002"/>
      <c r="CB53" s="2002"/>
      <c r="CC53" s="2002"/>
      <c r="CD53" s="2002"/>
      <c r="CE53" s="2002"/>
      <c r="CF53" s="2003"/>
    </row>
    <row r="54" spans="1:84" ht="21" x14ac:dyDescent="0.4">
      <c r="A54" s="1985"/>
      <c r="B54" s="1875" t="s">
        <v>1541</v>
      </c>
      <c r="C54" s="1876"/>
      <c r="D54" s="1876"/>
      <c r="E54" s="1876"/>
      <c r="F54" s="1876"/>
      <c r="G54" s="1876"/>
      <c r="H54" s="1876"/>
      <c r="I54" s="1876"/>
      <c r="J54" s="1876"/>
      <c r="K54" s="1877"/>
      <c r="L54" s="1877"/>
      <c r="M54" s="1878"/>
      <c r="N54" s="2733" t="s">
        <v>1542</v>
      </c>
      <c r="O54" s="2734"/>
      <c r="P54" s="2734"/>
      <c r="Q54" s="2734"/>
      <c r="R54" s="2735"/>
      <c r="T54" s="280"/>
      <c r="U54" s="1771">
        <v>34</v>
      </c>
      <c r="V54" s="1772"/>
      <c r="W54" s="1773"/>
      <c r="X54" s="2004">
        <v>42</v>
      </c>
      <c r="Y54" s="2005"/>
      <c r="Z54" s="2005"/>
      <c r="AA54" s="2006"/>
      <c r="AB54" s="273"/>
      <c r="AC54" s="1771">
        <v>34</v>
      </c>
      <c r="AD54" s="1772"/>
      <c r="AE54" s="1776"/>
      <c r="AF54" s="2004">
        <v>42</v>
      </c>
      <c r="AG54" s="2005"/>
      <c r="AH54" s="2005"/>
      <c r="AI54" s="2006"/>
      <c r="AJ54" s="273"/>
      <c r="AK54" s="337" t="s">
        <v>1484</v>
      </c>
      <c r="AR54" s="273"/>
      <c r="AS54" s="2007" t="s">
        <v>1503</v>
      </c>
      <c r="AT54" s="1745">
        <v>1</v>
      </c>
      <c r="AU54" s="1745">
        <v>2</v>
      </c>
      <c r="AV54" s="1745">
        <v>1</v>
      </c>
      <c r="AW54" s="1745">
        <v>1</v>
      </c>
    </row>
    <row r="55" spans="1:84" ht="15.75" customHeight="1" thickBot="1" x14ac:dyDescent="0.5">
      <c r="A55" s="1985"/>
      <c r="B55" s="1880"/>
      <c r="C55" s="1881"/>
      <c r="D55" s="1881"/>
      <c r="E55" s="1881"/>
      <c r="F55" s="1881"/>
      <c r="G55" s="1881"/>
      <c r="H55" s="1881"/>
      <c r="I55" s="1881"/>
      <c r="J55" s="1881"/>
      <c r="K55" s="1882"/>
      <c r="L55" s="1882"/>
      <c r="M55" s="1883"/>
      <c r="N55" s="2008"/>
      <c r="O55" s="1881"/>
      <c r="P55" s="1881"/>
      <c r="Q55" s="1881"/>
      <c r="R55" s="2009"/>
      <c r="T55" s="280"/>
      <c r="U55" s="1763"/>
      <c r="V55" s="1764"/>
      <c r="W55" s="1781">
        <v>11</v>
      </c>
      <c r="X55" s="1993"/>
      <c r="Y55" s="1994"/>
      <c r="Z55" s="1994"/>
      <c r="AA55" s="1995"/>
      <c r="AB55" s="273"/>
      <c r="AC55" s="1763"/>
      <c r="AD55" s="1764"/>
      <c r="AE55" s="1781">
        <v>11</v>
      </c>
      <c r="AF55" s="1993"/>
      <c r="AG55" s="1994"/>
      <c r="AH55" s="1994"/>
      <c r="AI55" s="1995"/>
      <c r="AJ55" s="273"/>
      <c r="AK55" s="1741"/>
      <c r="AL55" s="1742"/>
      <c r="AM55" s="1782">
        <v>11</v>
      </c>
      <c r="AN55" s="1993"/>
      <c r="AO55" s="1994"/>
      <c r="AP55" s="1994"/>
      <c r="AQ55" s="1995"/>
      <c r="AR55" s="273"/>
      <c r="AS55" s="2007" t="s">
        <v>1504</v>
      </c>
      <c r="AT55" s="1745">
        <v>0</v>
      </c>
      <c r="AU55" s="1745">
        <v>0</v>
      </c>
      <c r="AV55" s="1745">
        <v>1</v>
      </c>
      <c r="AW55" s="1745">
        <v>1</v>
      </c>
    </row>
    <row r="56" spans="1:84" ht="18.600000000000001" thickBot="1" x14ac:dyDescent="0.4">
      <c r="A56" s="1982"/>
      <c r="B56" s="1667" t="s">
        <v>1524</v>
      </c>
      <c r="C56" s="2010"/>
      <c r="D56" s="2011"/>
      <c r="E56" s="2011"/>
      <c r="F56" s="2011"/>
      <c r="G56" s="2011"/>
      <c r="H56" s="2011"/>
      <c r="I56" s="2012"/>
      <c r="J56" s="2013"/>
      <c r="K56" s="2013"/>
      <c r="L56" s="2013"/>
      <c r="M56" s="2014"/>
      <c r="N56" s="2015"/>
      <c r="O56" s="2011"/>
      <c r="P56" s="2011"/>
      <c r="Q56" s="2011"/>
      <c r="R56" s="2012"/>
      <c r="T56" s="280"/>
      <c r="U56" s="1763"/>
      <c r="V56" s="1764"/>
      <c r="W56" s="1781"/>
      <c r="X56" s="1999"/>
      <c r="Y56" s="2000"/>
      <c r="Z56" s="2000"/>
      <c r="AA56" s="2001"/>
      <c r="AB56" s="273"/>
      <c r="AC56" s="1763"/>
      <c r="AD56" s="1764"/>
      <c r="AE56" s="1781"/>
      <c r="AF56" s="1999"/>
      <c r="AG56" s="2000"/>
      <c r="AH56" s="2000"/>
      <c r="AI56" s="2001"/>
      <c r="AJ56" s="273"/>
      <c r="AK56" s="1763"/>
      <c r="AL56" s="1764"/>
      <c r="AM56" s="1781"/>
      <c r="AN56" s="1999"/>
      <c r="AO56" s="2000"/>
      <c r="AP56" s="2000"/>
      <c r="AQ56" s="2001"/>
      <c r="AR56" s="273"/>
      <c r="AS56" s="273"/>
      <c r="AT56" s="273"/>
      <c r="AU56" s="273"/>
      <c r="AV56" s="273"/>
      <c r="AW56" s="273"/>
    </row>
    <row r="57" spans="1:84" ht="16.2" thickBot="1" x14ac:dyDescent="0.35">
      <c r="B57" s="1890"/>
      <c r="C57" s="1891" t="s">
        <v>1525</v>
      </c>
      <c r="D57" s="1892"/>
      <c r="E57" s="1893"/>
      <c r="F57" s="1890"/>
      <c r="G57" s="1894" t="s">
        <v>1526</v>
      </c>
      <c r="H57" s="1894"/>
      <c r="I57" s="1895"/>
      <c r="J57" s="1896"/>
      <c r="K57" s="1891" t="s">
        <v>1527</v>
      </c>
      <c r="L57" s="1891"/>
      <c r="M57" s="1897"/>
      <c r="N57" s="2016"/>
      <c r="O57" s="2017"/>
      <c r="P57" s="1894" t="s">
        <v>1543</v>
      </c>
      <c r="Q57" s="1894"/>
      <c r="R57" s="1895"/>
      <c r="T57" s="280"/>
      <c r="U57" s="1774">
        <v>23</v>
      </c>
      <c r="V57" s="1775"/>
      <c r="W57" s="1798"/>
      <c r="X57" s="2004">
        <v>42</v>
      </c>
      <c r="Y57" s="2005"/>
      <c r="Z57" s="2005"/>
      <c r="AA57" s="2006"/>
      <c r="AB57" s="273"/>
      <c r="AC57" s="1774">
        <v>23</v>
      </c>
      <c r="AD57" s="1775"/>
      <c r="AE57" s="1798"/>
      <c r="AF57" s="2004">
        <v>42</v>
      </c>
      <c r="AG57" s="2005"/>
      <c r="AH57" s="2005"/>
      <c r="AI57" s="2006"/>
      <c r="AJ57" s="273"/>
      <c r="AK57" s="1774">
        <v>23</v>
      </c>
      <c r="AL57" s="1775"/>
      <c r="AM57" s="1798"/>
      <c r="AN57" s="2004">
        <v>42</v>
      </c>
      <c r="AO57" s="2005"/>
      <c r="AP57" s="2005"/>
      <c r="AQ57" s="2006"/>
      <c r="AR57" s="273"/>
      <c r="AS57" s="273"/>
      <c r="AT57" s="273"/>
      <c r="AU57" s="273"/>
      <c r="AV57" s="273"/>
      <c r="AW57" s="273"/>
    </row>
    <row r="58" spans="1:84" ht="15.6" x14ac:dyDescent="0.3">
      <c r="B58" s="1898"/>
      <c r="C58" s="1899"/>
      <c r="D58" s="1899"/>
      <c r="E58" s="1900"/>
      <c r="F58" s="1901" t="s">
        <v>1528</v>
      </c>
      <c r="G58" s="1899" t="s">
        <v>1529</v>
      </c>
      <c r="H58" s="1899" t="s">
        <v>1530</v>
      </c>
      <c r="I58" s="1902" t="s">
        <v>1531</v>
      </c>
      <c r="J58" s="1903"/>
      <c r="K58" s="1899"/>
      <c r="L58" s="1899"/>
      <c r="M58" s="1904"/>
      <c r="N58" s="1901"/>
      <c r="O58" s="2018" t="s">
        <v>1528</v>
      </c>
      <c r="P58" s="1899" t="s">
        <v>1529</v>
      </c>
      <c r="Q58" s="1899" t="s">
        <v>1530</v>
      </c>
      <c r="R58" s="1902" t="s">
        <v>1531</v>
      </c>
      <c r="T58" s="280"/>
      <c r="AJ58" s="273"/>
      <c r="AK58" s="273"/>
      <c r="AL58" s="273"/>
      <c r="AM58" s="273"/>
      <c r="AN58" s="273"/>
      <c r="AO58" s="273"/>
      <c r="AP58" s="273"/>
      <c r="AQ58" s="273"/>
      <c r="AR58" s="273"/>
      <c r="AS58" s="273"/>
      <c r="AT58" s="273"/>
      <c r="AU58" s="273"/>
      <c r="AV58" s="273"/>
      <c r="AW58" s="273"/>
    </row>
    <row r="59" spans="1:84" ht="15.6" x14ac:dyDescent="0.3">
      <c r="B59" s="1905"/>
      <c r="C59" s="1906"/>
      <c r="D59" s="1907" t="s">
        <v>1532</v>
      </c>
      <c r="E59" s="1908"/>
      <c r="F59" s="1909">
        <f>D24</f>
        <v>2</v>
      </c>
      <c r="G59" s="1906">
        <f>E24</f>
        <v>2</v>
      </c>
      <c r="H59" s="1906">
        <f>F24</f>
        <v>2</v>
      </c>
      <c r="I59" s="1910">
        <f>G24</f>
        <v>0</v>
      </c>
      <c r="J59" s="1911" t="s">
        <v>1152</v>
      </c>
      <c r="K59" s="1912"/>
      <c r="L59" s="1906" t="s">
        <v>1154</v>
      </c>
      <c r="M59" s="1913" t="s">
        <v>1533</v>
      </c>
      <c r="N59" s="1909"/>
      <c r="O59" s="2019">
        <f>D24</f>
        <v>2</v>
      </c>
      <c r="P59" s="1906">
        <f>E24</f>
        <v>2</v>
      </c>
      <c r="Q59" s="1906">
        <f>F24</f>
        <v>2</v>
      </c>
      <c r="R59" s="1910">
        <f>G24</f>
        <v>0</v>
      </c>
      <c r="T59" s="280"/>
      <c r="AJ59" s="273"/>
      <c r="AK59" s="273"/>
      <c r="AL59" s="273"/>
      <c r="AM59" s="273"/>
      <c r="AN59" s="273"/>
      <c r="AO59" s="273"/>
      <c r="AP59" s="273"/>
      <c r="AQ59" s="273"/>
      <c r="AR59" s="273"/>
      <c r="AS59" s="273"/>
      <c r="AT59" s="273"/>
      <c r="AU59" s="273"/>
      <c r="AV59" s="273"/>
      <c r="AW59" s="273"/>
    </row>
    <row r="60" spans="1:84" ht="15.6" x14ac:dyDescent="0.3">
      <c r="B60" s="1915" t="s">
        <v>1534</v>
      </c>
      <c r="C60" s="1916"/>
      <c r="D60" s="1917" t="str">
        <f>IFERROR(SUMPRODUCT(D61:D66,J61:J64)/J60,"")</f>
        <v/>
      </c>
      <c r="E60" s="1918" t="s">
        <v>1535</v>
      </c>
      <c r="F60" s="1952">
        <f>SUM(F61:F66)</f>
        <v>26</v>
      </c>
      <c r="G60" s="1953">
        <f t="shared" ref="G60:I60" si="73">SUM(G61:G66)</f>
        <v>14</v>
      </c>
      <c r="H60" s="1953">
        <f t="shared" si="73"/>
        <v>16</v>
      </c>
      <c r="I60" s="1925">
        <f t="shared" si="73"/>
        <v>0</v>
      </c>
      <c r="J60" s="2020">
        <f>SUM(J61:J66)</f>
        <v>112</v>
      </c>
      <c r="K60" s="1923" t="s">
        <v>1536</v>
      </c>
      <c r="L60" s="1924">
        <f>SUM(L61:L66)</f>
        <v>0.51851851851851849</v>
      </c>
      <c r="M60" s="1925">
        <f>SUM(M61:M66)</f>
        <v>78272</v>
      </c>
      <c r="N60" s="2021"/>
      <c r="O60" s="2022">
        <f t="shared" ref="O60:R60" si="74">SUM(O61:O66)</f>
        <v>18118</v>
      </c>
      <c r="P60" s="1953">
        <f t="shared" si="74"/>
        <v>9874</v>
      </c>
      <c r="Q60" s="1953">
        <f t="shared" si="74"/>
        <v>11144</v>
      </c>
      <c r="R60" s="1925">
        <f t="shared" si="74"/>
        <v>0</v>
      </c>
      <c r="T60" s="280"/>
    </row>
    <row r="61" spans="1:84" ht="15.6" x14ac:dyDescent="0.3">
      <c r="B61" s="1926"/>
      <c r="C61" s="1689" t="s">
        <v>1480</v>
      </c>
      <c r="D61" s="1928">
        <v>635</v>
      </c>
      <c r="E61" s="1929" t="s">
        <v>1535</v>
      </c>
      <c r="F61" s="2023">
        <f>IFERROR(SUMPRODUCT(D$5:D$22,$CN$11:$CN$28),"")</f>
        <v>8</v>
      </c>
      <c r="G61" s="2024">
        <f>IFERROR(SUMPRODUCT(E$5:E$22,$CN$11:$CN$28),"")</f>
        <v>4</v>
      </c>
      <c r="H61" s="2024">
        <f>IFERROR(SUMPRODUCT(F$5:F$22,$CN$11:$CN$28),"")</f>
        <v>6</v>
      </c>
      <c r="I61" s="2025">
        <f>IFERROR(SUMPRODUCT(G$5:G$22,$CN$11:$CN$28),"")</f>
        <v>0</v>
      </c>
      <c r="J61" s="2026">
        <f>IFERROR(SUMPRODUCT(H5:H22,CN11:CN28),"")</f>
        <v>36</v>
      </c>
      <c r="K61" s="1934" t="s">
        <v>1536</v>
      </c>
      <c r="L61" s="1935">
        <f t="shared" ref="L61:L66" si="75">J61/$J$50</f>
        <v>0.16666666666666666</v>
      </c>
      <c r="M61" s="1936">
        <f t="shared" ref="M61:M66" si="76">J61*D61</f>
        <v>22860</v>
      </c>
      <c r="N61" s="2027" t="s">
        <v>1480</v>
      </c>
      <c r="O61" s="2028">
        <f t="shared" ref="O61:O66" si="77">F61*D61</f>
        <v>5080</v>
      </c>
      <c r="P61" s="2024">
        <f t="shared" ref="P61:P66" si="78">G61*D61</f>
        <v>2540</v>
      </c>
      <c r="Q61" s="2024">
        <f t="shared" ref="Q61:Q66" si="79">H61*D61</f>
        <v>3810</v>
      </c>
      <c r="R61" s="2025">
        <f t="shared" ref="R61:R66" si="80">I61*D61</f>
        <v>0</v>
      </c>
      <c r="T61" s="280"/>
    </row>
    <row r="62" spans="1:84" ht="15.6" x14ac:dyDescent="0.3">
      <c r="B62" s="1937"/>
      <c r="C62" s="1689" t="s">
        <v>1481</v>
      </c>
      <c r="D62" s="1928">
        <v>677</v>
      </c>
      <c r="E62" s="1939" t="s">
        <v>1535</v>
      </c>
      <c r="F62" s="1930">
        <f>IFERROR(SUMPRODUCT(D$5:D$22,$CO$11:$CO$28),"")</f>
        <v>2</v>
      </c>
      <c r="G62" s="1931">
        <f>IFERROR(SUMPRODUCT(E$5:E$22,$CO$11:$CO$28),"")</f>
        <v>0</v>
      </c>
      <c r="H62" s="1931">
        <f>IFERROR(SUMPRODUCT(F$5:F$22,$CO$11:$CO$28),"")</f>
        <v>0</v>
      </c>
      <c r="I62" s="1932">
        <f>IFERROR(SUMPRODUCT(G$5:G$22,$CO$11:$CO$28),"")</f>
        <v>0</v>
      </c>
      <c r="J62" s="2029">
        <f>IFERROR(SUMPRODUCT(H5:H22,CO11:CO28),"")</f>
        <v>4</v>
      </c>
      <c r="K62" s="1934" t="s">
        <v>1536</v>
      </c>
      <c r="L62" s="1935">
        <f t="shared" si="75"/>
        <v>1.8518518518518517E-2</v>
      </c>
      <c r="M62" s="1941">
        <f t="shared" si="76"/>
        <v>2708</v>
      </c>
      <c r="N62" s="2027" t="s">
        <v>1481</v>
      </c>
      <c r="O62" s="2030">
        <f t="shared" si="77"/>
        <v>1354</v>
      </c>
      <c r="P62" s="1931">
        <f t="shared" si="78"/>
        <v>0</v>
      </c>
      <c r="Q62" s="1931">
        <f t="shared" si="79"/>
        <v>0</v>
      </c>
      <c r="R62" s="1932">
        <f t="shared" si="80"/>
        <v>0</v>
      </c>
      <c r="T62" s="280"/>
    </row>
    <row r="63" spans="1:84" ht="15.6" x14ac:dyDescent="0.3">
      <c r="B63" s="2031"/>
      <c r="C63" s="2032" t="s">
        <v>1492</v>
      </c>
      <c r="D63" s="2033">
        <v>725</v>
      </c>
      <c r="E63" s="2034" t="s">
        <v>1535</v>
      </c>
      <c r="F63" s="2035">
        <f>IFERROR(SUMPRODUCT(D$5:D$22,$CP$11:$CP$28),"")</f>
        <v>14</v>
      </c>
      <c r="G63" s="2036">
        <f>IFERROR(SUMPRODUCT(E$5:E$22,$CP$11:$CP$28),"")</f>
        <v>8</v>
      </c>
      <c r="H63" s="2036">
        <f>IFERROR(SUMPRODUCT(F$5:F$22,$CP$11:$CP$28),"")</f>
        <v>8</v>
      </c>
      <c r="I63" s="2037">
        <f>IFERROR(SUMPRODUCT(G$5:G$22,$CP$11:$CP$28),"")</f>
        <v>0</v>
      </c>
      <c r="J63" s="2038">
        <f>IFERROR(SUMPRODUCT(H5:H22,CP11:CP28),"")</f>
        <v>60</v>
      </c>
      <c r="K63" s="2039" t="s">
        <v>1536</v>
      </c>
      <c r="L63" s="2040">
        <f t="shared" si="75"/>
        <v>0.27777777777777779</v>
      </c>
      <c r="M63" s="2041">
        <f t="shared" si="76"/>
        <v>43500</v>
      </c>
      <c r="N63" s="2042" t="s">
        <v>1492</v>
      </c>
      <c r="O63" s="2043">
        <f t="shared" si="77"/>
        <v>10150</v>
      </c>
      <c r="P63" s="2044">
        <f t="shared" si="78"/>
        <v>5800</v>
      </c>
      <c r="Q63" s="2044">
        <f t="shared" si="79"/>
        <v>5800</v>
      </c>
      <c r="R63" s="2045">
        <f t="shared" si="80"/>
        <v>0</v>
      </c>
      <c r="T63" s="280"/>
      <c r="U63" s="273"/>
      <c r="V63" s="273"/>
      <c r="W63" s="273"/>
      <c r="X63" s="273"/>
      <c r="Y63" s="273"/>
      <c r="Z63" s="273"/>
    </row>
    <row r="64" spans="1:84" ht="15.6" x14ac:dyDescent="0.3">
      <c r="B64" s="2046"/>
      <c r="C64" s="2047" t="s">
        <v>1493</v>
      </c>
      <c r="D64" s="2048">
        <v>767</v>
      </c>
      <c r="E64" s="2049" t="s">
        <v>1535</v>
      </c>
      <c r="F64" s="2050">
        <f>IFERROR(SUMPRODUCT(D$5:D$22,$CQ$11:$CQ$28),"")</f>
        <v>2</v>
      </c>
      <c r="G64" s="2051">
        <f>IFERROR(SUMPRODUCT(E$5:E$22,$CQ$11:$CQ$28),"")</f>
        <v>2</v>
      </c>
      <c r="H64" s="2051">
        <f>IFERROR(SUMPRODUCT(F$5:F$22,$CQ$11:$CQ$28),"")</f>
        <v>2</v>
      </c>
      <c r="I64" s="2052">
        <f>IFERROR(SUMPRODUCT(G$5:G$22,$CQ$11:$CQ$28),"")</f>
        <v>0</v>
      </c>
      <c r="J64" s="2053">
        <f>IFERROR(SUMPRODUCT(H5:H22,CQ11:CQ28),"")</f>
        <v>12</v>
      </c>
      <c r="K64" s="2054" t="s">
        <v>1536</v>
      </c>
      <c r="L64" s="2055">
        <f t="shared" si="75"/>
        <v>5.5555555555555552E-2</v>
      </c>
      <c r="M64" s="2056">
        <f t="shared" si="76"/>
        <v>9204</v>
      </c>
      <c r="N64" s="2057" t="s">
        <v>1493</v>
      </c>
      <c r="O64" s="2058">
        <f t="shared" si="77"/>
        <v>1534</v>
      </c>
      <c r="P64" s="2059">
        <f t="shared" si="78"/>
        <v>1534</v>
      </c>
      <c r="Q64" s="2059">
        <f t="shared" si="79"/>
        <v>1534</v>
      </c>
      <c r="R64" s="2060">
        <f t="shared" si="80"/>
        <v>0</v>
      </c>
      <c r="T64" s="280"/>
      <c r="U64" s="273"/>
      <c r="V64" s="273"/>
      <c r="W64" s="273"/>
      <c r="X64" s="273"/>
      <c r="Y64" s="273"/>
      <c r="Z64" s="273"/>
    </row>
    <row r="65" spans="2:28" ht="15.6" x14ac:dyDescent="0.3">
      <c r="B65" s="1746"/>
      <c r="C65" s="1691" t="s">
        <v>1494</v>
      </c>
      <c r="D65" s="2033">
        <v>852</v>
      </c>
      <c r="E65" s="2034" t="s">
        <v>1535</v>
      </c>
      <c r="F65" s="2035">
        <f>IFERROR(SUMPRODUCT(D$5:D$22,$CR$11:$CR$28),"")</f>
        <v>0</v>
      </c>
      <c r="G65" s="2036">
        <f>IFERROR(SUMPRODUCT(E$5:E$22,$CR$11:$CR$28),"")</f>
        <v>0</v>
      </c>
      <c r="H65" s="2036">
        <f>IFERROR(SUMPRODUCT(F$5:F$22,$CR$11:$CR$28),"")</f>
        <v>0</v>
      </c>
      <c r="I65" s="2037">
        <f>IFERROR(SUMPRODUCT(G$5:G$22,$CR$11:$CR$28),"")</f>
        <v>0</v>
      </c>
      <c r="J65" s="2038">
        <f>IFERROR(SUMPRODUCT(H5:H22,CR11:CR28),"")</f>
        <v>0</v>
      </c>
      <c r="K65" s="2039" t="s">
        <v>1536</v>
      </c>
      <c r="L65" s="2040">
        <f t="shared" si="75"/>
        <v>0</v>
      </c>
      <c r="M65" s="2041">
        <f t="shared" si="76"/>
        <v>0</v>
      </c>
      <c r="N65" s="2061" t="s">
        <v>1494</v>
      </c>
      <c r="O65" s="2043">
        <f t="shared" si="77"/>
        <v>0</v>
      </c>
      <c r="P65" s="2044">
        <f t="shared" si="78"/>
        <v>0</v>
      </c>
      <c r="Q65" s="2044">
        <f t="shared" si="79"/>
        <v>0</v>
      </c>
      <c r="R65" s="2045">
        <f t="shared" si="80"/>
        <v>0</v>
      </c>
      <c r="T65" s="280"/>
      <c r="U65" s="273"/>
      <c r="V65" s="273"/>
      <c r="W65" s="273"/>
      <c r="X65" s="273"/>
      <c r="Y65" s="273"/>
      <c r="Z65" s="273"/>
    </row>
    <row r="66" spans="2:28" ht="15.6" x14ac:dyDescent="0.3">
      <c r="B66" s="1746"/>
      <c r="C66" s="1691" t="s">
        <v>1495</v>
      </c>
      <c r="D66" s="2048">
        <v>894</v>
      </c>
      <c r="E66" s="2049" t="s">
        <v>1535</v>
      </c>
      <c r="F66" s="2050">
        <f>IFERROR(SUMPRODUCT(D$5:D$22,$CS$11:$CS$28),"")</f>
        <v>0</v>
      </c>
      <c r="G66" s="2051">
        <f>IFERROR(SUMPRODUCT(E$5:E$22,$CS$11:$CS$28),"")</f>
        <v>0</v>
      </c>
      <c r="H66" s="2051">
        <f>IFERROR(SUMPRODUCT(F$5:F$22,$CS$11:$CS$28),"")</f>
        <v>0</v>
      </c>
      <c r="I66" s="2052">
        <f>IFERROR(SUMPRODUCT(G$5:G$22,$CS$11:$CS$28),"")</f>
        <v>0</v>
      </c>
      <c r="J66" s="2053">
        <f>IFERROR(SUMPRODUCT(H5:H22,CS11:CS28),"")</f>
        <v>0</v>
      </c>
      <c r="K66" s="2054" t="s">
        <v>1536</v>
      </c>
      <c r="L66" s="2055">
        <f t="shared" si="75"/>
        <v>0</v>
      </c>
      <c r="M66" s="2056">
        <f t="shared" si="76"/>
        <v>0</v>
      </c>
      <c r="N66" s="2061" t="s">
        <v>1495</v>
      </c>
      <c r="O66" s="2058">
        <f t="shared" si="77"/>
        <v>0</v>
      </c>
      <c r="P66" s="2059">
        <f t="shared" si="78"/>
        <v>0</v>
      </c>
      <c r="Q66" s="2059">
        <f t="shared" si="79"/>
        <v>0</v>
      </c>
      <c r="R66" s="2060">
        <f t="shared" si="80"/>
        <v>0</v>
      </c>
      <c r="T66" s="280"/>
      <c r="U66" s="273"/>
      <c r="V66" s="273"/>
      <c r="W66" s="273"/>
      <c r="X66" s="273"/>
      <c r="Y66" s="273"/>
      <c r="Z66" s="273"/>
    </row>
    <row r="67" spans="2:28" ht="15.6" x14ac:dyDescent="0.3">
      <c r="B67" s="1943"/>
      <c r="C67" s="1944"/>
      <c r="D67" s="1945"/>
      <c r="E67" s="1946"/>
      <c r="F67" s="1947"/>
      <c r="G67" s="1948"/>
      <c r="H67" s="1948"/>
      <c r="I67" s="1949"/>
      <c r="J67" s="1937"/>
      <c r="K67" s="1951"/>
      <c r="L67" s="1950"/>
      <c r="M67" s="1949"/>
      <c r="N67" s="1943"/>
      <c r="O67" s="2062"/>
      <c r="P67" s="1948"/>
      <c r="Q67" s="1948"/>
      <c r="R67" s="1949"/>
      <c r="T67" s="280"/>
      <c r="U67" s="273"/>
      <c r="V67" s="273"/>
      <c r="W67" s="273"/>
      <c r="X67" s="273"/>
      <c r="Y67" s="273"/>
      <c r="Z67" s="273"/>
    </row>
    <row r="68" spans="2:28" ht="15.6" x14ac:dyDescent="0.3">
      <c r="B68" s="1915" t="s">
        <v>1538</v>
      </c>
      <c r="C68" s="1916"/>
      <c r="D68" s="1917">
        <f>IFERROR(SUMPRODUCT(D69:D76,J69:J76)/J68,"")</f>
        <v>945</v>
      </c>
      <c r="E68" s="1918" t="s">
        <v>1535</v>
      </c>
      <c r="F68" s="1952">
        <f>SUM(F69:F76)</f>
        <v>22</v>
      </c>
      <c r="G68" s="1953">
        <f>SUM(G69:G76)</f>
        <v>4</v>
      </c>
      <c r="H68" s="1953">
        <f t="shared" ref="H68:I68" si="81">SUM(H69:H76)</f>
        <v>14</v>
      </c>
      <c r="I68" s="1925">
        <f t="shared" si="81"/>
        <v>0</v>
      </c>
      <c r="J68" s="2020">
        <f>SUM(J69:J76)</f>
        <v>80</v>
      </c>
      <c r="K68" s="1923" t="s">
        <v>1536</v>
      </c>
      <c r="L68" s="1924">
        <f>SUM(L69:L76)</f>
        <v>0.37037037037037035</v>
      </c>
      <c r="M68" s="1925">
        <f>SUM(M69:M76)</f>
        <v>75600</v>
      </c>
      <c r="N68" s="2021"/>
      <c r="O68" s="2022">
        <f>SUM(O69:O76)</f>
        <v>20436</v>
      </c>
      <c r="P68" s="1953">
        <f>SUM(P69:P76)</f>
        <v>3876</v>
      </c>
      <c r="Q68" s="1953">
        <f t="shared" ref="Q68:R68" si="82">SUM(Q69:Q76)</f>
        <v>13488</v>
      </c>
      <c r="R68" s="1925">
        <f t="shared" si="82"/>
        <v>0</v>
      </c>
      <c r="T68" s="280"/>
      <c r="U68" s="273"/>
      <c r="V68" s="273"/>
      <c r="W68" s="273"/>
      <c r="X68" s="273"/>
      <c r="Y68" s="273"/>
      <c r="Z68" s="273"/>
    </row>
    <row r="69" spans="2:28" ht="15.6" x14ac:dyDescent="0.3">
      <c r="B69" s="1926"/>
      <c r="C69" s="1692" t="s">
        <v>1496</v>
      </c>
      <c r="D69" s="1928">
        <v>852</v>
      </c>
      <c r="E69" s="1929" t="s">
        <v>1535</v>
      </c>
      <c r="F69" s="1930">
        <f>IFERROR(SUMPRODUCT(D$5:D$22,$CT$11:$CT$28),"")</f>
        <v>6</v>
      </c>
      <c r="G69" s="1931">
        <f>IFERROR(SUMPRODUCT(E$5:E$22,$CT$11:$CT$28),"")</f>
        <v>0</v>
      </c>
      <c r="H69" s="1931">
        <f>IFERROR(SUMPRODUCT(F$5:F$22,$CT$11:$CT$28),"")</f>
        <v>0</v>
      </c>
      <c r="I69" s="1932">
        <f>IFERROR(SUMPRODUCT(G$5:G$22,$CT$11:$CT$28),"")</f>
        <v>0</v>
      </c>
      <c r="J69" s="2026">
        <f>IFERROR(SUMPRODUCT(H5:H22,CT11:CT28),"")</f>
        <v>12</v>
      </c>
      <c r="K69" s="1955" t="s">
        <v>1536</v>
      </c>
      <c r="L69" s="1956">
        <f t="shared" ref="L69:L76" si="83">J69/$J$50</f>
        <v>5.5555555555555552E-2</v>
      </c>
      <c r="M69" s="1936">
        <f t="shared" ref="M69:M76" si="84">J69*D69</f>
        <v>10224</v>
      </c>
      <c r="N69" s="2063" t="s">
        <v>1496</v>
      </c>
      <c r="O69" s="2028">
        <f t="shared" ref="O69:O76" si="85">F69*D69</f>
        <v>5112</v>
      </c>
      <c r="P69" s="2024">
        <f t="shared" ref="P69:P76" si="86">G69*D69</f>
        <v>0</v>
      </c>
      <c r="Q69" s="2024">
        <f t="shared" ref="Q69:Q76" si="87">H69*D69</f>
        <v>0</v>
      </c>
      <c r="R69" s="2025">
        <f t="shared" ref="R69:R76" si="88">I69*D69</f>
        <v>0</v>
      </c>
      <c r="T69" s="280"/>
    </row>
    <row r="70" spans="2:28" ht="15.6" x14ac:dyDescent="0.3">
      <c r="B70" s="1937"/>
      <c r="C70" s="1692" t="s">
        <v>1497</v>
      </c>
      <c r="D70" s="1928">
        <v>894</v>
      </c>
      <c r="E70" s="1939" t="s">
        <v>1535</v>
      </c>
      <c r="F70" s="1930">
        <f>IFERROR(SUMPRODUCT(D$5:D$22,$CU$11:$CU$28),"")</f>
        <v>6</v>
      </c>
      <c r="G70" s="1931">
        <f>IFERROR(SUMPRODUCT(E$5:E$22,$CU$11:$CU$28),"")</f>
        <v>0</v>
      </c>
      <c r="H70" s="1931">
        <f>IFERROR(SUMPRODUCT(F$5:F$22,$CU$11:$CU$28),"")</f>
        <v>0</v>
      </c>
      <c r="I70" s="1932">
        <f>IFERROR(SUMPRODUCT(G$5:G$22,$CU$11:$CU$28),"")</f>
        <v>0</v>
      </c>
      <c r="J70" s="2029">
        <f>IFERROR(SUMPRODUCT(H5:H22,CU11:CU28),"")</f>
        <v>12</v>
      </c>
      <c r="K70" s="1934" t="s">
        <v>1536</v>
      </c>
      <c r="L70" s="1935">
        <f t="shared" si="83"/>
        <v>5.5555555555555552E-2</v>
      </c>
      <c r="M70" s="1941">
        <f t="shared" si="84"/>
        <v>10728</v>
      </c>
      <c r="N70" s="2063" t="s">
        <v>1497</v>
      </c>
      <c r="O70" s="2030">
        <f t="shared" si="85"/>
        <v>5364</v>
      </c>
      <c r="P70" s="1931">
        <f t="shared" si="86"/>
        <v>0</v>
      </c>
      <c r="Q70" s="1931">
        <f t="shared" si="87"/>
        <v>0</v>
      </c>
      <c r="R70" s="1932">
        <f t="shared" si="88"/>
        <v>0</v>
      </c>
      <c r="T70" s="280"/>
      <c r="U70" s="273"/>
      <c r="V70" s="273"/>
      <c r="W70" s="273"/>
    </row>
    <row r="71" spans="2:28" ht="15.6" x14ac:dyDescent="0.3">
      <c r="B71" s="2064"/>
      <c r="C71" s="2065" t="s">
        <v>1485</v>
      </c>
      <c r="D71" s="2033">
        <v>924</v>
      </c>
      <c r="E71" s="2034" t="s">
        <v>1535</v>
      </c>
      <c r="F71" s="2035">
        <f>IFERROR(SUMPRODUCT(D$5:D$22,$CV$11:$CV$28),"")</f>
        <v>2</v>
      </c>
      <c r="G71" s="2036">
        <f>IFERROR(SUMPRODUCT(E$5:E$22,$CV$11:$CV$28),"")</f>
        <v>2</v>
      </c>
      <c r="H71" s="2036">
        <f>IFERROR(SUMPRODUCT(F$5:F$22,$CV$11:$CV$28),"")</f>
        <v>6</v>
      </c>
      <c r="I71" s="2037">
        <f>IFERROR(SUMPRODUCT(G$5:G$22,$CV$11:$CV$28),"")</f>
        <v>0</v>
      </c>
      <c r="J71" s="2038">
        <f>IFERROR(SUMPRODUCT(H5:H22,CV11:CV28),"")</f>
        <v>20</v>
      </c>
      <c r="K71" s="2039" t="s">
        <v>1536</v>
      </c>
      <c r="L71" s="2040">
        <f t="shared" si="83"/>
        <v>9.2592592592592587E-2</v>
      </c>
      <c r="M71" s="2041">
        <f t="shared" si="84"/>
        <v>18480</v>
      </c>
      <c r="N71" s="2066" t="s">
        <v>1485</v>
      </c>
      <c r="O71" s="2043">
        <f t="shared" si="85"/>
        <v>1848</v>
      </c>
      <c r="P71" s="2044">
        <f t="shared" si="86"/>
        <v>1848</v>
      </c>
      <c r="Q71" s="2044">
        <f t="shared" si="87"/>
        <v>5544</v>
      </c>
      <c r="R71" s="2045">
        <f t="shared" si="88"/>
        <v>0</v>
      </c>
      <c r="T71" s="280"/>
      <c r="U71" s="273"/>
      <c r="V71" s="273"/>
      <c r="W71" s="273"/>
      <c r="X71" s="273"/>
      <c r="Y71" s="273"/>
      <c r="Z71" s="273"/>
      <c r="AA71" s="273"/>
      <c r="AB71" s="273"/>
    </row>
    <row r="72" spans="2:28" ht="15.6" x14ac:dyDescent="0.3">
      <c r="B72" s="1746"/>
      <c r="C72" s="1693" t="s">
        <v>1498</v>
      </c>
      <c r="D72" s="1928">
        <v>965</v>
      </c>
      <c r="E72" s="1939" t="s">
        <v>1535</v>
      </c>
      <c r="F72" s="1930">
        <f>IFERROR(SUMPRODUCT(D$5:D$22,$CW$11:$CW$28),"")</f>
        <v>0</v>
      </c>
      <c r="G72" s="1931">
        <f>IFERROR(SUMPRODUCT(E$5:E$22,$CW$11:$CW$28),"")</f>
        <v>0</v>
      </c>
      <c r="H72" s="1931">
        <f>IFERROR(SUMPRODUCT(F$5:F$22,$CW$11:$CW$28),"")</f>
        <v>3</v>
      </c>
      <c r="I72" s="1932">
        <f>IFERROR(SUMPRODUCT(G$5:G$22,$CW$11:$CW$28),"")</f>
        <v>0</v>
      </c>
      <c r="J72" s="2029">
        <f>IFERROR(SUMPRODUCT(H5:H22,CW11:CW28),"")</f>
        <v>6</v>
      </c>
      <c r="K72" s="1934" t="s">
        <v>1536</v>
      </c>
      <c r="L72" s="1935">
        <f t="shared" si="83"/>
        <v>2.7777777777777776E-2</v>
      </c>
      <c r="M72" s="1941">
        <f t="shared" si="84"/>
        <v>5790</v>
      </c>
      <c r="N72" s="2067" t="s">
        <v>1498</v>
      </c>
      <c r="O72" s="2030">
        <f t="shared" si="85"/>
        <v>0</v>
      </c>
      <c r="P72" s="1931">
        <f t="shared" si="86"/>
        <v>0</v>
      </c>
      <c r="Q72" s="1931">
        <f t="shared" si="87"/>
        <v>2895</v>
      </c>
      <c r="R72" s="1932">
        <f t="shared" si="88"/>
        <v>0</v>
      </c>
      <c r="T72" s="280"/>
      <c r="U72" s="273"/>
      <c r="V72" s="273"/>
      <c r="W72" s="273"/>
      <c r="X72" s="273"/>
      <c r="Y72" s="273"/>
      <c r="Z72" s="273"/>
      <c r="AA72" s="273"/>
      <c r="AB72" s="273"/>
    </row>
    <row r="73" spans="2:28" ht="15.6" x14ac:dyDescent="0.3">
      <c r="B73" s="2046"/>
      <c r="C73" s="2068" t="s">
        <v>1499</v>
      </c>
      <c r="D73" s="2048">
        <v>1007</v>
      </c>
      <c r="E73" s="2049" t="s">
        <v>1535</v>
      </c>
      <c r="F73" s="2050">
        <f>IFERROR(SUMPRODUCT(D$5:D$22,$CX$11:$CX$28),"")</f>
        <v>0</v>
      </c>
      <c r="G73" s="2051">
        <f>IFERROR(SUMPRODUCT(E$5:E$22,$CX$11:$CX$28),"")</f>
        <v>0</v>
      </c>
      <c r="H73" s="2051">
        <f>IFERROR(SUMPRODUCT(F$5:F$22,$CX$11:$CX$28),"")</f>
        <v>3</v>
      </c>
      <c r="I73" s="2052">
        <f>IFERROR(SUMPRODUCT(G$5:G$22,$CX$11:$CX$28),"")</f>
        <v>0</v>
      </c>
      <c r="J73" s="2053">
        <f>IFERROR(SUMPRODUCT(H5:H22,CX11:CX28),"")</f>
        <v>6</v>
      </c>
      <c r="K73" s="2054" t="s">
        <v>1536</v>
      </c>
      <c r="L73" s="2055">
        <f t="shared" si="83"/>
        <v>2.7777777777777776E-2</v>
      </c>
      <c r="M73" s="2056">
        <f t="shared" si="84"/>
        <v>6042</v>
      </c>
      <c r="N73" s="2069" t="s">
        <v>1499</v>
      </c>
      <c r="O73" s="2058">
        <f t="shared" si="85"/>
        <v>0</v>
      </c>
      <c r="P73" s="2059">
        <f t="shared" si="86"/>
        <v>0</v>
      </c>
      <c r="Q73" s="2059">
        <f t="shared" si="87"/>
        <v>3021</v>
      </c>
      <c r="R73" s="2060">
        <f t="shared" si="88"/>
        <v>0</v>
      </c>
      <c r="T73" s="280"/>
      <c r="U73" s="273"/>
      <c r="V73" s="273"/>
      <c r="W73" s="273"/>
      <c r="X73" s="273"/>
      <c r="Y73" s="273"/>
      <c r="Z73" s="273"/>
      <c r="AA73" s="273"/>
      <c r="AB73" s="273"/>
    </row>
    <row r="74" spans="2:28" ht="15.6" x14ac:dyDescent="0.3">
      <c r="B74" s="2031"/>
      <c r="C74" s="2070" t="s">
        <v>1500</v>
      </c>
      <c r="D74" s="2033">
        <v>1014</v>
      </c>
      <c r="E74" s="2034" t="s">
        <v>1535</v>
      </c>
      <c r="F74" s="2035">
        <f>IFERROR(SUMPRODUCT(D$5:D$22,$CY$11:$CY$28),"")</f>
        <v>8</v>
      </c>
      <c r="G74" s="2036">
        <f>IFERROR(SUMPRODUCT(E$5:E$22,$CY$11:$CY$28),"")</f>
        <v>2</v>
      </c>
      <c r="H74" s="2036">
        <f>IFERROR(SUMPRODUCT(F$5:F$22,$CY$11:$CY$28),"")</f>
        <v>2</v>
      </c>
      <c r="I74" s="2037">
        <f>IFERROR(SUMPRODUCT(G$5:G$22,$CY$11:$CY$28),"")</f>
        <v>0</v>
      </c>
      <c r="J74" s="2038">
        <f>IFERROR(SUMPRODUCT(H5:H22,CY11:CY28),"")</f>
        <v>24</v>
      </c>
      <c r="K74" s="2039" t="s">
        <v>1536</v>
      </c>
      <c r="L74" s="2040">
        <f t="shared" si="83"/>
        <v>0.1111111111111111</v>
      </c>
      <c r="M74" s="2041">
        <f t="shared" si="84"/>
        <v>24336</v>
      </c>
      <c r="N74" s="2071" t="s">
        <v>1500</v>
      </c>
      <c r="O74" s="2030">
        <f t="shared" si="85"/>
        <v>8112</v>
      </c>
      <c r="P74" s="1931">
        <f t="shared" si="86"/>
        <v>2028</v>
      </c>
      <c r="Q74" s="1931">
        <f t="shared" si="87"/>
        <v>2028</v>
      </c>
      <c r="R74" s="1932">
        <f t="shared" si="88"/>
        <v>0</v>
      </c>
      <c r="T74" s="280"/>
      <c r="U74" s="273"/>
      <c r="V74" s="273"/>
      <c r="W74" s="273"/>
      <c r="X74" s="273"/>
      <c r="Y74" s="273"/>
      <c r="Z74" s="273"/>
      <c r="AA74" s="273"/>
      <c r="AB74" s="273"/>
    </row>
    <row r="75" spans="2:28" ht="15.6" x14ac:dyDescent="0.3">
      <c r="B75" s="1746"/>
      <c r="C75" s="1694" t="s">
        <v>1501</v>
      </c>
      <c r="D75" s="1928">
        <v>1055</v>
      </c>
      <c r="E75" s="1939" t="s">
        <v>1535</v>
      </c>
      <c r="F75" s="1930">
        <f>IFERROR(SUMPRODUCT(D$5:D$22,$CZ$11:$CZ$28),"")</f>
        <v>0</v>
      </c>
      <c r="G75" s="1931">
        <f>IFERROR(SUMPRODUCT(E$5:E$22,$CZ$11:$CZ$28),"")</f>
        <v>0</v>
      </c>
      <c r="H75" s="1931">
        <f>IFERROR(SUMPRODUCT(F$5:F$22,$CZ$11:$CZ$28),"")</f>
        <v>0</v>
      </c>
      <c r="I75" s="1932">
        <f>IFERROR(SUMPRODUCT(G$5:G$22,$CZ$11:$CZ$28),"")</f>
        <v>0</v>
      </c>
      <c r="J75" s="2029">
        <f>IFERROR(SUMPRODUCT(H5:H22,CZ11:CZ28),"")</f>
        <v>0</v>
      </c>
      <c r="K75" s="1934" t="s">
        <v>1536</v>
      </c>
      <c r="L75" s="1935">
        <f t="shared" si="83"/>
        <v>0</v>
      </c>
      <c r="M75" s="1941">
        <f t="shared" si="84"/>
        <v>0</v>
      </c>
      <c r="N75" s="2072" t="s">
        <v>1501</v>
      </c>
      <c r="O75" s="2030">
        <f t="shared" si="85"/>
        <v>0</v>
      </c>
      <c r="P75" s="1931">
        <f t="shared" si="86"/>
        <v>0</v>
      </c>
      <c r="Q75" s="1931">
        <f t="shared" si="87"/>
        <v>0</v>
      </c>
      <c r="R75" s="1932">
        <f t="shared" si="88"/>
        <v>0</v>
      </c>
      <c r="T75" s="280"/>
      <c r="U75" s="273"/>
      <c r="V75" s="273"/>
      <c r="W75" s="273"/>
      <c r="X75" s="273"/>
      <c r="Y75" s="273"/>
      <c r="Z75" s="273"/>
      <c r="AA75" s="273"/>
      <c r="AB75" s="273"/>
    </row>
    <row r="76" spans="2:28" ht="15.6" x14ac:dyDescent="0.3">
      <c r="B76" s="2046"/>
      <c r="C76" s="2073" t="s">
        <v>1502</v>
      </c>
      <c r="D76" s="2048">
        <v>1097</v>
      </c>
      <c r="E76" s="2049" t="s">
        <v>1535</v>
      </c>
      <c r="F76" s="2050">
        <f>IFERROR(SUMPRODUCT(D$5:D$22,$DA$11:$DA$28),"")</f>
        <v>0</v>
      </c>
      <c r="G76" s="2051">
        <f>IFERROR(SUMPRODUCT(E$5:E$22,$DA$11:$DA$28),"")</f>
        <v>0</v>
      </c>
      <c r="H76" s="2051">
        <f>IFERROR(SUMPRODUCT(F$5:F$22,$DA$11:$DA$28),"")</f>
        <v>0</v>
      </c>
      <c r="I76" s="2052">
        <f>IFERROR(SUMPRODUCT(G$5:G$22,$DA$11:$DA$28),"")</f>
        <v>0</v>
      </c>
      <c r="J76" s="2053">
        <f>IFERROR(SUMPRODUCT(H5:H22,DA11:DA28),"")</f>
        <v>0</v>
      </c>
      <c r="K76" s="2054" t="s">
        <v>1536</v>
      </c>
      <c r="L76" s="2055">
        <f t="shared" si="83"/>
        <v>0</v>
      </c>
      <c r="M76" s="2056">
        <f t="shared" si="84"/>
        <v>0</v>
      </c>
      <c r="N76" s="2074" t="s">
        <v>1502</v>
      </c>
      <c r="O76" s="2058">
        <f t="shared" si="85"/>
        <v>0</v>
      </c>
      <c r="P76" s="2059">
        <f t="shared" si="86"/>
        <v>0</v>
      </c>
      <c r="Q76" s="2059">
        <f t="shared" si="87"/>
        <v>0</v>
      </c>
      <c r="R76" s="2060">
        <f t="shared" si="88"/>
        <v>0</v>
      </c>
      <c r="U76" s="273"/>
      <c r="V76" s="273"/>
      <c r="W76" s="273"/>
      <c r="X76" s="273"/>
      <c r="Y76" s="273"/>
      <c r="Z76" s="273"/>
      <c r="AA76" s="273"/>
      <c r="AB76" s="273"/>
    </row>
    <row r="77" spans="2:28" ht="15.6" x14ac:dyDescent="0.3">
      <c r="B77" s="1969"/>
      <c r="C77" s="1970"/>
      <c r="D77" s="1971"/>
      <c r="E77" s="1972"/>
      <c r="F77" s="1947"/>
      <c r="G77" s="1948"/>
      <c r="H77" s="1948"/>
      <c r="I77" s="1949"/>
      <c r="J77" s="2075"/>
      <c r="K77" s="1974"/>
      <c r="L77" s="1975"/>
      <c r="M77" s="1976"/>
      <c r="N77" s="1969"/>
      <c r="O77" s="2062"/>
      <c r="P77" s="1948"/>
      <c r="Q77" s="1948"/>
      <c r="R77" s="1949"/>
    </row>
    <row r="78" spans="2:28" ht="15.6" x14ac:dyDescent="0.3">
      <c r="B78" s="1915" t="s">
        <v>1539</v>
      </c>
      <c r="C78" s="1916"/>
      <c r="D78" s="1917">
        <f>IFERROR(SUMPRODUCT(D79:D80,J79:J80)/J78,"")</f>
        <v>1224.5</v>
      </c>
      <c r="E78" s="1918" t="s">
        <v>1535</v>
      </c>
      <c r="F78" s="1952">
        <f>SUM(F79:F80)</f>
        <v>0</v>
      </c>
      <c r="G78" s="1953">
        <f>SUM(G79:G80)</f>
        <v>6</v>
      </c>
      <c r="H78" s="1953">
        <f>SUM(H79:H80)</f>
        <v>6</v>
      </c>
      <c r="I78" s="1925">
        <f>SUM(I79:I80)</f>
        <v>0</v>
      </c>
      <c r="J78" s="2020">
        <f>SUM(J79:J80)</f>
        <v>24</v>
      </c>
      <c r="K78" s="1923" t="s">
        <v>1536</v>
      </c>
      <c r="L78" s="1924">
        <f>SUM(L79:L80)</f>
        <v>0.1111111111111111</v>
      </c>
      <c r="M78" s="1925">
        <f>SUM(M79:M80)</f>
        <v>29388</v>
      </c>
      <c r="N78" s="2021"/>
      <c r="O78" s="2022">
        <f>SUM(O79:O80)</f>
        <v>0</v>
      </c>
      <c r="P78" s="1953">
        <f>SUM(P79:P80)</f>
        <v>7326</v>
      </c>
      <c r="Q78" s="1953">
        <f>SUM(Q79:Q80)</f>
        <v>7368</v>
      </c>
      <c r="R78" s="1925">
        <f>SUM(R79:R80)</f>
        <v>0</v>
      </c>
    </row>
    <row r="79" spans="2:28" ht="15.6" x14ac:dyDescent="0.3">
      <c r="B79" s="1978"/>
      <c r="C79" s="1979" t="s">
        <v>1503</v>
      </c>
      <c r="D79" s="1980">
        <f>DB7</f>
        <v>1207</v>
      </c>
      <c r="E79" s="1929" t="s">
        <v>1535</v>
      </c>
      <c r="F79" s="1930">
        <f>IFERROR(SUMPRODUCT(D$5:D$22,$DB$11:$DB$28),"")</f>
        <v>0</v>
      </c>
      <c r="G79" s="1931">
        <f>IFERROR(SUMPRODUCT(E$5:E$22,$DB$11:$DB$28),"")</f>
        <v>4</v>
      </c>
      <c r="H79" s="1931">
        <f>IFERROR(SUMPRODUCT(F$5:F$22,$DB$11:$DB$28),"")</f>
        <v>3</v>
      </c>
      <c r="I79" s="1932">
        <f>IFERROR(SUMPRODUCT(G$5:G$22,$DB$11:$DB$28),"")</f>
        <v>0</v>
      </c>
      <c r="J79" s="2029">
        <f>IFERROR(SUMPRODUCT(H5:H22,DB11:DB28),"")</f>
        <v>14</v>
      </c>
      <c r="K79" s="1955" t="s">
        <v>1536</v>
      </c>
      <c r="L79" s="1956">
        <f>J79/$J$50</f>
        <v>6.4814814814814811E-2</v>
      </c>
      <c r="M79" s="1936">
        <f>J79*D79</f>
        <v>16898</v>
      </c>
      <c r="N79" s="2076" t="s">
        <v>1503</v>
      </c>
      <c r="O79" s="2028">
        <f>F79*D79</f>
        <v>0</v>
      </c>
      <c r="P79" s="2024">
        <f>G79*D79</f>
        <v>4828</v>
      </c>
      <c r="Q79" s="2024">
        <f>H79*D79</f>
        <v>3621</v>
      </c>
      <c r="R79" s="2025">
        <f>I79*D79</f>
        <v>0</v>
      </c>
    </row>
    <row r="80" spans="2:28" ht="15.6" x14ac:dyDescent="0.3">
      <c r="B80" s="2077"/>
      <c r="C80" s="2078" t="s">
        <v>1504</v>
      </c>
      <c r="D80" s="2079">
        <f>DC7</f>
        <v>1249</v>
      </c>
      <c r="E80" s="1939" t="s">
        <v>1535</v>
      </c>
      <c r="F80" s="1930">
        <f>IFERROR(SUMPRODUCT(D$5:D$22,$DC$11:$DC$28),"")</f>
        <v>0</v>
      </c>
      <c r="G80" s="1931">
        <f>IFERROR(SUMPRODUCT(E$5:E$22,$DC$11:$DC$28),"")</f>
        <v>2</v>
      </c>
      <c r="H80" s="1931">
        <f>IFERROR(SUMPRODUCT(F$5:F$22,$DC$11:$DC$28),"")</f>
        <v>3</v>
      </c>
      <c r="I80" s="1932">
        <f>IFERROR(SUMPRODUCT(G$5:G$22,$DC$11:$DC$28),"")</f>
        <v>0</v>
      </c>
      <c r="J80" s="2029">
        <f>IFERROR(SUMPRODUCT(H5:H22,DC11:DC28),"")</f>
        <v>10</v>
      </c>
      <c r="K80" s="1934" t="s">
        <v>1536</v>
      </c>
      <c r="L80" s="1935">
        <f>J80/$J$50</f>
        <v>4.6296296296296294E-2</v>
      </c>
      <c r="M80" s="1941">
        <f>J80*D80</f>
        <v>12490</v>
      </c>
      <c r="N80" s="2080" t="s">
        <v>1504</v>
      </c>
      <c r="O80" s="2058">
        <f>F80*D80</f>
        <v>0</v>
      </c>
      <c r="P80" s="2059">
        <f>G80*D80</f>
        <v>2498</v>
      </c>
      <c r="Q80" s="2059">
        <f>H80*D80</f>
        <v>3747</v>
      </c>
      <c r="R80" s="2060">
        <f>I80*D80</f>
        <v>0</v>
      </c>
    </row>
    <row r="81" spans="2:18" ht="15.6" x14ac:dyDescent="0.3">
      <c r="B81" s="1943"/>
      <c r="C81" s="1944"/>
      <c r="D81" s="1945"/>
      <c r="E81" s="1946"/>
      <c r="F81" s="1947"/>
      <c r="G81" s="1948"/>
      <c r="H81" s="1948"/>
      <c r="I81" s="1949"/>
      <c r="J81" s="1943"/>
      <c r="K81" s="1983"/>
      <c r="L81" s="1944"/>
      <c r="M81" s="1984"/>
      <c r="N81" s="1943"/>
      <c r="O81" s="2062"/>
      <c r="P81" s="1948"/>
      <c r="Q81" s="1948"/>
      <c r="R81" s="1949"/>
    </row>
    <row r="82" spans="2:18" ht="15.6" x14ac:dyDescent="0.3">
      <c r="B82" s="1986" t="s">
        <v>1540</v>
      </c>
      <c r="C82" s="1916"/>
      <c r="D82" s="1917">
        <f>M82/J82</f>
        <v>848.42592592592598</v>
      </c>
      <c r="E82" s="1918" t="s">
        <v>1535</v>
      </c>
      <c r="F82" s="1952">
        <f>SUM(F60,F68,F78)</f>
        <v>48</v>
      </c>
      <c r="G82" s="1953">
        <f>SUM(G60,G68,G78)</f>
        <v>24</v>
      </c>
      <c r="H82" s="1953">
        <f>SUM(H60,H68,H78)</f>
        <v>36</v>
      </c>
      <c r="I82" s="1925">
        <f>SUM(I60,I68,I78)</f>
        <v>0</v>
      </c>
      <c r="J82" s="2020">
        <f>SUM(J60,J68,J78)</f>
        <v>216</v>
      </c>
      <c r="K82" s="1923" t="s">
        <v>1536</v>
      </c>
      <c r="L82" s="1924">
        <f>SUM(L60,L68,L78)</f>
        <v>1</v>
      </c>
      <c r="M82" s="1925">
        <f>SUM(M60,M68,M78)</f>
        <v>183260</v>
      </c>
      <c r="N82" s="2021" t="s">
        <v>1152</v>
      </c>
      <c r="O82" s="2022">
        <f>SUM(O60,O68,O78)</f>
        <v>38554</v>
      </c>
      <c r="P82" s="1953">
        <f>SUM(P60,P68,P78)</f>
        <v>21076</v>
      </c>
      <c r="Q82" s="1953">
        <f>SUM(Q60,Q68,Q78)</f>
        <v>32000</v>
      </c>
      <c r="R82" s="1925">
        <f>SUM(R60,R68,R78)</f>
        <v>0</v>
      </c>
    </row>
    <row r="83" spans="2:18" ht="15" thickBot="1" x14ac:dyDescent="0.35">
      <c r="B83" s="1990"/>
      <c r="C83" s="1991"/>
      <c r="D83" s="1860"/>
      <c r="E83" s="1861"/>
      <c r="F83" s="1990"/>
      <c r="G83" s="1860"/>
      <c r="H83" s="1860"/>
      <c r="I83" s="1861"/>
      <c r="J83" s="1990"/>
      <c r="K83" s="1991"/>
      <c r="L83" s="1991"/>
      <c r="M83" s="1861"/>
      <c r="N83" s="2081"/>
      <c r="O83" s="2082"/>
      <c r="P83" s="2083"/>
      <c r="Q83" s="2083"/>
      <c r="R83" s="2084"/>
    </row>
    <row r="84" spans="2:18" x14ac:dyDescent="0.3">
      <c r="N84" s="2085" t="s">
        <v>1544</v>
      </c>
      <c r="O84" s="2086">
        <f>IFERROR(SUMPRODUCT(D5:D22,$DM$11:$DM$28),0)</f>
        <v>3520</v>
      </c>
      <c r="P84" s="2087">
        <f>IFERROR(SUMPRODUCT(E5:E22,$DM$11:$DM$28),0)</f>
        <v>2090</v>
      </c>
      <c r="Q84" s="2087">
        <f>IFERROR(SUMPRODUCT(F5:F22,$DM$11:$DM$28),0)</f>
        <v>2475</v>
      </c>
      <c r="R84" s="2088">
        <f>IFERROR(SUMPRODUCT(G5:G22,$DM$11:$DM$28),0)</f>
        <v>0</v>
      </c>
    </row>
    <row r="85" spans="2:18" x14ac:dyDescent="0.3">
      <c r="N85" s="1789" t="s">
        <v>1545</v>
      </c>
      <c r="O85" s="2089">
        <f>IFERROR(SUMPRODUCT(D5:D22,$DN$11:$DN$28),0)</f>
        <v>840</v>
      </c>
      <c r="P85" s="2090">
        <f>IFERROR(SUMPRODUCT(E5:E22,$DN$11:$DN$28),0)</f>
        <v>420</v>
      </c>
      <c r="Q85" s="2090">
        <f>IFERROR(SUMPRODUCT(F5:F22,$DN$11:$DN$28),0)</f>
        <v>630</v>
      </c>
      <c r="R85" s="2091">
        <f>IFERROR(SUMPRODUCT(G5:G22,$DN$11:$DN$28),0)</f>
        <v>0</v>
      </c>
    </row>
    <row r="86" spans="2:18" ht="15" thickBot="1" x14ac:dyDescent="0.35">
      <c r="N86" s="2092" t="s">
        <v>1546</v>
      </c>
      <c r="O86" s="2093">
        <v>96</v>
      </c>
      <c r="P86" s="2094">
        <v>96</v>
      </c>
      <c r="Q86" s="2094">
        <v>96</v>
      </c>
      <c r="R86" s="2095">
        <v>96</v>
      </c>
    </row>
    <row r="87" spans="2:18" x14ac:dyDescent="0.3">
      <c r="N87" s="1746"/>
      <c r="O87" s="2096"/>
      <c r="P87" s="1992"/>
      <c r="Q87" s="1992"/>
      <c r="R87" s="2097"/>
    </row>
    <row r="88" spans="2:18" x14ac:dyDescent="0.3">
      <c r="N88" s="2098" t="s">
        <v>1152</v>
      </c>
      <c r="O88" s="2099">
        <f>SUM(O82,O84:O86)</f>
        <v>43010</v>
      </c>
      <c r="P88" s="2100">
        <f t="shared" ref="P88:R88" si="89">SUM(P82,P84:P86)</f>
        <v>23682</v>
      </c>
      <c r="Q88" s="2100">
        <f t="shared" si="89"/>
        <v>35201</v>
      </c>
      <c r="R88" s="2101">
        <f t="shared" si="89"/>
        <v>96</v>
      </c>
    </row>
    <row r="89" spans="2:18" ht="15" thickBot="1" x14ac:dyDescent="0.35">
      <c r="N89" s="1869"/>
      <c r="O89" s="2102"/>
      <c r="P89" s="2103"/>
      <c r="Q89" s="2103"/>
      <c r="R89" s="2104"/>
    </row>
    <row r="90" spans="2:18" ht="15" thickBot="1" x14ac:dyDescent="0.35"/>
    <row r="91" spans="2:18" ht="15.75" customHeight="1" x14ac:dyDescent="0.45">
      <c r="B91" s="2105"/>
      <c r="C91" s="2106"/>
      <c r="D91" s="2106"/>
      <c r="E91" s="2106"/>
      <c r="F91" s="2106"/>
      <c r="G91" s="2106"/>
      <c r="H91" s="2107"/>
      <c r="J91" s="2108"/>
      <c r="K91" s="2109"/>
      <c r="L91" s="2109"/>
      <c r="M91" s="2109"/>
      <c r="N91" s="2109"/>
      <c r="O91" s="2109"/>
      <c r="P91" s="2110"/>
    </row>
    <row r="92" spans="2:18" ht="15.75" customHeight="1" x14ac:dyDescent="0.4">
      <c r="B92" s="2111" t="s">
        <v>1547</v>
      </c>
      <c r="C92" s="2112"/>
      <c r="D92" s="2112"/>
      <c r="E92" s="2112"/>
      <c r="F92" s="2112"/>
      <c r="G92" s="2112"/>
      <c r="H92" s="2113"/>
      <c r="J92" s="2720" t="s">
        <v>1548</v>
      </c>
      <c r="K92" s="2721"/>
      <c r="L92" s="2721"/>
      <c r="M92" s="2721"/>
      <c r="N92" s="2721"/>
      <c r="O92" s="2721"/>
      <c r="P92" s="2722"/>
    </row>
    <row r="93" spans="2:18" ht="15.75" customHeight="1" thickBot="1" x14ac:dyDescent="0.5">
      <c r="B93" s="2114"/>
      <c r="C93" s="2115"/>
      <c r="D93" s="2115"/>
      <c r="E93" s="2115"/>
      <c r="F93" s="2115"/>
      <c r="G93" s="2115"/>
      <c r="H93" s="2116"/>
      <c r="J93" s="2117"/>
      <c r="K93" s="2118"/>
      <c r="L93" s="2118"/>
      <c r="M93" s="2118"/>
      <c r="N93" s="2118"/>
      <c r="O93" s="2118"/>
      <c r="P93" s="2119"/>
    </row>
    <row r="94" spans="2:18" ht="15.6" x14ac:dyDescent="0.3">
      <c r="B94" s="1898"/>
      <c r="C94" s="1899"/>
      <c r="D94" s="1899"/>
      <c r="E94" s="2120" t="s">
        <v>1549</v>
      </c>
      <c r="F94" s="2121"/>
      <c r="G94" s="1899"/>
      <c r="H94" s="1899"/>
      <c r="J94" s="1898"/>
      <c r="K94" s="1899"/>
      <c r="L94" s="1899"/>
      <c r="M94" s="2120" t="s">
        <v>1549</v>
      </c>
      <c r="N94" s="2121"/>
      <c r="O94" s="1899"/>
      <c r="P94" s="1902"/>
    </row>
    <row r="95" spans="2:18" ht="15.6" x14ac:dyDescent="0.3">
      <c r="B95" s="1905" t="s">
        <v>1550</v>
      </c>
      <c r="C95" s="1906" t="s">
        <v>1551</v>
      </c>
      <c r="D95" s="1906" t="s">
        <v>1154</v>
      </c>
      <c r="E95" s="2122" t="s">
        <v>1552</v>
      </c>
      <c r="F95" s="2123"/>
      <c r="G95" s="1906" t="s">
        <v>1533</v>
      </c>
      <c r="H95" s="1906"/>
      <c r="J95" s="1905" t="s">
        <v>1550</v>
      </c>
      <c r="K95" s="1906" t="s">
        <v>1551</v>
      </c>
      <c r="L95" s="1906" t="s">
        <v>1154</v>
      </c>
      <c r="M95" s="2122" t="s">
        <v>1552</v>
      </c>
      <c r="N95" s="2123"/>
      <c r="O95" s="1906" t="s">
        <v>1533</v>
      </c>
      <c r="P95" s="1910"/>
    </row>
    <row r="96" spans="2:18" ht="15.6" x14ac:dyDescent="0.3">
      <c r="B96" s="1915" t="s">
        <v>1553</v>
      </c>
      <c r="C96" s="1916">
        <f>SUM(C97:C100)</f>
        <v>0</v>
      </c>
      <c r="D96" s="1924">
        <f>SUM(D97:D98)</f>
        <v>0</v>
      </c>
      <c r="E96" s="1922">
        <f>IFERROR(G96/C96,0)</f>
        <v>0</v>
      </c>
      <c r="F96" s="2124" t="s">
        <v>1535</v>
      </c>
      <c r="G96" s="1920">
        <f>SUM(G97:G100)</f>
        <v>0</v>
      </c>
      <c r="H96" s="1918" t="s">
        <v>1535</v>
      </c>
      <c r="J96" s="1915" t="s">
        <v>1553</v>
      </c>
      <c r="K96" s="2125">
        <f>SUM(K97:K100)</f>
        <v>112</v>
      </c>
      <c r="L96" s="1924">
        <f>SUM(L97:L98)</f>
        <v>0</v>
      </c>
      <c r="M96" s="1922">
        <f>IFERROR(D37-E96,0)</f>
        <v>698.85714285714289</v>
      </c>
      <c r="N96" s="2124" t="s">
        <v>1535</v>
      </c>
      <c r="O96" s="1922">
        <f>M37-G96</f>
        <v>78272</v>
      </c>
      <c r="P96" s="1918" t="s">
        <v>1535</v>
      </c>
    </row>
    <row r="97" spans="2:16" ht="15.6" x14ac:dyDescent="0.3">
      <c r="B97" s="2126" t="s">
        <v>597</v>
      </c>
      <c r="C97" s="2127"/>
      <c r="D97" s="1935">
        <f>IFERROR(C97/$C$109,0)</f>
        <v>0</v>
      </c>
      <c r="E97" s="2128">
        <f>AVERAGE(D61:D62)</f>
        <v>656</v>
      </c>
      <c r="F97" s="2129" t="s">
        <v>1535</v>
      </c>
      <c r="G97" s="1931">
        <f>E97*C97</f>
        <v>0</v>
      </c>
      <c r="H97" s="1929" t="s">
        <v>1535</v>
      </c>
      <c r="J97" s="2126" t="s">
        <v>597</v>
      </c>
      <c r="K97" s="2130">
        <f>J38-C97</f>
        <v>40</v>
      </c>
      <c r="L97" s="1935">
        <f>IFERROR(K97/$C$109,0)</f>
        <v>0</v>
      </c>
      <c r="M97" s="1940">
        <f>D38-E97</f>
        <v>-16.799999999999955</v>
      </c>
      <c r="N97" s="2129" t="s">
        <v>1535</v>
      </c>
      <c r="O97" s="2129">
        <f>M38-G97</f>
        <v>25568</v>
      </c>
      <c r="P97" s="1929" t="s">
        <v>1535</v>
      </c>
    </row>
    <row r="98" spans="2:16" ht="15.6" x14ac:dyDescent="0.3">
      <c r="B98" s="2131" t="s">
        <v>1464</v>
      </c>
      <c r="C98" s="2127"/>
      <c r="D98" s="1935">
        <f>IFERROR(C98/$C$109,0)</f>
        <v>0</v>
      </c>
      <c r="E98" s="2128">
        <f>AVERAGE(D63:D64)</f>
        <v>746</v>
      </c>
      <c r="F98" s="2132" t="s">
        <v>1535</v>
      </c>
      <c r="G98" s="1931">
        <f>E98*C98</f>
        <v>0</v>
      </c>
      <c r="H98" s="1939" t="s">
        <v>1535</v>
      </c>
      <c r="J98" s="2131" t="s">
        <v>1464</v>
      </c>
      <c r="K98" s="2130">
        <f>J39-C98</f>
        <v>72</v>
      </c>
      <c r="L98" s="1935">
        <f>IFERROR(K98/$C$109,0)</f>
        <v>0</v>
      </c>
      <c r="M98" s="1940">
        <f>D39-E98</f>
        <v>-14</v>
      </c>
      <c r="N98" s="2132" t="s">
        <v>1535</v>
      </c>
      <c r="O98" s="2132">
        <f>M39-G98</f>
        <v>52704</v>
      </c>
      <c r="P98" s="1939" t="s">
        <v>1535</v>
      </c>
    </row>
    <row r="99" spans="2:16" ht="15.6" x14ac:dyDescent="0.3">
      <c r="B99" s="2133" t="s">
        <v>1465</v>
      </c>
      <c r="C99" s="2127"/>
      <c r="D99" s="1935">
        <f>IFERROR(C99/$C$109,0)</f>
        <v>0</v>
      </c>
      <c r="E99" s="2128">
        <f>AVERAGE(D65:D66)</f>
        <v>873</v>
      </c>
      <c r="F99" s="2132" t="s">
        <v>1535</v>
      </c>
      <c r="G99" s="1931">
        <f>E99*C99</f>
        <v>0</v>
      </c>
      <c r="H99" s="1939" t="s">
        <v>1535</v>
      </c>
      <c r="J99" s="2133" t="s">
        <v>1465</v>
      </c>
      <c r="K99" s="2130">
        <f>J40-C99</f>
        <v>0</v>
      </c>
      <c r="L99" s="1935">
        <f>IFERROR(K99/$C$109,0)</f>
        <v>0</v>
      </c>
      <c r="M99" s="1940">
        <f>D40-E99</f>
        <v>-873</v>
      </c>
      <c r="N99" s="2132" t="s">
        <v>1535</v>
      </c>
      <c r="O99" s="2132">
        <f>M40-G99</f>
        <v>0</v>
      </c>
      <c r="P99" s="1939" t="s">
        <v>1535</v>
      </c>
    </row>
    <row r="100" spans="2:16" ht="15.6" x14ac:dyDescent="0.3">
      <c r="B100" s="1943"/>
      <c r="C100" s="1944"/>
      <c r="D100" s="1950"/>
      <c r="E100" s="1944"/>
      <c r="F100" s="1944"/>
      <c r="G100" s="1948"/>
      <c r="H100" s="2134"/>
      <c r="J100" s="1943"/>
      <c r="K100" s="2135"/>
      <c r="L100" s="1950"/>
      <c r="M100" s="2136"/>
      <c r="N100" s="1944"/>
      <c r="O100" s="2136"/>
      <c r="P100" s="2134"/>
    </row>
    <row r="101" spans="2:16" ht="15.6" x14ac:dyDescent="0.3">
      <c r="B101" s="1915" t="s">
        <v>1554</v>
      </c>
      <c r="C101" s="1916">
        <f>SUM(C102:C105)</f>
        <v>0</v>
      </c>
      <c r="D101" s="1924">
        <f>SUM(D102:D104)</f>
        <v>0</v>
      </c>
      <c r="E101" s="1922">
        <f>IFERROR(G101/C101,0)</f>
        <v>0</v>
      </c>
      <c r="F101" s="2124" t="s">
        <v>1535</v>
      </c>
      <c r="G101" s="1953">
        <f>SUM(G102:G105)</f>
        <v>0</v>
      </c>
      <c r="H101" s="1918" t="s">
        <v>1535</v>
      </c>
      <c r="J101" s="1915" t="s">
        <v>1554</v>
      </c>
      <c r="K101" s="2125">
        <f>SUM(K102:K105)</f>
        <v>80</v>
      </c>
      <c r="L101" s="1924">
        <f>SUM(L102:L104)</f>
        <v>0</v>
      </c>
      <c r="M101" s="1922">
        <f>IFERROR(D42-E101,0)</f>
        <v>945</v>
      </c>
      <c r="N101" s="2124" t="s">
        <v>1535</v>
      </c>
      <c r="O101" s="1922">
        <f>M42-G101</f>
        <v>75600</v>
      </c>
      <c r="P101" s="1918" t="s">
        <v>1535</v>
      </c>
    </row>
    <row r="102" spans="2:16" ht="15.6" x14ac:dyDescent="0.3">
      <c r="B102" s="2137" t="s">
        <v>1466</v>
      </c>
      <c r="C102" s="2127"/>
      <c r="D102" s="1935">
        <f>IFERROR(C102/$C$109,0)</f>
        <v>0</v>
      </c>
      <c r="E102" s="2128">
        <f>AVERAGE(D69:D70)</f>
        <v>873</v>
      </c>
      <c r="F102" s="2129" t="s">
        <v>1535</v>
      </c>
      <c r="G102" s="1931">
        <f t="shared" ref="G102:G104" si="90">E102*C102</f>
        <v>0</v>
      </c>
      <c r="H102" s="1929" t="s">
        <v>1535</v>
      </c>
      <c r="J102" s="2137" t="s">
        <v>1466</v>
      </c>
      <c r="K102" s="2130">
        <f>J43-C102</f>
        <v>24</v>
      </c>
      <c r="L102" s="1935">
        <f>IFERROR(K102/$C$109,0)</f>
        <v>0</v>
      </c>
      <c r="M102" s="1940">
        <f>D43-E102</f>
        <v>0</v>
      </c>
      <c r="N102" s="2129" t="s">
        <v>1535</v>
      </c>
      <c r="O102" s="2129">
        <f>M43-G102</f>
        <v>20952</v>
      </c>
      <c r="P102" s="1929" t="s">
        <v>1535</v>
      </c>
    </row>
    <row r="103" spans="2:16" ht="15.6" x14ac:dyDescent="0.3">
      <c r="B103" s="2138" t="s">
        <v>1467</v>
      </c>
      <c r="C103" s="2127"/>
      <c r="D103" s="1935">
        <f>IFERROR(C103/$C$109,0)</f>
        <v>0</v>
      </c>
      <c r="E103" s="2128">
        <f>AVERAGE(D71:D73)</f>
        <v>965.33333333333337</v>
      </c>
      <c r="F103" s="2132" t="s">
        <v>1535</v>
      </c>
      <c r="G103" s="1931">
        <f t="shared" si="90"/>
        <v>0</v>
      </c>
      <c r="H103" s="1939" t="s">
        <v>1535</v>
      </c>
      <c r="J103" s="2138" t="s">
        <v>1467</v>
      </c>
      <c r="K103" s="2130">
        <f>J44-C103</f>
        <v>32</v>
      </c>
      <c r="L103" s="1935">
        <f>IFERROR(K103/$C$109,0)</f>
        <v>0</v>
      </c>
      <c r="M103" s="1940">
        <f>D44-E103</f>
        <v>-18.083333333333371</v>
      </c>
      <c r="N103" s="2132" t="s">
        <v>1535</v>
      </c>
      <c r="O103" s="2132">
        <f>M44-G103</f>
        <v>30312</v>
      </c>
      <c r="P103" s="1939" t="s">
        <v>1535</v>
      </c>
    </row>
    <row r="104" spans="2:16" ht="15.6" x14ac:dyDescent="0.3">
      <c r="B104" s="2139" t="s">
        <v>1468</v>
      </c>
      <c r="C104" s="2127"/>
      <c r="D104" s="1935">
        <f>IFERROR(C104/$C$109,0)</f>
        <v>0</v>
      </c>
      <c r="E104" s="2128">
        <f>AVERAGE(D74:D76)</f>
        <v>1055.3333333333333</v>
      </c>
      <c r="F104" s="2132" t="s">
        <v>1535</v>
      </c>
      <c r="G104" s="1931">
        <f t="shared" si="90"/>
        <v>0</v>
      </c>
      <c r="H104" s="1939" t="s">
        <v>1535</v>
      </c>
      <c r="J104" s="2139" t="s">
        <v>1468</v>
      </c>
      <c r="K104" s="2130">
        <f>J45-C104</f>
        <v>24</v>
      </c>
      <c r="L104" s="1935">
        <f>IFERROR(K104/$C$109,0)</f>
        <v>0</v>
      </c>
      <c r="M104" s="1940">
        <f>D45-E104</f>
        <v>-41.333333333333258</v>
      </c>
      <c r="N104" s="2132" t="s">
        <v>1535</v>
      </c>
      <c r="O104" s="2132">
        <f>M45-G104</f>
        <v>24336</v>
      </c>
      <c r="P104" s="1939" t="s">
        <v>1535</v>
      </c>
    </row>
    <row r="105" spans="2:16" ht="15.6" x14ac:dyDescent="0.3">
      <c r="B105" s="1969"/>
      <c r="C105" s="1970"/>
      <c r="D105" s="1975"/>
      <c r="E105" s="2140"/>
      <c r="F105" s="2141"/>
      <c r="G105" s="1931"/>
      <c r="H105" s="1972"/>
      <c r="J105" s="1969"/>
      <c r="K105" s="2135"/>
      <c r="L105" s="1975"/>
      <c r="M105" s="1973"/>
      <c r="N105" s="2141"/>
      <c r="O105" s="2141"/>
      <c r="P105" s="1972"/>
    </row>
    <row r="106" spans="2:16" ht="15.6" x14ac:dyDescent="0.3">
      <c r="B106" s="1915" t="s">
        <v>1555</v>
      </c>
      <c r="C106" s="1916">
        <f>SUM(C107:C108)</f>
        <v>0</v>
      </c>
      <c r="D106" s="1924">
        <f>SUM(D107)</f>
        <v>0</v>
      </c>
      <c r="E106" s="1922">
        <f>IFERROR(G106/C106,0)</f>
        <v>0</v>
      </c>
      <c r="F106" s="2124" t="s">
        <v>1535</v>
      </c>
      <c r="G106" s="1953">
        <f>SUM(G107:G108)</f>
        <v>0</v>
      </c>
      <c r="H106" s="1918" t="s">
        <v>1535</v>
      </c>
      <c r="J106" s="1915" t="s">
        <v>1555</v>
      </c>
      <c r="K106" s="2125">
        <f>SUM(K107:K108)</f>
        <v>24</v>
      </c>
      <c r="L106" s="1924">
        <f>SUM(L107)</f>
        <v>0</v>
      </c>
      <c r="M106" s="1922">
        <f>IFERROR(D47-E106,0)</f>
        <v>1224.5</v>
      </c>
      <c r="N106" s="2124" t="s">
        <v>1535</v>
      </c>
      <c r="O106" s="1922">
        <f>M47-G106</f>
        <v>29388</v>
      </c>
      <c r="P106" s="1918" t="s">
        <v>1535</v>
      </c>
    </row>
    <row r="107" spans="2:16" ht="15.6" x14ac:dyDescent="0.3">
      <c r="B107" s="2076" t="s">
        <v>1469</v>
      </c>
      <c r="C107" s="2127"/>
      <c r="D107" s="1935">
        <f>IFERROR(C107/$C$109,0)</f>
        <v>0</v>
      </c>
      <c r="E107" s="2128">
        <f>AVERAGE(D79:D80)</f>
        <v>1228</v>
      </c>
      <c r="F107" s="2129" t="s">
        <v>1535</v>
      </c>
      <c r="G107" s="1931">
        <f>E107*C107</f>
        <v>0</v>
      </c>
      <c r="H107" s="1929" t="s">
        <v>1535</v>
      </c>
      <c r="J107" s="2076" t="s">
        <v>1469</v>
      </c>
      <c r="K107" s="2130">
        <f>J48-C107</f>
        <v>24</v>
      </c>
      <c r="L107" s="1935">
        <f>IFERROR(K107/$C$109,0)</f>
        <v>0</v>
      </c>
      <c r="M107" s="1940">
        <f>D48-E107</f>
        <v>-3.5</v>
      </c>
      <c r="N107" s="2129" t="s">
        <v>1535</v>
      </c>
      <c r="O107" s="2129">
        <f>M48-G107</f>
        <v>29388</v>
      </c>
      <c r="P107" s="1929" t="s">
        <v>1535</v>
      </c>
    </row>
    <row r="108" spans="2:16" ht="15.6" x14ac:dyDescent="0.3">
      <c r="B108" s="1943"/>
      <c r="C108" s="1944"/>
      <c r="D108" s="1944"/>
      <c r="E108" s="1944"/>
      <c r="F108" s="1944"/>
      <c r="G108" s="1948"/>
      <c r="H108" s="2134"/>
      <c r="J108" s="1943"/>
      <c r="K108" s="2135"/>
      <c r="L108" s="1944"/>
      <c r="M108" s="2136"/>
      <c r="N108" s="1944"/>
      <c r="O108" s="2136"/>
      <c r="P108" s="2134"/>
    </row>
    <row r="109" spans="2:16" ht="15.6" x14ac:dyDescent="0.3">
      <c r="B109" s="1986" t="s">
        <v>1152</v>
      </c>
      <c r="C109" s="2142">
        <f>C106+C101+C96</f>
        <v>0</v>
      </c>
      <c r="D109" s="1924">
        <f>SUM(D96,D101,D106)</f>
        <v>0</v>
      </c>
      <c r="E109" s="1922">
        <f>IFERROR(G109/C109,0)</f>
        <v>0</v>
      </c>
      <c r="F109" s="2124" t="s">
        <v>1535</v>
      </c>
      <c r="G109" s="1953">
        <f>SUM(G96,G101,G106)</f>
        <v>0</v>
      </c>
      <c r="H109" s="1918" t="s">
        <v>1535</v>
      </c>
      <c r="J109" s="1986" t="s">
        <v>1152</v>
      </c>
      <c r="K109" s="2125">
        <f>SUM(K96,K101,K106)</f>
        <v>216</v>
      </c>
      <c r="L109" s="1924"/>
      <c r="M109" s="1922">
        <f>D50-E109</f>
        <v>848.42592592592598</v>
      </c>
      <c r="N109" s="2124" t="s">
        <v>1535</v>
      </c>
      <c r="O109" s="1922">
        <f>M50-G109</f>
        <v>183260</v>
      </c>
      <c r="P109" s="1918" t="s">
        <v>1535</v>
      </c>
    </row>
    <row r="110" spans="2:16" ht="15" thickBot="1" x14ac:dyDescent="0.35">
      <c r="B110" s="1990"/>
      <c r="C110" s="1991"/>
      <c r="D110" s="1991"/>
      <c r="E110" s="1860"/>
      <c r="F110" s="1860"/>
      <c r="G110" s="1860"/>
      <c r="H110" s="1861"/>
      <c r="J110" s="1990"/>
      <c r="K110" s="1991"/>
      <c r="L110" s="1991"/>
      <c r="M110" s="1860"/>
      <c r="N110" s="1860"/>
      <c r="O110" s="2143"/>
      <c r="P110" s="1861"/>
    </row>
    <row r="113" spans="10:242" hidden="1" outlineLevel="1" x14ac:dyDescent="0.3">
      <c r="AA113" t="s">
        <v>1556</v>
      </c>
      <c r="AB113" t="s">
        <v>1557</v>
      </c>
    </row>
    <row r="114" spans="10:242" customFormat="1" hidden="1" outlineLevel="1" x14ac:dyDescent="0.3">
      <c r="Z114" s="351" t="s">
        <v>1470</v>
      </c>
      <c r="AA114">
        <v>5</v>
      </c>
      <c r="AB114">
        <v>3</v>
      </c>
    </row>
    <row r="115" spans="10:242" customFormat="1" hidden="1" outlineLevel="1" x14ac:dyDescent="0.3">
      <c r="Z115" s="351" t="s">
        <v>1558</v>
      </c>
      <c r="AA115">
        <v>5</v>
      </c>
      <c r="AB115">
        <v>2</v>
      </c>
    </row>
    <row r="116" spans="10:242" customFormat="1" hidden="1" outlineLevel="1" x14ac:dyDescent="0.3">
      <c r="Z116" s="351" t="s">
        <v>1471</v>
      </c>
      <c r="AA116">
        <v>5</v>
      </c>
      <c r="AB116">
        <v>3</v>
      </c>
    </row>
    <row r="117" spans="10:242" customFormat="1" hidden="1" outlineLevel="1" x14ac:dyDescent="0.3">
      <c r="Z117" s="351" t="s">
        <v>1559</v>
      </c>
      <c r="AA117">
        <v>5</v>
      </c>
      <c r="AB117">
        <v>2</v>
      </c>
    </row>
    <row r="118" spans="10:242" customFormat="1" hidden="1" outlineLevel="1" x14ac:dyDescent="0.3">
      <c r="Z118" s="351" t="s">
        <v>1472</v>
      </c>
      <c r="AA118">
        <v>5</v>
      </c>
      <c r="AB118">
        <v>2</v>
      </c>
    </row>
    <row r="119" spans="10:242" hidden="1" outlineLevel="1" x14ac:dyDescent="0.3">
      <c r="J119" s="1509"/>
      <c r="Z119" s="351" t="s">
        <v>1560</v>
      </c>
      <c r="AA119">
        <v>5</v>
      </c>
      <c r="AB119">
        <v>2</v>
      </c>
      <c r="AZ119" s="2144" t="s">
        <v>1470</v>
      </c>
      <c r="BA119" s="1719" t="s">
        <v>1470</v>
      </c>
      <c r="BB119" s="1719" t="s">
        <v>1470</v>
      </c>
      <c r="BC119" s="1719" t="s">
        <v>1470</v>
      </c>
      <c r="BD119" s="1720" t="s">
        <v>1470</v>
      </c>
      <c r="BE119" s="273"/>
      <c r="BF119" s="2144" t="s">
        <v>1558</v>
      </c>
      <c r="BG119" s="2144" t="s">
        <v>1558</v>
      </c>
      <c r="BH119" s="2144" t="s">
        <v>1558</v>
      </c>
      <c r="BI119" s="2144" t="s">
        <v>1558</v>
      </c>
      <c r="BJ119" s="2144" t="s">
        <v>1558</v>
      </c>
      <c r="BL119" s="2144" t="s">
        <v>1471</v>
      </c>
      <c r="BM119" s="1719" t="s">
        <v>1471</v>
      </c>
      <c r="BN119" s="1719" t="s">
        <v>1471</v>
      </c>
      <c r="BO119" s="1719" t="s">
        <v>1471</v>
      </c>
      <c r="BP119" s="1720" t="s">
        <v>1471</v>
      </c>
      <c r="BR119" s="2144" t="s">
        <v>1559</v>
      </c>
      <c r="BS119" s="2144" t="s">
        <v>1559</v>
      </c>
      <c r="BT119" s="2144" t="s">
        <v>1559</v>
      </c>
      <c r="BU119" s="2144" t="s">
        <v>1559</v>
      </c>
      <c r="BV119" s="2144" t="s">
        <v>1559</v>
      </c>
      <c r="BX119" s="2144" t="s">
        <v>1483</v>
      </c>
      <c r="BY119" s="1719" t="s">
        <v>1483</v>
      </c>
      <c r="BZ119" s="1719" t="s">
        <v>1483</v>
      </c>
      <c r="CA119" s="1719" t="s">
        <v>1483</v>
      </c>
      <c r="CB119" s="1720" t="s">
        <v>1483</v>
      </c>
      <c r="CD119" s="2144" t="s">
        <v>1561</v>
      </c>
      <c r="CE119" s="1719" t="s">
        <v>1561</v>
      </c>
      <c r="CF119" s="1719" t="s">
        <v>1561</v>
      </c>
      <c r="CG119" s="1719" t="s">
        <v>1561</v>
      </c>
      <c r="CH119" s="1720" t="s">
        <v>1561</v>
      </c>
      <c r="CJ119" s="2144" t="s">
        <v>1486</v>
      </c>
      <c r="CK119" s="1719" t="s">
        <v>1486</v>
      </c>
      <c r="CL119" s="1719" t="s">
        <v>1486</v>
      </c>
      <c r="CM119" s="1719" t="s">
        <v>1486</v>
      </c>
      <c r="CN119" s="1720" t="s">
        <v>1486</v>
      </c>
      <c r="CP119" s="2144" t="s">
        <v>1562</v>
      </c>
      <c r="CQ119" s="1719" t="s">
        <v>1562</v>
      </c>
      <c r="CR119" s="1719" t="s">
        <v>1562</v>
      </c>
      <c r="CS119" s="1719" t="s">
        <v>1562</v>
      </c>
      <c r="CT119" s="1720" t="s">
        <v>1562</v>
      </c>
      <c r="CV119" s="2144" t="s">
        <v>1476</v>
      </c>
      <c r="CW119" s="1719" t="s">
        <v>1476</v>
      </c>
      <c r="CX119" s="1719" t="s">
        <v>1476</v>
      </c>
      <c r="CY119" s="1719" t="s">
        <v>1476</v>
      </c>
      <c r="CZ119" s="1719" t="s">
        <v>1476</v>
      </c>
      <c r="DA119" s="1720" t="s">
        <v>1476</v>
      </c>
      <c r="DC119" s="2144" t="s">
        <v>1563</v>
      </c>
      <c r="DD119" s="1719" t="s">
        <v>1563</v>
      </c>
      <c r="DE119" s="1719" t="s">
        <v>1563</v>
      </c>
      <c r="DF119" s="1719" t="s">
        <v>1563</v>
      </c>
      <c r="DG119" s="1719" t="s">
        <v>1563</v>
      </c>
      <c r="DH119" s="1720" t="s">
        <v>1563</v>
      </c>
      <c r="DJ119" s="2144" t="s">
        <v>1507</v>
      </c>
      <c r="DK119" s="1719" t="s">
        <v>1507</v>
      </c>
      <c r="DL119" s="1719" t="s">
        <v>1507</v>
      </c>
      <c r="DM119" s="1719" t="s">
        <v>1507</v>
      </c>
      <c r="DN119" s="1719" t="s">
        <v>1507</v>
      </c>
      <c r="DO119" s="1720" t="s">
        <v>1507</v>
      </c>
      <c r="DQ119" s="2144" t="s">
        <v>1564</v>
      </c>
      <c r="DR119" s="1719" t="s">
        <v>1564</v>
      </c>
      <c r="DS119" s="1719" t="s">
        <v>1564</v>
      </c>
      <c r="DT119" s="1719" t="s">
        <v>1564</v>
      </c>
      <c r="DU119" s="1719" t="s">
        <v>1564</v>
      </c>
      <c r="DV119" s="1720" t="s">
        <v>1564</v>
      </c>
      <c r="DX119" s="2144" t="s">
        <v>1509</v>
      </c>
      <c r="DY119" s="1719" t="s">
        <v>1509</v>
      </c>
      <c r="DZ119" s="1719" t="s">
        <v>1509</v>
      </c>
      <c r="EA119" s="1719" t="s">
        <v>1509</v>
      </c>
      <c r="EB119" s="1719" t="s">
        <v>1509</v>
      </c>
      <c r="EC119" s="1720" t="s">
        <v>1509</v>
      </c>
      <c r="EE119" s="2144" t="s">
        <v>1565</v>
      </c>
      <c r="EF119" s="1719" t="s">
        <v>1565</v>
      </c>
      <c r="EG119" s="1719" t="s">
        <v>1565</v>
      </c>
      <c r="EH119" s="1719" t="s">
        <v>1565</v>
      </c>
      <c r="EI119" s="1719" t="s">
        <v>1565</v>
      </c>
      <c r="EJ119" s="1720" t="s">
        <v>1565</v>
      </c>
      <c r="EL119" s="2144" t="s">
        <v>1510</v>
      </c>
      <c r="EM119" s="1719" t="s">
        <v>1510</v>
      </c>
      <c r="EN119" s="1719" t="s">
        <v>1510</v>
      </c>
      <c r="EO119" s="1719" t="s">
        <v>1510</v>
      </c>
      <c r="EP119" s="1719" t="s">
        <v>1510</v>
      </c>
      <c r="EQ119" s="1720" t="s">
        <v>1510</v>
      </c>
      <c r="ES119" s="2144" t="s">
        <v>1566</v>
      </c>
      <c r="ET119" s="1719" t="s">
        <v>1566</v>
      </c>
      <c r="EU119" s="1719" t="s">
        <v>1566</v>
      </c>
      <c r="EV119" s="1719" t="s">
        <v>1566</v>
      </c>
      <c r="EW119" s="1719" t="s">
        <v>1566</v>
      </c>
      <c r="EX119" s="1720" t="s">
        <v>1566</v>
      </c>
      <c r="EZ119" s="2144" t="s">
        <v>1477</v>
      </c>
      <c r="FA119" s="1719" t="s">
        <v>1477</v>
      </c>
      <c r="FB119" s="1719" t="s">
        <v>1477</v>
      </c>
      <c r="FC119" s="1719" t="s">
        <v>1477</v>
      </c>
      <c r="FD119" s="1719" t="s">
        <v>1477</v>
      </c>
      <c r="FE119" s="1720" t="s">
        <v>1477</v>
      </c>
      <c r="FG119" s="2144" t="s">
        <v>1567</v>
      </c>
      <c r="FH119" s="1719" t="s">
        <v>1567</v>
      </c>
      <c r="FI119" s="1719" t="s">
        <v>1567</v>
      </c>
      <c r="FJ119" s="1719" t="s">
        <v>1567</v>
      </c>
      <c r="FK119" s="1719" t="s">
        <v>1567</v>
      </c>
      <c r="FL119" s="1720" t="s">
        <v>1567</v>
      </c>
      <c r="FN119" s="2144" t="s">
        <v>1513</v>
      </c>
      <c r="FO119" s="1719" t="s">
        <v>1513</v>
      </c>
      <c r="FP119" s="1719" t="s">
        <v>1513</v>
      </c>
      <c r="FQ119" s="1719" t="s">
        <v>1513</v>
      </c>
      <c r="FR119" s="1719" t="s">
        <v>1513</v>
      </c>
      <c r="FS119" s="1720" t="s">
        <v>1513</v>
      </c>
      <c r="FU119" s="2144" t="s">
        <v>1568</v>
      </c>
      <c r="FV119" s="1719" t="s">
        <v>1568</v>
      </c>
      <c r="FW119" s="1719" t="s">
        <v>1568</v>
      </c>
      <c r="FX119" s="1719" t="s">
        <v>1568</v>
      </c>
      <c r="FY119" s="1719" t="s">
        <v>1568</v>
      </c>
      <c r="FZ119" s="1720" t="s">
        <v>1568</v>
      </c>
      <c r="GB119" s="2144" t="s">
        <v>1569</v>
      </c>
      <c r="GC119" s="1719" t="s">
        <v>1569</v>
      </c>
      <c r="GD119" s="1719" t="s">
        <v>1569</v>
      </c>
      <c r="GE119" s="1719" t="s">
        <v>1569</v>
      </c>
      <c r="GF119" s="1719" t="s">
        <v>1569</v>
      </c>
      <c r="GG119" s="1720" t="s">
        <v>1569</v>
      </c>
      <c r="GI119" s="2144" t="s">
        <v>1570</v>
      </c>
      <c r="GJ119" s="1719" t="s">
        <v>1570</v>
      </c>
      <c r="GK119" s="1719" t="s">
        <v>1570</v>
      </c>
      <c r="GL119" s="1719" t="s">
        <v>1570</v>
      </c>
      <c r="GM119" s="1719" t="s">
        <v>1570</v>
      </c>
      <c r="GN119" s="1720" t="s">
        <v>1570</v>
      </c>
      <c r="GP119" s="2144" t="s">
        <v>1571</v>
      </c>
      <c r="GQ119" s="1719" t="s">
        <v>1571</v>
      </c>
      <c r="GR119" s="1719" t="s">
        <v>1571</v>
      </c>
      <c r="GS119" s="1719" t="s">
        <v>1571</v>
      </c>
      <c r="GT119" s="1719" t="s">
        <v>1571</v>
      </c>
      <c r="GU119" s="1720" t="s">
        <v>1571</v>
      </c>
      <c r="GW119" s="2144" t="s">
        <v>1572</v>
      </c>
      <c r="GX119" s="1719" t="s">
        <v>1572</v>
      </c>
      <c r="GY119" s="1719" t="s">
        <v>1572</v>
      </c>
      <c r="GZ119" s="1719" t="s">
        <v>1572</v>
      </c>
      <c r="HA119" s="1719" t="s">
        <v>1572</v>
      </c>
      <c r="HB119" s="1720" t="s">
        <v>1572</v>
      </c>
      <c r="HD119" s="2144" t="s">
        <v>1515</v>
      </c>
      <c r="HE119" s="2144" t="s">
        <v>1515</v>
      </c>
      <c r="HF119" s="2144" t="s">
        <v>1515</v>
      </c>
      <c r="HG119" s="2144" t="s">
        <v>1515</v>
      </c>
      <c r="HH119" s="2144" t="s">
        <v>1515</v>
      </c>
      <c r="HI119" s="2144" t="s">
        <v>1515</v>
      </c>
      <c r="HJ119" s="2144" t="s">
        <v>1515</v>
      </c>
      <c r="HL119" s="2144" t="s">
        <v>1573</v>
      </c>
      <c r="HM119" s="2144" t="s">
        <v>1573</v>
      </c>
      <c r="HN119" s="2144" t="s">
        <v>1573</v>
      </c>
      <c r="HO119" s="2144" t="s">
        <v>1573</v>
      </c>
      <c r="HP119" s="2144" t="s">
        <v>1573</v>
      </c>
      <c r="HQ119" s="2144" t="s">
        <v>1573</v>
      </c>
      <c r="HR119" s="2144" t="s">
        <v>1573</v>
      </c>
      <c r="HT119" s="2144" t="s">
        <v>1516</v>
      </c>
      <c r="HU119" s="2144" t="s">
        <v>1516</v>
      </c>
      <c r="HV119" s="2144" t="s">
        <v>1516</v>
      </c>
      <c r="HW119" s="2144" t="s">
        <v>1516</v>
      </c>
      <c r="HX119" s="2144" t="s">
        <v>1516</v>
      </c>
      <c r="HY119" s="2144" t="s">
        <v>1516</v>
      </c>
      <c r="HZ119" s="2144" t="s">
        <v>1516</v>
      </c>
      <c r="IB119" s="2144" t="s">
        <v>1574</v>
      </c>
      <c r="IC119" s="2144" t="s">
        <v>1574</v>
      </c>
      <c r="ID119" s="2144" t="s">
        <v>1574</v>
      </c>
      <c r="IE119" s="2144" t="s">
        <v>1574</v>
      </c>
      <c r="IF119" s="2144" t="s">
        <v>1574</v>
      </c>
      <c r="IG119" s="2144" t="s">
        <v>1574</v>
      </c>
      <c r="IH119" s="2144" t="s">
        <v>1574</v>
      </c>
    </row>
    <row r="120" spans="10:242" hidden="1" outlineLevel="1" x14ac:dyDescent="0.3">
      <c r="Z120" s="351" t="s">
        <v>1483</v>
      </c>
      <c r="AA120">
        <v>5</v>
      </c>
      <c r="AB120">
        <v>3</v>
      </c>
      <c r="AZ120" s="1714">
        <v>1</v>
      </c>
      <c r="BA120" s="273">
        <v>2</v>
      </c>
      <c r="BB120" s="273">
        <v>3</v>
      </c>
      <c r="BC120" s="273">
        <v>4</v>
      </c>
      <c r="BD120" s="273">
        <v>5</v>
      </c>
      <c r="BE120" s="273"/>
      <c r="BF120" s="1714">
        <v>1</v>
      </c>
      <c r="BG120" s="273">
        <v>2</v>
      </c>
      <c r="BH120" s="273">
        <v>3</v>
      </c>
      <c r="BI120" s="273">
        <v>4</v>
      </c>
      <c r="BJ120" s="273">
        <v>5</v>
      </c>
      <c r="BL120" s="1714">
        <v>1</v>
      </c>
      <c r="BM120" s="273">
        <v>2</v>
      </c>
      <c r="BN120" s="273">
        <v>3</v>
      </c>
      <c r="BO120" s="273">
        <v>4</v>
      </c>
      <c r="BP120" s="273">
        <v>5</v>
      </c>
      <c r="BR120" s="1714">
        <v>1</v>
      </c>
      <c r="BS120" s="273">
        <v>2</v>
      </c>
      <c r="BT120" s="273">
        <v>3</v>
      </c>
      <c r="BU120" s="273">
        <v>4</v>
      </c>
      <c r="BV120" s="273">
        <v>5</v>
      </c>
      <c r="BX120" s="1714">
        <v>1</v>
      </c>
      <c r="BY120" s="273">
        <v>2</v>
      </c>
      <c r="BZ120" s="273">
        <v>3</v>
      </c>
      <c r="CA120" s="273">
        <v>4</v>
      </c>
      <c r="CB120" s="273">
        <v>5</v>
      </c>
      <c r="CD120" s="1714">
        <v>1</v>
      </c>
      <c r="CE120" s="273">
        <v>2</v>
      </c>
      <c r="CF120" s="273">
        <v>3</v>
      </c>
      <c r="CG120" s="273">
        <v>4</v>
      </c>
      <c r="CH120" s="273">
        <v>5</v>
      </c>
      <c r="CJ120" s="1714">
        <v>1</v>
      </c>
      <c r="CK120" s="273">
        <v>2</v>
      </c>
      <c r="CL120" s="273">
        <v>3</v>
      </c>
      <c r="CM120" s="273">
        <v>4</v>
      </c>
      <c r="CN120" s="273">
        <v>5</v>
      </c>
      <c r="CP120" s="1714">
        <v>1</v>
      </c>
      <c r="CQ120" s="273">
        <v>2</v>
      </c>
      <c r="CR120" s="273">
        <v>3</v>
      </c>
      <c r="CS120" s="273">
        <v>4</v>
      </c>
      <c r="CT120" s="273">
        <v>5</v>
      </c>
      <c r="CV120" s="1714">
        <v>1</v>
      </c>
      <c r="CW120" s="273">
        <v>2</v>
      </c>
      <c r="CX120" s="273">
        <v>3</v>
      </c>
      <c r="CY120" s="273">
        <v>4</v>
      </c>
      <c r="CZ120" s="273">
        <v>5</v>
      </c>
      <c r="DA120" s="273">
        <v>6</v>
      </c>
      <c r="DC120" s="1714">
        <v>1</v>
      </c>
      <c r="DD120" s="273">
        <v>2</v>
      </c>
      <c r="DE120" s="273">
        <v>3</v>
      </c>
      <c r="DF120" s="273">
        <v>4</v>
      </c>
      <c r="DG120" s="273">
        <v>5</v>
      </c>
      <c r="DH120" s="273">
        <v>6</v>
      </c>
      <c r="DJ120" s="1714">
        <v>1</v>
      </c>
      <c r="DK120" s="273">
        <v>2</v>
      </c>
      <c r="DL120" s="273">
        <v>3</v>
      </c>
      <c r="DM120" s="273">
        <v>4</v>
      </c>
      <c r="DN120" s="273">
        <v>5</v>
      </c>
      <c r="DO120" s="273">
        <v>6</v>
      </c>
      <c r="DQ120" s="1714">
        <v>1</v>
      </c>
      <c r="DR120" s="273">
        <v>2</v>
      </c>
      <c r="DS120" s="273">
        <v>3</v>
      </c>
      <c r="DT120" s="273">
        <v>4</v>
      </c>
      <c r="DU120" s="273">
        <v>5</v>
      </c>
      <c r="DV120" s="273">
        <v>6</v>
      </c>
      <c r="DX120" s="1714">
        <v>1</v>
      </c>
      <c r="DY120" s="273">
        <v>2</v>
      </c>
      <c r="DZ120" s="273">
        <v>3</v>
      </c>
      <c r="EA120" s="273">
        <v>4</v>
      </c>
      <c r="EB120" s="273">
        <v>5</v>
      </c>
      <c r="EC120" s="273">
        <v>6</v>
      </c>
      <c r="EE120" s="1714">
        <v>1</v>
      </c>
      <c r="EF120" s="273">
        <v>2</v>
      </c>
      <c r="EG120" s="273">
        <v>3</v>
      </c>
      <c r="EH120" s="273">
        <v>4</v>
      </c>
      <c r="EI120" s="273">
        <v>5</v>
      </c>
      <c r="EJ120" s="273">
        <v>6</v>
      </c>
      <c r="EL120" s="1714">
        <v>1</v>
      </c>
      <c r="EM120" s="273">
        <v>2</v>
      </c>
      <c r="EN120" s="273">
        <v>3</v>
      </c>
      <c r="EO120" s="273">
        <v>4</v>
      </c>
      <c r="EP120" s="273">
        <v>5</v>
      </c>
      <c r="EQ120" s="273">
        <v>6</v>
      </c>
      <c r="ES120" s="1714">
        <v>1</v>
      </c>
      <c r="ET120" s="273">
        <v>2</v>
      </c>
      <c r="EU120" s="273">
        <v>3</v>
      </c>
      <c r="EV120" s="273">
        <v>4</v>
      </c>
      <c r="EW120" s="273">
        <v>5</v>
      </c>
      <c r="EX120" s="273">
        <v>6</v>
      </c>
      <c r="EZ120" s="1714">
        <v>1</v>
      </c>
      <c r="FA120" s="273">
        <v>2</v>
      </c>
      <c r="FB120" s="273">
        <v>3</v>
      </c>
      <c r="FC120" s="273">
        <v>4</v>
      </c>
      <c r="FD120" s="273">
        <v>5</v>
      </c>
      <c r="FE120" s="273">
        <v>6</v>
      </c>
      <c r="FG120" s="1714">
        <v>1</v>
      </c>
      <c r="FH120" s="273">
        <v>2</v>
      </c>
      <c r="FI120" s="2145">
        <v>3</v>
      </c>
      <c r="FJ120" s="2145">
        <v>4</v>
      </c>
      <c r="FK120" s="2145">
        <v>5</v>
      </c>
      <c r="FL120" s="2145">
        <v>6</v>
      </c>
      <c r="FN120" s="1714">
        <v>1</v>
      </c>
      <c r="FO120" s="273">
        <v>2</v>
      </c>
      <c r="FP120" s="273">
        <v>3</v>
      </c>
      <c r="FQ120" s="2145">
        <v>4</v>
      </c>
      <c r="FR120" s="2145">
        <v>5</v>
      </c>
      <c r="FS120" s="2145">
        <v>6</v>
      </c>
      <c r="FU120" s="1714">
        <v>1</v>
      </c>
      <c r="FV120" s="2145">
        <v>2</v>
      </c>
      <c r="FW120" s="2145">
        <v>3</v>
      </c>
      <c r="FX120" s="273">
        <v>4</v>
      </c>
      <c r="FY120" s="273">
        <v>5</v>
      </c>
      <c r="FZ120" s="273">
        <v>6</v>
      </c>
      <c r="GB120" s="1714">
        <v>1</v>
      </c>
      <c r="GC120" s="273">
        <v>2</v>
      </c>
      <c r="GD120" s="273">
        <v>3</v>
      </c>
      <c r="GE120" s="273">
        <v>4</v>
      </c>
      <c r="GF120" s="273">
        <v>5</v>
      </c>
      <c r="GG120" s="273">
        <v>6</v>
      </c>
      <c r="GI120" s="1714">
        <v>1</v>
      </c>
      <c r="GJ120" s="273">
        <v>2</v>
      </c>
      <c r="GK120" s="2145">
        <v>3</v>
      </c>
      <c r="GL120" s="2145">
        <v>4</v>
      </c>
      <c r="GM120" s="2145">
        <v>5</v>
      </c>
      <c r="GN120" s="2145">
        <v>6</v>
      </c>
      <c r="GP120" s="1714">
        <v>1</v>
      </c>
      <c r="GQ120" s="273">
        <v>2</v>
      </c>
      <c r="GR120" s="273">
        <v>3</v>
      </c>
      <c r="GS120" s="2145">
        <v>4</v>
      </c>
      <c r="GT120" s="2145">
        <v>5</v>
      </c>
      <c r="GU120" s="2145">
        <v>6</v>
      </c>
      <c r="GW120" s="1714">
        <v>1</v>
      </c>
      <c r="GX120" s="2145">
        <v>2</v>
      </c>
      <c r="GY120" s="2145">
        <v>3</v>
      </c>
      <c r="GZ120" s="273">
        <v>4</v>
      </c>
      <c r="HA120" s="273">
        <v>5</v>
      </c>
      <c r="HB120" s="273">
        <v>6</v>
      </c>
      <c r="HD120" s="1714">
        <v>1</v>
      </c>
      <c r="HE120" s="273">
        <v>2</v>
      </c>
      <c r="HF120" s="273">
        <v>3</v>
      </c>
      <c r="HG120" s="273">
        <v>4</v>
      </c>
      <c r="HH120" s="273">
        <v>5</v>
      </c>
      <c r="HI120" s="1714">
        <v>6</v>
      </c>
      <c r="HJ120" s="273">
        <v>7</v>
      </c>
      <c r="HL120" s="1714">
        <v>1</v>
      </c>
      <c r="HM120" s="273">
        <v>2</v>
      </c>
      <c r="HN120" s="273">
        <v>3</v>
      </c>
      <c r="HO120" s="273">
        <v>4</v>
      </c>
      <c r="HP120" s="273">
        <v>5</v>
      </c>
      <c r="HQ120" s="1714">
        <v>6</v>
      </c>
      <c r="HR120" s="273">
        <v>7</v>
      </c>
      <c r="HT120" s="1714">
        <v>1</v>
      </c>
      <c r="HU120" s="273">
        <v>2</v>
      </c>
      <c r="HV120" s="273">
        <v>3</v>
      </c>
      <c r="HW120" s="273">
        <v>4</v>
      </c>
      <c r="HX120" s="273">
        <v>5</v>
      </c>
      <c r="HY120" s="1714">
        <v>6</v>
      </c>
      <c r="HZ120" s="273">
        <v>7</v>
      </c>
      <c r="IB120" s="1714">
        <v>1</v>
      </c>
      <c r="IC120" s="273">
        <v>2</v>
      </c>
      <c r="ID120" s="273">
        <v>3</v>
      </c>
      <c r="IE120" s="273">
        <v>4</v>
      </c>
      <c r="IF120" s="273">
        <v>5</v>
      </c>
      <c r="IG120" s="1714">
        <v>6</v>
      </c>
      <c r="IH120" s="273">
        <v>7</v>
      </c>
    </row>
    <row r="121" spans="10:242" hidden="1" outlineLevel="1" x14ac:dyDescent="0.3">
      <c r="Z121" s="351" t="s">
        <v>1561</v>
      </c>
      <c r="AA121">
        <v>5</v>
      </c>
      <c r="AB121">
        <v>2</v>
      </c>
      <c r="AZ121" s="1738">
        <v>234</v>
      </c>
      <c r="BA121" s="1739">
        <v>234</v>
      </c>
      <c r="BB121" s="1740">
        <v>234</v>
      </c>
      <c r="BC121" s="1741">
        <v>223</v>
      </c>
      <c r="BD121" s="1742">
        <v>223</v>
      </c>
      <c r="BE121" s="273"/>
      <c r="BF121" s="1741">
        <v>223</v>
      </c>
      <c r="BG121" s="1742">
        <v>223</v>
      </c>
      <c r="BH121" s="1738">
        <v>234</v>
      </c>
      <c r="BI121" s="1739">
        <v>234</v>
      </c>
      <c r="BJ121" s="1740">
        <v>234</v>
      </c>
      <c r="BL121" s="1738">
        <v>234</v>
      </c>
      <c r="BM121" s="1739">
        <v>234</v>
      </c>
      <c r="BN121" s="1743">
        <v>134</v>
      </c>
      <c r="BO121" s="1741">
        <v>223</v>
      </c>
      <c r="BP121" s="1742">
        <v>223</v>
      </c>
      <c r="BR121" s="1741">
        <v>223</v>
      </c>
      <c r="BS121" s="1742">
        <v>223</v>
      </c>
      <c r="BT121" s="1738">
        <v>234</v>
      </c>
      <c r="BU121" s="2146">
        <v>134</v>
      </c>
      <c r="BV121" s="1740">
        <v>234</v>
      </c>
      <c r="BX121" s="1822">
        <v>237</v>
      </c>
      <c r="BY121" s="1823">
        <v>237</v>
      </c>
      <c r="BZ121" s="1824">
        <v>237</v>
      </c>
      <c r="CA121" s="1831">
        <v>226</v>
      </c>
      <c r="CB121" s="1832">
        <v>226</v>
      </c>
      <c r="CD121" s="1831">
        <v>226</v>
      </c>
      <c r="CE121" s="1832">
        <v>226</v>
      </c>
      <c r="CF121" s="1822">
        <v>237</v>
      </c>
      <c r="CG121" s="1823">
        <v>237</v>
      </c>
      <c r="CH121" s="1824">
        <v>237</v>
      </c>
      <c r="CJ121" s="1822">
        <v>237</v>
      </c>
      <c r="CK121" s="1823">
        <v>237</v>
      </c>
      <c r="CL121" s="1827">
        <v>137</v>
      </c>
      <c r="CM121" s="1831">
        <v>226</v>
      </c>
      <c r="CN121" s="1832">
        <v>226</v>
      </c>
      <c r="CP121" s="1831">
        <v>226</v>
      </c>
      <c r="CQ121" s="1832">
        <v>226</v>
      </c>
      <c r="CR121" s="1823">
        <v>237</v>
      </c>
      <c r="CS121" s="2147">
        <v>137</v>
      </c>
      <c r="CT121" s="1824">
        <v>237</v>
      </c>
      <c r="CV121" s="1738">
        <v>234</v>
      </c>
      <c r="CW121" s="1739">
        <v>234</v>
      </c>
      <c r="CX121" s="1740">
        <v>234</v>
      </c>
      <c r="CY121" s="1738">
        <v>234</v>
      </c>
      <c r="CZ121" s="1739">
        <v>234</v>
      </c>
      <c r="DA121" s="1740">
        <v>234</v>
      </c>
      <c r="DC121" s="1738">
        <v>234</v>
      </c>
      <c r="DD121" s="1739">
        <v>234</v>
      </c>
      <c r="DE121" s="1740">
        <v>234</v>
      </c>
      <c r="DF121" s="1738">
        <v>234</v>
      </c>
      <c r="DG121" s="1739">
        <v>234</v>
      </c>
      <c r="DH121" s="1740">
        <v>234</v>
      </c>
      <c r="DJ121" s="1738">
        <v>234</v>
      </c>
      <c r="DK121" s="1739">
        <v>234</v>
      </c>
      <c r="DL121" s="1743">
        <v>134</v>
      </c>
      <c r="DM121" s="1738">
        <v>234</v>
      </c>
      <c r="DN121" s="1739">
        <v>234</v>
      </c>
      <c r="DO121" s="1740">
        <v>234</v>
      </c>
      <c r="DQ121" s="1738">
        <v>234</v>
      </c>
      <c r="DR121" s="1739">
        <v>234</v>
      </c>
      <c r="DS121" s="1740">
        <v>234</v>
      </c>
      <c r="DT121" s="1738">
        <v>234</v>
      </c>
      <c r="DU121" s="2146">
        <v>134</v>
      </c>
      <c r="DV121" s="1740">
        <v>234</v>
      </c>
      <c r="DX121" s="1822">
        <v>237</v>
      </c>
      <c r="DY121" s="1823">
        <v>237</v>
      </c>
      <c r="DZ121" s="1824">
        <v>237</v>
      </c>
      <c r="EA121" s="1822">
        <v>237</v>
      </c>
      <c r="EB121" s="1823">
        <v>237</v>
      </c>
      <c r="EC121" s="1824">
        <v>237</v>
      </c>
      <c r="EE121" s="1822">
        <v>237</v>
      </c>
      <c r="EF121" s="1823">
        <v>237</v>
      </c>
      <c r="EG121" s="1824">
        <v>237</v>
      </c>
      <c r="EH121" s="1822">
        <v>237</v>
      </c>
      <c r="EI121" s="1823">
        <v>237</v>
      </c>
      <c r="EJ121" s="1824">
        <v>237</v>
      </c>
      <c r="EL121" s="1822">
        <v>237</v>
      </c>
      <c r="EM121" s="1823">
        <v>237</v>
      </c>
      <c r="EN121" s="1827">
        <v>137</v>
      </c>
      <c r="EO121" s="1822">
        <v>237</v>
      </c>
      <c r="EP121" s="1823">
        <v>237</v>
      </c>
      <c r="EQ121" s="1824">
        <v>237</v>
      </c>
      <c r="ES121" s="1822">
        <v>237</v>
      </c>
      <c r="ET121" s="1823">
        <v>237</v>
      </c>
      <c r="EU121" s="1824">
        <v>237</v>
      </c>
      <c r="EV121" s="1822">
        <v>237</v>
      </c>
      <c r="EW121" s="2147">
        <v>137</v>
      </c>
      <c r="EX121" s="1824">
        <v>237</v>
      </c>
      <c r="EZ121" s="1822">
        <v>237</v>
      </c>
      <c r="FA121" s="1823">
        <v>237</v>
      </c>
      <c r="FB121" s="1824">
        <v>237</v>
      </c>
      <c r="FC121" s="1957">
        <v>230</v>
      </c>
      <c r="FD121" s="1958">
        <v>230</v>
      </c>
      <c r="FE121" s="1959">
        <v>230</v>
      </c>
      <c r="FG121" s="1961">
        <v>230</v>
      </c>
      <c r="FH121" s="1962">
        <v>230</v>
      </c>
      <c r="FI121" s="1963">
        <v>230</v>
      </c>
      <c r="FJ121" s="1829">
        <v>237</v>
      </c>
      <c r="FK121" s="1794">
        <v>237</v>
      </c>
      <c r="FL121" s="1830">
        <v>237</v>
      </c>
      <c r="FN121" s="1822">
        <v>237</v>
      </c>
      <c r="FO121" s="1823">
        <v>237</v>
      </c>
      <c r="FP121" s="1827">
        <v>137</v>
      </c>
      <c r="FQ121" s="1961">
        <v>230</v>
      </c>
      <c r="FR121" s="1962">
        <v>230</v>
      </c>
      <c r="FS121" s="1963">
        <v>230</v>
      </c>
      <c r="FU121" s="1961">
        <v>230</v>
      </c>
      <c r="FV121" s="1962">
        <v>230</v>
      </c>
      <c r="FW121" s="1963">
        <v>230</v>
      </c>
      <c r="FX121" s="1822">
        <v>237</v>
      </c>
      <c r="FY121" s="2147">
        <v>137</v>
      </c>
      <c r="FZ121" s="1824">
        <v>237</v>
      </c>
      <c r="GB121" s="1822">
        <v>237</v>
      </c>
      <c r="GC121" s="1823">
        <v>237</v>
      </c>
      <c r="GD121" s="1824">
        <v>237</v>
      </c>
      <c r="GE121" s="2148">
        <v>230</v>
      </c>
      <c r="GF121" s="2149">
        <v>230</v>
      </c>
      <c r="GG121" s="2150">
        <v>230</v>
      </c>
      <c r="GI121" s="2151">
        <v>230</v>
      </c>
      <c r="GJ121" s="1793">
        <v>230</v>
      </c>
      <c r="GK121" s="2152">
        <v>230</v>
      </c>
      <c r="GL121" s="1829">
        <v>237</v>
      </c>
      <c r="GM121" s="1794">
        <v>237</v>
      </c>
      <c r="GN121" s="1830">
        <v>237</v>
      </c>
      <c r="GP121" s="1822">
        <v>237</v>
      </c>
      <c r="GQ121" s="1823">
        <v>237</v>
      </c>
      <c r="GR121" s="1827">
        <v>137</v>
      </c>
      <c r="GS121" s="2151">
        <v>230</v>
      </c>
      <c r="GT121" s="1793">
        <v>230</v>
      </c>
      <c r="GU121" s="2152">
        <v>230</v>
      </c>
      <c r="GW121" s="2151">
        <v>230</v>
      </c>
      <c r="GX121" s="1793">
        <v>230</v>
      </c>
      <c r="GY121" s="2152">
        <v>230</v>
      </c>
      <c r="GZ121" s="1822">
        <v>237</v>
      </c>
      <c r="HA121" s="2147">
        <v>137</v>
      </c>
      <c r="HB121" s="1824">
        <v>237</v>
      </c>
      <c r="HD121" s="1738">
        <v>234</v>
      </c>
      <c r="HE121" s="1739">
        <v>234</v>
      </c>
      <c r="HF121" s="1740">
        <v>234</v>
      </c>
      <c r="HG121" s="1993">
        <v>242</v>
      </c>
      <c r="HH121" s="1994">
        <v>242</v>
      </c>
      <c r="HI121" s="1994">
        <v>242</v>
      </c>
      <c r="HJ121" s="1995">
        <v>242</v>
      </c>
      <c r="HK121" s="273"/>
      <c r="HL121" s="1993">
        <v>242</v>
      </c>
      <c r="HM121" s="1994">
        <v>242</v>
      </c>
      <c r="HN121" s="1994">
        <v>242</v>
      </c>
      <c r="HO121" s="1995">
        <v>242</v>
      </c>
      <c r="HP121" s="1738">
        <v>234</v>
      </c>
      <c r="HQ121" s="1739">
        <v>234</v>
      </c>
      <c r="HR121" s="1740">
        <v>234</v>
      </c>
      <c r="HT121" s="1738">
        <v>234</v>
      </c>
      <c r="HU121" s="1739">
        <v>234</v>
      </c>
      <c r="HV121" s="1743">
        <v>134</v>
      </c>
      <c r="HW121" s="1993">
        <v>242</v>
      </c>
      <c r="HX121" s="1994">
        <v>242</v>
      </c>
      <c r="HY121" s="1994">
        <v>242</v>
      </c>
      <c r="HZ121" s="1995">
        <v>242</v>
      </c>
      <c r="IB121" s="1993">
        <v>242</v>
      </c>
      <c r="IC121" s="1994">
        <v>242</v>
      </c>
      <c r="ID121" s="1994">
        <v>242</v>
      </c>
      <c r="IE121" s="1995">
        <v>242</v>
      </c>
      <c r="IF121" s="1739">
        <v>234</v>
      </c>
      <c r="IG121" s="2146">
        <v>134</v>
      </c>
      <c r="IH121" s="1740">
        <v>234</v>
      </c>
    </row>
    <row r="122" spans="10:242" hidden="1" outlineLevel="1" x14ac:dyDescent="0.3">
      <c r="Z122" s="351" t="s">
        <v>1486</v>
      </c>
      <c r="AA122">
        <v>5</v>
      </c>
      <c r="AB122">
        <v>3</v>
      </c>
      <c r="AZ122" s="1760">
        <v>234</v>
      </c>
      <c r="BA122" s="1761">
        <v>234</v>
      </c>
      <c r="BB122" s="1762">
        <v>234</v>
      </c>
      <c r="BC122" s="1763">
        <v>223</v>
      </c>
      <c r="BD122" s="1764">
        <v>223</v>
      </c>
      <c r="BE122" s="273"/>
      <c r="BF122" s="1763">
        <v>223</v>
      </c>
      <c r="BG122" s="1764">
        <v>223</v>
      </c>
      <c r="BH122" s="1760">
        <v>234</v>
      </c>
      <c r="BI122" s="1761">
        <v>234</v>
      </c>
      <c r="BJ122" s="1762">
        <v>234</v>
      </c>
      <c r="BL122" s="1760">
        <v>234</v>
      </c>
      <c r="BM122" s="1761">
        <v>234</v>
      </c>
      <c r="BN122" s="1765">
        <v>134</v>
      </c>
      <c r="BO122" s="1763">
        <v>223</v>
      </c>
      <c r="BP122" s="1764">
        <v>223</v>
      </c>
      <c r="BR122" s="1763">
        <v>223</v>
      </c>
      <c r="BS122" s="1764">
        <v>223</v>
      </c>
      <c r="BT122" s="1760">
        <v>234</v>
      </c>
      <c r="BU122" s="2153">
        <v>134</v>
      </c>
      <c r="BV122" s="1762">
        <v>234</v>
      </c>
      <c r="BX122" s="1829">
        <v>237</v>
      </c>
      <c r="BY122" s="1794">
        <v>237</v>
      </c>
      <c r="BZ122" s="1830">
        <v>237</v>
      </c>
      <c r="CA122" s="1831">
        <v>226</v>
      </c>
      <c r="CB122" s="1832">
        <v>226</v>
      </c>
      <c r="CD122" s="1831">
        <v>226</v>
      </c>
      <c r="CE122" s="1832">
        <v>226</v>
      </c>
      <c r="CF122" s="1829">
        <v>237</v>
      </c>
      <c r="CG122" s="1794">
        <v>237</v>
      </c>
      <c r="CH122" s="1830">
        <v>237</v>
      </c>
      <c r="CJ122" s="1829">
        <v>237</v>
      </c>
      <c r="CK122" s="1794">
        <v>237</v>
      </c>
      <c r="CL122" s="1833">
        <v>137</v>
      </c>
      <c r="CM122" s="1831">
        <v>226</v>
      </c>
      <c r="CN122" s="1832">
        <v>226</v>
      </c>
      <c r="CP122" s="1831">
        <v>226</v>
      </c>
      <c r="CQ122" s="1832">
        <v>226</v>
      </c>
      <c r="CR122" s="1794">
        <v>237</v>
      </c>
      <c r="CS122" s="2154">
        <v>137</v>
      </c>
      <c r="CT122" s="1830">
        <v>237</v>
      </c>
      <c r="CV122" s="1760">
        <v>234</v>
      </c>
      <c r="CW122" s="1761">
        <v>234</v>
      </c>
      <c r="CX122" s="1762">
        <v>234</v>
      </c>
      <c r="CY122" s="1760">
        <v>234</v>
      </c>
      <c r="CZ122" s="1761">
        <v>234</v>
      </c>
      <c r="DA122" s="1762">
        <v>234</v>
      </c>
      <c r="DC122" s="1760">
        <v>234</v>
      </c>
      <c r="DD122" s="1761">
        <v>234</v>
      </c>
      <c r="DE122" s="1762">
        <v>234</v>
      </c>
      <c r="DF122" s="1760">
        <v>234</v>
      </c>
      <c r="DG122" s="1761">
        <v>234</v>
      </c>
      <c r="DH122" s="1762">
        <v>234</v>
      </c>
      <c r="DJ122" s="1760">
        <v>234</v>
      </c>
      <c r="DK122" s="1761">
        <v>234</v>
      </c>
      <c r="DL122" s="1765">
        <v>134</v>
      </c>
      <c r="DM122" s="1760">
        <v>234</v>
      </c>
      <c r="DN122" s="1761">
        <v>234</v>
      </c>
      <c r="DO122" s="1762">
        <v>234</v>
      </c>
      <c r="DQ122" s="1760">
        <v>234</v>
      </c>
      <c r="DR122" s="1761">
        <v>234</v>
      </c>
      <c r="DS122" s="1762">
        <v>234</v>
      </c>
      <c r="DT122" s="1760">
        <v>234</v>
      </c>
      <c r="DU122" s="2153">
        <v>134</v>
      </c>
      <c r="DV122" s="1762">
        <v>234</v>
      </c>
      <c r="DX122" s="1829">
        <v>237</v>
      </c>
      <c r="DY122" s="1794">
        <v>237</v>
      </c>
      <c r="DZ122" s="1830">
        <v>237</v>
      </c>
      <c r="EA122" s="1829">
        <v>237</v>
      </c>
      <c r="EB122" s="1794">
        <v>237</v>
      </c>
      <c r="EC122" s="1830">
        <v>237</v>
      </c>
      <c r="EE122" s="1829">
        <v>237</v>
      </c>
      <c r="EF122" s="1794">
        <v>237</v>
      </c>
      <c r="EG122" s="1830">
        <v>237</v>
      </c>
      <c r="EH122" s="1829">
        <v>237</v>
      </c>
      <c r="EI122" s="1794">
        <v>237</v>
      </c>
      <c r="EJ122" s="1830">
        <v>237</v>
      </c>
      <c r="EL122" s="1829">
        <v>237</v>
      </c>
      <c r="EM122" s="1794">
        <v>237</v>
      </c>
      <c r="EN122" s="1833">
        <v>137</v>
      </c>
      <c r="EO122" s="1829">
        <v>237</v>
      </c>
      <c r="EP122" s="1794">
        <v>237</v>
      </c>
      <c r="EQ122" s="1830">
        <v>237</v>
      </c>
      <c r="ES122" s="1829">
        <v>237</v>
      </c>
      <c r="ET122" s="1794">
        <v>237</v>
      </c>
      <c r="EU122" s="1830">
        <v>237</v>
      </c>
      <c r="EV122" s="1829">
        <v>237</v>
      </c>
      <c r="EW122" s="2154">
        <v>137</v>
      </c>
      <c r="EX122" s="1830">
        <v>237</v>
      </c>
      <c r="EZ122" s="1829">
        <v>237</v>
      </c>
      <c r="FA122" s="1794">
        <v>237</v>
      </c>
      <c r="FB122" s="1830">
        <v>237</v>
      </c>
      <c r="FC122" s="1961">
        <v>230</v>
      </c>
      <c r="FD122" s="1962">
        <v>230</v>
      </c>
      <c r="FE122" s="1963">
        <v>230</v>
      </c>
      <c r="FG122" s="1961">
        <v>230</v>
      </c>
      <c r="FH122" s="1962">
        <v>230</v>
      </c>
      <c r="FI122" s="1963">
        <v>230</v>
      </c>
      <c r="FJ122" s="1829">
        <v>237</v>
      </c>
      <c r="FK122" s="1794">
        <v>237</v>
      </c>
      <c r="FL122" s="1830">
        <v>237</v>
      </c>
      <c r="FN122" s="1829">
        <v>237</v>
      </c>
      <c r="FO122" s="1794">
        <v>237</v>
      </c>
      <c r="FP122" s="1833">
        <v>137</v>
      </c>
      <c r="FQ122" s="1961">
        <v>230</v>
      </c>
      <c r="FR122" s="1962">
        <v>230</v>
      </c>
      <c r="FS122" s="1963">
        <v>230</v>
      </c>
      <c r="FU122" s="1961">
        <v>230</v>
      </c>
      <c r="FV122" s="1962">
        <v>230</v>
      </c>
      <c r="FW122" s="1963">
        <v>230</v>
      </c>
      <c r="FX122" s="1829">
        <v>237</v>
      </c>
      <c r="FY122" s="2154">
        <v>137</v>
      </c>
      <c r="FZ122" s="1830">
        <v>237</v>
      </c>
      <c r="GB122" s="1829">
        <v>237</v>
      </c>
      <c r="GC122" s="1794">
        <v>237</v>
      </c>
      <c r="GD122" s="1830">
        <v>237</v>
      </c>
      <c r="GE122" s="2151">
        <v>230</v>
      </c>
      <c r="GF122" s="1793">
        <v>230</v>
      </c>
      <c r="GG122" s="2152">
        <v>230</v>
      </c>
      <c r="GI122" s="2151">
        <v>230</v>
      </c>
      <c r="GJ122" s="1793">
        <v>230</v>
      </c>
      <c r="GK122" s="2152">
        <v>230</v>
      </c>
      <c r="GL122" s="1829">
        <v>237</v>
      </c>
      <c r="GM122" s="1794">
        <v>237</v>
      </c>
      <c r="GN122" s="1830">
        <v>237</v>
      </c>
      <c r="GP122" s="1829">
        <v>237</v>
      </c>
      <c r="GQ122" s="1794">
        <v>237</v>
      </c>
      <c r="GR122" s="1833">
        <v>137</v>
      </c>
      <c r="GS122" s="2151">
        <v>230</v>
      </c>
      <c r="GT122" s="1793">
        <v>230</v>
      </c>
      <c r="GU122" s="2152">
        <v>230</v>
      </c>
      <c r="GW122" s="2151">
        <v>230</v>
      </c>
      <c r="GX122" s="1793">
        <v>230</v>
      </c>
      <c r="GY122" s="2152">
        <v>230</v>
      </c>
      <c r="GZ122" s="1829">
        <v>237</v>
      </c>
      <c r="HA122" s="2154">
        <v>137</v>
      </c>
      <c r="HB122" s="1830">
        <v>237</v>
      </c>
      <c r="HD122" s="1760">
        <v>234</v>
      </c>
      <c r="HE122" s="1761">
        <v>234</v>
      </c>
      <c r="HF122" s="1762">
        <v>234</v>
      </c>
      <c r="HG122" s="1999">
        <v>242</v>
      </c>
      <c r="HH122" s="2000">
        <v>242</v>
      </c>
      <c r="HI122" s="2000">
        <v>242</v>
      </c>
      <c r="HJ122" s="2001">
        <v>242</v>
      </c>
      <c r="HK122" s="273"/>
      <c r="HL122" s="1999">
        <v>242</v>
      </c>
      <c r="HM122" s="2000">
        <v>242</v>
      </c>
      <c r="HN122" s="2000">
        <v>242</v>
      </c>
      <c r="HO122" s="2001">
        <v>242</v>
      </c>
      <c r="HP122" s="1760">
        <v>234</v>
      </c>
      <c r="HQ122" s="1761">
        <v>234</v>
      </c>
      <c r="HR122" s="1762">
        <v>234</v>
      </c>
      <c r="HT122" s="1760">
        <v>234</v>
      </c>
      <c r="HU122" s="1761">
        <v>234</v>
      </c>
      <c r="HV122" s="1765">
        <v>134</v>
      </c>
      <c r="HW122" s="1999">
        <v>242</v>
      </c>
      <c r="HX122" s="2000">
        <v>242</v>
      </c>
      <c r="HY122" s="2000">
        <v>242</v>
      </c>
      <c r="HZ122" s="2001">
        <v>242</v>
      </c>
      <c r="IB122" s="1999">
        <v>242</v>
      </c>
      <c r="IC122" s="2000">
        <v>242</v>
      </c>
      <c r="ID122" s="2000">
        <v>242</v>
      </c>
      <c r="IE122" s="2001">
        <v>242</v>
      </c>
      <c r="IF122" s="1761">
        <v>234</v>
      </c>
      <c r="IG122" s="2153">
        <v>134</v>
      </c>
      <c r="IH122" s="1762">
        <v>234</v>
      </c>
    </row>
    <row r="123" spans="10:242" hidden="1" outlineLevel="1" x14ac:dyDescent="0.3">
      <c r="Z123" s="351" t="s">
        <v>1562</v>
      </c>
      <c r="AA123">
        <v>5</v>
      </c>
      <c r="AB123">
        <v>2</v>
      </c>
      <c r="AZ123" s="1771">
        <v>34</v>
      </c>
      <c r="BA123" s="1772">
        <v>234</v>
      </c>
      <c r="BB123" s="1773">
        <v>234</v>
      </c>
      <c r="BC123" s="1774">
        <v>23</v>
      </c>
      <c r="BD123" s="1775">
        <v>223</v>
      </c>
      <c r="BE123" s="273"/>
      <c r="BF123" s="1774">
        <v>23</v>
      </c>
      <c r="BG123" s="1775">
        <v>223</v>
      </c>
      <c r="BH123" s="1771">
        <v>34</v>
      </c>
      <c r="BI123" s="1772">
        <v>234</v>
      </c>
      <c r="BJ123" s="1773">
        <v>234</v>
      </c>
      <c r="BL123" s="1771">
        <v>34</v>
      </c>
      <c r="BM123" s="1772">
        <v>234</v>
      </c>
      <c r="BN123" s="1776">
        <v>134</v>
      </c>
      <c r="BO123" s="1774">
        <v>23</v>
      </c>
      <c r="BP123" s="1775">
        <v>223</v>
      </c>
      <c r="BR123" s="1774">
        <v>23</v>
      </c>
      <c r="BS123" s="1775">
        <v>223</v>
      </c>
      <c r="BT123" s="1771">
        <v>34</v>
      </c>
      <c r="BU123" s="2155">
        <v>134</v>
      </c>
      <c r="BV123" s="1773">
        <v>234</v>
      </c>
      <c r="BX123" s="1835">
        <v>37</v>
      </c>
      <c r="BY123" s="1836">
        <v>237</v>
      </c>
      <c r="BZ123" s="1837">
        <v>237</v>
      </c>
      <c r="CA123" s="1838">
        <v>26</v>
      </c>
      <c r="CB123" s="1839">
        <v>226</v>
      </c>
      <c r="CD123" s="1838">
        <v>26</v>
      </c>
      <c r="CE123" s="1839">
        <v>226</v>
      </c>
      <c r="CF123" s="1835">
        <v>37</v>
      </c>
      <c r="CG123" s="1836">
        <v>237</v>
      </c>
      <c r="CH123" s="1837">
        <v>237</v>
      </c>
      <c r="CJ123" s="1835">
        <v>37</v>
      </c>
      <c r="CK123" s="1836">
        <v>237</v>
      </c>
      <c r="CL123" s="1840">
        <v>137</v>
      </c>
      <c r="CM123" s="1838">
        <v>26</v>
      </c>
      <c r="CN123" s="1839">
        <v>226</v>
      </c>
      <c r="CP123" s="1838">
        <v>26</v>
      </c>
      <c r="CQ123" s="1839">
        <v>226</v>
      </c>
      <c r="CR123" s="1836">
        <v>37</v>
      </c>
      <c r="CS123" s="2156">
        <v>137</v>
      </c>
      <c r="CT123" s="1837">
        <v>237</v>
      </c>
      <c r="CV123" s="1771">
        <v>34</v>
      </c>
      <c r="CW123" s="1772">
        <v>234</v>
      </c>
      <c r="CX123" s="1773">
        <v>234</v>
      </c>
      <c r="CY123" s="1771">
        <v>34</v>
      </c>
      <c r="CZ123" s="1772">
        <v>234</v>
      </c>
      <c r="DA123" s="1773">
        <v>234</v>
      </c>
      <c r="DC123" s="1771">
        <v>34</v>
      </c>
      <c r="DD123" s="1772">
        <v>234</v>
      </c>
      <c r="DE123" s="1773">
        <v>234</v>
      </c>
      <c r="DF123" s="1771">
        <v>34</v>
      </c>
      <c r="DG123" s="1772">
        <v>234</v>
      </c>
      <c r="DH123" s="1773">
        <v>234</v>
      </c>
      <c r="DJ123" s="1771">
        <v>34</v>
      </c>
      <c r="DK123" s="1772">
        <v>234</v>
      </c>
      <c r="DL123" s="1776">
        <v>134</v>
      </c>
      <c r="DM123" s="1771">
        <v>34</v>
      </c>
      <c r="DN123" s="1772">
        <v>234</v>
      </c>
      <c r="DO123" s="1773">
        <v>234</v>
      </c>
      <c r="DQ123" s="1771">
        <v>34</v>
      </c>
      <c r="DR123" s="1772">
        <v>234</v>
      </c>
      <c r="DS123" s="1773">
        <v>234</v>
      </c>
      <c r="DT123" s="1771">
        <v>34</v>
      </c>
      <c r="DU123" s="2155">
        <v>134</v>
      </c>
      <c r="DV123" s="1773">
        <v>234</v>
      </c>
      <c r="DX123" s="1835">
        <v>37</v>
      </c>
      <c r="DY123" s="1836">
        <v>237</v>
      </c>
      <c r="DZ123" s="1837">
        <v>237</v>
      </c>
      <c r="EA123" s="1835">
        <v>37</v>
      </c>
      <c r="EB123" s="1836">
        <v>237</v>
      </c>
      <c r="EC123" s="1837">
        <v>237</v>
      </c>
      <c r="EE123" s="1835">
        <v>37</v>
      </c>
      <c r="EF123" s="1836">
        <v>237</v>
      </c>
      <c r="EG123" s="1837">
        <v>237</v>
      </c>
      <c r="EH123" s="1835">
        <v>37</v>
      </c>
      <c r="EI123" s="1836">
        <v>237</v>
      </c>
      <c r="EJ123" s="1837">
        <v>237</v>
      </c>
      <c r="EL123" s="1835">
        <v>37</v>
      </c>
      <c r="EM123" s="1836">
        <v>237</v>
      </c>
      <c r="EN123" s="1840">
        <v>137</v>
      </c>
      <c r="EO123" s="1835">
        <v>37</v>
      </c>
      <c r="EP123" s="1836">
        <v>237</v>
      </c>
      <c r="EQ123" s="1837">
        <v>237</v>
      </c>
      <c r="ES123" s="1835">
        <v>37</v>
      </c>
      <c r="ET123" s="1836">
        <v>237</v>
      </c>
      <c r="EU123" s="1837">
        <v>237</v>
      </c>
      <c r="EV123" s="1835">
        <v>37</v>
      </c>
      <c r="EW123" s="2156">
        <v>137</v>
      </c>
      <c r="EX123" s="1837">
        <v>237</v>
      </c>
      <c r="EZ123" s="1835">
        <v>37</v>
      </c>
      <c r="FA123" s="1836">
        <v>237</v>
      </c>
      <c r="FB123" s="1837">
        <v>237</v>
      </c>
      <c r="FC123" s="1966">
        <v>30</v>
      </c>
      <c r="FD123" s="1967">
        <v>230</v>
      </c>
      <c r="FE123" s="1968">
        <v>230</v>
      </c>
      <c r="FG123" s="1966">
        <v>30</v>
      </c>
      <c r="FH123" s="1967">
        <v>230</v>
      </c>
      <c r="FI123" s="1968">
        <v>230</v>
      </c>
      <c r="FJ123" s="1835">
        <v>37</v>
      </c>
      <c r="FK123" s="1836">
        <v>237</v>
      </c>
      <c r="FL123" s="1837">
        <v>237</v>
      </c>
      <c r="FN123" s="1835">
        <v>37</v>
      </c>
      <c r="FO123" s="1836">
        <v>237</v>
      </c>
      <c r="FP123" s="1840">
        <v>137</v>
      </c>
      <c r="FQ123" s="1966">
        <v>30</v>
      </c>
      <c r="FR123" s="1967">
        <v>230</v>
      </c>
      <c r="FS123" s="1968">
        <v>230</v>
      </c>
      <c r="FU123" s="1966">
        <v>30</v>
      </c>
      <c r="FV123" s="1967">
        <v>230</v>
      </c>
      <c r="FW123" s="1968">
        <v>230</v>
      </c>
      <c r="FX123" s="1835">
        <v>37</v>
      </c>
      <c r="FY123" s="2156">
        <v>137</v>
      </c>
      <c r="FZ123" s="1837">
        <v>237</v>
      </c>
      <c r="GB123" s="1835">
        <v>37</v>
      </c>
      <c r="GC123" s="1836">
        <v>237</v>
      </c>
      <c r="GD123" s="1837">
        <v>237</v>
      </c>
      <c r="GE123" s="2157">
        <v>30</v>
      </c>
      <c r="GF123" s="2158">
        <v>230</v>
      </c>
      <c r="GG123" s="2159">
        <v>230</v>
      </c>
      <c r="GI123" s="2157">
        <v>30</v>
      </c>
      <c r="GJ123" s="2158">
        <v>230</v>
      </c>
      <c r="GK123" s="2159">
        <v>230</v>
      </c>
      <c r="GL123" s="1835">
        <v>37</v>
      </c>
      <c r="GM123" s="1836">
        <v>237</v>
      </c>
      <c r="GN123" s="1837">
        <v>237</v>
      </c>
      <c r="GP123" s="1835">
        <v>37</v>
      </c>
      <c r="GQ123" s="1836">
        <v>237</v>
      </c>
      <c r="GR123" s="1840">
        <v>137</v>
      </c>
      <c r="GS123" s="2157">
        <v>30</v>
      </c>
      <c r="GT123" s="2158">
        <v>230</v>
      </c>
      <c r="GU123" s="2159">
        <v>230</v>
      </c>
      <c r="GW123" s="2157">
        <v>30</v>
      </c>
      <c r="GX123" s="2158">
        <v>230</v>
      </c>
      <c r="GY123" s="2159">
        <v>230</v>
      </c>
      <c r="GZ123" s="1835">
        <v>37</v>
      </c>
      <c r="HA123" s="2156">
        <v>137</v>
      </c>
      <c r="HB123" s="1837">
        <v>237</v>
      </c>
      <c r="HD123" s="1771">
        <v>34</v>
      </c>
      <c r="HE123" s="1772">
        <v>234</v>
      </c>
      <c r="HF123" s="1773">
        <v>234</v>
      </c>
      <c r="HG123" s="2004">
        <v>42</v>
      </c>
      <c r="HH123" s="2005">
        <v>242</v>
      </c>
      <c r="HI123" s="2005">
        <v>242</v>
      </c>
      <c r="HJ123" s="2006">
        <v>242</v>
      </c>
      <c r="HK123" s="273"/>
      <c r="HL123" s="2004">
        <v>42</v>
      </c>
      <c r="HM123" s="2005">
        <v>242</v>
      </c>
      <c r="HN123" s="2005">
        <v>242</v>
      </c>
      <c r="HO123" s="2006">
        <v>242</v>
      </c>
      <c r="HP123" s="1771">
        <v>34</v>
      </c>
      <c r="HQ123" s="1772">
        <v>234</v>
      </c>
      <c r="HR123" s="1773">
        <v>234</v>
      </c>
      <c r="HT123" s="1771">
        <v>34</v>
      </c>
      <c r="HU123" s="1772">
        <v>234</v>
      </c>
      <c r="HV123" s="1776">
        <v>134</v>
      </c>
      <c r="HW123" s="2004">
        <v>42</v>
      </c>
      <c r="HX123" s="2005">
        <v>242</v>
      </c>
      <c r="HY123" s="2005">
        <v>242</v>
      </c>
      <c r="HZ123" s="2006">
        <v>242</v>
      </c>
      <c r="IB123" s="2004">
        <v>42</v>
      </c>
      <c r="IC123" s="2005">
        <v>242</v>
      </c>
      <c r="ID123" s="2005">
        <v>242</v>
      </c>
      <c r="IE123" s="2006">
        <v>242</v>
      </c>
      <c r="IF123" s="1772">
        <v>34</v>
      </c>
      <c r="IG123" s="2155">
        <v>134</v>
      </c>
      <c r="IH123" s="1773">
        <v>234</v>
      </c>
    </row>
    <row r="124" spans="10:242" hidden="1" outlineLevel="1" x14ac:dyDescent="0.3">
      <c r="Z124" s="351" t="s">
        <v>1490</v>
      </c>
      <c r="AA124">
        <v>5</v>
      </c>
      <c r="AB124">
        <v>2</v>
      </c>
      <c r="AZ124" s="1741">
        <v>223</v>
      </c>
      <c r="BA124" s="1742">
        <v>223</v>
      </c>
      <c r="BB124" s="1781">
        <v>11</v>
      </c>
      <c r="BC124" s="1741">
        <v>223</v>
      </c>
      <c r="BD124" s="1742">
        <v>223</v>
      </c>
      <c r="BE124" s="273"/>
      <c r="BF124" s="1741">
        <v>223</v>
      </c>
      <c r="BG124" s="1742">
        <v>223</v>
      </c>
      <c r="BH124" s="1781">
        <v>11</v>
      </c>
      <c r="BI124" s="1741">
        <v>223</v>
      </c>
      <c r="BJ124" s="1742">
        <v>223</v>
      </c>
      <c r="BL124" s="1741">
        <v>223</v>
      </c>
      <c r="BM124" s="1742">
        <v>223</v>
      </c>
      <c r="BN124" s="1781">
        <v>11</v>
      </c>
      <c r="BO124" s="1741">
        <v>223</v>
      </c>
      <c r="BP124" s="1742">
        <v>223</v>
      </c>
      <c r="BR124" s="1741">
        <v>223</v>
      </c>
      <c r="BS124" s="1742">
        <v>223</v>
      </c>
      <c r="BT124" s="1781">
        <v>11</v>
      </c>
      <c r="BU124" s="1741">
        <v>223</v>
      </c>
      <c r="BV124" s="1742">
        <v>223</v>
      </c>
      <c r="BX124" s="1831">
        <v>226</v>
      </c>
      <c r="BY124" s="1832">
        <v>226</v>
      </c>
      <c r="BZ124" s="1843">
        <v>11</v>
      </c>
      <c r="CA124" s="1831">
        <v>226</v>
      </c>
      <c r="CB124" s="1832">
        <v>226</v>
      </c>
      <c r="CD124" s="1831">
        <v>226</v>
      </c>
      <c r="CE124" s="1832">
        <v>226</v>
      </c>
      <c r="CF124" s="1843">
        <v>11</v>
      </c>
      <c r="CG124" s="1831">
        <v>226</v>
      </c>
      <c r="CH124" s="1832">
        <v>226</v>
      </c>
      <c r="CJ124" s="1831">
        <v>226</v>
      </c>
      <c r="CK124" s="1832">
        <v>226</v>
      </c>
      <c r="CL124" s="1843">
        <v>11</v>
      </c>
      <c r="CM124" s="1831">
        <v>226</v>
      </c>
      <c r="CN124" s="1832">
        <v>226</v>
      </c>
      <c r="CP124" s="1831">
        <v>226</v>
      </c>
      <c r="CQ124" s="1832">
        <v>226</v>
      </c>
      <c r="CR124" s="1843">
        <v>11</v>
      </c>
      <c r="CS124" s="1831">
        <v>226</v>
      </c>
      <c r="CT124" s="1832">
        <v>226</v>
      </c>
      <c r="CV124" s="1763">
        <v>223</v>
      </c>
      <c r="CW124" s="1764">
        <v>223</v>
      </c>
      <c r="CX124" s="1781">
        <v>11</v>
      </c>
      <c r="CY124" s="1738">
        <v>234</v>
      </c>
      <c r="CZ124" s="1739">
        <v>234</v>
      </c>
      <c r="DA124" s="1740">
        <v>234</v>
      </c>
      <c r="DC124" s="1738">
        <v>234</v>
      </c>
      <c r="DD124" s="1739">
        <v>234</v>
      </c>
      <c r="DE124" s="1740">
        <v>234</v>
      </c>
      <c r="DF124" s="1781">
        <v>11</v>
      </c>
      <c r="DG124" s="1763">
        <v>223</v>
      </c>
      <c r="DH124" s="1764">
        <v>223</v>
      </c>
      <c r="DJ124" s="1763">
        <v>223</v>
      </c>
      <c r="DK124" s="1764">
        <v>223</v>
      </c>
      <c r="DL124" s="1781">
        <v>11</v>
      </c>
      <c r="DM124" s="1738">
        <v>234</v>
      </c>
      <c r="DN124" s="1739">
        <v>234</v>
      </c>
      <c r="DO124" s="1740">
        <v>234</v>
      </c>
      <c r="DQ124" s="1738">
        <v>234</v>
      </c>
      <c r="DR124" s="1739">
        <v>234</v>
      </c>
      <c r="DS124" s="1740">
        <v>234</v>
      </c>
      <c r="DT124" s="1781">
        <v>11</v>
      </c>
      <c r="DU124" s="1763">
        <v>223</v>
      </c>
      <c r="DV124" s="1764">
        <v>223</v>
      </c>
      <c r="DX124" s="1831">
        <v>226</v>
      </c>
      <c r="DY124" s="1832">
        <v>226</v>
      </c>
      <c r="DZ124" s="1843">
        <v>11</v>
      </c>
      <c r="EA124" s="1822">
        <v>237</v>
      </c>
      <c r="EB124" s="1823">
        <v>237</v>
      </c>
      <c r="EC124" s="1824">
        <v>237</v>
      </c>
      <c r="EE124" s="1822">
        <v>237</v>
      </c>
      <c r="EF124" s="1823">
        <v>237</v>
      </c>
      <c r="EG124" s="1824">
        <v>237</v>
      </c>
      <c r="EH124" s="1843">
        <v>11</v>
      </c>
      <c r="EI124" s="1831">
        <v>226</v>
      </c>
      <c r="EJ124" s="1832">
        <v>226</v>
      </c>
      <c r="EL124" s="1831">
        <v>226</v>
      </c>
      <c r="EM124" s="1832">
        <v>226</v>
      </c>
      <c r="EN124" s="1843">
        <v>11</v>
      </c>
      <c r="EO124" s="1822">
        <v>237</v>
      </c>
      <c r="EP124" s="1823">
        <v>237</v>
      </c>
      <c r="EQ124" s="1824">
        <v>237</v>
      </c>
      <c r="ES124" s="1822">
        <v>237</v>
      </c>
      <c r="ET124" s="1823">
        <v>237</v>
      </c>
      <c r="EU124" s="1824">
        <v>237</v>
      </c>
      <c r="EV124" s="1843">
        <v>11</v>
      </c>
      <c r="EW124" s="1831">
        <v>226</v>
      </c>
      <c r="EX124" s="1832">
        <v>226</v>
      </c>
      <c r="EZ124" s="1831">
        <v>226</v>
      </c>
      <c r="FA124" s="1832">
        <v>226</v>
      </c>
      <c r="FB124" s="1843">
        <v>11</v>
      </c>
      <c r="FC124" s="1961">
        <v>230</v>
      </c>
      <c r="FD124" s="1962">
        <v>230</v>
      </c>
      <c r="FE124" s="1963">
        <v>230</v>
      </c>
      <c r="FG124" s="1961">
        <v>230</v>
      </c>
      <c r="FH124" s="1962">
        <v>230</v>
      </c>
      <c r="FI124" s="1963">
        <v>230</v>
      </c>
      <c r="FJ124" s="1843">
        <v>11</v>
      </c>
      <c r="FK124" s="1831">
        <v>226</v>
      </c>
      <c r="FL124" s="1832">
        <v>226</v>
      </c>
      <c r="FN124" s="1831">
        <v>226</v>
      </c>
      <c r="FO124" s="1832">
        <v>226</v>
      </c>
      <c r="FP124" s="1843">
        <v>11</v>
      </c>
      <c r="FQ124" s="1961">
        <v>230</v>
      </c>
      <c r="FR124" s="1962">
        <v>230</v>
      </c>
      <c r="FS124" s="1963">
        <v>230</v>
      </c>
      <c r="FU124" s="1961">
        <v>230</v>
      </c>
      <c r="FV124" s="1962">
        <v>230</v>
      </c>
      <c r="FW124" s="1963">
        <v>230</v>
      </c>
      <c r="FX124" s="1843">
        <v>11</v>
      </c>
      <c r="FY124" s="1831">
        <v>226</v>
      </c>
      <c r="FZ124" s="1832">
        <v>226</v>
      </c>
      <c r="GB124" s="1831">
        <v>226</v>
      </c>
      <c r="GC124" s="1832">
        <v>226</v>
      </c>
      <c r="GD124" s="1843">
        <v>11</v>
      </c>
      <c r="GE124" s="2151">
        <v>230</v>
      </c>
      <c r="GF124" s="1793">
        <v>230</v>
      </c>
      <c r="GG124" s="2152">
        <v>230</v>
      </c>
      <c r="GI124" s="2151">
        <v>230</v>
      </c>
      <c r="GJ124" s="1793">
        <v>230</v>
      </c>
      <c r="GK124" s="2152">
        <v>230</v>
      </c>
      <c r="GL124" s="1843">
        <v>11</v>
      </c>
      <c r="GM124" s="1831">
        <v>226</v>
      </c>
      <c r="GN124" s="1832">
        <v>226</v>
      </c>
      <c r="GP124" s="1831">
        <v>226</v>
      </c>
      <c r="GQ124" s="1832">
        <v>226</v>
      </c>
      <c r="GR124" s="1843">
        <v>11</v>
      </c>
      <c r="GS124" s="2151">
        <v>230</v>
      </c>
      <c r="GT124" s="1793">
        <v>230</v>
      </c>
      <c r="GU124" s="2152">
        <v>230</v>
      </c>
      <c r="GW124" s="2151">
        <v>230</v>
      </c>
      <c r="GX124" s="1793">
        <v>230</v>
      </c>
      <c r="GY124" s="2152">
        <v>230</v>
      </c>
      <c r="GZ124" s="1843">
        <v>11</v>
      </c>
      <c r="HA124" s="1831">
        <v>226</v>
      </c>
      <c r="HB124" s="1832">
        <v>226</v>
      </c>
      <c r="HD124" s="1763">
        <v>223</v>
      </c>
      <c r="HE124" s="1764">
        <v>223</v>
      </c>
      <c r="HF124" s="1781">
        <v>11</v>
      </c>
      <c r="HG124" s="1993">
        <v>242</v>
      </c>
      <c r="HH124" s="1994">
        <v>242</v>
      </c>
      <c r="HI124" s="1994">
        <v>242</v>
      </c>
      <c r="HJ124" s="1995">
        <v>242</v>
      </c>
      <c r="HK124" s="273"/>
      <c r="HL124" s="1993">
        <v>242</v>
      </c>
      <c r="HM124" s="1994">
        <v>242</v>
      </c>
      <c r="HN124" s="1994">
        <v>242</v>
      </c>
      <c r="HO124" s="1995">
        <v>242</v>
      </c>
      <c r="HP124" s="273">
        <v>11</v>
      </c>
      <c r="HQ124" s="1763">
        <v>223</v>
      </c>
      <c r="HR124" s="1764">
        <v>223</v>
      </c>
      <c r="HT124" s="1763">
        <v>223</v>
      </c>
      <c r="HU124" s="1764">
        <v>223</v>
      </c>
      <c r="HV124" s="1781">
        <v>11</v>
      </c>
      <c r="HW124" s="1993">
        <v>242</v>
      </c>
      <c r="HX124" s="1994">
        <v>242</v>
      </c>
      <c r="HY124" s="1994">
        <v>242</v>
      </c>
      <c r="HZ124" s="1995">
        <v>242</v>
      </c>
      <c r="IB124" s="1993">
        <v>242</v>
      </c>
      <c r="IC124" s="1994">
        <v>242</v>
      </c>
      <c r="ID124" s="1994">
        <v>242</v>
      </c>
      <c r="IE124" s="1995">
        <v>242</v>
      </c>
      <c r="IF124" s="273">
        <v>11</v>
      </c>
      <c r="IG124" s="1763">
        <v>223</v>
      </c>
      <c r="IH124" s="1764">
        <v>223</v>
      </c>
    </row>
    <row r="125" spans="10:242" hidden="1" outlineLevel="1" x14ac:dyDescent="0.3">
      <c r="Z125" s="351" t="s">
        <v>1575</v>
      </c>
      <c r="AA125">
        <v>5</v>
      </c>
      <c r="AB125">
        <v>2</v>
      </c>
      <c r="AZ125" s="1763">
        <v>223</v>
      </c>
      <c r="BA125" s="1764">
        <v>223</v>
      </c>
      <c r="BB125" s="1781">
        <v>11</v>
      </c>
      <c r="BC125" s="1763">
        <v>223</v>
      </c>
      <c r="BD125" s="1764">
        <v>223</v>
      </c>
      <c r="BE125" s="273"/>
      <c r="BF125" s="1763">
        <v>223</v>
      </c>
      <c r="BG125" s="1764">
        <v>223</v>
      </c>
      <c r="BH125" s="1781">
        <v>11</v>
      </c>
      <c r="BI125" s="1763">
        <v>223</v>
      </c>
      <c r="BJ125" s="1764">
        <v>223</v>
      </c>
      <c r="BL125" s="1763">
        <v>223</v>
      </c>
      <c r="BM125" s="1764">
        <v>223</v>
      </c>
      <c r="BN125" s="1781">
        <v>11</v>
      </c>
      <c r="BO125" s="1763">
        <v>223</v>
      </c>
      <c r="BP125" s="1764">
        <v>223</v>
      </c>
      <c r="BR125" s="1763">
        <v>223</v>
      </c>
      <c r="BS125" s="1764">
        <v>223</v>
      </c>
      <c r="BT125" s="1781">
        <v>11</v>
      </c>
      <c r="BU125" s="1763">
        <v>223</v>
      </c>
      <c r="BV125" s="1764">
        <v>223</v>
      </c>
      <c r="BX125" s="1831">
        <v>226</v>
      </c>
      <c r="BY125" s="1832">
        <v>226</v>
      </c>
      <c r="BZ125" s="1843">
        <v>11</v>
      </c>
      <c r="CA125" s="1831">
        <v>226</v>
      </c>
      <c r="CB125" s="1832">
        <v>226</v>
      </c>
      <c r="CD125" s="1831">
        <v>226</v>
      </c>
      <c r="CE125" s="1832">
        <v>226</v>
      </c>
      <c r="CF125" s="1843">
        <v>11</v>
      </c>
      <c r="CG125" s="1831">
        <v>226</v>
      </c>
      <c r="CH125" s="1832">
        <v>226</v>
      </c>
      <c r="CJ125" s="1831">
        <v>226</v>
      </c>
      <c r="CK125" s="1832">
        <v>226</v>
      </c>
      <c r="CL125" s="1843">
        <v>11</v>
      </c>
      <c r="CM125" s="1831">
        <v>226</v>
      </c>
      <c r="CN125" s="1832">
        <v>226</v>
      </c>
      <c r="CP125" s="1831">
        <v>226</v>
      </c>
      <c r="CQ125" s="1832">
        <v>226</v>
      </c>
      <c r="CR125" s="1843">
        <v>11</v>
      </c>
      <c r="CS125" s="1831">
        <v>226</v>
      </c>
      <c r="CT125" s="1832">
        <v>226</v>
      </c>
      <c r="CV125" s="1763">
        <v>223</v>
      </c>
      <c r="CW125" s="1764">
        <v>223</v>
      </c>
      <c r="CX125" s="1781">
        <v>11</v>
      </c>
      <c r="CY125" s="1760">
        <v>234</v>
      </c>
      <c r="CZ125" s="1761">
        <v>234</v>
      </c>
      <c r="DA125" s="1762">
        <v>234</v>
      </c>
      <c r="DC125" s="1760">
        <v>234</v>
      </c>
      <c r="DD125" s="1761">
        <v>234</v>
      </c>
      <c r="DE125" s="1762">
        <v>234</v>
      </c>
      <c r="DF125" s="1781">
        <v>11</v>
      </c>
      <c r="DG125" s="1763">
        <v>223</v>
      </c>
      <c r="DH125" s="1764">
        <v>223</v>
      </c>
      <c r="DJ125" s="1763">
        <v>223</v>
      </c>
      <c r="DK125" s="1764">
        <v>223</v>
      </c>
      <c r="DL125" s="1781">
        <v>11</v>
      </c>
      <c r="DM125" s="1760">
        <v>234</v>
      </c>
      <c r="DN125" s="1761">
        <v>234</v>
      </c>
      <c r="DO125" s="1762">
        <v>234</v>
      </c>
      <c r="DQ125" s="1760">
        <v>234</v>
      </c>
      <c r="DR125" s="1761">
        <v>234</v>
      </c>
      <c r="DS125" s="1762">
        <v>234</v>
      </c>
      <c r="DT125" s="1781">
        <v>11</v>
      </c>
      <c r="DU125" s="1763">
        <v>223</v>
      </c>
      <c r="DV125" s="1764">
        <v>223</v>
      </c>
      <c r="DX125" s="1831">
        <v>226</v>
      </c>
      <c r="DY125" s="1832">
        <v>226</v>
      </c>
      <c r="DZ125" s="1843">
        <v>11</v>
      </c>
      <c r="EA125" s="1829">
        <v>237</v>
      </c>
      <c r="EB125" s="1794">
        <v>237</v>
      </c>
      <c r="EC125" s="1830">
        <v>237</v>
      </c>
      <c r="EE125" s="1829">
        <v>237</v>
      </c>
      <c r="EF125" s="1794">
        <v>237</v>
      </c>
      <c r="EG125" s="1830">
        <v>237</v>
      </c>
      <c r="EH125" s="1843">
        <v>11</v>
      </c>
      <c r="EI125" s="1831">
        <v>226</v>
      </c>
      <c r="EJ125" s="1832">
        <v>226</v>
      </c>
      <c r="EL125" s="1831">
        <v>226</v>
      </c>
      <c r="EM125" s="1832">
        <v>226</v>
      </c>
      <c r="EN125" s="1843">
        <v>11</v>
      </c>
      <c r="EO125" s="1829">
        <v>237</v>
      </c>
      <c r="EP125" s="1794">
        <v>237</v>
      </c>
      <c r="EQ125" s="1830">
        <v>237</v>
      </c>
      <c r="ES125" s="1829">
        <v>237</v>
      </c>
      <c r="ET125" s="1794">
        <v>237</v>
      </c>
      <c r="EU125" s="1830">
        <v>237</v>
      </c>
      <c r="EV125" s="1843">
        <v>11</v>
      </c>
      <c r="EW125" s="1831">
        <v>226</v>
      </c>
      <c r="EX125" s="1832">
        <v>226</v>
      </c>
      <c r="EZ125" s="1831">
        <v>226</v>
      </c>
      <c r="FA125" s="1832">
        <v>226</v>
      </c>
      <c r="FB125" s="1843">
        <v>11</v>
      </c>
      <c r="FC125" s="1961">
        <v>230</v>
      </c>
      <c r="FD125" s="1962">
        <v>230</v>
      </c>
      <c r="FE125" s="1963">
        <v>230</v>
      </c>
      <c r="FG125" s="1961">
        <v>230</v>
      </c>
      <c r="FH125" s="1962">
        <v>230</v>
      </c>
      <c r="FI125" s="1963">
        <v>230</v>
      </c>
      <c r="FJ125" s="1843">
        <v>11</v>
      </c>
      <c r="FK125" s="1831">
        <v>226</v>
      </c>
      <c r="FL125" s="1832">
        <v>226</v>
      </c>
      <c r="FN125" s="1831">
        <v>226</v>
      </c>
      <c r="FO125" s="1832">
        <v>226</v>
      </c>
      <c r="FP125" s="1843">
        <v>11</v>
      </c>
      <c r="FQ125" s="1961">
        <v>230</v>
      </c>
      <c r="FR125" s="1962">
        <v>230</v>
      </c>
      <c r="FS125" s="1963">
        <v>230</v>
      </c>
      <c r="FU125" s="1961">
        <v>230</v>
      </c>
      <c r="FV125" s="1962">
        <v>230</v>
      </c>
      <c r="FW125" s="1963">
        <v>230</v>
      </c>
      <c r="FX125" s="1843">
        <v>11</v>
      </c>
      <c r="FY125" s="1831">
        <v>226</v>
      </c>
      <c r="FZ125" s="1832">
        <v>226</v>
      </c>
      <c r="GB125" s="1831">
        <v>226</v>
      </c>
      <c r="GC125" s="1832">
        <v>226</v>
      </c>
      <c r="GD125" s="1843">
        <v>11</v>
      </c>
      <c r="GE125" s="2151">
        <v>230</v>
      </c>
      <c r="GF125" s="1793">
        <v>230</v>
      </c>
      <c r="GG125" s="2152">
        <v>230</v>
      </c>
      <c r="GI125" s="2151">
        <v>230</v>
      </c>
      <c r="GJ125" s="1793">
        <v>230</v>
      </c>
      <c r="GK125" s="2152">
        <v>230</v>
      </c>
      <c r="GL125" s="1843">
        <v>11</v>
      </c>
      <c r="GM125" s="1831">
        <v>226</v>
      </c>
      <c r="GN125" s="1832">
        <v>226</v>
      </c>
      <c r="GP125" s="1831">
        <v>226</v>
      </c>
      <c r="GQ125" s="1832">
        <v>226</v>
      </c>
      <c r="GR125" s="1843">
        <v>11</v>
      </c>
      <c r="GS125" s="2151">
        <v>230</v>
      </c>
      <c r="GT125" s="1793">
        <v>230</v>
      </c>
      <c r="GU125" s="2152">
        <v>230</v>
      </c>
      <c r="GW125" s="2151">
        <v>230</v>
      </c>
      <c r="GX125" s="1793">
        <v>230</v>
      </c>
      <c r="GY125" s="2152">
        <v>230</v>
      </c>
      <c r="GZ125" s="1843">
        <v>11</v>
      </c>
      <c r="HA125" s="1831">
        <v>226</v>
      </c>
      <c r="HB125" s="1832">
        <v>226</v>
      </c>
      <c r="HD125" s="1763">
        <v>223</v>
      </c>
      <c r="HE125" s="1764">
        <v>223</v>
      </c>
      <c r="HF125" s="1781">
        <v>11</v>
      </c>
      <c r="HG125" s="1999">
        <v>242</v>
      </c>
      <c r="HH125" s="2000">
        <v>242</v>
      </c>
      <c r="HI125" s="2000">
        <v>242</v>
      </c>
      <c r="HJ125" s="2001">
        <v>242</v>
      </c>
      <c r="HK125" s="273"/>
      <c r="HL125" s="1999">
        <v>242</v>
      </c>
      <c r="HM125" s="2000">
        <v>242</v>
      </c>
      <c r="HN125" s="2000">
        <v>242</v>
      </c>
      <c r="HO125" s="2001">
        <v>242</v>
      </c>
      <c r="HP125" s="273">
        <v>11</v>
      </c>
      <c r="HQ125" s="1763">
        <v>223</v>
      </c>
      <c r="HR125" s="1764">
        <v>223</v>
      </c>
      <c r="HT125" s="1763">
        <v>223</v>
      </c>
      <c r="HU125" s="1764">
        <v>223</v>
      </c>
      <c r="HV125" s="1781">
        <v>11</v>
      </c>
      <c r="HW125" s="1999">
        <v>242</v>
      </c>
      <c r="HX125" s="2000">
        <v>242</v>
      </c>
      <c r="HY125" s="2000">
        <v>242</v>
      </c>
      <c r="HZ125" s="2001">
        <v>242</v>
      </c>
      <c r="IB125" s="1999">
        <v>242</v>
      </c>
      <c r="IC125" s="2000">
        <v>242</v>
      </c>
      <c r="ID125" s="2000">
        <v>242</v>
      </c>
      <c r="IE125" s="2001">
        <v>242</v>
      </c>
      <c r="IF125" s="273">
        <v>11</v>
      </c>
      <c r="IG125" s="1763">
        <v>223</v>
      </c>
      <c r="IH125" s="1764">
        <v>223</v>
      </c>
    </row>
    <row r="126" spans="10:242" hidden="1" outlineLevel="1" x14ac:dyDescent="0.3">
      <c r="Z126" s="351" t="s">
        <v>1476</v>
      </c>
      <c r="AA126">
        <v>6</v>
      </c>
      <c r="AB126">
        <v>3</v>
      </c>
      <c r="AZ126" s="1774">
        <v>23</v>
      </c>
      <c r="BA126" s="1775">
        <v>223</v>
      </c>
      <c r="BB126" s="1798">
        <v>11</v>
      </c>
      <c r="BC126" s="1774">
        <v>23</v>
      </c>
      <c r="BD126" s="1775">
        <v>223</v>
      </c>
      <c r="BE126" s="273"/>
      <c r="BF126" s="1774">
        <v>23</v>
      </c>
      <c r="BG126" s="1775">
        <v>223</v>
      </c>
      <c r="BH126" s="1798">
        <v>11</v>
      </c>
      <c r="BI126" s="1774">
        <v>23</v>
      </c>
      <c r="BJ126" s="1775">
        <v>223</v>
      </c>
      <c r="BL126" s="1774">
        <v>23</v>
      </c>
      <c r="BM126" s="1775">
        <v>223</v>
      </c>
      <c r="BN126" s="1798">
        <v>11</v>
      </c>
      <c r="BO126" s="1774">
        <v>23</v>
      </c>
      <c r="BP126" s="1775">
        <v>223</v>
      </c>
      <c r="BR126" s="1774">
        <v>23</v>
      </c>
      <c r="BS126" s="1775">
        <v>223</v>
      </c>
      <c r="BT126" s="1798">
        <v>11</v>
      </c>
      <c r="BU126" s="1774">
        <v>23</v>
      </c>
      <c r="BV126" s="1775">
        <v>223</v>
      </c>
      <c r="BX126" s="1838">
        <v>26</v>
      </c>
      <c r="BY126" s="1839">
        <v>226</v>
      </c>
      <c r="BZ126" s="1846">
        <v>11</v>
      </c>
      <c r="CA126" s="1838">
        <v>26</v>
      </c>
      <c r="CB126" s="1839">
        <v>226</v>
      </c>
      <c r="CD126" s="1838">
        <v>26</v>
      </c>
      <c r="CE126" s="1839">
        <v>226</v>
      </c>
      <c r="CF126" s="1846">
        <v>11</v>
      </c>
      <c r="CG126" s="1838">
        <v>26</v>
      </c>
      <c r="CH126" s="1839">
        <v>226</v>
      </c>
      <c r="CJ126" s="1838">
        <v>26</v>
      </c>
      <c r="CK126" s="1839">
        <v>226</v>
      </c>
      <c r="CL126" s="1846">
        <v>11</v>
      </c>
      <c r="CM126" s="1838">
        <v>26</v>
      </c>
      <c r="CN126" s="1839">
        <v>226</v>
      </c>
      <c r="CP126" s="1838">
        <v>26</v>
      </c>
      <c r="CQ126" s="1839">
        <v>226</v>
      </c>
      <c r="CR126" s="1846">
        <v>11</v>
      </c>
      <c r="CS126" s="1838">
        <v>26</v>
      </c>
      <c r="CT126" s="1839">
        <v>226</v>
      </c>
      <c r="CV126" s="1774">
        <v>23</v>
      </c>
      <c r="CW126" s="1775">
        <v>223</v>
      </c>
      <c r="CX126" s="1798">
        <v>11</v>
      </c>
      <c r="CY126" s="1771">
        <v>34</v>
      </c>
      <c r="CZ126" s="1772">
        <v>234</v>
      </c>
      <c r="DA126" s="1773">
        <v>234</v>
      </c>
      <c r="DC126" s="1771">
        <v>34</v>
      </c>
      <c r="DD126" s="1772">
        <v>234</v>
      </c>
      <c r="DE126" s="1773">
        <v>234</v>
      </c>
      <c r="DF126" s="1798">
        <v>11</v>
      </c>
      <c r="DG126" s="1774">
        <v>23</v>
      </c>
      <c r="DH126" s="1775">
        <v>223</v>
      </c>
      <c r="DJ126" s="1774">
        <v>23</v>
      </c>
      <c r="DK126" s="1775">
        <v>223</v>
      </c>
      <c r="DL126" s="1798">
        <v>11</v>
      </c>
      <c r="DM126" s="1771">
        <v>34</v>
      </c>
      <c r="DN126" s="1772">
        <v>234</v>
      </c>
      <c r="DO126" s="1773">
        <v>234</v>
      </c>
      <c r="DQ126" s="1771">
        <v>34</v>
      </c>
      <c r="DR126" s="1772">
        <v>234</v>
      </c>
      <c r="DS126" s="1773">
        <v>234</v>
      </c>
      <c r="DT126" s="1798">
        <v>11</v>
      </c>
      <c r="DU126" s="1774">
        <v>23</v>
      </c>
      <c r="DV126" s="1775">
        <v>223</v>
      </c>
      <c r="DX126" s="1838">
        <v>26</v>
      </c>
      <c r="DY126" s="1839">
        <v>226</v>
      </c>
      <c r="DZ126" s="1846">
        <v>11</v>
      </c>
      <c r="EA126" s="1835">
        <v>37</v>
      </c>
      <c r="EB126" s="1836">
        <v>237</v>
      </c>
      <c r="EC126" s="1837">
        <v>237</v>
      </c>
      <c r="EE126" s="1835">
        <v>37</v>
      </c>
      <c r="EF126" s="1836">
        <v>237</v>
      </c>
      <c r="EG126" s="1837">
        <v>237</v>
      </c>
      <c r="EH126" s="1846">
        <v>11</v>
      </c>
      <c r="EI126" s="1838">
        <v>26</v>
      </c>
      <c r="EJ126" s="1839">
        <v>226</v>
      </c>
      <c r="EL126" s="1838">
        <v>26</v>
      </c>
      <c r="EM126" s="1839">
        <v>226</v>
      </c>
      <c r="EN126" s="1846">
        <v>11</v>
      </c>
      <c r="EO126" s="1835">
        <v>37</v>
      </c>
      <c r="EP126" s="1836">
        <v>237</v>
      </c>
      <c r="EQ126" s="1837">
        <v>237</v>
      </c>
      <c r="ES126" s="1835">
        <v>37</v>
      </c>
      <c r="ET126" s="1836">
        <v>237</v>
      </c>
      <c r="EU126" s="1837">
        <v>237</v>
      </c>
      <c r="EV126" s="1846">
        <v>11</v>
      </c>
      <c r="EW126" s="1838">
        <v>26</v>
      </c>
      <c r="EX126" s="1839">
        <v>226</v>
      </c>
      <c r="EZ126" s="1838">
        <v>26</v>
      </c>
      <c r="FA126" s="1839">
        <v>226</v>
      </c>
      <c r="FB126" s="1846">
        <v>11</v>
      </c>
      <c r="FC126" s="1966">
        <v>30</v>
      </c>
      <c r="FD126" s="1967">
        <v>230</v>
      </c>
      <c r="FE126" s="1968">
        <v>230</v>
      </c>
      <c r="FG126" s="1966">
        <v>30</v>
      </c>
      <c r="FH126" s="1967">
        <v>230</v>
      </c>
      <c r="FI126" s="1968">
        <v>230</v>
      </c>
      <c r="FJ126" s="1846">
        <v>11</v>
      </c>
      <c r="FK126" s="1838">
        <v>26</v>
      </c>
      <c r="FL126" s="1839">
        <v>226</v>
      </c>
      <c r="FN126" s="1838">
        <v>26</v>
      </c>
      <c r="FO126" s="1839">
        <v>226</v>
      </c>
      <c r="FP126" s="1846">
        <v>11</v>
      </c>
      <c r="FQ126" s="1966">
        <v>30</v>
      </c>
      <c r="FR126" s="1967">
        <v>230</v>
      </c>
      <c r="FS126" s="1968">
        <v>230</v>
      </c>
      <c r="FU126" s="1966">
        <v>30</v>
      </c>
      <c r="FV126" s="1967">
        <v>230</v>
      </c>
      <c r="FW126" s="1968">
        <v>230</v>
      </c>
      <c r="FX126" s="1846">
        <v>11</v>
      </c>
      <c r="FY126" s="1838">
        <v>26</v>
      </c>
      <c r="FZ126" s="1839">
        <v>226</v>
      </c>
      <c r="GB126" s="1838">
        <v>26</v>
      </c>
      <c r="GC126" s="1839">
        <v>226</v>
      </c>
      <c r="GD126" s="1846">
        <v>11</v>
      </c>
      <c r="GE126" s="2157">
        <v>30</v>
      </c>
      <c r="GF126" s="2158">
        <v>230</v>
      </c>
      <c r="GG126" s="2159">
        <v>230</v>
      </c>
      <c r="GI126" s="2157">
        <v>30</v>
      </c>
      <c r="GJ126" s="2158">
        <v>230</v>
      </c>
      <c r="GK126" s="2159">
        <v>230</v>
      </c>
      <c r="GL126" s="1846">
        <v>11</v>
      </c>
      <c r="GM126" s="1838">
        <v>26</v>
      </c>
      <c r="GN126" s="1839">
        <v>226</v>
      </c>
      <c r="GP126" s="1838">
        <v>26</v>
      </c>
      <c r="GQ126" s="1839">
        <v>226</v>
      </c>
      <c r="GR126" s="1846">
        <v>11</v>
      </c>
      <c r="GS126" s="2157">
        <v>30</v>
      </c>
      <c r="GT126" s="2158">
        <v>230</v>
      </c>
      <c r="GU126" s="2159">
        <v>230</v>
      </c>
      <c r="GW126" s="2157">
        <v>30</v>
      </c>
      <c r="GX126" s="2158">
        <v>230</v>
      </c>
      <c r="GY126" s="2159">
        <v>230</v>
      </c>
      <c r="GZ126" s="1846">
        <v>11</v>
      </c>
      <c r="HA126" s="1838">
        <v>26</v>
      </c>
      <c r="HB126" s="1839">
        <v>226</v>
      </c>
      <c r="HD126" s="1774">
        <v>23</v>
      </c>
      <c r="HE126" s="1775">
        <v>223</v>
      </c>
      <c r="HF126" s="1798">
        <v>11</v>
      </c>
      <c r="HG126" s="2004">
        <v>42</v>
      </c>
      <c r="HH126" s="2005">
        <v>242</v>
      </c>
      <c r="HI126" s="2005">
        <v>242</v>
      </c>
      <c r="HJ126" s="2006">
        <v>242</v>
      </c>
      <c r="HK126" s="273"/>
      <c r="HL126" s="2004">
        <v>42</v>
      </c>
      <c r="HM126" s="2005">
        <v>242</v>
      </c>
      <c r="HN126" s="2005">
        <v>242</v>
      </c>
      <c r="HO126" s="2006">
        <v>242</v>
      </c>
      <c r="HP126" s="1714">
        <v>11</v>
      </c>
      <c r="HQ126" s="1774">
        <v>23</v>
      </c>
      <c r="HR126" s="1775">
        <v>223</v>
      </c>
      <c r="HT126" s="1774">
        <v>23</v>
      </c>
      <c r="HU126" s="1775">
        <v>223</v>
      </c>
      <c r="HV126" s="1798">
        <v>11</v>
      </c>
      <c r="HW126" s="2004">
        <v>42</v>
      </c>
      <c r="HX126" s="2005">
        <v>242</v>
      </c>
      <c r="HY126" s="2005">
        <v>242</v>
      </c>
      <c r="HZ126" s="2006">
        <v>242</v>
      </c>
      <c r="IB126" s="2004">
        <v>42</v>
      </c>
      <c r="IC126" s="2005">
        <v>242</v>
      </c>
      <c r="ID126" s="2005">
        <v>242</v>
      </c>
      <c r="IE126" s="2006">
        <v>242</v>
      </c>
      <c r="IF126" s="1714">
        <v>11</v>
      </c>
      <c r="IG126" s="1774">
        <v>23</v>
      </c>
      <c r="IH126" s="1775">
        <v>223</v>
      </c>
    </row>
    <row r="127" spans="10:242" hidden="1" outlineLevel="1" x14ac:dyDescent="0.3">
      <c r="Z127" s="351" t="s">
        <v>1563</v>
      </c>
      <c r="AA127">
        <v>6</v>
      </c>
      <c r="AB127">
        <v>3</v>
      </c>
      <c r="AZ127" s="273"/>
      <c r="BB127" s="273"/>
      <c r="BC127" s="273"/>
      <c r="BD127" s="273"/>
      <c r="BE127" s="273"/>
      <c r="BM127" s="1509"/>
      <c r="BN127" s="1509"/>
    </row>
    <row r="128" spans="10:242" hidden="1" outlineLevel="1" x14ac:dyDescent="0.3">
      <c r="Z128" s="351" t="s">
        <v>1507</v>
      </c>
      <c r="AA128">
        <v>6</v>
      </c>
      <c r="AB128">
        <v>3</v>
      </c>
      <c r="BE128" s="273"/>
      <c r="BM128" s="1696"/>
      <c r="BN128" s="1509"/>
      <c r="CO128" s="273"/>
      <c r="CY128" s="273"/>
    </row>
    <row r="129" spans="26:66" hidden="1" outlineLevel="1" x14ac:dyDescent="0.3">
      <c r="Z129" s="351" t="s">
        <v>1564</v>
      </c>
      <c r="AA129">
        <v>6</v>
      </c>
      <c r="AB129">
        <v>3</v>
      </c>
      <c r="BE129" s="273"/>
      <c r="BM129" s="1696"/>
      <c r="BN129" s="1509"/>
    </row>
    <row r="130" spans="26:66" hidden="1" outlineLevel="1" x14ac:dyDescent="0.3">
      <c r="Z130" s="351" t="s">
        <v>1508</v>
      </c>
      <c r="AA130">
        <v>6</v>
      </c>
      <c r="AB130">
        <v>3</v>
      </c>
      <c r="BE130" s="273"/>
      <c r="BM130" s="1696"/>
      <c r="BN130" s="1509"/>
    </row>
    <row r="131" spans="26:66" hidden="1" outlineLevel="1" x14ac:dyDescent="0.3">
      <c r="Z131" s="351" t="s">
        <v>1576</v>
      </c>
      <c r="AA131">
        <v>6</v>
      </c>
      <c r="AB131">
        <v>3</v>
      </c>
      <c r="BE131" s="273"/>
      <c r="BM131" s="1696"/>
      <c r="BN131" s="1509"/>
    </row>
    <row r="132" spans="26:66" hidden="1" outlineLevel="1" x14ac:dyDescent="0.3">
      <c r="Z132" s="351" t="s">
        <v>1509</v>
      </c>
      <c r="AA132">
        <v>6</v>
      </c>
      <c r="AB132">
        <v>3</v>
      </c>
      <c r="BE132" s="273"/>
      <c r="BM132" s="1696"/>
      <c r="BN132" s="1509"/>
    </row>
    <row r="133" spans="26:66" hidden="1" outlineLevel="1" x14ac:dyDescent="0.3">
      <c r="Z133" s="351" t="s">
        <v>1565</v>
      </c>
      <c r="AA133">
        <v>6</v>
      </c>
      <c r="AB133">
        <v>3</v>
      </c>
      <c r="BE133" s="273"/>
      <c r="BM133" s="1696"/>
      <c r="BN133" s="1509"/>
    </row>
    <row r="134" spans="26:66" hidden="1" outlineLevel="1" x14ac:dyDescent="0.3">
      <c r="Z134" s="351" t="s">
        <v>1510</v>
      </c>
      <c r="AA134">
        <v>6</v>
      </c>
      <c r="AB134">
        <v>3</v>
      </c>
      <c r="BE134" s="273"/>
      <c r="BM134" s="1696"/>
      <c r="BN134" s="1509"/>
    </row>
    <row r="135" spans="26:66" hidden="1" outlineLevel="1" x14ac:dyDescent="0.3">
      <c r="Z135" s="351" t="s">
        <v>1566</v>
      </c>
      <c r="AA135">
        <v>6</v>
      </c>
      <c r="AB135">
        <v>3</v>
      </c>
      <c r="BE135" s="273"/>
      <c r="BM135" s="1696"/>
      <c r="BN135" s="1509"/>
    </row>
    <row r="136" spans="26:66" hidden="1" outlineLevel="1" x14ac:dyDescent="0.3">
      <c r="Z136" s="351" t="s">
        <v>1511</v>
      </c>
      <c r="AA136">
        <v>6</v>
      </c>
      <c r="AB136">
        <v>3</v>
      </c>
      <c r="BE136" s="273"/>
      <c r="BM136" s="1696"/>
      <c r="BN136" s="1509"/>
    </row>
    <row r="137" spans="26:66" hidden="1" outlineLevel="1" x14ac:dyDescent="0.3">
      <c r="Z137" s="351" t="s">
        <v>1577</v>
      </c>
      <c r="AA137">
        <v>6</v>
      </c>
      <c r="AB137">
        <v>3</v>
      </c>
      <c r="BE137" s="273"/>
      <c r="BM137" s="1696"/>
      <c r="BN137" s="1509"/>
    </row>
    <row r="138" spans="26:66" hidden="1" outlineLevel="1" x14ac:dyDescent="0.3">
      <c r="Z138" s="351" t="s">
        <v>1477</v>
      </c>
      <c r="AA138">
        <v>6</v>
      </c>
      <c r="AB138">
        <v>3</v>
      </c>
      <c r="BE138" s="273"/>
      <c r="BM138" s="1696"/>
      <c r="BN138" s="1509"/>
    </row>
    <row r="139" spans="26:66" hidden="1" outlineLevel="1" x14ac:dyDescent="0.3">
      <c r="Z139" s="351" t="s">
        <v>1567</v>
      </c>
      <c r="AA139">
        <v>6</v>
      </c>
      <c r="AB139">
        <v>3</v>
      </c>
      <c r="BE139" s="273"/>
      <c r="BM139" s="1696"/>
      <c r="BN139" s="1509"/>
    </row>
    <row r="140" spans="26:66" hidden="1" outlineLevel="1" x14ac:dyDescent="0.3">
      <c r="Z140" s="351" t="s">
        <v>1513</v>
      </c>
      <c r="AA140">
        <v>6</v>
      </c>
      <c r="AB140">
        <v>3</v>
      </c>
      <c r="AZ140" s="273"/>
      <c r="BB140" s="273"/>
      <c r="BC140" s="273"/>
      <c r="BD140" s="273"/>
      <c r="BE140" s="273"/>
      <c r="BH140" s="273"/>
      <c r="BI140" s="273"/>
      <c r="BJ140" s="273"/>
      <c r="BK140" s="273"/>
      <c r="BL140" s="273"/>
      <c r="BM140" s="1696"/>
      <c r="BN140" s="1509"/>
    </row>
    <row r="141" spans="26:66" hidden="1" outlineLevel="1" x14ac:dyDescent="0.3">
      <c r="Z141" s="351" t="s">
        <v>1568</v>
      </c>
      <c r="AA141">
        <v>6</v>
      </c>
      <c r="AB141">
        <v>3</v>
      </c>
    </row>
    <row r="142" spans="26:66" hidden="1" outlineLevel="1" collapsed="1" x14ac:dyDescent="0.3">
      <c r="Z142" s="351" t="s">
        <v>1514</v>
      </c>
      <c r="AA142">
        <v>6</v>
      </c>
      <c r="AB142">
        <v>3</v>
      </c>
    </row>
    <row r="143" spans="26:66" hidden="1" outlineLevel="1" x14ac:dyDescent="0.3">
      <c r="Z143" s="351" t="s">
        <v>1578</v>
      </c>
      <c r="AA143">
        <v>6</v>
      </c>
      <c r="AB143">
        <v>3</v>
      </c>
    </row>
    <row r="144" spans="26:66" hidden="1" outlineLevel="1" x14ac:dyDescent="0.3">
      <c r="Z144" s="351" t="s">
        <v>1569</v>
      </c>
      <c r="AA144">
        <v>6</v>
      </c>
      <c r="AB144">
        <v>3</v>
      </c>
    </row>
    <row r="145" spans="26:28" hidden="1" outlineLevel="1" x14ac:dyDescent="0.3">
      <c r="Z145" s="351" t="s">
        <v>1570</v>
      </c>
      <c r="AA145">
        <v>6</v>
      </c>
      <c r="AB145">
        <v>3</v>
      </c>
    </row>
    <row r="146" spans="26:28" hidden="1" outlineLevel="1" x14ac:dyDescent="0.3">
      <c r="Z146" s="351" t="s">
        <v>1571</v>
      </c>
      <c r="AA146">
        <v>6</v>
      </c>
      <c r="AB146">
        <v>3</v>
      </c>
    </row>
    <row r="147" spans="26:28" hidden="1" outlineLevel="1" x14ac:dyDescent="0.3">
      <c r="Z147" s="351" t="s">
        <v>1572</v>
      </c>
      <c r="AA147">
        <v>6</v>
      </c>
      <c r="AB147">
        <v>3</v>
      </c>
    </row>
    <row r="148" spans="26:28" hidden="1" outlineLevel="1" x14ac:dyDescent="0.3">
      <c r="Z148" s="351" t="s">
        <v>1579</v>
      </c>
      <c r="AA148">
        <v>6</v>
      </c>
      <c r="AB148">
        <v>3</v>
      </c>
    </row>
    <row r="149" spans="26:28" hidden="1" outlineLevel="1" x14ac:dyDescent="0.3">
      <c r="Z149" s="351" t="s">
        <v>1580</v>
      </c>
      <c r="AA149">
        <v>6</v>
      </c>
      <c r="AB149">
        <v>3</v>
      </c>
    </row>
    <row r="150" spans="26:28" hidden="1" outlineLevel="1" x14ac:dyDescent="0.3">
      <c r="Z150" s="351" t="s">
        <v>1515</v>
      </c>
      <c r="AA150">
        <v>7</v>
      </c>
      <c r="AB150">
        <v>3</v>
      </c>
    </row>
    <row r="151" spans="26:28" hidden="1" outlineLevel="1" x14ac:dyDescent="0.3">
      <c r="Z151" s="351" t="s">
        <v>1573</v>
      </c>
      <c r="AA151">
        <v>7</v>
      </c>
      <c r="AB151">
        <v>4</v>
      </c>
    </row>
    <row r="152" spans="26:28" hidden="1" outlineLevel="1" x14ac:dyDescent="0.3">
      <c r="Z152" s="351" t="s">
        <v>1516</v>
      </c>
      <c r="AA152">
        <v>7</v>
      </c>
      <c r="AB152">
        <v>3</v>
      </c>
    </row>
    <row r="153" spans="26:28" hidden="1" outlineLevel="1" x14ac:dyDescent="0.3">
      <c r="Z153" s="351" t="s">
        <v>1574</v>
      </c>
      <c r="AA153">
        <v>7</v>
      </c>
      <c r="AB153">
        <v>4</v>
      </c>
    </row>
    <row r="154" spans="26:28" hidden="1" outlineLevel="1" x14ac:dyDescent="0.3">
      <c r="Z154" s="351" t="s">
        <v>1517</v>
      </c>
      <c r="AA154">
        <v>7</v>
      </c>
      <c r="AB154">
        <v>3</v>
      </c>
    </row>
    <row r="155" spans="26:28" hidden="1" outlineLevel="1" x14ac:dyDescent="0.3">
      <c r="Z155" s="351" t="s">
        <v>1581</v>
      </c>
      <c r="AA155">
        <v>7</v>
      </c>
      <c r="AB155">
        <v>4</v>
      </c>
    </row>
    <row r="156" spans="26:28" collapsed="1" x14ac:dyDescent="0.3"/>
  </sheetData>
  <sheetProtection algorithmName="SHA-512" hashValue="JWh1rSqjAZTsxtuNUf1bejRSv7KS1XmrrjR99E61sfu7skcIdMMjWd4q6sgj8M1Ti2fIQHAcYijQbKhCEg1eXg==" saltValue="p/vskr5Viswrb8GZgJ4tWw==" spinCount="100000" sheet="1" objects="1" scenarios="1"/>
  <mergeCells count="13">
    <mergeCell ref="B1:R1"/>
    <mergeCell ref="T1:AQ1"/>
    <mergeCell ref="AS1:AW1"/>
    <mergeCell ref="AY1:CF1"/>
    <mergeCell ref="U2:AV2"/>
    <mergeCell ref="AY2:CF2"/>
    <mergeCell ref="J92:P92"/>
    <mergeCell ref="B3:B4"/>
    <mergeCell ref="C3:C4"/>
    <mergeCell ref="DM9:DN9"/>
    <mergeCell ref="P17:Q18"/>
    <mergeCell ref="I25:N27"/>
    <mergeCell ref="N54:R54"/>
  </mergeCells>
  <conditionalFormatting sqref="R18">
    <cfRule type="expression" dxfId="211" priority="49">
      <formula>COUNTIF(D17:G19,"&gt;0")&gt;0</formula>
    </cfRule>
  </conditionalFormatting>
  <conditionalFormatting sqref="AY10:AY15">
    <cfRule type="expression" dxfId="210" priority="6">
      <formula>AZ10=0</formula>
    </cfRule>
  </conditionalFormatting>
  <conditionalFormatting sqref="AY22:AY27">
    <cfRule type="expression" dxfId="209" priority="5">
      <formula>AZ22=0</formula>
    </cfRule>
  </conditionalFormatting>
  <conditionalFormatting sqref="AY34:AY39">
    <cfRule type="expression" dxfId="208" priority="4">
      <formula>AZ34=0</formula>
    </cfRule>
  </conditionalFormatting>
  <conditionalFormatting sqref="AY46:AY51">
    <cfRule type="expression" dxfId="207" priority="3">
      <formula>AZ46=0</formula>
    </cfRule>
  </conditionalFormatting>
  <conditionalFormatting sqref="AZ8:CE8 AZ32:CE32">
    <cfRule type="expression" dxfId="206" priority="1" stopIfTrue="1">
      <formula>OR(AND(LEFT(AZ8,2)="M6",AZ9=4),AND(LEFT(AZ8,2)&lt;&gt;"M6",AZ9=3))</formula>
    </cfRule>
    <cfRule type="cellIs" dxfId="205" priority="16" operator="notEqual">
      <formula>""</formula>
    </cfRule>
    <cfRule type="expression" dxfId="204" priority="19">
      <formula>AZ16="E"</formula>
    </cfRule>
    <cfRule type="expression" dxfId="203" priority="22">
      <formula>AZ9=1</formula>
    </cfRule>
  </conditionalFormatting>
  <conditionalFormatting sqref="AZ10:CE10 AZ22:CE22 AZ34:CE34 AZ46:CE46">
    <cfRule type="cellIs" dxfId="202" priority="7" operator="greaterThan">
      <formula>0</formula>
    </cfRule>
  </conditionalFormatting>
  <conditionalFormatting sqref="AZ10:CE15 AZ22:CE27 AZ34:CE39 AZ46:CE51">
    <cfRule type="cellIs" dxfId="201" priority="2" stopIfTrue="1" operator="equal">
      <formula>0</formula>
    </cfRule>
    <cfRule type="cellIs" dxfId="200" priority="12" operator="equal">
      <formula>134</formula>
    </cfRule>
    <cfRule type="cellIs" dxfId="199" priority="13" operator="equal">
      <formula>34</formula>
    </cfRule>
    <cfRule type="cellIs" dxfId="198" priority="14" operator="equal">
      <formula>234</formula>
    </cfRule>
    <cfRule type="cellIs" dxfId="197" priority="15" operator="equal">
      <formula>42</formula>
    </cfRule>
    <cfRule type="cellIs" dxfId="196" priority="31" operator="equal">
      <formula>242</formula>
    </cfRule>
    <cfRule type="cellIs" dxfId="195" priority="40" operator="equal">
      <formula>30</formula>
    </cfRule>
    <cfRule type="cellIs" dxfId="194" priority="41" operator="equal">
      <formula>230</formula>
    </cfRule>
    <cfRule type="cellIs" dxfId="193" priority="42" operator="equal">
      <formula>26</formula>
    </cfRule>
    <cfRule type="cellIs" dxfId="192" priority="43" operator="equal">
      <formula>226</formula>
    </cfRule>
    <cfRule type="cellIs" dxfId="191" priority="44" operator="equal">
      <formula>23</formula>
    </cfRule>
    <cfRule type="cellIs" dxfId="190" priority="45" operator="equal">
      <formula>223</formula>
    </cfRule>
    <cfRule type="cellIs" dxfId="189" priority="46" operator="equal">
      <formula>137</formula>
    </cfRule>
    <cfRule type="cellIs" dxfId="188" priority="47" operator="equal">
      <formula>37</formula>
    </cfRule>
    <cfRule type="cellIs" dxfId="187" priority="48" operator="equal">
      <formula>237</formula>
    </cfRule>
  </conditionalFormatting>
  <conditionalFormatting sqref="AZ10:CE15">
    <cfRule type="expression" dxfId="186" priority="27">
      <formula>OR(AZ$16="E",AZ$16="M")</formula>
    </cfRule>
    <cfRule type="expression" dxfId="185" priority="35" stopIfTrue="1">
      <formula>AND(RIGHT(AZ$7,1)="A",AZ10=230)</formula>
    </cfRule>
    <cfRule type="expression" dxfId="184" priority="39" stopIfTrue="1">
      <formula>AND(RIGHT(AZ$7,1)="A",AZ10=30)</formula>
    </cfRule>
  </conditionalFormatting>
  <conditionalFormatting sqref="AZ12:CE12 AZ24:CE24 AZ36:CE36 AZ48:CE48">
    <cfRule type="cellIs" dxfId="183" priority="9" operator="greaterThan">
      <formula>0</formula>
    </cfRule>
  </conditionalFormatting>
  <conditionalFormatting sqref="AZ13:CE13 AZ25:CE25 AZ37:CE37 AZ49:CE49">
    <cfRule type="cellIs" dxfId="182" priority="11" stopIfTrue="1" operator="equal">
      <formula>11</formula>
    </cfRule>
  </conditionalFormatting>
  <conditionalFormatting sqref="AZ14:CE15 AZ26:CE27 AZ38:CE39 AZ50:CE51">
    <cfRule type="cellIs" dxfId="181" priority="10" stopIfTrue="1" operator="equal">
      <formula>11</formula>
    </cfRule>
  </conditionalFormatting>
  <conditionalFormatting sqref="AZ15:CE15 AZ27:CE27 AZ39:CE39 AZ51:CE51">
    <cfRule type="cellIs" dxfId="180" priority="8" operator="greaterThan">
      <formula>0</formula>
    </cfRule>
  </conditionalFormatting>
  <conditionalFormatting sqref="AZ20:CE20">
    <cfRule type="expression" dxfId="179" priority="17" stopIfTrue="1">
      <formula>OR(AND(LEFT(AZ20,2)="M6",AZ21=4),AND(LEFT(AZ20,2)&lt;&gt;"M6",AZ21=3))</formula>
    </cfRule>
    <cfRule type="cellIs" dxfId="178" priority="20" operator="notEqual">
      <formula>""</formula>
    </cfRule>
    <cfRule type="expression" dxfId="177" priority="23">
      <formula>AZ21=1</formula>
    </cfRule>
    <cfRule type="expression" dxfId="176" priority="25">
      <formula>AZ28="E"</formula>
    </cfRule>
  </conditionalFormatting>
  <conditionalFormatting sqref="AZ22:CE27">
    <cfRule type="expression" dxfId="175" priority="28">
      <formula>OR(AZ$28="E",AZ$28="M")</formula>
    </cfRule>
    <cfRule type="expression" dxfId="174" priority="34" stopIfTrue="1">
      <formula>AND(RIGHT(AZ$19,1)="A",AZ22=230)</formula>
    </cfRule>
    <cfRule type="expression" dxfId="173" priority="38" stopIfTrue="1">
      <formula>AND(RIGHT(AZ$19,1)="A",AZ22=30)</formula>
    </cfRule>
  </conditionalFormatting>
  <conditionalFormatting sqref="AZ34:CE39">
    <cfRule type="expression" dxfId="172" priority="29">
      <formula>OR(AZ$40="E",AZ$40="M")</formula>
    </cfRule>
    <cfRule type="expression" dxfId="171" priority="33" stopIfTrue="1">
      <formula>AND(RIGHT(AZ$31,1)="A",AZ34=230)</formula>
    </cfRule>
    <cfRule type="expression" dxfId="170" priority="37" stopIfTrue="1">
      <formula>AND(RIGHT(AZ$31,1)="A",AZ34=30)</formula>
    </cfRule>
  </conditionalFormatting>
  <conditionalFormatting sqref="AZ44:CE44">
    <cfRule type="expression" dxfId="169" priority="18" stopIfTrue="1">
      <formula>OR(AND(LEFT(AZ44,2)="M6",AZ45=4),AND(LEFT(AZ44,2)&lt;&gt;"M6",AZ45=3))</formula>
    </cfRule>
    <cfRule type="cellIs" dxfId="168" priority="21" operator="notEqual">
      <formula>""</formula>
    </cfRule>
    <cfRule type="expression" dxfId="167" priority="24">
      <formula>AZ45=1</formula>
    </cfRule>
    <cfRule type="expression" dxfId="166" priority="26">
      <formula>AZ52="E"</formula>
    </cfRule>
  </conditionalFormatting>
  <conditionalFormatting sqref="AZ46:CE51">
    <cfRule type="expression" dxfId="165" priority="30">
      <formula>OR(AZ$52="E",AZ$52="M")</formula>
    </cfRule>
    <cfRule type="expression" dxfId="164" priority="32" stopIfTrue="1">
      <formula>AND(RIGHT(AZ$43,1)="A",AZ46=230)</formula>
    </cfRule>
    <cfRule type="expression" dxfId="163" priority="36" stopIfTrue="1">
      <formula>AND(RIGHT(AZ$43,1)="A",AZ46=30)</formula>
    </cfRule>
  </conditionalFormatting>
  <dataValidations count="6">
    <dataValidation type="list" allowBlank="1" showInputMessage="1" showErrorMessage="1" sqref="BD6:BH6 BD18:BH18 BD30:BH30 BD42:BH42" xr:uid="{94F63C11-F411-4171-9615-01D162CEA1A9}">
      <formula1>"M"</formula1>
    </dataValidation>
    <dataValidation type="list" allowBlank="1" showInputMessage="1" showErrorMessage="1" sqref="BD5:BH5" xr:uid="{D3BEDC92-E0CE-43B1-AA6A-CDB44D7AF4BF}">
      <formula1>$CI$6:$CI$15</formula1>
    </dataValidation>
    <dataValidation type="list" allowBlank="1" showInputMessage="1" showErrorMessage="1" sqref="BD17:BH17" xr:uid="{A6B3521A-E84D-4383-9495-4343C2B1AC45}">
      <formula1>$CI$18:$CI$27</formula1>
    </dataValidation>
    <dataValidation type="list" allowBlank="1" showInputMessage="1" showErrorMessage="1" sqref="BD41:BH41" xr:uid="{B2016503-B858-4CF6-9FA6-CAD560A9264D}">
      <formula1>$CI$42:$CI$51</formula1>
    </dataValidation>
    <dataValidation type="list" allowBlank="1" showInputMessage="1" showErrorMessage="1" sqref="R18" xr:uid="{533F3F9F-918E-44D3-97C8-AE024B996CEF}">
      <formula1>"Yes,No"</formula1>
    </dataValidation>
    <dataValidation type="list" allowBlank="1" showInputMessage="1" showErrorMessage="1" sqref="BD29:BH29" xr:uid="{DB5AD036-722C-40F9-895E-48898DE61A1D}">
      <formula1>$CI$30:$CI$39</formula1>
    </dataValidation>
  </dataValidations>
  <pageMargins left="0.7" right="0.7" top="0.75" bottom="0.75" header="0.3" footer="0.3"/>
  <pageSetup paperSize="3" scale="42" fitToHeight="0" orientation="landscape" horizontalDpi="360" verticalDpi="360" r:id="rId1"/>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4C20B7-1A1E-45ED-899C-012CB8139DBA}">
  <sheetPr codeName="Sheet25">
    <tabColor rgb="FF7030A0"/>
  </sheetPr>
  <dimension ref="A1:Y76"/>
  <sheetViews>
    <sheetView showGridLines="0" zoomScale="67" zoomScaleNormal="100" workbookViewId="0">
      <selection activeCell="Q3" sqref="Q3"/>
    </sheetView>
  </sheetViews>
  <sheetFormatPr defaultColWidth="8.6640625" defaultRowHeight="14.4" outlineLevelRow="1" x14ac:dyDescent="0.3"/>
  <cols>
    <col min="1" max="1" width="29.6640625" style="3" bestFit="1" customWidth="1"/>
    <col min="2" max="2" width="16.5546875" style="3" customWidth="1"/>
    <col min="3" max="5" width="16.33203125" style="3" customWidth="1"/>
    <col min="6" max="6" width="18.44140625" style="3" customWidth="1"/>
    <col min="7" max="20" width="15.5546875" style="3" customWidth="1"/>
    <col min="21" max="21" width="10" style="3" bestFit="1" customWidth="1"/>
    <col min="22" max="22" width="9" style="3" bestFit="1" customWidth="1"/>
    <col min="23" max="24" width="9.109375" style="3" bestFit="1" customWidth="1"/>
    <col min="25" max="16384" width="8.6640625" style="3"/>
  </cols>
  <sheetData>
    <row r="1" spans="1:25" customFormat="1" outlineLevel="1" x14ac:dyDescent="0.3">
      <c r="A1" s="2347" t="s">
        <v>1582</v>
      </c>
      <c r="B1" s="2347"/>
      <c r="C1" s="2347"/>
      <c r="D1" s="2347"/>
      <c r="E1" s="2347"/>
      <c r="F1" s="2347"/>
      <c r="G1" s="2347"/>
      <c r="H1" s="2347"/>
      <c r="I1" s="2347"/>
      <c r="J1" s="2347"/>
      <c r="K1" s="2347"/>
      <c r="L1" s="2347"/>
      <c r="M1" s="2347"/>
      <c r="N1" s="2347"/>
      <c r="O1" s="2347"/>
      <c r="P1" s="2347"/>
      <c r="Q1" s="2347"/>
      <c r="R1" s="2347"/>
      <c r="S1" s="2347"/>
      <c r="T1" s="2347"/>
    </row>
    <row r="2" spans="1:25" outlineLevel="1" x14ac:dyDescent="0.3">
      <c r="A2" s="2346" t="s">
        <v>1073</v>
      </c>
      <c r="B2" s="2452" t="s">
        <v>1192</v>
      </c>
      <c r="Q2" s="2316"/>
      <c r="R2" s="2316"/>
      <c r="S2" s="2316"/>
      <c r="T2" s="2316"/>
    </row>
    <row r="3" spans="1:25" outlineLevel="1" x14ac:dyDescent="0.3">
      <c r="A3" s="2311" t="s">
        <v>1583</v>
      </c>
      <c r="B3" s="2453" t="s">
        <v>1656</v>
      </c>
      <c r="Q3" s="2316"/>
      <c r="R3" s="2316"/>
      <c r="S3" s="2316"/>
      <c r="T3" s="2316"/>
    </row>
    <row r="4" spans="1:25" outlineLevel="1" x14ac:dyDescent="0.3">
      <c r="A4" s="2206" t="s">
        <v>1585</v>
      </c>
      <c r="B4" s="2351">
        <v>1.25</v>
      </c>
      <c r="Q4" s="2316"/>
      <c r="R4" s="2316"/>
      <c r="S4" s="2316"/>
      <c r="T4" s="2316"/>
    </row>
    <row r="5" spans="1:25" outlineLevel="1" x14ac:dyDescent="0.3">
      <c r="A5" s="2206" t="s">
        <v>1586</v>
      </c>
      <c r="B5" s="2352">
        <v>0</v>
      </c>
      <c r="Q5" s="2316"/>
      <c r="R5" s="2316"/>
      <c r="S5" s="2316"/>
      <c r="T5" s="2316"/>
    </row>
    <row r="6" spans="1:25" outlineLevel="1" x14ac:dyDescent="0.3">
      <c r="A6" s="2206" t="s">
        <v>1587</v>
      </c>
      <c r="B6" s="2352">
        <v>-0.02</v>
      </c>
      <c r="Q6" s="2316"/>
      <c r="R6" s="2316"/>
      <c r="S6" s="2316"/>
      <c r="T6" s="2316"/>
    </row>
    <row r="7" spans="1:25" outlineLevel="1" x14ac:dyDescent="0.3">
      <c r="Q7" s="2316"/>
      <c r="R7" s="2316"/>
      <c r="S7" s="2316"/>
      <c r="T7" s="2316"/>
    </row>
    <row r="8" spans="1:25" customFormat="1" outlineLevel="1" x14ac:dyDescent="0.3">
      <c r="A8" s="2347" t="s">
        <v>1588</v>
      </c>
      <c r="B8" s="2347"/>
      <c r="C8" s="2347"/>
      <c r="D8" s="2347"/>
      <c r="E8" s="2347"/>
      <c r="F8" s="2347"/>
      <c r="G8" s="2347"/>
      <c r="H8" s="2347"/>
      <c r="I8" s="2347"/>
      <c r="J8" s="2347"/>
      <c r="K8" s="2347"/>
      <c r="L8" s="2347"/>
      <c r="M8" s="2347"/>
      <c r="N8" s="2347"/>
      <c r="O8" s="2347"/>
      <c r="P8" s="2347"/>
      <c r="Q8" s="2347"/>
      <c r="R8" s="2347"/>
      <c r="S8" s="2347"/>
      <c r="T8" s="2347"/>
    </row>
    <row r="9" spans="1:25" outlineLevel="1" x14ac:dyDescent="0.3">
      <c r="A9" s="2745" t="s">
        <v>1589</v>
      </c>
      <c r="B9" s="2746"/>
      <c r="C9" s="2746"/>
      <c r="D9" s="2746"/>
      <c r="E9" s="2747"/>
      <c r="G9" s="2740" t="s">
        <v>1590</v>
      </c>
      <c r="H9" s="2740"/>
      <c r="I9" s="2740"/>
      <c r="J9" s="2740"/>
      <c r="K9" s="2740"/>
      <c r="M9" s="2745" t="s">
        <v>1591</v>
      </c>
      <c r="N9" s="2747"/>
      <c r="P9" s="2740" t="s">
        <v>1592</v>
      </c>
      <c r="Q9" s="2740"/>
      <c r="R9" s="2740"/>
      <c r="S9" s="2740"/>
      <c r="T9" s="2740"/>
    </row>
    <row r="10" spans="1:25" s="2322" customFormat="1" outlineLevel="1" x14ac:dyDescent="0.3">
      <c r="A10" s="2355" t="s">
        <v>1593</v>
      </c>
      <c r="B10" s="2356" t="s">
        <v>410</v>
      </c>
      <c r="C10" s="2356" t="s">
        <v>1594</v>
      </c>
      <c r="D10" s="2356" t="s">
        <v>1181</v>
      </c>
      <c r="E10" s="2356" t="s">
        <v>1595</v>
      </c>
      <c r="F10" s="3"/>
      <c r="G10" s="2357" t="s">
        <v>1596</v>
      </c>
      <c r="H10" s="2357" t="s">
        <v>410</v>
      </c>
      <c r="I10" s="2357" t="s">
        <v>1594</v>
      </c>
      <c r="J10" s="2357" t="s">
        <v>1181</v>
      </c>
      <c r="K10" s="2357" t="s">
        <v>1595</v>
      </c>
      <c r="M10" s="2357" t="s">
        <v>1597</v>
      </c>
      <c r="N10" s="2357" t="s">
        <v>1598</v>
      </c>
      <c r="O10" s="1322"/>
      <c r="P10" s="2357" t="s">
        <v>1184</v>
      </c>
      <c r="Q10" s="2357" t="s">
        <v>410</v>
      </c>
      <c r="R10" s="2357" t="s">
        <v>1594</v>
      </c>
      <c r="S10" s="2357" t="s">
        <v>1181</v>
      </c>
      <c r="T10" s="2357" t="s">
        <v>1595</v>
      </c>
    </row>
    <row r="11" spans="1:25" outlineLevel="1" x14ac:dyDescent="0.3">
      <c r="A11" s="2354" t="s">
        <v>230</v>
      </c>
      <c r="B11" s="2360">
        <v>15</v>
      </c>
      <c r="C11" s="2360">
        <v>0</v>
      </c>
      <c r="D11" s="2361">
        <v>0</v>
      </c>
      <c r="E11" s="2359">
        <f>+IFERROR(D11/C11,0)</f>
        <v>0</v>
      </c>
      <c r="G11" s="2354" t="s">
        <v>230</v>
      </c>
      <c r="H11" s="2367">
        <v>0</v>
      </c>
      <c r="I11" s="2367">
        <v>0</v>
      </c>
      <c r="J11" s="2370" t="s">
        <v>1599</v>
      </c>
      <c r="K11" s="2371" t="s">
        <v>1599</v>
      </c>
      <c r="M11" s="2370">
        <f>+IF(H11&gt;0,J11-D11,0)</f>
        <v>0</v>
      </c>
      <c r="N11" s="2358">
        <f>IF(H11&gt;0,K11-E11,0)</f>
        <v>0</v>
      </c>
      <c r="P11" s="2377" t="s">
        <v>230</v>
      </c>
      <c r="Q11" s="2367">
        <f>+H11</f>
        <v>0</v>
      </c>
      <c r="R11" s="2367">
        <f>+I11</f>
        <v>0</v>
      </c>
      <c r="S11" s="2370">
        <f>IF(Q11&gt;0,J11+(J11*$B$5),0)</f>
        <v>0</v>
      </c>
      <c r="T11" s="2378" t="s">
        <v>1599</v>
      </c>
    </row>
    <row r="12" spans="1:25" outlineLevel="1" x14ac:dyDescent="0.3">
      <c r="A12" s="2741" t="s">
        <v>1600</v>
      </c>
      <c r="B12" s="2742">
        <v>46</v>
      </c>
      <c r="C12" s="2742">
        <v>705</v>
      </c>
      <c r="D12" s="2743">
        <f>+'Rent Comp Builder'!C17</f>
        <v>1789.2857142857142</v>
      </c>
      <c r="E12" s="2744">
        <f>+IFERROR(D12/C12,0)</f>
        <v>2.5379939209726441</v>
      </c>
      <c r="G12" s="2354" t="s">
        <v>597</v>
      </c>
      <c r="H12" s="2367">
        <f>'Module Builder'!K97</f>
        <v>40</v>
      </c>
      <c r="I12" s="2367">
        <f>IFERROR('Module Builder'!O97/'Module Builder'!K97,0)</f>
        <v>639.20000000000005</v>
      </c>
      <c r="J12" s="2370">
        <f>IF($H12&gt;0,(($I12-$C12)*$B$4)+$D12,0)</f>
        <v>1707.0357142857142</v>
      </c>
      <c r="K12" s="2371">
        <f>+IFERROR(J12/I12,0)</f>
        <v>2.6705815304845339</v>
      </c>
      <c r="M12" s="2370">
        <f>+IF(H12&gt;0,J12-D12,0)</f>
        <v>-82.25</v>
      </c>
      <c r="N12" s="2358">
        <f>IF(H12&gt;0,K12-E12,0)</f>
        <v>0.13258760951188986</v>
      </c>
      <c r="P12" s="2377" t="s">
        <v>597</v>
      </c>
      <c r="Q12" s="2367">
        <f>+H12</f>
        <v>40</v>
      </c>
      <c r="R12" s="2367">
        <f t="shared" ref="R12:R18" si="0">+I12</f>
        <v>639.20000000000005</v>
      </c>
      <c r="S12" s="2370">
        <f>IF(Q12&gt;0,J12+(J12*SUM($B$5,$B$6)),0)</f>
        <v>1672.895</v>
      </c>
      <c r="T12" s="2379">
        <f>+IFERROR(S12/R12,0)</f>
        <v>2.6171698998748432</v>
      </c>
      <c r="V12" s="3" t="s">
        <v>815</v>
      </c>
      <c r="W12" s="2587">
        <f>+SUMPRODUCT(Q12:Q13,R12:R13)/SUM(Q12:Q13)</f>
        <v>698.85714285714289</v>
      </c>
      <c r="X12" s="2587">
        <f>+SUMPRODUCT(Q12:Q13,S12:S13)/SUM(Q12:Q13)</f>
        <v>1745.9750000000001</v>
      </c>
      <c r="Y12" s="2587">
        <f>+X12/W12</f>
        <v>2.4983289043336061</v>
      </c>
    </row>
    <row r="13" spans="1:25" outlineLevel="1" x14ac:dyDescent="0.3">
      <c r="A13" s="2741"/>
      <c r="B13" s="2742"/>
      <c r="C13" s="2742"/>
      <c r="D13" s="2743"/>
      <c r="E13" s="2744"/>
      <c r="G13" s="2354" t="s">
        <v>1464</v>
      </c>
      <c r="H13" s="2367">
        <f>'Module Builder'!K98</f>
        <v>72</v>
      </c>
      <c r="I13" s="2367">
        <f>IFERROR('Module Builder'!O98/'Module Builder'!K98,0)</f>
        <v>732</v>
      </c>
      <c r="J13" s="2370">
        <f>IF($H13&gt;0,(($I13-$C12)*$B$4)+$D12,0)</f>
        <v>1823.0357142857142</v>
      </c>
      <c r="K13" s="2371">
        <f t="shared" ref="K13:K16" si="1">+IFERROR(J13/I13,0)</f>
        <v>2.4904859484777515</v>
      </c>
      <c r="M13" s="2370">
        <f>+IF(H13&gt;0,J13-D12,0)</f>
        <v>33.75</v>
      </c>
      <c r="N13" s="2358">
        <f>IF(H13&gt;0,K13-E12,0)</f>
        <v>-4.7507972494892581E-2</v>
      </c>
      <c r="P13" s="2377" t="s">
        <v>1464</v>
      </c>
      <c r="Q13" s="2367">
        <f>+H13</f>
        <v>72</v>
      </c>
      <c r="R13" s="2367">
        <f t="shared" si="0"/>
        <v>732</v>
      </c>
      <c r="S13" s="2370">
        <f>IF(Q13&gt;0,J13+(J13*SUM($B$5,$B$6)),0)</f>
        <v>1786.575</v>
      </c>
      <c r="T13" s="2379">
        <f t="shared" ref="T13:T19" si="2">+IFERROR(S13/R13,0)</f>
        <v>2.4406762295081967</v>
      </c>
      <c r="V13" s="3" t="s">
        <v>818</v>
      </c>
      <c r="W13" s="2318">
        <f>+SUMPRODUCT(Q15:Q17,R15:R17)/SUM(Q15:Q17)</f>
        <v>945</v>
      </c>
      <c r="X13" s="2587">
        <f>+SUMPRODUCT(Q15:Q17,S15:S17)/SUM(Q15:Q17)</f>
        <v>2116.3916666666669</v>
      </c>
      <c r="Y13" s="2587">
        <f>+X13/W13</f>
        <v>2.2395679012345679</v>
      </c>
    </row>
    <row r="14" spans="1:25" outlineLevel="1" x14ac:dyDescent="0.3">
      <c r="A14" s="2741" t="s">
        <v>1601</v>
      </c>
      <c r="B14" s="2742">
        <v>0</v>
      </c>
      <c r="C14" s="2742">
        <v>0</v>
      </c>
      <c r="D14" s="2743">
        <v>0</v>
      </c>
      <c r="E14" s="2744">
        <f>+IFERROR(D14/C14,0)</f>
        <v>0</v>
      </c>
      <c r="G14" s="2354" t="s">
        <v>1465</v>
      </c>
      <c r="H14" s="2368">
        <f>'Module Builder'!K99</f>
        <v>0</v>
      </c>
      <c r="I14" s="2367">
        <f>IFERROR('Module Builder'!O99/'Module Builder'!K99,0)</f>
        <v>0</v>
      </c>
      <c r="J14" s="2370">
        <f>IF($H14&gt;0,(($I14-$C14)*$B$4)+$D14,0)</f>
        <v>0</v>
      </c>
      <c r="K14" s="2376">
        <f t="shared" si="1"/>
        <v>0</v>
      </c>
      <c r="M14" s="2370">
        <f>+IF(H14&gt;0,J14-D14,0)</f>
        <v>0</v>
      </c>
      <c r="N14" s="2358">
        <f>IF(H14&gt;0,K14-E14,0)</f>
        <v>0</v>
      </c>
      <c r="P14" s="2377" t="s">
        <v>1465</v>
      </c>
      <c r="Q14" s="2367">
        <f t="shared" ref="Q14:Q18" si="3">+H14</f>
        <v>0</v>
      </c>
      <c r="R14" s="2367">
        <f t="shared" si="0"/>
        <v>0</v>
      </c>
      <c r="S14" s="2370">
        <f t="shared" ref="S14:S18" si="4">IF(Q14&gt;0,J14+(J14*SUM($B$5,$B$6)),0)</f>
        <v>0</v>
      </c>
      <c r="T14" s="2379">
        <f t="shared" si="2"/>
        <v>0</v>
      </c>
      <c r="V14" s="3" t="s">
        <v>819</v>
      </c>
      <c r="W14" s="2587">
        <f>+SUMPRODUCT(Q18,R18)/SUM(Q18)</f>
        <v>1224.5</v>
      </c>
      <c r="X14" s="2587">
        <f>+SUMPRODUCT(Q18,S18)/SUM(Q18)</f>
        <v>2656.4124999999999</v>
      </c>
      <c r="Y14" s="2587">
        <f>+X14/W14</f>
        <v>2.1693854634544709</v>
      </c>
    </row>
    <row r="15" spans="1:25" outlineLevel="1" x14ac:dyDescent="0.3">
      <c r="A15" s="2741"/>
      <c r="B15" s="2742"/>
      <c r="C15" s="2742"/>
      <c r="D15" s="2743"/>
      <c r="E15" s="2744"/>
      <c r="G15" s="2206" t="s">
        <v>1466</v>
      </c>
      <c r="H15" s="2368">
        <f>'Module Builder'!K102</f>
        <v>24</v>
      </c>
      <c r="I15" s="2367">
        <f>IFERROR('Module Builder'!O102/'Module Builder'!K102,0)</f>
        <v>873</v>
      </c>
      <c r="J15" s="2370">
        <f>IF(B14&gt;0,IF($H15&gt;0,(($I15-$C14)*$B$4)+$D14,0),IF($H15&gt;0,(($I15-$C16)*$B$4)+$D16,0))</f>
        <v>2069.5833333333335</v>
      </c>
      <c r="K15" s="2371">
        <f>+IFERROR(J15/I15,0)</f>
        <v>2.3706567392134406</v>
      </c>
      <c r="M15" s="2370">
        <f>+IF(H15&gt;0,J15-D14,0)</f>
        <v>2069.5833333333335</v>
      </c>
      <c r="N15" s="2358">
        <f>IF(H15&gt;0,K15-E14,0)</f>
        <v>2.3706567392134406</v>
      </c>
      <c r="P15" s="2369" t="s">
        <v>1466</v>
      </c>
      <c r="Q15" s="2367">
        <f>+H15</f>
        <v>24</v>
      </c>
      <c r="R15" s="2367">
        <f>+I15</f>
        <v>873</v>
      </c>
      <c r="S15" s="2370">
        <f>IF(Q15&gt;0,J15+(J15*SUM($B$5,$B$6)),0)</f>
        <v>2028.1916666666668</v>
      </c>
      <c r="T15" s="2379">
        <f>+IFERROR(S15/R15,0)</f>
        <v>2.3232436044291718</v>
      </c>
      <c r="V15" s="3" t="s">
        <v>2566</v>
      </c>
      <c r="W15" s="2318">
        <f>+SUMPRODUCT(Q19,R19)/SUM(Q19)</f>
        <v>1315</v>
      </c>
      <c r="X15" s="2318">
        <f>+SUMPRODUCT(Q19,S19)/SUM(Q19)</f>
        <v>2300</v>
      </c>
      <c r="Y15" s="2587">
        <f>+X15/W15</f>
        <v>1.7490494296577948</v>
      </c>
    </row>
    <row r="16" spans="1:25" outlineLevel="1" x14ac:dyDescent="0.3">
      <c r="A16" s="2741" t="s">
        <v>1602</v>
      </c>
      <c r="B16" s="2742">
        <f>58-28</f>
        <v>30</v>
      </c>
      <c r="C16" s="2742">
        <v>1144</v>
      </c>
      <c r="D16" s="2743">
        <f>+'Rent Comp Builder'!C21</f>
        <v>2408.3333333333335</v>
      </c>
      <c r="E16" s="2744">
        <f>+IFERROR(D16/C16,0)</f>
        <v>2.1051864801864801</v>
      </c>
      <c r="G16" s="2206" t="s">
        <v>1467</v>
      </c>
      <c r="H16" s="2368">
        <f>'Module Builder'!K103</f>
        <v>32</v>
      </c>
      <c r="I16" s="2367">
        <f>IFERROR('Module Builder'!O103/'Module Builder'!K103,0)</f>
        <v>947.25</v>
      </c>
      <c r="J16" s="2370">
        <f>IF($H16&gt;0,(($I16-$C16)*$B$4)+$D16,0)</f>
        <v>2162.3958333333335</v>
      </c>
      <c r="K16" s="2371">
        <f t="shared" si="1"/>
        <v>2.2828142869710568</v>
      </c>
      <c r="M16" s="2370">
        <f>+IF(H16&gt;0,J16-D16,0)</f>
        <v>-245.9375</v>
      </c>
      <c r="N16" s="2358">
        <f>IF(H16&gt;0,K16-E16,0)</f>
        <v>0.17762780678457668</v>
      </c>
      <c r="P16" s="2369" t="s">
        <v>1467</v>
      </c>
      <c r="Q16" s="2367">
        <f t="shared" si="3"/>
        <v>32</v>
      </c>
      <c r="R16" s="2367">
        <f t="shared" si="0"/>
        <v>947.25</v>
      </c>
      <c r="S16" s="2370">
        <f t="shared" si="4"/>
        <v>2119.1479166666668</v>
      </c>
      <c r="T16" s="2379">
        <f t="shared" si="2"/>
        <v>2.2371580012316357</v>
      </c>
      <c r="V16" s="3" t="s">
        <v>2567</v>
      </c>
      <c r="W16" s="2587">
        <f>+SUMPRODUCT(Q20,R20)/SUM(Q20)</f>
        <v>1465.6666666666667</v>
      </c>
      <c r="X16" s="2318">
        <f>+SUMPRODUCT(Q20,S20)/SUM(Q20)</f>
        <v>2600</v>
      </c>
      <c r="Y16" s="2587">
        <f>+X16/W16</f>
        <v>1.7739367750739139</v>
      </c>
    </row>
    <row r="17" spans="1:22" outlineLevel="1" x14ac:dyDescent="0.3">
      <c r="A17" s="2741"/>
      <c r="B17" s="2742"/>
      <c r="C17" s="2742"/>
      <c r="D17" s="2743"/>
      <c r="E17" s="2744"/>
      <c r="G17" s="2354" t="s">
        <v>1468</v>
      </c>
      <c r="H17" s="2367">
        <f>'Module Builder'!K104</f>
        <v>24</v>
      </c>
      <c r="I17" s="2367">
        <f>IFERROR('Module Builder'!O104/'Module Builder'!K104,0)</f>
        <v>1014</v>
      </c>
      <c r="J17" s="2370">
        <f>IF($H17&gt;0,(($I17-$C16)*$B$4)+$D16,0)</f>
        <v>2245.8333333333335</v>
      </c>
      <c r="K17" s="2371">
        <f>+IFERROR(J17/I17,0)</f>
        <v>2.2148257725180804</v>
      </c>
      <c r="M17" s="2370">
        <f>+IF(H17&gt;0,J17-D16,0)</f>
        <v>-162.5</v>
      </c>
      <c r="N17" s="2358">
        <f>IF(H17&gt;0,K17-E16,0)</f>
        <v>0.1096392923316003</v>
      </c>
      <c r="O17" s="1319"/>
      <c r="P17" s="2377" t="s">
        <v>1468</v>
      </c>
      <c r="Q17" s="2367">
        <f t="shared" si="3"/>
        <v>24</v>
      </c>
      <c r="R17" s="2367">
        <f t="shared" si="0"/>
        <v>1014</v>
      </c>
      <c r="S17" s="2370">
        <f t="shared" si="4"/>
        <v>2200.916666666667</v>
      </c>
      <c r="T17" s="2379">
        <f t="shared" si="2"/>
        <v>2.1705292570677188</v>
      </c>
    </row>
    <row r="18" spans="1:22" outlineLevel="1" x14ac:dyDescent="0.3">
      <c r="A18" s="2354" t="s">
        <v>1603</v>
      </c>
      <c r="B18" s="2360">
        <f>31-14</f>
        <v>17</v>
      </c>
      <c r="C18" s="2360">
        <v>1340</v>
      </c>
      <c r="D18" s="2366">
        <f>+'Rent Comp Builder'!C25</f>
        <v>2855</v>
      </c>
      <c r="E18" s="2359">
        <f>+IFERROR(D18/C18,0)</f>
        <v>2.1305970149253732</v>
      </c>
      <c r="G18" s="2354" t="s">
        <v>1469</v>
      </c>
      <c r="H18" s="2367">
        <f>'Module Builder'!K107</f>
        <v>24</v>
      </c>
      <c r="I18" s="2367">
        <f>IFERROR('Module Builder'!O107/'Module Builder'!K107,0)</f>
        <v>1224.5</v>
      </c>
      <c r="J18" s="2370">
        <f>IF($H18&gt;0,(($I18-$C18)*$B$4)+$D18,0)</f>
        <v>2710.625</v>
      </c>
      <c r="K18" s="2371">
        <f>+IFERROR(J18/I18,0)</f>
        <v>2.2136586361780317</v>
      </c>
      <c r="M18" s="2370">
        <f>+IF(H18&gt;0,J18-D18,0)</f>
        <v>-144.375</v>
      </c>
      <c r="N18" s="2358">
        <f>IF(H18&gt;0,K18-E18,0)</f>
        <v>8.306162125265848E-2</v>
      </c>
      <c r="P18" s="2377" t="s">
        <v>1469</v>
      </c>
      <c r="Q18" s="2367">
        <f t="shared" si="3"/>
        <v>24</v>
      </c>
      <c r="R18" s="2367">
        <f t="shared" si="0"/>
        <v>1224.5</v>
      </c>
      <c r="S18" s="2370">
        <f t="shared" si="4"/>
        <v>2656.4124999999999</v>
      </c>
      <c r="T18" s="2379">
        <f t="shared" si="2"/>
        <v>2.1693854634544709</v>
      </c>
    </row>
    <row r="19" spans="1:22" outlineLevel="1" x14ac:dyDescent="0.3">
      <c r="A19" s="2354" t="s">
        <v>1604</v>
      </c>
      <c r="B19" s="2360">
        <v>28</v>
      </c>
      <c r="C19" s="2360">
        <v>1159</v>
      </c>
      <c r="D19" s="2366">
        <v>2299</v>
      </c>
      <c r="E19" s="2359">
        <f>+IFERROR(D19/C19,0)</f>
        <v>1.9836065573770492</v>
      </c>
      <c r="G19" s="2580" t="s">
        <v>1194</v>
      </c>
      <c r="H19" s="2578">
        <f>+'Operating Inputs'!E29</f>
        <v>10</v>
      </c>
      <c r="I19" s="2578">
        <v>1250</v>
      </c>
      <c r="J19" s="2579">
        <f>+J17</f>
        <v>2245.8333333333335</v>
      </c>
      <c r="K19" s="2371">
        <f>+IFERROR(J19/I19,0)</f>
        <v>1.7966666666666669</v>
      </c>
      <c r="M19" s="2370">
        <f>+IF(H19&gt;0,J19-D19,0)</f>
        <v>-53.166666666666515</v>
      </c>
      <c r="N19" s="2358">
        <f>IF(H19&gt;0,K19-E19,0)</f>
        <v>-0.18693989071038231</v>
      </c>
      <c r="P19" s="2581" t="s">
        <v>1194</v>
      </c>
      <c r="Q19" s="2578">
        <f>+H19</f>
        <v>10</v>
      </c>
      <c r="R19" s="2578">
        <f>+'Operating Inputs'!G29</f>
        <v>1315</v>
      </c>
      <c r="S19" s="2579">
        <v>2300</v>
      </c>
      <c r="T19" s="2379">
        <f t="shared" si="2"/>
        <v>1.7490494296577948</v>
      </c>
    </row>
    <row r="20" spans="1:22" outlineLevel="1" x14ac:dyDescent="0.3">
      <c r="A20" s="2354" t="s">
        <v>1605</v>
      </c>
      <c r="B20" s="2360">
        <v>14</v>
      </c>
      <c r="C20" s="2360">
        <v>1314</v>
      </c>
      <c r="D20" s="2366">
        <v>2520</v>
      </c>
      <c r="E20" s="2359">
        <f>+IFERROR(D20/C20,0)</f>
        <v>1.9178082191780821</v>
      </c>
      <c r="G20" s="2580" t="s">
        <v>1195</v>
      </c>
      <c r="H20" s="2578">
        <f>+'Operating Inputs'!E30</f>
        <v>20</v>
      </c>
      <c r="I20" s="2578">
        <v>1350</v>
      </c>
      <c r="J20" s="2579">
        <f>+J18</f>
        <v>2710.625</v>
      </c>
      <c r="K20" s="2371">
        <f>+IFERROR(J20/I20,0)</f>
        <v>2.0078703703703704</v>
      </c>
      <c r="M20" s="2370">
        <f>+IF(H20&gt;0,J20-D20,0)</f>
        <v>190.625</v>
      </c>
      <c r="N20" s="2358">
        <f>IF(H20&gt;0,K20-E20,0)</f>
        <v>9.0062151192288331E-2</v>
      </c>
      <c r="P20" s="2581" t="s">
        <v>1195</v>
      </c>
      <c r="Q20" s="2578">
        <v>30</v>
      </c>
      <c r="R20" s="2578">
        <f>+SUMPRODUCT('Operating Inputs'!E30:E31,'Operating Inputs'!G30:G31)/SUM('Operating Inputs'!E30:E31)</f>
        <v>1465.6666666666667</v>
      </c>
      <c r="S20" s="2579">
        <v>2600</v>
      </c>
      <c r="T20" s="2379">
        <f t="shared" ref="T20" si="5">+IFERROR(S20/R20,0)</f>
        <v>1.7739367750739139</v>
      </c>
    </row>
    <row r="21" spans="1:22" s="2199" customFormat="1" outlineLevel="1" x14ac:dyDescent="0.3">
      <c r="A21" s="2401" t="s">
        <v>1606</v>
      </c>
      <c r="B21" s="2403">
        <f>SUM(B11:B18)</f>
        <v>108</v>
      </c>
      <c r="C21" s="2404">
        <f>SUMPRODUCT(B11:B18,C11:C18)/B21</f>
        <v>828.98148148148152</v>
      </c>
      <c r="D21" s="2402">
        <f>SUMPRODUCT(B11:B18,D11:D18)/B21</f>
        <v>1880.482804232804</v>
      </c>
      <c r="E21" s="2405">
        <f>D21/C21</f>
        <v>2.2684255875923469</v>
      </c>
      <c r="F21" s="3"/>
      <c r="G21" s="2406" t="s">
        <v>173</v>
      </c>
      <c r="H21" s="2407">
        <f>SUM(H11:H20)</f>
        <v>246</v>
      </c>
      <c r="I21" s="2407">
        <f>SUMPRODUCT(I11:I20,H11:H20)/H21</f>
        <v>905.52845528455282</v>
      </c>
      <c r="J21" s="2408">
        <f>SUMPRODUCT(J11:J20,H11:H20)/H21</f>
        <v>2089.5630081300815</v>
      </c>
      <c r="K21" s="2409">
        <f>IFERROR(J21/I21,0)</f>
        <v>2.3075619500808049</v>
      </c>
      <c r="M21" s="2410">
        <f>+J21-D21</f>
        <v>209.08020389727744</v>
      </c>
      <c r="N21" s="2411">
        <f>K21-E21</f>
        <v>3.9136362488457976E-2</v>
      </c>
      <c r="P21" s="2412" t="s">
        <v>173</v>
      </c>
      <c r="Q21" s="2407">
        <f>SUM(Q11:Q20)</f>
        <v>256</v>
      </c>
      <c r="R21" s="2407">
        <f>SUMPRODUCT(R11:R20,$Q$11:$Q$20)/Q21</f>
        <v>938.984375</v>
      </c>
      <c r="S21" s="2413">
        <f>SUMPRODUCT(S11:S20,$Q$11:$Q$20)/$Q$21</f>
        <v>2068.8063802083334</v>
      </c>
      <c r="T21" s="2414">
        <f>IFERROR(S21/R21,0)</f>
        <v>2.2032383448428878</v>
      </c>
      <c r="U21" s="3"/>
      <c r="V21" s="3"/>
    </row>
    <row r="22" spans="1:22" x14ac:dyDescent="0.3">
      <c r="A22" s="2577" t="s">
        <v>1607</v>
      </c>
      <c r="E22" s="2317"/>
      <c r="H22" s="2318"/>
      <c r="I22" s="2318"/>
      <c r="J22" s="2319"/>
      <c r="K22" s="2320"/>
      <c r="N22" s="2321"/>
      <c r="Q22" s="2316"/>
      <c r="R22" s="2316"/>
      <c r="S22" s="2316"/>
      <c r="T22" s="2316"/>
    </row>
    <row r="23" spans="1:22" customFormat="1" x14ac:dyDescent="0.3">
      <c r="A23" s="2347" t="s">
        <v>694</v>
      </c>
      <c r="B23" s="2347"/>
      <c r="K23" s="2341"/>
      <c r="N23" s="2375"/>
    </row>
    <row r="24" spans="1:22" x14ac:dyDescent="0.3">
      <c r="A24" s="2323" t="s">
        <v>1608</v>
      </c>
      <c r="B24" s="2362">
        <v>35</v>
      </c>
    </row>
    <row r="25" spans="1:22" x14ac:dyDescent="0.3">
      <c r="A25" s="2206" t="s">
        <v>1609</v>
      </c>
      <c r="B25" s="2363">
        <f>+AVERAGE('Rent Comp Builder'!I66)</f>
        <v>108</v>
      </c>
      <c r="C25" s="3" t="s">
        <v>1610</v>
      </c>
    </row>
    <row r="26" spans="1:22" x14ac:dyDescent="0.3">
      <c r="A26" s="2324" t="s">
        <v>695</v>
      </c>
      <c r="B26" s="2260">
        <f>B30+(SUM(B27:B29)/12)</f>
        <v>49.583333333333336</v>
      </c>
    </row>
    <row r="27" spans="1:22" x14ac:dyDescent="0.3">
      <c r="A27" s="2325" t="s">
        <v>1611</v>
      </c>
      <c r="B27" s="2363">
        <v>200</v>
      </c>
    </row>
    <row r="28" spans="1:22" x14ac:dyDescent="0.3">
      <c r="A28" s="2325" t="s">
        <v>1612</v>
      </c>
      <c r="B28" s="2363">
        <f>+'Rent Comp Builder'!I62</f>
        <v>70</v>
      </c>
    </row>
    <row r="29" spans="1:22" x14ac:dyDescent="0.3">
      <c r="A29" s="2325" t="s">
        <v>1613</v>
      </c>
      <c r="B29" s="2363">
        <v>325</v>
      </c>
    </row>
    <row r="30" spans="1:22" x14ac:dyDescent="0.3">
      <c r="A30" s="2325" t="s">
        <v>1614</v>
      </c>
      <c r="B30" s="2363">
        <v>0</v>
      </c>
    </row>
    <row r="31" spans="1:22" x14ac:dyDescent="0.3">
      <c r="B31" s="2326"/>
    </row>
    <row r="32" spans="1:22" x14ac:dyDescent="0.3">
      <c r="A32" s="2347" t="s">
        <v>1615</v>
      </c>
      <c r="B32" s="2347"/>
    </row>
    <row r="33" spans="1:13" x14ac:dyDescent="0.3">
      <c r="A33" s="2206" t="s">
        <v>1616</v>
      </c>
      <c r="B33" s="2363">
        <v>0</v>
      </c>
      <c r="C33" s="2202"/>
    </row>
    <row r="34" spans="1:13" x14ac:dyDescent="0.3">
      <c r="A34" s="2206" t="s">
        <v>1617</v>
      </c>
      <c r="B34" s="2363">
        <v>100</v>
      </c>
    </row>
    <row r="35" spans="1:13" x14ac:dyDescent="0.3">
      <c r="A35" s="2206" t="s">
        <v>1618</v>
      </c>
      <c r="B35" s="2363">
        <v>0</v>
      </c>
      <c r="C35" s="3" t="s">
        <v>1619</v>
      </c>
      <c r="M35" s="108"/>
    </row>
    <row r="36" spans="1:13" x14ac:dyDescent="0.3">
      <c r="A36" s="2206" t="s">
        <v>1620</v>
      </c>
      <c r="B36" s="2363">
        <v>45</v>
      </c>
    </row>
    <row r="38" spans="1:13" x14ac:dyDescent="0.3">
      <c r="A38" s="2347" t="s">
        <v>260</v>
      </c>
      <c r="B38" s="2347"/>
      <c r="C38" s="2347"/>
      <c r="D38" s="2347"/>
      <c r="E38" s="2347"/>
      <c r="F38" s="2347"/>
      <c r="G38" s="2347"/>
      <c r="H38" s="2347"/>
      <c r="I38" s="2347"/>
      <c r="J38" s="2347"/>
    </row>
    <row r="39" spans="1:13" x14ac:dyDescent="0.3">
      <c r="A39" s="1783"/>
      <c r="B39" s="1783"/>
      <c r="C39" s="1783"/>
      <c r="D39" s="1783"/>
      <c r="E39" s="1783"/>
      <c r="F39" s="2740" t="s">
        <v>1621</v>
      </c>
      <c r="G39" s="2740"/>
      <c r="H39" s="2740"/>
      <c r="I39" s="2740"/>
      <c r="J39" s="2740"/>
    </row>
    <row r="40" spans="1:13" x14ac:dyDescent="0.3">
      <c r="A40" s="2346" t="s">
        <v>1622</v>
      </c>
      <c r="B40" s="2346" t="s">
        <v>1623</v>
      </c>
      <c r="C40" s="2346" t="s">
        <v>1624</v>
      </c>
      <c r="D40" s="2346" t="s">
        <v>1625</v>
      </c>
      <c r="F40" s="2356" t="s">
        <v>1626</v>
      </c>
      <c r="G40" s="2356" t="s">
        <v>1627</v>
      </c>
      <c r="H40" s="2356" t="s">
        <v>1628</v>
      </c>
      <c r="I40" s="2356" t="s">
        <v>1629</v>
      </c>
      <c r="J40" s="2383" t="s">
        <v>1122</v>
      </c>
    </row>
    <row r="41" spans="1:13" x14ac:dyDescent="0.3">
      <c r="A41" s="2328" t="s">
        <v>700</v>
      </c>
      <c r="B41" s="2260">
        <f>I41</f>
        <v>422</v>
      </c>
      <c r="C41" s="2374">
        <v>0</v>
      </c>
      <c r="D41" s="2327">
        <f>B41*(1+C41)</f>
        <v>422</v>
      </c>
      <c r="F41" s="2260">
        <v>369</v>
      </c>
      <c r="G41" s="2260">
        <v>422</v>
      </c>
      <c r="H41" s="2260">
        <v>380</v>
      </c>
      <c r="I41" s="2363">
        <v>422</v>
      </c>
      <c r="J41" s="2363"/>
    </row>
    <row r="42" spans="1:13" x14ac:dyDescent="0.3">
      <c r="A42" s="2328" t="s">
        <v>678</v>
      </c>
      <c r="B42" s="2260">
        <f>I42</f>
        <v>357</v>
      </c>
      <c r="C42" s="2374">
        <v>0</v>
      </c>
      <c r="D42" s="2327">
        <f t="shared" ref="D42:D48" si="6">B42*(1+C42)</f>
        <v>357</v>
      </c>
      <c r="F42" s="2260">
        <v>340</v>
      </c>
      <c r="G42" s="2260">
        <v>371</v>
      </c>
      <c r="H42" s="2260">
        <v>344</v>
      </c>
      <c r="I42" s="2363">
        <v>357</v>
      </c>
      <c r="J42" s="2363"/>
    </row>
    <row r="43" spans="1:13" x14ac:dyDescent="0.3">
      <c r="A43" s="2328" t="s">
        <v>701</v>
      </c>
      <c r="B43" s="2260">
        <f t="shared" ref="B43:B49" si="7">I43</f>
        <v>1587</v>
      </c>
      <c r="C43" s="2374">
        <v>0</v>
      </c>
      <c r="D43" s="2327">
        <f>B43*(1+C43)</f>
        <v>1587</v>
      </c>
      <c r="F43" s="2260">
        <v>1634</v>
      </c>
      <c r="G43" s="2260">
        <v>1605</v>
      </c>
      <c r="H43" s="2260">
        <v>1605</v>
      </c>
      <c r="I43" s="2363">
        <v>1587</v>
      </c>
      <c r="J43" s="2363"/>
    </row>
    <row r="44" spans="1:13" x14ac:dyDescent="0.3">
      <c r="A44" s="2328" t="s">
        <v>702</v>
      </c>
      <c r="B44" s="2260">
        <f>I44</f>
        <v>476</v>
      </c>
      <c r="C44" s="2374">
        <v>0</v>
      </c>
      <c r="D44" s="2327">
        <f t="shared" si="6"/>
        <v>476</v>
      </c>
      <c r="F44" s="2260">
        <v>505</v>
      </c>
      <c r="G44" s="2260">
        <v>517</v>
      </c>
      <c r="H44" s="2260">
        <f>1324-H46</f>
        <v>476</v>
      </c>
      <c r="I44" s="2363">
        <f>143+139+194</f>
        <v>476</v>
      </c>
      <c r="J44" s="2363"/>
    </row>
    <row r="45" spans="1:13" x14ac:dyDescent="0.3">
      <c r="A45" s="2328" t="s">
        <v>704</v>
      </c>
      <c r="B45" s="2260">
        <f t="shared" si="7"/>
        <v>1236</v>
      </c>
      <c r="C45" s="2374">
        <v>0</v>
      </c>
      <c r="D45" s="2327">
        <f t="shared" si="6"/>
        <v>1236</v>
      </c>
      <c r="F45" s="2260">
        <v>1411</v>
      </c>
      <c r="G45" s="2260">
        <v>1385</v>
      </c>
      <c r="H45" s="2260">
        <v>1337</v>
      </c>
      <c r="I45" s="2363">
        <v>1236</v>
      </c>
      <c r="J45" s="2363"/>
    </row>
    <row r="46" spans="1:13" x14ac:dyDescent="0.3">
      <c r="A46" s="2328" t="s">
        <v>703</v>
      </c>
      <c r="B46" s="2260">
        <f t="shared" si="7"/>
        <v>855</v>
      </c>
      <c r="C46" s="2374">
        <v>0</v>
      </c>
      <c r="D46" s="2327">
        <f t="shared" si="6"/>
        <v>855</v>
      </c>
      <c r="F46" s="2260">
        <v>890</v>
      </c>
      <c r="G46" s="2260">
        <v>964</v>
      </c>
      <c r="H46" s="2260">
        <v>848</v>
      </c>
      <c r="I46" s="2363">
        <v>855</v>
      </c>
      <c r="J46" s="2363"/>
    </row>
    <row r="47" spans="1:13" x14ac:dyDescent="0.3">
      <c r="A47" s="2328" t="s">
        <v>671</v>
      </c>
      <c r="B47" s="2260">
        <f t="shared" si="7"/>
        <v>436</v>
      </c>
      <c r="C47" s="2374">
        <v>0</v>
      </c>
      <c r="D47" s="2327">
        <f>B47*(1+C47)</f>
        <v>436</v>
      </c>
      <c r="F47" s="2260">
        <v>650</v>
      </c>
      <c r="G47" s="2260">
        <v>650</v>
      </c>
      <c r="H47" s="2260">
        <v>541</v>
      </c>
      <c r="I47" s="2363">
        <v>436</v>
      </c>
      <c r="J47" s="2363"/>
    </row>
    <row r="48" spans="1:13" x14ac:dyDescent="0.3">
      <c r="A48" s="2328" t="s">
        <v>706</v>
      </c>
      <c r="B48" s="2260">
        <f>I48</f>
        <v>200</v>
      </c>
      <c r="C48" s="2374">
        <v>0</v>
      </c>
      <c r="D48" s="2327">
        <f t="shared" si="6"/>
        <v>200</v>
      </c>
      <c r="F48" s="2260">
        <v>200</v>
      </c>
      <c r="G48" s="2260">
        <v>200</v>
      </c>
      <c r="H48" s="2260">
        <v>200</v>
      </c>
      <c r="I48" s="2363">
        <v>200</v>
      </c>
      <c r="J48" s="2363"/>
    </row>
    <row r="49" spans="1:10" x14ac:dyDescent="0.3">
      <c r="A49" s="2328" t="s">
        <v>711</v>
      </c>
      <c r="B49" s="2260">
        <f t="shared" si="7"/>
        <v>1</v>
      </c>
      <c r="C49" s="2374">
        <v>0</v>
      </c>
      <c r="D49" s="2327">
        <f>B49*(1+C49)</f>
        <v>1</v>
      </c>
      <c r="F49" s="2260">
        <v>1</v>
      </c>
      <c r="G49" s="2260">
        <v>1</v>
      </c>
      <c r="H49" s="2260">
        <v>1</v>
      </c>
      <c r="I49" s="2363">
        <v>1</v>
      </c>
      <c r="J49" s="2363"/>
    </row>
    <row r="50" spans="1:10" x14ac:dyDescent="0.3">
      <c r="A50" s="2372"/>
      <c r="B50" s="2372"/>
      <c r="C50" s="2372"/>
    </row>
    <row r="51" spans="1:10" x14ac:dyDescent="0.3">
      <c r="A51" s="2372"/>
      <c r="C51" s="2373"/>
      <c r="E51" s="2206" t="s">
        <v>1630</v>
      </c>
      <c r="F51" s="2330">
        <v>294</v>
      </c>
      <c r="G51" s="2330">
        <v>234</v>
      </c>
      <c r="H51" s="2330">
        <v>264</v>
      </c>
      <c r="I51" s="2330">
        <v>250</v>
      </c>
      <c r="J51" s="2330"/>
    </row>
    <row r="52" spans="1:10" x14ac:dyDescent="0.3">
      <c r="A52" s="2372"/>
      <c r="C52" s="2373"/>
      <c r="E52" s="2206" t="s">
        <v>1</v>
      </c>
      <c r="F52" s="2424">
        <v>45992</v>
      </c>
      <c r="G52" s="2424">
        <v>46113</v>
      </c>
      <c r="H52" s="2424">
        <v>45992</v>
      </c>
      <c r="I52" s="2424">
        <v>46146</v>
      </c>
      <c r="J52" s="2332"/>
    </row>
    <row r="54" spans="1:10" x14ac:dyDescent="0.3">
      <c r="A54" s="2347" t="s">
        <v>1025</v>
      </c>
      <c r="B54" s="2347"/>
      <c r="C54" s="2347"/>
      <c r="D54" s="2347"/>
      <c r="E54" s="2347"/>
      <c r="F54" s="2347"/>
    </row>
    <row r="55" spans="1:10" x14ac:dyDescent="0.3">
      <c r="A55" s="2311" t="s">
        <v>1631</v>
      </c>
      <c r="B55" s="2353" t="s">
        <v>955</v>
      </c>
      <c r="C55" s="2353" t="s">
        <v>955</v>
      </c>
      <c r="D55" s="2353" t="s">
        <v>955</v>
      </c>
      <c r="E55" s="2353" t="s">
        <v>955</v>
      </c>
      <c r="F55" s="2353" t="s">
        <v>955</v>
      </c>
    </row>
    <row r="56" spans="1:10" x14ac:dyDescent="0.3">
      <c r="A56" s="2311" t="s">
        <v>1632</v>
      </c>
      <c r="B56" s="2353" t="s">
        <v>1633</v>
      </c>
      <c r="C56" s="2353" t="s">
        <v>1634</v>
      </c>
      <c r="D56" s="2353" t="s">
        <v>1635</v>
      </c>
      <c r="E56" s="2353" t="s">
        <v>1584</v>
      </c>
      <c r="F56" s="2353" t="s">
        <v>1636</v>
      </c>
    </row>
    <row r="58" spans="1:10" x14ac:dyDescent="0.3">
      <c r="A58" s="2310" t="s">
        <v>1637</v>
      </c>
      <c r="B58" s="2162">
        <v>68407600</v>
      </c>
      <c r="C58" s="2162">
        <v>95500000</v>
      </c>
      <c r="D58" s="2162">
        <v>58485400</v>
      </c>
      <c r="E58" s="2162">
        <f>43981400+3463000</f>
        <v>47444400</v>
      </c>
      <c r="F58" s="2162">
        <f>2058500+77051600</f>
        <v>79110100</v>
      </c>
    </row>
    <row r="59" spans="1:10" x14ac:dyDescent="0.3">
      <c r="A59" s="2310" t="s">
        <v>1638</v>
      </c>
      <c r="B59" s="2162">
        <v>308306</v>
      </c>
      <c r="C59" s="2162">
        <v>430409</v>
      </c>
      <c r="D59" s="2162">
        <v>263588</v>
      </c>
      <c r="E59" s="2162">
        <f>198220+15607</f>
        <v>213827</v>
      </c>
      <c r="F59" s="2162">
        <f>E60*F58</f>
        <v>356541.03229675163</v>
      </c>
    </row>
    <row r="60" spans="1:10" x14ac:dyDescent="0.3">
      <c r="A60" s="2310" t="s">
        <v>1639</v>
      </c>
      <c r="B60" s="2329">
        <f>B59/B58</f>
        <v>4.5068968944971029E-3</v>
      </c>
      <c r="C60" s="2329">
        <f>C59/C58</f>
        <v>4.5069005235602094E-3</v>
      </c>
      <c r="D60" s="2329">
        <f>D59/D58</f>
        <v>4.5069025773953842E-3</v>
      </c>
      <c r="E60" s="2329">
        <f>E59/E58</f>
        <v>4.5068964935798539E-3</v>
      </c>
      <c r="F60" s="2329">
        <f>F59/F58</f>
        <v>4.5068964935798539E-3</v>
      </c>
    </row>
    <row r="61" spans="1:10" x14ac:dyDescent="0.3">
      <c r="A61" s="2310" t="s">
        <v>1630</v>
      </c>
      <c r="B61" s="2330">
        <v>276</v>
      </c>
      <c r="C61" s="2330">
        <v>336</v>
      </c>
      <c r="D61" s="2330">
        <v>240</v>
      </c>
      <c r="E61" s="2330">
        <v>135</v>
      </c>
      <c r="F61" s="2330">
        <v>396</v>
      </c>
    </row>
    <row r="62" spans="1:10" x14ac:dyDescent="0.3">
      <c r="A62" s="2310" t="s">
        <v>1640</v>
      </c>
      <c r="B62" s="2331">
        <f>IF(ISERROR(B59/B61),1,B59/B61)</f>
        <v>1117.0507246376812</v>
      </c>
      <c r="C62" s="2331">
        <f t="shared" ref="C62" si="8">IF(ISERROR(C59/C61),1,C59/C61)</f>
        <v>1280.9791666666667</v>
      </c>
      <c r="D62" s="2331">
        <f>IF(ISERROR(D59/D61),1,D59/D61)</f>
        <v>1098.2833333333333</v>
      </c>
      <c r="E62" s="2331">
        <f>IF(ISERROR(E59/E61),1,E59/E61)</f>
        <v>1583.9037037037037</v>
      </c>
      <c r="F62" s="2331">
        <f t="shared" ref="F62" si="9">IF(ISERROR(F59/F61),1,F59/F61)</f>
        <v>900.35614216351416</v>
      </c>
    </row>
    <row r="63" spans="1:10" x14ac:dyDescent="0.3">
      <c r="A63" s="2310" t="s">
        <v>1641</v>
      </c>
      <c r="B63" s="2330">
        <v>928</v>
      </c>
      <c r="C63" s="2330">
        <v>919</v>
      </c>
      <c r="D63" s="2330">
        <v>798</v>
      </c>
      <c r="E63" s="2330">
        <v>1158</v>
      </c>
      <c r="F63" s="2330">
        <v>691</v>
      </c>
    </row>
    <row r="64" spans="1:10" x14ac:dyDescent="0.3">
      <c r="A64" s="2310" t="s">
        <v>1642</v>
      </c>
      <c r="B64" s="2332">
        <v>0.1</v>
      </c>
      <c r="C64" s="2332">
        <v>0.3</v>
      </c>
      <c r="D64" s="2332">
        <v>0.2</v>
      </c>
      <c r="E64" s="2332">
        <v>0.2</v>
      </c>
      <c r="F64" s="2332">
        <v>0.2</v>
      </c>
    </row>
    <row r="65" spans="1:6" x14ac:dyDescent="0.3">
      <c r="A65"/>
      <c r="B65"/>
      <c r="C65"/>
      <c r="D65"/>
      <c r="E65"/>
      <c r="F65"/>
    </row>
    <row r="66" spans="1:6" x14ac:dyDescent="0.3">
      <c r="A66" s="2310" t="s">
        <v>1643</v>
      </c>
      <c r="B66" s="2365">
        <f>AVERAGE(B60:F60)</f>
        <v>4.5068985965224812E-3</v>
      </c>
      <c r="C66"/>
      <c r="D66"/>
      <c r="E66"/>
      <c r="F66"/>
    </row>
    <row r="67" spans="1:6" x14ac:dyDescent="0.3">
      <c r="A67"/>
      <c r="B67"/>
      <c r="C67"/>
      <c r="D67"/>
      <c r="E67"/>
      <c r="F67"/>
    </row>
    <row r="68" spans="1:6" x14ac:dyDescent="0.3">
      <c r="A68" s="2310" t="s">
        <v>1644</v>
      </c>
      <c r="B68" s="2335">
        <f>B58*B66</f>
        <v>308306.11643147131</v>
      </c>
      <c r="C68" s="2335">
        <f>C58*B66</f>
        <v>430408.81596789695</v>
      </c>
      <c r="D68" s="2333">
        <f>D58*B66</f>
        <v>263587.76717705594</v>
      </c>
      <c r="E68" s="2333">
        <f>E58*B66</f>
        <v>213827.09977285122</v>
      </c>
      <c r="F68" s="2333">
        <f>F58*B66</f>
        <v>356541.19866075314</v>
      </c>
    </row>
    <row r="69" spans="1:6" x14ac:dyDescent="0.3">
      <c r="A69" s="2310" t="s">
        <v>1645</v>
      </c>
      <c r="B69" s="2333">
        <f>B68/B61</f>
        <v>1117.0511464908382</v>
      </c>
      <c r="C69" s="2333">
        <f>C68/C61</f>
        <v>1280.9786189520742</v>
      </c>
      <c r="D69" s="2333">
        <f t="shared" ref="D69" si="10">D68/D61</f>
        <v>1098.2823632377331</v>
      </c>
      <c r="E69" s="2333">
        <f>E68/E61</f>
        <v>1583.9044427618608</v>
      </c>
      <c r="F69" s="2333">
        <f>F68/F61</f>
        <v>900.35656227462914</v>
      </c>
    </row>
    <row r="70" spans="1:6" x14ac:dyDescent="0.3">
      <c r="A70" s="2310" t="s">
        <v>1646</v>
      </c>
      <c r="B70" s="2333">
        <f>(1+(AvgUnitSize-B63)/B63)*B69</f>
        <v>1130.2732463693244</v>
      </c>
      <c r="C70" s="2333">
        <f>(1+(AvgUnitSize-C63)/C63)*C69</f>
        <v>1308.8345026170584</v>
      </c>
      <c r="D70" s="2333">
        <f>(1+(AvgUnitSize-D63)/D63)*D69</f>
        <v>1292.3182686946186</v>
      </c>
      <c r="E70" s="2333">
        <f>(1+(AvgUnitSize-E63)/E63)*E69</f>
        <v>1284.3363758605087</v>
      </c>
      <c r="F70" s="2333">
        <f>(1+(AvgUnitSize-F63)/F63)*F69</f>
        <v>1223.474303769307</v>
      </c>
    </row>
    <row r="71" spans="1:6" x14ac:dyDescent="0.3">
      <c r="A71"/>
      <c r="B71"/>
      <c r="C71"/>
      <c r="D71"/>
    </row>
    <row r="72" spans="1:6" x14ac:dyDescent="0.3">
      <c r="A72" s="2310" t="s">
        <v>1647</v>
      </c>
      <c r="B72" s="2333">
        <f>IFERROR(SUMPRODUCT(B64:F64,B70:F70),1500)</f>
        <v>1265.7034650869368</v>
      </c>
      <c r="C72" t="str">
        <f>IF(B72=1500,"Check","")</f>
        <v/>
      </c>
      <c r="D72"/>
      <c r="F72"/>
    </row>
    <row r="73" spans="1:6" x14ac:dyDescent="0.3">
      <c r="A73"/>
      <c r="B73"/>
      <c r="C73"/>
      <c r="D73"/>
      <c r="F73"/>
    </row>
    <row r="74" spans="1:6" x14ac:dyDescent="0.3">
      <c r="A74" s="2206" t="s">
        <v>1648</v>
      </c>
      <c r="B74" s="2333">
        <f>B72*Units</f>
        <v>324020.08706225583</v>
      </c>
    </row>
    <row r="75" spans="1:6" x14ac:dyDescent="0.3">
      <c r="A75" s="2206" t="s">
        <v>1649</v>
      </c>
      <c r="B75" s="2333">
        <f>B74/B66</f>
        <v>71894248.366774753</v>
      </c>
    </row>
    <row r="76" spans="1:6" x14ac:dyDescent="0.3">
      <c r="A76" s="2229" t="s">
        <v>1650</v>
      </c>
      <c r="B76" s="2336">
        <f ca="1">B75/'Operating Inputs'!I173</f>
        <v>0.92219849663741671</v>
      </c>
    </row>
  </sheetData>
  <mergeCells count="20">
    <mergeCell ref="A9:E9"/>
    <mergeCell ref="G9:K9"/>
    <mergeCell ref="M9:N9"/>
    <mergeCell ref="P9:T9"/>
    <mergeCell ref="A12:A13"/>
    <mergeCell ref="B12:B13"/>
    <mergeCell ref="C12:C13"/>
    <mergeCell ref="D12:D13"/>
    <mergeCell ref="E12:E13"/>
    <mergeCell ref="F39:J39"/>
    <mergeCell ref="A14:A15"/>
    <mergeCell ref="B14:B15"/>
    <mergeCell ref="C14:C15"/>
    <mergeCell ref="D14:D15"/>
    <mergeCell ref="E14:E15"/>
    <mergeCell ref="A16:A17"/>
    <mergeCell ref="B16:B17"/>
    <mergeCell ref="C16:C17"/>
    <mergeCell ref="D16:D17"/>
    <mergeCell ref="E16:E17"/>
  </mergeCells>
  <conditionalFormatting sqref="A58:A59">
    <cfRule type="expression" dxfId="162" priority="14">
      <formula>$E$142&gt;0</formula>
    </cfRule>
  </conditionalFormatting>
  <conditionalFormatting sqref="A61">
    <cfRule type="expression" dxfId="161" priority="13">
      <formula>$E$142&gt;0</formula>
    </cfRule>
  </conditionalFormatting>
  <conditionalFormatting sqref="A63:A64">
    <cfRule type="expression" dxfId="160" priority="12">
      <formula>$E$142&gt;0</formula>
    </cfRule>
  </conditionalFormatting>
  <conditionalFormatting sqref="A68:A70">
    <cfRule type="expression" dxfId="159" priority="11">
      <formula>$E$142&gt;0</formula>
    </cfRule>
  </conditionalFormatting>
  <conditionalFormatting sqref="A72">
    <cfRule type="expression" dxfId="158" priority="10">
      <formula>$E$142&gt;0</formula>
    </cfRule>
  </conditionalFormatting>
  <conditionalFormatting sqref="A66">
    <cfRule type="expression" dxfId="157" priority="9">
      <formula>$E$142&gt;0</formula>
    </cfRule>
  </conditionalFormatting>
  <conditionalFormatting sqref="B58:C59">
    <cfRule type="expression" dxfId="156" priority="8">
      <formula>$E$142&gt;0</formula>
    </cfRule>
  </conditionalFormatting>
  <conditionalFormatting sqref="D58:D59">
    <cfRule type="expression" dxfId="155" priority="6">
      <formula>$E$142&gt;0</formula>
    </cfRule>
  </conditionalFormatting>
  <conditionalFormatting sqref="F58:F59">
    <cfRule type="expression" dxfId="154" priority="3">
      <formula>$E$142&gt;0</formula>
    </cfRule>
  </conditionalFormatting>
  <conditionalFormatting sqref="E58:E59">
    <cfRule type="expression" dxfId="153" priority="2">
      <formula>$E$142&gt;0</formula>
    </cfRule>
  </conditionalFormatting>
  <pageMargins left="0.7" right="0.7" top="0.75" bottom="0.75" header="0.3" footer="0.3"/>
  <ignoredErrors>
    <ignoredError sqref="G11 E12 E17 K11:L11 D42 D44:D46 H17:I17 H16:I16 H18:I18 H14:I14 H13:I13 H15 I12 H12 K12 K15 O11 O16 O14 O13 O17 O12 M11:N11 M15:T15 M12:N12 P12:T12 M18:T18 M17:N17 P17:T17 M13:N13 P13:T13 M14:N14 P14:T14 M16:N16 P16:T16 P11:T11 E14 E16 E18 M21:P21 D48:D49" unlockedFormula="1"/>
    <ignoredError sqref="J16 J18 J13 J17 J14 K18 K17 K16 K13:K14" formula="1" unlockedFormula="1"/>
  </ignoredError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300281-86BB-4659-A5F9-066EE8BA8749}">
  <sheetPr codeName="Sheet40"/>
  <dimension ref="A1:T24"/>
  <sheetViews>
    <sheetView workbookViewId="0">
      <selection activeCell="D8" sqref="D8"/>
    </sheetView>
  </sheetViews>
  <sheetFormatPr defaultRowHeight="14.4" x14ac:dyDescent="0.3"/>
  <cols>
    <col min="1" max="5" width="17.109375" customWidth="1"/>
  </cols>
  <sheetData>
    <row r="1" spans="1:20" x14ac:dyDescent="0.3">
      <c r="A1" s="2346" t="s">
        <v>1073</v>
      </c>
      <c r="B1" s="2452" t="s">
        <v>1192</v>
      </c>
      <c r="C1" s="3"/>
      <c r="D1" s="3"/>
      <c r="E1" s="3"/>
      <c r="F1" s="3"/>
      <c r="G1" s="3"/>
      <c r="H1" s="3"/>
      <c r="I1" s="3"/>
      <c r="J1" s="3"/>
      <c r="K1" s="3"/>
      <c r="L1" s="3"/>
      <c r="M1" s="3"/>
      <c r="N1" s="3"/>
      <c r="O1" s="3"/>
      <c r="P1" s="3"/>
      <c r="Q1" s="2316"/>
      <c r="R1" s="2316"/>
      <c r="S1" s="2316"/>
      <c r="T1" s="2316"/>
    </row>
    <row r="2" spans="1:20" x14ac:dyDescent="0.3">
      <c r="A2" s="2311" t="s">
        <v>1583</v>
      </c>
      <c r="B2" s="2453" t="s">
        <v>1651</v>
      </c>
      <c r="C2" s="3"/>
      <c r="D2" s="3"/>
      <c r="E2" s="3"/>
      <c r="F2" s="3"/>
      <c r="G2" s="3"/>
      <c r="H2" s="3"/>
      <c r="I2" s="3"/>
      <c r="J2" s="3"/>
      <c r="K2" s="3"/>
      <c r="L2" s="3"/>
      <c r="M2" s="3"/>
      <c r="N2" s="3"/>
      <c r="O2" s="3"/>
      <c r="P2" s="3"/>
      <c r="Q2" s="2316"/>
      <c r="R2" s="2316"/>
      <c r="S2" s="2316"/>
      <c r="T2" s="2316"/>
    </row>
    <row r="3" spans="1:20" x14ac:dyDescent="0.3">
      <c r="A3" s="2206" t="s">
        <v>1585</v>
      </c>
      <c r="B3" s="2351">
        <v>1</v>
      </c>
      <c r="C3" s="3"/>
      <c r="D3" s="3"/>
      <c r="E3" s="3"/>
      <c r="F3" s="3"/>
      <c r="G3" s="3"/>
      <c r="H3" s="3"/>
      <c r="I3" s="3"/>
      <c r="J3" s="3"/>
      <c r="K3" s="3"/>
      <c r="L3" s="3"/>
      <c r="M3" s="3"/>
      <c r="N3" s="3"/>
      <c r="O3" s="3"/>
      <c r="P3" s="3"/>
      <c r="Q3" s="2316"/>
      <c r="R3" s="2316"/>
      <c r="S3" s="2316"/>
      <c r="T3" s="2316"/>
    </row>
    <row r="4" spans="1:20" x14ac:dyDescent="0.3">
      <c r="A4" s="2206" t="s">
        <v>1586</v>
      </c>
      <c r="B4" s="2352">
        <v>0</v>
      </c>
      <c r="C4" s="3"/>
      <c r="D4" s="3"/>
      <c r="E4" s="3"/>
      <c r="F4" s="3"/>
      <c r="G4" s="3"/>
      <c r="H4" s="3"/>
      <c r="I4" s="3"/>
      <c r="J4" s="3"/>
      <c r="K4" s="3"/>
      <c r="L4" s="3"/>
      <c r="M4" s="3"/>
      <c r="N4" s="3"/>
      <c r="O4" s="3"/>
      <c r="P4" s="3"/>
      <c r="Q4" s="2316"/>
      <c r="R4" s="2316"/>
      <c r="S4" s="2316"/>
      <c r="T4" s="2316"/>
    </row>
    <row r="5" spans="1:20" x14ac:dyDescent="0.3">
      <c r="A5" s="2206" t="s">
        <v>1587</v>
      </c>
      <c r="B5" s="2352">
        <v>-0.05</v>
      </c>
      <c r="C5" s="3"/>
      <c r="D5" s="3"/>
      <c r="E5" s="3"/>
      <c r="F5" s="3"/>
      <c r="G5" s="3"/>
      <c r="H5" s="3"/>
      <c r="I5" s="3"/>
      <c r="J5" s="3"/>
      <c r="K5" s="3"/>
      <c r="L5" s="3"/>
      <c r="M5" s="3"/>
      <c r="N5" s="3"/>
      <c r="O5" s="3"/>
      <c r="P5" s="3"/>
      <c r="Q5" s="2316"/>
      <c r="R5" s="2316"/>
      <c r="S5" s="2316"/>
      <c r="T5" s="2316"/>
    </row>
    <row r="6" spans="1:20" x14ac:dyDescent="0.3">
      <c r="A6" s="3"/>
      <c r="B6" s="3"/>
      <c r="C6" s="3"/>
      <c r="D6" s="3"/>
      <c r="E6" s="3"/>
      <c r="F6" s="3"/>
      <c r="G6" s="3"/>
      <c r="H6" s="3"/>
      <c r="I6" s="3"/>
      <c r="J6" s="3"/>
      <c r="K6" s="3"/>
      <c r="L6" s="3"/>
      <c r="M6" s="3"/>
      <c r="N6" s="3"/>
      <c r="O6" s="3"/>
      <c r="P6" s="3"/>
      <c r="Q6" s="2316"/>
      <c r="R6" s="2316"/>
      <c r="S6" s="2316"/>
      <c r="T6" s="2316"/>
    </row>
    <row r="7" spans="1:20" x14ac:dyDescent="0.3">
      <c r="A7" s="2745" t="s">
        <v>1589</v>
      </c>
      <c r="B7" s="2746"/>
      <c r="C7" s="2746"/>
      <c r="D7" s="2746"/>
      <c r="E7" s="2747"/>
      <c r="F7" s="3"/>
      <c r="G7" s="3"/>
      <c r="H7" s="3"/>
      <c r="I7" s="3"/>
      <c r="J7" s="3"/>
      <c r="K7" s="3"/>
      <c r="L7" s="3"/>
      <c r="M7" s="3"/>
      <c r="N7" s="3"/>
      <c r="O7" s="3"/>
      <c r="P7" s="3"/>
      <c r="Q7" s="2316"/>
      <c r="R7" s="2316"/>
      <c r="S7" s="2316"/>
      <c r="T7" s="2316"/>
    </row>
    <row r="8" spans="1:20" x14ac:dyDescent="0.3">
      <c r="A8" s="2355" t="s">
        <v>1593</v>
      </c>
      <c r="B8" s="2356" t="s">
        <v>410</v>
      </c>
      <c r="C8" s="2356" t="s">
        <v>1594</v>
      </c>
      <c r="D8" s="2356" t="s">
        <v>1181</v>
      </c>
      <c r="E8" s="2356" t="s">
        <v>1595</v>
      </c>
      <c r="F8" s="3"/>
      <c r="G8" s="3"/>
      <c r="H8" s="3"/>
      <c r="I8" s="3"/>
      <c r="J8" s="3"/>
      <c r="K8" s="3"/>
      <c r="L8" s="3"/>
      <c r="M8" s="3"/>
      <c r="N8" s="3"/>
      <c r="O8" s="3"/>
      <c r="P8" s="3"/>
      <c r="Q8" s="2316"/>
      <c r="R8" s="2316"/>
      <c r="S8" s="2316"/>
      <c r="T8" s="2316"/>
    </row>
    <row r="9" spans="1:20" x14ac:dyDescent="0.3">
      <c r="A9" s="2354" t="s">
        <v>230</v>
      </c>
      <c r="B9" s="2360">
        <v>0</v>
      </c>
      <c r="C9" s="2360">
        <v>0</v>
      </c>
      <c r="D9" s="2361">
        <v>0</v>
      </c>
      <c r="E9" s="2359">
        <f>+IFERROR(D9/C9,0)</f>
        <v>0</v>
      </c>
      <c r="F9" s="3"/>
      <c r="G9" s="3"/>
      <c r="H9" s="3"/>
      <c r="I9" s="3"/>
      <c r="J9" s="3"/>
      <c r="K9" s="3"/>
      <c r="L9" s="3"/>
      <c r="M9" s="3"/>
      <c r="N9" s="3"/>
      <c r="O9" s="3"/>
      <c r="P9" s="3"/>
      <c r="Q9" s="2316"/>
      <c r="R9" s="2316"/>
      <c r="S9" s="2316"/>
      <c r="T9" s="2316"/>
    </row>
    <row r="10" spans="1:20" x14ac:dyDescent="0.3">
      <c r="A10" s="2741" t="s">
        <v>1600</v>
      </c>
      <c r="B10" s="2742">
        <v>120</v>
      </c>
      <c r="C10" s="2742">
        <v>695</v>
      </c>
      <c r="D10" s="2743">
        <v>1938</v>
      </c>
      <c r="E10" s="2744">
        <f>+IFERROR(D10/C10,0)</f>
        <v>2.7884892086330937</v>
      </c>
      <c r="F10" s="3"/>
      <c r="G10" s="3"/>
      <c r="H10" s="3"/>
      <c r="I10" s="3"/>
      <c r="J10" s="3"/>
      <c r="K10" s="3"/>
      <c r="L10" s="3"/>
      <c r="M10" s="3"/>
      <c r="N10" s="3"/>
      <c r="O10" s="3"/>
      <c r="P10" s="3"/>
      <c r="Q10" s="2316"/>
      <c r="R10" s="2316"/>
      <c r="S10" s="2316"/>
      <c r="T10" s="2316"/>
    </row>
    <row r="11" spans="1:20" x14ac:dyDescent="0.3">
      <c r="A11" s="2741"/>
      <c r="B11" s="2742"/>
      <c r="C11" s="2742"/>
      <c r="D11" s="2743"/>
      <c r="E11" s="2744"/>
      <c r="F11" s="3"/>
      <c r="G11" s="3"/>
      <c r="H11" s="3"/>
      <c r="I11" s="3"/>
      <c r="J11" s="3"/>
      <c r="K11" s="3"/>
      <c r="L11" s="3"/>
      <c r="M11" s="3"/>
      <c r="N11" s="3"/>
      <c r="O11" s="3"/>
      <c r="P11" s="3"/>
      <c r="Q11" s="2316"/>
      <c r="R11" s="2316"/>
      <c r="S11" s="2316"/>
      <c r="T11" s="2316"/>
    </row>
    <row r="12" spans="1:20" x14ac:dyDescent="0.3">
      <c r="A12" s="2741" t="s">
        <v>1601</v>
      </c>
      <c r="B12" s="2742">
        <v>0</v>
      </c>
      <c r="C12" s="2742">
        <v>0</v>
      </c>
      <c r="D12" s="2743">
        <v>0</v>
      </c>
      <c r="E12" s="2744">
        <f>+IFERROR(D12/C12,0)</f>
        <v>0</v>
      </c>
      <c r="F12" s="3"/>
      <c r="G12" s="3"/>
      <c r="H12" s="3"/>
      <c r="I12" s="3"/>
      <c r="J12" s="3"/>
      <c r="K12" s="3"/>
      <c r="L12" s="3"/>
      <c r="M12" s="3"/>
      <c r="N12" s="3"/>
      <c r="O12" s="3"/>
      <c r="P12" s="3"/>
      <c r="Q12" s="2316"/>
      <c r="R12" s="2316"/>
      <c r="S12" s="2316"/>
      <c r="T12" s="2316"/>
    </row>
    <row r="13" spans="1:20" x14ac:dyDescent="0.3">
      <c r="A13" s="2741"/>
      <c r="B13" s="2742"/>
      <c r="C13" s="2742"/>
      <c r="D13" s="2743"/>
      <c r="E13" s="2744"/>
      <c r="F13" s="3"/>
      <c r="G13" s="3"/>
      <c r="H13" s="3"/>
      <c r="I13" s="3"/>
      <c r="J13" s="3"/>
      <c r="K13" s="3"/>
      <c r="L13" s="3"/>
      <c r="M13" s="3"/>
      <c r="N13" s="3"/>
      <c r="O13" s="3"/>
      <c r="P13" s="3"/>
      <c r="Q13" s="2316"/>
      <c r="R13" s="2316"/>
      <c r="S13" s="2316"/>
      <c r="T13" s="2316"/>
    </row>
    <row r="14" spans="1:20" x14ac:dyDescent="0.3">
      <c r="A14" s="2741" t="s">
        <v>1602</v>
      </c>
      <c r="B14" s="2742">
        <v>139</v>
      </c>
      <c r="C14" s="2742">
        <v>1001</v>
      </c>
      <c r="D14" s="2743">
        <v>2257</v>
      </c>
      <c r="E14" s="2744">
        <f>+IFERROR(D14/C14,0)</f>
        <v>2.2547452547452549</v>
      </c>
      <c r="F14" s="3"/>
      <c r="G14" s="3"/>
      <c r="H14" s="3"/>
      <c r="I14" s="3"/>
      <c r="J14" s="3"/>
      <c r="K14" s="3"/>
      <c r="L14" s="3"/>
      <c r="M14" s="3"/>
      <c r="N14" s="3"/>
      <c r="O14" s="3"/>
      <c r="P14" s="3"/>
      <c r="Q14" s="2316"/>
      <c r="R14" s="2316"/>
      <c r="S14" s="2316"/>
      <c r="T14" s="2316"/>
    </row>
    <row r="15" spans="1:20" x14ac:dyDescent="0.3">
      <c r="A15" s="2741"/>
      <c r="B15" s="2742"/>
      <c r="C15" s="2742"/>
      <c r="D15" s="2743"/>
      <c r="E15" s="2744"/>
      <c r="F15" s="3"/>
      <c r="G15" s="3"/>
      <c r="H15" s="3"/>
      <c r="I15" s="3"/>
      <c r="J15" s="3"/>
      <c r="K15" s="3"/>
      <c r="L15" s="3"/>
      <c r="M15" s="3"/>
      <c r="N15" s="3"/>
      <c r="O15" s="3"/>
      <c r="P15" s="3"/>
      <c r="Q15" s="2316"/>
      <c r="R15" s="2316"/>
      <c r="S15" s="2316"/>
      <c r="T15" s="2316"/>
    </row>
    <row r="16" spans="1:20" x14ac:dyDescent="0.3">
      <c r="A16" s="2354" t="s">
        <v>1603</v>
      </c>
      <c r="B16" s="2360">
        <v>28</v>
      </c>
      <c r="C16" s="2360">
        <v>1228</v>
      </c>
      <c r="D16" s="2366">
        <v>2504</v>
      </c>
      <c r="E16" s="2359">
        <f>+IFERROR(D16/C16,0)</f>
        <v>2.0390879478827362</v>
      </c>
      <c r="F16" s="3"/>
      <c r="G16" s="3"/>
      <c r="H16" s="3"/>
      <c r="I16" s="3"/>
      <c r="J16" s="3"/>
      <c r="K16" s="3"/>
      <c r="L16" s="3"/>
      <c r="M16" s="3"/>
      <c r="N16" s="3"/>
      <c r="O16" s="3"/>
      <c r="P16" s="3"/>
      <c r="Q16" s="2316"/>
      <c r="R16" s="2316"/>
      <c r="S16" s="2316"/>
      <c r="T16" s="2316"/>
    </row>
    <row r="17" spans="1:20" x14ac:dyDescent="0.3">
      <c r="A17" s="2401" t="s">
        <v>1606</v>
      </c>
      <c r="B17" s="2403">
        <f>SUM(B9:B16)</f>
        <v>287</v>
      </c>
      <c r="C17" s="2404">
        <f>SUMPRODUCT(B9:B16,C9:C16)/B17</f>
        <v>895.20209059233446</v>
      </c>
      <c r="D17" s="2402">
        <f>SUMPRODUCT(B9:B16,D9:D16)/B17</f>
        <v>2147.7177700348434</v>
      </c>
      <c r="E17" s="2405">
        <f>D17/C17</f>
        <v>2.39914293387513</v>
      </c>
      <c r="F17" s="3"/>
      <c r="G17" s="3"/>
      <c r="H17" s="3"/>
      <c r="I17" s="3"/>
      <c r="J17" s="3"/>
      <c r="K17" s="3"/>
      <c r="L17" s="3"/>
      <c r="M17" s="3"/>
      <c r="N17" s="3"/>
      <c r="O17" s="3"/>
      <c r="P17" s="3"/>
      <c r="Q17" s="2316"/>
      <c r="R17" s="2316"/>
      <c r="S17" s="2316"/>
      <c r="T17" s="2316"/>
    </row>
    <row r="18" spans="1:20" x14ac:dyDescent="0.3">
      <c r="G18" s="3"/>
      <c r="H18" s="3"/>
      <c r="I18" s="3"/>
      <c r="J18" s="3"/>
      <c r="K18" s="3"/>
      <c r="L18" s="3"/>
      <c r="M18" s="3"/>
      <c r="N18" s="3"/>
      <c r="O18" s="3"/>
      <c r="P18" s="3"/>
      <c r="Q18" s="2316"/>
      <c r="R18" s="2316"/>
      <c r="S18" s="2316"/>
      <c r="T18" s="2316"/>
    </row>
    <row r="19" spans="1:20" x14ac:dyDescent="0.3">
      <c r="G19" s="3"/>
      <c r="H19" s="3"/>
      <c r="I19" s="3"/>
      <c r="J19" s="3"/>
      <c r="K19" s="3"/>
      <c r="L19" s="3"/>
      <c r="M19" s="3"/>
      <c r="N19" s="3"/>
      <c r="O19" s="3"/>
      <c r="P19" s="3"/>
      <c r="Q19" s="2316"/>
      <c r="R19" s="2316"/>
      <c r="S19" s="2316"/>
      <c r="T19" s="2316"/>
    </row>
    <row r="20" spans="1:20" x14ac:dyDescent="0.3">
      <c r="G20" s="3"/>
      <c r="H20" s="3"/>
      <c r="I20" s="3"/>
      <c r="J20" s="3"/>
      <c r="K20" s="3"/>
      <c r="L20" s="3"/>
      <c r="M20" s="3"/>
      <c r="N20" s="3"/>
      <c r="O20" s="3"/>
      <c r="P20" s="3"/>
      <c r="Q20" s="2316"/>
      <c r="R20" s="2316"/>
      <c r="S20" s="2316"/>
      <c r="T20" s="2316"/>
    </row>
    <row r="21" spans="1:20" x14ac:dyDescent="0.3">
      <c r="G21" s="3"/>
      <c r="H21" s="3"/>
      <c r="I21" s="3"/>
      <c r="J21" s="3"/>
      <c r="K21" s="3"/>
      <c r="L21" s="3"/>
      <c r="M21" s="3"/>
      <c r="N21" s="3"/>
      <c r="O21" s="3"/>
      <c r="P21" s="3"/>
      <c r="Q21" s="2316"/>
      <c r="R21" s="2316"/>
      <c r="S21" s="2316"/>
      <c r="T21" s="2316"/>
    </row>
    <row r="22" spans="1:20" x14ac:dyDescent="0.3">
      <c r="G22" s="3"/>
      <c r="H22" s="3"/>
      <c r="I22" s="3"/>
      <c r="J22" s="3"/>
      <c r="K22" s="3"/>
      <c r="L22" s="3"/>
      <c r="M22" s="3"/>
      <c r="N22" s="3"/>
      <c r="O22" s="3"/>
      <c r="P22" s="3"/>
      <c r="Q22" s="2316"/>
      <c r="R22" s="2316"/>
      <c r="S22" s="2316"/>
      <c r="T22" s="2316"/>
    </row>
    <row r="23" spans="1:20" x14ac:dyDescent="0.3">
      <c r="G23" s="3"/>
      <c r="H23" s="3"/>
      <c r="I23" s="3"/>
      <c r="J23" s="3"/>
      <c r="K23" s="3"/>
      <c r="L23" s="3"/>
      <c r="M23" s="3"/>
      <c r="N23" s="3"/>
      <c r="O23" s="3"/>
      <c r="P23" s="3"/>
      <c r="Q23" s="2316"/>
      <c r="R23" s="2316"/>
      <c r="S23" s="2316"/>
      <c r="T23" s="2316"/>
    </row>
    <row r="24" spans="1:20" x14ac:dyDescent="0.3">
      <c r="G24" s="3"/>
      <c r="H24" s="3"/>
      <c r="I24" s="3"/>
      <c r="J24" s="3"/>
      <c r="K24" s="3"/>
      <c r="L24" s="3"/>
      <c r="M24" s="3"/>
      <c r="N24" s="3"/>
      <c r="O24" s="3"/>
      <c r="P24" s="3"/>
      <c r="Q24" s="2316"/>
      <c r="R24" s="2316"/>
      <c r="S24" s="2316"/>
      <c r="T24" s="2316"/>
    </row>
  </sheetData>
  <mergeCells count="16">
    <mergeCell ref="A12:A13"/>
    <mergeCell ref="B12:B13"/>
    <mergeCell ref="C12:C13"/>
    <mergeCell ref="D12:D13"/>
    <mergeCell ref="E12:E13"/>
    <mergeCell ref="A14:A15"/>
    <mergeCell ref="B14:B15"/>
    <mergeCell ref="C14:C15"/>
    <mergeCell ref="D14:D15"/>
    <mergeCell ref="E14:E15"/>
    <mergeCell ref="A7:E7"/>
    <mergeCell ref="A10:A11"/>
    <mergeCell ref="B10:B11"/>
    <mergeCell ref="C10:C11"/>
    <mergeCell ref="D10:D11"/>
    <mergeCell ref="E10:E11"/>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7BA9E-F76C-459E-9729-2EB3E9B61165}">
  <sheetPr codeName="Sheet41">
    <tabColor rgb="FF7030A0"/>
  </sheetPr>
  <dimension ref="A1:T76"/>
  <sheetViews>
    <sheetView zoomScaleNormal="100" workbookViewId="0">
      <selection activeCell="Q3" sqref="Q3"/>
    </sheetView>
  </sheetViews>
  <sheetFormatPr defaultRowHeight="14.4" x14ac:dyDescent="0.3"/>
  <cols>
    <col min="1" max="1" width="32.109375" bestFit="1" customWidth="1"/>
    <col min="2" max="2" width="5" customWidth="1"/>
    <col min="3" max="7" width="26.5546875" style="1465" customWidth="1"/>
    <col min="8" max="8" width="5" customWidth="1"/>
    <col min="9" max="11" width="26.5546875" customWidth="1"/>
    <col min="12" max="12" width="17.5546875" customWidth="1"/>
  </cols>
  <sheetData>
    <row r="1" spans="1:20" x14ac:dyDescent="0.3">
      <c r="A1" s="2347" t="s">
        <v>1652</v>
      </c>
      <c r="B1" s="2347"/>
      <c r="C1" s="2459"/>
      <c r="D1" s="2459"/>
      <c r="E1" s="2459"/>
      <c r="F1" s="2459"/>
      <c r="G1" s="2459"/>
      <c r="H1" s="2347"/>
      <c r="I1" s="2347"/>
      <c r="J1" s="2347"/>
      <c r="K1" s="2347"/>
      <c r="L1" s="2347"/>
      <c r="M1" s="2347"/>
      <c r="N1" s="2347"/>
      <c r="O1" s="2347"/>
      <c r="P1" s="2347"/>
      <c r="Q1" s="2347"/>
      <c r="R1" s="2347"/>
      <c r="S1" s="2347"/>
      <c r="T1" s="2347"/>
    </row>
    <row r="2" spans="1:20" x14ac:dyDescent="0.3">
      <c r="A2" t="s">
        <v>1653</v>
      </c>
    </row>
    <row r="3" spans="1:20" x14ac:dyDescent="0.3">
      <c r="A3" s="2346" t="s">
        <v>1654</v>
      </c>
      <c r="B3" s="2346"/>
      <c r="C3" s="2460" t="s">
        <v>1584</v>
      </c>
      <c r="D3" s="2460" t="s">
        <v>1636</v>
      </c>
      <c r="E3" s="2460" t="s">
        <v>1651</v>
      </c>
      <c r="F3" s="2460" t="s">
        <v>1655</v>
      </c>
      <c r="G3" s="2460" t="s">
        <v>1656</v>
      </c>
      <c r="I3" s="2206" t="s">
        <v>1007</v>
      </c>
      <c r="J3" s="2474">
        <v>0</v>
      </c>
    </row>
    <row r="4" spans="1:20" s="273" customFormat="1" x14ac:dyDescent="0.3">
      <c r="A4" s="2464" t="s">
        <v>1657</v>
      </c>
      <c r="B4" s="2465"/>
      <c r="C4" s="2466">
        <v>1</v>
      </c>
      <c r="D4" s="2466">
        <v>2</v>
      </c>
      <c r="E4" s="2466">
        <v>3</v>
      </c>
      <c r="F4" s="2466">
        <v>4</v>
      </c>
      <c r="G4" s="2466">
        <v>5</v>
      </c>
      <c r="I4" s="2206" t="s">
        <v>1658</v>
      </c>
      <c r="J4" s="2475">
        <v>1</v>
      </c>
      <c r="K4"/>
    </row>
    <row r="5" spans="1:20" x14ac:dyDescent="0.3">
      <c r="A5" s="2206" t="s">
        <v>637</v>
      </c>
      <c r="B5" s="2311"/>
      <c r="C5" s="2461" t="s">
        <v>955</v>
      </c>
      <c r="D5" s="2461" t="s">
        <v>955</v>
      </c>
      <c r="E5" s="2461" t="s">
        <v>1659</v>
      </c>
      <c r="F5" s="2461" t="s">
        <v>955</v>
      </c>
      <c r="G5" s="2461" t="s">
        <v>1659</v>
      </c>
      <c r="I5" s="2206" t="s">
        <v>1660</v>
      </c>
      <c r="J5" s="2475">
        <v>1.25</v>
      </c>
    </row>
    <row r="6" spans="1:20" x14ac:dyDescent="0.3">
      <c r="A6" s="2206" t="s">
        <v>824</v>
      </c>
      <c r="B6" s="2311"/>
      <c r="C6" s="2461" t="s">
        <v>1661</v>
      </c>
      <c r="D6" s="2461" t="s">
        <v>1662</v>
      </c>
      <c r="E6" s="2461" t="s">
        <v>1663</v>
      </c>
      <c r="F6" s="2461" t="s">
        <v>1661</v>
      </c>
      <c r="G6" s="2461" t="s">
        <v>1663</v>
      </c>
    </row>
    <row r="7" spans="1:20" x14ac:dyDescent="0.3">
      <c r="A7" s="2206" t="s">
        <v>1664</v>
      </c>
      <c r="B7" s="2311"/>
      <c r="C7" s="2462">
        <v>135</v>
      </c>
      <c r="D7" s="2462">
        <v>396</v>
      </c>
      <c r="E7" s="2462">
        <v>287</v>
      </c>
      <c r="F7" s="2462">
        <v>196</v>
      </c>
      <c r="G7" s="2462">
        <v>360</v>
      </c>
    </row>
    <row r="8" spans="1:20" x14ac:dyDescent="0.3">
      <c r="A8" s="2206" t="s">
        <v>1665</v>
      </c>
      <c r="B8" s="2311"/>
      <c r="C8" s="2462">
        <v>2023</v>
      </c>
      <c r="D8" s="2462">
        <v>2024</v>
      </c>
      <c r="E8" s="2462">
        <v>2024</v>
      </c>
      <c r="F8" s="2462">
        <v>2022</v>
      </c>
      <c r="G8" s="2462">
        <v>2025</v>
      </c>
    </row>
    <row r="9" spans="1:20" x14ac:dyDescent="0.3">
      <c r="A9" s="2206" t="s">
        <v>1666</v>
      </c>
      <c r="B9" s="2311"/>
      <c r="C9" s="2463">
        <v>0.93</v>
      </c>
      <c r="D9" s="2463">
        <v>0.97</v>
      </c>
      <c r="E9" s="2463">
        <v>0.98</v>
      </c>
      <c r="F9" s="2463">
        <v>0.95340000000000003</v>
      </c>
      <c r="G9" s="2463">
        <v>0.95</v>
      </c>
    </row>
    <row r="10" spans="1:20" x14ac:dyDescent="0.3">
      <c r="A10" s="2206" t="s">
        <v>1667</v>
      </c>
      <c r="B10" s="2311"/>
      <c r="C10" s="2471" t="s">
        <v>1668</v>
      </c>
      <c r="D10" s="2471" t="s">
        <v>1668</v>
      </c>
      <c r="E10" s="2471" t="s">
        <v>1668</v>
      </c>
      <c r="F10" s="2471" t="s">
        <v>1668</v>
      </c>
      <c r="G10" s="2471" t="s">
        <v>1668</v>
      </c>
    </row>
    <row r="11" spans="1:20" x14ac:dyDescent="0.3">
      <c r="A11" s="2206" t="s">
        <v>249</v>
      </c>
      <c r="B11" s="2311"/>
      <c r="C11" s="2461" t="s">
        <v>1669</v>
      </c>
      <c r="D11" s="2461" t="s">
        <v>1670</v>
      </c>
      <c r="E11" s="2461" t="s">
        <v>1669</v>
      </c>
      <c r="F11" s="2461" t="s">
        <v>1669</v>
      </c>
      <c r="G11" s="2461" t="s">
        <v>1669</v>
      </c>
      <c r="I11" s="2460" t="s">
        <v>1671</v>
      </c>
      <c r="J11" s="2460" t="s">
        <v>1672</v>
      </c>
      <c r="K11" s="2460" t="s">
        <v>1673</v>
      </c>
    </row>
    <row r="12" spans="1:20" s="273" customFormat="1" x14ac:dyDescent="0.3">
      <c r="A12" s="2464" t="s">
        <v>1674</v>
      </c>
      <c r="B12" s="2465"/>
      <c r="C12" s="2466"/>
      <c r="D12" s="2466"/>
      <c r="E12" s="2466"/>
      <c r="F12" s="2466"/>
      <c r="G12" s="2466"/>
      <c r="I12" s="2466"/>
      <c r="J12" s="2466"/>
      <c r="K12" s="2466"/>
    </row>
    <row r="13" spans="1:20" x14ac:dyDescent="0.3">
      <c r="A13" s="2206" t="s">
        <v>1675</v>
      </c>
      <c r="B13" s="2311"/>
      <c r="C13" s="2467">
        <v>2255.1999999999998</v>
      </c>
      <c r="D13" s="2467">
        <v>1699.909090909091</v>
      </c>
      <c r="E13" s="2467">
        <v>2156.5789473684213</v>
      </c>
      <c r="F13" s="2467">
        <v>2374</v>
      </c>
      <c r="G13" s="2467">
        <v>1983</v>
      </c>
      <c r="I13" s="2468" cm="1">
        <f t="array" ref="I13">IFERROR(IF($J$38="Yes",
    SUMPRODUCT((C13:G13&lt;&gt;0) * C13:G13, $C$38:$G$38) / SUMPRODUCT((C13:G13&lt;&gt;0) * $C$38:$G$38),
    AVERAGEIF(C13:G13, "&lt;&gt;0")),0)</f>
        <v>1983</v>
      </c>
      <c r="J13" s="2468" cm="1">
        <f t="array" ref="J13">IFERROR(SUMPRODUCT((C13:G13&lt;&gt;0) * C13:G13, 1 + $J$3 + $C$39:$G$39, $C$38:$G$38) / SUMPRODUCT((C13:G13&lt;&gt;0) * $C$38:$G$38),0)</f>
        <v>2002.83</v>
      </c>
      <c r="K13" s="2468">
        <f>((K17*'Operating Inputs'!E50)+('Rent Comp Builder'!K21*'Operating Inputs'!E51)+('Rent Comp Builder'!K25*'Operating Inputs'!E52))/MarketRateUnits</f>
        <v>2087.7886413043479</v>
      </c>
    </row>
    <row r="14" spans="1:20" x14ac:dyDescent="0.3">
      <c r="A14" s="2206" t="s">
        <v>1676</v>
      </c>
      <c r="B14" s="2311"/>
      <c r="C14" s="2462">
        <v>982</v>
      </c>
      <c r="D14" s="2462">
        <v>747</v>
      </c>
      <c r="E14" s="2462">
        <v>896</v>
      </c>
      <c r="F14" s="2462">
        <v>1095</v>
      </c>
      <c r="G14" s="2462">
        <v>931</v>
      </c>
      <c r="I14" s="2468" cm="1">
        <f t="array" ref="I14">IFERROR(IF($J$38="Yes",
    SUMPRODUCT((C14:G14&lt;&gt;0) * C14:G14, $C$38:$G$38) / SUMPRODUCT((C14:G14&lt;&gt;0) * $C$38:$G$38),
    AVERAGEIF(C14:G14, "&lt;&gt;0")),0)</f>
        <v>931</v>
      </c>
      <c r="J14" s="2469">
        <f>I14</f>
        <v>931</v>
      </c>
      <c r="K14" s="2469">
        <f>AvgUnitSize</f>
        <v>938.984375</v>
      </c>
    </row>
    <row r="15" spans="1:20" x14ac:dyDescent="0.3">
      <c r="A15" s="2206" t="s">
        <v>1677</v>
      </c>
      <c r="B15" s="2311"/>
      <c r="C15" s="2470">
        <f>IFERROR(C13/C14,0)</f>
        <v>2.2965376782077391</v>
      </c>
      <c r="D15" s="2470">
        <f t="shared" ref="D15:G15" si="0">IFERROR(D13/D14,0)</f>
        <v>2.2756480467323841</v>
      </c>
      <c r="E15" s="2470">
        <f t="shared" si="0"/>
        <v>2.4068961466165417</v>
      </c>
      <c r="F15" s="2470">
        <f t="shared" si="0"/>
        <v>2.1680365296803652</v>
      </c>
      <c r="G15" s="2470">
        <f t="shared" si="0"/>
        <v>2.1299677765843179</v>
      </c>
      <c r="I15" s="2470">
        <f t="shared" ref="I15" si="1">+IFERROR(I13/I14,0)</f>
        <v>2.1299677765843179</v>
      </c>
      <c r="J15" s="2470">
        <f>+IFERROR(J13/J14,0)</f>
        <v>2.1512674543501609</v>
      </c>
      <c r="K15" s="2470">
        <f>+IFERROR(K13/K14,0)</f>
        <v>2.2234540817618482</v>
      </c>
    </row>
    <row r="16" spans="1:20" s="273" customFormat="1" x14ac:dyDescent="0.3">
      <c r="A16" s="2464" t="s">
        <v>232</v>
      </c>
      <c r="B16" s="2465"/>
      <c r="C16" s="2466"/>
      <c r="D16" s="2466"/>
      <c r="E16" s="2466"/>
      <c r="F16" s="2466"/>
      <c r="G16" s="2466"/>
      <c r="I16" s="2466"/>
      <c r="J16" s="2466"/>
      <c r="K16" s="2466"/>
    </row>
    <row r="17" spans="1:11" x14ac:dyDescent="0.3">
      <c r="A17" s="2206" t="s">
        <v>1675</v>
      </c>
      <c r="B17" s="2311"/>
      <c r="C17" s="2467">
        <f>+AVERAGE(1860,1860,1860,1860,1695,1695,1695)</f>
        <v>1789.2857142857142</v>
      </c>
      <c r="D17" s="2467">
        <v>1591.7647058823529</v>
      </c>
      <c r="E17" s="2467">
        <v>1940.5769230769231</v>
      </c>
      <c r="F17" s="2467">
        <v>1836.4285714285713</v>
      </c>
      <c r="G17" s="2467">
        <v>1857</v>
      </c>
      <c r="I17" s="2468" cm="1">
        <f t="array" ref="I17">IFERROR(IF($J$38="Yes",
    SUMPRODUCT((C17:G17&lt;&gt;0) * C17:G17, $C$38:$G$38) / SUMPRODUCT((C17:G17&lt;&gt;0) * $C$38:$G$38),
    AVERAGEIF(C17:G17, "&lt;&gt;0")),0)</f>
        <v>1857</v>
      </c>
      <c r="J17" s="2468" cm="1">
        <f t="array" ref="J17">IFERROR(SUMPRODUCT((C17:G17&lt;&gt;0) * C17:G17, 1 + $J$3 + $C$39:$G$39, $C$38:$G$38) / SUMPRODUCT((C17:G17&lt;&gt;0) * $C$38:$G$38),0)</f>
        <v>1875.57</v>
      </c>
      <c r="K17" s="2468">
        <f>(J17+((K18-J18)*$J$4))*(1+$J$3)</f>
        <v>1839.4271428571428</v>
      </c>
    </row>
    <row r="18" spans="1:11" x14ac:dyDescent="0.3">
      <c r="A18" s="2206" t="s">
        <v>248</v>
      </c>
      <c r="B18" s="2311"/>
      <c r="C18" s="2462">
        <v>692</v>
      </c>
      <c r="D18" s="2462">
        <v>693</v>
      </c>
      <c r="E18" s="2462">
        <v>695</v>
      </c>
      <c r="F18" s="2462">
        <v>710</v>
      </c>
      <c r="G18" s="2462">
        <v>735</v>
      </c>
      <c r="I18" s="2468" cm="1">
        <f t="array" ref="I18">IFERROR(IF($J$38="Yes",
    SUMPRODUCT((C18:G18&lt;&gt;0) * C18:G18, $C$38:$G$38) / SUMPRODUCT((C18:G18&lt;&gt;0) * $C$38:$G$38),
    AVERAGEIF(C18:G18, "&lt;&gt;0")),0)</f>
        <v>735</v>
      </c>
      <c r="J18" s="2469">
        <f>I18</f>
        <v>735</v>
      </c>
      <c r="K18" s="2469">
        <f>'Operating Inputs'!G50</f>
        <v>698.85714285714289</v>
      </c>
    </row>
    <row r="19" spans="1:11" x14ac:dyDescent="0.3">
      <c r="A19" s="2206" t="s">
        <v>1677</v>
      </c>
      <c r="B19" s="2311"/>
      <c r="C19" s="2470">
        <f>IFERROR(C17/C18,0)</f>
        <v>2.5856729975227086</v>
      </c>
      <c r="D19" s="2470">
        <f t="shared" ref="D19" si="2">IFERROR(D17/D18,0)</f>
        <v>2.2969187675070026</v>
      </c>
      <c r="E19" s="2470">
        <f t="shared" ref="E19" si="3">IFERROR(E17/E18,0)</f>
        <v>2.792197011621472</v>
      </c>
      <c r="F19" s="2470">
        <f t="shared" ref="F19" si="4">IFERROR(F17/F18,0)</f>
        <v>2.5865191146881288</v>
      </c>
      <c r="G19" s="2470">
        <f t="shared" ref="G19" si="5">IFERROR(G17/G18,0)</f>
        <v>2.5265306122448981</v>
      </c>
      <c r="I19" s="2470">
        <f t="shared" ref="I19" si="6">+IFERROR(I17/I18,0)</f>
        <v>2.5265306122448981</v>
      </c>
      <c r="J19" s="2470">
        <f>+IFERROR(J17/J18,0)</f>
        <v>2.5517959183673469</v>
      </c>
      <c r="K19" s="2470">
        <f>+IFERROR(K17/K18,0)</f>
        <v>2.6320502861815207</v>
      </c>
    </row>
    <row r="20" spans="1:11" s="273" customFormat="1" x14ac:dyDescent="0.3">
      <c r="A20" s="2464" t="s">
        <v>234</v>
      </c>
      <c r="B20" s="2465"/>
      <c r="C20" s="2466"/>
      <c r="D20" s="2466"/>
      <c r="E20" s="2466"/>
      <c r="F20" s="2466"/>
      <c r="G20" s="2466"/>
      <c r="I20" s="2466"/>
      <c r="J20" s="2466"/>
      <c r="K20" s="2466"/>
    </row>
    <row r="21" spans="1:11" x14ac:dyDescent="0.3">
      <c r="A21" s="2206" t="s">
        <v>1675</v>
      </c>
      <c r="B21" s="2311"/>
      <c r="C21" s="2467">
        <f>+AVERAGE(2400,2410,2410,2410,2410,2410)</f>
        <v>2408.3333333333335</v>
      </c>
      <c r="D21" s="2467">
        <v>1875</v>
      </c>
      <c r="E21" s="2467">
        <v>2288.75</v>
      </c>
      <c r="F21" s="2467">
        <v>2357.391304347826</v>
      </c>
      <c r="G21" s="2467">
        <v>2179</v>
      </c>
      <c r="I21" s="2468" cm="1">
        <f t="array" ref="I21">IFERROR(IF($J$38="Yes",
    SUMPRODUCT((C21:G21&lt;&gt;0) * C21:G21, $C$38:$G$38) / SUMPRODUCT((C21:G21&lt;&gt;0) * $C$38:$G$38),
    AVERAGEIF(C21:G21, "&lt;&gt;0")),0)</f>
        <v>2179</v>
      </c>
      <c r="J21" s="2468" cm="1">
        <f t="array" ref="J21">IFERROR(SUMPRODUCT((C21:G21&lt;&gt;0) * C21:G21, 1 + $J$3 + $C$39:$G$39, $C$38:$G$38) / SUMPRODUCT((C21:G21&lt;&gt;0) * $C$38:$G$38),0)</f>
        <v>2200.79</v>
      </c>
      <c r="K21" s="2468">
        <f>(J21+((K22-J22)*$J$4))*(1+$J$3)</f>
        <v>2035.5750241545893</v>
      </c>
    </row>
    <row r="22" spans="1:11" x14ac:dyDescent="0.3">
      <c r="A22" s="2206" t="s">
        <v>248</v>
      </c>
      <c r="B22" s="2311"/>
      <c r="C22" s="2462">
        <v>1041</v>
      </c>
      <c r="D22" s="2462">
        <v>967</v>
      </c>
      <c r="E22" s="2462">
        <v>999.125</v>
      </c>
      <c r="F22" s="2462">
        <v>1041.8695652173913</v>
      </c>
      <c r="G22" s="2462">
        <v>1151.3260869565217</v>
      </c>
      <c r="I22" s="2468" cm="1">
        <f t="array" ref="I22">IFERROR(IF($J$38="Yes",
    SUMPRODUCT((C22:G22&lt;&gt;0) * C22:G22, $C$38:$G$38) / SUMPRODUCT((C22:G22&lt;&gt;0) * $C$38:$G$38),
    AVERAGEIF(C22:G22, "&lt;&gt;0")),0)</f>
        <v>1151.3260869565217</v>
      </c>
      <c r="J22" s="2469">
        <f>I22</f>
        <v>1151.3260869565217</v>
      </c>
      <c r="K22" s="2469">
        <f>'Operating Inputs'!G51</f>
        <v>986.11111111111109</v>
      </c>
    </row>
    <row r="23" spans="1:11" x14ac:dyDescent="0.3">
      <c r="A23" s="2206" t="s">
        <v>1677</v>
      </c>
      <c r="B23" s="2311"/>
      <c r="C23" s="2470">
        <f>IFERROR(C21/C22,0)</f>
        <v>2.3134806276016651</v>
      </c>
      <c r="D23" s="2470">
        <f t="shared" ref="D23" si="7">IFERROR(D21/D22,0)</f>
        <v>1.9389865563598758</v>
      </c>
      <c r="E23" s="2470">
        <f t="shared" ref="E23" si="8">IFERROR(E21/E22,0)</f>
        <v>2.2907544101088453</v>
      </c>
      <c r="F23" s="2470">
        <f t="shared" ref="F23" si="9">IFERROR(F21/F22,0)</f>
        <v>2.2626549263447817</v>
      </c>
      <c r="G23" s="2470">
        <f t="shared" ref="G23" si="10">IFERROR(G21/G22,0)</f>
        <v>1.892600215252733</v>
      </c>
      <c r="I23" s="2470">
        <f t="shared" ref="I23" si="11">+IFERROR(I21/I22,0)</f>
        <v>1.892600215252733</v>
      </c>
      <c r="J23" s="2470">
        <f>+IFERROR(J21/J22,0)</f>
        <v>1.9115262174052605</v>
      </c>
      <c r="K23" s="2470">
        <f>+IFERROR(K21/K22,0)</f>
        <v>2.0642450949173301</v>
      </c>
    </row>
    <row r="24" spans="1:11" s="273" customFormat="1" x14ac:dyDescent="0.3">
      <c r="A24" s="2464" t="s">
        <v>236</v>
      </c>
      <c r="B24" s="2465"/>
      <c r="C24" s="2466"/>
      <c r="D24" s="2466"/>
      <c r="E24" s="2466"/>
      <c r="F24" s="2466"/>
      <c r="G24" s="2466"/>
      <c r="I24" s="2466"/>
      <c r="J24" s="2466"/>
      <c r="K24" s="2466"/>
    </row>
    <row r="25" spans="1:11" x14ac:dyDescent="0.3">
      <c r="A25" s="2206" t="s">
        <v>1675</v>
      </c>
      <c r="B25" s="2311"/>
      <c r="C25" s="2467">
        <v>2855</v>
      </c>
      <c r="D25" s="2467"/>
      <c r="E25" s="2467">
        <v>2505.7142857142858</v>
      </c>
      <c r="F25" s="2467">
        <v>2690.625</v>
      </c>
      <c r="G25" s="2467">
        <v>2645</v>
      </c>
      <c r="I25" s="2468" cm="1">
        <f t="array" ref="I25">IFERROR(IF($J$38="Yes",
    SUMPRODUCT((C25:G25&lt;&gt;0) * C25:G25, $C$38:$G$38) / SUMPRODUCT((C25:G25&lt;&gt;0) * $C$38:$G$38),
    AVERAGEIF(C25:G25, "&lt;&gt;0")),0)</f>
        <v>2645</v>
      </c>
      <c r="J25" s="2468" cm="1">
        <f t="array" ref="J25">IFERROR(SUMPRODUCT((C25:G25&lt;&gt;0) * C25:G25, 1 + $J$3 + $C$39:$G$39, $C$38:$G$38) / SUMPRODUCT((C25:G25&lt;&gt;0) * $C$38:$G$38),0)</f>
        <v>2671.45</v>
      </c>
      <c r="K25" s="2468">
        <f>(J25+((K26-J26)*$J$4))*(1+$J$3)</f>
        <v>2689.9314814814816</v>
      </c>
    </row>
    <row r="26" spans="1:11" x14ac:dyDescent="0.3">
      <c r="A26" s="2206" t="s">
        <v>248</v>
      </c>
      <c r="B26" s="2311"/>
      <c r="C26" s="2462">
        <v>1302</v>
      </c>
      <c r="D26" s="2462"/>
      <c r="E26" s="2462">
        <v>1219</v>
      </c>
      <c r="F26" s="2462">
        <v>1302</v>
      </c>
      <c r="G26" s="2462">
        <v>1340</v>
      </c>
      <c r="I26" s="2468" cm="1">
        <f t="array" ref="I26">IFERROR(IF($J$38="Yes",
    SUMPRODUCT((C26:G26&lt;&gt;0) * C26:G26, $C$38:$G$38) / SUMPRODUCT((C26:G26&lt;&gt;0) * $C$38:$G$38),
    AVERAGEIF(C26:G26, "&lt;&gt;0")),0)</f>
        <v>1340</v>
      </c>
      <c r="J26" s="2469">
        <f>I26</f>
        <v>1340</v>
      </c>
      <c r="K26" s="2469">
        <f>'Operating Inputs'!G52</f>
        <v>1358.4814814814815</v>
      </c>
    </row>
    <row r="27" spans="1:11" x14ac:dyDescent="0.3">
      <c r="A27" s="2206" t="s">
        <v>1677</v>
      </c>
      <c r="B27" s="2311"/>
      <c r="C27" s="2470">
        <f>IFERROR(C25/C26,0)</f>
        <v>2.1927803379416284</v>
      </c>
      <c r="D27" s="2470">
        <f t="shared" ref="D27" si="12">IFERROR(D25/D26,0)</f>
        <v>0</v>
      </c>
      <c r="E27" s="2470">
        <f t="shared" ref="E27" si="13">IFERROR(E25/E26,0)</f>
        <v>2.0555490448845659</v>
      </c>
      <c r="F27" s="2470">
        <f t="shared" ref="F27" si="14">IFERROR(F25/F26,0)</f>
        <v>2.066532258064516</v>
      </c>
      <c r="G27" s="2470">
        <f t="shared" ref="G27" si="15">IFERROR(G25/G26,0)</f>
        <v>1.9738805970149254</v>
      </c>
      <c r="I27" s="2470">
        <f t="shared" ref="I27" si="16">+IFERROR(I25/I26,0)</f>
        <v>1.9738805970149254</v>
      </c>
      <c r="J27" s="2470">
        <f>+IFERROR(J25/J26,0)</f>
        <v>1.9936194029850745</v>
      </c>
      <c r="K27" s="2470">
        <f>+IFERROR(K25/K26,0)</f>
        <v>1.9801016930668776</v>
      </c>
    </row>
    <row r="28" spans="1:11" x14ac:dyDescent="0.3">
      <c r="A28" s="2464" t="s">
        <v>1678</v>
      </c>
      <c r="B28" s="2465"/>
      <c r="C28" s="2466"/>
      <c r="D28" s="2466"/>
      <c r="E28" s="2466"/>
      <c r="F28" s="2466"/>
      <c r="G28" s="2466"/>
      <c r="I28" s="2466"/>
      <c r="J28" s="2466"/>
      <c r="K28" s="2466"/>
    </row>
    <row r="29" spans="1:11" x14ac:dyDescent="0.3">
      <c r="A29" s="2206" t="s">
        <v>1675</v>
      </c>
      <c r="B29" s="2311"/>
      <c r="C29" s="2467">
        <v>2299</v>
      </c>
      <c r="D29" s="2467"/>
      <c r="E29" s="2467"/>
      <c r="F29" s="2467">
        <v>2250</v>
      </c>
      <c r="G29" s="2467"/>
      <c r="I29" s="2468" cm="1">
        <f t="array" ref="I29">IFERROR(IF($J$38="Yes",
    SUMPRODUCT((C29:G29&lt;&gt;0) * C29:G29, $C$38:$G$38) / SUMPRODUCT((C29:G29&lt;&gt;0) * $C$38:$G$38),
    AVERAGEIF(C29:G29, "&lt;&gt;0")),0)</f>
        <v>0</v>
      </c>
      <c r="J29" s="2468" cm="1">
        <f t="array" ref="J29">IFERROR(SUMPRODUCT((C29:G29&lt;&gt;0) * C29:G29, 1 + $J$3 + $C$39:$G$39, $C$38:$G$38) / SUMPRODUCT((C29:G29&lt;&gt;0) * $C$38:$G$38),0)</f>
        <v>0</v>
      </c>
      <c r="K29" s="2468">
        <f>(J29+((K30-J30)*$J$5))*(1+$J$3)</f>
        <v>1643.75</v>
      </c>
    </row>
    <row r="30" spans="1:11" x14ac:dyDescent="0.3">
      <c r="A30" s="2206" t="s">
        <v>248</v>
      </c>
      <c r="B30" s="2311"/>
      <c r="C30" s="2462">
        <v>1159</v>
      </c>
      <c r="D30" s="2462"/>
      <c r="E30" s="2462"/>
      <c r="F30" s="2462">
        <v>1159</v>
      </c>
      <c r="G30" s="2462"/>
      <c r="I30" s="2468" cm="1">
        <f t="array" ref="I30">IFERROR(IF($J$38="Yes",
    SUMPRODUCT((C30:G30&lt;&gt;0) * C30:G30, $C$38:$G$38) / SUMPRODUCT((C30:G30&lt;&gt;0) * $C$38:$G$38),
    AVERAGEIF(C30:G30, "&lt;&gt;0")),0)</f>
        <v>0</v>
      </c>
      <c r="J30" s="2469">
        <f>I30</f>
        <v>0</v>
      </c>
      <c r="K30" s="2469">
        <f>'Operating Inputs'!G29</f>
        <v>1315</v>
      </c>
    </row>
    <row r="31" spans="1:11" x14ac:dyDescent="0.3">
      <c r="A31" s="2206" t="s">
        <v>1677</v>
      </c>
      <c r="B31" s="2311"/>
      <c r="C31" s="2470">
        <f>IFERROR(C29/C30,0)</f>
        <v>1.9836065573770492</v>
      </c>
      <c r="D31" s="2470">
        <f t="shared" ref="D31" si="17">IFERROR(D29/D30,0)</f>
        <v>0</v>
      </c>
      <c r="E31" s="2470">
        <f t="shared" ref="E31" si="18">IFERROR(E29/E30,0)</f>
        <v>0</v>
      </c>
      <c r="F31" s="2470">
        <f t="shared" ref="F31" si="19">IFERROR(F29/F30,0)</f>
        <v>1.9413287316652286</v>
      </c>
      <c r="G31" s="2470">
        <f t="shared" ref="G31" si="20">IFERROR(G29/G30,0)</f>
        <v>0</v>
      </c>
      <c r="I31" s="2470">
        <f t="shared" ref="I31" si="21">+IFERROR(I29/I30,0)</f>
        <v>0</v>
      </c>
      <c r="J31" s="2470">
        <f>+IFERROR(J29/J30,0)</f>
        <v>0</v>
      </c>
      <c r="K31" s="2470">
        <f>+IFERROR(K29/K30,0)</f>
        <v>1.25</v>
      </c>
    </row>
    <row r="32" spans="1:11" x14ac:dyDescent="0.3">
      <c r="A32" s="2464" t="s">
        <v>1679</v>
      </c>
      <c r="B32" s="2465"/>
      <c r="C32" s="2466"/>
      <c r="D32" s="2466"/>
      <c r="E32" s="2466"/>
      <c r="F32" s="2466"/>
      <c r="G32" s="2466"/>
      <c r="I32" s="2466"/>
      <c r="J32" s="2466"/>
      <c r="K32" s="2466"/>
    </row>
    <row r="33" spans="1:11" x14ac:dyDescent="0.3">
      <c r="A33" s="2206" t="s">
        <v>1675</v>
      </c>
      <c r="B33" s="2311"/>
      <c r="C33" s="2467">
        <f>+(2500+2491)/2</f>
        <v>2495.5</v>
      </c>
      <c r="D33" s="2467"/>
      <c r="E33" s="2467"/>
      <c r="F33" s="2467">
        <v>2508</v>
      </c>
      <c r="G33" s="2467"/>
      <c r="I33" s="2468" cm="1">
        <f t="array" ref="I33">IFERROR(IF($J$38="Yes",
    SUMPRODUCT((C33:G33&lt;&gt;0) * C33:G33, $C$38:$G$38) / SUMPRODUCT((C33:G33&lt;&gt;0) * $C$38:$G$38),
    AVERAGEIF(C33:G33, "&lt;&gt;0")),0)</f>
        <v>0</v>
      </c>
      <c r="J33" s="2468" cm="1">
        <f t="array" ref="J33">IFERROR(SUMPRODUCT((C33:G33&lt;&gt;0) * C33:G33, 1 + $J$3 + $C$39:$G$39, $C$38:$G$38) / SUMPRODUCT((C33:G33&lt;&gt;0) * $C$38:$G$38),0)</f>
        <v>0</v>
      </c>
      <c r="K33" s="2468">
        <f>(J33+((K34-J34)*$J$5))*(1+$J$3)</f>
        <v>1802.5</v>
      </c>
    </row>
    <row r="34" spans="1:11" x14ac:dyDescent="0.3">
      <c r="A34" s="2206" t="s">
        <v>248</v>
      </c>
      <c r="B34" s="2311"/>
      <c r="C34" s="2462">
        <v>1314</v>
      </c>
      <c r="D34" s="2462"/>
      <c r="E34" s="2462"/>
      <c r="F34" s="2462">
        <v>1314</v>
      </c>
      <c r="G34" s="2462"/>
      <c r="I34" s="2468" cm="1">
        <f t="array" ref="I34">IFERROR(IF($J$38="Yes",
    SUMPRODUCT((C34:G34&lt;&gt;0) * C34:G34, $C$38:$G$38) / SUMPRODUCT((C34:G34&lt;&gt;0) * $C$38:$G$38),
    AVERAGEIF(C34:G34, "&lt;&gt;0")),0)</f>
        <v>0</v>
      </c>
      <c r="J34" s="2469">
        <f>I34</f>
        <v>0</v>
      </c>
      <c r="K34" s="2469">
        <f>'Operating Inputs'!G30</f>
        <v>1442</v>
      </c>
    </row>
    <row r="35" spans="1:11" x14ac:dyDescent="0.3">
      <c r="A35" s="2206" t="s">
        <v>1677</v>
      </c>
      <c r="B35" s="2311"/>
      <c r="C35" s="2470">
        <f>IFERROR(C33/C34,0)</f>
        <v>1.8991628614916287</v>
      </c>
      <c r="D35" s="2470">
        <f t="shared" ref="D35:G35" si="22">IFERROR(D33/D34,0)</f>
        <v>0</v>
      </c>
      <c r="E35" s="2470">
        <f t="shared" si="22"/>
        <v>0</v>
      </c>
      <c r="F35" s="2470">
        <f t="shared" si="22"/>
        <v>1.908675799086758</v>
      </c>
      <c r="G35" s="2470">
        <f t="shared" si="22"/>
        <v>0</v>
      </c>
      <c r="I35" s="2470">
        <f t="shared" ref="I35" si="23">+IFERROR(I33/I34,0)</f>
        <v>0</v>
      </c>
      <c r="J35" s="2470">
        <f>+IFERROR(J33/J34,0)</f>
        <v>0</v>
      </c>
      <c r="K35" s="2470">
        <f>+IFERROR(K33/K34,0)</f>
        <v>1.25</v>
      </c>
    </row>
    <row r="36" spans="1:11" x14ac:dyDescent="0.3">
      <c r="A36" s="3"/>
      <c r="C36" s="2477"/>
      <c r="D36" s="2477"/>
      <c r="E36" s="2477"/>
      <c r="F36" s="2477"/>
      <c r="G36" s="2477"/>
      <c r="I36" s="2477"/>
      <c r="J36" s="2477"/>
      <c r="K36" s="2477"/>
    </row>
    <row r="37" spans="1:11" x14ac:dyDescent="0.3">
      <c r="A37" s="2346" t="s">
        <v>1680</v>
      </c>
      <c r="B37" s="2346"/>
      <c r="C37" s="2460" t="str">
        <f>C3</f>
        <v>MC Ten Mile</v>
      </c>
      <c r="D37" s="2460" t="str">
        <f>D3</f>
        <v>Aren</v>
      </c>
      <c r="E37" s="2460" t="str">
        <f>E3</f>
        <v>Canyon Ridge</v>
      </c>
      <c r="F37" s="2460" t="str">
        <f>F3</f>
        <v>MC Black Cat</v>
      </c>
      <c r="G37" s="2460" t="str">
        <f>G3</f>
        <v>Seasons at Meridian</v>
      </c>
    </row>
    <row r="38" spans="1:11" x14ac:dyDescent="0.3">
      <c r="A38" s="2311" t="s">
        <v>1681</v>
      </c>
      <c r="B38" s="2311"/>
      <c r="C38" s="2472">
        <v>0</v>
      </c>
      <c r="D38" s="2472">
        <v>0</v>
      </c>
      <c r="E38" s="2472">
        <v>0</v>
      </c>
      <c r="F38" s="2472">
        <v>0</v>
      </c>
      <c r="G38" s="2472">
        <v>1</v>
      </c>
      <c r="I38" s="2311"/>
      <c r="J38" s="2461" t="s">
        <v>780</v>
      </c>
      <c r="K38" s="2311" t="s">
        <v>1682</v>
      </c>
    </row>
    <row r="39" spans="1:11" x14ac:dyDescent="0.3">
      <c r="A39" s="2311" t="s">
        <v>1683</v>
      </c>
      <c r="B39" s="2311"/>
      <c r="C39" s="2472">
        <v>-0.02</v>
      </c>
      <c r="D39" s="2472">
        <v>0.02</v>
      </c>
      <c r="E39" s="2472">
        <v>-0.03</v>
      </c>
      <c r="F39" s="2472">
        <v>0.03</v>
      </c>
      <c r="G39" s="2472">
        <v>0.01</v>
      </c>
      <c r="I39" s="2311"/>
      <c r="J39" s="2311">
        <v>7.9999999999999984E-3</v>
      </c>
      <c r="K39" s="2311">
        <v>1.25</v>
      </c>
    </row>
    <row r="40" spans="1:11" x14ac:dyDescent="0.3">
      <c r="C40"/>
      <c r="D40"/>
      <c r="E40"/>
      <c r="F40"/>
      <c r="G40"/>
      <c r="I40" s="2311"/>
      <c r="J40" s="2311"/>
      <c r="K40" s="2311"/>
    </row>
    <row r="41" spans="1:11" x14ac:dyDescent="0.3">
      <c r="A41" s="2346" t="s">
        <v>1684</v>
      </c>
      <c r="B41" s="2346"/>
      <c r="C41" s="2460" t="str">
        <f>C3</f>
        <v>MC Ten Mile</v>
      </c>
      <c r="D41" s="2460" t="str">
        <f>D3</f>
        <v>Aren</v>
      </c>
      <c r="E41" s="2460" t="str">
        <f>E3</f>
        <v>Canyon Ridge</v>
      </c>
      <c r="F41" s="2460" t="str">
        <f>F3</f>
        <v>MC Black Cat</v>
      </c>
      <c r="G41" s="2460" t="str">
        <f>G3</f>
        <v>Seasons at Meridian</v>
      </c>
      <c r="I41" s="2311"/>
      <c r="J41" s="2311"/>
      <c r="K41" s="2311"/>
    </row>
    <row r="42" spans="1:11" x14ac:dyDescent="0.3">
      <c r="A42" s="2311" t="s">
        <v>637</v>
      </c>
      <c r="B42" s="2311"/>
      <c r="C42" s="2473" t="s">
        <v>1685</v>
      </c>
      <c r="D42" s="2473" t="s">
        <v>1686</v>
      </c>
      <c r="E42" s="2473" t="s">
        <v>1687</v>
      </c>
      <c r="F42" s="2473" t="s">
        <v>1688</v>
      </c>
      <c r="G42" s="2473" t="s">
        <v>1686</v>
      </c>
      <c r="I42" s="2311" t="s">
        <v>1689</v>
      </c>
      <c r="J42" s="2311" t="s">
        <v>1690</v>
      </c>
      <c r="K42" s="2311" t="s">
        <v>1691</v>
      </c>
    </row>
    <row r="43" spans="1:11" x14ac:dyDescent="0.3">
      <c r="A43" s="2311" t="s">
        <v>1692</v>
      </c>
      <c r="B43" s="2311"/>
      <c r="C43" s="2473" t="s">
        <v>1693</v>
      </c>
      <c r="D43" s="2473" t="s">
        <v>1686</v>
      </c>
      <c r="E43" s="2473" t="s">
        <v>1694</v>
      </c>
      <c r="F43" s="2473" t="s">
        <v>1693</v>
      </c>
      <c r="G43" s="2473" t="s">
        <v>1694</v>
      </c>
    </row>
    <row r="44" spans="1:11" x14ac:dyDescent="0.3">
      <c r="A44" s="2311" t="s">
        <v>1695</v>
      </c>
      <c r="B44" s="2311"/>
      <c r="C44" s="2473" t="s">
        <v>1686</v>
      </c>
      <c r="D44" s="2473" t="s">
        <v>1696</v>
      </c>
      <c r="E44" s="2473" t="s">
        <v>1686</v>
      </c>
      <c r="F44" s="2473" t="s">
        <v>1686</v>
      </c>
      <c r="G44" s="2473" t="s">
        <v>1686</v>
      </c>
    </row>
    <row r="45" spans="1:11" x14ac:dyDescent="0.3">
      <c r="A45" s="2311" t="s">
        <v>1697</v>
      </c>
      <c r="B45" s="2311"/>
      <c r="C45" s="2473"/>
      <c r="D45" s="2473" t="s">
        <v>1685</v>
      </c>
      <c r="E45" s="2473"/>
      <c r="F45" s="2473"/>
      <c r="G45" s="2473"/>
    </row>
    <row r="47" spans="1:11" x14ac:dyDescent="0.3">
      <c r="A47" s="2346" t="s">
        <v>1698</v>
      </c>
      <c r="B47" s="2346"/>
      <c r="C47" s="2346" t="s">
        <v>1187</v>
      </c>
      <c r="D47" s="2346" t="s">
        <v>1699</v>
      </c>
      <c r="E47" s="2346" t="s">
        <v>1700</v>
      </c>
      <c r="F47" s="2346" t="s">
        <v>1701</v>
      </c>
      <c r="G47" s="2346" t="s">
        <v>1702</v>
      </c>
    </row>
    <row r="48" spans="1:11" x14ac:dyDescent="0.3">
      <c r="A48" s="2311" t="s">
        <v>1703</v>
      </c>
      <c r="B48" s="2311"/>
      <c r="C48" s="2469">
        <f>'Module Builder'!D38</f>
        <v>639.20000000000005</v>
      </c>
      <c r="D48" s="2469">
        <f>I18</f>
        <v>735</v>
      </c>
      <c r="E48" s="2469">
        <f>+C48-D48</f>
        <v>-95.799999999999955</v>
      </c>
      <c r="F48" s="2458">
        <f>+IF(C48&gt;0,(J17+(E48*$J$4))*(1+$J$3),0)</f>
        <v>1779.77</v>
      </c>
      <c r="G48" s="2458">
        <f>+IF(F48&gt;0,F48-K17,0)</f>
        <v>-59.657142857142844</v>
      </c>
    </row>
    <row r="49" spans="1:9" x14ac:dyDescent="0.3">
      <c r="A49" s="2311" t="s">
        <v>1704</v>
      </c>
      <c r="B49" s="2311"/>
      <c r="C49" s="2469">
        <f>'Module Builder'!D39</f>
        <v>732</v>
      </c>
      <c r="D49" s="2469">
        <f>I18</f>
        <v>735</v>
      </c>
      <c r="E49" s="2469">
        <f t="shared" ref="E49:E53" si="24">+C49-D49</f>
        <v>-3</v>
      </c>
      <c r="F49" s="2458">
        <f>+IF(C49&gt;0,(J17+(E49*$J$4))*(1+$J$3),0)</f>
        <v>1872.57</v>
      </c>
      <c r="G49" s="2458">
        <f>+IF(F49&gt;0,F49-K17,0)</f>
        <v>33.14285714285711</v>
      </c>
    </row>
    <row r="50" spans="1:9" x14ac:dyDescent="0.3">
      <c r="A50" s="2311" t="s">
        <v>1705</v>
      </c>
      <c r="B50" s="2311"/>
      <c r="C50" s="2469">
        <f>'Module Builder'!D40</f>
        <v>0</v>
      </c>
      <c r="D50" s="2469">
        <f>I18</f>
        <v>735</v>
      </c>
      <c r="E50" s="2469">
        <f t="shared" si="24"/>
        <v>-735</v>
      </c>
      <c r="F50" s="2458">
        <f>+IF(C50&gt;0,(J17+(E50*$J$4))*(1+$J$3),0)</f>
        <v>0</v>
      </c>
      <c r="G50" s="2458">
        <f>+IF(F50&gt;0,F50-K17,0)</f>
        <v>0</v>
      </c>
    </row>
    <row r="51" spans="1:9" x14ac:dyDescent="0.3">
      <c r="A51" s="2311" t="s">
        <v>1706</v>
      </c>
      <c r="B51" s="2311"/>
      <c r="C51" s="2469">
        <f>'Module Builder'!D43</f>
        <v>873</v>
      </c>
      <c r="D51" s="2469">
        <f>I22</f>
        <v>1151.3260869565217</v>
      </c>
      <c r="E51" s="2469">
        <f t="shared" si="24"/>
        <v>-278.32608695652175</v>
      </c>
      <c r="F51" s="2458">
        <f>+IF(C51&gt;0,(J21+(E51*$J$4))*(1+$J$3),0)</f>
        <v>1922.4639130434782</v>
      </c>
      <c r="G51" s="2458">
        <f>+IF(F51&gt;0,F51-K21,0)</f>
        <v>-113.11111111111109</v>
      </c>
    </row>
    <row r="52" spans="1:9" x14ac:dyDescent="0.3">
      <c r="A52" s="2311" t="s">
        <v>1707</v>
      </c>
      <c r="B52" s="2311"/>
      <c r="C52" s="2469">
        <f>'Module Builder'!D44</f>
        <v>947.25</v>
      </c>
      <c r="D52" s="2469">
        <f>I22</f>
        <v>1151.3260869565217</v>
      </c>
      <c r="E52" s="2469">
        <f t="shared" si="24"/>
        <v>-204.07608695652175</v>
      </c>
      <c r="F52" s="2458">
        <f>+IF(C52&gt;0,(J21+(E52*$J$4))*(1+$J$3),0)</f>
        <v>1996.7139130434782</v>
      </c>
      <c r="G52" s="2458">
        <f>+IF(F52&gt;0,F52-K21,0)</f>
        <v>-38.861111111111086</v>
      </c>
    </row>
    <row r="53" spans="1:9" x14ac:dyDescent="0.3">
      <c r="A53" s="2311" t="s">
        <v>1708</v>
      </c>
      <c r="B53" s="2311"/>
      <c r="C53" s="2469">
        <f>'Module Builder'!D45</f>
        <v>1014</v>
      </c>
      <c r="D53" s="2469">
        <f>I22</f>
        <v>1151.3260869565217</v>
      </c>
      <c r="E53" s="2469">
        <f t="shared" si="24"/>
        <v>-137.32608695652175</v>
      </c>
      <c r="F53" s="2458">
        <f>+IF(C53&gt;0,(J21+(E53*$J$4))*(1+$J$3),0)</f>
        <v>2063.463913043478</v>
      </c>
      <c r="G53" s="2458">
        <f>+IF(F53&gt;0,F53-K21,0)</f>
        <v>27.888888888888687</v>
      </c>
    </row>
    <row r="54" spans="1:9" x14ac:dyDescent="0.3">
      <c r="A54" s="2311" t="s">
        <v>1709</v>
      </c>
      <c r="B54" s="2311"/>
      <c r="C54" s="2469">
        <f>'Module Builder'!D48</f>
        <v>1224.5</v>
      </c>
      <c r="D54" s="2469">
        <f>I26</f>
        <v>1340</v>
      </c>
      <c r="E54" s="2469">
        <f>+C54-D54</f>
        <v>-115.5</v>
      </c>
      <c r="F54" s="2458">
        <f>+IF(C54&gt;0,(J25+(E54*$J$4))*(1+$J$3),0)</f>
        <v>2555.9499999999998</v>
      </c>
      <c r="G54" s="2458">
        <f>+IF(F54&gt;0,F54-K25,0)</f>
        <v>-133.98148148148175</v>
      </c>
    </row>
    <row r="55" spans="1:9" x14ac:dyDescent="0.3">
      <c r="A55" s="2311" t="s">
        <v>1194</v>
      </c>
      <c r="B55" s="2311"/>
      <c r="C55" s="2469">
        <f>'Operating Inputs'!G29</f>
        <v>1315</v>
      </c>
      <c r="D55" s="2469">
        <f>I30</f>
        <v>0</v>
      </c>
      <c r="E55" s="2469">
        <f t="shared" ref="E55:E56" si="25">+C55-D55</f>
        <v>1315</v>
      </c>
      <c r="F55" s="2458">
        <f>+IF(C55&gt;0,(J29+(E55*$J$5))*(1+$J$3),0)</f>
        <v>1643.75</v>
      </c>
      <c r="G55" s="2458">
        <f>+IF(F55&gt;0,F55-K26,0)</f>
        <v>285.26851851851848</v>
      </c>
    </row>
    <row r="56" spans="1:9" x14ac:dyDescent="0.3">
      <c r="A56" s="2311" t="s">
        <v>1195</v>
      </c>
      <c r="B56" s="2311"/>
      <c r="C56" s="2469">
        <f>'Operating Inputs'!G30</f>
        <v>1442</v>
      </c>
      <c r="D56" s="2469">
        <f>I34</f>
        <v>0</v>
      </c>
      <c r="E56" s="2469">
        <f t="shared" si="25"/>
        <v>1442</v>
      </c>
      <c r="F56" s="2458">
        <f>+IF(C56&gt;0,(J33+(E56*$J$5))*(1+$J$3),0)</f>
        <v>1802.5</v>
      </c>
      <c r="G56" s="2458">
        <f>+IF(F56&gt;0,F56-K27,0)</f>
        <v>1800.5198983069331</v>
      </c>
    </row>
    <row r="58" spans="1:9" x14ac:dyDescent="0.3">
      <c r="A58" t="s">
        <v>694</v>
      </c>
    </row>
    <row r="60" spans="1:9" x14ac:dyDescent="0.3">
      <c r="A60" s="2346" t="s">
        <v>694</v>
      </c>
      <c r="B60" s="2346"/>
      <c r="C60" s="2460" t="str">
        <f>+C41</f>
        <v>MC Ten Mile</v>
      </c>
      <c r="D60" s="2460" t="str">
        <f t="shared" ref="D60:G60" si="26">+D41</f>
        <v>Aren</v>
      </c>
      <c r="E60" s="2460" t="str">
        <f t="shared" si="26"/>
        <v>Canyon Ridge</v>
      </c>
      <c r="F60" s="2460" t="str">
        <f t="shared" si="26"/>
        <v>MC Black Cat</v>
      </c>
      <c r="G60" s="2460" t="str">
        <f t="shared" si="26"/>
        <v>Seasons at Meridian</v>
      </c>
      <c r="I60" s="2460" t="s">
        <v>1710</v>
      </c>
    </row>
    <row r="61" spans="1:9" x14ac:dyDescent="0.3">
      <c r="A61" s="2311" t="s">
        <v>1711</v>
      </c>
      <c r="B61" s="2311"/>
      <c r="C61" s="2473">
        <v>200</v>
      </c>
      <c r="D61" s="2473"/>
      <c r="E61" s="2473">
        <v>200</v>
      </c>
      <c r="F61" s="2473">
        <v>200</v>
      </c>
      <c r="G61" s="2473"/>
      <c r="I61" s="2478">
        <f>+IFERROR(AVERAGE(C61:G61),"")</f>
        <v>200</v>
      </c>
    </row>
    <row r="62" spans="1:9" x14ac:dyDescent="0.3">
      <c r="A62" s="2311" t="s">
        <v>1712</v>
      </c>
      <c r="B62" s="2311"/>
      <c r="C62" s="2473">
        <v>75</v>
      </c>
      <c r="D62" s="2473">
        <v>110</v>
      </c>
      <c r="E62" s="2473">
        <v>50</v>
      </c>
      <c r="F62" s="2473">
        <v>75</v>
      </c>
      <c r="G62" s="2473">
        <v>40</v>
      </c>
      <c r="I62" s="2478">
        <f t="shared" ref="I62:I67" si="27">+IFERROR(AVERAGE(C62:G62),"")</f>
        <v>70</v>
      </c>
    </row>
    <row r="63" spans="1:9" x14ac:dyDescent="0.3">
      <c r="A63" s="2311" t="s">
        <v>1713</v>
      </c>
      <c r="B63" s="2311"/>
      <c r="C63" s="2473">
        <v>300</v>
      </c>
      <c r="D63" s="2473">
        <v>350</v>
      </c>
      <c r="E63" s="2473">
        <v>300</v>
      </c>
      <c r="F63" s="2473">
        <v>300</v>
      </c>
      <c r="G63" s="2473">
        <v>350</v>
      </c>
      <c r="I63" s="2478">
        <f t="shared" si="27"/>
        <v>320</v>
      </c>
    </row>
    <row r="64" spans="1:9" x14ac:dyDescent="0.3">
      <c r="A64" s="2311" t="s">
        <v>1714</v>
      </c>
      <c r="B64" s="2311"/>
      <c r="C64" s="2473">
        <v>50</v>
      </c>
      <c r="D64" s="2473"/>
      <c r="E64" s="2473"/>
      <c r="F64" s="2473">
        <v>45</v>
      </c>
      <c r="G64" s="2473">
        <v>20</v>
      </c>
      <c r="I64" s="2478">
        <f t="shared" si="27"/>
        <v>38.333333333333336</v>
      </c>
    </row>
    <row r="65" spans="1:9" x14ac:dyDescent="0.3">
      <c r="A65" s="2311" t="s">
        <v>1715</v>
      </c>
      <c r="B65" s="2311"/>
      <c r="C65" s="2473">
        <v>30</v>
      </c>
      <c r="D65" s="2473"/>
      <c r="E65" s="2473">
        <v>25</v>
      </c>
      <c r="F65" s="2473">
        <v>30</v>
      </c>
      <c r="G65" s="2473">
        <v>15</v>
      </c>
      <c r="I65" s="2478">
        <f t="shared" si="27"/>
        <v>25</v>
      </c>
    </row>
    <row r="66" spans="1:9" x14ac:dyDescent="0.3">
      <c r="A66" s="2311" t="s">
        <v>1716</v>
      </c>
      <c r="B66" s="2311"/>
      <c r="C66" s="2473">
        <v>120</v>
      </c>
      <c r="D66" s="2473">
        <f>75+25</f>
        <v>100</v>
      </c>
      <c r="E66" s="2473">
        <v>105</v>
      </c>
      <c r="F66" s="2473">
        <v>120</v>
      </c>
      <c r="G66" s="2473">
        <v>95</v>
      </c>
      <c r="I66" s="2478">
        <f t="shared" si="27"/>
        <v>108</v>
      </c>
    </row>
    <row r="67" spans="1:9" x14ac:dyDescent="0.3">
      <c r="A67" s="2339" t="s">
        <v>694</v>
      </c>
      <c r="B67" s="2339"/>
      <c r="C67" s="2479">
        <v>550</v>
      </c>
      <c r="D67" s="2479">
        <v>595</v>
      </c>
      <c r="E67" s="2479">
        <v>495</v>
      </c>
      <c r="F67" s="2479">
        <v>535</v>
      </c>
      <c r="G67" s="2479">
        <v>566</v>
      </c>
      <c r="H67" s="273"/>
      <c r="I67" s="2480">
        <f t="shared" si="27"/>
        <v>548.20000000000005</v>
      </c>
    </row>
    <row r="68" spans="1:9" x14ac:dyDescent="0.3">
      <c r="A68" s="2311" t="s">
        <v>1717</v>
      </c>
      <c r="B68" s="2311"/>
      <c r="C68" s="2473">
        <v>35</v>
      </c>
      <c r="D68" s="2473">
        <v>30</v>
      </c>
      <c r="E68" s="2473">
        <v>35</v>
      </c>
      <c r="F68" s="2473">
        <v>35</v>
      </c>
      <c r="G68" s="2473">
        <v>35</v>
      </c>
      <c r="I68" s="2478">
        <f>+IFERROR(AVERAGE(C68:G68),"")</f>
        <v>34</v>
      </c>
    </row>
    <row r="69" spans="1:9" x14ac:dyDescent="0.3">
      <c r="A69" s="2339" t="s">
        <v>1718</v>
      </c>
      <c r="B69" s="2339"/>
      <c r="C69" s="2479">
        <f t="shared" ref="C69:G69" si="28">+C68+C67</f>
        <v>585</v>
      </c>
      <c r="D69" s="2479">
        <f t="shared" si="28"/>
        <v>625</v>
      </c>
      <c r="E69" s="2479">
        <f t="shared" si="28"/>
        <v>530</v>
      </c>
      <c r="F69" s="2479">
        <f t="shared" si="28"/>
        <v>570</v>
      </c>
      <c r="G69" s="2479">
        <f t="shared" si="28"/>
        <v>601</v>
      </c>
      <c r="H69" s="273"/>
      <c r="I69" s="2480">
        <f>+IFERROR(I68+I67,"")</f>
        <v>582.20000000000005</v>
      </c>
    </row>
    <row r="70" spans="1:9" ht="43.2" x14ac:dyDescent="0.3">
      <c r="D70" s="2481" t="s">
        <v>1719</v>
      </c>
    </row>
    <row r="72" spans="1:9" x14ac:dyDescent="0.3">
      <c r="A72" s="2346" t="s">
        <v>1615</v>
      </c>
      <c r="B72" s="2346"/>
      <c r="C72" s="2460" t="str">
        <f>+C60</f>
        <v>MC Ten Mile</v>
      </c>
      <c r="D72" s="2460" t="str">
        <f t="shared" ref="D72:G72" si="29">+D60</f>
        <v>Aren</v>
      </c>
      <c r="E72" s="2460" t="str">
        <f t="shared" si="29"/>
        <v>Canyon Ridge</v>
      </c>
      <c r="F72" s="2460" t="str">
        <f t="shared" si="29"/>
        <v>MC Black Cat</v>
      </c>
      <c r="G72" s="2460" t="str">
        <f t="shared" si="29"/>
        <v>Seasons at Meridian</v>
      </c>
      <c r="I72" s="2460" t="s">
        <v>1710</v>
      </c>
    </row>
    <row r="73" spans="1:9" x14ac:dyDescent="0.3">
      <c r="A73" s="2311" t="s">
        <v>987</v>
      </c>
      <c r="B73" s="2311"/>
      <c r="C73" s="2473"/>
      <c r="D73" s="2473"/>
      <c r="E73" s="2473">
        <v>25</v>
      </c>
      <c r="F73" s="2473"/>
      <c r="G73" s="2473">
        <v>25</v>
      </c>
      <c r="I73" s="2478">
        <f t="shared" ref="I73:I76" si="30">+IFERROR(AVERAGE(C73:G73),"")</f>
        <v>25</v>
      </c>
    </row>
    <row r="74" spans="1:9" x14ac:dyDescent="0.3">
      <c r="A74" s="2311" t="s">
        <v>1720</v>
      </c>
      <c r="B74" s="2311"/>
      <c r="C74" s="2473">
        <v>250</v>
      </c>
      <c r="D74" s="2473"/>
      <c r="E74" s="2473"/>
      <c r="F74" s="2473">
        <v>250</v>
      </c>
      <c r="G74" s="2473"/>
      <c r="I74" s="2478">
        <f t="shared" si="30"/>
        <v>250</v>
      </c>
    </row>
    <row r="75" spans="1:9" x14ac:dyDescent="0.3">
      <c r="A75" s="2311" t="s">
        <v>993</v>
      </c>
      <c r="B75" s="2311"/>
      <c r="C75" s="2473">
        <v>175</v>
      </c>
      <c r="D75" s="2473">
        <v>160</v>
      </c>
      <c r="E75" s="2473"/>
      <c r="F75" s="2473">
        <v>175</v>
      </c>
      <c r="G75" s="2473"/>
      <c r="I75" s="2478">
        <f t="shared" si="30"/>
        <v>170</v>
      </c>
    </row>
    <row r="76" spans="1:9" x14ac:dyDescent="0.3">
      <c r="A76" s="2311" t="s">
        <v>999</v>
      </c>
      <c r="B76" s="2311"/>
      <c r="C76" s="2473"/>
      <c r="D76" s="2473">
        <v>35</v>
      </c>
      <c r="E76" s="2473">
        <v>45</v>
      </c>
      <c r="F76" s="2473"/>
      <c r="G76" s="2473">
        <v>45</v>
      </c>
      <c r="I76" s="2478">
        <f t="shared" si="30"/>
        <v>41.666666666666664</v>
      </c>
    </row>
  </sheetData>
  <pageMargins left="0.7" right="0.7" top="0.75" bottom="0.75" header="0.3" footer="0.3"/>
  <ignoredErrors>
    <ignoredError sqref="C49:G51 C48:E48 G48 C53 E53:G53 C52:E52 G52" unlockedFormula="1"/>
  </ignoredError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A396C8-DC11-47BE-B6CA-F6CE239171D7}">
  <sheetPr codeName="Sheet42">
    <tabColor theme="7" tint="0.79998168889431442"/>
  </sheetPr>
  <dimension ref="A1:F37"/>
  <sheetViews>
    <sheetView workbookViewId="0">
      <selection activeCell="A39" sqref="A39"/>
    </sheetView>
  </sheetViews>
  <sheetFormatPr defaultRowHeight="14.4" x14ac:dyDescent="0.3"/>
  <cols>
    <col min="1" max="1" width="18.109375" bestFit="1" customWidth="1"/>
    <col min="2" max="5" width="13.109375" customWidth="1"/>
  </cols>
  <sheetData>
    <row r="1" spans="1:5" x14ac:dyDescent="0.3">
      <c r="A1" s="2745" t="s">
        <v>1651</v>
      </c>
      <c r="B1" s="2746"/>
      <c r="C1" s="2746"/>
      <c r="D1" s="2746"/>
      <c r="E1" s="2747"/>
    </row>
    <row r="2" spans="1:5" x14ac:dyDescent="0.3">
      <c r="A2" s="2355" t="s">
        <v>1593</v>
      </c>
      <c r="B2" s="2356" t="s">
        <v>410</v>
      </c>
      <c r="C2" s="2356" t="s">
        <v>1594</v>
      </c>
      <c r="D2" s="2356" t="s">
        <v>1181</v>
      </c>
      <c r="E2" s="2356" t="s">
        <v>1595</v>
      </c>
    </row>
    <row r="3" spans="1:5" x14ac:dyDescent="0.3">
      <c r="A3" s="2354" t="s">
        <v>230</v>
      </c>
      <c r="B3" s="2360">
        <v>0</v>
      </c>
      <c r="C3" s="2360">
        <v>0</v>
      </c>
      <c r="D3" s="2361">
        <v>0</v>
      </c>
      <c r="E3" s="2359">
        <v>0</v>
      </c>
    </row>
    <row r="4" spans="1:5" x14ac:dyDescent="0.3">
      <c r="A4" s="2741" t="s">
        <v>1600</v>
      </c>
      <c r="B4" s="2742">
        <v>120</v>
      </c>
      <c r="C4" s="2742">
        <v>695</v>
      </c>
      <c r="D4" s="2743">
        <v>1938</v>
      </c>
      <c r="E4" s="2744">
        <v>2.7884892086330937</v>
      </c>
    </row>
    <row r="5" spans="1:5" x14ac:dyDescent="0.3">
      <c r="A5" s="2741"/>
      <c r="B5" s="2742"/>
      <c r="C5" s="2742"/>
      <c r="D5" s="2743"/>
      <c r="E5" s="2744"/>
    </row>
    <row r="6" spans="1:5" x14ac:dyDescent="0.3">
      <c r="A6" s="2741" t="s">
        <v>1601</v>
      </c>
      <c r="B6" s="2742">
        <v>0</v>
      </c>
      <c r="C6" s="2742">
        <v>0</v>
      </c>
      <c r="D6" s="2743">
        <v>0</v>
      </c>
      <c r="E6" s="2744">
        <v>0</v>
      </c>
    </row>
    <row r="7" spans="1:5" x14ac:dyDescent="0.3">
      <c r="A7" s="2741"/>
      <c r="B7" s="2742"/>
      <c r="C7" s="2742"/>
      <c r="D7" s="2743"/>
      <c r="E7" s="2744"/>
    </row>
    <row r="8" spans="1:5" x14ac:dyDescent="0.3">
      <c r="A8" s="2741" t="s">
        <v>1602</v>
      </c>
      <c r="B8" s="2742">
        <v>139</v>
      </c>
      <c r="C8" s="2742">
        <v>1001</v>
      </c>
      <c r="D8" s="2743">
        <v>2257</v>
      </c>
      <c r="E8" s="2744">
        <v>2.2547452547452549</v>
      </c>
    </row>
    <row r="9" spans="1:5" x14ac:dyDescent="0.3">
      <c r="A9" s="2741"/>
      <c r="B9" s="2742"/>
      <c r="C9" s="2742"/>
      <c r="D9" s="2743"/>
      <c r="E9" s="2744"/>
    </row>
    <row r="10" spans="1:5" x14ac:dyDescent="0.3">
      <c r="A10" s="2354" t="s">
        <v>1603</v>
      </c>
      <c r="B10" s="2360">
        <v>28</v>
      </c>
      <c r="C10" s="2360">
        <v>1228</v>
      </c>
      <c r="D10" s="2366">
        <v>2504</v>
      </c>
      <c r="E10" s="2359">
        <v>2.0390879478827362</v>
      </c>
    </row>
    <row r="11" spans="1:5" x14ac:dyDescent="0.3">
      <c r="A11" s="2401" t="s">
        <v>1606</v>
      </c>
      <c r="B11" s="2403">
        <v>287</v>
      </c>
      <c r="C11" s="2404">
        <v>895.20209059233446</v>
      </c>
      <c r="D11" s="2402">
        <v>2147.7177700348434</v>
      </c>
      <c r="E11" s="2405">
        <v>2.39914293387513</v>
      </c>
    </row>
    <row r="15" spans="1:5" x14ac:dyDescent="0.3">
      <c r="A15" t="s">
        <v>1600</v>
      </c>
      <c r="C15">
        <v>692</v>
      </c>
      <c r="D15">
        <v>1855</v>
      </c>
      <c r="E15">
        <f>D15/C15</f>
        <v>2.6806358381502888</v>
      </c>
    </row>
    <row r="16" spans="1:5" x14ac:dyDescent="0.3">
      <c r="A16" t="s">
        <v>1600</v>
      </c>
      <c r="C16">
        <v>824</v>
      </c>
      <c r="D16">
        <v>1755</v>
      </c>
      <c r="E16">
        <f t="shared" ref="E16:E18" si="0">D16/C16</f>
        <v>2.1298543689320391</v>
      </c>
    </row>
    <row r="17" spans="1:6" x14ac:dyDescent="0.3">
      <c r="A17" t="s">
        <v>1602</v>
      </c>
      <c r="C17">
        <v>1019</v>
      </c>
      <c r="D17">
        <v>2295</v>
      </c>
      <c r="E17">
        <f t="shared" si="0"/>
        <v>2.2522080471050048</v>
      </c>
    </row>
    <row r="18" spans="1:6" x14ac:dyDescent="0.3">
      <c r="A18" t="s">
        <v>1603</v>
      </c>
      <c r="C18">
        <v>1302</v>
      </c>
      <c r="D18">
        <v>2755</v>
      </c>
      <c r="E18">
        <f t="shared" si="0"/>
        <v>2.1159754224270353</v>
      </c>
    </row>
    <row r="20" spans="1:6" x14ac:dyDescent="0.3">
      <c r="A20" s="2745" t="s">
        <v>1721</v>
      </c>
      <c r="B20" s="2746"/>
      <c r="C20" s="2746"/>
      <c r="D20" s="2746"/>
      <c r="E20" s="2747"/>
      <c r="F20" t="s">
        <v>1722</v>
      </c>
    </row>
    <row r="21" spans="1:6" x14ac:dyDescent="0.3">
      <c r="A21" s="2355" t="s">
        <v>1593</v>
      </c>
      <c r="B21" s="2356" t="s">
        <v>410</v>
      </c>
      <c r="C21" s="2356" t="s">
        <v>1594</v>
      </c>
      <c r="D21" s="2356" t="s">
        <v>1181</v>
      </c>
      <c r="E21" s="2356" t="s">
        <v>1595</v>
      </c>
    </row>
    <row r="22" spans="1:6" x14ac:dyDescent="0.3">
      <c r="A22" s="2354" t="s">
        <v>230</v>
      </c>
      <c r="B22" s="2360"/>
      <c r="C22" s="2360"/>
      <c r="D22" s="2361"/>
      <c r="E22" s="2359">
        <v>0</v>
      </c>
    </row>
    <row r="23" spans="1:6" x14ac:dyDescent="0.3">
      <c r="A23" s="2741" t="s">
        <v>1600</v>
      </c>
      <c r="B23" s="2742"/>
      <c r="C23" s="2742">
        <f>AVERAGE(C15:C16)</f>
        <v>758</v>
      </c>
      <c r="D23" s="2743">
        <f>AVERAGE(D15:D16)</f>
        <v>1805</v>
      </c>
      <c r="E23" s="2744">
        <f>D23/C23</f>
        <v>2.3812664907651717</v>
      </c>
    </row>
    <row r="24" spans="1:6" x14ac:dyDescent="0.3">
      <c r="A24" s="2741"/>
      <c r="B24" s="2742"/>
      <c r="C24" s="2742"/>
      <c r="D24" s="2743"/>
      <c r="E24" s="2744"/>
    </row>
    <row r="25" spans="1:6" x14ac:dyDescent="0.3">
      <c r="A25" s="2741" t="s">
        <v>1601</v>
      </c>
      <c r="B25" s="2742"/>
      <c r="C25" s="2742"/>
      <c r="D25" s="2743"/>
      <c r="E25" s="2744">
        <v>0</v>
      </c>
    </row>
    <row r="26" spans="1:6" x14ac:dyDescent="0.3">
      <c r="A26" s="2741"/>
      <c r="B26" s="2742"/>
      <c r="C26" s="2742"/>
      <c r="D26" s="2743"/>
      <c r="E26" s="2744"/>
    </row>
    <row r="27" spans="1:6" x14ac:dyDescent="0.3">
      <c r="A27" s="2741" t="s">
        <v>1602</v>
      </c>
      <c r="B27" s="2742"/>
      <c r="C27" s="2742">
        <f>C17</f>
        <v>1019</v>
      </c>
      <c r="D27" s="2743">
        <f>D17</f>
        <v>2295</v>
      </c>
      <c r="E27" s="2744">
        <f>D27/C27</f>
        <v>2.2522080471050048</v>
      </c>
    </row>
    <row r="28" spans="1:6" x14ac:dyDescent="0.3">
      <c r="A28" s="2741"/>
      <c r="B28" s="2742"/>
      <c r="C28" s="2742"/>
      <c r="D28" s="2743"/>
      <c r="E28" s="2744"/>
    </row>
    <row r="29" spans="1:6" x14ac:dyDescent="0.3">
      <c r="A29" s="2354" t="s">
        <v>1603</v>
      </c>
      <c r="B29" s="2360"/>
      <c r="C29" s="2360">
        <f>C18</f>
        <v>1302</v>
      </c>
      <c r="D29" s="2366">
        <f>D18</f>
        <v>2755</v>
      </c>
      <c r="E29" s="2359">
        <f>D29/C29</f>
        <v>2.1159754224270353</v>
      </c>
    </row>
    <row r="30" spans="1:6" x14ac:dyDescent="0.3">
      <c r="A30" s="2401" t="s">
        <v>1606</v>
      </c>
      <c r="B30" s="2403">
        <v>287</v>
      </c>
      <c r="C30" s="2404">
        <v>895.20209059233446</v>
      </c>
      <c r="D30" s="2402">
        <v>2147.7177700348434</v>
      </c>
      <c r="E30" s="2405">
        <f>AVERAGE(E29,E27,E23)</f>
        <v>2.2498166534324038</v>
      </c>
    </row>
    <row r="34" spans="1:5" x14ac:dyDescent="0.3">
      <c r="A34" t="s">
        <v>1600</v>
      </c>
      <c r="C34">
        <v>674</v>
      </c>
      <c r="D34">
        <v>1715</v>
      </c>
      <c r="E34">
        <f>D34/C34</f>
        <v>2.5445103857566767</v>
      </c>
    </row>
    <row r="35" spans="1:5" x14ac:dyDescent="0.3">
      <c r="A35" t="s">
        <v>1600</v>
      </c>
      <c r="C35">
        <v>708</v>
      </c>
      <c r="D35">
        <v>1720</v>
      </c>
      <c r="E35">
        <f t="shared" ref="E35:E37" si="1">D35/C35</f>
        <v>2.4293785310734464</v>
      </c>
    </row>
    <row r="36" spans="1:5" x14ac:dyDescent="0.3">
      <c r="A36" t="s">
        <v>1600</v>
      </c>
      <c r="C36">
        <v>708</v>
      </c>
      <c r="D36">
        <v>1719</v>
      </c>
      <c r="E36">
        <f t="shared" si="1"/>
        <v>2.4279661016949152</v>
      </c>
    </row>
    <row r="37" spans="1:5" x14ac:dyDescent="0.3">
      <c r="A37" t="s">
        <v>1600</v>
      </c>
      <c r="C37">
        <v>708</v>
      </c>
      <c r="D37">
        <v>1769</v>
      </c>
      <c r="E37">
        <f t="shared" si="1"/>
        <v>2.4985875706214689</v>
      </c>
    </row>
  </sheetData>
  <mergeCells count="32">
    <mergeCell ref="A1:E1"/>
    <mergeCell ref="A4:A5"/>
    <mergeCell ref="B4:B5"/>
    <mergeCell ref="C4:C5"/>
    <mergeCell ref="D4:D5"/>
    <mergeCell ref="E4:E5"/>
    <mergeCell ref="A8:A9"/>
    <mergeCell ref="B8:B9"/>
    <mergeCell ref="C8:C9"/>
    <mergeCell ref="D8:D9"/>
    <mergeCell ref="E8:E9"/>
    <mergeCell ref="A6:A7"/>
    <mergeCell ref="B6:B7"/>
    <mergeCell ref="C6:C7"/>
    <mergeCell ref="D6:D7"/>
    <mergeCell ref="E6:E7"/>
    <mergeCell ref="A20:E20"/>
    <mergeCell ref="A23:A24"/>
    <mergeCell ref="B23:B24"/>
    <mergeCell ref="C23:C24"/>
    <mergeCell ref="D23:D24"/>
    <mergeCell ref="E23:E24"/>
    <mergeCell ref="A27:A28"/>
    <mergeCell ref="B27:B28"/>
    <mergeCell ref="C27:C28"/>
    <mergeCell ref="D27:D28"/>
    <mergeCell ref="E27:E28"/>
    <mergeCell ref="A25:A26"/>
    <mergeCell ref="B25:B26"/>
    <mergeCell ref="C25:C26"/>
    <mergeCell ref="D25:D26"/>
    <mergeCell ref="E25:E26"/>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2ACB72-27B0-4E6B-953E-1F0D73C904BF}">
  <sheetPr codeName="Sheet35">
    <tabColor rgb="FF7030A0"/>
  </sheetPr>
  <dimension ref="A2:N49"/>
  <sheetViews>
    <sheetView workbookViewId="0">
      <selection activeCell="Q3" sqref="Q3"/>
    </sheetView>
  </sheetViews>
  <sheetFormatPr defaultColWidth="8.6640625" defaultRowHeight="14.4" x14ac:dyDescent="0.3"/>
  <cols>
    <col min="1" max="1" width="25.6640625" style="3" customWidth="1"/>
    <col min="2" max="2" width="14.5546875" style="3" bestFit="1" customWidth="1"/>
    <col min="3" max="3" width="20.33203125" style="3" bestFit="1" customWidth="1"/>
    <col min="4" max="4" width="18.6640625" style="3" bestFit="1" customWidth="1"/>
    <col min="5" max="5" width="14.33203125" style="3" customWidth="1"/>
    <col min="6" max="6" width="14.44140625" style="3" bestFit="1" customWidth="1"/>
    <col min="7" max="7" width="18.5546875" style="3" bestFit="1" customWidth="1"/>
    <col min="8" max="8" width="17.6640625" style="3" customWidth="1"/>
    <col min="9" max="9" width="14.5546875" style="3" bestFit="1" customWidth="1"/>
    <col min="10" max="13" width="15.5546875" style="3" bestFit="1" customWidth="1"/>
    <col min="14" max="14" width="15.6640625" style="3" customWidth="1"/>
    <col min="15" max="16384" width="8.6640625" style="3"/>
  </cols>
  <sheetData>
    <row r="2" spans="1:14" ht="15.6" x14ac:dyDescent="0.3">
      <c r="A2" s="2191" t="s">
        <v>1723</v>
      </c>
      <c r="B2" s="2192"/>
      <c r="C2" s="2191"/>
      <c r="D2" s="2191"/>
      <c r="E2" s="2191"/>
      <c r="F2" s="2191"/>
      <c r="G2" s="2191"/>
      <c r="H2" s="2191"/>
      <c r="I2" s="2191"/>
      <c r="J2" s="2191"/>
      <c r="K2" s="2191"/>
      <c r="L2" s="2191"/>
      <c r="M2" s="2191"/>
      <c r="N2" s="2191"/>
    </row>
    <row r="3" spans="1:14" x14ac:dyDescent="0.3">
      <c r="L3" s="3">
        <v>2030</v>
      </c>
    </row>
    <row r="4" spans="1:14" x14ac:dyDescent="0.3">
      <c r="I4" s="3" t="s">
        <v>1724</v>
      </c>
      <c r="L4" s="2161">
        <v>3.0000000000000001E-3</v>
      </c>
    </row>
    <row r="5" spans="1:14" x14ac:dyDescent="0.3">
      <c r="I5" s="3" t="s">
        <v>1725</v>
      </c>
      <c r="L5" s="2161">
        <v>0.1</v>
      </c>
    </row>
    <row r="6" spans="1:14" ht="15" thickBot="1" x14ac:dyDescent="0.35">
      <c r="E6" s="2748" t="s">
        <v>1726</v>
      </c>
      <c r="F6" s="2749"/>
      <c r="G6" s="2750"/>
    </row>
    <row r="7" spans="1:14" x14ac:dyDescent="0.3">
      <c r="A7" s="3" t="s">
        <v>1727</v>
      </c>
      <c r="B7" s="2203" t="s">
        <v>1728</v>
      </c>
      <c r="C7" s="2204" t="s">
        <v>1729</v>
      </c>
      <c r="D7" s="2204" t="s">
        <v>1730</v>
      </c>
      <c r="E7" s="2204" t="s">
        <v>1730</v>
      </c>
      <c r="F7" s="2204" t="s">
        <v>1730</v>
      </c>
      <c r="G7" s="2204" t="s">
        <v>1730</v>
      </c>
      <c r="H7" s="2205" t="s">
        <v>1730</v>
      </c>
      <c r="I7" s="2203" t="s">
        <v>1731</v>
      </c>
      <c r="J7" s="2204" t="s">
        <v>1731</v>
      </c>
      <c r="K7" s="2204" t="s">
        <v>1731</v>
      </c>
      <c r="L7" s="2204" t="s">
        <v>1731</v>
      </c>
      <c r="M7" s="2204" t="s">
        <v>1731</v>
      </c>
      <c r="N7" s="2205" t="s">
        <v>1731</v>
      </c>
    </row>
    <row r="8" spans="1:14" x14ac:dyDescent="0.3">
      <c r="A8" s="3" t="s">
        <v>1732</v>
      </c>
      <c r="B8" s="2175">
        <f>+YEAR('General Inputs'!$C$38)</f>
        <v>2026</v>
      </c>
      <c r="C8" s="2206">
        <f>+B8+1</f>
        <v>2027</v>
      </c>
      <c r="D8" s="2206">
        <f t="shared" ref="D8:H8" si="0">+C8+1</f>
        <v>2028</v>
      </c>
      <c r="E8" s="2206">
        <f t="shared" si="0"/>
        <v>2029</v>
      </c>
      <c r="F8" s="2206">
        <f t="shared" si="0"/>
        <v>2030</v>
      </c>
      <c r="G8" s="2206">
        <f t="shared" si="0"/>
        <v>2031</v>
      </c>
      <c r="H8" s="2207">
        <f t="shared" si="0"/>
        <v>2032</v>
      </c>
      <c r="I8" s="2160">
        <f t="shared" ref="I8:M8" si="1">+H8+1</f>
        <v>2033</v>
      </c>
      <c r="J8" s="2206">
        <f t="shared" si="1"/>
        <v>2034</v>
      </c>
      <c r="K8" s="2206">
        <f t="shared" si="1"/>
        <v>2035</v>
      </c>
      <c r="L8" s="2206">
        <f t="shared" si="1"/>
        <v>2036</v>
      </c>
      <c r="M8" s="2206">
        <f t="shared" si="1"/>
        <v>2037</v>
      </c>
      <c r="N8" s="2207">
        <f t="shared" ref="N8" si="2">+M8+1</f>
        <v>2038</v>
      </c>
    </row>
    <row r="9" spans="1:14" x14ac:dyDescent="0.3">
      <c r="A9" s="3" t="s">
        <v>1733</v>
      </c>
      <c r="B9" s="2160">
        <f>+B8-1</f>
        <v>2025</v>
      </c>
      <c r="C9" s="2206">
        <f t="shared" ref="C9:H9" si="3">+C8-1</f>
        <v>2026</v>
      </c>
      <c r="D9" s="2206">
        <f t="shared" si="3"/>
        <v>2027</v>
      </c>
      <c r="E9" s="2206">
        <f t="shared" si="3"/>
        <v>2028</v>
      </c>
      <c r="F9" s="2206">
        <f t="shared" si="3"/>
        <v>2029</v>
      </c>
      <c r="G9" s="2206">
        <f t="shared" si="3"/>
        <v>2030</v>
      </c>
      <c r="H9" s="2207">
        <f t="shared" si="3"/>
        <v>2031</v>
      </c>
      <c r="I9" s="2160">
        <f t="shared" ref="I9" si="4">+I8-1</f>
        <v>2032</v>
      </c>
      <c r="J9" s="2206">
        <f t="shared" ref="J9" si="5">+J8-1</f>
        <v>2033</v>
      </c>
      <c r="K9" s="2206">
        <f t="shared" ref="K9" si="6">+K8-1</f>
        <v>2034</v>
      </c>
      <c r="L9" s="2206">
        <f t="shared" ref="L9" si="7">+L8-1</f>
        <v>2035</v>
      </c>
      <c r="M9" s="2206">
        <f t="shared" ref="M9:N9" si="8">+M8-1</f>
        <v>2036</v>
      </c>
      <c r="N9" s="2207">
        <f t="shared" si="8"/>
        <v>2037</v>
      </c>
    </row>
    <row r="10" spans="1:14" x14ac:dyDescent="0.3">
      <c r="A10" s="3" t="s">
        <v>1734</v>
      </c>
      <c r="B10" s="2176"/>
      <c r="C10" s="2174"/>
      <c r="D10" s="2174"/>
      <c r="E10" s="2174"/>
      <c r="F10" s="2174"/>
      <c r="G10" s="2174" t="s">
        <v>1735</v>
      </c>
      <c r="H10" s="2177"/>
      <c r="I10" s="2208"/>
      <c r="J10" s="2209"/>
      <c r="K10" s="2209"/>
      <c r="L10" s="2209"/>
      <c r="M10" s="2209"/>
      <c r="N10" s="2210"/>
    </row>
    <row r="11" spans="1:14" x14ac:dyDescent="0.3">
      <c r="A11" s="3" t="s">
        <v>1736</v>
      </c>
      <c r="B11" s="2178" t="s">
        <v>1599</v>
      </c>
      <c r="C11" s="2173" t="s">
        <v>1599</v>
      </c>
      <c r="D11" s="2173" t="s">
        <v>1599</v>
      </c>
      <c r="E11" s="2173">
        <v>0.27</v>
      </c>
      <c r="F11" s="2173">
        <v>0.73</v>
      </c>
      <c r="G11" s="2173">
        <v>1</v>
      </c>
      <c r="H11" s="2179">
        <v>1</v>
      </c>
      <c r="I11" s="2208"/>
      <c r="J11" s="2209"/>
      <c r="K11" s="2209"/>
      <c r="L11" s="2209"/>
      <c r="M11" s="2209"/>
      <c r="N11" s="2210"/>
    </row>
    <row r="12" spans="1:14" x14ac:dyDescent="0.3">
      <c r="A12" s="3" t="s">
        <v>1737</v>
      </c>
      <c r="B12" s="2180">
        <f>+B42</f>
        <v>3188800</v>
      </c>
      <c r="C12" s="2162">
        <v>3614500</v>
      </c>
      <c r="D12" s="2162">
        <v>4699000</v>
      </c>
      <c r="E12" s="2162">
        <v>7049000</v>
      </c>
      <c r="F12" s="2162">
        <v>10574000</v>
      </c>
      <c r="G12" s="2162">
        <v>11631400</v>
      </c>
      <c r="H12" s="2181">
        <v>12795000</v>
      </c>
      <c r="I12" s="2208"/>
      <c r="J12" s="2209"/>
      <c r="K12" s="2209"/>
      <c r="L12" s="2209"/>
      <c r="M12" s="2209"/>
      <c r="N12" s="2210"/>
    </row>
    <row r="13" spans="1:14" ht="15" thickBot="1" x14ac:dyDescent="0.35">
      <c r="A13" s="3" t="s">
        <v>1738</v>
      </c>
      <c r="B13" s="2185">
        <f>+C42</f>
        <v>449600</v>
      </c>
      <c r="C13" s="2186">
        <v>392800</v>
      </c>
      <c r="D13" s="2186">
        <v>0</v>
      </c>
      <c r="E13" s="2186">
        <v>14797000</v>
      </c>
      <c r="F13" s="2186">
        <v>51731000</v>
      </c>
      <c r="G13" s="2186">
        <v>78038600</v>
      </c>
      <c r="H13" s="2187">
        <v>81941000</v>
      </c>
      <c r="I13" s="2211"/>
      <c r="J13" s="2212"/>
      <c r="K13" s="2212"/>
      <c r="L13" s="2212"/>
      <c r="M13" s="2212"/>
      <c r="N13" s="2213"/>
    </row>
    <row r="14" spans="1:14" ht="15" thickTop="1" x14ac:dyDescent="0.3">
      <c r="A14" s="3" t="s">
        <v>1739</v>
      </c>
      <c r="B14" s="2214">
        <f t="shared" ref="B14:H14" si="9">+SUM(B12:B13)</f>
        <v>3638400</v>
      </c>
      <c r="C14" s="2215">
        <f t="shared" si="9"/>
        <v>4007300</v>
      </c>
      <c r="D14" s="2215">
        <f t="shared" si="9"/>
        <v>4699000</v>
      </c>
      <c r="E14" s="2215">
        <f t="shared" si="9"/>
        <v>21846000</v>
      </c>
      <c r="F14" s="2215">
        <f t="shared" si="9"/>
        <v>62305000</v>
      </c>
      <c r="G14" s="2215">
        <f t="shared" si="9"/>
        <v>89670000</v>
      </c>
      <c r="H14" s="2216">
        <f t="shared" si="9"/>
        <v>94736000</v>
      </c>
      <c r="I14" s="2214">
        <f>+H14*(1+'General Inputs'!$L$42)</f>
        <v>97578080</v>
      </c>
      <c r="J14" s="2215">
        <f>+I14*(1+'General Inputs'!$L$42)</f>
        <v>100505422.40000001</v>
      </c>
      <c r="K14" s="2215">
        <f>+J14*(1+'General Inputs'!$L$42)</f>
        <v>103520585.07200001</v>
      </c>
      <c r="L14" s="2215">
        <f>+K14*(1+'General Inputs'!$L$42)</f>
        <v>106626202.62416002</v>
      </c>
      <c r="M14" s="2215">
        <f>+L14*(1+'General Inputs'!$L$42)</f>
        <v>109824988.70288482</v>
      </c>
      <c r="N14" s="2216">
        <f>+M14*(1+'General Inputs'!$L$42)</f>
        <v>113119738.36397137</v>
      </c>
    </row>
    <row r="15" spans="1:14" x14ac:dyDescent="0.3">
      <c r="A15" s="3" t="s">
        <v>1740</v>
      </c>
      <c r="B15" s="2180">
        <v>0</v>
      </c>
      <c r="C15" s="2162">
        <v>250000</v>
      </c>
      <c r="D15" s="2162">
        <v>263000</v>
      </c>
      <c r="E15" s="2162">
        <v>276000</v>
      </c>
      <c r="F15" s="2162">
        <v>290000</v>
      </c>
      <c r="G15" s="2162">
        <v>305000</v>
      </c>
      <c r="H15" s="2181">
        <v>322231</v>
      </c>
      <c r="I15" s="2208"/>
      <c r="J15" s="2209"/>
      <c r="K15" s="2209"/>
      <c r="L15" s="2209"/>
      <c r="M15" s="2209"/>
      <c r="N15" s="2210"/>
    </row>
    <row r="16" spans="1:14" x14ac:dyDescent="0.3">
      <c r="A16" s="3" t="s">
        <v>1741</v>
      </c>
      <c r="B16" s="2182">
        <v>0</v>
      </c>
      <c r="C16" s="2161">
        <v>0</v>
      </c>
      <c r="D16" s="2161">
        <v>0</v>
      </c>
      <c r="E16" s="2161">
        <v>0</v>
      </c>
      <c r="F16" s="2161">
        <v>0</v>
      </c>
      <c r="G16" s="2161">
        <v>0</v>
      </c>
      <c r="H16" s="2183">
        <v>0</v>
      </c>
      <c r="I16" s="2208"/>
      <c r="J16" s="2209"/>
      <c r="K16" s="2209"/>
      <c r="L16" s="2209"/>
      <c r="M16" s="2209"/>
      <c r="N16" s="2210"/>
    </row>
    <row r="17" spans="1:14" x14ac:dyDescent="0.3">
      <c r="A17" s="3" t="s">
        <v>1742</v>
      </c>
      <c r="B17" s="2184">
        <f>+'Operating Input Details'!$B$66</f>
        <v>4.5068985965224812E-3</v>
      </c>
      <c r="C17" s="2217">
        <f>+B17*(1+C16)</f>
        <v>4.5068985965224812E-3</v>
      </c>
      <c r="D17" s="2217">
        <f t="shared" ref="D17:H17" si="10">+C17*(1+D16)</f>
        <v>4.5068985965224812E-3</v>
      </c>
      <c r="E17" s="2217">
        <f t="shared" si="10"/>
        <v>4.5068985965224812E-3</v>
      </c>
      <c r="F17" s="2217">
        <f t="shared" si="10"/>
        <v>4.5068985965224812E-3</v>
      </c>
      <c r="G17" s="2217">
        <f t="shared" si="10"/>
        <v>4.5068985965224812E-3</v>
      </c>
      <c r="H17" s="2218">
        <f t="shared" si="10"/>
        <v>4.5068985965224812E-3</v>
      </c>
      <c r="I17" s="2219">
        <f t="shared" ref="I17:N17" si="11">+H17*(1+$L$4)</f>
        <v>4.5204192923120482E-3</v>
      </c>
      <c r="J17" s="2217">
        <f t="shared" si="11"/>
        <v>4.5339805501889837E-3</v>
      </c>
      <c r="K17" s="2217">
        <f t="shared" si="11"/>
        <v>4.5475824918395505E-3</v>
      </c>
      <c r="L17" s="2217">
        <f t="shared" si="11"/>
        <v>4.561225239315069E-3</v>
      </c>
      <c r="M17" s="2217">
        <f t="shared" si="11"/>
        <v>4.5749089150330137E-3</v>
      </c>
      <c r="N17" s="2218">
        <f t="shared" si="11"/>
        <v>4.5886336417781124E-3</v>
      </c>
    </row>
    <row r="18" spans="1:14" x14ac:dyDescent="0.3">
      <c r="A18" s="3" t="s">
        <v>1743</v>
      </c>
      <c r="B18" s="2220">
        <f>+B17*B14</f>
        <v>16397.899853587394</v>
      </c>
      <c r="C18" s="2221">
        <f>+C17*C14</f>
        <v>18060.494745844539</v>
      </c>
      <c r="D18" s="2221">
        <f>+D17*D14</f>
        <v>21177.91650505914</v>
      </c>
      <c r="E18" s="2221">
        <f>+E17*E14</f>
        <v>98457.706739630128</v>
      </c>
      <c r="F18" s="2221">
        <f>+F17*F14</f>
        <v>280802.31705633318</v>
      </c>
      <c r="G18" s="2221">
        <f t="shared" ref="G18:H18" si="12">+G17*G14</f>
        <v>404133.59715017088</v>
      </c>
      <c r="H18" s="2222">
        <f t="shared" si="12"/>
        <v>426965.5454401538</v>
      </c>
      <c r="I18" s="2220">
        <f t="shared" ref="I18:N18" si="13">+I17*I14</f>
        <v>441093.83533876843</v>
      </c>
      <c r="J18" s="2221">
        <f t="shared" si="13"/>
        <v>455689.63035012822</v>
      </c>
      <c r="K18" s="2221">
        <f t="shared" si="13"/>
        <v>470768.40021841397</v>
      </c>
      <c r="L18" s="2221">
        <f t="shared" si="13"/>
        <v>486346.12658164132</v>
      </c>
      <c r="M18" s="2221">
        <f t="shared" si="13"/>
        <v>502439.31991022779</v>
      </c>
      <c r="N18" s="2222">
        <f t="shared" si="13"/>
        <v>519065.03700605716</v>
      </c>
    </row>
    <row r="19" spans="1:14" x14ac:dyDescent="0.3">
      <c r="A19" s="3" t="s">
        <v>1361</v>
      </c>
      <c r="B19" s="2180">
        <f>+G42</f>
        <v>85.240000000000009</v>
      </c>
      <c r="C19" s="2162">
        <v>90</v>
      </c>
      <c r="D19" s="2162">
        <v>100</v>
      </c>
      <c r="E19" s="2162">
        <v>110</v>
      </c>
      <c r="F19" s="2162">
        <v>120</v>
      </c>
      <c r="G19" s="2162">
        <v>19000</v>
      </c>
      <c r="H19" s="2181">
        <v>20900</v>
      </c>
      <c r="I19" s="2220">
        <f t="shared" ref="I19:N19" si="14">+H19*(1+$L$5)</f>
        <v>22990.000000000004</v>
      </c>
      <c r="J19" s="2221">
        <f t="shared" si="14"/>
        <v>25289.000000000007</v>
      </c>
      <c r="K19" s="2221">
        <f t="shared" si="14"/>
        <v>27817.900000000009</v>
      </c>
      <c r="L19" s="2221">
        <f t="shared" si="14"/>
        <v>30599.690000000013</v>
      </c>
      <c r="M19" s="2221">
        <f t="shared" si="14"/>
        <v>33659.659000000014</v>
      </c>
      <c r="N19" s="2222">
        <f t="shared" si="14"/>
        <v>37025.624900000017</v>
      </c>
    </row>
    <row r="20" spans="1:14" x14ac:dyDescent="0.3">
      <c r="A20" s="3" t="s">
        <v>1744</v>
      </c>
      <c r="B20" s="2220">
        <f>+SUM(B18:B19)</f>
        <v>16483.139853587396</v>
      </c>
      <c r="C20" s="2221">
        <f t="shared" ref="C20:H20" si="15">+SUM(C18:C19)</f>
        <v>18150.494745844539</v>
      </c>
      <c r="D20" s="2221">
        <f t="shared" si="15"/>
        <v>21277.91650505914</v>
      </c>
      <c r="E20" s="2221">
        <f t="shared" si="15"/>
        <v>98567.706739630128</v>
      </c>
      <c r="F20" s="2221">
        <f t="shared" si="15"/>
        <v>280922.31705633318</v>
      </c>
      <c r="G20" s="2221">
        <f t="shared" si="15"/>
        <v>423133.59715017088</v>
      </c>
      <c r="H20" s="2222">
        <f t="shared" si="15"/>
        <v>447865.5454401538</v>
      </c>
      <c r="I20" s="2220">
        <f>+I18+I19</f>
        <v>464083.83533876843</v>
      </c>
      <c r="J20" s="2221">
        <f t="shared" ref="J20:N20" si="16">+J18+J19</f>
        <v>480978.63035012822</v>
      </c>
      <c r="K20" s="2221">
        <f t="shared" si="16"/>
        <v>498586.30021841399</v>
      </c>
      <c r="L20" s="2221">
        <f t="shared" si="16"/>
        <v>516945.81658164132</v>
      </c>
      <c r="M20" s="2221">
        <f t="shared" si="16"/>
        <v>536098.97891022777</v>
      </c>
      <c r="N20" s="2222">
        <f t="shared" si="16"/>
        <v>556090.66190605715</v>
      </c>
    </row>
    <row r="21" spans="1:14" ht="15" thickBot="1" x14ac:dyDescent="0.35">
      <c r="A21" s="3" t="s">
        <v>1745</v>
      </c>
      <c r="B21" s="2223"/>
      <c r="C21" s="2224"/>
      <c r="D21" s="2224"/>
      <c r="E21" s="2224"/>
      <c r="F21" s="2224"/>
      <c r="G21" s="2224">
        <f t="shared" ref="G21:N21" si="17">+G20/Units</f>
        <v>1652.865613867855</v>
      </c>
      <c r="H21" s="2225">
        <f t="shared" si="17"/>
        <v>1749.4747868756008</v>
      </c>
      <c r="I21" s="2223">
        <f t="shared" si="17"/>
        <v>1812.8274817920642</v>
      </c>
      <c r="J21" s="2224">
        <f t="shared" si="17"/>
        <v>1878.8227748051884</v>
      </c>
      <c r="K21" s="2224">
        <f t="shared" si="17"/>
        <v>1947.6027352281797</v>
      </c>
      <c r="L21" s="2224">
        <f t="shared" si="17"/>
        <v>2019.3195960220364</v>
      </c>
      <c r="M21" s="2224">
        <f t="shared" si="17"/>
        <v>2094.1366363680772</v>
      </c>
      <c r="N21" s="2225">
        <f t="shared" si="17"/>
        <v>2172.2291480705358</v>
      </c>
    </row>
    <row r="22" spans="1:14" x14ac:dyDescent="0.3">
      <c r="F22" s="2198"/>
      <c r="G22" s="2226"/>
    </row>
    <row r="23" spans="1:14" x14ac:dyDescent="0.3">
      <c r="A23" s="3" t="s">
        <v>1746</v>
      </c>
      <c r="B23" s="2221">
        <f>+IF(B$10="X",B14,IF(B8&lt;$L$3,(INDEX($B$14:$H$14,MATCH("X",$B$10:$H$10,0))*(1+'General Inputs'!$L$42)^('Tax Study Input'!B$8-'Tax Study Input'!$L$3)),'Tax Study Input'!B$14))</f>
        <v>79670633.586599827</v>
      </c>
      <c r="C23" s="2221">
        <f>+IF(C$10="X",C14,IF(C8&lt;$L$3,(INDEX($B$14:$H$14,MATCH("X",$B$10:$H$10,0))*(1+'General Inputs'!$L$42)^('Tax Study Input'!C$8-'Tax Study Input'!$L$3)),'Tax Study Input'!C$14))</f>
        <v>82060752.594197825</v>
      </c>
      <c r="D23" s="2221">
        <f>+IF(D$10="X",D14,IF(D8&lt;$L$3,(INDEX($B$14:$H$14,MATCH("X",$B$10:$H$10,0))*(1+'General Inputs'!$L$42)^('Tax Study Input'!D$8-'Tax Study Input'!$L$3)),'Tax Study Input'!D$14))</f>
        <v>84522575.172023758</v>
      </c>
      <c r="E23" s="2221">
        <f>+IF(E$10="X",E14,IF(E8&lt;$L$3,(INDEX($B$14:$H$14,MATCH("X",$B$10:$H$10,0))*(1+'General Inputs'!$L$42)^('Tax Study Input'!E$8-'Tax Study Input'!$L$3)),'Tax Study Input'!E$14))</f>
        <v>87058252.427184463</v>
      </c>
      <c r="F23" s="2221">
        <f>+IF(F$10="X",F14,IF(F8&lt;$L$3,(INDEX($B$14:$H$14,MATCH("X",$B$10:$H$10,0))*(1+'General Inputs'!$L$42)^('Tax Study Input'!F$8-'Tax Study Input'!$L$3)),'Tax Study Input'!F$14))</f>
        <v>62305000</v>
      </c>
      <c r="G23" s="2221">
        <f>+IF(G$10="X",G14,IF(G8&lt;$L$3,(INDEX($B$14:$H$14,MATCH("X",$B$10:$H$10,0))*(1+'General Inputs'!$L$42)^('Tax Study Input'!G$8-'Tax Study Input'!$L$3)),'Tax Study Input'!G$14))</f>
        <v>89670000</v>
      </c>
      <c r="H23" s="2221">
        <f>+IF(H$10="X",H14,IF(H8&lt;$L$3,(INDEX($B$14:$H$14,MATCH("X",$B$10:$H$10,0))*(1+'General Inputs'!$L$42)^('Tax Study Input'!H$8-'Tax Study Input'!$L$3)),'Tax Study Input'!H$14))</f>
        <v>94736000</v>
      </c>
      <c r="I23" s="2221">
        <f>+IF(I$10="X",I14,IF(I8&lt;$L$3,(INDEX($B$14:$H$14,MATCH("X",$B$10:$H$10,0))*(1+'General Inputs'!$L$42)^('Tax Study Input'!I$8-'Tax Study Input'!$L$3)),'Tax Study Input'!I$14))</f>
        <v>97578080</v>
      </c>
      <c r="J23" s="2221">
        <f>+IF(J$10="X",J14,IF(J8&lt;$L$3,(INDEX($B$14:$H$14,MATCH("X",$B$10:$H$10,0))*(1+'General Inputs'!$L$42)^('Tax Study Input'!J$8-'Tax Study Input'!$L$3)),'Tax Study Input'!J$14))</f>
        <v>100505422.40000001</v>
      </c>
      <c r="K23" s="2221">
        <f>+IF(K$10="X",K14,IF(K8&lt;$L$3,(INDEX($B$14:$H$14,MATCH("X",$B$10:$H$10,0))*(1+'General Inputs'!$L$42)^('Tax Study Input'!K$8-'Tax Study Input'!$L$3)),'Tax Study Input'!K$14))</f>
        <v>103520585.07200001</v>
      </c>
      <c r="L23" s="2221">
        <f>+IF(L$10="X",L14,IF(L8&lt;$L$3,(INDEX($B$14:$H$14,MATCH("X",$B$10:$H$10,0))*(1+'General Inputs'!$L$42)^('Tax Study Input'!L$8-'Tax Study Input'!$L$3)),'Tax Study Input'!L$14))</f>
        <v>106626202.62416002</v>
      </c>
      <c r="M23" s="2221">
        <f>+IF(M$10="X",M14,IF(M8&lt;$L$3,(INDEX($B$14:$H$14,MATCH("X",$B$10:$H$10,0))*(1+'General Inputs'!$L$42)^('Tax Study Input'!M$8-'Tax Study Input'!$L$3)),'Tax Study Input'!M$14))</f>
        <v>109824988.70288482</v>
      </c>
      <c r="N23" s="2221">
        <f>+IF(N$10="X",N14,IF(N8&lt;$L$3,(INDEX($B$14:$H$14,MATCH("X",$B$10:$H$10,0))*(1+'General Inputs'!$L$42)^('Tax Study Input'!N$8-'Tax Study Input'!$L$3)),'Tax Study Input'!N$14))</f>
        <v>113119738.36397137</v>
      </c>
    </row>
    <row r="24" spans="1:14" x14ac:dyDescent="0.3">
      <c r="A24" s="3" t="s">
        <v>1747</v>
      </c>
      <c r="B24" s="2221">
        <f>+B23*B17</f>
        <v>359067.46669550362</v>
      </c>
      <c r="C24" s="2221">
        <f t="shared" ref="C24:N24" si="18">+C23*C17</f>
        <v>369839.49069636874</v>
      </c>
      <c r="D24" s="2221">
        <f t="shared" si="18"/>
        <v>380934.6754172598</v>
      </c>
      <c r="E24" s="2221">
        <f t="shared" si="18"/>
        <v>392362.71567977755</v>
      </c>
      <c r="F24" s="2221">
        <f t="shared" si="18"/>
        <v>280802.31705633318</v>
      </c>
      <c r="G24" s="2221">
        <f t="shared" si="18"/>
        <v>404133.59715017088</v>
      </c>
      <c r="H24" s="2221">
        <f t="shared" si="18"/>
        <v>426965.5454401538</v>
      </c>
      <c r="I24" s="2221">
        <f t="shared" si="18"/>
        <v>441093.83533876843</v>
      </c>
      <c r="J24" s="2221">
        <f t="shared" si="18"/>
        <v>455689.63035012822</v>
      </c>
      <c r="K24" s="2221">
        <f t="shared" si="18"/>
        <v>470768.40021841397</v>
      </c>
      <c r="L24" s="2221">
        <f t="shared" si="18"/>
        <v>486346.12658164132</v>
      </c>
      <c r="M24" s="2221">
        <f t="shared" si="18"/>
        <v>502439.31991022779</v>
      </c>
      <c r="N24" s="2221">
        <f t="shared" si="18"/>
        <v>519065.03700605716</v>
      </c>
    </row>
    <row r="25" spans="1:14" x14ac:dyDescent="0.3">
      <c r="A25" s="3" t="s">
        <v>1640</v>
      </c>
      <c r="B25" s="2227">
        <f t="shared" ref="B25:N25" si="19">+SUM(B24:B24)/Units</f>
        <v>1402.607291779311</v>
      </c>
      <c r="C25" s="2227">
        <f t="shared" si="19"/>
        <v>1444.6855105326904</v>
      </c>
      <c r="D25" s="2227">
        <f t="shared" si="19"/>
        <v>1488.0260758486711</v>
      </c>
      <c r="E25" s="2227">
        <f t="shared" si="19"/>
        <v>1532.6668581241311</v>
      </c>
      <c r="F25" s="2227">
        <f t="shared" si="19"/>
        <v>1096.8840510013015</v>
      </c>
      <c r="G25" s="2227">
        <f t="shared" si="19"/>
        <v>1578.646863867855</v>
      </c>
      <c r="H25" s="2227">
        <f t="shared" si="19"/>
        <v>1667.8341618756008</v>
      </c>
      <c r="I25" s="2227">
        <f t="shared" si="19"/>
        <v>1723.0227942920642</v>
      </c>
      <c r="J25" s="2227">
        <f t="shared" si="19"/>
        <v>1780.0376185551884</v>
      </c>
      <c r="K25" s="2227">
        <f t="shared" si="19"/>
        <v>1838.9390633531796</v>
      </c>
      <c r="L25" s="2227">
        <f t="shared" si="19"/>
        <v>1899.7895569595364</v>
      </c>
      <c r="M25" s="2227">
        <f t="shared" si="19"/>
        <v>1962.6535933993273</v>
      </c>
      <c r="N25" s="2227">
        <f t="shared" si="19"/>
        <v>2027.5978008049108</v>
      </c>
    </row>
    <row r="27" spans="1:14" ht="15.6" x14ac:dyDescent="0.3">
      <c r="A27" s="2191" t="s">
        <v>1748</v>
      </c>
      <c r="B27" s="2192"/>
      <c r="C27" s="2191"/>
      <c r="D27" s="2191"/>
      <c r="E27" s="2191"/>
      <c r="F27" s="2191"/>
      <c r="G27" s="2191"/>
      <c r="H27" s="2191"/>
      <c r="I27" s="2191"/>
      <c r="J27" s="2191"/>
      <c r="K27" s="2191"/>
      <c r="L27" s="2191"/>
      <c r="M27" s="2191"/>
      <c r="N27" s="2191"/>
    </row>
    <row r="29" spans="1:14" x14ac:dyDescent="0.3">
      <c r="A29" s="2199" t="s">
        <v>1732</v>
      </c>
      <c r="B29" s="2170">
        <v>2025</v>
      </c>
    </row>
    <row r="30" spans="1:14" x14ac:dyDescent="0.3">
      <c r="A30" s="2228" t="s">
        <v>1749</v>
      </c>
      <c r="B30" s="2229" t="s">
        <v>1750</v>
      </c>
      <c r="C30" s="2229" t="s">
        <v>1751</v>
      </c>
      <c r="D30" s="2229" t="s">
        <v>1752</v>
      </c>
      <c r="E30" s="2229" t="s">
        <v>1340</v>
      </c>
      <c r="F30" s="2229" t="s">
        <v>1025</v>
      </c>
      <c r="G30" s="2229" t="s">
        <v>1361</v>
      </c>
      <c r="H30" s="2229" t="s">
        <v>1753</v>
      </c>
    </row>
    <row r="31" spans="1:14" x14ac:dyDescent="0.3">
      <c r="A31" s="2168" t="s">
        <v>1754</v>
      </c>
      <c r="B31" s="2168">
        <v>427800</v>
      </c>
      <c r="C31" s="2168">
        <v>57100</v>
      </c>
      <c r="D31" s="2230">
        <f>+C31+B31</f>
        <v>484900</v>
      </c>
      <c r="E31" s="2169">
        <v>9.7993300000000002E-3</v>
      </c>
      <c r="F31" s="2230">
        <f>+D31*E31</f>
        <v>4751.6951170000002</v>
      </c>
      <c r="G31" s="2171">
        <v>10.19</v>
      </c>
      <c r="H31" s="2231">
        <f>+G31+F31</f>
        <v>4761.8851169999998</v>
      </c>
    </row>
    <row r="32" spans="1:14" x14ac:dyDescent="0.3">
      <c r="A32" s="2162" t="s">
        <v>1755</v>
      </c>
      <c r="B32" s="2162">
        <v>693300</v>
      </c>
      <c r="C32" s="2162">
        <v>64300</v>
      </c>
      <c r="D32" s="2230">
        <f t="shared" ref="D32:D41" si="20">+C32+B32</f>
        <v>757600</v>
      </c>
      <c r="E32" s="2167">
        <v>9.7993300000000002E-3</v>
      </c>
      <c r="F32" s="2230">
        <f t="shared" ref="F32:F41" si="21">+D32*E32</f>
        <v>7423.9724080000005</v>
      </c>
      <c r="G32" s="2172">
        <v>10.31</v>
      </c>
      <c r="H32" s="2231">
        <f t="shared" ref="H32:H41" si="22">+G32+F32</f>
        <v>7434.2824080000009</v>
      </c>
    </row>
    <row r="33" spans="1:8" x14ac:dyDescent="0.3">
      <c r="A33" s="2162" t="s">
        <v>1756</v>
      </c>
      <c r="B33" s="2162">
        <v>749400</v>
      </c>
      <c r="C33" s="2162">
        <v>0</v>
      </c>
      <c r="D33" s="2230">
        <f t="shared" si="20"/>
        <v>749400</v>
      </c>
      <c r="E33" s="2167">
        <v>9.7993300000000002E-3</v>
      </c>
      <c r="F33" s="2230">
        <f t="shared" si="21"/>
        <v>7343.617902</v>
      </c>
      <c r="G33" s="2172">
        <v>10.61</v>
      </c>
      <c r="H33" s="2231">
        <f t="shared" si="22"/>
        <v>7354.2279019999996</v>
      </c>
    </row>
    <row r="34" spans="1:8" x14ac:dyDescent="0.3">
      <c r="A34" s="2162" t="s">
        <v>1757</v>
      </c>
      <c r="B34" s="2162">
        <v>416000</v>
      </c>
      <c r="C34" s="2162">
        <v>249000</v>
      </c>
      <c r="D34" s="2230">
        <f t="shared" si="20"/>
        <v>665000</v>
      </c>
      <c r="E34" s="2167">
        <v>9.7993300000000002E-3</v>
      </c>
      <c r="F34" s="2230">
        <f t="shared" si="21"/>
        <v>6516.5544500000005</v>
      </c>
      <c r="G34" s="2172">
        <v>34.04</v>
      </c>
      <c r="H34" s="2231">
        <f t="shared" si="22"/>
        <v>6550.5944500000005</v>
      </c>
    </row>
    <row r="35" spans="1:8" x14ac:dyDescent="0.3">
      <c r="A35" s="2162" t="s">
        <v>1758</v>
      </c>
      <c r="B35" s="2162">
        <v>470300</v>
      </c>
      <c r="C35" s="2162">
        <v>38100</v>
      </c>
      <c r="D35" s="2230">
        <f t="shared" si="20"/>
        <v>508400</v>
      </c>
      <c r="E35" s="2167">
        <v>9.7993300000000002E-3</v>
      </c>
      <c r="F35" s="2230">
        <f t="shared" si="21"/>
        <v>4981.9793719999998</v>
      </c>
      <c r="G35" s="2172">
        <v>10.050000000000001</v>
      </c>
      <c r="H35" s="2231">
        <f t="shared" si="22"/>
        <v>4992.029372</v>
      </c>
    </row>
    <row r="36" spans="1:8" x14ac:dyDescent="0.3">
      <c r="A36" s="2162" t="s">
        <v>1759</v>
      </c>
      <c r="B36" s="2162">
        <v>432000</v>
      </c>
      <c r="C36" s="2162">
        <v>41100</v>
      </c>
      <c r="D36" s="2230">
        <f t="shared" si="20"/>
        <v>473100</v>
      </c>
      <c r="E36" s="2167">
        <v>9.7993300000000002E-3</v>
      </c>
      <c r="F36" s="2230">
        <f t="shared" si="21"/>
        <v>4636.0630229999997</v>
      </c>
      <c r="G36" s="2172">
        <v>10.039999999999999</v>
      </c>
      <c r="H36" s="2231">
        <f t="shared" si="22"/>
        <v>4646.1030229999997</v>
      </c>
    </row>
    <row r="37" spans="1:8" x14ac:dyDescent="0.3">
      <c r="A37" s="2162"/>
      <c r="B37" s="2162"/>
      <c r="C37" s="2162"/>
      <c r="D37" s="2230">
        <f t="shared" si="20"/>
        <v>0</v>
      </c>
      <c r="E37" s="2167"/>
      <c r="F37" s="2230">
        <f t="shared" si="21"/>
        <v>0</v>
      </c>
      <c r="G37" s="2172"/>
      <c r="H37" s="2231">
        <f t="shared" si="22"/>
        <v>0</v>
      </c>
    </row>
    <row r="38" spans="1:8" x14ac:dyDescent="0.3">
      <c r="A38" s="2162"/>
      <c r="B38" s="2162"/>
      <c r="C38" s="2162"/>
      <c r="D38" s="2230">
        <f t="shared" si="20"/>
        <v>0</v>
      </c>
      <c r="E38" s="2167"/>
      <c r="F38" s="2230">
        <f t="shared" si="21"/>
        <v>0</v>
      </c>
      <c r="G38" s="2172"/>
      <c r="H38" s="2231">
        <f t="shared" si="22"/>
        <v>0</v>
      </c>
    </row>
    <row r="39" spans="1:8" x14ac:dyDescent="0.3">
      <c r="A39" s="2162"/>
      <c r="B39" s="2162"/>
      <c r="C39" s="2162"/>
      <c r="D39" s="2230">
        <f t="shared" si="20"/>
        <v>0</v>
      </c>
      <c r="E39" s="2167"/>
      <c r="F39" s="2230">
        <f t="shared" si="21"/>
        <v>0</v>
      </c>
      <c r="G39" s="2172"/>
      <c r="H39" s="2231">
        <f t="shared" si="22"/>
        <v>0</v>
      </c>
    </row>
    <row r="40" spans="1:8" x14ac:dyDescent="0.3">
      <c r="A40" s="2162"/>
      <c r="B40" s="2162"/>
      <c r="C40" s="2162"/>
      <c r="D40" s="2230">
        <f t="shared" si="20"/>
        <v>0</v>
      </c>
      <c r="E40" s="2167"/>
      <c r="F40" s="2230">
        <f t="shared" si="21"/>
        <v>0</v>
      </c>
      <c r="G40" s="2172"/>
      <c r="H40" s="2231">
        <f t="shared" si="22"/>
        <v>0</v>
      </c>
    </row>
    <row r="41" spans="1:8" x14ac:dyDescent="0.3">
      <c r="A41" s="2162"/>
      <c r="B41" s="2162"/>
      <c r="C41" s="2162"/>
      <c r="D41" s="2232">
        <f t="shared" si="20"/>
        <v>0</v>
      </c>
      <c r="E41" s="2167"/>
      <c r="F41" s="2232">
        <f t="shared" si="21"/>
        <v>0</v>
      </c>
      <c r="G41" s="2172"/>
      <c r="H41" s="2233">
        <f t="shared" si="22"/>
        <v>0</v>
      </c>
    </row>
    <row r="42" spans="1:8" x14ac:dyDescent="0.3">
      <c r="A42" s="2229" t="s">
        <v>173</v>
      </c>
      <c r="B42" s="2234">
        <f>+SUM(B31:B41)</f>
        <v>3188800</v>
      </c>
      <c r="C42" s="2234">
        <f>+SUM(C31:C41)</f>
        <v>449600</v>
      </c>
      <c r="D42" s="2229"/>
      <c r="E42" s="2229"/>
      <c r="F42" s="2229"/>
      <c r="G42" s="2235">
        <f>+SUM(G31:G41)</f>
        <v>85.240000000000009</v>
      </c>
      <c r="H42" s="2229"/>
    </row>
    <row r="45" spans="1:8" x14ac:dyDescent="0.3">
      <c r="A45" s="3" t="s">
        <v>3</v>
      </c>
    </row>
    <row r="46" spans="1:8" x14ac:dyDescent="0.3">
      <c r="A46" s="3" t="s">
        <v>1752</v>
      </c>
    </row>
    <row r="47" spans="1:8" x14ac:dyDescent="0.3">
      <c r="A47" s="3" t="s">
        <v>1340</v>
      </c>
    </row>
    <row r="48" spans="1:8" x14ac:dyDescent="0.3">
      <c r="A48" s="3" t="s">
        <v>1025</v>
      </c>
    </row>
    <row r="49" spans="1:1" x14ac:dyDescent="0.3">
      <c r="A49" s="3" t="s">
        <v>1361</v>
      </c>
    </row>
  </sheetData>
  <mergeCells count="1">
    <mergeCell ref="E6:G6"/>
  </mergeCells>
  <conditionalFormatting sqref="A31:C41">
    <cfRule type="expression" dxfId="152" priority="20">
      <formula>#REF!&gt;0</formula>
    </cfRule>
  </conditionalFormatting>
  <conditionalFormatting sqref="E31:E41">
    <cfRule type="expression" dxfId="151" priority="19">
      <formula>#REF!&gt;0</formula>
    </cfRule>
  </conditionalFormatting>
  <conditionalFormatting sqref="B29">
    <cfRule type="expression" dxfId="150" priority="18">
      <formula>#REF!&gt;0</formula>
    </cfRule>
  </conditionalFormatting>
  <conditionalFormatting sqref="G31:G41">
    <cfRule type="expression" dxfId="149" priority="17">
      <formula>#REF!&gt;0</formula>
    </cfRule>
  </conditionalFormatting>
  <conditionalFormatting sqref="B8">
    <cfRule type="expression" dxfId="148" priority="12">
      <formula>#REF!&gt;0</formula>
    </cfRule>
  </conditionalFormatting>
  <conditionalFormatting sqref="B11:H11">
    <cfRule type="expression" dxfId="147" priority="11">
      <formula>#REF!&gt;0</formula>
    </cfRule>
  </conditionalFormatting>
  <conditionalFormatting sqref="B12:B13">
    <cfRule type="expression" dxfId="146" priority="10">
      <formula>#REF!&gt;0</formula>
    </cfRule>
  </conditionalFormatting>
  <conditionalFormatting sqref="C12:H12">
    <cfRule type="expression" dxfId="145" priority="9">
      <formula>#REF!&gt;0</formula>
    </cfRule>
  </conditionalFormatting>
  <conditionalFormatting sqref="C13:H13">
    <cfRule type="expression" dxfId="144" priority="8">
      <formula>#REF!&gt;0</formula>
    </cfRule>
  </conditionalFormatting>
  <conditionalFormatting sqref="B15:B17">
    <cfRule type="expression" dxfId="143" priority="7">
      <formula>#REF!&gt;0</formula>
    </cfRule>
  </conditionalFormatting>
  <conditionalFormatting sqref="C15:H15">
    <cfRule type="expression" dxfId="142" priority="6">
      <formula>#REF!&gt;0</formula>
    </cfRule>
  </conditionalFormatting>
  <conditionalFormatting sqref="C16:H16">
    <cfRule type="expression" dxfId="141" priority="5">
      <formula>#REF!&gt;0</formula>
    </cfRule>
  </conditionalFormatting>
  <conditionalFormatting sqref="B19">
    <cfRule type="expression" dxfId="140" priority="4">
      <formula>#REF!&gt;0</formula>
    </cfRule>
  </conditionalFormatting>
  <conditionalFormatting sqref="C19:H19">
    <cfRule type="expression" dxfId="139" priority="3">
      <formula>#REF!&gt;0</formula>
    </cfRule>
  </conditionalFormatting>
  <conditionalFormatting sqref="B10:H10">
    <cfRule type="expression" dxfId="138" priority="2">
      <formula>#REF!&gt;0</formula>
    </cfRule>
  </conditionalFormatting>
  <conditionalFormatting sqref="L4:L5">
    <cfRule type="expression" dxfId="137" priority="1">
      <formula>#REF!&gt;0</formula>
    </cfRule>
  </conditionalFormatting>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tabColor rgb="FF003300"/>
  </sheetPr>
  <dimension ref="A1:BJ277"/>
  <sheetViews>
    <sheetView showGridLines="0" zoomScaleNormal="100" zoomScaleSheetLayoutView="100" workbookViewId="0">
      <pane ySplit="2" topLeftCell="A67" activePane="bottomLeft" state="frozen"/>
      <selection pane="bottomLeft" activeCell="F88" sqref="F88"/>
    </sheetView>
  </sheetViews>
  <sheetFormatPr defaultColWidth="15.6640625" defaultRowHeight="14.4" outlineLevelRow="1" outlineLevelCol="1" x14ac:dyDescent="0.3"/>
  <cols>
    <col min="1" max="14" width="15.6640625" customWidth="1"/>
    <col min="16" max="16" width="36.6640625" customWidth="1"/>
    <col min="17" max="17" width="18.5546875" bestFit="1" customWidth="1"/>
    <col min="18" max="19" width="15.6640625" customWidth="1"/>
    <col min="20" max="29" width="15.6640625" hidden="1" customWidth="1" outlineLevel="1"/>
    <col min="30" max="30" width="15.6640625" collapsed="1"/>
    <col min="33" max="33" width="24.44140625" bestFit="1" customWidth="1"/>
  </cols>
  <sheetData>
    <row r="1" spans="1:34" ht="28.8" x14ac:dyDescent="0.55000000000000004">
      <c r="A1" s="2630" t="str">
        <f>Summary!A1</f>
        <v>Emblem Meridian - Meridian, Other</v>
      </c>
      <c r="B1" s="2631"/>
      <c r="C1" s="2631"/>
      <c r="D1" s="2631"/>
      <c r="E1" s="2631"/>
      <c r="F1" s="2631"/>
      <c r="G1" s="2631"/>
      <c r="H1" s="2631"/>
      <c r="I1" s="2631"/>
      <c r="J1" s="2631"/>
      <c r="K1" s="2631"/>
      <c r="L1" s="2631"/>
      <c r="M1" s="2631"/>
      <c r="N1" s="2662"/>
    </row>
    <row r="2" spans="1:34" ht="21.6" thickBot="1" x14ac:dyDescent="0.45">
      <c r="A2" s="112"/>
      <c r="B2" s="113"/>
      <c r="C2" s="113"/>
      <c r="D2" s="2674" t="s">
        <v>550</v>
      </c>
      <c r="E2" s="2674"/>
      <c r="F2" s="2674"/>
      <c r="G2" s="2674"/>
      <c r="H2" s="2674"/>
      <c r="I2" s="2674"/>
      <c r="J2" s="2674"/>
      <c r="K2" s="2674"/>
      <c r="L2" s="113"/>
      <c r="M2" s="113"/>
      <c r="N2" s="114" t="str">
        <f ca="1">'General Inputs'!$O$2</f>
        <v>In-Place ROC = 6.65%; Project IRR = 30.59%</v>
      </c>
    </row>
    <row r="3" spans="1:34" ht="7.5" customHeight="1" thickTop="1" x14ac:dyDescent="0.3">
      <c r="V3" s="236"/>
      <c r="W3" s="236"/>
      <c r="X3" s="236"/>
      <c r="Y3" s="236"/>
      <c r="Z3" s="236"/>
      <c r="AA3" s="236"/>
      <c r="AB3" s="236"/>
      <c r="AC3" s="236"/>
    </row>
    <row r="4" spans="1:34" ht="15.6" x14ac:dyDescent="0.3">
      <c r="A4" s="314" t="s">
        <v>1760</v>
      </c>
      <c r="B4" s="315"/>
      <c r="C4" s="315"/>
      <c r="D4" s="315"/>
      <c r="E4" s="315"/>
      <c r="F4" s="315"/>
      <c r="G4" s="315"/>
      <c r="H4" s="315"/>
      <c r="I4" s="315"/>
      <c r="J4" s="315"/>
      <c r="K4" s="315"/>
      <c r="L4" s="315"/>
      <c r="M4" s="315"/>
      <c r="N4" s="117"/>
      <c r="T4" s="118" t="s">
        <v>947</v>
      </c>
      <c r="Y4" s="236"/>
      <c r="Z4" s="236"/>
      <c r="AA4" s="236"/>
      <c r="AB4" s="236"/>
      <c r="AC4" s="236"/>
    </row>
    <row r="5" spans="1:34" ht="3.75" customHeight="1" thickBot="1" x14ac:dyDescent="0.35">
      <c r="A5" s="316"/>
      <c r="B5" s="119"/>
      <c r="C5" s="119"/>
      <c r="D5" s="119"/>
      <c r="E5" s="119"/>
      <c r="F5" s="119"/>
      <c r="G5" s="119"/>
      <c r="H5" s="119"/>
      <c r="I5" s="119"/>
      <c r="J5" s="119"/>
      <c r="K5" s="119"/>
      <c r="L5" s="119"/>
      <c r="M5" s="119"/>
      <c r="N5" s="317"/>
      <c r="Y5" s="236"/>
      <c r="Z5" s="236"/>
      <c r="AA5" s="236"/>
      <c r="AB5" s="236"/>
      <c r="AC5" s="236"/>
    </row>
    <row r="6" spans="1:34" ht="7.5" customHeight="1" thickTop="1" thickBot="1" x14ac:dyDescent="0.35">
      <c r="Y6" s="236"/>
      <c r="Z6" s="236"/>
      <c r="AA6" s="236"/>
      <c r="AB6" s="236"/>
      <c r="AC6" s="236"/>
    </row>
    <row r="7" spans="1:34" ht="15" customHeight="1" thickTop="1" x14ac:dyDescent="0.3">
      <c r="A7" s="318" t="s">
        <v>1761</v>
      </c>
      <c r="B7" s="319"/>
      <c r="C7" s="320"/>
      <c r="D7" s="321"/>
      <c r="E7" s="322"/>
      <c r="F7" s="322"/>
      <c r="G7" s="323"/>
      <c r="H7" s="318" t="s">
        <v>1762</v>
      </c>
      <c r="I7" s="319"/>
      <c r="J7" s="320"/>
      <c r="K7" s="321"/>
      <c r="L7" s="322"/>
      <c r="M7" s="322"/>
      <c r="N7" s="322"/>
      <c r="P7" s="318" t="s">
        <v>1763</v>
      </c>
      <c r="Q7" s="319"/>
      <c r="R7" s="319"/>
      <c r="T7" s="231" t="s">
        <v>884</v>
      </c>
      <c r="U7" s="1597"/>
      <c r="V7" s="132" t="s">
        <v>880</v>
      </c>
      <c r="W7" s="132" t="s">
        <v>881</v>
      </c>
      <c r="X7" s="132" t="s">
        <v>882</v>
      </c>
      <c r="Y7" s="132" t="s">
        <v>1764</v>
      </c>
      <c r="Z7" s="132" t="s">
        <v>1765</v>
      </c>
      <c r="AA7" s="236"/>
      <c r="AB7" s="236"/>
      <c r="AC7" s="236"/>
    </row>
    <row r="8" spans="1:34" ht="15" customHeight="1" x14ac:dyDescent="0.3">
      <c r="A8" s="263" t="s">
        <v>1766</v>
      </c>
      <c r="B8" s="263" t="s">
        <v>834</v>
      </c>
      <c r="E8" s="324" t="s">
        <v>173</v>
      </c>
      <c r="F8" s="324" t="s">
        <v>1259</v>
      </c>
      <c r="G8" s="324" t="s">
        <v>1767</v>
      </c>
      <c r="H8" s="325" t="s">
        <v>1768</v>
      </c>
      <c r="I8" s="326" t="s">
        <v>1769</v>
      </c>
      <c r="J8" s="326" t="s">
        <v>1770</v>
      </c>
      <c r="K8" s="327"/>
      <c r="L8" s="328"/>
      <c r="P8" s="1565" t="s">
        <v>1771</v>
      </c>
      <c r="Q8" s="509" t="s">
        <v>1772</v>
      </c>
      <c r="R8" s="1566" t="s">
        <v>1773</v>
      </c>
      <c r="T8" s="234"/>
      <c r="U8" s="235"/>
      <c r="V8" s="236">
        <f ca="1">'General Inputs'!S32</f>
        <v>6.6452831626234915E-2</v>
      </c>
      <c r="W8" s="236">
        <f ca="1">'General Inputs'!T32</f>
        <v>0.30587547483465172</v>
      </c>
      <c r="X8" s="237">
        <f ca="1">'General Inputs'!U32</f>
        <v>24801112.482449707</v>
      </c>
      <c r="Y8" s="1595">
        <f>G52</f>
        <v>205.68494951461003</v>
      </c>
      <c r="Z8" s="1596">
        <f>F52</f>
        <v>193134.95376688265</v>
      </c>
      <c r="AA8" s="236"/>
      <c r="AB8" s="236"/>
      <c r="AC8" s="236"/>
      <c r="AG8" s="2754" t="s">
        <v>1774</v>
      </c>
      <c r="AH8" s="2754"/>
    </row>
    <row r="9" spans="1:34" ht="15" customHeight="1" x14ac:dyDescent="0.3">
      <c r="A9" s="47"/>
      <c r="B9" t="s">
        <v>1775</v>
      </c>
      <c r="D9" s="329"/>
      <c r="E9" s="299">
        <f ca="1">IF(Macros!$B$3=2,1,SUM(DevBdgt!$F$33:$EG$33))</f>
        <v>83335.391794650437</v>
      </c>
      <c r="F9" s="299">
        <f ca="1">E9/Units</f>
        <v>325.52887419785327</v>
      </c>
      <c r="G9" s="330">
        <f ca="1">E9/NRSF</f>
        <v>0.34668188615796003</v>
      </c>
      <c r="H9" s="1577">
        <f>1-J9</f>
        <v>0.7</v>
      </c>
      <c r="I9" s="1578">
        <v>0</v>
      </c>
      <c r="J9" s="1578">
        <v>0.3</v>
      </c>
      <c r="K9" s="118" t="str">
        <f>IF(AND(ConstrStartDate=1,$I$9&gt;0),"Change 'Prior to Constr.' % to 0",IF(SUM(H9:J9)&lt;&gt;1,"Adjust values to total 100%",IF(AND('General Inputs'!D30=1,'Development Inputs'!I9&lt;&gt;0),"Change Prior to Constr.% to 0","")))</f>
        <v/>
      </c>
      <c r="P9" s="1567" t="s">
        <v>1776</v>
      </c>
      <c r="Q9" s="1568">
        <v>0</v>
      </c>
      <c r="R9" s="1569">
        <v>134925</v>
      </c>
      <c r="T9" s="234"/>
      <c r="U9" s="1515">
        <f>U11/1.1</f>
        <v>43647308.18181818</v>
      </c>
      <c r="V9" s="236"/>
      <c r="W9" s="236"/>
      <c r="X9" s="237"/>
      <c r="Y9" s="1595"/>
      <c r="Z9" s="1596"/>
      <c r="AA9" s="236"/>
      <c r="AB9" s="236"/>
      <c r="AC9" s="236"/>
      <c r="AG9" s="307" t="s">
        <v>1777</v>
      </c>
      <c r="AH9" s="509"/>
    </row>
    <row r="10" spans="1:34" ht="15" customHeight="1" x14ac:dyDescent="0.3">
      <c r="A10" s="701"/>
      <c r="B10" s="1661" t="s">
        <v>843</v>
      </c>
      <c r="C10" s="1661"/>
      <c r="D10" s="1661"/>
      <c r="E10" s="702">
        <f ca="1">SUM(E9)</f>
        <v>83335.391794650437</v>
      </c>
      <c r="F10" s="702">
        <f ca="1">E10/Units</f>
        <v>325.52887419785327</v>
      </c>
      <c r="G10" s="993">
        <f ca="1">E10/TotalNRSF</f>
        <v>0.34668188615796003</v>
      </c>
      <c r="H10" s="331" t="s">
        <v>1766</v>
      </c>
      <c r="I10" s="332" t="s">
        <v>834</v>
      </c>
      <c r="J10" s="332"/>
      <c r="K10" s="332"/>
      <c r="L10" s="333" t="s">
        <v>173</v>
      </c>
      <c r="M10" s="334" t="s">
        <v>1259</v>
      </c>
      <c r="N10" s="334" t="s">
        <v>1767</v>
      </c>
      <c r="P10" s="1567" t="s">
        <v>1778</v>
      </c>
      <c r="Q10" s="1568">
        <v>1</v>
      </c>
      <c r="R10" s="1569">
        <v>80955</v>
      </c>
      <c r="T10" s="234"/>
      <c r="U10" s="1515">
        <f>U11/1.05</f>
        <v>45725751.428571425</v>
      </c>
      <c r="V10" s="236"/>
      <c r="W10" s="236"/>
      <c r="X10" s="237"/>
      <c r="Y10" s="1595"/>
      <c r="Z10" s="1596"/>
      <c r="AA10" s="236"/>
      <c r="AB10" s="236"/>
      <c r="AC10" s="236"/>
      <c r="AG10" t="s">
        <v>1779</v>
      </c>
      <c r="AH10" s="522">
        <v>43200</v>
      </c>
    </row>
    <row r="11" spans="1:34" ht="15" customHeight="1" thickBot="1" x14ac:dyDescent="0.35">
      <c r="B11" s="118" t="str">
        <f ca="1">IF(SUM('Tax Calcs'!D12:EF12)=SUM('Tax Calcs'!D13:EF13),"","Changes have been made to default assessment calcs. on Tax Calcs tab.")</f>
        <v>Changes have been made to default assessment calcs. on Tax Calcs tab.</v>
      </c>
      <c r="H11" s="48"/>
      <c r="I11" s="3" t="s">
        <v>1780</v>
      </c>
      <c r="L11" s="1591">
        <f>IF(OR(B245=B250,B245=B247,B245=B248,B245=B249),+SUM(AH10,AH16:AH17,AH13, AH12,AH20:AH21,AH22:AH23, AH18:AH19,AH11),R36)</f>
        <v>623905</v>
      </c>
      <c r="M11" s="227">
        <f t="shared" ref="M11:M17" si="0">L11/Units</f>
        <v>2437.12890625</v>
      </c>
      <c r="N11" s="228">
        <f t="shared" ref="N11:N17" si="1">L11/NRSF</f>
        <v>2.5954946334969633</v>
      </c>
      <c r="O11" s="280"/>
      <c r="P11" s="1567" t="s">
        <v>1781</v>
      </c>
      <c r="Q11" s="1568">
        <v>0</v>
      </c>
      <c r="R11" s="1569">
        <v>40478</v>
      </c>
      <c r="T11" s="234"/>
      <c r="U11" s="1515">
        <v>48012039</v>
      </c>
      <c r="V11" s="236"/>
      <c r="W11" s="236"/>
      <c r="X11" s="237"/>
      <c r="Y11" s="1595"/>
      <c r="Z11" s="1596"/>
      <c r="AA11" s="236"/>
      <c r="AB11" s="236"/>
      <c r="AC11" s="236"/>
      <c r="AG11" t="s">
        <v>1782</v>
      </c>
      <c r="AH11" s="522">
        <v>9000</v>
      </c>
    </row>
    <row r="12" spans="1:34" ht="15" customHeight="1" thickTop="1" x14ac:dyDescent="0.3">
      <c r="A12" s="318" t="s">
        <v>1783</v>
      </c>
      <c r="B12" s="336"/>
      <c r="C12" s="320"/>
      <c r="D12" s="321"/>
      <c r="E12" s="322"/>
      <c r="F12" s="322"/>
      <c r="G12" s="322"/>
      <c r="H12" s="48"/>
      <c r="I12" s="3" t="s">
        <v>1784</v>
      </c>
      <c r="L12" s="1545">
        <f>IF($B$245=$B$249,10000, 29700)</f>
        <v>29700</v>
      </c>
      <c r="M12" s="229">
        <f t="shared" si="0"/>
        <v>116.015625</v>
      </c>
      <c r="N12" s="233">
        <f t="shared" si="1"/>
        <v>0.12355437224394708</v>
      </c>
      <c r="O12" s="280"/>
      <c r="P12" s="1567" t="s">
        <v>1785</v>
      </c>
      <c r="Q12" s="1568">
        <v>0</v>
      </c>
      <c r="R12" s="1569">
        <v>84650</v>
      </c>
      <c r="T12" s="234"/>
      <c r="U12" s="1515">
        <f>U11*1.05</f>
        <v>50412640.950000003</v>
      </c>
      <c r="V12" s="236"/>
      <c r="W12" s="236"/>
      <c r="X12" s="237"/>
      <c r="Y12" s="1595"/>
      <c r="Z12" s="1596"/>
      <c r="AA12" s="236"/>
      <c r="AB12" s="236"/>
      <c r="AC12" s="236"/>
      <c r="AG12" t="s">
        <v>1786</v>
      </c>
      <c r="AH12" s="522">
        <v>9000</v>
      </c>
    </row>
    <row r="13" spans="1:34" ht="15" customHeight="1" x14ac:dyDescent="0.3">
      <c r="A13" s="111" t="s">
        <v>1787</v>
      </c>
      <c r="B13" s="1208">
        <v>0.05</v>
      </c>
      <c r="C13" s="337" t="s">
        <v>1788</v>
      </c>
      <c r="H13" s="48"/>
      <c r="I13" s="3" t="s">
        <v>1789</v>
      </c>
      <c r="L13" s="1545">
        <f>IF(OR($B$245=$B$246,$B$245=$B$247,$B$245=$B$248,$B$245=$B$249),25000,0)</f>
        <v>0</v>
      </c>
      <c r="M13" s="229">
        <f t="shared" si="0"/>
        <v>0</v>
      </c>
      <c r="N13" s="233">
        <f t="shared" si="1"/>
        <v>0</v>
      </c>
      <c r="O13" s="280"/>
      <c r="P13" s="1567" t="s">
        <v>1790</v>
      </c>
      <c r="Q13" s="1568">
        <v>0</v>
      </c>
      <c r="R13" s="1569">
        <v>30000</v>
      </c>
      <c r="T13" s="234"/>
      <c r="U13" s="1515">
        <f>U11*1.1</f>
        <v>52813242.900000006</v>
      </c>
      <c r="V13" s="236"/>
      <c r="W13" s="236"/>
      <c r="X13" s="237"/>
      <c r="Y13" s="1595"/>
      <c r="Z13" s="1596"/>
      <c r="AA13" s="236"/>
      <c r="AB13" s="236"/>
      <c r="AC13" s="236"/>
      <c r="AG13" t="s">
        <v>1791</v>
      </c>
      <c r="AH13" s="711">
        <f>2000*ConstPeriod</f>
        <v>50000</v>
      </c>
    </row>
    <row r="14" spans="1:34" ht="15" customHeight="1" thickBot="1" x14ac:dyDescent="0.35">
      <c r="A14" s="111" t="s">
        <v>1792</v>
      </c>
      <c r="B14" s="1207">
        <v>0.05</v>
      </c>
      <c r="C14" s="337" t="s">
        <v>1793</v>
      </c>
      <c r="H14" s="48"/>
      <c r="I14" s="3" t="s">
        <v>1794</v>
      </c>
      <c r="L14" s="1545">
        <v>39000</v>
      </c>
      <c r="M14" s="229">
        <f t="shared" si="0"/>
        <v>152.34375</v>
      </c>
      <c r="N14" s="233">
        <f t="shared" si="1"/>
        <v>0.16224311506780931</v>
      </c>
      <c r="O14" s="280"/>
      <c r="P14" s="1567" t="s">
        <v>1795</v>
      </c>
      <c r="Q14" s="1568">
        <v>0</v>
      </c>
      <c r="R14" s="1569">
        <v>18000</v>
      </c>
      <c r="Y14" s="236"/>
      <c r="Z14" s="236"/>
      <c r="AA14" s="236"/>
      <c r="AB14" s="236"/>
      <c r="AC14" s="236"/>
      <c r="AH14" s="711"/>
    </row>
    <row r="15" spans="1:34" ht="15" customHeight="1" thickTop="1" x14ac:dyDescent="0.3">
      <c r="A15" s="332" t="s">
        <v>1766</v>
      </c>
      <c r="B15" s="332" t="s">
        <v>834</v>
      </c>
      <c r="C15" s="332"/>
      <c r="D15" s="332"/>
      <c r="E15" s="338" t="s">
        <v>173</v>
      </c>
      <c r="F15" s="334" t="s">
        <v>1259</v>
      </c>
      <c r="G15" s="339" t="s">
        <v>1767</v>
      </c>
      <c r="H15" s="48"/>
      <c r="I15" s="1319" t="s">
        <v>1796</v>
      </c>
      <c r="L15" s="1545">
        <f>4000+11250</f>
        <v>15250</v>
      </c>
      <c r="M15" s="229">
        <f t="shared" si="0"/>
        <v>59.5703125</v>
      </c>
      <c r="N15" s="233">
        <f t="shared" si="1"/>
        <v>6.3441218071386973E-2</v>
      </c>
      <c r="O15" s="280"/>
      <c r="P15" s="1567" t="s">
        <v>1797</v>
      </c>
      <c r="Q15" s="1568">
        <v>1</v>
      </c>
      <c r="R15" s="1569">
        <v>16000</v>
      </c>
      <c r="T15" s="231" t="s">
        <v>783</v>
      </c>
      <c r="U15" s="232"/>
      <c r="V15" s="132" t="s">
        <v>880</v>
      </c>
      <c r="W15" s="132" t="s">
        <v>881</v>
      </c>
      <c r="X15" s="132" t="s">
        <v>882</v>
      </c>
      <c r="Y15" s="236"/>
      <c r="Z15" s="236"/>
      <c r="AA15" s="236"/>
      <c r="AB15" s="236"/>
      <c r="AC15" s="236"/>
      <c r="AG15" s="307" t="s">
        <v>1798</v>
      </c>
    </row>
    <row r="16" spans="1:34" ht="15" customHeight="1" x14ac:dyDescent="0.3">
      <c r="A16" s="46"/>
      <c r="B16" t="s">
        <v>679</v>
      </c>
      <c r="D16" s="340"/>
      <c r="E16" s="227">
        <f ca="1">IF(Macros!$B$3=2,1,B13*SUM(K109:K121,K124:K125))</f>
        <v>847328.33995378879</v>
      </c>
      <c r="F16" s="227">
        <f ca="1">E16/Units</f>
        <v>3309.8763279444875</v>
      </c>
      <c r="G16" s="228">
        <f ca="1">E16/NRSF</f>
        <v>3.524953573316369</v>
      </c>
      <c r="H16" s="48"/>
      <c r="I16" s="1319" t="s">
        <v>1799</v>
      </c>
      <c r="L16" s="41">
        <f>+'A&amp;E Details'!$H$16</f>
        <v>328700</v>
      </c>
      <c r="M16" s="229">
        <f t="shared" si="0"/>
        <v>1283.984375</v>
      </c>
      <c r="N16" s="233">
        <f t="shared" si="1"/>
        <v>1.3674182544304851</v>
      </c>
      <c r="O16" s="280"/>
      <c r="P16" s="1565" t="s">
        <v>1800</v>
      </c>
      <c r="Q16" s="1509"/>
      <c r="R16" s="1570"/>
      <c r="T16" s="234"/>
      <c r="U16" s="235"/>
      <c r="V16" s="236">
        <f ca="1">'General Inputs'!S32</f>
        <v>6.6452831626234915E-2</v>
      </c>
      <c r="W16" s="236">
        <f ca="1">'General Inputs'!T32</f>
        <v>0.30587547483465172</v>
      </c>
      <c r="X16" s="237">
        <f ca="1">'General Inputs'!U32</f>
        <v>24801112.482449707</v>
      </c>
      <c r="Y16" s="236"/>
      <c r="Z16" s="236"/>
      <c r="AA16" s="236"/>
      <c r="AB16" s="236"/>
      <c r="AC16" s="236"/>
      <c r="AG16" t="s">
        <v>1801</v>
      </c>
      <c r="AH16" s="522">
        <f>IF($B$245=$B$250, 0, 15000)</f>
        <v>15000</v>
      </c>
    </row>
    <row r="17" spans="1:34" ht="15" customHeight="1" x14ac:dyDescent="0.3">
      <c r="A17" s="47"/>
      <c r="B17" t="s">
        <v>666</v>
      </c>
      <c r="D17" s="203"/>
      <c r="E17" s="229">
        <f>$B$14*TotalHardCosts</f>
        <v>2504726.7711750176</v>
      </c>
      <c r="F17" s="229">
        <f>E17/Units</f>
        <v>9784.0889499024124</v>
      </c>
      <c r="G17" s="233">
        <f>E17/NRSF</f>
        <v>10.419863429465918</v>
      </c>
      <c r="H17" s="48"/>
      <c r="I17" s="3" t="s">
        <v>1802</v>
      </c>
      <c r="L17" s="41">
        <f>+'A&amp;E Details'!$H$26</f>
        <v>210000</v>
      </c>
      <c r="M17" s="229">
        <f t="shared" si="0"/>
        <v>820.3125</v>
      </c>
      <c r="N17" s="233">
        <f t="shared" si="1"/>
        <v>0.87361677344205013</v>
      </c>
      <c r="O17" s="280"/>
      <c r="P17" s="1571" t="s">
        <v>1803</v>
      </c>
      <c r="Q17" s="229">
        <v>1</v>
      </c>
      <c r="R17" s="1569">
        <v>13000</v>
      </c>
      <c r="T17" s="234"/>
      <c r="U17" s="1515">
        <f>Sensitivity!B58</f>
        <v>6372000</v>
      </c>
      <c r="V17" s="236"/>
      <c r="W17" s="236"/>
      <c r="X17" s="236"/>
      <c r="Y17" s="236"/>
      <c r="Z17" s="236"/>
      <c r="AA17" s="236"/>
      <c r="AB17" s="236"/>
      <c r="AC17" s="236"/>
      <c r="AG17" t="s">
        <v>1804</v>
      </c>
      <c r="AH17" s="522">
        <f>IF(OR($B$245=$B$249,$B$245=$B$250),MIN(IF('General Inputs'!$B$13&lt;=100,40000,40000+(100*'General Inputs'!$B$13-200)),60000),MIN(IF('General Inputs'!$B$13&lt;=200,80000,80000+(200*('General Inputs'!$B$13-200))),100000))</f>
        <v>91200</v>
      </c>
    </row>
    <row r="18" spans="1:34" ht="15" customHeight="1" x14ac:dyDescent="0.3">
      <c r="A18" s="701"/>
      <c r="B18" s="1661" t="s">
        <v>843</v>
      </c>
      <c r="C18" s="1661"/>
      <c r="D18" s="1661"/>
      <c r="E18" s="702">
        <f ca="1">SUBTOTAL(9,E16:E17)</f>
        <v>3352055.1111288061</v>
      </c>
      <c r="F18" s="702">
        <f ca="1">E18/Units</f>
        <v>13093.965277846899</v>
      </c>
      <c r="G18" s="993">
        <f ca="1">E18/NRSF</f>
        <v>13.944817002782287</v>
      </c>
      <c r="H18" s="48"/>
      <c r="I18" s="3" t="s">
        <v>1805</v>
      </c>
      <c r="L18" s="41">
        <f>+'A&amp;E Details'!$H$50</f>
        <v>204050</v>
      </c>
      <c r="M18" s="229">
        <f t="shared" ref="M18:M26" si="2">L18/Units</f>
        <v>797.0703125</v>
      </c>
      <c r="N18" s="233">
        <f t="shared" ref="N18:N26" si="3">L18/NRSF</f>
        <v>0.84886429819452536</v>
      </c>
      <c r="O18" s="280"/>
      <c r="P18" s="1571" t="s">
        <v>1806</v>
      </c>
      <c r="Q18" s="1568">
        <v>2</v>
      </c>
      <c r="R18" s="1569">
        <v>4000</v>
      </c>
      <c r="T18" s="234"/>
      <c r="U18" s="1515">
        <f>Sensitivity!B59</f>
        <v>7965000</v>
      </c>
      <c r="V18" s="236"/>
      <c r="W18" s="236"/>
      <c r="X18" s="236"/>
      <c r="Y18" s="236"/>
      <c r="Z18" s="236"/>
      <c r="AA18" s="236"/>
      <c r="AB18" s="236"/>
      <c r="AC18" s="236"/>
      <c r="AG18" t="s">
        <v>1807</v>
      </c>
      <c r="AH18" s="522">
        <f>IF($B$245=$B$250,0,6000)</f>
        <v>6000</v>
      </c>
    </row>
    <row r="19" spans="1:34" ht="15" customHeight="1" thickBot="1" x14ac:dyDescent="0.35">
      <c r="H19" s="48"/>
      <c r="I19" s="3" t="s">
        <v>1808</v>
      </c>
      <c r="L19" s="41">
        <f>+'A&amp;E Details'!$H$58</f>
        <v>50000</v>
      </c>
      <c r="M19" s="229">
        <f t="shared" si="2"/>
        <v>195.3125</v>
      </c>
      <c r="N19" s="233">
        <f t="shared" si="3"/>
        <v>0.2080039936766786</v>
      </c>
      <c r="O19" s="280"/>
      <c r="P19" s="1571" t="s">
        <v>1809</v>
      </c>
      <c r="Q19" s="229">
        <v>1</v>
      </c>
      <c r="R19" s="1569">
        <v>15000</v>
      </c>
      <c r="T19" s="234"/>
      <c r="U19" s="1515">
        <f>Sensitivity!B60</f>
        <v>8850000</v>
      </c>
      <c r="V19" s="236"/>
      <c r="W19" s="236"/>
      <c r="X19" s="236"/>
      <c r="Y19" s="236"/>
      <c r="Z19" s="236"/>
      <c r="AA19" s="236"/>
      <c r="AB19" s="236"/>
      <c r="AC19" s="236"/>
      <c r="AG19" t="s">
        <v>1810</v>
      </c>
      <c r="AH19" s="522">
        <f>IF(OR($B$245=$B$249,$B$245=$B$250),MIN(IF('General Inputs'!$B$13&lt;=100,20000,20000+(100*'General Inputs'!$B$13-100)),30000),MIN(IF('General Inputs'!$B$13&lt;=200,40000,40000+(100*('General Inputs'!$B$13-200))),50000))</f>
        <v>45600</v>
      </c>
    </row>
    <row r="20" spans="1:34" ht="15" customHeight="1" thickTop="1" x14ac:dyDescent="0.3">
      <c r="A20" s="318" t="s">
        <v>1811</v>
      </c>
      <c r="B20" s="319"/>
      <c r="C20" s="320"/>
      <c r="D20" s="321"/>
      <c r="E20" s="322"/>
      <c r="F20" s="322"/>
      <c r="G20" s="322"/>
      <c r="H20" s="48"/>
      <c r="I20" s="3"/>
      <c r="L20" s="41"/>
      <c r="M20" s="229">
        <f t="shared" si="2"/>
        <v>0</v>
      </c>
      <c r="N20" s="233">
        <f t="shared" si="3"/>
        <v>0</v>
      </c>
      <c r="O20" s="280"/>
      <c r="P20" s="1571" t="s">
        <v>1812</v>
      </c>
      <c r="Q20" s="1568">
        <v>30000</v>
      </c>
      <c r="R20" s="1569">
        <f>Q20</f>
        <v>30000</v>
      </c>
      <c r="T20" s="234"/>
      <c r="U20" s="1515">
        <f>Sensitivity!B61</f>
        <v>9735000</v>
      </c>
      <c r="V20" s="236"/>
      <c r="W20" s="236"/>
      <c r="X20" s="236"/>
      <c r="Y20" s="236"/>
      <c r="Z20" s="236"/>
      <c r="AA20" s="236"/>
      <c r="AB20" s="236"/>
      <c r="AC20" s="236"/>
      <c r="AG20" t="s">
        <v>1813</v>
      </c>
      <c r="AH20" s="522">
        <f>IF($B$245=$B$250,0,4000)</f>
        <v>4000</v>
      </c>
    </row>
    <row r="21" spans="1:34" ht="15" customHeight="1" x14ac:dyDescent="0.3">
      <c r="A21" s="326" t="s">
        <v>1814</v>
      </c>
      <c r="B21" s="326" t="s">
        <v>1815</v>
      </c>
      <c r="C21" s="326" t="s">
        <v>1816</v>
      </c>
      <c r="H21" s="48"/>
      <c r="I21" s="2751"/>
      <c r="J21" s="2752"/>
      <c r="K21" s="2753"/>
      <c r="L21" s="41"/>
      <c r="M21" s="229">
        <f t="shared" si="2"/>
        <v>0</v>
      </c>
      <c r="N21" s="233">
        <f t="shared" si="3"/>
        <v>0</v>
      </c>
      <c r="O21" s="280"/>
      <c r="P21" s="1571" t="s">
        <v>1817</v>
      </c>
      <c r="Q21" s="1568">
        <v>15000</v>
      </c>
      <c r="R21" s="1569">
        <f>Q21</f>
        <v>15000</v>
      </c>
      <c r="T21" s="234"/>
      <c r="U21" s="1515">
        <f>Sensitivity!B62</f>
        <v>11682000</v>
      </c>
      <c r="V21" s="236"/>
      <c r="W21" s="236"/>
      <c r="X21" s="236"/>
      <c r="Y21" s="236"/>
      <c r="Z21" s="237"/>
      <c r="AA21" s="237"/>
      <c r="AB21" s="237"/>
      <c r="AC21" s="237"/>
      <c r="AG21" t="s">
        <v>1818</v>
      </c>
      <c r="AH21" s="1576">
        <f>IF(OR($B$245=$B$249,$B$245=$B$250),MIN(IF('General Inputs'!$B$13&lt;=100,20000,20000+(100*'General Inputs'!$B$13-100)),30000),MIN(IF('General Inputs'!$B$13&lt;=200,40000,40000+(100*('General Inputs'!$B$13-200))),50000))</f>
        <v>45600</v>
      </c>
    </row>
    <row r="22" spans="1:34" ht="15" customHeight="1" x14ac:dyDescent="0.3">
      <c r="A22" s="1581">
        <v>0.5</v>
      </c>
      <c r="B22" s="1582">
        <f>C22-5</f>
        <v>9</v>
      </c>
      <c r="C22" s="1582">
        <f>MonthFirstUnits</f>
        <v>14</v>
      </c>
      <c r="D22" s="118" t="str">
        <f>IF(AND(C22=B22,A22&lt;&gt;1),"Initial CF must = 100% when budget is completed in one month!","")</f>
        <v/>
      </c>
      <c r="H22" s="48"/>
      <c r="I22" s="2751"/>
      <c r="J22" s="2752"/>
      <c r="K22" s="2753"/>
      <c r="L22" s="41"/>
      <c r="M22" s="229">
        <f t="shared" si="2"/>
        <v>0</v>
      </c>
      <c r="N22" s="233">
        <f t="shared" si="3"/>
        <v>0</v>
      </c>
      <c r="O22" s="280"/>
      <c r="P22" s="1565" t="s">
        <v>1819</v>
      </c>
      <c r="Q22" s="1509"/>
      <c r="R22" s="1570"/>
      <c r="AG22" t="s">
        <v>1820</v>
      </c>
      <c r="AH22" s="711">
        <v>3000</v>
      </c>
    </row>
    <row r="23" spans="1:34" ht="15" customHeight="1" x14ac:dyDescent="0.3">
      <c r="A23" s="332" t="s">
        <v>1766</v>
      </c>
      <c r="B23" s="332" t="s">
        <v>834</v>
      </c>
      <c r="C23" s="332"/>
      <c r="D23" s="332"/>
      <c r="E23" s="333" t="s">
        <v>173</v>
      </c>
      <c r="F23" s="334" t="s">
        <v>1259</v>
      </c>
      <c r="G23" s="339" t="s">
        <v>1767</v>
      </c>
      <c r="H23" s="48"/>
      <c r="I23" s="2751"/>
      <c r="J23" s="2752"/>
      <c r="K23" s="2753"/>
      <c r="L23" s="41"/>
      <c r="M23" s="229">
        <f t="shared" si="2"/>
        <v>0</v>
      </c>
      <c r="N23" s="233">
        <f t="shared" si="3"/>
        <v>0</v>
      </c>
      <c r="O23" s="280"/>
      <c r="P23" s="1572" t="s">
        <v>788</v>
      </c>
      <c r="Q23" s="229">
        <v>1</v>
      </c>
      <c r="R23" s="1569">
        <v>100250</v>
      </c>
      <c r="AG23" s="182" t="s">
        <v>1821</v>
      </c>
      <c r="AH23" s="522">
        <v>4000</v>
      </c>
    </row>
    <row r="24" spans="1:34" ht="15" customHeight="1" x14ac:dyDescent="0.3">
      <c r="A24" s="46"/>
      <c r="B24" s="3" t="s">
        <v>1822</v>
      </c>
      <c r="E24" s="1579">
        <v>0</v>
      </c>
      <c r="F24" s="1587">
        <f t="shared" ref="F24:F46" si="4">E24/Units</f>
        <v>0</v>
      </c>
      <c r="G24" s="1588">
        <f t="shared" ref="G24:G46" si="5">E24/NRSF</f>
        <v>0</v>
      </c>
      <c r="H24" s="48"/>
      <c r="I24" s="2751"/>
      <c r="J24" s="2752"/>
      <c r="K24" s="2753"/>
      <c r="L24" s="41"/>
      <c r="M24" s="229">
        <f>L24/Units</f>
        <v>0</v>
      </c>
      <c r="N24" s="233">
        <f t="shared" si="3"/>
        <v>0</v>
      </c>
      <c r="O24" s="335"/>
      <c r="P24" s="1572" t="s">
        <v>1823</v>
      </c>
      <c r="Q24" s="229">
        <v>1</v>
      </c>
      <c r="R24" s="1569">
        <v>22100</v>
      </c>
    </row>
    <row r="25" spans="1:34" ht="15" customHeight="1" x14ac:dyDescent="0.3">
      <c r="A25" s="46"/>
      <c r="B25" s="3" t="s">
        <v>1824</v>
      </c>
      <c r="E25" s="1579">
        <v>60000</v>
      </c>
      <c r="F25" s="1587">
        <f t="shared" si="4"/>
        <v>234.375</v>
      </c>
      <c r="G25" s="1588">
        <f t="shared" si="5"/>
        <v>0.2496047924120143</v>
      </c>
      <c r="H25" s="49"/>
      <c r="I25" t="s">
        <v>1825</v>
      </c>
      <c r="L25" s="42"/>
      <c r="M25" s="229">
        <f t="shared" si="2"/>
        <v>0</v>
      </c>
      <c r="N25" s="233">
        <f t="shared" si="3"/>
        <v>0</v>
      </c>
      <c r="O25" s="280"/>
      <c r="P25" s="1572" t="s">
        <v>1826</v>
      </c>
      <c r="Q25" s="229">
        <v>1</v>
      </c>
      <c r="R25" s="1569">
        <v>46500</v>
      </c>
    </row>
    <row r="26" spans="1:34" ht="15" customHeight="1" x14ac:dyDescent="0.3">
      <c r="A26" s="46"/>
      <c r="B26" s="3" t="s">
        <v>1827</v>
      </c>
      <c r="E26" s="1579">
        <v>0</v>
      </c>
      <c r="F26" s="1587">
        <f t="shared" si="4"/>
        <v>0</v>
      </c>
      <c r="G26" s="1588">
        <f t="shared" si="5"/>
        <v>0</v>
      </c>
      <c r="H26" s="292"/>
      <c r="I26" s="1661" t="s">
        <v>843</v>
      </c>
      <c r="J26" s="1661"/>
      <c r="K26" s="1661"/>
      <c r="L26" s="702">
        <f>IF(L25&gt;0,L25,SUBTOTAL(9,L11:L24))</f>
        <v>1500605</v>
      </c>
      <c r="M26" s="702">
        <f t="shared" si="2"/>
        <v>5861.73828125</v>
      </c>
      <c r="N26" s="993">
        <f t="shared" si="3"/>
        <v>6.2426366586238453</v>
      </c>
      <c r="O26" s="280"/>
      <c r="P26" s="1572" t="s">
        <v>1820</v>
      </c>
      <c r="Q26" s="1594" t="s">
        <v>1828</v>
      </c>
      <c r="R26" s="1569">
        <f>IF(Q26="Prescriptive",16500,56500)</f>
        <v>16500</v>
      </c>
    </row>
    <row r="27" spans="1:34" ht="15" customHeight="1" thickBot="1" x14ac:dyDescent="0.35">
      <c r="A27" s="46"/>
      <c r="B27" s="3" t="s">
        <v>1829</v>
      </c>
      <c r="E27" s="1579">
        <v>0</v>
      </c>
      <c r="F27" s="1587">
        <f t="shared" si="4"/>
        <v>0</v>
      </c>
      <c r="G27" s="1588">
        <f t="shared" si="5"/>
        <v>0</v>
      </c>
      <c r="H27" s="287"/>
      <c r="P27" s="1572" t="s">
        <v>1830</v>
      </c>
      <c r="Q27" s="1568">
        <f>Units</f>
        <v>256</v>
      </c>
      <c r="R27" s="1569">
        <v>400</v>
      </c>
    </row>
    <row r="28" spans="1:34" ht="15" customHeight="1" thickTop="1" x14ac:dyDescent="0.3">
      <c r="A28" s="46"/>
      <c r="B28" s="1592" t="s">
        <v>1831</v>
      </c>
      <c r="E28" s="1579">
        <v>50000</v>
      </c>
      <c r="F28" s="1587">
        <f t="shared" si="4"/>
        <v>195.3125</v>
      </c>
      <c r="G28" s="1588">
        <f t="shared" si="5"/>
        <v>0.2080039936766786</v>
      </c>
      <c r="H28" s="318" t="s">
        <v>1832</v>
      </c>
      <c r="I28" s="319"/>
      <c r="J28" s="320"/>
      <c r="K28" s="858"/>
      <c r="L28" s="859"/>
      <c r="M28" s="860" t="s">
        <v>1833</v>
      </c>
      <c r="N28" s="1600">
        <v>0</v>
      </c>
      <c r="P28" s="1565" t="s">
        <v>1834</v>
      </c>
      <c r="Q28" s="1509"/>
      <c r="R28" s="1573"/>
    </row>
    <row r="29" spans="1:34" ht="15" customHeight="1" x14ac:dyDescent="0.3">
      <c r="A29" s="46"/>
      <c r="B29" s="3" t="s">
        <v>1835</v>
      </c>
      <c r="E29" s="1579">
        <v>0</v>
      </c>
      <c r="F29" s="1587">
        <f t="shared" si="4"/>
        <v>0</v>
      </c>
      <c r="G29" s="1588">
        <f t="shared" si="5"/>
        <v>0</v>
      </c>
      <c r="H29" s="341" t="s">
        <v>1814</v>
      </c>
      <c r="I29" s="326" t="s">
        <v>1815</v>
      </c>
      <c r="J29" s="326" t="s">
        <v>1816</v>
      </c>
      <c r="K29" s="388"/>
      <c r="L29" s="388"/>
      <c r="M29" s="410" t="s">
        <v>1836</v>
      </c>
      <c r="N29" s="519">
        <f ca="1">-SUMIF(OperBgt!G5:EH5,"&lt;"&amp;MonthFirstUnits,OperBgt!G81:EH81)</f>
        <v>0</v>
      </c>
      <c r="P29" s="1571" t="s">
        <v>1837</v>
      </c>
      <c r="Q29" s="229">
        <v>1</v>
      </c>
      <c r="R29" s="1569">
        <v>94200</v>
      </c>
    </row>
    <row r="30" spans="1:34" ht="15" customHeight="1" x14ac:dyDescent="0.3">
      <c r="A30" s="46"/>
      <c r="B30" s="3" t="s">
        <v>1838</v>
      </c>
      <c r="E30" s="1579">
        <v>195000</v>
      </c>
      <c r="F30" s="1587">
        <f t="shared" si="4"/>
        <v>761.71875</v>
      </c>
      <c r="G30" s="1588">
        <f t="shared" si="5"/>
        <v>0.81121557533904654</v>
      </c>
      <c r="H30" s="1583">
        <v>0.7</v>
      </c>
      <c r="I30" s="1582">
        <f>MonthFirstUnits-1</f>
        <v>13</v>
      </c>
      <c r="J30" s="1582">
        <f>I30+5</f>
        <v>18</v>
      </c>
      <c r="K30" s="118" t="str">
        <f>IF(AND(J30=I30,H30&lt;&gt;1),"Initial CF must = 100% when budget is completed in one month!","")</f>
        <v/>
      </c>
      <c r="P30" s="1572" t="s">
        <v>1839</v>
      </c>
      <c r="Q30" s="1568">
        <v>20</v>
      </c>
      <c r="R30" s="1569">
        <v>2500</v>
      </c>
    </row>
    <row r="31" spans="1:34" ht="15" customHeight="1" x14ac:dyDescent="0.3">
      <c r="A31" s="46"/>
      <c r="B31" s="3" t="s">
        <v>1840</v>
      </c>
      <c r="E31" s="1579">
        <v>0</v>
      </c>
      <c r="F31" s="1587">
        <f t="shared" si="4"/>
        <v>0</v>
      </c>
      <c r="G31" s="1588">
        <f t="shared" si="5"/>
        <v>0</v>
      </c>
      <c r="H31" s="342" t="s">
        <v>1766</v>
      </c>
      <c r="I31" s="332" t="s">
        <v>834</v>
      </c>
      <c r="J31" s="332"/>
      <c r="K31" s="332"/>
      <c r="L31" s="338" t="s">
        <v>173</v>
      </c>
      <c r="M31" s="334" t="s">
        <v>1259</v>
      </c>
      <c r="N31" s="334" t="s">
        <v>1767</v>
      </c>
      <c r="P31" s="1565" t="s">
        <v>1841</v>
      </c>
    </row>
    <row r="32" spans="1:34" ht="15" customHeight="1" x14ac:dyDescent="0.3">
      <c r="A32" s="46"/>
      <c r="B32" s="3" t="s">
        <v>1842</v>
      </c>
      <c r="E32" s="1579">
        <v>0</v>
      </c>
      <c r="F32" s="1587">
        <f t="shared" si="4"/>
        <v>0</v>
      </c>
      <c r="G32" s="1588">
        <f t="shared" si="5"/>
        <v>0</v>
      </c>
      <c r="H32" s="48"/>
      <c r="I32" s="3" t="s">
        <v>1843</v>
      </c>
      <c r="L32" s="58">
        <v>0</v>
      </c>
      <c r="M32" s="227">
        <f t="shared" ref="M32:M41" si="6">L32/Units</f>
        <v>0</v>
      </c>
      <c r="N32" s="228">
        <f t="shared" ref="N32:N41" si="7">L32/NRSF</f>
        <v>0</v>
      </c>
      <c r="P32" s="1571" t="s">
        <v>1844</v>
      </c>
      <c r="Q32" s="1574">
        <v>50000</v>
      </c>
      <c r="R32" s="1575">
        <f>Q32</f>
        <v>50000</v>
      </c>
    </row>
    <row r="33" spans="1:18" ht="15" customHeight="1" x14ac:dyDescent="0.3">
      <c r="A33" s="46"/>
      <c r="B33" s="3" t="s">
        <v>1845</v>
      </c>
      <c r="D33" s="1586">
        <v>30000</v>
      </c>
      <c r="E33" s="1580">
        <v>0</v>
      </c>
      <c r="F33" s="1587">
        <f t="shared" si="4"/>
        <v>0</v>
      </c>
      <c r="G33" s="1588">
        <f t="shared" si="5"/>
        <v>0</v>
      </c>
      <c r="H33" s="48"/>
      <c r="I33" s="3" t="s">
        <v>1301</v>
      </c>
      <c r="L33" s="41">
        <v>0</v>
      </c>
      <c r="M33" s="229">
        <f t="shared" si="6"/>
        <v>0</v>
      </c>
      <c r="N33" s="233">
        <f t="shared" si="7"/>
        <v>0</v>
      </c>
    </row>
    <row r="34" spans="1:18" ht="15" customHeight="1" x14ac:dyDescent="0.3">
      <c r="A34" s="46"/>
      <c r="B34" s="3" t="s">
        <v>1846</v>
      </c>
      <c r="D34" s="1586">
        <v>30000</v>
      </c>
      <c r="E34" s="1580">
        <v>0</v>
      </c>
      <c r="F34" s="1587">
        <f t="shared" si="4"/>
        <v>0</v>
      </c>
      <c r="G34" s="1588">
        <f t="shared" si="5"/>
        <v>0</v>
      </c>
      <c r="H34" s="48"/>
      <c r="I34" s="3" t="s">
        <v>1847</v>
      </c>
      <c r="L34" s="41">
        <v>0</v>
      </c>
      <c r="M34" s="229">
        <f t="shared" si="6"/>
        <v>0</v>
      </c>
      <c r="N34" s="233">
        <f t="shared" si="7"/>
        <v>0</v>
      </c>
      <c r="P34" s="700" t="s">
        <v>1848</v>
      </c>
      <c r="R34" s="277">
        <f>SUMPRODUCT(R17:R19,Q17:Q19)</f>
        <v>36000</v>
      </c>
    </row>
    <row r="35" spans="1:18" ht="15" customHeight="1" x14ac:dyDescent="0.3">
      <c r="A35" s="46"/>
      <c r="B35" s="3" t="s">
        <v>1849</v>
      </c>
      <c r="D35" s="1586">
        <v>50000</v>
      </c>
      <c r="E35" s="1580">
        <v>50000</v>
      </c>
      <c r="F35" s="1587">
        <f t="shared" si="4"/>
        <v>195.3125</v>
      </c>
      <c r="G35" s="1588">
        <f t="shared" si="5"/>
        <v>0.2080039936766786</v>
      </c>
      <c r="H35" s="49"/>
      <c r="I35" s="3" t="s">
        <v>1840</v>
      </c>
      <c r="L35" s="41">
        <v>0</v>
      </c>
      <c r="M35" s="229">
        <f t="shared" si="6"/>
        <v>0</v>
      </c>
      <c r="N35" s="233">
        <f t="shared" si="7"/>
        <v>0</v>
      </c>
    </row>
    <row r="36" spans="1:18" ht="15" customHeight="1" x14ac:dyDescent="0.3">
      <c r="A36" s="46"/>
      <c r="B36" s="3" t="s">
        <v>1850</v>
      </c>
      <c r="D36" s="1586">
        <v>50000</v>
      </c>
      <c r="E36" s="1580">
        <v>0</v>
      </c>
      <c r="F36" s="1587">
        <f t="shared" si="4"/>
        <v>0</v>
      </c>
      <c r="G36" s="1588">
        <f t="shared" si="5"/>
        <v>0</v>
      </c>
      <c r="H36" s="853"/>
      <c r="I36" s="854" t="s">
        <v>1851</v>
      </c>
      <c r="J36" s="852"/>
      <c r="M36" s="229"/>
      <c r="N36" s="233"/>
      <c r="P36" s="700" t="s">
        <v>1852</v>
      </c>
      <c r="Q36" s="277"/>
      <c r="R36" s="277">
        <f>(SUMPRODUCT(R9:R15,Q9:Q15)+SUMPRODUCT(R17:R19,Q17:Q19)+SUMPRODUCT(R23:R25,Q23:Q25)+SUMPRODUCT(R27,Q27)+SUMPRODUCT(R29:R30,Q29:Q30)+SUM(R20:R21,R32,R26))-R34</f>
        <v>623905</v>
      </c>
    </row>
    <row r="37" spans="1:18" ht="15" customHeight="1" x14ac:dyDescent="0.3">
      <c r="A37" s="46"/>
      <c r="B37" s="3" t="s">
        <v>1853</v>
      </c>
      <c r="E37" s="1579">
        <v>30000</v>
      </c>
      <c r="F37" s="1587">
        <f t="shared" si="4"/>
        <v>117.1875</v>
      </c>
      <c r="G37" s="1588">
        <f t="shared" si="5"/>
        <v>0.12480239620600715</v>
      </c>
      <c r="H37" s="49"/>
      <c r="I37" s="856" t="s">
        <v>1854</v>
      </c>
      <c r="L37" s="41">
        <v>0</v>
      </c>
      <c r="M37" s="229">
        <f t="shared" si="6"/>
        <v>0</v>
      </c>
      <c r="N37" s="233">
        <f t="shared" si="7"/>
        <v>0</v>
      </c>
    </row>
    <row r="38" spans="1:18" ht="15" customHeight="1" x14ac:dyDescent="0.3">
      <c r="A38" s="46"/>
      <c r="B38" s="3" t="s">
        <v>1855</v>
      </c>
      <c r="E38" s="1579">
        <v>60000</v>
      </c>
      <c r="F38" s="1587">
        <f t="shared" si="4"/>
        <v>234.375</v>
      </c>
      <c r="G38" s="1588">
        <f t="shared" si="5"/>
        <v>0.2496047924120143</v>
      </c>
      <c r="H38" s="48"/>
      <c r="I38" s="856" t="s">
        <v>1856</v>
      </c>
      <c r="L38" s="41">
        <v>0</v>
      </c>
      <c r="M38" s="229">
        <f t="shared" si="6"/>
        <v>0</v>
      </c>
      <c r="N38" s="233">
        <f t="shared" si="7"/>
        <v>0</v>
      </c>
    </row>
    <row r="39" spans="1:18" ht="15" customHeight="1" x14ac:dyDescent="0.3">
      <c r="A39" s="46"/>
      <c r="B39" s="3" t="s">
        <v>1857</v>
      </c>
      <c r="E39" s="1579">
        <v>0</v>
      </c>
      <c r="F39" s="1587">
        <f t="shared" si="4"/>
        <v>0</v>
      </c>
      <c r="G39" s="1588">
        <f t="shared" si="5"/>
        <v>0</v>
      </c>
      <c r="H39" s="48"/>
      <c r="I39" s="856" t="s">
        <v>1858</v>
      </c>
      <c r="L39" s="41">
        <v>0</v>
      </c>
      <c r="M39" s="229">
        <f t="shared" si="6"/>
        <v>0</v>
      </c>
      <c r="N39" s="233">
        <f t="shared" si="7"/>
        <v>0</v>
      </c>
    </row>
    <row r="40" spans="1:18" ht="15" customHeight="1" x14ac:dyDescent="0.3">
      <c r="A40" s="46"/>
      <c r="B40" s="3" t="s">
        <v>1859</v>
      </c>
      <c r="E40" s="1579">
        <v>0</v>
      </c>
      <c r="F40" s="1587">
        <f t="shared" si="4"/>
        <v>0</v>
      </c>
      <c r="G40" s="1588">
        <f t="shared" si="5"/>
        <v>0</v>
      </c>
      <c r="H40" s="48"/>
      <c r="I40" s="856" t="s">
        <v>1860</v>
      </c>
      <c r="L40" s="41">
        <v>0</v>
      </c>
      <c r="M40" s="229">
        <f t="shared" si="6"/>
        <v>0</v>
      </c>
      <c r="N40" s="233">
        <f t="shared" si="7"/>
        <v>0</v>
      </c>
    </row>
    <row r="41" spans="1:18" ht="15" customHeight="1" x14ac:dyDescent="0.3">
      <c r="A41" s="46"/>
      <c r="B41" s="3" t="s">
        <v>1861</v>
      </c>
      <c r="E41" s="1579">
        <v>125000</v>
      </c>
      <c r="F41" s="1587">
        <f t="shared" si="4"/>
        <v>488.28125</v>
      </c>
      <c r="G41" s="1588">
        <f t="shared" si="5"/>
        <v>0.52000998419169653</v>
      </c>
      <c r="H41" s="48"/>
      <c r="I41" s="856" t="s">
        <v>1862</v>
      </c>
      <c r="L41" s="41">
        <v>0</v>
      </c>
      <c r="M41" s="229">
        <f t="shared" si="6"/>
        <v>0</v>
      </c>
      <c r="N41" s="233">
        <f t="shared" si="7"/>
        <v>0</v>
      </c>
    </row>
    <row r="42" spans="1:18" ht="15" customHeight="1" x14ac:dyDescent="0.3">
      <c r="A42" s="46"/>
      <c r="B42" s="3" t="s">
        <v>1863</v>
      </c>
      <c r="E42" s="1580">
        <v>10000</v>
      </c>
      <c r="F42" s="1587">
        <f t="shared" si="4"/>
        <v>39.0625</v>
      </c>
      <c r="G42" s="1588">
        <f t="shared" si="5"/>
        <v>4.1600798735335717E-2</v>
      </c>
      <c r="H42" s="48"/>
      <c r="I42" s="856" t="s">
        <v>1864</v>
      </c>
      <c r="L42" s="41">
        <v>0</v>
      </c>
      <c r="M42" s="229">
        <f t="shared" ref="M42:M50" si="8">L42/Units</f>
        <v>0</v>
      </c>
      <c r="N42" s="233">
        <f t="shared" ref="N42:N50" si="9">L42/NRSF</f>
        <v>0</v>
      </c>
    </row>
    <row r="43" spans="1:18" ht="15" customHeight="1" x14ac:dyDescent="0.3">
      <c r="A43" s="46"/>
      <c r="B43" s="3" t="s">
        <v>1865</v>
      </c>
      <c r="E43" s="1580">
        <v>45000</v>
      </c>
      <c r="F43" s="1587">
        <f t="shared" si="4"/>
        <v>175.78125</v>
      </c>
      <c r="G43" s="1588">
        <f t="shared" si="5"/>
        <v>0.18720359430901073</v>
      </c>
      <c r="H43" s="48"/>
      <c r="I43" s="857" t="s">
        <v>1866</v>
      </c>
      <c r="J43" s="855"/>
      <c r="L43" s="41">
        <v>0</v>
      </c>
      <c r="M43" s="229">
        <f t="shared" si="8"/>
        <v>0</v>
      </c>
      <c r="N43" s="233">
        <f t="shared" si="9"/>
        <v>0</v>
      </c>
    </row>
    <row r="44" spans="1:18" ht="15" customHeight="1" x14ac:dyDescent="0.3">
      <c r="A44" s="46"/>
      <c r="B44" s="2763" t="s">
        <v>1867</v>
      </c>
      <c r="C44" s="2764"/>
      <c r="D44" s="2765"/>
      <c r="E44" s="1580">
        <v>0</v>
      </c>
      <c r="F44" s="1587">
        <f t="shared" si="4"/>
        <v>0</v>
      </c>
      <c r="G44" s="1588">
        <f t="shared" si="5"/>
        <v>0</v>
      </c>
      <c r="H44" s="48"/>
      <c r="I44" s="3" t="s">
        <v>1868</v>
      </c>
      <c r="L44" s="41">
        <v>0</v>
      </c>
      <c r="M44" s="229">
        <f t="shared" si="8"/>
        <v>0</v>
      </c>
      <c r="N44" s="233">
        <f t="shared" si="9"/>
        <v>0</v>
      </c>
    </row>
    <row r="45" spans="1:18" ht="15" customHeight="1" x14ac:dyDescent="0.3">
      <c r="A45" s="47"/>
      <c r="B45" t="s">
        <v>1825</v>
      </c>
      <c r="E45" s="42">
        <v>625000</v>
      </c>
      <c r="F45" s="1587">
        <f t="shared" si="4"/>
        <v>2441.40625</v>
      </c>
      <c r="G45" s="1588">
        <f t="shared" si="5"/>
        <v>2.6000499209584822</v>
      </c>
      <c r="H45" s="48"/>
      <c r="I45" s="3" t="s">
        <v>1869</v>
      </c>
      <c r="L45" s="41">
        <v>0</v>
      </c>
      <c r="M45" s="229">
        <f t="shared" si="8"/>
        <v>0</v>
      </c>
      <c r="N45" s="233">
        <f t="shared" si="9"/>
        <v>0</v>
      </c>
    </row>
    <row r="46" spans="1:18" ht="15" customHeight="1" x14ac:dyDescent="0.3">
      <c r="A46" s="701"/>
      <c r="B46" s="1661" t="s">
        <v>843</v>
      </c>
      <c r="C46" s="1661"/>
      <c r="D46" s="1661"/>
      <c r="E46" s="702">
        <f>IF(E45&gt;0,E45,SUBTOTAL(9,E24:E44))</f>
        <v>625000</v>
      </c>
      <c r="F46" s="702">
        <f t="shared" si="4"/>
        <v>2441.40625</v>
      </c>
      <c r="G46" s="993">
        <f t="shared" si="5"/>
        <v>2.6000499209584822</v>
      </c>
      <c r="H46" s="48"/>
      <c r="I46" s="3" t="s">
        <v>1870</v>
      </c>
      <c r="L46" s="41">
        <v>0</v>
      </c>
      <c r="M46" s="229">
        <f t="shared" si="8"/>
        <v>0</v>
      </c>
      <c r="N46" s="233">
        <f t="shared" si="9"/>
        <v>0</v>
      </c>
    </row>
    <row r="47" spans="1:18" ht="15" customHeight="1" thickBot="1" x14ac:dyDescent="0.35">
      <c r="H47" s="48"/>
      <c r="I47" s="3" t="s">
        <v>1871</v>
      </c>
      <c r="L47" s="41">
        <v>0</v>
      </c>
      <c r="M47" s="229">
        <f t="shared" si="8"/>
        <v>0</v>
      </c>
      <c r="N47" s="233">
        <f t="shared" si="9"/>
        <v>0</v>
      </c>
    </row>
    <row r="48" spans="1:18" ht="15" customHeight="1" thickTop="1" x14ac:dyDescent="0.3">
      <c r="A48" s="318" t="str">
        <f>"HARD COSTS (as of "&amp;TEXT('General Inputs'!C39,"MM-DD-YY")&amp;")"</f>
        <v>HARD COSTS (as of 06-01-26)</v>
      </c>
      <c r="B48" s="319"/>
      <c r="C48" s="320"/>
      <c r="D48" s="321"/>
      <c r="E48" s="322"/>
      <c r="F48" s="343" t="s">
        <v>1872</v>
      </c>
      <c r="G48" s="868">
        <v>0</v>
      </c>
      <c r="H48" s="866"/>
      <c r="I48" s="3" t="s">
        <v>1873</v>
      </c>
      <c r="L48" s="41">
        <v>0</v>
      </c>
      <c r="M48" s="229">
        <f t="shared" si="8"/>
        <v>0</v>
      </c>
      <c r="N48" s="233">
        <f t="shared" si="9"/>
        <v>0</v>
      </c>
    </row>
    <row r="49" spans="1:15" ht="15" customHeight="1" x14ac:dyDescent="0.3">
      <c r="A49" t="s">
        <v>1874</v>
      </c>
      <c r="C49" s="7">
        <v>0.05</v>
      </c>
      <c r="D49" s="870">
        <f>SUM($E$52:$E$62)-(SUM($E$52:$E$62)/(1+C49))</f>
        <v>2385454.0677857324</v>
      </c>
      <c r="E49" s="337"/>
      <c r="F49" s="863" t="s">
        <v>1875</v>
      </c>
      <c r="G49" s="869" t="s">
        <v>1876</v>
      </c>
      <c r="H49" s="867"/>
      <c r="I49" t="s">
        <v>1825</v>
      </c>
      <c r="L49" s="42">
        <v>375000</v>
      </c>
      <c r="M49" s="229">
        <f t="shared" si="8"/>
        <v>1464.84375</v>
      </c>
      <c r="N49" s="233">
        <f t="shared" si="9"/>
        <v>1.5600299525750894</v>
      </c>
    </row>
    <row r="50" spans="1:15" ht="15" customHeight="1" x14ac:dyDescent="0.3">
      <c r="A50" t="s">
        <v>1877</v>
      </c>
      <c r="C50" s="54">
        <v>0</v>
      </c>
      <c r="D50" s="337" t="s">
        <v>1878</v>
      </c>
      <c r="H50" s="292"/>
      <c r="I50" s="1661" t="s">
        <v>843</v>
      </c>
      <c r="J50" s="1661"/>
      <c r="K50" s="1661"/>
      <c r="L50" s="702">
        <f>IF(L49&gt;0,L49,SUBTOTAL(9,L32:L48))</f>
        <v>375000</v>
      </c>
      <c r="M50" s="702">
        <f t="shared" si="8"/>
        <v>1464.84375</v>
      </c>
      <c r="N50" s="993">
        <f t="shared" si="9"/>
        <v>1.5600299525750894</v>
      </c>
    </row>
    <row r="51" spans="1:15" ht="15" customHeight="1" thickBot="1" x14ac:dyDescent="0.35">
      <c r="A51" s="332" t="s">
        <v>1766</v>
      </c>
      <c r="B51" s="332" t="s">
        <v>834</v>
      </c>
      <c r="C51" s="332"/>
      <c r="D51" s="338"/>
      <c r="E51" s="338" t="s">
        <v>173</v>
      </c>
      <c r="F51" s="864" t="s">
        <v>1259</v>
      </c>
      <c r="G51" s="865" t="s">
        <v>1767</v>
      </c>
      <c r="H51" s="287"/>
    </row>
    <row r="52" spans="1:15" ht="15" customHeight="1" thickTop="1" x14ac:dyDescent="0.3">
      <c r="A52" s="46"/>
      <c r="B52" t="s">
        <v>1879</v>
      </c>
      <c r="E52" s="1087">
        <f>+'Hard Cost Details'!$D$19</f>
        <v>49442548.164321959</v>
      </c>
      <c r="F52" s="227">
        <f t="shared" ref="F52:F65" si="10">E52/Units</f>
        <v>193134.95376688265</v>
      </c>
      <c r="G52" s="233">
        <f>E52/NRSF</f>
        <v>205.68494951461003</v>
      </c>
      <c r="H52" s="318" t="s">
        <v>1880</v>
      </c>
      <c r="I52" s="319"/>
      <c r="J52" s="320"/>
      <c r="K52" s="321"/>
      <c r="L52" s="322"/>
      <c r="M52" s="322"/>
      <c r="N52" s="322"/>
    </row>
    <row r="53" spans="1:15" ht="15" customHeight="1" x14ac:dyDescent="0.3">
      <c r="A53" s="1584" t="s">
        <v>1881</v>
      </c>
      <c r="B53" s="2755" t="s">
        <v>1882</v>
      </c>
      <c r="C53" s="2756"/>
      <c r="D53" s="2756"/>
      <c r="E53" s="407">
        <f>IF(A53="Water Only",125*Units*1.1,275*Units*1.1)+IF(G49="NO",12500,0)</f>
        <v>35200</v>
      </c>
      <c r="F53" s="229">
        <f t="shared" si="10"/>
        <v>137.5</v>
      </c>
      <c r="G53" s="233">
        <f t="shared" ref="G53:G65" si="11">E53/NRSF</f>
        <v>0.14643481154838173</v>
      </c>
      <c r="H53" s="341" t="s">
        <v>1766</v>
      </c>
      <c r="I53" s="263" t="s">
        <v>834</v>
      </c>
      <c r="L53" s="345" t="s">
        <v>173</v>
      </c>
      <c r="M53" s="345" t="s">
        <v>1259</v>
      </c>
      <c r="N53" s="345" t="s">
        <v>1767</v>
      </c>
    </row>
    <row r="54" spans="1:15" ht="15" customHeight="1" x14ac:dyDescent="0.3">
      <c r="A54" s="46"/>
      <c r="B54" s="2766" t="s">
        <v>1883</v>
      </c>
      <c r="C54" s="2752">
        <v>0</v>
      </c>
      <c r="D54" s="2753">
        <v>0</v>
      </c>
      <c r="E54" s="16">
        <f>-E52*'Hard Cost Details'!B49</f>
        <v>-247212.7408216098</v>
      </c>
      <c r="F54" s="229">
        <f t="shared" si="10"/>
        <v>-965.67476883441327</v>
      </c>
      <c r="G54" s="233">
        <f t="shared" si="11"/>
        <v>-1.0284247475730501</v>
      </c>
      <c r="H54" s="48"/>
      <c r="I54" t="s">
        <v>672</v>
      </c>
      <c r="L54" s="227">
        <f ca="1">DevBdgt!$EH$35</f>
        <v>1086262.1410115552</v>
      </c>
      <c r="M54" s="227">
        <f ca="1">L54/Units</f>
        <v>4243.2114883263876</v>
      </c>
      <c r="N54" s="228">
        <f ca="1">L54/NRSF</f>
        <v>4.5189372702036579</v>
      </c>
      <c r="O54" s="227"/>
    </row>
    <row r="55" spans="1:15" ht="15" customHeight="1" x14ac:dyDescent="0.3">
      <c r="A55" s="46"/>
      <c r="B55" s="2766" t="s">
        <v>1884</v>
      </c>
      <c r="C55" s="2752">
        <v>0</v>
      </c>
      <c r="D55" s="2753">
        <v>0</v>
      </c>
      <c r="E55" s="16"/>
      <c r="F55" s="229">
        <f t="shared" si="10"/>
        <v>0</v>
      </c>
      <c r="G55" s="233">
        <f t="shared" si="11"/>
        <v>0</v>
      </c>
      <c r="H55" s="49"/>
      <c r="I55" t="s">
        <v>676</v>
      </c>
      <c r="L55" s="229">
        <f ca="1">DevBdgt!$EH$40</f>
        <v>329080.53404430853</v>
      </c>
      <c r="M55" s="229">
        <f ca="1">L55/Units</f>
        <v>1285.4708361105802</v>
      </c>
      <c r="N55" s="233">
        <f ca="1">L55/NRSF</f>
        <v>1.3690013064494073</v>
      </c>
    </row>
    <row r="56" spans="1:15" ht="15" customHeight="1" x14ac:dyDescent="0.3">
      <c r="A56" s="46"/>
      <c r="B56" s="2766" t="s">
        <v>1885</v>
      </c>
      <c r="C56" s="2752">
        <v>0</v>
      </c>
      <c r="D56" s="2753">
        <v>0</v>
      </c>
      <c r="E56" s="16">
        <f>+(120000*0.9*8)</f>
        <v>864000</v>
      </c>
      <c r="F56" s="229">
        <f t="shared" si="10"/>
        <v>3375</v>
      </c>
      <c r="G56" s="233">
        <f t="shared" si="11"/>
        <v>3.594309010733006</v>
      </c>
      <c r="H56" s="292"/>
      <c r="I56" s="1661" t="s">
        <v>843</v>
      </c>
      <c r="J56" s="1661"/>
      <c r="K56" s="1661"/>
      <c r="L56" s="702">
        <f ca="1">SUBTOTAL(9,L54:L55)</f>
        <v>1415342.6750558638</v>
      </c>
      <c r="M56" s="702">
        <f ca="1">L56/Units</f>
        <v>5528.682324436968</v>
      </c>
      <c r="N56" s="993">
        <f ca="1">L56/NRSF</f>
        <v>5.887938576653065</v>
      </c>
    </row>
    <row r="57" spans="1:15" ht="15" customHeight="1" x14ac:dyDescent="0.3">
      <c r="A57" s="46"/>
      <c r="B57" s="2766"/>
      <c r="C57" s="2752">
        <v>0</v>
      </c>
      <c r="D57" s="2753">
        <v>0</v>
      </c>
      <c r="E57" s="16"/>
      <c r="F57" s="229">
        <f t="shared" ref="F57:F60" si="12">E57/Units</f>
        <v>0</v>
      </c>
      <c r="G57" s="233">
        <f t="shared" ref="G57:G60" si="13">E57/NRSF</f>
        <v>0</v>
      </c>
      <c r="H57" s="287"/>
      <c r="I57" s="1537"/>
      <c r="J57" s="1537"/>
      <c r="K57" s="1537"/>
      <c r="L57" s="227"/>
      <c r="M57" s="227"/>
      <c r="N57" s="228"/>
    </row>
    <row r="58" spans="1:15" ht="15" customHeight="1" x14ac:dyDescent="0.3">
      <c r="A58" s="46"/>
      <c r="B58" s="2766"/>
      <c r="C58" s="2752">
        <v>0</v>
      </c>
      <c r="D58" s="2753">
        <v>0</v>
      </c>
      <c r="E58" s="16"/>
      <c r="F58" s="229">
        <f t="shared" si="12"/>
        <v>0</v>
      </c>
      <c r="G58" s="233">
        <f t="shared" si="13"/>
        <v>0</v>
      </c>
      <c r="H58" s="287"/>
      <c r="I58" s="1537"/>
      <c r="J58" s="1537"/>
      <c r="K58" s="1537"/>
      <c r="L58" s="227"/>
      <c r="M58" s="227"/>
      <c r="N58" s="228"/>
    </row>
    <row r="59" spans="1:15" ht="15" customHeight="1" x14ac:dyDescent="0.3">
      <c r="A59" s="46"/>
      <c r="B59" s="2766"/>
      <c r="C59" s="2752">
        <v>0</v>
      </c>
      <c r="D59" s="2753">
        <v>0</v>
      </c>
      <c r="E59" s="16"/>
      <c r="F59" s="229">
        <f t="shared" si="12"/>
        <v>0</v>
      </c>
      <c r="G59" s="233">
        <f t="shared" si="13"/>
        <v>0</v>
      </c>
      <c r="H59" s="287"/>
      <c r="I59" s="1537"/>
      <c r="J59" s="1537"/>
      <c r="K59" s="1537"/>
      <c r="L59" s="227"/>
      <c r="M59" s="227"/>
      <c r="N59" s="228"/>
    </row>
    <row r="60" spans="1:15" ht="15" customHeight="1" x14ac:dyDescent="0.3">
      <c r="A60" s="46"/>
      <c r="B60" s="2766"/>
      <c r="C60" s="2752">
        <v>0</v>
      </c>
      <c r="D60" s="2753">
        <v>0</v>
      </c>
      <c r="E60" s="16"/>
      <c r="F60" s="229">
        <f t="shared" si="12"/>
        <v>0</v>
      </c>
      <c r="G60" s="233">
        <f t="shared" si="13"/>
        <v>0</v>
      </c>
      <c r="H60" s="287"/>
      <c r="I60" s="1537"/>
      <c r="J60" s="1537"/>
      <c r="K60" s="1537"/>
      <c r="L60" s="227"/>
      <c r="M60" s="227"/>
      <c r="N60" s="228"/>
    </row>
    <row r="61" spans="1:15" ht="15" customHeight="1" thickBot="1" x14ac:dyDescent="0.35">
      <c r="A61" s="46"/>
      <c r="B61" s="2766"/>
      <c r="C61" s="2752"/>
      <c r="D61" s="2753"/>
      <c r="E61" s="16"/>
      <c r="F61" s="229">
        <f t="shared" si="10"/>
        <v>0</v>
      </c>
      <c r="G61" s="233">
        <f t="shared" si="11"/>
        <v>0</v>
      </c>
      <c r="H61" s="287"/>
      <c r="O61" s="227"/>
    </row>
    <row r="62" spans="1:15" ht="15" customHeight="1" thickTop="1" x14ac:dyDescent="0.3">
      <c r="A62" s="46"/>
      <c r="B62" s="2767"/>
      <c r="C62" s="2768"/>
      <c r="D62" s="2769"/>
      <c r="E62" s="16"/>
      <c r="F62" s="229">
        <f t="shared" si="10"/>
        <v>0</v>
      </c>
      <c r="G62" s="233">
        <f t="shared" si="11"/>
        <v>0</v>
      </c>
      <c r="H62" s="318" t="s">
        <v>1886</v>
      </c>
      <c r="I62" s="319"/>
      <c r="J62" s="320"/>
      <c r="K62" s="321"/>
      <c r="L62" s="322"/>
      <c r="M62" s="322"/>
      <c r="N62" s="322"/>
      <c r="O62" s="228"/>
    </row>
    <row r="63" spans="1:15" ht="15" customHeight="1" x14ac:dyDescent="0.3">
      <c r="A63" s="46"/>
      <c r="B63" s="1661" t="s">
        <v>1887</v>
      </c>
      <c r="C63" s="1661"/>
      <c r="D63" s="1661"/>
      <c r="E63" s="702">
        <f>SUBTOTAL(9,E52:E62)</f>
        <v>50094535.423500352</v>
      </c>
      <c r="F63" s="702">
        <f t="shared" si="10"/>
        <v>195681.77899804825</v>
      </c>
      <c r="G63" s="993">
        <f t="shared" si="11"/>
        <v>208.39726858931837</v>
      </c>
      <c r="H63" s="341" t="s">
        <v>1766</v>
      </c>
      <c r="I63" s="263" t="s">
        <v>834</v>
      </c>
      <c r="L63" s="345" t="s">
        <v>173</v>
      </c>
      <c r="M63" s="324" t="s">
        <v>1259</v>
      </c>
      <c r="N63" s="324" t="s">
        <v>1767</v>
      </c>
    </row>
    <row r="64" spans="1:15" ht="15" customHeight="1" x14ac:dyDescent="0.3">
      <c r="A64" s="46"/>
      <c r="B64" t="s">
        <v>1888</v>
      </c>
      <c r="D64" s="203"/>
      <c r="E64" s="229">
        <f>$C$50*E63</f>
        <v>0</v>
      </c>
      <c r="F64" s="229">
        <f t="shared" si="10"/>
        <v>0</v>
      </c>
      <c r="G64" s="233">
        <f t="shared" si="11"/>
        <v>0</v>
      </c>
      <c r="H64" s="48"/>
      <c r="I64" t="s">
        <v>1246</v>
      </c>
      <c r="L64" s="227">
        <f>TotalRetail-'Operating Inputs'!L110</f>
        <v>0</v>
      </c>
      <c r="M64" s="229">
        <f>L64/Units</f>
        <v>0</v>
      </c>
      <c r="N64" s="233">
        <f>L64/NRSF</f>
        <v>0</v>
      </c>
    </row>
    <row r="65" spans="1:17" ht="15" customHeight="1" x14ac:dyDescent="0.3">
      <c r="A65" s="701"/>
      <c r="B65" s="1661" t="s">
        <v>1889</v>
      </c>
      <c r="C65" s="1661"/>
      <c r="D65" s="1661"/>
      <c r="E65" s="702">
        <f>SUBTOTAL(9,E52:E64)</f>
        <v>50094535.423500352</v>
      </c>
      <c r="F65" s="702">
        <f t="shared" si="10"/>
        <v>195681.77899804825</v>
      </c>
      <c r="G65" s="993">
        <f t="shared" si="11"/>
        <v>208.39726858931837</v>
      </c>
      <c r="H65" s="49"/>
      <c r="I65" s="241" t="s">
        <v>126</v>
      </c>
      <c r="J65" s="241"/>
      <c r="K65" s="241"/>
      <c r="L65" s="242">
        <f>TotalRetail-L64</f>
        <v>0</v>
      </c>
      <c r="M65" s="229">
        <f>L65/Units</f>
        <v>0</v>
      </c>
      <c r="N65" s="233">
        <f>L65/NRSF</f>
        <v>0</v>
      </c>
    </row>
    <row r="66" spans="1:17" ht="15" customHeight="1" x14ac:dyDescent="0.3">
      <c r="A66" s="1205" t="str">
        <f>A238</f>
        <v/>
      </c>
      <c r="H66" s="292"/>
      <c r="I66" s="337" t="s">
        <v>843</v>
      </c>
      <c r="L66" s="702">
        <f>DevBdgt!EH47</f>
        <v>0</v>
      </c>
      <c r="M66" s="702">
        <f>L66/Units</f>
        <v>0</v>
      </c>
      <c r="N66" s="993">
        <f>L66/NRSF</f>
        <v>0</v>
      </c>
    </row>
    <row r="67" spans="1:17" ht="7.5" customHeight="1" x14ac:dyDescent="0.3"/>
    <row r="68" spans="1:17" ht="15.6" x14ac:dyDescent="0.3">
      <c r="A68" s="314" t="s">
        <v>1890</v>
      </c>
      <c r="B68" s="315"/>
      <c r="C68" s="315"/>
      <c r="D68" s="315"/>
      <c r="E68" s="315"/>
      <c r="F68" s="315"/>
      <c r="G68" s="315"/>
      <c r="H68" s="315"/>
      <c r="I68" s="315"/>
      <c r="J68" s="315"/>
      <c r="K68" s="315"/>
      <c r="L68" s="315"/>
      <c r="M68" s="315"/>
      <c r="N68" s="346" t="str">
        <f ca="1">'General Inputs'!$O$2</f>
        <v>In-Place ROC = 6.65%; Project IRR = 30.59%</v>
      </c>
      <c r="Q68" s="118"/>
    </row>
    <row r="69" spans="1:17" ht="3.75" customHeight="1" thickBot="1" x14ac:dyDescent="0.35">
      <c r="A69" s="316"/>
      <c r="B69" s="119"/>
      <c r="C69" s="119"/>
      <c r="D69" s="119"/>
      <c r="E69" s="119"/>
      <c r="F69" s="119"/>
      <c r="G69" s="119"/>
      <c r="H69" s="119"/>
      <c r="I69" s="119"/>
      <c r="J69" s="119"/>
      <c r="K69" s="119"/>
      <c r="L69" s="119"/>
      <c r="M69" s="119"/>
      <c r="N69" s="317"/>
    </row>
    <row r="70" spans="1:17" ht="7.5" customHeight="1" thickTop="1" thickBot="1" x14ac:dyDescent="0.35"/>
    <row r="71" spans="1:17" ht="15" customHeight="1" thickTop="1" x14ac:dyDescent="0.3">
      <c r="A71" s="318" t="s">
        <v>1891</v>
      </c>
      <c r="B71" s="319"/>
      <c r="C71" s="320"/>
      <c r="D71" s="321"/>
      <c r="E71" s="322"/>
      <c r="F71" s="322"/>
      <c r="G71" s="323"/>
      <c r="H71" s="318" t="s">
        <v>1892</v>
      </c>
      <c r="I71" s="319"/>
      <c r="J71" s="320"/>
      <c r="K71" s="321"/>
      <c r="L71" s="322"/>
      <c r="M71" s="322"/>
      <c r="N71" s="322"/>
    </row>
    <row r="72" spans="1:17" ht="15" customHeight="1" x14ac:dyDescent="0.3">
      <c r="A72" s="1142" t="s">
        <v>123</v>
      </c>
      <c r="D72" s="7">
        <v>0</v>
      </c>
      <c r="E72" s="347"/>
      <c r="H72" s="341" t="s">
        <v>1814</v>
      </c>
      <c r="I72" s="326" t="s">
        <v>1815</v>
      </c>
      <c r="J72" s="326" t="s">
        <v>1816</v>
      </c>
    </row>
    <row r="73" spans="1:17" ht="15" customHeight="1" x14ac:dyDescent="0.3">
      <c r="A73" t="s">
        <v>1893</v>
      </c>
      <c r="D73" s="7">
        <v>0</v>
      </c>
      <c r="E73" s="2757" t="s">
        <v>1894</v>
      </c>
      <c r="F73" s="2758"/>
      <c r="G73" s="2759"/>
      <c r="H73" s="53">
        <v>1</v>
      </c>
      <c r="I73" s="45">
        <f>'General Inputs'!D30</f>
        <v>1</v>
      </c>
      <c r="J73" s="45">
        <f>I73</f>
        <v>1</v>
      </c>
      <c r="K73" s="118" t="str">
        <f>IF(AND(J73=I73,H73&lt;&gt;1),"Initial CF must = 100% when budget is completed in one month!","")</f>
        <v/>
      </c>
    </row>
    <row r="74" spans="1:17" ht="15" customHeight="1" x14ac:dyDescent="0.3">
      <c r="A74" t="s">
        <v>1895</v>
      </c>
      <c r="D74" s="7" t="s">
        <v>752</v>
      </c>
      <c r="E74" s="2757"/>
      <c r="F74" s="2758"/>
      <c r="G74" s="2759"/>
      <c r="H74" s="342" t="s">
        <v>1766</v>
      </c>
      <c r="I74" s="332" t="s">
        <v>834</v>
      </c>
      <c r="J74" s="332"/>
      <c r="K74" s="332"/>
      <c r="L74" s="338" t="s">
        <v>173</v>
      </c>
      <c r="M74" s="334" t="s">
        <v>1259</v>
      </c>
      <c r="N74" s="334" t="s">
        <v>1767</v>
      </c>
    </row>
    <row r="75" spans="1:17" ht="15" customHeight="1" x14ac:dyDescent="0.3">
      <c r="A75" t="s">
        <v>1896</v>
      </c>
      <c r="D75" s="7">
        <v>0</v>
      </c>
      <c r="E75" s="2760"/>
      <c r="F75" s="2761"/>
      <c r="G75" s="2762"/>
      <c r="H75" s="48"/>
      <c r="I75" s="2751" t="str">
        <f>'P&amp;F Details'!A138</f>
        <v>Permit Fees</v>
      </c>
      <c r="J75" s="2752"/>
      <c r="K75" s="2753"/>
      <c r="L75" s="58">
        <f>'P&amp;F Details'!B150</f>
        <v>275666</v>
      </c>
      <c r="M75" s="227">
        <f t="shared" ref="M75:M83" si="14">L75/Units</f>
        <v>1076.8203125</v>
      </c>
      <c r="N75" s="228">
        <f t="shared" ref="N75:N83" si="15">L75/NRSF</f>
        <v>1.1467925784175057</v>
      </c>
    </row>
    <row r="76" spans="1:17" ht="15" customHeight="1" x14ac:dyDescent="0.3">
      <c r="A76" s="333" t="s">
        <v>1766</v>
      </c>
      <c r="B76" s="332" t="s">
        <v>834</v>
      </c>
      <c r="C76" s="332"/>
      <c r="D76" s="326" t="s">
        <v>1</v>
      </c>
      <c r="E76" s="338" t="s">
        <v>173</v>
      </c>
      <c r="F76" s="334" t="s">
        <v>1259</v>
      </c>
      <c r="G76" s="339" t="s">
        <v>1767</v>
      </c>
      <c r="H76" s="48"/>
      <c r="I76" s="2751" t="str">
        <f>'P&amp;F Details'!A152</f>
        <v>Land Use &amp; Plan Review Fees</v>
      </c>
      <c r="J76" s="2752"/>
      <c r="K76" s="2753"/>
      <c r="L76" s="41">
        <f>'P&amp;F Details'!B177</f>
        <v>374882.7</v>
      </c>
      <c r="M76" s="229">
        <f t="shared" si="14"/>
        <v>1464.385546875</v>
      </c>
      <c r="N76" s="233">
        <f t="shared" si="15"/>
        <v>1.5595419752059241</v>
      </c>
    </row>
    <row r="77" spans="1:17" ht="15" customHeight="1" x14ac:dyDescent="0.3">
      <c r="A77" s="46"/>
      <c r="B77" t="s">
        <v>1897</v>
      </c>
      <c r="E77" s="27">
        <v>0</v>
      </c>
      <c r="F77" s="227">
        <f>E77/Units</f>
        <v>0</v>
      </c>
      <c r="G77" s="228">
        <f>E77/NRSF</f>
        <v>0</v>
      </c>
      <c r="H77" s="48"/>
      <c r="I77" s="2751" t="str">
        <f>'P&amp;F Details'!A179</f>
        <v>Impact Fees</v>
      </c>
      <c r="J77" s="2752"/>
      <c r="K77" s="2753"/>
      <c r="L77" s="41">
        <f>'P&amp;F Details'!B190</f>
        <v>1482976.2889518414</v>
      </c>
      <c r="M77" s="229">
        <f t="shared" si="14"/>
        <v>5792.8761287181305</v>
      </c>
      <c r="N77" s="233">
        <f t="shared" si="15"/>
        <v>6.1692998125960621</v>
      </c>
    </row>
    <row r="78" spans="1:17" ht="15" customHeight="1" x14ac:dyDescent="0.3">
      <c r="A78" s="46"/>
      <c r="B78" t="s">
        <v>1898</v>
      </c>
      <c r="E78" s="16">
        <v>15000</v>
      </c>
      <c r="F78" s="229">
        <f t="shared" ref="F78:F91" si="16">E78/Units</f>
        <v>58.59375</v>
      </c>
      <c r="G78" s="233">
        <f>E78/NRSF</f>
        <v>6.2401198103003576E-2</v>
      </c>
      <c r="H78" s="48"/>
      <c r="I78" s="2751" t="str">
        <f>'P&amp;F Details'!A192</f>
        <v>Connection Charges</v>
      </c>
      <c r="J78" s="2752"/>
      <c r="K78" s="2753"/>
      <c r="L78" s="41">
        <f>SUM('P&amp;F Details'!B199,'P&amp;F Details'!B206,'P&amp;F Details'!B212)</f>
        <v>1900634</v>
      </c>
      <c r="M78" s="229">
        <f t="shared" si="14"/>
        <v>7424.3515625</v>
      </c>
      <c r="N78" s="233">
        <f t="shared" si="15"/>
        <v>7.906789250353607</v>
      </c>
    </row>
    <row r="79" spans="1:17" ht="15" customHeight="1" x14ac:dyDescent="0.3">
      <c r="A79" s="46"/>
      <c r="B79" t="s">
        <v>1893</v>
      </c>
      <c r="E79" s="229">
        <f>($D$73*LandPrice)</f>
        <v>0</v>
      </c>
      <c r="F79" s="229">
        <f t="shared" si="16"/>
        <v>0</v>
      </c>
      <c r="G79" s="233">
        <f t="shared" ref="G79:G85" si="17">E79/NRSF</f>
        <v>0</v>
      </c>
      <c r="H79" s="48"/>
      <c r="I79" s="2751" t="str">
        <f>'P&amp;F Details'!A214</f>
        <v>Power Company Fees</v>
      </c>
      <c r="J79" s="2752"/>
      <c r="K79" s="2753"/>
      <c r="L79" s="41">
        <f>'P&amp;F Details'!B220</f>
        <v>325000</v>
      </c>
      <c r="M79" s="229">
        <f t="shared" si="14"/>
        <v>1269.53125</v>
      </c>
      <c r="N79" s="233">
        <f t="shared" si="15"/>
        <v>1.3520259588984109</v>
      </c>
    </row>
    <row r="80" spans="1:17" ht="15" customHeight="1" x14ac:dyDescent="0.3">
      <c r="A80" s="46"/>
      <c r="B80" s="337" t="s">
        <v>1899</v>
      </c>
      <c r="C80" s="337"/>
      <c r="D80" s="1585">
        <f>EDATE(AnalysisStartDate,2)</f>
        <v>46235</v>
      </c>
      <c r="E80" s="44">
        <v>400000</v>
      </c>
      <c r="F80" s="348"/>
      <c r="G80" s="349"/>
      <c r="H80" s="48"/>
      <c r="I80" s="2751" t="str">
        <f>'P&amp;F Details'!A222</f>
        <v>Other + Escalation</v>
      </c>
      <c r="J80" s="2752"/>
      <c r="K80" s="2753"/>
      <c r="L80" s="41">
        <f>'P&amp;F Details'!B228</f>
        <v>100000</v>
      </c>
      <c r="M80" s="229">
        <f t="shared" si="14"/>
        <v>390.625</v>
      </c>
      <c r="N80" s="233">
        <f t="shared" si="15"/>
        <v>0.4160079873533572</v>
      </c>
    </row>
    <row r="81" spans="1:14" ht="15" customHeight="1" x14ac:dyDescent="0.3">
      <c r="A81" s="46"/>
      <c r="B81" s="337" t="s">
        <v>1900</v>
      </c>
      <c r="C81" s="337"/>
      <c r="D81" s="1585">
        <f>EDATE(LandAcqDate,-3)</f>
        <v>46569</v>
      </c>
      <c r="E81" s="44">
        <v>100000</v>
      </c>
      <c r="F81" s="348"/>
      <c r="G81" s="349"/>
      <c r="H81" s="48"/>
      <c r="I81" s="2751"/>
      <c r="J81" s="2752"/>
      <c r="K81" s="2753"/>
      <c r="L81" s="41"/>
      <c r="M81" s="229">
        <f t="shared" si="14"/>
        <v>0</v>
      </c>
      <c r="N81" s="233">
        <f t="shared" si="15"/>
        <v>0</v>
      </c>
    </row>
    <row r="82" spans="1:14" ht="15" customHeight="1" x14ac:dyDescent="0.3">
      <c r="A82" s="46"/>
      <c r="B82" s="337" t="s">
        <v>1901</v>
      </c>
      <c r="C82" s="337"/>
      <c r="D82" s="1585">
        <f>EDATE(D81,1)</f>
        <v>46600</v>
      </c>
      <c r="E82" s="44">
        <v>100000</v>
      </c>
      <c r="F82" s="348"/>
      <c r="G82" s="349"/>
      <c r="H82" s="48"/>
      <c r="I82" s="2751"/>
      <c r="J82" s="2752"/>
      <c r="K82" s="2753"/>
      <c r="L82" s="41"/>
      <c r="M82" s="229">
        <f t="shared" si="14"/>
        <v>0</v>
      </c>
      <c r="N82" s="233">
        <f t="shared" si="15"/>
        <v>0</v>
      </c>
    </row>
    <row r="83" spans="1:14" ht="15" customHeight="1" x14ac:dyDescent="0.3">
      <c r="A83" s="46"/>
      <c r="B83" s="337" t="s">
        <v>1902</v>
      </c>
      <c r="C83" s="337"/>
      <c r="D83" s="43">
        <f>EDATE(D82,1)</f>
        <v>46631</v>
      </c>
      <c r="E83" s="44">
        <v>100000</v>
      </c>
      <c r="F83" s="348"/>
      <c r="G83" s="349"/>
      <c r="H83" s="48"/>
      <c r="I83" s="2751"/>
      <c r="J83" s="2752"/>
      <c r="K83" s="2753"/>
      <c r="L83" s="41"/>
      <c r="M83" s="229">
        <f t="shared" si="14"/>
        <v>0</v>
      </c>
      <c r="N83" s="233">
        <f t="shared" si="15"/>
        <v>0</v>
      </c>
    </row>
    <row r="84" spans="1:14" ht="15" customHeight="1" x14ac:dyDescent="0.3">
      <c r="A84" s="46"/>
      <c r="B84" t="s">
        <v>1903</v>
      </c>
      <c r="E84" s="229">
        <f>SUM('Front Money Budget'!H164:BT164,'Front Money Budget'!H169:BT169,'Front Money Budget'!H174:BT174)</f>
        <v>0</v>
      </c>
      <c r="F84" s="229">
        <f t="shared" si="16"/>
        <v>0</v>
      </c>
      <c r="G84" s="233">
        <f t="shared" si="17"/>
        <v>0</v>
      </c>
      <c r="H84" s="48"/>
      <c r="I84" s="2751"/>
      <c r="J84" s="2752"/>
      <c r="K84" s="2753"/>
      <c r="L84" s="41"/>
      <c r="M84" s="229">
        <f>L84/Units</f>
        <v>0</v>
      </c>
      <c r="N84" s="233">
        <f>L84/NRSF</f>
        <v>0</v>
      </c>
    </row>
    <row r="85" spans="1:14" ht="15" customHeight="1" x14ac:dyDescent="0.3">
      <c r="A85" s="46"/>
      <c r="B85" t="s">
        <v>1904</v>
      </c>
      <c r="E85" s="229">
        <f>(((1+$D$75)^YEARFRAC($D$80,IF($D$74="JV Close",JVClosingDate,ConstrStartDate))-1)*$E$80)+(((1+$D$75)^YEARFRAC($D$81,IF($D$74="JV Close",JVClosingDate,ConstrStartDate))-1)*$E$81)+(((1+$D$75)^YEARFRAC($D$82,IF($D$74="JV Close",JVClosingDate,ConstrStartDate))-1)*$E$82)+(((1+$D$75)^YEARFRAC($D$83,IF($D$74="JV Close",JVClosingDate,ConstrStartDate))-1)*$E$83)</f>
        <v>0</v>
      </c>
      <c r="F85" s="229">
        <f t="shared" si="16"/>
        <v>0</v>
      </c>
      <c r="G85" s="233">
        <f t="shared" si="17"/>
        <v>0</v>
      </c>
      <c r="H85" s="48"/>
      <c r="I85" s="2751"/>
      <c r="J85" s="2752"/>
      <c r="K85" s="2753"/>
      <c r="L85" s="41"/>
      <c r="M85" s="229">
        <f>L85/Units</f>
        <v>0</v>
      </c>
      <c r="N85" s="233">
        <f>L85/NRSF</f>
        <v>0</v>
      </c>
    </row>
    <row r="86" spans="1:14" ht="15" customHeight="1" x14ac:dyDescent="0.3">
      <c r="A86" s="46"/>
      <c r="B86" t="s">
        <v>125</v>
      </c>
      <c r="E86" s="16">
        <v>50000</v>
      </c>
      <c r="F86" s="229">
        <f t="shared" si="16"/>
        <v>195.3125</v>
      </c>
      <c r="G86" s="233">
        <f t="shared" ref="G86:G91" si="18">E86/NRSF</f>
        <v>0.2080039936766786</v>
      </c>
      <c r="H86" s="48"/>
      <c r="I86" s="2751"/>
      <c r="J86" s="2752"/>
      <c r="K86" s="2753"/>
      <c r="L86" s="41"/>
      <c r="M86" s="229">
        <f>L86/Units</f>
        <v>0</v>
      </c>
      <c r="N86" s="233">
        <f>L86/NRSF</f>
        <v>0</v>
      </c>
    </row>
    <row r="87" spans="1:14" ht="15" customHeight="1" x14ac:dyDescent="0.3">
      <c r="A87" s="46"/>
      <c r="B87" t="s">
        <v>1905</v>
      </c>
      <c r="E87" s="16">
        <v>0</v>
      </c>
      <c r="F87" s="229">
        <f t="shared" si="16"/>
        <v>0</v>
      </c>
      <c r="G87" s="233">
        <f t="shared" si="18"/>
        <v>0</v>
      </c>
      <c r="H87" s="48"/>
      <c r="I87" s="2751"/>
      <c r="J87" s="2752"/>
      <c r="K87" s="2753"/>
      <c r="L87" s="41"/>
      <c r="M87" s="229">
        <f>L87/Units</f>
        <v>0</v>
      </c>
      <c r="N87" s="233">
        <f>L87/NRSF</f>
        <v>0</v>
      </c>
    </row>
    <row r="88" spans="1:14" ht="15" customHeight="1" x14ac:dyDescent="0.3">
      <c r="A88" s="46"/>
      <c r="B88" t="s">
        <v>1906</v>
      </c>
      <c r="E88" s="16">
        <f>8750000+50000+50000</f>
        <v>8850000</v>
      </c>
      <c r="F88" s="229">
        <f t="shared" si="16"/>
        <v>34570.3125</v>
      </c>
      <c r="G88" s="233">
        <f t="shared" si="18"/>
        <v>36.816706880772109</v>
      </c>
      <c r="H88" s="48"/>
      <c r="I88" s="2751"/>
      <c r="J88" s="2752"/>
      <c r="K88" s="2753"/>
      <c r="L88" s="41"/>
      <c r="M88" s="229">
        <f>L88/Units</f>
        <v>0</v>
      </c>
      <c r="N88" s="233">
        <f>L88/NRSF</f>
        <v>0</v>
      </c>
    </row>
    <row r="89" spans="1:14" ht="15" customHeight="1" x14ac:dyDescent="0.3">
      <c r="A89" s="46"/>
      <c r="B89" t="s">
        <v>1907</v>
      </c>
      <c r="E89" s="16">
        <v>100000</v>
      </c>
      <c r="F89" s="229">
        <f t="shared" si="16"/>
        <v>390.625</v>
      </c>
      <c r="G89" s="233">
        <f t="shared" si="18"/>
        <v>0.4160079873533572</v>
      </c>
      <c r="H89" s="48"/>
      <c r="I89" s="2751"/>
      <c r="J89" s="2752"/>
      <c r="K89" s="2753"/>
      <c r="L89" s="41"/>
      <c r="M89" s="229">
        <f t="shared" ref="M89:M94" si="19">L89/Units</f>
        <v>0</v>
      </c>
      <c r="N89" s="233">
        <f t="shared" ref="N89:N94" si="20">L89/NRSF</f>
        <v>0</v>
      </c>
    </row>
    <row r="90" spans="1:14" ht="15" customHeight="1" x14ac:dyDescent="0.3">
      <c r="A90" s="46"/>
      <c r="B90" t="s">
        <v>124</v>
      </c>
      <c r="E90" s="41">
        <f ca="1">Summary!D25*0.001</f>
        <v>77959.624342178475</v>
      </c>
      <c r="F90" s="229">
        <f t="shared" ca="1" si="16"/>
        <v>304.52978258663467</v>
      </c>
      <c r="G90" s="233">
        <f t="shared" ca="1" si="18"/>
        <v>0.32431826417413462</v>
      </c>
      <c r="H90" s="48"/>
      <c r="I90" s="2751"/>
      <c r="J90" s="2752"/>
      <c r="K90" s="2753"/>
      <c r="L90" s="41"/>
      <c r="M90" s="229">
        <f t="shared" si="19"/>
        <v>0</v>
      </c>
      <c r="N90" s="233">
        <f t="shared" si="20"/>
        <v>0</v>
      </c>
    </row>
    <row r="91" spans="1:14" ht="15" customHeight="1" x14ac:dyDescent="0.3">
      <c r="A91" s="46"/>
      <c r="B91" t="s">
        <v>123</v>
      </c>
      <c r="E91" s="229">
        <f>LandPrice*$D$72</f>
        <v>0</v>
      </c>
      <c r="F91" s="229">
        <f t="shared" si="16"/>
        <v>0</v>
      </c>
      <c r="G91" s="233">
        <f t="shared" si="18"/>
        <v>0</v>
      </c>
      <c r="H91" s="48"/>
      <c r="I91" s="2751"/>
      <c r="J91" s="2752"/>
      <c r="K91" s="2753"/>
      <c r="L91" s="41"/>
      <c r="M91" s="229">
        <f t="shared" si="19"/>
        <v>0</v>
      </c>
      <c r="N91" s="233">
        <f t="shared" si="20"/>
        <v>0</v>
      </c>
    </row>
    <row r="92" spans="1:14" ht="15" customHeight="1" x14ac:dyDescent="0.3">
      <c r="A92" s="46"/>
      <c r="B92" s="2763" t="s">
        <v>1908</v>
      </c>
      <c r="C92" s="2764"/>
      <c r="D92" s="2765"/>
      <c r="E92" s="41">
        <v>0</v>
      </c>
      <c r="F92" s="229">
        <f>E92/Units</f>
        <v>0</v>
      </c>
      <c r="G92" s="233">
        <f>E92/NRSF</f>
        <v>0</v>
      </c>
      <c r="H92" s="48"/>
      <c r="I92" s="2751"/>
      <c r="J92" s="2752"/>
      <c r="K92" s="2753"/>
      <c r="L92" s="41"/>
      <c r="M92" s="229">
        <f t="shared" si="19"/>
        <v>0</v>
      </c>
      <c r="N92" s="233">
        <f t="shared" si="20"/>
        <v>0</v>
      </c>
    </row>
    <row r="93" spans="1:14" ht="15" customHeight="1" x14ac:dyDescent="0.3">
      <c r="A93" s="46"/>
      <c r="B93" s="2763" t="s">
        <v>1908</v>
      </c>
      <c r="C93" s="2764"/>
      <c r="D93" s="2765"/>
      <c r="E93" s="41">
        <v>0</v>
      </c>
      <c r="F93" s="229">
        <f>E93/Units</f>
        <v>0</v>
      </c>
      <c r="G93" s="233">
        <f>E93/NRSF</f>
        <v>0</v>
      </c>
      <c r="H93" s="49"/>
      <c r="I93" t="s">
        <v>1825</v>
      </c>
      <c r="L93" s="42"/>
      <c r="M93" s="229">
        <f t="shared" si="19"/>
        <v>0</v>
      </c>
      <c r="N93" s="233">
        <f t="shared" si="20"/>
        <v>0</v>
      </c>
    </row>
    <row r="94" spans="1:14" ht="15" customHeight="1" x14ac:dyDescent="0.3">
      <c r="A94" s="47"/>
      <c r="B94" t="s">
        <v>1825</v>
      </c>
      <c r="E94" s="42">
        <v>0</v>
      </c>
      <c r="F94" s="229">
        <f>E94/Units</f>
        <v>0</v>
      </c>
      <c r="G94" s="233">
        <f>E94/NRSF</f>
        <v>0</v>
      </c>
      <c r="H94" s="292"/>
      <c r="I94" s="1661" t="s">
        <v>843</v>
      </c>
      <c r="J94" s="1661"/>
      <c r="K94" s="1661"/>
      <c r="L94" s="702">
        <f>IF(L93&gt;0,L93,SUBTOTAL(9,L75:L92))</f>
        <v>4459158.9889518414</v>
      </c>
      <c r="M94" s="702">
        <f t="shared" si="19"/>
        <v>17418.58980059313</v>
      </c>
      <c r="N94" s="993">
        <f t="shared" si="20"/>
        <v>18.550457562824867</v>
      </c>
    </row>
    <row r="95" spans="1:14" ht="15" customHeight="1" thickBot="1" x14ac:dyDescent="0.35">
      <c r="A95" s="701"/>
      <c r="B95" s="1661" t="s">
        <v>843</v>
      </c>
      <c r="C95" s="1661"/>
      <c r="D95" s="1661"/>
      <c r="E95" s="702">
        <f ca="1">IF(E94&gt;0,E94,SUM(E77:E79,E84:E93))</f>
        <v>9092959.6243421789</v>
      </c>
      <c r="F95" s="702">
        <f ca="1">E95/Units</f>
        <v>35519.373532586636</v>
      </c>
      <c r="G95" s="993">
        <f ca="1">E95/NRSF</f>
        <v>37.827438324079289</v>
      </c>
      <c r="H95" s="287"/>
      <c r="L95" s="350"/>
    </row>
    <row r="96" spans="1:14" ht="15" customHeight="1" thickTop="1" thickBot="1" x14ac:dyDescent="0.35">
      <c r="H96" s="318" t="s">
        <v>1909</v>
      </c>
      <c r="I96" s="319"/>
      <c r="J96" s="320"/>
      <c r="K96" s="321"/>
      <c r="L96" s="322"/>
      <c r="M96" s="322"/>
      <c r="N96" s="322"/>
    </row>
    <row r="97" spans="1:22" ht="15" customHeight="1" thickTop="1" x14ac:dyDescent="0.3">
      <c r="A97" s="318" t="s">
        <v>1910</v>
      </c>
      <c r="B97" s="319"/>
      <c r="C97" s="320"/>
      <c r="D97" s="321"/>
      <c r="E97" s="322"/>
      <c r="F97" s="322"/>
      <c r="G97" s="322"/>
      <c r="H97" s="936"/>
      <c r="I97" s="326" t="s">
        <v>1815</v>
      </c>
      <c r="J97" s="326" t="s">
        <v>1816</v>
      </c>
      <c r="M97" s="210" t="s">
        <v>1911</v>
      </c>
      <c r="N97" s="934" t="s">
        <v>553</v>
      </c>
    </row>
    <row r="98" spans="1:22" ht="15" customHeight="1" x14ac:dyDescent="0.3">
      <c r="A98" s="263" t="s">
        <v>1766</v>
      </c>
      <c r="B98" s="263" t="s">
        <v>834</v>
      </c>
      <c r="C98" s="263"/>
      <c r="D98" s="326" t="s">
        <v>1912</v>
      </c>
      <c r="E98" s="345" t="s">
        <v>173</v>
      </c>
      <c r="F98" s="324" t="s">
        <v>1259</v>
      </c>
      <c r="G98" s="324" t="s">
        <v>1767</v>
      </c>
      <c r="H98" s="937"/>
      <c r="I98" s="935">
        <f>IF(N97="Merchant",'General Inputs'!D30,1)</f>
        <v>1</v>
      </c>
      <c r="J98" s="935">
        <f>MonthFinalUnits</f>
        <v>25</v>
      </c>
      <c r="K98" s="118" t="str">
        <f>IF(AND(J98=I98,H98&lt;&gt;1),"Initial CF must = 100% when budget is completed in one month!","")</f>
        <v/>
      </c>
    </row>
    <row r="99" spans="1:22" ht="15" customHeight="1" x14ac:dyDescent="0.3">
      <c r="A99" s="50"/>
      <c r="B99" t="s">
        <v>1913</v>
      </c>
      <c r="D99" s="353"/>
      <c r="E99" s="227">
        <f ca="1">(('General Inputs'!$J$8*'General Inputs'!J18)+('General Inputs'!$K$8*'General Inputs'!K18)+('General Inputs'!$L$8*'General Inputs'!L18))</f>
        <v>0</v>
      </c>
      <c r="F99" s="227">
        <f ca="1">E99/Units</f>
        <v>0</v>
      </c>
      <c r="G99" s="228">
        <f ca="1">E99/TotalNRSF</f>
        <v>0</v>
      </c>
      <c r="H99" s="931" t="s">
        <v>1914</v>
      </c>
      <c r="I99" s="289"/>
      <c r="J99" s="289"/>
      <c r="K99" s="953">
        <f>IF($N$97="PropCo",'SBS Summary'!$E$10,'SBS Summary'!$D$10)</f>
        <v>0.04</v>
      </c>
      <c r="L99" s="289"/>
      <c r="M99" s="932" t="s">
        <v>1915</v>
      </c>
      <c r="N99" s="1044" t="str">
        <f>IF($N$97="PropCo",'SBS Summary'!$E$9,'SBS Summary'!$D$9)</f>
        <v>Less Land &amp; Fees</v>
      </c>
    </row>
    <row r="100" spans="1:22" ht="15" customHeight="1" x14ac:dyDescent="0.3">
      <c r="A100" s="51"/>
      <c r="B100" s="241" t="s">
        <v>1916</v>
      </c>
      <c r="C100" s="241"/>
      <c r="D100" s="354"/>
      <c r="E100" s="242">
        <f ca="1">('General Inputs'!$J$8*'General Inputs'!J19)</f>
        <v>0</v>
      </c>
      <c r="F100" s="242">
        <f ca="1">E100/Units</f>
        <v>0</v>
      </c>
      <c r="G100" s="355">
        <f ca="1">E100/TotalNRSF</f>
        <v>0</v>
      </c>
      <c r="H100" s="352"/>
      <c r="I100" s="118"/>
      <c r="J100" s="118"/>
      <c r="K100" s="118"/>
    </row>
    <row r="101" spans="1:22" ht="15" customHeight="1" x14ac:dyDescent="0.3">
      <c r="A101" s="701"/>
      <c r="B101" s="245" t="s">
        <v>843</v>
      </c>
      <c r="E101" s="702">
        <f ca="1">SUBTOTAL(9,E99:E100)</f>
        <v>0</v>
      </c>
      <c r="F101" s="702">
        <f ca="1">E101/Units</f>
        <v>0</v>
      </c>
      <c r="G101" s="993">
        <f ca="1">F101/Units</f>
        <v>0</v>
      </c>
      <c r="H101" s="342"/>
      <c r="I101" s="332"/>
      <c r="J101" s="332"/>
      <c r="K101" s="332"/>
      <c r="L101" s="338"/>
      <c r="M101" s="334"/>
      <c r="N101" s="334"/>
    </row>
    <row r="102" spans="1:22" ht="15" customHeight="1" x14ac:dyDescent="0.3">
      <c r="H102" s="356" t="s">
        <v>1766</v>
      </c>
      <c r="I102" s="263" t="s">
        <v>834</v>
      </c>
      <c r="J102" s="263"/>
      <c r="K102" s="263"/>
      <c r="L102" s="345" t="s">
        <v>173</v>
      </c>
      <c r="M102" s="324" t="s">
        <v>1259</v>
      </c>
      <c r="N102" s="324" t="s">
        <v>1767</v>
      </c>
    </row>
    <row r="103" spans="1:22" ht="15" customHeight="1" x14ac:dyDescent="0.3">
      <c r="A103" s="50"/>
      <c r="B103" t="s">
        <v>1917</v>
      </c>
      <c r="E103" s="16">
        <v>250000</v>
      </c>
      <c r="F103" s="227">
        <f t="shared" ref="F103:F108" si="21">E103/Units</f>
        <v>976.5625</v>
      </c>
      <c r="G103" s="228">
        <f t="shared" ref="G103:G108" si="22">E103/TotalNRSF</f>
        <v>1.0400199683833931</v>
      </c>
      <c r="H103" s="48"/>
      <c r="I103" t="s">
        <v>651</v>
      </c>
      <c r="K103" s="357"/>
      <c r="L103" s="227">
        <f ca="1">IF(Macros!B3=2,1,
IF($N$99="Total Cost",K99*K126,
IF($N$99="Less Land",K99*(K126-K108),
IF($N$99="Less Land &amp; Fees",(SUM($K$109:$K$118,$K$120:$K$125)-$E$99-DevBdgt!$C$53)*$K$99,
(SUM($K$108:$K$118,$K$120:$K$125)-$E$99)*$K$99))))</f>
        <v>2578503.9316375433</v>
      </c>
      <c r="M103" s="227">
        <f ca="1">L103/Units</f>
        <v>10072.280982959153</v>
      </c>
      <c r="N103" s="228">
        <f ca="1">L103/NRSF</f>
        <v>10.726782309832529</v>
      </c>
    </row>
    <row r="104" spans="1:22" ht="15" customHeight="1" x14ac:dyDescent="0.3">
      <c r="A104" s="50"/>
      <c r="B104" t="s">
        <v>1918</v>
      </c>
      <c r="D104" s="353"/>
      <c r="E104" s="229">
        <f ca="1">'General Inputs'!$H$8*'General Inputs'!$H$18</f>
        <v>321583.45041148626</v>
      </c>
      <c r="F104" s="229">
        <f ca="1">E104/Units</f>
        <v>1256.1853531698682</v>
      </c>
      <c r="G104" s="233">
        <f t="shared" ca="1" si="22"/>
        <v>1.3378128397183056</v>
      </c>
      <c r="H104" s="292"/>
      <c r="I104" s="1661" t="s">
        <v>843</v>
      </c>
      <c r="J104" s="1661"/>
      <c r="K104" s="1661"/>
      <c r="L104" s="702">
        <f ca="1">SUM(L103)</f>
        <v>2578503.9316375433</v>
      </c>
      <c r="M104" s="702">
        <f ca="1">L104/Units</f>
        <v>10072.280982959153</v>
      </c>
      <c r="N104" s="993">
        <f ca="1">L104/NRSF</f>
        <v>10.726782309832529</v>
      </c>
    </row>
    <row r="105" spans="1:22" ht="15" customHeight="1" thickBot="1" x14ac:dyDescent="0.35">
      <c r="A105" s="50"/>
      <c r="B105" s="2687" t="str">
        <f>TEXT('General Inputs'!$J$29,"")&amp;" Due Diligence"</f>
        <v>LP Due Diligence</v>
      </c>
      <c r="C105" s="2688"/>
      <c r="D105" s="2689"/>
      <c r="E105" s="16">
        <v>250000</v>
      </c>
      <c r="F105" s="229">
        <f t="shared" si="21"/>
        <v>976.5625</v>
      </c>
      <c r="G105" s="233">
        <f t="shared" si="22"/>
        <v>1.0400199683833931</v>
      </c>
      <c r="H105" s="287"/>
    </row>
    <row r="106" spans="1:22" ht="15" customHeight="1" thickTop="1" x14ac:dyDescent="0.3">
      <c r="A106" s="50"/>
      <c r="B106" t="s">
        <v>1919</v>
      </c>
      <c r="D106" s="353"/>
      <c r="E106" s="229">
        <f ca="1">('General Inputs'!H8*'General Inputs'!H19)+('General Inputs'!I8*'General Inputs'!I19)</f>
        <v>0</v>
      </c>
      <c r="F106" s="229">
        <f t="shared" ca="1" si="21"/>
        <v>0</v>
      </c>
      <c r="G106" s="233">
        <f t="shared" ca="1" si="22"/>
        <v>0</v>
      </c>
      <c r="H106" s="318" t="str">
        <f>"PROJECT COST SUMMARY (as of "&amp;TEXT('General Inputs'!C39,"MM-DD-YY")&amp;")"</f>
        <v>PROJECT COST SUMMARY (as of 06-01-26)</v>
      </c>
      <c r="I106" s="319"/>
      <c r="J106" s="320"/>
      <c r="K106" s="358" t="s">
        <v>173</v>
      </c>
      <c r="L106" s="359" t="s">
        <v>1259</v>
      </c>
      <c r="M106" s="359" t="s">
        <v>1767</v>
      </c>
      <c r="N106" s="359" t="s">
        <v>1154</v>
      </c>
    </row>
    <row r="107" spans="1:22" ht="15" customHeight="1" x14ac:dyDescent="0.3">
      <c r="A107" s="50"/>
      <c r="B107" t="s">
        <v>1920</v>
      </c>
      <c r="D107" s="353"/>
      <c r="E107" s="16">
        <v>0</v>
      </c>
      <c r="F107" s="229">
        <f t="shared" si="21"/>
        <v>0</v>
      </c>
      <c r="G107" s="233">
        <f t="shared" si="22"/>
        <v>0</v>
      </c>
      <c r="H107" s="360" t="s">
        <v>783</v>
      </c>
      <c r="T107" s="345" t="s">
        <v>1921</v>
      </c>
      <c r="V107" s="345" t="s">
        <v>504</v>
      </c>
    </row>
    <row r="108" spans="1:22" ht="15" customHeight="1" x14ac:dyDescent="0.3">
      <c r="A108" s="51"/>
      <c r="B108" s="241" t="s">
        <v>1922</v>
      </c>
      <c r="C108" s="241"/>
      <c r="D108" s="354"/>
      <c r="E108" s="242">
        <f ca="1">'General Inputs'!I8*'General Inputs'!I18</f>
        <v>0</v>
      </c>
      <c r="F108" s="242">
        <f t="shared" ca="1" si="21"/>
        <v>0</v>
      </c>
      <c r="G108" s="244">
        <f t="shared" ca="1" si="22"/>
        <v>0</v>
      </c>
      <c r="H108" s="361" t="s">
        <v>660</v>
      </c>
      <c r="K108" s="227">
        <f>LandPrice</f>
        <v>8850000</v>
      </c>
      <c r="L108" s="227">
        <f>K108/Units</f>
        <v>34570.3125</v>
      </c>
      <c r="M108" s="228">
        <f>K108/TotalNRSF</f>
        <v>36.816706880772109</v>
      </c>
      <c r="N108" s="199">
        <f ca="1">K108/$K$126</f>
        <v>0.11661446125850705</v>
      </c>
      <c r="O108" s="227"/>
      <c r="T108" s="227">
        <f>K108</f>
        <v>8850000</v>
      </c>
      <c r="V108" s="227">
        <f>K108</f>
        <v>8850000</v>
      </c>
    </row>
    <row r="109" spans="1:22" ht="15" customHeight="1" x14ac:dyDescent="0.3">
      <c r="A109" s="701"/>
      <c r="B109" s="245" t="s">
        <v>843</v>
      </c>
      <c r="E109" s="702">
        <f ca="1">SUBTOTAL(9,E103:E108)</f>
        <v>821583.45041148621</v>
      </c>
      <c r="F109" s="702">
        <f ca="1">E109/Units</f>
        <v>3209.310353169868</v>
      </c>
      <c r="G109" s="993">
        <f ca="1">F109/Units</f>
        <v>12.536368567069797</v>
      </c>
      <c r="H109" s="361" t="s">
        <v>661</v>
      </c>
      <c r="J109" s="203"/>
      <c r="K109" s="229">
        <f ca="1">TotalLand-K108</f>
        <v>242959.62434217893</v>
      </c>
      <c r="L109" s="229">
        <f ca="1">K109/Units</f>
        <v>949.06103258663643</v>
      </c>
      <c r="M109" s="233">
        <f ca="1">K109/TotalNRSF</f>
        <v>1.0107314433071759</v>
      </c>
      <c r="N109" s="199">
        <f ca="1">K109/$K$126</f>
        <v>3.2014243729076215E-3</v>
      </c>
      <c r="O109" s="227"/>
      <c r="T109" s="229">
        <f ca="1">K109</f>
        <v>242959.62434217893</v>
      </c>
      <c r="V109" s="229">
        <f t="shared" ref="V109:V125" ca="1" si="23">K109</f>
        <v>242959.62434217893</v>
      </c>
    </row>
    <row r="110" spans="1:22" ht="15" customHeight="1" x14ac:dyDescent="0.3">
      <c r="H110" s="362" t="s">
        <v>794</v>
      </c>
      <c r="K110" s="229"/>
      <c r="L110" s="229"/>
      <c r="M110" s="233"/>
      <c r="N110" s="199"/>
      <c r="O110" s="227"/>
      <c r="T110" s="229"/>
      <c r="V110" s="229">
        <f t="shared" si="23"/>
        <v>0</v>
      </c>
    </row>
    <row r="111" spans="1:22" ht="15" customHeight="1" x14ac:dyDescent="0.3">
      <c r="A111" s="50"/>
      <c r="B111" t="s">
        <v>1923</v>
      </c>
      <c r="D111" s="58">
        <v>3000</v>
      </c>
      <c r="E111" s="227">
        <f>(MonthFinalUnits-'General Inputs'!$D$30+1)*'Development Inputs'!D111</f>
        <v>75000</v>
      </c>
      <c r="F111" s="227">
        <f>E111/Units</f>
        <v>292.96875</v>
      </c>
      <c r="G111" s="228">
        <f>E111/TotalNRSF</f>
        <v>0.31200599051501787</v>
      </c>
      <c r="H111" s="361" t="s">
        <v>677</v>
      </c>
      <c r="J111" s="203"/>
      <c r="K111" s="229">
        <f ca="1">TotalADValorem</f>
        <v>83335.391794650437</v>
      </c>
      <c r="L111" s="229">
        <f t="shared" ref="L111:L119" ca="1" si="24">K111/Units</f>
        <v>325.52887419785327</v>
      </c>
      <c r="M111" s="233">
        <f t="shared" ref="M111:M119" ca="1" si="25">K111/TotalNRSF</f>
        <v>0.34668188615796003</v>
      </c>
      <c r="N111" s="199">
        <f t="shared" ref="N111:N121" ca="1" si="26">K111/$K$126</f>
        <v>1.0980917308361321E-3</v>
      </c>
      <c r="O111" s="227"/>
      <c r="T111" s="229">
        <f t="shared" ref="T111:T118" ca="1" si="27">K111</f>
        <v>83335.391794650437</v>
      </c>
      <c r="V111" s="229">
        <f t="shared" ca="1" si="23"/>
        <v>83335.391794650437</v>
      </c>
    </row>
    <row r="112" spans="1:22" ht="15" customHeight="1" x14ac:dyDescent="0.3">
      <c r="A112" s="51"/>
      <c r="B112" s="241" t="s">
        <v>1924</v>
      </c>
      <c r="C112" s="241"/>
      <c r="D112" s="354"/>
      <c r="E112" s="242">
        <f ca="1">SUM('General Inputs'!H20:H21)*'General Inputs'!H8</f>
        <v>0</v>
      </c>
      <c r="F112" s="242">
        <f ca="1">E112/Units</f>
        <v>0</v>
      </c>
      <c r="G112" s="355">
        <f ca="1">E112/TotalNRSF</f>
        <v>0</v>
      </c>
      <c r="H112" s="363" t="s">
        <v>670</v>
      </c>
      <c r="J112" s="203"/>
      <c r="K112" s="229">
        <f>TotalAandE</f>
        <v>1500605</v>
      </c>
      <c r="L112" s="229">
        <f t="shared" si="24"/>
        <v>5861.73828125</v>
      </c>
      <c r="M112" s="233">
        <f t="shared" si="25"/>
        <v>6.2426366586238453</v>
      </c>
      <c r="N112" s="199">
        <f t="shared" ca="1" si="26"/>
        <v>1.9773134874217172E-2</v>
      </c>
      <c r="O112" s="227"/>
      <c r="T112" s="229">
        <f t="shared" si="27"/>
        <v>1500605</v>
      </c>
      <c r="V112" s="229">
        <f t="shared" si="23"/>
        <v>1500605</v>
      </c>
    </row>
    <row r="113" spans="1:22" ht="15" customHeight="1" x14ac:dyDescent="0.3">
      <c r="A113" s="246"/>
      <c r="B113" s="245" t="s">
        <v>843</v>
      </c>
      <c r="E113" s="702">
        <f ca="1">SUBTOTAL(9,E111:E112)</f>
        <v>75000</v>
      </c>
      <c r="F113" s="702">
        <f ca="1">E113/Units</f>
        <v>292.96875</v>
      </c>
      <c r="G113" s="993">
        <f ca="1">F113/Units</f>
        <v>1.1444091796875</v>
      </c>
      <c r="H113" s="363" t="s">
        <v>672</v>
      </c>
      <c r="J113" s="203"/>
      <c r="K113" s="229">
        <f ca="1">L54</f>
        <v>1086262.1410115552</v>
      </c>
      <c r="L113" s="229">
        <f t="shared" ca="1" si="24"/>
        <v>4243.2114883263876</v>
      </c>
      <c r="M113" s="233">
        <f t="shared" ca="1" si="25"/>
        <v>4.5189372702036579</v>
      </c>
      <c r="N113" s="199">
        <f t="shared" ca="1" si="26"/>
        <v>1.4313432131025415E-2</v>
      </c>
      <c r="O113" s="227"/>
      <c r="T113" s="229">
        <f t="shared" ca="1" si="27"/>
        <v>1086262.1410115552</v>
      </c>
      <c r="V113" s="229">
        <f t="shared" ca="1" si="23"/>
        <v>1086262.1410115552</v>
      </c>
    </row>
    <row r="114" spans="1:22" ht="15" customHeight="1" x14ac:dyDescent="0.3">
      <c r="A114" s="701"/>
      <c r="B114" s="1661" t="s">
        <v>843</v>
      </c>
      <c r="C114" s="1661"/>
      <c r="D114" s="1661"/>
      <c r="E114" s="702">
        <f ca="1">SUBTOTAL(9,E99:E114)</f>
        <v>896583.45041148621</v>
      </c>
      <c r="F114" s="702">
        <f ca="1">E114/Units</f>
        <v>3502.279103169868</v>
      </c>
      <c r="G114" s="993">
        <f ca="1">F114/Units</f>
        <v>13.680777746757297</v>
      </c>
      <c r="H114" s="363" t="s">
        <v>674</v>
      </c>
      <c r="J114" s="203"/>
      <c r="K114" s="229">
        <f ca="1">TotalFinancing</f>
        <v>896583.45041148621</v>
      </c>
      <c r="L114" s="229">
        <f t="shared" ca="1" si="24"/>
        <v>3502.279103169868</v>
      </c>
      <c r="M114" s="233">
        <f t="shared" ca="1" si="25"/>
        <v>3.7298587670001089</v>
      </c>
      <c r="N114" s="199">
        <f t="shared" ca="1" si="26"/>
        <v>1.1814078648929811E-2</v>
      </c>
      <c r="O114" s="227"/>
      <c r="T114" s="229">
        <f t="shared" ca="1" si="27"/>
        <v>896583.45041148621</v>
      </c>
      <c r="V114" s="229">
        <f t="shared" ca="1" si="23"/>
        <v>896583.45041148621</v>
      </c>
    </row>
    <row r="115" spans="1:22" ht="15" customHeight="1" thickBot="1" x14ac:dyDescent="0.35">
      <c r="H115" s="363" t="s">
        <v>675</v>
      </c>
      <c r="J115" s="203"/>
      <c r="K115" s="229">
        <f>TotalFFandE</f>
        <v>625000</v>
      </c>
      <c r="L115" s="229">
        <f t="shared" si="24"/>
        <v>2441.40625</v>
      </c>
      <c r="M115" s="233">
        <f t="shared" si="25"/>
        <v>2.6000499209584822</v>
      </c>
      <c r="N115" s="199">
        <f t="shared" ca="1" si="26"/>
        <v>8.2354845521544519E-3</v>
      </c>
      <c r="O115" s="227"/>
      <c r="T115" s="229">
        <f t="shared" si="27"/>
        <v>625000</v>
      </c>
      <c r="V115" s="229">
        <f t="shared" si="23"/>
        <v>625000</v>
      </c>
    </row>
    <row r="116" spans="1:22" ht="15" customHeight="1" thickTop="1" x14ac:dyDescent="0.3">
      <c r="A116" s="318" t="s">
        <v>1925</v>
      </c>
      <c r="B116" s="319"/>
      <c r="C116" s="320"/>
      <c r="D116" s="321"/>
      <c r="E116" s="322"/>
      <c r="F116" s="322"/>
      <c r="G116" s="322"/>
      <c r="H116" s="363" t="s">
        <v>671</v>
      </c>
      <c r="J116" s="203"/>
      <c r="K116" s="229">
        <f ca="1">TotalInsurance</f>
        <v>1418022.6257534006</v>
      </c>
      <c r="L116" s="229">
        <f t="shared" ca="1" si="24"/>
        <v>5539.1508818492212</v>
      </c>
      <c r="M116" s="233">
        <f t="shared" ca="1" si="25"/>
        <v>5.8990873856119501</v>
      </c>
      <c r="N116" s="199">
        <f t="shared" ca="1" si="26"/>
        <v>1.8684965486396199E-2</v>
      </c>
      <c r="O116" s="227"/>
      <c r="T116" s="229">
        <f t="shared" ca="1" si="27"/>
        <v>1418022.6257534006</v>
      </c>
      <c r="V116" s="229">
        <f t="shared" ca="1" si="23"/>
        <v>1418022.6257534006</v>
      </c>
    </row>
    <row r="117" spans="1:22" ht="15" customHeight="1" x14ac:dyDescent="0.3">
      <c r="A117" s="326" t="s">
        <v>1814</v>
      </c>
      <c r="B117" s="326" t="s">
        <v>1815</v>
      </c>
      <c r="C117" s="326" t="s">
        <v>1816</v>
      </c>
      <c r="H117" s="363" t="s">
        <v>678</v>
      </c>
      <c r="J117" s="203"/>
      <c r="K117" s="229">
        <f>TotalStartup</f>
        <v>375000</v>
      </c>
      <c r="L117" s="229">
        <f t="shared" si="24"/>
        <v>1464.84375</v>
      </c>
      <c r="M117" s="233">
        <f t="shared" si="25"/>
        <v>1.5600299525750894</v>
      </c>
      <c r="N117" s="199">
        <f t="shared" ca="1" si="26"/>
        <v>4.9412907312926715E-3</v>
      </c>
      <c r="O117" s="227"/>
      <c r="T117" s="229">
        <f t="shared" si="27"/>
        <v>375000</v>
      </c>
      <c r="V117" s="229">
        <f t="shared" si="23"/>
        <v>375000</v>
      </c>
    </row>
    <row r="118" spans="1:22" ht="15" customHeight="1" x14ac:dyDescent="0.3">
      <c r="A118" s="57">
        <v>1</v>
      </c>
      <c r="B118" s="45">
        <f>'General Inputs'!D30</f>
        <v>1</v>
      </c>
      <c r="C118" s="52">
        <f>B118</f>
        <v>1</v>
      </c>
      <c r="D118" s="118" t="str">
        <f>IF(AND(C118=B118,A118&lt;&gt;1),"Initial CF must = 100% when budget is completed in one month!","")</f>
        <v/>
      </c>
      <c r="H118" s="363" t="s">
        <v>676</v>
      </c>
      <c r="J118" s="203"/>
      <c r="K118" s="229">
        <f ca="1">L55</f>
        <v>329080.53404430853</v>
      </c>
      <c r="L118" s="229">
        <f t="shared" ca="1" si="24"/>
        <v>1285.4708361105802</v>
      </c>
      <c r="M118" s="233">
        <f t="shared" ca="1" si="25"/>
        <v>1.3690013064494073</v>
      </c>
      <c r="N118" s="199">
        <f t="shared" ca="1" si="26"/>
        <v>4.3362202472586242E-3</v>
      </c>
      <c r="O118" s="227"/>
      <c r="T118" s="229">
        <f t="shared" ca="1" si="27"/>
        <v>329080.53404430853</v>
      </c>
      <c r="V118" s="229">
        <f t="shared" ca="1" si="23"/>
        <v>329080.53404430853</v>
      </c>
    </row>
    <row r="119" spans="1:22" ht="15" customHeight="1" x14ac:dyDescent="0.3">
      <c r="A119" s="263" t="s">
        <v>1766</v>
      </c>
      <c r="B119" s="332" t="s">
        <v>834</v>
      </c>
      <c r="C119" s="332"/>
      <c r="D119" s="338" t="s">
        <v>1926</v>
      </c>
      <c r="E119" s="338" t="s">
        <v>173</v>
      </c>
      <c r="F119" s="334" t="s">
        <v>1259</v>
      </c>
      <c r="G119" s="334" t="s">
        <v>1767</v>
      </c>
      <c r="H119" s="363" t="s">
        <v>1927</v>
      </c>
      <c r="J119" s="203"/>
      <c r="K119" s="229">
        <f ca="1">TotalOverhead</f>
        <v>2578503.9316375433</v>
      </c>
      <c r="L119" s="229">
        <f t="shared" ca="1" si="24"/>
        <v>10072.280982959153</v>
      </c>
      <c r="M119" s="233">
        <f t="shared" ca="1" si="25"/>
        <v>10.726782309832529</v>
      </c>
      <c r="N119" s="199">
        <f t="shared" ca="1" si="26"/>
        <v>3.3976366874672814E-2</v>
      </c>
      <c r="O119" s="227"/>
      <c r="T119" s="229">
        <f ca="1">IF(Macros!$B$3=2,1,
IF($N$99="Total Cost",K99*T126,
IF($N$99="Less Land",K99*(T126-T108),
IF(AND($N$99="Less Land &amp; Fees",$G$49="YES"),(SUM(T109:T118,T120:T125)-E99-$D$49-DevBdgt!$C$53)*$K$99,
IF($N$99="Less Land &amp; Fees",(SUM(T109:T118,T120:T125)-E99-DevBdgt!$C$53)*$K$99,
(SUM($T$108:$T$118,$T$120:$T$125)-$E$99)*$K$99)))))</f>
        <v>2562443.0078470018</v>
      </c>
      <c r="V119" s="229">
        <f ca="1">IF(Macros!$B$3=2,1,
IF($N$99="Total Cost",K99*V126,
IF($N$99="Less Land",K99*(V126-V108),
IF(AND($N$99="Less Land &amp; Fees",$G$49="YES"),(SUM(V109:V118,V120:V125)-E99-$D$49-DevBdgt!$C$53)*$K$99,
IF($N$99="Less Land &amp; Fees",(SUM(V109:V118,V120:V125)-E99-DevBdgt!$C$53)*$K$99,
(SUM($V$108:$V$118,$V$120:$V$125)-$E$99)*$K$99)))))</f>
        <v>2482884.4647853728</v>
      </c>
    </row>
    <row r="120" spans="1:22" ht="15" customHeight="1" x14ac:dyDescent="0.3">
      <c r="A120" s="46"/>
      <c r="B120" t="s">
        <v>1928</v>
      </c>
      <c r="D120" s="22">
        <v>1.4500000000000001E-2</v>
      </c>
      <c r="E120" s="227">
        <f>D120*Summary!$D$22</f>
        <v>753711.05696388404</v>
      </c>
      <c r="F120" s="227">
        <f t="shared" ref="F120:F126" si="28">E120/Units</f>
        <v>2944.183816265172</v>
      </c>
      <c r="G120" s="228">
        <f t="shared" ref="G120:G126" si="29">E120/NRSF</f>
        <v>3.1354981985351693</v>
      </c>
      <c r="H120" s="363" t="s">
        <v>669</v>
      </c>
      <c r="J120" s="203"/>
      <c r="K120" s="229">
        <f>$L$94</f>
        <v>4459158.9889518414</v>
      </c>
      <c r="L120" s="229">
        <f>K120/Units</f>
        <v>17418.58980059313</v>
      </c>
      <c r="M120" s="233">
        <f>K120/TotalNRSF</f>
        <v>18.550457562824867</v>
      </c>
      <c r="N120" s="199">
        <f t="shared" ca="1" si="26"/>
        <v>5.8757335950581691E-2</v>
      </c>
      <c r="O120" s="227"/>
      <c r="T120" s="229">
        <f>K120</f>
        <v>4459158.9889518414</v>
      </c>
      <c r="V120" s="229">
        <f t="shared" si="23"/>
        <v>4459158.9889518414</v>
      </c>
    </row>
    <row r="121" spans="1:22" ht="15" customHeight="1" x14ac:dyDescent="0.3">
      <c r="A121" s="46"/>
      <c r="B121" t="s">
        <v>1929</v>
      </c>
      <c r="E121" s="41">
        <v>0</v>
      </c>
      <c r="F121" s="229">
        <f t="shared" si="28"/>
        <v>0</v>
      </c>
      <c r="G121" s="233">
        <f t="shared" si="29"/>
        <v>0</v>
      </c>
      <c r="H121" s="361" t="s">
        <v>679</v>
      </c>
      <c r="J121" s="203"/>
      <c r="K121" s="229">
        <f ca="1">E16</f>
        <v>847328.33995378879</v>
      </c>
      <c r="L121" s="229">
        <f ca="1">K121/Units</f>
        <v>3309.8763279444875</v>
      </c>
      <c r="M121" s="233">
        <f ca="1">K121/TotalNRSF</f>
        <v>3.524953573316369</v>
      </c>
      <c r="N121" s="199">
        <f t="shared" ca="1" si="26"/>
        <v>1.1165055126867366E-2</v>
      </c>
      <c r="O121" s="227"/>
      <c r="T121" s="229">
        <f ca="1">IF(Macros!$B$3=2,1,SUM(T109:T121,T124:T125)*B13)</f>
        <v>851444.96888734074</v>
      </c>
      <c r="V121" s="229">
        <f ca="1">IF(Macros!$B$3=2,1,SUM(V109:V121,V124:V125)*B13)</f>
        <v>842295.73643525317</v>
      </c>
    </row>
    <row r="122" spans="1:22" ht="15" customHeight="1" x14ac:dyDescent="0.3">
      <c r="A122" s="46"/>
      <c r="B122" t="s">
        <v>1930</v>
      </c>
      <c r="D122" s="1106">
        <v>0.01</v>
      </c>
      <c r="E122" s="229">
        <f ca="1">D122*(Summary!D25-Summary!D7-Summary!D8-Summary!D13-Summary!D15-Summary!D18-Summary!D19+Summary!D45)</f>
        <v>664311.56878951658</v>
      </c>
      <c r="F122" s="229">
        <f t="shared" ca="1" si="28"/>
        <v>2594.9670655840491</v>
      </c>
      <c r="G122" s="233">
        <f t="shared" ca="1" si="29"/>
        <v>2.7635891870767808</v>
      </c>
      <c r="H122" s="364" t="s">
        <v>817</v>
      </c>
      <c r="K122" s="229"/>
      <c r="L122" s="229"/>
      <c r="M122" s="233"/>
      <c r="N122" s="199"/>
      <c r="O122" s="227"/>
      <c r="T122" s="229">
        <f>K122</f>
        <v>0</v>
      </c>
      <c r="V122" s="229">
        <f t="shared" si="23"/>
        <v>0</v>
      </c>
    </row>
    <row r="123" spans="1:22" ht="15" customHeight="1" x14ac:dyDescent="0.3">
      <c r="A123" s="46"/>
      <c r="B123" s="2751"/>
      <c r="C123" s="2752"/>
      <c r="D123" s="2753"/>
      <c r="E123" s="41"/>
      <c r="F123" s="229">
        <f t="shared" si="28"/>
        <v>0</v>
      </c>
      <c r="G123" s="233">
        <f t="shared" si="29"/>
        <v>0</v>
      </c>
      <c r="H123" s="363" t="s">
        <v>462</v>
      </c>
      <c r="J123" s="203"/>
      <c r="K123" s="229">
        <f>$E$65</f>
        <v>50094535.423500352</v>
      </c>
      <c r="L123" s="229">
        <f>K123/Units</f>
        <v>195681.77899804825</v>
      </c>
      <c r="M123" s="233">
        <f>K123/TotalNRSF</f>
        <v>208.39726858931837</v>
      </c>
      <c r="N123" s="199">
        <f ca="1">K123/$K$126</f>
        <v>0.66008443620414581</v>
      </c>
      <c r="O123" s="227"/>
      <c r="R123" s="227"/>
      <c r="T123" s="229">
        <f>IF(HCGrowthToJV=0,E65,E65*HCGrowthToJV)</f>
        <v>51980072.894060962</v>
      </c>
      <c r="V123" s="1510">
        <f>T174</f>
        <v>50094535.423500352</v>
      </c>
    </row>
    <row r="124" spans="1:22" ht="15" customHeight="1" x14ac:dyDescent="0.3">
      <c r="A124" s="46"/>
      <c r="B124" s="2751"/>
      <c r="C124" s="2752"/>
      <c r="D124" s="2753"/>
      <c r="E124" s="41"/>
      <c r="F124" s="229">
        <f t="shared" si="28"/>
        <v>0</v>
      </c>
      <c r="G124" s="233">
        <f t="shared" si="29"/>
        <v>0</v>
      </c>
      <c r="H124" s="363" t="s">
        <v>666</v>
      </c>
      <c r="K124" s="229">
        <f>E17</f>
        <v>2504726.7711750176</v>
      </c>
      <c r="L124" s="229">
        <f>K124/Units</f>
        <v>9784.0889499024124</v>
      </c>
      <c r="M124" s="233">
        <f>K124/TotalNRSF</f>
        <v>10.419863429465918</v>
      </c>
      <c r="N124" s="199">
        <f ca="1">K124/$K$126</f>
        <v>3.300422181020729E-2</v>
      </c>
      <c r="O124" s="227"/>
      <c r="R124" s="228"/>
      <c r="T124" s="229">
        <f>T123*B14</f>
        <v>2599003.6447030483</v>
      </c>
      <c r="V124" s="229">
        <f t="shared" si="23"/>
        <v>2504726.7711750176</v>
      </c>
    </row>
    <row r="125" spans="1:22" ht="15" customHeight="1" x14ac:dyDescent="0.3">
      <c r="A125" s="47"/>
      <c r="B125" t="s">
        <v>1825</v>
      </c>
      <c r="E125" s="42">
        <v>0</v>
      </c>
      <c r="F125" s="229">
        <f t="shared" si="28"/>
        <v>0</v>
      </c>
      <c r="G125" s="233">
        <f t="shared" si="29"/>
        <v>0</v>
      </c>
      <c r="H125" s="365" t="s">
        <v>787</v>
      </c>
      <c r="J125" s="203"/>
      <c r="K125" s="229">
        <f>TotalRetail</f>
        <v>0</v>
      </c>
      <c r="L125" s="229">
        <f>K125/Units</f>
        <v>0</v>
      </c>
      <c r="M125" s="233">
        <f>K125/TotalNRSF</f>
        <v>0</v>
      </c>
      <c r="N125" s="199">
        <f ca="1">K125/$K$126</f>
        <v>0</v>
      </c>
      <c r="O125" s="227"/>
      <c r="T125" s="229">
        <f>K125</f>
        <v>0</v>
      </c>
      <c r="V125" s="229">
        <f t="shared" si="23"/>
        <v>0</v>
      </c>
    </row>
    <row r="126" spans="1:22" ht="15" customHeight="1" thickBot="1" x14ac:dyDescent="0.35">
      <c r="A126" s="701"/>
      <c r="B126" s="1661" t="s">
        <v>843</v>
      </c>
      <c r="C126" s="1661"/>
      <c r="D126" s="1661"/>
      <c r="E126" s="702">
        <f ca="1">IF(E125&gt;0,E125,SUBTOTAL(9,E120:E124))</f>
        <v>1418022.6257534006</v>
      </c>
      <c r="F126" s="702">
        <f t="shared" ca="1" si="28"/>
        <v>5539.1508818492212</v>
      </c>
      <c r="G126" s="993">
        <f t="shared" ca="1" si="29"/>
        <v>5.8990873856119501</v>
      </c>
      <c r="H126" s="295" t="s">
        <v>1931</v>
      </c>
      <c r="I126" s="248"/>
      <c r="J126" s="248"/>
      <c r="K126" s="250">
        <f ca="1">SUM(K108:K125)</f>
        <v>75891102.222576112</v>
      </c>
      <c r="L126" s="250">
        <f ca="1">K126/Units</f>
        <v>296449.61805693794</v>
      </c>
      <c r="M126" s="251">
        <f ca="1">K126/TotalNRSF</f>
        <v>315.71304693641781</v>
      </c>
      <c r="N126" s="366">
        <f ca="1">SUM(N108:N125)</f>
        <v>1.0000000000000002</v>
      </c>
      <c r="O126" s="227"/>
      <c r="T126" s="250">
        <f ca="1">SUM(T108:T125)</f>
        <v>77858972.271807775</v>
      </c>
      <c r="V126" s="250">
        <f ca="1">SUM(V108:V125)</f>
        <v>75790450.152205408</v>
      </c>
    </row>
    <row r="127" spans="1:22" ht="15" customHeight="1" thickTop="1" x14ac:dyDescent="0.3"/>
    <row r="128" spans="1:22" ht="7.5" customHeight="1" x14ac:dyDescent="0.3"/>
    <row r="129" spans="1:24" ht="15.75" hidden="1" customHeight="1" outlineLevel="1" x14ac:dyDescent="0.3">
      <c r="A129" s="115" t="s">
        <v>1932</v>
      </c>
      <c r="B129" s="204"/>
      <c r="C129" s="204"/>
      <c r="D129" s="204"/>
      <c r="E129" s="204"/>
      <c r="F129" s="204"/>
      <c r="G129" s="204"/>
      <c r="H129" s="204"/>
      <c r="I129" s="204"/>
      <c r="J129" s="204"/>
      <c r="K129" s="204"/>
      <c r="L129" s="204"/>
      <c r="M129" s="204"/>
      <c r="N129" s="204"/>
      <c r="O129" s="204"/>
      <c r="P129" s="204"/>
      <c r="Q129" s="204"/>
      <c r="R129" s="204"/>
      <c r="S129" s="204"/>
      <c r="T129" s="204"/>
      <c r="U129" s="204"/>
      <c r="V129" s="204"/>
      <c r="W129" s="204"/>
      <c r="X129" s="444"/>
    </row>
    <row r="130" spans="1:24" ht="3.75" hidden="1" customHeight="1" outlineLevel="1" thickBot="1" x14ac:dyDescent="0.35">
      <c r="A130" s="119"/>
      <c r="B130" s="119"/>
      <c r="C130" s="119"/>
      <c r="D130" s="119"/>
      <c r="E130" s="119"/>
      <c r="F130" s="119"/>
      <c r="G130" s="119"/>
      <c r="H130" s="119"/>
      <c r="I130" s="119"/>
      <c r="J130" s="119"/>
      <c r="K130" s="119"/>
      <c r="L130" s="119"/>
      <c r="M130" s="119"/>
      <c r="N130" s="119"/>
      <c r="O130" s="119"/>
      <c r="P130" s="119"/>
      <c r="Q130" s="119"/>
      <c r="R130" s="119"/>
      <c r="S130" s="119"/>
      <c r="T130" s="119"/>
      <c r="U130" s="119"/>
      <c r="V130" s="119"/>
      <c r="W130" s="119"/>
      <c r="X130" s="119"/>
    </row>
    <row r="131" spans="1:24" ht="7.5" hidden="1" customHeight="1" outlineLevel="1" thickTop="1" x14ac:dyDescent="0.3"/>
    <row r="132" spans="1:24" hidden="1" outlineLevel="1" x14ac:dyDescent="0.3">
      <c r="A132" s="367" t="s">
        <v>1933</v>
      </c>
      <c r="B132" s="368"/>
      <c r="C132" s="369"/>
      <c r="D132" s="370"/>
      <c r="E132" s="370"/>
      <c r="F132" s="370"/>
      <c r="G132" s="370"/>
      <c r="H132" s="370"/>
      <c r="I132" s="371"/>
      <c r="J132" s="370"/>
      <c r="K132" s="370"/>
      <c r="L132" s="370"/>
      <c r="M132" s="370"/>
      <c r="N132" s="370"/>
      <c r="O132" s="370"/>
      <c r="P132" s="370"/>
      <c r="Q132" s="370"/>
      <c r="R132" s="370"/>
      <c r="S132" s="370"/>
      <c r="T132" s="370"/>
      <c r="U132" s="370"/>
      <c r="V132" s="370"/>
      <c r="W132" s="370"/>
      <c r="X132" s="370"/>
    </row>
    <row r="133" spans="1:24" s="374" customFormat="1" ht="43.8" hidden="1" outlineLevel="1" thickBot="1" x14ac:dyDescent="0.35">
      <c r="A133" s="372"/>
      <c r="B133" s="372"/>
      <c r="C133" s="372" t="s">
        <v>1934</v>
      </c>
      <c r="D133" s="372" t="s">
        <v>1935</v>
      </c>
      <c r="E133" s="372" t="s">
        <v>1936</v>
      </c>
      <c r="F133" s="372" t="s">
        <v>1937</v>
      </c>
      <c r="G133" s="372" t="s">
        <v>1938</v>
      </c>
      <c r="H133" s="372" t="s">
        <v>1939</v>
      </c>
      <c r="I133" s="373" t="s">
        <v>1940</v>
      </c>
      <c r="J133" s="372" t="s">
        <v>1941</v>
      </c>
      <c r="K133" s="372" t="s">
        <v>1942</v>
      </c>
      <c r="L133" s="372" t="s">
        <v>1943</v>
      </c>
      <c r="M133" s="372" t="s">
        <v>1944</v>
      </c>
      <c r="N133" s="372" t="s">
        <v>1945</v>
      </c>
      <c r="O133" s="372" t="s">
        <v>1946</v>
      </c>
      <c r="P133" s="372" t="s">
        <v>1947</v>
      </c>
      <c r="Q133" s="372"/>
      <c r="R133" s="372"/>
      <c r="S133" s="372"/>
      <c r="T133" s="372" t="s">
        <v>1948</v>
      </c>
      <c r="U133" s="372"/>
      <c r="V133" s="372" t="s">
        <v>1949</v>
      </c>
      <c r="W133" s="372"/>
      <c r="X133" s="372" t="s">
        <v>1950</v>
      </c>
    </row>
    <row r="134" spans="1:24" ht="15" hidden="1" outlineLevel="1" thickTop="1" x14ac:dyDescent="0.3">
      <c r="A134" s="375">
        <v>-36</v>
      </c>
      <c r="B134" s="376">
        <f t="shared" ref="B134:B168" si="30">EDATE(B135,-1)</f>
        <v>45536</v>
      </c>
      <c r="C134" s="198" t="e">
        <f>(1+VLOOKUP(IF(YEAR($B134)&gt;'General Inputs'!$G$42,'General Inputs'!$G$42,YEAR($B134)),TableAnnRentGwth,2,FALSE)*(VLOOKUP(MONTH($B134),'General Inputs'!$W$29:$Z$40,3,FALSE)))-1</f>
        <v>#N/A</v>
      </c>
      <c r="D134" s="198" t="e">
        <f>(1+VLOOKUP(IF(YEAR($B134)&gt;'General Inputs'!$G$42,'General Inputs'!$G$42,YEAR($B134)),TableAnnRentGwth,3,FALSE))^(1/12)-1</f>
        <v>#N/A</v>
      </c>
      <c r="E134" s="198" t="e">
        <f>(1+VLOOKUP(IF(YEAR($B134)&gt;'General Inputs'!$G$42,'General Inputs'!$G$42,YEAR($B134)),TableAnnRentGwth,4,FALSE))^(1/12)-1</f>
        <v>#N/A</v>
      </c>
      <c r="F134" s="198" t="e">
        <f>(1+VLOOKUP(IF(YEAR($B134)&gt;'General Inputs'!$G$42,'General Inputs'!$G$42,YEAR($B134)),TableAnnRentGwth,5,FALSE))^(1/12)-1</f>
        <v>#N/A</v>
      </c>
      <c r="G134" s="198" t="e">
        <f>(1+VLOOKUP(IF(YEAR($B134)&gt;'General Inputs'!$G$42,'General Inputs'!$G$42,YEAR($B134)),TableAnnRentGwth,6,FALSE))^(1/12)-1</f>
        <v>#N/A</v>
      </c>
      <c r="H134" s="198" t="e">
        <f>(1+VLOOKUP(IF(YEAR($B134)&gt;'General Inputs'!$G$42,'General Inputs'!$G$42,YEAR($B134)),TableAnnRentGwth,7,FALSE))^(1/12)-1</f>
        <v>#N/A</v>
      </c>
      <c r="I134" s="377" t="str">
        <f>IF(AND(B134&gt;'General Inputs'!$C$37,B134&lt;=StartDate),B134,"")</f>
        <v/>
      </c>
      <c r="J134" s="198" t="str">
        <f t="shared" ref="J134:J158" si="31">IF(I134="","",1+VLOOKUP(I134,$B$134:$F$218,2,FALSE))</f>
        <v/>
      </c>
      <c r="K134" s="198" t="str">
        <f t="shared" ref="K134:K158" si="32">IF(I134="","",1+VLOOKUP(I134,$B$134:$F$218,3,FALSE))</f>
        <v/>
      </c>
      <c r="L134" s="198" t="str">
        <f t="shared" ref="L134:L158" si="33">IF(I134="","",1+VLOOKUP(I134,$B$134:$F$218,4,FALSE))</f>
        <v/>
      </c>
      <c r="M134" s="378" t="str">
        <f>IF(AND(B134&gt;'General Inputs'!$C$38,B134&lt;=StartDate),B134,"")</f>
        <v/>
      </c>
      <c r="N134" s="198" t="str">
        <f t="shared" ref="N134:N158" si="34">IF(M134="","",1+VLOOKUP(M134,$B$134:$F$218,5,FALSE))</f>
        <v/>
      </c>
      <c r="O134" s="378" t="str">
        <f>IF(AND(B134&gt;'General Inputs'!$C$39,B134&lt;ConstrStartDate),B134,"")</f>
        <v/>
      </c>
      <c r="P134" s="198" t="str">
        <f t="shared" ref="P134:P158" si="35">IF(O134="","",1+VLOOKUP(O134,$B$134:$H$218,7,FALSE))</f>
        <v/>
      </c>
      <c r="Q134" s="375">
        <f t="shared" ref="Q134:Q170" si="36">A134</f>
        <v>-36</v>
      </c>
      <c r="S134" t="str">
        <f>IF('General Inputs'!$C$37&gt;'General Inputs'!$C$39,IF(AND(B134&gt;'General Inputs'!$C$39,B134&lt;='General Inputs'!$C$37),B134,""),IF(AND(B134&gt;'General Inputs'!$C$37,B134&lt;='General Inputs'!$C$39),B134,""))</f>
        <v/>
      </c>
      <c r="T134" t="str">
        <f>IF(S134="","",1+VLOOKUP(S134,$B$134:$H$218,7,FALSE))</f>
        <v/>
      </c>
      <c r="U134" t="str">
        <f>IF('General Inputs'!$C$37&gt;'General Inputs'!$C$38,IF(AND(B134&gt;'General Inputs'!$C$38,B134&lt;='General Inputs'!$C$37),B134,""),IF(AND(B134&gt;'General Inputs'!$C$37,B134&lt;='General Inputs'!$C$38),B134,""))</f>
        <v/>
      </c>
      <c r="V134" t="str">
        <f>IF(U134="","",1+VLOOKUP(U134,$B$134:$H$218,5,FALSE))</f>
        <v/>
      </c>
      <c r="W134" t="str">
        <f>IF('General Inputs'!$C$37&gt;'General Inputs'!$C$38,IF(AND(B134&gt;'General Inputs'!$C$38,B134&lt;='General Inputs'!$C$37),B134,""),IF(AND(B134&gt;'General Inputs'!$C$37,B134&lt;='General Inputs'!$C$38),B134,""))</f>
        <v/>
      </c>
      <c r="X134" t="str">
        <f>IF(W134="","",1+VLOOKUP(W134,$B$134:$H$218,6,FALSE))</f>
        <v/>
      </c>
    </row>
    <row r="135" spans="1:24" hidden="1" outlineLevel="1" x14ac:dyDescent="0.3">
      <c r="A135" s="375">
        <v>-35</v>
      </c>
      <c r="B135" s="376">
        <f t="shared" si="30"/>
        <v>45566</v>
      </c>
      <c r="C135" s="198" t="e">
        <f>(1+VLOOKUP(IF(YEAR($B135)&gt;'General Inputs'!$G$42,'General Inputs'!$G$42,YEAR($B135)),TableAnnRentGwth,2,FALSE)*(VLOOKUP(MONTH($B135),'General Inputs'!$W$29:$Z$40,3,FALSE)))-1</f>
        <v>#N/A</v>
      </c>
      <c r="D135" s="198" t="e">
        <f>(1+VLOOKUP(IF(YEAR($B135)&gt;'General Inputs'!$G$42,'General Inputs'!$G$42,YEAR($B135)),TableAnnRentGwth,3,FALSE))^(1/12)-1</f>
        <v>#N/A</v>
      </c>
      <c r="E135" s="198" t="e">
        <f>(1+VLOOKUP(IF(YEAR($B135)&gt;'General Inputs'!$G$42,'General Inputs'!$G$42,YEAR($B135)),TableAnnRentGwth,4,FALSE))^(1/12)-1</f>
        <v>#N/A</v>
      </c>
      <c r="F135" s="198" t="e">
        <f>(1+VLOOKUP(IF(YEAR($B135)&gt;'General Inputs'!$G$42,'General Inputs'!$G$42,YEAR($B135)),TableAnnRentGwth,5,FALSE))^(1/12)-1</f>
        <v>#N/A</v>
      </c>
      <c r="G135" s="198" t="e">
        <f>(1+VLOOKUP(IF(YEAR($B135)&gt;'General Inputs'!$G$42,'General Inputs'!$G$42,YEAR($B135)),TableAnnRentGwth,6,FALSE))^(1/12)-1</f>
        <v>#N/A</v>
      </c>
      <c r="H135" s="198" t="e">
        <f>(1+VLOOKUP(IF(YEAR($B135)&gt;'General Inputs'!$G$42,'General Inputs'!$G$42,YEAR($B135)),TableAnnRentGwth,7,FALSE))^(1/12)-1</f>
        <v>#N/A</v>
      </c>
      <c r="I135" s="377" t="str">
        <f>IF(AND(B135&gt;'General Inputs'!$C$37,B135&lt;=StartDate),B135,"")</f>
        <v/>
      </c>
      <c r="J135" s="198" t="str">
        <f t="shared" si="31"/>
        <v/>
      </c>
      <c r="K135" s="198" t="str">
        <f t="shared" si="32"/>
        <v/>
      </c>
      <c r="L135" s="198" t="str">
        <f t="shared" si="33"/>
        <v/>
      </c>
      <c r="M135" s="378" t="str">
        <f>IF(AND(B135&gt;'General Inputs'!$C$38,B135&lt;=StartDate),B135,"")</f>
        <v/>
      </c>
      <c r="N135" s="198" t="str">
        <f t="shared" si="34"/>
        <v/>
      </c>
      <c r="O135" s="378" t="str">
        <f>IF(AND(B135&gt;'General Inputs'!$C$39,B135&lt;ConstrStartDate),B135,"")</f>
        <v/>
      </c>
      <c r="P135" s="198" t="str">
        <f t="shared" si="35"/>
        <v/>
      </c>
      <c r="Q135" s="375">
        <f t="shared" si="36"/>
        <v>-35</v>
      </c>
      <c r="S135" t="str">
        <f>IF('General Inputs'!$C$37&gt;'General Inputs'!$C$39,IF(AND(B135&gt;'General Inputs'!$C$39,B135&lt;='General Inputs'!$C$37),B135,""),IF(AND(B135&gt;'General Inputs'!$C$37,B135&lt;='General Inputs'!$C$39),B135,""))</f>
        <v/>
      </c>
      <c r="T135" t="str">
        <f t="shared" ref="T135:T169" si="37">IF(S135="","",1+VLOOKUP(S135,$B$134:$H$218,7,FALSE))</f>
        <v/>
      </c>
      <c r="U135" t="str">
        <f>IF('General Inputs'!$C$37&gt;'General Inputs'!$C$38,IF(AND(B135&gt;'General Inputs'!$C$38,B135&lt;='General Inputs'!$C$37),B135,""),IF(AND(B135&gt;'General Inputs'!$C$37,B135&lt;='General Inputs'!$C$38),B135,""))</f>
        <v/>
      </c>
      <c r="V135" t="str">
        <f t="shared" ref="V135:V169" si="38">IF(U135="","",1+VLOOKUP(U135,$B$134:$H$218,5,FALSE))</f>
        <v/>
      </c>
      <c r="W135" t="str">
        <f>IF('General Inputs'!$C$37&gt;'General Inputs'!$C$38,IF(AND(B135&gt;'General Inputs'!$C$38,B135&lt;='General Inputs'!$C$37),B135,""),IF(AND(B135&gt;'General Inputs'!$C$37,B135&lt;='General Inputs'!$C$38),B135,""))</f>
        <v/>
      </c>
      <c r="X135" t="str">
        <f t="shared" ref="X135:X169" si="39">IF(W135="","",1+VLOOKUP(W135,$B$134:$H$218,6,FALSE))</f>
        <v/>
      </c>
    </row>
    <row r="136" spans="1:24" hidden="1" outlineLevel="1" x14ac:dyDescent="0.3">
      <c r="A136" s="375">
        <v>-34</v>
      </c>
      <c r="B136" s="376">
        <f t="shared" si="30"/>
        <v>45597</v>
      </c>
      <c r="C136" s="198" t="e">
        <f>(1+VLOOKUP(IF(YEAR($B136)&gt;'General Inputs'!$G$42,'General Inputs'!$G$42,YEAR($B136)),TableAnnRentGwth,2,FALSE)*(VLOOKUP(MONTH($B136),'General Inputs'!$W$29:$Z$40,3,FALSE)))-1</f>
        <v>#N/A</v>
      </c>
      <c r="D136" s="198" t="e">
        <f>(1+VLOOKUP(IF(YEAR($B136)&gt;'General Inputs'!$G$42,'General Inputs'!$G$42,YEAR($B136)),TableAnnRentGwth,3,FALSE))^(1/12)-1</f>
        <v>#N/A</v>
      </c>
      <c r="E136" s="198" t="e">
        <f>(1+VLOOKUP(IF(YEAR($B136)&gt;'General Inputs'!$G$42,'General Inputs'!$G$42,YEAR($B136)),TableAnnRentGwth,4,FALSE))^(1/12)-1</f>
        <v>#N/A</v>
      </c>
      <c r="F136" s="198" t="e">
        <f>(1+VLOOKUP(IF(YEAR($B136)&gt;'General Inputs'!$G$42,'General Inputs'!$G$42,YEAR($B136)),TableAnnRentGwth,5,FALSE))^(1/12)-1</f>
        <v>#N/A</v>
      </c>
      <c r="G136" s="198" t="e">
        <f>(1+VLOOKUP(IF(YEAR($B136)&gt;'General Inputs'!$G$42,'General Inputs'!$G$42,YEAR($B136)),TableAnnRentGwth,6,FALSE))^(1/12)-1</f>
        <v>#N/A</v>
      </c>
      <c r="H136" s="198" t="e">
        <f>(1+VLOOKUP(IF(YEAR($B136)&gt;'General Inputs'!$G$42,'General Inputs'!$G$42,YEAR($B136)),TableAnnRentGwth,7,FALSE))^(1/12)-1</f>
        <v>#N/A</v>
      </c>
      <c r="I136" s="377" t="str">
        <f>IF(AND(B136&gt;'General Inputs'!$C$37,B136&lt;=StartDate),B136,"")</f>
        <v/>
      </c>
      <c r="J136" s="198" t="str">
        <f t="shared" si="31"/>
        <v/>
      </c>
      <c r="K136" s="198" t="str">
        <f t="shared" si="32"/>
        <v/>
      </c>
      <c r="L136" s="198" t="str">
        <f t="shared" si="33"/>
        <v/>
      </c>
      <c r="M136" s="378" t="str">
        <f>IF(AND(B136&gt;'General Inputs'!$C$38,B136&lt;=StartDate),B136,"")</f>
        <v/>
      </c>
      <c r="N136" s="198" t="str">
        <f t="shared" si="34"/>
        <v/>
      </c>
      <c r="O136" s="378" t="str">
        <f>IF(AND(B136&gt;'General Inputs'!$C$39,B136&lt;ConstrStartDate),B136,"")</f>
        <v/>
      </c>
      <c r="P136" s="198" t="str">
        <f t="shared" si="35"/>
        <v/>
      </c>
      <c r="Q136" s="375">
        <f t="shared" si="36"/>
        <v>-34</v>
      </c>
      <c r="S136" t="str">
        <f>IF('General Inputs'!$C$37&gt;'General Inputs'!$C$39,IF(AND(B136&gt;'General Inputs'!$C$39,B136&lt;='General Inputs'!$C$37),B136,""),IF(AND(B136&gt;'General Inputs'!$C$37,B136&lt;='General Inputs'!$C$39),B136,""))</f>
        <v/>
      </c>
      <c r="T136" t="str">
        <f t="shared" si="37"/>
        <v/>
      </c>
      <c r="U136" t="str">
        <f>IF('General Inputs'!$C$37&gt;'General Inputs'!$C$38,IF(AND(B136&gt;'General Inputs'!$C$38,B136&lt;='General Inputs'!$C$37),B136,""),IF(AND(B136&gt;'General Inputs'!$C$37,B136&lt;='General Inputs'!$C$38),B136,""))</f>
        <v/>
      </c>
      <c r="V136" t="str">
        <f t="shared" si="38"/>
        <v/>
      </c>
      <c r="W136" t="str">
        <f>IF('General Inputs'!$C$37&gt;'General Inputs'!$C$38,IF(AND(B136&gt;'General Inputs'!$C$38,B136&lt;='General Inputs'!$C$37),B136,""),IF(AND(B136&gt;'General Inputs'!$C$37,B136&lt;='General Inputs'!$C$38),B136,""))</f>
        <v/>
      </c>
      <c r="X136" t="str">
        <f t="shared" si="39"/>
        <v/>
      </c>
    </row>
    <row r="137" spans="1:24" hidden="1" outlineLevel="1" x14ac:dyDescent="0.3">
      <c r="A137" s="375">
        <v>-33</v>
      </c>
      <c r="B137" s="376">
        <f t="shared" si="30"/>
        <v>45627</v>
      </c>
      <c r="C137" s="198" t="e">
        <f>(1+VLOOKUP(IF(YEAR($B137)&gt;'General Inputs'!$G$42,'General Inputs'!$G$42,YEAR($B137)),TableAnnRentGwth,2,FALSE)*(VLOOKUP(MONTH($B137),'General Inputs'!$W$29:$Z$40,3,FALSE)))-1</f>
        <v>#N/A</v>
      </c>
      <c r="D137" s="198" t="e">
        <f>(1+VLOOKUP(IF(YEAR($B137)&gt;'General Inputs'!$G$42,'General Inputs'!$G$42,YEAR($B137)),TableAnnRentGwth,3,FALSE))^(1/12)-1</f>
        <v>#N/A</v>
      </c>
      <c r="E137" s="198" t="e">
        <f>(1+VLOOKUP(IF(YEAR($B137)&gt;'General Inputs'!$G$42,'General Inputs'!$G$42,YEAR($B137)),TableAnnRentGwth,4,FALSE))^(1/12)-1</f>
        <v>#N/A</v>
      </c>
      <c r="F137" s="198" t="e">
        <f>(1+VLOOKUP(IF(YEAR($B137)&gt;'General Inputs'!$G$42,'General Inputs'!$G$42,YEAR($B137)),TableAnnRentGwth,5,FALSE))^(1/12)-1</f>
        <v>#N/A</v>
      </c>
      <c r="G137" s="198" t="e">
        <f>(1+VLOOKUP(IF(YEAR($B137)&gt;'General Inputs'!$G$42,'General Inputs'!$G$42,YEAR($B137)),TableAnnRentGwth,6,FALSE))^(1/12)-1</f>
        <v>#N/A</v>
      </c>
      <c r="H137" s="198" t="e">
        <f>(1+VLOOKUP(IF(YEAR($B137)&gt;'General Inputs'!$G$42,'General Inputs'!$G$42,YEAR($B137)),TableAnnRentGwth,7,FALSE))^(1/12)-1</f>
        <v>#N/A</v>
      </c>
      <c r="I137" s="377" t="str">
        <f>IF(AND(B137&gt;'General Inputs'!$C$37,B137&lt;=StartDate),B137,"")</f>
        <v/>
      </c>
      <c r="J137" s="198" t="str">
        <f t="shared" si="31"/>
        <v/>
      </c>
      <c r="K137" s="198" t="str">
        <f t="shared" si="32"/>
        <v/>
      </c>
      <c r="L137" s="198" t="str">
        <f t="shared" si="33"/>
        <v/>
      </c>
      <c r="M137" s="378" t="str">
        <f>IF(AND(B137&gt;'General Inputs'!$C$38,B137&lt;=StartDate),B137,"")</f>
        <v/>
      </c>
      <c r="N137" s="198" t="str">
        <f t="shared" si="34"/>
        <v/>
      </c>
      <c r="O137" s="378" t="str">
        <f>IF(AND(B137&gt;'General Inputs'!$C$39,B137&lt;ConstrStartDate),B137,"")</f>
        <v/>
      </c>
      <c r="P137" s="198" t="str">
        <f t="shared" si="35"/>
        <v/>
      </c>
      <c r="Q137" s="375">
        <f t="shared" si="36"/>
        <v>-33</v>
      </c>
      <c r="S137" t="str">
        <f>IF('General Inputs'!$C$37&gt;'General Inputs'!$C$39,IF(AND(B137&gt;'General Inputs'!$C$39,B137&lt;='General Inputs'!$C$37),B137,""),IF(AND(B137&gt;'General Inputs'!$C$37,B137&lt;='General Inputs'!$C$39),B137,""))</f>
        <v/>
      </c>
      <c r="T137" t="str">
        <f t="shared" si="37"/>
        <v/>
      </c>
      <c r="U137" t="str">
        <f>IF('General Inputs'!$C$37&gt;'General Inputs'!$C$38,IF(AND(B137&gt;'General Inputs'!$C$38,B137&lt;='General Inputs'!$C$37),B137,""),IF(AND(B137&gt;'General Inputs'!$C$37,B137&lt;='General Inputs'!$C$38),B137,""))</f>
        <v/>
      </c>
      <c r="V137" t="str">
        <f t="shared" si="38"/>
        <v/>
      </c>
      <c r="W137" t="str">
        <f>IF('General Inputs'!$C$37&gt;'General Inputs'!$C$38,IF(AND(B137&gt;'General Inputs'!$C$38,B137&lt;='General Inputs'!$C$37),B137,""),IF(AND(B137&gt;'General Inputs'!$C$37,B137&lt;='General Inputs'!$C$38),B137,""))</f>
        <v/>
      </c>
      <c r="X137" t="str">
        <f t="shared" si="39"/>
        <v/>
      </c>
    </row>
    <row r="138" spans="1:24" hidden="1" outlineLevel="1" x14ac:dyDescent="0.3">
      <c r="A138" s="375">
        <v>-32</v>
      </c>
      <c r="B138" s="376">
        <f t="shared" si="30"/>
        <v>45658</v>
      </c>
      <c r="C138" s="198" t="e">
        <f>(1+VLOOKUP(IF(YEAR($B138)&gt;'General Inputs'!$G$42,'General Inputs'!$G$42,YEAR($B138)),TableAnnRentGwth,2,FALSE)*(VLOOKUP(MONTH($B138),'General Inputs'!$W$29:$Z$40,3,FALSE)))-1</f>
        <v>#N/A</v>
      </c>
      <c r="D138" s="198" t="e">
        <f>(1+VLOOKUP(IF(YEAR($B138)&gt;'General Inputs'!$G$42,'General Inputs'!$G$42,YEAR($B138)),TableAnnRentGwth,3,FALSE))^(1/12)-1</f>
        <v>#N/A</v>
      </c>
      <c r="E138" s="198" t="e">
        <f>(1+VLOOKUP(IF(YEAR($B138)&gt;'General Inputs'!$G$42,'General Inputs'!$G$42,YEAR($B138)),TableAnnRentGwth,4,FALSE))^(1/12)-1</f>
        <v>#N/A</v>
      </c>
      <c r="F138" s="198" t="e">
        <f>(1+VLOOKUP(IF(YEAR($B138)&gt;'General Inputs'!$G$42,'General Inputs'!$G$42,YEAR($B138)),TableAnnRentGwth,5,FALSE))^(1/12)-1</f>
        <v>#N/A</v>
      </c>
      <c r="G138" s="198" t="e">
        <f>(1+VLOOKUP(IF(YEAR($B138)&gt;'General Inputs'!$G$42,'General Inputs'!$G$42,YEAR($B138)),TableAnnRentGwth,6,FALSE))^(1/12)-1</f>
        <v>#N/A</v>
      </c>
      <c r="H138" s="198" t="e">
        <f>(1+VLOOKUP(IF(YEAR($B138)&gt;'General Inputs'!$G$42,'General Inputs'!$G$42,YEAR($B138)),TableAnnRentGwth,7,FALSE))^(1/12)-1</f>
        <v>#N/A</v>
      </c>
      <c r="I138" s="377" t="str">
        <f>IF(AND(B138&gt;'General Inputs'!$C$37,B138&lt;=StartDate),B138,"")</f>
        <v/>
      </c>
      <c r="J138" s="198" t="str">
        <f t="shared" si="31"/>
        <v/>
      </c>
      <c r="K138" s="198" t="str">
        <f t="shared" si="32"/>
        <v/>
      </c>
      <c r="L138" s="198" t="str">
        <f t="shared" si="33"/>
        <v/>
      </c>
      <c r="M138" s="378" t="str">
        <f>IF(AND(B138&gt;'General Inputs'!$C$38,B138&lt;=StartDate),B138,"")</f>
        <v/>
      </c>
      <c r="N138" s="198" t="str">
        <f t="shared" si="34"/>
        <v/>
      </c>
      <c r="O138" s="378" t="str">
        <f>IF(AND(B138&gt;'General Inputs'!$C$39,B138&lt;ConstrStartDate),B138,"")</f>
        <v/>
      </c>
      <c r="P138" s="198" t="str">
        <f t="shared" si="35"/>
        <v/>
      </c>
      <c r="Q138" s="375">
        <f t="shared" si="36"/>
        <v>-32</v>
      </c>
      <c r="S138" t="str">
        <f>IF('General Inputs'!$C$37&gt;'General Inputs'!$C$39,IF(AND(B138&gt;'General Inputs'!$C$39,B138&lt;='General Inputs'!$C$37),B138,""),IF(AND(B138&gt;'General Inputs'!$C$37,B138&lt;='General Inputs'!$C$39),B138,""))</f>
        <v/>
      </c>
      <c r="T138" t="str">
        <f t="shared" si="37"/>
        <v/>
      </c>
      <c r="U138" t="str">
        <f>IF('General Inputs'!$C$37&gt;'General Inputs'!$C$38,IF(AND(B138&gt;'General Inputs'!$C$38,B138&lt;='General Inputs'!$C$37),B138,""),IF(AND(B138&gt;'General Inputs'!$C$37,B138&lt;='General Inputs'!$C$38),B138,""))</f>
        <v/>
      </c>
      <c r="V138" t="str">
        <f t="shared" si="38"/>
        <v/>
      </c>
      <c r="W138" t="str">
        <f>IF('General Inputs'!$C$37&gt;'General Inputs'!$C$38,IF(AND(B138&gt;'General Inputs'!$C$38,B138&lt;='General Inputs'!$C$37),B138,""),IF(AND(B138&gt;'General Inputs'!$C$37,B138&lt;='General Inputs'!$C$38),B138,""))</f>
        <v/>
      </c>
      <c r="X138" t="str">
        <f t="shared" si="39"/>
        <v/>
      </c>
    </row>
    <row r="139" spans="1:24" hidden="1" outlineLevel="1" x14ac:dyDescent="0.3">
      <c r="A139" s="375">
        <v>-31</v>
      </c>
      <c r="B139" s="376">
        <f t="shared" si="30"/>
        <v>45689</v>
      </c>
      <c r="C139" s="198" t="e">
        <f>(1+VLOOKUP(IF(YEAR($B139)&gt;'General Inputs'!$G$42,'General Inputs'!$G$42,YEAR($B139)),TableAnnRentGwth,2,FALSE)*(VLOOKUP(MONTH($B139),'General Inputs'!$W$29:$Z$40,3,FALSE)))-1</f>
        <v>#N/A</v>
      </c>
      <c r="D139" s="198" t="e">
        <f>(1+VLOOKUP(IF(YEAR($B139)&gt;'General Inputs'!$G$42,'General Inputs'!$G$42,YEAR($B139)),TableAnnRentGwth,3,FALSE))^(1/12)-1</f>
        <v>#N/A</v>
      </c>
      <c r="E139" s="198" t="e">
        <f>(1+VLOOKUP(IF(YEAR($B139)&gt;'General Inputs'!$G$42,'General Inputs'!$G$42,YEAR($B139)),TableAnnRentGwth,4,FALSE))^(1/12)-1</f>
        <v>#N/A</v>
      </c>
      <c r="F139" s="198" t="e">
        <f>(1+VLOOKUP(IF(YEAR($B139)&gt;'General Inputs'!$G$42,'General Inputs'!$G$42,YEAR($B139)),TableAnnRentGwth,5,FALSE))^(1/12)-1</f>
        <v>#N/A</v>
      </c>
      <c r="G139" s="198" t="e">
        <f>(1+VLOOKUP(IF(YEAR($B139)&gt;'General Inputs'!$G$42,'General Inputs'!$G$42,YEAR($B139)),TableAnnRentGwth,6,FALSE))^(1/12)-1</f>
        <v>#N/A</v>
      </c>
      <c r="H139" s="198" t="e">
        <f>(1+VLOOKUP(IF(YEAR($B139)&gt;'General Inputs'!$G$42,'General Inputs'!$G$42,YEAR($B139)),TableAnnRentGwth,7,FALSE))^(1/12)-1</f>
        <v>#N/A</v>
      </c>
      <c r="I139" s="377" t="str">
        <f>IF(AND(B139&gt;'General Inputs'!$C$37,B139&lt;=StartDate),B139,"")</f>
        <v/>
      </c>
      <c r="J139" s="198" t="str">
        <f t="shared" si="31"/>
        <v/>
      </c>
      <c r="K139" s="198" t="str">
        <f t="shared" si="32"/>
        <v/>
      </c>
      <c r="L139" s="198" t="str">
        <f t="shared" si="33"/>
        <v/>
      </c>
      <c r="M139" s="378" t="str">
        <f>IF(AND(B139&gt;'General Inputs'!$C$38,B139&lt;=StartDate),B139,"")</f>
        <v/>
      </c>
      <c r="N139" s="198" t="str">
        <f t="shared" si="34"/>
        <v/>
      </c>
      <c r="O139" s="378" t="str">
        <f>IF(AND(B139&gt;'General Inputs'!$C$39,B139&lt;ConstrStartDate),B139,"")</f>
        <v/>
      </c>
      <c r="P139" s="198" t="str">
        <f t="shared" si="35"/>
        <v/>
      </c>
      <c r="Q139" s="375">
        <f t="shared" si="36"/>
        <v>-31</v>
      </c>
      <c r="S139" t="str">
        <f>IF('General Inputs'!$C$37&gt;'General Inputs'!$C$39,IF(AND(B139&gt;'General Inputs'!$C$39,B139&lt;='General Inputs'!$C$37),B139,""),IF(AND(B139&gt;'General Inputs'!$C$37,B139&lt;='General Inputs'!$C$39),B139,""))</f>
        <v/>
      </c>
      <c r="T139" t="str">
        <f t="shared" si="37"/>
        <v/>
      </c>
      <c r="U139" t="str">
        <f>IF('General Inputs'!$C$37&gt;'General Inputs'!$C$38,IF(AND(B139&gt;'General Inputs'!$C$38,B139&lt;='General Inputs'!$C$37),B139,""),IF(AND(B139&gt;'General Inputs'!$C$37,B139&lt;='General Inputs'!$C$38),B139,""))</f>
        <v/>
      </c>
      <c r="V139" t="str">
        <f t="shared" si="38"/>
        <v/>
      </c>
      <c r="W139" t="str">
        <f>IF('General Inputs'!$C$37&gt;'General Inputs'!$C$38,IF(AND(B139&gt;'General Inputs'!$C$38,B139&lt;='General Inputs'!$C$37),B139,""),IF(AND(B139&gt;'General Inputs'!$C$37,B139&lt;='General Inputs'!$C$38),B139,""))</f>
        <v/>
      </c>
      <c r="X139" t="str">
        <f t="shared" si="39"/>
        <v/>
      </c>
    </row>
    <row r="140" spans="1:24" hidden="1" outlineLevel="1" x14ac:dyDescent="0.3">
      <c r="A140" s="375">
        <v>-30</v>
      </c>
      <c r="B140" s="376">
        <f t="shared" si="30"/>
        <v>45717</v>
      </c>
      <c r="C140" s="198" t="e">
        <f>(1+VLOOKUP(IF(YEAR($B140)&gt;'General Inputs'!$G$42,'General Inputs'!$G$42,YEAR($B140)),TableAnnRentGwth,2,FALSE)*(VLOOKUP(MONTH($B140),'General Inputs'!$W$29:$Z$40,3,FALSE)))-1</f>
        <v>#N/A</v>
      </c>
      <c r="D140" s="198" t="e">
        <f>(1+VLOOKUP(IF(YEAR($B140)&gt;'General Inputs'!$G$42,'General Inputs'!$G$42,YEAR($B140)),TableAnnRentGwth,3,FALSE))^(1/12)-1</f>
        <v>#N/A</v>
      </c>
      <c r="E140" s="198" t="e">
        <f>(1+VLOOKUP(IF(YEAR($B140)&gt;'General Inputs'!$G$42,'General Inputs'!$G$42,YEAR($B140)),TableAnnRentGwth,4,FALSE))^(1/12)-1</f>
        <v>#N/A</v>
      </c>
      <c r="F140" s="198" t="e">
        <f>(1+VLOOKUP(IF(YEAR($B140)&gt;'General Inputs'!$G$42,'General Inputs'!$G$42,YEAR($B140)),TableAnnRentGwth,5,FALSE))^(1/12)-1</f>
        <v>#N/A</v>
      </c>
      <c r="G140" s="198" t="e">
        <f>(1+VLOOKUP(IF(YEAR($B140)&gt;'General Inputs'!$G$42,'General Inputs'!$G$42,YEAR($B140)),TableAnnRentGwth,6,FALSE))^(1/12)-1</f>
        <v>#N/A</v>
      </c>
      <c r="H140" s="198" t="e">
        <f>(1+VLOOKUP(IF(YEAR($B140)&gt;'General Inputs'!$G$42,'General Inputs'!$G$42,YEAR($B140)),TableAnnRentGwth,7,FALSE))^(1/12)-1</f>
        <v>#N/A</v>
      </c>
      <c r="I140" s="377" t="str">
        <f>IF(AND(B140&gt;'General Inputs'!$C$37,B140&lt;=StartDate),B140,"")</f>
        <v/>
      </c>
      <c r="J140" s="198" t="str">
        <f t="shared" si="31"/>
        <v/>
      </c>
      <c r="K140" s="198" t="str">
        <f t="shared" si="32"/>
        <v/>
      </c>
      <c r="L140" s="198" t="str">
        <f t="shared" si="33"/>
        <v/>
      </c>
      <c r="M140" s="378" t="str">
        <f>IF(AND(B140&gt;'General Inputs'!$C$38,B140&lt;=StartDate),B140,"")</f>
        <v/>
      </c>
      <c r="N140" s="198" t="str">
        <f t="shared" si="34"/>
        <v/>
      </c>
      <c r="O140" s="378" t="str">
        <f>IF(AND(B140&gt;'General Inputs'!$C$39,B140&lt;ConstrStartDate),B140,"")</f>
        <v/>
      </c>
      <c r="P140" s="198" t="str">
        <f t="shared" si="35"/>
        <v/>
      </c>
      <c r="Q140" s="375">
        <f t="shared" si="36"/>
        <v>-30</v>
      </c>
      <c r="S140" t="str">
        <f>IF('General Inputs'!$C$37&gt;'General Inputs'!$C$39,IF(AND(B140&gt;'General Inputs'!$C$39,B140&lt;='General Inputs'!$C$37),B140,""),IF(AND(B140&gt;'General Inputs'!$C$37,B140&lt;='General Inputs'!$C$39),B140,""))</f>
        <v/>
      </c>
      <c r="T140" t="str">
        <f t="shared" si="37"/>
        <v/>
      </c>
      <c r="U140" t="str">
        <f>IF('General Inputs'!$C$37&gt;'General Inputs'!$C$38,IF(AND(B140&gt;'General Inputs'!$C$38,B140&lt;='General Inputs'!$C$37),B140,""),IF(AND(B140&gt;'General Inputs'!$C$37,B140&lt;='General Inputs'!$C$38),B140,""))</f>
        <v/>
      </c>
      <c r="V140" t="str">
        <f t="shared" si="38"/>
        <v/>
      </c>
      <c r="W140" t="str">
        <f>IF('General Inputs'!$C$37&gt;'General Inputs'!$C$38,IF(AND(B140&gt;'General Inputs'!$C$38,B140&lt;='General Inputs'!$C$37),B140,""),IF(AND(B140&gt;'General Inputs'!$C$37,B140&lt;='General Inputs'!$C$38),B140,""))</f>
        <v/>
      </c>
      <c r="X140" t="str">
        <f t="shared" si="39"/>
        <v/>
      </c>
    </row>
    <row r="141" spans="1:24" hidden="1" outlineLevel="1" x14ac:dyDescent="0.3">
      <c r="A141" s="375">
        <v>-29</v>
      </c>
      <c r="B141" s="376">
        <f t="shared" si="30"/>
        <v>45748</v>
      </c>
      <c r="C141" s="198" t="e">
        <f>(1+VLOOKUP(IF(YEAR($B141)&gt;'General Inputs'!$G$42,'General Inputs'!$G$42,YEAR($B141)),TableAnnRentGwth,2,FALSE)*(VLOOKUP(MONTH($B141),'General Inputs'!$W$29:$Z$40,3,FALSE)))-1</f>
        <v>#N/A</v>
      </c>
      <c r="D141" s="198" t="e">
        <f>(1+VLOOKUP(IF(YEAR($B141)&gt;'General Inputs'!$G$42,'General Inputs'!$G$42,YEAR($B141)),TableAnnRentGwth,3,FALSE))^(1/12)-1</f>
        <v>#N/A</v>
      </c>
      <c r="E141" s="198" t="e">
        <f>(1+VLOOKUP(IF(YEAR($B141)&gt;'General Inputs'!$G$42,'General Inputs'!$G$42,YEAR($B141)),TableAnnRentGwth,4,FALSE))^(1/12)-1</f>
        <v>#N/A</v>
      </c>
      <c r="F141" s="198" t="e">
        <f>(1+VLOOKUP(IF(YEAR($B141)&gt;'General Inputs'!$G$42,'General Inputs'!$G$42,YEAR($B141)),TableAnnRentGwth,5,FALSE))^(1/12)-1</f>
        <v>#N/A</v>
      </c>
      <c r="G141" s="198" t="e">
        <f>(1+VLOOKUP(IF(YEAR($B141)&gt;'General Inputs'!$G$42,'General Inputs'!$G$42,YEAR($B141)),TableAnnRentGwth,6,FALSE))^(1/12)-1</f>
        <v>#N/A</v>
      </c>
      <c r="H141" s="198" t="e">
        <f>(1+VLOOKUP(IF(YEAR($B141)&gt;'General Inputs'!$G$42,'General Inputs'!$G$42,YEAR($B141)),TableAnnRentGwth,7,FALSE))^(1/12)-1</f>
        <v>#N/A</v>
      </c>
      <c r="I141" s="377" t="str">
        <f>IF(AND(B141&gt;'General Inputs'!$C$37,B141&lt;=StartDate),B141,"")</f>
        <v/>
      </c>
      <c r="J141" s="198" t="str">
        <f t="shared" si="31"/>
        <v/>
      </c>
      <c r="K141" s="198" t="str">
        <f t="shared" si="32"/>
        <v/>
      </c>
      <c r="L141" s="198" t="str">
        <f t="shared" si="33"/>
        <v/>
      </c>
      <c r="M141" s="378" t="str">
        <f>IF(AND(B141&gt;'General Inputs'!$C$38,B141&lt;=StartDate),B141,"")</f>
        <v/>
      </c>
      <c r="N141" s="198" t="str">
        <f t="shared" si="34"/>
        <v/>
      </c>
      <c r="O141" s="378" t="str">
        <f>IF(AND(B141&gt;'General Inputs'!$C$39,B141&lt;ConstrStartDate),B141,"")</f>
        <v/>
      </c>
      <c r="P141" s="198" t="str">
        <f t="shared" si="35"/>
        <v/>
      </c>
      <c r="Q141" s="375">
        <f t="shared" si="36"/>
        <v>-29</v>
      </c>
      <c r="S141" t="str">
        <f>IF('General Inputs'!$C$37&gt;'General Inputs'!$C$39,IF(AND(B141&gt;'General Inputs'!$C$39,B141&lt;='General Inputs'!$C$37),B141,""),IF(AND(B141&gt;'General Inputs'!$C$37,B141&lt;='General Inputs'!$C$39),B141,""))</f>
        <v/>
      </c>
      <c r="T141" t="str">
        <f t="shared" si="37"/>
        <v/>
      </c>
      <c r="U141" t="str">
        <f>IF('General Inputs'!$C$37&gt;'General Inputs'!$C$38,IF(AND(B141&gt;'General Inputs'!$C$38,B141&lt;='General Inputs'!$C$37),B141,""),IF(AND(B141&gt;'General Inputs'!$C$37,B141&lt;='General Inputs'!$C$38),B141,""))</f>
        <v/>
      </c>
      <c r="V141" t="str">
        <f t="shared" si="38"/>
        <v/>
      </c>
      <c r="W141" t="str">
        <f>IF('General Inputs'!$C$37&gt;'General Inputs'!$C$38,IF(AND(B141&gt;'General Inputs'!$C$38,B141&lt;='General Inputs'!$C$37),B141,""),IF(AND(B141&gt;'General Inputs'!$C$37,B141&lt;='General Inputs'!$C$38),B141,""))</f>
        <v/>
      </c>
      <c r="X141" t="str">
        <f t="shared" si="39"/>
        <v/>
      </c>
    </row>
    <row r="142" spans="1:24" hidden="1" outlineLevel="1" x14ac:dyDescent="0.3">
      <c r="A142" s="375">
        <v>-28</v>
      </c>
      <c r="B142" s="376">
        <f t="shared" si="30"/>
        <v>45778</v>
      </c>
      <c r="C142" s="198" t="e">
        <f>(1+VLOOKUP(IF(YEAR($B142)&gt;'General Inputs'!$G$42,'General Inputs'!$G$42,YEAR($B142)),TableAnnRentGwth,2,FALSE)*(VLOOKUP(MONTH($B142),'General Inputs'!$W$29:$Z$40,3,FALSE)))-1</f>
        <v>#N/A</v>
      </c>
      <c r="D142" s="198" t="e">
        <f>(1+VLOOKUP(IF(YEAR($B142)&gt;'General Inputs'!$G$42,'General Inputs'!$G$42,YEAR($B142)),TableAnnRentGwth,3,FALSE))^(1/12)-1</f>
        <v>#N/A</v>
      </c>
      <c r="E142" s="198" t="e">
        <f>(1+VLOOKUP(IF(YEAR($B142)&gt;'General Inputs'!$G$42,'General Inputs'!$G$42,YEAR($B142)),TableAnnRentGwth,4,FALSE))^(1/12)-1</f>
        <v>#N/A</v>
      </c>
      <c r="F142" s="198" t="e">
        <f>(1+VLOOKUP(IF(YEAR($B142)&gt;'General Inputs'!$G$42,'General Inputs'!$G$42,YEAR($B142)),TableAnnRentGwth,5,FALSE))^(1/12)-1</f>
        <v>#N/A</v>
      </c>
      <c r="G142" s="198" t="e">
        <f>(1+VLOOKUP(IF(YEAR($B142)&gt;'General Inputs'!$G$42,'General Inputs'!$G$42,YEAR($B142)),TableAnnRentGwth,6,FALSE))^(1/12)-1</f>
        <v>#N/A</v>
      </c>
      <c r="H142" s="198" t="e">
        <f>(1+VLOOKUP(IF(YEAR($B142)&gt;'General Inputs'!$G$42,'General Inputs'!$G$42,YEAR($B142)),TableAnnRentGwth,7,FALSE))^(1/12)-1</f>
        <v>#N/A</v>
      </c>
      <c r="I142" s="377" t="str">
        <f>IF(AND(B142&gt;'General Inputs'!$C$37,B142&lt;=StartDate),B142,"")</f>
        <v/>
      </c>
      <c r="J142" s="198" t="str">
        <f t="shared" si="31"/>
        <v/>
      </c>
      <c r="K142" s="198" t="str">
        <f t="shared" si="32"/>
        <v/>
      </c>
      <c r="L142" s="198" t="str">
        <f t="shared" si="33"/>
        <v/>
      </c>
      <c r="M142" s="378" t="str">
        <f>IF(AND(B142&gt;'General Inputs'!$C$38,B142&lt;=StartDate),B142,"")</f>
        <v/>
      </c>
      <c r="N142" s="198" t="str">
        <f t="shared" si="34"/>
        <v/>
      </c>
      <c r="O142" s="378" t="str">
        <f>IF(AND(B142&gt;'General Inputs'!$C$39,B142&lt;ConstrStartDate),B142,"")</f>
        <v/>
      </c>
      <c r="P142" s="198" t="str">
        <f t="shared" si="35"/>
        <v/>
      </c>
      <c r="Q142" s="375">
        <f t="shared" si="36"/>
        <v>-28</v>
      </c>
      <c r="S142" t="str">
        <f>IF('General Inputs'!$C$37&gt;'General Inputs'!$C$39,IF(AND(B142&gt;'General Inputs'!$C$39,B142&lt;='General Inputs'!$C$37),B142,""),IF(AND(B142&gt;'General Inputs'!$C$37,B142&lt;='General Inputs'!$C$39),B142,""))</f>
        <v/>
      </c>
      <c r="T142" t="str">
        <f t="shared" si="37"/>
        <v/>
      </c>
      <c r="U142" t="str">
        <f>IF('General Inputs'!$C$37&gt;'General Inputs'!$C$38,IF(AND(B142&gt;'General Inputs'!$C$38,B142&lt;='General Inputs'!$C$37),B142,""),IF(AND(B142&gt;'General Inputs'!$C$37,B142&lt;='General Inputs'!$C$38),B142,""))</f>
        <v/>
      </c>
      <c r="V142" t="str">
        <f t="shared" si="38"/>
        <v/>
      </c>
      <c r="W142" t="str">
        <f>IF('General Inputs'!$C$37&gt;'General Inputs'!$C$38,IF(AND(B142&gt;'General Inputs'!$C$38,B142&lt;='General Inputs'!$C$37),B142,""),IF(AND(B142&gt;'General Inputs'!$C$37,B142&lt;='General Inputs'!$C$38),B142,""))</f>
        <v/>
      </c>
      <c r="X142" t="str">
        <f t="shared" si="39"/>
        <v/>
      </c>
    </row>
    <row r="143" spans="1:24" hidden="1" outlineLevel="1" x14ac:dyDescent="0.3">
      <c r="A143" s="375">
        <v>-27</v>
      </c>
      <c r="B143" s="376">
        <f t="shared" si="30"/>
        <v>45809</v>
      </c>
      <c r="C143" s="198" t="e">
        <f>(1+VLOOKUP(IF(YEAR($B143)&gt;'General Inputs'!$G$42,'General Inputs'!$G$42,YEAR($B143)),TableAnnRentGwth,2,FALSE)*(VLOOKUP(MONTH($B143),'General Inputs'!$W$29:$Z$40,3,FALSE)))-1</f>
        <v>#N/A</v>
      </c>
      <c r="D143" s="198" t="e">
        <f>(1+VLOOKUP(IF(YEAR($B143)&gt;'General Inputs'!$G$42,'General Inputs'!$G$42,YEAR($B143)),TableAnnRentGwth,3,FALSE))^(1/12)-1</f>
        <v>#N/A</v>
      </c>
      <c r="E143" s="198" t="e">
        <f>(1+VLOOKUP(IF(YEAR($B143)&gt;'General Inputs'!$G$42,'General Inputs'!$G$42,YEAR($B143)),TableAnnRentGwth,4,FALSE))^(1/12)-1</f>
        <v>#N/A</v>
      </c>
      <c r="F143" s="198" t="e">
        <f>(1+VLOOKUP(IF(YEAR($B143)&gt;'General Inputs'!$G$42,'General Inputs'!$G$42,YEAR($B143)),TableAnnRentGwth,5,FALSE))^(1/12)-1</f>
        <v>#N/A</v>
      </c>
      <c r="G143" s="198" t="e">
        <f>(1+VLOOKUP(IF(YEAR($B143)&gt;'General Inputs'!$G$42,'General Inputs'!$G$42,YEAR($B143)),TableAnnRentGwth,6,FALSE))^(1/12)-1</f>
        <v>#N/A</v>
      </c>
      <c r="H143" s="198" t="e">
        <f>(1+VLOOKUP(IF(YEAR($B143)&gt;'General Inputs'!$G$42,'General Inputs'!$G$42,YEAR($B143)),TableAnnRentGwth,7,FALSE))^(1/12)-1</f>
        <v>#N/A</v>
      </c>
      <c r="I143" s="377" t="str">
        <f>IF(AND(B143&gt;'General Inputs'!$C$37,B143&lt;=StartDate),B143,"")</f>
        <v/>
      </c>
      <c r="J143" s="198" t="str">
        <f t="shared" si="31"/>
        <v/>
      </c>
      <c r="K143" s="198" t="str">
        <f t="shared" si="32"/>
        <v/>
      </c>
      <c r="L143" s="198" t="str">
        <f t="shared" si="33"/>
        <v/>
      </c>
      <c r="M143" s="378" t="str">
        <f>IF(AND(B143&gt;'General Inputs'!$C$38,B143&lt;=StartDate),B143,"")</f>
        <v/>
      </c>
      <c r="N143" s="198" t="str">
        <f t="shared" si="34"/>
        <v/>
      </c>
      <c r="O143" s="378" t="str">
        <f>IF(AND(B143&gt;'General Inputs'!$C$39,B143&lt;ConstrStartDate),B143,"")</f>
        <v/>
      </c>
      <c r="P143" s="198" t="str">
        <f t="shared" si="35"/>
        <v/>
      </c>
      <c r="Q143" s="375">
        <f t="shared" si="36"/>
        <v>-27</v>
      </c>
      <c r="S143" t="str">
        <f>IF('General Inputs'!$C$37&gt;'General Inputs'!$C$39,IF(AND(B143&gt;'General Inputs'!$C$39,B143&lt;='General Inputs'!$C$37),B143,""),IF(AND(B143&gt;'General Inputs'!$C$37,B143&lt;='General Inputs'!$C$39),B143,""))</f>
        <v/>
      </c>
      <c r="T143" t="str">
        <f t="shared" si="37"/>
        <v/>
      </c>
      <c r="U143" t="str">
        <f>IF('General Inputs'!$C$37&gt;'General Inputs'!$C$38,IF(AND(B143&gt;'General Inputs'!$C$38,B143&lt;='General Inputs'!$C$37),B143,""),IF(AND(B143&gt;'General Inputs'!$C$37,B143&lt;='General Inputs'!$C$38),B143,""))</f>
        <v/>
      </c>
      <c r="V143" t="str">
        <f t="shared" si="38"/>
        <v/>
      </c>
      <c r="W143" t="str">
        <f>IF('General Inputs'!$C$37&gt;'General Inputs'!$C$38,IF(AND(B143&gt;'General Inputs'!$C$38,B143&lt;='General Inputs'!$C$37),B143,""),IF(AND(B143&gt;'General Inputs'!$C$37,B143&lt;='General Inputs'!$C$38),B143,""))</f>
        <v/>
      </c>
      <c r="X143" t="str">
        <f t="shared" si="39"/>
        <v/>
      </c>
    </row>
    <row r="144" spans="1:24" hidden="1" outlineLevel="1" x14ac:dyDescent="0.3">
      <c r="A144" s="375">
        <v>-26</v>
      </c>
      <c r="B144" s="376">
        <f t="shared" si="30"/>
        <v>45839</v>
      </c>
      <c r="C144" s="198" t="e">
        <f>(1+VLOOKUP(IF(YEAR($B144)&gt;'General Inputs'!$G$42,'General Inputs'!$G$42,YEAR($B144)),TableAnnRentGwth,2,FALSE)*(VLOOKUP(MONTH($B144),'General Inputs'!$W$29:$Z$40,3,FALSE)))-1</f>
        <v>#N/A</v>
      </c>
      <c r="D144" s="198" t="e">
        <f>(1+VLOOKUP(IF(YEAR($B144)&gt;'General Inputs'!$G$42,'General Inputs'!$G$42,YEAR($B144)),TableAnnRentGwth,3,FALSE))^(1/12)-1</f>
        <v>#N/A</v>
      </c>
      <c r="E144" s="198" t="e">
        <f>(1+VLOOKUP(IF(YEAR($B144)&gt;'General Inputs'!$G$42,'General Inputs'!$G$42,YEAR($B144)),TableAnnRentGwth,4,FALSE))^(1/12)-1</f>
        <v>#N/A</v>
      </c>
      <c r="F144" s="198" t="e">
        <f>(1+VLOOKUP(IF(YEAR($B144)&gt;'General Inputs'!$G$42,'General Inputs'!$G$42,YEAR($B144)),TableAnnRentGwth,5,FALSE))^(1/12)-1</f>
        <v>#N/A</v>
      </c>
      <c r="G144" s="198" t="e">
        <f>(1+VLOOKUP(IF(YEAR($B144)&gt;'General Inputs'!$G$42,'General Inputs'!$G$42,YEAR($B144)),TableAnnRentGwth,6,FALSE))^(1/12)-1</f>
        <v>#N/A</v>
      </c>
      <c r="H144" s="198" t="e">
        <f>(1+VLOOKUP(IF(YEAR($B144)&gt;'General Inputs'!$G$42,'General Inputs'!$G$42,YEAR($B144)),TableAnnRentGwth,7,FALSE))^(1/12)-1</f>
        <v>#N/A</v>
      </c>
      <c r="I144" s="377" t="str">
        <f>IF(AND(B144&gt;'General Inputs'!$C$37,B144&lt;=StartDate),B144,"")</f>
        <v/>
      </c>
      <c r="J144" s="198" t="str">
        <f t="shared" si="31"/>
        <v/>
      </c>
      <c r="K144" s="198" t="str">
        <f t="shared" si="32"/>
        <v/>
      </c>
      <c r="L144" s="198" t="str">
        <f t="shared" si="33"/>
        <v/>
      </c>
      <c r="M144" s="378" t="str">
        <f>IF(AND(B144&gt;'General Inputs'!$C$38,B144&lt;=StartDate),B144,"")</f>
        <v/>
      </c>
      <c r="N144" s="198" t="str">
        <f t="shared" si="34"/>
        <v/>
      </c>
      <c r="O144" s="378" t="str">
        <f>IF(AND(B144&gt;'General Inputs'!$C$39,B144&lt;ConstrStartDate),B144,"")</f>
        <v/>
      </c>
      <c r="P144" s="198" t="str">
        <f t="shared" si="35"/>
        <v/>
      </c>
      <c r="Q144" s="375">
        <f t="shared" si="36"/>
        <v>-26</v>
      </c>
      <c r="S144" t="str">
        <f>IF('General Inputs'!$C$37&gt;'General Inputs'!$C$39,IF(AND(B144&gt;'General Inputs'!$C$39,B144&lt;='General Inputs'!$C$37),B144,""),IF(AND(B144&gt;'General Inputs'!$C$37,B144&lt;='General Inputs'!$C$39),B144,""))</f>
        <v/>
      </c>
      <c r="T144" t="str">
        <f t="shared" si="37"/>
        <v/>
      </c>
      <c r="U144" t="str">
        <f>IF('General Inputs'!$C$37&gt;'General Inputs'!$C$38,IF(AND(B144&gt;'General Inputs'!$C$38,B144&lt;='General Inputs'!$C$37),B144,""),IF(AND(B144&gt;'General Inputs'!$C$37,B144&lt;='General Inputs'!$C$38),B144,""))</f>
        <v/>
      </c>
      <c r="V144" t="str">
        <f t="shared" si="38"/>
        <v/>
      </c>
      <c r="W144" t="str">
        <f>IF('General Inputs'!$C$37&gt;'General Inputs'!$C$38,IF(AND(B144&gt;'General Inputs'!$C$38,B144&lt;='General Inputs'!$C$37),B144,""),IF(AND(B144&gt;'General Inputs'!$C$37,B144&lt;='General Inputs'!$C$38),B144,""))</f>
        <v/>
      </c>
      <c r="X144" t="str">
        <f t="shared" si="39"/>
        <v/>
      </c>
    </row>
    <row r="145" spans="1:24" hidden="1" outlineLevel="1" x14ac:dyDescent="0.3">
      <c r="A145" s="375">
        <v>-25</v>
      </c>
      <c r="B145" s="376">
        <f t="shared" si="30"/>
        <v>45870</v>
      </c>
      <c r="C145" s="198" t="e">
        <f>(1+VLOOKUP(IF(YEAR($B145)&gt;'General Inputs'!$G$42,'General Inputs'!$G$42,YEAR($B145)),TableAnnRentGwth,2,FALSE)*(VLOOKUP(MONTH($B145),'General Inputs'!$W$29:$Z$40,3,FALSE)))-1</f>
        <v>#N/A</v>
      </c>
      <c r="D145" s="198" t="e">
        <f>(1+VLOOKUP(IF(YEAR($B145)&gt;'General Inputs'!$G$42,'General Inputs'!$G$42,YEAR($B145)),TableAnnRentGwth,3,FALSE))^(1/12)-1</f>
        <v>#N/A</v>
      </c>
      <c r="E145" s="198" t="e">
        <f>(1+VLOOKUP(IF(YEAR($B145)&gt;'General Inputs'!$G$42,'General Inputs'!$G$42,YEAR($B145)),TableAnnRentGwth,4,FALSE))^(1/12)-1</f>
        <v>#N/A</v>
      </c>
      <c r="F145" s="198" t="e">
        <f>(1+VLOOKUP(IF(YEAR($B145)&gt;'General Inputs'!$G$42,'General Inputs'!$G$42,YEAR($B145)),TableAnnRentGwth,5,FALSE))^(1/12)-1</f>
        <v>#N/A</v>
      </c>
      <c r="G145" s="198" t="e">
        <f>(1+VLOOKUP(IF(YEAR($B145)&gt;'General Inputs'!$G$42,'General Inputs'!$G$42,YEAR($B145)),TableAnnRentGwth,6,FALSE))^(1/12)-1</f>
        <v>#N/A</v>
      </c>
      <c r="H145" s="198" t="e">
        <f>(1+VLOOKUP(IF(YEAR($B145)&gt;'General Inputs'!$G$42,'General Inputs'!$G$42,YEAR($B145)),TableAnnRentGwth,7,FALSE))^(1/12)-1</f>
        <v>#N/A</v>
      </c>
      <c r="I145" s="377" t="str">
        <f>IF(AND(B145&gt;'General Inputs'!$C$37,B145&lt;=StartDate),B145,"")</f>
        <v/>
      </c>
      <c r="J145" s="198" t="str">
        <f t="shared" si="31"/>
        <v/>
      </c>
      <c r="K145" s="198" t="str">
        <f t="shared" si="32"/>
        <v/>
      </c>
      <c r="L145" s="198" t="str">
        <f t="shared" si="33"/>
        <v/>
      </c>
      <c r="M145" s="378" t="str">
        <f>IF(AND(B145&gt;'General Inputs'!$C$38,B145&lt;=StartDate),B145,"")</f>
        <v/>
      </c>
      <c r="N145" s="198" t="str">
        <f t="shared" si="34"/>
        <v/>
      </c>
      <c r="O145" s="378" t="str">
        <f>IF(AND(B145&gt;'General Inputs'!$C$39,B145&lt;ConstrStartDate),B145,"")</f>
        <v/>
      </c>
      <c r="P145" s="198" t="str">
        <f t="shared" si="35"/>
        <v/>
      </c>
      <c r="Q145" s="375">
        <f t="shared" si="36"/>
        <v>-25</v>
      </c>
      <c r="S145" t="str">
        <f>IF('General Inputs'!$C$37&gt;'General Inputs'!$C$39,IF(AND(B145&gt;'General Inputs'!$C$39,B145&lt;='General Inputs'!$C$37),B145,""),IF(AND(B145&gt;'General Inputs'!$C$37,B145&lt;='General Inputs'!$C$39),B145,""))</f>
        <v/>
      </c>
      <c r="T145" t="str">
        <f t="shared" si="37"/>
        <v/>
      </c>
      <c r="U145" t="str">
        <f>IF('General Inputs'!$C$37&gt;'General Inputs'!$C$38,IF(AND(B145&gt;'General Inputs'!$C$38,B145&lt;='General Inputs'!$C$37),B145,""),IF(AND(B145&gt;'General Inputs'!$C$37,B145&lt;='General Inputs'!$C$38),B145,""))</f>
        <v/>
      </c>
      <c r="V145" t="str">
        <f t="shared" si="38"/>
        <v/>
      </c>
      <c r="W145" t="str">
        <f>IF('General Inputs'!$C$37&gt;'General Inputs'!$C$38,IF(AND(B145&gt;'General Inputs'!$C$38,B145&lt;='General Inputs'!$C$37),B145,""),IF(AND(B145&gt;'General Inputs'!$C$37,B145&lt;='General Inputs'!$C$38),B145,""))</f>
        <v/>
      </c>
      <c r="X145" t="str">
        <f t="shared" si="39"/>
        <v/>
      </c>
    </row>
    <row r="146" spans="1:24" hidden="1" outlineLevel="1" x14ac:dyDescent="0.3">
      <c r="A146" s="375">
        <v>-24</v>
      </c>
      <c r="B146" s="376">
        <f t="shared" si="30"/>
        <v>45901</v>
      </c>
      <c r="C146" s="198" t="e">
        <f>(1+VLOOKUP(IF(YEAR($B146)&gt;'General Inputs'!$G$42,'General Inputs'!$G$42,YEAR($B146)),TableAnnRentGwth,2,FALSE)*(VLOOKUP(MONTH($B146),'General Inputs'!$W$29:$Z$40,3,FALSE)))-1</f>
        <v>#N/A</v>
      </c>
      <c r="D146" s="198" t="e">
        <f>(1+VLOOKUP(IF(YEAR($B146)&gt;'General Inputs'!$G$42,'General Inputs'!$G$42,YEAR($B146)),TableAnnRentGwth,3,FALSE))^(1/12)-1</f>
        <v>#N/A</v>
      </c>
      <c r="E146" s="198" t="e">
        <f>(1+VLOOKUP(IF(YEAR($B146)&gt;'General Inputs'!$G$42,'General Inputs'!$G$42,YEAR($B146)),TableAnnRentGwth,4,FALSE))^(1/12)-1</f>
        <v>#N/A</v>
      </c>
      <c r="F146" s="198" t="e">
        <f>(1+VLOOKUP(IF(YEAR($B146)&gt;'General Inputs'!$G$42,'General Inputs'!$G$42,YEAR($B146)),TableAnnRentGwth,5,FALSE))^(1/12)-1</f>
        <v>#N/A</v>
      </c>
      <c r="G146" s="198" t="e">
        <f>(1+VLOOKUP(IF(YEAR($B146)&gt;'General Inputs'!$G$42,'General Inputs'!$G$42,YEAR($B146)),TableAnnRentGwth,6,FALSE))^(1/12)-1</f>
        <v>#N/A</v>
      </c>
      <c r="H146" s="198" t="e">
        <f>(1+VLOOKUP(IF(YEAR($B146)&gt;'General Inputs'!$G$42,'General Inputs'!$G$42,YEAR($B146)),TableAnnRentGwth,7,FALSE))^(1/12)-1</f>
        <v>#N/A</v>
      </c>
      <c r="I146" s="377" t="str">
        <f>IF(AND(B146&gt;'General Inputs'!$C$37,B146&lt;=StartDate),B146,"")</f>
        <v/>
      </c>
      <c r="J146" s="198" t="str">
        <f t="shared" si="31"/>
        <v/>
      </c>
      <c r="K146" s="198" t="str">
        <f t="shared" si="32"/>
        <v/>
      </c>
      <c r="L146" s="198" t="str">
        <f t="shared" si="33"/>
        <v/>
      </c>
      <c r="M146" s="378" t="str">
        <f>IF(AND(B146&gt;'General Inputs'!$C$38,B146&lt;=StartDate),B146,"")</f>
        <v/>
      </c>
      <c r="N146" s="198" t="str">
        <f t="shared" si="34"/>
        <v/>
      </c>
      <c r="O146" s="378" t="str">
        <f>IF(AND(B146&gt;'General Inputs'!$C$39,B146&lt;ConstrStartDate),B146,"")</f>
        <v/>
      </c>
      <c r="P146" s="198" t="str">
        <f t="shared" si="35"/>
        <v/>
      </c>
      <c r="Q146" s="375">
        <f t="shared" si="36"/>
        <v>-24</v>
      </c>
      <c r="S146" t="str">
        <f>IF('General Inputs'!$C$37&gt;'General Inputs'!$C$39,IF(AND(B146&gt;'General Inputs'!$C$39,B146&lt;='General Inputs'!$C$37),B146,""),IF(AND(B146&gt;'General Inputs'!$C$37,B146&lt;='General Inputs'!$C$39),B146,""))</f>
        <v/>
      </c>
      <c r="T146" t="str">
        <f t="shared" si="37"/>
        <v/>
      </c>
      <c r="U146" t="str">
        <f>IF('General Inputs'!$C$37&gt;'General Inputs'!$C$38,IF(AND(B146&gt;'General Inputs'!$C$38,B146&lt;='General Inputs'!$C$37),B146,""),IF(AND(B146&gt;'General Inputs'!$C$37,B146&lt;='General Inputs'!$C$38),B146,""))</f>
        <v/>
      </c>
      <c r="V146" t="str">
        <f t="shared" si="38"/>
        <v/>
      </c>
      <c r="W146" t="str">
        <f>IF('General Inputs'!$C$37&gt;'General Inputs'!$C$38,IF(AND(B146&gt;'General Inputs'!$C$38,B146&lt;='General Inputs'!$C$37),B146,""),IF(AND(B146&gt;'General Inputs'!$C$37,B146&lt;='General Inputs'!$C$38),B146,""))</f>
        <v/>
      </c>
      <c r="X146" t="str">
        <f t="shared" si="39"/>
        <v/>
      </c>
    </row>
    <row r="147" spans="1:24" hidden="1" outlineLevel="1" x14ac:dyDescent="0.3">
      <c r="A147" s="375">
        <v>-23</v>
      </c>
      <c r="B147" s="376">
        <f t="shared" si="30"/>
        <v>45931</v>
      </c>
      <c r="C147" s="198" t="e">
        <f>(1+VLOOKUP(IF(YEAR($B147)&gt;'General Inputs'!$G$42,'General Inputs'!$G$42,YEAR($B147)),TableAnnRentGwth,2,FALSE)*(VLOOKUP(MONTH($B147),'General Inputs'!$W$29:$Z$40,3,FALSE)))-1</f>
        <v>#N/A</v>
      </c>
      <c r="D147" s="198" t="e">
        <f>(1+VLOOKUP(IF(YEAR($B147)&gt;'General Inputs'!$G$42,'General Inputs'!$G$42,YEAR($B147)),TableAnnRentGwth,3,FALSE))^(1/12)-1</f>
        <v>#N/A</v>
      </c>
      <c r="E147" s="198" t="e">
        <f>(1+VLOOKUP(IF(YEAR($B147)&gt;'General Inputs'!$G$42,'General Inputs'!$G$42,YEAR($B147)),TableAnnRentGwth,4,FALSE))^(1/12)-1</f>
        <v>#N/A</v>
      </c>
      <c r="F147" s="198" t="e">
        <f>(1+VLOOKUP(IF(YEAR($B147)&gt;'General Inputs'!$G$42,'General Inputs'!$G$42,YEAR($B147)),TableAnnRentGwth,5,FALSE))^(1/12)-1</f>
        <v>#N/A</v>
      </c>
      <c r="G147" s="198" t="e">
        <f>(1+VLOOKUP(IF(YEAR($B147)&gt;'General Inputs'!$G$42,'General Inputs'!$G$42,YEAR($B147)),TableAnnRentGwth,6,FALSE))^(1/12)-1</f>
        <v>#N/A</v>
      </c>
      <c r="H147" s="198" t="e">
        <f>(1+VLOOKUP(IF(YEAR($B147)&gt;'General Inputs'!$G$42,'General Inputs'!$G$42,YEAR($B147)),TableAnnRentGwth,7,FALSE))^(1/12)-1</f>
        <v>#N/A</v>
      </c>
      <c r="I147" s="377" t="str">
        <f>IF(AND(B147&gt;'General Inputs'!$C$37,B147&lt;=StartDate),B147,"")</f>
        <v/>
      </c>
      <c r="J147" s="198" t="str">
        <f t="shared" si="31"/>
        <v/>
      </c>
      <c r="K147" s="198" t="str">
        <f t="shared" si="32"/>
        <v/>
      </c>
      <c r="L147" s="198" t="str">
        <f t="shared" si="33"/>
        <v/>
      </c>
      <c r="M147" s="378" t="str">
        <f>IF(AND(B147&gt;'General Inputs'!$C$38,B147&lt;=StartDate),B147,"")</f>
        <v/>
      </c>
      <c r="N147" s="198" t="str">
        <f t="shared" si="34"/>
        <v/>
      </c>
      <c r="O147" s="378" t="str">
        <f>IF(AND(B147&gt;'General Inputs'!$C$39,B147&lt;ConstrStartDate),B147,"")</f>
        <v/>
      </c>
      <c r="P147" s="198" t="str">
        <f t="shared" si="35"/>
        <v/>
      </c>
      <c r="Q147" s="375">
        <f t="shared" si="36"/>
        <v>-23</v>
      </c>
      <c r="S147" t="str">
        <f>IF('General Inputs'!$C$37&gt;'General Inputs'!$C$39,IF(AND(B147&gt;'General Inputs'!$C$39,B147&lt;='General Inputs'!$C$37),B147,""),IF(AND(B147&gt;'General Inputs'!$C$37,B147&lt;='General Inputs'!$C$39),B147,""))</f>
        <v/>
      </c>
      <c r="T147" t="str">
        <f t="shared" si="37"/>
        <v/>
      </c>
      <c r="U147" t="str">
        <f>IF('General Inputs'!$C$37&gt;'General Inputs'!$C$38,IF(AND(B147&gt;'General Inputs'!$C$38,B147&lt;='General Inputs'!$C$37),B147,""),IF(AND(B147&gt;'General Inputs'!$C$37,B147&lt;='General Inputs'!$C$38),B147,""))</f>
        <v/>
      </c>
      <c r="V147" t="str">
        <f t="shared" si="38"/>
        <v/>
      </c>
      <c r="W147" t="str">
        <f>IF('General Inputs'!$C$37&gt;'General Inputs'!$C$38,IF(AND(B147&gt;'General Inputs'!$C$38,B147&lt;='General Inputs'!$C$37),B147,""),IF(AND(B147&gt;'General Inputs'!$C$37,B147&lt;='General Inputs'!$C$38),B147,""))</f>
        <v/>
      </c>
      <c r="X147" t="str">
        <f t="shared" si="39"/>
        <v/>
      </c>
    </row>
    <row r="148" spans="1:24" hidden="1" outlineLevel="1" x14ac:dyDescent="0.3">
      <c r="A148" s="375">
        <v>-22</v>
      </c>
      <c r="B148" s="376">
        <f t="shared" si="30"/>
        <v>45962</v>
      </c>
      <c r="C148" s="198" t="e">
        <f>(1+VLOOKUP(IF(YEAR($B148)&gt;'General Inputs'!$G$42,'General Inputs'!$G$42,YEAR($B148)),TableAnnRentGwth,2,FALSE)*(VLOOKUP(MONTH($B148),'General Inputs'!$W$29:$Z$40,3,FALSE)))-1</f>
        <v>#N/A</v>
      </c>
      <c r="D148" s="198" t="e">
        <f>(1+VLOOKUP(IF(YEAR($B148)&gt;'General Inputs'!$G$42,'General Inputs'!$G$42,YEAR($B148)),TableAnnRentGwth,3,FALSE))^(1/12)-1</f>
        <v>#N/A</v>
      </c>
      <c r="E148" s="198" t="e">
        <f>(1+VLOOKUP(IF(YEAR($B148)&gt;'General Inputs'!$G$42,'General Inputs'!$G$42,YEAR($B148)),TableAnnRentGwth,4,FALSE))^(1/12)-1</f>
        <v>#N/A</v>
      </c>
      <c r="F148" s="198" t="e">
        <f>(1+VLOOKUP(IF(YEAR($B148)&gt;'General Inputs'!$G$42,'General Inputs'!$G$42,YEAR($B148)),TableAnnRentGwth,5,FALSE))^(1/12)-1</f>
        <v>#N/A</v>
      </c>
      <c r="G148" s="198" t="e">
        <f>(1+VLOOKUP(IF(YEAR($B148)&gt;'General Inputs'!$G$42,'General Inputs'!$G$42,YEAR($B148)),TableAnnRentGwth,6,FALSE))^(1/12)-1</f>
        <v>#N/A</v>
      </c>
      <c r="H148" s="198" t="e">
        <f>(1+VLOOKUP(IF(YEAR($B148)&gt;'General Inputs'!$G$42,'General Inputs'!$G$42,YEAR($B148)),TableAnnRentGwth,7,FALSE))^(1/12)-1</f>
        <v>#N/A</v>
      </c>
      <c r="I148" s="377" t="str">
        <f>IF(AND(B148&gt;'General Inputs'!$C$37,B148&lt;=StartDate),B148,"")</f>
        <v/>
      </c>
      <c r="J148" s="198" t="str">
        <f t="shared" si="31"/>
        <v/>
      </c>
      <c r="K148" s="198" t="str">
        <f t="shared" si="32"/>
        <v/>
      </c>
      <c r="L148" s="198" t="str">
        <f t="shared" si="33"/>
        <v/>
      </c>
      <c r="M148" s="378" t="str">
        <f>IF(AND(B148&gt;'General Inputs'!$C$38,B148&lt;=StartDate),B148,"")</f>
        <v/>
      </c>
      <c r="N148" s="198" t="str">
        <f t="shared" si="34"/>
        <v/>
      </c>
      <c r="O148" s="378" t="str">
        <f>IF(AND(B148&gt;'General Inputs'!$C$39,B148&lt;ConstrStartDate),B148,"")</f>
        <v/>
      </c>
      <c r="P148" s="198" t="str">
        <f t="shared" si="35"/>
        <v/>
      </c>
      <c r="Q148" s="375">
        <f>A148</f>
        <v>-22</v>
      </c>
      <c r="S148" t="str">
        <f>IF('General Inputs'!$C$37&gt;'General Inputs'!$C$39,IF(AND(B148&gt;'General Inputs'!$C$39,B148&lt;='General Inputs'!$C$37),B148,""),IF(AND(B148&gt;'General Inputs'!$C$37,B148&lt;='General Inputs'!$C$39),B148,""))</f>
        <v/>
      </c>
      <c r="T148" t="str">
        <f t="shared" si="37"/>
        <v/>
      </c>
      <c r="U148" t="str">
        <f>IF('General Inputs'!$C$37&gt;'General Inputs'!$C$38,IF(AND(B148&gt;'General Inputs'!$C$38,B148&lt;='General Inputs'!$C$37),B148,""),IF(AND(B148&gt;'General Inputs'!$C$37,B148&lt;='General Inputs'!$C$38),B148,""))</f>
        <v/>
      </c>
      <c r="V148" t="str">
        <f t="shared" si="38"/>
        <v/>
      </c>
      <c r="W148" t="str">
        <f>IF('General Inputs'!$C$37&gt;'General Inputs'!$C$38,IF(AND(B148&gt;'General Inputs'!$C$38,B148&lt;='General Inputs'!$C$37),B148,""),IF(AND(B148&gt;'General Inputs'!$C$37,B148&lt;='General Inputs'!$C$38),B148,""))</f>
        <v/>
      </c>
      <c r="X148" t="str">
        <f t="shared" si="39"/>
        <v/>
      </c>
    </row>
    <row r="149" spans="1:24" hidden="1" outlineLevel="1" x14ac:dyDescent="0.3">
      <c r="A149" s="375">
        <v>-21</v>
      </c>
      <c r="B149" s="376">
        <f t="shared" si="30"/>
        <v>45992</v>
      </c>
      <c r="C149" s="198" t="e">
        <f>(1+VLOOKUP(IF(YEAR($B149)&gt;'General Inputs'!$G$42,'General Inputs'!$G$42,YEAR($B149)),TableAnnRentGwth,2,FALSE)*(VLOOKUP(MONTH($B149),'General Inputs'!$W$29:$Z$40,3,FALSE)))-1</f>
        <v>#N/A</v>
      </c>
      <c r="D149" s="198" t="e">
        <f>(1+VLOOKUP(IF(YEAR($B149)&gt;'General Inputs'!$G$42,'General Inputs'!$G$42,YEAR($B149)),TableAnnRentGwth,3,FALSE))^(1/12)-1</f>
        <v>#N/A</v>
      </c>
      <c r="E149" s="198" t="e">
        <f>(1+VLOOKUP(IF(YEAR($B149)&gt;'General Inputs'!$G$42,'General Inputs'!$G$42,YEAR($B149)),TableAnnRentGwth,4,FALSE))^(1/12)-1</f>
        <v>#N/A</v>
      </c>
      <c r="F149" s="198" t="e">
        <f>(1+VLOOKUP(IF(YEAR($B149)&gt;'General Inputs'!$G$42,'General Inputs'!$G$42,YEAR($B149)),TableAnnRentGwth,5,FALSE))^(1/12)-1</f>
        <v>#N/A</v>
      </c>
      <c r="G149" s="198" t="e">
        <f>(1+VLOOKUP(IF(YEAR($B149)&gt;'General Inputs'!$G$42,'General Inputs'!$G$42,YEAR($B149)),TableAnnRentGwth,6,FALSE))^(1/12)-1</f>
        <v>#N/A</v>
      </c>
      <c r="H149" s="198" t="e">
        <f>(1+VLOOKUP(IF(YEAR($B149)&gt;'General Inputs'!$G$42,'General Inputs'!$G$42,YEAR($B149)),TableAnnRentGwth,7,FALSE))^(1/12)-1</f>
        <v>#N/A</v>
      </c>
      <c r="I149" s="377" t="str">
        <f>IF(AND(B149&gt;'General Inputs'!$C$37,B149&lt;=StartDate),B149,"")</f>
        <v/>
      </c>
      <c r="J149" s="198" t="str">
        <f t="shared" si="31"/>
        <v/>
      </c>
      <c r="K149" s="198" t="str">
        <f t="shared" si="32"/>
        <v/>
      </c>
      <c r="L149" s="198" t="str">
        <f t="shared" si="33"/>
        <v/>
      </c>
      <c r="M149" s="378" t="str">
        <f>IF(AND(B149&gt;'General Inputs'!$C$38,B149&lt;=StartDate),B149,"")</f>
        <v/>
      </c>
      <c r="N149" s="198" t="str">
        <f t="shared" si="34"/>
        <v/>
      </c>
      <c r="O149" s="378" t="str">
        <f>IF(AND(B149&gt;'General Inputs'!$C$39,B149&lt;ConstrStartDate),B149,"")</f>
        <v/>
      </c>
      <c r="P149" s="198" t="str">
        <f t="shared" si="35"/>
        <v/>
      </c>
      <c r="Q149" s="375">
        <f t="shared" si="36"/>
        <v>-21</v>
      </c>
      <c r="S149" t="str">
        <f>IF('General Inputs'!$C$37&gt;'General Inputs'!$C$39,IF(AND(B149&gt;'General Inputs'!$C$39,B149&lt;='General Inputs'!$C$37),B149,""),IF(AND(B149&gt;'General Inputs'!$C$37,B149&lt;='General Inputs'!$C$39),B149,""))</f>
        <v/>
      </c>
      <c r="T149" t="str">
        <f t="shared" si="37"/>
        <v/>
      </c>
      <c r="U149" t="str">
        <f>IF('General Inputs'!$C$37&gt;'General Inputs'!$C$38,IF(AND(B149&gt;'General Inputs'!$C$38,B149&lt;='General Inputs'!$C$37),B149,""),IF(AND(B149&gt;'General Inputs'!$C$37,B149&lt;='General Inputs'!$C$38),B149,""))</f>
        <v/>
      </c>
      <c r="V149" t="str">
        <f t="shared" si="38"/>
        <v/>
      </c>
      <c r="W149" t="str">
        <f>IF('General Inputs'!$C$37&gt;'General Inputs'!$C$38,IF(AND(B149&gt;'General Inputs'!$C$38,B149&lt;='General Inputs'!$C$37),B149,""),IF(AND(B149&gt;'General Inputs'!$C$37,B149&lt;='General Inputs'!$C$38),B149,""))</f>
        <v/>
      </c>
      <c r="X149" t="str">
        <f t="shared" si="39"/>
        <v/>
      </c>
    </row>
    <row r="150" spans="1:24" hidden="1" outlineLevel="1" x14ac:dyDescent="0.3">
      <c r="A150" s="375">
        <v>-20</v>
      </c>
      <c r="B150" s="376">
        <f t="shared" si="30"/>
        <v>46023</v>
      </c>
      <c r="C150" s="198">
        <f>(1+VLOOKUP(IF(YEAR($B150)&gt;'General Inputs'!$G$42,'General Inputs'!$G$42,YEAR($B150)),TableAnnRentGwth,2,FALSE)*(VLOOKUP(MONTH($B150),'General Inputs'!$W$29:$Z$40,3,FALSE)))-1</f>
        <v>6.9000000000007944E-4</v>
      </c>
      <c r="D150" s="198">
        <f>(1+VLOOKUP(IF(YEAR($B150)&gt;'General Inputs'!$G$42,'General Inputs'!$G$42,YEAR($B150)),TableAnnRentGwth,3,FALSE))^(1/12)-1</f>
        <v>1.6515813019202241E-3</v>
      </c>
      <c r="E150" s="198">
        <f>(1+VLOOKUP(IF(YEAR($B150)&gt;'General Inputs'!$G$42,'General Inputs'!$G$42,YEAR($B150)),TableAnnRentGwth,4,FALSE))^(1/12)-1</f>
        <v>2.4662697723036864E-3</v>
      </c>
      <c r="F150" s="198">
        <f>(1+VLOOKUP(IF(YEAR($B150)&gt;'General Inputs'!$G$42,'General Inputs'!$G$42,YEAR($B150)),TableAnnRentGwth,5,FALSE))^(1/12)-1</f>
        <v>2.4662697723036864E-3</v>
      </c>
      <c r="G150" s="198">
        <f>(1+VLOOKUP(IF(YEAR($B150)&gt;'General Inputs'!$G$42,'General Inputs'!$G$42,YEAR($B150)),TableAnnRentGwth,6,FALSE))^(1/12)-1</f>
        <v>2.4662697723036864E-3</v>
      </c>
      <c r="H150" s="198">
        <f>(1+VLOOKUP(IF(YEAR($B150)&gt;'General Inputs'!$G$42,'General Inputs'!$G$42,YEAR($B150)),TableAnnRentGwth,7,FALSE))^(1/12)-1</f>
        <v>2.4662697723036864E-3</v>
      </c>
      <c r="I150" s="377" t="str">
        <f>IF(AND(B150&gt;'General Inputs'!$C$37,B150&lt;=StartDate),B150,"")</f>
        <v/>
      </c>
      <c r="J150" s="198" t="str">
        <f t="shared" si="31"/>
        <v/>
      </c>
      <c r="K150" s="198" t="str">
        <f t="shared" si="32"/>
        <v/>
      </c>
      <c r="L150" s="198" t="str">
        <f t="shared" si="33"/>
        <v/>
      </c>
      <c r="M150" s="378" t="str">
        <f>IF(AND(B150&gt;'General Inputs'!$C$38,B150&lt;=StartDate),B150,"")</f>
        <v/>
      </c>
      <c r="N150" s="198" t="str">
        <f t="shared" si="34"/>
        <v/>
      </c>
      <c r="O150" s="378" t="str">
        <f>IF(AND(B150&gt;'General Inputs'!$C$39,B150&lt;ConstrStartDate),B150,"")</f>
        <v/>
      </c>
      <c r="P150" s="198" t="str">
        <f t="shared" si="35"/>
        <v/>
      </c>
      <c r="Q150" s="375">
        <f t="shared" si="36"/>
        <v>-20</v>
      </c>
      <c r="S150" t="str">
        <f>IF('General Inputs'!$C$37&gt;'General Inputs'!$C$39,IF(AND(B150&gt;'General Inputs'!$C$39,B150&lt;='General Inputs'!$C$37),B150,""),IF(AND(B150&gt;'General Inputs'!$C$37,B150&lt;='General Inputs'!$C$39),B150,""))</f>
        <v/>
      </c>
      <c r="T150" t="str">
        <f t="shared" si="37"/>
        <v/>
      </c>
      <c r="U150" t="str">
        <f>IF('General Inputs'!$C$37&gt;'General Inputs'!$C$38,IF(AND(B150&gt;'General Inputs'!$C$38,B150&lt;='General Inputs'!$C$37),B150,""),IF(AND(B150&gt;'General Inputs'!$C$37,B150&lt;='General Inputs'!$C$38),B150,""))</f>
        <v/>
      </c>
      <c r="V150" t="str">
        <f t="shared" si="38"/>
        <v/>
      </c>
      <c r="W150" t="str">
        <f>IF('General Inputs'!$C$37&gt;'General Inputs'!$C$38,IF(AND(B150&gt;'General Inputs'!$C$38,B150&lt;='General Inputs'!$C$37),B150,""),IF(AND(B150&gt;'General Inputs'!$C$37,B150&lt;='General Inputs'!$C$38),B150,""))</f>
        <v/>
      </c>
      <c r="X150" t="str">
        <f t="shared" si="39"/>
        <v/>
      </c>
    </row>
    <row r="151" spans="1:24" hidden="1" outlineLevel="1" x14ac:dyDescent="0.3">
      <c r="A151" s="375">
        <v>-19</v>
      </c>
      <c r="B151" s="376">
        <f t="shared" si="30"/>
        <v>46054</v>
      </c>
      <c r="C151" s="198">
        <f>(1+VLOOKUP(IF(YEAR($B151)&gt;'General Inputs'!$G$42,'General Inputs'!$G$42,YEAR($B151)),TableAnnRentGwth,2,FALSE)*(VLOOKUP(MONTH($B151),'General Inputs'!$W$29:$Z$40,3,FALSE)))-1</f>
        <v>6.9000000000007944E-4</v>
      </c>
      <c r="D151" s="198">
        <f>(1+VLOOKUP(IF(YEAR($B151)&gt;'General Inputs'!$G$42,'General Inputs'!$G$42,YEAR($B151)),TableAnnRentGwth,3,FALSE))^(1/12)-1</f>
        <v>1.6515813019202241E-3</v>
      </c>
      <c r="E151" s="198">
        <f>(1+VLOOKUP(IF(YEAR($B151)&gt;'General Inputs'!$G$42,'General Inputs'!$G$42,YEAR($B151)),TableAnnRentGwth,4,FALSE))^(1/12)-1</f>
        <v>2.4662697723036864E-3</v>
      </c>
      <c r="F151" s="198">
        <f>(1+VLOOKUP(IF(YEAR($B151)&gt;'General Inputs'!$G$42,'General Inputs'!$G$42,YEAR($B151)),TableAnnRentGwth,5,FALSE))^(1/12)-1</f>
        <v>2.4662697723036864E-3</v>
      </c>
      <c r="G151" s="198">
        <f>(1+VLOOKUP(IF(YEAR($B151)&gt;'General Inputs'!$G$42,'General Inputs'!$G$42,YEAR($B151)),TableAnnRentGwth,6,FALSE))^(1/12)-1</f>
        <v>2.4662697723036864E-3</v>
      </c>
      <c r="H151" s="198">
        <f>(1+VLOOKUP(IF(YEAR($B151)&gt;'General Inputs'!$G$42,'General Inputs'!$G$42,YEAR($B151)),TableAnnRentGwth,7,FALSE))^(1/12)-1</f>
        <v>2.4662697723036864E-3</v>
      </c>
      <c r="I151" s="377" t="str">
        <f>IF(AND(B151&gt;'General Inputs'!$C$37,B151&lt;=StartDate),B151,"")</f>
        <v/>
      </c>
      <c r="J151" s="198" t="str">
        <f t="shared" si="31"/>
        <v/>
      </c>
      <c r="K151" s="198" t="str">
        <f t="shared" si="32"/>
        <v/>
      </c>
      <c r="L151" s="198" t="str">
        <f t="shared" si="33"/>
        <v/>
      </c>
      <c r="M151" s="378" t="str">
        <f>IF(AND(B151&gt;'General Inputs'!$C$38,B151&lt;=StartDate),B151,"")</f>
        <v/>
      </c>
      <c r="N151" s="198" t="str">
        <f t="shared" si="34"/>
        <v/>
      </c>
      <c r="O151" s="378" t="str">
        <f>IF(AND(B151&gt;'General Inputs'!$C$39,B151&lt;ConstrStartDate),B151,"")</f>
        <v/>
      </c>
      <c r="P151" s="198" t="str">
        <f t="shared" si="35"/>
        <v/>
      </c>
      <c r="Q151" s="375">
        <f>A151</f>
        <v>-19</v>
      </c>
      <c r="S151" t="str">
        <f>IF('General Inputs'!$C$37&gt;'General Inputs'!$C$39,IF(AND(B151&gt;'General Inputs'!$C$39,B151&lt;='General Inputs'!$C$37),B151,""),IF(AND(B151&gt;'General Inputs'!$C$37,B151&lt;='General Inputs'!$C$39),B151,""))</f>
        <v/>
      </c>
      <c r="T151" t="str">
        <f t="shared" si="37"/>
        <v/>
      </c>
      <c r="U151" t="str">
        <f>IF('General Inputs'!$C$37&gt;'General Inputs'!$C$38,IF(AND(B151&gt;'General Inputs'!$C$38,B151&lt;='General Inputs'!$C$37),B151,""),IF(AND(B151&gt;'General Inputs'!$C$37,B151&lt;='General Inputs'!$C$38),B151,""))</f>
        <v/>
      </c>
      <c r="V151" t="str">
        <f t="shared" si="38"/>
        <v/>
      </c>
      <c r="W151" t="str">
        <f>IF('General Inputs'!$C$37&gt;'General Inputs'!$C$38,IF(AND(B151&gt;'General Inputs'!$C$38,B151&lt;='General Inputs'!$C$37),B151,""),IF(AND(B151&gt;'General Inputs'!$C$37,B151&lt;='General Inputs'!$C$38),B151,""))</f>
        <v/>
      </c>
      <c r="X151" t="str">
        <f t="shared" si="39"/>
        <v/>
      </c>
    </row>
    <row r="152" spans="1:24" hidden="1" outlineLevel="1" x14ac:dyDescent="0.3">
      <c r="A152" s="375">
        <v>-18</v>
      </c>
      <c r="B152" s="376">
        <f t="shared" si="30"/>
        <v>46082</v>
      </c>
      <c r="C152" s="198">
        <f>(1+VLOOKUP(IF(YEAR($B152)&gt;'General Inputs'!$G$42,'General Inputs'!$G$42,YEAR($B152)),TableAnnRentGwth,2,FALSE)*(VLOOKUP(MONTH($B152),'General Inputs'!$W$29:$Z$40,3,FALSE)))-1</f>
        <v>6.9000000000007944E-4</v>
      </c>
      <c r="D152" s="198">
        <f>(1+VLOOKUP(IF(YEAR($B152)&gt;'General Inputs'!$G$42,'General Inputs'!$G$42,YEAR($B152)),TableAnnRentGwth,3,FALSE))^(1/12)-1</f>
        <v>1.6515813019202241E-3</v>
      </c>
      <c r="E152" s="198">
        <f>(1+VLOOKUP(IF(YEAR($B152)&gt;'General Inputs'!$G$42,'General Inputs'!$G$42,YEAR($B152)),TableAnnRentGwth,4,FALSE))^(1/12)-1</f>
        <v>2.4662697723036864E-3</v>
      </c>
      <c r="F152" s="198">
        <f>(1+VLOOKUP(IF(YEAR($B152)&gt;'General Inputs'!$G$42,'General Inputs'!$G$42,YEAR($B152)),TableAnnRentGwth,5,FALSE))^(1/12)-1</f>
        <v>2.4662697723036864E-3</v>
      </c>
      <c r="G152" s="198">
        <f>(1+VLOOKUP(IF(YEAR($B152)&gt;'General Inputs'!$G$42,'General Inputs'!$G$42,YEAR($B152)),TableAnnRentGwth,6,FALSE))^(1/12)-1</f>
        <v>2.4662697723036864E-3</v>
      </c>
      <c r="H152" s="198">
        <f>(1+VLOOKUP(IF(YEAR($B152)&gt;'General Inputs'!$G$42,'General Inputs'!$G$42,YEAR($B152)),TableAnnRentGwth,7,FALSE))^(1/12)-1</f>
        <v>2.4662697723036864E-3</v>
      </c>
      <c r="I152" s="377" t="str">
        <f>IF(AND(B152&gt;'General Inputs'!$C$37,B152&lt;=StartDate),B152,"")</f>
        <v/>
      </c>
      <c r="J152" s="198" t="str">
        <f t="shared" si="31"/>
        <v/>
      </c>
      <c r="K152" s="198" t="str">
        <f t="shared" si="32"/>
        <v/>
      </c>
      <c r="L152" s="198" t="str">
        <f t="shared" si="33"/>
        <v/>
      </c>
      <c r="M152" s="378" t="str">
        <f>IF(AND(B152&gt;'General Inputs'!$C$38,B152&lt;=StartDate),B152,"")</f>
        <v/>
      </c>
      <c r="N152" s="198" t="str">
        <f t="shared" si="34"/>
        <v/>
      </c>
      <c r="O152" s="378" t="str">
        <f>IF(AND(B152&gt;'General Inputs'!$C$39,B152&lt;ConstrStartDate),B152,"")</f>
        <v/>
      </c>
      <c r="P152" s="198" t="str">
        <f t="shared" si="35"/>
        <v/>
      </c>
      <c r="Q152" s="375">
        <f t="shared" si="36"/>
        <v>-18</v>
      </c>
      <c r="S152" t="str">
        <f>IF('General Inputs'!$C$37&gt;'General Inputs'!$C$39,IF(AND(B152&gt;'General Inputs'!$C$39,B152&lt;='General Inputs'!$C$37),B152,""),IF(AND(B152&gt;'General Inputs'!$C$37,B152&lt;='General Inputs'!$C$39),B152,""))</f>
        <v/>
      </c>
      <c r="T152" t="str">
        <f t="shared" si="37"/>
        <v/>
      </c>
      <c r="U152" t="str">
        <f>IF('General Inputs'!$C$37&gt;'General Inputs'!$C$38,IF(AND(B152&gt;'General Inputs'!$C$38,B152&lt;='General Inputs'!$C$37),B152,""),IF(AND(B152&gt;'General Inputs'!$C$37,B152&lt;='General Inputs'!$C$38),B152,""))</f>
        <v/>
      </c>
      <c r="V152" t="str">
        <f t="shared" si="38"/>
        <v/>
      </c>
      <c r="W152" t="str">
        <f>IF('General Inputs'!$C$37&gt;'General Inputs'!$C$38,IF(AND(B152&gt;'General Inputs'!$C$38,B152&lt;='General Inputs'!$C$37),B152,""),IF(AND(B152&gt;'General Inputs'!$C$37,B152&lt;='General Inputs'!$C$38),B152,""))</f>
        <v/>
      </c>
      <c r="X152" t="str">
        <f t="shared" si="39"/>
        <v/>
      </c>
    </row>
    <row r="153" spans="1:24" hidden="1" outlineLevel="1" x14ac:dyDescent="0.3">
      <c r="A153" s="375">
        <v>-17</v>
      </c>
      <c r="B153" s="376">
        <f t="shared" si="30"/>
        <v>46113</v>
      </c>
      <c r="C153" s="198">
        <f>(1+VLOOKUP(IF(YEAR($B153)&gt;'General Inputs'!$G$42,'General Inputs'!$G$42,YEAR($B153)),TableAnnRentGwth,2,FALSE)*(VLOOKUP(MONTH($B153),'General Inputs'!$W$29:$Z$40,3,FALSE)))-1</f>
        <v>1.0349999999998971E-3</v>
      </c>
      <c r="D153" s="198">
        <f>(1+VLOOKUP(IF(YEAR($B153)&gt;'General Inputs'!$G$42,'General Inputs'!$G$42,YEAR($B153)),TableAnnRentGwth,3,FALSE))^(1/12)-1</f>
        <v>1.6515813019202241E-3</v>
      </c>
      <c r="E153" s="198">
        <f>(1+VLOOKUP(IF(YEAR($B153)&gt;'General Inputs'!$G$42,'General Inputs'!$G$42,YEAR($B153)),TableAnnRentGwth,4,FALSE))^(1/12)-1</f>
        <v>2.4662697723036864E-3</v>
      </c>
      <c r="F153" s="198">
        <f>(1+VLOOKUP(IF(YEAR($B153)&gt;'General Inputs'!$G$42,'General Inputs'!$G$42,YEAR($B153)),TableAnnRentGwth,5,FALSE))^(1/12)-1</f>
        <v>2.4662697723036864E-3</v>
      </c>
      <c r="G153" s="198">
        <f>(1+VLOOKUP(IF(YEAR($B153)&gt;'General Inputs'!$G$42,'General Inputs'!$G$42,YEAR($B153)),TableAnnRentGwth,6,FALSE))^(1/12)-1</f>
        <v>2.4662697723036864E-3</v>
      </c>
      <c r="H153" s="198">
        <f>(1+VLOOKUP(IF(YEAR($B153)&gt;'General Inputs'!$G$42,'General Inputs'!$G$42,YEAR($B153)),TableAnnRentGwth,7,FALSE))^(1/12)-1</f>
        <v>2.4662697723036864E-3</v>
      </c>
      <c r="I153" s="377" t="str">
        <f>IF(AND(B153&gt;'General Inputs'!$C$37,B153&lt;=StartDate),B153,"")</f>
        <v/>
      </c>
      <c r="J153" s="198" t="str">
        <f t="shared" si="31"/>
        <v/>
      </c>
      <c r="K153" s="198" t="str">
        <f t="shared" si="32"/>
        <v/>
      </c>
      <c r="L153" s="198" t="str">
        <f t="shared" si="33"/>
        <v/>
      </c>
      <c r="M153" s="378" t="str">
        <f>IF(AND(B153&gt;'General Inputs'!$C$38,B153&lt;=StartDate),B153,"")</f>
        <v/>
      </c>
      <c r="N153" s="198" t="str">
        <f t="shared" si="34"/>
        <v/>
      </c>
      <c r="O153" s="378" t="str">
        <f>IF(AND(B153&gt;'General Inputs'!$C$39,B153&lt;ConstrStartDate),B153,"")</f>
        <v/>
      </c>
      <c r="P153" s="198" t="str">
        <f t="shared" si="35"/>
        <v/>
      </c>
      <c r="Q153" s="375">
        <f t="shared" si="36"/>
        <v>-17</v>
      </c>
      <c r="S153" t="str">
        <f>IF('General Inputs'!$C$37&gt;'General Inputs'!$C$39,IF(AND(B153&gt;'General Inputs'!$C$39,B153&lt;='General Inputs'!$C$37),B153,""),IF(AND(B153&gt;'General Inputs'!$C$37,B153&lt;='General Inputs'!$C$39),B153,""))</f>
        <v/>
      </c>
      <c r="T153" t="str">
        <f t="shared" si="37"/>
        <v/>
      </c>
      <c r="U153" t="str">
        <f>IF('General Inputs'!$C$37&gt;'General Inputs'!$C$38,IF(AND(B153&gt;'General Inputs'!$C$38,B153&lt;='General Inputs'!$C$37),B153,""),IF(AND(B153&gt;'General Inputs'!$C$37,B153&lt;='General Inputs'!$C$38),B153,""))</f>
        <v/>
      </c>
      <c r="V153" t="str">
        <f t="shared" si="38"/>
        <v/>
      </c>
      <c r="W153" t="str">
        <f>IF('General Inputs'!$C$37&gt;'General Inputs'!$C$38,IF(AND(B153&gt;'General Inputs'!$C$38,B153&lt;='General Inputs'!$C$37),B153,""),IF(AND(B153&gt;'General Inputs'!$C$37,B153&lt;='General Inputs'!$C$38),B153,""))</f>
        <v/>
      </c>
      <c r="X153" t="str">
        <f t="shared" si="39"/>
        <v/>
      </c>
    </row>
    <row r="154" spans="1:24" hidden="1" outlineLevel="1" x14ac:dyDescent="0.3">
      <c r="A154" s="375">
        <v>-16</v>
      </c>
      <c r="B154" s="376">
        <f t="shared" si="30"/>
        <v>46143</v>
      </c>
      <c r="C154" s="198">
        <f>(1+VLOOKUP(IF(YEAR($B154)&gt;'General Inputs'!$G$42,'General Inputs'!$G$42,YEAR($B154)),TableAnnRentGwth,2,FALSE)*(VLOOKUP(MONTH($B154),'General Inputs'!$W$29:$Z$40,3,FALSE)))-1</f>
        <v>1.0349999999998971E-3</v>
      </c>
      <c r="D154" s="198">
        <f>(1+VLOOKUP(IF(YEAR($B154)&gt;'General Inputs'!$G$42,'General Inputs'!$G$42,YEAR($B154)),TableAnnRentGwth,3,FALSE))^(1/12)-1</f>
        <v>1.6515813019202241E-3</v>
      </c>
      <c r="E154" s="198">
        <f>(1+VLOOKUP(IF(YEAR($B154)&gt;'General Inputs'!$G$42,'General Inputs'!$G$42,YEAR($B154)),TableAnnRentGwth,4,FALSE))^(1/12)-1</f>
        <v>2.4662697723036864E-3</v>
      </c>
      <c r="F154" s="198">
        <f>(1+VLOOKUP(IF(YEAR($B154)&gt;'General Inputs'!$G$42,'General Inputs'!$G$42,YEAR($B154)),TableAnnRentGwth,5,FALSE))^(1/12)-1</f>
        <v>2.4662697723036864E-3</v>
      </c>
      <c r="G154" s="198">
        <f>(1+VLOOKUP(IF(YEAR($B154)&gt;'General Inputs'!$G$42,'General Inputs'!$G$42,YEAR($B154)),TableAnnRentGwth,6,FALSE))^(1/12)-1</f>
        <v>2.4662697723036864E-3</v>
      </c>
      <c r="H154" s="198">
        <f>(1+VLOOKUP(IF(YEAR($B154)&gt;'General Inputs'!$G$42,'General Inputs'!$G$42,YEAR($B154)),TableAnnRentGwth,7,FALSE))^(1/12)-1</f>
        <v>2.4662697723036864E-3</v>
      </c>
      <c r="I154" s="377" t="str">
        <f>IF(AND(B154&gt;'General Inputs'!$C$37,B154&lt;=StartDate),B154,"")</f>
        <v/>
      </c>
      <c r="J154" s="198" t="str">
        <f t="shared" si="31"/>
        <v/>
      </c>
      <c r="K154" s="198" t="str">
        <f t="shared" si="32"/>
        <v/>
      </c>
      <c r="L154" s="198" t="str">
        <f t="shared" si="33"/>
        <v/>
      </c>
      <c r="M154" s="378" t="str">
        <f>IF(AND(B154&gt;'General Inputs'!$C$38,B154&lt;=StartDate),B154,"")</f>
        <v/>
      </c>
      <c r="N154" s="198" t="str">
        <f t="shared" si="34"/>
        <v/>
      </c>
      <c r="O154" s="378" t="str">
        <f>IF(AND(B154&gt;'General Inputs'!$C$39,B154&lt;ConstrStartDate),B154,"")</f>
        <v/>
      </c>
      <c r="P154" s="198" t="str">
        <f t="shared" si="35"/>
        <v/>
      </c>
      <c r="Q154" s="375">
        <f t="shared" si="36"/>
        <v>-16</v>
      </c>
      <c r="S154" t="str">
        <f>IF('General Inputs'!$C$37&gt;'General Inputs'!$C$39,IF(AND(B154&gt;'General Inputs'!$C$39,B154&lt;='General Inputs'!$C$37),B154,""),IF(AND(B154&gt;'General Inputs'!$C$37,B154&lt;='General Inputs'!$C$39),B154,""))</f>
        <v/>
      </c>
      <c r="T154" t="str">
        <f t="shared" si="37"/>
        <v/>
      </c>
      <c r="U154" t="str">
        <f>IF('General Inputs'!$C$37&gt;'General Inputs'!$C$38,IF(AND(B154&gt;'General Inputs'!$C$38,B154&lt;='General Inputs'!$C$37),B154,""),IF(AND(B154&gt;'General Inputs'!$C$37,B154&lt;='General Inputs'!$C$38),B154,""))</f>
        <v/>
      </c>
      <c r="V154" t="str">
        <f t="shared" si="38"/>
        <v/>
      </c>
      <c r="W154" t="str">
        <f>IF('General Inputs'!$C$37&gt;'General Inputs'!$C$38,IF(AND(B154&gt;'General Inputs'!$C$38,B154&lt;='General Inputs'!$C$37),B154,""),IF(AND(B154&gt;'General Inputs'!$C$37,B154&lt;='General Inputs'!$C$38),B154,""))</f>
        <v/>
      </c>
      <c r="X154" t="str">
        <f t="shared" si="39"/>
        <v/>
      </c>
    </row>
    <row r="155" spans="1:24" hidden="1" outlineLevel="1" x14ac:dyDescent="0.3">
      <c r="A155" s="375">
        <v>-15</v>
      </c>
      <c r="B155" s="376">
        <f t="shared" si="30"/>
        <v>46174</v>
      </c>
      <c r="C155" s="198">
        <f>(1+VLOOKUP(IF(YEAR($B155)&gt;'General Inputs'!$G$42,'General Inputs'!$G$42,YEAR($B155)),TableAnnRentGwth,2,FALSE)*(VLOOKUP(MONTH($B155),'General Inputs'!$W$29:$Z$40,3,FALSE)))-1</f>
        <v>1.0349999999998971E-3</v>
      </c>
      <c r="D155" s="198">
        <f>(1+VLOOKUP(IF(YEAR($B155)&gt;'General Inputs'!$G$42,'General Inputs'!$G$42,YEAR($B155)),TableAnnRentGwth,3,FALSE))^(1/12)-1</f>
        <v>1.6515813019202241E-3</v>
      </c>
      <c r="E155" s="198">
        <f>(1+VLOOKUP(IF(YEAR($B155)&gt;'General Inputs'!$G$42,'General Inputs'!$G$42,YEAR($B155)),TableAnnRentGwth,4,FALSE))^(1/12)-1</f>
        <v>2.4662697723036864E-3</v>
      </c>
      <c r="F155" s="198">
        <f>(1+VLOOKUP(IF(YEAR($B155)&gt;'General Inputs'!$G$42,'General Inputs'!$G$42,YEAR($B155)),TableAnnRentGwth,5,FALSE))^(1/12)-1</f>
        <v>2.4662697723036864E-3</v>
      </c>
      <c r="G155" s="198">
        <f>(1+VLOOKUP(IF(YEAR($B155)&gt;'General Inputs'!$G$42,'General Inputs'!$G$42,YEAR($B155)),TableAnnRentGwth,6,FALSE))^(1/12)-1</f>
        <v>2.4662697723036864E-3</v>
      </c>
      <c r="H155" s="198">
        <f>(1+VLOOKUP(IF(YEAR($B155)&gt;'General Inputs'!$G$42,'General Inputs'!$G$42,YEAR($B155)),TableAnnRentGwth,7,FALSE))^(1/12)-1</f>
        <v>2.4662697723036864E-3</v>
      </c>
      <c r="I155" s="377" t="str">
        <f>IF(AND(B155&gt;'General Inputs'!$C$37,B155&lt;=StartDate),B155,"")</f>
        <v/>
      </c>
      <c r="J155" s="198" t="str">
        <f t="shared" si="31"/>
        <v/>
      </c>
      <c r="K155" s="198" t="str">
        <f t="shared" si="32"/>
        <v/>
      </c>
      <c r="L155" s="198" t="str">
        <f t="shared" si="33"/>
        <v/>
      </c>
      <c r="M155" s="378" t="str">
        <f>IF(AND(B155&gt;'General Inputs'!$C$38,B155&lt;=StartDate),B155,"")</f>
        <v/>
      </c>
      <c r="N155" s="198" t="str">
        <f t="shared" si="34"/>
        <v/>
      </c>
      <c r="O155" s="378" t="str">
        <f>IF(AND(B155&gt;'General Inputs'!$C$39,B155&lt;ConstrStartDate),B155,"")</f>
        <v/>
      </c>
      <c r="P155" s="198" t="str">
        <f t="shared" si="35"/>
        <v/>
      </c>
      <c r="Q155" s="375">
        <f t="shared" si="36"/>
        <v>-15</v>
      </c>
      <c r="S155" t="str">
        <f>IF('General Inputs'!$C$37&gt;'General Inputs'!$C$39,IF(AND(B155&gt;'General Inputs'!$C$39,B155&lt;='General Inputs'!$C$37),B155,""),IF(AND(B155&gt;'General Inputs'!$C$37,B155&lt;='General Inputs'!$C$39),B155,""))</f>
        <v/>
      </c>
      <c r="T155" t="str">
        <f t="shared" si="37"/>
        <v/>
      </c>
      <c r="U155" t="str">
        <f>IF('General Inputs'!$C$37&gt;'General Inputs'!$C$38,IF(AND(B155&gt;'General Inputs'!$C$38,B155&lt;='General Inputs'!$C$37),B155,""),IF(AND(B155&gt;'General Inputs'!$C$37,B155&lt;='General Inputs'!$C$38),B155,""))</f>
        <v/>
      </c>
      <c r="V155" t="str">
        <f t="shared" si="38"/>
        <v/>
      </c>
      <c r="W155" t="str">
        <f>IF('General Inputs'!$C$37&gt;'General Inputs'!$C$38,IF(AND(B155&gt;'General Inputs'!$C$38,B155&lt;='General Inputs'!$C$37),B155,""),IF(AND(B155&gt;'General Inputs'!$C$37,B155&lt;='General Inputs'!$C$38),B155,""))</f>
        <v/>
      </c>
      <c r="X155" t="str">
        <f t="shared" si="39"/>
        <v/>
      </c>
    </row>
    <row r="156" spans="1:24" hidden="1" outlineLevel="1" x14ac:dyDescent="0.3">
      <c r="A156" s="375">
        <v>-14</v>
      </c>
      <c r="B156" s="376">
        <f t="shared" si="30"/>
        <v>46204</v>
      </c>
      <c r="C156" s="198">
        <f>(1+VLOOKUP(IF(YEAR($B156)&gt;'General Inputs'!$G$42,'General Inputs'!$G$42,YEAR($B156)),TableAnnRentGwth,2,FALSE)*(VLOOKUP(MONTH($B156),'General Inputs'!$W$29:$Z$40,3,FALSE)))-1</f>
        <v>1.0349999999998971E-3</v>
      </c>
      <c r="D156" s="198">
        <f>(1+VLOOKUP(IF(YEAR($B156)&gt;'General Inputs'!$G$42,'General Inputs'!$G$42,YEAR($B156)),TableAnnRentGwth,3,FALSE))^(1/12)-1</f>
        <v>1.6515813019202241E-3</v>
      </c>
      <c r="E156" s="198">
        <f>(1+VLOOKUP(IF(YEAR($B156)&gt;'General Inputs'!$G$42,'General Inputs'!$G$42,YEAR($B156)),TableAnnRentGwth,4,FALSE))^(1/12)-1</f>
        <v>2.4662697723036864E-3</v>
      </c>
      <c r="F156" s="198">
        <f>(1+VLOOKUP(IF(YEAR($B156)&gt;'General Inputs'!$G$42,'General Inputs'!$G$42,YEAR($B156)),TableAnnRentGwth,5,FALSE))^(1/12)-1</f>
        <v>2.4662697723036864E-3</v>
      </c>
      <c r="G156" s="198">
        <f>(1+VLOOKUP(IF(YEAR($B156)&gt;'General Inputs'!$G$42,'General Inputs'!$G$42,YEAR($B156)),TableAnnRentGwth,6,FALSE))^(1/12)-1</f>
        <v>2.4662697723036864E-3</v>
      </c>
      <c r="H156" s="198">
        <f>(1+VLOOKUP(IF(YEAR($B156)&gt;'General Inputs'!$G$42,'General Inputs'!$G$42,YEAR($B156)),TableAnnRentGwth,7,FALSE))^(1/12)-1</f>
        <v>2.4662697723036864E-3</v>
      </c>
      <c r="I156" s="377">
        <f>IF(AND(B156&gt;'General Inputs'!$C$37,B156&lt;=StartDate),B156,"")</f>
        <v>46204</v>
      </c>
      <c r="J156" s="198">
        <f t="shared" si="31"/>
        <v>1.0010349999999999</v>
      </c>
      <c r="K156" s="198">
        <f t="shared" si="32"/>
        <v>1.0016515813019202</v>
      </c>
      <c r="L156" s="198">
        <f t="shared" si="33"/>
        <v>1.0024662697723037</v>
      </c>
      <c r="M156" s="378">
        <f>IF(AND(B156&gt;'General Inputs'!$C$38,B156&lt;=StartDate),B156,"")</f>
        <v>46204</v>
      </c>
      <c r="N156" s="198">
        <f t="shared" si="34"/>
        <v>1.0024662697723037</v>
      </c>
      <c r="O156" s="378">
        <f>IF(AND(B156&gt;'General Inputs'!$C$39,B156&lt;ConstrStartDate),B156,"")</f>
        <v>46204</v>
      </c>
      <c r="P156" s="198">
        <f t="shared" si="35"/>
        <v>1.0024662697723037</v>
      </c>
      <c r="Q156" s="375">
        <f t="shared" si="36"/>
        <v>-14</v>
      </c>
      <c r="S156" t="str">
        <f>IF('General Inputs'!$C$37&gt;'General Inputs'!$C$39,IF(AND(B156&gt;'General Inputs'!$C$39,B156&lt;='General Inputs'!$C$37),B156,""),IF(AND(B156&gt;'General Inputs'!$C$37,B156&lt;='General Inputs'!$C$39),B156,""))</f>
        <v/>
      </c>
      <c r="T156" t="str">
        <f t="shared" si="37"/>
        <v/>
      </c>
      <c r="U156" t="str">
        <f>IF('General Inputs'!$C$37&gt;'General Inputs'!$C$38,IF(AND(B156&gt;'General Inputs'!$C$38,B156&lt;='General Inputs'!$C$37),B156,""),IF(AND(B156&gt;'General Inputs'!$C$37,B156&lt;='General Inputs'!$C$38),B156,""))</f>
        <v/>
      </c>
      <c r="V156" t="str">
        <f t="shared" si="38"/>
        <v/>
      </c>
      <c r="W156" t="str">
        <f>IF('General Inputs'!$C$37&gt;'General Inputs'!$C$38,IF(AND(B156&gt;'General Inputs'!$C$38,B156&lt;='General Inputs'!$C$37),B156,""),IF(AND(B156&gt;'General Inputs'!$C$37,B156&lt;='General Inputs'!$C$38),B156,""))</f>
        <v/>
      </c>
      <c r="X156" t="str">
        <f t="shared" si="39"/>
        <v/>
      </c>
    </row>
    <row r="157" spans="1:24" hidden="1" outlineLevel="1" x14ac:dyDescent="0.3">
      <c r="A157" s="375">
        <v>-13</v>
      </c>
      <c r="B157" s="376">
        <f t="shared" si="30"/>
        <v>46235</v>
      </c>
      <c r="C157" s="198">
        <f>(1+VLOOKUP(IF(YEAR($B157)&gt;'General Inputs'!$G$42,'General Inputs'!$G$42,YEAR($B157)),TableAnnRentGwth,2,FALSE)*(VLOOKUP(MONTH($B157),'General Inputs'!$W$29:$Z$40,3,FALSE)))-1</f>
        <v>1.0349999999998971E-3</v>
      </c>
      <c r="D157" s="198">
        <f>(1+VLOOKUP(IF(YEAR($B157)&gt;'General Inputs'!$G$42,'General Inputs'!$G$42,YEAR($B157)),TableAnnRentGwth,3,FALSE))^(1/12)-1</f>
        <v>1.6515813019202241E-3</v>
      </c>
      <c r="E157" s="198">
        <f>(1+VLOOKUP(IF(YEAR($B157)&gt;'General Inputs'!$G$42,'General Inputs'!$G$42,YEAR($B157)),TableAnnRentGwth,4,FALSE))^(1/12)-1</f>
        <v>2.4662697723036864E-3</v>
      </c>
      <c r="F157" s="198">
        <f>(1+VLOOKUP(IF(YEAR($B157)&gt;'General Inputs'!$G$42,'General Inputs'!$G$42,YEAR($B157)),TableAnnRentGwth,5,FALSE))^(1/12)-1</f>
        <v>2.4662697723036864E-3</v>
      </c>
      <c r="G157" s="198">
        <f>(1+VLOOKUP(IF(YEAR($B157)&gt;'General Inputs'!$G$42,'General Inputs'!$G$42,YEAR($B157)),TableAnnRentGwth,6,FALSE))^(1/12)-1</f>
        <v>2.4662697723036864E-3</v>
      </c>
      <c r="H157" s="198">
        <f>(1+VLOOKUP(IF(YEAR($B157)&gt;'General Inputs'!$G$42,'General Inputs'!$G$42,YEAR($B157)),TableAnnRentGwth,7,FALSE))^(1/12)-1</f>
        <v>2.4662697723036864E-3</v>
      </c>
      <c r="I157" s="377">
        <f>IF(AND(B157&gt;'General Inputs'!$C$37,B157&lt;=StartDate),B157,"")</f>
        <v>46235</v>
      </c>
      <c r="J157" s="198">
        <f t="shared" si="31"/>
        <v>1.0010349999999999</v>
      </c>
      <c r="K157" s="198">
        <f t="shared" si="32"/>
        <v>1.0016515813019202</v>
      </c>
      <c r="L157" s="198">
        <f t="shared" si="33"/>
        <v>1.0024662697723037</v>
      </c>
      <c r="M157" s="378">
        <f>IF(AND(B157&gt;'General Inputs'!$C$38,B157&lt;=StartDate),B157,"")</f>
        <v>46235</v>
      </c>
      <c r="N157" s="198">
        <f t="shared" si="34"/>
        <v>1.0024662697723037</v>
      </c>
      <c r="O157" s="378">
        <f>IF(AND(B157&gt;'General Inputs'!$C$39,B157&lt;ConstrStartDate),B157,"")</f>
        <v>46235</v>
      </c>
      <c r="P157" s="198">
        <f t="shared" si="35"/>
        <v>1.0024662697723037</v>
      </c>
      <c r="Q157" s="375">
        <f t="shared" si="36"/>
        <v>-13</v>
      </c>
      <c r="S157" t="str">
        <f>IF('General Inputs'!$C$37&gt;'General Inputs'!$C$39,IF(AND(B157&gt;'General Inputs'!$C$39,B157&lt;='General Inputs'!$C$37),B157,""),IF(AND(B157&gt;'General Inputs'!$C$37,B157&lt;='General Inputs'!$C$39),B157,""))</f>
        <v/>
      </c>
      <c r="T157" t="str">
        <f t="shared" si="37"/>
        <v/>
      </c>
      <c r="U157" t="str">
        <f>IF('General Inputs'!$C$37&gt;'General Inputs'!$C$38,IF(AND(B157&gt;'General Inputs'!$C$38,B157&lt;='General Inputs'!$C$37),B157,""),IF(AND(B157&gt;'General Inputs'!$C$37,B157&lt;='General Inputs'!$C$38),B157,""))</f>
        <v/>
      </c>
      <c r="V157" t="str">
        <f t="shared" si="38"/>
        <v/>
      </c>
      <c r="W157" t="str">
        <f>IF('General Inputs'!$C$37&gt;'General Inputs'!$C$38,IF(AND(B157&gt;'General Inputs'!$C$38,B157&lt;='General Inputs'!$C$37),B157,""),IF(AND(B157&gt;'General Inputs'!$C$37,B157&lt;='General Inputs'!$C$38),B157,""))</f>
        <v/>
      </c>
      <c r="X157" t="str">
        <f t="shared" si="39"/>
        <v/>
      </c>
    </row>
    <row r="158" spans="1:24" hidden="1" outlineLevel="1" x14ac:dyDescent="0.3">
      <c r="A158" s="375">
        <v>-12</v>
      </c>
      <c r="B158" s="376">
        <f t="shared" si="30"/>
        <v>46266</v>
      </c>
      <c r="C158" s="198">
        <f>(1+VLOOKUP(IF(YEAR($B158)&gt;'General Inputs'!$G$42,'General Inputs'!$G$42,YEAR($B158)),TableAnnRentGwth,2,FALSE)*(VLOOKUP(MONTH($B158),'General Inputs'!$W$29:$Z$40,3,FALSE)))-1</f>
        <v>1.0349999999998971E-3</v>
      </c>
      <c r="D158" s="198">
        <f>(1+VLOOKUP(IF(YEAR($B158)&gt;'General Inputs'!$G$42,'General Inputs'!$G$42,YEAR($B158)),TableAnnRentGwth,3,FALSE))^(1/12)-1</f>
        <v>1.6515813019202241E-3</v>
      </c>
      <c r="E158" s="198">
        <f>(1+VLOOKUP(IF(YEAR($B158)&gt;'General Inputs'!$G$42,'General Inputs'!$G$42,YEAR($B158)),TableAnnRentGwth,4,FALSE))^(1/12)-1</f>
        <v>2.4662697723036864E-3</v>
      </c>
      <c r="F158" s="198">
        <f>(1+VLOOKUP(IF(YEAR($B158)&gt;'General Inputs'!$G$42,'General Inputs'!$G$42,YEAR($B158)),TableAnnRentGwth,5,FALSE))^(1/12)-1</f>
        <v>2.4662697723036864E-3</v>
      </c>
      <c r="G158" s="198">
        <f>(1+VLOOKUP(IF(YEAR($B158)&gt;'General Inputs'!$G$42,'General Inputs'!$G$42,YEAR($B158)),TableAnnRentGwth,6,FALSE))^(1/12)-1</f>
        <v>2.4662697723036864E-3</v>
      </c>
      <c r="H158" s="198">
        <f>(1+VLOOKUP(IF(YEAR($B158)&gt;'General Inputs'!$G$42,'General Inputs'!$G$42,YEAR($B158)),TableAnnRentGwth,7,FALSE))^(1/12)-1</f>
        <v>2.4662697723036864E-3</v>
      </c>
      <c r="I158" s="377">
        <f>IF(AND(B158&gt;'General Inputs'!$C$37,B158&lt;=StartDate),B158,"")</f>
        <v>46266</v>
      </c>
      <c r="J158" s="198">
        <f t="shared" si="31"/>
        <v>1.0010349999999999</v>
      </c>
      <c r="K158" s="198">
        <f t="shared" si="32"/>
        <v>1.0016515813019202</v>
      </c>
      <c r="L158" s="198">
        <f t="shared" si="33"/>
        <v>1.0024662697723037</v>
      </c>
      <c r="M158" s="378">
        <f>IF(AND(B158&gt;'General Inputs'!$C$38,B158&lt;=StartDate),B158,"")</f>
        <v>46266</v>
      </c>
      <c r="N158" s="198">
        <f t="shared" si="34"/>
        <v>1.0024662697723037</v>
      </c>
      <c r="O158" s="378">
        <f>IF(AND(B158&gt;'General Inputs'!$C$39,B158&lt;ConstrStartDate),B158,"")</f>
        <v>46266</v>
      </c>
      <c r="P158" s="198">
        <f t="shared" si="35"/>
        <v>1.0024662697723037</v>
      </c>
      <c r="Q158" s="375">
        <f t="shared" si="36"/>
        <v>-12</v>
      </c>
      <c r="S158" t="str">
        <f>IF('General Inputs'!$C$37&gt;'General Inputs'!$C$39,IF(AND(B158&gt;'General Inputs'!$C$39,B158&lt;='General Inputs'!$C$37),B158,""),IF(AND(B158&gt;'General Inputs'!$C$37,B158&lt;='General Inputs'!$C$39),B158,""))</f>
        <v/>
      </c>
      <c r="T158" t="str">
        <f t="shared" si="37"/>
        <v/>
      </c>
      <c r="U158" t="str">
        <f>IF('General Inputs'!$C$37&gt;'General Inputs'!$C$38,IF(AND(B158&gt;'General Inputs'!$C$38,B158&lt;='General Inputs'!$C$37),B158,""),IF(AND(B158&gt;'General Inputs'!$C$37,B158&lt;='General Inputs'!$C$38),B158,""))</f>
        <v/>
      </c>
      <c r="V158" t="str">
        <f t="shared" si="38"/>
        <v/>
      </c>
      <c r="W158" t="str">
        <f>IF('General Inputs'!$C$37&gt;'General Inputs'!$C$38,IF(AND(B158&gt;'General Inputs'!$C$38,B158&lt;='General Inputs'!$C$37),B158,""),IF(AND(B158&gt;'General Inputs'!$C$37,B158&lt;='General Inputs'!$C$38),B158,""))</f>
        <v/>
      </c>
      <c r="X158" t="str">
        <f t="shared" si="39"/>
        <v/>
      </c>
    </row>
    <row r="159" spans="1:24" hidden="1" outlineLevel="1" x14ac:dyDescent="0.3">
      <c r="A159" s="375">
        <v>-11</v>
      </c>
      <c r="B159" s="376">
        <f t="shared" si="30"/>
        <v>46296</v>
      </c>
      <c r="C159" s="198">
        <f>(1+VLOOKUP(IF(YEAR($B159)&gt;'General Inputs'!$G$42,'General Inputs'!$G$42,YEAR($B159)),TableAnnRentGwth,2,FALSE)*(VLOOKUP(MONTH($B159),'General Inputs'!$W$29:$Z$40,3,FALSE)))-1</f>
        <v>6.9000000000007944E-4</v>
      </c>
      <c r="D159" s="198">
        <f>(1+VLOOKUP(IF(YEAR($B159)&gt;'General Inputs'!$G$42,'General Inputs'!$G$42,YEAR($B159)),TableAnnRentGwth,3,FALSE))^(1/12)-1</f>
        <v>1.6515813019202241E-3</v>
      </c>
      <c r="E159" s="198">
        <f>(1+VLOOKUP(IF(YEAR($B159)&gt;'General Inputs'!$G$42,'General Inputs'!$G$42,YEAR($B159)),TableAnnRentGwth,4,FALSE))^(1/12)-1</f>
        <v>2.4662697723036864E-3</v>
      </c>
      <c r="F159" s="198">
        <f>(1+VLOOKUP(IF(YEAR($B159)&gt;'General Inputs'!$G$42,'General Inputs'!$G$42,YEAR($B159)),TableAnnRentGwth,5,FALSE))^(1/12)-1</f>
        <v>2.4662697723036864E-3</v>
      </c>
      <c r="G159" s="198">
        <f>(1+VLOOKUP(IF(YEAR($B159)&gt;'General Inputs'!$G$42,'General Inputs'!$G$42,YEAR($B159)),TableAnnRentGwth,6,FALSE))^(1/12)-1</f>
        <v>2.4662697723036864E-3</v>
      </c>
      <c r="H159" s="198">
        <f>(1+VLOOKUP(IF(YEAR($B159)&gt;'General Inputs'!$G$42,'General Inputs'!$G$42,YEAR($B159)),TableAnnRentGwth,7,FALSE))^(1/12)-1</f>
        <v>2.4662697723036864E-3</v>
      </c>
      <c r="I159" s="377">
        <f>IF(AND(B159&gt;'General Inputs'!$C$37,B159&lt;=StartDate),B159,"")</f>
        <v>46296</v>
      </c>
      <c r="J159" s="198">
        <f>IF(I159="","",1+VLOOKUP(I159,$B$134:$F$218,2,FALSE))</f>
        <v>1.0006900000000001</v>
      </c>
      <c r="K159" s="198">
        <f>IF(I159="","",1+VLOOKUP(I159,$B$134:$F$218,3,FALSE))</f>
        <v>1.0016515813019202</v>
      </c>
      <c r="L159" s="198">
        <f>IF(I159="","",1+VLOOKUP(I159,$B$134:$F$218,4,FALSE))</f>
        <v>1.0024662697723037</v>
      </c>
      <c r="M159" s="378">
        <f>IF(AND(B159&gt;'General Inputs'!$C$38,B159&lt;=StartDate),B159,"")</f>
        <v>46296</v>
      </c>
      <c r="N159" s="198">
        <f>IF(M159="","",1+VLOOKUP(M159,$B$134:$F$218,5,FALSE))</f>
        <v>1.0024662697723037</v>
      </c>
      <c r="O159" s="378">
        <f>IF(AND(B159&gt;'General Inputs'!$C$39,B159&lt;ConstrStartDate),B159,"")</f>
        <v>46296</v>
      </c>
      <c r="P159" s="198">
        <f>IF(O159="","",1+VLOOKUP(O159,$B$134:$H$218,7,FALSE))</f>
        <v>1.0024662697723037</v>
      </c>
      <c r="Q159" s="375">
        <f t="shared" si="36"/>
        <v>-11</v>
      </c>
      <c r="S159" s="384" t="str">
        <f>IF('General Inputs'!$C$37&gt;'General Inputs'!$C$39,IF(AND(B159&gt;'General Inputs'!$C$39,B159&lt;='General Inputs'!$C$37),B159,""),IF(AND(B159&gt;'General Inputs'!$C$37,B159&lt;='General Inputs'!$C$39),B159,""))</f>
        <v/>
      </c>
      <c r="T159" s="198" t="str">
        <f t="shared" si="37"/>
        <v/>
      </c>
      <c r="U159" s="384" t="str">
        <f>IF('General Inputs'!$C$37&gt;'General Inputs'!$C$38,IF(AND(B159&gt;'General Inputs'!$C$38,B159&lt;='General Inputs'!$C$37),B159,""),IF(AND(B159&gt;'General Inputs'!$C$37,B159&lt;='General Inputs'!$C$38),B159,""))</f>
        <v/>
      </c>
      <c r="V159" s="198" t="str">
        <f t="shared" si="38"/>
        <v/>
      </c>
      <c r="W159" s="384" t="str">
        <f>IF('General Inputs'!$C$37&gt;'General Inputs'!$C$38,IF(AND(B159&gt;'General Inputs'!$C$38,B159&lt;='General Inputs'!$C$37),B159,""),IF(AND(B159&gt;'General Inputs'!$C$37,B159&lt;='General Inputs'!$C$38),B159,""))</f>
        <v/>
      </c>
      <c r="X159" s="198" t="str">
        <f t="shared" si="39"/>
        <v/>
      </c>
    </row>
    <row r="160" spans="1:24" hidden="1" outlineLevel="1" x14ac:dyDescent="0.3">
      <c r="A160" s="375">
        <v>-10</v>
      </c>
      <c r="B160" s="376">
        <f t="shared" si="30"/>
        <v>46327</v>
      </c>
      <c r="C160" s="198">
        <f>(1+VLOOKUP(IF(YEAR($B160)&gt;'General Inputs'!$G$42,'General Inputs'!$G$42,YEAR($B160)),TableAnnRentGwth,2,FALSE)*(VLOOKUP(MONTH($B160),'General Inputs'!$W$29:$Z$40,3,FALSE)))-1</f>
        <v>6.9000000000007944E-4</v>
      </c>
      <c r="D160" s="198">
        <f>(1+VLOOKUP(IF(YEAR($B160)&gt;'General Inputs'!$G$42,'General Inputs'!$G$42,YEAR($B160)),TableAnnRentGwth,3,FALSE))^(1/12)-1</f>
        <v>1.6515813019202241E-3</v>
      </c>
      <c r="E160" s="198">
        <f>(1+VLOOKUP(IF(YEAR($B160)&gt;'General Inputs'!$G$42,'General Inputs'!$G$42,YEAR($B160)),TableAnnRentGwth,4,FALSE))^(1/12)-1</f>
        <v>2.4662697723036864E-3</v>
      </c>
      <c r="F160" s="198">
        <f>(1+VLOOKUP(IF(YEAR($B160)&gt;'General Inputs'!$G$42,'General Inputs'!$G$42,YEAR($B160)),TableAnnRentGwth,5,FALSE))^(1/12)-1</f>
        <v>2.4662697723036864E-3</v>
      </c>
      <c r="G160" s="198">
        <f>(1+VLOOKUP(IF(YEAR($B160)&gt;'General Inputs'!$G$42,'General Inputs'!$G$42,YEAR($B160)),TableAnnRentGwth,6,FALSE))^(1/12)-1</f>
        <v>2.4662697723036864E-3</v>
      </c>
      <c r="H160" s="198">
        <f>(1+VLOOKUP(IF(YEAR($B160)&gt;'General Inputs'!$G$42,'General Inputs'!$G$42,YEAR($B160)),TableAnnRentGwth,7,FALSE))^(1/12)-1</f>
        <v>2.4662697723036864E-3</v>
      </c>
      <c r="I160" s="377">
        <f>IF(AND(B160&gt;'General Inputs'!$C$37,B160&lt;=StartDate),B160,"")</f>
        <v>46327</v>
      </c>
      <c r="J160" s="198">
        <f t="shared" ref="J160:J170" si="40">IF(I160="","",1+VLOOKUP(I160,$B$134:$F$218,2,FALSE))</f>
        <v>1.0006900000000001</v>
      </c>
      <c r="K160" s="198">
        <f t="shared" ref="K160:K170" si="41">IF(I160="","",1+VLOOKUP(I160,$B$134:$F$218,3,FALSE))</f>
        <v>1.0016515813019202</v>
      </c>
      <c r="L160" s="198">
        <f t="shared" ref="L160:L170" si="42">IF(I160="","",1+VLOOKUP(I160,$B$134:$F$218,4,FALSE))</f>
        <v>1.0024662697723037</v>
      </c>
      <c r="M160" s="378">
        <f>IF(AND(B160&gt;'General Inputs'!$C$38,B160&lt;=StartDate),B160,"")</f>
        <v>46327</v>
      </c>
      <c r="N160" s="198">
        <f t="shared" ref="N160:N170" si="43">IF(M160="","",1+VLOOKUP(M160,$B$134:$F$218,5,FALSE))</f>
        <v>1.0024662697723037</v>
      </c>
      <c r="O160" s="378">
        <f>IF(AND(B160&gt;'General Inputs'!$C$39,B160&lt;ConstrStartDate),B160,"")</f>
        <v>46327</v>
      </c>
      <c r="P160" s="198">
        <f t="shared" ref="P160:P170" si="44">IF(O160="","",1+VLOOKUP(O160,$B$134:$H$218,7,FALSE))</f>
        <v>1.0024662697723037</v>
      </c>
      <c r="Q160" s="375">
        <f t="shared" si="36"/>
        <v>-10</v>
      </c>
      <c r="S160" s="384" t="str">
        <f>IF('General Inputs'!$C$37&gt;'General Inputs'!$C$39,IF(AND(B160&gt;'General Inputs'!$C$39,B160&lt;='General Inputs'!$C$37),B160,""),IF(AND(B160&gt;'General Inputs'!$C$37,B160&lt;='General Inputs'!$C$39),B160,""))</f>
        <v/>
      </c>
      <c r="T160" s="198" t="str">
        <f t="shared" si="37"/>
        <v/>
      </c>
      <c r="U160" s="384" t="str">
        <f>IF('General Inputs'!$C$37&gt;'General Inputs'!$C$38,IF(AND(B160&gt;'General Inputs'!$C$38,B160&lt;='General Inputs'!$C$37),B160,""),IF(AND(B160&gt;'General Inputs'!$C$37,B160&lt;='General Inputs'!$C$38),B160,""))</f>
        <v/>
      </c>
      <c r="V160" s="198" t="str">
        <f t="shared" si="38"/>
        <v/>
      </c>
      <c r="W160" s="384" t="str">
        <f>IF('General Inputs'!$C$37&gt;'General Inputs'!$C$38,IF(AND(B160&gt;'General Inputs'!$C$38,B160&lt;='General Inputs'!$C$37),B160,""),IF(AND(B160&gt;'General Inputs'!$C$37,B160&lt;='General Inputs'!$C$38),B160,""))</f>
        <v/>
      </c>
      <c r="X160" s="198" t="str">
        <f t="shared" si="39"/>
        <v/>
      </c>
    </row>
    <row r="161" spans="1:29" hidden="1" outlineLevel="1" x14ac:dyDescent="0.3">
      <c r="A161" s="375">
        <v>-9</v>
      </c>
      <c r="B161" s="376">
        <f t="shared" si="30"/>
        <v>46357</v>
      </c>
      <c r="C161" s="198">
        <f>(1+VLOOKUP(IF(YEAR($B161)&gt;'General Inputs'!$G$42,'General Inputs'!$G$42,YEAR($B161)),TableAnnRentGwth,2,FALSE)*(VLOOKUP(MONTH($B161),'General Inputs'!$W$29:$Z$40,3,FALSE)))-1</f>
        <v>6.9000000000007944E-4</v>
      </c>
      <c r="D161" s="198">
        <f>(1+VLOOKUP(IF(YEAR($B161)&gt;'General Inputs'!$G$42,'General Inputs'!$G$42,YEAR($B161)),TableAnnRentGwth,3,FALSE))^(1/12)-1</f>
        <v>1.6515813019202241E-3</v>
      </c>
      <c r="E161" s="198">
        <f>(1+VLOOKUP(IF(YEAR($B161)&gt;'General Inputs'!$G$42,'General Inputs'!$G$42,YEAR($B161)),TableAnnRentGwth,4,FALSE))^(1/12)-1</f>
        <v>2.4662697723036864E-3</v>
      </c>
      <c r="F161" s="198">
        <f>(1+VLOOKUP(IF(YEAR($B161)&gt;'General Inputs'!$G$42,'General Inputs'!$G$42,YEAR($B161)),TableAnnRentGwth,5,FALSE))^(1/12)-1</f>
        <v>2.4662697723036864E-3</v>
      </c>
      <c r="G161" s="198">
        <f>(1+VLOOKUP(IF(YEAR($B161)&gt;'General Inputs'!$G$42,'General Inputs'!$G$42,YEAR($B161)),TableAnnRentGwth,6,FALSE))^(1/12)-1</f>
        <v>2.4662697723036864E-3</v>
      </c>
      <c r="H161" s="198">
        <f>(1+VLOOKUP(IF(YEAR($B161)&gt;'General Inputs'!$G$42,'General Inputs'!$G$42,YEAR($B161)),TableAnnRentGwth,7,FALSE))^(1/12)-1</f>
        <v>2.4662697723036864E-3</v>
      </c>
      <c r="I161" s="377">
        <f>IF(AND(B161&gt;'General Inputs'!$C$37,B161&lt;=StartDate),B161,"")</f>
        <v>46357</v>
      </c>
      <c r="J161" s="198">
        <f t="shared" si="40"/>
        <v>1.0006900000000001</v>
      </c>
      <c r="K161" s="198">
        <f t="shared" si="41"/>
        <v>1.0016515813019202</v>
      </c>
      <c r="L161" s="198">
        <f t="shared" si="42"/>
        <v>1.0024662697723037</v>
      </c>
      <c r="M161" s="378">
        <f>IF(AND(B161&gt;'General Inputs'!$C$38,B161&lt;=StartDate),B161,"")</f>
        <v>46357</v>
      </c>
      <c r="N161" s="198">
        <f t="shared" si="43"/>
        <v>1.0024662697723037</v>
      </c>
      <c r="O161" s="378">
        <f>IF(AND(B161&gt;'General Inputs'!$C$39,B161&lt;ConstrStartDate),B161,"")</f>
        <v>46357</v>
      </c>
      <c r="P161" s="198">
        <f t="shared" si="44"/>
        <v>1.0024662697723037</v>
      </c>
      <c r="Q161" s="375">
        <f t="shared" si="36"/>
        <v>-9</v>
      </c>
      <c r="S161" s="384" t="str">
        <f>IF('General Inputs'!$C$37&gt;'General Inputs'!$C$39,IF(AND(B161&gt;'General Inputs'!$C$39,B161&lt;='General Inputs'!$C$37),B161,""),IF(AND(B161&gt;'General Inputs'!$C$37,B161&lt;='General Inputs'!$C$39),B161,""))</f>
        <v/>
      </c>
      <c r="T161" s="198" t="str">
        <f t="shared" si="37"/>
        <v/>
      </c>
      <c r="U161" s="384" t="str">
        <f>IF('General Inputs'!$C$37&gt;'General Inputs'!$C$38,IF(AND(B161&gt;'General Inputs'!$C$38,B161&lt;='General Inputs'!$C$37),B161,""),IF(AND(B161&gt;'General Inputs'!$C$37,B161&lt;='General Inputs'!$C$38),B161,""))</f>
        <v/>
      </c>
      <c r="V161" s="198" t="str">
        <f t="shared" si="38"/>
        <v/>
      </c>
      <c r="W161" s="384" t="str">
        <f>IF('General Inputs'!$C$37&gt;'General Inputs'!$C$38,IF(AND(B161&gt;'General Inputs'!$C$38,B161&lt;='General Inputs'!$C$37),B161,""),IF(AND(B161&gt;'General Inputs'!$C$37,B161&lt;='General Inputs'!$C$38),B161,""))</f>
        <v/>
      </c>
      <c r="X161" s="198" t="str">
        <f t="shared" si="39"/>
        <v/>
      </c>
    </row>
    <row r="162" spans="1:29" hidden="1" outlineLevel="1" x14ac:dyDescent="0.3">
      <c r="A162" s="375">
        <v>-8</v>
      </c>
      <c r="B162" s="376">
        <f t="shared" si="30"/>
        <v>46388</v>
      </c>
      <c r="C162" s="198">
        <f>(1+VLOOKUP(IF(YEAR($B162)&gt;'General Inputs'!$G$42,'General Inputs'!$G$42,YEAR($B162)),TableAnnRentGwth,2,FALSE)*(VLOOKUP(MONTH($B162),'General Inputs'!$W$29:$Z$40,3,FALSE)))-1</f>
        <v>1.4400000000001079E-3</v>
      </c>
      <c r="D162" s="198">
        <f>(1+VLOOKUP(IF(YEAR($B162)&gt;'General Inputs'!$G$42,'General Inputs'!$G$42,YEAR($B162)),TableAnnRentGwth,3,FALSE))^(1/12)-1</f>
        <v>1.6515813019202241E-3</v>
      </c>
      <c r="E162" s="198">
        <f>(1+VLOOKUP(IF(YEAR($B162)&gt;'General Inputs'!$G$42,'General Inputs'!$G$42,YEAR($B162)),TableAnnRentGwth,4,FALSE))^(1/12)-1</f>
        <v>2.4662697723036864E-3</v>
      </c>
      <c r="F162" s="198">
        <f>(1+VLOOKUP(IF(YEAR($B162)&gt;'General Inputs'!$G$42,'General Inputs'!$G$42,YEAR($B162)),TableAnnRentGwth,5,FALSE))^(1/12)-1</f>
        <v>2.4662697723036864E-3</v>
      </c>
      <c r="G162" s="198">
        <f>(1+VLOOKUP(IF(YEAR($B162)&gt;'General Inputs'!$G$42,'General Inputs'!$G$42,YEAR($B162)),TableAnnRentGwth,6,FALSE))^(1/12)-1</f>
        <v>2.4662697723036864E-3</v>
      </c>
      <c r="H162" s="198">
        <f>(1+VLOOKUP(IF(YEAR($B162)&gt;'General Inputs'!$G$42,'General Inputs'!$G$42,YEAR($B162)),TableAnnRentGwth,7,FALSE))^(1/12)-1</f>
        <v>2.4662697723036864E-3</v>
      </c>
      <c r="I162" s="377">
        <f>IF(AND(B162&gt;'General Inputs'!$C$37,B162&lt;=StartDate),B162,"")</f>
        <v>46388</v>
      </c>
      <c r="J162" s="198">
        <f t="shared" si="40"/>
        <v>1.0014400000000001</v>
      </c>
      <c r="K162" s="198">
        <f t="shared" si="41"/>
        <v>1.0016515813019202</v>
      </c>
      <c r="L162" s="198">
        <f t="shared" si="42"/>
        <v>1.0024662697723037</v>
      </c>
      <c r="M162" s="378">
        <f>IF(AND(B162&gt;'General Inputs'!$C$38,B162&lt;=StartDate),B162,"")</f>
        <v>46388</v>
      </c>
      <c r="N162" s="198">
        <f t="shared" si="43"/>
        <v>1.0024662697723037</v>
      </c>
      <c r="O162" s="378">
        <f>IF(AND(B162&gt;'General Inputs'!$C$39,B162&lt;ConstrStartDate),B162,"")</f>
        <v>46388</v>
      </c>
      <c r="P162" s="198">
        <f t="shared" si="44"/>
        <v>1.0024662697723037</v>
      </c>
      <c r="Q162" s="375">
        <f t="shared" si="36"/>
        <v>-8</v>
      </c>
      <c r="S162" s="384" t="str">
        <f>IF('General Inputs'!$C$37&gt;'General Inputs'!$C$39,IF(AND(B162&gt;'General Inputs'!$C$39,B162&lt;='General Inputs'!$C$37),B162,""),IF(AND(B162&gt;'General Inputs'!$C$37,B162&lt;='General Inputs'!$C$39),B162,""))</f>
        <v/>
      </c>
      <c r="T162" s="198" t="str">
        <f t="shared" si="37"/>
        <v/>
      </c>
      <c r="U162" s="384" t="str">
        <f>IF('General Inputs'!$C$37&gt;'General Inputs'!$C$38,IF(AND(B162&gt;'General Inputs'!$C$38,B162&lt;='General Inputs'!$C$37),B162,""),IF(AND(B162&gt;'General Inputs'!$C$37,B162&lt;='General Inputs'!$C$38),B162,""))</f>
        <v/>
      </c>
      <c r="V162" s="198" t="str">
        <f t="shared" si="38"/>
        <v/>
      </c>
      <c r="W162" s="384" t="str">
        <f>IF('General Inputs'!$C$37&gt;'General Inputs'!$C$38,IF(AND(B162&gt;'General Inputs'!$C$38,B162&lt;='General Inputs'!$C$37),B162,""),IF(AND(B162&gt;'General Inputs'!$C$37,B162&lt;='General Inputs'!$C$38),B162,""))</f>
        <v/>
      </c>
      <c r="X162" s="198" t="str">
        <f t="shared" si="39"/>
        <v/>
      </c>
    </row>
    <row r="163" spans="1:29" hidden="1" outlineLevel="1" x14ac:dyDescent="0.3">
      <c r="A163" s="375">
        <v>-7</v>
      </c>
      <c r="B163" s="376">
        <f t="shared" si="30"/>
        <v>46419</v>
      </c>
      <c r="C163" s="198">
        <f>(1+VLOOKUP(IF(YEAR($B163)&gt;'General Inputs'!$G$42,'General Inputs'!$G$42,YEAR($B163)),TableAnnRentGwth,2,FALSE)*(VLOOKUP(MONTH($B163),'General Inputs'!$W$29:$Z$40,3,FALSE)))-1</f>
        <v>1.4400000000001079E-3</v>
      </c>
      <c r="D163" s="198">
        <f>(1+VLOOKUP(IF(YEAR($B163)&gt;'General Inputs'!$G$42,'General Inputs'!$G$42,YEAR($B163)),TableAnnRentGwth,3,FALSE))^(1/12)-1</f>
        <v>1.6515813019202241E-3</v>
      </c>
      <c r="E163" s="198">
        <f>(1+VLOOKUP(IF(YEAR($B163)&gt;'General Inputs'!$G$42,'General Inputs'!$G$42,YEAR($B163)),TableAnnRentGwth,4,FALSE))^(1/12)-1</f>
        <v>2.4662697723036864E-3</v>
      </c>
      <c r="F163" s="198">
        <f>(1+VLOOKUP(IF(YEAR($B163)&gt;'General Inputs'!$G$42,'General Inputs'!$G$42,YEAR($B163)),TableAnnRentGwth,5,FALSE))^(1/12)-1</f>
        <v>2.4662697723036864E-3</v>
      </c>
      <c r="G163" s="198">
        <f>(1+VLOOKUP(IF(YEAR($B163)&gt;'General Inputs'!$G$42,'General Inputs'!$G$42,YEAR($B163)),TableAnnRentGwth,6,FALSE))^(1/12)-1</f>
        <v>2.4662697723036864E-3</v>
      </c>
      <c r="H163" s="198">
        <f>(1+VLOOKUP(IF(YEAR($B163)&gt;'General Inputs'!$G$42,'General Inputs'!$G$42,YEAR($B163)),TableAnnRentGwth,7,FALSE))^(1/12)-1</f>
        <v>2.4662697723036864E-3</v>
      </c>
      <c r="I163" s="377">
        <f>IF(AND(B163&gt;'General Inputs'!$C$37,B163&lt;=StartDate),B163,"")</f>
        <v>46419</v>
      </c>
      <c r="J163" s="198">
        <f t="shared" si="40"/>
        <v>1.0014400000000001</v>
      </c>
      <c r="K163" s="198">
        <f t="shared" si="41"/>
        <v>1.0016515813019202</v>
      </c>
      <c r="L163" s="198">
        <f t="shared" si="42"/>
        <v>1.0024662697723037</v>
      </c>
      <c r="M163" s="378">
        <f>IF(AND(B163&gt;'General Inputs'!$C$38,B163&lt;=StartDate),B163,"")</f>
        <v>46419</v>
      </c>
      <c r="N163" s="198">
        <f t="shared" si="43"/>
        <v>1.0024662697723037</v>
      </c>
      <c r="O163" s="378">
        <f>IF(AND(B163&gt;'General Inputs'!$C$39,B163&lt;ConstrStartDate),B163,"")</f>
        <v>46419</v>
      </c>
      <c r="P163" s="198">
        <f t="shared" si="44"/>
        <v>1.0024662697723037</v>
      </c>
      <c r="Q163" s="375">
        <f t="shared" si="36"/>
        <v>-7</v>
      </c>
      <c r="S163" s="384" t="str">
        <f>IF('General Inputs'!$C$37&gt;'General Inputs'!$C$39,IF(AND(B163&gt;'General Inputs'!$C$39,B163&lt;='General Inputs'!$C$37),B163,""),IF(AND(B163&gt;'General Inputs'!$C$37,B163&lt;='General Inputs'!$C$39),B163,""))</f>
        <v/>
      </c>
      <c r="T163" s="198" t="str">
        <f t="shared" si="37"/>
        <v/>
      </c>
      <c r="U163" s="384" t="str">
        <f>IF('General Inputs'!$C$37&gt;'General Inputs'!$C$38,IF(AND(B163&gt;'General Inputs'!$C$38,B163&lt;='General Inputs'!$C$37),B163,""),IF(AND(B163&gt;'General Inputs'!$C$37,B163&lt;='General Inputs'!$C$38),B163,""))</f>
        <v/>
      </c>
      <c r="V163" s="198" t="str">
        <f t="shared" si="38"/>
        <v/>
      </c>
      <c r="W163" s="384" t="str">
        <f>IF('General Inputs'!$C$37&gt;'General Inputs'!$C$38,IF(AND(B163&gt;'General Inputs'!$C$38,B163&lt;='General Inputs'!$C$37),B163,""),IF(AND(B163&gt;'General Inputs'!$C$37,B163&lt;='General Inputs'!$C$38),B163,""))</f>
        <v/>
      </c>
      <c r="X163" s="198" t="str">
        <f t="shared" si="39"/>
        <v/>
      </c>
    </row>
    <row r="164" spans="1:29" hidden="1" outlineLevel="1" x14ac:dyDescent="0.3">
      <c r="A164" s="375">
        <v>-6</v>
      </c>
      <c r="B164" s="376">
        <f t="shared" si="30"/>
        <v>46447</v>
      </c>
      <c r="C164" s="198">
        <f>(1+VLOOKUP(IF(YEAR($B164)&gt;'General Inputs'!$G$42,'General Inputs'!$G$42,YEAR($B164)),TableAnnRentGwth,2,FALSE)*(VLOOKUP(MONTH($B164),'General Inputs'!$W$29:$Z$40,3,FALSE)))-1</f>
        <v>1.4400000000001079E-3</v>
      </c>
      <c r="D164" s="198">
        <f>(1+VLOOKUP(IF(YEAR($B164)&gt;'General Inputs'!$G$42,'General Inputs'!$G$42,YEAR($B164)),TableAnnRentGwth,3,FALSE))^(1/12)-1</f>
        <v>1.6515813019202241E-3</v>
      </c>
      <c r="E164" s="198">
        <f>(1+VLOOKUP(IF(YEAR($B164)&gt;'General Inputs'!$G$42,'General Inputs'!$G$42,YEAR($B164)),TableAnnRentGwth,4,FALSE))^(1/12)-1</f>
        <v>2.4662697723036864E-3</v>
      </c>
      <c r="F164" s="198">
        <f>(1+VLOOKUP(IF(YEAR($B164)&gt;'General Inputs'!$G$42,'General Inputs'!$G$42,YEAR($B164)),TableAnnRentGwth,5,FALSE))^(1/12)-1</f>
        <v>2.4662697723036864E-3</v>
      </c>
      <c r="G164" s="198">
        <f>(1+VLOOKUP(IF(YEAR($B164)&gt;'General Inputs'!$G$42,'General Inputs'!$G$42,YEAR($B164)),TableAnnRentGwth,6,FALSE))^(1/12)-1</f>
        <v>2.4662697723036864E-3</v>
      </c>
      <c r="H164" s="198">
        <f>(1+VLOOKUP(IF(YEAR($B164)&gt;'General Inputs'!$G$42,'General Inputs'!$G$42,YEAR($B164)),TableAnnRentGwth,7,FALSE))^(1/12)-1</f>
        <v>2.4662697723036864E-3</v>
      </c>
      <c r="I164" s="377">
        <f>IF(AND(B164&gt;'General Inputs'!$C$37,B164&lt;=StartDate),B164,"")</f>
        <v>46447</v>
      </c>
      <c r="J164" s="198">
        <f t="shared" si="40"/>
        <v>1.0014400000000001</v>
      </c>
      <c r="K164" s="198">
        <f t="shared" si="41"/>
        <v>1.0016515813019202</v>
      </c>
      <c r="L164" s="198">
        <f t="shared" si="42"/>
        <v>1.0024662697723037</v>
      </c>
      <c r="M164" s="378">
        <f>IF(AND(B164&gt;'General Inputs'!$C$38,B164&lt;=StartDate),B164,"")</f>
        <v>46447</v>
      </c>
      <c r="N164" s="198">
        <f t="shared" si="43"/>
        <v>1.0024662697723037</v>
      </c>
      <c r="O164" s="378">
        <f>IF(AND(B164&gt;'General Inputs'!$C$39,B164&lt;ConstrStartDate),B164,"")</f>
        <v>46447</v>
      </c>
      <c r="P164" s="198">
        <f t="shared" si="44"/>
        <v>1.0024662697723037</v>
      </c>
      <c r="Q164" s="375">
        <f t="shared" si="36"/>
        <v>-6</v>
      </c>
      <c r="S164" s="384" t="str">
        <f>IF('General Inputs'!$C$37&gt;'General Inputs'!$C$39,IF(AND(B164&gt;'General Inputs'!$C$39,B164&lt;='General Inputs'!$C$37),B164,""),IF(AND(B164&gt;'General Inputs'!$C$37,B164&lt;='General Inputs'!$C$39),B164,""))</f>
        <v/>
      </c>
      <c r="T164" s="198" t="str">
        <f t="shared" si="37"/>
        <v/>
      </c>
      <c r="U164" s="384" t="str">
        <f>IF('General Inputs'!$C$37&gt;'General Inputs'!$C$38,IF(AND(B164&gt;'General Inputs'!$C$38,B164&lt;='General Inputs'!$C$37),B164,""),IF(AND(B164&gt;'General Inputs'!$C$37,B164&lt;='General Inputs'!$C$38),B164,""))</f>
        <v/>
      </c>
      <c r="V164" s="198" t="str">
        <f t="shared" si="38"/>
        <v/>
      </c>
      <c r="W164" s="384" t="str">
        <f>IF('General Inputs'!$C$37&gt;'General Inputs'!$C$38,IF(AND(B164&gt;'General Inputs'!$C$38,B164&lt;='General Inputs'!$C$37),B164,""),IF(AND(B164&gt;'General Inputs'!$C$37,B164&lt;='General Inputs'!$C$38),B164,""))</f>
        <v/>
      </c>
      <c r="X164" s="198" t="str">
        <f t="shared" si="39"/>
        <v/>
      </c>
    </row>
    <row r="165" spans="1:29" hidden="1" outlineLevel="1" x14ac:dyDescent="0.3">
      <c r="A165" s="375">
        <v>-5</v>
      </c>
      <c r="B165" s="376">
        <f t="shared" si="30"/>
        <v>46478</v>
      </c>
      <c r="C165" s="198">
        <f>(1+VLOOKUP(IF(YEAR($B165)&gt;'General Inputs'!$G$42,'General Inputs'!$G$42,YEAR($B165)),TableAnnRentGwth,2,FALSE)*(VLOOKUP(MONTH($B165),'General Inputs'!$W$29:$Z$40,3,FALSE)))-1</f>
        <v>2.1599999999999397E-3</v>
      </c>
      <c r="D165" s="198">
        <f>(1+VLOOKUP(IF(YEAR($B165)&gt;'General Inputs'!$G$42,'General Inputs'!$G$42,YEAR($B165)),TableAnnRentGwth,3,FALSE))^(1/12)-1</f>
        <v>1.6515813019202241E-3</v>
      </c>
      <c r="E165" s="198">
        <f>(1+VLOOKUP(IF(YEAR($B165)&gt;'General Inputs'!$G$42,'General Inputs'!$G$42,YEAR($B165)),TableAnnRentGwth,4,FALSE))^(1/12)-1</f>
        <v>2.4662697723036864E-3</v>
      </c>
      <c r="F165" s="198">
        <f>(1+VLOOKUP(IF(YEAR($B165)&gt;'General Inputs'!$G$42,'General Inputs'!$G$42,YEAR($B165)),TableAnnRentGwth,5,FALSE))^(1/12)-1</f>
        <v>2.4662697723036864E-3</v>
      </c>
      <c r="G165" s="198">
        <f>(1+VLOOKUP(IF(YEAR($B165)&gt;'General Inputs'!$G$42,'General Inputs'!$G$42,YEAR($B165)),TableAnnRentGwth,6,FALSE))^(1/12)-1</f>
        <v>2.4662697723036864E-3</v>
      </c>
      <c r="H165" s="198">
        <f>(1+VLOOKUP(IF(YEAR($B165)&gt;'General Inputs'!$G$42,'General Inputs'!$G$42,YEAR($B165)),TableAnnRentGwth,7,FALSE))^(1/12)-1</f>
        <v>2.4662697723036864E-3</v>
      </c>
      <c r="I165" s="377">
        <f>IF(AND(B165&gt;'General Inputs'!$C$37,B165&lt;=StartDate),B165,"")</f>
        <v>46478</v>
      </c>
      <c r="J165" s="198">
        <f t="shared" si="40"/>
        <v>1.0021599999999999</v>
      </c>
      <c r="K165" s="198">
        <f t="shared" si="41"/>
        <v>1.0016515813019202</v>
      </c>
      <c r="L165" s="198">
        <f t="shared" si="42"/>
        <v>1.0024662697723037</v>
      </c>
      <c r="M165" s="378">
        <f>IF(AND(B165&gt;'General Inputs'!$C$38,B165&lt;=StartDate),B165,"")</f>
        <v>46478</v>
      </c>
      <c r="N165" s="198">
        <f t="shared" si="43"/>
        <v>1.0024662697723037</v>
      </c>
      <c r="O165" s="378">
        <f>IF(AND(B165&gt;'General Inputs'!$C$39,B165&lt;ConstrStartDate),B165,"")</f>
        <v>46478</v>
      </c>
      <c r="P165" s="198">
        <f t="shared" si="44"/>
        <v>1.0024662697723037</v>
      </c>
      <c r="Q165" s="375">
        <f t="shared" si="36"/>
        <v>-5</v>
      </c>
      <c r="S165" s="384" t="str">
        <f>IF('General Inputs'!$C$37&gt;'General Inputs'!$C$39,IF(AND(B165&gt;'General Inputs'!$C$39,B165&lt;='General Inputs'!$C$37),B165,""),IF(AND(B165&gt;'General Inputs'!$C$37,B165&lt;='General Inputs'!$C$39),B165,""))</f>
        <v/>
      </c>
      <c r="T165" s="198" t="str">
        <f t="shared" si="37"/>
        <v/>
      </c>
      <c r="U165" s="384" t="str">
        <f>IF('General Inputs'!$C$37&gt;'General Inputs'!$C$38,IF(AND(B165&gt;'General Inputs'!$C$38,B165&lt;='General Inputs'!$C$37),B165,""),IF(AND(B165&gt;'General Inputs'!$C$37,B165&lt;='General Inputs'!$C$38),B165,""))</f>
        <v/>
      </c>
      <c r="V165" s="198" t="str">
        <f t="shared" si="38"/>
        <v/>
      </c>
      <c r="W165" s="384" t="str">
        <f>IF('General Inputs'!$C$37&gt;'General Inputs'!$C$38,IF(AND(B165&gt;'General Inputs'!$C$38,B165&lt;='General Inputs'!$C$37),B165,""),IF(AND(B165&gt;'General Inputs'!$C$37,B165&lt;='General Inputs'!$C$38),B165,""))</f>
        <v/>
      </c>
      <c r="X165" s="198" t="str">
        <f t="shared" si="39"/>
        <v/>
      </c>
    </row>
    <row r="166" spans="1:29" hidden="1" outlineLevel="1" x14ac:dyDescent="0.3">
      <c r="A166" s="375">
        <v>-4</v>
      </c>
      <c r="B166" s="376">
        <f t="shared" si="30"/>
        <v>46508</v>
      </c>
      <c r="C166" s="198">
        <f>(1+VLOOKUP(IF(YEAR($B166)&gt;'General Inputs'!$G$42,'General Inputs'!$G$42,YEAR($B166)),TableAnnRentGwth,2,FALSE)*(VLOOKUP(MONTH($B166),'General Inputs'!$W$29:$Z$40,3,FALSE)))-1</f>
        <v>2.1599999999999397E-3</v>
      </c>
      <c r="D166" s="198">
        <f>(1+VLOOKUP(IF(YEAR($B166)&gt;'General Inputs'!$G$42,'General Inputs'!$G$42,YEAR($B166)),TableAnnRentGwth,3,FALSE))^(1/12)-1</f>
        <v>1.6515813019202241E-3</v>
      </c>
      <c r="E166" s="198">
        <f>(1+VLOOKUP(IF(YEAR($B166)&gt;'General Inputs'!$G$42,'General Inputs'!$G$42,YEAR($B166)),TableAnnRentGwth,4,FALSE))^(1/12)-1</f>
        <v>2.4662697723036864E-3</v>
      </c>
      <c r="F166" s="198">
        <f>(1+VLOOKUP(IF(YEAR($B166)&gt;'General Inputs'!$G$42,'General Inputs'!$G$42,YEAR($B166)),TableAnnRentGwth,5,FALSE))^(1/12)-1</f>
        <v>2.4662697723036864E-3</v>
      </c>
      <c r="G166" s="198">
        <f>(1+VLOOKUP(IF(YEAR($B166)&gt;'General Inputs'!$G$42,'General Inputs'!$G$42,YEAR($B166)),TableAnnRentGwth,6,FALSE))^(1/12)-1</f>
        <v>2.4662697723036864E-3</v>
      </c>
      <c r="H166" s="198">
        <f>(1+VLOOKUP(IF(YEAR($B166)&gt;'General Inputs'!$G$42,'General Inputs'!$G$42,YEAR($B166)),TableAnnRentGwth,7,FALSE))^(1/12)-1</f>
        <v>2.4662697723036864E-3</v>
      </c>
      <c r="I166" s="377">
        <f>IF(AND(B166&gt;'General Inputs'!$C$37,B166&lt;=StartDate),B166,"")</f>
        <v>46508</v>
      </c>
      <c r="J166" s="198">
        <f t="shared" si="40"/>
        <v>1.0021599999999999</v>
      </c>
      <c r="K166" s="198">
        <f t="shared" si="41"/>
        <v>1.0016515813019202</v>
      </c>
      <c r="L166" s="198">
        <f t="shared" si="42"/>
        <v>1.0024662697723037</v>
      </c>
      <c r="M166" s="378">
        <f>IF(AND(B166&gt;'General Inputs'!$C$38,B166&lt;=StartDate),B166,"")</f>
        <v>46508</v>
      </c>
      <c r="N166" s="198">
        <f t="shared" si="43"/>
        <v>1.0024662697723037</v>
      </c>
      <c r="O166" s="378">
        <f>IF(AND(B166&gt;'General Inputs'!$C$39,B166&lt;ConstrStartDate),B166,"")</f>
        <v>46508</v>
      </c>
      <c r="P166" s="198">
        <f t="shared" si="44"/>
        <v>1.0024662697723037</v>
      </c>
      <c r="Q166" s="375">
        <f t="shared" si="36"/>
        <v>-4</v>
      </c>
      <c r="S166" s="384" t="str">
        <f>IF('General Inputs'!$C$37&gt;'General Inputs'!$C$39,IF(AND(B166&gt;'General Inputs'!$C$39,B166&lt;='General Inputs'!$C$37),B166,""),IF(AND(B166&gt;'General Inputs'!$C$37,B166&lt;='General Inputs'!$C$39),B166,""))</f>
        <v/>
      </c>
      <c r="T166" s="198" t="str">
        <f t="shared" si="37"/>
        <v/>
      </c>
      <c r="U166" s="384" t="str">
        <f>IF('General Inputs'!$C$37&gt;'General Inputs'!$C$38,IF(AND(B166&gt;'General Inputs'!$C$38,B166&lt;='General Inputs'!$C$37),B166,""),IF(AND(B166&gt;'General Inputs'!$C$37,B166&lt;='General Inputs'!$C$38),B166,""))</f>
        <v/>
      </c>
      <c r="V166" s="198" t="str">
        <f t="shared" si="38"/>
        <v/>
      </c>
      <c r="W166" s="384" t="str">
        <f>IF('General Inputs'!$C$37&gt;'General Inputs'!$C$38,IF(AND(B166&gt;'General Inputs'!$C$38,B166&lt;='General Inputs'!$C$37),B166,""),IF(AND(B166&gt;'General Inputs'!$C$37,B166&lt;='General Inputs'!$C$38),B166,""))</f>
        <v/>
      </c>
      <c r="X166" s="198" t="str">
        <f t="shared" si="39"/>
        <v/>
      </c>
    </row>
    <row r="167" spans="1:29" hidden="1" outlineLevel="1" x14ac:dyDescent="0.3">
      <c r="A167" s="375">
        <v>-3</v>
      </c>
      <c r="B167" s="376">
        <f t="shared" si="30"/>
        <v>46539</v>
      </c>
      <c r="C167" s="198">
        <f>(1+VLOOKUP(IF(YEAR($B167)&gt;'General Inputs'!$G$42,'General Inputs'!$G$42,YEAR($B167)),TableAnnRentGwth,2,FALSE)*(VLOOKUP(MONTH($B167),'General Inputs'!$W$29:$Z$40,3,FALSE)))-1</f>
        <v>2.1599999999999397E-3</v>
      </c>
      <c r="D167" s="198">
        <f>(1+VLOOKUP(IF(YEAR($B167)&gt;'General Inputs'!$G$42,'General Inputs'!$G$42,YEAR($B167)),TableAnnRentGwth,3,FALSE))^(1/12)-1</f>
        <v>1.6515813019202241E-3</v>
      </c>
      <c r="E167" s="198">
        <f>(1+VLOOKUP(IF(YEAR($B167)&gt;'General Inputs'!$G$42,'General Inputs'!$G$42,YEAR($B167)),TableAnnRentGwth,4,FALSE))^(1/12)-1</f>
        <v>2.4662697723036864E-3</v>
      </c>
      <c r="F167" s="198">
        <f>(1+VLOOKUP(IF(YEAR($B167)&gt;'General Inputs'!$G$42,'General Inputs'!$G$42,YEAR($B167)),TableAnnRentGwth,5,FALSE))^(1/12)-1</f>
        <v>2.4662697723036864E-3</v>
      </c>
      <c r="G167" s="198">
        <f>(1+VLOOKUP(IF(YEAR($B167)&gt;'General Inputs'!$G$42,'General Inputs'!$G$42,YEAR($B167)),TableAnnRentGwth,6,FALSE))^(1/12)-1</f>
        <v>2.4662697723036864E-3</v>
      </c>
      <c r="H167" s="198">
        <f>(1+VLOOKUP(IF(YEAR($B167)&gt;'General Inputs'!$G$42,'General Inputs'!$G$42,YEAR($B167)),TableAnnRentGwth,7,FALSE))^(1/12)-1</f>
        <v>2.4662697723036864E-3</v>
      </c>
      <c r="I167" s="377">
        <f>IF(AND(B167&gt;'General Inputs'!$C$37,B167&lt;=StartDate),B167,"")</f>
        <v>46539</v>
      </c>
      <c r="J167" s="198">
        <f t="shared" si="40"/>
        <v>1.0021599999999999</v>
      </c>
      <c r="K167" s="198">
        <f t="shared" si="41"/>
        <v>1.0016515813019202</v>
      </c>
      <c r="L167" s="198">
        <f t="shared" si="42"/>
        <v>1.0024662697723037</v>
      </c>
      <c r="M167" s="378">
        <f>IF(AND(B167&gt;'General Inputs'!$C$38,B167&lt;=StartDate),B167,"")</f>
        <v>46539</v>
      </c>
      <c r="N167" s="198">
        <f t="shared" si="43"/>
        <v>1.0024662697723037</v>
      </c>
      <c r="O167" s="378">
        <f>IF(AND(B167&gt;'General Inputs'!$C$39,B167&lt;ConstrStartDate),B167,"")</f>
        <v>46539</v>
      </c>
      <c r="P167" s="198">
        <f t="shared" si="44"/>
        <v>1.0024662697723037</v>
      </c>
      <c r="Q167" s="375">
        <f t="shared" si="36"/>
        <v>-3</v>
      </c>
      <c r="S167" s="384" t="str">
        <f>IF('General Inputs'!$C$37&gt;'General Inputs'!$C$39,IF(AND(B167&gt;'General Inputs'!$C$39,B167&lt;='General Inputs'!$C$37),B167,""),IF(AND(B167&gt;'General Inputs'!$C$37,B167&lt;='General Inputs'!$C$39),B167,""))</f>
        <v/>
      </c>
      <c r="T167" s="198" t="str">
        <f t="shared" si="37"/>
        <v/>
      </c>
      <c r="U167" s="384" t="str">
        <f>IF('General Inputs'!$C$37&gt;'General Inputs'!$C$38,IF(AND(B167&gt;'General Inputs'!$C$38,B167&lt;='General Inputs'!$C$37),B167,""),IF(AND(B167&gt;'General Inputs'!$C$37,B167&lt;='General Inputs'!$C$38),B167,""))</f>
        <v/>
      </c>
      <c r="V167" s="198" t="str">
        <f t="shared" si="38"/>
        <v/>
      </c>
      <c r="W167" s="384" t="str">
        <f>IF('General Inputs'!$C$37&gt;'General Inputs'!$C$38,IF(AND(B167&gt;'General Inputs'!$C$38,B167&lt;='General Inputs'!$C$37),B167,""),IF(AND(B167&gt;'General Inputs'!$C$37,B167&lt;='General Inputs'!$C$38),B167,""))</f>
        <v/>
      </c>
      <c r="X167" s="198" t="str">
        <f t="shared" si="39"/>
        <v/>
      </c>
    </row>
    <row r="168" spans="1:29" hidden="1" outlineLevel="1" x14ac:dyDescent="0.3">
      <c r="A168" s="375">
        <v>-2</v>
      </c>
      <c r="B168" s="376">
        <f t="shared" si="30"/>
        <v>46569</v>
      </c>
      <c r="C168" s="198">
        <f>(1+VLOOKUP(IF(YEAR($B168)&gt;'General Inputs'!$G$42,'General Inputs'!$G$42,YEAR($B168)),TableAnnRentGwth,2,FALSE)*(VLOOKUP(MONTH($B168),'General Inputs'!$W$29:$Z$40,3,FALSE)))-1</f>
        <v>2.1599999999999397E-3</v>
      </c>
      <c r="D168" s="198">
        <f>(1+VLOOKUP(IF(YEAR($B168)&gt;'General Inputs'!$G$42,'General Inputs'!$G$42,YEAR($B168)),TableAnnRentGwth,3,FALSE))^(1/12)-1</f>
        <v>1.6515813019202241E-3</v>
      </c>
      <c r="E168" s="198">
        <f>(1+VLOOKUP(IF(YEAR($B168)&gt;'General Inputs'!$G$42,'General Inputs'!$G$42,YEAR($B168)),TableAnnRentGwth,4,FALSE))^(1/12)-1</f>
        <v>2.4662697723036864E-3</v>
      </c>
      <c r="F168" s="198">
        <f>(1+VLOOKUP(IF(YEAR($B168)&gt;'General Inputs'!$G$42,'General Inputs'!$G$42,YEAR($B168)),TableAnnRentGwth,5,FALSE))^(1/12)-1</f>
        <v>2.4662697723036864E-3</v>
      </c>
      <c r="G168" s="198">
        <f>(1+VLOOKUP(IF(YEAR($B168)&gt;'General Inputs'!$G$42,'General Inputs'!$G$42,YEAR($B168)),TableAnnRentGwth,6,FALSE))^(1/12)-1</f>
        <v>2.4662697723036864E-3</v>
      </c>
      <c r="H168" s="198">
        <f>(1+VLOOKUP(IF(YEAR($B168)&gt;'General Inputs'!$G$42,'General Inputs'!$G$42,YEAR($B168)),TableAnnRentGwth,7,FALSE))^(1/12)-1</f>
        <v>2.4662697723036864E-3</v>
      </c>
      <c r="I168" s="377">
        <f>IF(AND(B168&gt;'General Inputs'!$C$37,B168&lt;=StartDate),B168,"")</f>
        <v>46569</v>
      </c>
      <c r="J168" s="198">
        <f t="shared" si="40"/>
        <v>1.0021599999999999</v>
      </c>
      <c r="K168" s="198">
        <f t="shared" si="41"/>
        <v>1.0016515813019202</v>
      </c>
      <c r="L168" s="198">
        <f t="shared" si="42"/>
        <v>1.0024662697723037</v>
      </c>
      <c r="M168" s="378">
        <f>IF(AND(B168&gt;'General Inputs'!$C$38,B168&lt;=StartDate),B168,"")</f>
        <v>46569</v>
      </c>
      <c r="N168" s="198">
        <f t="shared" si="43"/>
        <v>1.0024662697723037</v>
      </c>
      <c r="O168" s="378">
        <f>IF(AND(B168&gt;'General Inputs'!$C$39,B168&lt;ConstrStartDate),B168,"")</f>
        <v>46569</v>
      </c>
      <c r="P168" s="198">
        <f t="shared" si="44"/>
        <v>1.0024662697723037</v>
      </c>
      <c r="Q168" s="375">
        <f t="shared" si="36"/>
        <v>-2</v>
      </c>
      <c r="S168" s="384" t="str">
        <f>IF('General Inputs'!$C$37&gt;'General Inputs'!$C$39,IF(AND(B168&gt;'General Inputs'!$C$39,B168&lt;='General Inputs'!$C$37),B168,""),IF(AND(B168&gt;'General Inputs'!$C$37,B168&lt;='General Inputs'!$C$39),B168,""))</f>
        <v/>
      </c>
      <c r="T168" s="198" t="str">
        <f t="shared" si="37"/>
        <v/>
      </c>
      <c r="U168" s="384" t="str">
        <f>IF('General Inputs'!$C$37&gt;'General Inputs'!$C$38,IF(AND(B168&gt;'General Inputs'!$C$38,B168&lt;='General Inputs'!$C$37),B168,""),IF(AND(B168&gt;'General Inputs'!$C$37,B168&lt;='General Inputs'!$C$38),B168,""))</f>
        <v/>
      </c>
      <c r="V168" s="198" t="str">
        <f t="shared" si="38"/>
        <v/>
      </c>
      <c r="W168" s="384" t="str">
        <f>IF('General Inputs'!$C$37&gt;'General Inputs'!$C$38,IF(AND(B168&gt;'General Inputs'!$C$38,B168&lt;='General Inputs'!$C$37),B168,""),IF(AND(B168&gt;'General Inputs'!$C$37,B168&lt;='General Inputs'!$C$38),B168,""))</f>
        <v/>
      </c>
      <c r="X168" s="198" t="str">
        <f t="shared" si="39"/>
        <v/>
      </c>
    </row>
    <row r="169" spans="1:29" hidden="1" outlineLevel="1" x14ac:dyDescent="0.3">
      <c r="A169" s="375">
        <v>-1</v>
      </c>
      <c r="B169" s="376">
        <f>EDATE(B170,-1)</f>
        <v>46600</v>
      </c>
      <c r="C169" s="198">
        <f>(1+VLOOKUP(IF(YEAR($B169)&gt;'General Inputs'!$G$42,'General Inputs'!$G$42,YEAR($B169)),TableAnnRentGwth,2,FALSE)*(VLOOKUP(MONTH($B169),'General Inputs'!$W$29:$Z$40,3,FALSE)))-1</f>
        <v>2.1599999999999397E-3</v>
      </c>
      <c r="D169" s="198">
        <f>(1+VLOOKUP(IF(YEAR($B169)&gt;'General Inputs'!$G$42,'General Inputs'!$G$42,YEAR($B169)),TableAnnRentGwth,3,FALSE))^(1/12)-1</f>
        <v>1.6515813019202241E-3</v>
      </c>
      <c r="E169" s="198">
        <f>(1+VLOOKUP(IF(YEAR($B169)&gt;'General Inputs'!$G$42,'General Inputs'!$G$42,YEAR($B169)),TableAnnRentGwth,4,FALSE))^(1/12)-1</f>
        <v>2.4662697723036864E-3</v>
      </c>
      <c r="F169" s="198">
        <f>(1+VLOOKUP(IF(YEAR($B169)&gt;'General Inputs'!$G$42,'General Inputs'!$G$42,YEAR($B169)),TableAnnRentGwth,5,FALSE))^(1/12)-1</f>
        <v>2.4662697723036864E-3</v>
      </c>
      <c r="G169" s="198">
        <f>(1+VLOOKUP(IF(YEAR($B169)&gt;'General Inputs'!$G$42,'General Inputs'!$G$42,YEAR($B169)),TableAnnRentGwth,6,FALSE))^(1/12)-1</f>
        <v>2.4662697723036864E-3</v>
      </c>
      <c r="H169" s="198">
        <f>(1+VLOOKUP(IF(YEAR($B169)&gt;'General Inputs'!$G$42,'General Inputs'!$G$42,YEAR($B169)),TableAnnRentGwth,7,FALSE))^(1/12)-1</f>
        <v>2.4662697723036864E-3</v>
      </c>
      <c r="I169" s="377">
        <f>IF(AND(B169&gt;'General Inputs'!$C$37,B169&lt;=StartDate),B169,"")</f>
        <v>46600</v>
      </c>
      <c r="J169" s="198">
        <f t="shared" si="40"/>
        <v>1.0021599999999999</v>
      </c>
      <c r="K169" s="198">
        <f t="shared" si="41"/>
        <v>1.0016515813019202</v>
      </c>
      <c r="L169" s="198">
        <f t="shared" si="42"/>
        <v>1.0024662697723037</v>
      </c>
      <c r="M169" s="378">
        <f>IF(AND(B169&gt;'General Inputs'!$C$38,B169&lt;=StartDate),B169,"")</f>
        <v>46600</v>
      </c>
      <c r="N169" s="198">
        <f t="shared" si="43"/>
        <v>1.0024662697723037</v>
      </c>
      <c r="O169" s="378">
        <f>IF(AND(B169&gt;'General Inputs'!$C$39,B169&lt;ConstrStartDate),B169,"")</f>
        <v>46600</v>
      </c>
      <c r="P169" s="198">
        <f t="shared" si="44"/>
        <v>1.0024662697723037</v>
      </c>
      <c r="Q169" s="375">
        <f t="shared" si="36"/>
        <v>-1</v>
      </c>
      <c r="R169" t="s">
        <v>1951</v>
      </c>
      <c r="S169" s="384" t="str">
        <f>IF('General Inputs'!$C$37&gt;'General Inputs'!$C$39,IF(AND(B169&gt;'General Inputs'!$C$39,B169&lt;='General Inputs'!$C$37),B169,""),IF(AND(B169&gt;'General Inputs'!$C$37,B169&lt;='General Inputs'!$C$39),B169,""))</f>
        <v/>
      </c>
      <c r="T169" s="198" t="str">
        <f t="shared" si="37"/>
        <v/>
      </c>
      <c r="U169" s="384" t="str">
        <f>IF('General Inputs'!$C$37&gt;'General Inputs'!$C$38,IF(AND(B169&gt;'General Inputs'!$C$38,B169&lt;='General Inputs'!$C$37),B169,""),IF(AND(B169&gt;'General Inputs'!$C$37,B169&lt;='General Inputs'!$C$38),B169,""))</f>
        <v/>
      </c>
      <c r="V169" s="198" t="str">
        <f t="shared" si="38"/>
        <v/>
      </c>
      <c r="W169" s="384" t="str">
        <f>IF('General Inputs'!$C$37&gt;'General Inputs'!$C$38,IF(AND(B169&gt;'General Inputs'!$C$38,B169&lt;='General Inputs'!$C$37),B169,""),IF(AND(B169&gt;'General Inputs'!$C$37,B169&lt;='General Inputs'!$C$38),B169,""))</f>
        <v/>
      </c>
      <c r="X169" s="198" t="str">
        <f t="shared" si="39"/>
        <v/>
      </c>
    </row>
    <row r="170" spans="1:29" s="273" customFormat="1" hidden="1" outlineLevel="1" x14ac:dyDescent="0.3">
      <c r="A170" s="379">
        <v>0</v>
      </c>
      <c r="B170" s="380">
        <f>JVClosingDate</f>
        <v>46631</v>
      </c>
      <c r="C170" s="381">
        <f>(1+VLOOKUP(IF(YEAR($B170)&gt;'General Inputs'!$G$42,'General Inputs'!$G$42,YEAR($B170)),TableAnnRentGwth,2,FALSE)*(VLOOKUP(MONTH($B170),'General Inputs'!$W$29:$Z$40,3,FALSE)))-1</f>
        <v>2.1599999999999397E-3</v>
      </c>
      <c r="D170" s="381">
        <f>(1+VLOOKUP(IF(YEAR($B170)&gt;'General Inputs'!$G$42,'General Inputs'!$G$42,YEAR($B170)),TableAnnRentGwth,3,FALSE))^(1/12)-1</f>
        <v>1.6515813019202241E-3</v>
      </c>
      <c r="E170" s="381">
        <f>(1+VLOOKUP(IF(YEAR($B170)&gt;'General Inputs'!$G$42,'General Inputs'!$G$42,YEAR($B170)),TableAnnRentGwth,4,FALSE))^(1/12)-1</f>
        <v>2.4662697723036864E-3</v>
      </c>
      <c r="F170" s="381">
        <f>(1+VLOOKUP(IF(YEAR($B170)&gt;'General Inputs'!$G$42,'General Inputs'!$G$42,YEAR($B170)),TableAnnRentGwth,5,FALSE))^(1/12)-1</f>
        <v>2.4662697723036864E-3</v>
      </c>
      <c r="G170" s="381">
        <f>(1+VLOOKUP(IF(YEAR($B170)&gt;'General Inputs'!$G$42,'General Inputs'!$G$42,YEAR($B170)),TableAnnRentGwth,6,FALSE))^(1/12)-1</f>
        <v>2.4662697723036864E-3</v>
      </c>
      <c r="H170" s="381">
        <f>(1+VLOOKUP(IF(YEAR($B170)&gt;'General Inputs'!$G$42,'General Inputs'!$G$42,YEAR($B170)),TableAnnRentGwth,7,FALSE))^(1/12)-1</f>
        <v>2.4662697723036864E-3</v>
      </c>
      <c r="I170" s="382">
        <f>IF(AND(B170&gt;'General Inputs'!$C$37,B170&lt;=StartDate),B170,"")</f>
        <v>46631</v>
      </c>
      <c r="J170" s="381">
        <f t="shared" si="40"/>
        <v>1.0021599999999999</v>
      </c>
      <c r="K170" s="381">
        <f t="shared" si="41"/>
        <v>1.0016515813019202</v>
      </c>
      <c r="L170" s="381">
        <f t="shared" si="42"/>
        <v>1.0024662697723037</v>
      </c>
      <c r="M170" s="382">
        <f>IF(AND(B170&gt;'General Inputs'!$C$38,B170&lt;=StartDate),B170,"")</f>
        <v>46631</v>
      </c>
      <c r="N170" s="381">
        <f t="shared" si="43"/>
        <v>1.0024662697723037</v>
      </c>
      <c r="O170" s="382">
        <f>IF(AND(B170&gt;'General Inputs'!$C$39,B170&lt;ConstrStartDate),B170,"")</f>
        <v>46631</v>
      </c>
      <c r="P170" s="381">
        <f t="shared" si="44"/>
        <v>1.0024662697723037</v>
      </c>
      <c r="Q170" s="379">
        <f t="shared" si="36"/>
        <v>0</v>
      </c>
      <c r="R170" s="381"/>
      <c r="S170" s="381"/>
      <c r="T170" s="381"/>
      <c r="U170" s="381"/>
      <c r="V170" s="381"/>
      <c r="W170" s="381"/>
      <c r="X170" s="381"/>
    </row>
    <row r="171" spans="1:29" hidden="1" outlineLevel="1" x14ac:dyDescent="0.3">
      <c r="A171" s="375">
        <v>1</v>
      </c>
      <c r="B171" s="376">
        <f>EDATE(B170,1)</f>
        <v>46661</v>
      </c>
      <c r="C171" s="198">
        <f>(1+VLOOKUP(IF(YEAR($B171)&gt;'General Inputs'!$G$42,'General Inputs'!$G$42,YEAR($B171)),TableAnnRentGwth,2,FALSE)*(VLOOKUP(MONTH($B171),'General Inputs'!$W$29:$Z$40,3,FALSE)))-1</f>
        <v>1.4400000000001079E-3</v>
      </c>
      <c r="D171" s="198">
        <f>(1+VLOOKUP(IF(YEAR($B171)&gt;'General Inputs'!$G$42,'General Inputs'!$G$42,YEAR($B171)),TableAnnRentGwth,3,FALSE))^(1/12)-1</f>
        <v>1.6515813019202241E-3</v>
      </c>
      <c r="E171" s="198">
        <f>(1+VLOOKUP(IF(YEAR($B171)&gt;'General Inputs'!$G$42,'General Inputs'!$G$42,YEAR($B171)),TableAnnRentGwth,4,FALSE))^(1/12)-1</f>
        <v>2.4662697723036864E-3</v>
      </c>
      <c r="F171" s="198">
        <f>(1+VLOOKUP(IF(YEAR($B171)&gt;'General Inputs'!$G$42,'General Inputs'!$G$42,YEAR($B171)),TableAnnRentGwth,5,FALSE))^(1/12)-1</f>
        <v>2.4662697723036864E-3</v>
      </c>
      <c r="G171" s="198">
        <f>(1+VLOOKUP(IF(YEAR($B171)&gt;'General Inputs'!$G$42,'General Inputs'!$G$42,YEAR($B171)),TableAnnRentGwth,6,FALSE))^(1/12)-1</f>
        <v>2.4662697723036864E-3</v>
      </c>
      <c r="H171" s="198">
        <f>(1+VLOOKUP(IF(YEAR($B171)&gt;'General Inputs'!$G$42,'General Inputs'!$G$42,YEAR($B171)),TableAnnRentGwth,7,FALSE))^(1/12)-1</f>
        <v>2.4662697723036864E-3</v>
      </c>
      <c r="I171" s="383"/>
      <c r="J171" s="198">
        <f>IF(PRODUCT(J134,J135,J136,J137,J138,J139,J140,J141,J142,J143,J144,J145,J146,J147,J148,J149,J150,J151,J152,J153,J154,J155,J156,J157,J158,J159,J160,J161,J162,J163,J164,J165,J166,J167,J168,J169,J170)=0,0,PRODUCT(J134,J135,J136,J137,J138,J139,J140,J141,J142,J143,J144,J145,J146,J147,J148,J149,J150,J151,J152,J153,J154,J155,J156,J157,J158,J159,J160,J161,J162,J163,J164,J165,J166,J167,J168,J169,J170)-1)</f>
        <v>2.2689167132604382E-2</v>
      </c>
      <c r="K171" s="198">
        <f>IF(PRODUCT(K134,K135,K136,K137,K138,K139,K140,K141,K142,K143,K144,K145,K146,K147,K148,K149,K150,K151,K152,K153,K154,K155,K156,K157,K158,K159,K160,K161,K162,K163,K164,K165,K166,K167,K168,K169,K170)=0,0,PRODUCT(K134,K135,K136,K137,K138,K139,K140,K141,K142,K143,K144,K145,K146,K147,K148,K149,K150,K151,K152,K153,K154,K155,K156,K157,K158,K159,K160,K161,K162,K163,K164,K165,K166,K167,K168,K169,K170)-1)</f>
        <v>2.5062190204668378E-2</v>
      </c>
      <c r="L171" s="198">
        <f>IF(PRODUCT(L134,L135,L136,L137,L138,L139,L140,L141,L142,L143,L144,L145,L146,L147,L148,L149,L150,L151,L152,L153,L154,L155,L156,L157,L158,L159,L160,L161,L162,L163,L164,L165,L166,L167,L168,L169,L170)=0,0,PRODUCT(L134,L135,L136,L137,L138,L139,L140,L141,L142,L143,L144,L145,L146,L147,L148,L149,L150,L151,L152,L153,L154,L155,L156,L157,L158,L159,L160,L161,L162,L163,L164,L165,L166,L167,L168,L169,L170)-1)</f>
        <v>3.7639583931066145E-2</v>
      </c>
      <c r="M171" s="384"/>
      <c r="N171" s="198">
        <f>IF(PRODUCT(N134,N135,N136,N137,N138,N139,N140,N141,N142,N143,N144,N145,N146,N147,N148,N149,N150,N151,N152,N153,N154,N155,N156,N157,N158,N159,N160,N161,N162,N163,N164,N165,N166,N167,N168,N169,N170)=0,0,PRODUCT(N134,N135,N136,N137,N138,N139,N140,N141,N142,N143,N144,N145,N146,N147,N148,N149,N150,N151,N152,N153,N154,N155,N156,N157,N158,N159,N160,N161,N162,N163,N164,N165,N166,N167,N168,N169,N170)-1)</f>
        <v>3.7639583931066145E-2</v>
      </c>
      <c r="O171" s="378" t="str">
        <f>IF(AND(B171&gt;'General Inputs'!$C$39,B171&lt;ConstrStartDate),B171,"")</f>
        <v/>
      </c>
      <c r="P171" s="198" t="str">
        <f t="shared" ref="P171:P218" si="45">IF(O171="","",1+VLOOKUP(O171,$B$134:$H$218,7,FALSE))</f>
        <v/>
      </c>
      <c r="Q171" s="375">
        <f>A171</f>
        <v>1</v>
      </c>
      <c r="R171" s="198">
        <f>PRODUCT(P134,P135,P136,P137,P138,P139,P140,P141,P142,P143,P144,P145,P146,P147,P148,P149,P150,P151,P152,P153,P154,P155,P156,P157,P158,P159,P160,P161,P162,P163,P164,P165,P166,P167,P168,P169,P170)</f>
        <v>1.0376395839310661</v>
      </c>
      <c r="S171" s="198"/>
      <c r="T171" s="872">
        <f>IF('General Inputs'!$C$37&lt;'General Inputs'!$C$39,-1,1)*PRODUCT(T134,T135,T136,T137,T138,T139,T140,T141,T142,T143,T144,T145,T146,T147,T148,T149,T150,T151,T152,T153,T154,T155,T156,T157,T158,T159,T160,T161,T162,T163,T164,T165,T166,T167,T168,T169)</f>
        <v>0</v>
      </c>
      <c r="U171" s="872"/>
      <c r="V171" s="872">
        <f>IF('General Inputs'!$C$37&lt;'General Inputs'!$C$38,-1,1)*(PRODUCT(V134,V135,V136,V137,V138,V139,V140,V141,V142,V143,V144,V145,V146,V147,V148,V149,V150,V151,V152,V153,V154,V155,V156,V157,V158,V159,V160,V161,V162,V163,V164,V165,V166,V167,V168,V169))</f>
        <v>0</v>
      </c>
      <c r="W171" s="872"/>
      <c r="X171" s="872">
        <f>IF('General Inputs'!$C$37&lt;'General Inputs'!$C$38,-1,1)*(PRODUCT(X134,X135,X136,X137,X138,X139,X140,X141,X142,X143,X144,X145,X146,X147,X148,X149,X150,X151,X152,X153,X154,X155,X156,X157,X158,X159,X160,X161,X162,X163,X164,X165,X166,X167,X168,X169))</f>
        <v>0</v>
      </c>
      <c r="Y171" s="198"/>
      <c r="Z171" s="198"/>
      <c r="AA171" s="198"/>
      <c r="AB171" s="198"/>
      <c r="AC171" s="198"/>
    </row>
    <row r="172" spans="1:29" hidden="1" outlineLevel="1" x14ac:dyDescent="0.3">
      <c r="A172" s="375">
        <v>2</v>
      </c>
      <c r="B172" s="376">
        <f t="shared" ref="B172:B230" si="46">EDATE(B171,1)</f>
        <v>46692</v>
      </c>
      <c r="C172" s="198">
        <f>(1+VLOOKUP(IF(YEAR($B172)&gt;'General Inputs'!$G$42,'General Inputs'!$G$42,YEAR($B172)),TableAnnRentGwth,2,FALSE)*(VLOOKUP(MONTH($B172),'General Inputs'!$W$29:$Z$40,3,FALSE)))-1</f>
        <v>1.4400000000001079E-3</v>
      </c>
      <c r="D172" s="198">
        <f>(1+VLOOKUP(IF(YEAR($B172)&gt;'General Inputs'!$G$42,'General Inputs'!$G$42,YEAR($B172)),TableAnnRentGwth,3,FALSE))^(1/12)-1</f>
        <v>1.6515813019202241E-3</v>
      </c>
      <c r="E172" s="198">
        <f>(1+VLOOKUP(IF(YEAR($B172)&gt;'General Inputs'!$G$42,'General Inputs'!$G$42,YEAR($B172)),TableAnnRentGwth,4,FALSE))^(1/12)-1</f>
        <v>2.4662697723036864E-3</v>
      </c>
      <c r="F172" s="198">
        <f>(1+VLOOKUP(IF(YEAR($B172)&gt;'General Inputs'!$G$42,'General Inputs'!$G$42,YEAR($B172)),TableAnnRentGwth,5,FALSE))^(1/12)-1</f>
        <v>2.4662697723036864E-3</v>
      </c>
      <c r="G172" s="198">
        <f>(1+VLOOKUP(IF(YEAR($B172)&gt;'General Inputs'!$G$42,'General Inputs'!$G$42,YEAR($B172)),TableAnnRentGwth,6,FALSE))^(1/12)-1</f>
        <v>2.4662697723036864E-3</v>
      </c>
      <c r="H172" s="198">
        <f>(1+VLOOKUP(IF(YEAR($B172)&gt;'General Inputs'!$G$42,'General Inputs'!$G$42,YEAR($B172)),TableAnnRentGwth,7,FALSE))^(1/12)-1</f>
        <v>2.4662697723036864E-3</v>
      </c>
      <c r="I172" s="383"/>
      <c r="M172" s="384"/>
      <c r="O172" s="378" t="str">
        <f>IF(AND(B172&gt;'General Inputs'!$C$39,B172&lt;ConstrStartDate),B172,"")</f>
        <v/>
      </c>
      <c r="P172" s="198" t="str">
        <f t="shared" si="45"/>
        <v/>
      </c>
      <c r="Q172" s="375">
        <f>A172</f>
        <v>2</v>
      </c>
      <c r="R172" s="198"/>
      <c r="S172" s="198"/>
      <c r="T172" s="227">
        <f>E65</f>
        <v>50094535.423500352</v>
      </c>
      <c r="U172" s="227"/>
      <c r="V172" s="227">
        <f>SUM('Operating Inputs'!C123,'Operating Inputs'!C126:C129)</f>
        <v>1635809.5910279376</v>
      </c>
      <c r="W172" s="227"/>
      <c r="X172" s="227">
        <f ca="1">'Operating Inputs'!C125</f>
        <v>324020.08706225583</v>
      </c>
      <c r="Y172" s="198"/>
      <c r="Z172" s="198"/>
      <c r="AA172" s="198"/>
      <c r="AB172" s="198"/>
      <c r="AC172" s="198"/>
    </row>
    <row r="173" spans="1:29" hidden="1" outlineLevel="1" x14ac:dyDescent="0.3">
      <c r="A173" s="375">
        <v>3</v>
      </c>
      <c r="B173" s="376">
        <f t="shared" si="46"/>
        <v>46722</v>
      </c>
      <c r="C173" s="198">
        <f>(1+VLOOKUP(IF(YEAR($B173)&gt;'General Inputs'!$G$42,'General Inputs'!$G$42,YEAR($B173)),TableAnnRentGwth,2,FALSE)*(VLOOKUP(MONTH($B173),'General Inputs'!$W$29:$Z$40,3,FALSE)))-1</f>
        <v>1.4400000000001079E-3</v>
      </c>
      <c r="D173" s="198">
        <f>(1+VLOOKUP(IF(YEAR($B173)&gt;'General Inputs'!$G$42,'General Inputs'!$G$42,YEAR($B173)),TableAnnRentGwth,3,FALSE))^(1/12)-1</f>
        <v>1.6515813019202241E-3</v>
      </c>
      <c r="E173" s="198">
        <f>(1+VLOOKUP(IF(YEAR($B173)&gt;'General Inputs'!$G$42,'General Inputs'!$G$42,YEAR($B173)),TableAnnRentGwth,4,FALSE))^(1/12)-1</f>
        <v>2.4662697723036864E-3</v>
      </c>
      <c r="F173" s="198">
        <f>(1+VLOOKUP(IF(YEAR($B173)&gt;'General Inputs'!$G$42,'General Inputs'!$G$42,YEAR($B173)),TableAnnRentGwth,5,FALSE))^(1/12)-1</f>
        <v>2.4662697723036864E-3</v>
      </c>
      <c r="G173" s="198">
        <f>(1+VLOOKUP(IF(YEAR($B173)&gt;'General Inputs'!$G$42,'General Inputs'!$G$42,YEAR($B173)),TableAnnRentGwth,6,FALSE))^(1/12)-1</f>
        <v>2.4662697723036864E-3</v>
      </c>
      <c r="H173" s="198">
        <f>(1+VLOOKUP(IF(YEAR($B173)&gt;'General Inputs'!$G$42,'General Inputs'!$G$42,YEAR($B173)),TableAnnRentGwth,7,FALSE))^(1/12)-1</f>
        <v>2.4662697723036864E-3</v>
      </c>
      <c r="I173" s="383"/>
      <c r="J173" s="198"/>
      <c r="K173" s="198"/>
      <c r="L173" s="198"/>
      <c r="M173" s="384"/>
      <c r="N173" s="198"/>
      <c r="O173" s="378" t="str">
        <f>IF(AND(B173&gt;'General Inputs'!$C$39,B173&lt;ConstrStartDate),B173,"")</f>
        <v/>
      </c>
      <c r="P173" s="198" t="str">
        <f t="shared" si="45"/>
        <v/>
      </c>
      <c r="Q173" s="375">
        <f t="shared" ref="Q173:Q218" si="47">A173</f>
        <v>3</v>
      </c>
      <c r="T173" s="227">
        <f>IF(T171&gt;0,T171-1,IF(T171&lt;0,T171+1,0))*T172</f>
        <v>0</v>
      </c>
      <c r="U173" s="227"/>
      <c r="V173" s="227">
        <f>IF(V171&gt;0,V171-1,IF(V171&lt;0,V171+1,0))*V172</f>
        <v>0</v>
      </c>
      <c r="W173" s="227"/>
      <c r="X173" s="227">
        <f ca="1">IF(X171&gt;0,X171-1,IF(X171&lt;0,X171+1,0))*X172</f>
        <v>0</v>
      </c>
    </row>
    <row r="174" spans="1:29" hidden="1" outlineLevel="1" x14ac:dyDescent="0.3">
      <c r="A174" s="375">
        <v>4</v>
      </c>
      <c r="B174" s="376">
        <f t="shared" si="46"/>
        <v>46753</v>
      </c>
      <c r="C174" s="198">
        <f>(1+VLOOKUP(IF(YEAR($B174)&gt;'General Inputs'!$G$42,'General Inputs'!$G$42,YEAR($B174)),TableAnnRentGwth,2,FALSE)*(VLOOKUP(MONTH($B174),'General Inputs'!$W$29:$Z$40,3,FALSE)))-1</f>
        <v>1.62333333333331E-3</v>
      </c>
      <c r="D174" s="198">
        <f>(1+VLOOKUP(IF(YEAR($B174)&gt;'General Inputs'!$G$42,'General Inputs'!$G$42,YEAR($B174)),TableAnnRentGwth,3,FALSE))^(1/12)-1</f>
        <v>1.6515813019202241E-3</v>
      </c>
      <c r="E174" s="198">
        <f>(1+VLOOKUP(IF(YEAR($B174)&gt;'General Inputs'!$G$42,'General Inputs'!$G$42,YEAR($B174)),TableAnnRentGwth,4,FALSE))^(1/12)-1</f>
        <v>2.4662697723036864E-3</v>
      </c>
      <c r="F174" s="198">
        <f>(1+VLOOKUP(IF(YEAR($B174)&gt;'General Inputs'!$G$42,'General Inputs'!$G$42,YEAR($B174)),TableAnnRentGwth,5,FALSE))^(1/12)-1</f>
        <v>2.4662697723036864E-3</v>
      </c>
      <c r="G174" s="198">
        <f>(1+VLOOKUP(IF(YEAR($B174)&gt;'General Inputs'!$G$42,'General Inputs'!$G$42,YEAR($B174)),TableAnnRentGwth,6,FALSE))^(1/12)-1</f>
        <v>2.4662697723036864E-3</v>
      </c>
      <c r="H174" s="198">
        <f>(1+VLOOKUP(IF(YEAR($B174)&gt;'General Inputs'!$G$42,'General Inputs'!$G$42,YEAR($B174)),TableAnnRentGwth,7,FALSE))^(1/12)-1</f>
        <v>2.4662697723036864E-3</v>
      </c>
      <c r="I174" s="383"/>
      <c r="J174" s="198"/>
      <c r="K174" s="198"/>
      <c r="L174" s="198"/>
      <c r="M174" s="384"/>
      <c r="N174" s="198"/>
      <c r="O174" s="378" t="str">
        <f>IF(AND(B174&gt;'General Inputs'!$C$39,B174&lt;ConstrStartDate),B174,"")</f>
        <v/>
      </c>
      <c r="P174" s="198" t="str">
        <f t="shared" si="45"/>
        <v/>
      </c>
      <c r="Q174" s="375">
        <f t="shared" si="47"/>
        <v>4</v>
      </c>
      <c r="T174" s="702">
        <f>T172+T173</f>
        <v>50094535.423500352</v>
      </c>
      <c r="U174" s="227"/>
      <c r="V174" s="702">
        <f>V172+V173</f>
        <v>1635809.5910279376</v>
      </c>
      <c r="W174" s="227"/>
      <c r="X174" s="702">
        <f ca="1">X172+X173</f>
        <v>324020.08706225583</v>
      </c>
    </row>
    <row r="175" spans="1:29" hidden="1" outlineLevel="1" x14ac:dyDescent="0.3">
      <c r="A175" s="375">
        <v>5</v>
      </c>
      <c r="B175" s="376">
        <f t="shared" si="46"/>
        <v>46784</v>
      </c>
      <c r="C175" s="198">
        <f>(1+VLOOKUP(IF(YEAR($B175)&gt;'General Inputs'!$G$42,'General Inputs'!$G$42,YEAR($B175)),TableAnnRentGwth,2,FALSE)*(VLOOKUP(MONTH($B175),'General Inputs'!$W$29:$Z$40,3,FALSE)))-1</f>
        <v>1.62333333333331E-3</v>
      </c>
      <c r="D175" s="198">
        <f>(1+VLOOKUP(IF(YEAR($B175)&gt;'General Inputs'!$G$42,'General Inputs'!$G$42,YEAR($B175)),TableAnnRentGwth,3,FALSE))^(1/12)-1</f>
        <v>1.6515813019202241E-3</v>
      </c>
      <c r="E175" s="198">
        <f>(1+VLOOKUP(IF(YEAR($B175)&gt;'General Inputs'!$G$42,'General Inputs'!$G$42,YEAR($B175)),TableAnnRentGwth,4,FALSE))^(1/12)-1</f>
        <v>2.4662697723036864E-3</v>
      </c>
      <c r="F175" s="198">
        <f>(1+VLOOKUP(IF(YEAR($B175)&gt;'General Inputs'!$G$42,'General Inputs'!$G$42,YEAR($B175)),TableAnnRentGwth,5,FALSE))^(1/12)-1</f>
        <v>2.4662697723036864E-3</v>
      </c>
      <c r="G175" s="198">
        <f>(1+VLOOKUP(IF(YEAR($B175)&gt;'General Inputs'!$G$42,'General Inputs'!$G$42,YEAR($B175)),TableAnnRentGwth,6,FALSE))^(1/12)-1</f>
        <v>2.4662697723036864E-3</v>
      </c>
      <c r="H175" s="198">
        <f>(1+VLOOKUP(IF(YEAR($B175)&gt;'General Inputs'!$G$42,'General Inputs'!$G$42,YEAR($B175)),TableAnnRentGwth,7,FALSE))^(1/12)-1</f>
        <v>2.4662697723036864E-3</v>
      </c>
      <c r="I175" s="383"/>
      <c r="J175" s="198"/>
      <c r="K175" s="198"/>
      <c r="L175" s="198"/>
      <c r="M175" s="384"/>
      <c r="N175" s="198"/>
      <c r="O175" s="378" t="str">
        <f>IF(AND(B175&gt;'General Inputs'!$C$39,B175&lt;ConstrStartDate),B175,"")</f>
        <v/>
      </c>
      <c r="P175" s="198" t="str">
        <f t="shared" si="45"/>
        <v/>
      </c>
      <c r="Q175" s="375">
        <f t="shared" si="47"/>
        <v>5</v>
      </c>
    </row>
    <row r="176" spans="1:29" hidden="1" outlineLevel="1" x14ac:dyDescent="0.3">
      <c r="A176" s="375">
        <v>6</v>
      </c>
      <c r="B176" s="376">
        <f t="shared" si="46"/>
        <v>46813</v>
      </c>
      <c r="C176" s="198">
        <f>(1+VLOOKUP(IF(YEAR($B176)&gt;'General Inputs'!$G$42,'General Inputs'!$G$42,YEAR($B176)),TableAnnRentGwth,2,FALSE)*(VLOOKUP(MONTH($B176),'General Inputs'!$W$29:$Z$40,3,FALSE)))-1</f>
        <v>1.62333333333331E-3</v>
      </c>
      <c r="D176" s="198">
        <f>(1+VLOOKUP(IF(YEAR($B176)&gt;'General Inputs'!$G$42,'General Inputs'!$G$42,YEAR($B176)),TableAnnRentGwth,3,FALSE))^(1/12)-1</f>
        <v>1.6515813019202241E-3</v>
      </c>
      <c r="E176" s="198">
        <f>(1+VLOOKUP(IF(YEAR($B176)&gt;'General Inputs'!$G$42,'General Inputs'!$G$42,YEAR($B176)),TableAnnRentGwth,4,FALSE))^(1/12)-1</f>
        <v>2.4662697723036864E-3</v>
      </c>
      <c r="F176" s="198">
        <f>(1+VLOOKUP(IF(YEAR($B176)&gt;'General Inputs'!$G$42,'General Inputs'!$G$42,YEAR($B176)),TableAnnRentGwth,5,FALSE))^(1/12)-1</f>
        <v>2.4662697723036864E-3</v>
      </c>
      <c r="G176" s="198">
        <f>(1+VLOOKUP(IF(YEAR($B176)&gt;'General Inputs'!$G$42,'General Inputs'!$G$42,YEAR($B176)),TableAnnRentGwth,6,FALSE))^(1/12)-1</f>
        <v>2.4662697723036864E-3</v>
      </c>
      <c r="H176" s="198">
        <f>(1+VLOOKUP(IF(YEAR($B176)&gt;'General Inputs'!$G$42,'General Inputs'!$G$42,YEAR($B176)),TableAnnRentGwth,7,FALSE))^(1/12)-1</f>
        <v>2.4662697723036864E-3</v>
      </c>
      <c r="I176" s="383"/>
      <c r="J176" s="198"/>
      <c r="K176" s="198"/>
      <c r="L176" s="198"/>
      <c r="M176" s="384"/>
      <c r="N176" s="198"/>
      <c r="O176" s="378" t="str">
        <f>IF(AND(B176&gt;'General Inputs'!$C$39,B176&lt;ConstrStartDate),B176,"")</f>
        <v/>
      </c>
      <c r="P176" s="198" t="str">
        <f t="shared" si="45"/>
        <v/>
      </c>
      <c r="Q176" s="375">
        <f t="shared" si="47"/>
        <v>6</v>
      </c>
    </row>
    <row r="177" spans="1:17" hidden="1" outlineLevel="1" x14ac:dyDescent="0.3">
      <c r="A177" s="375">
        <v>7</v>
      </c>
      <c r="B177" s="376">
        <f t="shared" si="46"/>
        <v>46844</v>
      </c>
      <c r="C177" s="198">
        <f>(1+VLOOKUP(IF(YEAR($B177)&gt;'General Inputs'!$G$42,'General Inputs'!$G$42,YEAR($B177)),TableAnnRentGwth,2,FALSE)*(VLOOKUP(MONTH($B177),'General Inputs'!$W$29:$Z$40,3,FALSE)))-1</f>
        <v>2.434999999999965E-3</v>
      </c>
      <c r="D177" s="198">
        <f>(1+VLOOKUP(IF(YEAR($B177)&gt;'General Inputs'!$G$42,'General Inputs'!$G$42,YEAR($B177)),TableAnnRentGwth,3,FALSE))^(1/12)-1</f>
        <v>1.6515813019202241E-3</v>
      </c>
      <c r="E177" s="198">
        <f>(1+VLOOKUP(IF(YEAR($B177)&gt;'General Inputs'!$G$42,'General Inputs'!$G$42,YEAR($B177)),TableAnnRentGwth,4,FALSE))^(1/12)-1</f>
        <v>2.4662697723036864E-3</v>
      </c>
      <c r="F177" s="198">
        <f>(1+VLOOKUP(IF(YEAR($B177)&gt;'General Inputs'!$G$42,'General Inputs'!$G$42,YEAR($B177)),TableAnnRentGwth,5,FALSE))^(1/12)-1</f>
        <v>2.4662697723036864E-3</v>
      </c>
      <c r="G177" s="198">
        <f>(1+VLOOKUP(IF(YEAR($B177)&gt;'General Inputs'!$G$42,'General Inputs'!$G$42,YEAR($B177)),TableAnnRentGwth,6,FALSE))^(1/12)-1</f>
        <v>2.4662697723036864E-3</v>
      </c>
      <c r="H177" s="198">
        <f>(1+VLOOKUP(IF(YEAR($B177)&gt;'General Inputs'!$G$42,'General Inputs'!$G$42,YEAR($B177)),TableAnnRentGwth,7,FALSE))^(1/12)-1</f>
        <v>2.4662697723036864E-3</v>
      </c>
      <c r="I177" s="383"/>
      <c r="J177" s="198"/>
      <c r="K177" s="198"/>
      <c r="L177" s="198"/>
      <c r="M177" s="384"/>
      <c r="N177" s="198"/>
      <c r="O177" s="378" t="str">
        <f>IF(AND(B177&gt;'General Inputs'!$C$39,B177&lt;ConstrStartDate),B177,"")</f>
        <v/>
      </c>
      <c r="P177" s="198" t="str">
        <f t="shared" si="45"/>
        <v/>
      </c>
      <c r="Q177" s="375">
        <f t="shared" si="47"/>
        <v>7</v>
      </c>
    </row>
    <row r="178" spans="1:17" hidden="1" outlineLevel="1" x14ac:dyDescent="0.3">
      <c r="A178" s="375">
        <v>8</v>
      </c>
      <c r="B178" s="376">
        <f t="shared" si="46"/>
        <v>46874</v>
      </c>
      <c r="C178" s="198">
        <f>(1+VLOOKUP(IF(YEAR($B178)&gt;'General Inputs'!$G$42,'General Inputs'!$G$42,YEAR($B178)),TableAnnRentGwth,2,FALSE)*(VLOOKUP(MONTH($B178),'General Inputs'!$W$29:$Z$40,3,FALSE)))-1</f>
        <v>2.434999999999965E-3</v>
      </c>
      <c r="D178" s="198">
        <f>(1+VLOOKUP(IF(YEAR($B178)&gt;'General Inputs'!$G$42,'General Inputs'!$G$42,YEAR($B178)),TableAnnRentGwth,3,FALSE))^(1/12)-1</f>
        <v>1.6515813019202241E-3</v>
      </c>
      <c r="E178" s="198">
        <f>(1+VLOOKUP(IF(YEAR($B178)&gt;'General Inputs'!$G$42,'General Inputs'!$G$42,YEAR($B178)),TableAnnRentGwth,4,FALSE))^(1/12)-1</f>
        <v>2.4662697723036864E-3</v>
      </c>
      <c r="F178" s="198">
        <f>(1+VLOOKUP(IF(YEAR($B178)&gt;'General Inputs'!$G$42,'General Inputs'!$G$42,YEAR($B178)),TableAnnRentGwth,5,FALSE))^(1/12)-1</f>
        <v>2.4662697723036864E-3</v>
      </c>
      <c r="G178" s="198">
        <f>(1+VLOOKUP(IF(YEAR($B178)&gt;'General Inputs'!$G$42,'General Inputs'!$G$42,YEAR($B178)),TableAnnRentGwth,6,FALSE))^(1/12)-1</f>
        <v>2.4662697723036864E-3</v>
      </c>
      <c r="H178" s="198">
        <f>(1+VLOOKUP(IF(YEAR($B178)&gt;'General Inputs'!$G$42,'General Inputs'!$G$42,YEAR($B178)),TableAnnRentGwth,7,FALSE))^(1/12)-1</f>
        <v>2.4662697723036864E-3</v>
      </c>
      <c r="I178" s="383"/>
      <c r="J178" s="198"/>
      <c r="K178" s="198"/>
      <c r="L178" s="198"/>
      <c r="M178" s="384"/>
      <c r="N178" s="198"/>
      <c r="O178" s="378" t="str">
        <f>IF(AND(B178&gt;'General Inputs'!$C$39,B178&lt;ConstrStartDate),B178,"")</f>
        <v/>
      </c>
      <c r="P178" s="198" t="str">
        <f t="shared" si="45"/>
        <v/>
      </c>
      <c r="Q178" s="375">
        <f t="shared" si="47"/>
        <v>8</v>
      </c>
    </row>
    <row r="179" spans="1:17" hidden="1" outlineLevel="1" x14ac:dyDescent="0.3">
      <c r="A179" s="375">
        <v>9</v>
      </c>
      <c r="B179" s="376">
        <f t="shared" si="46"/>
        <v>46905</v>
      </c>
      <c r="C179" s="198">
        <f>(1+VLOOKUP(IF(YEAR($B179)&gt;'General Inputs'!$G$42,'General Inputs'!$G$42,YEAR($B179)),TableAnnRentGwth,2,FALSE)*(VLOOKUP(MONTH($B179),'General Inputs'!$W$29:$Z$40,3,FALSE)))-1</f>
        <v>2.434999999999965E-3</v>
      </c>
      <c r="D179" s="198">
        <f>(1+VLOOKUP(IF(YEAR($B179)&gt;'General Inputs'!$G$42,'General Inputs'!$G$42,YEAR($B179)),TableAnnRentGwth,3,FALSE))^(1/12)-1</f>
        <v>1.6515813019202241E-3</v>
      </c>
      <c r="E179" s="198">
        <f>(1+VLOOKUP(IF(YEAR($B179)&gt;'General Inputs'!$G$42,'General Inputs'!$G$42,YEAR($B179)),TableAnnRentGwth,4,FALSE))^(1/12)-1</f>
        <v>2.4662697723036864E-3</v>
      </c>
      <c r="F179" s="198">
        <f>(1+VLOOKUP(IF(YEAR($B179)&gt;'General Inputs'!$G$42,'General Inputs'!$G$42,YEAR($B179)),TableAnnRentGwth,5,FALSE))^(1/12)-1</f>
        <v>2.4662697723036864E-3</v>
      </c>
      <c r="G179" s="198">
        <f>(1+VLOOKUP(IF(YEAR($B179)&gt;'General Inputs'!$G$42,'General Inputs'!$G$42,YEAR($B179)),TableAnnRentGwth,6,FALSE))^(1/12)-1</f>
        <v>2.4662697723036864E-3</v>
      </c>
      <c r="H179" s="198">
        <f>(1+VLOOKUP(IF(YEAR($B179)&gt;'General Inputs'!$G$42,'General Inputs'!$G$42,YEAR($B179)),TableAnnRentGwth,7,FALSE))^(1/12)-1</f>
        <v>2.4662697723036864E-3</v>
      </c>
      <c r="I179" s="383"/>
      <c r="J179" s="198"/>
      <c r="K179" s="198"/>
      <c r="L179" s="198"/>
      <c r="M179" s="384"/>
      <c r="N179" s="198"/>
      <c r="O179" s="378" t="str">
        <f>IF(AND(B179&gt;'General Inputs'!$C$39,B179&lt;ConstrStartDate),B179,"")</f>
        <v/>
      </c>
      <c r="P179" s="198" t="str">
        <f t="shared" si="45"/>
        <v/>
      </c>
      <c r="Q179" s="375">
        <f t="shared" si="47"/>
        <v>9</v>
      </c>
    </row>
    <row r="180" spans="1:17" hidden="1" outlineLevel="1" x14ac:dyDescent="0.3">
      <c r="A180" s="375">
        <v>10</v>
      </c>
      <c r="B180" s="376">
        <f t="shared" si="46"/>
        <v>46935</v>
      </c>
      <c r="C180" s="198">
        <f>(1+VLOOKUP(IF(YEAR($B180)&gt;'General Inputs'!$G$42,'General Inputs'!$G$42,YEAR($B180)),TableAnnRentGwth,2,FALSE)*(VLOOKUP(MONTH($B180),'General Inputs'!$W$29:$Z$40,3,FALSE)))-1</f>
        <v>2.434999999999965E-3</v>
      </c>
      <c r="D180" s="198">
        <f>(1+VLOOKUP(IF(YEAR($B180)&gt;'General Inputs'!$G$42,'General Inputs'!$G$42,YEAR($B180)),TableAnnRentGwth,3,FALSE))^(1/12)-1</f>
        <v>1.6515813019202241E-3</v>
      </c>
      <c r="E180" s="198">
        <f>(1+VLOOKUP(IF(YEAR($B180)&gt;'General Inputs'!$G$42,'General Inputs'!$G$42,YEAR($B180)),TableAnnRentGwth,4,FALSE))^(1/12)-1</f>
        <v>2.4662697723036864E-3</v>
      </c>
      <c r="F180" s="198">
        <f>(1+VLOOKUP(IF(YEAR($B180)&gt;'General Inputs'!$G$42,'General Inputs'!$G$42,YEAR($B180)),TableAnnRentGwth,5,FALSE))^(1/12)-1</f>
        <v>2.4662697723036864E-3</v>
      </c>
      <c r="G180" s="198">
        <f>(1+VLOOKUP(IF(YEAR($B180)&gt;'General Inputs'!$G$42,'General Inputs'!$G$42,YEAR($B180)),TableAnnRentGwth,6,FALSE))^(1/12)-1</f>
        <v>2.4662697723036864E-3</v>
      </c>
      <c r="H180" s="198">
        <f>(1+VLOOKUP(IF(YEAR($B180)&gt;'General Inputs'!$G$42,'General Inputs'!$G$42,YEAR($B180)),TableAnnRentGwth,7,FALSE))^(1/12)-1</f>
        <v>2.4662697723036864E-3</v>
      </c>
      <c r="I180" s="383"/>
      <c r="J180" s="198"/>
      <c r="K180" s="198"/>
      <c r="L180" s="198"/>
      <c r="M180" s="384"/>
      <c r="N180" s="198"/>
      <c r="O180" s="378" t="str">
        <f>IF(AND(B180&gt;'General Inputs'!$C$39,B180&lt;ConstrStartDate),B180,"")</f>
        <v/>
      </c>
      <c r="P180" s="198" t="str">
        <f t="shared" si="45"/>
        <v/>
      </c>
      <c r="Q180" s="375">
        <f t="shared" si="47"/>
        <v>10</v>
      </c>
    </row>
    <row r="181" spans="1:17" hidden="1" outlineLevel="1" x14ac:dyDescent="0.3">
      <c r="A181" s="375">
        <v>11</v>
      </c>
      <c r="B181" s="376">
        <f t="shared" si="46"/>
        <v>46966</v>
      </c>
      <c r="C181" s="198">
        <f>(1+VLOOKUP(IF(YEAR($B181)&gt;'General Inputs'!$G$42,'General Inputs'!$G$42,YEAR($B181)),TableAnnRentGwth,2,FALSE)*(VLOOKUP(MONTH($B181),'General Inputs'!$W$29:$Z$40,3,FALSE)))-1</f>
        <v>2.434999999999965E-3</v>
      </c>
      <c r="D181" s="198">
        <f>(1+VLOOKUP(IF(YEAR($B181)&gt;'General Inputs'!$G$42,'General Inputs'!$G$42,YEAR($B181)),TableAnnRentGwth,3,FALSE))^(1/12)-1</f>
        <v>1.6515813019202241E-3</v>
      </c>
      <c r="E181" s="198">
        <f>(1+VLOOKUP(IF(YEAR($B181)&gt;'General Inputs'!$G$42,'General Inputs'!$G$42,YEAR($B181)),TableAnnRentGwth,4,FALSE))^(1/12)-1</f>
        <v>2.4662697723036864E-3</v>
      </c>
      <c r="F181" s="198">
        <f>(1+VLOOKUP(IF(YEAR($B181)&gt;'General Inputs'!$G$42,'General Inputs'!$G$42,YEAR($B181)),TableAnnRentGwth,5,FALSE))^(1/12)-1</f>
        <v>2.4662697723036864E-3</v>
      </c>
      <c r="G181" s="198">
        <f>(1+VLOOKUP(IF(YEAR($B181)&gt;'General Inputs'!$G$42,'General Inputs'!$G$42,YEAR($B181)),TableAnnRentGwth,6,FALSE))^(1/12)-1</f>
        <v>2.4662697723036864E-3</v>
      </c>
      <c r="H181" s="198">
        <f>(1+VLOOKUP(IF(YEAR($B181)&gt;'General Inputs'!$G$42,'General Inputs'!$G$42,YEAR($B181)),TableAnnRentGwth,7,FALSE))^(1/12)-1</f>
        <v>2.4662697723036864E-3</v>
      </c>
      <c r="I181" s="383"/>
      <c r="J181" s="198"/>
      <c r="K181" s="198"/>
      <c r="L181" s="198"/>
      <c r="M181" s="384"/>
      <c r="N181" s="198"/>
      <c r="O181" s="378" t="str">
        <f>IF(AND(B181&gt;'General Inputs'!$C$39,B181&lt;ConstrStartDate),B181,"")</f>
        <v/>
      </c>
      <c r="P181" s="198" t="str">
        <f t="shared" si="45"/>
        <v/>
      </c>
      <c r="Q181" s="375">
        <f t="shared" si="47"/>
        <v>11</v>
      </c>
    </row>
    <row r="182" spans="1:17" hidden="1" outlineLevel="1" x14ac:dyDescent="0.3">
      <c r="A182" s="375">
        <v>12</v>
      </c>
      <c r="B182" s="376">
        <f t="shared" si="46"/>
        <v>46997</v>
      </c>
      <c r="C182" s="198">
        <f>(1+VLOOKUP(IF(YEAR($B182)&gt;'General Inputs'!$G$42,'General Inputs'!$G$42,YEAR($B182)),TableAnnRentGwth,2,FALSE)*(VLOOKUP(MONTH($B182),'General Inputs'!$W$29:$Z$40,3,FALSE)))-1</f>
        <v>2.434999999999965E-3</v>
      </c>
      <c r="D182" s="198">
        <f>(1+VLOOKUP(IF(YEAR($B182)&gt;'General Inputs'!$G$42,'General Inputs'!$G$42,YEAR($B182)),TableAnnRentGwth,3,FALSE))^(1/12)-1</f>
        <v>1.6515813019202241E-3</v>
      </c>
      <c r="E182" s="198">
        <f>(1+VLOOKUP(IF(YEAR($B182)&gt;'General Inputs'!$G$42,'General Inputs'!$G$42,YEAR($B182)),TableAnnRentGwth,4,FALSE))^(1/12)-1</f>
        <v>2.4662697723036864E-3</v>
      </c>
      <c r="F182" s="198">
        <f>(1+VLOOKUP(IF(YEAR($B182)&gt;'General Inputs'!$G$42,'General Inputs'!$G$42,YEAR($B182)),TableAnnRentGwth,5,FALSE))^(1/12)-1</f>
        <v>2.4662697723036864E-3</v>
      </c>
      <c r="G182" s="198">
        <f>(1+VLOOKUP(IF(YEAR($B182)&gt;'General Inputs'!$G$42,'General Inputs'!$G$42,YEAR($B182)),TableAnnRentGwth,6,FALSE))^(1/12)-1</f>
        <v>2.4662697723036864E-3</v>
      </c>
      <c r="H182" s="198">
        <f>(1+VLOOKUP(IF(YEAR($B182)&gt;'General Inputs'!$G$42,'General Inputs'!$G$42,YEAR($B182)),TableAnnRentGwth,7,FALSE))^(1/12)-1</f>
        <v>2.4662697723036864E-3</v>
      </c>
      <c r="I182" s="383"/>
      <c r="J182" s="198"/>
      <c r="K182" s="198"/>
      <c r="L182" s="198"/>
      <c r="M182" s="384"/>
      <c r="N182" s="198"/>
      <c r="O182" s="378" t="str">
        <f>IF(AND(B182&gt;'General Inputs'!$C$39,B182&lt;ConstrStartDate),B182,"")</f>
        <v/>
      </c>
      <c r="P182" s="198" t="str">
        <f t="shared" si="45"/>
        <v/>
      </c>
      <c r="Q182" s="375">
        <f t="shared" si="47"/>
        <v>12</v>
      </c>
    </row>
    <row r="183" spans="1:17" hidden="1" outlineLevel="1" x14ac:dyDescent="0.3">
      <c r="A183" s="375">
        <v>13</v>
      </c>
      <c r="B183" s="376">
        <f t="shared" si="46"/>
        <v>47027</v>
      </c>
      <c r="C183" s="198">
        <f>(1+VLOOKUP(IF(YEAR($B183)&gt;'General Inputs'!$G$42,'General Inputs'!$G$42,YEAR($B183)),TableAnnRentGwth,2,FALSE)*(VLOOKUP(MONTH($B183),'General Inputs'!$W$29:$Z$40,3,FALSE)))-1</f>
        <v>1.62333333333331E-3</v>
      </c>
      <c r="D183" s="198">
        <f>(1+VLOOKUP(IF(YEAR($B183)&gt;'General Inputs'!$G$42,'General Inputs'!$G$42,YEAR($B183)),TableAnnRentGwth,3,FALSE))^(1/12)-1</f>
        <v>1.6515813019202241E-3</v>
      </c>
      <c r="E183" s="198">
        <f>(1+VLOOKUP(IF(YEAR($B183)&gt;'General Inputs'!$G$42,'General Inputs'!$G$42,YEAR($B183)),TableAnnRentGwth,4,FALSE))^(1/12)-1</f>
        <v>2.4662697723036864E-3</v>
      </c>
      <c r="F183" s="198">
        <f>(1+VLOOKUP(IF(YEAR($B183)&gt;'General Inputs'!$G$42,'General Inputs'!$G$42,YEAR($B183)),TableAnnRentGwth,5,FALSE))^(1/12)-1</f>
        <v>2.4662697723036864E-3</v>
      </c>
      <c r="G183" s="198">
        <f>(1+VLOOKUP(IF(YEAR($B183)&gt;'General Inputs'!$G$42,'General Inputs'!$G$42,YEAR($B183)),TableAnnRentGwth,6,FALSE))^(1/12)-1</f>
        <v>2.4662697723036864E-3</v>
      </c>
      <c r="H183" s="198">
        <f>(1+VLOOKUP(IF(YEAR($B183)&gt;'General Inputs'!$G$42,'General Inputs'!$G$42,YEAR($B183)),TableAnnRentGwth,7,FALSE))^(1/12)-1</f>
        <v>2.4662697723036864E-3</v>
      </c>
      <c r="I183" s="383"/>
      <c r="J183" s="198"/>
      <c r="K183" s="198"/>
      <c r="L183" s="198"/>
      <c r="M183" s="384"/>
      <c r="N183" s="198"/>
      <c r="O183" s="378" t="str">
        <f>IF(AND(B183&gt;'General Inputs'!$C$39,B183&lt;ConstrStartDate),B183,"")</f>
        <v/>
      </c>
      <c r="P183" s="198" t="str">
        <f t="shared" si="45"/>
        <v/>
      </c>
      <c r="Q183" s="375">
        <f t="shared" si="47"/>
        <v>13</v>
      </c>
    </row>
    <row r="184" spans="1:17" hidden="1" outlineLevel="1" x14ac:dyDescent="0.3">
      <c r="A184" s="375">
        <v>14</v>
      </c>
      <c r="B184" s="376">
        <f t="shared" si="46"/>
        <v>47058</v>
      </c>
      <c r="C184" s="198">
        <f>(1+VLOOKUP(IF(YEAR($B184)&gt;'General Inputs'!$G$42,'General Inputs'!$G$42,YEAR($B184)),TableAnnRentGwth,2,FALSE)*(VLOOKUP(MONTH($B184),'General Inputs'!$W$29:$Z$40,3,FALSE)))-1</f>
        <v>1.62333333333331E-3</v>
      </c>
      <c r="D184" s="198">
        <f>(1+VLOOKUP(IF(YEAR($B184)&gt;'General Inputs'!$G$42,'General Inputs'!$G$42,YEAR($B184)),TableAnnRentGwth,3,FALSE))^(1/12)-1</f>
        <v>1.6515813019202241E-3</v>
      </c>
      <c r="E184" s="198">
        <f>(1+VLOOKUP(IF(YEAR($B184)&gt;'General Inputs'!$G$42,'General Inputs'!$G$42,YEAR($B184)),TableAnnRentGwth,4,FALSE))^(1/12)-1</f>
        <v>2.4662697723036864E-3</v>
      </c>
      <c r="F184" s="198">
        <f>(1+VLOOKUP(IF(YEAR($B184)&gt;'General Inputs'!$G$42,'General Inputs'!$G$42,YEAR($B184)),TableAnnRentGwth,5,FALSE))^(1/12)-1</f>
        <v>2.4662697723036864E-3</v>
      </c>
      <c r="G184" s="198">
        <f>(1+VLOOKUP(IF(YEAR($B184)&gt;'General Inputs'!$G$42,'General Inputs'!$G$42,YEAR($B184)),TableAnnRentGwth,6,FALSE))^(1/12)-1</f>
        <v>2.4662697723036864E-3</v>
      </c>
      <c r="H184" s="198">
        <f>(1+VLOOKUP(IF(YEAR($B184)&gt;'General Inputs'!$G$42,'General Inputs'!$G$42,YEAR($B184)),TableAnnRentGwth,7,FALSE))^(1/12)-1</f>
        <v>2.4662697723036864E-3</v>
      </c>
      <c r="I184" s="383"/>
      <c r="J184" s="198"/>
      <c r="K184" s="198"/>
      <c r="L184" s="198"/>
      <c r="M184" s="384"/>
      <c r="N184" s="198"/>
      <c r="O184" s="378" t="str">
        <f>IF(AND(B184&gt;'General Inputs'!$C$39,B184&lt;ConstrStartDate),B184,"")</f>
        <v/>
      </c>
      <c r="P184" s="198" t="str">
        <f t="shared" si="45"/>
        <v/>
      </c>
      <c r="Q184" s="375">
        <f t="shared" si="47"/>
        <v>14</v>
      </c>
    </row>
    <row r="185" spans="1:17" hidden="1" outlineLevel="1" x14ac:dyDescent="0.3">
      <c r="A185" s="375">
        <v>15</v>
      </c>
      <c r="B185" s="376">
        <f t="shared" si="46"/>
        <v>47088</v>
      </c>
      <c r="C185" s="198">
        <f>(1+VLOOKUP(IF(YEAR($B185)&gt;'General Inputs'!$G$42,'General Inputs'!$G$42,YEAR($B185)),TableAnnRentGwth,2,FALSE)*(VLOOKUP(MONTH($B185),'General Inputs'!$W$29:$Z$40,3,FALSE)))-1</f>
        <v>1.62333333333331E-3</v>
      </c>
      <c r="D185" s="198">
        <f>(1+VLOOKUP(IF(YEAR($B185)&gt;'General Inputs'!$G$42,'General Inputs'!$G$42,YEAR($B185)),TableAnnRentGwth,3,FALSE))^(1/12)-1</f>
        <v>1.6515813019202241E-3</v>
      </c>
      <c r="E185" s="198">
        <f>(1+VLOOKUP(IF(YEAR($B185)&gt;'General Inputs'!$G$42,'General Inputs'!$G$42,YEAR($B185)),TableAnnRentGwth,4,FALSE))^(1/12)-1</f>
        <v>2.4662697723036864E-3</v>
      </c>
      <c r="F185" s="198">
        <f>(1+VLOOKUP(IF(YEAR($B185)&gt;'General Inputs'!$G$42,'General Inputs'!$G$42,YEAR($B185)),TableAnnRentGwth,5,FALSE))^(1/12)-1</f>
        <v>2.4662697723036864E-3</v>
      </c>
      <c r="G185" s="198">
        <f>(1+VLOOKUP(IF(YEAR($B185)&gt;'General Inputs'!$G$42,'General Inputs'!$G$42,YEAR($B185)),TableAnnRentGwth,6,FALSE))^(1/12)-1</f>
        <v>2.4662697723036864E-3</v>
      </c>
      <c r="H185" s="198">
        <f>(1+VLOOKUP(IF(YEAR($B185)&gt;'General Inputs'!$G$42,'General Inputs'!$G$42,YEAR($B185)),TableAnnRentGwth,7,FALSE))^(1/12)-1</f>
        <v>2.4662697723036864E-3</v>
      </c>
      <c r="I185" s="383"/>
      <c r="J185" s="198"/>
      <c r="K185" s="198"/>
      <c r="L185" s="198"/>
      <c r="M185" s="384"/>
      <c r="N185" s="198"/>
      <c r="O185" s="378" t="str">
        <f>IF(AND(B185&gt;'General Inputs'!$C$39,B185&lt;ConstrStartDate),B185,"")</f>
        <v/>
      </c>
      <c r="P185" s="198" t="str">
        <f t="shared" si="45"/>
        <v/>
      </c>
      <c r="Q185" s="375">
        <f t="shared" si="47"/>
        <v>15</v>
      </c>
    </row>
    <row r="186" spans="1:17" hidden="1" outlineLevel="1" x14ac:dyDescent="0.3">
      <c r="A186" s="375">
        <v>16</v>
      </c>
      <c r="B186" s="376">
        <f t="shared" si="46"/>
        <v>47119</v>
      </c>
      <c r="C186" s="198">
        <f>(1+VLOOKUP(IF(YEAR($B186)&gt;'General Inputs'!$G$42,'General Inputs'!$G$42,YEAR($B186)),TableAnnRentGwth,2,FALSE)*(VLOOKUP(MONTH($B186),'General Inputs'!$W$29:$Z$40,3,FALSE)))-1</f>
        <v>3.7066666666667469E-3</v>
      </c>
      <c r="D186" s="198">
        <f>(1+VLOOKUP(IF(YEAR($B186)&gt;'General Inputs'!$G$42,'General Inputs'!$G$42,YEAR($B186)),TableAnnRentGwth,3,FALSE))^(1/12)-1</f>
        <v>1.6515813019202241E-3</v>
      </c>
      <c r="E186" s="198">
        <f>(1+VLOOKUP(IF(YEAR($B186)&gt;'General Inputs'!$G$42,'General Inputs'!$G$42,YEAR($B186)),TableAnnRentGwth,4,FALSE))^(1/12)-1</f>
        <v>2.4662697723036864E-3</v>
      </c>
      <c r="F186" s="198">
        <f>(1+VLOOKUP(IF(YEAR($B186)&gt;'General Inputs'!$G$42,'General Inputs'!$G$42,YEAR($B186)),TableAnnRentGwth,5,FALSE))^(1/12)-1</f>
        <v>2.4662697723036864E-3</v>
      </c>
      <c r="G186" s="198">
        <f>(1+VLOOKUP(IF(YEAR($B186)&gt;'General Inputs'!$G$42,'General Inputs'!$G$42,YEAR($B186)),TableAnnRentGwth,6,FALSE))^(1/12)-1</f>
        <v>2.4662697723036864E-3</v>
      </c>
      <c r="H186" s="198">
        <f>(1+VLOOKUP(IF(YEAR($B186)&gt;'General Inputs'!$G$42,'General Inputs'!$G$42,YEAR($B186)),TableAnnRentGwth,7,FALSE))^(1/12)-1</f>
        <v>2.4662697723036864E-3</v>
      </c>
      <c r="I186" s="383"/>
      <c r="J186" s="198"/>
      <c r="K186" s="198"/>
      <c r="L186" s="198"/>
      <c r="M186" s="384"/>
      <c r="N186" s="198"/>
      <c r="O186" s="378" t="str">
        <f>IF(AND(B186&gt;'General Inputs'!$C$39,B186&lt;ConstrStartDate),B186,"")</f>
        <v/>
      </c>
      <c r="P186" s="198" t="str">
        <f t="shared" si="45"/>
        <v/>
      </c>
      <c r="Q186" s="375">
        <f t="shared" si="47"/>
        <v>16</v>
      </c>
    </row>
    <row r="187" spans="1:17" hidden="1" outlineLevel="1" x14ac:dyDescent="0.3">
      <c r="A187" s="375">
        <v>17</v>
      </c>
      <c r="B187" s="376">
        <f t="shared" si="46"/>
        <v>47150</v>
      </c>
      <c r="C187" s="198">
        <f>(1+VLOOKUP(IF(YEAR($B187)&gt;'General Inputs'!$G$42,'General Inputs'!$G$42,YEAR($B187)),TableAnnRentGwth,2,FALSE)*(VLOOKUP(MONTH($B187),'General Inputs'!$W$29:$Z$40,3,FALSE)))-1</f>
        <v>3.7066666666667469E-3</v>
      </c>
      <c r="D187" s="198">
        <f>(1+VLOOKUP(IF(YEAR($B187)&gt;'General Inputs'!$G$42,'General Inputs'!$G$42,YEAR($B187)),TableAnnRentGwth,3,FALSE))^(1/12)-1</f>
        <v>1.6515813019202241E-3</v>
      </c>
      <c r="E187" s="198">
        <f>(1+VLOOKUP(IF(YEAR($B187)&gt;'General Inputs'!$G$42,'General Inputs'!$G$42,YEAR($B187)),TableAnnRentGwth,4,FALSE))^(1/12)-1</f>
        <v>2.4662697723036864E-3</v>
      </c>
      <c r="F187" s="198">
        <f>(1+VLOOKUP(IF(YEAR($B187)&gt;'General Inputs'!$G$42,'General Inputs'!$G$42,YEAR($B187)),TableAnnRentGwth,5,FALSE))^(1/12)-1</f>
        <v>2.4662697723036864E-3</v>
      </c>
      <c r="G187" s="198">
        <f>(1+VLOOKUP(IF(YEAR($B187)&gt;'General Inputs'!$G$42,'General Inputs'!$G$42,YEAR($B187)),TableAnnRentGwth,6,FALSE))^(1/12)-1</f>
        <v>2.4662697723036864E-3</v>
      </c>
      <c r="H187" s="198">
        <f>(1+VLOOKUP(IF(YEAR($B187)&gt;'General Inputs'!$G$42,'General Inputs'!$G$42,YEAR($B187)),TableAnnRentGwth,7,FALSE))^(1/12)-1</f>
        <v>2.4662697723036864E-3</v>
      </c>
      <c r="I187" s="383"/>
      <c r="J187" s="198"/>
      <c r="K187" s="198"/>
      <c r="L187" s="198"/>
      <c r="M187" s="384"/>
      <c r="N187" s="198"/>
      <c r="O187" s="378" t="str">
        <f>IF(AND(B187&gt;'General Inputs'!$C$39,B187&lt;ConstrStartDate),B187,"")</f>
        <v/>
      </c>
      <c r="P187" s="198" t="str">
        <f t="shared" si="45"/>
        <v/>
      </c>
      <c r="Q187" s="375">
        <f t="shared" si="47"/>
        <v>17</v>
      </c>
    </row>
    <row r="188" spans="1:17" hidden="1" outlineLevel="1" x14ac:dyDescent="0.3">
      <c r="A188" s="375">
        <v>18</v>
      </c>
      <c r="B188" s="376">
        <f t="shared" si="46"/>
        <v>47178</v>
      </c>
      <c r="C188" s="198">
        <f>(1+VLOOKUP(IF(YEAR($B188)&gt;'General Inputs'!$G$42,'General Inputs'!$G$42,YEAR($B188)),TableAnnRentGwth,2,FALSE)*(VLOOKUP(MONTH($B188),'General Inputs'!$W$29:$Z$40,3,FALSE)))-1</f>
        <v>3.7066666666667469E-3</v>
      </c>
      <c r="D188" s="198">
        <f>(1+VLOOKUP(IF(YEAR($B188)&gt;'General Inputs'!$G$42,'General Inputs'!$G$42,YEAR($B188)),TableAnnRentGwth,3,FALSE))^(1/12)-1</f>
        <v>1.6515813019202241E-3</v>
      </c>
      <c r="E188" s="198">
        <f>(1+VLOOKUP(IF(YEAR($B188)&gt;'General Inputs'!$G$42,'General Inputs'!$G$42,YEAR($B188)),TableAnnRentGwth,4,FALSE))^(1/12)-1</f>
        <v>2.4662697723036864E-3</v>
      </c>
      <c r="F188" s="198">
        <f>(1+VLOOKUP(IF(YEAR($B188)&gt;'General Inputs'!$G$42,'General Inputs'!$G$42,YEAR($B188)),TableAnnRentGwth,5,FALSE))^(1/12)-1</f>
        <v>2.4662697723036864E-3</v>
      </c>
      <c r="G188" s="198">
        <f>(1+VLOOKUP(IF(YEAR($B188)&gt;'General Inputs'!$G$42,'General Inputs'!$G$42,YEAR($B188)),TableAnnRentGwth,6,FALSE))^(1/12)-1</f>
        <v>2.4662697723036864E-3</v>
      </c>
      <c r="H188" s="198">
        <f>(1+VLOOKUP(IF(YEAR($B188)&gt;'General Inputs'!$G$42,'General Inputs'!$G$42,YEAR($B188)),TableAnnRentGwth,7,FALSE))^(1/12)-1</f>
        <v>2.4662697723036864E-3</v>
      </c>
      <c r="I188" s="383"/>
      <c r="J188" s="198"/>
      <c r="K188" s="198"/>
      <c r="L188" s="198"/>
      <c r="M188" s="384"/>
      <c r="N188" s="198"/>
      <c r="O188" s="378" t="str">
        <f>IF(AND(B188&gt;'General Inputs'!$C$39,B188&lt;ConstrStartDate),B188,"")</f>
        <v/>
      </c>
      <c r="P188" s="198" t="str">
        <f t="shared" si="45"/>
        <v/>
      </c>
      <c r="Q188" s="375">
        <f t="shared" si="47"/>
        <v>18</v>
      </c>
    </row>
    <row r="189" spans="1:17" hidden="1" outlineLevel="1" x14ac:dyDescent="0.3">
      <c r="A189" s="375">
        <v>19</v>
      </c>
      <c r="B189" s="376">
        <f t="shared" si="46"/>
        <v>47209</v>
      </c>
      <c r="C189" s="198">
        <f>(1+VLOOKUP(IF(YEAR($B189)&gt;'General Inputs'!$G$42,'General Inputs'!$G$42,YEAR($B189)),TableAnnRentGwth,2,FALSE)*(VLOOKUP(MONTH($B189),'General Inputs'!$W$29:$Z$40,3,FALSE)))-1</f>
        <v>5.5600000000000094E-3</v>
      </c>
      <c r="D189" s="198">
        <f>(1+VLOOKUP(IF(YEAR($B189)&gt;'General Inputs'!$G$42,'General Inputs'!$G$42,YEAR($B189)),TableAnnRentGwth,3,FALSE))^(1/12)-1</f>
        <v>1.6515813019202241E-3</v>
      </c>
      <c r="E189" s="198">
        <f>(1+VLOOKUP(IF(YEAR($B189)&gt;'General Inputs'!$G$42,'General Inputs'!$G$42,YEAR($B189)),TableAnnRentGwth,4,FALSE))^(1/12)-1</f>
        <v>2.4662697723036864E-3</v>
      </c>
      <c r="F189" s="198">
        <f>(1+VLOOKUP(IF(YEAR($B189)&gt;'General Inputs'!$G$42,'General Inputs'!$G$42,YEAR($B189)),TableAnnRentGwth,5,FALSE))^(1/12)-1</f>
        <v>2.4662697723036864E-3</v>
      </c>
      <c r="G189" s="198">
        <f>(1+VLOOKUP(IF(YEAR($B189)&gt;'General Inputs'!$G$42,'General Inputs'!$G$42,YEAR($B189)),TableAnnRentGwth,6,FALSE))^(1/12)-1</f>
        <v>2.4662697723036864E-3</v>
      </c>
      <c r="H189" s="198">
        <f>(1+VLOOKUP(IF(YEAR($B189)&gt;'General Inputs'!$G$42,'General Inputs'!$G$42,YEAR($B189)),TableAnnRentGwth,7,FALSE))^(1/12)-1</f>
        <v>2.4662697723036864E-3</v>
      </c>
      <c r="I189" s="383"/>
      <c r="J189" s="198"/>
      <c r="K189" s="198"/>
      <c r="L189" s="198"/>
      <c r="M189" s="384"/>
      <c r="N189" s="198"/>
      <c r="O189" s="378" t="str">
        <f>IF(AND(B189&gt;'General Inputs'!$C$39,B189&lt;ConstrStartDate),B189,"")</f>
        <v/>
      </c>
      <c r="P189" s="198" t="str">
        <f t="shared" si="45"/>
        <v/>
      </c>
      <c r="Q189" s="375">
        <f t="shared" si="47"/>
        <v>19</v>
      </c>
    </row>
    <row r="190" spans="1:17" hidden="1" outlineLevel="1" x14ac:dyDescent="0.3">
      <c r="A190" s="375">
        <v>20</v>
      </c>
      <c r="B190" s="376">
        <f t="shared" si="46"/>
        <v>47239</v>
      </c>
      <c r="C190" s="198">
        <f>(1+VLOOKUP(IF(YEAR($B190)&gt;'General Inputs'!$G$42,'General Inputs'!$G$42,YEAR($B190)),TableAnnRentGwth,2,FALSE)*(VLOOKUP(MONTH($B190),'General Inputs'!$W$29:$Z$40,3,FALSE)))-1</f>
        <v>5.5600000000000094E-3</v>
      </c>
      <c r="D190" s="198">
        <f>(1+VLOOKUP(IF(YEAR($B190)&gt;'General Inputs'!$G$42,'General Inputs'!$G$42,YEAR($B190)),TableAnnRentGwth,3,FALSE))^(1/12)-1</f>
        <v>1.6515813019202241E-3</v>
      </c>
      <c r="E190" s="198">
        <f>(1+VLOOKUP(IF(YEAR($B190)&gt;'General Inputs'!$G$42,'General Inputs'!$G$42,YEAR($B190)),TableAnnRentGwth,4,FALSE))^(1/12)-1</f>
        <v>2.4662697723036864E-3</v>
      </c>
      <c r="F190" s="198">
        <f>(1+VLOOKUP(IF(YEAR($B190)&gt;'General Inputs'!$G$42,'General Inputs'!$G$42,YEAR($B190)),TableAnnRentGwth,5,FALSE))^(1/12)-1</f>
        <v>2.4662697723036864E-3</v>
      </c>
      <c r="G190" s="198">
        <f>(1+VLOOKUP(IF(YEAR($B190)&gt;'General Inputs'!$G$42,'General Inputs'!$G$42,YEAR($B190)),TableAnnRentGwth,6,FALSE))^(1/12)-1</f>
        <v>2.4662697723036864E-3</v>
      </c>
      <c r="H190" s="198">
        <f>(1+VLOOKUP(IF(YEAR($B190)&gt;'General Inputs'!$G$42,'General Inputs'!$G$42,YEAR($B190)),TableAnnRentGwth,7,FALSE))^(1/12)-1</f>
        <v>2.4662697723036864E-3</v>
      </c>
      <c r="I190" s="383"/>
      <c r="J190" s="198"/>
      <c r="K190" s="198"/>
      <c r="L190" s="198"/>
      <c r="M190" s="384"/>
      <c r="N190" s="198"/>
      <c r="O190" s="378" t="str">
        <f>IF(AND(B190&gt;'General Inputs'!$C$39,B190&lt;ConstrStartDate),B190,"")</f>
        <v/>
      </c>
      <c r="P190" s="198" t="str">
        <f t="shared" si="45"/>
        <v/>
      </c>
      <c r="Q190" s="375">
        <f t="shared" si="47"/>
        <v>20</v>
      </c>
    </row>
    <row r="191" spans="1:17" hidden="1" outlineLevel="1" x14ac:dyDescent="0.3">
      <c r="A191" s="375">
        <v>21</v>
      </c>
      <c r="B191" s="376">
        <f t="shared" si="46"/>
        <v>47270</v>
      </c>
      <c r="C191" s="198">
        <f>(1+VLOOKUP(IF(YEAR($B191)&gt;'General Inputs'!$G$42,'General Inputs'!$G$42,YEAR($B191)),TableAnnRentGwth,2,FALSE)*(VLOOKUP(MONTH($B191),'General Inputs'!$W$29:$Z$40,3,FALSE)))-1</f>
        <v>5.5600000000000094E-3</v>
      </c>
      <c r="D191" s="198">
        <f>(1+VLOOKUP(IF(YEAR($B191)&gt;'General Inputs'!$G$42,'General Inputs'!$G$42,YEAR($B191)),TableAnnRentGwth,3,FALSE))^(1/12)-1</f>
        <v>1.6515813019202241E-3</v>
      </c>
      <c r="E191" s="198">
        <f>(1+VLOOKUP(IF(YEAR($B191)&gt;'General Inputs'!$G$42,'General Inputs'!$G$42,YEAR($B191)),TableAnnRentGwth,4,FALSE))^(1/12)-1</f>
        <v>2.4662697723036864E-3</v>
      </c>
      <c r="F191" s="198">
        <f>(1+VLOOKUP(IF(YEAR($B191)&gt;'General Inputs'!$G$42,'General Inputs'!$G$42,YEAR($B191)),TableAnnRentGwth,5,FALSE))^(1/12)-1</f>
        <v>2.4662697723036864E-3</v>
      </c>
      <c r="G191" s="198">
        <f>(1+VLOOKUP(IF(YEAR($B191)&gt;'General Inputs'!$G$42,'General Inputs'!$G$42,YEAR($B191)),TableAnnRentGwth,6,FALSE))^(1/12)-1</f>
        <v>2.4662697723036864E-3</v>
      </c>
      <c r="H191" s="198">
        <f>(1+VLOOKUP(IF(YEAR($B191)&gt;'General Inputs'!$G$42,'General Inputs'!$G$42,YEAR($B191)),TableAnnRentGwth,7,FALSE))^(1/12)-1</f>
        <v>2.4662697723036864E-3</v>
      </c>
      <c r="I191" s="383"/>
      <c r="J191" s="198"/>
      <c r="K191" s="198"/>
      <c r="L191" s="198"/>
      <c r="M191" s="384"/>
      <c r="N191" s="198"/>
      <c r="O191" s="378" t="str">
        <f>IF(AND(B191&gt;'General Inputs'!$C$39,B191&lt;ConstrStartDate),B191,"")</f>
        <v/>
      </c>
      <c r="P191" s="198" t="str">
        <f t="shared" si="45"/>
        <v/>
      </c>
      <c r="Q191" s="375">
        <f t="shared" si="47"/>
        <v>21</v>
      </c>
    </row>
    <row r="192" spans="1:17" hidden="1" outlineLevel="1" x14ac:dyDescent="0.3">
      <c r="A192" s="375">
        <v>22</v>
      </c>
      <c r="B192" s="376">
        <f t="shared" si="46"/>
        <v>47300</v>
      </c>
      <c r="C192" s="198">
        <f>(1+VLOOKUP(IF(YEAR($B192)&gt;'General Inputs'!$G$42,'General Inputs'!$G$42,YEAR($B192)),TableAnnRentGwth,2,FALSE)*(VLOOKUP(MONTH($B192),'General Inputs'!$W$29:$Z$40,3,FALSE)))-1</f>
        <v>5.5600000000000094E-3</v>
      </c>
      <c r="D192" s="198">
        <f>(1+VLOOKUP(IF(YEAR($B192)&gt;'General Inputs'!$G$42,'General Inputs'!$G$42,YEAR($B192)),TableAnnRentGwth,3,FALSE))^(1/12)-1</f>
        <v>1.6515813019202241E-3</v>
      </c>
      <c r="E192" s="198">
        <f>(1+VLOOKUP(IF(YEAR($B192)&gt;'General Inputs'!$G$42,'General Inputs'!$G$42,YEAR($B192)),TableAnnRentGwth,4,FALSE))^(1/12)-1</f>
        <v>2.4662697723036864E-3</v>
      </c>
      <c r="F192" s="198">
        <f>(1+VLOOKUP(IF(YEAR($B192)&gt;'General Inputs'!$G$42,'General Inputs'!$G$42,YEAR($B192)),TableAnnRentGwth,5,FALSE))^(1/12)-1</f>
        <v>2.4662697723036864E-3</v>
      </c>
      <c r="G192" s="198">
        <f>(1+VLOOKUP(IF(YEAR($B192)&gt;'General Inputs'!$G$42,'General Inputs'!$G$42,YEAR($B192)),TableAnnRentGwth,6,FALSE))^(1/12)-1</f>
        <v>2.4662697723036864E-3</v>
      </c>
      <c r="H192" s="198">
        <f>(1+VLOOKUP(IF(YEAR($B192)&gt;'General Inputs'!$G$42,'General Inputs'!$G$42,YEAR($B192)),TableAnnRentGwth,7,FALSE))^(1/12)-1</f>
        <v>2.4662697723036864E-3</v>
      </c>
      <c r="I192" s="383"/>
      <c r="J192" s="198"/>
      <c r="K192" s="198"/>
      <c r="L192" s="198"/>
      <c r="M192" s="384"/>
      <c r="N192" s="198"/>
      <c r="O192" s="378" t="str">
        <f>IF(AND(B192&gt;'General Inputs'!$C$39,B192&lt;ConstrStartDate),B192,"")</f>
        <v/>
      </c>
      <c r="P192" s="198" t="str">
        <f t="shared" si="45"/>
        <v/>
      </c>
      <c r="Q192" s="375">
        <f t="shared" si="47"/>
        <v>22</v>
      </c>
    </row>
    <row r="193" spans="1:17" hidden="1" outlineLevel="1" x14ac:dyDescent="0.3">
      <c r="A193" s="375">
        <v>23</v>
      </c>
      <c r="B193" s="376">
        <f t="shared" si="46"/>
        <v>47331</v>
      </c>
      <c r="C193" s="198">
        <f>(1+VLOOKUP(IF(YEAR($B193)&gt;'General Inputs'!$G$42,'General Inputs'!$G$42,YEAR($B193)),TableAnnRentGwth,2,FALSE)*(VLOOKUP(MONTH($B193),'General Inputs'!$W$29:$Z$40,3,FALSE)))-1</f>
        <v>5.5600000000000094E-3</v>
      </c>
      <c r="D193" s="198">
        <f>(1+VLOOKUP(IF(YEAR($B193)&gt;'General Inputs'!$G$42,'General Inputs'!$G$42,YEAR($B193)),TableAnnRentGwth,3,FALSE))^(1/12)-1</f>
        <v>1.6515813019202241E-3</v>
      </c>
      <c r="E193" s="198">
        <f>(1+VLOOKUP(IF(YEAR($B193)&gt;'General Inputs'!$G$42,'General Inputs'!$G$42,YEAR($B193)),TableAnnRentGwth,4,FALSE))^(1/12)-1</f>
        <v>2.4662697723036864E-3</v>
      </c>
      <c r="F193" s="198">
        <f>(1+VLOOKUP(IF(YEAR($B193)&gt;'General Inputs'!$G$42,'General Inputs'!$G$42,YEAR($B193)),TableAnnRentGwth,5,FALSE))^(1/12)-1</f>
        <v>2.4662697723036864E-3</v>
      </c>
      <c r="G193" s="198">
        <f>(1+VLOOKUP(IF(YEAR($B193)&gt;'General Inputs'!$G$42,'General Inputs'!$G$42,YEAR($B193)),TableAnnRentGwth,6,FALSE))^(1/12)-1</f>
        <v>2.4662697723036864E-3</v>
      </c>
      <c r="H193" s="198">
        <f>(1+VLOOKUP(IF(YEAR($B193)&gt;'General Inputs'!$G$42,'General Inputs'!$G$42,YEAR($B193)),TableAnnRentGwth,7,FALSE))^(1/12)-1</f>
        <v>2.4662697723036864E-3</v>
      </c>
      <c r="I193" s="383"/>
      <c r="J193" s="198"/>
      <c r="K193" s="198"/>
      <c r="L193" s="198"/>
      <c r="M193" s="384"/>
      <c r="N193" s="198"/>
      <c r="O193" s="378" t="str">
        <f>IF(AND(B193&gt;'General Inputs'!$C$39,B193&lt;ConstrStartDate),B193,"")</f>
        <v/>
      </c>
      <c r="P193" s="198" t="str">
        <f t="shared" si="45"/>
        <v/>
      </c>
      <c r="Q193" s="375">
        <f t="shared" si="47"/>
        <v>23</v>
      </c>
    </row>
    <row r="194" spans="1:17" hidden="1" outlineLevel="1" x14ac:dyDescent="0.3">
      <c r="A194" s="375">
        <v>24</v>
      </c>
      <c r="B194" s="376">
        <f t="shared" si="46"/>
        <v>47362</v>
      </c>
      <c r="C194" s="198">
        <f>(1+VLOOKUP(IF(YEAR($B194)&gt;'General Inputs'!$G$42,'General Inputs'!$G$42,YEAR($B194)),TableAnnRentGwth,2,FALSE)*(VLOOKUP(MONTH($B194),'General Inputs'!$W$29:$Z$40,3,FALSE)))-1</f>
        <v>5.5600000000000094E-3</v>
      </c>
      <c r="D194" s="198">
        <f>(1+VLOOKUP(IF(YEAR($B194)&gt;'General Inputs'!$G$42,'General Inputs'!$G$42,YEAR($B194)),TableAnnRentGwth,3,FALSE))^(1/12)-1</f>
        <v>1.6515813019202241E-3</v>
      </c>
      <c r="E194" s="198">
        <f>(1+VLOOKUP(IF(YEAR($B194)&gt;'General Inputs'!$G$42,'General Inputs'!$G$42,YEAR($B194)),TableAnnRentGwth,4,FALSE))^(1/12)-1</f>
        <v>2.4662697723036864E-3</v>
      </c>
      <c r="F194" s="198">
        <f>(1+VLOOKUP(IF(YEAR($B194)&gt;'General Inputs'!$G$42,'General Inputs'!$G$42,YEAR($B194)),TableAnnRentGwth,5,FALSE))^(1/12)-1</f>
        <v>2.4662697723036864E-3</v>
      </c>
      <c r="G194" s="198">
        <f>(1+VLOOKUP(IF(YEAR($B194)&gt;'General Inputs'!$G$42,'General Inputs'!$G$42,YEAR($B194)),TableAnnRentGwth,6,FALSE))^(1/12)-1</f>
        <v>2.4662697723036864E-3</v>
      </c>
      <c r="H194" s="198">
        <f>(1+VLOOKUP(IF(YEAR($B194)&gt;'General Inputs'!$G$42,'General Inputs'!$G$42,YEAR($B194)),TableAnnRentGwth,7,FALSE))^(1/12)-1</f>
        <v>2.4662697723036864E-3</v>
      </c>
      <c r="I194" s="383"/>
      <c r="J194" s="198"/>
      <c r="K194" s="198"/>
      <c r="L194" s="198"/>
      <c r="M194" s="384"/>
      <c r="N194" s="198"/>
      <c r="O194" s="378" t="str">
        <f>IF(AND(B194&gt;'General Inputs'!$C$39,B194&lt;ConstrStartDate),B194,"")</f>
        <v/>
      </c>
      <c r="P194" s="198" t="str">
        <f t="shared" si="45"/>
        <v/>
      </c>
      <c r="Q194" s="375">
        <f t="shared" si="47"/>
        <v>24</v>
      </c>
    </row>
    <row r="195" spans="1:17" hidden="1" outlineLevel="1" x14ac:dyDescent="0.3">
      <c r="A195" s="375">
        <v>25</v>
      </c>
      <c r="B195" s="376">
        <f t="shared" si="46"/>
        <v>47392</v>
      </c>
      <c r="C195" s="198">
        <f>(1+VLOOKUP(IF(YEAR($B195)&gt;'General Inputs'!$G$42,'General Inputs'!$G$42,YEAR($B195)),TableAnnRentGwth,2,FALSE)*(VLOOKUP(MONTH($B195),'General Inputs'!$W$29:$Z$40,3,FALSE)))-1</f>
        <v>3.7066666666667469E-3</v>
      </c>
      <c r="D195" s="198">
        <f>(1+VLOOKUP(IF(YEAR($B195)&gt;'General Inputs'!$G$42,'General Inputs'!$G$42,YEAR($B195)),TableAnnRentGwth,3,FALSE))^(1/12)-1</f>
        <v>1.6515813019202241E-3</v>
      </c>
      <c r="E195" s="198">
        <f>(1+VLOOKUP(IF(YEAR($B195)&gt;'General Inputs'!$G$42,'General Inputs'!$G$42,YEAR($B195)),TableAnnRentGwth,4,FALSE))^(1/12)-1</f>
        <v>2.4662697723036864E-3</v>
      </c>
      <c r="F195" s="198">
        <f>(1+VLOOKUP(IF(YEAR($B195)&gt;'General Inputs'!$G$42,'General Inputs'!$G$42,YEAR($B195)),TableAnnRentGwth,5,FALSE))^(1/12)-1</f>
        <v>2.4662697723036864E-3</v>
      </c>
      <c r="G195" s="198">
        <f>(1+VLOOKUP(IF(YEAR($B195)&gt;'General Inputs'!$G$42,'General Inputs'!$G$42,YEAR($B195)),TableAnnRentGwth,6,FALSE))^(1/12)-1</f>
        <v>2.4662697723036864E-3</v>
      </c>
      <c r="H195" s="198">
        <f>(1+VLOOKUP(IF(YEAR($B195)&gt;'General Inputs'!$G$42,'General Inputs'!$G$42,YEAR($B195)),TableAnnRentGwth,7,FALSE))^(1/12)-1</f>
        <v>2.4662697723036864E-3</v>
      </c>
      <c r="I195" s="383"/>
      <c r="J195" s="198"/>
      <c r="K195" s="198"/>
      <c r="L195" s="198"/>
      <c r="M195" s="384"/>
      <c r="N195" s="198"/>
      <c r="O195" s="378" t="str">
        <f>IF(AND(B195&gt;'General Inputs'!$C$39,B195&lt;ConstrStartDate),B195,"")</f>
        <v/>
      </c>
      <c r="P195" s="198" t="str">
        <f t="shared" si="45"/>
        <v/>
      </c>
      <c r="Q195" s="375">
        <f t="shared" si="47"/>
        <v>25</v>
      </c>
    </row>
    <row r="196" spans="1:17" hidden="1" outlineLevel="1" x14ac:dyDescent="0.3">
      <c r="A196" s="375">
        <v>26</v>
      </c>
      <c r="B196" s="376">
        <f t="shared" si="46"/>
        <v>47423</v>
      </c>
      <c r="C196" s="198">
        <f>(1+VLOOKUP(IF(YEAR($B196)&gt;'General Inputs'!$G$42,'General Inputs'!$G$42,YEAR($B196)),TableAnnRentGwth,2,FALSE)*(VLOOKUP(MONTH($B196),'General Inputs'!$W$29:$Z$40,3,FALSE)))-1</f>
        <v>3.7066666666667469E-3</v>
      </c>
      <c r="D196" s="198">
        <f>(1+VLOOKUP(IF(YEAR($B196)&gt;'General Inputs'!$G$42,'General Inputs'!$G$42,YEAR($B196)),TableAnnRentGwth,3,FALSE))^(1/12)-1</f>
        <v>1.6515813019202241E-3</v>
      </c>
      <c r="E196" s="198">
        <f>(1+VLOOKUP(IF(YEAR($B196)&gt;'General Inputs'!$G$42,'General Inputs'!$G$42,YEAR($B196)),TableAnnRentGwth,4,FALSE))^(1/12)-1</f>
        <v>2.4662697723036864E-3</v>
      </c>
      <c r="F196" s="198">
        <f>(1+VLOOKUP(IF(YEAR($B196)&gt;'General Inputs'!$G$42,'General Inputs'!$G$42,YEAR($B196)),TableAnnRentGwth,5,FALSE))^(1/12)-1</f>
        <v>2.4662697723036864E-3</v>
      </c>
      <c r="G196" s="198">
        <f>(1+VLOOKUP(IF(YEAR($B196)&gt;'General Inputs'!$G$42,'General Inputs'!$G$42,YEAR($B196)),TableAnnRentGwth,6,FALSE))^(1/12)-1</f>
        <v>2.4662697723036864E-3</v>
      </c>
      <c r="H196" s="198">
        <f>(1+VLOOKUP(IF(YEAR($B196)&gt;'General Inputs'!$G$42,'General Inputs'!$G$42,YEAR($B196)),TableAnnRentGwth,7,FALSE))^(1/12)-1</f>
        <v>2.4662697723036864E-3</v>
      </c>
      <c r="I196" s="383"/>
      <c r="J196" s="198"/>
      <c r="K196" s="198"/>
      <c r="L196" s="198"/>
      <c r="M196" s="384"/>
      <c r="N196" s="198"/>
      <c r="O196" s="378" t="str">
        <f>IF(AND(B196&gt;'General Inputs'!$C$39,B196&lt;ConstrStartDate),B196,"")</f>
        <v/>
      </c>
      <c r="P196" s="198" t="str">
        <f t="shared" si="45"/>
        <v/>
      </c>
      <c r="Q196" s="375">
        <f t="shared" si="47"/>
        <v>26</v>
      </c>
    </row>
    <row r="197" spans="1:17" hidden="1" outlineLevel="1" x14ac:dyDescent="0.3">
      <c r="A197" s="375">
        <v>27</v>
      </c>
      <c r="B197" s="376">
        <f t="shared" si="46"/>
        <v>47453</v>
      </c>
      <c r="C197" s="198">
        <f>(1+VLOOKUP(IF(YEAR($B197)&gt;'General Inputs'!$G$42,'General Inputs'!$G$42,YEAR($B197)),TableAnnRentGwth,2,FALSE)*(VLOOKUP(MONTH($B197),'General Inputs'!$W$29:$Z$40,3,FALSE)))-1</f>
        <v>3.7066666666667469E-3</v>
      </c>
      <c r="D197" s="198">
        <f>(1+VLOOKUP(IF(YEAR($B197)&gt;'General Inputs'!$G$42,'General Inputs'!$G$42,YEAR($B197)),TableAnnRentGwth,3,FALSE))^(1/12)-1</f>
        <v>1.6515813019202241E-3</v>
      </c>
      <c r="E197" s="198">
        <f>(1+VLOOKUP(IF(YEAR($B197)&gt;'General Inputs'!$G$42,'General Inputs'!$G$42,YEAR($B197)),TableAnnRentGwth,4,FALSE))^(1/12)-1</f>
        <v>2.4662697723036864E-3</v>
      </c>
      <c r="F197" s="198">
        <f>(1+VLOOKUP(IF(YEAR($B197)&gt;'General Inputs'!$G$42,'General Inputs'!$G$42,YEAR($B197)),TableAnnRentGwth,5,FALSE))^(1/12)-1</f>
        <v>2.4662697723036864E-3</v>
      </c>
      <c r="G197" s="198">
        <f>(1+VLOOKUP(IF(YEAR($B197)&gt;'General Inputs'!$G$42,'General Inputs'!$G$42,YEAR($B197)),TableAnnRentGwth,6,FALSE))^(1/12)-1</f>
        <v>2.4662697723036864E-3</v>
      </c>
      <c r="H197" s="198">
        <f>(1+VLOOKUP(IF(YEAR($B197)&gt;'General Inputs'!$G$42,'General Inputs'!$G$42,YEAR($B197)),TableAnnRentGwth,7,FALSE))^(1/12)-1</f>
        <v>2.4662697723036864E-3</v>
      </c>
      <c r="I197" s="383"/>
      <c r="J197" s="198"/>
      <c r="K197" s="198"/>
      <c r="L197" s="198"/>
      <c r="M197" s="384"/>
      <c r="N197" s="198"/>
      <c r="O197" s="378" t="str">
        <f>IF(AND(B197&gt;'General Inputs'!$C$39,B197&lt;ConstrStartDate),B197,"")</f>
        <v/>
      </c>
      <c r="P197" s="198" t="str">
        <f t="shared" si="45"/>
        <v/>
      </c>
      <c r="Q197" s="375">
        <f t="shared" si="47"/>
        <v>27</v>
      </c>
    </row>
    <row r="198" spans="1:17" hidden="1" outlineLevel="1" x14ac:dyDescent="0.3">
      <c r="A198" s="375">
        <v>28</v>
      </c>
      <c r="B198" s="376">
        <f t="shared" si="46"/>
        <v>47484</v>
      </c>
      <c r="C198" s="198">
        <f>(1+VLOOKUP(IF(YEAR($B198)&gt;'General Inputs'!$G$42,'General Inputs'!$G$42,YEAR($B198)),TableAnnRentGwth,2,FALSE)*(VLOOKUP(MONTH($B198),'General Inputs'!$W$29:$Z$40,3,FALSE)))-1</f>
        <v>3.3600000000000296E-3</v>
      </c>
      <c r="D198" s="198">
        <f>(1+VLOOKUP(IF(YEAR($B198)&gt;'General Inputs'!$G$42,'General Inputs'!$G$42,YEAR($B198)),TableAnnRentGwth,3,FALSE))^(1/12)-1</f>
        <v>1.6515813019202241E-3</v>
      </c>
      <c r="E198" s="198">
        <f>(1+VLOOKUP(IF(YEAR($B198)&gt;'General Inputs'!$G$42,'General Inputs'!$G$42,YEAR($B198)),TableAnnRentGwth,4,FALSE))^(1/12)-1</f>
        <v>2.4662697723036864E-3</v>
      </c>
      <c r="F198" s="198">
        <f>(1+VLOOKUP(IF(YEAR($B198)&gt;'General Inputs'!$G$42,'General Inputs'!$G$42,YEAR($B198)),TableAnnRentGwth,5,FALSE))^(1/12)-1</f>
        <v>2.4662697723036864E-3</v>
      </c>
      <c r="G198" s="198">
        <f>(1+VLOOKUP(IF(YEAR($B198)&gt;'General Inputs'!$G$42,'General Inputs'!$G$42,YEAR($B198)),TableAnnRentGwth,6,FALSE))^(1/12)-1</f>
        <v>2.4662697723036864E-3</v>
      </c>
      <c r="H198" s="198">
        <f>(1+VLOOKUP(IF(YEAR($B198)&gt;'General Inputs'!$G$42,'General Inputs'!$G$42,YEAR($B198)),TableAnnRentGwth,7,FALSE))^(1/12)-1</f>
        <v>2.4662697723036864E-3</v>
      </c>
      <c r="I198" s="383"/>
      <c r="J198" s="198"/>
      <c r="K198" s="198"/>
      <c r="L198" s="198"/>
      <c r="M198" s="384"/>
      <c r="N198" s="198"/>
      <c r="O198" s="378" t="str">
        <f>IF(AND(B198&gt;'General Inputs'!$C$39,B198&lt;ConstrStartDate),B198,"")</f>
        <v/>
      </c>
      <c r="P198" s="198" t="str">
        <f t="shared" si="45"/>
        <v/>
      </c>
      <c r="Q198" s="375">
        <f t="shared" si="47"/>
        <v>28</v>
      </c>
    </row>
    <row r="199" spans="1:17" hidden="1" outlineLevel="1" x14ac:dyDescent="0.3">
      <c r="A199" s="375">
        <v>29</v>
      </c>
      <c r="B199" s="376">
        <f t="shared" si="46"/>
        <v>47515</v>
      </c>
      <c r="C199" s="198">
        <f>(1+VLOOKUP(IF(YEAR($B199)&gt;'General Inputs'!$G$42,'General Inputs'!$G$42,YEAR($B199)),TableAnnRentGwth,2,FALSE)*(VLOOKUP(MONTH($B199),'General Inputs'!$W$29:$Z$40,3,FALSE)))-1</f>
        <v>3.3600000000000296E-3</v>
      </c>
      <c r="D199" s="198">
        <f>(1+VLOOKUP(IF(YEAR($B199)&gt;'General Inputs'!$G$42,'General Inputs'!$G$42,YEAR($B199)),TableAnnRentGwth,3,FALSE))^(1/12)-1</f>
        <v>1.6515813019202241E-3</v>
      </c>
      <c r="E199" s="198">
        <f>(1+VLOOKUP(IF(YEAR($B199)&gt;'General Inputs'!$G$42,'General Inputs'!$G$42,YEAR($B199)),TableAnnRentGwth,4,FALSE))^(1/12)-1</f>
        <v>2.4662697723036864E-3</v>
      </c>
      <c r="F199" s="198">
        <f>(1+VLOOKUP(IF(YEAR($B199)&gt;'General Inputs'!$G$42,'General Inputs'!$G$42,YEAR($B199)),TableAnnRentGwth,5,FALSE))^(1/12)-1</f>
        <v>2.4662697723036864E-3</v>
      </c>
      <c r="G199" s="198">
        <f>(1+VLOOKUP(IF(YEAR($B199)&gt;'General Inputs'!$G$42,'General Inputs'!$G$42,YEAR($B199)),TableAnnRentGwth,6,FALSE))^(1/12)-1</f>
        <v>2.4662697723036864E-3</v>
      </c>
      <c r="H199" s="198">
        <f>(1+VLOOKUP(IF(YEAR($B199)&gt;'General Inputs'!$G$42,'General Inputs'!$G$42,YEAR($B199)),TableAnnRentGwth,7,FALSE))^(1/12)-1</f>
        <v>2.4662697723036864E-3</v>
      </c>
      <c r="I199" s="383"/>
      <c r="J199" s="198"/>
      <c r="K199" s="198"/>
      <c r="L199" s="198"/>
      <c r="M199" s="384"/>
      <c r="N199" s="198"/>
      <c r="O199" s="378" t="str">
        <f>IF(AND(B199&gt;'General Inputs'!$C$39,B199&lt;ConstrStartDate),B199,"")</f>
        <v/>
      </c>
      <c r="P199" s="198" t="str">
        <f t="shared" si="45"/>
        <v/>
      </c>
      <c r="Q199" s="375">
        <f t="shared" si="47"/>
        <v>29</v>
      </c>
    </row>
    <row r="200" spans="1:17" hidden="1" outlineLevel="1" x14ac:dyDescent="0.3">
      <c r="A200" s="375">
        <v>30</v>
      </c>
      <c r="B200" s="376">
        <f t="shared" si="46"/>
        <v>47543</v>
      </c>
      <c r="C200" s="198">
        <f>(1+VLOOKUP(IF(YEAR($B200)&gt;'General Inputs'!$G$42,'General Inputs'!$G$42,YEAR($B200)),TableAnnRentGwth,2,FALSE)*(VLOOKUP(MONTH($B200),'General Inputs'!$W$29:$Z$40,3,FALSE)))-1</f>
        <v>3.3600000000000296E-3</v>
      </c>
      <c r="D200" s="198">
        <f>(1+VLOOKUP(IF(YEAR($B200)&gt;'General Inputs'!$G$42,'General Inputs'!$G$42,YEAR($B200)),TableAnnRentGwth,3,FALSE))^(1/12)-1</f>
        <v>1.6515813019202241E-3</v>
      </c>
      <c r="E200" s="198">
        <f>(1+VLOOKUP(IF(YEAR($B200)&gt;'General Inputs'!$G$42,'General Inputs'!$G$42,YEAR($B200)),TableAnnRentGwth,4,FALSE))^(1/12)-1</f>
        <v>2.4662697723036864E-3</v>
      </c>
      <c r="F200" s="198">
        <f>(1+VLOOKUP(IF(YEAR($B200)&gt;'General Inputs'!$G$42,'General Inputs'!$G$42,YEAR($B200)),TableAnnRentGwth,5,FALSE))^(1/12)-1</f>
        <v>2.4662697723036864E-3</v>
      </c>
      <c r="G200" s="198">
        <f>(1+VLOOKUP(IF(YEAR($B200)&gt;'General Inputs'!$G$42,'General Inputs'!$G$42,YEAR($B200)),TableAnnRentGwth,6,FALSE))^(1/12)-1</f>
        <v>2.4662697723036864E-3</v>
      </c>
      <c r="H200" s="198">
        <f>(1+VLOOKUP(IF(YEAR($B200)&gt;'General Inputs'!$G$42,'General Inputs'!$G$42,YEAR($B200)),TableAnnRentGwth,7,FALSE))^(1/12)-1</f>
        <v>2.4662697723036864E-3</v>
      </c>
      <c r="I200" s="383"/>
      <c r="J200" s="198"/>
      <c r="K200" s="198"/>
      <c r="L200" s="198"/>
      <c r="M200" s="384"/>
      <c r="N200" s="198"/>
      <c r="O200" s="378" t="str">
        <f>IF(AND(B200&gt;'General Inputs'!$C$39,B200&lt;ConstrStartDate),B200,"")</f>
        <v/>
      </c>
      <c r="P200" s="198" t="str">
        <f t="shared" si="45"/>
        <v/>
      </c>
      <c r="Q200" s="375">
        <f t="shared" si="47"/>
        <v>30</v>
      </c>
    </row>
    <row r="201" spans="1:17" hidden="1" outlineLevel="1" x14ac:dyDescent="0.3">
      <c r="A201" s="375">
        <v>31</v>
      </c>
      <c r="B201" s="376">
        <f t="shared" si="46"/>
        <v>47574</v>
      </c>
      <c r="C201" s="198">
        <f>(1+VLOOKUP(IF(YEAR($B201)&gt;'General Inputs'!$G$42,'General Inputs'!$G$42,YEAR($B201)),TableAnnRentGwth,2,FALSE)*(VLOOKUP(MONTH($B201),'General Inputs'!$W$29:$Z$40,3,FALSE)))-1</f>
        <v>5.0399999999999334E-3</v>
      </c>
      <c r="D201" s="198">
        <f>(1+VLOOKUP(IF(YEAR($B201)&gt;'General Inputs'!$G$42,'General Inputs'!$G$42,YEAR($B201)),TableAnnRentGwth,3,FALSE))^(1/12)-1</f>
        <v>1.6515813019202241E-3</v>
      </c>
      <c r="E201" s="198">
        <f>(1+VLOOKUP(IF(YEAR($B201)&gt;'General Inputs'!$G$42,'General Inputs'!$G$42,YEAR($B201)),TableAnnRentGwth,4,FALSE))^(1/12)-1</f>
        <v>2.4662697723036864E-3</v>
      </c>
      <c r="F201" s="198">
        <f>(1+VLOOKUP(IF(YEAR($B201)&gt;'General Inputs'!$G$42,'General Inputs'!$G$42,YEAR($B201)),TableAnnRentGwth,5,FALSE))^(1/12)-1</f>
        <v>2.4662697723036864E-3</v>
      </c>
      <c r="G201" s="198">
        <f>(1+VLOOKUP(IF(YEAR($B201)&gt;'General Inputs'!$G$42,'General Inputs'!$G$42,YEAR($B201)),TableAnnRentGwth,6,FALSE))^(1/12)-1</f>
        <v>2.4662697723036864E-3</v>
      </c>
      <c r="H201" s="198">
        <f>(1+VLOOKUP(IF(YEAR($B201)&gt;'General Inputs'!$G$42,'General Inputs'!$G$42,YEAR($B201)),TableAnnRentGwth,7,FALSE))^(1/12)-1</f>
        <v>2.4662697723036864E-3</v>
      </c>
      <c r="I201" s="383"/>
      <c r="J201" s="198"/>
      <c r="K201" s="198"/>
      <c r="L201" s="198"/>
      <c r="M201" s="384"/>
      <c r="N201" s="198"/>
      <c r="O201" s="378" t="str">
        <f>IF(AND(B201&gt;'General Inputs'!$C$39,B201&lt;ConstrStartDate),B201,"")</f>
        <v/>
      </c>
      <c r="P201" s="198" t="str">
        <f t="shared" si="45"/>
        <v/>
      </c>
      <c r="Q201" s="375">
        <f t="shared" si="47"/>
        <v>31</v>
      </c>
    </row>
    <row r="202" spans="1:17" hidden="1" outlineLevel="1" x14ac:dyDescent="0.3">
      <c r="A202" s="375">
        <v>32</v>
      </c>
      <c r="B202" s="376">
        <f t="shared" si="46"/>
        <v>47604</v>
      </c>
      <c r="C202" s="198">
        <f>(1+VLOOKUP(IF(YEAR($B202)&gt;'General Inputs'!$G$42,'General Inputs'!$G$42,YEAR($B202)),TableAnnRentGwth,2,FALSE)*(VLOOKUP(MONTH($B202),'General Inputs'!$W$29:$Z$40,3,FALSE)))-1</f>
        <v>5.0399999999999334E-3</v>
      </c>
      <c r="D202" s="198">
        <f>(1+VLOOKUP(IF(YEAR($B202)&gt;'General Inputs'!$G$42,'General Inputs'!$G$42,YEAR($B202)),TableAnnRentGwth,3,FALSE))^(1/12)-1</f>
        <v>1.6515813019202241E-3</v>
      </c>
      <c r="E202" s="198">
        <f>(1+VLOOKUP(IF(YEAR($B202)&gt;'General Inputs'!$G$42,'General Inputs'!$G$42,YEAR($B202)),TableAnnRentGwth,4,FALSE))^(1/12)-1</f>
        <v>2.4662697723036864E-3</v>
      </c>
      <c r="F202" s="198">
        <f>(1+VLOOKUP(IF(YEAR($B202)&gt;'General Inputs'!$G$42,'General Inputs'!$G$42,YEAR($B202)),TableAnnRentGwth,5,FALSE))^(1/12)-1</f>
        <v>2.4662697723036864E-3</v>
      </c>
      <c r="G202" s="198">
        <f>(1+VLOOKUP(IF(YEAR($B202)&gt;'General Inputs'!$G$42,'General Inputs'!$G$42,YEAR($B202)),TableAnnRentGwth,6,FALSE))^(1/12)-1</f>
        <v>2.4662697723036864E-3</v>
      </c>
      <c r="H202" s="198">
        <f>(1+VLOOKUP(IF(YEAR($B202)&gt;'General Inputs'!$G$42,'General Inputs'!$G$42,YEAR($B202)),TableAnnRentGwth,7,FALSE))^(1/12)-1</f>
        <v>2.4662697723036864E-3</v>
      </c>
      <c r="I202" s="383"/>
      <c r="J202" s="198"/>
      <c r="K202" s="198"/>
      <c r="L202" s="198"/>
      <c r="M202" s="384"/>
      <c r="N202" s="198"/>
      <c r="O202" s="378" t="str">
        <f>IF(AND(B202&gt;'General Inputs'!$C$39,B202&lt;ConstrStartDate),B202,"")</f>
        <v/>
      </c>
      <c r="P202" s="198" t="str">
        <f t="shared" si="45"/>
        <v/>
      </c>
      <c r="Q202" s="375">
        <f t="shared" si="47"/>
        <v>32</v>
      </c>
    </row>
    <row r="203" spans="1:17" hidden="1" outlineLevel="1" x14ac:dyDescent="0.3">
      <c r="A203" s="375">
        <v>33</v>
      </c>
      <c r="B203" s="376">
        <f t="shared" si="46"/>
        <v>47635</v>
      </c>
      <c r="C203" s="198">
        <f>(1+VLOOKUP(IF(YEAR($B203)&gt;'General Inputs'!$G$42,'General Inputs'!$G$42,YEAR($B203)),TableAnnRentGwth,2,FALSE)*(VLOOKUP(MONTH($B203),'General Inputs'!$W$29:$Z$40,3,FALSE)))-1</f>
        <v>5.0399999999999334E-3</v>
      </c>
      <c r="D203" s="198">
        <f>(1+VLOOKUP(IF(YEAR($B203)&gt;'General Inputs'!$G$42,'General Inputs'!$G$42,YEAR($B203)),TableAnnRentGwth,3,FALSE))^(1/12)-1</f>
        <v>1.6515813019202241E-3</v>
      </c>
      <c r="E203" s="198">
        <f>(1+VLOOKUP(IF(YEAR($B203)&gt;'General Inputs'!$G$42,'General Inputs'!$G$42,YEAR($B203)),TableAnnRentGwth,4,FALSE))^(1/12)-1</f>
        <v>2.4662697723036864E-3</v>
      </c>
      <c r="F203" s="198">
        <f>(1+VLOOKUP(IF(YEAR($B203)&gt;'General Inputs'!$G$42,'General Inputs'!$G$42,YEAR($B203)),TableAnnRentGwth,5,FALSE))^(1/12)-1</f>
        <v>2.4662697723036864E-3</v>
      </c>
      <c r="G203" s="198">
        <f>(1+VLOOKUP(IF(YEAR($B203)&gt;'General Inputs'!$G$42,'General Inputs'!$G$42,YEAR($B203)),TableAnnRentGwth,6,FALSE))^(1/12)-1</f>
        <v>2.4662697723036864E-3</v>
      </c>
      <c r="H203" s="198">
        <f>(1+VLOOKUP(IF(YEAR($B203)&gt;'General Inputs'!$G$42,'General Inputs'!$G$42,YEAR($B203)),TableAnnRentGwth,7,FALSE))^(1/12)-1</f>
        <v>2.4662697723036864E-3</v>
      </c>
      <c r="I203" s="383"/>
      <c r="J203" s="198"/>
      <c r="K203" s="198"/>
      <c r="L203" s="198"/>
      <c r="M203" s="384"/>
      <c r="N203" s="198"/>
      <c r="O203" s="378" t="str">
        <f>IF(AND(B203&gt;'General Inputs'!$C$39,B203&lt;ConstrStartDate),B203,"")</f>
        <v/>
      </c>
      <c r="P203" s="198" t="str">
        <f t="shared" si="45"/>
        <v/>
      </c>
      <c r="Q203" s="375">
        <f t="shared" si="47"/>
        <v>33</v>
      </c>
    </row>
    <row r="204" spans="1:17" hidden="1" outlineLevel="1" x14ac:dyDescent="0.3">
      <c r="A204" s="375">
        <v>34</v>
      </c>
      <c r="B204" s="376">
        <f t="shared" si="46"/>
        <v>47665</v>
      </c>
      <c r="C204" s="198">
        <f>(1+VLOOKUP(IF(YEAR($B204)&gt;'General Inputs'!$G$42,'General Inputs'!$G$42,YEAR($B204)),TableAnnRentGwth,2,FALSE)*(VLOOKUP(MONTH($B204),'General Inputs'!$W$29:$Z$40,3,FALSE)))-1</f>
        <v>5.0399999999999334E-3</v>
      </c>
      <c r="D204" s="198">
        <f>(1+VLOOKUP(IF(YEAR($B204)&gt;'General Inputs'!$G$42,'General Inputs'!$G$42,YEAR($B204)),TableAnnRentGwth,3,FALSE))^(1/12)-1</f>
        <v>1.6515813019202241E-3</v>
      </c>
      <c r="E204" s="198">
        <f>(1+VLOOKUP(IF(YEAR($B204)&gt;'General Inputs'!$G$42,'General Inputs'!$G$42,YEAR($B204)),TableAnnRentGwth,4,FALSE))^(1/12)-1</f>
        <v>2.4662697723036864E-3</v>
      </c>
      <c r="F204" s="198">
        <f>(1+VLOOKUP(IF(YEAR($B204)&gt;'General Inputs'!$G$42,'General Inputs'!$G$42,YEAR($B204)),TableAnnRentGwth,5,FALSE))^(1/12)-1</f>
        <v>2.4662697723036864E-3</v>
      </c>
      <c r="G204" s="198">
        <f>(1+VLOOKUP(IF(YEAR($B204)&gt;'General Inputs'!$G$42,'General Inputs'!$G$42,YEAR($B204)),TableAnnRentGwth,6,FALSE))^(1/12)-1</f>
        <v>2.4662697723036864E-3</v>
      </c>
      <c r="H204" s="198">
        <f>(1+VLOOKUP(IF(YEAR($B204)&gt;'General Inputs'!$G$42,'General Inputs'!$G$42,YEAR($B204)),TableAnnRentGwth,7,FALSE))^(1/12)-1</f>
        <v>2.4662697723036864E-3</v>
      </c>
      <c r="I204" s="383"/>
      <c r="J204" s="198"/>
      <c r="K204" s="198"/>
      <c r="L204" s="198"/>
      <c r="M204" s="384"/>
      <c r="N204" s="198"/>
      <c r="O204" s="378" t="str">
        <f>IF(AND(B204&gt;'General Inputs'!$C$39,B204&lt;ConstrStartDate),B204,"")</f>
        <v/>
      </c>
      <c r="P204" s="198" t="str">
        <f t="shared" si="45"/>
        <v/>
      </c>
      <c r="Q204" s="375">
        <f t="shared" si="47"/>
        <v>34</v>
      </c>
    </row>
    <row r="205" spans="1:17" hidden="1" outlineLevel="1" x14ac:dyDescent="0.3">
      <c r="A205" s="375">
        <v>35</v>
      </c>
      <c r="B205" s="376">
        <f t="shared" si="46"/>
        <v>47696</v>
      </c>
      <c r="C205" s="198">
        <f>(1+VLOOKUP(IF(YEAR($B205)&gt;'General Inputs'!$G$42,'General Inputs'!$G$42,YEAR($B205)),TableAnnRentGwth,2,FALSE)*(VLOOKUP(MONTH($B205),'General Inputs'!$W$29:$Z$40,3,FALSE)))-1</f>
        <v>5.0399999999999334E-3</v>
      </c>
      <c r="D205" s="198">
        <f>(1+VLOOKUP(IF(YEAR($B205)&gt;'General Inputs'!$G$42,'General Inputs'!$G$42,YEAR($B205)),TableAnnRentGwth,3,FALSE))^(1/12)-1</f>
        <v>1.6515813019202241E-3</v>
      </c>
      <c r="E205" s="198">
        <f>(1+VLOOKUP(IF(YEAR($B205)&gt;'General Inputs'!$G$42,'General Inputs'!$G$42,YEAR($B205)),TableAnnRentGwth,4,FALSE))^(1/12)-1</f>
        <v>2.4662697723036864E-3</v>
      </c>
      <c r="F205" s="198">
        <f>(1+VLOOKUP(IF(YEAR($B205)&gt;'General Inputs'!$G$42,'General Inputs'!$G$42,YEAR($B205)),TableAnnRentGwth,5,FALSE))^(1/12)-1</f>
        <v>2.4662697723036864E-3</v>
      </c>
      <c r="G205" s="198">
        <f>(1+VLOOKUP(IF(YEAR($B205)&gt;'General Inputs'!$G$42,'General Inputs'!$G$42,YEAR($B205)),TableAnnRentGwth,6,FALSE))^(1/12)-1</f>
        <v>2.4662697723036864E-3</v>
      </c>
      <c r="H205" s="198">
        <f>(1+VLOOKUP(IF(YEAR($B205)&gt;'General Inputs'!$G$42,'General Inputs'!$G$42,YEAR($B205)),TableAnnRentGwth,7,FALSE))^(1/12)-1</f>
        <v>2.4662697723036864E-3</v>
      </c>
      <c r="I205" s="383"/>
      <c r="J205" s="198"/>
      <c r="K205" s="198"/>
      <c r="L205" s="198"/>
      <c r="M205" s="384"/>
      <c r="N205" s="198"/>
      <c r="O205" s="378" t="str">
        <f>IF(AND(B205&gt;'General Inputs'!$C$39,B205&lt;ConstrStartDate),B205,"")</f>
        <v/>
      </c>
      <c r="P205" s="198" t="str">
        <f t="shared" si="45"/>
        <v/>
      </c>
      <c r="Q205" s="375">
        <f t="shared" si="47"/>
        <v>35</v>
      </c>
    </row>
    <row r="206" spans="1:17" hidden="1" outlineLevel="1" x14ac:dyDescent="0.3">
      <c r="A206" s="375">
        <v>36</v>
      </c>
      <c r="B206" s="376">
        <f t="shared" si="46"/>
        <v>47727</v>
      </c>
      <c r="C206" s="198">
        <f>(1+VLOOKUP(IF(YEAR($B206)&gt;'General Inputs'!$G$42,'General Inputs'!$G$42,YEAR($B206)),TableAnnRentGwth,2,FALSE)*(VLOOKUP(MONTH($B206),'General Inputs'!$W$29:$Z$40,3,FALSE)))-1</f>
        <v>5.0399999999999334E-3</v>
      </c>
      <c r="D206" s="198">
        <f>(1+VLOOKUP(IF(YEAR($B206)&gt;'General Inputs'!$G$42,'General Inputs'!$G$42,YEAR($B206)),TableAnnRentGwth,3,FALSE))^(1/12)-1</f>
        <v>1.6515813019202241E-3</v>
      </c>
      <c r="E206" s="198">
        <f>(1+VLOOKUP(IF(YEAR($B206)&gt;'General Inputs'!$G$42,'General Inputs'!$G$42,YEAR($B206)),TableAnnRentGwth,4,FALSE))^(1/12)-1</f>
        <v>2.4662697723036864E-3</v>
      </c>
      <c r="F206" s="198">
        <f>(1+VLOOKUP(IF(YEAR($B206)&gt;'General Inputs'!$G$42,'General Inputs'!$G$42,YEAR($B206)),TableAnnRentGwth,5,FALSE))^(1/12)-1</f>
        <v>2.4662697723036864E-3</v>
      </c>
      <c r="G206" s="198">
        <f>(1+VLOOKUP(IF(YEAR($B206)&gt;'General Inputs'!$G$42,'General Inputs'!$G$42,YEAR($B206)),TableAnnRentGwth,6,FALSE))^(1/12)-1</f>
        <v>2.4662697723036864E-3</v>
      </c>
      <c r="H206" s="198">
        <f>(1+VLOOKUP(IF(YEAR($B206)&gt;'General Inputs'!$G$42,'General Inputs'!$G$42,YEAR($B206)),TableAnnRentGwth,7,FALSE))^(1/12)-1</f>
        <v>2.4662697723036864E-3</v>
      </c>
      <c r="I206" s="383"/>
      <c r="J206" s="198"/>
      <c r="K206" s="198"/>
      <c r="L206" s="198"/>
      <c r="M206" s="384"/>
      <c r="N206" s="198"/>
      <c r="O206" s="378" t="str">
        <f>IF(AND(B206&gt;'General Inputs'!$C$39,B206&lt;ConstrStartDate),B206,"")</f>
        <v/>
      </c>
      <c r="P206" s="198" t="str">
        <f t="shared" si="45"/>
        <v/>
      </c>
      <c r="Q206" s="375">
        <f t="shared" si="47"/>
        <v>36</v>
      </c>
    </row>
    <row r="207" spans="1:17" hidden="1" outlineLevel="1" x14ac:dyDescent="0.3">
      <c r="A207" s="375">
        <v>37</v>
      </c>
      <c r="B207" s="376">
        <f t="shared" si="46"/>
        <v>47757</v>
      </c>
      <c r="C207" s="198">
        <f>(1+VLOOKUP(IF(YEAR($B207)&gt;'General Inputs'!$G$42,'General Inputs'!$G$42,YEAR($B207)),TableAnnRentGwth,2,FALSE)*(VLOOKUP(MONTH($B207),'General Inputs'!$W$29:$Z$40,3,FALSE)))-1</f>
        <v>3.3600000000000296E-3</v>
      </c>
      <c r="D207" s="198">
        <f>(1+VLOOKUP(IF(YEAR($B207)&gt;'General Inputs'!$G$42,'General Inputs'!$G$42,YEAR($B207)),TableAnnRentGwth,3,FALSE))^(1/12)-1</f>
        <v>1.6515813019202241E-3</v>
      </c>
      <c r="E207" s="198">
        <f>(1+VLOOKUP(IF(YEAR($B207)&gt;'General Inputs'!$G$42,'General Inputs'!$G$42,YEAR($B207)),TableAnnRentGwth,4,FALSE))^(1/12)-1</f>
        <v>2.4662697723036864E-3</v>
      </c>
      <c r="F207" s="198">
        <f>(1+VLOOKUP(IF(YEAR($B207)&gt;'General Inputs'!$G$42,'General Inputs'!$G$42,YEAR($B207)),TableAnnRentGwth,5,FALSE))^(1/12)-1</f>
        <v>2.4662697723036864E-3</v>
      </c>
      <c r="G207" s="198">
        <f>(1+VLOOKUP(IF(YEAR($B207)&gt;'General Inputs'!$G$42,'General Inputs'!$G$42,YEAR($B207)),TableAnnRentGwth,6,FALSE))^(1/12)-1</f>
        <v>2.4662697723036864E-3</v>
      </c>
      <c r="H207" s="198">
        <f>(1+VLOOKUP(IF(YEAR($B207)&gt;'General Inputs'!$G$42,'General Inputs'!$G$42,YEAR($B207)),TableAnnRentGwth,7,FALSE))^(1/12)-1</f>
        <v>2.4662697723036864E-3</v>
      </c>
      <c r="I207" s="383"/>
      <c r="J207" s="198"/>
      <c r="K207" s="198"/>
      <c r="L207" s="198"/>
      <c r="M207" s="384"/>
      <c r="N207" s="198"/>
      <c r="O207" s="378" t="str">
        <f>IF(AND(B207&gt;'General Inputs'!$C$39,B207&lt;ConstrStartDate),B207,"")</f>
        <v/>
      </c>
      <c r="P207" s="198" t="str">
        <f t="shared" si="45"/>
        <v/>
      </c>
      <c r="Q207" s="375">
        <f t="shared" si="47"/>
        <v>37</v>
      </c>
    </row>
    <row r="208" spans="1:17" hidden="1" outlineLevel="1" x14ac:dyDescent="0.3">
      <c r="A208" s="375">
        <v>38</v>
      </c>
      <c r="B208" s="376">
        <f t="shared" si="46"/>
        <v>47788</v>
      </c>
      <c r="C208" s="198">
        <f>(1+VLOOKUP(IF(YEAR($B208)&gt;'General Inputs'!$G$42,'General Inputs'!$G$42,YEAR($B208)),TableAnnRentGwth,2,FALSE)*(VLOOKUP(MONTH($B208),'General Inputs'!$W$29:$Z$40,3,FALSE)))-1</f>
        <v>3.3600000000000296E-3</v>
      </c>
      <c r="D208" s="198">
        <f>(1+VLOOKUP(IF(YEAR($B208)&gt;'General Inputs'!$G$42,'General Inputs'!$G$42,YEAR($B208)),TableAnnRentGwth,3,FALSE))^(1/12)-1</f>
        <v>1.6515813019202241E-3</v>
      </c>
      <c r="E208" s="198">
        <f>(1+VLOOKUP(IF(YEAR($B208)&gt;'General Inputs'!$G$42,'General Inputs'!$G$42,YEAR($B208)),TableAnnRentGwth,4,FALSE))^(1/12)-1</f>
        <v>2.4662697723036864E-3</v>
      </c>
      <c r="F208" s="198">
        <f>(1+VLOOKUP(IF(YEAR($B208)&gt;'General Inputs'!$G$42,'General Inputs'!$G$42,YEAR($B208)),TableAnnRentGwth,5,FALSE))^(1/12)-1</f>
        <v>2.4662697723036864E-3</v>
      </c>
      <c r="G208" s="198">
        <f>(1+VLOOKUP(IF(YEAR($B208)&gt;'General Inputs'!$G$42,'General Inputs'!$G$42,YEAR($B208)),TableAnnRentGwth,6,FALSE))^(1/12)-1</f>
        <v>2.4662697723036864E-3</v>
      </c>
      <c r="H208" s="198">
        <f>(1+VLOOKUP(IF(YEAR($B208)&gt;'General Inputs'!$G$42,'General Inputs'!$G$42,YEAR($B208)),TableAnnRentGwth,7,FALSE))^(1/12)-1</f>
        <v>2.4662697723036864E-3</v>
      </c>
      <c r="I208" s="383"/>
      <c r="J208" s="198"/>
      <c r="K208" s="198"/>
      <c r="L208" s="198"/>
      <c r="M208" s="384"/>
      <c r="N208" s="198"/>
      <c r="O208" s="378" t="str">
        <f>IF(AND(B208&gt;'General Inputs'!$C$39,B208&lt;ConstrStartDate),B208,"")</f>
        <v/>
      </c>
      <c r="P208" s="198" t="str">
        <f t="shared" si="45"/>
        <v/>
      </c>
      <c r="Q208" s="375">
        <f t="shared" si="47"/>
        <v>38</v>
      </c>
    </row>
    <row r="209" spans="1:17" hidden="1" outlineLevel="1" x14ac:dyDescent="0.3">
      <c r="A209" s="375">
        <v>39</v>
      </c>
      <c r="B209" s="376">
        <f t="shared" si="46"/>
        <v>47818</v>
      </c>
      <c r="C209" s="198">
        <f>(1+VLOOKUP(IF(YEAR($B209)&gt;'General Inputs'!$G$42,'General Inputs'!$G$42,YEAR($B209)),TableAnnRentGwth,2,FALSE)*(VLOOKUP(MONTH($B209),'General Inputs'!$W$29:$Z$40,3,FALSE)))-1</f>
        <v>3.3600000000000296E-3</v>
      </c>
      <c r="D209" s="198">
        <f>(1+VLOOKUP(IF(YEAR($B209)&gt;'General Inputs'!$G$42,'General Inputs'!$G$42,YEAR($B209)),TableAnnRentGwth,3,FALSE))^(1/12)-1</f>
        <v>1.6515813019202241E-3</v>
      </c>
      <c r="E209" s="198">
        <f>(1+VLOOKUP(IF(YEAR($B209)&gt;'General Inputs'!$G$42,'General Inputs'!$G$42,YEAR($B209)),TableAnnRentGwth,4,FALSE))^(1/12)-1</f>
        <v>2.4662697723036864E-3</v>
      </c>
      <c r="F209" s="198">
        <f>(1+VLOOKUP(IF(YEAR($B209)&gt;'General Inputs'!$G$42,'General Inputs'!$G$42,YEAR($B209)),TableAnnRentGwth,5,FALSE))^(1/12)-1</f>
        <v>2.4662697723036864E-3</v>
      </c>
      <c r="G209" s="198">
        <f>(1+VLOOKUP(IF(YEAR($B209)&gt;'General Inputs'!$G$42,'General Inputs'!$G$42,YEAR($B209)),TableAnnRentGwth,6,FALSE))^(1/12)-1</f>
        <v>2.4662697723036864E-3</v>
      </c>
      <c r="H209" s="198">
        <f>(1+VLOOKUP(IF(YEAR($B209)&gt;'General Inputs'!$G$42,'General Inputs'!$G$42,YEAR($B209)),TableAnnRentGwth,7,FALSE))^(1/12)-1</f>
        <v>2.4662697723036864E-3</v>
      </c>
      <c r="I209" s="383"/>
      <c r="J209" s="198"/>
      <c r="K209" s="198"/>
      <c r="L209" s="198"/>
      <c r="M209" s="384"/>
      <c r="N209" s="198"/>
      <c r="O209" s="378" t="str">
        <f>IF(AND(B209&gt;'General Inputs'!$C$39,B209&lt;ConstrStartDate),B209,"")</f>
        <v/>
      </c>
      <c r="P209" s="198" t="str">
        <f t="shared" si="45"/>
        <v/>
      </c>
      <c r="Q209" s="375">
        <f t="shared" si="47"/>
        <v>39</v>
      </c>
    </row>
    <row r="210" spans="1:17" hidden="1" outlineLevel="1" x14ac:dyDescent="0.3">
      <c r="A210" s="375">
        <v>40</v>
      </c>
      <c r="B210" s="376">
        <f t="shared" si="46"/>
        <v>47849</v>
      </c>
      <c r="C210" s="198">
        <f>(1+VLOOKUP(IF(YEAR($B210)&gt;'General Inputs'!$G$42,'General Inputs'!$G$42,YEAR($B210)),TableAnnRentGwth,2,FALSE)*(VLOOKUP(MONTH($B210),'General Inputs'!$W$29:$Z$40,3,FALSE)))-1</f>
        <v>2.1700000000000053E-3</v>
      </c>
      <c r="D210" s="198">
        <f>(1+VLOOKUP(IF(YEAR($B210)&gt;'General Inputs'!$G$42,'General Inputs'!$G$42,YEAR($B210)),TableAnnRentGwth,3,FALSE))^(1/12)-1</f>
        <v>1.6515813019202241E-3</v>
      </c>
      <c r="E210" s="198">
        <f>(1+VLOOKUP(IF(YEAR($B210)&gt;'General Inputs'!$G$42,'General Inputs'!$G$42,YEAR($B210)),TableAnnRentGwth,4,FALSE))^(1/12)-1</f>
        <v>2.4662697723036864E-3</v>
      </c>
      <c r="F210" s="198">
        <f>(1+VLOOKUP(IF(YEAR($B210)&gt;'General Inputs'!$G$42,'General Inputs'!$G$42,YEAR($B210)),TableAnnRentGwth,5,FALSE))^(1/12)-1</f>
        <v>2.4662697723036864E-3</v>
      </c>
      <c r="G210" s="198">
        <f>(1+VLOOKUP(IF(YEAR($B210)&gt;'General Inputs'!$G$42,'General Inputs'!$G$42,YEAR($B210)),TableAnnRentGwth,6,FALSE))^(1/12)-1</f>
        <v>2.4662697723036864E-3</v>
      </c>
      <c r="H210" s="198">
        <f>(1+VLOOKUP(IF(YEAR($B210)&gt;'General Inputs'!$G$42,'General Inputs'!$G$42,YEAR($B210)),TableAnnRentGwth,7,FALSE))^(1/12)-1</f>
        <v>2.4662697723036864E-3</v>
      </c>
      <c r="I210" s="383"/>
      <c r="J210" s="198"/>
      <c r="K210" s="198"/>
      <c r="L210" s="198"/>
      <c r="M210" s="384"/>
      <c r="N210" s="198"/>
      <c r="O210" s="378" t="str">
        <f>IF(AND(B210&gt;'General Inputs'!$C$39,B210&lt;ConstrStartDate),B210,"")</f>
        <v/>
      </c>
      <c r="P210" s="198" t="str">
        <f t="shared" si="45"/>
        <v/>
      </c>
      <c r="Q210" s="375">
        <f t="shared" si="47"/>
        <v>40</v>
      </c>
    </row>
    <row r="211" spans="1:17" hidden="1" outlineLevel="1" x14ac:dyDescent="0.3">
      <c r="A211" s="375">
        <v>41</v>
      </c>
      <c r="B211" s="376">
        <f t="shared" si="46"/>
        <v>47880</v>
      </c>
      <c r="C211" s="198">
        <f>(1+VLOOKUP(IF(YEAR($B211)&gt;'General Inputs'!$G$42,'General Inputs'!$G$42,YEAR($B211)),TableAnnRentGwth,2,FALSE)*(VLOOKUP(MONTH($B211),'General Inputs'!$W$29:$Z$40,3,FALSE)))-1</f>
        <v>2.1700000000000053E-3</v>
      </c>
      <c r="D211" s="198">
        <f>(1+VLOOKUP(IF(YEAR($B211)&gt;'General Inputs'!$G$42,'General Inputs'!$G$42,YEAR($B211)),TableAnnRentGwth,3,FALSE))^(1/12)-1</f>
        <v>1.6515813019202241E-3</v>
      </c>
      <c r="E211" s="198">
        <f>(1+VLOOKUP(IF(YEAR($B211)&gt;'General Inputs'!$G$42,'General Inputs'!$G$42,YEAR($B211)),TableAnnRentGwth,4,FALSE))^(1/12)-1</f>
        <v>2.4662697723036864E-3</v>
      </c>
      <c r="F211" s="198">
        <f>(1+VLOOKUP(IF(YEAR($B211)&gt;'General Inputs'!$G$42,'General Inputs'!$G$42,YEAR($B211)),TableAnnRentGwth,5,FALSE))^(1/12)-1</f>
        <v>2.4662697723036864E-3</v>
      </c>
      <c r="G211" s="198">
        <f>(1+VLOOKUP(IF(YEAR($B211)&gt;'General Inputs'!$G$42,'General Inputs'!$G$42,YEAR($B211)),TableAnnRentGwth,6,FALSE))^(1/12)-1</f>
        <v>2.4662697723036864E-3</v>
      </c>
      <c r="H211" s="198">
        <f>(1+VLOOKUP(IF(YEAR($B211)&gt;'General Inputs'!$G$42,'General Inputs'!$G$42,YEAR($B211)),TableAnnRentGwth,7,FALSE))^(1/12)-1</f>
        <v>2.4662697723036864E-3</v>
      </c>
      <c r="I211" s="383"/>
      <c r="J211" s="198"/>
      <c r="K211" s="198"/>
      <c r="L211" s="198"/>
      <c r="M211" s="384"/>
      <c r="N211" s="198"/>
      <c r="O211" s="378" t="str">
        <f>IF(AND(B211&gt;'General Inputs'!$C$39,B211&lt;ConstrStartDate),B211,"")</f>
        <v/>
      </c>
      <c r="P211" s="198" t="str">
        <f t="shared" si="45"/>
        <v/>
      </c>
      <c r="Q211" s="375">
        <f t="shared" si="47"/>
        <v>41</v>
      </c>
    </row>
    <row r="212" spans="1:17" hidden="1" outlineLevel="1" x14ac:dyDescent="0.3">
      <c r="A212" s="375">
        <v>42</v>
      </c>
      <c r="B212" s="376">
        <f t="shared" si="46"/>
        <v>47908</v>
      </c>
      <c r="C212" s="198">
        <f>(1+VLOOKUP(IF(YEAR($B212)&gt;'General Inputs'!$G$42,'General Inputs'!$G$42,YEAR($B212)),TableAnnRentGwth,2,FALSE)*(VLOOKUP(MONTH($B212),'General Inputs'!$W$29:$Z$40,3,FALSE)))-1</f>
        <v>2.1700000000000053E-3</v>
      </c>
      <c r="D212" s="198">
        <f>(1+VLOOKUP(IF(YEAR($B212)&gt;'General Inputs'!$G$42,'General Inputs'!$G$42,YEAR($B212)),TableAnnRentGwth,3,FALSE))^(1/12)-1</f>
        <v>1.6515813019202241E-3</v>
      </c>
      <c r="E212" s="198">
        <f>(1+VLOOKUP(IF(YEAR($B212)&gt;'General Inputs'!$G$42,'General Inputs'!$G$42,YEAR($B212)),TableAnnRentGwth,4,FALSE))^(1/12)-1</f>
        <v>2.4662697723036864E-3</v>
      </c>
      <c r="F212" s="198">
        <f>(1+VLOOKUP(IF(YEAR($B212)&gt;'General Inputs'!$G$42,'General Inputs'!$G$42,YEAR($B212)),TableAnnRentGwth,5,FALSE))^(1/12)-1</f>
        <v>2.4662697723036864E-3</v>
      </c>
      <c r="G212" s="198">
        <f>(1+VLOOKUP(IF(YEAR($B212)&gt;'General Inputs'!$G$42,'General Inputs'!$G$42,YEAR($B212)),TableAnnRentGwth,6,FALSE))^(1/12)-1</f>
        <v>2.4662697723036864E-3</v>
      </c>
      <c r="H212" s="198">
        <f>(1+VLOOKUP(IF(YEAR($B212)&gt;'General Inputs'!$G$42,'General Inputs'!$G$42,YEAR($B212)),TableAnnRentGwth,7,FALSE))^(1/12)-1</f>
        <v>2.4662697723036864E-3</v>
      </c>
      <c r="I212" s="383"/>
      <c r="J212" s="198"/>
      <c r="K212" s="198"/>
      <c r="L212" s="198"/>
      <c r="M212" s="384"/>
      <c r="N212" s="198"/>
      <c r="O212" s="378" t="str">
        <f>IF(AND(B212&gt;'General Inputs'!$C$39,B212&lt;ConstrStartDate),B212,"")</f>
        <v/>
      </c>
      <c r="P212" s="198" t="str">
        <f t="shared" si="45"/>
        <v/>
      </c>
      <c r="Q212" s="375">
        <f t="shared" si="47"/>
        <v>42</v>
      </c>
    </row>
    <row r="213" spans="1:17" hidden="1" outlineLevel="1" x14ac:dyDescent="0.3">
      <c r="A213" s="375">
        <v>43</v>
      </c>
      <c r="B213" s="376">
        <f t="shared" si="46"/>
        <v>47939</v>
      </c>
      <c r="C213" s="198">
        <f>(1+VLOOKUP(IF(YEAR($B213)&gt;'General Inputs'!$G$42,'General Inputs'!$G$42,YEAR($B213)),TableAnnRentGwth,2,FALSE)*(VLOOKUP(MONTH($B213),'General Inputs'!$W$29:$Z$40,3,FALSE)))-1</f>
        <v>3.2550000000000079E-3</v>
      </c>
      <c r="D213" s="198">
        <f>(1+VLOOKUP(IF(YEAR($B213)&gt;'General Inputs'!$G$42,'General Inputs'!$G$42,YEAR($B213)),TableAnnRentGwth,3,FALSE))^(1/12)-1</f>
        <v>1.6515813019202241E-3</v>
      </c>
      <c r="E213" s="198">
        <f>(1+VLOOKUP(IF(YEAR($B213)&gt;'General Inputs'!$G$42,'General Inputs'!$G$42,YEAR($B213)),TableAnnRentGwth,4,FALSE))^(1/12)-1</f>
        <v>2.4662697723036864E-3</v>
      </c>
      <c r="F213" s="198">
        <f>(1+VLOOKUP(IF(YEAR($B213)&gt;'General Inputs'!$G$42,'General Inputs'!$G$42,YEAR($B213)),TableAnnRentGwth,5,FALSE))^(1/12)-1</f>
        <v>2.4662697723036864E-3</v>
      </c>
      <c r="G213" s="198">
        <f>(1+VLOOKUP(IF(YEAR($B213)&gt;'General Inputs'!$G$42,'General Inputs'!$G$42,YEAR($B213)),TableAnnRentGwth,6,FALSE))^(1/12)-1</f>
        <v>2.4662697723036864E-3</v>
      </c>
      <c r="H213" s="198">
        <f>(1+VLOOKUP(IF(YEAR($B213)&gt;'General Inputs'!$G$42,'General Inputs'!$G$42,YEAR($B213)),TableAnnRentGwth,7,FALSE))^(1/12)-1</f>
        <v>2.4662697723036864E-3</v>
      </c>
      <c r="I213" s="383"/>
      <c r="J213" s="198"/>
      <c r="K213" s="198"/>
      <c r="L213" s="198"/>
      <c r="M213" s="384"/>
      <c r="N213" s="198"/>
      <c r="O213" s="378" t="str">
        <f>IF(AND(B213&gt;'General Inputs'!$C$39,B213&lt;ConstrStartDate),B213,"")</f>
        <v/>
      </c>
      <c r="P213" s="198" t="str">
        <f t="shared" si="45"/>
        <v/>
      </c>
      <c r="Q213" s="375">
        <f t="shared" si="47"/>
        <v>43</v>
      </c>
    </row>
    <row r="214" spans="1:17" hidden="1" outlineLevel="1" x14ac:dyDescent="0.3">
      <c r="A214" s="375">
        <v>44</v>
      </c>
      <c r="B214" s="376">
        <f t="shared" si="46"/>
        <v>47969</v>
      </c>
      <c r="C214" s="198">
        <f>(1+VLOOKUP(IF(YEAR($B214)&gt;'General Inputs'!$G$42,'General Inputs'!$G$42,YEAR($B214)),TableAnnRentGwth,2,FALSE)*(VLOOKUP(MONTH($B214),'General Inputs'!$W$29:$Z$40,3,FALSE)))-1</f>
        <v>3.2550000000000079E-3</v>
      </c>
      <c r="D214" s="198">
        <f>(1+VLOOKUP(IF(YEAR($B214)&gt;'General Inputs'!$G$42,'General Inputs'!$G$42,YEAR($B214)),TableAnnRentGwth,3,FALSE))^(1/12)-1</f>
        <v>1.6515813019202241E-3</v>
      </c>
      <c r="E214" s="198">
        <f>(1+VLOOKUP(IF(YEAR($B214)&gt;'General Inputs'!$G$42,'General Inputs'!$G$42,YEAR($B214)),TableAnnRentGwth,4,FALSE))^(1/12)-1</f>
        <v>2.4662697723036864E-3</v>
      </c>
      <c r="F214" s="198">
        <f>(1+VLOOKUP(IF(YEAR($B214)&gt;'General Inputs'!$G$42,'General Inputs'!$G$42,YEAR($B214)),TableAnnRentGwth,5,FALSE))^(1/12)-1</f>
        <v>2.4662697723036864E-3</v>
      </c>
      <c r="G214" s="198">
        <f>(1+VLOOKUP(IF(YEAR($B214)&gt;'General Inputs'!$G$42,'General Inputs'!$G$42,YEAR($B214)),TableAnnRentGwth,6,FALSE))^(1/12)-1</f>
        <v>2.4662697723036864E-3</v>
      </c>
      <c r="H214" s="198">
        <f>(1+VLOOKUP(IF(YEAR($B214)&gt;'General Inputs'!$G$42,'General Inputs'!$G$42,YEAR($B214)),TableAnnRentGwth,7,FALSE))^(1/12)-1</f>
        <v>2.4662697723036864E-3</v>
      </c>
      <c r="I214" s="383"/>
      <c r="J214" s="198"/>
      <c r="K214" s="198"/>
      <c r="L214" s="198"/>
      <c r="M214" s="384"/>
      <c r="N214" s="198"/>
      <c r="O214" s="378" t="str">
        <f>IF(AND(B214&gt;'General Inputs'!$C$39,B214&lt;ConstrStartDate),B214,"")</f>
        <v/>
      </c>
      <c r="P214" s="198" t="str">
        <f t="shared" si="45"/>
        <v/>
      </c>
      <c r="Q214" s="375">
        <f t="shared" si="47"/>
        <v>44</v>
      </c>
    </row>
    <row r="215" spans="1:17" hidden="1" outlineLevel="1" x14ac:dyDescent="0.3">
      <c r="A215" s="375">
        <v>45</v>
      </c>
      <c r="B215" s="376">
        <f t="shared" si="46"/>
        <v>48000</v>
      </c>
      <c r="C215" s="198">
        <f>(1+VLOOKUP(IF(YEAR($B215)&gt;'General Inputs'!$G$42,'General Inputs'!$G$42,YEAR($B215)),TableAnnRentGwth,2,FALSE)*(VLOOKUP(MONTH($B215),'General Inputs'!$W$29:$Z$40,3,FALSE)))-1</f>
        <v>3.2550000000000079E-3</v>
      </c>
      <c r="D215" s="198">
        <f>(1+VLOOKUP(IF(YEAR($B215)&gt;'General Inputs'!$G$42,'General Inputs'!$G$42,YEAR($B215)),TableAnnRentGwth,3,FALSE))^(1/12)-1</f>
        <v>1.6515813019202241E-3</v>
      </c>
      <c r="E215" s="198">
        <f>(1+VLOOKUP(IF(YEAR($B215)&gt;'General Inputs'!$G$42,'General Inputs'!$G$42,YEAR($B215)),TableAnnRentGwth,4,FALSE))^(1/12)-1</f>
        <v>2.4662697723036864E-3</v>
      </c>
      <c r="F215" s="198">
        <f>(1+VLOOKUP(IF(YEAR($B215)&gt;'General Inputs'!$G$42,'General Inputs'!$G$42,YEAR($B215)),TableAnnRentGwth,5,FALSE))^(1/12)-1</f>
        <v>2.4662697723036864E-3</v>
      </c>
      <c r="G215" s="198">
        <f>(1+VLOOKUP(IF(YEAR($B215)&gt;'General Inputs'!$G$42,'General Inputs'!$G$42,YEAR($B215)),TableAnnRentGwth,6,FALSE))^(1/12)-1</f>
        <v>2.4662697723036864E-3</v>
      </c>
      <c r="H215" s="198">
        <f>(1+VLOOKUP(IF(YEAR($B215)&gt;'General Inputs'!$G$42,'General Inputs'!$G$42,YEAR($B215)),TableAnnRentGwth,7,FALSE))^(1/12)-1</f>
        <v>2.4662697723036864E-3</v>
      </c>
      <c r="I215" s="383"/>
      <c r="J215" s="198"/>
      <c r="K215" s="198"/>
      <c r="L215" s="198"/>
      <c r="M215" s="384"/>
      <c r="N215" s="198"/>
      <c r="O215" s="378" t="str">
        <f>IF(AND(B215&gt;'General Inputs'!$C$39,B215&lt;ConstrStartDate),B215,"")</f>
        <v/>
      </c>
      <c r="P215" s="198" t="str">
        <f t="shared" si="45"/>
        <v/>
      </c>
      <c r="Q215" s="375">
        <f t="shared" si="47"/>
        <v>45</v>
      </c>
    </row>
    <row r="216" spans="1:17" hidden="1" outlineLevel="1" x14ac:dyDescent="0.3">
      <c r="A216" s="375">
        <v>46</v>
      </c>
      <c r="B216" s="376">
        <f t="shared" si="46"/>
        <v>48030</v>
      </c>
      <c r="C216" s="198">
        <f>(1+VLOOKUP(IF(YEAR($B216)&gt;'General Inputs'!$G$42,'General Inputs'!$G$42,YEAR($B216)),TableAnnRentGwth,2,FALSE)*(VLOOKUP(MONTH($B216),'General Inputs'!$W$29:$Z$40,3,FALSE)))-1</f>
        <v>3.2550000000000079E-3</v>
      </c>
      <c r="D216" s="198">
        <f>(1+VLOOKUP(IF(YEAR($B216)&gt;'General Inputs'!$G$42,'General Inputs'!$G$42,YEAR($B216)),TableAnnRentGwth,3,FALSE))^(1/12)-1</f>
        <v>1.6515813019202241E-3</v>
      </c>
      <c r="E216" s="198">
        <f>(1+VLOOKUP(IF(YEAR($B216)&gt;'General Inputs'!$G$42,'General Inputs'!$G$42,YEAR($B216)),TableAnnRentGwth,4,FALSE))^(1/12)-1</f>
        <v>2.4662697723036864E-3</v>
      </c>
      <c r="F216" s="198">
        <f>(1+VLOOKUP(IF(YEAR($B216)&gt;'General Inputs'!$G$42,'General Inputs'!$G$42,YEAR($B216)),TableAnnRentGwth,5,FALSE))^(1/12)-1</f>
        <v>2.4662697723036864E-3</v>
      </c>
      <c r="G216" s="198">
        <f>(1+VLOOKUP(IF(YEAR($B216)&gt;'General Inputs'!$G$42,'General Inputs'!$G$42,YEAR($B216)),TableAnnRentGwth,6,FALSE))^(1/12)-1</f>
        <v>2.4662697723036864E-3</v>
      </c>
      <c r="H216" s="198">
        <f>(1+VLOOKUP(IF(YEAR($B216)&gt;'General Inputs'!$G$42,'General Inputs'!$G$42,YEAR($B216)),TableAnnRentGwth,7,FALSE))^(1/12)-1</f>
        <v>2.4662697723036864E-3</v>
      </c>
      <c r="I216" s="383"/>
      <c r="J216" s="198"/>
      <c r="K216" s="198"/>
      <c r="L216" s="198"/>
      <c r="M216" s="384"/>
      <c r="N216" s="198"/>
      <c r="O216" s="378" t="str">
        <f>IF(AND(B216&gt;'General Inputs'!$C$39,B216&lt;ConstrStartDate),B216,"")</f>
        <v/>
      </c>
      <c r="P216" s="198" t="str">
        <f t="shared" si="45"/>
        <v/>
      </c>
      <c r="Q216" s="375">
        <f t="shared" si="47"/>
        <v>46</v>
      </c>
    </row>
    <row r="217" spans="1:17" hidden="1" outlineLevel="1" x14ac:dyDescent="0.3">
      <c r="A217" s="375">
        <v>47</v>
      </c>
      <c r="B217" s="376">
        <f t="shared" si="46"/>
        <v>48061</v>
      </c>
      <c r="C217" s="198">
        <f>(1+VLOOKUP(IF(YEAR($B217)&gt;'General Inputs'!$G$42,'General Inputs'!$G$42,YEAR($B217)),TableAnnRentGwth,2,FALSE)*(VLOOKUP(MONTH($B217),'General Inputs'!$W$29:$Z$40,3,FALSE)))-1</f>
        <v>3.2550000000000079E-3</v>
      </c>
      <c r="D217" s="198">
        <f>(1+VLOOKUP(IF(YEAR($B217)&gt;'General Inputs'!$G$42,'General Inputs'!$G$42,YEAR($B217)),TableAnnRentGwth,3,FALSE))^(1/12)-1</f>
        <v>1.6515813019202241E-3</v>
      </c>
      <c r="E217" s="198">
        <f>(1+VLOOKUP(IF(YEAR($B217)&gt;'General Inputs'!$G$42,'General Inputs'!$G$42,YEAR($B217)),TableAnnRentGwth,4,FALSE))^(1/12)-1</f>
        <v>2.4662697723036864E-3</v>
      </c>
      <c r="F217" s="198">
        <f>(1+VLOOKUP(IF(YEAR($B217)&gt;'General Inputs'!$G$42,'General Inputs'!$G$42,YEAR($B217)),TableAnnRentGwth,5,FALSE))^(1/12)-1</f>
        <v>2.4662697723036864E-3</v>
      </c>
      <c r="G217" s="198">
        <f>(1+VLOOKUP(IF(YEAR($B217)&gt;'General Inputs'!$G$42,'General Inputs'!$G$42,YEAR($B217)),TableAnnRentGwth,6,FALSE))^(1/12)-1</f>
        <v>2.4662697723036864E-3</v>
      </c>
      <c r="H217" s="198">
        <f>(1+VLOOKUP(IF(YEAR($B217)&gt;'General Inputs'!$G$42,'General Inputs'!$G$42,YEAR($B217)),TableAnnRentGwth,7,FALSE))^(1/12)-1</f>
        <v>2.4662697723036864E-3</v>
      </c>
      <c r="I217" s="383"/>
      <c r="J217" s="198"/>
      <c r="K217" s="198"/>
      <c r="L217" s="198"/>
      <c r="M217" s="384"/>
      <c r="N217" s="198"/>
      <c r="O217" s="378" t="str">
        <f>IF(AND(B217&gt;'General Inputs'!$C$39,B217&lt;ConstrStartDate),B217,"")</f>
        <v/>
      </c>
      <c r="P217" s="198" t="str">
        <f t="shared" si="45"/>
        <v/>
      </c>
      <c r="Q217" s="375">
        <f t="shared" si="47"/>
        <v>47</v>
      </c>
    </row>
    <row r="218" spans="1:17" hidden="1" outlineLevel="1" x14ac:dyDescent="0.3">
      <c r="A218" s="375">
        <v>48</v>
      </c>
      <c r="B218" s="376">
        <f t="shared" si="46"/>
        <v>48092</v>
      </c>
      <c r="C218" s="198">
        <f>(1+VLOOKUP(IF(YEAR($B218)&gt;'General Inputs'!$G$42,'General Inputs'!$G$42,YEAR($B218)),TableAnnRentGwth,2,FALSE)*(VLOOKUP(MONTH($B218),'General Inputs'!$W$29:$Z$40,3,FALSE)))-1</f>
        <v>3.2550000000000079E-3</v>
      </c>
      <c r="D218" s="198">
        <f>(1+VLOOKUP(IF(YEAR($B218)&gt;'General Inputs'!$G$42,'General Inputs'!$G$42,YEAR($B218)),TableAnnRentGwth,3,FALSE))^(1/12)-1</f>
        <v>1.6515813019202241E-3</v>
      </c>
      <c r="E218" s="198">
        <f>(1+VLOOKUP(IF(YEAR($B218)&gt;'General Inputs'!$G$42,'General Inputs'!$G$42,YEAR($B218)),TableAnnRentGwth,4,FALSE))^(1/12)-1</f>
        <v>2.4662697723036864E-3</v>
      </c>
      <c r="F218" s="198">
        <f>(1+VLOOKUP(IF(YEAR($B218)&gt;'General Inputs'!$G$42,'General Inputs'!$G$42,YEAR($B218)),TableAnnRentGwth,5,FALSE))^(1/12)-1</f>
        <v>2.4662697723036864E-3</v>
      </c>
      <c r="G218" s="198">
        <f>(1+VLOOKUP(IF(YEAR($B218)&gt;'General Inputs'!$G$42,'General Inputs'!$G$42,YEAR($B218)),TableAnnRentGwth,6,FALSE))^(1/12)-1</f>
        <v>2.4662697723036864E-3</v>
      </c>
      <c r="H218" s="198">
        <f>(1+VLOOKUP(IF(YEAR($B218)&gt;'General Inputs'!$G$42,'General Inputs'!$G$42,YEAR($B218)),TableAnnRentGwth,7,FALSE))^(1/12)-1</f>
        <v>2.4662697723036864E-3</v>
      </c>
      <c r="I218" s="383"/>
      <c r="J218" s="198"/>
      <c r="K218" s="198"/>
      <c r="L218" s="198"/>
      <c r="M218" s="384"/>
      <c r="N218" s="198"/>
      <c r="O218" s="378" t="str">
        <f>IF(AND(B218&gt;'General Inputs'!$C$39,B218&lt;ConstrStartDate),B218,"")</f>
        <v/>
      </c>
      <c r="P218" s="198" t="str">
        <f t="shared" si="45"/>
        <v/>
      </c>
      <c r="Q218" s="375">
        <f t="shared" si="47"/>
        <v>48</v>
      </c>
    </row>
    <row r="219" spans="1:17" hidden="1" outlineLevel="1" x14ac:dyDescent="0.3">
      <c r="A219" s="375">
        <v>49</v>
      </c>
      <c r="B219" s="376">
        <f t="shared" si="46"/>
        <v>48122</v>
      </c>
      <c r="C219" s="198">
        <f>(1+VLOOKUP(IF(YEAR($B219)&gt;'General Inputs'!$G$42,'General Inputs'!$G$42,YEAR($B219)),TableAnnRentGwth,2,FALSE)*(VLOOKUP(MONTH($B219),'General Inputs'!$W$29:$Z$40,3,FALSE)))-1</f>
        <v>2.1700000000000053E-3</v>
      </c>
      <c r="D219" s="198">
        <f>(1+VLOOKUP(IF(YEAR($B219)&gt;'General Inputs'!$G$42,'General Inputs'!$G$42,YEAR($B219)),TableAnnRentGwth,3,FALSE))^(1/12)-1</f>
        <v>1.6515813019202241E-3</v>
      </c>
      <c r="E219" s="198">
        <f>(1+VLOOKUP(IF(YEAR($B219)&gt;'General Inputs'!$G$42,'General Inputs'!$G$42,YEAR($B219)),TableAnnRentGwth,4,FALSE))^(1/12)-1</f>
        <v>2.4662697723036864E-3</v>
      </c>
      <c r="F219" s="198">
        <f>(1+VLOOKUP(IF(YEAR($B219)&gt;'General Inputs'!$G$42,'General Inputs'!$G$42,YEAR($B219)),TableAnnRentGwth,5,FALSE))^(1/12)-1</f>
        <v>2.4662697723036864E-3</v>
      </c>
      <c r="G219" s="198">
        <f>(1+VLOOKUP(IF(YEAR($B219)&gt;'General Inputs'!$G$42,'General Inputs'!$G$42,YEAR($B219)),TableAnnRentGwth,6,FALSE))^(1/12)-1</f>
        <v>2.4662697723036864E-3</v>
      </c>
      <c r="H219" s="198">
        <f>(1+VLOOKUP(IF(YEAR($B219)&gt;'General Inputs'!$G$42,'General Inputs'!$G$42,YEAR($B219)),TableAnnRentGwth,7,FALSE))^(1/12)-1</f>
        <v>2.4662697723036864E-3</v>
      </c>
      <c r="I219" s="383"/>
      <c r="J219" s="198"/>
      <c r="K219" s="198"/>
      <c r="L219" s="198"/>
      <c r="M219" s="384"/>
      <c r="N219" s="198"/>
      <c r="O219" s="378" t="str">
        <f>IF(AND(B219&gt;'General Inputs'!$C$39,B219&lt;ConstrStartDate),B219,"")</f>
        <v/>
      </c>
      <c r="P219" s="198" t="str">
        <f t="shared" ref="P219:P230" si="48">IF(O219="","",1+VLOOKUP(O219,$B$134:$H$218,7,FALSE))</f>
        <v/>
      </c>
      <c r="Q219" s="375">
        <f t="shared" ref="Q219:Q230" si="49">A219</f>
        <v>49</v>
      </c>
    </row>
    <row r="220" spans="1:17" hidden="1" outlineLevel="1" x14ac:dyDescent="0.3">
      <c r="A220" s="375">
        <v>50</v>
      </c>
      <c r="B220" s="376">
        <f t="shared" si="46"/>
        <v>48153</v>
      </c>
      <c r="C220" s="198">
        <f>(1+VLOOKUP(IF(YEAR($B220)&gt;'General Inputs'!$G$42,'General Inputs'!$G$42,YEAR($B220)),TableAnnRentGwth,2,FALSE)*(VLOOKUP(MONTH($B220),'General Inputs'!$W$29:$Z$40,3,FALSE)))-1</f>
        <v>2.1700000000000053E-3</v>
      </c>
      <c r="D220" s="198">
        <f>(1+VLOOKUP(IF(YEAR($B220)&gt;'General Inputs'!$G$42,'General Inputs'!$G$42,YEAR($B220)),TableAnnRentGwth,3,FALSE))^(1/12)-1</f>
        <v>1.6515813019202241E-3</v>
      </c>
      <c r="E220" s="198">
        <f>(1+VLOOKUP(IF(YEAR($B220)&gt;'General Inputs'!$G$42,'General Inputs'!$G$42,YEAR($B220)),TableAnnRentGwth,4,FALSE))^(1/12)-1</f>
        <v>2.4662697723036864E-3</v>
      </c>
      <c r="F220" s="198">
        <f>(1+VLOOKUP(IF(YEAR($B220)&gt;'General Inputs'!$G$42,'General Inputs'!$G$42,YEAR($B220)),TableAnnRentGwth,5,FALSE))^(1/12)-1</f>
        <v>2.4662697723036864E-3</v>
      </c>
      <c r="G220" s="198">
        <f>(1+VLOOKUP(IF(YEAR($B220)&gt;'General Inputs'!$G$42,'General Inputs'!$G$42,YEAR($B220)),TableAnnRentGwth,6,FALSE))^(1/12)-1</f>
        <v>2.4662697723036864E-3</v>
      </c>
      <c r="H220" s="198">
        <f>(1+VLOOKUP(IF(YEAR($B220)&gt;'General Inputs'!$G$42,'General Inputs'!$G$42,YEAR($B220)),TableAnnRentGwth,7,FALSE))^(1/12)-1</f>
        <v>2.4662697723036864E-3</v>
      </c>
      <c r="I220" s="383"/>
      <c r="J220" s="198"/>
      <c r="K220" s="198"/>
      <c r="L220" s="198"/>
      <c r="M220" s="384"/>
      <c r="N220" s="198"/>
      <c r="O220" s="378" t="str">
        <f>IF(AND(B220&gt;'General Inputs'!$C$39,B220&lt;ConstrStartDate),B220,"")</f>
        <v/>
      </c>
      <c r="P220" s="198" t="str">
        <f t="shared" si="48"/>
        <v/>
      </c>
      <c r="Q220" s="375">
        <f t="shared" si="49"/>
        <v>50</v>
      </c>
    </row>
    <row r="221" spans="1:17" hidden="1" outlineLevel="1" x14ac:dyDescent="0.3">
      <c r="A221" s="375">
        <v>51</v>
      </c>
      <c r="B221" s="376">
        <f t="shared" si="46"/>
        <v>48183</v>
      </c>
      <c r="C221" s="198">
        <f>(1+VLOOKUP(IF(YEAR($B221)&gt;'General Inputs'!$G$42,'General Inputs'!$G$42,YEAR($B221)),TableAnnRentGwth,2,FALSE)*(VLOOKUP(MONTH($B221),'General Inputs'!$W$29:$Z$40,3,FALSE)))-1</f>
        <v>2.1700000000000053E-3</v>
      </c>
      <c r="D221" s="198">
        <f>(1+VLOOKUP(IF(YEAR($B221)&gt;'General Inputs'!$G$42,'General Inputs'!$G$42,YEAR($B221)),TableAnnRentGwth,3,FALSE))^(1/12)-1</f>
        <v>1.6515813019202241E-3</v>
      </c>
      <c r="E221" s="198">
        <f>(1+VLOOKUP(IF(YEAR($B221)&gt;'General Inputs'!$G$42,'General Inputs'!$G$42,YEAR($B221)),TableAnnRentGwth,4,FALSE))^(1/12)-1</f>
        <v>2.4662697723036864E-3</v>
      </c>
      <c r="F221" s="198">
        <f>(1+VLOOKUP(IF(YEAR($B221)&gt;'General Inputs'!$G$42,'General Inputs'!$G$42,YEAR($B221)),TableAnnRentGwth,5,FALSE))^(1/12)-1</f>
        <v>2.4662697723036864E-3</v>
      </c>
      <c r="G221" s="198">
        <f>(1+VLOOKUP(IF(YEAR($B221)&gt;'General Inputs'!$G$42,'General Inputs'!$G$42,YEAR($B221)),TableAnnRentGwth,6,FALSE))^(1/12)-1</f>
        <v>2.4662697723036864E-3</v>
      </c>
      <c r="H221" s="198">
        <f>(1+VLOOKUP(IF(YEAR($B221)&gt;'General Inputs'!$G$42,'General Inputs'!$G$42,YEAR($B221)),TableAnnRentGwth,7,FALSE))^(1/12)-1</f>
        <v>2.4662697723036864E-3</v>
      </c>
      <c r="I221" s="383"/>
      <c r="J221" s="198"/>
      <c r="K221" s="198"/>
      <c r="L221" s="198"/>
      <c r="M221" s="384"/>
      <c r="N221" s="198"/>
      <c r="O221" s="378" t="str">
        <f>IF(AND(B221&gt;'General Inputs'!$C$39,B221&lt;ConstrStartDate),B221,"")</f>
        <v/>
      </c>
      <c r="P221" s="198" t="str">
        <f t="shared" si="48"/>
        <v/>
      </c>
      <c r="Q221" s="375">
        <f t="shared" si="49"/>
        <v>51</v>
      </c>
    </row>
    <row r="222" spans="1:17" hidden="1" outlineLevel="1" x14ac:dyDescent="0.3">
      <c r="A222" s="375">
        <v>52</v>
      </c>
      <c r="B222" s="376">
        <f t="shared" si="46"/>
        <v>48214</v>
      </c>
      <c r="C222" s="198">
        <f>(1+VLOOKUP(IF(YEAR($B222)&gt;'General Inputs'!$G$42,'General Inputs'!$G$42,YEAR($B222)),TableAnnRentGwth,2,FALSE)*(VLOOKUP(MONTH($B222),'General Inputs'!$W$29:$Z$40,3,FALSE)))-1</f>
        <v>2.7649999999999064E-3</v>
      </c>
      <c r="D222" s="198">
        <f>(1+VLOOKUP(IF(YEAR($B222)&gt;'General Inputs'!$G$42,'General Inputs'!$G$42,YEAR($B222)),TableAnnRentGwth,3,FALSE))^(1/12)-1</f>
        <v>1.6515813019202241E-3</v>
      </c>
      <c r="E222" s="198">
        <f>(1+VLOOKUP(IF(YEAR($B222)&gt;'General Inputs'!$G$42,'General Inputs'!$G$42,YEAR($B222)),TableAnnRentGwth,4,FALSE))^(1/12)-1</f>
        <v>2.4662697723036864E-3</v>
      </c>
      <c r="F222" s="198">
        <f>(1+VLOOKUP(IF(YEAR($B222)&gt;'General Inputs'!$G$42,'General Inputs'!$G$42,YEAR($B222)),TableAnnRentGwth,5,FALSE))^(1/12)-1</f>
        <v>2.4662697723036864E-3</v>
      </c>
      <c r="G222" s="198">
        <f>(1+VLOOKUP(IF(YEAR($B222)&gt;'General Inputs'!$G$42,'General Inputs'!$G$42,YEAR($B222)),TableAnnRentGwth,6,FALSE))^(1/12)-1</f>
        <v>2.4662697723036864E-3</v>
      </c>
      <c r="H222" s="198">
        <f>(1+VLOOKUP(IF(YEAR($B222)&gt;'General Inputs'!$G$42,'General Inputs'!$G$42,YEAR($B222)),TableAnnRentGwth,7,FALSE))^(1/12)-1</f>
        <v>2.4662697723036864E-3</v>
      </c>
      <c r="I222" s="383"/>
      <c r="J222" s="198"/>
      <c r="K222" s="198"/>
      <c r="L222" s="198"/>
      <c r="M222" s="384"/>
      <c r="N222" s="198"/>
      <c r="O222" s="378" t="str">
        <f>IF(AND(B222&gt;'General Inputs'!$C$39,B222&lt;ConstrStartDate),B222,"")</f>
        <v/>
      </c>
      <c r="P222" s="198" t="str">
        <f t="shared" si="48"/>
        <v/>
      </c>
      <c r="Q222" s="375">
        <f t="shared" si="49"/>
        <v>52</v>
      </c>
    </row>
    <row r="223" spans="1:17" hidden="1" outlineLevel="1" x14ac:dyDescent="0.3">
      <c r="A223" s="375">
        <v>53</v>
      </c>
      <c r="B223" s="376">
        <f t="shared" si="46"/>
        <v>48245</v>
      </c>
      <c r="C223" s="198">
        <f>(1+VLOOKUP(IF(YEAR($B223)&gt;'General Inputs'!$G$42,'General Inputs'!$G$42,YEAR($B223)),TableAnnRentGwth,2,FALSE)*(VLOOKUP(MONTH($B223),'General Inputs'!$W$29:$Z$40,3,FALSE)))-1</f>
        <v>2.7649999999999064E-3</v>
      </c>
      <c r="D223" s="198">
        <f>(1+VLOOKUP(IF(YEAR($B223)&gt;'General Inputs'!$G$42,'General Inputs'!$G$42,YEAR($B223)),TableAnnRentGwth,3,FALSE))^(1/12)-1</f>
        <v>1.6515813019202241E-3</v>
      </c>
      <c r="E223" s="198">
        <f>(1+VLOOKUP(IF(YEAR($B223)&gt;'General Inputs'!$G$42,'General Inputs'!$G$42,YEAR($B223)),TableAnnRentGwth,4,FALSE))^(1/12)-1</f>
        <v>2.4662697723036864E-3</v>
      </c>
      <c r="F223" s="198">
        <f>(1+VLOOKUP(IF(YEAR($B223)&gt;'General Inputs'!$G$42,'General Inputs'!$G$42,YEAR($B223)),TableAnnRentGwth,5,FALSE))^(1/12)-1</f>
        <v>2.4662697723036864E-3</v>
      </c>
      <c r="G223" s="198">
        <f>(1+VLOOKUP(IF(YEAR($B223)&gt;'General Inputs'!$G$42,'General Inputs'!$G$42,YEAR($B223)),TableAnnRentGwth,6,FALSE))^(1/12)-1</f>
        <v>2.4662697723036864E-3</v>
      </c>
      <c r="H223" s="198">
        <f>(1+VLOOKUP(IF(YEAR($B223)&gt;'General Inputs'!$G$42,'General Inputs'!$G$42,YEAR($B223)),TableAnnRentGwth,7,FALSE))^(1/12)-1</f>
        <v>2.4662697723036864E-3</v>
      </c>
      <c r="I223" s="383"/>
      <c r="J223" s="198"/>
      <c r="K223" s="198"/>
      <c r="L223" s="198"/>
      <c r="M223" s="384"/>
      <c r="N223" s="198"/>
      <c r="O223" s="378" t="str">
        <f>IF(AND(B223&gt;'General Inputs'!$C$39,B223&lt;ConstrStartDate),B223,"")</f>
        <v/>
      </c>
      <c r="P223" s="198" t="str">
        <f t="shared" si="48"/>
        <v/>
      </c>
      <c r="Q223" s="375">
        <f t="shared" si="49"/>
        <v>53</v>
      </c>
    </row>
    <row r="224" spans="1:17" hidden="1" outlineLevel="1" x14ac:dyDescent="0.3">
      <c r="A224" s="375">
        <v>54</v>
      </c>
      <c r="B224" s="376">
        <f t="shared" si="46"/>
        <v>48274</v>
      </c>
      <c r="C224" s="198">
        <f>(1+VLOOKUP(IF(YEAR($B224)&gt;'General Inputs'!$G$42,'General Inputs'!$G$42,YEAR($B224)),TableAnnRentGwth,2,FALSE)*(VLOOKUP(MONTH($B224),'General Inputs'!$W$29:$Z$40,3,FALSE)))-1</f>
        <v>2.7649999999999064E-3</v>
      </c>
      <c r="D224" s="198">
        <f>(1+VLOOKUP(IF(YEAR($B224)&gt;'General Inputs'!$G$42,'General Inputs'!$G$42,YEAR($B224)),TableAnnRentGwth,3,FALSE))^(1/12)-1</f>
        <v>1.6515813019202241E-3</v>
      </c>
      <c r="E224" s="198">
        <f>(1+VLOOKUP(IF(YEAR($B224)&gt;'General Inputs'!$G$42,'General Inputs'!$G$42,YEAR($B224)),TableAnnRentGwth,4,FALSE))^(1/12)-1</f>
        <v>2.4662697723036864E-3</v>
      </c>
      <c r="F224" s="198">
        <f>(1+VLOOKUP(IF(YEAR($B224)&gt;'General Inputs'!$G$42,'General Inputs'!$G$42,YEAR($B224)),TableAnnRentGwth,5,FALSE))^(1/12)-1</f>
        <v>2.4662697723036864E-3</v>
      </c>
      <c r="G224" s="198">
        <f>(1+VLOOKUP(IF(YEAR($B224)&gt;'General Inputs'!$G$42,'General Inputs'!$G$42,YEAR($B224)),TableAnnRentGwth,6,FALSE))^(1/12)-1</f>
        <v>2.4662697723036864E-3</v>
      </c>
      <c r="H224" s="198">
        <f>(1+VLOOKUP(IF(YEAR($B224)&gt;'General Inputs'!$G$42,'General Inputs'!$G$42,YEAR($B224)),TableAnnRentGwth,7,FALSE))^(1/12)-1</f>
        <v>2.4662697723036864E-3</v>
      </c>
      <c r="I224" s="383"/>
      <c r="J224" s="198"/>
      <c r="K224" s="198"/>
      <c r="L224" s="198"/>
      <c r="M224" s="384"/>
      <c r="N224" s="198"/>
      <c r="O224" s="378" t="str">
        <f>IF(AND(B224&gt;'General Inputs'!$C$39,B224&lt;ConstrStartDate),B224,"")</f>
        <v/>
      </c>
      <c r="P224" s="198" t="str">
        <f t="shared" si="48"/>
        <v/>
      </c>
      <c r="Q224" s="375">
        <f t="shared" si="49"/>
        <v>54</v>
      </c>
    </row>
    <row r="225" spans="1:62" hidden="1" outlineLevel="1" x14ac:dyDescent="0.3">
      <c r="A225" s="375">
        <v>55</v>
      </c>
      <c r="B225" s="376">
        <f t="shared" si="46"/>
        <v>48305</v>
      </c>
      <c r="C225" s="198">
        <f>(1+VLOOKUP(IF(YEAR($B225)&gt;'General Inputs'!$G$42,'General Inputs'!$G$42,YEAR($B225)),TableAnnRentGwth,2,FALSE)*(VLOOKUP(MONTH($B225),'General Inputs'!$W$29:$Z$40,3,FALSE)))-1</f>
        <v>4.1474999999999707E-3</v>
      </c>
      <c r="D225" s="198">
        <f>(1+VLOOKUP(IF(YEAR($B225)&gt;'General Inputs'!$G$42,'General Inputs'!$G$42,YEAR($B225)),TableAnnRentGwth,3,FALSE))^(1/12)-1</f>
        <v>1.6515813019202241E-3</v>
      </c>
      <c r="E225" s="198">
        <f>(1+VLOOKUP(IF(YEAR($B225)&gt;'General Inputs'!$G$42,'General Inputs'!$G$42,YEAR($B225)),TableAnnRentGwth,4,FALSE))^(1/12)-1</f>
        <v>2.4662697723036864E-3</v>
      </c>
      <c r="F225" s="198">
        <f>(1+VLOOKUP(IF(YEAR($B225)&gt;'General Inputs'!$G$42,'General Inputs'!$G$42,YEAR($B225)),TableAnnRentGwth,5,FALSE))^(1/12)-1</f>
        <v>2.4662697723036864E-3</v>
      </c>
      <c r="G225" s="198">
        <f>(1+VLOOKUP(IF(YEAR($B225)&gt;'General Inputs'!$G$42,'General Inputs'!$G$42,YEAR($B225)),TableAnnRentGwth,6,FALSE))^(1/12)-1</f>
        <v>2.4662697723036864E-3</v>
      </c>
      <c r="H225" s="198">
        <f>(1+VLOOKUP(IF(YEAR($B225)&gt;'General Inputs'!$G$42,'General Inputs'!$G$42,YEAR($B225)),TableAnnRentGwth,7,FALSE))^(1/12)-1</f>
        <v>2.4662697723036864E-3</v>
      </c>
      <c r="I225" s="383"/>
      <c r="J225" s="198"/>
      <c r="K225" s="198"/>
      <c r="L225" s="198"/>
      <c r="M225" s="384"/>
      <c r="N225" s="198"/>
      <c r="O225" s="378" t="str">
        <f>IF(AND(B225&gt;'General Inputs'!$C$39,B225&lt;ConstrStartDate),B225,"")</f>
        <v/>
      </c>
      <c r="P225" s="198" t="str">
        <f t="shared" si="48"/>
        <v/>
      </c>
      <c r="Q225" s="375">
        <f t="shared" si="49"/>
        <v>55</v>
      </c>
    </row>
    <row r="226" spans="1:62" hidden="1" outlineLevel="1" x14ac:dyDescent="0.3">
      <c r="A226" s="375">
        <v>56</v>
      </c>
      <c r="B226" s="376">
        <f t="shared" si="46"/>
        <v>48335</v>
      </c>
      <c r="C226" s="198">
        <f>(1+VLOOKUP(IF(YEAR($B226)&gt;'General Inputs'!$G$42,'General Inputs'!$G$42,YEAR($B226)),TableAnnRentGwth,2,FALSE)*(VLOOKUP(MONTH($B226),'General Inputs'!$W$29:$Z$40,3,FALSE)))-1</f>
        <v>4.1474999999999707E-3</v>
      </c>
      <c r="D226" s="198">
        <f>(1+VLOOKUP(IF(YEAR($B226)&gt;'General Inputs'!$G$42,'General Inputs'!$G$42,YEAR($B226)),TableAnnRentGwth,3,FALSE))^(1/12)-1</f>
        <v>1.6515813019202241E-3</v>
      </c>
      <c r="E226" s="198">
        <f>(1+VLOOKUP(IF(YEAR($B226)&gt;'General Inputs'!$G$42,'General Inputs'!$G$42,YEAR($B226)),TableAnnRentGwth,4,FALSE))^(1/12)-1</f>
        <v>2.4662697723036864E-3</v>
      </c>
      <c r="F226" s="198">
        <f>(1+VLOOKUP(IF(YEAR($B226)&gt;'General Inputs'!$G$42,'General Inputs'!$G$42,YEAR($B226)),TableAnnRentGwth,5,FALSE))^(1/12)-1</f>
        <v>2.4662697723036864E-3</v>
      </c>
      <c r="G226" s="198">
        <f>(1+VLOOKUP(IF(YEAR($B226)&gt;'General Inputs'!$G$42,'General Inputs'!$G$42,YEAR($B226)),TableAnnRentGwth,6,FALSE))^(1/12)-1</f>
        <v>2.4662697723036864E-3</v>
      </c>
      <c r="H226" s="198">
        <f>(1+VLOOKUP(IF(YEAR($B226)&gt;'General Inputs'!$G$42,'General Inputs'!$G$42,YEAR($B226)),TableAnnRentGwth,7,FALSE))^(1/12)-1</f>
        <v>2.4662697723036864E-3</v>
      </c>
      <c r="I226" s="383"/>
      <c r="J226" s="198"/>
      <c r="K226" s="198"/>
      <c r="L226" s="198"/>
      <c r="M226" s="384"/>
      <c r="N226" s="198"/>
      <c r="O226" s="378" t="str">
        <f>IF(AND(B226&gt;'General Inputs'!$C$39,B226&lt;ConstrStartDate),B226,"")</f>
        <v/>
      </c>
      <c r="P226" s="198" t="str">
        <f t="shared" si="48"/>
        <v/>
      </c>
      <c r="Q226" s="375">
        <f t="shared" si="49"/>
        <v>56</v>
      </c>
    </row>
    <row r="227" spans="1:62" hidden="1" outlineLevel="1" x14ac:dyDescent="0.3">
      <c r="A227" s="375">
        <v>57</v>
      </c>
      <c r="B227" s="376">
        <f t="shared" si="46"/>
        <v>48366</v>
      </c>
      <c r="C227" s="198">
        <f>(1+VLOOKUP(IF(YEAR($B227)&gt;'General Inputs'!$G$42,'General Inputs'!$G$42,YEAR($B227)),TableAnnRentGwth,2,FALSE)*(VLOOKUP(MONTH($B227),'General Inputs'!$W$29:$Z$40,3,FALSE)))-1</f>
        <v>4.1474999999999707E-3</v>
      </c>
      <c r="D227" s="198">
        <f>(1+VLOOKUP(IF(YEAR($B227)&gt;'General Inputs'!$G$42,'General Inputs'!$G$42,YEAR($B227)),TableAnnRentGwth,3,FALSE))^(1/12)-1</f>
        <v>1.6515813019202241E-3</v>
      </c>
      <c r="E227" s="198">
        <f>(1+VLOOKUP(IF(YEAR($B227)&gt;'General Inputs'!$G$42,'General Inputs'!$G$42,YEAR($B227)),TableAnnRentGwth,4,FALSE))^(1/12)-1</f>
        <v>2.4662697723036864E-3</v>
      </c>
      <c r="F227" s="198">
        <f>(1+VLOOKUP(IF(YEAR($B227)&gt;'General Inputs'!$G$42,'General Inputs'!$G$42,YEAR($B227)),TableAnnRentGwth,5,FALSE))^(1/12)-1</f>
        <v>2.4662697723036864E-3</v>
      </c>
      <c r="G227" s="198">
        <f>(1+VLOOKUP(IF(YEAR($B227)&gt;'General Inputs'!$G$42,'General Inputs'!$G$42,YEAR($B227)),TableAnnRentGwth,6,FALSE))^(1/12)-1</f>
        <v>2.4662697723036864E-3</v>
      </c>
      <c r="H227" s="198">
        <f>(1+VLOOKUP(IF(YEAR($B227)&gt;'General Inputs'!$G$42,'General Inputs'!$G$42,YEAR($B227)),TableAnnRentGwth,7,FALSE))^(1/12)-1</f>
        <v>2.4662697723036864E-3</v>
      </c>
      <c r="I227" s="383"/>
      <c r="J227" s="198"/>
      <c r="K227" s="198"/>
      <c r="L227" s="198"/>
      <c r="M227" s="384"/>
      <c r="N227" s="198"/>
      <c r="O227" s="378" t="str">
        <f>IF(AND(B227&gt;'General Inputs'!$C$39,B227&lt;ConstrStartDate),B227,"")</f>
        <v/>
      </c>
      <c r="P227" s="198" t="str">
        <f t="shared" si="48"/>
        <v/>
      </c>
      <c r="Q227" s="375">
        <f t="shared" si="49"/>
        <v>57</v>
      </c>
    </row>
    <row r="228" spans="1:62" hidden="1" outlineLevel="1" x14ac:dyDescent="0.3">
      <c r="A228" s="375">
        <v>58</v>
      </c>
      <c r="B228" s="376">
        <f t="shared" si="46"/>
        <v>48396</v>
      </c>
      <c r="C228" s="198">
        <f>(1+VLOOKUP(IF(YEAR($B228)&gt;'General Inputs'!$G$42,'General Inputs'!$G$42,YEAR($B228)),TableAnnRentGwth,2,FALSE)*(VLOOKUP(MONTH($B228),'General Inputs'!$W$29:$Z$40,3,FALSE)))-1</f>
        <v>4.1474999999999707E-3</v>
      </c>
      <c r="D228" s="198">
        <f>(1+VLOOKUP(IF(YEAR($B228)&gt;'General Inputs'!$G$42,'General Inputs'!$G$42,YEAR($B228)),TableAnnRentGwth,3,FALSE))^(1/12)-1</f>
        <v>1.6515813019202241E-3</v>
      </c>
      <c r="E228" s="198">
        <f>(1+VLOOKUP(IF(YEAR($B228)&gt;'General Inputs'!$G$42,'General Inputs'!$G$42,YEAR($B228)),TableAnnRentGwth,4,FALSE))^(1/12)-1</f>
        <v>2.4662697723036864E-3</v>
      </c>
      <c r="F228" s="198">
        <f>(1+VLOOKUP(IF(YEAR($B228)&gt;'General Inputs'!$G$42,'General Inputs'!$G$42,YEAR($B228)),TableAnnRentGwth,5,FALSE))^(1/12)-1</f>
        <v>2.4662697723036864E-3</v>
      </c>
      <c r="G228" s="198">
        <f>(1+VLOOKUP(IF(YEAR($B228)&gt;'General Inputs'!$G$42,'General Inputs'!$G$42,YEAR($B228)),TableAnnRentGwth,6,FALSE))^(1/12)-1</f>
        <v>2.4662697723036864E-3</v>
      </c>
      <c r="H228" s="198">
        <f>(1+VLOOKUP(IF(YEAR($B228)&gt;'General Inputs'!$G$42,'General Inputs'!$G$42,YEAR($B228)),TableAnnRentGwth,7,FALSE))^(1/12)-1</f>
        <v>2.4662697723036864E-3</v>
      </c>
      <c r="I228" s="383"/>
      <c r="J228" s="198"/>
      <c r="K228" s="198"/>
      <c r="L228" s="198"/>
      <c r="M228" s="384"/>
      <c r="N228" s="198"/>
      <c r="O228" s="378" t="str">
        <f>IF(AND(B228&gt;'General Inputs'!$C$39,B228&lt;ConstrStartDate),B228,"")</f>
        <v/>
      </c>
      <c r="P228" s="198" t="str">
        <f t="shared" si="48"/>
        <v/>
      </c>
      <c r="Q228" s="375">
        <f t="shared" si="49"/>
        <v>58</v>
      </c>
    </row>
    <row r="229" spans="1:62" hidden="1" outlineLevel="1" x14ac:dyDescent="0.3">
      <c r="A229" s="375">
        <v>59</v>
      </c>
      <c r="B229" s="376">
        <f t="shared" si="46"/>
        <v>48427</v>
      </c>
      <c r="C229" s="198">
        <f>(1+VLOOKUP(IF(YEAR($B229)&gt;'General Inputs'!$G$42,'General Inputs'!$G$42,YEAR($B229)),TableAnnRentGwth,2,FALSE)*(VLOOKUP(MONTH($B229),'General Inputs'!$W$29:$Z$40,3,FALSE)))-1</f>
        <v>4.1474999999999707E-3</v>
      </c>
      <c r="D229" s="198">
        <f>(1+VLOOKUP(IF(YEAR($B229)&gt;'General Inputs'!$G$42,'General Inputs'!$G$42,YEAR($B229)),TableAnnRentGwth,3,FALSE))^(1/12)-1</f>
        <v>1.6515813019202241E-3</v>
      </c>
      <c r="E229" s="198">
        <f>(1+VLOOKUP(IF(YEAR($B229)&gt;'General Inputs'!$G$42,'General Inputs'!$G$42,YEAR($B229)),TableAnnRentGwth,4,FALSE))^(1/12)-1</f>
        <v>2.4662697723036864E-3</v>
      </c>
      <c r="F229" s="198">
        <f>(1+VLOOKUP(IF(YEAR($B229)&gt;'General Inputs'!$G$42,'General Inputs'!$G$42,YEAR($B229)),TableAnnRentGwth,5,FALSE))^(1/12)-1</f>
        <v>2.4662697723036864E-3</v>
      </c>
      <c r="G229" s="198">
        <f>(1+VLOOKUP(IF(YEAR($B229)&gt;'General Inputs'!$G$42,'General Inputs'!$G$42,YEAR($B229)),TableAnnRentGwth,6,FALSE))^(1/12)-1</f>
        <v>2.4662697723036864E-3</v>
      </c>
      <c r="H229" s="198">
        <f>(1+VLOOKUP(IF(YEAR($B229)&gt;'General Inputs'!$G$42,'General Inputs'!$G$42,YEAR($B229)),TableAnnRentGwth,7,FALSE))^(1/12)-1</f>
        <v>2.4662697723036864E-3</v>
      </c>
      <c r="I229" s="383"/>
      <c r="J229" s="198"/>
      <c r="K229" s="198"/>
      <c r="L229" s="198"/>
      <c r="M229" s="384"/>
      <c r="N229" s="198"/>
      <c r="O229" s="378" t="str">
        <f>IF(AND(B229&gt;'General Inputs'!$C$39,B229&lt;ConstrStartDate),B229,"")</f>
        <v/>
      </c>
      <c r="P229" s="198" t="str">
        <f t="shared" si="48"/>
        <v/>
      </c>
      <c r="Q229" s="375">
        <f t="shared" si="49"/>
        <v>59</v>
      </c>
    </row>
    <row r="230" spans="1:62" hidden="1" outlineLevel="1" x14ac:dyDescent="0.3">
      <c r="A230" s="375">
        <v>60</v>
      </c>
      <c r="B230" s="376">
        <f t="shared" si="46"/>
        <v>48458</v>
      </c>
      <c r="C230" s="198">
        <f>(1+VLOOKUP(IF(YEAR($B230)&gt;'General Inputs'!$G$42,'General Inputs'!$G$42,YEAR($B230)),TableAnnRentGwth,2,FALSE)*(VLOOKUP(MONTH($B230),'General Inputs'!$W$29:$Z$40,3,FALSE)))-1</f>
        <v>4.1474999999999707E-3</v>
      </c>
      <c r="D230" s="198">
        <f>(1+VLOOKUP(IF(YEAR($B230)&gt;'General Inputs'!$G$42,'General Inputs'!$G$42,YEAR($B230)),TableAnnRentGwth,3,FALSE))^(1/12)-1</f>
        <v>1.6515813019202241E-3</v>
      </c>
      <c r="E230" s="198">
        <f>(1+VLOOKUP(IF(YEAR($B230)&gt;'General Inputs'!$G$42,'General Inputs'!$G$42,YEAR($B230)),TableAnnRentGwth,4,FALSE))^(1/12)-1</f>
        <v>2.4662697723036864E-3</v>
      </c>
      <c r="F230" s="198">
        <f>(1+VLOOKUP(IF(YEAR($B230)&gt;'General Inputs'!$G$42,'General Inputs'!$G$42,YEAR($B230)),TableAnnRentGwth,5,FALSE))^(1/12)-1</f>
        <v>2.4662697723036864E-3</v>
      </c>
      <c r="G230" s="198">
        <f>(1+VLOOKUP(IF(YEAR($B230)&gt;'General Inputs'!$G$42,'General Inputs'!$G$42,YEAR($B230)),TableAnnRentGwth,6,FALSE))^(1/12)-1</f>
        <v>2.4662697723036864E-3</v>
      </c>
      <c r="H230" s="198">
        <f>(1+VLOOKUP(IF(YEAR($B230)&gt;'General Inputs'!$G$42,'General Inputs'!$G$42,YEAR($B230)),TableAnnRentGwth,7,FALSE))^(1/12)-1</f>
        <v>2.4662697723036864E-3</v>
      </c>
      <c r="I230" s="383"/>
      <c r="J230" s="198"/>
      <c r="K230" s="198"/>
      <c r="L230" s="198"/>
      <c r="M230" s="384"/>
      <c r="N230" s="198"/>
      <c r="O230" s="378" t="str">
        <f>IF(AND(B230&gt;'General Inputs'!$C$39,B230&lt;ConstrStartDate),B230,"")</f>
        <v/>
      </c>
      <c r="P230" s="198" t="str">
        <f t="shared" si="48"/>
        <v/>
      </c>
      <c r="Q230" s="375">
        <f t="shared" si="49"/>
        <v>60</v>
      </c>
    </row>
    <row r="231" spans="1:62" hidden="1" outlineLevel="1" x14ac:dyDescent="0.3">
      <c r="O231" s="351" t="s">
        <v>1952</v>
      </c>
      <c r="P231" s="385">
        <f>IF(PRODUCT(P134,P135,P136,P137,P138,P139,P140,P141,P142,P143,P144,P145,P146,P147,P148,P149,P150,P151,P152,P153,P154,P155,P156,P157,P158,P159,P160,P161,P162,P163,P164,P165,P166,P167,P168,P169,P170,P171,P172,P173,P174,P175,P176,P177,P178,P179,P180,P181,P182,P183,P184,P185,P186,P187,P188,P189,P190,P191,P192,P193,P194,P195,P196,P197,P198,P199,P200,P201,P202,P203,P204,P205,P206,P207,P208,P209,P210,P211,P212,P213,P214,P215,P216,P217,P218)=0,0,PRODUCT(P134,P135,P136,P137,P138,P139,P140,P141,P142,P143,P144,P145,P146,P147,P148,P149,P150,P151,P152,P153,P154,P155,P156,P157,P158,P159,P160,P161,P162,P163,P164,P165,P166,P167,P168,P169,P170,P171,P172,P173,P174,P175,P176,P177,P178,P179,P180,P181,P182,P183,P184,P185,P186,P187,P188,P189,P190,P191,P192,P193,P194,P195,P196,P197,P198,P199,P200,P201,P202,P203,P204,P205,P206,P207,P208,P209,P210,P211,P212,P213,P214,P215,P216,P217,P218)-1)</f>
        <v>3.7639583931066145E-2</v>
      </c>
    </row>
    <row r="232" spans="1:62" ht="15.6" collapsed="1" x14ac:dyDescent="0.3">
      <c r="A232" s="115" t="s">
        <v>1953</v>
      </c>
      <c r="B232" s="204"/>
      <c r="C232" s="204"/>
      <c r="D232" s="204"/>
      <c r="E232" s="204"/>
      <c r="F232" s="204"/>
      <c r="G232" s="204"/>
      <c r="H232" s="204"/>
      <c r="I232" s="204"/>
      <c r="J232" s="204"/>
      <c r="K232" s="204"/>
      <c r="L232" s="204"/>
      <c r="M232" s="204"/>
      <c r="N232" s="204"/>
      <c r="O232" s="204"/>
      <c r="P232" s="204"/>
      <c r="Q232" s="204"/>
      <c r="R232" s="204"/>
      <c r="S232" s="204"/>
      <c r="T232" s="204"/>
      <c r="U232" s="204"/>
      <c r="V232" s="204"/>
      <c r="W232" s="204"/>
      <c r="X232" s="204"/>
      <c r="Y232" s="204"/>
      <c r="Z232" s="204"/>
      <c r="AA232" s="204"/>
      <c r="AB232" s="204"/>
      <c r="AC232" s="204"/>
      <c r="AD232" s="204"/>
      <c r="AE232" s="204"/>
      <c r="AF232" s="204"/>
      <c r="AG232" s="204"/>
      <c r="AH232" s="204"/>
      <c r="AI232" s="204"/>
      <c r="AJ232" s="204"/>
      <c r="AK232" s="204"/>
      <c r="AL232" s="204"/>
      <c r="AM232" s="204"/>
      <c r="AN232" s="204"/>
      <c r="AO232" s="204"/>
      <c r="AP232" s="204"/>
      <c r="AQ232" s="204"/>
      <c r="AR232" s="204"/>
      <c r="AS232" s="204"/>
      <c r="AT232" s="204"/>
      <c r="AU232" s="204"/>
      <c r="AV232" s="204"/>
      <c r="AW232" s="204"/>
      <c r="AX232" s="204"/>
      <c r="AY232" s="204"/>
      <c r="AZ232" s="204"/>
      <c r="BA232" s="204"/>
      <c r="BB232" s="204"/>
      <c r="BC232" s="204"/>
      <c r="BD232" s="204"/>
      <c r="BE232" s="204"/>
      <c r="BF232" s="204"/>
      <c r="BG232" s="204"/>
      <c r="BH232" s="204"/>
      <c r="BI232" s="204"/>
      <c r="BJ232" s="444"/>
    </row>
    <row r="233" spans="1:62" ht="3.75" customHeight="1" thickBot="1" x14ac:dyDescent="0.35">
      <c r="A233" s="119"/>
      <c r="B233" s="119"/>
      <c r="C233" s="119"/>
      <c r="D233" s="119"/>
      <c r="E233" s="119"/>
      <c r="F233" s="119"/>
      <c r="G233" s="119"/>
      <c r="H233" s="119"/>
      <c r="I233" s="119"/>
      <c r="J233" s="119"/>
      <c r="K233" s="119"/>
      <c r="L233" s="119"/>
      <c r="M233" s="119"/>
      <c r="N233" s="119"/>
      <c r="O233" s="119"/>
      <c r="P233" s="119"/>
      <c r="Q233" s="119"/>
      <c r="R233" s="119"/>
      <c r="S233" s="119"/>
      <c r="T233" s="119"/>
      <c r="U233" s="119"/>
      <c r="V233" s="119"/>
      <c r="W233" s="119"/>
      <c r="X233" s="119"/>
      <c r="Y233" s="119"/>
      <c r="Z233" s="119"/>
      <c r="AA233" s="119"/>
      <c r="AB233" s="119"/>
      <c r="AC233" s="119"/>
      <c r="AD233" s="119"/>
      <c r="AE233" s="119"/>
      <c r="AF233" s="119"/>
      <c r="AG233" s="119"/>
      <c r="AH233" s="119"/>
      <c r="AI233" s="119"/>
      <c r="AJ233" s="119"/>
      <c r="AK233" s="119"/>
      <c r="AL233" s="119"/>
      <c r="AM233" s="119"/>
      <c r="AN233" s="119"/>
      <c r="AO233" s="119"/>
      <c r="AP233" s="119"/>
      <c r="AQ233" s="119"/>
      <c r="AR233" s="119"/>
      <c r="AS233" s="119"/>
      <c r="AT233" s="119"/>
      <c r="AU233" s="119"/>
      <c r="AV233" s="119"/>
      <c r="AW233" s="119"/>
      <c r="AX233" s="119"/>
      <c r="AY233" s="119"/>
      <c r="AZ233" s="119"/>
      <c r="BA233" s="119"/>
      <c r="BB233" s="119"/>
      <c r="BC233" s="119"/>
      <c r="BD233" s="119"/>
      <c r="BE233" s="119"/>
      <c r="BF233" s="119"/>
      <c r="BG233" s="119"/>
      <c r="BH233" s="119"/>
      <c r="BI233" s="119"/>
      <c r="BJ233" s="119"/>
    </row>
    <row r="234" spans="1:62" ht="7.5" customHeight="1" thickTop="1" x14ac:dyDescent="0.3"/>
    <row r="235" spans="1:62" x14ac:dyDescent="0.3">
      <c r="A235" s="386"/>
      <c r="B235" s="386"/>
      <c r="C235" s="386">
        <f>LOOKUP(C236,DevBdgt!$7:$7,DevBdgt!$6:$6)</f>
        <v>1</v>
      </c>
      <c r="D235" s="386">
        <f>LOOKUP(D236,DevBdgt!$7:$7,DevBdgt!$6:$6)</f>
        <v>2</v>
      </c>
      <c r="E235" s="386">
        <f>LOOKUP(E236,DevBdgt!$7:$7,DevBdgt!$6:$6)</f>
        <v>3</v>
      </c>
      <c r="F235" s="386">
        <f>LOOKUP(F236,DevBdgt!$7:$7,DevBdgt!$6:$6)</f>
        <v>4</v>
      </c>
      <c r="G235" s="386">
        <f>LOOKUP(G236,DevBdgt!$7:$7,DevBdgt!$6:$6)</f>
        <v>5</v>
      </c>
      <c r="H235" s="386">
        <f>LOOKUP(H236,DevBdgt!$7:$7,DevBdgt!$6:$6)</f>
        <v>6</v>
      </c>
      <c r="I235" s="386">
        <f>LOOKUP(I236,DevBdgt!$7:$7,DevBdgt!$6:$6)</f>
        <v>7</v>
      </c>
      <c r="J235" s="386">
        <f>LOOKUP(J236,DevBdgt!$7:$7,DevBdgt!$6:$6)</f>
        <v>8</v>
      </c>
      <c r="K235" s="386">
        <f>LOOKUP(K236,DevBdgt!$7:$7,DevBdgt!$6:$6)</f>
        <v>9</v>
      </c>
      <c r="L235" s="386">
        <f>LOOKUP(L236,DevBdgt!$7:$7,DevBdgt!$6:$6)</f>
        <v>10</v>
      </c>
      <c r="M235" s="386">
        <f>LOOKUP(M236,DevBdgt!$7:$7,DevBdgt!$6:$6)</f>
        <v>11</v>
      </c>
      <c r="N235" s="386">
        <f>LOOKUP(N236,DevBdgt!$7:$7,DevBdgt!$6:$6)</f>
        <v>12</v>
      </c>
      <c r="O235" s="386">
        <f>LOOKUP(O236,DevBdgt!$7:$7,DevBdgt!$6:$6)</f>
        <v>13</v>
      </c>
      <c r="P235" s="386">
        <f>LOOKUP(P236,DevBdgt!$7:$7,DevBdgt!$6:$6)</f>
        <v>14</v>
      </c>
      <c r="Q235" s="386">
        <f>LOOKUP(Q236,DevBdgt!$7:$7,DevBdgt!$6:$6)</f>
        <v>15</v>
      </c>
      <c r="R235" s="386">
        <f>LOOKUP(R236,DevBdgt!$7:$7,DevBdgt!$6:$6)</f>
        <v>16</v>
      </c>
      <c r="S235" s="386">
        <f>LOOKUP(S236,DevBdgt!$7:$7,DevBdgt!$6:$6)</f>
        <v>17</v>
      </c>
      <c r="T235" s="386">
        <f>LOOKUP(T236,DevBdgt!$7:$7,DevBdgt!$6:$6)</f>
        <v>18</v>
      </c>
      <c r="U235" s="386">
        <f>LOOKUP(U236,DevBdgt!$7:$7,DevBdgt!$6:$6)</f>
        <v>19</v>
      </c>
      <c r="V235" s="386">
        <f>LOOKUP(V236,DevBdgt!$7:$7,DevBdgt!$6:$6)</f>
        <v>20</v>
      </c>
      <c r="W235" s="386">
        <f>LOOKUP(W236,DevBdgt!$7:$7,DevBdgt!$6:$6)</f>
        <v>21</v>
      </c>
      <c r="X235" s="386">
        <f>LOOKUP(X236,DevBdgt!$7:$7,DevBdgt!$6:$6)</f>
        <v>22</v>
      </c>
      <c r="Y235" s="386">
        <f>LOOKUP(Y236,DevBdgt!$7:$7,DevBdgt!$6:$6)</f>
        <v>23</v>
      </c>
      <c r="Z235" s="386">
        <f>LOOKUP(Z236,DevBdgt!$7:$7,DevBdgt!$6:$6)</f>
        <v>24</v>
      </c>
      <c r="AA235" s="386">
        <f>LOOKUP(AA236,DevBdgt!$7:$7,DevBdgt!$6:$6)</f>
        <v>25</v>
      </c>
      <c r="AB235" s="386">
        <f>LOOKUP(AB236,DevBdgt!$7:$7,DevBdgt!$6:$6)</f>
        <v>26</v>
      </c>
      <c r="AC235" s="386">
        <f>LOOKUP(AC236,DevBdgt!$7:$7,DevBdgt!$6:$6)</f>
        <v>27</v>
      </c>
      <c r="AD235" s="386">
        <f>LOOKUP(AD236,DevBdgt!$7:$7,DevBdgt!$6:$6)</f>
        <v>28</v>
      </c>
      <c r="AE235" s="386">
        <f>LOOKUP(AE236,DevBdgt!$7:$7,DevBdgt!$6:$6)</f>
        <v>29</v>
      </c>
      <c r="AF235" s="386">
        <f>LOOKUP(AF236,DevBdgt!$7:$7,DevBdgt!$6:$6)</f>
        <v>30</v>
      </c>
      <c r="AG235" s="386">
        <f>LOOKUP(AG236,DevBdgt!$7:$7,DevBdgt!$6:$6)</f>
        <v>31</v>
      </c>
      <c r="AH235" s="386">
        <f>LOOKUP(AH236,DevBdgt!$7:$7,DevBdgt!$6:$6)</f>
        <v>32</v>
      </c>
      <c r="AI235" s="386">
        <f>LOOKUP(AI236,DevBdgt!$7:$7,DevBdgt!$6:$6)</f>
        <v>33</v>
      </c>
      <c r="AJ235" s="386">
        <f>LOOKUP(AJ236,DevBdgt!$7:$7,DevBdgt!$6:$6)</f>
        <v>34</v>
      </c>
      <c r="AK235" s="386">
        <f>LOOKUP(AK236,DevBdgt!$7:$7,DevBdgt!$6:$6)</f>
        <v>35</v>
      </c>
      <c r="AL235" s="386">
        <f>LOOKUP(AL236,DevBdgt!$7:$7,DevBdgt!$6:$6)</f>
        <v>36</v>
      </c>
      <c r="AM235" s="386">
        <f>LOOKUP(AM236,DevBdgt!$7:$7,DevBdgt!$6:$6)</f>
        <v>37</v>
      </c>
      <c r="AN235" s="386">
        <f>LOOKUP(AN236,DevBdgt!$7:$7,DevBdgt!$6:$6)</f>
        <v>38</v>
      </c>
      <c r="AO235" s="386">
        <f>LOOKUP(AO236,DevBdgt!$7:$7,DevBdgt!$6:$6)</f>
        <v>39</v>
      </c>
      <c r="AP235" s="386">
        <f>LOOKUP(AP236,DevBdgt!$7:$7,DevBdgt!$6:$6)</f>
        <v>40</v>
      </c>
      <c r="AQ235" s="386">
        <f>LOOKUP(AQ236,DevBdgt!$7:$7,DevBdgt!$6:$6)</f>
        <v>41</v>
      </c>
      <c r="AR235" s="386">
        <f>LOOKUP(AR236,DevBdgt!$7:$7,DevBdgt!$6:$6)</f>
        <v>42</v>
      </c>
      <c r="AS235" s="386">
        <f>LOOKUP(AS236,DevBdgt!$7:$7,DevBdgt!$6:$6)</f>
        <v>43</v>
      </c>
      <c r="AT235" s="386">
        <f>LOOKUP(AT236,DevBdgt!$7:$7,DevBdgt!$6:$6)</f>
        <v>44</v>
      </c>
      <c r="AU235" s="386">
        <f>LOOKUP(AU236,DevBdgt!$7:$7,DevBdgt!$6:$6)</f>
        <v>45</v>
      </c>
      <c r="AV235" s="386">
        <f>LOOKUP(AV236,DevBdgt!$7:$7,DevBdgt!$6:$6)</f>
        <v>46</v>
      </c>
      <c r="AW235" s="386">
        <f>LOOKUP(AW236,DevBdgt!$7:$7,DevBdgt!$6:$6)</f>
        <v>47</v>
      </c>
      <c r="AX235" s="386">
        <f>LOOKUP(AX236,DevBdgt!$7:$7,DevBdgt!$6:$6)</f>
        <v>48</v>
      </c>
      <c r="AY235" s="386">
        <f>LOOKUP(AY236,DevBdgt!$7:$7,DevBdgt!$6:$6)</f>
        <v>49</v>
      </c>
      <c r="AZ235" s="386">
        <f>LOOKUP(AZ236,DevBdgt!$7:$7,DevBdgt!$6:$6)</f>
        <v>50</v>
      </c>
      <c r="BA235" s="386">
        <f>LOOKUP(BA236,DevBdgt!$7:$7,DevBdgt!$6:$6)</f>
        <v>51</v>
      </c>
      <c r="BB235" s="386">
        <f>LOOKUP(BB236,DevBdgt!$7:$7,DevBdgt!$6:$6)</f>
        <v>52</v>
      </c>
      <c r="BC235" s="386">
        <f>LOOKUP(BC236,DevBdgt!$7:$7,DevBdgt!$6:$6)</f>
        <v>53</v>
      </c>
      <c r="BD235" s="386">
        <f>LOOKUP(BD236,DevBdgt!$7:$7,DevBdgt!$6:$6)</f>
        <v>54</v>
      </c>
      <c r="BE235" s="386">
        <f>LOOKUP(BE236,DevBdgt!$7:$7,DevBdgt!$6:$6)</f>
        <v>55</v>
      </c>
      <c r="BF235" s="386">
        <f>LOOKUP(BF236,DevBdgt!$7:$7,DevBdgt!$6:$6)</f>
        <v>56</v>
      </c>
      <c r="BG235" s="386">
        <f>LOOKUP(BG236,DevBdgt!$7:$7,DevBdgt!$6:$6)</f>
        <v>57</v>
      </c>
      <c r="BH235" s="386">
        <f>LOOKUP(BH236,DevBdgt!$7:$7,DevBdgt!$6:$6)</f>
        <v>58</v>
      </c>
      <c r="BI235" s="386">
        <f>LOOKUP(BI236,DevBdgt!$7:$7,DevBdgt!$6:$6)</f>
        <v>59</v>
      </c>
      <c r="BJ235" s="386">
        <f>LOOKUP(BJ236,DevBdgt!$7:$7,DevBdgt!$6:$6)</f>
        <v>60</v>
      </c>
    </row>
    <row r="236" spans="1:62" ht="15" thickBot="1" x14ac:dyDescent="0.35">
      <c r="A236" s="387" t="s">
        <v>1954</v>
      </c>
      <c r="B236" s="387"/>
      <c r="C236" s="387">
        <f>ConstrStartDate</f>
        <v>46661</v>
      </c>
      <c r="D236" s="387">
        <f>EDATE(C236,1)</f>
        <v>46692</v>
      </c>
      <c r="E236" s="387">
        <f t="shared" ref="E236:AN236" si="50">EDATE(D236,1)</f>
        <v>46722</v>
      </c>
      <c r="F236" s="387">
        <f t="shared" si="50"/>
        <v>46753</v>
      </c>
      <c r="G236" s="387">
        <f t="shared" si="50"/>
        <v>46784</v>
      </c>
      <c r="H236" s="387">
        <f t="shared" si="50"/>
        <v>46813</v>
      </c>
      <c r="I236" s="387">
        <f t="shared" si="50"/>
        <v>46844</v>
      </c>
      <c r="J236" s="387">
        <f t="shared" si="50"/>
        <v>46874</v>
      </c>
      <c r="K236" s="387">
        <f t="shared" si="50"/>
        <v>46905</v>
      </c>
      <c r="L236" s="387">
        <f t="shared" si="50"/>
        <v>46935</v>
      </c>
      <c r="M236" s="387">
        <f t="shared" si="50"/>
        <v>46966</v>
      </c>
      <c r="N236" s="387">
        <f t="shared" si="50"/>
        <v>46997</v>
      </c>
      <c r="O236" s="387">
        <f t="shared" si="50"/>
        <v>47027</v>
      </c>
      <c r="P236" s="387">
        <f t="shared" si="50"/>
        <v>47058</v>
      </c>
      <c r="Q236" s="387">
        <f t="shared" si="50"/>
        <v>47088</v>
      </c>
      <c r="R236" s="387">
        <f t="shared" si="50"/>
        <v>47119</v>
      </c>
      <c r="S236" s="387">
        <f t="shared" si="50"/>
        <v>47150</v>
      </c>
      <c r="T236" s="387">
        <f t="shared" si="50"/>
        <v>47178</v>
      </c>
      <c r="U236" s="387">
        <f t="shared" si="50"/>
        <v>47209</v>
      </c>
      <c r="V236" s="387">
        <f t="shared" si="50"/>
        <v>47239</v>
      </c>
      <c r="W236" s="387">
        <f t="shared" si="50"/>
        <v>47270</v>
      </c>
      <c r="X236" s="387">
        <f t="shared" si="50"/>
        <v>47300</v>
      </c>
      <c r="Y236" s="387">
        <f t="shared" si="50"/>
        <v>47331</v>
      </c>
      <c r="Z236" s="387">
        <f t="shared" si="50"/>
        <v>47362</v>
      </c>
      <c r="AA236" s="387">
        <f t="shared" si="50"/>
        <v>47392</v>
      </c>
      <c r="AB236" s="387">
        <f t="shared" si="50"/>
        <v>47423</v>
      </c>
      <c r="AC236" s="387">
        <f t="shared" si="50"/>
        <v>47453</v>
      </c>
      <c r="AD236" s="387">
        <f t="shared" si="50"/>
        <v>47484</v>
      </c>
      <c r="AE236" s="387">
        <f t="shared" si="50"/>
        <v>47515</v>
      </c>
      <c r="AF236" s="387">
        <f t="shared" si="50"/>
        <v>47543</v>
      </c>
      <c r="AG236" s="387">
        <f t="shared" si="50"/>
        <v>47574</v>
      </c>
      <c r="AH236" s="387">
        <f t="shared" si="50"/>
        <v>47604</v>
      </c>
      <c r="AI236" s="387">
        <f t="shared" si="50"/>
        <v>47635</v>
      </c>
      <c r="AJ236" s="387">
        <f t="shared" si="50"/>
        <v>47665</v>
      </c>
      <c r="AK236" s="387">
        <f t="shared" si="50"/>
        <v>47696</v>
      </c>
      <c r="AL236" s="387">
        <f t="shared" si="50"/>
        <v>47727</v>
      </c>
      <c r="AM236" s="387">
        <f t="shared" si="50"/>
        <v>47757</v>
      </c>
      <c r="AN236" s="387">
        <f t="shared" si="50"/>
        <v>47788</v>
      </c>
      <c r="AO236" s="387">
        <f t="shared" ref="AO236:BJ236" si="51">EDATE(AN236,1)</f>
        <v>47818</v>
      </c>
      <c r="AP236" s="387">
        <f t="shared" si="51"/>
        <v>47849</v>
      </c>
      <c r="AQ236" s="387">
        <f t="shared" si="51"/>
        <v>47880</v>
      </c>
      <c r="AR236" s="387">
        <f t="shared" si="51"/>
        <v>47908</v>
      </c>
      <c r="AS236" s="387">
        <f t="shared" si="51"/>
        <v>47939</v>
      </c>
      <c r="AT236" s="387">
        <f t="shared" si="51"/>
        <v>47969</v>
      </c>
      <c r="AU236" s="387">
        <f t="shared" si="51"/>
        <v>48000</v>
      </c>
      <c r="AV236" s="387">
        <f t="shared" si="51"/>
        <v>48030</v>
      </c>
      <c r="AW236" s="387">
        <f t="shared" si="51"/>
        <v>48061</v>
      </c>
      <c r="AX236" s="387">
        <f t="shared" si="51"/>
        <v>48092</v>
      </c>
      <c r="AY236" s="387">
        <f t="shared" si="51"/>
        <v>48122</v>
      </c>
      <c r="AZ236" s="387">
        <f t="shared" si="51"/>
        <v>48153</v>
      </c>
      <c r="BA236" s="387">
        <f t="shared" si="51"/>
        <v>48183</v>
      </c>
      <c r="BB236" s="387">
        <f t="shared" si="51"/>
        <v>48214</v>
      </c>
      <c r="BC236" s="387">
        <f t="shared" si="51"/>
        <v>48245</v>
      </c>
      <c r="BD236" s="387">
        <f t="shared" si="51"/>
        <v>48274</v>
      </c>
      <c r="BE236" s="387">
        <f t="shared" si="51"/>
        <v>48305</v>
      </c>
      <c r="BF236" s="387">
        <f t="shared" si="51"/>
        <v>48335</v>
      </c>
      <c r="BG236" s="387">
        <f t="shared" si="51"/>
        <v>48366</v>
      </c>
      <c r="BH236" s="387">
        <f t="shared" si="51"/>
        <v>48396</v>
      </c>
      <c r="BI236" s="387">
        <f t="shared" si="51"/>
        <v>48427</v>
      </c>
      <c r="BJ236" s="387">
        <f t="shared" si="51"/>
        <v>48458</v>
      </c>
    </row>
    <row r="237" spans="1:62" ht="15" thickTop="1" x14ac:dyDescent="0.3">
      <c r="A237" s="945">
        <f>B242</f>
        <v>25</v>
      </c>
      <c r="C237" s="943">
        <f>+'Construction Curve'!D22</f>
        <v>1.7838367967777109E-3</v>
      </c>
      <c r="D237" s="943">
        <f>+'Construction Curve'!E22</f>
        <v>6.2567868610355548E-3</v>
      </c>
      <c r="E237" s="943">
        <f>+'Construction Curve'!F22</f>
        <v>1.072158401463873E-2</v>
      </c>
      <c r="F237" s="943">
        <f>+'Construction Curve'!G22</f>
        <v>1.9783107551358179E-2</v>
      </c>
      <c r="G237" s="943">
        <f>+'Construction Curve'!H22</f>
        <v>3.3819111569278471E-2</v>
      </c>
      <c r="H237" s="943">
        <f>+'Construction Curve'!I22</f>
        <v>3.488038348247556E-2</v>
      </c>
      <c r="I237" s="943">
        <f>+'Construction Curve'!J22</f>
        <v>4.51135059054181E-2</v>
      </c>
      <c r="J237" s="943">
        <f>+'Construction Curve'!K22</f>
        <v>5.39662230559394E-2</v>
      </c>
      <c r="K237" s="943">
        <f>+'Construction Curve'!L22</f>
        <v>5.7949826218219674E-2</v>
      </c>
      <c r="L237" s="943">
        <f>+'Construction Curve'!M22</f>
        <v>6.4788468477919026E-2</v>
      </c>
      <c r="M237" s="943">
        <f>+'Construction Curve'!N22</f>
        <v>6.8170401746178222E-2</v>
      </c>
      <c r="N237" s="943">
        <f>+'Construction Curve'!O22</f>
        <v>6.8691437271245659E-2</v>
      </c>
      <c r="O237" s="943">
        <f>+'Construction Curve'!P22</f>
        <v>6.4263914851491244E-2</v>
      </c>
      <c r="P237" s="943">
        <f>+'Construction Curve'!Q22</f>
        <v>6.2182678934341928E-2</v>
      </c>
      <c r="Q237" s="943">
        <f>+'Construction Curve'!R22</f>
        <v>6.0969864697935416E-2</v>
      </c>
      <c r="R237" s="943">
        <f>+'Construction Curve'!S22</f>
        <v>5.5680553996835136E-2</v>
      </c>
      <c r="S237" s="943">
        <f>+'Construction Curve'!T22</f>
        <v>4.9811874136302836E-2</v>
      </c>
      <c r="T237" s="943">
        <f>+'Construction Curve'!U22</f>
        <v>4.9809421321176828E-2</v>
      </c>
      <c r="U237" s="943">
        <f>+'Construction Curve'!V22</f>
        <v>4.6252188046931431E-2</v>
      </c>
      <c r="V237" s="943">
        <f>+'Construction Curve'!W22</f>
        <v>3.884591020288386E-2</v>
      </c>
      <c r="W237" s="943">
        <f>+'Construction Curve'!X22</f>
        <v>3.3307656764089866E-2</v>
      </c>
      <c r="X237" s="943">
        <f>+'Construction Curve'!Y22</f>
        <v>2.8129859163246396E-2</v>
      </c>
      <c r="Y237" s="943">
        <f>+'Construction Curve'!Z22</f>
        <v>1.9317456626116725E-2</v>
      </c>
      <c r="Z237" s="943">
        <f>+'Construction Curve'!AA22</f>
        <v>1.557576171286712E-2</v>
      </c>
      <c r="AA237" s="943">
        <f>+'Construction Curve'!AB22</f>
        <v>9.9281865952969284E-3</v>
      </c>
      <c r="AB237" s="943">
        <f>+'Construction Curve'!AC22</f>
        <v>0</v>
      </c>
      <c r="AC237" s="943">
        <f>+'Construction Curve'!AD22</f>
        <v>0</v>
      </c>
      <c r="AD237" s="943">
        <f>+'Construction Curve'!AE22</f>
        <v>0</v>
      </c>
      <c r="AE237" s="943">
        <f>+'Construction Curve'!AF22</f>
        <v>0</v>
      </c>
      <c r="AF237" s="943">
        <f>+'Construction Curve'!AG22</f>
        <v>0</v>
      </c>
      <c r="AG237" s="943">
        <f>+'Construction Curve'!AH22</f>
        <v>0</v>
      </c>
      <c r="AH237" s="943">
        <f>+'Construction Curve'!AI22</f>
        <v>0</v>
      </c>
      <c r="AI237" s="943">
        <f>+'Construction Curve'!AJ22</f>
        <v>0</v>
      </c>
      <c r="AJ237" s="943">
        <f>+'Construction Curve'!AK22</f>
        <v>0</v>
      </c>
      <c r="AK237" s="943">
        <f>+'Construction Curve'!AL22</f>
        <v>0</v>
      </c>
      <c r="AL237" s="943">
        <f>+'Construction Curve'!AM22</f>
        <v>0</v>
      </c>
      <c r="AM237" s="943">
        <f>+'Construction Curve'!AN22</f>
        <v>0</v>
      </c>
      <c r="AN237" s="943">
        <f>+'Construction Curve'!AO22</f>
        <v>0</v>
      </c>
      <c r="AO237" s="943">
        <f>+'Construction Curve'!AP22</f>
        <v>0</v>
      </c>
      <c r="AP237" s="943">
        <f>+'Construction Curve'!AQ22</f>
        <v>0</v>
      </c>
      <c r="AQ237" s="943">
        <f>+'Construction Curve'!AR22</f>
        <v>0</v>
      </c>
      <c r="AR237" s="943">
        <f>+'Construction Curve'!AS22</f>
        <v>0</v>
      </c>
      <c r="AS237" s="943">
        <f>+'Construction Curve'!AT22</f>
        <v>0</v>
      </c>
      <c r="AT237" s="943">
        <f>+'Construction Curve'!AU22</f>
        <v>0</v>
      </c>
      <c r="AU237" s="943">
        <f>+'Construction Curve'!AV22</f>
        <v>0</v>
      </c>
      <c r="AV237" s="943">
        <f>+'Construction Curve'!AW22</f>
        <v>0</v>
      </c>
      <c r="AW237" s="943">
        <f>+'Construction Curve'!AX22</f>
        <v>0</v>
      </c>
      <c r="AX237" s="943">
        <f>+'Construction Curve'!AY22</f>
        <v>0</v>
      </c>
      <c r="AY237" s="943">
        <f>+'Construction Curve'!AZ22</f>
        <v>0</v>
      </c>
      <c r="AZ237" s="943">
        <f>+'Construction Curve'!BA22</f>
        <v>0</v>
      </c>
      <c r="BA237" s="943">
        <f>+'Construction Curve'!BB22</f>
        <v>0</v>
      </c>
      <c r="BB237" s="943">
        <f>+'Construction Curve'!BC22</f>
        <v>0</v>
      </c>
      <c r="BC237" s="943">
        <f>+'Construction Curve'!BD22</f>
        <v>0</v>
      </c>
      <c r="BD237" s="943">
        <f>+'Construction Curve'!BE22</f>
        <v>0</v>
      </c>
      <c r="BE237" s="943">
        <f>+'Construction Curve'!BF22</f>
        <v>0</v>
      </c>
      <c r="BF237" s="943">
        <f>+'Construction Curve'!BG22</f>
        <v>0</v>
      </c>
      <c r="BG237" s="943">
        <f>+'Construction Curve'!BH22</f>
        <v>0</v>
      </c>
      <c r="BH237" s="943">
        <f>+'Construction Curve'!BI22</f>
        <v>0</v>
      </c>
      <c r="BI237" s="943">
        <f>+'Construction Curve'!BJ22</f>
        <v>0</v>
      </c>
      <c r="BJ237" s="943">
        <f>+'Construction Curve'!BK22</f>
        <v>0</v>
      </c>
    </row>
    <row r="238" spans="1:62" ht="15.6" x14ac:dyDescent="0.3">
      <c r="A238" s="946" t="str">
        <f>IF(COUNTIFS(C237:BJ237,"&gt;0")&lt;&gt;A237,"Corrective Action Required!  Input the correct construction period relating to the manually input curve.",IF(SUM($C$237:$BJ$237,$G$48)&lt;&gt;1,"Corrective Action Required!  Construction Curve does not = 100%!",""))</f>
        <v/>
      </c>
      <c r="B238" s="351"/>
      <c r="C238" s="351"/>
      <c r="D238" s="351"/>
      <c r="E238" s="351"/>
      <c r="F238" s="351"/>
      <c r="G238" s="351"/>
      <c r="H238" s="351"/>
      <c r="I238" s="351"/>
      <c r="J238" s="351"/>
      <c r="K238" s="351"/>
      <c r="L238" s="351"/>
      <c r="M238" s="351"/>
      <c r="N238" s="351"/>
      <c r="O238" s="351"/>
      <c r="P238" s="946" t="s">
        <v>1955</v>
      </c>
      <c r="Q238" s="351"/>
      <c r="R238" s="351"/>
      <c r="S238" s="351"/>
      <c r="T238" s="351"/>
      <c r="U238" s="351"/>
      <c r="V238" s="351"/>
      <c r="W238" s="351"/>
      <c r="X238" s="351"/>
      <c r="Y238" s="351"/>
      <c r="Z238" s="351"/>
      <c r="AA238" s="351"/>
      <c r="AB238" s="351"/>
      <c r="AC238" s="351"/>
      <c r="AD238" s="351"/>
      <c r="AE238" s="351"/>
      <c r="AF238" s="351"/>
      <c r="AG238" s="351"/>
      <c r="AH238" s="351"/>
      <c r="AI238" s="351"/>
      <c r="AJ238" s="351"/>
      <c r="AK238" s="351"/>
      <c r="AL238" s="351"/>
      <c r="AM238" s="351"/>
      <c r="AN238" s="351"/>
      <c r="AO238" s="351"/>
      <c r="AP238" s="351"/>
      <c r="AQ238" s="351"/>
      <c r="AR238" s="351"/>
      <c r="AS238" s="351"/>
      <c r="AT238" s="351"/>
      <c r="AU238" s="351"/>
      <c r="AV238" s="351"/>
      <c r="AW238" s="351"/>
      <c r="AX238" s="351"/>
      <c r="AY238" s="351"/>
      <c r="AZ238" s="351"/>
      <c r="BA238" s="351"/>
      <c r="BB238" s="351"/>
      <c r="BC238" s="351"/>
      <c r="BD238" s="351"/>
      <c r="BE238" s="351"/>
      <c r="BF238" s="351"/>
      <c r="BG238" s="351"/>
      <c r="BH238" s="351"/>
      <c r="BI238" s="351"/>
      <c r="BJ238" s="351"/>
    </row>
    <row r="239" spans="1:62" x14ac:dyDescent="0.3">
      <c r="A239" s="351"/>
      <c r="B239" s="351"/>
      <c r="C239" s="351"/>
      <c r="D239" s="351"/>
      <c r="E239" s="351"/>
      <c r="F239" s="351"/>
      <c r="G239" s="351"/>
      <c r="H239" s="351"/>
      <c r="I239" s="351"/>
      <c r="J239" s="351"/>
      <c r="K239" s="351"/>
      <c r="L239" s="351"/>
      <c r="M239" s="351"/>
      <c r="N239" s="351"/>
      <c r="O239" s="351"/>
      <c r="P239" s="351"/>
      <c r="Q239" s="351"/>
      <c r="R239" s="351"/>
      <c r="S239" s="351"/>
      <c r="T239" s="351"/>
      <c r="U239" s="351"/>
      <c r="V239" s="351"/>
      <c r="W239" s="351"/>
      <c r="X239" s="351"/>
      <c r="Y239" s="351"/>
      <c r="Z239" s="351"/>
      <c r="AA239" s="351"/>
      <c r="AB239" s="351"/>
      <c r="AC239" s="351"/>
      <c r="AD239" s="351"/>
      <c r="AE239" s="351"/>
      <c r="AF239" s="351"/>
      <c r="AG239" s="351"/>
      <c r="AH239" s="351"/>
      <c r="AI239" s="351"/>
      <c r="AJ239" s="351"/>
      <c r="AK239" s="351"/>
      <c r="AL239" s="351"/>
      <c r="AM239" s="351"/>
      <c r="AN239" s="351"/>
      <c r="AO239" s="351"/>
      <c r="AP239" s="351"/>
      <c r="AQ239" s="351"/>
      <c r="AR239" s="351"/>
      <c r="AS239" s="351"/>
      <c r="AT239" s="351"/>
      <c r="AU239" s="351"/>
      <c r="AV239" s="351"/>
      <c r="AW239" s="351"/>
      <c r="AX239" s="351"/>
      <c r="AY239" s="351"/>
      <c r="AZ239" s="351"/>
      <c r="BA239" s="351"/>
      <c r="BB239" s="351"/>
      <c r="BC239" s="351"/>
      <c r="BD239" s="351"/>
      <c r="BE239" s="351"/>
      <c r="BF239" s="351"/>
      <c r="BG239" s="351"/>
      <c r="BH239" s="351"/>
      <c r="BI239" s="351"/>
      <c r="BJ239" s="351"/>
    </row>
    <row r="240" spans="1:62" s="939" customFormat="1" hidden="1" outlineLevel="1" x14ac:dyDescent="0.3">
      <c r="B240" s="940" t="s">
        <v>1956</v>
      </c>
      <c r="C240" s="941">
        <f>COLUMNS($B240:C240) - 1</f>
        <v>1</v>
      </c>
      <c r="D240" s="941">
        <f>COLUMNS($B240:D240) - 1</f>
        <v>2</v>
      </c>
      <c r="E240" s="941">
        <f>COLUMNS($B240:E240) - 1</f>
        <v>3</v>
      </c>
      <c r="F240" s="941">
        <f>COLUMNS($B240:F240) - 1</f>
        <v>4</v>
      </c>
      <c r="G240" s="941">
        <f>COLUMNS($B240:G240) - 1</f>
        <v>5</v>
      </c>
      <c r="H240" s="941">
        <f>COLUMNS($B240:H240) - 1</f>
        <v>6</v>
      </c>
      <c r="I240" s="941">
        <f>COLUMNS($B240:I240) - 1</f>
        <v>7</v>
      </c>
      <c r="J240" s="941">
        <f>COLUMNS($B240:J240) - 1</f>
        <v>8</v>
      </c>
      <c r="K240" s="941">
        <f>COLUMNS($B240:K240) - 1</f>
        <v>9</v>
      </c>
      <c r="L240" s="941">
        <f>COLUMNS($B240:L240) - 1</f>
        <v>10</v>
      </c>
      <c r="M240" s="941">
        <f>COLUMNS($B240:M240) - 1</f>
        <v>11</v>
      </c>
      <c r="N240" s="941">
        <f>COLUMNS($B240:N240) - 1</f>
        <v>12</v>
      </c>
      <c r="O240" s="941">
        <f>COLUMNS($B240:O240) - 1</f>
        <v>13</v>
      </c>
      <c r="P240" s="941">
        <f>COLUMNS($B240:P240) - 1</f>
        <v>14</v>
      </c>
      <c r="Q240" s="941">
        <f>COLUMNS($B240:Q240) - 1</f>
        <v>15</v>
      </c>
      <c r="R240" s="941">
        <f>COLUMNS($B240:R240) - 1</f>
        <v>16</v>
      </c>
      <c r="S240" s="941">
        <f>COLUMNS($B240:S240) - 1</f>
        <v>17</v>
      </c>
      <c r="T240" s="941">
        <f>COLUMNS($B240:T240) - 1</f>
        <v>18</v>
      </c>
      <c r="U240" s="941">
        <f>COLUMNS($B240:U240) - 1</f>
        <v>19</v>
      </c>
      <c r="V240" s="941">
        <f>COLUMNS($B240:V240) - 1</f>
        <v>20</v>
      </c>
      <c r="W240" s="941">
        <f>COLUMNS($B240:W240) - 1</f>
        <v>21</v>
      </c>
      <c r="X240" s="941">
        <f>COLUMNS($B240:X240) - 1</f>
        <v>22</v>
      </c>
      <c r="Y240" s="941">
        <f>COLUMNS($B240:Y240) - 1</f>
        <v>23</v>
      </c>
      <c r="Z240" s="941">
        <f>COLUMNS($B240:Z240) - 1</f>
        <v>24</v>
      </c>
      <c r="AA240" s="941">
        <f>COLUMNS($B240:AA240) - 1</f>
        <v>25</v>
      </c>
      <c r="AB240" s="941">
        <f>COLUMNS($B240:AB240) - 1</f>
        <v>26</v>
      </c>
      <c r="AC240" s="941">
        <f>COLUMNS($B240:AC240) - 1</f>
        <v>27</v>
      </c>
      <c r="AD240" s="941">
        <f>COLUMNS($B240:AD240) - 1</f>
        <v>28</v>
      </c>
      <c r="AE240" s="941">
        <f>COLUMNS($B240:AE240) - 1</f>
        <v>29</v>
      </c>
      <c r="AF240" s="941">
        <f>COLUMNS($B240:AF240) - 1</f>
        <v>30</v>
      </c>
      <c r="AG240" s="941">
        <f>COLUMNS($B240:AG240) - 1</f>
        <v>31</v>
      </c>
      <c r="AH240" s="941">
        <f>COLUMNS($B240:AH240) - 1</f>
        <v>32</v>
      </c>
      <c r="AI240" s="941">
        <f>COLUMNS($B240:AI240) - 1</f>
        <v>33</v>
      </c>
      <c r="AJ240" s="941">
        <f>COLUMNS($B240:AJ240) - 1</f>
        <v>34</v>
      </c>
      <c r="AK240" s="941">
        <f>COLUMNS($B240:AK240) - 1</f>
        <v>35</v>
      </c>
      <c r="AL240" s="941">
        <f>COLUMNS($B240:AL240) - 1</f>
        <v>36</v>
      </c>
      <c r="AM240" s="941">
        <f>COLUMNS($B240:AM240) - 1</f>
        <v>37</v>
      </c>
      <c r="AN240" s="941">
        <f>COLUMNS($B240:AN240) - 1</f>
        <v>38</v>
      </c>
      <c r="AO240" s="941">
        <f>COLUMNS($B240:AO240) - 1</f>
        <v>39</v>
      </c>
      <c r="AP240" s="941">
        <f>COLUMNS($B240:AP240) - 1</f>
        <v>40</v>
      </c>
      <c r="AQ240" s="941">
        <f>COLUMNS($B240:AQ240) - 1</f>
        <v>41</v>
      </c>
      <c r="AR240" s="941">
        <f>COLUMNS($B240:AR240) - 1</f>
        <v>42</v>
      </c>
      <c r="AS240" s="941">
        <f>COLUMNS($B240:AS240) - 1</f>
        <v>43</v>
      </c>
      <c r="AT240" s="941">
        <f>COLUMNS($B240:AT240) - 1</f>
        <v>44</v>
      </c>
      <c r="AU240" s="941">
        <f>COLUMNS($B240:AU240) - 1</f>
        <v>45</v>
      </c>
      <c r="AV240" s="941">
        <f>COLUMNS($B240:AV240) - 1</f>
        <v>46</v>
      </c>
      <c r="AW240" s="941">
        <f>COLUMNS($B240:AW240) - 1</f>
        <v>47</v>
      </c>
      <c r="AX240" s="941">
        <f>COLUMNS($B240:AX240) - 1</f>
        <v>48</v>
      </c>
      <c r="AY240" s="941">
        <f>COLUMNS($B240:AY240) - 1</f>
        <v>49</v>
      </c>
      <c r="AZ240" s="941">
        <f>COLUMNS($B240:AZ240) - 1</f>
        <v>50</v>
      </c>
      <c r="BA240" s="941">
        <f>COLUMNS($B240:BA240) - 1</f>
        <v>51</v>
      </c>
      <c r="BB240" s="941">
        <f>COLUMNS($B240:BB240) - 1</f>
        <v>52</v>
      </c>
      <c r="BC240" s="941">
        <f>COLUMNS($B240:BC240) - 1</f>
        <v>53</v>
      </c>
      <c r="BD240" s="941">
        <f>COLUMNS($B240:BD240) - 1</f>
        <v>54</v>
      </c>
      <c r="BE240" s="941">
        <f>COLUMNS($B240:BE240) - 1</f>
        <v>55</v>
      </c>
      <c r="BF240" s="941">
        <f>COLUMNS($B240:BF240) - 1</f>
        <v>56</v>
      </c>
      <c r="BG240" s="941">
        <f>COLUMNS($B240:BG240) - 1</f>
        <v>57</v>
      </c>
      <c r="BH240" s="941">
        <f>COLUMNS($B240:BH240) - 1</f>
        <v>58</v>
      </c>
      <c r="BI240" s="941">
        <f>COLUMNS($B240:BI240) - 1</f>
        <v>59</v>
      </c>
      <c r="BJ240" s="941">
        <f>COLUMNS($B240:BJ240) - 1</f>
        <v>60</v>
      </c>
    </row>
    <row r="241" spans="1:62" s="939" customFormat="1" hidden="1" outlineLevel="1" x14ac:dyDescent="0.3">
      <c r="B241" s="940" t="s">
        <v>1957</v>
      </c>
      <c r="C241" s="942">
        <f>IF(C240&gt;$B$242,0,IF((C240/$B$242)&gt;1, NA(), 10*(C240/$B$242)^2 * (1 - (C240/$B$242))^2 * ($C$245 + $D$245*(C240/$B$242)) + (C240/$B$242)^4 * (5 - 4*(C240/$B$242))))</f>
        <v>3.4333695999999997E-3</v>
      </c>
      <c r="D241" s="942">
        <f t="shared" ref="D241:AH241" si="52">IF(D240&gt;$B$242,0,IF((D240/$B$242)&gt;1, NA(), 10*(D240/$B$242)^2 * (1 - (D240/$B$242))^2 * ($C$245 + $D$245*(D240/$B$242)) + (D240/$B$242)^4 * (5 - 4*(D240/$B$242))))</f>
        <v>1.4492467200000003E-2</v>
      </c>
      <c r="E241" s="942">
        <f t="shared" si="52"/>
        <v>3.3945292800000006E-2</v>
      </c>
      <c r="F241" s="942">
        <f t="shared" si="52"/>
        <v>6.2105190399999996E-2</v>
      </c>
      <c r="G241" s="942">
        <f t="shared" si="52"/>
        <v>9.8880000000000051E-2</v>
      </c>
      <c r="H241" s="942">
        <f t="shared" si="52"/>
        <v>0.1438212096</v>
      </c>
      <c r="I241" s="942">
        <f t="shared" si="52"/>
        <v>0.19617310720000006</v>
      </c>
      <c r="J241" s="942">
        <f t="shared" si="52"/>
        <v>0.25492193279999997</v>
      </c>
      <c r="K241" s="942">
        <f t="shared" si="52"/>
        <v>0.31884503039999995</v>
      </c>
      <c r="L241" s="942">
        <f t="shared" si="52"/>
        <v>0.38656000000000013</v>
      </c>
      <c r="M241" s="942">
        <f t="shared" si="52"/>
        <v>0.45657384960000008</v>
      </c>
      <c r="N241" s="942">
        <f t="shared" si="52"/>
        <v>0.5273321472000001</v>
      </c>
      <c r="O241" s="942">
        <f t="shared" si="52"/>
        <v>0.59726817280000011</v>
      </c>
      <c r="P241" s="942">
        <f t="shared" si="52"/>
        <v>0.66485207040000016</v>
      </c>
      <c r="Q241" s="942">
        <f t="shared" si="52"/>
        <v>0.72863999999999995</v>
      </c>
      <c r="R241" s="942">
        <f t="shared" si="52"/>
        <v>0.78732328959999998</v>
      </c>
      <c r="S241" s="942">
        <f t="shared" si="52"/>
        <v>0.83977758719999995</v>
      </c>
      <c r="T241" s="942">
        <f t="shared" si="52"/>
        <v>0.88511201279999985</v>
      </c>
      <c r="U241" s="942">
        <f t="shared" si="52"/>
        <v>0.92271831040000007</v>
      </c>
      <c r="V241" s="942">
        <f t="shared" si="52"/>
        <v>0.95232000000000017</v>
      </c>
      <c r="W241" s="942">
        <f t="shared" si="52"/>
        <v>0.97402152959999999</v>
      </c>
      <c r="X241" s="942">
        <f t="shared" si="52"/>
        <v>0.98835742720000008</v>
      </c>
      <c r="Y241" s="942">
        <f t="shared" si="52"/>
        <v>0.99634145279999997</v>
      </c>
      <c r="Z241" s="942">
        <f t="shared" si="52"/>
        <v>0.99951575040000007</v>
      </c>
      <c r="AA241" s="942">
        <f t="shared" si="52"/>
        <v>1</v>
      </c>
      <c r="AB241" s="942">
        <f t="shared" si="52"/>
        <v>0</v>
      </c>
      <c r="AC241" s="942">
        <f t="shared" si="52"/>
        <v>0</v>
      </c>
      <c r="AD241" s="942">
        <f t="shared" si="52"/>
        <v>0</v>
      </c>
      <c r="AE241" s="942">
        <f t="shared" si="52"/>
        <v>0</v>
      </c>
      <c r="AF241" s="942">
        <f t="shared" si="52"/>
        <v>0</v>
      </c>
      <c r="AG241" s="942">
        <f t="shared" si="52"/>
        <v>0</v>
      </c>
      <c r="AH241" s="942">
        <f t="shared" si="52"/>
        <v>0</v>
      </c>
      <c r="AI241" s="942">
        <f t="shared" ref="AI241:BJ241" si="53">IF(AI240&gt;$B$242,0,IF((AI240/$B$242)&gt;1, NA(), 10*(AI240/$B$242)^2 * (1 - (AI240/$B$242))^2 * ($C$245 + $D$245*(AI240/$B$242)) + (AI240/$B$242)^4 * (5 - 4*(AI240/$B$242))))</f>
        <v>0</v>
      </c>
      <c r="AJ241" s="942">
        <f t="shared" si="53"/>
        <v>0</v>
      </c>
      <c r="AK241" s="942">
        <f t="shared" si="53"/>
        <v>0</v>
      </c>
      <c r="AL241" s="942">
        <f t="shared" si="53"/>
        <v>0</v>
      </c>
      <c r="AM241" s="942">
        <f t="shared" si="53"/>
        <v>0</v>
      </c>
      <c r="AN241" s="942">
        <f t="shared" si="53"/>
        <v>0</v>
      </c>
      <c r="AO241" s="942">
        <f t="shared" si="53"/>
        <v>0</v>
      </c>
      <c r="AP241" s="942">
        <f t="shared" si="53"/>
        <v>0</v>
      </c>
      <c r="AQ241" s="942">
        <f t="shared" si="53"/>
        <v>0</v>
      </c>
      <c r="AR241" s="942">
        <f t="shared" si="53"/>
        <v>0</v>
      </c>
      <c r="AS241" s="942">
        <f t="shared" si="53"/>
        <v>0</v>
      </c>
      <c r="AT241" s="942">
        <f t="shared" si="53"/>
        <v>0</v>
      </c>
      <c r="AU241" s="942">
        <f t="shared" si="53"/>
        <v>0</v>
      </c>
      <c r="AV241" s="942">
        <f t="shared" si="53"/>
        <v>0</v>
      </c>
      <c r="AW241" s="942">
        <f t="shared" si="53"/>
        <v>0</v>
      </c>
      <c r="AX241" s="942">
        <f t="shared" si="53"/>
        <v>0</v>
      </c>
      <c r="AY241" s="942">
        <f t="shared" si="53"/>
        <v>0</v>
      </c>
      <c r="AZ241" s="942">
        <f t="shared" si="53"/>
        <v>0</v>
      </c>
      <c r="BA241" s="942">
        <f t="shared" si="53"/>
        <v>0</v>
      </c>
      <c r="BB241" s="942">
        <f t="shared" si="53"/>
        <v>0</v>
      </c>
      <c r="BC241" s="942">
        <f t="shared" si="53"/>
        <v>0</v>
      </c>
      <c r="BD241" s="942">
        <f t="shared" si="53"/>
        <v>0</v>
      </c>
      <c r="BE241" s="942">
        <f t="shared" si="53"/>
        <v>0</v>
      </c>
      <c r="BF241" s="942">
        <f t="shared" si="53"/>
        <v>0</v>
      </c>
      <c r="BG241" s="942">
        <f t="shared" si="53"/>
        <v>0</v>
      </c>
      <c r="BH241" s="942">
        <f t="shared" si="53"/>
        <v>0</v>
      </c>
      <c r="BI241" s="942">
        <f t="shared" si="53"/>
        <v>0</v>
      </c>
      <c r="BJ241" s="942">
        <f t="shared" si="53"/>
        <v>0</v>
      </c>
    </row>
    <row r="242" spans="1:62" s="939" customFormat="1" hidden="1" outlineLevel="1" x14ac:dyDescent="0.3">
      <c r="B242" s="508">
        <f>ConstPeriod</f>
        <v>25</v>
      </c>
      <c r="C242" s="942">
        <f>IF(C240&gt;$B$242,0,C241-N(B241))</f>
        <v>3.4333695999999997E-3</v>
      </c>
      <c r="D242" s="942">
        <f t="shared" ref="D242:AH242" si="54">IF(D240&gt;$B$242,0,D241-N(C241))</f>
        <v>1.1059097600000003E-2</v>
      </c>
      <c r="E242" s="942">
        <f t="shared" si="54"/>
        <v>1.9452825600000001E-2</v>
      </c>
      <c r="F242" s="942">
        <f t="shared" si="54"/>
        <v>2.815989759999999E-2</v>
      </c>
      <c r="G242" s="942">
        <f t="shared" si="54"/>
        <v>3.6774809600000055E-2</v>
      </c>
      <c r="H242" s="942">
        <f t="shared" si="54"/>
        <v>4.4941209599999948E-2</v>
      </c>
      <c r="I242" s="942">
        <f t="shared" si="54"/>
        <v>5.2351897600000058E-2</v>
      </c>
      <c r="J242" s="942">
        <f t="shared" si="54"/>
        <v>5.8748825599999915E-2</v>
      </c>
      <c r="K242" s="942">
        <f t="shared" si="54"/>
        <v>6.3923097599999978E-2</v>
      </c>
      <c r="L242" s="942">
        <f t="shared" si="54"/>
        <v>6.7714969600000174E-2</v>
      </c>
      <c r="M242" s="942">
        <f t="shared" si="54"/>
        <v>7.0013849599999955E-2</v>
      </c>
      <c r="N242" s="942">
        <f t="shared" si="54"/>
        <v>7.075829760000002E-2</v>
      </c>
      <c r="O242" s="942">
        <f t="shared" si="54"/>
        <v>6.9936025600000007E-2</v>
      </c>
      <c r="P242" s="942">
        <f t="shared" si="54"/>
        <v>6.7583897600000054E-2</v>
      </c>
      <c r="Q242" s="942">
        <f t="shared" si="54"/>
        <v>6.3787929599999793E-2</v>
      </c>
      <c r="R242" s="942">
        <f t="shared" si="54"/>
        <v>5.8683289600000021E-2</v>
      </c>
      <c r="S242" s="942">
        <f t="shared" si="54"/>
        <v>5.2454297599999977E-2</v>
      </c>
      <c r="T242" s="942">
        <f t="shared" si="54"/>
        <v>4.5334425599999895E-2</v>
      </c>
      <c r="U242" s="942">
        <f t="shared" si="54"/>
        <v>3.7606297600000227E-2</v>
      </c>
      <c r="V242" s="942">
        <f t="shared" si="54"/>
        <v>2.9601689600000092E-2</v>
      </c>
      <c r="W242" s="942">
        <f t="shared" si="54"/>
        <v>2.1701529599999825E-2</v>
      </c>
      <c r="X242" s="942">
        <f t="shared" si="54"/>
        <v>1.4335897600000092E-2</v>
      </c>
      <c r="Y242" s="942">
        <f t="shared" si="54"/>
        <v>7.9840255999998888E-3</v>
      </c>
      <c r="Z242" s="942">
        <f t="shared" si="54"/>
        <v>3.1742976000000978E-3</v>
      </c>
      <c r="AA242" s="942">
        <f t="shared" si="54"/>
        <v>4.8424959999993078E-4</v>
      </c>
      <c r="AB242" s="942">
        <f t="shared" si="54"/>
        <v>0</v>
      </c>
      <c r="AC242" s="942">
        <f t="shared" si="54"/>
        <v>0</v>
      </c>
      <c r="AD242" s="942">
        <f t="shared" si="54"/>
        <v>0</v>
      </c>
      <c r="AE242" s="942">
        <f t="shared" si="54"/>
        <v>0</v>
      </c>
      <c r="AF242" s="942">
        <f t="shared" si="54"/>
        <v>0</v>
      </c>
      <c r="AG242" s="942">
        <f t="shared" si="54"/>
        <v>0</v>
      </c>
      <c r="AH242" s="942">
        <f t="shared" si="54"/>
        <v>0</v>
      </c>
      <c r="AI242" s="942">
        <f t="shared" ref="AI242:BJ242" si="55">IF(AI240&gt;$B$242,0,AI241-N(AH241))</f>
        <v>0</v>
      </c>
      <c r="AJ242" s="942">
        <f t="shared" si="55"/>
        <v>0</v>
      </c>
      <c r="AK242" s="942">
        <f t="shared" si="55"/>
        <v>0</v>
      </c>
      <c r="AL242" s="942">
        <f t="shared" si="55"/>
        <v>0</v>
      </c>
      <c r="AM242" s="942">
        <f t="shared" si="55"/>
        <v>0</v>
      </c>
      <c r="AN242" s="942">
        <f t="shared" si="55"/>
        <v>0</v>
      </c>
      <c r="AO242" s="942">
        <f t="shared" si="55"/>
        <v>0</v>
      </c>
      <c r="AP242" s="942">
        <f t="shared" si="55"/>
        <v>0</v>
      </c>
      <c r="AQ242" s="942">
        <f t="shared" si="55"/>
        <v>0</v>
      </c>
      <c r="AR242" s="942">
        <f t="shared" si="55"/>
        <v>0</v>
      </c>
      <c r="AS242" s="942">
        <f t="shared" si="55"/>
        <v>0</v>
      </c>
      <c r="AT242" s="942">
        <f t="shared" si="55"/>
        <v>0</v>
      </c>
      <c r="AU242" s="942">
        <f t="shared" si="55"/>
        <v>0</v>
      </c>
      <c r="AV242" s="942">
        <f t="shared" si="55"/>
        <v>0</v>
      </c>
      <c r="AW242" s="942">
        <f t="shared" si="55"/>
        <v>0</v>
      </c>
      <c r="AX242" s="942">
        <f t="shared" si="55"/>
        <v>0</v>
      </c>
      <c r="AY242" s="942">
        <f t="shared" si="55"/>
        <v>0</v>
      </c>
      <c r="AZ242" s="942">
        <f t="shared" si="55"/>
        <v>0</v>
      </c>
      <c r="BA242" s="942">
        <f t="shared" si="55"/>
        <v>0</v>
      </c>
      <c r="BB242" s="942">
        <f t="shared" si="55"/>
        <v>0</v>
      </c>
      <c r="BC242" s="942">
        <f t="shared" si="55"/>
        <v>0</v>
      </c>
      <c r="BD242" s="942">
        <f t="shared" si="55"/>
        <v>0</v>
      </c>
      <c r="BE242" s="942">
        <f t="shared" si="55"/>
        <v>0</v>
      </c>
      <c r="BF242" s="942">
        <f t="shared" si="55"/>
        <v>0</v>
      </c>
      <c r="BG242" s="942">
        <f t="shared" si="55"/>
        <v>0</v>
      </c>
      <c r="BH242" s="942">
        <f t="shared" si="55"/>
        <v>0</v>
      </c>
      <c r="BI242" s="942">
        <f t="shared" si="55"/>
        <v>0</v>
      </c>
      <c r="BJ242" s="942">
        <f t="shared" si="55"/>
        <v>0</v>
      </c>
    </row>
    <row r="243" spans="1:62" hidden="1" outlineLevel="1" x14ac:dyDescent="0.3">
      <c r="A243" s="351"/>
      <c r="B243" s="351"/>
      <c r="C243" s="351"/>
      <c r="D243" s="351"/>
      <c r="E243" s="351"/>
      <c r="F243" s="351"/>
      <c r="G243" s="351"/>
      <c r="H243" s="351"/>
      <c r="I243" s="351"/>
      <c r="J243" s="351"/>
      <c r="K243" s="351"/>
      <c r="L243" s="351"/>
      <c r="M243" s="351"/>
      <c r="N243" s="351"/>
      <c r="O243" s="351"/>
      <c r="P243" s="351"/>
      <c r="Q243" s="351"/>
      <c r="R243" s="351"/>
      <c r="S243" s="351"/>
      <c r="T243" s="351"/>
      <c r="U243" s="351"/>
      <c r="V243" s="351"/>
      <c r="W243" s="351"/>
      <c r="X243" s="351"/>
      <c r="Y243" s="351"/>
      <c r="Z243" s="351"/>
      <c r="AA243" s="351"/>
      <c r="AB243" s="351"/>
      <c r="AC243" s="351"/>
      <c r="AD243" s="351"/>
      <c r="AE243" s="351"/>
      <c r="AF243" s="351"/>
      <c r="AG243" s="351"/>
      <c r="AH243" s="351"/>
      <c r="AI243" s="351"/>
      <c r="AJ243" s="351"/>
      <c r="AK243" s="351"/>
      <c r="AL243" s="351"/>
      <c r="AM243" s="351"/>
      <c r="AN243" s="351"/>
      <c r="AO243" s="351"/>
      <c r="AP243" s="351"/>
      <c r="AQ243" s="351"/>
      <c r="AR243" s="351"/>
      <c r="AS243" s="351"/>
      <c r="AT243" s="351"/>
      <c r="AU243" s="351"/>
      <c r="AV243" s="351"/>
      <c r="AW243" s="351"/>
      <c r="AX243" s="351"/>
      <c r="AY243" s="351"/>
      <c r="AZ243" s="351"/>
      <c r="BA243" s="351"/>
      <c r="BB243" s="351"/>
      <c r="BC243" s="351"/>
      <c r="BD243" s="351"/>
      <c r="BE243" s="351"/>
      <c r="BF243" s="351"/>
      <c r="BG243" s="351"/>
      <c r="BH243" s="351"/>
      <c r="BI243" s="351"/>
      <c r="BJ243" s="351"/>
    </row>
    <row r="244" spans="1:62" hidden="1" outlineLevel="1" x14ac:dyDescent="0.3">
      <c r="C244" s="940" t="s">
        <v>1460</v>
      </c>
      <c r="D244" s="940" t="s">
        <v>1461</v>
      </c>
      <c r="E244" s="351"/>
      <c r="F244" s="351"/>
      <c r="G244" s="351"/>
      <c r="H244" s="351"/>
      <c r="I244" s="351"/>
      <c r="J244" s="351"/>
      <c r="K244" s="351"/>
      <c r="L244" s="351"/>
      <c r="M244" s="351"/>
      <c r="N244" s="351"/>
      <c r="O244" s="351"/>
      <c r="P244" s="351"/>
      <c r="Q244" s="351"/>
      <c r="R244" s="351"/>
      <c r="S244" s="351"/>
      <c r="T244" s="351"/>
      <c r="U244" s="351"/>
      <c r="V244" s="351"/>
      <c r="W244" s="351"/>
      <c r="X244" s="351"/>
      <c r="Y244" s="351"/>
      <c r="Z244" s="351"/>
      <c r="AA244" s="351"/>
      <c r="AB244" s="351"/>
      <c r="AC244" s="351"/>
      <c r="AD244" s="351"/>
      <c r="AE244" s="351"/>
      <c r="AF244" s="351"/>
      <c r="AG244" s="351"/>
      <c r="AH244" s="351"/>
      <c r="AI244" s="351"/>
      <c r="AJ244" s="351"/>
      <c r="AK244" s="351"/>
      <c r="AL244" s="351"/>
      <c r="AM244" s="351"/>
      <c r="AN244" s="351"/>
      <c r="AO244" s="351"/>
      <c r="AP244" s="351"/>
      <c r="AQ244" s="351"/>
      <c r="AR244" s="351"/>
      <c r="AS244" s="351"/>
      <c r="AT244" s="351"/>
      <c r="AU244" s="351"/>
      <c r="AV244" s="351"/>
      <c r="AW244" s="351"/>
      <c r="AX244" s="351"/>
      <c r="AY244" s="351"/>
      <c r="AZ244" s="351"/>
      <c r="BA244" s="351"/>
      <c r="BB244" s="351"/>
      <c r="BC244" s="351"/>
      <c r="BD244" s="351"/>
      <c r="BE244" s="351"/>
      <c r="BF244" s="351"/>
      <c r="BG244" s="351"/>
      <c r="BH244" s="351"/>
      <c r="BI244" s="351"/>
      <c r="BJ244" s="351"/>
    </row>
    <row r="245" spans="1:62" hidden="1" outlineLevel="1" x14ac:dyDescent="0.3">
      <c r="B245" s="944" t="str">
        <f>'General Inputs'!$B$21</f>
        <v>Emblem West Coast</v>
      </c>
      <c r="C245" s="948">
        <f>VLOOKUP($B$245,$B$247:$D$256,2,FALSE)</f>
        <v>0.2</v>
      </c>
      <c r="D245" s="948">
        <f>VLOOKUP($B$245,$B$247:$D$256,3,FALSE)</f>
        <v>0.8</v>
      </c>
      <c r="E245" s="351"/>
      <c r="F245" s="351"/>
      <c r="G245" s="351"/>
      <c r="H245" s="351"/>
      <c r="I245" s="351"/>
      <c r="J245" s="351"/>
      <c r="K245" s="351"/>
      <c r="L245" s="351"/>
      <c r="M245" s="351"/>
      <c r="N245" s="351"/>
      <c r="O245" s="351"/>
      <c r="P245" s="351"/>
      <c r="Q245" s="351"/>
      <c r="R245" s="351"/>
      <c r="S245" s="351"/>
      <c r="T245" s="351"/>
      <c r="U245" s="351"/>
      <c r="V245" s="351"/>
      <c r="W245" s="351"/>
      <c r="X245" s="351"/>
      <c r="Y245" s="351"/>
      <c r="Z245" s="351"/>
      <c r="AA245" s="351"/>
      <c r="AB245" s="351"/>
      <c r="AC245" s="351"/>
      <c r="AD245" s="351"/>
      <c r="AE245" s="351"/>
      <c r="AF245" s="351"/>
      <c r="AG245" s="351"/>
      <c r="AH245" s="351"/>
      <c r="AI245" s="351"/>
      <c r="AJ245" s="351"/>
      <c r="AK245" s="351"/>
      <c r="AL245" s="351"/>
      <c r="AM245" s="351"/>
      <c r="AN245" s="351"/>
      <c r="AO245" s="351"/>
      <c r="AP245" s="351"/>
      <c r="AQ245" s="351"/>
      <c r="AR245" s="351"/>
      <c r="AS245" s="351"/>
      <c r="AT245" s="351"/>
      <c r="AU245" s="351"/>
      <c r="AV245" s="351"/>
      <c r="AW245" s="351"/>
      <c r="AX245" s="351"/>
      <c r="AY245" s="351"/>
      <c r="AZ245" s="351"/>
      <c r="BA245" s="351"/>
      <c r="BB245" s="351"/>
      <c r="BC245" s="351"/>
      <c r="BD245" s="351"/>
      <c r="BE245" s="351"/>
      <c r="BF245" s="351"/>
      <c r="BG245" s="351"/>
      <c r="BH245" s="351"/>
      <c r="BI245" s="351"/>
      <c r="BJ245" s="351"/>
    </row>
    <row r="246" spans="1:62" hidden="1" outlineLevel="1" x14ac:dyDescent="0.3">
      <c r="C246" s="949"/>
      <c r="D246" s="949"/>
    </row>
    <row r="247" spans="1:62" hidden="1" outlineLevel="1" x14ac:dyDescent="0.3">
      <c r="B247" s="351" t="s">
        <v>1958</v>
      </c>
      <c r="C247" s="949">
        <v>0.2</v>
      </c>
      <c r="D247" s="949">
        <v>0.8</v>
      </c>
    </row>
    <row r="248" spans="1:62" hidden="1" outlineLevel="1" x14ac:dyDescent="0.3">
      <c r="B248" s="351" t="s">
        <v>1959</v>
      </c>
      <c r="C248" s="949">
        <v>0.2</v>
      </c>
      <c r="D248" s="949">
        <v>0.8</v>
      </c>
    </row>
    <row r="249" spans="1:62" hidden="1" outlineLevel="1" x14ac:dyDescent="0.3">
      <c r="B249" s="351" t="s">
        <v>1960</v>
      </c>
      <c r="C249" s="949">
        <v>0.2</v>
      </c>
      <c r="D249" s="949">
        <v>0.8</v>
      </c>
    </row>
    <row r="250" spans="1:62" hidden="1" outlineLevel="1" x14ac:dyDescent="0.3">
      <c r="B250" s="351" t="s">
        <v>1961</v>
      </c>
      <c r="C250" s="949">
        <v>0.2</v>
      </c>
      <c r="D250" s="949">
        <v>0.8</v>
      </c>
    </row>
    <row r="251" spans="1:62" hidden="1" outlineLevel="1" x14ac:dyDescent="0.3">
      <c r="B251" s="351" t="s">
        <v>983</v>
      </c>
      <c r="C251" s="949">
        <v>0.2</v>
      </c>
      <c r="D251" s="949">
        <v>0.8</v>
      </c>
    </row>
    <row r="252" spans="1:62" hidden="1" outlineLevel="1" x14ac:dyDescent="0.3">
      <c r="B252" s="351"/>
      <c r="C252" s="949"/>
      <c r="D252" s="949"/>
    </row>
    <row r="253" spans="1:62" hidden="1" outlineLevel="1" x14ac:dyDescent="0.3">
      <c r="B253" s="351"/>
      <c r="C253" s="949"/>
      <c r="D253" s="949"/>
    </row>
    <row r="254" spans="1:62" hidden="1" outlineLevel="1" x14ac:dyDescent="0.3">
      <c r="B254" s="351"/>
      <c r="C254" s="949"/>
      <c r="D254" s="949"/>
    </row>
    <row r="255" spans="1:62" hidden="1" outlineLevel="1" x14ac:dyDescent="0.3">
      <c r="B255" s="351"/>
      <c r="C255" s="949"/>
      <c r="D255" s="949"/>
    </row>
    <row r="256" spans="1:62" hidden="1" outlineLevel="1" x14ac:dyDescent="0.3">
      <c r="B256" s="351"/>
      <c r="C256" s="949"/>
      <c r="D256" s="949"/>
    </row>
    <row r="257" spans="2:62" hidden="1" outlineLevel="1" x14ac:dyDescent="0.3"/>
    <row r="258" spans="2:62" hidden="1" outlineLevel="1" x14ac:dyDescent="0.3">
      <c r="B258">
        <f>SUM(C258:BJ258)</f>
        <v>25</v>
      </c>
      <c r="C258">
        <f>IF(C242=C237,0,1)</f>
        <v>1</v>
      </c>
      <c r="D258">
        <f t="shared" ref="D258:BJ258" si="56">IF(D242=D237,0,1)</f>
        <v>1</v>
      </c>
      <c r="E258">
        <f t="shared" si="56"/>
        <v>1</v>
      </c>
      <c r="F258">
        <f t="shared" si="56"/>
        <v>1</v>
      </c>
      <c r="G258">
        <f t="shared" si="56"/>
        <v>1</v>
      </c>
      <c r="H258">
        <f t="shared" si="56"/>
        <v>1</v>
      </c>
      <c r="I258">
        <f t="shared" si="56"/>
        <v>1</v>
      </c>
      <c r="J258">
        <f t="shared" si="56"/>
        <v>1</v>
      </c>
      <c r="K258">
        <f t="shared" si="56"/>
        <v>1</v>
      </c>
      <c r="L258">
        <f t="shared" si="56"/>
        <v>1</v>
      </c>
      <c r="M258">
        <f t="shared" si="56"/>
        <v>1</v>
      </c>
      <c r="N258">
        <f t="shared" si="56"/>
        <v>1</v>
      </c>
      <c r="O258">
        <f t="shared" si="56"/>
        <v>1</v>
      </c>
      <c r="P258">
        <f t="shared" si="56"/>
        <v>1</v>
      </c>
      <c r="Q258">
        <f t="shared" si="56"/>
        <v>1</v>
      </c>
      <c r="R258">
        <f t="shared" si="56"/>
        <v>1</v>
      </c>
      <c r="S258">
        <f t="shared" si="56"/>
        <v>1</v>
      </c>
      <c r="T258">
        <f t="shared" si="56"/>
        <v>1</v>
      </c>
      <c r="U258">
        <f t="shared" si="56"/>
        <v>1</v>
      </c>
      <c r="V258">
        <f t="shared" si="56"/>
        <v>1</v>
      </c>
      <c r="W258">
        <f t="shared" si="56"/>
        <v>1</v>
      </c>
      <c r="X258">
        <f t="shared" si="56"/>
        <v>1</v>
      </c>
      <c r="Y258">
        <f t="shared" si="56"/>
        <v>1</v>
      </c>
      <c r="Z258">
        <f t="shared" si="56"/>
        <v>1</v>
      </c>
      <c r="AA258">
        <f t="shared" si="56"/>
        <v>1</v>
      </c>
      <c r="AB258">
        <f t="shared" si="56"/>
        <v>0</v>
      </c>
      <c r="AC258">
        <f t="shared" si="56"/>
        <v>0</v>
      </c>
      <c r="AD258">
        <f t="shared" si="56"/>
        <v>0</v>
      </c>
      <c r="AE258">
        <f t="shared" si="56"/>
        <v>0</v>
      </c>
      <c r="AF258">
        <f t="shared" si="56"/>
        <v>0</v>
      </c>
      <c r="AG258">
        <f t="shared" si="56"/>
        <v>0</v>
      </c>
      <c r="AH258">
        <f t="shared" si="56"/>
        <v>0</v>
      </c>
      <c r="AI258">
        <f t="shared" si="56"/>
        <v>0</v>
      </c>
      <c r="AJ258">
        <f t="shared" si="56"/>
        <v>0</v>
      </c>
      <c r="AK258">
        <f t="shared" si="56"/>
        <v>0</v>
      </c>
      <c r="AL258">
        <f t="shared" si="56"/>
        <v>0</v>
      </c>
      <c r="AM258">
        <f t="shared" si="56"/>
        <v>0</v>
      </c>
      <c r="AN258">
        <f t="shared" si="56"/>
        <v>0</v>
      </c>
      <c r="AO258">
        <f t="shared" si="56"/>
        <v>0</v>
      </c>
      <c r="AP258">
        <f t="shared" si="56"/>
        <v>0</v>
      </c>
      <c r="AQ258">
        <f t="shared" si="56"/>
        <v>0</v>
      </c>
      <c r="AR258">
        <f t="shared" si="56"/>
        <v>0</v>
      </c>
      <c r="AS258">
        <f t="shared" si="56"/>
        <v>0</v>
      </c>
      <c r="AT258">
        <f t="shared" si="56"/>
        <v>0</v>
      </c>
      <c r="AU258">
        <f t="shared" si="56"/>
        <v>0</v>
      </c>
      <c r="AV258">
        <f t="shared" si="56"/>
        <v>0</v>
      </c>
      <c r="AW258">
        <f t="shared" si="56"/>
        <v>0</v>
      </c>
      <c r="AX258">
        <f t="shared" si="56"/>
        <v>0</v>
      </c>
      <c r="AY258">
        <f t="shared" si="56"/>
        <v>0</v>
      </c>
      <c r="AZ258">
        <f t="shared" si="56"/>
        <v>0</v>
      </c>
      <c r="BA258">
        <f t="shared" si="56"/>
        <v>0</v>
      </c>
      <c r="BB258">
        <f t="shared" si="56"/>
        <v>0</v>
      </c>
      <c r="BC258">
        <f t="shared" si="56"/>
        <v>0</v>
      </c>
      <c r="BD258">
        <f t="shared" si="56"/>
        <v>0</v>
      </c>
      <c r="BE258">
        <f t="shared" si="56"/>
        <v>0</v>
      </c>
      <c r="BF258">
        <f t="shared" si="56"/>
        <v>0</v>
      </c>
      <c r="BG258">
        <f t="shared" si="56"/>
        <v>0</v>
      </c>
      <c r="BH258">
        <f t="shared" si="56"/>
        <v>0</v>
      </c>
      <c r="BI258">
        <f t="shared" si="56"/>
        <v>0</v>
      </c>
      <c r="BJ258">
        <f t="shared" si="56"/>
        <v>0</v>
      </c>
    </row>
    <row r="259" spans="2:62" ht="15" hidden="1" customHeight="1" outlineLevel="1" x14ac:dyDescent="0.3">
      <c r="K259" s="947"/>
      <c r="L259" s="947"/>
      <c r="M259" s="947"/>
    </row>
    <row r="260" spans="2:62" ht="15" hidden="1" customHeight="1" outlineLevel="1" x14ac:dyDescent="0.3">
      <c r="K260" s="947"/>
      <c r="L260" s="947"/>
      <c r="M260" s="947"/>
    </row>
    <row r="261" spans="2:62" ht="15" hidden="1" customHeight="1" outlineLevel="1" x14ac:dyDescent="0.3">
      <c r="K261" s="947"/>
      <c r="L261" s="947"/>
      <c r="M261" s="947"/>
    </row>
    <row r="262" spans="2:62" ht="15" hidden="1" customHeight="1" outlineLevel="1" x14ac:dyDescent="0.3">
      <c r="K262" s="947"/>
      <c r="L262" s="947"/>
      <c r="M262" s="947"/>
    </row>
    <row r="263" spans="2:62" ht="15" hidden="1" customHeight="1" outlineLevel="1" x14ac:dyDescent="0.3">
      <c r="K263" s="947"/>
      <c r="L263" s="947"/>
      <c r="M263" s="947"/>
    </row>
    <row r="264" spans="2:62" ht="15" hidden="1" customHeight="1" outlineLevel="1" x14ac:dyDescent="0.3">
      <c r="K264" s="947"/>
      <c r="L264" s="947"/>
      <c r="M264" s="947"/>
    </row>
    <row r="265" spans="2:62" ht="15" hidden="1" customHeight="1" outlineLevel="1" x14ac:dyDescent="0.3">
      <c r="K265" s="947"/>
      <c r="L265" s="947"/>
      <c r="M265" s="947"/>
    </row>
    <row r="266" spans="2:62" ht="15" hidden="1" customHeight="1" outlineLevel="1" x14ac:dyDescent="0.3">
      <c r="K266" s="947"/>
      <c r="L266" s="947"/>
      <c r="M266" s="947"/>
    </row>
    <row r="267" spans="2:62" ht="15" hidden="1" customHeight="1" outlineLevel="1" x14ac:dyDescent="0.3">
      <c r="K267" s="947"/>
      <c r="L267" s="947"/>
      <c r="M267" s="947"/>
    </row>
    <row r="268" spans="2:62" ht="15" hidden="1" customHeight="1" outlineLevel="1" x14ac:dyDescent="0.3">
      <c r="K268" s="947"/>
      <c r="L268" s="947"/>
      <c r="M268" s="947"/>
    </row>
    <row r="269" spans="2:62" ht="15" hidden="1" customHeight="1" outlineLevel="1" x14ac:dyDescent="0.3">
      <c r="K269" s="947"/>
      <c r="L269" s="947"/>
      <c r="M269" s="947"/>
    </row>
    <row r="270" spans="2:62" ht="15" hidden="1" customHeight="1" outlineLevel="1" x14ac:dyDescent="0.3">
      <c r="K270" s="947"/>
      <c r="L270" s="947"/>
      <c r="M270" s="947"/>
    </row>
    <row r="271" spans="2:62" ht="15" hidden="1" customHeight="1" outlineLevel="1" x14ac:dyDescent="0.3">
      <c r="K271" s="947"/>
      <c r="L271" s="947"/>
      <c r="M271" s="947"/>
    </row>
    <row r="272" spans="2:62" ht="15" hidden="1" customHeight="1" outlineLevel="1" x14ac:dyDescent="0.3">
      <c r="K272" s="947"/>
      <c r="L272" s="947"/>
      <c r="M272" s="947"/>
    </row>
    <row r="273" spans="11:13" ht="15" hidden="1" customHeight="1" outlineLevel="1" x14ac:dyDescent="0.3">
      <c r="K273" s="947"/>
      <c r="L273" s="947"/>
      <c r="M273" s="947"/>
    </row>
    <row r="274" spans="11:13" ht="15" hidden="1" customHeight="1" outlineLevel="1" x14ac:dyDescent="0.3">
      <c r="K274" s="947"/>
      <c r="L274" s="947"/>
      <c r="M274" s="947"/>
    </row>
    <row r="275" spans="11:13" ht="15" hidden="1" customHeight="1" outlineLevel="1" x14ac:dyDescent="0.3">
      <c r="K275" s="947"/>
      <c r="L275" s="947"/>
      <c r="M275" s="947"/>
    </row>
    <row r="276" spans="11:13" ht="15" hidden="1" customHeight="1" outlineLevel="1" x14ac:dyDescent="0.3">
      <c r="K276" s="947"/>
      <c r="L276" s="947"/>
      <c r="M276" s="947"/>
    </row>
    <row r="277" spans="11:13" ht="15" customHeight="1" collapsed="1" x14ac:dyDescent="0.3">
      <c r="K277" s="947"/>
      <c r="L277" s="947"/>
      <c r="M277" s="947"/>
    </row>
  </sheetData>
  <sheetProtection algorithmName="SHA-512" hashValue="TRU4V1iH+ESk55Dqy3sUKOYxms1Zi2rWiwq9vVp29kh2ETmzMT7dDg8TMXVbpN238VcM35fwN6rRvHVnMTSdjw==" saltValue="w0VFymKUdizTEqppcSclWg==" spinCount="100000" sheet="1" objects="1" scenarios="1" formatColumns="0"/>
  <sortState xmlns:xlrd2="http://schemas.microsoft.com/office/spreadsheetml/2017/richdata2" ref="B24:E39">
    <sortCondition ref="B24"/>
  </sortState>
  <mergeCells count="42">
    <mergeCell ref="B105:D105"/>
    <mergeCell ref="I91:K91"/>
    <mergeCell ref="I92:K92"/>
    <mergeCell ref="B123:D123"/>
    <mergeCell ref="B124:D124"/>
    <mergeCell ref="B92:D92"/>
    <mergeCell ref="B93:D93"/>
    <mergeCell ref="E73:G75"/>
    <mergeCell ref="I24:K24"/>
    <mergeCell ref="B44:D44"/>
    <mergeCell ref="B54:D54"/>
    <mergeCell ref="B55:D55"/>
    <mergeCell ref="B56:D56"/>
    <mergeCell ref="B57:D57"/>
    <mergeCell ref="B58:D58"/>
    <mergeCell ref="B59:D59"/>
    <mergeCell ref="B60:D60"/>
    <mergeCell ref="B61:D61"/>
    <mergeCell ref="B62:D62"/>
    <mergeCell ref="I75:K75"/>
    <mergeCell ref="I22:K22"/>
    <mergeCell ref="AG8:AH8"/>
    <mergeCell ref="B53:D53"/>
    <mergeCell ref="A1:N1"/>
    <mergeCell ref="I23:K23"/>
    <mergeCell ref="D2:K2"/>
    <mergeCell ref="I21:K21"/>
    <mergeCell ref="I76:K76"/>
    <mergeCell ref="I77:K77"/>
    <mergeCell ref="I78:K78"/>
    <mergeCell ref="I79:K79"/>
    <mergeCell ref="I80:K80"/>
    <mergeCell ref="I81:K81"/>
    <mergeCell ref="I82:K82"/>
    <mergeCell ref="I83:K83"/>
    <mergeCell ref="I84:K84"/>
    <mergeCell ref="I85:K85"/>
    <mergeCell ref="I86:K86"/>
    <mergeCell ref="I87:K87"/>
    <mergeCell ref="I88:K88"/>
    <mergeCell ref="I89:K89"/>
    <mergeCell ref="I90:K90"/>
  </mergeCells>
  <conditionalFormatting sqref="H33:N35 H32:K32 M32:N32 H48 L48:N48 K36:N36 I37:N37 H36:H37 H38:N47">
    <cfRule type="expression" dxfId="136" priority="147">
      <formula>$L$49&gt;0</formula>
    </cfRule>
  </conditionalFormatting>
  <conditionalFormatting sqref="A120:G122 A123:B124 E123:G124">
    <cfRule type="expression" dxfId="135" priority="142">
      <formula>$E$125&gt;0</formula>
    </cfRule>
  </conditionalFormatting>
  <conditionalFormatting sqref="A24:A44 C24:D32 C37:D38 C33:C36">
    <cfRule type="expression" dxfId="134" priority="124">
      <formula>$E$45&gt;0</formula>
    </cfRule>
  </conditionalFormatting>
  <conditionalFormatting sqref="M92:N92 H75:H92 L75:N91">
    <cfRule type="expression" dxfId="133" priority="90">
      <formula>$L$93&gt;0</formula>
    </cfRule>
  </conditionalFormatting>
  <conditionalFormatting sqref="H11:K11 M11:N11 H12:N14 H20:H24 M15:N24 H15:K19 Q9:Q32">
    <cfRule type="expression" dxfId="132" priority="79">
      <formula>$L$25&gt;0</formula>
    </cfRule>
  </conditionalFormatting>
  <conditionalFormatting sqref="A92:B93 E92:G93 A73:E73 A72 C72:E72 A74:D75 A77:G86 A88:G91 A87:D87 F87:G87">
    <cfRule type="expression" dxfId="131" priority="78">
      <formula>$E$94&gt;0</formula>
    </cfRule>
  </conditionalFormatting>
  <conditionalFormatting sqref="L92">
    <cfRule type="expression" dxfId="130" priority="69">
      <formula>$L$93&gt;0</formula>
    </cfRule>
  </conditionalFormatting>
  <conditionalFormatting sqref="L32">
    <cfRule type="expression" dxfId="129" priority="68">
      <formula>$L$49&gt;0</formula>
    </cfRule>
  </conditionalFormatting>
  <conditionalFormatting sqref="L11">
    <cfRule type="expression" dxfId="128" priority="66">
      <formula>$L$25&gt;0</formula>
    </cfRule>
  </conditionalFormatting>
  <conditionalFormatting sqref="C39:D43">
    <cfRule type="expression" dxfId="127" priority="59">
      <formula>$E$45&gt;0</formula>
    </cfRule>
  </conditionalFormatting>
  <conditionalFormatting sqref="B44">
    <cfRule type="expression" dxfId="126" priority="58">
      <formula>$E$45&gt;0</formula>
    </cfRule>
  </conditionalFormatting>
  <conditionalFormatting sqref="I48:K48">
    <cfRule type="expression" dxfId="125" priority="57">
      <formula>$L$49&gt;0</formula>
    </cfRule>
  </conditionalFormatting>
  <conditionalFormatting sqref="I24">
    <cfRule type="expression" dxfId="124" priority="54">
      <formula>$L$25&gt;0</formula>
    </cfRule>
  </conditionalFormatting>
  <conditionalFormatting sqref="I21:I23">
    <cfRule type="expression" dxfId="123" priority="53">
      <formula>$L$25&gt;0</formula>
    </cfRule>
  </conditionalFormatting>
  <conditionalFormatting sqref="L24 L16:L21">
    <cfRule type="expression" dxfId="122" priority="52">
      <formula>$L$25&gt;0</formula>
    </cfRule>
  </conditionalFormatting>
  <conditionalFormatting sqref="L22">
    <cfRule type="expression" dxfId="121" priority="50">
      <formula>$L$25&gt;0</formula>
    </cfRule>
  </conditionalFormatting>
  <conditionalFormatting sqref="L20:L21">
    <cfRule type="expression" dxfId="120" priority="51">
      <formula>$L$25&gt;0</formula>
    </cfRule>
  </conditionalFormatting>
  <conditionalFormatting sqref="L23">
    <cfRule type="expression" dxfId="119" priority="49">
      <formula>$L$25&gt;0</formula>
    </cfRule>
  </conditionalFormatting>
  <conditionalFormatting sqref="R16 R22">
    <cfRule type="expression" dxfId="118" priority="40">
      <formula>$L$25&gt;0</formula>
    </cfRule>
  </conditionalFormatting>
  <conditionalFormatting sqref="Q32 Q30">
    <cfRule type="expression" dxfId="117" priority="47">
      <formula>$L$25&gt;0</formula>
    </cfRule>
  </conditionalFormatting>
  <conditionalFormatting sqref="R18">
    <cfRule type="expression" dxfId="116" priority="46">
      <formula>$L$25&gt;0</formula>
    </cfRule>
  </conditionalFormatting>
  <conditionalFormatting sqref="R27">
    <cfRule type="expression" dxfId="115" priority="45">
      <formula>$L$25&gt;0</formula>
    </cfRule>
  </conditionalFormatting>
  <conditionalFormatting sqref="R29:R30">
    <cfRule type="expression" dxfId="114" priority="44">
      <formula>$L$25&gt;0</formula>
    </cfRule>
  </conditionalFormatting>
  <conditionalFormatting sqref="R32">
    <cfRule type="expression" dxfId="113" priority="43">
      <formula>$L$25&gt;0</formula>
    </cfRule>
  </conditionalFormatting>
  <conditionalFormatting sqref="Q26:Q27">
    <cfRule type="expression" dxfId="112" priority="41">
      <formula>$L$25&gt;0</formula>
    </cfRule>
  </conditionalFormatting>
  <conditionalFormatting sqref="P7:R9 P12:R36">
    <cfRule type="expression" dxfId="111" priority="10">
      <formula>$B$245=$B$250</formula>
    </cfRule>
    <cfRule type="expression" dxfId="110" priority="35">
      <formula>$B$245=$B$249</formula>
    </cfRule>
    <cfRule type="expression" dxfId="109" priority="38">
      <formula>$B$245=$B$247</formula>
    </cfRule>
    <cfRule type="expression" dxfId="108" priority="39">
      <formula>$B$245=$B$248</formula>
    </cfRule>
  </conditionalFormatting>
  <conditionalFormatting sqref="P11:R11">
    <cfRule type="expression" dxfId="107" priority="29">
      <formula>$B$245=$B$249</formula>
    </cfRule>
    <cfRule type="expression" dxfId="106" priority="30">
      <formula>$B$245=$B$246</formula>
    </cfRule>
    <cfRule type="expression" dxfId="105" priority="31">
      <formula>$B$245=$B$247</formula>
    </cfRule>
    <cfRule type="expression" dxfId="104" priority="32">
      <formula>$B$245=$B$248</formula>
    </cfRule>
  </conditionalFormatting>
  <conditionalFormatting sqref="Q11">
    <cfRule type="expression" dxfId="103" priority="25">
      <formula>$B$245=$B$249</formula>
    </cfRule>
    <cfRule type="expression" dxfId="102" priority="26">
      <formula>$B$245=$B$246</formula>
    </cfRule>
    <cfRule type="expression" dxfId="101" priority="27">
      <formula>$B$245=$B$247</formula>
    </cfRule>
    <cfRule type="expression" dxfId="100" priority="28">
      <formula>$B$245=$B$248</formula>
    </cfRule>
  </conditionalFormatting>
  <conditionalFormatting sqref="AG8:AH23">
    <cfRule type="expression" dxfId="99" priority="23">
      <formula>$B$245=$B$251</formula>
    </cfRule>
    <cfRule type="expression" dxfId="98" priority="24">
      <formula>$B$245=$B$250</formula>
    </cfRule>
    <cfRule type="expression" dxfId="97" priority="33">
      <formula>$L$25&gt;0</formula>
    </cfRule>
  </conditionalFormatting>
  <conditionalFormatting sqref="E24:E32">
    <cfRule type="expression" dxfId="96" priority="21">
      <formula>$E$45&gt;0</formula>
    </cfRule>
  </conditionalFormatting>
  <conditionalFormatting sqref="E37:E42">
    <cfRule type="expression" dxfId="95" priority="20">
      <formula>$E$45&gt;0</formula>
    </cfRule>
  </conditionalFormatting>
  <conditionalFormatting sqref="B25:B38">
    <cfRule type="expression" dxfId="94" priority="19">
      <formula>$E$45&gt;0</formula>
    </cfRule>
  </conditionalFormatting>
  <conditionalFormatting sqref="B39:B43">
    <cfRule type="expression" dxfId="93" priority="18">
      <formula>$E$45&gt;0</formula>
    </cfRule>
  </conditionalFormatting>
  <conditionalFormatting sqref="B24:B43">
    <cfRule type="expression" dxfId="92" priority="16">
      <formula>$L$49&gt;0</formula>
    </cfRule>
  </conditionalFormatting>
  <conditionalFormatting sqref="D33:D36">
    <cfRule type="expression" dxfId="91" priority="15">
      <formula>$L$49&gt;0</formula>
    </cfRule>
  </conditionalFormatting>
  <conditionalFormatting sqref="F24:G44">
    <cfRule type="expression" dxfId="90" priority="12">
      <formula>$E$45&gt;0</formula>
    </cfRule>
  </conditionalFormatting>
  <conditionalFormatting sqref="E33:E36">
    <cfRule type="expression" dxfId="89" priority="11">
      <formula>$E$45&gt;0</formula>
    </cfRule>
  </conditionalFormatting>
  <conditionalFormatting sqref="E42:E44">
    <cfRule type="expression" dxfId="88" priority="14">
      <formula>$E$45&gt;0</formula>
    </cfRule>
  </conditionalFormatting>
  <conditionalFormatting sqref="P10:R10">
    <cfRule type="expression" dxfId="87" priority="6">
      <formula>$B$245=$B$250</formula>
    </cfRule>
    <cfRule type="expression" dxfId="86" priority="7">
      <formula>$B$245=$B$249</formula>
    </cfRule>
    <cfRule type="expression" dxfId="85" priority="8">
      <formula>$B$245=$B$247</formula>
    </cfRule>
    <cfRule type="expression" dxfId="84" priority="9">
      <formula>$B$245=$B$248</formula>
    </cfRule>
  </conditionalFormatting>
  <conditionalFormatting sqref="I20:K20">
    <cfRule type="expression" dxfId="83" priority="5">
      <formula>$L$25&gt;0</formula>
    </cfRule>
  </conditionalFormatting>
  <conditionalFormatting sqref="L15">
    <cfRule type="expression" dxfId="82" priority="4">
      <formula>$L$25&gt;0</formula>
    </cfRule>
  </conditionalFormatting>
  <conditionalFormatting sqref="E87">
    <cfRule type="expression" dxfId="81" priority="3">
      <formula>$E$94&gt;0</formula>
    </cfRule>
  </conditionalFormatting>
  <conditionalFormatting sqref="N93">
    <cfRule type="expression" dxfId="80" priority="2">
      <formula>$L$93&gt;0</formula>
    </cfRule>
  </conditionalFormatting>
  <conditionalFormatting sqref="I75:I92">
    <cfRule type="expression" dxfId="79" priority="1">
      <formula>$L$25&gt;0</formula>
    </cfRule>
  </conditionalFormatting>
  <dataValidations count="8">
    <dataValidation type="list" allowBlank="1" showInputMessage="1" showErrorMessage="1" sqref="D74" xr:uid="{00000000-0002-0000-1100-000000000000}">
      <formula1>"JV Close,Const. Start"</formula1>
    </dataValidation>
    <dataValidation type="list" allowBlank="1" showInputMessage="1" showErrorMessage="1" sqref="N99" xr:uid="{00000000-0002-0000-1100-000001000000}">
      <formula1>"Total Cost,Less Fees,Less Land,Less Land &amp; Fees"</formula1>
    </dataValidation>
    <dataValidation type="list" allowBlank="1" showInputMessage="1" showErrorMessage="1" sqref="G49" xr:uid="{00000000-0002-0000-1100-000002000000}">
      <formula1>"YES,NO"</formula1>
    </dataValidation>
    <dataValidation type="list" allowBlank="1" showInputMessage="1" showErrorMessage="1" sqref="N97" xr:uid="{00000000-0002-0000-1100-000003000000}">
      <formula1>"Merchant,PropCo"</formula1>
    </dataValidation>
    <dataValidation type="custom" allowBlank="1" showInputMessage="1" showErrorMessage="1" errorTitle="Oops!" error="The sum A+B must be between 0 and 1" sqref="C245:D245" xr:uid="{00000000-0002-0000-1100-000004000000}">
      <formula1>(ptrA+ptrB&gt;=0)*(ptrA+ptrB&lt;=1)</formula1>
    </dataValidation>
    <dataValidation allowBlank="1" showInputMessage="1" showErrorMessage="1" prompt="Input tax burden from Land Close to JV Close, if Land is closed prior to closing the JV." sqref="E77" xr:uid="{00000000-0002-0000-1100-000005000000}"/>
    <dataValidation type="list" allowBlank="1" showInputMessage="1" showErrorMessage="1" sqref="A53" xr:uid="{5600DDFF-BCB8-4BA1-BCB4-A96CB0AACD9E}">
      <formula1>$B$269:$B$270</formula1>
    </dataValidation>
    <dataValidation type="list" allowBlank="1" showInputMessage="1" showErrorMessage="1" sqref="Q26" xr:uid="{3B05F74A-F2F9-4742-953B-F05A0CE2343F}">
      <formula1>"Prescriptive, Performance"</formula1>
    </dataValidation>
  </dataValidations>
  <pageMargins left="0.25" right="0.25" top="0.4" bottom="0.4" header="0.25" footer="0.25"/>
  <pageSetup scale="60" orientation="landscape" r:id="rId1"/>
  <headerFooter>
    <oddHeader>&amp;R&amp;"Garamond,Regular"&amp;10Printed: &amp;D &amp;T</oddHeader>
    <oddFooter>&amp;R&amp;"Garamond,Regular"&amp;10Page &amp;P of &amp;N</oddFooter>
  </headerFooter>
  <rowBreaks count="1" manualBreakCount="1">
    <brk id="67" max="13" man="1"/>
  </rowBreak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35" id="{C54EA385-FA44-4F83-86A5-F09DFB5C3420}">
            <xm:f>YEAR($B134)&lt;YEAR('General Inputs'!$C$27)</xm:f>
            <x14:dxf>
              <font>
                <color theme="0"/>
              </font>
            </x14:dxf>
          </x14:cfRule>
          <xm:sqref>A134:Q169 O172:AC172 M172 B171:B230 A179:Q230 D173:Q178 D172:I172 A172:C178</xm:sqref>
        </x14:conditionalFormatting>
        <x14:conditionalFormatting xmlns:xm="http://schemas.microsoft.com/office/excel/2006/main">
          <x14:cfRule type="expression" priority="96" id="{2DBB77D0-447F-45B9-A45B-9493E2C2D4AE}">
            <xm:f>'Operating Inputs'!$C$110=0</xm:f>
            <x14:dxf>
              <font>
                <color theme="0" tint="-0.24994659260841701"/>
              </font>
            </x14:dxf>
          </x14:cfRule>
          <xm:sqref>H64:N66 T125 H125:N125</xm:sqref>
        </x14:conditionalFormatting>
        <x14:conditionalFormatting xmlns:xm="http://schemas.microsoft.com/office/excel/2006/main">
          <x14:cfRule type="expression" priority="61" id="{B09DB079-96FC-4E92-846E-AC920068DFCD}">
            <xm:f>YEAR($B171)&lt;YEAR('General Inputs'!$C$27)</xm:f>
            <x14:dxf>
              <font>
                <color theme="0"/>
              </font>
            </x14:dxf>
          </x14:cfRule>
          <xm:sqref>A171 M171 O171:AC171 C171:I171</xm:sqref>
        </x14:conditionalFormatting>
        <x14:conditionalFormatting xmlns:xm="http://schemas.microsoft.com/office/excel/2006/main">
          <x14:cfRule type="expression" priority="265" id="{C54EA385-FA44-4F83-86A5-F09DFB5C3420}">
            <xm:f>YEAR($B172)&lt;YEAR('General Inputs'!$C$27)</xm:f>
            <x14:dxf>
              <font>
                <color theme="0"/>
              </font>
            </x14:dxf>
          </x14:cfRule>
          <xm:sqref>J171:L171 N171</xm:sqref>
        </x14:conditionalFormatting>
        <x14:conditionalFormatting xmlns:xm="http://schemas.microsoft.com/office/excel/2006/main">
          <x14:cfRule type="expression" priority="55" id="{FB943BE0-6F39-460F-A260-850B6DB20349}">
            <xm:f>'Operating Inputs'!$C$110=0</xm:f>
            <x14:dxf>
              <font>
                <color theme="0" tint="-0.24994659260841701"/>
              </font>
            </x14:dxf>
          </x14:cfRule>
          <xm:sqref>V125</xm:sqref>
        </x14:conditionalFormatting>
      </x14:conditionalFormatting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33FB55-0D91-4679-8DAD-D7E03DBD47F1}">
  <sheetPr codeName="Sheet43">
    <tabColor rgb="FF7030A0"/>
  </sheetPr>
  <dimension ref="A1:J63"/>
  <sheetViews>
    <sheetView showGridLines="0" topLeftCell="A25" workbookViewId="0">
      <selection activeCell="B39" sqref="B39"/>
    </sheetView>
  </sheetViews>
  <sheetFormatPr defaultColWidth="9.33203125" defaultRowHeight="14.4" x14ac:dyDescent="0.3"/>
  <cols>
    <col min="1" max="1" width="43" style="3" bestFit="1" customWidth="1"/>
    <col min="2" max="2" width="14.33203125" style="3" bestFit="1" customWidth="1"/>
    <col min="3" max="6" width="13.6640625" style="3" customWidth="1"/>
    <col min="7" max="7" width="17.6640625" style="3" customWidth="1"/>
    <col min="8" max="8" width="17.5546875" style="3" customWidth="1"/>
    <col min="9" max="9" width="68.33203125" style="3" bestFit="1" customWidth="1"/>
    <col min="10" max="16384" width="9.33203125" style="3"/>
  </cols>
  <sheetData>
    <row r="1" spans="1:10" x14ac:dyDescent="0.3">
      <c r="A1" s="2347" t="s">
        <v>1962</v>
      </c>
      <c r="B1" s="2347"/>
      <c r="C1" s="2347"/>
      <c r="D1" s="2347"/>
      <c r="E1" s="2347"/>
      <c r="F1" s="2347"/>
      <c r="G1" s="2347"/>
      <c r="H1" s="2347"/>
      <c r="I1" s="2347"/>
    </row>
    <row r="2" spans="1:10" x14ac:dyDescent="0.3">
      <c r="A2" s="2346" t="s">
        <v>1963</v>
      </c>
      <c r="B2" s="2346" t="s">
        <v>1964</v>
      </c>
      <c r="C2" s="2346" t="s">
        <v>1965</v>
      </c>
      <c r="D2" s="2346" t="s">
        <v>1966</v>
      </c>
      <c r="E2" s="2346" t="s">
        <v>1967</v>
      </c>
      <c r="F2" s="2346" t="s">
        <v>1837</v>
      </c>
      <c r="G2" s="2346" t="s">
        <v>1968</v>
      </c>
      <c r="H2" s="2346" t="s">
        <v>1969</v>
      </c>
      <c r="I2" s="2346" t="s">
        <v>1970</v>
      </c>
    </row>
    <row r="3" spans="1:10" x14ac:dyDescent="0.3">
      <c r="A3" s="2380" t="s">
        <v>1784</v>
      </c>
      <c r="B3" s="2437">
        <v>0</v>
      </c>
      <c r="C3" s="2437">
        <v>0</v>
      </c>
      <c r="D3" s="2437">
        <f>+'Development Inputs'!$L$12*0.4</f>
        <v>11880</v>
      </c>
      <c r="E3" s="2437">
        <f>+'Development Inputs'!$L$12*0.4</f>
        <v>11880</v>
      </c>
      <c r="F3" s="2437">
        <f>+'Development Inputs'!$L$12*0.2</f>
        <v>5940</v>
      </c>
      <c r="G3" s="2437">
        <v>0</v>
      </c>
      <c r="H3" s="2438">
        <f>+SUM(B3:G3)</f>
        <v>29700</v>
      </c>
      <c r="I3" s="2189" t="s">
        <v>1971</v>
      </c>
    </row>
    <row r="4" spans="1:10" x14ac:dyDescent="0.3">
      <c r="A4" s="2380" t="s">
        <v>1794</v>
      </c>
      <c r="B4" s="2437"/>
      <c r="C4" s="2437"/>
      <c r="D4" s="2437">
        <f>+'Development Inputs'!$L$14*0.2</f>
        <v>7800</v>
      </c>
      <c r="E4" s="2437">
        <f>+'Development Inputs'!$L$14*0.3</f>
        <v>11700</v>
      </c>
      <c r="F4" s="2437">
        <f>+'Development Inputs'!$L$14*0.5</f>
        <v>19500</v>
      </c>
      <c r="G4" s="2437"/>
      <c r="H4" s="2438">
        <f>+SUM(B4:G4)</f>
        <v>39000</v>
      </c>
      <c r="I4" s="2189" t="s">
        <v>1971</v>
      </c>
    </row>
    <row r="5" spans="1:10" x14ac:dyDescent="0.3">
      <c r="A5" s="2380" t="s">
        <v>1796</v>
      </c>
      <c r="B5" s="2437">
        <v>0</v>
      </c>
      <c r="C5" s="2437">
        <f>+'Development Inputs'!$L$15*0.2</f>
        <v>3050</v>
      </c>
      <c r="D5" s="2437">
        <f>+'Development Inputs'!$L$15*0.2</f>
        <v>3050</v>
      </c>
      <c r="E5" s="2437">
        <f>+'Development Inputs'!$L$15*0.2</f>
        <v>3050</v>
      </c>
      <c r="F5" s="2437">
        <f>+'Development Inputs'!$L$15*0.2</f>
        <v>3050</v>
      </c>
      <c r="G5" s="2437">
        <f>+'Development Inputs'!$L$15*0.2</f>
        <v>3050</v>
      </c>
      <c r="H5" s="2438">
        <f>+SUM(B5:G5)</f>
        <v>15250</v>
      </c>
      <c r="I5" s="2189" t="s">
        <v>1971</v>
      </c>
    </row>
    <row r="6" spans="1:10" x14ac:dyDescent="0.3">
      <c r="A6" s="2435" t="s">
        <v>173</v>
      </c>
      <c r="B6" s="2436">
        <f t="shared" ref="B6:H6" si="0">+SUM(B2:B5)</f>
        <v>0</v>
      </c>
      <c r="C6" s="2436">
        <f t="shared" si="0"/>
        <v>3050</v>
      </c>
      <c r="D6" s="2436">
        <f t="shared" si="0"/>
        <v>22730</v>
      </c>
      <c r="E6" s="2436">
        <f t="shared" si="0"/>
        <v>26630</v>
      </c>
      <c r="F6" s="2436">
        <f t="shared" si="0"/>
        <v>28490</v>
      </c>
      <c r="G6" s="2436">
        <f t="shared" si="0"/>
        <v>3050</v>
      </c>
      <c r="H6" s="2439">
        <f t="shared" si="0"/>
        <v>83950</v>
      </c>
      <c r="I6" s="2435"/>
    </row>
    <row r="7" spans="1:10" customFormat="1" x14ac:dyDescent="0.3">
      <c r="J7" s="3"/>
    </row>
    <row r="8" spans="1:10" x14ac:dyDescent="0.3">
      <c r="A8" s="2347" t="s">
        <v>1799</v>
      </c>
      <c r="B8" s="2347"/>
      <c r="C8" s="2347"/>
      <c r="D8" s="2347"/>
      <c r="E8" s="2347"/>
      <c r="F8" s="2347"/>
      <c r="G8" s="2347"/>
      <c r="H8" s="2347"/>
      <c r="I8" s="2347"/>
    </row>
    <row r="9" spans="1:10" x14ac:dyDescent="0.3">
      <c r="A9" s="2346" t="s">
        <v>1963</v>
      </c>
      <c r="B9" s="2346" t="s">
        <v>1964</v>
      </c>
      <c r="C9" s="2346" t="s">
        <v>1965</v>
      </c>
      <c r="D9" s="2346" t="s">
        <v>1966</v>
      </c>
      <c r="E9" s="2346" t="s">
        <v>1967</v>
      </c>
      <c r="F9" s="2346" t="s">
        <v>1837</v>
      </c>
      <c r="G9" s="2346" t="s">
        <v>1968</v>
      </c>
      <c r="H9" s="2346" t="s">
        <v>1969</v>
      </c>
      <c r="I9" s="2346"/>
    </row>
    <row r="10" spans="1:10" x14ac:dyDescent="0.3">
      <c r="A10" s="2380" t="s">
        <v>1972</v>
      </c>
      <c r="B10" s="2437">
        <v>18000</v>
      </c>
      <c r="C10" s="2437">
        <v>20000</v>
      </c>
      <c r="D10" s="2437">
        <v>35000</v>
      </c>
      <c r="E10" s="2437">
        <v>120000</v>
      </c>
      <c r="F10" s="2437">
        <v>12500</v>
      </c>
      <c r="G10" s="2437">
        <v>30000</v>
      </c>
      <c r="H10" s="2438">
        <f>+SUM(B10:G10)</f>
        <v>235500</v>
      </c>
      <c r="I10" s="2189" t="s">
        <v>1973</v>
      </c>
    </row>
    <row r="11" spans="1:10" x14ac:dyDescent="0.3">
      <c r="A11" s="2380" t="s">
        <v>1974</v>
      </c>
      <c r="B11" s="2437">
        <f>8500+5400</f>
        <v>13900</v>
      </c>
      <c r="C11" s="2437">
        <f>5500+3800</f>
        <v>9300</v>
      </c>
      <c r="D11" s="2437"/>
      <c r="E11" s="2437"/>
      <c r="F11" s="2437"/>
      <c r="G11" s="2437">
        <v>5000</v>
      </c>
      <c r="H11" s="2438">
        <f>+SUM(B11:G11)</f>
        <v>28200</v>
      </c>
      <c r="I11" s="2189" t="s">
        <v>1975</v>
      </c>
    </row>
    <row r="12" spans="1:10" x14ac:dyDescent="0.3">
      <c r="A12" s="2380" t="s">
        <v>1976</v>
      </c>
      <c r="B12" s="2437">
        <v>10000</v>
      </c>
      <c r="C12" s="2437">
        <v>0</v>
      </c>
      <c r="D12" s="2437">
        <v>0</v>
      </c>
      <c r="E12" s="2437">
        <v>0</v>
      </c>
      <c r="F12" s="2437">
        <v>0</v>
      </c>
      <c r="G12" s="2437">
        <v>5000</v>
      </c>
      <c r="H12" s="2438">
        <f t="shared" ref="H12:H15" si="1">+SUM(B12:G12)</f>
        <v>15000</v>
      </c>
      <c r="I12" s="2189" t="s">
        <v>1977</v>
      </c>
    </row>
    <row r="13" spans="1:10" x14ac:dyDescent="0.3">
      <c r="A13" s="2380" t="s">
        <v>1978</v>
      </c>
      <c r="B13" s="2437">
        <v>0</v>
      </c>
      <c r="C13" s="2437">
        <v>5000</v>
      </c>
      <c r="D13" s="2437">
        <v>5000</v>
      </c>
      <c r="E13" s="2437">
        <v>40000</v>
      </c>
      <c r="F13" s="2437">
        <v>0</v>
      </c>
      <c r="G13" s="2437">
        <v>0</v>
      </c>
      <c r="H13" s="2438">
        <f>+SUM(B13:G13)</f>
        <v>50000</v>
      </c>
      <c r="I13" s="2189" t="s">
        <v>1975</v>
      </c>
    </row>
    <row r="14" spans="1:10" x14ac:dyDescent="0.3">
      <c r="A14" s="2189" t="s">
        <v>1979</v>
      </c>
      <c r="B14" s="2437"/>
      <c r="C14" s="2437"/>
      <c r="D14" s="2437"/>
      <c r="E14" s="2437"/>
      <c r="F14" s="2437"/>
      <c r="G14" s="2437"/>
      <c r="H14" s="2438">
        <f t="shared" si="1"/>
        <v>0</v>
      </c>
      <c r="I14" s="2189"/>
    </row>
    <row r="15" spans="1:10" x14ac:dyDescent="0.3">
      <c r="A15" s="2189" t="s">
        <v>1979</v>
      </c>
      <c r="B15" s="2437"/>
      <c r="C15" s="2437"/>
      <c r="D15" s="2437"/>
      <c r="E15" s="2437"/>
      <c r="F15" s="2437"/>
      <c r="G15" s="2437"/>
      <c r="H15" s="2438">
        <f t="shared" si="1"/>
        <v>0</v>
      </c>
      <c r="I15" s="2189"/>
    </row>
    <row r="16" spans="1:10" x14ac:dyDescent="0.3">
      <c r="A16" s="2435" t="s">
        <v>1980</v>
      </c>
      <c r="B16" s="2436">
        <f t="shared" ref="B16:H16" si="2">+SUM(B10:B15)</f>
        <v>41900</v>
      </c>
      <c r="C16" s="2436">
        <f t="shared" si="2"/>
        <v>34300</v>
      </c>
      <c r="D16" s="2436">
        <f t="shared" si="2"/>
        <v>40000</v>
      </c>
      <c r="E16" s="2436">
        <f t="shared" si="2"/>
        <v>160000</v>
      </c>
      <c r="F16" s="2436">
        <f t="shared" si="2"/>
        <v>12500</v>
      </c>
      <c r="G16" s="2436">
        <f t="shared" si="2"/>
        <v>40000</v>
      </c>
      <c r="H16" s="2439">
        <f t="shared" si="2"/>
        <v>328700</v>
      </c>
      <c r="I16" s="2435"/>
    </row>
    <row r="17" spans="1:9" x14ac:dyDescent="0.3">
      <c r="A17" s="2262"/>
      <c r="E17" s="2230"/>
      <c r="I17" s="2262"/>
    </row>
    <row r="18" spans="1:9" x14ac:dyDescent="0.3">
      <c r="A18" s="2347" t="s">
        <v>1802</v>
      </c>
      <c r="B18" s="2347"/>
      <c r="C18" s="2347"/>
      <c r="D18" s="2347"/>
      <c r="E18" s="2347"/>
      <c r="F18" s="2347"/>
      <c r="G18" s="2347"/>
      <c r="H18" s="2347"/>
      <c r="I18" s="2347"/>
    </row>
    <row r="19" spans="1:9" x14ac:dyDescent="0.3">
      <c r="A19" s="2346" t="s">
        <v>1963</v>
      </c>
      <c r="B19" s="2346" t="s">
        <v>1964</v>
      </c>
      <c r="C19" s="2346" t="s">
        <v>1965</v>
      </c>
      <c r="D19" s="2346" t="s">
        <v>1966</v>
      </c>
      <c r="E19" s="2346" t="s">
        <v>1967</v>
      </c>
      <c r="F19" s="2346" t="s">
        <v>1837</v>
      </c>
      <c r="G19" s="2346" t="s">
        <v>1968</v>
      </c>
      <c r="H19" s="2346" t="s">
        <v>1969</v>
      </c>
      <c r="I19" s="2346"/>
    </row>
    <row r="20" spans="1:9" x14ac:dyDescent="0.3">
      <c r="A20" s="2380" t="s">
        <v>1981</v>
      </c>
      <c r="B20" s="2437">
        <v>0</v>
      </c>
      <c r="C20" s="2437">
        <v>0</v>
      </c>
      <c r="D20" s="2437">
        <v>0</v>
      </c>
      <c r="E20" s="2437">
        <v>0</v>
      </c>
      <c r="F20" s="2437">
        <v>40000</v>
      </c>
      <c r="G20" s="2437">
        <v>0</v>
      </c>
      <c r="H20" s="2438">
        <f t="shared" ref="H20:H25" si="3">+SUM(B20:G20)</f>
        <v>40000</v>
      </c>
      <c r="I20" s="2189" t="s">
        <v>1982</v>
      </c>
    </row>
    <row r="21" spans="1:9" x14ac:dyDescent="0.3">
      <c r="A21" s="2380" t="s">
        <v>1983</v>
      </c>
      <c r="B21" s="2437">
        <v>0</v>
      </c>
      <c r="C21" s="2437">
        <v>0</v>
      </c>
      <c r="D21" s="2437">
        <v>0</v>
      </c>
      <c r="E21" s="2437">
        <v>0</v>
      </c>
      <c r="F21" s="2437">
        <v>50000</v>
      </c>
      <c r="G21" s="2437">
        <v>0</v>
      </c>
      <c r="H21" s="2438">
        <f t="shared" si="3"/>
        <v>50000</v>
      </c>
      <c r="I21" s="2189" t="s">
        <v>1982</v>
      </c>
    </row>
    <row r="22" spans="1:9" x14ac:dyDescent="0.3">
      <c r="A22" s="2380" t="s">
        <v>1984</v>
      </c>
      <c r="B22" s="2437">
        <v>0</v>
      </c>
      <c r="C22" s="2437">
        <v>0</v>
      </c>
      <c r="D22" s="2437">
        <v>0</v>
      </c>
      <c r="E22" s="2437">
        <v>0</v>
      </c>
      <c r="F22" s="2437">
        <v>0</v>
      </c>
      <c r="G22" s="2437">
        <v>0</v>
      </c>
      <c r="H22" s="2438">
        <f t="shared" si="3"/>
        <v>0</v>
      </c>
      <c r="I22" s="2189" t="s">
        <v>1985</v>
      </c>
    </row>
    <row r="23" spans="1:9" x14ac:dyDescent="0.3">
      <c r="A23" s="2380" t="s">
        <v>1986</v>
      </c>
      <c r="B23" s="2437">
        <v>0</v>
      </c>
      <c r="C23" s="2437">
        <v>0</v>
      </c>
      <c r="D23" s="2437">
        <v>0</v>
      </c>
      <c r="E23" s="2437">
        <v>0</v>
      </c>
      <c r="F23" s="2437">
        <v>120000</v>
      </c>
      <c r="G23" s="2437">
        <v>0</v>
      </c>
      <c r="H23" s="2438">
        <f t="shared" si="3"/>
        <v>120000</v>
      </c>
      <c r="I23" s="2189" t="s">
        <v>1987</v>
      </c>
    </row>
    <row r="24" spans="1:9" x14ac:dyDescent="0.3">
      <c r="A24" s="2189" t="s">
        <v>1979</v>
      </c>
      <c r="B24" s="2437"/>
      <c r="C24" s="2437"/>
      <c r="D24" s="2437"/>
      <c r="E24" s="2437"/>
      <c r="F24" s="2437"/>
      <c r="G24" s="2437"/>
      <c r="H24" s="2438">
        <f t="shared" si="3"/>
        <v>0</v>
      </c>
      <c r="I24" s="2189"/>
    </row>
    <row r="25" spans="1:9" x14ac:dyDescent="0.3">
      <c r="A25" s="2189" t="s">
        <v>1979</v>
      </c>
      <c r="B25" s="2437"/>
      <c r="C25" s="2437"/>
      <c r="D25" s="2437"/>
      <c r="E25" s="2437"/>
      <c r="F25" s="2437"/>
      <c r="G25" s="2437"/>
      <c r="H25" s="2438">
        <f t="shared" si="3"/>
        <v>0</v>
      </c>
      <c r="I25" s="2189"/>
    </row>
    <row r="26" spans="1:9" x14ac:dyDescent="0.3">
      <c r="A26" s="2435" t="s">
        <v>1980</v>
      </c>
      <c r="B26" s="2436">
        <f t="shared" ref="B26:G26" si="4">+SUM(B20:B25)</f>
        <v>0</v>
      </c>
      <c r="C26" s="2436">
        <f t="shared" si="4"/>
        <v>0</v>
      </c>
      <c r="D26" s="2436">
        <f t="shared" si="4"/>
        <v>0</v>
      </c>
      <c r="E26" s="2436">
        <f t="shared" si="4"/>
        <v>0</v>
      </c>
      <c r="F26" s="2436">
        <f t="shared" si="4"/>
        <v>210000</v>
      </c>
      <c r="G26" s="2436">
        <f t="shared" si="4"/>
        <v>0</v>
      </c>
      <c r="H26" s="2439">
        <f>SUM(H20:H25)</f>
        <v>210000</v>
      </c>
      <c r="I26" s="2435"/>
    </row>
    <row r="27" spans="1:9" x14ac:dyDescent="0.3">
      <c r="A27" s="2199"/>
      <c r="B27" s="2263"/>
      <c r="C27" s="2263"/>
      <c r="D27" s="2263"/>
      <c r="E27" s="2263"/>
      <c r="F27" s="2263"/>
      <c r="G27" s="2263"/>
      <c r="H27"/>
      <c r="I27" s="2199"/>
    </row>
    <row r="28" spans="1:9" x14ac:dyDescent="0.3">
      <c r="A28" s="2347" t="s">
        <v>1805</v>
      </c>
      <c r="B28" s="2347"/>
      <c r="C28" s="2347"/>
      <c r="D28" s="2347"/>
      <c r="E28" s="2347"/>
      <c r="F28" s="2347"/>
      <c r="G28" s="2347"/>
      <c r="H28" s="2347"/>
      <c r="I28" s="2347"/>
    </row>
    <row r="29" spans="1:9" x14ac:dyDescent="0.3">
      <c r="A29" s="2346" t="s">
        <v>1963</v>
      </c>
      <c r="B29" s="2346" t="s">
        <v>1964</v>
      </c>
      <c r="C29" s="2346" t="s">
        <v>1965</v>
      </c>
      <c r="D29" s="2346" t="s">
        <v>1966</v>
      </c>
      <c r="E29" s="2346" t="s">
        <v>1967</v>
      </c>
      <c r="F29" s="2346" t="s">
        <v>1837</v>
      </c>
      <c r="G29" s="2346" t="s">
        <v>1968</v>
      </c>
      <c r="H29" s="2346" t="s">
        <v>1969</v>
      </c>
      <c r="I29" s="2346"/>
    </row>
    <row r="30" spans="1:9" x14ac:dyDescent="0.3">
      <c r="A30" s="2380" t="s">
        <v>1988</v>
      </c>
      <c r="B30" s="2437">
        <v>0</v>
      </c>
      <c r="C30" s="2437">
        <v>0</v>
      </c>
      <c r="D30" s="2437">
        <v>0</v>
      </c>
      <c r="E30" s="2437">
        <v>0</v>
      </c>
      <c r="F30" s="2437">
        <v>0</v>
      </c>
      <c r="G30" s="2437">
        <v>5000</v>
      </c>
      <c r="H30" s="2438">
        <f>+SUM(B30:G30)</f>
        <v>5000</v>
      </c>
      <c r="I30" s="2189" t="s">
        <v>1989</v>
      </c>
    </row>
    <row r="31" spans="1:9" x14ac:dyDescent="0.3">
      <c r="A31" s="2380" t="s">
        <v>1990</v>
      </c>
      <c r="B31" s="2437">
        <v>0</v>
      </c>
      <c r="C31" s="2437">
        <v>0</v>
      </c>
      <c r="D31" s="2437">
        <v>0</v>
      </c>
      <c r="E31" s="2437">
        <v>0</v>
      </c>
      <c r="F31" s="2437">
        <v>0</v>
      </c>
      <c r="G31" s="2437">
        <v>5000</v>
      </c>
      <c r="H31" s="2438">
        <f>+SUM(B31:G31)</f>
        <v>5000</v>
      </c>
      <c r="I31" s="2189" t="s">
        <v>1989</v>
      </c>
    </row>
    <row r="32" spans="1:9" x14ac:dyDescent="0.3">
      <c r="A32" s="2380" t="s">
        <v>1991</v>
      </c>
      <c r="B32" s="2437">
        <v>0</v>
      </c>
      <c r="C32" s="2437">
        <v>0</v>
      </c>
      <c r="D32" s="2437">
        <v>0</v>
      </c>
      <c r="E32" s="2437">
        <v>0</v>
      </c>
      <c r="F32" s="2437">
        <v>0</v>
      </c>
      <c r="G32" s="2437">
        <v>5000</v>
      </c>
      <c r="H32" s="2438">
        <v>20000</v>
      </c>
      <c r="I32" s="2189" t="s">
        <v>1989</v>
      </c>
    </row>
    <row r="33" spans="1:9" x14ac:dyDescent="0.3">
      <c r="A33" s="2380" t="s">
        <v>1992</v>
      </c>
      <c r="B33" s="2437">
        <v>0</v>
      </c>
      <c r="C33" s="2437">
        <v>20000</v>
      </c>
      <c r="D33" s="2437">
        <v>0</v>
      </c>
      <c r="E33" s="2437">
        <v>0</v>
      </c>
      <c r="F33" s="2437">
        <v>0</v>
      </c>
      <c r="G33" s="2437">
        <v>5000</v>
      </c>
      <c r="H33" s="2438">
        <f t="shared" ref="H33:H38" si="5">+SUM(B33:G33)</f>
        <v>25000</v>
      </c>
      <c r="I33" s="2189" t="s">
        <v>1993</v>
      </c>
    </row>
    <row r="34" spans="1:9" x14ac:dyDescent="0.3">
      <c r="A34" s="2380" t="s">
        <v>1994</v>
      </c>
      <c r="B34" s="2437">
        <v>0</v>
      </c>
      <c r="C34" s="2437">
        <v>5000</v>
      </c>
      <c r="D34" s="2437">
        <v>5000</v>
      </c>
      <c r="E34" s="2437">
        <v>7500</v>
      </c>
      <c r="F34" s="2437">
        <v>2500</v>
      </c>
      <c r="G34" s="2437">
        <v>0</v>
      </c>
      <c r="H34" s="2438">
        <f t="shared" si="5"/>
        <v>20000</v>
      </c>
      <c r="I34" s="2189" t="s">
        <v>1995</v>
      </c>
    </row>
    <row r="35" spans="1:9" x14ac:dyDescent="0.3">
      <c r="A35" s="2380" t="s">
        <v>1996</v>
      </c>
      <c r="B35" s="2437">
        <v>0</v>
      </c>
      <c r="C35" s="2437">
        <v>0</v>
      </c>
      <c r="D35" s="2437">
        <v>0</v>
      </c>
      <c r="E35" s="2437">
        <v>0</v>
      </c>
      <c r="F35" s="2437">
        <v>0</v>
      </c>
      <c r="G35" s="2437">
        <v>2000</v>
      </c>
      <c r="H35" s="2438">
        <f t="shared" si="5"/>
        <v>2000</v>
      </c>
      <c r="I35" s="2189" t="s">
        <v>1997</v>
      </c>
    </row>
    <row r="36" spans="1:9" x14ac:dyDescent="0.3">
      <c r="A36" s="2380" t="s">
        <v>1998</v>
      </c>
      <c r="B36" s="2437">
        <v>0</v>
      </c>
      <c r="C36" s="2437">
        <v>0</v>
      </c>
      <c r="D36" s="2437">
        <v>0</v>
      </c>
      <c r="E36" s="2437">
        <v>0</v>
      </c>
      <c r="F36" s="2437">
        <v>0</v>
      </c>
      <c r="G36" s="2437">
        <v>2000</v>
      </c>
      <c r="H36" s="2438">
        <f t="shared" si="5"/>
        <v>2000</v>
      </c>
      <c r="I36" s="2189" t="s">
        <v>1997</v>
      </c>
    </row>
    <row r="37" spans="1:9" x14ac:dyDescent="0.3">
      <c r="A37" s="2380" t="s">
        <v>1999</v>
      </c>
      <c r="B37" s="2437">
        <v>0</v>
      </c>
      <c r="C37" s="2437">
        <v>0</v>
      </c>
      <c r="D37" s="2437">
        <v>0</v>
      </c>
      <c r="E37" s="2437">
        <v>0</v>
      </c>
      <c r="F37" s="2437">
        <v>0</v>
      </c>
      <c r="G37" s="2437">
        <v>0</v>
      </c>
      <c r="H37" s="2438">
        <f t="shared" si="5"/>
        <v>0</v>
      </c>
      <c r="I37" s="2189" t="s">
        <v>2000</v>
      </c>
    </row>
    <row r="38" spans="1:9" x14ac:dyDescent="0.3">
      <c r="A38" s="2380" t="s">
        <v>2001</v>
      </c>
      <c r="B38" s="2437">
        <v>2400</v>
      </c>
      <c r="C38" s="2437">
        <v>0</v>
      </c>
      <c r="D38" s="2437">
        <v>0</v>
      </c>
      <c r="E38" s="2437">
        <v>0</v>
      </c>
      <c r="F38" s="2437">
        <v>0</v>
      </c>
      <c r="G38" s="2437">
        <v>0</v>
      </c>
      <c r="H38" s="2438">
        <f t="shared" si="5"/>
        <v>2400</v>
      </c>
      <c r="I38" s="2189" t="s">
        <v>2002</v>
      </c>
    </row>
    <row r="39" spans="1:9" x14ac:dyDescent="0.3">
      <c r="A39" s="2380" t="s">
        <v>2003</v>
      </c>
      <c r="B39" s="2437">
        <v>0</v>
      </c>
      <c r="C39" s="2437">
        <v>0</v>
      </c>
      <c r="D39" s="2437">
        <v>0</v>
      </c>
      <c r="E39" s="2437">
        <v>0</v>
      </c>
      <c r="F39" s="2437">
        <v>0</v>
      </c>
      <c r="G39" s="2437">
        <v>0</v>
      </c>
      <c r="H39" s="2438">
        <f t="shared" ref="H39:H40" si="6">+SUM(B39:G39)</f>
        <v>0</v>
      </c>
      <c r="I39" s="2189" t="s">
        <v>2004</v>
      </c>
    </row>
    <row r="40" spans="1:9" x14ac:dyDescent="0.3">
      <c r="A40" s="2380" t="s">
        <v>2005</v>
      </c>
      <c r="B40" s="2437">
        <v>0</v>
      </c>
      <c r="C40" s="2437">
        <v>0</v>
      </c>
      <c r="D40" s="2437">
        <v>0</v>
      </c>
      <c r="E40" s="2437">
        <v>0</v>
      </c>
      <c r="F40" s="2437">
        <v>0</v>
      </c>
      <c r="G40" s="2437">
        <v>0</v>
      </c>
      <c r="H40" s="2438">
        <f t="shared" si="6"/>
        <v>0</v>
      </c>
      <c r="I40" s="2189" t="s">
        <v>2006</v>
      </c>
    </row>
    <row r="41" spans="1:9" x14ac:dyDescent="0.3">
      <c r="A41" s="2380" t="s">
        <v>2007</v>
      </c>
      <c r="B41" s="2437">
        <v>0</v>
      </c>
      <c r="C41" s="2437">
        <v>0</v>
      </c>
      <c r="D41" s="2437">
        <v>0</v>
      </c>
      <c r="E41" s="2437">
        <v>0</v>
      </c>
      <c r="F41" s="2437">
        <v>0</v>
      </c>
      <c r="G41" s="2437">
        <v>5000</v>
      </c>
      <c r="H41" s="2438">
        <f t="shared" ref="H41:H49" si="7">+SUM(B41:G41)</f>
        <v>5000</v>
      </c>
      <c r="I41" s="2189" t="s">
        <v>2008</v>
      </c>
    </row>
    <row r="42" spans="1:9" x14ac:dyDescent="0.3">
      <c r="A42" s="2380" t="s">
        <v>2009</v>
      </c>
      <c r="B42" s="2437">
        <v>0</v>
      </c>
      <c r="C42" s="2437">
        <v>0</v>
      </c>
      <c r="D42" s="2437">
        <v>0</v>
      </c>
      <c r="E42" s="2437">
        <v>0</v>
      </c>
      <c r="F42" s="2437">
        <v>0</v>
      </c>
      <c r="G42" s="2437">
        <v>0</v>
      </c>
      <c r="H42" s="2438">
        <f t="shared" si="7"/>
        <v>0</v>
      </c>
      <c r="I42" s="2189" t="s">
        <v>2010</v>
      </c>
    </row>
    <row r="43" spans="1:9" x14ac:dyDescent="0.3">
      <c r="A43" s="2380" t="s">
        <v>2011</v>
      </c>
      <c r="B43" s="2437">
        <v>0</v>
      </c>
      <c r="C43" s="2437">
        <v>0</v>
      </c>
      <c r="D43" s="2437">
        <v>0</v>
      </c>
      <c r="E43" s="2437">
        <v>0</v>
      </c>
      <c r="F43" s="2437">
        <v>0</v>
      </c>
      <c r="G43" s="2437">
        <v>0</v>
      </c>
      <c r="H43" s="2438">
        <f t="shared" si="7"/>
        <v>0</v>
      </c>
      <c r="I43" s="2189" t="s">
        <v>2012</v>
      </c>
    </row>
    <row r="44" spans="1:9" x14ac:dyDescent="0.3">
      <c r="A44" s="2380" t="s">
        <v>2013</v>
      </c>
      <c r="B44" s="2437">
        <v>0</v>
      </c>
      <c r="C44" s="2437">
        <v>0</v>
      </c>
      <c r="D44" s="2437">
        <v>0</v>
      </c>
      <c r="E44" s="2437">
        <v>0</v>
      </c>
      <c r="F44" s="2437">
        <v>0</v>
      </c>
      <c r="G44" s="2437">
        <v>0</v>
      </c>
      <c r="H44" s="2438">
        <f t="shared" si="7"/>
        <v>0</v>
      </c>
      <c r="I44" s="2189" t="s">
        <v>2000</v>
      </c>
    </row>
    <row r="45" spans="1:9" x14ac:dyDescent="0.3">
      <c r="A45" s="2380" t="s">
        <v>2014</v>
      </c>
      <c r="B45" s="2437">
        <v>0</v>
      </c>
      <c r="C45" s="2437">
        <v>0</v>
      </c>
      <c r="D45" s="2437">
        <v>0</v>
      </c>
      <c r="E45" s="2437">
        <v>0</v>
      </c>
      <c r="F45" s="2437">
        <v>0</v>
      </c>
      <c r="G45" s="2437">
        <v>0</v>
      </c>
      <c r="H45" s="2438">
        <f t="shared" si="7"/>
        <v>0</v>
      </c>
      <c r="I45" s="2189" t="s">
        <v>2000</v>
      </c>
    </row>
    <row r="46" spans="1:9" x14ac:dyDescent="0.3">
      <c r="A46" s="2380" t="s">
        <v>2015</v>
      </c>
      <c r="B46" s="2437">
        <v>0</v>
      </c>
      <c r="C46" s="2437">
        <v>0</v>
      </c>
      <c r="D46" s="2437">
        <v>0</v>
      </c>
      <c r="E46" s="2437">
        <v>10000</v>
      </c>
      <c r="F46" s="2437">
        <f>92650-E46-18000</f>
        <v>64650</v>
      </c>
      <c r="G46" s="2437">
        <v>18000</v>
      </c>
      <c r="H46" s="2438">
        <f>+SUM(B46:G46)</f>
        <v>92650</v>
      </c>
      <c r="I46" s="2189" t="s">
        <v>2016</v>
      </c>
    </row>
    <row r="47" spans="1:9" x14ac:dyDescent="0.3">
      <c r="A47" s="2380" t="s">
        <v>2017</v>
      </c>
      <c r="B47" s="2437">
        <v>0</v>
      </c>
      <c r="C47" s="2437">
        <v>0</v>
      </c>
      <c r="D47" s="2437">
        <v>0</v>
      </c>
      <c r="E47" s="2437">
        <v>10000</v>
      </c>
      <c r="F47" s="2437">
        <v>15000</v>
      </c>
      <c r="G47" s="2437">
        <v>0</v>
      </c>
      <c r="H47" s="2438">
        <f t="shared" si="7"/>
        <v>25000</v>
      </c>
      <c r="I47" s="2189" t="s">
        <v>1995</v>
      </c>
    </row>
    <row r="48" spans="1:9" x14ac:dyDescent="0.3">
      <c r="A48" s="2189" t="s">
        <v>1979</v>
      </c>
      <c r="B48" s="2437"/>
      <c r="C48" s="2437"/>
      <c r="D48" s="2437"/>
      <c r="E48" s="2437"/>
      <c r="F48" s="2437"/>
      <c r="G48" s="2437"/>
      <c r="H48" s="2438">
        <f t="shared" si="7"/>
        <v>0</v>
      </c>
      <c r="I48" s="2189"/>
    </row>
    <row r="49" spans="1:9" x14ac:dyDescent="0.3">
      <c r="A49" s="2189" t="s">
        <v>1979</v>
      </c>
      <c r="B49" s="2437"/>
      <c r="C49" s="2437"/>
      <c r="D49" s="2437"/>
      <c r="E49" s="2437"/>
      <c r="F49" s="2437"/>
      <c r="G49" s="2437"/>
      <c r="H49" s="2438">
        <f t="shared" si="7"/>
        <v>0</v>
      </c>
      <c r="I49" s="2189"/>
    </row>
    <row r="50" spans="1:9" x14ac:dyDescent="0.3">
      <c r="A50" s="2435" t="s">
        <v>1980</v>
      </c>
      <c r="B50" s="2436">
        <f t="shared" ref="B50:G50" si="8">+SUM(B30:B49)</f>
        <v>2400</v>
      </c>
      <c r="C50" s="2436">
        <f t="shared" si="8"/>
        <v>25000</v>
      </c>
      <c r="D50" s="2436">
        <f t="shared" si="8"/>
        <v>5000</v>
      </c>
      <c r="E50" s="2436">
        <f t="shared" si="8"/>
        <v>27500</v>
      </c>
      <c r="F50" s="2436">
        <f t="shared" si="8"/>
        <v>82150</v>
      </c>
      <c r="G50" s="2436">
        <f t="shared" si="8"/>
        <v>47000</v>
      </c>
      <c r="H50" s="2439">
        <f>+SUM(SUM(H30:H49))</f>
        <v>204050</v>
      </c>
      <c r="I50" s="2435"/>
    </row>
    <row r="51" spans="1:9" x14ac:dyDescent="0.3">
      <c r="A51" s="2262"/>
      <c r="F51" s="2261"/>
      <c r="I51" s="2262"/>
    </row>
    <row r="52" spans="1:9" x14ac:dyDescent="0.3">
      <c r="A52" s="2347" t="s">
        <v>1808</v>
      </c>
      <c r="B52" s="2347"/>
      <c r="C52" s="2347"/>
      <c r="D52" s="2347"/>
      <c r="E52" s="2347"/>
      <c r="F52" s="2347"/>
      <c r="G52" s="2347"/>
      <c r="H52" s="2347"/>
      <c r="I52" s="2347"/>
    </row>
    <row r="53" spans="1:9" x14ac:dyDescent="0.3">
      <c r="A53" s="2346" t="s">
        <v>1073</v>
      </c>
      <c r="B53" s="2346" t="s">
        <v>1964</v>
      </c>
      <c r="C53" s="2346" t="s">
        <v>1965</v>
      </c>
      <c r="D53" s="2346" t="s">
        <v>1966</v>
      </c>
      <c r="E53" s="2346" t="s">
        <v>1967</v>
      </c>
      <c r="F53" s="2346" t="s">
        <v>1837</v>
      </c>
      <c r="G53" s="2346" t="s">
        <v>1968</v>
      </c>
      <c r="H53" s="2346" t="s">
        <v>1969</v>
      </c>
      <c r="I53" s="2346"/>
    </row>
    <row r="54" spans="1:9" x14ac:dyDescent="0.3">
      <c r="A54" s="2380" t="s">
        <v>1808</v>
      </c>
      <c r="B54" s="2437">
        <v>0</v>
      </c>
      <c r="C54" s="2437">
        <v>0</v>
      </c>
      <c r="D54" s="2437">
        <v>0</v>
      </c>
      <c r="E54" s="2437">
        <v>0</v>
      </c>
      <c r="F54" s="2437">
        <v>0</v>
      </c>
      <c r="G54" s="2437">
        <v>10000</v>
      </c>
      <c r="H54" s="2438">
        <f t="shared" ref="H54:H57" si="9">+SUM(B54:G54)</f>
        <v>10000</v>
      </c>
      <c r="I54" s="2189"/>
    </row>
    <row r="55" spans="1:9" x14ac:dyDescent="0.3">
      <c r="A55" s="2380" t="s">
        <v>2018</v>
      </c>
      <c r="B55" s="2437">
        <v>5000</v>
      </c>
      <c r="C55" s="2437">
        <v>0</v>
      </c>
      <c r="D55" s="2437">
        <v>0</v>
      </c>
      <c r="E55" s="2437">
        <v>0</v>
      </c>
      <c r="F55" s="2437">
        <v>0</v>
      </c>
      <c r="G55" s="2437">
        <v>25000</v>
      </c>
      <c r="H55" s="2438">
        <f t="shared" si="9"/>
        <v>30000</v>
      </c>
      <c r="I55" s="2189" t="s">
        <v>2019</v>
      </c>
    </row>
    <row r="56" spans="1:9" x14ac:dyDescent="0.3">
      <c r="A56" s="2380" t="s">
        <v>2020</v>
      </c>
      <c r="B56" s="2437">
        <v>0</v>
      </c>
      <c r="C56" s="2437">
        <v>0</v>
      </c>
      <c r="D56" s="2437">
        <v>0</v>
      </c>
      <c r="E56" s="2437">
        <v>0</v>
      </c>
      <c r="F56" s="2437">
        <v>0</v>
      </c>
      <c r="G56" s="2437">
        <v>5000</v>
      </c>
      <c r="H56" s="2438">
        <f t="shared" si="9"/>
        <v>5000</v>
      </c>
      <c r="I56" s="2189"/>
    </row>
    <row r="57" spans="1:9" x14ac:dyDescent="0.3">
      <c r="A57" s="2380" t="s">
        <v>2021</v>
      </c>
      <c r="B57" s="2437">
        <v>0</v>
      </c>
      <c r="C57" s="2437">
        <v>0</v>
      </c>
      <c r="D57" s="2437">
        <v>0</v>
      </c>
      <c r="E57" s="2437">
        <v>0</v>
      </c>
      <c r="F57" s="2437">
        <v>0</v>
      </c>
      <c r="G57" s="2437">
        <v>5000</v>
      </c>
      <c r="H57" s="2438">
        <f t="shared" si="9"/>
        <v>5000</v>
      </c>
      <c r="I57" s="2189"/>
    </row>
    <row r="58" spans="1:9" x14ac:dyDescent="0.3">
      <c r="A58" s="2435" t="s">
        <v>1980</v>
      </c>
      <c r="B58" s="2436">
        <f>+SUM(B53:B57)</f>
        <v>5000</v>
      </c>
      <c r="C58" s="2436">
        <f t="shared" ref="C58:G58" si="10">+SUM(C53:C57)</f>
        <v>0</v>
      </c>
      <c r="D58" s="2436">
        <f t="shared" si="10"/>
        <v>0</v>
      </c>
      <c r="E58" s="2436">
        <f t="shared" si="10"/>
        <v>0</v>
      </c>
      <c r="F58" s="2436">
        <f t="shared" si="10"/>
        <v>0</v>
      </c>
      <c r="G58" s="2436">
        <f t="shared" si="10"/>
        <v>45000</v>
      </c>
      <c r="H58" s="2439">
        <f>+SUM(H54:H57)</f>
        <v>50000</v>
      </c>
      <c r="I58" s="2435"/>
    </row>
    <row r="59" spans="1:9" ht="15" customHeight="1" x14ac:dyDescent="0.45">
      <c r="A59" s="2259"/>
      <c r="I59" s="2259"/>
    </row>
    <row r="60" spans="1:9" x14ac:dyDescent="0.3">
      <c r="H60" s="2309"/>
    </row>
    <row r="61" spans="1:9" x14ac:dyDescent="0.3">
      <c r="H61" s="2309"/>
    </row>
    <row r="63" spans="1:9" x14ac:dyDescent="0.3">
      <c r="B63" s="2261">
        <f>B58+B50+B16+B6</f>
        <v>49300</v>
      </c>
    </row>
  </sheetData>
  <conditionalFormatting sqref="A3:H6 A54:H58 A20:H26 A10:H16 A30:H50">
    <cfRule type="expression" dxfId="73" priority="100">
      <formula>#REF!&gt;0</formula>
    </cfRule>
  </conditionalFormatting>
  <conditionalFormatting sqref="H20:H23">
    <cfRule type="expression" dxfId="72" priority="97">
      <formula>#REF!&gt;0</formula>
    </cfRule>
  </conditionalFormatting>
  <conditionalFormatting sqref="A17 A27">
    <cfRule type="expression" dxfId="71" priority="83">
      <formula>#REF!&gt;0</formula>
    </cfRule>
  </conditionalFormatting>
  <conditionalFormatting sqref="A51">
    <cfRule type="expression" dxfId="70" priority="82">
      <formula>#REF!&gt;0</formula>
    </cfRule>
  </conditionalFormatting>
  <conditionalFormatting sqref="H30">
    <cfRule type="expression" dxfId="69" priority="78">
      <formula>#REF!&gt;0</formula>
    </cfRule>
  </conditionalFormatting>
  <conditionalFormatting sqref="H3:H5">
    <cfRule type="expression" dxfId="68" priority="51">
      <formula>#REF!&gt;0</formula>
    </cfRule>
  </conditionalFormatting>
  <conditionalFormatting sqref="H54">
    <cfRule type="expression" dxfId="67" priority="30">
      <formula>#REF!&gt;0</formula>
    </cfRule>
  </conditionalFormatting>
  <conditionalFormatting sqref="H24:H25">
    <cfRule type="expression" dxfId="66" priority="8">
      <formula>#REF!&gt;0</formula>
    </cfRule>
  </conditionalFormatting>
  <conditionalFormatting sqref="H48:H49">
    <cfRule type="expression" dxfId="65" priority="7">
      <formula>#REF!&gt;0</formula>
    </cfRule>
  </conditionalFormatting>
  <conditionalFormatting sqref="H20:H25">
    <cfRule type="expression" dxfId="64" priority="6">
      <formula>#REF!&gt;0</formula>
    </cfRule>
  </conditionalFormatting>
  <conditionalFormatting sqref="H30:H34">
    <cfRule type="expression" dxfId="63" priority="5">
      <formula>#REF!&gt;0</formula>
    </cfRule>
  </conditionalFormatting>
  <conditionalFormatting sqref="H30:H34">
    <cfRule type="expression" dxfId="62" priority="4">
      <formula>#REF!&gt;0</formula>
    </cfRule>
  </conditionalFormatting>
  <conditionalFormatting sqref="I54:I58 I20:I26 I30:I50 I3:I6 I10:I16">
    <cfRule type="expression" dxfId="61" priority="3">
      <formula>#REF!&gt;0</formula>
    </cfRule>
  </conditionalFormatting>
  <conditionalFormatting sqref="I17 I27">
    <cfRule type="expression" dxfId="60" priority="2">
      <formula>#REF!&gt;0</formula>
    </cfRule>
  </conditionalFormatting>
  <conditionalFormatting sqref="I51">
    <cfRule type="expression" dxfId="59" priority="1">
      <formula>#REF!&gt;0</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68C209-D164-4B51-8F22-D4E1E9DBF2BD}">
  <sheetPr codeName="Sheet30">
    <tabColor rgb="FF7030A0"/>
  </sheetPr>
  <dimension ref="A1:J62"/>
  <sheetViews>
    <sheetView showGridLines="0" workbookViewId="0">
      <selection activeCell="B39" sqref="B39"/>
    </sheetView>
  </sheetViews>
  <sheetFormatPr defaultColWidth="8.6640625" defaultRowHeight="14.4" x14ac:dyDescent="0.3"/>
  <cols>
    <col min="1" max="1" width="34.109375" style="3" customWidth="1"/>
    <col min="2" max="6" width="21.88671875" style="3" customWidth="1"/>
    <col min="7" max="7" width="8.6640625" style="3" customWidth="1"/>
    <col min="8" max="8" width="21.88671875" style="3" customWidth="1"/>
    <col min="9" max="9" width="11.88671875" style="3" bestFit="1" customWidth="1"/>
    <col min="10" max="14" width="8.6640625" style="3" customWidth="1"/>
    <col min="15" max="15" width="2.33203125" style="3" customWidth="1"/>
    <col min="16" max="16" width="16.5546875" style="3" bestFit="1" customWidth="1"/>
    <col min="17" max="17" width="16.5546875" style="3" customWidth="1"/>
    <col min="18" max="18" width="15.33203125" style="3" customWidth="1"/>
    <col min="19" max="16384" width="8.6640625" style="3"/>
  </cols>
  <sheetData>
    <row r="1" spans="1:9" x14ac:dyDescent="0.3">
      <c r="A1" s="2347" t="s">
        <v>2022</v>
      </c>
      <c r="B1" s="2347"/>
      <c r="C1" s="2347"/>
      <c r="D1" s="2347"/>
      <c r="E1" s="2347"/>
      <c r="F1" s="2347"/>
      <c r="G1" s="2347"/>
      <c r="H1" s="2347"/>
      <c r="I1" s="2347"/>
    </row>
    <row r="2" spans="1:9" x14ac:dyDescent="0.3">
      <c r="A2" s="2740" t="s">
        <v>1621</v>
      </c>
      <c r="B2" s="2740"/>
      <c r="C2" s="2740"/>
      <c r="D2" s="2740"/>
      <c r="E2" s="2740"/>
      <c r="F2" s="2740"/>
      <c r="H2" s="2745" t="s">
        <v>2023</v>
      </c>
      <c r="I2" s="2747"/>
    </row>
    <row r="3" spans="1:9" x14ac:dyDescent="0.3">
      <c r="A3" s="2355" t="s">
        <v>634</v>
      </c>
      <c r="B3" s="2356" t="s">
        <v>2563</v>
      </c>
      <c r="C3" s="2356" t="s">
        <v>2564</v>
      </c>
      <c r="D3" s="2383" t="s">
        <v>2565</v>
      </c>
      <c r="E3" s="2383" t="s">
        <v>1122</v>
      </c>
      <c r="F3" s="2383" t="s">
        <v>1122</v>
      </c>
      <c r="H3" s="2356" t="s">
        <v>2024</v>
      </c>
      <c r="I3" s="2355" t="s">
        <v>2025</v>
      </c>
    </row>
    <row r="4" spans="1:9" x14ac:dyDescent="0.3">
      <c r="A4" s="2206" t="s">
        <v>2026</v>
      </c>
      <c r="B4" s="2260">
        <v>3487408</v>
      </c>
      <c r="C4" s="2260">
        <v>3639034</v>
      </c>
      <c r="D4" s="2363">
        <f>+C4</f>
        <v>3639034</v>
      </c>
      <c r="E4" s="2363"/>
      <c r="F4" s="2363"/>
      <c r="H4" s="2363">
        <f>'General Input Details'!B25*AVERAGE(B39:C39)</f>
        <v>3666502.7681159414</v>
      </c>
      <c r="I4" s="2239" t="s">
        <v>839</v>
      </c>
    </row>
    <row r="5" spans="1:9" x14ac:dyDescent="0.3">
      <c r="A5" s="2206" t="s">
        <v>2027</v>
      </c>
      <c r="B5" s="2260">
        <v>9027576</v>
      </c>
      <c r="C5" s="2260">
        <v>9271604</v>
      </c>
      <c r="D5" s="2363">
        <f>+C5</f>
        <v>9271604</v>
      </c>
      <c r="E5" s="2363"/>
      <c r="F5" s="2363"/>
      <c r="H5" s="2363">
        <f>Units*AVERAGE(B36:C36)</f>
        <v>10497194.713980198</v>
      </c>
      <c r="I5" s="2239" t="s">
        <v>399</v>
      </c>
    </row>
    <row r="6" spans="1:9" x14ac:dyDescent="0.3">
      <c r="A6" s="2206" t="s">
        <v>2028</v>
      </c>
      <c r="B6" s="2260">
        <v>625000</v>
      </c>
      <c r="C6" s="2260">
        <v>505000</v>
      </c>
      <c r="D6" s="2363">
        <f>+AVERAGE(B6:C6)</f>
        <v>565000</v>
      </c>
      <c r="E6" s="2363"/>
      <c r="F6" s="2363"/>
      <c r="H6" s="2363">
        <f>Units*C37</f>
        <v>640000</v>
      </c>
      <c r="I6" s="2239" t="s">
        <v>399</v>
      </c>
    </row>
    <row r="7" spans="1:9" x14ac:dyDescent="0.3">
      <c r="A7" s="2206" t="s">
        <v>2029</v>
      </c>
      <c r="B7" s="2260">
        <v>665470</v>
      </c>
      <c r="C7" s="2260">
        <v>659786</v>
      </c>
      <c r="D7" s="2363">
        <f>+C7</f>
        <v>659786</v>
      </c>
      <c r="E7" s="2363"/>
      <c r="F7" s="2363"/>
      <c r="H7" s="2363">
        <f>AVERAGE(B7:C7)</f>
        <v>662628</v>
      </c>
      <c r="I7" s="2239" t="s">
        <v>990</v>
      </c>
    </row>
    <row r="8" spans="1:9" x14ac:dyDescent="0.3">
      <c r="A8" s="2206" t="s">
        <v>1842</v>
      </c>
      <c r="B8" s="2260">
        <v>1462413</v>
      </c>
      <c r="C8" s="2260">
        <v>1462413</v>
      </c>
      <c r="D8" s="2363">
        <f>+C8</f>
        <v>1462413</v>
      </c>
      <c r="E8" s="2363"/>
      <c r="F8" s="2363"/>
      <c r="H8" s="2363">
        <f>AVERAGE(B8:C8)</f>
        <v>1462413</v>
      </c>
      <c r="I8" s="2239" t="s">
        <v>990</v>
      </c>
    </row>
    <row r="9" spans="1:9" x14ac:dyDescent="0.3">
      <c r="A9" s="2206" t="s">
        <v>2030</v>
      </c>
      <c r="B9" s="2260">
        <v>22307726</v>
      </c>
      <c r="C9" s="2260">
        <v>13228049</v>
      </c>
      <c r="D9" s="2363">
        <f>+(C9/(C23-C29))*(D23-D29)</f>
        <v>23810488.199999999</v>
      </c>
      <c r="E9" s="2363"/>
      <c r="F9" s="2363"/>
      <c r="H9" s="2363">
        <f>NRSF*AVERAGE(B38:C38)</f>
        <v>18674285.563088506</v>
      </c>
      <c r="I9" s="2239" t="s">
        <v>1187</v>
      </c>
    </row>
    <row r="10" spans="1:9" x14ac:dyDescent="0.3">
      <c r="A10" s="2206" t="s">
        <v>1885</v>
      </c>
      <c r="B10" s="2260"/>
      <c r="C10" s="2260"/>
      <c r="D10" s="2363">
        <f>120000*4</f>
        <v>480000</v>
      </c>
      <c r="E10" s="2363"/>
      <c r="F10" s="2363"/>
      <c r="H10" s="2363">
        <f>B40*'General Inputs'!D24</f>
        <v>0</v>
      </c>
      <c r="I10" s="2239" t="s">
        <v>2031</v>
      </c>
    </row>
    <row r="11" spans="1:9" x14ac:dyDescent="0.3">
      <c r="A11" s="2206" t="s">
        <v>2032</v>
      </c>
      <c r="B11" s="2260">
        <v>173100</v>
      </c>
      <c r="C11" s="2260">
        <v>150323</v>
      </c>
      <c r="D11" s="2363">
        <v>200000</v>
      </c>
      <c r="E11" s="2363"/>
      <c r="F11" s="2363"/>
      <c r="H11" s="2363">
        <f>AVERAGE(B11:C11)</f>
        <v>161711.5</v>
      </c>
      <c r="I11" s="2239" t="s">
        <v>990</v>
      </c>
    </row>
    <row r="12" spans="1:9" x14ac:dyDescent="0.3">
      <c r="A12" s="2206" t="s">
        <v>2033</v>
      </c>
      <c r="B12" s="2260"/>
      <c r="C12" s="2260"/>
      <c r="D12" s="2363">
        <v>0</v>
      </c>
      <c r="E12" s="2363"/>
      <c r="F12" s="2363"/>
      <c r="H12" s="2363">
        <v>0</v>
      </c>
      <c r="I12" s="2239" t="s">
        <v>2034</v>
      </c>
    </row>
    <row r="13" spans="1:9" x14ac:dyDescent="0.3">
      <c r="A13" s="2206" t="s">
        <v>1960</v>
      </c>
      <c r="B13" s="2260">
        <v>7080475</v>
      </c>
      <c r="C13" s="2260">
        <v>12456864</v>
      </c>
      <c r="D13" s="2363">
        <f>+(C13/C29)*D29</f>
        <v>6076519.0243902439</v>
      </c>
      <c r="E13" s="2363"/>
      <c r="F13" s="2363"/>
      <c r="H13" s="2363">
        <v>0</v>
      </c>
      <c r="I13" s="2239" t="s">
        <v>2034</v>
      </c>
    </row>
    <row r="14" spans="1:9" x14ac:dyDescent="0.3">
      <c r="A14" s="2206" t="s">
        <v>2035</v>
      </c>
      <c r="B14" s="2260"/>
      <c r="C14" s="2260"/>
      <c r="D14" s="2363">
        <v>0</v>
      </c>
      <c r="E14" s="2363"/>
      <c r="F14" s="2363"/>
      <c r="H14" s="2363">
        <v>500000</v>
      </c>
      <c r="I14" s="2239" t="s">
        <v>990</v>
      </c>
    </row>
    <row r="15" spans="1:9" x14ac:dyDescent="0.3">
      <c r="A15" s="2206" t="s">
        <v>2036</v>
      </c>
      <c r="B15" s="2260">
        <v>896583</v>
      </c>
      <c r="C15" s="2260">
        <v>827461</v>
      </c>
      <c r="D15" s="2363">
        <f>+SUM(D4:D14)*0.02</f>
        <v>923296.88448780496</v>
      </c>
      <c r="E15" s="2363"/>
      <c r="F15" s="2363"/>
      <c r="H15" s="2363">
        <f>AVERAGE(B41:C41)*SUM(H4:H14)</f>
        <v>725294.36369009269</v>
      </c>
      <c r="I15" s="2239" t="s">
        <v>1154</v>
      </c>
    </row>
    <row r="16" spans="1:9" x14ac:dyDescent="0.3">
      <c r="A16" s="2206" t="s">
        <v>2037</v>
      </c>
      <c r="B16" s="2260"/>
      <c r="C16" s="2260"/>
      <c r="D16" s="2363"/>
      <c r="E16" s="2363"/>
      <c r="F16" s="2363"/>
      <c r="H16" s="2363">
        <f>AVERAGE(B42:C42)*SUM(H4:H15)</f>
        <v>0</v>
      </c>
      <c r="I16" s="2239" t="s">
        <v>1154</v>
      </c>
    </row>
    <row r="17" spans="1:10" x14ac:dyDescent="0.3">
      <c r="A17" s="2206" t="s">
        <v>2038</v>
      </c>
      <c r="B17" s="2260">
        <v>2286288</v>
      </c>
      <c r="C17" s="2260">
        <v>2110027</v>
      </c>
      <c r="D17" s="2363">
        <f>+SUM(D4:D15)*0.05</f>
        <v>2354407.055443903</v>
      </c>
      <c r="E17" s="2363"/>
      <c r="F17" s="2363"/>
      <c r="H17" s="2363">
        <f>AVERAGE(B43:C43)*SUM(H4:H16)</f>
        <v>1849501.8089378756</v>
      </c>
      <c r="I17" s="2239" t="s">
        <v>1154</v>
      </c>
    </row>
    <row r="18" spans="1:10" x14ac:dyDescent="0.3">
      <c r="A18" s="2431" t="s">
        <v>2039</v>
      </c>
      <c r="B18" s="2432"/>
      <c r="C18" s="2432"/>
      <c r="D18" s="2433"/>
      <c r="E18" s="2433"/>
      <c r="F18" s="2363"/>
      <c r="H18" s="2363"/>
      <c r="I18" s="2239"/>
    </row>
    <row r="19" spans="1:10" x14ac:dyDescent="0.3">
      <c r="A19" s="2401" t="s">
        <v>173</v>
      </c>
      <c r="B19" s="2402">
        <f>SUM(B4:B18)</f>
        <v>48012039</v>
      </c>
      <c r="C19" s="2402">
        <f>SUM(C4:C18)</f>
        <v>44310561</v>
      </c>
      <c r="D19" s="2402">
        <f>SUM(D4:D18)</f>
        <v>49442548.164321959</v>
      </c>
      <c r="E19" s="2402">
        <f>SUM(E4:E18)</f>
        <v>0</v>
      </c>
      <c r="F19" s="2418">
        <f t="shared" ref="F19" si="0">SUM(F4:F17)</f>
        <v>0</v>
      </c>
      <c r="H19" s="2455">
        <f>205*NRSF</f>
        <v>49277900</v>
      </c>
      <c r="I19" s="2428" t="s">
        <v>2040</v>
      </c>
      <c r="J19" s="3" t="s">
        <v>2041</v>
      </c>
    </row>
    <row r="21" spans="1:10" x14ac:dyDescent="0.3">
      <c r="A21" s="2355" t="s">
        <v>2042</v>
      </c>
      <c r="B21" s="2356" t="s">
        <v>2563</v>
      </c>
      <c r="C21" s="2356" t="s">
        <v>2564</v>
      </c>
      <c r="D21" s="2356" t="s">
        <v>2565</v>
      </c>
      <c r="E21" s="2383" t="s">
        <v>1122</v>
      </c>
      <c r="F21" s="2383" t="s">
        <v>1122</v>
      </c>
      <c r="H21" s="2418">
        <f>H19/Units</f>
        <v>192491.796875</v>
      </c>
      <c r="I21" s="2406" t="s">
        <v>2043</v>
      </c>
      <c r="J21" s="3" t="s">
        <v>2041</v>
      </c>
    </row>
    <row r="22" spans="1:10" x14ac:dyDescent="0.3">
      <c r="A22" s="2311" t="s">
        <v>2044</v>
      </c>
      <c r="B22" s="2425">
        <v>46143</v>
      </c>
      <c r="C22" s="2425">
        <v>46161</v>
      </c>
      <c r="D22" s="2425">
        <v>46220</v>
      </c>
      <c r="E22" s="2482">
        <v>46143</v>
      </c>
      <c r="F22" s="2353"/>
      <c r="H22" s="2418">
        <f>H19/NRSF</f>
        <v>205</v>
      </c>
      <c r="I22" s="2406" t="s">
        <v>2045</v>
      </c>
      <c r="J22" s="3" t="s">
        <v>2041</v>
      </c>
    </row>
    <row r="23" spans="1:10" x14ac:dyDescent="0.3">
      <c r="A23" s="2311" t="s">
        <v>410</v>
      </c>
      <c r="B23" s="2426">
        <v>250</v>
      </c>
      <c r="C23" s="2426">
        <v>202</v>
      </c>
      <c r="D23" s="2426">
        <v>256</v>
      </c>
      <c r="E23" s="2427">
        <v>250</v>
      </c>
      <c r="F23" s="2427"/>
    </row>
    <row r="24" spans="1:10" x14ac:dyDescent="0.3">
      <c r="A24" s="2311" t="s">
        <v>2046</v>
      </c>
      <c r="B24" s="2426">
        <v>927.13199999999995</v>
      </c>
      <c r="C24" s="2426">
        <v>836</v>
      </c>
      <c r="D24" s="2426">
        <f>+AvgUnitSize</f>
        <v>938.984375</v>
      </c>
      <c r="E24" s="2427">
        <v>927.13199999999995</v>
      </c>
      <c r="F24" s="2427"/>
    </row>
    <row r="25" spans="1:10" x14ac:dyDescent="0.3">
      <c r="A25" s="2311" t="s">
        <v>810</v>
      </c>
      <c r="B25" s="2426">
        <v>208438</v>
      </c>
      <c r="C25" s="2426">
        <v>273591</v>
      </c>
      <c r="D25" s="2430">
        <f>+NRSF</f>
        <v>240380</v>
      </c>
      <c r="E25" s="2427">
        <f>+NRSF</f>
        <v>240380</v>
      </c>
      <c r="F25" s="2427"/>
    </row>
    <row r="26" spans="1:10" x14ac:dyDescent="0.3">
      <c r="A26" s="2311" t="s">
        <v>2047</v>
      </c>
      <c r="B26" s="2429">
        <v>13.63</v>
      </c>
      <c r="C26" s="2429">
        <v>13.63</v>
      </c>
      <c r="D26" s="2429">
        <v>13.63</v>
      </c>
      <c r="E26" s="2483">
        <f>+'General Inputs'!D16</f>
        <v>13.63</v>
      </c>
      <c r="F26" s="2427"/>
    </row>
    <row r="27" spans="1:10" x14ac:dyDescent="0.3">
      <c r="A27" s="2311" t="s">
        <v>2048</v>
      </c>
      <c r="B27" s="2429"/>
      <c r="C27" s="2429">
        <v>0</v>
      </c>
      <c r="D27" s="2429">
        <v>0</v>
      </c>
      <c r="E27" s="2427"/>
      <c r="F27" s="2427"/>
    </row>
    <row r="28" spans="1:10" x14ac:dyDescent="0.3">
      <c r="A28" s="2311" t="s">
        <v>2049</v>
      </c>
      <c r="B28" s="2429"/>
      <c r="C28" s="2429">
        <v>0</v>
      </c>
      <c r="D28" s="2429">
        <v>0</v>
      </c>
      <c r="E28" s="2427"/>
      <c r="F28" s="2427"/>
    </row>
    <row r="29" spans="1:10" x14ac:dyDescent="0.3">
      <c r="A29" s="2311" t="s">
        <v>2050</v>
      </c>
      <c r="B29" s="2426">
        <v>46</v>
      </c>
      <c r="C29" s="2426">
        <v>82</v>
      </c>
      <c r="D29" s="2426">
        <v>40</v>
      </c>
      <c r="E29" s="2427">
        <v>46</v>
      </c>
      <c r="F29" s="2427"/>
    </row>
    <row r="30" spans="1:10" x14ac:dyDescent="0.3">
      <c r="A30" s="2311" t="s">
        <v>2051</v>
      </c>
      <c r="B30" s="2430"/>
      <c r="C30" s="2426">
        <v>35</v>
      </c>
      <c r="D30" s="2426">
        <f>6*4</f>
        <v>24</v>
      </c>
      <c r="E30" s="2427"/>
      <c r="F30" s="2427"/>
      <c r="H30" s="2195"/>
    </row>
    <row r="31" spans="1:10" x14ac:dyDescent="0.3">
      <c r="A31" s="2311" t="s">
        <v>2052</v>
      </c>
      <c r="B31" s="2426">
        <v>23</v>
      </c>
      <c r="C31" s="2426">
        <v>23</v>
      </c>
      <c r="D31" s="2430">
        <v>23</v>
      </c>
      <c r="E31" s="2427">
        <v>23</v>
      </c>
      <c r="F31" s="2427"/>
    </row>
    <row r="33" spans="1:9" x14ac:dyDescent="0.3">
      <c r="A33" s="2355" t="s">
        <v>2053</v>
      </c>
      <c r="B33" s="2356"/>
      <c r="C33" s="2356"/>
      <c r="D33" s="2356"/>
      <c r="E33" s="2383" t="s">
        <v>1122</v>
      </c>
      <c r="F33" s="2383" t="s">
        <v>1122</v>
      </c>
    </row>
    <row r="34" spans="1:9" x14ac:dyDescent="0.3">
      <c r="A34" s="2206" t="s">
        <v>2043</v>
      </c>
      <c r="B34" s="2327">
        <f>IFERROR(B19/B23,0)</f>
        <v>192048.15599999999</v>
      </c>
      <c r="C34" s="2327">
        <f t="shared" ref="C34:F34" si="1">IFERROR(C19/C23,0)</f>
        <v>219359.21287128713</v>
      </c>
      <c r="D34" s="2327">
        <f t="shared" si="1"/>
        <v>193134.95376688265</v>
      </c>
      <c r="E34" s="2327">
        <f t="shared" si="1"/>
        <v>0</v>
      </c>
      <c r="F34" s="2327">
        <f t="shared" si="1"/>
        <v>0</v>
      </c>
    </row>
    <row r="35" spans="1:9" x14ac:dyDescent="0.3">
      <c r="A35" s="2206" t="s">
        <v>2045</v>
      </c>
      <c r="B35" s="2327">
        <f>IFERROR(B19/B25,0)</f>
        <v>230.34206334737428</v>
      </c>
      <c r="C35" s="2327">
        <f t="shared" ref="C35:F35" si="2">IFERROR(C19/C25,0)</f>
        <v>161.95913242760179</v>
      </c>
      <c r="D35" s="2327">
        <f t="shared" si="2"/>
        <v>205.68494951461003</v>
      </c>
      <c r="E35" s="2327">
        <f t="shared" si="2"/>
        <v>0</v>
      </c>
      <c r="F35" s="2327">
        <f t="shared" si="2"/>
        <v>0</v>
      </c>
    </row>
    <row r="36" spans="1:9" x14ac:dyDescent="0.3">
      <c r="A36" s="2311" t="s">
        <v>2054</v>
      </c>
      <c r="B36" s="2327">
        <f>IFERROR(B5/B23,0)</f>
        <v>36110.303999999996</v>
      </c>
      <c r="C36" s="2327">
        <f t="shared" ref="C36:F36" si="3">IFERROR(C5/C23,0)</f>
        <v>45899.0297029703</v>
      </c>
      <c r="D36" s="2327">
        <f t="shared" si="3"/>
        <v>36217.203125</v>
      </c>
      <c r="E36" s="2327">
        <f t="shared" si="3"/>
        <v>0</v>
      </c>
      <c r="F36" s="2327">
        <f t="shared" si="3"/>
        <v>0</v>
      </c>
    </row>
    <row r="37" spans="1:9" x14ac:dyDescent="0.3">
      <c r="A37" s="2311" t="s">
        <v>2055</v>
      </c>
      <c r="B37" s="2327">
        <f>IFERROR(B6/B23,0)</f>
        <v>2500</v>
      </c>
      <c r="C37" s="2327">
        <f t="shared" ref="C37:F37" si="4">IFERROR(C6/C23,0)</f>
        <v>2500</v>
      </c>
      <c r="D37" s="2327">
        <f t="shared" si="4"/>
        <v>2207.03125</v>
      </c>
      <c r="E37" s="2327">
        <f t="shared" si="4"/>
        <v>0</v>
      </c>
      <c r="F37" s="2327">
        <f t="shared" si="4"/>
        <v>0</v>
      </c>
    </row>
    <row r="38" spans="1:9" x14ac:dyDescent="0.3">
      <c r="A38" s="2311" t="s">
        <v>2056</v>
      </c>
      <c r="B38" s="2327">
        <f>IFERROR(B9/B25,0)</f>
        <v>107.02331628589796</v>
      </c>
      <c r="C38" s="2327">
        <f t="shared" ref="C38:F38" si="5">IFERROR(C9/C25,0)</f>
        <v>48.349722761348147</v>
      </c>
      <c r="D38" s="2327">
        <f>IFERROR(D9/D25,0)</f>
        <v>99.053532739828597</v>
      </c>
      <c r="E38" s="2327">
        <f t="shared" si="5"/>
        <v>0</v>
      </c>
      <c r="F38" s="2327">
        <f t="shared" si="5"/>
        <v>0</v>
      </c>
    </row>
    <row r="39" spans="1:9" x14ac:dyDescent="0.3">
      <c r="A39" s="2311" t="s">
        <v>2057</v>
      </c>
      <c r="B39" s="2327">
        <f>IFERROR(B4/B31,0)</f>
        <v>151626.4347826087</v>
      </c>
      <c r="C39" s="2327">
        <f t="shared" ref="C39:F39" si="6">IFERROR(C4/C31,0)</f>
        <v>158218.86956521738</v>
      </c>
      <c r="D39" s="2327">
        <f t="shared" si="6"/>
        <v>158218.86956521738</v>
      </c>
      <c r="E39" s="2327">
        <f t="shared" si="6"/>
        <v>0</v>
      </c>
      <c r="F39" s="2327">
        <f t="shared" si="6"/>
        <v>0</v>
      </c>
    </row>
    <row r="40" spans="1:9" x14ac:dyDescent="0.3">
      <c r="A40" s="2311" t="s">
        <v>2058</v>
      </c>
      <c r="B40" s="2260">
        <f>IFERROR(B10/B30,0)</f>
        <v>0</v>
      </c>
      <c r="C40" s="2260">
        <f t="shared" ref="C40:F40" si="7">IFERROR(C10/C30,0)</f>
        <v>0</v>
      </c>
      <c r="D40" s="2260">
        <f t="shared" si="7"/>
        <v>20000</v>
      </c>
      <c r="E40" s="2260">
        <f t="shared" si="7"/>
        <v>0</v>
      </c>
      <c r="F40" s="2260">
        <f t="shared" si="7"/>
        <v>0</v>
      </c>
    </row>
    <row r="41" spans="1:9" x14ac:dyDescent="0.3">
      <c r="A41" s="2206" t="s">
        <v>2059</v>
      </c>
      <c r="B41" s="2197">
        <f>IFERROR(B15/SUM(B4:B14),0)</f>
        <v>1.9999991969514134E-2</v>
      </c>
      <c r="C41" s="2197">
        <f t="shared" ref="C41:F41" si="8">IFERROR(C15/SUM(C4:C14),0)</f>
        <v>1.99999888816574E-2</v>
      </c>
      <c r="D41" s="2197">
        <f t="shared" si="8"/>
        <v>0.02</v>
      </c>
      <c r="E41" s="2197">
        <f t="shared" si="8"/>
        <v>0</v>
      </c>
      <c r="F41" s="2197">
        <f t="shared" si="8"/>
        <v>0</v>
      </c>
    </row>
    <row r="42" spans="1:9" x14ac:dyDescent="0.3">
      <c r="A42" s="2206" t="s">
        <v>2060</v>
      </c>
      <c r="B42" s="2197">
        <f>IFERROR(B16/SUM(B4:B15),0)</f>
        <v>0</v>
      </c>
      <c r="C42" s="2197">
        <f t="shared" ref="C42:F42" si="9">IFERROR(C16/SUM(C4:C15),0)</f>
        <v>0</v>
      </c>
      <c r="D42" s="2197">
        <f t="shared" si="9"/>
        <v>0</v>
      </c>
      <c r="E42" s="2197">
        <f t="shared" si="9"/>
        <v>0</v>
      </c>
      <c r="F42" s="2197">
        <f t="shared" si="9"/>
        <v>0</v>
      </c>
    </row>
    <row r="43" spans="1:9" x14ac:dyDescent="0.3">
      <c r="A43" s="2206" t="s">
        <v>2061</v>
      </c>
      <c r="B43" s="2197">
        <f>IFERROR(B17/SUM(B4:B16),0)</f>
        <v>5.0000009841281778E-2</v>
      </c>
      <c r="C43" s="2197">
        <f t="shared" ref="C43:F43" si="10">IFERROR(C17/SUM(C4:C16),0)</f>
        <v>5.0000007108914786E-2</v>
      </c>
      <c r="D43" s="2197">
        <f t="shared" si="10"/>
        <v>0.05</v>
      </c>
      <c r="E43" s="2197">
        <f t="shared" si="10"/>
        <v>0</v>
      </c>
      <c r="F43" s="2197">
        <f t="shared" si="10"/>
        <v>0</v>
      </c>
    </row>
    <row r="44" spans="1:9" ht="86.4" x14ac:dyDescent="0.3">
      <c r="A44" s="2206" t="s">
        <v>1149</v>
      </c>
      <c r="B44" s="2206"/>
      <c r="C44" s="2206"/>
      <c r="D44" s="2434" t="s">
        <v>2062</v>
      </c>
      <c r="E44" s="2206"/>
      <c r="F44" s="2206"/>
    </row>
    <row r="46" spans="1:9" x14ac:dyDescent="0.3">
      <c r="A46" s="2347" t="s">
        <v>2063</v>
      </c>
      <c r="B46" s="2347"/>
      <c r="C46" s="2347"/>
      <c r="D46" s="2347"/>
      <c r="E46" s="2347"/>
      <c r="F46" s="2347"/>
      <c r="G46" s="2347"/>
      <c r="H46" s="2347"/>
      <c r="I46" s="2347"/>
    </row>
    <row r="47" spans="1:9" x14ac:dyDescent="0.3">
      <c r="A47" s="2346" t="s">
        <v>1073</v>
      </c>
      <c r="B47" s="2346" t="s">
        <v>1192</v>
      </c>
    </row>
    <row r="48" spans="1:9" x14ac:dyDescent="0.3">
      <c r="A48" s="2311" t="s">
        <v>2064</v>
      </c>
      <c r="B48" s="2451"/>
      <c r="C48" s="3" t="s">
        <v>2065</v>
      </c>
    </row>
    <row r="49" spans="1:3" x14ac:dyDescent="0.3">
      <c r="A49" s="2311" t="s">
        <v>2066</v>
      </c>
      <c r="B49" s="2451">
        <v>5.0000000000000001E-3</v>
      </c>
    </row>
    <row r="51" spans="1:3" x14ac:dyDescent="0.3">
      <c r="A51" s="2346" t="s">
        <v>1073</v>
      </c>
      <c r="B51" s="2346" t="s">
        <v>1192</v>
      </c>
      <c r="C51" s="2346" t="s">
        <v>2067</v>
      </c>
    </row>
    <row r="52" spans="1:3" x14ac:dyDescent="0.3">
      <c r="A52" s="2206" t="s">
        <v>1232</v>
      </c>
      <c r="B52" s="2363">
        <v>100000</v>
      </c>
      <c r="C52" s="2206" t="s">
        <v>780</v>
      </c>
    </row>
    <row r="53" spans="1:3" x14ac:dyDescent="0.3">
      <c r="A53" s="2206" t="s">
        <v>2068</v>
      </c>
      <c r="B53" s="2363">
        <v>1000000</v>
      </c>
      <c r="C53" s="2206" t="s">
        <v>998</v>
      </c>
    </row>
    <row r="54" spans="1:3" x14ac:dyDescent="0.3">
      <c r="A54" s="2206" t="s">
        <v>2069</v>
      </c>
      <c r="B54" s="2363">
        <v>500000</v>
      </c>
      <c r="C54" s="2206" t="s">
        <v>998</v>
      </c>
    </row>
    <row r="55" spans="1:3" x14ac:dyDescent="0.3">
      <c r="A55" s="2206" t="s">
        <v>956</v>
      </c>
      <c r="B55" s="2363">
        <v>50000</v>
      </c>
      <c r="C55" s="2206" t="s">
        <v>780</v>
      </c>
    </row>
    <row r="56" spans="1:3" x14ac:dyDescent="0.3">
      <c r="A56" s="2353" t="s">
        <v>1979</v>
      </c>
      <c r="B56" s="2363">
        <v>0</v>
      </c>
      <c r="C56" s="2206" t="s">
        <v>998</v>
      </c>
    </row>
    <row r="57" spans="1:3" x14ac:dyDescent="0.3">
      <c r="A57" s="2353" t="s">
        <v>1979</v>
      </c>
      <c r="B57" s="2363">
        <v>0</v>
      </c>
      <c r="C57" s="2206" t="s">
        <v>998</v>
      </c>
    </row>
    <row r="58" spans="1:3" x14ac:dyDescent="0.3">
      <c r="A58" s="2353" t="s">
        <v>1979</v>
      </c>
      <c r="B58" s="2363">
        <v>0</v>
      </c>
      <c r="C58" s="2206" t="s">
        <v>998</v>
      </c>
    </row>
    <row r="59" spans="1:3" x14ac:dyDescent="0.3">
      <c r="A59" s="2353" t="s">
        <v>1979</v>
      </c>
      <c r="B59" s="2363">
        <v>0</v>
      </c>
      <c r="C59" s="2206" t="s">
        <v>998</v>
      </c>
    </row>
    <row r="60" spans="1:3" x14ac:dyDescent="0.3">
      <c r="A60" s="2353" t="s">
        <v>1979</v>
      </c>
      <c r="B60" s="2363">
        <v>0</v>
      </c>
      <c r="C60" s="2206" t="s">
        <v>998</v>
      </c>
    </row>
    <row r="61" spans="1:3" x14ac:dyDescent="0.3">
      <c r="A61" s="2353" t="s">
        <v>1979</v>
      </c>
      <c r="B61" s="2363">
        <v>0</v>
      </c>
      <c r="C61" s="2206" t="s">
        <v>998</v>
      </c>
    </row>
    <row r="62" spans="1:3" x14ac:dyDescent="0.3">
      <c r="A62" s="2406" t="s">
        <v>2070</v>
      </c>
      <c r="B62" s="2418">
        <f>SUMIF(C52:C61,"Yes",B52:B61)</f>
        <v>150000</v>
      </c>
      <c r="C62" s="2406"/>
    </row>
  </sheetData>
  <mergeCells count="2">
    <mergeCell ref="A2:F2"/>
    <mergeCell ref="H2:I2"/>
  </mergeCells>
  <dataValidations count="1">
    <dataValidation type="list" allowBlank="1" showInputMessage="1" showErrorMessage="1" sqref="C52:C61" xr:uid="{9AD74FD5-9F19-482F-914C-4142CB0BCFBE}">
      <formula1>"Yes,No"</formula1>
    </dataValidation>
  </dataValidations>
  <pageMargins left="0.7" right="0.7" top="0.75" bottom="0.75" header="0.3" footer="0.3"/>
  <pageSetup orientation="portrait" r:id="rId1"/>
  <ignoredErrors>
    <ignoredError sqref="B34:F37 B39:F43 B38:C38 E38:F38" unlockedFormula="1"/>
  </ignoredError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FFD2D-9E9E-459C-9700-ECB8C63B42E6}">
  <sheetPr codeName="Sheet34">
    <tabColor rgb="FF7030A0"/>
  </sheetPr>
  <dimension ref="A1:J241"/>
  <sheetViews>
    <sheetView showGridLines="0" topLeftCell="A215" zoomScale="85" zoomScaleNormal="85" workbookViewId="0">
      <selection activeCell="B39" sqref="B39"/>
    </sheetView>
  </sheetViews>
  <sheetFormatPr defaultColWidth="8.6640625" defaultRowHeight="14.4" x14ac:dyDescent="0.3"/>
  <cols>
    <col min="1" max="1" width="39.33203125" style="2238" bestFit="1" customWidth="1"/>
    <col min="2" max="2" width="16.6640625" style="3" bestFit="1" customWidth="1"/>
    <col min="3" max="3" width="108" style="2343" customWidth="1"/>
    <col min="4" max="4" width="15.5546875" style="3" bestFit="1" customWidth="1"/>
    <col min="5" max="5" width="18.6640625" style="3" bestFit="1" customWidth="1"/>
    <col min="6" max="6" width="9" style="3" bestFit="1" customWidth="1"/>
    <col min="7" max="7" width="5.88671875" style="3" bestFit="1" customWidth="1"/>
    <col min="8" max="16384" width="8.6640625" style="3"/>
  </cols>
  <sheetData>
    <row r="1" spans="1:10" ht="15.6" hidden="1" x14ac:dyDescent="0.3">
      <c r="A1" s="2236" t="s">
        <v>2071</v>
      </c>
      <c r="B1" s="2191"/>
      <c r="C1" s="2384"/>
      <c r="D1" s="2191"/>
      <c r="E1" s="2191"/>
      <c r="F1" s="2191"/>
      <c r="G1" s="2191"/>
      <c r="H1" s="2191"/>
      <c r="I1" s="2191"/>
      <c r="J1" s="2237"/>
    </row>
    <row r="2" spans="1:10" ht="15" hidden="1" thickBot="1" x14ac:dyDescent="0.35">
      <c r="A2" s="2193"/>
      <c r="B2" s="2193"/>
      <c r="C2" s="2385"/>
      <c r="D2" s="2193"/>
      <c r="E2" s="2193"/>
      <c r="F2" s="2193"/>
      <c r="G2" s="2193"/>
      <c r="H2" s="2193"/>
      <c r="I2" s="2193"/>
      <c r="J2" s="2193"/>
    </row>
    <row r="3" spans="1:10" ht="15" hidden="1" thickTop="1" x14ac:dyDescent="0.3"/>
    <row r="4" spans="1:10" hidden="1" x14ac:dyDescent="0.3">
      <c r="A4" s="2239" t="s">
        <v>2072</v>
      </c>
      <c r="B4" s="2221">
        <f>+D24</f>
        <v>0</v>
      </c>
      <c r="H4" s="3" t="s">
        <v>2073</v>
      </c>
    </row>
    <row r="5" spans="1:10" hidden="1" x14ac:dyDescent="0.3">
      <c r="A5" s="2239" t="s">
        <v>2074</v>
      </c>
      <c r="B5" s="2221">
        <f>+D53</f>
        <v>0</v>
      </c>
    </row>
    <row r="6" spans="1:10" hidden="1" x14ac:dyDescent="0.3">
      <c r="A6" s="2239" t="s">
        <v>2075</v>
      </c>
      <c r="B6" s="2221">
        <f>+D63</f>
        <v>0</v>
      </c>
    </row>
    <row r="7" spans="1:10" hidden="1" x14ac:dyDescent="0.3">
      <c r="A7" s="2239" t="s">
        <v>2076</v>
      </c>
      <c r="B7" s="2221">
        <f>+D98</f>
        <v>1979310.9</v>
      </c>
    </row>
    <row r="8" spans="1:10" hidden="1" x14ac:dyDescent="0.3">
      <c r="A8" s="2239" t="s">
        <v>2077</v>
      </c>
      <c r="B8" s="2221">
        <f>+$D$105</f>
        <v>425000</v>
      </c>
    </row>
    <row r="9" spans="1:10" ht="15" hidden="1" thickBot="1" x14ac:dyDescent="0.35">
      <c r="A9" s="2240" t="s">
        <v>1867</v>
      </c>
      <c r="B9" s="2241">
        <f>+SUM(B4:B8)*$C$9</f>
        <v>72129.32699999999</v>
      </c>
      <c r="C9" s="2386">
        <v>0.03</v>
      </c>
    </row>
    <row r="10" spans="1:10" ht="15" hidden="1" thickTop="1" x14ac:dyDescent="0.3">
      <c r="A10" s="2242" t="s">
        <v>2078</v>
      </c>
      <c r="B10" s="2243">
        <f>SUM(B4:B9)</f>
        <v>2476440.227</v>
      </c>
    </row>
    <row r="11" spans="1:10" hidden="1" x14ac:dyDescent="0.3">
      <c r="A11" s="2774"/>
      <c r="B11" s="2774"/>
      <c r="C11" s="2774"/>
      <c r="D11" s="2774"/>
      <c r="E11" s="2774"/>
      <c r="F11" s="2774"/>
      <c r="G11" s="2244"/>
    </row>
    <row r="12" spans="1:10" hidden="1" x14ac:dyDescent="0.3">
      <c r="E12" s="3" t="s">
        <v>2079</v>
      </c>
      <c r="F12" s="2245">
        <v>0.05</v>
      </c>
    </row>
    <row r="13" spans="1:10" hidden="1" x14ac:dyDescent="0.3"/>
    <row r="14" spans="1:10" hidden="1" x14ac:dyDescent="0.3">
      <c r="A14" s="2246" t="s">
        <v>2072</v>
      </c>
      <c r="B14" s="2244" t="s">
        <v>1640</v>
      </c>
      <c r="C14" s="2387" t="s">
        <v>2080</v>
      </c>
      <c r="D14" s="2244" t="s">
        <v>2081</v>
      </c>
      <c r="E14" s="2244" t="s">
        <v>635</v>
      </c>
      <c r="F14" s="2244" t="s">
        <v>2082</v>
      </c>
      <c r="G14" s="2244" t="s">
        <v>1149</v>
      </c>
    </row>
    <row r="15" spans="1:10" hidden="1" x14ac:dyDescent="0.3">
      <c r="A15" s="2189" t="s">
        <v>2083</v>
      </c>
      <c r="B15" s="2174"/>
      <c r="C15" s="2388"/>
      <c r="D15" s="2162"/>
      <c r="E15" s="2162"/>
      <c r="F15" s="2174" t="s">
        <v>2084</v>
      </c>
      <c r="G15" s="2174"/>
    </row>
    <row r="16" spans="1:10" hidden="1" x14ac:dyDescent="0.3">
      <c r="A16" s="2189" t="s">
        <v>2085</v>
      </c>
      <c r="B16" s="2174"/>
      <c r="C16" s="2388"/>
      <c r="D16" s="2162"/>
      <c r="E16" s="2174"/>
      <c r="F16" s="2174" t="s">
        <v>2084</v>
      </c>
      <c r="G16" s="2174"/>
    </row>
    <row r="17" spans="1:8" hidden="1" x14ac:dyDescent="0.3">
      <c r="A17" s="2189" t="s">
        <v>2086</v>
      </c>
      <c r="B17" s="2174"/>
      <c r="C17" s="2388"/>
      <c r="D17" s="2162"/>
      <c r="E17" s="2174"/>
      <c r="F17" s="2174" t="s">
        <v>2084</v>
      </c>
      <c r="G17" s="2174"/>
    </row>
    <row r="18" spans="1:8" hidden="1" x14ac:dyDescent="0.3">
      <c r="A18" s="2189" t="s">
        <v>2087</v>
      </c>
      <c r="B18" s="2174"/>
      <c r="C18" s="2388"/>
      <c r="D18" s="2162"/>
      <c r="E18" s="2174"/>
      <c r="F18" s="2174" t="s">
        <v>2084</v>
      </c>
      <c r="G18" s="2174"/>
    </row>
    <row r="19" spans="1:8" hidden="1" x14ac:dyDescent="0.3">
      <c r="A19" s="2189" t="s">
        <v>2088</v>
      </c>
      <c r="B19" s="2174"/>
      <c r="C19" s="2388"/>
      <c r="D19" s="2162"/>
      <c r="E19" s="2174"/>
      <c r="F19" s="2174" t="s">
        <v>2084</v>
      </c>
      <c r="G19" s="2174"/>
    </row>
    <row r="20" spans="1:8" hidden="1" x14ac:dyDescent="0.3">
      <c r="A20" s="2189" t="s">
        <v>2089</v>
      </c>
      <c r="B20" s="2174"/>
      <c r="C20" s="2388"/>
      <c r="D20" s="2162"/>
      <c r="E20" s="2174"/>
      <c r="F20" s="2174"/>
      <c r="G20" s="2174"/>
    </row>
    <row r="21" spans="1:8" hidden="1" x14ac:dyDescent="0.3">
      <c r="A21" s="2189" t="s">
        <v>2089</v>
      </c>
      <c r="B21" s="2174"/>
      <c r="C21" s="2388"/>
      <c r="D21" s="2162"/>
      <c r="E21" s="2174"/>
      <c r="F21" s="2174"/>
      <c r="G21" s="2174"/>
    </row>
    <row r="22" spans="1:8" hidden="1" x14ac:dyDescent="0.3">
      <c r="A22" s="2189" t="s">
        <v>2089</v>
      </c>
      <c r="B22" s="2174"/>
      <c r="C22" s="2388"/>
      <c r="D22" s="2162"/>
      <c r="E22" s="2174"/>
      <c r="F22" s="2174"/>
      <c r="G22" s="2174"/>
    </row>
    <row r="23" spans="1:8" hidden="1" x14ac:dyDescent="0.3">
      <c r="A23" s="2189" t="s">
        <v>2089</v>
      </c>
      <c r="B23" s="2174"/>
      <c r="C23" s="2388"/>
      <c r="D23" s="2162"/>
      <c r="E23" s="2174"/>
      <c r="F23" s="2174"/>
      <c r="G23" s="2174"/>
    </row>
    <row r="24" spans="1:8" hidden="1" x14ac:dyDescent="0.3">
      <c r="A24" s="2247" t="s">
        <v>2090</v>
      </c>
      <c r="B24" s="2229"/>
      <c r="C24" s="2389"/>
      <c r="D24" s="2234">
        <f>+SUM(D15:$D$23)</f>
        <v>0</v>
      </c>
      <c r="E24" s="2229"/>
      <c r="F24" s="2229"/>
      <c r="G24" s="2229"/>
    </row>
    <row r="25" spans="1:8" hidden="1" x14ac:dyDescent="0.3"/>
    <row r="26" spans="1:8" hidden="1" x14ac:dyDescent="0.3">
      <c r="A26" s="2246" t="s">
        <v>2091</v>
      </c>
      <c r="B26" s="2244" t="s">
        <v>2092</v>
      </c>
      <c r="C26" s="2387" t="s">
        <v>2080</v>
      </c>
      <c r="D26" s="2244" t="s">
        <v>2081</v>
      </c>
      <c r="E26" s="2244" t="s">
        <v>635</v>
      </c>
      <c r="F26" s="2244" t="s">
        <v>2082</v>
      </c>
      <c r="G26" s="2244" t="s">
        <v>1149</v>
      </c>
    </row>
    <row r="27" spans="1:8" hidden="1" x14ac:dyDescent="0.3">
      <c r="A27" s="2247" t="s">
        <v>2093</v>
      </c>
      <c r="B27" s="2248"/>
      <c r="C27" s="2390"/>
      <c r="D27" s="2249"/>
      <c r="E27" s="2248"/>
      <c r="F27" s="2239"/>
      <c r="G27" s="2239"/>
    </row>
    <row r="28" spans="1:8" hidden="1" x14ac:dyDescent="0.3">
      <c r="A28" s="2189" t="s">
        <v>2094</v>
      </c>
      <c r="B28" s="2188"/>
      <c r="C28" s="2388"/>
      <c r="D28" s="2162"/>
      <c r="E28" s="2174"/>
      <c r="F28" s="2174" t="s">
        <v>2084</v>
      </c>
      <c r="G28" s="2174"/>
    </row>
    <row r="29" spans="1:8" hidden="1" x14ac:dyDescent="0.3">
      <c r="A29" s="2189" t="s">
        <v>2095</v>
      </c>
      <c r="B29" s="2188"/>
      <c r="C29" s="2388"/>
      <c r="D29" s="2162"/>
      <c r="E29" s="2174"/>
      <c r="F29" s="2174" t="s">
        <v>2084</v>
      </c>
      <c r="G29" s="2174"/>
    </row>
    <row r="30" spans="1:8" hidden="1" x14ac:dyDescent="0.3">
      <c r="A30" s="2189" t="s">
        <v>2096</v>
      </c>
      <c r="B30" s="2188"/>
      <c r="C30" s="2388"/>
      <c r="D30" s="2162"/>
      <c r="E30" s="2174"/>
      <c r="F30" s="2174" t="s">
        <v>2084</v>
      </c>
      <c r="G30" s="2174"/>
    </row>
    <row r="31" spans="1:8" hidden="1" x14ac:dyDescent="0.3">
      <c r="A31" s="2189" t="s">
        <v>2097</v>
      </c>
      <c r="B31" s="2188"/>
      <c r="C31" s="2388"/>
      <c r="D31" s="2162"/>
      <c r="E31" s="2174"/>
      <c r="F31" s="2174" t="s">
        <v>2084</v>
      </c>
      <c r="G31" s="2174"/>
    </row>
    <row r="32" spans="1:8" hidden="1" x14ac:dyDescent="0.3">
      <c r="A32" s="2189" t="s">
        <v>2098</v>
      </c>
      <c r="B32" s="2188"/>
      <c r="C32" s="2388"/>
      <c r="D32" s="2162"/>
      <c r="E32" s="2162"/>
      <c r="F32" s="2174" t="s">
        <v>2084</v>
      </c>
      <c r="G32" s="2174"/>
      <c r="H32" s="2238"/>
    </row>
    <row r="33" spans="1:8" hidden="1" x14ac:dyDescent="0.3">
      <c r="A33" s="2189" t="s">
        <v>2089</v>
      </c>
      <c r="B33" s="2188"/>
      <c r="C33" s="2388"/>
      <c r="D33" s="2162"/>
      <c r="E33" s="2162"/>
      <c r="F33" s="2174"/>
      <c r="G33" s="2174"/>
      <c r="H33" s="2238"/>
    </row>
    <row r="34" spans="1:8" hidden="1" x14ac:dyDescent="0.3">
      <c r="A34" s="2189" t="s">
        <v>2089</v>
      </c>
      <c r="B34" s="2188"/>
      <c r="C34" s="2388"/>
      <c r="D34" s="2162"/>
      <c r="E34" s="2162"/>
      <c r="F34" s="2174"/>
      <c r="G34" s="2174"/>
      <c r="H34" s="2238"/>
    </row>
    <row r="35" spans="1:8" hidden="1" x14ac:dyDescent="0.3">
      <c r="A35" s="2189" t="s">
        <v>2089</v>
      </c>
      <c r="B35" s="2188"/>
      <c r="C35" s="2388"/>
      <c r="D35" s="2162"/>
      <c r="E35" s="2162"/>
      <c r="F35" s="2174"/>
      <c r="G35" s="2174"/>
      <c r="H35" s="2238"/>
    </row>
    <row r="36" spans="1:8" hidden="1" x14ac:dyDescent="0.3">
      <c r="A36" s="2189" t="s">
        <v>2089</v>
      </c>
      <c r="B36" s="2188"/>
      <c r="C36" s="2388"/>
      <c r="D36" s="2162"/>
      <c r="E36" s="2162"/>
      <c r="F36" s="2174"/>
      <c r="G36" s="2174"/>
      <c r="H36" s="2238"/>
    </row>
    <row r="37" spans="1:8" hidden="1" x14ac:dyDescent="0.3">
      <c r="A37" s="2189" t="s">
        <v>2089</v>
      </c>
      <c r="B37" s="2188"/>
      <c r="C37" s="2388"/>
      <c r="D37" s="2162"/>
      <c r="E37" s="2162"/>
      <c r="F37" s="2174"/>
      <c r="G37" s="2174"/>
      <c r="H37" s="2238"/>
    </row>
    <row r="38" spans="1:8" hidden="1" x14ac:dyDescent="0.3">
      <c r="A38" s="2247" t="s">
        <v>2099</v>
      </c>
      <c r="B38" s="2248"/>
      <c r="C38" s="2390"/>
      <c r="D38" s="2249"/>
      <c r="E38" s="2248"/>
      <c r="F38" s="2239"/>
      <c r="G38" s="2239"/>
    </row>
    <row r="39" spans="1:8" hidden="1" x14ac:dyDescent="0.3">
      <c r="A39" s="2189" t="s">
        <v>2100</v>
      </c>
      <c r="B39" s="2162"/>
      <c r="C39" s="2388"/>
      <c r="D39" s="2162"/>
      <c r="E39" s="2174"/>
      <c r="F39" s="2174" t="s">
        <v>2084</v>
      </c>
      <c r="G39" s="2174"/>
    </row>
    <row r="40" spans="1:8" hidden="1" x14ac:dyDescent="0.3">
      <c r="A40" s="2189" t="s">
        <v>2101</v>
      </c>
      <c r="B40" s="2162"/>
      <c r="C40" s="2388"/>
      <c r="D40" s="2162"/>
      <c r="E40" s="2174"/>
      <c r="F40" s="2174" t="s">
        <v>2084</v>
      </c>
      <c r="G40" s="2174"/>
    </row>
    <row r="41" spans="1:8" hidden="1" x14ac:dyDescent="0.3">
      <c r="A41" s="2189" t="s">
        <v>2102</v>
      </c>
      <c r="B41" s="2162"/>
      <c r="C41" s="2388"/>
      <c r="D41" s="2162"/>
      <c r="E41" s="2174"/>
      <c r="F41" s="2174" t="s">
        <v>2084</v>
      </c>
      <c r="G41" s="2174"/>
    </row>
    <row r="42" spans="1:8" hidden="1" x14ac:dyDescent="0.3">
      <c r="A42" s="2189" t="s">
        <v>2103</v>
      </c>
      <c r="B42" s="2162"/>
      <c r="C42" s="2388"/>
      <c r="D42" s="2162"/>
      <c r="E42" s="2174"/>
      <c r="F42" s="2174" t="s">
        <v>2084</v>
      </c>
      <c r="G42" s="2174"/>
    </row>
    <row r="43" spans="1:8" hidden="1" x14ac:dyDescent="0.3">
      <c r="A43" s="2189" t="s">
        <v>2104</v>
      </c>
      <c r="B43" s="2162"/>
      <c r="C43" s="2388"/>
      <c r="D43" s="2162"/>
      <c r="E43" s="2174"/>
      <c r="F43" s="2174"/>
      <c r="G43" s="2174"/>
    </row>
    <row r="44" spans="1:8" hidden="1" x14ac:dyDescent="0.3">
      <c r="A44" s="2189" t="s">
        <v>2105</v>
      </c>
      <c r="B44" s="2162"/>
      <c r="C44" s="2388"/>
      <c r="D44" s="2162"/>
      <c r="E44" s="2174"/>
      <c r="F44" s="2174" t="s">
        <v>2084</v>
      </c>
      <c r="G44" s="2174"/>
    </row>
    <row r="45" spans="1:8" hidden="1" x14ac:dyDescent="0.3">
      <c r="A45" s="2189" t="s">
        <v>2106</v>
      </c>
      <c r="B45" s="2162"/>
      <c r="C45" s="2388"/>
      <c r="D45" s="2162"/>
      <c r="E45" s="2174"/>
      <c r="F45" s="2174" t="s">
        <v>2084</v>
      </c>
      <c r="G45" s="2174"/>
    </row>
    <row r="46" spans="1:8" hidden="1" x14ac:dyDescent="0.3">
      <c r="A46" s="2189" t="s">
        <v>2107</v>
      </c>
      <c r="B46" s="2162"/>
      <c r="C46" s="2388"/>
      <c r="D46" s="2162"/>
      <c r="E46" s="2174"/>
      <c r="F46" s="2174" t="s">
        <v>2084</v>
      </c>
      <c r="G46" s="2174"/>
    </row>
    <row r="47" spans="1:8" hidden="1" x14ac:dyDescent="0.3">
      <c r="A47" s="2189" t="s">
        <v>2108</v>
      </c>
      <c r="B47" s="2162"/>
      <c r="C47" s="2388"/>
      <c r="D47" s="2162"/>
      <c r="E47" s="2174"/>
      <c r="F47" s="2174" t="s">
        <v>2084</v>
      </c>
      <c r="G47" s="2174"/>
    </row>
    <row r="48" spans="1:8" hidden="1" x14ac:dyDescent="0.3">
      <c r="A48" s="2189" t="s">
        <v>2089</v>
      </c>
      <c r="B48" s="2162"/>
      <c r="C48" s="2388"/>
      <c r="D48" s="2162"/>
      <c r="E48" s="2174"/>
      <c r="F48" s="2174"/>
      <c r="G48" s="2174"/>
    </row>
    <row r="49" spans="1:9" hidden="1" x14ac:dyDescent="0.3">
      <c r="A49" s="2189" t="s">
        <v>2089</v>
      </c>
      <c r="B49" s="2162"/>
      <c r="C49" s="2388"/>
      <c r="D49" s="2162"/>
      <c r="E49" s="2174"/>
      <c r="F49" s="2174"/>
      <c r="G49" s="2174"/>
    </row>
    <row r="50" spans="1:9" hidden="1" x14ac:dyDescent="0.3">
      <c r="A50" s="2189" t="s">
        <v>2089</v>
      </c>
      <c r="B50" s="2162"/>
      <c r="C50" s="2388"/>
      <c r="D50" s="2162"/>
      <c r="E50" s="2174"/>
      <c r="F50" s="2174"/>
      <c r="G50" s="2174"/>
    </row>
    <row r="51" spans="1:9" hidden="1" x14ac:dyDescent="0.3">
      <c r="A51" s="2189" t="s">
        <v>2089</v>
      </c>
      <c r="B51" s="2162"/>
      <c r="C51" s="2388"/>
      <c r="D51" s="2162"/>
      <c r="E51" s="2174"/>
      <c r="F51" s="2174"/>
      <c r="G51" s="2174"/>
    </row>
    <row r="52" spans="1:9" hidden="1" x14ac:dyDescent="0.3">
      <c r="A52" s="2189" t="s">
        <v>2089</v>
      </c>
      <c r="B52" s="2162"/>
      <c r="C52" s="2388"/>
      <c r="D52" s="2162"/>
      <c r="E52" s="2174"/>
      <c r="F52" s="2174"/>
      <c r="G52" s="2174"/>
    </row>
    <row r="53" spans="1:9" hidden="1" x14ac:dyDescent="0.3">
      <c r="A53" s="2247" t="s">
        <v>2109</v>
      </c>
      <c r="B53" s="2229"/>
      <c r="C53" s="2389"/>
      <c r="D53" s="2250">
        <f>+SUM($D$27:$D$52)</f>
        <v>0</v>
      </c>
      <c r="E53" s="2229"/>
      <c r="F53" s="2229"/>
      <c r="G53" s="2229"/>
    </row>
    <row r="54" spans="1:9" hidden="1" x14ac:dyDescent="0.3"/>
    <row r="55" spans="1:9" hidden="1" x14ac:dyDescent="0.3">
      <c r="A55" s="2246" t="s">
        <v>2075</v>
      </c>
      <c r="B55" s="2244" t="s">
        <v>1640</v>
      </c>
      <c r="C55" s="2387" t="s">
        <v>2080</v>
      </c>
      <c r="D55" s="2244" t="s">
        <v>2081</v>
      </c>
      <c r="E55" s="2244" t="s">
        <v>635</v>
      </c>
      <c r="F55" s="2244" t="s">
        <v>2082</v>
      </c>
      <c r="G55" s="2244" t="s">
        <v>1149</v>
      </c>
      <c r="I55" s="2199"/>
    </row>
    <row r="56" spans="1:9" hidden="1" x14ac:dyDescent="0.3">
      <c r="A56" s="2189" t="s">
        <v>2110</v>
      </c>
      <c r="B56" s="2162"/>
      <c r="C56" s="2388"/>
      <c r="D56" s="2162"/>
      <c r="E56" s="2174"/>
      <c r="F56" s="2174"/>
      <c r="G56" s="2174"/>
      <c r="I56" s="2251"/>
    </row>
    <row r="57" spans="1:9" hidden="1" x14ac:dyDescent="0.3">
      <c r="A57" s="2189" t="s">
        <v>2111</v>
      </c>
      <c r="B57" s="2162"/>
      <c r="C57" s="2388"/>
      <c r="D57" s="2162"/>
      <c r="E57" s="2174"/>
      <c r="F57" s="2174" t="s">
        <v>2084</v>
      </c>
      <c r="G57" s="2174"/>
      <c r="I57" s="2251"/>
    </row>
    <row r="58" spans="1:9" hidden="1" x14ac:dyDescent="0.3">
      <c r="A58" s="2189" t="s">
        <v>2112</v>
      </c>
      <c r="B58" s="2162"/>
      <c r="C58" s="2388"/>
      <c r="D58" s="2162"/>
      <c r="E58" s="2174"/>
      <c r="F58" s="2174" t="s">
        <v>2084</v>
      </c>
      <c r="G58" s="2174"/>
      <c r="I58" s="2251"/>
    </row>
    <row r="59" spans="1:9" hidden="1" x14ac:dyDescent="0.3">
      <c r="A59" s="2189" t="s">
        <v>2113</v>
      </c>
      <c r="B59" s="2162"/>
      <c r="C59" s="2388"/>
      <c r="D59" s="2162"/>
      <c r="E59" s="2174"/>
      <c r="F59" s="2174" t="s">
        <v>2084</v>
      </c>
      <c r="G59" s="2174"/>
      <c r="I59" s="2251"/>
    </row>
    <row r="60" spans="1:9" hidden="1" x14ac:dyDescent="0.3">
      <c r="A60" s="2189" t="s">
        <v>2114</v>
      </c>
      <c r="B60" s="2162"/>
      <c r="C60" s="2388"/>
      <c r="D60" s="2162"/>
      <c r="E60" s="2174"/>
      <c r="F60" s="2174" t="s">
        <v>2084</v>
      </c>
      <c r="G60" s="2174"/>
      <c r="I60" s="2251"/>
    </row>
    <row r="61" spans="1:9" hidden="1" x14ac:dyDescent="0.3">
      <c r="A61" s="2189" t="s">
        <v>2089</v>
      </c>
      <c r="B61" s="2162"/>
      <c r="C61" s="2388"/>
      <c r="D61" s="2162"/>
      <c r="E61" s="2174"/>
      <c r="F61" s="2174"/>
      <c r="G61" s="2174"/>
      <c r="I61" s="2251"/>
    </row>
    <row r="62" spans="1:9" hidden="1" x14ac:dyDescent="0.3">
      <c r="A62" s="2189" t="s">
        <v>2089</v>
      </c>
      <c r="B62" s="2162"/>
      <c r="C62" s="2388"/>
      <c r="D62" s="2162"/>
      <c r="E62" s="2174"/>
      <c r="F62" s="2174"/>
      <c r="G62" s="2174"/>
      <c r="I62" s="2251"/>
    </row>
    <row r="63" spans="1:9" hidden="1" x14ac:dyDescent="0.3">
      <c r="A63" s="2247" t="s">
        <v>2115</v>
      </c>
      <c r="B63" s="2252"/>
      <c r="C63" s="2391"/>
      <c r="D63" s="2253">
        <f>+SUM(D56:D62)</f>
        <v>0</v>
      </c>
      <c r="E63" s="2252"/>
      <c r="F63" s="2247"/>
      <c r="G63" s="2247"/>
      <c r="I63" s="2251"/>
    </row>
    <row r="64" spans="1:9" hidden="1" x14ac:dyDescent="0.3">
      <c r="B64" s="2251"/>
      <c r="C64" s="2392"/>
      <c r="D64" s="2251"/>
      <c r="E64" s="2251"/>
      <c r="F64" s="2238"/>
      <c r="G64" s="2238"/>
      <c r="I64" s="2251"/>
    </row>
    <row r="65" spans="1:9" hidden="1" x14ac:dyDescent="0.3">
      <c r="A65" s="2254" t="s">
        <v>2076</v>
      </c>
      <c r="B65" s="2255" t="s">
        <v>2116</v>
      </c>
      <c r="C65" s="2387" t="s">
        <v>2080</v>
      </c>
      <c r="D65" s="2244" t="s">
        <v>2081</v>
      </c>
      <c r="E65" s="2255" t="s">
        <v>2117</v>
      </c>
      <c r="F65" s="2255" t="s">
        <v>2082</v>
      </c>
      <c r="G65" s="2244" t="s">
        <v>1149</v>
      </c>
    </row>
    <row r="66" spans="1:9" hidden="1" x14ac:dyDescent="0.3">
      <c r="A66" s="2247" t="s">
        <v>2118</v>
      </c>
      <c r="B66" s="2256"/>
      <c r="C66" s="2393"/>
      <c r="D66" s="2256"/>
      <c r="E66" s="2256"/>
      <c r="F66" s="2257"/>
      <c r="G66" s="2258"/>
      <c r="I66" s="2251"/>
    </row>
    <row r="67" spans="1:9" hidden="1" x14ac:dyDescent="0.3">
      <c r="A67" s="2189" t="s">
        <v>2119</v>
      </c>
      <c r="B67" s="2162"/>
      <c r="C67" s="2388"/>
      <c r="D67" s="2162"/>
      <c r="E67" s="2174"/>
      <c r="F67" s="2174"/>
      <c r="G67" s="2174"/>
      <c r="I67" s="2251"/>
    </row>
    <row r="68" spans="1:9" hidden="1" x14ac:dyDescent="0.3">
      <c r="A68" s="2190" t="s">
        <v>2120</v>
      </c>
      <c r="B68" s="2162">
        <v>6872</v>
      </c>
      <c r="C68" s="2388">
        <f>+E68*B68</f>
        <v>13744</v>
      </c>
      <c r="D68" s="2162">
        <f t="shared" ref="D68:D69" si="0">+IF(F68="Y",C68*(1+$F$12),C68)</f>
        <v>14431.2</v>
      </c>
      <c r="E68" s="2174">
        <v>2</v>
      </c>
      <c r="F68" s="2174" t="s">
        <v>2084</v>
      </c>
      <c r="G68" s="2174"/>
      <c r="I68" s="2251"/>
    </row>
    <row r="69" spans="1:9" hidden="1" x14ac:dyDescent="0.3">
      <c r="A69" s="2190" t="s">
        <v>2121</v>
      </c>
      <c r="B69" s="2162">
        <v>5144</v>
      </c>
      <c r="C69" s="2388">
        <f t="shared" ref="C69:C70" si="1">+E69*B69</f>
        <v>10288</v>
      </c>
      <c r="D69" s="2162">
        <f t="shared" si="0"/>
        <v>10802.4</v>
      </c>
      <c r="E69" s="2174">
        <v>2</v>
      </c>
      <c r="F69" s="2174" t="s">
        <v>2084</v>
      </c>
      <c r="G69" s="2174"/>
      <c r="I69" s="2251"/>
    </row>
    <row r="70" spans="1:9" hidden="1" x14ac:dyDescent="0.3">
      <c r="A70" s="2190" t="s">
        <v>2122</v>
      </c>
      <c r="B70" s="2162">
        <v>785</v>
      </c>
      <c r="C70" s="2388">
        <f t="shared" si="1"/>
        <v>1570</v>
      </c>
      <c r="D70" s="2162">
        <f>+IF(F70="Y",C70*(1+$F$12),C70)</f>
        <v>1648.5</v>
      </c>
      <c r="E70" s="2174">
        <v>2</v>
      </c>
      <c r="F70" s="2174" t="s">
        <v>2084</v>
      </c>
      <c r="G70" s="2174"/>
      <c r="I70" s="2251"/>
    </row>
    <row r="71" spans="1:9" hidden="1" x14ac:dyDescent="0.3">
      <c r="A71" s="2189" t="s">
        <v>1842</v>
      </c>
      <c r="B71" s="2162"/>
      <c r="C71" s="2388"/>
      <c r="D71" s="2162"/>
      <c r="E71" s="2174"/>
      <c r="F71" s="2174"/>
      <c r="G71" s="2174"/>
      <c r="I71" s="2251"/>
    </row>
    <row r="72" spans="1:9" hidden="1" x14ac:dyDescent="0.3">
      <c r="A72" s="2190" t="s">
        <v>2123</v>
      </c>
      <c r="B72" s="2162">
        <v>21992</v>
      </c>
      <c r="C72" s="2388">
        <f t="shared" ref="C72:C74" si="2">+E72*B72</f>
        <v>21992</v>
      </c>
      <c r="D72" s="2162">
        <f t="shared" ref="D72:D74" si="3">+IF(F72="Y",C72*(1+$F$12),C72)</f>
        <v>23091.600000000002</v>
      </c>
      <c r="E72" s="2174">
        <v>1</v>
      </c>
      <c r="F72" s="2174" t="s">
        <v>2084</v>
      </c>
      <c r="G72" s="2174"/>
      <c r="I72" s="2251"/>
    </row>
    <row r="73" spans="1:9" hidden="1" x14ac:dyDescent="0.3">
      <c r="A73" s="2190" t="s">
        <v>2121</v>
      </c>
      <c r="B73" s="2162">
        <v>16640</v>
      </c>
      <c r="C73" s="2388">
        <f t="shared" si="2"/>
        <v>16640</v>
      </c>
      <c r="D73" s="2162">
        <f t="shared" si="3"/>
        <v>17472</v>
      </c>
      <c r="E73" s="2174">
        <v>1</v>
      </c>
      <c r="F73" s="2174" t="s">
        <v>2084</v>
      </c>
      <c r="G73" s="2174"/>
      <c r="I73" s="2251"/>
    </row>
    <row r="74" spans="1:9" hidden="1" x14ac:dyDescent="0.3">
      <c r="A74" s="2190" t="s">
        <v>2122</v>
      </c>
      <c r="B74" s="2162">
        <v>1852</v>
      </c>
      <c r="C74" s="2388">
        <f t="shared" si="2"/>
        <v>1852</v>
      </c>
      <c r="D74" s="2162">
        <f t="shared" si="3"/>
        <v>1944.6000000000001</v>
      </c>
      <c r="E74" s="2174">
        <v>1</v>
      </c>
      <c r="F74" s="2174" t="s">
        <v>2084</v>
      </c>
      <c r="G74" s="2174"/>
      <c r="I74" s="2251"/>
    </row>
    <row r="75" spans="1:9" hidden="1" x14ac:dyDescent="0.3">
      <c r="A75" s="2189" t="s">
        <v>2124</v>
      </c>
      <c r="B75" s="2162"/>
      <c r="C75" s="2388"/>
      <c r="D75" s="2162"/>
      <c r="E75" s="2174"/>
      <c r="F75" s="2174"/>
      <c r="G75" s="2174"/>
      <c r="I75" s="2251"/>
    </row>
    <row r="76" spans="1:9" hidden="1" x14ac:dyDescent="0.3">
      <c r="A76" s="2190" t="s">
        <v>2125</v>
      </c>
      <c r="B76" s="2162">
        <v>21992</v>
      </c>
      <c r="C76" s="2388">
        <f t="shared" ref="C76:C78" si="4">+E76*B76</f>
        <v>153944</v>
      </c>
      <c r="D76" s="2162">
        <f>+IF(F76="Y",C76*(1+$F$12),C76)</f>
        <v>161641.20000000001</v>
      </c>
      <c r="E76" s="2174">
        <v>7</v>
      </c>
      <c r="F76" s="2174" t="s">
        <v>2084</v>
      </c>
      <c r="G76" s="2174"/>
      <c r="I76" s="2251"/>
    </row>
    <row r="77" spans="1:9" hidden="1" x14ac:dyDescent="0.3">
      <c r="A77" s="2190" t="s">
        <v>2121</v>
      </c>
      <c r="B77" s="2162">
        <v>16640</v>
      </c>
      <c r="C77" s="2388">
        <f t="shared" si="4"/>
        <v>116480</v>
      </c>
      <c r="D77" s="2162">
        <f>+IF(F77="Y",C77*(1+$F$12),C77)</f>
        <v>122304</v>
      </c>
      <c r="E77" s="2174">
        <v>7</v>
      </c>
      <c r="F77" s="2174" t="s">
        <v>2084</v>
      </c>
      <c r="G77" s="2174"/>
      <c r="I77" s="2251"/>
    </row>
    <row r="78" spans="1:9" hidden="1" x14ac:dyDescent="0.3">
      <c r="A78" s="2190" t="s">
        <v>2122</v>
      </c>
      <c r="B78" s="2162">
        <v>1852</v>
      </c>
      <c r="C78" s="2388">
        <f t="shared" si="4"/>
        <v>12964</v>
      </c>
      <c r="D78" s="2162">
        <f>+IF(F78="Y",C78*(1+$F$12),C78)</f>
        <v>13612.2</v>
      </c>
      <c r="E78" s="2174">
        <v>7</v>
      </c>
      <c r="F78" s="2174" t="s">
        <v>2084</v>
      </c>
      <c r="G78" s="2174"/>
      <c r="I78" s="2251"/>
    </row>
    <row r="79" spans="1:9" hidden="1" x14ac:dyDescent="0.3">
      <c r="A79" s="2189" t="s">
        <v>2089</v>
      </c>
      <c r="B79" s="2162"/>
      <c r="C79" s="2388"/>
      <c r="D79" s="2162"/>
      <c r="E79" s="2174"/>
      <c r="F79" s="2174"/>
      <c r="G79" s="2174"/>
      <c r="I79" s="2251"/>
    </row>
    <row r="80" spans="1:9" hidden="1" x14ac:dyDescent="0.3">
      <c r="A80" s="2189" t="s">
        <v>2089</v>
      </c>
      <c r="B80" s="2162"/>
      <c r="C80" s="2388"/>
      <c r="D80" s="2162"/>
      <c r="E80" s="2174"/>
      <c r="F80" s="2174"/>
      <c r="G80" s="2174"/>
      <c r="I80" s="2251"/>
    </row>
    <row r="81" spans="1:9" hidden="1" x14ac:dyDescent="0.3">
      <c r="A81" s="2247" t="s">
        <v>2126</v>
      </c>
      <c r="B81" s="2256"/>
      <c r="C81" s="2393"/>
      <c r="D81" s="2256"/>
      <c r="E81" s="2258"/>
      <c r="F81" s="2257"/>
      <c r="G81" s="2258"/>
      <c r="I81" s="2251"/>
    </row>
    <row r="82" spans="1:9" hidden="1" x14ac:dyDescent="0.3">
      <c r="A82" s="2189" t="s">
        <v>2124</v>
      </c>
      <c r="B82" s="2162"/>
      <c r="C82" s="2388"/>
      <c r="D82" s="2162"/>
      <c r="E82" s="2174"/>
      <c r="F82" s="2174"/>
      <c r="G82" s="2174"/>
      <c r="I82" s="2251"/>
    </row>
    <row r="83" spans="1:9" hidden="1" x14ac:dyDescent="0.3">
      <c r="A83" s="2190" t="s">
        <v>2127</v>
      </c>
      <c r="B83" s="2162">
        <v>84869</v>
      </c>
      <c r="C83" s="2388">
        <f t="shared" ref="C83:C85" si="5">+E83*B83</f>
        <v>594083</v>
      </c>
      <c r="D83" s="2162">
        <f t="shared" ref="D83:D85" si="6">+IF(F83="Y",C83*(1+$F$12),C83)</f>
        <v>623787.15</v>
      </c>
      <c r="E83" s="2174">
        <v>7</v>
      </c>
      <c r="F83" s="2174" t="s">
        <v>2084</v>
      </c>
      <c r="G83" s="2174"/>
      <c r="I83" s="2251"/>
    </row>
    <row r="84" spans="1:9" hidden="1" x14ac:dyDescent="0.3">
      <c r="A84" s="2190" t="s">
        <v>2128</v>
      </c>
      <c r="B84" s="2162">
        <v>42605</v>
      </c>
      <c r="C84" s="2388">
        <f t="shared" si="5"/>
        <v>298235</v>
      </c>
      <c r="D84" s="2162">
        <f t="shared" si="6"/>
        <v>313146.75</v>
      </c>
      <c r="E84" s="2174">
        <v>7</v>
      </c>
      <c r="F84" s="2174" t="s">
        <v>2084</v>
      </c>
      <c r="G84" s="2174"/>
      <c r="I84" s="2251"/>
    </row>
    <row r="85" spans="1:9" hidden="1" x14ac:dyDescent="0.3">
      <c r="A85" s="2190" t="s">
        <v>2129</v>
      </c>
      <c r="B85" s="2162">
        <v>64474</v>
      </c>
      <c r="C85" s="2388">
        <f t="shared" si="5"/>
        <v>451318</v>
      </c>
      <c r="D85" s="2162">
        <f t="shared" si="6"/>
        <v>473883.9</v>
      </c>
      <c r="E85" s="2174">
        <v>7</v>
      </c>
      <c r="F85" s="2174" t="s">
        <v>2084</v>
      </c>
      <c r="G85" s="2174"/>
      <c r="I85" s="2251"/>
    </row>
    <row r="86" spans="1:9" hidden="1" x14ac:dyDescent="0.3">
      <c r="A86" s="2189" t="s">
        <v>1842</v>
      </c>
      <c r="B86" s="2162"/>
      <c r="C86" s="2388"/>
      <c r="D86" s="2162"/>
      <c r="E86" s="2174"/>
      <c r="F86" s="2174"/>
      <c r="G86" s="2174"/>
      <c r="I86" s="2251"/>
    </row>
    <row r="87" spans="1:9" hidden="1" x14ac:dyDescent="0.3">
      <c r="A87" s="2190" t="s">
        <v>2127</v>
      </c>
      <c r="B87" s="2162">
        <v>84869</v>
      </c>
      <c r="C87" s="2388">
        <f t="shared" ref="C87:C89" si="7">+E87*B87</f>
        <v>84869</v>
      </c>
      <c r="D87" s="2162">
        <f t="shared" ref="D87:D89" si="8">+IF(F87="Y",C87*(1+$F$12),C87)</f>
        <v>89112.45</v>
      </c>
      <c r="E87" s="2174">
        <v>1</v>
      </c>
      <c r="F87" s="2174" t="s">
        <v>2084</v>
      </c>
      <c r="G87" s="2174"/>
      <c r="I87" s="2251"/>
    </row>
    <row r="88" spans="1:9" hidden="1" x14ac:dyDescent="0.3">
      <c r="A88" s="2190" t="s">
        <v>2128</v>
      </c>
      <c r="B88" s="2162">
        <v>42605</v>
      </c>
      <c r="C88" s="2388">
        <f t="shared" si="7"/>
        <v>42605</v>
      </c>
      <c r="D88" s="2162">
        <f t="shared" si="8"/>
        <v>44735.25</v>
      </c>
      <c r="E88" s="2174">
        <v>1</v>
      </c>
      <c r="F88" s="2174" t="s">
        <v>2084</v>
      </c>
      <c r="G88" s="2174"/>
      <c r="I88" s="2251"/>
    </row>
    <row r="89" spans="1:9" hidden="1" x14ac:dyDescent="0.3">
      <c r="A89" s="2190" t="s">
        <v>2129</v>
      </c>
      <c r="B89" s="2162">
        <v>64474</v>
      </c>
      <c r="C89" s="2388">
        <f t="shared" si="7"/>
        <v>64474</v>
      </c>
      <c r="D89" s="2162">
        <f t="shared" si="8"/>
        <v>67697.7</v>
      </c>
      <c r="E89" s="2174">
        <v>1</v>
      </c>
      <c r="F89" s="2174" t="s">
        <v>2084</v>
      </c>
      <c r="G89" s="2174"/>
      <c r="I89" s="2251"/>
    </row>
    <row r="90" spans="1:9" hidden="1" x14ac:dyDescent="0.3">
      <c r="A90" s="2189" t="s">
        <v>2089</v>
      </c>
      <c r="B90" s="2162"/>
      <c r="C90" s="2388"/>
      <c r="D90" s="2162"/>
      <c r="E90" s="2174"/>
      <c r="F90" s="2174"/>
      <c r="G90" s="2174"/>
      <c r="I90" s="2251"/>
    </row>
    <row r="91" spans="1:9" hidden="1" x14ac:dyDescent="0.3">
      <c r="A91" s="2189" t="s">
        <v>2089</v>
      </c>
      <c r="B91" s="2162"/>
      <c r="C91" s="2388"/>
      <c r="D91" s="2162"/>
      <c r="E91" s="2174"/>
      <c r="F91" s="2174"/>
      <c r="G91" s="2174"/>
      <c r="I91" s="2251"/>
    </row>
    <row r="92" spans="1:9" hidden="1" x14ac:dyDescent="0.3">
      <c r="A92" s="2247"/>
      <c r="B92" s="2256"/>
      <c r="C92" s="2393"/>
      <c r="D92" s="2256"/>
      <c r="E92" s="2256"/>
      <c r="F92" s="2257"/>
      <c r="G92" s="2258"/>
      <c r="I92" s="2251"/>
    </row>
    <row r="93" spans="1:9" hidden="1" x14ac:dyDescent="0.3">
      <c r="A93" s="2247" t="s">
        <v>2130</v>
      </c>
      <c r="B93" s="2256"/>
      <c r="C93" s="2393"/>
      <c r="D93" s="2256"/>
      <c r="E93" s="2256"/>
      <c r="F93" s="2257"/>
      <c r="G93" s="2258"/>
      <c r="I93" s="2251"/>
    </row>
    <row r="94" spans="1:9" hidden="1" x14ac:dyDescent="0.3">
      <c r="A94" s="2189" t="s">
        <v>2131</v>
      </c>
      <c r="B94" s="2162"/>
      <c r="C94" s="2388"/>
      <c r="D94" s="2162"/>
      <c r="E94" s="2174"/>
      <c r="F94" s="2174"/>
      <c r="G94" s="2174"/>
      <c r="I94" s="2251"/>
    </row>
    <row r="95" spans="1:9" hidden="1" x14ac:dyDescent="0.3">
      <c r="A95" s="2189" t="s">
        <v>2132</v>
      </c>
      <c r="B95" s="2162"/>
      <c r="C95" s="2388"/>
      <c r="D95" s="2162"/>
      <c r="E95" s="2174"/>
      <c r="F95" s="2174"/>
      <c r="G95" s="2174"/>
    </row>
    <row r="96" spans="1:9" hidden="1" x14ac:dyDescent="0.3">
      <c r="A96" s="2189" t="s">
        <v>2089</v>
      </c>
      <c r="B96" s="2162"/>
      <c r="C96" s="2388"/>
      <c r="D96" s="2162"/>
      <c r="E96" s="2174"/>
      <c r="F96" s="2174"/>
      <c r="G96" s="2174"/>
    </row>
    <row r="97" spans="1:9" hidden="1" x14ac:dyDescent="0.3">
      <c r="A97" s="2189" t="s">
        <v>2089</v>
      </c>
      <c r="B97" s="2162"/>
      <c r="C97" s="2388"/>
      <c r="D97" s="2162"/>
      <c r="E97" s="2174"/>
      <c r="F97" s="2174"/>
      <c r="G97" s="2174"/>
    </row>
    <row r="98" spans="1:9" hidden="1" x14ac:dyDescent="0.3">
      <c r="A98" s="2247" t="s">
        <v>2133</v>
      </c>
      <c r="B98" s="2229"/>
      <c r="C98" s="2389"/>
      <c r="D98" s="2234">
        <f>+SUM($D$66:$D$97)</f>
        <v>1979310.9</v>
      </c>
      <c r="E98" s="2229"/>
      <c r="F98" s="2229"/>
      <c r="G98" s="2229"/>
    </row>
    <row r="99" spans="1:9" hidden="1" x14ac:dyDescent="0.3">
      <c r="A99" s="3"/>
    </row>
    <row r="100" spans="1:9" hidden="1" x14ac:dyDescent="0.3">
      <c r="A100" s="2254" t="s">
        <v>2134</v>
      </c>
      <c r="B100" s="2255" t="s">
        <v>1223</v>
      </c>
      <c r="C100" s="2387" t="s">
        <v>2080</v>
      </c>
      <c r="D100" s="2244" t="s">
        <v>2081</v>
      </c>
      <c r="E100" s="2255" t="s">
        <v>2117</v>
      </c>
      <c r="F100" s="2255" t="s">
        <v>2082</v>
      </c>
      <c r="G100" s="2244" t="s">
        <v>1149</v>
      </c>
      <c r="I100" s="2251"/>
    </row>
    <row r="101" spans="1:9" hidden="1" x14ac:dyDescent="0.3">
      <c r="A101" s="2189" t="s">
        <v>2135</v>
      </c>
      <c r="B101" s="2162">
        <v>400000</v>
      </c>
      <c r="C101" s="2388">
        <f t="shared" ref="C101:C102" si="9">+E101*B101</f>
        <v>400000</v>
      </c>
      <c r="D101" s="2162">
        <f t="shared" ref="D101:D102" si="10">+IF(F101="Y",C101*(1+$F$12),C101)</f>
        <v>400000</v>
      </c>
      <c r="E101" s="2174">
        <v>1</v>
      </c>
      <c r="F101" s="2174"/>
      <c r="G101" s="2174"/>
      <c r="I101" s="2251"/>
    </row>
    <row r="102" spans="1:9" hidden="1" x14ac:dyDescent="0.3">
      <c r="A102" s="2189" t="s">
        <v>2136</v>
      </c>
      <c r="B102" s="2162">
        <v>25000</v>
      </c>
      <c r="C102" s="2388">
        <f t="shared" si="9"/>
        <v>25000</v>
      </c>
      <c r="D102" s="2162">
        <f t="shared" si="10"/>
        <v>25000</v>
      </c>
      <c r="E102" s="2174">
        <v>1</v>
      </c>
      <c r="F102" s="2174"/>
      <c r="G102" s="2174"/>
      <c r="I102" s="2251"/>
    </row>
    <row r="103" spans="1:9" hidden="1" x14ac:dyDescent="0.3">
      <c r="A103" s="2189" t="s">
        <v>2089</v>
      </c>
      <c r="B103" s="2162"/>
      <c r="C103" s="2388"/>
      <c r="D103" s="2162"/>
      <c r="E103" s="2174"/>
      <c r="F103" s="2174"/>
      <c r="G103" s="2174"/>
      <c r="I103" s="2251"/>
    </row>
    <row r="104" spans="1:9" hidden="1" x14ac:dyDescent="0.3">
      <c r="A104" s="2189" t="s">
        <v>2089</v>
      </c>
      <c r="B104" s="2162"/>
      <c r="C104" s="2388"/>
      <c r="D104" s="2162"/>
      <c r="E104" s="2174"/>
      <c r="F104" s="2174"/>
      <c r="G104" s="2174"/>
      <c r="I104" s="2251"/>
    </row>
    <row r="105" spans="1:9" hidden="1" x14ac:dyDescent="0.3">
      <c r="A105" s="2247" t="s">
        <v>2137</v>
      </c>
      <c r="B105" s="2229"/>
      <c r="C105" s="2389"/>
      <c r="D105" s="2234">
        <f>+SUM($D$101:$D$104)</f>
        <v>425000</v>
      </c>
      <c r="E105" s="2229"/>
      <c r="F105" s="2229"/>
      <c r="G105" s="2229"/>
    </row>
    <row r="106" spans="1:9" hidden="1" x14ac:dyDescent="0.3"/>
    <row r="107" spans="1:9" hidden="1" x14ac:dyDescent="0.3"/>
    <row r="108" spans="1:9" hidden="1" x14ac:dyDescent="0.3"/>
    <row r="109" spans="1:9" hidden="1" x14ac:dyDescent="0.3">
      <c r="A109" s="2775" t="s">
        <v>2138</v>
      </c>
      <c r="B109" s="2775"/>
      <c r="C109" s="226"/>
      <c r="D109"/>
      <c r="E109"/>
    </row>
    <row r="110" spans="1:9" hidden="1" x14ac:dyDescent="0.3">
      <c r="A110" s="2311" t="s">
        <v>2139</v>
      </c>
      <c r="B110" s="2338"/>
      <c r="C110" s="2394"/>
      <c r="D110"/>
      <c r="E110"/>
    </row>
    <row r="111" spans="1:9" hidden="1" x14ac:dyDescent="0.3">
      <c r="A111" s="2311" t="s">
        <v>2140</v>
      </c>
      <c r="B111" s="2338"/>
      <c r="C111" s="2394"/>
      <c r="D111"/>
      <c r="E111"/>
    </row>
    <row r="112" spans="1:9" hidden="1" x14ac:dyDescent="0.3">
      <c r="A112" s="2311"/>
      <c r="B112" s="2338"/>
      <c r="C112" s="2394"/>
      <c r="D112"/>
      <c r="E112"/>
    </row>
    <row r="113" spans="1:5" hidden="1" x14ac:dyDescent="0.3">
      <c r="A113" s="2311"/>
      <c r="B113" s="2338"/>
      <c r="C113" s="2394"/>
      <c r="D113"/>
      <c r="E113"/>
    </row>
    <row r="114" spans="1:5" hidden="1" x14ac:dyDescent="0.3">
      <c r="A114" s="2311"/>
      <c r="B114" s="2338"/>
      <c r="C114" s="2394"/>
      <c r="D114"/>
      <c r="E114"/>
    </row>
    <row r="115" spans="1:5" hidden="1" x14ac:dyDescent="0.3">
      <c r="A115" s="2311"/>
      <c r="B115" s="2338"/>
      <c r="C115" s="2394"/>
      <c r="D115"/>
      <c r="E115"/>
    </row>
    <row r="116" spans="1:5" hidden="1" x14ac:dyDescent="0.3">
      <c r="A116" s="2311"/>
      <c r="B116" s="2338"/>
      <c r="C116" s="2394"/>
      <c r="D116"/>
      <c r="E116"/>
    </row>
    <row r="117" spans="1:5" hidden="1" x14ac:dyDescent="0.3">
      <c r="A117" s="2311"/>
      <c r="B117" s="2342"/>
      <c r="C117" s="2394"/>
      <c r="D117"/>
      <c r="E117"/>
    </row>
    <row r="118" spans="1:5" hidden="1" x14ac:dyDescent="0.3">
      <c r="A118" s="2311"/>
      <c r="B118" s="2342"/>
      <c r="C118" s="2394"/>
      <c r="D118"/>
      <c r="E118"/>
    </row>
    <row r="119" spans="1:5" hidden="1" x14ac:dyDescent="0.3">
      <c r="A119" s="2311"/>
      <c r="B119" s="2342"/>
      <c r="C119" s="2394"/>
      <c r="D119"/>
      <c r="E119"/>
    </row>
    <row r="120" spans="1:5" hidden="1" x14ac:dyDescent="0.3">
      <c r="A120"/>
      <c r="B120"/>
      <c r="C120" s="226"/>
      <c r="D120"/>
      <c r="E120"/>
    </row>
    <row r="121" spans="1:5" hidden="1" x14ac:dyDescent="0.3">
      <c r="A121" s="2775" t="s">
        <v>2141</v>
      </c>
      <c r="B121" s="2775"/>
      <c r="C121" s="226"/>
      <c r="D121"/>
      <c r="E121" s="2339" t="s">
        <v>2142</v>
      </c>
    </row>
    <row r="122" spans="1:5" hidden="1" x14ac:dyDescent="0.3">
      <c r="A122" s="2311"/>
      <c r="B122" s="2338"/>
      <c r="C122" s="2394"/>
      <c r="D122"/>
      <c r="E122" s="2338"/>
    </row>
    <row r="123" spans="1:5" hidden="1" x14ac:dyDescent="0.3">
      <c r="A123" s="2311"/>
      <c r="B123" s="2338"/>
      <c r="C123" s="2394"/>
      <c r="D123"/>
      <c r="E123" s="2338">
        <f>B123*Units</f>
        <v>0</v>
      </c>
    </row>
    <row r="124" spans="1:5" hidden="1" x14ac:dyDescent="0.3">
      <c r="A124" s="2311"/>
      <c r="B124" s="2338"/>
      <c r="C124" s="2394"/>
      <c r="D124"/>
      <c r="E124" s="2338">
        <f>B124*Units</f>
        <v>0</v>
      </c>
    </row>
    <row r="125" spans="1:5" hidden="1" x14ac:dyDescent="0.3">
      <c r="A125" s="2311"/>
      <c r="B125" s="2338"/>
      <c r="C125" s="2395"/>
      <c r="D125"/>
      <c r="E125" s="2338">
        <f>0.02*SUM(E124,E129)</f>
        <v>0</v>
      </c>
    </row>
    <row r="126" spans="1:5" hidden="1" x14ac:dyDescent="0.3">
      <c r="A126"/>
      <c r="B126" s="2340"/>
      <c r="C126" s="2396"/>
      <c r="D126"/>
      <c r="E126" s="2340"/>
    </row>
    <row r="127" spans="1:5" hidden="1" x14ac:dyDescent="0.3">
      <c r="A127" s="2775" t="s">
        <v>2143</v>
      </c>
      <c r="B127" s="2775"/>
      <c r="C127" s="226"/>
      <c r="D127"/>
      <c r="E127"/>
    </row>
    <row r="128" spans="1:5" hidden="1" x14ac:dyDescent="0.3">
      <c r="A128" s="2311"/>
      <c r="B128" s="2338"/>
      <c r="C128" s="2394"/>
      <c r="D128"/>
      <c r="E128" s="2338" t="e">
        <f>B128*(1+(0.106-'[6]General Inputs'!#REF!))</f>
        <v>#REF!</v>
      </c>
    </row>
    <row r="129" spans="1:5" hidden="1" x14ac:dyDescent="0.3">
      <c r="A129" s="2311"/>
      <c r="B129" s="2338"/>
      <c r="C129" s="2394"/>
      <c r="D129"/>
      <c r="E129" s="2338">
        <f>B129*Units</f>
        <v>0</v>
      </c>
    </row>
    <row r="130" spans="1:5" hidden="1" x14ac:dyDescent="0.3">
      <c r="A130"/>
      <c r="B130"/>
      <c r="C130" s="226"/>
      <c r="D130"/>
      <c r="E130"/>
    </row>
    <row r="131" spans="1:5" hidden="1" x14ac:dyDescent="0.3">
      <c r="A131" s="2775" t="s">
        <v>2144</v>
      </c>
      <c r="B131" s="2775"/>
      <c r="C131" s="226"/>
      <c r="D131"/>
      <c r="E131" s="2341"/>
    </row>
    <row r="132" spans="1:5" hidden="1" x14ac:dyDescent="0.3">
      <c r="A132" s="2311" t="s">
        <v>2145</v>
      </c>
      <c r="B132" s="2334">
        <f>SUM(E122:E125)</f>
        <v>0</v>
      </c>
      <c r="C132" s="2397"/>
      <c r="D132"/>
      <c r="E132"/>
    </row>
    <row r="133" spans="1:5" hidden="1" x14ac:dyDescent="0.3">
      <c r="A133" s="2311" t="s">
        <v>2146</v>
      </c>
      <c r="B133" s="2334" t="e">
        <f>SUM(E128:E129)</f>
        <v>#REF!</v>
      </c>
      <c r="C133" s="2398"/>
      <c r="D133"/>
      <c r="E133"/>
    </row>
    <row r="134" spans="1:5" hidden="1" x14ac:dyDescent="0.3">
      <c r="A134" s="2311" t="s">
        <v>2147</v>
      </c>
      <c r="B134" s="2333">
        <f>SUM(B110:B119)</f>
        <v>0</v>
      </c>
      <c r="C134" s="2397"/>
      <c r="D134"/>
      <c r="E134"/>
    </row>
    <row r="135" spans="1:5" hidden="1" x14ac:dyDescent="0.3"/>
    <row r="136" spans="1:5" hidden="1" x14ac:dyDescent="0.3"/>
    <row r="137" spans="1:5" hidden="1" x14ac:dyDescent="0.3"/>
    <row r="138" spans="1:5" x14ac:dyDescent="0.3">
      <c r="A138" s="2347" t="s">
        <v>2072</v>
      </c>
      <c r="B138" s="2347"/>
      <c r="C138" s="2399"/>
    </row>
    <row r="139" spans="1:5" x14ac:dyDescent="0.3">
      <c r="A139" s="2346" t="s">
        <v>902</v>
      </c>
      <c r="B139" s="2346" t="s">
        <v>2080</v>
      </c>
      <c r="C139" s="2400" t="s">
        <v>2148</v>
      </c>
    </row>
    <row r="140" spans="1:5" ht="15" customHeight="1" x14ac:dyDescent="0.3">
      <c r="A140" s="2380" t="s">
        <v>2149</v>
      </c>
      <c r="B140" s="2162">
        <v>275666</v>
      </c>
      <c r="C140" s="2381" t="s">
        <v>2150</v>
      </c>
    </row>
    <row r="141" spans="1:5" x14ac:dyDescent="0.3">
      <c r="A141" s="2380" t="s">
        <v>2151</v>
      </c>
      <c r="B141" s="2162">
        <v>0</v>
      </c>
      <c r="C141" s="2381" t="s">
        <v>2152</v>
      </c>
    </row>
    <row r="142" spans="1:5" x14ac:dyDescent="0.3">
      <c r="A142" s="2380" t="s">
        <v>2085</v>
      </c>
      <c r="B142" s="2162">
        <v>0</v>
      </c>
      <c r="C142" s="2381" t="s">
        <v>2152</v>
      </c>
    </row>
    <row r="143" spans="1:5" x14ac:dyDescent="0.3">
      <c r="A143" s="2380" t="s">
        <v>2153</v>
      </c>
      <c r="B143" s="2162">
        <v>0</v>
      </c>
      <c r="C143" s="2381" t="s">
        <v>2152</v>
      </c>
    </row>
    <row r="144" spans="1:5" x14ac:dyDescent="0.3">
      <c r="A144" s="2380" t="s">
        <v>2154</v>
      </c>
      <c r="B144" s="2162">
        <v>0</v>
      </c>
      <c r="C144" s="2381" t="s">
        <v>2152</v>
      </c>
    </row>
    <row r="145" spans="1:3" x14ac:dyDescent="0.3">
      <c r="A145" s="2380" t="s">
        <v>2155</v>
      </c>
      <c r="B145" s="2162">
        <v>0</v>
      </c>
      <c r="C145" s="2381" t="s">
        <v>2152</v>
      </c>
    </row>
    <row r="146" spans="1:3" x14ac:dyDescent="0.3">
      <c r="A146" s="2380" t="s">
        <v>2156</v>
      </c>
      <c r="B146" s="2162">
        <v>0</v>
      </c>
      <c r="C146" s="2381" t="s">
        <v>2152</v>
      </c>
    </row>
    <row r="147" spans="1:3" x14ac:dyDescent="0.3">
      <c r="A147" s="2380" t="s">
        <v>2157</v>
      </c>
      <c r="B147" s="2162">
        <v>0</v>
      </c>
      <c r="C147" s="2381" t="s">
        <v>2158</v>
      </c>
    </row>
    <row r="148" spans="1:3" x14ac:dyDescent="0.3">
      <c r="A148" s="2382" t="s">
        <v>1979</v>
      </c>
      <c r="B148" s="2162"/>
      <c r="C148" s="2381"/>
    </row>
    <row r="149" spans="1:3" x14ac:dyDescent="0.3">
      <c r="A149" s="2382" t="s">
        <v>1979</v>
      </c>
      <c r="B149" s="2162"/>
      <c r="C149" s="2381"/>
    </row>
    <row r="150" spans="1:3" s="2199" customFormat="1" x14ac:dyDescent="0.3">
      <c r="A150" s="2401" t="s">
        <v>2159</v>
      </c>
      <c r="B150" s="2402">
        <f>SUM(B140:B149)</f>
        <v>275666</v>
      </c>
      <c r="C150" s="2417"/>
    </row>
    <row r="152" spans="1:3" x14ac:dyDescent="0.3">
      <c r="A152" s="2347" t="s">
        <v>2160</v>
      </c>
      <c r="B152" s="2347"/>
      <c r="C152" s="2399"/>
    </row>
    <row r="153" spans="1:3" x14ac:dyDescent="0.3">
      <c r="A153" s="2346" t="s">
        <v>902</v>
      </c>
      <c r="B153" s="2346" t="s">
        <v>2080</v>
      </c>
      <c r="C153" s="2400" t="s">
        <v>2148</v>
      </c>
    </row>
    <row r="154" spans="1:3" x14ac:dyDescent="0.3">
      <c r="A154" s="2380" t="s">
        <v>2161</v>
      </c>
      <c r="B154" s="2162">
        <f>0.65*B140</f>
        <v>179182.9</v>
      </c>
      <c r="C154" s="2381" t="s">
        <v>2162</v>
      </c>
    </row>
    <row r="155" spans="1:3" x14ac:dyDescent="0.3">
      <c r="A155" s="2380" t="s">
        <v>2163</v>
      </c>
      <c r="B155" s="2162">
        <f>B140*0.3</f>
        <v>82699.8</v>
      </c>
      <c r="C155" s="2381" t="s">
        <v>2164</v>
      </c>
    </row>
    <row r="156" spans="1:3" x14ac:dyDescent="0.3">
      <c r="A156" s="2380" t="s">
        <v>2165</v>
      </c>
      <c r="B156" s="2162">
        <v>0</v>
      </c>
      <c r="C156" s="2381" t="s">
        <v>2166</v>
      </c>
    </row>
    <row r="157" spans="1:3" x14ac:dyDescent="0.3">
      <c r="A157" s="2380" t="s">
        <v>2167</v>
      </c>
      <c r="B157" s="2162">
        <v>0</v>
      </c>
      <c r="C157" s="2381" t="s">
        <v>2166</v>
      </c>
    </row>
    <row r="158" spans="1:3" x14ac:dyDescent="0.3">
      <c r="A158" s="2380" t="s">
        <v>2168</v>
      </c>
      <c r="B158" s="2162">
        <v>0</v>
      </c>
      <c r="C158" s="2381" t="s">
        <v>2166</v>
      </c>
    </row>
    <row r="159" spans="1:3" x14ac:dyDescent="0.3">
      <c r="A159" s="2380" t="s">
        <v>2097</v>
      </c>
      <c r="B159" s="2162">
        <v>0</v>
      </c>
      <c r="C159" s="2381" t="s">
        <v>2166</v>
      </c>
    </row>
    <row r="160" spans="1:3" x14ac:dyDescent="0.3">
      <c r="A160" s="2380" t="s">
        <v>2169</v>
      </c>
      <c r="B160" s="2162">
        <v>32000</v>
      </c>
      <c r="C160" s="2381" t="s">
        <v>2170</v>
      </c>
    </row>
    <row r="161" spans="1:3" x14ac:dyDescent="0.3">
      <c r="A161" s="2380" t="s">
        <v>2171</v>
      </c>
      <c r="B161" s="2162">
        <v>0</v>
      </c>
      <c r="C161" s="2381" t="s">
        <v>2172</v>
      </c>
    </row>
    <row r="162" spans="1:3" x14ac:dyDescent="0.3">
      <c r="A162" s="2380" t="s">
        <v>2173</v>
      </c>
      <c r="B162" s="2162">
        <v>0</v>
      </c>
      <c r="C162" s="2381" t="s">
        <v>2172</v>
      </c>
    </row>
    <row r="163" spans="1:3" x14ac:dyDescent="0.3">
      <c r="A163" s="2380" t="s">
        <v>2101</v>
      </c>
      <c r="B163" s="2162">
        <v>0</v>
      </c>
      <c r="C163" s="2381" t="s">
        <v>2172</v>
      </c>
    </row>
    <row r="164" spans="1:3" x14ac:dyDescent="0.3">
      <c r="A164" s="2380" t="s">
        <v>2174</v>
      </c>
      <c r="B164" s="2162">
        <v>1000</v>
      </c>
      <c r="C164" s="2381" t="s">
        <v>2172</v>
      </c>
    </row>
    <row r="165" spans="1:3" x14ac:dyDescent="0.3">
      <c r="A165" s="2380" t="s">
        <v>2103</v>
      </c>
      <c r="B165" s="2162">
        <v>0</v>
      </c>
      <c r="C165" s="2381" t="s">
        <v>2172</v>
      </c>
    </row>
    <row r="166" spans="1:3" x14ac:dyDescent="0.3">
      <c r="A166" s="2380" t="s">
        <v>2175</v>
      </c>
      <c r="B166" s="2162">
        <v>0</v>
      </c>
      <c r="C166" s="2381" t="s">
        <v>2172</v>
      </c>
    </row>
    <row r="167" spans="1:3" x14ac:dyDescent="0.3">
      <c r="A167" s="2380" t="s">
        <v>2176</v>
      </c>
      <c r="B167" s="2162">
        <v>0</v>
      </c>
      <c r="C167" s="2381" t="s">
        <v>2172</v>
      </c>
    </row>
    <row r="168" spans="1:3" x14ac:dyDescent="0.3">
      <c r="A168" s="2380" t="s">
        <v>2106</v>
      </c>
      <c r="B168" s="2162">
        <v>0</v>
      </c>
      <c r="C168" s="2381" t="s">
        <v>2172</v>
      </c>
    </row>
    <row r="169" spans="1:3" x14ac:dyDescent="0.3">
      <c r="A169" s="2380" t="s">
        <v>2107</v>
      </c>
      <c r="B169" s="2162">
        <v>0</v>
      </c>
      <c r="C169" s="2381" t="s">
        <v>2172</v>
      </c>
    </row>
    <row r="170" spans="1:3" x14ac:dyDescent="0.3">
      <c r="A170" s="2380" t="s">
        <v>2108</v>
      </c>
      <c r="B170" s="2162">
        <v>50000</v>
      </c>
      <c r="C170" s="2381" t="s">
        <v>2177</v>
      </c>
    </row>
    <row r="171" spans="1:3" x14ac:dyDescent="0.3">
      <c r="A171" s="2380" t="s">
        <v>2178</v>
      </c>
      <c r="B171" s="2162">
        <v>0</v>
      </c>
      <c r="C171" s="2381" t="s">
        <v>2172</v>
      </c>
    </row>
    <row r="172" spans="1:3" x14ac:dyDescent="0.3">
      <c r="A172" s="2380" t="s">
        <v>2179</v>
      </c>
      <c r="B172" s="2162">
        <v>10000</v>
      </c>
      <c r="C172" s="2381" t="s">
        <v>2177</v>
      </c>
    </row>
    <row r="173" spans="1:3" x14ac:dyDescent="0.3">
      <c r="A173" s="2380" t="s">
        <v>2180</v>
      </c>
      <c r="B173" s="2162">
        <v>10000</v>
      </c>
      <c r="C173" s="2381" t="s">
        <v>2177</v>
      </c>
    </row>
    <row r="174" spans="1:3" x14ac:dyDescent="0.3">
      <c r="A174" s="2380" t="s">
        <v>2181</v>
      </c>
      <c r="B174" s="2162">
        <v>10000</v>
      </c>
      <c r="C174" s="2381" t="s">
        <v>2177</v>
      </c>
    </row>
    <row r="175" spans="1:3" x14ac:dyDescent="0.3">
      <c r="A175" s="2382" t="s">
        <v>1979</v>
      </c>
      <c r="B175" s="2162"/>
      <c r="C175" s="2381"/>
    </row>
    <row r="176" spans="1:3" x14ac:dyDescent="0.3">
      <c r="A176" s="2382" t="s">
        <v>1979</v>
      </c>
      <c r="B176" s="2162"/>
      <c r="C176" s="2381"/>
    </row>
    <row r="177" spans="1:4" s="2199" customFormat="1" x14ac:dyDescent="0.3">
      <c r="A177" s="2401" t="s">
        <v>2182</v>
      </c>
      <c r="B177" s="2402">
        <f>SUM(B154:B176)</f>
        <v>374882.7</v>
      </c>
      <c r="C177" s="2417"/>
    </row>
    <row r="179" spans="1:4" x14ac:dyDescent="0.3">
      <c r="A179" s="2347" t="s">
        <v>2075</v>
      </c>
      <c r="B179" s="2347"/>
      <c r="C179" s="2399"/>
    </row>
    <row r="180" spans="1:4" x14ac:dyDescent="0.3">
      <c r="A180" s="2346" t="s">
        <v>902</v>
      </c>
      <c r="B180" s="2346" t="s">
        <v>2080</v>
      </c>
      <c r="C180" s="2400" t="s">
        <v>2148</v>
      </c>
    </row>
    <row r="181" spans="1:4" x14ac:dyDescent="0.3">
      <c r="A181" s="2380" t="s">
        <v>2110</v>
      </c>
      <c r="B181" s="2162">
        <v>0</v>
      </c>
      <c r="C181" s="2381" t="s">
        <v>2183</v>
      </c>
    </row>
    <row r="182" spans="1:4" x14ac:dyDescent="0.3">
      <c r="A182" s="2380" t="s">
        <v>2184</v>
      </c>
      <c r="B182" s="2162">
        <v>0</v>
      </c>
      <c r="C182" s="2381" t="s">
        <v>2185</v>
      </c>
    </row>
    <row r="183" spans="1:4" ht="15" customHeight="1" x14ac:dyDescent="0.3">
      <c r="A183" s="2380" t="s">
        <v>2186</v>
      </c>
      <c r="B183" s="2162">
        <f>1946*250</f>
        <v>486500</v>
      </c>
      <c r="C183" s="2381" t="s">
        <v>2150</v>
      </c>
    </row>
    <row r="184" spans="1:4" ht="15" customHeight="1" x14ac:dyDescent="0.3">
      <c r="A184" s="2380" t="s">
        <v>2187</v>
      </c>
      <c r="B184" s="2162">
        <f>470*250</f>
        <v>117500</v>
      </c>
      <c r="C184" s="2381" t="s">
        <v>2150</v>
      </c>
    </row>
    <row r="185" spans="1:4" ht="15" customHeight="1" x14ac:dyDescent="0.3">
      <c r="A185" s="2380" t="s">
        <v>2188</v>
      </c>
      <c r="B185" s="2162">
        <f>190*250</f>
        <v>47500</v>
      </c>
      <c r="C185" s="2381" t="s">
        <v>2150</v>
      </c>
    </row>
    <row r="186" spans="1:4" x14ac:dyDescent="0.3">
      <c r="A186" s="2380" t="s">
        <v>2114</v>
      </c>
      <c r="B186" s="2456">
        <f>(((3182/2118)*1895)*SUMIF('Operating Inputs'!$A$15:$A$44,"&lt;&gt;T-*",'Operating Inputs'!$E$15:$E$44))+(3182*SUMIF('Operating Inputs'!$A$15:$A$44,"T-*",'Operating Inputs'!$E$15:$E$44))</f>
        <v>742226.28895184142</v>
      </c>
      <c r="C186" s="2381" t="s">
        <v>2189</v>
      </c>
      <c r="D186" s="3" t="s">
        <v>2190</v>
      </c>
    </row>
    <row r="187" spans="1:4" x14ac:dyDescent="0.3">
      <c r="A187" s="2380" t="s">
        <v>2191</v>
      </c>
      <c r="B187" s="2162">
        <v>0</v>
      </c>
      <c r="C187" s="2381" t="s">
        <v>2172</v>
      </c>
    </row>
    <row r="188" spans="1:4" x14ac:dyDescent="0.3">
      <c r="A188" s="2380" t="s">
        <v>2192</v>
      </c>
      <c r="B188" s="2162">
        <f>357*250</f>
        <v>89250</v>
      </c>
      <c r="C188" s="2457" t="s">
        <v>2193</v>
      </c>
    </row>
    <row r="189" spans="1:4" x14ac:dyDescent="0.3">
      <c r="A189" s="2382" t="s">
        <v>1979</v>
      </c>
      <c r="B189" s="2162"/>
      <c r="C189" s="2381"/>
    </row>
    <row r="190" spans="1:4" s="2199" customFormat="1" x14ac:dyDescent="0.3">
      <c r="A190" s="2401" t="s">
        <v>2115</v>
      </c>
      <c r="B190" s="2402">
        <f>SUM(B181:B189)</f>
        <v>1482976.2889518414</v>
      </c>
      <c r="C190" s="2417"/>
    </row>
    <row r="191" spans="1:4" x14ac:dyDescent="0.3">
      <c r="B191" s="2251"/>
    </row>
    <row r="192" spans="1:4" x14ac:dyDescent="0.3">
      <c r="A192" s="2347" t="s">
        <v>2076</v>
      </c>
      <c r="B192" s="2347"/>
      <c r="C192" s="2399"/>
    </row>
    <row r="193" spans="1:4" x14ac:dyDescent="0.3">
      <c r="A193" s="2346" t="s">
        <v>2118</v>
      </c>
      <c r="B193" s="2346" t="s">
        <v>2080</v>
      </c>
      <c r="C193" s="2400" t="s">
        <v>2148</v>
      </c>
    </row>
    <row r="194" spans="1:4" x14ac:dyDescent="0.3">
      <c r="A194" s="2415" t="s">
        <v>2194</v>
      </c>
      <c r="B194" s="2162">
        <f>1514*250</f>
        <v>378500</v>
      </c>
      <c r="C194" s="2381" t="s">
        <v>2150</v>
      </c>
    </row>
    <row r="195" spans="1:4" x14ac:dyDescent="0.3">
      <c r="A195" s="2415" t="s">
        <v>2195</v>
      </c>
      <c r="B195" s="2162">
        <f>525*250</f>
        <v>131250</v>
      </c>
      <c r="C195" s="2381" t="s">
        <v>2150</v>
      </c>
    </row>
    <row r="196" spans="1:4" x14ac:dyDescent="0.3">
      <c r="A196" s="2415" t="s">
        <v>2196</v>
      </c>
      <c r="B196" s="2162">
        <v>17977</v>
      </c>
      <c r="C196" s="2381" t="s">
        <v>2197</v>
      </c>
    </row>
    <row r="197" spans="1:4" x14ac:dyDescent="0.3">
      <c r="A197" s="2415" t="s">
        <v>2198</v>
      </c>
      <c r="B197" s="2162">
        <v>2957</v>
      </c>
      <c r="C197" s="2381" t="s">
        <v>2199</v>
      </c>
    </row>
    <row r="198" spans="1:4" x14ac:dyDescent="0.3">
      <c r="A198" s="2382" t="s">
        <v>1979</v>
      </c>
      <c r="B198" s="2162"/>
      <c r="C198" s="2381"/>
      <c r="D198" s="3" t="s">
        <v>2200</v>
      </c>
    </row>
    <row r="199" spans="1:4" s="2199" customFormat="1" x14ac:dyDescent="0.3">
      <c r="A199" s="2401" t="s">
        <v>173</v>
      </c>
      <c r="B199" s="2402">
        <f>SUM(B194:B198)</f>
        <v>530684</v>
      </c>
      <c r="C199" s="2417"/>
    </row>
    <row r="200" spans="1:4" x14ac:dyDescent="0.3">
      <c r="A200" s="3"/>
    </row>
    <row r="201" spans="1:4" x14ac:dyDescent="0.3">
      <c r="A201" s="2346" t="s">
        <v>2126</v>
      </c>
      <c r="B201" s="2346" t="s">
        <v>2080</v>
      </c>
      <c r="C201" s="2400" t="s">
        <v>2148</v>
      </c>
    </row>
    <row r="202" spans="1:4" x14ac:dyDescent="0.3">
      <c r="A202" s="2415" t="s">
        <v>2201</v>
      </c>
      <c r="B202" s="2162">
        <f>5411*250</f>
        <v>1352750</v>
      </c>
      <c r="C202" s="2381" t="s">
        <v>2150</v>
      </c>
    </row>
    <row r="203" spans="1:4" x14ac:dyDescent="0.3">
      <c r="A203" s="2415" t="s">
        <v>956</v>
      </c>
      <c r="B203" s="2162">
        <v>17200</v>
      </c>
      <c r="C203" s="2381" t="s">
        <v>2202</v>
      </c>
    </row>
    <row r="204" spans="1:4" x14ac:dyDescent="0.3">
      <c r="A204" s="2382" t="s">
        <v>1979</v>
      </c>
      <c r="B204" s="2416"/>
      <c r="C204" s="2381"/>
    </row>
    <row r="205" spans="1:4" x14ac:dyDescent="0.3">
      <c r="A205" s="2382" t="s">
        <v>1979</v>
      </c>
      <c r="B205" s="2416"/>
      <c r="C205" s="2381"/>
    </row>
    <row r="206" spans="1:4" s="2199" customFormat="1" x14ac:dyDescent="0.3">
      <c r="A206" s="2401" t="s">
        <v>173</v>
      </c>
      <c r="B206" s="2402">
        <f>SUM(B202:B205)</f>
        <v>1369950</v>
      </c>
      <c r="C206" s="2417"/>
    </row>
    <row r="207" spans="1:4" x14ac:dyDescent="0.3">
      <c r="A207" s="2247"/>
      <c r="B207" s="2256"/>
    </row>
    <row r="208" spans="1:4" x14ac:dyDescent="0.3">
      <c r="A208" s="2346" t="s">
        <v>2130</v>
      </c>
      <c r="B208" s="2346" t="s">
        <v>2080</v>
      </c>
      <c r="C208" s="2400" t="s">
        <v>2148</v>
      </c>
    </row>
    <row r="209" spans="1:4" x14ac:dyDescent="0.3">
      <c r="A209" s="2415" t="s">
        <v>2203</v>
      </c>
      <c r="B209" s="2162">
        <v>0</v>
      </c>
      <c r="C209" s="2381" t="s">
        <v>2204</v>
      </c>
    </row>
    <row r="210" spans="1:4" x14ac:dyDescent="0.3">
      <c r="A210" s="2382" t="s">
        <v>1979</v>
      </c>
      <c r="B210" s="2162"/>
      <c r="C210" s="2381"/>
    </row>
    <row r="211" spans="1:4" x14ac:dyDescent="0.3">
      <c r="A211" s="2382" t="s">
        <v>1979</v>
      </c>
      <c r="B211" s="2162"/>
      <c r="C211" s="2381"/>
    </row>
    <row r="212" spans="1:4" s="2199" customFormat="1" x14ac:dyDescent="0.3">
      <c r="A212" s="2401" t="s">
        <v>173</v>
      </c>
      <c r="B212" s="2402">
        <f>SUM(B209:B211)</f>
        <v>0</v>
      </c>
      <c r="C212" s="2417"/>
      <c r="D212" s="3"/>
    </row>
    <row r="213" spans="1:4" x14ac:dyDescent="0.3">
      <c r="A213" s="3"/>
    </row>
    <row r="214" spans="1:4" x14ac:dyDescent="0.3">
      <c r="A214" s="2347" t="s">
        <v>2134</v>
      </c>
      <c r="B214" s="2347"/>
      <c r="C214" s="2399"/>
    </row>
    <row r="215" spans="1:4" x14ac:dyDescent="0.3">
      <c r="A215" s="2346" t="s">
        <v>902</v>
      </c>
      <c r="B215" s="2346" t="s">
        <v>2080</v>
      </c>
      <c r="C215" s="2400" t="s">
        <v>2148</v>
      </c>
    </row>
    <row r="216" spans="1:4" x14ac:dyDescent="0.3">
      <c r="A216" s="2415" t="s">
        <v>2135</v>
      </c>
      <c r="B216" s="2162">
        <v>300000</v>
      </c>
      <c r="C216" s="2381" t="s">
        <v>2177</v>
      </c>
    </row>
    <row r="217" spans="1:4" x14ac:dyDescent="0.3">
      <c r="A217" s="2415" t="s">
        <v>2136</v>
      </c>
      <c r="B217" s="2162">
        <v>25000</v>
      </c>
      <c r="C217" s="2381" t="s">
        <v>2177</v>
      </c>
    </row>
    <row r="218" spans="1:4" x14ac:dyDescent="0.3">
      <c r="A218" s="2382" t="s">
        <v>1979</v>
      </c>
      <c r="B218" s="2162"/>
      <c r="C218" s="2381"/>
    </row>
    <row r="219" spans="1:4" x14ac:dyDescent="0.3">
      <c r="A219" s="2382" t="s">
        <v>1979</v>
      </c>
      <c r="B219" s="2162"/>
      <c r="C219" s="2381"/>
    </row>
    <row r="220" spans="1:4" s="2199" customFormat="1" x14ac:dyDescent="0.3">
      <c r="A220" s="2401" t="s">
        <v>2137</v>
      </c>
      <c r="B220" s="2402">
        <f>SUM(B216:B219)</f>
        <v>325000</v>
      </c>
      <c r="C220" s="2417"/>
      <c r="D220" s="3"/>
    </row>
    <row r="221" spans="1:4" x14ac:dyDescent="0.3">
      <c r="A221" s="3"/>
    </row>
    <row r="222" spans="1:4" x14ac:dyDescent="0.3">
      <c r="A222" s="2347" t="s">
        <v>2205</v>
      </c>
      <c r="B222" s="2347"/>
      <c r="C222" s="2399"/>
    </row>
    <row r="223" spans="1:4" x14ac:dyDescent="0.3">
      <c r="A223" s="2346" t="s">
        <v>902</v>
      </c>
      <c r="B223" s="2346" t="s">
        <v>2080</v>
      </c>
      <c r="C223" s="2400" t="s">
        <v>2148</v>
      </c>
    </row>
    <row r="224" spans="1:4" x14ac:dyDescent="0.3">
      <c r="A224" s="2415" t="s">
        <v>956</v>
      </c>
      <c r="B224" s="2162">
        <v>100000</v>
      </c>
      <c r="C224" s="2381" t="s">
        <v>2177</v>
      </c>
    </row>
    <row r="225" spans="1:4" x14ac:dyDescent="0.3">
      <c r="A225" s="2415" t="s">
        <v>2206</v>
      </c>
      <c r="B225" s="2162">
        <v>0</v>
      </c>
      <c r="C225" s="2381" t="s">
        <v>2177</v>
      </c>
    </row>
    <row r="226" spans="1:4" x14ac:dyDescent="0.3">
      <c r="A226" s="2382" t="s">
        <v>1979</v>
      </c>
      <c r="B226" s="2162"/>
      <c r="C226" s="2381"/>
    </row>
    <row r="227" spans="1:4" x14ac:dyDescent="0.3">
      <c r="A227" s="2382" t="s">
        <v>1979</v>
      </c>
      <c r="B227" s="2162"/>
      <c r="C227" s="2381"/>
    </row>
    <row r="228" spans="1:4" x14ac:dyDescent="0.3">
      <c r="A228" s="2406" t="s">
        <v>173</v>
      </c>
      <c r="B228" s="2418">
        <f>SUM(B224:B227)</f>
        <v>100000</v>
      </c>
      <c r="C228" s="2417"/>
    </row>
    <row r="230" spans="1:4" x14ac:dyDescent="0.3">
      <c r="A230" s="2347" t="s">
        <v>2207</v>
      </c>
      <c r="B230" s="2347"/>
      <c r="C230" s="2399"/>
    </row>
    <row r="231" spans="1:4" x14ac:dyDescent="0.3">
      <c r="A231" s="2773" t="s">
        <v>2208</v>
      </c>
      <c r="B231" s="2771"/>
      <c r="C231" s="2772"/>
    </row>
    <row r="232" spans="1:4" x14ac:dyDescent="0.3">
      <c r="A232" s="2773" t="s">
        <v>2209</v>
      </c>
      <c r="B232" s="2771"/>
      <c r="C232" s="2772"/>
    </row>
    <row r="233" spans="1:4" x14ac:dyDescent="0.3">
      <c r="A233" s="2773" t="s">
        <v>2210</v>
      </c>
      <c r="B233" s="2771"/>
      <c r="C233" s="2772"/>
      <c r="D233" s="3" t="s">
        <v>2211</v>
      </c>
    </row>
    <row r="234" spans="1:4" x14ac:dyDescent="0.3">
      <c r="A234" s="2773" t="s">
        <v>2212</v>
      </c>
      <c r="B234" s="2771"/>
      <c r="C234" s="2772"/>
    </row>
    <row r="235" spans="1:4" x14ac:dyDescent="0.3">
      <c r="A235" s="2773" t="s">
        <v>2213</v>
      </c>
      <c r="B235" s="2771"/>
      <c r="C235" s="2772"/>
    </row>
    <row r="236" spans="1:4" x14ac:dyDescent="0.3">
      <c r="A236" s="2770"/>
      <c r="B236" s="2771"/>
      <c r="C236" s="2772"/>
    </row>
    <row r="237" spans="1:4" x14ac:dyDescent="0.3">
      <c r="A237" s="2770"/>
      <c r="B237" s="2771"/>
      <c r="C237" s="2772"/>
    </row>
    <row r="238" spans="1:4" x14ac:dyDescent="0.3">
      <c r="A238" s="2770"/>
      <c r="B238" s="2771"/>
      <c r="C238" s="2772"/>
    </row>
    <row r="239" spans="1:4" x14ac:dyDescent="0.3">
      <c r="A239" s="2770"/>
      <c r="B239" s="2771"/>
      <c r="C239" s="2772"/>
    </row>
    <row r="240" spans="1:4" x14ac:dyDescent="0.3">
      <c r="A240" s="2770"/>
      <c r="B240" s="2771"/>
      <c r="C240" s="2772"/>
    </row>
    <row r="241" spans="1:3" x14ac:dyDescent="0.3">
      <c r="A241" s="2770"/>
      <c r="B241" s="2771"/>
      <c r="C241" s="2772"/>
    </row>
  </sheetData>
  <mergeCells count="16">
    <mergeCell ref="A11:F11"/>
    <mergeCell ref="A109:B109"/>
    <mergeCell ref="A121:B121"/>
    <mergeCell ref="A127:B127"/>
    <mergeCell ref="A131:B131"/>
    <mergeCell ref="A231:C231"/>
    <mergeCell ref="A232:C232"/>
    <mergeCell ref="A233:C233"/>
    <mergeCell ref="A234:C234"/>
    <mergeCell ref="A235:C235"/>
    <mergeCell ref="A241:C241"/>
    <mergeCell ref="A236:C236"/>
    <mergeCell ref="A237:C237"/>
    <mergeCell ref="A238:C238"/>
    <mergeCell ref="A239:C239"/>
    <mergeCell ref="A240:C240"/>
  </mergeCells>
  <conditionalFormatting sqref="E28:F31 F15 A15:B23 E16:F23 A28:B37 F32:F37 A39:A52 E39:F52 A56:A62 E56:F62 A67:A80 E67:F80 A101:A104 E101:F104 A82:A98 E82:F98 A154 A156:A161 A194:B194 A202:B203 A175:B176 A207:B207 B195:B198 B204:B205 A209:B209 B210:B211 A140:B149 B154:B161">
    <cfRule type="expression" dxfId="58" priority="26">
      <formula>#REF!&gt;0</formula>
    </cfRule>
  </conditionalFormatting>
  <conditionalFormatting sqref="G28:G37 G39:G52">
    <cfRule type="expression" dxfId="57" priority="25">
      <formula>#REF!&gt;0</formula>
    </cfRule>
  </conditionalFormatting>
  <conditionalFormatting sqref="G56:G62">
    <cfRule type="expression" dxfId="56" priority="24">
      <formula>#REF!&gt;0</formula>
    </cfRule>
  </conditionalFormatting>
  <conditionalFormatting sqref="G67:G80 G101:G104 G82:G98">
    <cfRule type="expression" dxfId="55" priority="23">
      <formula>#REF!&gt;0</formula>
    </cfRule>
  </conditionalFormatting>
  <conditionalFormatting sqref="G15:G23">
    <cfRule type="expression" dxfId="54" priority="22">
      <formula>#REF!&gt;0</formula>
    </cfRule>
  </conditionalFormatting>
  <conditionalFormatting sqref="B94:D98">
    <cfRule type="expression" dxfId="53" priority="21">
      <formula>#REF!&gt;0</formula>
    </cfRule>
  </conditionalFormatting>
  <conditionalFormatting sqref="C15:D23 C28:D37 B39:D52 B56:D62 B67:D80 B82:D98 B101:D104">
    <cfRule type="expression" dxfId="52" priority="20">
      <formula>#REF!&gt;0</formula>
    </cfRule>
  </conditionalFormatting>
  <conditionalFormatting sqref="E15">
    <cfRule type="expression" dxfId="51" priority="19">
      <formula>#REF!&gt;0</formula>
    </cfRule>
  </conditionalFormatting>
  <conditionalFormatting sqref="E32:E37">
    <cfRule type="expression" dxfId="50" priority="18">
      <formula>#REF!&gt;0</formula>
    </cfRule>
  </conditionalFormatting>
  <conditionalFormatting sqref="C9">
    <cfRule type="expression" dxfId="49" priority="17">
      <formula>#REF!&gt;0</formula>
    </cfRule>
  </conditionalFormatting>
  <conditionalFormatting sqref="A162:A174 A216:A217 A181:A188">
    <cfRule type="expression" dxfId="48" priority="16">
      <formula>#REF!&gt;0</formula>
    </cfRule>
  </conditionalFormatting>
  <conditionalFormatting sqref="B170 B181:B189 B216:B219">
    <cfRule type="expression" dxfId="47" priority="14">
      <formula>#REF!&gt;0</formula>
    </cfRule>
  </conditionalFormatting>
  <conditionalFormatting sqref="A155">
    <cfRule type="expression" dxfId="46" priority="13">
      <formula>#REF!&gt;0</formula>
    </cfRule>
  </conditionalFormatting>
  <conditionalFormatting sqref="B162:B169">
    <cfRule type="expression" dxfId="45" priority="12">
      <formula>#REF!&gt;0</formula>
    </cfRule>
  </conditionalFormatting>
  <conditionalFormatting sqref="B171:B174">
    <cfRule type="expression" dxfId="44" priority="11">
      <formula>#REF!&gt;0</formula>
    </cfRule>
  </conditionalFormatting>
  <conditionalFormatting sqref="A189">
    <cfRule type="expression" dxfId="43" priority="9">
      <formula>#REF!&gt;0</formula>
    </cfRule>
  </conditionalFormatting>
  <conditionalFormatting sqref="A198">
    <cfRule type="expression" dxfId="42" priority="8">
      <formula>#REF!&gt;0</formula>
    </cfRule>
  </conditionalFormatting>
  <conditionalFormatting sqref="A204:A205">
    <cfRule type="expression" dxfId="41" priority="7">
      <formula>#REF!&gt;0</formula>
    </cfRule>
  </conditionalFormatting>
  <conditionalFormatting sqref="A210:A211">
    <cfRule type="expression" dxfId="40" priority="6">
      <formula>#REF!&gt;0</formula>
    </cfRule>
  </conditionalFormatting>
  <conditionalFormatting sqref="A218:A219">
    <cfRule type="expression" dxfId="39" priority="5">
      <formula>#REF!&gt;0</formula>
    </cfRule>
  </conditionalFormatting>
  <conditionalFormatting sqref="A224:A225">
    <cfRule type="expression" dxfId="38" priority="4">
      <formula>#REF!&gt;0</formula>
    </cfRule>
  </conditionalFormatting>
  <conditionalFormatting sqref="B224:B227">
    <cfRule type="expression" dxfId="37" priority="3">
      <formula>#REF!&gt;0</formula>
    </cfRule>
  </conditionalFormatting>
  <conditionalFormatting sqref="A226:A227">
    <cfRule type="expression" dxfId="36" priority="2">
      <formula>#REF!&gt;0</formula>
    </cfRule>
  </conditionalFormatting>
  <conditionalFormatting sqref="A195:A197">
    <cfRule type="expression" dxfId="35" priority="1">
      <formula>#REF!&gt;0</formula>
    </cfRule>
  </conditionalFormatting>
  <hyperlinks>
    <hyperlink ref="A231" r:id="rId1" xr:uid="{C18EBD52-E9A7-4D29-8799-D2FDFE6CEDE0}"/>
    <hyperlink ref="A232" r:id="rId2" xr:uid="{E6909E15-83EE-4AD9-80A3-5694B322A878}"/>
    <hyperlink ref="A233" r:id="rId3" xr:uid="{0FA07E9B-CD16-48FA-9DC5-90D08D90A79D}"/>
    <hyperlink ref="A234" r:id="rId4" xr:uid="{21DD0B84-8869-4F31-9B7F-51B9652FBAC6}"/>
    <hyperlink ref="A235" r:id="rId5" xr:uid="{C1CC406D-FF20-4AB3-B74C-3805F7DAC332}"/>
    <hyperlink ref="C188" r:id="rId6" xr:uid="{B13A1003-7CC5-487D-A09F-179F942FA468}"/>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ED7060-E9B1-4004-835B-16CD1B2A7FC8}">
  <sheetPr codeName="Sheet37">
    <tabColor rgb="FF7030A0"/>
  </sheetPr>
  <dimension ref="A1:BK72"/>
  <sheetViews>
    <sheetView showGridLines="0" topLeftCell="B1" zoomScaleNormal="100" workbookViewId="0">
      <selection activeCell="B39" sqref="B39"/>
    </sheetView>
  </sheetViews>
  <sheetFormatPr defaultColWidth="8.6640625" defaultRowHeight="14.4" x14ac:dyDescent="0.3"/>
  <cols>
    <col min="1" max="1" width="27.109375" style="3" hidden="1" customWidth="1"/>
    <col min="2" max="2" width="29.6640625" style="3" bestFit="1" customWidth="1"/>
    <col min="3" max="3" width="15.6640625" style="3" bestFit="1" customWidth="1"/>
    <col min="4" max="63" width="8.44140625" style="3" customWidth="1"/>
    <col min="64" max="16384" width="8.6640625" style="3"/>
  </cols>
  <sheetData>
    <row r="1" spans="2:4" s="2347" customFormat="1" x14ac:dyDescent="0.3">
      <c r="B1" s="2347" t="s">
        <v>2214</v>
      </c>
    </row>
    <row r="2" spans="2:4" x14ac:dyDescent="0.3">
      <c r="B2" s="2346" t="s">
        <v>1073</v>
      </c>
      <c r="C2" s="2346" t="s">
        <v>1192</v>
      </c>
    </row>
    <row r="3" spans="2:4" x14ac:dyDescent="0.3">
      <c r="B3" s="2308" t="s">
        <v>2215</v>
      </c>
      <c r="C3" s="2440" t="s">
        <v>2216</v>
      </c>
    </row>
    <row r="4" spans="2:4" x14ac:dyDescent="0.3">
      <c r="B4" s="2308" t="s">
        <v>2217</v>
      </c>
      <c r="C4" s="2441">
        <f>+ConstPeriod</f>
        <v>25</v>
      </c>
    </row>
    <row r="5" spans="2:4" x14ac:dyDescent="0.3">
      <c r="B5" s="2206" t="s">
        <v>2218</v>
      </c>
      <c r="C5" s="2163" t="s">
        <v>780</v>
      </c>
    </row>
    <row r="6" spans="2:4" x14ac:dyDescent="0.3">
      <c r="B6" s="2206" t="s">
        <v>2219</v>
      </c>
      <c r="C6" s="2166">
        <v>0</v>
      </c>
    </row>
    <row r="7" spans="2:4" x14ac:dyDescent="0.3">
      <c r="B7" s="2206" t="s">
        <v>2220</v>
      </c>
      <c r="C7" s="2166">
        <v>0</v>
      </c>
    </row>
    <row r="8" spans="2:4" x14ac:dyDescent="0.3">
      <c r="B8" s="2308" t="s">
        <v>2221</v>
      </c>
      <c r="C8" s="2194">
        <f>SUM(22:22)</f>
        <v>1</v>
      </c>
    </row>
    <row r="9" spans="2:4" x14ac:dyDescent="0.3">
      <c r="B9" s="2308" t="s">
        <v>2222</v>
      </c>
      <c r="C9" s="2194">
        <f>DevBdgt!EG26</f>
        <v>1</v>
      </c>
      <c r="D9" s="2364"/>
    </row>
    <row r="10" spans="2:4" x14ac:dyDescent="0.3">
      <c r="B10" s="2442"/>
      <c r="C10" s="2196"/>
      <c r="D10" s="2364"/>
    </row>
    <row r="11" spans="2:4" x14ac:dyDescent="0.3">
      <c r="B11" s="2442"/>
      <c r="C11" s="2196"/>
      <c r="D11" s="2364"/>
    </row>
    <row r="12" spans="2:4" x14ac:dyDescent="0.3">
      <c r="B12" s="2442"/>
      <c r="C12" s="2196"/>
      <c r="D12" s="2364"/>
    </row>
    <row r="13" spans="2:4" x14ac:dyDescent="0.3">
      <c r="B13" s="2442"/>
      <c r="C13" s="2196"/>
      <c r="D13" s="2364"/>
    </row>
    <row r="14" spans="2:4" x14ac:dyDescent="0.3">
      <c r="B14" s="2442"/>
      <c r="C14" s="2196"/>
      <c r="D14" s="2364"/>
    </row>
    <row r="15" spans="2:4" x14ac:dyDescent="0.3">
      <c r="B15" s="2442"/>
      <c r="C15" s="2196"/>
      <c r="D15" s="2364"/>
    </row>
    <row r="16" spans="2:4" x14ac:dyDescent="0.3">
      <c r="B16" s="2442"/>
      <c r="C16" s="2196"/>
      <c r="D16" s="2364"/>
    </row>
    <row r="17" spans="1:63" x14ac:dyDescent="0.3">
      <c r="B17" s="2442"/>
      <c r="C17" s="2196"/>
      <c r="D17" s="2364"/>
    </row>
    <row r="18" spans="1:63" x14ac:dyDescent="0.3">
      <c r="C18" s="2196"/>
      <c r="D18" s="2364"/>
    </row>
    <row r="19" spans="1:63" x14ac:dyDescent="0.3">
      <c r="C19" s="2196"/>
      <c r="D19" s="2364"/>
    </row>
    <row r="20" spans="1:63" x14ac:dyDescent="0.3">
      <c r="B20" s="2442"/>
      <c r="C20" s="2196"/>
      <c r="D20" s="2364"/>
    </row>
    <row r="21" spans="1:63" x14ac:dyDescent="0.3">
      <c r="B21" s="2444" t="s">
        <v>2223</v>
      </c>
      <c r="C21" s="2443">
        <v>0</v>
      </c>
      <c r="D21" s="2443">
        <f>+C21+1</f>
        <v>1</v>
      </c>
      <c r="E21" s="2443">
        <f t="shared" ref="E21:I21" si="0">+D21+1</f>
        <v>2</v>
      </c>
      <c r="F21" s="2443">
        <f t="shared" si="0"/>
        <v>3</v>
      </c>
      <c r="G21" s="2443">
        <f t="shared" si="0"/>
        <v>4</v>
      </c>
      <c r="H21" s="2443">
        <f t="shared" si="0"/>
        <v>5</v>
      </c>
      <c r="I21" s="2443">
        <f t="shared" si="0"/>
        <v>6</v>
      </c>
      <c r="J21" s="2443">
        <f>+I21+1</f>
        <v>7</v>
      </c>
      <c r="K21" s="2443">
        <f t="shared" ref="K21" si="1">+J21+1</f>
        <v>8</v>
      </c>
      <c r="L21" s="2443">
        <f>+K21+1</f>
        <v>9</v>
      </c>
      <c r="M21" s="2443">
        <f t="shared" ref="M21:BK21" si="2">+L21+1</f>
        <v>10</v>
      </c>
      <c r="N21" s="2443">
        <f t="shared" si="2"/>
        <v>11</v>
      </c>
      <c r="O21" s="2443">
        <f t="shared" si="2"/>
        <v>12</v>
      </c>
      <c r="P21" s="2443">
        <f t="shared" si="2"/>
        <v>13</v>
      </c>
      <c r="Q21" s="2443">
        <f t="shared" si="2"/>
        <v>14</v>
      </c>
      <c r="R21" s="2443">
        <f t="shared" si="2"/>
        <v>15</v>
      </c>
      <c r="S21" s="2443">
        <f t="shared" si="2"/>
        <v>16</v>
      </c>
      <c r="T21" s="2443">
        <f t="shared" si="2"/>
        <v>17</v>
      </c>
      <c r="U21" s="2443">
        <f t="shared" si="2"/>
        <v>18</v>
      </c>
      <c r="V21" s="2443">
        <f t="shared" si="2"/>
        <v>19</v>
      </c>
      <c r="W21" s="2443">
        <f t="shared" si="2"/>
        <v>20</v>
      </c>
      <c r="X21" s="2443">
        <f t="shared" si="2"/>
        <v>21</v>
      </c>
      <c r="Y21" s="2443">
        <f t="shared" si="2"/>
        <v>22</v>
      </c>
      <c r="Z21" s="2443">
        <f t="shared" si="2"/>
        <v>23</v>
      </c>
      <c r="AA21" s="2443">
        <f t="shared" si="2"/>
        <v>24</v>
      </c>
      <c r="AB21" s="2443">
        <f t="shared" si="2"/>
        <v>25</v>
      </c>
      <c r="AC21" s="2443">
        <f t="shared" si="2"/>
        <v>26</v>
      </c>
      <c r="AD21" s="2443">
        <f t="shared" si="2"/>
        <v>27</v>
      </c>
      <c r="AE21" s="2443">
        <f t="shared" si="2"/>
        <v>28</v>
      </c>
      <c r="AF21" s="2443">
        <f t="shared" si="2"/>
        <v>29</v>
      </c>
      <c r="AG21" s="2443">
        <f t="shared" si="2"/>
        <v>30</v>
      </c>
      <c r="AH21" s="2443">
        <f t="shared" si="2"/>
        <v>31</v>
      </c>
      <c r="AI21" s="2443">
        <f t="shared" si="2"/>
        <v>32</v>
      </c>
      <c r="AJ21" s="2443">
        <f t="shared" si="2"/>
        <v>33</v>
      </c>
      <c r="AK21" s="2443">
        <f t="shared" si="2"/>
        <v>34</v>
      </c>
      <c r="AL21" s="2443">
        <f t="shared" si="2"/>
        <v>35</v>
      </c>
      <c r="AM21" s="2443">
        <f t="shared" si="2"/>
        <v>36</v>
      </c>
      <c r="AN21" s="2443">
        <f t="shared" si="2"/>
        <v>37</v>
      </c>
      <c r="AO21" s="2443">
        <f t="shared" si="2"/>
        <v>38</v>
      </c>
      <c r="AP21" s="2443">
        <f t="shared" si="2"/>
        <v>39</v>
      </c>
      <c r="AQ21" s="2443">
        <f t="shared" si="2"/>
        <v>40</v>
      </c>
      <c r="AR21" s="2443">
        <f t="shared" si="2"/>
        <v>41</v>
      </c>
      <c r="AS21" s="2443">
        <f t="shared" si="2"/>
        <v>42</v>
      </c>
      <c r="AT21" s="2443">
        <f t="shared" si="2"/>
        <v>43</v>
      </c>
      <c r="AU21" s="2443">
        <f t="shared" si="2"/>
        <v>44</v>
      </c>
      <c r="AV21" s="2443">
        <f t="shared" si="2"/>
        <v>45</v>
      </c>
      <c r="AW21" s="2443">
        <f t="shared" si="2"/>
        <v>46</v>
      </c>
      <c r="AX21" s="2443">
        <f t="shared" si="2"/>
        <v>47</v>
      </c>
      <c r="AY21" s="2443">
        <f t="shared" si="2"/>
        <v>48</v>
      </c>
      <c r="AZ21" s="2443">
        <f t="shared" si="2"/>
        <v>49</v>
      </c>
      <c r="BA21" s="2443">
        <f t="shared" si="2"/>
        <v>50</v>
      </c>
      <c r="BB21" s="2443">
        <f t="shared" si="2"/>
        <v>51</v>
      </c>
      <c r="BC21" s="2443">
        <f t="shared" si="2"/>
        <v>52</v>
      </c>
      <c r="BD21" s="2443">
        <f t="shared" si="2"/>
        <v>53</v>
      </c>
      <c r="BE21" s="2443">
        <f t="shared" si="2"/>
        <v>54</v>
      </c>
      <c r="BF21" s="2443">
        <f t="shared" si="2"/>
        <v>55</v>
      </c>
      <c r="BG21" s="2443">
        <f t="shared" si="2"/>
        <v>56</v>
      </c>
      <c r="BH21" s="2443">
        <f t="shared" si="2"/>
        <v>57</v>
      </c>
      <c r="BI21" s="2443">
        <f t="shared" si="2"/>
        <v>58</v>
      </c>
      <c r="BJ21" s="2443">
        <f t="shared" si="2"/>
        <v>59</v>
      </c>
      <c r="BK21" s="2443">
        <f t="shared" si="2"/>
        <v>60</v>
      </c>
    </row>
    <row r="22" spans="1:63" x14ac:dyDescent="0.3">
      <c r="B22" s="2206"/>
      <c r="C22" s="2197">
        <f t="shared" ref="C22:AH22" si="3">+IF($C$5="Yes",C$34,C$33)</f>
        <v>0</v>
      </c>
      <c r="D22" s="2197">
        <f t="shared" si="3"/>
        <v>1.7838367967777109E-3</v>
      </c>
      <c r="E22" s="2197">
        <f t="shared" si="3"/>
        <v>6.2567868610355548E-3</v>
      </c>
      <c r="F22" s="2197">
        <f t="shared" si="3"/>
        <v>1.072158401463873E-2</v>
      </c>
      <c r="G22" s="2197">
        <f t="shared" si="3"/>
        <v>1.9783107551358179E-2</v>
      </c>
      <c r="H22" s="2197">
        <f t="shared" si="3"/>
        <v>3.3819111569278471E-2</v>
      </c>
      <c r="I22" s="2197">
        <f t="shared" si="3"/>
        <v>3.488038348247556E-2</v>
      </c>
      <c r="J22" s="2197">
        <f t="shared" si="3"/>
        <v>4.51135059054181E-2</v>
      </c>
      <c r="K22" s="2197">
        <f t="shared" si="3"/>
        <v>5.39662230559394E-2</v>
      </c>
      <c r="L22" s="2197">
        <f t="shared" si="3"/>
        <v>5.7949826218219674E-2</v>
      </c>
      <c r="M22" s="2197">
        <f t="shared" si="3"/>
        <v>6.4788468477919026E-2</v>
      </c>
      <c r="N22" s="2197">
        <f t="shared" si="3"/>
        <v>6.8170401746178222E-2</v>
      </c>
      <c r="O22" s="2197">
        <f t="shared" si="3"/>
        <v>6.8691437271245659E-2</v>
      </c>
      <c r="P22" s="2197">
        <f t="shared" si="3"/>
        <v>6.4263914851491244E-2</v>
      </c>
      <c r="Q22" s="2197">
        <f t="shared" si="3"/>
        <v>6.2182678934341928E-2</v>
      </c>
      <c r="R22" s="2197">
        <f t="shared" si="3"/>
        <v>6.0969864697935416E-2</v>
      </c>
      <c r="S22" s="2197">
        <f t="shared" si="3"/>
        <v>5.5680553996835136E-2</v>
      </c>
      <c r="T22" s="2197">
        <f t="shared" si="3"/>
        <v>4.9811874136302836E-2</v>
      </c>
      <c r="U22" s="2197">
        <f t="shared" si="3"/>
        <v>4.9809421321176828E-2</v>
      </c>
      <c r="V22" s="2197">
        <f t="shared" si="3"/>
        <v>4.6252188046931431E-2</v>
      </c>
      <c r="W22" s="2197">
        <f t="shared" si="3"/>
        <v>3.884591020288386E-2</v>
      </c>
      <c r="X22" s="2197">
        <f t="shared" si="3"/>
        <v>3.3307656764089866E-2</v>
      </c>
      <c r="Y22" s="2197">
        <f t="shared" si="3"/>
        <v>2.8129859163246396E-2</v>
      </c>
      <c r="Z22" s="2197">
        <f t="shared" si="3"/>
        <v>1.9317456626116725E-2</v>
      </c>
      <c r="AA22" s="2197">
        <f t="shared" si="3"/>
        <v>1.557576171286712E-2</v>
      </c>
      <c r="AB22" s="2197">
        <f t="shared" si="3"/>
        <v>9.9281865952969284E-3</v>
      </c>
      <c r="AC22" s="2197">
        <f t="shared" si="3"/>
        <v>0</v>
      </c>
      <c r="AD22" s="2197">
        <f t="shared" si="3"/>
        <v>0</v>
      </c>
      <c r="AE22" s="2197">
        <f t="shared" si="3"/>
        <v>0</v>
      </c>
      <c r="AF22" s="2197">
        <f t="shared" si="3"/>
        <v>0</v>
      </c>
      <c r="AG22" s="2197">
        <f t="shared" si="3"/>
        <v>0</v>
      </c>
      <c r="AH22" s="2197">
        <f t="shared" si="3"/>
        <v>0</v>
      </c>
      <c r="AI22" s="2197">
        <f t="shared" ref="AI22:BK22" si="4">+IF($C$5="Yes",AI$34,AI$33)</f>
        <v>0</v>
      </c>
      <c r="AJ22" s="2197">
        <f t="shared" si="4"/>
        <v>0</v>
      </c>
      <c r="AK22" s="2197">
        <f t="shared" si="4"/>
        <v>0</v>
      </c>
      <c r="AL22" s="2197">
        <f t="shared" si="4"/>
        <v>0</v>
      </c>
      <c r="AM22" s="2197">
        <f t="shared" si="4"/>
        <v>0</v>
      </c>
      <c r="AN22" s="2197">
        <f t="shared" si="4"/>
        <v>0</v>
      </c>
      <c r="AO22" s="2197">
        <f t="shared" si="4"/>
        <v>0</v>
      </c>
      <c r="AP22" s="2197">
        <f t="shared" si="4"/>
        <v>0</v>
      </c>
      <c r="AQ22" s="2197">
        <f t="shared" si="4"/>
        <v>0</v>
      </c>
      <c r="AR22" s="2197">
        <f t="shared" si="4"/>
        <v>0</v>
      </c>
      <c r="AS22" s="2197">
        <f t="shared" si="4"/>
        <v>0</v>
      </c>
      <c r="AT22" s="2197">
        <f t="shared" si="4"/>
        <v>0</v>
      </c>
      <c r="AU22" s="2197">
        <f t="shared" si="4"/>
        <v>0</v>
      </c>
      <c r="AV22" s="2197">
        <f t="shared" si="4"/>
        <v>0</v>
      </c>
      <c r="AW22" s="2197">
        <f t="shared" si="4"/>
        <v>0</v>
      </c>
      <c r="AX22" s="2197">
        <f t="shared" si="4"/>
        <v>0</v>
      </c>
      <c r="AY22" s="2197">
        <f t="shared" si="4"/>
        <v>0</v>
      </c>
      <c r="AZ22" s="2197">
        <f t="shared" si="4"/>
        <v>0</v>
      </c>
      <c r="BA22" s="2197">
        <f t="shared" si="4"/>
        <v>0</v>
      </c>
      <c r="BB22" s="2197">
        <f t="shared" si="4"/>
        <v>0</v>
      </c>
      <c r="BC22" s="2197">
        <f t="shared" si="4"/>
        <v>0</v>
      </c>
      <c r="BD22" s="2197">
        <f t="shared" si="4"/>
        <v>0</v>
      </c>
      <c r="BE22" s="2197">
        <f t="shared" si="4"/>
        <v>0</v>
      </c>
      <c r="BF22" s="2197">
        <f t="shared" si="4"/>
        <v>0</v>
      </c>
      <c r="BG22" s="2197">
        <f t="shared" si="4"/>
        <v>0</v>
      </c>
      <c r="BH22" s="2197">
        <f t="shared" si="4"/>
        <v>0</v>
      </c>
      <c r="BI22" s="2197">
        <f t="shared" si="4"/>
        <v>0</v>
      </c>
      <c r="BJ22" s="2197">
        <f t="shared" si="4"/>
        <v>0</v>
      </c>
      <c r="BK22" s="2197">
        <f t="shared" si="4"/>
        <v>0</v>
      </c>
    </row>
    <row r="24" spans="1:63" x14ac:dyDescent="0.3">
      <c r="B24" s="2444" t="s">
        <v>2224</v>
      </c>
      <c r="C24" s="2443">
        <v>0</v>
      </c>
      <c r="D24" s="2443">
        <f>+C24+1</f>
        <v>1</v>
      </c>
      <c r="E24" s="2443">
        <f t="shared" ref="E24:BK24" si="5">+D24+1</f>
        <v>2</v>
      </c>
      <c r="F24" s="2443">
        <f t="shared" si="5"/>
        <v>3</v>
      </c>
      <c r="G24" s="2443">
        <f t="shared" si="5"/>
        <v>4</v>
      </c>
      <c r="H24" s="2443">
        <f t="shared" si="5"/>
        <v>5</v>
      </c>
      <c r="I24" s="2443">
        <f t="shared" si="5"/>
        <v>6</v>
      </c>
      <c r="J24" s="2443">
        <f>+I24+1</f>
        <v>7</v>
      </c>
      <c r="K24" s="2443">
        <f t="shared" si="5"/>
        <v>8</v>
      </c>
      <c r="L24" s="2443">
        <f>+K24+1</f>
        <v>9</v>
      </c>
      <c r="M24" s="2443">
        <f t="shared" si="5"/>
        <v>10</v>
      </c>
      <c r="N24" s="2443">
        <f t="shared" si="5"/>
        <v>11</v>
      </c>
      <c r="O24" s="2443">
        <f t="shared" si="5"/>
        <v>12</v>
      </c>
      <c r="P24" s="2443">
        <f t="shared" si="5"/>
        <v>13</v>
      </c>
      <c r="Q24" s="2443">
        <f t="shared" si="5"/>
        <v>14</v>
      </c>
      <c r="R24" s="2443">
        <f t="shared" si="5"/>
        <v>15</v>
      </c>
      <c r="S24" s="2443">
        <f t="shared" si="5"/>
        <v>16</v>
      </c>
      <c r="T24" s="2443">
        <f t="shared" si="5"/>
        <v>17</v>
      </c>
      <c r="U24" s="2443">
        <f t="shared" si="5"/>
        <v>18</v>
      </c>
      <c r="V24" s="2443">
        <f t="shared" si="5"/>
        <v>19</v>
      </c>
      <c r="W24" s="2443">
        <f t="shared" si="5"/>
        <v>20</v>
      </c>
      <c r="X24" s="2443">
        <f t="shared" si="5"/>
        <v>21</v>
      </c>
      <c r="Y24" s="2443">
        <f t="shared" si="5"/>
        <v>22</v>
      </c>
      <c r="Z24" s="2443">
        <f t="shared" si="5"/>
        <v>23</v>
      </c>
      <c r="AA24" s="2443">
        <f t="shared" si="5"/>
        <v>24</v>
      </c>
      <c r="AB24" s="2443">
        <f t="shared" si="5"/>
        <v>25</v>
      </c>
      <c r="AC24" s="2443">
        <f t="shared" si="5"/>
        <v>26</v>
      </c>
      <c r="AD24" s="2443">
        <f t="shared" si="5"/>
        <v>27</v>
      </c>
      <c r="AE24" s="2443">
        <f t="shared" si="5"/>
        <v>28</v>
      </c>
      <c r="AF24" s="2443">
        <f t="shared" si="5"/>
        <v>29</v>
      </c>
      <c r="AG24" s="2443">
        <f t="shared" si="5"/>
        <v>30</v>
      </c>
      <c r="AH24" s="2443">
        <f t="shared" si="5"/>
        <v>31</v>
      </c>
      <c r="AI24" s="2443">
        <f t="shared" si="5"/>
        <v>32</v>
      </c>
      <c r="AJ24" s="2443">
        <f t="shared" si="5"/>
        <v>33</v>
      </c>
      <c r="AK24" s="2443">
        <f t="shared" si="5"/>
        <v>34</v>
      </c>
      <c r="AL24" s="2443">
        <f t="shared" si="5"/>
        <v>35</v>
      </c>
      <c r="AM24" s="2443">
        <f t="shared" si="5"/>
        <v>36</v>
      </c>
      <c r="AN24" s="2443">
        <f t="shared" si="5"/>
        <v>37</v>
      </c>
      <c r="AO24" s="2443">
        <f t="shared" si="5"/>
        <v>38</v>
      </c>
      <c r="AP24" s="2443">
        <f t="shared" si="5"/>
        <v>39</v>
      </c>
      <c r="AQ24" s="2443">
        <f t="shared" si="5"/>
        <v>40</v>
      </c>
      <c r="AR24" s="2443">
        <f t="shared" si="5"/>
        <v>41</v>
      </c>
      <c r="AS24" s="2443">
        <f t="shared" si="5"/>
        <v>42</v>
      </c>
      <c r="AT24" s="2443">
        <f t="shared" si="5"/>
        <v>43</v>
      </c>
      <c r="AU24" s="2443">
        <f t="shared" si="5"/>
        <v>44</v>
      </c>
      <c r="AV24" s="2443">
        <f t="shared" si="5"/>
        <v>45</v>
      </c>
      <c r="AW24" s="2443">
        <f t="shared" si="5"/>
        <v>46</v>
      </c>
      <c r="AX24" s="2443">
        <f t="shared" si="5"/>
        <v>47</v>
      </c>
      <c r="AY24" s="2443">
        <f t="shared" si="5"/>
        <v>48</v>
      </c>
      <c r="AZ24" s="2443">
        <f t="shared" si="5"/>
        <v>49</v>
      </c>
      <c r="BA24" s="2443">
        <f t="shared" si="5"/>
        <v>50</v>
      </c>
      <c r="BB24" s="2443">
        <f t="shared" si="5"/>
        <v>51</v>
      </c>
      <c r="BC24" s="2443">
        <f t="shared" si="5"/>
        <v>52</v>
      </c>
      <c r="BD24" s="2443">
        <f t="shared" si="5"/>
        <v>53</v>
      </c>
      <c r="BE24" s="2443">
        <f t="shared" si="5"/>
        <v>54</v>
      </c>
      <c r="BF24" s="2443">
        <f t="shared" si="5"/>
        <v>55</v>
      </c>
      <c r="BG24" s="2443">
        <f t="shared" si="5"/>
        <v>56</v>
      </c>
      <c r="BH24" s="2443">
        <f t="shared" si="5"/>
        <v>57</v>
      </c>
      <c r="BI24" s="2443">
        <f t="shared" si="5"/>
        <v>58</v>
      </c>
      <c r="BJ24" s="2443">
        <f t="shared" si="5"/>
        <v>59</v>
      </c>
      <c r="BK24" s="2443">
        <f t="shared" si="5"/>
        <v>60</v>
      </c>
    </row>
    <row r="25" spans="1:63" x14ac:dyDescent="0.3">
      <c r="A25" s="3" t="s">
        <v>2225</v>
      </c>
      <c r="B25" s="2369" t="str">
        <f>+A25</f>
        <v>Standard</v>
      </c>
      <c r="C25" s="2197">
        <v>0</v>
      </c>
      <c r="D25" s="2197">
        <f>+'Development Inputs'!C242</f>
        <v>3.4333695999999997E-3</v>
      </c>
      <c r="E25" s="2197">
        <f>+'Development Inputs'!D242</f>
        <v>1.1059097600000003E-2</v>
      </c>
      <c r="F25" s="2197">
        <f>+'Development Inputs'!E242</f>
        <v>1.9452825600000001E-2</v>
      </c>
      <c r="G25" s="2197">
        <f>+'Development Inputs'!F242</f>
        <v>2.815989759999999E-2</v>
      </c>
      <c r="H25" s="2197">
        <f>+'Development Inputs'!G242</f>
        <v>3.6774809600000055E-2</v>
      </c>
      <c r="I25" s="2197">
        <f>+'Development Inputs'!H242</f>
        <v>4.4941209599999948E-2</v>
      </c>
      <c r="J25" s="2197">
        <f>+'Development Inputs'!I242</f>
        <v>5.2351897600000058E-2</v>
      </c>
      <c r="K25" s="2197">
        <f>+'Development Inputs'!J242</f>
        <v>5.8748825599999915E-2</v>
      </c>
      <c r="L25" s="2197">
        <f>+'Development Inputs'!K242</f>
        <v>6.3923097599999978E-2</v>
      </c>
      <c r="M25" s="2197">
        <f>+'Development Inputs'!L242</f>
        <v>6.7714969600000174E-2</v>
      </c>
      <c r="N25" s="2197">
        <f>+'Development Inputs'!M242</f>
        <v>7.0013849599999955E-2</v>
      </c>
      <c r="O25" s="2197">
        <f>+'Development Inputs'!N242</f>
        <v>7.075829760000002E-2</v>
      </c>
      <c r="P25" s="2197">
        <f>+'Development Inputs'!O242</f>
        <v>6.9936025600000007E-2</v>
      </c>
      <c r="Q25" s="2197">
        <f>+'Development Inputs'!P242</f>
        <v>6.7583897600000054E-2</v>
      </c>
      <c r="R25" s="2197">
        <f>+'Development Inputs'!Q242</f>
        <v>6.3787929599999793E-2</v>
      </c>
      <c r="S25" s="2197">
        <f>+'Development Inputs'!R242</f>
        <v>5.8683289600000021E-2</v>
      </c>
      <c r="T25" s="2197">
        <f>+'Development Inputs'!S242</f>
        <v>5.2454297599999977E-2</v>
      </c>
      <c r="U25" s="2197">
        <f>+'Development Inputs'!T242</f>
        <v>4.5334425599999895E-2</v>
      </c>
      <c r="V25" s="2197">
        <f>+'Development Inputs'!U242</f>
        <v>3.7606297600000227E-2</v>
      </c>
      <c r="W25" s="2197">
        <f>+'Development Inputs'!V242</f>
        <v>2.9601689600000092E-2</v>
      </c>
      <c r="X25" s="2197">
        <f>+'Development Inputs'!W242</f>
        <v>2.1701529599999825E-2</v>
      </c>
      <c r="Y25" s="2197">
        <f>+'Development Inputs'!X242</f>
        <v>1.4335897600000092E-2</v>
      </c>
      <c r="Z25" s="2197">
        <f>+'Development Inputs'!Y242</f>
        <v>7.9840255999998888E-3</v>
      </c>
      <c r="AA25" s="2197">
        <f>+'Development Inputs'!Z242</f>
        <v>3.1742976000000978E-3</v>
      </c>
      <c r="AB25" s="2197">
        <f>+'Development Inputs'!AA242</f>
        <v>4.8424959999993078E-4</v>
      </c>
      <c r="AC25" s="2197">
        <f>+'Development Inputs'!AB242</f>
        <v>0</v>
      </c>
      <c r="AD25" s="2197">
        <f>+'Development Inputs'!AC242</f>
        <v>0</v>
      </c>
      <c r="AE25" s="2197">
        <f>+'Development Inputs'!AD242</f>
        <v>0</v>
      </c>
      <c r="AF25" s="2197">
        <f>+'Development Inputs'!AE242</f>
        <v>0</v>
      </c>
      <c r="AG25" s="2197">
        <f>+'Development Inputs'!AF242</f>
        <v>0</v>
      </c>
      <c r="AH25" s="2197">
        <f>+'Development Inputs'!AG242</f>
        <v>0</v>
      </c>
      <c r="AI25" s="2197">
        <f>+'Development Inputs'!AH242</f>
        <v>0</v>
      </c>
      <c r="AJ25" s="2197">
        <f>+'Development Inputs'!AI242</f>
        <v>0</v>
      </c>
      <c r="AK25" s="2197">
        <f>+'Development Inputs'!AJ242</f>
        <v>0</v>
      </c>
      <c r="AL25" s="2197">
        <f>+'Development Inputs'!AK242</f>
        <v>0</v>
      </c>
      <c r="AM25" s="2197">
        <f>+'Development Inputs'!AL242</f>
        <v>0</v>
      </c>
      <c r="AN25" s="2197">
        <f>+'Development Inputs'!AM242</f>
        <v>0</v>
      </c>
      <c r="AO25" s="2197">
        <f>+'Development Inputs'!AN242</f>
        <v>0</v>
      </c>
      <c r="AP25" s="2197">
        <f>+'Development Inputs'!AO242</f>
        <v>0</v>
      </c>
      <c r="AQ25" s="2197">
        <f>+'Development Inputs'!AP242</f>
        <v>0</v>
      </c>
      <c r="AR25" s="2197">
        <f>+'Development Inputs'!AQ242</f>
        <v>0</v>
      </c>
      <c r="AS25" s="2197">
        <f>+'Development Inputs'!AR242</f>
        <v>0</v>
      </c>
      <c r="AT25" s="2197">
        <f>+'Development Inputs'!AS242</f>
        <v>0</v>
      </c>
      <c r="AU25" s="2197">
        <f>+'Development Inputs'!AT242</f>
        <v>0</v>
      </c>
      <c r="AV25" s="2197">
        <f>+'Development Inputs'!AU242</f>
        <v>0</v>
      </c>
      <c r="AW25" s="2197">
        <f>+'Development Inputs'!AV242</f>
        <v>0</v>
      </c>
      <c r="AX25" s="2197">
        <f>+'Development Inputs'!AW242</f>
        <v>0</v>
      </c>
      <c r="AY25" s="2197">
        <f>+'Development Inputs'!AX242</f>
        <v>0</v>
      </c>
      <c r="AZ25" s="2197">
        <f>+'Development Inputs'!AY242</f>
        <v>0</v>
      </c>
      <c r="BA25" s="2197">
        <f>+'Development Inputs'!AZ242</f>
        <v>0</v>
      </c>
      <c r="BB25" s="2197">
        <f>+'Development Inputs'!BA242</f>
        <v>0</v>
      </c>
      <c r="BC25" s="2197">
        <f>+'Development Inputs'!BB242</f>
        <v>0</v>
      </c>
      <c r="BD25" s="2197">
        <f>+'Development Inputs'!BC242</f>
        <v>0</v>
      </c>
      <c r="BE25" s="2197">
        <f>+'Development Inputs'!BD242</f>
        <v>0</v>
      </c>
      <c r="BF25" s="2197">
        <f>+'Development Inputs'!BE242</f>
        <v>0</v>
      </c>
      <c r="BG25" s="2197">
        <f>+'Development Inputs'!BF242</f>
        <v>0</v>
      </c>
      <c r="BH25" s="2197">
        <f>+'Development Inputs'!BG242</f>
        <v>0</v>
      </c>
      <c r="BI25" s="2197">
        <f>+'Development Inputs'!BH242</f>
        <v>0</v>
      </c>
      <c r="BJ25" s="2197">
        <f>+'Development Inputs'!BI242</f>
        <v>0</v>
      </c>
      <c r="BK25" s="2197">
        <f>+'Development Inputs'!BJ242</f>
        <v>0</v>
      </c>
    </row>
    <row r="26" spans="1:63" x14ac:dyDescent="0.3">
      <c r="A26" s="3" t="s">
        <v>2216</v>
      </c>
      <c r="B26" s="2369" t="str">
        <f>+A26</f>
        <v>PNW Historical</v>
      </c>
      <c r="C26" s="2450">
        <f>+INDEX($C$56:$BK$56,MATCH(C$24,$C$24:$BK$24,0))</f>
        <v>0</v>
      </c>
      <c r="D26" s="2450">
        <f t="shared" ref="D26:BK26" si="6">+INDEX($C$56:$BK$56,MATCH(D$24,$C$24:$BK$24,0))</f>
        <v>1.7838367967777109E-3</v>
      </c>
      <c r="E26" s="2450">
        <f t="shared" si="6"/>
        <v>6.2567868610355548E-3</v>
      </c>
      <c r="F26" s="2450">
        <f t="shared" si="6"/>
        <v>1.072158401463873E-2</v>
      </c>
      <c r="G26" s="2450">
        <f t="shared" si="6"/>
        <v>1.9783107551358179E-2</v>
      </c>
      <c r="H26" s="2450">
        <f t="shared" si="6"/>
        <v>3.3819111569278471E-2</v>
      </c>
      <c r="I26" s="2450">
        <f t="shared" si="6"/>
        <v>3.488038348247556E-2</v>
      </c>
      <c r="J26" s="2450">
        <f t="shared" si="6"/>
        <v>4.51135059054181E-2</v>
      </c>
      <c r="K26" s="2450">
        <f t="shared" si="6"/>
        <v>5.39662230559394E-2</v>
      </c>
      <c r="L26" s="2450">
        <f t="shared" si="6"/>
        <v>5.7949826218219674E-2</v>
      </c>
      <c r="M26" s="2450">
        <f t="shared" si="6"/>
        <v>6.4788468477919026E-2</v>
      </c>
      <c r="N26" s="2450">
        <f t="shared" si="6"/>
        <v>6.8170401746178222E-2</v>
      </c>
      <c r="O26" s="2450">
        <f t="shared" si="6"/>
        <v>6.8691437271245659E-2</v>
      </c>
      <c r="P26" s="2450">
        <f t="shared" si="6"/>
        <v>6.4263914851491244E-2</v>
      </c>
      <c r="Q26" s="2450">
        <f t="shared" si="6"/>
        <v>6.2182678934341928E-2</v>
      </c>
      <c r="R26" s="2450">
        <f t="shared" si="6"/>
        <v>6.0969864697935416E-2</v>
      </c>
      <c r="S26" s="2450">
        <f t="shared" si="6"/>
        <v>5.5680553996835136E-2</v>
      </c>
      <c r="T26" s="2450">
        <f t="shared" si="6"/>
        <v>4.9811874136302836E-2</v>
      </c>
      <c r="U26" s="2450">
        <f t="shared" si="6"/>
        <v>4.9809421321176828E-2</v>
      </c>
      <c r="V26" s="2450">
        <f t="shared" si="6"/>
        <v>4.6252188046931431E-2</v>
      </c>
      <c r="W26" s="2450">
        <f t="shared" si="6"/>
        <v>3.884591020288386E-2</v>
      </c>
      <c r="X26" s="2450">
        <f t="shared" si="6"/>
        <v>3.3307656764089866E-2</v>
      </c>
      <c r="Y26" s="2450">
        <f t="shared" si="6"/>
        <v>2.8129859163246396E-2</v>
      </c>
      <c r="Z26" s="2450">
        <f t="shared" si="6"/>
        <v>1.9317456626116725E-2</v>
      </c>
      <c r="AA26" s="2450">
        <f t="shared" si="6"/>
        <v>1.557576171286712E-2</v>
      </c>
      <c r="AB26" s="2450">
        <f t="shared" si="6"/>
        <v>9.9281865952968174E-3</v>
      </c>
      <c r="AC26" s="2450">
        <f t="shared" si="6"/>
        <v>0</v>
      </c>
      <c r="AD26" s="2450">
        <f t="shared" si="6"/>
        <v>0</v>
      </c>
      <c r="AE26" s="2450">
        <f t="shared" si="6"/>
        <v>0</v>
      </c>
      <c r="AF26" s="2450">
        <f t="shared" si="6"/>
        <v>0</v>
      </c>
      <c r="AG26" s="2450">
        <f t="shared" si="6"/>
        <v>0</v>
      </c>
      <c r="AH26" s="2450">
        <f t="shared" si="6"/>
        <v>0</v>
      </c>
      <c r="AI26" s="2450">
        <f t="shared" si="6"/>
        <v>0</v>
      </c>
      <c r="AJ26" s="2450">
        <f t="shared" si="6"/>
        <v>0</v>
      </c>
      <c r="AK26" s="2450">
        <f t="shared" si="6"/>
        <v>0</v>
      </c>
      <c r="AL26" s="2450">
        <f t="shared" si="6"/>
        <v>0</v>
      </c>
      <c r="AM26" s="2450">
        <f t="shared" si="6"/>
        <v>0</v>
      </c>
      <c r="AN26" s="2450">
        <f t="shared" si="6"/>
        <v>0</v>
      </c>
      <c r="AO26" s="2450">
        <f t="shared" si="6"/>
        <v>0</v>
      </c>
      <c r="AP26" s="2450">
        <f t="shared" si="6"/>
        <v>0</v>
      </c>
      <c r="AQ26" s="2450">
        <f t="shared" si="6"/>
        <v>0</v>
      </c>
      <c r="AR26" s="2450">
        <f t="shared" si="6"/>
        <v>0</v>
      </c>
      <c r="AS26" s="2450">
        <f t="shared" si="6"/>
        <v>0</v>
      </c>
      <c r="AT26" s="2450">
        <f t="shared" si="6"/>
        <v>0</v>
      </c>
      <c r="AU26" s="2450">
        <f t="shared" si="6"/>
        <v>0</v>
      </c>
      <c r="AV26" s="2450">
        <f t="shared" si="6"/>
        <v>0</v>
      </c>
      <c r="AW26" s="2450">
        <f t="shared" si="6"/>
        <v>0</v>
      </c>
      <c r="AX26" s="2450">
        <f t="shared" si="6"/>
        <v>0</v>
      </c>
      <c r="AY26" s="2450">
        <f t="shared" si="6"/>
        <v>0</v>
      </c>
      <c r="AZ26" s="2450">
        <f t="shared" si="6"/>
        <v>0</v>
      </c>
      <c r="BA26" s="2450">
        <f t="shared" si="6"/>
        <v>0</v>
      </c>
      <c r="BB26" s="2450">
        <f t="shared" si="6"/>
        <v>0</v>
      </c>
      <c r="BC26" s="2450">
        <f t="shared" si="6"/>
        <v>0</v>
      </c>
      <c r="BD26" s="2450">
        <f t="shared" si="6"/>
        <v>0</v>
      </c>
      <c r="BE26" s="2450">
        <f t="shared" si="6"/>
        <v>0</v>
      </c>
      <c r="BF26" s="2450">
        <f t="shared" si="6"/>
        <v>0</v>
      </c>
      <c r="BG26" s="2450">
        <f t="shared" si="6"/>
        <v>0</v>
      </c>
      <c r="BH26" s="2450">
        <f t="shared" si="6"/>
        <v>0</v>
      </c>
      <c r="BI26" s="2450">
        <f t="shared" si="6"/>
        <v>0</v>
      </c>
      <c r="BJ26" s="2450">
        <f t="shared" si="6"/>
        <v>0</v>
      </c>
      <c r="BK26" s="2450">
        <f t="shared" si="6"/>
        <v>0</v>
      </c>
    </row>
    <row r="27" spans="1:63" x14ac:dyDescent="0.3">
      <c r="A27" s="3" t="s">
        <v>2226</v>
      </c>
      <c r="B27" s="2369" t="str">
        <f t="shared" ref="B27" si="7">+A27</f>
        <v>Smoothed Curve</v>
      </c>
      <c r="C27" s="2194">
        <v>0</v>
      </c>
      <c r="D27" s="2197">
        <f>+D67</f>
        <v>1.5814727044966539E-3</v>
      </c>
      <c r="E27" s="2197">
        <f t="shared" ref="E27:BK27" si="8">+E67</f>
        <v>7.1156403204849679E-3</v>
      </c>
      <c r="F27" s="2197">
        <f t="shared" si="8"/>
        <v>1.4404442920346141E-2</v>
      </c>
      <c r="G27" s="2197">
        <f t="shared" si="8"/>
        <v>2.2411686631570046E-2</v>
      </c>
      <c r="H27" s="2197">
        <f t="shared" si="8"/>
        <v>3.0557439797375567E-2</v>
      </c>
      <c r="I27" s="2197">
        <f t="shared" si="8"/>
        <v>3.8440893881079227E-2</v>
      </c>
      <c r="J27" s="2197">
        <f t="shared" si="8"/>
        <v>4.5763603854153512E-2</v>
      </c>
      <c r="K27" s="2197">
        <f t="shared" si="8"/>
        <v>5.2296198061070331E-2</v>
      </c>
      <c r="L27" s="2197">
        <f t="shared" si="8"/>
        <v>5.7860944121649577E-2</v>
      </c>
      <c r="M27" s="2197">
        <f t="shared" si="8"/>
        <v>6.2321596902588483E-2</v>
      </c>
      <c r="N27" s="2197">
        <f t="shared" si="8"/>
        <v>6.5577123026575757E-2</v>
      </c>
      <c r="O27" s="2197">
        <f t="shared" si="8"/>
        <v>6.7557734903559707E-2</v>
      </c>
      <c r="P27" s="2197">
        <f t="shared" si="8"/>
        <v>6.8222445750100003E-2</v>
      </c>
      <c r="Q27" s="2197">
        <f t="shared" si="8"/>
        <v>6.7557734903559874E-2</v>
      </c>
      <c r="R27" s="2197">
        <f t="shared" si="8"/>
        <v>6.557712302657559E-2</v>
      </c>
      <c r="S27" s="2197">
        <f t="shared" si="8"/>
        <v>6.2321596902588539E-2</v>
      </c>
      <c r="T27" s="2197">
        <f t="shared" si="8"/>
        <v>5.7860944121649771E-2</v>
      </c>
      <c r="U27" s="2197">
        <f t="shared" si="8"/>
        <v>5.2296198061070109E-2</v>
      </c>
      <c r="V27" s="2197">
        <f t="shared" si="8"/>
        <v>4.5763603854153567E-2</v>
      </c>
      <c r="W27" s="2197">
        <f t="shared" si="8"/>
        <v>3.8440893881079297E-2</v>
      </c>
      <c r="X27" s="2197">
        <f t="shared" si="8"/>
        <v>3.0557439797375463E-2</v>
      </c>
      <c r="Y27" s="2197">
        <f t="shared" si="8"/>
        <v>2.2411686631570005E-2</v>
      </c>
      <c r="Z27" s="2197">
        <f t="shared" si="8"/>
        <v>1.4404442920346261E-2</v>
      </c>
      <c r="AA27" s="2197">
        <f t="shared" si="8"/>
        <v>7.1156403204848395E-3</v>
      </c>
      <c r="AB27" s="2197">
        <f t="shared" si="8"/>
        <v>1.5814727044967114E-3</v>
      </c>
      <c r="AC27" s="2197">
        <f t="shared" si="8"/>
        <v>0</v>
      </c>
      <c r="AD27" s="2197">
        <f t="shared" si="8"/>
        <v>0</v>
      </c>
      <c r="AE27" s="2197">
        <f t="shared" si="8"/>
        <v>0</v>
      </c>
      <c r="AF27" s="2197">
        <f t="shared" si="8"/>
        <v>0</v>
      </c>
      <c r="AG27" s="2197">
        <f t="shared" si="8"/>
        <v>0</v>
      </c>
      <c r="AH27" s="2197">
        <f t="shared" si="8"/>
        <v>0</v>
      </c>
      <c r="AI27" s="2197">
        <f t="shared" si="8"/>
        <v>0</v>
      </c>
      <c r="AJ27" s="2197">
        <f t="shared" si="8"/>
        <v>0</v>
      </c>
      <c r="AK27" s="2197">
        <f t="shared" si="8"/>
        <v>0</v>
      </c>
      <c r="AL27" s="2197">
        <f t="shared" si="8"/>
        <v>0</v>
      </c>
      <c r="AM27" s="2197">
        <f t="shared" si="8"/>
        <v>0</v>
      </c>
      <c r="AN27" s="2197">
        <f t="shared" si="8"/>
        <v>0</v>
      </c>
      <c r="AO27" s="2197">
        <f t="shared" si="8"/>
        <v>0</v>
      </c>
      <c r="AP27" s="2197">
        <f t="shared" si="8"/>
        <v>0</v>
      </c>
      <c r="AQ27" s="2197">
        <f t="shared" si="8"/>
        <v>0</v>
      </c>
      <c r="AR27" s="2197">
        <f t="shared" si="8"/>
        <v>0</v>
      </c>
      <c r="AS27" s="2197">
        <f t="shared" si="8"/>
        <v>0</v>
      </c>
      <c r="AT27" s="2197">
        <f t="shared" si="8"/>
        <v>0</v>
      </c>
      <c r="AU27" s="2197">
        <f t="shared" si="8"/>
        <v>0</v>
      </c>
      <c r="AV27" s="2197">
        <f t="shared" si="8"/>
        <v>0</v>
      </c>
      <c r="AW27" s="2197">
        <f t="shared" si="8"/>
        <v>0</v>
      </c>
      <c r="AX27" s="2197">
        <f t="shared" si="8"/>
        <v>0</v>
      </c>
      <c r="AY27" s="2197">
        <f t="shared" si="8"/>
        <v>0</v>
      </c>
      <c r="AZ27" s="2197">
        <f t="shared" si="8"/>
        <v>0</v>
      </c>
      <c r="BA27" s="2197">
        <f t="shared" si="8"/>
        <v>0</v>
      </c>
      <c r="BB27" s="2197">
        <f t="shared" si="8"/>
        <v>0</v>
      </c>
      <c r="BC27" s="2197">
        <f t="shared" si="8"/>
        <v>0</v>
      </c>
      <c r="BD27" s="2197">
        <f t="shared" si="8"/>
        <v>0</v>
      </c>
      <c r="BE27" s="2197">
        <f t="shared" si="8"/>
        <v>0</v>
      </c>
      <c r="BF27" s="2197">
        <f t="shared" si="8"/>
        <v>0</v>
      </c>
      <c r="BG27" s="2197">
        <f t="shared" si="8"/>
        <v>0</v>
      </c>
      <c r="BH27" s="2197">
        <f t="shared" si="8"/>
        <v>0</v>
      </c>
      <c r="BI27" s="2197">
        <f t="shared" si="8"/>
        <v>0</v>
      </c>
      <c r="BJ27" s="2197">
        <f t="shared" si="8"/>
        <v>0</v>
      </c>
      <c r="BK27" s="2197">
        <f t="shared" si="8"/>
        <v>0</v>
      </c>
    </row>
    <row r="28" spans="1:63" x14ac:dyDescent="0.3">
      <c r="A28" s="3" t="s">
        <v>2223</v>
      </c>
      <c r="B28" s="2369" t="str">
        <f>+A28</f>
        <v>Modelled Curve</v>
      </c>
      <c r="C28" s="2194">
        <f t="shared" ref="C28:AH28" si="9">+C22</f>
        <v>0</v>
      </c>
      <c r="D28" s="2194">
        <f>+D22</f>
        <v>1.7838367967777109E-3</v>
      </c>
      <c r="E28" s="2194">
        <f t="shared" si="9"/>
        <v>6.2567868610355548E-3</v>
      </c>
      <c r="F28" s="2194">
        <f t="shared" si="9"/>
        <v>1.072158401463873E-2</v>
      </c>
      <c r="G28" s="2194">
        <f t="shared" si="9"/>
        <v>1.9783107551358179E-2</v>
      </c>
      <c r="H28" s="2194">
        <f t="shared" si="9"/>
        <v>3.3819111569278471E-2</v>
      </c>
      <c r="I28" s="2194">
        <f t="shared" si="9"/>
        <v>3.488038348247556E-2</v>
      </c>
      <c r="J28" s="2194">
        <f t="shared" si="9"/>
        <v>4.51135059054181E-2</v>
      </c>
      <c r="K28" s="2194">
        <f t="shared" si="9"/>
        <v>5.39662230559394E-2</v>
      </c>
      <c r="L28" s="2194">
        <f t="shared" si="9"/>
        <v>5.7949826218219674E-2</v>
      </c>
      <c r="M28" s="2194">
        <f t="shared" si="9"/>
        <v>6.4788468477919026E-2</v>
      </c>
      <c r="N28" s="2194">
        <f t="shared" si="9"/>
        <v>6.8170401746178222E-2</v>
      </c>
      <c r="O28" s="2194">
        <f t="shared" si="9"/>
        <v>6.8691437271245659E-2</v>
      </c>
      <c r="P28" s="2194">
        <f t="shared" si="9"/>
        <v>6.4263914851491244E-2</v>
      </c>
      <c r="Q28" s="2194">
        <f t="shared" si="9"/>
        <v>6.2182678934341928E-2</v>
      </c>
      <c r="R28" s="2194">
        <f t="shared" si="9"/>
        <v>6.0969864697935416E-2</v>
      </c>
      <c r="S28" s="2194">
        <f t="shared" si="9"/>
        <v>5.5680553996835136E-2</v>
      </c>
      <c r="T28" s="2194">
        <f t="shared" si="9"/>
        <v>4.9811874136302836E-2</v>
      </c>
      <c r="U28" s="2194">
        <f t="shared" si="9"/>
        <v>4.9809421321176828E-2</v>
      </c>
      <c r="V28" s="2194">
        <f t="shared" si="9"/>
        <v>4.6252188046931431E-2</v>
      </c>
      <c r="W28" s="2194">
        <f t="shared" si="9"/>
        <v>3.884591020288386E-2</v>
      </c>
      <c r="X28" s="2194">
        <f t="shared" si="9"/>
        <v>3.3307656764089866E-2</v>
      </c>
      <c r="Y28" s="2194">
        <f t="shared" si="9"/>
        <v>2.8129859163246396E-2</v>
      </c>
      <c r="Z28" s="2194">
        <f t="shared" si="9"/>
        <v>1.9317456626116725E-2</v>
      </c>
      <c r="AA28" s="2194">
        <f t="shared" si="9"/>
        <v>1.557576171286712E-2</v>
      </c>
      <c r="AB28" s="2194">
        <f t="shared" si="9"/>
        <v>9.9281865952969284E-3</v>
      </c>
      <c r="AC28" s="2194">
        <f t="shared" si="9"/>
        <v>0</v>
      </c>
      <c r="AD28" s="2194">
        <f t="shared" si="9"/>
        <v>0</v>
      </c>
      <c r="AE28" s="2194">
        <f t="shared" si="9"/>
        <v>0</v>
      </c>
      <c r="AF28" s="2194">
        <f t="shared" si="9"/>
        <v>0</v>
      </c>
      <c r="AG28" s="2194">
        <f t="shared" si="9"/>
        <v>0</v>
      </c>
      <c r="AH28" s="2194">
        <f t="shared" si="9"/>
        <v>0</v>
      </c>
      <c r="AI28" s="2194">
        <f t="shared" ref="AI28:BK28" si="10">+AI22</f>
        <v>0</v>
      </c>
      <c r="AJ28" s="2194">
        <f t="shared" si="10"/>
        <v>0</v>
      </c>
      <c r="AK28" s="2194">
        <f t="shared" si="10"/>
        <v>0</v>
      </c>
      <c r="AL28" s="2194">
        <f t="shared" si="10"/>
        <v>0</v>
      </c>
      <c r="AM28" s="2194">
        <f t="shared" si="10"/>
        <v>0</v>
      </c>
      <c r="AN28" s="2194">
        <f t="shared" si="10"/>
        <v>0</v>
      </c>
      <c r="AO28" s="2194">
        <f t="shared" si="10"/>
        <v>0</v>
      </c>
      <c r="AP28" s="2194">
        <f t="shared" si="10"/>
        <v>0</v>
      </c>
      <c r="AQ28" s="2194">
        <f t="shared" si="10"/>
        <v>0</v>
      </c>
      <c r="AR28" s="2194">
        <f t="shared" si="10"/>
        <v>0</v>
      </c>
      <c r="AS28" s="2194">
        <f t="shared" si="10"/>
        <v>0</v>
      </c>
      <c r="AT28" s="2194">
        <f t="shared" si="10"/>
        <v>0</v>
      </c>
      <c r="AU28" s="2194">
        <f t="shared" si="10"/>
        <v>0</v>
      </c>
      <c r="AV28" s="2194">
        <f t="shared" si="10"/>
        <v>0</v>
      </c>
      <c r="AW28" s="2194">
        <f t="shared" si="10"/>
        <v>0</v>
      </c>
      <c r="AX28" s="2194">
        <f t="shared" si="10"/>
        <v>0</v>
      </c>
      <c r="AY28" s="2194">
        <f t="shared" si="10"/>
        <v>0</v>
      </c>
      <c r="AZ28" s="2194">
        <f t="shared" si="10"/>
        <v>0</v>
      </c>
      <c r="BA28" s="2194">
        <f t="shared" si="10"/>
        <v>0</v>
      </c>
      <c r="BB28" s="2194">
        <f t="shared" si="10"/>
        <v>0</v>
      </c>
      <c r="BC28" s="2194">
        <f t="shared" si="10"/>
        <v>0</v>
      </c>
      <c r="BD28" s="2194">
        <f t="shared" si="10"/>
        <v>0</v>
      </c>
      <c r="BE28" s="2194">
        <f t="shared" si="10"/>
        <v>0</v>
      </c>
      <c r="BF28" s="2194">
        <f t="shared" si="10"/>
        <v>0</v>
      </c>
      <c r="BG28" s="2194">
        <f t="shared" si="10"/>
        <v>0</v>
      </c>
      <c r="BH28" s="2194">
        <f t="shared" si="10"/>
        <v>0</v>
      </c>
      <c r="BI28" s="2194">
        <f t="shared" si="10"/>
        <v>0</v>
      </c>
      <c r="BJ28" s="2194">
        <f t="shared" si="10"/>
        <v>0</v>
      </c>
      <c r="BK28" s="2194">
        <f t="shared" si="10"/>
        <v>0</v>
      </c>
    </row>
    <row r="29" spans="1:63" x14ac:dyDescent="0.3">
      <c r="C29" s="2196"/>
      <c r="D29" s="2196"/>
      <c r="E29" s="2196"/>
      <c r="F29" s="2196"/>
      <c r="G29" s="2196"/>
      <c r="H29" s="2196"/>
      <c r="I29" s="2196"/>
      <c r="J29" s="2196"/>
      <c r="K29" s="2196"/>
      <c r="L29" s="2196"/>
      <c r="M29" s="2196"/>
      <c r="N29" s="2196"/>
      <c r="O29" s="2196"/>
      <c r="P29" s="2196"/>
      <c r="Q29" s="2196"/>
      <c r="R29" s="2196"/>
      <c r="S29" s="2196"/>
      <c r="T29" s="2196"/>
      <c r="U29" s="2196"/>
      <c r="V29" s="2196"/>
      <c r="W29" s="2196"/>
      <c r="X29" s="2196"/>
      <c r="Y29" s="2196"/>
      <c r="Z29" s="2196"/>
      <c r="AA29" s="2196"/>
      <c r="AB29" s="2196"/>
      <c r="AC29" s="2196"/>
      <c r="AD29" s="2196"/>
      <c r="AE29" s="2196"/>
      <c r="AF29" s="2196"/>
      <c r="AG29" s="2196"/>
      <c r="AH29" s="2196"/>
      <c r="AI29" s="2196"/>
      <c r="AJ29" s="2196"/>
      <c r="AK29" s="2196"/>
      <c r="AL29" s="2196"/>
      <c r="AM29" s="2196"/>
      <c r="AN29" s="2196"/>
      <c r="AO29" s="2196"/>
      <c r="AP29" s="2196"/>
      <c r="AQ29" s="2196"/>
      <c r="AR29" s="2196"/>
      <c r="AS29" s="2196"/>
      <c r="AT29" s="2196"/>
      <c r="AU29" s="2196"/>
      <c r="AV29" s="2196"/>
      <c r="AW29" s="2196"/>
      <c r="AX29" s="2196"/>
      <c r="AY29" s="2196"/>
      <c r="AZ29" s="2196"/>
      <c r="BA29" s="2196"/>
      <c r="BB29" s="2196"/>
      <c r="BC29" s="2196"/>
      <c r="BD29" s="2196"/>
      <c r="BE29" s="2196"/>
      <c r="BF29" s="2196"/>
      <c r="BG29" s="2196"/>
      <c r="BH29" s="2196"/>
      <c r="BI29" s="2196"/>
      <c r="BJ29" s="2196"/>
      <c r="BK29" s="2196"/>
    </row>
    <row r="30" spans="1:63" hidden="1" x14ac:dyDescent="0.3">
      <c r="C30" s="2196"/>
      <c r="D30" s="2196"/>
      <c r="E30" s="2196"/>
      <c r="F30" s="2196"/>
      <c r="G30" s="2196"/>
      <c r="H30" s="2196"/>
      <c r="I30" s="2196"/>
      <c r="J30" s="2196"/>
      <c r="K30" s="2196"/>
      <c r="L30" s="2196"/>
      <c r="M30" s="2196"/>
      <c r="N30" s="2196"/>
      <c r="O30" s="2196"/>
      <c r="P30" s="2196"/>
      <c r="Q30" s="2196"/>
      <c r="R30" s="2196"/>
      <c r="S30" s="2196"/>
      <c r="T30" s="2196"/>
      <c r="U30" s="2196"/>
      <c r="V30" s="2196"/>
      <c r="W30" s="2196"/>
      <c r="X30" s="2196"/>
      <c r="Y30" s="2196"/>
      <c r="Z30" s="2196"/>
      <c r="AA30" s="2196"/>
      <c r="AB30" s="2196"/>
      <c r="AC30" s="2196"/>
      <c r="AD30" s="2196"/>
      <c r="AE30" s="2196"/>
      <c r="AF30" s="2196"/>
      <c r="AG30" s="2196"/>
      <c r="AH30" s="2196"/>
      <c r="AI30" s="2196"/>
      <c r="AJ30" s="2196"/>
      <c r="AK30" s="2196"/>
      <c r="AL30" s="2196"/>
      <c r="AM30" s="2196"/>
      <c r="AN30" s="2196"/>
      <c r="AO30" s="2196"/>
      <c r="AP30" s="2196"/>
      <c r="AQ30" s="2196"/>
      <c r="AR30" s="2196"/>
      <c r="AS30" s="2196"/>
      <c r="AT30" s="2196"/>
      <c r="AU30" s="2196"/>
      <c r="AV30" s="2196"/>
      <c r="AW30" s="2196"/>
      <c r="AX30" s="2196"/>
      <c r="AY30" s="2196"/>
      <c r="AZ30" s="2196"/>
      <c r="BA30" s="2196"/>
      <c r="BB30" s="2196"/>
      <c r="BC30" s="2196"/>
      <c r="BD30" s="2196"/>
      <c r="BE30" s="2196"/>
      <c r="BF30" s="2196"/>
      <c r="BG30" s="2196"/>
      <c r="BH30" s="2196"/>
      <c r="BI30" s="2196"/>
      <c r="BJ30" s="2196"/>
      <c r="BK30" s="2196"/>
    </row>
    <row r="31" spans="1:63" hidden="1" x14ac:dyDescent="0.3">
      <c r="B31" s="2191" t="s">
        <v>2227</v>
      </c>
      <c r="C31" s="2191"/>
      <c r="D31" s="2191"/>
      <c r="E31" s="2191"/>
      <c r="F31" s="2191"/>
      <c r="G31" s="2191"/>
      <c r="H31" s="2191"/>
      <c r="I31" s="2191"/>
      <c r="J31" s="2191"/>
      <c r="K31" s="2191"/>
      <c r="L31" s="2191"/>
      <c r="M31" s="2191"/>
      <c r="N31" s="2196"/>
      <c r="O31" s="2196"/>
      <c r="P31" s="2196"/>
      <c r="Q31" s="2196"/>
      <c r="R31" s="2196"/>
      <c r="S31" s="2196"/>
      <c r="T31" s="2196"/>
      <c r="U31" s="2196"/>
      <c r="V31" s="2196"/>
      <c r="W31" s="2196"/>
      <c r="X31" s="2196"/>
      <c r="Y31" s="2196"/>
      <c r="Z31" s="2196"/>
      <c r="AA31" s="2196"/>
      <c r="AB31" s="2196"/>
      <c r="AC31" s="2196"/>
      <c r="AD31" s="2196"/>
      <c r="AE31" s="2196"/>
      <c r="AF31" s="2196"/>
      <c r="AG31" s="2196"/>
      <c r="AH31" s="2196"/>
      <c r="AI31" s="2196"/>
      <c r="AJ31" s="2196"/>
      <c r="AK31" s="2196"/>
      <c r="AL31" s="2196"/>
      <c r="AM31" s="2196"/>
      <c r="AN31" s="2196"/>
      <c r="AO31" s="2196"/>
      <c r="AP31" s="2196"/>
      <c r="AQ31" s="2196"/>
      <c r="AR31" s="2196"/>
      <c r="AS31" s="2196"/>
      <c r="AT31" s="2196"/>
      <c r="AU31" s="2196"/>
      <c r="AV31" s="2196"/>
      <c r="AW31" s="2196"/>
      <c r="AX31" s="2196"/>
      <c r="AY31" s="2196"/>
      <c r="AZ31" s="2196"/>
      <c r="BA31" s="2196"/>
      <c r="BB31" s="2196"/>
      <c r="BC31" s="2196"/>
      <c r="BD31" s="2196"/>
      <c r="BE31" s="2196"/>
      <c r="BF31" s="2196"/>
      <c r="BG31" s="2196"/>
      <c r="BH31" s="2196"/>
      <c r="BI31" s="2196"/>
      <c r="BJ31" s="2196"/>
      <c r="BK31" s="2196"/>
    </row>
    <row r="32" spans="1:63" hidden="1" x14ac:dyDescent="0.3"/>
    <row r="33" spans="1:63" hidden="1" x14ac:dyDescent="0.3">
      <c r="A33" s="3" t="s">
        <v>2223</v>
      </c>
      <c r="C33" s="2197">
        <f t="shared" ref="C33:AH33" si="11">+INDEX($C$25:$BK$27,MATCH($C$3,$A$25:$A$27,0),MATCH(C$21,$C$24:$BK$24,0))</f>
        <v>0</v>
      </c>
      <c r="D33" s="2197">
        <f t="shared" si="11"/>
        <v>1.7838367967777109E-3</v>
      </c>
      <c r="E33" s="2197">
        <f t="shared" si="11"/>
        <v>6.2567868610355548E-3</v>
      </c>
      <c r="F33" s="2197">
        <f t="shared" si="11"/>
        <v>1.072158401463873E-2</v>
      </c>
      <c r="G33" s="2197">
        <f t="shared" si="11"/>
        <v>1.9783107551358179E-2</v>
      </c>
      <c r="H33" s="2197">
        <f t="shared" si="11"/>
        <v>3.3819111569278471E-2</v>
      </c>
      <c r="I33" s="2197">
        <f t="shared" si="11"/>
        <v>3.488038348247556E-2</v>
      </c>
      <c r="J33" s="2197">
        <f t="shared" si="11"/>
        <v>4.51135059054181E-2</v>
      </c>
      <c r="K33" s="2197">
        <f t="shared" si="11"/>
        <v>5.39662230559394E-2</v>
      </c>
      <c r="L33" s="2197">
        <f t="shared" si="11"/>
        <v>5.7949826218219674E-2</v>
      </c>
      <c r="M33" s="2197">
        <f t="shared" si="11"/>
        <v>6.4788468477919026E-2</v>
      </c>
      <c r="N33" s="2197">
        <f t="shared" si="11"/>
        <v>6.8170401746178222E-2</v>
      </c>
      <c r="O33" s="2197">
        <f t="shared" si="11"/>
        <v>6.8691437271245659E-2</v>
      </c>
      <c r="P33" s="2197">
        <f t="shared" si="11"/>
        <v>6.4263914851491244E-2</v>
      </c>
      <c r="Q33" s="2197">
        <f t="shared" si="11"/>
        <v>6.2182678934341928E-2</v>
      </c>
      <c r="R33" s="2197">
        <f t="shared" si="11"/>
        <v>6.0969864697935416E-2</v>
      </c>
      <c r="S33" s="2197">
        <f t="shared" si="11"/>
        <v>5.5680553996835136E-2</v>
      </c>
      <c r="T33" s="2197">
        <f t="shared" si="11"/>
        <v>4.9811874136302836E-2</v>
      </c>
      <c r="U33" s="2197">
        <f t="shared" si="11"/>
        <v>4.9809421321176828E-2</v>
      </c>
      <c r="V33" s="2197">
        <f t="shared" si="11"/>
        <v>4.6252188046931431E-2</v>
      </c>
      <c r="W33" s="2197">
        <f t="shared" si="11"/>
        <v>3.884591020288386E-2</v>
      </c>
      <c r="X33" s="2197">
        <f t="shared" si="11"/>
        <v>3.3307656764089866E-2</v>
      </c>
      <c r="Y33" s="2197">
        <f t="shared" si="11"/>
        <v>2.8129859163246396E-2</v>
      </c>
      <c r="Z33" s="2197">
        <f t="shared" si="11"/>
        <v>1.9317456626116725E-2</v>
      </c>
      <c r="AA33" s="2197">
        <f t="shared" si="11"/>
        <v>1.557576171286712E-2</v>
      </c>
      <c r="AB33" s="2197">
        <f t="shared" si="11"/>
        <v>9.9281865952968174E-3</v>
      </c>
      <c r="AC33" s="2197">
        <f t="shared" si="11"/>
        <v>0</v>
      </c>
      <c r="AD33" s="2197">
        <f t="shared" si="11"/>
        <v>0</v>
      </c>
      <c r="AE33" s="2197">
        <f t="shared" si="11"/>
        <v>0</v>
      </c>
      <c r="AF33" s="2197">
        <f t="shared" si="11"/>
        <v>0</v>
      </c>
      <c r="AG33" s="2197">
        <f t="shared" si="11"/>
        <v>0</v>
      </c>
      <c r="AH33" s="2197">
        <f t="shared" si="11"/>
        <v>0</v>
      </c>
      <c r="AI33" s="2197">
        <f t="shared" ref="AI33:BK33" si="12">+INDEX($C$25:$BK$27,MATCH($C$3,$A$25:$A$27,0),MATCH(AI$21,$C$24:$BK$24,0))</f>
        <v>0</v>
      </c>
      <c r="AJ33" s="2197">
        <f t="shared" si="12"/>
        <v>0</v>
      </c>
      <c r="AK33" s="2197">
        <f t="shared" si="12"/>
        <v>0</v>
      </c>
      <c r="AL33" s="2197">
        <f t="shared" si="12"/>
        <v>0</v>
      </c>
      <c r="AM33" s="2197">
        <f t="shared" si="12"/>
        <v>0</v>
      </c>
      <c r="AN33" s="2197">
        <f t="shared" si="12"/>
        <v>0</v>
      </c>
      <c r="AO33" s="2197">
        <f t="shared" si="12"/>
        <v>0</v>
      </c>
      <c r="AP33" s="2197">
        <f t="shared" si="12"/>
        <v>0</v>
      </c>
      <c r="AQ33" s="2197">
        <f t="shared" si="12"/>
        <v>0</v>
      </c>
      <c r="AR33" s="2197">
        <f t="shared" si="12"/>
        <v>0</v>
      </c>
      <c r="AS33" s="2197">
        <f t="shared" si="12"/>
        <v>0</v>
      </c>
      <c r="AT33" s="2197">
        <f t="shared" si="12"/>
        <v>0</v>
      </c>
      <c r="AU33" s="2197">
        <f t="shared" si="12"/>
        <v>0</v>
      </c>
      <c r="AV33" s="2197">
        <f t="shared" si="12"/>
        <v>0</v>
      </c>
      <c r="AW33" s="2197">
        <f t="shared" si="12"/>
        <v>0</v>
      </c>
      <c r="AX33" s="2197">
        <f t="shared" si="12"/>
        <v>0</v>
      </c>
      <c r="AY33" s="2197">
        <f t="shared" si="12"/>
        <v>0</v>
      </c>
      <c r="AZ33" s="2197">
        <f t="shared" si="12"/>
        <v>0</v>
      </c>
      <c r="BA33" s="2197">
        <f t="shared" si="12"/>
        <v>0</v>
      </c>
      <c r="BB33" s="2197">
        <f t="shared" si="12"/>
        <v>0</v>
      </c>
      <c r="BC33" s="2197">
        <f t="shared" si="12"/>
        <v>0</v>
      </c>
      <c r="BD33" s="2197">
        <f t="shared" si="12"/>
        <v>0</v>
      </c>
      <c r="BE33" s="2197">
        <f t="shared" si="12"/>
        <v>0</v>
      </c>
      <c r="BF33" s="2197">
        <f t="shared" si="12"/>
        <v>0</v>
      </c>
      <c r="BG33" s="2197">
        <f t="shared" si="12"/>
        <v>0</v>
      </c>
      <c r="BH33" s="2197">
        <f t="shared" si="12"/>
        <v>0</v>
      </c>
      <c r="BI33" s="2197">
        <f t="shared" si="12"/>
        <v>0</v>
      </c>
      <c r="BJ33" s="2197">
        <f t="shared" si="12"/>
        <v>0</v>
      </c>
      <c r="BK33" s="2197">
        <f t="shared" si="12"/>
        <v>0</v>
      </c>
    </row>
    <row r="34" spans="1:63" hidden="1" x14ac:dyDescent="0.3">
      <c r="A34" s="3" t="s">
        <v>2227</v>
      </c>
      <c r="C34" s="2197">
        <v>0</v>
      </c>
      <c r="D34" s="2197">
        <f>+IF(D$24&lt;=$B$36,SUM($D33:INDEX($C33:$XFD33,1+$B$35))/$B$36,IF(D$24&gt;=$C$4,(1-SUM($C$34:C34)),INDEX($C$33:$BK$33,MATCH((D$24-($B$36-$B$35)),$C$24:$BK$24))))</f>
        <v>1.7838367967777109E-3</v>
      </c>
      <c r="E34" s="2197">
        <f>+IF(E$24&lt;=$B$36,SUM($D33:INDEX($C33:$XFD33,1+$B$35))/$B$36,IF(E$24&gt;=$C$4,(1-SUM($C$34:D34)),INDEX($C$33:$BK$33,MATCH((E$24-($B$36-$B$35)),$C$24:$BK$24))))</f>
        <v>6.2567868610355548E-3</v>
      </c>
      <c r="F34" s="2197">
        <f>+IF(F$24&lt;=$B$36,SUM($D33:INDEX($C33:$XFD33,1+$B$35))/$B$36,IF(F$24&gt;=$C$4,(1-SUM($C$34:E34)),INDEX($C$33:$BK$33,MATCH((F$24-($B$36-$B$35)),$C$24:$BK$24))))</f>
        <v>1.072158401463873E-2</v>
      </c>
      <c r="G34" s="2197">
        <f>+IF(G$24&lt;=$B$36,SUM($D33:INDEX($C33:$XFD33,1+$B$35))/$B$36,IF(G$24&gt;=$C$4,(1-SUM($C$34:F34)),INDEX($C$33:$BK$33,MATCH((G$24-($B$36-$B$35)),$C$24:$BK$24))))</f>
        <v>1.9783107551358179E-2</v>
      </c>
      <c r="H34" s="2197">
        <f>+IF(H$24&lt;=$B$36,SUM($D33:INDEX($C33:$XFD33,1+$B$35))/$B$36,IF(H$24&gt;=$C$4,(1-SUM($C$34:G34)),INDEX($C$33:$BK$33,MATCH((H$24-($B$36-$B$35)),$C$24:$BK$24))))</f>
        <v>3.3819111569278471E-2</v>
      </c>
      <c r="I34" s="2197">
        <f>+IF(I$24&lt;=$B$36,SUM($D33:INDEX($C33:$XFD33,1+$B$35))/$B$36,IF(I$24&gt;=$C$4,(1-SUM($C$34:H34)),INDEX($C$33:$BK$33,MATCH((I$24-($B$36-$B$35)),$C$24:$BK$24))))</f>
        <v>3.488038348247556E-2</v>
      </c>
      <c r="J34" s="2197">
        <f>+IF(J$24&lt;=$B$36,SUM($D33:INDEX($C33:$XFD33,1+$B$35))/$B$36,IF(J$24&gt;=$C$4,(1-SUM($C$34:I34)),INDEX($C$33:$BK$33,MATCH((J$24-($B$36-$B$35)),$C$24:$BK$24))))</f>
        <v>4.51135059054181E-2</v>
      </c>
      <c r="K34" s="2197">
        <f>+IF(K$24&lt;=$B$36,SUM($D33:INDEX($C33:$XFD33,1+$B$35))/$B$36,IF(K$24&gt;=$C$4,(1-SUM($C$34:J34)),INDEX($C$33:$BK$33,MATCH((K$24-($B$36-$B$35)),$C$24:$BK$24))))</f>
        <v>5.39662230559394E-2</v>
      </c>
      <c r="L34" s="2197">
        <f>+IF(L$24&lt;=$B$36,SUM($D33:INDEX($C33:$XFD33,1+$B$35))/$B$36,IF(L$24&gt;=$C$4,(1-SUM($C$34:K34)),INDEX($C$33:$BK$33,MATCH((L$24-($B$36-$B$35)),$C$24:$BK$24))))</f>
        <v>5.7949826218219674E-2</v>
      </c>
      <c r="M34" s="2197">
        <f>+IF(M$24&lt;=$B$36,SUM($D33:INDEX($C33:$XFD33,1+$B$35))/$B$36,IF(M$24&gt;=$C$4,(1-SUM($C$34:L34)),INDEX($C$33:$BK$33,MATCH((M$24-($B$36-$B$35)),$C$24:$BK$24))))</f>
        <v>6.4788468477919026E-2</v>
      </c>
      <c r="N34" s="2197">
        <f>+IF(N$24&lt;=$B$36,SUM($D33:INDEX($C33:$XFD33,1+$B$35))/$B$36,IF(N$24&gt;=$C$4,(1-SUM($C$34:M34)),INDEX($C$33:$BK$33,MATCH((N$24-($B$36-$B$35)),$C$24:$BK$24))))</f>
        <v>6.8170401746178222E-2</v>
      </c>
      <c r="O34" s="2197">
        <f>+IF(O$24&lt;=$B$36,SUM($D33:INDEX($C33:$XFD33,1+$B$35))/$B$36,IF(O$24&gt;=$C$4,(1-SUM($C$34:N34)),INDEX($C$33:$BK$33,MATCH((O$24-($B$36-$B$35)),$C$24:$BK$24))))</f>
        <v>6.8691437271245659E-2</v>
      </c>
      <c r="P34" s="2197">
        <f>+IF(P$24&lt;=$B$36,SUM($D33:INDEX($C33:$XFD33,1+$B$35))/$B$36,IF(P$24&gt;=$C$4,(1-SUM($C$34:O34)),INDEX($C$33:$BK$33,MATCH((P$24-($B$36-$B$35)),$C$24:$BK$24))))</f>
        <v>6.4263914851491244E-2</v>
      </c>
      <c r="Q34" s="2197">
        <f>+IF(Q$24&lt;=$B$36,SUM($D33:INDEX($C33:$XFD33,1+$B$35))/$B$36,IF(Q$24&gt;=$C$4,(1-SUM($C$34:P34)),INDEX($C$33:$BK$33,MATCH((Q$24-($B$36-$B$35)),$C$24:$BK$24))))</f>
        <v>6.2182678934341928E-2</v>
      </c>
      <c r="R34" s="2197">
        <f>+IF(R$24&lt;=$B$36,SUM($D33:INDEX($C33:$XFD33,1+$B$35))/$B$36,IF(R$24&gt;=$C$4,(1-SUM($C$34:Q34)),INDEX($C$33:$BK$33,MATCH((R$24-($B$36-$B$35)),$C$24:$BK$24))))</f>
        <v>6.0969864697935416E-2</v>
      </c>
      <c r="S34" s="2197">
        <f>+IF(S$24&lt;=$B$36,SUM($D33:INDEX($C33:$XFD33,1+$B$35))/$B$36,IF(S$24&gt;=$C$4,(1-SUM($C$34:R34)),INDEX($C$33:$BK$33,MATCH((S$24-($B$36-$B$35)),$C$24:$BK$24))))</f>
        <v>5.5680553996835136E-2</v>
      </c>
      <c r="T34" s="2197">
        <f>+IF(T$24&lt;=$B$36,SUM($D33:INDEX($C33:$XFD33,1+$B$35))/$B$36,IF(T$24&gt;=$C$4,(1-SUM($C$34:S34)),INDEX($C$33:$BK$33,MATCH((T$24-($B$36-$B$35)),$C$24:$BK$24))))</f>
        <v>4.9811874136302836E-2</v>
      </c>
      <c r="U34" s="2197">
        <f>+IF(U$24&lt;=$B$36,SUM($D33:INDEX($C33:$XFD33,1+$B$35))/$B$36,IF(U$24&gt;=$C$4,(1-SUM($C$34:T34)),INDEX($C$33:$BK$33,MATCH((U$24-($B$36-$B$35)),$C$24:$BK$24))))</f>
        <v>4.9809421321176828E-2</v>
      </c>
      <c r="V34" s="2197">
        <f>+IF(V$24&lt;=$B$36,SUM($D33:INDEX($C33:$XFD33,1+$B$35))/$B$36,IF(V$24&gt;=$C$4,(1-SUM($C$34:U34)),INDEX($C$33:$BK$33,MATCH((V$24-($B$36-$B$35)),$C$24:$BK$24))))</f>
        <v>4.6252188046931431E-2</v>
      </c>
      <c r="W34" s="2197">
        <f>+IF(W$24&lt;=$B$36,SUM($D33:INDEX($C33:$XFD33,1+$B$35))/$B$36,IF(W$24&gt;=$C$4,(1-SUM($C$34:V34)),INDEX($C$33:$BK$33,MATCH((W$24-($B$36-$B$35)),$C$24:$BK$24))))</f>
        <v>3.884591020288386E-2</v>
      </c>
      <c r="X34" s="2197">
        <f>+IF(X$24&lt;=$B$36,SUM($D33:INDEX($C33:$XFD33,1+$B$35))/$B$36,IF(X$24&gt;=$C$4,(1-SUM($C$34:W34)),INDEX($C$33:$BK$33,MATCH((X$24-($B$36-$B$35)),$C$24:$BK$24))))</f>
        <v>3.3307656764089866E-2</v>
      </c>
      <c r="Y34" s="2197">
        <f>+IF(Y$24&lt;=$B$36,SUM($D33:INDEX($C33:$XFD33,1+$B$35))/$B$36,IF(Y$24&gt;=$C$4,(1-SUM($C$34:X34)),INDEX($C$33:$BK$33,MATCH((Y$24-($B$36-$B$35)),$C$24:$BK$24))))</f>
        <v>2.8129859163246396E-2</v>
      </c>
      <c r="Z34" s="2197">
        <f>+IF(Z$24&lt;=$B$36,SUM($D33:INDEX($C33:$XFD33,1+$B$35))/$B$36,IF(Z$24&gt;=$C$4,(1-SUM($C$34:Y34)),INDEX($C$33:$BK$33,MATCH((Z$24-($B$36-$B$35)),$C$24:$BK$24))))</f>
        <v>1.9317456626116725E-2</v>
      </c>
      <c r="AA34" s="2197">
        <f>+IF(AA$24&lt;=$B$36,SUM($D33:INDEX($C33:$XFD33,1+$B$35))/$B$36,IF(AA$24&gt;=$C$4,(1-SUM($C$34:Z34)),INDEX($C$33:$BK$33,MATCH((AA$24-($B$36-$B$35)),$C$24:$BK$24))))</f>
        <v>1.557576171286712E-2</v>
      </c>
      <c r="AB34" s="2197">
        <f>+IF(AB$24&lt;=$B$36,SUM($D33:INDEX($C33:$XFD33,1+$B$35))/$B$36,IF(AB$24&gt;=$C$4,(1-SUM($C$34:AA34)),INDEX($C$33:$BK$33,MATCH((AB$24-($B$36-$B$35)),$C$24:$BK$24))))</f>
        <v>9.9281865952969284E-3</v>
      </c>
      <c r="AC34" s="2197">
        <f>+IF(AC$24&lt;=$B$36,SUM($D33:INDEX($C33:$XFD33,1+$B$35))/$B$36,IF(AC$24&gt;=$C$4,(1-SUM($C$34:AB34)),INDEX($C$33:$BK$33,MATCH((AC$24-($B$36-$B$35)),$C$24:$BK$24))))</f>
        <v>0</v>
      </c>
      <c r="AD34" s="2197">
        <f>+IF(AD$24&lt;=$B$36,SUM($D33:INDEX($C33:$XFD33,1+$B$35))/$B$36,IF(AD$24&gt;=$C$4,(1-SUM($C$34:AC34)),INDEX($C$33:$BK$33,MATCH((AD$24-($B$36-$B$35)),$C$24:$BK$24))))</f>
        <v>0</v>
      </c>
      <c r="AE34" s="2197">
        <f>+IF(AE$24&lt;=$B$36,SUM($D33:INDEX($C33:$XFD33,1+$B$35))/$B$36,IF(AE$24&gt;=$C$4,(1-SUM($C$34:AD34)),INDEX($C$33:$BK$33,MATCH((AE$24-($B$36-$B$35)),$C$24:$BK$24))))</f>
        <v>0</v>
      </c>
      <c r="AF34" s="2197">
        <f>+IF(AF$24&lt;=$B$36,SUM($D33:INDEX($C33:$XFD33,1+$B$35))/$B$36,IF(AF$24&gt;=$C$4,(1-SUM($C$34:AE34)),INDEX($C$33:$BK$33,MATCH((AF$24-($B$36-$B$35)),$C$24:$BK$24))))</f>
        <v>0</v>
      </c>
      <c r="AG34" s="2197">
        <f>+IF(AG$24&lt;=$B$36,SUM($D33:INDEX($C33:$XFD33,1+$B$35))/$B$36,IF(AG$24&gt;=$C$4,(1-SUM($C$34:AF34)),INDEX($C$33:$BK$33,MATCH((AG$24-($B$36-$B$35)),$C$24:$BK$24))))</f>
        <v>0</v>
      </c>
      <c r="AH34" s="2197">
        <f>+IF(AH$24&lt;=$B$36,SUM($D33:INDEX($C33:$XFD33,1+$B$35))/$B$36,IF(AH$24&gt;=$C$4,(1-SUM($C$34:AG34)),INDEX($C$33:$BK$33,MATCH((AH$24-($B$36-$B$35)),$C$24:$BK$24))))</f>
        <v>0</v>
      </c>
      <c r="AI34" s="2197">
        <f>+IF(AI$24&lt;=$B$36,SUM($D33:INDEX($C33:$XFD33,1+$B$35))/$B$36,IF(AI$24&gt;=$C$4,(1-SUM($C$34:AH34)),INDEX($C$33:$BK$33,MATCH((AI$24-($B$36-$B$35)),$C$24:$BK$24))))</f>
        <v>0</v>
      </c>
      <c r="AJ34" s="2197">
        <f>+IF(AJ$24&lt;=$B$36,SUM($D33:INDEX($C33:$XFD33,1+$B$35))/$B$36,IF(AJ$24&gt;=$C$4,(1-SUM($C$34:AI34)),INDEX($C$33:$BK$33,MATCH((AJ$24-($B$36-$B$35)),$C$24:$BK$24))))</f>
        <v>0</v>
      </c>
      <c r="AK34" s="2197">
        <f>+IF(AK$24&lt;=$B$36,SUM($D33:INDEX($C33:$XFD33,1+$B$35))/$B$36,IF(AK$24&gt;=$C$4,(1-SUM($C$34:AJ34)),INDEX($C$33:$BK$33,MATCH((AK$24-($B$36-$B$35)),$C$24:$BK$24))))</f>
        <v>0</v>
      </c>
      <c r="AL34" s="2197">
        <f>+IF(AL$24&lt;=$B$36,SUM($D33:INDEX($C33:$XFD33,1+$B$35))/$B$36,IF(AL$24&gt;=$C$4,(1-SUM($C$34:AK34)),INDEX($C$33:$BK$33,MATCH((AL$24-($B$36-$B$35)),$C$24:$BK$24))))</f>
        <v>0</v>
      </c>
      <c r="AM34" s="2197">
        <f>+IF(AM$24&lt;=$B$36,SUM($D33:INDEX($C33:$XFD33,1+$B$35))/$B$36,IF(AM$24&gt;=$C$4,(1-SUM($C$34:AL34)),INDEX($C$33:$BK$33,MATCH((AM$24-($B$36-$B$35)),$C$24:$BK$24))))</f>
        <v>0</v>
      </c>
      <c r="AN34" s="2197">
        <f>+IF(AN$24&lt;=$B$36,SUM($D33:INDEX($C33:$XFD33,1+$B$35))/$B$36,IF(AN$24&gt;=$C$4,(1-SUM($C$34:AM34)),INDEX($C$33:$BK$33,MATCH((AN$24-($B$36-$B$35)),$C$24:$BK$24))))</f>
        <v>0</v>
      </c>
      <c r="AO34" s="2197">
        <f>+IF(AO$24&lt;=$B$36,SUM($D33:INDEX($C33:$XFD33,1+$B$35))/$B$36,IF(AO$24&gt;=$C$4,(1-SUM($C$34:AN34)),INDEX($C$33:$BK$33,MATCH((AO$24-($B$36-$B$35)),$C$24:$BK$24))))</f>
        <v>0</v>
      </c>
      <c r="AP34" s="2197">
        <f>+IF(AP$24&lt;=$B$36,SUM($D33:INDEX($C33:$XFD33,1+$B$35))/$B$36,IF(AP$24&gt;=$C$4,(1-SUM($C$34:AO34)),INDEX($C$33:$BK$33,MATCH((AP$24-($B$36-$B$35)),$C$24:$BK$24))))</f>
        <v>0</v>
      </c>
      <c r="AQ34" s="2197">
        <f>+IF(AQ$24&lt;=$B$36,SUM($D33:INDEX($C33:$XFD33,1+$B$35))/$B$36,IF(AQ$24&gt;=$C$4,(1-SUM($C$34:AP34)),INDEX($C$33:$BK$33,MATCH((AQ$24-($B$36-$B$35)),$C$24:$BK$24))))</f>
        <v>0</v>
      </c>
      <c r="AR34" s="2197">
        <f>+IF(AR$24&lt;=$B$36,SUM($D33:INDEX($C33:$XFD33,1+$B$35))/$B$36,IF(AR$24&gt;=$C$4,(1-SUM($C$34:AQ34)),INDEX($C$33:$BK$33,MATCH((AR$24-($B$36-$B$35)),$C$24:$BK$24))))</f>
        <v>0</v>
      </c>
      <c r="AS34" s="2197">
        <f>+IF(AS$24&lt;=$B$36,SUM($D33:INDEX($C33:$XFD33,1+$B$35))/$B$36,IF(AS$24&gt;=$C$4,(1-SUM($C$34:AR34)),INDEX($C$33:$BK$33,MATCH((AS$24-($B$36-$B$35)),$C$24:$BK$24))))</f>
        <v>0</v>
      </c>
      <c r="AT34" s="2197">
        <f>+IF(AT$24&lt;=$B$36,SUM($D33:INDEX($C33:$XFD33,1+$B$35))/$B$36,IF(AT$24&gt;=$C$4,(1-SUM($C$34:AS34)),INDEX($C$33:$BK$33,MATCH((AT$24-($B$36-$B$35)),$C$24:$BK$24))))</f>
        <v>0</v>
      </c>
      <c r="AU34" s="2197">
        <f>+IF(AU$24&lt;=$B$36,SUM($D33:INDEX($C33:$XFD33,1+$B$35))/$B$36,IF(AU$24&gt;=$C$4,(1-SUM($C$34:AT34)),INDEX($C$33:$BK$33,MATCH((AU$24-($B$36-$B$35)),$C$24:$BK$24))))</f>
        <v>0</v>
      </c>
      <c r="AV34" s="2197">
        <f>+IF(AV$24&lt;=$B$36,SUM($D33:INDEX($C33:$XFD33,1+$B$35))/$B$36,IF(AV$24&gt;=$C$4,(1-SUM($C$34:AU34)),INDEX($C$33:$BK$33,MATCH((AV$24-($B$36-$B$35)),$C$24:$BK$24))))</f>
        <v>0</v>
      </c>
      <c r="AW34" s="2197">
        <f>+IF(AW$24&lt;=$B$36,SUM($D33:INDEX($C33:$XFD33,1+$B$35))/$B$36,IF(AW$24&gt;=$C$4,(1-SUM($C$34:AV34)),INDEX($C$33:$BK$33,MATCH((AW$24-($B$36-$B$35)),$C$24:$BK$24))))</f>
        <v>0</v>
      </c>
      <c r="AX34" s="2197">
        <f>+IF(AX$24&lt;=$B$36,SUM($D33:INDEX($C33:$XFD33,1+$B$35))/$B$36,IF(AX$24&gt;=$C$4,(1-SUM($C$34:AW34)),INDEX($C$33:$BK$33,MATCH((AX$24-($B$36-$B$35)),$C$24:$BK$24))))</f>
        <v>0</v>
      </c>
      <c r="AY34" s="2197">
        <f>+IF(AY$24&lt;=$B$36,SUM($D33:INDEX($C33:$XFD33,1+$B$35))/$B$36,IF(AY$24&gt;=$C$4,(1-SUM($C$34:AX34)),INDEX($C$33:$BK$33,MATCH((AY$24-($B$36-$B$35)),$C$24:$BK$24))))</f>
        <v>0</v>
      </c>
      <c r="AZ34" s="2197">
        <f>+IF(AZ$24&lt;=$B$36,SUM($D33:INDEX($C33:$XFD33,1+$B$35))/$B$36,IF(AZ$24&gt;=$C$4,(1-SUM($C$34:AY34)),INDEX($C$33:$BK$33,MATCH((AZ$24-($B$36-$B$35)),$C$24:$BK$24))))</f>
        <v>0</v>
      </c>
      <c r="BA34" s="2197">
        <f>+IF(BA$24&lt;=$B$36,SUM($D33:INDEX($C33:$XFD33,1+$B$35))/$B$36,IF(BA$24&gt;=$C$4,(1-SUM($C$34:AZ34)),INDEX($C$33:$BK$33,MATCH((BA$24-($B$36-$B$35)),$C$24:$BK$24))))</f>
        <v>0</v>
      </c>
      <c r="BB34" s="2197">
        <f>+IF(BB$24&lt;=$B$36,SUM($D33:INDEX($C33:$XFD33,1+$B$35))/$B$36,IF(BB$24&gt;=$C$4,(1-SUM($C$34:BA34)),INDEX($C$33:$BK$33,MATCH((BB$24-($B$36-$B$35)),$C$24:$BK$24))))</f>
        <v>0</v>
      </c>
      <c r="BC34" s="2197">
        <f>+IF(BC$24&lt;=$B$36,SUM($D33:INDEX($C33:$XFD33,1+$B$35))/$B$36,IF(BC$24&gt;=$C$4,(1-SUM($C$34:BB34)),INDEX($C$33:$BK$33,MATCH((BC$24-($B$36-$B$35)),$C$24:$BK$24))))</f>
        <v>0</v>
      </c>
      <c r="BD34" s="2197">
        <f>+IF(BD$24&lt;=$B$36,SUM($D33:INDEX($C33:$XFD33,1+$B$35))/$B$36,IF(BD$24&gt;=$C$4,(1-SUM($C$34:BC34)),INDEX($C$33:$BK$33,MATCH((BD$24-($B$36-$B$35)),$C$24:$BK$24))))</f>
        <v>0</v>
      </c>
      <c r="BE34" s="2197">
        <f>+IF(BE$24&lt;=$B$36,SUM($D33:INDEX($C33:$XFD33,1+$B$35))/$B$36,IF(BE$24&gt;=$C$4,(1-SUM($C$34:BD34)),INDEX($C$33:$BK$33,MATCH((BE$24-($B$36-$B$35)),$C$24:$BK$24))))</f>
        <v>0</v>
      </c>
      <c r="BF34" s="2197">
        <f>+IF(BF$24&lt;=$B$36,SUM($D33:INDEX($C33:$XFD33,1+$B$35))/$B$36,IF(BF$24&gt;=$C$4,(1-SUM($C$34:BE34)),INDEX($C$33:$BK$33,MATCH((BF$24-($B$36-$B$35)),$C$24:$BK$24))))</f>
        <v>0</v>
      </c>
      <c r="BG34" s="2197">
        <f>+IF(BG$24&lt;=$B$36,SUM($D33:INDEX($C33:$XFD33,1+$B$35))/$B$36,IF(BG$24&gt;=$C$4,(1-SUM($C$34:BF34)),INDEX($C$33:$BK$33,MATCH((BG$24-($B$36-$B$35)),$C$24:$BK$24))))</f>
        <v>0</v>
      </c>
      <c r="BH34" s="2197">
        <f>+IF(BH$24&lt;=$B$36,SUM($D33:INDEX($C33:$XFD33,1+$B$35))/$B$36,IF(BH$24&gt;=$C$4,(1-SUM($C$34:BG34)),INDEX($C$33:$BK$33,MATCH((BH$24-($B$36-$B$35)),$C$24:$BK$24))))</f>
        <v>0</v>
      </c>
      <c r="BI34" s="2197">
        <f>+IF(BI$24&lt;=$B$36,SUM($D33:INDEX($C33:$XFD33,1+$B$35))/$B$36,IF(BI$24&gt;=$C$4,(1-SUM($C$34:BH34)),INDEX($C$33:$BK$33,MATCH((BI$24-($B$36-$B$35)),$C$24:$BK$24))))</f>
        <v>0</v>
      </c>
      <c r="BJ34" s="2197">
        <f>+IF(BJ$24&lt;=$B$36,SUM($D33:INDEX($C33:$XFD33,1+$B$35))/$B$36,IF(BJ$24&gt;=$C$4,(1-SUM($C$34:BI34)),INDEX($C$33:$BK$33,MATCH((BJ$24-($B$36-$B$35)),$C$24:$BK$24))))</f>
        <v>0</v>
      </c>
      <c r="BK34" s="2197">
        <f>+IF(BK$24&lt;=$B$36,SUM($D33:INDEX($C33:$XFD33,1+$B$35))/$B$36,IF(BK$24&gt;=$C$4,(1-SUM($C$34:BJ34)),INDEX($C$33:$BK$33,MATCH((BK$24-($B$36-$B$35)),$C$24:$BK$24))))</f>
        <v>0</v>
      </c>
    </row>
    <row r="35" spans="1:63" hidden="1" x14ac:dyDescent="0.3">
      <c r="A35" s="3" t="s">
        <v>2228</v>
      </c>
      <c r="B35" s="3">
        <f>+C6</f>
        <v>0</v>
      </c>
      <c r="AF35" s="2198"/>
      <c r="AG35" s="2198"/>
      <c r="AH35" s="2198"/>
    </row>
    <row r="36" spans="1:63" hidden="1" x14ac:dyDescent="0.3">
      <c r="A36" s="3" t="s">
        <v>2229</v>
      </c>
      <c r="B36" s="3">
        <f>+C7</f>
        <v>0</v>
      </c>
    </row>
    <row r="37" spans="1:63" hidden="1" x14ac:dyDescent="0.3"/>
    <row r="39" spans="1:63" s="2347" customFormat="1" x14ac:dyDescent="0.3">
      <c r="B39" s="2347" t="s">
        <v>2230</v>
      </c>
    </row>
    <row r="40" spans="1:63" x14ac:dyDescent="0.3">
      <c r="B40" s="2346" t="s">
        <v>2231</v>
      </c>
      <c r="C40" s="2346" t="s">
        <v>633</v>
      </c>
    </row>
    <row r="41" spans="1:63" x14ac:dyDescent="0.3">
      <c r="B41" s="2308" t="s">
        <v>2232</v>
      </c>
      <c r="C41" s="2166">
        <v>26</v>
      </c>
    </row>
    <row r="42" spans="1:63" x14ac:dyDescent="0.3">
      <c r="B42" s="2206" t="s">
        <v>2233</v>
      </c>
      <c r="C42" s="2201">
        <f>+C41/$C$4</f>
        <v>1.04</v>
      </c>
    </row>
    <row r="44" spans="1:63" x14ac:dyDescent="0.3">
      <c r="A44" s="2199" t="s">
        <v>1979</v>
      </c>
      <c r="B44" s="2445" t="s">
        <v>2234</v>
      </c>
    </row>
    <row r="45" spans="1:63" x14ac:dyDescent="0.3">
      <c r="B45" s="2444" t="s">
        <v>1954</v>
      </c>
      <c r="C45" s="2443">
        <v>0</v>
      </c>
      <c r="D45" s="2443">
        <f>+IF(D46&gt;0,C45+1,"")</f>
        <v>1</v>
      </c>
      <c r="E45" s="2443">
        <f t="shared" ref="E45:BK45" si="13">+IF(E46&gt;0,D45+1,"")</f>
        <v>2</v>
      </c>
      <c r="F45" s="2443">
        <f t="shared" si="13"/>
        <v>3</v>
      </c>
      <c r="G45" s="2443">
        <f t="shared" si="13"/>
        <v>4</v>
      </c>
      <c r="H45" s="2443">
        <f t="shared" si="13"/>
        <v>5</v>
      </c>
      <c r="I45" s="2443">
        <f t="shared" si="13"/>
        <v>6</v>
      </c>
      <c r="J45" s="2443">
        <f t="shared" si="13"/>
        <v>7</v>
      </c>
      <c r="K45" s="2443">
        <f t="shared" si="13"/>
        <v>8</v>
      </c>
      <c r="L45" s="2443">
        <f t="shared" si="13"/>
        <v>9</v>
      </c>
      <c r="M45" s="2443">
        <f t="shared" si="13"/>
        <v>10</v>
      </c>
      <c r="N45" s="2443">
        <f t="shared" si="13"/>
        <v>11</v>
      </c>
      <c r="O45" s="2443">
        <f t="shared" si="13"/>
        <v>12</v>
      </c>
      <c r="P45" s="2443">
        <f t="shared" si="13"/>
        <v>13</v>
      </c>
      <c r="Q45" s="2443">
        <f t="shared" si="13"/>
        <v>14</v>
      </c>
      <c r="R45" s="2443">
        <f t="shared" si="13"/>
        <v>15</v>
      </c>
      <c r="S45" s="2443">
        <f t="shared" si="13"/>
        <v>16</v>
      </c>
      <c r="T45" s="2443">
        <f t="shared" si="13"/>
        <v>17</v>
      </c>
      <c r="U45" s="2443">
        <f t="shared" si="13"/>
        <v>18</v>
      </c>
      <c r="V45" s="2443">
        <f t="shared" si="13"/>
        <v>19</v>
      </c>
      <c r="W45" s="2443">
        <f t="shared" si="13"/>
        <v>20</v>
      </c>
      <c r="X45" s="2443">
        <f t="shared" si="13"/>
        <v>21</v>
      </c>
      <c r="Y45" s="2443">
        <f t="shared" si="13"/>
        <v>22</v>
      </c>
      <c r="Z45" s="2443">
        <f t="shared" si="13"/>
        <v>23</v>
      </c>
      <c r="AA45" s="2443">
        <f t="shared" si="13"/>
        <v>24</v>
      </c>
      <c r="AB45" s="2443">
        <f t="shared" si="13"/>
        <v>25</v>
      </c>
      <c r="AC45" s="2443">
        <f t="shared" si="13"/>
        <v>26</v>
      </c>
      <c r="AD45" s="2443" t="str">
        <f t="shared" si="13"/>
        <v/>
      </c>
      <c r="AE45" s="2443" t="str">
        <f t="shared" si="13"/>
        <v/>
      </c>
      <c r="AF45" s="2443" t="str">
        <f t="shared" si="13"/>
        <v/>
      </c>
      <c r="AG45" s="2443" t="str">
        <f t="shared" si="13"/>
        <v/>
      </c>
      <c r="AH45" s="2443" t="str">
        <f t="shared" si="13"/>
        <v/>
      </c>
      <c r="AI45" s="2443" t="str">
        <f t="shared" si="13"/>
        <v/>
      </c>
      <c r="AJ45" s="2443" t="str">
        <f t="shared" si="13"/>
        <v/>
      </c>
      <c r="AK45" s="2443" t="str">
        <f t="shared" si="13"/>
        <v/>
      </c>
      <c r="AL45" s="2443" t="str">
        <f t="shared" si="13"/>
        <v/>
      </c>
      <c r="AM45" s="2443" t="str">
        <f t="shared" si="13"/>
        <v/>
      </c>
      <c r="AN45" s="2443" t="str">
        <f t="shared" si="13"/>
        <v/>
      </c>
      <c r="AO45" s="2443" t="str">
        <f t="shared" si="13"/>
        <v/>
      </c>
      <c r="AP45" s="2443" t="str">
        <f t="shared" si="13"/>
        <v/>
      </c>
      <c r="AQ45" s="2443" t="str">
        <f t="shared" si="13"/>
        <v/>
      </c>
      <c r="AR45" s="2443" t="str">
        <f t="shared" si="13"/>
        <v/>
      </c>
      <c r="AS45" s="2443" t="str">
        <f t="shared" si="13"/>
        <v/>
      </c>
      <c r="AT45" s="2443" t="str">
        <f t="shared" si="13"/>
        <v/>
      </c>
      <c r="AU45" s="2443" t="str">
        <f t="shared" si="13"/>
        <v/>
      </c>
      <c r="AV45" s="2443" t="str">
        <f t="shared" si="13"/>
        <v/>
      </c>
      <c r="AW45" s="2443" t="str">
        <f t="shared" si="13"/>
        <v/>
      </c>
      <c r="AX45" s="2443" t="str">
        <f t="shared" si="13"/>
        <v/>
      </c>
      <c r="AY45" s="2443" t="str">
        <f t="shared" si="13"/>
        <v/>
      </c>
      <c r="AZ45" s="2443" t="str">
        <f t="shared" si="13"/>
        <v/>
      </c>
      <c r="BA45" s="2443" t="str">
        <f t="shared" si="13"/>
        <v/>
      </c>
      <c r="BB45" s="2443" t="str">
        <f t="shared" si="13"/>
        <v/>
      </c>
      <c r="BC45" s="2443" t="str">
        <f t="shared" si="13"/>
        <v/>
      </c>
      <c r="BD45" s="2443" t="str">
        <f t="shared" si="13"/>
        <v/>
      </c>
      <c r="BE45" s="2443" t="str">
        <f t="shared" si="13"/>
        <v/>
      </c>
      <c r="BF45" s="2443" t="str">
        <f t="shared" si="13"/>
        <v/>
      </c>
      <c r="BG45" s="2443" t="str">
        <f t="shared" si="13"/>
        <v/>
      </c>
      <c r="BH45" s="2443" t="str">
        <f t="shared" si="13"/>
        <v/>
      </c>
      <c r="BI45" s="2443" t="str">
        <f t="shared" si="13"/>
        <v/>
      </c>
      <c r="BJ45" s="2443" t="str">
        <f t="shared" si="13"/>
        <v/>
      </c>
      <c r="BK45" s="2443" t="str">
        <f t="shared" si="13"/>
        <v/>
      </c>
    </row>
    <row r="46" spans="1:63" x14ac:dyDescent="0.3">
      <c r="B46" s="2206" t="s">
        <v>2235</v>
      </c>
      <c r="C46" s="2161">
        <v>0</v>
      </c>
      <c r="D46" s="2161">
        <v>1.5547993994459569E-3</v>
      </c>
      <c r="E46" s="2161">
        <v>5.7259349332938417E-3</v>
      </c>
      <c r="F46" s="2161">
        <v>9.4986165634183186E-3</v>
      </c>
      <c r="G46" s="2161">
        <v>1.6523806469115634E-2</v>
      </c>
      <c r="H46" s="2161">
        <v>3.2763486615852599E-2</v>
      </c>
      <c r="I46" s="2161">
        <v>3.1488914059811406E-2</v>
      </c>
      <c r="J46" s="2161">
        <v>4.0371884310943427E-2</v>
      </c>
      <c r="K46" s="2161">
        <v>5.1538835103932472E-2</v>
      </c>
      <c r="L46" s="2161">
        <v>5.268206806596256E-2</v>
      </c>
      <c r="M46" s="2161">
        <v>6.1461166481569969E-2</v>
      </c>
      <c r="N46" s="2161">
        <v>6.3633304824285405E-2</v>
      </c>
      <c r="O46" s="2161">
        <v>6.8160042844561064E-2</v>
      </c>
      <c r="P46" s="2161">
        <v>6.3587110996440724E-2</v>
      </c>
      <c r="Q46" s="2161">
        <v>5.9997340641042632E-2</v>
      </c>
      <c r="R46" s="2161">
        <v>5.9614206119002415E-2</v>
      </c>
      <c r="S46" s="2161">
        <v>5.7899356675957282E-2</v>
      </c>
      <c r="T46" s="2161">
        <v>5.081376769758178E-2</v>
      </c>
      <c r="U46" s="2161">
        <v>4.6351349654666855E-2</v>
      </c>
      <c r="V46" s="2161">
        <v>4.8579151988449316E-2</v>
      </c>
      <c r="W46" s="2161">
        <v>4.2960559855481022E-2</v>
      </c>
      <c r="X46" s="2161">
        <v>3.5669219796960555E-2</v>
      </c>
      <c r="Y46" s="2161">
        <v>3.1159300957973431E-2</v>
      </c>
      <c r="Z46" s="2161">
        <v>2.6300421602239346E-2</v>
      </c>
      <c r="AA46" s="2161">
        <v>1.7566745688965303E-2</v>
      </c>
      <c r="AB46" s="2161">
        <v>1.4760856310156159E-2</v>
      </c>
      <c r="AC46" s="2161">
        <v>9.337752342890528E-3</v>
      </c>
      <c r="AD46" s="2161"/>
      <c r="AE46" s="2161"/>
      <c r="AF46" s="2161"/>
      <c r="AG46" s="2161"/>
      <c r="AH46" s="2161"/>
      <c r="AI46" s="2161"/>
      <c r="AJ46" s="2161"/>
      <c r="AK46" s="2161"/>
      <c r="AL46" s="2161"/>
      <c r="AM46" s="2161"/>
      <c r="AN46" s="2161"/>
      <c r="AO46" s="2161"/>
      <c r="AP46" s="2161"/>
      <c r="AQ46" s="2161"/>
      <c r="AR46" s="2161"/>
      <c r="AS46" s="2161"/>
      <c r="AT46" s="2161"/>
      <c r="AU46" s="2161"/>
      <c r="AV46" s="2161"/>
      <c r="AW46" s="2161"/>
      <c r="AX46" s="2161"/>
      <c r="AY46" s="2161"/>
      <c r="AZ46" s="2161"/>
      <c r="BA46" s="2161"/>
      <c r="BB46" s="2161"/>
      <c r="BC46" s="2161"/>
      <c r="BD46" s="2161"/>
      <c r="BE46" s="2161"/>
      <c r="BF46" s="2161"/>
      <c r="BG46" s="2161"/>
      <c r="BH46" s="2161"/>
      <c r="BI46" s="2161"/>
      <c r="BJ46" s="2161"/>
      <c r="BK46" s="2161"/>
    </row>
    <row r="47" spans="1:63" x14ac:dyDescent="0.3">
      <c r="B47" s="2206" t="s">
        <v>2236</v>
      </c>
      <c r="C47" s="2197">
        <f>+SUM($C$46:C46)</f>
        <v>0</v>
      </c>
      <c r="D47" s="2197">
        <f>+SUM($C$46:D46)</f>
        <v>1.5547993994459569E-3</v>
      </c>
      <c r="E47" s="2197">
        <f>+SUM($C$46:E46)</f>
        <v>7.2807343327397989E-3</v>
      </c>
      <c r="F47" s="2197">
        <f>+SUM($C$46:F46)</f>
        <v>1.6779350896158118E-2</v>
      </c>
      <c r="G47" s="2197">
        <f>+SUM($C$46:G46)</f>
        <v>3.3303157365273756E-2</v>
      </c>
      <c r="H47" s="2197">
        <f>+SUM($C$46:H46)</f>
        <v>6.6066643981126355E-2</v>
      </c>
      <c r="I47" s="2197">
        <f>+SUM($C$46:I46)</f>
        <v>9.7555558040937768E-2</v>
      </c>
      <c r="J47" s="2197">
        <f>+SUM($C$46:J46)</f>
        <v>0.1379274423518812</v>
      </c>
      <c r="K47" s="2197">
        <f>+SUM($C$46:K46)</f>
        <v>0.18946627745581368</v>
      </c>
      <c r="L47" s="2197">
        <f>+SUM($C$46:L46)</f>
        <v>0.24214834552177625</v>
      </c>
      <c r="M47" s="2197">
        <f>+SUM($C$46:M46)</f>
        <v>0.30360951200334624</v>
      </c>
      <c r="N47" s="2197">
        <f>+SUM($C$46:N46)</f>
        <v>0.36724281682763166</v>
      </c>
      <c r="O47" s="2197">
        <f>+SUM($C$46:O46)</f>
        <v>0.43540285967219272</v>
      </c>
      <c r="P47" s="2197">
        <f>+SUM($C$46:P46)</f>
        <v>0.49898997066863343</v>
      </c>
      <c r="Q47" s="2197">
        <f>+SUM($C$46:Q46)</f>
        <v>0.55898731130967605</v>
      </c>
      <c r="R47" s="2197">
        <f>+SUM($C$46:R46)</f>
        <v>0.61860151742867842</v>
      </c>
      <c r="S47" s="2197">
        <f>+SUM($C$46:S46)</f>
        <v>0.67650087410463566</v>
      </c>
      <c r="T47" s="2197">
        <f>+SUM($C$46:T46)</f>
        <v>0.72731464180221739</v>
      </c>
      <c r="U47" s="2197">
        <f>+SUM($C$46:U46)</f>
        <v>0.77366599145688419</v>
      </c>
      <c r="V47" s="2197">
        <f>+SUM($C$46:V46)</f>
        <v>0.8222451434453335</v>
      </c>
      <c r="W47" s="2197">
        <f>+SUM($C$46:W46)</f>
        <v>0.86520570330081448</v>
      </c>
      <c r="X47" s="2197">
        <f>+SUM($C$46:X46)</f>
        <v>0.90087492309777506</v>
      </c>
      <c r="Y47" s="2197">
        <f>+SUM($C$46:Y46)</f>
        <v>0.93203422405574854</v>
      </c>
      <c r="Z47" s="2197">
        <f>+SUM($C$46:Z46)</f>
        <v>0.95833464565798787</v>
      </c>
      <c r="AA47" s="2197">
        <f>+SUM($C$46:AA46)</f>
        <v>0.9759013913469532</v>
      </c>
      <c r="AB47" s="2197">
        <f>+SUM($C$46:AB46)</f>
        <v>0.99066224765710931</v>
      </c>
      <c r="AC47" s="2197">
        <f>+SUM($C$46:AC46)</f>
        <v>0.99999999999999989</v>
      </c>
      <c r="AD47" s="2197">
        <f>+SUM($C$46:AD46)</f>
        <v>0.99999999999999989</v>
      </c>
      <c r="AE47" s="2197">
        <f>+SUM($C$46:AE46)</f>
        <v>0.99999999999999989</v>
      </c>
      <c r="AF47" s="2197">
        <f>+SUM($C$46:AF46)</f>
        <v>0.99999999999999989</v>
      </c>
      <c r="AG47" s="2197">
        <f>+SUM($C$46:AG46)</f>
        <v>0.99999999999999989</v>
      </c>
      <c r="AH47" s="2197">
        <f>+SUM($C$46:AH46)</f>
        <v>0.99999999999999989</v>
      </c>
      <c r="AI47" s="2197">
        <f>+SUM($C$46:AI46)</f>
        <v>0.99999999999999989</v>
      </c>
      <c r="AJ47" s="2197">
        <f>+SUM($C$46:AJ46)</f>
        <v>0.99999999999999989</v>
      </c>
      <c r="AK47" s="2197">
        <f>+SUM($C$46:AK46)</f>
        <v>0.99999999999999989</v>
      </c>
      <c r="AL47" s="2197">
        <f>+SUM($C$46:AL46)</f>
        <v>0.99999999999999989</v>
      </c>
      <c r="AM47" s="2197">
        <f>+SUM($C$46:AM46)</f>
        <v>0.99999999999999989</v>
      </c>
      <c r="AN47" s="2197">
        <f>+SUM($C$46:AN46)</f>
        <v>0.99999999999999989</v>
      </c>
      <c r="AO47" s="2197">
        <f>+SUM($C$46:AO46)</f>
        <v>0.99999999999999989</v>
      </c>
      <c r="AP47" s="2197">
        <f>+SUM($C$46:AP46)</f>
        <v>0.99999999999999989</v>
      </c>
      <c r="AQ47" s="2197">
        <f>+SUM($C$46:AQ46)</f>
        <v>0.99999999999999989</v>
      </c>
      <c r="AR47" s="2197">
        <f>+SUM($C$46:AR46)</f>
        <v>0.99999999999999989</v>
      </c>
      <c r="AS47" s="2197">
        <f>+SUM($C$46:AS46)</f>
        <v>0.99999999999999989</v>
      </c>
      <c r="AT47" s="2197">
        <f>+SUM($C$46:AT46)</f>
        <v>0.99999999999999989</v>
      </c>
      <c r="AU47" s="2197">
        <f>+SUM($C$46:AU46)</f>
        <v>0.99999999999999989</v>
      </c>
      <c r="AV47" s="2197">
        <f>+SUM($C$46:AV46)</f>
        <v>0.99999999999999989</v>
      </c>
      <c r="AW47" s="2197">
        <f>+SUM($C$46:AW46)</f>
        <v>0.99999999999999989</v>
      </c>
      <c r="AX47" s="2197">
        <f>+SUM($C$46:AX46)</f>
        <v>0.99999999999999989</v>
      </c>
      <c r="AY47" s="2197">
        <f>+SUM($C$46:AY46)</f>
        <v>0.99999999999999989</v>
      </c>
      <c r="AZ47" s="2197">
        <f>+SUM($C$46:AZ46)</f>
        <v>0.99999999999999989</v>
      </c>
      <c r="BA47" s="2197">
        <f>+SUM($C$46:BA46)</f>
        <v>0.99999999999999989</v>
      </c>
      <c r="BB47" s="2197">
        <f>+SUM($C$46:BB46)</f>
        <v>0.99999999999999989</v>
      </c>
      <c r="BC47" s="2197">
        <f>+SUM($C$46:BC46)</f>
        <v>0.99999999999999989</v>
      </c>
      <c r="BD47" s="2197">
        <f>+SUM($C$46:BD46)</f>
        <v>0.99999999999999989</v>
      </c>
      <c r="BE47" s="2197">
        <f>+SUM($C$46:BE46)</f>
        <v>0.99999999999999989</v>
      </c>
      <c r="BF47" s="2197">
        <f>+SUM($C$46:BF46)</f>
        <v>0.99999999999999989</v>
      </c>
      <c r="BG47" s="2197">
        <f>+SUM($C$46:BG46)</f>
        <v>0.99999999999999989</v>
      </c>
      <c r="BH47" s="2197">
        <f>+SUM($C$46:BH46)</f>
        <v>0.99999999999999989</v>
      </c>
      <c r="BI47" s="2197">
        <f>+SUM($C$46:BI46)</f>
        <v>0.99999999999999989</v>
      </c>
      <c r="BJ47" s="2197">
        <f>+SUM($C$46:BJ46)</f>
        <v>0.99999999999999989</v>
      </c>
      <c r="BK47" s="2197">
        <f>+SUM($C$46:BK46)</f>
        <v>0.99999999999999989</v>
      </c>
    </row>
    <row r="49" spans="2:63" x14ac:dyDescent="0.3">
      <c r="B49" s="2206" t="s">
        <v>2237</v>
      </c>
      <c r="C49" s="2446">
        <v>0</v>
      </c>
      <c r="D49" s="2446">
        <v>1</v>
      </c>
      <c r="E49" s="2446">
        <v>2</v>
      </c>
      <c r="F49" s="2446">
        <v>3</v>
      </c>
      <c r="G49" s="2446">
        <v>4</v>
      </c>
      <c r="H49" s="2446">
        <v>5</v>
      </c>
      <c r="I49" s="2446">
        <v>6</v>
      </c>
      <c r="J49" s="2446">
        <v>7</v>
      </c>
      <c r="K49" s="2446">
        <v>8</v>
      </c>
      <c r="L49" s="2446">
        <v>9</v>
      </c>
      <c r="M49" s="2446">
        <v>10</v>
      </c>
      <c r="N49" s="2446">
        <v>11</v>
      </c>
      <c r="O49" s="2446">
        <v>12</v>
      </c>
      <c r="P49" s="2446">
        <v>13</v>
      </c>
      <c r="Q49" s="2446">
        <v>14</v>
      </c>
      <c r="R49" s="2446">
        <v>15</v>
      </c>
      <c r="S49" s="2446">
        <v>16</v>
      </c>
      <c r="T49" s="2446">
        <v>17</v>
      </c>
      <c r="U49" s="2446">
        <v>18</v>
      </c>
      <c r="V49" s="2446">
        <v>19</v>
      </c>
      <c r="W49" s="2446">
        <v>20</v>
      </c>
      <c r="X49" s="2446">
        <v>21</v>
      </c>
      <c r="Y49" s="2446">
        <v>22</v>
      </c>
      <c r="Z49" s="2446">
        <v>23</v>
      </c>
      <c r="AA49" s="2446">
        <v>24</v>
      </c>
      <c r="AB49" s="2446">
        <v>25</v>
      </c>
      <c r="AC49" s="2446">
        <v>26</v>
      </c>
      <c r="AD49" s="2446">
        <v>27</v>
      </c>
      <c r="AE49" s="2446">
        <v>28</v>
      </c>
      <c r="AF49" s="2446">
        <v>29</v>
      </c>
      <c r="AG49" s="2446">
        <v>30</v>
      </c>
      <c r="AH49" s="2446">
        <v>31</v>
      </c>
      <c r="AI49" s="2446">
        <v>32</v>
      </c>
      <c r="AJ49" s="2446">
        <v>33</v>
      </c>
      <c r="AK49" s="2446">
        <v>34</v>
      </c>
      <c r="AL49" s="2446">
        <v>35</v>
      </c>
      <c r="AM49" s="2446">
        <v>36</v>
      </c>
      <c r="AN49" s="2446">
        <v>37</v>
      </c>
      <c r="AO49" s="2446">
        <v>38</v>
      </c>
      <c r="AP49" s="2446">
        <v>39</v>
      </c>
      <c r="AQ49" s="2446">
        <v>40</v>
      </c>
      <c r="AR49" s="2446">
        <v>41</v>
      </c>
      <c r="AS49" s="2446">
        <v>42</v>
      </c>
      <c r="AT49" s="2446">
        <v>43</v>
      </c>
      <c r="AU49" s="2446">
        <v>44</v>
      </c>
      <c r="AV49" s="2446">
        <v>45</v>
      </c>
      <c r="AW49" s="2446">
        <v>46</v>
      </c>
      <c r="AX49" s="2446">
        <v>47</v>
      </c>
      <c r="AY49" s="2446">
        <v>48</v>
      </c>
      <c r="AZ49" s="2446">
        <v>49</v>
      </c>
      <c r="BA49" s="2446">
        <v>50</v>
      </c>
      <c r="BB49" s="2446">
        <v>51</v>
      </c>
      <c r="BC49" s="2446">
        <v>52</v>
      </c>
      <c r="BD49" s="2446">
        <v>53</v>
      </c>
      <c r="BE49" s="2446">
        <v>54</v>
      </c>
      <c r="BF49" s="2446">
        <v>55</v>
      </c>
      <c r="BG49" s="2446">
        <v>56</v>
      </c>
      <c r="BH49" s="2446">
        <v>57</v>
      </c>
      <c r="BI49" s="2446">
        <v>58</v>
      </c>
      <c r="BJ49" s="2446">
        <v>59</v>
      </c>
      <c r="BK49" s="2446">
        <v>60</v>
      </c>
    </row>
    <row r="50" spans="2:63" x14ac:dyDescent="0.3">
      <c r="B50" s="2206" t="s">
        <v>2238</v>
      </c>
      <c r="C50" s="2446"/>
      <c r="D50" s="2446">
        <f>+(D49-1)*$C$42</f>
        <v>0</v>
      </c>
      <c r="E50" s="2446">
        <f>+(E49-1)*$C$42</f>
        <v>1.04</v>
      </c>
      <c r="F50" s="2446">
        <f t="shared" ref="F50:BK50" si="14">+(F49-1)*$C$42</f>
        <v>2.08</v>
      </c>
      <c r="G50" s="2446">
        <f t="shared" si="14"/>
        <v>3.12</v>
      </c>
      <c r="H50" s="2446">
        <f t="shared" si="14"/>
        <v>4.16</v>
      </c>
      <c r="I50" s="2446">
        <f t="shared" si="14"/>
        <v>5.2</v>
      </c>
      <c r="J50" s="2446">
        <f t="shared" si="14"/>
        <v>6.24</v>
      </c>
      <c r="K50" s="2446">
        <f t="shared" si="14"/>
        <v>7.28</v>
      </c>
      <c r="L50" s="2446">
        <f t="shared" si="14"/>
        <v>8.32</v>
      </c>
      <c r="M50" s="2446">
        <f t="shared" si="14"/>
        <v>9.36</v>
      </c>
      <c r="N50" s="2446">
        <f t="shared" si="14"/>
        <v>10.4</v>
      </c>
      <c r="O50" s="2446">
        <f t="shared" si="14"/>
        <v>11.440000000000001</v>
      </c>
      <c r="P50" s="2446">
        <f t="shared" si="14"/>
        <v>12.48</v>
      </c>
      <c r="Q50" s="2446">
        <f t="shared" si="14"/>
        <v>13.52</v>
      </c>
      <c r="R50" s="2446">
        <f t="shared" si="14"/>
        <v>14.56</v>
      </c>
      <c r="S50" s="2446">
        <f t="shared" si="14"/>
        <v>15.600000000000001</v>
      </c>
      <c r="T50" s="2446">
        <f t="shared" si="14"/>
        <v>16.64</v>
      </c>
      <c r="U50" s="2446">
        <f t="shared" si="14"/>
        <v>17.68</v>
      </c>
      <c r="V50" s="2446">
        <f t="shared" si="14"/>
        <v>18.72</v>
      </c>
      <c r="W50" s="2446">
        <f t="shared" si="14"/>
        <v>19.760000000000002</v>
      </c>
      <c r="X50" s="2446">
        <f t="shared" si="14"/>
        <v>20.8</v>
      </c>
      <c r="Y50" s="2446">
        <f t="shared" si="14"/>
        <v>21.84</v>
      </c>
      <c r="Z50" s="2446">
        <f t="shared" si="14"/>
        <v>22.880000000000003</v>
      </c>
      <c r="AA50" s="2446">
        <f t="shared" si="14"/>
        <v>23.92</v>
      </c>
      <c r="AB50" s="2446">
        <f t="shared" si="14"/>
        <v>24.96</v>
      </c>
      <c r="AC50" s="2446">
        <f t="shared" si="14"/>
        <v>26</v>
      </c>
      <c r="AD50" s="2446">
        <f t="shared" si="14"/>
        <v>27.04</v>
      </c>
      <c r="AE50" s="2446">
        <f t="shared" si="14"/>
        <v>28.080000000000002</v>
      </c>
      <c r="AF50" s="2446">
        <f t="shared" si="14"/>
        <v>29.12</v>
      </c>
      <c r="AG50" s="2446">
        <f t="shared" si="14"/>
        <v>30.16</v>
      </c>
      <c r="AH50" s="2446">
        <f t="shared" si="14"/>
        <v>31.200000000000003</v>
      </c>
      <c r="AI50" s="2446">
        <f t="shared" si="14"/>
        <v>32.24</v>
      </c>
      <c r="AJ50" s="2446">
        <f t="shared" si="14"/>
        <v>33.28</v>
      </c>
      <c r="AK50" s="2446">
        <f t="shared" si="14"/>
        <v>34.32</v>
      </c>
      <c r="AL50" s="2446">
        <f t="shared" si="14"/>
        <v>35.36</v>
      </c>
      <c r="AM50" s="2446">
        <f t="shared" si="14"/>
        <v>36.4</v>
      </c>
      <c r="AN50" s="2446">
        <f t="shared" si="14"/>
        <v>37.44</v>
      </c>
      <c r="AO50" s="2446">
        <f t="shared" si="14"/>
        <v>38.480000000000004</v>
      </c>
      <c r="AP50" s="2446">
        <f t="shared" si="14"/>
        <v>39.520000000000003</v>
      </c>
      <c r="AQ50" s="2446">
        <f t="shared" si="14"/>
        <v>40.56</v>
      </c>
      <c r="AR50" s="2446">
        <f t="shared" si="14"/>
        <v>41.6</v>
      </c>
      <c r="AS50" s="2446">
        <f t="shared" si="14"/>
        <v>42.64</v>
      </c>
      <c r="AT50" s="2446">
        <f t="shared" si="14"/>
        <v>43.68</v>
      </c>
      <c r="AU50" s="2446">
        <f t="shared" si="14"/>
        <v>44.72</v>
      </c>
      <c r="AV50" s="2446">
        <f t="shared" si="14"/>
        <v>45.760000000000005</v>
      </c>
      <c r="AW50" s="2446">
        <f t="shared" si="14"/>
        <v>46.800000000000004</v>
      </c>
      <c r="AX50" s="2446">
        <f t="shared" si="14"/>
        <v>47.84</v>
      </c>
      <c r="AY50" s="2446">
        <f t="shared" si="14"/>
        <v>48.88</v>
      </c>
      <c r="AZ50" s="2446">
        <f t="shared" si="14"/>
        <v>49.92</v>
      </c>
      <c r="BA50" s="2446">
        <f t="shared" si="14"/>
        <v>50.96</v>
      </c>
      <c r="BB50" s="2446">
        <f t="shared" si="14"/>
        <v>52</v>
      </c>
      <c r="BC50" s="2446">
        <f t="shared" si="14"/>
        <v>53.04</v>
      </c>
      <c r="BD50" s="2446">
        <f t="shared" si="14"/>
        <v>54.08</v>
      </c>
      <c r="BE50" s="2446">
        <f t="shared" si="14"/>
        <v>55.120000000000005</v>
      </c>
      <c r="BF50" s="2446">
        <f t="shared" si="14"/>
        <v>56.160000000000004</v>
      </c>
      <c r="BG50" s="2446">
        <f t="shared" si="14"/>
        <v>57.2</v>
      </c>
      <c r="BH50" s="2446">
        <f t="shared" si="14"/>
        <v>58.24</v>
      </c>
      <c r="BI50" s="2446">
        <f t="shared" si="14"/>
        <v>59.28</v>
      </c>
      <c r="BJ50" s="2446">
        <f t="shared" si="14"/>
        <v>60.32</v>
      </c>
      <c r="BK50" s="2446">
        <f t="shared" si="14"/>
        <v>61.36</v>
      </c>
    </row>
    <row r="51" spans="2:63" x14ac:dyDescent="0.3">
      <c r="B51" s="2206" t="s">
        <v>2239</v>
      </c>
      <c r="C51" s="2446"/>
      <c r="D51" s="2447">
        <f>+(D49)*$C$42</f>
        <v>1.04</v>
      </c>
      <c r="E51" s="2447">
        <f>+(E49)*$C$42</f>
        <v>2.08</v>
      </c>
      <c r="F51" s="2447">
        <f>+(F49)*$C$42</f>
        <v>3.12</v>
      </c>
      <c r="G51" s="2447">
        <f>+(G49)*$C$42</f>
        <v>4.16</v>
      </c>
      <c r="H51" s="2446">
        <f t="shared" ref="H51:BK51" si="15">+(H49)*$C$42</f>
        <v>5.2</v>
      </c>
      <c r="I51" s="2446">
        <f t="shared" si="15"/>
        <v>6.24</v>
      </c>
      <c r="J51" s="2446">
        <f t="shared" si="15"/>
        <v>7.28</v>
      </c>
      <c r="K51" s="2446">
        <f t="shared" si="15"/>
        <v>8.32</v>
      </c>
      <c r="L51" s="2446">
        <f t="shared" si="15"/>
        <v>9.36</v>
      </c>
      <c r="M51" s="2446">
        <f t="shared" si="15"/>
        <v>10.4</v>
      </c>
      <c r="N51" s="2446">
        <f t="shared" si="15"/>
        <v>11.440000000000001</v>
      </c>
      <c r="O51" s="2446">
        <f t="shared" si="15"/>
        <v>12.48</v>
      </c>
      <c r="P51" s="2446">
        <f t="shared" si="15"/>
        <v>13.52</v>
      </c>
      <c r="Q51" s="2446">
        <f t="shared" si="15"/>
        <v>14.56</v>
      </c>
      <c r="R51" s="2446">
        <f t="shared" si="15"/>
        <v>15.600000000000001</v>
      </c>
      <c r="S51" s="2446">
        <f t="shared" si="15"/>
        <v>16.64</v>
      </c>
      <c r="T51" s="2446">
        <f t="shared" si="15"/>
        <v>17.68</v>
      </c>
      <c r="U51" s="2446">
        <f t="shared" si="15"/>
        <v>18.72</v>
      </c>
      <c r="V51" s="2446">
        <f t="shared" si="15"/>
        <v>19.760000000000002</v>
      </c>
      <c r="W51" s="2446">
        <f t="shared" si="15"/>
        <v>20.8</v>
      </c>
      <c r="X51" s="2446">
        <f t="shared" si="15"/>
        <v>21.84</v>
      </c>
      <c r="Y51" s="2446">
        <f t="shared" si="15"/>
        <v>22.880000000000003</v>
      </c>
      <c r="Z51" s="2446">
        <f t="shared" si="15"/>
        <v>23.92</v>
      </c>
      <c r="AA51" s="2446">
        <f t="shared" si="15"/>
        <v>24.96</v>
      </c>
      <c r="AB51" s="2446">
        <f t="shared" si="15"/>
        <v>26</v>
      </c>
      <c r="AC51" s="2446">
        <f t="shared" si="15"/>
        <v>27.04</v>
      </c>
      <c r="AD51" s="2446">
        <f t="shared" si="15"/>
        <v>28.080000000000002</v>
      </c>
      <c r="AE51" s="2446">
        <f t="shared" si="15"/>
        <v>29.12</v>
      </c>
      <c r="AF51" s="2446">
        <f t="shared" si="15"/>
        <v>30.16</v>
      </c>
      <c r="AG51" s="2446">
        <f t="shared" si="15"/>
        <v>31.200000000000003</v>
      </c>
      <c r="AH51" s="2446">
        <f t="shared" si="15"/>
        <v>32.24</v>
      </c>
      <c r="AI51" s="2446">
        <f t="shared" si="15"/>
        <v>33.28</v>
      </c>
      <c r="AJ51" s="2446">
        <f t="shared" si="15"/>
        <v>34.32</v>
      </c>
      <c r="AK51" s="2446">
        <f t="shared" si="15"/>
        <v>35.36</v>
      </c>
      <c r="AL51" s="2446">
        <f t="shared" si="15"/>
        <v>36.4</v>
      </c>
      <c r="AM51" s="2446">
        <f t="shared" si="15"/>
        <v>37.44</v>
      </c>
      <c r="AN51" s="2446">
        <f t="shared" si="15"/>
        <v>38.480000000000004</v>
      </c>
      <c r="AO51" s="2446">
        <f t="shared" si="15"/>
        <v>39.520000000000003</v>
      </c>
      <c r="AP51" s="2446">
        <f t="shared" si="15"/>
        <v>40.56</v>
      </c>
      <c r="AQ51" s="2446">
        <f t="shared" si="15"/>
        <v>41.6</v>
      </c>
      <c r="AR51" s="2446">
        <f t="shared" si="15"/>
        <v>42.64</v>
      </c>
      <c r="AS51" s="2446">
        <f t="shared" si="15"/>
        <v>43.68</v>
      </c>
      <c r="AT51" s="2446">
        <f t="shared" si="15"/>
        <v>44.72</v>
      </c>
      <c r="AU51" s="2446">
        <f t="shared" si="15"/>
        <v>45.760000000000005</v>
      </c>
      <c r="AV51" s="2446">
        <f t="shared" si="15"/>
        <v>46.800000000000004</v>
      </c>
      <c r="AW51" s="2446">
        <f t="shared" si="15"/>
        <v>47.84</v>
      </c>
      <c r="AX51" s="2446">
        <f t="shared" si="15"/>
        <v>48.88</v>
      </c>
      <c r="AY51" s="2446">
        <f t="shared" si="15"/>
        <v>49.92</v>
      </c>
      <c r="AZ51" s="2446">
        <f t="shared" si="15"/>
        <v>50.96</v>
      </c>
      <c r="BA51" s="2446">
        <f t="shared" si="15"/>
        <v>52</v>
      </c>
      <c r="BB51" s="2446">
        <f t="shared" si="15"/>
        <v>53.04</v>
      </c>
      <c r="BC51" s="2446">
        <f t="shared" si="15"/>
        <v>54.08</v>
      </c>
      <c r="BD51" s="2446">
        <f t="shared" si="15"/>
        <v>55.120000000000005</v>
      </c>
      <c r="BE51" s="2446">
        <f t="shared" si="15"/>
        <v>56.160000000000004</v>
      </c>
      <c r="BF51" s="2446">
        <f t="shared" si="15"/>
        <v>57.2</v>
      </c>
      <c r="BG51" s="2446">
        <f t="shared" si="15"/>
        <v>58.24</v>
      </c>
      <c r="BH51" s="2446">
        <f t="shared" si="15"/>
        <v>59.28</v>
      </c>
      <c r="BI51" s="2446">
        <f t="shared" si="15"/>
        <v>60.32</v>
      </c>
      <c r="BJ51" s="2446">
        <f t="shared" si="15"/>
        <v>61.36</v>
      </c>
      <c r="BK51" s="2446">
        <f t="shared" si="15"/>
        <v>62.400000000000006</v>
      </c>
    </row>
    <row r="52" spans="2:63" x14ac:dyDescent="0.3">
      <c r="B52" s="2206" t="s">
        <v>2240</v>
      </c>
      <c r="C52" s="2446"/>
      <c r="D52" s="2446">
        <f t="shared" ref="D52:L52" si="16">+MATCH(D50,$C$45:$BK$45,1)</f>
        <v>1</v>
      </c>
      <c r="E52" s="2446">
        <f t="shared" si="16"/>
        <v>2</v>
      </c>
      <c r="F52" s="2446">
        <f t="shared" si="16"/>
        <v>3</v>
      </c>
      <c r="G52" s="2446">
        <f t="shared" si="16"/>
        <v>4</v>
      </c>
      <c r="H52" s="2446">
        <f t="shared" si="16"/>
        <v>5</v>
      </c>
      <c r="I52" s="2446">
        <f t="shared" si="16"/>
        <v>6</v>
      </c>
      <c r="J52" s="2446">
        <f t="shared" si="16"/>
        <v>7</v>
      </c>
      <c r="K52" s="2446">
        <f t="shared" si="16"/>
        <v>8</v>
      </c>
      <c r="L52" s="2446">
        <f t="shared" si="16"/>
        <v>9</v>
      </c>
      <c r="M52" s="2446">
        <f t="shared" ref="M52:BK52" si="17">+MATCH(M50,$C$45:$BK$45,1)</f>
        <v>10</v>
      </c>
      <c r="N52" s="2446">
        <f t="shared" si="17"/>
        <v>11</v>
      </c>
      <c r="O52" s="2446">
        <f t="shared" si="17"/>
        <v>12</v>
      </c>
      <c r="P52" s="2446">
        <f t="shared" si="17"/>
        <v>13</v>
      </c>
      <c r="Q52" s="2446">
        <f t="shared" si="17"/>
        <v>14</v>
      </c>
      <c r="R52" s="2446">
        <f t="shared" si="17"/>
        <v>15</v>
      </c>
      <c r="S52" s="2446">
        <f t="shared" si="17"/>
        <v>16</v>
      </c>
      <c r="T52" s="2446">
        <f t="shared" si="17"/>
        <v>17</v>
      </c>
      <c r="U52" s="2446">
        <f t="shared" si="17"/>
        <v>18</v>
      </c>
      <c r="V52" s="2446">
        <f t="shared" si="17"/>
        <v>19</v>
      </c>
      <c r="W52" s="2446">
        <f t="shared" si="17"/>
        <v>20</v>
      </c>
      <c r="X52" s="2446">
        <f t="shared" si="17"/>
        <v>21</v>
      </c>
      <c r="Y52" s="2446">
        <f t="shared" si="17"/>
        <v>22</v>
      </c>
      <c r="Z52" s="2446">
        <f t="shared" si="17"/>
        <v>23</v>
      </c>
      <c r="AA52" s="2446">
        <f t="shared" si="17"/>
        <v>24</v>
      </c>
      <c r="AB52" s="2446">
        <f t="shared" si="17"/>
        <v>25</v>
      </c>
      <c r="AC52" s="2446">
        <f t="shared" si="17"/>
        <v>27</v>
      </c>
      <c r="AD52" s="2446">
        <f t="shared" si="17"/>
        <v>27</v>
      </c>
      <c r="AE52" s="2446">
        <f t="shared" si="17"/>
        <v>27</v>
      </c>
      <c r="AF52" s="2446">
        <f t="shared" si="17"/>
        <v>27</v>
      </c>
      <c r="AG52" s="2446">
        <f t="shared" si="17"/>
        <v>27</v>
      </c>
      <c r="AH52" s="2446">
        <f t="shared" si="17"/>
        <v>27</v>
      </c>
      <c r="AI52" s="2446">
        <f t="shared" si="17"/>
        <v>27</v>
      </c>
      <c r="AJ52" s="2446">
        <f t="shared" si="17"/>
        <v>27</v>
      </c>
      <c r="AK52" s="2446">
        <f t="shared" si="17"/>
        <v>27</v>
      </c>
      <c r="AL52" s="2446">
        <f t="shared" si="17"/>
        <v>27</v>
      </c>
      <c r="AM52" s="2446">
        <f t="shared" si="17"/>
        <v>27</v>
      </c>
      <c r="AN52" s="2446">
        <f t="shared" si="17"/>
        <v>27</v>
      </c>
      <c r="AO52" s="2446">
        <f t="shared" si="17"/>
        <v>27</v>
      </c>
      <c r="AP52" s="2446">
        <f t="shared" si="17"/>
        <v>27</v>
      </c>
      <c r="AQ52" s="2446">
        <f t="shared" si="17"/>
        <v>27</v>
      </c>
      <c r="AR52" s="2446">
        <f t="shared" si="17"/>
        <v>27</v>
      </c>
      <c r="AS52" s="2446">
        <f t="shared" si="17"/>
        <v>27</v>
      </c>
      <c r="AT52" s="2446">
        <f t="shared" si="17"/>
        <v>27</v>
      </c>
      <c r="AU52" s="2446">
        <f t="shared" si="17"/>
        <v>27</v>
      </c>
      <c r="AV52" s="2446">
        <f t="shared" si="17"/>
        <v>27</v>
      </c>
      <c r="AW52" s="2446">
        <f t="shared" si="17"/>
        <v>27</v>
      </c>
      <c r="AX52" s="2446">
        <f t="shared" si="17"/>
        <v>27</v>
      </c>
      <c r="AY52" s="2446">
        <f t="shared" si="17"/>
        <v>27</v>
      </c>
      <c r="AZ52" s="2446">
        <f t="shared" si="17"/>
        <v>27</v>
      </c>
      <c r="BA52" s="2446">
        <f t="shared" si="17"/>
        <v>27</v>
      </c>
      <c r="BB52" s="2446">
        <f t="shared" si="17"/>
        <v>27</v>
      </c>
      <c r="BC52" s="2446">
        <f t="shared" si="17"/>
        <v>27</v>
      </c>
      <c r="BD52" s="2446">
        <f t="shared" si="17"/>
        <v>27</v>
      </c>
      <c r="BE52" s="2446">
        <f t="shared" si="17"/>
        <v>27</v>
      </c>
      <c r="BF52" s="2446">
        <f t="shared" si="17"/>
        <v>27</v>
      </c>
      <c r="BG52" s="2446">
        <f t="shared" si="17"/>
        <v>27</v>
      </c>
      <c r="BH52" s="2446">
        <f t="shared" si="17"/>
        <v>27</v>
      </c>
      <c r="BI52" s="2446">
        <f t="shared" si="17"/>
        <v>27</v>
      </c>
      <c r="BJ52" s="2446">
        <f t="shared" si="17"/>
        <v>27</v>
      </c>
      <c r="BK52" s="2446">
        <f t="shared" si="17"/>
        <v>27</v>
      </c>
    </row>
    <row r="53" spans="2:63" x14ac:dyDescent="0.3">
      <c r="B53" s="2206" t="s">
        <v>2241</v>
      </c>
      <c r="C53" s="2446"/>
      <c r="D53" s="2446">
        <f t="shared" ref="D53:L53" si="18">+MATCH(D51,$C$45:$BK$45,1)</f>
        <v>2</v>
      </c>
      <c r="E53" s="2446">
        <f t="shared" si="18"/>
        <v>3</v>
      </c>
      <c r="F53" s="2446">
        <f t="shared" si="18"/>
        <v>4</v>
      </c>
      <c r="G53" s="2446">
        <f t="shared" si="18"/>
        <v>5</v>
      </c>
      <c r="H53" s="2446">
        <f t="shared" si="18"/>
        <v>6</v>
      </c>
      <c r="I53" s="2446">
        <f t="shared" si="18"/>
        <v>7</v>
      </c>
      <c r="J53" s="2446">
        <f t="shared" si="18"/>
        <v>8</v>
      </c>
      <c r="K53" s="2446">
        <f t="shared" si="18"/>
        <v>9</v>
      </c>
      <c r="L53" s="2446">
        <f t="shared" si="18"/>
        <v>10</v>
      </c>
      <c r="M53" s="2446">
        <f t="shared" ref="M53:BK53" si="19">+MATCH(M51,$C$45:$BK$45,1)</f>
        <v>11</v>
      </c>
      <c r="N53" s="2446">
        <f t="shared" si="19"/>
        <v>12</v>
      </c>
      <c r="O53" s="2446">
        <f t="shared" si="19"/>
        <v>13</v>
      </c>
      <c r="P53" s="2446">
        <f t="shared" si="19"/>
        <v>14</v>
      </c>
      <c r="Q53" s="2446">
        <f t="shared" si="19"/>
        <v>15</v>
      </c>
      <c r="R53" s="2446">
        <f t="shared" si="19"/>
        <v>16</v>
      </c>
      <c r="S53" s="2446">
        <f t="shared" si="19"/>
        <v>17</v>
      </c>
      <c r="T53" s="2446">
        <f t="shared" si="19"/>
        <v>18</v>
      </c>
      <c r="U53" s="2446">
        <f t="shared" si="19"/>
        <v>19</v>
      </c>
      <c r="V53" s="2446">
        <f t="shared" si="19"/>
        <v>20</v>
      </c>
      <c r="W53" s="2446">
        <f t="shared" si="19"/>
        <v>21</v>
      </c>
      <c r="X53" s="2446">
        <f t="shared" si="19"/>
        <v>22</v>
      </c>
      <c r="Y53" s="2446">
        <f t="shared" si="19"/>
        <v>23</v>
      </c>
      <c r="Z53" s="2446">
        <f t="shared" si="19"/>
        <v>24</v>
      </c>
      <c r="AA53" s="2446">
        <f t="shared" si="19"/>
        <v>25</v>
      </c>
      <c r="AB53" s="2446">
        <f t="shared" si="19"/>
        <v>27</v>
      </c>
      <c r="AC53" s="2446">
        <f t="shared" si="19"/>
        <v>27</v>
      </c>
      <c r="AD53" s="2446">
        <f t="shared" si="19"/>
        <v>27</v>
      </c>
      <c r="AE53" s="2446">
        <f t="shared" si="19"/>
        <v>27</v>
      </c>
      <c r="AF53" s="2446">
        <f t="shared" si="19"/>
        <v>27</v>
      </c>
      <c r="AG53" s="2446">
        <f t="shared" si="19"/>
        <v>27</v>
      </c>
      <c r="AH53" s="2446">
        <f t="shared" si="19"/>
        <v>27</v>
      </c>
      <c r="AI53" s="2446">
        <f t="shared" si="19"/>
        <v>27</v>
      </c>
      <c r="AJ53" s="2446">
        <f t="shared" si="19"/>
        <v>27</v>
      </c>
      <c r="AK53" s="2446">
        <f t="shared" si="19"/>
        <v>27</v>
      </c>
      <c r="AL53" s="2446">
        <f t="shared" si="19"/>
        <v>27</v>
      </c>
      <c r="AM53" s="2446">
        <f t="shared" si="19"/>
        <v>27</v>
      </c>
      <c r="AN53" s="2446">
        <f t="shared" si="19"/>
        <v>27</v>
      </c>
      <c r="AO53" s="2446">
        <f t="shared" si="19"/>
        <v>27</v>
      </c>
      <c r="AP53" s="2446">
        <f t="shared" si="19"/>
        <v>27</v>
      </c>
      <c r="AQ53" s="2446">
        <f t="shared" si="19"/>
        <v>27</v>
      </c>
      <c r="AR53" s="2446">
        <f t="shared" si="19"/>
        <v>27</v>
      </c>
      <c r="AS53" s="2446">
        <f t="shared" si="19"/>
        <v>27</v>
      </c>
      <c r="AT53" s="2446">
        <f t="shared" si="19"/>
        <v>27</v>
      </c>
      <c r="AU53" s="2446">
        <f t="shared" si="19"/>
        <v>27</v>
      </c>
      <c r="AV53" s="2446">
        <f t="shared" si="19"/>
        <v>27</v>
      </c>
      <c r="AW53" s="2446">
        <f t="shared" si="19"/>
        <v>27</v>
      </c>
      <c r="AX53" s="2446">
        <f t="shared" si="19"/>
        <v>27</v>
      </c>
      <c r="AY53" s="2446">
        <f t="shared" si="19"/>
        <v>27</v>
      </c>
      <c r="AZ53" s="2446">
        <f t="shared" si="19"/>
        <v>27</v>
      </c>
      <c r="BA53" s="2446">
        <f t="shared" si="19"/>
        <v>27</v>
      </c>
      <c r="BB53" s="2446">
        <f t="shared" si="19"/>
        <v>27</v>
      </c>
      <c r="BC53" s="2446">
        <f t="shared" si="19"/>
        <v>27</v>
      </c>
      <c r="BD53" s="2446">
        <f t="shared" si="19"/>
        <v>27</v>
      </c>
      <c r="BE53" s="2446">
        <f t="shared" si="19"/>
        <v>27</v>
      </c>
      <c r="BF53" s="2446">
        <f t="shared" si="19"/>
        <v>27</v>
      </c>
      <c r="BG53" s="2446">
        <f t="shared" si="19"/>
        <v>27</v>
      </c>
      <c r="BH53" s="2446">
        <f t="shared" si="19"/>
        <v>27</v>
      </c>
      <c r="BI53" s="2446">
        <f t="shared" si="19"/>
        <v>27</v>
      </c>
      <c r="BJ53" s="2446">
        <f t="shared" si="19"/>
        <v>27</v>
      </c>
      <c r="BK53" s="2446">
        <f t="shared" si="19"/>
        <v>27</v>
      </c>
    </row>
    <row r="54" spans="2:63" x14ac:dyDescent="0.3">
      <c r="B54" s="2206" t="s">
        <v>2242</v>
      </c>
      <c r="C54" s="2448"/>
      <c r="D54" s="2448" cm="1">
        <f t="array" ref="D54">+IF(D50&lt;=0,0,IF(D50&gt;=$C$41,MAX($C$47:$BK$47),INDEX($C$47:$BK$47,D52)+(D50-INDEX($C$45:$BK$45,D52))*(INDEX($C$47:$BK$47,D52+1)-INDEX($C$47:$BK$47,D52))/(INDEX($C$45:$BK$45,D52+1)-INDEX($C$45:$BK$45,D52))))</f>
        <v>0</v>
      </c>
      <c r="E54" s="2448" cm="1">
        <f t="array" ref="E54">+IF(E50&lt;=0,0,IF(E50&gt;=$C$41,MAX($C$47:$BK$47),INDEX($C$47:$BK$47,E52)+(E50-INDEX($C$45:$BK$45,E52))*(INDEX($C$47:$BK$47,E52+1)-INDEX($C$47:$BK$47,E52))/(INDEX($C$45:$BK$45,E52+1)-INDEX($C$45:$BK$45,E52))))</f>
        <v>1.7838367967777109E-3</v>
      </c>
      <c r="F54" s="2448" cm="1">
        <f t="array" ref="F54">+IF(F50&lt;=0,0,IF(F50&gt;=$C$41,MAX($C$47:$BK$47),INDEX($C$47:$BK$47,F52)+(F50-INDEX($C$45:$BK$45,F52))*(INDEX($C$47:$BK$47,F52+1)-INDEX($C$47:$BK$47,F52))/(INDEX($C$45:$BK$45,F52+1)-INDEX($C$45:$BK$45,F52))))</f>
        <v>8.0406236578132659E-3</v>
      </c>
      <c r="G54" s="2448" cm="1">
        <f t="array" ref="G54">+IF(G50&lt;=0,0,IF(G50&gt;=$C$41,MAX($C$47:$BK$47),INDEX($C$47:$BK$47,G52)+(G50-INDEX($C$45:$BK$45,G52))*(INDEX($C$47:$BK$47,G52+1)-INDEX($C$47:$BK$47,G52))/(INDEX($C$45:$BK$45,G52+1)-INDEX($C$45:$BK$45,G52))))</f>
        <v>1.8762207672451996E-2</v>
      </c>
      <c r="H54" s="2448" cm="1">
        <f t="array" ref="H54">+IF(H50&lt;=0,0,IF(H50&gt;=$C$41,MAX($C$47:$BK$47),INDEX($C$47:$BK$47,H52)+(H50-INDEX($C$45:$BK$45,H52))*(INDEX($C$47:$BK$47,H52+1)-INDEX($C$47:$BK$47,H52))/(INDEX($C$45:$BK$45,H52+1)-INDEX($C$45:$BK$45,H52))))</f>
        <v>3.8545315223810175E-2</v>
      </c>
      <c r="I54" s="2448" cm="1">
        <f t="array" ref="I54">+IF(I50&lt;=0,0,IF(I50&gt;=$C$41,MAX($C$47:$BK$47),INDEX($C$47:$BK$47,I52)+(I50-INDEX($C$45:$BK$45,I52))*(INDEX($C$47:$BK$47,I52+1)-INDEX($C$47:$BK$47,I52))/(INDEX($C$45:$BK$45,I52+1)-INDEX($C$45:$BK$45,I52))))</f>
        <v>7.2364426793088646E-2</v>
      </c>
      <c r="J54" s="2448" cm="1">
        <f t="array" ref="J54">+IF(J50&lt;=0,0,IF(J50&gt;=$C$41,MAX($C$47:$BK$47),INDEX($C$47:$BK$47,J52)+(J50-INDEX($C$45:$BK$45,J52))*(INDEX($C$47:$BK$47,J52+1)-INDEX($C$47:$BK$47,J52))/(INDEX($C$45:$BK$45,J52+1)-INDEX($C$45:$BK$45,J52))))</f>
        <v>0.10724481027556421</v>
      </c>
      <c r="K54" s="2448" cm="1">
        <f t="array" ref="K54">+IF(K50&lt;=0,0,IF(K50&gt;=$C$41,MAX($C$47:$BK$47),INDEX($C$47:$BK$47,K52)+(K50-INDEX($C$45:$BK$45,K52))*(INDEX($C$47:$BK$47,K52+1)-INDEX($C$47:$BK$47,K52))/(INDEX($C$45:$BK$45,K52+1)-INDEX($C$45:$BK$45,K52))))</f>
        <v>0.15235831618098231</v>
      </c>
      <c r="L54" s="2448" cm="1">
        <f t="array" ref="L54">+IF(L50&lt;=0,0,IF(L50&gt;=$C$41,MAX($C$47:$BK$47),INDEX($C$47:$BK$47,L52)+(L50-INDEX($C$45:$BK$45,L52))*(INDEX($C$47:$BK$47,L52+1)-INDEX($C$47:$BK$47,L52))/(INDEX($C$45:$BK$45,L52+1)-INDEX($C$45:$BK$45,L52))))</f>
        <v>0.20632453923692171</v>
      </c>
      <c r="M54" s="2448" cm="1">
        <f t="array" ref="M54">+IF(M50&lt;=0,0,IF(M50&gt;=$C$41,MAX($C$47:$BK$47),INDEX($C$47:$BK$47,M52)+(M50-INDEX($C$45:$BK$45,M52))*(INDEX($C$47:$BK$47,M52+1)-INDEX($C$47:$BK$47,M52))/(INDEX($C$45:$BK$45,M52+1)-INDEX($C$45:$BK$45,M52))))</f>
        <v>0.26427436545514138</v>
      </c>
      <c r="N54" s="2448" cm="1">
        <f t="array" ref="N54">+IF(N50&lt;=0,0,IF(N50&gt;=$C$41,MAX($C$47:$BK$47),INDEX($C$47:$BK$47,N52)+(N50-INDEX($C$45:$BK$45,N52))*(INDEX($C$47:$BK$47,N52+1)-INDEX($C$47:$BK$47,N52))/(INDEX($C$45:$BK$45,N52+1)-INDEX($C$45:$BK$45,N52))))</f>
        <v>0.32906283393306041</v>
      </c>
      <c r="O54" s="2448" cm="1">
        <f t="array" ref="O54">+IF(O50&lt;=0,0,IF(O50&gt;=$C$41,MAX($C$47:$BK$47),INDEX($C$47:$BK$47,O52)+(O50-INDEX($C$45:$BK$45,O52))*(INDEX($C$47:$BK$47,O52+1)-INDEX($C$47:$BK$47,O52))/(INDEX($C$45:$BK$45,O52+1)-INDEX($C$45:$BK$45,O52))))</f>
        <v>0.39723323567923863</v>
      </c>
      <c r="P54" s="2448" cm="1">
        <f t="array" ref="P54">+IF(P50&lt;=0,0,IF(P50&gt;=$C$41,MAX($C$47:$BK$47),INDEX($C$47:$BK$47,P52)+(P50-INDEX($C$45:$BK$45,P52))*(INDEX($C$47:$BK$47,P52+1)-INDEX($C$47:$BK$47,P52))/(INDEX($C$45:$BK$45,P52+1)-INDEX($C$45:$BK$45,P52))))</f>
        <v>0.46592467295048429</v>
      </c>
      <c r="Q54" s="2448" cm="1">
        <f t="array" ref="Q54">+IF(Q50&lt;=0,0,IF(Q50&gt;=$C$41,MAX($C$47:$BK$47),INDEX($C$47:$BK$47,Q52)+(Q50-INDEX($C$45:$BK$45,Q52))*(INDEX($C$47:$BK$47,Q52+1)-INDEX($C$47:$BK$47,Q52))/(INDEX($C$45:$BK$45,Q52+1)-INDEX($C$45:$BK$45,Q52))))</f>
        <v>0.53018858780197553</v>
      </c>
      <c r="R54" s="2448" cm="1">
        <f t="array" ref="R54">+IF(R50&lt;=0,0,IF(R50&gt;=$C$41,MAX($C$47:$BK$47),INDEX($C$47:$BK$47,R52)+(R50-INDEX($C$45:$BK$45,R52))*(INDEX($C$47:$BK$47,R52+1)-INDEX($C$47:$BK$47,R52))/(INDEX($C$45:$BK$45,R52+1)-INDEX($C$45:$BK$45,R52))))</f>
        <v>0.59237126673631746</v>
      </c>
      <c r="S54" s="2448" cm="1">
        <f t="array" ref="S54">+IF(S50&lt;=0,0,IF(S50&gt;=$C$41,MAX($C$47:$BK$47),INDEX($C$47:$BK$47,S52)+(S50-INDEX($C$45:$BK$45,S52))*(INDEX($C$47:$BK$47,S52+1)-INDEX($C$47:$BK$47,S52))/(INDEX($C$45:$BK$45,S52+1)-INDEX($C$45:$BK$45,S52))))</f>
        <v>0.65334113143425288</v>
      </c>
      <c r="T54" s="2448" cm="1">
        <f t="array" ref="T54">+IF(T50&lt;=0,0,IF(T50&gt;=$C$41,MAX($C$47:$BK$47),INDEX($C$47:$BK$47,T52)+(T50-INDEX($C$45:$BK$45,T52))*(INDEX($C$47:$BK$47,T52+1)-INDEX($C$47:$BK$47,T52))/(INDEX($C$45:$BK$45,T52+1)-INDEX($C$45:$BK$45,T52))))</f>
        <v>0.70902168543108801</v>
      </c>
      <c r="U54" s="2448" cm="1">
        <f t="array" ref="U54">+IF(U50&lt;=0,0,IF(U50&gt;=$C$41,MAX($C$47:$BK$47),INDEX($C$47:$BK$47,U52)+(U50-INDEX($C$45:$BK$45,U52))*(INDEX($C$47:$BK$47,U52+1)-INDEX($C$47:$BK$47,U52))/(INDEX($C$45:$BK$45,U52+1)-INDEX($C$45:$BK$45,U52))))</f>
        <v>0.75883355956739085</v>
      </c>
      <c r="V54" s="2448" cm="1">
        <f t="array" ref="V54">+IF(V50&lt;=0,0,IF(V50&gt;=$C$41,MAX($C$47:$BK$47),INDEX($C$47:$BK$47,V52)+(V50-INDEX($C$45:$BK$45,V52))*(INDEX($C$47:$BK$47,V52+1)-INDEX($C$47:$BK$47,V52))/(INDEX($C$45:$BK$45,V52+1)-INDEX($C$45:$BK$45,V52))))</f>
        <v>0.80864298088856768</v>
      </c>
      <c r="W54" s="2448" cm="1">
        <f t="array" ref="W54">+IF(W50&lt;=0,0,IF(W50&gt;=$C$41,MAX($C$47:$BK$47),INDEX($C$47:$BK$47,W52)+(W50-INDEX($C$45:$BK$45,W52))*(INDEX($C$47:$BK$47,W52+1)-INDEX($C$47:$BK$47,W52))/(INDEX($C$45:$BK$45,W52+1)-INDEX($C$45:$BK$45,W52))))</f>
        <v>0.85489516893549911</v>
      </c>
      <c r="X54" s="2448" cm="1">
        <f t="array" ref="X54">+IF(X50&lt;=0,0,IF(X50&gt;=$C$41,MAX($C$47:$BK$47),INDEX($C$47:$BK$47,X52)+(X50-INDEX($C$45:$BK$45,X52))*(INDEX($C$47:$BK$47,X52+1)-INDEX($C$47:$BK$47,X52))/(INDEX($C$45:$BK$45,X52+1)-INDEX($C$45:$BK$45,X52))))</f>
        <v>0.89374107913838297</v>
      </c>
      <c r="Y54" s="2448" cm="1">
        <f t="array" ref="Y54">+IF(Y50&lt;=0,0,IF(Y50&gt;=$C$41,MAX($C$47:$BK$47),INDEX($C$47:$BK$47,Y52)+(Y50-INDEX($C$45:$BK$45,Y52))*(INDEX($C$47:$BK$47,Y52+1)-INDEX($C$47:$BK$47,Y52))/(INDEX($C$45:$BK$45,Y52+1)-INDEX($C$45:$BK$45,Y52))))</f>
        <v>0.92704873590247283</v>
      </c>
      <c r="Z54" s="2448" cm="1">
        <f t="array" ref="Z54">+IF(Z50&lt;=0,0,IF(Z50&gt;=$C$41,MAX($C$47:$BK$47),INDEX($C$47:$BK$47,Z52)+(Z50-INDEX($C$45:$BK$45,Z52))*(INDEX($C$47:$BK$47,Z52+1)-INDEX($C$47:$BK$47,Z52))/(INDEX($C$45:$BK$45,Z52+1)-INDEX($C$45:$BK$45,Z52))))</f>
        <v>0.95517859506571923</v>
      </c>
      <c r="AA54" s="2448" cm="1">
        <f t="array" ref="AA54">+IF(AA50&lt;=0,0,IF(AA50&gt;=$C$41,MAX($C$47:$BK$47),INDEX($C$47:$BK$47,AA52)+(AA50-INDEX($C$45:$BK$45,AA52))*(INDEX($C$47:$BK$47,AA52+1)-INDEX($C$47:$BK$47,AA52))/(INDEX($C$45:$BK$45,AA52+1)-INDEX($C$45:$BK$45,AA52))))</f>
        <v>0.97449605169183595</v>
      </c>
      <c r="AB54" s="2448" cm="1">
        <f t="array" ref="AB54">+IF(AB50&lt;=0,0,IF(AB50&gt;=$C$41,MAX($C$47:$BK$47),INDEX($C$47:$BK$47,AB52)+(AB50-INDEX($C$45:$BK$45,AB52))*(INDEX($C$47:$BK$47,AB52+1)-INDEX($C$47:$BK$47,AB52))/(INDEX($C$45:$BK$45,AB52+1)-INDEX($C$45:$BK$45,AB52))))</f>
        <v>0.99007181340470307</v>
      </c>
      <c r="AC54" s="2448" cm="1">
        <f t="array" ref="AC54">+IF(AC50&lt;=0,0,IF(AC50&gt;=$C$41,MAX($C$47:$BK$47),INDEX($C$47:$BK$47,AC52)+(AC50-INDEX($C$45:$BK$45,AC52))*(INDEX($C$47:$BK$47,AC52+1)-INDEX($C$47:$BK$47,AC52))/(INDEX($C$45:$BK$45,AC52+1)-INDEX($C$45:$BK$45,AC52))))</f>
        <v>0.99999999999999989</v>
      </c>
      <c r="AD54" s="2448" cm="1">
        <f t="array" ref="AD54">+IF(AD50&lt;=0,0,IF(AD50&gt;=$C$41,MAX($C$47:$BK$47),INDEX($C$47:$BK$47,AD52)+(AD50-INDEX($C$45:$BK$45,AD52))*(INDEX($C$47:$BK$47,AD52+1)-INDEX($C$47:$BK$47,AD52))/(INDEX($C$45:$BK$45,AD52+1)-INDEX($C$45:$BK$45,AD52))))</f>
        <v>0.99999999999999989</v>
      </c>
      <c r="AE54" s="2448" cm="1">
        <f t="array" ref="AE54">+IF(AE50&lt;=0,0,IF(AE50&gt;=$C$41,MAX($C$47:$BK$47),INDEX($C$47:$BK$47,AE52)+(AE50-INDEX($C$45:$BK$45,AE52))*(INDEX($C$47:$BK$47,AE52+1)-INDEX($C$47:$BK$47,AE52))/(INDEX($C$45:$BK$45,AE52+1)-INDEX($C$45:$BK$45,AE52))))</f>
        <v>0.99999999999999989</v>
      </c>
      <c r="AF54" s="2448" cm="1">
        <f t="array" ref="AF54">+IF(AF50&lt;=0,0,IF(AF50&gt;=$C$41,MAX($C$47:$BK$47),INDEX($C$47:$BK$47,AF52)+(AF50-INDEX($C$45:$BK$45,AF52))*(INDEX($C$47:$BK$47,AF52+1)-INDEX($C$47:$BK$47,AF52))/(INDEX($C$45:$BK$45,AF52+1)-INDEX($C$45:$BK$45,AF52))))</f>
        <v>0.99999999999999989</v>
      </c>
      <c r="AG54" s="2448" cm="1">
        <f t="array" ref="AG54">+IF(AG50&lt;=0,0,IF(AG50&gt;=$C$41,MAX($C$47:$BK$47),INDEX($C$47:$BK$47,AG52)+(AG50-INDEX($C$45:$BK$45,AG52))*(INDEX($C$47:$BK$47,AG52+1)-INDEX($C$47:$BK$47,AG52))/(INDEX($C$45:$BK$45,AG52+1)-INDEX($C$45:$BK$45,AG52))))</f>
        <v>0.99999999999999989</v>
      </c>
      <c r="AH54" s="2448" cm="1">
        <f t="array" ref="AH54">+IF(AH50&lt;=0,0,IF(AH50&gt;=$C$41,MAX($C$47:$BK$47),INDEX($C$47:$BK$47,AH52)+(AH50-INDEX($C$45:$BK$45,AH52))*(INDEX($C$47:$BK$47,AH52+1)-INDEX($C$47:$BK$47,AH52))/(INDEX($C$45:$BK$45,AH52+1)-INDEX($C$45:$BK$45,AH52))))</f>
        <v>0.99999999999999989</v>
      </c>
      <c r="AI54" s="2448" cm="1">
        <f t="array" ref="AI54">+IF(AI50&lt;=0,0,IF(AI50&gt;=$C$41,MAX($C$47:$BK$47),INDEX($C$47:$BK$47,AI52)+(AI50-INDEX($C$45:$BK$45,AI52))*(INDEX($C$47:$BK$47,AI52+1)-INDEX($C$47:$BK$47,AI52))/(INDEX($C$45:$BK$45,AI52+1)-INDEX($C$45:$BK$45,AI52))))</f>
        <v>0.99999999999999989</v>
      </c>
      <c r="AJ54" s="2448" cm="1">
        <f t="array" ref="AJ54">+IF(AJ50&lt;=0,0,IF(AJ50&gt;=$C$41,MAX($C$47:$BK$47),INDEX($C$47:$BK$47,AJ52)+(AJ50-INDEX($C$45:$BK$45,AJ52))*(INDEX($C$47:$BK$47,AJ52+1)-INDEX($C$47:$BK$47,AJ52))/(INDEX($C$45:$BK$45,AJ52+1)-INDEX($C$45:$BK$45,AJ52))))</f>
        <v>0.99999999999999989</v>
      </c>
      <c r="AK54" s="2448" cm="1">
        <f t="array" ref="AK54">+IF(AK50&lt;=0,0,IF(AK50&gt;=$C$41,MAX($C$47:$BK$47),INDEX($C$47:$BK$47,AK52)+(AK50-INDEX($C$45:$BK$45,AK52))*(INDEX($C$47:$BK$47,AK52+1)-INDEX($C$47:$BK$47,AK52))/(INDEX($C$45:$BK$45,AK52+1)-INDEX($C$45:$BK$45,AK52))))</f>
        <v>0.99999999999999989</v>
      </c>
      <c r="AL54" s="2448" cm="1">
        <f t="array" ref="AL54">+IF(AL50&lt;=0,0,IF(AL50&gt;=$C$41,MAX($C$47:$BK$47),INDEX($C$47:$BK$47,AL52)+(AL50-INDEX($C$45:$BK$45,AL52))*(INDEX($C$47:$BK$47,AL52+1)-INDEX($C$47:$BK$47,AL52))/(INDEX($C$45:$BK$45,AL52+1)-INDEX($C$45:$BK$45,AL52))))</f>
        <v>0.99999999999999989</v>
      </c>
      <c r="AM54" s="2448" cm="1">
        <f t="array" ref="AM54">+IF(AM50&lt;=0,0,IF(AM50&gt;=$C$41,MAX($C$47:$BK$47),INDEX($C$47:$BK$47,AM52)+(AM50-INDEX($C$45:$BK$45,AM52))*(INDEX($C$47:$BK$47,AM52+1)-INDEX($C$47:$BK$47,AM52))/(INDEX($C$45:$BK$45,AM52+1)-INDEX($C$45:$BK$45,AM52))))</f>
        <v>0.99999999999999989</v>
      </c>
      <c r="AN54" s="2448" cm="1">
        <f t="array" ref="AN54">+IF(AN50&lt;=0,0,IF(AN50&gt;=$C$41,MAX($C$47:$BK$47),INDEX($C$47:$BK$47,AN52)+(AN50-INDEX($C$45:$BK$45,AN52))*(INDEX($C$47:$BK$47,AN52+1)-INDEX($C$47:$BK$47,AN52))/(INDEX($C$45:$BK$45,AN52+1)-INDEX($C$45:$BK$45,AN52))))</f>
        <v>0.99999999999999989</v>
      </c>
      <c r="AO54" s="2448" cm="1">
        <f t="array" ref="AO54">+IF(AO50&lt;=0,0,IF(AO50&gt;=$C$41,MAX($C$47:$BK$47),INDEX($C$47:$BK$47,AO52)+(AO50-INDEX($C$45:$BK$45,AO52))*(INDEX($C$47:$BK$47,AO52+1)-INDEX($C$47:$BK$47,AO52))/(INDEX($C$45:$BK$45,AO52+1)-INDEX($C$45:$BK$45,AO52))))</f>
        <v>0.99999999999999989</v>
      </c>
      <c r="AP54" s="2448" cm="1">
        <f t="array" ref="AP54">+IF(AP50&lt;=0,0,IF(AP50&gt;=$C$41,MAX($C$47:$BK$47),INDEX($C$47:$BK$47,AP52)+(AP50-INDEX($C$45:$BK$45,AP52))*(INDEX($C$47:$BK$47,AP52+1)-INDEX($C$47:$BK$47,AP52))/(INDEX($C$45:$BK$45,AP52+1)-INDEX($C$45:$BK$45,AP52))))</f>
        <v>0.99999999999999989</v>
      </c>
      <c r="AQ54" s="2448" cm="1">
        <f t="array" ref="AQ54">+IF(AQ50&lt;=0,0,IF(AQ50&gt;=$C$41,MAX($C$47:$BK$47),INDEX($C$47:$BK$47,AQ52)+(AQ50-INDEX($C$45:$BK$45,AQ52))*(INDEX($C$47:$BK$47,AQ52+1)-INDEX($C$47:$BK$47,AQ52))/(INDEX($C$45:$BK$45,AQ52+1)-INDEX($C$45:$BK$45,AQ52))))</f>
        <v>0.99999999999999989</v>
      </c>
      <c r="AR54" s="2448" cm="1">
        <f t="array" ref="AR54">+IF(AR50&lt;=0,0,IF(AR50&gt;=$C$41,MAX($C$47:$BK$47),INDEX($C$47:$BK$47,AR52)+(AR50-INDEX($C$45:$BK$45,AR52))*(INDEX($C$47:$BK$47,AR52+1)-INDEX($C$47:$BK$47,AR52))/(INDEX($C$45:$BK$45,AR52+1)-INDEX($C$45:$BK$45,AR52))))</f>
        <v>0.99999999999999989</v>
      </c>
      <c r="AS54" s="2448" cm="1">
        <f t="array" ref="AS54">+IF(AS50&lt;=0,0,IF(AS50&gt;=$C$41,MAX($C$47:$BK$47),INDEX($C$47:$BK$47,AS52)+(AS50-INDEX($C$45:$BK$45,AS52))*(INDEX($C$47:$BK$47,AS52+1)-INDEX($C$47:$BK$47,AS52))/(INDEX($C$45:$BK$45,AS52+1)-INDEX($C$45:$BK$45,AS52))))</f>
        <v>0.99999999999999989</v>
      </c>
      <c r="AT54" s="2448" cm="1">
        <f t="array" ref="AT54">+IF(AT50&lt;=0,0,IF(AT50&gt;=$C$41,MAX($C$47:$BK$47),INDEX($C$47:$BK$47,AT52)+(AT50-INDEX($C$45:$BK$45,AT52))*(INDEX($C$47:$BK$47,AT52+1)-INDEX($C$47:$BK$47,AT52))/(INDEX($C$45:$BK$45,AT52+1)-INDEX($C$45:$BK$45,AT52))))</f>
        <v>0.99999999999999989</v>
      </c>
      <c r="AU54" s="2448" cm="1">
        <f t="array" ref="AU54">+IF(AU50&lt;=0,0,IF(AU50&gt;=$C$41,MAX($C$47:$BK$47),INDEX($C$47:$BK$47,AU52)+(AU50-INDEX($C$45:$BK$45,AU52))*(INDEX($C$47:$BK$47,AU52+1)-INDEX($C$47:$BK$47,AU52))/(INDEX($C$45:$BK$45,AU52+1)-INDEX($C$45:$BK$45,AU52))))</f>
        <v>0.99999999999999989</v>
      </c>
      <c r="AV54" s="2448" cm="1">
        <f t="array" ref="AV54">+IF(AV50&lt;=0,0,IF(AV50&gt;=$C$41,MAX($C$47:$BK$47),INDEX($C$47:$BK$47,AV52)+(AV50-INDEX($C$45:$BK$45,AV52))*(INDEX($C$47:$BK$47,AV52+1)-INDEX($C$47:$BK$47,AV52))/(INDEX($C$45:$BK$45,AV52+1)-INDEX($C$45:$BK$45,AV52))))</f>
        <v>0.99999999999999989</v>
      </c>
      <c r="AW54" s="2448" cm="1">
        <f t="array" ref="AW54">+IF(AW50&lt;=0,0,IF(AW50&gt;=$C$41,MAX($C$47:$BK$47),INDEX($C$47:$BK$47,AW52)+(AW50-INDEX($C$45:$BK$45,AW52))*(INDEX($C$47:$BK$47,AW52+1)-INDEX($C$47:$BK$47,AW52))/(INDEX($C$45:$BK$45,AW52+1)-INDEX($C$45:$BK$45,AW52))))</f>
        <v>0.99999999999999989</v>
      </c>
      <c r="AX54" s="2448" cm="1">
        <f t="array" ref="AX54">+IF(AX50&lt;=0,0,IF(AX50&gt;=$C$41,MAX($C$47:$BK$47),INDEX($C$47:$BK$47,AX52)+(AX50-INDEX($C$45:$BK$45,AX52))*(INDEX($C$47:$BK$47,AX52+1)-INDEX($C$47:$BK$47,AX52))/(INDEX($C$45:$BK$45,AX52+1)-INDEX($C$45:$BK$45,AX52))))</f>
        <v>0.99999999999999989</v>
      </c>
      <c r="AY54" s="2448" cm="1">
        <f t="array" ref="AY54">+IF(AY50&lt;=0,0,IF(AY50&gt;=$C$41,MAX($C$47:$BK$47),INDEX($C$47:$BK$47,AY52)+(AY50-INDEX($C$45:$BK$45,AY52))*(INDEX($C$47:$BK$47,AY52+1)-INDEX($C$47:$BK$47,AY52))/(INDEX($C$45:$BK$45,AY52+1)-INDEX($C$45:$BK$45,AY52))))</f>
        <v>0.99999999999999989</v>
      </c>
      <c r="AZ54" s="2448" cm="1">
        <f t="array" ref="AZ54">+IF(AZ50&lt;=0,0,IF(AZ50&gt;=$C$41,MAX($C$47:$BK$47),INDEX($C$47:$BK$47,AZ52)+(AZ50-INDEX($C$45:$BK$45,AZ52))*(INDEX($C$47:$BK$47,AZ52+1)-INDEX($C$47:$BK$47,AZ52))/(INDEX($C$45:$BK$45,AZ52+1)-INDEX($C$45:$BK$45,AZ52))))</f>
        <v>0.99999999999999989</v>
      </c>
      <c r="BA54" s="2448" cm="1">
        <f t="array" ref="BA54">+IF(BA50&lt;=0,0,IF(BA50&gt;=$C$41,MAX($C$47:$BK$47),INDEX($C$47:$BK$47,BA52)+(BA50-INDEX($C$45:$BK$45,BA52))*(INDEX($C$47:$BK$47,BA52+1)-INDEX($C$47:$BK$47,BA52))/(INDEX($C$45:$BK$45,BA52+1)-INDEX($C$45:$BK$45,BA52))))</f>
        <v>0.99999999999999989</v>
      </c>
      <c r="BB54" s="2448" cm="1">
        <f t="array" ref="BB54">+IF(BB50&lt;=0,0,IF(BB50&gt;=$C$41,MAX($C$47:$BK$47),INDEX($C$47:$BK$47,BB52)+(BB50-INDEX($C$45:$BK$45,BB52))*(INDEX($C$47:$BK$47,BB52+1)-INDEX($C$47:$BK$47,BB52))/(INDEX($C$45:$BK$45,BB52+1)-INDEX($C$45:$BK$45,BB52))))</f>
        <v>0.99999999999999989</v>
      </c>
      <c r="BC54" s="2448" cm="1">
        <f t="array" ref="BC54">+IF(BC50&lt;=0,0,IF(BC50&gt;=$C$41,MAX($C$47:$BK$47),INDEX($C$47:$BK$47,BC52)+(BC50-INDEX($C$45:$BK$45,BC52))*(INDEX($C$47:$BK$47,BC52+1)-INDEX($C$47:$BK$47,BC52))/(INDEX($C$45:$BK$45,BC52+1)-INDEX($C$45:$BK$45,BC52))))</f>
        <v>0.99999999999999989</v>
      </c>
      <c r="BD54" s="2448" cm="1">
        <f t="array" ref="BD54">+IF(BD50&lt;=0,0,IF(BD50&gt;=$C$41,MAX($C$47:$BK$47),INDEX($C$47:$BK$47,BD52)+(BD50-INDEX($C$45:$BK$45,BD52))*(INDEX($C$47:$BK$47,BD52+1)-INDEX($C$47:$BK$47,BD52))/(INDEX($C$45:$BK$45,BD52+1)-INDEX($C$45:$BK$45,BD52))))</f>
        <v>0.99999999999999989</v>
      </c>
      <c r="BE54" s="2448" cm="1">
        <f t="array" ref="BE54">+IF(BE50&lt;=0,0,IF(BE50&gt;=$C$41,MAX($C$47:$BK$47),INDEX($C$47:$BK$47,BE52)+(BE50-INDEX($C$45:$BK$45,BE52))*(INDEX($C$47:$BK$47,BE52+1)-INDEX($C$47:$BK$47,BE52))/(INDEX($C$45:$BK$45,BE52+1)-INDEX($C$45:$BK$45,BE52))))</f>
        <v>0.99999999999999989</v>
      </c>
      <c r="BF54" s="2448" cm="1">
        <f t="array" ref="BF54">+IF(BF50&lt;=0,0,IF(BF50&gt;=$C$41,MAX($C$47:$BK$47),INDEX($C$47:$BK$47,BF52)+(BF50-INDEX($C$45:$BK$45,BF52))*(INDEX($C$47:$BK$47,BF52+1)-INDEX($C$47:$BK$47,BF52))/(INDEX($C$45:$BK$45,BF52+1)-INDEX($C$45:$BK$45,BF52))))</f>
        <v>0.99999999999999989</v>
      </c>
      <c r="BG54" s="2448" cm="1">
        <f t="array" ref="BG54">+IF(BG50&lt;=0,0,IF(BG50&gt;=$C$41,MAX($C$47:$BK$47),INDEX($C$47:$BK$47,BG52)+(BG50-INDEX($C$45:$BK$45,BG52))*(INDEX($C$47:$BK$47,BG52+1)-INDEX($C$47:$BK$47,BG52))/(INDEX($C$45:$BK$45,BG52+1)-INDEX($C$45:$BK$45,BG52))))</f>
        <v>0.99999999999999989</v>
      </c>
      <c r="BH54" s="2448" cm="1">
        <f t="array" ref="BH54">+IF(BH50&lt;=0,0,IF(BH50&gt;=$C$41,MAX($C$47:$BK$47),INDEX($C$47:$BK$47,BH52)+(BH50-INDEX($C$45:$BK$45,BH52))*(INDEX($C$47:$BK$47,BH52+1)-INDEX($C$47:$BK$47,BH52))/(INDEX($C$45:$BK$45,BH52+1)-INDEX($C$45:$BK$45,BH52))))</f>
        <v>0.99999999999999989</v>
      </c>
      <c r="BI54" s="2448" cm="1">
        <f t="array" ref="BI54">+IF(BI50&lt;=0,0,IF(BI50&gt;=$C$41,MAX($C$47:$BK$47),INDEX($C$47:$BK$47,BI52)+(BI50-INDEX($C$45:$BK$45,BI52))*(INDEX($C$47:$BK$47,BI52+1)-INDEX($C$47:$BK$47,BI52))/(INDEX($C$45:$BK$45,BI52+1)-INDEX($C$45:$BK$45,BI52))))</f>
        <v>0.99999999999999989</v>
      </c>
      <c r="BJ54" s="2448" cm="1">
        <f t="array" ref="BJ54">+IF(BJ50&lt;=0,0,IF(BJ50&gt;=$C$41,MAX($C$47:$BK$47),INDEX($C$47:$BK$47,BJ52)+(BJ50-INDEX($C$45:$BK$45,BJ52))*(INDEX($C$47:$BK$47,BJ52+1)-INDEX($C$47:$BK$47,BJ52))/(INDEX($C$45:$BK$45,BJ52+1)-INDEX($C$45:$BK$45,BJ52))))</f>
        <v>0.99999999999999989</v>
      </c>
      <c r="BK54" s="2448" cm="1">
        <f t="array" ref="BK54">+IF(BK50&lt;=0,0,IF(BK50&gt;=$C$41,MAX($C$47:$BK$47),INDEX($C$47:$BK$47,BK52)+(BK50-INDEX($C$45:$BK$45,BK52))*(INDEX($C$47:$BK$47,BK52+1)-INDEX($C$47:$BK$47,BK52))/(INDEX($C$45:$BK$45,BK52+1)-INDEX($C$45:$BK$45,BK52))))</f>
        <v>0.99999999999999989</v>
      </c>
    </row>
    <row r="55" spans="2:63" x14ac:dyDescent="0.3">
      <c r="B55" s="2206" t="s">
        <v>2243</v>
      </c>
      <c r="C55" s="2448"/>
      <c r="D55" s="2448" cm="1">
        <f t="array" ref="D55">+IF(D51&lt;=0,0,IF(D51&gt;=$C$41,MAX($C$47:$BK$47),INDEX($C$47:$BK$47,D53)+(D51-INDEX($C$45:$BK$45,D53))*(INDEX($C$47:$BK$47,D53+1)-INDEX($C$47:$BK$47,D53))/(INDEX($C$45:$BK$45,D53+1)-INDEX($C$45:$BK$45,D53))))</f>
        <v>1.7838367967777109E-3</v>
      </c>
      <c r="E55" s="2448" cm="1">
        <f t="array" ref="E55">+IF(E51&lt;=0,0,IF(E51&gt;=$C$41,MAX($C$47:$BK$47),INDEX($C$47:$BK$47,E53)+(E51-INDEX($C$45:$BK$45,E53))*(INDEX($C$47:$BK$47,E53+1)-INDEX($C$47:$BK$47,E53))/(INDEX($C$45:$BK$45,E53+1)-INDEX($C$45:$BK$45,E53))))</f>
        <v>8.0406236578132659E-3</v>
      </c>
      <c r="F55" s="2448" cm="1">
        <f t="array" ref="F55">+IF(F51&lt;=0,0,IF(F51&gt;=$C$41,MAX($C$47:$BK$47),INDEX($C$47:$BK$47,F53)+(F51-INDEX($C$45:$BK$45,F53))*(INDEX($C$47:$BK$47,F53+1)-INDEX($C$47:$BK$47,F53))/(INDEX($C$45:$BK$45,F53+1)-INDEX($C$45:$BK$45,F53))))</f>
        <v>1.8762207672451996E-2</v>
      </c>
      <c r="G55" s="2448" cm="1">
        <f t="array" ref="G55">+IF(G51&lt;=0,0,IF(G51&gt;=$C$41,MAX($C$47:$BK$47),INDEX($C$47:$BK$47,G53)+(G51-INDEX($C$45:$BK$45,G53))*(INDEX($C$47:$BK$47,G53+1)-INDEX($C$47:$BK$47,G53))/(INDEX($C$45:$BK$45,G53+1)-INDEX($C$45:$BK$45,G53))))</f>
        <v>3.8545315223810175E-2</v>
      </c>
      <c r="H55" s="2448" cm="1">
        <f t="array" ref="H55">+IF(H51&lt;=0,0,IF(H51&gt;=$C$41,MAX($C$47:$BK$47),INDEX($C$47:$BK$47,H53)+(H51-INDEX($C$45:$BK$45,H53))*(INDEX($C$47:$BK$47,H53+1)-INDEX($C$47:$BK$47,H53))/(INDEX($C$45:$BK$45,H53+1)-INDEX($C$45:$BK$45,H53))))</f>
        <v>7.2364426793088646E-2</v>
      </c>
      <c r="I55" s="2448" cm="1">
        <f t="array" ref="I55">+IF(I51&lt;=0,0,IF(I51&gt;=$C$41,MAX($C$47:$BK$47),INDEX($C$47:$BK$47,I53)+(I51-INDEX($C$45:$BK$45,I53))*(INDEX($C$47:$BK$47,I53+1)-INDEX($C$47:$BK$47,I53))/(INDEX($C$45:$BK$45,I53+1)-INDEX($C$45:$BK$45,I53))))</f>
        <v>0.10724481027556421</v>
      </c>
      <c r="J55" s="2448" cm="1">
        <f t="array" ref="J55">+IF(J51&lt;=0,0,IF(J51&gt;=$C$41,MAX($C$47:$BK$47),INDEX($C$47:$BK$47,J53)+(J51-INDEX($C$45:$BK$45,J53))*(INDEX($C$47:$BK$47,J53+1)-INDEX($C$47:$BK$47,J53))/(INDEX($C$45:$BK$45,J53+1)-INDEX($C$45:$BK$45,J53))))</f>
        <v>0.15235831618098231</v>
      </c>
      <c r="K55" s="2448" cm="1">
        <f t="array" ref="K55">+IF(K51&lt;=0,0,IF(K51&gt;=$C$41,MAX($C$47:$BK$47),INDEX($C$47:$BK$47,K53)+(K51-INDEX($C$45:$BK$45,K53))*(INDEX($C$47:$BK$47,K53+1)-INDEX($C$47:$BK$47,K53))/(INDEX($C$45:$BK$45,K53+1)-INDEX($C$45:$BK$45,K53))))</f>
        <v>0.20632453923692171</v>
      </c>
      <c r="L55" s="2448" cm="1">
        <f t="array" ref="L55">+IF(L51&lt;=0,0,IF(L51&gt;=$C$41,MAX($C$47:$BK$47),INDEX($C$47:$BK$47,L53)+(L51-INDEX($C$45:$BK$45,L53))*(INDEX($C$47:$BK$47,L53+1)-INDEX($C$47:$BK$47,L53))/(INDEX($C$45:$BK$45,L53+1)-INDEX($C$45:$BK$45,L53))))</f>
        <v>0.26427436545514138</v>
      </c>
      <c r="M55" s="2448" cm="1">
        <f t="array" ref="M55">+IF(M51&lt;=0,0,IF(M51&gt;=$C$41,MAX($C$47:$BK$47),INDEX($C$47:$BK$47,M53)+(M51-INDEX($C$45:$BK$45,M53))*(INDEX($C$47:$BK$47,M53+1)-INDEX($C$47:$BK$47,M53))/(INDEX($C$45:$BK$45,M53+1)-INDEX($C$45:$BK$45,M53))))</f>
        <v>0.32906283393306041</v>
      </c>
      <c r="N55" s="2448" cm="1">
        <f t="array" ref="N55">+IF(N51&lt;=0,0,IF(N51&gt;=$C$41,MAX($C$47:$BK$47),INDEX($C$47:$BK$47,N53)+(N51-INDEX($C$45:$BK$45,N53))*(INDEX($C$47:$BK$47,N53+1)-INDEX($C$47:$BK$47,N53))/(INDEX($C$45:$BK$45,N53+1)-INDEX($C$45:$BK$45,N53))))</f>
        <v>0.39723323567923863</v>
      </c>
      <c r="O55" s="2448" cm="1">
        <f t="array" ref="O55">+IF(O51&lt;=0,0,IF(O51&gt;=$C$41,MAX($C$47:$BK$47),INDEX($C$47:$BK$47,O53)+(O51-INDEX($C$45:$BK$45,O53))*(INDEX($C$47:$BK$47,O53+1)-INDEX($C$47:$BK$47,O53))/(INDEX($C$45:$BK$45,O53+1)-INDEX($C$45:$BK$45,O53))))</f>
        <v>0.46592467295048429</v>
      </c>
      <c r="P55" s="2448" cm="1">
        <f t="array" ref="P55">+IF(P51&lt;=0,0,IF(P51&gt;=$C$41,MAX($C$47:$BK$47),INDEX($C$47:$BK$47,P53)+(P51-INDEX($C$45:$BK$45,P53))*(INDEX($C$47:$BK$47,P53+1)-INDEX($C$47:$BK$47,P53))/(INDEX($C$45:$BK$45,P53+1)-INDEX($C$45:$BK$45,P53))))</f>
        <v>0.53018858780197553</v>
      </c>
      <c r="Q55" s="2448" cm="1">
        <f t="array" ref="Q55">+IF(Q51&lt;=0,0,IF(Q51&gt;=$C$41,MAX($C$47:$BK$47),INDEX($C$47:$BK$47,Q53)+(Q51-INDEX($C$45:$BK$45,Q53))*(INDEX($C$47:$BK$47,Q53+1)-INDEX($C$47:$BK$47,Q53))/(INDEX($C$45:$BK$45,Q53+1)-INDEX($C$45:$BK$45,Q53))))</f>
        <v>0.59237126673631746</v>
      </c>
      <c r="R55" s="2448" cm="1">
        <f t="array" ref="R55">+IF(R51&lt;=0,0,IF(R51&gt;=$C$41,MAX($C$47:$BK$47),INDEX($C$47:$BK$47,R53)+(R51-INDEX($C$45:$BK$45,R53))*(INDEX($C$47:$BK$47,R53+1)-INDEX($C$47:$BK$47,R53))/(INDEX($C$45:$BK$45,R53+1)-INDEX($C$45:$BK$45,R53))))</f>
        <v>0.65334113143425288</v>
      </c>
      <c r="S55" s="2448" cm="1">
        <f t="array" ref="S55">+IF(S51&lt;=0,0,IF(S51&gt;=$C$41,MAX($C$47:$BK$47),INDEX($C$47:$BK$47,S53)+(S51-INDEX($C$45:$BK$45,S53))*(INDEX($C$47:$BK$47,S53+1)-INDEX($C$47:$BK$47,S53))/(INDEX($C$45:$BK$45,S53+1)-INDEX($C$45:$BK$45,S53))))</f>
        <v>0.70902168543108801</v>
      </c>
      <c r="T55" s="2448" cm="1">
        <f t="array" ref="T55">+IF(T51&lt;=0,0,IF(T51&gt;=$C$41,MAX($C$47:$BK$47),INDEX($C$47:$BK$47,T53)+(T51-INDEX($C$45:$BK$45,T53))*(INDEX($C$47:$BK$47,T53+1)-INDEX($C$47:$BK$47,T53))/(INDEX($C$45:$BK$45,T53+1)-INDEX($C$45:$BK$45,T53))))</f>
        <v>0.75883355956739085</v>
      </c>
      <c r="U55" s="2448" cm="1">
        <f t="array" ref="U55">+IF(U51&lt;=0,0,IF(U51&gt;=$C$41,MAX($C$47:$BK$47),INDEX($C$47:$BK$47,U53)+(U51-INDEX($C$45:$BK$45,U53))*(INDEX($C$47:$BK$47,U53+1)-INDEX($C$47:$BK$47,U53))/(INDEX($C$45:$BK$45,U53+1)-INDEX($C$45:$BK$45,U53))))</f>
        <v>0.80864298088856768</v>
      </c>
      <c r="V55" s="2448" cm="1">
        <f t="array" ref="V55">+IF(V51&lt;=0,0,IF(V51&gt;=$C$41,MAX($C$47:$BK$47),INDEX($C$47:$BK$47,V53)+(V51-INDEX($C$45:$BK$45,V53))*(INDEX($C$47:$BK$47,V53+1)-INDEX($C$47:$BK$47,V53))/(INDEX($C$45:$BK$45,V53+1)-INDEX($C$45:$BK$45,V53))))</f>
        <v>0.85489516893549911</v>
      </c>
      <c r="W55" s="2448" cm="1">
        <f t="array" ref="W55">+IF(W51&lt;=0,0,IF(W51&gt;=$C$41,MAX($C$47:$BK$47),INDEX($C$47:$BK$47,W53)+(W51-INDEX($C$45:$BK$45,W53))*(INDEX($C$47:$BK$47,W53+1)-INDEX($C$47:$BK$47,W53))/(INDEX($C$45:$BK$45,W53+1)-INDEX($C$45:$BK$45,W53))))</f>
        <v>0.89374107913838297</v>
      </c>
      <c r="X55" s="2448" cm="1">
        <f t="array" ref="X55">+IF(X51&lt;=0,0,IF(X51&gt;=$C$41,MAX($C$47:$BK$47),INDEX($C$47:$BK$47,X53)+(X51-INDEX($C$45:$BK$45,X53))*(INDEX($C$47:$BK$47,X53+1)-INDEX($C$47:$BK$47,X53))/(INDEX($C$45:$BK$45,X53+1)-INDEX($C$45:$BK$45,X53))))</f>
        <v>0.92704873590247283</v>
      </c>
      <c r="Y55" s="2448" cm="1">
        <f t="array" ref="Y55">+IF(Y51&lt;=0,0,IF(Y51&gt;=$C$41,MAX($C$47:$BK$47),INDEX($C$47:$BK$47,Y53)+(Y51-INDEX($C$45:$BK$45,Y53))*(INDEX($C$47:$BK$47,Y53+1)-INDEX($C$47:$BK$47,Y53))/(INDEX($C$45:$BK$45,Y53+1)-INDEX($C$45:$BK$45,Y53))))</f>
        <v>0.95517859506571923</v>
      </c>
      <c r="Z55" s="2448" cm="1">
        <f t="array" ref="Z55">+IF(Z51&lt;=0,0,IF(Z51&gt;=$C$41,MAX($C$47:$BK$47),INDEX($C$47:$BK$47,Z53)+(Z51-INDEX($C$45:$BK$45,Z53))*(INDEX($C$47:$BK$47,Z53+1)-INDEX($C$47:$BK$47,Z53))/(INDEX($C$45:$BK$45,Z53+1)-INDEX($C$45:$BK$45,Z53))))</f>
        <v>0.97449605169183595</v>
      </c>
      <c r="AA55" s="2448" cm="1">
        <f t="array" ref="AA55">+IF(AA51&lt;=0,0,IF(AA51&gt;=$C$41,MAX($C$47:$BK$47),INDEX($C$47:$BK$47,AA53)+(AA51-INDEX($C$45:$BK$45,AA53))*(INDEX($C$47:$BK$47,AA53+1)-INDEX($C$47:$BK$47,AA53))/(INDEX($C$45:$BK$45,AA53+1)-INDEX($C$45:$BK$45,AA53))))</f>
        <v>0.99007181340470307</v>
      </c>
      <c r="AB55" s="2448" cm="1">
        <f t="array" ref="AB55">+IF(AB51&lt;=0,0,IF(AB51&gt;=$C$41,MAX($C$47:$BK$47),INDEX($C$47:$BK$47,AB53)+(AB51-INDEX($C$45:$BK$45,AB53))*(INDEX($C$47:$BK$47,AB53+1)-INDEX($C$47:$BK$47,AB53))/(INDEX($C$45:$BK$45,AB53+1)-INDEX($C$45:$BK$45,AB53))))</f>
        <v>0.99999999999999989</v>
      </c>
      <c r="AC55" s="2448" cm="1">
        <f t="array" ref="AC55">+IF(AC51&lt;=0,0,IF(AC51&gt;=$C$41,MAX($C$47:$BK$47),INDEX($C$47:$BK$47,AC53)+(AC51-INDEX($C$45:$BK$45,AC53))*(INDEX($C$47:$BK$47,AC53+1)-INDEX($C$47:$BK$47,AC53))/(INDEX($C$45:$BK$45,AC53+1)-INDEX($C$45:$BK$45,AC53))))</f>
        <v>0.99999999999999989</v>
      </c>
      <c r="AD55" s="2448" cm="1">
        <f t="array" ref="AD55">+IF(AD51&lt;=0,0,IF(AD51&gt;=$C$41,MAX($C$47:$BK$47),INDEX($C$47:$BK$47,AD53)+(AD51-INDEX($C$45:$BK$45,AD53))*(INDEX($C$47:$BK$47,AD53+1)-INDEX($C$47:$BK$47,AD53))/(INDEX($C$45:$BK$45,AD53+1)-INDEX($C$45:$BK$45,AD53))))</f>
        <v>0.99999999999999989</v>
      </c>
      <c r="AE55" s="2448" cm="1">
        <f t="array" ref="AE55">+IF(AE51&lt;=0,0,IF(AE51&gt;=$C$41,MAX($C$47:$BK$47),INDEX($C$47:$BK$47,AE53)+(AE51-INDEX($C$45:$BK$45,AE53))*(INDEX($C$47:$BK$47,AE53+1)-INDEX($C$47:$BK$47,AE53))/(INDEX($C$45:$BK$45,AE53+1)-INDEX($C$45:$BK$45,AE53))))</f>
        <v>0.99999999999999989</v>
      </c>
      <c r="AF55" s="2448" cm="1">
        <f t="array" ref="AF55">+IF(AF51&lt;=0,0,IF(AF51&gt;=$C$41,MAX($C$47:$BK$47),INDEX($C$47:$BK$47,AF53)+(AF51-INDEX($C$45:$BK$45,AF53))*(INDEX($C$47:$BK$47,AF53+1)-INDEX($C$47:$BK$47,AF53))/(INDEX($C$45:$BK$45,AF53+1)-INDEX($C$45:$BK$45,AF53))))</f>
        <v>0.99999999999999989</v>
      </c>
      <c r="AG55" s="2448" cm="1">
        <f t="array" ref="AG55">+IF(AG51&lt;=0,0,IF(AG51&gt;=$C$41,MAX($C$47:$BK$47),INDEX($C$47:$BK$47,AG53)+(AG51-INDEX($C$45:$BK$45,AG53))*(INDEX($C$47:$BK$47,AG53+1)-INDEX($C$47:$BK$47,AG53))/(INDEX($C$45:$BK$45,AG53+1)-INDEX($C$45:$BK$45,AG53))))</f>
        <v>0.99999999999999989</v>
      </c>
      <c r="AH55" s="2448" cm="1">
        <f t="array" ref="AH55">+IF(AH51&lt;=0,0,IF(AH51&gt;=$C$41,MAX($C$47:$BK$47),INDEX($C$47:$BK$47,AH53)+(AH51-INDEX($C$45:$BK$45,AH53))*(INDEX($C$47:$BK$47,AH53+1)-INDEX($C$47:$BK$47,AH53))/(INDEX($C$45:$BK$45,AH53+1)-INDEX($C$45:$BK$45,AH53))))</f>
        <v>0.99999999999999989</v>
      </c>
      <c r="AI55" s="2448" cm="1">
        <f t="array" ref="AI55">+IF(AI51&lt;=0,0,IF(AI51&gt;=$C$41,MAX($C$47:$BK$47),INDEX($C$47:$BK$47,AI53)+(AI51-INDEX($C$45:$BK$45,AI53))*(INDEX($C$47:$BK$47,AI53+1)-INDEX($C$47:$BK$47,AI53))/(INDEX($C$45:$BK$45,AI53+1)-INDEX($C$45:$BK$45,AI53))))</f>
        <v>0.99999999999999989</v>
      </c>
      <c r="AJ55" s="2448" cm="1">
        <f t="array" ref="AJ55">+IF(AJ51&lt;=0,0,IF(AJ51&gt;=$C$41,MAX($C$47:$BK$47),INDEX($C$47:$BK$47,AJ53)+(AJ51-INDEX($C$45:$BK$45,AJ53))*(INDEX($C$47:$BK$47,AJ53+1)-INDEX($C$47:$BK$47,AJ53))/(INDEX($C$45:$BK$45,AJ53+1)-INDEX($C$45:$BK$45,AJ53))))</f>
        <v>0.99999999999999989</v>
      </c>
      <c r="AK55" s="2448" cm="1">
        <f t="array" ref="AK55">+IF(AK51&lt;=0,0,IF(AK51&gt;=$C$41,MAX($C$47:$BK$47),INDEX($C$47:$BK$47,AK53)+(AK51-INDEX($C$45:$BK$45,AK53))*(INDEX($C$47:$BK$47,AK53+1)-INDEX($C$47:$BK$47,AK53))/(INDEX($C$45:$BK$45,AK53+1)-INDEX($C$45:$BK$45,AK53))))</f>
        <v>0.99999999999999989</v>
      </c>
      <c r="AL55" s="2448" cm="1">
        <f t="array" ref="AL55">+IF(AL51&lt;=0,0,IF(AL51&gt;=$C$41,MAX($C$47:$BK$47),INDEX($C$47:$BK$47,AL53)+(AL51-INDEX($C$45:$BK$45,AL53))*(INDEX($C$47:$BK$47,AL53+1)-INDEX($C$47:$BK$47,AL53))/(INDEX($C$45:$BK$45,AL53+1)-INDEX($C$45:$BK$45,AL53))))</f>
        <v>0.99999999999999989</v>
      </c>
      <c r="AM55" s="2448" cm="1">
        <f t="array" ref="AM55">+IF(AM51&lt;=0,0,IF(AM51&gt;=$C$41,MAX($C$47:$BK$47),INDEX($C$47:$BK$47,AM53)+(AM51-INDEX($C$45:$BK$45,AM53))*(INDEX($C$47:$BK$47,AM53+1)-INDEX($C$47:$BK$47,AM53))/(INDEX($C$45:$BK$45,AM53+1)-INDEX($C$45:$BK$45,AM53))))</f>
        <v>0.99999999999999989</v>
      </c>
      <c r="AN55" s="2448" cm="1">
        <f t="array" ref="AN55">+IF(AN51&lt;=0,0,IF(AN51&gt;=$C$41,MAX($C$47:$BK$47),INDEX($C$47:$BK$47,AN53)+(AN51-INDEX($C$45:$BK$45,AN53))*(INDEX($C$47:$BK$47,AN53+1)-INDEX($C$47:$BK$47,AN53))/(INDEX($C$45:$BK$45,AN53+1)-INDEX($C$45:$BK$45,AN53))))</f>
        <v>0.99999999999999989</v>
      </c>
      <c r="AO55" s="2448" cm="1">
        <f t="array" ref="AO55">+IF(AO51&lt;=0,0,IF(AO51&gt;=$C$41,MAX($C$47:$BK$47),INDEX($C$47:$BK$47,AO53)+(AO51-INDEX($C$45:$BK$45,AO53))*(INDEX($C$47:$BK$47,AO53+1)-INDEX($C$47:$BK$47,AO53))/(INDEX($C$45:$BK$45,AO53+1)-INDEX($C$45:$BK$45,AO53))))</f>
        <v>0.99999999999999989</v>
      </c>
      <c r="AP55" s="2448" cm="1">
        <f t="array" ref="AP55">+IF(AP51&lt;=0,0,IF(AP51&gt;=$C$41,MAX($C$47:$BK$47),INDEX($C$47:$BK$47,AP53)+(AP51-INDEX($C$45:$BK$45,AP53))*(INDEX($C$47:$BK$47,AP53+1)-INDEX($C$47:$BK$47,AP53))/(INDEX($C$45:$BK$45,AP53+1)-INDEX($C$45:$BK$45,AP53))))</f>
        <v>0.99999999999999989</v>
      </c>
      <c r="AQ55" s="2448" cm="1">
        <f t="array" ref="AQ55">+IF(AQ51&lt;=0,0,IF(AQ51&gt;=$C$41,MAX($C$47:$BK$47),INDEX($C$47:$BK$47,AQ53)+(AQ51-INDEX($C$45:$BK$45,AQ53))*(INDEX($C$47:$BK$47,AQ53+1)-INDEX($C$47:$BK$47,AQ53))/(INDEX($C$45:$BK$45,AQ53+1)-INDEX($C$45:$BK$45,AQ53))))</f>
        <v>0.99999999999999989</v>
      </c>
      <c r="AR55" s="2448" cm="1">
        <f t="array" ref="AR55">+IF(AR51&lt;=0,0,IF(AR51&gt;=$C$41,MAX($C$47:$BK$47),INDEX($C$47:$BK$47,AR53)+(AR51-INDEX($C$45:$BK$45,AR53))*(INDEX($C$47:$BK$47,AR53+1)-INDEX($C$47:$BK$47,AR53))/(INDEX($C$45:$BK$45,AR53+1)-INDEX($C$45:$BK$45,AR53))))</f>
        <v>0.99999999999999989</v>
      </c>
      <c r="AS55" s="2448" cm="1">
        <f t="array" ref="AS55">+IF(AS51&lt;=0,0,IF(AS51&gt;=$C$41,MAX($C$47:$BK$47),INDEX($C$47:$BK$47,AS53)+(AS51-INDEX($C$45:$BK$45,AS53))*(INDEX($C$47:$BK$47,AS53+1)-INDEX($C$47:$BK$47,AS53))/(INDEX($C$45:$BK$45,AS53+1)-INDEX($C$45:$BK$45,AS53))))</f>
        <v>0.99999999999999989</v>
      </c>
      <c r="AT55" s="2448" cm="1">
        <f t="array" ref="AT55">+IF(AT51&lt;=0,0,IF(AT51&gt;=$C$41,MAX($C$47:$BK$47),INDEX($C$47:$BK$47,AT53)+(AT51-INDEX($C$45:$BK$45,AT53))*(INDEX($C$47:$BK$47,AT53+1)-INDEX($C$47:$BK$47,AT53))/(INDEX($C$45:$BK$45,AT53+1)-INDEX($C$45:$BK$45,AT53))))</f>
        <v>0.99999999999999989</v>
      </c>
      <c r="AU55" s="2448" cm="1">
        <f t="array" ref="AU55">+IF(AU51&lt;=0,0,IF(AU51&gt;=$C$41,MAX($C$47:$BK$47),INDEX($C$47:$BK$47,AU53)+(AU51-INDEX($C$45:$BK$45,AU53))*(INDEX($C$47:$BK$47,AU53+1)-INDEX($C$47:$BK$47,AU53))/(INDEX($C$45:$BK$45,AU53+1)-INDEX($C$45:$BK$45,AU53))))</f>
        <v>0.99999999999999989</v>
      </c>
      <c r="AV55" s="2448" cm="1">
        <f t="array" ref="AV55">+IF(AV51&lt;=0,0,IF(AV51&gt;=$C$41,MAX($C$47:$BK$47),INDEX($C$47:$BK$47,AV53)+(AV51-INDEX($C$45:$BK$45,AV53))*(INDEX($C$47:$BK$47,AV53+1)-INDEX($C$47:$BK$47,AV53))/(INDEX($C$45:$BK$45,AV53+1)-INDEX($C$45:$BK$45,AV53))))</f>
        <v>0.99999999999999989</v>
      </c>
      <c r="AW55" s="2448" cm="1">
        <f t="array" ref="AW55">+IF(AW51&lt;=0,0,IF(AW51&gt;=$C$41,MAX($C$47:$BK$47),INDEX($C$47:$BK$47,AW53)+(AW51-INDEX($C$45:$BK$45,AW53))*(INDEX($C$47:$BK$47,AW53+1)-INDEX($C$47:$BK$47,AW53))/(INDEX($C$45:$BK$45,AW53+1)-INDEX($C$45:$BK$45,AW53))))</f>
        <v>0.99999999999999989</v>
      </c>
      <c r="AX55" s="2448" cm="1">
        <f t="array" ref="AX55">+IF(AX51&lt;=0,0,IF(AX51&gt;=$C$41,MAX($C$47:$BK$47),INDEX($C$47:$BK$47,AX53)+(AX51-INDEX($C$45:$BK$45,AX53))*(INDEX($C$47:$BK$47,AX53+1)-INDEX($C$47:$BK$47,AX53))/(INDEX($C$45:$BK$45,AX53+1)-INDEX($C$45:$BK$45,AX53))))</f>
        <v>0.99999999999999989</v>
      </c>
      <c r="AY55" s="2448" cm="1">
        <f t="array" ref="AY55">+IF(AY51&lt;=0,0,IF(AY51&gt;=$C$41,MAX($C$47:$BK$47),INDEX($C$47:$BK$47,AY53)+(AY51-INDEX($C$45:$BK$45,AY53))*(INDEX($C$47:$BK$47,AY53+1)-INDEX($C$47:$BK$47,AY53))/(INDEX($C$45:$BK$45,AY53+1)-INDEX($C$45:$BK$45,AY53))))</f>
        <v>0.99999999999999989</v>
      </c>
      <c r="AZ55" s="2448" cm="1">
        <f t="array" ref="AZ55">+IF(AZ51&lt;=0,0,IF(AZ51&gt;=$C$41,MAX($C$47:$BK$47),INDEX($C$47:$BK$47,AZ53)+(AZ51-INDEX($C$45:$BK$45,AZ53))*(INDEX($C$47:$BK$47,AZ53+1)-INDEX($C$47:$BK$47,AZ53))/(INDEX($C$45:$BK$45,AZ53+1)-INDEX($C$45:$BK$45,AZ53))))</f>
        <v>0.99999999999999989</v>
      </c>
      <c r="BA55" s="2448" cm="1">
        <f t="array" ref="BA55">+IF(BA51&lt;=0,0,IF(BA51&gt;=$C$41,MAX($C$47:$BK$47),INDEX($C$47:$BK$47,BA53)+(BA51-INDEX($C$45:$BK$45,BA53))*(INDEX($C$47:$BK$47,BA53+1)-INDEX($C$47:$BK$47,BA53))/(INDEX($C$45:$BK$45,BA53+1)-INDEX($C$45:$BK$45,BA53))))</f>
        <v>0.99999999999999989</v>
      </c>
      <c r="BB55" s="2448" cm="1">
        <f t="array" ref="BB55">+IF(BB51&lt;=0,0,IF(BB51&gt;=$C$41,MAX($C$47:$BK$47),INDEX($C$47:$BK$47,BB53)+(BB51-INDEX($C$45:$BK$45,BB53))*(INDEX($C$47:$BK$47,BB53+1)-INDEX($C$47:$BK$47,BB53))/(INDEX($C$45:$BK$45,BB53+1)-INDEX($C$45:$BK$45,BB53))))</f>
        <v>0.99999999999999989</v>
      </c>
      <c r="BC55" s="2448" cm="1">
        <f t="array" ref="BC55">+IF(BC51&lt;=0,0,IF(BC51&gt;=$C$41,MAX($C$47:$BK$47),INDEX($C$47:$BK$47,BC53)+(BC51-INDEX($C$45:$BK$45,BC53))*(INDEX($C$47:$BK$47,BC53+1)-INDEX($C$47:$BK$47,BC53))/(INDEX($C$45:$BK$45,BC53+1)-INDEX($C$45:$BK$45,BC53))))</f>
        <v>0.99999999999999989</v>
      </c>
      <c r="BD55" s="2448" cm="1">
        <f t="array" ref="BD55">+IF(BD51&lt;=0,0,IF(BD51&gt;=$C$41,MAX($C$47:$BK$47),INDEX($C$47:$BK$47,BD53)+(BD51-INDEX($C$45:$BK$45,BD53))*(INDEX($C$47:$BK$47,BD53+1)-INDEX($C$47:$BK$47,BD53))/(INDEX($C$45:$BK$45,BD53+1)-INDEX($C$45:$BK$45,BD53))))</f>
        <v>0.99999999999999989</v>
      </c>
      <c r="BE55" s="2448" cm="1">
        <f t="array" ref="BE55">+IF(BE51&lt;=0,0,IF(BE51&gt;=$C$41,MAX($C$47:$BK$47),INDEX($C$47:$BK$47,BE53)+(BE51-INDEX($C$45:$BK$45,BE53))*(INDEX($C$47:$BK$47,BE53+1)-INDEX($C$47:$BK$47,BE53))/(INDEX($C$45:$BK$45,BE53+1)-INDEX($C$45:$BK$45,BE53))))</f>
        <v>0.99999999999999989</v>
      </c>
      <c r="BF55" s="2448" cm="1">
        <f t="array" ref="BF55">+IF(BF51&lt;=0,0,IF(BF51&gt;=$C$41,MAX($C$47:$BK$47),INDEX($C$47:$BK$47,BF53)+(BF51-INDEX($C$45:$BK$45,BF53))*(INDEX($C$47:$BK$47,BF53+1)-INDEX($C$47:$BK$47,BF53))/(INDEX($C$45:$BK$45,BF53+1)-INDEX($C$45:$BK$45,BF53))))</f>
        <v>0.99999999999999989</v>
      </c>
      <c r="BG55" s="2448" cm="1">
        <f t="array" ref="BG55">+IF(BG51&lt;=0,0,IF(BG51&gt;=$C$41,MAX($C$47:$BK$47),INDEX($C$47:$BK$47,BG53)+(BG51-INDEX($C$45:$BK$45,BG53))*(INDEX($C$47:$BK$47,BG53+1)-INDEX($C$47:$BK$47,BG53))/(INDEX($C$45:$BK$45,BG53+1)-INDEX($C$45:$BK$45,BG53))))</f>
        <v>0.99999999999999989</v>
      </c>
      <c r="BH55" s="2448" cm="1">
        <f t="array" ref="BH55">+IF(BH51&lt;=0,0,IF(BH51&gt;=$C$41,MAX($C$47:$BK$47),INDEX($C$47:$BK$47,BH53)+(BH51-INDEX($C$45:$BK$45,BH53))*(INDEX($C$47:$BK$47,BH53+1)-INDEX($C$47:$BK$47,BH53))/(INDEX($C$45:$BK$45,BH53+1)-INDEX($C$45:$BK$45,BH53))))</f>
        <v>0.99999999999999989</v>
      </c>
      <c r="BI55" s="2448" cm="1">
        <f t="array" ref="BI55">+IF(BI51&lt;=0,0,IF(BI51&gt;=$C$41,MAX($C$47:$BK$47),INDEX($C$47:$BK$47,BI53)+(BI51-INDEX($C$45:$BK$45,BI53))*(INDEX($C$47:$BK$47,BI53+1)-INDEX($C$47:$BK$47,BI53))/(INDEX($C$45:$BK$45,BI53+1)-INDEX($C$45:$BK$45,BI53))))</f>
        <v>0.99999999999999989</v>
      </c>
      <c r="BJ55" s="2448" cm="1">
        <f t="array" ref="BJ55">+IF(BJ51&lt;=0,0,IF(BJ51&gt;=$C$41,MAX($C$47:$BK$47),INDEX($C$47:$BK$47,BJ53)+(BJ51-INDEX($C$45:$BK$45,BJ53))*(INDEX($C$47:$BK$47,BJ53+1)-INDEX($C$47:$BK$47,BJ53))/(INDEX($C$45:$BK$45,BJ53+1)-INDEX($C$45:$BK$45,BJ53))))</f>
        <v>0.99999999999999989</v>
      </c>
      <c r="BK55" s="2448" cm="1">
        <f t="array" ref="BK55">+IF(BK51&lt;=0,0,IF(BK51&gt;=$C$41,MAX($C$47:$BK$47),INDEX($C$47:$BK$47,BK53)+(BK51-INDEX($C$45:$BK$45,BK53))*(INDEX($C$47:$BK$47,BK53+1)-INDEX($C$47:$BK$47,BK53))/(INDEX($C$45:$BK$45,BK53+1)-INDEX($C$45:$BK$45,BK53))))</f>
        <v>0.99999999999999989</v>
      </c>
    </row>
    <row r="56" spans="2:63" x14ac:dyDescent="0.3">
      <c r="B56" s="2206" t="s">
        <v>2244</v>
      </c>
      <c r="C56" s="2197">
        <v>0</v>
      </c>
      <c r="D56" s="2197">
        <f>+D55-D54</f>
        <v>1.7838367967777109E-3</v>
      </c>
      <c r="E56" s="2197">
        <f t="shared" ref="E56:BK56" si="20">+E55-E54</f>
        <v>6.2567868610355548E-3</v>
      </c>
      <c r="F56" s="2197">
        <f t="shared" si="20"/>
        <v>1.072158401463873E-2</v>
      </c>
      <c r="G56" s="2197">
        <f t="shared" si="20"/>
        <v>1.9783107551358179E-2</v>
      </c>
      <c r="H56" s="2197">
        <f t="shared" si="20"/>
        <v>3.3819111569278471E-2</v>
      </c>
      <c r="I56" s="2197">
        <f t="shared" si="20"/>
        <v>3.488038348247556E-2</v>
      </c>
      <c r="J56" s="2197">
        <f t="shared" si="20"/>
        <v>4.51135059054181E-2</v>
      </c>
      <c r="K56" s="2197">
        <f t="shared" si="20"/>
        <v>5.39662230559394E-2</v>
      </c>
      <c r="L56" s="2197">
        <f t="shared" si="20"/>
        <v>5.7949826218219674E-2</v>
      </c>
      <c r="M56" s="2197">
        <f t="shared" si="20"/>
        <v>6.4788468477919026E-2</v>
      </c>
      <c r="N56" s="2197">
        <f t="shared" si="20"/>
        <v>6.8170401746178222E-2</v>
      </c>
      <c r="O56" s="2197">
        <f t="shared" si="20"/>
        <v>6.8691437271245659E-2</v>
      </c>
      <c r="P56" s="2197">
        <f t="shared" si="20"/>
        <v>6.4263914851491244E-2</v>
      </c>
      <c r="Q56" s="2197">
        <f t="shared" si="20"/>
        <v>6.2182678934341928E-2</v>
      </c>
      <c r="R56" s="2197">
        <f t="shared" si="20"/>
        <v>6.0969864697935416E-2</v>
      </c>
      <c r="S56" s="2197">
        <f t="shared" si="20"/>
        <v>5.5680553996835136E-2</v>
      </c>
      <c r="T56" s="2197">
        <f t="shared" si="20"/>
        <v>4.9811874136302836E-2</v>
      </c>
      <c r="U56" s="2197">
        <f t="shared" si="20"/>
        <v>4.9809421321176828E-2</v>
      </c>
      <c r="V56" s="2197">
        <f t="shared" si="20"/>
        <v>4.6252188046931431E-2</v>
      </c>
      <c r="W56" s="2197">
        <f t="shared" si="20"/>
        <v>3.884591020288386E-2</v>
      </c>
      <c r="X56" s="2197">
        <f t="shared" si="20"/>
        <v>3.3307656764089866E-2</v>
      </c>
      <c r="Y56" s="2197">
        <f t="shared" si="20"/>
        <v>2.8129859163246396E-2</v>
      </c>
      <c r="Z56" s="2197">
        <f t="shared" si="20"/>
        <v>1.9317456626116725E-2</v>
      </c>
      <c r="AA56" s="2197">
        <f t="shared" si="20"/>
        <v>1.557576171286712E-2</v>
      </c>
      <c r="AB56" s="2197">
        <f t="shared" si="20"/>
        <v>9.9281865952968174E-3</v>
      </c>
      <c r="AC56" s="2197">
        <f t="shared" si="20"/>
        <v>0</v>
      </c>
      <c r="AD56" s="2197">
        <f t="shared" si="20"/>
        <v>0</v>
      </c>
      <c r="AE56" s="2197">
        <f t="shared" si="20"/>
        <v>0</v>
      </c>
      <c r="AF56" s="2197">
        <f t="shared" si="20"/>
        <v>0</v>
      </c>
      <c r="AG56" s="2197">
        <f t="shared" si="20"/>
        <v>0</v>
      </c>
      <c r="AH56" s="2197">
        <f t="shared" si="20"/>
        <v>0</v>
      </c>
      <c r="AI56" s="2197">
        <f t="shared" si="20"/>
        <v>0</v>
      </c>
      <c r="AJ56" s="2197">
        <f t="shared" si="20"/>
        <v>0</v>
      </c>
      <c r="AK56" s="2197">
        <f t="shared" si="20"/>
        <v>0</v>
      </c>
      <c r="AL56" s="2197">
        <f t="shared" si="20"/>
        <v>0</v>
      </c>
      <c r="AM56" s="2197">
        <f t="shared" si="20"/>
        <v>0</v>
      </c>
      <c r="AN56" s="2197">
        <f t="shared" si="20"/>
        <v>0</v>
      </c>
      <c r="AO56" s="2197">
        <f t="shared" si="20"/>
        <v>0</v>
      </c>
      <c r="AP56" s="2197">
        <f t="shared" si="20"/>
        <v>0</v>
      </c>
      <c r="AQ56" s="2197">
        <f t="shared" si="20"/>
        <v>0</v>
      </c>
      <c r="AR56" s="2197">
        <f t="shared" si="20"/>
        <v>0</v>
      </c>
      <c r="AS56" s="2197">
        <f t="shared" si="20"/>
        <v>0</v>
      </c>
      <c r="AT56" s="2197">
        <f t="shared" si="20"/>
        <v>0</v>
      </c>
      <c r="AU56" s="2197">
        <f t="shared" si="20"/>
        <v>0</v>
      </c>
      <c r="AV56" s="2197">
        <f t="shared" si="20"/>
        <v>0</v>
      </c>
      <c r="AW56" s="2197">
        <f t="shared" si="20"/>
        <v>0</v>
      </c>
      <c r="AX56" s="2197">
        <f t="shared" si="20"/>
        <v>0</v>
      </c>
      <c r="AY56" s="2197">
        <f t="shared" si="20"/>
        <v>0</v>
      </c>
      <c r="AZ56" s="2197">
        <f t="shared" si="20"/>
        <v>0</v>
      </c>
      <c r="BA56" s="2197">
        <f t="shared" si="20"/>
        <v>0</v>
      </c>
      <c r="BB56" s="2197">
        <f t="shared" si="20"/>
        <v>0</v>
      </c>
      <c r="BC56" s="2197">
        <f t="shared" si="20"/>
        <v>0</v>
      </c>
      <c r="BD56" s="2197">
        <f t="shared" si="20"/>
        <v>0</v>
      </c>
      <c r="BE56" s="2197">
        <f t="shared" si="20"/>
        <v>0</v>
      </c>
      <c r="BF56" s="2197">
        <f t="shared" si="20"/>
        <v>0</v>
      </c>
      <c r="BG56" s="2197">
        <f t="shared" si="20"/>
        <v>0</v>
      </c>
      <c r="BH56" s="2197">
        <f t="shared" si="20"/>
        <v>0</v>
      </c>
      <c r="BI56" s="2197">
        <f t="shared" si="20"/>
        <v>0</v>
      </c>
      <c r="BJ56" s="2197">
        <f t="shared" si="20"/>
        <v>0</v>
      </c>
      <c r="BK56" s="2197">
        <f t="shared" si="20"/>
        <v>0</v>
      </c>
    </row>
    <row r="58" spans="2:63" s="2347" customFormat="1" x14ac:dyDescent="0.3">
      <c r="B58" s="2347" t="s">
        <v>2245</v>
      </c>
    </row>
    <row r="59" spans="2:63" x14ac:dyDescent="0.3">
      <c r="B59" s="2346" t="s">
        <v>2246</v>
      </c>
      <c r="C59" s="2346" t="s">
        <v>633</v>
      </c>
    </row>
    <row r="60" spans="2:63" x14ac:dyDescent="0.3">
      <c r="B60" s="2308" t="s">
        <v>2247</v>
      </c>
      <c r="C60" s="2165">
        <v>2</v>
      </c>
    </row>
    <row r="61" spans="2:63" x14ac:dyDescent="0.3">
      <c r="B61" s="2308" t="s">
        <v>2248</v>
      </c>
      <c r="C61" s="2165">
        <v>13</v>
      </c>
    </row>
    <row r="62" spans="2:63" x14ac:dyDescent="0.3">
      <c r="B62" s="2308" t="s">
        <v>2249</v>
      </c>
      <c r="C62" s="2164">
        <v>5.05</v>
      </c>
    </row>
    <row r="63" spans="2:63" x14ac:dyDescent="0.3">
      <c r="B63" s="2200" t="s">
        <v>2250</v>
      </c>
      <c r="C63" s="2201">
        <f>1+((C61-1)/(C4-1))*(C62-2)</f>
        <v>2.5249999999999999</v>
      </c>
    </row>
    <row r="64" spans="2:63" x14ac:dyDescent="0.3">
      <c r="B64" s="2200" t="s">
        <v>2251</v>
      </c>
      <c r="C64" s="2201">
        <f>+C62-C63</f>
        <v>2.5249999999999999</v>
      </c>
    </row>
    <row r="65" spans="1:63" x14ac:dyDescent="0.3">
      <c r="A65" s="2199"/>
      <c r="B65" s="2202"/>
    </row>
    <row r="66" spans="1:63" x14ac:dyDescent="0.3">
      <c r="B66" s="2444" t="s">
        <v>1954</v>
      </c>
      <c r="C66" s="2443">
        <v>0</v>
      </c>
      <c r="D66" s="2443">
        <f>+C66+1</f>
        <v>1</v>
      </c>
      <c r="E66" s="2443">
        <f t="shared" ref="E66:BK66" si="21">+D66+1</f>
        <v>2</v>
      </c>
      <c r="F66" s="2443">
        <f t="shared" si="21"/>
        <v>3</v>
      </c>
      <c r="G66" s="2443">
        <f t="shared" si="21"/>
        <v>4</v>
      </c>
      <c r="H66" s="2443">
        <f t="shared" si="21"/>
        <v>5</v>
      </c>
      <c r="I66" s="2443">
        <f t="shared" si="21"/>
        <v>6</v>
      </c>
      <c r="J66" s="2443">
        <f t="shared" si="21"/>
        <v>7</v>
      </c>
      <c r="K66" s="2443">
        <f t="shared" si="21"/>
        <v>8</v>
      </c>
      <c r="L66" s="2443">
        <f t="shared" si="21"/>
        <v>9</v>
      </c>
      <c r="M66" s="2443">
        <f t="shared" si="21"/>
        <v>10</v>
      </c>
      <c r="N66" s="2443">
        <f t="shared" si="21"/>
        <v>11</v>
      </c>
      <c r="O66" s="2443">
        <f t="shared" si="21"/>
        <v>12</v>
      </c>
      <c r="P66" s="2443">
        <f t="shared" si="21"/>
        <v>13</v>
      </c>
      <c r="Q66" s="2443">
        <f t="shared" si="21"/>
        <v>14</v>
      </c>
      <c r="R66" s="2443">
        <f t="shared" si="21"/>
        <v>15</v>
      </c>
      <c r="S66" s="2443">
        <f t="shared" si="21"/>
        <v>16</v>
      </c>
      <c r="T66" s="2443">
        <f t="shared" si="21"/>
        <v>17</v>
      </c>
      <c r="U66" s="2443">
        <f t="shared" si="21"/>
        <v>18</v>
      </c>
      <c r="V66" s="2443">
        <f t="shared" si="21"/>
        <v>19</v>
      </c>
      <c r="W66" s="2443">
        <f t="shared" si="21"/>
        <v>20</v>
      </c>
      <c r="X66" s="2443">
        <f t="shared" si="21"/>
        <v>21</v>
      </c>
      <c r="Y66" s="2443">
        <f t="shared" si="21"/>
        <v>22</v>
      </c>
      <c r="Z66" s="2443">
        <f t="shared" si="21"/>
        <v>23</v>
      </c>
      <c r="AA66" s="2443">
        <f t="shared" si="21"/>
        <v>24</v>
      </c>
      <c r="AB66" s="2443">
        <f t="shared" si="21"/>
        <v>25</v>
      </c>
      <c r="AC66" s="2443">
        <f t="shared" si="21"/>
        <v>26</v>
      </c>
      <c r="AD66" s="2443">
        <f t="shared" si="21"/>
        <v>27</v>
      </c>
      <c r="AE66" s="2443">
        <f t="shared" si="21"/>
        <v>28</v>
      </c>
      <c r="AF66" s="2443">
        <f t="shared" si="21"/>
        <v>29</v>
      </c>
      <c r="AG66" s="2443">
        <f t="shared" si="21"/>
        <v>30</v>
      </c>
      <c r="AH66" s="2443">
        <f t="shared" si="21"/>
        <v>31</v>
      </c>
      <c r="AI66" s="2443">
        <f t="shared" si="21"/>
        <v>32</v>
      </c>
      <c r="AJ66" s="2443">
        <f t="shared" si="21"/>
        <v>33</v>
      </c>
      <c r="AK66" s="2443">
        <f t="shared" si="21"/>
        <v>34</v>
      </c>
      <c r="AL66" s="2443">
        <f t="shared" si="21"/>
        <v>35</v>
      </c>
      <c r="AM66" s="2443">
        <f t="shared" si="21"/>
        <v>36</v>
      </c>
      <c r="AN66" s="2443">
        <f t="shared" si="21"/>
        <v>37</v>
      </c>
      <c r="AO66" s="2443">
        <f t="shared" si="21"/>
        <v>38</v>
      </c>
      <c r="AP66" s="2443">
        <f t="shared" si="21"/>
        <v>39</v>
      </c>
      <c r="AQ66" s="2443">
        <f t="shared" si="21"/>
        <v>40</v>
      </c>
      <c r="AR66" s="2443">
        <f t="shared" si="21"/>
        <v>41</v>
      </c>
      <c r="AS66" s="2443">
        <f t="shared" si="21"/>
        <v>42</v>
      </c>
      <c r="AT66" s="2443">
        <f t="shared" si="21"/>
        <v>43</v>
      </c>
      <c r="AU66" s="2443">
        <f t="shared" si="21"/>
        <v>44</v>
      </c>
      <c r="AV66" s="2443">
        <f t="shared" si="21"/>
        <v>45</v>
      </c>
      <c r="AW66" s="2443">
        <f t="shared" si="21"/>
        <v>46</v>
      </c>
      <c r="AX66" s="2443">
        <f t="shared" si="21"/>
        <v>47</v>
      </c>
      <c r="AY66" s="2443">
        <f t="shared" si="21"/>
        <v>48</v>
      </c>
      <c r="AZ66" s="2443">
        <f t="shared" si="21"/>
        <v>49</v>
      </c>
      <c r="BA66" s="2443">
        <f t="shared" si="21"/>
        <v>50</v>
      </c>
      <c r="BB66" s="2443">
        <f t="shared" si="21"/>
        <v>51</v>
      </c>
      <c r="BC66" s="2443">
        <f t="shared" si="21"/>
        <v>52</v>
      </c>
      <c r="BD66" s="2443">
        <f t="shared" si="21"/>
        <v>53</v>
      </c>
      <c r="BE66" s="2443">
        <f t="shared" si="21"/>
        <v>54</v>
      </c>
      <c r="BF66" s="2443">
        <f t="shared" si="21"/>
        <v>55</v>
      </c>
      <c r="BG66" s="2443">
        <f t="shared" si="21"/>
        <v>56</v>
      </c>
      <c r="BH66" s="2443">
        <f t="shared" si="21"/>
        <v>57</v>
      </c>
      <c r="BI66" s="2443">
        <f t="shared" si="21"/>
        <v>58</v>
      </c>
      <c r="BJ66" s="2443">
        <f t="shared" si="21"/>
        <v>59</v>
      </c>
      <c r="BK66" s="2443">
        <f t="shared" si="21"/>
        <v>60</v>
      </c>
    </row>
    <row r="67" spans="1:63" x14ac:dyDescent="0.3">
      <c r="B67" s="2206" t="s">
        <v>2226</v>
      </c>
      <c r="C67" s="2197">
        <v>0</v>
      </c>
      <c r="D67" s="2197">
        <f>+IF(ISNA(D72),0,D72/SUM($D72:INDEX($C72:$XFD72,1+$C$4)))</f>
        <v>1.5814727044966539E-3</v>
      </c>
      <c r="E67" s="2197">
        <f>+IF(ISNA(E72),0,E72/SUM($D72:INDEX($C72:$XFD72,1+$C$4)))</f>
        <v>7.1156403204849679E-3</v>
      </c>
      <c r="F67" s="2197">
        <f>+IF(ISNA(F72),0,F72/SUM($D72:INDEX($C72:$XFD72,1+$C$4)))</f>
        <v>1.4404442920346141E-2</v>
      </c>
      <c r="G67" s="2197">
        <f>+IF(ISNA(G72),0,G72/SUM($D72:INDEX($C72:$XFD72,1+$C$4)))</f>
        <v>2.2411686631570046E-2</v>
      </c>
      <c r="H67" s="2197">
        <f>+IF(ISNA(H72),0,H72/SUM($D72:INDEX($C72:$XFD72,1+$C$4)))</f>
        <v>3.0557439797375567E-2</v>
      </c>
      <c r="I67" s="2197">
        <f>+IF(ISNA(I72),0,I72/SUM($D72:INDEX($C72:$XFD72,1+$C$4)))</f>
        <v>3.8440893881079227E-2</v>
      </c>
      <c r="J67" s="2197">
        <f>+IF(ISNA(J72),0,J72/SUM($D72:INDEX($C72:$XFD72,1+$C$4)))</f>
        <v>4.5763603854153512E-2</v>
      </c>
      <c r="K67" s="2197">
        <f>+IF(ISNA(K72),0,K72/SUM($D72:INDEX($C72:$XFD72,1+$C$4)))</f>
        <v>5.2296198061070331E-2</v>
      </c>
      <c r="L67" s="2197">
        <f>+IF(ISNA(L72),0,L72/SUM($D72:INDEX($C72:$XFD72,1+$C$4)))</f>
        <v>5.7860944121649577E-2</v>
      </c>
      <c r="M67" s="2197">
        <f>+IF(ISNA(M72),0,M72/SUM($D72:INDEX($C72:$XFD72,1+$C$4)))</f>
        <v>6.2321596902588483E-2</v>
      </c>
      <c r="N67" s="2197">
        <f>+IF(ISNA(N72),0,N72/SUM($D72:INDEX($C72:$XFD72,1+$C$4)))</f>
        <v>6.5577123026575757E-2</v>
      </c>
      <c r="O67" s="2197">
        <f>+IF(ISNA(O72),0,O72/SUM($D72:INDEX($C72:$XFD72,1+$C$4)))</f>
        <v>6.7557734903559707E-2</v>
      </c>
      <c r="P67" s="2197">
        <f>+IF(ISNA(P72),0,P72/SUM($D72:INDEX($C72:$XFD72,1+$C$4)))</f>
        <v>6.8222445750100003E-2</v>
      </c>
      <c r="Q67" s="2197">
        <f>+IF(ISNA(Q72),0,Q72/SUM($D72:INDEX($C72:$XFD72,1+$C$4)))</f>
        <v>6.7557734903559874E-2</v>
      </c>
      <c r="R67" s="2197">
        <f>+IF(ISNA(R72),0,R72/SUM($D72:INDEX($C72:$XFD72,1+$C$4)))</f>
        <v>6.557712302657559E-2</v>
      </c>
      <c r="S67" s="2197">
        <f>+IF(ISNA(S72),0,S72/SUM($D72:INDEX($C72:$XFD72,1+$C$4)))</f>
        <v>6.2321596902588539E-2</v>
      </c>
      <c r="T67" s="2197">
        <f>+IF(ISNA(T72),0,T72/SUM($D72:INDEX($C72:$XFD72,1+$C$4)))</f>
        <v>5.7860944121649771E-2</v>
      </c>
      <c r="U67" s="2197">
        <f>+IF(ISNA(U72),0,U72/SUM($D72:INDEX($C72:$XFD72,1+$C$4)))</f>
        <v>5.2296198061070109E-2</v>
      </c>
      <c r="V67" s="2197">
        <f>+IF(ISNA(V72),0,V72/SUM($D72:INDEX($C72:$XFD72,1+$C$4)))</f>
        <v>4.5763603854153567E-2</v>
      </c>
      <c r="W67" s="2197">
        <f>+IF(ISNA(W72),0,W72/SUM($D72:INDEX($C72:$XFD72,1+$C$4)))</f>
        <v>3.8440893881079297E-2</v>
      </c>
      <c r="X67" s="2197">
        <f>+IF(ISNA(X72),0,X72/SUM($D72:INDEX($C72:$XFD72,1+$C$4)))</f>
        <v>3.0557439797375463E-2</v>
      </c>
      <c r="Y67" s="2197">
        <f>+IF(ISNA(Y72),0,Y72/SUM($D72:INDEX($C72:$XFD72,1+$C$4)))</f>
        <v>2.2411686631570005E-2</v>
      </c>
      <c r="Z67" s="2197">
        <f>+IF(ISNA(Z72),0,Z72/SUM($D72:INDEX($C72:$XFD72,1+$C$4)))</f>
        <v>1.4404442920346261E-2</v>
      </c>
      <c r="AA67" s="2197">
        <f>+IF(ISNA(AA72),0,AA72/SUM($D72:INDEX($C72:$XFD72,1+$C$4)))</f>
        <v>7.1156403204848395E-3</v>
      </c>
      <c r="AB67" s="2197">
        <f>+IF(ISNA(AB72),0,AB72/SUM($D72:INDEX($C72:$XFD72,1+$C$4)))</f>
        <v>1.5814727044967114E-3</v>
      </c>
      <c r="AC67" s="2197">
        <f>+IF(ISNA(AC72),0,AC72/SUM($D72:INDEX($C72:$XFD72,1+$C$4)))</f>
        <v>0</v>
      </c>
      <c r="AD67" s="2197">
        <f>+IF(ISNA(AD72),0,AD72/SUM($D72:INDEX($C72:$XFD72,1+$C$4)))</f>
        <v>0</v>
      </c>
      <c r="AE67" s="2197">
        <f>+IF(ISNA(AE72),0,AE72/SUM($D72:INDEX($C72:$XFD72,1+$C$4)))</f>
        <v>0</v>
      </c>
      <c r="AF67" s="2197">
        <f>+IF(ISNA(AF72),0,AF72/SUM($D72:INDEX($C72:$XFD72,1+$C$4)))</f>
        <v>0</v>
      </c>
      <c r="AG67" s="2197">
        <f>+IF(ISNA(AG72),0,AG72/SUM($D72:INDEX($C72:$XFD72,1+$C$4)))</f>
        <v>0</v>
      </c>
      <c r="AH67" s="2197">
        <f>+IF(ISNA(AH72),0,AH72/SUM($D72:INDEX($C72:$XFD72,1+$C$4)))</f>
        <v>0</v>
      </c>
      <c r="AI67" s="2197">
        <f>+IF(ISNA(AI72),0,AI72/SUM($D72:INDEX($C72:$XFD72,1+$C$4)))</f>
        <v>0</v>
      </c>
      <c r="AJ67" s="2197">
        <f>+IF(ISNA(AJ72),0,AJ72/SUM($D72:INDEX($C72:$XFD72,1+$C$4)))</f>
        <v>0</v>
      </c>
      <c r="AK67" s="2197">
        <f>+IF(ISNA(AK72),0,AK72/SUM($D72:INDEX($C72:$XFD72,1+$C$4)))</f>
        <v>0</v>
      </c>
      <c r="AL67" s="2197">
        <f>+IF(ISNA(AL72),0,AL72/SUM($D72:INDEX($C72:$XFD72,1+$C$4)))</f>
        <v>0</v>
      </c>
      <c r="AM67" s="2197">
        <f>+IF(ISNA(AM72),0,AM72/SUM($D72:INDEX($C72:$XFD72,1+$C$4)))</f>
        <v>0</v>
      </c>
      <c r="AN67" s="2197">
        <f>+IF(ISNA(AN72),0,AN72/SUM($D72:INDEX($C72:$XFD72,1+$C$4)))</f>
        <v>0</v>
      </c>
      <c r="AO67" s="2197">
        <f>+IF(ISNA(AO72),0,AO72/SUM($D72:INDEX($C72:$XFD72,1+$C$4)))</f>
        <v>0</v>
      </c>
      <c r="AP67" s="2197">
        <f>+IF(ISNA(AP72),0,AP72/SUM($D72:INDEX($C72:$XFD72,1+$C$4)))</f>
        <v>0</v>
      </c>
      <c r="AQ67" s="2197">
        <f>+IF(ISNA(AQ72),0,AQ72/SUM($D72:INDEX($C72:$XFD72,1+$C$4)))</f>
        <v>0</v>
      </c>
      <c r="AR67" s="2197">
        <f>+IF(ISNA(AR72),0,AR72/SUM($D72:INDEX($C72:$XFD72,1+$C$4)))</f>
        <v>0</v>
      </c>
      <c r="AS67" s="2197">
        <f>+IF(ISNA(AS72),0,AS72/SUM($D72:INDEX($C72:$XFD72,1+$C$4)))</f>
        <v>0</v>
      </c>
      <c r="AT67" s="2197">
        <f>+IF(ISNA(AT72),0,AT72/SUM($D72:INDEX($C72:$XFD72,1+$C$4)))</f>
        <v>0</v>
      </c>
      <c r="AU67" s="2197">
        <f>+IF(ISNA(AU72),0,AU72/SUM($D72:INDEX($C72:$XFD72,1+$C$4)))</f>
        <v>0</v>
      </c>
      <c r="AV67" s="2197">
        <f>+IF(ISNA(AV72),0,AV72/SUM($D72:INDEX($C72:$XFD72,1+$C$4)))</f>
        <v>0</v>
      </c>
      <c r="AW67" s="2197">
        <f>+IF(ISNA(AW72),0,AW72/SUM($D72:INDEX($C72:$XFD72,1+$C$4)))</f>
        <v>0</v>
      </c>
      <c r="AX67" s="2197">
        <f>+IF(ISNA(AX72),0,AX72/SUM($D72:INDEX($C72:$XFD72,1+$C$4)))</f>
        <v>0</v>
      </c>
      <c r="AY67" s="2197">
        <f>+IF(ISNA(AY72),0,AY72/SUM($D72:INDEX($C72:$XFD72,1+$C$4)))</f>
        <v>0</v>
      </c>
      <c r="AZ67" s="2197">
        <f>+IF(ISNA(AZ72),0,AZ72/SUM($D72:INDEX($C72:$XFD72,1+$C$4)))</f>
        <v>0</v>
      </c>
      <c r="BA67" s="2197">
        <f>+IF(ISNA(BA72),0,BA72/SUM($D72:INDEX($C72:$XFD72,1+$C$4)))</f>
        <v>0</v>
      </c>
      <c r="BB67" s="2197">
        <f>+IF(ISNA(BB72),0,BB72/SUM($D72:INDEX($C72:$XFD72,1+$C$4)))</f>
        <v>0</v>
      </c>
      <c r="BC67" s="2197">
        <f>+IF(ISNA(BC72),0,BC72/SUM($D72:INDEX($C72:$XFD72,1+$C$4)))</f>
        <v>0</v>
      </c>
      <c r="BD67" s="2197">
        <f>+IF(ISNA(BD72),0,BD72/SUM($D72:INDEX($C72:$XFD72,1+$C$4)))</f>
        <v>0</v>
      </c>
      <c r="BE67" s="2197">
        <f>+IF(ISNA(BE72),0,BE72/SUM($D72:INDEX($C72:$XFD72,1+$C$4)))</f>
        <v>0</v>
      </c>
      <c r="BF67" s="2197">
        <f>+IF(ISNA(BF72),0,BF72/SUM($D72:INDEX($C72:$XFD72,1+$C$4)))</f>
        <v>0</v>
      </c>
      <c r="BG67" s="2197">
        <f>+IF(ISNA(BG72),0,BG72/SUM($D72:INDEX($C72:$XFD72,1+$C$4)))</f>
        <v>0</v>
      </c>
      <c r="BH67" s="2197">
        <f>+IF(ISNA(BH72),0,BH72/SUM($D72:INDEX($C72:$XFD72,1+$C$4)))</f>
        <v>0</v>
      </c>
      <c r="BI67" s="2197">
        <f>+IF(ISNA(BI72),0,BI72/SUM($D72:INDEX($C72:$XFD72,1+$C$4)))</f>
        <v>0</v>
      </c>
      <c r="BJ67" s="2197">
        <f>+IF(ISNA(BJ72),0,BJ72/SUM($D72:INDEX($C72:$XFD72,1+$C$4)))</f>
        <v>0</v>
      </c>
      <c r="BK67" s="2197">
        <f>+IF(ISNA(BK72),0,BK72/SUM($D72:INDEX($C72:$XFD72,1+$C$4)))</f>
        <v>0</v>
      </c>
    </row>
    <row r="68" spans="1:63" x14ac:dyDescent="0.3">
      <c r="B68" s="2206" t="s">
        <v>2236</v>
      </c>
      <c r="C68" s="2197">
        <f>+SUM($C$67:C67)</f>
        <v>0</v>
      </c>
      <c r="D68" s="2197">
        <f>+SUM($C$67:D67)</f>
        <v>1.5814727044966539E-3</v>
      </c>
      <c r="E68" s="2197">
        <f>+SUM($C$67:E67)</f>
        <v>8.697113024981622E-3</v>
      </c>
      <c r="F68" s="2197">
        <f>+SUM($C$67:F67)</f>
        <v>2.3101555945327763E-2</v>
      </c>
      <c r="G68" s="2197">
        <f>+SUM($C$67:G67)</f>
        <v>4.551324257689781E-2</v>
      </c>
      <c r="H68" s="2197">
        <f>+SUM($C$67:H67)</f>
        <v>7.6070682374273377E-2</v>
      </c>
      <c r="I68" s="2197">
        <f>+SUM($C$67:I67)</f>
        <v>0.1145115762553526</v>
      </c>
      <c r="J68" s="2197">
        <f>+SUM($C$67:J67)</f>
        <v>0.16027518010950612</v>
      </c>
      <c r="K68" s="2197">
        <f>+SUM($C$67:K67)</f>
        <v>0.21257137817057645</v>
      </c>
      <c r="L68" s="2197">
        <f>+SUM($C$67:L67)</f>
        <v>0.27043232229222602</v>
      </c>
      <c r="M68" s="2197">
        <f>+SUM($C$67:M67)</f>
        <v>0.33275391919481451</v>
      </c>
      <c r="N68" s="2197">
        <f>+SUM($C$67:N67)</f>
        <v>0.39833104222139026</v>
      </c>
      <c r="O68" s="2197">
        <f>+SUM($C$67:O67)</f>
        <v>0.46588877712494997</v>
      </c>
      <c r="P68" s="2197">
        <f>+SUM($C$67:P67)</f>
        <v>0.53411122287504997</v>
      </c>
      <c r="Q68" s="2197">
        <f>+SUM($C$67:Q67)</f>
        <v>0.60166895777860985</v>
      </c>
      <c r="R68" s="2197">
        <f>+SUM($C$67:R67)</f>
        <v>0.66724608080518544</v>
      </c>
      <c r="S68" s="2197">
        <f>+SUM($C$67:S67)</f>
        <v>0.72956767770777398</v>
      </c>
      <c r="T68" s="2197">
        <f>+SUM($C$67:T67)</f>
        <v>0.78742862182942375</v>
      </c>
      <c r="U68" s="2197">
        <f>+SUM($C$67:U67)</f>
        <v>0.83972481989049386</v>
      </c>
      <c r="V68" s="2197">
        <f>+SUM($C$67:V67)</f>
        <v>0.88548842374464742</v>
      </c>
      <c r="W68" s="2197">
        <f>+SUM($C$67:W67)</f>
        <v>0.92392931762572672</v>
      </c>
      <c r="X68" s="2197">
        <f>+SUM($C$67:X67)</f>
        <v>0.95448675742310218</v>
      </c>
      <c r="Y68" s="2197">
        <f>+SUM($C$67:Y67)</f>
        <v>0.97689844405467219</v>
      </c>
      <c r="Z68" s="2197">
        <f>+SUM($C$67:Z67)</f>
        <v>0.99130288697501845</v>
      </c>
      <c r="AA68" s="2197">
        <f>+SUM($C$67:AA67)</f>
        <v>0.99841852729550329</v>
      </c>
      <c r="AB68" s="2197">
        <f>+SUM($C$67:AB67)</f>
        <v>1</v>
      </c>
      <c r="AC68" s="2197">
        <f>+SUM($C$67:AC67)</f>
        <v>1</v>
      </c>
      <c r="AD68" s="2197">
        <f>+SUM($C$67:AD67)</f>
        <v>1</v>
      </c>
      <c r="AE68" s="2197">
        <f>+SUM($C$67:AE67)</f>
        <v>1</v>
      </c>
      <c r="AF68" s="2197">
        <f>+SUM($C$67:AF67)</f>
        <v>1</v>
      </c>
      <c r="AG68" s="2197">
        <f>+SUM($C$67:AG67)</f>
        <v>1</v>
      </c>
      <c r="AH68" s="2197">
        <f>+SUM($C$67:AH67)</f>
        <v>1</v>
      </c>
      <c r="AI68" s="2197">
        <f>+SUM($C$67:AI67)</f>
        <v>1</v>
      </c>
      <c r="AJ68" s="2197">
        <f>+SUM($C$67:AJ67)</f>
        <v>1</v>
      </c>
      <c r="AK68" s="2197">
        <f>+SUM($C$67:AK67)</f>
        <v>1</v>
      </c>
      <c r="AL68" s="2197">
        <f>+SUM($C$67:AL67)</f>
        <v>1</v>
      </c>
      <c r="AM68" s="2197">
        <f>+SUM($C$67:AM67)</f>
        <v>1</v>
      </c>
      <c r="AN68" s="2197">
        <f>+SUM($C$67:AN67)</f>
        <v>1</v>
      </c>
      <c r="AO68" s="2197">
        <f>+SUM($C$67:AO67)</f>
        <v>1</v>
      </c>
      <c r="AP68" s="2197">
        <f>+SUM($C$67:AP67)</f>
        <v>1</v>
      </c>
      <c r="AQ68" s="2197">
        <f>+SUM($C$67:AQ67)</f>
        <v>1</v>
      </c>
      <c r="AR68" s="2197">
        <f>+SUM($C$67:AR67)</f>
        <v>1</v>
      </c>
      <c r="AS68" s="2197">
        <f>+SUM($C$67:AS67)</f>
        <v>1</v>
      </c>
      <c r="AT68" s="2197">
        <f>+SUM($C$67:AT67)</f>
        <v>1</v>
      </c>
      <c r="AU68" s="2197">
        <f>+SUM($C$67:AU67)</f>
        <v>1</v>
      </c>
      <c r="AV68" s="2197">
        <f>+SUM($C$67:AV67)</f>
        <v>1</v>
      </c>
      <c r="AW68" s="2197">
        <f>+SUM($C$67:AW67)</f>
        <v>1</v>
      </c>
      <c r="AX68" s="2197">
        <f>+SUM($C$67:AX67)</f>
        <v>1</v>
      </c>
      <c r="AY68" s="2197">
        <f>+SUM($C$67:AY67)</f>
        <v>1</v>
      </c>
      <c r="AZ68" s="2197">
        <f>+SUM($C$67:AZ67)</f>
        <v>1</v>
      </c>
      <c r="BA68" s="2197">
        <f>+SUM($C$67:BA67)</f>
        <v>1</v>
      </c>
      <c r="BB68" s="2197">
        <f>+SUM($C$67:BB67)</f>
        <v>1</v>
      </c>
      <c r="BC68" s="2197">
        <f>+SUM($C$67:BC67)</f>
        <v>1</v>
      </c>
      <c r="BD68" s="2197">
        <f>+SUM($C$67:BD67)</f>
        <v>1</v>
      </c>
      <c r="BE68" s="2197">
        <f>+SUM($C$67:BE67)</f>
        <v>1</v>
      </c>
      <c r="BF68" s="2197">
        <f>+SUM($C$67:BF67)</f>
        <v>1</v>
      </c>
      <c r="BG68" s="2197">
        <f>+SUM($C$67:BG67)</f>
        <v>1</v>
      </c>
      <c r="BH68" s="2197">
        <f>+SUM($C$67:BH67)</f>
        <v>1</v>
      </c>
      <c r="BI68" s="2197">
        <f>+SUM($C$67:BI67)</f>
        <v>1</v>
      </c>
      <c r="BJ68" s="2197">
        <f>+SUM($C$67:BJ67)</f>
        <v>1</v>
      </c>
      <c r="BK68" s="2197">
        <f>+SUM($C$67:BK67)</f>
        <v>1</v>
      </c>
    </row>
    <row r="70" spans="1:63" x14ac:dyDescent="0.3">
      <c r="B70" s="2206" t="s">
        <v>2238</v>
      </c>
      <c r="C70" s="2206"/>
      <c r="D70" s="2449">
        <f t="shared" ref="D70:AI70" si="22">+(D66-1)/$C$4</f>
        <v>0</v>
      </c>
      <c r="E70" s="2449">
        <f t="shared" si="22"/>
        <v>0.04</v>
      </c>
      <c r="F70" s="2449">
        <f t="shared" si="22"/>
        <v>0.08</v>
      </c>
      <c r="G70" s="2449">
        <f t="shared" si="22"/>
        <v>0.12</v>
      </c>
      <c r="H70" s="2449">
        <f t="shared" si="22"/>
        <v>0.16</v>
      </c>
      <c r="I70" s="2449">
        <f t="shared" si="22"/>
        <v>0.2</v>
      </c>
      <c r="J70" s="2449">
        <f t="shared" si="22"/>
        <v>0.24</v>
      </c>
      <c r="K70" s="2449">
        <f t="shared" si="22"/>
        <v>0.28000000000000003</v>
      </c>
      <c r="L70" s="2449">
        <f t="shared" si="22"/>
        <v>0.32</v>
      </c>
      <c r="M70" s="2449">
        <f t="shared" si="22"/>
        <v>0.36</v>
      </c>
      <c r="N70" s="2449">
        <f t="shared" si="22"/>
        <v>0.4</v>
      </c>
      <c r="O70" s="2449">
        <f t="shared" si="22"/>
        <v>0.44</v>
      </c>
      <c r="P70" s="2449">
        <f t="shared" si="22"/>
        <v>0.48</v>
      </c>
      <c r="Q70" s="2449">
        <f t="shared" si="22"/>
        <v>0.52</v>
      </c>
      <c r="R70" s="2449">
        <f t="shared" si="22"/>
        <v>0.56000000000000005</v>
      </c>
      <c r="S70" s="2449">
        <f t="shared" si="22"/>
        <v>0.6</v>
      </c>
      <c r="T70" s="2449">
        <f t="shared" si="22"/>
        <v>0.64</v>
      </c>
      <c r="U70" s="2449">
        <f t="shared" si="22"/>
        <v>0.68</v>
      </c>
      <c r="V70" s="2449">
        <f t="shared" si="22"/>
        <v>0.72</v>
      </c>
      <c r="W70" s="2449">
        <f t="shared" si="22"/>
        <v>0.76</v>
      </c>
      <c r="X70" s="2449">
        <f t="shared" si="22"/>
        <v>0.8</v>
      </c>
      <c r="Y70" s="2449">
        <f t="shared" si="22"/>
        <v>0.84</v>
      </c>
      <c r="Z70" s="2449">
        <f t="shared" si="22"/>
        <v>0.88</v>
      </c>
      <c r="AA70" s="2449">
        <f t="shared" si="22"/>
        <v>0.92</v>
      </c>
      <c r="AB70" s="2449">
        <f t="shared" si="22"/>
        <v>0.96</v>
      </c>
      <c r="AC70" s="2449">
        <f t="shared" si="22"/>
        <v>1</v>
      </c>
      <c r="AD70" s="2449">
        <f t="shared" si="22"/>
        <v>1.04</v>
      </c>
      <c r="AE70" s="2449">
        <f t="shared" si="22"/>
        <v>1.08</v>
      </c>
      <c r="AF70" s="2449">
        <f t="shared" si="22"/>
        <v>1.1200000000000001</v>
      </c>
      <c r="AG70" s="2449">
        <f t="shared" si="22"/>
        <v>1.1599999999999999</v>
      </c>
      <c r="AH70" s="2449">
        <f t="shared" si="22"/>
        <v>1.2</v>
      </c>
      <c r="AI70" s="2449">
        <f t="shared" si="22"/>
        <v>1.24</v>
      </c>
      <c r="AJ70" s="2449">
        <f t="shared" ref="AJ70:BK70" si="23">+(AJ66-1)/$C$4</f>
        <v>1.28</v>
      </c>
      <c r="AK70" s="2449">
        <f t="shared" si="23"/>
        <v>1.32</v>
      </c>
      <c r="AL70" s="2449">
        <f t="shared" si="23"/>
        <v>1.36</v>
      </c>
      <c r="AM70" s="2449">
        <f t="shared" si="23"/>
        <v>1.4</v>
      </c>
      <c r="AN70" s="2449">
        <f t="shared" si="23"/>
        <v>1.44</v>
      </c>
      <c r="AO70" s="2449">
        <f t="shared" si="23"/>
        <v>1.48</v>
      </c>
      <c r="AP70" s="2449">
        <f t="shared" si="23"/>
        <v>1.52</v>
      </c>
      <c r="AQ70" s="2449">
        <f t="shared" si="23"/>
        <v>1.56</v>
      </c>
      <c r="AR70" s="2449">
        <f t="shared" si="23"/>
        <v>1.6</v>
      </c>
      <c r="AS70" s="2449">
        <f t="shared" si="23"/>
        <v>1.64</v>
      </c>
      <c r="AT70" s="2449">
        <f t="shared" si="23"/>
        <v>1.68</v>
      </c>
      <c r="AU70" s="2449">
        <f t="shared" si="23"/>
        <v>1.72</v>
      </c>
      <c r="AV70" s="2449">
        <f t="shared" si="23"/>
        <v>1.76</v>
      </c>
      <c r="AW70" s="2449">
        <f t="shared" si="23"/>
        <v>1.8</v>
      </c>
      <c r="AX70" s="2449">
        <f t="shared" si="23"/>
        <v>1.84</v>
      </c>
      <c r="AY70" s="2449">
        <f t="shared" si="23"/>
        <v>1.88</v>
      </c>
      <c r="AZ70" s="2449">
        <f t="shared" si="23"/>
        <v>1.92</v>
      </c>
      <c r="BA70" s="2449">
        <f t="shared" si="23"/>
        <v>1.96</v>
      </c>
      <c r="BB70" s="2449">
        <f t="shared" si="23"/>
        <v>2</v>
      </c>
      <c r="BC70" s="2449">
        <f t="shared" si="23"/>
        <v>2.04</v>
      </c>
      <c r="BD70" s="2449">
        <f t="shared" si="23"/>
        <v>2.08</v>
      </c>
      <c r="BE70" s="2449">
        <f t="shared" si="23"/>
        <v>2.12</v>
      </c>
      <c r="BF70" s="2449">
        <f t="shared" si="23"/>
        <v>2.16</v>
      </c>
      <c r="BG70" s="2449">
        <f t="shared" si="23"/>
        <v>2.2000000000000002</v>
      </c>
      <c r="BH70" s="2449">
        <f t="shared" si="23"/>
        <v>2.2400000000000002</v>
      </c>
      <c r="BI70" s="2449">
        <f t="shared" si="23"/>
        <v>2.2799999999999998</v>
      </c>
      <c r="BJ70" s="2449">
        <f t="shared" si="23"/>
        <v>2.3199999999999998</v>
      </c>
      <c r="BK70" s="2449">
        <f t="shared" si="23"/>
        <v>2.36</v>
      </c>
    </row>
    <row r="71" spans="1:63" x14ac:dyDescent="0.3">
      <c r="B71" s="2206" t="s">
        <v>2239</v>
      </c>
      <c r="C71" s="2206"/>
      <c r="D71" s="2449">
        <f t="shared" ref="D71:AI71" si="24">+(D66)/$C$4</f>
        <v>0.04</v>
      </c>
      <c r="E71" s="2449">
        <f t="shared" si="24"/>
        <v>0.08</v>
      </c>
      <c r="F71" s="2449">
        <f t="shared" si="24"/>
        <v>0.12</v>
      </c>
      <c r="G71" s="2449">
        <f t="shared" si="24"/>
        <v>0.16</v>
      </c>
      <c r="H71" s="2449">
        <f t="shared" si="24"/>
        <v>0.2</v>
      </c>
      <c r="I71" s="2449">
        <f t="shared" si="24"/>
        <v>0.24</v>
      </c>
      <c r="J71" s="2449">
        <f t="shared" si="24"/>
        <v>0.28000000000000003</v>
      </c>
      <c r="K71" s="2449">
        <f t="shared" si="24"/>
        <v>0.32</v>
      </c>
      <c r="L71" s="2449">
        <f t="shared" si="24"/>
        <v>0.36</v>
      </c>
      <c r="M71" s="2449">
        <f t="shared" si="24"/>
        <v>0.4</v>
      </c>
      <c r="N71" s="2449">
        <f t="shared" si="24"/>
        <v>0.44</v>
      </c>
      <c r="O71" s="2449">
        <f t="shared" si="24"/>
        <v>0.48</v>
      </c>
      <c r="P71" s="2449">
        <f t="shared" si="24"/>
        <v>0.52</v>
      </c>
      <c r="Q71" s="2449">
        <f t="shared" si="24"/>
        <v>0.56000000000000005</v>
      </c>
      <c r="R71" s="2449">
        <f t="shared" si="24"/>
        <v>0.6</v>
      </c>
      <c r="S71" s="2449">
        <f t="shared" si="24"/>
        <v>0.64</v>
      </c>
      <c r="T71" s="2449">
        <f t="shared" si="24"/>
        <v>0.68</v>
      </c>
      <c r="U71" s="2449">
        <f t="shared" si="24"/>
        <v>0.72</v>
      </c>
      <c r="V71" s="2449">
        <f t="shared" si="24"/>
        <v>0.76</v>
      </c>
      <c r="W71" s="2449">
        <f t="shared" si="24"/>
        <v>0.8</v>
      </c>
      <c r="X71" s="2449">
        <f t="shared" si="24"/>
        <v>0.84</v>
      </c>
      <c r="Y71" s="2449">
        <f t="shared" si="24"/>
        <v>0.88</v>
      </c>
      <c r="Z71" s="2449">
        <f t="shared" si="24"/>
        <v>0.92</v>
      </c>
      <c r="AA71" s="2449">
        <f t="shared" si="24"/>
        <v>0.96</v>
      </c>
      <c r="AB71" s="2449">
        <f t="shared" si="24"/>
        <v>1</v>
      </c>
      <c r="AC71" s="2449">
        <f t="shared" si="24"/>
        <v>1.04</v>
      </c>
      <c r="AD71" s="2449">
        <f t="shared" si="24"/>
        <v>1.08</v>
      </c>
      <c r="AE71" s="2449">
        <f t="shared" si="24"/>
        <v>1.1200000000000001</v>
      </c>
      <c r="AF71" s="2449">
        <f t="shared" si="24"/>
        <v>1.1599999999999999</v>
      </c>
      <c r="AG71" s="2449">
        <f t="shared" si="24"/>
        <v>1.2</v>
      </c>
      <c r="AH71" s="2449">
        <f t="shared" si="24"/>
        <v>1.24</v>
      </c>
      <c r="AI71" s="2449">
        <f t="shared" si="24"/>
        <v>1.28</v>
      </c>
      <c r="AJ71" s="2449">
        <f t="shared" ref="AJ71:BK71" si="25">+(AJ66)/$C$4</f>
        <v>1.32</v>
      </c>
      <c r="AK71" s="2449">
        <f t="shared" si="25"/>
        <v>1.36</v>
      </c>
      <c r="AL71" s="2449">
        <f t="shared" si="25"/>
        <v>1.4</v>
      </c>
      <c r="AM71" s="2449">
        <f t="shared" si="25"/>
        <v>1.44</v>
      </c>
      <c r="AN71" s="2449">
        <f t="shared" si="25"/>
        <v>1.48</v>
      </c>
      <c r="AO71" s="2449">
        <f t="shared" si="25"/>
        <v>1.52</v>
      </c>
      <c r="AP71" s="2449">
        <f t="shared" si="25"/>
        <v>1.56</v>
      </c>
      <c r="AQ71" s="2449">
        <f t="shared" si="25"/>
        <v>1.6</v>
      </c>
      <c r="AR71" s="2449">
        <f t="shared" si="25"/>
        <v>1.64</v>
      </c>
      <c r="AS71" s="2449">
        <f t="shared" si="25"/>
        <v>1.68</v>
      </c>
      <c r="AT71" s="2449">
        <f t="shared" si="25"/>
        <v>1.72</v>
      </c>
      <c r="AU71" s="2449">
        <f t="shared" si="25"/>
        <v>1.76</v>
      </c>
      <c r="AV71" s="2449">
        <f t="shared" si="25"/>
        <v>1.8</v>
      </c>
      <c r="AW71" s="2449">
        <f t="shared" si="25"/>
        <v>1.84</v>
      </c>
      <c r="AX71" s="2449">
        <f t="shared" si="25"/>
        <v>1.88</v>
      </c>
      <c r="AY71" s="2449">
        <f t="shared" si="25"/>
        <v>1.92</v>
      </c>
      <c r="AZ71" s="2449">
        <f t="shared" si="25"/>
        <v>1.96</v>
      </c>
      <c r="BA71" s="2449">
        <f t="shared" si="25"/>
        <v>2</v>
      </c>
      <c r="BB71" s="2449">
        <f t="shared" si="25"/>
        <v>2.04</v>
      </c>
      <c r="BC71" s="2449">
        <f t="shared" si="25"/>
        <v>2.08</v>
      </c>
      <c r="BD71" s="2449">
        <f t="shared" si="25"/>
        <v>2.12</v>
      </c>
      <c r="BE71" s="2449">
        <f t="shared" si="25"/>
        <v>2.16</v>
      </c>
      <c r="BF71" s="2449">
        <f t="shared" si="25"/>
        <v>2.2000000000000002</v>
      </c>
      <c r="BG71" s="2449">
        <f t="shared" si="25"/>
        <v>2.2400000000000002</v>
      </c>
      <c r="BH71" s="2449">
        <f t="shared" si="25"/>
        <v>2.2799999999999998</v>
      </c>
      <c r="BI71" s="2449">
        <f t="shared" si="25"/>
        <v>2.3199999999999998</v>
      </c>
      <c r="BJ71" s="2449">
        <f t="shared" si="25"/>
        <v>2.36</v>
      </c>
      <c r="BK71" s="2449">
        <f t="shared" si="25"/>
        <v>2.4</v>
      </c>
    </row>
    <row r="72" spans="1:63" x14ac:dyDescent="0.3">
      <c r="B72" s="2206" t="s">
        <v>2252</v>
      </c>
      <c r="C72" s="2206"/>
      <c r="D72" s="2206">
        <f t="shared" ref="D72:AI72" si="26">+IF(D66&gt;$C$4,NA(),_xlfn.BETA.DIST(D71,$C$63,$C$64,TRUE)-_xlfn.BETA.DIST(D70,$C$63,$C$64,TRUE))</f>
        <v>1.5814727044966539E-3</v>
      </c>
      <c r="E72" s="2206">
        <f t="shared" si="26"/>
        <v>7.1156403204849679E-3</v>
      </c>
      <c r="F72" s="2206">
        <f t="shared" si="26"/>
        <v>1.4404442920346141E-2</v>
      </c>
      <c r="G72" s="2206">
        <f t="shared" si="26"/>
        <v>2.2411686631570046E-2</v>
      </c>
      <c r="H72" s="2206">
        <f t="shared" si="26"/>
        <v>3.0557439797375567E-2</v>
      </c>
      <c r="I72" s="2206">
        <f t="shared" si="26"/>
        <v>3.8440893881079227E-2</v>
      </c>
      <c r="J72" s="2206">
        <f t="shared" si="26"/>
        <v>4.5763603854153512E-2</v>
      </c>
      <c r="K72" s="2206">
        <f t="shared" si="26"/>
        <v>5.2296198061070331E-2</v>
      </c>
      <c r="L72" s="2206">
        <f t="shared" si="26"/>
        <v>5.7860944121649577E-2</v>
      </c>
      <c r="M72" s="2206">
        <f t="shared" si="26"/>
        <v>6.2321596902588483E-2</v>
      </c>
      <c r="N72" s="2206">
        <f t="shared" si="26"/>
        <v>6.5577123026575757E-2</v>
      </c>
      <c r="O72" s="2206">
        <f t="shared" si="26"/>
        <v>6.7557734903559707E-2</v>
      </c>
      <c r="P72" s="2206">
        <f t="shared" si="26"/>
        <v>6.8222445750100003E-2</v>
      </c>
      <c r="Q72" s="2206">
        <f t="shared" si="26"/>
        <v>6.7557734903559874E-2</v>
      </c>
      <c r="R72" s="2206">
        <f t="shared" si="26"/>
        <v>6.557712302657559E-2</v>
      </c>
      <c r="S72" s="2206">
        <f t="shared" si="26"/>
        <v>6.2321596902588539E-2</v>
      </c>
      <c r="T72" s="2206">
        <f t="shared" si="26"/>
        <v>5.7860944121649771E-2</v>
      </c>
      <c r="U72" s="2206">
        <f t="shared" si="26"/>
        <v>5.2296198061070109E-2</v>
      </c>
      <c r="V72" s="2206">
        <f t="shared" si="26"/>
        <v>4.5763603854153567E-2</v>
      </c>
      <c r="W72" s="2206">
        <f t="shared" si="26"/>
        <v>3.8440893881079297E-2</v>
      </c>
      <c r="X72" s="2206">
        <f t="shared" si="26"/>
        <v>3.0557439797375463E-2</v>
      </c>
      <c r="Y72" s="2206">
        <f t="shared" si="26"/>
        <v>2.2411686631570005E-2</v>
      </c>
      <c r="Z72" s="2206">
        <f t="shared" si="26"/>
        <v>1.4404442920346261E-2</v>
      </c>
      <c r="AA72" s="2206">
        <f t="shared" si="26"/>
        <v>7.1156403204848395E-3</v>
      </c>
      <c r="AB72" s="2206">
        <f t="shared" si="26"/>
        <v>1.5814727044967114E-3</v>
      </c>
      <c r="AC72" s="2206" t="e">
        <f t="shared" si="26"/>
        <v>#N/A</v>
      </c>
      <c r="AD72" s="2206" t="e">
        <f t="shared" si="26"/>
        <v>#N/A</v>
      </c>
      <c r="AE72" s="2206" t="e">
        <f t="shared" si="26"/>
        <v>#N/A</v>
      </c>
      <c r="AF72" s="2206" t="e">
        <f t="shared" si="26"/>
        <v>#N/A</v>
      </c>
      <c r="AG72" s="2206" t="e">
        <f t="shared" si="26"/>
        <v>#N/A</v>
      </c>
      <c r="AH72" s="2206" t="e">
        <f t="shared" si="26"/>
        <v>#N/A</v>
      </c>
      <c r="AI72" s="2206" t="e">
        <f t="shared" si="26"/>
        <v>#N/A</v>
      </c>
      <c r="AJ72" s="2206" t="e">
        <f t="shared" ref="AJ72:BK72" si="27">+IF(AJ66&gt;$C$4,NA(),_xlfn.BETA.DIST(AJ71,$C$63,$C$64,TRUE)-_xlfn.BETA.DIST(AJ70,$C$63,$C$64,TRUE))</f>
        <v>#N/A</v>
      </c>
      <c r="AK72" s="2206" t="e">
        <f t="shared" si="27"/>
        <v>#N/A</v>
      </c>
      <c r="AL72" s="2206" t="e">
        <f t="shared" si="27"/>
        <v>#N/A</v>
      </c>
      <c r="AM72" s="2206" t="e">
        <f t="shared" si="27"/>
        <v>#N/A</v>
      </c>
      <c r="AN72" s="2206" t="e">
        <f t="shared" si="27"/>
        <v>#N/A</v>
      </c>
      <c r="AO72" s="2206" t="e">
        <f t="shared" si="27"/>
        <v>#N/A</v>
      </c>
      <c r="AP72" s="2206" t="e">
        <f t="shared" si="27"/>
        <v>#N/A</v>
      </c>
      <c r="AQ72" s="2206" t="e">
        <f t="shared" si="27"/>
        <v>#N/A</v>
      </c>
      <c r="AR72" s="2206" t="e">
        <f t="shared" si="27"/>
        <v>#N/A</v>
      </c>
      <c r="AS72" s="2206" t="e">
        <f t="shared" si="27"/>
        <v>#N/A</v>
      </c>
      <c r="AT72" s="2206" t="e">
        <f t="shared" si="27"/>
        <v>#N/A</v>
      </c>
      <c r="AU72" s="2206" t="e">
        <f t="shared" si="27"/>
        <v>#N/A</v>
      </c>
      <c r="AV72" s="2206" t="e">
        <f t="shared" si="27"/>
        <v>#N/A</v>
      </c>
      <c r="AW72" s="2206" t="e">
        <f t="shared" si="27"/>
        <v>#N/A</v>
      </c>
      <c r="AX72" s="2206" t="e">
        <f t="shared" si="27"/>
        <v>#N/A</v>
      </c>
      <c r="AY72" s="2206" t="e">
        <f t="shared" si="27"/>
        <v>#N/A</v>
      </c>
      <c r="AZ72" s="2206" t="e">
        <f t="shared" si="27"/>
        <v>#N/A</v>
      </c>
      <c r="BA72" s="2206" t="e">
        <f t="shared" si="27"/>
        <v>#N/A</v>
      </c>
      <c r="BB72" s="2206" t="e">
        <f t="shared" si="27"/>
        <v>#N/A</v>
      </c>
      <c r="BC72" s="2206" t="e">
        <f t="shared" si="27"/>
        <v>#N/A</v>
      </c>
      <c r="BD72" s="2206" t="e">
        <f t="shared" si="27"/>
        <v>#N/A</v>
      </c>
      <c r="BE72" s="2206" t="e">
        <f t="shared" si="27"/>
        <v>#N/A</v>
      </c>
      <c r="BF72" s="2206" t="e">
        <f t="shared" si="27"/>
        <v>#N/A</v>
      </c>
      <c r="BG72" s="2206" t="e">
        <f t="shared" si="27"/>
        <v>#N/A</v>
      </c>
      <c r="BH72" s="2206" t="e">
        <f t="shared" si="27"/>
        <v>#N/A</v>
      </c>
      <c r="BI72" s="2206" t="e">
        <f t="shared" si="27"/>
        <v>#N/A</v>
      </c>
      <c r="BJ72" s="2206" t="e">
        <f t="shared" si="27"/>
        <v>#N/A</v>
      </c>
      <c r="BK72" s="2206" t="e">
        <f t="shared" si="27"/>
        <v>#N/A</v>
      </c>
    </row>
  </sheetData>
  <conditionalFormatting sqref="C8">
    <cfRule type="expression" dxfId="34" priority="13">
      <formula>#REF!&gt;0</formula>
    </cfRule>
  </conditionalFormatting>
  <conditionalFormatting sqref="C3">
    <cfRule type="expression" dxfId="33" priority="12">
      <formula>#REF!&gt;0</formula>
    </cfRule>
  </conditionalFormatting>
  <conditionalFormatting sqref="C46:BK46">
    <cfRule type="expression" dxfId="32" priority="9">
      <formula>#REF!&gt;0</formula>
    </cfRule>
  </conditionalFormatting>
  <conditionalFormatting sqref="C49:BK55">
    <cfRule type="expression" dxfId="31" priority="6">
      <formula>#REF!&gt;0</formula>
    </cfRule>
  </conditionalFormatting>
  <conditionalFormatting sqref="C60:C62">
    <cfRule type="expression" dxfId="30" priority="5">
      <formula>#REF!&gt;0</formula>
    </cfRule>
  </conditionalFormatting>
  <conditionalFormatting sqref="C5">
    <cfRule type="expression" dxfId="29" priority="3">
      <formula>#REF!&gt;0</formula>
    </cfRule>
  </conditionalFormatting>
  <conditionalFormatting sqref="C6:C7">
    <cfRule type="expression" dxfId="28" priority="2">
      <formula>#REF!&gt;0</formula>
    </cfRule>
  </conditionalFormatting>
  <conditionalFormatting sqref="C41">
    <cfRule type="expression" dxfId="27" priority="1">
      <formula>#REF!&gt;0</formula>
    </cfRule>
  </conditionalFormatting>
  <dataValidations count="2">
    <dataValidation type="list" allowBlank="1" showInputMessage="1" showErrorMessage="1" sqref="C3" xr:uid="{02ADEBB0-8B7D-4E79-8940-A63F3C1A28F0}">
      <formula1>$A$25:$A$27</formula1>
    </dataValidation>
    <dataValidation type="list" allowBlank="1" showInputMessage="1" showErrorMessage="1" sqref="C5" xr:uid="{31481661-9F7F-41AA-A55E-E980FDB5F995}">
      <formula1>"Yes, No"</formula1>
    </dataValidation>
  </dataValidation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4">
    <tabColor rgb="FF003300"/>
  </sheetPr>
  <dimension ref="A1:Z459"/>
  <sheetViews>
    <sheetView showGridLines="0" zoomScale="90" zoomScaleNormal="90" workbookViewId="0">
      <selection activeCell="G10" sqref="G10"/>
    </sheetView>
  </sheetViews>
  <sheetFormatPr defaultRowHeight="14.4" x14ac:dyDescent="0.3"/>
  <cols>
    <col min="1" max="1" width="10.33203125" customWidth="1"/>
    <col min="2" max="2" width="10.33203125" style="507" customWidth="1"/>
    <col min="3" max="4" width="10.33203125" style="762" customWidth="1"/>
    <col min="5" max="8" width="10.33203125" customWidth="1"/>
    <col min="9" max="9" width="1.44140625" customWidth="1"/>
    <col min="10" max="10" width="10.33203125" style="507" customWidth="1"/>
    <col min="11" max="11" width="10.33203125" style="510" customWidth="1"/>
    <col min="12" max="15" width="10.33203125" customWidth="1"/>
    <col min="16" max="16" width="1.44140625" customWidth="1"/>
    <col min="19" max="19" width="1.44140625" customWidth="1"/>
    <col min="20" max="20" width="12.5546875" style="344" customWidth="1"/>
    <col min="21" max="21" width="13.33203125" style="344" bestFit="1" customWidth="1"/>
    <col min="22" max="22" width="12.5546875" style="344" customWidth="1"/>
    <col min="23" max="23" width="1.44140625" customWidth="1"/>
    <col min="24" max="24" width="12.5546875" customWidth="1"/>
    <col min="25" max="25" width="13.33203125" bestFit="1" customWidth="1"/>
    <col min="26" max="26" width="12.5546875" customWidth="1"/>
  </cols>
  <sheetData>
    <row r="1" spans="1:26" ht="15.6" x14ac:dyDescent="0.3">
      <c r="A1" s="115" t="s">
        <v>2253</v>
      </c>
      <c r="B1" s="204"/>
      <c r="C1" s="758"/>
      <c r="D1" s="758"/>
      <c r="E1" s="204"/>
      <c r="F1" s="204"/>
      <c r="G1" s="204"/>
      <c r="H1" s="444"/>
      <c r="J1" s="115" t="s">
        <v>2254</v>
      </c>
      <c r="K1" s="204"/>
      <c r="L1" s="204"/>
      <c r="M1" s="204"/>
      <c r="N1" s="204"/>
      <c r="O1" s="444"/>
      <c r="Q1" s="511" t="s">
        <v>2255</v>
      </c>
      <c r="R1" s="757"/>
      <c r="T1" s="2776" t="s">
        <v>2256</v>
      </c>
      <c r="U1" s="2777"/>
      <c r="V1" s="2778"/>
      <c r="X1" s="2776" t="s">
        <v>2257</v>
      </c>
      <c r="Y1" s="2777"/>
      <c r="Z1" s="2778"/>
    </row>
    <row r="2" spans="1:26" ht="4.5" customHeight="1" thickBot="1" x14ac:dyDescent="0.35">
      <c r="A2" s="119"/>
      <c r="B2" s="119"/>
      <c r="C2" s="759"/>
      <c r="D2" s="759"/>
      <c r="E2" s="119"/>
      <c r="F2" s="119"/>
      <c r="G2" s="119"/>
      <c r="H2" s="119"/>
      <c r="J2" s="119"/>
      <c r="K2" s="119"/>
      <c r="L2" s="119"/>
      <c r="M2" s="119"/>
      <c r="N2" s="119"/>
      <c r="O2" s="119"/>
      <c r="Q2" s="119"/>
      <c r="R2" s="119"/>
      <c r="T2" s="503"/>
      <c r="U2" s="504"/>
      <c r="V2" s="504"/>
      <c r="X2" s="503"/>
      <c r="Y2" s="504"/>
      <c r="Z2" s="504"/>
    </row>
    <row r="3" spans="1:26" ht="15" thickTop="1" x14ac:dyDescent="0.3">
      <c r="A3" s="505" t="s">
        <v>839</v>
      </c>
      <c r="B3" s="505" t="s">
        <v>1</v>
      </c>
      <c r="C3" s="760" t="s">
        <v>1954</v>
      </c>
      <c r="D3" s="760" t="s">
        <v>2258</v>
      </c>
      <c r="J3" s="505" t="s">
        <v>1</v>
      </c>
      <c r="K3" s="505" t="s">
        <v>2258</v>
      </c>
      <c r="L3" s="505" t="s">
        <v>2259</v>
      </c>
      <c r="M3" s="206"/>
      <c r="N3" s="206"/>
      <c r="O3" s="206"/>
      <c r="T3" s="506" t="s">
        <v>2258</v>
      </c>
      <c r="U3" s="506" t="s">
        <v>2260</v>
      </c>
      <c r="V3" s="506" t="s">
        <v>2261</v>
      </c>
      <c r="X3" s="506" t="s">
        <v>2258</v>
      </c>
      <c r="Y3" s="506" t="s">
        <v>2260</v>
      </c>
      <c r="Z3" s="506" t="s">
        <v>2261</v>
      </c>
    </row>
    <row r="4" spans="1:26" x14ac:dyDescent="0.3">
      <c r="A4" s="761" t="str">
        <f>IF(B4&gt;=DevBdgt!$E$7,LOOKUP(B4,DevBdgt!$7:$7,DevBdgt!$6:$6),"")</f>
        <v/>
      </c>
      <c r="B4" s="507">
        <v>43831</v>
      </c>
      <c r="C4" s="7">
        <v>1.5480952380952382E-2</v>
      </c>
      <c r="D4" s="1145">
        <f t="shared" ref="D4:D67" si="0">IF(C4=0,D3,IF(C4&lt;$H$5,$H$5,IF(AND($H$6&gt;0,C4&gt;$H$6),$H$6,C4)))</f>
        <v>1.5480952380952382E-2</v>
      </c>
      <c r="E4" s="206"/>
      <c r="G4" s="509" t="s">
        <v>2262</v>
      </c>
      <c r="H4" s="26">
        <v>3.2500000000000001E-2</v>
      </c>
      <c r="J4" s="1133">
        <v>45048</v>
      </c>
      <c r="K4" s="7">
        <v>3.5256900000000001E-2</v>
      </c>
      <c r="L4" s="507">
        <f>IF(J4&gt;$O$4,"",J4)</f>
        <v>45048</v>
      </c>
      <c r="N4" s="273" t="s">
        <v>2263</v>
      </c>
      <c r="O4" s="507">
        <f>LOOKUP(MonthRefi,DevBdgt!$6:$6,DevBdgt!7:7)</f>
        <v>47515</v>
      </c>
      <c r="Q4" s="507">
        <f>EOMONTH(B4,-1)+1</f>
        <v>43831</v>
      </c>
      <c r="T4" s="344">
        <f>IF(ROUND(LOOKUP($Q4,Waterfalls!$6:$6,Waterfalls!$14:$14),0)&gt;0,1,0)*($D4+$H$4)</f>
        <v>0</v>
      </c>
      <c r="U4" s="508" t="str">
        <f>IF(T4&lt;&gt;0,LOOKUP($Q4,Waterfalls!$6:$6,Waterfalls!$14:$14),"")</f>
        <v/>
      </c>
      <c r="V4" s="508" t="str">
        <f>IF(T4&lt;&gt;0,-LOOKUP($Q4,Waterfalls!$6:$6,Waterfalls!$152:$152),"")</f>
        <v/>
      </c>
      <c r="X4" s="344">
        <f>IF(ROUND(LOOKUP($Q4,Waterfalls!$6:$6,Waterfalls!$21:$21),0)&gt;0,1,0)*($D4+$O$6)</f>
        <v>0</v>
      </c>
      <c r="Y4" s="508" t="str">
        <f>IF(X4&lt;&gt;0,LOOKUP($Q4,Waterfalls!$6:$6,Waterfalls!$21:$21),"")</f>
        <v/>
      </c>
      <c r="Z4" s="508" t="str">
        <f>IF(X4&lt;&gt;0,-LOOKUP($Q4,Waterfalls!$6:$6,Waterfalls!$153:$153),"")</f>
        <v/>
      </c>
    </row>
    <row r="5" spans="1:26" x14ac:dyDescent="0.3">
      <c r="A5" s="761" t="str">
        <f>IF(B5&gt;=DevBdgt!$E$7,LOOKUP(B5,DevBdgt!$7:$7,DevBdgt!$6:$6),"")</f>
        <v/>
      </c>
      <c r="B5" s="507">
        <f>EDATE(B4,1)</f>
        <v>43862</v>
      </c>
      <c r="C5" s="7">
        <v>1.5857894736842106E-2</v>
      </c>
      <c r="D5" s="1145">
        <f t="shared" si="0"/>
        <v>1.5857894736842106E-2</v>
      </c>
      <c r="E5" s="206"/>
      <c r="F5" s="206"/>
      <c r="G5" s="509" t="s">
        <v>2264</v>
      </c>
      <c r="H5" s="26">
        <v>2.5000000000000001E-3</v>
      </c>
      <c r="J5" s="1133">
        <v>45079</v>
      </c>
      <c r="K5" s="7">
        <v>3.5181200000000003E-2</v>
      </c>
      <c r="L5" s="507">
        <f t="shared" ref="L5:L68" si="1">IF(J5&gt;$O$4,"",J5)</f>
        <v>45079</v>
      </c>
      <c r="N5" s="509" t="str">
        <f>IF('General Inputs'!$N$22="Fixed","Base Rate:","")</f>
        <v>Base Rate:</v>
      </c>
      <c r="O5" s="198">
        <f>IF('General Inputs'!$N$22="Fixed",LOOKUP(MAX(L4:L124),J4:J124,K4:K124),"")</f>
        <v>4.0185699999999998E-2</v>
      </c>
      <c r="Q5" s="507">
        <f t="shared" ref="Q5:Q17" si="2">EOMONTH(B5,-1)+1</f>
        <v>43862</v>
      </c>
      <c r="T5" s="344">
        <f>IF(ROUND(LOOKUP(Q5,Waterfalls!$6:$6,Waterfalls!$14:$14),0)&gt;0,1,0)*(D5+$H$4)</f>
        <v>0</v>
      </c>
      <c r="U5" s="508" t="str">
        <f>IF(T5&lt;&gt;0,LOOKUP(Q5,Waterfalls!$6:$6,Waterfalls!$14:$14),"")</f>
        <v/>
      </c>
      <c r="V5" s="508" t="str">
        <f>IF(T5&lt;&gt;0,-LOOKUP(Q5,Waterfalls!$6:$6,Waterfalls!$152:$152),"")</f>
        <v/>
      </c>
      <c r="X5" s="344">
        <f>IF(ROUND(LOOKUP($Q5,Waterfalls!$6:$6,Waterfalls!$21:$21),0)&gt;0,1,0)*($D5+$O$6)</f>
        <v>0</v>
      </c>
      <c r="Y5" s="508" t="str">
        <f>IF(X5&lt;&gt;0,LOOKUP($Q5,Waterfalls!$6:$6,Waterfalls!$21:$21),"")</f>
        <v/>
      </c>
      <c r="Z5" s="508" t="str">
        <f>IF(X5&lt;&gt;0,-LOOKUP($Q5,Waterfalls!$6:$6,Waterfalls!$153:$153),"")</f>
        <v/>
      </c>
    </row>
    <row r="6" spans="1:26" x14ac:dyDescent="0.3">
      <c r="A6" s="761" t="str">
        <f>IF(B6&gt;=DevBdgt!$E$7,LOOKUP(B6,DevBdgt!$7:$7,DevBdgt!$6:$6),"")</f>
        <v/>
      </c>
      <c r="B6" s="507">
        <f t="shared" ref="B6:B69" si="3">EDATE(B5,1)</f>
        <v>43891</v>
      </c>
      <c r="C6" s="7">
        <v>6.0954545454545454E-3</v>
      </c>
      <c r="D6" s="1145">
        <f t="shared" si="0"/>
        <v>6.0954545454545454E-3</v>
      </c>
      <c r="E6" s="206"/>
      <c r="G6" s="509" t="s">
        <v>2265</v>
      </c>
      <c r="H6" s="26">
        <v>0</v>
      </c>
      <c r="J6" s="1133">
        <v>45110</v>
      </c>
      <c r="K6" s="7">
        <v>3.5036400000000002E-2</v>
      </c>
      <c r="L6" s="507">
        <f t="shared" si="1"/>
        <v>45110</v>
      </c>
      <c r="N6" s="509" t="s">
        <v>2266</v>
      </c>
      <c r="O6" s="26">
        <v>2.2499999999999999E-2</v>
      </c>
      <c r="Q6" s="507">
        <f t="shared" si="2"/>
        <v>43891</v>
      </c>
      <c r="T6" s="344">
        <f>IF(ROUND(LOOKUP(Q6,Waterfalls!$6:$6,Waterfalls!$14:$14),0)&gt;0,1,0)*(D6+$H$4)</f>
        <v>0</v>
      </c>
      <c r="U6" s="508" t="str">
        <f>IF(T6&lt;&gt;0,LOOKUP(Q6,Waterfalls!$6:$6,Waterfalls!$14:$14),"")</f>
        <v/>
      </c>
      <c r="V6" s="508" t="str">
        <f>IF(T6&lt;&gt;0,-LOOKUP(Q6,Waterfalls!$6:$6,Waterfalls!$152:$152),"")</f>
        <v/>
      </c>
      <c r="X6" s="344">
        <f>IF(ROUND(LOOKUP($Q6,Waterfalls!$6:$6,Waterfalls!$21:$21),0)&gt;0,1,0)*($D6+$O$6)</f>
        <v>0</v>
      </c>
      <c r="Y6" s="508" t="str">
        <f>IF(X6&lt;&gt;0,LOOKUP($Q6,Waterfalls!$6:$6,Waterfalls!$21:$21),"")</f>
        <v/>
      </c>
      <c r="Z6" s="508" t="str">
        <f>IF(X6&lt;&gt;0,-LOOKUP($Q6,Waterfalls!$6:$6,Waterfalls!$153:$153),"")</f>
        <v/>
      </c>
    </row>
    <row r="7" spans="1:26" x14ac:dyDescent="0.3">
      <c r="A7" s="761" t="str">
        <f>IF(B7&gt;=DevBdgt!$E$7,LOOKUP(B7,DevBdgt!$7:$7,DevBdgt!$6:$6),"")</f>
        <v/>
      </c>
      <c r="B7" s="507">
        <f t="shared" si="3"/>
        <v>43922</v>
      </c>
      <c r="C7" s="7">
        <v>1.9523809523809522E-4</v>
      </c>
      <c r="D7" s="1145">
        <f t="shared" si="0"/>
        <v>2.5000000000000001E-3</v>
      </c>
      <c r="E7" s="206"/>
      <c r="J7" s="1133">
        <v>45140</v>
      </c>
      <c r="K7" s="7">
        <v>3.4860500000000003E-2</v>
      </c>
      <c r="L7" s="507">
        <f t="shared" si="1"/>
        <v>45140</v>
      </c>
      <c r="N7" s="509" t="str">
        <f>IF('General Inputs'!$N$22="Fixed","Total Rate:","")</f>
        <v>Total Rate:</v>
      </c>
      <c r="O7" s="198">
        <f>IF('General Inputs'!$N$22="Fixed",SUM(O5:O6),"")</f>
        <v>6.2685699999999997E-2</v>
      </c>
      <c r="Q7" s="507">
        <f t="shared" si="2"/>
        <v>43922</v>
      </c>
      <c r="T7" s="344">
        <f>IF(ROUND(LOOKUP(Q7,Waterfalls!$6:$6,Waterfalls!$14:$14),0)&gt;0,1,0)*(D7+$H$4)</f>
        <v>0</v>
      </c>
      <c r="U7" s="508" t="str">
        <f>IF(T7&lt;&gt;0,LOOKUP(Q7,Waterfalls!$6:$6,Waterfalls!$14:$14),"")</f>
        <v/>
      </c>
      <c r="V7" s="508" t="str">
        <f>IF(T7&lt;&gt;0,-LOOKUP(Q7,Waterfalls!$6:$6,Waterfalls!$152:$152),"")</f>
        <v/>
      </c>
      <c r="X7" s="344">
        <f>IF(ROUND(LOOKUP($Q7,Waterfalls!$6:$6,Waterfalls!$21:$21),0)&gt;0,1,0)*($D7+$O$6)</f>
        <v>0</v>
      </c>
      <c r="Y7" s="508" t="str">
        <f>IF(X7&lt;&gt;0,LOOKUP($Q7,Waterfalls!$6:$6,Waterfalls!$21:$21),"")</f>
        <v/>
      </c>
      <c r="Z7" s="508" t="str">
        <f>IF(X7&lt;&gt;0,-LOOKUP($Q7,Waterfalls!$6:$6,Waterfalls!$153:$153),"")</f>
        <v/>
      </c>
    </row>
    <row r="8" spans="1:26" x14ac:dyDescent="0.3">
      <c r="A8" s="761" t="str">
        <f>IF(B8&gt;=DevBdgt!$E$7,LOOKUP(B8,DevBdgt!$7:$7,DevBdgt!$6:$6),"")</f>
        <v/>
      </c>
      <c r="B8" s="507">
        <f t="shared" si="3"/>
        <v>43952</v>
      </c>
      <c r="C8" s="7">
        <v>4.55E-4</v>
      </c>
      <c r="D8" s="1145">
        <f t="shared" si="0"/>
        <v>2.5000000000000001E-3</v>
      </c>
      <c r="E8" s="206"/>
      <c r="G8" s="1204" t="s">
        <v>2267</v>
      </c>
      <c r="H8" s="206"/>
      <c r="J8" s="1133">
        <v>45173</v>
      </c>
      <c r="K8" s="7">
        <v>3.4672399999999999E-2</v>
      </c>
      <c r="L8" s="507">
        <f t="shared" si="1"/>
        <v>45173</v>
      </c>
      <c r="Q8" s="507">
        <f t="shared" si="2"/>
        <v>43952</v>
      </c>
      <c r="T8" s="344">
        <f>IF(ROUND(LOOKUP(Q8,Waterfalls!$6:$6,Waterfalls!$14:$14),0)&gt;0,1,0)*(D8+$H$4)</f>
        <v>0</v>
      </c>
      <c r="U8" s="508" t="str">
        <f>IF(T8&lt;&gt;0,LOOKUP(Q8,Waterfalls!$6:$6,Waterfalls!$14:$14),"")</f>
        <v/>
      </c>
      <c r="V8" s="508" t="str">
        <f>IF(T8&lt;&gt;0,-LOOKUP(Q8,Waterfalls!$6:$6,Waterfalls!$152:$152),"")</f>
        <v/>
      </c>
      <c r="X8" s="344">
        <f>IF(ROUND(LOOKUP($Q8,Waterfalls!$6:$6,Waterfalls!$21:$21),0)&gt;0,1,0)*($D8+$O$6)</f>
        <v>0</v>
      </c>
      <c r="Y8" s="508" t="str">
        <f>IF(X8&lt;&gt;0,LOOKUP($Q8,Waterfalls!$6:$6,Waterfalls!$21:$21),"")</f>
        <v/>
      </c>
      <c r="Z8" s="508" t="str">
        <f>IF(X8&lt;&gt;0,-LOOKUP($Q8,Waterfalls!$6:$6,Waterfalls!$153:$153),"")</f>
        <v/>
      </c>
    </row>
    <row r="9" spans="1:26" x14ac:dyDescent="0.3">
      <c r="A9" s="761" t="str">
        <f>IF(B9&gt;=DevBdgt!$E$7,LOOKUP(B9,DevBdgt!$7:$7,DevBdgt!$6:$6),"")</f>
        <v/>
      </c>
      <c r="B9" s="507">
        <f t="shared" si="3"/>
        <v>43983</v>
      </c>
      <c r="C9" s="7">
        <v>7.9090909090909082E-4</v>
      </c>
      <c r="D9" s="1145">
        <f t="shared" si="0"/>
        <v>2.5000000000000001E-3</v>
      </c>
      <c r="E9" s="206"/>
      <c r="F9" s="206"/>
      <c r="G9" s="1599" t="s">
        <v>2253</v>
      </c>
      <c r="H9" s="206"/>
      <c r="J9" s="1133">
        <v>45201</v>
      </c>
      <c r="K9" s="7">
        <v>3.4551600000000002E-2</v>
      </c>
      <c r="L9" s="507">
        <f t="shared" si="1"/>
        <v>45201</v>
      </c>
      <c r="Q9" s="507">
        <f t="shared" si="2"/>
        <v>43983</v>
      </c>
      <c r="T9" s="344">
        <f>IF(ROUND(LOOKUP(Q9,Waterfalls!$6:$6,Waterfalls!$14:$14),0)&gt;0,1,0)*(D9+$H$4)</f>
        <v>0</v>
      </c>
      <c r="U9" s="508" t="str">
        <f>IF(T9&lt;&gt;0,LOOKUP(Q9,Waterfalls!$6:$6,Waterfalls!$14:$14),"")</f>
        <v/>
      </c>
      <c r="V9" s="508" t="str">
        <f>IF(T9&lt;&gt;0,-LOOKUP(Q9,Waterfalls!$6:$6,Waterfalls!$152:$152),"")</f>
        <v/>
      </c>
      <c r="X9" s="344">
        <f>IF(ROUND(LOOKUP($Q9,Waterfalls!$6:$6,Waterfalls!$21:$21),0)&gt;0,1,0)*($D9+$O$6)</f>
        <v>0</v>
      </c>
      <c r="Y9" s="508" t="str">
        <f>IF(X9&lt;&gt;0,LOOKUP($Q9,Waterfalls!$6:$6,Waterfalls!$21:$21),"")</f>
        <v/>
      </c>
      <c r="Z9" s="508" t="str">
        <f>IF(X9&lt;&gt;0,-LOOKUP($Q9,Waterfalls!$6:$6,Waterfalls!$153:$153),"")</f>
        <v/>
      </c>
    </row>
    <row r="10" spans="1:26" x14ac:dyDescent="0.3">
      <c r="A10" s="761" t="str">
        <f>IF(B10&gt;=DevBdgt!$E$7,LOOKUP(B10,DevBdgt!$7:$7,DevBdgt!$6:$6),"")</f>
        <v/>
      </c>
      <c r="B10" s="507">
        <f t="shared" si="3"/>
        <v>44013</v>
      </c>
      <c r="C10" s="7">
        <v>1.0545454545454545E-3</v>
      </c>
      <c r="D10" s="1145">
        <f t="shared" si="0"/>
        <v>2.5000000000000001E-3</v>
      </c>
      <c r="E10" s="206"/>
      <c r="F10" s="206"/>
      <c r="G10" s="509" t="s">
        <v>2268</v>
      </c>
      <c r="H10" s="1203">
        <v>45046</v>
      </c>
      <c r="J10" s="1133">
        <v>45232</v>
      </c>
      <c r="K10" s="7">
        <v>3.4438099999999999E-2</v>
      </c>
      <c r="L10" s="507">
        <f t="shared" si="1"/>
        <v>45232</v>
      </c>
      <c r="Q10" s="507">
        <f t="shared" si="2"/>
        <v>44013</v>
      </c>
      <c r="T10" s="344">
        <f>IF(ROUND(LOOKUP(Q10,Waterfalls!$6:$6,Waterfalls!$14:$14),0)&gt;0,1,0)*(D10+$H$4)</f>
        <v>0</v>
      </c>
      <c r="U10" s="508" t="str">
        <f>IF(T10&lt;&gt;0,LOOKUP(Q10,Waterfalls!$6:$6,Waterfalls!$14:$14),"")</f>
        <v/>
      </c>
      <c r="V10" s="508" t="str">
        <f>IF(T10&lt;&gt;0,-LOOKUP(Q10,Waterfalls!$6:$6,Waterfalls!$152:$152),"")</f>
        <v/>
      </c>
      <c r="X10" s="344">
        <f>IF(ROUND(LOOKUP($Q10,Waterfalls!$6:$6,Waterfalls!$21:$21),0)&gt;0,1,0)*($D10+$O$6)</f>
        <v>0</v>
      </c>
      <c r="Y10" s="508" t="str">
        <f>IF(X10&lt;&gt;0,LOOKUP($Q10,Waterfalls!$6:$6,Waterfalls!$21:$21),"")</f>
        <v/>
      </c>
      <c r="Z10" s="508" t="str">
        <f>IF(X10&lt;&gt;0,-LOOKUP($Q10,Waterfalls!$6:$6,Waterfalls!$153:$153),"")</f>
        <v/>
      </c>
    </row>
    <row r="11" spans="1:26" x14ac:dyDescent="0.3">
      <c r="A11" s="761" t="str">
        <f>IF(B11&gt;=DevBdgt!$E$7,LOOKUP(B11,DevBdgt!$7:$7,DevBdgt!$6:$6),"")</f>
        <v/>
      </c>
      <c r="B11" s="507">
        <f t="shared" si="3"/>
        <v>44044</v>
      </c>
      <c r="C11" s="7">
        <v>8.571428571428571E-4</v>
      </c>
      <c r="D11" s="1145">
        <f t="shared" si="0"/>
        <v>2.5000000000000001E-3</v>
      </c>
      <c r="E11" s="206"/>
      <c r="F11" s="206"/>
      <c r="G11" s="206"/>
      <c r="H11" s="206"/>
      <c r="J11" s="1133">
        <v>45264</v>
      </c>
      <c r="K11" s="7">
        <v>3.4336800000000001E-2</v>
      </c>
      <c r="L11" s="507">
        <f t="shared" si="1"/>
        <v>45264</v>
      </c>
      <c r="Q11" s="507">
        <f t="shared" si="2"/>
        <v>44044</v>
      </c>
      <c r="T11" s="344">
        <f>IF(ROUND(LOOKUP(Q11,Waterfalls!$6:$6,Waterfalls!$14:$14),0)&gt;0,1,0)*(D11+$H$4)</f>
        <v>0</v>
      </c>
      <c r="U11" s="508" t="str">
        <f>IF(T11&lt;&gt;0,LOOKUP(Q11,Waterfalls!$6:$6,Waterfalls!$14:$14),"")</f>
        <v/>
      </c>
      <c r="V11" s="508" t="str">
        <f>IF(T11&lt;&gt;0,-LOOKUP(Q11,Waterfalls!$6:$6,Waterfalls!$152:$152),"")</f>
        <v/>
      </c>
      <c r="X11" s="344">
        <f>IF(ROUND(LOOKUP($Q11,Waterfalls!$6:$6,Waterfalls!$21:$21),0)&gt;0,1,0)*($D11+$O$6)</f>
        <v>0</v>
      </c>
      <c r="Y11" s="508" t="str">
        <f>IF(X11&lt;&gt;0,LOOKUP($Q11,Waterfalls!$6:$6,Waterfalls!$21:$21),"")</f>
        <v/>
      </c>
      <c r="Z11" s="508" t="str">
        <f>IF(X11&lt;&gt;0,-LOOKUP($Q11,Waterfalls!$6:$6,Waterfalls!$153:$153),"")</f>
        <v/>
      </c>
    </row>
    <row r="12" spans="1:26" x14ac:dyDescent="0.3">
      <c r="A12" s="761" t="str">
        <f>IF(B12&gt;=DevBdgt!$E$7,LOOKUP(B12,DevBdgt!$7:$7,DevBdgt!$6:$6),"")</f>
        <v/>
      </c>
      <c r="B12" s="507">
        <f t="shared" si="3"/>
        <v>44075</v>
      </c>
      <c r="C12" s="7">
        <v>8.571428571428571E-4</v>
      </c>
      <c r="D12" s="1145">
        <f t="shared" si="0"/>
        <v>2.5000000000000001E-3</v>
      </c>
      <c r="E12" s="206"/>
      <c r="F12" s="206"/>
      <c r="G12" s="206"/>
      <c r="H12" s="206"/>
      <c r="J12" s="1133">
        <v>45293</v>
      </c>
      <c r="K12" s="7">
        <v>3.42533E-2</v>
      </c>
      <c r="L12" s="507">
        <f t="shared" si="1"/>
        <v>45293</v>
      </c>
      <c r="Q12" s="507">
        <f t="shared" si="2"/>
        <v>44075</v>
      </c>
      <c r="T12" s="344">
        <f>IF(ROUND(LOOKUP(Q12,Waterfalls!$6:$6,Waterfalls!$14:$14),0)&gt;0,1,0)*(D12+$H$4)</f>
        <v>0</v>
      </c>
      <c r="U12" s="508" t="str">
        <f>IF(T12&lt;&gt;0,LOOKUP(Q12,Waterfalls!$6:$6,Waterfalls!$14:$14),"")</f>
        <v/>
      </c>
      <c r="V12" s="508" t="str">
        <f>IF(T12&lt;&gt;0,-LOOKUP(Q12,Waterfalls!$6:$6,Waterfalls!$152:$152),"")</f>
        <v/>
      </c>
      <c r="X12" s="344">
        <f>IF(ROUND(LOOKUP($Q12,Waterfalls!$6:$6,Waterfalls!$21:$21),0)&gt;0,1,0)*($D12+$O$6)</f>
        <v>0</v>
      </c>
      <c r="Y12" s="508" t="str">
        <f>IF(X12&lt;&gt;0,LOOKUP($Q12,Waterfalls!$6:$6,Waterfalls!$21:$21),"")</f>
        <v/>
      </c>
      <c r="Z12" s="508" t="str">
        <f>IF(X12&lt;&gt;0,-LOOKUP($Q12,Waterfalls!$6:$6,Waterfalls!$153:$153),"")</f>
        <v/>
      </c>
    </row>
    <row r="13" spans="1:26" x14ac:dyDescent="0.3">
      <c r="A13" s="761" t="str">
        <f>IF(B13&gt;=DevBdgt!$E$7,LOOKUP(B13,DevBdgt!$7:$7,DevBdgt!$6:$6),"")</f>
        <v/>
      </c>
      <c r="B13" s="507">
        <f t="shared" si="3"/>
        <v>44105</v>
      </c>
      <c r="C13" s="7">
        <v>8.714285714285715E-4</v>
      </c>
      <c r="D13" s="1145">
        <f t="shared" si="0"/>
        <v>2.5000000000000001E-3</v>
      </c>
      <c r="E13" s="206"/>
      <c r="F13" s="206"/>
      <c r="G13" s="206"/>
      <c r="H13" s="206"/>
      <c r="J13" s="1133">
        <v>45324</v>
      </c>
      <c r="K13" s="7">
        <v>3.41792E-2</v>
      </c>
      <c r="L13" s="507">
        <f t="shared" si="1"/>
        <v>45324</v>
      </c>
      <c r="Q13" s="507">
        <f t="shared" si="2"/>
        <v>44105</v>
      </c>
      <c r="T13" s="344">
        <f>IF(ROUND(LOOKUP(Q13,Waterfalls!$6:$6,Waterfalls!$14:$14),0)&gt;0,1,0)*(D13+$H$4)</f>
        <v>0</v>
      </c>
      <c r="U13" s="508" t="str">
        <f>IF(T13&lt;&gt;0,LOOKUP(Q13,Waterfalls!$6:$6,Waterfalls!$14:$14),"")</f>
        <v/>
      </c>
      <c r="V13" s="508" t="str">
        <f>IF(T13&lt;&gt;0,-LOOKUP(Q13,Waterfalls!$6:$6,Waterfalls!$152:$152),"")</f>
        <v/>
      </c>
      <c r="X13" s="344">
        <f>IF(ROUND(LOOKUP($Q13,Waterfalls!$6:$6,Waterfalls!$21:$21),0)&gt;0,1,0)*($D13+$O$6)</f>
        <v>0</v>
      </c>
      <c r="Y13" s="508" t="str">
        <f>IF(X13&lt;&gt;0,LOOKUP($Q13,Waterfalls!$6:$6,Waterfalls!$21:$21),"")</f>
        <v/>
      </c>
      <c r="Z13" s="508" t="str">
        <f>IF(X13&lt;&gt;0,-LOOKUP($Q13,Waterfalls!$6:$6,Waterfalls!$153:$153),"")</f>
        <v/>
      </c>
    </row>
    <row r="14" spans="1:26" x14ac:dyDescent="0.3">
      <c r="A14" s="761" t="str">
        <f>IF(B14&gt;=DevBdgt!$E$7,LOOKUP(B14,DevBdgt!$7:$7,DevBdgt!$6:$6),"")</f>
        <v/>
      </c>
      <c r="B14" s="507">
        <f t="shared" si="3"/>
        <v>44136</v>
      </c>
      <c r="C14" s="7">
        <v>8.6315789473684205E-4</v>
      </c>
      <c r="D14" s="1145">
        <f t="shared" si="0"/>
        <v>2.5000000000000001E-3</v>
      </c>
      <c r="E14" s="206"/>
      <c r="F14" s="206"/>
      <c r="G14" s="206"/>
      <c r="H14" s="206"/>
      <c r="J14" s="1133">
        <v>45355</v>
      </c>
      <c r="K14" s="7">
        <v>3.4113699999999997E-2</v>
      </c>
      <c r="L14" s="507">
        <f t="shared" si="1"/>
        <v>45355</v>
      </c>
      <c r="Q14" s="507">
        <f t="shared" si="2"/>
        <v>44136</v>
      </c>
      <c r="T14" s="344">
        <f>IF(ROUND(LOOKUP(Q14,Waterfalls!$6:$6,Waterfalls!$14:$14),0)&gt;0,1,0)*(D14+$H$4)</f>
        <v>0</v>
      </c>
      <c r="U14" s="508" t="str">
        <f>IF(T14&lt;&gt;0,LOOKUP(Q14,Waterfalls!$6:$6,Waterfalls!$14:$14),"")</f>
        <v/>
      </c>
      <c r="V14" s="508" t="str">
        <f>IF(T14&lt;&gt;0,-LOOKUP(Q14,Waterfalls!$6:$6,Waterfalls!$152:$152),"")</f>
        <v/>
      </c>
      <c r="X14" s="344">
        <f>IF(ROUND(LOOKUP($Q14,Waterfalls!$6:$6,Waterfalls!$21:$21),0)&gt;0,1,0)*($D14+$O$6)</f>
        <v>0</v>
      </c>
      <c r="Y14" s="508" t="str">
        <f>IF(X14&lt;&gt;0,LOOKUP($Q14,Waterfalls!$6:$6,Waterfalls!$21:$21),"")</f>
        <v/>
      </c>
      <c r="Z14" s="508" t="str">
        <f>IF(X14&lt;&gt;0,-LOOKUP($Q14,Waterfalls!$6:$6,Waterfalls!$153:$153),"")</f>
        <v/>
      </c>
    </row>
    <row r="15" spans="1:26" x14ac:dyDescent="0.3">
      <c r="A15" s="761" t="str">
        <f>IF(B15&gt;=DevBdgt!$E$7,LOOKUP(B15,DevBdgt!$7:$7,DevBdgt!$6:$6),"")</f>
        <v/>
      </c>
      <c r="B15" s="507">
        <f t="shared" si="3"/>
        <v>44166</v>
      </c>
      <c r="C15" s="7">
        <v>8.2272727272727272E-4</v>
      </c>
      <c r="D15" s="1145">
        <f t="shared" si="0"/>
        <v>2.5000000000000001E-3</v>
      </c>
      <c r="E15" s="206"/>
      <c r="F15" s="206"/>
      <c r="G15" s="206"/>
      <c r="H15" s="206"/>
      <c r="J15" s="1133">
        <v>45384</v>
      </c>
      <c r="K15" s="7">
        <v>3.4073100000000002E-2</v>
      </c>
      <c r="L15" s="507">
        <f t="shared" si="1"/>
        <v>45384</v>
      </c>
      <c r="Q15" s="507">
        <f t="shared" si="2"/>
        <v>44166</v>
      </c>
      <c r="T15" s="344">
        <f>IF(ROUND(LOOKUP(Q15,Waterfalls!$6:$6,Waterfalls!$14:$14),0)&gt;0,1,0)*(D15+$H$4)</f>
        <v>0</v>
      </c>
      <c r="U15" s="508" t="str">
        <f>IF(T15&lt;&gt;0,LOOKUP(Q15,Waterfalls!$6:$6,Waterfalls!$14:$14),"")</f>
        <v/>
      </c>
      <c r="V15" s="508" t="str">
        <f>IF(T15&lt;&gt;0,-LOOKUP(Q15,Waterfalls!$6:$6,Waterfalls!$152:$152),"")</f>
        <v/>
      </c>
      <c r="X15" s="344">
        <f>IF(ROUND(LOOKUP($Q15,Waterfalls!$6:$6,Waterfalls!$21:$21),0)&gt;0,1,0)*($D15+$O$6)</f>
        <v>0</v>
      </c>
      <c r="Y15" s="508" t="str">
        <f>IF(X15&lt;&gt;0,LOOKUP($Q15,Waterfalls!$6:$6,Waterfalls!$21:$21),"")</f>
        <v/>
      </c>
      <c r="Z15" s="508" t="str">
        <f>IF(X15&lt;&gt;0,-LOOKUP($Q15,Waterfalls!$6:$6,Waterfalls!$153:$153),"")</f>
        <v/>
      </c>
    </row>
    <row r="16" spans="1:26" x14ac:dyDescent="0.3">
      <c r="A16" s="761" t="str">
        <f>IF(B16&gt;=DevBdgt!$E$7,LOOKUP(B16,DevBdgt!$7:$7,DevBdgt!$6:$6),"")</f>
        <v/>
      </c>
      <c r="B16" s="507">
        <f t="shared" si="3"/>
        <v>44197</v>
      </c>
      <c r="C16" s="7">
        <v>7.1052631578947362E-4</v>
      </c>
      <c r="D16" s="1145">
        <f t="shared" si="0"/>
        <v>2.5000000000000001E-3</v>
      </c>
      <c r="E16" s="206"/>
      <c r="F16" s="206"/>
      <c r="G16" s="206"/>
      <c r="H16" s="206"/>
      <c r="J16" s="1133">
        <v>45414</v>
      </c>
      <c r="K16" s="7">
        <v>3.4051900000000003E-2</v>
      </c>
      <c r="L16" s="507">
        <f t="shared" si="1"/>
        <v>45414</v>
      </c>
      <c r="Q16" s="507">
        <f t="shared" si="2"/>
        <v>44197</v>
      </c>
      <c r="T16" s="344">
        <f>IF(ROUND(LOOKUP(Q16,Waterfalls!$6:$6,Waterfalls!$14:$14),0)&gt;0,1,0)*(D16+$H$4)</f>
        <v>0</v>
      </c>
      <c r="U16" s="508" t="str">
        <f>IF(T16&lt;&gt;0,LOOKUP(Q16,Waterfalls!$6:$6,Waterfalls!$14:$14),"")</f>
        <v/>
      </c>
      <c r="V16" s="508" t="str">
        <f>IF(T16&lt;&gt;0,-LOOKUP(Q16,Waterfalls!$6:$6,Waterfalls!$152:$152),"")</f>
        <v/>
      </c>
      <c r="X16" s="344">
        <f>IF(ROUND(LOOKUP($Q16,Waterfalls!$6:$6,Waterfalls!$21:$21),0)&gt;0,1,0)*($D16+$O$6)</f>
        <v>0</v>
      </c>
      <c r="Y16" s="508" t="str">
        <f>IF(X16&lt;&gt;0,LOOKUP($Q16,Waterfalls!$6:$6,Waterfalls!$21:$21),"")</f>
        <v/>
      </c>
      <c r="Z16" s="508" t="str">
        <f>IF(X16&lt;&gt;0,-LOOKUP($Q16,Waterfalls!$6:$6,Waterfalls!$153:$153),"")</f>
        <v/>
      </c>
    </row>
    <row r="17" spans="1:26" x14ac:dyDescent="0.3">
      <c r="A17" s="761" t="str">
        <f>IF(B17&gt;=DevBdgt!$E$7,LOOKUP(B17,DevBdgt!$7:$7,DevBdgt!$6:$6),"")</f>
        <v/>
      </c>
      <c r="B17" s="507">
        <f t="shared" si="3"/>
        <v>44228</v>
      </c>
      <c r="C17" s="7">
        <v>4.1578947368421058E-4</v>
      </c>
      <c r="D17" s="1145">
        <f t="shared" si="0"/>
        <v>2.5000000000000001E-3</v>
      </c>
      <c r="E17" s="206"/>
      <c r="F17" s="206"/>
      <c r="G17" s="206"/>
      <c r="H17" s="206"/>
      <c r="J17" s="1133">
        <v>45446</v>
      </c>
      <c r="K17" s="7">
        <v>3.4045400000000003E-2</v>
      </c>
      <c r="L17" s="507">
        <f t="shared" si="1"/>
        <v>45446</v>
      </c>
      <c r="Q17" s="507">
        <f t="shared" si="2"/>
        <v>44228</v>
      </c>
      <c r="T17" s="344">
        <f>IF(ROUND(LOOKUP(Q17,Waterfalls!$6:$6,Waterfalls!$14:$14),0)&gt;0,1,0)*(D17+$H$4)</f>
        <v>0</v>
      </c>
      <c r="U17" s="508" t="str">
        <f>IF(T17&lt;&gt;0,LOOKUP(Q17,Waterfalls!$6:$6,Waterfalls!$14:$14),"")</f>
        <v/>
      </c>
      <c r="V17" s="508" t="str">
        <f>IF(T17&lt;&gt;0,-LOOKUP(Q17,Waterfalls!$6:$6,Waterfalls!$152:$152),"")</f>
        <v/>
      </c>
      <c r="X17" s="344">
        <f>IF(ROUND(LOOKUP($Q17,Waterfalls!$6:$6,Waterfalls!$21:$21),0)&gt;0,1,0)*($D17+$O$6)</f>
        <v>0</v>
      </c>
      <c r="Y17" s="508" t="str">
        <f>IF(X17&lt;&gt;0,LOOKUP($Q17,Waterfalls!$6:$6,Waterfalls!$21:$21),"")</f>
        <v/>
      </c>
      <c r="Z17" s="508" t="str">
        <f>IF(X17&lt;&gt;0,-LOOKUP($Q17,Waterfalls!$6:$6,Waterfalls!$153:$153),"")</f>
        <v/>
      </c>
    </row>
    <row r="18" spans="1:26" x14ac:dyDescent="0.3">
      <c r="A18" s="761" t="str">
        <f>IF(B18&gt;=DevBdgt!$E$7,LOOKUP(B18,DevBdgt!$7:$7,DevBdgt!$6:$6),"")</f>
        <v/>
      </c>
      <c r="B18" s="507">
        <f t="shared" si="3"/>
        <v>44256</v>
      </c>
      <c r="C18" s="7">
        <v>1.5217391304347827E-4</v>
      </c>
      <c r="D18" s="1145">
        <f t="shared" si="0"/>
        <v>2.5000000000000001E-3</v>
      </c>
      <c r="J18" s="1133">
        <v>45475</v>
      </c>
      <c r="K18" s="7">
        <v>3.4058400000000003E-2</v>
      </c>
      <c r="L18" s="507">
        <f t="shared" si="1"/>
        <v>45475</v>
      </c>
      <c r="Q18" s="507">
        <f>EOMONTH(B18,-1)+1</f>
        <v>44256</v>
      </c>
      <c r="T18" s="344">
        <f>IF(ROUND(LOOKUP(Q18,Waterfalls!$6:$6,Waterfalls!$14:$14),0)&gt;0,1,0)*(D18+$H$4)</f>
        <v>0</v>
      </c>
      <c r="U18" s="508" t="str">
        <f>IF(T18&lt;&gt;0,LOOKUP(Q18,Waterfalls!$6:$6,Waterfalls!$14:$14),"")</f>
        <v/>
      </c>
      <c r="V18" s="508" t="str">
        <f>IF(T18&lt;&gt;0,-LOOKUP(Q18,Waterfalls!$6:$6,Waterfalls!$152:$152),"")</f>
        <v/>
      </c>
      <c r="X18" s="344">
        <f>IF(ROUND(LOOKUP($Q18,Waterfalls!$6:$6,Waterfalls!$21:$21),0)&gt;0,1,0)*($D18+$O$6)</f>
        <v>0</v>
      </c>
      <c r="Y18" s="508" t="str">
        <f>IF(X18&lt;&gt;0,LOOKUP($Q18,Waterfalls!$6:$6,Waterfalls!$21:$21),"")</f>
        <v/>
      </c>
      <c r="Z18" s="508" t="str">
        <f>IF(X18&lt;&gt;0,-LOOKUP($Q18,Waterfalls!$6:$6,Waterfalls!$153:$153),"")</f>
        <v/>
      </c>
    </row>
    <row r="19" spans="1:26" x14ac:dyDescent="0.3">
      <c r="A19" s="761" t="str">
        <f>IF(B19&gt;=DevBdgt!$E$7,LOOKUP(B19,DevBdgt!$7:$7,DevBdgt!$6:$6),"")</f>
        <v/>
      </c>
      <c r="B19" s="507">
        <f t="shared" si="3"/>
        <v>44287</v>
      </c>
      <c r="C19" s="7">
        <v>1E-4</v>
      </c>
      <c r="D19" s="1145">
        <f t="shared" si="0"/>
        <v>2.5000000000000001E-3</v>
      </c>
      <c r="E19" s="273"/>
      <c r="J19" s="1133">
        <v>45506</v>
      </c>
      <c r="K19" s="7">
        <v>3.4085699999999997E-2</v>
      </c>
      <c r="L19" s="507">
        <f t="shared" si="1"/>
        <v>45506</v>
      </c>
      <c r="Q19" s="507">
        <f t="shared" ref="Q19:Q82" si="4">EOMONTH(B19,-1)+1</f>
        <v>44287</v>
      </c>
      <c r="T19" s="344">
        <f>IF(ROUND(LOOKUP(Q19,Waterfalls!$6:$6,Waterfalls!$14:$14),0)&gt;0,1,0)*(D19+$H$4)</f>
        <v>0</v>
      </c>
      <c r="U19" s="508" t="str">
        <f>IF(T19&lt;&gt;0,LOOKUP(Q19,Waterfalls!$6:$6,Waterfalls!$14:$14),"")</f>
        <v/>
      </c>
      <c r="V19" s="508" t="str">
        <f>IF(T19&lt;&gt;0,-LOOKUP(Q19,Waterfalls!$6:$6,Waterfalls!$152:$152),"")</f>
        <v/>
      </c>
      <c r="X19" s="344">
        <f>IF(ROUND(LOOKUP($Q19,Waterfalls!$6:$6,Waterfalls!$21:$21),0)&gt;0,1,0)*($D19+$O$6)</f>
        <v>0</v>
      </c>
      <c r="Y19" s="508" t="str">
        <f>IF(X19&lt;&gt;0,LOOKUP($Q19,Waterfalls!$6:$6,Waterfalls!$21:$21),"")</f>
        <v/>
      </c>
      <c r="Z19" s="508" t="str">
        <f>IF(X19&lt;&gt;0,-LOOKUP($Q19,Waterfalls!$6:$6,Waterfalls!$153:$153),"")</f>
        <v/>
      </c>
    </row>
    <row r="20" spans="1:26" x14ac:dyDescent="0.3">
      <c r="A20" s="761" t="str">
        <f>IF(B20&gt;=DevBdgt!$E$7,LOOKUP(B20,DevBdgt!$7:$7,DevBdgt!$6:$6),"")</f>
        <v/>
      </c>
      <c r="B20" s="507">
        <f t="shared" si="3"/>
        <v>44317</v>
      </c>
      <c r="C20" s="7">
        <v>1E-4</v>
      </c>
      <c r="D20" s="1145">
        <f t="shared" si="0"/>
        <v>2.5000000000000001E-3</v>
      </c>
      <c r="J20" s="1133">
        <v>45537</v>
      </c>
      <c r="K20" s="7">
        <v>3.4122399999999997E-2</v>
      </c>
      <c r="L20" s="507">
        <f t="shared" si="1"/>
        <v>45537</v>
      </c>
      <c r="Q20" s="507">
        <f t="shared" si="4"/>
        <v>44317</v>
      </c>
      <c r="T20" s="344">
        <f>IF(ROUND(LOOKUP(Q20,Waterfalls!$6:$6,Waterfalls!$14:$14),0)&gt;0,1,0)*(D20+$H$4)</f>
        <v>0</v>
      </c>
      <c r="U20" s="508" t="str">
        <f>IF(T20&lt;&gt;0,LOOKUP(Q20,Waterfalls!$6:$6,Waterfalls!$14:$14),"")</f>
        <v/>
      </c>
      <c r="V20" s="508" t="str">
        <f>IF(T20&lt;&gt;0,-LOOKUP(Q20,Waterfalls!$6:$6,Waterfalls!$152:$152),"")</f>
        <v/>
      </c>
      <c r="X20" s="344">
        <f>IF(ROUND(LOOKUP($Q20,Waterfalls!$6:$6,Waterfalls!$21:$21),0)&gt;0,1,0)*($D20+$O$6)</f>
        <v>0</v>
      </c>
      <c r="Y20" s="508" t="str">
        <f>IF(X20&lt;&gt;0,LOOKUP($Q20,Waterfalls!$6:$6,Waterfalls!$21:$21),"")</f>
        <v/>
      </c>
      <c r="Z20" s="508" t="str">
        <f>IF(X20&lt;&gt;0,-LOOKUP($Q20,Waterfalls!$6:$6,Waterfalls!$153:$153),"")</f>
        <v/>
      </c>
    </row>
    <row r="21" spans="1:26" x14ac:dyDescent="0.3">
      <c r="A21" s="761" t="str">
        <f>IF(B21&gt;=DevBdgt!$E$7,LOOKUP(B21,DevBdgt!$7:$7,DevBdgt!$6:$6),"")</f>
        <v/>
      </c>
      <c r="B21" s="507">
        <f t="shared" si="3"/>
        <v>44348</v>
      </c>
      <c r="C21" s="7">
        <v>2.8181818181818185E-4</v>
      </c>
      <c r="D21" s="1145">
        <f t="shared" si="0"/>
        <v>2.5000000000000001E-3</v>
      </c>
      <c r="J21" s="1133">
        <v>45567</v>
      </c>
      <c r="K21" s="7">
        <v>3.4175499999999998E-2</v>
      </c>
      <c r="L21" s="507">
        <f t="shared" si="1"/>
        <v>45567</v>
      </c>
      <c r="Q21" s="507">
        <f t="shared" si="4"/>
        <v>44348</v>
      </c>
      <c r="T21" s="344">
        <f>IF(ROUND(LOOKUP(Q21,Waterfalls!$6:$6,Waterfalls!$14:$14),0)&gt;0,1,0)*(D21+$H$4)</f>
        <v>0</v>
      </c>
      <c r="U21" s="508" t="str">
        <f>IF(T21&lt;&gt;0,LOOKUP(Q21,Waterfalls!$6:$6,Waterfalls!$14:$14),"")</f>
        <v/>
      </c>
      <c r="V21" s="508" t="str">
        <f>IF(T21&lt;&gt;0,-LOOKUP(Q21,Waterfalls!$6:$6,Waterfalls!$152:$152),"")</f>
        <v/>
      </c>
      <c r="X21" s="344">
        <f>IF(ROUND(LOOKUP($Q21,Waterfalls!$6:$6,Waterfalls!$21:$21),0)&gt;0,1,0)*($D21+$O$6)</f>
        <v>0</v>
      </c>
      <c r="Y21" s="508" t="str">
        <f>IF(X21&lt;&gt;0,LOOKUP($Q21,Waterfalls!$6:$6,Waterfalls!$21:$21),"")</f>
        <v/>
      </c>
      <c r="Z21" s="508" t="str">
        <f>IF(X21&lt;&gt;0,-LOOKUP($Q21,Waterfalls!$6:$6,Waterfalls!$153:$153),"")</f>
        <v/>
      </c>
    </row>
    <row r="22" spans="1:26" x14ac:dyDescent="0.3">
      <c r="A22" s="761" t="str">
        <f>IF(B22&gt;=DevBdgt!$E$7,LOOKUP(B22,DevBdgt!$7:$7,DevBdgt!$6:$6),"")</f>
        <v/>
      </c>
      <c r="B22" s="507">
        <f t="shared" si="3"/>
        <v>44378</v>
      </c>
      <c r="C22" s="7">
        <v>5.0000000000000001E-4</v>
      </c>
      <c r="D22" s="1145">
        <f t="shared" si="0"/>
        <v>2.5000000000000001E-3</v>
      </c>
      <c r="J22" s="1133">
        <v>45600</v>
      </c>
      <c r="K22" s="7">
        <v>3.42417E-2</v>
      </c>
      <c r="L22" s="507">
        <f t="shared" si="1"/>
        <v>45600</v>
      </c>
      <c r="Q22" s="507">
        <f t="shared" si="4"/>
        <v>44378</v>
      </c>
      <c r="T22" s="344">
        <f>IF(ROUND(LOOKUP(Q22,Waterfalls!$6:$6,Waterfalls!$14:$14),0)&gt;0,1,0)*(D22+$H$4)</f>
        <v>0</v>
      </c>
      <c r="U22" s="508" t="str">
        <f>IF(T22&lt;&gt;0,LOOKUP(Q22,Waterfalls!$6:$6,Waterfalls!$14:$14),"")</f>
        <v/>
      </c>
      <c r="V22" s="508" t="str">
        <f>IF(T22&lt;&gt;0,-LOOKUP(Q22,Waterfalls!$6:$6,Waterfalls!$152:$152),"")</f>
        <v/>
      </c>
      <c r="X22" s="344">
        <f>IF(ROUND(LOOKUP($Q22,Waterfalls!$6:$6,Waterfalls!$21:$21),0)&gt;0,1,0)*($D22+$O$6)</f>
        <v>0</v>
      </c>
      <c r="Y22" s="508" t="str">
        <f>IF(X22&lt;&gt;0,LOOKUP($Q22,Waterfalls!$6:$6,Waterfalls!$21:$21),"")</f>
        <v/>
      </c>
      <c r="Z22" s="508" t="str">
        <f>IF(X22&lt;&gt;0,-LOOKUP($Q22,Waterfalls!$6:$6,Waterfalls!$153:$153),"")</f>
        <v/>
      </c>
    </row>
    <row r="23" spans="1:26" x14ac:dyDescent="0.3">
      <c r="A23" s="761" t="str">
        <f>IF(B23&gt;=DevBdgt!$E$7,LOOKUP(B23,DevBdgt!$7:$7,DevBdgt!$6:$6),"")</f>
        <v/>
      </c>
      <c r="B23" s="507">
        <f t="shared" si="3"/>
        <v>44409</v>
      </c>
      <c r="C23" s="7">
        <v>5.0000000000000001E-4</v>
      </c>
      <c r="D23" s="1145">
        <f t="shared" si="0"/>
        <v>2.5000000000000001E-3</v>
      </c>
      <c r="J23" s="1133">
        <v>45628</v>
      </c>
      <c r="K23" s="7">
        <v>3.4308699999999998E-2</v>
      </c>
      <c r="L23" s="507">
        <f t="shared" si="1"/>
        <v>45628</v>
      </c>
      <c r="Q23" s="507">
        <f t="shared" si="4"/>
        <v>44409</v>
      </c>
      <c r="T23" s="344">
        <f>IF(ROUND(LOOKUP(Q23,Waterfalls!$6:$6,Waterfalls!$14:$14),0)&gt;0,1,0)*(D23+$H$4)</f>
        <v>0</v>
      </c>
      <c r="U23" s="508" t="str">
        <f>IF(T23&lt;&gt;0,LOOKUP(Q23,Waterfalls!$6:$6,Waterfalls!$14:$14),"")</f>
        <v/>
      </c>
      <c r="V23" s="508" t="str">
        <f>IF(T23&lt;&gt;0,-LOOKUP(Q23,Waterfalls!$6:$6,Waterfalls!$152:$152),"")</f>
        <v/>
      </c>
      <c r="X23" s="344">
        <f>IF(ROUND(LOOKUP($Q23,Waterfalls!$6:$6,Waterfalls!$21:$21),0)&gt;0,1,0)*($D23+$O$6)</f>
        <v>0</v>
      </c>
      <c r="Y23" s="508" t="str">
        <f>IF(X23&lt;&gt;0,LOOKUP($Q23,Waterfalls!$6:$6,Waterfalls!$21:$21),"")</f>
        <v/>
      </c>
      <c r="Z23" s="508" t="str">
        <f>IF(X23&lt;&gt;0,-LOOKUP($Q23,Waterfalls!$6:$6,Waterfalls!$153:$153),"")</f>
        <v/>
      </c>
    </row>
    <row r="24" spans="1:26" x14ac:dyDescent="0.3">
      <c r="A24" s="761" t="str">
        <f>IF(B24&gt;=DevBdgt!$E$7,LOOKUP(B24,DevBdgt!$7:$7,DevBdgt!$6:$6),"")</f>
        <v/>
      </c>
      <c r="B24" s="507">
        <f t="shared" si="3"/>
        <v>44440</v>
      </c>
      <c r="C24" s="7">
        <v>5.0000000000000001E-4</v>
      </c>
      <c r="D24" s="1145">
        <f t="shared" si="0"/>
        <v>2.5000000000000001E-3</v>
      </c>
      <c r="J24" s="1133">
        <v>45659</v>
      </c>
      <c r="K24" s="7">
        <v>3.4386199999999999E-2</v>
      </c>
      <c r="L24" s="507">
        <f t="shared" si="1"/>
        <v>45659</v>
      </c>
      <c r="Q24" s="507">
        <f t="shared" si="4"/>
        <v>44440</v>
      </c>
      <c r="T24" s="344">
        <f>IF(ROUND(LOOKUP(Q24,Waterfalls!$6:$6,Waterfalls!$14:$14),0)&gt;0,1,0)*(D24+$H$4)</f>
        <v>0</v>
      </c>
      <c r="U24" s="508" t="str">
        <f>IF(T24&lt;&gt;0,LOOKUP(Q24,Waterfalls!$6:$6,Waterfalls!$14:$14),"")</f>
        <v/>
      </c>
      <c r="V24" s="508" t="str">
        <f>IF(T24&lt;&gt;0,-LOOKUP(Q24,Waterfalls!$6:$6,Waterfalls!$152:$152),"")</f>
        <v/>
      </c>
      <c r="X24" s="344">
        <f>IF(ROUND(LOOKUP($Q24,Waterfalls!$6:$6,Waterfalls!$21:$21),0)&gt;0,1,0)*($D24+$O$6)</f>
        <v>0</v>
      </c>
      <c r="Y24" s="508" t="str">
        <f>IF(X24&lt;&gt;0,LOOKUP($Q24,Waterfalls!$6:$6,Waterfalls!$21:$21),"")</f>
        <v/>
      </c>
      <c r="Z24" s="508" t="str">
        <f>IF(X24&lt;&gt;0,-LOOKUP($Q24,Waterfalls!$6:$6,Waterfalls!$153:$153),"")</f>
        <v/>
      </c>
    </row>
    <row r="25" spans="1:26" x14ac:dyDescent="0.3">
      <c r="A25" s="761" t="str">
        <f>IF(B25&gt;=DevBdgt!$E$7,LOOKUP(B25,DevBdgt!$7:$7,DevBdgt!$6:$6),"")</f>
        <v/>
      </c>
      <c r="B25" s="507">
        <f t="shared" si="3"/>
        <v>44470</v>
      </c>
      <c r="C25" s="7">
        <v>4.6499999999999997E-4</v>
      </c>
      <c r="D25" s="1145">
        <f t="shared" si="0"/>
        <v>2.5000000000000001E-3</v>
      </c>
      <c r="J25" s="1133">
        <v>45691</v>
      </c>
      <c r="K25" s="7">
        <v>3.4473499999999997E-2</v>
      </c>
      <c r="L25" s="507">
        <f t="shared" si="1"/>
        <v>45691</v>
      </c>
      <c r="Q25" s="507">
        <f t="shared" si="4"/>
        <v>44470</v>
      </c>
      <c r="T25" s="344">
        <f>IF(ROUND(LOOKUP(Q25,Waterfalls!$6:$6,Waterfalls!$14:$14),0)&gt;0,1,0)*(D25+$H$4)</f>
        <v>0</v>
      </c>
      <c r="U25" s="508" t="str">
        <f>IF(T25&lt;&gt;0,LOOKUP(Q25,Waterfalls!$6:$6,Waterfalls!$14:$14),"")</f>
        <v/>
      </c>
      <c r="V25" s="508" t="str">
        <f>IF(T25&lt;&gt;0,-LOOKUP(Q25,Waterfalls!$6:$6,Waterfalls!$152:$152),"")</f>
        <v/>
      </c>
      <c r="X25" s="344">
        <f>IF(ROUND(LOOKUP($Q25,Waterfalls!$6:$6,Waterfalls!$21:$21),0)&gt;0,1,0)*($D25+$O$6)</f>
        <v>0</v>
      </c>
      <c r="Y25" s="508" t="str">
        <f>IF(X25&lt;&gt;0,LOOKUP($Q25,Waterfalls!$6:$6,Waterfalls!$21:$21),"")</f>
        <v/>
      </c>
      <c r="Z25" s="508" t="str">
        <f>IF(X25&lt;&gt;0,-LOOKUP($Q25,Waterfalls!$6:$6,Waterfalls!$153:$153),"")</f>
        <v/>
      </c>
    </row>
    <row r="26" spans="1:26" x14ac:dyDescent="0.3">
      <c r="A26" s="761" t="str">
        <f>IF(B26&gt;=DevBdgt!$E$7,LOOKUP(B26,DevBdgt!$7:$7,DevBdgt!$6:$6),"")</f>
        <v/>
      </c>
      <c r="B26" s="507">
        <f t="shared" si="3"/>
        <v>44501</v>
      </c>
      <c r="C26" s="7">
        <v>5.0000000000000001E-4</v>
      </c>
      <c r="D26" s="1145">
        <f t="shared" si="0"/>
        <v>2.5000000000000001E-3</v>
      </c>
      <c r="J26" s="1133">
        <v>45719</v>
      </c>
      <c r="K26" s="7">
        <v>3.4558199999999997E-2</v>
      </c>
      <c r="L26" s="507">
        <f t="shared" si="1"/>
        <v>45719</v>
      </c>
      <c r="Q26" s="507">
        <f t="shared" si="4"/>
        <v>44501</v>
      </c>
      <c r="T26" s="344">
        <f>IF(ROUND(LOOKUP(Q26,Waterfalls!$6:$6,Waterfalls!$14:$14),0)&gt;0,1,0)*(D26+$H$4)</f>
        <v>0</v>
      </c>
      <c r="U26" s="508" t="str">
        <f>IF(T26&lt;&gt;0,LOOKUP(Q26,Waterfalls!$6:$6,Waterfalls!$14:$14),"")</f>
        <v/>
      </c>
      <c r="V26" s="508" t="str">
        <f>IF(T26&lt;&gt;0,-LOOKUP(Q26,Waterfalls!$6:$6,Waterfalls!$152:$152),"")</f>
        <v/>
      </c>
      <c r="X26" s="344">
        <f>IF(ROUND(LOOKUP($Q26,Waterfalls!$6:$6,Waterfalls!$21:$21),0)&gt;0,1,0)*($D26+$O$6)</f>
        <v>0</v>
      </c>
      <c r="Y26" s="508" t="str">
        <f>IF(X26&lt;&gt;0,LOOKUP($Q26,Waterfalls!$6:$6,Waterfalls!$21:$21),"")</f>
        <v/>
      </c>
      <c r="Z26" s="508" t="str">
        <f>IF(X26&lt;&gt;0,-LOOKUP($Q26,Waterfalls!$6:$6,Waterfalls!$153:$153),"")</f>
        <v/>
      </c>
    </row>
    <row r="27" spans="1:26" x14ac:dyDescent="0.3">
      <c r="A27" s="761" t="str">
        <f>IF(B27&gt;=DevBdgt!$E$7,LOOKUP(B27,DevBdgt!$7:$7,DevBdgt!$6:$6),"")</f>
        <v/>
      </c>
      <c r="B27" s="507">
        <f t="shared" si="3"/>
        <v>44531</v>
      </c>
      <c r="C27" s="7">
        <v>4.9545454545454545E-4</v>
      </c>
      <c r="D27" s="1145">
        <f t="shared" si="0"/>
        <v>2.5000000000000001E-3</v>
      </c>
      <c r="J27" s="1133">
        <v>45749</v>
      </c>
      <c r="K27" s="7">
        <v>3.4643599999999997E-2</v>
      </c>
      <c r="L27" s="507">
        <f t="shared" si="1"/>
        <v>45749</v>
      </c>
      <c r="Q27" s="507">
        <f t="shared" si="4"/>
        <v>44531</v>
      </c>
      <c r="T27" s="344">
        <f>IF(ROUND(LOOKUP(Q27,Waterfalls!$6:$6,Waterfalls!$14:$14),0)&gt;0,1,0)*(D27+$H$4)</f>
        <v>0</v>
      </c>
      <c r="U27" s="508" t="str">
        <f>IF(T27&lt;&gt;0,LOOKUP(Q27,Waterfalls!$6:$6,Waterfalls!$14:$14),"")</f>
        <v/>
      </c>
      <c r="V27" s="508" t="str">
        <f>IF(T27&lt;&gt;0,-LOOKUP(Q27,Waterfalls!$6:$6,Waterfalls!$152:$152),"")</f>
        <v/>
      </c>
      <c r="X27" s="344">
        <f>IF(ROUND(LOOKUP($Q27,Waterfalls!$6:$6,Waterfalls!$21:$21),0)&gt;0,1,0)*($D27+$O$6)</f>
        <v>0</v>
      </c>
      <c r="Y27" s="508" t="str">
        <f>IF(X27&lt;&gt;0,LOOKUP($Q27,Waterfalls!$6:$6,Waterfalls!$21:$21),"")</f>
        <v/>
      </c>
      <c r="Z27" s="508" t="str">
        <f>IF(X27&lt;&gt;0,-LOOKUP($Q27,Waterfalls!$6:$6,Waterfalls!$153:$153),"")</f>
        <v/>
      </c>
    </row>
    <row r="28" spans="1:26" x14ac:dyDescent="0.3">
      <c r="A28" s="761" t="str">
        <f>IF(B28&gt;=DevBdgt!$E$7,LOOKUP(B28,DevBdgt!$7:$7,DevBdgt!$6:$6),"")</f>
        <v/>
      </c>
      <c r="B28" s="507">
        <f t="shared" si="3"/>
        <v>44562</v>
      </c>
      <c r="C28" s="7">
        <v>4.8000000000000001E-4</v>
      </c>
      <c r="D28" s="1145">
        <f t="shared" si="0"/>
        <v>2.5000000000000001E-3</v>
      </c>
      <c r="J28" s="1133">
        <v>45779</v>
      </c>
      <c r="K28" s="7">
        <v>3.4732600000000002E-2</v>
      </c>
      <c r="L28" s="507">
        <f t="shared" si="1"/>
        <v>45779</v>
      </c>
      <c r="Q28" s="507">
        <f t="shared" si="4"/>
        <v>44562</v>
      </c>
      <c r="T28" s="344">
        <f>IF(ROUND(LOOKUP(Q28,Waterfalls!$6:$6,Waterfalls!$14:$14),0)&gt;0,1,0)*(D28+$H$4)</f>
        <v>0</v>
      </c>
      <c r="U28" s="508" t="str">
        <f>IF(T28&lt;&gt;0,LOOKUP(Q28,Waterfalls!$6:$6,Waterfalls!$14:$14),"")</f>
        <v/>
      </c>
      <c r="V28" s="508" t="str">
        <f>IF(T28&lt;&gt;0,-LOOKUP(Q28,Waterfalls!$6:$6,Waterfalls!$152:$152),"")</f>
        <v/>
      </c>
      <c r="X28" s="344">
        <f>IF(ROUND(LOOKUP($Q28,Waterfalls!$6:$6,Waterfalls!$21:$21),0)&gt;0,1,0)*($D28+$O$6)</f>
        <v>0</v>
      </c>
      <c r="Y28" s="508" t="str">
        <f>IF(X28&lt;&gt;0,LOOKUP($Q28,Waterfalls!$6:$6,Waterfalls!$21:$21),"")</f>
        <v/>
      </c>
      <c r="Z28" s="508" t="str">
        <f>IF(X28&lt;&gt;0,-LOOKUP($Q28,Waterfalls!$6:$6,Waterfalls!$153:$153),"")</f>
        <v/>
      </c>
    </row>
    <row r="29" spans="1:26" x14ac:dyDescent="0.3">
      <c r="A29" s="761" t="str">
        <f>IF(B29&gt;=DevBdgt!$E$7,LOOKUP(B29,DevBdgt!$7:$7,DevBdgt!$6:$6),"")</f>
        <v/>
      </c>
      <c r="B29" s="507">
        <f t="shared" si="3"/>
        <v>44593</v>
      </c>
      <c r="C29" s="7">
        <v>4.9473684210526319E-4</v>
      </c>
      <c r="D29" s="1145">
        <f t="shared" si="0"/>
        <v>2.5000000000000001E-3</v>
      </c>
      <c r="J29" s="1133">
        <v>45810</v>
      </c>
      <c r="K29" s="7">
        <v>3.4820299999999998E-2</v>
      </c>
      <c r="L29" s="507">
        <f t="shared" si="1"/>
        <v>45810</v>
      </c>
      <c r="Q29" s="507">
        <f t="shared" si="4"/>
        <v>44593</v>
      </c>
      <c r="T29" s="344">
        <f>IF(ROUND(LOOKUP(Q29,Waterfalls!$6:$6,Waterfalls!$14:$14),0)&gt;0,1,0)*(D29+$H$4)</f>
        <v>0</v>
      </c>
      <c r="U29" s="508" t="str">
        <f>IF(T29&lt;&gt;0,LOOKUP(Q29,Waterfalls!$6:$6,Waterfalls!$14:$14),"")</f>
        <v/>
      </c>
      <c r="V29" s="508" t="str">
        <f>IF(T29&lt;&gt;0,-LOOKUP(Q29,Waterfalls!$6:$6,Waterfalls!$152:$152),"")</f>
        <v/>
      </c>
      <c r="X29" s="344">
        <f>IF(ROUND(LOOKUP($Q29,Waterfalls!$6:$6,Waterfalls!$21:$21),0)&gt;0,1,0)*($D29+$O$6)</f>
        <v>0</v>
      </c>
      <c r="Y29" s="508" t="str">
        <f>IF(X29&lt;&gt;0,LOOKUP($Q29,Waterfalls!$6:$6,Waterfalls!$21:$21),"")</f>
        <v/>
      </c>
      <c r="Z29" s="508" t="str">
        <f>IF(X29&lt;&gt;0,-LOOKUP($Q29,Waterfalls!$6:$6,Waterfalls!$153:$153),"")</f>
        <v/>
      </c>
    </row>
    <row r="30" spans="1:26" x14ac:dyDescent="0.3">
      <c r="A30" s="761" t="str">
        <f>IF(B30&gt;=DevBdgt!$E$7,LOOKUP(B30,DevBdgt!$7:$7,DevBdgt!$6:$6),"")</f>
        <v/>
      </c>
      <c r="B30" s="507">
        <f t="shared" si="3"/>
        <v>44621</v>
      </c>
      <c r="C30" s="7">
        <v>1.6130434782608697E-3</v>
      </c>
      <c r="D30" s="1145">
        <f t="shared" si="0"/>
        <v>2.5000000000000001E-3</v>
      </c>
      <c r="J30" s="1133">
        <v>45840</v>
      </c>
      <c r="K30" s="7">
        <v>3.4907599999999997E-2</v>
      </c>
      <c r="L30" s="507">
        <f t="shared" si="1"/>
        <v>45840</v>
      </c>
      <c r="Q30" s="507">
        <f t="shared" si="4"/>
        <v>44621</v>
      </c>
      <c r="T30" s="344">
        <f>IF(ROUND(LOOKUP(Q30,Waterfalls!$6:$6,Waterfalls!$14:$14),0)&gt;0,1,0)*(D30+$H$4)</f>
        <v>0</v>
      </c>
      <c r="U30" s="508" t="str">
        <f>IF(T30&lt;&gt;0,LOOKUP(Q30,Waterfalls!$6:$6,Waterfalls!$14:$14),"")</f>
        <v/>
      </c>
      <c r="V30" s="508" t="str">
        <f>IF(T30&lt;&gt;0,-LOOKUP(Q30,Waterfalls!$6:$6,Waterfalls!$152:$152),"")</f>
        <v/>
      </c>
      <c r="X30" s="344">
        <f>IF(ROUND(LOOKUP($Q30,Waterfalls!$6:$6,Waterfalls!$21:$21),0)&gt;0,1,0)*($D30+$O$6)</f>
        <v>0</v>
      </c>
      <c r="Y30" s="508" t="str">
        <f>IF(X30&lt;&gt;0,LOOKUP($Q30,Waterfalls!$6:$6,Waterfalls!$21:$21),"")</f>
        <v/>
      </c>
      <c r="Z30" s="508" t="str">
        <f>IF(X30&lt;&gt;0,-LOOKUP($Q30,Waterfalls!$6:$6,Waterfalls!$153:$153),"")</f>
        <v/>
      </c>
    </row>
    <row r="31" spans="1:26" x14ac:dyDescent="0.3">
      <c r="A31" s="761" t="str">
        <f>IF(B31&gt;=DevBdgt!$E$7,LOOKUP(B31,DevBdgt!$7:$7,DevBdgt!$6:$6),"")</f>
        <v/>
      </c>
      <c r="B31" s="507">
        <f t="shared" si="3"/>
        <v>44652</v>
      </c>
      <c r="C31" s="7">
        <v>2.8599999999999997E-3</v>
      </c>
      <c r="D31" s="1145">
        <f t="shared" si="0"/>
        <v>2.8599999999999997E-3</v>
      </c>
      <c r="J31" s="1133">
        <v>45873</v>
      </c>
      <c r="K31" s="7">
        <v>3.5001200000000003E-2</v>
      </c>
      <c r="L31" s="507">
        <f t="shared" si="1"/>
        <v>45873</v>
      </c>
      <c r="Q31" s="507">
        <f t="shared" si="4"/>
        <v>44652</v>
      </c>
      <c r="T31" s="344">
        <f>IF(ROUND(LOOKUP(Q31,Waterfalls!$6:$6,Waterfalls!$14:$14),0)&gt;0,1,0)*(D31+$H$4)</f>
        <v>0</v>
      </c>
      <c r="U31" s="508" t="str">
        <f>IF(T31&lt;&gt;0,LOOKUP(Q31,Waterfalls!$6:$6,Waterfalls!$14:$14),"")</f>
        <v/>
      </c>
      <c r="V31" s="508" t="str">
        <f>IF(T31&lt;&gt;0,-LOOKUP(Q31,Waterfalls!$6:$6,Waterfalls!$152:$152),"")</f>
        <v/>
      </c>
      <c r="X31" s="344">
        <f>IF(ROUND(LOOKUP($Q31,Waterfalls!$6:$6,Waterfalls!$21:$21),0)&gt;0,1,0)*($D31+$O$6)</f>
        <v>0</v>
      </c>
      <c r="Y31" s="508" t="str">
        <f>IF(X31&lt;&gt;0,LOOKUP($Q31,Waterfalls!$6:$6,Waterfalls!$21:$21),"")</f>
        <v/>
      </c>
      <c r="Z31" s="508" t="str">
        <f>IF(X31&lt;&gt;0,-LOOKUP($Q31,Waterfalls!$6:$6,Waterfalls!$153:$153),"")</f>
        <v/>
      </c>
    </row>
    <row r="32" spans="1:26" x14ac:dyDescent="0.3">
      <c r="A32" s="761" t="str">
        <f>IF(B32&gt;=DevBdgt!$E$7,LOOKUP(B32,DevBdgt!$7:$7,DevBdgt!$6:$6),"")</f>
        <v/>
      </c>
      <c r="B32" s="507">
        <f t="shared" si="3"/>
        <v>44682</v>
      </c>
      <c r="C32" s="7">
        <v>7.1619047619047617E-3</v>
      </c>
      <c r="D32" s="1145">
        <f t="shared" si="0"/>
        <v>7.1619047619047617E-3</v>
      </c>
      <c r="J32" s="1133">
        <v>45902</v>
      </c>
      <c r="K32" s="7">
        <v>3.5078499999999999E-2</v>
      </c>
      <c r="L32" s="507">
        <f t="shared" si="1"/>
        <v>45902</v>
      </c>
      <c r="Q32" s="507">
        <f t="shared" si="4"/>
        <v>44682</v>
      </c>
      <c r="T32" s="344">
        <f>IF(ROUND(LOOKUP(Q32,Waterfalls!$6:$6,Waterfalls!$14:$14),0)&gt;0,1,0)*(D32+$H$4)</f>
        <v>0</v>
      </c>
      <c r="U32" s="508" t="str">
        <f>IF(T32&lt;&gt;0,LOOKUP(Q32,Waterfalls!$6:$6,Waterfalls!$14:$14),"")</f>
        <v/>
      </c>
      <c r="V32" s="508" t="str">
        <f>IF(T32&lt;&gt;0,-LOOKUP(Q32,Waterfalls!$6:$6,Waterfalls!$152:$152),"")</f>
        <v/>
      </c>
      <c r="X32" s="344">
        <f>IF(ROUND(LOOKUP($Q32,Waterfalls!$6:$6,Waterfalls!$21:$21),0)&gt;0,1,0)*($D32+$O$6)</f>
        <v>0</v>
      </c>
      <c r="Y32" s="508" t="str">
        <f>IF(X32&lt;&gt;0,LOOKUP($Q32,Waterfalls!$6:$6,Waterfalls!$21:$21),"")</f>
        <v/>
      </c>
      <c r="Z32" s="508" t="str">
        <f>IF(X32&lt;&gt;0,-LOOKUP($Q32,Waterfalls!$6:$6,Waterfalls!$153:$153),"")</f>
        <v/>
      </c>
    </row>
    <row r="33" spans="1:26" x14ac:dyDescent="0.3">
      <c r="A33" s="761" t="str">
        <f>IF(B33&gt;=DevBdgt!$E$7,LOOKUP(B33,DevBdgt!$7:$7,DevBdgt!$6:$6),"")</f>
        <v/>
      </c>
      <c r="B33" s="507">
        <f t="shared" si="3"/>
        <v>44713</v>
      </c>
      <c r="C33" s="7">
        <v>1.0966666666666666E-2</v>
      </c>
      <c r="D33" s="1145">
        <f t="shared" si="0"/>
        <v>1.0966666666666666E-2</v>
      </c>
      <c r="J33" s="1133">
        <v>45932</v>
      </c>
      <c r="K33" s="7">
        <v>3.5165099999999998E-2</v>
      </c>
      <c r="L33" s="507">
        <f t="shared" si="1"/>
        <v>45932</v>
      </c>
      <c r="Q33" s="507">
        <f t="shared" si="4"/>
        <v>44713</v>
      </c>
      <c r="T33" s="344">
        <f>IF(ROUND(LOOKUP(Q33,Waterfalls!$6:$6,Waterfalls!$14:$14),0)&gt;0,1,0)*(D33+$H$4)</f>
        <v>0</v>
      </c>
      <c r="U33" s="508" t="str">
        <f>IF(T33&lt;&gt;0,LOOKUP(Q33,Waterfalls!$6:$6,Waterfalls!$14:$14),"")</f>
        <v/>
      </c>
      <c r="V33" s="508" t="str">
        <f>IF(T33&lt;&gt;0,-LOOKUP(Q33,Waterfalls!$6:$6,Waterfalls!$152:$152),"")</f>
        <v/>
      </c>
      <c r="X33" s="344">
        <f>IF(ROUND(LOOKUP($Q33,Waterfalls!$6:$6,Waterfalls!$21:$21),0)&gt;0,1,0)*($D33+$O$6)</f>
        <v>0</v>
      </c>
      <c r="Y33" s="508" t="str">
        <f>IF(X33&lt;&gt;0,LOOKUP($Q33,Waterfalls!$6:$6,Waterfalls!$21:$21),"")</f>
        <v/>
      </c>
      <c r="Z33" s="508" t="str">
        <f>IF(X33&lt;&gt;0,-LOOKUP($Q33,Waterfalls!$6:$6,Waterfalls!$153:$153),"")</f>
        <v/>
      </c>
    </row>
    <row r="34" spans="1:26" x14ac:dyDescent="0.3">
      <c r="A34" s="761" t="str">
        <f>IF(B34&gt;=DevBdgt!$E$7,LOOKUP(B34,DevBdgt!$7:$7,DevBdgt!$6:$6),"")</f>
        <v/>
      </c>
      <c r="B34" s="507">
        <f t="shared" si="3"/>
        <v>44743</v>
      </c>
      <c r="C34" s="7">
        <v>1.6070000000000001E-2</v>
      </c>
      <c r="D34" s="1145">
        <f t="shared" si="0"/>
        <v>1.6070000000000001E-2</v>
      </c>
      <c r="J34" s="1133">
        <v>45964</v>
      </c>
      <c r="K34" s="7">
        <v>3.5254500000000001E-2</v>
      </c>
      <c r="L34" s="507">
        <f t="shared" si="1"/>
        <v>45964</v>
      </c>
      <c r="Q34" s="507">
        <f t="shared" si="4"/>
        <v>44743</v>
      </c>
      <c r="T34" s="344">
        <f>IF(ROUND(LOOKUP(Q34,Waterfalls!$6:$6,Waterfalls!$14:$14),0)&gt;0,1,0)*(D34+$H$4)</f>
        <v>0</v>
      </c>
      <c r="U34" s="508" t="str">
        <f>IF(T34&lt;&gt;0,LOOKUP(Q34,Waterfalls!$6:$6,Waterfalls!$14:$14),"")</f>
        <v/>
      </c>
      <c r="V34" s="508" t="str">
        <f>IF(T34&lt;&gt;0,-LOOKUP(Q34,Waterfalls!$6:$6,Waterfalls!$152:$152),"")</f>
        <v/>
      </c>
      <c r="X34" s="344">
        <f>IF(ROUND(LOOKUP($Q34,Waterfalls!$6:$6,Waterfalls!$21:$21),0)&gt;0,1,0)*($D34+$O$6)</f>
        <v>0</v>
      </c>
      <c r="Y34" s="508" t="str">
        <f>IF(X34&lt;&gt;0,LOOKUP($Q34,Waterfalls!$6:$6,Waterfalls!$21:$21),"")</f>
        <v/>
      </c>
      <c r="Z34" s="508" t="str">
        <f>IF(X34&lt;&gt;0,-LOOKUP($Q34,Waterfalls!$6:$6,Waterfalls!$153:$153),"")</f>
        <v/>
      </c>
    </row>
    <row r="35" spans="1:26" x14ac:dyDescent="0.3">
      <c r="A35" s="761" t="str">
        <f>IF(B35&gt;=DevBdgt!$E$7,LOOKUP(B35,DevBdgt!$7:$7,DevBdgt!$6:$6),"")</f>
        <v/>
      </c>
      <c r="B35" s="507">
        <f t="shared" si="3"/>
        <v>44774</v>
      </c>
      <c r="C35" s="7">
        <v>2.2834782608695651E-2</v>
      </c>
      <c r="D35" s="1145">
        <f t="shared" si="0"/>
        <v>2.2834782608695651E-2</v>
      </c>
      <c r="J35" s="1133">
        <v>45993</v>
      </c>
      <c r="K35" s="7">
        <v>3.5339299999999997E-2</v>
      </c>
      <c r="L35" s="507">
        <f t="shared" si="1"/>
        <v>45993</v>
      </c>
      <c r="Q35" s="507">
        <f t="shared" si="4"/>
        <v>44774</v>
      </c>
      <c r="T35" s="344">
        <f>IF(ROUND(LOOKUP(Q35,Waterfalls!$6:$6,Waterfalls!$14:$14),0)&gt;0,1,0)*(D35+$H$4)</f>
        <v>0</v>
      </c>
      <c r="U35" s="508" t="str">
        <f>IF(T35&lt;&gt;0,LOOKUP(Q35,Waterfalls!$6:$6,Waterfalls!$14:$14),"")</f>
        <v/>
      </c>
      <c r="V35" s="508" t="str">
        <f>IF(T35&lt;&gt;0,-LOOKUP(Q35,Waterfalls!$6:$6,Waterfalls!$152:$152),"")</f>
        <v/>
      </c>
      <c r="X35" s="344">
        <f>IF(ROUND(LOOKUP($Q35,Waterfalls!$6:$6,Waterfalls!$21:$21),0)&gt;0,1,0)*($D35+$O$6)</f>
        <v>0</v>
      </c>
      <c r="Y35" s="508" t="str">
        <f>IF(X35&lt;&gt;0,LOOKUP($Q35,Waterfalls!$6:$6,Waterfalls!$21:$21),"")</f>
        <v/>
      </c>
      <c r="Z35" s="508" t="str">
        <f>IF(X35&lt;&gt;0,-LOOKUP($Q35,Waterfalls!$6:$6,Waterfalls!$153:$153),"")</f>
        <v/>
      </c>
    </row>
    <row r="36" spans="1:26" x14ac:dyDescent="0.3">
      <c r="A36" s="761" t="str">
        <f>IF(B36&gt;=DevBdgt!$E$7,LOOKUP(B36,DevBdgt!$7:$7,DevBdgt!$6:$6),"")</f>
        <v/>
      </c>
      <c r="B36" s="507">
        <f t="shared" si="3"/>
        <v>44805</v>
      </c>
      <c r="C36" s="7">
        <v>2.5114285714285714E-2</v>
      </c>
      <c r="D36" s="1145">
        <f t="shared" si="0"/>
        <v>2.5114285714285714E-2</v>
      </c>
      <c r="J36" s="1133">
        <v>46024</v>
      </c>
      <c r="K36" s="7">
        <v>3.5427500000000001E-2</v>
      </c>
      <c r="L36" s="507">
        <f t="shared" si="1"/>
        <v>46024</v>
      </c>
      <c r="Q36" s="507">
        <f t="shared" si="4"/>
        <v>44805</v>
      </c>
      <c r="T36" s="344">
        <f>IF(ROUND(LOOKUP(Q36,Waterfalls!$6:$6,Waterfalls!$14:$14),0)&gt;0,1,0)*(D36+$H$4)</f>
        <v>0</v>
      </c>
      <c r="U36" s="508" t="str">
        <f>IF(T36&lt;&gt;0,LOOKUP(Q36,Waterfalls!$6:$6,Waterfalls!$14:$14),"")</f>
        <v/>
      </c>
      <c r="V36" s="508" t="str">
        <f>IF(T36&lt;&gt;0,-LOOKUP(Q36,Waterfalls!$6:$6,Waterfalls!$152:$152),"")</f>
        <v/>
      </c>
      <c r="X36" s="344">
        <f>IF(ROUND(LOOKUP($Q36,Waterfalls!$6:$6,Waterfalls!$21:$21),0)&gt;0,1,0)*($D36+$O$6)</f>
        <v>0</v>
      </c>
      <c r="Y36" s="508" t="str">
        <f>IF(X36&lt;&gt;0,LOOKUP($Q36,Waterfalls!$6:$6,Waterfalls!$21:$21),"")</f>
        <v/>
      </c>
      <c r="Z36" s="508" t="str">
        <f>IF(X36&lt;&gt;0,-LOOKUP($Q36,Waterfalls!$6:$6,Waterfalls!$153:$153),"")</f>
        <v/>
      </c>
    </row>
    <row r="37" spans="1:26" x14ac:dyDescent="0.3">
      <c r="A37" s="761" t="str">
        <f>IF(B37&gt;=DevBdgt!$E$7,LOOKUP(B37,DevBdgt!$7:$7,DevBdgt!$6:$6),"")</f>
        <v/>
      </c>
      <c r="B37" s="507">
        <f t="shared" si="3"/>
        <v>44835</v>
      </c>
      <c r="C37" s="7">
        <v>3.0365000000000003E-2</v>
      </c>
      <c r="D37" s="1145">
        <f t="shared" si="0"/>
        <v>3.0365000000000003E-2</v>
      </c>
      <c r="J37" s="1133">
        <v>46055</v>
      </c>
      <c r="K37" s="7">
        <v>3.55187E-2</v>
      </c>
      <c r="L37" s="507">
        <f t="shared" si="1"/>
        <v>46055</v>
      </c>
      <c r="Q37" s="507">
        <f t="shared" si="4"/>
        <v>44835</v>
      </c>
      <c r="T37" s="344">
        <f>IF(ROUND(LOOKUP(Q37,Waterfalls!$6:$6,Waterfalls!$14:$14),0)&gt;0,1,0)*(D37+$H$4)</f>
        <v>0</v>
      </c>
      <c r="U37" s="508" t="str">
        <f>IF(T37&lt;&gt;0,LOOKUP(Q37,Waterfalls!$6:$6,Waterfalls!$14:$14),"")</f>
        <v/>
      </c>
      <c r="V37" s="508" t="str">
        <f>IF(T37&lt;&gt;0,-LOOKUP(Q37,Waterfalls!$6:$6,Waterfalls!$152:$152),"")</f>
        <v/>
      </c>
      <c r="X37" s="344">
        <f>IF(ROUND(LOOKUP($Q37,Waterfalls!$6:$6,Waterfalls!$21:$21),0)&gt;0,1,0)*($D37+$O$6)</f>
        <v>0</v>
      </c>
      <c r="Y37" s="508" t="str">
        <f>IF(X37&lt;&gt;0,LOOKUP($Q37,Waterfalls!$6:$6,Waterfalls!$21:$21),"")</f>
        <v/>
      </c>
      <c r="Z37" s="508" t="str">
        <f>IF(X37&lt;&gt;0,-LOOKUP($Q37,Waterfalls!$6:$6,Waterfalls!$153:$153),"")</f>
        <v/>
      </c>
    </row>
    <row r="38" spans="1:26" x14ac:dyDescent="0.3">
      <c r="A38" s="761" t="str">
        <f>IF(B38&gt;=DevBdgt!$E$7,LOOKUP(B38,DevBdgt!$7:$7,DevBdgt!$6:$6),"")</f>
        <v/>
      </c>
      <c r="B38" s="507">
        <f t="shared" si="3"/>
        <v>44866</v>
      </c>
      <c r="C38" s="7">
        <v>3.7220000000000003E-2</v>
      </c>
      <c r="D38" s="1145">
        <f t="shared" si="0"/>
        <v>3.7220000000000003E-2</v>
      </c>
      <c r="J38" s="1133">
        <v>46083</v>
      </c>
      <c r="K38" s="7">
        <v>3.5618299999999999E-2</v>
      </c>
      <c r="L38" s="507">
        <f t="shared" si="1"/>
        <v>46083</v>
      </c>
      <c r="Q38" s="507">
        <f t="shared" si="4"/>
        <v>44866</v>
      </c>
      <c r="T38" s="344">
        <f>IF(ROUND(LOOKUP(Q38,Waterfalls!$6:$6,Waterfalls!$14:$14),0)&gt;0,1,0)*(D38+$H$4)</f>
        <v>0</v>
      </c>
      <c r="U38" s="508" t="str">
        <f>IF(T38&lt;&gt;0,LOOKUP(Q38,Waterfalls!$6:$6,Waterfalls!$14:$14),"")</f>
        <v/>
      </c>
      <c r="V38" s="508" t="str">
        <f>IF(T38&lt;&gt;0,-LOOKUP(Q38,Waterfalls!$6:$6,Waterfalls!$152:$152),"")</f>
        <v/>
      </c>
      <c r="X38" s="344">
        <f>IF(ROUND(LOOKUP($Q38,Waterfalls!$6:$6,Waterfalls!$21:$21),0)&gt;0,1,0)*($D38+$O$6)</f>
        <v>0</v>
      </c>
      <c r="Y38" s="508" t="str">
        <f>IF(X38&lt;&gt;0,LOOKUP($Q38,Waterfalls!$6:$6,Waterfalls!$21:$21),"")</f>
        <v/>
      </c>
      <c r="Z38" s="508" t="str">
        <f>IF(X38&lt;&gt;0,-LOOKUP($Q38,Waterfalls!$6:$6,Waterfalls!$153:$153),"")</f>
        <v/>
      </c>
    </row>
    <row r="39" spans="1:26" x14ac:dyDescent="0.3">
      <c r="A39" s="761" t="str">
        <f>IF(B39&gt;=DevBdgt!$E$7,LOOKUP(B39,DevBdgt!$7:$7,DevBdgt!$6:$6),"")</f>
        <v/>
      </c>
      <c r="B39" s="507">
        <f t="shared" si="3"/>
        <v>44896</v>
      </c>
      <c r="C39" s="7">
        <v>4.0657142857142857E-2</v>
      </c>
      <c r="D39" s="1145">
        <f t="shared" si="0"/>
        <v>4.0657142857142857E-2</v>
      </c>
      <c r="J39" s="1133">
        <v>46114</v>
      </c>
      <c r="K39" s="7">
        <v>3.5711199999999999E-2</v>
      </c>
      <c r="L39" s="507">
        <f t="shared" si="1"/>
        <v>46114</v>
      </c>
      <c r="Q39" s="507">
        <f t="shared" si="4"/>
        <v>44896</v>
      </c>
      <c r="T39" s="344">
        <f>IF(ROUND(LOOKUP(Q39,Waterfalls!$6:$6,Waterfalls!$14:$14),0)&gt;0,1,0)*(D39+$H$4)</f>
        <v>0</v>
      </c>
      <c r="U39" s="508" t="str">
        <f>IF(T39&lt;&gt;0,LOOKUP(Q39,Waterfalls!$6:$6,Waterfalls!$14:$14),"")</f>
        <v/>
      </c>
      <c r="V39" s="508" t="str">
        <f>IF(T39&lt;&gt;0,-LOOKUP(Q39,Waterfalls!$6:$6,Waterfalls!$152:$152),"")</f>
        <v/>
      </c>
      <c r="X39" s="344">
        <f>IF(ROUND(LOOKUP($Q39,Waterfalls!$6:$6,Waterfalls!$21:$21),0)&gt;0,1,0)*($D39+$O$6)</f>
        <v>0</v>
      </c>
      <c r="Y39" s="508" t="str">
        <f>IF(X39&lt;&gt;0,LOOKUP($Q39,Waterfalls!$6:$6,Waterfalls!$21:$21),"")</f>
        <v/>
      </c>
      <c r="Z39" s="508" t="str">
        <f>IF(X39&lt;&gt;0,-LOOKUP($Q39,Waterfalls!$6:$6,Waterfalls!$153:$153),"")</f>
        <v/>
      </c>
    </row>
    <row r="40" spans="1:26" x14ac:dyDescent="0.3">
      <c r="A40" s="761" t="str">
        <f>IF(B40&gt;=DevBdgt!$E$7,LOOKUP(B40,DevBdgt!$7:$7,DevBdgt!$6:$6),"")</f>
        <v/>
      </c>
      <c r="B40" s="507">
        <f t="shared" si="3"/>
        <v>44927</v>
      </c>
      <c r="C40" s="7">
        <v>4.3045E-2</v>
      </c>
      <c r="D40" s="1145">
        <f t="shared" si="0"/>
        <v>4.3045E-2</v>
      </c>
      <c r="J40" s="1133">
        <v>46146</v>
      </c>
      <c r="K40" s="7">
        <v>3.58131E-2</v>
      </c>
      <c r="L40" s="507">
        <f t="shared" si="1"/>
        <v>46146</v>
      </c>
      <c r="Q40" s="507">
        <f t="shared" si="4"/>
        <v>44927</v>
      </c>
      <c r="T40" s="344">
        <f>IF(ROUND(LOOKUP(Q40,Waterfalls!$6:$6,Waterfalls!$14:$14),0)&gt;0,1,0)*(D40+$H$4)</f>
        <v>0</v>
      </c>
      <c r="U40" s="508" t="str">
        <f>IF(T40&lt;&gt;0,LOOKUP(Q40,Waterfalls!$6:$6,Waterfalls!$14:$14),"")</f>
        <v/>
      </c>
      <c r="V40" s="508" t="str">
        <f>IF(T40&lt;&gt;0,-LOOKUP(Q40,Waterfalls!$6:$6,Waterfalls!$152:$152),"")</f>
        <v/>
      </c>
      <c r="X40" s="344">
        <f>IF(ROUND(LOOKUP($Q40,Waterfalls!$6:$6,Waterfalls!$21:$21),0)&gt;0,1,0)*($D40+$O$6)</f>
        <v>0</v>
      </c>
      <c r="Y40" s="508" t="str">
        <f>IF(X40&lt;&gt;0,LOOKUP($Q40,Waterfalls!$6:$6,Waterfalls!$21:$21),"")</f>
        <v/>
      </c>
      <c r="Z40" s="508" t="str">
        <f>IF(X40&lt;&gt;0,-LOOKUP($Q40,Waterfalls!$6:$6,Waterfalls!$153:$153),"")</f>
        <v/>
      </c>
    </row>
    <row r="41" spans="1:26" x14ac:dyDescent="0.3">
      <c r="A41" s="761" t="str">
        <f>IF(B41&gt;=DevBdgt!$E$7,LOOKUP(B41,DevBdgt!$7:$7,DevBdgt!$6:$6),"")</f>
        <v/>
      </c>
      <c r="B41" s="507">
        <f t="shared" si="3"/>
        <v>44958</v>
      </c>
      <c r="C41" s="7">
        <v>4.5378947368421053E-2</v>
      </c>
      <c r="D41" s="1145">
        <f t="shared" si="0"/>
        <v>4.5378947368421053E-2</v>
      </c>
      <c r="J41" s="1133">
        <v>46175</v>
      </c>
      <c r="K41" s="7">
        <v>3.59043E-2</v>
      </c>
      <c r="L41" s="507">
        <f t="shared" si="1"/>
        <v>46175</v>
      </c>
      <c r="Q41" s="507">
        <f t="shared" si="4"/>
        <v>44958</v>
      </c>
      <c r="T41" s="344">
        <f>IF(ROUND(LOOKUP(Q41,Waterfalls!$6:$6,Waterfalls!$14:$14),0)&gt;0,1,0)*(D41+$H$4)</f>
        <v>0</v>
      </c>
      <c r="U41" s="508" t="str">
        <f>IF(T41&lt;&gt;0,LOOKUP(Q41,Waterfalls!$6:$6,Waterfalls!$14:$14),"")</f>
        <v/>
      </c>
      <c r="V41" s="508" t="str">
        <f>IF(T41&lt;&gt;0,-LOOKUP(Q41,Waterfalls!$6:$6,Waterfalls!$152:$152),"")</f>
        <v/>
      </c>
      <c r="X41" s="344">
        <f>IF(ROUND(LOOKUP($Q41,Waterfalls!$6:$6,Waterfalls!$21:$21),0)&gt;0,1,0)*($D41+$O$6)</f>
        <v>0</v>
      </c>
      <c r="Y41" s="508" t="str">
        <f>IF(X41&lt;&gt;0,LOOKUP($Q41,Waterfalls!$6:$6,Waterfalls!$21:$21),"")</f>
        <v/>
      </c>
      <c r="Z41" s="508" t="str">
        <f>IF(X41&lt;&gt;0,-LOOKUP($Q41,Waterfalls!$6:$6,Waterfalls!$153:$153),"")</f>
        <v/>
      </c>
    </row>
    <row r="42" spans="1:26" x14ac:dyDescent="0.3">
      <c r="A42" s="761" t="str">
        <f>IF(B42&gt;=DevBdgt!$E$7,LOOKUP(B42,DevBdgt!$7:$7,DevBdgt!$6:$6),"")</f>
        <v/>
      </c>
      <c r="B42" s="507">
        <f t="shared" si="3"/>
        <v>44986</v>
      </c>
      <c r="C42" s="7">
        <v>4.6356521739130435E-2</v>
      </c>
      <c r="D42" s="1145">
        <f t="shared" si="0"/>
        <v>4.6356521739130435E-2</v>
      </c>
      <c r="J42" s="1133">
        <v>46205</v>
      </c>
      <c r="K42" s="7">
        <v>3.6004099999999997E-2</v>
      </c>
      <c r="L42" s="507">
        <f t="shared" si="1"/>
        <v>46205</v>
      </c>
      <c r="Q42" s="507">
        <f t="shared" si="4"/>
        <v>44986</v>
      </c>
      <c r="T42" s="344">
        <f>IF(ROUND(LOOKUP(Q42,Waterfalls!$6:$6,Waterfalls!$14:$14),0)&gt;0,1,0)*(D42+$H$4)</f>
        <v>0</v>
      </c>
      <c r="U42" s="508" t="str">
        <f>IF(T42&lt;&gt;0,LOOKUP(Q42,Waterfalls!$6:$6,Waterfalls!$14:$14),"")</f>
        <v/>
      </c>
      <c r="V42" s="508" t="str">
        <f>IF(T42&lt;&gt;0,-LOOKUP(Q42,Waterfalls!$6:$6,Waterfalls!$152:$152),"")</f>
        <v/>
      </c>
      <c r="X42" s="344">
        <f>IF(ROUND(LOOKUP($Q42,Waterfalls!$6:$6,Waterfalls!$21:$21),0)&gt;0,1,0)*($D42+$O$6)</f>
        <v>0</v>
      </c>
      <c r="Y42" s="508" t="str">
        <f>IF(X42&lt;&gt;0,LOOKUP($Q42,Waterfalls!$6:$6,Waterfalls!$21:$21),"")</f>
        <v/>
      </c>
      <c r="Z42" s="508" t="str">
        <f>IF(X42&lt;&gt;0,-LOOKUP($Q42,Waterfalls!$6:$6,Waterfalls!$153:$153),"")</f>
        <v/>
      </c>
    </row>
    <row r="43" spans="1:26" x14ac:dyDescent="0.3">
      <c r="A43" s="761" t="str">
        <f>IF(B43&gt;=DevBdgt!$E$7,LOOKUP(B43,DevBdgt!$7:$7,DevBdgt!$6:$6),"")</f>
        <v/>
      </c>
      <c r="B43" s="507">
        <f t="shared" si="3"/>
        <v>45017</v>
      </c>
      <c r="C43" s="7">
        <v>4.806111111111111E-2</v>
      </c>
      <c r="D43" s="1145">
        <f t="shared" si="0"/>
        <v>4.806111111111111E-2</v>
      </c>
      <c r="J43" s="1133">
        <v>46237</v>
      </c>
      <c r="K43" s="7">
        <v>3.6110700000000003E-2</v>
      </c>
      <c r="L43" s="507">
        <f t="shared" si="1"/>
        <v>46237</v>
      </c>
      <c r="Q43" s="507">
        <f t="shared" si="4"/>
        <v>45017</v>
      </c>
      <c r="T43" s="344">
        <f>IF(ROUND(LOOKUP(Q43,Waterfalls!$6:$6,Waterfalls!$14:$14),0)&gt;0,1,0)*(D43+$H$4)</f>
        <v>0</v>
      </c>
      <c r="U43" s="508" t="str">
        <f>IF(T43&lt;&gt;0,LOOKUP(Q43,Waterfalls!$6:$6,Waterfalls!$14:$14),"")</f>
        <v/>
      </c>
      <c r="V43" s="508" t="str">
        <f>IF(T43&lt;&gt;0,-LOOKUP(Q43,Waterfalls!$6:$6,Waterfalls!$152:$152),"")</f>
        <v/>
      </c>
      <c r="X43" s="344">
        <f>IF(ROUND(LOOKUP($Q43,Waterfalls!$6:$6,Waterfalls!$21:$21),0)&gt;0,1,0)*($D43+$O$6)</f>
        <v>0</v>
      </c>
      <c r="Y43" s="508" t="str">
        <f>IF(X43&lt;&gt;0,LOOKUP($Q43,Waterfalls!$6:$6,Waterfalls!$21:$21),"")</f>
        <v/>
      </c>
      <c r="Z43" s="508" t="str">
        <f>IF(X43&lt;&gt;0,-LOOKUP($Q43,Waterfalls!$6:$6,Waterfalls!$153:$153),"")</f>
        <v/>
      </c>
    </row>
    <row r="44" spans="1:26" x14ac:dyDescent="0.3">
      <c r="A44" s="761" t="str">
        <f>IF(B44&gt;=DevBdgt!$E$7,LOOKUP(B44,DevBdgt!$7:$7,DevBdgt!$6:$6),"")</f>
        <v/>
      </c>
      <c r="B44" s="507">
        <f t="shared" si="3"/>
        <v>45047</v>
      </c>
      <c r="C44" s="7">
        <v>5.0150399999999998E-2</v>
      </c>
      <c r="D44" s="1145">
        <f t="shared" si="0"/>
        <v>5.0150399999999998E-2</v>
      </c>
      <c r="J44" s="1133">
        <v>46267</v>
      </c>
      <c r="K44" s="7">
        <v>3.6207499999999997E-2</v>
      </c>
      <c r="L44" s="507">
        <f t="shared" si="1"/>
        <v>46267</v>
      </c>
      <c r="Q44" s="507">
        <f t="shared" si="4"/>
        <v>45047</v>
      </c>
      <c r="T44" s="344">
        <f>IF(ROUND(LOOKUP(Q44,Waterfalls!$6:$6,Waterfalls!$14:$14),0)&gt;0,1,0)*(D44+$H$4)</f>
        <v>0</v>
      </c>
      <c r="U44" s="508" t="str">
        <f>IF(T44&lt;&gt;0,LOOKUP(Q44,Waterfalls!$6:$6,Waterfalls!$14:$14),"")</f>
        <v/>
      </c>
      <c r="V44" s="508" t="str">
        <f>IF(T44&lt;&gt;0,-LOOKUP(Q44,Waterfalls!$6:$6,Waterfalls!$152:$152),"")</f>
        <v/>
      </c>
      <c r="X44" s="344">
        <f>IF(ROUND(LOOKUP($Q44,Waterfalls!$6:$6,Waterfalls!$21:$21),0)&gt;0,1,0)*($D44+$O$6)</f>
        <v>0</v>
      </c>
      <c r="Y44" s="508" t="str">
        <f>IF(X44&lt;&gt;0,LOOKUP($Q44,Waterfalls!$6:$6,Waterfalls!$21:$21),"")</f>
        <v/>
      </c>
      <c r="Z44" s="508" t="str">
        <f>IF(X44&lt;&gt;0,-LOOKUP($Q44,Waterfalls!$6:$6,Waterfalls!$153:$153),"")</f>
        <v/>
      </c>
    </row>
    <row r="45" spans="1:26" x14ac:dyDescent="0.3">
      <c r="A45" s="761" t="str">
        <f>IF(B45&gt;=DevBdgt!$E$7,LOOKUP(B45,DevBdgt!$7:$7,DevBdgt!$6:$6),"")</f>
        <v/>
      </c>
      <c r="B45" s="507">
        <f t="shared" si="3"/>
        <v>45078</v>
      </c>
      <c r="C45" s="7">
        <v>5.07687E-2</v>
      </c>
      <c r="D45" s="1145">
        <f t="shared" si="0"/>
        <v>5.07687E-2</v>
      </c>
      <c r="J45" s="1133">
        <v>46297</v>
      </c>
      <c r="K45" s="7">
        <v>3.6312400000000002E-2</v>
      </c>
      <c r="L45" s="507">
        <f t="shared" si="1"/>
        <v>46297</v>
      </c>
      <c r="Q45" s="507">
        <f t="shared" si="4"/>
        <v>45078</v>
      </c>
      <c r="T45" s="344">
        <f>IF(ROUND(LOOKUP(Q45,Waterfalls!$6:$6,Waterfalls!$14:$14),0)&gt;0,1,0)*(D45+$H$4)</f>
        <v>0</v>
      </c>
      <c r="U45" s="508" t="str">
        <f>IF(T45&lt;&gt;0,LOOKUP(Q45,Waterfalls!$6:$6,Waterfalls!$14:$14),"")</f>
        <v/>
      </c>
      <c r="V45" s="508" t="str">
        <f>IF(T45&lt;&gt;0,-LOOKUP(Q45,Waterfalls!$6:$6,Waterfalls!$152:$152),"")</f>
        <v/>
      </c>
      <c r="X45" s="344">
        <f>IF(ROUND(LOOKUP($Q45,Waterfalls!$6:$6,Waterfalls!$21:$21),0)&gt;0,1,0)*($D45+$O$6)</f>
        <v>0</v>
      </c>
      <c r="Y45" s="508" t="str">
        <f>IF(X45&lt;&gt;0,LOOKUP($Q45,Waterfalls!$6:$6,Waterfalls!$21:$21),"")</f>
        <v/>
      </c>
      <c r="Z45" s="508" t="str">
        <f>IF(X45&lt;&gt;0,-LOOKUP($Q45,Waterfalls!$6:$6,Waterfalls!$153:$153),"")</f>
        <v/>
      </c>
    </row>
    <row r="46" spans="1:26" x14ac:dyDescent="0.3">
      <c r="A46" s="761" t="str">
        <f>IF(B46&gt;=DevBdgt!$E$7,LOOKUP(B46,DevBdgt!$7:$7,DevBdgt!$6:$6),"")</f>
        <v/>
      </c>
      <c r="B46" s="507">
        <f t="shared" si="3"/>
        <v>45108</v>
      </c>
      <c r="C46" s="7">
        <v>5.0967400000000003E-2</v>
      </c>
      <c r="D46" s="1145">
        <f t="shared" si="0"/>
        <v>5.0967400000000003E-2</v>
      </c>
      <c r="J46" s="1133">
        <v>46328</v>
      </c>
      <c r="K46" s="7">
        <v>3.6418600000000002E-2</v>
      </c>
      <c r="L46" s="507">
        <f t="shared" si="1"/>
        <v>46328</v>
      </c>
      <c r="Q46" s="507">
        <f t="shared" si="4"/>
        <v>45108</v>
      </c>
      <c r="T46" s="344">
        <f>IF(ROUND(LOOKUP(Q46,Waterfalls!$6:$6,Waterfalls!$14:$14),0)&gt;0,1,0)*(D46+$H$4)</f>
        <v>0</v>
      </c>
      <c r="U46" s="508" t="str">
        <f>IF(T46&lt;&gt;0,LOOKUP(Q46,Waterfalls!$6:$6,Waterfalls!$14:$14),"")</f>
        <v/>
      </c>
      <c r="V46" s="508" t="str">
        <f>IF(T46&lt;&gt;0,-LOOKUP(Q46,Waterfalls!$6:$6,Waterfalls!$152:$152),"")</f>
        <v/>
      </c>
      <c r="X46" s="344">
        <f>IF(ROUND(LOOKUP($Q46,Waterfalls!$6:$6,Waterfalls!$21:$21),0)&gt;0,1,0)*($D46+$O$6)</f>
        <v>0</v>
      </c>
      <c r="Y46" s="508" t="str">
        <f>IF(X46&lt;&gt;0,LOOKUP($Q46,Waterfalls!$6:$6,Waterfalls!$21:$21),"")</f>
        <v/>
      </c>
      <c r="Z46" s="508" t="str">
        <f>IF(X46&lt;&gt;0,-LOOKUP($Q46,Waterfalls!$6:$6,Waterfalls!$153:$153),"")</f>
        <v/>
      </c>
    </row>
    <row r="47" spans="1:26" x14ac:dyDescent="0.3">
      <c r="A47" s="761" t="str">
        <f>IF(B47&gt;=DevBdgt!$E$7,LOOKUP(B47,DevBdgt!$7:$7,DevBdgt!$6:$6),"")</f>
        <v/>
      </c>
      <c r="B47" s="507">
        <f t="shared" si="3"/>
        <v>45139</v>
      </c>
      <c r="C47" s="7">
        <v>5.06046E-2</v>
      </c>
      <c r="D47" s="1145">
        <f t="shared" si="0"/>
        <v>5.06046E-2</v>
      </c>
      <c r="J47" s="1133">
        <v>46358</v>
      </c>
      <c r="K47" s="7">
        <v>3.6526099999999999E-2</v>
      </c>
      <c r="L47" s="507">
        <f t="shared" si="1"/>
        <v>46358</v>
      </c>
      <c r="Q47" s="507">
        <f t="shared" si="4"/>
        <v>45139</v>
      </c>
      <c r="T47" s="344">
        <f>IF(ROUND(LOOKUP(Q47,Waterfalls!$6:$6,Waterfalls!$14:$14),0)&gt;0,1,0)*(D47+$H$4)</f>
        <v>0</v>
      </c>
      <c r="U47" s="508" t="str">
        <f>IF(T47&lt;&gt;0,LOOKUP(Q47,Waterfalls!$6:$6,Waterfalls!$14:$14),"")</f>
        <v/>
      </c>
      <c r="V47" s="508" t="str">
        <f>IF(T47&lt;&gt;0,-LOOKUP(Q47,Waterfalls!$6:$6,Waterfalls!$152:$152),"")</f>
        <v/>
      </c>
      <c r="X47" s="344">
        <f>IF(ROUND(LOOKUP($Q47,Waterfalls!$6:$6,Waterfalls!$21:$21),0)&gt;0,1,0)*($D47+$O$6)</f>
        <v>0</v>
      </c>
      <c r="Y47" s="508" t="str">
        <f>IF(X47&lt;&gt;0,LOOKUP($Q47,Waterfalls!$6:$6,Waterfalls!$21:$21),"")</f>
        <v/>
      </c>
      <c r="Z47" s="508" t="str">
        <f>IF(X47&lt;&gt;0,-LOOKUP($Q47,Waterfalls!$6:$6,Waterfalls!$153:$153),"")</f>
        <v/>
      </c>
    </row>
    <row r="48" spans="1:26" x14ac:dyDescent="0.3">
      <c r="A48" s="761" t="str">
        <f>IF(B48&gt;=DevBdgt!$E$7,LOOKUP(B48,DevBdgt!$7:$7,DevBdgt!$6:$6),"")</f>
        <v/>
      </c>
      <c r="B48" s="507">
        <f t="shared" si="3"/>
        <v>45170</v>
      </c>
      <c r="C48" s="7">
        <v>5.0016699999999997E-2</v>
      </c>
      <c r="D48" s="1145">
        <f t="shared" si="0"/>
        <v>5.0016699999999997E-2</v>
      </c>
      <c r="J48" s="1133">
        <v>46391</v>
      </c>
      <c r="K48" s="7">
        <v>3.6641699999999999E-2</v>
      </c>
      <c r="L48" s="507">
        <f t="shared" si="1"/>
        <v>46391</v>
      </c>
      <c r="Q48" s="507">
        <f t="shared" si="4"/>
        <v>45170</v>
      </c>
      <c r="T48" s="344">
        <f>IF(ROUND(LOOKUP(Q48,Waterfalls!$6:$6,Waterfalls!$14:$14),0)&gt;0,1,0)*(D48+$H$4)</f>
        <v>0</v>
      </c>
      <c r="U48" s="508" t="str">
        <f>IF(T48&lt;&gt;0,LOOKUP(Q48,Waterfalls!$6:$6,Waterfalls!$14:$14),"")</f>
        <v/>
      </c>
      <c r="V48" s="508" t="str">
        <f>IF(T48&lt;&gt;0,-LOOKUP(Q48,Waterfalls!$6:$6,Waterfalls!$152:$152),"")</f>
        <v/>
      </c>
      <c r="X48" s="344">
        <f>IF(ROUND(LOOKUP($Q48,Waterfalls!$6:$6,Waterfalls!$21:$21),0)&gt;0,1,0)*($D48+$O$6)</f>
        <v>0</v>
      </c>
      <c r="Y48" s="508" t="str">
        <f>IF(X48&lt;&gt;0,LOOKUP($Q48,Waterfalls!$6:$6,Waterfalls!$21:$21),"")</f>
        <v/>
      </c>
      <c r="Z48" s="508" t="str">
        <f>IF(X48&lt;&gt;0,-LOOKUP($Q48,Waterfalls!$6:$6,Waterfalls!$153:$153),"")</f>
        <v/>
      </c>
    </row>
    <row r="49" spans="1:26" x14ac:dyDescent="0.3">
      <c r="A49" s="761" t="str">
        <f>IF(B49&gt;=DevBdgt!$E$7,LOOKUP(B49,DevBdgt!$7:$7,DevBdgt!$6:$6),"")</f>
        <v/>
      </c>
      <c r="B49" s="507">
        <f t="shared" si="3"/>
        <v>45200</v>
      </c>
      <c r="C49" s="7">
        <v>4.79756E-2</v>
      </c>
      <c r="D49" s="1145">
        <f t="shared" si="0"/>
        <v>4.79756E-2</v>
      </c>
      <c r="J49" s="1133">
        <v>46420</v>
      </c>
      <c r="K49" s="7">
        <v>3.6745699999999999E-2</v>
      </c>
      <c r="L49" s="507">
        <f t="shared" si="1"/>
        <v>46420</v>
      </c>
      <c r="Q49" s="507">
        <f t="shared" si="4"/>
        <v>45200</v>
      </c>
      <c r="T49" s="344">
        <f>IF(ROUND(LOOKUP(Q49,Waterfalls!$6:$6,Waterfalls!$14:$14),0)&gt;0,1,0)*(D49+$H$4)</f>
        <v>0</v>
      </c>
      <c r="U49" s="508" t="str">
        <f>IF(T49&lt;&gt;0,LOOKUP(Q49,Waterfalls!$6:$6,Waterfalls!$14:$14),"")</f>
        <v/>
      </c>
      <c r="V49" s="508" t="str">
        <f>IF(T49&lt;&gt;0,-LOOKUP(Q49,Waterfalls!$6:$6,Waterfalls!$152:$152),"")</f>
        <v/>
      </c>
      <c r="X49" s="344">
        <f>IF(ROUND(LOOKUP($Q49,Waterfalls!$6:$6,Waterfalls!$21:$21),0)&gt;0,1,0)*($D49+$O$6)</f>
        <v>0</v>
      </c>
      <c r="Y49" s="508" t="str">
        <f>IF(X49&lt;&gt;0,LOOKUP($Q49,Waterfalls!$6:$6,Waterfalls!$21:$21),"")</f>
        <v/>
      </c>
      <c r="Z49" s="508" t="str">
        <f>IF(X49&lt;&gt;0,-LOOKUP($Q49,Waterfalls!$6:$6,Waterfalls!$153:$153),"")</f>
        <v/>
      </c>
    </row>
    <row r="50" spans="1:26" x14ac:dyDescent="0.3">
      <c r="A50" s="761" t="str">
        <f>IF(B50&gt;=DevBdgt!$E$7,LOOKUP(B50,DevBdgt!$7:$7,DevBdgt!$6:$6),"")</f>
        <v/>
      </c>
      <c r="B50" s="507">
        <f t="shared" si="3"/>
        <v>45231</v>
      </c>
      <c r="C50" s="7">
        <v>4.7978699999999999E-2</v>
      </c>
      <c r="D50" s="1145">
        <f t="shared" si="0"/>
        <v>4.7978699999999999E-2</v>
      </c>
      <c r="J50" s="1133">
        <v>46448</v>
      </c>
      <c r="K50" s="7">
        <v>3.6852799999999998E-2</v>
      </c>
      <c r="L50" s="507">
        <f t="shared" si="1"/>
        <v>46448</v>
      </c>
      <c r="Q50" s="507">
        <f t="shared" si="4"/>
        <v>45231</v>
      </c>
      <c r="T50" s="344">
        <f>IF(ROUND(LOOKUP(Q50,Waterfalls!$6:$6,Waterfalls!$14:$14),0)&gt;0,1,0)*(D50+$H$4)</f>
        <v>0</v>
      </c>
      <c r="U50" s="508" t="str">
        <f>IF(T50&lt;&gt;0,LOOKUP(Q50,Waterfalls!$6:$6,Waterfalls!$14:$14),"")</f>
        <v/>
      </c>
      <c r="V50" s="508" t="str">
        <f>IF(T50&lt;&gt;0,-LOOKUP(Q50,Waterfalls!$6:$6,Waterfalls!$152:$152),"")</f>
        <v/>
      </c>
      <c r="X50" s="344">
        <f>IF(ROUND(LOOKUP($Q50,Waterfalls!$6:$6,Waterfalls!$21:$21),0)&gt;0,1,0)*($D50+$O$6)</f>
        <v>0</v>
      </c>
      <c r="Y50" s="508" t="str">
        <f>IF(X50&lt;&gt;0,LOOKUP($Q50,Waterfalls!$6:$6,Waterfalls!$21:$21),"")</f>
        <v/>
      </c>
      <c r="Z50" s="508" t="str">
        <f>IF(X50&lt;&gt;0,-LOOKUP($Q50,Waterfalls!$6:$6,Waterfalls!$153:$153),"")</f>
        <v/>
      </c>
    </row>
    <row r="51" spans="1:26" x14ac:dyDescent="0.3">
      <c r="A51" s="761" t="str">
        <f>IF(B51&gt;=DevBdgt!$E$7,LOOKUP(B51,DevBdgt!$7:$7,DevBdgt!$6:$6),"")</f>
        <v/>
      </c>
      <c r="B51" s="507">
        <f t="shared" si="3"/>
        <v>45261</v>
      </c>
      <c r="C51" s="7">
        <v>4.6139199999999998E-2</v>
      </c>
      <c r="D51" s="1145">
        <f t="shared" si="0"/>
        <v>4.6139199999999998E-2</v>
      </c>
      <c r="J51" s="1133">
        <v>46479</v>
      </c>
      <c r="K51" s="7">
        <v>3.6963299999999998E-2</v>
      </c>
      <c r="L51" s="507">
        <f t="shared" si="1"/>
        <v>46479</v>
      </c>
      <c r="Q51" s="507">
        <f t="shared" si="4"/>
        <v>45261</v>
      </c>
      <c r="T51" s="344">
        <f>IF(ROUND(LOOKUP(Q51,Waterfalls!$6:$6,Waterfalls!$14:$14),0)&gt;0,1,0)*(D51+$H$4)</f>
        <v>0</v>
      </c>
      <c r="U51" s="508" t="str">
        <f>IF(T51&lt;&gt;0,LOOKUP(Q51,Waterfalls!$6:$6,Waterfalls!$14:$14),"")</f>
        <v/>
      </c>
      <c r="V51" s="508" t="str">
        <f>IF(T51&lt;&gt;0,-LOOKUP(Q51,Waterfalls!$6:$6,Waterfalls!$152:$152),"")</f>
        <v/>
      </c>
      <c r="X51" s="344">
        <f>IF(ROUND(LOOKUP($Q51,Waterfalls!$6:$6,Waterfalls!$21:$21),0)&gt;0,1,0)*($D51+$O$6)</f>
        <v>0</v>
      </c>
      <c r="Y51" s="508" t="str">
        <f>IF(X51&lt;&gt;0,LOOKUP($Q51,Waterfalls!$6:$6,Waterfalls!$21:$21),"")</f>
        <v/>
      </c>
      <c r="Z51" s="508" t="str">
        <f>IF(X51&lt;&gt;0,-LOOKUP($Q51,Waterfalls!$6:$6,Waterfalls!$153:$153),"")</f>
        <v/>
      </c>
    </row>
    <row r="52" spans="1:26" x14ac:dyDescent="0.3">
      <c r="A52" s="761" t="str">
        <f>IF(B52&gt;=DevBdgt!$E$7,LOOKUP(B52,DevBdgt!$7:$7,DevBdgt!$6:$6),"")</f>
        <v/>
      </c>
      <c r="B52" s="507">
        <f t="shared" si="3"/>
        <v>45292</v>
      </c>
      <c r="C52" s="7">
        <v>4.41806E-2</v>
      </c>
      <c r="D52" s="1145">
        <f t="shared" si="0"/>
        <v>4.41806E-2</v>
      </c>
      <c r="J52" s="1133">
        <v>46510</v>
      </c>
      <c r="K52" s="7">
        <v>3.7077899999999997E-2</v>
      </c>
      <c r="L52" s="507">
        <f t="shared" si="1"/>
        <v>46510</v>
      </c>
      <c r="Q52" s="507">
        <f t="shared" si="4"/>
        <v>45292</v>
      </c>
      <c r="T52" s="344">
        <f>IF(ROUND(LOOKUP(Q52,Waterfalls!$6:$6,Waterfalls!$14:$14),0)&gt;0,1,0)*(D52+$H$4)</f>
        <v>0</v>
      </c>
      <c r="U52" s="508" t="str">
        <f>IF(T52&lt;&gt;0,LOOKUP(Q52,Waterfalls!$6:$6,Waterfalls!$14:$14),"")</f>
        <v/>
      </c>
      <c r="V52" s="508" t="str">
        <f>IF(T52&lt;&gt;0,-LOOKUP(Q52,Waterfalls!$6:$6,Waterfalls!$152:$152),"")</f>
        <v/>
      </c>
      <c r="X52" s="344">
        <f>IF(ROUND(LOOKUP($Q52,Waterfalls!$6:$6,Waterfalls!$21:$21),0)&gt;0,1,0)*($D52+$O$6)</f>
        <v>0</v>
      </c>
      <c r="Y52" s="508" t="str">
        <f>IF(X52&lt;&gt;0,LOOKUP($Q52,Waterfalls!$6:$6,Waterfalls!$21:$21),"")</f>
        <v/>
      </c>
      <c r="Z52" s="508" t="str">
        <f>IF(X52&lt;&gt;0,-LOOKUP($Q52,Waterfalls!$6:$6,Waterfalls!$153:$153),"")</f>
        <v/>
      </c>
    </row>
    <row r="53" spans="1:26" x14ac:dyDescent="0.3">
      <c r="A53" s="761" t="str">
        <f>IF(B53&gt;=DevBdgt!$E$7,LOOKUP(B53,DevBdgt!$7:$7,DevBdgt!$6:$6),"")</f>
        <v/>
      </c>
      <c r="B53" s="507">
        <f t="shared" si="3"/>
        <v>45323</v>
      </c>
      <c r="C53" s="7">
        <v>4.41806E-2</v>
      </c>
      <c r="D53" s="1145">
        <f t="shared" si="0"/>
        <v>4.41806E-2</v>
      </c>
      <c r="J53" s="1133">
        <v>46540</v>
      </c>
      <c r="K53" s="7">
        <v>3.7185299999999998E-2</v>
      </c>
      <c r="L53" s="507">
        <f t="shared" si="1"/>
        <v>46540</v>
      </c>
      <c r="Q53" s="507">
        <f t="shared" si="4"/>
        <v>45323</v>
      </c>
      <c r="T53" s="344">
        <f>IF(ROUND(LOOKUP(Q53,Waterfalls!$6:$6,Waterfalls!$14:$14),0)&gt;0,1,0)*(D53+$H$4)</f>
        <v>0</v>
      </c>
      <c r="U53" s="508" t="str">
        <f>IF(T53&lt;&gt;0,LOOKUP(Q53,Waterfalls!$6:$6,Waterfalls!$14:$14),"")</f>
        <v/>
      </c>
      <c r="V53" s="508" t="str">
        <f>IF(T53&lt;&gt;0,-LOOKUP(Q53,Waterfalls!$6:$6,Waterfalls!$152:$152),"")</f>
        <v/>
      </c>
      <c r="X53" s="344">
        <f>IF(ROUND(LOOKUP($Q53,Waterfalls!$6:$6,Waterfalls!$21:$21),0)&gt;0,1,0)*($D53+$O$6)</f>
        <v>0</v>
      </c>
      <c r="Y53" s="508" t="str">
        <f>IF(X53&lt;&gt;0,LOOKUP($Q53,Waterfalls!$6:$6,Waterfalls!$21:$21),"")</f>
        <v/>
      </c>
      <c r="Z53" s="508" t="str">
        <f>IF(X53&lt;&gt;0,-LOOKUP($Q53,Waterfalls!$6:$6,Waterfalls!$153:$153),"")</f>
        <v/>
      </c>
    </row>
    <row r="54" spans="1:26" x14ac:dyDescent="0.3">
      <c r="A54" s="761" t="str">
        <f>IF(B54&gt;=DevBdgt!$E$7,LOOKUP(B54,DevBdgt!$7:$7,DevBdgt!$6:$6),"")</f>
        <v/>
      </c>
      <c r="B54" s="507">
        <f t="shared" si="3"/>
        <v>45352</v>
      </c>
      <c r="C54" s="7">
        <v>4.1777700000000001E-2</v>
      </c>
      <c r="D54" s="1145">
        <f t="shared" si="0"/>
        <v>4.1777700000000001E-2</v>
      </c>
      <c r="J54" s="1133">
        <v>46570</v>
      </c>
      <c r="K54" s="7">
        <v>3.72964E-2</v>
      </c>
      <c r="L54" s="507">
        <f t="shared" si="1"/>
        <v>46570</v>
      </c>
      <c r="Q54" s="507">
        <f t="shared" si="4"/>
        <v>45352</v>
      </c>
      <c r="T54" s="344">
        <f>IF(ROUND(LOOKUP(Q54,Waterfalls!$6:$6,Waterfalls!$14:$14),0)&gt;0,1,0)*(D54+$H$4)</f>
        <v>0</v>
      </c>
      <c r="U54" s="508" t="str">
        <f>IF(T54&lt;&gt;0,LOOKUP(Q54,Waterfalls!$6:$6,Waterfalls!$14:$14),"")</f>
        <v/>
      </c>
      <c r="V54" s="508" t="str">
        <f>IF(T54&lt;&gt;0,-LOOKUP(Q54,Waterfalls!$6:$6,Waterfalls!$152:$152),"")</f>
        <v/>
      </c>
      <c r="X54" s="344">
        <f>IF(ROUND(LOOKUP($Q54,Waterfalls!$6:$6,Waterfalls!$21:$21),0)&gt;0,1,0)*($D54+$O$6)</f>
        <v>0</v>
      </c>
      <c r="Y54" s="508" t="str">
        <f>IF(X54&lt;&gt;0,LOOKUP($Q54,Waterfalls!$6:$6,Waterfalls!$21:$21),"")</f>
        <v/>
      </c>
      <c r="Z54" s="508" t="str">
        <f>IF(X54&lt;&gt;0,-LOOKUP($Q54,Waterfalls!$6:$6,Waterfalls!$153:$153),"")</f>
        <v/>
      </c>
    </row>
    <row r="55" spans="1:26" x14ac:dyDescent="0.3">
      <c r="A55" s="761" t="str">
        <f>IF(B55&gt;=DevBdgt!$E$7,LOOKUP(B55,DevBdgt!$7:$7,DevBdgt!$6:$6),"")</f>
        <v/>
      </c>
      <c r="B55" s="507">
        <f t="shared" si="3"/>
        <v>45383</v>
      </c>
      <c r="C55" s="7">
        <v>3.9212999999999998E-2</v>
      </c>
      <c r="D55" s="1145">
        <f t="shared" si="0"/>
        <v>3.9212999999999998E-2</v>
      </c>
      <c r="J55" s="1133">
        <v>46601</v>
      </c>
      <c r="K55" s="7">
        <v>3.7409100000000001E-2</v>
      </c>
      <c r="L55" s="507">
        <f t="shared" si="1"/>
        <v>46601</v>
      </c>
      <c r="Q55" s="507">
        <f t="shared" si="4"/>
        <v>45383</v>
      </c>
      <c r="T55" s="344">
        <f>IF(ROUND(LOOKUP(Q55,Waterfalls!$6:$6,Waterfalls!$14:$14),0)&gt;0,1,0)*(D55+$H$4)</f>
        <v>0</v>
      </c>
      <c r="U55" s="508" t="str">
        <f>IF(T55&lt;&gt;0,LOOKUP(Q55,Waterfalls!$6:$6,Waterfalls!$14:$14),"")</f>
        <v/>
      </c>
      <c r="V55" s="508" t="str">
        <f>IF(T55&lt;&gt;0,-LOOKUP(Q55,Waterfalls!$6:$6,Waterfalls!$152:$152),"")</f>
        <v/>
      </c>
      <c r="X55" s="344">
        <f>IF(ROUND(LOOKUP($Q55,Waterfalls!$6:$6,Waterfalls!$21:$21),0)&gt;0,1,0)*($D55+$O$6)</f>
        <v>0</v>
      </c>
      <c r="Y55" s="508" t="str">
        <f>IF(X55&lt;&gt;0,LOOKUP($Q55,Waterfalls!$6:$6,Waterfalls!$21:$21),"")</f>
        <v/>
      </c>
      <c r="Z55" s="508" t="str">
        <f>IF(X55&lt;&gt;0,-LOOKUP($Q55,Waterfalls!$6:$6,Waterfalls!$153:$153),"")</f>
        <v/>
      </c>
    </row>
    <row r="56" spans="1:26" x14ac:dyDescent="0.3">
      <c r="A56" s="761" t="str">
        <f>IF(B56&gt;=DevBdgt!$E$7,LOOKUP(B56,DevBdgt!$7:$7,DevBdgt!$6:$6),"")</f>
        <v/>
      </c>
      <c r="B56" s="507">
        <f t="shared" si="3"/>
        <v>45413</v>
      </c>
      <c r="C56" s="7">
        <v>3.9217200000000001E-2</v>
      </c>
      <c r="D56" s="1145">
        <f t="shared" si="0"/>
        <v>3.9217200000000001E-2</v>
      </c>
      <c r="J56" s="1133">
        <v>46632</v>
      </c>
      <c r="K56" s="7">
        <v>3.7516300000000002E-2</v>
      </c>
      <c r="L56" s="507">
        <f t="shared" si="1"/>
        <v>46632</v>
      </c>
      <c r="Q56" s="507">
        <f t="shared" si="4"/>
        <v>45413</v>
      </c>
      <c r="T56" s="344">
        <f>IF(ROUND(LOOKUP(Q56,Waterfalls!$6:$6,Waterfalls!$14:$14),0)&gt;0,1,0)*(D56+$H$4)</f>
        <v>0</v>
      </c>
      <c r="U56" s="508" t="str">
        <f>IF(T56&lt;&gt;0,LOOKUP(Q56,Waterfalls!$6:$6,Waterfalls!$14:$14),"")</f>
        <v/>
      </c>
      <c r="V56" s="508" t="str">
        <f>IF(T56&lt;&gt;0,-LOOKUP(Q56,Waterfalls!$6:$6,Waterfalls!$152:$152),"")</f>
        <v/>
      </c>
      <c r="X56" s="344">
        <f>IF(ROUND(LOOKUP($Q56,Waterfalls!$6:$6,Waterfalls!$21:$21),0)&gt;0,1,0)*($D56+$O$6)</f>
        <v>0</v>
      </c>
      <c r="Y56" s="508" t="str">
        <f>IF(X56&lt;&gt;0,LOOKUP($Q56,Waterfalls!$6:$6,Waterfalls!$21:$21),"")</f>
        <v/>
      </c>
      <c r="Z56" s="508" t="str">
        <f>IF(X56&lt;&gt;0,-LOOKUP($Q56,Waterfalls!$6:$6,Waterfalls!$153:$153),"")</f>
        <v/>
      </c>
    </row>
    <row r="57" spans="1:26" x14ac:dyDescent="0.3">
      <c r="A57" s="761" t="str">
        <f>IF(B57&gt;=DevBdgt!$E$7,LOOKUP(B57,DevBdgt!$7:$7,DevBdgt!$6:$6),"")</f>
        <v/>
      </c>
      <c r="B57" s="507">
        <f t="shared" si="3"/>
        <v>45444</v>
      </c>
      <c r="C57" s="7">
        <v>3.7325999999999998E-2</v>
      </c>
      <c r="D57" s="1145">
        <f t="shared" si="0"/>
        <v>3.7325999999999998E-2</v>
      </c>
      <c r="J57" s="1133">
        <v>46664</v>
      </c>
      <c r="K57" s="7">
        <v>3.76335E-2</v>
      </c>
      <c r="L57" s="507">
        <f t="shared" si="1"/>
        <v>46664</v>
      </c>
      <c r="Q57" s="507">
        <f t="shared" si="4"/>
        <v>45444</v>
      </c>
      <c r="T57" s="344">
        <f>IF(ROUND(LOOKUP(Q57,Waterfalls!$6:$6,Waterfalls!$14:$14),0)&gt;0,1,0)*(D57+$H$4)</f>
        <v>0</v>
      </c>
      <c r="U57" s="508" t="str">
        <f>IF(T57&lt;&gt;0,LOOKUP(Q57,Waterfalls!$6:$6,Waterfalls!$14:$14),"")</f>
        <v/>
      </c>
      <c r="V57" s="508" t="str">
        <f>IF(T57&lt;&gt;0,-LOOKUP(Q57,Waterfalls!$6:$6,Waterfalls!$152:$152),"")</f>
        <v/>
      </c>
      <c r="X57" s="344">
        <f>IF(ROUND(LOOKUP($Q57,Waterfalls!$6:$6,Waterfalls!$21:$21),0)&gt;0,1,0)*($D57+$O$6)</f>
        <v>0</v>
      </c>
      <c r="Y57" s="508" t="str">
        <f>IF(X57&lt;&gt;0,LOOKUP($Q57,Waterfalls!$6:$6,Waterfalls!$21:$21),"")</f>
        <v/>
      </c>
      <c r="Z57" s="508" t="str">
        <f>IF(X57&lt;&gt;0,-LOOKUP($Q57,Waterfalls!$6:$6,Waterfalls!$153:$153),"")</f>
        <v/>
      </c>
    </row>
    <row r="58" spans="1:26" x14ac:dyDescent="0.3">
      <c r="A58" s="761" t="str">
        <f>IF(B58&gt;=DevBdgt!$E$7,LOOKUP(B58,DevBdgt!$7:$7,DevBdgt!$6:$6),"")</f>
        <v/>
      </c>
      <c r="B58" s="507">
        <f t="shared" si="3"/>
        <v>45474</v>
      </c>
      <c r="C58" s="7">
        <v>3.4860500000000003E-2</v>
      </c>
      <c r="D58" s="1145">
        <f t="shared" si="0"/>
        <v>3.4860500000000003E-2</v>
      </c>
      <c r="J58" s="1133">
        <v>46693</v>
      </c>
      <c r="K58" s="7">
        <v>3.7735400000000002E-2</v>
      </c>
      <c r="L58" s="507">
        <f t="shared" si="1"/>
        <v>46693</v>
      </c>
      <c r="Q58" s="507">
        <f t="shared" si="4"/>
        <v>45474</v>
      </c>
      <c r="T58" s="344">
        <f>IF(ROUND(LOOKUP(Q58,Waterfalls!$6:$6,Waterfalls!$14:$14),0)&gt;0,1,0)*(D58+$H$4)</f>
        <v>0</v>
      </c>
      <c r="U58" s="508" t="str">
        <f>IF(T58&lt;&gt;0,LOOKUP(Q58,Waterfalls!$6:$6,Waterfalls!$14:$14),"")</f>
        <v/>
      </c>
      <c r="V58" s="508" t="str">
        <f>IF(T58&lt;&gt;0,-LOOKUP(Q58,Waterfalls!$6:$6,Waterfalls!$152:$152),"")</f>
        <v/>
      </c>
      <c r="X58" s="344">
        <f>IF(ROUND(LOOKUP($Q58,Waterfalls!$6:$6,Waterfalls!$21:$21),0)&gt;0,1,0)*($D58+$O$6)</f>
        <v>0</v>
      </c>
      <c r="Y58" s="508" t="str">
        <f>IF(X58&lt;&gt;0,LOOKUP($Q58,Waterfalls!$6:$6,Waterfalls!$21:$21),"")</f>
        <v/>
      </c>
      <c r="Z58" s="508" t="str">
        <f>IF(X58&lt;&gt;0,-LOOKUP($Q58,Waterfalls!$6:$6,Waterfalls!$153:$153),"")</f>
        <v/>
      </c>
    </row>
    <row r="59" spans="1:26" x14ac:dyDescent="0.3">
      <c r="A59" s="761" t="str">
        <f>IF(B59&gt;=DevBdgt!$E$7,LOOKUP(B59,DevBdgt!$7:$7,DevBdgt!$6:$6),"")</f>
        <v/>
      </c>
      <c r="B59" s="507">
        <f t="shared" si="3"/>
        <v>45505</v>
      </c>
      <c r="C59" s="7">
        <v>3.48621E-2</v>
      </c>
      <c r="D59" s="1145">
        <f t="shared" si="0"/>
        <v>3.48621E-2</v>
      </c>
      <c r="J59" s="1133">
        <v>46723</v>
      </c>
      <c r="K59" s="7">
        <v>3.78439E-2</v>
      </c>
      <c r="L59" s="507">
        <f t="shared" si="1"/>
        <v>46723</v>
      </c>
      <c r="Q59" s="507">
        <f t="shared" si="4"/>
        <v>45505</v>
      </c>
      <c r="T59" s="344">
        <f>IF(ROUND(LOOKUP(Q59,Waterfalls!$6:$6,Waterfalls!$14:$14),0)&gt;0,1,0)*(D59+$H$4)</f>
        <v>0</v>
      </c>
      <c r="U59" s="508" t="str">
        <f>IF(T59&lt;&gt;0,LOOKUP(Q59,Waterfalls!$6:$6,Waterfalls!$14:$14),"")</f>
        <v/>
      </c>
      <c r="V59" s="508" t="str">
        <f>IF(T59&lt;&gt;0,-LOOKUP(Q59,Waterfalls!$6:$6,Waterfalls!$152:$152),"")</f>
        <v/>
      </c>
      <c r="X59" s="344">
        <f>IF(ROUND(LOOKUP($Q59,Waterfalls!$6:$6,Waterfalls!$21:$21),0)&gt;0,1,0)*($D59+$O$6)</f>
        <v>0</v>
      </c>
      <c r="Y59" s="508" t="str">
        <f>IF(X59&lt;&gt;0,LOOKUP($Q59,Waterfalls!$6:$6,Waterfalls!$21:$21),"")</f>
        <v/>
      </c>
      <c r="Z59" s="508" t="str">
        <f>IF(X59&lt;&gt;0,-LOOKUP($Q59,Waterfalls!$6:$6,Waterfalls!$153:$153),"")</f>
        <v/>
      </c>
    </row>
    <row r="60" spans="1:26" x14ac:dyDescent="0.3">
      <c r="A60" s="761" t="str">
        <f>IF(B60&gt;=DevBdgt!$E$7,LOOKUP(B60,DevBdgt!$7:$7,DevBdgt!$6:$6),"")</f>
        <v/>
      </c>
      <c r="B60" s="507">
        <f t="shared" si="3"/>
        <v>45536</v>
      </c>
      <c r="C60" s="7">
        <v>3.3902099999999998E-2</v>
      </c>
      <c r="D60" s="1145">
        <f t="shared" si="0"/>
        <v>3.3902099999999998E-2</v>
      </c>
      <c r="J60" s="1133">
        <v>46755</v>
      </c>
      <c r="K60" s="7">
        <v>3.7954399999999999E-2</v>
      </c>
      <c r="L60" s="507">
        <f t="shared" si="1"/>
        <v>46755</v>
      </c>
      <c r="Q60" s="507">
        <f t="shared" si="4"/>
        <v>45536</v>
      </c>
      <c r="T60" s="344">
        <f>IF(ROUND(LOOKUP(Q60,Waterfalls!$6:$6,Waterfalls!$14:$14),0)&gt;0,1,0)*(D60+$H$4)</f>
        <v>0</v>
      </c>
      <c r="U60" s="508" t="str">
        <f>IF(T60&lt;&gt;0,LOOKUP(Q60,Waterfalls!$6:$6,Waterfalls!$14:$14),"")</f>
        <v/>
      </c>
      <c r="V60" s="508" t="str">
        <f>IF(T60&lt;&gt;0,-LOOKUP(Q60,Waterfalls!$6:$6,Waterfalls!$152:$152),"")</f>
        <v/>
      </c>
      <c r="X60" s="344">
        <f>IF(ROUND(LOOKUP($Q60,Waterfalls!$6:$6,Waterfalls!$21:$21),0)&gt;0,1,0)*($D60+$O$6)</f>
        <v>0</v>
      </c>
      <c r="Y60" s="508" t="str">
        <f>IF(X60&lt;&gt;0,LOOKUP($Q60,Waterfalls!$6:$6,Waterfalls!$21:$21),"")</f>
        <v/>
      </c>
      <c r="Z60" s="508" t="str">
        <f>IF(X60&lt;&gt;0,-LOOKUP($Q60,Waterfalls!$6:$6,Waterfalls!$153:$153),"")</f>
        <v/>
      </c>
    </row>
    <row r="61" spans="1:26" x14ac:dyDescent="0.3">
      <c r="A61" s="761" t="str">
        <f>IF(B61&gt;=DevBdgt!$E$7,LOOKUP(B61,DevBdgt!$7:$7,DevBdgt!$6:$6),"")</f>
        <v/>
      </c>
      <c r="B61" s="507">
        <f t="shared" si="3"/>
        <v>45566</v>
      </c>
      <c r="C61" s="7">
        <v>3.2277899999999998E-2</v>
      </c>
      <c r="D61" s="1145">
        <f t="shared" si="0"/>
        <v>3.2277899999999998E-2</v>
      </c>
      <c r="J61" s="1133">
        <v>46785</v>
      </c>
      <c r="K61" s="7">
        <v>3.8058599999999998E-2</v>
      </c>
      <c r="L61" s="507">
        <f t="shared" si="1"/>
        <v>46785</v>
      </c>
      <c r="Q61" s="507">
        <f t="shared" si="4"/>
        <v>45566</v>
      </c>
      <c r="T61" s="344">
        <f>IF(ROUND(LOOKUP(Q61,Waterfalls!$6:$6,Waterfalls!$14:$14),0)&gt;0,1,0)*(D61+$H$4)</f>
        <v>0</v>
      </c>
      <c r="U61" s="508" t="str">
        <f>IF(T61&lt;&gt;0,LOOKUP(Q61,Waterfalls!$6:$6,Waterfalls!$14:$14),"")</f>
        <v/>
      </c>
      <c r="V61" s="508" t="str">
        <f>IF(T61&lt;&gt;0,-LOOKUP(Q61,Waterfalls!$6:$6,Waterfalls!$152:$152),"")</f>
        <v/>
      </c>
      <c r="X61" s="344">
        <f>IF(ROUND(LOOKUP($Q61,Waterfalls!$6:$6,Waterfalls!$21:$21),0)&gt;0,1,0)*($D61+$O$6)</f>
        <v>0</v>
      </c>
      <c r="Y61" s="508" t="str">
        <f>IF(X61&lt;&gt;0,LOOKUP($Q61,Waterfalls!$6:$6,Waterfalls!$21:$21),"")</f>
        <v/>
      </c>
      <c r="Z61" s="508" t="str">
        <f>IF(X61&lt;&gt;0,-LOOKUP($Q61,Waterfalls!$6:$6,Waterfalls!$153:$153),"")</f>
        <v/>
      </c>
    </row>
    <row r="62" spans="1:26" x14ac:dyDescent="0.3">
      <c r="A62" s="761" t="str">
        <f>IF(B62&gt;=DevBdgt!$E$7,LOOKUP(B62,DevBdgt!$7:$7,DevBdgt!$6:$6),"")</f>
        <v/>
      </c>
      <c r="B62" s="507">
        <f t="shared" si="3"/>
        <v>45597</v>
      </c>
      <c r="C62" s="7">
        <v>3.1446700000000001E-2</v>
      </c>
      <c r="D62" s="1145">
        <f t="shared" si="0"/>
        <v>3.1446700000000001E-2</v>
      </c>
      <c r="J62" s="1133">
        <v>46814</v>
      </c>
      <c r="K62" s="7">
        <v>3.8150000000000003E-2</v>
      </c>
      <c r="L62" s="507">
        <f t="shared" si="1"/>
        <v>46814</v>
      </c>
      <c r="Q62" s="507">
        <f t="shared" si="4"/>
        <v>45597</v>
      </c>
      <c r="T62" s="344">
        <f>IF(ROUND(LOOKUP(Q62,Waterfalls!$6:$6,Waterfalls!$14:$14),0)&gt;0,1,0)*(D62+$H$4)</f>
        <v>0</v>
      </c>
      <c r="U62" s="508" t="str">
        <f>IF(T62&lt;&gt;0,LOOKUP(Q62,Waterfalls!$6:$6,Waterfalls!$14:$14),"")</f>
        <v/>
      </c>
      <c r="V62" s="508" t="str">
        <f>IF(T62&lt;&gt;0,-LOOKUP(Q62,Waterfalls!$6:$6,Waterfalls!$152:$152),"")</f>
        <v/>
      </c>
      <c r="X62" s="344">
        <f>IF(ROUND(LOOKUP($Q62,Waterfalls!$6:$6,Waterfalls!$21:$21),0)&gt;0,1,0)*($D62+$O$6)</f>
        <v>0</v>
      </c>
      <c r="Y62" s="508" t="str">
        <f>IF(X62&lt;&gt;0,LOOKUP($Q62,Waterfalls!$6:$6,Waterfalls!$21:$21),"")</f>
        <v/>
      </c>
      <c r="Z62" s="508" t="str">
        <f>IF(X62&lt;&gt;0,-LOOKUP($Q62,Waterfalls!$6:$6,Waterfalls!$153:$153),"")</f>
        <v/>
      </c>
    </row>
    <row r="63" spans="1:26" x14ac:dyDescent="0.3">
      <c r="A63" s="761" t="str">
        <f>IF(B63&gt;=DevBdgt!$E$7,LOOKUP(B63,DevBdgt!$7:$7,DevBdgt!$6:$6),"")</f>
        <v/>
      </c>
      <c r="B63" s="507">
        <f t="shared" si="3"/>
        <v>45627</v>
      </c>
      <c r="C63" s="7">
        <v>3.0800899999999999E-2</v>
      </c>
      <c r="D63" s="1145">
        <f t="shared" si="0"/>
        <v>3.0800899999999999E-2</v>
      </c>
      <c r="J63" s="1133">
        <v>46846</v>
      </c>
      <c r="K63" s="7">
        <v>3.8255999999999998E-2</v>
      </c>
      <c r="L63" s="507">
        <f t="shared" si="1"/>
        <v>46846</v>
      </c>
      <c r="Q63" s="507">
        <f t="shared" si="4"/>
        <v>45627</v>
      </c>
      <c r="T63" s="344">
        <f>IF(ROUND(LOOKUP(Q63,Waterfalls!$6:$6,Waterfalls!$14:$14),0)&gt;0,1,0)*(D63+$H$4)</f>
        <v>0</v>
      </c>
      <c r="U63" s="508" t="str">
        <f>IF(T63&lt;&gt;0,LOOKUP(Q63,Waterfalls!$6:$6,Waterfalls!$14:$14),"")</f>
        <v/>
      </c>
      <c r="V63" s="508" t="str">
        <f>IF(T63&lt;&gt;0,-LOOKUP(Q63,Waterfalls!$6:$6,Waterfalls!$152:$152),"")</f>
        <v/>
      </c>
      <c r="X63" s="344">
        <f>IF(ROUND(LOOKUP($Q63,Waterfalls!$6:$6,Waterfalls!$21:$21),0)&gt;0,1,0)*($D63+$O$6)</f>
        <v>0</v>
      </c>
      <c r="Y63" s="508" t="str">
        <f>IF(X63&lt;&gt;0,LOOKUP($Q63,Waterfalls!$6:$6,Waterfalls!$21:$21),"")</f>
        <v/>
      </c>
      <c r="Z63" s="508" t="str">
        <f>IF(X63&lt;&gt;0,-LOOKUP($Q63,Waterfalls!$6:$6,Waterfalls!$153:$153),"")</f>
        <v/>
      </c>
    </row>
    <row r="64" spans="1:26" x14ac:dyDescent="0.3">
      <c r="A64" s="761" t="str">
        <f>IF(B64&gt;=DevBdgt!$E$7,LOOKUP(B64,DevBdgt!$7:$7,DevBdgt!$6:$6),"")</f>
        <v/>
      </c>
      <c r="B64" s="507">
        <f t="shared" si="3"/>
        <v>45658</v>
      </c>
      <c r="C64" s="7">
        <v>3.01972E-2</v>
      </c>
      <c r="D64" s="1145">
        <f t="shared" si="0"/>
        <v>3.01972E-2</v>
      </c>
      <c r="J64" s="1133">
        <v>46875</v>
      </c>
      <c r="K64" s="7">
        <v>3.8354100000000002E-2</v>
      </c>
      <c r="L64" s="507">
        <f t="shared" si="1"/>
        <v>46875</v>
      </c>
      <c r="Q64" s="507">
        <f t="shared" si="4"/>
        <v>45658</v>
      </c>
      <c r="T64" s="344">
        <f>IF(ROUND(LOOKUP(Q64,Waterfalls!$6:$6,Waterfalls!$14:$14),0)&gt;0,1,0)*(D64+$H$4)</f>
        <v>0</v>
      </c>
      <c r="U64" s="508" t="str">
        <f>IF(T64&lt;&gt;0,LOOKUP(Q64,Waterfalls!$6:$6,Waterfalls!$14:$14),"")</f>
        <v/>
      </c>
      <c r="V64" s="508" t="str">
        <f>IF(T64&lt;&gt;0,-LOOKUP(Q64,Waterfalls!$6:$6,Waterfalls!$152:$152),"")</f>
        <v/>
      </c>
      <c r="X64" s="344">
        <f>IF(ROUND(LOOKUP($Q64,Waterfalls!$6:$6,Waterfalls!$21:$21),0)&gt;0,1,0)*($D64+$O$6)</f>
        <v>0</v>
      </c>
      <c r="Y64" s="508" t="str">
        <f>IF(X64&lt;&gt;0,LOOKUP($Q64,Waterfalls!$6:$6,Waterfalls!$21:$21),"")</f>
        <v/>
      </c>
      <c r="Z64" s="508" t="str">
        <f>IF(X64&lt;&gt;0,-LOOKUP($Q64,Waterfalls!$6:$6,Waterfalls!$153:$153),"")</f>
        <v/>
      </c>
    </row>
    <row r="65" spans="1:26" x14ac:dyDescent="0.3">
      <c r="A65" s="761" t="str">
        <f>IF(B65&gt;=DevBdgt!$E$7,LOOKUP(B65,DevBdgt!$7:$7,DevBdgt!$6:$6),"")</f>
        <v/>
      </c>
      <c r="B65" s="507">
        <f t="shared" si="3"/>
        <v>45689</v>
      </c>
      <c r="C65" s="7">
        <v>2.97223E-2</v>
      </c>
      <c r="D65" s="1145">
        <f t="shared" si="0"/>
        <v>2.97223E-2</v>
      </c>
      <c r="J65" s="1133">
        <v>46906</v>
      </c>
      <c r="K65" s="7">
        <v>3.8452899999999998E-2</v>
      </c>
      <c r="L65" s="507">
        <f t="shared" si="1"/>
        <v>46906</v>
      </c>
      <c r="Q65" s="507">
        <f t="shared" si="4"/>
        <v>45689</v>
      </c>
      <c r="T65" s="344">
        <f>IF(ROUND(LOOKUP(Q65,Waterfalls!$6:$6,Waterfalls!$14:$14),0)&gt;0,1,0)*(D65+$H$4)</f>
        <v>0</v>
      </c>
      <c r="U65" s="508" t="str">
        <f>IF(T65&lt;&gt;0,LOOKUP(Q65,Waterfalls!$6:$6,Waterfalls!$14:$14),"")</f>
        <v/>
      </c>
      <c r="V65" s="508" t="str">
        <f>IF(T65&lt;&gt;0,-LOOKUP(Q65,Waterfalls!$6:$6,Waterfalls!$152:$152),"")</f>
        <v/>
      </c>
      <c r="X65" s="344">
        <f>IF(ROUND(LOOKUP($Q65,Waterfalls!$6:$6,Waterfalls!$21:$21),0)&gt;0,1,0)*($D65+$O$6)</f>
        <v>0</v>
      </c>
      <c r="Y65" s="508" t="str">
        <f>IF(X65&lt;&gt;0,LOOKUP($Q65,Waterfalls!$6:$6,Waterfalls!$21:$21),"")</f>
        <v/>
      </c>
      <c r="Z65" s="508" t="str">
        <f>IF(X65&lt;&gt;0,-LOOKUP($Q65,Waterfalls!$6:$6,Waterfalls!$153:$153),"")</f>
        <v/>
      </c>
    </row>
    <row r="66" spans="1:26" x14ac:dyDescent="0.3">
      <c r="A66" s="761" t="str">
        <f>IF(B66&gt;=DevBdgt!$E$7,LOOKUP(B66,DevBdgt!$7:$7,DevBdgt!$6:$6),"")</f>
        <v/>
      </c>
      <c r="B66" s="507">
        <f t="shared" si="3"/>
        <v>45717</v>
      </c>
      <c r="C66" s="7">
        <v>2.93683E-2</v>
      </c>
      <c r="D66" s="1145">
        <f t="shared" si="0"/>
        <v>2.93683E-2</v>
      </c>
      <c r="J66" s="1133">
        <v>46937</v>
      </c>
      <c r="K66" s="7">
        <v>3.8553900000000002E-2</v>
      </c>
      <c r="L66" s="507">
        <f t="shared" si="1"/>
        <v>46937</v>
      </c>
      <c r="Q66" s="507">
        <f t="shared" si="4"/>
        <v>45717</v>
      </c>
      <c r="T66" s="344">
        <f>IF(ROUND(LOOKUP(Q66,Waterfalls!$6:$6,Waterfalls!$14:$14),0)&gt;0,1,0)*(D66+$H$4)</f>
        <v>0</v>
      </c>
      <c r="U66" s="508" t="str">
        <f>IF(T66&lt;&gt;0,LOOKUP(Q66,Waterfalls!$6:$6,Waterfalls!$14:$14),"")</f>
        <v/>
      </c>
      <c r="V66" s="508" t="str">
        <f>IF(T66&lt;&gt;0,-LOOKUP(Q66,Waterfalls!$6:$6,Waterfalls!$152:$152),"")</f>
        <v/>
      </c>
      <c r="X66" s="344">
        <f>IF(ROUND(LOOKUP($Q66,Waterfalls!$6:$6,Waterfalls!$21:$21),0)&gt;0,1,0)*($D66+$O$6)</f>
        <v>0</v>
      </c>
      <c r="Y66" s="508" t="str">
        <f>IF(X66&lt;&gt;0,LOOKUP($Q66,Waterfalls!$6:$6,Waterfalls!$21:$21),"")</f>
        <v/>
      </c>
      <c r="Z66" s="508" t="str">
        <f>IF(X66&lt;&gt;0,-LOOKUP($Q66,Waterfalls!$6:$6,Waterfalls!$153:$153),"")</f>
        <v/>
      </c>
    </row>
    <row r="67" spans="1:26" x14ac:dyDescent="0.3">
      <c r="A67" s="761" t="str">
        <f>IF(B67&gt;=DevBdgt!$E$7,LOOKUP(B67,DevBdgt!$7:$7,DevBdgt!$6:$6),"")</f>
        <v/>
      </c>
      <c r="B67" s="507">
        <f t="shared" si="3"/>
        <v>45748</v>
      </c>
      <c r="C67" s="7">
        <v>2.9109900000000001E-2</v>
      </c>
      <c r="D67" s="1145">
        <f t="shared" si="0"/>
        <v>2.9109900000000001E-2</v>
      </c>
      <c r="J67" s="1133">
        <v>46967</v>
      </c>
      <c r="K67" s="7">
        <v>3.8648099999999998E-2</v>
      </c>
      <c r="L67" s="507">
        <f t="shared" si="1"/>
        <v>46967</v>
      </c>
      <c r="Q67" s="507">
        <f t="shared" si="4"/>
        <v>45748</v>
      </c>
      <c r="T67" s="344">
        <f>IF(ROUND(LOOKUP(Q67,Waterfalls!$6:$6,Waterfalls!$14:$14),0)&gt;0,1,0)*(D67+$H$4)</f>
        <v>0</v>
      </c>
      <c r="U67" s="508" t="str">
        <f>IF(T67&lt;&gt;0,LOOKUP(Q67,Waterfalls!$6:$6,Waterfalls!$14:$14),"")</f>
        <v/>
      </c>
      <c r="V67" s="508" t="str">
        <f>IF(T67&lt;&gt;0,-LOOKUP(Q67,Waterfalls!$6:$6,Waterfalls!$152:$152),"")</f>
        <v/>
      </c>
      <c r="X67" s="344">
        <f>IF(ROUND(LOOKUP($Q67,Waterfalls!$6:$6,Waterfalls!$21:$21),0)&gt;0,1,0)*($D67+$O$6)</f>
        <v>0</v>
      </c>
      <c r="Y67" s="508" t="str">
        <f>IF(X67&lt;&gt;0,LOOKUP($Q67,Waterfalls!$6:$6,Waterfalls!$21:$21),"")</f>
        <v/>
      </c>
      <c r="Z67" s="508" t="str">
        <f>IF(X67&lt;&gt;0,-LOOKUP($Q67,Waterfalls!$6:$6,Waterfalls!$153:$153),"")</f>
        <v/>
      </c>
    </row>
    <row r="68" spans="1:26" x14ac:dyDescent="0.3">
      <c r="A68" s="761" t="str">
        <f>IF(B68&gt;=DevBdgt!$E$7,LOOKUP(B68,DevBdgt!$7:$7,DevBdgt!$6:$6),"")</f>
        <v/>
      </c>
      <c r="B68" s="507">
        <f t="shared" si="3"/>
        <v>45778</v>
      </c>
      <c r="C68" s="7">
        <v>2.89348E-2</v>
      </c>
      <c r="D68" s="1145">
        <f t="shared" ref="D68:D131" si="5">IF(C68=0,D67,IF(C68&lt;$H$5,$H$5,IF(AND($H$6&gt;0,C68&gt;$H$6),$H$6,C68)))</f>
        <v>2.89348E-2</v>
      </c>
      <c r="J68" s="1133">
        <v>47000</v>
      </c>
      <c r="K68" s="7">
        <v>3.8744300000000002E-2</v>
      </c>
      <c r="L68" s="507">
        <f t="shared" si="1"/>
        <v>47000</v>
      </c>
      <c r="Q68" s="507">
        <f t="shared" si="4"/>
        <v>45778</v>
      </c>
      <c r="T68" s="344">
        <f>IF(ROUND(LOOKUP(Q68,Waterfalls!$6:$6,Waterfalls!$14:$14),0)&gt;0,1,0)*(D68+$H$4)</f>
        <v>0</v>
      </c>
      <c r="U68" s="508" t="str">
        <f>IF(T68&lt;&gt;0,LOOKUP(Q68,Waterfalls!$6:$6,Waterfalls!$14:$14),"")</f>
        <v/>
      </c>
      <c r="V68" s="508" t="str">
        <f>IF(T68&lt;&gt;0,-LOOKUP(Q68,Waterfalls!$6:$6,Waterfalls!$152:$152),"")</f>
        <v/>
      </c>
      <c r="X68" s="344">
        <f>IF(ROUND(LOOKUP($Q68,Waterfalls!$6:$6,Waterfalls!$21:$21),0)&gt;0,1,0)*($D68+$O$6)</f>
        <v>0</v>
      </c>
      <c r="Y68" s="508" t="str">
        <f>IF(X68&lt;&gt;0,LOOKUP($Q68,Waterfalls!$6:$6,Waterfalls!$21:$21),"")</f>
        <v/>
      </c>
      <c r="Z68" s="508" t="str">
        <f>IF(X68&lt;&gt;0,-LOOKUP($Q68,Waterfalls!$6:$6,Waterfalls!$153:$153),"")</f>
        <v/>
      </c>
    </row>
    <row r="69" spans="1:26" x14ac:dyDescent="0.3">
      <c r="A69" s="761" t="str">
        <f>IF(B69&gt;=DevBdgt!$E$7,LOOKUP(B69,DevBdgt!$7:$7,DevBdgt!$6:$6),"")</f>
        <v/>
      </c>
      <c r="B69" s="507">
        <f t="shared" si="3"/>
        <v>45809</v>
      </c>
      <c r="C69" s="7">
        <v>2.8785700000000001E-2</v>
      </c>
      <c r="D69" s="1145">
        <f t="shared" si="5"/>
        <v>2.8785700000000001E-2</v>
      </c>
      <c r="J69" s="1133">
        <v>47028</v>
      </c>
      <c r="K69" s="7">
        <v>3.8831699999999997E-2</v>
      </c>
      <c r="L69" s="507">
        <f t="shared" ref="L69:L124" si="6">IF(J69&gt;$O$4,"",J69)</f>
        <v>47028</v>
      </c>
      <c r="Q69" s="507">
        <f t="shared" si="4"/>
        <v>45809</v>
      </c>
      <c r="T69" s="344">
        <f>IF(ROUND(LOOKUP(Q69,Waterfalls!$6:$6,Waterfalls!$14:$14),0)&gt;0,1,0)*(D69+$H$4)</f>
        <v>0</v>
      </c>
      <c r="U69" s="508" t="str">
        <f>IF(T69&lt;&gt;0,LOOKUP(Q69,Waterfalls!$6:$6,Waterfalls!$14:$14),"")</f>
        <v/>
      </c>
      <c r="V69" s="508" t="str">
        <f>IF(T69&lt;&gt;0,-LOOKUP(Q69,Waterfalls!$6:$6,Waterfalls!$152:$152),"")</f>
        <v/>
      </c>
      <c r="X69" s="344">
        <f>IF(ROUND(LOOKUP($Q69,Waterfalls!$6:$6,Waterfalls!$21:$21),0)&gt;0,1,0)*($D69+$O$6)</f>
        <v>0</v>
      </c>
      <c r="Y69" s="508" t="str">
        <f>IF(X69&lt;&gt;0,LOOKUP($Q69,Waterfalls!$6:$6,Waterfalls!$21:$21),"")</f>
        <v/>
      </c>
      <c r="Z69" s="508" t="str">
        <f>IF(X69&lt;&gt;0,-LOOKUP($Q69,Waterfalls!$6:$6,Waterfalls!$153:$153),"")</f>
        <v/>
      </c>
    </row>
    <row r="70" spans="1:26" x14ac:dyDescent="0.3">
      <c r="A70" s="761" t="str">
        <f>IF(B70&gt;=DevBdgt!$E$7,LOOKUP(B70,DevBdgt!$7:$7,DevBdgt!$6:$6),"")</f>
        <v/>
      </c>
      <c r="B70" s="507">
        <f t="shared" ref="B70:B133" si="7">EDATE(B69,1)</f>
        <v>45839</v>
      </c>
      <c r="C70" s="7">
        <v>2.86521E-2</v>
      </c>
      <c r="D70" s="1145">
        <f t="shared" si="5"/>
        <v>2.86521E-2</v>
      </c>
      <c r="J70" s="1133">
        <v>47059</v>
      </c>
      <c r="K70" s="7">
        <v>3.8922999999999999E-2</v>
      </c>
      <c r="L70" s="507">
        <f t="shared" si="6"/>
        <v>47059</v>
      </c>
      <c r="Q70" s="507">
        <f t="shared" si="4"/>
        <v>45839</v>
      </c>
      <c r="T70" s="344">
        <f>IF(ROUND(LOOKUP(Q70,Waterfalls!$6:$6,Waterfalls!$14:$14),0)&gt;0,1,0)*(D70+$H$4)</f>
        <v>0</v>
      </c>
      <c r="U70" s="508" t="str">
        <f>IF(T70&lt;&gt;0,LOOKUP(Q70,Waterfalls!$6:$6,Waterfalls!$14:$14),"")</f>
        <v/>
      </c>
      <c r="V70" s="508" t="str">
        <f>IF(T70&lt;&gt;0,-LOOKUP(Q70,Waterfalls!$6:$6,Waterfalls!$152:$152),"")</f>
        <v/>
      </c>
      <c r="X70" s="344">
        <f>IF(ROUND(LOOKUP($Q70,Waterfalls!$6:$6,Waterfalls!$21:$21),0)&gt;0,1,0)*($D70+$O$6)</f>
        <v>0</v>
      </c>
      <c r="Y70" s="508" t="str">
        <f>IF(X70&lt;&gt;0,LOOKUP($Q70,Waterfalls!$6:$6,Waterfalls!$21:$21),"")</f>
        <v/>
      </c>
      <c r="Z70" s="508" t="str">
        <f>IF(X70&lt;&gt;0,-LOOKUP($Q70,Waterfalls!$6:$6,Waterfalls!$153:$153),"")</f>
        <v/>
      </c>
    </row>
    <row r="71" spans="1:26" x14ac:dyDescent="0.3">
      <c r="A71" s="761" t="str">
        <f>IF(B71&gt;=DevBdgt!$E$7,LOOKUP(B71,DevBdgt!$7:$7,DevBdgt!$6:$6),"")</f>
        <v/>
      </c>
      <c r="B71" s="507">
        <f t="shared" si="7"/>
        <v>45870</v>
      </c>
      <c r="C71" s="7">
        <v>2.8526599999999999E-2</v>
      </c>
      <c r="D71" s="1145">
        <f t="shared" si="5"/>
        <v>2.8526599999999999E-2</v>
      </c>
      <c r="J71" s="1133">
        <v>47091</v>
      </c>
      <c r="K71" s="7">
        <v>3.9020399999999997E-2</v>
      </c>
      <c r="L71" s="507">
        <f t="shared" si="6"/>
        <v>47091</v>
      </c>
      <c r="Q71" s="507">
        <f t="shared" si="4"/>
        <v>45870</v>
      </c>
      <c r="T71" s="344">
        <f>IF(ROUND(LOOKUP(Q71,Waterfalls!$6:$6,Waterfalls!$14:$14),0)&gt;0,1,0)*(D71+$H$4)</f>
        <v>0</v>
      </c>
      <c r="U71" s="508" t="str">
        <f>IF(T71&lt;&gt;0,LOOKUP(Q71,Waterfalls!$6:$6,Waterfalls!$14:$14),"")</f>
        <v/>
      </c>
      <c r="V71" s="508" t="str">
        <f>IF(T71&lt;&gt;0,-LOOKUP(Q71,Waterfalls!$6:$6,Waterfalls!$152:$152),"")</f>
        <v/>
      </c>
      <c r="X71" s="344">
        <f>IF(ROUND(LOOKUP($Q71,Waterfalls!$6:$6,Waterfalls!$21:$21),0)&gt;0,1,0)*($D71+$O$6)</f>
        <v>0</v>
      </c>
      <c r="Y71" s="508" t="str">
        <f>IF(X71&lt;&gt;0,LOOKUP($Q71,Waterfalls!$6:$6,Waterfalls!$21:$21),"")</f>
        <v/>
      </c>
      <c r="Z71" s="508" t="str">
        <f>IF(X71&lt;&gt;0,-LOOKUP($Q71,Waterfalls!$6:$6,Waterfalls!$153:$153),"")</f>
        <v/>
      </c>
    </row>
    <row r="72" spans="1:26" x14ac:dyDescent="0.3">
      <c r="A72" s="761" t="str">
        <f>IF(B72&gt;=DevBdgt!$E$7,LOOKUP(B72,DevBdgt!$7:$7,DevBdgt!$6:$6),"")</f>
        <v/>
      </c>
      <c r="B72" s="507">
        <f t="shared" si="7"/>
        <v>45901</v>
      </c>
      <c r="C72" s="7">
        <v>2.84295E-2</v>
      </c>
      <c r="D72" s="1145">
        <f t="shared" si="5"/>
        <v>2.84295E-2</v>
      </c>
      <c r="J72" s="1133">
        <v>47120</v>
      </c>
      <c r="K72" s="7">
        <v>3.9104E-2</v>
      </c>
      <c r="L72" s="507">
        <f t="shared" si="6"/>
        <v>47120</v>
      </c>
      <c r="Q72" s="507">
        <f t="shared" si="4"/>
        <v>45901</v>
      </c>
      <c r="T72" s="344">
        <f>IF(ROUND(LOOKUP(Q72,Waterfalls!$6:$6,Waterfalls!$14:$14),0)&gt;0,1,0)*(D72+$H$4)</f>
        <v>0</v>
      </c>
      <c r="U72" s="508" t="str">
        <f>IF(T72&lt;&gt;0,LOOKUP(Q72,Waterfalls!$6:$6,Waterfalls!$14:$14),"")</f>
        <v/>
      </c>
      <c r="V72" s="508" t="str">
        <f>IF(T72&lt;&gt;0,-LOOKUP(Q72,Waterfalls!$6:$6,Waterfalls!$152:$152),"")</f>
        <v/>
      </c>
      <c r="X72" s="344">
        <f>IF(ROUND(LOOKUP($Q72,Waterfalls!$6:$6,Waterfalls!$21:$21),0)&gt;0,1,0)*($D72+$O$6)</f>
        <v>0</v>
      </c>
      <c r="Y72" s="508" t="str">
        <f>IF(X72&lt;&gt;0,LOOKUP($Q72,Waterfalls!$6:$6,Waterfalls!$21:$21),"")</f>
        <v/>
      </c>
      <c r="Z72" s="508" t="str">
        <f>IF(X72&lt;&gt;0,-LOOKUP($Q72,Waterfalls!$6:$6,Waterfalls!$153:$153),"")</f>
        <v/>
      </c>
    </row>
    <row r="73" spans="1:26" x14ac:dyDescent="0.3">
      <c r="A73" s="761" t="str">
        <f>IF(B73&gt;=DevBdgt!$E$7,LOOKUP(B73,DevBdgt!$7:$7,DevBdgt!$6:$6),"")</f>
        <v/>
      </c>
      <c r="B73" s="507">
        <f t="shared" si="7"/>
        <v>45931</v>
      </c>
      <c r="C73" s="7">
        <v>2.8342200000000001E-2</v>
      </c>
      <c r="D73" s="1145">
        <f t="shared" si="5"/>
        <v>2.8342200000000001E-2</v>
      </c>
      <c r="J73" s="1133">
        <v>47151</v>
      </c>
      <c r="K73" s="7">
        <v>3.9195000000000001E-2</v>
      </c>
      <c r="L73" s="507">
        <f t="shared" si="6"/>
        <v>47151</v>
      </c>
      <c r="Q73" s="507">
        <f t="shared" si="4"/>
        <v>45931</v>
      </c>
      <c r="T73" s="344">
        <f>IF(ROUND(LOOKUP(Q73,Waterfalls!$6:$6,Waterfalls!$14:$14),0)&gt;0,1,0)*(D73+$H$4)</f>
        <v>0</v>
      </c>
      <c r="U73" s="508" t="str">
        <f>IF(T73&lt;&gt;0,LOOKUP(Q73,Waterfalls!$6:$6,Waterfalls!$14:$14),"")</f>
        <v/>
      </c>
      <c r="V73" s="508" t="str">
        <f>IF(T73&lt;&gt;0,-LOOKUP(Q73,Waterfalls!$6:$6,Waterfalls!$152:$152),"")</f>
        <v/>
      </c>
      <c r="X73" s="344">
        <f>IF(ROUND(LOOKUP($Q73,Waterfalls!$6:$6,Waterfalls!$21:$21),0)&gt;0,1,0)*($D73+$O$6)</f>
        <v>0</v>
      </c>
      <c r="Y73" s="508" t="str">
        <f>IF(X73&lt;&gt;0,LOOKUP($Q73,Waterfalls!$6:$6,Waterfalls!$21:$21),"")</f>
        <v/>
      </c>
      <c r="Z73" s="508" t="str">
        <f>IF(X73&lt;&gt;0,-LOOKUP($Q73,Waterfalls!$6:$6,Waterfalls!$153:$153),"")</f>
        <v/>
      </c>
    </row>
    <row r="74" spans="1:26" x14ac:dyDescent="0.3">
      <c r="A74" s="761" t="str">
        <f>IF(B74&gt;=DevBdgt!$E$7,LOOKUP(B74,DevBdgt!$7:$7,DevBdgt!$6:$6),"")</f>
        <v/>
      </c>
      <c r="B74" s="507">
        <f t="shared" si="7"/>
        <v>45962</v>
      </c>
      <c r="C74" s="7">
        <v>2.8265499999999999E-2</v>
      </c>
      <c r="D74" s="1145">
        <f t="shared" si="5"/>
        <v>2.8265499999999999E-2</v>
      </c>
      <c r="J74" s="1133">
        <v>47179</v>
      </c>
      <c r="K74" s="7">
        <v>3.9283600000000002E-2</v>
      </c>
      <c r="L74" s="507">
        <f t="shared" si="6"/>
        <v>47179</v>
      </c>
      <c r="Q74" s="507">
        <f t="shared" si="4"/>
        <v>45962</v>
      </c>
      <c r="T74" s="344">
        <f>IF(ROUND(LOOKUP(Q74,Waterfalls!$6:$6,Waterfalls!$14:$14),0)&gt;0,1,0)*(D74+$H$4)</f>
        <v>0</v>
      </c>
      <c r="U74" s="508" t="str">
        <f>IF(T74&lt;&gt;0,LOOKUP(Q74,Waterfalls!$6:$6,Waterfalls!$14:$14),"")</f>
        <v/>
      </c>
      <c r="V74" s="508" t="str">
        <f>IF(T74&lt;&gt;0,-LOOKUP(Q74,Waterfalls!$6:$6,Waterfalls!$152:$152),"")</f>
        <v/>
      </c>
      <c r="X74" s="344">
        <f>IF(ROUND(LOOKUP($Q74,Waterfalls!$6:$6,Waterfalls!$21:$21),0)&gt;0,1,0)*($D74+$O$6)</f>
        <v>0</v>
      </c>
      <c r="Y74" s="508" t="str">
        <f>IF(X74&lt;&gt;0,LOOKUP($Q74,Waterfalls!$6:$6,Waterfalls!$21:$21),"")</f>
        <v/>
      </c>
      <c r="Z74" s="508" t="str">
        <f>IF(X74&lt;&gt;0,-LOOKUP($Q74,Waterfalls!$6:$6,Waterfalls!$153:$153),"")</f>
        <v/>
      </c>
    </row>
    <row r="75" spans="1:26" x14ac:dyDescent="0.3">
      <c r="A75" s="761" t="str">
        <f>IF(B75&gt;=DevBdgt!$E$7,LOOKUP(B75,DevBdgt!$7:$7,DevBdgt!$6:$6),"")</f>
        <v/>
      </c>
      <c r="B75" s="507">
        <f t="shared" si="7"/>
        <v>45992</v>
      </c>
      <c r="C75" s="7">
        <v>2.8210099999999998E-2</v>
      </c>
      <c r="D75" s="1145">
        <f t="shared" si="5"/>
        <v>2.8210099999999998E-2</v>
      </c>
      <c r="J75" s="1133">
        <v>47210</v>
      </c>
      <c r="K75" s="7">
        <v>3.9371799999999998E-2</v>
      </c>
      <c r="L75" s="507">
        <f t="shared" si="6"/>
        <v>47210</v>
      </c>
      <c r="Q75" s="507">
        <f t="shared" si="4"/>
        <v>45992</v>
      </c>
      <c r="T75" s="344">
        <f>IF(ROUND(LOOKUP(Q75,Waterfalls!$6:$6,Waterfalls!$14:$14),0)&gt;0,1,0)*(D75+$H$4)</f>
        <v>0</v>
      </c>
      <c r="U75" s="508" t="str">
        <f>IF(T75&lt;&gt;0,LOOKUP(Q75,Waterfalls!$6:$6,Waterfalls!$14:$14),"")</f>
        <v/>
      </c>
      <c r="V75" s="508" t="str">
        <f>IF(T75&lt;&gt;0,-LOOKUP(Q75,Waterfalls!$6:$6,Waterfalls!$152:$152),"")</f>
        <v/>
      </c>
      <c r="X75" s="344">
        <f>IF(ROUND(LOOKUP($Q75,Waterfalls!$6:$6,Waterfalls!$21:$21),0)&gt;0,1,0)*($D75+$O$6)</f>
        <v>0</v>
      </c>
      <c r="Y75" s="508" t="str">
        <f>IF(X75&lt;&gt;0,LOOKUP($Q75,Waterfalls!$6:$6,Waterfalls!$21:$21),"")</f>
        <v/>
      </c>
      <c r="Z75" s="508" t="str">
        <f>IF(X75&lt;&gt;0,-LOOKUP($Q75,Waterfalls!$6:$6,Waterfalls!$153:$153),"")</f>
        <v/>
      </c>
    </row>
    <row r="76" spans="1:26" x14ac:dyDescent="0.3">
      <c r="A76" s="761" t="str">
        <f>IF(B76&gt;=DevBdgt!$E$7,LOOKUP(B76,DevBdgt!$7:$7,DevBdgt!$6:$6),"")</f>
        <v/>
      </c>
      <c r="B76" s="507">
        <f t="shared" si="7"/>
        <v>46023</v>
      </c>
      <c r="C76" s="7">
        <v>2.8165699999999998E-2</v>
      </c>
      <c r="D76" s="1145">
        <f t="shared" si="5"/>
        <v>2.8165699999999998E-2</v>
      </c>
      <c r="J76" s="1133">
        <v>47240</v>
      </c>
      <c r="K76" s="7">
        <v>3.9461200000000002E-2</v>
      </c>
      <c r="L76" s="507">
        <f t="shared" si="6"/>
        <v>47240</v>
      </c>
      <c r="Q76" s="507">
        <f t="shared" si="4"/>
        <v>46023</v>
      </c>
      <c r="T76" s="344">
        <f>IF(ROUND(LOOKUP(Q76,Waterfalls!$6:$6,Waterfalls!$14:$14),0)&gt;0,1,0)*(D76+$H$4)</f>
        <v>0</v>
      </c>
      <c r="U76" s="508" t="str">
        <f>IF(T76&lt;&gt;0,LOOKUP(Q76,Waterfalls!$6:$6,Waterfalls!$14:$14),"")</f>
        <v/>
      </c>
      <c r="V76" s="508" t="str">
        <f>IF(T76&lt;&gt;0,-LOOKUP(Q76,Waterfalls!$6:$6,Waterfalls!$152:$152),"")</f>
        <v/>
      </c>
      <c r="X76" s="344">
        <f>IF(ROUND(LOOKUP($Q76,Waterfalls!$6:$6,Waterfalls!$21:$21),0)&gt;0,1,0)*($D76+$O$6)</f>
        <v>0</v>
      </c>
      <c r="Y76" s="508" t="str">
        <f>IF(X76&lt;&gt;0,LOOKUP($Q76,Waterfalls!$6:$6,Waterfalls!$21:$21),"")</f>
        <v/>
      </c>
      <c r="Z76" s="508" t="str">
        <f>IF(X76&lt;&gt;0,-LOOKUP($Q76,Waterfalls!$6:$6,Waterfalls!$153:$153),"")</f>
        <v/>
      </c>
    </row>
    <row r="77" spans="1:26" x14ac:dyDescent="0.3">
      <c r="A77" s="761" t="str">
        <f>IF(B77&gt;=DevBdgt!$E$7,LOOKUP(B77,DevBdgt!$7:$7,DevBdgt!$6:$6),"")</f>
        <v/>
      </c>
      <c r="B77" s="507">
        <f t="shared" si="7"/>
        <v>46054</v>
      </c>
      <c r="C77" s="7">
        <v>2.8134200000000002E-2</v>
      </c>
      <c r="D77" s="1145">
        <f t="shared" si="5"/>
        <v>2.8134200000000002E-2</v>
      </c>
      <c r="J77" s="1133">
        <v>47273</v>
      </c>
      <c r="K77" s="7">
        <v>3.9555199999999999E-2</v>
      </c>
      <c r="L77" s="507">
        <f t="shared" si="6"/>
        <v>47273</v>
      </c>
      <c r="Q77" s="507">
        <f t="shared" si="4"/>
        <v>46054</v>
      </c>
      <c r="T77" s="344">
        <f>IF(ROUND(LOOKUP(Q77,Waterfalls!$6:$6,Waterfalls!$14:$14),0)&gt;0,1,0)*(D77+$H$4)</f>
        <v>0</v>
      </c>
      <c r="U77" s="508" t="str">
        <f>IF(T77&lt;&gt;0,LOOKUP(Q77,Waterfalls!$6:$6,Waterfalls!$14:$14),"")</f>
        <v/>
      </c>
      <c r="V77" s="508" t="str">
        <f>IF(T77&lt;&gt;0,-LOOKUP(Q77,Waterfalls!$6:$6,Waterfalls!$152:$152),"")</f>
        <v/>
      </c>
      <c r="X77" s="344">
        <f>IF(ROUND(LOOKUP($Q77,Waterfalls!$6:$6,Waterfalls!$21:$21),0)&gt;0,1,0)*($D77+$O$6)</f>
        <v>0</v>
      </c>
      <c r="Y77" s="508" t="str">
        <f>IF(X77&lt;&gt;0,LOOKUP($Q77,Waterfalls!$6:$6,Waterfalls!$21:$21),"")</f>
        <v/>
      </c>
      <c r="Z77" s="508" t="str">
        <f>IF(X77&lt;&gt;0,-LOOKUP($Q77,Waterfalls!$6:$6,Waterfalls!$153:$153),"")</f>
        <v/>
      </c>
    </row>
    <row r="78" spans="1:26" x14ac:dyDescent="0.3">
      <c r="A78" s="761" t="str">
        <f>IF(B78&gt;=DevBdgt!$E$7,LOOKUP(B78,DevBdgt!$7:$7,DevBdgt!$6:$6),"")</f>
        <v/>
      </c>
      <c r="B78" s="507">
        <f t="shared" si="7"/>
        <v>46082</v>
      </c>
      <c r="C78" s="7">
        <v>2.81234E-2</v>
      </c>
      <c r="D78" s="1145">
        <f t="shared" si="5"/>
        <v>2.81234E-2</v>
      </c>
      <c r="J78" s="1133">
        <v>47301</v>
      </c>
      <c r="K78" s="7">
        <v>3.9639099999999997E-2</v>
      </c>
      <c r="L78" s="507">
        <f t="shared" si="6"/>
        <v>47301</v>
      </c>
      <c r="Q78" s="507">
        <f t="shared" si="4"/>
        <v>46082</v>
      </c>
      <c r="T78" s="344">
        <f>IF(ROUND(LOOKUP(Q78,Waterfalls!$6:$6,Waterfalls!$14:$14),0)&gt;0,1,0)*(D78+$H$4)</f>
        <v>0</v>
      </c>
      <c r="U78" s="508" t="str">
        <f>IF(T78&lt;&gt;0,LOOKUP(Q78,Waterfalls!$6:$6,Waterfalls!$14:$14),"")</f>
        <v/>
      </c>
      <c r="V78" s="508" t="str">
        <f>IF(T78&lt;&gt;0,-LOOKUP(Q78,Waterfalls!$6:$6,Waterfalls!$152:$152),"")</f>
        <v/>
      </c>
      <c r="X78" s="344">
        <f>IF(ROUND(LOOKUP($Q78,Waterfalls!$6:$6,Waterfalls!$21:$21),0)&gt;0,1,0)*($D78+$O$6)</f>
        <v>0</v>
      </c>
      <c r="Y78" s="508" t="str">
        <f>IF(X78&lt;&gt;0,LOOKUP($Q78,Waterfalls!$6:$6,Waterfalls!$21:$21),"")</f>
        <v/>
      </c>
      <c r="Z78" s="508" t="str">
        <f>IF(X78&lt;&gt;0,-LOOKUP($Q78,Waterfalls!$6:$6,Waterfalls!$153:$153),"")</f>
        <v/>
      </c>
    </row>
    <row r="79" spans="1:26" x14ac:dyDescent="0.3">
      <c r="A79" s="761" t="str">
        <f>IF(B79&gt;=DevBdgt!$E$7,LOOKUP(B79,DevBdgt!$7:$7,DevBdgt!$6:$6),"")</f>
        <v/>
      </c>
      <c r="B79" s="507">
        <f t="shared" si="7"/>
        <v>46113</v>
      </c>
      <c r="C79" s="7">
        <v>2.8124699999999999E-2</v>
      </c>
      <c r="D79" s="1145">
        <f t="shared" si="5"/>
        <v>2.8124699999999999E-2</v>
      </c>
      <c r="J79" s="1133">
        <v>47332</v>
      </c>
      <c r="K79" s="7">
        <v>3.9730099999999997E-2</v>
      </c>
      <c r="L79" s="507">
        <f t="shared" si="6"/>
        <v>47332</v>
      </c>
      <c r="Q79" s="507">
        <f t="shared" si="4"/>
        <v>46113</v>
      </c>
      <c r="T79" s="344">
        <f>IF(ROUND(LOOKUP(Q79,Waterfalls!$6:$6,Waterfalls!$14:$14),0)&gt;0,1,0)*(D79+$H$4)</f>
        <v>0</v>
      </c>
      <c r="U79" s="508" t="str">
        <f>IF(T79&lt;&gt;0,LOOKUP(Q79,Waterfalls!$6:$6,Waterfalls!$14:$14),"")</f>
        <v/>
      </c>
      <c r="V79" s="508" t="str">
        <f>IF(T79&lt;&gt;0,-LOOKUP(Q79,Waterfalls!$6:$6,Waterfalls!$152:$152),"")</f>
        <v/>
      </c>
      <c r="X79" s="344">
        <f>IF(ROUND(LOOKUP($Q79,Waterfalls!$6:$6,Waterfalls!$21:$21),0)&gt;0,1,0)*($D79+$O$6)</f>
        <v>0</v>
      </c>
      <c r="Y79" s="508" t="str">
        <f>IF(X79&lt;&gt;0,LOOKUP($Q79,Waterfalls!$6:$6,Waterfalls!$21:$21),"")</f>
        <v/>
      </c>
      <c r="Z79" s="508" t="str">
        <f>IF(X79&lt;&gt;0,-LOOKUP($Q79,Waterfalls!$6:$6,Waterfalls!$153:$153),"")</f>
        <v/>
      </c>
    </row>
    <row r="80" spans="1:26" x14ac:dyDescent="0.3">
      <c r="A80" s="761" t="str">
        <f>IF(B80&gt;=DevBdgt!$E$7,LOOKUP(B80,DevBdgt!$7:$7,DevBdgt!$6:$6),"")</f>
        <v/>
      </c>
      <c r="B80" s="507">
        <f t="shared" si="7"/>
        <v>46143</v>
      </c>
      <c r="C80" s="7">
        <v>2.81368E-2</v>
      </c>
      <c r="D80" s="1145">
        <f t="shared" si="5"/>
        <v>2.81368E-2</v>
      </c>
      <c r="J80" s="1133">
        <v>47364</v>
      </c>
      <c r="K80" s="7">
        <v>3.9818600000000003E-2</v>
      </c>
      <c r="L80" s="507">
        <f t="shared" si="6"/>
        <v>47364</v>
      </c>
      <c r="Q80" s="507">
        <f t="shared" si="4"/>
        <v>46143</v>
      </c>
      <c r="T80" s="344">
        <f>IF(ROUND(LOOKUP(Q80,Waterfalls!$6:$6,Waterfalls!$14:$14),0)&gt;0,1,0)*(D80+$H$4)</f>
        <v>0</v>
      </c>
      <c r="U80" s="508" t="str">
        <f>IF(T80&lt;&gt;0,LOOKUP(Q80,Waterfalls!$6:$6,Waterfalls!$14:$14),"")</f>
        <v/>
      </c>
      <c r="V80" s="508" t="str">
        <f>IF(T80&lt;&gt;0,-LOOKUP(Q80,Waterfalls!$6:$6,Waterfalls!$152:$152),"")</f>
        <v/>
      </c>
      <c r="X80" s="344">
        <f>IF(ROUND(LOOKUP($Q80,Waterfalls!$6:$6,Waterfalls!$21:$21),0)&gt;0,1,0)*($D80+$O$6)</f>
        <v>0</v>
      </c>
      <c r="Y80" s="508" t="str">
        <f>IF(X80&lt;&gt;0,LOOKUP($Q80,Waterfalls!$6:$6,Waterfalls!$21:$21),"")</f>
        <v/>
      </c>
      <c r="Z80" s="508" t="str">
        <f>IF(X80&lt;&gt;0,-LOOKUP($Q80,Waterfalls!$6:$6,Waterfalls!$153:$153),"")</f>
        <v/>
      </c>
    </row>
    <row r="81" spans="1:26" x14ac:dyDescent="0.3">
      <c r="A81" s="761" t="str">
        <f>IF(B81&gt;=DevBdgt!$E$7,LOOKUP(B81,DevBdgt!$7:$7,DevBdgt!$6:$6),"")</f>
        <v/>
      </c>
      <c r="B81" s="507">
        <f t="shared" si="7"/>
        <v>46174</v>
      </c>
      <c r="C81" s="7">
        <v>2.8151499999999999E-2</v>
      </c>
      <c r="D81" s="1145">
        <f t="shared" si="5"/>
        <v>2.8151499999999999E-2</v>
      </c>
      <c r="J81" s="1133">
        <v>47393</v>
      </c>
      <c r="K81" s="7">
        <v>3.9907199999999997E-2</v>
      </c>
      <c r="L81" s="507">
        <f t="shared" si="6"/>
        <v>47393</v>
      </c>
      <c r="Q81" s="507">
        <f t="shared" si="4"/>
        <v>46174</v>
      </c>
      <c r="T81" s="344">
        <f>IF(ROUND(LOOKUP(Q81,Waterfalls!$6:$6,Waterfalls!$14:$14),0)&gt;0,1,0)*(D81+$H$4)</f>
        <v>0</v>
      </c>
      <c r="U81" s="508" t="str">
        <f>IF(T81&lt;&gt;0,LOOKUP(Q81,Waterfalls!$6:$6,Waterfalls!$14:$14),"")</f>
        <v/>
      </c>
      <c r="V81" s="508" t="str">
        <f>IF(T81&lt;&gt;0,-LOOKUP(Q81,Waterfalls!$6:$6,Waterfalls!$152:$152),"")</f>
        <v/>
      </c>
      <c r="X81" s="344">
        <f>IF(ROUND(LOOKUP($Q81,Waterfalls!$6:$6,Waterfalls!$21:$21),0)&gt;0,1,0)*($D81+$O$6)</f>
        <v>0</v>
      </c>
      <c r="Y81" s="508" t="str">
        <f>IF(X81&lt;&gt;0,LOOKUP($Q81,Waterfalls!$6:$6,Waterfalls!$21:$21),"")</f>
        <v/>
      </c>
      <c r="Z81" s="508" t="str">
        <f>IF(X81&lt;&gt;0,-LOOKUP($Q81,Waterfalls!$6:$6,Waterfalls!$153:$153),"")</f>
        <v/>
      </c>
    </row>
    <row r="82" spans="1:26" x14ac:dyDescent="0.3">
      <c r="A82" s="761" t="str">
        <f>IF(B82&gt;=DevBdgt!$E$7,LOOKUP(B82,DevBdgt!$7:$7,DevBdgt!$6:$6),"")</f>
        <v/>
      </c>
      <c r="B82" s="507">
        <f t="shared" si="7"/>
        <v>46204</v>
      </c>
      <c r="C82" s="7">
        <v>2.8173699999999999E-2</v>
      </c>
      <c r="D82" s="1145">
        <f t="shared" si="5"/>
        <v>2.8173699999999999E-2</v>
      </c>
      <c r="J82" s="1133">
        <v>47424</v>
      </c>
      <c r="K82" s="7">
        <v>3.9998400000000003E-2</v>
      </c>
      <c r="L82" s="507">
        <f t="shared" si="6"/>
        <v>47424</v>
      </c>
      <c r="Q82" s="507">
        <f t="shared" si="4"/>
        <v>46204</v>
      </c>
      <c r="T82" s="344">
        <f>IF(ROUND(LOOKUP(Q82,Waterfalls!$6:$6,Waterfalls!$14:$14),0)&gt;0,1,0)*(D82+$H$4)</f>
        <v>0</v>
      </c>
      <c r="U82" s="508" t="str">
        <f>IF(T82&lt;&gt;0,LOOKUP(Q82,Waterfalls!$6:$6,Waterfalls!$14:$14),"")</f>
        <v/>
      </c>
      <c r="V82" s="508" t="str">
        <f>IF(T82&lt;&gt;0,-LOOKUP(Q82,Waterfalls!$6:$6,Waterfalls!$152:$152),"")</f>
        <v/>
      </c>
      <c r="X82" s="344">
        <f>IF(ROUND(LOOKUP($Q82,Waterfalls!$6:$6,Waterfalls!$21:$21),0)&gt;0,1,0)*($D82+$O$6)</f>
        <v>0</v>
      </c>
      <c r="Y82" s="508" t="str">
        <f>IF(X82&lt;&gt;0,LOOKUP($Q82,Waterfalls!$6:$6,Waterfalls!$21:$21),"")</f>
        <v/>
      </c>
      <c r="Z82" s="508" t="str">
        <f>IF(X82&lt;&gt;0,-LOOKUP($Q82,Waterfalls!$6:$6,Waterfalls!$153:$153),"")</f>
        <v/>
      </c>
    </row>
    <row r="83" spans="1:26" x14ac:dyDescent="0.3">
      <c r="A83" s="761" t="str">
        <f>IF(B83&gt;=DevBdgt!$E$7,LOOKUP(B83,DevBdgt!$7:$7,DevBdgt!$6:$6),"")</f>
        <v/>
      </c>
      <c r="B83" s="507">
        <f t="shared" si="7"/>
        <v>46235</v>
      </c>
      <c r="C83" s="7">
        <v>2.8195700000000001E-2</v>
      </c>
      <c r="D83" s="1145">
        <f t="shared" si="5"/>
        <v>2.8195700000000001E-2</v>
      </c>
      <c r="J83" s="1133">
        <v>47455</v>
      </c>
      <c r="K83" s="7">
        <v>4.0095100000000002E-2</v>
      </c>
      <c r="L83" s="507">
        <f t="shared" si="6"/>
        <v>47455</v>
      </c>
      <c r="Q83" s="507">
        <f t="shared" ref="Q83:Q146" si="8">EOMONTH(B83,-1)+1</f>
        <v>46235</v>
      </c>
      <c r="T83" s="344">
        <f>IF(ROUND(LOOKUP(Q83,Waterfalls!$6:$6,Waterfalls!$14:$14),0)&gt;0,1,0)*(D83+$H$4)</f>
        <v>0</v>
      </c>
      <c r="U83" s="508" t="str">
        <f>IF(T83&lt;&gt;0,LOOKUP(Q83,Waterfalls!$6:$6,Waterfalls!$14:$14),"")</f>
        <v/>
      </c>
      <c r="V83" s="508" t="str">
        <f>IF(T83&lt;&gt;0,-LOOKUP(Q83,Waterfalls!$6:$6,Waterfalls!$152:$152),"")</f>
        <v/>
      </c>
      <c r="X83" s="344">
        <f>IF(ROUND(LOOKUP($Q83,Waterfalls!$6:$6,Waterfalls!$21:$21),0)&gt;0,1,0)*($D83+$O$6)</f>
        <v>0</v>
      </c>
      <c r="Y83" s="508" t="str">
        <f>IF(X83&lt;&gt;0,LOOKUP($Q83,Waterfalls!$6:$6,Waterfalls!$21:$21),"")</f>
        <v/>
      </c>
      <c r="Z83" s="508" t="str">
        <f>IF(X83&lt;&gt;0,-LOOKUP($Q83,Waterfalls!$6:$6,Waterfalls!$153:$153),"")</f>
        <v/>
      </c>
    </row>
    <row r="84" spans="1:26" x14ac:dyDescent="0.3">
      <c r="A84" s="761" t="str">
        <f>IF(B84&gt;=DevBdgt!$E$7,LOOKUP(B84,DevBdgt!$7:$7,DevBdgt!$6:$6),"")</f>
        <v/>
      </c>
      <c r="B84" s="507">
        <f t="shared" si="7"/>
        <v>46266</v>
      </c>
      <c r="C84" s="7">
        <v>2.8218799999999999E-2</v>
      </c>
      <c r="D84" s="1145">
        <f t="shared" si="5"/>
        <v>2.8218799999999999E-2</v>
      </c>
      <c r="J84" s="1133">
        <v>47485</v>
      </c>
      <c r="K84" s="7">
        <v>4.0185699999999998E-2</v>
      </c>
      <c r="L84" s="507">
        <f t="shared" si="6"/>
        <v>47485</v>
      </c>
      <c r="Q84" s="507">
        <f t="shared" si="8"/>
        <v>46266</v>
      </c>
      <c r="T84" s="344">
        <f>IF(ROUND(LOOKUP(Q84,Waterfalls!$6:$6,Waterfalls!$14:$14),0)&gt;0,1,0)*(D84+$H$4)</f>
        <v>0</v>
      </c>
      <c r="U84" s="508" t="str">
        <f>IF(T84&lt;&gt;0,LOOKUP(Q84,Waterfalls!$6:$6,Waterfalls!$14:$14),"")</f>
        <v/>
      </c>
      <c r="V84" s="508" t="str">
        <f>IF(T84&lt;&gt;0,-LOOKUP(Q84,Waterfalls!$6:$6,Waterfalls!$152:$152),"")</f>
        <v/>
      </c>
      <c r="X84" s="344">
        <f>IF(ROUND(LOOKUP($Q84,Waterfalls!$6:$6,Waterfalls!$21:$21),0)&gt;0,1,0)*($D84+$O$6)</f>
        <v>0</v>
      </c>
      <c r="Y84" s="508" t="str">
        <f>IF(X84&lt;&gt;0,LOOKUP($Q84,Waterfalls!$6:$6,Waterfalls!$21:$21),"")</f>
        <v/>
      </c>
      <c r="Z84" s="508" t="str">
        <f>IF(X84&lt;&gt;0,-LOOKUP($Q84,Waterfalls!$6:$6,Waterfalls!$153:$153),"")</f>
        <v/>
      </c>
    </row>
    <row r="85" spans="1:26" x14ac:dyDescent="0.3">
      <c r="A85" s="761" t="str">
        <f>IF(B85&gt;=DevBdgt!$E$7,LOOKUP(B85,DevBdgt!$7:$7,DevBdgt!$6:$6),"")</f>
        <v/>
      </c>
      <c r="B85" s="507">
        <f t="shared" si="7"/>
        <v>46296</v>
      </c>
      <c r="C85" s="7">
        <v>2.8247600000000001E-2</v>
      </c>
      <c r="D85" s="1145">
        <f t="shared" si="5"/>
        <v>2.8247600000000001E-2</v>
      </c>
      <c r="J85" s="1133">
        <v>47518</v>
      </c>
      <c r="K85" s="7">
        <v>4.0289499999999999E-2</v>
      </c>
      <c r="L85" s="507" t="str">
        <f t="shared" si="6"/>
        <v/>
      </c>
      <c r="Q85" s="507">
        <f t="shared" si="8"/>
        <v>46296</v>
      </c>
      <c r="T85" s="344">
        <f>IF(ROUND(LOOKUP(Q85,Waterfalls!$6:$6,Waterfalls!$14:$14),0)&gt;0,1,0)*(D85+$H$4)</f>
        <v>0</v>
      </c>
      <c r="U85" s="508" t="str">
        <f>IF(T85&lt;&gt;0,LOOKUP(Q85,Waterfalls!$6:$6,Waterfalls!$14:$14),"")</f>
        <v/>
      </c>
      <c r="V85" s="508" t="str">
        <f>IF(T85&lt;&gt;0,-LOOKUP(Q85,Waterfalls!$6:$6,Waterfalls!$152:$152),"")</f>
        <v/>
      </c>
      <c r="X85" s="344">
        <f>IF(ROUND(LOOKUP($Q85,Waterfalls!$6:$6,Waterfalls!$21:$21),0)&gt;0,1,0)*($D85+$O$6)</f>
        <v>0</v>
      </c>
      <c r="Y85" s="508" t="str">
        <f>IF(X85&lt;&gt;0,LOOKUP($Q85,Waterfalls!$6:$6,Waterfalls!$21:$21),"")</f>
        <v/>
      </c>
      <c r="Z85" s="508" t="str">
        <f>IF(X85&lt;&gt;0,-LOOKUP($Q85,Waterfalls!$6:$6,Waterfalls!$153:$153),"")</f>
        <v/>
      </c>
    </row>
    <row r="86" spans="1:26" x14ac:dyDescent="0.3">
      <c r="A86" s="761" t="str">
        <f>IF(B86&gt;=DevBdgt!$E$7,LOOKUP(B86,DevBdgt!$7:$7,DevBdgt!$6:$6),"")</f>
        <v/>
      </c>
      <c r="B86" s="507">
        <f t="shared" si="7"/>
        <v>46327</v>
      </c>
      <c r="C86" s="7">
        <v>2.8276800000000001E-2</v>
      </c>
      <c r="D86" s="1145">
        <f t="shared" si="5"/>
        <v>2.8276800000000001E-2</v>
      </c>
      <c r="J86" s="1133">
        <v>47546</v>
      </c>
      <c r="K86" s="7">
        <v>4.0396599999999998E-2</v>
      </c>
      <c r="L86" s="507" t="str">
        <f t="shared" si="6"/>
        <v/>
      </c>
      <c r="Q86" s="507">
        <f t="shared" si="8"/>
        <v>46327</v>
      </c>
      <c r="T86" s="344">
        <f>IF(ROUND(LOOKUP(Q86,Waterfalls!$6:$6,Waterfalls!$14:$14),0)&gt;0,1,0)*(D86+$H$4)</f>
        <v>0</v>
      </c>
      <c r="U86" s="508" t="str">
        <f>IF(T86&lt;&gt;0,LOOKUP(Q86,Waterfalls!$6:$6,Waterfalls!$14:$14),"")</f>
        <v/>
      </c>
      <c r="V86" s="508" t="str">
        <f>IF(T86&lt;&gt;0,-LOOKUP(Q86,Waterfalls!$6:$6,Waterfalls!$152:$152),"")</f>
        <v/>
      </c>
      <c r="X86" s="344">
        <f>IF(ROUND(LOOKUP($Q86,Waterfalls!$6:$6,Waterfalls!$21:$21),0)&gt;0,1,0)*($D86+$O$6)</f>
        <v>0</v>
      </c>
      <c r="Y86" s="508" t="str">
        <f>IF(X86&lt;&gt;0,LOOKUP($Q86,Waterfalls!$6:$6,Waterfalls!$21:$21),"")</f>
        <v/>
      </c>
      <c r="Z86" s="508" t="str">
        <f>IF(X86&lt;&gt;0,-LOOKUP($Q86,Waterfalls!$6:$6,Waterfalls!$153:$153),"")</f>
        <v/>
      </c>
    </row>
    <row r="87" spans="1:26" x14ac:dyDescent="0.3">
      <c r="A87" s="761" t="str">
        <f>IF(B87&gt;=DevBdgt!$E$7,LOOKUP(B87,DevBdgt!$7:$7,DevBdgt!$6:$6),"")</f>
        <v/>
      </c>
      <c r="B87" s="507">
        <f t="shared" si="7"/>
        <v>46357</v>
      </c>
      <c r="C87" s="7">
        <v>2.8314300000000001E-2</v>
      </c>
      <c r="D87" s="1145">
        <f t="shared" si="5"/>
        <v>2.8314300000000001E-2</v>
      </c>
      <c r="J87" s="1133">
        <v>47575</v>
      </c>
      <c r="K87" s="7">
        <v>4.0488900000000001E-2</v>
      </c>
      <c r="L87" s="507" t="str">
        <f t="shared" si="6"/>
        <v/>
      </c>
      <c r="Q87" s="507">
        <f t="shared" si="8"/>
        <v>46357</v>
      </c>
      <c r="T87" s="344">
        <f>IF(ROUND(LOOKUP(Q87,Waterfalls!$6:$6,Waterfalls!$14:$14),0)&gt;0,1,0)*(D87+$H$4)</f>
        <v>0</v>
      </c>
      <c r="U87" s="508" t="str">
        <f>IF(T87&lt;&gt;0,LOOKUP(Q87,Waterfalls!$6:$6,Waterfalls!$14:$14),"")</f>
        <v/>
      </c>
      <c r="V87" s="508" t="str">
        <f>IF(T87&lt;&gt;0,-LOOKUP(Q87,Waterfalls!$6:$6,Waterfalls!$152:$152),"")</f>
        <v/>
      </c>
      <c r="X87" s="344">
        <f>IF(ROUND(LOOKUP($Q87,Waterfalls!$6:$6,Waterfalls!$21:$21),0)&gt;0,1,0)*($D87+$O$6)</f>
        <v>0</v>
      </c>
      <c r="Y87" s="508" t="str">
        <f>IF(X87&lt;&gt;0,LOOKUP($Q87,Waterfalls!$6:$6,Waterfalls!$21:$21),"")</f>
        <v/>
      </c>
      <c r="Z87" s="508" t="str">
        <f>IF(X87&lt;&gt;0,-LOOKUP($Q87,Waterfalls!$6:$6,Waterfalls!$153:$153),"")</f>
        <v/>
      </c>
    </row>
    <row r="88" spans="1:26" x14ac:dyDescent="0.3">
      <c r="A88" s="761" t="str">
        <f>IF(B88&gt;=DevBdgt!$E$7,LOOKUP(B88,DevBdgt!$7:$7,DevBdgt!$6:$6),"")</f>
        <v/>
      </c>
      <c r="B88" s="507">
        <f t="shared" si="7"/>
        <v>46388</v>
      </c>
      <c r="C88" s="7">
        <v>2.8349800000000001E-2</v>
      </c>
      <c r="D88" s="1145">
        <f t="shared" si="5"/>
        <v>2.8349800000000001E-2</v>
      </c>
      <c r="J88" s="1133">
        <v>47605</v>
      </c>
      <c r="K88" s="7">
        <v>4.0590800000000003E-2</v>
      </c>
      <c r="L88" s="507" t="str">
        <f t="shared" si="6"/>
        <v/>
      </c>
      <c r="Q88" s="507">
        <f t="shared" si="8"/>
        <v>46388</v>
      </c>
      <c r="T88" s="344">
        <f>IF(ROUND(LOOKUP(Q88,Waterfalls!$6:$6,Waterfalls!$14:$14),0)&gt;0,1,0)*(D88+$H$4)</f>
        <v>0</v>
      </c>
      <c r="U88" s="508" t="str">
        <f>IF(T88&lt;&gt;0,LOOKUP(Q88,Waterfalls!$6:$6,Waterfalls!$14:$14),"")</f>
        <v/>
      </c>
      <c r="V88" s="508" t="str">
        <f>IF(T88&lt;&gt;0,-LOOKUP(Q88,Waterfalls!$6:$6,Waterfalls!$152:$152),"")</f>
        <v/>
      </c>
      <c r="X88" s="344">
        <f>IF(ROUND(LOOKUP($Q88,Waterfalls!$6:$6,Waterfalls!$21:$21),0)&gt;0,1,0)*($D88+$O$6)</f>
        <v>0</v>
      </c>
      <c r="Y88" s="508" t="str">
        <f>IF(X88&lt;&gt;0,LOOKUP($Q88,Waterfalls!$6:$6,Waterfalls!$21:$21),"")</f>
        <v/>
      </c>
      <c r="Z88" s="508" t="str">
        <f>IF(X88&lt;&gt;0,-LOOKUP($Q88,Waterfalls!$6:$6,Waterfalls!$153:$153),"")</f>
        <v/>
      </c>
    </row>
    <row r="89" spans="1:26" x14ac:dyDescent="0.3">
      <c r="A89" s="761" t="str">
        <f>IF(B89&gt;=DevBdgt!$E$7,LOOKUP(B89,DevBdgt!$7:$7,DevBdgt!$6:$6),"")</f>
        <v/>
      </c>
      <c r="B89" s="507">
        <f t="shared" si="7"/>
        <v>46419</v>
      </c>
      <c r="C89" s="7">
        <v>2.8381099999999999E-2</v>
      </c>
      <c r="D89" s="1145">
        <f t="shared" si="5"/>
        <v>2.8381099999999999E-2</v>
      </c>
      <c r="J89" s="1133">
        <v>47637</v>
      </c>
      <c r="K89" s="7">
        <v>4.0696799999999998E-2</v>
      </c>
      <c r="L89" s="507" t="str">
        <f t="shared" si="6"/>
        <v/>
      </c>
      <c r="Q89" s="507">
        <f t="shared" si="8"/>
        <v>46419</v>
      </c>
      <c r="T89" s="344">
        <f>IF(ROUND(LOOKUP(Q89,Waterfalls!$6:$6,Waterfalls!$14:$14),0)&gt;0,1,0)*(D89+$H$4)</f>
        <v>0</v>
      </c>
      <c r="U89" s="508" t="str">
        <f>IF(T89&lt;&gt;0,LOOKUP(Q89,Waterfalls!$6:$6,Waterfalls!$14:$14),"")</f>
        <v/>
      </c>
      <c r="V89" s="508" t="str">
        <f>IF(T89&lt;&gt;0,-LOOKUP(Q89,Waterfalls!$6:$6,Waterfalls!$152:$152),"")</f>
        <v/>
      </c>
      <c r="X89" s="344">
        <f>IF(ROUND(LOOKUP($Q89,Waterfalls!$6:$6,Waterfalls!$21:$21),0)&gt;0,1,0)*($D89+$O$6)</f>
        <v>0</v>
      </c>
      <c r="Y89" s="508" t="str">
        <f>IF(X89&lt;&gt;0,LOOKUP($Q89,Waterfalls!$6:$6,Waterfalls!$21:$21),"")</f>
        <v/>
      </c>
      <c r="Z89" s="508" t="str">
        <f>IF(X89&lt;&gt;0,-LOOKUP($Q89,Waterfalls!$6:$6,Waterfalls!$153:$153),"")</f>
        <v/>
      </c>
    </row>
    <row r="90" spans="1:26" x14ac:dyDescent="0.3">
      <c r="A90" s="761" t="str">
        <f>IF(B90&gt;=DevBdgt!$E$7,LOOKUP(B90,DevBdgt!$7:$7,DevBdgt!$6:$6),"")</f>
        <v/>
      </c>
      <c r="B90" s="507">
        <f t="shared" si="7"/>
        <v>46447</v>
      </c>
      <c r="C90" s="7">
        <v>2.8424100000000001E-2</v>
      </c>
      <c r="D90" s="1145">
        <f t="shared" si="5"/>
        <v>2.8424100000000001E-2</v>
      </c>
      <c r="J90" s="1133">
        <v>47666</v>
      </c>
      <c r="K90" s="7">
        <v>4.0798800000000003E-2</v>
      </c>
      <c r="L90" s="507" t="str">
        <f t="shared" si="6"/>
        <v/>
      </c>
      <c r="Q90" s="507">
        <f t="shared" si="8"/>
        <v>46447</v>
      </c>
      <c r="T90" s="344">
        <f>IF(ROUND(LOOKUP(Q90,Waterfalls!$6:$6,Waterfalls!$14:$14),0)&gt;0,1,0)*(D90+$H$4)</f>
        <v>0</v>
      </c>
      <c r="U90" s="508" t="str">
        <f>IF(T90&lt;&gt;0,LOOKUP(Q90,Waterfalls!$6:$6,Waterfalls!$14:$14),"")</f>
        <v/>
      </c>
      <c r="V90" s="508" t="str">
        <f>IF(T90&lt;&gt;0,-LOOKUP(Q90,Waterfalls!$6:$6,Waterfalls!$152:$152),"")</f>
        <v/>
      </c>
      <c r="X90" s="344">
        <f>IF(ROUND(LOOKUP($Q90,Waterfalls!$6:$6,Waterfalls!$21:$21),0)&gt;0,1,0)*($D90+$O$6)</f>
        <v>0</v>
      </c>
      <c r="Y90" s="508" t="str">
        <f>IF(X90&lt;&gt;0,LOOKUP($Q90,Waterfalls!$6:$6,Waterfalls!$21:$21),"")</f>
        <v/>
      </c>
      <c r="Z90" s="508" t="str">
        <f>IF(X90&lt;&gt;0,-LOOKUP($Q90,Waterfalls!$6:$6,Waterfalls!$153:$153),"")</f>
        <v/>
      </c>
    </row>
    <row r="91" spans="1:26" x14ac:dyDescent="0.3">
      <c r="A91" s="761" t="str">
        <f>IF(B91&gt;=DevBdgt!$E$7,LOOKUP(B91,DevBdgt!$7:$7,DevBdgt!$6:$6),"")</f>
        <v/>
      </c>
      <c r="B91" s="507">
        <f t="shared" si="7"/>
        <v>46478</v>
      </c>
      <c r="C91" s="7">
        <v>2.8468500000000001E-2</v>
      </c>
      <c r="D91" s="1145">
        <f t="shared" si="5"/>
        <v>2.8468500000000001E-2</v>
      </c>
      <c r="J91" s="1133">
        <v>47697</v>
      </c>
      <c r="K91" s="7">
        <v>4.0906900000000003E-2</v>
      </c>
      <c r="L91" s="507" t="str">
        <f t="shared" si="6"/>
        <v/>
      </c>
      <c r="Q91" s="507">
        <f t="shared" si="8"/>
        <v>46478</v>
      </c>
      <c r="T91" s="344">
        <f>IF(ROUND(LOOKUP(Q91,Waterfalls!$6:$6,Waterfalls!$14:$14),0)&gt;0,1,0)*(D91+$H$4)</f>
        <v>0</v>
      </c>
      <c r="U91" s="508" t="str">
        <f>IF(T91&lt;&gt;0,LOOKUP(Q91,Waterfalls!$6:$6,Waterfalls!$14:$14),"")</f>
        <v/>
      </c>
      <c r="V91" s="508" t="str">
        <f>IF(T91&lt;&gt;0,-LOOKUP(Q91,Waterfalls!$6:$6,Waterfalls!$152:$152),"")</f>
        <v/>
      </c>
      <c r="X91" s="344">
        <f>IF(ROUND(LOOKUP($Q91,Waterfalls!$6:$6,Waterfalls!$21:$21),0)&gt;0,1,0)*($D91+$O$6)</f>
        <v>0</v>
      </c>
      <c r="Y91" s="508" t="str">
        <f>IF(X91&lt;&gt;0,LOOKUP($Q91,Waterfalls!$6:$6,Waterfalls!$21:$21),"")</f>
        <v/>
      </c>
      <c r="Z91" s="508" t="str">
        <f>IF(X91&lt;&gt;0,-LOOKUP($Q91,Waterfalls!$6:$6,Waterfalls!$153:$153),"")</f>
        <v/>
      </c>
    </row>
    <row r="92" spans="1:26" x14ac:dyDescent="0.3">
      <c r="A92" s="761" t="str">
        <f>IF(B92&gt;=DevBdgt!$E$7,LOOKUP(B92,DevBdgt!$7:$7,DevBdgt!$6:$6),"")</f>
        <v/>
      </c>
      <c r="B92" s="507">
        <f t="shared" si="7"/>
        <v>46508</v>
      </c>
      <c r="C92" s="7">
        <v>2.8514999999999999E-2</v>
      </c>
      <c r="D92" s="1145">
        <f t="shared" si="5"/>
        <v>2.8514999999999999E-2</v>
      </c>
      <c r="J92" s="1133">
        <v>47728</v>
      </c>
      <c r="K92" s="7">
        <v>4.1010100000000001E-2</v>
      </c>
      <c r="L92" s="507" t="str">
        <f t="shared" si="6"/>
        <v/>
      </c>
      <c r="Q92" s="507">
        <f t="shared" si="8"/>
        <v>46508</v>
      </c>
      <c r="T92" s="344">
        <f>IF(ROUND(LOOKUP(Q92,Waterfalls!$6:$6,Waterfalls!$14:$14),0)&gt;0,1,0)*(D92+$H$4)</f>
        <v>0</v>
      </c>
      <c r="U92" s="508" t="str">
        <f>IF(T92&lt;&gt;0,LOOKUP(Q92,Waterfalls!$6:$6,Waterfalls!$14:$14),"")</f>
        <v/>
      </c>
      <c r="V92" s="508" t="str">
        <f>IF(T92&lt;&gt;0,-LOOKUP(Q92,Waterfalls!$6:$6,Waterfalls!$152:$152),"")</f>
        <v/>
      </c>
      <c r="X92" s="344">
        <f>IF(ROUND(LOOKUP($Q92,Waterfalls!$6:$6,Waterfalls!$21:$21),0)&gt;0,1,0)*($D92+$O$6)</f>
        <v>0</v>
      </c>
      <c r="Y92" s="508" t="str">
        <f>IF(X92&lt;&gt;0,LOOKUP($Q92,Waterfalls!$6:$6,Waterfalls!$21:$21),"")</f>
        <v/>
      </c>
      <c r="Z92" s="508" t="str">
        <f>IF(X92&lt;&gt;0,-LOOKUP($Q92,Waterfalls!$6:$6,Waterfalls!$153:$153),"")</f>
        <v/>
      </c>
    </row>
    <row r="93" spans="1:26" x14ac:dyDescent="0.3">
      <c r="A93" s="761" t="str">
        <f>IF(B93&gt;=DevBdgt!$E$7,LOOKUP(B93,DevBdgt!$7:$7,DevBdgt!$6:$6),"")</f>
        <v/>
      </c>
      <c r="B93" s="507">
        <f t="shared" si="7"/>
        <v>46539</v>
      </c>
      <c r="C93" s="7">
        <v>2.8557200000000001E-2</v>
      </c>
      <c r="D93" s="1145">
        <f t="shared" si="5"/>
        <v>2.8557200000000001E-2</v>
      </c>
      <c r="J93" s="1133">
        <v>47758</v>
      </c>
      <c r="K93" s="7">
        <v>4.11194E-2</v>
      </c>
      <c r="L93" s="507" t="str">
        <f t="shared" si="6"/>
        <v/>
      </c>
      <c r="Q93" s="507">
        <f t="shared" si="8"/>
        <v>46539</v>
      </c>
      <c r="T93" s="344">
        <f>IF(ROUND(LOOKUP(Q93,Waterfalls!$6:$6,Waterfalls!$14:$14),0)&gt;0,1,0)*(D93+$H$4)</f>
        <v>0</v>
      </c>
      <c r="U93" s="508" t="str">
        <f>IF(T93&lt;&gt;0,LOOKUP(Q93,Waterfalls!$6:$6,Waterfalls!$14:$14),"")</f>
        <v/>
      </c>
      <c r="V93" s="508" t="str">
        <f>IF(T93&lt;&gt;0,-LOOKUP(Q93,Waterfalls!$6:$6,Waterfalls!$152:$152),"")</f>
        <v/>
      </c>
      <c r="X93" s="344">
        <f>IF(ROUND(LOOKUP($Q93,Waterfalls!$6:$6,Waterfalls!$21:$21),0)&gt;0,1,0)*($D93+$O$6)</f>
        <v>0</v>
      </c>
      <c r="Y93" s="508" t="str">
        <f>IF(X93&lt;&gt;0,LOOKUP($Q93,Waterfalls!$6:$6,Waterfalls!$21:$21),"")</f>
        <v/>
      </c>
      <c r="Z93" s="508" t="str">
        <f>IF(X93&lt;&gt;0,-LOOKUP($Q93,Waterfalls!$6:$6,Waterfalls!$153:$153),"")</f>
        <v/>
      </c>
    </row>
    <row r="94" spans="1:26" x14ac:dyDescent="0.3">
      <c r="A94" s="761" t="str">
        <f>IF(B94&gt;=DevBdgt!$E$7,LOOKUP(B94,DevBdgt!$7:$7,DevBdgt!$6:$6),"")</f>
        <v/>
      </c>
      <c r="B94" s="507">
        <f t="shared" si="7"/>
        <v>46569</v>
      </c>
      <c r="C94" s="7">
        <v>2.8601499999999998E-2</v>
      </c>
      <c r="D94" s="1145">
        <f t="shared" si="5"/>
        <v>2.8601499999999998E-2</v>
      </c>
      <c r="J94" s="1133">
        <v>47791</v>
      </c>
      <c r="K94" s="7">
        <v>4.1235899999999999E-2</v>
      </c>
      <c r="L94" s="507" t="str">
        <f t="shared" si="6"/>
        <v/>
      </c>
      <c r="Q94" s="507">
        <f t="shared" si="8"/>
        <v>46569</v>
      </c>
      <c r="T94" s="344">
        <f>IF(ROUND(LOOKUP(Q94,Waterfalls!$6:$6,Waterfalls!$14:$14),0)&gt;0,1,0)*(D94+$H$4)</f>
        <v>0</v>
      </c>
      <c r="U94" s="508" t="str">
        <f>IF(T94&lt;&gt;0,LOOKUP(Q94,Waterfalls!$6:$6,Waterfalls!$14:$14),"")</f>
        <v/>
      </c>
      <c r="V94" s="508" t="str">
        <f>IF(T94&lt;&gt;0,-LOOKUP(Q94,Waterfalls!$6:$6,Waterfalls!$152:$152),"")</f>
        <v/>
      </c>
      <c r="X94" s="344">
        <f>IF(ROUND(LOOKUP($Q94,Waterfalls!$6:$6,Waterfalls!$21:$21),0)&gt;0,1,0)*($D94+$O$6)</f>
        <v>0</v>
      </c>
      <c r="Y94" s="508" t="str">
        <f>IF(X94&lt;&gt;0,LOOKUP($Q94,Waterfalls!$6:$6,Waterfalls!$21:$21),"")</f>
        <v/>
      </c>
      <c r="Z94" s="508" t="str">
        <f>IF(X94&lt;&gt;0,-LOOKUP($Q94,Waterfalls!$6:$6,Waterfalls!$153:$153),"")</f>
        <v/>
      </c>
    </row>
    <row r="95" spans="1:26" x14ac:dyDescent="0.3">
      <c r="A95" s="761" t="str">
        <f>IF(B95&gt;=DevBdgt!$E$7,LOOKUP(B95,DevBdgt!$7:$7,DevBdgt!$6:$6),"")</f>
        <v/>
      </c>
      <c r="B95" s="507">
        <f t="shared" si="7"/>
        <v>46600</v>
      </c>
      <c r="C95" s="7">
        <v>2.86439E-2</v>
      </c>
      <c r="D95" s="1145">
        <f t="shared" si="5"/>
        <v>2.86439E-2</v>
      </c>
      <c r="J95" s="1133">
        <v>47819</v>
      </c>
      <c r="K95" s="7">
        <v>4.1339800000000003E-2</v>
      </c>
      <c r="L95" s="507" t="str">
        <f t="shared" si="6"/>
        <v/>
      </c>
      <c r="Q95" s="507">
        <f t="shared" si="8"/>
        <v>46600</v>
      </c>
      <c r="T95" s="344">
        <f>IF(ROUND(LOOKUP(Q95,Waterfalls!$6:$6,Waterfalls!$14:$14),0)&gt;0,1,0)*(D95+$H$4)</f>
        <v>0</v>
      </c>
      <c r="U95" s="508" t="str">
        <f>IF(T95&lt;&gt;0,LOOKUP(Q95,Waterfalls!$6:$6,Waterfalls!$14:$14),"")</f>
        <v/>
      </c>
      <c r="V95" s="508" t="str">
        <f>IF(T95&lt;&gt;0,-LOOKUP(Q95,Waterfalls!$6:$6,Waterfalls!$152:$152),"")</f>
        <v/>
      </c>
      <c r="X95" s="344">
        <f>IF(ROUND(LOOKUP($Q95,Waterfalls!$6:$6,Waterfalls!$21:$21),0)&gt;0,1,0)*($D95+$O$6)</f>
        <v>0</v>
      </c>
      <c r="Y95" s="508" t="str">
        <f>IF(X95&lt;&gt;0,LOOKUP($Q95,Waterfalls!$6:$6,Waterfalls!$21:$21),"")</f>
        <v/>
      </c>
      <c r="Z95" s="508" t="str">
        <f>IF(X95&lt;&gt;0,-LOOKUP($Q95,Waterfalls!$6:$6,Waterfalls!$153:$153),"")</f>
        <v/>
      </c>
    </row>
    <row r="96" spans="1:26" x14ac:dyDescent="0.3">
      <c r="A96" s="761">
        <f>IF(B96&gt;=DevBdgt!$E$7,LOOKUP(B96,DevBdgt!$7:$7,DevBdgt!$6:$6),"")</f>
        <v>0</v>
      </c>
      <c r="B96" s="507">
        <f t="shared" si="7"/>
        <v>46631</v>
      </c>
      <c r="C96" s="7">
        <v>2.8686300000000001E-2</v>
      </c>
      <c r="D96" s="1145">
        <f t="shared" si="5"/>
        <v>2.8686300000000001E-2</v>
      </c>
      <c r="J96" s="1133">
        <v>47850</v>
      </c>
      <c r="K96" s="7">
        <v>4.1450599999999997E-2</v>
      </c>
      <c r="L96" s="507" t="str">
        <f t="shared" si="6"/>
        <v/>
      </c>
      <c r="Q96" s="507">
        <f t="shared" si="8"/>
        <v>46631</v>
      </c>
      <c r="T96" s="344">
        <f>IF(ROUND(LOOKUP(Q96,Waterfalls!$6:$6,Waterfalls!$14:$14),0)&gt;0,1,0)*(D96+$H$4)</f>
        <v>0</v>
      </c>
      <c r="U96" s="508" t="str">
        <f>IF(T96&lt;&gt;0,LOOKUP(Q96,Waterfalls!$6:$6,Waterfalls!$14:$14),"")</f>
        <v/>
      </c>
      <c r="V96" s="508" t="str">
        <f>IF(T96&lt;&gt;0,-LOOKUP(Q96,Waterfalls!$6:$6,Waterfalls!$152:$152),"")</f>
        <v/>
      </c>
      <c r="X96" s="344">
        <f>IF(ROUND(LOOKUP($Q96,Waterfalls!$6:$6,Waterfalls!$21:$21),0)&gt;0,1,0)*($D96+$O$6)</f>
        <v>0</v>
      </c>
      <c r="Y96" s="508" t="str">
        <f>IF(X96&lt;&gt;0,LOOKUP($Q96,Waterfalls!$6:$6,Waterfalls!$21:$21),"")</f>
        <v/>
      </c>
      <c r="Z96" s="508" t="str">
        <f>IF(X96&lt;&gt;0,-LOOKUP($Q96,Waterfalls!$6:$6,Waterfalls!$153:$153),"")</f>
        <v/>
      </c>
    </row>
    <row r="97" spans="1:26" x14ac:dyDescent="0.3">
      <c r="A97" s="761">
        <f>IF(B97&gt;=DevBdgt!$E$7,LOOKUP(B97,DevBdgt!$7:$7,DevBdgt!$6:$6),"")</f>
        <v>1</v>
      </c>
      <c r="B97" s="507">
        <f t="shared" si="7"/>
        <v>46661</v>
      </c>
      <c r="C97" s="7">
        <v>2.8724800000000002E-2</v>
      </c>
      <c r="D97" s="1145">
        <f t="shared" si="5"/>
        <v>2.8724800000000002E-2</v>
      </c>
      <c r="J97" s="1133">
        <v>47882</v>
      </c>
      <c r="K97" s="7">
        <v>4.1567800000000002E-2</v>
      </c>
      <c r="L97" s="507" t="str">
        <f t="shared" si="6"/>
        <v/>
      </c>
      <c r="Q97" s="507">
        <f t="shared" si="8"/>
        <v>46661</v>
      </c>
      <c r="T97" s="344">
        <f ca="1">IF(ROUND(LOOKUP(Q97,Waterfalls!$6:$6,Waterfalls!$14:$14),0)&gt;0,1,0)*(D97+$H$4)</f>
        <v>0</v>
      </c>
      <c r="U97" s="508" t="str">
        <f ca="1">IF(T97&lt;&gt;0,LOOKUP(Q97,Waterfalls!$6:$6,Waterfalls!$14:$14),"")</f>
        <v/>
      </c>
      <c r="V97" s="508" t="str">
        <f ca="1">IF(T97&lt;&gt;0,-LOOKUP(Q97,Waterfalls!$6:$6,Waterfalls!$152:$152),"")</f>
        <v/>
      </c>
      <c r="X97" s="344">
        <f>IF(ROUND(LOOKUP($Q97,Waterfalls!$6:$6,Waterfalls!$21:$21),0)&gt;0,1,0)*($D97+$O$6)</f>
        <v>0</v>
      </c>
      <c r="Y97" s="508" t="str">
        <f>IF(X97&lt;&gt;0,LOOKUP($Q97,Waterfalls!$6:$6,Waterfalls!$21:$21),"")</f>
        <v/>
      </c>
      <c r="Z97" s="508" t="str">
        <f>IF(X97&lt;&gt;0,-LOOKUP($Q97,Waterfalls!$6:$6,Waterfalls!$153:$153),"")</f>
        <v/>
      </c>
    </row>
    <row r="98" spans="1:26" x14ac:dyDescent="0.3">
      <c r="A98" s="761">
        <f>IF(B98&gt;=DevBdgt!$E$7,LOOKUP(B98,DevBdgt!$7:$7,DevBdgt!$6:$6),"")</f>
        <v>2</v>
      </c>
      <c r="B98" s="507">
        <f t="shared" si="7"/>
        <v>46692</v>
      </c>
      <c r="C98" s="7">
        <v>2.8757999999999999E-2</v>
      </c>
      <c r="D98" s="1145">
        <f t="shared" si="5"/>
        <v>2.8757999999999999E-2</v>
      </c>
      <c r="J98" s="1133">
        <v>47910</v>
      </c>
      <c r="K98" s="7">
        <v>4.1678399999999997E-2</v>
      </c>
      <c r="L98" s="507" t="str">
        <f t="shared" si="6"/>
        <v/>
      </c>
      <c r="Q98" s="507">
        <f t="shared" si="8"/>
        <v>46692</v>
      </c>
      <c r="T98" s="344">
        <f ca="1">IF(ROUND(LOOKUP(Q98,Waterfalls!$6:$6,Waterfalls!$14:$14),0)&gt;0,1,0)*(D98+$H$4)</f>
        <v>0</v>
      </c>
      <c r="U98" s="508" t="str">
        <f ca="1">IF(T98&lt;&gt;0,LOOKUP(Q98,Waterfalls!$6:$6,Waterfalls!$14:$14),"")</f>
        <v/>
      </c>
      <c r="V98" s="508" t="str">
        <f ca="1">IF(T98&lt;&gt;0,-LOOKUP(Q98,Waterfalls!$6:$6,Waterfalls!$152:$152),"")</f>
        <v/>
      </c>
      <c r="X98" s="344">
        <f>IF(ROUND(LOOKUP($Q98,Waterfalls!$6:$6,Waterfalls!$21:$21),0)&gt;0,1,0)*($D98+$O$6)</f>
        <v>0</v>
      </c>
      <c r="Y98" s="508" t="str">
        <f>IF(X98&lt;&gt;0,LOOKUP($Q98,Waterfalls!$6:$6,Waterfalls!$21:$21),"")</f>
        <v/>
      </c>
      <c r="Z98" s="508" t="str">
        <f>IF(X98&lt;&gt;0,-LOOKUP($Q98,Waterfalls!$6:$6,Waterfalls!$153:$153),"")</f>
        <v/>
      </c>
    </row>
    <row r="99" spans="1:26" x14ac:dyDescent="0.3">
      <c r="A99" s="761">
        <f>IF(B99&gt;=DevBdgt!$E$7,LOOKUP(B99,DevBdgt!$7:$7,DevBdgt!$6:$6),"")</f>
        <v>3</v>
      </c>
      <c r="B99" s="507">
        <f t="shared" si="7"/>
        <v>46722</v>
      </c>
      <c r="C99" s="7">
        <v>2.8796100000000002E-2</v>
      </c>
      <c r="D99" s="1145">
        <f t="shared" si="5"/>
        <v>2.8796100000000002E-2</v>
      </c>
      <c r="J99" s="1133">
        <v>47940</v>
      </c>
      <c r="K99" s="7">
        <v>4.1786200000000003E-2</v>
      </c>
      <c r="L99" s="507" t="str">
        <f t="shared" si="6"/>
        <v/>
      </c>
      <c r="Q99" s="507">
        <f t="shared" si="8"/>
        <v>46722</v>
      </c>
      <c r="T99" s="344">
        <f ca="1">IF(ROUND(LOOKUP(Q99,Waterfalls!$6:$6,Waterfalls!$14:$14),0)&gt;0,1,0)*(D99+$H$4)</f>
        <v>0</v>
      </c>
      <c r="U99" s="508" t="str">
        <f ca="1">IF(T99&lt;&gt;0,LOOKUP(Q99,Waterfalls!$6:$6,Waterfalls!$14:$14),"")</f>
        <v/>
      </c>
      <c r="V99" s="508" t="str">
        <f ca="1">IF(T99&lt;&gt;0,-LOOKUP(Q99,Waterfalls!$6:$6,Waterfalls!$152:$152),"")</f>
        <v/>
      </c>
      <c r="X99" s="344">
        <f>IF(ROUND(LOOKUP($Q99,Waterfalls!$6:$6,Waterfalls!$21:$21),0)&gt;0,1,0)*($D99+$O$6)</f>
        <v>0</v>
      </c>
      <c r="Y99" s="508" t="str">
        <f>IF(X99&lt;&gt;0,LOOKUP($Q99,Waterfalls!$6:$6,Waterfalls!$21:$21),"")</f>
        <v/>
      </c>
      <c r="Z99" s="508" t="str">
        <f>IF(X99&lt;&gt;0,-LOOKUP($Q99,Waterfalls!$6:$6,Waterfalls!$153:$153),"")</f>
        <v/>
      </c>
    </row>
    <row r="100" spans="1:26" x14ac:dyDescent="0.3">
      <c r="A100" s="761">
        <f>IF(B100&gt;=DevBdgt!$E$7,LOOKUP(B100,DevBdgt!$7:$7,DevBdgt!$6:$6),"")</f>
        <v>4</v>
      </c>
      <c r="B100" s="507">
        <f t="shared" si="7"/>
        <v>46753</v>
      </c>
      <c r="C100" s="7">
        <v>2.88297E-2</v>
      </c>
      <c r="D100" s="1145">
        <f t="shared" si="5"/>
        <v>2.88297E-2</v>
      </c>
      <c r="J100" s="1133">
        <v>47970</v>
      </c>
      <c r="K100" s="7">
        <v>4.18988E-2</v>
      </c>
      <c r="L100" s="507" t="str">
        <f t="shared" si="6"/>
        <v/>
      </c>
      <c r="Q100" s="507">
        <f t="shared" si="8"/>
        <v>46753</v>
      </c>
      <c r="T100" s="344">
        <f ca="1">IF(ROUND(LOOKUP(Q100,Waterfalls!$6:$6,Waterfalls!$14:$14),0)&gt;0,1,0)*(D100+$H$4)</f>
        <v>0</v>
      </c>
      <c r="U100" s="508" t="str">
        <f ca="1">IF(T100&lt;&gt;0,LOOKUP(Q100,Waterfalls!$6:$6,Waterfalls!$14:$14),"")</f>
        <v/>
      </c>
      <c r="V100" s="508" t="str">
        <f ca="1">IF(T100&lt;&gt;0,-LOOKUP(Q100,Waterfalls!$6:$6,Waterfalls!$152:$152),"")</f>
        <v/>
      </c>
      <c r="X100" s="344">
        <f>IF(ROUND(LOOKUP($Q100,Waterfalls!$6:$6,Waterfalls!$21:$21),0)&gt;0,1,0)*($D100+$O$6)</f>
        <v>0</v>
      </c>
      <c r="Y100" s="508" t="str">
        <f>IF(X100&lt;&gt;0,LOOKUP($Q100,Waterfalls!$6:$6,Waterfalls!$21:$21),"")</f>
        <v/>
      </c>
      <c r="Z100" s="508" t="str">
        <f>IF(X100&lt;&gt;0,-LOOKUP($Q100,Waterfalls!$6:$6,Waterfalls!$153:$153),"")</f>
        <v/>
      </c>
    </row>
    <row r="101" spans="1:26" x14ac:dyDescent="0.3">
      <c r="A101" s="761">
        <f>IF(B101&gt;=DevBdgt!$E$7,LOOKUP(B101,DevBdgt!$7:$7,DevBdgt!$6:$6),"")</f>
        <v>5</v>
      </c>
      <c r="B101" s="507">
        <f t="shared" si="7"/>
        <v>46784</v>
      </c>
      <c r="C101" s="7">
        <v>2.8857799999999999E-2</v>
      </c>
      <c r="D101" s="1145">
        <f t="shared" si="5"/>
        <v>2.8857799999999999E-2</v>
      </c>
      <c r="J101" s="1133">
        <v>48001</v>
      </c>
      <c r="K101" s="7">
        <v>4.2009999999999999E-2</v>
      </c>
      <c r="L101" s="507" t="str">
        <f t="shared" si="6"/>
        <v/>
      </c>
      <c r="Q101" s="507">
        <f t="shared" si="8"/>
        <v>46784</v>
      </c>
      <c r="T101" s="344">
        <f ca="1">IF(ROUND(LOOKUP(Q101,Waterfalls!$6:$6,Waterfalls!$14:$14),0)&gt;0,1,0)*(D101+$H$4)</f>
        <v>0</v>
      </c>
      <c r="U101" s="508" t="str">
        <f ca="1">IF(T101&lt;&gt;0,LOOKUP(Q101,Waterfalls!$6:$6,Waterfalls!$14:$14),"")</f>
        <v/>
      </c>
      <c r="V101" s="508" t="str">
        <f ca="1">IF(T101&lt;&gt;0,-LOOKUP(Q101,Waterfalls!$6:$6,Waterfalls!$152:$152),"")</f>
        <v/>
      </c>
      <c r="X101" s="344">
        <f>IF(ROUND(LOOKUP($Q101,Waterfalls!$6:$6,Waterfalls!$21:$21),0)&gt;0,1,0)*($D101+$O$6)</f>
        <v>0</v>
      </c>
      <c r="Y101" s="508" t="str">
        <f>IF(X101&lt;&gt;0,LOOKUP($Q101,Waterfalls!$6:$6,Waterfalls!$21:$21),"")</f>
        <v/>
      </c>
      <c r="Z101" s="508" t="str">
        <f>IF(X101&lt;&gt;0,-LOOKUP($Q101,Waterfalls!$6:$6,Waterfalls!$153:$153),"")</f>
        <v/>
      </c>
    </row>
    <row r="102" spans="1:26" x14ac:dyDescent="0.3">
      <c r="A102" s="761">
        <f>IF(B102&gt;=DevBdgt!$E$7,LOOKUP(B102,DevBdgt!$7:$7,DevBdgt!$6:$6),"")</f>
        <v>6</v>
      </c>
      <c r="B102" s="507">
        <f t="shared" si="7"/>
        <v>46813</v>
      </c>
      <c r="C102" s="7">
        <v>2.8891699999999999E-2</v>
      </c>
      <c r="D102" s="1145">
        <f t="shared" si="5"/>
        <v>2.8891699999999999E-2</v>
      </c>
      <c r="J102" s="1133">
        <v>48031</v>
      </c>
      <c r="K102" s="7">
        <v>4.2121899999999997E-2</v>
      </c>
      <c r="L102" s="507" t="str">
        <f t="shared" si="6"/>
        <v/>
      </c>
      <c r="Q102" s="507">
        <f t="shared" si="8"/>
        <v>46813</v>
      </c>
      <c r="T102" s="344">
        <f ca="1">IF(ROUND(LOOKUP(Q102,Waterfalls!$6:$6,Waterfalls!$14:$14),0)&gt;0,1,0)*(D102+$H$4)</f>
        <v>0</v>
      </c>
      <c r="U102" s="508" t="str">
        <f ca="1">IF(T102&lt;&gt;0,LOOKUP(Q102,Waterfalls!$6:$6,Waterfalls!$14:$14),"")</f>
        <v/>
      </c>
      <c r="V102" s="508" t="str">
        <f ca="1">IF(T102&lt;&gt;0,-LOOKUP(Q102,Waterfalls!$6:$6,Waterfalls!$152:$152),"")</f>
        <v/>
      </c>
      <c r="X102" s="344">
        <f>IF(ROUND(LOOKUP($Q102,Waterfalls!$6:$6,Waterfalls!$21:$21),0)&gt;0,1,0)*($D102+$O$6)</f>
        <v>0</v>
      </c>
      <c r="Y102" s="508" t="str">
        <f>IF(X102&lt;&gt;0,LOOKUP($Q102,Waterfalls!$6:$6,Waterfalls!$21:$21),"")</f>
        <v/>
      </c>
      <c r="Z102" s="508" t="str">
        <f>IF(X102&lt;&gt;0,-LOOKUP($Q102,Waterfalls!$6:$6,Waterfalls!$153:$153),"")</f>
        <v/>
      </c>
    </row>
    <row r="103" spans="1:26" x14ac:dyDescent="0.3">
      <c r="A103" s="761">
        <f>IF(B103&gt;=DevBdgt!$E$7,LOOKUP(B103,DevBdgt!$7:$7,DevBdgt!$6:$6),"")</f>
        <v>7</v>
      </c>
      <c r="B103" s="507">
        <f t="shared" si="7"/>
        <v>46844</v>
      </c>
      <c r="C103" s="7">
        <v>2.8918699999999999E-2</v>
      </c>
      <c r="D103" s="1145">
        <f t="shared" si="5"/>
        <v>2.8918699999999999E-2</v>
      </c>
      <c r="J103" s="1133">
        <v>48064</v>
      </c>
      <c r="K103" s="7">
        <v>4.2241599999999997E-2</v>
      </c>
      <c r="L103" s="507" t="str">
        <f t="shared" si="6"/>
        <v/>
      </c>
      <c r="Q103" s="507">
        <f t="shared" si="8"/>
        <v>46844</v>
      </c>
      <c r="T103" s="344">
        <f ca="1">IF(ROUND(LOOKUP(Q103,Waterfalls!$6:$6,Waterfalls!$14:$14),0)&gt;0,1,0)*(D103+$H$4)</f>
        <v>0</v>
      </c>
      <c r="U103" s="508" t="str">
        <f ca="1">IF(T103&lt;&gt;0,LOOKUP(Q103,Waterfalls!$6:$6,Waterfalls!$14:$14),"")</f>
        <v/>
      </c>
      <c r="V103" s="508" t="str">
        <f ca="1">IF(T103&lt;&gt;0,-LOOKUP(Q103,Waterfalls!$6:$6,Waterfalls!$152:$152),"")</f>
        <v/>
      </c>
      <c r="X103" s="344">
        <f>IF(ROUND(LOOKUP($Q103,Waterfalls!$6:$6,Waterfalls!$21:$21),0)&gt;0,1,0)*($D103+$O$6)</f>
        <v>0</v>
      </c>
      <c r="Y103" s="508" t="str">
        <f>IF(X103&lt;&gt;0,LOOKUP($Q103,Waterfalls!$6:$6,Waterfalls!$21:$21),"")</f>
        <v/>
      </c>
      <c r="Z103" s="508" t="str">
        <f>IF(X103&lt;&gt;0,-LOOKUP($Q103,Waterfalls!$6:$6,Waterfalls!$153:$153),"")</f>
        <v/>
      </c>
    </row>
    <row r="104" spans="1:26" x14ac:dyDescent="0.3">
      <c r="A104" s="761">
        <f>IF(B104&gt;=DevBdgt!$E$7,LOOKUP(B104,DevBdgt!$7:$7,DevBdgt!$6:$6),"")</f>
        <v>8</v>
      </c>
      <c r="B104" s="507">
        <f t="shared" si="7"/>
        <v>46874</v>
      </c>
      <c r="C104" s="7">
        <v>2.8946699999999999E-2</v>
      </c>
      <c r="D104" s="1145">
        <f t="shared" si="5"/>
        <v>2.8946699999999999E-2</v>
      </c>
      <c r="J104" s="1133">
        <v>48093</v>
      </c>
      <c r="K104" s="7">
        <v>4.2339399999999999E-2</v>
      </c>
      <c r="L104" s="507" t="str">
        <f t="shared" si="6"/>
        <v/>
      </c>
      <c r="Q104" s="507">
        <f t="shared" si="8"/>
        <v>46874</v>
      </c>
      <c r="T104" s="344">
        <f ca="1">IF(ROUND(LOOKUP(Q104,Waterfalls!$6:$6,Waterfalls!$14:$14),0)&gt;0,1,0)*(D104+$H$4)</f>
        <v>0</v>
      </c>
      <c r="U104" s="508" t="str">
        <f ca="1">IF(T104&lt;&gt;0,LOOKUP(Q104,Waterfalls!$6:$6,Waterfalls!$14:$14),"")</f>
        <v/>
      </c>
      <c r="V104" s="508" t="str">
        <f ca="1">IF(T104&lt;&gt;0,-LOOKUP(Q104,Waterfalls!$6:$6,Waterfalls!$152:$152),"")</f>
        <v/>
      </c>
      <c r="X104" s="344">
        <f>IF(ROUND(LOOKUP($Q104,Waterfalls!$6:$6,Waterfalls!$21:$21),0)&gt;0,1,0)*($D104+$O$6)</f>
        <v>0</v>
      </c>
      <c r="Y104" s="508" t="str">
        <f>IF(X104&lt;&gt;0,LOOKUP($Q104,Waterfalls!$6:$6,Waterfalls!$21:$21),"")</f>
        <v/>
      </c>
      <c r="Z104" s="508" t="str">
        <f>IF(X104&lt;&gt;0,-LOOKUP($Q104,Waterfalls!$6:$6,Waterfalls!$153:$153),"")</f>
        <v/>
      </c>
    </row>
    <row r="105" spans="1:26" x14ac:dyDescent="0.3">
      <c r="A105" s="761">
        <f>IF(B105&gt;=DevBdgt!$E$7,LOOKUP(B105,DevBdgt!$7:$7,DevBdgt!$6:$6),"")</f>
        <v>9</v>
      </c>
      <c r="B105" s="507">
        <f t="shared" si="7"/>
        <v>46905</v>
      </c>
      <c r="C105" s="7">
        <v>2.8975600000000001E-2</v>
      </c>
      <c r="D105" s="1145">
        <f t="shared" si="5"/>
        <v>2.8975600000000001E-2</v>
      </c>
      <c r="J105" s="1133">
        <v>48123</v>
      </c>
      <c r="K105" s="7">
        <v>4.2448899999999998E-2</v>
      </c>
      <c r="L105" s="507" t="str">
        <f t="shared" si="6"/>
        <v/>
      </c>
      <c r="Q105" s="507">
        <f t="shared" si="8"/>
        <v>46905</v>
      </c>
      <c r="T105" s="344">
        <f ca="1">IF(ROUND(LOOKUP(Q105,Waterfalls!$6:$6,Waterfalls!$14:$14),0)&gt;0,1,0)*(D105+$H$4)</f>
        <v>0</v>
      </c>
      <c r="U105" s="508" t="str">
        <f ca="1">IF(T105&lt;&gt;0,LOOKUP(Q105,Waterfalls!$6:$6,Waterfalls!$14:$14),"")</f>
        <v/>
      </c>
      <c r="V105" s="508" t="str">
        <f ca="1">IF(T105&lt;&gt;0,-LOOKUP(Q105,Waterfalls!$6:$6,Waterfalls!$152:$152),"")</f>
        <v/>
      </c>
      <c r="X105" s="344">
        <f>IF(ROUND(LOOKUP($Q105,Waterfalls!$6:$6,Waterfalls!$21:$21),0)&gt;0,1,0)*($D105+$O$6)</f>
        <v>0</v>
      </c>
      <c r="Y105" s="508" t="str">
        <f>IF(X105&lt;&gt;0,LOOKUP($Q105,Waterfalls!$6:$6,Waterfalls!$21:$21),"")</f>
        <v/>
      </c>
      <c r="Z105" s="508" t="str">
        <f>IF(X105&lt;&gt;0,-LOOKUP($Q105,Waterfalls!$6:$6,Waterfalls!$153:$153),"")</f>
        <v/>
      </c>
    </row>
    <row r="106" spans="1:26" x14ac:dyDescent="0.3">
      <c r="A106" s="761">
        <f>IF(B106&gt;=DevBdgt!$E$7,LOOKUP(B106,DevBdgt!$7:$7,DevBdgt!$6:$6),"")</f>
        <v>10</v>
      </c>
      <c r="B106" s="507">
        <f t="shared" si="7"/>
        <v>46935</v>
      </c>
      <c r="C106" s="7">
        <v>2.9005599999999999E-2</v>
      </c>
      <c r="D106" s="1145">
        <f t="shared" si="5"/>
        <v>2.9005599999999999E-2</v>
      </c>
      <c r="J106" s="1133">
        <v>48155</v>
      </c>
      <c r="K106" s="7">
        <v>4.2559399999999997E-2</v>
      </c>
      <c r="L106" s="507" t="str">
        <f t="shared" si="6"/>
        <v/>
      </c>
      <c r="Q106" s="507">
        <f t="shared" si="8"/>
        <v>46935</v>
      </c>
      <c r="T106" s="344">
        <f ca="1">IF(ROUND(LOOKUP(Q106,Waterfalls!$6:$6,Waterfalls!$14:$14),0)&gt;0,1,0)*(D106+$H$4)</f>
        <v>0</v>
      </c>
      <c r="U106" s="508" t="str">
        <f ca="1">IF(T106&lt;&gt;0,LOOKUP(Q106,Waterfalls!$6:$6,Waterfalls!$14:$14),"")</f>
        <v/>
      </c>
      <c r="V106" s="508" t="str">
        <f ca="1">IF(T106&lt;&gt;0,-LOOKUP(Q106,Waterfalls!$6:$6,Waterfalls!$152:$152),"")</f>
        <v/>
      </c>
      <c r="X106" s="344">
        <f>IF(ROUND(LOOKUP($Q106,Waterfalls!$6:$6,Waterfalls!$21:$21),0)&gt;0,1,0)*($D106+$O$6)</f>
        <v>0</v>
      </c>
      <c r="Y106" s="508" t="str">
        <f>IF(X106&lt;&gt;0,LOOKUP($Q106,Waterfalls!$6:$6,Waterfalls!$21:$21),"")</f>
        <v/>
      </c>
      <c r="Z106" s="508" t="str">
        <f>IF(X106&lt;&gt;0,-LOOKUP($Q106,Waterfalls!$6:$6,Waterfalls!$153:$153),"")</f>
        <v/>
      </c>
    </row>
    <row r="107" spans="1:26" x14ac:dyDescent="0.3">
      <c r="A107" s="761">
        <f>IF(B107&gt;=DevBdgt!$E$7,LOOKUP(B107,DevBdgt!$7:$7,DevBdgt!$6:$6),"")</f>
        <v>11</v>
      </c>
      <c r="B107" s="507">
        <f t="shared" si="7"/>
        <v>46966</v>
      </c>
      <c r="C107" s="7">
        <v>2.9040699999999999E-2</v>
      </c>
      <c r="D107" s="1145">
        <f t="shared" si="5"/>
        <v>2.9040699999999999E-2</v>
      </c>
      <c r="J107" s="1133">
        <v>48184</v>
      </c>
      <c r="K107" s="7">
        <v>4.2662899999999997E-2</v>
      </c>
      <c r="L107" s="507" t="str">
        <f t="shared" si="6"/>
        <v/>
      </c>
      <c r="Q107" s="507">
        <f t="shared" si="8"/>
        <v>46966</v>
      </c>
      <c r="T107" s="344">
        <f ca="1">IF(ROUND(LOOKUP(Q107,Waterfalls!$6:$6,Waterfalls!$14:$14),0)&gt;0,1,0)*(D107+$H$4)</f>
        <v>6.1540700000000004E-2</v>
      </c>
      <c r="U107" s="508">
        <f ca="1">IF(T107&lt;&gt;0,LOOKUP(Q107,Waterfalls!$6:$6,Waterfalls!$14:$14),"")</f>
        <v>1711728.34</v>
      </c>
      <c r="V107" s="508">
        <f ca="1">IF(T107&lt;&gt;0,-LOOKUP(Q107,Waterfalls!$6:$6,Waterfalls!$152:$152),"")</f>
        <v>9271.8618416666668</v>
      </c>
      <c r="X107" s="344">
        <f>IF(ROUND(LOOKUP($Q107,Waterfalls!$6:$6,Waterfalls!$21:$21),0)&gt;0,1,0)*($D107+$O$6)</f>
        <v>0</v>
      </c>
      <c r="Y107" s="508" t="str">
        <f>IF(X107&lt;&gt;0,LOOKUP($Q107,Waterfalls!$6:$6,Waterfalls!$21:$21),"")</f>
        <v/>
      </c>
      <c r="Z107" s="508" t="str">
        <f>IF(X107&lt;&gt;0,-LOOKUP($Q107,Waterfalls!$6:$6,Waterfalls!$153:$153),"")</f>
        <v/>
      </c>
    </row>
    <row r="108" spans="1:26" x14ac:dyDescent="0.3">
      <c r="A108" s="761">
        <f>IF(B108&gt;=DevBdgt!$E$7,LOOKUP(B108,DevBdgt!$7:$7,DevBdgt!$6:$6),"")</f>
        <v>12</v>
      </c>
      <c r="B108" s="507">
        <f t="shared" si="7"/>
        <v>46997</v>
      </c>
      <c r="C108" s="7">
        <v>2.9069299999999999E-2</v>
      </c>
      <c r="D108" s="1145">
        <f t="shared" si="5"/>
        <v>2.9069299999999999E-2</v>
      </c>
      <c r="J108" s="1133">
        <v>48215</v>
      </c>
      <c r="K108" s="7">
        <v>4.2766800000000001E-2</v>
      </c>
      <c r="L108" s="507" t="str">
        <f t="shared" si="6"/>
        <v/>
      </c>
      <c r="Q108" s="507">
        <f t="shared" si="8"/>
        <v>46997</v>
      </c>
      <c r="T108" s="344">
        <f ca="1">IF(ROUND(LOOKUP(Q108,Waterfalls!$6:$6,Waterfalls!$14:$14),0)&gt;0,1,0)*(D108+$H$4)</f>
        <v>6.15693E-2</v>
      </c>
      <c r="U108" s="508">
        <f ca="1">IF(T108&lt;&gt;0,LOOKUP(Q108,Waterfalls!$6:$6,Waterfalls!$14:$14),"")</f>
        <v>5697228.0930000003</v>
      </c>
      <c r="V108" s="508">
        <f ca="1">IF(T108&lt;&gt;0,-LOOKUP(Q108,Waterfalls!$6:$6,Waterfalls!$152:$152),"")</f>
        <v>30859.985503750006</v>
      </c>
      <c r="X108" s="344">
        <f>IF(ROUND(LOOKUP($Q108,Waterfalls!$6:$6,Waterfalls!$21:$21),0)&gt;0,1,0)*($D108+$O$6)</f>
        <v>0</v>
      </c>
      <c r="Y108" s="508" t="str">
        <f>IF(X108&lt;&gt;0,LOOKUP($Q108,Waterfalls!$6:$6,Waterfalls!$21:$21),"")</f>
        <v/>
      </c>
      <c r="Z108" s="508" t="str">
        <f>IF(X108&lt;&gt;0,-LOOKUP($Q108,Waterfalls!$6:$6,Waterfalls!$153:$153),"")</f>
        <v/>
      </c>
    </row>
    <row r="109" spans="1:26" x14ac:dyDescent="0.3">
      <c r="A109" s="761">
        <f>IF(B109&gt;=DevBdgt!$E$7,LOOKUP(B109,DevBdgt!$7:$7,DevBdgt!$6:$6),"")</f>
        <v>13</v>
      </c>
      <c r="B109" s="507">
        <f t="shared" si="7"/>
        <v>47027</v>
      </c>
      <c r="C109" s="7">
        <v>2.9099900000000001E-2</v>
      </c>
      <c r="D109" s="1145">
        <f t="shared" si="5"/>
        <v>2.9099900000000001E-2</v>
      </c>
      <c r="J109" s="1133">
        <v>48246</v>
      </c>
      <c r="K109" s="7">
        <v>4.2871399999999997E-2</v>
      </c>
      <c r="L109" s="507" t="str">
        <f t="shared" si="6"/>
        <v/>
      </c>
      <c r="Q109" s="507">
        <f t="shared" si="8"/>
        <v>47027</v>
      </c>
      <c r="T109" s="344">
        <f ca="1">IF(ROUND(LOOKUP(Q109,Waterfalls!$6:$6,Waterfalls!$14:$14),0)&gt;0,1,0)*(D109+$H$4)</f>
        <v>6.1599899999999999E-2</v>
      </c>
      <c r="U109" s="508">
        <f ca="1">IF(T109&lt;&gt;0,LOOKUP(Q109,Waterfalls!$6:$6,Waterfalls!$14:$14),"")</f>
        <v>9733199.8629999999</v>
      </c>
      <c r="V109" s="508">
        <f ca="1">IF(T109&lt;&gt;0,-LOOKUP(Q109,Waterfalls!$6:$6,Waterfalls!$152:$152),"")</f>
        <v>52721.499257916672</v>
      </c>
      <c r="X109" s="344">
        <f>IF(ROUND(LOOKUP($Q109,Waterfalls!$6:$6,Waterfalls!$21:$21),0)&gt;0,1,0)*($D109+$O$6)</f>
        <v>0</v>
      </c>
      <c r="Y109" s="508" t="str">
        <f>IF(X109&lt;&gt;0,LOOKUP($Q109,Waterfalls!$6:$6,Waterfalls!$21:$21),"")</f>
        <v/>
      </c>
      <c r="Z109" s="508" t="str">
        <f>IF(X109&lt;&gt;0,-LOOKUP($Q109,Waterfalls!$6:$6,Waterfalls!$153:$153),"")</f>
        <v/>
      </c>
    </row>
    <row r="110" spans="1:26" x14ac:dyDescent="0.3">
      <c r="A110" s="761">
        <f>IF(B110&gt;=DevBdgt!$E$7,LOOKUP(B110,DevBdgt!$7:$7,DevBdgt!$6:$6),"")</f>
        <v>14</v>
      </c>
      <c r="B110" s="507">
        <f t="shared" si="7"/>
        <v>47058</v>
      </c>
      <c r="C110" s="7">
        <v>2.9135899999999999E-2</v>
      </c>
      <c r="D110" s="1145">
        <f t="shared" si="5"/>
        <v>2.9135899999999999E-2</v>
      </c>
      <c r="J110" s="1133">
        <v>48275</v>
      </c>
      <c r="K110" s="7">
        <v>4.2960999999999999E-2</v>
      </c>
      <c r="L110" s="507" t="str">
        <f t="shared" si="6"/>
        <v/>
      </c>
      <c r="Q110" s="507">
        <f t="shared" si="8"/>
        <v>47058</v>
      </c>
      <c r="T110" s="344">
        <f ca="1">IF(ROUND(LOOKUP(Q110,Waterfalls!$6:$6,Waterfalls!$14:$14),0)&gt;0,1,0)*(D110+$H$4)</f>
        <v>6.16359E-2</v>
      </c>
      <c r="U110" s="508">
        <f ca="1">IF(T110&lt;&gt;0,LOOKUP(Q110,Waterfalls!$6:$6,Waterfalls!$14:$14),"")</f>
        <v>13808090.988</v>
      </c>
      <c r="V110" s="508">
        <f ca="1">IF(T110&lt;&gt;0,-LOOKUP(Q110,Waterfalls!$6:$6,Waterfalls!$152:$152),"")</f>
        <v>74793.826184999998</v>
      </c>
      <c r="X110" s="344">
        <f>IF(ROUND(LOOKUP($Q110,Waterfalls!$6:$6,Waterfalls!$21:$21),0)&gt;0,1,0)*($D110+$O$6)</f>
        <v>0</v>
      </c>
      <c r="Y110" s="508" t="str">
        <f>IF(X110&lt;&gt;0,LOOKUP($Q110,Waterfalls!$6:$6,Waterfalls!$21:$21),"")</f>
        <v/>
      </c>
      <c r="Z110" s="508" t="str">
        <f>IF(X110&lt;&gt;0,-LOOKUP($Q110,Waterfalls!$6:$6,Waterfalls!$153:$153),"")</f>
        <v/>
      </c>
    </row>
    <row r="111" spans="1:26" x14ac:dyDescent="0.3">
      <c r="A111" s="761">
        <f>IF(B111&gt;=DevBdgt!$E$7,LOOKUP(B111,DevBdgt!$7:$7,DevBdgt!$6:$6),"")</f>
        <v>15</v>
      </c>
      <c r="B111" s="507">
        <f t="shared" si="7"/>
        <v>47088</v>
      </c>
      <c r="C111" s="7">
        <v>2.9170700000000001E-2</v>
      </c>
      <c r="D111" s="1145">
        <f t="shared" si="5"/>
        <v>2.9170700000000001E-2</v>
      </c>
      <c r="J111" s="1133">
        <v>48306</v>
      </c>
      <c r="K111" s="7">
        <v>4.3059100000000003E-2</v>
      </c>
      <c r="L111" s="507" t="str">
        <f t="shared" si="6"/>
        <v/>
      </c>
      <c r="Q111" s="507">
        <f t="shared" si="8"/>
        <v>47088</v>
      </c>
      <c r="T111" s="344">
        <f ca="1">IF(ROUND(LOOKUP(Q111,Waterfalls!$6:$6,Waterfalls!$14:$14),0)&gt;0,1,0)*(D111+$H$4)</f>
        <v>6.1670700000000002E-2</v>
      </c>
      <c r="U111" s="508">
        <f ca="1">IF(T111&lt;&gt;0,LOOKUP(Q111,Waterfalls!$6:$6,Waterfalls!$14:$14),"")</f>
        <v>17622260.153000001</v>
      </c>
      <c r="V111" s="508">
        <f ca="1">IF(T111&lt;&gt;0,-LOOKUP(Q111,Waterfalls!$6:$6,Waterfalls!$152:$152),"")</f>
        <v>95453.90916208335</v>
      </c>
      <c r="X111" s="344">
        <f>IF(ROUND(LOOKUP($Q111,Waterfalls!$6:$6,Waterfalls!$21:$21),0)&gt;0,1,0)*($D111+$O$6)</f>
        <v>0</v>
      </c>
      <c r="Y111" s="508" t="str">
        <f>IF(X111&lt;&gt;0,LOOKUP($Q111,Waterfalls!$6:$6,Waterfalls!$21:$21),"")</f>
        <v/>
      </c>
      <c r="Z111" s="508" t="str">
        <f>IF(X111&lt;&gt;0,-LOOKUP($Q111,Waterfalls!$6:$6,Waterfalls!$153:$153),"")</f>
        <v/>
      </c>
    </row>
    <row r="112" spans="1:26" x14ac:dyDescent="0.3">
      <c r="A112" s="761">
        <f>IF(B112&gt;=DevBdgt!$E$7,LOOKUP(B112,DevBdgt!$7:$7,DevBdgt!$6:$6),"")</f>
        <v>16</v>
      </c>
      <c r="B112" s="507">
        <f t="shared" si="7"/>
        <v>47119</v>
      </c>
      <c r="C112" s="7">
        <v>2.92047E-2</v>
      </c>
      <c r="D112" s="1145">
        <f t="shared" si="5"/>
        <v>2.92047E-2</v>
      </c>
      <c r="J112" s="1133">
        <v>48337</v>
      </c>
      <c r="K112" s="7">
        <v>4.3159700000000002E-2</v>
      </c>
      <c r="L112" s="507" t="str">
        <f t="shared" si="6"/>
        <v/>
      </c>
      <c r="Q112" s="507">
        <f t="shared" si="8"/>
        <v>47119</v>
      </c>
      <c r="T112" s="344">
        <f ca="1">IF(ROUND(LOOKUP(Q112,Waterfalls!$6:$6,Waterfalls!$14:$14),0)&gt;0,1,0)*(D112+$H$4)</f>
        <v>6.1704700000000001E-2</v>
      </c>
      <c r="U112" s="508">
        <f ca="1">IF(T112&lt;&gt;0,LOOKUP(Q112,Waterfalls!$6:$6,Waterfalls!$14:$14),"")</f>
        <v>21329502.300000001</v>
      </c>
      <c r="V112" s="508">
        <f ca="1">IF(T112&lt;&gt;0,-LOOKUP(Q112,Waterfalls!$6:$6,Waterfalls!$152:$152),"")</f>
        <v>115534.80412500001</v>
      </c>
      <c r="X112" s="344">
        <f>IF(ROUND(LOOKUP($Q112,Waterfalls!$6:$6,Waterfalls!$21:$21),0)&gt;0,1,0)*($D112+$O$6)</f>
        <v>0</v>
      </c>
      <c r="Y112" s="508" t="str">
        <f>IF(X112&lt;&gt;0,LOOKUP($Q112,Waterfalls!$6:$6,Waterfalls!$21:$21),"")</f>
        <v/>
      </c>
      <c r="Z112" s="508" t="str">
        <f>IF(X112&lt;&gt;0,-LOOKUP($Q112,Waterfalls!$6:$6,Waterfalls!$153:$153),"")</f>
        <v/>
      </c>
    </row>
    <row r="113" spans="1:26" x14ac:dyDescent="0.3">
      <c r="A113" s="761">
        <f>IF(B113&gt;=DevBdgt!$E$7,LOOKUP(B113,DevBdgt!$7:$7,DevBdgt!$6:$6),"")</f>
        <v>17</v>
      </c>
      <c r="B113" s="507">
        <f t="shared" si="7"/>
        <v>47150</v>
      </c>
      <c r="C113" s="7">
        <v>2.92368E-2</v>
      </c>
      <c r="D113" s="1145">
        <f t="shared" si="5"/>
        <v>2.92368E-2</v>
      </c>
      <c r="J113" s="1133">
        <v>48367</v>
      </c>
      <c r="K113" s="7">
        <v>4.3249599999999999E-2</v>
      </c>
      <c r="L113" s="507" t="str">
        <f t="shared" si="6"/>
        <v/>
      </c>
      <c r="Q113" s="507">
        <f t="shared" si="8"/>
        <v>47150</v>
      </c>
      <c r="T113" s="344">
        <f ca="1">IF(ROUND(LOOKUP(Q113,Waterfalls!$6:$6,Waterfalls!$14:$14),0)&gt;0,1,0)*(D113+$H$4)</f>
        <v>6.1736800000000001E-2</v>
      </c>
      <c r="U113" s="508">
        <f ca="1">IF(T113&lt;&gt;0,LOOKUP(Q113,Waterfalls!$6:$6,Waterfalls!$14:$14),"")</f>
        <v>24768144.386</v>
      </c>
      <c r="V113" s="508">
        <f ca="1">IF(T113&lt;&gt;0,-LOOKUP(Q113,Waterfalls!$6:$6,Waterfalls!$152:$152),"")</f>
        <v>134160.78209083332</v>
      </c>
      <c r="X113" s="344">
        <f>IF(ROUND(LOOKUP($Q113,Waterfalls!$6:$6,Waterfalls!$21:$21),0)&gt;0,1,0)*($D113+$O$6)</f>
        <v>0</v>
      </c>
      <c r="Y113" s="508" t="str">
        <f>IF(X113&lt;&gt;0,LOOKUP($Q113,Waterfalls!$6:$6,Waterfalls!$21:$21),"")</f>
        <v/>
      </c>
      <c r="Z113" s="508" t="str">
        <f>IF(X113&lt;&gt;0,-LOOKUP($Q113,Waterfalls!$6:$6,Waterfalls!$153:$153),"")</f>
        <v/>
      </c>
    </row>
    <row r="114" spans="1:26" x14ac:dyDescent="0.3">
      <c r="A114" s="761">
        <f>IF(B114&gt;=DevBdgt!$E$7,LOOKUP(B114,DevBdgt!$7:$7,DevBdgt!$6:$6),"")</f>
        <v>18</v>
      </c>
      <c r="B114" s="507">
        <f t="shared" si="7"/>
        <v>47178</v>
      </c>
      <c r="C114" s="7">
        <v>2.9277000000000001E-2</v>
      </c>
      <c r="D114" s="1145">
        <f t="shared" si="5"/>
        <v>2.9277000000000001E-2</v>
      </c>
      <c r="J114" s="1133">
        <v>48397</v>
      </c>
      <c r="K114" s="7">
        <v>4.3341999999999999E-2</v>
      </c>
      <c r="L114" s="507" t="str">
        <f t="shared" si="6"/>
        <v/>
      </c>
      <c r="Q114" s="507">
        <f t="shared" si="8"/>
        <v>47178</v>
      </c>
      <c r="T114" s="344">
        <f ca="1">IF(ROUND(LOOKUP(Q114,Waterfalls!$6:$6,Waterfalls!$14:$14),0)&gt;0,1,0)*(D114+$H$4)</f>
        <v>6.1776999999999999E-2</v>
      </c>
      <c r="U114" s="508">
        <f ca="1">IF(T114&lt;&gt;0,LOOKUP(Q114,Waterfalls!$6:$6,Waterfalls!$14:$14),"")</f>
        <v>27869886.265000001</v>
      </c>
      <c r="V114" s="508">
        <f ca="1">IF(T114&lt;&gt;0,-LOOKUP(Q114,Waterfalls!$6:$6,Waterfalls!$152:$152),"")</f>
        <v>150961.88393541667</v>
      </c>
      <c r="X114" s="344">
        <f>IF(ROUND(LOOKUP($Q114,Waterfalls!$6:$6,Waterfalls!$21:$21),0)&gt;0,1,0)*($D114+$O$6)</f>
        <v>0</v>
      </c>
      <c r="Y114" s="508" t="str">
        <f>IF(X114&lt;&gt;0,LOOKUP($Q114,Waterfalls!$6:$6,Waterfalls!$21:$21),"")</f>
        <v/>
      </c>
      <c r="Z114" s="508" t="str">
        <f>IF(X114&lt;&gt;0,-LOOKUP($Q114,Waterfalls!$6:$6,Waterfalls!$153:$153),"")</f>
        <v/>
      </c>
    </row>
    <row r="115" spans="1:26" x14ac:dyDescent="0.3">
      <c r="A115" s="761">
        <f>IF(B115&gt;=DevBdgt!$E$7,LOOKUP(B115,DevBdgt!$7:$7,DevBdgt!$6:$6),"")</f>
        <v>19</v>
      </c>
      <c r="B115" s="507">
        <f t="shared" si="7"/>
        <v>47209</v>
      </c>
      <c r="C115" s="7">
        <v>2.93146E-2</v>
      </c>
      <c r="D115" s="1145">
        <f t="shared" si="5"/>
        <v>2.93146E-2</v>
      </c>
      <c r="J115" s="1133">
        <v>48428</v>
      </c>
      <c r="K115" s="7">
        <v>4.3431900000000002E-2</v>
      </c>
      <c r="L115" s="507" t="str">
        <f t="shared" si="6"/>
        <v/>
      </c>
      <c r="Q115" s="507">
        <f t="shared" si="8"/>
        <v>47209</v>
      </c>
      <c r="T115" s="344">
        <f ca="1">IF(ROUND(LOOKUP(Q115,Waterfalls!$6:$6,Waterfalls!$14:$14),0)&gt;0,1,0)*(D115+$H$4)</f>
        <v>6.1814599999999997E-2</v>
      </c>
      <c r="U115" s="508">
        <f ca="1">IF(T115&lt;&gt;0,LOOKUP(Q115,Waterfalls!$6:$6,Waterfalls!$14:$14),"")</f>
        <v>30955999.098000001</v>
      </c>
      <c r="V115" s="508">
        <f ca="1">IF(T115&lt;&gt;0,-LOOKUP(Q115,Waterfalls!$6:$6,Waterfalls!$152:$152),"")</f>
        <v>167678.32844750001</v>
      </c>
      <c r="X115" s="344">
        <f>IF(ROUND(LOOKUP($Q115,Waterfalls!$6:$6,Waterfalls!$21:$21),0)&gt;0,1,0)*($D115+$O$6)</f>
        <v>0</v>
      </c>
      <c r="Y115" s="508" t="str">
        <f>IF(X115&lt;&gt;0,LOOKUP($Q115,Waterfalls!$6:$6,Waterfalls!$21:$21),"")</f>
        <v/>
      </c>
      <c r="Z115" s="508" t="str">
        <f>IF(X115&lt;&gt;0,-LOOKUP($Q115,Waterfalls!$6:$6,Waterfalls!$153:$153),"")</f>
        <v/>
      </c>
    </row>
    <row r="116" spans="1:26" x14ac:dyDescent="0.3">
      <c r="A116" s="761">
        <f>IF(B116&gt;=DevBdgt!$E$7,LOOKUP(B116,DevBdgt!$7:$7,DevBdgt!$6:$6),"")</f>
        <v>20</v>
      </c>
      <c r="B116" s="507">
        <f t="shared" si="7"/>
        <v>47239</v>
      </c>
      <c r="C116" s="7">
        <v>2.93595E-2</v>
      </c>
      <c r="D116" s="1145">
        <f t="shared" si="5"/>
        <v>2.93595E-2</v>
      </c>
      <c r="J116" s="1133">
        <v>48459</v>
      </c>
      <c r="K116" s="7">
        <v>4.35112E-2</v>
      </c>
      <c r="L116" s="507" t="str">
        <f t="shared" si="6"/>
        <v/>
      </c>
      <c r="Q116" s="507">
        <f t="shared" si="8"/>
        <v>47239</v>
      </c>
      <c r="T116" s="344">
        <f ca="1">IF(ROUND(LOOKUP(Q116,Waterfalls!$6:$6,Waterfalls!$14:$14),0)&gt;0,1,0)*(D116+$H$4)</f>
        <v>6.1859499999999998E-2</v>
      </c>
      <c r="U116" s="508">
        <f ca="1">IF(T116&lt;&gt;0,LOOKUP(Q116,Waterfalls!$6:$6,Waterfalls!$14:$14),"")</f>
        <v>33796813.004000001</v>
      </c>
      <c r="V116" s="508">
        <f ca="1">IF(T116&lt;&gt;0,-LOOKUP(Q116,Waterfalls!$6:$6,Waterfalls!$152:$152),"")</f>
        <v>183066.07043833335</v>
      </c>
      <c r="X116" s="344">
        <f>IF(ROUND(LOOKUP($Q116,Waterfalls!$6:$6,Waterfalls!$21:$21),0)&gt;0,1,0)*($D116+$O$6)</f>
        <v>0</v>
      </c>
      <c r="Y116" s="508" t="str">
        <f>IF(X116&lt;&gt;0,LOOKUP($Q116,Waterfalls!$6:$6,Waterfalls!$21:$21),"")</f>
        <v/>
      </c>
      <c r="Z116" s="508" t="str">
        <f>IF(X116&lt;&gt;0,-LOOKUP($Q116,Waterfalls!$6:$6,Waterfalls!$153:$153),"")</f>
        <v/>
      </c>
    </row>
    <row r="117" spans="1:26" x14ac:dyDescent="0.3">
      <c r="A117" s="761">
        <f>IF(B117&gt;=DevBdgt!$E$7,LOOKUP(B117,DevBdgt!$7:$7,DevBdgt!$6:$6),"")</f>
        <v>21</v>
      </c>
      <c r="B117" s="507">
        <f t="shared" si="7"/>
        <v>47270</v>
      </c>
      <c r="C117" s="7">
        <v>2.9400099999999998E-2</v>
      </c>
      <c r="D117" s="1145">
        <f t="shared" si="5"/>
        <v>2.9400099999999998E-2</v>
      </c>
      <c r="J117" s="1133">
        <v>48491</v>
      </c>
      <c r="K117" s="7">
        <v>4.3599499999999999E-2</v>
      </c>
      <c r="L117" s="507" t="str">
        <f t="shared" si="6"/>
        <v/>
      </c>
      <c r="Q117" s="507">
        <f t="shared" si="8"/>
        <v>47270</v>
      </c>
      <c r="T117" s="344">
        <f ca="1">IF(ROUND(LOOKUP(Q117,Waterfalls!$6:$6,Waterfalls!$14:$14),0)&gt;0,1,0)*(D117+$H$4)</f>
        <v>6.19001E-2</v>
      </c>
      <c r="U117" s="508">
        <f ca="1">IF(T117&lt;&gt;0,LOOKUP(Q117,Waterfalls!$6:$6,Waterfalls!$14:$14),"")</f>
        <v>36204153.247000001</v>
      </c>
      <c r="V117" s="508">
        <f ca="1">IF(T117&lt;&gt;0,-LOOKUP(Q117,Waterfalls!$6:$6,Waterfalls!$152:$152),"")</f>
        <v>196105.83008791669</v>
      </c>
      <c r="X117" s="344">
        <f>IF(ROUND(LOOKUP($Q117,Waterfalls!$6:$6,Waterfalls!$21:$21),0)&gt;0,1,0)*($D117+$O$6)</f>
        <v>0</v>
      </c>
      <c r="Y117" s="508" t="str">
        <f>IF(X117&lt;&gt;0,LOOKUP($Q117,Waterfalls!$6:$6,Waterfalls!$21:$21),"")</f>
        <v/>
      </c>
      <c r="Z117" s="508" t="str">
        <f>IF(X117&lt;&gt;0,-LOOKUP($Q117,Waterfalls!$6:$6,Waterfalls!$153:$153),"")</f>
        <v/>
      </c>
    </row>
    <row r="118" spans="1:26" x14ac:dyDescent="0.3">
      <c r="A118" s="761">
        <f>IF(B118&gt;=DevBdgt!$E$7,LOOKUP(B118,DevBdgt!$7:$7,DevBdgt!$6:$6),"")</f>
        <v>22</v>
      </c>
      <c r="B118" s="507">
        <f t="shared" si="7"/>
        <v>47300</v>
      </c>
      <c r="C118" s="7">
        <v>2.9438700000000002E-2</v>
      </c>
      <c r="D118" s="1145">
        <f t="shared" si="5"/>
        <v>2.9438700000000002E-2</v>
      </c>
      <c r="J118" s="1133">
        <v>48520</v>
      </c>
      <c r="K118" s="7">
        <v>4.3671300000000003E-2</v>
      </c>
      <c r="L118" s="507" t="str">
        <f t="shared" si="6"/>
        <v/>
      </c>
      <c r="Q118" s="507">
        <f t="shared" si="8"/>
        <v>47300</v>
      </c>
      <c r="T118" s="344">
        <f ca="1">IF(ROUND(LOOKUP(Q118,Waterfalls!$6:$6,Waterfalls!$14:$14),0)&gt;0,1,0)*(D118+$H$4)</f>
        <v>6.1938699999999999E-2</v>
      </c>
      <c r="U118" s="508">
        <f ca="1">IF(T118&lt;&gt;0,LOOKUP(Q118,Waterfalls!$6:$6,Waterfalls!$14:$14),"")</f>
        <v>38271070.438000001</v>
      </c>
      <c r="V118" s="508">
        <f ca="1">IF(T118&lt;&gt;0,-LOOKUP(Q118,Waterfalls!$6:$6,Waterfalls!$152:$152),"")</f>
        <v>207301.63153916667</v>
      </c>
      <c r="X118" s="344">
        <f>IF(ROUND(LOOKUP($Q118,Waterfalls!$6:$6,Waterfalls!$21:$21),0)&gt;0,1,0)*($D118+$O$6)</f>
        <v>0</v>
      </c>
      <c r="Y118" s="508" t="str">
        <f>IF(X118&lt;&gt;0,LOOKUP($Q118,Waterfalls!$6:$6,Waterfalls!$21:$21),"")</f>
        <v/>
      </c>
      <c r="Z118" s="508" t="str">
        <f>IF(X118&lt;&gt;0,-LOOKUP($Q118,Waterfalls!$6:$6,Waterfalls!$153:$153),"")</f>
        <v/>
      </c>
    </row>
    <row r="119" spans="1:26" x14ac:dyDescent="0.3">
      <c r="A119" s="761">
        <f>IF(B119&gt;=DevBdgt!$E$7,LOOKUP(B119,DevBdgt!$7:$7,DevBdgt!$6:$6),"")</f>
        <v>23</v>
      </c>
      <c r="B119" s="507">
        <f t="shared" si="7"/>
        <v>47331</v>
      </c>
      <c r="C119" s="7">
        <v>2.9486399999999999E-2</v>
      </c>
      <c r="D119" s="1145">
        <f t="shared" si="5"/>
        <v>2.9486399999999999E-2</v>
      </c>
      <c r="J119" s="1133">
        <v>48550</v>
      </c>
      <c r="K119" s="7">
        <v>4.37472E-2</v>
      </c>
      <c r="L119" s="507" t="str">
        <f t="shared" si="6"/>
        <v/>
      </c>
      <c r="Q119" s="507">
        <f t="shared" si="8"/>
        <v>47331</v>
      </c>
      <c r="T119" s="344">
        <f ca="1">IF(ROUND(LOOKUP(Q119,Waterfalls!$6:$6,Waterfalls!$14:$14),0)&gt;0,1,0)*(D119+$H$4)</f>
        <v>6.1986399999999997E-2</v>
      </c>
      <c r="U119" s="508">
        <f ca="1">IF(T119&lt;&gt;0,LOOKUP(Q119,Waterfalls!$6:$6,Waterfalls!$14:$14),"")</f>
        <v>40007220.784000002</v>
      </c>
      <c r="V119" s="508">
        <f ca="1">IF(T119&lt;&gt;0,-LOOKUP(Q119,Waterfalls!$6:$6,Waterfalls!$152:$152),"")</f>
        <v>216705.7792466667</v>
      </c>
      <c r="X119" s="344">
        <f>IF(ROUND(LOOKUP($Q119,Waterfalls!$6:$6,Waterfalls!$21:$21),0)&gt;0,1,0)*($D119+$O$6)</f>
        <v>0</v>
      </c>
      <c r="Y119" s="508" t="str">
        <f>IF(X119&lt;&gt;0,LOOKUP($Q119,Waterfalls!$6:$6,Waterfalls!$21:$21),"")</f>
        <v/>
      </c>
      <c r="Z119" s="508" t="str">
        <f>IF(X119&lt;&gt;0,-LOOKUP($Q119,Waterfalls!$6:$6,Waterfalls!$153:$153),"")</f>
        <v/>
      </c>
    </row>
    <row r="120" spans="1:26" x14ac:dyDescent="0.3">
      <c r="A120" s="761">
        <f>IF(B120&gt;=DevBdgt!$E$7,LOOKUP(B120,DevBdgt!$7:$7,DevBdgt!$6:$6),"")</f>
        <v>24</v>
      </c>
      <c r="B120" s="507">
        <f t="shared" si="7"/>
        <v>47362</v>
      </c>
      <c r="C120" s="7">
        <v>2.95284E-2</v>
      </c>
      <c r="D120" s="1145">
        <f t="shared" si="5"/>
        <v>2.95284E-2</v>
      </c>
      <c r="J120" s="1133">
        <v>48582</v>
      </c>
      <c r="K120" s="7">
        <v>4.3818599999999999E-2</v>
      </c>
      <c r="L120" s="507" t="str">
        <f t="shared" si="6"/>
        <v/>
      </c>
      <c r="Q120" s="507">
        <f t="shared" si="8"/>
        <v>47362</v>
      </c>
      <c r="T120" s="344">
        <f ca="1">IF(ROUND(LOOKUP(Q120,Waterfalls!$6:$6,Waterfalls!$14:$14),0)&gt;0,1,0)*(D120+$H$4)</f>
        <v>6.2028399999999997E-2</v>
      </c>
      <c r="U120" s="508">
        <f ca="1">IF(T120&lt;&gt;0,LOOKUP(Q120,Waterfalls!$6:$6,Waterfalls!$14:$14),"")</f>
        <v>41209308.363000005</v>
      </c>
      <c r="V120" s="508">
        <f ca="1">IF(T120&lt;&gt;0,-LOOKUP(Q120,Waterfalls!$6:$6,Waterfalls!$152:$152),"")</f>
        <v>223217.08696625006</v>
      </c>
      <c r="X120" s="344">
        <f>IF(ROUND(LOOKUP($Q120,Waterfalls!$6:$6,Waterfalls!$21:$21),0)&gt;0,1,0)*($D120+$O$6)</f>
        <v>0</v>
      </c>
      <c r="Y120" s="508" t="str">
        <f>IF(X120&lt;&gt;0,LOOKUP($Q120,Waterfalls!$6:$6,Waterfalls!$21:$21),"")</f>
        <v/>
      </c>
      <c r="Z120" s="508" t="str">
        <f>IF(X120&lt;&gt;0,-LOOKUP($Q120,Waterfalls!$6:$6,Waterfalls!$153:$153),"")</f>
        <v/>
      </c>
    </row>
    <row r="121" spans="1:26" x14ac:dyDescent="0.3">
      <c r="A121" s="761">
        <f>IF(B121&gt;=DevBdgt!$E$7,LOOKUP(B121,DevBdgt!$7:$7,DevBdgt!$6:$6),"")</f>
        <v>25</v>
      </c>
      <c r="B121" s="507">
        <f t="shared" si="7"/>
        <v>47392</v>
      </c>
      <c r="C121" s="7">
        <v>2.9571799999999999E-2</v>
      </c>
      <c r="D121" s="1145">
        <f t="shared" si="5"/>
        <v>2.9571799999999999E-2</v>
      </c>
      <c r="J121" s="1133">
        <v>48612</v>
      </c>
      <c r="K121" s="7">
        <v>4.3883699999999998E-2</v>
      </c>
      <c r="L121" s="507" t="str">
        <f t="shared" si="6"/>
        <v/>
      </c>
      <c r="Q121" s="507">
        <f t="shared" si="8"/>
        <v>47392</v>
      </c>
      <c r="T121" s="344">
        <f ca="1">IF(ROUND(LOOKUP(Q121,Waterfalls!$6:$6,Waterfalls!$14:$14),0)&gt;0,1,0)*(D121+$H$4)</f>
        <v>6.2071799999999996E-2</v>
      </c>
      <c r="U121" s="508">
        <f ca="1">IF(T121&lt;&gt;0,LOOKUP(Q121,Waterfalls!$6:$6,Waterfalls!$14:$14),"")</f>
        <v>42200089.103000008</v>
      </c>
      <c r="V121" s="508">
        <f ca="1">IF(T121&lt;&gt;0,-LOOKUP(Q121,Waterfalls!$6:$6,Waterfalls!$152:$152),"")</f>
        <v>228583.81597458338</v>
      </c>
      <c r="X121" s="344">
        <f>IF(ROUND(LOOKUP($Q121,Waterfalls!$6:$6,Waterfalls!$21:$21),0)&gt;0,1,0)*($D121+$O$6)</f>
        <v>0</v>
      </c>
      <c r="Y121" s="508" t="str">
        <f>IF(X121&lt;&gt;0,LOOKUP($Q121,Waterfalls!$6:$6,Waterfalls!$21:$21),"")</f>
        <v/>
      </c>
      <c r="Z121" s="508" t="str">
        <f>IF(X121&lt;&gt;0,-LOOKUP($Q121,Waterfalls!$6:$6,Waterfalls!$153:$153),"")</f>
        <v/>
      </c>
    </row>
    <row r="122" spans="1:26" x14ac:dyDescent="0.3">
      <c r="A122" s="761">
        <f>IF(B122&gt;=DevBdgt!$E$7,LOOKUP(B122,DevBdgt!$7:$7,DevBdgt!$6:$6),"")</f>
        <v>26</v>
      </c>
      <c r="B122" s="507">
        <f t="shared" si="7"/>
        <v>47423</v>
      </c>
      <c r="C122" s="7">
        <v>2.9618800000000001E-2</v>
      </c>
      <c r="D122" s="1145">
        <f t="shared" si="5"/>
        <v>2.9618800000000001E-2</v>
      </c>
      <c r="J122" s="1133">
        <v>48640</v>
      </c>
      <c r="K122" s="7">
        <v>4.3949299999999997E-2</v>
      </c>
      <c r="L122" s="507" t="str">
        <f t="shared" si="6"/>
        <v/>
      </c>
      <c r="Q122" s="507">
        <f t="shared" si="8"/>
        <v>47423</v>
      </c>
      <c r="T122" s="344">
        <f ca="1">IF(ROUND(LOOKUP(Q122,Waterfalls!$6:$6,Waterfalls!$14:$14),0)&gt;0,1,0)*(D122+$H$4)</f>
        <v>6.2118800000000002E-2</v>
      </c>
      <c r="U122" s="508">
        <f ca="1">IF(T122&lt;&gt;0,LOOKUP(Q122,Waterfalls!$6:$6,Waterfalls!$14:$14),"")</f>
        <v>42877793.387000009</v>
      </c>
      <c r="V122" s="508">
        <f ca="1">IF(T122&lt;&gt;0,-LOOKUP(Q122,Waterfalls!$6:$6,Waterfalls!$152:$152),"")</f>
        <v>232254.71417958339</v>
      </c>
      <c r="X122" s="344">
        <f>IF(ROUND(LOOKUP($Q122,Waterfalls!$6:$6,Waterfalls!$21:$21),0)&gt;0,1,0)*($D122+$O$6)</f>
        <v>0</v>
      </c>
      <c r="Y122" s="508" t="str">
        <f>IF(X122&lt;&gt;0,LOOKUP($Q122,Waterfalls!$6:$6,Waterfalls!$21:$21),"")</f>
        <v/>
      </c>
      <c r="Z122" s="508" t="str">
        <f>IF(X122&lt;&gt;0,-LOOKUP($Q122,Waterfalls!$6:$6,Waterfalls!$153:$153),"")</f>
        <v/>
      </c>
    </row>
    <row r="123" spans="1:26" x14ac:dyDescent="0.3">
      <c r="A123" s="761">
        <f>IF(B123&gt;=DevBdgt!$E$7,LOOKUP(B123,DevBdgt!$7:$7,DevBdgt!$6:$6),"")</f>
        <v>27</v>
      </c>
      <c r="B123" s="507">
        <f t="shared" si="7"/>
        <v>47453</v>
      </c>
      <c r="C123" s="7">
        <v>2.96669E-2</v>
      </c>
      <c r="D123" s="1145">
        <f t="shared" si="5"/>
        <v>2.96669E-2</v>
      </c>
      <c r="J123" s="1133">
        <v>48673</v>
      </c>
      <c r="K123" s="7">
        <v>4.4009E-2</v>
      </c>
      <c r="L123" s="507" t="str">
        <f t="shared" si="6"/>
        <v/>
      </c>
      <c r="Q123" s="507">
        <f t="shared" si="8"/>
        <v>47453</v>
      </c>
      <c r="T123" s="344">
        <f ca="1">IF(ROUND(LOOKUP(Q123,Waterfalls!$6:$6,Waterfalls!$14:$14),0)&gt;0,1,0)*(D123+$H$4)</f>
        <v>6.2166899999999997E-2</v>
      </c>
      <c r="U123" s="508">
        <f ca="1">IF(T123&lt;&gt;0,LOOKUP(Q123,Waterfalls!$6:$6,Waterfalls!$14:$14),"")</f>
        <v>42877793.387000009</v>
      </c>
      <c r="V123" s="508">
        <f ca="1">IF(T123&lt;&gt;0,-LOOKUP(Q123,Waterfalls!$6:$6,Waterfalls!$152:$152),"")</f>
        <v>232254.71417958339</v>
      </c>
      <c r="X123" s="344">
        <f>IF(ROUND(LOOKUP($Q123,Waterfalls!$6:$6,Waterfalls!$21:$21),0)&gt;0,1,0)*($D123+$O$6)</f>
        <v>0</v>
      </c>
      <c r="Y123" s="508" t="str">
        <f>IF(X123&lt;&gt;0,LOOKUP($Q123,Waterfalls!$6:$6,Waterfalls!$21:$21),"")</f>
        <v/>
      </c>
      <c r="Z123" s="508" t="str">
        <f>IF(X123&lt;&gt;0,-LOOKUP($Q123,Waterfalls!$6:$6,Waterfalls!$153:$153),"")</f>
        <v/>
      </c>
    </row>
    <row r="124" spans="1:26" x14ac:dyDescent="0.3">
      <c r="A124" s="761">
        <f>IF(B124&gt;=DevBdgt!$E$7,LOOKUP(B124,DevBdgt!$7:$7,DevBdgt!$6:$6),"")</f>
        <v>28</v>
      </c>
      <c r="B124" s="507">
        <f t="shared" si="7"/>
        <v>47484</v>
      </c>
      <c r="C124" s="7">
        <v>2.9718499999999998E-2</v>
      </c>
      <c r="D124" s="1145">
        <f t="shared" si="5"/>
        <v>2.9718499999999998E-2</v>
      </c>
      <c r="J124" s="1133">
        <v>48701</v>
      </c>
      <c r="K124" s="7">
        <v>4.4060599999999998E-2</v>
      </c>
      <c r="L124" s="507" t="str">
        <f t="shared" si="6"/>
        <v/>
      </c>
      <c r="Q124" s="507">
        <f t="shared" si="8"/>
        <v>47484</v>
      </c>
      <c r="T124" s="344">
        <f ca="1">IF(ROUND(LOOKUP(Q124,Waterfalls!$6:$6,Waterfalls!$14:$14),0)&gt;0,1,0)*(D124+$H$4)</f>
        <v>6.2218499999999996E-2</v>
      </c>
      <c r="U124" s="508">
        <f ca="1">IF(T124&lt;&gt;0,LOOKUP(Q124,Waterfalls!$6:$6,Waterfalls!$14:$14),"")</f>
        <v>42877793.387000009</v>
      </c>
      <c r="V124" s="508">
        <f ca="1">IF(T124&lt;&gt;0,-LOOKUP(Q124,Waterfalls!$6:$6,Waterfalls!$152:$152),"")</f>
        <v>232254.71417958339</v>
      </c>
      <c r="X124" s="344">
        <f>IF(ROUND(LOOKUP($Q124,Waterfalls!$6:$6,Waterfalls!$21:$21),0)&gt;0,1,0)*($D124+$O$6)</f>
        <v>0</v>
      </c>
      <c r="Y124" s="508" t="str">
        <f>IF(X124&lt;&gt;0,LOOKUP($Q124,Waterfalls!$6:$6,Waterfalls!$21:$21),"")</f>
        <v/>
      </c>
      <c r="Z124" s="508" t="str">
        <f>IF(X124&lt;&gt;0,-LOOKUP($Q124,Waterfalls!$6:$6,Waterfalls!$153:$153),"")</f>
        <v/>
      </c>
    </row>
    <row r="125" spans="1:26" x14ac:dyDescent="0.3">
      <c r="A125" s="761">
        <f>IF(B125&gt;=DevBdgt!$E$7,LOOKUP(B125,DevBdgt!$7:$7,DevBdgt!$6:$6),"")</f>
        <v>29</v>
      </c>
      <c r="B125" s="507">
        <f t="shared" si="7"/>
        <v>47515</v>
      </c>
      <c r="C125" s="7">
        <v>2.9761800000000001E-2</v>
      </c>
      <c r="D125" s="1145">
        <f t="shared" si="5"/>
        <v>2.9761800000000001E-2</v>
      </c>
      <c r="Q125" s="507">
        <f t="shared" si="8"/>
        <v>47515</v>
      </c>
      <c r="T125" s="344">
        <f ca="1">IF(ROUND(LOOKUP(Q125,Waterfalls!$6:$6,Waterfalls!$14:$14),0)&gt;0,1,0)*(D125+$H$4)</f>
        <v>6.2261800000000006E-2</v>
      </c>
      <c r="U125" s="508">
        <f ca="1">IF(T125&lt;&gt;0,LOOKUP(Q125,Waterfalls!$6:$6,Waterfalls!$14:$14),"")</f>
        <v>42877793.387000009</v>
      </c>
      <c r="V125" s="508">
        <f ca="1">IF(T125&lt;&gt;0,-LOOKUP(Q125,Waterfalls!$6:$6,Waterfalls!$152:$152),"")</f>
        <v>232254.71417958339</v>
      </c>
      <c r="X125" s="344">
        <f>IF(ROUND(LOOKUP($Q125,Waterfalls!$6:$6,Waterfalls!$21:$21),0)&gt;0,1,0)*($D125+$O$6)</f>
        <v>0</v>
      </c>
      <c r="Y125" s="508" t="str">
        <f>IF(X125&lt;&gt;0,LOOKUP($Q125,Waterfalls!$6:$6,Waterfalls!$21:$21),"")</f>
        <v/>
      </c>
      <c r="Z125" s="508" t="str">
        <f>IF(X125&lt;&gt;0,-LOOKUP($Q125,Waterfalls!$6:$6,Waterfalls!$153:$153),"")</f>
        <v/>
      </c>
    </row>
    <row r="126" spans="1:26" x14ac:dyDescent="0.3">
      <c r="A126" s="761">
        <f>IF(B126&gt;=DevBdgt!$E$7,LOOKUP(B126,DevBdgt!$7:$7,DevBdgt!$6:$6),"")</f>
        <v>30</v>
      </c>
      <c r="B126" s="507">
        <f t="shared" si="7"/>
        <v>47543</v>
      </c>
      <c r="C126" s="7">
        <v>2.9814299999999998E-2</v>
      </c>
      <c r="D126" s="1145">
        <f t="shared" si="5"/>
        <v>2.9814299999999998E-2</v>
      </c>
      <c r="Q126" s="507">
        <f t="shared" si="8"/>
        <v>47543</v>
      </c>
      <c r="T126" s="344">
        <f ca="1">IF(ROUND(LOOKUP(Q126,Waterfalls!$6:$6,Waterfalls!$14:$14),0)&gt;0,1,0)*(D126+$H$4)</f>
        <v>0</v>
      </c>
      <c r="U126" s="508" t="str">
        <f ca="1">IF(T126&lt;&gt;0,LOOKUP(Q126,Waterfalls!$6:$6,Waterfalls!$14:$14),"")</f>
        <v/>
      </c>
      <c r="V126" s="508" t="str">
        <f ca="1">IF(T126&lt;&gt;0,-LOOKUP(Q126,Waterfalls!$6:$6,Waterfalls!$152:$152),"")</f>
        <v/>
      </c>
      <c r="X126" s="344">
        <f ca="1">IF(ROUND(LOOKUP($Q126,Waterfalls!$6:$6,Waterfalls!$21:$21),0)&gt;0,1,0)*($D126+$O$6)</f>
        <v>5.2314299999999994E-2</v>
      </c>
      <c r="Y126" s="508">
        <f ca="1">IF(X126&lt;&gt;0,LOOKUP($Q126,Waterfalls!$6:$6,Waterfalls!$21:$21),"")</f>
        <v>43199376.838609651</v>
      </c>
      <c r="Z126" s="508">
        <f ca="1">IF(X126&lt;&gt;0,-LOOKUP($Q126,Waterfalls!$6:$6,Waterfalls!$153:$153),"")</f>
        <v>266507.95792204805</v>
      </c>
    </row>
    <row r="127" spans="1:26" x14ac:dyDescent="0.3">
      <c r="A127" s="761">
        <f>IF(B127&gt;=DevBdgt!$E$7,LOOKUP(B127,DevBdgt!$7:$7,DevBdgt!$6:$6),"")</f>
        <v>31</v>
      </c>
      <c r="B127" s="507">
        <f t="shared" si="7"/>
        <v>47574</v>
      </c>
      <c r="C127" s="7">
        <v>2.9861100000000002E-2</v>
      </c>
      <c r="D127" s="1145">
        <f t="shared" si="5"/>
        <v>2.9861100000000002E-2</v>
      </c>
      <c r="Q127" s="507">
        <f t="shared" si="8"/>
        <v>47574</v>
      </c>
      <c r="T127" s="344">
        <f ca="1">IF(ROUND(LOOKUP(Q127,Waterfalls!$6:$6,Waterfalls!$14:$14),0)&gt;0,1,0)*(D127+$H$4)</f>
        <v>0</v>
      </c>
      <c r="U127" s="508" t="str">
        <f ca="1">IF(T127&lt;&gt;0,LOOKUP(Q127,Waterfalls!$6:$6,Waterfalls!$14:$14),"")</f>
        <v/>
      </c>
      <c r="V127" s="508" t="str">
        <f ca="1">IF(T127&lt;&gt;0,-LOOKUP(Q127,Waterfalls!$6:$6,Waterfalls!$152:$152),"")</f>
        <v/>
      </c>
      <c r="X127" s="344">
        <f ca="1">IF(ROUND(LOOKUP($Q127,Waterfalls!$6:$6,Waterfalls!$21:$21),0)&gt;0,1,0)*($D127+$O$6)</f>
        <v>5.2361100000000001E-2</v>
      </c>
      <c r="Y127" s="508">
        <f ca="1">IF(X127&lt;&gt;0,LOOKUP($Q127,Waterfalls!$6:$6,Waterfalls!$21:$21),"")</f>
        <v>43158534.145411938</v>
      </c>
      <c r="Z127" s="508">
        <f ca="1">IF(X127&lt;&gt;0,-LOOKUP($Q127,Waterfalls!$6:$6,Waterfalls!$153:$153),"")</f>
        <v>266507.95792204805</v>
      </c>
    </row>
    <row r="128" spans="1:26" x14ac:dyDescent="0.3">
      <c r="A128" s="761">
        <f>IF(B128&gt;=DevBdgt!$E$7,LOOKUP(B128,DevBdgt!$7:$7,DevBdgt!$6:$6),"")</f>
        <v>32</v>
      </c>
      <c r="B128" s="507">
        <f t="shared" si="7"/>
        <v>47604</v>
      </c>
      <c r="C128" s="7">
        <v>2.9916700000000001E-2</v>
      </c>
      <c r="D128" s="1145">
        <f t="shared" si="5"/>
        <v>2.9916700000000001E-2</v>
      </c>
      <c r="Q128" s="507">
        <f t="shared" si="8"/>
        <v>47604</v>
      </c>
      <c r="T128" s="344">
        <f ca="1">IF(ROUND(LOOKUP(Q128,Waterfalls!$6:$6,Waterfalls!$14:$14),0)&gt;0,1,0)*(D128+$H$4)</f>
        <v>0</v>
      </c>
      <c r="U128" s="508" t="str">
        <f ca="1">IF(T128&lt;&gt;0,LOOKUP(Q128,Waterfalls!$6:$6,Waterfalls!$14:$14),"")</f>
        <v/>
      </c>
      <c r="V128" s="508" t="str">
        <f ca="1">IF(T128&lt;&gt;0,-LOOKUP(Q128,Waterfalls!$6:$6,Waterfalls!$152:$152),"")</f>
        <v/>
      </c>
      <c r="X128" s="344">
        <f ca="1">IF(ROUND(LOOKUP($Q128,Waterfalls!$6:$6,Waterfalls!$21:$21),0)&gt;0,1,0)*($D128+$O$6)</f>
        <v>5.2416699999999997E-2</v>
      </c>
      <c r="Y128" s="508">
        <f ca="1">IF(X128&lt;&gt;0,LOOKUP($Q128,Waterfalls!$6:$6,Waterfalls!$21:$21),"")</f>
        <v>43117478.097813144</v>
      </c>
      <c r="Z128" s="508">
        <f ca="1">IF(X128&lt;&gt;0,-LOOKUP($Q128,Waterfalls!$6:$6,Waterfalls!$153:$153),"")</f>
        <v>266507.95792204805</v>
      </c>
    </row>
    <row r="129" spans="1:26" x14ac:dyDescent="0.3">
      <c r="A129" s="761">
        <f>IF(B129&gt;=DevBdgt!$E$7,LOOKUP(B129,DevBdgt!$7:$7,DevBdgt!$6:$6),"")</f>
        <v>33</v>
      </c>
      <c r="B129" s="507">
        <f t="shared" si="7"/>
        <v>47635</v>
      </c>
      <c r="C129" s="7">
        <v>2.9967400000000002E-2</v>
      </c>
      <c r="D129" s="1145">
        <f t="shared" si="5"/>
        <v>2.9967400000000002E-2</v>
      </c>
      <c r="Q129" s="507">
        <f t="shared" si="8"/>
        <v>47635</v>
      </c>
      <c r="T129" s="344">
        <f ca="1">IF(ROUND(LOOKUP(Q129,Waterfalls!$6:$6,Waterfalls!$14:$14),0)&gt;0,1,0)*(D129+$H$4)</f>
        <v>0</v>
      </c>
      <c r="U129" s="508" t="str">
        <f ca="1">IF(T129&lt;&gt;0,LOOKUP(Q129,Waterfalls!$6:$6,Waterfalls!$14:$14),"")</f>
        <v/>
      </c>
      <c r="V129" s="508" t="str">
        <f ca="1">IF(T129&lt;&gt;0,-LOOKUP(Q129,Waterfalls!$6:$6,Waterfalls!$152:$152),"")</f>
        <v/>
      </c>
      <c r="X129" s="344">
        <f ca="1">IF(ROUND(LOOKUP($Q129,Waterfalls!$6:$6,Waterfalls!$21:$21),0)&gt;0,1,0)*($D129+$O$6)</f>
        <v>5.2467399999999997E-2</v>
      </c>
      <c r="Y129" s="508">
        <f ca="1">IF(X129&lt;&gt;0,LOOKUP($Q129,Waterfalls!$6:$6,Waterfalls!$21:$21),"")</f>
        <v>43076207.581290767</v>
      </c>
      <c r="Z129" s="508">
        <f ca="1">IF(X129&lt;&gt;0,-LOOKUP($Q129,Waterfalls!$6:$6,Waterfalls!$153:$153),"")</f>
        <v>266507.95792204805</v>
      </c>
    </row>
    <row r="130" spans="1:26" x14ac:dyDescent="0.3">
      <c r="A130" s="761">
        <f>IF(B130&gt;=DevBdgt!$E$7,LOOKUP(B130,DevBdgt!$7:$7,DevBdgt!$6:$6),"")</f>
        <v>34</v>
      </c>
      <c r="B130" s="507">
        <f t="shared" si="7"/>
        <v>47665</v>
      </c>
      <c r="C130" s="7">
        <v>3.0019199999999999E-2</v>
      </c>
      <c r="D130" s="1145">
        <f t="shared" si="5"/>
        <v>3.0019199999999999E-2</v>
      </c>
      <c r="Q130" s="507">
        <f t="shared" si="8"/>
        <v>47665</v>
      </c>
      <c r="T130" s="344">
        <f ca="1">IF(ROUND(LOOKUP(Q130,Waterfalls!$6:$6,Waterfalls!$14:$14),0)&gt;0,1,0)*(D130+$H$4)</f>
        <v>0</v>
      </c>
      <c r="U130" s="508" t="str">
        <f ca="1">IF(T130&lt;&gt;0,LOOKUP(Q130,Waterfalls!$6:$6,Waterfalls!$14:$14),"")</f>
        <v/>
      </c>
      <c r="V130" s="508" t="str">
        <f ca="1">IF(T130&lt;&gt;0,-LOOKUP(Q130,Waterfalls!$6:$6,Waterfalls!$152:$152),"")</f>
        <v/>
      </c>
      <c r="X130" s="344">
        <f ca="1">IF(ROUND(LOOKUP($Q130,Waterfalls!$6:$6,Waterfalls!$21:$21),0)&gt;0,1,0)*($D130+$O$6)</f>
        <v>5.2519200000000002E-2</v>
      </c>
      <c r="Y130" s="508">
        <f ca="1">IF(X130&lt;&gt;0,LOOKUP($Q130,Waterfalls!$6:$6,Waterfalls!$21:$21),"")</f>
        <v>43034721.475500263</v>
      </c>
      <c r="Z130" s="508">
        <f ca="1">IF(X130&lt;&gt;0,-LOOKUP($Q130,Waterfalls!$6:$6,Waterfalls!$153:$153),"")</f>
        <v>266507.95792204805</v>
      </c>
    </row>
    <row r="131" spans="1:26" x14ac:dyDescent="0.3">
      <c r="A131" s="761">
        <f>IF(B131&gt;=DevBdgt!$E$7,LOOKUP(B131,DevBdgt!$7:$7,DevBdgt!$6:$6),"")</f>
        <v>35</v>
      </c>
      <c r="B131" s="507">
        <f t="shared" si="7"/>
        <v>47696</v>
      </c>
      <c r="C131" s="7">
        <v>3.0074300000000002E-2</v>
      </c>
      <c r="D131" s="1145">
        <f t="shared" si="5"/>
        <v>3.0074300000000002E-2</v>
      </c>
      <c r="Q131" s="507">
        <f t="shared" si="8"/>
        <v>47696</v>
      </c>
      <c r="T131" s="344">
        <f ca="1">IF(ROUND(LOOKUP(Q131,Waterfalls!$6:$6,Waterfalls!$14:$14),0)&gt;0,1,0)*(D131+$H$4)</f>
        <v>0</v>
      </c>
      <c r="U131" s="508" t="str">
        <f ca="1">IF(T131&lt;&gt;0,LOOKUP(Q131,Waterfalls!$6:$6,Waterfalls!$14:$14),"")</f>
        <v/>
      </c>
      <c r="V131" s="508" t="str">
        <f ca="1">IF(T131&lt;&gt;0,-LOOKUP(Q131,Waterfalls!$6:$6,Waterfalls!$152:$152),"")</f>
        <v/>
      </c>
      <c r="X131" s="344">
        <f ca="1">IF(ROUND(LOOKUP($Q131,Waterfalls!$6:$6,Waterfalls!$21:$21),0)&gt;0,1,0)*($D131+$O$6)</f>
        <v>5.2574300000000004E-2</v>
      </c>
      <c r="Y131" s="508">
        <f ca="1">IF(X131&lt;&gt;0,LOOKUP($Q131,Waterfalls!$6:$6,Waterfalls!$21:$21),"")</f>
        <v>42993018.654244609</v>
      </c>
      <c r="Z131" s="508">
        <f ca="1">IF(X131&lt;&gt;0,-LOOKUP($Q131,Waterfalls!$6:$6,Waterfalls!$153:$153),"")</f>
        <v>266507.95792204805</v>
      </c>
    </row>
    <row r="132" spans="1:26" x14ac:dyDescent="0.3">
      <c r="A132" s="761">
        <f>IF(B132&gt;=DevBdgt!$E$7,LOOKUP(B132,DevBdgt!$7:$7,DevBdgt!$6:$6),"")</f>
        <v>36</v>
      </c>
      <c r="B132" s="507">
        <f t="shared" si="7"/>
        <v>47727</v>
      </c>
      <c r="C132" s="7">
        <v>3.0124700000000001E-2</v>
      </c>
      <c r="D132" s="1145">
        <f t="shared" ref="D132:D176" si="9">IF(C132=0,D131,IF(C132&lt;$H$5,$H$5,IF(AND($H$6&gt;0,C132&gt;$H$6),$H$6,C132)))</f>
        <v>3.0124700000000001E-2</v>
      </c>
      <c r="Q132" s="507">
        <f t="shared" si="8"/>
        <v>47727</v>
      </c>
      <c r="T132" s="344">
        <f ca="1">IF(ROUND(LOOKUP(Q132,Waterfalls!$6:$6,Waterfalls!$14:$14),0)&gt;0,1,0)*(D132+$H$4)</f>
        <v>0</v>
      </c>
      <c r="U132" s="508" t="str">
        <f ca="1">IF(T132&lt;&gt;0,LOOKUP(Q132,Waterfalls!$6:$6,Waterfalls!$14:$14),"")</f>
        <v/>
      </c>
      <c r="V132" s="508" t="str">
        <f ca="1">IF(T132&lt;&gt;0,-LOOKUP(Q132,Waterfalls!$6:$6,Waterfalls!$152:$152),"")</f>
        <v/>
      </c>
      <c r="X132" s="344">
        <f ca="1">IF(ROUND(LOOKUP($Q132,Waterfalls!$6:$6,Waterfalls!$21:$21),0)&gt;0,1,0)*($D132+$O$6)</f>
        <v>5.2624699999999996E-2</v>
      </c>
      <c r="Y132" s="508">
        <f ca="1">IF(X132&lt;&gt;0,LOOKUP($Q132,Waterfalls!$6:$6,Waterfalls!$21:$21),"")</f>
        <v>42951097.985443756</v>
      </c>
      <c r="Z132" s="508">
        <f ca="1">IF(X132&lt;&gt;0,-LOOKUP($Q132,Waterfalls!$6:$6,Waterfalls!$153:$153),"")</f>
        <v>266507.95792204805</v>
      </c>
    </row>
    <row r="133" spans="1:26" x14ac:dyDescent="0.3">
      <c r="A133" s="761">
        <f>IF(B133&gt;=DevBdgt!$E$7,LOOKUP(B133,DevBdgt!$7:$7,DevBdgt!$6:$6),"")</f>
        <v>37</v>
      </c>
      <c r="B133" s="507">
        <f t="shared" si="7"/>
        <v>47757</v>
      </c>
      <c r="C133" s="7">
        <v>3.0180499999999999E-2</v>
      </c>
      <c r="D133" s="1145">
        <f t="shared" si="9"/>
        <v>3.0180499999999999E-2</v>
      </c>
      <c r="Q133" s="507">
        <f t="shared" si="8"/>
        <v>47757</v>
      </c>
      <c r="T133" s="344">
        <f ca="1">IF(ROUND(LOOKUP(Q133,Waterfalls!$6:$6,Waterfalls!$14:$14),0)&gt;0,1,0)*(D133+$H$4)</f>
        <v>0</v>
      </c>
      <c r="U133" s="508" t="str">
        <f ca="1">IF(T133&lt;&gt;0,LOOKUP(Q133,Waterfalls!$6:$6,Waterfalls!$14:$14),"")</f>
        <v/>
      </c>
      <c r="V133" s="508" t="str">
        <f ca="1">IF(T133&lt;&gt;0,-LOOKUP(Q133,Waterfalls!$6:$6,Waterfalls!$152:$152),"")</f>
        <v/>
      </c>
      <c r="X133" s="344">
        <f ca="1">IF(ROUND(LOOKUP($Q133,Waterfalls!$6:$6,Waterfalls!$21:$21),0)&gt;0,1,0)*($D133+$O$6)</f>
        <v>5.2680499999999998E-2</v>
      </c>
      <c r="Y133" s="508">
        <f ca="1">IF(X133&lt;&gt;0,LOOKUP($Q133,Waterfalls!$6:$6,Waterfalls!$21:$21),"")</f>
        <v>42908958.331103884</v>
      </c>
      <c r="Z133" s="508">
        <f ca="1">IF(X133&lt;&gt;0,-LOOKUP($Q133,Waterfalls!$6:$6,Waterfalls!$153:$153),"")</f>
        <v>266507.95792204805</v>
      </c>
    </row>
    <row r="134" spans="1:26" x14ac:dyDescent="0.3">
      <c r="A134" s="761">
        <f>IF(B134&gt;=DevBdgt!$E$7,LOOKUP(B134,DevBdgt!$7:$7,DevBdgt!$6:$6),"")</f>
        <v>38</v>
      </c>
      <c r="B134" s="507">
        <f t="shared" ref="B134:B197" si="10">EDATE(B133,1)</f>
        <v>47788</v>
      </c>
      <c r="C134" s="7">
        <v>3.0230400000000001E-2</v>
      </c>
      <c r="D134" s="1145">
        <f t="shared" si="9"/>
        <v>3.0230400000000001E-2</v>
      </c>
      <c r="Q134" s="507">
        <f t="shared" si="8"/>
        <v>47788</v>
      </c>
      <c r="T134" s="344">
        <f ca="1">IF(ROUND(LOOKUP(Q134,Waterfalls!$6:$6,Waterfalls!$14:$14),0)&gt;0,1,0)*(D134+$H$4)</f>
        <v>0</v>
      </c>
      <c r="U134" s="508" t="str">
        <f ca="1">IF(T134&lt;&gt;0,LOOKUP(Q134,Waterfalls!$6:$6,Waterfalls!$14:$14),"")</f>
        <v/>
      </c>
      <c r="V134" s="508" t="str">
        <f ca="1">IF(T134&lt;&gt;0,-LOOKUP(Q134,Waterfalls!$6:$6,Waterfalls!$152:$152),"")</f>
        <v/>
      </c>
      <c r="X134" s="344">
        <f ca="1">IF(ROUND(LOOKUP($Q134,Waterfalls!$6:$6,Waterfalls!$21:$21),0)&gt;0,1,0)*($D134+$O$6)</f>
        <v>5.2730399999999997E-2</v>
      </c>
      <c r="Y134" s="508">
        <f ca="1">IF(X134&lt;&gt;0,LOOKUP($Q134,Waterfalls!$6:$6,Waterfalls!$21:$21),"")</f>
        <v>42866598.54728651</v>
      </c>
      <c r="Z134" s="508">
        <f ca="1">IF(X134&lt;&gt;0,-LOOKUP($Q134,Waterfalls!$6:$6,Waterfalls!$153:$153),"")</f>
        <v>266507.95792204805</v>
      </c>
    </row>
    <row r="135" spans="1:26" x14ac:dyDescent="0.3">
      <c r="A135" s="761">
        <f>IF(B135&gt;=DevBdgt!$E$7,LOOKUP(B135,DevBdgt!$7:$7,DevBdgt!$6:$6),"")</f>
        <v>39</v>
      </c>
      <c r="B135" s="507">
        <f t="shared" si="10"/>
        <v>47818</v>
      </c>
      <c r="C135" s="7">
        <v>3.0280100000000001E-2</v>
      </c>
      <c r="D135" s="1145">
        <f t="shared" si="9"/>
        <v>3.0280100000000001E-2</v>
      </c>
      <c r="Q135" s="507">
        <f t="shared" si="8"/>
        <v>47818</v>
      </c>
      <c r="T135" s="344">
        <f ca="1">IF(ROUND(LOOKUP(Q135,Waterfalls!$6:$6,Waterfalls!$14:$14),0)&gt;0,1,0)*(D135+$H$4)</f>
        <v>0</v>
      </c>
      <c r="U135" s="508" t="str">
        <f ca="1">IF(T135&lt;&gt;0,LOOKUP(Q135,Waterfalls!$6:$6,Waterfalls!$14:$14),"")</f>
        <v/>
      </c>
      <c r="V135" s="508" t="str">
        <f ca="1">IF(T135&lt;&gt;0,-LOOKUP(Q135,Waterfalls!$6:$6,Waterfalls!$152:$152),"")</f>
        <v/>
      </c>
      <c r="X135" s="344">
        <f ca="1">IF(ROUND(LOOKUP($Q135,Waterfalls!$6:$6,Waterfalls!$21:$21),0)&gt;0,1,0)*($D135+$O$6)</f>
        <v>5.2780099999999996E-2</v>
      </c>
      <c r="Y135" s="508">
        <f ca="1">IF(X135&lt;&gt;0,LOOKUP($Q135,Waterfalls!$6:$6,Waterfalls!$21:$21),"")</f>
        <v>42824017.484077431</v>
      </c>
      <c r="Z135" s="508">
        <f ca="1">IF(X135&lt;&gt;0,-LOOKUP($Q135,Waterfalls!$6:$6,Waterfalls!$153:$153),"")</f>
        <v>266507.95792204805</v>
      </c>
    </row>
    <row r="136" spans="1:26" x14ac:dyDescent="0.3">
      <c r="A136" s="761">
        <f>IF(B136&gt;=DevBdgt!$E$7,LOOKUP(B136,DevBdgt!$7:$7,DevBdgt!$6:$6),"")</f>
        <v>40</v>
      </c>
      <c r="B136" s="507">
        <f t="shared" si="10"/>
        <v>47849</v>
      </c>
      <c r="C136" s="7">
        <v>3.0334799999999999E-2</v>
      </c>
      <c r="D136" s="1145">
        <f t="shared" si="9"/>
        <v>3.0334799999999999E-2</v>
      </c>
      <c r="Q136" s="507">
        <f t="shared" si="8"/>
        <v>47849</v>
      </c>
      <c r="T136" s="344">
        <f ca="1">IF(ROUND(LOOKUP(Q136,Waterfalls!$6:$6,Waterfalls!$14:$14),0)&gt;0,1,0)*(D136+$H$4)</f>
        <v>0</v>
      </c>
      <c r="U136" s="508" t="str">
        <f ca="1">IF(T136&lt;&gt;0,LOOKUP(Q136,Waterfalls!$6:$6,Waterfalls!$14:$14),"")</f>
        <v/>
      </c>
      <c r="V136" s="508" t="str">
        <f ca="1">IF(T136&lt;&gt;0,-LOOKUP(Q136,Waterfalls!$6:$6,Waterfalls!$152:$152),"")</f>
        <v/>
      </c>
      <c r="X136" s="344">
        <f ca="1">IF(ROUND(LOOKUP($Q136,Waterfalls!$6:$6,Waterfalls!$21:$21),0)&gt;0,1,0)*($D136+$O$6)</f>
        <v>5.2834800000000001E-2</v>
      </c>
      <c r="Y136" s="508">
        <f ca="1">IF(X136&lt;&gt;0,LOOKUP($Q136,Waterfalls!$6:$6,Waterfalls!$21:$21),"")</f>
        <v>42781213.985555522</v>
      </c>
      <c r="Z136" s="508">
        <f ca="1">IF(X136&lt;&gt;0,-LOOKUP($Q136,Waterfalls!$6:$6,Waterfalls!$153:$153),"")</f>
        <v>266507.95792204805</v>
      </c>
    </row>
    <row r="137" spans="1:26" x14ac:dyDescent="0.3">
      <c r="A137" s="761">
        <f>IF(B137&gt;=DevBdgt!$E$7,LOOKUP(B137,DevBdgt!$7:$7,DevBdgt!$6:$6),"")</f>
        <v>41</v>
      </c>
      <c r="B137" s="507">
        <f t="shared" si="10"/>
        <v>47880</v>
      </c>
      <c r="C137" s="7">
        <v>3.0380500000000001E-2</v>
      </c>
      <c r="D137" s="1145">
        <f t="shared" si="9"/>
        <v>3.0380500000000001E-2</v>
      </c>
      <c r="Q137" s="507">
        <f t="shared" si="8"/>
        <v>47880</v>
      </c>
      <c r="T137" s="344">
        <f ca="1">IF(ROUND(LOOKUP(Q137,Waterfalls!$6:$6,Waterfalls!$14:$14),0)&gt;0,1,0)*(D137+$H$4)</f>
        <v>0</v>
      </c>
      <c r="U137" s="508" t="str">
        <f ca="1">IF(T137&lt;&gt;0,LOOKUP(Q137,Waterfalls!$6:$6,Waterfalls!$14:$14),"")</f>
        <v/>
      </c>
      <c r="V137" s="508" t="str">
        <f ca="1">IF(T137&lt;&gt;0,-LOOKUP(Q137,Waterfalls!$6:$6,Waterfalls!$152:$152),"")</f>
        <v/>
      </c>
      <c r="X137" s="344">
        <f ca="1">IF(ROUND(LOOKUP($Q137,Waterfalls!$6:$6,Waterfalls!$21:$21),0)&gt;0,1,0)*($D137+$O$6)</f>
        <v>5.2880499999999997E-2</v>
      </c>
      <c r="Y137" s="508">
        <f ca="1">IF(X137&lt;&gt;0,LOOKUP($Q137,Waterfalls!$6:$6,Waterfalls!$21:$21),"")</f>
        <v>42738186.889761336</v>
      </c>
      <c r="Z137" s="508">
        <f ca="1">IF(X137&lt;&gt;0,-LOOKUP($Q137,Waterfalls!$6:$6,Waterfalls!$153:$153),"")</f>
        <v>266507.95792204805</v>
      </c>
    </row>
    <row r="138" spans="1:26" x14ac:dyDescent="0.3">
      <c r="A138" s="761">
        <f>IF(B138&gt;=DevBdgt!$E$7,LOOKUP(B138,DevBdgt!$7:$7,DevBdgt!$6:$6),"")</f>
        <v>42</v>
      </c>
      <c r="B138" s="507">
        <f t="shared" si="10"/>
        <v>47908</v>
      </c>
      <c r="C138" s="7">
        <v>3.0434300000000001E-2</v>
      </c>
      <c r="D138" s="1145">
        <f t="shared" si="9"/>
        <v>3.0434300000000001E-2</v>
      </c>
      <c r="Q138" s="507">
        <f t="shared" si="8"/>
        <v>47908</v>
      </c>
      <c r="T138" s="344">
        <f ca="1">IF(ROUND(LOOKUP(Q138,Waterfalls!$6:$6,Waterfalls!$14:$14),0)&gt;0,1,0)*(D138+$H$4)</f>
        <v>0</v>
      </c>
      <c r="U138" s="508" t="str">
        <f ca="1">IF(T138&lt;&gt;0,LOOKUP(Q138,Waterfalls!$6:$6,Waterfalls!$14:$14),"")</f>
        <v/>
      </c>
      <c r="V138" s="508" t="str">
        <f ca="1">IF(T138&lt;&gt;0,-LOOKUP(Q138,Waterfalls!$6:$6,Waterfalls!$152:$152),"")</f>
        <v/>
      </c>
      <c r="X138" s="344">
        <f ca="1">IF(ROUND(LOOKUP($Q138,Waterfalls!$6:$6,Waterfalls!$21:$21),0)&gt;0,1,0)*($D138+$O$6)</f>
        <v>5.2934300000000004E-2</v>
      </c>
      <c r="Y138" s="508">
        <f ca="1">IF(X138&lt;&gt;0,LOOKUP($Q138,Waterfalls!$6:$6,Waterfalls!$21:$21),"")</f>
        <v>42694935.02866558</v>
      </c>
      <c r="Z138" s="508">
        <f ca="1">IF(X138&lt;&gt;0,-LOOKUP($Q138,Waterfalls!$6:$6,Waterfalls!$153:$153),"")</f>
        <v>266507.95792204805</v>
      </c>
    </row>
    <row r="139" spans="1:26" x14ac:dyDescent="0.3">
      <c r="A139" s="761">
        <f>IF(B139&gt;=DevBdgt!$E$7,LOOKUP(B139,DevBdgt!$7:$7,DevBdgt!$6:$6),"")</f>
        <v>43</v>
      </c>
      <c r="B139" s="507">
        <f t="shared" si="10"/>
        <v>47939</v>
      </c>
      <c r="C139" s="7">
        <v>3.0482800000000001E-2</v>
      </c>
      <c r="D139" s="1145">
        <f t="shared" si="9"/>
        <v>3.0482800000000001E-2</v>
      </c>
      <c r="Q139" s="507">
        <f t="shared" si="8"/>
        <v>47939</v>
      </c>
      <c r="T139" s="344">
        <f ca="1">IF(ROUND(LOOKUP(Q139,Waterfalls!$6:$6,Waterfalls!$14:$14),0)&gt;0,1,0)*(D139+$H$4)</f>
        <v>0</v>
      </c>
      <c r="U139" s="508" t="str">
        <f ca="1">IF(T139&lt;&gt;0,LOOKUP(Q139,Waterfalls!$6:$6,Waterfalls!$14:$14),"")</f>
        <v/>
      </c>
      <c r="V139" s="508" t="str">
        <f ca="1">IF(T139&lt;&gt;0,-LOOKUP(Q139,Waterfalls!$6:$6,Waterfalls!$152:$152),"")</f>
        <v/>
      </c>
      <c r="X139" s="344">
        <f ca="1">IF(ROUND(LOOKUP($Q139,Waterfalls!$6:$6,Waterfalls!$21:$21),0)&gt;0,1,0)*($D139+$O$6)</f>
        <v>5.2982799999999997E-2</v>
      </c>
      <c r="Y139" s="508">
        <f ca="1">IF(X139&lt;&gt;0,LOOKUP($Q139,Waterfalls!$6:$6,Waterfalls!$21:$21),"")</f>
        <v>42651457.228137404</v>
      </c>
      <c r="Z139" s="508">
        <f ca="1">IF(X139&lt;&gt;0,-LOOKUP($Q139,Waterfalls!$6:$6,Waterfalls!$153:$153),"")</f>
        <v>266507.95792204805</v>
      </c>
    </row>
    <row r="140" spans="1:26" x14ac:dyDescent="0.3">
      <c r="A140" s="761">
        <f>IF(B140&gt;=DevBdgt!$E$7,LOOKUP(B140,DevBdgt!$7:$7,DevBdgt!$6:$6),"")</f>
        <v>44</v>
      </c>
      <c r="B140" s="507">
        <f t="shared" si="10"/>
        <v>47969</v>
      </c>
      <c r="C140" s="7">
        <v>3.05356E-2</v>
      </c>
      <c r="D140" s="1145">
        <f t="shared" si="9"/>
        <v>3.05356E-2</v>
      </c>
      <c r="Q140" s="507">
        <f t="shared" si="8"/>
        <v>47969</v>
      </c>
      <c r="T140" s="344">
        <f ca="1">IF(ROUND(LOOKUP(Q140,Waterfalls!$6:$6,Waterfalls!$14:$14),0)&gt;0,1,0)*(D140+$H$4)</f>
        <v>0</v>
      </c>
      <c r="U140" s="508" t="str">
        <f ca="1">IF(T140&lt;&gt;0,LOOKUP(Q140,Waterfalls!$6:$6,Waterfalls!$14:$14),"")</f>
        <v/>
      </c>
      <c r="V140" s="508" t="str">
        <f ca="1">IF(T140&lt;&gt;0,-LOOKUP(Q140,Waterfalls!$6:$6,Waterfalls!$152:$152),"")</f>
        <v/>
      </c>
      <c r="X140" s="344">
        <f ca="1">IF(ROUND(LOOKUP($Q140,Waterfalls!$6:$6,Waterfalls!$21:$21),0)&gt;0,1,0)*($D140+$O$6)</f>
        <v>5.3035600000000002E-2</v>
      </c>
      <c r="Y140" s="508">
        <f ca="1">IF(X140&lt;&gt;0,LOOKUP($Q140,Waterfalls!$6:$6,Waterfalls!$21:$21),"")</f>
        <v>42607752.307912514</v>
      </c>
      <c r="Z140" s="508">
        <f ca="1">IF(X140&lt;&gt;0,-LOOKUP($Q140,Waterfalls!$6:$6,Waterfalls!$153:$153),"")</f>
        <v>266507.95792204805</v>
      </c>
    </row>
    <row r="141" spans="1:26" x14ac:dyDescent="0.3">
      <c r="A141" s="761">
        <f>IF(B141&gt;=DevBdgt!$E$7,LOOKUP(B141,DevBdgt!$7:$7,DevBdgt!$6:$6),"")</f>
        <v>45</v>
      </c>
      <c r="B141" s="507">
        <f t="shared" si="10"/>
        <v>48000</v>
      </c>
      <c r="C141" s="7">
        <v>3.05857E-2</v>
      </c>
      <c r="D141" s="1145">
        <f t="shared" si="9"/>
        <v>3.05857E-2</v>
      </c>
      <c r="Q141" s="507">
        <f t="shared" si="8"/>
        <v>48000</v>
      </c>
      <c r="T141" s="344">
        <f ca="1">IF(ROUND(LOOKUP(Q141,Waterfalls!$6:$6,Waterfalls!$14:$14),0)&gt;0,1,0)*(D141+$H$4)</f>
        <v>0</v>
      </c>
      <c r="U141" s="508" t="str">
        <f ca="1">IF(T141&lt;&gt;0,LOOKUP(Q141,Waterfalls!$6:$6,Waterfalls!$14:$14),"")</f>
        <v/>
      </c>
      <c r="V141" s="508" t="str">
        <f ca="1">IF(T141&lt;&gt;0,-LOOKUP(Q141,Waterfalls!$6:$6,Waterfalls!$152:$152),"")</f>
        <v/>
      </c>
      <c r="X141" s="344">
        <f ca="1">IF(ROUND(LOOKUP($Q141,Waterfalls!$6:$6,Waterfalls!$21:$21),0)&gt;0,1,0)*($D141+$O$6)</f>
        <v>5.30857E-2</v>
      </c>
      <c r="Y141" s="508">
        <f ca="1">IF(X141&lt;&gt;0,LOOKUP($Q141,Waterfalls!$6:$6,Waterfalls!$21:$21),"")</f>
        <v>42563819.081561141</v>
      </c>
      <c r="Z141" s="508">
        <f ca="1">IF(X141&lt;&gt;0,-LOOKUP($Q141,Waterfalls!$6:$6,Waterfalls!$153:$153),"")</f>
        <v>266507.95792204805</v>
      </c>
    </row>
    <row r="142" spans="1:26" x14ac:dyDescent="0.3">
      <c r="A142" s="761">
        <f>IF(B142&gt;=DevBdgt!$E$7,LOOKUP(B142,DevBdgt!$7:$7,DevBdgt!$6:$6),"")</f>
        <v>46</v>
      </c>
      <c r="B142" s="507">
        <f t="shared" si="10"/>
        <v>48030</v>
      </c>
      <c r="C142" s="7">
        <v>3.06425E-2</v>
      </c>
      <c r="D142" s="1145">
        <f t="shared" si="9"/>
        <v>3.06425E-2</v>
      </c>
      <c r="Q142" s="507">
        <f t="shared" si="8"/>
        <v>48030</v>
      </c>
      <c r="T142" s="344">
        <f ca="1">IF(ROUND(LOOKUP(Q142,Waterfalls!$6:$6,Waterfalls!$14:$14),0)&gt;0,1,0)*(D142+$H$4)</f>
        <v>0</v>
      </c>
      <c r="U142" s="508" t="str">
        <f ca="1">IF(T142&lt;&gt;0,LOOKUP(Q142,Waterfalls!$6:$6,Waterfalls!$14:$14),"")</f>
        <v/>
      </c>
      <c r="V142" s="508" t="str">
        <f ca="1">IF(T142&lt;&gt;0,-LOOKUP(Q142,Waterfalls!$6:$6,Waterfalls!$152:$152),"")</f>
        <v/>
      </c>
      <c r="X142" s="344">
        <f ca="1">IF(ROUND(LOOKUP($Q142,Waterfalls!$6:$6,Waterfalls!$21:$21),0)&gt;0,1,0)*($D142+$O$6)</f>
        <v>5.3142499999999995E-2</v>
      </c>
      <c r="Y142" s="508">
        <f ca="1">IF(X142&lt;&gt;0,LOOKUP($Q142,Waterfalls!$6:$6,Waterfalls!$21:$21),"")</f>
        <v>42519656.356455848</v>
      </c>
      <c r="Z142" s="508">
        <f ca="1">IF(X142&lt;&gt;0,-LOOKUP($Q142,Waterfalls!$6:$6,Waterfalls!$153:$153),"")</f>
        <v>266507.95792204805</v>
      </c>
    </row>
    <row r="143" spans="1:26" x14ac:dyDescent="0.3">
      <c r="A143" s="761">
        <f>IF(B143&gt;=DevBdgt!$E$7,LOOKUP(B143,DevBdgt!$7:$7,DevBdgt!$6:$6),"")</f>
        <v>47</v>
      </c>
      <c r="B143" s="507">
        <f t="shared" si="10"/>
        <v>48061</v>
      </c>
      <c r="C143" s="7">
        <v>3.0693700000000001E-2</v>
      </c>
      <c r="D143" s="1145">
        <f t="shared" si="9"/>
        <v>3.0693700000000001E-2</v>
      </c>
      <c r="Q143" s="507">
        <f t="shared" si="8"/>
        <v>48061</v>
      </c>
      <c r="T143" s="344">
        <f ca="1">IF(ROUND(LOOKUP(Q143,Waterfalls!$6:$6,Waterfalls!$14:$14),0)&gt;0,1,0)*(D143+$H$4)</f>
        <v>0</v>
      </c>
      <c r="U143" s="508" t="str">
        <f ca="1">IF(T143&lt;&gt;0,LOOKUP(Q143,Waterfalls!$6:$6,Waterfalls!$14:$14),"")</f>
        <v/>
      </c>
      <c r="V143" s="508" t="str">
        <f ca="1">IF(T143&lt;&gt;0,-LOOKUP(Q143,Waterfalls!$6:$6,Waterfalls!$152:$152),"")</f>
        <v/>
      </c>
      <c r="X143" s="344">
        <f ca="1">IF(ROUND(LOOKUP($Q143,Waterfalls!$6:$6,Waterfalls!$21:$21),0)&gt;0,1,0)*($D143+$O$6)</f>
        <v>5.3193699999999997E-2</v>
      </c>
      <c r="Y143" s="508">
        <f ca="1">IF(X143&lt;&gt;0,LOOKUP($Q143,Waterfalls!$6:$6,Waterfalls!$21:$21),"")</f>
        <v>42475262.933739126</v>
      </c>
      <c r="Z143" s="508">
        <f ca="1">IF(X143&lt;&gt;0,-LOOKUP($Q143,Waterfalls!$6:$6,Waterfalls!$153:$153),"")</f>
        <v>266507.95792204805</v>
      </c>
    </row>
    <row r="144" spans="1:26" x14ac:dyDescent="0.3">
      <c r="A144" s="761">
        <f>IF(B144&gt;=DevBdgt!$E$7,LOOKUP(B144,DevBdgt!$7:$7,DevBdgt!$6:$6),"")</f>
        <v>48</v>
      </c>
      <c r="B144" s="507">
        <f t="shared" si="10"/>
        <v>48092</v>
      </c>
      <c r="C144" s="7">
        <v>3.0740099999999999E-2</v>
      </c>
      <c r="D144" s="1145">
        <f t="shared" si="9"/>
        <v>3.0740099999999999E-2</v>
      </c>
      <c r="Q144" s="507">
        <f t="shared" si="8"/>
        <v>48092</v>
      </c>
      <c r="T144" s="344">
        <f ca="1">IF(ROUND(LOOKUP(Q144,Waterfalls!$6:$6,Waterfalls!$14:$14),0)&gt;0,1,0)*(D144+$H$4)</f>
        <v>0</v>
      </c>
      <c r="U144" s="508" t="str">
        <f ca="1">IF(T144&lt;&gt;0,LOOKUP(Q144,Waterfalls!$6:$6,Waterfalls!$14:$14),"")</f>
        <v/>
      </c>
      <c r="V144" s="508" t="str">
        <f ca="1">IF(T144&lt;&gt;0,-LOOKUP(Q144,Waterfalls!$6:$6,Waterfalls!$152:$152),"")</f>
        <v/>
      </c>
      <c r="X144" s="344">
        <f ca="1">IF(ROUND(LOOKUP($Q144,Waterfalls!$6:$6,Waterfalls!$21:$21),0)&gt;0,1,0)*($D144+$O$6)</f>
        <v>5.3240099999999999E-2</v>
      </c>
      <c r="Y144" s="508">
        <f ca="1">IF(X144&lt;&gt;0,LOOKUP($Q144,Waterfalls!$6:$6,Waterfalls!$21:$21),"")</f>
        <v>42430637.608290866</v>
      </c>
      <c r="Z144" s="508">
        <f ca="1">IF(X144&lt;&gt;0,-LOOKUP($Q144,Waterfalls!$6:$6,Waterfalls!$153:$153),"")</f>
        <v>266507.95792204805</v>
      </c>
    </row>
    <row r="145" spans="1:26" x14ac:dyDescent="0.3">
      <c r="A145" s="761">
        <f>IF(B145&gt;=DevBdgt!$E$7,LOOKUP(B145,DevBdgt!$7:$7,DevBdgt!$6:$6),"")</f>
        <v>49</v>
      </c>
      <c r="B145" s="507">
        <f t="shared" si="10"/>
        <v>48122</v>
      </c>
      <c r="C145" s="7">
        <v>3.0794599999999998E-2</v>
      </c>
      <c r="D145" s="1145">
        <f t="shared" si="9"/>
        <v>3.0794599999999998E-2</v>
      </c>
      <c r="Q145" s="507">
        <f t="shared" si="8"/>
        <v>48122</v>
      </c>
      <c r="T145" s="344">
        <f ca="1">IF(ROUND(LOOKUP(Q145,Waterfalls!$6:$6,Waterfalls!$14:$14),0)&gt;0,1,0)*(D145+$H$4)</f>
        <v>0</v>
      </c>
      <c r="U145" s="508" t="str">
        <f ca="1">IF(T145&lt;&gt;0,LOOKUP(Q145,Waterfalls!$6:$6,Waterfalls!$14:$14),"")</f>
        <v/>
      </c>
      <c r="V145" s="508" t="str">
        <f ca="1">IF(T145&lt;&gt;0,-LOOKUP(Q145,Waterfalls!$6:$6,Waterfalls!$152:$152),"")</f>
        <v/>
      </c>
      <c r="X145" s="344">
        <f ca="1">IF(ROUND(LOOKUP($Q145,Waterfalls!$6:$6,Waterfalls!$21:$21),0)&gt;0,1,0)*($D145+$O$6)</f>
        <v>5.3294599999999998E-2</v>
      </c>
      <c r="Y145" s="508">
        <f ca="1">IF(X145&lt;&gt;0,LOOKUP($Q145,Waterfalls!$6:$6,Waterfalls!$21:$21),"")</f>
        <v>42385779.168695651</v>
      </c>
      <c r="Z145" s="508">
        <f ca="1">IF(X145&lt;&gt;0,-LOOKUP($Q145,Waterfalls!$6:$6,Waterfalls!$153:$153),"")</f>
        <v>266507.95792204805</v>
      </c>
    </row>
    <row r="146" spans="1:26" x14ac:dyDescent="0.3">
      <c r="A146" s="761">
        <f>IF(B146&gt;=DevBdgt!$E$7,LOOKUP(B146,DevBdgt!$7:$7,DevBdgt!$6:$6),"")</f>
        <v>50</v>
      </c>
      <c r="B146" s="507">
        <f t="shared" si="10"/>
        <v>48153</v>
      </c>
      <c r="C146" s="7">
        <v>3.0843800000000001E-2</v>
      </c>
      <c r="D146" s="1145">
        <f t="shared" si="9"/>
        <v>3.0843800000000001E-2</v>
      </c>
      <c r="Q146" s="507">
        <f t="shared" si="8"/>
        <v>48153</v>
      </c>
      <c r="T146" s="344">
        <f ca="1">IF(ROUND(LOOKUP(Q146,Waterfalls!$6:$6,Waterfalls!$14:$14),0)&gt;0,1,0)*(D146+$H$4)</f>
        <v>0</v>
      </c>
      <c r="U146" s="508" t="str">
        <f ca="1">IF(T146&lt;&gt;0,LOOKUP(Q146,Waterfalls!$6:$6,Waterfalls!$14:$14),"")</f>
        <v/>
      </c>
      <c r="V146" s="508" t="str">
        <f ca="1">IF(T146&lt;&gt;0,-LOOKUP(Q146,Waterfalls!$6:$6,Waterfalls!$152:$152),"")</f>
        <v/>
      </c>
      <c r="X146" s="344">
        <f ca="1">IF(ROUND(LOOKUP($Q146,Waterfalls!$6:$6,Waterfalls!$21:$21),0)&gt;0,1,0)*($D146+$O$6)</f>
        <v>5.3343799999999997E-2</v>
      </c>
      <c r="Y146" s="508">
        <f ca="1">IF(X146&lt;&gt;0,LOOKUP($Q146,Waterfalls!$6:$6,Waterfalls!$21:$21),"")</f>
        <v>42340686.39720986</v>
      </c>
      <c r="Z146" s="508">
        <f ca="1">IF(X146&lt;&gt;0,-LOOKUP($Q146,Waterfalls!$6:$6,Waterfalls!$153:$153),"")</f>
        <v>266507.95792204805</v>
      </c>
    </row>
    <row r="147" spans="1:26" x14ac:dyDescent="0.3">
      <c r="A147" s="761">
        <f>IF(B147&gt;=DevBdgt!$E$7,LOOKUP(B147,DevBdgt!$7:$7,DevBdgt!$6:$6),"")</f>
        <v>51</v>
      </c>
      <c r="B147" s="507">
        <f t="shared" si="10"/>
        <v>48183</v>
      </c>
      <c r="C147" s="7">
        <v>3.0894399999999999E-2</v>
      </c>
      <c r="D147" s="1145">
        <f t="shared" si="9"/>
        <v>3.0894399999999999E-2</v>
      </c>
      <c r="Q147" s="507">
        <f t="shared" ref="Q147:Q210" si="11">EOMONTH(B147,-1)+1</f>
        <v>48183</v>
      </c>
      <c r="T147" s="344">
        <f ca="1">IF(ROUND(LOOKUP(Q147,Waterfalls!$6:$6,Waterfalls!$14:$14),0)&gt;0,1,0)*(D147+$H$4)</f>
        <v>0</v>
      </c>
      <c r="U147" s="508" t="str">
        <f ca="1">IF(T147&lt;&gt;0,LOOKUP(Q147,Waterfalls!$6:$6,Waterfalls!$14:$14),"")</f>
        <v/>
      </c>
      <c r="V147" s="508" t="str">
        <f ca="1">IF(T147&lt;&gt;0,-LOOKUP(Q147,Waterfalls!$6:$6,Waterfalls!$152:$152),"")</f>
        <v/>
      </c>
      <c r="X147" s="344">
        <f ca="1">IF(ROUND(LOOKUP($Q147,Waterfalls!$6:$6,Waterfalls!$21:$21),0)&gt;0,1,0)*($D147+$O$6)</f>
        <v>5.3394399999999995E-2</v>
      </c>
      <c r="Y147" s="508">
        <f ca="1">IF(X147&lt;&gt;0,LOOKUP($Q147,Waterfalls!$6:$6,Waterfalls!$21:$21),"")</f>
        <v>42295358.069728613</v>
      </c>
      <c r="Z147" s="508">
        <f ca="1">IF(X147&lt;&gt;0,-LOOKUP($Q147,Waterfalls!$6:$6,Waterfalls!$153:$153),"")</f>
        <v>266507.95792204805</v>
      </c>
    </row>
    <row r="148" spans="1:26" x14ac:dyDescent="0.3">
      <c r="A148" s="761">
        <f>IF(B148&gt;=DevBdgt!$E$7,LOOKUP(B148,DevBdgt!$7:$7,DevBdgt!$6:$6),"")</f>
        <v>52</v>
      </c>
      <c r="B148" s="507">
        <f t="shared" si="10"/>
        <v>48214</v>
      </c>
      <c r="C148" s="7">
        <v>3.0946000000000001E-2</v>
      </c>
      <c r="D148" s="1145">
        <f t="shared" si="9"/>
        <v>3.0946000000000001E-2</v>
      </c>
      <c r="Q148" s="507">
        <f t="shared" si="11"/>
        <v>48214</v>
      </c>
      <c r="T148" s="344">
        <f ca="1">IF(ROUND(LOOKUP(Q148,Waterfalls!$6:$6,Waterfalls!$14:$14),0)&gt;0,1,0)*(D148+$H$4)</f>
        <v>0</v>
      </c>
      <c r="U148" s="508" t="str">
        <f ca="1">IF(T148&lt;&gt;0,LOOKUP(Q148,Waterfalls!$6:$6,Waterfalls!$14:$14),"")</f>
        <v/>
      </c>
      <c r="V148" s="508" t="str">
        <f ca="1">IF(T148&lt;&gt;0,-LOOKUP(Q148,Waterfalls!$6:$6,Waterfalls!$152:$152),"")</f>
        <v/>
      </c>
      <c r="X148" s="344">
        <f ca="1">IF(ROUND(LOOKUP($Q148,Waterfalls!$6:$6,Waterfalls!$21:$21),0)&gt;0,1,0)*($D148+$O$6)</f>
        <v>5.3446E-2</v>
      </c>
      <c r="Y148" s="508">
        <f ca="1">IF(X148&lt;&gt;0,LOOKUP($Q148,Waterfalls!$6:$6,Waterfalls!$21:$21),"")</f>
        <v>42249792.955752529</v>
      </c>
      <c r="Z148" s="508">
        <f ca="1">IF(X148&lt;&gt;0,-LOOKUP($Q148,Waterfalls!$6:$6,Waterfalls!$153:$153),"")</f>
        <v>266507.95792204805</v>
      </c>
    </row>
    <row r="149" spans="1:26" x14ac:dyDescent="0.3">
      <c r="A149" s="761">
        <f>IF(B149&gt;=DevBdgt!$E$7,LOOKUP(B149,DevBdgt!$7:$7,DevBdgt!$6:$6),"")</f>
        <v>53</v>
      </c>
      <c r="B149" s="507">
        <f t="shared" si="10"/>
        <v>48245</v>
      </c>
      <c r="C149" s="7">
        <v>3.0993199999999999E-2</v>
      </c>
      <c r="D149" s="1145">
        <f t="shared" si="9"/>
        <v>3.0993199999999999E-2</v>
      </c>
      <c r="Q149" s="507">
        <f t="shared" si="11"/>
        <v>48245</v>
      </c>
      <c r="T149" s="344">
        <f ca="1">IF(ROUND(LOOKUP(Q149,Waterfalls!$6:$6,Waterfalls!$14:$14),0)&gt;0,1,0)*(D149+$H$4)</f>
        <v>0</v>
      </c>
      <c r="U149" s="508" t="str">
        <f ca="1">IF(T149&lt;&gt;0,LOOKUP(Q149,Waterfalls!$6:$6,Waterfalls!$14:$14),"")</f>
        <v/>
      </c>
      <c r="V149" s="508" t="str">
        <f ca="1">IF(T149&lt;&gt;0,-LOOKUP(Q149,Waterfalls!$6:$6,Waterfalls!$152:$152),"")</f>
        <v/>
      </c>
      <c r="X149" s="344">
        <f ca="1">IF(ROUND(LOOKUP($Q149,Waterfalls!$6:$6,Waterfalls!$21:$21),0)&gt;0,1,0)*($D149+$O$6)</f>
        <v>5.3493199999999998E-2</v>
      </c>
      <c r="Y149" s="508">
        <f ca="1">IF(X149&lt;&gt;0,LOOKUP($Q149,Waterfalls!$6:$6,Waterfalls!$21:$21),"")</f>
        <v>42203989.818354346</v>
      </c>
      <c r="Z149" s="508">
        <f ca="1">IF(X149&lt;&gt;0,-LOOKUP($Q149,Waterfalls!$6:$6,Waterfalls!$153:$153),"")</f>
        <v>266507.95792204805</v>
      </c>
    </row>
    <row r="150" spans="1:26" x14ac:dyDescent="0.3">
      <c r="A150" s="761">
        <f>IF(B150&gt;=DevBdgt!$E$7,LOOKUP(B150,DevBdgt!$7:$7,DevBdgt!$6:$6),"")</f>
        <v>54</v>
      </c>
      <c r="B150" s="507">
        <f t="shared" si="10"/>
        <v>48274</v>
      </c>
      <c r="C150" s="7">
        <v>3.1045699999999999E-2</v>
      </c>
      <c r="D150" s="1145">
        <f t="shared" si="9"/>
        <v>3.1045699999999999E-2</v>
      </c>
      <c r="Q150" s="507">
        <f t="shared" si="11"/>
        <v>48274</v>
      </c>
      <c r="T150" s="344">
        <f ca="1">IF(ROUND(LOOKUP(Q150,Waterfalls!$6:$6,Waterfalls!$14:$14),0)&gt;0,1,0)*(D150+$H$4)</f>
        <v>0</v>
      </c>
      <c r="U150" s="508" t="str">
        <f ca="1">IF(T150&lt;&gt;0,LOOKUP(Q150,Waterfalls!$6:$6,Waterfalls!$14:$14),"")</f>
        <v/>
      </c>
      <c r="V150" s="508" t="str">
        <f ca="1">IF(T150&lt;&gt;0,-LOOKUP(Q150,Waterfalls!$6:$6,Waterfalls!$152:$152),"")</f>
        <v/>
      </c>
      <c r="X150" s="344">
        <f ca="1">IF(ROUND(LOOKUP($Q150,Waterfalls!$6:$6,Waterfalls!$21:$21),0)&gt;0,1,0)*($D150+$O$6)</f>
        <v>5.3545700000000002E-2</v>
      </c>
      <c r="Y150" s="508">
        <f ca="1">IF(X150&lt;&gt;0,LOOKUP($Q150,Waterfalls!$6:$6,Waterfalls!$21:$21),"")</f>
        <v>42157947.414145336</v>
      </c>
      <c r="Z150" s="508">
        <f ca="1">IF(X150&lt;&gt;0,-LOOKUP($Q150,Waterfalls!$6:$6,Waterfalls!$153:$153),"")</f>
        <v>266507.95792204805</v>
      </c>
    </row>
    <row r="151" spans="1:26" x14ac:dyDescent="0.3">
      <c r="A151" s="761">
        <f>IF(B151&gt;=DevBdgt!$E$7,LOOKUP(B151,DevBdgt!$7:$7,DevBdgt!$6:$6),"")</f>
        <v>55</v>
      </c>
      <c r="B151" s="507">
        <f t="shared" si="10"/>
        <v>48305</v>
      </c>
      <c r="C151" s="7">
        <v>3.1097099999999999E-2</v>
      </c>
      <c r="D151" s="1145">
        <f t="shared" si="9"/>
        <v>3.1097099999999999E-2</v>
      </c>
      <c r="Q151" s="507">
        <f t="shared" si="11"/>
        <v>48305</v>
      </c>
      <c r="T151" s="344">
        <f ca="1">IF(ROUND(LOOKUP(Q151,Waterfalls!$6:$6,Waterfalls!$14:$14),0)&gt;0,1,0)*(D151+$H$4)</f>
        <v>0</v>
      </c>
      <c r="U151" s="508" t="str">
        <f ca="1">IF(T151&lt;&gt;0,LOOKUP(Q151,Waterfalls!$6:$6,Waterfalls!$14:$14),"")</f>
        <v/>
      </c>
      <c r="V151" s="508" t="str">
        <f ca="1">IF(T151&lt;&gt;0,-LOOKUP(Q151,Waterfalls!$6:$6,Waterfalls!$152:$152),"")</f>
        <v/>
      </c>
      <c r="X151" s="344">
        <f ca="1">IF(ROUND(LOOKUP($Q151,Waterfalls!$6:$6,Waterfalls!$21:$21),0)&gt;0,1,0)*($D151+$O$6)</f>
        <v>5.3597099999999995E-2</v>
      </c>
      <c r="Y151" s="508">
        <f ca="1">IF(X151&lt;&gt;0,LOOKUP($Q151,Waterfalls!$6:$6,Waterfalls!$21:$21),"")</f>
        <v>42111664.493241526</v>
      </c>
      <c r="Z151" s="508">
        <f ca="1">IF(X151&lt;&gt;0,-LOOKUP($Q151,Waterfalls!$6:$6,Waterfalls!$153:$153),"")</f>
        <v>266507.95792204805</v>
      </c>
    </row>
    <row r="152" spans="1:26" x14ac:dyDescent="0.3">
      <c r="A152" s="761">
        <f>IF(B152&gt;=DevBdgt!$E$7,LOOKUP(B152,DevBdgt!$7:$7,DevBdgt!$6:$6),"")</f>
        <v>56</v>
      </c>
      <c r="B152" s="507">
        <f t="shared" si="10"/>
        <v>48335</v>
      </c>
      <c r="C152" s="7">
        <v>3.11484E-2</v>
      </c>
      <c r="D152" s="1145">
        <f t="shared" si="9"/>
        <v>3.11484E-2</v>
      </c>
      <c r="Q152" s="507">
        <f t="shared" si="11"/>
        <v>48335</v>
      </c>
      <c r="T152" s="344">
        <f ca="1">IF(ROUND(LOOKUP(Q152,Waterfalls!$6:$6,Waterfalls!$14:$14),0)&gt;0,1,0)*(D152+$H$4)</f>
        <v>0</v>
      </c>
      <c r="U152" s="508" t="str">
        <f ca="1">IF(T152&lt;&gt;0,LOOKUP(Q152,Waterfalls!$6:$6,Waterfalls!$14:$14),"")</f>
        <v/>
      </c>
      <c r="V152" s="508" t="str">
        <f ca="1">IF(T152&lt;&gt;0,-LOOKUP(Q152,Waterfalls!$6:$6,Waterfalls!$152:$152),"")</f>
        <v/>
      </c>
      <c r="X152" s="344">
        <f ca="1">IF(ROUND(LOOKUP($Q152,Waterfalls!$6:$6,Waterfalls!$21:$21),0)&gt;0,1,0)*($D152+$O$6)</f>
        <v>5.3648399999999999E-2</v>
      </c>
      <c r="Y152" s="508">
        <f ca="1">IF(X152&lt;&gt;0,LOOKUP($Q152,Waterfalls!$6:$6,Waterfalls!$21:$21),"")</f>
        <v>42065139.799229808</v>
      </c>
      <c r="Z152" s="508">
        <f ca="1">IF(X152&lt;&gt;0,-LOOKUP($Q152,Waterfalls!$6:$6,Waterfalls!$153:$153),"")</f>
        <v>266507.95792204805</v>
      </c>
    </row>
    <row r="153" spans="1:26" x14ac:dyDescent="0.3">
      <c r="A153" s="761">
        <f>IF(B153&gt;=DevBdgt!$E$7,LOOKUP(B153,DevBdgt!$7:$7,DevBdgt!$6:$6),"")</f>
        <v>57</v>
      </c>
      <c r="B153" s="507">
        <f t="shared" si="10"/>
        <v>48366</v>
      </c>
      <c r="C153" s="7">
        <v>3.1195799999999999E-2</v>
      </c>
      <c r="D153" s="1145">
        <f t="shared" si="9"/>
        <v>3.1195799999999999E-2</v>
      </c>
      <c r="Q153" s="507">
        <f t="shared" si="11"/>
        <v>48366</v>
      </c>
      <c r="T153" s="344">
        <f ca="1">IF(ROUND(LOOKUP(Q153,Waterfalls!$6:$6,Waterfalls!$14:$14),0)&gt;0,1,0)*(D153+$H$4)</f>
        <v>0</v>
      </c>
      <c r="U153" s="508" t="str">
        <f ca="1">IF(T153&lt;&gt;0,LOOKUP(Q153,Waterfalls!$6:$6,Waterfalls!$14:$14),"")</f>
        <v/>
      </c>
      <c r="V153" s="508" t="str">
        <f ca="1">IF(T153&lt;&gt;0,-LOOKUP(Q153,Waterfalls!$6:$6,Waterfalls!$152:$152),"")</f>
        <v/>
      </c>
      <c r="X153" s="344">
        <f ca="1">IF(ROUND(LOOKUP($Q153,Waterfalls!$6:$6,Waterfalls!$21:$21),0)&gt;0,1,0)*($D153+$O$6)</f>
        <v>5.3695800000000002E-2</v>
      </c>
      <c r="Y153" s="508">
        <f ca="1">IF(X153&lt;&gt;0,LOOKUP($Q153,Waterfalls!$6:$6,Waterfalls!$21:$21),"")</f>
        <v>42018372.069133811</v>
      </c>
      <c r="Z153" s="508">
        <f ca="1">IF(X153&lt;&gt;0,-LOOKUP($Q153,Waterfalls!$6:$6,Waterfalls!$153:$153),"")</f>
        <v>266507.95792204805</v>
      </c>
    </row>
    <row r="154" spans="1:26" x14ac:dyDescent="0.3">
      <c r="A154" s="761">
        <f>IF(B154&gt;=DevBdgt!$E$7,LOOKUP(B154,DevBdgt!$7:$7,DevBdgt!$6:$6),"")</f>
        <v>58</v>
      </c>
      <c r="B154" s="507">
        <f t="shared" si="10"/>
        <v>48396</v>
      </c>
      <c r="C154" s="7">
        <v>3.1247500000000001E-2</v>
      </c>
      <c r="D154" s="1145">
        <f t="shared" si="9"/>
        <v>3.1247500000000001E-2</v>
      </c>
      <c r="Q154" s="507">
        <f t="shared" si="11"/>
        <v>48396</v>
      </c>
      <c r="T154" s="344">
        <f ca="1">IF(ROUND(LOOKUP(Q154,Waterfalls!$6:$6,Waterfalls!$14:$14),0)&gt;0,1,0)*(D154+$H$4)</f>
        <v>0</v>
      </c>
      <c r="U154" s="508" t="str">
        <f ca="1">IF(T154&lt;&gt;0,LOOKUP(Q154,Waterfalls!$6:$6,Waterfalls!$14:$14),"")</f>
        <v/>
      </c>
      <c r="V154" s="508" t="str">
        <f ca="1">IF(T154&lt;&gt;0,-LOOKUP(Q154,Waterfalls!$6:$6,Waterfalls!$152:$152),"")</f>
        <v/>
      </c>
      <c r="X154" s="344">
        <f ca="1">IF(ROUND(LOOKUP($Q154,Waterfalls!$6:$6,Waterfalls!$21:$21),0)&gt;0,1,0)*($D154+$O$6)</f>
        <v>5.3747500000000004E-2</v>
      </c>
      <c r="Y154" s="508">
        <f ca="1">IF(X154&lt;&gt;0,LOOKUP($Q154,Waterfalls!$6:$6,Waterfalls!$21:$21),"")</f>
        <v>41971360.033379607</v>
      </c>
      <c r="Z154" s="508">
        <f ca="1">IF(X154&lt;&gt;0,-LOOKUP($Q154,Waterfalls!$6:$6,Waterfalls!$153:$153),"")</f>
        <v>266507.95792204805</v>
      </c>
    </row>
    <row r="155" spans="1:26" x14ac:dyDescent="0.3">
      <c r="A155" s="761">
        <f>IF(B155&gt;=DevBdgt!$E$7,LOOKUP(B155,DevBdgt!$7:$7,DevBdgt!$6:$6),"")</f>
        <v>59</v>
      </c>
      <c r="B155" s="507">
        <f t="shared" si="10"/>
        <v>48427</v>
      </c>
      <c r="C155" s="7">
        <v>3.1298600000000003E-2</v>
      </c>
      <c r="D155" s="1145">
        <f t="shared" si="9"/>
        <v>3.1298600000000003E-2</v>
      </c>
      <c r="Q155" s="507">
        <f t="shared" si="11"/>
        <v>48427</v>
      </c>
      <c r="T155" s="344">
        <f ca="1">IF(ROUND(LOOKUP(Q155,Waterfalls!$6:$6,Waterfalls!$14:$14),0)&gt;0,1,0)*(D155+$H$4)</f>
        <v>0</v>
      </c>
      <c r="U155" s="508" t="str">
        <f ca="1">IF(T155&lt;&gt;0,LOOKUP(Q155,Waterfalls!$6:$6,Waterfalls!$14:$14),"")</f>
        <v/>
      </c>
      <c r="V155" s="508" t="str">
        <f ca="1">IF(T155&lt;&gt;0,-LOOKUP(Q155,Waterfalls!$6:$6,Waterfalls!$152:$152),"")</f>
        <v/>
      </c>
      <c r="X155" s="344">
        <f ca="1">IF(ROUND(LOOKUP($Q155,Waterfalls!$6:$6,Waterfalls!$21:$21),0)&gt;0,1,0)*($D155+$O$6)</f>
        <v>5.3798600000000002E-2</v>
      </c>
      <c r="Y155" s="508">
        <f ca="1">IF(X155&lt;&gt;0,LOOKUP($Q155,Waterfalls!$6:$6,Waterfalls!$21:$21),"")</f>
        <v>41924102.415761262</v>
      </c>
      <c r="Z155" s="508">
        <f ca="1">IF(X155&lt;&gt;0,-LOOKUP($Q155,Waterfalls!$6:$6,Waterfalls!$153:$153),"")</f>
        <v>266507.95792204805</v>
      </c>
    </row>
    <row r="156" spans="1:26" x14ac:dyDescent="0.3">
      <c r="A156" s="761">
        <f>IF(B156&gt;=DevBdgt!$E$7,LOOKUP(B156,DevBdgt!$7:$7,DevBdgt!$6:$6),"")</f>
        <v>60</v>
      </c>
      <c r="B156" s="507">
        <f t="shared" si="10"/>
        <v>48458</v>
      </c>
      <c r="C156" s="7">
        <v>3.1351799999999999E-2</v>
      </c>
      <c r="D156" s="1145">
        <f t="shared" si="9"/>
        <v>3.1351799999999999E-2</v>
      </c>
      <c r="Q156" s="507">
        <f t="shared" si="11"/>
        <v>48458</v>
      </c>
      <c r="T156" s="344">
        <f ca="1">IF(ROUND(LOOKUP(Q156,Waterfalls!$6:$6,Waterfalls!$14:$14),0)&gt;0,1,0)*(D156+$H$4)</f>
        <v>0</v>
      </c>
      <c r="U156" s="508" t="str">
        <f ca="1">IF(T156&lt;&gt;0,LOOKUP(Q156,Waterfalls!$6:$6,Waterfalls!$14:$14),"")</f>
        <v/>
      </c>
      <c r="V156" s="508" t="str">
        <f ca="1">IF(T156&lt;&gt;0,-LOOKUP(Q156,Waterfalls!$6:$6,Waterfalls!$152:$152),"")</f>
        <v/>
      </c>
      <c r="X156" s="344">
        <f ca="1">IF(ROUND(LOOKUP($Q156,Waterfalls!$6:$6,Waterfalls!$21:$21),0)&gt;0,1,0)*($D156+$O$6)</f>
        <v>5.3851799999999998E-2</v>
      </c>
      <c r="Y156" s="508">
        <f ca="1">IF(X156&lt;&gt;0,LOOKUP($Q156,Waterfalls!$6:$6,Waterfalls!$21:$21),"")</f>
        <v>41876597.933406189</v>
      </c>
      <c r="Z156" s="508">
        <f ca="1">IF(X156&lt;&gt;0,-LOOKUP($Q156,Waterfalls!$6:$6,Waterfalls!$153:$153),"")</f>
        <v>266507.95792204805</v>
      </c>
    </row>
    <row r="157" spans="1:26" x14ac:dyDescent="0.3">
      <c r="A157" s="761">
        <f>IF(B157&gt;=DevBdgt!$E$7,LOOKUP(B157,DevBdgt!$7:$7,DevBdgt!$6:$6),"")</f>
        <v>61</v>
      </c>
      <c r="B157" s="507">
        <f t="shared" si="10"/>
        <v>48488</v>
      </c>
      <c r="C157" s="7">
        <v>3.1402100000000002E-2</v>
      </c>
      <c r="D157" s="1145">
        <f t="shared" si="9"/>
        <v>3.1402100000000002E-2</v>
      </c>
      <c r="Q157" s="507">
        <f t="shared" si="11"/>
        <v>48488</v>
      </c>
      <c r="T157" s="344">
        <f ca="1">IF(ROUND(LOOKUP(Q157,Waterfalls!$6:$6,Waterfalls!$14:$14),0)&gt;0,1,0)*(D157+$H$4)</f>
        <v>0</v>
      </c>
      <c r="U157" s="508" t="str">
        <f ca="1">IF(T157&lt;&gt;0,LOOKUP(Q157,Waterfalls!$6:$6,Waterfalls!$14:$14),"")</f>
        <v/>
      </c>
      <c r="V157" s="508" t="str">
        <f ca="1">IF(T157&lt;&gt;0,-LOOKUP(Q157,Waterfalls!$6:$6,Waterfalls!$152:$152),"")</f>
        <v/>
      </c>
      <c r="X157" s="344">
        <f ca="1">IF(ROUND(LOOKUP($Q157,Waterfalls!$6:$6,Waterfalls!$21:$21),0)&gt;0,1,0)*($D157+$O$6)</f>
        <v>5.3902100000000001E-2</v>
      </c>
      <c r="Y157" s="508">
        <f ca="1">IF(X157&lt;&gt;0,LOOKUP($Q157,Waterfalls!$6:$6,Waterfalls!$21:$21),"")</f>
        <v>41828845.296740316</v>
      </c>
      <c r="Z157" s="508">
        <f ca="1">IF(X157&lt;&gt;0,-LOOKUP($Q157,Waterfalls!$6:$6,Waterfalls!$153:$153),"")</f>
        <v>266507.95792204805</v>
      </c>
    </row>
    <row r="158" spans="1:26" x14ac:dyDescent="0.3">
      <c r="A158" s="761">
        <f>IF(B158&gt;=DevBdgt!$E$7,LOOKUP(B158,DevBdgt!$7:$7,DevBdgt!$6:$6),"")</f>
        <v>62</v>
      </c>
      <c r="B158" s="507">
        <f t="shared" si="10"/>
        <v>48519</v>
      </c>
      <c r="C158" s="7">
        <v>3.1447500000000003E-2</v>
      </c>
      <c r="D158" s="1145">
        <f t="shared" si="9"/>
        <v>3.1447500000000003E-2</v>
      </c>
      <c r="Q158" s="507">
        <f t="shared" si="11"/>
        <v>48519</v>
      </c>
      <c r="T158" s="344">
        <f ca="1">IF(ROUND(LOOKUP(Q158,Waterfalls!$6:$6,Waterfalls!$14:$14),0)&gt;0,1,0)*(D158+$H$4)</f>
        <v>0</v>
      </c>
      <c r="U158" s="508" t="str">
        <f ca="1">IF(T158&lt;&gt;0,LOOKUP(Q158,Waterfalls!$6:$6,Waterfalls!$14:$14),"")</f>
        <v/>
      </c>
      <c r="V158" s="508" t="str">
        <f ca="1">IF(T158&lt;&gt;0,-LOOKUP(Q158,Waterfalls!$6:$6,Waterfalls!$152:$152),"")</f>
        <v/>
      </c>
      <c r="X158" s="344">
        <f ca="1">IF(ROUND(LOOKUP($Q158,Waterfalls!$6:$6,Waterfalls!$21:$21),0)&gt;0,1,0)*($D158+$O$6)</f>
        <v>5.3947500000000002E-2</v>
      </c>
      <c r="Y158" s="508">
        <f ca="1">IF(X158&lt;&gt;0,LOOKUP($Q158,Waterfalls!$6:$6,Waterfalls!$21:$21),"")</f>
        <v>41780843.209453091</v>
      </c>
      <c r="Z158" s="508">
        <f ca="1">IF(X158&lt;&gt;0,-LOOKUP($Q158,Waterfalls!$6:$6,Waterfalls!$153:$153),"")</f>
        <v>266507.95792204805</v>
      </c>
    </row>
    <row r="159" spans="1:26" x14ac:dyDescent="0.3">
      <c r="A159" s="761">
        <f>IF(B159&gt;=DevBdgt!$E$7,LOOKUP(B159,DevBdgt!$7:$7,DevBdgt!$6:$6),"")</f>
        <v>63</v>
      </c>
      <c r="B159" s="507">
        <f t="shared" si="10"/>
        <v>48549</v>
      </c>
      <c r="C159" s="7">
        <v>3.1501000000000001E-2</v>
      </c>
      <c r="D159" s="1145">
        <f t="shared" si="9"/>
        <v>3.1501000000000001E-2</v>
      </c>
      <c r="Q159" s="507">
        <f t="shared" si="11"/>
        <v>48549</v>
      </c>
      <c r="T159" s="344">
        <f ca="1">IF(ROUND(LOOKUP(Q159,Waterfalls!$6:$6,Waterfalls!$14:$14),0)&gt;0,1,0)*(D159+$H$4)</f>
        <v>0</v>
      </c>
      <c r="U159" s="508" t="str">
        <f ca="1">IF(T159&lt;&gt;0,LOOKUP(Q159,Waterfalls!$6:$6,Waterfalls!$14:$14),"")</f>
        <v/>
      </c>
      <c r="V159" s="508" t="str">
        <f ca="1">IF(T159&lt;&gt;0,-LOOKUP(Q159,Waterfalls!$6:$6,Waterfalls!$152:$152),"")</f>
        <v/>
      </c>
      <c r="X159" s="344">
        <f ca="1">IF(ROUND(LOOKUP($Q159,Waterfalls!$6:$6,Waterfalls!$21:$21),0)&gt;0,1,0)*($D159+$O$6)</f>
        <v>5.4001E-2</v>
      </c>
      <c r="Y159" s="508">
        <f ca="1">IF(X159&lt;&gt;0,LOOKUP($Q159,Waterfalls!$6:$6,Waterfalls!$21:$21),"")</f>
        <v>41732590.368462279</v>
      </c>
      <c r="Z159" s="508">
        <f ca="1">IF(X159&lt;&gt;0,-LOOKUP($Q159,Waterfalls!$6:$6,Waterfalls!$153:$153),"")</f>
        <v>266507.95792204805</v>
      </c>
    </row>
    <row r="160" spans="1:26" x14ac:dyDescent="0.3">
      <c r="A160" s="761">
        <f>IF(B160&gt;=DevBdgt!$E$7,LOOKUP(B160,DevBdgt!$7:$7,DevBdgt!$6:$6),"")</f>
        <v>64</v>
      </c>
      <c r="B160" s="507">
        <f t="shared" si="10"/>
        <v>48580</v>
      </c>
      <c r="C160" s="7">
        <v>3.1551099999999999E-2</v>
      </c>
      <c r="D160" s="1145">
        <f t="shared" si="9"/>
        <v>3.1551099999999999E-2</v>
      </c>
      <c r="Q160" s="507">
        <f t="shared" si="11"/>
        <v>48580</v>
      </c>
      <c r="T160" s="344">
        <f ca="1">IF(ROUND(LOOKUP(Q160,Waterfalls!$6:$6,Waterfalls!$14:$14),0)&gt;0,1,0)*(D160+$H$4)</f>
        <v>0</v>
      </c>
      <c r="U160" s="508" t="str">
        <f ca="1">IF(T160&lt;&gt;0,LOOKUP(Q160,Waterfalls!$6:$6,Waterfalls!$14:$14),"")</f>
        <v/>
      </c>
      <c r="V160" s="508" t="str">
        <f ca="1">IF(T160&lt;&gt;0,-LOOKUP(Q160,Waterfalls!$6:$6,Waterfalls!$152:$152),"")</f>
        <v/>
      </c>
      <c r="X160" s="344">
        <f ca="1">IF(ROUND(LOOKUP($Q160,Waterfalls!$6:$6,Waterfalls!$21:$21),0)&gt;0,1,0)*($D160+$O$6)</f>
        <v>5.4051099999999998E-2</v>
      </c>
      <c r="Y160" s="508">
        <f ca="1">IF(X160&lt;&gt;0,LOOKUP($Q160,Waterfalls!$6:$6,Waterfalls!$21:$21),"")</f>
        <v>41684085.463878594</v>
      </c>
      <c r="Z160" s="508">
        <f ca="1">IF(X160&lt;&gt;0,-LOOKUP($Q160,Waterfalls!$6:$6,Waterfalls!$153:$153),"")</f>
        <v>266507.95792204805</v>
      </c>
    </row>
    <row r="161" spans="1:26" x14ac:dyDescent="0.3">
      <c r="A161" s="761">
        <f>IF(B161&gt;=DevBdgt!$E$7,LOOKUP(B161,DevBdgt!$7:$7,DevBdgt!$6:$6),"")</f>
        <v>65</v>
      </c>
      <c r="B161" s="507">
        <f t="shared" si="10"/>
        <v>48611</v>
      </c>
      <c r="C161" s="7">
        <v>3.1593400000000001E-2</v>
      </c>
      <c r="D161" s="1145">
        <f t="shared" si="9"/>
        <v>3.1593400000000001E-2</v>
      </c>
      <c r="Q161" s="507">
        <f t="shared" si="11"/>
        <v>48611</v>
      </c>
      <c r="T161" s="344">
        <f ca="1">IF(ROUND(LOOKUP(Q161,Waterfalls!$6:$6,Waterfalls!$14:$14),0)&gt;0,1,0)*(D161+$H$4)</f>
        <v>0</v>
      </c>
      <c r="U161" s="508" t="str">
        <f ca="1">IF(T161&lt;&gt;0,LOOKUP(Q161,Waterfalls!$6:$6,Waterfalls!$14:$14),"")</f>
        <v/>
      </c>
      <c r="V161" s="508" t="str">
        <f ca="1">IF(T161&lt;&gt;0,-LOOKUP(Q161,Waterfalls!$6:$6,Waterfalls!$152:$152),"")</f>
        <v/>
      </c>
      <c r="X161" s="344">
        <f ca="1">IF(ROUND(LOOKUP($Q161,Waterfalls!$6:$6,Waterfalls!$21:$21),0)&gt;0,1,0)*($D161+$O$6)</f>
        <v>5.40934E-2</v>
      </c>
      <c r="Y161" s="508">
        <f ca="1">IF(X161&lt;&gt;0,LOOKUP($Q161,Waterfalls!$6:$6,Waterfalls!$21:$21),"")</f>
        <v>41635327.178970136</v>
      </c>
      <c r="Z161" s="508">
        <f ca="1">IF(X161&lt;&gt;0,-LOOKUP($Q161,Waterfalls!$6:$6,Waterfalls!$153:$153),"")</f>
        <v>266507.95792204805</v>
      </c>
    </row>
    <row r="162" spans="1:26" x14ac:dyDescent="0.3">
      <c r="A162" s="761">
        <f>IF(B162&gt;=DevBdgt!$E$7,LOOKUP(B162,DevBdgt!$7:$7,DevBdgt!$6:$6),"")</f>
        <v>66</v>
      </c>
      <c r="B162" s="507">
        <f t="shared" si="10"/>
        <v>48639</v>
      </c>
      <c r="C162" s="7">
        <v>3.16501E-2</v>
      </c>
      <c r="D162" s="1145">
        <f t="shared" si="9"/>
        <v>3.16501E-2</v>
      </c>
      <c r="Q162" s="507">
        <f t="shared" si="11"/>
        <v>48639</v>
      </c>
      <c r="T162" s="344">
        <f ca="1">IF(ROUND(LOOKUP(Q162,Waterfalls!$6:$6,Waterfalls!$14:$14),0)&gt;0,1,0)*(D162+$H$4)</f>
        <v>0</v>
      </c>
      <c r="U162" s="508" t="str">
        <f ca="1">IF(T162&lt;&gt;0,LOOKUP(Q162,Waterfalls!$6:$6,Waterfalls!$14:$14),"")</f>
        <v/>
      </c>
      <c r="V162" s="508" t="str">
        <f ca="1">IF(T162&lt;&gt;0,-LOOKUP(Q162,Waterfalls!$6:$6,Waterfalls!$152:$152),"")</f>
        <v/>
      </c>
      <c r="X162" s="344">
        <f ca="1">IF(ROUND(LOOKUP($Q162,Waterfalls!$6:$6,Waterfalls!$21:$21),0)&gt;0,1,0)*($D162+$O$6)</f>
        <v>5.41501E-2</v>
      </c>
      <c r="Y162" s="508">
        <f ca="1">IF(X162&lt;&gt;0,LOOKUP($Q162,Waterfalls!$6:$6,Waterfalls!$21:$21),"")</f>
        <v>41586314.19012665</v>
      </c>
      <c r="Z162" s="508">
        <f ca="1">IF(X162&lt;&gt;0,-LOOKUP($Q162,Waterfalls!$6:$6,Waterfalls!$153:$153),"")</f>
        <v>266507.95792204805</v>
      </c>
    </row>
    <row r="163" spans="1:26" x14ac:dyDescent="0.3">
      <c r="A163" s="761">
        <f>IF(B163&gt;=DevBdgt!$E$7,LOOKUP(B163,DevBdgt!$7:$7,DevBdgt!$6:$6),"")</f>
        <v>67</v>
      </c>
      <c r="B163" s="507">
        <f t="shared" si="10"/>
        <v>48670</v>
      </c>
      <c r="C163" s="7">
        <v>3.1697099999999999E-2</v>
      </c>
      <c r="D163" s="1145">
        <f t="shared" si="9"/>
        <v>3.1697099999999999E-2</v>
      </c>
      <c r="Q163" s="507">
        <f t="shared" si="11"/>
        <v>48670</v>
      </c>
      <c r="T163" s="344">
        <f ca="1">IF(ROUND(LOOKUP(Q163,Waterfalls!$6:$6,Waterfalls!$14:$14),0)&gt;0,1,0)*(D163+$H$4)</f>
        <v>0</v>
      </c>
      <c r="U163" s="508" t="str">
        <f ca="1">IF(T163&lt;&gt;0,LOOKUP(Q163,Waterfalls!$6:$6,Waterfalls!$14:$14),"")</f>
        <v/>
      </c>
      <c r="V163" s="508" t="str">
        <f ca="1">IF(T163&lt;&gt;0,-LOOKUP(Q163,Waterfalls!$6:$6,Waterfalls!$152:$152),"")</f>
        <v/>
      </c>
      <c r="X163" s="344">
        <f ca="1">IF(ROUND(LOOKUP($Q163,Waterfalls!$6:$6,Waterfalls!$21:$21),0)&gt;0,1,0)*($D163+$O$6)</f>
        <v>5.4197099999999998E-2</v>
      </c>
      <c r="Y163" s="508">
        <f ca="1">IF(X163&lt;&gt;0,LOOKUP($Q163,Waterfalls!$6:$6,Waterfalls!$21:$21),"")</f>
        <v>41537045.166823603</v>
      </c>
      <c r="Z163" s="508">
        <f ca="1">IF(X163&lt;&gt;0,-LOOKUP($Q163,Waterfalls!$6:$6,Waterfalls!$153:$153),"")</f>
        <v>266507.95792204805</v>
      </c>
    </row>
    <row r="164" spans="1:26" x14ac:dyDescent="0.3">
      <c r="A164" s="761">
        <f>IF(B164&gt;=DevBdgt!$E$7,LOOKUP(B164,DevBdgt!$7:$7,DevBdgt!$6:$6),"")</f>
        <v>68</v>
      </c>
      <c r="B164" s="507">
        <f t="shared" si="10"/>
        <v>48700</v>
      </c>
      <c r="C164" s="7">
        <v>3.1744599999999998E-2</v>
      </c>
      <c r="D164" s="1145">
        <f t="shared" si="9"/>
        <v>3.1744599999999998E-2</v>
      </c>
      <c r="Q164" s="507">
        <f t="shared" si="11"/>
        <v>48700</v>
      </c>
      <c r="T164" s="344">
        <f ca="1">IF(ROUND(LOOKUP(Q164,Waterfalls!$6:$6,Waterfalls!$14:$14),0)&gt;0,1,0)*(D164+$H$4)</f>
        <v>0</v>
      </c>
      <c r="U164" s="508" t="str">
        <f ca="1">IF(T164&lt;&gt;0,LOOKUP(Q164,Waterfalls!$6:$6,Waterfalls!$14:$14),"")</f>
        <v/>
      </c>
      <c r="V164" s="508" t="str">
        <f ca="1">IF(T164&lt;&gt;0,-LOOKUP(Q164,Waterfalls!$6:$6,Waterfalls!$152:$152),"")</f>
        <v/>
      </c>
      <c r="X164" s="344">
        <f ca="1">IF(ROUND(LOOKUP($Q164,Waterfalls!$6:$6,Waterfalls!$21:$21),0)&gt;0,1,0)*($D164+$O$6)</f>
        <v>5.4244599999999997E-2</v>
      </c>
      <c r="Y164" s="508">
        <f ca="1">IF(X164&lt;&gt;0,LOOKUP($Q164,Waterfalls!$6:$6,Waterfalls!$21:$21),"")</f>
        <v>41487518.771586053</v>
      </c>
      <c r="Z164" s="508">
        <f ca="1">IF(X164&lt;&gt;0,-LOOKUP($Q164,Waterfalls!$6:$6,Waterfalls!$153:$153),"")</f>
        <v>266507.95792204805</v>
      </c>
    </row>
    <row r="165" spans="1:26" x14ac:dyDescent="0.3">
      <c r="A165" s="761">
        <f>IF(B165&gt;=DevBdgt!$E$7,LOOKUP(B165,DevBdgt!$7:$7,DevBdgt!$6:$6),"")</f>
        <v>69</v>
      </c>
      <c r="B165" s="507">
        <f t="shared" si="10"/>
        <v>48731</v>
      </c>
      <c r="C165" s="7">
        <v>2.4550099999999998E-2</v>
      </c>
      <c r="D165" s="1145">
        <f t="shared" si="9"/>
        <v>2.4550099999999998E-2</v>
      </c>
      <c r="Q165" s="507">
        <f t="shared" si="11"/>
        <v>48731</v>
      </c>
      <c r="T165" s="344">
        <f ca="1">IF(ROUND(LOOKUP(Q165,Waterfalls!$6:$6,Waterfalls!$14:$14),0)&gt;0,1,0)*(D165+$H$4)</f>
        <v>0</v>
      </c>
      <c r="U165" s="508" t="str">
        <f ca="1">IF(T165&lt;&gt;0,LOOKUP(Q165,Waterfalls!$6:$6,Waterfalls!$14:$14),"")</f>
        <v/>
      </c>
      <c r="V165" s="508" t="str">
        <f ca="1">IF(T165&lt;&gt;0,-LOOKUP(Q165,Waterfalls!$6:$6,Waterfalls!$152:$152),"")</f>
        <v/>
      </c>
      <c r="X165" s="344">
        <f ca="1">IF(ROUND(LOOKUP($Q165,Waterfalls!$6:$6,Waterfalls!$21:$21),0)&gt;0,1,0)*($D165+$O$6)</f>
        <v>4.7050099999999997E-2</v>
      </c>
      <c r="Y165" s="508">
        <f ca="1">IF(X165&lt;&gt;0,LOOKUP($Q165,Waterfalls!$6:$6,Waterfalls!$21:$21),"")</f>
        <v>41437733.659952343</v>
      </c>
      <c r="Z165" s="508">
        <f ca="1">IF(X165&lt;&gt;0,-LOOKUP($Q165,Waterfalls!$6:$6,Waterfalls!$153:$153),"")</f>
        <v>266507.95792204805</v>
      </c>
    </row>
    <row r="166" spans="1:26" x14ac:dyDescent="0.3">
      <c r="A166" s="761">
        <f>IF(B166&gt;=DevBdgt!$E$7,LOOKUP(B166,DevBdgt!$7:$7,DevBdgt!$6:$6),"")</f>
        <v>70</v>
      </c>
      <c r="B166" s="507">
        <f t="shared" si="10"/>
        <v>48761</v>
      </c>
      <c r="C166" s="7">
        <v>2.4580100000000001E-2</v>
      </c>
      <c r="D166" s="1145">
        <f t="shared" si="9"/>
        <v>2.4580100000000001E-2</v>
      </c>
      <c r="Q166" s="507">
        <f t="shared" si="11"/>
        <v>48761</v>
      </c>
      <c r="T166" s="344">
        <f ca="1">IF(ROUND(LOOKUP(Q166,Waterfalls!$6:$6,Waterfalls!$14:$14),0)&gt;0,1,0)*(D166+$H$4)</f>
        <v>0</v>
      </c>
      <c r="U166" s="508" t="str">
        <f ca="1">IF(T166&lt;&gt;0,LOOKUP(Q166,Waterfalls!$6:$6,Waterfalls!$14:$14),"")</f>
        <v/>
      </c>
      <c r="V166" s="508" t="str">
        <f ca="1">IF(T166&lt;&gt;0,-LOOKUP(Q166,Waterfalls!$6:$6,Waterfalls!$152:$152),"")</f>
        <v/>
      </c>
      <c r="X166" s="344">
        <f ca="1">IF(ROUND(LOOKUP($Q166,Waterfalls!$6:$6,Waterfalls!$21:$21),0)&gt;0,1,0)*($D166+$O$6)</f>
        <v>4.70801E-2</v>
      </c>
      <c r="Y166" s="508">
        <f ca="1">IF(X166&lt;&gt;0,LOOKUP($Q166,Waterfalls!$6:$6,Waterfalls!$21:$21),"")</f>
        <v>41387688.480437599</v>
      </c>
      <c r="Z166" s="508">
        <f ca="1">IF(X166&lt;&gt;0,-LOOKUP($Q166,Waterfalls!$6:$6,Waterfalls!$153:$153),"")</f>
        <v>266507.95792204805</v>
      </c>
    </row>
    <row r="167" spans="1:26" x14ac:dyDescent="0.3">
      <c r="A167" s="761">
        <f>IF(B167&gt;=DevBdgt!$E$7,LOOKUP(B167,DevBdgt!$7:$7,DevBdgt!$6:$6),"")</f>
        <v>71</v>
      </c>
      <c r="B167" s="507">
        <f t="shared" si="10"/>
        <v>48792</v>
      </c>
      <c r="C167" s="7">
        <v>2.46001E-2</v>
      </c>
      <c r="D167" s="1145">
        <f t="shared" si="9"/>
        <v>2.46001E-2</v>
      </c>
      <c r="Q167" s="507">
        <f t="shared" si="11"/>
        <v>48792</v>
      </c>
      <c r="T167" s="344">
        <f ca="1">IF(ROUND(LOOKUP(Q167,Waterfalls!$6:$6,Waterfalls!$14:$14),0)&gt;0,1,0)*(D167+$H$4)</f>
        <v>0</v>
      </c>
      <c r="U167" s="508" t="str">
        <f ca="1">IF(T167&lt;&gt;0,LOOKUP(Q167,Waterfalls!$6:$6,Waterfalls!$14:$14),"")</f>
        <v/>
      </c>
      <c r="V167" s="508" t="str">
        <f ca="1">IF(T167&lt;&gt;0,-LOOKUP(Q167,Waterfalls!$6:$6,Waterfalls!$152:$152),"")</f>
        <v/>
      </c>
      <c r="X167" s="344">
        <f ca="1">IF(ROUND(LOOKUP($Q167,Waterfalls!$6:$6,Waterfalls!$21:$21),0)&gt;0,1,0)*($D167+$O$6)</f>
        <v>4.7100099999999999E-2</v>
      </c>
      <c r="Y167" s="508">
        <f ca="1">IF(X167&lt;&gt;0,LOOKUP($Q167,Waterfalls!$6:$6,Waterfalls!$21:$21),"")</f>
        <v>41337381.874497063</v>
      </c>
      <c r="Z167" s="508">
        <f ca="1">IF(X167&lt;&gt;0,-LOOKUP($Q167,Waterfalls!$6:$6,Waterfalls!$153:$153),"")</f>
        <v>266507.95792204805</v>
      </c>
    </row>
    <row r="168" spans="1:26" x14ac:dyDescent="0.3">
      <c r="A168" s="761">
        <f>IF(B168&gt;=DevBdgt!$E$7,LOOKUP(B168,DevBdgt!$7:$7,DevBdgt!$6:$6),"")</f>
        <v>72</v>
      </c>
      <c r="B168" s="507">
        <f t="shared" si="10"/>
        <v>48823</v>
      </c>
      <c r="C168" s="7">
        <v>2.46339E-2</v>
      </c>
      <c r="D168" s="1145">
        <f t="shared" si="9"/>
        <v>2.46339E-2</v>
      </c>
      <c r="Q168" s="507">
        <f t="shared" si="11"/>
        <v>48823</v>
      </c>
      <c r="T168" s="344">
        <f ca="1">IF(ROUND(LOOKUP(Q168,Waterfalls!$6:$6,Waterfalls!$14:$14),0)&gt;0,1,0)*(D168+$H$4)</f>
        <v>0</v>
      </c>
      <c r="U168" s="508" t="str">
        <f ca="1">IF(T168&lt;&gt;0,LOOKUP(Q168,Waterfalls!$6:$6,Waterfalls!$14:$14),"")</f>
        <v/>
      </c>
      <c r="V168" s="508" t="str">
        <f ca="1">IF(T168&lt;&gt;0,-LOOKUP(Q168,Waterfalls!$6:$6,Waterfalls!$152:$152),"")</f>
        <v/>
      </c>
      <c r="X168" s="344">
        <f ca="1">IF(ROUND(LOOKUP($Q168,Waterfalls!$6:$6,Waterfalls!$21:$21),0)&gt;0,1,0)*($D168+$O$6)</f>
        <v>4.7133899999999999E-2</v>
      </c>
      <c r="Y168" s="508">
        <f ca="1">IF(X168&lt;&gt;0,LOOKUP($Q168,Waterfalls!$6:$6,Waterfalls!$21:$21),"")</f>
        <v>41286812.476489194</v>
      </c>
      <c r="Z168" s="508">
        <f ca="1">IF(X168&lt;&gt;0,-LOOKUP($Q168,Waterfalls!$6:$6,Waterfalls!$153:$153),"")</f>
        <v>266507.95792204805</v>
      </c>
    </row>
    <row r="169" spans="1:26" x14ac:dyDescent="0.3">
      <c r="A169" s="761">
        <f>IF(B169&gt;=DevBdgt!$E$7,LOOKUP(B169,DevBdgt!$7:$7,DevBdgt!$6:$6),"")</f>
        <v>73</v>
      </c>
      <c r="B169" s="507">
        <f t="shared" si="10"/>
        <v>48853</v>
      </c>
      <c r="C169" s="7">
        <v>2.4669300000000002E-2</v>
      </c>
      <c r="D169" s="1145">
        <f t="shared" si="9"/>
        <v>2.4669300000000002E-2</v>
      </c>
      <c r="Q169" s="507">
        <f t="shared" si="11"/>
        <v>48853</v>
      </c>
      <c r="T169" s="344">
        <f ca="1">IF(ROUND(LOOKUP(Q169,Waterfalls!$6:$6,Waterfalls!$14:$14),0)&gt;0,1,0)*(D169+$H$4)</f>
        <v>0</v>
      </c>
      <c r="U169" s="508" t="str">
        <f ca="1">IF(T169&lt;&gt;0,LOOKUP(Q169,Waterfalls!$6:$6,Waterfalls!$14:$14),"")</f>
        <v/>
      </c>
      <c r="V169" s="508" t="str">
        <f ca="1">IF(T169&lt;&gt;0,-LOOKUP(Q169,Waterfalls!$6:$6,Waterfalls!$152:$152),"")</f>
        <v/>
      </c>
      <c r="X169" s="344">
        <f ca="1">IF(ROUND(LOOKUP($Q169,Waterfalls!$6:$6,Waterfalls!$21:$21),0)&gt;0,1,0)*($D169+$O$6)</f>
        <v>4.7169299999999997E-2</v>
      </c>
      <c r="Y169" s="508">
        <f ca="1">IF(X169&lt;&gt;0,LOOKUP($Q169,Waterfalls!$6:$6,Waterfalls!$21:$21),"")</f>
        <v>41235978.913638599</v>
      </c>
      <c r="Z169" s="508">
        <f ca="1">IF(X169&lt;&gt;0,-LOOKUP($Q169,Waterfalls!$6:$6,Waterfalls!$153:$153),"")</f>
        <v>266507.95792204805</v>
      </c>
    </row>
    <row r="170" spans="1:26" x14ac:dyDescent="0.3">
      <c r="A170" s="761">
        <f>IF(B170&gt;=DevBdgt!$E$7,LOOKUP(B170,DevBdgt!$7:$7,DevBdgt!$6:$6),"")</f>
        <v>74</v>
      </c>
      <c r="B170" s="507">
        <f t="shared" si="10"/>
        <v>48884</v>
      </c>
      <c r="C170" s="7">
        <v>2.46999E-2</v>
      </c>
      <c r="D170" s="1145">
        <f t="shared" si="9"/>
        <v>2.46999E-2</v>
      </c>
      <c r="Q170" s="507">
        <f t="shared" si="11"/>
        <v>48884</v>
      </c>
      <c r="T170" s="344">
        <f ca="1">IF(ROUND(LOOKUP(Q170,Waterfalls!$6:$6,Waterfalls!$14:$14),0)&gt;0,1,0)*(D170+$H$4)</f>
        <v>0</v>
      </c>
      <c r="U170" s="508" t="str">
        <f ca="1">IF(T170&lt;&gt;0,LOOKUP(Q170,Waterfalls!$6:$6,Waterfalls!$14:$14),"")</f>
        <v/>
      </c>
      <c r="V170" s="508" t="str">
        <f ca="1">IF(T170&lt;&gt;0,-LOOKUP(Q170,Waterfalls!$6:$6,Waterfalls!$152:$152),"")</f>
        <v/>
      </c>
      <c r="X170" s="344">
        <f ca="1">IF(ROUND(LOOKUP($Q170,Waterfalls!$6:$6,Waterfalls!$21:$21),0)&gt;0,1,0)*($D170+$O$6)</f>
        <v>4.7199900000000003E-2</v>
      </c>
      <c r="Y170" s="508">
        <f ca="1">IF(X170&lt;&gt;0,LOOKUP($Q170,Waterfalls!$6:$6,Waterfalls!$21:$21),"")</f>
        <v>41184879.805998772</v>
      </c>
      <c r="Z170" s="508">
        <f ca="1">IF(X170&lt;&gt;0,-LOOKUP($Q170,Waterfalls!$6:$6,Waterfalls!$153:$153),"")</f>
        <v>266507.95792204805</v>
      </c>
    </row>
    <row r="171" spans="1:26" x14ac:dyDescent="0.3">
      <c r="A171" s="761">
        <f>IF(B171&gt;=DevBdgt!$E$7,LOOKUP(B171,DevBdgt!$7:$7,DevBdgt!$6:$6),"")</f>
        <v>75</v>
      </c>
      <c r="B171" s="507">
        <f t="shared" si="10"/>
        <v>48914</v>
      </c>
      <c r="C171" s="7">
        <v>2.4742E-2</v>
      </c>
      <c r="D171" s="1145">
        <f t="shared" si="9"/>
        <v>2.4742E-2</v>
      </c>
      <c r="Q171" s="507">
        <f t="shared" si="11"/>
        <v>48914</v>
      </c>
      <c r="T171" s="344">
        <f ca="1">IF(ROUND(LOOKUP(Q171,Waterfalls!$6:$6,Waterfalls!$14:$14),0)&gt;0,1,0)*(D171+$H$4)</f>
        <v>0</v>
      </c>
      <c r="U171" s="508" t="str">
        <f ca="1">IF(T171&lt;&gt;0,LOOKUP(Q171,Waterfalls!$6:$6,Waterfalls!$14:$14),"")</f>
        <v/>
      </c>
      <c r="V171" s="508" t="str">
        <f ca="1">IF(T171&lt;&gt;0,-LOOKUP(Q171,Waterfalls!$6:$6,Waterfalls!$152:$152),"")</f>
        <v/>
      </c>
      <c r="X171" s="344">
        <f ca="1">IF(ROUND(LOOKUP($Q171,Waterfalls!$6:$6,Waterfalls!$21:$21),0)&gt;0,1,0)*($D171+$O$6)</f>
        <v>4.7241999999999999E-2</v>
      </c>
      <c r="Y171" s="508">
        <f ca="1">IF(X171&lt;&gt;0,LOOKUP($Q171,Waterfalls!$6:$6,Waterfalls!$21:$21),"")</f>
        <v>41133513.766414635</v>
      </c>
      <c r="Z171" s="508">
        <f ca="1">IF(X171&lt;&gt;0,-LOOKUP($Q171,Waterfalls!$6:$6,Waterfalls!$153:$153),"")</f>
        <v>266507.95792204805</v>
      </c>
    </row>
    <row r="172" spans="1:26" x14ac:dyDescent="0.3">
      <c r="A172" s="761">
        <f>IF(B172&gt;=DevBdgt!$E$7,LOOKUP(B172,DevBdgt!$7:$7,DevBdgt!$6:$6),"")</f>
        <v>76</v>
      </c>
      <c r="B172" s="507">
        <f t="shared" si="10"/>
        <v>48945</v>
      </c>
      <c r="C172" s="7">
        <v>2.4786599999999999E-2</v>
      </c>
      <c r="D172" s="1145">
        <f t="shared" si="9"/>
        <v>2.4786599999999999E-2</v>
      </c>
      <c r="Q172" s="507">
        <f t="shared" si="11"/>
        <v>48945</v>
      </c>
      <c r="T172" s="344">
        <f ca="1">IF(ROUND(LOOKUP(Q172,Waterfalls!$6:$6,Waterfalls!$14:$14),0)&gt;0,1,0)*(D172+$H$4)</f>
        <v>0</v>
      </c>
      <c r="U172" s="508" t="str">
        <f ca="1">IF(T172&lt;&gt;0,LOOKUP(Q172,Waterfalls!$6:$6,Waterfalls!$14:$14),"")</f>
        <v/>
      </c>
      <c r="V172" s="508" t="str">
        <f ca="1">IF(T172&lt;&gt;0,-LOOKUP(Q172,Waterfalls!$6:$6,Waterfalls!$152:$152),"")</f>
        <v/>
      </c>
      <c r="X172" s="344">
        <f ca="1">IF(ROUND(LOOKUP($Q172,Waterfalls!$6:$6,Waterfalls!$21:$21),0)&gt;0,1,0)*($D172+$O$6)</f>
        <v>4.7286599999999998E-2</v>
      </c>
      <c r="Y172" s="508">
        <f ca="1">IF(X172&lt;&gt;0,LOOKUP($Q172,Waterfalls!$6:$6,Waterfalls!$21:$21),"")</f>
        <v>41081879.400484867</v>
      </c>
      <c r="Z172" s="508">
        <f ca="1">IF(X172&lt;&gt;0,-LOOKUP($Q172,Waterfalls!$6:$6,Waterfalls!$153:$153),"")</f>
        <v>266507.95792204805</v>
      </c>
    </row>
    <row r="173" spans="1:26" x14ac:dyDescent="0.3">
      <c r="A173" s="761">
        <f>IF(B173&gt;=DevBdgt!$E$7,LOOKUP(B173,DevBdgt!$7:$7,DevBdgt!$6:$6),"")</f>
        <v>77</v>
      </c>
      <c r="B173" s="507">
        <f t="shared" si="10"/>
        <v>48976</v>
      </c>
      <c r="C173" s="7">
        <v>2.4825799999999999E-2</v>
      </c>
      <c r="D173" s="1145">
        <f t="shared" si="9"/>
        <v>2.4825799999999999E-2</v>
      </c>
      <c r="Q173" s="507">
        <f t="shared" si="11"/>
        <v>48976</v>
      </c>
      <c r="T173" s="344">
        <f ca="1">IF(ROUND(LOOKUP(Q173,Waterfalls!$6:$6,Waterfalls!$14:$14),0)&gt;0,1,0)*(D173+$H$4)</f>
        <v>0</v>
      </c>
      <c r="U173" s="508" t="str">
        <f ca="1">IF(T173&lt;&gt;0,LOOKUP(Q173,Waterfalls!$6:$6,Waterfalls!$14:$14),"")</f>
        <v/>
      </c>
      <c r="V173" s="508" t="str">
        <f ca="1">IF(T173&lt;&gt;0,-LOOKUP(Q173,Waterfalls!$6:$6,Waterfalls!$152:$152),"")</f>
        <v/>
      </c>
      <c r="X173" s="344">
        <f ca="1">IF(ROUND(LOOKUP($Q173,Waterfalls!$6:$6,Waterfalls!$21:$21),0)&gt;0,1,0)*($D173+$O$6)</f>
        <v>4.7325800000000001E-2</v>
      </c>
      <c r="Y173" s="508">
        <f ca="1">IF(X173&lt;&gt;0,LOOKUP($Q173,Waterfalls!$6:$6,Waterfalls!$21:$21),"")</f>
        <v>41029975.306524068</v>
      </c>
      <c r="Z173" s="508">
        <f ca="1">IF(X173&lt;&gt;0,-LOOKUP($Q173,Waterfalls!$6:$6,Waterfalls!$153:$153),"")</f>
        <v>266507.95792204805</v>
      </c>
    </row>
    <row r="174" spans="1:26" x14ac:dyDescent="0.3">
      <c r="A174" s="761">
        <f>IF(B174&gt;=DevBdgt!$E$7,LOOKUP(B174,DevBdgt!$7:$7,DevBdgt!$6:$6),"")</f>
        <v>78</v>
      </c>
      <c r="B174" s="507">
        <f t="shared" si="10"/>
        <v>49004</v>
      </c>
      <c r="C174" s="7">
        <v>2.4870300000000001E-2</v>
      </c>
      <c r="D174" s="1145">
        <f t="shared" si="9"/>
        <v>2.4870300000000001E-2</v>
      </c>
      <c r="Q174" s="507">
        <f t="shared" si="11"/>
        <v>49004</v>
      </c>
      <c r="T174" s="344">
        <f ca="1">IF(ROUND(LOOKUP(Q174,Waterfalls!$6:$6,Waterfalls!$14:$14),0)&gt;0,1,0)*(D174+$H$4)</f>
        <v>0</v>
      </c>
      <c r="U174" s="508" t="str">
        <f ca="1">IF(T174&lt;&gt;0,LOOKUP(Q174,Waterfalls!$6:$6,Waterfalls!$14:$14),"")</f>
        <v/>
      </c>
      <c r="V174" s="508" t="str">
        <f ca="1">IF(T174&lt;&gt;0,-LOOKUP(Q174,Waterfalls!$6:$6,Waterfalls!$152:$152),"")</f>
        <v/>
      </c>
      <c r="X174" s="344">
        <f ca="1">IF(ROUND(LOOKUP($Q174,Waterfalls!$6:$6,Waterfalls!$21:$21),0)&gt;0,1,0)*($D174+$O$6)</f>
        <v>4.7370300000000004E-2</v>
      </c>
      <c r="Y174" s="508">
        <f ca="1">IF(X174&lt;&gt;0,LOOKUP($Q174,Waterfalls!$6:$6,Waterfalls!$21:$21),"")</f>
        <v>40977800.075524703</v>
      </c>
      <c r="Z174" s="508">
        <f ca="1">IF(X174&lt;&gt;0,-LOOKUP($Q174,Waterfalls!$6:$6,Waterfalls!$153:$153),"")</f>
        <v>266507.95792204805</v>
      </c>
    </row>
    <row r="175" spans="1:26" x14ac:dyDescent="0.3">
      <c r="A175" s="761">
        <f>IF(B175&gt;=DevBdgt!$E$7,LOOKUP(B175,DevBdgt!$7:$7,DevBdgt!$6:$6),"")</f>
        <v>79</v>
      </c>
      <c r="B175" s="507">
        <f t="shared" si="10"/>
        <v>49035</v>
      </c>
      <c r="C175" s="7">
        <v>2.4919500000000001E-2</v>
      </c>
      <c r="D175" s="1145">
        <f t="shared" si="9"/>
        <v>2.4919500000000001E-2</v>
      </c>
      <c r="Q175" s="507">
        <f t="shared" si="11"/>
        <v>49035</v>
      </c>
      <c r="T175" s="344">
        <f ca="1">IF(ROUND(LOOKUP(Q175,Waterfalls!$6:$6,Waterfalls!$14:$14),0)&gt;0,1,0)*(D175+$H$4)</f>
        <v>0</v>
      </c>
      <c r="U175" s="508" t="str">
        <f ca="1">IF(T175&lt;&gt;0,LOOKUP(Q175,Waterfalls!$6:$6,Waterfalls!$14:$14),"")</f>
        <v/>
      </c>
      <c r="V175" s="508" t="str">
        <f ca="1">IF(T175&lt;&gt;0,-LOOKUP(Q175,Waterfalls!$6:$6,Waterfalls!$152:$152),"")</f>
        <v/>
      </c>
      <c r="X175" s="344">
        <f ca="1">IF(ROUND(LOOKUP($Q175,Waterfalls!$6:$6,Waterfalls!$21:$21),0)&gt;0,1,0)*($D175+$O$6)</f>
        <v>4.7419500000000003E-2</v>
      </c>
      <c r="Y175" s="508">
        <f ca="1">IF(X175&lt;&gt;0,LOOKUP($Q175,Waterfalls!$6:$6,Waterfalls!$21:$21),"")</f>
        <v>40925352.291118845</v>
      </c>
      <c r="Z175" s="508">
        <f ca="1">IF(X175&lt;&gt;0,-LOOKUP($Q175,Waterfalls!$6:$6,Waterfalls!$153:$153),"")</f>
        <v>266507.95792204805</v>
      </c>
    </row>
    <row r="176" spans="1:26" x14ac:dyDescent="0.3">
      <c r="A176" s="761">
        <f>IF(B176&gt;=DevBdgt!$E$7,LOOKUP(B176,DevBdgt!$7:$7,DevBdgt!$6:$6),"")</f>
        <v>80</v>
      </c>
      <c r="B176" s="507">
        <f t="shared" si="10"/>
        <v>49065</v>
      </c>
      <c r="C176" s="7">
        <v>2.4958999999999999E-2</v>
      </c>
      <c r="D176" s="1145">
        <f t="shared" si="9"/>
        <v>2.4958999999999999E-2</v>
      </c>
      <c r="Q176" s="507">
        <f t="shared" si="11"/>
        <v>49065</v>
      </c>
      <c r="T176" s="344">
        <f ca="1">IF(ROUND(LOOKUP(Q176,Waterfalls!$6:$6,Waterfalls!$14:$14),0)&gt;0,1,0)*(D176+$H$4)</f>
        <v>0</v>
      </c>
      <c r="U176" s="508" t="str">
        <f ca="1">IF(T176&lt;&gt;0,LOOKUP(Q176,Waterfalls!$6:$6,Waterfalls!$14:$14),"")</f>
        <v/>
      </c>
      <c r="V176" s="508" t="str">
        <f ca="1">IF(T176&lt;&gt;0,-LOOKUP(Q176,Waterfalls!$6:$6,Waterfalls!$152:$152),"")</f>
        <v/>
      </c>
      <c r="X176" s="344">
        <f ca="1">IF(ROUND(LOOKUP($Q176,Waterfalls!$6:$6,Waterfalls!$21:$21),0)&gt;0,1,0)*($D176+$O$6)</f>
        <v>4.7459000000000001E-2</v>
      </c>
      <c r="Y176" s="508">
        <f ca="1">IF(X176&lt;&gt;0,LOOKUP($Q176,Waterfalls!$6:$6,Waterfalls!$21:$21),"")</f>
        <v>40872630.529539749</v>
      </c>
      <c r="Z176" s="508">
        <f ca="1">IF(X176&lt;&gt;0,-LOOKUP($Q176,Waterfalls!$6:$6,Waterfalls!$153:$153),"")</f>
        <v>266507.95792204805</v>
      </c>
    </row>
    <row r="177" spans="1:26" x14ac:dyDescent="0.3">
      <c r="A177" s="761">
        <f>IF(B177&gt;=DevBdgt!$E$7,LOOKUP(B177,DevBdgt!$7:$7,DevBdgt!$6:$6),"")</f>
        <v>81</v>
      </c>
      <c r="B177" s="507">
        <f t="shared" si="10"/>
        <v>49096</v>
      </c>
      <c r="C177" s="7">
        <v>0</v>
      </c>
      <c r="D177" s="1145">
        <f>IF(C177=0,D176,IF(C177&lt;$H$5,$H$5,IF(AND($H$6&gt;0,C177&gt;$H$6),$H$6,C177)))</f>
        <v>2.4958999999999999E-2</v>
      </c>
      <c r="Q177" s="507">
        <f t="shared" si="11"/>
        <v>49096</v>
      </c>
      <c r="T177" s="344">
        <f ca="1">IF(ROUND(LOOKUP(Q177,Waterfalls!$6:$6,Waterfalls!$14:$14),0)&gt;0,1,0)*(D177+$H$4)</f>
        <v>0</v>
      </c>
      <c r="U177" s="508" t="str">
        <f ca="1">IF(T177&lt;&gt;0,LOOKUP(Q177,Waterfalls!$6:$6,Waterfalls!$14:$14),"")</f>
        <v/>
      </c>
      <c r="V177" s="508" t="str">
        <f ca="1">IF(T177&lt;&gt;0,-LOOKUP(Q177,Waterfalls!$6:$6,Waterfalls!$152:$152),"")</f>
        <v/>
      </c>
      <c r="X177" s="344">
        <f ca="1">IF(ROUND(LOOKUP($Q177,Waterfalls!$6:$6,Waterfalls!$21:$21),0)&gt;0,1,0)*($D177+$O$6)</f>
        <v>4.7459000000000001E-2</v>
      </c>
      <c r="Y177" s="508">
        <f ca="1">IF(X177&lt;&gt;0,LOOKUP($Q177,Waterfalls!$6:$6,Waterfalls!$21:$21),"")</f>
        <v>40819633.359583162</v>
      </c>
      <c r="Z177" s="508">
        <f ca="1">IF(X177&lt;&gt;0,-LOOKUP($Q177,Waterfalls!$6:$6,Waterfalls!$153:$153),"")</f>
        <v>266507.95792204805</v>
      </c>
    </row>
    <row r="178" spans="1:26" x14ac:dyDescent="0.3">
      <c r="A178" s="761">
        <f>IF(B178&gt;=DevBdgt!$E$7,LOOKUP(B178,DevBdgt!$7:$7,DevBdgt!$6:$6),"")</f>
        <v>82</v>
      </c>
      <c r="B178" s="507">
        <f t="shared" si="10"/>
        <v>49126</v>
      </c>
      <c r="C178" s="7">
        <v>0</v>
      </c>
      <c r="D178" s="1145">
        <f t="shared" ref="D178:D241" si="12">IF(C178=0,D177,IF(C178&lt;$H$5,$H$5,IF(AND($H$6&gt;0,C178&gt;$H$6),$H$6,C178)))</f>
        <v>2.4958999999999999E-2</v>
      </c>
      <c r="Q178" s="507">
        <f t="shared" si="11"/>
        <v>49126</v>
      </c>
      <c r="T178" s="344">
        <f ca="1">IF(ROUND(LOOKUP(Q178,Waterfalls!$6:$6,Waterfalls!$14:$14),0)&gt;0,1,0)*(D178+$H$4)</f>
        <v>0</v>
      </c>
      <c r="U178" s="508" t="str">
        <f ca="1">IF(T178&lt;&gt;0,LOOKUP(Q178,Waterfalls!$6:$6,Waterfalls!$14:$14),"")</f>
        <v/>
      </c>
      <c r="V178" s="508" t="str">
        <f ca="1">IF(T178&lt;&gt;0,-LOOKUP(Q178,Waterfalls!$6:$6,Waterfalls!$152:$152),"")</f>
        <v/>
      </c>
      <c r="X178" s="344">
        <f ca="1">IF(ROUND(LOOKUP($Q178,Waterfalls!$6:$6,Waterfalls!$21:$21),0)&gt;0,1,0)*($D178+$O$6)</f>
        <v>4.7459000000000001E-2</v>
      </c>
      <c r="Y178" s="508">
        <f ca="1">IF(X178&lt;&gt;0,LOOKUP($Q178,Waterfalls!$6:$6,Waterfalls!$21:$21),"")</f>
        <v>40766359.342568517</v>
      </c>
      <c r="Z178" s="508">
        <f ca="1">IF(X178&lt;&gt;0,-LOOKUP($Q178,Waterfalls!$6:$6,Waterfalls!$153:$153),"")</f>
        <v>266507.95792204805</v>
      </c>
    </row>
    <row r="179" spans="1:26" x14ac:dyDescent="0.3">
      <c r="A179" s="761">
        <f>IF(B179&gt;=DevBdgt!$E$7,LOOKUP(B179,DevBdgt!$7:$7,DevBdgt!$6:$6),"")</f>
        <v>83</v>
      </c>
      <c r="B179" s="507">
        <f t="shared" si="10"/>
        <v>49157</v>
      </c>
      <c r="C179" s="7">
        <v>0</v>
      </c>
      <c r="D179" s="1145">
        <f t="shared" si="12"/>
        <v>2.4958999999999999E-2</v>
      </c>
      <c r="Q179" s="507">
        <f t="shared" si="11"/>
        <v>49157</v>
      </c>
      <c r="T179" s="344">
        <f ca="1">IF(ROUND(LOOKUP(Q179,Waterfalls!$6:$6,Waterfalls!$14:$14),0)&gt;0,1,0)*(D179+$H$4)</f>
        <v>0</v>
      </c>
      <c r="U179" s="508" t="str">
        <f ca="1">IF(T179&lt;&gt;0,LOOKUP(Q179,Waterfalls!$6:$6,Waterfalls!$14:$14),"")</f>
        <v/>
      </c>
      <c r="V179" s="508" t="str">
        <f ca="1">IF(T179&lt;&gt;0,-LOOKUP(Q179,Waterfalls!$6:$6,Waterfalls!$152:$152),"")</f>
        <v/>
      </c>
      <c r="X179" s="344">
        <f ca="1">IF(ROUND(LOOKUP($Q179,Waterfalls!$6:$6,Waterfalls!$21:$21),0)&gt;0,1,0)*($D179+$O$6)</f>
        <v>4.7459000000000001E-2</v>
      </c>
      <c r="Y179" s="508">
        <f ca="1">IF(X179&lt;&gt;0,LOOKUP($Q179,Waterfalls!$6:$6,Waterfalls!$21:$21),"")</f>
        <v>40712807.032299839</v>
      </c>
      <c r="Z179" s="508">
        <f ca="1">IF(X179&lt;&gt;0,-LOOKUP($Q179,Waterfalls!$6:$6,Waterfalls!$153:$153),"")</f>
        <v>266507.95792204805</v>
      </c>
    </row>
    <row r="180" spans="1:26" x14ac:dyDescent="0.3">
      <c r="A180" s="761">
        <f>IF(B180&gt;=DevBdgt!$E$7,LOOKUP(B180,DevBdgt!$7:$7,DevBdgt!$6:$6),"")</f>
        <v>84</v>
      </c>
      <c r="B180" s="507">
        <f t="shared" si="10"/>
        <v>49188</v>
      </c>
      <c r="C180" s="7">
        <v>0</v>
      </c>
      <c r="D180" s="1145">
        <f t="shared" si="12"/>
        <v>2.4958999999999999E-2</v>
      </c>
      <c r="Q180" s="507">
        <f t="shared" si="11"/>
        <v>49188</v>
      </c>
      <c r="T180" s="344">
        <f ca="1">IF(ROUND(LOOKUP(Q180,Waterfalls!$6:$6,Waterfalls!$14:$14),0)&gt;0,1,0)*(D180+$H$4)</f>
        <v>0</v>
      </c>
      <c r="U180" s="508" t="str">
        <f ca="1">IF(T180&lt;&gt;0,LOOKUP(Q180,Waterfalls!$6:$6,Waterfalls!$14:$14),"")</f>
        <v/>
      </c>
      <c r="V180" s="508" t="str">
        <f ca="1">IF(T180&lt;&gt;0,-LOOKUP(Q180,Waterfalls!$6:$6,Waterfalls!$152:$152),"")</f>
        <v/>
      </c>
      <c r="X180" s="344">
        <f ca="1">IF(ROUND(LOOKUP($Q180,Waterfalls!$6:$6,Waterfalls!$21:$21),0)&gt;0,1,0)*($D180+$O$6)</f>
        <v>4.7459000000000001E-2</v>
      </c>
      <c r="Y180" s="508">
        <f ca="1">IF(X180&lt;&gt;0,LOOKUP($Q180,Waterfalls!$6:$6,Waterfalls!$21:$21),"")</f>
        <v>40658974.975026511</v>
      </c>
      <c r="Z180" s="508">
        <f ca="1">IF(X180&lt;&gt;0,-LOOKUP($Q180,Waterfalls!$6:$6,Waterfalls!$153:$153),"")</f>
        <v>266507.95792204805</v>
      </c>
    </row>
    <row r="181" spans="1:26" x14ac:dyDescent="0.3">
      <c r="A181" s="761">
        <f>IF(B181&gt;=DevBdgt!$E$7,LOOKUP(B181,DevBdgt!$7:$7,DevBdgt!$6:$6),"")</f>
        <v>85</v>
      </c>
      <c r="B181" s="507">
        <f t="shared" si="10"/>
        <v>49218</v>
      </c>
      <c r="C181" s="7">
        <v>0</v>
      </c>
      <c r="D181" s="1145">
        <f t="shared" si="12"/>
        <v>2.4958999999999999E-2</v>
      </c>
      <c r="Q181" s="507">
        <f t="shared" si="11"/>
        <v>49218</v>
      </c>
      <c r="T181" s="344">
        <f ca="1">IF(ROUND(LOOKUP(Q181,Waterfalls!$6:$6,Waterfalls!$14:$14),0)&gt;0,1,0)*(D181+$H$4)</f>
        <v>0</v>
      </c>
      <c r="U181" s="508" t="str">
        <f ca="1">IF(T181&lt;&gt;0,LOOKUP(Q181,Waterfalls!$6:$6,Waterfalls!$14:$14),"")</f>
        <v/>
      </c>
      <c r="V181" s="508" t="str">
        <f ca="1">IF(T181&lt;&gt;0,-LOOKUP(Q181,Waterfalls!$6:$6,Waterfalls!$152:$152),"")</f>
        <v/>
      </c>
      <c r="X181" s="344">
        <f ca="1">IF(ROUND(LOOKUP($Q181,Waterfalls!$6:$6,Waterfalls!$21:$21),0)&gt;0,1,0)*($D181+$O$6)</f>
        <v>4.7459000000000001E-2</v>
      </c>
      <c r="Y181" s="508">
        <f ca="1">IF(X181&lt;&gt;0,LOOKUP($Q181,Waterfalls!$6:$6,Waterfalls!$21:$21),"")</f>
        <v>40604861.709403798</v>
      </c>
      <c r="Z181" s="508">
        <f ca="1">IF(X181&lt;&gt;0,-LOOKUP($Q181,Waterfalls!$6:$6,Waterfalls!$153:$153),"")</f>
        <v>266507.95792204805</v>
      </c>
    </row>
    <row r="182" spans="1:26" x14ac:dyDescent="0.3">
      <c r="A182" s="761">
        <f>IF(B182&gt;=DevBdgt!$E$7,LOOKUP(B182,DevBdgt!$7:$7,DevBdgt!$6:$6),"")</f>
        <v>86</v>
      </c>
      <c r="B182" s="507">
        <f t="shared" si="10"/>
        <v>49249</v>
      </c>
      <c r="C182" s="7">
        <v>0</v>
      </c>
      <c r="D182" s="1145">
        <f t="shared" si="12"/>
        <v>2.4958999999999999E-2</v>
      </c>
      <c r="Q182" s="507">
        <f t="shared" si="11"/>
        <v>49249</v>
      </c>
      <c r="T182" s="344">
        <f ca="1">IF(ROUND(LOOKUP(Q182,Waterfalls!$6:$6,Waterfalls!$14:$14),0)&gt;0,1,0)*(D182+$H$4)</f>
        <v>0</v>
      </c>
      <c r="U182" s="508" t="str">
        <f ca="1">IF(T182&lt;&gt;0,LOOKUP(Q182,Waterfalls!$6:$6,Waterfalls!$14:$14),"")</f>
        <v/>
      </c>
      <c r="V182" s="508" t="str">
        <f ca="1">IF(T182&lt;&gt;0,-LOOKUP(Q182,Waterfalls!$6:$6,Waterfalls!$152:$152),"")</f>
        <v/>
      </c>
      <c r="X182" s="344">
        <f ca="1">IF(ROUND(LOOKUP($Q182,Waterfalls!$6:$6,Waterfalls!$21:$21),0)&gt;0,1,0)*($D182+$O$6)</f>
        <v>4.7459000000000001E-2</v>
      </c>
      <c r="Y182" s="508">
        <f ca="1">IF(X182&lt;&gt;0,LOOKUP($Q182,Waterfalls!$6:$6,Waterfalls!$21:$21),"")</f>
        <v>40550465.766453184</v>
      </c>
      <c r="Z182" s="508">
        <f ca="1">IF(X182&lt;&gt;0,-LOOKUP($Q182,Waterfalls!$6:$6,Waterfalls!$153:$153),"")</f>
        <v>266507.95792204805</v>
      </c>
    </row>
    <row r="183" spans="1:26" x14ac:dyDescent="0.3">
      <c r="A183" s="761">
        <f>IF(B183&gt;=DevBdgt!$E$7,LOOKUP(B183,DevBdgt!$7:$7,DevBdgt!$6:$6),"")</f>
        <v>87</v>
      </c>
      <c r="B183" s="507">
        <f t="shared" si="10"/>
        <v>49279</v>
      </c>
      <c r="C183" s="7">
        <v>0</v>
      </c>
      <c r="D183" s="1145">
        <f t="shared" si="12"/>
        <v>2.4958999999999999E-2</v>
      </c>
      <c r="Q183" s="507">
        <f t="shared" si="11"/>
        <v>49279</v>
      </c>
      <c r="T183" s="344">
        <f ca="1">IF(ROUND(LOOKUP(Q183,Waterfalls!$6:$6,Waterfalls!$14:$14),0)&gt;0,1,0)*(D183+$H$4)</f>
        <v>0</v>
      </c>
      <c r="U183" s="508" t="str">
        <f ca="1">IF(T183&lt;&gt;0,LOOKUP(Q183,Waterfalls!$6:$6,Waterfalls!$14:$14),"")</f>
        <v/>
      </c>
      <c r="V183" s="508" t="str">
        <f ca="1">IF(T183&lt;&gt;0,-LOOKUP(Q183,Waterfalls!$6:$6,Waterfalls!$152:$152),"")</f>
        <v/>
      </c>
      <c r="X183" s="344">
        <f ca="1">IF(ROUND(LOOKUP($Q183,Waterfalls!$6:$6,Waterfalls!$21:$21),0)&gt;0,1,0)*($D183+$O$6)</f>
        <v>4.7459000000000001E-2</v>
      </c>
      <c r="Y183" s="508">
        <f ca="1">IF(X183&lt;&gt;0,LOOKUP($Q183,Waterfalls!$6:$6,Waterfalls!$21:$21),"")</f>
        <v>40495785.669522479</v>
      </c>
      <c r="Z183" s="508">
        <f ca="1">IF(X183&lt;&gt;0,-LOOKUP($Q183,Waterfalls!$6:$6,Waterfalls!$153:$153),"")</f>
        <v>266507.95792204805</v>
      </c>
    </row>
    <row r="184" spans="1:26" x14ac:dyDescent="0.3">
      <c r="A184" s="761">
        <f>IF(B184&gt;=DevBdgt!$E$7,LOOKUP(B184,DevBdgt!$7:$7,DevBdgt!$6:$6),"")</f>
        <v>88</v>
      </c>
      <c r="B184" s="507">
        <f t="shared" si="10"/>
        <v>49310</v>
      </c>
      <c r="C184" s="7">
        <v>0</v>
      </c>
      <c r="D184" s="1145">
        <f t="shared" si="12"/>
        <v>2.4958999999999999E-2</v>
      </c>
      <c r="Q184" s="507">
        <f t="shared" si="11"/>
        <v>49310</v>
      </c>
      <c r="T184" s="344">
        <f ca="1">IF(ROUND(LOOKUP(Q184,Waterfalls!$6:$6,Waterfalls!$14:$14),0)&gt;0,1,0)*(D184+$H$4)</f>
        <v>0</v>
      </c>
      <c r="U184" s="508" t="str">
        <f ca="1">IF(T184&lt;&gt;0,LOOKUP(Q184,Waterfalls!$6:$6,Waterfalls!$14:$14),"")</f>
        <v/>
      </c>
      <c r="V184" s="508" t="str">
        <f ca="1">IF(T184&lt;&gt;0,-LOOKUP(Q184,Waterfalls!$6:$6,Waterfalls!$152:$152),"")</f>
        <v/>
      </c>
      <c r="X184" s="344">
        <f ca="1">IF(ROUND(LOOKUP($Q184,Waterfalls!$6:$6,Waterfalls!$21:$21),0)&gt;0,1,0)*($D184+$O$6)</f>
        <v>4.7459000000000001E-2</v>
      </c>
      <c r="Y184" s="508">
        <f ca="1">IF(X184&lt;&gt;0,LOOKUP($Q184,Waterfalls!$6:$6,Waterfalls!$21:$21),"")</f>
        <v>40440819.934245765</v>
      </c>
      <c r="Z184" s="508">
        <f ca="1">IF(X184&lt;&gt;0,-LOOKUP($Q184,Waterfalls!$6:$6,Waterfalls!$153:$153),"")</f>
        <v>266507.95792204805</v>
      </c>
    </row>
    <row r="185" spans="1:26" x14ac:dyDescent="0.3">
      <c r="A185" s="761">
        <f>IF(B185&gt;=DevBdgt!$E$7,LOOKUP(B185,DevBdgt!$7:$7,DevBdgt!$6:$6),"")</f>
        <v>89</v>
      </c>
      <c r="B185" s="507">
        <f t="shared" si="10"/>
        <v>49341</v>
      </c>
      <c r="C185" s="7">
        <v>0</v>
      </c>
      <c r="D185" s="1145">
        <f t="shared" si="12"/>
        <v>2.4958999999999999E-2</v>
      </c>
      <c r="Q185" s="507">
        <f t="shared" si="11"/>
        <v>49341</v>
      </c>
      <c r="T185" s="344">
        <f ca="1">IF(ROUND(LOOKUP(Q185,Waterfalls!$6:$6,Waterfalls!$14:$14),0)&gt;0,1,0)*(D185+$H$4)</f>
        <v>0</v>
      </c>
      <c r="U185" s="508" t="str">
        <f ca="1">IF(T185&lt;&gt;0,LOOKUP(Q185,Waterfalls!$6:$6,Waterfalls!$14:$14),"")</f>
        <v/>
      </c>
      <c r="V185" s="508" t="str">
        <f ca="1">IF(T185&lt;&gt;0,-LOOKUP(Q185,Waterfalls!$6:$6,Waterfalls!$152:$152),"")</f>
        <v/>
      </c>
      <c r="X185" s="344">
        <f ca="1">IF(ROUND(LOOKUP($Q185,Waterfalls!$6:$6,Waterfalls!$21:$21),0)&gt;0,1,0)*($D185+$O$6)</f>
        <v>4.7459000000000001E-2</v>
      </c>
      <c r="Y185" s="508">
        <f ca="1">IF(X185&lt;&gt;0,LOOKUP($Q185,Waterfalls!$6:$6,Waterfalls!$21:$21),"")</f>
        <v>40385567.068503059</v>
      </c>
      <c r="Z185" s="508">
        <f ca="1">IF(X185&lt;&gt;0,-LOOKUP($Q185,Waterfalls!$6:$6,Waterfalls!$153:$153),"")</f>
        <v>266507.95792204805</v>
      </c>
    </row>
    <row r="186" spans="1:26" x14ac:dyDescent="0.3">
      <c r="A186" s="761">
        <f>IF(B186&gt;=DevBdgt!$E$7,LOOKUP(B186,DevBdgt!$7:$7,DevBdgt!$6:$6),"")</f>
        <v>90</v>
      </c>
      <c r="B186" s="507">
        <f t="shared" si="10"/>
        <v>49369</v>
      </c>
      <c r="C186" s="7">
        <v>0</v>
      </c>
      <c r="D186" s="1145">
        <f t="shared" si="12"/>
        <v>2.4958999999999999E-2</v>
      </c>
      <c r="Q186" s="507">
        <f t="shared" si="11"/>
        <v>49369</v>
      </c>
      <c r="T186" s="344">
        <f ca="1">IF(ROUND(LOOKUP(Q186,Waterfalls!$6:$6,Waterfalls!$14:$14),0)&gt;0,1,0)*(D186+$H$4)</f>
        <v>0</v>
      </c>
      <c r="U186" s="508" t="str">
        <f ca="1">IF(T186&lt;&gt;0,LOOKUP(Q186,Waterfalls!$6:$6,Waterfalls!$14:$14),"")</f>
        <v/>
      </c>
      <c r="V186" s="508" t="str">
        <f ca="1">IF(T186&lt;&gt;0,-LOOKUP(Q186,Waterfalls!$6:$6,Waterfalls!$152:$152),"")</f>
        <v/>
      </c>
      <c r="X186" s="344">
        <f ca="1">IF(ROUND(LOOKUP($Q186,Waterfalls!$6:$6,Waterfalls!$21:$21),0)&gt;0,1,0)*($D186+$O$6)</f>
        <v>4.7459000000000001E-2</v>
      </c>
      <c r="Y186" s="508">
        <f ca="1">IF(X186&lt;&gt;0,LOOKUP($Q186,Waterfalls!$6:$6,Waterfalls!$21:$21),"")</f>
        <v>40330025.57237985</v>
      </c>
      <c r="Z186" s="508">
        <f ca="1">IF(X186&lt;&gt;0,-LOOKUP($Q186,Waterfalls!$6:$6,Waterfalls!$153:$153),"")</f>
        <v>266507.95792204805</v>
      </c>
    </row>
    <row r="187" spans="1:26" x14ac:dyDescent="0.3">
      <c r="A187" s="761">
        <f>IF(B187&gt;=DevBdgt!$E$7,LOOKUP(B187,DevBdgt!$7:$7,DevBdgt!$6:$6),"")</f>
        <v>91</v>
      </c>
      <c r="B187" s="507">
        <f t="shared" si="10"/>
        <v>49400</v>
      </c>
      <c r="C187" s="7">
        <v>0</v>
      </c>
      <c r="D187" s="1145">
        <f t="shared" si="12"/>
        <v>2.4958999999999999E-2</v>
      </c>
      <c r="Q187" s="507">
        <f t="shared" si="11"/>
        <v>49400</v>
      </c>
      <c r="T187" s="344">
        <f ca="1">IF(ROUND(LOOKUP(Q187,Waterfalls!$6:$6,Waterfalls!$14:$14),0)&gt;0,1,0)*(D187+$H$4)</f>
        <v>0</v>
      </c>
      <c r="U187" s="508" t="str">
        <f ca="1">IF(T187&lt;&gt;0,LOOKUP(Q187,Waterfalls!$6:$6,Waterfalls!$14:$14),"")</f>
        <v/>
      </c>
      <c r="V187" s="508" t="str">
        <f ca="1">IF(T187&lt;&gt;0,-LOOKUP(Q187,Waterfalls!$6:$6,Waterfalls!$152:$152),"")</f>
        <v/>
      </c>
      <c r="X187" s="344">
        <f ca="1">IF(ROUND(LOOKUP($Q187,Waterfalls!$6:$6,Waterfalls!$21:$21),0)&gt;0,1,0)*($D187+$O$6)</f>
        <v>4.7459000000000001E-2</v>
      </c>
      <c r="Y187" s="508">
        <f ca="1">IF(X187&lt;&gt;0,LOOKUP($Q187,Waterfalls!$6:$6,Waterfalls!$21:$21),"")</f>
        <v>40274193.938126348</v>
      </c>
      <c r="Z187" s="508">
        <f ca="1">IF(X187&lt;&gt;0,-LOOKUP($Q187,Waterfalls!$6:$6,Waterfalls!$153:$153),"")</f>
        <v>266507.95792204805</v>
      </c>
    </row>
    <row r="188" spans="1:26" x14ac:dyDescent="0.3">
      <c r="A188" s="761">
        <f>IF(B188&gt;=DevBdgt!$E$7,LOOKUP(B188,DevBdgt!$7:$7,DevBdgt!$6:$6),"")</f>
        <v>92</v>
      </c>
      <c r="B188" s="507">
        <f t="shared" si="10"/>
        <v>49430</v>
      </c>
      <c r="C188" s="7">
        <v>0</v>
      </c>
      <c r="D188" s="1145">
        <f t="shared" si="12"/>
        <v>2.4958999999999999E-2</v>
      </c>
      <c r="Q188" s="507">
        <f t="shared" si="11"/>
        <v>49430</v>
      </c>
      <c r="T188" s="344">
        <f ca="1">IF(ROUND(LOOKUP(Q188,Waterfalls!$6:$6,Waterfalls!$14:$14),0)&gt;0,1,0)*(D188+$H$4)</f>
        <v>0</v>
      </c>
      <c r="U188" s="508" t="str">
        <f ca="1">IF(T188&lt;&gt;0,LOOKUP(Q188,Waterfalls!$6:$6,Waterfalls!$14:$14),"")</f>
        <v/>
      </c>
      <c r="V188" s="508" t="str">
        <f ca="1">IF(T188&lt;&gt;0,-LOOKUP(Q188,Waterfalls!$6:$6,Waterfalls!$152:$152),"")</f>
        <v/>
      </c>
      <c r="X188" s="344">
        <f ca="1">IF(ROUND(LOOKUP($Q188,Waterfalls!$6:$6,Waterfalls!$21:$21),0)&gt;0,1,0)*($D188+$O$6)</f>
        <v>4.7459000000000001E-2</v>
      </c>
      <c r="Y188" s="508">
        <f ca="1">IF(X188&lt;&gt;0,LOOKUP($Q188,Waterfalls!$6:$6,Waterfalls!$21:$21),"")</f>
        <v>40218070.65011657</v>
      </c>
      <c r="Z188" s="508">
        <f ca="1">IF(X188&lt;&gt;0,-LOOKUP($Q188,Waterfalls!$6:$6,Waterfalls!$153:$153),"")</f>
        <v>266507.95792204805</v>
      </c>
    </row>
    <row r="189" spans="1:26" x14ac:dyDescent="0.3">
      <c r="A189" s="761">
        <f>IF(B189&gt;=DevBdgt!$E$7,LOOKUP(B189,DevBdgt!$7:$7,DevBdgt!$6:$6),"")</f>
        <v>93</v>
      </c>
      <c r="B189" s="507">
        <f t="shared" si="10"/>
        <v>49461</v>
      </c>
      <c r="C189" s="7">
        <v>0</v>
      </c>
      <c r="D189" s="1145">
        <f t="shared" si="12"/>
        <v>2.4958999999999999E-2</v>
      </c>
      <c r="Q189" s="507">
        <f t="shared" si="11"/>
        <v>49461</v>
      </c>
      <c r="T189" s="344">
        <f ca="1">IF(ROUND(LOOKUP(Q189,Waterfalls!$6:$6,Waterfalls!$14:$14),0)&gt;0,1,0)*(D189+$H$4)</f>
        <v>0</v>
      </c>
      <c r="U189" s="508" t="str">
        <f ca="1">IF(T189&lt;&gt;0,LOOKUP(Q189,Waterfalls!$6:$6,Waterfalls!$14:$14),"")</f>
        <v/>
      </c>
      <c r="V189" s="508" t="str">
        <f ca="1">IF(T189&lt;&gt;0,-LOOKUP(Q189,Waterfalls!$6:$6,Waterfalls!$152:$152),"")</f>
        <v/>
      </c>
      <c r="X189" s="344">
        <f ca="1">IF(ROUND(LOOKUP($Q189,Waterfalls!$6:$6,Waterfalls!$21:$21),0)&gt;0,1,0)*($D189+$O$6)</f>
        <v>4.7459000000000001E-2</v>
      </c>
      <c r="Y189" s="508">
        <f ca="1">IF(X189&lt;&gt;0,LOOKUP($Q189,Waterfalls!$6:$6,Waterfalls!$21:$21),"")</f>
        <v>40161654.184807189</v>
      </c>
      <c r="Z189" s="508">
        <f ca="1">IF(X189&lt;&gt;0,-LOOKUP($Q189,Waterfalls!$6:$6,Waterfalls!$153:$153),"")</f>
        <v>266507.95792204805</v>
      </c>
    </row>
    <row r="190" spans="1:26" x14ac:dyDescent="0.3">
      <c r="A190" s="761">
        <f>IF(B190&gt;=DevBdgt!$E$7,LOOKUP(B190,DevBdgt!$7:$7,DevBdgt!$6:$6),"")</f>
        <v>94</v>
      </c>
      <c r="B190" s="507">
        <f t="shared" si="10"/>
        <v>49491</v>
      </c>
      <c r="C190" s="7">
        <v>0</v>
      </c>
      <c r="D190" s="1145">
        <f t="shared" si="12"/>
        <v>2.4958999999999999E-2</v>
      </c>
      <c r="Q190" s="507">
        <f t="shared" si="11"/>
        <v>49491</v>
      </c>
      <c r="T190" s="344">
        <f ca="1">IF(ROUND(LOOKUP(Q190,Waterfalls!$6:$6,Waterfalls!$14:$14),0)&gt;0,1,0)*(D190+$H$4)</f>
        <v>0</v>
      </c>
      <c r="U190" s="508" t="str">
        <f ca="1">IF(T190&lt;&gt;0,LOOKUP(Q190,Waterfalls!$6:$6,Waterfalls!$14:$14),"")</f>
        <v/>
      </c>
      <c r="V190" s="508" t="str">
        <f ca="1">IF(T190&lt;&gt;0,-LOOKUP(Q190,Waterfalls!$6:$6,Waterfalls!$152:$152),"")</f>
        <v/>
      </c>
      <c r="X190" s="344">
        <f ca="1">IF(ROUND(LOOKUP($Q190,Waterfalls!$6:$6,Waterfalls!$21:$21),0)&gt;0,1,0)*($D190+$O$6)</f>
        <v>4.7459000000000001E-2</v>
      </c>
      <c r="Y190" s="508">
        <f ca="1">IF(X190&lt;&gt;0,LOOKUP($Q190,Waterfalls!$6:$6,Waterfalls!$21:$21),"")</f>
        <v>40104943.010696188</v>
      </c>
      <c r="Z190" s="508">
        <f ca="1">IF(X190&lt;&gt;0,-LOOKUP($Q190,Waterfalls!$6:$6,Waterfalls!$153:$153),"")</f>
        <v>266507.95792204805</v>
      </c>
    </row>
    <row r="191" spans="1:26" x14ac:dyDescent="0.3">
      <c r="A191" s="761">
        <f>IF(B191&gt;=DevBdgt!$E$7,LOOKUP(B191,DevBdgt!$7:$7,DevBdgt!$6:$6),"")</f>
        <v>95</v>
      </c>
      <c r="B191" s="507">
        <f t="shared" si="10"/>
        <v>49522</v>
      </c>
      <c r="C191" s="7">
        <v>0</v>
      </c>
      <c r="D191" s="1145">
        <f t="shared" si="12"/>
        <v>2.4958999999999999E-2</v>
      </c>
      <c r="Q191" s="507">
        <f t="shared" si="11"/>
        <v>49522</v>
      </c>
      <c r="T191" s="344">
        <f ca="1">IF(ROUND(LOOKUP(Q191,Waterfalls!$6:$6,Waterfalls!$14:$14),0)&gt;0,1,0)*(D191+$H$4)</f>
        <v>0</v>
      </c>
      <c r="U191" s="508" t="str">
        <f ca="1">IF(T191&lt;&gt;0,LOOKUP(Q191,Waterfalls!$6:$6,Waterfalls!$14:$14),"")</f>
        <v/>
      </c>
      <c r="V191" s="508" t="str">
        <f ca="1">IF(T191&lt;&gt;0,-LOOKUP(Q191,Waterfalls!$6:$6,Waterfalls!$152:$152),"")</f>
        <v/>
      </c>
      <c r="X191" s="344">
        <f ca="1">IF(ROUND(LOOKUP($Q191,Waterfalls!$6:$6,Waterfalls!$21:$21),0)&gt;0,1,0)*($D191+$O$6)</f>
        <v>4.7459000000000001E-2</v>
      </c>
      <c r="Y191" s="508">
        <f ca="1">IF(X191&lt;&gt;0,LOOKUP($Q191,Waterfalls!$6:$6,Waterfalls!$21:$21),"")</f>
        <v>40047935.588281274</v>
      </c>
      <c r="Z191" s="508">
        <f ca="1">IF(X191&lt;&gt;0,-LOOKUP($Q191,Waterfalls!$6:$6,Waterfalls!$153:$153),"")</f>
        <v>266507.95792204805</v>
      </c>
    </row>
    <row r="192" spans="1:26" x14ac:dyDescent="0.3">
      <c r="A192" s="761">
        <f>IF(B192&gt;=DevBdgt!$E$7,LOOKUP(B192,DevBdgt!$7:$7,DevBdgt!$6:$6),"")</f>
        <v>96</v>
      </c>
      <c r="B192" s="507">
        <f t="shared" si="10"/>
        <v>49553</v>
      </c>
      <c r="C192" s="7">
        <v>0</v>
      </c>
      <c r="D192" s="1145">
        <f t="shared" si="12"/>
        <v>2.4958999999999999E-2</v>
      </c>
      <c r="Q192" s="507">
        <f t="shared" si="11"/>
        <v>49553</v>
      </c>
      <c r="T192" s="344">
        <f ca="1">IF(ROUND(LOOKUP(Q192,Waterfalls!$6:$6,Waterfalls!$14:$14),0)&gt;0,1,0)*(D192+$H$4)</f>
        <v>0</v>
      </c>
      <c r="U192" s="508" t="str">
        <f ca="1">IF(T192&lt;&gt;0,LOOKUP(Q192,Waterfalls!$6:$6,Waterfalls!$14:$14),"")</f>
        <v/>
      </c>
      <c r="V192" s="508" t="str">
        <f ca="1">IF(T192&lt;&gt;0,-LOOKUP(Q192,Waterfalls!$6:$6,Waterfalls!$152:$152),"")</f>
        <v/>
      </c>
      <c r="X192" s="344">
        <f ca="1">IF(ROUND(LOOKUP($Q192,Waterfalls!$6:$6,Waterfalls!$21:$21),0)&gt;0,1,0)*($D192+$O$6)</f>
        <v>4.7459000000000001E-2</v>
      </c>
      <c r="Y192" s="508">
        <f ca="1">IF(X192&lt;&gt;0,LOOKUP($Q192,Waterfalls!$6:$6,Waterfalls!$21:$21),"")</f>
        <v>39990630.370018087</v>
      </c>
      <c r="Z192" s="508">
        <f ca="1">IF(X192&lt;&gt;0,-LOOKUP($Q192,Waterfalls!$6:$6,Waterfalls!$153:$153),"")</f>
        <v>266507.95792204805</v>
      </c>
    </row>
    <row r="193" spans="1:26" x14ac:dyDescent="0.3">
      <c r="A193" s="761">
        <f>IF(B193&gt;=DevBdgt!$E$7,LOOKUP(B193,DevBdgt!$7:$7,DevBdgt!$6:$6),"")</f>
        <v>97</v>
      </c>
      <c r="B193" s="507">
        <f t="shared" si="10"/>
        <v>49583</v>
      </c>
      <c r="C193" s="7">
        <v>0</v>
      </c>
      <c r="D193" s="1145">
        <f t="shared" si="12"/>
        <v>2.4958999999999999E-2</v>
      </c>
      <c r="Q193" s="507">
        <f t="shared" si="11"/>
        <v>49583</v>
      </c>
      <c r="T193" s="344">
        <f ca="1">IF(ROUND(LOOKUP(Q193,Waterfalls!$6:$6,Waterfalls!$14:$14),0)&gt;0,1,0)*(D193+$H$4)</f>
        <v>0</v>
      </c>
      <c r="U193" s="508" t="str">
        <f ca="1">IF(T193&lt;&gt;0,LOOKUP(Q193,Waterfalls!$6:$6,Waterfalls!$14:$14),"")</f>
        <v/>
      </c>
      <c r="V193" s="508" t="str">
        <f ca="1">IF(T193&lt;&gt;0,-LOOKUP(Q193,Waterfalls!$6:$6,Waterfalls!$152:$152),"")</f>
        <v/>
      </c>
      <c r="X193" s="344">
        <f ca="1">IF(ROUND(LOOKUP($Q193,Waterfalls!$6:$6,Waterfalls!$21:$21),0)&gt;0,1,0)*($D193+$O$6)</f>
        <v>4.7459000000000001E-2</v>
      </c>
      <c r="Y193" s="508">
        <f ca="1">IF(X193&lt;&gt;0,LOOKUP($Q193,Waterfalls!$6:$6,Waterfalls!$21:$21),"")</f>
        <v>39933025.800278194</v>
      </c>
      <c r="Z193" s="508">
        <f ca="1">IF(X193&lt;&gt;0,-LOOKUP($Q193,Waterfalls!$6:$6,Waterfalls!$153:$153),"")</f>
        <v>266507.95792204805</v>
      </c>
    </row>
    <row r="194" spans="1:26" x14ac:dyDescent="0.3">
      <c r="A194" s="761">
        <f>IF(B194&gt;=DevBdgt!$E$7,LOOKUP(B194,DevBdgt!$7:$7,DevBdgt!$6:$6),"")</f>
        <v>98</v>
      </c>
      <c r="B194" s="507">
        <f t="shared" si="10"/>
        <v>49614</v>
      </c>
      <c r="C194" s="7">
        <v>0</v>
      </c>
      <c r="D194" s="1145">
        <f t="shared" si="12"/>
        <v>2.4958999999999999E-2</v>
      </c>
      <c r="Q194" s="507">
        <f t="shared" si="11"/>
        <v>49614</v>
      </c>
      <c r="T194" s="344">
        <f ca="1">IF(ROUND(LOOKUP(Q194,Waterfalls!$6:$6,Waterfalls!$14:$14),0)&gt;0,1,0)*(D194+$H$4)</f>
        <v>0</v>
      </c>
      <c r="U194" s="508" t="str">
        <f ca="1">IF(T194&lt;&gt;0,LOOKUP(Q194,Waterfalls!$6:$6,Waterfalls!$14:$14),"")</f>
        <v/>
      </c>
      <c r="V194" s="508" t="str">
        <f ca="1">IF(T194&lt;&gt;0,-LOOKUP(Q194,Waterfalls!$6:$6,Waterfalls!$152:$152),"")</f>
        <v/>
      </c>
      <c r="X194" s="344">
        <f ca="1">IF(ROUND(LOOKUP($Q194,Waterfalls!$6:$6,Waterfalls!$21:$21),0)&gt;0,1,0)*($D194+$O$6)</f>
        <v>4.7459000000000001E-2</v>
      </c>
      <c r="Y194" s="508">
        <f ca="1">IF(X194&lt;&gt;0,LOOKUP($Q194,Waterfalls!$6:$6,Waterfalls!$21:$21),"")</f>
        <v>39875120.315306857</v>
      </c>
      <c r="Z194" s="508">
        <f ca="1">IF(X194&lt;&gt;0,-LOOKUP($Q194,Waterfalls!$6:$6,Waterfalls!$153:$153),"")</f>
        <v>266507.95792204805</v>
      </c>
    </row>
    <row r="195" spans="1:26" x14ac:dyDescent="0.3">
      <c r="A195" s="761">
        <f>IF(B195&gt;=DevBdgt!$E$7,LOOKUP(B195,DevBdgt!$7:$7,DevBdgt!$6:$6),"")</f>
        <v>99</v>
      </c>
      <c r="B195" s="507">
        <f t="shared" si="10"/>
        <v>49644</v>
      </c>
      <c r="C195" s="7">
        <v>0</v>
      </c>
      <c r="D195" s="1145">
        <f t="shared" si="12"/>
        <v>2.4958999999999999E-2</v>
      </c>
      <c r="Q195" s="507">
        <f t="shared" si="11"/>
        <v>49644</v>
      </c>
      <c r="T195" s="344">
        <f ca="1">IF(ROUND(LOOKUP(Q195,Waterfalls!$6:$6,Waterfalls!$14:$14),0)&gt;0,1,0)*(D195+$H$4)</f>
        <v>0</v>
      </c>
      <c r="U195" s="508" t="str">
        <f ca="1">IF(T195&lt;&gt;0,LOOKUP(Q195,Waterfalls!$6:$6,Waterfalls!$14:$14),"")</f>
        <v/>
      </c>
      <c r="V195" s="508" t="str">
        <f ca="1">IF(T195&lt;&gt;0,-LOOKUP(Q195,Waterfalls!$6:$6,Waterfalls!$152:$152),"")</f>
        <v/>
      </c>
      <c r="X195" s="344">
        <f ca="1">IF(ROUND(LOOKUP($Q195,Waterfalls!$6:$6,Waterfalls!$21:$21),0)&gt;0,1,0)*($D195+$O$6)</f>
        <v>4.7459000000000001E-2</v>
      </c>
      <c r="Y195" s="508">
        <f ca="1">IF(X195&lt;&gt;0,LOOKUP($Q195,Waterfalls!$6:$6,Waterfalls!$21:$21),"")</f>
        <v>39816912.343180582</v>
      </c>
      <c r="Z195" s="508">
        <f ca="1">IF(X195&lt;&gt;0,-LOOKUP($Q195,Waterfalls!$6:$6,Waterfalls!$153:$153),"")</f>
        <v>266507.95792204805</v>
      </c>
    </row>
    <row r="196" spans="1:26" x14ac:dyDescent="0.3">
      <c r="A196" s="761">
        <f>IF(B196&gt;=DevBdgt!$E$7,LOOKUP(B196,DevBdgt!$7:$7,DevBdgt!$6:$6),"")</f>
        <v>100</v>
      </c>
      <c r="B196" s="507">
        <f t="shared" si="10"/>
        <v>49675</v>
      </c>
      <c r="C196" s="7">
        <v>0</v>
      </c>
      <c r="D196" s="1145">
        <f t="shared" si="12"/>
        <v>2.4958999999999999E-2</v>
      </c>
      <c r="Q196" s="507">
        <f t="shared" si="11"/>
        <v>49675</v>
      </c>
      <c r="T196" s="344">
        <f ca="1">IF(ROUND(LOOKUP(Q196,Waterfalls!$6:$6,Waterfalls!$14:$14),0)&gt;0,1,0)*(D196+$H$4)</f>
        <v>0</v>
      </c>
      <c r="U196" s="508" t="str">
        <f ca="1">IF(T196&lt;&gt;0,LOOKUP(Q196,Waterfalls!$6:$6,Waterfalls!$14:$14),"")</f>
        <v/>
      </c>
      <c r="V196" s="508" t="str">
        <f ca="1">IF(T196&lt;&gt;0,-LOOKUP(Q196,Waterfalls!$6:$6,Waterfalls!$152:$152),"")</f>
        <v/>
      </c>
      <c r="X196" s="344">
        <f ca="1">IF(ROUND(LOOKUP($Q196,Waterfalls!$6:$6,Waterfalls!$21:$21),0)&gt;0,1,0)*($D196+$O$6)</f>
        <v>4.7459000000000001E-2</v>
      </c>
      <c r="Y196" s="508">
        <f ca="1">IF(X196&lt;&gt;0,LOOKUP($Q196,Waterfalls!$6:$6,Waterfalls!$21:$21),"")</f>
        <v>39758400.30376444</v>
      </c>
      <c r="Z196" s="508">
        <f ca="1">IF(X196&lt;&gt;0,-LOOKUP($Q196,Waterfalls!$6:$6,Waterfalls!$153:$153),"")</f>
        <v>266507.95792204805</v>
      </c>
    </row>
    <row r="197" spans="1:26" x14ac:dyDescent="0.3">
      <c r="A197" s="761">
        <f>IF(B197&gt;=DevBdgt!$E$7,LOOKUP(B197,DevBdgt!$7:$7,DevBdgt!$6:$6),"")</f>
        <v>101</v>
      </c>
      <c r="B197" s="507">
        <f t="shared" si="10"/>
        <v>49706</v>
      </c>
      <c r="C197" s="7">
        <v>0</v>
      </c>
      <c r="D197" s="1145">
        <f t="shared" si="12"/>
        <v>2.4958999999999999E-2</v>
      </c>
      <c r="Q197" s="507">
        <f t="shared" si="11"/>
        <v>49706</v>
      </c>
      <c r="T197" s="344">
        <f ca="1">IF(ROUND(LOOKUP(Q197,Waterfalls!$6:$6,Waterfalls!$14:$14),0)&gt;0,1,0)*(D197+$H$4)</f>
        <v>0</v>
      </c>
      <c r="U197" s="508" t="str">
        <f ca="1">IF(T197&lt;&gt;0,LOOKUP(Q197,Waterfalls!$6:$6,Waterfalls!$14:$14),"")</f>
        <v/>
      </c>
      <c r="V197" s="508" t="str">
        <f ca="1">IF(T197&lt;&gt;0,-LOOKUP(Q197,Waterfalls!$6:$6,Waterfalls!$152:$152),"")</f>
        <v/>
      </c>
      <c r="X197" s="344">
        <f ca="1">IF(ROUND(LOOKUP($Q197,Waterfalls!$6:$6,Waterfalls!$21:$21),0)&gt;0,1,0)*($D197+$O$6)</f>
        <v>4.7459000000000001E-2</v>
      </c>
      <c r="Y197" s="508">
        <f ca="1">IF(X197&lt;&gt;0,LOOKUP($Q197,Waterfalls!$6:$6,Waterfalls!$21:$21),"")</f>
        <v>39699582.608669199</v>
      </c>
      <c r="Z197" s="508">
        <f ca="1">IF(X197&lt;&gt;0,-LOOKUP($Q197,Waterfalls!$6:$6,Waterfalls!$153:$153),"")</f>
        <v>266507.95792204805</v>
      </c>
    </row>
    <row r="198" spans="1:26" x14ac:dyDescent="0.3">
      <c r="A198" s="761">
        <f>IF(B198&gt;=DevBdgt!$E$7,LOOKUP(B198,DevBdgt!$7:$7,DevBdgt!$6:$6),"")</f>
        <v>102</v>
      </c>
      <c r="B198" s="507">
        <f t="shared" ref="B198:B261" si="13">EDATE(B197,1)</f>
        <v>49735</v>
      </c>
      <c r="C198" s="7">
        <v>0</v>
      </c>
      <c r="D198" s="1145">
        <f t="shared" si="12"/>
        <v>2.4958999999999999E-2</v>
      </c>
      <c r="Q198" s="507">
        <f t="shared" si="11"/>
        <v>49735</v>
      </c>
      <c r="T198" s="344">
        <f ca="1">IF(ROUND(LOOKUP(Q198,Waterfalls!$6:$6,Waterfalls!$14:$14),0)&gt;0,1,0)*(D198+$H$4)</f>
        <v>0</v>
      </c>
      <c r="U198" s="508" t="str">
        <f ca="1">IF(T198&lt;&gt;0,LOOKUP(Q198,Waterfalls!$6:$6,Waterfalls!$14:$14),"")</f>
        <v/>
      </c>
      <c r="V198" s="508" t="str">
        <f ca="1">IF(T198&lt;&gt;0,-LOOKUP(Q198,Waterfalls!$6:$6,Waterfalls!$152:$152),"")</f>
        <v/>
      </c>
      <c r="X198" s="344">
        <f ca="1">IF(ROUND(LOOKUP($Q198,Waterfalls!$6:$6,Waterfalls!$21:$21),0)&gt;0,1,0)*($D198+$O$6)</f>
        <v>4.7459000000000001E-2</v>
      </c>
      <c r="Y198" s="508">
        <f ca="1">IF(X198&lt;&gt;0,LOOKUP($Q198,Waterfalls!$6:$6,Waterfalls!$21:$21),"")</f>
        <v>39640457.661208175</v>
      </c>
      <c r="Z198" s="508">
        <f ca="1">IF(X198&lt;&gt;0,-LOOKUP($Q198,Waterfalls!$6:$6,Waterfalls!$153:$153),"")</f>
        <v>266507.95792204805</v>
      </c>
    </row>
    <row r="199" spans="1:26" x14ac:dyDescent="0.3">
      <c r="A199" s="761">
        <f>IF(B199&gt;=DevBdgt!$E$7,LOOKUP(B199,DevBdgt!$7:$7,DevBdgt!$6:$6),"")</f>
        <v>103</v>
      </c>
      <c r="B199" s="507">
        <f t="shared" si="13"/>
        <v>49766</v>
      </c>
      <c r="C199" s="7">
        <v>0</v>
      </c>
      <c r="D199" s="1145">
        <f t="shared" si="12"/>
        <v>2.4958999999999999E-2</v>
      </c>
      <c r="Q199" s="507">
        <f t="shared" si="11"/>
        <v>49766</v>
      </c>
      <c r="T199" s="344">
        <f ca="1">IF(ROUND(LOOKUP(Q199,Waterfalls!$6:$6,Waterfalls!$14:$14),0)&gt;0,1,0)*(D199+$H$4)</f>
        <v>0</v>
      </c>
      <c r="U199" s="508" t="str">
        <f ca="1">IF(T199&lt;&gt;0,LOOKUP(Q199,Waterfalls!$6:$6,Waterfalls!$14:$14),"")</f>
        <v/>
      </c>
      <c r="V199" s="508" t="str">
        <f ca="1">IF(T199&lt;&gt;0,-LOOKUP(Q199,Waterfalls!$6:$6,Waterfalls!$152:$152),"")</f>
        <v/>
      </c>
      <c r="X199" s="344">
        <f ca="1">IF(ROUND(LOOKUP($Q199,Waterfalls!$6:$6,Waterfalls!$21:$21),0)&gt;0,1,0)*($D199+$O$6)</f>
        <v>4.7459000000000001E-2</v>
      </c>
      <c r="Y199" s="508">
        <f ca="1">IF(X199&lt;&gt;0,LOOKUP($Q199,Waterfalls!$6:$6,Waterfalls!$21:$21),"")</f>
        <v>39581023.856353894</v>
      </c>
      <c r="Z199" s="508">
        <f ca="1">IF(X199&lt;&gt;0,-LOOKUP($Q199,Waterfalls!$6:$6,Waterfalls!$153:$153),"")</f>
        <v>266507.95792204805</v>
      </c>
    </row>
    <row r="200" spans="1:26" x14ac:dyDescent="0.3">
      <c r="A200" s="761">
        <f>IF(B200&gt;=DevBdgt!$E$7,LOOKUP(B200,DevBdgt!$7:$7,DevBdgt!$6:$6),"")</f>
        <v>104</v>
      </c>
      <c r="B200" s="507">
        <f t="shared" si="13"/>
        <v>49796</v>
      </c>
      <c r="C200" s="7">
        <v>0</v>
      </c>
      <c r="D200" s="1145">
        <f t="shared" si="12"/>
        <v>2.4958999999999999E-2</v>
      </c>
      <c r="Q200" s="507">
        <f t="shared" si="11"/>
        <v>49796</v>
      </c>
      <c r="T200" s="344">
        <f ca="1">IF(ROUND(LOOKUP(Q200,Waterfalls!$6:$6,Waterfalls!$14:$14),0)&gt;0,1,0)*(D200+$H$4)</f>
        <v>0</v>
      </c>
      <c r="U200" s="508" t="str">
        <f ca="1">IF(T200&lt;&gt;0,LOOKUP(Q200,Waterfalls!$6:$6,Waterfalls!$14:$14),"")</f>
        <v/>
      </c>
      <c r="V200" s="508" t="str">
        <f ca="1">IF(T200&lt;&gt;0,-LOOKUP(Q200,Waterfalls!$6:$6,Waterfalls!$152:$152),"")</f>
        <v/>
      </c>
      <c r="X200" s="344">
        <f ca="1">IF(ROUND(LOOKUP($Q200,Waterfalls!$6:$6,Waterfalls!$21:$21),0)&gt;0,1,0)*($D200+$O$6)</f>
        <v>4.7459000000000001E-2</v>
      </c>
      <c r="Y200" s="508">
        <f ca="1">IF(X200&lt;&gt;0,LOOKUP($Q200,Waterfalls!$6:$6,Waterfalls!$21:$21),"")</f>
        <v>39521279.580694534</v>
      </c>
      <c r="Z200" s="508">
        <f ca="1">IF(X200&lt;&gt;0,-LOOKUP($Q200,Waterfalls!$6:$6,Waterfalls!$153:$153),"")</f>
        <v>266507.95792204805</v>
      </c>
    </row>
    <row r="201" spans="1:26" x14ac:dyDescent="0.3">
      <c r="A201" s="761">
        <f>IF(B201&gt;=DevBdgt!$E$7,LOOKUP(B201,DevBdgt!$7:$7,DevBdgt!$6:$6),"")</f>
        <v>105</v>
      </c>
      <c r="B201" s="507">
        <f t="shared" si="13"/>
        <v>49827</v>
      </c>
      <c r="C201" s="7">
        <v>0</v>
      </c>
      <c r="D201" s="1145">
        <f t="shared" si="12"/>
        <v>2.4958999999999999E-2</v>
      </c>
      <c r="Q201" s="507">
        <f t="shared" si="11"/>
        <v>49827</v>
      </c>
      <c r="T201" s="344">
        <f ca="1">IF(ROUND(LOOKUP(Q201,Waterfalls!$6:$6,Waterfalls!$14:$14),0)&gt;0,1,0)*(D201+$H$4)</f>
        <v>0</v>
      </c>
      <c r="U201" s="508" t="str">
        <f ca="1">IF(T201&lt;&gt;0,LOOKUP(Q201,Waterfalls!$6:$6,Waterfalls!$14:$14),"")</f>
        <v/>
      </c>
      <c r="V201" s="508" t="str">
        <f ca="1">IF(T201&lt;&gt;0,-LOOKUP(Q201,Waterfalls!$6:$6,Waterfalls!$152:$152),"")</f>
        <v/>
      </c>
      <c r="X201" s="344">
        <f ca="1">IF(ROUND(LOOKUP($Q201,Waterfalls!$6:$6,Waterfalls!$21:$21),0)&gt;0,1,0)*($D201+$O$6)</f>
        <v>4.7459000000000001E-2</v>
      </c>
      <c r="Y201" s="508">
        <f ca="1">IF(X201&lt;&gt;0,LOOKUP($Q201,Waterfalls!$6:$6,Waterfalls!$21:$21),"")</f>
        <v>39461223.212390117</v>
      </c>
      <c r="Z201" s="508">
        <f ca="1">IF(X201&lt;&gt;0,-LOOKUP($Q201,Waterfalls!$6:$6,Waterfalls!$153:$153),"")</f>
        <v>266507.95792204805</v>
      </c>
    </row>
    <row r="202" spans="1:26" x14ac:dyDescent="0.3">
      <c r="A202" s="761">
        <f>IF(B202&gt;=DevBdgt!$E$7,LOOKUP(B202,DevBdgt!$7:$7,DevBdgt!$6:$6),"")</f>
        <v>106</v>
      </c>
      <c r="B202" s="507">
        <f t="shared" si="13"/>
        <v>49857</v>
      </c>
      <c r="C202" s="7">
        <v>0</v>
      </c>
      <c r="D202" s="1145">
        <f t="shared" si="12"/>
        <v>2.4958999999999999E-2</v>
      </c>
      <c r="Q202" s="507">
        <f t="shared" si="11"/>
        <v>49857</v>
      </c>
      <c r="T202" s="344">
        <f ca="1">IF(ROUND(LOOKUP(Q202,Waterfalls!$6:$6,Waterfalls!$14:$14),0)&gt;0,1,0)*(D202+$H$4)</f>
        <v>0</v>
      </c>
      <c r="U202" s="508" t="str">
        <f ca="1">IF(T202&lt;&gt;0,LOOKUP(Q202,Waterfalls!$6:$6,Waterfalls!$14:$14),"")</f>
        <v/>
      </c>
      <c r="V202" s="508" t="str">
        <f ca="1">IF(T202&lt;&gt;0,-LOOKUP(Q202,Waterfalls!$6:$6,Waterfalls!$152:$152),"")</f>
        <v/>
      </c>
      <c r="X202" s="344">
        <f ca="1">IF(ROUND(LOOKUP($Q202,Waterfalls!$6:$6,Waterfalls!$21:$21),0)&gt;0,1,0)*($D202+$O$6)</f>
        <v>4.7459000000000001E-2</v>
      </c>
      <c r="Y202" s="508">
        <f ca="1">IF(X202&lt;&gt;0,LOOKUP($Q202,Waterfalls!$6:$6,Waterfalls!$21:$21),"")</f>
        <v>39400853.121128477</v>
      </c>
      <c r="Z202" s="508">
        <f ca="1">IF(X202&lt;&gt;0,-LOOKUP($Q202,Waterfalls!$6:$6,Waterfalls!$153:$153),"")</f>
        <v>266507.95792204805</v>
      </c>
    </row>
    <row r="203" spans="1:26" x14ac:dyDescent="0.3">
      <c r="A203" s="761">
        <f>IF(B203&gt;=DevBdgt!$E$7,LOOKUP(B203,DevBdgt!$7:$7,DevBdgt!$6:$6),"")</f>
        <v>107</v>
      </c>
      <c r="B203" s="507">
        <f t="shared" si="13"/>
        <v>49888</v>
      </c>
      <c r="C203" s="7">
        <v>0</v>
      </c>
      <c r="D203" s="1145">
        <f t="shared" si="12"/>
        <v>2.4958999999999999E-2</v>
      </c>
      <c r="Q203" s="507">
        <f t="shared" si="11"/>
        <v>49888</v>
      </c>
      <c r="T203" s="344">
        <f ca="1">IF(ROUND(LOOKUP(Q203,Waterfalls!$6:$6,Waterfalls!$14:$14),0)&gt;0,1,0)*(D203+$H$4)</f>
        <v>0</v>
      </c>
      <c r="U203" s="508" t="str">
        <f ca="1">IF(T203&lt;&gt;0,LOOKUP(Q203,Waterfalls!$6:$6,Waterfalls!$14:$14),"")</f>
        <v/>
      </c>
      <c r="V203" s="508" t="str">
        <f ca="1">IF(T203&lt;&gt;0,-LOOKUP(Q203,Waterfalls!$6:$6,Waterfalls!$152:$152),"")</f>
        <v/>
      </c>
      <c r="X203" s="344">
        <f ca="1">IF(ROUND(LOOKUP($Q203,Waterfalls!$6:$6,Waterfalls!$21:$21),0)&gt;0,1,0)*($D203+$O$6)</f>
        <v>4.7459000000000001E-2</v>
      </c>
      <c r="Y203" s="508">
        <f ca="1">IF(X203&lt;&gt;0,LOOKUP($Q203,Waterfalls!$6:$6,Waterfalls!$21:$21),"")</f>
        <v>39340167.668081023</v>
      </c>
      <c r="Z203" s="508">
        <f ca="1">IF(X203&lt;&gt;0,-LOOKUP($Q203,Waterfalls!$6:$6,Waterfalls!$153:$153),"")</f>
        <v>266507.95792204805</v>
      </c>
    </row>
    <row r="204" spans="1:26" x14ac:dyDescent="0.3">
      <c r="A204" s="761">
        <f>IF(B204&gt;=DevBdgt!$E$7,LOOKUP(B204,DevBdgt!$7:$7,DevBdgt!$6:$6),"")</f>
        <v>108</v>
      </c>
      <c r="B204" s="507">
        <f t="shared" si="13"/>
        <v>49919</v>
      </c>
      <c r="C204" s="7">
        <v>0</v>
      </c>
      <c r="D204" s="1145">
        <f t="shared" si="12"/>
        <v>2.4958999999999999E-2</v>
      </c>
      <c r="Q204" s="507">
        <f t="shared" si="11"/>
        <v>49919</v>
      </c>
      <c r="T204" s="344">
        <f ca="1">IF(ROUND(LOOKUP(Q204,Waterfalls!$6:$6,Waterfalls!$14:$14),0)&gt;0,1,0)*(D204+$H$4)</f>
        <v>0</v>
      </c>
      <c r="U204" s="508" t="str">
        <f ca="1">IF(T204&lt;&gt;0,LOOKUP(Q204,Waterfalls!$6:$6,Waterfalls!$14:$14),"")</f>
        <v/>
      </c>
      <c r="V204" s="508" t="str">
        <f ca="1">IF(T204&lt;&gt;0,-LOOKUP(Q204,Waterfalls!$6:$6,Waterfalls!$152:$152),"")</f>
        <v/>
      </c>
      <c r="X204" s="344">
        <f ca="1">IF(ROUND(LOOKUP($Q204,Waterfalls!$6:$6,Waterfalls!$21:$21),0)&gt;0,1,0)*($D204+$O$6)</f>
        <v>4.7459000000000001E-2</v>
      </c>
      <c r="Y204" s="508">
        <f ca="1">IF(X204&lt;&gt;0,LOOKUP($Q204,Waterfalls!$6:$6,Waterfalls!$21:$21),"")</f>
        <v>39279165.205858223</v>
      </c>
      <c r="Z204" s="508">
        <f ca="1">IF(X204&lt;&gt;0,-LOOKUP($Q204,Waterfalls!$6:$6,Waterfalls!$153:$153),"")</f>
        <v>266507.95792204805</v>
      </c>
    </row>
    <row r="205" spans="1:26" x14ac:dyDescent="0.3">
      <c r="A205" s="761">
        <f>IF(B205&gt;=DevBdgt!$E$7,LOOKUP(B205,DevBdgt!$7:$7,DevBdgt!$6:$6),"")</f>
        <v>109</v>
      </c>
      <c r="B205" s="507">
        <f t="shared" si="13"/>
        <v>49949</v>
      </c>
      <c r="C205" s="7">
        <v>0</v>
      </c>
      <c r="D205" s="1145">
        <f t="shared" si="12"/>
        <v>2.4958999999999999E-2</v>
      </c>
      <c r="Q205" s="507">
        <f t="shared" si="11"/>
        <v>49949</v>
      </c>
      <c r="T205" s="344">
        <f ca="1">IF(ROUND(LOOKUP(Q205,Waterfalls!$6:$6,Waterfalls!$14:$14),0)&gt;0,1,0)*(D205+$H$4)</f>
        <v>0</v>
      </c>
      <c r="U205" s="508" t="str">
        <f ca="1">IF(T205&lt;&gt;0,LOOKUP(Q205,Waterfalls!$6:$6,Waterfalls!$14:$14),"")</f>
        <v/>
      </c>
      <c r="V205" s="508" t="str">
        <f ca="1">IF(T205&lt;&gt;0,-LOOKUP(Q205,Waterfalls!$6:$6,Waterfalls!$152:$152),"")</f>
        <v/>
      </c>
      <c r="X205" s="344">
        <f ca="1">IF(ROUND(LOOKUP($Q205,Waterfalls!$6:$6,Waterfalls!$21:$21),0)&gt;0,1,0)*($D205+$O$6)</f>
        <v>4.7459000000000001E-2</v>
      </c>
      <c r="Y205" s="508">
        <f ca="1">IF(X205&lt;&gt;0,LOOKUP($Q205,Waterfalls!$6:$6,Waterfalls!$21:$21),"")</f>
        <v>39217844.07846491</v>
      </c>
      <c r="Z205" s="508">
        <f ca="1">IF(X205&lt;&gt;0,-LOOKUP($Q205,Waterfalls!$6:$6,Waterfalls!$153:$153),"")</f>
        <v>266507.95792204805</v>
      </c>
    </row>
    <row r="206" spans="1:26" x14ac:dyDescent="0.3">
      <c r="A206" s="761">
        <f>IF(B206&gt;=DevBdgt!$E$7,LOOKUP(B206,DevBdgt!$7:$7,DevBdgt!$6:$6),"")</f>
        <v>110</v>
      </c>
      <c r="B206" s="507">
        <f t="shared" si="13"/>
        <v>49980</v>
      </c>
      <c r="C206" s="7">
        <v>0</v>
      </c>
      <c r="D206" s="1145">
        <f t="shared" si="12"/>
        <v>2.4958999999999999E-2</v>
      </c>
      <c r="Q206" s="507">
        <f t="shared" si="11"/>
        <v>49980</v>
      </c>
      <c r="T206" s="344">
        <f ca="1">IF(ROUND(LOOKUP(Q206,Waterfalls!$6:$6,Waterfalls!$14:$14),0)&gt;0,1,0)*(D206+$H$4)</f>
        <v>0</v>
      </c>
      <c r="U206" s="508" t="str">
        <f ca="1">IF(T206&lt;&gt;0,LOOKUP(Q206,Waterfalls!$6:$6,Waterfalls!$14:$14),"")</f>
        <v/>
      </c>
      <c r="V206" s="508" t="str">
        <f ca="1">IF(T206&lt;&gt;0,-LOOKUP(Q206,Waterfalls!$6:$6,Waterfalls!$152:$152),"")</f>
        <v/>
      </c>
      <c r="X206" s="344">
        <f ca="1">IF(ROUND(LOOKUP($Q206,Waterfalls!$6:$6,Waterfalls!$21:$21),0)&gt;0,1,0)*($D206+$O$6)</f>
        <v>4.7459000000000001E-2</v>
      </c>
      <c r="Y206" s="508">
        <f ca="1">IF(X206&lt;&gt;0,LOOKUP($Q206,Waterfalls!$6:$6,Waterfalls!$21:$21),"")</f>
        <v>39156202.621255316</v>
      </c>
      <c r="Z206" s="508">
        <f ca="1">IF(X206&lt;&gt;0,-LOOKUP($Q206,Waterfalls!$6:$6,Waterfalls!$153:$153),"")</f>
        <v>266507.95792204805</v>
      </c>
    </row>
    <row r="207" spans="1:26" x14ac:dyDescent="0.3">
      <c r="A207" s="761">
        <f>IF(B207&gt;=DevBdgt!$E$7,LOOKUP(B207,DevBdgt!$7:$7,DevBdgt!$6:$6),"")</f>
        <v>111</v>
      </c>
      <c r="B207" s="507">
        <f t="shared" si="13"/>
        <v>50010</v>
      </c>
      <c r="C207" s="7">
        <v>0</v>
      </c>
      <c r="D207" s="1145">
        <f t="shared" si="12"/>
        <v>2.4958999999999999E-2</v>
      </c>
      <c r="Q207" s="507">
        <f t="shared" si="11"/>
        <v>50010</v>
      </c>
      <c r="T207" s="344">
        <f ca="1">IF(ROUND(LOOKUP(Q207,Waterfalls!$6:$6,Waterfalls!$14:$14),0)&gt;0,1,0)*(D207+$H$4)</f>
        <v>0</v>
      </c>
      <c r="U207" s="508" t="str">
        <f ca="1">IF(T207&lt;&gt;0,LOOKUP(Q207,Waterfalls!$6:$6,Waterfalls!$14:$14),"")</f>
        <v/>
      </c>
      <c r="V207" s="508" t="str">
        <f ca="1">IF(T207&lt;&gt;0,-LOOKUP(Q207,Waterfalls!$6:$6,Waterfalls!$152:$152),"")</f>
        <v/>
      </c>
      <c r="X207" s="344">
        <f ca="1">IF(ROUND(LOOKUP($Q207,Waterfalls!$6:$6,Waterfalls!$21:$21),0)&gt;0,1,0)*($D207+$O$6)</f>
        <v>4.7459000000000001E-2</v>
      </c>
      <c r="Y207" s="508">
        <f ca="1">IF(X207&lt;&gt;0,LOOKUP($Q207,Waterfalls!$6:$6,Waterfalls!$21:$21),"")</f>
        <v>39094239.160887867</v>
      </c>
      <c r="Z207" s="508">
        <f ca="1">IF(X207&lt;&gt;0,-LOOKUP($Q207,Waterfalls!$6:$6,Waterfalls!$153:$153),"")</f>
        <v>266507.95792204805</v>
      </c>
    </row>
    <row r="208" spans="1:26" x14ac:dyDescent="0.3">
      <c r="A208" s="761">
        <f>IF(B208&gt;=DevBdgt!$E$7,LOOKUP(B208,DevBdgt!$7:$7,DevBdgt!$6:$6),"")</f>
        <v>112</v>
      </c>
      <c r="B208" s="507">
        <f t="shared" si="13"/>
        <v>50041</v>
      </c>
      <c r="C208" s="7">
        <v>0</v>
      </c>
      <c r="D208" s="1145">
        <f t="shared" si="12"/>
        <v>2.4958999999999999E-2</v>
      </c>
      <c r="Q208" s="507">
        <f t="shared" si="11"/>
        <v>50041</v>
      </c>
      <c r="T208" s="344">
        <f ca="1">IF(ROUND(LOOKUP(Q208,Waterfalls!$6:$6,Waterfalls!$14:$14),0)&gt;0,1,0)*(D208+$H$4)</f>
        <v>0</v>
      </c>
      <c r="U208" s="508" t="str">
        <f ca="1">IF(T208&lt;&gt;0,LOOKUP(Q208,Waterfalls!$6:$6,Waterfalls!$14:$14),"")</f>
        <v/>
      </c>
      <c r="V208" s="508" t="str">
        <f ca="1">IF(T208&lt;&gt;0,-LOOKUP(Q208,Waterfalls!$6:$6,Waterfalls!$152:$152),"")</f>
        <v/>
      </c>
      <c r="X208" s="344">
        <f ca="1">IF(ROUND(LOOKUP($Q208,Waterfalls!$6:$6,Waterfalls!$21:$21),0)&gt;0,1,0)*($D208+$O$6)</f>
        <v>4.7459000000000001E-2</v>
      </c>
      <c r="Y208" s="508">
        <f ca="1">IF(X208&lt;&gt;0,LOOKUP($Q208,Waterfalls!$6:$6,Waterfalls!$21:$21),"")</f>
        <v>39031952.015279792</v>
      </c>
      <c r="Z208" s="508">
        <f ca="1">IF(X208&lt;&gt;0,-LOOKUP($Q208,Waterfalls!$6:$6,Waterfalls!$153:$153),"")</f>
        <v>266507.95792204805</v>
      </c>
    </row>
    <row r="209" spans="1:26" x14ac:dyDescent="0.3">
      <c r="A209" s="761">
        <f>IF(B209&gt;=DevBdgt!$E$7,LOOKUP(B209,DevBdgt!$7:$7,DevBdgt!$6:$6),"")</f>
        <v>113</v>
      </c>
      <c r="B209" s="507">
        <f t="shared" si="13"/>
        <v>50072</v>
      </c>
      <c r="C209" s="7">
        <v>0</v>
      </c>
      <c r="D209" s="1145">
        <f t="shared" si="12"/>
        <v>2.4958999999999999E-2</v>
      </c>
      <c r="Q209" s="507">
        <f t="shared" si="11"/>
        <v>50072</v>
      </c>
      <c r="T209" s="344">
        <f ca="1">IF(ROUND(LOOKUP(Q209,Waterfalls!$6:$6,Waterfalls!$14:$14),0)&gt;0,1,0)*(D209+$H$4)</f>
        <v>0</v>
      </c>
      <c r="U209" s="508" t="str">
        <f ca="1">IF(T209&lt;&gt;0,LOOKUP(Q209,Waterfalls!$6:$6,Waterfalls!$14:$14),"")</f>
        <v/>
      </c>
      <c r="V209" s="508" t="str">
        <f ca="1">IF(T209&lt;&gt;0,-LOOKUP(Q209,Waterfalls!$6:$6,Waterfalls!$152:$152),"")</f>
        <v/>
      </c>
      <c r="X209" s="344">
        <f ca="1">IF(ROUND(LOOKUP($Q209,Waterfalls!$6:$6,Waterfalls!$21:$21),0)&gt;0,1,0)*($D209+$O$6)</f>
        <v>4.7459000000000001E-2</v>
      </c>
      <c r="Y209" s="508">
        <f ca="1">IF(X209&lt;&gt;0,LOOKUP($Q209,Waterfalls!$6:$6,Waterfalls!$21:$21),"")</f>
        <v>38969339.493561432</v>
      </c>
      <c r="Z209" s="508">
        <f ca="1">IF(X209&lt;&gt;0,-LOOKUP($Q209,Waterfalls!$6:$6,Waterfalls!$153:$153),"")</f>
        <v>266507.95792204805</v>
      </c>
    </row>
    <row r="210" spans="1:26" x14ac:dyDescent="0.3">
      <c r="A210" s="761">
        <f>IF(B210&gt;=DevBdgt!$E$7,LOOKUP(B210,DevBdgt!$7:$7,DevBdgt!$6:$6),"")</f>
        <v>114</v>
      </c>
      <c r="B210" s="507">
        <f t="shared" si="13"/>
        <v>50100</v>
      </c>
      <c r="C210" s="7">
        <v>0</v>
      </c>
      <c r="D210" s="1145">
        <f t="shared" si="12"/>
        <v>2.4958999999999999E-2</v>
      </c>
      <c r="Q210" s="507">
        <f t="shared" si="11"/>
        <v>50100</v>
      </c>
      <c r="T210" s="344">
        <f ca="1">IF(ROUND(LOOKUP(Q210,Waterfalls!$6:$6,Waterfalls!$14:$14),0)&gt;0,1,0)*(D210+$H$4)</f>
        <v>0</v>
      </c>
      <c r="U210" s="508" t="str">
        <f ca="1">IF(T210&lt;&gt;0,LOOKUP(Q210,Waterfalls!$6:$6,Waterfalls!$14:$14),"")</f>
        <v/>
      </c>
      <c r="V210" s="508" t="str">
        <f ca="1">IF(T210&lt;&gt;0,-LOOKUP(Q210,Waterfalls!$6:$6,Waterfalls!$152:$152),"")</f>
        <v/>
      </c>
      <c r="X210" s="344">
        <f ca="1">IF(ROUND(LOOKUP($Q210,Waterfalls!$6:$6,Waterfalls!$21:$21),0)&gt;0,1,0)*($D210+$O$6)</f>
        <v>4.7459000000000001E-2</v>
      </c>
      <c r="Y210" s="508">
        <f ca="1">IF(X210&lt;&gt;0,LOOKUP($Q210,Waterfalls!$6:$6,Waterfalls!$21:$21),"")</f>
        <v>38906399.896030344</v>
      </c>
      <c r="Z210" s="508">
        <f ca="1">IF(X210&lt;&gt;0,-LOOKUP($Q210,Waterfalls!$6:$6,Waterfalls!$153:$153),"")</f>
        <v>266507.95792204805</v>
      </c>
    </row>
    <row r="211" spans="1:26" x14ac:dyDescent="0.3">
      <c r="A211" s="761">
        <f>IF(B211&gt;=DevBdgt!$E$7,LOOKUP(B211,DevBdgt!$7:$7,DevBdgt!$6:$6),"")</f>
        <v>115</v>
      </c>
      <c r="B211" s="507">
        <f t="shared" si="13"/>
        <v>50131</v>
      </c>
      <c r="C211" s="7">
        <v>0</v>
      </c>
      <c r="D211" s="1145">
        <f t="shared" si="12"/>
        <v>2.4958999999999999E-2</v>
      </c>
      <c r="Q211" s="507">
        <f t="shared" ref="Q211:Q274" si="14">EOMONTH(B211,-1)+1</f>
        <v>50131</v>
      </c>
      <c r="T211" s="344">
        <f ca="1">IF(ROUND(LOOKUP(Q211,Waterfalls!$6:$6,Waterfalls!$14:$14),0)&gt;0,1,0)*(D211+$H$4)</f>
        <v>0</v>
      </c>
      <c r="U211" s="508" t="str">
        <f ca="1">IF(T211&lt;&gt;0,LOOKUP(Q211,Waterfalls!$6:$6,Waterfalls!$14:$14),"")</f>
        <v/>
      </c>
      <c r="V211" s="508" t="str">
        <f ca="1">IF(T211&lt;&gt;0,-LOOKUP(Q211,Waterfalls!$6:$6,Waterfalls!$152:$152),"")</f>
        <v/>
      </c>
      <c r="X211" s="344">
        <f ca="1">IF(ROUND(LOOKUP($Q211,Waterfalls!$6:$6,Waterfalls!$21:$21),0)&gt;0,1,0)*($D211+$O$6)</f>
        <v>4.7459000000000001E-2</v>
      </c>
      <c r="Y211" s="508">
        <f ca="1">IF(X211&lt;&gt;0,LOOKUP($Q211,Waterfalls!$6:$6,Waterfalls!$21:$21),"")</f>
        <v>38843131.514105178</v>
      </c>
      <c r="Z211" s="508">
        <f ca="1">IF(X211&lt;&gt;0,-LOOKUP($Q211,Waterfalls!$6:$6,Waterfalls!$153:$153),"")</f>
        <v>266507.95792204805</v>
      </c>
    </row>
    <row r="212" spans="1:26" x14ac:dyDescent="0.3">
      <c r="A212" s="761">
        <f>IF(B212&gt;=DevBdgt!$E$7,LOOKUP(B212,DevBdgt!$7:$7,DevBdgt!$6:$6),"")</f>
        <v>116</v>
      </c>
      <c r="B212" s="507">
        <f t="shared" si="13"/>
        <v>50161</v>
      </c>
      <c r="C212" s="7">
        <v>0</v>
      </c>
      <c r="D212" s="1145">
        <f t="shared" si="12"/>
        <v>2.4958999999999999E-2</v>
      </c>
      <c r="Q212" s="507">
        <f t="shared" si="14"/>
        <v>50161</v>
      </c>
      <c r="T212" s="344">
        <f ca="1">IF(ROUND(LOOKUP(Q212,Waterfalls!$6:$6,Waterfalls!$14:$14),0)&gt;0,1,0)*(D212+$H$4)</f>
        <v>0</v>
      </c>
      <c r="U212" s="508" t="str">
        <f ca="1">IF(T212&lt;&gt;0,LOOKUP(Q212,Waterfalls!$6:$6,Waterfalls!$14:$14),"")</f>
        <v/>
      </c>
      <c r="V212" s="508" t="str">
        <f ca="1">IF(T212&lt;&gt;0,-LOOKUP(Q212,Waterfalls!$6:$6,Waterfalls!$152:$152),"")</f>
        <v/>
      </c>
      <c r="X212" s="344">
        <f ca="1">IF(ROUND(LOOKUP($Q212,Waterfalls!$6:$6,Waterfalls!$21:$21),0)&gt;0,1,0)*($D212+$O$6)</f>
        <v>4.7459000000000001E-2</v>
      </c>
      <c r="Y212" s="508">
        <f ca="1">IF(X212&lt;&gt;0,LOOKUP($Q212,Waterfalls!$6:$6,Waterfalls!$21:$21),"")</f>
        <v>38779532.630279273</v>
      </c>
      <c r="Z212" s="508">
        <f ca="1">IF(X212&lt;&gt;0,-LOOKUP($Q212,Waterfalls!$6:$6,Waterfalls!$153:$153),"")</f>
        <v>266507.95792204805</v>
      </c>
    </row>
    <row r="213" spans="1:26" x14ac:dyDescent="0.3">
      <c r="A213" s="761">
        <f>IF(B213&gt;=DevBdgt!$E$7,LOOKUP(B213,DevBdgt!$7:$7,DevBdgt!$6:$6),"")</f>
        <v>117</v>
      </c>
      <c r="B213" s="507">
        <f t="shared" si="13"/>
        <v>50192</v>
      </c>
      <c r="C213" s="7">
        <v>0</v>
      </c>
      <c r="D213" s="1145">
        <f t="shared" si="12"/>
        <v>2.4958999999999999E-2</v>
      </c>
      <c r="Q213" s="507">
        <f t="shared" si="14"/>
        <v>50192</v>
      </c>
      <c r="T213" s="344">
        <f ca="1">IF(ROUND(LOOKUP(Q213,Waterfalls!$6:$6,Waterfalls!$14:$14),0)&gt;0,1,0)*(D213+$H$4)</f>
        <v>0</v>
      </c>
      <c r="U213" s="508" t="str">
        <f ca="1">IF(T213&lt;&gt;0,LOOKUP(Q213,Waterfalls!$6:$6,Waterfalls!$14:$14),"")</f>
        <v/>
      </c>
      <c r="V213" s="508" t="str">
        <f ca="1">IF(T213&lt;&gt;0,-LOOKUP(Q213,Waterfalls!$6:$6,Waterfalls!$152:$152),"")</f>
        <v/>
      </c>
      <c r="X213" s="344">
        <f ca="1">IF(ROUND(LOOKUP($Q213,Waterfalls!$6:$6,Waterfalls!$21:$21),0)&gt;0,1,0)*($D213+$O$6)</f>
        <v>4.7459000000000001E-2</v>
      </c>
      <c r="Y213" s="508">
        <f ca="1">IF(X213&lt;&gt;0,LOOKUP($Q213,Waterfalls!$6:$6,Waterfalls!$21:$21),"")</f>
        <v>38715601.518074051</v>
      </c>
      <c r="Z213" s="508">
        <f ca="1">IF(X213&lt;&gt;0,-LOOKUP($Q213,Waterfalls!$6:$6,Waterfalls!$153:$153),"")</f>
        <v>266507.95792204805</v>
      </c>
    </row>
    <row r="214" spans="1:26" x14ac:dyDescent="0.3">
      <c r="A214" s="761">
        <f>IF(B214&gt;=DevBdgt!$E$7,LOOKUP(B214,DevBdgt!$7:$7,DevBdgt!$6:$6),"")</f>
        <v>118</v>
      </c>
      <c r="B214" s="507">
        <f t="shared" si="13"/>
        <v>50222</v>
      </c>
      <c r="C214" s="7">
        <v>0</v>
      </c>
      <c r="D214" s="1145">
        <f t="shared" si="12"/>
        <v>2.4958999999999999E-2</v>
      </c>
      <c r="Q214" s="507">
        <f t="shared" si="14"/>
        <v>50222</v>
      </c>
      <c r="T214" s="344">
        <f ca="1">IF(ROUND(LOOKUP(Q214,Waterfalls!$6:$6,Waterfalls!$14:$14),0)&gt;0,1,0)*(D214+$H$4)</f>
        <v>0</v>
      </c>
      <c r="U214" s="508" t="str">
        <f ca="1">IF(T214&lt;&gt;0,LOOKUP(Q214,Waterfalls!$6:$6,Waterfalls!$14:$14),"")</f>
        <v/>
      </c>
      <c r="V214" s="508" t="str">
        <f ca="1">IF(T214&lt;&gt;0,-LOOKUP(Q214,Waterfalls!$6:$6,Waterfalls!$152:$152),"")</f>
        <v/>
      </c>
      <c r="X214" s="344">
        <f ca="1">IF(ROUND(LOOKUP($Q214,Waterfalls!$6:$6,Waterfalls!$21:$21),0)&gt;0,1,0)*($D214+$O$6)</f>
        <v>4.7459000000000001E-2</v>
      </c>
      <c r="Y214" s="508">
        <f ca="1">IF(X214&lt;&gt;0,LOOKUP($Q214,Waterfalls!$6:$6,Waterfalls!$21:$21),"")</f>
        <v>38651336.441992134</v>
      </c>
      <c r="Z214" s="508">
        <f ca="1">IF(X214&lt;&gt;0,-LOOKUP($Q214,Waterfalls!$6:$6,Waterfalls!$153:$153),"")</f>
        <v>266507.95792204805</v>
      </c>
    </row>
    <row r="215" spans="1:26" x14ac:dyDescent="0.3">
      <c r="A215" s="761">
        <f>IF(B215&gt;=DevBdgt!$E$7,LOOKUP(B215,DevBdgt!$7:$7,DevBdgt!$6:$6),"")</f>
        <v>119</v>
      </c>
      <c r="B215" s="507">
        <f t="shared" si="13"/>
        <v>50253</v>
      </c>
      <c r="C215" s="7">
        <v>0</v>
      </c>
      <c r="D215" s="1145">
        <f t="shared" si="12"/>
        <v>2.4958999999999999E-2</v>
      </c>
      <c r="Q215" s="507">
        <f t="shared" si="14"/>
        <v>50253</v>
      </c>
      <c r="T215" s="344">
        <f ca="1">IF(ROUND(LOOKUP(Q215,Waterfalls!$6:$6,Waterfalls!$14:$14),0)&gt;0,1,0)*(D215+$H$4)</f>
        <v>0</v>
      </c>
      <c r="U215" s="508" t="str">
        <f ca="1">IF(T215&lt;&gt;0,LOOKUP(Q215,Waterfalls!$6:$6,Waterfalls!$14:$14),"")</f>
        <v/>
      </c>
      <c r="V215" s="508" t="str">
        <f ca="1">IF(T215&lt;&gt;0,-LOOKUP(Q215,Waterfalls!$6:$6,Waterfalls!$152:$152),"")</f>
        <v/>
      </c>
      <c r="X215" s="344">
        <f ca="1">IF(ROUND(LOOKUP($Q215,Waterfalls!$6:$6,Waterfalls!$21:$21),0)&gt;0,1,0)*($D215+$O$6)</f>
        <v>4.7459000000000001E-2</v>
      </c>
      <c r="Y215" s="508">
        <f ca="1">IF(X215&lt;&gt;0,LOOKUP($Q215,Waterfalls!$6:$6,Waterfalls!$21:$21),"")</f>
        <v>38586735.657470234</v>
      </c>
      <c r="Z215" s="508">
        <f ca="1">IF(X215&lt;&gt;0,-LOOKUP($Q215,Waterfalls!$6:$6,Waterfalls!$153:$153),"")</f>
        <v>266507.95792204805</v>
      </c>
    </row>
    <row r="216" spans="1:26" x14ac:dyDescent="0.3">
      <c r="A216" s="761">
        <f>IF(B216&gt;=DevBdgt!$E$7,LOOKUP(B216,DevBdgt!$7:$7,DevBdgt!$6:$6),"")</f>
        <v>120</v>
      </c>
      <c r="B216" s="507">
        <f t="shared" si="13"/>
        <v>50284</v>
      </c>
      <c r="C216" s="7">
        <v>0</v>
      </c>
      <c r="D216" s="1145">
        <f t="shared" si="12"/>
        <v>2.4958999999999999E-2</v>
      </c>
      <c r="Q216" s="507">
        <f t="shared" si="14"/>
        <v>50284</v>
      </c>
      <c r="T216" s="344">
        <f ca="1">IF(ROUND(LOOKUP(Q216,Waterfalls!$6:$6,Waterfalls!$14:$14),0)&gt;0,1,0)*(D216+$H$4)</f>
        <v>0</v>
      </c>
      <c r="U216" s="508" t="str">
        <f ca="1">IF(T216&lt;&gt;0,LOOKUP(Q216,Waterfalls!$6:$6,Waterfalls!$14:$14),"")</f>
        <v/>
      </c>
      <c r="V216" s="508" t="str">
        <f ca="1">IF(T216&lt;&gt;0,-LOOKUP(Q216,Waterfalls!$6:$6,Waterfalls!$152:$152),"")</f>
        <v/>
      </c>
      <c r="X216" s="344">
        <f ca="1">IF(ROUND(LOOKUP($Q216,Waterfalls!$6:$6,Waterfalls!$21:$21),0)&gt;0,1,0)*($D216+$O$6)</f>
        <v>4.7459000000000001E-2</v>
      </c>
      <c r="Y216" s="508">
        <f ca="1">IF(X216&lt;&gt;0,LOOKUP($Q216,Waterfalls!$6:$6,Waterfalls!$21:$21),"")</f>
        <v>38521797.410831809</v>
      </c>
      <c r="Z216" s="508">
        <f ca="1">IF(X216&lt;&gt;0,-LOOKUP($Q216,Waterfalls!$6:$6,Waterfalls!$153:$153),"")</f>
        <v>266507.95792204805</v>
      </c>
    </row>
    <row r="217" spans="1:26" x14ac:dyDescent="0.3">
      <c r="A217" s="761">
        <f>IF(B217&gt;=DevBdgt!$E$7,LOOKUP(B217,DevBdgt!$7:$7,DevBdgt!$6:$6),"")</f>
        <v>121</v>
      </c>
      <c r="B217" s="507">
        <f t="shared" si="13"/>
        <v>50314</v>
      </c>
      <c r="C217" s="7">
        <v>0</v>
      </c>
      <c r="D217" s="1145">
        <f t="shared" si="12"/>
        <v>2.4958999999999999E-2</v>
      </c>
      <c r="Q217" s="507">
        <f t="shared" si="14"/>
        <v>50314</v>
      </c>
      <c r="T217" s="344">
        <f ca="1">IF(ROUND(LOOKUP(Q217,Waterfalls!$6:$6,Waterfalls!$14:$14),0)&gt;0,1,0)*(D217+$H$4)</f>
        <v>0</v>
      </c>
      <c r="U217" s="508" t="str">
        <f ca="1">IF(T217&lt;&gt;0,LOOKUP(Q217,Waterfalls!$6:$6,Waterfalls!$14:$14),"")</f>
        <v/>
      </c>
      <c r="V217" s="508" t="str">
        <f ca="1">IF(T217&lt;&gt;0,-LOOKUP(Q217,Waterfalls!$6:$6,Waterfalls!$152:$152),"")</f>
        <v/>
      </c>
      <c r="X217" s="344">
        <f ca="1">IF(ROUND(LOOKUP($Q217,Waterfalls!$6:$6,Waterfalls!$21:$21),0)&gt;0,1,0)*($D217+$O$6)</f>
        <v>4.7459000000000001E-2</v>
      </c>
      <c r="Y217" s="508">
        <f ca="1">IF(X217&lt;&gt;0,LOOKUP($Q217,Waterfalls!$6:$6,Waterfalls!$21:$21),"")</f>
        <v>38456519.939239442</v>
      </c>
      <c r="Z217" s="508">
        <f ca="1">IF(X217&lt;&gt;0,-LOOKUP($Q217,Waterfalls!$6:$6,Waterfalls!$153:$153),"")</f>
        <v>266507.95792204805</v>
      </c>
    </row>
    <row r="218" spans="1:26" x14ac:dyDescent="0.3">
      <c r="A218" s="761">
        <f>IF(B218&gt;=DevBdgt!$E$7,LOOKUP(B218,DevBdgt!$7:$7,DevBdgt!$6:$6),"")</f>
        <v>122</v>
      </c>
      <c r="B218" s="507">
        <f t="shared" si="13"/>
        <v>50345</v>
      </c>
      <c r="C218" s="7">
        <v>0</v>
      </c>
      <c r="D218" s="1145">
        <f t="shared" si="12"/>
        <v>2.4958999999999999E-2</v>
      </c>
      <c r="Q218" s="507">
        <f t="shared" si="14"/>
        <v>50345</v>
      </c>
      <c r="T218" s="344">
        <f ca="1">IF(ROUND(LOOKUP(Q218,Waterfalls!$6:$6,Waterfalls!$14:$14),0)&gt;0,1,0)*(D218+$H$4)</f>
        <v>0</v>
      </c>
      <c r="U218" s="508" t="str">
        <f ca="1">IF(T218&lt;&gt;0,LOOKUP(Q218,Waterfalls!$6:$6,Waterfalls!$14:$14),"")</f>
        <v/>
      </c>
      <c r="V218" s="508" t="str">
        <f ca="1">IF(T218&lt;&gt;0,-LOOKUP(Q218,Waterfalls!$6:$6,Waterfalls!$152:$152),"")</f>
        <v/>
      </c>
      <c r="X218" s="344">
        <f ca="1">IF(ROUND(LOOKUP($Q218,Waterfalls!$6:$6,Waterfalls!$21:$21),0)&gt;0,1,0)*($D218+$O$6)</f>
        <v>4.7459000000000001E-2</v>
      </c>
      <c r="Y218" s="508">
        <f ca="1">IF(X218&lt;&gt;0,LOOKUP($Q218,Waterfalls!$6:$6,Waterfalls!$21:$21),"")</f>
        <v>38390901.470646992</v>
      </c>
      <c r="Z218" s="508">
        <f ca="1">IF(X218&lt;&gt;0,-LOOKUP($Q218,Waterfalls!$6:$6,Waterfalls!$153:$153),"")</f>
        <v>266507.95792204805</v>
      </c>
    </row>
    <row r="219" spans="1:26" x14ac:dyDescent="0.3">
      <c r="A219" s="761">
        <f>IF(B219&gt;=DevBdgt!$E$7,LOOKUP(B219,DevBdgt!$7:$7,DevBdgt!$6:$6),"")</f>
        <v>123</v>
      </c>
      <c r="B219" s="507">
        <f t="shared" si="13"/>
        <v>50375</v>
      </c>
      <c r="C219" s="7">
        <v>0</v>
      </c>
      <c r="D219" s="1145">
        <f t="shared" si="12"/>
        <v>2.4958999999999999E-2</v>
      </c>
      <c r="Q219" s="507">
        <f t="shared" si="14"/>
        <v>50375</v>
      </c>
      <c r="T219" s="344">
        <f ca="1">IF(ROUND(LOOKUP(Q219,Waterfalls!$6:$6,Waterfalls!$14:$14),0)&gt;0,1,0)*(D219+$H$4)</f>
        <v>0</v>
      </c>
      <c r="U219" s="508" t="str">
        <f ca="1">IF(T219&lt;&gt;0,LOOKUP(Q219,Waterfalls!$6:$6,Waterfalls!$14:$14),"")</f>
        <v/>
      </c>
      <c r="V219" s="508" t="str">
        <f ca="1">IF(T219&lt;&gt;0,-LOOKUP(Q219,Waterfalls!$6:$6,Waterfalls!$152:$152),"")</f>
        <v/>
      </c>
      <c r="X219" s="344">
        <f ca="1">IF(ROUND(LOOKUP($Q219,Waterfalls!$6:$6,Waterfalls!$21:$21),0)&gt;0,1,0)*($D219+$O$6)</f>
        <v>4.7459000000000001E-2</v>
      </c>
      <c r="Y219" s="508">
        <f ca="1">IF(X219&lt;&gt;0,LOOKUP($Q219,Waterfalls!$6:$6,Waterfalls!$21:$21),"")</f>
        <v>38324940.223751485</v>
      </c>
      <c r="Z219" s="508">
        <f ca="1">IF(X219&lt;&gt;0,-LOOKUP($Q219,Waterfalls!$6:$6,Waterfalls!$153:$153),"")</f>
        <v>266507.95792204805</v>
      </c>
    </row>
    <row r="220" spans="1:26" x14ac:dyDescent="0.3">
      <c r="A220" s="761">
        <f>IF(B220&gt;=DevBdgt!$E$7,LOOKUP(B220,DevBdgt!$7:$7,DevBdgt!$6:$6),"")</f>
        <v>124</v>
      </c>
      <c r="B220" s="507">
        <f t="shared" si="13"/>
        <v>50406</v>
      </c>
      <c r="C220" s="7">
        <v>0</v>
      </c>
      <c r="D220" s="1145">
        <f t="shared" si="12"/>
        <v>2.4958999999999999E-2</v>
      </c>
      <c r="Q220" s="507">
        <f t="shared" si="14"/>
        <v>50406</v>
      </c>
      <c r="T220" s="344">
        <f ca="1">IF(ROUND(LOOKUP(Q220,Waterfalls!$6:$6,Waterfalls!$14:$14),0)&gt;0,1,0)*(D220+$H$4)</f>
        <v>0</v>
      </c>
      <c r="U220" s="508" t="str">
        <f ca="1">IF(T220&lt;&gt;0,LOOKUP(Q220,Waterfalls!$6:$6,Waterfalls!$14:$14),"")</f>
        <v/>
      </c>
      <c r="V220" s="508" t="str">
        <f ca="1">IF(T220&lt;&gt;0,-LOOKUP(Q220,Waterfalls!$6:$6,Waterfalls!$152:$152),"")</f>
        <v/>
      </c>
      <c r="X220" s="344">
        <f ca="1">IF(ROUND(LOOKUP($Q220,Waterfalls!$6:$6,Waterfalls!$21:$21),0)&gt;0,1,0)*($D220+$O$6)</f>
        <v>4.7459000000000001E-2</v>
      </c>
      <c r="Y220" s="508">
        <f ca="1">IF(X220&lt;&gt;0,LOOKUP($Q220,Waterfalls!$6:$6,Waterfalls!$21:$21),"")</f>
        <v>38258634.407944769</v>
      </c>
      <c r="Z220" s="508">
        <f ca="1">IF(X220&lt;&gt;0,-LOOKUP($Q220,Waterfalls!$6:$6,Waterfalls!$153:$153),"")</f>
        <v>266507.95792204805</v>
      </c>
    </row>
    <row r="221" spans="1:26" x14ac:dyDescent="0.3">
      <c r="A221" s="761">
        <f>IF(B221&gt;=DevBdgt!$E$7,LOOKUP(B221,DevBdgt!$7:$7,DevBdgt!$6:$6),"")</f>
        <v>125</v>
      </c>
      <c r="B221" s="507">
        <f t="shared" si="13"/>
        <v>50437</v>
      </c>
      <c r="C221" s="7">
        <v>0</v>
      </c>
      <c r="D221" s="1145">
        <f t="shared" si="12"/>
        <v>2.4958999999999999E-2</v>
      </c>
      <c r="Q221" s="507">
        <f t="shared" si="14"/>
        <v>50437</v>
      </c>
      <c r="T221" s="344">
        <f ca="1">IF(ROUND(LOOKUP(Q221,Waterfalls!$6:$6,Waterfalls!$14:$14),0)&gt;0,1,0)*(D221+$H$4)</f>
        <v>0</v>
      </c>
      <c r="U221" s="508" t="str">
        <f ca="1">IF(T221&lt;&gt;0,LOOKUP(Q221,Waterfalls!$6:$6,Waterfalls!$14:$14),"")</f>
        <v/>
      </c>
      <c r="V221" s="508" t="str">
        <f ca="1">IF(T221&lt;&gt;0,-LOOKUP(Q221,Waterfalls!$6:$6,Waterfalls!$152:$152),"")</f>
        <v/>
      </c>
      <c r="X221" s="344">
        <f ca="1">IF(ROUND(LOOKUP($Q221,Waterfalls!$6:$6,Waterfalls!$21:$21),0)&gt;0,1,0)*($D221+$O$6)</f>
        <v>4.7459000000000001E-2</v>
      </c>
      <c r="Y221" s="508">
        <f ca="1">IF(X221&lt;&gt;0,LOOKUP($Q221,Waterfalls!$6:$6,Waterfalls!$21:$21),"")</f>
        <v>38191982.223264895</v>
      </c>
      <c r="Z221" s="508">
        <f ca="1">IF(X221&lt;&gt;0,-LOOKUP($Q221,Waterfalls!$6:$6,Waterfalls!$153:$153),"")</f>
        <v>266507.95792204805</v>
      </c>
    </row>
    <row r="222" spans="1:26" x14ac:dyDescent="0.3">
      <c r="A222" s="761">
        <f>IF(B222&gt;=DevBdgt!$E$7,LOOKUP(B222,DevBdgt!$7:$7,DevBdgt!$6:$6),"")</f>
        <v>126</v>
      </c>
      <c r="B222" s="507">
        <f t="shared" si="13"/>
        <v>50465</v>
      </c>
      <c r="C222" s="7">
        <v>0</v>
      </c>
      <c r="D222" s="1145">
        <f t="shared" si="12"/>
        <v>2.4958999999999999E-2</v>
      </c>
      <c r="Q222" s="507">
        <f t="shared" si="14"/>
        <v>50465</v>
      </c>
      <c r="T222" s="344">
        <f ca="1">IF(ROUND(LOOKUP(Q222,Waterfalls!$6:$6,Waterfalls!$14:$14),0)&gt;0,1,0)*(D222+$H$4)</f>
        <v>0</v>
      </c>
      <c r="U222" s="508" t="str">
        <f ca="1">IF(T222&lt;&gt;0,LOOKUP(Q222,Waterfalls!$6:$6,Waterfalls!$14:$14),"")</f>
        <v/>
      </c>
      <c r="V222" s="508" t="str">
        <f ca="1">IF(T222&lt;&gt;0,-LOOKUP(Q222,Waterfalls!$6:$6,Waterfalls!$152:$152),"")</f>
        <v/>
      </c>
      <c r="X222" s="344">
        <f ca="1">IF(ROUND(LOOKUP($Q222,Waterfalls!$6:$6,Waterfalls!$21:$21),0)&gt;0,1,0)*($D222+$O$6)</f>
        <v>4.7459000000000001E-2</v>
      </c>
      <c r="Y222" s="508">
        <f ca="1">IF(X222&lt;&gt;0,LOOKUP($Q222,Waterfalls!$6:$6,Waterfalls!$21:$21),"")</f>
        <v>38124981.860347256</v>
      </c>
      <c r="Z222" s="508">
        <f ca="1">IF(X222&lt;&gt;0,-LOOKUP($Q222,Waterfalls!$6:$6,Waterfalls!$153:$153),"")</f>
        <v>266507.95792204805</v>
      </c>
    </row>
    <row r="223" spans="1:26" x14ac:dyDescent="0.3">
      <c r="A223" s="761">
        <f>IF(B223&gt;=DevBdgt!$E$7,LOOKUP(B223,DevBdgt!$7:$7,DevBdgt!$6:$6),"")</f>
        <v>127</v>
      </c>
      <c r="B223" s="507">
        <f t="shared" si="13"/>
        <v>50496</v>
      </c>
      <c r="C223" s="7">
        <v>0</v>
      </c>
      <c r="D223" s="1145">
        <f t="shared" si="12"/>
        <v>2.4958999999999999E-2</v>
      </c>
      <c r="Q223" s="507">
        <f t="shared" si="14"/>
        <v>50496</v>
      </c>
      <c r="T223" s="344">
        <f ca="1">IF(ROUND(LOOKUP(Q223,Waterfalls!$6:$6,Waterfalls!$14:$14),0)&gt;0,1,0)*(D223+$H$4)</f>
        <v>0</v>
      </c>
      <c r="U223" s="508" t="str">
        <f ca="1">IF(T223&lt;&gt;0,LOOKUP(Q223,Waterfalls!$6:$6,Waterfalls!$14:$14),"")</f>
        <v/>
      </c>
      <c r="V223" s="508" t="str">
        <f ca="1">IF(T223&lt;&gt;0,-LOOKUP(Q223,Waterfalls!$6:$6,Waterfalls!$152:$152),"")</f>
        <v/>
      </c>
      <c r="X223" s="344">
        <f ca="1">IF(ROUND(LOOKUP($Q223,Waterfalls!$6:$6,Waterfalls!$21:$21),0)&gt;0,1,0)*($D223+$O$6)</f>
        <v>4.7459000000000001E-2</v>
      </c>
      <c r="Y223" s="508">
        <f ca="1">IF(X223&lt;&gt;0,LOOKUP($Q223,Waterfalls!$6:$6,Waterfalls!$21:$21),"")</f>
        <v>38057631.500375472</v>
      </c>
      <c r="Z223" s="508">
        <f ca="1">IF(X223&lt;&gt;0,-LOOKUP($Q223,Waterfalls!$6:$6,Waterfalls!$153:$153),"")</f>
        <v>266507.95792204805</v>
      </c>
    </row>
    <row r="224" spans="1:26" x14ac:dyDescent="0.3">
      <c r="A224" s="761">
        <f>IF(B224&gt;=DevBdgt!$E$7,LOOKUP(B224,DevBdgt!$7:$7,DevBdgt!$6:$6),"")</f>
        <v>128</v>
      </c>
      <c r="B224" s="507">
        <f t="shared" si="13"/>
        <v>50526</v>
      </c>
      <c r="C224" s="7">
        <v>0</v>
      </c>
      <c r="D224" s="1145">
        <f t="shared" si="12"/>
        <v>2.4958999999999999E-2</v>
      </c>
      <c r="Q224" s="507">
        <f t="shared" si="14"/>
        <v>50526</v>
      </c>
      <c r="T224" s="344">
        <f ca="1">IF(ROUND(LOOKUP(Q224,Waterfalls!$6:$6,Waterfalls!$14:$14),0)&gt;0,1,0)*(D224+$H$4)</f>
        <v>0</v>
      </c>
      <c r="U224" s="508" t="str">
        <f ca="1">IF(T224&lt;&gt;0,LOOKUP(Q224,Waterfalls!$6:$6,Waterfalls!$14:$14),"")</f>
        <v/>
      </c>
      <c r="V224" s="508" t="str">
        <f ca="1">IF(T224&lt;&gt;0,-LOOKUP(Q224,Waterfalls!$6:$6,Waterfalls!$152:$152),"")</f>
        <v/>
      </c>
      <c r="X224" s="344">
        <f ca="1">IF(ROUND(LOOKUP($Q224,Waterfalls!$6:$6,Waterfalls!$21:$21),0)&gt;0,1,0)*($D224+$O$6)</f>
        <v>4.7459000000000001E-2</v>
      </c>
      <c r="Y224" s="508">
        <f ca="1">IF(X224&lt;&gt;0,LOOKUP($Q224,Waterfalls!$6:$6,Waterfalls!$21:$21),"")</f>
        <v>37989929.315032013</v>
      </c>
      <c r="Z224" s="508">
        <f ca="1">IF(X224&lt;&gt;0,-LOOKUP($Q224,Waterfalls!$6:$6,Waterfalls!$153:$153),"")</f>
        <v>266507.95792204805</v>
      </c>
    </row>
    <row r="225" spans="1:26" x14ac:dyDescent="0.3">
      <c r="A225" s="761">
        <f>IF(B225&gt;=DevBdgt!$E$7,LOOKUP(B225,DevBdgt!$7:$7,DevBdgt!$6:$6),"")</f>
        <v>129</v>
      </c>
      <c r="B225" s="507">
        <f t="shared" si="13"/>
        <v>50557</v>
      </c>
      <c r="C225" s="7">
        <v>0</v>
      </c>
      <c r="D225" s="1145">
        <f t="shared" si="12"/>
        <v>2.4958999999999999E-2</v>
      </c>
      <c r="Q225" s="507">
        <f t="shared" si="14"/>
        <v>50557</v>
      </c>
      <c r="T225" s="344">
        <f ca="1">IF(ROUND(LOOKUP(Q225,Waterfalls!$6:$6,Waterfalls!$14:$14),0)&gt;0,1,0)*(D225+$H$4)</f>
        <v>0</v>
      </c>
      <c r="U225" s="508" t="str">
        <f ca="1">IF(T225&lt;&gt;0,LOOKUP(Q225,Waterfalls!$6:$6,Waterfalls!$14:$14),"")</f>
        <v/>
      </c>
      <c r="V225" s="508" t="str">
        <f ca="1">IF(T225&lt;&gt;0,-LOOKUP(Q225,Waterfalls!$6:$6,Waterfalls!$152:$152),"")</f>
        <v/>
      </c>
      <c r="X225" s="344">
        <f ca="1">IF(ROUND(LOOKUP($Q225,Waterfalls!$6:$6,Waterfalls!$21:$21),0)&gt;0,1,0)*($D225+$O$6)</f>
        <v>4.7459000000000001E-2</v>
      </c>
      <c r="Y225" s="508">
        <f ca="1">IF(X225&lt;&gt;0,LOOKUP($Q225,Waterfalls!$6:$6,Waterfalls!$21:$21),"")</f>
        <v>37921873.466448575</v>
      </c>
      <c r="Z225" s="508">
        <f ca="1">IF(X225&lt;&gt;0,-LOOKUP($Q225,Waterfalls!$6:$6,Waterfalls!$153:$153),"")</f>
        <v>266507.95792204805</v>
      </c>
    </row>
    <row r="226" spans="1:26" x14ac:dyDescent="0.3">
      <c r="A226" s="761">
        <f>IF(B226&gt;=DevBdgt!$E$7,LOOKUP(B226,DevBdgt!$7:$7,DevBdgt!$6:$6),"")</f>
        <v>130</v>
      </c>
      <c r="B226" s="507">
        <f t="shared" si="13"/>
        <v>50587</v>
      </c>
      <c r="C226" s="7">
        <v>0</v>
      </c>
      <c r="D226" s="1145">
        <f t="shared" si="12"/>
        <v>2.4958999999999999E-2</v>
      </c>
      <c r="Q226" s="507">
        <f t="shared" si="14"/>
        <v>50587</v>
      </c>
      <c r="T226" s="344">
        <f ca="1">IF(ROUND(LOOKUP(Q226,Waterfalls!$6:$6,Waterfalls!$14:$14),0)&gt;0,1,0)*(D226+$H$4)</f>
        <v>0</v>
      </c>
      <c r="U226" s="508" t="str">
        <f ca="1">IF(T226&lt;&gt;0,LOOKUP(Q226,Waterfalls!$6:$6,Waterfalls!$14:$14),"")</f>
        <v/>
      </c>
      <c r="V226" s="508" t="str">
        <f ca="1">IF(T226&lt;&gt;0,-LOOKUP(Q226,Waterfalls!$6:$6,Waterfalls!$152:$152),"")</f>
        <v/>
      </c>
      <c r="X226" s="344">
        <f ca="1">IF(ROUND(LOOKUP($Q226,Waterfalls!$6:$6,Waterfalls!$21:$21),0)&gt;0,1,0)*($D226+$O$6)</f>
        <v>4.7459000000000001E-2</v>
      </c>
      <c r="Y226" s="508">
        <f ca="1">IF(X226&lt;&gt;0,LOOKUP($Q226,Waterfalls!$6:$6,Waterfalls!$21:$21),"")</f>
        <v>37853462.107156172</v>
      </c>
      <c r="Z226" s="508">
        <f ca="1">IF(X226&lt;&gt;0,-LOOKUP($Q226,Waterfalls!$6:$6,Waterfalls!$153:$153),"")</f>
        <v>266507.95792204805</v>
      </c>
    </row>
    <row r="227" spans="1:26" x14ac:dyDescent="0.3">
      <c r="A227" s="761">
        <f>IF(B227&gt;=DevBdgt!$E$7,LOOKUP(B227,DevBdgt!$7:$7,DevBdgt!$6:$6),"")</f>
        <v>131</v>
      </c>
      <c r="B227" s="507">
        <f t="shared" si="13"/>
        <v>50618</v>
      </c>
      <c r="C227" s="7">
        <v>0</v>
      </c>
      <c r="D227" s="1145">
        <f t="shared" si="12"/>
        <v>2.4958999999999999E-2</v>
      </c>
      <c r="Q227" s="507">
        <f t="shared" si="14"/>
        <v>50618</v>
      </c>
      <c r="T227" s="344">
        <f ca="1">IF(ROUND(LOOKUP(Q227,Waterfalls!$6:$6,Waterfalls!$14:$14),0)&gt;0,1,0)*(D227+$H$4)</f>
        <v>0</v>
      </c>
      <c r="U227" s="508" t="str">
        <f ca="1">IF(T227&lt;&gt;0,LOOKUP(Q227,Waterfalls!$6:$6,Waterfalls!$14:$14),"")</f>
        <v/>
      </c>
      <c r="V227" s="508" t="str">
        <f ca="1">IF(T227&lt;&gt;0,-LOOKUP(Q227,Waterfalls!$6:$6,Waterfalls!$152:$152),"")</f>
        <v/>
      </c>
      <c r="X227" s="344">
        <f ca="1">IF(ROUND(LOOKUP($Q227,Waterfalls!$6:$6,Waterfalls!$21:$21),0)&gt;0,1,0)*($D227+$O$6)</f>
        <v>4.7459000000000001E-2</v>
      </c>
      <c r="Y227" s="508">
        <f ca="1">IF(X227&lt;&gt;0,LOOKUP($Q227,Waterfalls!$6:$6,Waterfalls!$21:$21),"")</f>
        <v>37784693.380035006</v>
      </c>
      <c r="Z227" s="508">
        <f ca="1">IF(X227&lt;&gt;0,-LOOKUP($Q227,Waterfalls!$6:$6,Waterfalls!$153:$153),"")</f>
        <v>266507.95792204805</v>
      </c>
    </row>
    <row r="228" spans="1:26" x14ac:dyDescent="0.3">
      <c r="A228" s="761">
        <f>IF(B228&gt;=DevBdgt!$E$7,LOOKUP(B228,DevBdgt!$7:$7,DevBdgt!$6:$6),"")</f>
        <v>132</v>
      </c>
      <c r="B228" s="507">
        <f t="shared" si="13"/>
        <v>50649</v>
      </c>
      <c r="C228" s="7">
        <v>0</v>
      </c>
      <c r="D228" s="1145">
        <f t="shared" si="12"/>
        <v>2.4958999999999999E-2</v>
      </c>
      <c r="Q228" s="507">
        <f t="shared" si="14"/>
        <v>50649</v>
      </c>
      <c r="T228" s="344">
        <f ca="1">IF(ROUND(LOOKUP(Q228,Waterfalls!$6:$6,Waterfalls!$14:$14),0)&gt;0,1,0)*(D228+$H$4)</f>
        <v>0</v>
      </c>
      <c r="U228" s="508" t="str">
        <f ca="1">IF(T228&lt;&gt;0,LOOKUP(Q228,Waterfalls!$6:$6,Waterfalls!$14:$14),"")</f>
        <v/>
      </c>
      <c r="V228" s="508" t="str">
        <f ca="1">IF(T228&lt;&gt;0,-LOOKUP(Q228,Waterfalls!$6:$6,Waterfalls!$152:$152),"")</f>
        <v/>
      </c>
      <c r="X228" s="344">
        <f ca="1">IF(ROUND(LOOKUP($Q228,Waterfalls!$6:$6,Waterfalls!$21:$21),0)&gt;0,1,0)*($D228+$O$6)</f>
        <v>4.7459000000000001E-2</v>
      </c>
      <c r="Y228" s="508">
        <f ca="1">IF(X228&lt;&gt;0,LOOKUP($Q228,Waterfalls!$6:$6,Waterfalls!$21:$21),"")</f>
        <v>37715565.418264031</v>
      </c>
      <c r="Z228" s="508">
        <f ca="1">IF(X228&lt;&gt;0,-LOOKUP($Q228,Waterfalls!$6:$6,Waterfalls!$153:$153),"")</f>
        <v>266507.95792204805</v>
      </c>
    </row>
    <row r="229" spans="1:26" x14ac:dyDescent="0.3">
      <c r="A229" s="761">
        <f>IF(B229&gt;=DevBdgt!$E$7,LOOKUP(B229,DevBdgt!$7:$7,DevBdgt!$6:$6),"")</f>
        <v>132</v>
      </c>
      <c r="B229" s="507">
        <f t="shared" si="13"/>
        <v>50679</v>
      </c>
      <c r="C229" s="7">
        <v>0</v>
      </c>
      <c r="D229" s="1145">
        <f t="shared" si="12"/>
        <v>2.4958999999999999E-2</v>
      </c>
      <c r="Q229" s="507">
        <f t="shared" si="14"/>
        <v>50679</v>
      </c>
      <c r="T229" s="344">
        <f ca="1">IF(ROUND(LOOKUP(Q229,Waterfalls!$6:$6,Waterfalls!$14:$14),0)&gt;0,1,0)*(D229+$H$4)</f>
        <v>0</v>
      </c>
      <c r="U229" s="508" t="str">
        <f ca="1">IF(T229&lt;&gt;0,LOOKUP(Q229,Waterfalls!$6:$6,Waterfalls!$14:$14),"")</f>
        <v/>
      </c>
      <c r="V229" s="508" t="str">
        <f ca="1">IF(T229&lt;&gt;0,-LOOKUP(Q229,Waterfalls!$6:$6,Waterfalls!$152:$152),"")</f>
        <v/>
      </c>
      <c r="X229" s="344">
        <f ca="1">IF(ROUND(LOOKUP($Q229,Waterfalls!$6:$6,Waterfalls!$21:$21),0)&gt;0,1,0)*($D229+$O$6)</f>
        <v>4.7459000000000001E-2</v>
      </c>
      <c r="Y229" s="508">
        <f ca="1">IF(X229&lt;&gt;0,LOOKUP($Q229,Waterfalls!$6:$6,Waterfalls!$21:$21),"")</f>
        <v>37715565.418264031</v>
      </c>
      <c r="Z229" s="508">
        <f ca="1">IF(X229&lt;&gt;0,-LOOKUP($Q229,Waterfalls!$6:$6,Waterfalls!$153:$153),"")</f>
        <v>266507.95792204805</v>
      </c>
    </row>
    <row r="230" spans="1:26" x14ac:dyDescent="0.3">
      <c r="A230" s="761">
        <f>IF(B230&gt;=DevBdgt!$E$7,LOOKUP(B230,DevBdgt!$7:$7,DevBdgt!$6:$6),"")</f>
        <v>132</v>
      </c>
      <c r="B230" s="507">
        <f t="shared" si="13"/>
        <v>50710</v>
      </c>
      <c r="C230" s="7">
        <v>0</v>
      </c>
      <c r="D230" s="1145">
        <f t="shared" si="12"/>
        <v>2.4958999999999999E-2</v>
      </c>
      <c r="Q230" s="507">
        <f t="shared" si="14"/>
        <v>50710</v>
      </c>
      <c r="T230" s="344">
        <f ca="1">IF(ROUND(LOOKUP(Q230,Waterfalls!$6:$6,Waterfalls!$14:$14),0)&gt;0,1,0)*(D230+$H$4)</f>
        <v>0</v>
      </c>
      <c r="U230" s="508" t="str">
        <f ca="1">IF(T230&lt;&gt;0,LOOKUP(Q230,Waterfalls!$6:$6,Waterfalls!$14:$14),"")</f>
        <v/>
      </c>
      <c r="V230" s="508" t="str">
        <f ca="1">IF(T230&lt;&gt;0,-LOOKUP(Q230,Waterfalls!$6:$6,Waterfalls!$152:$152),"")</f>
        <v/>
      </c>
      <c r="X230" s="344">
        <f ca="1">IF(ROUND(LOOKUP($Q230,Waterfalls!$6:$6,Waterfalls!$21:$21),0)&gt;0,1,0)*($D230+$O$6)</f>
        <v>4.7459000000000001E-2</v>
      </c>
      <c r="Y230" s="508">
        <f ca="1">IF(X230&lt;&gt;0,LOOKUP($Q230,Waterfalls!$6:$6,Waterfalls!$21:$21),"")</f>
        <v>37715565.418264031</v>
      </c>
      <c r="Z230" s="508">
        <f ca="1">IF(X230&lt;&gt;0,-LOOKUP($Q230,Waterfalls!$6:$6,Waterfalls!$153:$153),"")</f>
        <v>266507.95792204805</v>
      </c>
    </row>
    <row r="231" spans="1:26" x14ac:dyDescent="0.3">
      <c r="A231" s="761">
        <f>IF(B231&gt;=DevBdgt!$E$7,LOOKUP(B231,DevBdgt!$7:$7,DevBdgt!$6:$6),"")</f>
        <v>132</v>
      </c>
      <c r="B231" s="507">
        <f t="shared" si="13"/>
        <v>50740</v>
      </c>
      <c r="C231" s="7">
        <v>0</v>
      </c>
      <c r="D231" s="1145">
        <f t="shared" si="12"/>
        <v>2.4958999999999999E-2</v>
      </c>
      <c r="Q231" s="507">
        <f t="shared" si="14"/>
        <v>50740</v>
      </c>
      <c r="T231" s="344">
        <f ca="1">IF(ROUND(LOOKUP(Q231,Waterfalls!$6:$6,Waterfalls!$14:$14),0)&gt;0,1,0)*(D231+$H$4)</f>
        <v>0</v>
      </c>
      <c r="U231" s="508" t="str">
        <f ca="1">IF(T231&lt;&gt;0,LOOKUP(Q231,Waterfalls!$6:$6,Waterfalls!$14:$14),"")</f>
        <v/>
      </c>
      <c r="V231" s="508" t="str">
        <f ca="1">IF(T231&lt;&gt;0,-LOOKUP(Q231,Waterfalls!$6:$6,Waterfalls!$152:$152),"")</f>
        <v/>
      </c>
      <c r="X231" s="344">
        <f ca="1">IF(ROUND(LOOKUP($Q231,Waterfalls!$6:$6,Waterfalls!$21:$21),0)&gt;0,1,0)*($D231+$O$6)</f>
        <v>4.7459000000000001E-2</v>
      </c>
      <c r="Y231" s="508">
        <f ca="1">IF(X231&lt;&gt;0,LOOKUP($Q231,Waterfalls!$6:$6,Waterfalls!$21:$21),"")</f>
        <v>37715565.418264031</v>
      </c>
      <c r="Z231" s="508">
        <f ca="1">IF(X231&lt;&gt;0,-LOOKUP($Q231,Waterfalls!$6:$6,Waterfalls!$153:$153),"")</f>
        <v>266507.95792204805</v>
      </c>
    </row>
    <row r="232" spans="1:26" x14ac:dyDescent="0.3">
      <c r="A232" s="761">
        <f>IF(B232&gt;=DevBdgt!$E$7,LOOKUP(B232,DevBdgt!$7:$7,DevBdgt!$6:$6),"")</f>
        <v>132</v>
      </c>
      <c r="B232" s="507">
        <f t="shared" si="13"/>
        <v>50771</v>
      </c>
      <c r="C232" s="7">
        <v>0</v>
      </c>
      <c r="D232" s="1145">
        <f t="shared" si="12"/>
        <v>2.4958999999999999E-2</v>
      </c>
      <c r="Q232" s="507">
        <f t="shared" si="14"/>
        <v>50771</v>
      </c>
      <c r="T232" s="344">
        <f ca="1">IF(ROUND(LOOKUP(Q232,Waterfalls!$6:$6,Waterfalls!$14:$14),0)&gt;0,1,0)*(D232+$H$4)</f>
        <v>0</v>
      </c>
      <c r="U232" s="508" t="str">
        <f ca="1">IF(T232&lt;&gt;0,LOOKUP(Q232,Waterfalls!$6:$6,Waterfalls!$14:$14),"")</f>
        <v/>
      </c>
      <c r="V232" s="508" t="str">
        <f ca="1">IF(T232&lt;&gt;0,-LOOKUP(Q232,Waterfalls!$6:$6,Waterfalls!$152:$152),"")</f>
        <v/>
      </c>
      <c r="X232" s="344">
        <f ca="1">IF(ROUND(LOOKUP($Q232,Waterfalls!$6:$6,Waterfalls!$21:$21),0)&gt;0,1,0)*($D232+$O$6)</f>
        <v>4.7459000000000001E-2</v>
      </c>
      <c r="Y232" s="508">
        <f ca="1">IF(X232&lt;&gt;0,LOOKUP($Q232,Waterfalls!$6:$6,Waterfalls!$21:$21),"")</f>
        <v>37715565.418264031</v>
      </c>
      <c r="Z232" s="508">
        <f ca="1">IF(X232&lt;&gt;0,-LOOKUP($Q232,Waterfalls!$6:$6,Waterfalls!$153:$153),"")</f>
        <v>266507.95792204805</v>
      </c>
    </row>
    <row r="233" spans="1:26" x14ac:dyDescent="0.3">
      <c r="A233" s="761">
        <f>IF(B233&gt;=DevBdgt!$E$7,LOOKUP(B233,DevBdgt!$7:$7,DevBdgt!$6:$6),"")</f>
        <v>132</v>
      </c>
      <c r="B233" s="507">
        <f t="shared" si="13"/>
        <v>50802</v>
      </c>
      <c r="C233" s="7">
        <v>0</v>
      </c>
      <c r="D233" s="1145">
        <f t="shared" si="12"/>
        <v>2.4958999999999999E-2</v>
      </c>
      <c r="Q233" s="507">
        <f t="shared" si="14"/>
        <v>50802</v>
      </c>
      <c r="T233" s="344">
        <f ca="1">IF(ROUND(LOOKUP(Q233,Waterfalls!$6:$6,Waterfalls!$14:$14),0)&gt;0,1,0)*(D233+$H$4)</f>
        <v>0</v>
      </c>
      <c r="U233" s="508" t="str">
        <f ca="1">IF(T233&lt;&gt;0,LOOKUP(Q233,Waterfalls!$6:$6,Waterfalls!$14:$14),"")</f>
        <v/>
      </c>
      <c r="V233" s="508" t="str">
        <f ca="1">IF(T233&lt;&gt;0,-LOOKUP(Q233,Waterfalls!$6:$6,Waterfalls!$152:$152),"")</f>
        <v/>
      </c>
      <c r="X233" s="344">
        <f ca="1">IF(ROUND(LOOKUP($Q233,Waterfalls!$6:$6,Waterfalls!$21:$21),0)&gt;0,1,0)*($D233+$O$6)</f>
        <v>4.7459000000000001E-2</v>
      </c>
      <c r="Y233" s="508">
        <f ca="1">IF(X233&lt;&gt;0,LOOKUP($Q233,Waterfalls!$6:$6,Waterfalls!$21:$21),"")</f>
        <v>37715565.418264031</v>
      </c>
      <c r="Z233" s="508">
        <f ca="1">IF(X233&lt;&gt;0,-LOOKUP($Q233,Waterfalls!$6:$6,Waterfalls!$153:$153),"")</f>
        <v>266507.95792204805</v>
      </c>
    </row>
    <row r="234" spans="1:26" x14ac:dyDescent="0.3">
      <c r="A234" s="761">
        <f>IF(B234&gt;=DevBdgt!$E$7,LOOKUP(B234,DevBdgt!$7:$7,DevBdgt!$6:$6),"")</f>
        <v>132</v>
      </c>
      <c r="B234" s="507">
        <f t="shared" si="13"/>
        <v>50830</v>
      </c>
      <c r="C234" s="7">
        <v>0</v>
      </c>
      <c r="D234" s="1145">
        <f t="shared" si="12"/>
        <v>2.4958999999999999E-2</v>
      </c>
      <c r="Q234" s="507">
        <f t="shared" si="14"/>
        <v>50830</v>
      </c>
      <c r="T234" s="344">
        <f ca="1">IF(ROUND(LOOKUP(Q234,Waterfalls!$6:$6,Waterfalls!$14:$14),0)&gt;0,1,0)*(D234+$H$4)</f>
        <v>0</v>
      </c>
      <c r="U234" s="508" t="str">
        <f ca="1">IF(T234&lt;&gt;0,LOOKUP(Q234,Waterfalls!$6:$6,Waterfalls!$14:$14),"")</f>
        <v/>
      </c>
      <c r="V234" s="508" t="str">
        <f ca="1">IF(T234&lt;&gt;0,-LOOKUP(Q234,Waterfalls!$6:$6,Waterfalls!$152:$152),"")</f>
        <v/>
      </c>
      <c r="X234" s="344">
        <f ca="1">IF(ROUND(LOOKUP($Q234,Waterfalls!$6:$6,Waterfalls!$21:$21),0)&gt;0,1,0)*($D234+$O$6)</f>
        <v>4.7459000000000001E-2</v>
      </c>
      <c r="Y234" s="508">
        <f ca="1">IF(X234&lt;&gt;0,LOOKUP($Q234,Waterfalls!$6:$6,Waterfalls!$21:$21),"")</f>
        <v>37715565.418264031</v>
      </c>
      <c r="Z234" s="508">
        <f ca="1">IF(X234&lt;&gt;0,-LOOKUP($Q234,Waterfalls!$6:$6,Waterfalls!$153:$153),"")</f>
        <v>266507.95792204805</v>
      </c>
    </row>
    <row r="235" spans="1:26" x14ac:dyDescent="0.3">
      <c r="A235" s="761">
        <f>IF(B235&gt;=DevBdgt!$E$7,LOOKUP(B235,DevBdgt!$7:$7,DevBdgt!$6:$6),"")</f>
        <v>132</v>
      </c>
      <c r="B235" s="507">
        <f t="shared" si="13"/>
        <v>50861</v>
      </c>
      <c r="C235" s="7">
        <v>0</v>
      </c>
      <c r="D235" s="1145">
        <f t="shared" si="12"/>
        <v>2.4958999999999999E-2</v>
      </c>
      <c r="Q235" s="507">
        <f t="shared" si="14"/>
        <v>50861</v>
      </c>
      <c r="T235" s="344">
        <f ca="1">IF(ROUND(LOOKUP(Q235,Waterfalls!$6:$6,Waterfalls!$14:$14),0)&gt;0,1,0)*(D235+$H$4)</f>
        <v>0</v>
      </c>
      <c r="U235" s="508" t="str">
        <f ca="1">IF(T235&lt;&gt;0,LOOKUP(Q235,Waterfalls!$6:$6,Waterfalls!$14:$14),"")</f>
        <v/>
      </c>
      <c r="V235" s="508" t="str">
        <f ca="1">IF(T235&lt;&gt;0,-LOOKUP(Q235,Waterfalls!$6:$6,Waterfalls!$152:$152),"")</f>
        <v/>
      </c>
      <c r="X235" s="344">
        <f ca="1">IF(ROUND(LOOKUP($Q235,Waterfalls!$6:$6,Waterfalls!$21:$21),0)&gt;0,1,0)*($D235+$O$6)</f>
        <v>4.7459000000000001E-2</v>
      </c>
      <c r="Y235" s="508">
        <f ca="1">IF(X235&lt;&gt;0,LOOKUP($Q235,Waterfalls!$6:$6,Waterfalls!$21:$21),"")</f>
        <v>37715565.418264031</v>
      </c>
      <c r="Z235" s="508">
        <f ca="1">IF(X235&lt;&gt;0,-LOOKUP($Q235,Waterfalls!$6:$6,Waterfalls!$153:$153),"")</f>
        <v>266507.95792204805</v>
      </c>
    </row>
    <row r="236" spans="1:26" x14ac:dyDescent="0.3">
      <c r="A236" s="761">
        <f>IF(B236&gt;=DevBdgt!$E$7,LOOKUP(B236,DevBdgt!$7:$7,DevBdgt!$6:$6),"")</f>
        <v>132</v>
      </c>
      <c r="B236" s="507">
        <f t="shared" si="13"/>
        <v>50891</v>
      </c>
      <c r="C236" s="7">
        <v>0</v>
      </c>
      <c r="D236" s="1145">
        <f t="shared" si="12"/>
        <v>2.4958999999999999E-2</v>
      </c>
      <c r="Q236" s="507">
        <f t="shared" si="14"/>
        <v>50891</v>
      </c>
      <c r="T236" s="344">
        <f ca="1">IF(ROUND(LOOKUP(Q236,Waterfalls!$6:$6,Waterfalls!$14:$14),0)&gt;0,1,0)*(D236+$H$4)</f>
        <v>0</v>
      </c>
      <c r="U236" s="508" t="str">
        <f ca="1">IF(T236&lt;&gt;0,LOOKUP(Q236,Waterfalls!$6:$6,Waterfalls!$14:$14),"")</f>
        <v/>
      </c>
      <c r="V236" s="508" t="str">
        <f ca="1">IF(T236&lt;&gt;0,-LOOKUP(Q236,Waterfalls!$6:$6,Waterfalls!$152:$152),"")</f>
        <v/>
      </c>
      <c r="X236" s="344">
        <f ca="1">IF(ROUND(LOOKUP($Q236,Waterfalls!$6:$6,Waterfalls!$21:$21),0)&gt;0,1,0)*($D236+$O$6)</f>
        <v>4.7459000000000001E-2</v>
      </c>
      <c r="Y236" s="508">
        <f ca="1">IF(X236&lt;&gt;0,LOOKUP($Q236,Waterfalls!$6:$6,Waterfalls!$21:$21),"")</f>
        <v>37715565.418264031</v>
      </c>
      <c r="Z236" s="508">
        <f ca="1">IF(X236&lt;&gt;0,-LOOKUP($Q236,Waterfalls!$6:$6,Waterfalls!$153:$153),"")</f>
        <v>266507.95792204805</v>
      </c>
    </row>
    <row r="237" spans="1:26" x14ac:dyDescent="0.3">
      <c r="A237" s="761">
        <f>IF(B237&gt;=DevBdgt!$E$7,LOOKUP(B237,DevBdgt!$7:$7,DevBdgt!$6:$6),"")</f>
        <v>132</v>
      </c>
      <c r="B237" s="507">
        <f t="shared" si="13"/>
        <v>50922</v>
      </c>
      <c r="C237" s="7">
        <v>0</v>
      </c>
      <c r="D237" s="1145">
        <f t="shared" si="12"/>
        <v>2.4958999999999999E-2</v>
      </c>
      <c r="Q237" s="507">
        <f t="shared" si="14"/>
        <v>50922</v>
      </c>
      <c r="T237" s="344">
        <f ca="1">IF(ROUND(LOOKUP(Q237,Waterfalls!$6:$6,Waterfalls!$14:$14),0)&gt;0,1,0)*(D237+$H$4)</f>
        <v>0</v>
      </c>
      <c r="U237" s="508" t="str">
        <f ca="1">IF(T237&lt;&gt;0,LOOKUP(Q237,Waterfalls!$6:$6,Waterfalls!$14:$14),"")</f>
        <v/>
      </c>
      <c r="V237" s="508" t="str">
        <f ca="1">IF(T237&lt;&gt;0,-LOOKUP(Q237,Waterfalls!$6:$6,Waterfalls!$152:$152),"")</f>
        <v/>
      </c>
      <c r="X237" s="344">
        <f ca="1">IF(ROUND(LOOKUP($Q237,Waterfalls!$6:$6,Waterfalls!$21:$21),0)&gt;0,1,0)*($D237+$O$6)</f>
        <v>4.7459000000000001E-2</v>
      </c>
      <c r="Y237" s="508">
        <f ca="1">IF(X237&lt;&gt;0,LOOKUP($Q237,Waterfalls!$6:$6,Waterfalls!$21:$21),"")</f>
        <v>37715565.418264031</v>
      </c>
      <c r="Z237" s="508">
        <f ca="1">IF(X237&lt;&gt;0,-LOOKUP($Q237,Waterfalls!$6:$6,Waterfalls!$153:$153),"")</f>
        <v>266507.95792204805</v>
      </c>
    </row>
    <row r="238" spans="1:26" x14ac:dyDescent="0.3">
      <c r="A238" s="761">
        <f>IF(B238&gt;=DevBdgt!$E$7,LOOKUP(B238,DevBdgt!$7:$7,DevBdgt!$6:$6),"")</f>
        <v>132</v>
      </c>
      <c r="B238" s="507">
        <f t="shared" si="13"/>
        <v>50952</v>
      </c>
      <c r="C238" s="7">
        <v>0</v>
      </c>
      <c r="D238" s="1145">
        <f t="shared" si="12"/>
        <v>2.4958999999999999E-2</v>
      </c>
      <c r="Q238" s="507">
        <f t="shared" si="14"/>
        <v>50952</v>
      </c>
      <c r="T238" s="344">
        <f ca="1">IF(ROUND(LOOKUP(Q238,Waterfalls!$6:$6,Waterfalls!$14:$14),0)&gt;0,1,0)*(D238+$H$4)</f>
        <v>0</v>
      </c>
      <c r="U238" s="508" t="str">
        <f ca="1">IF(T238&lt;&gt;0,LOOKUP(Q238,Waterfalls!$6:$6,Waterfalls!$14:$14),"")</f>
        <v/>
      </c>
      <c r="V238" s="508" t="str">
        <f ca="1">IF(T238&lt;&gt;0,-LOOKUP(Q238,Waterfalls!$6:$6,Waterfalls!$152:$152),"")</f>
        <v/>
      </c>
      <c r="X238" s="344">
        <f ca="1">IF(ROUND(LOOKUP($Q238,Waterfalls!$6:$6,Waterfalls!$21:$21),0)&gt;0,1,0)*($D238+$O$6)</f>
        <v>4.7459000000000001E-2</v>
      </c>
      <c r="Y238" s="508">
        <f ca="1">IF(X238&lt;&gt;0,LOOKUP($Q238,Waterfalls!$6:$6,Waterfalls!$21:$21),"")</f>
        <v>37715565.418264031</v>
      </c>
      <c r="Z238" s="508">
        <f ca="1">IF(X238&lt;&gt;0,-LOOKUP($Q238,Waterfalls!$6:$6,Waterfalls!$153:$153),"")</f>
        <v>266507.95792204805</v>
      </c>
    </row>
    <row r="239" spans="1:26" x14ac:dyDescent="0.3">
      <c r="A239" s="761">
        <f>IF(B239&gt;=DevBdgt!$E$7,LOOKUP(B239,DevBdgt!$7:$7,DevBdgt!$6:$6),"")</f>
        <v>132</v>
      </c>
      <c r="B239" s="507">
        <f t="shared" si="13"/>
        <v>50983</v>
      </c>
      <c r="C239" s="7">
        <v>0</v>
      </c>
      <c r="D239" s="1145">
        <f t="shared" si="12"/>
        <v>2.4958999999999999E-2</v>
      </c>
      <c r="Q239" s="507">
        <f t="shared" si="14"/>
        <v>50983</v>
      </c>
      <c r="T239" s="344">
        <f ca="1">IF(ROUND(LOOKUP(Q239,Waterfalls!$6:$6,Waterfalls!$14:$14),0)&gt;0,1,0)*(D239+$H$4)</f>
        <v>0</v>
      </c>
      <c r="U239" s="508" t="str">
        <f ca="1">IF(T239&lt;&gt;0,LOOKUP(Q239,Waterfalls!$6:$6,Waterfalls!$14:$14),"")</f>
        <v/>
      </c>
      <c r="V239" s="508" t="str">
        <f ca="1">IF(T239&lt;&gt;0,-LOOKUP(Q239,Waterfalls!$6:$6,Waterfalls!$152:$152),"")</f>
        <v/>
      </c>
      <c r="X239" s="344">
        <f ca="1">IF(ROUND(LOOKUP($Q239,Waterfalls!$6:$6,Waterfalls!$21:$21),0)&gt;0,1,0)*($D239+$O$6)</f>
        <v>4.7459000000000001E-2</v>
      </c>
      <c r="Y239" s="508">
        <f ca="1">IF(X239&lt;&gt;0,LOOKUP($Q239,Waterfalls!$6:$6,Waterfalls!$21:$21),"")</f>
        <v>37715565.418264031</v>
      </c>
      <c r="Z239" s="508">
        <f ca="1">IF(X239&lt;&gt;0,-LOOKUP($Q239,Waterfalls!$6:$6,Waterfalls!$153:$153),"")</f>
        <v>266507.95792204805</v>
      </c>
    </row>
    <row r="240" spans="1:26" x14ac:dyDescent="0.3">
      <c r="A240" s="761">
        <f>IF(B240&gt;=DevBdgt!$E$7,LOOKUP(B240,DevBdgt!$7:$7,DevBdgt!$6:$6),"")</f>
        <v>132</v>
      </c>
      <c r="B240" s="507">
        <f t="shared" si="13"/>
        <v>51014</v>
      </c>
      <c r="C240" s="7">
        <v>0</v>
      </c>
      <c r="D240" s="1145">
        <f t="shared" si="12"/>
        <v>2.4958999999999999E-2</v>
      </c>
      <c r="Q240" s="507">
        <f t="shared" si="14"/>
        <v>51014</v>
      </c>
      <c r="T240" s="344">
        <f ca="1">IF(ROUND(LOOKUP(Q240,Waterfalls!$6:$6,Waterfalls!$14:$14),0)&gt;0,1,0)*(D240+$H$4)</f>
        <v>0</v>
      </c>
      <c r="U240" s="508" t="str">
        <f ca="1">IF(T240&lt;&gt;0,LOOKUP(Q240,Waterfalls!$6:$6,Waterfalls!$14:$14),"")</f>
        <v/>
      </c>
      <c r="V240" s="508" t="str">
        <f ca="1">IF(T240&lt;&gt;0,-LOOKUP(Q240,Waterfalls!$6:$6,Waterfalls!$152:$152),"")</f>
        <v/>
      </c>
      <c r="X240" s="344">
        <f ca="1">IF(ROUND(LOOKUP($Q240,Waterfalls!$6:$6,Waterfalls!$21:$21),0)&gt;0,1,0)*($D240+$O$6)</f>
        <v>4.7459000000000001E-2</v>
      </c>
      <c r="Y240" s="508">
        <f ca="1">IF(X240&lt;&gt;0,LOOKUP($Q240,Waterfalls!$6:$6,Waterfalls!$21:$21),"")</f>
        <v>37715565.418264031</v>
      </c>
      <c r="Z240" s="508">
        <f ca="1">IF(X240&lt;&gt;0,-LOOKUP($Q240,Waterfalls!$6:$6,Waterfalls!$153:$153),"")</f>
        <v>266507.95792204805</v>
      </c>
    </row>
    <row r="241" spans="1:26" x14ac:dyDescent="0.3">
      <c r="A241" s="761">
        <f>IF(B241&gt;=DevBdgt!$E$7,LOOKUP(B241,DevBdgt!$7:$7,DevBdgt!$6:$6),"")</f>
        <v>132</v>
      </c>
      <c r="B241" s="507">
        <f t="shared" si="13"/>
        <v>51044</v>
      </c>
      <c r="C241" s="7">
        <v>0</v>
      </c>
      <c r="D241" s="1145">
        <f t="shared" si="12"/>
        <v>2.4958999999999999E-2</v>
      </c>
      <c r="Q241" s="507">
        <f t="shared" si="14"/>
        <v>51044</v>
      </c>
      <c r="T241" s="344">
        <f ca="1">IF(ROUND(LOOKUP(Q241,Waterfalls!$6:$6,Waterfalls!$14:$14),0)&gt;0,1,0)*(D241+$H$4)</f>
        <v>0</v>
      </c>
      <c r="U241" s="508" t="str">
        <f ca="1">IF(T241&lt;&gt;0,LOOKUP(Q241,Waterfalls!$6:$6,Waterfalls!$14:$14),"")</f>
        <v/>
      </c>
      <c r="V241" s="508" t="str">
        <f ca="1">IF(T241&lt;&gt;0,-LOOKUP(Q241,Waterfalls!$6:$6,Waterfalls!$152:$152),"")</f>
        <v/>
      </c>
      <c r="X241" s="344">
        <f ca="1">IF(ROUND(LOOKUP($Q241,Waterfalls!$6:$6,Waterfalls!$21:$21),0)&gt;0,1,0)*($D241+$O$6)</f>
        <v>4.7459000000000001E-2</v>
      </c>
      <c r="Y241" s="508">
        <f ca="1">IF(X241&lt;&gt;0,LOOKUP($Q241,Waterfalls!$6:$6,Waterfalls!$21:$21),"")</f>
        <v>37715565.418264031</v>
      </c>
      <c r="Z241" s="508">
        <f ca="1">IF(X241&lt;&gt;0,-LOOKUP($Q241,Waterfalls!$6:$6,Waterfalls!$153:$153),"")</f>
        <v>266507.95792204805</v>
      </c>
    </row>
    <row r="242" spans="1:26" x14ac:dyDescent="0.3">
      <c r="A242" s="761">
        <f>IF(B242&gt;=DevBdgt!$E$7,LOOKUP(B242,DevBdgt!$7:$7,DevBdgt!$6:$6),"")</f>
        <v>132</v>
      </c>
      <c r="B242" s="507">
        <f t="shared" si="13"/>
        <v>51075</v>
      </c>
      <c r="C242" s="7">
        <v>0</v>
      </c>
      <c r="D242" s="1145">
        <f t="shared" ref="D242:D305" si="15">IF(C242=0,D241,IF(C242&lt;$H$5,$H$5,IF(AND($H$6&gt;0,C242&gt;$H$6),$H$6,C242)))</f>
        <v>2.4958999999999999E-2</v>
      </c>
      <c r="Q242" s="507">
        <f t="shared" si="14"/>
        <v>51075</v>
      </c>
      <c r="T242" s="344">
        <f ca="1">IF(ROUND(LOOKUP(Q242,Waterfalls!$6:$6,Waterfalls!$14:$14),0)&gt;0,1,0)*(D242+$H$4)</f>
        <v>0</v>
      </c>
      <c r="U242" s="508" t="str">
        <f ca="1">IF(T242&lt;&gt;0,LOOKUP(Q242,Waterfalls!$6:$6,Waterfalls!$14:$14),"")</f>
        <v/>
      </c>
      <c r="V242" s="508" t="str">
        <f ca="1">IF(T242&lt;&gt;0,-LOOKUP(Q242,Waterfalls!$6:$6,Waterfalls!$152:$152),"")</f>
        <v/>
      </c>
      <c r="X242" s="344">
        <f ca="1">IF(ROUND(LOOKUP($Q242,Waterfalls!$6:$6,Waterfalls!$21:$21),0)&gt;0,1,0)*($D242+$O$6)</f>
        <v>4.7459000000000001E-2</v>
      </c>
      <c r="Y242" s="508">
        <f ca="1">IF(X242&lt;&gt;0,LOOKUP($Q242,Waterfalls!$6:$6,Waterfalls!$21:$21),"")</f>
        <v>37715565.418264031</v>
      </c>
      <c r="Z242" s="508">
        <f ca="1">IF(X242&lt;&gt;0,-LOOKUP($Q242,Waterfalls!$6:$6,Waterfalls!$153:$153),"")</f>
        <v>266507.95792204805</v>
      </c>
    </row>
    <row r="243" spans="1:26" x14ac:dyDescent="0.3">
      <c r="A243" s="761">
        <f>IF(B243&gt;=DevBdgt!$E$7,LOOKUP(B243,DevBdgt!$7:$7,DevBdgt!$6:$6),"")</f>
        <v>132</v>
      </c>
      <c r="B243" s="507">
        <f t="shared" si="13"/>
        <v>51105</v>
      </c>
      <c r="C243" s="7">
        <v>0</v>
      </c>
      <c r="D243" s="1145">
        <f t="shared" si="15"/>
        <v>2.4958999999999999E-2</v>
      </c>
      <c r="Q243" s="507">
        <f t="shared" si="14"/>
        <v>51105</v>
      </c>
      <c r="T243" s="344">
        <f ca="1">IF(ROUND(LOOKUP(Q243,Waterfalls!$6:$6,Waterfalls!$14:$14),0)&gt;0,1,0)*(D243+$H$4)</f>
        <v>0</v>
      </c>
      <c r="U243" s="508" t="str">
        <f ca="1">IF(T243&lt;&gt;0,LOOKUP(Q243,Waterfalls!$6:$6,Waterfalls!$14:$14),"")</f>
        <v/>
      </c>
      <c r="V243" s="508" t="str">
        <f ca="1">IF(T243&lt;&gt;0,-LOOKUP(Q243,Waterfalls!$6:$6,Waterfalls!$152:$152),"")</f>
        <v/>
      </c>
      <c r="X243" s="344">
        <f ca="1">IF(ROUND(LOOKUP($Q243,Waterfalls!$6:$6,Waterfalls!$21:$21),0)&gt;0,1,0)*($D243+$O$6)</f>
        <v>4.7459000000000001E-2</v>
      </c>
      <c r="Y243" s="508">
        <f ca="1">IF(X243&lt;&gt;0,LOOKUP($Q243,Waterfalls!$6:$6,Waterfalls!$21:$21),"")</f>
        <v>37715565.418264031</v>
      </c>
      <c r="Z243" s="508">
        <f ca="1">IF(X243&lt;&gt;0,-LOOKUP($Q243,Waterfalls!$6:$6,Waterfalls!$153:$153),"")</f>
        <v>266507.95792204805</v>
      </c>
    </row>
    <row r="244" spans="1:26" x14ac:dyDescent="0.3">
      <c r="A244" s="761">
        <f>IF(B244&gt;=DevBdgt!$E$7,LOOKUP(B244,DevBdgt!$7:$7,DevBdgt!$6:$6),"")</f>
        <v>132</v>
      </c>
      <c r="B244" s="507">
        <f t="shared" si="13"/>
        <v>51136</v>
      </c>
      <c r="C244" s="7">
        <v>0</v>
      </c>
      <c r="D244" s="1145">
        <f t="shared" si="15"/>
        <v>2.4958999999999999E-2</v>
      </c>
      <c r="Q244" s="507">
        <f t="shared" si="14"/>
        <v>51136</v>
      </c>
      <c r="T244" s="344">
        <f ca="1">IF(ROUND(LOOKUP(Q244,Waterfalls!$6:$6,Waterfalls!$14:$14),0)&gt;0,1,0)*(D244+$H$4)</f>
        <v>0</v>
      </c>
      <c r="U244" s="508" t="str">
        <f ca="1">IF(T244&lt;&gt;0,LOOKUP(Q244,Waterfalls!$6:$6,Waterfalls!$14:$14),"")</f>
        <v/>
      </c>
      <c r="V244" s="508" t="str">
        <f ca="1">IF(T244&lt;&gt;0,-LOOKUP(Q244,Waterfalls!$6:$6,Waterfalls!$152:$152),"")</f>
        <v/>
      </c>
      <c r="X244" s="344">
        <f ca="1">IF(ROUND(LOOKUP($Q244,Waterfalls!$6:$6,Waterfalls!$21:$21),0)&gt;0,1,0)*($D244+$O$6)</f>
        <v>4.7459000000000001E-2</v>
      </c>
      <c r="Y244" s="508">
        <f ca="1">IF(X244&lt;&gt;0,LOOKUP($Q244,Waterfalls!$6:$6,Waterfalls!$21:$21),"")</f>
        <v>37715565.418264031</v>
      </c>
      <c r="Z244" s="508">
        <f ca="1">IF(X244&lt;&gt;0,-LOOKUP($Q244,Waterfalls!$6:$6,Waterfalls!$153:$153),"")</f>
        <v>266507.95792204805</v>
      </c>
    </row>
    <row r="245" spans="1:26" x14ac:dyDescent="0.3">
      <c r="A245" s="761">
        <f>IF(B245&gt;=DevBdgt!$E$7,LOOKUP(B245,DevBdgt!$7:$7,DevBdgt!$6:$6),"")</f>
        <v>132</v>
      </c>
      <c r="B245" s="507">
        <f t="shared" si="13"/>
        <v>51167</v>
      </c>
      <c r="C245" s="7">
        <v>0</v>
      </c>
      <c r="D245" s="1145">
        <f t="shared" si="15"/>
        <v>2.4958999999999999E-2</v>
      </c>
      <c r="Q245" s="507">
        <f t="shared" si="14"/>
        <v>51167</v>
      </c>
      <c r="T245" s="344">
        <f ca="1">IF(ROUND(LOOKUP(Q245,Waterfalls!$6:$6,Waterfalls!$14:$14),0)&gt;0,1,0)*(D245+$H$4)</f>
        <v>0</v>
      </c>
      <c r="U245" s="508" t="str">
        <f ca="1">IF(T245&lt;&gt;0,LOOKUP(Q245,Waterfalls!$6:$6,Waterfalls!$14:$14),"")</f>
        <v/>
      </c>
      <c r="V245" s="508" t="str">
        <f ca="1">IF(T245&lt;&gt;0,-LOOKUP(Q245,Waterfalls!$6:$6,Waterfalls!$152:$152),"")</f>
        <v/>
      </c>
      <c r="X245" s="344">
        <f ca="1">IF(ROUND(LOOKUP($Q245,Waterfalls!$6:$6,Waterfalls!$21:$21),0)&gt;0,1,0)*($D245+$O$6)</f>
        <v>4.7459000000000001E-2</v>
      </c>
      <c r="Y245" s="508">
        <f ca="1">IF(X245&lt;&gt;0,LOOKUP($Q245,Waterfalls!$6:$6,Waterfalls!$21:$21),"")</f>
        <v>37715565.418264031</v>
      </c>
      <c r="Z245" s="508">
        <f ca="1">IF(X245&lt;&gt;0,-LOOKUP($Q245,Waterfalls!$6:$6,Waterfalls!$153:$153),"")</f>
        <v>266507.95792204805</v>
      </c>
    </row>
    <row r="246" spans="1:26" x14ac:dyDescent="0.3">
      <c r="A246" s="761">
        <f>IF(B246&gt;=DevBdgt!$E$7,LOOKUP(B246,DevBdgt!$7:$7,DevBdgt!$6:$6),"")</f>
        <v>132</v>
      </c>
      <c r="B246" s="507">
        <f t="shared" si="13"/>
        <v>51196</v>
      </c>
      <c r="C246" s="7">
        <v>0</v>
      </c>
      <c r="D246" s="1145">
        <f t="shared" si="15"/>
        <v>2.4958999999999999E-2</v>
      </c>
      <c r="Q246" s="507">
        <f t="shared" si="14"/>
        <v>51196</v>
      </c>
      <c r="T246" s="344">
        <f ca="1">IF(ROUND(LOOKUP(Q246,Waterfalls!$6:$6,Waterfalls!$14:$14),0)&gt;0,1,0)*(D246+$H$4)</f>
        <v>0</v>
      </c>
      <c r="U246" s="508" t="str">
        <f ca="1">IF(T246&lt;&gt;0,LOOKUP(Q246,Waterfalls!$6:$6,Waterfalls!$14:$14),"")</f>
        <v/>
      </c>
      <c r="V246" s="508" t="str">
        <f ca="1">IF(T246&lt;&gt;0,-LOOKUP(Q246,Waterfalls!$6:$6,Waterfalls!$152:$152),"")</f>
        <v/>
      </c>
      <c r="X246" s="344">
        <f ca="1">IF(ROUND(LOOKUP($Q246,Waterfalls!$6:$6,Waterfalls!$21:$21),0)&gt;0,1,0)*($D246+$O$6)</f>
        <v>4.7459000000000001E-2</v>
      </c>
      <c r="Y246" s="508">
        <f ca="1">IF(X246&lt;&gt;0,LOOKUP($Q246,Waterfalls!$6:$6,Waterfalls!$21:$21),"")</f>
        <v>37715565.418264031</v>
      </c>
      <c r="Z246" s="508">
        <f ca="1">IF(X246&lt;&gt;0,-LOOKUP($Q246,Waterfalls!$6:$6,Waterfalls!$153:$153),"")</f>
        <v>266507.95792204805</v>
      </c>
    </row>
    <row r="247" spans="1:26" x14ac:dyDescent="0.3">
      <c r="A247" s="761">
        <f>IF(B247&gt;=DevBdgt!$E$7,LOOKUP(B247,DevBdgt!$7:$7,DevBdgt!$6:$6),"")</f>
        <v>132</v>
      </c>
      <c r="B247" s="507">
        <f t="shared" si="13"/>
        <v>51227</v>
      </c>
      <c r="C247" s="7">
        <v>0</v>
      </c>
      <c r="D247" s="1145">
        <f t="shared" si="15"/>
        <v>2.4958999999999999E-2</v>
      </c>
      <c r="Q247" s="507">
        <f t="shared" si="14"/>
        <v>51227</v>
      </c>
      <c r="T247" s="344">
        <f ca="1">IF(ROUND(LOOKUP(Q247,Waterfalls!$6:$6,Waterfalls!$14:$14),0)&gt;0,1,0)*(D247+$H$4)</f>
        <v>0</v>
      </c>
      <c r="U247" s="508" t="str">
        <f ca="1">IF(T247&lt;&gt;0,LOOKUP(Q247,Waterfalls!$6:$6,Waterfalls!$14:$14),"")</f>
        <v/>
      </c>
      <c r="V247" s="508" t="str">
        <f ca="1">IF(T247&lt;&gt;0,-LOOKUP(Q247,Waterfalls!$6:$6,Waterfalls!$152:$152),"")</f>
        <v/>
      </c>
      <c r="X247" s="344">
        <f ca="1">IF(ROUND(LOOKUP($Q247,Waterfalls!$6:$6,Waterfalls!$21:$21),0)&gt;0,1,0)*($D247+$O$6)</f>
        <v>4.7459000000000001E-2</v>
      </c>
      <c r="Y247" s="508">
        <f ca="1">IF(X247&lt;&gt;0,LOOKUP($Q247,Waterfalls!$6:$6,Waterfalls!$21:$21),"")</f>
        <v>37715565.418264031</v>
      </c>
      <c r="Z247" s="508">
        <f ca="1">IF(X247&lt;&gt;0,-LOOKUP($Q247,Waterfalls!$6:$6,Waterfalls!$153:$153),"")</f>
        <v>266507.95792204805</v>
      </c>
    </row>
    <row r="248" spans="1:26" x14ac:dyDescent="0.3">
      <c r="A248" s="761">
        <f>IF(B248&gt;=DevBdgt!$E$7,LOOKUP(B248,DevBdgt!$7:$7,DevBdgt!$6:$6),"")</f>
        <v>132</v>
      </c>
      <c r="B248" s="507">
        <f t="shared" si="13"/>
        <v>51257</v>
      </c>
      <c r="C248" s="7">
        <v>0</v>
      </c>
      <c r="D248" s="1145">
        <f t="shared" si="15"/>
        <v>2.4958999999999999E-2</v>
      </c>
      <c r="Q248" s="507">
        <f t="shared" si="14"/>
        <v>51257</v>
      </c>
      <c r="T248" s="344">
        <f ca="1">IF(ROUND(LOOKUP(Q248,Waterfalls!$6:$6,Waterfalls!$14:$14),0)&gt;0,1,0)*(D248+$H$4)</f>
        <v>0</v>
      </c>
      <c r="U248" s="508" t="str">
        <f ca="1">IF(T248&lt;&gt;0,LOOKUP(Q248,Waterfalls!$6:$6,Waterfalls!$14:$14),"")</f>
        <v/>
      </c>
      <c r="V248" s="508" t="str">
        <f ca="1">IF(T248&lt;&gt;0,-LOOKUP(Q248,Waterfalls!$6:$6,Waterfalls!$152:$152),"")</f>
        <v/>
      </c>
      <c r="X248" s="344">
        <f ca="1">IF(ROUND(LOOKUP($Q248,Waterfalls!$6:$6,Waterfalls!$21:$21),0)&gt;0,1,0)*($D248+$O$6)</f>
        <v>4.7459000000000001E-2</v>
      </c>
      <c r="Y248" s="508">
        <f ca="1">IF(X248&lt;&gt;0,LOOKUP($Q248,Waterfalls!$6:$6,Waterfalls!$21:$21),"")</f>
        <v>37715565.418264031</v>
      </c>
      <c r="Z248" s="508">
        <f ca="1">IF(X248&lt;&gt;0,-LOOKUP($Q248,Waterfalls!$6:$6,Waterfalls!$153:$153),"")</f>
        <v>266507.95792204805</v>
      </c>
    </row>
    <row r="249" spans="1:26" x14ac:dyDescent="0.3">
      <c r="A249" s="761">
        <f>IF(B249&gt;=DevBdgt!$E$7,LOOKUP(B249,DevBdgt!$7:$7,DevBdgt!$6:$6),"")</f>
        <v>132</v>
      </c>
      <c r="B249" s="507">
        <f t="shared" si="13"/>
        <v>51288</v>
      </c>
      <c r="C249" s="7">
        <v>0</v>
      </c>
      <c r="D249" s="1145">
        <f t="shared" si="15"/>
        <v>2.4958999999999999E-2</v>
      </c>
      <c r="Q249" s="507">
        <f t="shared" si="14"/>
        <v>51288</v>
      </c>
      <c r="T249" s="344">
        <f ca="1">IF(ROUND(LOOKUP(Q249,Waterfalls!$6:$6,Waterfalls!$14:$14),0)&gt;0,1,0)*(D249+$H$4)</f>
        <v>0</v>
      </c>
      <c r="U249" s="508" t="str">
        <f ca="1">IF(T249&lt;&gt;0,LOOKUP(Q249,Waterfalls!$6:$6,Waterfalls!$14:$14),"")</f>
        <v/>
      </c>
      <c r="V249" s="508" t="str">
        <f ca="1">IF(T249&lt;&gt;0,-LOOKUP(Q249,Waterfalls!$6:$6,Waterfalls!$152:$152),"")</f>
        <v/>
      </c>
      <c r="X249" s="344">
        <f ca="1">IF(ROUND(LOOKUP($Q249,Waterfalls!$6:$6,Waterfalls!$21:$21),0)&gt;0,1,0)*($D249+$O$6)</f>
        <v>4.7459000000000001E-2</v>
      </c>
      <c r="Y249" s="508">
        <f ca="1">IF(X249&lt;&gt;0,LOOKUP($Q249,Waterfalls!$6:$6,Waterfalls!$21:$21),"")</f>
        <v>37715565.418264031</v>
      </c>
      <c r="Z249" s="508">
        <f ca="1">IF(X249&lt;&gt;0,-LOOKUP($Q249,Waterfalls!$6:$6,Waterfalls!$153:$153),"")</f>
        <v>266507.95792204805</v>
      </c>
    </row>
    <row r="250" spans="1:26" x14ac:dyDescent="0.3">
      <c r="A250" s="761">
        <f>IF(B250&gt;=DevBdgt!$E$7,LOOKUP(B250,DevBdgt!$7:$7,DevBdgt!$6:$6),"")</f>
        <v>132</v>
      </c>
      <c r="B250" s="507">
        <f t="shared" si="13"/>
        <v>51318</v>
      </c>
      <c r="C250" s="7">
        <v>0</v>
      </c>
      <c r="D250" s="1145">
        <f t="shared" si="15"/>
        <v>2.4958999999999999E-2</v>
      </c>
      <c r="Q250" s="507">
        <f t="shared" si="14"/>
        <v>51318</v>
      </c>
      <c r="T250" s="344">
        <f ca="1">IF(ROUND(LOOKUP(Q250,Waterfalls!$6:$6,Waterfalls!$14:$14),0)&gt;0,1,0)*(D250+$H$4)</f>
        <v>0</v>
      </c>
      <c r="U250" s="508" t="str">
        <f ca="1">IF(T250&lt;&gt;0,LOOKUP(Q250,Waterfalls!$6:$6,Waterfalls!$14:$14),"")</f>
        <v/>
      </c>
      <c r="V250" s="508" t="str">
        <f ca="1">IF(T250&lt;&gt;0,-LOOKUP(Q250,Waterfalls!$6:$6,Waterfalls!$152:$152),"")</f>
        <v/>
      </c>
      <c r="X250" s="344">
        <f ca="1">IF(ROUND(LOOKUP($Q250,Waterfalls!$6:$6,Waterfalls!$21:$21),0)&gt;0,1,0)*($D250+$O$6)</f>
        <v>4.7459000000000001E-2</v>
      </c>
      <c r="Y250" s="508">
        <f ca="1">IF(X250&lt;&gt;0,LOOKUP($Q250,Waterfalls!$6:$6,Waterfalls!$21:$21),"")</f>
        <v>37715565.418264031</v>
      </c>
      <c r="Z250" s="508">
        <f ca="1">IF(X250&lt;&gt;0,-LOOKUP($Q250,Waterfalls!$6:$6,Waterfalls!$153:$153),"")</f>
        <v>266507.95792204805</v>
      </c>
    </row>
    <row r="251" spans="1:26" x14ac:dyDescent="0.3">
      <c r="A251" s="761">
        <f>IF(B251&gt;=DevBdgt!$E$7,LOOKUP(B251,DevBdgt!$7:$7,DevBdgt!$6:$6),"")</f>
        <v>132</v>
      </c>
      <c r="B251" s="507">
        <f t="shared" si="13"/>
        <v>51349</v>
      </c>
      <c r="C251" s="7">
        <v>0</v>
      </c>
      <c r="D251" s="1145">
        <f t="shared" si="15"/>
        <v>2.4958999999999999E-2</v>
      </c>
      <c r="Q251" s="507">
        <f t="shared" si="14"/>
        <v>51349</v>
      </c>
      <c r="T251" s="344">
        <f ca="1">IF(ROUND(LOOKUP(Q251,Waterfalls!$6:$6,Waterfalls!$14:$14),0)&gt;0,1,0)*(D251+$H$4)</f>
        <v>0</v>
      </c>
      <c r="U251" s="508" t="str">
        <f ca="1">IF(T251&lt;&gt;0,LOOKUP(Q251,Waterfalls!$6:$6,Waterfalls!$14:$14),"")</f>
        <v/>
      </c>
      <c r="V251" s="508" t="str">
        <f ca="1">IF(T251&lt;&gt;0,-LOOKUP(Q251,Waterfalls!$6:$6,Waterfalls!$152:$152),"")</f>
        <v/>
      </c>
      <c r="X251" s="344">
        <f ca="1">IF(ROUND(LOOKUP($Q251,Waterfalls!$6:$6,Waterfalls!$21:$21),0)&gt;0,1,0)*($D251+$O$6)</f>
        <v>4.7459000000000001E-2</v>
      </c>
      <c r="Y251" s="508">
        <f ca="1">IF(X251&lt;&gt;0,LOOKUP($Q251,Waterfalls!$6:$6,Waterfalls!$21:$21),"")</f>
        <v>37715565.418264031</v>
      </c>
      <c r="Z251" s="508">
        <f ca="1">IF(X251&lt;&gt;0,-LOOKUP($Q251,Waterfalls!$6:$6,Waterfalls!$153:$153),"")</f>
        <v>266507.95792204805</v>
      </c>
    </row>
    <row r="252" spans="1:26" x14ac:dyDescent="0.3">
      <c r="A252" s="761">
        <f>IF(B252&gt;=DevBdgt!$E$7,LOOKUP(B252,DevBdgt!$7:$7,DevBdgt!$6:$6),"")</f>
        <v>132</v>
      </c>
      <c r="B252" s="507">
        <f t="shared" si="13"/>
        <v>51380</v>
      </c>
      <c r="C252" s="7">
        <v>0</v>
      </c>
      <c r="D252" s="1145">
        <f t="shared" si="15"/>
        <v>2.4958999999999999E-2</v>
      </c>
      <c r="Q252" s="507">
        <f t="shared" si="14"/>
        <v>51380</v>
      </c>
      <c r="T252" s="344">
        <f ca="1">IF(ROUND(LOOKUP(Q252,Waterfalls!$6:$6,Waterfalls!$14:$14),0)&gt;0,1,0)*(D252+$H$4)</f>
        <v>0</v>
      </c>
      <c r="U252" s="508" t="str">
        <f ca="1">IF(T252&lt;&gt;0,LOOKUP(Q252,Waterfalls!$6:$6,Waterfalls!$14:$14),"")</f>
        <v/>
      </c>
      <c r="V252" s="508" t="str">
        <f ca="1">IF(T252&lt;&gt;0,-LOOKUP(Q252,Waterfalls!$6:$6,Waterfalls!$152:$152),"")</f>
        <v/>
      </c>
      <c r="X252" s="344">
        <f ca="1">IF(ROUND(LOOKUP($Q252,Waterfalls!$6:$6,Waterfalls!$21:$21),0)&gt;0,1,0)*($D252+$O$6)</f>
        <v>4.7459000000000001E-2</v>
      </c>
      <c r="Y252" s="508">
        <f ca="1">IF(X252&lt;&gt;0,LOOKUP($Q252,Waterfalls!$6:$6,Waterfalls!$21:$21),"")</f>
        <v>37715565.418264031</v>
      </c>
      <c r="Z252" s="508">
        <f ca="1">IF(X252&lt;&gt;0,-LOOKUP($Q252,Waterfalls!$6:$6,Waterfalls!$153:$153),"")</f>
        <v>266507.95792204805</v>
      </c>
    </row>
    <row r="253" spans="1:26" x14ac:dyDescent="0.3">
      <c r="A253" s="761">
        <f>IF(B253&gt;=DevBdgt!$E$7,LOOKUP(B253,DevBdgt!$7:$7,DevBdgt!$6:$6),"")</f>
        <v>132</v>
      </c>
      <c r="B253" s="507">
        <f t="shared" si="13"/>
        <v>51410</v>
      </c>
      <c r="C253" s="7">
        <v>0</v>
      </c>
      <c r="D253" s="1145">
        <f t="shared" si="15"/>
        <v>2.4958999999999999E-2</v>
      </c>
      <c r="Q253" s="507">
        <f t="shared" si="14"/>
        <v>51410</v>
      </c>
      <c r="T253" s="344">
        <f ca="1">IF(ROUND(LOOKUP(Q253,Waterfalls!$6:$6,Waterfalls!$14:$14),0)&gt;0,1,0)*(D253+$H$4)</f>
        <v>0</v>
      </c>
      <c r="U253" s="508" t="str">
        <f ca="1">IF(T253&lt;&gt;0,LOOKUP(Q253,Waterfalls!$6:$6,Waterfalls!$14:$14),"")</f>
        <v/>
      </c>
      <c r="V253" s="508" t="str">
        <f ca="1">IF(T253&lt;&gt;0,-LOOKUP(Q253,Waterfalls!$6:$6,Waterfalls!$152:$152),"")</f>
        <v/>
      </c>
      <c r="X253" s="344">
        <f ca="1">IF(ROUND(LOOKUP($Q253,Waterfalls!$6:$6,Waterfalls!$21:$21),0)&gt;0,1,0)*($D253+$O$6)</f>
        <v>4.7459000000000001E-2</v>
      </c>
      <c r="Y253" s="508">
        <f ca="1">IF(X253&lt;&gt;0,LOOKUP($Q253,Waterfalls!$6:$6,Waterfalls!$21:$21),"")</f>
        <v>37715565.418264031</v>
      </c>
      <c r="Z253" s="508">
        <f ca="1">IF(X253&lt;&gt;0,-LOOKUP($Q253,Waterfalls!$6:$6,Waterfalls!$153:$153),"")</f>
        <v>266507.95792204805</v>
      </c>
    </row>
    <row r="254" spans="1:26" x14ac:dyDescent="0.3">
      <c r="A254" s="761">
        <f>IF(B254&gt;=DevBdgt!$E$7,LOOKUP(B254,DevBdgt!$7:$7,DevBdgt!$6:$6),"")</f>
        <v>132</v>
      </c>
      <c r="B254" s="507">
        <f t="shared" si="13"/>
        <v>51441</v>
      </c>
      <c r="C254" s="7">
        <v>0</v>
      </c>
      <c r="D254" s="1145">
        <f t="shared" si="15"/>
        <v>2.4958999999999999E-2</v>
      </c>
      <c r="Q254" s="507">
        <f t="shared" si="14"/>
        <v>51441</v>
      </c>
      <c r="T254" s="344">
        <f ca="1">IF(ROUND(LOOKUP(Q254,Waterfalls!$6:$6,Waterfalls!$14:$14),0)&gt;0,1,0)*(D254+$H$4)</f>
        <v>0</v>
      </c>
      <c r="U254" s="508" t="str">
        <f ca="1">IF(T254&lt;&gt;0,LOOKUP(Q254,Waterfalls!$6:$6,Waterfalls!$14:$14),"")</f>
        <v/>
      </c>
      <c r="V254" s="508" t="str">
        <f ca="1">IF(T254&lt;&gt;0,-LOOKUP(Q254,Waterfalls!$6:$6,Waterfalls!$152:$152),"")</f>
        <v/>
      </c>
      <c r="X254" s="344">
        <f ca="1">IF(ROUND(LOOKUP($Q254,Waterfalls!$6:$6,Waterfalls!$21:$21),0)&gt;0,1,0)*($D254+$O$6)</f>
        <v>4.7459000000000001E-2</v>
      </c>
      <c r="Y254" s="508">
        <f ca="1">IF(X254&lt;&gt;0,LOOKUP($Q254,Waterfalls!$6:$6,Waterfalls!$21:$21),"")</f>
        <v>37715565.418264031</v>
      </c>
      <c r="Z254" s="508">
        <f ca="1">IF(X254&lt;&gt;0,-LOOKUP($Q254,Waterfalls!$6:$6,Waterfalls!$153:$153),"")</f>
        <v>266507.95792204805</v>
      </c>
    </row>
    <row r="255" spans="1:26" x14ac:dyDescent="0.3">
      <c r="A255" s="761">
        <f>IF(B255&gt;=DevBdgt!$E$7,LOOKUP(B255,DevBdgt!$7:$7,DevBdgt!$6:$6),"")</f>
        <v>132</v>
      </c>
      <c r="B255" s="507">
        <f t="shared" si="13"/>
        <v>51471</v>
      </c>
      <c r="C255" s="7">
        <v>0</v>
      </c>
      <c r="D255" s="1145">
        <f t="shared" si="15"/>
        <v>2.4958999999999999E-2</v>
      </c>
      <c r="Q255" s="507">
        <f t="shared" si="14"/>
        <v>51471</v>
      </c>
      <c r="T255" s="344">
        <f ca="1">IF(ROUND(LOOKUP(Q255,Waterfalls!$6:$6,Waterfalls!$14:$14),0)&gt;0,1,0)*(D255+$H$4)</f>
        <v>0</v>
      </c>
      <c r="U255" s="508" t="str">
        <f ca="1">IF(T255&lt;&gt;0,LOOKUP(Q255,Waterfalls!$6:$6,Waterfalls!$14:$14),"")</f>
        <v/>
      </c>
      <c r="V255" s="508" t="str">
        <f ca="1">IF(T255&lt;&gt;0,-LOOKUP(Q255,Waterfalls!$6:$6,Waterfalls!$152:$152),"")</f>
        <v/>
      </c>
      <c r="X255" s="344">
        <f ca="1">IF(ROUND(LOOKUP($Q255,Waterfalls!$6:$6,Waterfalls!$21:$21),0)&gt;0,1,0)*($D255+$O$6)</f>
        <v>4.7459000000000001E-2</v>
      </c>
      <c r="Y255" s="508">
        <f ca="1">IF(X255&lt;&gt;0,LOOKUP($Q255,Waterfalls!$6:$6,Waterfalls!$21:$21),"")</f>
        <v>37715565.418264031</v>
      </c>
      <c r="Z255" s="508">
        <f ca="1">IF(X255&lt;&gt;0,-LOOKUP($Q255,Waterfalls!$6:$6,Waterfalls!$153:$153),"")</f>
        <v>266507.95792204805</v>
      </c>
    </row>
    <row r="256" spans="1:26" x14ac:dyDescent="0.3">
      <c r="A256" s="761">
        <f>IF(B256&gt;=DevBdgt!$E$7,LOOKUP(B256,DevBdgt!$7:$7,DevBdgt!$6:$6),"")</f>
        <v>132</v>
      </c>
      <c r="B256" s="507">
        <f t="shared" si="13"/>
        <v>51502</v>
      </c>
      <c r="C256" s="7">
        <v>0</v>
      </c>
      <c r="D256" s="1145">
        <f t="shared" si="15"/>
        <v>2.4958999999999999E-2</v>
      </c>
      <c r="Q256" s="507">
        <f t="shared" si="14"/>
        <v>51502</v>
      </c>
      <c r="T256" s="344">
        <f ca="1">IF(ROUND(LOOKUP(Q256,Waterfalls!$6:$6,Waterfalls!$14:$14),0)&gt;0,1,0)*(D256+$H$4)</f>
        <v>0</v>
      </c>
      <c r="U256" s="508" t="str">
        <f ca="1">IF(T256&lt;&gt;0,LOOKUP(Q256,Waterfalls!$6:$6,Waterfalls!$14:$14),"")</f>
        <v/>
      </c>
      <c r="V256" s="508" t="str">
        <f ca="1">IF(T256&lt;&gt;0,-LOOKUP(Q256,Waterfalls!$6:$6,Waterfalls!$152:$152),"")</f>
        <v/>
      </c>
      <c r="X256" s="344">
        <f ca="1">IF(ROUND(LOOKUP($Q256,Waterfalls!$6:$6,Waterfalls!$21:$21),0)&gt;0,1,0)*($D256+$O$6)</f>
        <v>4.7459000000000001E-2</v>
      </c>
      <c r="Y256" s="508">
        <f ca="1">IF(X256&lt;&gt;0,LOOKUP($Q256,Waterfalls!$6:$6,Waterfalls!$21:$21),"")</f>
        <v>37715565.418264031</v>
      </c>
      <c r="Z256" s="508">
        <f ca="1">IF(X256&lt;&gt;0,-LOOKUP($Q256,Waterfalls!$6:$6,Waterfalls!$153:$153),"")</f>
        <v>266507.95792204805</v>
      </c>
    </row>
    <row r="257" spans="1:26" x14ac:dyDescent="0.3">
      <c r="A257" s="761">
        <f>IF(B257&gt;=DevBdgt!$E$7,LOOKUP(B257,DevBdgt!$7:$7,DevBdgt!$6:$6),"")</f>
        <v>132</v>
      </c>
      <c r="B257" s="507">
        <f t="shared" si="13"/>
        <v>51533</v>
      </c>
      <c r="C257" s="7">
        <v>0</v>
      </c>
      <c r="D257" s="1145">
        <f t="shared" si="15"/>
        <v>2.4958999999999999E-2</v>
      </c>
      <c r="Q257" s="507">
        <f t="shared" si="14"/>
        <v>51533</v>
      </c>
      <c r="T257" s="344">
        <f ca="1">IF(ROUND(LOOKUP(Q257,Waterfalls!$6:$6,Waterfalls!$14:$14),0)&gt;0,1,0)*(D257+$H$4)</f>
        <v>0</v>
      </c>
      <c r="U257" s="508" t="str">
        <f ca="1">IF(T257&lt;&gt;0,LOOKUP(Q257,Waterfalls!$6:$6,Waterfalls!$14:$14),"")</f>
        <v/>
      </c>
      <c r="V257" s="508" t="str">
        <f ca="1">IF(T257&lt;&gt;0,-LOOKUP(Q257,Waterfalls!$6:$6,Waterfalls!$152:$152),"")</f>
        <v/>
      </c>
      <c r="X257" s="344">
        <f ca="1">IF(ROUND(LOOKUP($Q257,Waterfalls!$6:$6,Waterfalls!$21:$21),0)&gt;0,1,0)*($D257+$O$6)</f>
        <v>4.7459000000000001E-2</v>
      </c>
      <c r="Y257" s="508">
        <f ca="1">IF(X257&lt;&gt;0,LOOKUP($Q257,Waterfalls!$6:$6,Waterfalls!$21:$21),"")</f>
        <v>37715565.418264031</v>
      </c>
      <c r="Z257" s="508">
        <f ca="1">IF(X257&lt;&gt;0,-LOOKUP($Q257,Waterfalls!$6:$6,Waterfalls!$153:$153),"")</f>
        <v>266507.95792204805</v>
      </c>
    </row>
    <row r="258" spans="1:26" x14ac:dyDescent="0.3">
      <c r="A258" s="761">
        <f>IF(B258&gt;=DevBdgt!$E$7,LOOKUP(B258,DevBdgt!$7:$7,DevBdgt!$6:$6),"")</f>
        <v>132</v>
      </c>
      <c r="B258" s="507">
        <f t="shared" si="13"/>
        <v>51561</v>
      </c>
      <c r="C258" s="7">
        <v>0</v>
      </c>
      <c r="D258" s="1145">
        <f t="shared" si="15"/>
        <v>2.4958999999999999E-2</v>
      </c>
      <c r="Q258" s="507">
        <f t="shared" si="14"/>
        <v>51561</v>
      </c>
      <c r="T258" s="344">
        <f ca="1">IF(ROUND(LOOKUP(Q258,Waterfalls!$6:$6,Waterfalls!$14:$14),0)&gt;0,1,0)*(D258+$H$4)</f>
        <v>0</v>
      </c>
      <c r="U258" s="508" t="str">
        <f ca="1">IF(T258&lt;&gt;0,LOOKUP(Q258,Waterfalls!$6:$6,Waterfalls!$14:$14),"")</f>
        <v/>
      </c>
      <c r="V258" s="508" t="str">
        <f ca="1">IF(T258&lt;&gt;0,-LOOKUP(Q258,Waterfalls!$6:$6,Waterfalls!$152:$152),"")</f>
        <v/>
      </c>
      <c r="X258" s="344">
        <f ca="1">IF(ROUND(LOOKUP($Q258,Waterfalls!$6:$6,Waterfalls!$21:$21),0)&gt;0,1,0)*($D258+$O$6)</f>
        <v>4.7459000000000001E-2</v>
      </c>
      <c r="Y258" s="508">
        <f ca="1">IF(X258&lt;&gt;0,LOOKUP($Q258,Waterfalls!$6:$6,Waterfalls!$21:$21),"")</f>
        <v>37715565.418264031</v>
      </c>
      <c r="Z258" s="508">
        <f ca="1">IF(X258&lt;&gt;0,-LOOKUP($Q258,Waterfalls!$6:$6,Waterfalls!$153:$153),"")</f>
        <v>266507.95792204805</v>
      </c>
    </row>
    <row r="259" spans="1:26" x14ac:dyDescent="0.3">
      <c r="A259" s="761">
        <f>IF(B259&gt;=DevBdgt!$E$7,LOOKUP(B259,DevBdgt!$7:$7,DevBdgt!$6:$6),"")</f>
        <v>132</v>
      </c>
      <c r="B259" s="507">
        <f t="shared" si="13"/>
        <v>51592</v>
      </c>
      <c r="C259" s="7">
        <v>0</v>
      </c>
      <c r="D259" s="1145">
        <f t="shared" si="15"/>
        <v>2.4958999999999999E-2</v>
      </c>
      <c r="Q259" s="507">
        <f t="shared" si="14"/>
        <v>51592</v>
      </c>
      <c r="T259" s="344">
        <f ca="1">IF(ROUND(LOOKUP(Q259,Waterfalls!$6:$6,Waterfalls!$14:$14),0)&gt;0,1,0)*(D259+$H$4)</f>
        <v>0</v>
      </c>
      <c r="U259" s="508" t="str">
        <f ca="1">IF(T259&lt;&gt;0,LOOKUP(Q259,Waterfalls!$6:$6,Waterfalls!$14:$14),"")</f>
        <v/>
      </c>
      <c r="V259" s="508" t="str">
        <f ca="1">IF(T259&lt;&gt;0,-LOOKUP(Q259,Waterfalls!$6:$6,Waterfalls!$152:$152),"")</f>
        <v/>
      </c>
      <c r="X259" s="344">
        <f ca="1">IF(ROUND(LOOKUP($Q259,Waterfalls!$6:$6,Waterfalls!$21:$21),0)&gt;0,1,0)*($D259+$O$6)</f>
        <v>4.7459000000000001E-2</v>
      </c>
      <c r="Y259" s="508">
        <f ca="1">IF(X259&lt;&gt;0,LOOKUP($Q259,Waterfalls!$6:$6,Waterfalls!$21:$21),"")</f>
        <v>37715565.418264031</v>
      </c>
      <c r="Z259" s="508">
        <f ca="1">IF(X259&lt;&gt;0,-LOOKUP($Q259,Waterfalls!$6:$6,Waterfalls!$153:$153),"")</f>
        <v>266507.95792204805</v>
      </c>
    </row>
    <row r="260" spans="1:26" x14ac:dyDescent="0.3">
      <c r="A260" s="761">
        <f>IF(B260&gt;=DevBdgt!$E$7,LOOKUP(B260,DevBdgt!$7:$7,DevBdgt!$6:$6),"")</f>
        <v>132</v>
      </c>
      <c r="B260" s="507">
        <f t="shared" si="13"/>
        <v>51622</v>
      </c>
      <c r="C260" s="7">
        <v>0</v>
      </c>
      <c r="D260" s="1145">
        <f t="shared" si="15"/>
        <v>2.4958999999999999E-2</v>
      </c>
      <c r="Q260" s="507">
        <f t="shared" si="14"/>
        <v>51622</v>
      </c>
      <c r="T260" s="344">
        <f ca="1">IF(ROUND(LOOKUP(Q260,Waterfalls!$6:$6,Waterfalls!$14:$14),0)&gt;0,1,0)*(D260+$H$4)</f>
        <v>0</v>
      </c>
      <c r="U260" s="508" t="str">
        <f ca="1">IF(T260&lt;&gt;0,LOOKUP(Q260,Waterfalls!$6:$6,Waterfalls!$14:$14),"")</f>
        <v/>
      </c>
      <c r="V260" s="508" t="str">
        <f ca="1">IF(T260&lt;&gt;0,-LOOKUP(Q260,Waterfalls!$6:$6,Waterfalls!$152:$152),"")</f>
        <v/>
      </c>
      <c r="X260" s="344">
        <f ca="1">IF(ROUND(LOOKUP($Q260,Waterfalls!$6:$6,Waterfalls!$21:$21),0)&gt;0,1,0)*($D260+$O$6)</f>
        <v>4.7459000000000001E-2</v>
      </c>
      <c r="Y260" s="508">
        <f ca="1">IF(X260&lt;&gt;0,LOOKUP($Q260,Waterfalls!$6:$6,Waterfalls!$21:$21),"")</f>
        <v>37715565.418264031</v>
      </c>
      <c r="Z260" s="508">
        <f ca="1">IF(X260&lt;&gt;0,-LOOKUP($Q260,Waterfalls!$6:$6,Waterfalls!$153:$153),"")</f>
        <v>266507.95792204805</v>
      </c>
    </row>
    <row r="261" spans="1:26" x14ac:dyDescent="0.3">
      <c r="A261" s="761">
        <f>IF(B261&gt;=DevBdgt!$E$7,LOOKUP(B261,DevBdgt!$7:$7,DevBdgt!$6:$6),"")</f>
        <v>132</v>
      </c>
      <c r="B261" s="507">
        <f t="shared" si="13"/>
        <v>51653</v>
      </c>
      <c r="C261" s="7">
        <v>0</v>
      </c>
      <c r="D261" s="1145">
        <f t="shared" si="15"/>
        <v>2.4958999999999999E-2</v>
      </c>
      <c r="Q261" s="507">
        <f t="shared" si="14"/>
        <v>51653</v>
      </c>
      <c r="T261" s="344">
        <f ca="1">IF(ROUND(LOOKUP(Q261,Waterfalls!$6:$6,Waterfalls!$14:$14),0)&gt;0,1,0)*(D261+$H$4)</f>
        <v>0</v>
      </c>
      <c r="U261" s="508" t="str">
        <f ca="1">IF(T261&lt;&gt;0,LOOKUP(Q261,Waterfalls!$6:$6,Waterfalls!$14:$14),"")</f>
        <v/>
      </c>
      <c r="V261" s="508" t="str">
        <f ca="1">IF(T261&lt;&gt;0,-LOOKUP(Q261,Waterfalls!$6:$6,Waterfalls!$152:$152),"")</f>
        <v/>
      </c>
      <c r="X261" s="344">
        <f ca="1">IF(ROUND(LOOKUP($Q261,Waterfalls!$6:$6,Waterfalls!$21:$21),0)&gt;0,1,0)*($D261+$O$6)</f>
        <v>4.7459000000000001E-2</v>
      </c>
      <c r="Y261" s="508">
        <f ca="1">IF(X261&lt;&gt;0,LOOKUP($Q261,Waterfalls!$6:$6,Waterfalls!$21:$21),"")</f>
        <v>37715565.418264031</v>
      </c>
      <c r="Z261" s="508">
        <f ca="1">IF(X261&lt;&gt;0,-LOOKUP($Q261,Waterfalls!$6:$6,Waterfalls!$153:$153),"")</f>
        <v>266507.95792204805</v>
      </c>
    </row>
    <row r="262" spans="1:26" x14ac:dyDescent="0.3">
      <c r="A262" s="761">
        <f>IF(B262&gt;=DevBdgt!$E$7,LOOKUP(B262,DevBdgt!$7:$7,DevBdgt!$6:$6),"")</f>
        <v>132</v>
      </c>
      <c r="B262" s="507">
        <f t="shared" ref="B262:B325" si="16">EDATE(B261,1)</f>
        <v>51683</v>
      </c>
      <c r="C262" s="7">
        <v>0</v>
      </c>
      <c r="D262" s="1145">
        <f t="shared" si="15"/>
        <v>2.4958999999999999E-2</v>
      </c>
      <c r="Q262" s="507">
        <f t="shared" si="14"/>
        <v>51683</v>
      </c>
      <c r="T262" s="344">
        <f ca="1">IF(ROUND(LOOKUP(Q262,Waterfalls!$6:$6,Waterfalls!$14:$14),0)&gt;0,1,0)*(D262+$H$4)</f>
        <v>0</v>
      </c>
      <c r="U262" s="508" t="str">
        <f ca="1">IF(T262&lt;&gt;0,LOOKUP(Q262,Waterfalls!$6:$6,Waterfalls!$14:$14),"")</f>
        <v/>
      </c>
      <c r="V262" s="508" t="str">
        <f ca="1">IF(T262&lt;&gt;0,-LOOKUP(Q262,Waterfalls!$6:$6,Waterfalls!$152:$152),"")</f>
        <v/>
      </c>
      <c r="X262" s="344">
        <f ca="1">IF(ROUND(LOOKUP($Q262,Waterfalls!$6:$6,Waterfalls!$21:$21),0)&gt;0,1,0)*($D262+$O$6)</f>
        <v>4.7459000000000001E-2</v>
      </c>
      <c r="Y262" s="508">
        <f ca="1">IF(X262&lt;&gt;0,LOOKUP($Q262,Waterfalls!$6:$6,Waterfalls!$21:$21),"")</f>
        <v>37715565.418264031</v>
      </c>
      <c r="Z262" s="508">
        <f ca="1">IF(X262&lt;&gt;0,-LOOKUP($Q262,Waterfalls!$6:$6,Waterfalls!$153:$153),"")</f>
        <v>266507.95792204805</v>
      </c>
    </row>
    <row r="263" spans="1:26" x14ac:dyDescent="0.3">
      <c r="A263" s="761">
        <f>IF(B263&gt;=DevBdgt!$E$7,LOOKUP(B263,DevBdgt!$7:$7,DevBdgt!$6:$6),"")</f>
        <v>132</v>
      </c>
      <c r="B263" s="507">
        <f t="shared" si="16"/>
        <v>51714</v>
      </c>
      <c r="C263" s="7">
        <v>0</v>
      </c>
      <c r="D263" s="1145">
        <f t="shared" si="15"/>
        <v>2.4958999999999999E-2</v>
      </c>
      <c r="Q263" s="507">
        <f t="shared" si="14"/>
        <v>51714</v>
      </c>
      <c r="T263" s="344">
        <f ca="1">IF(ROUND(LOOKUP(Q263,Waterfalls!$6:$6,Waterfalls!$14:$14),0)&gt;0,1,0)*(D263+$H$4)</f>
        <v>0</v>
      </c>
      <c r="U263" s="508" t="str">
        <f ca="1">IF(T263&lt;&gt;0,LOOKUP(Q263,Waterfalls!$6:$6,Waterfalls!$14:$14),"")</f>
        <v/>
      </c>
      <c r="V263" s="508" t="str">
        <f ca="1">IF(T263&lt;&gt;0,-LOOKUP(Q263,Waterfalls!$6:$6,Waterfalls!$152:$152),"")</f>
        <v/>
      </c>
      <c r="X263" s="344">
        <f ca="1">IF(ROUND(LOOKUP($Q263,Waterfalls!$6:$6,Waterfalls!$21:$21),0)&gt;0,1,0)*($D263+$O$6)</f>
        <v>4.7459000000000001E-2</v>
      </c>
      <c r="Y263" s="508">
        <f ca="1">IF(X263&lt;&gt;0,LOOKUP($Q263,Waterfalls!$6:$6,Waterfalls!$21:$21),"")</f>
        <v>37715565.418264031</v>
      </c>
      <c r="Z263" s="508">
        <f ca="1">IF(X263&lt;&gt;0,-LOOKUP($Q263,Waterfalls!$6:$6,Waterfalls!$153:$153),"")</f>
        <v>266507.95792204805</v>
      </c>
    </row>
    <row r="264" spans="1:26" x14ac:dyDescent="0.3">
      <c r="A264" s="761">
        <f>IF(B264&gt;=DevBdgt!$E$7,LOOKUP(B264,DevBdgt!$7:$7,DevBdgt!$6:$6),"")</f>
        <v>132</v>
      </c>
      <c r="B264" s="507">
        <f t="shared" si="16"/>
        <v>51745</v>
      </c>
      <c r="C264" s="7">
        <v>0</v>
      </c>
      <c r="D264" s="1145">
        <f t="shared" si="15"/>
        <v>2.4958999999999999E-2</v>
      </c>
      <c r="Q264" s="507">
        <f t="shared" si="14"/>
        <v>51745</v>
      </c>
      <c r="T264" s="344">
        <f ca="1">IF(ROUND(LOOKUP(Q264,Waterfalls!$6:$6,Waterfalls!$14:$14),0)&gt;0,1,0)*(D264+$H$4)</f>
        <v>0</v>
      </c>
      <c r="U264" s="508" t="str">
        <f ca="1">IF(T264&lt;&gt;0,LOOKUP(Q264,Waterfalls!$6:$6,Waterfalls!$14:$14),"")</f>
        <v/>
      </c>
      <c r="V264" s="508" t="str">
        <f ca="1">IF(T264&lt;&gt;0,-LOOKUP(Q264,Waterfalls!$6:$6,Waterfalls!$152:$152),"")</f>
        <v/>
      </c>
      <c r="X264" s="344">
        <f ca="1">IF(ROUND(LOOKUP($Q264,Waterfalls!$6:$6,Waterfalls!$21:$21),0)&gt;0,1,0)*($D264+$O$6)</f>
        <v>4.7459000000000001E-2</v>
      </c>
      <c r="Y264" s="508">
        <f ca="1">IF(X264&lt;&gt;0,LOOKUP($Q264,Waterfalls!$6:$6,Waterfalls!$21:$21),"")</f>
        <v>37715565.418264031</v>
      </c>
      <c r="Z264" s="508">
        <f ca="1">IF(X264&lt;&gt;0,-LOOKUP($Q264,Waterfalls!$6:$6,Waterfalls!$153:$153),"")</f>
        <v>266507.95792204805</v>
      </c>
    </row>
    <row r="265" spans="1:26" x14ac:dyDescent="0.3">
      <c r="A265" s="761">
        <f>IF(B265&gt;=DevBdgt!$E$7,LOOKUP(B265,DevBdgt!$7:$7,DevBdgt!$6:$6),"")</f>
        <v>132</v>
      </c>
      <c r="B265" s="507">
        <f t="shared" si="16"/>
        <v>51775</v>
      </c>
      <c r="C265" s="7">
        <v>0</v>
      </c>
      <c r="D265" s="1145">
        <f t="shared" si="15"/>
        <v>2.4958999999999999E-2</v>
      </c>
      <c r="Q265" s="507">
        <f t="shared" si="14"/>
        <v>51775</v>
      </c>
      <c r="T265" s="344">
        <f ca="1">IF(ROUND(LOOKUP(Q265,Waterfalls!$6:$6,Waterfalls!$14:$14),0)&gt;0,1,0)*(D265+$H$4)</f>
        <v>0</v>
      </c>
      <c r="U265" s="508" t="str">
        <f ca="1">IF(T265&lt;&gt;0,LOOKUP(Q265,Waterfalls!$6:$6,Waterfalls!$14:$14),"")</f>
        <v/>
      </c>
      <c r="V265" s="508" t="str">
        <f ca="1">IF(T265&lt;&gt;0,-LOOKUP(Q265,Waterfalls!$6:$6,Waterfalls!$152:$152),"")</f>
        <v/>
      </c>
      <c r="X265" s="344">
        <f ca="1">IF(ROUND(LOOKUP($Q265,Waterfalls!$6:$6,Waterfalls!$21:$21),0)&gt;0,1,0)*($D265+$O$6)</f>
        <v>4.7459000000000001E-2</v>
      </c>
      <c r="Y265" s="508">
        <f ca="1">IF(X265&lt;&gt;0,LOOKUP($Q265,Waterfalls!$6:$6,Waterfalls!$21:$21),"")</f>
        <v>37715565.418264031</v>
      </c>
      <c r="Z265" s="508">
        <f ca="1">IF(X265&lt;&gt;0,-LOOKUP($Q265,Waterfalls!$6:$6,Waterfalls!$153:$153),"")</f>
        <v>266507.95792204805</v>
      </c>
    </row>
    <row r="266" spans="1:26" x14ac:dyDescent="0.3">
      <c r="A266" s="761">
        <f>IF(B266&gt;=DevBdgt!$E$7,LOOKUP(B266,DevBdgt!$7:$7,DevBdgt!$6:$6),"")</f>
        <v>132</v>
      </c>
      <c r="B266" s="507">
        <f t="shared" si="16"/>
        <v>51806</v>
      </c>
      <c r="C266" s="7">
        <v>0</v>
      </c>
      <c r="D266" s="1145">
        <f t="shared" si="15"/>
        <v>2.4958999999999999E-2</v>
      </c>
      <c r="Q266" s="507">
        <f t="shared" si="14"/>
        <v>51806</v>
      </c>
      <c r="T266" s="344">
        <f ca="1">IF(ROUND(LOOKUP(Q266,Waterfalls!$6:$6,Waterfalls!$14:$14),0)&gt;0,1,0)*(D266+$H$4)</f>
        <v>0</v>
      </c>
      <c r="U266" s="508" t="str">
        <f ca="1">IF(T266&lt;&gt;0,LOOKUP(Q266,Waterfalls!$6:$6,Waterfalls!$14:$14),"")</f>
        <v/>
      </c>
      <c r="V266" s="508" t="str">
        <f ca="1">IF(T266&lt;&gt;0,-LOOKUP(Q266,Waterfalls!$6:$6,Waterfalls!$152:$152),"")</f>
        <v/>
      </c>
      <c r="X266" s="344">
        <f ca="1">IF(ROUND(LOOKUP($Q266,Waterfalls!$6:$6,Waterfalls!$21:$21),0)&gt;0,1,0)*($D266+$O$6)</f>
        <v>4.7459000000000001E-2</v>
      </c>
      <c r="Y266" s="508">
        <f ca="1">IF(X266&lt;&gt;0,LOOKUP($Q266,Waterfalls!$6:$6,Waterfalls!$21:$21),"")</f>
        <v>37715565.418264031</v>
      </c>
      <c r="Z266" s="508">
        <f ca="1">IF(X266&lt;&gt;0,-LOOKUP($Q266,Waterfalls!$6:$6,Waterfalls!$153:$153),"")</f>
        <v>266507.95792204805</v>
      </c>
    </row>
    <row r="267" spans="1:26" x14ac:dyDescent="0.3">
      <c r="A267" s="761">
        <f>IF(B267&gt;=DevBdgt!$E$7,LOOKUP(B267,DevBdgt!$7:$7,DevBdgt!$6:$6),"")</f>
        <v>132</v>
      </c>
      <c r="B267" s="507">
        <f t="shared" si="16"/>
        <v>51836</v>
      </c>
      <c r="C267" s="7">
        <v>0</v>
      </c>
      <c r="D267" s="1145">
        <f t="shared" si="15"/>
        <v>2.4958999999999999E-2</v>
      </c>
      <c r="Q267" s="507">
        <f t="shared" si="14"/>
        <v>51836</v>
      </c>
      <c r="T267" s="344">
        <f ca="1">IF(ROUND(LOOKUP(Q267,Waterfalls!$6:$6,Waterfalls!$14:$14),0)&gt;0,1,0)*(D267+$H$4)</f>
        <v>0</v>
      </c>
      <c r="U267" s="508" t="str">
        <f ca="1">IF(T267&lt;&gt;0,LOOKUP(Q267,Waterfalls!$6:$6,Waterfalls!$14:$14),"")</f>
        <v/>
      </c>
      <c r="V267" s="508" t="str">
        <f ca="1">IF(T267&lt;&gt;0,-LOOKUP(Q267,Waterfalls!$6:$6,Waterfalls!$152:$152),"")</f>
        <v/>
      </c>
      <c r="X267" s="344">
        <f ca="1">IF(ROUND(LOOKUP($Q267,Waterfalls!$6:$6,Waterfalls!$21:$21),0)&gt;0,1,0)*($D267+$O$6)</f>
        <v>4.7459000000000001E-2</v>
      </c>
      <c r="Y267" s="508">
        <f ca="1">IF(X267&lt;&gt;0,LOOKUP($Q267,Waterfalls!$6:$6,Waterfalls!$21:$21),"")</f>
        <v>37715565.418264031</v>
      </c>
      <c r="Z267" s="508">
        <f ca="1">IF(X267&lt;&gt;0,-LOOKUP($Q267,Waterfalls!$6:$6,Waterfalls!$153:$153),"")</f>
        <v>266507.95792204805</v>
      </c>
    </row>
    <row r="268" spans="1:26" x14ac:dyDescent="0.3">
      <c r="A268" s="761">
        <f>IF(B268&gt;=DevBdgt!$E$7,LOOKUP(B268,DevBdgt!$7:$7,DevBdgt!$6:$6),"")</f>
        <v>132</v>
      </c>
      <c r="B268" s="507">
        <f t="shared" si="16"/>
        <v>51867</v>
      </c>
      <c r="C268" s="7">
        <v>0</v>
      </c>
      <c r="D268" s="1145">
        <f t="shared" si="15"/>
        <v>2.4958999999999999E-2</v>
      </c>
      <c r="Q268" s="507">
        <f t="shared" si="14"/>
        <v>51867</v>
      </c>
      <c r="T268" s="344">
        <f ca="1">IF(ROUND(LOOKUP(Q268,Waterfalls!$6:$6,Waterfalls!$14:$14),0)&gt;0,1,0)*(D268+$H$4)</f>
        <v>0</v>
      </c>
      <c r="U268" s="508" t="str">
        <f ca="1">IF(T268&lt;&gt;0,LOOKUP(Q268,Waterfalls!$6:$6,Waterfalls!$14:$14),"")</f>
        <v/>
      </c>
      <c r="V268" s="508" t="str">
        <f ca="1">IF(T268&lt;&gt;0,-LOOKUP(Q268,Waterfalls!$6:$6,Waterfalls!$152:$152),"")</f>
        <v/>
      </c>
      <c r="X268" s="344">
        <f ca="1">IF(ROUND(LOOKUP($Q268,Waterfalls!$6:$6,Waterfalls!$21:$21),0)&gt;0,1,0)*($D268+$O$6)</f>
        <v>4.7459000000000001E-2</v>
      </c>
      <c r="Y268" s="508">
        <f ca="1">IF(X268&lt;&gt;0,LOOKUP($Q268,Waterfalls!$6:$6,Waterfalls!$21:$21),"")</f>
        <v>37715565.418264031</v>
      </c>
      <c r="Z268" s="508">
        <f ca="1">IF(X268&lt;&gt;0,-LOOKUP($Q268,Waterfalls!$6:$6,Waterfalls!$153:$153),"")</f>
        <v>266507.95792204805</v>
      </c>
    </row>
    <row r="269" spans="1:26" x14ac:dyDescent="0.3">
      <c r="A269" s="761">
        <f>IF(B269&gt;=DevBdgt!$E$7,LOOKUP(B269,DevBdgt!$7:$7,DevBdgt!$6:$6),"")</f>
        <v>132</v>
      </c>
      <c r="B269" s="507">
        <f t="shared" si="16"/>
        <v>51898</v>
      </c>
      <c r="C269" s="7">
        <v>0</v>
      </c>
      <c r="D269" s="1145">
        <f t="shared" si="15"/>
        <v>2.4958999999999999E-2</v>
      </c>
      <c r="Q269" s="507">
        <f t="shared" si="14"/>
        <v>51898</v>
      </c>
      <c r="T269" s="344">
        <f ca="1">IF(ROUND(LOOKUP(Q269,Waterfalls!$6:$6,Waterfalls!$14:$14),0)&gt;0,1,0)*(D269+$H$4)</f>
        <v>0</v>
      </c>
      <c r="U269" s="508" t="str">
        <f ca="1">IF(T269&lt;&gt;0,LOOKUP(Q269,Waterfalls!$6:$6,Waterfalls!$14:$14),"")</f>
        <v/>
      </c>
      <c r="V269" s="508" t="str">
        <f ca="1">IF(T269&lt;&gt;0,-LOOKUP(Q269,Waterfalls!$6:$6,Waterfalls!$152:$152),"")</f>
        <v/>
      </c>
      <c r="X269" s="344">
        <f ca="1">IF(ROUND(LOOKUP($Q269,Waterfalls!$6:$6,Waterfalls!$21:$21),0)&gt;0,1,0)*($D269+$O$6)</f>
        <v>4.7459000000000001E-2</v>
      </c>
      <c r="Y269" s="508">
        <f ca="1">IF(X269&lt;&gt;0,LOOKUP($Q269,Waterfalls!$6:$6,Waterfalls!$21:$21),"")</f>
        <v>37715565.418264031</v>
      </c>
      <c r="Z269" s="508">
        <f ca="1">IF(X269&lt;&gt;0,-LOOKUP($Q269,Waterfalls!$6:$6,Waterfalls!$153:$153),"")</f>
        <v>266507.95792204805</v>
      </c>
    </row>
    <row r="270" spans="1:26" x14ac:dyDescent="0.3">
      <c r="A270" s="761">
        <f>IF(B270&gt;=DevBdgt!$E$7,LOOKUP(B270,DevBdgt!$7:$7,DevBdgt!$6:$6),"")</f>
        <v>132</v>
      </c>
      <c r="B270" s="507">
        <f t="shared" si="16"/>
        <v>51926</v>
      </c>
      <c r="C270" s="7">
        <v>0</v>
      </c>
      <c r="D270" s="1145">
        <f t="shared" si="15"/>
        <v>2.4958999999999999E-2</v>
      </c>
      <c r="Q270" s="507">
        <f t="shared" si="14"/>
        <v>51926</v>
      </c>
      <c r="T270" s="344">
        <f ca="1">IF(ROUND(LOOKUP(Q270,Waterfalls!$6:$6,Waterfalls!$14:$14),0)&gt;0,1,0)*(D270+$H$4)</f>
        <v>0</v>
      </c>
      <c r="U270" s="508" t="str">
        <f ca="1">IF(T270&lt;&gt;0,LOOKUP(Q270,Waterfalls!$6:$6,Waterfalls!$14:$14),"")</f>
        <v/>
      </c>
      <c r="V270" s="508" t="str">
        <f ca="1">IF(T270&lt;&gt;0,-LOOKUP(Q270,Waterfalls!$6:$6,Waterfalls!$152:$152),"")</f>
        <v/>
      </c>
      <c r="X270" s="344">
        <f ca="1">IF(ROUND(LOOKUP($Q270,Waterfalls!$6:$6,Waterfalls!$21:$21),0)&gt;0,1,0)*($D270+$O$6)</f>
        <v>4.7459000000000001E-2</v>
      </c>
      <c r="Y270" s="508">
        <f ca="1">IF(X270&lt;&gt;0,LOOKUP($Q270,Waterfalls!$6:$6,Waterfalls!$21:$21),"")</f>
        <v>37715565.418264031</v>
      </c>
      <c r="Z270" s="508">
        <f ca="1">IF(X270&lt;&gt;0,-LOOKUP($Q270,Waterfalls!$6:$6,Waterfalls!$153:$153),"")</f>
        <v>266507.95792204805</v>
      </c>
    </row>
    <row r="271" spans="1:26" x14ac:dyDescent="0.3">
      <c r="A271" s="761">
        <f>IF(B271&gt;=DevBdgt!$E$7,LOOKUP(B271,DevBdgt!$7:$7,DevBdgt!$6:$6),"")</f>
        <v>132</v>
      </c>
      <c r="B271" s="507">
        <f t="shared" si="16"/>
        <v>51957</v>
      </c>
      <c r="C271" s="7">
        <v>0</v>
      </c>
      <c r="D271" s="1145">
        <f t="shared" si="15"/>
        <v>2.4958999999999999E-2</v>
      </c>
      <c r="Q271" s="507">
        <f t="shared" si="14"/>
        <v>51957</v>
      </c>
      <c r="T271" s="344">
        <f ca="1">IF(ROUND(LOOKUP(Q271,Waterfalls!$6:$6,Waterfalls!$14:$14),0)&gt;0,1,0)*(D271+$H$4)</f>
        <v>0</v>
      </c>
      <c r="U271" s="508" t="str">
        <f ca="1">IF(T271&lt;&gt;0,LOOKUP(Q271,Waterfalls!$6:$6,Waterfalls!$14:$14),"")</f>
        <v/>
      </c>
      <c r="V271" s="508" t="str">
        <f ca="1">IF(T271&lt;&gt;0,-LOOKUP(Q271,Waterfalls!$6:$6,Waterfalls!$152:$152),"")</f>
        <v/>
      </c>
      <c r="X271" s="344">
        <f ca="1">IF(ROUND(LOOKUP($Q271,Waterfalls!$6:$6,Waterfalls!$21:$21),0)&gt;0,1,0)*($D271+$O$6)</f>
        <v>4.7459000000000001E-2</v>
      </c>
      <c r="Y271" s="508">
        <f ca="1">IF(X271&lt;&gt;0,LOOKUP($Q271,Waterfalls!$6:$6,Waterfalls!$21:$21),"")</f>
        <v>37715565.418264031</v>
      </c>
      <c r="Z271" s="508">
        <f ca="1">IF(X271&lt;&gt;0,-LOOKUP($Q271,Waterfalls!$6:$6,Waterfalls!$153:$153),"")</f>
        <v>266507.95792204805</v>
      </c>
    </row>
    <row r="272" spans="1:26" x14ac:dyDescent="0.3">
      <c r="A272" s="761">
        <f>IF(B272&gt;=DevBdgt!$E$7,LOOKUP(B272,DevBdgt!$7:$7,DevBdgt!$6:$6),"")</f>
        <v>132</v>
      </c>
      <c r="B272" s="507">
        <f t="shared" si="16"/>
        <v>51987</v>
      </c>
      <c r="C272" s="7">
        <v>0</v>
      </c>
      <c r="D272" s="1145">
        <f t="shared" si="15"/>
        <v>2.4958999999999999E-2</v>
      </c>
      <c r="Q272" s="507">
        <f t="shared" si="14"/>
        <v>51987</v>
      </c>
      <c r="T272" s="344">
        <f ca="1">IF(ROUND(LOOKUP(Q272,Waterfalls!$6:$6,Waterfalls!$14:$14),0)&gt;0,1,0)*(D272+$H$4)</f>
        <v>0</v>
      </c>
      <c r="U272" s="508" t="str">
        <f ca="1">IF(T272&lt;&gt;0,LOOKUP(Q272,Waterfalls!$6:$6,Waterfalls!$14:$14),"")</f>
        <v/>
      </c>
      <c r="V272" s="508" t="str">
        <f ca="1">IF(T272&lt;&gt;0,-LOOKUP(Q272,Waterfalls!$6:$6,Waterfalls!$152:$152),"")</f>
        <v/>
      </c>
      <c r="X272" s="344">
        <f ca="1">IF(ROUND(LOOKUP($Q272,Waterfalls!$6:$6,Waterfalls!$21:$21),0)&gt;0,1,0)*($D272+$O$6)</f>
        <v>4.7459000000000001E-2</v>
      </c>
      <c r="Y272" s="508">
        <f ca="1">IF(X272&lt;&gt;0,LOOKUP($Q272,Waterfalls!$6:$6,Waterfalls!$21:$21),"")</f>
        <v>37715565.418264031</v>
      </c>
      <c r="Z272" s="508">
        <f ca="1">IF(X272&lt;&gt;0,-LOOKUP($Q272,Waterfalls!$6:$6,Waterfalls!$153:$153),"")</f>
        <v>266507.95792204805</v>
      </c>
    </row>
    <row r="273" spans="1:26" x14ac:dyDescent="0.3">
      <c r="A273" s="761">
        <f>IF(B273&gt;=DevBdgt!$E$7,LOOKUP(B273,DevBdgt!$7:$7,DevBdgt!$6:$6),"")</f>
        <v>132</v>
      </c>
      <c r="B273" s="507">
        <f t="shared" si="16"/>
        <v>52018</v>
      </c>
      <c r="C273" s="7">
        <v>0</v>
      </c>
      <c r="D273" s="1145">
        <f t="shared" si="15"/>
        <v>2.4958999999999999E-2</v>
      </c>
      <c r="Q273" s="507">
        <f t="shared" si="14"/>
        <v>52018</v>
      </c>
      <c r="T273" s="344">
        <f ca="1">IF(ROUND(LOOKUP(Q273,Waterfalls!$6:$6,Waterfalls!$14:$14),0)&gt;0,1,0)*(D273+$H$4)</f>
        <v>0</v>
      </c>
      <c r="U273" s="508" t="str">
        <f ca="1">IF(T273&lt;&gt;0,LOOKUP(Q273,Waterfalls!$6:$6,Waterfalls!$14:$14),"")</f>
        <v/>
      </c>
      <c r="V273" s="508" t="str">
        <f ca="1">IF(T273&lt;&gt;0,-LOOKUP(Q273,Waterfalls!$6:$6,Waterfalls!$152:$152),"")</f>
        <v/>
      </c>
      <c r="X273" s="344">
        <f ca="1">IF(ROUND(LOOKUP($Q273,Waterfalls!$6:$6,Waterfalls!$21:$21),0)&gt;0,1,0)*($D273+$O$6)</f>
        <v>4.7459000000000001E-2</v>
      </c>
      <c r="Y273" s="508">
        <f ca="1">IF(X273&lt;&gt;0,LOOKUP($Q273,Waterfalls!$6:$6,Waterfalls!$21:$21),"")</f>
        <v>37715565.418264031</v>
      </c>
      <c r="Z273" s="508">
        <f ca="1">IF(X273&lt;&gt;0,-LOOKUP($Q273,Waterfalls!$6:$6,Waterfalls!$153:$153),"")</f>
        <v>266507.95792204805</v>
      </c>
    </row>
    <row r="274" spans="1:26" x14ac:dyDescent="0.3">
      <c r="A274" s="761">
        <f>IF(B274&gt;=DevBdgt!$E$7,LOOKUP(B274,DevBdgt!$7:$7,DevBdgt!$6:$6),"")</f>
        <v>132</v>
      </c>
      <c r="B274" s="507">
        <f t="shared" si="16"/>
        <v>52048</v>
      </c>
      <c r="C274" s="7">
        <v>0</v>
      </c>
      <c r="D274" s="1145">
        <f t="shared" si="15"/>
        <v>2.4958999999999999E-2</v>
      </c>
      <c r="Q274" s="507">
        <f t="shared" si="14"/>
        <v>52048</v>
      </c>
      <c r="T274" s="344">
        <f ca="1">IF(ROUND(LOOKUP(Q274,Waterfalls!$6:$6,Waterfalls!$14:$14),0)&gt;0,1,0)*(D274+$H$4)</f>
        <v>0</v>
      </c>
      <c r="U274" s="508" t="str">
        <f ca="1">IF(T274&lt;&gt;0,LOOKUP(Q274,Waterfalls!$6:$6,Waterfalls!$14:$14),"")</f>
        <v/>
      </c>
      <c r="V274" s="508" t="str">
        <f ca="1">IF(T274&lt;&gt;0,-LOOKUP(Q274,Waterfalls!$6:$6,Waterfalls!$152:$152),"")</f>
        <v/>
      </c>
      <c r="X274" s="344">
        <f ca="1">IF(ROUND(LOOKUP($Q274,Waterfalls!$6:$6,Waterfalls!$21:$21),0)&gt;0,1,0)*($D274+$O$6)</f>
        <v>4.7459000000000001E-2</v>
      </c>
      <c r="Y274" s="508">
        <f ca="1">IF(X274&lt;&gt;0,LOOKUP($Q274,Waterfalls!$6:$6,Waterfalls!$21:$21),"")</f>
        <v>37715565.418264031</v>
      </c>
      <c r="Z274" s="508">
        <f ca="1">IF(X274&lt;&gt;0,-LOOKUP($Q274,Waterfalls!$6:$6,Waterfalls!$153:$153),"")</f>
        <v>266507.95792204805</v>
      </c>
    </row>
    <row r="275" spans="1:26" x14ac:dyDescent="0.3">
      <c r="A275" s="761">
        <f>IF(B275&gt;=DevBdgt!$E$7,LOOKUP(B275,DevBdgt!$7:$7,DevBdgt!$6:$6),"")</f>
        <v>132</v>
      </c>
      <c r="B275" s="507">
        <f t="shared" si="16"/>
        <v>52079</v>
      </c>
      <c r="C275" s="7">
        <v>0</v>
      </c>
      <c r="D275" s="1145">
        <f t="shared" si="15"/>
        <v>2.4958999999999999E-2</v>
      </c>
      <c r="Q275" s="507">
        <f t="shared" ref="Q275:Q338" si="17">EOMONTH(B275,-1)+1</f>
        <v>52079</v>
      </c>
      <c r="T275" s="344">
        <f ca="1">IF(ROUND(LOOKUP(Q275,Waterfalls!$6:$6,Waterfalls!$14:$14),0)&gt;0,1,0)*(D275+$H$4)</f>
        <v>0</v>
      </c>
      <c r="U275" s="508" t="str">
        <f ca="1">IF(T275&lt;&gt;0,LOOKUP(Q275,Waterfalls!$6:$6,Waterfalls!$14:$14),"")</f>
        <v/>
      </c>
      <c r="V275" s="508" t="str">
        <f ca="1">IF(T275&lt;&gt;0,-LOOKUP(Q275,Waterfalls!$6:$6,Waterfalls!$152:$152),"")</f>
        <v/>
      </c>
      <c r="X275" s="344">
        <f ca="1">IF(ROUND(LOOKUP($Q275,Waterfalls!$6:$6,Waterfalls!$21:$21),0)&gt;0,1,0)*($D275+$O$6)</f>
        <v>4.7459000000000001E-2</v>
      </c>
      <c r="Y275" s="508">
        <f ca="1">IF(X275&lt;&gt;0,LOOKUP($Q275,Waterfalls!$6:$6,Waterfalls!$21:$21),"")</f>
        <v>37715565.418264031</v>
      </c>
      <c r="Z275" s="508">
        <f ca="1">IF(X275&lt;&gt;0,-LOOKUP($Q275,Waterfalls!$6:$6,Waterfalls!$153:$153),"")</f>
        <v>266507.95792204805</v>
      </c>
    </row>
    <row r="276" spans="1:26" x14ac:dyDescent="0.3">
      <c r="A276" s="761">
        <f>IF(B276&gt;=DevBdgt!$E$7,LOOKUP(B276,DevBdgt!$7:$7,DevBdgt!$6:$6),"")</f>
        <v>132</v>
      </c>
      <c r="B276" s="507">
        <f t="shared" si="16"/>
        <v>52110</v>
      </c>
      <c r="C276" s="7">
        <v>0</v>
      </c>
      <c r="D276" s="1145">
        <f t="shared" si="15"/>
        <v>2.4958999999999999E-2</v>
      </c>
      <c r="Q276" s="507">
        <f t="shared" si="17"/>
        <v>52110</v>
      </c>
      <c r="T276" s="344">
        <f ca="1">IF(ROUND(LOOKUP(Q276,Waterfalls!$6:$6,Waterfalls!$14:$14),0)&gt;0,1,0)*(D276+$H$4)</f>
        <v>0</v>
      </c>
      <c r="U276" s="508" t="str">
        <f ca="1">IF(T276&lt;&gt;0,LOOKUP(Q276,Waterfalls!$6:$6,Waterfalls!$14:$14),"")</f>
        <v/>
      </c>
      <c r="V276" s="508" t="str">
        <f ca="1">IF(T276&lt;&gt;0,-LOOKUP(Q276,Waterfalls!$6:$6,Waterfalls!$152:$152),"")</f>
        <v/>
      </c>
      <c r="X276" s="344">
        <f ca="1">IF(ROUND(LOOKUP($Q276,Waterfalls!$6:$6,Waterfalls!$21:$21),0)&gt;0,1,0)*($D276+$O$6)</f>
        <v>4.7459000000000001E-2</v>
      </c>
      <c r="Y276" s="508">
        <f ca="1">IF(X276&lt;&gt;0,LOOKUP($Q276,Waterfalls!$6:$6,Waterfalls!$21:$21),"")</f>
        <v>37715565.418264031</v>
      </c>
      <c r="Z276" s="508">
        <f ca="1">IF(X276&lt;&gt;0,-LOOKUP($Q276,Waterfalls!$6:$6,Waterfalls!$153:$153),"")</f>
        <v>266507.95792204805</v>
      </c>
    </row>
    <row r="277" spans="1:26" x14ac:dyDescent="0.3">
      <c r="A277" s="761">
        <f>IF(B277&gt;=DevBdgt!$E$7,LOOKUP(B277,DevBdgt!$7:$7,DevBdgt!$6:$6),"")</f>
        <v>132</v>
      </c>
      <c r="B277" s="507">
        <f t="shared" si="16"/>
        <v>52140</v>
      </c>
      <c r="C277" s="7">
        <v>0</v>
      </c>
      <c r="D277" s="1145">
        <f t="shared" si="15"/>
        <v>2.4958999999999999E-2</v>
      </c>
      <c r="Q277" s="507">
        <f t="shared" si="17"/>
        <v>52140</v>
      </c>
      <c r="T277" s="344">
        <f ca="1">IF(ROUND(LOOKUP(Q277,Waterfalls!$6:$6,Waterfalls!$14:$14),0)&gt;0,1,0)*(D277+$H$4)</f>
        <v>0</v>
      </c>
      <c r="U277" s="508" t="str">
        <f ca="1">IF(T277&lt;&gt;0,LOOKUP(Q277,Waterfalls!$6:$6,Waterfalls!$14:$14),"")</f>
        <v/>
      </c>
      <c r="V277" s="508" t="str">
        <f ca="1">IF(T277&lt;&gt;0,-LOOKUP(Q277,Waterfalls!$6:$6,Waterfalls!$152:$152),"")</f>
        <v/>
      </c>
      <c r="X277" s="344">
        <f ca="1">IF(ROUND(LOOKUP($Q277,Waterfalls!$6:$6,Waterfalls!$21:$21),0)&gt;0,1,0)*($D277+$O$6)</f>
        <v>4.7459000000000001E-2</v>
      </c>
      <c r="Y277" s="508">
        <f ca="1">IF(X277&lt;&gt;0,LOOKUP($Q277,Waterfalls!$6:$6,Waterfalls!$21:$21),"")</f>
        <v>37715565.418264031</v>
      </c>
      <c r="Z277" s="508">
        <f ca="1">IF(X277&lt;&gt;0,-LOOKUP($Q277,Waterfalls!$6:$6,Waterfalls!$153:$153),"")</f>
        <v>266507.95792204805</v>
      </c>
    </row>
    <row r="278" spans="1:26" x14ac:dyDescent="0.3">
      <c r="A278" s="761">
        <f>IF(B278&gt;=DevBdgt!$E$7,LOOKUP(B278,DevBdgt!$7:$7,DevBdgt!$6:$6),"")</f>
        <v>132</v>
      </c>
      <c r="B278" s="507">
        <f t="shared" si="16"/>
        <v>52171</v>
      </c>
      <c r="C278" s="7">
        <v>0</v>
      </c>
      <c r="D278" s="1145">
        <f t="shared" si="15"/>
        <v>2.4958999999999999E-2</v>
      </c>
      <c r="Q278" s="507">
        <f t="shared" si="17"/>
        <v>52171</v>
      </c>
      <c r="T278" s="344">
        <f ca="1">IF(ROUND(LOOKUP(Q278,Waterfalls!$6:$6,Waterfalls!$14:$14),0)&gt;0,1,0)*(D278+$H$4)</f>
        <v>0</v>
      </c>
      <c r="U278" s="508" t="str">
        <f ca="1">IF(T278&lt;&gt;0,LOOKUP(Q278,Waterfalls!$6:$6,Waterfalls!$14:$14),"")</f>
        <v/>
      </c>
      <c r="V278" s="508" t="str">
        <f ca="1">IF(T278&lt;&gt;0,-LOOKUP(Q278,Waterfalls!$6:$6,Waterfalls!$152:$152),"")</f>
        <v/>
      </c>
      <c r="X278" s="344">
        <f ca="1">IF(ROUND(LOOKUP($Q278,Waterfalls!$6:$6,Waterfalls!$21:$21),0)&gt;0,1,0)*($D278+$O$6)</f>
        <v>4.7459000000000001E-2</v>
      </c>
      <c r="Y278" s="508">
        <f ca="1">IF(X278&lt;&gt;0,LOOKUP($Q278,Waterfalls!$6:$6,Waterfalls!$21:$21),"")</f>
        <v>37715565.418264031</v>
      </c>
      <c r="Z278" s="508">
        <f ca="1">IF(X278&lt;&gt;0,-LOOKUP($Q278,Waterfalls!$6:$6,Waterfalls!$153:$153),"")</f>
        <v>266507.95792204805</v>
      </c>
    </row>
    <row r="279" spans="1:26" x14ac:dyDescent="0.3">
      <c r="A279" s="761">
        <f>IF(B279&gt;=DevBdgt!$E$7,LOOKUP(B279,DevBdgt!$7:$7,DevBdgt!$6:$6),"")</f>
        <v>132</v>
      </c>
      <c r="B279" s="507">
        <f t="shared" si="16"/>
        <v>52201</v>
      </c>
      <c r="C279" s="7">
        <v>0</v>
      </c>
      <c r="D279" s="1145">
        <f t="shared" si="15"/>
        <v>2.4958999999999999E-2</v>
      </c>
      <c r="Q279" s="507">
        <f t="shared" si="17"/>
        <v>52201</v>
      </c>
      <c r="T279" s="344">
        <f ca="1">IF(ROUND(LOOKUP(Q279,Waterfalls!$6:$6,Waterfalls!$14:$14),0)&gt;0,1,0)*(D279+$H$4)</f>
        <v>0</v>
      </c>
      <c r="U279" s="508" t="str">
        <f ca="1">IF(T279&lt;&gt;0,LOOKUP(Q279,Waterfalls!$6:$6,Waterfalls!$14:$14),"")</f>
        <v/>
      </c>
      <c r="V279" s="508" t="str">
        <f ca="1">IF(T279&lt;&gt;0,-LOOKUP(Q279,Waterfalls!$6:$6,Waterfalls!$152:$152),"")</f>
        <v/>
      </c>
      <c r="X279" s="344">
        <f ca="1">IF(ROUND(LOOKUP($Q279,Waterfalls!$6:$6,Waterfalls!$21:$21),0)&gt;0,1,0)*($D279+$O$6)</f>
        <v>4.7459000000000001E-2</v>
      </c>
      <c r="Y279" s="508">
        <f ca="1">IF(X279&lt;&gt;0,LOOKUP($Q279,Waterfalls!$6:$6,Waterfalls!$21:$21),"")</f>
        <v>37715565.418264031</v>
      </c>
      <c r="Z279" s="508">
        <f ca="1">IF(X279&lt;&gt;0,-LOOKUP($Q279,Waterfalls!$6:$6,Waterfalls!$153:$153),"")</f>
        <v>266507.95792204805</v>
      </c>
    </row>
    <row r="280" spans="1:26" x14ac:dyDescent="0.3">
      <c r="A280" s="761">
        <f>IF(B280&gt;=DevBdgt!$E$7,LOOKUP(B280,DevBdgt!$7:$7,DevBdgt!$6:$6),"")</f>
        <v>132</v>
      </c>
      <c r="B280" s="507">
        <f t="shared" si="16"/>
        <v>52232</v>
      </c>
      <c r="C280" s="7">
        <v>0</v>
      </c>
      <c r="D280" s="1145">
        <f t="shared" si="15"/>
        <v>2.4958999999999999E-2</v>
      </c>
      <c r="Q280" s="507">
        <f t="shared" si="17"/>
        <v>52232</v>
      </c>
      <c r="T280" s="344">
        <f ca="1">IF(ROUND(LOOKUP(Q280,Waterfalls!$6:$6,Waterfalls!$14:$14),0)&gt;0,1,0)*(D280+$H$4)</f>
        <v>0</v>
      </c>
      <c r="U280" s="508" t="str">
        <f ca="1">IF(T280&lt;&gt;0,LOOKUP(Q280,Waterfalls!$6:$6,Waterfalls!$14:$14),"")</f>
        <v/>
      </c>
      <c r="V280" s="508" t="str">
        <f ca="1">IF(T280&lt;&gt;0,-LOOKUP(Q280,Waterfalls!$6:$6,Waterfalls!$152:$152),"")</f>
        <v/>
      </c>
      <c r="X280" s="344">
        <f ca="1">IF(ROUND(LOOKUP($Q280,Waterfalls!$6:$6,Waterfalls!$21:$21),0)&gt;0,1,0)*($D280+$O$6)</f>
        <v>4.7459000000000001E-2</v>
      </c>
      <c r="Y280" s="508">
        <f ca="1">IF(X280&lt;&gt;0,LOOKUP($Q280,Waterfalls!$6:$6,Waterfalls!$21:$21),"")</f>
        <v>37715565.418264031</v>
      </c>
      <c r="Z280" s="508">
        <f ca="1">IF(X280&lt;&gt;0,-LOOKUP($Q280,Waterfalls!$6:$6,Waterfalls!$153:$153),"")</f>
        <v>266507.95792204805</v>
      </c>
    </row>
    <row r="281" spans="1:26" x14ac:dyDescent="0.3">
      <c r="A281" s="761">
        <f>IF(B281&gt;=DevBdgt!$E$7,LOOKUP(B281,DevBdgt!$7:$7,DevBdgt!$6:$6),"")</f>
        <v>132</v>
      </c>
      <c r="B281" s="507">
        <f t="shared" si="16"/>
        <v>52263</v>
      </c>
      <c r="C281" s="7">
        <v>0</v>
      </c>
      <c r="D281" s="1145">
        <f t="shared" si="15"/>
        <v>2.4958999999999999E-2</v>
      </c>
      <c r="Q281" s="507">
        <f t="shared" si="17"/>
        <v>52263</v>
      </c>
      <c r="T281" s="344">
        <f ca="1">IF(ROUND(LOOKUP(Q281,Waterfalls!$6:$6,Waterfalls!$14:$14),0)&gt;0,1,0)*(D281+$H$4)</f>
        <v>0</v>
      </c>
      <c r="U281" s="508" t="str">
        <f ca="1">IF(T281&lt;&gt;0,LOOKUP(Q281,Waterfalls!$6:$6,Waterfalls!$14:$14),"")</f>
        <v/>
      </c>
      <c r="V281" s="508" t="str">
        <f ca="1">IF(T281&lt;&gt;0,-LOOKUP(Q281,Waterfalls!$6:$6,Waterfalls!$152:$152),"")</f>
        <v/>
      </c>
      <c r="X281" s="344">
        <f ca="1">IF(ROUND(LOOKUP($Q281,Waterfalls!$6:$6,Waterfalls!$21:$21),0)&gt;0,1,0)*($D281+$O$6)</f>
        <v>4.7459000000000001E-2</v>
      </c>
      <c r="Y281" s="508">
        <f ca="1">IF(X281&lt;&gt;0,LOOKUP($Q281,Waterfalls!$6:$6,Waterfalls!$21:$21),"")</f>
        <v>37715565.418264031</v>
      </c>
      <c r="Z281" s="508">
        <f ca="1">IF(X281&lt;&gt;0,-LOOKUP($Q281,Waterfalls!$6:$6,Waterfalls!$153:$153),"")</f>
        <v>266507.95792204805</v>
      </c>
    </row>
    <row r="282" spans="1:26" x14ac:dyDescent="0.3">
      <c r="A282" s="761">
        <f>IF(B282&gt;=DevBdgt!$E$7,LOOKUP(B282,DevBdgt!$7:$7,DevBdgt!$6:$6),"")</f>
        <v>132</v>
      </c>
      <c r="B282" s="507">
        <f t="shared" si="16"/>
        <v>52291</v>
      </c>
      <c r="C282" s="7">
        <v>0</v>
      </c>
      <c r="D282" s="1145">
        <f t="shared" si="15"/>
        <v>2.4958999999999999E-2</v>
      </c>
      <c r="Q282" s="507">
        <f t="shared" si="17"/>
        <v>52291</v>
      </c>
      <c r="T282" s="344">
        <f ca="1">IF(ROUND(LOOKUP(Q282,Waterfalls!$6:$6,Waterfalls!$14:$14),0)&gt;0,1,0)*(D282+$H$4)</f>
        <v>0</v>
      </c>
      <c r="U282" s="508" t="str">
        <f ca="1">IF(T282&lt;&gt;0,LOOKUP(Q282,Waterfalls!$6:$6,Waterfalls!$14:$14),"")</f>
        <v/>
      </c>
      <c r="V282" s="508" t="str">
        <f ca="1">IF(T282&lt;&gt;0,-LOOKUP(Q282,Waterfalls!$6:$6,Waterfalls!$152:$152),"")</f>
        <v/>
      </c>
      <c r="X282" s="344">
        <f ca="1">IF(ROUND(LOOKUP($Q282,Waterfalls!$6:$6,Waterfalls!$21:$21),0)&gt;0,1,0)*($D282+$O$6)</f>
        <v>4.7459000000000001E-2</v>
      </c>
      <c r="Y282" s="508">
        <f ca="1">IF(X282&lt;&gt;0,LOOKUP($Q282,Waterfalls!$6:$6,Waterfalls!$21:$21),"")</f>
        <v>37715565.418264031</v>
      </c>
      <c r="Z282" s="508">
        <f ca="1">IF(X282&lt;&gt;0,-LOOKUP($Q282,Waterfalls!$6:$6,Waterfalls!$153:$153),"")</f>
        <v>266507.95792204805</v>
      </c>
    </row>
    <row r="283" spans="1:26" x14ac:dyDescent="0.3">
      <c r="A283" s="761">
        <f>IF(B283&gt;=DevBdgt!$E$7,LOOKUP(B283,DevBdgt!$7:$7,DevBdgt!$6:$6),"")</f>
        <v>132</v>
      </c>
      <c r="B283" s="507">
        <f t="shared" si="16"/>
        <v>52322</v>
      </c>
      <c r="C283" s="7">
        <v>0</v>
      </c>
      <c r="D283" s="1145">
        <f t="shared" si="15"/>
        <v>2.4958999999999999E-2</v>
      </c>
      <c r="Q283" s="507">
        <f t="shared" si="17"/>
        <v>52322</v>
      </c>
      <c r="T283" s="344">
        <f ca="1">IF(ROUND(LOOKUP(Q283,Waterfalls!$6:$6,Waterfalls!$14:$14),0)&gt;0,1,0)*(D283+$H$4)</f>
        <v>0</v>
      </c>
      <c r="U283" s="508" t="str">
        <f ca="1">IF(T283&lt;&gt;0,LOOKUP(Q283,Waterfalls!$6:$6,Waterfalls!$14:$14),"")</f>
        <v/>
      </c>
      <c r="V283" s="508" t="str">
        <f ca="1">IF(T283&lt;&gt;0,-LOOKUP(Q283,Waterfalls!$6:$6,Waterfalls!$152:$152),"")</f>
        <v/>
      </c>
      <c r="X283" s="344">
        <f ca="1">IF(ROUND(LOOKUP($Q283,Waterfalls!$6:$6,Waterfalls!$21:$21),0)&gt;0,1,0)*($D283+$O$6)</f>
        <v>4.7459000000000001E-2</v>
      </c>
      <c r="Y283" s="508">
        <f ca="1">IF(X283&lt;&gt;0,LOOKUP($Q283,Waterfalls!$6:$6,Waterfalls!$21:$21),"")</f>
        <v>37715565.418264031</v>
      </c>
      <c r="Z283" s="508">
        <f ca="1">IF(X283&lt;&gt;0,-LOOKUP($Q283,Waterfalls!$6:$6,Waterfalls!$153:$153),"")</f>
        <v>266507.95792204805</v>
      </c>
    </row>
    <row r="284" spans="1:26" x14ac:dyDescent="0.3">
      <c r="A284" s="761">
        <f>IF(B284&gt;=DevBdgt!$E$7,LOOKUP(B284,DevBdgt!$7:$7,DevBdgt!$6:$6),"")</f>
        <v>132</v>
      </c>
      <c r="B284" s="507">
        <f t="shared" si="16"/>
        <v>52352</v>
      </c>
      <c r="C284" s="7">
        <v>0</v>
      </c>
      <c r="D284" s="1145">
        <f t="shared" si="15"/>
        <v>2.4958999999999999E-2</v>
      </c>
      <c r="Q284" s="507">
        <f t="shared" si="17"/>
        <v>52352</v>
      </c>
      <c r="T284" s="344">
        <f ca="1">IF(ROUND(LOOKUP(Q284,Waterfalls!$6:$6,Waterfalls!$14:$14),0)&gt;0,1,0)*(D284+$H$4)</f>
        <v>0</v>
      </c>
      <c r="U284" s="508" t="str">
        <f ca="1">IF(T284&lt;&gt;0,LOOKUP(Q284,Waterfalls!$6:$6,Waterfalls!$14:$14),"")</f>
        <v/>
      </c>
      <c r="V284" s="508" t="str">
        <f ca="1">IF(T284&lt;&gt;0,-LOOKUP(Q284,Waterfalls!$6:$6,Waterfalls!$152:$152),"")</f>
        <v/>
      </c>
      <c r="X284" s="344">
        <f ca="1">IF(ROUND(LOOKUP($Q284,Waterfalls!$6:$6,Waterfalls!$21:$21),0)&gt;0,1,0)*($D284+$O$6)</f>
        <v>4.7459000000000001E-2</v>
      </c>
      <c r="Y284" s="508">
        <f ca="1">IF(X284&lt;&gt;0,LOOKUP($Q284,Waterfalls!$6:$6,Waterfalls!$21:$21),"")</f>
        <v>37715565.418264031</v>
      </c>
      <c r="Z284" s="508">
        <f ca="1">IF(X284&lt;&gt;0,-LOOKUP($Q284,Waterfalls!$6:$6,Waterfalls!$153:$153),"")</f>
        <v>266507.95792204805</v>
      </c>
    </row>
    <row r="285" spans="1:26" x14ac:dyDescent="0.3">
      <c r="A285" s="761">
        <f>IF(B285&gt;=DevBdgt!$E$7,LOOKUP(B285,DevBdgt!$7:$7,DevBdgt!$6:$6),"")</f>
        <v>132</v>
      </c>
      <c r="B285" s="507">
        <f t="shared" si="16"/>
        <v>52383</v>
      </c>
      <c r="C285" s="7">
        <v>0</v>
      </c>
      <c r="D285" s="1145">
        <f t="shared" si="15"/>
        <v>2.4958999999999999E-2</v>
      </c>
      <c r="Q285" s="507">
        <f t="shared" si="17"/>
        <v>52383</v>
      </c>
      <c r="T285" s="344">
        <f ca="1">IF(ROUND(LOOKUP(Q285,Waterfalls!$6:$6,Waterfalls!$14:$14),0)&gt;0,1,0)*(D285+$H$4)</f>
        <v>0</v>
      </c>
      <c r="U285" s="508" t="str">
        <f ca="1">IF(T285&lt;&gt;0,LOOKUP(Q285,Waterfalls!$6:$6,Waterfalls!$14:$14),"")</f>
        <v/>
      </c>
      <c r="V285" s="508" t="str">
        <f ca="1">IF(T285&lt;&gt;0,-LOOKUP(Q285,Waterfalls!$6:$6,Waterfalls!$152:$152),"")</f>
        <v/>
      </c>
      <c r="X285" s="344">
        <f ca="1">IF(ROUND(LOOKUP($Q285,Waterfalls!$6:$6,Waterfalls!$21:$21),0)&gt;0,1,0)*($D285+$O$6)</f>
        <v>4.7459000000000001E-2</v>
      </c>
      <c r="Y285" s="508">
        <f ca="1">IF(X285&lt;&gt;0,LOOKUP($Q285,Waterfalls!$6:$6,Waterfalls!$21:$21),"")</f>
        <v>37715565.418264031</v>
      </c>
      <c r="Z285" s="508">
        <f ca="1">IF(X285&lt;&gt;0,-LOOKUP($Q285,Waterfalls!$6:$6,Waterfalls!$153:$153),"")</f>
        <v>266507.95792204805</v>
      </c>
    </row>
    <row r="286" spans="1:26" x14ac:dyDescent="0.3">
      <c r="A286" s="761">
        <f>IF(B286&gt;=DevBdgt!$E$7,LOOKUP(B286,DevBdgt!$7:$7,DevBdgt!$6:$6),"")</f>
        <v>132</v>
      </c>
      <c r="B286" s="507">
        <f t="shared" si="16"/>
        <v>52413</v>
      </c>
      <c r="C286" s="7">
        <v>0</v>
      </c>
      <c r="D286" s="1145">
        <f t="shared" si="15"/>
        <v>2.4958999999999999E-2</v>
      </c>
      <c r="Q286" s="507">
        <f t="shared" si="17"/>
        <v>52413</v>
      </c>
      <c r="T286" s="344">
        <f ca="1">IF(ROUND(LOOKUP(Q286,Waterfalls!$6:$6,Waterfalls!$14:$14),0)&gt;0,1,0)*(D286+$H$4)</f>
        <v>0</v>
      </c>
      <c r="U286" s="508" t="str">
        <f ca="1">IF(T286&lt;&gt;0,LOOKUP(Q286,Waterfalls!$6:$6,Waterfalls!$14:$14),"")</f>
        <v/>
      </c>
      <c r="V286" s="508" t="str">
        <f ca="1">IF(T286&lt;&gt;0,-LOOKUP(Q286,Waterfalls!$6:$6,Waterfalls!$152:$152),"")</f>
        <v/>
      </c>
      <c r="X286" s="344">
        <f ca="1">IF(ROUND(LOOKUP($Q286,Waterfalls!$6:$6,Waterfalls!$21:$21),0)&gt;0,1,0)*($D286+$O$6)</f>
        <v>4.7459000000000001E-2</v>
      </c>
      <c r="Y286" s="508">
        <f ca="1">IF(X286&lt;&gt;0,LOOKUP($Q286,Waterfalls!$6:$6,Waterfalls!$21:$21),"")</f>
        <v>37715565.418264031</v>
      </c>
      <c r="Z286" s="508">
        <f ca="1">IF(X286&lt;&gt;0,-LOOKUP($Q286,Waterfalls!$6:$6,Waterfalls!$153:$153),"")</f>
        <v>266507.95792204805</v>
      </c>
    </row>
    <row r="287" spans="1:26" x14ac:dyDescent="0.3">
      <c r="A287" s="761">
        <f>IF(B287&gt;=DevBdgt!$E$7,LOOKUP(B287,DevBdgt!$7:$7,DevBdgt!$6:$6),"")</f>
        <v>132</v>
      </c>
      <c r="B287" s="507">
        <f t="shared" si="16"/>
        <v>52444</v>
      </c>
      <c r="C287" s="7">
        <v>0</v>
      </c>
      <c r="D287" s="1145">
        <f t="shared" si="15"/>
        <v>2.4958999999999999E-2</v>
      </c>
      <c r="Q287" s="507">
        <f t="shared" si="17"/>
        <v>52444</v>
      </c>
      <c r="T287" s="344">
        <f ca="1">IF(ROUND(LOOKUP(Q287,Waterfalls!$6:$6,Waterfalls!$14:$14),0)&gt;0,1,0)*(D287+$H$4)</f>
        <v>0</v>
      </c>
      <c r="U287" s="508" t="str">
        <f ca="1">IF(T287&lt;&gt;0,LOOKUP(Q287,Waterfalls!$6:$6,Waterfalls!$14:$14),"")</f>
        <v/>
      </c>
      <c r="V287" s="508" t="str">
        <f ca="1">IF(T287&lt;&gt;0,-LOOKUP(Q287,Waterfalls!$6:$6,Waterfalls!$152:$152),"")</f>
        <v/>
      </c>
      <c r="X287" s="344">
        <f ca="1">IF(ROUND(LOOKUP($Q287,Waterfalls!$6:$6,Waterfalls!$21:$21),0)&gt;0,1,0)*($D287+$O$6)</f>
        <v>4.7459000000000001E-2</v>
      </c>
      <c r="Y287" s="508">
        <f ca="1">IF(X287&lt;&gt;0,LOOKUP($Q287,Waterfalls!$6:$6,Waterfalls!$21:$21),"")</f>
        <v>37715565.418264031</v>
      </c>
      <c r="Z287" s="508">
        <f ca="1">IF(X287&lt;&gt;0,-LOOKUP($Q287,Waterfalls!$6:$6,Waterfalls!$153:$153),"")</f>
        <v>266507.95792204805</v>
      </c>
    </row>
    <row r="288" spans="1:26" x14ac:dyDescent="0.3">
      <c r="A288" s="761">
        <f>IF(B288&gt;=DevBdgt!$E$7,LOOKUP(B288,DevBdgt!$7:$7,DevBdgt!$6:$6),"")</f>
        <v>132</v>
      </c>
      <c r="B288" s="507">
        <f t="shared" si="16"/>
        <v>52475</v>
      </c>
      <c r="C288" s="7">
        <v>0</v>
      </c>
      <c r="D288" s="1145">
        <f t="shared" si="15"/>
        <v>2.4958999999999999E-2</v>
      </c>
      <c r="Q288" s="507">
        <f t="shared" si="17"/>
        <v>52475</v>
      </c>
      <c r="T288" s="344">
        <f ca="1">IF(ROUND(LOOKUP(Q288,Waterfalls!$6:$6,Waterfalls!$14:$14),0)&gt;0,1,0)*(D288+$H$4)</f>
        <v>0</v>
      </c>
      <c r="U288" s="508" t="str">
        <f ca="1">IF(T288&lt;&gt;0,LOOKUP(Q288,Waterfalls!$6:$6,Waterfalls!$14:$14),"")</f>
        <v/>
      </c>
      <c r="V288" s="508" t="str">
        <f ca="1">IF(T288&lt;&gt;0,-LOOKUP(Q288,Waterfalls!$6:$6,Waterfalls!$152:$152),"")</f>
        <v/>
      </c>
      <c r="X288" s="344">
        <f ca="1">IF(ROUND(LOOKUP($Q288,Waterfalls!$6:$6,Waterfalls!$21:$21),0)&gt;0,1,0)*($D288+$O$6)</f>
        <v>4.7459000000000001E-2</v>
      </c>
      <c r="Y288" s="508">
        <f ca="1">IF(X288&lt;&gt;0,LOOKUP($Q288,Waterfalls!$6:$6,Waterfalls!$21:$21),"")</f>
        <v>37715565.418264031</v>
      </c>
      <c r="Z288" s="508">
        <f ca="1">IF(X288&lt;&gt;0,-LOOKUP($Q288,Waterfalls!$6:$6,Waterfalls!$153:$153),"")</f>
        <v>266507.95792204805</v>
      </c>
    </row>
    <row r="289" spans="1:26" x14ac:dyDescent="0.3">
      <c r="A289" s="761">
        <f>IF(B289&gt;=DevBdgt!$E$7,LOOKUP(B289,DevBdgt!$7:$7,DevBdgt!$6:$6),"")</f>
        <v>132</v>
      </c>
      <c r="B289" s="507">
        <f t="shared" si="16"/>
        <v>52505</v>
      </c>
      <c r="C289" s="7">
        <v>0</v>
      </c>
      <c r="D289" s="1145">
        <f t="shared" si="15"/>
        <v>2.4958999999999999E-2</v>
      </c>
      <c r="Q289" s="507">
        <f t="shared" si="17"/>
        <v>52505</v>
      </c>
      <c r="T289" s="344">
        <f ca="1">IF(ROUND(LOOKUP(Q289,Waterfalls!$6:$6,Waterfalls!$14:$14),0)&gt;0,1,0)*(D289+$H$4)</f>
        <v>0</v>
      </c>
      <c r="U289" s="508" t="str">
        <f ca="1">IF(T289&lt;&gt;0,LOOKUP(Q289,Waterfalls!$6:$6,Waterfalls!$14:$14),"")</f>
        <v/>
      </c>
      <c r="V289" s="508" t="str">
        <f ca="1">IF(T289&lt;&gt;0,-LOOKUP(Q289,Waterfalls!$6:$6,Waterfalls!$152:$152),"")</f>
        <v/>
      </c>
      <c r="X289" s="344">
        <f ca="1">IF(ROUND(LOOKUP($Q289,Waterfalls!$6:$6,Waterfalls!$21:$21),0)&gt;0,1,0)*($D289+$O$6)</f>
        <v>4.7459000000000001E-2</v>
      </c>
      <c r="Y289" s="508">
        <f ca="1">IF(X289&lt;&gt;0,LOOKUP($Q289,Waterfalls!$6:$6,Waterfalls!$21:$21),"")</f>
        <v>37715565.418264031</v>
      </c>
      <c r="Z289" s="508">
        <f ca="1">IF(X289&lt;&gt;0,-LOOKUP($Q289,Waterfalls!$6:$6,Waterfalls!$153:$153),"")</f>
        <v>266507.95792204805</v>
      </c>
    </row>
    <row r="290" spans="1:26" x14ac:dyDescent="0.3">
      <c r="A290" s="761">
        <f>IF(B290&gt;=DevBdgt!$E$7,LOOKUP(B290,DevBdgt!$7:$7,DevBdgt!$6:$6),"")</f>
        <v>132</v>
      </c>
      <c r="B290" s="507">
        <f t="shared" si="16"/>
        <v>52536</v>
      </c>
      <c r="C290" s="7">
        <v>0</v>
      </c>
      <c r="D290" s="1145">
        <f t="shared" si="15"/>
        <v>2.4958999999999999E-2</v>
      </c>
      <c r="Q290" s="507">
        <f t="shared" si="17"/>
        <v>52536</v>
      </c>
      <c r="T290" s="344">
        <f ca="1">IF(ROUND(LOOKUP(Q290,Waterfalls!$6:$6,Waterfalls!$14:$14),0)&gt;0,1,0)*(D290+$H$4)</f>
        <v>0</v>
      </c>
      <c r="U290" s="508" t="str">
        <f ca="1">IF(T290&lt;&gt;0,LOOKUP(Q290,Waterfalls!$6:$6,Waterfalls!$14:$14),"")</f>
        <v/>
      </c>
      <c r="V290" s="508" t="str">
        <f ca="1">IF(T290&lt;&gt;0,-LOOKUP(Q290,Waterfalls!$6:$6,Waterfalls!$152:$152),"")</f>
        <v/>
      </c>
      <c r="X290" s="344">
        <f ca="1">IF(ROUND(LOOKUP($Q290,Waterfalls!$6:$6,Waterfalls!$21:$21),0)&gt;0,1,0)*($D290+$O$6)</f>
        <v>4.7459000000000001E-2</v>
      </c>
      <c r="Y290" s="508">
        <f ca="1">IF(X290&lt;&gt;0,LOOKUP($Q290,Waterfalls!$6:$6,Waterfalls!$21:$21),"")</f>
        <v>37715565.418264031</v>
      </c>
      <c r="Z290" s="508">
        <f ca="1">IF(X290&lt;&gt;0,-LOOKUP($Q290,Waterfalls!$6:$6,Waterfalls!$153:$153),"")</f>
        <v>266507.95792204805</v>
      </c>
    </row>
    <row r="291" spans="1:26" x14ac:dyDescent="0.3">
      <c r="A291" s="761">
        <f>IF(B291&gt;=DevBdgt!$E$7,LOOKUP(B291,DevBdgt!$7:$7,DevBdgt!$6:$6),"")</f>
        <v>132</v>
      </c>
      <c r="B291" s="507">
        <f t="shared" si="16"/>
        <v>52566</v>
      </c>
      <c r="C291" s="7">
        <v>0</v>
      </c>
      <c r="D291" s="1145">
        <f t="shared" si="15"/>
        <v>2.4958999999999999E-2</v>
      </c>
      <c r="Q291" s="507">
        <f t="shared" si="17"/>
        <v>52566</v>
      </c>
      <c r="T291" s="344">
        <f ca="1">IF(ROUND(LOOKUP(Q291,Waterfalls!$6:$6,Waterfalls!$14:$14),0)&gt;0,1,0)*(D291+$H$4)</f>
        <v>0</v>
      </c>
      <c r="U291" s="508" t="str">
        <f ca="1">IF(T291&lt;&gt;0,LOOKUP(Q291,Waterfalls!$6:$6,Waterfalls!$14:$14),"")</f>
        <v/>
      </c>
      <c r="V291" s="508" t="str">
        <f ca="1">IF(T291&lt;&gt;0,-LOOKUP(Q291,Waterfalls!$6:$6,Waterfalls!$152:$152),"")</f>
        <v/>
      </c>
      <c r="X291" s="344">
        <f ca="1">IF(ROUND(LOOKUP($Q291,Waterfalls!$6:$6,Waterfalls!$21:$21),0)&gt;0,1,0)*($D291+$O$6)</f>
        <v>4.7459000000000001E-2</v>
      </c>
      <c r="Y291" s="508">
        <f ca="1">IF(X291&lt;&gt;0,LOOKUP($Q291,Waterfalls!$6:$6,Waterfalls!$21:$21),"")</f>
        <v>37715565.418264031</v>
      </c>
      <c r="Z291" s="508">
        <f ca="1">IF(X291&lt;&gt;0,-LOOKUP($Q291,Waterfalls!$6:$6,Waterfalls!$153:$153),"")</f>
        <v>266507.95792204805</v>
      </c>
    </row>
    <row r="292" spans="1:26" x14ac:dyDescent="0.3">
      <c r="A292" s="761">
        <f>IF(B292&gt;=DevBdgt!$E$7,LOOKUP(B292,DevBdgt!$7:$7,DevBdgt!$6:$6),"")</f>
        <v>132</v>
      </c>
      <c r="B292" s="507">
        <f t="shared" si="16"/>
        <v>52597</v>
      </c>
      <c r="C292" s="7">
        <v>0</v>
      </c>
      <c r="D292" s="1145">
        <f t="shared" si="15"/>
        <v>2.4958999999999999E-2</v>
      </c>
      <c r="Q292" s="507">
        <f t="shared" si="17"/>
        <v>52597</v>
      </c>
      <c r="T292" s="344">
        <f ca="1">IF(ROUND(LOOKUP(Q292,Waterfalls!$6:$6,Waterfalls!$14:$14),0)&gt;0,1,0)*(D292+$H$4)</f>
        <v>0</v>
      </c>
      <c r="U292" s="508" t="str">
        <f ca="1">IF(T292&lt;&gt;0,LOOKUP(Q292,Waterfalls!$6:$6,Waterfalls!$14:$14),"")</f>
        <v/>
      </c>
      <c r="V292" s="508" t="str">
        <f ca="1">IF(T292&lt;&gt;0,-LOOKUP(Q292,Waterfalls!$6:$6,Waterfalls!$152:$152),"")</f>
        <v/>
      </c>
      <c r="X292" s="344">
        <f ca="1">IF(ROUND(LOOKUP($Q292,Waterfalls!$6:$6,Waterfalls!$21:$21),0)&gt;0,1,0)*($D292+$O$6)</f>
        <v>4.7459000000000001E-2</v>
      </c>
      <c r="Y292" s="508">
        <f ca="1">IF(X292&lt;&gt;0,LOOKUP($Q292,Waterfalls!$6:$6,Waterfalls!$21:$21),"")</f>
        <v>37715565.418264031</v>
      </c>
      <c r="Z292" s="508">
        <f ca="1">IF(X292&lt;&gt;0,-LOOKUP($Q292,Waterfalls!$6:$6,Waterfalls!$153:$153),"")</f>
        <v>266507.95792204805</v>
      </c>
    </row>
    <row r="293" spans="1:26" x14ac:dyDescent="0.3">
      <c r="A293" s="761">
        <f>IF(B293&gt;=DevBdgt!$E$7,LOOKUP(B293,DevBdgt!$7:$7,DevBdgt!$6:$6),"")</f>
        <v>132</v>
      </c>
      <c r="B293" s="507">
        <f t="shared" si="16"/>
        <v>52628</v>
      </c>
      <c r="C293" s="7">
        <v>0</v>
      </c>
      <c r="D293" s="1145">
        <f t="shared" si="15"/>
        <v>2.4958999999999999E-2</v>
      </c>
      <c r="Q293" s="507">
        <f t="shared" si="17"/>
        <v>52628</v>
      </c>
      <c r="T293" s="344">
        <f ca="1">IF(ROUND(LOOKUP(Q293,Waterfalls!$6:$6,Waterfalls!$14:$14),0)&gt;0,1,0)*(D293+$H$4)</f>
        <v>0</v>
      </c>
      <c r="U293" s="508" t="str">
        <f ca="1">IF(T293&lt;&gt;0,LOOKUP(Q293,Waterfalls!$6:$6,Waterfalls!$14:$14),"")</f>
        <v/>
      </c>
      <c r="V293" s="508" t="str">
        <f ca="1">IF(T293&lt;&gt;0,-LOOKUP(Q293,Waterfalls!$6:$6,Waterfalls!$152:$152),"")</f>
        <v/>
      </c>
      <c r="X293" s="344">
        <f ca="1">IF(ROUND(LOOKUP($Q293,Waterfalls!$6:$6,Waterfalls!$21:$21),0)&gt;0,1,0)*($D293+$O$6)</f>
        <v>4.7459000000000001E-2</v>
      </c>
      <c r="Y293" s="508">
        <f ca="1">IF(X293&lt;&gt;0,LOOKUP($Q293,Waterfalls!$6:$6,Waterfalls!$21:$21),"")</f>
        <v>37715565.418264031</v>
      </c>
      <c r="Z293" s="508">
        <f ca="1">IF(X293&lt;&gt;0,-LOOKUP($Q293,Waterfalls!$6:$6,Waterfalls!$153:$153),"")</f>
        <v>266507.95792204805</v>
      </c>
    </row>
    <row r="294" spans="1:26" x14ac:dyDescent="0.3">
      <c r="A294" s="761">
        <f>IF(B294&gt;=DevBdgt!$E$7,LOOKUP(B294,DevBdgt!$7:$7,DevBdgt!$6:$6),"")</f>
        <v>132</v>
      </c>
      <c r="B294" s="507">
        <f t="shared" si="16"/>
        <v>52657</v>
      </c>
      <c r="C294" s="7">
        <v>0</v>
      </c>
      <c r="D294" s="1145">
        <f t="shared" si="15"/>
        <v>2.4958999999999999E-2</v>
      </c>
      <c r="Q294" s="507">
        <f t="shared" si="17"/>
        <v>52657</v>
      </c>
      <c r="T294" s="344">
        <f ca="1">IF(ROUND(LOOKUP(Q294,Waterfalls!$6:$6,Waterfalls!$14:$14),0)&gt;0,1,0)*(D294+$H$4)</f>
        <v>0</v>
      </c>
      <c r="U294" s="508" t="str">
        <f ca="1">IF(T294&lt;&gt;0,LOOKUP(Q294,Waterfalls!$6:$6,Waterfalls!$14:$14),"")</f>
        <v/>
      </c>
      <c r="V294" s="508" t="str">
        <f ca="1">IF(T294&lt;&gt;0,-LOOKUP(Q294,Waterfalls!$6:$6,Waterfalls!$152:$152),"")</f>
        <v/>
      </c>
      <c r="X294" s="344">
        <f ca="1">IF(ROUND(LOOKUP($Q294,Waterfalls!$6:$6,Waterfalls!$21:$21),0)&gt;0,1,0)*($D294+$O$6)</f>
        <v>4.7459000000000001E-2</v>
      </c>
      <c r="Y294" s="508">
        <f ca="1">IF(X294&lt;&gt;0,LOOKUP($Q294,Waterfalls!$6:$6,Waterfalls!$21:$21),"")</f>
        <v>37715565.418264031</v>
      </c>
      <c r="Z294" s="508">
        <f ca="1">IF(X294&lt;&gt;0,-LOOKUP($Q294,Waterfalls!$6:$6,Waterfalls!$153:$153),"")</f>
        <v>266507.95792204805</v>
      </c>
    </row>
    <row r="295" spans="1:26" x14ac:dyDescent="0.3">
      <c r="A295" s="761">
        <f>IF(B295&gt;=DevBdgt!$E$7,LOOKUP(B295,DevBdgt!$7:$7,DevBdgt!$6:$6),"")</f>
        <v>132</v>
      </c>
      <c r="B295" s="507">
        <f t="shared" si="16"/>
        <v>52688</v>
      </c>
      <c r="C295" s="7">
        <v>0</v>
      </c>
      <c r="D295" s="1145">
        <f t="shared" si="15"/>
        <v>2.4958999999999999E-2</v>
      </c>
      <c r="Q295" s="507">
        <f t="shared" si="17"/>
        <v>52688</v>
      </c>
      <c r="T295" s="344">
        <f ca="1">IF(ROUND(LOOKUP(Q295,Waterfalls!$6:$6,Waterfalls!$14:$14),0)&gt;0,1,0)*(D295+$H$4)</f>
        <v>0</v>
      </c>
      <c r="U295" s="508" t="str">
        <f ca="1">IF(T295&lt;&gt;0,LOOKUP(Q295,Waterfalls!$6:$6,Waterfalls!$14:$14),"")</f>
        <v/>
      </c>
      <c r="V295" s="508" t="str">
        <f ca="1">IF(T295&lt;&gt;0,-LOOKUP(Q295,Waterfalls!$6:$6,Waterfalls!$152:$152),"")</f>
        <v/>
      </c>
      <c r="X295" s="344">
        <f ca="1">IF(ROUND(LOOKUP($Q295,Waterfalls!$6:$6,Waterfalls!$21:$21),0)&gt;0,1,0)*($D295+$O$6)</f>
        <v>4.7459000000000001E-2</v>
      </c>
      <c r="Y295" s="508">
        <f ca="1">IF(X295&lt;&gt;0,LOOKUP($Q295,Waterfalls!$6:$6,Waterfalls!$21:$21),"")</f>
        <v>37715565.418264031</v>
      </c>
      <c r="Z295" s="508">
        <f ca="1">IF(X295&lt;&gt;0,-LOOKUP($Q295,Waterfalls!$6:$6,Waterfalls!$153:$153),"")</f>
        <v>266507.95792204805</v>
      </c>
    </row>
    <row r="296" spans="1:26" x14ac:dyDescent="0.3">
      <c r="A296" s="761">
        <f>IF(B296&gt;=DevBdgt!$E$7,LOOKUP(B296,DevBdgt!$7:$7,DevBdgt!$6:$6),"")</f>
        <v>132</v>
      </c>
      <c r="B296" s="507">
        <f t="shared" si="16"/>
        <v>52718</v>
      </c>
      <c r="C296" s="7">
        <v>0</v>
      </c>
      <c r="D296" s="1145">
        <f t="shared" si="15"/>
        <v>2.4958999999999999E-2</v>
      </c>
      <c r="Q296" s="507">
        <f t="shared" si="17"/>
        <v>52718</v>
      </c>
      <c r="T296" s="344">
        <f ca="1">IF(ROUND(LOOKUP(Q296,Waterfalls!$6:$6,Waterfalls!$14:$14),0)&gt;0,1,0)*(D296+$H$4)</f>
        <v>0</v>
      </c>
      <c r="U296" s="508" t="str">
        <f ca="1">IF(T296&lt;&gt;0,LOOKUP(Q296,Waterfalls!$6:$6,Waterfalls!$14:$14),"")</f>
        <v/>
      </c>
      <c r="V296" s="508" t="str">
        <f ca="1">IF(T296&lt;&gt;0,-LOOKUP(Q296,Waterfalls!$6:$6,Waterfalls!$152:$152),"")</f>
        <v/>
      </c>
      <c r="X296" s="344">
        <f ca="1">IF(ROUND(LOOKUP($Q296,Waterfalls!$6:$6,Waterfalls!$21:$21),0)&gt;0,1,0)*($D296+$O$6)</f>
        <v>4.7459000000000001E-2</v>
      </c>
      <c r="Y296" s="508">
        <f ca="1">IF(X296&lt;&gt;0,LOOKUP($Q296,Waterfalls!$6:$6,Waterfalls!$21:$21),"")</f>
        <v>37715565.418264031</v>
      </c>
      <c r="Z296" s="508">
        <f ca="1">IF(X296&lt;&gt;0,-LOOKUP($Q296,Waterfalls!$6:$6,Waterfalls!$153:$153),"")</f>
        <v>266507.95792204805</v>
      </c>
    </row>
    <row r="297" spans="1:26" x14ac:dyDescent="0.3">
      <c r="A297" s="761">
        <f>IF(B297&gt;=DevBdgt!$E$7,LOOKUP(B297,DevBdgt!$7:$7,DevBdgt!$6:$6),"")</f>
        <v>132</v>
      </c>
      <c r="B297" s="507">
        <f t="shared" si="16"/>
        <v>52749</v>
      </c>
      <c r="C297" s="7">
        <v>0</v>
      </c>
      <c r="D297" s="1145">
        <f t="shared" si="15"/>
        <v>2.4958999999999999E-2</v>
      </c>
      <c r="Q297" s="507">
        <f t="shared" si="17"/>
        <v>52749</v>
      </c>
      <c r="T297" s="344">
        <f ca="1">IF(ROUND(LOOKUP(Q297,Waterfalls!$6:$6,Waterfalls!$14:$14),0)&gt;0,1,0)*(D297+$H$4)</f>
        <v>0</v>
      </c>
      <c r="U297" s="508" t="str">
        <f ca="1">IF(T297&lt;&gt;0,LOOKUP(Q297,Waterfalls!$6:$6,Waterfalls!$14:$14),"")</f>
        <v/>
      </c>
      <c r="V297" s="508" t="str">
        <f ca="1">IF(T297&lt;&gt;0,-LOOKUP(Q297,Waterfalls!$6:$6,Waterfalls!$152:$152),"")</f>
        <v/>
      </c>
      <c r="X297" s="344">
        <f ca="1">IF(ROUND(LOOKUP($Q297,Waterfalls!$6:$6,Waterfalls!$21:$21),0)&gt;0,1,0)*($D297+$O$6)</f>
        <v>4.7459000000000001E-2</v>
      </c>
      <c r="Y297" s="508">
        <f ca="1">IF(X297&lt;&gt;0,LOOKUP($Q297,Waterfalls!$6:$6,Waterfalls!$21:$21),"")</f>
        <v>37715565.418264031</v>
      </c>
      <c r="Z297" s="508">
        <f ca="1">IF(X297&lt;&gt;0,-LOOKUP($Q297,Waterfalls!$6:$6,Waterfalls!$153:$153),"")</f>
        <v>266507.95792204805</v>
      </c>
    </row>
    <row r="298" spans="1:26" x14ac:dyDescent="0.3">
      <c r="A298" s="761">
        <f>IF(B298&gt;=DevBdgt!$E$7,LOOKUP(B298,DevBdgt!$7:$7,DevBdgt!$6:$6),"")</f>
        <v>132</v>
      </c>
      <c r="B298" s="507">
        <f t="shared" si="16"/>
        <v>52779</v>
      </c>
      <c r="C298" s="7">
        <v>0</v>
      </c>
      <c r="D298" s="1145">
        <f t="shared" si="15"/>
        <v>2.4958999999999999E-2</v>
      </c>
      <c r="Q298" s="507">
        <f t="shared" si="17"/>
        <v>52779</v>
      </c>
      <c r="T298" s="344">
        <f ca="1">IF(ROUND(LOOKUP(Q298,Waterfalls!$6:$6,Waterfalls!$14:$14),0)&gt;0,1,0)*(D298+$H$4)</f>
        <v>0</v>
      </c>
      <c r="U298" s="508" t="str">
        <f ca="1">IF(T298&lt;&gt;0,LOOKUP(Q298,Waterfalls!$6:$6,Waterfalls!$14:$14),"")</f>
        <v/>
      </c>
      <c r="V298" s="508" t="str">
        <f ca="1">IF(T298&lt;&gt;0,-LOOKUP(Q298,Waterfalls!$6:$6,Waterfalls!$152:$152),"")</f>
        <v/>
      </c>
      <c r="X298" s="344">
        <f ca="1">IF(ROUND(LOOKUP($Q298,Waterfalls!$6:$6,Waterfalls!$21:$21),0)&gt;0,1,0)*($D298+$O$6)</f>
        <v>4.7459000000000001E-2</v>
      </c>
      <c r="Y298" s="508">
        <f ca="1">IF(X298&lt;&gt;0,LOOKUP($Q298,Waterfalls!$6:$6,Waterfalls!$21:$21),"")</f>
        <v>37715565.418264031</v>
      </c>
      <c r="Z298" s="508">
        <f ca="1">IF(X298&lt;&gt;0,-LOOKUP($Q298,Waterfalls!$6:$6,Waterfalls!$153:$153),"")</f>
        <v>266507.95792204805</v>
      </c>
    </row>
    <row r="299" spans="1:26" x14ac:dyDescent="0.3">
      <c r="A299" s="761">
        <f>IF(B299&gt;=DevBdgt!$E$7,LOOKUP(B299,DevBdgt!$7:$7,DevBdgt!$6:$6),"")</f>
        <v>132</v>
      </c>
      <c r="B299" s="507">
        <f t="shared" si="16"/>
        <v>52810</v>
      </c>
      <c r="C299" s="7">
        <v>0</v>
      </c>
      <c r="D299" s="1145">
        <f t="shared" si="15"/>
        <v>2.4958999999999999E-2</v>
      </c>
      <c r="Q299" s="507">
        <f t="shared" si="17"/>
        <v>52810</v>
      </c>
      <c r="T299" s="344">
        <f ca="1">IF(ROUND(LOOKUP(Q299,Waterfalls!$6:$6,Waterfalls!$14:$14),0)&gt;0,1,0)*(D299+$H$4)</f>
        <v>0</v>
      </c>
      <c r="U299" s="508" t="str">
        <f ca="1">IF(T299&lt;&gt;0,LOOKUP(Q299,Waterfalls!$6:$6,Waterfalls!$14:$14),"")</f>
        <v/>
      </c>
      <c r="V299" s="508" t="str">
        <f ca="1">IF(T299&lt;&gt;0,-LOOKUP(Q299,Waterfalls!$6:$6,Waterfalls!$152:$152),"")</f>
        <v/>
      </c>
      <c r="X299" s="344">
        <f ca="1">IF(ROUND(LOOKUP($Q299,Waterfalls!$6:$6,Waterfalls!$21:$21),0)&gt;0,1,0)*($D299+$O$6)</f>
        <v>4.7459000000000001E-2</v>
      </c>
      <c r="Y299" s="508">
        <f ca="1">IF(X299&lt;&gt;0,LOOKUP($Q299,Waterfalls!$6:$6,Waterfalls!$21:$21),"")</f>
        <v>37715565.418264031</v>
      </c>
      <c r="Z299" s="508">
        <f ca="1">IF(X299&lt;&gt;0,-LOOKUP($Q299,Waterfalls!$6:$6,Waterfalls!$153:$153),"")</f>
        <v>266507.95792204805</v>
      </c>
    </row>
    <row r="300" spans="1:26" x14ac:dyDescent="0.3">
      <c r="A300" s="761">
        <f>IF(B300&gt;=DevBdgt!$E$7,LOOKUP(B300,DevBdgt!$7:$7,DevBdgt!$6:$6),"")</f>
        <v>132</v>
      </c>
      <c r="B300" s="507">
        <f t="shared" si="16"/>
        <v>52841</v>
      </c>
      <c r="C300" s="7">
        <v>0</v>
      </c>
      <c r="D300" s="1145">
        <f t="shared" si="15"/>
        <v>2.4958999999999999E-2</v>
      </c>
      <c r="Q300" s="507">
        <f t="shared" si="17"/>
        <v>52841</v>
      </c>
      <c r="T300" s="344">
        <f ca="1">IF(ROUND(LOOKUP(Q300,Waterfalls!$6:$6,Waterfalls!$14:$14),0)&gt;0,1,0)*(D300+$H$4)</f>
        <v>0</v>
      </c>
      <c r="U300" s="508" t="str">
        <f ca="1">IF(T300&lt;&gt;0,LOOKUP(Q300,Waterfalls!$6:$6,Waterfalls!$14:$14),"")</f>
        <v/>
      </c>
      <c r="V300" s="508" t="str">
        <f ca="1">IF(T300&lt;&gt;0,-LOOKUP(Q300,Waterfalls!$6:$6,Waterfalls!$152:$152),"")</f>
        <v/>
      </c>
      <c r="X300" s="344">
        <f ca="1">IF(ROUND(LOOKUP($Q300,Waterfalls!$6:$6,Waterfalls!$21:$21),0)&gt;0,1,0)*($D300+$O$6)</f>
        <v>4.7459000000000001E-2</v>
      </c>
      <c r="Y300" s="508">
        <f ca="1">IF(X300&lt;&gt;0,LOOKUP($Q300,Waterfalls!$6:$6,Waterfalls!$21:$21),"")</f>
        <v>37715565.418264031</v>
      </c>
      <c r="Z300" s="508">
        <f ca="1">IF(X300&lt;&gt;0,-LOOKUP($Q300,Waterfalls!$6:$6,Waterfalls!$153:$153),"")</f>
        <v>266507.95792204805</v>
      </c>
    </row>
    <row r="301" spans="1:26" x14ac:dyDescent="0.3">
      <c r="A301" s="761">
        <f>IF(B301&gt;=DevBdgt!$E$7,LOOKUP(B301,DevBdgt!$7:$7,DevBdgt!$6:$6),"")</f>
        <v>132</v>
      </c>
      <c r="B301" s="507">
        <f t="shared" si="16"/>
        <v>52871</v>
      </c>
      <c r="C301" s="7">
        <v>0</v>
      </c>
      <c r="D301" s="1145">
        <f t="shared" si="15"/>
        <v>2.4958999999999999E-2</v>
      </c>
      <c r="Q301" s="507">
        <f t="shared" si="17"/>
        <v>52871</v>
      </c>
      <c r="T301" s="344">
        <f ca="1">IF(ROUND(LOOKUP(Q301,Waterfalls!$6:$6,Waterfalls!$14:$14),0)&gt;0,1,0)*(D301+$H$4)</f>
        <v>0</v>
      </c>
      <c r="U301" s="508" t="str">
        <f ca="1">IF(T301&lt;&gt;0,LOOKUP(Q301,Waterfalls!$6:$6,Waterfalls!$14:$14),"")</f>
        <v/>
      </c>
      <c r="V301" s="508" t="str">
        <f ca="1">IF(T301&lt;&gt;0,-LOOKUP(Q301,Waterfalls!$6:$6,Waterfalls!$152:$152),"")</f>
        <v/>
      </c>
      <c r="X301" s="344">
        <f ca="1">IF(ROUND(LOOKUP($Q301,Waterfalls!$6:$6,Waterfalls!$21:$21),0)&gt;0,1,0)*($D301+$O$6)</f>
        <v>4.7459000000000001E-2</v>
      </c>
      <c r="Y301" s="508">
        <f ca="1">IF(X301&lt;&gt;0,LOOKUP($Q301,Waterfalls!$6:$6,Waterfalls!$21:$21),"")</f>
        <v>37715565.418264031</v>
      </c>
      <c r="Z301" s="508">
        <f ca="1">IF(X301&lt;&gt;0,-LOOKUP($Q301,Waterfalls!$6:$6,Waterfalls!$153:$153),"")</f>
        <v>266507.95792204805</v>
      </c>
    </row>
    <row r="302" spans="1:26" x14ac:dyDescent="0.3">
      <c r="A302" s="761">
        <f>IF(B302&gt;=DevBdgt!$E$7,LOOKUP(B302,DevBdgt!$7:$7,DevBdgt!$6:$6),"")</f>
        <v>132</v>
      </c>
      <c r="B302" s="507">
        <f t="shared" si="16"/>
        <v>52902</v>
      </c>
      <c r="C302" s="7">
        <v>0</v>
      </c>
      <c r="D302" s="1145">
        <f t="shared" si="15"/>
        <v>2.4958999999999999E-2</v>
      </c>
      <c r="Q302" s="507">
        <f t="shared" si="17"/>
        <v>52902</v>
      </c>
      <c r="T302" s="344">
        <f ca="1">IF(ROUND(LOOKUP(Q302,Waterfalls!$6:$6,Waterfalls!$14:$14),0)&gt;0,1,0)*(D302+$H$4)</f>
        <v>0</v>
      </c>
      <c r="U302" s="508" t="str">
        <f ca="1">IF(T302&lt;&gt;0,LOOKUP(Q302,Waterfalls!$6:$6,Waterfalls!$14:$14),"")</f>
        <v/>
      </c>
      <c r="V302" s="508" t="str">
        <f ca="1">IF(T302&lt;&gt;0,-LOOKUP(Q302,Waterfalls!$6:$6,Waterfalls!$152:$152),"")</f>
        <v/>
      </c>
      <c r="X302" s="344">
        <f ca="1">IF(ROUND(LOOKUP($Q302,Waterfalls!$6:$6,Waterfalls!$21:$21),0)&gt;0,1,0)*($D302+$O$6)</f>
        <v>4.7459000000000001E-2</v>
      </c>
      <c r="Y302" s="508">
        <f ca="1">IF(X302&lt;&gt;0,LOOKUP($Q302,Waterfalls!$6:$6,Waterfalls!$21:$21),"")</f>
        <v>37715565.418264031</v>
      </c>
      <c r="Z302" s="508">
        <f ca="1">IF(X302&lt;&gt;0,-LOOKUP($Q302,Waterfalls!$6:$6,Waterfalls!$153:$153),"")</f>
        <v>266507.95792204805</v>
      </c>
    </row>
    <row r="303" spans="1:26" x14ac:dyDescent="0.3">
      <c r="A303" s="761">
        <f>IF(B303&gt;=DevBdgt!$E$7,LOOKUP(B303,DevBdgt!$7:$7,DevBdgt!$6:$6),"")</f>
        <v>132</v>
      </c>
      <c r="B303" s="507">
        <f t="shared" si="16"/>
        <v>52932</v>
      </c>
      <c r="C303" s="7">
        <v>0</v>
      </c>
      <c r="D303" s="1145">
        <f t="shared" si="15"/>
        <v>2.4958999999999999E-2</v>
      </c>
      <c r="Q303" s="507">
        <f t="shared" si="17"/>
        <v>52932</v>
      </c>
      <c r="T303" s="344">
        <f ca="1">IF(ROUND(LOOKUP(Q303,Waterfalls!$6:$6,Waterfalls!$14:$14),0)&gt;0,1,0)*(D303+$H$4)</f>
        <v>0</v>
      </c>
      <c r="U303" s="508" t="str">
        <f ca="1">IF(T303&lt;&gt;0,LOOKUP(Q303,Waterfalls!$6:$6,Waterfalls!$14:$14),"")</f>
        <v/>
      </c>
      <c r="V303" s="508" t="str">
        <f ca="1">IF(T303&lt;&gt;0,-LOOKUP(Q303,Waterfalls!$6:$6,Waterfalls!$152:$152),"")</f>
        <v/>
      </c>
      <c r="X303" s="344">
        <f ca="1">IF(ROUND(LOOKUP($Q303,Waterfalls!$6:$6,Waterfalls!$21:$21),0)&gt;0,1,0)*($D303+$O$6)</f>
        <v>4.7459000000000001E-2</v>
      </c>
      <c r="Y303" s="508">
        <f ca="1">IF(X303&lt;&gt;0,LOOKUP($Q303,Waterfalls!$6:$6,Waterfalls!$21:$21),"")</f>
        <v>37715565.418264031</v>
      </c>
      <c r="Z303" s="508">
        <f ca="1">IF(X303&lt;&gt;0,-LOOKUP($Q303,Waterfalls!$6:$6,Waterfalls!$153:$153),"")</f>
        <v>266507.95792204805</v>
      </c>
    </row>
    <row r="304" spans="1:26" x14ac:dyDescent="0.3">
      <c r="A304" s="761">
        <f>IF(B304&gt;=DevBdgt!$E$7,LOOKUP(B304,DevBdgt!$7:$7,DevBdgt!$6:$6),"")</f>
        <v>132</v>
      </c>
      <c r="B304" s="507">
        <f t="shared" si="16"/>
        <v>52963</v>
      </c>
      <c r="C304" s="7">
        <v>0</v>
      </c>
      <c r="D304" s="1145">
        <f t="shared" si="15"/>
        <v>2.4958999999999999E-2</v>
      </c>
      <c r="Q304" s="507">
        <f t="shared" si="17"/>
        <v>52963</v>
      </c>
      <c r="T304" s="344">
        <f ca="1">IF(ROUND(LOOKUP(Q304,Waterfalls!$6:$6,Waterfalls!$14:$14),0)&gt;0,1,0)*(D304+$H$4)</f>
        <v>0</v>
      </c>
      <c r="U304" s="508" t="str">
        <f ca="1">IF(T304&lt;&gt;0,LOOKUP(Q304,Waterfalls!$6:$6,Waterfalls!$14:$14),"")</f>
        <v/>
      </c>
      <c r="V304" s="508" t="str">
        <f ca="1">IF(T304&lt;&gt;0,-LOOKUP(Q304,Waterfalls!$6:$6,Waterfalls!$152:$152),"")</f>
        <v/>
      </c>
      <c r="X304" s="344">
        <f ca="1">IF(ROUND(LOOKUP($Q304,Waterfalls!$6:$6,Waterfalls!$21:$21),0)&gt;0,1,0)*($D304+$O$6)</f>
        <v>4.7459000000000001E-2</v>
      </c>
      <c r="Y304" s="508">
        <f ca="1">IF(X304&lt;&gt;0,LOOKUP($Q304,Waterfalls!$6:$6,Waterfalls!$21:$21),"")</f>
        <v>37715565.418264031</v>
      </c>
      <c r="Z304" s="508">
        <f ca="1">IF(X304&lt;&gt;0,-LOOKUP($Q304,Waterfalls!$6:$6,Waterfalls!$153:$153),"")</f>
        <v>266507.95792204805</v>
      </c>
    </row>
    <row r="305" spans="1:26" x14ac:dyDescent="0.3">
      <c r="A305" s="761">
        <f>IF(B305&gt;=DevBdgt!$E$7,LOOKUP(B305,DevBdgt!$7:$7,DevBdgt!$6:$6),"")</f>
        <v>132</v>
      </c>
      <c r="B305" s="507">
        <f t="shared" si="16"/>
        <v>52994</v>
      </c>
      <c r="C305" s="7">
        <v>0</v>
      </c>
      <c r="D305" s="1145">
        <f t="shared" si="15"/>
        <v>2.4958999999999999E-2</v>
      </c>
      <c r="Q305" s="507">
        <f t="shared" si="17"/>
        <v>52994</v>
      </c>
      <c r="T305" s="344">
        <f ca="1">IF(ROUND(LOOKUP(Q305,Waterfalls!$6:$6,Waterfalls!$14:$14),0)&gt;0,1,0)*(D305+$H$4)</f>
        <v>0</v>
      </c>
      <c r="U305" s="508" t="str">
        <f ca="1">IF(T305&lt;&gt;0,LOOKUP(Q305,Waterfalls!$6:$6,Waterfalls!$14:$14),"")</f>
        <v/>
      </c>
      <c r="V305" s="508" t="str">
        <f ca="1">IF(T305&lt;&gt;0,-LOOKUP(Q305,Waterfalls!$6:$6,Waterfalls!$152:$152),"")</f>
        <v/>
      </c>
      <c r="X305" s="344">
        <f ca="1">IF(ROUND(LOOKUP($Q305,Waterfalls!$6:$6,Waterfalls!$21:$21),0)&gt;0,1,0)*($D305+$O$6)</f>
        <v>4.7459000000000001E-2</v>
      </c>
      <c r="Y305" s="508">
        <f ca="1">IF(X305&lt;&gt;0,LOOKUP($Q305,Waterfalls!$6:$6,Waterfalls!$21:$21),"")</f>
        <v>37715565.418264031</v>
      </c>
      <c r="Z305" s="508">
        <f ca="1">IF(X305&lt;&gt;0,-LOOKUP($Q305,Waterfalls!$6:$6,Waterfalls!$153:$153),"")</f>
        <v>266507.95792204805</v>
      </c>
    </row>
    <row r="306" spans="1:26" x14ac:dyDescent="0.3">
      <c r="A306" s="761">
        <f>IF(B306&gt;=DevBdgt!$E$7,LOOKUP(B306,DevBdgt!$7:$7,DevBdgt!$6:$6),"")</f>
        <v>132</v>
      </c>
      <c r="B306" s="507">
        <f t="shared" si="16"/>
        <v>53022</v>
      </c>
      <c r="C306" s="7">
        <v>0</v>
      </c>
      <c r="D306" s="1145">
        <f t="shared" ref="D306:D369" si="18">IF(C306=0,D305,IF(C306&lt;$H$5,$H$5,IF(AND($H$6&gt;0,C306&gt;$H$6),$H$6,C306)))</f>
        <v>2.4958999999999999E-2</v>
      </c>
      <c r="Q306" s="507">
        <f t="shared" si="17"/>
        <v>53022</v>
      </c>
      <c r="T306" s="344">
        <f ca="1">IF(ROUND(LOOKUP(Q306,Waterfalls!$6:$6,Waterfalls!$14:$14),0)&gt;0,1,0)*(D306+$H$4)</f>
        <v>0</v>
      </c>
      <c r="U306" s="508" t="str">
        <f ca="1">IF(T306&lt;&gt;0,LOOKUP(Q306,Waterfalls!$6:$6,Waterfalls!$14:$14),"")</f>
        <v/>
      </c>
      <c r="V306" s="508" t="str">
        <f ca="1">IF(T306&lt;&gt;0,-LOOKUP(Q306,Waterfalls!$6:$6,Waterfalls!$152:$152),"")</f>
        <v/>
      </c>
      <c r="X306" s="344">
        <f ca="1">IF(ROUND(LOOKUP($Q306,Waterfalls!$6:$6,Waterfalls!$21:$21),0)&gt;0,1,0)*($D306+$O$6)</f>
        <v>4.7459000000000001E-2</v>
      </c>
      <c r="Y306" s="508">
        <f ca="1">IF(X306&lt;&gt;0,LOOKUP($Q306,Waterfalls!$6:$6,Waterfalls!$21:$21),"")</f>
        <v>37715565.418264031</v>
      </c>
      <c r="Z306" s="508">
        <f ca="1">IF(X306&lt;&gt;0,-LOOKUP($Q306,Waterfalls!$6:$6,Waterfalls!$153:$153),"")</f>
        <v>266507.95792204805</v>
      </c>
    </row>
    <row r="307" spans="1:26" x14ac:dyDescent="0.3">
      <c r="A307" s="761">
        <f>IF(B307&gt;=DevBdgt!$E$7,LOOKUP(B307,DevBdgt!$7:$7,DevBdgt!$6:$6),"")</f>
        <v>132</v>
      </c>
      <c r="B307" s="507">
        <f t="shared" si="16"/>
        <v>53053</v>
      </c>
      <c r="C307" s="7">
        <v>0</v>
      </c>
      <c r="D307" s="1145">
        <f t="shared" si="18"/>
        <v>2.4958999999999999E-2</v>
      </c>
      <c r="Q307" s="507">
        <f t="shared" si="17"/>
        <v>53053</v>
      </c>
      <c r="T307" s="344">
        <f ca="1">IF(ROUND(LOOKUP(Q307,Waterfalls!$6:$6,Waterfalls!$14:$14),0)&gt;0,1,0)*(D307+$H$4)</f>
        <v>0</v>
      </c>
      <c r="U307" s="508" t="str">
        <f ca="1">IF(T307&lt;&gt;0,LOOKUP(Q307,Waterfalls!$6:$6,Waterfalls!$14:$14),"")</f>
        <v/>
      </c>
      <c r="V307" s="508" t="str">
        <f ca="1">IF(T307&lt;&gt;0,-LOOKUP(Q307,Waterfalls!$6:$6,Waterfalls!$152:$152),"")</f>
        <v/>
      </c>
      <c r="X307" s="344">
        <f ca="1">IF(ROUND(LOOKUP($Q307,Waterfalls!$6:$6,Waterfalls!$21:$21),0)&gt;0,1,0)*($D307+$O$6)</f>
        <v>4.7459000000000001E-2</v>
      </c>
      <c r="Y307" s="508">
        <f ca="1">IF(X307&lt;&gt;0,LOOKUP($Q307,Waterfalls!$6:$6,Waterfalls!$21:$21),"")</f>
        <v>37715565.418264031</v>
      </c>
      <c r="Z307" s="508">
        <f ca="1">IF(X307&lt;&gt;0,-LOOKUP($Q307,Waterfalls!$6:$6,Waterfalls!$153:$153),"")</f>
        <v>266507.95792204805</v>
      </c>
    </row>
    <row r="308" spans="1:26" x14ac:dyDescent="0.3">
      <c r="A308" s="761">
        <f>IF(B308&gt;=DevBdgt!$E$7,LOOKUP(B308,DevBdgt!$7:$7,DevBdgt!$6:$6),"")</f>
        <v>132</v>
      </c>
      <c r="B308" s="507">
        <f t="shared" si="16"/>
        <v>53083</v>
      </c>
      <c r="C308" s="7">
        <v>0</v>
      </c>
      <c r="D308" s="1145">
        <f t="shared" si="18"/>
        <v>2.4958999999999999E-2</v>
      </c>
      <c r="Q308" s="507">
        <f t="shared" si="17"/>
        <v>53083</v>
      </c>
      <c r="T308" s="344">
        <f ca="1">IF(ROUND(LOOKUP(Q308,Waterfalls!$6:$6,Waterfalls!$14:$14),0)&gt;0,1,0)*(D308+$H$4)</f>
        <v>0</v>
      </c>
      <c r="U308" s="508" t="str">
        <f ca="1">IF(T308&lt;&gt;0,LOOKUP(Q308,Waterfalls!$6:$6,Waterfalls!$14:$14),"")</f>
        <v/>
      </c>
      <c r="V308" s="508" t="str">
        <f ca="1">IF(T308&lt;&gt;0,-LOOKUP(Q308,Waterfalls!$6:$6,Waterfalls!$152:$152),"")</f>
        <v/>
      </c>
      <c r="X308" s="344">
        <f ca="1">IF(ROUND(LOOKUP($Q308,Waterfalls!$6:$6,Waterfalls!$21:$21),0)&gt;0,1,0)*($D308+$O$6)</f>
        <v>4.7459000000000001E-2</v>
      </c>
      <c r="Y308" s="508">
        <f ca="1">IF(X308&lt;&gt;0,LOOKUP($Q308,Waterfalls!$6:$6,Waterfalls!$21:$21),"")</f>
        <v>37715565.418264031</v>
      </c>
      <c r="Z308" s="508">
        <f ca="1">IF(X308&lt;&gt;0,-LOOKUP($Q308,Waterfalls!$6:$6,Waterfalls!$153:$153),"")</f>
        <v>266507.95792204805</v>
      </c>
    </row>
    <row r="309" spans="1:26" x14ac:dyDescent="0.3">
      <c r="A309" s="761">
        <f>IF(B309&gt;=DevBdgt!$E$7,LOOKUP(B309,DevBdgt!$7:$7,DevBdgt!$6:$6),"")</f>
        <v>132</v>
      </c>
      <c r="B309" s="507">
        <f t="shared" si="16"/>
        <v>53114</v>
      </c>
      <c r="C309" s="7">
        <v>0</v>
      </c>
      <c r="D309" s="1145">
        <f t="shared" si="18"/>
        <v>2.4958999999999999E-2</v>
      </c>
      <c r="Q309" s="507">
        <f t="shared" si="17"/>
        <v>53114</v>
      </c>
      <c r="T309" s="344">
        <f ca="1">IF(ROUND(LOOKUP(Q309,Waterfalls!$6:$6,Waterfalls!$14:$14),0)&gt;0,1,0)*(D309+$H$4)</f>
        <v>0</v>
      </c>
      <c r="U309" s="508" t="str">
        <f ca="1">IF(T309&lt;&gt;0,LOOKUP(Q309,Waterfalls!$6:$6,Waterfalls!$14:$14),"")</f>
        <v/>
      </c>
      <c r="V309" s="508" t="str">
        <f ca="1">IF(T309&lt;&gt;0,-LOOKUP(Q309,Waterfalls!$6:$6,Waterfalls!$152:$152),"")</f>
        <v/>
      </c>
      <c r="X309" s="344">
        <f ca="1">IF(ROUND(LOOKUP($Q309,Waterfalls!$6:$6,Waterfalls!$21:$21),0)&gt;0,1,0)*($D309+$O$6)</f>
        <v>4.7459000000000001E-2</v>
      </c>
      <c r="Y309" s="508">
        <f ca="1">IF(X309&lt;&gt;0,LOOKUP($Q309,Waterfalls!$6:$6,Waterfalls!$21:$21),"")</f>
        <v>37715565.418264031</v>
      </c>
      <c r="Z309" s="508">
        <f ca="1">IF(X309&lt;&gt;0,-LOOKUP($Q309,Waterfalls!$6:$6,Waterfalls!$153:$153),"")</f>
        <v>266507.95792204805</v>
      </c>
    </row>
    <row r="310" spans="1:26" x14ac:dyDescent="0.3">
      <c r="A310" s="761">
        <f>IF(B310&gt;=DevBdgt!$E$7,LOOKUP(B310,DevBdgt!$7:$7,DevBdgt!$6:$6),"")</f>
        <v>132</v>
      </c>
      <c r="B310" s="507">
        <f t="shared" si="16"/>
        <v>53144</v>
      </c>
      <c r="C310" s="7">
        <v>0</v>
      </c>
      <c r="D310" s="1145">
        <f t="shared" si="18"/>
        <v>2.4958999999999999E-2</v>
      </c>
      <c r="Q310" s="507">
        <f t="shared" si="17"/>
        <v>53144</v>
      </c>
      <c r="T310" s="344">
        <f ca="1">IF(ROUND(LOOKUP(Q310,Waterfalls!$6:$6,Waterfalls!$14:$14),0)&gt;0,1,0)*(D310+$H$4)</f>
        <v>0</v>
      </c>
      <c r="U310" s="508" t="str">
        <f ca="1">IF(T310&lt;&gt;0,LOOKUP(Q310,Waterfalls!$6:$6,Waterfalls!$14:$14),"")</f>
        <v/>
      </c>
      <c r="V310" s="508" t="str">
        <f ca="1">IF(T310&lt;&gt;0,-LOOKUP(Q310,Waterfalls!$6:$6,Waterfalls!$152:$152),"")</f>
        <v/>
      </c>
      <c r="X310" s="344">
        <f ca="1">IF(ROUND(LOOKUP($Q310,Waterfalls!$6:$6,Waterfalls!$21:$21),0)&gt;0,1,0)*($D310+$O$6)</f>
        <v>4.7459000000000001E-2</v>
      </c>
      <c r="Y310" s="508">
        <f ca="1">IF(X310&lt;&gt;0,LOOKUP($Q310,Waterfalls!$6:$6,Waterfalls!$21:$21),"")</f>
        <v>37715565.418264031</v>
      </c>
      <c r="Z310" s="508">
        <f ca="1">IF(X310&lt;&gt;0,-LOOKUP($Q310,Waterfalls!$6:$6,Waterfalls!$153:$153),"")</f>
        <v>266507.95792204805</v>
      </c>
    </row>
    <row r="311" spans="1:26" x14ac:dyDescent="0.3">
      <c r="A311" s="761">
        <f>IF(B311&gt;=DevBdgt!$E$7,LOOKUP(B311,DevBdgt!$7:$7,DevBdgt!$6:$6),"")</f>
        <v>132</v>
      </c>
      <c r="B311" s="507">
        <f t="shared" si="16"/>
        <v>53175</v>
      </c>
      <c r="C311" s="7">
        <v>0</v>
      </c>
      <c r="D311" s="1145">
        <f t="shared" si="18"/>
        <v>2.4958999999999999E-2</v>
      </c>
      <c r="Q311" s="507">
        <f t="shared" si="17"/>
        <v>53175</v>
      </c>
      <c r="T311" s="344">
        <f ca="1">IF(ROUND(LOOKUP(Q311,Waterfalls!$6:$6,Waterfalls!$14:$14),0)&gt;0,1,0)*(D311+$H$4)</f>
        <v>0</v>
      </c>
      <c r="U311" s="508" t="str">
        <f ca="1">IF(T311&lt;&gt;0,LOOKUP(Q311,Waterfalls!$6:$6,Waterfalls!$14:$14),"")</f>
        <v/>
      </c>
      <c r="V311" s="508" t="str">
        <f ca="1">IF(T311&lt;&gt;0,-LOOKUP(Q311,Waterfalls!$6:$6,Waterfalls!$152:$152),"")</f>
        <v/>
      </c>
      <c r="X311" s="344">
        <f ca="1">IF(ROUND(LOOKUP($Q311,Waterfalls!$6:$6,Waterfalls!$21:$21),0)&gt;0,1,0)*($D311+$O$6)</f>
        <v>4.7459000000000001E-2</v>
      </c>
      <c r="Y311" s="508">
        <f ca="1">IF(X311&lt;&gt;0,LOOKUP($Q311,Waterfalls!$6:$6,Waterfalls!$21:$21),"")</f>
        <v>37715565.418264031</v>
      </c>
      <c r="Z311" s="508">
        <f ca="1">IF(X311&lt;&gt;0,-LOOKUP($Q311,Waterfalls!$6:$6,Waterfalls!$153:$153),"")</f>
        <v>266507.95792204805</v>
      </c>
    </row>
    <row r="312" spans="1:26" x14ac:dyDescent="0.3">
      <c r="A312" s="761">
        <f>IF(B312&gt;=DevBdgt!$E$7,LOOKUP(B312,DevBdgt!$7:$7,DevBdgt!$6:$6),"")</f>
        <v>132</v>
      </c>
      <c r="B312" s="507">
        <f t="shared" si="16"/>
        <v>53206</v>
      </c>
      <c r="C312" s="7">
        <v>0</v>
      </c>
      <c r="D312" s="1145">
        <f t="shared" si="18"/>
        <v>2.4958999999999999E-2</v>
      </c>
      <c r="Q312" s="507">
        <f t="shared" si="17"/>
        <v>53206</v>
      </c>
      <c r="T312" s="344">
        <f ca="1">IF(ROUND(LOOKUP(Q312,Waterfalls!$6:$6,Waterfalls!$14:$14),0)&gt;0,1,0)*(D312+$H$4)</f>
        <v>0</v>
      </c>
      <c r="U312" s="508" t="str">
        <f ca="1">IF(T312&lt;&gt;0,LOOKUP(Q312,Waterfalls!$6:$6,Waterfalls!$14:$14),"")</f>
        <v/>
      </c>
      <c r="V312" s="508" t="str">
        <f ca="1">IF(T312&lt;&gt;0,-LOOKUP(Q312,Waterfalls!$6:$6,Waterfalls!$152:$152),"")</f>
        <v/>
      </c>
      <c r="X312" s="344">
        <f ca="1">IF(ROUND(LOOKUP($Q312,Waterfalls!$6:$6,Waterfalls!$21:$21),0)&gt;0,1,0)*($D312+$O$6)</f>
        <v>4.7459000000000001E-2</v>
      </c>
      <c r="Y312" s="508">
        <f ca="1">IF(X312&lt;&gt;0,LOOKUP($Q312,Waterfalls!$6:$6,Waterfalls!$21:$21),"")</f>
        <v>37715565.418264031</v>
      </c>
      <c r="Z312" s="508">
        <f ca="1">IF(X312&lt;&gt;0,-LOOKUP($Q312,Waterfalls!$6:$6,Waterfalls!$153:$153),"")</f>
        <v>266507.95792204805</v>
      </c>
    </row>
    <row r="313" spans="1:26" x14ac:dyDescent="0.3">
      <c r="A313" s="761">
        <f>IF(B313&gt;=DevBdgt!$E$7,LOOKUP(B313,DevBdgt!$7:$7,DevBdgt!$6:$6),"")</f>
        <v>132</v>
      </c>
      <c r="B313" s="507">
        <f t="shared" si="16"/>
        <v>53236</v>
      </c>
      <c r="C313" s="7">
        <v>0</v>
      </c>
      <c r="D313" s="1145">
        <f t="shared" si="18"/>
        <v>2.4958999999999999E-2</v>
      </c>
      <c r="Q313" s="507">
        <f t="shared" si="17"/>
        <v>53236</v>
      </c>
      <c r="T313" s="344">
        <f ca="1">IF(ROUND(LOOKUP(Q313,Waterfalls!$6:$6,Waterfalls!$14:$14),0)&gt;0,1,0)*(D313+$H$4)</f>
        <v>0</v>
      </c>
      <c r="U313" s="508" t="str">
        <f ca="1">IF(T313&lt;&gt;0,LOOKUP(Q313,Waterfalls!$6:$6,Waterfalls!$14:$14),"")</f>
        <v/>
      </c>
      <c r="V313" s="508" t="str">
        <f ca="1">IF(T313&lt;&gt;0,-LOOKUP(Q313,Waterfalls!$6:$6,Waterfalls!$152:$152),"")</f>
        <v/>
      </c>
      <c r="X313" s="344">
        <f ca="1">IF(ROUND(LOOKUP($Q313,Waterfalls!$6:$6,Waterfalls!$21:$21),0)&gt;0,1,0)*($D313+$O$6)</f>
        <v>4.7459000000000001E-2</v>
      </c>
      <c r="Y313" s="508">
        <f ca="1">IF(X313&lt;&gt;0,LOOKUP($Q313,Waterfalls!$6:$6,Waterfalls!$21:$21),"")</f>
        <v>37715565.418264031</v>
      </c>
      <c r="Z313" s="508">
        <f ca="1">IF(X313&lt;&gt;0,-LOOKUP($Q313,Waterfalls!$6:$6,Waterfalls!$153:$153),"")</f>
        <v>266507.95792204805</v>
      </c>
    </row>
    <row r="314" spans="1:26" x14ac:dyDescent="0.3">
      <c r="A314" s="761">
        <f>IF(B314&gt;=DevBdgt!$E$7,LOOKUP(B314,DevBdgt!$7:$7,DevBdgt!$6:$6),"")</f>
        <v>132</v>
      </c>
      <c r="B314" s="507">
        <f t="shared" si="16"/>
        <v>53267</v>
      </c>
      <c r="C314" s="7">
        <v>0</v>
      </c>
      <c r="D314" s="1145">
        <f t="shared" si="18"/>
        <v>2.4958999999999999E-2</v>
      </c>
      <c r="Q314" s="507">
        <f t="shared" si="17"/>
        <v>53267</v>
      </c>
      <c r="T314" s="344">
        <f ca="1">IF(ROUND(LOOKUP(Q314,Waterfalls!$6:$6,Waterfalls!$14:$14),0)&gt;0,1,0)*(D314+$H$4)</f>
        <v>0</v>
      </c>
      <c r="U314" s="508" t="str">
        <f ca="1">IF(T314&lt;&gt;0,LOOKUP(Q314,Waterfalls!$6:$6,Waterfalls!$14:$14),"")</f>
        <v/>
      </c>
      <c r="V314" s="508" t="str">
        <f ca="1">IF(T314&lt;&gt;0,-LOOKUP(Q314,Waterfalls!$6:$6,Waterfalls!$152:$152),"")</f>
        <v/>
      </c>
      <c r="X314" s="344">
        <f ca="1">IF(ROUND(LOOKUP($Q314,Waterfalls!$6:$6,Waterfalls!$21:$21),0)&gt;0,1,0)*($D314+$O$6)</f>
        <v>4.7459000000000001E-2</v>
      </c>
      <c r="Y314" s="508">
        <f ca="1">IF(X314&lt;&gt;0,LOOKUP($Q314,Waterfalls!$6:$6,Waterfalls!$21:$21),"")</f>
        <v>37715565.418264031</v>
      </c>
      <c r="Z314" s="508">
        <f ca="1">IF(X314&lt;&gt;0,-LOOKUP($Q314,Waterfalls!$6:$6,Waterfalls!$153:$153),"")</f>
        <v>266507.95792204805</v>
      </c>
    </row>
    <row r="315" spans="1:26" x14ac:dyDescent="0.3">
      <c r="A315" s="761">
        <f>IF(B315&gt;=DevBdgt!$E$7,LOOKUP(B315,DevBdgt!$7:$7,DevBdgt!$6:$6),"")</f>
        <v>132</v>
      </c>
      <c r="B315" s="507">
        <f t="shared" si="16"/>
        <v>53297</v>
      </c>
      <c r="C315" s="7">
        <v>0</v>
      </c>
      <c r="D315" s="1145">
        <f t="shared" si="18"/>
        <v>2.4958999999999999E-2</v>
      </c>
      <c r="Q315" s="507">
        <f t="shared" si="17"/>
        <v>53297</v>
      </c>
      <c r="T315" s="344">
        <f ca="1">IF(ROUND(LOOKUP(Q315,Waterfalls!$6:$6,Waterfalls!$14:$14),0)&gt;0,1,0)*(D315+$H$4)</f>
        <v>0</v>
      </c>
      <c r="U315" s="508" t="str">
        <f ca="1">IF(T315&lt;&gt;0,LOOKUP(Q315,Waterfalls!$6:$6,Waterfalls!$14:$14),"")</f>
        <v/>
      </c>
      <c r="V315" s="508" t="str">
        <f ca="1">IF(T315&lt;&gt;0,-LOOKUP(Q315,Waterfalls!$6:$6,Waterfalls!$152:$152),"")</f>
        <v/>
      </c>
      <c r="X315" s="344">
        <f ca="1">IF(ROUND(LOOKUP($Q315,Waterfalls!$6:$6,Waterfalls!$21:$21),0)&gt;0,1,0)*($D315+$O$6)</f>
        <v>4.7459000000000001E-2</v>
      </c>
      <c r="Y315" s="508">
        <f ca="1">IF(X315&lt;&gt;0,LOOKUP($Q315,Waterfalls!$6:$6,Waterfalls!$21:$21),"")</f>
        <v>37715565.418264031</v>
      </c>
      <c r="Z315" s="508">
        <f ca="1">IF(X315&lt;&gt;0,-LOOKUP($Q315,Waterfalls!$6:$6,Waterfalls!$153:$153),"")</f>
        <v>266507.95792204805</v>
      </c>
    </row>
    <row r="316" spans="1:26" x14ac:dyDescent="0.3">
      <c r="A316" s="761">
        <f>IF(B316&gt;=DevBdgt!$E$7,LOOKUP(B316,DevBdgt!$7:$7,DevBdgt!$6:$6),"")</f>
        <v>132</v>
      </c>
      <c r="B316" s="507">
        <f t="shared" si="16"/>
        <v>53328</v>
      </c>
      <c r="C316" s="7">
        <v>0</v>
      </c>
      <c r="D316" s="1145">
        <f t="shared" si="18"/>
        <v>2.4958999999999999E-2</v>
      </c>
      <c r="Q316" s="507">
        <f t="shared" si="17"/>
        <v>53328</v>
      </c>
      <c r="T316" s="344">
        <f ca="1">IF(ROUND(LOOKUP(Q316,Waterfalls!$6:$6,Waterfalls!$14:$14),0)&gt;0,1,0)*(D316+$H$4)</f>
        <v>0</v>
      </c>
      <c r="U316" s="508" t="str">
        <f ca="1">IF(T316&lt;&gt;0,LOOKUP(Q316,Waterfalls!$6:$6,Waterfalls!$14:$14),"")</f>
        <v/>
      </c>
      <c r="V316" s="508" t="str">
        <f ca="1">IF(T316&lt;&gt;0,-LOOKUP(Q316,Waterfalls!$6:$6,Waterfalls!$152:$152),"")</f>
        <v/>
      </c>
      <c r="X316" s="344">
        <f ca="1">IF(ROUND(LOOKUP($Q316,Waterfalls!$6:$6,Waterfalls!$21:$21),0)&gt;0,1,0)*($D316+$O$6)</f>
        <v>4.7459000000000001E-2</v>
      </c>
      <c r="Y316" s="508">
        <f ca="1">IF(X316&lt;&gt;0,LOOKUP($Q316,Waterfalls!$6:$6,Waterfalls!$21:$21),"")</f>
        <v>37715565.418264031</v>
      </c>
      <c r="Z316" s="508">
        <f ca="1">IF(X316&lt;&gt;0,-LOOKUP($Q316,Waterfalls!$6:$6,Waterfalls!$153:$153),"")</f>
        <v>266507.95792204805</v>
      </c>
    </row>
    <row r="317" spans="1:26" x14ac:dyDescent="0.3">
      <c r="A317" s="761">
        <f>IF(B317&gt;=DevBdgt!$E$7,LOOKUP(B317,DevBdgt!$7:$7,DevBdgt!$6:$6),"")</f>
        <v>132</v>
      </c>
      <c r="B317" s="507">
        <f t="shared" si="16"/>
        <v>53359</v>
      </c>
      <c r="C317" s="7">
        <v>0</v>
      </c>
      <c r="D317" s="1145">
        <f t="shared" si="18"/>
        <v>2.4958999999999999E-2</v>
      </c>
      <c r="Q317" s="507">
        <f t="shared" si="17"/>
        <v>53359</v>
      </c>
      <c r="T317" s="344">
        <f ca="1">IF(ROUND(LOOKUP(Q317,Waterfalls!$6:$6,Waterfalls!$14:$14),0)&gt;0,1,0)*(D317+$H$4)</f>
        <v>0</v>
      </c>
      <c r="U317" s="508" t="str">
        <f ca="1">IF(T317&lt;&gt;0,LOOKUP(Q317,Waterfalls!$6:$6,Waterfalls!$14:$14),"")</f>
        <v/>
      </c>
      <c r="V317" s="508" t="str">
        <f ca="1">IF(T317&lt;&gt;0,-LOOKUP(Q317,Waterfalls!$6:$6,Waterfalls!$152:$152),"")</f>
        <v/>
      </c>
      <c r="X317" s="344">
        <f ca="1">IF(ROUND(LOOKUP($Q317,Waterfalls!$6:$6,Waterfalls!$21:$21),0)&gt;0,1,0)*($D317+$O$6)</f>
        <v>4.7459000000000001E-2</v>
      </c>
      <c r="Y317" s="508">
        <f ca="1">IF(X317&lt;&gt;0,LOOKUP($Q317,Waterfalls!$6:$6,Waterfalls!$21:$21),"")</f>
        <v>37715565.418264031</v>
      </c>
      <c r="Z317" s="508">
        <f ca="1">IF(X317&lt;&gt;0,-LOOKUP($Q317,Waterfalls!$6:$6,Waterfalls!$153:$153),"")</f>
        <v>266507.95792204805</v>
      </c>
    </row>
    <row r="318" spans="1:26" x14ac:dyDescent="0.3">
      <c r="A318" s="761">
        <f>IF(B318&gt;=DevBdgt!$E$7,LOOKUP(B318,DevBdgt!$7:$7,DevBdgt!$6:$6),"")</f>
        <v>132</v>
      </c>
      <c r="B318" s="507">
        <f t="shared" si="16"/>
        <v>53387</v>
      </c>
      <c r="C318" s="7">
        <v>0</v>
      </c>
      <c r="D318" s="1145">
        <f t="shared" si="18"/>
        <v>2.4958999999999999E-2</v>
      </c>
      <c r="Q318" s="507">
        <f t="shared" si="17"/>
        <v>53387</v>
      </c>
      <c r="T318" s="344">
        <f ca="1">IF(ROUND(LOOKUP(Q318,Waterfalls!$6:$6,Waterfalls!$14:$14),0)&gt;0,1,0)*(D318+$H$4)</f>
        <v>0</v>
      </c>
      <c r="U318" s="508" t="str">
        <f ca="1">IF(T318&lt;&gt;0,LOOKUP(Q318,Waterfalls!$6:$6,Waterfalls!$14:$14),"")</f>
        <v/>
      </c>
      <c r="V318" s="508" t="str">
        <f ca="1">IF(T318&lt;&gt;0,-LOOKUP(Q318,Waterfalls!$6:$6,Waterfalls!$152:$152),"")</f>
        <v/>
      </c>
      <c r="X318" s="344">
        <f ca="1">IF(ROUND(LOOKUP($Q318,Waterfalls!$6:$6,Waterfalls!$21:$21),0)&gt;0,1,0)*($D318+$O$6)</f>
        <v>4.7459000000000001E-2</v>
      </c>
      <c r="Y318" s="508">
        <f ca="1">IF(X318&lt;&gt;0,LOOKUP($Q318,Waterfalls!$6:$6,Waterfalls!$21:$21),"")</f>
        <v>37715565.418264031</v>
      </c>
      <c r="Z318" s="508">
        <f ca="1">IF(X318&lt;&gt;0,-LOOKUP($Q318,Waterfalls!$6:$6,Waterfalls!$153:$153),"")</f>
        <v>266507.95792204805</v>
      </c>
    </row>
    <row r="319" spans="1:26" x14ac:dyDescent="0.3">
      <c r="A319" s="761">
        <f>IF(B319&gt;=DevBdgt!$E$7,LOOKUP(B319,DevBdgt!$7:$7,DevBdgt!$6:$6),"")</f>
        <v>132</v>
      </c>
      <c r="B319" s="507">
        <f t="shared" si="16"/>
        <v>53418</v>
      </c>
      <c r="C319" s="7">
        <v>0</v>
      </c>
      <c r="D319" s="1145">
        <f t="shared" si="18"/>
        <v>2.4958999999999999E-2</v>
      </c>
      <c r="Q319" s="507">
        <f t="shared" si="17"/>
        <v>53418</v>
      </c>
      <c r="T319" s="344">
        <f ca="1">IF(ROUND(LOOKUP(Q319,Waterfalls!$6:$6,Waterfalls!$14:$14),0)&gt;0,1,0)*(D319+$H$4)</f>
        <v>0</v>
      </c>
      <c r="U319" s="508" t="str">
        <f ca="1">IF(T319&lt;&gt;0,LOOKUP(Q319,Waterfalls!$6:$6,Waterfalls!$14:$14),"")</f>
        <v/>
      </c>
      <c r="V319" s="508" t="str">
        <f ca="1">IF(T319&lt;&gt;0,-LOOKUP(Q319,Waterfalls!$6:$6,Waterfalls!$152:$152),"")</f>
        <v/>
      </c>
      <c r="X319" s="344">
        <f ca="1">IF(ROUND(LOOKUP($Q319,Waterfalls!$6:$6,Waterfalls!$21:$21),0)&gt;0,1,0)*($D319+$O$6)</f>
        <v>4.7459000000000001E-2</v>
      </c>
      <c r="Y319" s="508">
        <f ca="1">IF(X319&lt;&gt;0,LOOKUP($Q319,Waterfalls!$6:$6,Waterfalls!$21:$21),"")</f>
        <v>37715565.418264031</v>
      </c>
      <c r="Z319" s="508">
        <f ca="1">IF(X319&lt;&gt;0,-LOOKUP($Q319,Waterfalls!$6:$6,Waterfalls!$153:$153),"")</f>
        <v>266507.95792204805</v>
      </c>
    </row>
    <row r="320" spans="1:26" x14ac:dyDescent="0.3">
      <c r="A320" s="761">
        <f>IF(B320&gt;=DevBdgt!$E$7,LOOKUP(B320,DevBdgt!$7:$7,DevBdgt!$6:$6),"")</f>
        <v>132</v>
      </c>
      <c r="B320" s="507">
        <f t="shared" si="16"/>
        <v>53448</v>
      </c>
      <c r="C320" s="7">
        <v>0</v>
      </c>
      <c r="D320" s="1145">
        <f t="shared" si="18"/>
        <v>2.4958999999999999E-2</v>
      </c>
      <c r="Q320" s="507">
        <f t="shared" si="17"/>
        <v>53448</v>
      </c>
      <c r="T320" s="344">
        <f ca="1">IF(ROUND(LOOKUP(Q320,Waterfalls!$6:$6,Waterfalls!$14:$14),0)&gt;0,1,0)*(D320+$H$4)</f>
        <v>0</v>
      </c>
      <c r="U320" s="508" t="str">
        <f ca="1">IF(T320&lt;&gt;0,LOOKUP(Q320,Waterfalls!$6:$6,Waterfalls!$14:$14),"")</f>
        <v/>
      </c>
      <c r="V320" s="508" t="str">
        <f ca="1">IF(T320&lt;&gt;0,-LOOKUP(Q320,Waterfalls!$6:$6,Waterfalls!$152:$152),"")</f>
        <v/>
      </c>
      <c r="X320" s="344">
        <f ca="1">IF(ROUND(LOOKUP($Q320,Waterfalls!$6:$6,Waterfalls!$21:$21),0)&gt;0,1,0)*($D320+$O$6)</f>
        <v>4.7459000000000001E-2</v>
      </c>
      <c r="Y320" s="508">
        <f ca="1">IF(X320&lt;&gt;0,LOOKUP($Q320,Waterfalls!$6:$6,Waterfalls!$21:$21),"")</f>
        <v>37715565.418264031</v>
      </c>
      <c r="Z320" s="508">
        <f ca="1">IF(X320&lt;&gt;0,-LOOKUP($Q320,Waterfalls!$6:$6,Waterfalls!$153:$153),"")</f>
        <v>266507.95792204805</v>
      </c>
    </row>
    <row r="321" spans="1:26" x14ac:dyDescent="0.3">
      <c r="A321" s="761">
        <f>IF(B321&gt;=DevBdgt!$E$7,LOOKUP(B321,DevBdgt!$7:$7,DevBdgt!$6:$6),"")</f>
        <v>132</v>
      </c>
      <c r="B321" s="507">
        <f t="shared" si="16"/>
        <v>53479</v>
      </c>
      <c r="C321" s="7">
        <v>0</v>
      </c>
      <c r="D321" s="1145">
        <f t="shared" si="18"/>
        <v>2.4958999999999999E-2</v>
      </c>
      <c r="Q321" s="507">
        <f t="shared" si="17"/>
        <v>53479</v>
      </c>
      <c r="T321" s="344">
        <f ca="1">IF(ROUND(LOOKUP(Q321,Waterfalls!$6:$6,Waterfalls!$14:$14),0)&gt;0,1,0)*(D321+$H$4)</f>
        <v>0</v>
      </c>
      <c r="U321" s="508" t="str">
        <f ca="1">IF(T321&lt;&gt;0,LOOKUP(Q321,Waterfalls!$6:$6,Waterfalls!$14:$14),"")</f>
        <v/>
      </c>
      <c r="V321" s="508" t="str">
        <f ca="1">IF(T321&lt;&gt;0,-LOOKUP(Q321,Waterfalls!$6:$6,Waterfalls!$152:$152),"")</f>
        <v/>
      </c>
      <c r="X321" s="344">
        <f ca="1">IF(ROUND(LOOKUP($Q321,Waterfalls!$6:$6,Waterfalls!$21:$21),0)&gt;0,1,0)*($D321+$O$6)</f>
        <v>4.7459000000000001E-2</v>
      </c>
      <c r="Y321" s="508">
        <f ca="1">IF(X321&lt;&gt;0,LOOKUP($Q321,Waterfalls!$6:$6,Waterfalls!$21:$21),"")</f>
        <v>37715565.418264031</v>
      </c>
      <c r="Z321" s="508">
        <f ca="1">IF(X321&lt;&gt;0,-LOOKUP($Q321,Waterfalls!$6:$6,Waterfalls!$153:$153),"")</f>
        <v>266507.95792204805</v>
      </c>
    </row>
    <row r="322" spans="1:26" x14ac:dyDescent="0.3">
      <c r="A322" s="761">
        <f>IF(B322&gt;=DevBdgt!$E$7,LOOKUP(B322,DevBdgt!$7:$7,DevBdgt!$6:$6),"")</f>
        <v>132</v>
      </c>
      <c r="B322" s="507">
        <f t="shared" si="16"/>
        <v>53509</v>
      </c>
      <c r="C322" s="7">
        <v>0</v>
      </c>
      <c r="D322" s="1145">
        <f t="shared" si="18"/>
        <v>2.4958999999999999E-2</v>
      </c>
      <c r="Q322" s="507">
        <f t="shared" si="17"/>
        <v>53509</v>
      </c>
      <c r="T322" s="344">
        <f ca="1">IF(ROUND(LOOKUP(Q322,Waterfalls!$6:$6,Waterfalls!$14:$14),0)&gt;0,1,0)*(D322+$H$4)</f>
        <v>0</v>
      </c>
      <c r="U322" s="508" t="str">
        <f ca="1">IF(T322&lt;&gt;0,LOOKUP(Q322,Waterfalls!$6:$6,Waterfalls!$14:$14),"")</f>
        <v/>
      </c>
      <c r="V322" s="508" t="str">
        <f ca="1">IF(T322&lt;&gt;0,-LOOKUP(Q322,Waterfalls!$6:$6,Waterfalls!$152:$152),"")</f>
        <v/>
      </c>
      <c r="X322" s="344">
        <f ca="1">IF(ROUND(LOOKUP($Q322,Waterfalls!$6:$6,Waterfalls!$21:$21),0)&gt;0,1,0)*($D322+$O$6)</f>
        <v>4.7459000000000001E-2</v>
      </c>
      <c r="Y322" s="508">
        <f ca="1">IF(X322&lt;&gt;0,LOOKUP($Q322,Waterfalls!$6:$6,Waterfalls!$21:$21),"")</f>
        <v>37715565.418264031</v>
      </c>
      <c r="Z322" s="508">
        <f ca="1">IF(X322&lt;&gt;0,-LOOKUP($Q322,Waterfalls!$6:$6,Waterfalls!$153:$153),"")</f>
        <v>266507.95792204805</v>
      </c>
    </row>
    <row r="323" spans="1:26" x14ac:dyDescent="0.3">
      <c r="A323" s="761">
        <f>IF(B323&gt;=DevBdgt!$E$7,LOOKUP(B323,DevBdgt!$7:$7,DevBdgt!$6:$6),"")</f>
        <v>132</v>
      </c>
      <c r="B323" s="507">
        <f t="shared" si="16"/>
        <v>53540</v>
      </c>
      <c r="C323" s="7">
        <v>0</v>
      </c>
      <c r="D323" s="1145">
        <f t="shared" si="18"/>
        <v>2.4958999999999999E-2</v>
      </c>
      <c r="Q323" s="507">
        <f t="shared" si="17"/>
        <v>53540</v>
      </c>
      <c r="T323" s="344">
        <f ca="1">IF(ROUND(LOOKUP(Q323,Waterfalls!$6:$6,Waterfalls!$14:$14),0)&gt;0,1,0)*(D323+$H$4)</f>
        <v>0</v>
      </c>
      <c r="U323" s="508" t="str">
        <f ca="1">IF(T323&lt;&gt;0,LOOKUP(Q323,Waterfalls!$6:$6,Waterfalls!$14:$14),"")</f>
        <v/>
      </c>
      <c r="V323" s="508" t="str">
        <f ca="1">IF(T323&lt;&gt;0,-LOOKUP(Q323,Waterfalls!$6:$6,Waterfalls!$152:$152),"")</f>
        <v/>
      </c>
      <c r="X323" s="344">
        <f ca="1">IF(ROUND(LOOKUP($Q323,Waterfalls!$6:$6,Waterfalls!$21:$21),0)&gt;0,1,0)*($D323+$O$6)</f>
        <v>4.7459000000000001E-2</v>
      </c>
      <c r="Y323" s="508">
        <f ca="1">IF(X323&lt;&gt;0,LOOKUP($Q323,Waterfalls!$6:$6,Waterfalls!$21:$21),"")</f>
        <v>37715565.418264031</v>
      </c>
      <c r="Z323" s="508">
        <f ca="1">IF(X323&lt;&gt;0,-LOOKUP($Q323,Waterfalls!$6:$6,Waterfalls!$153:$153),"")</f>
        <v>266507.95792204805</v>
      </c>
    </row>
    <row r="324" spans="1:26" x14ac:dyDescent="0.3">
      <c r="A324" s="761">
        <f>IF(B324&gt;=DevBdgt!$E$7,LOOKUP(B324,DevBdgt!$7:$7,DevBdgt!$6:$6),"")</f>
        <v>132</v>
      </c>
      <c r="B324" s="507">
        <f t="shared" si="16"/>
        <v>53571</v>
      </c>
      <c r="C324" s="7">
        <v>0</v>
      </c>
      <c r="D324" s="1145">
        <f t="shared" si="18"/>
        <v>2.4958999999999999E-2</v>
      </c>
      <c r="Q324" s="507">
        <f t="shared" si="17"/>
        <v>53571</v>
      </c>
      <c r="T324" s="344">
        <f ca="1">IF(ROUND(LOOKUP(Q324,Waterfalls!$6:$6,Waterfalls!$14:$14),0)&gt;0,1,0)*(D324+$H$4)</f>
        <v>0</v>
      </c>
      <c r="U324" s="508" t="str">
        <f ca="1">IF(T324&lt;&gt;0,LOOKUP(Q324,Waterfalls!$6:$6,Waterfalls!$14:$14),"")</f>
        <v/>
      </c>
      <c r="V324" s="508" t="str">
        <f ca="1">IF(T324&lt;&gt;0,-LOOKUP(Q324,Waterfalls!$6:$6,Waterfalls!$152:$152),"")</f>
        <v/>
      </c>
      <c r="X324" s="344">
        <f ca="1">IF(ROUND(LOOKUP($Q324,Waterfalls!$6:$6,Waterfalls!$21:$21),0)&gt;0,1,0)*($D324+$O$6)</f>
        <v>4.7459000000000001E-2</v>
      </c>
      <c r="Y324" s="508">
        <f ca="1">IF(X324&lt;&gt;0,LOOKUP($Q324,Waterfalls!$6:$6,Waterfalls!$21:$21),"")</f>
        <v>37715565.418264031</v>
      </c>
      <c r="Z324" s="508">
        <f ca="1">IF(X324&lt;&gt;0,-LOOKUP($Q324,Waterfalls!$6:$6,Waterfalls!$153:$153),"")</f>
        <v>266507.95792204805</v>
      </c>
    </row>
    <row r="325" spans="1:26" x14ac:dyDescent="0.3">
      <c r="A325" s="761">
        <f>IF(B325&gt;=DevBdgt!$E$7,LOOKUP(B325,DevBdgt!$7:$7,DevBdgt!$6:$6),"")</f>
        <v>132</v>
      </c>
      <c r="B325" s="507">
        <f t="shared" si="16"/>
        <v>53601</v>
      </c>
      <c r="C325" s="7">
        <v>0</v>
      </c>
      <c r="D325" s="1145">
        <f t="shared" si="18"/>
        <v>2.4958999999999999E-2</v>
      </c>
      <c r="Q325" s="507">
        <f t="shared" si="17"/>
        <v>53601</v>
      </c>
      <c r="T325" s="344">
        <f ca="1">IF(ROUND(LOOKUP(Q325,Waterfalls!$6:$6,Waterfalls!$14:$14),0)&gt;0,1,0)*(D325+$H$4)</f>
        <v>0</v>
      </c>
      <c r="U325" s="508" t="str">
        <f ca="1">IF(T325&lt;&gt;0,LOOKUP(Q325,Waterfalls!$6:$6,Waterfalls!$14:$14),"")</f>
        <v/>
      </c>
      <c r="V325" s="508" t="str">
        <f ca="1">IF(T325&lt;&gt;0,-LOOKUP(Q325,Waterfalls!$6:$6,Waterfalls!$152:$152),"")</f>
        <v/>
      </c>
      <c r="X325" s="344">
        <f ca="1">IF(ROUND(LOOKUP($Q325,Waterfalls!$6:$6,Waterfalls!$21:$21),0)&gt;0,1,0)*($D325+$O$6)</f>
        <v>4.7459000000000001E-2</v>
      </c>
      <c r="Y325" s="508">
        <f ca="1">IF(X325&lt;&gt;0,LOOKUP($Q325,Waterfalls!$6:$6,Waterfalls!$21:$21),"")</f>
        <v>37715565.418264031</v>
      </c>
      <c r="Z325" s="508">
        <f ca="1">IF(X325&lt;&gt;0,-LOOKUP($Q325,Waterfalls!$6:$6,Waterfalls!$153:$153),"")</f>
        <v>266507.95792204805</v>
      </c>
    </row>
    <row r="326" spans="1:26" x14ac:dyDescent="0.3">
      <c r="A326" s="761">
        <f>IF(B326&gt;=DevBdgt!$E$7,LOOKUP(B326,DevBdgt!$7:$7,DevBdgt!$6:$6),"")</f>
        <v>132</v>
      </c>
      <c r="B326" s="507">
        <f t="shared" ref="B326:B389" si="19">EDATE(B325,1)</f>
        <v>53632</v>
      </c>
      <c r="C326" s="7">
        <v>0</v>
      </c>
      <c r="D326" s="1145">
        <f t="shared" si="18"/>
        <v>2.4958999999999999E-2</v>
      </c>
      <c r="Q326" s="507">
        <f t="shared" si="17"/>
        <v>53632</v>
      </c>
      <c r="T326" s="344">
        <f ca="1">IF(ROUND(LOOKUP(Q326,Waterfalls!$6:$6,Waterfalls!$14:$14),0)&gt;0,1,0)*(D326+$H$4)</f>
        <v>0</v>
      </c>
      <c r="U326" s="508" t="str">
        <f ca="1">IF(T326&lt;&gt;0,LOOKUP(Q326,Waterfalls!$6:$6,Waterfalls!$14:$14),"")</f>
        <v/>
      </c>
      <c r="V326" s="508" t="str">
        <f ca="1">IF(T326&lt;&gt;0,-LOOKUP(Q326,Waterfalls!$6:$6,Waterfalls!$152:$152),"")</f>
        <v/>
      </c>
      <c r="X326" s="344">
        <f ca="1">IF(ROUND(LOOKUP($Q326,Waterfalls!$6:$6,Waterfalls!$21:$21),0)&gt;0,1,0)*($D326+$O$6)</f>
        <v>4.7459000000000001E-2</v>
      </c>
      <c r="Y326" s="508">
        <f ca="1">IF(X326&lt;&gt;0,LOOKUP($Q326,Waterfalls!$6:$6,Waterfalls!$21:$21),"")</f>
        <v>37715565.418264031</v>
      </c>
      <c r="Z326" s="508">
        <f ca="1">IF(X326&lt;&gt;0,-LOOKUP($Q326,Waterfalls!$6:$6,Waterfalls!$153:$153),"")</f>
        <v>266507.95792204805</v>
      </c>
    </row>
    <row r="327" spans="1:26" x14ac:dyDescent="0.3">
      <c r="A327" s="761">
        <f>IF(B327&gt;=DevBdgt!$E$7,LOOKUP(B327,DevBdgt!$7:$7,DevBdgt!$6:$6),"")</f>
        <v>132</v>
      </c>
      <c r="B327" s="507">
        <f t="shared" si="19"/>
        <v>53662</v>
      </c>
      <c r="C327" s="7">
        <v>0</v>
      </c>
      <c r="D327" s="1145">
        <f t="shared" si="18"/>
        <v>2.4958999999999999E-2</v>
      </c>
      <c r="Q327" s="507">
        <f t="shared" si="17"/>
        <v>53662</v>
      </c>
      <c r="T327" s="344">
        <f ca="1">IF(ROUND(LOOKUP(Q327,Waterfalls!$6:$6,Waterfalls!$14:$14),0)&gt;0,1,0)*(D327+$H$4)</f>
        <v>0</v>
      </c>
      <c r="U327" s="508" t="str">
        <f ca="1">IF(T327&lt;&gt;0,LOOKUP(Q327,Waterfalls!$6:$6,Waterfalls!$14:$14),"")</f>
        <v/>
      </c>
      <c r="V327" s="508" t="str">
        <f ca="1">IF(T327&lt;&gt;0,-LOOKUP(Q327,Waterfalls!$6:$6,Waterfalls!$152:$152),"")</f>
        <v/>
      </c>
      <c r="X327" s="344">
        <f ca="1">IF(ROUND(LOOKUP($Q327,Waterfalls!$6:$6,Waterfalls!$21:$21),0)&gt;0,1,0)*($D327+$O$6)</f>
        <v>4.7459000000000001E-2</v>
      </c>
      <c r="Y327" s="508">
        <f ca="1">IF(X327&lt;&gt;0,LOOKUP($Q327,Waterfalls!$6:$6,Waterfalls!$21:$21),"")</f>
        <v>37715565.418264031</v>
      </c>
      <c r="Z327" s="508">
        <f ca="1">IF(X327&lt;&gt;0,-LOOKUP($Q327,Waterfalls!$6:$6,Waterfalls!$153:$153),"")</f>
        <v>266507.95792204805</v>
      </c>
    </row>
    <row r="328" spans="1:26" x14ac:dyDescent="0.3">
      <c r="A328" s="761">
        <f>IF(B328&gt;=DevBdgt!$E$7,LOOKUP(B328,DevBdgt!$7:$7,DevBdgt!$6:$6),"")</f>
        <v>132</v>
      </c>
      <c r="B328" s="507">
        <f t="shared" si="19"/>
        <v>53693</v>
      </c>
      <c r="C328" s="7">
        <v>0</v>
      </c>
      <c r="D328" s="1145">
        <f t="shared" si="18"/>
        <v>2.4958999999999999E-2</v>
      </c>
      <c r="Q328" s="507">
        <f t="shared" si="17"/>
        <v>53693</v>
      </c>
      <c r="T328" s="344">
        <f ca="1">IF(ROUND(LOOKUP(Q328,Waterfalls!$6:$6,Waterfalls!$14:$14),0)&gt;0,1,0)*(D328+$H$4)</f>
        <v>0</v>
      </c>
      <c r="U328" s="508" t="str">
        <f ca="1">IF(T328&lt;&gt;0,LOOKUP(Q328,Waterfalls!$6:$6,Waterfalls!$14:$14),"")</f>
        <v/>
      </c>
      <c r="V328" s="508" t="str">
        <f ca="1">IF(T328&lt;&gt;0,-LOOKUP(Q328,Waterfalls!$6:$6,Waterfalls!$152:$152),"")</f>
        <v/>
      </c>
      <c r="X328" s="344">
        <f ca="1">IF(ROUND(LOOKUP($Q328,Waterfalls!$6:$6,Waterfalls!$21:$21),0)&gt;0,1,0)*($D328+$O$6)</f>
        <v>4.7459000000000001E-2</v>
      </c>
      <c r="Y328" s="508">
        <f ca="1">IF(X328&lt;&gt;0,LOOKUP($Q328,Waterfalls!$6:$6,Waterfalls!$21:$21),"")</f>
        <v>37715565.418264031</v>
      </c>
      <c r="Z328" s="508">
        <f ca="1">IF(X328&lt;&gt;0,-LOOKUP($Q328,Waterfalls!$6:$6,Waterfalls!$153:$153),"")</f>
        <v>266507.95792204805</v>
      </c>
    </row>
    <row r="329" spans="1:26" x14ac:dyDescent="0.3">
      <c r="A329" s="761">
        <f>IF(B329&gt;=DevBdgt!$E$7,LOOKUP(B329,DevBdgt!$7:$7,DevBdgt!$6:$6),"")</f>
        <v>132</v>
      </c>
      <c r="B329" s="507">
        <f t="shared" si="19"/>
        <v>53724</v>
      </c>
      <c r="C329" s="7">
        <v>0</v>
      </c>
      <c r="D329" s="1145">
        <f t="shared" si="18"/>
        <v>2.4958999999999999E-2</v>
      </c>
      <c r="Q329" s="507">
        <f t="shared" si="17"/>
        <v>53724</v>
      </c>
      <c r="T329" s="344">
        <f ca="1">IF(ROUND(LOOKUP(Q329,Waterfalls!$6:$6,Waterfalls!$14:$14),0)&gt;0,1,0)*(D329+$H$4)</f>
        <v>0</v>
      </c>
      <c r="U329" s="508" t="str">
        <f ca="1">IF(T329&lt;&gt;0,LOOKUP(Q329,Waterfalls!$6:$6,Waterfalls!$14:$14),"")</f>
        <v/>
      </c>
      <c r="V329" s="508" t="str">
        <f ca="1">IF(T329&lt;&gt;0,-LOOKUP(Q329,Waterfalls!$6:$6,Waterfalls!$152:$152),"")</f>
        <v/>
      </c>
      <c r="X329" s="344">
        <f ca="1">IF(ROUND(LOOKUP($Q329,Waterfalls!$6:$6,Waterfalls!$21:$21),0)&gt;0,1,0)*($D329+$O$6)</f>
        <v>4.7459000000000001E-2</v>
      </c>
      <c r="Y329" s="508">
        <f ca="1">IF(X329&lt;&gt;0,LOOKUP($Q329,Waterfalls!$6:$6,Waterfalls!$21:$21),"")</f>
        <v>37715565.418264031</v>
      </c>
      <c r="Z329" s="508">
        <f ca="1">IF(X329&lt;&gt;0,-LOOKUP($Q329,Waterfalls!$6:$6,Waterfalls!$153:$153),"")</f>
        <v>266507.95792204805</v>
      </c>
    </row>
    <row r="330" spans="1:26" x14ac:dyDescent="0.3">
      <c r="A330" s="761">
        <f>IF(B330&gt;=DevBdgt!$E$7,LOOKUP(B330,DevBdgt!$7:$7,DevBdgt!$6:$6),"")</f>
        <v>132</v>
      </c>
      <c r="B330" s="507">
        <f t="shared" si="19"/>
        <v>53752</v>
      </c>
      <c r="C330" s="7">
        <v>0</v>
      </c>
      <c r="D330" s="1145">
        <f t="shared" si="18"/>
        <v>2.4958999999999999E-2</v>
      </c>
      <c r="Q330" s="507">
        <f t="shared" si="17"/>
        <v>53752</v>
      </c>
      <c r="T330" s="344">
        <f ca="1">IF(ROUND(LOOKUP(Q330,Waterfalls!$6:$6,Waterfalls!$14:$14),0)&gt;0,1,0)*(D330+$H$4)</f>
        <v>0</v>
      </c>
      <c r="U330" s="508" t="str">
        <f ca="1">IF(T330&lt;&gt;0,LOOKUP(Q330,Waterfalls!$6:$6,Waterfalls!$14:$14),"")</f>
        <v/>
      </c>
      <c r="V330" s="508" t="str">
        <f ca="1">IF(T330&lt;&gt;0,-LOOKUP(Q330,Waterfalls!$6:$6,Waterfalls!$152:$152),"")</f>
        <v/>
      </c>
      <c r="X330" s="344">
        <f ca="1">IF(ROUND(LOOKUP($Q330,Waterfalls!$6:$6,Waterfalls!$21:$21),0)&gt;0,1,0)*($D330+$O$6)</f>
        <v>4.7459000000000001E-2</v>
      </c>
      <c r="Y330" s="508">
        <f ca="1">IF(X330&lt;&gt;0,LOOKUP($Q330,Waterfalls!$6:$6,Waterfalls!$21:$21),"")</f>
        <v>37715565.418264031</v>
      </c>
      <c r="Z330" s="508">
        <f ca="1">IF(X330&lt;&gt;0,-LOOKUP($Q330,Waterfalls!$6:$6,Waterfalls!$153:$153),"")</f>
        <v>266507.95792204805</v>
      </c>
    </row>
    <row r="331" spans="1:26" x14ac:dyDescent="0.3">
      <c r="A331" s="761">
        <f>IF(B331&gt;=DevBdgt!$E$7,LOOKUP(B331,DevBdgt!$7:$7,DevBdgt!$6:$6),"")</f>
        <v>132</v>
      </c>
      <c r="B331" s="507">
        <f t="shared" si="19"/>
        <v>53783</v>
      </c>
      <c r="C331" s="7">
        <v>0</v>
      </c>
      <c r="D331" s="1145">
        <f t="shared" si="18"/>
        <v>2.4958999999999999E-2</v>
      </c>
      <c r="Q331" s="507">
        <f t="shared" si="17"/>
        <v>53783</v>
      </c>
      <c r="T331" s="344">
        <f ca="1">IF(ROUND(LOOKUP(Q331,Waterfalls!$6:$6,Waterfalls!$14:$14),0)&gt;0,1,0)*(D331+$H$4)</f>
        <v>0</v>
      </c>
      <c r="U331" s="508" t="str">
        <f ca="1">IF(T331&lt;&gt;0,LOOKUP(Q331,Waterfalls!$6:$6,Waterfalls!$14:$14),"")</f>
        <v/>
      </c>
      <c r="V331" s="508" t="str">
        <f ca="1">IF(T331&lt;&gt;0,-LOOKUP(Q331,Waterfalls!$6:$6,Waterfalls!$152:$152),"")</f>
        <v/>
      </c>
      <c r="X331" s="344">
        <f ca="1">IF(ROUND(LOOKUP($Q331,Waterfalls!$6:$6,Waterfalls!$21:$21),0)&gt;0,1,0)*($D331+$O$6)</f>
        <v>4.7459000000000001E-2</v>
      </c>
      <c r="Y331" s="508">
        <f ca="1">IF(X331&lt;&gt;0,LOOKUP($Q331,Waterfalls!$6:$6,Waterfalls!$21:$21),"")</f>
        <v>37715565.418264031</v>
      </c>
      <c r="Z331" s="508">
        <f ca="1">IF(X331&lt;&gt;0,-LOOKUP($Q331,Waterfalls!$6:$6,Waterfalls!$153:$153),"")</f>
        <v>266507.95792204805</v>
      </c>
    </row>
    <row r="332" spans="1:26" x14ac:dyDescent="0.3">
      <c r="A332" s="761">
        <f>IF(B332&gt;=DevBdgt!$E$7,LOOKUP(B332,DevBdgt!$7:$7,DevBdgt!$6:$6),"")</f>
        <v>132</v>
      </c>
      <c r="B332" s="507">
        <f t="shared" si="19"/>
        <v>53813</v>
      </c>
      <c r="C332" s="7">
        <v>0</v>
      </c>
      <c r="D332" s="1145">
        <f t="shared" si="18"/>
        <v>2.4958999999999999E-2</v>
      </c>
      <c r="Q332" s="507">
        <f t="shared" si="17"/>
        <v>53813</v>
      </c>
      <c r="T332" s="344">
        <f ca="1">IF(ROUND(LOOKUP(Q332,Waterfalls!$6:$6,Waterfalls!$14:$14),0)&gt;0,1,0)*(D332+$H$4)</f>
        <v>0</v>
      </c>
      <c r="U332" s="508" t="str">
        <f ca="1">IF(T332&lt;&gt;0,LOOKUP(Q332,Waterfalls!$6:$6,Waterfalls!$14:$14),"")</f>
        <v/>
      </c>
      <c r="V332" s="508" t="str">
        <f ca="1">IF(T332&lt;&gt;0,-LOOKUP(Q332,Waterfalls!$6:$6,Waterfalls!$152:$152),"")</f>
        <v/>
      </c>
      <c r="X332" s="344">
        <f ca="1">IF(ROUND(LOOKUP($Q332,Waterfalls!$6:$6,Waterfalls!$21:$21),0)&gt;0,1,0)*($D332+$O$6)</f>
        <v>4.7459000000000001E-2</v>
      </c>
      <c r="Y332" s="508">
        <f ca="1">IF(X332&lt;&gt;0,LOOKUP($Q332,Waterfalls!$6:$6,Waterfalls!$21:$21),"")</f>
        <v>37715565.418264031</v>
      </c>
      <c r="Z332" s="508">
        <f ca="1">IF(X332&lt;&gt;0,-LOOKUP($Q332,Waterfalls!$6:$6,Waterfalls!$153:$153),"")</f>
        <v>266507.95792204805</v>
      </c>
    </row>
    <row r="333" spans="1:26" x14ac:dyDescent="0.3">
      <c r="A333" s="761">
        <f>IF(B333&gt;=DevBdgt!$E$7,LOOKUP(B333,DevBdgt!$7:$7,DevBdgt!$6:$6),"")</f>
        <v>132</v>
      </c>
      <c r="B333" s="507">
        <f t="shared" si="19"/>
        <v>53844</v>
      </c>
      <c r="C333" s="7">
        <v>0</v>
      </c>
      <c r="D333" s="1145">
        <f t="shared" si="18"/>
        <v>2.4958999999999999E-2</v>
      </c>
      <c r="Q333" s="507">
        <f t="shared" si="17"/>
        <v>53844</v>
      </c>
      <c r="T333" s="344">
        <f ca="1">IF(ROUND(LOOKUP(Q333,Waterfalls!$6:$6,Waterfalls!$14:$14),0)&gt;0,1,0)*(D333+$H$4)</f>
        <v>0</v>
      </c>
      <c r="U333" s="508" t="str">
        <f ca="1">IF(T333&lt;&gt;0,LOOKUP(Q333,Waterfalls!$6:$6,Waterfalls!$14:$14),"")</f>
        <v/>
      </c>
      <c r="V333" s="508" t="str">
        <f ca="1">IF(T333&lt;&gt;0,-LOOKUP(Q333,Waterfalls!$6:$6,Waterfalls!$152:$152),"")</f>
        <v/>
      </c>
      <c r="X333" s="344">
        <f ca="1">IF(ROUND(LOOKUP($Q333,Waterfalls!$6:$6,Waterfalls!$21:$21),0)&gt;0,1,0)*($D333+$O$6)</f>
        <v>4.7459000000000001E-2</v>
      </c>
      <c r="Y333" s="508">
        <f ca="1">IF(X333&lt;&gt;0,LOOKUP($Q333,Waterfalls!$6:$6,Waterfalls!$21:$21),"")</f>
        <v>37715565.418264031</v>
      </c>
      <c r="Z333" s="508">
        <f ca="1">IF(X333&lt;&gt;0,-LOOKUP($Q333,Waterfalls!$6:$6,Waterfalls!$153:$153),"")</f>
        <v>266507.95792204805</v>
      </c>
    </row>
    <row r="334" spans="1:26" x14ac:dyDescent="0.3">
      <c r="A334" s="761">
        <f>IF(B334&gt;=DevBdgt!$E$7,LOOKUP(B334,DevBdgt!$7:$7,DevBdgt!$6:$6),"")</f>
        <v>132</v>
      </c>
      <c r="B334" s="507">
        <f t="shared" si="19"/>
        <v>53874</v>
      </c>
      <c r="C334" s="7">
        <v>0</v>
      </c>
      <c r="D334" s="1145">
        <f t="shared" si="18"/>
        <v>2.4958999999999999E-2</v>
      </c>
      <c r="Q334" s="507">
        <f t="shared" si="17"/>
        <v>53874</v>
      </c>
      <c r="T334" s="344">
        <f ca="1">IF(ROUND(LOOKUP(Q334,Waterfalls!$6:$6,Waterfalls!$14:$14),0)&gt;0,1,0)*(D334+$H$4)</f>
        <v>0</v>
      </c>
      <c r="U334" s="508" t="str">
        <f ca="1">IF(T334&lt;&gt;0,LOOKUP(Q334,Waterfalls!$6:$6,Waterfalls!$14:$14),"")</f>
        <v/>
      </c>
      <c r="V334" s="508" t="str">
        <f ca="1">IF(T334&lt;&gt;0,-LOOKUP(Q334,Waterfalls!$6:$6,Waterfalls!$152:$152),"")</f>
        <v/>
      </c>
      <c r="X334" s="344">
        <f ca="1">IF(ROUND(LOOKUP($Q334,Waterfalls!$6:$6,Waterfalls!$21:$21),0)&gt;0,1,0)*($D334+$O$6)</f>
        <v>4.7459000000000001E-2</v>
      </c>
      <c r="Y334" s="508">
        <f ca="1">IF(X334&lt;&gt;0,LOOKUP($Q334,Waterfalls!$6:$6,Waterfalls!$21:$21),"")</f>
        <v>37715565.418264031</v>
      </c>
      <c r="Z334" s="508">
        <f ca="1">IF(X334&lt;&gt;0,-LOOKUP($Q334,Waterfalls!$6:$6,Waterfalls!$153:$153),"")</f>
        <v>266507.95792204805</v>
      </c>
    </row>
    <row r="335" spans="1:26" x14ac:dyDescent="0.3">
      <c r="A335" s="761">
        <f>IF(B335&gt;=DevBdgt!$E$7,LOOKUP(B335,DevBdgt!$7:$7,DevBdgt!$6:$6),"")</f>
        <v>132</v>
      </c>
      <c r="B335" s="507">
        <f t="shared" si="19"/>
        <v>53905</v>
      </c>
      <c r="C335" s="7">
        <v>0</v>
      </c>
      <c r="D335" s="1145">
        <f t="shared" si="18"/>
        <v>2.4958999999999999E-2</v>
      </c>
      <c r="Q335" s="507">
        <f t="shared" si="17"/>
        <v>53905</v>
      </c>
      <c r="T335" s="344">
        <f ca="1">IF(ROUND(LOOKUP(Q335,Waterfalls!$6:$6,Waterfalls!$14:$14),0)&gt;0,1,0)*(D335+$H$4)</f>
        <v>0</v>
      </c>
      <c r="U335" s="508" t="str">
        <f ca="1">IF(T335&lt;&gt;0,LOOKUP(Q335,Waterfalls!$6:$6,Waterfalls!$14:$14),"")</f>
        <v/>
      </c>
      <c r="V335" s="508" t="str">
        <f ca="1">IF(T335&lt;&gt;0,-LOOKUP(Q335,Waterfalls!$6:$6,Waterfalls!$152:$152),"")</f>
        <v/>
      </c>
      <c r="X335" s="344">
        <f ca="1">IF(ROUND(LOOKUP($Q335,Waterfalls!$6:$6,Waterfalls!$21:$21),0)&gt;0,1,0)*($D335+$O$6)</f>
        <v>4.7459000000000001E-2</v>
      </c>
      <c r="Y335" s="508">
        <f ca="1">IF(X335&lt;&gt;0,LOOKUP($Q335,Waterfalls!$6:$6,Waterfalls!$21:$21),"")</f>
        <v>37715565.418264031</v>
      </c>
      <c r="Z335" s="508">
        <f ca="1">IF(X335&lt;&gt;0,-LOOKUP($Q335,Waterfalls!$6:$6,Waterfalls!$153:$153),"")</f>
        <v>266507.95792204805</v>
      </c>
    </row>
    <row r="336" spans="1:26" x14ac:dyDescent="0.3">
      <c r="A336" s="761">
        <f>IF(B336&gt;=DevBdgt!$E$7,LOOKUP(B336,DevBdgt!$7:$7,DevBdgt!$6:$6),"")</f>
        <v>132</v>
      </c>
      <c r="B336" s="507">
        <f t="shared" si="19"/>
        <v>53936</v>
      </c>
      <c r="C336" s="7">
        <v>0</v>
      </c>
      <c r="D336" s="1145">
        <f t="shared" si="18"/>
        <v>2.4958999999999999E-2</v>
      </c>
      <c r="Q336" s="507">
        <f t="shared" si="17"/>
        <v>53936</v>
      </c>
      <c r="T336" s="344">
        <f ca="1">IF(ROUND(LOOKUP(Q336,Waterfalls!$6:$6,Waterfalls!$14:$14),0)&gt;0,1,0)*(D336+$H$4)</f>
        <v>0</v>
      </c>
      <c r="U336" s="508" t="str">
        <f ca="1">IF(T336&lt;&gt;0,LOOKUP(Q336,Waterfalls!$6:$6,Waterfalls!$14:$14),"")</f>
        <v/>
      </c>
      <c r="V336" s="508" t="str">
        <f ca="1">IF(T336&lt;&gt;0,-LOOKUP(Q336,Waterfalls!$6:$6,Waterfalls!$152:$152),"")</f>
        <v/>
      </c>
      <c r="X336" s="344">
        <f ca="1">IF(ROUND(LOOKUP($Q336,Waterfalls!$6:$6,Waterfalls!$21:$21),0)&gt;0,1,0)*($D336+$O$6)</f>
        <v>4.7459000000000001E-2</v>
      </c>
      <c r="Y336" s="508">
        <f ca="1">IF(X336&lt;&gt;0,LOOKUP($Q336,Waterfalls!$6:$6,Waterfalls!$21:$21),"")</f>
        <v>37715565.418264031</v>
      </c>
      <c r="Z336" s="508">
        <f ca="1">IF(X336&lt;&gt;0,-LOOKUP($Q336,Waterfalls!$6:$6,Waterfalls!$153:$153),"")</f>
        <v>266507.95792204805</v>
      </c>
    </row>
    <row r="337" spans="1:26" x14ac:dyDescent="0.3">
      <c r="A337" s="761">
        <f>IF(B337&gt;=DevBdgt!$E$7,LOOKUP(B337,DevBdgt!$7:$7,DevBdgt!$6:$6),"")</f>
        <v>132</v>
      </c>
      <c r="B337" s="507">
        <f t="shared" si="19"/>
        <v>53966</v>
      </c>
      <c r="C337" s="7">
        <v>0</v>
      </c>
      <c r="D337" s="1145">
        <f t="shared" si="18"/>
        <v>2.4958999999999999E-2</v>
      </c>
      <c r="Q337" s="507">
        <f t="shared" si="17"/>
        <v>53966</v>
      </c>
      <c r="T337" s="344">
        <f ca="1">IF(ROUND(LOOKUP(Q337,Waterfalls!$6:$6,Waterfalls!$14:$14),0)&gt;0,1,0)*(D337+$H$4)</f>
        <v>0</v>
      </c>
      <c r="U337" s="508" t="str">
        <f ca="1">IF(T337&lt;&gt;0,LOOKUP(Q337,Waterfalls!$6:$6,Waterfalls!$14:$14),"")</f>
        <v/>
      </c>
      <c r="V337" s="508" t="str">
        <f ca="1">IF(T337&lt;&gt;0,-LOOKUP(Q337,Waterfalls!$6:$6,Waterfalls!$152:$152),"")</f>
        <v/>
      </c>
      <c r="X337" s="344">
        <f ca="1">IF(ROUND(LOOKUP($Q337,Waterfalls!$6:$6,Waterfalls!$21:$21),0)&gt;0,1,0)*($D337+$O$6)</f>
        <v>4.7459000000000001E-2</v>
      </c>
      <c r="Y337" s="508">
        <f ca="1">IF(X337&lt;&gt;0,LOOKUP($Q337,Waterfalls!$6:$6,Waterfalls!$21:$21),"")</f>
        <v>37715565.418264031</v>
      </c>
      <c r="Z337" s="508">
        <f ca="1">IF(X337&lt;&gt;0,-LOOKUP($Q337,Waterfalls!$6:$6,Waterfalls!$153:$153),"")</f>
        <v>266507.95792204805</v>
      </c>
    </row>
    <row r="338" spans="1:26" x14ac:dyDescent="0.3">
      <c r="A338" s="761">
        <f>IF(B338&gt;=DevBdgt!$E$7,LOOKUP(B338,DevBdgt!$7:$7,DevBdgt!$6:$6),"")</f>
        <v>132</v>
      </c>
      <c r="B338" s="507">
        <f t="shared" si="19"/>
        <v>53997</v>
      </c>
      <c r="C338" s="7">
        <v>0</v>
      </c>
      <c r="D338" s="1145">
        <f t="shared" si="18"/>
        <v>2.4958999999999999E-2</v>
      </c>
      <c r="Q338" s="507">
        <f t="shared" si="17"/>
        <v>53997</v>
      </c>
      <c r="T338" s="344">
        <f ca="1">IF(ROUND(LOOKUP(Q338,Waterfalls!$6:$6,Waterfalls!$14:$14),0)&gt;0,1,0)*(D338+$H$4)</f>
        <v>0</v>
      </c>
      <c r="U338" s="508" t="str">
        <f ca="1">IF(T338&lt;&gt;0,LOOKUP(Q338,Waterfalls!$6:$6,Waterfalls!$14:$14),"")</f>
        <v/>
      </c>
      <c r="V338" s="508" t="str">
        <f ca="1">IF(T338&lt;&gt;0,-LOOKUP(Q338,Waterfalls!$6:$6,Waterfalls!$152:$152),"")</f>
        <v/>
      </c>
      <c r="X338" s="344">
        <f ca="1">IF(ROUND(LOOKUP($Q338,Waterfalls!$6:$6,Waterfalls!$21:$21),0)&gt;0,1,0)*($D338+$O$6)</f>
        <v>4.7459000000000001E-2</v>
      </c>
      <c r="Y338" s="508">
        <f ca="1">IF(X338&lt;&gt;0,LOOKUP($Q338,Waterfalls!$6:$6,Waterfalls!$21:$21),"")</f>
        <v>37715565.418264031</v>
      </c>
      <c r="Z338" s="508">
        <f ca="1">IF(X338&lt;&gt;0,-LOOKUP($Q338,Waterfalls!$6:$6,Waterfalls!$153:$153),"")</f>
        <v>266507.95792204805</v>
      </c>
    </row>
    <row r="339" spans="1:26" x14ac:dyDescent="0.3">
      <c r="A339" s="761">
        <f>IF(B339&gt;=DevBdgt!$E$7,LOOKUP(B339,DevBdgt!$7:$7,DevBdgt!$6:$6),"")</f>
        <v>132</v>
      </c>
      <c r="B339" s="507">
        <f t="shared" si="19"/>
        <v>54027</v>
      </c>
      <c r="C339" s="7">
        <v>0</v>
      </c>
      <c r="D339" s="1145">
        <f t="shared" si="18"/>
        <v>2.4958999999999999E-2</v>
      </c>
      <c r="Q339" s="507">
        <f t="shared" ref="Q339:Q402" si="20">EOMONTH(B339,-1)+1</f>
        <v>54027</v>
      </c>
      <c r="T339" s="344">
        <f ca="1">IF(ROUND(LOOKUP(Q339,Waterfalls!$6:$6,Waterfalls!$14:$14),0)&gt;0,1,0)*(D339+$H$4)</f>
        <v>0</v>
      </c>
      <c r="U339" s="508" t="str">
        <f ca="1">IF(T339&lt;&gt;0,LOOKUP(Q339,Waterfalls!$6:$6,Waterfalls!$14:$14),"")</f>
        <v/>
      </c>
      <c r="V339" s="508" t="str">
        <f ca="1">IF(T339&lt;&gt;0,-LOOKUP(Q339,Waterfalls!$6:$6,Waterfalls!$152:$152),"")</f>
        <v/>
      </c>
      <c r="X339" s="344">
        <f ca="1">IF(ROUND(LOOKUP($Q339,Waterfalls!$6:$6,Waterfalls!$21:$21),0)&gt;0,1,0)*($D339+$O$6)</f>
        <v>4.7459000000000001E-2</v>
      </c>
      <c r="Y339" s="508">
        <f ca="1">IF(X339&lt;&gt;0,LOOKUP($Q339,Waterfalls!$6:$6,Waterfalls!$21:$21),"")</f>
        <v>37715565.418264031</v>
      </c>
      <c r="Z339" s="508">
        <f ca="1">IF(X339&lt;&gt;0,-LOOKUP($Q339,Waterfalls!$6:$6,Waterfalls!$153:$153),"")</f>
        <v>266507.95792204805</v>
      </c>
    </row>
    <row r="340" spans="1:26" x14ac:dyDescent="0.3">
      <c r="A340" s="761">
        <f>IF(B340&gt;=DevBdgt!$E$7,LOOKUP(B340,DevBdgt!$7:$7,DevBdgt!$6:$6),"")</f>
        <v>132</v>
      </c>
      <c r="B340" s="507">
        <f t="shared" si="19"/>
        <v>54058</v>
      </c>
      <c r="C340" s="7">
        <v>0</v>
      </c>
      <c r="D340" s="1145">
        <f t="shared" si="18"/>
        <v>2.4958999999999999E-2</v>
      </c>
      <c r="Q340" s="507">
        <f t="shared" si="20"/>
        <v>54058</v>
      </c>
      <c r="T340" s="344">
        <f ca="1">IF(ROUND(LOOKUP(Q340,Waterfalls!$6:$6,Waterfalls!$14:$14),0)&gt;0,1,0)*(D340+$H$4)</f>
        <v>0</v>
      </c>
      <c r="U340" s="508" t="str">
        <f ca="1">IF(T340&lt;&gt;0,LOOKUP(Q340,Waterfalls!$6:$6,Waterfalls!$14:$14),"")</f>
        <v/>
      </c>
      <c r="V340" s="508" t="str">
        <f ca="1">IF(T340&lt;&gt;0,-LOOKUP(Q340,Waterfalls!$6:$6,Waterfalls!$152:$152),"")</f>
        <v/>
      </c>
      <c r="X340" s="344">
        <f ca="1">IF(ROUND(LOOKUP($Q340,Waterfalls!$6:$6,Waterfalls!$21:$21),0)&gt;0,1,0)*($D340+$O$6)</f>
        <v>4.7459000000000001E-2</v>
      </c>
      <c r="Y340" s="508">
        <f ca="1">IF(X340&lt;&gt;0,LOOKUP($Q340,Waterfalls!$6:$6,Waterfalls!$21:$21),"")</f>
        <v>37715565.418264031</v>
      </c>
      <c r="Z340" s="508">
        <f ca="1">IF(X340&lt;&gt;0,-LOOKUP($Q340,Waterfalls!$6:$6,Waterfalls!$153:$153),"")</f>
        <v>266507.95792204805</v>
      </c>
    </row>
    <row r="341" spans="1:26" x14ac:dyDescent="0.3">
      <c r="A341" s="761">
        <f>IF(B341&gt;=DevBdgt!$E$7,LOOKUP(B341,DevBdgt!$7:$7,DevBdgt!$6:$6),"")</f>
        <v>132</v>
      </c>
      <c r="B341" s="507">
        <f t="shared" si="19"/>
        <v>54089</v>
      </c>
      <c r="C341" s="7">
        <v>0</v>
      </c>
      <c r="D341" s="1145">
        <f t="shared" si="18"/>
        <v>2.4958999999999999E-2</v>
      </c>
      <c r="Q341" s="507">
        <f t="shared" si="20"/>
        <v>54089</v>
      </c>
      <c r="T341" s="344">
        <f ca="1">IF(ROUND(LOOKUP(Q341,Waterfalls!$6:$6,Waterfalls!$14:$14),0)&gt;0,1,0)*(D341+$H$4)</f>
        <v>0</v>
      </c>
      <c r="U341" s="508" t="str">
        <f ca="1">IF(T341&lt;&gt;0,LOOKUP(Q341,Waterfalls!$6:$6,Waterfalls!$14:$14),"")</f>
        <v/>
      </c>
      <c r="V341" s="508" t="str">
        <f ca="1">IF(T341&lt;&gt;0,-LOOKUP(Q341,Waterfalls!$6:$6,Waterfalls!$152:$152),"")</f>
        <v/>
      </c>
      <c r="X341" s="344">
        <f ca="1">IF(ROUND(LOOKUP($Q341,Waterfalls!$6:$6,Waterfalls!$21:$21),0)&gt;0,1,0)*($D341+$O$6)</f>
        <v>4.7459000000000001E-2</v>
      </c>
      <c r="Y341" s="508">
        <f ca="1">IF(X341&lt;&gt;0,LOOKUP($Q341,Waterfalls!$6:$6,Waterfalls!$21:$21),"")</f>
        <v>37715565.418264031</v>
      </c>
      <c r="Z341" s="508">
        <f ca="1">IF(X341&lt;&gt;0,-LOOKUP($Q341,Waterfalls!$6:$6,Waterfalls!$153:$153),"")</f>
        <v>266507.95792204805</v>
      </c>
    </row>
    <row r="342" spans="1:26" x14ac:dyDescent="0.3">
      <c r="A342" s="761">
        <f>IF(B342&gt;=DevBdgt!$E$7,LOOKUP(B342,DevBdgt!$7:$7,DevBdgt!$6:$6),"")</f>
        <v>132</v>
      </c>
      <c r="B342" s="507">
        <f t="shared" si="19"/>
        <v>54118</v>
      </c>
      <c r="C342" s="7">
        <v>0</v>
      </c>
      <c r="D342" s="1145">
        <f t="shared" si="18"/>
        <v>2.4958999999999999E-2</v>
      </c>
      <c r="Q342" s="507">
        <f t="shared" si="20"/>
        <v>54118</v>
      </c>
      <c r="T342" s="344">
        <f ca="1">IF(ROUND(LOOKUP(Q342,Waterfalls!$6:$6,Waterfalls!$14:$14),0)&gt;0,1,0)*(D342+$H$4)</f>
        <v>0</v>
      </c>
      <c r="U342" s="508" t="str">
        <f ca="1">IF(T342&lt;&gt;0,LOOKUP(Q342,Waterfalls!$6:$6,Waterfalls!$14:$14),"")</f>
        <v/>
      </c>
      <c r="V342" s="508" t="str">
        <f ca="1">IF(T342&lt;&gt;0,-LOOKUP(Q342,Waterfalls!$6:$6,Waterfalls!$152:$152),"")</f>
        <v/>
      </c>
      <c r="X342" s="344">
        <f ca="1">IF(ROUND(LOOKUP($Q342,Waterfalls!$6:$6,Waterfalls!$21:$21),0)&gt;0,1,0)*($D342+$O$6)</f>
        <v>4.7459000000000001E-2</v>
      </c>
      <c r="Y342" s="508">
        <f ca="1">IF(X342&lt;&gt;0,LOOKUP($Q342,Waterfalls!$6:$6,Waterfalls!$21:$21),"")</f>
        <v>37715565.418264031</v>
      </c>
      <c r="Z342" s="508">
        <f ca="1">IF(X342&lt;&gt;0,-LOOKUP($Q342,Waterfalls!$6:$6,Waterfalls!$153:$153),"")</f>
        <v>266507.95792204805</v>
      </c>
    </row>
    <row r="343" spans="1:26" x14ac:dyDescent="0.3">
      <c r="A343" s="761">
        <f>IF(B343&gt;=DevBdgt!$E$7,LOOKUP(B343,DevBdgt!$7:$7,DevBdgt!$6:$6),"")</f>
        <v>132</v>
      </c>
      <c r="B343" s="507">
        <f t="shared" si="19"/>
        <v>54149</v>
      </c>
      <c r="C343" s="7">
        <v>0</v>
      </c>
      <c r="D343" s="1145">
        <f t="shared" si="18"/>
        <v>2.4958999999999999E-2</v>
      </c>
      <c r="Q343" s="507">
        <f t="shared" si="20"/>
        <v>54149</v>
      </c>
      <c r="T343" s="344">
        <f ca="1">IF(ROUND(LOOKUP(Q343,Waterfalls!$6:$6,Waterfalls!$14:$14),0)&gt;0,1,0)*(D343+$H$4)</f>
        <v>0</v>
      </c>
      <c r="U343" s="508" t="str">
        <f ca="1">IF(T343&lt;&gt;0,LOOKUP(Q343,Waterfalls!$6:$6,Waterfalls!$14:$14),"")</f>
        <v/>
      </c>
      <c r="V343" s="508" t="str">
        <f ca="1">IF(T343&lt;&gt;0,-LOOKUP(Q343,Waterfalls!$6:$6,Waterfalls!$152:$152),"")</f>
        <v/>
      </c>
      <c r="X343" s="344">
        <f ca="1">IF(ROUND(LOOKUP($Q343,Waterfalls!$6:$6,Waterfalls!$21:$21),0)&gt;0,1,0)*($D343+$O$6)</f>
        <v>4.7459000000000001E-2</v>
      </c>
      <c r="Y343" s="508">
        <f ca="1">IF(X343&lt;&gt;0,LOOKUP($Q343,Waterfalls!$6:$6,Waterfalls!$21:$21),"")</f>
        <v>37715565.418264031</v>
      </c>
      <c r="Z343" s="508">
        <f ca="1">IF(X343&lt;&gt;0,-LOOKUP($Q343,Waterfalls!$6:$6,Waterfalls!$153:$153),"")</f>
        <v>266507.95792204805</v>
      </c>
    </row>
    <row r="344" spans="1:26" x14ac:dyDescent="0.3">
      <c r="A344" s="761">
        <f>IF(B344&gt;=DevBdgt!$E$7,LOOKUP(B344,DevBdgt!$7:$7,DevBdgt!$6:$6),"")</f>
        <v>132</v>
      </c>
      <c r="B344" s="507">
        <f t="shared" si="19"/>
        <v>54179</v>
      </c>
      <c r="C344" s="7">
        <v>0</v>
      </c>
      <c r="D344" s="1145">
        <f t="shared" si="18"/>
        <v>2.4958999999999999E-2</v>
      </c>
      <c r="Q344" s="507">
        <f t="shared" si="20"/>
        <v>54179</v>
      </c>
      <c r="T344" s="344">
        <f ca="1">IF(ROUND(LOOKUP(Q344,Waterfalls!$6:$6,Waterfalls!$14:$14),0)&gt;0,1,0)*(D344+$H$4)</f>
        <v>0</v>
      </c>
      <c r="U344" s="508" t="str">
        <f ca="1">IF(T344&lt;&gt;0,LOOKUP(Q344,Waterfalls!$6:$6,Waterfalls!$14:$14),"")</f>
        <v/>
      </c>
      <c r="V344" s="508" t="str">
        <f ca="1">IF(T344&lt;&gt;0,-LOOKUP(Q344,Waterfalls!$6:$6,Waterfalls!$152:$152),"")</f>
        <v/>
      </c>
      <c r="X344" s="344">
        <f ca="1">IF(ROUND(LOOKUP($Q344,Waterfalls!$6:$6,Waterfalls!$21:$21),0)&gt;0,1,0)*($D344+$O$6)</f>
        <v>4.7459000000000001E-2</v>
      </c>
      <c r="Y344" s="508">
        <f ca="1">IF(X344&lt;&gt;0,LOOKUP($Q344,Waterfalls!$6:$6,Waterfalls!$21:$21),"")</f>
        <v>37715565.418264031</v>
      </c>
      <c r="Z344" s="508">
        <f ca="1">IF(X344&lt;&gt;0,-LOOKUP($Q344,Waterfalls!$6:$6,Waterfalls!$153:$153),"")</f>
        <v>266507.95792204805</v>
      </c>
    </row>
    <row r="345" spans="1:26" x14ac:dyDescent="0.3">
      <c r="A345" s="761">
        <f>IF(B345&gt;=DevBdgt!$E$7,LOOKUP(B345,DevBdgt!$7:$7,DevBdgt!$6:$6),"")</f>
        <v>132</v>
      </c>
      <c r="B345" s="507">
        <f t="shared" si="19"/>
        <v>54210</v>
      </c>
      <c r="C345" s="7">
        <v>0</v>
      </c>
      <c r="D345" s="1145">
        <f t="shared" si="18"/>
        <v>2.4958999999999999E-2</v>
      </c>
      <c r="Q345" s="507">
        <f t="shared" si="20"/>
        <v>54210</v>
      </c>
      <c r="T345" s="344">
        <f ca="1">IF(ROUND(LOOKUP(Q345,Waterfalls!$6:$6,Waterfalls!$14:$14),0)&gt;0,1,0)*(D345+$H$4)</f>
        <v>0</v>
      </c>
      <c r="U345" s="508" t="str">
        <f ca="1">IF(T345&lt;&gt;0,LOOKUP(Q345,Waterfalls!$6:$6,Waterfalls!$14:$14),"")</f>
        <v/>
      </c>
      <c r="V345" s="508" t="str">
        <f ca="1">IF(T345&lt;&gt;0,-LOOKUP(Q345,Waterfalls!$6:$6,Waterfalls!$152:$152),"")</f>
        <v/>
      </c>
      <c r="X345" s="344">
        <f ca="1">IF(ROUND(LOOKUP($Q345,Waterfalls!$6:$6,Waterfalls!$21:$21),0)&gt;0,1,0)*($D345+$O$6)</f>
        <v>4.7459000000000001E-2</v>
      </c>
      <c r="Y345" s="508">
        <f ca="1">IF(X345&lt;&gt;0,LOOKUP($Q345,Waterfalls!$6:$6,Waterfalls!$21:$21),"")</f>
        <v>37715565.418264031</v>
      </c>
      <c r="Z345" s="508">
        <f ca="1">IF(X345&lt;&gt;0,-LOOKUP($Q345,Waterfalls!$6:$6,Waterfalls!$153:$153),"")</f>
        <v>266507.95792204805</v>
      </c>
    </row>
    <row r="346" spans="1:26" x14ac:dyDescent="0.3">
      <c r="A346" s="761">
        <f>IF(B346&gt;=DevBdgt!$E$7,LOOKUP(B346,DevBdgt!$7:$7,DevBdgt!$6:$6),"")</f>
        <v>132</v>
      </c>
      <c r="B346" s="507">
        <f t="shared" si="19"/>
        <v>54240</v>
      </c>
      <c r="C346" s="7">
        <v>0</v>
      </c>
      <c r="D346" s="1145">
        <f t="shared" si="18"/>
        <v>2.4958999999999999E-2</v>
      </c>
      <c r="Q346" s="507">
        <f t="shared" si="20"/>
        <v>54240</v>
      </c>
      <c r="T346" s="344">
        <f ca="1">IF(ROUND(LOOKUP(Q346,Waterfalls!$6:$6,Waterfalls!$14:$14),0)&gt;0,1,0)*(D346+$H$4)</f>
        <v>0</v>
      </c>
      <c r="U346" s="508" t="str">
        <f ca="1">IF(T346&lt;&gt;0,LOOKUP(Q346,Waterfalls!$6:$6,Waterfalls!$14:$14),"")</f>
        <v/>
      </c>
      <c r="V346" s="508" t="str">
        <f ca="1">IF(T346&lt;&gt;0,-LOOKUP(Q346,Waterfalls!$6:$6,Waterfalls!$152:$152),"")</f>
        <v/>
      </c>
      <c r="X346" s="344">
        <f ca="1">IF(ROUND(LOOKUP($Q346,Waterfalls!$6:$6,Waterfalls!$21:$21),0)&gt;0,1,0)*($D346+$O$6)</f>
        <v>4.7459000000000001E-2</v>
      </c>
      <c r="Y346" s="508">
        <f ca="1">IF(X346&lt;&gt;0,LOOKUP($Q346,Waterfalls!$6:$6,Waterfalls!$21:$21),"")</f>
        <v>37715565.418264031</v>
      </c>
      <c r="Z346" s="508">
        <f ca="1">IF(X346&lt;&gt;0,-LOOKUP($Q346,Waterfalls!$6:$6,Waterfalls!$153:$153),"")</f>
        <v>266507.95792204805</v>
      </c>
    </row>
    <row r="347" spans="1:26" x14ac:dyDescent="0.3">
      <c r="A347" s="761">
        <f>IF(B347&gt;=DevBdgt!$E$7,LOOKUP(B347,DevBdgt!$7:$7,DevBdgt!$6:$6),"")</f>
        <v>132</v>
      </c>
      <c r="B347" s="507">
        <f t="shared" si="19"/>
        <v>54271</v>
      </c>
      <c r="C347" s="7">
        <v>0</v>
      </c>
      <c r="D347" s="1145">
        <f t="shared" si="18"/>
        <v>2.4958999999999999E-2</v>
      </c>
      <c r="Q347" s="507">
        <f t="shared" si="20"/>
        <v>54271</v>
      </c>
      <c r="T347" s="344">
        <f ca="1">IF(ROUND(LOOKUP(Q347,Waterfalls!$6:$6,Waterfalls!$14:$14),0)&gt;0,1,0)*(D347+$H$4)</f>
        <v>0</v>
      </c>
      <c r="U347" s="508" t="str">
        <f ca="1">IF(T347&lt;&gt;0,LOOKUP(Q347,Waterfalls!$6:$6,Waterfalls!$14:$14),"")</f>
        <v/>
      </c>
      <c r="V347" s="508" t="str">
        <f ca="1">IF(T347&lt;&gt;0,-LOOKUP(Q347,Waterfalls!$6:$6,Waterfalls!$152:$152),"")</f>
        <v/>
      </c>
      <c r="X347" s="344">
        <f ca="1">IF(ROUND(LOOKUP($Q347,Waterfalls!$6:$6,Waterfalls!$21:$21),0)&gt;0,1,0)*($D347+$O$6)</f>
        <v>4.7459000000000001E-2</v>
      </c>
      <c r="Y347" s="508">
        <f ca="1">IF(X347&lt;&gt;0,LOOKUP($Q347,Waterfalls!$6:$6,Waterfalls!$21:$21),"")</f>
        <v>37715565.418264031</v>
      </c>
      <c r="Z347" s="508">
        <f ca="1">IF(X347&lt;&gt;0,-LOOKUP($Q347,Waterfalls!$6:$6,Waterfalls!$153:$153),"")</f>
        <v>266507.95792204805</v>
      </c>
    </row>
    <row r="348" spans="1:26" x14ac:dyDescent="0.3">
      <c r="A348" s="761">
        <f>IF(B348&gt;=DevBdgt!$E$7,LOOKUP(B348,DevBdgt!$7:$7,DevBdgt!$6:$6),"")</f>
        <v>132</v>
      </c>
      <c r="B348" s="507">
        <f t="shared" si="19"/>
        <v>54302</v>
      </c>
      <c r="C348" s="7">
        <v>0</v>
      </c>
      <c r="D348" s="1145">
        <f t="shared" si="18"/>
        <v>2.4958999999999999E-2</v>
      </c>
      <c r="Q348" s="507">
        <f t="shared" si="20"/>
        <v>54302</v>
      </c>
      <c r="T348" s="344">
        <f ca="1">IF(ROUND(LOOKUP(Q348,Waterfalls!$6:$6,Waterfalls!$14:$14),0)&gt;0,1,0)*(D348+$H$4)</f>
        <v>0</v>
      </c>
      <c r="U348" s="508" t="str">
        <f ca="1">IF(T348&lt;&gt;0,LOOKUP(Q348,Waterfalls!$6:$6,Waterfalls!$14:$14),"")</f>
        <v/>
      </c>
      <c r="V348" s="508" t="str">
        <f ca="1">IF(T348&lt;&gt;0,-LOOKUP(Q348,Waterfalls!$6:$6,Waterfalls!$152:$152),"")</f>
        <v/>
      </c>
      <c r="X348" s="344">
        <f ca="1">IF(ROUND(LOOKUP($Q348,Waterfalls!$6:$6,Waterfalls!$21:$21),0)&gt;0,1,0)*($D348+$O$6)</f>
        <v>4.7459000000000001E-2</v>
      </c>
      <c r="Y348" s="508">
        <f ca="1">IF(X348&lt;&gt;0,LOOKUP($Q348,Waterfalls!$6:$6,Waterfalls!$21:$21),"")</f>
        <v>37715565.418264031</v>
      </c>
      <c r="Z348" s="508">
        <f ca="1">IF(X348&lt;&gt;0,-LOOKUP($Q348,Waterfalls!$6:$6,Waterfalls!$153:$153),"")</f>
        <v>266507.95792204805</v>
      </c>
    </row>
    <row r="349" spans="1:26" x14ac:dyDescent="0.3">
      <c r="A349" s="761">
        <f>IF(B349&gt;=DevBdgt!$E$7,LOOKUP(B349,DevBdgt!$7:$7,DevBdgt!$6:$6),"")</f>
        <v>132</v>
      </c>
      <c r="B349" s="507">
        <f t="shared" si="19"/>
        <v>54332</v>
      </c>
      <c r="C349" s="7">
        <v>0</v>
      </c>
      <c r="D349" s="1145">
        <f t="shared" si="18"/>
        <v>2.4958999999999999E-2</v>
      </c>
      <c r="Q349" s="507">
        <f t="shared" si="20"/>
        <v>54332</v>
      </c>
      <c r="T349" s="344">
        <f ca="1">IF(ROUND(LOOKUP(Q349,Waterfalls!$6:$6,Waterfalls!$14:$14),0)&gt;0,1,0)*(D349+$H$4)</f>
        <v>0</v>
      </c>
      <c r="U349" s="508" t="str">
        <f ca="1">IF(T349&lt;&gt;0,LOOKUP(Q349,Waterfalls!$6:$6,Waterfalls!$14:$14),"")</f>
        <v/>
      </c>
      <c r="V349" s="508" t="str">
        <f ca="1">IF(T349&lt;&gt;0,-LOOKUP(Q349,Waterfalls!$6:$6,Waterfalls!$152:$152),"")</f>
        <v/>
      </c>
      <c r="X349" s="344">
        <f ca="1">IF(ROUND(LOOKUP($Q349,Waterfalls!$6:$6,Waterfalls!$21:$21),0)&gt;0,1,0)*($D349+$O$6)</f>
        <v>4.7459000000000001E-2</v>
      </c>
      <c r="Y349" s="508">
        <f ca="1">IF(X349&lt;&gt;0,LOOKUP($Q349,Waterfalls!$6:$6,Waterfalls!$21:$21),"")</f>
        <v>37715565.418264031</v>
      </c>
      <c r="Z349" s="508">
        <f ca="1">IF(X349&lt;&gt;0,-LOOKUP($Q349,Waterfalls!$6:$6,Waterfalls!$153:$153),"")</f>
        <v>266507.95792204805</v>
      </c>
    </row>
    <row r="350" spans="1:26" x14ac:dyDescent="0.3">
      <c r="A350" s="761">
        <f>IF(B350&gt;=DevBdgt!$E$7,LOOKUP(B350,DevBdgt!$7:$7,DevBdgt!$6:$6),"")</f>
        <v>132</v>
      </c>
      <c r="B350" s="507">
        <f t="shared" si="19"/>
        <v>54363</v>
      </c>
      <c r="C350" s="7">
        <v>0</v>
      </c>
      <c r="D350" s="1145">
        <f t="shared" si="18"/>
        <v>2.4958999999999999E-2</v>
      </c>
      <c r="Q350" s="507">
        <f t="shared" si="20"/>
        <v>54363</v>
      </c>
      <c r="T350" s="344">
        <f ca="1">IF(ROUND(LOOKUP(Q350,Waterfalls!$6:$6,Waterfalls!$14:$14),0)&gt;0,1,0)*(D350+$H$4)</f>
        <v>0</v>
      </c>
      <c r="U350" s="508" t="str">
        <f ca="1">IF(T350&lt;&gt;0,LOOKUP(Q350,Waterfalls!$6:$6,Waterfalls!$14:$14),"")</f>
        <v/>
      </c>
      <c r="V350" s="508" t="str">
        <f ca="1">IF(T350&lt;&gt;0,-LOOKUP(Q350,Waterfalls!$6:$6,Waterfalls!$152:$152),"")</f>
        <v/>
      </c>
      <c r="X350" s="344">
        <f ca="1">IF(ROUND(LOOKUP($Q350,Waterfalls!$6:$6,Waterfalls!$21:$21),0)&gt;0,1,0)*($D350+$O$6)</f>
        <v>4.7459000000000001E-2</v>
      </c>
      <c r="Y350" s="508">
        <f ca="1">IF(X350&lt;&gt;0,LOOKUP($Q350,Waterfalls!$6:$6,Waterfalls!$21:$21),"")</f>
        <v>37715565.418264031</v>
      </c>
      <c r="Z350" s="508">
        <f ca="1">IF(X350&lt;&gt;0,-LOOKUP($Q350,Waterfalls!$6:$6,Waterfalls!$153:$153),"")</f>
        <v>266507.95792204805</v>
      </c>
    </row>
    <row r="351" spans="1:26" x14ac:dyDescent="0.3">
      <c r="A351" s="761">
        <f>IF(B351&gt;=DevBdgt!$E$7,LOOKUP(B351,DevBdgt!$7:$7,DevBdgt!$6:$6),"")</f>
        <v>132</v>
      </c>
      <c r="B351" s="507">
        <f t="shared" si="19"/>
        <v>54393</v>
      </c>
      <c r="C351" s="7">
        <v>0</v>
      </c>
      <c r="D351" s="1145">
        <f t="shared" si="18"/>
        <v>2.4958999999999999E-2</v>
      </c>
      <c r="Q351" s="507">
        <f t="shared" si="20"/>
        <v>54393</v>
      </c>
      <c r="T351" s="344">
        <f ca="1">IF(ROUND(LOOKUP(Q351,Waterfalls!$6:$6,Waterfalls!$14:$14),0)&gt;0,1,0)*(D351+$H$4)</f>
        <v>0</v>
      </c>
      <c r="U351" s="508" t="str">
        <f ca="1">IF(T351&lt;&gt;0,LOOKUP(Q351,Waterfalls!$6:$6,Waterfalls!$14:$14),"")</f>
        <v/>
      </c>
      <c r="V351" s="508" t="str">
        <f ca="1">IF(T351&lt;&gt;0,-LOOKUP(Q351,Waterfalls!$6:$6,Waterfalls!$152:$152),"")</f>
        <v/>
      </c>
      <c r="X351" s="344">
        <f ca="1">IF(ROUND(LOOKUP($Q351,Waterfalls!$6:$6,Waterfalls!$21:$21),0)&gt;0,1,0)*($D351+$O$6)</f>
        <v>4.7459000000000001E-2</v>
      </c>
      <c r="Y351" s="508">
        <f ca="1">IF(X351&lt;&gt;0,LOOKUP($Q351,Waterfalls!$6:$6,Waterfalls!$21:$21),"")</f>
        <v>37715565.418264031</v>
      </c>
      <c r="Z351" s="508">
        <f ca="1">IF(X351&lt;&gt;0,-LOOKUP($Q351,Waterfalls!$6:$6,Waterfalls!$153:$153),"")</f>
        <v>266507.95792204805</v>
      </c>
    </row>
    <row r="352" spans="1:26" x14ac:dyDescent="0.3">
      <c r="A352" s="761">
        <f>IF(B352&gt;=DevBdgt!$E$7,LOOKUP(B352,DevBdgt!$7:$7,DevBdgt!$6:$6),"")</f>
        <v>132</v>
      </c>
      <c r="B352" s="507">
        <f t="shared" si="19"/>
        <v>54424</v>
      </c>
      <c r="C352" s="7">
        <v>0</v>
      </c>
      <c r="D352" s="1145">
        <f t="shared" si="18"/>
        <v>2.4958999999999999E-2</v>
      </c>
      <c r="Q352" s="507">
        <f t="shared" si="20"/>
        <v>54424</v>
      </c>
      <c r="T352" s="344">
        <f ca="1">IF(ROUND(LOOKUP(Q352,Waterfalls!$6:$6,Waterfalls!$14:$14),0)&gt;0,1,0)*(D352+$H$4)</f>
        <v>0</v>
      </c>
      <c r="U352" s="508" t="str">
        <f ca="1">IF(T352&lt;&gt;0,LOOKUP(Q352,Waterfalls!$6:$6,Waterfalls!$14:$14),"")</f>
        <v/>
      </c>
      <c r="V352" s="508" t="str">
        <f ca="1">IF(T352&lt;&gt;0,-LOOKUP(Q352,Waterfalls!$6:$6,Waterfalls!$152:$152),"")</f>
        <v/>
      </c>
      <c r="X352" s="344">
        <f ca="1">IF(ROUND(LOOKUP($Q352,Waterfalls!$6:$6,Waterfalls!$21:$21),0)&gt;0,1,0)*($D352+$O$6)</f>
        <v>4.7459000000000001E-2</v>
      </c>
      <c r="Y352" s="508">
        <f ca="1">IF(X352&lt;&gt;0,LOOKUP($Q352,Waterfalls!$6:$6,Waterfalls!$21:$21),"")</f>
        <v>37715565.418264031</v>
      </c>
      <c r="Z352" s="508">
        <f ca="1">IF(X352&lt;&gt;0,-LOOKUP($Q352,Waterfalls!$6:$6,Waterfalls!$153:$153),"")</f>
        <v>266507.95792204805</v>
      </c>
    </row>
    <row r="353" spans="1:26" x14ac:dyDescent="0.3">
      <c r="A353" s="761">
        <f>IF(B353&gt;=DevBdgt!$E$7,LOOKUP(B353,DevBdgt!$7:$7,DevBdgt!$6:$6),"")</f>
        <v>132</v>
      </c>
      <c r="B353" s="507">
        <f t="shared" si="19"/>
        <v>54455</v>
      </c>
      <c r="C353" s="7">
        <v>0</v>
      </c>
      <c r="D353" s="1145">
        <f t="shared" si="18"/>
        <v>2.4958999999999999E-2</v>
      </c>
      <c r="Q353" s="507">
        <f t="shared" si="20"/>
        <v>54455</v>
      </c>
      <c r="T353" s="344">
        <f ca="1">IF(ROUND(LOOKUP(Q353,Waterfalls!$6:$6,Waterfalls!$14:$14),0)&gt;0,1,0)*(D353+$H$4)</f>
        <v>0</v>
      </c>
      <c r="U353" s="508" t="str">
        <f ca="1">IF(T353&lt;&gt;0,LOOKUP(Q353,Waterfalls!$6:$6,Waterfalls!$14:$14),"")</f>
        <v/>
      </c>
      <c r="V353" s="508" t="str">
        <f ca="1">IF(T353&lt;&gt;0,-LOOKUP(Q353,Waterfalls!$6:$6,Waterfalls!$152:$152),"")</f>
        <v/>
      </c>
      <c r="X353" s="344">
        <f ca="1">IF(ROUND(LOOKUP($Q353,Waterfalls!$6:$6,Waterfalls!$21:$21),0)&gt;0,1,0)*($D353+$O$6)</f>
        <v>4.7459000000000001E-2</v>
      </c>
      <c r="Y353" s="508">
        <f ca="1">IF(X353&lt;&gt;0,LOOKUP($Q353,Waterfalls!$6:$6,Waterfalls!$21:$21),"")</f>
        <v>37715565.418264031</v>
      </c>
      <c r="Z353" s="508">
        <f ca="1">IF(X353&lt;&gt;0,-LOOKUP($Q353,Waterfalls!$6:$6,Waterfalls!$153:$153),"")</f>
        <v>266507.95792204805</v>
      </c>
    </row>
    <row r="354" spans="1:26" x14ac:dyDescent="0.3">
      <c r="A354" s="761">
        <f>IF(B354&gt;=DevBdgt!$E$7,LOOKUP(B354,DevBdgt!$7:$7,DevBdgt!$6:$6),"")</f>
        <v>132</v>
      </c>
      <c r="B354" s="507">
        <f t="shared" si="19"/>
        <v>54483</v>
      </c>
      <c r="C354" s="7">
        <v>0</v>
      </c>
      <c r="D354" s="1145">
        <f t="shared" si="18"/>
        <v>2.4958999999999999E-2</v>
      </c>
      <c r="Q354" s="507">
        <f t="shared" si="20"/>
        <v>54483</v>
      </c>
      <c r="T354" s="344">
        <f ca="1">IF(ROUND(LOOKUP(Q354,Waterfalls!$6:$6,Waterfalls!$14:$14),0)&gt;0,1,0)*(D354+$H$4)</f>
        <v>0</v>
      </c>
      <c r="U354" s="508" t="str">
        <f ca="1">IF(T354&lt;&gt;0,LOOKUP(Q354,Waterfalls!$6:$6,Waterfalls!$14:$14),"")</f>
        <v/>
      </c>
      <c r="V354" s="508" t="str">
        <f ca="1">IF(T354&lt;&gt;0,-LOOKUP(Q354,Waterfalls!$6:$6,Waterfalls!$152:$152),"")</f>
        <v/>
      </c>
      <c r="X354" s="344">
        <f ca="1">IF(ROUND(LOOKUP($Q354,Waterfalls!$6:$6,Waterfalls!$21:$21),0)&gt;0,1,0)*($D354+$O$6)</f>
        <v>4.7459000000000001E-2</v>
      </c>
      <c r="Y354" s="508">
        <f ca="1">IF(X354&lt;&gt;0,LOOKUP($Q354,Waterfalls!$6:$6,Waterfalls!$21:$21),"")</f>
        <v>37715565.418264031</v>
      </c>
      <c r="Z354" s="508">
        <f ca="1">IF(X354&lt;&gt;0,-LOOKUP($Q354,Waterfalls!$6:$6,Waterfalls!$153:$153),"")</f>
        <v>266507.95792204805</v>
      </c>
    </row>
    <row r="355" spans="1:26" x14ac:dyDescent="0.3">
      <c r="A355" s="761">
        <f>IF(B355&gt;=DevBdgt!$E$7,LOOKUP(B355,DevBdgt!$7:$7,DevBdgt!$6:$6),"")</f>
        <v>132</v>
      </c>
      <c r="B355" s="507">
        <f t="shared" si="19"/>
        <v>54514</v>
      </c>
      <c r="C355" s="7">
        <v>0</v>
      </c>
      <c r="D355" s="1145">
        <f t="shared" si="18"/>
        <v>2.4958999999999999E-2</v>
      </c>
      <c r="Q355" s="507">
        <f t="shared" si="20"/>
        <v>54514</v>
      </c>
      <c r="T355" s="344">
        <f ca="1">IF(ROUND(LOOKUP(Q355,Waterfalls!$6:$6,Waterfalls!$14:$14),0)&gt;0,1,0)*(D355+$H$4)</f>
        <v>0</v>
      </c>
      <c r="U355" s="508" t="str">
        <f ca="1">IF(T355&lt;&gt;0,LOOKUP(Q355,Waterfalls!$6:$6,Waterfalls!$14:$14),"")</f>
        <v/>
      </c>
      <c r="V355" s="508" t="str">
        <f ca="1">IF(T355&lt;&gt;0,-LOOKUP(Q355,Waterfalls!$6:$6,Waterfalls!$152:$152),"")</f>
        <v/>
      </c>
      <c r="X355" s="344">
        <f ca="1">IF(ROUND(LOOKUP($Q355,Waterfalls!$6:$6,Waterfalls!$21:$21),0)&gt;0,1,0)*($D355+$O$6)</f>
        <v>4.7459000000000001E-2</v>
      </c>
      <c r="Y355" s="508">
        <f ca="1">IF(X355&lt;&gt;0,LOOKUP($Q355,Waterfalls!$6:$6,Waterfalls!$21:$21),"")</f>
        <v>37715565.418264031</v>
      </c>
      <c r="Z355" s="508">
        <f ca="1">IF(X355&lt;&gt;0,-LOOKUP($Q355,Waterfalls!$6:$6,Waterfalls!$153:$153),"")</f>
        <v>266507.95792204805</v>
      </c>
    </row>
    <row r="356" spans="1:26" x14ac:dyDescent="0.3">
      <c r="A356" s="761">
        <f>IF(B356&gt;=DevBdgt!$E$7,LOOKUP(B356,DevBdgt!$7:$7,DevBdgt!$6:$6),"")</f>
        <v>132</v>
      </c>
      <c r="B356" s="507">
        <f t="shared" si="19"/>
        <v>54544</v>
      </c>
      <c r="C356" s="7">
        <v>0</v>
      </c>
      <c r="D356" s="1145">
        <f t="shared" si="18"/>
        <v>2.4958999999999999E-2</v>
      </c>
      <c r="Q356" s="507">
        <f t="shared" si="20"/>
        <v>54544</v>
      </c>
      <c r="T356" s="344">
        <f ca="1">IF(ROUND(LOOKUP(Q356,Waterfalls!$6:$6,Waterfalls!$14:$14),0)&gt;0,1,0)*(D356+$H$4)</f>
        <v>0</v>
      </c>
      <c r="U356" s="508" t="str">
        <f ca="1">IF(T356&lt;&gt;0,LOOKUP(Q356,Waterfalls!$6:$6,Waterfalls!$14:$14),"")</f>
        <v/>
      </c>
      <c r="V356" s="508" t="str">
        <f ca="1">IF(T356&lt;&gt;0,-LOOKUP(Q356,Waterfalls!$6:$6,Waterfalls!$152:$152),"")</f>
        <v/>
      </c>
      <c r="X356" s="344">
        <f ca="1">IF(ROUND(LOOKUP($Q356,Waterfalls!$6:$6,Waterfalls!$21:$21),0)&gt;0,1,0)*($D356+$O$6)</f>
        <v>4.7459000000000001E-2</v>
      </c>
      <c r="Y356" s="508">
        <f ca="1">IF(X356&lt;&gt;0,LOOKUP($Q356,Waterfalls!$6:$6,Waterfalls!$21:$21),"")</f>
        <v>37715565.418264031</v>
      </c>
      <c r="Z356" s="508">
        <f ca="1">IF(X356&lt;&gt;0,-LOOKUP($Q356,Waterfalls!$6:$6,Waterfalls!$153:$153),"")</f>
        <v>266507.95792204805</v>
      </c>
    </row>
    <row r="357" spans="1:26" x14ac:dyDescent="0.3">
      <c r="A357" s="761">
        <f>IF(B357&gt;=DevBdgt!$E$7,LOOKUP(B357,DevBdgt!$7:$7,DevBdgt!$6:$6),"")</f>
        <v>132</v>
      </c>
      <c r="B357" s="507">
        <f t="shared" si="19"/>
        <v>54575</v>
      </c>
      <c r="C357" s="7">
        <v>0</v>
      </c>
      <c r="D357" s="1145">
        <f t="shared" si="18"/>
        <v>2.4958999999999999E-2</v>
      </c>
      <c r="Q357" s="507">
        <f t="shared" si="20"/>
        <v>54575</v>
      </c>
      <c r="T357" s="344">
        <f ca="1">IF(ROUND(LOOKUP(Q357,Waterfalls!$6:$6,Waterfalls!$14:$14),0)&gt;0,1,0)*(D357+$H$4)</f>
        <v>0</v>
      </c>
      <c r="U357" s="508" t="str">
        <f ca="1">IF(T357&lt;&gt;0,LOOKUP(Q357,Waterfalls!$6:$6,Waterfalls!$14:$14),"")</f>
        <v/>
      </c>
      <c r="V357" s="508" t="str">
        <f ca="1">IF(T357&lt;&gt;0,-LOOKUP(Q357,Waterfalls!$6:$6,Waterfalls!$152:$152),"")</f>
        <v/>
      </c>
      <c r="X357" s="344">
        <f ca="1">IF(ROUND(LOOKUP($Q357,Waterfalls!$6:$6,Waterfalls!$21:$21),0)&gt;0,1,0)*($D357+$O$6)</f>
        <v>4.7459000000000001E-2</v>
      </c>
      <c r="Y357" s="508">
        <f ca="1">IF(X357&lt;&gt;0,LOOKUP($Q357,Waterfalls!$6:$6,Waterfalls!$21:$21),"")</f>
        <v>37715565.418264031</v>
      </c>
      <c r="Z357" s="508">
        <f ca="1">IF(X357&lt;&gt;0,-LOOKUP($Q357,Waterfalls!$6:$6,Waterfalls!$153:$153),"")</f>
        <v>266507.95792204805</v>
      </c>
    </row>
    <row r="358" spans="1:26" x14ac:dyDescent="0.3">
      <c r="A358" s="761">
        <f>IF(B358&gt;=DevBdgt!$E$7,LOOKUP(B358,DevBdgt!$7:$7,DevBdgt!$6:$6),"")</f>
        <v>132</v>
      </c>
      <c r="B358" s="507">
        <f t="shared" si="19"/>
        <v>54605</v>
      </c>
      <c r="C358" s="7">
        <v>0</v>
      </c>
      <c r="D358" s="1145">
        <f t="shared" si="18"/>
        <v>2.4958999999999999E-2</v>
      </c>
      <c r="Q358" s="507">
        <f t="shared" si="20"/>
        <v>54605</v>
      </c>
      <c r="T358" s="344">
        <f ca="1">IF(ROUND(LOOKUP(Q358,Waterfalls!$6:$6,Waterfalls!$14:$14),0)&gt;0,1,0)*(D358+$H$4)</f>
        <v>0</v>
      </c>
      <c r="U358" s="508" t="str">
        <f ca="1">IF(T358&lt;&gt;0,LOOKUP(Q358,Waterfalls!$6:$6,Waterfalls!$14:$14),"")</f>
        <v/>
      </c>
      <c r="V358" s="508" t="str">
        <f ca="1">IF(T358&lt;&gt;0,-LOOKUP(Q358,Waterfalls!$6:$6,Waterfalls!$152:$152),"")</f>
        <v/>
      </c>
      <c r="X358" s="344">
        <f ca="1">IF(ROUND(LOOKUP($Q358,Waterfalls!$6:$6,Waterfalls!$21:$21),0)&gt;0,1,0)*($D358+$O$6)</f>
        <v>4.7459000000000001E-2</v>
      </c>
      <c r="Y358" s="508">
        <f ca="1">IF(X358&lt;&gt;0,LOOKUP($Q358,Waterfalls!$6:$6,Waterfalls!$21:$21),"")</f>
        <v>37715565.418264031</v>
      </c>
      <c r="Z358" s="508">
        <f ca="1">IF(X358&lt;&gt;0,-LOOKUP($Q358,Waterfalls!$6:$6,Waterfalls!$153:$153),"")</f>
        <v>266507.95792204805</v>
      </c>
    </row>
    <row r="359" spans="1:26" x14ac:dyDescent="0.3">
      <c r="A359" s="761">
        <f>IF(B359&gt;=DevBdgt!$E$7,LOOKUP(B359,DevBdgt!$7:$7,DevBdgt!$6:$6),"")</f>
        <v>132</v>
      </c>
      <c r="B359" s="507">
        <f t="shared" si="19"/>
        <v>54636</v>
      </c>
      <c r="C359" s="7">
        <v>0</v>
      </c>
      <c r="D359" s="1145">
        <f t="shared" si="18"/>
        <v>2.4958999999999999E-2</v>
      </c>
      <c r="Q359" s="507">
        <f t="shared" si="20"/>
        <v>54636</v>
      </c>
      <c r="T359" s="344">
        <f ca="1">IF(ROUND(LOOKUP(Q359,Waterfalls!$6:$6,Waterfalls!$14:$14),0)&gt;0,1,0)*(D359+$H$4)</f>
        <v>0</v>
      </c>
      <c r="U359" s="508" t="str">
        <f ca="1">IF(T359&lt;&gt;0,LOOKUP(Q359,Waterfalls!$6:$6,Waterfalls!$14:$14),"")</f>
        <v/>
      </c>
      <c r="V359" s="508" t="str">
        <f ca="1">IF(T359&lt;&gt;0,-LOOKUP(Q359,Waterfalls!$6:$6,Waterfalls!$152:$152),"")</f>
        <v/>
      </c>
      <c r="X359" s="344">
        <f ca="1">IF(ROUND(LOOKUP($Q359,Waterfalls!$6:$6,Waterfalls!$21:$21),0)&gt;0,1,0)*($D359+$O$6)</f>
        <v>4.7459000000000001E-2</v>
      </c>
      <c r="Y359" s="508">
        <f ca="1">IF(X359&lt;&gt;0,LOOKUP($Q359,Waterfalls!$6:$6,Waterfalls!$21:$21),"")</f>
        <v>37715565.418264031</v>
      </c>
      <c r="Z359" s="508">
        <f ca="1">IF(X359&lt;&gt;0,-LOOKUP($Q359,Waterfalls!$6:$6,Waterfalls!$153:$153),"")</f>
        <v>266507.95792204805</v>
      </c>
    </row>
    <row r="360" spans="1:26" x14ac:dyDescent="0.3">
      <c r="A360" s="761">
        <f>IF(B360&gt;=DevBdgt!$E$7,LOOKUP(B360,DevBdgt!$7:$7,DevBdgt!$6:$6),"")</f>
        <v>132</v>
      </c>
      <c r="B360" s="507">
        <f t="shared" si="19"/>
        <v>54667</v>
      </c>
      <c r="C360" s="7">
        <v>0</v>
      </c>
      <c r="D360" s="1145">
        <f t="shared" si="18"/>
        <v>2.4958999999999999E-2</v>
      </c>
      <c r="Q360" s="507">
        <f t="shared" si="20"/>
        <v>54667</v>
      </c>
      <c r="T360" s="344">
        <f ca="1">IF(ROUND(LOOKUP(Q360,Waterfalls!$6:$6,Waterfalls!$14:$14),0)&gt;0,1,0)*(D360+$H$4)</f>
        <v>0</v>
      </c>
      <c r="U360" s="508" t="str">
        <f ca="1">IF(T360&lt;&gt;0,LOOKUP(Q360,Waterfalls!$6:$6,Waterfalls!$14:$14),"")</f>
        <v/>
      </c>
      <c r="V360" s="508" t="str">
        <f ca="1">IF(T360&lt;&gt;0,-LOOKUP(Q360,Waterfalls!$6:$6,Waterfalls!$152:$152),"")</f>
        <v/>
      </c>
      <c r="X360" s="344">
        <f ca="1">IF(ROUND(LOOKUP($Q360,Waterfalls!$6:$6,Waterfalls!$21:$21),0)&gt;0,1,0)*($D360+$O$6)</f>
        <v>4.7459000000000001E-2</v>
      </c>
      <c r="Y360" s="508">
        <f ca="1">IF(X360&lt;&gt;0,LOOKUP($Q360,Waterfalls!$6:$6,Waterfalls!$21:$21),"")</f>
        <v>37715565.418264031</v>
      </c>
      <c r="Z360" s="508">
        <f ca="1">IF(X360&lt;&gt;0,-LOOKUP($Q360,Waterfalls!$6:$6,Waterfalls!$153:$153),"")</f>
        <v>266507.95792204805</v>
      </c>
    </row>
    <row r="361" spans="1:26" x14ac:dyDescent="0.3">
      <c r="A361" s="761">
        <f>IF(B361&gt;=DevBdgt!$E$7,LOOKUP(B361,DevBdgt!$7:$7,DevBdgt!$6:$6),"")</f>
        <v>132</v>
      </c>
      <c r="B361" s="507">
        <f t="shared" si="19"/>
        <v>54697</v>
      </c>
      <c r="C361" s="7">
        <v>0</v>
      </c>
      <c r="D361" s="1145">
        <f t="shared" si="18"/>
        <v>2.4958999999999999E-2</v>
      </c>
      <c r="Q361" s="507">
        <f t="shared" si="20"/>
        <v>54697</v>
      </c>
      <c r="T361" s="344">
        <f ca="1">IF(ROUND(LOOKUP(Q361,Waterfalls!$6:$6,Waterfalls!$14:$14),0)&gt;0,1,0)*(D361+$H$4)</f>
        <v>0</v>
      </c>
      <c r="U361" s="508" t="str">
        <f ca="1">IF(T361&lt;&gt;0,LOOKUP(Q361,Waterfalls!$6:$6,Waterfalls!$14:$14),"")</f>
        <v/>
      </c>
      <c r="V361" s="508" t="str">
        <f ca="1">IF(T361&lt;&gt;0,-LOOKUP(Q361,Waterfalls!$6:$6,Waterfalls!$152:$152),"")</f>
        <v/>
      </c>
      <c r="X361" s="344">
        <f ca="1">IF(ROUND(LOOKUP($Q361,Waterfalls!$6:$6,Waterfalls!$21:$21),0)&gt;0,1,0)*($D361+$O$6)</f>
        <v>4.7459000000000001E-2</v>
      </c>
      <c r="Y361" s="508">
        <f ca="1">IF(X361&lt;&gt;0,LOOKUP($Q361,Waterfalls!$6:$6,Waterfalls!$21:$21),"")</f>
        <v>37715565.418264031</v>
      </c>
      <c r="Z361" s="508">
        <f ca="1">IF(X361&lt;&gt;0,-LOOKUP($Q361,Waterfalls!$6:$6,Waterfalls!$153:$153),"")</f>
        <v>266507.95792204805</v>
      </c>
    </row>
    <row r="362" spans="1:26" x14ac:dyDescent="0.3">
      <c r="A362" s="761">
        <f>IF(B362&gt;=DevBdgt!$E$7,LOOKUP(B362,DevBdgt!$7:$7,DevBdgt!$6:$6),"")</f>
        <v>132</v>
      </c>
      <c r="B362" s="507">
        <f t="shared" si="19"/>
        <v>54728</v>
      </c>
      <c r="C362" s="7">
        <v>0</v>
      </c>
      <c r="D362" s="1145">
        <f t="shared" si="18"/>
        <v>2.4958999999999999E-2</v>
      </c>
      <c r="Q362" s="507">
        <f t="shared" si="20"/>
        <v>54728</v>
      </c>
      <c r="T362" s="344">
        <f ca="1">IF(ROUND(LOOKUP(Q362,Waterfalls!$6:$6,Waterfalls!$14:$14),0)&gt;0,1,0)*(D362+$H$4)</f>
        <v>0</v>
      </c>
      <c r="U362" s="508" t="str">
        <f ca="1">IF(T362&lt;&gt;0,LOOKUP(Q362,Waterfalls!$6:$6,Waterfalls!$14:$14),"")</f>
        <v/>
      </c>
      <c r="V362" s="508" t="str">
        <f ca="1">IF(T362&lt;&gt;0,-LOOKUP(Q362,Waterfalls!$6:$6,Waterfalls!$152:$152),"")</f>
        <v/>
      </c>
      <c r="X362" s="344">
        <f ca="1">IF(ROUND(LOOKUP($Q362,Waterfalls!$6:$6,Waterfalls!$21:$21),0)&gt;0,1,0)*($D362+$O$6)</f>
        <v>4.7459000000000001E-2</v>
      </c>
      <c r="Y362" s="508">
        <f ca="1">IF(X362&lt;&gt;0,LOOKUP($Q362,Waterfalls!$6:$6,Waterfalls!$21:$21),"")</f>
        <v>37715565.418264031</v>
      </c>
      <c r="Z362" s="508">
        <f ca="1">IF(X362&lt;&gt;0,-LOOKUP($Q362,Waterfalls!$6:$6,Waterfalls!$153:$153),"")</f>
        <v>266507.95792204805</v>
      </c>
    </row>
    <row r="363" spans="1:26" x14ac:dyDescent="0.3">
      <c r="A363" s="761">
        <f>IF(B363&gt;=DevBdgt!$E$7,LOOKUP(B363,DevBdgt!$7:$7,DevBdgt!$6:$6),"")</f>
        <v>132</v>
      </c>
      <c r="B363" s="507">
        <f t="shared" si="19"/>
        <v>54758</v>
      </c>
      <c r="C363" s="7">
        <v>0</v>
      </c>
      <c r="D363" s="1145">
        <f t="shared" si="18"/>
        <v>2.4958999999999999E-2</v>
      </c>
      <c r="Q363" s="507">
        <f t="shared" si="20"/>
        <v>54758</v>
      </c>
      <c r="T363" s="344">
        <f ca="1">IF(ROUND(LOOKUP(Q363,Waterfalls!$6:$6,Waterfalls!$14:$14),0)&gt;0,1,0)*(D363+$H$4)</f>
        <v>0</v>
      </c>
      <c r="U363" s="508" t="str">
        <f ca="1">IF(T363&lt;&gt;0,LOOKUP(Q363,Waterfalls!$6:$6,Waterfalls!$14:$14),"")</f>
        <v/>
      </c>
      <c r="V363" s="508" t="str">
        <f ca="1">IF(T363&lt;&gt;0,-LOOKUP(Q363,Waterfalls!$6:$6,Waterfalls!$152:$152),"")</f>
        <v/>
      </c>
      <c r="X363" s="344">
        <f ca="1">IF(ROUND(LOOKUP($Q363,Waterfalls!$6:$6,Waterfalls!$21:$21),0)&gt;0,1,0)*($D363+$O$6)</f>
        <v>4.7459000000000001E-2</v>
      </c>
      <c r="Y363" s="508">
        <f ca="1">IF(X363&lt;&gt;0,LOOKUP($Q363,Waterfalls!$6:$6,Waterfalls!$21:$21),"")</f>
        <v>37715565.418264031</v>
      </c>
      <c r="Z363" s="508">
        <f ca="1">IF(X363&lt;&gt;0,-LOOKUP($Q363,Waterfalls!$6:$6,Waterfalls!$153:$153),"")</f>
        <v>266507.95792204805</v>
      </c>
    </row>
    <row r="364" spans="1:26" x14ac:dyDescent="0.3">
      <c r="A364" s="761">
        <f>IF(B364&gt;=DevBdgt!$E$7,LOOKUP(B364,DevBdgt!$7:$7,DevBdgt!$6:$6),"")</f>
        <v>132</v>
      </c>
      <c r="B364" s="507">
        <f t="shared" si="19"/>
        <v>54789</v>
      </c>
      <c r="C364" s="7">
        <v>0</v>
      </c>
      <c r="D364" s="1145">
        <f t="shared" si="18"/>
        <v>2.4958999999999999E-2</v>
      </c>
      <c r="Q364" s="507">
        <f t="shared" si="20"/>
        <v>54789</v>
      </c>
      <c r="T364" s="344">
        <f ca="1">IF(ROUND(LOOKUP(Q364,Waterfalls!$6:$6,Waterfalls!$14:$14),0)&gt;0,1,0)*(D364+$H$4)</f>
        <v>0</v>
      </c>
      <c r="U364" s="508" t="str">
        <f ca="1">IF(T364&lt;&gt;0,LOOKUP(Q364,Waterfalls!$6:$6,Waterfalls!$14:$14),"")</f>
        <v/>
      </c>
      <c r="V364" s="508" t="str">
        <f ca="1">IF(T364&lt;&gt;0,-LOOKUP(Q364,Waterfalls!$6:$6,Waterfalls!$152:$152),"")</f>
        <v/>
      </c>
      <c r="X364" s="344">
        <f ca="1">IF(ROUND(LOOKUP($Q364,Waterfalls!$6:$6,Waterfalls!$21:$21),0)&gt;0,1,0)*($D364+$O$6)</f>
        <v>4.7459000000000001E-2</v>
      </c>
      <c r="Y364" s="508">
        <f ca="1">IF(X364&lt;&gt;0,LOOKUP($Q364,Waterfalls!$6:$6,Waterfalls!$21:$21),"")</f>
        <v>37715565.418264031</v>
      </c>
      <c r="Z364" s="508">
        <f ca="1">IF(X364&lt;&gt;0,-LOOKUP($Q364,Waterfalls!$6:$6,Waterfalls!$153:$153),"")</f>
        <v>266507.95792204805</v>
      </c>
    </row>
    <row r="365" spans="1:26" x14ac:dyDescent="0.3">
      <c r="A365" s="761">
        <f>IF(B365&gt;=DevBdgt!$E$7,LOOKUP(B365,DevBdgt!$7:$7,DevBdgt!$6:$6),"")</f>
        <v>132</v>
      </c>
      <c r="B365" s="507">
        <f t="shared" si="19"/>
        <v>54820</v>
      </c>
      <c r="C365" s="7">
        <v>0</v>
      </c>
      <c r="D365" s="1145">
        <f t="shared" si="18"/>
        <v>2.4958999999999999E-2</v>
      </c>
      <c r="Q365" s="507">
        <f t="shared" si="20"/>
        <v>54820</v>
      </c>
      <c r="T365" s="344">
        <f ca="1">IF(ROUND(LOOKUP(Q365,Waterfalls!$6:$6,Waterfalls!$14:$14),0)&gt;0,1,0)*(D365+$H$4)</f>
        <v>0</v>
      </c>
      <c r="U365" s="508" t="str">
        <f ca="1">IF(T365&lt;&gt;0,LOOKUP(Q365,Waterfalls!$6:$6,Waterfalls!$14:$14),"")</f>
        <v/>
      </c>
      <c r="V365" s="508" t="str">
        <f ca="1">IF(T365&lt;&gt;0,-LOOKUP(Q365,Waterfalls!$6:$6,Waterfalls!$152:$152),"")</f>
        <v/>
      </c>
      <c r="X365" s="344">
        <f ca="1">IF(ROUND(LOOKUP($Q365,Waterfalls!$6:$6,Waterfalls!$21:$21),0)&gt;0,1,0)*($D365+$O$6)</f>
        <v>4.7459000000000001E-2</v>
      </c>
      <c r="Y365" s="508">
        <f ca="1">IF(X365&lt;&gt;0,LOOKUP($Q365,Waterfalls!$6:$6,Waterfalls!$21:$21),"")</f>
        <v>37715565.418264031</v>
      </c>
      <c r="Z365" s="508">
        <f ca="1">IF(X365&lt;&gt;0,-LOOKUP($Q365,Waterfalls!$6:$6,Waterfalls!$153:$153),"")</f>
        <v>266507.95792204805</v>
      </c>
    </row>
    <row r="366" spans="1:26" x14ac:dyDescent="0.3">
      <c r="A366" s="761">
        <f>IF(B366&gt;=DevBdgt!$E$7,LOOKUP(B366,DevBdgt!$7:$7,DevBdgt!$6:$6),"")</f>
        <v>132</v>
      </c>
      <c r="B366" s="507">
        <f t="shared" si="19"/>
        <v>54848</v>
      </c>
      <c r="C366" s="7">
        <v>0</v>
      </c>
      <c r="D366" s="1145">
        <f t="shared" si="18"/>
        <v>2.4958999999999999E-2</v>
      </c>
      <c r="Q366" s="507">
        <f t="shared" si="20"/>
        <v>54848</v>
      </c>
      <c r="T366" s="344">
        <f ca="1">IF(ROUND(LOOKUP(Q366,Waterfalls!$6:$6,Waterfalls!$14:$14),0)&gt;0,1,0)*(D366+$H$4)</f>
        <v>0</v>
      </c>
      <c r="U366" s="508" t="str">
        <f ca="1">IF(T366&lt;&gt;0,LOOKUP(Q366,Waterfalls!$6:$6,Waterfalls!$14:$14),"")</f>
        <v/>
      </c>
      <c r="V366" s="508" t="str">
        <f ca="1">IF(T366&lt;&gt;0,-LOOKUP(Q366,Waterfalls!$6:$6,Waterfalls!$152:$152),"")</f>
        <v/>
      </c>
      <c r="X366" s="344">
        <f ca="1">IF(ROUND(LOOKUP($Q366,Waterfalls!$6:$6,Waterfalls!$21:$21),0)&gt;0,1,0)*($D366+$O$6)</f>
        <v>4.7459000000000001E-2</v>
      </c>
      <c r="Y366" s="508">
        <f ca="1">IF(X366&lt;&gt;0,LOOKUP($Q366,Waterfalls!$6:$6,Waterfalls!$21:$21),"")</f>
        <v>37715565.418264031</v>
      </c>
      <c r="Z366" s="508">
        <f ca="1">IF(X366&lt;&gt;0,-LOOKUP($Q366,Waterfalls!$6:$6,Waterfalls!$153:$153),"")</f>
        <v>266507.95792204805</v>
      </c>
    </row>
    <row r="367" spans="1:26" x14ac:dyDescent="0.3">
      <c r="A367" s="761">
        <f>IF(B367&gt;=DevBdgt!$E$7,LOOKUP(B367,DevBdgt!$7:$7,DevBdgt!$6:$6),"")</f>
        <v>132</v>
      </c>
      <c r="B367" s="507">
        <f t="shared" si="19"/>
        <v>54879</v>
      </c>
      <c r="C367" s="7">
        <v>0</v>
      </c>
      <c r="D367" s="1145">
        <f t="shared" si="18"/>
        <v>2.4958999999999999E-2</v>
      </c>
      <c r="Q367" s="507">
        <f t="shared" si="20"/>
        <v>54879</v>
      </c>
      <c r="T367" s="344">
        <f ca="1">IF(ROUND(LOOKUP(Q367,Waterfalls!$6:$6,Waterfalls!$14:$14),0)&gt;0,1,0)*(D367+$H$4)</f>
        <v>0</v>
      </c>
      <c r="U367" s="508" t="str">
        <f ca="1">IF(T367&lt;&gt;0,LOOKUP(Q367,Waterfalls!$6:$6,Waterfalls!$14:$14),"")</f>
        <v/>
      </c>
      <c r="V367" s="508" t="str">
        <f ca="1">IF(T367&lt;&gt;0,-LOOKUP(Q367,Waterfalls!$6:$6,Waterfalls!$152:$152),"")</f>
        <v/>
      </c>
      <c r="X367" s="344">
        <f ca="1">IF(ROUND(LOOKUP($Q367,Waterfalls!$6:$6,Waterfalls!$21:$21),0)&gt;0,1,0)*($D367+$O$6)</f>
        <v>4.7459000000000001E-2</v>
      </c>
      <c r="Y367" s="508">
        <f ca="1">IF(X367&lt;&gt;0,LOOKUP($Q367,Waterfalls!$6:$6,Waterfalls!$21:$21),"")</f>
        <v>37715565.418264031</v>
      </c>
      <c r="Z367" s="508">
        <f ca="1">IF(X367&lt;&gt;0,-LOOKUP($Q367,Waterfalls!$6:$6,Waterfalls!$153:$153),"")</f>
        <v>266507.95792204805</v>
      </c>
    </row>
    <row r="368" spans="1:26" x14ac:dyDescent="0.3">
      <c r="A368" s="761">
        <f>IF(B368&gt;=DevBdgt!$E$7,LOOKUP(B368,DevBdgt!$7:$7,DevBdgt!$6:$6),"")</f>
        <v>132</v>
      </c>
      <c r="B368" s="507">
        <f t="shared" si="19"/>
        <v>54909</v>
      </c>
      <c r="C368" s="7">
        <v>0</v>
      </c>
      <c r="D368" s="1145">
        <f t="shared" si="18"/>
        <v>2.4958999999999999E-2</v>
      </c>
      <c r="Q368" s="507">
        <f t="shared" si="20"/>
        <v>54909</v>
      </c>
      <c r="T368" s="344">
        <f ca="1">IF(ROUND(LOOKUP(Q368,Waterfalls!$6:$6,Waterfalls!$14:$14),0)&gt;0,1,0)*(D368+$H$4)</f>
        <v>0</v>
      </c>
      <c r="U368" s="508" t="str">
        <f ca="1">IF(T368&lt;&gt;0,LOOKUP(Q368,Waterfalls!$6:$6,Waterfalls!$14:$14),"")</f>
        <v/>
      </c>
      <c r="V368" s="508" t="str">
        <f ca="1">IF(T368&lt;&gt;0,-LOOKUP(Q368,Waterfalls!$6:$6,Waterfalls!$152:$152),"")</f>
        <v/>
      </c>
      <c r="X368" s="344">
        <f ca="1">IF(ROUND(LOOKUP($Q368,Waterfalls!$6:$6,Waterfalls!$21:$21),0)&gt;0,1,0)*($D368+$O$6)</f>
        <v>4.7459000000000001E-2</v>
      </c>
      <c r="Y368" s="508">
        <f ca="1">IF(X368&lt;&gt;0,LOOKUP($Q368,Waterfalls!$6:$6,Waterfalls!$21:$21),"")</f>
        <v>37715565.418264031</v>
      </c>
      <c r="Z368" s="508">
        <f ca="1">IF(X368&lt;&gt;0,-LOOKUP($Q368,Waterfalls!$6:$6,Waterfalls!$153:$153),"")</f>
        <v>266507.95792204805</v>
      </c>
    </row>
    <row r="369" spans="1:26" x14ac:dyDescent="0.3">
      <c r="A369" s="761">
        <f>IF(B369&gt;=DevBdgt!$E$7,LOOKUP(B369,DevBdgt!$7:$7,DevBdgt!$6:$6),"")</f>
        <v>132</v>
      </c>
      <c r="B369" s="507">
        <f t="shared" si="19"/>
        <v>54940</v>
      </c>
      <c r="C369" s="7">
        <v>0</v>
      </c>
      <c r="D369" s="1145">
        <f t="shared" si="18"/>
        <v>2.4958999999999999E-2</v>
      </c>
      <c r="Q369" s="507">
        <f t="shared" si="20"/>
        <v>54940</v>
      </c>
      <c r="T369" s="344">
        <f ca="1">IF(ROUND(LOOKUP(Q369,Waterfalls!$6:$6,Waterfalls!$14:$14),0)&gt;0,1,0)*(D369+$H$4)</f>
        <v>0</v>
      </c>
      <c r="U369" s="508" t="str">
        <f ca="1">IF(T369&lt;&gt;0,LOOKUP(Q369,Waterfalls!$6:$6,Waterfalls!$14:$14),"")</f>
        <v/>
      </c>
      <c r="V369" s="508" t="str">
        <f ca="1">IF(T369&lt;&gt;0,-LOOKUP(Q369,Waterfalls!$6:$6,Waterfalls!$152:$152),"")</f>
        <v/>
      </c>
      <c r="X369" s="344">
        <f ca="1">IF(ROUND(LOOKUP($Q369,Waterfalls!$6:$6,Waterfalls!$21:$21),0)&gt;0,1,0)*($D369+$O$6)</f>
        <v>4.7459000000000001E-2</v>
      </c>
      <c r="Y369" s="508">
        <f ca="1">IF(X369&lt;&gt;0,LOOKUP($Q369,Waterfalls!$6:$6,Waterfalls!$21:$21),"")</f>
        <v>37715565.418264031</v>
      </c>
      <c r="Z369" s="508">
        <f ca="1">IF(X369&lt;&gt;0,-LOOKUP($Q369,Waterfalls!$6:$6,Waterfalls!$153:$153),"")</f>
        <v>266507.95792204805</v>
      </c>
    </row>
    <row r="370" spans="1:26" x14ac:dyDescent="0.3">
      <c r="A370" s="761">
        <f>IF(B370&gt;=DevBdgt!$E$7,LOOKUP(B370,DevBdgt!$7:$7,DevBdgt!$6:$6),"")</f>
        <v>132</v>
      </c>
      <c r="B370" s="507">
        <f t="shared" si="19"/>
        <v>54970</v>
      </c>
      <c r="C370" s="7">
        <v>0</v>
      </c>
      <c r="D370" s="1145">
        <f t="shared" ref="D370:D433" si="21">IF(C370=0,D369,IF(C370&lt;$H$5,$H$5,IF(AND($H$6&gt;0,C370&gt;$H$6),$H$6,C370)))</f>
        <v>2.4958999999999999E-2</v>
      </c>
      <c r="Q370" s="507">
        <f t="shared" si="20"/>
        <v>54970</v>
      </c>
      <c r="T370" s="344">
        <f ca="1">IF(ROUND(LOOKUP(Q370,Waterfalls!$6:$6,Waterfalls!$14:$14),0)&gt;0,1,0)*(D370+$H$4)</f>
        <v>0</v>
      </c>
      <c r="U370" s="508" t="str">
        <f ca="1">IF(T370&lt;&gt;0,LOOKUP(Q370,Waterfalls!$6:$6,Waterfalls!$14:$14),"")</f>
        <v/>
      </c>
      <c r="V370" s="508" t="str">
        <f ca="1">IF(T370&lt;&gt;0,-LOOKUP(Q370,Waterfalls!$6:$6,Waterfalls!$152:$152),"")</f>
        <v/>
      </c>
      <c r="X370" s="344">
        <f ca="1">IF(ROUND(LOOKUP($Q370,Waterfalls!$6:$6,Waterfalls!$21:$21),0)&gt;0,1,0)*($D370+$O$6)</f>
        <v>4.7459000000000001E-2</v>
      </c>
      <c r="Y370" s="508">
        <f ca="1">IF(X370&lt;&gt;0,LOOKUP($Q370,Waterfalls!$6:$6,Waterfalls!$21:$21),"")</f>
        <v>37715565.418264031</v>
      </c>
      <c r="Z370" s="508">
        <f ca="1">IF(X370&lt;&gt;0,-LOOKUP($Q370,Waterfalls!$6:$6,Waterfalls!$153:$153),"")</f>
        <v>266507.95792204805</v>
      </c>
    </row>
    <row r="371" spans="1:26" x14ac:dyDescent="0.3">
      <c r="A371" s="761">
        <f>IF(B371&gt;=DevBdgt!$E$7,LOOKUP(B371,DevBdgt!$7:$7,DevBdgt!$6:$6),"")</f>
        <v>132</v>
      </c>
      <c r="B371" s="507">
        <f t="shared" si="19"/>
        <v>55001</v>
      </c>
      <c r="C371" s="7">
        <v>0</v>
      </c>
      <c r="D371" s="1145">
        <f t="shared" si="21"/>
        <v>2.4958999999999999E-2</v>
      </c>
      <c r="Q371" s="507">
        <f t="shared" si="20"/>
        <v>55001</v>
      </c>
      <c r="T371" s="344">
        <f ca="1">IF(ROUND(LOOKUP(Q371,Waterfalls!$6:$6,Waterfalls!$14:$14),0)&gt;0,1,0)*(D371+$H$4)</f>
        <v>0</v>
      </c>
      <c r="U371" s="508" t="str">
        <f ca="1">IF(T371&lt;&gt;0,LOOKUP(Q371,Waterfalls!$6:$6,Waterfalls!$14:$14),"")</f>
        <v/>
      </c>
      <c r="V371" s="508" t="str">
        <f ca="1">IF(T371&lt;&gt;0,-LOOKUP(Q371,Waterfalls!$6:$6,Waterfalls!$152:$152),"")</f>
        <v/>
      </c>
      <c r="X371" s="344">
        <f ca="1">IF(ROUND(LOOKUP($Q371,Waterfalls!$6:$6,Waterfalls!$21:$21),0)&gt;0,1,0)*($D371+$O$6)</f>
        <v>4.7459000000000001E-2</v>
      </c>
      <c r="Y371" s="508">
        <f ca="1">IF(X371&lt;&gt;0,LOOKUP($Q371,Waterfalls!$6:$6,Waterfalls!$21:$21),"")</f>
        <v>37715565.418264031</v>
      </c>
      <c r="Z371" s="508">
        <f ca="1">IF(X371&lt;&gt;0,-LOOKUP($Q371,Waterfalls!$6:$6,Waterfalls!$153:$153),"")</f>
        <v>266507.95792204805</v>
      </c>
    </row>
    <row r="372" spans="1:26" x14ac:dyDescent="0.3">
      <c r="A372" s="761">
        <f>IF(B372&gt;=DevBdgt!$E$7,LOOKUP(B372,DevBdgt!$7:$7,DevBdgt!$6:$6),"")</f>
        <v>132</v>
      </c>
      <c r="B372" s="507">
        <f t="shared" si="19"/>
        <v>55032</v>
      </c>
      <c r="C372" s="7">
        <v>0</v>
      </c>
      <c r="D372" s="1145">
        <f t="shared" si="21"/>
        <v>2.4958999999999999E-2</v>
      </c>
      <c r="Q372" s="507">
        <f t="shared" si="20"/>
        <v>55032</v>
      </c>
      <c r="T372" s="344">
        <f ca="1">IF(ROUND(LOOKUP(Q372,Waterfalls!$6:$6,Waterfalls!$14:$14),0)&gt;0,1,0)*(D372+$H$4)</f>
        <v>0</v>
      </c>
      <c r="U372" s="508" t="str">
        <f ca="1">IF(T372&lt;&gt;0,LOOKUP(Q372,Waterfalls!$6:$6,Waterfalls!$14:$14),"")</f>
        <v/>
      </c>
      <c r="V372" s="508" t="str">
        <f ca="1">IF(T372&lt;&gt;0,-LOOKUP(Q372,Waterfalls!$6:$6,Waterfalls!$152:$152),"")</f>
        <v/>
      </c>
      <c r="X372" s="344">
        <f ca="1">IF(ROUND(LOOKUP($Q372,Waterfalls!$6:$6,Waterfalls!$21:$21),0)&gt;0,1,0)*($D372+$O$6)</f>
        <v>4.7459000000000001E-2</v>
      </c>
      <c r="Y372" s="508">
        <f ca="1">IF(X372&lt;&gt;0,LOOKUP($Q372,Waterfalls!$6:$6,Waterfalls!$21:$21),"")</f>
        <v>37715565.418264031</v>
      </c>
      <c r="Z372" s="508">
        <f ca="1">IF(X372&lt;&gt;0,-LOOKUP($Q372,Waterfalls!$6:$6,Waterfalls!$153:$153),"")</f>
        <v>266507.95792204805</v>
      </c>
    </row>
    <row r="373" spans="1:26" x14ac:dyDescent="0.3">
      <c r="A373" s="761">
        <f>IF(B373&gt;=DevBdgt!$E$7,LOOKUP(B373,DevBdgt!$7:$7,DevBdgt!$6:$6),"")</f>
        <v>132</v>
      </c>
      <c r="B373" s="507">
        <f t="shared" si="19"/>
        <v>55062</v>
      </c>
      <c r="C373" s="7">
        <v>0</v>
      </c>
      <c r="D373" s="1145">
        <f t="shared" si="21"/>
        <v>2.4958999999999999E-2</v>
      </c>
      <c r="Q373" s="507">
        <f t="shared" si="20"/>
        <v>55062</v>
      </c>
      <c r="T373" s="344">
        <f ca="1">IF(ROUND(LOOKUP(Q373,Waterfalls!$6:$6,Waterfalls!$14:$14),0)&gt;0,1,0)*(D373+$H$4)</f>
        <v>0</v>
      </c>
      <c r="U373" s="508" t="str">
        <f ca="1">IF(T373&lt;&gt;0,LOOKUP(Q373,Waterfalls!$6:$6,Waterfalls!$14:$14),"")</f>
        <v/>
      </c>
      <c r="V373" s="508" t="str">
        <f ca="1">IF(T373&lt;&gt;0,-LOOKUP(Q373,Waterfalls!$6:$6,Waterfalls!$152:$152),"")</f>
        <v/>
      </c>
      <c r="X373" s="344">
        <f ca="1">IF(ROUND(LOOKUP($Q373,Waterfalls!$6:$6,Waterfalls!$21:$21),0)&gt;0,1,0)*($D373+$O$6)</f>
        <v>4.7459000000000001E-2</v>
      </c>
      <c r="Y373" s="508">
        <f ca="1">IF(X373&lt;&gt;0,LOOKUP($Q373,Waterfalls!$6:$6,Waterfalls!$21:$21),"")</f>
        <v>37715565.418264031</v>
      </c>
      <c r="Z373" s="508">
        <f ca="1">IF(X373&lt;&gt;0,-LOOKUP($Q373,Waterfalls!$6:$6,Waterfalls!$153:$153),"")</f>
        <v>266507.95792204805</v>
      </c>
    </row>
    <row r="374" spans="1:26" x14ac:dyDescent="0.3">
      <c r="A374" s="761">
        <f>IF(B374&gt;=DevBdgt!$E$7,LOOKUP(B374,DevBdgt!$7:$7,DevBdgt!$6:$6),"")</f>
        <v>132</v>
      </c>
      <c r="B374" s="507">
        <f t="shared" si="19"/>
        <v>55093</v>
      </c>
      <c r="C374" s="7">
        <v>0</v>
      </c>
      <c r="D374" s="1145">
        <f t="shared" si="21"/>
        <v>2.4958999999999999E-2</v>
      </c>
      <c r="Q374" s="507">
        <f t="shared" si="20"/>
        <v>55093</v>
      </c>
      <c r="T374" s="344">
        <f ca="1">IF(ROUND(LOOKUP(Q374,Waterfalls!$6:$6,Waterfalls!$14:$14),0)&gt;0,1,0)*(D374+$H$4)</f>
        <v>0</v>
      </c>
      <c r="U374" s="508" t="str">
        <f ca="1">IF(T374&lt;&gt;0,LOOKUP(Q374,Waterfalls!$6:$6,Waterfalls!$14:$14),"")</f>
        <v/>
      </c>
      <c r="V374" s="508" t="str">
        <f ca="1">IF(T374&lt;&gt;0,-LOOKUP(Q374,Waterfalls!$6:$6,Waterfalls!$152:$152),"")</f>
        <v/>
      </c>
      <c r="X374" s="344">
        <f ca="1">IF(ROUND(LOOKUP($Q374,Waterfalls!$6:$6,Waterfalls!$21:$21),0)&gt;0,1,0)*($D374+$O$6)</f>
        <v>4.7459000000000001E-2</v>
      </c>
      <c r="Y374" s="508">
        <f ca="1">IF(X374&lt;&gt;0,LOOKUP($Q374,Waterfalls!$6:$6,Waterfalls!$21:$21),"")</f>
        <v>37715565.418264031</v>
      </c>
      <c r="Z374" s="508">
        <f ca="1">IF(X374&lt;&gt;0,-LOOKUP($Q374,Waterfalls!$6:$6,Waterfalls!$153:$153),"")</f>
        <v>266507.95792204805</v>
      </c>
    </row>
    <row r="375" spans="1:26" x14ac:dyDescent="0.3">
      <c r="A375" s="761">
        <f>IF(B375&gt;=DevBdgt!$E$7,LOOKUP(B375,DevBdgt!$7:$7,DevBdgt!$6:$6),"")</f>
        <v>132</v>
      </c>
      <c r="B375" s="507">
        <f t="shared" si="19"/>
        <v>55123</v>
      </c>
      <c r="C375" s="7">
        <v>0</v>
      </c>
      <c r="D375" s="1145">
        <f t="shared" si="21"/>
        <v>2.4958999999999999E-2</v>
      </c>
      <c r="Q375" s="507">
        <f t="shared" si="20"/>
        <v>55123</v>
      </c>
      <c r="T375" s="344">
        <f ca="1">IF(ROUND(LOOKUP(Q375,Waterfalls!$6:$6,Waterfalls!$14:$14),0)&gt;0,1,0)*(D375+$H$4)</f>
        <v>0</v>
      </c>
      <c r="U375" s="508" t="str">
        <f ca="1">IF(T375&lt;&gt;0,LOOKUP(Q375,Waterfalls!$6:$6,Waterfalls!$14:$14),"")</f>
        <v/>
      </c>
      <c r="V375" s="508" t="str">
        <f ca="1">IF(T375&lt;&gt;0,-LOOKUP(Q375,Waterfalls!$6:$6,Waterfalls!$152:$152),"")</f>
        <v/>
      </c>
      <c r="X375" s="344">
        <f ca="1">IF(ROUND(LOOKUP($Q375,Waterfalls!$6:$6,Waterfalls!$21:$21),0)&gt;0,1,0)*($D375+$O$6)</f>
        <v>4.7459000000000001E-2</v>
      </c>
      <c r="Y375" s="508">
        <f ca="1">IF(X375&lt;&gt;0,LOOKUP($Q375,Waterfalls!$6:$6,Waterfalls!$21:$21),"")</f>
        <v>37715565.418264031</v>
      </c>
      <c r="Z375" s="508">
        <f ca="1">IF(X375&lt;&gt;0,-LOOKUP($Q375,Waterfalls!$6:$6,Waterfalls!$153:$153),"")</f>
        <v>266507.95792204805</v>
      </c>
    </row>
    <row r="376" spans="1:26" x14ac:dyDescent="0.3">
      <c r="A376" s="761">
        <f>IF(B376&gt;=DevBdgt!$E$7,LOOKUP(B376,DevBdgt!$7:$7,DevBdgt!$6:$6),"")</f>
        <v>132</v>
      </c>
      <c r="B376" s="507">
        <f t="shared" si="19"/>
        <v>55154</v>
      </c>
      <c r="C376" s="7">
        <v>0</v>
      </c>
      <c r="D376" s="1145">
        <f t="shared" si="21"/>
        <v>2.4958999999999999E-2</v>
      </c>
      <c r="Q376" s="507">
        <f t="shared" si="20"/>
        <v>55154</v>
      </c>
      <c r="T376" s="344">
        <f ca="1">IF(ROUND(LOOKUP(Q376,Waterfalls!$6:$6,Waterfalls!$14:$14),0)&gt;0,1,0)*(D376+$H$4)</f>
        <v>0</v>
      </c>
      <c r="U376" s="508" t="str">
        <f ca="1">IF(T376&lt;&gt;0,LOOKUP(Q376,Waterfalls!$6:$6,Waterfalls!$14:$14),"")</f>
        <v/>
      </c>
      <c r="V376" s="508" t="str">
        <f ca="1">IF(T376&lt;&gt;0,-LOOKUP(Q376,Waterfalls!$6:$6,Waterfalls!$152:$152),"")</f>
        <v/>
      </c>
      <c r="X376" s="344">
        <f ca="1">IF(ROUND(LOOKUP($Q376,Waterfalls!$6:$6,Waterfalls!$21:$21),0)&gt;0,1,0)*($D376+$O$6)</f>
        <v>4.7459000000000001E-2</v>
      </c>
      <c r="Y376" s="508">
        <f ca="1">IF(X376&lt;&gt;0,LOOKUP($Q376,Waterfalls!$6:$6,Waterfalls!$21:$21),"")</f>
        <v>37715565.418264031</v>
      </c>
      <c r="Z376" s="508">
        <f ca="1">IF(X376&lt;&gt;0,-LOOKUP($Q376,Waterfalls!$6:$6,Waterfalls!$153:$153),"")</f>
        <v>266507.95792204805</v>
      </c>
    </row>
    <row r="377" spans="1:26" x14ac:dyDescent="0.3">
      <c r="A377" s="761">
        <f>IF(B377&gt;=DevBdgt!$E$7,LOOKUP(B377,DevBdgt!$7:$7,DevBdgt!$6:$6),"")</f>
        <v>132</v>
      </c>
      <c r="B377" s="507">
        <f t="shared" si="19"/>
        <v>55185</v>
      </c>
      <c r="C377" s="7">
        <v>0</v>
      </c>
      <c r="D377" s="1145">
        <f t="shared" si="21"/>
        <v>2.4958999999999999E-2</v>
      </c>
      <c r="Q377" s="507">
        <f t="shared" si="20"/>
        <v>55185</v>
      </c>
      <c r="T377" s="344">
        <f ca="1">IF(ROUND(LOOKUP(Q377,Waterfalls!$6:$6,Waterfalls!$14:$14),0)&gt;0,1,0)*(D377+$H$4)</f>
        <v>0</v>
      </c>
      <c r="U377" s="508" t="str">
        <f ca="1">IF(T377&lt;&gt;0,LOOKUP(Q377,Waterfalls!$6:$6,Waterfalls!$14:$14),"")</f>
        <v/>
      </c>
      <c r="V377" s="508" t="str">
        <f ca="1">IF(T377&lt;&gt;0,-LOOKUP(Q377,Waterfalls!$6:$6,Waterfalls!$152:$152),"")</f>
        <v/>
      </c>
      <c r="X377" s="344">
        <f ca="1">IF(ROUND(LOOKUP($Q377,Waterfalls!$6:$6,Waterfalls!$21:$21),0)&gt;0,1,0)*($D377+$O$6)</f>
        <v>4.7459000000000001E-2</v>
      </c>
      <c r="Y377" s="508">
        <f ca="1">IF(X377&lt;&gt;0,LOOKUP($Q377,Waterfalls!$6:$6,Waterfalls!$21:$21),"")</f>
        <v>37715565.418264031</v>
      </c>
      <c r="Z377" s="508">
        <f ca="1">IF(X377&lt;&gt;0,-LOOKUP($Q377,Waterfalls!$6:$6,Waterfalls!$153:$153),"")</f>
        <v>266507.95792204805</v>
      </c>
    </row>
    <row r="378" spans="1:26" x14ac:dyDescent="0.3">
      <c r="A378" s="761">
        <f>IF(B378&gt;=DevBdgt!$E$7,LOOKUP(B378,DevBdgt!$7:$7,DevBdgt!$6:$6),"")</f>
        <v>132</v>
      </c>
      <c r="B378" s="507">
        <f t="shared" si="19"/>
        <v>55213</v>
      </c>
      <c r="C378" s="7">
        <v>0</v>
      </c>
      <c r="D378" s="1145">
        <f t="shared" si="21"/>
        <v>2.4958999999999999E-2</v>
      </c>
      <c r="Q378" s="507">
        <f t="shared" si="20"/>
        <v>55213</v>
      </c>
      <c r="T378" s="344">
        <f ca="1">IF(ROUND(LOOKUP(Q378,Waterfalls!$6:$6,Waterfalls!$14:$14),0)&gt;0,1,0)*(D378+$H$4)</f>
        <v>0</v>
      </c>
      <c r="U378" s="508" t="str">
        <f ca="1">IF(T378&lt;&gt;0,LOOKUP(Q378,Waterfalls!$6:$6,Waterfalls!$14:$14),"")</f>
        <v/>
      </c>
      <c r="V378" s="508" t="str">
        <f ca="1">IF(T378&lt;&gt;0,-LOOKUP(Q378,Waterfalls!$6:$6,Waterfalls!$152:$152),"")</f>
        <v/>
      </c>
      <c r="X378" s="344">
        <f ca="1">IF(ROUND(LOOKUP($Q378,Waterfalls!$6:$6,Waterfalls!$21:$21),0)&gt;0,1,0)*($D378+$O$6)</f>
        <v>4.7459000000000001E-2</v>
      </c>
      <c r="Y378" s="508">
        <f ca="1">IF(X378&lt;&gt;0,LOOKUP($Q378,Waterfalls!$6:$6,Waterfalls!$21:$21),"")</f>
        <v>37715565.418264031</v>
      </c>
      <c r="Z378" s="508">
        <f ca="1">IF(X378&lt;&gt;0,-LOOKUP($Q378,Waterfalls!$6:$6,Waterfalls!$153:$153),"")</f>
        <v>266507.95792204805</v>
      </c>
    </row>
    <row r="379" spans="1:26" x14ac:dyDescent="0.3">
      <c r="A379" s="761">
        <f>IF(B379&gt;=DevBdgt!$E$7,LOOKUP(B379,DevBdgt!$7:$7,DevBdgt!$6:$6),"")</f>
        <v>132</v>
      </c>
      <c r="B379" s="507">
        <f t="shared" si="19"/>
        <v>55244</v>
      </c>
      <c r="C379" s="7">
        <v>0</v>
      </c>
      <c r="D379" s="1145">
        <f t="shared" si="21"/>
        <v>2.4958999999999999E-2</v>
      </c>
      <c r="Q379" s="507">
        <f t="shared" si="20"/>
        <v>55244</v>
      </c>
      <c r="T379" s="344">
        <f ca="1">IF(ROUND(LOOKUP(Q379,Waterfalls!$6:$6,Waterfalls!$14:$14),0)&gt;0,1,0)*(D379+$H$4)</f>
        <v>0</v>
      </c>
      <c r="U379" s="508" t="str">
        <f ca="1">IF(T379&lt;&gt;0,LOOKUP(Q379,Waterfalls!$6:$6,Waterfalls!$14:$14),"")</f>
        <v/>
      </c>
      <c r="V379" s="508" t="str">
        <f ca="1">IF(T379&lt;&gt;0,-LOOKUP(Q379,Waterfalls!$6:$6,Waterfalls!$152:$152),"")</f>
        <v/>
      </c>
      <c r="X379" s="344">
        <f ca="1">IF(ROUND(LOOKUP($Q379,Waterfalls!$6:$6,Waterfalls!$21:$21),0)&gt;0,1,0)*($D379+$O$6)</f>
        <v>4.7459000000000001E-2</v>
      </c>
      <c r="Y379" s="508">
        <f ca="1">IF(X379&lt;&gt;0,LOOKUP($Q379,Waterfalls!$6:$6,Waterfalls!$21:$21),"")</f>
        <v>37715565.418264031</v>
      </c>
      <c r="Z379" s="508">
        <f ca="1">IF(X379&lt;&gt;0,-LOOKUP($Q379,Waterfalls!$6:$6,Waterfalls!$153:$153),"")</f>
        <v>266507.95792204805</v>
      </c>
    </row>
    <row r="380" spans="1:26" x14ac:dyDescent="0.3">
      <c r="A380" s="761">
        <f>IF(B380&gt;=DevBdgt!$E$7,LOOKUP(B380,DevBdgt!$7:$7,DevBdgt!$6:$6),"")</f>
        <v>132</v>
      </c>
      <c r="B380" s="507">
        <f t="shared" si="19"/>
        <v>55274</v>
      </c>
      <c r="C380" s="7">
        <v>0</v>
      </c>
      <c r="D380" s="1145">
        <f t="shared" si="21"/>
        <v>2.4958999999999999E-2</v>
      </c>
      <c r="Q380" s="507">
        <f t="shared" si="20"/>
        <v>55274</v>
      </c>
      <c r="T380" s="344">
        <f ca="1">IF(ROUND(LOOKUP(Q380,Waterfalls!$6:$6,Waterfalls!$14:$14),0)&gt;0,1,0)*(D380+$H$4)</f>
        <v>0</v>
      </c>
      <c r="U380" s="508" t="str">
        <f ca="1">IF(T380&lt;&gt;0,LOOKUP(Q380,Waterfalls!$6:$6,Waterfalls!$14:$14),"")</f>
        <v/>
      </c>
      <c r="V380" s="508" t="str">
        <f ca="1">IF(T380&lt;&gt;0,-LOOKUP(Q380,Waterfalls!$6:$6,Waterfalls!$152:$152),"")</f>
        <v/>
      </c>
      <c r="X380" s="344">
        <f ca="1">IF(ROUND(LOOKUP($Q380,Waterfalls!$6:$6,Waterfalls!$21:$21),0)&gt;0,1,0)*($D380+$O$6)</f>
        <v>4.7459000000000001E-2</v>
      </c>
      <c r="Y380" s="508">
        <f ca="1">IF(X380&lt;&gt;0,LOOKUP($Q380,Waterfalls!$6:$6,Waterfalls!$21:$21),"")</f>
        <v>37715565.418264031</v>
      </c>
      <c r="Z380" s="508">
        <f ca="1">IF(X380&lt;&gt;0,-LOOKUP($Q380,Waterfalls!$6:$6,Waterfalls!$153:$153),"")</f>
        <v>266507.95792204805</v>
      </c>
    </row>
    <row r="381" spans="1:26" x14ac:dyDescent="0.3">
      <c r="A381" s="761">
        <f>IF(B381&gt;=DevBdgt!$E$7,LOOKUP(B381,DevBdgt!$7:$7,DevBdgt!$6:$6),"")</f>
        <v>132</v>
      </c>
      <c r="B381" s="507">
        <f t="shared" si="19"/>
        <v>55305</v>
      </c>
      <c r="C381" s="7">
        <v>0</v>
      </c>
      <c r="D381" s="1145">
        <f t="shared" si="21"/>
        <v>2.4958999999999999E-2</v>
      </c>
      <c r="Q381" s="507">
        <f t="shared" si="20"/>
        <v>55305</v>
      </c>
      <c r="T381" s="344">
        <f ca="1">IF(ROUND(LOOKUP(Q381,Waterfalls!$6:$6,Waterfalls!$14:$14),0)&gt;0,1,0)*(D381+$H$4)</f>
        <v>0</v>
      </c>
      <c r="U381" s="508" t="str">
        <f ca="1">IF(T381&lt;&gt;0,LOOKUP(Q381,Waterfalls!$6:$6,Waterfalls!$14:$14),"")</f>
        <v/>
      </c>
      <c r="V381" s="508" t="str">
        <f ca="1">IF(T381&lt;&gt;0,-LOOKUP(Q381,Waterfalls!$6:$6,Waterfalls!$152:$152),"")</f>
        <v/>
      </c>
      <c r="X381" s="344">
        <f ca="1">IF(ROUND(LOOKUP($Q381,Waterfalls!$6:$6,Waterfalls!$21:$21),0)&gt;0,1,0)*($D381+$O$6)</f>
        <v>4.7459000000000001E-2</v>
      </c>
      <c r="Y381" s="508">
        <f ca="1">IF(X381&lt;&gt;0,LOOKUP($Q381,Waterfalls!$6:$6,Waterfalls!$21:$21),"")</f>
        <v>37715565.418264031</v>
      </c>
      <c r="Z381" s="508">
        <f ca="1">IF(X381&lt;&gt;0,-LOOKUP($Q381,Waterfalls!$6:$6,Waterfalls!$153:$153),"")</f>
        <v>266507.95792204805</v>
      </c>
    </row>
    <row r="382" spans="1:26" x14ac:dyDescent="0.3">
      <c r="A382" s="761">
        <f>IF(B382&gt;=DevBdgt!$E$7,LOOKUP(B382,DevBdgt!$7:$7,DevBdgt!$6:$6),"")</f>
        <v>132</v>
      </c>
      <c r="B382" s="507">
        <f t="shared" si="19"/>
        <v>55335</v>
      </c>
      <c r="C382" s="7">
        <v>0</v>
      </c>
      <c r="D382" s="1145">
        <f t="shared" si="21"/>
        <v>2.4958999999999999E-2</v>
      </c>
      <c r="Q382" s="507">
        <f t="shared" si="20"/>
        <v>55335</v>
      </c>
      <c r="T382" s="344">
        <f ca="1">IF(ROUND(LOOKUP(Q382,Waterfalls!$6:$6,Waterfalls!$14:$14),0)&gt;0,1,0)*(D382+$H$4)</f>
        <v>0</v>
      </c>
      <c r="U382" s="508" t="str">
        <f ca="1">IF(T382&lt;&gt;0,LOOKUP(Q382,Waterfalls!$6:$6,Waterfalls!$14:$14),"")</f>
        <v/>
      </c>
      <c r="V382" s="508" t="str">
        <f ca="1">IF(T382&lt;&gt;0,-LOOKUP(Q382,Waterfalls!$6:$6,Waterfalls!$152:$152),"")</f>
        <v/>
      </c>
      <c r="X382" s="344">
        <f ca="1">IF(ROUND(LOOKUP($Q382,Waterfalls!$6:$6,Waterfalls!$21:$21),0)&gt;0,1,0)*($D382+$O$6)</f>
        <v>4.7459000000000001E-2</v>
      </c>
      <c r="Y382" s="508">
        <f ca="1">IF(X382&lt;&gt;0,LOOKUP($Q382,Waterfalls!$6:$6,Waterfalls!$21:$21),"")</f>
        <v>37715565.418264031</v>
      </c>
      <c r="Z382" s="508">
        <f ca="1">IF(X382&lt;&gt;0,-LOOKUP($Q382,Waterfalls!$6:$6,Waterfalls!$153:$153),"")</f>
        <v>266507.95792204805</v>
      </c>
    </row>
    <row r="383" spans="1:26" x14ac:dyDescent="0.3">
      <c r="A383" s="761">
        <f>IF(B383&gt;=DevBdgt!$E$7,LOOKUP(B383,DevBdgt!$7:$7,DevBdgt!$6:$6),"")</f>
        <v>132</v>
      </c>
      <c r="B383" s="507">
        <f t="shared" si="19"/>
        <v>55366</v>
      </c>
      <c r="C383" s="7">
        <v>0</v>
      </c>
      <c r="D383" s="1145">
        <f t="shared" si="21"/>
        <v>2.4958999999999999E-2</v>
      </c>
      <c r="Q383" s="507">
        <f t="shared" si="20"/>
        <v>55366</v>
      </c>
      <c r="T383" s="344">
        <f ca="1">IF(ROUND(LOOKUP(Q383,Waterfalls!$6:$6,Waterfalls!$14:$14),0)&gt;0,1,0)*(D383+$H$4)</f>
        <v>0</v>
      </c>
      <c r="U383" s="508" t="str">
        <f ca="1">IF(T383&lt;&gt;0,LOOKUP(Q383,Waterfalls!$6:$6,Waterfalls!$14:$14),"")</f>
        <v/>
      </c>
      <c r="V383" s="508" t="str">
        <f ca="1">IF(T383&lt;&gt;0,-LOOKUP(Q383,Waterfalls!$6:$6,Waterfalls!$152:$152),"")</f>
        <v/>
      </c>
      <c r="X383" s="344">
        <f ca="1">IF(ROUND(LOOKUP($Q383,Waterfalls!$6:$6,Waterfalls!$21:$21),0)&gt;0,1,0)*($D383+$O$6)</f>
        <v>4.7459000000000001E-2</v>
      </c>
      <c r="Y383" s="508">
        <f ca="1">IF(X383&lt;&gt;0,LOOKUP($Q383,Waterfalls!$6:$6,Waterfalls!$21:$21),"")</f>
        <v>37715565.418264031</v>
      </c>
      <c r="Z383" s="508">
        <f ca="1">IF(X383&lt;&gt;0,-LOOKUP($Q383,Waterfalls!$6:$6,Waterfalls!$153:$153),"")</f>
        <v>266507.95792204805</v>
      </c>
    </row>
    <row r="384" spans="1:26" x14ac:dyDescent="0.3">
      <c r="A384" s="761">
        <f>IF(B384&gt;=DevBdgt!$E$7,LOOKUP(B384,DevBdgt!$7:$7,DevBdgt!$6:$6),"")</f>
        <v>132</v>
      </c>
      <c r="B384" s="507">
        <f t="shared" si="19"/>
        <v>55397</v>
      </c>
      <c r="C384" s="7">
        <v>0</v>
      </c>
      <c r="D384" s="1145">
        <f t="shared" si="21"/>
        <v>2.4958999999999999E-2</v>
      </c>
      <c r="Q384" s="507">
        <f t="shared" si="20"/>
        <v>55397</v>
      </c>
      <c r="T384" s="344">
        <f ca="1">IF(ROUND(LOOKUP(Q384,Waterfalls!$6:$6,Waterfalls!$14:$14),0)&gt;0,1,0)*(D384+$H$4)</f>
        <v>0</v>
      </c>
      <c r="U384" s="508" t="str">
        <f ca="1">IF(T384&lt;&gt;0,LOOKUP(Q384,Waterfalls!$6:$6,Waterfalls!$14:$14),"")</f>
        <v/>
      </c>
      <c r="V384" s="508" t="str">
        <f ca="1">IF(T384&lt;&gt;0,-LOOKUP(Q384,Waterfalls!$6:$6,Waterfalls!$152:$152),"")</f>
        <v/>
      </c>
      <c r="X384" s="344">
        <f ca="1">IF(ROUND(LOOKUP($Q384,Waterfalls!$6:$6,Waterfalls!$21:$21),0)&gt;0,1,0)*($D384+$O$6)</f>
        <v>4.7459000000000001E-2</v>
      </c>
      <c r="Y384" s="508">
        <f ca="1">IF(X384&lt;&gt;0,LOOKUP($Q384,Waterfalls!$6:$6,Waterfalls!$21:$21),"")</f>
        <v>37715565.418264031</v>
      </c>
      <c r="Z384" s="508">
        <f ca="1">IF(X384&lt;&gt;0,-LOOKUP($Q384,Waterfalls!$6:$6,Waterfalls!$153:$153),"")</f>
        <v>266507.95792204805</v>
      </c>
    </row>
    <row r="385" spans="1:26" x14ac:dyDescent="0.3">
      <c r="A385" s="761">
        <f>IF(B385&gt;=DevBdgt!$E$7,LOOKUP(B385,DevBdgt!$7:$7,DevBdgt!$6:$6),"")</f>
        <v>132</v>
      </c>
      <c r="B385" s="507">
        <f t="shared" si="19"/>
        <v>55427</v>
      </c>
      <c r="C385" s="7">
        <v>0</v>
      </c>
      <c r="D385" s="1145">
        <f t="shared" si="21"/>
        <v>2.4958999999999999E-2</v>
      </c>
      <c r="Q385" s="507">
        <f t="shared" si="20"/>
        <v>55427</v>
      </c>
      <c r="T385" s="344">
        <f ca="1">IF(ROUND(LOOKUP(Q385,Waterfalls!$6:$6,Waterfalls!$14:$14),0)&gt;0,1,0)*(D385+$H$4)</f>
        <v>0</v>
      </c>
      <c r="U385" s="508" t="str">
        <f ca="1">IF(T385&lt;&gt;0,LOOKUP(Q385,Waterfalls!$6:$6,Waterfalls!$14:$14),"")</f>
        <v/>
      </c>
      <c r="V385" s="508" t="str">
        <f ca="1">IF(T385&lt;&gt;0,-LOOKUP(Q385,Waterfalls!$6:$6,Waterfalls!$152:$152),"")</f>
        <v/>
      </c>
      <c r="X385" s="344">
        <f ca="1">IF(ROUND(LOOKUP($Q385,Waterfalls!$6:$6,Waterfalls!$21:$21),0)&gt;0,1,0)*($D385+$O$6)</f>
        <v>4.7459000000000001E-2</v>
      </c>
      <c r="Y385" s="508">
        <f ca="1">IF(X385&lt;&gt;0,LOOKUP($Q385,Waterfalls!$6:$6,Waterfalls!$21:$21),"")</f>
        <v>37715565.418264031</v>
      </c>
      <c r="Z385" s="508">
        <f ca="1">IF(X385&lt;&gt;0,-LOOKUP($Q385,Waterfalls!$6:$6,Waterfalls!$153:$153),"")</f>
        <v>266507.95792204805</v>
      </c>
    </row>
    <row r="386" spans="1:26" x14ac:dyDescent="0.3">
      <c r="A386" s="761">
        <f>IF(B386&gt;=DevBdgt!$E$7,LOOKUP(B386,DevBdgt!$7:$7,DevBdgt!$6:$6),"")</f>
        <v>132</v>
      </c>
      <c r="B386" s="507">
        <f t="shared" si="19"/>
        <v>55458</v>
      </c>
      <c r="C386" s="7">
        <v>0</v>
      </c>
      <c r="D386" s="1145">
        <f t="shared" si="21"/>
        <v>2.4958999999999999E-2</v>
      </c>
      <c r="Q386" s="507">
        <f t="shared" si="20"/>
        <v>55458</v>
      </c>
      <c r="T386" s="344">
        <f ca="1">IF(ROUND(LOOKUP(Q386,Waterfalls!$6:$6,Waterfalls!$14:$14),0)&gt;0,1,0)*(D386+$H$4)</f>
        <v>0</v>
      </c>
      <c r="U386" s="508" t="str">
        <f ca="1">IF(T386&lt;&gt;0,LOOKUP(Q386,Waterfalls!$6:$6,Waterfalls!$14:$14),"")</f>
        <v/>
      </c>
      <c r="V386" s="508" t="str">
        <f ca="1">IF(T386&lt;&gt;0,-LOOKUP(Q386,Waterfalls!$6:$6,Waterfalls!$152:$152),"")</f>
        <v/>
      </c>
      <c r="X386" s="344">
        <f ca="1">IF(ROUND(LOOKUP($Q386,Waterfalls!$6:$6,Waterfalls!$21:$21),0)&gt;0,1,0)*($D386+$O$6)</f>
        <v>4.7459000000000001E-2</v>
      </c>
      <c r="Y386" s="508">
        <f ca="1">IF(X386&lt;&gt;0,LOOKUP($Q386,Waterfalls!$6:$6,Waterfalls!$21:$21),"")</f>
        <v>37715565.418264031</v>
      </c>
      <c r="Z386" s="508">
        <f ca="1">IF(X386&lt;&gt;0,-LOOKUP($Q386,Waterfalls!$6:$6,Waterfalls!$153:$153),"")</f>
        <v>266507.95792204805</v>
      </c>
    </row>
    <row r="387" spans="1:26" x14ac:dyDescent="0.3">
      <c r="A387" s="761">
        <f>IF(B387&gt;=DevBdgt!$E$7,LOOKUP(B387,DevBdgt!$7:$7,DevBdgt!$6:$6),"")</f>
        <v>132</v>
      </c>
      <c r="B387" s="507">
        <f t="shared" si="19"/>
        <v>55488</v>
      </c>
      <c r="C387" s="7">
        <v>0</v>
      </c>
      <c r="D387" s="1145">
        <f t="shared" si="21"/>
        <v>2.4958999999999999E-2</v>
      </c>
      <c r="Q387" s="507">
        <f t="shared" si="20"/>
        <v>55488</v>
      </c>
      <c r="T387" s="344">
        <f ca="1">IF(ROUND(LOOKUP(Q387,Waterfalls!$6:$6,Waterfalls!$14:$14),0)&gt;0,1,0)*(D387+$H$4)</f>
        <v>0</v>
      </c>
      <c r="U387" s="508" t="str">
        <f ca="1">IF(T387&lt;&gt;0,LOOKUP(Q387,Waterfalls!$6:$6,Waterfalls!$14:$14),"")</f>
        <v/>
      </c>
      <c r="V387" s="508" t="str">
        <f ca="1">IF(T387&lt;&gt;0,-LOOKUP(Q387,Waterfalls!$6:$6,Waterfalls!$152:$152),"")</f>
        <v/>
      </c>
      <c r="X387" s="344">
        <f ca="1">IF(ROUND(LOOKUP($Q387,Waterfalls!$6:$6,Waterfalls!$21:$21),0)&gt;0,1,0)*($D387+$O$6)</f>
        <v>4.7459000000000001E-2</v>
      </c>
      <c r="Y387" s="508">
        <f ca="1">IF(X387&lt;&gt;0,LOOKUP($Q387,Waterfalls!$6:$6,Waterfalls!$21:$21),"")</f>
        <v>37715565.418264031</v>
      </c>
      <c r="Z387" s="508">
        <f ca="1">IF(X387&lt;&gt;0,-LOOKUP($Q387,Waterfalls!$6:$6,Waterfalls!$153:$153),"")</f>
        <v>266507.95792204805</v>
      </c>
    </row>
    <row r="388" spans="1:26" x14ac:dyDescent="0.3">
      <c r="A388" s="761">
        <f>IF(B388&gt;=DevBdgt!$E$7,LOOKUP(B388,DevBdgt!$7:$7,DevBdgt!$6:$6),"")</f>
        <v>132</v>
      </c>
      <c r="B388" s="507">
        <f t="shared" si="19"/>
        <v>55519</v>
      </c>
      <c r="C388" s="7">
        <v>0</v>
      </c>
      <c r="D388" s="1145">
        <f t="shared" si="21"/>
        <v>2.4958999999999999E-2</v>
      </c>
      <c r="Q388" s="507">
        <f t="shared" si="20"/>
        <v>55519</v>
      </c>
      <c r="T388" s="344">
        <f ca="1">IF(ROUND(LOOKUP(Q388,Waterfalls!$6:$6,Waterfalls!$14:$14),0)&gt;0,1,0)*(D388+$H$4)</f>
        <v>0</v>
      </c>
      <c r="U388" s="508" t="str">
        <f ca="1">IF(T388&lt;&gt;0,LOOKUP(Q388,Waterfalls!$6:$6,Waterfalls!$14:$14),"")</f>
        <v/>
      </c>
      <c r="V388" s="508" t="str">
        <f ca="1">IF(T388&lt;&gt;0,-LOOKUP(Q388,Waterfalls!$6:$6,Waterfalls!$152:$152),"")</f>
        <v/>
      </c>
      <c r="X388" s="344">
        <f ca="1">IF(ROUND(LOOKUP($Q388,Waterfalls!$6:$6,Waterfalls!$21:$21),0)&gt;0,1,0)*($D388+$O$6)</f>
        <v>4.7459000000000001E-2</v>
      </c>
      <c r="Y388" s="508">
        <f ca="1">IF(X388&lt;&gt;0,LOOKUP($Q388,Waterfalls!$6:$6,Waterfalls!$21:$21),"")</f>
        <v>37715565.418264031</v>
      </c>
      <c r="Z388" s="508">
        <f ca="1">IF(X388&lt;&gt;0,-LOOKUP($Q388,Waterfalls!$6:$6,Waterfalls!$153:$153),"")</f>
        <v>266507.95792204805</v>
      </c>
    </row>
    <row r="389" spans="1:26" x14ac:dyDescent="0.3">
      <c r="A389" s="761">
        <f>IF(B389&gt;=DevBdgt!$E$7,LOOKUP(B389,DevBdgt!$7:$7,DevBdgt!$6:$6),"")</f>
        <v>132</v>
      </c>
      <c r="B389" s="507">
        <f t="shared" si="19"/>
        <v>55550</v>
      </c>
      <c r="C389" s="7">
        <v>0</v>
      </c>
      <c r="D389" s="1145">
        <f t="shared" si="21"/>
        <v>2.4958999999999999E-2</v>
      </c>
      <c r="Q389" s="507">
        <f t="shared" si="20"/>
        <v>55550</v>
      </c>
      <c r="T389" s="344">
        <f ca="1">IF(ROUND(LOOKUP(Q389,Waterfalls!$6:$6,Waterfalls!$14:$14),0)&gt;0,1,0)*(D389+$H$4)</f>
        <v>0</v>
      </c>
      <c r="U389" s="508" t="str">
        <f ca="1">IF(T389&lt;&gt;0,LOOKUP(Q389,Waterfalls!$6:$6,Waterfalls!$14:$14),"")</f>
        <v/>
      </c>
      <c r="V389" s="508" t="str">
        <f ca="1">IF(T389&lt;&gt;0,-LOOKUP(Q389,Waterfalls!$6:$6,Waterfalls!$152:$152),"")</f>
        <v/>
      </c>
      <c r="X389" s="344">
        <f ca="1">IF(ROUND(LOOKUP($Q389,Waterfalls!$6:$6,Waterfalls!$21:$21),0)&gt;0,1,0)*($D389+$O$6)</f>
        <v>4.7459000000000001E-2</v>
      </c>
      <c r="Y389" s="508">
        <f ca="1">IF(X389&lt;&gt;0,LOOKUP($Q389,Waterfalls!$6:$6,Waterfalls!$21:$21),"")</f>
        <v>37715565.418264031</v>
      </c>
      <c r="Z389" s="508">
        <f ca="1">IF(X389&lt;&gt;0,-LOOKUP($Q389,Waterfalls!$6:$6,Waterfalls!$153:$153),"")</f>
        <v>266507.95792204805</v>
      </c>
    </row>
    <row r="390" spans="1:26" x14ac:dyDescent="0.3">
      <c r="A390" s="761">
        <f>IF(B390&gt;=DevBdgt!$E$7,LOOKUP(B390,DevBdgt!$7:$7,DevBdgt!$6:$6),"")</f>
        <v>132</v>
      </c>
      <c r="B390" s="507">
        <f t="shared" ref="B390:B453" si="22">EDATE(B389,1)</f>
        <v>55579</v>
      </c>
      <c r="C390" s="7">
        <v>0</v>
      </c>
      <c r="D390" s="1145">
        <f t="shared" si="21"/>
        <v>2.4958999999999999E-2</v>
      </c>
      <c r="Q390" s="507">
        <f t="shared" si="20"/>
        <v>55579</v>
      </c>
      <c r="T390" s="344">
        <f ca="1">IF(ROUND(LOOKUP(Q390,Waterfalls!$6:$6,Waterfalls!$14:$14),0)&gt;0,1,0)*(D390+$H$4)</f>
        <v>0</v>
      </c>
      <c r="U390" s="508" t="str">
        <f ca="1">IF(T390&lt;&gt;0,LOOKUP(Q390,Waterfalls!$6:$6,Waterfalls!$14:$14),"")</f>
        <v/>
      </c>
      <c r="V390" s="508" t="str">
        <f ca="1">IF(T390&lt;&gt;0,-LOOKUP(Q390,Waterfalls!$6:$6,Waterfalls!$152:$152),"")</f>
        <v/>
      </c>
      <c r="X390" s="344">
        <f ca="1">IF(ROUND(LOOKUP($Q390,Waterfalls!$6:$6,Waterfalls!$21:$21),0)&gt;0,1,0)*($D390+$O$6)</f>
        <v>4.7459000000000001E-2</v>
      </c>
      <c r="Y390" s="508">
        <f ca="1">IF(X390&lt;&gt;0,LOOKUP($Q390,Waterfalls!$6:$6,Waterfalls!$21:$21),"")</f>
        <v>37715565.418264031</v>
      </c>
      <c r="Z390" s="508">
        <f ca="1">IF(X390&lt;&gt;0,-LOOKUP($Q390,Waterfalls!$6:$6,Waterfalls!$153:$153),"")</f>
        <v>266507.95792204805</v>
      </c>
    </row>
    <row r="391" spans="1:26" x14ac:dyDescent="0.3">
      <c r="A391" s="761">
        <f>IF(B391&gt;=DevBdgt!$E$7,LOOKUP(B391,DevBdgt!$7:$7,DevBdgt!$6:$6),"")</f>
        <v>132</v>
      </c>
      <c r="B391" s="507">
        <f t="shared" si="22"/>
        <v>55610</v>
      </c>
      <c r="C391" s="7">
        <v>0</v>
      </c>
      <c r="D391" s="1145">
        <f t="shared" si="21"/>
        <v>2.4958999999999999E-2</v>
      </c>
      <c r="Q391" s="507">
        <f t="shared" si="20"/>
        <v>55610</v>
      </c>
      <c r="T391" s="344">
        <f ca="1">IF(ROUND(LOOKUP(Q391,Waterfalls!$6:$6,Waterfalls!$14:$14),0)&gt;0,1,0)*(D391+$H$4)</f>
        <v>0</v>
      </c>
      <c r="U391" s="508" t="str">
        <f ca="1">IF(T391&lt;&gt;0,LOOKUP(Q391,Waterfalls!$6:$6,Waterfalls!$14:$14),"")</f>
        <v/>
      </c>
      <c r="V391" s="508" t="str">
        <f ca="1">IF(T391&lt;&gt;0,-LOOKUP(Q391,Waterfalls!$6:$6,Waterfalls!$152:$152),"")</f>
        <v/>
      </c>
      <c r="X391" s="344">
        <f ca="1">IF(ROUND(LOOKUP($Q391,Waterfalls!$6:$6,Waterfalls!$21:$21),0)&gt;0,1,0)*($D391+$O$6)</f>
        <v>4.7459000000000001E-2</v>
      </c>
      <c r="Y391" s="508">
        <f ca="1">IF(X391&lt;&gt;0,LOOKUP($Q391,Waterfalls!$6:$6,Waterfalls!$21:$21),"")</f>
        <v>37715565.418264031</v>
      </c>
      <c r="Z391" s="508">
        <f ca="1">IF(X391&lt;&gt;0,-LOOKUP($Q391,Waterfalls!$6:$6,Waterfalls!$153:$153),"")</f>
        <v>266507.95792204805</v>
      </c>
    </row>
    <row r="392" spans="1:26" x14ac:dyDescent="0.3">
      <c r="A392" s="761">
        <f>IF(B392&gt;=DevBdgt!$E$7,LOOKUP(B392,DevBdgt!$7:$7,DevBdgt!$6:$6),"")</f>
        <v>132</v>
      </c>
      <c r="B392" s="507">
        <f t="shared" si="22"/>
        <v>55640</v>
      </c>
      <c r="C392" s="7">
        <v>0</v>
      </c>
      <c r="D392" s="1145">
        <f t="shared" si="21"/>
        <v>2.4958999999999999E-2</v>
      </c>
      <c r="Q392" s="507">
        <f t="shared" si="20"/>
        <v>55640</v>
      </c>
      <c r="T392" s="344">
        <f ca="1">IF(ROUND(LOOKUP(Q392,Waterfalls!$6:$6,Waterfalls!$14:$14),0)&gt;0,1,0)*(D392+$H$4)</f>
        <v>0</v>
      </c>
      <c r="U392" s="508" t="str">
        <f ca="1">IF(T392&lt;&gt;0,LOOKUP(Q392,Waterfalls!$6:$6,Waterfalls!$14:$14),"")</f>
        <v/>
      </c>
      <c r="V392" s="508" t="str">
        <f ca="1">IF(T392&lt;&gt;0,-LOOKUP(Q392,Waterfalls!$6:$6,Waterfalls!$152:$152),"")</f>
        <v/>
      </c>
      <c r="X392" s="344">
        <f ca="1">IF(ROUND(LOOKUP($Q392,Waterfalls!$6:$6,Waterfalls!$21:$21),0)&gt;0,1,0)*($D392+$O$6)</f>
        <v>4.7459000000000001E-2</v>
      </c>
      <c r="Y392" s="508">
        <f ca="1">IF(X392&lt;&gt;0,LOOKUP($Q392,Waterfalls!$6:$6,Waterfalls!$21:$21),"")</f>
        <v>37715565.418264031</v>
      </c>
      <c r="Z392" s="508">
        <f ca="1">IF(X392&lt;&gt;0,-LOOKUP($Q392,Waterfalls!$6:$6,Waterfalls!$153:$153),"")</f>
        <v>266507.95792204805</v>
      </c>
    </row>
    <row r="393" spans="1:26" x14ac:dyDescent="0.3">
      <c r="A393" s="761">
        <f>IF(B393&gt;=DevBdgt!$E$7,LOOKUP(B393,DevBdgt!$7:$7,DevBdgt!$6:$6),"")</f>
        <v>132</v>
      </c>
      <c r="B393" s="507">
        <f t="shared" si="22"/>
        <v>55671</v>
      </c>
      <c r="C393" s="7">
        <v>0</v>
      </c>
      <c r="D393" s="1145">
        <f t="shared" si="21"/>
        <v>2.4958999999999999E-2</v>
      </c>
      <c r="Q393" s="507">
        <f t="shared" si="20"/>
        <v>55671</v>
      </c>
      <c r="T393" s="344">
        <f ca="1">IF(ROUND(LOOKUP(Q393,Waterfalls!$6:$6,Waterfalls!$14:$14),0)&gt;0,1,0)*(D393+$H$4)</f>
        <v>0</v>
      </c>
      <c r="U393" s="508" t="str">
        <f ca="1">IF(T393&lt;&gt;0,LOOKUP(Q393,Waterfalls!$6:$6,Waterfalls!$14:$14),"")</f>
        <v/>
      </c>
      <c r="V393" s="508" t="str">
        <f ca="1">IF(T393&lt;&gt;0,-LOOKUP(Q393,Waterfalls!$6:$6,Waterfalls!$152:$152),"")</f>
        <v/>
      </c>
      <c r="X393" s="344">
        <f ca="1">IF(ROUND(LOOKUP($Q393,Waterfalls!$6:$6,Waterfalls!$21:$21),0)&gt;0,1,0)*($D393+$O$6)</f>
        <v>4.7459000000000001E-2</v>
      </c>
      <c r="Y393" s="508">
        <f ca="1">IF(X393&lt;&gt;0,LOOKUP($Q393,Waterfalls!$6:$6,Waterfalls!$21:$21),"")</f>
        <v>37715565.418264031</v>
      </c>
      <c r="Z393" s="508">
        <f ca="1">IF(X393&lt;&gt;0,-LOOKUP($Q393,Waterfalls!$6:$6,Waterfalls!$153:$153),"")</f>
        <v>266507.95792204805</v>
      </c>
    </row>
    <row r="394" spans="1:26" x14ac:dyDescent="0.3">
      <c r="A394" s="761">
        <f>IF(B394&gt;=DevBdgt!$E$7,LOOKUP(B394,DevBdgt!$7:$7,DevBdgt!$6:$6),"")</f>
        <v>132</v>
      </c>
      <c r="B394" s="507">
        <f t="shared" si="22"/>
        <v>55701</v>
      </c>
      <c r="C394" s="7">
        <v>0</v>
      </c>
      <c r="D394" s="1145">
        <f t="shared" si="21"/>
        <v>2.4958999999999999E-2</v>
      </c>
      <c r="Q394" s="507">
        <f t="shared" si="20"/>
        <v>55701</v>
      </c>
      <c r="T394" s="344">
        <f ca="1">IF(ROUND(LOOKUP(Q394,Waterfalls!$6:$6,Waterfalls!$14:$14),0)&gt;0,1,0)*(D394+$H$4)</f>
        <v>0</v>
      </c>
      <c r="U394" s="508" t="str">
        <f ca="1">IF(T394&lt;&gt;0,LOOKUP(Q394,Waterfalls!$6:$6,Waterfalls!$14:$14),"")</f>
        <v/>
      </c>
      <c r="V394" s="508" t="str">
        <f ca="1">IF(T394&lt;&gt;0,-LOOKUP(Q394,Waterfalls!$6:$6,Waterfalls!$152:$152),"")</f>
        <v/>
      </c>
      <c r="X394" s="344">
        <f ca="1">IF(ROUND(LOOKUP($Q394,Waterfalls!$6:$6,Waterfalls!$21:$21),0)&gt;0,1,0)*($D394+$O$6)</f>
        <v>4.7459000000000001E-2</v>
      </c>
      <c r="Y394" s="508">
        <f ca="1">IF(X394&lt;&gt;0,LOOKUP($Q394,Waterfalls!$6:$6,Waterfalls!$21:$21),"")</f>
        <v>37715565.418264031</v>
      </c>
      <c r="Z394" s="508">
        <f ca="1">IF(X394&lt;&gt;0,-LOOKUP($Q394,Waterfalls!$6:$6,Waterfalls!$153:$153),"")</f>
        <v>266507.95792204805</v>
      </c>
    </row>
    <row r="395" spans="1:26" x14ac:dyDescent="0.3">
      <c r="A395" s="761">
        <f>IF(B395&gt;=DevBdgt!$E$7,LOOKUP(B395,DevBdgt!$7:$7,DevBdgt!$6:$6),"")</f>
        <v>132</v>
      </c>
      <c r="B395" s="507">
        <f t="shared" si="22"/>
        <v>55732</v>
      </c>
      <c r="C395" s="7">
        <v>0</v>
      </c>
      <c r="D395" s="1145">
        <f t="shared" si="21"/>
        <v>2.4958999999999999E-2</v>
      </c>
      <c r="Q395" s="507">
        <f t="shared" si="20"/>
        <v>55732</v>
      </c>
      <c r="T395" s="344">
        <f ca="1">IF(ROUND(LOOKUP(Q395,Waterfalls!$6:$6,Waterfalls!$14:$14),0)&gt;0,1,0)*(D395+$H$4)</f>
        <v>0</v>
      </c>
      <c r="U395" s="508" t="str">
        <f ca="1">IF(T395&lt;&gt;0,LOOKUP(Q395,Waterfalls!$6:$6,Waterfalls!$14:$14),"")</f>
        <v/>
      </c>
      <c r="V395" s="508" t="str">
        <f ca="1">IF(T395&lt;&gt;0,-LOOKUP(Q395,Waterfalls!$6:$6,Waterfalls!$152:$152),"")</f>
        <v/>
      </c>
      <c r="X395" s="344">
        <f ca="1">IF(ROUND(LOOKUP($Q395,Waterfalls!$6:$6,Waterfalls!$21:$21),0)&gt;0,1,0)*($D395+$O$6)</f>
        <v>4.7459000000000001E-2</v>
      </c>
      <c r="Y395" s="508">
        <f ca="1">IF(X395&lt;&gt;0,LOOKUP($Q395,Waterfalls!$6:$6,Waterfalls!$21:$21),"")</f>
        <v>37715565.418264031</v>
      </c>
      <c r="Z395" s="508">
        <f ca="1">IF(X395&lt;&gt;0,-LOOKUP($Q395,Waterfalls!$6:$6,Waterfalls!$153:$153),"")</f>
        <v>266507.95792204805</v>
      </c>
    </row>
    <row r="396" spans="1:26" x14ac:dyDescent="0.3">
      <c r="A396" s="761">
        <f>IF(B396&gt;=DevBdgt!$E$7,LOOKUP(B396,DevBdgt!$7:$7,DevBdgt!$6:$6),"")</f>
        <v>132</v>
      </c>
      <c r="B396" s="507">
        <f t="shared" si="22"/>
        <v>55763</v>
      </c>
      <c r="C396" s="7">
        <v>0</v>
      </c>
      <c r="D396" s="1145">
        <f t="shared" si="21"/>
        <v>2.4958999999999999E-2</v>
      </c>
      <c r="Q396" s="507">
        <f t="shared" si="20"/>
        <v>55763</v>
      </c>
      <c r="T396" s="344">
        <f ca="1">IF(ROUND(LOOKUP(Q396,Waterfalls!$6:$6,Waterfalls!$14:$14),0)&gt;0,1,0)*(D396+$H$4)</f>
        <v>0</v>
      </c>
      <c r="U396" s="508" t="str">
        <f ca="1">IF(T396&lt;&gt;0,LOOKUP(Q396,Waterfalls!$6:$6,Waterfalls!$14:$14),"")</f>
        <v/>
      </c>
      <c r="V396" s="508" t="str">
        <f ca="1">IF(T396&lt;&gt;0,-LOOKUP(Q396,Waterfalls!$6:$6,Waterfalls!$152:$152),"")</f>
        <v/>
      </c>
      <c r="X396" s="344">
        <f ca="1">IF(ROUND(LOOKUP($Q396,Waterfalls!$6:$6,Waterfalls!$21:$21),0)&gt;0,1,0)*($D396+$O$6)</f>
        <v>4.7459000000000001E-2</v>
      </c>
      <c r="Y396" s="508">
        <f ca="1">IF(X396&lt;&gt;0,LOOKUP($Q396,Waterfalls!$6:$6,Waterfalls!$21:$21),"")</f>
        <v>37715565.418264031</v>
      </c>
      <c r="Z396" s="508">
        <f ca="1">IF(X396&lt;&gt;0,-LOOKUP($Q396,Waterfalls!$6:$6,Waterfalls!$153:$153),"")</f>
        <v>266507.95792204805</v>
      </c>
    </row>
    <row r="397" spans="1:26" x14ac:dyDescent="0.3">
      <c r="A397" s="761">
        <f>IF(B397&gt;=DevBdgt!$E$7,LOOKUP(B397,DevBdgt!$7:$7,DevBdgt!$6:$6),"")</f>
        <v>132</v>
      </c>
      <c r="B397" s="507">
        <f t="shared" si="22"/>
        <v>55793</v>
      </c>
      <c r="C397" s="7">
        <v>0</v>
      </c>
      <c r="D397" s="1145">
        <f t="shared" si="21"/>
        <v>2.4958999999999999E-2</v>
      </c>
      <c r="Q397" s="507">
        <f t="shared" si="20"/>
        <v>55793</v>
      </c>
      <c r="T397" s="344">
        <f ca="1">IF(ROUND(LOOKUP(Q397,Waterfalls!$6:$6,Waterfalls!$14:$14),0)&gt;0,1,0)*(D397+$H$4)</f>
        <v>0</v>
      </c>
      <c r="U397" s="508" t="str">
        <f ca="1">IF(T397&lt;&gt;0,LOOKUP(Q397,Waterfalls!$6:$6,Waterfalls!$14:$14),"")</f>
        <v/>
      </c>
      <c r="V397" s="508" t="str">
        <f ca="1">IF(T397&lt;&gt;0,-LOOKUP(Q397,Waterfalls!$6:$6,Waterfalls!$152:$152),"")</f>
        <v/>
      </c>
      <c r="X397" s="344">
        <f ca="1">IF(ROUND(LOOKUP($Q397,Waterfalls!$6:$6,Waterfalls!$21:$21),0)&gt;0,1,0)*($D397+$O$6)</f>
        <v>4.7459000000000001E-2</v>
      </c>
      <c r="Y397" s="508">
        <f ca="1">IF(X397&lt;&gt;0,LOOKUP($Q397,Waterfalls!$6:$6,Waterfalls!$21:$21),"")</f>
        <v>37715565.418264031</v>
      </c>
      <c r="Z397" s="508">
        <f ca="1">IF(X397&lt;&gt;0,-LOOKUP($Q397,Waterfalls!$6:$6,Waterfalls!$153:$153),"")</f>
        <v>266507.95792204805</v>
      </c>
    </row>
    <row r="398" spans="1:26" x14ac:dyDescent="0.3">
      <c r="A398" s="761">
        <f>IF(B398&gt;=DevBdgt!$E$7,LOOKUP(B398,DevBdgt!$7:$7,DevBdgt!$6:$6),"")</f>
        <v>132</v>
      </c>
      <c r="B398" s="507">
        <f t="shared" si="22"/>
        <v>55824</v>
      </c>
      <c r="C398" s="7">
        <v>0</v>
      </c>
      <c r="D398" s="1145">
        <f t="shared" si="21"/>
        <v>2.4958999999999999E-2</v>
      </c>
      <c r="Q398" s="507">
        <f t="shared" si="20"/>
        <v>55824</v>
      </c>
      <c r="T398" s="344">
        <f ca="1">IF(ROUND(LOOKUP(Q398,Waterfalls!$6:$6,Waterfalls!$14:$14),0)&gt;0,1,0)*(D398+$H$4)</f>
        <v>0</v>
      </c>
      <c r="U398" s="508" t="str">
        <f ca="1">IF(T398&lt;&gt;0,LOOKUP(Q398,Waterfalls!$6:$6,Waterfalls!$14:$14),"")</f>
        <v/>
      </c>
      <c r="V398" s="508" t="str">
        <f ca="1">IF(T398&lt;&gt;0,-LOOKUP(Q398,Waterfalls!$6:$6,Waterfalls!$152:$152),"")</f>
        <v/>
      </c>
      <c r="X398" s="344">
        <f ca="1">IF(ROUND(LOOKUP($Q398,Waterfalls!$6:$6,Waterfalls!$21:$21),0)&gt;0,1,0)*($D398+$O$6)</f>
        <v>4.7459000000000001E-2</v>
      </c>
      <c r="Y398" s="508">
        <f ca="1">IF(X398&lt;&gt;0,LOOKUP($Q398,Waterfalls!$6:$6,Waterfalls!$21:$21),"")</f>
        <v>37715565.418264031</v>
      </c>
      <c r="Z398" s="508">
        <f ca="1">IF(X398&lt;&gt;0,-LOOKUP($Q398,Waterfalls!$6:$6,Waterfalls!$153:$153),"")</f>
        <v>266507.95792204805</v>
      </c>
    </row>
    <row r="399" spans="1:26" x14ac:dyDescent="0.3">
      <c r="A399" s="761">
        <f>IF(B399&gt;=DevBdgt!$E$7,LOOKUP(B399,DevBdgt!$7:$7,DevBdgt!$6:$6),"")</f>
        <v>132</v>
      </c>
      <c r="B399" s="507">
        <f t="shared" si="22"/>
        <v>55854</v>
      </c>
      <c r="C399" s="7">
        <v>0</v>
      </c>
      <c r="D399" s="1145">
        <f t="shared" si="21"/>
        <v>2.4958999999999999E-2</v>
      </c>
      <c r="Q399" s="507">
        <f t="shared" si="20"/>
        <v>55854</v>
      </c>
      <c r="T399" s="344">
        <f ca="1">IF(ROUND(LOOKUP(Q399,Waterfalls!$6:$6,Waterfalls!$14:$14),0)&gt;0,1,0)*(D399+$H$4)</f>
        <v>0</v>
      </c>
      <c r="U399" s="508" t="str">
        <f ca="1">IF(T399&lt;&gt;0,LOOKUP(Q399,Waterfalls!$6:$6,Waterfalls!$14:$14),"")</f>
        <v/>
      </c>
      <c r="V399" s="508" t="str">
        <f ca="1">IF(T399&lt;&gt;0,-LOOKUP(Q399,Waterfalls!$6:$6,Waterfalls!$152:$152),"")</f>
        <v/>
      </c>
      <c r="X399" s="344">
        <f ca="1">IF(ROUND(LOOKUP($Q399,Waterfalls!$6:$6,Waterfalls!$21:$21),0)&gt;0,1,0)*($D399+$O$6)</f>
        <v>4.7459000000000001E-2</v>
      </c>
      <c r="Y399" s="508">
        <f ca="1">IF(X399&lt;&gt;0,LOOKUP($Q399,Waterfalls!$6:$6,Waterfalls!$21:$21),"")</f>
        <v>37715565.418264031</v>
      </c>
      <c r="Z399" s="508">
        <f ca="1">IF(X399&lt;&gt;0,-LOOKUP($Q399,Waterfalls!$6:$6,Waterfalls!$153:$153),"")</f>
        <v>266507.95792204805</v>
      </c>
    </row>
    <row r="400" spans="1:26" x14ac:dyDescent="0.3">
      <c r="A400" s="761">
        <f>IF(B400&gt;=DevBdgt!$E$7,LOOKUP(B400,DevBdgt!$7:$7,DevBdgt!$6:$6),"")</f>
        <v>132</v>
      </c>
      <c r="B400" s="507">
        <f t="shared" si="22"/>
        <v>55885</v>
      </c>
      <c r="C400" s="7">
        <v>0</v>
      </c>
      <c r="D400" s="1145">
        <f t="shared" si="21"/>
        <v>2.4958999999999999E-2</v>
      </c>
      <c r="Q400" s="507">
        <f t="shared" si="20"/>
        <v>55885</v>
      </c>
      <c r="T400" s="344">
        <f ca="1">IF(ROUND(LOOKUP(Q400,Waterfalls!$6:$6,Waterfalls!$14:$14),0)&gt;0,1,0)*(D400+$H$4)</f>
        <v>0</v>
      </c>
      <c r="U400" s="508" t="str">
        <f ca="1">IF(T400&lt;&gt;0,LOOKUP(Q400,Waterfalls!$6:$6,Waterfalls!$14:$14),"")</f>
        <v/>
      </c>
      <c r="V400" s="508" t="str">
        <f ca="1">IF(T400&lt;&gt;0,-LOOKUP(Q400,Waterfalls!$6:$6,Waterfalls!$152:$152),"")</f>
        <v/>
      </c>
      <c r="X400" s="344">
        <f ca="1">IF(ROUND(LOOKUP($Q400,Waterfalls!$6:$6,Waterfalls!$21:$21),0)&gt;0,1,0)*($D400+$O$6)</f>
        <v>4.7459000000000001E-2</v>
      </c>
      <c r="Y400" s="508">
        <f ca="1">IF(X400&lt;&gt;0,LOOKUP($Q400,Waterfalls!$6:$6,Waterfalls!$21:$21),"")</f>
        <v>37715565.418264031</v>
      </c>
      <c r="Z400" s="508">
        <f ca="1">IF(X400&lt;&gt;0,-LOOKUP($Q400,Waterfalls!$6:$6,Waterfalls!$153:$153),"")</f>
        <v>266507.95792204805</v>
      </c>
    </row>
    <row r="401" spans="1:26" x14ac:dyDescent="0.3">
      <c r="A401" s="761">
        <f>IF(B401&gt;=DevBdgt!$E$7,LOOKUP(B401,DevBdgt!$7:$7,DevBdgt!$6:$6),"")</f>
        <v>132</v>
      </c>
      <c r="B401" s="507">
        <f t="shared" si="22"/>
        <v>55916</v>
      </c>
      <c r="C401" s="7">
        <v>0</v>
      </c>
      <c r="D401" s="1145">
        <f t="shared" si="21"/>
        <v>2.4958999999999999E-2</v>
      </c>
      <c r="Q401" s="507">
        <f t="shared" si="20"/>
        <v>55916</v>
      </c>
      <c r="T401" s="344">
        <f ca="1">IF(ROUND(LOOKUP(Q401,Waterfalls!$6:$6,Waterfalls!$14:$14),0)&gt;0,1,0)*(D401+$H$4)</f>
        <v>0</v>
      </c>
      <c r="U401" s="508" t="str">
        <f ca="1">IF(T401&lt;&gt;0,LOOKUP(Q401,Waterfalls!$6:$6,Waterfalls!$14:$14),"")</f>
        <v/>
      </c>
      <c r="V401" s="508" t="str">
        <f ca="1">IF(T401&lt;&gt;0,-LOOKUP(Q401,Waterfalls!$6:$6,Waterfalls!$152:$152),"")</f>
        <v/>
      </c>
      <c r="X401" s="344">
        <f ca="1">IF(ROUND(LOOKUP($Q401,Waterfalls!$6:$6,Waterfalls!$21:$21),0)&gt;0,1,0)*($D401+$O$6)</f>
        <v>4.7459000000000001E-2</v>
      </c>
      <c r="Y401" s="508">
        <f ca="1">IF(X401&lt;&gt;0,LOOKUP($Q401,Waterfalls!$6:$6,Waterfalls!$21:$21),"")</f>
        <v>37715565.418264031</v>
      </c>
      <c r="Z401" s="508">
        <f ca="1">IF(X401&lt;&gt;0,-LOOKUP($Q401,Waterfalls!$6:$6,Waterfalls!$153:$153),"")</f>
        <v>266507.95792204805</v>
      </c>
    </row>
    <row r="402" spans="1:26" x14ac:dyDescent="0.3">
      <c r="A402" s="761">
        <f>IF(B402&gt;=DevBdgt!$E$7,LOOKUP(B402,DevBdgt!$7:$7,DevBdgt!$6:$6),"")</f>
        <v>132</v>
      </c>
      <c r="B402" s="507">
        <f t="shared" si="22"/>
        <v>55944</v>
      </c>
      <c r="C402" s="7">
        <v>0</v>
      </c>
      <c r="D402" s="1145">
        <f t="shared" si="21"/>
        <v>2.4958999999999999E-2</v>
      </c>
      <c r="Q402" s="507">
        <f t="shared" si="20"/>
        <v>55944</v>
      </c>
      <c r="T402" s="344">
        <f ca="1">IF(ROUND(LOOKUP(Q402,Waterfalls!$6:$6,Waterfalls!$14:$14),0)&gt;0,1,0)*(D402+$H$4)</f>
        <v>0</v>
      </c>
      <c r="U402" s="508" t="str">
        <f ca="1">IF(T402&lt;&gt;0,LOOKUP(Q402,Waterfalls!$6:$6,Waterfalls!$14:$14),"")</f>
        <v/>
      </c>
      <c r="V402" s="508" t="str">
        <f ca="1">IF(T402&lt;&gt;0,-LOOKUP(Q402,Waterfalls!$6:$6,Waterfalls!$152:$152),"")</f>
        <v/>
      </c>
      <c r="X402" s="344">
        <f ca="1">IF(ROUND(LOOKUP($Q402,Waterfalls!$6:$6,Waterfalls!$21:$21),0)&gt;0,1,0)*($D402+$O$6)</f>
        <v>4.7459000000000001E-2</v>
      </c>
      <c r="Y402" s="508">
        <f ca="1">IF(X402&lt;&gt;0,LOOKUP($Q402,Waterfalls!$6:$6,Waterfalls!$21:$21),"")</f>
        <v>37715565.418264031</v>
      </c>
      <c r="Z402" s="508">
        <f ca="1">IF(X402&lt;&gt;0,-LOOKUP($Q402,Waterfalls!$6:$6,Waterfalls!$153:$153),"")</f>
        <v>266507.95792204805</v>
      </c>
    </row>
    <row r="403" spans="1:26" x14ac:dyDescent="0.3">
      <c r="A403" s="761">
        <f>IF(B403&gt;=DevBdgt!$E$7,LOOKUP(B403,DevBdgt!$7:$7,DevBdgt!$6:$6),"")</f>
        <v>132</v>
      </c>
      <c r="B403" s="507">
        <f t="shared" si="22"/>
        <v>55975</v>
      </c>
      <c r="C403" s="7">
        <v>0</v>
      </c>
      <c r="D403" s="1145">
        <f t="shared" si="21"/>
        <v>2.4958999999999999E-2</v>
      </c>
      <c r="Q403" s="507">
        <f t="shared" ref="Q403:Q459" si="23">EOMONTH(B403,-1)+1</f>
        <v>55975</v>
      </c>
      <c r="T403" s="344">
        <f ca="1">IF(ROUND(LOOKUP(Q403,Waterfalls!$6:$6,Waterfalls!$14:$14),0)&gt;0,1,0)*(D403+$H$4)</f>
        <v>0</v>
      </c>
      <c r="U403" s="508" t="str">
        <f ca="1">IF(T403&lt;&gt;0,LOOKUP(Q403,Waterfalls!$6:$6,Waterfalls!$14:$14),"")</f>
        <v/>
      </c>
      <c r="V403" s="508" t="str">
        <f ca="1">IF(T403&lt;&gt;0,-LOOKUP(Q403,Waterfalls!$6:$6,Waterfalls!$152:$152),"")</f>
        <v/>
      </c>
      <c r="X403" s="344">
        <f ca="1">IF(ROUND(LOOKUP($Q403,Waterfalls!$6:$6,Waterfalls!$21:$21),0)&gt;0,1,0)*($D403+$O$6)</f>
        <v>4.7459000000000001E-2</v>
      </c>
      <c r="Y403" s="508">
        <f ca="1">IF(X403&lt;&gt;0,LOOKUP($Q403,Waterfalls!$6:$6,Waterfalls!$21:$21),"")</f>
        <v>37715565.418264031</v>
      </c>
      <c r="Z403" s="508">
        <f ca="1">IF(X403&lt;&gt;0,-LOOKUP($Q403,Waterfalls!$6:$6,Waterfalls!$153:$153),"")</f>
        <v>266507.95792204805</v>
      </c>
    </row>
    <row r="404" spans="1:26" x14ac:dyDescent="0.3">
      <c r="A404" s="761">
        <f>IF(B404&gt;=DevBdgt!$E$7,LOOKUP(B404,DevBdgt!$7:$7,DevBdgt!$6:$6),"")</f>
        <v>132</v>
      </c>
      <c r="B404" s="507">
        <f t="shared" si="22"/>
        <v>56005</v>
      </c>
      <c r="C404" s="7">
        <v>0</v>
      </c>
      <c r="D404" s="1145">
        <f t="shared" si="21"/>
        <v>2.4958999999999999E-2</v>
      </c>
      <c r="Q404" s="507">
        <f t="shared" si="23"/>
        <v>56005</v>
      </c>
      <c r="T404" s="344">
        <f ca="1">IF(ROUND(LOOKUP(Q404,Waterfalls!$6:$6,Waterfalls!$14:$14),0)&gt;0,1,0)*(D404+$H$4)</f>
        <v>0</v>
      </c>
      <c r="U404" s="508" t="str">
        <f ca="1">IF(T404&lt;&gt;0,LOOKUP(Q404,Waterfalls!$6:$6,Waterfalls!$14:$14),"")</f>
        <v/>
      </c>
      <c r="V404" s="508" t="str">
        <f ca="1">IF(T404&lt;&gt;0,-LOOKUP(Q404,Waterfalls!$6:$6,Waterfalls!$152:$152),"")</f>
        <v/>
      </c>
      <c r="X404" s="344">
        <f ca="1">IF(ROUND(LOOKUP($Q404,Waterfalls!$6:$6,Waterfalls!$21:$21),0)&gt;0,1,0)*($D404+$O$6)</f>
        <v>4.7459000000000001E-2</v>
      </c>
      <c r="Y404" s="508">
        <f ca="1">IF(X404&lt;&gt;0,LOOKUP($Q404,Waterfalls!$6:$6,Waterfalls!$21:$21),"")</f>
        <v>37715565.418264031</v>
      </c>
      <c r="Z404" s="508">
        <f ca="1">IF(X404&lt;&gt;0,-LOOKUP($Q404,Waterfalls!$6:$6,Waterfalls!$153:$153),"")</f>
        <v>266507.95792204805</v>
      </c>
    </row>
    <row r="405" spans="1:26" x14ac:dyDescent="0.3">
      <c r="A405" s="761">
        <f>IF(B405&gt;=DevBdgt!$E$7,LOOKUP(B405,DevBdgt!$7:$7,DevBdgt!$6:$6),"")</f>
        <v>132</v>
      </c>
      <c r="B405" s="507">
        <f t="shared" si="22"/>
        <v>56036</v>
      </c>
      <c r="C405" s="7">
        <v>0</v>
      </c>
      <c r="D405" s="1145">
        <f t="shared" si="21"/>
        <v>2.4958999999999999E-2</v>
      </c>
      <c r="Q405" s="507">
        <f t="shared" si="23"/>
        <v>56036</v>
      </c>
      <c r="T405" s="344">
        <f ca="1">IF(ROUND(LOOKUP(Q405,Waterfalls!$6:$6,Waterfalls!$14:$14),0)&gt;0,1,0)*(D405+$H$4)</f>
        <v>0</v>
      </c>
      <c r="U405" s="508" t="str">
        <f ca="1">IF(T405&lt;&gt;0,LOOKUP(Q405,Waterfalls!$6:$6,Waterfalls!$14:$14),"")</f>
        <v/>
      </c>
      <c r="V405" s="508" t="str">
        <f ca="1">IF(T405&lt;&gt;0,-LOOKUP(Q405,Waterfalls!$6:$6,Waterfalls!$152:$152),"")</f>
        <v/>
      </c>
      <c r="X405" s="344">
        <f ca="1">IF(ROUND(LOOKUP($Q405,Waterfalls!$6:$6,Waterfalls!$21:$21),0)&gt;0,1,0)*($D405+$O$6)</f>
        <v>4.7459000000000001E-2</v>
      </c>
      <c r="Y405" s="508">
        <f ca="1">IF(X405&lt;&gt;0,LOOKUP($Q405,Waterfalls!$6:$6,Waterfalls!$21:$21),"")</f>
        <v>37715565.418264031</v>
      </c>
      <c r="Z405" s="508">
        <f ca="1">IF(X405&lt;&gt;0,-LOOKUP($Q405,Waterfalls!$6:$6,Waterfalls!$153:$153),"")</f>
        <v>266507.95792204805</v>
      </c>
    </row>
    <row r="406" spans="1:26" x14ac:dyDescent="0.3">
      <c r="A406" s="761">
        <f>IF(B406&gt;=DevBdgt!$E$7,LOOKUP(B406,DevBdgt!$7:$7,DevBdgt!$6:$6),"")</f>
        <v>132</v>
      </c>
      <c r="B406" s="507">
        <f t="shared" si="22"/>
        <v>56066</v>
      </c>
      <c r="C406" s="7">
        <v>0</v>
      </c>
      <c r="D406" s="1145">
        <f t="shared" si="21"/>
        <v>2.4958999999999999E-2</v>
      </c>
      <c r="Q406" s="507">
        <f t="shared" si="23"/>
        <v>56066</v>
      </c>
      <c r="T406" s="344">
        <f ca="1">IF(ROUND(LOOKUP(Q406,Waterfalls!$6:$6,Waterfalls!$14:$14),0)&gt;0,1,0)*(D406+$H$4)</f>
        <v>0</v>
      </c>
      <c r="U406" s="508" t="str">
        <f ca="1">IF(T406&lt;&gt;0,LOOKUP(Q406,Waterfalls!$6:$6,Waterfalls!$14:$14),"")</f>
        <v/>
      </c>
      <c r="V406" s="508" t="str">
        <f ca="1">IF(T406&lt;&gt;0,-LOOKUP(Q406,Waterfalls!$6:$6,Waterfalls!$152:$152),"")</f>
        <v/>
      </c>
      <c r="X406" s="344">
        <f ca="1">IF(ROUND(LOOKUP($Q406,Waterfalls!$6:$6,Waterfalls!$21:$21),0)&gt;0,1,0)*($D406+$O$6)</f>
        <v>4.7459000000000001E-2</v>
      </c>
      <c r="Y406" s="508">
        <f ca="1">IF(X406&lt;&gt;0,LOOKUP($Q406,Waterfalls!$6:$6,Waterfalls!$21:$21),"")</f>
        <v>37715565.418264031</v>
      </c>
      <c r="Z406" s="508">
        <f ca="1">IF(X406&lt;&gt;0,-LOOKUP($Q406,Waterfalls!$6:$6,Waterfalls!$153:$153),"")</f>
        <v>266507.95792204805</v>
      </c>
    </row>
    <row r="407" spans="1:26" x14ac:dyDescent="0.3">
      <c r="A407" s="761">
        <f>IF(B407&gt;=DevBdgt!$E$7,LOOKUP(B407,DevBdgt!$7:$7,DevBdgt!$6:$6),"")</f>
        <v>132</v>
      </c>
      <c r="B407" s="507">
        <f t="shared" si="22"/>
        <v>56097</v>
      </c>
      <c r="C407" s="7">
        <v>0</v>
      </c>
      <c r="D407" s="1145">
        <f t="shared" si="21"/>
        <v>2.4958999999999999E-2</v>
      </c>
      <c r="Q407" s="507">
        <f t="shared" si="23"/>
        <v>56097</v>
      </c>
      <c r="T407" s="344">
        <f ca="1">IF(ROUND(LOOKUP(Q407,Waterfalls!$6:$6,Waterfalls!$14:$14),0)&gt;0,1,0)*(D407+$H$4)</f>
        <v>0</v>
      </c>
      <c r="U407" s="508" t="str">
        <f ca="1">IF(T407&lt;&gt;0,LOOKUP(Q407,Waterfalls!$6:$6,Waterfalls!$14:$14),"")</f>
        <v/>
      </c>
      <c r="V407" s="508" t="str">
        <f ca="1">IF(T407&lt;&gt;0,-LOOKUP(Q407,Waterfalls!$6:$6,Waterfalls!$152:$152),"")</f>
        <v/>
      </c>
      <c r="X407" s="344">
        <f ca="1">IF(ROUND(LOOKUP($Q407,Waterfalls!$6:$6,Waterfalls!$21:$21),0)&gt;0,1,0)*($D407+$O$6)</f>
        <v>4.7459000000000001E-2</v>
      </c>
      <c r="Y407" s="508">
        <f ca="1">IF(X407&lt;&gt;0,LOOKUP($Q407,Waterfalls!$6:$6,Waterfalls!$21:$21),"")</f>
        <v>37715565.418264031</v>
      </c>
      <c r="Z407" s="508">
        <f ca="1">IF(X407&lt;&gt;0,-LOOKUP($Q407,Waterfalls!$6:$6,Waterfalls!$153:$153),"")</f>
        <v>266507.95792204805</v>
      </c>
    </row>
    <row r="408" spans="1:26" x14ac:dyDescent="0.3">
      <c r="A408" s="761">
        <f>IF(B408&gt;=DevBdgt!$E$7,LOOKUP(B408,DevBdgt!$7:$7,DevBdgt!$6:$6),"")</f>
        <v>132</v>
      </c>
      <c r="B408" s="507">
        <f t="shared" si="22"/>
        <v>56128</v>
      </c>
      <c r="C408" s="7">
        <v>0</v>
      </c>
      <c r="D408" s="1145">
        <f t="shared" si="21"/>
        <v>2.4958999999999999E-2</v>
      </c>
      <c r="Q408" s="507">
        <f t="shared" si="23"/>
        <v>56128</v>
      </c>
      <c r="T408" s="344">
        <f ca="1">IF(ROUND(LOOKUP(Q408,Waterfalls!$6:$6,Waterfalls!$14:$14),0)&gt;0,1,0)*(D408+$H$4)</f>
        <v>0</v>
      </c>
      <c r="U408" s="508" t="str">
        <f ca="1">IF(T408&lt;&gt;0,LOOKUP(Q408,Waterfalls!$6:$6,Waterfalls!$14:$14),"")</f>
        <v/>
      </c>
      <c r="V408" s="508" t="str">
        <f ca="1">IF(T408&lt;&gt;0,-LOOKUP(Q408,Waterfalls!$6:$6,Waterfalls!$152:$152),"")</f>
        <v/>
      </c>
      <c r="X408" s="344">
        <f ca="1">IF(ROUND(LOOKUP($Q408,Waterfalls!$6:$6,Waterfalls!$21:$21),0)&gt;0,1,0)*($D408+$O$6)</f>
        <v>4.7459000000000001E-2</v>
      </c>
      <c r="Y408" s="508">
        <f ca="1">IF(X408&lt;&gt;0,LOOKUP($Q408,Waterfalls!$6:$6,Waterfalls!$21:$21),"")</f>
        <v>37715565.418264031</v>
      </c>
      <c r="Z408" s="508">
        <f ca="1">IF(X408&lt;&gt;0,-LOOKUP($Q408,Waterfalls!$6:$6,Waterfalls!$153:$153),"")</f>
        <v>266507.95792204805</v>
      </c>
    </row>
    <row r="409" spans="1:26" x14ac:dyDescent="0.3">
      <c r="A409" s="761">
        <f>IF(B409&gt;=DevBdgt!$E$7,LOOKUP(B409,DevBdgt!$7:$7,DevBdgt!$6:$6),"")</f>
        <v>132</v>
      </c>
      <c r="B409" s="507">
        <f t="shared" si="22"/>
        <v>56158</v>
      </c>
      <c r="C409" s="7">
        <v>0</v>
      </c>
      <c r="D409" s="1145">
        <f t="shared" si="21"/>
        <v>2.4958999999999999E-2</v>
      </c>
      <c r="Q409" s="507">
        <f t="shared" si="23"/>
        <v>56158</v>
      </c>
      <c r="T409" s="344">
        <f ca="1">IF(ROUND(LOOKUP(Q409,Waterfalls!$6:$6,Waterfalls!$14:$14),0)&gt;0,1,0)*(D409+$H$4)</f>
        <v>0</v>
      </c>
      <c r="U409" s="508" t="str">
        <f ca="1">IF(T409&lt;&gt;0,LOOKUP(Q409,Waterfalls!$6:$6,Waterfalls!$14:$14),"")</f>
        <v/>
      </c>
      <c r="V409" s="508" t="str">
        <f ca="1">IF(T409&lt;&gt;0,-LOOKUP(Q409,Waterfalls!$6:$6,Waterfalls!$152:$152),"")</f>
        <v/>
      </c>
      <c r="X409" s="344">
        <f ca="1">IF(ROUND(LOOKUP($Q409,Waterfalls!$6:$6,Waterfalls!$21:$21),0)&gt;0,1,0)*($D409+$O$6)</f>
        <v>4.7459000000000001E-2</v>
      </c>
      <c r="Y409" s="508">
        <f ca="1">IF(X409&lt;&gt;0,LOOKUP($Q409,Waterfalls!$6:$6,Waterfalls!$21:$21),"")</f>
        <v>37715565.418264031</v>
      </c>
      <c r="Z409" s="508">
        <f ca="1">IF(X409&lt;&gt;0,-LOOKUP($Q409,Waterfalls!$6:$6,Waterfalls!$153:$153),"")</f>
        <v>266507.95792204805</v>
      </c>
    </row>
    <row r="410" spans="1:26" x14ac:dyDescent="0.3">
      <c r="A410" s="761">
        <f>IF(B410&gt;=DevBdgt!$E$7,LOOKUP(B410,DevBdgt!$7:$7,DevBdgt!$6:$6),"")</f>
        <v>132</v>
      </c>
      <c r="B410" s="507">
        <f t="shared" si="22"/>
        <v>56189</v>
      </c>
      <c r="C410" s="7">
        <v>0</v>
      </c>
      <c r="D410" s="1145">
        <f t="shared" si="21"/>
        <v>2.4958999999999999E-2</v>
      </c>
      <c r="Q410" s="507">
        <f t="shared" si="23"/>
        <v>56189</v>
      </c>
      <c r="T410" s="344">
        <f ca="1">IF(ROUND(LOOKUP(Q410,Waterfalls!$6:$6,Waterfalls!$14:$14),0)&gt;0,1,0)*(D410+$H$4)</f>
        <v>0</v>
      </c>
      <c r="U410" s="508" t="str">
        <f ca="1">IF(T410&lt;&gt;0,LOOKUP(Q410,Waterfalls!$6:$6,Waterfalls!$14:$14),"")</f>
        <v/>
      </c>
      <c r="V410" s="508" t="str">
        <f ca="1">IF(T410&lt;&gt;0,-LOOKUP(Q410,Waterfalls!$6:$6,Waterfalls!$152:$152),"")</f>
        <v/>
      </c>
      <c r="X410" s="344">
        <f ca="1">IF(ROUND(LOOKUP($Q410,Waterfalls!$6:$6,Waterfalls!$21:$21),0)&gt;0,1,0)*($D410+$O$6)</f>
        <v>4.7459000000000001E-2</v>
      </c>
      <c r="Y410" s="508">
        <f ca="1">IF(X410&lt;&gt;0,LOOKUP($Q410,Waterfalls!$6:$6,Waterfalls!$21:$21),"")</f>
        <v>37715565.418264031</v>
      </c>
      <c r="Z410" s="508">
        <f ca="1">IF(X410&lt;&gt;0,-LOOKUP($Q410,Waterfalls!$6:$6,Waterfalls!$153:$153),"")</f>
        <v>266507.95792204805</v>
      </c>
    </row>
    <row r="411" spans="1:26" x14ac:dyDescent="0.3">
      <c r="A411" s="761">
        <f>IF(B411&gt;=DevBdgt!$E$7,LOOKUP(B411,DevBdgt!$7:$7,DevBdgt!$6:$6),"")</f>
        <v>132</v>
      </c>
      <c r="B411" s="507">
        <f t="shared" si="22"/>
        <v>56219</v>
      </c>
      <c r="C411" s="7">
        <v>0</v>
      </c>
      <c r="D411" s="1145">
        <f t="shared" si="21"/>
        <v>2.4958999999999999E-2</v>
      </c>
      <c r="Q411" s="507">
        <f t="shared" si="23"/>
        <v>56219</v>
      </c>
      <c r="T411" s="344">
        <f ca="1">IF(ROUND(LOOKUP(Q411,Waterfalls!$6:$6,Waterfalls!$14:$14),0)&gt;0,1,0)*(D411+$H$4)</f>
        <v>0</v>
      </c>
      <c r="U411" s="508" t="str">
        <f ca="1">IF(T411&lt;&gt;0,LOOKUP(Q411,Waterfalls!$6:$6,Waterfalls!$14:$14),"")</f>
        <v/>
      </c>
      <c r="V411" s="508" t="str">
        <f ca="1">IF(T411&lt;&gt;0,-LOOKUP(Q411,Waterfalls!$6:$6,Waterfalls!$152:$152),"")</f>
        <v/>
      </c>
      <c r="X411" s="344">
        <f ca="1">IF(ROUND(LOOKUP($Q411,Waterfalls!$6:$6,Waterfalls!$21:$21),0)&gt;0,1,0)*($D411+$O$6)</f>
        <v>4.7459000000000001E-2</v>
      </c>
      <c r="Y411" s="508">
        <f ca="1">IF(X411&lt;&gt;0,LOOKUP($Q411,Waterfalls!$6:$6,Waterfalls!$21:$21),"")</f>
        <v>37715565.418264031</v>
      </c>
      <c r="Z411" s="508">
        <f ca="1">IF(X411&lt;&gt;0,-LOOKUP($Q411,Waterfalls!$6:$6,Waterfalls!$153:$153),"")</f>
        <v>266507.95792204805</v>
      </c>
    </row>
    <row r="412" spans="1:26" x14ac:dyDescent="0.3">
      <c r="A412" s="761">
        <f>IF(B412&gt;=DevBdgt!$E$7,LOOKUP(B412,DevBdgt!$7:$7,DevBdgt!$6:$6),"")</f>
        <v>132</v>
      </c>
      <c r="B412" s="507">
        <f t="shared" si="22"/>
        <v>56250</v>
      </c>
      <c r="C412" s="7">
        <v>0</v>
      </c>
      <c r="D412" s="1145">
        <f t="shared" si="21"/>
        <v>2.4958999999999999E-2</v>
      </c>
      <c r="Q412" s="507">
        <f t="shared" si="23"/>
        <v>56250</v>
      </c>
      <c r="T412" s="344">
        <f ca="1">IF(ROUND(LOOKUP(Q412,Waterfalls!$6:$6,Waterfalls!$14:$14),0)&gt;0,1,0)*(D412+$H$4)</f>
        <v>0</v>
      </c>
      <c r="U412" s="508" t="str">
        <f ca="1">IF(T412&lt;&gt;0,LOOKUP(Q412,Waterfalls!$6:$6,Waterfalls!$14:$14),"")</f>
        <v/>
      </c>
      <c r="V412" s="508" t="str">
        <f ca="1">IF(T412&lt;&gt;0,-LOOKUP(Q412,Waterfalls!$6:$6,Waterfalls!$152:$152),"")</f>
        <v/>
      </c>
      <c r="X412" s="344">
        <f ca="1">IF(ROUND(LOOKUP($Q412,Waterfalls!$6:$6,Waterfalls!$21:$21),0)&gt;0,1,0)*($D412+$O$6)</f>
        <v>4.7459000000000001E-2</v>
      </c>
      <c r="Y412" s="508">
        <f ca="1">IF(X412&lt;&gt;0,LOOKUP($Q412,Waterfalls!$6:$6,Waterfalls!$21:$21),"")</f>
        <v>37715565.418264031</v>
      </c>
      <c r="Z412" s="508">
        <f ca="1">IF(X412&lt;&gt;0,-LOOKUP($Q412,Waterfalls!$6:$6,Waterfalls!$153:$153),"")</f>
        <v>266507.95792204805</v>
      </c>
    </row>
    <row r="413" spans="1:26" x14ac:dyDescent="0.3">
      <c r="A413" s="761">
        <f>IF(B413&gt;=DevBdgt!$E$7,LOOKUP(B413,DevBdgt!$7:$7,DevBdgt!$6:$6),"")</f>
        <v>132</v>
      </c>
      <c r="B413" s="507">
        <f t="shared" si="22"/>
        <v>56281</v>
      </c>
      <c r="C413" s="7">
        <v>0</v>
      </c>
      <c r="D413" s="1145">
        <f t="shared" si="21"/>
        <v>2.4958999999999999E-2</v>
      </c>
      <c r="Q413" s="507">
        <f t="shared" si="23"/>
        <v>56281</v>
      </c>
      <c r="T413" s="344">
        <f ca="1">IF(ROUND(LOOKUP(Q413,Waterfalls!$6:$6,Waterfalls!$14:$14),0)&gt;0,1,0)*(D413+$H$4)</f>
        <v>0</v>
      </c>
      <c r="U413" s="508" t="str">
        <f ca="1">IF(T413&lt;&gt;0,LOOKUP(Q413,Waterfalls!$6:$6,Waterfalls!$14:$14),"")</f>
        <v/>
      </c>
      <c r="V413" s="508" t="str">
        <f ca="1">IF(T413&lt;&gt;0,-LOOKUP(Q413,Waterfalls!$6:$6,Waterfalls!$152:$152),"")</f>
        <v/>
      </c>
      <c r="X413" s="344">
        <f ca="1">IF(ROUND(LOOKUP($Q413,Waterfalls!$6:$6,Waterfalls!$21:$21),0)&gt;0,1,0)*($D413+$O$6)</f>
        <v>4.7459000000000001E-2</v>
      </c>
      <c r="Y413" s="508">
        <f ca="1">IF(X413&lt;&gt;0,LOOKUP($Q413,Waterfalls!$6:$6,Waterfalls!$21:$21),"")</f>
        <v>37715565.418264031</v>
      </c>
      <c r="Z413" s="508">
        <f ca="1">IF(X413&lt;&gt;0,-LOOKUP($Q413,Waterfalls!$6:$6,Waterfalls!$153:$153),"")</f>
        <v>266507.95792204805</v>
      </c>
    </row>
    <row r="414" spans="1:26" x14ac:dyDescent="0.3">
      <c r="A414" s="761">
        <f>IF(B414&gt;=DevBdgt!$E$7,LOOKUP(B414,DevBdgt!$7:$7,DevBdgt!$6:$6),"")</f>
        <v>132</v>
      </c>
      <c r="B414" s="507">
        <f t="shared" si="22"/>
        <v>56309</v>
      </c>
      <c r="C414" s="7">
        <v>0</v>
      </c>
      <c r="D414" s="1145">
        <f t="shared" si="21"/>
        <v>2.4958999999999999E-2</v>
      </c>
      <c r="Q414" s="507">
        <f t="shared" si="23"/>
        <v>56309</v>
      </c>
      <c r="T414" s="344">
        <f ca="1">IF(ROUND(LOOKUP(Q414,Waterfalls!$6:$6,Waterfalls!$14:$14),0)&gt;0,1,0)*(D414+$H$4)</f>
        <v>0</v>
      </c>
      <c r="U414" s="508" t="str">
        <f ca="1">IF(T414&lt;&gt;0,LOOKUP(Q414,Waterfalls!$6:$6,Waterfalls!$14:$14),"")</f>
        <v/>
      </c>
      <c r="V414" s="508" t="str">
        <f ca="1">IF(T414&lt;&gt;0,-LOOKUP(Q414,Waterfalls!$6:$6,Waterfalls!$152:$152),"")</f>
        <v/>
      </c>
      <c r="X414" s="344">
        <f ca="1">IF(ROUND(LOOKUP($Q414,Waterfalls!$6:$6,Waterfalls!$21:$21),0)&gt;0,1,0)*($D414+$O$6)</f>
        <v>4.7459000000000001E-2</v>
      </c>
      <c r="Y414" s="508">
        <f ca="1">IF(X414&lt;&gt;0,LOOKUP($Q414,Waterfalls!$6:$6,Waterfalls!$21:$21),"")</f>
        <v>37715565.418264031</v>
      </c>
      <c r="Z414" s="508">
        <f ca="1">IF(X414&lt;&gt;0,-LOOKUP($Q414,Waterfalls!$6:$6,Waterfalls!$153:$153),"")</f>
        <v>266507.95792204805</v>
      </c>
    </row>
    <row r="415" spans="1:26" x14ac:dyDescent="0.3">
      <c r="A415" s="761">
        <f>IF(B415&gt;=DevBdgt!$E$7,LOOKUP(B415,DevBdgt!$7:$7,DevBdgt!$6:$6),"")</f>
        <v>132</v>
      </c>
      <c r="B415" s="507">
        <f t="shared" si="22"/>
        <v>56340</v>
      </c>
      <c r="C415" s="7">
        <v>0</v>
      </c>
      <c r="D415" s="1145">
        <f t="shared" si="21"/>
        <v>2.4958999999999999E-2</v>
      </c>
      <c r="Q415" s="507">
        <f t="shared" si="23"/>
        <v>56340</v>
      </c>
      <c r="T415" s="344">
        <f ca="1">IF(ROUND(LOOKUP(Q415,Waterfalls!$6:$6,Waterfalls!$14:$14),0)&gt;0,1,0)*(D415+$H$4)</f>
        <v>0</v>
      </c>
      <c r="U415" s="508" t="str">
        <f ca="1">IF(T415&lt;&gt;0,LOOKUP(Q415,Waterfalls!$6:$6,Waterfalls!$14:$14),"")</f>
        <v/>
      </c>
      <c r="V415" s="508" t="str">
        <f ca="1">IF(T415&lt;&gt;0,-LOOKUP(Q415,Waterfalls!$6:$6,Waterfalls!$152:$152),"")</f>
        <v/>
      </c>
      <c r="X415" s="344">
        <f ca="1">IF(ROUND(LOOKUP($Q415,Waterfalls!$6:$6,Waterfalls!$21:$21),0)&gt;0,1,0)*($D415+$O$6)</f>
        <v>4.7459000000000001E-2</v>
      </c>
      <c r="Y415" s="508">
        <f ca="1">IF(X415&lt;&gt;0,LOOKUP($Q415,Waterfalls!$6:$6,Waterfalls!$21:$21),"")</f>
        <v>37715565.418264031</v>
      </c>
      <c r="Z415" s="508">
        <f ca="1">IF(X415&lt;&gt;0,-LOOKUP($Q415,Waterfalls!$6:$6,Waterfalls!$153:$153),"")</f>
        <v>266507.95792204805</v>
      </c>
    </row>
    <row r="416" spans="1:26" x14ac:dyDescent="0.3">
      <c r="A416" s="761">
        <f>IF(B416&gt;=DevBdgt!$E$7,LOOKUP(B416,DevBdgt!$7:$7,DevBdgt!$6:$6),"")</f>
        <v>132</v>
      </c>
      <c r="B416" s="507">
        <f t="shared" si="22"/>
        <v>56370</v>
      </c>
      <c r="C416" s="7">
        <v>0</v>
      </c>
      <c r="D416" s="1145">
        <f t="shared" si="21"/>
        <v>2.4958999999999999E-2</v>
      </c>
      <c r="Q416" s="507">
        <f t="shared" si="23"/>
        <v>56370</v>
      </c>
      <c r="T416" s="344">
        <f ca="1">IF(ROUND(LOOKUP(Q416,Waterfalls!$6:$6,Waterfalls!$14:$14),0)&gt;0,1,0)*(D416+$H$4)</f>
        <v>0</v>
      </c>
      <c r="U416" s="508" t="str">
        <f ca="1">IF(T416&lt;&gt;0,LOOKUP(Q416,Waterfalls!$6:$6,Waterfalls!$14:$14),"")</f>
        <v/>
      </c>
      <c r="V416" s="508" t="str">
        <f ca="1">IF(T416&lt;&gt;0,-LOOKUP(Q416,Waterfalls!$6:$6,Waterfalls!$152:$152),"")</f>
        <v/>
      </c>
      <c r="X416" s="344">
        <f ca="1">IF(ROUND(LOOKUP($Q416,Waterfalls!$6:$6,Waterfalls!$21:$21),0)&gt;0,1,0)*($D416+$O$6)</f>
        <v>4.7459000000000001E-2</v>
      </c>
      <c r="Y416" s="508">
        <f ca="1">IF(X416&lt;&gt;0,LOOKUP($Q416,Waterfalls!$6:$6,Waterfalls!$21:$21),"")</f>
        <v>37715565.418264031</v>
      </c>
      <c r="Z416" s="508">
        <f ca="1">IF(X416&lt;&gt;0,-LOOKUP($Q416,Waterfalls!$6:$6,Waterfalls!$153:$153),"")</f>
        <v>266507.95792204805</v>
      </c>
    </row>
    <row r="417" spans="1:26" x14ac:dyDescent="0.3">
      <c r="A417" s="761">
        <f>IF(B417&gt;=DevBdgt!$E$7,LOOKUP(B417,DevBdgt!$7:$7,DevBdgt!$6:$6),"")</f>
        <v>132</v>
      </c>
      <c r="B417" s="507">
        <f t="shared" si="22"/>
        <v>56401</v>
      </c>
      <c r="C417" s="7">
        <v>0</v>
      </c>
      <c r="D417" s="1145">
        <f t="shared" si="21"/>
        <v>2.4958999999999999E-2</v>
      </c>
      <c r="Q417" s="507">
        <f t="shared" si="23"/>
        <v>56401</v>
      </c>
      <c r="T417" s="344">
        <f ca="1">IF(ROUND(LOOKUP(Q417,Waterfalls!$6:$6,Waterfalls!$14:$14),0)&gt;0,1,0)*(D417+$H$4)</f>
        <v>0</v>
      </c>
      <c r="U417" s="508" t="str">
        <f ca="1">IF(T417&lt;&gt;0,LOOKUP(Q417,Waterfalls!$6:$6,Waterfalls!$14:$14),"")</f>
        <v/>
      </c>
      <c r="V417" s="508" t="str">
        <f ca="1">IF(T417&lt;&gt;0,-LOOKUP(Q417,Waterfalls!$6:$6,Waterfalls!$152:$152),"")</f>
        <v/>
      </c>
      <c r="X417" s="344">
        <f ca="1">IF(ROUND(LOOKUP($Q417,Waterfalls!$6:$6,Waterfalls!$21:$21),0)&gt;0,1,0)*($D417+$O$6)</f>
        <v>4.7459000000000001E-2</v>
      </c>
      <c r="Y417" s="508">
        <f ca="1">IF(X417&lt;&gt;0,LOOKUP($Q417,Waterfalls!$6:$6,Waterfalls!$21:$21),"")</f>
        <v>37715565.418264031</v>
      </c>
      <c r="Z417" s="508">
        <f ca="1">IF(X417&lt;&gt;0,-LOOKUP($Q417,Waterfalls!$6:$6,Waterfalls!$153:$153),"")</f>
        <v>266507.95792204805</v>
      </c>
    </row>
    <row r="418" spans="1:26" x14ac:dyDescent="0.3">
      <c r="A418" s="761">
        <f>IF(B418&gt;=DevBdgt!$E$7,LOOKUP(B418,DevBdgt!$7:$7,DevBdgt!$6:$6),"")</f>
        <v>132</v>
      </c>
      <c r="B418" s="507">
        <f t="shared" si="22"/>
        <v>56431</v>
      </c>
      <c r="C418" s="7">
        <v>0</v>
      </c>
      <c r="D418" s="1145">
        <f t="shared" si="21"/>
        <v>2.4958999999999999E-2</v>
      </c>
      <c r="Q418" s="507">
        <f t="shared" si="23"/>
        <v>56431</v>
      </c>
      <c r="T418" s="344">
        <f ca="1">IF(ROUND(LOOKUP(Q418,Waterfalls!$6:$6,Waterfalls!$14:$14),0)&gt;0,1,0)*(D418+$H$4)</f>
        <v>0</v>
      </c>
      <c r="U418" s="508" t="str">
        <f ca="1">IF(T418&lt;&gt;0,LOOKUP(Q418,Waterfalls!$6:$6,Waterfalls!$14:$14),"")</f>
        <v/>
      </c>
      <c r="V418" s="508" t="str">
        <f ca="1">IF(T418&lt;&gt;0,-LOOKUP(Q418,Waterfalls!$6:$6,Waterfalls!$152:$152),"")</f>
        <v/>
      </c>
      <c r="X418" s="344">
        <f ca="1">IF(ROUND(LOOKUP($Q418,Waterfalls!$6:$6,Waterfalls!$21:$21),0)&gt;0,1,0)*($D418+$O$6)</f>
        <v>4.7459000000000001E-2</v>
      </c>
      <c r="Y418" s="508">
        <f ca="1">IF(X418&lt;&gt;0,LOOKUP($Q418,Waterfalls!$6:$6,Waterfalls!$21:$21),"")</f>
        <v>37715565.418264031</v>
      </c>
      <c r="Z418" s="508">
        <f ca="1">IF(X418&lt;&gt;0,-LOOKUP($Q418,Waterfalls!$6:$6,Waterfalls!$153:$153),"")</f>
        <v>266507.95792204805</v>
      </c>
    </row>
    <row r="419" spans="1:26" x14ac:dyDescent="0.3">
      <c r="A419" s="761">
        <f>IF(B419&gt;=DevBdgt!$E$7,LOOKUP(B419,DevBdgt!$7:$7,DevBdgt!$6:$6),"")</f>
        <v>132</v>
      </c>
      <c r="B419" s="507">
        <f t="shared" si="22"/>
        <v>56462</v>
      </c>
      <c r="C419" s="7">
        <v>0</v>
      </c>
      <c r="D419" s="1145">
        <f t="shared" si="21"/>
        <v>2.4958999999999999E-2</v>
      </c>
      <c r="Q419" s="507">
        <f t="shared" si="23"/>
        <v>56462</v>
      </c>
      <c r="T419" s="344">
        <f ca="1">IF(ROUND(LOOKUP(Q419,Waterfalls!$6:$6,Waterfalls!$14:$14),0)&gt;0,1,0)*(D419+$H$4)</f>
        <v>0</v>
      </c>
      <c r="U419" s="508" t="str">
        <f ca="1">IF(T419&lt;&gt;0,LOOKUP(Q419,Waterfalls!$6:$6,Waterfalls!$14:$14),"")</f>
        <v/>
      </c>
      <c r="V419" s="508" t="str">
        <f ca="1">IF(T419&lt;&gt;0,-LOOKUP(Q419,Waterfalls!$6:$6,Waterfalls!$152:$152),"")</f>
        <v/>
      </c>
      <c r="X419" s="344">
        <f ca="1">IF(ROUND(LOOKUP($Q419,Waterfalls!$6:$6,Waterfalls!$21:$21),0)&gt;0,1,0)*($D419+$O$6)</f>
        <v>4.7459000000000001E-2</v>
      </c>
      <c r="Y419" s="508">
        <f ca="1">IF(X419&lt;&gt;0,LOOKUP($Q419,Waterfalls!$6:$6,Waterfalls!$21:$21),"")</f>
        <v>37715565.418264031</v>
      </c>
      <c r="Z419" s="508">
        <f ca="1">IF(X419&lt;&gt;0,-LOOKUP($Q419,Waterfalls!$6:$6,Waterfalls!$153:$153),"")</f>
        <v>266507.95792204805</v>
      </c>
    </row>
    <row r="420" spans="1:26" x14ac:dyDescent="0.3">
      <c r="A420" s="761">
        <f>IF(B420&gt;=DevBdgt!$E$7,LOOKUP(B420,DevBdgt!$7:$7,DevBdgt!$6:$6),"")</f>
        <v>132</v>
      </c>
      <c r="B420" s="507">
        <f t="shared" si="22"/>
        <v>56493</v>
      </c>
      <c r="C420" s="7">
        <v>0</v>
      </c>
      <c r="D420" s="1145">
        <f t="shared" si="21"/>
        <v>2.4958999999999999E-2</v>
      </c>
      <c r="Q420" s="507">
        <f t="shared" si="23"/>
        <v>56493</v>
      </c>
      <c r="T420" s="344">
        <f ca="1">IF(ROUND(LOOKUP(Q420,Waterfalls!$6:$6,Waterfalls!$14:$14),0)&gt;0,1,0)*(D420+$H$4)</f>
        <v>0</v>
      </c>
      <c r="U420" s="508" t="str">
        <f ca="1">IF(T420&lt;&gt;0,LOOKUP(Q420,Waterfalls!$6:$6,Waterfalls!$14:$14),"")</f>
        <v/>
      </c>
      <c r="V420" s="508" t="str">
        <f ca="1">IF(T420&lt;&gt;0,-LOOKUP(Q420,Waterfalls!$6:$6,Waterfalls!$152:$152),"")</f>
        <v/>
      </c>
      <c r="X420" s="344">
        <f ca="1">IF(ROUND(LOOKUP($Q420,Waterfalls!$6:$6,Waterfalls!$21:$21),0)&gt;0,1,0)*($D420+$O$6)</f>
        <v>4.7459000000000001E-2</v>
      </c>
      <c r="Y420" s="508">
        <f ca="1">IF(X420&lt;&gt;0,LOOKUP($Q420,Waterfalls!$6:$6,Waterfalls!$21:$21),"")</f>
        <v>37715565.418264031</v>
      </c>
      <c r="Z420" s="508">
        <f ca="1">IF(X420&lt;&gt;0,-LOOKUP($Q420,Waterfalls!$6:$6,Waterfalls!$153:$153),"")</f>
        <v>266507.95792204805</v>
      </c>
    </row>
    <row r="421" spans="1:26" x14ac:dyDescent="0.3">
      <c r="A421" s="761">
        <f>IF(B421&gt;=DevBdgt!$E$7,LOOKUP(B421,DevBdgt!$7:$7,DevBdgt!$6:$6),"")</f>
        <v>132</v>
      </c>
      <c r="B421" s="507">
        <f t="shared" si="22"/>
        <v>56523</v>
      </c>
      <c r="C421" s="7">
        <v>0</v>
      </c>
      <c r="D421" s="1145">
        <f t="shared" si="21"/>
        <v>2.4958999999999999E-2</v>
      </c>
      <c r="Q421" s="507">
        <f t="shared" si="23"/>
        <v>56523</v>
      </c>
      <c r="T421" s="344">
        <f ca="1">IF(ROUND(LOOKUP(Q421,Waterfalls!$6:$6,Waterfalls!$14:$14),0)&gt;0,1,0)*(D421+$H$4)</f>
        <v>0</v>
      </c>
      <c r="U421" s="508" t="str">
        <f ca="1">IF(T421&lt;&gt;0,LOOKUP(Q421,Waterfalls!$6:$6,Waterfalls!$14:$14),"")</f>
        <v/>
      </c>
      <c r="V421" s="508" t="str">
        <f ca="1">IF(T421&lt;&gt;0,-LOOKUP(Q421,Waterfalls!$6:$6,Waterfalls!$152:$152),"")</f>
        <v/>
      </c>
      <c r="X421" s="344">
        <f ca="1">IF(ROUND(LOOKUP($Q421,Waterfalls!$6:$6,Waterfalls!$21:$21),0)&gt;0,1,0)*($D421+$O$6)</f>
        <v>4.7459000000000001E-2</v>
      </c>
      <c r="Y421" s="508">
        <f ca="1">IF(X421&lt;&gt;0,LOOKUP($Q421,Waterfalls!$6:$6,Waterfalls!$21:$21),"")</f>
        <v>37715565.418264031</v>
      </c>
      <c r="Z421" s="508">
        <f ca="1">IF(X421&lt;&gt;0,-LOOKUP($Q421,Waterfalls!$6:$6,Waterfalls!$153:$153),"")</f>
        <v>266507.95792204805</v>
      </c>
    </row>
    <row r="422" spans="1:26" x14ac:dyDescent="0.3">
      <c r="A422" s="761">
        <f>IF(B422&gt;=DevBdgt!$E$7,LOOKUP(B422,DevBdgt!$7:$7,DevBdgt!$6:$6),"")</f>
        <v>132</v>
      </c>
      <c r="B422" s="507">
        <f t="shared" si="22"/>
        <v>56554</v>
      </c>
      <c r="C422" s="7">
        <v>0</v>
      </c>
      <c r="D422" s="1145">
        <f t="shared" si="21"/>
        <v>2.4958999999999999E-2</v>
      </c>
      <c r="Q422" s="507">
        <f t="shared" si="23"/>
        <v>56554</v>
      </c>
      <c r="T422" s="344">
        <f ca="1">IF(ROUND(LOOKUP(Q422,Waterfalls!$6:$6,Waterfalls!$14:$14),0)&gt;0,1,0)*(D422+$H$4)</f>
        <v>0</v>
      </c>
      <c r="U422" s="508" t="str">
        <f ca="1">IF(T422&lt;&gt;0,LOOKUP(Q422,Waterfalls!$6:$6,Waterfalls!$14:$14),"")</f>
        <v/>
      </c>
      <c r="V422" s="508" t="str">
        <f ca="1">IF(T422&lt;&gt;0,-LOOKUP(Q422,Waterfalls!$6:$6,Waterfalls!$152:$152),"")</f>
        <v/>
      </c>
      <c r="X422" s="344">
        <f ca="1">IF(ROUND(LOOKUP($Q422,Waterfalls!$6:$6,Waterfalls!$21:$21),0)&gt;0,1,0)*($D422+$O$6)</f>
        <v>4.7459000000000001E-2</v>
      </c>
      <c r="Y422" s="508">
        <f ca="1">IF(X422&lt;&gt;0,LOOKUP($Q422,Waterfalls!$6:$6,Waterfalls!$21:$21),"")</f>
        <v>37715565.418264031</v>
      </c>
      <c r="Z422" s="508">
        <f ca="1">IF(X422&lt;&gt;0,-LOOKUP($Q422,Waterfalls!$6:$6,Waterfalls!$153:$153),"")</f>
        <v>266507.95792204805</v>
      </c>
    </row>
    <row r="423" spans="1:26" x14ac:dyDescent="0.3">
      <c r="A423" s="761">
        <f>IF(B423&gt;=DevBdgt!$E$7,LOOKUP(B423,DevBdgt!$7:$7,DevBdgt!$6:$6),"")</f>
        <v>132</v>
      </c>
      <c r="B423" s="507">
        <f t="shared" si="22"/>
        <v>56584</v>
      </c>
      <c r="C423" s="7">
        <v>0</v>
      </c>
      <c r="D423" s="1145">
        <f t="shared" si="21"/>
        <v>2.4958999999999999E-2</v>
      </c>
      <c r="Q423" s="507">
        <f t="shared" si="23"/>
        <v>56584</v>
      </c>
      <c r="T423" s="344">
        <f ca="1">IF(ROUND(LOOKUP(Q423,Waterfalls!$6:$6,Waterfalls!$14:$14),0)&gt;0,1,0)*(D423+$H$4)</f>
        <v>0</v>
      </c>
      <c r="U423" s="508" t="str">
        <f ca="1">IF(T423&lt;&gt;0,LOOKUP(Q423,Waterfalls!$6:$6,Waterfalls!$14:$14),"")</f>
        <v/>
      </c>
      <c r="V423" s="508" t="str">
        <f ca="1">IF(T423&lt;&gt;0,-LOOKUP(Q423,Waterfalls!$6:$6,Waterfalls!$152:$152),"")</f>
        <v/>
      </c>
      <c r="X423" s="344">
        <f ca="1">IF(ROUND(LOOKUP($Q423,Waterfalls!$6:$6,Waterfalls!$21:$21),0)&gt;0,1,0)*($D423+$O$6)</f>
        <v>4.7459000000000001E-2</v>
      </c>
      <c r="Y423" s="508">
        <f ca="1">IF(X423&lt;&gt;0,LOOKUP($Q423,Waterfalls!$6:$6,Waterfalls!$21:$21),"")</f>
        <v>37715565.418264031</v>
      </c>
      <c r="Z423" s="508">
        <f ca="1">IF(X423&lt;&gt;0,-LOOKUP($Q423,Waterfalls!$6:$6,Waterfalls!$153:$153),"")</f>
        <v>266507.95792204805</v>
      </c>
    </row>
    <row r="424" spans="1:26" x14ac:dyDescent="0.3">
      <c r="A424" s="761">
        <f>IF(B424&gt;=DevBdgt!$E$7,LOOKUP(B424,DevBdgt!$7:$7,DevBdgt!$6:$6),"")</f>
        <v>132</v>
      </c>
      <c r="B424" s="507">
        <f t="shared" si="22"/>
        <v>56615</v>
      </c>
      <c r="C424" s="7">
        <v>0</v>
      </c>
      <c r="D424" s="1145">
        <f t="shared" si="21"/>
        <v>2.4958999999999999E-2</v>
      </c>
      <c r="Q424" s="507">
        <f t="shared" si="23"/>
        <v>56615</v>
      </c>
      <c r="T424" s="344">
        <f ca="1">IF(ROUND(LOOKUP(Q424,Waterfalls!$6:$6,Waterfalls!$14:$14),0)&gt;0,1,0)*(D424+$H$4)</f>
        <v>0</v>
      </c>
      <c r="U424" s="508" t="str">
        <f ca="1">IF(T424&lt;&gt;0,LOOKUP(Q424,Waterfalls!$6:$6,Waterfalls!$14:$14),"")</f>
        <v/>
      </c>
      <c r="V424" s="508" t="str">
        <f ca="1">IF(T424&lt;&gt;0,-LOOKUP(Q424,Waterfalls!$6:$6,Waterfalls!$152:$152),"")</f>
        <v/>
      </c>
      <c r="X424" s="344">
        <f ca="1">IF(ROUND(LOOKUP($Q424,Waterfalls!$6:$6,Waterfalls!$21:$21),0)&gt;0,1,0)*($D424+$O$6)</f>
        <v>4.7459000000000001E-2</v>
      </c>
      <c r="Y424" s="508">
        <f ca="1">IF(X424&lt;&gt;0,LOOKUP($Q424,Waterfalls!$6:$6,Waterfalls!$21:$21),"")</f>
        <v>37715565.418264031</v>
      </c>
      <c r="Z424" s="508">
        <f ca="1">IF(X424&lt;&gt;0,-LOOKUP($Q424,Waterfalls!$6:$6,Waterfalls!$153:$153),"")</f>
        <v>266507.95792204805</v>
      </c>
    </row>
    <row r="425" spans="1:26" x14ac:dyDescent="0.3">
      <c r="A425" s="761">
        <f>IF(B425&gt;=DevBdgt!$E$7,LOOKUP(B425,DevBdgt!$7:$7,DevBdgt!$6:$6),"")</f>
        <v>132</v>
      </c>
      <c r="B425" s="507">
        <f t="shared" si="22"/>
        <v>56646</v>
      </c>
      <c r="C425" s="7">
        <v>0</v>
      </c>
      <c r="D425" s="1145">
        <f t="shared" si="21"/>
        <v>2.4958999999999999E-2</v>
      </c>
      <c r="Q425" s="507">
        <f t="shared" si="23"/>
        <v>56646</v>
      </c>
      <c r="T425" s="344">
        <f ca="1">IF(ROUND(LOOKUP(Q425,Waterfalls!$6:$6,Waterfalls!$14:$14),0)&gt;0,1,0)*(D425+$H$4)</f>
        <v>0</v>
      </c>
      <c r="U425" s="508" t="str">
        <f ca="1">IF(T425&lt;&gt;0,LOOKUP(Q425,Waterfalls!$6:$6,Waterfalls!$14:$14),"")</f>
        <v/>
      </c>
      <c r="V425" s="508" t="str">
        <f ca="1">IF(T425&lt;&gt;0,-LOOKUP(Q425,Waterfalls!$6:$6,Waterfalls!$152:$152),"")</f>
        <v/>
      </c>
      <c r="X425" s="344">
        <f ca="1">IF(ROUND(LOOKUP($Q425,Waterfalls!$6:$6,Waterfalls!$21:$21),0)&gt;0,1,0)*($D425+$O$6)</f>
        <v>4.7459000000000001E-2</v>
      </c>
      <c r="Y425" s="508">
        <f ca="1">IF(X425&lt;&gt;0,LOOKUP($Q425,Waterfalls!$6:$6,Waterfalls!$21:$21),"")</f>
        <v>37715565.418264031</v>
      </c>
      <c r="Z425" s="508">
        <f ca="1">IF(X425&lt;&gt;0,-LOOKUP($Q425,Waterfalls!$6:$6,Waterfalls!$153:$153),"")</f>
        <v>266507.95792204805</v>
      </c>
    </row>
    <row r="426" spans="1:26" x14ac:dyDescent="0.3">
      <c r="A426" s="761">
        <f>IF(B426&gt;=DevBdgt!$E$7,LOOKUP(B426,DevBdgt!$7:$7,DevBdgt!$6:$6),"")</f>
        <v>132</v>
      </c>
      <c r="B426" s="507">
        <f t="shared" si="22"/>
        <v>56674</v>
      </c>
      <c r="C426" s="7">
        <v>0</v>
      </c>
      <c r="D426" s="1145">
        <f t="shared" si="21"/>
        <v>2.4958999999999999E-2</v>
      </c>
      <c r="Q426" s="507">
        <f t="shared" si="23"/>
        <v>56674</v>
      </c>
      <c r="T426" s="344">
        <f ca="1">IF(ROUND(LOOKUP(Q426,Waterfalls!$6:$6,Waterfalls!$14:$14),0)&gt;0,1,0)*(D426+$H$4)</f>
        <v>0</v>
      </c>
      <c r="U426" s="508" t="str">
        <f ca="1">IF(T426&lt;&gt;0,LOOKUP(Q426,Waterfalls!$6:$6,Waterfalls!$14:$14),"")</f>
        <v/>
      </c>
      <c r="V426" s="508" t="str">
        <f ca="1">IF(T426&lt;&gt;0,-LOOKUP(Q426,Waterfalls!$6:$6,Waterfalls!$152:$152),"")</f>
        <v/>
      </c>
      <c r="X426" s="344">
        <f ca="1">IF(ROUND(LOOKUP($Q426,Waterfalls!$6:$6,Waterfalls!$21:$21),0)&gt;0,1,0)*($D426+$O$6)</f>
        <v>4.7459000000000001E-2</v>
      </c>
      <c r="Y426" s="508">
        <f ca="1">IF(X426&lt;&gt;0,LOOKUP($Q426,Waterfalls!$6:$6,Waterfalls!$21:$21),"")</f>
        <v>37715565.418264031</v>
      </c>
      <c r="Z426" s="508">
        <f ca="1">IF(X426&lt;&gt;0,-LOOKUP($Q426,Waterfalls!$6:$6,Waterfalls!$153:$153),"")</f>
        <v>266507.95792204805</v>
      </c>
    </row>
    <row r="427" spans="1:26" x14ac:dyDescent="0.3">
      <c r="A427" s="761">
        <f>IF(B427&gt;=DevBdgt!$E$7,LOOKUP(B427,DevBdgt!$7:$7,DevBdgt!$6:$6),"")</f>
        <v>132</v>
      </c>
      <c r="B427" s="507">
        <f t="shared" si="22"/>
        <v>56705</v>
      </c>
      <c r="C427" s="7">
        <v>0</v>
      </c>
      <c r="D427" s="1145">
        <f t="shared" si="21"/>
        <v>2.4958999999999999E-2</v>
      </c>
      <c r="Q427" s="507">
        <f t="shared" si="23"/>
        <v>56705</v>
      </c>
      <c r="T427" s="344">
        <f ca="1">IF(ROUND(LOOKUP(Q427,Waterfalls!$6:$6,Waterfalls!$14:$14),0)&gt;0,1,0)*(D427+$H$4)</f>
        <v>0</v>
      </c>
      <c r="U427" s="508" t="str">
        <f ca="1">IF(T427&lt;&gt;0,LOOKUP(Q427,Waterfalls!$6:$6,Waterfalls!$14:$14),"")</f>
        <v/>
      </c>
      <c r="V427" s="508" t="str">
        <f ca="1">IF(T427&lt;&gt;0,-LOOKUP(Q427,Waterfalls!$6:$6,Waterfalls!$152:$152),"")</f>
        <v/>
      </c>
      <c r="X427" s="344">
        <f ca="1">IF(ROUND(LOOKUP($Q427,Waterfalls!$6:$6,Waterfalls!$21:$21),0)&gt;0,1,0)*($D427+$O$6)</f>
        <v>4.7459000000000001E-2</v>
      </c>
      <c r="Y427" s="508">
        <f ca="1">IF(X427&lt;&gt;0,LOOKUP($Q427,Waterfalls!$6:$6,Waterfalls!$21:$21),"")</f>
        <v>37715565.418264031</v>
      </c>
      <c r="Z427" s="508">
        <f ca="1">IF(X427&lt;&gt;0,-LOOKUP($Q427,Waterfalls!$6:$6,Waterfalls!$153:$153),"")</f>
        <v>266507.95792204805</v>
      </c>
    </row>
    <row r="428" spans="1:26" x14ac:dyDescent="0.3">
      <c r="A428" s="761">
        <f>IF(B428&gt;=DevBdgt!$E$7,LOOKUP(B428,DevBdgt!$7:$7,DevBdgt!$6:$6),"")</f>
        <v>132</v>
      </c>
      <c r="B428" s="507">
        <f t="shared" si="22"/>
        <v>56735</v>
      </c>
      <c r="C428" s="7">
        <v>0</v>
      </c>
      <c r="D428" s="1145">
        <f t="shared" si="21"/>
        <v>2.4958999999999999E-2</v>
      </c>
      <c r="Q428" s="507">
        <f t="shared" si="23"/>
        <v>56735</v>
      </c>
      <c r="T428" s="344">
        <f ca="1">IF(ROUND(LOOKUP(Q428,Waterfalls!$6:$6,Waterfalls!$14:$14),0)&gt;0,1,0)*(D428+$H$4)</f>
        <v>0</v>
      </c>
      <c r="U428" s="508" t="str">
        <f ca="1">IF(T428&lt;&gt;0,LOOKUP(Q428,Waterfalls!$6:$6,Waterfalls!$14:$14),"")</f>
        <v/>
      </c>
      <c r="V428" s="508" t="str">
        <f ca="1">IF(T428&lt;&gt;0,-LOOKUP(Q428,Waterfalls!$6:$6,Waterfalls!$152:$152),"")</f>
        <v/>
      </c>
      <c r="X428" s="344">
        <f ca="1">IF(ROUND(LOOKUP($Q428,Waterfalls!$6:$6,Waterfalls!$21:$21),0)&gt;0,1,0)*($D428+$O$6)</f>
        <v>4.7459000000000001E-2</v>
      </c>
      <c r="Y428" s="508">
        <f ca="1">IF(X428&lt;&gt;0,LOOKUP($Q428,Waterfalls!$6:$6,Waterfalls!$21:$21),"")</f>
        <v>37715565.418264031</v>
      </c>
      <c r="Z428" s="508">
        <f ca="1">IF(X428&lt;&gt;0,-LOOKUP($Q428,Waterfalls!$6:$6,Waterfalls!$153:$153),"")</f>
        <v>266507.95792204805</v>
      </c>
    </row>
    <row r="429" spans="1:26" x14ac:dyDescent="0.3">
      <c r="A429" s="761">
        <f>IF(B429&gt;=DevBdgt!$E$7,LOOKUP(B429,DevBdgt!$7:$7,DevBdgt!$6:$6),"")</f>
        <v>132</v>
      </c>
      <c r="B429" s="507">
        <f t="shared" si="22"/>
        <v>56766</v>
      </c>
      <c r="C429" s="7">
        <v>0</v>
      </c>
      <c r="D429" s="1145">
        <f t="shared" si="21"/>
        <v>2.4958999999999999E-2</v>
      </c>
      <c r="Q429" s="507">
        <f t="shared" si="23"/>
        <v>56766</v>
      </c>
      <c r="T429" s="344">
        <f ca="1">IF(ROUND(LOOKUP(Q429,Waterfalls!$6:$6,Waterfalls!$14:$14),0)&gt;0,1,0)*(D429+$H$4)</f>
        <v>0</v>
      </c>
      <c r="U429" s="508" t="str">
        <f ca="1">IF(T429&lt;&gt;0,LOOKUP(Q429,Waterfalls!$6:$6,Waterfalls!$14:$14),"")</f>
        <v/>
      </c>
      <c r="V429" s="508" t="str">
        <f ca="1">IF(T429&lt;&gt;0,-LOOKUP(Q429,Waterfalls!$6:$6,Waterfalls!$152:$152),"")</f>
        <v/>
      </c>
      <c r="X429" s="344">
        <f ca="1">IF(ROUND(LOOKUP($Q429,Waterfalls!$6:$6,Waterfalls!$21:$21),0)&gt;0,1,0)*($D429+$O$6)</f>
        <v>4.7459000000000001E-2</v>
      </c>
      <c r="Y429" s="508">
        <f ca="1">IF(X429&lt;&gt;0,LOOKUP($Q429,Waterfalls!$6:$6,Waterfalls!$21:$21),"")</f>
        <v>37715565.418264031</v>
      </c>
      <c r="Z429" s="508">
        <f ca="1">IF(X429&lt;&gt;0,-LOOKUP($Q429,Waterfalls!$6:$6,Waterfalls!$153:$153),"")</f>
        <v>266507.95792204805</v>
      </c>
    </row>
    <row r="430" spans="1:26" x14ac:dyDescent="0.3">
      <c r="A430" s="761">
        <f>IF(B430&gt;=DevBdgt!$E$7,LOOKUP(B430,DevBdgt!$7:$7,DevBdgt!$6:$6),"")</f>
        <v>132</v>
      </c>
      <c r="B430" s="507">
        <f t="shared" si="22"/>
        <v>56796</v>
      </c>
      <c r="C430" s="7">
        <v>0</v>
      </c>
      <c r="D430" s="1145">
        <f t="shared" si="21"/>
        <v>2.4958999999999999E-2</v>
      </c>
      <c r="Q430" s="507">
        <f t="shared" si="23"/>
        <v>56796</v>
      </c>
      <c r="T430" s="344">
        <f ca="1">IF(ROUND(LOOKUP(Q430,Waterfalls!$6:$6,Waterfalls!$14:$14),0)&gt;0,1,0)*(D430+$H$4)</f>
        <v>0</v>
      </c>
      <c r="U430" s="508" t="str">
        <f ca="1">IF(T430&lt;&gt;0,LOOKUP(Q430,Waterfalls!$6:$6,Waterfalls!$14:$14),"")</f>
        <v/>
      </c>
      <c r="V430" s="508" t="str">
        <f ca="1">IF(T430&lt;&gt;0,-LOOKUP(Q430,Waterfalls!$6:$6,Waterfalls!$152:$152),"")</f>
        <v/>
      </c>
      <c r="X430" s="344">
        <f ca="1">IF(ROUND(LOOKUP($Q430,Waterfalls!$6:$6,Waterfalls!$21:$21),0)&gt;0,1,0)*($D430+$O$6)</f>
        <v>4.7459000000000001E-2</v>
      </c>
      <c r="Y430" s="508">
        <f ca="1">IF(X430&lt;&gt;0,LOOKUP($Q430,Waterfalls!$6:$6,Waterfalls!$21:$21),"")</f>
        <v>37715565.418264031</v>
      </c>
      <c r="Z430" s="508">
        <f ca="1">IF(X430&lt;&gt;0,-LOOKUP($Q430,Waterfalls!$6:$6,Waterfalls!$153:$153),"")</f>
        <v>266507.95792204805</v>
      </c>
    </row>
    <row r="431" spans="1:26" x14ac:dyDescent="0.3">
      <c r="A431" s="761">
        <f>IF(B431&gt;=DevBdgt!$E$7,LOOKUP(B431,DevBdgt!$7:$7,DevBdgt!$6:$6),"")</f>
        <v>132</v>
      </c>
      <c r="B431" s="507">
        <f t="shared" si="22"/>
        <v>56827</v>
      </c>
      <c r="C431" s="7">
        <v>0</v>
      </c>
      <c r="D431" s="1145">
        <f t="shared" si="21"/>
        <v>2.4958999999999999E-2</v>
      </c>
      <c r="Q431" s="507">
        <f t="shared" si="23"/>
        <v>56827</v>
      </c>
      <c r="T431" s="344">
        <f ca="1">IF(ROUND(LOOKUP(Q431,Waterfalls!$6:$6,Waterfalls!$14:$14),0)&gt;0,1,0)*(D431+$H$4)</f>
        <v>0</v>
      </c>
      <c r="U431" s="508" t="str">
        <f ca="1">IF(T431&lt;&gt;0,LOOKUP(Q431,Waterfalls!$6:$6,Waterfalls!$14:$14),"")</f>
        <v/>
      </c>
      <c r="V431" s="508" t="str">
        <f ca="1">IF(T431&lt;&gt;0,-LOOKUP(Q431,Waterfalls!$6:$6,Waterfalls!$152:$152),"")</f>
        <v/>
      </c>
      <c r="X431" s="344">
        <f ca="1">IF(ROUND(LOOKUP($Q431,Waterfalls!$6:$6,Waterfalls!$21:$21),0)&gt;0,1,0)*($D431+$O$6)</f>
        <v>4.7459000000000001E-2</v>
      </c>
      <c r="Y431" s="508">
        <f ca="1">IF(X431&lt;&gt;0,LOOKUP($Q431,Waterfalls!$6:$6,Waterfalls!$21:$21),"")</f>
        <v>37715565.418264031</v>
      </c>
      <c r="Z431" s="508">
        <f ca="1">IF(X431&lt;&gt;0,-LOOKUP($Q431,Waterfalls!$6:$6,Waterfalls!$153:$153),"")</f>
        <v>266507.95792204805</v>
      </c>
    </row>
    <row r="432" spans="1:26" x14ac:dyDescent="0.3">
      <c r="A432" s="761">
        <f>IF(B432&gt;=DevBdgt!$E$7,LOOKUP(B432,DevBdgt!$7:$7,DevBdgt!$6:$6),"")</f>
        <v>132</v>
      </c>
      <c r="B432" s="507">
        <f t="shared" si="22"/>
        <v>56858</v>
      </c>
      <c r="C432" s="7">
        <v>0</v>
      </c>
      <c r="D432" s="1145">
        <f t="shared" si="21"/>
        <v>2.4958999999999999E-2</v>
      </c>
      <c r="Q432" s="507">
        <f t="shared" si="23"/>
        <v>56858</v>
      </c>
      <c r="T432" s="344">
        <f ca="1">IF(ROUND(LOOKUP(Q432,Waterfalls!$6:$6,Waterfalls!$14:$14),0)&gt;0,1,0)*(D432+$H$4)</f>
        <v>0</v>
      </c>
      <c r="U432" s="508" t="str">
        <f ca="1">IF(T432&lt;&gt;0,LOOKUP(Q432,Waterfalls!$6:$6,Waterfalls!$14:$14),"")</f>
        <v/>
      </c>
      <c r="V432" s="508" t="str">
        <f ca="1">IF(T432&lt;&gt;0,-LOOKUP(Q432,Waterfalls!$6:$6,Waterfalls!$152:$152),"")</f>
        <v/>
      </c>
      <c r="X432" s="344">
        <f ca="1">IF(ROUND(LOOKUP($Q432,Waterfalls!$6:$6,Waterfalls!$21:$21),0)&gt;0,1,0)*($D432+$O$6)</f>
        <v>4.7459000000000001E-2</v>
      </c>
      <c r="Y432" s="508">
        <f ca="1">IF(X432&lt;&gt;0,LOOKUP($Q432,Waterfalls!$6:$6,Waterfalls!$21:$21),"")</f>
        <v>37715565.418264031</v>
      </c>
      <c r="Z432" s="508">
        <f ca="1">IF(X432&lt;&gt;0,-LOOKUP($Q432,Waterfalls!$6:$6,Waterfalls!$153:$153),"")</f>
        <v>266507.95792204805</v>
      </c>
    </row>
    <row r="433" spans="1:26" x14ac:dyDescent="0.3">
      <c r="A433" s="761">
        <f>IF(B433&gt;=DevBdgt!$E$7,LOOKUP(B433,DevBdgt!$7:$7,DevBdgt!$6:$6),"")</f>
        <v>132</v>
      </c>
      <c r="B433" s="507">
        <f t="shared" si="22"/>
        <v>56888</v>
      </c>
      <c r="C433" s="7">
        <v>0</v>
      </c>
      <c r="D433" s="1145">
        <f t="shared" si="21"/>
        <v>2.4958999999999999E-2</v>
      </c>
      <c r="Q433" s="507">
        <f t="shared" si="23"/>
        <v>56888</v>
      </c>
      <c r="T433" s="344">
        <f ca="1">IF(ROUND(LOOKUP(Q433,Waterfalls!$6:$6,Waterfalls!$14:$14),0)&gt;0,1,0)*(D433+$H$4)</f>
        <v>0</v>
      </c>
      <c r="U433" s="508" t="str">
        <f ca="1">IF(T433&lt;&gt;0,LOOKUP(Q433,Waterfalls!$6:$6,Waterfalls!$14:$14),"")</f>
        <v/>
      </c>
      <c r="V433" s="508" t="str">
        <f ca="1">IF(T433&lt;&gt;0,-LOOKUP(Q433,Waterfalls!$6:$6,Waterfalls!$152:$152),"")</f>
        <v/>
      </c>
      <c r="X433" s="344">
        <f ca="1">IF(ROUND(LOOKUP($Q433,Waterfalls!$6:$6,Waterfalls!$21:$21),0)&gt;0,1,0)*($D433+$O$6)</f>
        <v>4.7459000000000001E-2</v>
      </c>
      <c r="Y433" s="508">
        <f ca="1">IF(X433&lt;&gt;0,LOOKUP($Q433,Waterfalls!$6:$6,Waterfalls!$21:$21),"")</f>
        <v>37715565.418264031</v>
      </c>
      <c r="Z433" s="508">
        <f ca="1">IF(X433&lt;&gt;0,-LOOKUP($Q433,Waterfalls!$6:$6,Waterfalls!$153:$153),"")</f>
        <v>266507.95792204805</v>
      </c>
    </row>
    <row r="434" spans="1:26" x14ac:dyDescent="0.3">
      <c r="A434" s="761">
        <f>IF(B434&gt;=DevBdgt!$E$7,LOOKUP(B434,DevBdgt!$7:$7,DevBdgt!$6:$6),"")</f>
        <v>132</v>
      </c>
      <c r="B434" s="507">
        <f t="shared" si="22"/>
        <v>56919</v>
      </c>
      <c r="C434" s="7">
        <v>0</v>
      </c>
      <c r="D434" s="1145">
        <f t="shared" ref="D434:D459" si="24">IF(C434=0,D433,IF(C434&lt;$H$5,$H$5,IF(AND($H$6&gt;0,C434&gt;$H$6),$H$6,C434)))</f>
        <v>2.4958999999999999E-2</v>
      </c>
      <c r="Q434" s="507">
        <f t="shared" si="23"/>
        <v>56919</v>
      </c>
      <c r="T434" s="344">
        <f ca="1">IF(ROUND(LOOKUP(Q434,Waterfalls!$6:$6,Waterfalls!$14:$14),0)&gt;0,1,0)*(D434+$H$4)</f>
        <v>0</v>
      </c>
      <c r="U434" s="508" t="str">
        <f ca="1">IF(T434&lt;&gt;0,LOOKUP(Q434,Waterfalls!$6:$6,Waterfalls!$14:$14),"")</f>
        <v/>
      </c>
      <c r="V434" s="508" t="str">
        <f ca="1">IF(T434&lt;&gt;0,-LOOKUP(Q434,Waterfalls!$6:$6,Waterfalls!$152:$152),"")</f>
        <v/>
      </c>
      <c r="X434" s="344">
        <f ca="1">IF(ROUND(LOOKUP($Q434,Waterfalls!$6:$6,Waterfalls!$21:$21),0)&gt;0,1,0)*($D434+$O$6)</f>
        <v>4.7459000000000001E-2</v>
      </c>
      <c r="Y434" s="508">
        <f ca="1">IF(X434&lt;&gt;0,LOOKUP($Q434,Waterfalls!$6:$6,Waterfalls!$21:$21),"")</f>
        <v>37715565.418264031</v>
      </c>
      <c r="Z434" s="508">
        <f ca="1">IF(X434&lt;&gt;0,-LOOKUP($Q434,Waterfalls!$6:$6,Waterfalls!$153:$153),"")</f>
        <v>266507.95792204805</v>
      </c>
    </row>
    <row r="435" spans="1:26" x14ac:dyDescent="0.3">
      <c r="A435" s="761">
        <f>IF(B435&gt;=DevBdgt!$E$7,LOOKUP(B435,DevBdgt!$7:$7,DevBdgt!$6:$6),"")</f>
        <v>132</v>
      </c>
      <c r="B435" s="507">
        <f t="shared" si="22"/>
        <v>56949</v>
      </c>
      <c r="C435" s="7">
        <v>0</v>
      </c>
      <c r="D435" s="1145">
        <f t="shared" si="24"/>
        <v>2.4958999999999999E-2</v>
      </c>
      <c r="Q435" s="507">
        <f t="shared" si="23"/>
        <v>56949</v>
      </c>
      <c r="T435" s="344">
        <f ca="1">IF(ROUND(LOOKUP(Q435,Waterfalls!$6:$6,Waterfalls!$14:$14),0)&gt;0,1,0)*(D435+$H$4)</f>
        <v>0</v>
      </c>
      <c r="U435" s="508" t="str">
        <f ca="1">IF(T435&lt;&gt;0,LOOKUP(Q435,Waterfalls!$6:$6,Waterfalls!$14:$14),"")</f>
        <v/>
      </c>
      <c r="V435" s="508" t="str">
        <f ca="1">IF(T435&lt;&gt;0,-LOOKUP(Q435,Waterfalls!$6:$6,Waterfalls!$152:$152),"")</f>
        <v/>
      </c>
      <c r="X435" s="344">
        <f ca="1">IF(ROUND(LOOKUP($Q435,Waterfalls!$6:$6,Waterfalls!$21:$21),0)&gt;0,1,0)*($D435+$O$6)</f>
        <v>4.7459000000000001E-2</v>
      </c>
      <c r="Y435" s="508">
        <f ca="1">IF(X435&lt;&gt;0,LOOKUP($Q435,Waterfalls!$6:$6,Waterfalls!$21:$21),"")</f>
        <v>37715565.418264031</v>
      </c>
      <c r="Z435" s="508">
        <f ca="1">IF(X435&lt;&gt;0,-LOOKUP($Q435,Waterfalls!$6:$6,Waterfalls!$153:$153),"")</f>
        <v>266507.95792204805</v>
      </c>
    </row>
    <row r="436" spans="1:26" x14ac:dyDescent="0.3">
      <c r="A436" s="761">
        <f>IF(B436&gt;=DevBdgt!$E$7,LOOKUP(B436,DevBdgt!$7:$7,DevBdgt!$6:$6),"")</f>
        <v>132</v>
      </c>
      <c r="B436" s="507">
        <f t="shared" si="22"/>
        <v>56980</v>
      </c>
      <c r="C436" s="7">
        <v>0</v>
      </c>
      <c r="D436" s="1145">
        <f t="shared" si="24"/>
        <v>2.4958999999999999E-2</v>
      </c>
      <c r="Q436" s="507">
        <f t="shared" si="23"/>
        <v>56980</v>
      </c>
      <c r="T436" s="344">
        <f ca="1">IF(ROUND(LOOKUP(Q436,Waterfalls!$6:$6,Waterfalls!$14:$14),0)&gt;0,1,0)*(D436+$H$4)</f>
        <v>0</v>
      </c>
      <c r="U436" s="508" t="str">
        <f ca="1">IF(T436&lt;&gt;0,LOOKUP(Q436,Waterfalls!$6:$6,Waterfalls!$14:$14),"")</f>
        <v/>
      </c>
      <c r="V436" s="508" t="str">
        <f ca="1">IF(T436&lt;&gt;0,-LOOKUP(Q436,Waterfalls!$6:$6,Waterfalls!$152:$152),"")</f>
        <v/>
      </c>
      <c r="X436" s="344">
        <f ca="1">IF(ROUND(LOOKUP($Q436,Waterfalls!$6:$6,Waterfalls!$21:$21),0)&gt;0,1,0)*($D436+$O$6)</f>
        <v>4.7459000000000001E-2</v>
      </c>
      <c r="Y436" s="508">
        <f ca="1">IF(X436&lt;&gt;0,LOOKUP($Q436,Waterfalls!$6:$6,Waterfalls!$21:$21),"")</f>
        <v>37715565.418264031</v>
      </c>
      <c r="Z436" s="508">
        <f ca="1">IF(X436&lt;&gt;0,-LOOKUP($Q436,Waterfalls!$6:$6,Waterfalls!$153:$153),"")</f>
        <v>266507.95792204805</v>
      </c>
    </row>
    <row r="437" spans="1:26" x14ac:dyDescent="0.3">
      <c r="A437" s="761">
        <f>IF(B437&gt;=DevBdgt!$E$7,LOOKUP(B437,DevBdgt!$7:$7,DevBdgt!$6:$6),"")</f>
        <v>132</v>
      </c>
      <c r="B437" s="507">
        <f t="shared" si="22"/>
        <v>57011</v>
      </c>
      <c r="C437" s="7">
        <v>0</v>
      </c>
      <c r="D437" s="1145">
        <f t="shared" si="24"/>
        <v>2.4958999999999999E-2</v>
      </c>
      <c r="Q437" s="507">
        <f t="shared" si="23"/>
        <v>57011</v>
      </c>
      <c r="T437" s="344">
        <f ca="1">IF(ROUND(LOOKUP(Q437,Waterfalls!$6:$6,Waterfalls!$14:$14),0)&gt;0,1,0)*(D437+$H$4)</f>
        <v>0</v>
      </c>
      <c r="U437" s="508" t="str">
        <f ca="1">IF(T437&lt;&gt;0,LOOKUP(Q437,Waterfalls!$6:$6,Waterfalls!$14:$14),"")</f>
        <v/>
      </c>
      <c r="V437" s="508" t="str">
        <f ca="1">IF(T437&lt;&gt;0,-LOOKUP(Q437,Waterfalls!$6:$6,Waterfalls!$152:$152),"")</f>
        <v/>
      </c>
      <c r="X437" s="344">
        <f ca="1">IF(ROUND(LOOKUP($Q437,Waterfalls!$6:$6,Waterfalls!$21:$21),0)&gt;0,1,0)*($D437+$O$6)</f>
        <v>4.7459000000000001E-2</v>
      </c>
      <c r="Y437" s="508">
        <f ca="1">IF(X437&lt;&gt;0,LOOKUP($Q437,Waterfalls!$6:$6,Waterfalls!$21:$21),"")</f>
        <v>37715565.418264031</v>
      </c>
      <c r="Z437" s="508">
        <f ca="1">IF(X437&lt;&gt;0,-LOOKUP($Q437,Waterfalls!$6:$6,Waterfalls!$153:$153),"")</f>
        <v>266507.95792204805</v>
      </c>
    </row>
    <row r="438" spans="1:26" x14ac:dyDescent="0.3">
      <c r="A438" s="761">
        <f>IF(B438&gt;=DevBdgt!$E$7,LOOKUP(B438,DevBdgt!$7:$7,DevBdgt!$6:$6),"")</f>
        <v>132</v>
      </c>
      <c r="B438" s="507">
        <f t="shared" si="22"/>
        <v>57040</v>
      </c>
      <c r="C438" s="7">
        <v>0</v>
      </c>
      <c r="D438" s="1145">
        <f t="shared" si="24"/>
        <v>2.4958999999999999E-2</v>
      </c>
      <c r="Q438" s="507">
        <f t="shared" si="23"/>
        <v>57040</v>
      </c>
      <c r="T438" s="344">
        <f ca="1">IF(ROUND(LOOKUP(Q438,Waterfalls!$6:$6,Waterfalls!$14:$14),0)&gt;0,1,0)*(D438+$H$4)</f>
        <v>0</v>
      </c>
      <c r="U438" s="508" t="str">
        <f ca="1">IF(T438&lt;&gt;0,LOOKUP(Q438,Waterfalls!$6:$6,Waterfalls!$14:$14),"")</f>
        <v/>
      </c>
      <c r="V438" s="508" t="str">
        <f ca="1">IF(T438&lt;&gt;0,-LOOKUP(Q438,Waterfalls!$6:$6,Waterfalls!$152:$152),"")</f>
        <v/>
      </c>
      <c r="X438" s="344">
        <f ca="1">IF(ROUND(LOOKUP($Q438,Waterfalls!$6:$6,Waterfalls!$21:$21),0)&gt;0,1,0)*($D438+$O$6)</f>
        <v>4.7459000000000001E-2</v>
      </c>
      <c r="Y438" s="508">
        <f ca="1">IF(X438&lt;&gt;0,LOOKUP($Q438,Waterfalls!$6:$6,Waterfalls!$21:$21),"")</f>
        <v>37715565.418264031</v>
      </c>
      <c r="Z438" s="508">
        <f ca="1">IF(X438&lt;&gt;0,-LOOKUP($Q438,Waterfalls!$6:$6,Waterfalls!$153:$153),"")</f>
        <v>266507.95792204805</v>
      </c>
    </row>
    <row r="439" spans="1:26" x14ac:dyDescent="0.3">
      <c r="A439" s="761">
        <f>IF(B439&gt;=DevBdgt!$E$7,LOOKUP(B439,DevBdgt!$7:$7,DevBdgt!$6:$6),"")</f>
        <v>132</v>
      </c>
      <c r="B439" s="507">
        <f t="shared" si="22"/>
        <v>57071</v>
      </c>
      <c r="C439" s="7">
        <v>0</v>
      </c>
      <c r="D439" s="1145">
        <f t="shared" si="24"/>
        <v>2.4958999999999999E-2</v>
      </c>
      <c r="Q439" s="507">
        <f t="shared" si="23"/>
        <v>57071</v>
      </c>
      <c r="T439" s="344">
        <f ca="1">IF(ROUND(LOOKUP(Q439,Waterfalls!$6:$6,Waterfalls!$14:$14),0)&gt;0,1,0)*(D439+$H$4)</f>
        <v>0</v>
      </c>
      <c r="U439" s="508" t="str">
        <f ca="1">IF(T439&lt;&gt;0,LOOKUP(Q439,Waterfalls!$6:$6,Waterfalls!$14:$14),"")</f>
        <v/>
      </c>
      <c r="V439" s="508" t="str">
        <f ca="1">IF(T439&lt;&gt;0,-LOOKUP(Q439,Waterfalls!$6:$6,Waterfalls!$152:$152),"")</f>
        <v/>
      </c>
      <c r="X439" s="344">
        <f ca="1">IF(ROUND(LOOKUP($Q439,Waterfalls!$6:$6,Waterfalls!$21:$21),0)&gt;0,1,0)*($D439+$O$6)</f>
        <v>4.7459000000000001E-2</v>
      </c>
      <c r="Y439" s="508">
        <f ca="1">IF(X439&lt;&gt;0,LOOKUP($Q439,Waterfalls!$6:$6,Waterfalls!$21:$21),"")</f>
        <v>37715565.418264031</v>
      </c>
      <c r="Z439" s="508">
        <f ca="1">IF(X439&lt;&gt;0,-LOOKUP($Q439,Waterfalls!$6:$6,Waterfalls!$153:$153),"")</f>
        <v>266507.95792204805</v>
      </c>
    </row>
    <row r="440" spans="1:26" x14ac:dyDescent="0.3">
      <c r="A440" s="761">
        <f>IF(B440&gt;=DevBdgt!$E$7,LOOKUP(B440,DevBdgt!$7:$7,DevBdgt!$6:$6),"")</f>
        <v>132</v>
      </c>
      <c r="B440" s="507">
        <f t="shared" si="22"/>
        <v>57101</v>
      </c>
      <c r="C440" s="7">
        <v>0</v>
      </c>
      <c r="D440" s="1145">
        <f t="shared" si="24"/>
        <v>2.4958999999999999E-2</v>
      </c>
      <c r="Q440" s="507">
        <f t="shared" si="23"/>
        <v>57101</v>
      </c>
      <c r="T440" s="344">
        <f ca="1">IF(ROUND(LOOKUP(Q440,Waterfalls!$6:$6,Waterfalls!$14:$14),0)&gt;0,1,0)*(D440+$H$4)</f>
        <v>0</v>
      </c>
      <c r="U440" s="508" t="str">
        <f ca="1">IF(T440&lt;&gt;0,LOOKUP(Q440,Waterfalls!$6:$6,Waterfalls!$14:$14),"")</f>
        <v/>
      </c>
      <c r="V440" s="508" t="str">
        <f ca="1">IF(T440&lt;&gt;0,-LOOKUP(Q440,Waterfalls!$6:$6,Waterfalls!$152:$152),"")</f>
        <v/>
      </c>
      <c r="X440" s="344">
        <f ca="1">IF(ROUND(LOOKUP($Q440,Waterfalls!$6:$6,Waterfalls!$21:$21),0)&gt;0,1,0)*($D440+$O$6)</f>
        <v>4.7459000000000001E-2</v>
      </c>
      <c r="Y440" s="508">
        <f ca="1">IF(X440&lt;&gt;0,LOOKUP($Q440,Waterfalls!$6:$6,Waterfalls!$21:$21),"")</f>
        <v>37715565.418264031</v>
      </c>
      <c r="Z440" s="508">
        <f ca="1">IF(X440&lt;&gt;0,-LOOKUP($Q440,Waterfalls!$6:$6,Waterfalls!$153:$153),"")</f>
        <v>266507.95792204805</v>
      </c>
    </row>
    <row r="441" spans="1:26" x14ac:dyDescent="0.3">
      <c r="A441" s="761">
        <f>IF(B441&gt;=DevBdgt!$E$7,LOOKUP(B441,DevBdgt!$7:$7,DevBdgt!$6:$6),"")</f>
        <v>132</v>
      </c>
      <c r="B441" s="507">
        <f t="shared" si="22"/>
        <v>57132</v>
      </c>
      <c r="C441" s="7">
        <v>0</v>
      </c>
      <c r="D441" s="1145">
        <f t="shared" si="24"/>
        <v>2.4958999999999999E-2</v>
      </c>
      <c r="Q441" s="507">
        <f t="shared" si="23"/>
        <v>57132</v>
      </c>
      <c r="T441" s="344">
        <f ca="1">IF(ROUND(LOOKUP(Q441,Waterfalls!$6:$6,Waterfalls!$14:$14),0)&gt;0,1,0)*(D441+$H$4)</f>
        <v>0</v>
      </c>
      <c r="U441" s="508" t="str">
        <f ca="1">IF(T441&lt;&gt;0,LOOKUP(Q441,Waterfalls!$6:$6,Waterfalls!$14:$14),"")</f>
        <v/>
      </c>
      <c r="V441" s="508" t="str">
        <f ca="1">IF(T441&lt;&gt;0,-LOOKUP(Q441,Waterfalls!$6:$6,Waterfalls!$152:$152),"")</f>
        <v/>
      </c>
      <c r="X441" s="344">
        <f ca="1">IF(ROUND(LOOKUP($Q441,Waterfalls!$6:$6,Waterfalls!$21:$21),0)&gt;0,1,0)*($D441+$O$6)</f>
        <v>4.7459000000000001E-2</v>
      </c>
      <c r="Y441" s="508">
        <f ca="1">IF(X441&lt;&gt;0,LOOKUP($Q441,Waterfalls!$6:$6,Waterfalls!$21:$21),"")</f>
        <v>37715565.418264031</v>
      </c>
      <c r="Z441" s="508">
        <f ca="1">IF(X441&lt;&gt;0,-LOOKUP($Q441,Waterfalls!$6:$6,Waterfalls!$153:$153),"")</f>
        <v>266507.95792204805</v>
      </c>
    </row>
    <row r="442" spans="1:26" x14ac:dyDescent="0.3">
      <c r="A442" s="761">
        <f>IF(B442&gt;=DevBdgt!$E$7,LOOKUP(B442,DevBdgt!$7:$7,DevBdgt!$6:$6),"")</f>
        <v>132</v>
      </c>
      <c r="B442" s="507">
        <f t="shared" si="22"/>
        <v>57162</v>
      </c>
      <c r="C442" s="7">
        <v>0</v>
      </c>
      <c r="D442" s="1145">
        <f t="shared" si="24"/>
        <v>2.4958999999999999E-2</v>
      </c>
      <c r="Q442" s="507">
        <f t="shared" si="23"/>
        <v>57162</v>
      </c>
      <c r="T442" s="344">
        <f ca="1">IF(ROUND(LOOKUP(Q442,Waterfalls!$6:$6,Waterfalls!$14:$14),0)&gt;0,1,0)*(D442+$H$4)</f>
        <v>0</v>
      </c>
      <c r="U442" s="508" t="str">
        <f ca="1">IF(T442&lt;&gt;0,LOOKUP(Q442,Waterfalls!$6:$6,Waterfalls!$14:$14),"")</f>
        <v/>
      </c>
      <c r="V442" s="508" t="str">
        <f ca="1">IF(T442&lt;&gt;0,-LOOKUP(Q442,Waterfalls!$6:$6,Waterfalls!$152:$152),"")</f>
        <v/>
      </c>
      <c r="X442" s="344">
        <f ca="1">IF(ROUND(LOOKUP($Q442,Waterfalls!$6:$6,Waterfalls!$21:$21),0)&gt;0,1,0)*($D442+$O$6)</f>
        <v>4.7459000000000001E-2</v>
      </c>
      <c r="Y442" s="508">
        <f ca="1">IF(X442&lt;&gt;0,LOOKUP($Q442,Waterfalls!$6:$6,Waterfalls!$21:$21),"")</f>
        <v>37715565.418264031</v>
      </c>
      <c r="Z442" s="508">
        <f ca="1">IF(X442&lt;&gt;0,-LOOKUP($Q442,Waterfalls!$6:$6,Waterfalls!$153:$153),"")</f>
        <v>266507.95792204805</v>
      </c>
    </row>
    <row r="443" spans="1:26" x14ac:dyDescent="0.3">
      <c r="A443" s="761">
        <f>IF(B443&gt;=DevBdgt!$E$7,LOOKUP(B443,DevBdgt!$7:$7,DevBdgt!$6:$6),"")</f>
        <v>132</v>
      </c>
      <c r="B443" s="507">
        <f t="shared" si="22"/>
        <v>57193</v>
      </c>
      <c r="C443" s="7">
        <v>0</v>
      </c>
      <c r="D443" s="1145">
        <f t="shared" si="24"/>
        <v>2.4958999999999999E-2</v>
      </c>
      <c r="Q443" s="507">
        <f t="shared" si="23"/>
        <v>57193</v>
      </c>
      <c r="T443" s="344">
        <f ca="1">IF(ROUND(LOOKUP(Q443,Waterfalls!$6:$6,Waterfalls!$14:$14),0)&gt;0,1,0)*(D443+$H$4)</f>
        <v>0</v>
      </c>
      <c r="U443" s="508" t="str">
        <f ca="1">IF(T443&lt;&gt;0,LOOKUP(Q443,Waterfalls!$6:$6,Waterfalls!$14:$14),"")</f>
        <v/>
      </c>
      <c r="V443" s="508" t="str">
        <f ca="1">IF(T443&lt;&gt;0,-LOOKUP(Q443,Waterfalls!$6:$6,Waterfalls!$152:$152),"")</f>
        <v/>
      </c>
      <c r="X443" s="344">
        <f ca="1">IF(ROUND(LOOKUP($Q443,Waterfalls!$6:$6,Waterfalls!$21:$21),0)&gt;0,1,0)*($D443+$O$6)</f>
        <v>4.7459000000000001E-2</v>
      </c>
      <c r="Y443" s="508">
        <f ca="1">IF(X443&lt;&gt;0,LOOKUP($Q443,Waterfalls!$6:$6,Waterfalls!$21:$21),"")</f>
        <v>37715565.418264031</v>
      </c>
      <c r="Z443" s="508">
        <f ca="1">IF(X443&lt;&gt;0,-LOOKUP($Q443,Waterfalls!$6:$6,Waterfalls!$153:$153),"")</f>
        <v>266507.95792204805</v>
      </c>
    </row>
    <row r="444" spans="1:26" x14ac:dyDescent="0.3">
      <c r="A444" s="761">
        <f>IF(B444&gt;=DevBdgt!$E$7,LOOKUP(B444,DevBdgt!$7:$7,DevBdgt!$6:$6),"")</f>
        <v>132</v>
      </c>
      <c r="B444" s="507">
        <f t="shared" si="22"/>
        <v>57224</v>
      </c>
      <c r="C444" s="7">
        <v>0</v>
      </c>
      <c r="D444" s="1145">
        <f t="shared" si="24"/>
        <v>2.4958999999999999E-2</v>
      </c>
      <c r="Q444" s="507">
        <f t="shared" si="23"/>
        <v>57224</v>
      </c>
      <c r="T444" s="344">
        <f ca="1">IF(ROUND(LOOKUP(Q444,Waterfalls!$6:$6,Waterfalls!$14:$14),0)&gt;0,1,0)*(D444+$H$4)</f>
        <v>0</v>
      </c>
      <c r="U444" s="508" t="str">
        <f ca="1">IF(T444&lt;&gt;0,LOOKUP(Q444,Waterfalls!$6:$6,Waterfalls!$14:$14),"")</f>
        <v/>
      </c>
      <c r="V444" s="508" t="str">
        <f ca="1">IF(T444&lt;&gt;0,-LOOKUP(Q444,Waterfalls!$6:$6,Waterfalls!$152:$152),"")</f>
        <v/>
      </c>
      <c r="X444" s="344">
        <f ca="1">IF(ROUND(LOOKUP($Q444,Waterfalls!$6:$6,Waterfalls!$21:$21),0)&gt;0,1,0)*($D444+$O$6)</f>
        <v>4.7459000000000001E-2</v>
      </c>
      <c r="Y444" s="508">
        <f ca="1">IF(X444&lt;&gt;0,LOOKUP($Q444,Waterfalls!$6:$6,Waterfalls!$21:$21),"")</f>
        <v>37715565.418264031</v>
      </c>
      <c r="Z444" s="508">
        <f ca="1">IF(X444&lt;&gt;0,-LOOKUP($Q444,Waterfalls!$6:$6,Waterfalls!$153:$153),"")</f>
        <v>266507.95792204805</v>
      </c>
    </row>
    <row r="445" spans="1:26" x14ac:dyDescent="0.3">
      <c r="A445" s="761">
        <f>IF(B445&gt;=DevBdgt!$E$7,LOOKUP(B445,DevBdgt!$7:$7,DevBdgt!$6:$6),"")</f>
        <v>132</v>
      </c>
      <c r="B445" s="507">
        <f t="shared" si="22"/>
        <v>57254</v>
      </c>
      <c r="C445" s="7">
        <v>0</v>
      </c>
      <c r="D445" s="1145">
        <f t="shared" si="24"/>
        <v>2.4958999999999999E-2</v>
      </c>
      <c r="Q445" s="507">
        <f t="shared" si="23"/>
        <v>57254</v>
      </c>
      <c r="T445" s="344">
        <f ca="1">IF(ROUND(LOOKUP(Q445,Waterfalls!$6:$6,Waterfalls!$14:$14),0)&gt;0,1,0)*(D445+$H$4)</f>
        <v>0</v>
      </c>
      <c r="U445" s="508" t="str">
        <f ca="1">IF(T445&lt;&gt;0,LOOKUP(Q445,Waterfalls!$6:$6,Waterfalls!$14:$14),"")</f>
        <v/>
      </c>
      <c r="V445" s="508" t="str">
        <f ca="1">IF(T445&lt;&gt;0,-LOOKUP(Q445,Waterfalls!$6:$6,Waterfalls!$152:$152),"")</f>
        <v/>
      </c>
      <c r="X445" s="344">
        <f ca="1">IF(ROUND(LOOKUP($Q445,Waterfalls!$6:$6,Waterfalls!$21:$21),0)&gt;0,1,0)*($D445+$O$6)</f>
        <v>4.7459000000000001E-2</v>
      </c>
      <c r="Y445" s="508">
        <f ca="1">IF(X445&lt;&gt;0,LOOKUP($Q445,Waterfalls!$6:$6,Waterfalls!$21:$21),"")</f>
        <v>37715565.418264031</v>
      </c>
      <c r="Z445" s="508">
        <f ca="1">IF(X445&lt;&gt;0,-LOOKUP($Q445,Waterfalls!$6:$6,Waterfalls!$153:$153),"")</f>
        <v>266507.95792204805</v>
      </c>
    </row>
    <row r="446" spans="1:26" x14ac:dyDescent="0.3">
      <c r="A446" s="761">
        <f>IF(B446&gt;=DevBdgt!$E$7,LOOKUP(B446,DevBdgt!$7:$7,DevBdgt!$6:$6),"")</f>
        <v>132</v>
      </c>
      <c r="B446" s="507">
        <f t="shared" si="22"/>
        <v>57285</v>
      </c>
      <c r="C446" s="7">
        <v>0</v>
      </c>
      <c r="D446" s="1145">
        <f t="shared" si="24"/>
        <v>2.4958999999999999E-2</v>
      </c>
      <c r="Q446" s="507">
        <f t="shared" si="23"/>
        <v>57285</v>
      </c>
      <c r="T446" s="344">
        <f ca="1">IF(ROUND(LOOKUP(Q446,Waterfalls!$6:$6,Waterfalls!$14:$14),0)&gt;0,1,0)*(D446+$H$4)</f>
        <v>0</v>
      </c>
      <c r="U446" s="508" t="str">
        <f ca="1">IF(T446&lt;&gt;0,LOOKUP(Q446,Waterfalls!$6:$6,Waterfalls!$14:$14),"")</f>
        <v/>
      </c>
      <c r="V446" s="508" t="str">
        <f ca="1">IF(T446&lt;&gt;0,-LOOKUP(Q446,Waterfalls!$6:$6,Waterfalls!$152:$152),"")</f>
        <v/>
      </c>
      <c r="X446" s="344">
        <f ca="1">IF(ROUND(LOOKUP($Q446,Waterfalls!$6:$6,Waterfalls!$21:$21),0)&gt;0,1,0)*($D446+$O$6)</f>
        <v>4.7459000000000001E-2</v>
      </c>
      <c r="Y446" s="508">
        <f ca="1">IF(X446&lt;&gt;0,LOOKUP($Q446,Waterfalls!$6:$6,Waterfalls!$21:$21),"")</f>
        <v>37715565.418264031</v>
      </c>
      <c r="Z446" s="508">
        <f ca="1">IF(X446&lt;&gt;0,-LOOKUP($Q446,Waterfalls!$6:$6,Waterfalls!$153:$153),"")</f>
        <v>266507.95792204805</v>
      </c>
    </row>
    <row r="447" spans="1:26" x14ac:dyDescent="0.3">
      <c r="A447" s="761">
        <f>IF(B447&gt;=DevBdgt!$E$7,LOOKUP(B447,DevBdgt!$7:$7,DevBdgt!$6:$6),"")</f>
        <v>132</v>
      </c>
      <c r="B447" s="507">
        <f t="shared" si="22"/>
        <v>57315</v>
      </c>
      <c r="C447" s="7">
        <v>0</v>
      </c>
      <c r="D447" s="1145">
        <f t="shared" si="24"/>
        <v>2.4958999999999999E-2</v>
      </c>
      <c r="Q447" s="507">
        <f t="shared" si="23"/>
        <v>57315</v>
      </c>
      <c r="T447" s="344">
        <f ca="1">IF(ROUND(LOOKUP(Q447,Waterfalls!$6:$6,Waterfalls!$14:$14),0)&gt;0,1,0)*(D447+$H$4)</f>
        <v>0</v>
      </c>
      <c r="U447" s="508" t="str">
        <f ca="1">IF(T447&lt;&gt;0,LOOKUP(Q447,Waterfalls!$6:$6,Waterfalls!$14:$14),"")</f>
        <v/>
      </c>
      <c r="V447" s="508" t="str">
        <f ca="1">IF(T447&lt;&gt;0,-LOOKUP(Q447,Waterfalls!$6:$6,Waterfalls!$152:$152),"")</f>
        <v/>
      </c>
      <c r="X447" s="344">
        <f ca="1">IF(ROUND(LOOKUP($Q447,Waterfalls!$6:$6,Waterfalls!$21:$21),0)&gt;0,1,0)*($D447+$O$6)</f>
        <v>4.7459000000000001E-2</v>
      </c>
      <c r="Y447" s="508">
        <f ca="1">IF(X447&lt;&gt;0,LOOKUP($Q447,Waterfalls!$6:$6,Waterfalls!$21:$21),"")</f>
        <v>37715565.418264031</v>
      </c>
      <c r="Z447" s="508">
        <f ca="1">IF(X447&lt;&gt;0,-LOOKUP($Q447,Waterfalls!$6:$6,Waterfalls!$153:$153),"")</f>
        <v>266507.95792204805</v>
      </c>
    </row>
    <row r="448" spans="1:26" x14ac:dyDescent="0.3">
      <c r="A448" s="761">
        <f>IF(B448&gt;=DevBdgt!$E$7,LOOKUP(B448,DevBdgt!$7:$7,DevBdgt!$6:$6),"")</f>
        <v>132</v>
      </c>
      <c r="B448" s="507">
        <f t="shared" si="22"/>
        <v>57346</v>
      </c>
      <c r="C448" s="7">
        <v>0</v>
      </c>
      <c r="D448" s="1145">
        <f t="shared" si="24"/>
        <v>2.4958999999999999E-2</v>
      </c>
      <c r="Q448" s="507">
        <f t="shared" si="23"/>
        <v>57346</v>
      </c>
      <c r="T448" s="344">
        <f ca="1">IF(ROUND(LOOKUP(Q448,Waterfalls!$6:$6,Waterfalls!$14:$14),0)&gt;0,1,0)*(D448+$H$4)</f>
        <v>0</v>
      </c>
      <c r="U448" s="508" t="str">
        <f ca="1">IF(T448&lt;&gt;0,LOOKUP(Q448,Waterfalls!$6:$6,Waterfalls!$14:$14),"")</f>
        <v/>
      </c>
      <c r="V448" s="508" t="str">
        <f ca="1">IF(T448&lt;&gt;0,-LOOKUP(Q448,Waterfalls!$6:$6,Waterfalls!$152:$152),"")</f>
        <v/>
      </c>
      <c r="X448" s="344">
        <f ca="1">IF(ROUND(LOOKUP($Q448,Waterfalls!$6:$6,Waterfalls!$21:$21),0)&gt;0,1,0)*($D448+$O$6)</f>
        <v>4.7459000000000001E-2</v>
      </c>
      <c r="Y448" s="508">
        <f ca="1">IF(X448&lt;&gt;0,LOOKUP($Q448,Waterfalls!$6:$6,Waterfalls!$21:$21),"")</f>
        <v>37715565.418264031</v>
      </c>
      <c r="Z448" s="508">
        <f ca="1">IF(X448&lt;&gt;0,-LOOKUP($Q448,Waterfalls!$6:$6,Waterfalls!$153:$153),"")</f>
        <v>266507.95792204805</v>
      </c>
    </row>
    <row r="449" spans="1:26" x14ac:dyDescent="0.3">
      <c r="A449" s="761">
        <f>IF(B449&gt;=DevBdgt!$E$7,LOOKUP(B449,DevBdgt!$7:$7,DevBdgt!$6:$6),"")</f>
        <v>132</v>
      </c>
      <c r="B449" s="507">
        <f t="shared" si="22"/>
        <v>57377</v>
      </c>
      <c r="C449" s="7">
        <v>0</v>
      </c>
      <c r="D449" s="1145">
        <f t="shared" si="24"/>
        <v>2.4958999999999999E-2</v>
      </c>
      <c r="Q449" s="507">
        <f t="shared" si="23"/>
        <v>57377</v>
      </c>
      <c r="T449" s="344">
        <f ca="1">IF(ROUND(LOOKUP(Q449,Waterfalls!$6:$6,Waterfalls!$14:$14),0)&gt;0,1,0)*(D449+$H$4)</f>
        <v>0</v>
      </c>
      <c r="U449" s="508" t="str">
        <f ca="1">IF(T449&lt;&gt;0,LOOKUP(Q449,Waterfalls!$6:$6,Waterfalls!$14:$14),"")</f>
        <v/>
      </c>
      <c r="V449" s="508" t="str">
        <f ca="1">IF(T449&lt;&gt;0,-LOOKUP(Q449,Waterfalls!$6:$6,Waterfalls!$152:$152),"")</f>
        <v/>
      </c>
      <c r="X449" s="344">
        <f ca="1">IF(ROUND(LOOKUP($Q449,Waterfalls!$6:$6,Waterfalls!$21:$21),0)&gt;0,1,0)*($D449+$O$6)</f>
        <v>4.7459000000000001E-2</v>
      </c>
      <c r="Y449" s="508">
        <f ca="1">IF(X449&lt;&gt;0,LOOKUP($Q449,Waterfalls!$6:$6,Waterfalls!$21:$21),"")</f>
        <v>37715565.418264031</v>
      </c>
      <c r="Z449" s="508">
        <f ca="1">IF(X449&lt;&gt;0,-LOOKUP($Q449,Waterfalls!$6:$6,Waterfalls!$153:$153),"")</f>
        <v>266507.95792204805</v>
      </c>
    </row>
    <row r="450" spans="1:26" x14ac:dyDescent="0.3">
      <c r="A450" s="761">
        <f>IF(B450&gt;=DevBdgt!$E$7,LOOKUP(B450,DevBdgt!$7:$7,DevBdgt!$6:$6),"")</f>
        <v>132</v>
      </c>
      <c r="B450" s="507">
        <f t="shared" si="22"/>
        <v>57405</v>
      </c>
      <c r="C450" s="7">
        <v>0</v>
      </c>
      <c r="D450" s="1145">
        <f t="shared" si="24"/>
        <v>2.4958999999999999E-2</v>
      </c>
      <c r="Q450" s="507">
        <f t="shared" si="23"/>
        <v>57405</v>
      </c>
      <c r="T450" s="344">
        <f ca="1">IF(ROUND(LOOKUP(Q450,Waterfalls!$6:$6,Waterfalls!$14:$14),0)&gt;0,1,0)*(D450+$H$4)</f>
        <v>0</v>
      </c>
      <c r="U450" s="508" t="str">
        <f ca="1">IF(T450&lt;&gt;0,LOOKUP(Q450,Waterfalls!$6:$6,Waterfalls!$14:$14),"")</f>
        <v/>
      </c>
      <c r="V450" s="508" t="str">
        <f ca="1">IF(T450&lt;&gt;0,-LOOKUP(Q450,Waterfalls!$6:$6,Waterfalls!$152:$152),"")</f>
        <v/>
      </c>
      <c r="X450" s="344">
        <f ca="1">IF(ROUND(LOOKUP($Q450,Waterfalls!$6:$6,Waterfalls!$21:$21),0)&gt;0,1,0)*($D450+$O$6)</f>
        <v>4.7459000000000001E-2</v>
      </c>
      <c r="Y450" s="508">
        <f ca="1">IF(X450&lt;&gt;0,LOOKUP($Q450,Waterfalls!$6:$6,Waterfalls!$21:$21),"")</f>
        <v>37715565.418264031</v>
      </c>
      <c r="Z450" s="508">
        <f ca="1">IF(X450&lt;&gt;0,-LOOKUP($Q450,Waterfalls!$6:$6,Waterfalls!$153:$153),"")</f>
        <v>266507.95792204805</v>
      </c>
    </row>
    <row r="451" spans="1:26" x14ac:dyDescent="0.3">
      <c r="A451" s="761">
        <f>IF(B451&gt;=DevBdgt!$E$7,LOOKUP(B451,DevBdgt!$7:$7,DevBdgt!$6:$6),"")</f>
        <v>132</v>
      </c>
      <c r="B451" s="507">
        <f t="shared" si="22"/>
        <v>57436</v>
      </c>
      <c r="C451" s="7">
        <v>0</v>
      </c>
      <c r="D451" s="1145">
        <f t="shared" si="24"/>
        <v>2.4958999999999999E-2</v>
      </c>
      <c r="Q451" s="507">
        <f t="shared" si="23"/>
        <v>57436</v>
      </c>
      <c r="T451" s="344">
        <f ca="1">IF(ROUND(LOOKUP(Q451,Waterfalls!$6:$6,Waterfalls!$14:$14),0)&gt;0,1,0)*(D451+$H$4)</f>
        <v>0</v>
      </c>
      <c r="U451" s="508" t="str">
        <f ca="1">IF(T451&lt;&gt;0,LOOKUP(Q451,Waterfalls!$6:$6,Waterfalls!$14:$14),"")</f>
        <v/>
      </c>
      <c r="V451" s="508" t="str">
        <f ca="1">IF(T451&lt;&gt;0,-LOOKUP(Q451,Waterfalls!$6:$6,Waterfalls!$152:$152),"")</f>
        <v/>
      </c>
      <c r="X451" s="344">
        <f ca="1">IF(ROUND(LOOKUP($Q451,Waterfalls!$6:$6,Waterfalls!$21:$21),0)&gt;0,1,0)*($D451+$O$6)</f>
        <v>4.7459000000000001E-2</v>
      </c>
      <c r="Y451" s="508">
        <f ca="1">IF(X451&lt;&gt;0,LOOKUP($Q451,Waterfalls!$6:$6,Waterfalls!$21:$21),"")</f>
        <v>37715565.418264031</v>
      </c>
      <c r="Z451" s="508">
        <f ca="1">IF(X451&lt;&gt;0,-LOOKUP($Q451,Waterfalls!$6:$6,Waterfalls!$153:$153),"")</f>
        <v>266507.95792204805</v>
      </c>
    </row>
    <row r="452" spans="1:26" x14ac:dyDescent="0.3">
      <c r="A452" s="761">
        <f>IF(B452&gt;=DevBdgt!$E$7,LOOKUP(B452,DevBdgt!$7:$7,DevBdgt!$6:$6),"")</f>
        <v>132</v>
      </c>
      <c r="B452" s="507">
        <f t="shared" si="22"/>
        <v>57466</v>
      </c>
      <c r="C452" s="7">
        <v>0</v>
      </c>
      <c r="D452" s="1145">
        <f t="shared" si="24"/>
        <v>2.4958999999999999E-2</v>
      </c>
      <c r="Q452" s="507">
        <f t="shared" si="23"/>
        <v>57466</v>
      </c>
      <c r="T452" s="344">
        <f ca="1">IF(ROUND(LOOKUP(Q452,Waterfalls!$6:$6,Waterfalls!$14:$14),0)&gt;0,1,0)*(D452+$H$4)</f>
        <v>0</v>
      </c>
      <c r="U452" s="508" t="str">
        <f ca="1">IF(T452&lt;&gt;0,LOOKUP(Q452,Waterfalls!$6:$6,Waterfalls!$14:$14),"")</f>
        <v/>
      </c>
      <c r="V452" s="508" t="str">
        <f ca="1">IF(T452&lt;&gt;0,-LOOKUP(Q452,Waterfalls!$6:$6,Waterfalls!$152:$152),"")</f>
        <v/>
      </c>
      <c r="X452" s="344">
        <f ca="1">IF(ROUND(LOOKUP($Q452,Waterfalls!$6:$6,Waterfalls!$21:$21),0)&gt;0,1,0)*($D452+$O$6)</f>
        <v>4.7459000000000001E-2</v>
      </c>
      <c r="Y452" s="508">
        <f ca="1">IF(X452&lt;&gt;0,LOOKUP($Q452,Waterfalls!$6:$6,Waterfalls!$21:$21),"")</f>
        <v>37715565.418264031</v>
      </c>
      <c r="Z452" s="508">
        <f ca="1">IF(X452&lt;&gt;0,-LOOKUP($Q452,Waterfalls!$6:$6,Waterfalls!$153:$153),"")</f>
        <v>266507.95792204805</v>
      </c>
    </row>
    <row r="453" spans="1:26" x14ac:dyDescent="0.3">
      <c r="A453" s="761">
        <f>IF(B453&gt;=DevBdgt!$E$7,LOOKUP(B453,DevBdgt!$7:$7,DevBdgt!$6:$6),"")</f>
        <v>132</v>
      </c>
      <c r="B453" s="507">
        <f t="shared" si="22"/>
        <v>57497</v>
      </c>
      <c r="C453" s="7">
        <v>0</v>
      </c>
      <c r="D453" s="1145">
        <f t="shared" si="24"/>
        <v>2.4958999999999999E-2</v>
      </c>
      <c r="Q453" s="507">
        <f t="shared" si="23"/>
        <v>57497</v>
      </c>
      <c r="T453" s="344">
        <f ca="1">IF(ROUND(LOOKUP(Q453,Waterfalls!$6:$6,Waterfalls!$14:$14),0)&gt;0,1,0)*(D453+$H$4)</f>
        <v>0</v>
      </c>
      <c r="U453" s="508" t="str">
        <f ca="1">IF(T453&lt;&gt;0,LOOKUP(Q453,Waterfalls!$6:$6,Waterfalls!$14:$14),"")</f>
        <v/>
      </c>
      <c r="V453" s="508" t="str">
        <f ca="1">IF(T453&lt;&gt;0,-LOOKUP(Q453,Waterfalls!$6:$6,Waterfalls!$152:$152),"")</f>
        <v/>
      </c>
      <c r="X453" s="344">
        <f ca="1">IF(ROUND(LOOKUP($Q453,Waterfalls!$6:$6,Waterfalls!$21:$21),0)&gt;0,1,0)*($D453+$O$6)</f>
        <v>4.7459000000000001E-2</v>
      </c>
      <c r="Y453" s="508">
        <f ca="1">IF(X453&lt;&gt;0,LOOKUP($Q453,Waterfalls!$6:$6,Waterfalls!$21:$21),"")</f>
        <v>37715565.418264031</v>
      </c>
      <c r="Z453" s="508">
        <f ca="1">IF(X453&lt;&gt;0,-LOOKUP($Q453,Waterfalls!$6:$6,Waterfalls!$153:$153),"")</f>
        <v>266507.95792204805</v>
      </c>
    </row>
    <row r="454" spans="1:26" x14ac:dyDescent="0.3">
      <c r="A454" s="761">
        <f>IF(B454&gt;=DevBdgt!$E$7,LOOKUP(B454,DevBdgt!$7:$7,DevBdgt!$6:$6),"")</f>
        <v>132</v>
      </c>
      <c r="B454" s="507">
        <f t="shared" ref="B454:B459" si="25">EDATE(B453,1)</f>
        <v>57527</v>
      </c>
      <c r="C454" s="7">
        <v>0</v>
      </c>
      <c r="D454" s="1145">
        <f t="shared" si="24"/>
        <v>2.4958999999999999E-2</v>
      </c>
      <c r="Q454" s="507">
        <f t="shared" si="23"/>
        <v>57527</v>
      </c>
      <c r="T454" s="344">
        <f ca="1">IF(ROUND(LOOKUP(Q454,Waterfalls!$6:$6,Waterfalls!$14:$14),0)&gt;0,1,0)*(D454+$H$4)</f>
        <v>0</v>
      </c>
      <c r="U454" s="508" t="str">
        <f ca="1">IF(T454&lt;&gt;0,LOOKUP(Q454,Waterfalls!$6:$6,Waterfalls!$14:$14),"")</f>
        <v/>
      </c>
      <c r="V454" s="508" t="str">
        <f ca="1">IF(T454&lt;&gt;0,-LOOKUP(Q454,Waterfalls!$6:$6,Waterfalls!$152:$152),"")</f>
        <v/>
      </c>
      <c r="X454" s="344">
        <f ca="1">IF(ROUND(LOOKUP($Q454,Waterfalls!$6:$6,Waterfalls!$21:$21),0)&gt;0,1,0)*($D454+$O$6)</f>
        <v>4.7459000000000001E-2</v>
      </c>
      <c r="Y454" s="508">
        <f ca="1">IF(X454&lt;&gt;0,LOOKUP($Q454,Waterfalls!$6:$6,Waterfalls!$21:$21),"")</f>
        <v>37715565.418264031</v>
      </c>
      <c r="Z454" s="508">
        <f ca="1">IF(X454&lt;&gt;0,-LOOKUP($Q454,Waterfalls!$6:$6,Waterfalls!$153:$153),"")</f>
        <v>266507.95792204805</v>
      </c>
    </row>
    <row r="455" spans="1:26" x14ac:dyDescent="0.3">
      <c r="A455" s="761">
        <f>IF(B455&gt;=DevBdgt!$E$7,LOOKUP(B455,DevBdgt!$7:$7,DevBdgt!$6:$6),"")</f>
        <v>132</v>
      </c>
      <c r="B455" s="507">
        <f t="shared" si="25"/>
        <v>57558</v>
      </c>
      <c r="C455" s="7">
        <v>0</v>
      </c>
      <c r="D455" s="1145">
        <f t="shared" si="24"/>
        <v>2.4958999999999999E-2</v>
      </c>
      <c r="Q455" s="507">
        <f t="shared" si="23"/>
        <v>57558</v>
      </c>
      <c r="T455" s="344">
        <f ca="1">IF(ROUND(LOOKUP(Q455,Waterfalls!$6:$6,Waterfalls!$14:$14),0)&gt;0,1,0)*(D455+$H$4)</f>
        <v>0</v>
      </c>
      <c r="U455" s="508" t="str">
        <f ca="1">IF(T455&lt;&gt;0,LOOKUP(Q455,Waterfalls!$6:$6,Waterfalls!$14:$14),"")</f>
        <v/>
      </c>
      <c r="V455" s="508" t="str">
        <f ca="1">IF(T455&lt;&gt;0,-LOOKUP(Q455,Waterfalls!$6:$6,Waterfalls!$152:$152),"")</f>
        <v/>
      </c>
      <c r="X455" s="344">
        <f ca="1">IF(ROUND(LOOKUP($Q455,Waterfalls!$6:$6,Waterfalls!$21:$21),0)&gt;0,1,0)*($D455+$O$6)</f>
        <v>4.7459000000000001E-2</v>
      </c>
      <c r="Y455" s="508">
        <f ca="1">IF(X455&lt;&gt;0,LOOKUP($Q455,Waterfalls!$6:$6,Waterfalls!$21:$21),"")</f>
        <v>37715565.418264031</v>
      </c>
      <c r="Z455" s="508">
        <f ca="1">IF(X455&lt;&gt;0,-LOOKUP($Q455,Waterfalls!$6:$6,Waterfalls!$153:$153),"")</f>
        <v>266507.95792204805</v>
      </c>
    </row>
    <row r="456" spans="1:26" x14ac:dyDescent="0.3">
      <c r="A456" s="761">
        <f>IF(B456&gt;=DevBdgt!$E$7,LOOKUP(B456,DevBdgt!$7:$7,DevBdgt!$6:$6),"")</f>
        <v>132</v>
      </c>
      <c r="B456" s="507">
        <f t="shared" si="25"/>
        <v>57589</v>
      </c>
      <c r="C456" s="7">
        <v>0</v>
      </c>
      <c r="D456" s="1145">
        <f t="shared" si="24"/>
        <v>2.4958999999999999E-2</v>
      </c>
      <c r="Q456" s="507">
        <f t="shared" si="23"/>
        <v>57589</v>
      </c>
      <c r="T456" s="344">
        <f ca="1">IF(ROUND(LOOKUP(Q456,Waterfalls!$6:$6,Waterfalls!$14:$14),0)&gt;0,1,0)*(D456+$H$4)</f>
        <v>0</v>
      </c>
      <c r="U456" s="508" t="str">
        <f ca="1">IF(T456&lt;&gt;0,LOOKUP(Q456,Waterfalls!$6:$6,Waterfalls!$14:$14),"")</f>
        <v/>
      </c>
      <c r="V456" s="508" t="str">
        <f ca="1">IF(T456&lt;&gt;0,-LOOKUP(Q456,Waterfalls!$6:$6,Waterfalls!$152:$152),"")</f>
        <v/>
      </c>
      <c r="X456" s="344">
        <f ca="1">IF(ROUND(LOOKUP($Q456,Waterfalls!$6:$6,Waterfalls!$21:$21),0)&gt;0,1,0)*($D456+$O$6)</f>
        <v>4.7459000000000001E-2</v>
      </c>
      <c r="Y456" s="508">
        <f ca="1">IF(X456&lt;&gt;0,LOOKUP($Q456,Waterfalls!$6:$6,Waterfalls!$21:$21),"")</f>
        <v>37715565.418264031</v>
      </c>
      <c r="Z456" s="508">
        <f ca="1">IF(X456&lt;&gt;0,-LOOKUP($Q456,Waterfalls!$6:$6,Waterfalls!$153:$153),"")</f>
        <v>266507.95792204805</v>
      </c>
    </row>
    <row r="457" spans="1:26" x14ac:dyDescent="0.3">
      <c r="A457" s="761">
        <f>IF(B457&gt;=DevBdgt!$E$7,LOOKUP(B457,DevBdgt!$7:$7,DevBdgt!$6:$6),"")</f>
        <v>132</v>
      </c>
      <c r="B457" s="507">
        <f t="shared" si="25"/>
        <v>57619</v>
      </c>
      <c r="C457" s="7">
        <v>0</v>
      </c>
      <c r="D457" s="1145">
        <f t="shared" si="24"/>
        <v>2.4958999999999999E-2</v>
      </c>
      <c r="Q457" s="507">
        <f t="shared" si="23"/>
        <v>57619</v>
      </c>
      <c r="T457" s="344">
        <f ca="1">IF(ROUND(LOOKUP(Q457,Waterfalls!$6:$6,Waterfalls!$14:$14),0)&gt;0,1,0)*(D457+$H$4)</f>
        <v>0</v>
      </c>
      <c r="U457" s="508" t="str">
        <f ca="1">IF(T457&lt;&gt;0,LOOKUP(Q457,Waterfalls!$6:$6,Waterfalls!$14:$14),"")</f>
        <v/>
      </c>
      <c r="V457" s="508" t="str">
        <f ca="1">IF(T457&lt;&gt;0,-LOOKUP(Q457,Waterfalls!$6:$6,Waterfalls!$152:$152),"")</f>
        <v/>
      </c>
      <c r="X457" s="344">
        <f ca="1">IF(ROUND(LOOKUP($Q457,Waterfalls!$6:$6,Waterfalls!$21:$21),0)&gt;0,1,0)*($D457+$O$6)</f>
        <v>4.7459000000000001E-2</v>
      </c>
      <c r="Y457" s="508">
        <f ca="1">IF(X457&lt;&gt;0,LOOKUP($Q457,Waterfalls!$6:$6,Waterfalls!$21:$21),"")</f>
        <v>37715565.418264031</v>
      </c>
      <c r="Z457" s="508">
        <f ca="1">IF(X457&lt;&gt;0,-LOOKUP($Q457,Waterfalls!$6:$6,Waterfalls!$153:$153),"")</f>
        <v>266507.95792204805</v>
      </c>
    </row>
    <row r="458" spans="1:26" x14ac:dyDescent="0.3">
      <c r="A458" s="761">
        <f>IF(B458&gt;=DevBdgt!$E$7,LOOKUP(B458,DevBdgt!$7:$7,DevBdgt!$6:$6),"")</f>
        <v>132</v>
      </c>
      <c r="B458" s="507">
        <f t="shared" si="25"/>
        <v>57650</v>
      </c>
      <c r="C458" s="7">
        <v>0</v>
      </c>
      <c r="D458" s="1145">
        <f t="shared" si="24"/>
        <v>2.4958999999999999E-2</v>
      </c>
      <c r="Q458" s="507">
        <f t="shared" si="23"/>
        <v>57650</v>
      </c>
      <c r="T458" s="344">
        <f ca="1">IF(ROUND(LOOKUP(Q458,Waterfalls!$6:$6,Waterfalls!$14:$14),0)&gt;0,1,0)*(D458+$H$4)</f>
        <v>0</v>
      </c>
      <c r="U458" s="508" t="str">
        <f ca="1">IF(T458&lt;&gt;0,LOOKUP(Q458,Waterfalls!$6:$6,Waterfalls!$14:$14),"")</f>
        <v/>
      </c>
      <c r="V458" s="508" t="str">
        <f ca="1">IF(T458&lt;&gt;0,-LOOKUP(Q458,Waterfalls!$6:$6,Waterfalls!$152:$152),"")</f>
        <v/>
      </c>
      <c r="X458" s="344">
        <f ca="1">IF(ROUND(LOOKUP($Q458,Waterfalls!$6:$6,Waterfalls!$21:$21),0)&gt;0,1,0)*($D458+$O$6)</f>
        <v>4.7459000000000001E-2</v>
      </c>
      <c r="Y458" s="508">
        <f ca="1">IF(X458&lt;&gt;0,LOOKUP($Q458,Waterfalls!$6:$6,Waterfalls!$21:$21),"")</f>
        <v>37715565.418264031</v>
      </c>
      <c r="Z458" s="508">
        <f ca="1">IF(X458&lt;&gt;0,-LOOKUP($Q458,Waterfalls!$6:$6,Waterfalls!$153:$153),"")</f>
        <v>266507.95792204805</v>
      </c>
    </row>
    <row r="459" spans="1:26" x14ac:dyDescent="0.3">
      <c r="A459" s="761">
        <f>IF(B459&gt;=DevBdgt!$E$7,LOOKUP(B459,DevBdgt!$7:$7,DevBdgt!$6:$6),"")</f>
        <v>132</v>
      </c>
      <c r="B459" s="507">
        <f t="shared" si="25"/>
        <v>57680</v>
      </c>
      <c r="C459" s="7">
        <v>0</v>
      </c>
      <c r="D459" s="1145">
        <f t="shared" si="24"/>
        <v>2.4958999999999999E-2</v>
      </c>
      <c r="Q459" s="507">
        <f t="shared" si="23"/>
        <v>57680</v>
      </c>
      <c r="T459" s="344">
        <f ca="1">IF(ROUND(LOOKUP(Q459,Waterfalls!$6:$6,Waterfalls!$14:$14),0)&gt;0,1,0)*(D459+$H$4)</f>
        <v>0</v>
      </c>
      <c r="U459" s="508" t="str">
        <f ca="1">IF(T459&lt;&gt;0,LOOKUP(Q459,Waterfalls!$6:$6,Waterfalls!$14:$14),"")</f>
        <v/>
      </c>
      <c r="V459" s="508" t="str">
        <f ca="1">IF(T459&lt;&gt;0,-LOOKUP(Q459,Waterfalls!$6:$6,Waterfalls!$152:$152),"")</f>
        <v/>
      </c>
      <c r="X459" s="344">
        <f ca="1">IF(ROUND(LOOKUP($Q459,Waterfalls!$6:$6,Waterfalls!$21:$21),0)&gt;0,1,0)*($D459+$O$6)</f>
        <v>4.7459000000000001E-2</v>
      </c>
      <c r="Y459" s="508">
        <f ca="1">IF(X459&lt;&gt;0,LOOKUP($Q459,Waterfalls!$6:$6,Waterfalls!$21:$21),"")</f>
        <v>37715565.418264031</v>
      </c>
      <c r="Z459" s="508">
        <f ca="1">IF(X459&lt;&gt;0,-LOOKUP($Q459,Waterfalls!$6:$6,Waterfalls!$153:$153),"")</f>
        <v>266507.95792204805</v>
      </c>
    </row>
  </sheetData>
  <sheetProtection algorithmName="SHA-512" hashValue="BVHk30hCMFKhjKX2x0+KnYnbhflJ3Af7qhVkwEY0TZTV6n+IZItgqRun0LtuMfoQEkxvSKNlyKvWRzR9mtsPzg==" saltValue="M4XkMOIadNuPo7vsqzNJxA==" spinCount="100000" sheet="1" objects="1" scenarios="1"/>
  <mergeCells count="2">
    <mergeCell ref="T1:V1"/>
    <mergeCell ref="X1:Z1"/>
  </mergeCells>
  <conditionalFormatting sqref="T460:T1048576 T3">
    <cfRule type="colorScale" priority="6">
      <colorScale>
        <cfvo type="min"/>
        <cfvo type="percentile" val="50"/>
        <cfvo type="max"/>
        <color rgb="FF63BE7B"/>
        <color rgb="FFFFEB84"/>
        <color rgb="FFF8696B"/>
      </colorScale>
    </cfRule>
  </conditionalFormatting>
  <conditionalFormatting sqref="T4:T459">
    <cfRule type="colorScale" priority="4">
      <colorScale>
        <cfvo type="min"/>
        <cfvo type="percentile" val="50"/>
        <cfvo type="max"/>
        <color rgb="FF63BE7B"/>
        <color rgb="FFFFEB84"/>
        <color rgb="FFF8696B"/>
      </colorScale>
    </cfRule>
  </conditionalFormatting>
  <conditionalFormatting sqref="X3">
    <cfRule type="colorScale" priority="3">
      <colorScale>
        <cfvo type="min"/>
        <cfvo type="percentile" val="50"/>
        <cfvo type="max"/>
        <color rgb="FF63BE7B"/>
        <color rgb="FFFFEB84"/>
        <color rgb="FFF8696B"/>
      </colorScale>
    </cfRule>
  </conditionalFormatting>
  <conditionalFormatting sqref="X4:X459">
    <cfRule type="colorScale" priority="1">
      <colorScale>
        <cfvo type="min"/>
        <cfvo type="percentile" val="50"/>
        <cfvo type="max"/>
        <color rgb="FF63BE7B"/>
        <color rgb="FFFFEB84"/>
        <color rgb="FFF8696B"/>
      </colorScale>
    </cfRule>
  </conditionalFormatting>
  <hyperlinks>
    <hyperlink ref="G8" r:id="rId1" location="0" display="Link to 1-Month SOFR Historical Rates" xr:uid="{4A968D25-F45C-451E-9EDA-A3E71BAB1454}"/>
    <hyperlink ref="G9" r:id="rId2" xr:uid="{98F5D3C9-0EE7-42A9-85FA-114DD70C2192}"/>
  </hyperlinks>
  <pageMargins left="0.7" right="0.7" top="0.75" bottom="0.75" header="0.3" footer="0.3"/>
  <pageSetup orientation="portrait" r:id="rId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1">
    <tabColor rgb="FF003300"/>
  </sheetPr>
  <dimension ref="A1:EF28"/>
  <sheetViews>
    <sheetView showGridLines="0" zoomScale="90" zoomScaleNormal="90" zoomScaleSheetLayoutView="100" workbookViewId="0">
      <pane xSplit="3" ySplit="6" topLeftCell="D7" activePane="bottomRight" state="frozen"/>
      <selection pane="topRight"/>
      <selection pane="bottomLeft"/>
      <selection pane="bottomRight"/>
    </sheetView>
  </sheetViews>
  <sheetFormatPr defaultColWidth="13.6640625" defaultRowHeight="14.4" x14ac:dyDescent="0.3"/>
  <cols>
    <col min="1" max="16384" width="13.6640625" style="229"/>
  </cols>
  <sheetData>
    <row r="1" spans="1:136" customFormat="1" x14ac:dyDescent="0.3">
      <c r="A1" t="str">
        <f>OperBgt!A1</f>
        <v>Project:</v>
      </c>
      <c r="B1" t="str">
        <f>OperBgt!B1</f>
        <v>Emblem Meridian</v>
      </c>
    </row>
    <row r="2" spans="1:136" s="210" customFormat="1" x14ac:dyDescent="0.3">
      <c r="A2" s="111" t="str">
        <f>OperBgt!A2</f>
        <v>Location:</v>
      </c>
      <c r="B2" s="749" t="str">
        <f>DevBdgt!B2</f>
        <v>Meridian, Other</v>
      </c>
      <c r="D2" s="750" t="str">
        <f>IF(D6='General Inputs'!$D$30,"Start",IF(D6=MonthFirstUnits,"First Units",IF(D6=MonthFinalUnits,"Final Units",IF(D6=MonthStabilization,"Stabilization",""))))</f>
        <v/>
      </c>
      <c r="E2" s="750" t="str">
        <f>IF(E6='General Inputs'!$D$30,"Start",IF(E6=MonthFirstUnits,"First Units",IF(E6=MonthFinalUnits,"Final Units",IF(E6=MonthStabilization,"Stabilization",""))))</f>
        <v>Start</v>
      </c>
      <c r="F2" s="750" t="str">
        <f>IF(F6='General Inputs'!$D$30,"Start",IF(F6=MonthFirstUnits,"First Units",IF(F6=MonthFinalUnits,"Final Units",IF(F6=MonthStabilization,"Stabilization",""))))</f>
        <v/>
      </c>
      <c r="G2" s="750" t="str">
        <f>IF(G6='General Inputs'!$D$30,"Start",IF(G6=MonthFirstUnits,"First Units",IF(G6=MonthFinalUnits,"Final Units",IF(G6=MonthStabilization,"Stabilization",""))))</f>
        <v/>
      </c>
      <c r="H2" s="750" t="str">
        <f>IF(H6='General Inputs'!$D$30,"Start",IF(H6=MonthFirstUnits,"First Units",IF(H6=MonthFinalUnits,"Final Units",IF(H6=MonthStabilization,"Stabilization",""))))</f>
        <v/>
      </c>
      <c r="I2" s="750" t="str">
        <f>IF(I6='General Inputs'!$D$30,"Start",IF(I6=MonthFirstUnits,"First Units",IF(I6=MonthFinalUnits,"Final Units",IF(I6=MonthStabilization,"Stabilization",""))))</f>
        <v/>
      </c>
      <c r="J2" s="750" t="str">
        <f>IF(J6='General Inputs'!$D$30,"Start",IF(J6=MonthFirstUnits,"First Units",IF(J6=MonthFinalUnits,"Final Units",IF(J6=MonthStabilization,"Stabilization",""))))</f>
        <v/>
      </c>
      <c r="K2" s="750" t="str">
        <f>IF(K6='General Inputs'!$D$30,"Start",IF(K6=MonthFirstUnits,"First Units",IF(K6=MonthFinalUnits,"Final Units",IF(K6=MonthStabilization,"Stabilization",""))))</f>
        <v/>
      </c>
      <c r="L2" s="750" t="str">
        <f>IF(L6='General Inputs'!$D$30,"Start",IF(L6=MonthFirstUnits,"First Units",IF(L6=MonthFinalUnits,"Final Units",IF(L6=MonthStabilization,"Stabilization",""))))</f>
        <v/>
      </c>
      <c r="M2" s="750" t="str">
        <f>IF(M6='General Inputs'!$D$30,"Start",IF(M6=MonthFirstUnits,"First Units",IF(M6=MonthFinalUnits,"Final Units",IF(M6=MonthStabilization,"Stabilization",""))))</f>
        <v/>
      </c>
      <c r="N2" s="750" t="str">
        <f>IF(N6='General Inputs'!$D$30,"Start",IF(N6=MonthFirstUnits,"First Units",IF(N6=MonthFinalUnits,"Final Units",IF(N6=MonthStabilization,"Stabilization",""))))</f>
        <v/>
      </c>
      <c r="O2" s="750" t="str">
        <f>IF(O6='General Inputs'!$D$30,"Start",IF(O6=MonthFirstUnits,"First Units",IF(O6=MonthFinalUnits,"Final Units",IF(O6=MonthStabilization,"Stabilization",""))))</f>
        <v/>
      </c>
      <c r="P2" s="750" t="str">
        <f>IF(P6='General Inputs'!$D$30,"Start",IF(P6=MonthFirstUnits,"First Units",IF(P6=MonthFinalUnits,"Final Units",IF(P6=MonthStabilization,"Stabilization",""))))</f>
        <v/>
      </c>
      <c r="Q2" s="750" t="str">
        <f>IF(Q6='General Inputs'!$D$30,"Start",IF(Q6=MonthFirstUnits,"First Units",IF(Q6=MonthFinalUnits,"Final Units",IF(Q6=MonthStabilization,"Stabilization",""))))</f>
        <v/>
      </c>
      <c r="R2" s="750" t="str">
        <f>IF(R6='General Inputs'!$D$30,"Start",IF(R6=MonthFirstUnits,"First Units",IF(R6=MonthFinalUnits,"Final Units",IF(R6=MonthStabilization,"Stabilization",""))))</f>
        <v>First Units</v>
      </c>
      <c r="S2" s="750" t="str">
        <f>IF(S6='General Inputs'!$D$30,"Start",IF(S6=MonthFirstUnits,"First Units",IF(S6=MonthFinalUnits,"Final Units",IF(S6=MonthStabilization,"Stabilization",""))))</f>
        <v/>
      </c>
      <c r="T2" s="750" t="str">
        <f>IF(T6='General Inputs'!$D$30,"Start",IF(T6=MonthFirstUnits,"First Units",IF(T6=MonthFinalUnits,"Final Units",IF(T6=MonthStabilization,"Stabilization",""))))</f>
        <v/>
      </c>
      <c r="U2" s="750" t="str">
        <f>IF(U6='General Inputs'!$D$30,"Start",IF(U6=MonthFirstUnits,"First Units",IF(U6=MonthFinalUnits,"Final Units",IF(U6=MonthStabilization,"Stabilization",""))))</f>
        <v/>
      </c>
      <c r="V2" s="750" t="str">
        <f>IF(V6='General Inputs'!$D$30,"Start",IF(V6=MonthFirstUnits,"First Units",IF(V6=MonthFinalUnits,"Final Units",IF(V6=MonthStabilization,"Stabilization",""))))</f>
        <v/>
      </c>
      <c r="W2" s="750" t="str">
        <f>IF(W6='General Inputs'!$D$30,"Start",IF(W6=MonthFirstUnits,"First Units",IF(W6=MonthFinalUnits,"Final Units",IF(W6=MonthStabilization,"Stabilization",""))))</f>
        <v/>
      </c>
      <c r="X2" s="750" t="str">
        <f>IF(X6='General Inputs'!$D$30,"Start",IF(X6=MonthFirstUnits,"First Units",IF(X6=MonthFinalUnits,"Final Units",IF(X6=MonthStabilization,"Stabilization",""))))</f>
        <v/>
      </c>
      <c r="Y2" s="750" t="str">
        <f>IF(Y6='General Inputs'!$D$30,"Start",IF(Y6=MonthFirstUnits,"First Units",IF(Y6=MonthFinalUnits,"Final Units",IF(Y6=MonthStabilization,"Stabilization",""))))</f>
        <v/>
      </c>
      <c r="Z2" s="750" t="str">
        <f>IF(Z6='General Inputs'!$D$30,"Start",IF(Z6=MonthFirstUnits,"First Units",IF(Z6=MonthFinalUnits,"Final Units",IF(Z6=MonthStabilization,"Stabilization",""))))</f>
        <v/>
      </c>
      <c r="AA2" s="750" t="str">
        <f>IF(AA6='General Inputs'!$D$30,"Start",IF(AA6=MonthFirstUnits,"First Units",IF(AA6=MonthFinalUnits,"Final Units",IF(AA6=MonthStabilization,"Stabilization",""))))</f>
        <v/>
      </c>
      <c r="AB2" s="750" t="str">
        <f>IF(AB6='General Inputs'!$D$30,"Start",IF(AB6=MonthFirstUnits,"First Units",IF(AB6=MonthFinalUnits,"Final Units",IF(AB6=MonthStabilization,"Stabilization",""))))</f>
        <v/>
      </c>
      <c r="AC2" s="750" t="str">
        <f>IF(AC6='General Inputs'!$D$30,"Start",IF(AC6=MonthFirstUnits,"First Units",IF(AC6=MonthFinalUnits,"Final Units",IF(AC6=MonthStabilization,"Stabilization",""))))</f>
        <v>Final Units</v>
      </c>
      <c r="AD2" s="750" t="str">
        <f>IF(AD6='General Inputs'!$D$30,"Start",IF(AD6=MonthFirstUnits,"First Units",IF(AD6=MonthFinalUnits,"Final Units",IF(AD6=MonthStabilization,"Stabilization",""))))</f>
        <v/>
      </c>
      <c r="AE2" s="750" t="str">
        <f>IF(AE6='General Inputs'!$D$30,"Start",IF(AE6=MonthFirstUnits,"First Units",IF(AE6=MonthFinalUnits,"Final Units",IF(AE6=MonthStabilization,"Stabilization",""))))</f>
        <v>Stabilization</v>
      </c>
      <c r="AF2" s="750" t="str">
        <f>IF(AF6='General Inputs'!$D$30,"Start",IF(AF6=MonthFirstUnits,"First Units",IF(AF6=MonthFinalUnits,"Final Units",IF(AF6=MonthStabilization,"Stabilization",""))))</f>
        <v/>
      </c>
      <c r="AG2" s="750" t="str">
        <f>IF(AG6='General Inputs'!$D$30,"Start",IF(AG6=MonthFirstUnits,"First Units",IF(AG6=MonthFinalUnits,"Final Units",IF(AG6=MonthStabilization,"Stabilization",""))))</f>
        <v/>
      </c>
      <c r="AH2" s="750" t="str">
        <f>IF(AH6='General Inputs'!$D$30,"Start",IF(AH6=MonthFirstUnits,"First Units",IF(AH6=MonthFinalUnits,"Final Units",IF(AH6=MonthStabilization,"Stabilization",""))))</f>
        <v/>
      </c>
      <c r="AI2" s="750" t="str">
        <f>IF(AI6='General Inputs'!$D$30,"Start",IF(AI6=MonthFirstUnits,"First Units",IF(AI6=MonthFinalUnits,"Final Units",IF(AI6=MonthStabilization,"Stabilization",""))))</f>
        <v/>
      </c>
      <c r="AJ2" s="750" t="str">
        <f>IF(AJ6='General Inputs'!$D$30,"Start",IF(AJ6=MonthFirstUnits,"First Units",IF(AJ6=MonthFinalUnits,"Final Units",IF(AJ6=MonthStabilization,"Stabilization",""))))</f>
        <v/>
      </c>
      <c r="AK2" s="750" t="str">
        <f>IF(AK6='General Inputs'!$D$30,"Start",IF(AK6=MonthFirstUnits,"First Units",IF(AK6=MonthFinalUnits,"Final Units",IF(AK6=MonthStabilization,"Stabilization",""))))</f>
        <v/>
      </c>
      <c r="AL2" s="750" t="str">
        <f>IF(AL6='General Inputs'!$D$30,"Start",IF(AL6=MonthFirstUnits,"First Units",IF(AL6=MonthFinalUnits,"Final Units",IF(AL6=MonthStabilization,"Stabilization",""))))</f>
        <v/>
      </c>
      <c r="AM2" s="750" t="str">
        <f>IF(AM6='General Inputs'!$D$30,"Start",IF(AM6=MonthFirstUnits,"First Units",IF(AM6=MonthFinalUnits,"Final Units",IF(AM6=MonthStabilization,"Stabilization",""))))</f>
        <v/>
      </c>
      <c r="AN2" s="750" t="str">
        <f>IF(AN6='General Inputs'!$D$30,"Start",IF(AN6=MonthFirstUnits,"First Units",IF(AN6=MonthFinalUnits,"Final Units",IF(AN6=MonthStabilization,"Stabilization",""))))</f>
        <v/>
      </c>
      <c r="AO2" s="750" t="str">
        <f>IF(AO6='General Inputs'!$D$30,"Start",IF(AO6=MonthFirstUnits,"First Units",IF(AO6=MonthFinalUnits,"Final Units",IF(AO6=MonthStabilization,"Stabilization",""))))</f>
        <v/>
      </c>
      <c r="AP2" s="750" t="str">
        <f>IF(AP6='General Inputs'!$D$30,"Start",IF(AP6=MonthFirstUnits,"First Units",IF(AP6=MonthFinalUnits,"Final Units",IF(AP6=MonthStabilization,"Stabilization",""))))</f>
        <v/>
      </c>
      <c r="AQ2" s="750" t="str">
        <f>IF(AQ6='General Inputs'!$D$30,"Start",IF(AQ6=MonthFirstUnits,"First Units",IF(AQ6=MonthFinalUnits,"Final Units",IF(AQ6=MonthStabilization,"Stabilization",""))))</f>
        <v/>
      </c>
      <c r="AR2" s="750" t="str">
        <f>IF(AR6='General Inputs'!$D$30,"Start",IF(AR6=MonthFirstUnits,"First Units",IF(AR6=MonthFinalUnits,"Final Units",IF(AR6=MonthStabilization,"Stabilization",""))))</f>
        <v/>
      </c>
      <c r="AS2" s="750" t="str">
        <f>IF(AS6='General Inputs'!$D$30,"Start",IF(AS6=MonthFirstUnits,"First Units",IF(AS6=MonthFinalUnits,"Final Units",IF(AS6=MonthStabilization,"Stabilization",""))))</f>
        <v/>
      </c>
      <c r="AT2" s="750" t="str">
        <f>IF(AT6='General Inputs'!$D$30,"Start",IF(AT6=MonthFirstUnits,"First Units",IF(AT6=MonthFinalUnits,"Final Units",IF(AT6=MonthStabilization,"Stabilization",""))))</f>
        <v/>
      </c>
      <c r="AU2" s="750" t="str">
        <f>IF(AU6='General Inputs'!$D$30,"Start",IF(AU6=MonthFirstUnits,"First Units",IF(AU6=MonthFinalUnits,"Final Units",IF(AU6=MonthStabilization,"Stabilization",""))))</f>
        <v/>
      </c>
      <c r="AV2" s="750" t="str">
        <f>IF(AV6='General Inputs'!$D$30,"Start",IF(AV6=MonthFirstUnits,"First Units",IF(AV6=MonthFinalUnits,"Final Units",IF(AV6=MonthStabilization,"Stabilization",""))))</f>
        <v/>
      </c>
      <c r="AW2" s="750" t="str">
        <f>IF(AW6='General Inputs'!$D$30,"Start",IF(AW6=MonthFirstUnits,"First Units",IF(AW6=MonthFinalUnits,"Final Units",IF(AW6=MonthStabilization,"Stabilization",""))))</f>
        <v/>
      </c>
      <c r="AX2" s="750" t="str">
        <f>IF(AX6='General Inputs'!$D$30,"Start",IF(AX6=MonthFirstUnits,"First Units",IF(AX6=MonthFinalUnits,"Final Units",IF(AX6=MonthStabilization,"Stabilization",""))))</f>
        <v/>
      </c>
      <c r="AY2" s="750" t="str">
        <f>IF(AY6='General Inputs'!$D$30,"Start",IF(AY6=MonthFirstUnits,"First Units",IF(AY6=MonthFinalUnits,"Final Units",IF(AY6=MonthStabilization,"Stabilization",""))))</f>
        <v/>
      </c>
      <c r="AZ2" s="750" t="str">
        <f>IF(AZ6='General Inputs'!$D$30,"Start",IF(AZ6=MonthFirstUnits,"First Units",IF(AZ6=MonthFinalUnits,"Final Units",IF(AZ6=MonthStabilization,"Stabilization",""))))</f>
        <v/>
      </c>
      <c r="BA2" s="750" t="str">
        <f>IF(BA6='General Inputs'!$D$30,"Start",IF(BA6=MonthFirstUnits,"First Units",IF(BA6=MonthFinalUnits,"Final Units",IF(BA6=MonthStabilization,"Stabilization",""))))</f>
        <v/>
      </c>
      <c r="BB2" s="750" t="str">
        <f>IF(BB6='General Inputs'!$D$30,"Start",IF(BB6=MonthFirstUnits,"First Units",IF(BB6=MonthFinalUnits,"Final Units",IF(BB6=MonthStabilization,"Stabilization",""))))</f>
        <v/>
      </c>
      <c r="BC2" s="750" t="str">
        <f>IF(BC6='General Inputs'!$D$30,"Start",IF(BC6=MonthFirstUnits,"First Units",IF(BC6=MonthFinalUnits,"Final Units",IF(BC6=MonthStabilization,"Stabilization",""))))</f>
        <v/>
      </c>
      <c r="BD2" s="750" t="str">
        <f>IF(BD6='General Inputs'!$D$30,"Start",IF(BD6=MonthFirstUnits,"First Units",IF(BD6=MonthFinalUnits,"Final Units",IF(BD6=MonthStabilization,"Stabilization",""))))</f>
        <v/>
      </c>
      <c r="BE2" s="750" t="str">
        <f>IF(BE6='General Inputs'!$D$30,"Start",IF(BE6=MonthFirstUnits,"First Units",IF(BE6=MonthFinalUnits,"Final Units",IF(BE6=MonthStabilization,"Stabilization",""))))</f>
        <v/>
      </c>
      <c r="BF2" s="750" t="str">
        <f>IF(BF6='General Inputs'!$D$30,"Start",IF(BF6=MonthFirstUnits,"First Units",IF(BF6=MonthFinalUnits,"Final Units",IF(BF6=MonthStabilization,"Stabilization",""))))</f>
        <v/>
      </c>
      <c r="BG2" s="750" t="str">
        <f>IF(BG6='General Inputs'!$D$30,"Start",IF(BG6=MonthFirstUnits,"First Units",IF(BG6=MonthFinalUnits,"Final Units",IF(BG6=MonthStabilization,"Stabilization",""))))</f>
        <v/>
      </c>
      <c r="BH2" s="750" t="str">
        <f>IF(BH6='General Inputs'!$D$30,"Start",IF(BH6=MonthFirstUnits,"First Units",IF(BH6=MonthFinalUnits,"Final Units",IF(BH6=MonthStabilization,"Stabilization",""))))</f>
        <v/>
      </c>
      <c r="BI2" s="750" t="str">
        <f>IF(BI6='General Inputs'!$D$30,"Start",IF(BI6=MonthFirstUnits,"First Units",IF(BI6=MonthFinalUnits,"Final Units",IF(BI6=MonthStabilization,"Stabilization",""))))</f>
        <v/>
      </c>
      <c r="BJ2" s="750" t="str">
        <f>IF(BJ6='General Inputs'!$D$30,"Start",IF(BJ6=MonthFirstUnits,"First Units",IF(BJ6=MonthFinalUnits,"Final Units",IF(BJ6=MonthStabilization,"Stabilization",""))))</f>
        <v/>
      </c>
      <c r="BK2" s="750" t="str">
        <f>IF(BK6='General Inputs'!$D$30,"Start",IF(BK6=MonthFirstUnits,"First Units",IF(BK6=MonthFinalUnits,"Final Units",IF(BK6=MonthStabilization,"Stabilization",""))))</f>
        <v/>
      </c>
      <c r="BL2" s="750" t="str">
        <f>IF(BL6='General Inputs'!$D$30,"Start",IF(BL6=MonthFirstUnits,"First Units",IF(BL6=MonthFinalUnits,"Final Units",IF(BL6=MonthStabilization,"Stabilization",""))))</f>
        <v/>
      </c>
      <c r="BM2" s="750" t="str">
        <f>IF(BM6='General Inputs'!$D$30,"Start",IF(BM6=MonthFirstUnits,"First Units",IF(BM6=MonthFinalUnits,"Final Units",IF(BM6=MonthStabilization,"Stabilization",""))))</f>
        <v/>
      </c>
      <c r="BN2" s="750" t="str">
        <f>IF(BN6='General Inputs'!$D$30,"Start",IF(BN6=MonthFirstUnits,"First Units",IF(BN6=MonthFinalUnits,"Final Units",IF(BN6=MonthStabilization,"Stabilization",""))))</f>
        <v/>
      </c>
      <c r="BO2" s="750" t="str">
        <f>IF(BO6='General Inputs'!$D$30,"Start",IF(BO6=MonthFirstUnits,"First Units",IF(BO6=MonthFinalUnits,"Final Units",IF(BO6=MonthStabilization,"Stabilization",""))))</f>
        <v/>
      </c>
      <c r="BP2" s="750" t="str">
        <f>IF(BP6='General Inputs'!$D$30,"Start",IF(BP6=MonthFirstUnits,"First Units",IF(BP6=MonthFinalUnits,"Final Units",IF(BP6=MonthStabilization,"Stabilization",""))))</f>
        <v/>
      </c>
      <c r="BQ2" s="750" t="str">
        <f>IF(BQ6='General Inputs'!$D$30,"Start",IF(BQ6=MonthFirstUnits,"First Units",IF(BQ6=MonthFinalUnits,"Final Units",IF(BQ6=MonthStabilization,"Stabilization",""))))</f>
        <v/>
      </c>
      <c r="BR2" s="750" t="str">
        <f>IF(BR6='General Inputs'!$D$30,"Start",IF(BR6=MonthFirstUnits,"First Units",IF(BR6=MonthFinalUnits,"Final Units",IF(BR6=MonthStabilization,"Stabilization",""))))</f>
        <v/>
      </c>
      <c r="BS2" s="750" t="str">
        <f>IF(BS6='General Inputs'!$D$30,"Start",IF(BS6=MonthFirstUnits,"First Units",IF(BS6=MonthFinalUnits,"Final Units",IF(BS6=MonthStabilization,"Stabilization",""))))</f>
        <v/>
      </c>
      <c r="BT2" s="750" t="str">
        <f>IF(BT6='General Inputs'!$D$30,"Start",IF(BT6=MonthFirstUnits,"First Units",IF(BT6=MonthFinalUnits,"Final Units",IF(BT6=MonthStabilization,"Stabilization",""))))</f>
        <v/>
      </c>
      <c r="BU2" s="750" t="str">
        <f>IF(BU6='General Inputs'!$D$30,"Start",IF(BU6=MonthFirstUnits,"First Units",IF(BU6=MonthFinalUnits,"Final Units",IF(BU6=MonthStabilization,"Stabilization",""))))</f>
        <v/>
      </c>
      <c r="BV2" s="750" t="str">
        <f>IF(BV6='General Inputs'!$D$30,"Start",IF(BV6=MonthFirstUnits,"First Units",IF(BV6=MonthFinalUnits,"Final Units",IF(BV6=MonthStabilization,"Stabilization",""))))</f>
        <v/>
      </c>
      <c r="BW2" s="750" t="str">
        <f>IF(BW6='General Inputs'!$D$30,"Start",IF(BW6=MonthFirstUnits,"First Units",IF(BW6=MonthFinalUnits,"Final Units",IF(BW6=MonthStabilization,"Stabilization",""))))</f>
        <v/>
      </c>
      <c r="BX2" s="750" t="str">
        <f>IF(BX6='General Inputs'!$D$30,"Start",IF(BX6=MonthFirstUnits,"First Units",IF(BX6=MonthFinalUnits,"Final Units",IF(BX6=MonthStabilization,"Stabilization",""))))</f>
        <v/>
      </c>
      <c r="BY2" s="750" t="str">
        <f>IF(BY6='General Inputs'!$D$30,"Start",IF(BY6=MonthFirstUnits,"First Units",IF(BY6=MonthFinalUnits,"Final Units",IF(BY6=MonthStabilization,"Stabilization",""))))</f>
        <v/>
      </c>
      <c r="BZ2" s="750" t="str">
        <f>IF(BZ6='General Inputs'!$D$30,"Start",IF(BZ6=MonthFirstUnits,"First Units",IF(BZ6=MonthFinalUnits,"Final Units",IF(BZ6=MonthStabilization,"Stabilization",""))))</f>
        <v/>
      </c>
      <c r="CA2" s="750" t="str">
        <f>IF(CA6='General Inputs'!$D$30,"Start",IF(CA6=MonthFirstUnits,"First Units",IF(CA6=MonthFinalUnits,"Final Units",IF(CA6=MonthStabilization,"Stabilization",""))))</f>
        <v/>
      </c>
      <c r="CB2" s="750" t="str">
        <f>IF(CB6='General Inputs'!$D$30,"Start",IF(CB6=MonthFirstUnits,"First Units",IF(CB6=MonthFinalUnits,"Final Units",IF(CB6=MonthStabilization,"Stabilization",""))))</f>
        <v/>
      </c>
      <c r="CC2" s="750" t="str">
        <f>IF(CC6='General Inputs'!$D$30,"Start",IF(CC6=MonthFirstUnits,"First Units",IF(CC6=MonthFinalUnits,"Final Units",IF(CC6=MonthStabilization,"Stabilization",""))))</f>
        <v/>
      </c>
      <c r="CD2" s="750" t="str">
        <f>IF(CD6='General Inputs'!$D$30,"Start",IF(CD6=MonthFirstUnits,"First Units",IF(CD6=MonthFinalUnits,"Final Units",IF(CD6=MonthStabilization,"Stabilization",""))))</f>
        <v/>
      </c>
      <c r="CE2" s="750" t="str">
        <f>IF(CE6='General Inputs'!$D$30,"Start",IF(CE6=MonthFirstUnits,"First Units",IF(CE6=MonthFinalUnits,"Final Units",IF(CE6=MonthStabilization,"Stabilization",""))))</f>
        <v/>
      </c>
      <c r="CF2" s="750" t="str">
        <f>IF(CF6='General Inputs'!$D$30,"Start",IF(CF6=MonthFirstUnits,"First Units",IF(CF6=MonthFinalUnits,"Final Units",IF(CF6=MonthStabilization,"Stabilization",""))))</f>
        <v/>
      </c>
      <c r="CG2" s="750" t="str">
        <f>IF(CG6='General Inputs'!$D$30,"Start",IF(CG6=MonthFirstUnits,"First Units",IF(CG6=MonthFinalUnits,"Final Units",IF(CG6=MonthStabilization,"Stabilization",""))))</f>
        <v/>
      </c>
      <c r="CH2" s="750" t="str">
        <f>IF(CH6='General Inputs'!$D$30,"Start",IF(CH6=MonthFirstUnits,"First Units",IF(CH6=MonthFinalUnits,"Final Units",IF(CH6=MonthStabilization,"Stabilization",""))))</f>
        <v/>
      </c>
      <c r="CI2" s="750" t="str">
        <f>IF(CI6='General Inputs'!$D$30,"Start",IF(CI6=MonthFirstUnits,"First Units",IF(CI6=MonthFinalUnits,"Final Units",IF(CI6=MonthStabilization,"Stabilization",""))))</f>
        <v/>
      </c>
      <c r="CJ2" s="750" t="str">
        <f>IF(CJ6='General Inputs'!$D$30,"Start",IF(CJ6=MonthFirstUnits,"First Units",IF(CJ6=MonthFinalUnits,"Final Units",IF(CJ6=MonthStabilization,"Stabilization",""))))</f>
        <v/>
      </c>
      <c r="CK2" s="750" t="str">
        <f>IF(CK6='General Inputs'!$D$30,"Start",IF(CK6=MonthFirstUnits,"First Units",IF(CK6=MonthFinalUnits,"Final Units",IF(CK6=MonthStabilization,"Stabilization",""))))</f>
        <v/>
      </c>
      <c r="CL2" s="750" t="str">
        <f>IF(CL6='General Inputs'!$D$30,"Start",IF(CL6=MonthFirstUnits,"First Units",IF(CL6=MonthFinalUnits,"Final Units",IF(CL6=MonthStabilization,"Stabilization",""))))</f>
        <v/>
      </c>
      <c r="CM2" s="750" t="str">
        <f>IF(CM6='General Inputs'!$D$30,"Start",IF(CM6=MonthFirstUnits,"First Units",IF(CM6=MonthFinalUnits,"Final Units",IF(CM6=MonthStabilization,"Stabilization",""))))</f>
        <v/>
      </c>
      <c r="CN2" s="750" t="str">
        <f>IF(CN6='General Inputs'!$D$30,"Start",IF(CN6=MonthFirstUnits,"First Units",IF(CN6=MonthFinalUnits,"Final Units",IF(CN6=MonthStabilization,"Stabilization",""))))</f>
        <v/>
      </c>
      <c r="CO2" s="750" t="str">
        <f>IF(CO6='General Inputs'!$D$30,"Start",IF(CO6=MonthFirstUnits,"First Units",IF(CO6=MonthFinalUnits,"Final Units",IF(CO6=MonthStabilization,"Stabilization",""))))</f>
        <v/>
      </c>
      <c r="CP2" s="750" t="str">
        <f>IF(CP6='General Inputs'!$D$30,"Start",IF(CP6=MonthFirstUnits,"First Units",IF(CP6=MonthFinalUnits,"Final Units",IF(CP6=MonthStabilization,"Stabilization",""))))</f>
        <v/>
      </c>
      <c r="CQ2" s="750" t="str">
        <f>IF(CQ6='General Inputs'!$D$30,"Start",IF(CQ6=MonthFirstUnits,"First Units",IF(CQ6=MonthFinalUnits,"Final Units",IF(CQ6=MonthStabilization,"Stabilization",""))))</f>
        <v/>
      </c>
      <c r="CR2" s="750" t="str">
        <f>IF(CR6='General Inputs'!$D$30,"Start",IF(CR6=MonthFirstUnits,"First Units",IF(CR6=MonthFinalUnits,"Final Units",IF(CR6=MonthStabilization,"Stabilization",""))))</f>
        <v/>
      </c>
      <c r="CS2" s="750" t="str">
        <f>IF(CS6='General Inputs'!$D$30,"Start",IF(CS6=MonthFirstUnits,"First Units",IF(CS6=MonthFinalUnits,"Final Units",IF(CS6=MonthStabilization,"Stabilization",""))))</f>
        <v/>
      </c>
      <c r="CT2" s="750" t="str">
        <f>IF(CT6='General Inputs'!$D$30,"Start",IF(CT6=MonthFirstUnits,"First Units",IF(CT6=MonthFinalUnits,"Final Units",IF(CT6=MonthStabilization,"Stabilization",""))))</f>
        <v/>
      </c>
      <c r="CU2" s="750" t="str">
        <f>IF(CU6='General Inputs'!$D$30,"Start",IF(CU6=MonthFirstUnits,"First Units",IF(CU6=MonthFinalUnits,"Final Units",IF(CU6=MonthStabilization,"Stabilization",""))))</f>
        <v/>
      </c>
      <c r="CV2" s="750" t="str">
        <f>IF(CV6='General Inputs'!$D$30,"Start",IF(CV6=MonthFirstUnits,"First Units",IF(CV6=MonthFinalUnits,"Final Units",IF(CV6=MonthStabilization,"Stabilization",""))))</f>
        <v/>
      </c>
      <c r="CW2" s="750" t="str">
        <f>IF(CW6='General Inputs'!$D$30,"Start",IF(CW6=MonthFirstUnits,"First Units",IF(CW6=MonthFinalUnits,"Final Units",IF(CW6=MonthStabilization,"Stabilization",""))))</f>
        <v/>
      </c>
      <c r="CX2" s="750" t="str">
        <f>IF(CX6='General Inputs'!$D$30,"Start",IF(CX6=MonthFirstUnits,"First Units",IF(CX6=MonthFinalUnits,"Final Units",IF(CX6=MonthStabilization,"Stabilization",""))))</f>
        <v/>
      </c>
      <c r="CY2" s="750" t="str">
        <f>IF(CY6='General Inputs'!$D$30,"Start",IF(CY6=MonthFirstUnits,"First Units",IF(CY6=MonthFinalUnits,"Final Units",IF(CY6=MonthStabilization,"Stabilization",""))))</f>
        <v/>
      </c>
      <c r="CZ2" s="750" t="str">
        <f>IF(CZ6='General Inputs'!$D$30,"Start",IF(CZ6=MonthFirstUnits,"First Units",IF(CZ6=MonthFinalUnits,"Final Units",IF(CZ6=MonthStabilization,"Stabilization",""))))</f>
        <v/>
      </c>
      <c r="DA2" s="750" t="str">
        <f>IF(DA6='General Inputs'!$D$30,"Start",IF(DA6=MonthFirstUnits,"First Units",IF(DA6=MonthFinalUnits,"Final Units",IF(DA6=MonthStabilization,"Stabilization",""))))</f>
        <v/>
      </c>
      <c r="DB2" s="750" t="str">
        <f>IF(DB6='General Inputs'!$D$30,"Start",IF(DB6=MonthFirstUnits,"First Units",IF(DB6=MonthFinalUnits,"Final Units",IF(DB6=MonthStabilization,"Stabilization",""))))</f>
        <v/>
      </c>
      <c r="DC2" s="750" t="str">
        <f>IF(DC6='General Inputs'!$D$30,"Start",IF(DC6=MonthFirstUnits,"First Units",IF(DC6=MonthFinalUnits,"Final Units",IF(DC6=MonthStabilization,"Stabilization",""))))</f>
        <v/>
      </c>
      <c r="DD2" s="750" t="str">
        <f>IF(DD6='General Inputs'!$D$30,"Start",IF(DD6=MonthFirstUnits,"First Units",IF(DD6=MonthFinalUnits,"Final Units",IF(DD6=MonthStabilization,"Stabilization",""))))</f>
        <v/>
      </c>
      <c r="DE2" s="750" t="str">
        <f>IF(DE6='General Inputs'!$D$30,"Start",IF(DE6=MonthFirstUnits,"First Units",IF(DE6=MonthFinalUnits,"Final Units",IF(DE6=MonthStabilization,"Stabilization",""))))</f>
        <v/>
      </c>
      <c r="DF2" s="750" t="str">
        <f>IF(DF6='General Inputs'!$D$30,"Start",IF(DF6=MonthFirstUnits,"First Units",IF(DF6=MonthFinalUnits,"Final Units",IF(DF6=MonthStabilization,"Stabilization",""))))</f>
        <v/>
      </c>
      <c r="DG2" s="750" t="str">
        <f>IF(DG6='General Inputs'!$D$30,"Start",IF(DG6=MonthFirstUnits,"First Units",IF(DG6=MonthFinalUnits,"Final Units",IF(DG6=MonthStabilization,"Stabilization",""))))</f>
        <v/>
      </c>
      <c r="DH2" s="750" t="str">
        <f>IF(DH6='General Inputs'!$D$30,"Start",IF(DH6=MonthFirstUnits,"First Units",IF(DH6=MonthFinalUnits,"Final Units",IF(DH6=MonthStabilization,"Stabilization",""))))</f>
        <v/>
      </c>
      <c r="DI2" s="750" t="str">
        <f>IF(DI6='General Inputs'!$D$30,"Start",IF(DI6=MonthFirstUnits,"First Units",IF(DI6=MonthFinalUnits,"Final Units",IF(DI6=MonthStabilization,"Stabilization",""))))</f>
        <v/>
      </c>
      <c r="DJ2" s="750" t="str">
        <f>IF(DJ6='General Inputs'!$D$30,"Start",IF(DJ6=MonthFirstUnits,"First Units",IF(DJ6=MonthFinalUnits,"Final Units",IF(DJ6=MonthStabilization,"Stabilization",""))))</f>
        <v/>
      </c>
      <c r="DK2" s="750" t="str">
        <f>IF(DK6='General Inputs'!$D$30,"Start",IF(DK6=MonthFirstUnits,"First Units",IF(DK6=MonthFinalUnits,"Final Units",IF(DK6=MonthStabilization,"Stabilization",""))))</f>
        <v/>
      </c>
      <c r="DL2" s="750" t="str">
        <f>IF(DL6='General Inputs'!$D$30,"Start",IF(DL6=MonthFirstUnits,"First Units",IF(DL6=MonthFinalUnits,"Final Units",IF(DL6=MonthStabilization,"Stabilization",""))))</f>
        <v/>
      </c>
      <c r="DM2" s="750" t="str">
        <f>IF(DM6='General Inputs'!$D$30,"Start",IF(DM6=MonthFirstUnits,"First Units",IF(DM6=MonthFinalUnits,"Final Units",IF(DM6=MonthStabilization,"Stabilization",""))))</f>
        <v/>
      </c>
      <c r="DN2" s="750" t="str">
        <f>IF(DN6='General Inputs'!$D$30,"Start",IF(DN6=MonthFirstUnits,"First Units",IF(DN6=MonthFinalUnits,"Final Units",IF(DN6=MonthStabilization,"Stabilization",""))))</f>
        <v/>
      </c>
      <c r="DO2" s="750" t="str">
        <f>IF(DO6='General Inputs'!$D$30,"Start",IF(DO6=MonthFirstUnits,"First Units",IF(DO6=MonthFinalUnits,"Final Units",IF(DO6=MonthStabilization,"Stabilization",""))))</f>
        <v/>
      </c>
      <c r="DP2" s="750" t="str">
        <f>IF(DP6='General Inputs'!$D$30,"Start",IF(DP6=MonthFirstUnits,"First Units",IF(DP6=MonthFinalUnits,"Final Units",IF(DP6=MonthStabilization,"Stabilization",""))))</f>
        <v/>
      </c>
      <c r="DQ2" s="750" t="str">
        <f>IF(DQ6='General Inputs'!$D$30,"Start",IF(DQ6=MonthFirstUnits,"First Units",IF(DQ6=MonthFinalUnits,"Final Units",IF(DQ6=MonthStabilization,"Stabilization",""))))</f>
        <v/>
      </c>
      <c r="DR2" s="750" t="str">
        <f>IF(DR6='General Inputs'!$D$30,"Start",IF(DR6=MonthFirstUnits,"First Units",IF(DR6=MonthFinalUnits,"Final Units",IF(DR6=MonthStabilization,"Stabilization",""))))</f>
        <v/>
      </c>
      <c r="DS2" s="750" t="str">
        <f>IF(DS6='General Inputs'!$D$30,"Start",IF(DS6=MonthFirstUnits,"First Units",IF(DS6=MonthFinalUnits,"Final Units",IF(DS6=MonthStabilization,"Stabilization",""))))</f>
        <v/>
      </c>
      <c r="DT2" s="750" t="str">
        <f>IF(DT6='General Inputs'!$D$30,"Start",IF(DT6=MonthFirstUnits,"First Units",IF(DT6=MonthFinalUnits,"Final Units",IF(DT6=MonthStabilization,"Stabilization",""))))</f>
        <v/>
      </c>
      <c r="DU2" s="750" t="str">
        <f>IF(DU6='General Inputs'!$D$30,"Start",IF(DU6=MonthFirstUnits,"First Units",IF(DU6=MonthFinalUnits,"Final Units",IF(DU6=MonthStabilization,"Stabilization",""))))</f>
        <v/>
      </c>
      <c r="DV2" s="750" t="str">
        <f>IF(DV6='General Inputs'!$D$30,"Start",IF(DV6=MonthFirstUnits,"First Units",IF(DV6=MonthFinalUnits,"Final Units",IF(DV6=MonthStabilization,"Stabilization",""))))</f>
        <v/>
      </c>
      <c r="DW2" s="750" t="str">
        <f>IF(DW6='General Inputs'!$D$30,"Start",IF(DW6=MonthFirstUnits,"First Units",IF(DW6=MonthFinalUnits,"Final Units",IF(DW6=MonthStabilization,"Stabilization",""))))</f>
        <v/>
      </c>
      <c r="DX2" s="750" t="str">
        <f>IF(DX6='General Inputs'!$D$30,"Start",IF(DX6=MonthFirstUnits,"First Units",IF(DX6=MonthFinalUnits,"Final Units",IF(DX6=MonthStabilization,"Stabilization",""))))</f>
        <v/>
      </c>
      <c r="DY2" s="750" t="str">
        <f>IF(DY6='General Inputs'!$D$30,"Start",IF(DY6=MonthFirstUnits,"First Units",IF(DY6=MonthFinalUnits,"Final Units",IF(DY6=MonthStabilization,"Stabilization",""))))</f>
        <v/>
      </c>
      <c r="DZ2" s="750" t="str">
        <f>IF(DZ6='General Inputs'!$D$30,"Start",IF(DZ6=MonthFirstUnits,"First Units",IF(DZ6=MonthFinalUnits,"Final Units",IF(DZ6=MonthStabilization,"Stabilization",""))))</f>
        <v/>
      </c>
      <c r="EA2" s="750" t="str">
        <f>IF(EA6='General Inputs'!$D$30,"Start",IF(EA6=MonthFirstUnits,"First Units",IF(EA6=MonthFinalUnits,"Final Units",IF(EA6=MonthStabilization,"Stabilization",""))))</f>
        <v/>
      </c>
      <c r="EB2" s="750" t="str">
        <f>IF(EB6='General Inputs'!$D$30,"Start",IF(EB6=MonthFirstUnits,"First Units",IF(EB6=MonthFinalUnits,"Final Units",IF(EB6=MonthStabilization,"Stabilization",""))))</f>
        <v/>
      </c>
      <c r="EC2" s="750" t="str">
        <f>IF(EC6='General Inputs'!$D$30,"Start",IF(EC6=MonthFirstUnits,"First Units",IF(EC6=MonthFinalUnits,"Final Units",IF(EC6=MonthStabilization,"Stabilization",""))))</f>
        <v/>
      </c>
      <c r="ED2" s="750" t="str">
        <f>IF(ED6='General Inputs'!$D$30,"Start",IF(ED6=MonthFirstUnits,"First Units",IF(ED6=MonthFinalUnits,"Final Units",IF(ED6=MonthStabilization,"Stabilization",""))))</f>
        <v/>
      </c>
      <c r="EE2" s="750" t="str">
        <f>IF(EE6='General Inputs'!$D$30,"Start",IF(EE6=MonthFirstUnits,"First Units",IF(EE6=MonthFinalUnits,"Final Units",IF(EE6=MonthStabilization,"Stabilization",""))))</f>
        <v/>
      </c>
      <c r="EF2" s="750" t="str">
        <f>IF(EF6='General Inputs'!$D$30,"Start",IF(EF6=MonthFirstUnits,"First Units",IF(EF6=MonthFinalUnits,"Final Units",IF(EF6=MonthStabilization,"Stabilization",""))))</f>
        <v/>
      </c>
    </row>
    <row r="3" spans="1:136" customFormat="1" x14ac:dyDescent="0.3">
      <c r="A3" t="str">
        <f>OperBgt!A3</f>
        <v>Last Saved:</v>
      </c>
      <c r="B3" s="584">
        <f>OperBgt!B3</f>
        <v>46248</v>
      </c>
      <c r="C3" s="585">
        <f>OperBgt!C3</f>
        <v>0.67652777777777773</v>
      </c>
      <c r="E3" s="388"/>
      <c r="F3" s="388"/>
      <c r="G3" s="388"/>
      <c r="H3" s="388"/>
      <c r="I3" s="388"/>
      <c r="J3" s="388"/>
      <c r="K3" s="642"/>
      <c r="L3" s="642"/>
      <c r="M3" s="642"/>
      <c r="N3" s="642"/>
      <c r="O3" s="642"/>
      <c r="P3" s="642"/>
      <c r="Q3" s="642"/>
      <c r="R3" s="642"/>
      <c r="S3" s="642"/>
      <c r="T3" s="642"/>
      <c r="U3" s="642"/>
      <c r="V3" s="642"/>
      <c r="W3" s="642"/>
      <c r="X3" s="642"/>
      <c r="Y3" s="642"/>
      <c r="Z3" s="642"/>
      <c r="AA3" s="642"/>
      <c r="AB3" s="642"/>
      <c r="AC3" s="642"/>
      <c r="AD3" s="642"/>
      <c r="AE3" s="642"/>
      <c r="AF3" s="642"/>
      <c r="AG3" s="642"/>
      <c r="AH3" s="642"/>
      <c r="AI3" s="642"/>
      <c r="AJ3" s="642"/>
      <c r="AK3" s="642"/>
      <c r="AL3" s="642"/>
      <c r="AM3" s="642"/>
      <c r="AN3" s="642"/>
      <c r="AO3" s="642"/>
      <c r="AP3" s="642"/>
      <c r="AQ3" s="642"/>
      <c r="AR3" s="642"/>
      <c r="AS3" s="642"/>
      <c r="AT3" s="642"/>
      <c r="AU3" s="642"/>
      <c r="AV3" s="642"/>
      <c r="AW3" s="642"/>
      <c r="AX3" s="642"/>
      <c r="AY3" s="642"/>
      <c r="AZ3" s="642"/>
      <c r="BA3" s="642"/>
      <c r="BB3" s="642"/>
      <c r="BC3" s="642"/>
      <c r="BD3" s="642"/>
      <c r="BE3" s="642"/>
      <c r="BF3" s="642"/>
      <c r="BG3" s="642"/>
      <c r="BH3" s="642"/>
      <c r="BI3" s="642"/>
      <c r="BJ3" s="642"/>
      <c r="BK3" s="642"/>
      <c r="BL3" s="642"/>
      <c r="BM3" s="642"/>
      <c r="BN3" s="642"/>
      <c r="BO3" s="642"/>
      <c r="BP3" s="642"/>
      <c r="BQ3" s="642"/>
      <c r="BR3" s="642"/>
      <c r="BS3" s="642"/>
      <c r="BT3" s="642"/>
      <c r="BU3" s="642"/>
      <c r="BV3" s="642"/>
      <c r="BW3" s="642"/>
      <c r="BX3" s="642"/>
      <c r="BY3" s="642"/>
      <c r="BZ3" s="642"/>
      <c r="CA3" s="642"/>
      <c r="CB3" s="642"/>
      <c r="CC3" s="642"/>
      <c r="CD3" s="642"/>
      <c r="CE3" s="642"/>
      <c r="CF3" s="642"/>
      <c r="CG3" s="642"/>
      <c r="CH3" s="642"/>
      <c r="CI3" s="642"/>
      <c r="CJ3" s="642"/>
      <c r="CK3" s="642"/>
      <c r="CL3" s="642"/>
      <c r="CM3" s="642"/>
      <c r="CN3" s="642"/>
      <c r="CO3" s="642"/>
      <c r="CP3" s="642"/>
      <c r="CQ3" s="642"/>
      <c r="CR3" s="642"/>
      <c r="CS3" s="642"/>
      <c r="CT3" s="642"/>
      <c r="CU3" s="642"/>
      <c r="CV3" s="642"/>
      <c r="CW3" s="642"/>
      <c r="CX3" s="642"/>
      <c r="CY3" s="642"/>
      <c r="CZ3" s="642"/>
      <c r="DA3" s="642"/>
      <c r="DB3" s="642"/>
      <c r="DC3" s="642"/>
      <c r="DD3" s="642"/>
      <c r="DE3" s="642"/>
      <c r="DF3" s="642"/>
      <c r="DG3" s="642"/>
      <c r="DH3" s="642"/>
      <c r="DI3" s="642"/>
      <c r="DJ3" s="642"/>
      <c r="DK3" s="642"/>
      <c r="DL3" s="642"/>
      <c r="DM3" s="642"/>
      <c r="DN3" s="642"/>
      <c r="DO3" s="642"/>
      <c r="DP3" s="642"/>
      <c r="DQ3" s="642"/>
      <c r="DR3" s="642"/>
      <c r="DS3" s="642"/>
      <c r="DT3" s="642"/>
      <c r="DU3" s="642"/>
      <c r="DV3" s="642"/>
      <c r="DW3" s="642"/>
      <c r="DX3" s="642"/>
      <c r="DY3" s="642"/>
      <c r="DZ3" s="642"/>
      <c r="EA3" s="642"/>
      <c r="EB3" s="642"/>
      <c r="EC3" s="642"/>
      <c r="ED3" s="642"/>
      <c r="EE3" s="642"/>
      <c r="EF3" s="642"/>
    </row>
    <row r="4" spans="1:136" customFormat="1" x14ac:dyDescent="0.3"/>
    <row r="5" spans="1:136" s="752" customFormat="1" x14ac:dyDescent="0.3">
      <c r="A5" s="751"/>
      <c r="B5" s="751"/>
      <c r="C5" s="751"/>
      <c r="D5" s="751">
        <f>JVClosingDate</f>
        <v>46631</v>
      </c>
      <c r="E5" s="751">
        <f>IF(JVClosingDate=ConstrStartDate,ConstrStartDate,EDATE(D5,1))</f>
        <v>46661</v>
      </c>
      <c r="F5" s="751">
        <f>EDATE(E5,1)</f>
        <v>46692</v>
      </c>
      <c r="G5" s="751">
        <f t="shared" ref="G5:AK5" si="0">EDATE(F5,1)</f>
        <v>46722</v>
      </c>
      <c r="H5" s="751">
        <f t="shared" si="0"/>
        <v>46753</v>
      </c>
      <c r="I5" s="751">
        <f t="shared" si="0"/>
        <v>46784</v>
      </c>
      <c r="J5" s="751">
        <f t="shared" si="0"/>
        <v>46813</v>
      </c>
      <c r="K5" s="751">
        <f t="shared" si="0"/>
        <v>46844</v>
      </c>
      <c r="L5" s="751">
        <f t="shared" si="0"/>
        <v>46874</v>
      </c>
      <c r="M5" s="751">
        <f t="shared" si="0"/>
        <v>46905</v>
      </c>
      <c r="N5" s="751">
        <f t="shared" si="0"/>
        <v>46935</v>
      </c>
      <c r="O5" s="751">
        <f t="shared" si="0"/>
        <v>46966</v>
      </c>
      <c r="P5" s="751">
        <f t="shared" si="0"/>
        <v>46997</v>
      </c>
      <c r="Q5" s="751">
        <f t="shared" si="0"/>
        <v>47027</v>
      </c>
      <c r="R5" s="751">
        <f t="shared" si="0"/>
        <v>47058</v>
      </c>
      <c r="S5" s="751">
        <f t="shared" si="0"/>
        <v>47088</v>
      </c>
      <c r="T5" s="751">
        <f t="shared" si="0"/>
        <v>47119</v>
      </c>
      <c r="U5" s="751">
        <f t="shared" si="0"/>
        <v>47150</v>
      </c>
      <c r="V5" s="751">
        <f t="shared" si="0"/>
        <v>47178</v>
      </c>
      <c r="W5" s="751">
        <f t="shared" si="0"/>
        <v>47209</v>
      </c>
      <c r="X5" s="751">
        <f t="shared" si="0"/>
        <v>47239</v>
      </c>
      <c r="Y5" s="751">
        <f t="shared" si="0"/>
        <v>47270</v>
      </c>
      <c r="Z5" s="751">
        <f t="shared" si="0"/>
        <v>47300</v>
      </c>
      <c r="AA5" s="751">
        <f t="shared" si="0"/>
        <v>47331</v>
      </c>
      <c r="AB5" s="751">
        <f t="shared" si="0"/>
        <v>47362</v>
      </c>
      <c r="AC5" s="751">
        <f t="shared" si="0"/>
        <v>47392</v>
      </c>
      <c r="AD5" s="751">
        <f t="shared" si="0"/>
        <v>47423</v>
      </c>
      <c r="AE5" s="751">
        <f t="shared" si="0"/>
        <v>47453</v>
      </c>
      <c r="AF5" s="751">
        <f t="shared" si="0"/>
        <v>47484</v>
      </c>
      <c r="AG5" s="751">
        <f t="shared" si="0"/>
        <v>47515</v>
      </c>
      <c r="AH5" s="751">
        <f t="shared" si="0"/>
        <v>47543</v>
      </c>
      <c r="AI5" s="751">
        <f t="shared" si="0"/>
        <v>47574</v>
      </c>
      <c r="AJ5" s="751">
        <f t="shared" si="0"/>
        <v>47604</v>
      </c>
      <c r="AK5" s="751">
        <f t="shared" si="0"/>
        <v>47635</v>
      </c>
      <c r="AL5" s="751">
        <f t="shared" ref="AL5:BR5" si="1">EDATE(AK5,1)</f>
        <v>47665</v>
      </c>
      <c r="AM5" s="751">
        <f t="shared" si="1"/>
        <v>47696</v>
      </c>
      <c r="AN5" s="751">
        <f t="shared" si="1"/>
        <v>47727</v>
      </c>
      <c r="AO5" s="751">
        <f t="shared" si="1"/>
        <v>47757</v>
      </c>
      <c r="AP5" s="751">
        <f t="shared" si="1"/>
        <v>47788</v>
      </c>
      <c r="AQ5" s="751">
        <f t="shared" si="1"/>
        <v>47818</v>
      </c>
      <c r="AR5" s="751">
        <f t="shared" si="1"/>
        <v>47849</v>
      </c>
      <c r="AS5" s="751">
        <f t="shared" si="1"/>
        <v>47880</v>
      </c>
      <c r="AT5" s="751">
        <f t="shared" si="1"/>
        <v>47908</v>
      </c>
      <c r="AU5" s="751">
        <f t="shared" si="1"/>
        <v>47939</v>
      </c>
      <c r="AV5" s="751">
        <f t="shared" si="1"/>
        <v>47969</v>
      </c>
      <c r="AW5" s="751">
        <f t="shared" si="1"/>
        <v>48000</v>
      </c>
      <c r="AX5" s="751">
        <f t="shared" si="1"/>
        <v>48030</v>
      </c>
      <c r="AY5" s="751">
        <f t="shared" si="1"/>
        <v>48061</v>
      </c>
      <c r="AZ5" s="751">
        <f t="shared" si="1"/>
        <v>48092</v>
      </c>
      <c r="BA5" s="751">
        <f t="shared" si="1"/>
        <v>48122</v>
      </c>
      <c r="BB5" s="751">
        <f t="shared" si="1"/>
        <v>48153</v>
      </c>
      <c r="BC5" s="751">
        <f t="shared" si="1"/>
        <v>48183</v>
      </c>
      <c r="BD5" s="751">
        <f t="shared" si="1"/>
        <v>48214</v>
      </c>
      <c r="BE5" s="751">
        <f t="shared" si="1"/>
        <v>48245</v>
      </c>
      <c r="BF5" s="751">
        <f t="shared" si="1"/>
        <v>48274</v>
      </c>
      <c r="BG5" s="751">
        <f t="shared" si="1"/>
        <v>48305</v>
      </c>
      <c r="BH5" s="751">
        <f t="shared" si="1"/>
        <v>48335</v>
      </c>
      <c r="BI5" s="751">
        <f t="shared" si="1"/>
        <v>48366</v>
      </c>
      <c r="BJ5" s="751">
        <f t="shared" si="1"/>
        <v>48396</v>
      </c>
      <c r="BK5" s="751">
        <f t="shared" si="1"/>
        <v>48427</v>
      </c>
      <c r="BL5" s="751">
        <f t="shared" si="1"/>
        <v>48458</v>
      </c>
      <c r="BM5" s="751">
        <f t="shared" si="1"/>
        <v>48488</v>
      </c>
      <c r="BN5" s="751">
        <f t="shared" si="1"/>
        <v>48519</v>
      </c>
      <c r="BO5" s="751">
        <f t="shared" si="1"/>
        <v>48549</v>
      </c>
      <c r="BP5" s="751">
        <f t="shared" si="1"/>
        <v>48580</v>
      </c>
      <c r="BQ5" s="751">
        <f t="shared" si="1"/>
        <v>48611</v>
      </c>
      <c r="BR5" s="751">
        <f t="shared" si="1"/>
        <v>48639</v>
      </c>
      <c r="BS5" s="751">
        <f t="shared" ref="BS5:ED5" si="2">EDATE(BR5,1)</f>
        <v>48670</v>
      </c>
      <c r="BT5" s="751">
        <f t="shared" si="2"/>
        <v>48700</v>
      </c>
      <c r="BU5" s="751">
        <f t="shared" si="2"/>
        <v>48731</v>
      </c>
      <c r="BV5" s="751">
        <f t="shared" si="2"/>
        <v>48761</v>
      </c>
      <c r="BW5" s="751">
        <f t="shared" si="2"/>
        <v>48792</v>
      </c>
      <c r="BX5" s="751">
        <f t="shared" si="2"/>
        <v>48823</v>
      </c>
      <c r="BY5" s="751">
        <f t="shared" si="2"/>
        <v>48853</v>
      </c>
      <c r="BZ5" s="751">
        <f t="shared" si="2"/>
        <v>48884</v>
      </c>
      <c r="CA5" s="751">
        <f t="shared" si="2"/>
        <v>48914</v>
      </c>
      <c r="CB5" s="751">
        <f t="shared" si="2"/>
        <v>48945</v>
      </c>
      <c r="CC5" s="751">
        <f t="shared" si="2"/>
        <v>48976</v>
      </c>
      <c r="CD5" s="751">
        <f t="shared" si="2"/>
        <v>49004</v>
      </c>
      <c r="CE5" s="751">
        <f t="shared" si="2"/>
        <v>49035</v>
      </c>
      <c r="CF5" s="751">
        <f t="shared" si="2"/>
        <v>49065</v>
      </c>
      <c r="CG5" s="751">
        <f t="shared" si="2"/>
        <v>49096</v>
      </c>
      <c r="CH5" s="751">
        <f t="shared" si="2"/>
        <v>49126</v>
      </c>
      <c r="CI5" s="751">
        <f t="shared" si="2"/>
        <v>49157</v>
      </c>
      <c r="CJ5" s="751">
        <f t="shared" si="2"/>
        <v>49188</v>
      </c>
      <c r="CK5" s="751">
        <f t="shared" si="2"/>
        <v>49218</v>
      </c>
      <c r="CL5" s="751">
        <f t="shared" si="2"/>
        <v>49249</v>
      </c>
      <c r="CM5" s="751">
        <f t="shared" si="2"/>
        <v>49279</v>
      </c>
      <c r="CN5" s="751">
        <f t="shared" si="2"/>
        <v>49310</v>
      </c>
      <c r="CO5" s="751">
        <f t="shared" si="2"/>
        <v>49341</v>
      </c>
      <c r="CP5" s="751">
        <f t="shared" si="2"/>
        <v>49369</v>
      </c>
      <c r="CQ5" s="751">
        <f t="shared" si="2"/>
        <v>49400</v>
      </c>
      <c r="CR5" s="751">
        <f t="shared" si="2"/>
        <v>49430</v>
      </c>
      <c r="CS5" s="751">
        <f t="shared" si="2"/>
        <v>49461</v>
      </c>
      <c r="CT5" s="751">
        <f t="shared" si="2"/>
        <v>49491</v>
      </c>
      <c r="CU5" s="751">
        <f t="shared" si="2"/>
        <v>49522</v>
      </c>
      <c r="CV5" s="751">
        <f t="shared" si="2"/>
        <v>49553</v>
      </c>
      <c r="CW5" s="751">
        <f t="shared" si="2"/>
        <v>49583</v>
      </c>
      <c r="CX5" s="751">
        <f t="shared" si="2"/>
        <v>49614</v>
      </c>
      <c r="CY5" s="751">
        <f t="shared" si="2"/>
        <v>49644</v>
      </c>
      <c r="CZ5" s="751">
        <f t="shared" si="2"/>
        <v>49675</v>
      </c>
      <c r="DA5" s="751">
        <f t="shared" si="2"/>
        <v>49706</v>
      </c>
      <c r="DB5" s="751">
        <f t="shared" si="2"/>
        <v>49735</v>
      </c>
      <c r="DC5" s="751">
        <f t="shared" si="2"/>
        <v>49766</v>
      </c>
      <c r="DD5" s="751">
        <f t="shared" si="2"/>
        <v>49796</v>
      </c>
      <c r="DE5" s="751">
        <f t="shared" si="2"/>
        <v>49827</v>
      </c>
      <c r="DF5" s="751">
        <f t="shared" si="2"/>
        <v>49857</v>
      </c>
      <c r="DG5" s="751">
        <f t="shared" si="2"/>
        <v>49888</v>
      </c>
      <c r="DH5" s="751">
        <f t="shared" si="2"/>
        <v>49919</v>
      </c>
      <c r="DI5" s="751">
        <f t="shared" si="2"/>
        <v>49949</v>
      </c>
      <c r="DJ5" s="751">
        <f t="shared" si="2"/>
        <v>49980</v>
      </c>
      <c r="DK5" s="751">
        <f t="shared" si="2"/>
        <v>50010</v>
      </c>
      <c r="DL5" s="751">
        <f t="shared" si="2"/>
        <v>50041</v>
      </c>
      <c r="DM5" s="751">
        <f t="shared" si="2"/>
        <v>50072</v>
      </c>
      <c r="DN5" s="751">
        <f t="shared" si="2"/>
        <v>50100</v>
      </c>
      <c r="DO5" s="751">
        <f t="shared" si="2"/>
        <v>50131</v>
      </c>
      <c r="DP5" s="751">
        <f t="shared" si="2"/>
        <v>50161</v>
      </c>
      <c r="DQ5" s="751">
        <f t="shared" si="2"/>
        <v>50192</v>
      </c>
      <c r="DR5" s="751">
        <f t="shared" si="2"/>
        <v>50222</v>
      </c>
      <c r="DS5" s="751">
        <f t="shared" si="2"/>
        <v>50253</v>
      </c>
      <c r="DT5" s="751">
        <f t="shared" si="2"/>
        <v>50284</v>
      </c>
      <c r="DU5" s="751">
        <f t="shared" si="2"/>
        <v>50314</v>
      </c>
      <c r="DV5" s="751">
        <f t="shared" si="2"/>
        <v>50345</v>
      </c>
      <c r="DW5" s="751">
        <f t="shared" si="2"/>
        <v>50375</v>
      </c>
      <c r="DX5" s="751">
        <f t="shared" si="2"/>
        <v>50406</v>
      </c>
      <c r="DY5" s="751">
        <f t="shared" si="2"/>
        <v>50437</v>
      </c>
      <c r="DZ5" s="751">
        <f t="shared" si="2"/>
        <v>50465</v>
      </c>
      <c r="EA5" s="751">
        <f t="shared" si="2"/>
        <v>50496</v>
      </c>
      <c r="EB5" s="751">
        <f t="shared" si="2"/>
        <v>50526</v>
      </c>
      <c r="EC5" s="751">
        <f t="shared" si="2"/>
        <v>50557</v>
      </c>
      <c r="ED5" s="751">
        <f t="shared" si="2"/>
        <v>50587</v>
      </c>
      <c r="EE5" s="751">
        <f>EDATE(ED5,1)</f>
        <v>50618</v>
      </c>
      <c r="EF5" s="751">
        <f>EDATE(EE5,1)</f>
        <v>50649</v>
      </c>
    </row>
    <row r="6" spans="1:136" s="754" customFormat="1" ht="15" thickBot="1" x14ac:dyDescent="0.35">
      <c r="A6" s="753"/>
      <c r="B6" s="753"/>
      <c r="C6" s="753"/>
      <c r="D6" s="753">
        <v>0</v>
      </c>
      <c r="E6" s="753">
        <v>1</v>
      </c>
      <c r="F6" s="753">
        <v>2</v>
      </c>
      <c r="G6" s="753">
        <v>3</v>
      </c>
      <c r="H6" s="753">
        <v>4</v>
      </c>
      <c r="I6" s="753">
        <v>5</v>
      </c>
      <c r="J6" s="753">
        <v>6</v>
      </c>
      <c r="K6" s="753">
        <v>7</v>
      </c>
      <c r="L6" s="753">
        <v>8</v>
      </c>
      <c r="M6" s="753">
        <v>9</v>
      </c>
      <c r="N6" s="753">
        <v>10</v>
      </c>
      <c r="O6" s="753">
        <v>11</v>
      </c>
      <c r="P6" s="753">
        <v>12</v>
      </c>
      <c r="Q6" s="753">
        <v>13</v>
      </c>
      <c r="R6" s="753">
        <v>14</v>
      </c>
      <c r="S6" s="753">
        <v>15</v>
      </c>
      <c r="T6" s="753">
        <v>16</v>
      </c>
      <c r="U6" s="753">
        <v>17</v>
      </c>
      <c r="V6" s="753">
        <v>18</v>
      </c>
      <c r="W6" s="753">
        <v>19</v>
      </c>
      <c r="X6" s="753">
        <v>20</v>
      </c>
      <c r="Y6" s="753">
        <v>21</v>
      </c>
      <c r="Z6" s="753">
        <v>22</v>
      </c>
      <c r="AA6" s="753">
        <v>23</v>
      </c>
      <c r="AB6" s="753">
        <v>24</v>
      </c>
      <c r="AC6" s="753">
        <v>25</v>
      </c>
      <c r="AD6" s="753">
        <v>26</v>
      </c>
      <c r="AE6" s="753">
        <v>27</v>
      </c>
      <c r="AF6" s="753">
        <v>28</v>
      </c>
      <c r="AG6" s="753">
        <v>29</v>
      </c>
      <c r="AH6" s="753">
        <v>30</v>
      </c>
      <c r="AI6" s="753">
        <v>31</v>
      </c>
      <c r="AJ6" s="753">
        <v>32</v>
      </c>
      <c r="AK6" s="753">
        <v>33</v>
      </c>
      <c r="AL6" s="753">
        <v>34</v>
      </c>
      <c r="AM6" s="753">
        <v>35</v>
      </c>
      <c r="AN6" s="753">
        <v>36</v>
      </c>
      <c r="AO6" s="753">
        <v>37</v>
      </c>
      <c r="AP6" s="753">
        <v>38</v>
      </c>
      <c r="AQ6" s="753">
        <v>39</v>
      </c>
      <c r="AR6" s="753">
        <v>40</v>
      </c>
      <c r="AS6" s="753">
        <v>41</v>
      </c>
      <c r="AT6" s="753">
        <v>42</v>
      </c>
      <c r="AU6" s="753">
        <v>43</v>
      </c>
      <c r="AV6" s="753">
        <v>44</v>
      </c>
      <c r="AW6" s="753">
        <v>45</v>
      </c>
      <c r="AX6" s="753">
        <v>46</v>
      </c>
      <c r="AY6" s="753">
        <v>47</v>
      </c>
      <c r="AZ6" s="753">
        <v>48</v>
      </c>
      <c r="BA6" s="753">
        <v>49</v>
      </c>
      <c r="BB6" s="753">
        <v>50</v>
      </c>
      <c r="BC6" s="753">
        <v>51</v>
      </c>
      <c r="BD6" s="753">
        <v>52</v>
      </c>
      <c r="BE6" s="753">
        <v>53</v>
      </c>
      <c r="BF6" s="753">
        <v>54</v>
      </c>
      <c r="BG6" s="753">
        <v>55</v>
      </c>
      <c r="BH6" s="753">
        <v>56</v>
      </c>
      <c r="BI6" s="753">
        <v>57</v>
      </c>
      <c r="BJ6" s="753">
        <v>58</v>
      </c>
      <c r="BK6" s="753">
        <v>59</v>
      </c>
      <c r="BL6" s="753">
        <v>60</v>
      </c>
      <c r="BM6" s="753">
        <v>61</v>
      </c>
      <c r="BN6" s="753">
        <v>62</v>
      </c>
      <c r="BO6" s="753">
        <v>63</v>
      </c>
      <c r="BP6" s="753">
        <v>64</v>
      </c>
      <c r="BQ6" s="753">
        <v>65</v>
      </c>
      <c r="BR6" s="753">
        <v>66</v>
      </c>
      <c r="BS6" s="753">
        <v>67</v>
      </c>
      <c r="BT6" s="753">
        <v>68</v>
      </c>
      <c r="BU6" s="753">
        <v>69</v>
      </c>
      <c r="BV6" s="753">
        <v>70</v>
      </c>
      <c r="BW6" s="753">
        <v>71</v>
      </c>
      <c r="BX6" s="753">
        <v>72</v>
      </c>
      <c r="BY6" s="753">
        <v>73</v>
      </c>
      <c r="BZ6" s="753">
        <v>74</v>
      </c>
      <c r="CA6" s="753">
        <v>75</v>
      </c>
      <c r="CB6" s="753">
        <v>76</v>
      </c>
      <c r="CC6" s="753">
        <v>77</v>
      </c>
      <c r="CD6" s="753">
        <v>78</v>
      </c>
      <c r="CE6" s="753">
        <v>79</v>
      </c>
      <c r="CF6" s="753">
        <v>80</v>
      </c>
      <c r="CG6" s="753">
        <v>81</v>
      </c>
      <c r="CH6" s="753">
        <v>82</v>
      </c>
      <c r="CI6" s="753">
        <v>83</v>
      </c>
      <c r="CJ6" s="753">
        <v>84</v>
      </c>
      <c r="CK6" s="753">
        <v>85</v>
      </c>
      <c r="CL6" s="753">
        <v>86</v>
      </c>
      <c r="CM6" s="753">
        <v>87</v>
      </c>
      <c r="CN6" s="753">
        <v>88</v>
      </c>
      <c r="CO6" s="753">
        <v>89</v>
      </c>
      <c r="CP6" s="753">
        <v>90</v>
      </c>
      <c r="CQ6" s="753">
        <v>91</v>
      </c>
      <c r="CR6" s="753">
        <v>92</v>
      </c>
      <c r="CS6" s="753">
        <v>93</v>
      </c>
      <c r="CT6" s="753">
        <v>94</v>
      </c>
      <c r="CU6" s="753">
        <v>95</v>
      </c>
      <c r="CV6" s="753">
        <v>96</v>
      </c>
      <c r="CW6" s="753">
        <v>97</v>
      </c>
      <c r="CX6" s="753">
        <v>98</v>
      </c>
      <c r="CY6" s="753">
        <v>99</v>
      </c>
      <c r="CZ6" s="753">
        <v>100</v>
      </c>
      <c r="DA6" s="753">
        <v>101</v>
      </c>
      <c r="DB6" s="753">
        <v>102</v>
      </c>
      <c r="DC6" s="753">
        <v>103</v>
      </c>
      <c r="DD6" s="753">
        <v>104</v>
      </c>
      <c r="DE6" s="753">
        <v>105</v>
      </c>
      <c r="DF6" s="753">
        <v>106</v>
      </c>
      <c r="DG6" s="753">
        <v>107</v>
      </c>
      <c r="DH6" s="753">
        <v>108</v>
      </c>
      <c r="DI6" s="753">
        <v>109</v>
      </c>
      <c r="DJ6" s="753">
        <v>110</v>
      </c>
      <c r="DK6" s="753">
        <v>111</v>
      </c>
      <c r="DL6" s="753">
        <v>112</v>
      </c>
      <c r="DM6" s="753">
        <v>113</v>
      </c>
      <c r="DN6" s="753">
        <v>114</v>
      </c>
      <c r="DO6" s="753">
        <v>115</v>
      </c>
      <c r="DP6" s="753">
        <v>116</v>
      </c>
      <c r="DQ6" s="753">
        <v>117</v>
      </c>
      <c r="DR6" s="753">
        <v>118</v>
      </c>
      <c r="DS6" s="753">
        <v>119</v>
      </c>
      <c r="DT6" s="753">
        <v>120</v>
      </c>
      <c r="DU6" s="753">
        <v>121</v>
      </c>
      <c r="DV6" s="753">
        <v>122</v>
      </c>
      <c r="DW6" s="753">
        <v>123</v>
      </c>
      <c r="DX6" s="753">
        <v>124</v>
      </c>
      <c r="DY6" s="753">
        <v>125</v>
      </c>
      <c r="DZ6" s="753">
        <v>126</v>
      </c>
      <c r="EA6" s="753">
        <v>127</v>
      </c>
      <c r="EB6" s="753">
        <v>128</v>
      </c>
      <c r="EC6" s="753">
        <v>129</v>
      </c>
      <c r="ED6" s="753">
        <v>130</v>
      </c>
      <c r="EE6" s="753">
        <v>131</v>
      </c>
      <c r="EF6" s="753">
        <v>132</v>
      </c>
    </row>
    <row r="7" spans="1:136" customFormat="1" ht="7.5" customHeight="1" thickTop="1" x14ac:dyDescent="0.3"/>
    <row r="8" spans="1:136" x14ac:dyDescent="0.3">
      <c r="A8" s="229" t="s">
        <v>2269</v>
      </c>
      <c r="D8" s="229">
        <f>IF(Macros!$B$3=2,1,LandPrice+'Operating Inputs'!$D$224)</f>
        <v>8850000</v>
      </c>
      <c r="E8" s="229">
        <f ca="1">IF(Macros!$B$3=2,1,DevBdgt!F49+'Operating Inputs'!$D$224)</f>
        <v>17071697.267435078</v>
      </c>
      <c r="F8" s="229">
        <f ca="1">IF(Macros!$B$3=2,1,DevBdgt!G49+'Operating Inputs'!$D$224)</f>
        <v>17549206.810734972</v>
      </c>
      <c r="G8" s="229">
        <f ca="1">IF(Macros!$B$3=2,1,DevBdgt!H49+'Operating Inputs'!$D$224)</f>
        <v>18274224.858238835</v>
      </c>
      <c r="H8" s="229">
        <f ca="1">IF(Macros!$B$3=2,1,DevBdgt!I49+'Operating Inputs'!$D$224)</f>
        <v>19505576.284242198</v>
      </c>
      <c r="I8" s="229">
        <f ca="1">IF(Macros!$B$3=2,1,DevBdgt!J49+'Operating Inputs'!$D$224)</f>
        <v>21515021.370485578</v>
      </c>
      <c r="J8" s="229">
        <f ca="1">IF(Macros!$B$3=2,1,DevBdgt!K49+'Operating Inputs'!$D$224)</f>
        <v>23583298.653299659</v>
      </c>
      <c r="K8" s="229">
        <f ca="1">IF(Macros!$B$3=2,1,DevBdgt!L49+'Operating Inputs'!$D$224)</f>
        <v>26218854.747916996</v>
      </c>
      <c r="L8" s="229">
        <f ca="1">IF(Macros!$B$3=2,1,DevBdgt!M49+'Operating Inputs'!$D$224)</f>
        <v>29345166.12316294</v>
      </c>
      <c r="M8" s="229">
        <f ca="1">IF(Macros!$B$3=2,1,DevBdgt!N49+'Operating Inputs'!$D$224)</f>
        <v>33004810.747068901</v>
      </c>
      <c r="N8" s="229">
        <f ca="1">IF(Macros!$B$3=2,1,DevBdgt!O49+'Operating Inputs'!$D$224)</f>
        <v>36793559.294009358</v>
      </c>
      <c r="O8" s="229">
        <f ca="1">IF(Macros!$B$3=2,1,DevBdgt!P49+'Operating Inputs'!$D$224)</f>
        <v>40779059.047484428</v>
      </c>
      <c r="P8" s="229">
        <f ca="1">IF(Macros!$B$3=2,1,DevBdgt!Q49+'Operating Inputs'!$D$224)</f>
        <v>44815030.817665301</v>
      </c>
      <c r="Q8" s="229">
        <f ca="1">IF(Macros!$B$3=2,1,DevBdgt!R49+'Operating Inputs'!$D$224)</f>
        <v>48889921.942921624</v>
      </c>
      <c r="R8" s="229">
        <f ca="1">IF(Macros!$B$3=2,1,DevBdgt!S49+'Operating Inputs'!$D$224)</f>
        <v>52704091.107733279</v>
      </c>
      <c r="S8" s="229">
        <f ca="1">IF(Macros!$B$3=2,1,DevBdgt!T49+'Operating Inputs'!$D$224)</f>
        <v>56411333.254833937</v>
      </c>
      <c r="T8" s="229">
        <f ca="1">IF(Macros!$B$3=2,1,DevBdgt!U49+'Operating Inputs'!$D$224)</f>
        <v>59849975.340502433</v>
      </c>
      <c r="U8" s="229">
        <f ca="1">IF(Macros!$B$3=2,1,DevBdgt!V49+'Operating Inputs'!$D$224)</f>
        <v>62951717.219648339</v>
      </c>
      <c r="V8" s="229">
        <f ca="1">IF(Macros!$B$3=2,1,DevBdgt!W49+'Operating Inputs'!$D$224)</f>
        <v>66037830.052848838</v>
      </c>
      <c r="W8" s="229">
        <f ca="1">IF(Macros!$B$3=2,1,DevBdgt!X49+'Operating Inputs'!$D$224)</f>
        <v>68878643.958694547</v>
      </c>
      <c r="X8" s="229">
        <f ca="1">IF(Macros!$B$3=2,1,DevBdgt!Y49+'Operating Inputs'!$D$224)</f>
        <v>71285984.201939747</v>
      </c>
      <c r="Y8" s="229">
        <f ca="1">IF(Macros!$B$3=2,1,DevBdgt!Z49+'Operating Inputs'!$D$224)</f>
        <v>73352901.392524347</v>
      </c>
      <c r="Z8" s="229">
        <f ca="1">IF(Macros!$B$3=2,1,DevBdgt!AA49+'Operating Inputs'!$D$224)</f>
        <v>75089051.738785774</v>
      </c>
      <c r="AA8" s="229">
        <f ca="1">IF(Macros!$B$3=2,1,DevBdgt!AB49+'Operating Inputs'!$D$224)</f>
        <v>76291139.317716837</v>
      </c>
      <c r="AB8" s="229">
        <f ca="1">IF(Macros!$B$3=2,1,DevBdgt!AC49+'Operating Inputs'!$D$224)</f>
        <v>77281920.057961136</v>
      </c>
      <c r="AC8" s="229">
        <f ca="1">IF(Macros!$B$3=2,1,DevBdgt!AD49+'Operating Inputs'!$D$224)</f>
        <v>77959624.342178479</v>
      </c>
      <c r="AD8" s="229">
        <f ca="1">IF(Macros!$B$3=2,1,DevBdgt!AE49+'Operating Inputs'!$D$224)</f>
        <v>77959624.342178479</v>
      </c>
      <c r="AE8" s="229">
        <f ca="1">IF(Macros!$B$3=2,1,DevBdgt!AF49+'Operating Inputs'!$D$224)</f>
        <v>77959624.342178479</v>
      </c>
      <c r="AF8" s="229">
        <f ca="1">IF(Macros!$B$3=2,1,DevBdgt!AG49+'Operating Inputs'!$D$224)</f>
        <v>77959624.342178479</v>
      </c>
      <c r="AG8" s="229">
        <f ca="1">IF(Macros!$B$3=2,1,DevBdgt!AH49+'Operating Inputs'!$D$224)</f>
        <v>77959624.342178479</v>
      </c>
      <c r="AH8" s="229">
        <f ca="1">IF(Macros!$B$3=2,1,DevBdgt!AI49+'Operating Inputs'!$D$224)</f>
        <v>77959624.342178479</v>
      </c>
      <c r="AI8" s="229">
        <f ca="1">IF(Macros!$B$3=2,1,DevBdgt!AJ49+'Operating Inputs'!$D$224)</f>
        <v>77959624.342178479</v>
      </c>
      <c r="AJ8" s="229">
        <f ca="1">IF(Macros!$B$3=2,1,DevBdgt!AK49+'Operating Inputs'!$D$224)</f>
        <v>77959624.342178479</v>
      </c>
      <c r="AK8" s="229">
        <f ca="1">IF(Macros!$B$3=2,1,DevBdgt!AL49+'Operating Inputs'!$D$224)</f>
        <v>77959624.342178479</v>
      </c>
      <c r="AL8" s="229">
        <f ca="1">IF(Macros!$B$3=2,1,DevBdgt!AM49+'Operating Inputs'!$D$224)</f>
        <v>77959624.342178479</v>
      </c>
      <c r="AM8" s="229">
        <f ca="1">IF(Macros!$B$3=2,1,DevBdgt!AN49+'Operating Inputs'!$D$224)</f>
        <v>77959624.342178479</v>
      </c>
      <c r="AN8" s="229">
        <f ca="1">IF(Macros!$B$3=2,1,DevBdgt!AO49+'Operating Inputs'!$D$224)</f>
        <v>77959624.342178479</v>
      </c>
      <c r="AO8" s="229">
        <f ca="1">IF(Macros!$B$3=2,1,DevBdgt!AP49+'Operating Inputs'!$D$224)</f>
        <v>77959624.342178479</v>
      </c>
      <c r="AP8" s="229">
        <f ca="1">IF(Macros!$B$3=2,1,DevBdgt!AQ49+'Operating Inputs'!$D$224)</f>
        <v>77959624.342178479</v>
      </c>
      <c r="AQ8" s="229">
        <f ca="1">IF(Macros!$B$3=2,1,DevBdgt!AR49+'Operating Inputs'!$D$224)</f>
        <v>77959624.342178479</v>
      </c>
      <c r="AR8" s="229">
        <f ca="1">IF(Macros!$B$3=2,1,DevBdgt!AS49+'Operating Inputs'!$D$224)</f>
        <v>77959624.342178479</v>
      </c>
      <c r="AS8" s="229">
        <f ca="1">IF(Macros!$B$3=2,1,DevBdgt!AT49+'Operating Inputs'!$D$224)</f>
        <v>77959624.342178479</v>
      </c>
      <c r="AT8" s="229">
        <f ca="1">IF(Macros!$B$3=2,1,DevBdgt!AU49+'Operating Inputs'!$D$224)</f>
        <v>77959624.342178479</v>
      </c>
      <c r="AU8" s="229">
        <f ca="1">IF(Macros!$B$3=2,1,DevBdgt!AV49+'Operating Inputs'!$D$224)</f>
        <v>77959624.342178479</v>
      </c>
      <c r="AV8" s="229">
        <f ca="1">IF(Macros!$B$3=2,1,DevBdgt!AW49+'Operating Inputs'!$D$224)</f>
        <v>77959624.342178479</v>
      </c>
      <c r="AW8" s="229">
        <f ca="1">IF(Macros!$B$3=2,1,DevBdgt!AX49+'Operating Inputs'!$D$224)</f>
        <v>77959624.342178479</v>
      </c>
      <c r="AX8" s="229">
        <f ca="1">IF(Macros!$B$3=2,1,DevBdgt!AY49+'Operating Inputs'!$D$224)</f>
        <v>77959624.342178479</v>
      </c>
      <c r="AY8" s="229">
        <f ca="1">IF(Macros!$B$3=2,1,DevBdgt!AZ49+'Operating Inputs'!$D$224)</f>
        <v>77959624.342178479</v>
      </c>
      <c r="AZ8" s="229">
        <f ca="1">IF(Macros!$B$3=2,1,DevBdgt!BA49+'Operating Inputs'!$D$224)</f>
        <v>77959624.342178479</v>
      </c>
      <c r="BA8" s="229">
        <f ca="1">IF(Macros!$B$3=2,1,DevBdgt!BB49+'Operating Inputs'!$D$224)</f>
        <v>77959624.342178479</v>
      </c>
      <c r="BB8" s="229">
        <f ca="1">IF(Macros!$B$3=2,1,DevBdgt!BC49+'Operating Inputs'!$D$224)</f>
        <v>77959624.342178479</v>
      </c>
      <c r="BC8" s="229">
        <f ca="1">IF(Macros!$B$3=2,1,DevBdgt!BD49+'Operating Inputs'!$D$224)</f>
        <v>77959624.342178479</v>
      </c>
      <c r="BD8" s="229">
        <f ca="1">IF(Macros!$B$3=2,1,DevBdgt!BE49+'Operating Inputs'!$D$224)</f>
        <v>77959624.342178479</v>
      </c>
      <c r="BE8" s="229">
        <f ca="1">IF(Macros!$B$3=2,1,DevBdgt!BF49+'Operating Inputs'!$D$224)</f>
        <v>77959624.342178479</v>
      </c>
      <c r="BF8" s="229">
        <f ca="1">IF(Macros!$B$3=2,1,DevBdgt!BG49+'Operating Inputs'!$D$224)</f>
        <v>77959624.342178479</v>
      </c>
      <c r="BG8" s="229">
        <f ca="1">IF(Macros!$B$3=2,1,DevBdgt!BH49+'Operating Inputs'!$D$224)</f>
        <v>77959624.342178479</v>
      </c>
      <c r="BH8" s="229">
        <f ca="1">IF(Macros!$B$3=2,1,DevBdgt!BI49+'Operating Inputs'!$D$224)</f>
        <v>77959624.342178479</v>
      </c>
      <c r="BI8" s="229">
        <f ca="1">IF(Macros!$B$3=2,1,DevBdgt!BJ49+'Operating Inputs'!$D$224)</f>
        <v>77959624.342178479</v>
      </c>
      <c r="BJ8" s="229">
        <f ca="1">IF(Macros!$B$3=2,1,DevBdgt!BK49+'Operating Inputs'!$D$224)</f>
        <v>77959624.342178479</v>
      </c>
      <c r="BK8" s="229">
        <f ca="1">IF(Macros!$B$3=2,1,DevBdgt!BL49+'Operating Inputs'!$D$224)</f>
        <v>77959624.342178479</v>
      </c>
      <c r="BL8" s="229">
        <f ca="1">IF(Macros!$B$3=2,1,DevBdgt!BM49+'Operating Inputs'!$D$224)</f>
        <v>77959624.342178479</v>
      </c>
      <c r="BM8" s="229">
        <f ca="1">IF(Macros!$B$3=2,1,DevBdgt!BN49+'Operating Inputs'!$D$224)</f>
        <v>77959624.342178479</v>
      </c>
      <c r="BN8" s="229">
        <f ca="1">IF(Macros!$B$3=2,1,DevBdgt!BO49+'Operating Inputs'!$D$224)</f>
        <v>77959624.342178479</v>
      </c>
      <c r="BO8" s="229">
        <f ca="1">IF(Macros!$B$3=2,1,DevBdgt!BP49+'Operating Inputs'!$D$224)</f>
        <v>77959624.342178479</v>
      </c>
      <c r="BP8" s="229">
        <f ca="1">IF(Macros!$B$3=2,1,DevBdgt!BQ49+'Operating Inputs'!$D$224)</f>
        <v>77959624.342178479</v>
      </c>
      <c r="BQ8" s="229">
        <f ca="1">IF(Macros!$B$3=2,1,DevBdgt!BR49+'Operating Inputs'!$D$224)</f>
        <v>77959624.342178479</v>
      </c>
      <c r="BR8" s="229">
        <f ca="1">IF(Macros!$B$3=2,1,DevBdgt!BS49+'Operating Inputs'!$D$224)</f>
        <v>77959624.342178479</v>
      </c>
      <c r="BS8" s="229">
        <f ca="1">IF(Macros!$B$3=2,1,DevBdgt!BT49+'Operating Inputs'!$D$224)</f>
        <v>77959624.342178479</v>
      </c>
      <c r="BT8" s="229">
        <f ca="1">IF(Macros!$B$3=2,1,DevBdgt!BU49+'Operating Inputs'!$D$224)</f>
        <v>77959624.342178479</v>
      </c>
      <c r="BU8" s="229">
        <f ca="1">IF(Macros!$B$3=2,1,DevBdgt!BV49+'Operating Inputs'!$D$224)</f>
        <v>77959624.342178479</v>
      </c>
      <c r="BV8" s="229">
        <f ca="1">IF(Macros!$B$3=2,1,DevBdgt!BW49+'Operating Inputs'!$D$224)</f>
        <v>77959624.342178479</v>
      </c>
      <c r="BW8" s="229">
        <f ca="1">IF(Macros!$B$3=2,1,DevBdgt!BX49+'Operating Inputs'!$D$224)</f>
        <v>77959624.342178479</v>
      </c>
      <c r="BX8" s="229">
        <f ca="1">IF(Macros!$B$3=2,1,DevBdgt!BY49+'Operating Inputs'!$D$224)</f>
        <v>77959624.342178479</v>
      </c>
      <c r="BY8" s="229">
        <f ca="1">IF(Macros!$B$3=2,1,DevBdgt!BZ49+'Operating Inputs'!$D$224)</f>
        <v>77959624.342178479</v>
      </c>
      <c r="BZ8" s="229">
        <f ca="1">IF(Macros!$B$3=2,1,DevBdgt!CA49+'Operating Inputs'!$D$224)</f>
        <v>77959624.342178479</v>
      </c>
      <c r="CA8" s="229">
        <f ca="1">IF(Macros!$B$3=2,1,DevBdgt!CB49+'Operating Inputs'!$D$224)</f>
        <v>77959624.342178479</v>
      </c>
      <c r="CB8" s="229">
        <f ca="1">IF(Macros!$B$3=2,1,DevBdgt!CC49+'Operating Inputs'!$D$224)</f>
        <v>77959624.342178479</v>
      </c>
      <c r="CC8" s="229">
        <f ca="1">IF(Macros!$B$3=2,1,DevBdgt!CD49+'Operating Inputs'!$D$224)</f>
        <v>77959624.342178479</v>
      </c>
      <c r="CD8" s="229">
        <f ca="1">IF(Macros!$B$3=2,1,DevBdgt!CE49+'Operating Inputs'!$D$224)</f>
        <v>77959624.342178479</v>
      </c>
      <c r="CE8" s="229">
        <f ca="1">IF(Macros!$B$3=2,1,DevBdgt!CF49+'Operating Inputs'!$D$224)</f>
        <v>77959624.342178479</v>
      </c>
      <c r="CF8" s="229">
        <f ca="1">IF(Macros!$B$3=2,1,DevBdgt!CG49+'Operating Inputs'!$D$224)</f>
        <v>77959624.342178479</v>
      </c>
      <c r="CG8" s="229">
        <f ca="1">IF(Macros!$B$3=2,1,DevBdgt!CH49+'Operating Inputs'!$D$224)</f>
        <v>77959624.342178479</v>
      </c>
      <c r="CH8" s="229">
        <f ca="1">IF(Macros!$B$3=2,1,DevBdgt!CI49+'Operating Inputs'!$D$224)</f>
        <v>77959624.342178479</v>
      </c>
      <c r="CI8" s="229">
        <f ca="1">IF(Macros!$B$3=2,1,DevBdgt!CJ49+'Operating Inputs'!$D$224)</f>
        <v>77959624.342178479</v>
      </c>
      <c r="CJ8" s="229">
        <f ca="1">IF(Macros!$B$3=2,1,DevBdgt!CK49+'Operating Inputs'!$D$224)</f>
        <v>77959624.342178479</v>
      </c>
      <c r="CK8" s="229">
        <f ca="1">IF(Macros!$B$3=2,1,DevBdgt!CL49+'Operating Inputs'!$D$224)</f>
        <v>77959624.342178479</v>
      </c>
      <c r="CL8" s="229">
        <f ca="1">IF(Macros!$B$3=2,1,DevBdgt!CM49+'Operating Inputs'!$D$224)</f>
        <v>77959624.342178479</v>
      </c>
      <c r="CM8" s="229">
        <f ca="1">IF(Macros!$B$3=2,1,DevBdgt!CN49+'Operating Inputs'!$D$224)</f>
        <v>77959624.342178479</v>
      </c>
      <c r="CN8" s="229">
        <f ca="1">IF(Macros!$B$3=2,1,DevBdgt!CO49+'Operating Inputs'!$D$224)</f>
        <v>77959624.342178479</v>
      </c>
      <c r="CO8" s="229">
        <f ca="1">IF(Macros!$B$3=2,1,DevBdgt!CP49+'Operating Inputs'!$D$224)</f>
        <v>77959624.342178479</v>
      </c>
      <c r="CP8" s="229">
        <f ca="1">IF(Macros!$B$3=2,1,DevBdgt!CQ49+'Operating Inputs'!$D$224)</f>
        <v>77959624.342178479</v>
      </c>
      <c r="CQ8" s="229">
        <f ca="1">IF(Macros!$B$3=2,1,DevBdgt!CR49+'Operating Inputs'!$D$224)</f>
        <v>77959624.342178479</v>
      </c>
      <c r="CR8" s="229">
        <f ca="1">IF(Macros!$B$3=2,1,DevBdgt!CS49+'Operating Inputs'!$D$224)</f>
        <v>77959624.342178479</v>
      </c>
      <c r="CS8" s="229">
        <f ca="1">IF(Macros!$B$3=2,1,DevBdgt!CT49+'Operating Inputs'!$D$224)</f>
        <v>77959624.342178479</v>
      </c>
      <c r="CT8" s="229">
        <f ca="1">IF(Macros!$B$3=2,1,DevBdgt!CU49+'Operating Inputs'!$D$224)</f>
        <v>77959624.342178479</v>
      </c>
      <c r="CU8" s="229">
        <f ca="1">IF(Macros!$B$3=2,1,DevBdgt!CV49+'Operating Inputs'!$D$224)</f>
        <v>77959624.342178479</v>
      </c>
      <c r="CV8" s="229">
        <f ca="1">IF(Macros!$B$3=2,1,DevBdgt!CW49+'Operating Inputs'!$D$224)</f>
        <v>77959624.342178479</v>
      </c>
      <c r="CW8" s="229">
        <f ca="1">IF(Macros!$B$3=2,1,DevBdgt!CX49+'Operating Inputs'!$D$224)</f>
        <v>77959624.342178479</v>
      </c>
      <c r="CX8" s="229">
        <f ca="1">IF(Macros!$B$3=2,1,DevBdgt!CY49+'Operating Inputs'!$D$224)</f>
        <v>77959624.342178479</v>
      </c>
      <c r="CY8" s="229">
        <f ca="1">IF(Macros!$B$3=2,1,DevBdgt!CZ49+'Operating Inputs'!$D$224)</f>
        <v>77959624.342178479</v>
      </c>
      <c r="CZ8" s="229">
        <f ca="1">IF(Macros!$B$3=2,1,DevBdgt!DA49+'Operating Inputs'!$D$224)</f>
        <v>77959624.342178479</v>
      </c>
      <c r="DA8" s="229">
        <f ca="1">IF(Macros!$B$3=2,1,DevBdgt!DB49+'Operating Inputs'!$D$224)</f>
        <v>77959624.342178479</v>
      </c>
      <c r="DB8" s="229">
        <f ca="1">IF(Macros!$B$3=2,1,DevBdgt!DC49+'Operating Inputs'!$D$224)</f>
        <v>77959624.342178479</v>
      </c>
      <c r="DC8" s="229">
        <f ca="1">IF(Macros!$B$3=2,1,DevBdgt!DD49+'Operating Inputs'!$D$224)</f>
        <v>77959624.342178479</v>
      </c>
      <c r="DD8" s="229">
        <f ca="1">IF(Macros!$B$3=2,1,DevBdgt!DE49+'Operating Inputs'!$D$224)</f>
        <v>77959624.342178479</v>
      </c>
      <c r="DE8" s="229">
        <f ca="1">IF(Macros!$B$3=2,1,DevBdgt!DF49+'Operating Inputs'!$D$224)</f>
        <v>77959624.342178479</v>
      </c>
      <c r="DF8" s="229">
        <f ca="1">IF(Macros!$B$3=2,1,DevBdgt!DG49+'Operating Inputs'!$D$224)</f>
        <v>77959624.342178479</v>
      </c>
      <c r="DG8" s="229">
        <f ca="1">IF(Macros!$B$3=2,1,DevBdgt!DH49+'Operating Inputs'!$D$224)</f>
        <v>77959624.342178479</v>
      </c>
      <c r="DH8" s="229">
        <f ca="1">IF(Macros!$B$3=2,1,DevBdgt!DI49+'Operating Inputs'!$D$224)</f>
        <v>77959624.342178479</v>
      </c>
      <c r="DI8" s="229">
        <f ca="1">IF(Macros!$B$3=2,1,DevBdgt!DJ49+'Operating Inputs'!$D$224)</f>
        <v>77959624.342178479</v>
      </c>
      <c r="DJ8" s="229">
        <f ca="1">IF(Macros!$B$3=2,1,DevBdgt!DK49+'Operating Inputs'!$D$224)</f>
        <v>77959624.342178479</v>
      </c>
      <c r="DK8" s="229">
        <f ca="1">IF(Macros!$B$3=2,1,DevBdgt!DL49+'Operating Inputs'!$D$224)</f>
        <v>77959624.342178479</v>
      </c>
      <c r="DL8" s="229">
        <f ca="1">IF(Macros!$B$3=2,1,DevBdgt!DM49+'Operating Inputs'!$D$224)</f>
        <v>77959624.342178479</v>
      </c>
      <c r="DM8" s="229">
        <f ca="1">IF(Macros!$B$3=2,1,DevBdgt!DN49+'Operating Inputs'!$D$224)</f>
        <v>77959624.342178479</v>
      </c>
      <c r="DN8" s="229">
        <f ca="1">IF(Macros!$B$3=2,1,DevBdgt!DO49+'Operating Inputs'!$D$224)</f>
        <v>77959624.342178479</v>
      </c>
      <c r="DO8" s="229">
        <f ca="1">IF(Macros!$B$3=2,1,DevBdgt!DP49+'Operating Inputs'!$D$224)</f>
        <v>77959624.342178479</v>
      </c>
      <c r="DP8" s="229">
        <f ca="1">IF(Macros!$B$3=2,1,DevBdgt!DQ49+'Operating Inputs'!$D$224)</f>
        <v>77959624.342178479</v>
      </c>
      <c r="DQ8" s="229">
        <f ca="1">IF(Macros!$B$3=2,1,DevBdgt!DR49+'Operating Inputs'!$D$224)</f>
        <v>77959624.342178479</v>
      </c>
      <c r="DR8" s="229">
        <f ca="1">IF(Macros!$B$3=2,1,DevBdgt!DS49+'Operating Inputs'!$D$224)</f>
        <v>77959624.342178479</v>
      </c>
      <c r="DS8" s="229">
        <f ca="1">IF(Macros!$B$3=2,1,DevBdgt!DT49+'Operating Inputs'!$D$224)</f>
        <v>77959624.342178479</v>
      </c>
      <c r="DT8" s="229">
        <f ca="1">IF(Macros!$B$3=2,1,DevBdgt!DU49+'Operating Inputs'!$D$224)</f>
        <v>77959624.342178479</v>
      </c>
      <c r="DU8" s="229">
        <f ca="1">IF(Macros!$B$3=2,1,DevBdgt!DV49+'Operating Inputs'!$D$224)</f>
        <v>77959624.342178479</v>
      </c>
      <c r="DV8" s="229">
        <f ca="1">IF(Macros!$B$3=2,1,DevBdgt!DW49+'Operating Inputs'!$D$224)</f>
        <v>77959624.342178479</v>
      </c>
      <c r="DW8" s="229">
        <f ca="1">IF(Macros!$B$3=2,1,DevBdgt!DX49+'Operating Inputs'!$D$224)</f>
        <v>77959624.342178479</v>
      </c>
      <c r="DX8" s="229">
        <f ca="1">IF(Macros!$B$3=2,1,DevBdgt!DY49+'Operating Inputs'!$D$224)</f>
        <v>77959624.342178479</v>
      </c>
      <c r="DY8" s="229">
        <f ca="1">IF(Macros!$B$3=2,1,DevBdgt!DZ49+'Operating Inputs'!$D$224)</f>
        <v>77959624.342178479</v>
      </c>
      <c r="DZ8" s="229">
        <f ca="1">IF(Macros!$B$3=2,1,DevBdgt!EA49+'Operating Inputs'!$D$224)</f>
        <v>77959624.342178479</v>
      </c>
      <c r="EA8" s="229">
        <f ca="1">IF(Macros!$B$3=2,1,DevBdgt!EB49+'Operating Inputs'!$D$224)</f>
        <v>77959624.342178479</v>
      </c>
      <c r="EB8" s="229">
        <f ca="1">IF(Macros!$B$3=2,1,DevBdgt!EC49+'Operating Inputs'!$D$224)</f>
        <v>77959624.342178479</v>
      </c>
      <c r="EC8" s="229">
        <f ca="1">IF(Macros!$B$3=2,1,DevBdgt!ED49+'Operating Inputs'!$D$224)</f>
        <v>77959624.342178479</v>
      </c>
      <c r="ED8" s="229">
        <f ca="1">IF(Macros!$B$3=2,1,DevBdgt!EE49+'Operating Inputs'!$D$224)</f>
        <v>77959624.342178479</v>
      </c>
      <c r="EE8" s="229">
        <f ca="1">IF(Macros!$B$3=2,1,DevBdgt!EF49+'Operating Inputs'!$D$224)</f>
        <v>77959624.342178479</v>
      </c>
      <c r="EF8" s="229">
        <f ca="1">IF(Macros!$B$3=2,1,DevBdgt!EG49+'Operating Inputs'!$D$224)</f>
        <v>77959624.342178479</v>
      </c>
    </row>
    <row r="9" spans="1:136" x14ac:dyDescent="0.3">
      <c r="A9" s="229" t="s">
        <v>2270</v>
      </c>
      <c r="D9" s="229">
        <f>IF(MONTH(D$5)='Operating Inputs'!$I$169,1,0)</f>
        <v>0</v>
      </c>
      <c r="E9" s="229">
        <f>IF(MONTH(E$5)='Operating Inputs'!$I$169,1,0)</f>
        <v>0</v>
      </c>
      <c r="F9" s="229">
        <f>IF(MONTH(F$5)='Operating Inputs'!$I$169,1,0)</f>
        <v>0</v>
      </c>
      <c r="G9" s="229">
        <f>IF(MONTH(G$5)='Operating Inputs'!$I$169,1,0)</f>
        <v>0</v>
      </c>
      <c r="H9" s="229">
        <f>IF(MONTH(H$5)='Operating Inputs'!$I$169,1,0)</f>
        <v>1</v>
      </c>
      <c r="I9" s="229">
        <f>IF(MONTH(I$5)='Operating Inputs'!$I$169,1,0)</f>
        <v>0</v>
      </c>
      <c r="J9" s="229">
        <f>IF(MONTH(J$5)='Operating Inputs'!$I$169,1,0)</f>
        <v>0</v>
      </c>
      <c r="K9" s="229">
        <f>IF(MONTH(K$5)='Operating Inputs'!$I$169,1,0)</f>
        <v>0</v>
      </c>
      <c r="L9" s="229">
        <f>IF(MONTH(L$5)='Operating Inputs'!$I$169,1,0)</f>
        <v>0</v>
      </c>
      <c r="M9" s="229">
        <f>IF(MONTH(M$5)='Operating Inputs'!$I$169,1,0)</f>
        <v>0</v>
      </c>
      <c r="N9" s="229">
        <f>IF(MONTH(N$5)='Operating Inputs'!$I$169,1,0)</f>
        <v>0</v>
      </c>
      <c r="O9" s="229">
        <f>IF(MONTH(O$5)='Operating Inputs'!$I$169,1,0)</f>
        <v>0</v>
      </c>
      <c r="P9" s="229">
        <f>IF(MONTH(P$5)='Operating Inputs'!$I$169,1,0)</f>
        <v>0</v>
      </c>
      <c r="Q9" s="229">
        <f>IF(MONTH(Q$5)='Operating Inputs'!$I$169,1,0)</f>
        <v>0</v>
      </c>
      <c r="R9" s="229">
        <f>IF(MONTH(R$5)='Operating Inputs'!$I$169,1,0)</f>
        <v>0</v>
      </c>
      <c r="S9" s="229">
        <f>IF(MONTH(S$5)='Operating Inputs'!$I$169,1,0)</f>
        <v>0</v>
      </c>
      <c r="T9" s="229">
        <f>IF(MONTH(T$5)='Operating Inputs'!$I$169,1,0)</f>
        <v>1</v>
      </c>
      <c r="U9" s="229">
        <f>IF(MONTH(U$5)='Operating Inputs'!$I$169,1,0)</f>
        <v>0</v>
      </c>
      <c r="V9" s="229">
        <f>IF(MONTH(V$5)='Operating Inputs'!$I$169,1,0)</f>
        <v>0</v>
      </c>
      <c r="W9" s="229">
        <f>IF(MONTH(W$5)='Operating Inputs'!$I$169,1,0)</f>
        <v>0</v>
      </c>
      <c r="X9" s="229">
        <f>IF(MONTH(X$5)='Operating Inputs'!$I$169,1,0)</f>
        <v>0</v>
      </c>
      <c r="Y9" s="229">
        <f>IF(MONTH(Y$5)='Operating Inputs'!$I$169,1,0)</f>
        <v>0</v>
      </c>
      <c r="Z9" s="229">
        <f>IF(MONTH(Z$5)='Operating Inputs'!$I$169,1,0)</f>
        <v>0</v>
      </c>
      <c r="AA9" s="229">
        <f>IF(MONTH(AA$5)='Operating Inputs'!$I$169,1,0)</f>
        <v>0</v>
      </c>
      <c r="AB9" s="229">
        <f>IF(MONTH(AB$5)='Operating Inputs'!$I$169,1,0)</f>
        <v>0</v>
      </c>
      <c r="AC9" s="229">
        <f>IF(MONTH(AC$5)='Operating Inputs'!$I$169,1,0)</f>
        <v>0</v>
      </c>
      <c r="AD9" s="229">
        <f>IF(MONTH(AD$5)='Operating Inputs'!$I$169,1,0)</f>
        <v>0</v>
      </c>
      <c r="AE9" s="229">
        <f>IF(MONTH(AE$5)='Operating Inputs'!$I$169,1,0)</f>
        <v>0</v>
      </c>
      <c r="AF9" s="229">
        <f>IF(MONTH(AF$5)='Operating Inputs'!$I$169,1,0)</f>
        <v>1</v>
      </c>
      <c r="AG9" s="229">
        <f>IF(MONTH(AG$5)='Operating Inputs'!$I$169,1,0)</f>
        <v>0</v>
      </c>
      <c r="AH9" s="229">
        <f>IF(MONTH(AH$5)='Operating Inputs'!$I$169,1,0)</f>
        <v>0</v>
      </c>
      <c r="AI9" s="229">
        <f>IF(MONTH(AI$5)='Operating Inputs'!$I$169,1,0)</f>
        <v>0</v>
      </c>
      <c r="AJ9" s="229">
        <f>IF(MONTH(AJ$5)='Operating Inputs'!$I$169,1,0)</f>
        <v>0</v>
      </c>
      <c r="AK9" s="229">
        <f>IF(MONTH(AK$5)='Operating Inputs'!$I$169,1,0)</f>
        <v>0</v>
      </c>
      <c r="AL9" s="229">
        <f>IF(MONTH(AL$5)='Operating Inputs'!$I$169,1,0)</f>
        <v>0</v>
      </c>
      <c r="AM9" s="229">
        <f>IF(MONTH(AM$5)='Operating Inputs'!$I$169,1,0)</f>
        <v>0</v>
      </c>
      <c r="AN9" s="229">
        <f>IF(MONTH(AN$5)='Operating Inputs'!$I$169,1,0)</f>
        <v>0</v>
      </c>
      <c r="AO9" s="229">
        <f>IF(MONTH(AO$5)='Operating Inputs'!$I$169,1,0)</f>
        <v>0</v>
      </c>
      <c r="AP9" s="229">
        <f>IF(MONTH(AP$5)='Operating Inputs'!$I$169,1,0)</f>
        <v>0</v>
      </c>
      <c r="AQ9" s="229">
        <f>IF(MONTH(AQ$5)='Operating Inputs'!$I$169,1,0)</f>
        <v>0</v>
      </c>
      <c r="AR9" s="229">
        <f>IF(MONTH(AR$5)='Operating Inputs'!$I$169,1,0)</f>
        <v>1</v>
      </c>
      <c r="AS9" s="229">
        <f>IF(MONTH(AS$5)='Operating Inputs'!$I$169,1,0)</f>
        <v>0</v>
      </c>
      <c r="AT9" s="229">
        <f>IF(MONTH(AT$5)='Operating Inputs'!$I$169,1,0)</f>
        <v>0</v>
      </c>
      <c r="AU9" s="229">
        <f>IF(MONTH(AU$5)='Operating Inputs'!$I$169,1,0)</f>
        <v>0</v>
      </c>
      <c r="AV9" s="229">
        <f>IF(MONTH(AV$5)='Operating Inputs'!$I$169,1,0)</f>
        <v>0</v>
      </c>
      <c r="AW9" s="229">
        <f>IF(MONTH(AW$5)='Operating Inputs'!$I$169,1,0)</f>
        <v>0</v>
      </c>
      <c r="AX9" s="229">
        <f>IF(MONTH(AX$5)='Operating Inputs'!$I$169,1,0)</f>
        <v>0</v>
      </c>
      <c r="AY9" s="229">
        <f>IF(MONTH(AY$5)='Operating Inputs'!$I$169,1,0)</f>
        <v>0</v>
      </c>
      <c r="AZ9" s="229">
        <f>IF(MONTH(AZ$5)='Operating Inputs'!$I$169,1,0)</f>
        <v>0</v>
      </c>
      <c r="BA9" s="229">
        <f>IF(MONTH(BA$5)='Operating Inputs'!$I$169,1,0)</f>
        <v>0</v>
      </c>
      <c r="BB9" s="229">
        <f>IF(MONTH(BB$5)='Operating Inputs'!$I$169,1,0)</f>
        <v>0</v>
      </c>
      <c r="BC9" s="229">
        <f>IF(MONTH(BC$5)='Operating Inputs'!$I$169,1,0)</f>
        <v>0</v>
      </c>
      <c r="BD9" s="229">
        <f>IF(MONTH(BD$5)='Operating Inputs'!$I$169,1,0)</f>
        <v>1</v>
      </c>
      <c r="BE9" s="229">
        <f>IF(MONTH(BE$5)='Operating Inputs'!$I$169,1,0)</f>
        <v>0</v>
      </c>
      <c r="BF9" s="229">
        <f>IF(MONTH(BF$5)='Operating Inputs'!$I$169,1,0)</f>
        <v>0</v>
      </c>
      <c r="BG9" s="229">
        <f>IF(MONTH(BG$5)='Operating Inputs'!$I$169,1,0)</f>
        <v>0</v>
      </c>
      <c r="BH9" s="229">
        <f>IF(MONTH(BH$5)='Operating Inputs'!$I$169,1,0)</f>
        <v>0</v>
      </c>
      <c r="BI9" s="229">
        <f>IF(MONTH(BI$5)='Operating Inputs'!$I$169,1,0)</f>
        <v>0</v>
      </c>
      <c r="BJ9" s="229">
        <f>IF(MONTH(BJ$5)='Operating Inputs'!$I$169,1,0)</f>
        <v>0</v>
      </c>
      <c r="BK9" s="229">
        <f>IF(MONTH(BK$5)='Operating Inputs'!$I$169,1,0)</f>
        <v>0</v>
      </c>
      <c r="BL9" s="229">
        <f>IF(MONTH(BL$5)='Operating Inputs'!$I$169,1,0)</f>
        <v>0</v>
      </c>
      <c r="BM9" s="229">
        <f>IF(MONTH(BM$5)='Operating Inputs'!$I$169,1,0)</f>
        <v>0</v>
      </c>
      <c r="BN9" s="229">
        <f>IF(MONTH(BN$5)='Operating Inputs'!$I$169,1,0)</f>
        <v>0</v>
      </c>
      <c r="BO9" s="229">
        <f>IF(MONTH(BO$5)='Operating Inputs'!$I$169,1,0)</f>
        <v>0</v>
      </c>
      <c r="BP9" s="229">
        <f>IF(MONTH(BP$5)='Operating Inputs'!$I$169,1,0)</f>
        <v>1</v>
      </c>
      <c r="BQ9" s="229">
        <f>IF(MONTH(BQ$5)='Operating Inputs'!$I$169,1,0)</f>
        <v>0</v>
      </c>
      <c r="BR9" s="229">
        <f>IF(MONTH(BR$5)='Operating Inputs'!$I$169,1,0)</f>
        <v>0</v>
      </c>
      <c r="BS9" s="229">
        <f>IF(MONTH(BS$5)='Operating Inputs'!$I$169,1,0)</f>
        <v>0</v>
      </c>
      <c r="BT9" s="229">
        <f>IF(MONTH(BT$5)='Operating Inputs'!$I$169,1,0)</f>
        <v>0</v>
      </c>
      <c r="BU9" s="229">
        <f>IF(MONTH(BU$5)='Operating Inputs'!$I$169,1,0)</f>
        <v>0</v>
      </c>
      <c r="BV9" s="229">
        <f>IF(MONTH(BV$5)='Operating Inputs'!$I$169,1,0)</f>
        <v>0</v>
      </c>
      <c r="BW9" s="229">
        <f>IF(MONTH(BW$5)='Operating Inputs'!$I$169,1,0)</f>
        <v>0</v>
      </c>
      <c r="BX9" s="229">
        <f>IF(MONTH(BX$5)='Operating Inputs'!$I$169,1,0)</f>
        <v>0</v>
      </c>
      <c r="BY9" s="229">
        <f>IF(MONTH(BY$5)='Operating Inputs'!$I$169,1,0)</f>
        <v>0</v>
      </c>
      <c r="BZ9" s="229">
        <f>IF(MONTH(BZ$5)='Operating Inputs'!$I$169,1,0)</f>
        <v>0</v>
      </c>
      <c r="CA9" s="229">
        <f>IF(MONTH(CA$5)='Operating Inputs'!$I$169,1,0)</f>
        <v>0</v>
      </c>
      <c r="CB9" s="229">
        <f>IF(MONTH(CB$5)='Operating Inputs'!$I$169,1,0)</f>
        <v>1</v>
      </c>
      <c r="CC9" s="229">
        <f>IF(MONTH(CC$5)='Operating Inputs'!$I$169,1,0)</f>
        <v>0</v>
      </c>
      <c r="CD9" s="229">
        <f>IF(MONTH(CD$5)='Operating Inputs'!$I$169,1,0)</f>
        <v>0</v>
      </c>
      <c r="CE9" s="229">
        <f>IF(MONTH(CE$5)='Operating Inputs'!$I$169,1,0)</f>
        <v>0</v>
      </c>
      <c r="CF9" s="229">
        <f>IF(MONTH(CF$5)='Operating Inputs'!$I$169,1,0)</f>
        <v>0</v>
      </c>
      <c r="CG9" s="229">
        <f>IF(MONTH(CG$5)='Operating Inputs'!$I$169,1,0)</f>
        <v>0</v>
      </c>
      <c r="CH9" s="229">
        <f>IF(MONTH(CH$5)='Operating Inputs'!$I$169,1,0)</f>
        <v>0</v>
      </c>
      <c r="CI9" s="229">
        <f>IF(MONTH(CI$5)='Operating Inputs'!$I$169,1,0)</f>
        <v>0</v>
      </c>
      <c r="CJ9" s="229">
        <f>IF(MONTH(CJ$5)='Operating Inputs'!$I$169,1,0)</f>
        <v>0</v>
      </c>
      <c r="CK9" s="229">
        <f>IF(MONTH(CK$5)='Operating Inputs'!$I$169,1,0)</f>
        <v>0</v>
      </c>
      <c r="CL9" s="229">
        <f>IF(MONTH(CL$5)='Operating Inputs'!$I$169,1,0)</f>
        <v>0</v>
      </c>
      <c r="CM9" s="229">
        <f>IF(MONTH(CM$5)='Operating Inputs'!$I$169,1,0)</f>
        <v>0</v>
      </c>
      <c r="CN9" s="229">
        <f>IF(MONTH(CN$5)='Operating Inputs'!$I$169,1,0)</f>
        <v>1</v>
      </c>
      <c r="CO9" s="229">
        <f>IF(MONTH(CO$5)='Operating Inputs'!$I$169,1,0)</f>
        <v>0</v>
      </c>
      <c r="CP9" s="229">
        <f>IF(MONTH(CP$5)='Operating Inputs'!$I$169,1,0)</f>
        <v>0</v>
      </c>
      <c r="CQ9" s="229">
        <f>IF(MONTH(CQ$5)='Operating Inputs'!$I$169,1,0)</f>
        <v>0</v>
      </c>
      <c r="CR9" s="229">
        <f>IF(MONTH(CR$5)='Operating Inputs'!$I$169,1,0)</f>
        <v>0</v>
      </c>
      <c r="CS9" s="229">
        <f>IF(MONTH(CS$5)='Operating Inputs'!$I$169,1,0)</f>
        <v>0</v>
      </c>
      <c r="CT9" s="229">
        <f>IF(MONTH(CT$5)='Operating Inputs'!$I$169,1,0)</f>
        <v>0</v>
      </c>
      <c r="CU9" s="229">
        <f>IF(MONTH(CU$5)='Operating Inputs'!$I$169,1,0)</f>
        <v>0</v>
      </c>
      <c r="CV9" s="229">
        <f>IF(MONTH(CV$5)='Operating Inputs'!$I$169,1,0)</f>
        <v>0</v>
      </c>
      <c r="CW9" s="229">
        <f>IF(MONTH(CW$5)='Operating Inputs'!$I$169,1,0)</f>
        <v>0</v>
      </c>
      <c r="CX9" s="229">
        <f>IF(MONTH(CX$5)='Operating Inputs'!$I$169,1,0)</f>
        <v>0</v>
      </c>
      <c r="CY9" s="229">
        <f>IF(MONTH(CY$5)='Operating Inputs'!$I$169,1,0)</f>
        <v>0</v>
      </c>
      <c r="CZ9" s="229">
        <f>IF(MONTH(CZ$5)='Operating Inputs'!$I$169,1,0)</f>
        <v>1</v>
      </c>
      <c r="DA9" s="229">
        <f>IF(MONTH(DA$5)='Operating Inputs'!$I$169,1,0)</f>
        <v>0</v>
      </c>
      <c r="DB9" s="229">
        <f>IF(MONTH(DB$5)='Operating Inputs'!$I$169,1,0)</f>
        <v>0</v>
      </c>
      <c r="DC9" s="229">
        <f>IF(MONTH(DC$5)='Operating Inputs'!$I$169,1,0)</f>
        <v>0</v>
      </c>
      <c r="DD9" s="229">
        <f>IF(MONTH(DD$5)='Operating Inputs'!$I$169,1,0)</f>
        <v>0</v>
      </c>
      <c r="DE9" s="229">
        <f>IF(MONTH(DE$5)='Operating Inputs'!$I$169,1,0)</f>
        <v>0</v>
      </c>
      <c r="DF9" s="229">
        <f>IF(MONTH(DF$5)='Operating Inputs'!$I$169,1,0)</f>
        <v>0</v>
      </c>
      <c r="DG9" s="229">
        <f>IF(MONTH(DG$5)='Operating Inputs'!$I$169,1,0)</f>
        <v>0</v>
      </c>
      <c r="DH9" s="229">
        <f>IF(MONTH(DH$5)='Operating Inputs'!$I$169,1,0)</f>
        <v>0</v>
      </c>
      <c r="DI9" s="229">
        <f>IF(MONTH(DI$5)='Operating Inputs'!$I$169,1,0)</f>
        <v>0</v>
      </c>
      <c r="DJ9" s="229">
        <f>IF(MONTH(DJ$5)='Operating Inputs'!$I$169,1,0)</f>
        <v>0</v>
      </c>
      <c r="DK9" s="229">
        <f>IF(MONTH(DK$5)='Operating Inputs'!$I$169,1,0)</f>
        <v>0</v>
      </c>
      <c r="DL9" s="229">
        <f>IF(MONTH(DL$5)='Operating Inputs'!$I$169,1,0)</f>
        <v>1</v>
      </c>
      <c r="DM9" s="229">
        <f>IF(MONTH(DM$5)='Operating Inputs'!$I$169,1,0)</f>
        <v>0</v>
      </c>
      <c r="DN9" s="229">
        <f>IF(MONTH(DN$5)='Operating Inputs'!$I$169,1,0)</f>
        <v>0</v>
      </c>
      <c r="DO9" s="229">
        <f>IF(MONTH(DO$5)='Operating Inputs'!$I$169,1,0)</f>
        <v>0</v>
      </c>
      <c r="DP9" s="229">
        <f>IF(MONTH(DP$5)='Operating Inputs'!$I$169,1,0)</f>
        <v>0</v>
      </c>
      <c r="DQ9" s="229">
        <f>IF(MONTH(DQ$5)='Operating Inputs'!$I$169,1,0)</f>
        <v>0</v>
      </c>
      <c r="DR9" s="229">
        <f>IF(MONTH(DR$5)='Operating Inputs'!$I$169,1,0)</f>
        <v>0</v>
      </c>
      <c r="DS9" s="229">
        <f>IF(MONTH(DS$5)='Operating Inputs'!$I$169,1,0)</f>
        <v>0</v>
      </c>
      <c r="DT9" s="229">
        <f>IF(MONTH(DT$5)='Operating Inputs'!$I$169,1,0)</f>
        <v>0</v>
      </c>
      <c r="DU9" s="229">
        <f>IF(MONTH(DU$5)='Operating Inputs'!$I$169,1,0)</f>
        <v>0</v>
      </c>
      <c r="DV9" s="229">
        <f>IF(MONTH(DV$5)='Operating Inputs'!$I$169,1,0)</f>
        <v>0</v>
      </c>
      <c r="DW9" s="229">
        <f>IF(MONTH(DW$5)='Operating Inputs'!$I$169,1,0)</f>
        <v>0</v>
      </c>
      <c r="DX9" s="229">
        <f>IF(MONTH(DX$5)='Operating Inputs'!$I$169,1,0)</f>
        <v>1</v>
      </c>
      <c r="DY9" s="229">
        <f>IF(MONTH(DY$5)='Operating Inputs'!$I$169,1,0)</f>
        <v>0</v>
      </c>
      <c r="DZ9" s="229">
        <f>IF(MONTH(DZ$5)='Operating Inputs'!$I$169,1,0)</f>
        <v>0</v>
      </c>
      <c r="EA9" s="229">
        <f>IF(MONTH(EA$5)='Operating Inputs'!$I$169,1,0)</f>
        <v>0</v>
      </c>
      <c r="EB9" s="229">
        <f>IF(MONTH(EB$5)='Operating Inputs'!$I$169,1,0)</f>
        <v>0</v>
      </c>
      <c r="EC9" s="229">
        <f>IF(MONTH(EC$5)='Operating Inputs'!$I$169,1,0)</f>
        <v>0</v>
      </c>
      <c r="ED9" s="229">
        <f>IF(MONTH(ED$5)='Operating Inputs'!$I$169,1,0)</f>
        <v>0</v>
      </c>
      <c r="EE9" s="229">
        <f>IF(MONTH(EE$5)='Operating Inputs'!$I$169,1,0)</f>
        <v>0</v>
      </c>
      <c r="EF9" s="229">
        <f>IF(MONTH(EF$5)='Operating Inputs'!$I$169,1,0)</f>
        <v>0</v>
      </c>
    </row>
    <row r="10" spans="1:136" x14ac:dyDescent="0.3">
      <c r="A10" s="229" t="s">
        <v>2271</v>
      </c>
      <c r="D10" s="198">
        <f>IF(AND(D$9=1,D$5&gt;=DateFinalUnits),VLOOKUP(IF(YEAR(D$5)&gt;'General Inputs'!$F$42,'General Inputs'!$F$42,YEAR(D$5)),'General Inputs'!$F$36:$L$42,7,FALSE),0)</f>
        <v>0</v>
      </c>
      <c r="E10" s="198">
        <f>IF(AND(E$9=1,E$5&gt;=DateFinalUnits),VLOOKUP(IF(YEAR(E$5)&gt;'General Inputs'!$F$42,'General Inputs'!$F$42,YEAR(E$5)),'General Inputs'!$F$36:$L$42,7,FALSE),0)</f>
        <v>0</v>
      </c>
      <c r="F10" s="198">
        <f>IF(AND(F$9=1,F$5&gt;=DateFinalUnits),VLOOKUP(IF(YEAR(F$5)&gt;'General Inputs'!$F$42,'General Inputs'!$F$42,YEAR(F$5)),'General Inputs'!$F$36:$L$42,7,FALSE),0)</f>
        <v>0</v>
      </c>
      <c r="G10" s="198">
        <f>IF(AND(G$9=1,G$5&gt;=DateFinalUnits),VLOOKUP(IF(YEAR(G$5)&gt;'General Inputs'!$F$42,'General Inputs'!$F$42,YEAR(G$5)),'General Inputs'!$F$36:$L$42,7,FALSE),0)</f>
        <v>0</v>
      </c>
      <c r="H10" s="198">
        <f>IF(AND(H$9=1,H$5&gt;=DateFinalUnits),VLOOKUP(IF(YEAR(H$5)&gt;'General Inputs'!$F$42,'General Inputs'!$F$42,YEAR(H$5)),'General Inputs'!$F$36:$L$42,7,FALSE),0)</f>
        <v>0</v>
      </c>
      <c r="I10" s="198">
        <f>IF(AND(I$9=1,I$5&gt;=DateFinalUnits),VLOOKUP(IF(YEAR(I$5)&gt;'General Inputs'!$F$42,'General Inputs'!$F$42,YEAR(I$5)),'General Inputs'!$F$36:$L$42,7,FALSE),0)</f>
        <v>0</v>
      </c>
      <c r="J10" s="198">
        <f>IF(AND(J$9=1,J$5&gt;=DateFinalUnits),VLOOKUP(IF(YEAR(J$5)&gt;'General Inputs'!$F$42,'General Inputs'!$F$42,YEAR(J$5)),'General Inputs'!$F$36:$L$42,7,FALSE),0)</f>
        <v>0</v>
      </c>
      <c r="K10" s="198">
        <f>IF(AND(K$9=1,K$5&gt;=DateFinalUnits),VLOOKUP(IF(YEAR(K$5)&gt;'General Inputs'!$F$42,'General Inputs'!$F$42,YEAR(K$5)),'General Inputs'!$F$36:$L$42,7,FALSE),0)</f>
        <v>0</v>
      </c>
      <c r="L10" s="198">
        <f>IF(AND(L$9=1,L$5&gt;=DateFinalUnits),VLOOKUP(IF(YEAR(L$5)&gt;'General Inputs'!$F$42,'General Inputs'!$F$42,YEAR(L$5)),'General Inputs'!$F$36:$L$42,7,FALSE),0)</f>
        <v>0</v>
      </c>
      <c r="M10" s="198">
        <f>IF(AND(M$9=1,M$5&gt;=DateFinalUnits),VLOOKUP(IF(YEAR(M$5)&gt;'General Inputs'!$F$42,'General Inputs'!$F$42,YEAR(M$5)),'General Inputs'!$F$36:$L$42,7,FALSE),0)</f>
        <v>0</v>
      </c>
      <c r="N10" s="198">
        <f>IF(AND(N$9=1,N$5&gt;=DateFinalUnits),VLOOKUP(IF(YEAR(N$5)&gt;'General Inputs'!$F$42,'General Inputs'!$F$42,YEAR(N$5)),'General Inputs'!$F$36:$L$42,7,FALSE),0)</f>
        <v>0</v>
      </c>
      <c r="O10" s="198">
        <f>IF(AND(O$9=1,O$5&gt;=DateFinalUnits),VLOOKUP(IF(YEAR(O$5)&gt;'General Inputs'!$F$42,'General Inputs'!$F$42,YEAR(O$5)),'General Inputs'!$F$36:$L$42,7,FALSE),0)</f>
        <v>0</v>
      </c>
      <c r="P10" s="198">
        <f>IF(AND(P$9=1,P$5&gt;=DateFinalUnits),VLOOKUP(IF(YEAR(P$5)&gt;'General Inputs'!$F$42,'General Inputs'!$F$42,YEAR(P$5)),'General Inputs'!$F$36:$L$42,7,FALSE),0)</f>
        <v>0</v>
      </c>
      <c r="Q10" s="198">
        <f>IF(AND(Q$9=1,Q$5&gt;=DateFinalUnits),VLOOKUP(IF(YEAR(Q$5)&gt;'General Inputs'!$F$42,'General Inputs'!$F$42,YEAR(Q$5)),'General Inputs'!$F$36:$L$42,7,FALSE),0)</f>
        <v>0</v>
      </c>
      <c r="R10" s="198">
        <f>IF(AND(R$9=1,R$5&gt;=DateFinalUnits),VLOOKUP(IF(YEAR(R$5)&gt;'General Inputs'!$F$42,'General Inputs'!$F$42,YEAR(R$5)),'General Inputs'!$F$36:$L$42,7,FALSE),0)</f>
        <v>0</v>
      </c>
      <c r="S10" s="198">
        <f>IF(AND(S$9=1,S$5&gt;=DateFinalUnits),VLOOKUP(IF(YEAR(S$5)&gt;'General Inputs'!$F$42,'General Inputs'!$F$42,YEAR(S$5)),'General Inputs'!$F$36:$L$42,7,FALSE),0)</f>
        <v>0</v>
      </c>
      <c r="T10" s="198">
        <f>IF(AND(T$9=1,T$5&gt;=DateFinalUnits),VLOOKUP(IF(YEAR(T$5)&gt;'General Inputs'!$F$42,'General Inputs'!$F$42,YEAR(T$5)),'General Inputs'!$F$36:$L$42,7,FALSE),0)</f>
        <v>0</v>
      </c>
      <c r="U10" s="198">
        <f>IF(AND(U$9=1,U$5&gt;=DateFinalUnits),VLOOKUP(IF(YEAR(U$5)&gt;'General Inputs'!$F$42,'General Inputs'!$F$42,YEAR(U$5)),'General Inputs'!$F$36:$L$42,7,FALSE),0)</f>
        <v>0</v>
      </c>
      <c r="V10" s="198">
        <f>IF(AND(V$9=1,V$5&gt;=DateFinalUnits),VLOOKUP(IF(YEAR(V$5)&gt;'General Inputs'!$F$42,'General Inputs'!$F$42,YEAR(V$5)),'General Inputs'!$F$36:$L$42,7,FALSE),0)</f>
        <v>0</v>
      </c>
      <c r="W10" s="198">
        <f>IF(AND(W$9=1,W$5&gt;=DateFinalUnits),VLOOKUP(IF(YEAR(W$5)&gt;'General Inputs'!$F$42,'General Inputs'!$F$42,YEAR(W$5)),'General Inputs'!$F$36:$L$42,7,FALSE),0)</f>
        <v>0</v>
      </c>
      <c r="X10" s="198">
        <f>IF(AND(X$9=1,X$5&gt;=DateFinalUnits),VLOOKUP(IF(YEAR(X$5)&gt;'General Inputs'!$F$42,'General Inputs'!$F$42,YEAR(X$5)),'General Inputs'!$F$36:$L$42,7,FALSE),0)</f>
        <v>0</v>
      </c>
      <c r="Y10" s="198">
        <f>IF(AND(Y$9=1,Y$5&gt;=DateFinalUnits),VLOOKUP(IF(YEAR(Y$5)&gt;'General Inputs'!$F$42,'General Inputs'!$F$42,YEAR(Y$5)),'General Inputs'!$F$36:$L$42,7,FALSE),0)</f>
        <v>0</v>
      </c>
      <c r="Z10" s="198">
        <f>IF(AND(Z$9=1,Z$5&gt;=DateFinalUnits),VLOOKUP(IF(YEAR(Z$5)&gt;'General Inputs'!$F$42,'General Inputs'!$F$42,YEAR(Z$5)),'General Inputs'!$F$36:$L$42,7,FALSE),0)</f>
        <v>0</v>
      </c>
      <c r="AA10" s="198">
        <f>IF(AND(AA$9=1,AA$5&gt;=DateFinalUnits),VLOOKUP(IF(YEAR(AA$5)&gt;'General Inputs'!$F$42,'General Inputs'!$F$42,YEAR(AA$5)),'General Inputs'!$F$36:$L$42,7,FALSE),0)</f>
        <v>0</v>
      </c>
      <c r="AB10" s="198">
        <f>IF(AND(AB$9=1,AB$5&gt;=DateFinalUnits),VLOOKUP(IF(YEAR(AB$5)&gt;'General Inputs'!$F$42,'General Inputs'!$F$42,YEAR(AB$5)),'General Inputs'!$F$36:$L$42,7,FALSE),0)</f>
        <v>0</v>
      </c>
      <c r="AC10" s="198">
        <f>IF(AND(AC$9=1,AC$5&gt;=DateFinalUnits),VLOOKUP(IF(YEAR(AC$5)&gt;'General Inputs'!$F$42,'General Inputs'!$F$42,YEAR(AC$5)),'General Inputs'!$F$36:$L$42,7,FALSE),0)</f>
        <v>0</v>
      </c>
      <c r="AD10" s="198">
        <f>IF(AND(AD$9=1,AD$5&gt;=DateFinalUnits),VLOOKUP(IF(YEAR(AD$5)&gt;'General Inputs'!$F$42,'General Inputs'!$F$42,YEAR(AD$5)),'General Inputs'!$F$36:$L$42,7,FALSE),0)</f>
        <v>0</v>
      </c>
      <c r="AE10" s="198">
        <f>IF(AND(AE$9=1,AE$5&gt;=DateFinalUnits),VLOOKUP(IF(YEAR(AE$5)&gt;'General Inputs'!$F$42,'General Inputs'!$F$42,YEAR(AE$5)),'General Inputs'!$F$36:$L$42,7,FALSE),0)</f>
        <v>0</v>
      </c>
      <c r="AF10" s="198">
        <f>IF(AND(AF$9=1,AF$5&gt;=DateFinalUnits),VLOOKUP(IF(YEAR(AF$5)&gt;'General Inputs'!$F$42,'General Inputs'!$F$42,YEAR(AF$5)),'General Inputs'!$F$36:$L$42,7,FALSE),0)</f>
        <v>0.03</v>
      </c>
      <c r="AG10" s="198">
        <f>IF(AND(AG$9=1,AG$5&gt;=DateFinalUnits),VLOOKUP(IF(YEAR(AG$5)&gt;'General Inputs'!$F$42,'General Inputs'!$F$42,YEAR(AG$5)),'General Inputs'!$F$36:$L$42,7,FALSE),0)</f>
        <v>0</v>
      </c>
      <c r="AH10" s="198">
        <f>IF(AND(AH$9=1,AH$5&gt;=DateFinalUnits),VLOOKUP(IF(YEAR(AH$5)&gt;'General Inputs'!$F$42,'General Inputs'!$F$42,YEAR(AH$5)),'General Inputs'!$F$36:$L$42,7,FALSE),0)</f>
        <v>0</v>
      </c>
      <c r="AI10" s="198">
        <f>IF(AND(AI$9=1,AI$5&gt;=DateFinalUnits),VLOOKUP(IF(YEAR(AI$5)&gt;'General Inputs'!$F$42,'General Inputs'!$F$42,YEAR(AI$5)),'General Inputs'!$F$36:$L$42,7,FALSE),0)</f>
        <v>0</v>
      </c>
      <c r="AJ10" s="198">
        <f>IF(AND(AJ$9=1,AJ$5&gt;=DateFinalUnits),VLOOKUP(IF(YEAR(AJ$5)&gt;'General Inputs'!$F$42,'General Inputs'!$F$42,YEAR(AJ$5)),'General Inputs'!$F$36:$L$42,7,FALSE),0)</f>
        <v>0</v>
      </c>
      <c r="AK10" s="198">
        <f>IF(AND(AK$9=1,AK$5&gt;=DateFinalUnits),VLOOKUP(IF(YEAR(AK$5)&gt;'General Inputs'!$F$42,'General Inputs'!$F$42,YEAR(AK$5)),'General Inputs'!$F$36:$L$42,7,FALSE),0)</f>
        <v>0</v>
      </c>
      <c r="AL10" s="198">
        <f>IF(AND(AL$9=1,AL$5&gt;=DateFinalUnits),VLOOKUP(IF(YEAR(AL$5)&gt;'General Inputs'!$F$42,'General Inputs'!$F$42,YEAR(AL$5)),'General Inputs'!$F$36:$L$42,7,FALSE),0)</f>
        <v>0</v>
      </c>
      <c r="AM10" s="198">
        <f>IF(AND(AM$9=1,AM$5&gt;=DateFinalUnits),VLOOKUP(IF(YEAR(AM$5)&gt;'General Inputs'!$F$42,'General Inputs'!$F$42,YEAR(AM$5)),'General Inputs'!$F$36:$L$42,7,FALSE),0)</f>
        <v>0</v>
      </c>
      <c r="AN10" s="198">
        <f>IF(AND(AN$9=1,AN$5&gt;=DateFinalUnits),VLOOKUP(IF(YEAR(AN$5)&gt;'General Inputs'!$F$42,'General Inputs'!$F$42,YEAR(AN$5)),'General Inputs'!$F$36:$L$42,7,FALSE),0)</f>
        <v>0</v>
      </c>
      <c r="AO10" s="198">
        <f>IF(AND(AO$9=1,AO$5&gt;=DateFinalUnits),VLOOKUP(IF(YEAR(AO$5)&gt;'General Inputs'!$F$42,'General Inputs'!$F$42,YEAR(AO$5)),'General Inputs'!$F$36:$L$42,7,FALSE),0)</f>
        <v>0</v>
      </c>
      <c r="AP10" s="198">
        <f>IF(AND(AP$9=1,AP$5&gt;=DateFinalUnits),VLOOKUP(IF(YEAR(AP$5)&gt;'General Inputs'!$F$42,'General Inputs'!$F$42,YEAR(AP$5)),'General Inputs'!$F$36:$L$42,7,FALSE),0)</f>
        <v>0</v>
      </c>
      <c r="AQ10" s="198">
        <f>IF(AND(AQ$9=1,AQ$5&gt;=DateFinalUnits),VLOOKUP(IF(YEAR(AQ$5)&gt;'General Inputs'!$F$42,'General Inputs'!$F$42,YEAR(AQ$5)),'General Inputs'!$F$36:$L$42,7,FALSE),0)</f>
        <v>0</v>
      </c>
      <c r="AR10" s="198">
        <f>IF(AND(AR$9=1,AR$5&gt;=DateFinalUnits),VLOOKUP(IF(YEAR(AR$5)&gt;'General Inputs'!$F$42,'General Inputs'!$F$42,YEAR(AR$5)),'General Inputs'!$F$36:$L$42,7,FALSE),0)</f>
        <v>0.03</v>
      </c>
      <c r="AS10" s="198">
        <f>IF(AND(AS$9=1,AS$5&gt;=DateFinalUnits),VLOOKUP(IF(YEAR(AS$5)&gt;'General Inputs'!$F$42,'General Inputs'!$F$42,YEAR(AS$5)),'General Inputs'!$F$36:$L$42,7,FALSE),0)</f>
        <v>0</v>
      </c>
      <c r="AT10" s="198">
        <f>IF(AND(AT$9=1,AT$5&gt;=DateFinalUnits),VLOOKUP(IF(YEAR(AT$5)&gt;'General Inputs'!$F$42,'General Inputs'!$F$42,YEAR(AT$5)),'General Inputs'!$F$36:$L$42,7,FALSE),0)</f>
        <v>0</v>
      </c>
      <c r="AU10" s="198">
        <f>IF(AND(AU$9=1,AU$5&gt;=DateFinalUnits),VLOOKUP(IF(YEAR(AU$5)&gt;'General Inputs'!$F$42,'General Inputs'!$F$42,YEAR(AU$5)),'General Inputs'!$F$36:$L$42,7,FALSE),0)</f>
        <v>0</v>
      </c>
      <c r="AV10" s="198">
        <f>IF(AND(AV$9=1,AV$5&gt;=DateFinalUnits),VLOOKUP(IF(YEAR(AV$5)&gt;'General Inputs'!$F$42,'General Inputs'!$F$42,YEAR(AV$5)),'General Inputs'!$F$36:$L$42,7,FALSE),0)</f>
        <v>0</v>
      </c>
      <c r="AW10" s="198">
        <f>IF(AND(AW$9=1,AW$5&gt;=DateFinalUnits),VLOOKUP(IF(YEAR(AW$5)&gt;'General Inputs'!$F$42,'General Inputs'!$F$42,YEAR(AW$5)),'General Inputs'!$F$36:$L$42,7,FALSE),0)</f>
        <v>0</v>
      </c>
      <c r="AX10" s="198">
        <f>IF(AND(AX$9=1,AX$5&gt;=DateFinalUnits),VLOOKUP(IF(YEAR(AX$5)&gt;'General Inputs'!$F$42,'General Inputs'!$F$42,YEAR(AX$5)),'General Inputs'!$F$36:$L$42,7,FALSE),0)</f>
        <v>0</v>
      </c>
      <c r="AY10" s="198">
        <f>IF(AND(AY$9=1,AY$5&gt;=DateFinalUnits),VLOOKUP(IF(YEAR(AY$5)&gt;'General Inputs'!$F$42,'General Inputs'!$F$42,YEAR(AY$5)),'General Inputs'!$F$36:$L$42,7,FALSE),0)</f>
        <v>0</v>
      </c>
      <c r="AZ10" s="198">
        <f>IF(AND(AZ$9=1,AZ$5&gt;=DateFinalUnits),VLOOKUP(IF(YEAR(AZ$5)&gt;'General Inputs'!$F$42,'General Inputs'!$F$42,YEAR(AZ$5)),'General Inputs'!$F$36:$L$42,7,FALSE),0)</f>
        <v>0</v>
      </c>
      <c r="BA10" s="198">
        <f>IF(AND(BA$9=1,BA$5&gt;=DateFinalUnits),VLOOKUP(IF(YEAR(BA$5)&gt;'General Inputs'!$F$42,'General Inputs'!$F$42,YEAR(BA$5)),'General Inputs'!$F$36:$L$42,7,FALSE),0)</f>
        <v>0</v>
      </c>
      <c r="BB10" s="198">
        <f>IF(AND(BB$9=1,BB$5&gt;=DateFinalUnits),VLOOKUP(IF(YEAR(BB$5)&gt;'General Inputs'!$F$42,'General Inputs'!$F$42,YEAR(BB$5)),'General Inputs'!$F$36:$L$42,7,FALSE),0)</f>
        <v>0</v>
      </c>
      <c r="BC10" s="198">
        <f>IF(AND(BC$9=1,BC$5&gt;=DateFinalUnits),VLOOKUP(IF(YEAR(BC$5)&gt;'General Inputs'!$F$42,'General Inputs'!$F$42,YEAR(BC$5)),'General Inputs'!$F$36:$L$42,7,FALSE),0)</f>
        <v>0</v>
      </c>
      <c r="BD10" s="198">
        <f>IF(AND(BD$9=1,BD$5&gt;=DateFinalUnits),VLOOKUP(IF(YEAR(BD$5)&gt;'General Inputs'!$F$42,'General Inputs'!$F$42,YEAR(BD$5)),'General Inputs'!$F$36:$L$42,7,FALSE),0)</f>
        <v>0.03</v>
      </c>
      <c r="BE10" s="198">
        <f>IF(AND(BE$9=1,BE$5&gt;=DateFinalUnits),VLOOKUP(IF(YEAR(BE$5)&gt;'General Inputs'!$F$42,'General Inputs'!$F$42,YEAR(BE$5)),'General Inputs'!$F$36:$L$42,7,FALSE),0)</f>
        <v>0</v>
      </c>
      <c r="BF10" s="198">
        <f>IF(AND(BF$9=1,BF$5&gt;=DateFinalUnits),VLOOKUP(IF(YEAR(BF$5)&gt;'General Inputs'!$F$42,'General Inputs'!$F$42,YEAR(BF$5)),'General Inputs'!$F$36:$L$42,7,FALSE),0)</f>
        <v>0</v>
      </c>
      <c r="BG10" s="198">
        <f>IF(AND(BG$9=1,BG$5&gt;=DateFinalUnits),VLOOKUP(IF(YEAR(BG$5)&gt;'General Inputs'!$F$42,'General Inputs'!$F$42,YEAR(BG$5)),'General Inputs'!$F$36:$L$42,7,FALSE),0)</f>
        <v>0</v>
      </c>
      <c r="BH10" s="198">
        <f>IF(AND(BH$9=1,BH$5&gt;=DateFinalUnits),VLOOKUP(IF(YEAR(BH$5)&gt;'General Inputs'!$F$42,'General Inputs'!$F$42,YEAR(BH$5)),'General Inputs'!$F$36:$L$42,7,FALSE),0)</f>
        <v>0</v>
      </c>
      <c r="BI10" s="198">
        <f>IF(AND(BI$9=1,BI$5&gt;=DateFinalUnits),VLOOKUP(IF(YEAR(BI$5)&gt;'General Inputs'!$F$42,'General Inputs'!$F$42,YEAR(BI$5)),'General Inputs'!$F$36:$L$42,7,FALSE),0)</f>
        <v>0</v>
      </c>
      <c r="BJ10" s="198">
        <f>IF(AND(BJ$9=1,BJ$5&gt;=DateFinalUnits),VLOOKUP(IF(YEAR(BJ$5)&gt;'General Inputs'!$F$42,'General Inputs'!$F$42,YEAR(BJ$5)),'General Inputs'!$F$36:$L$42,7,FALSE),0)</f>
        <v>0</v>
      </c>
      <c r="BK10" s="198">
        <f>IF(AND(BK$9=1,BK$5&gt;=DateFinalUnits),VLOOKUP(IF(YEAR(BK$5)&gt;'General Inputs'!$F$42,'General Inputs'!$F$42,YEAR(BK$5)),'General Inputs'!$F$36:$L$42,7,FALSE),0)</f>
        <v>0</v>
      </c>
      <c r="BL10" s="198">
        <f>IF(AND(BL$9=1,BL$5&gt;=DateFinalUnits),VLOOKUP(IF(YEAR(BL$5)&gt;'General Inputs'!$F$42,'General Inputs'!$F$42,YEAR(BL$5)),'General Inputs'!$F$36:$L$42,7,FALSE),0)</f>
        <v>0</v>
      </c>
      <c r="BM10" s="198">
        <f>IF(AND(BM$9=1,BM$5&gt;=DateFinalUnits),VLOOKUP(IF(YEAR(BM$5)&gt;'General Inputs'!$F$42,'General Inputs'!$F$42,YEAR(BM$5)),'General Inputs'!$F$36:$L$42,7,FALSE),0)</f>
        <v>0</v>
      </c>
      <c r="BN10" s="198">
        <f>IF(AND(BN$9=1,BN$5&gt;=DateFinalUnits),VLOOKUP(IF(YEAR(BN$5)&gt;'General Inputs'!$F$42,'General Inputs'!$F$42,YEAR(BN$5)),'General Inputs'!$F$36:$L$42,7,FALSE),0)</f>
        <v>0</v>
      </c>
      <c r="BO10" s="198">
        <f>IF(AND(BO$9=1,BO$5&gt;=DateFinalUnits),VLOOKUP(IF(YEAR(BO$5)&gt;'General Inputs'!$F$42,'General Inputs'!$F$42,YEAR(BO$5)),'General Inputs'!$F$36:$L$42,7,FALSE),0)</f>
        <v>0</v>
      </c>
      <c r="BP10" s="198">
        <f>IF(AND(BP$9=1,BP$5&gt;=DateFinalUnits),VLOOKUP(IF(YEAR(BP$5)&gt;'General Inputs'!$F$42,'General Inputs'!$F$42,YEAR(BP$5)),'General Inputs'!$F$36:$L$42,7,FALSE),0)</f>
        <v>0.03</v>
      </c>
      <c r="BQ10" s="198">
        <f>IF(AND(BQ$9=1,BQ$5&gt;=DateFinalUnits),VLOOKUP(IF(YEAR(BQ$5)&gt;'General Inputs'!$F$42,'General Inputs'!$F$42,YEAR(BQ$5)),'General Inputs'!$F$36:$L$42,7,FALSE),0)</f>
        <v>0</v>
      </c>
      <c r="BR10" s="198">
        <f>IF(AND(BR$9=1,BR$5&gt;=DateFinalUnits),VLOOKUP(IF(YEAR(BR$5)&gt;'General Inputs'!$F$42,'General Inputs'!$F$42,YEAR(BR$5)),'General Inputs'!$F$36:$L$42,7,FALSE),0)</f>
        <v>0</v>
      </c>
      <c r="BS10" s="198">
        <f>IF(AND(BS$9=1,BS$5&gt;=DateFinalUnits),VLOOKUP(IF(YEAR(BS$5)&gt;'General Inputs'!$F$42,'General Inputs'!$F$42,YEAR(BS$5)),'General Inputs'!$F$36:$L$42,7,FALSE),0)</f>
        <v>0</v>
      </c>
      <c r="BT10" s="198">
        <f>IF(AND(BT$9=1,BT$5&gt;=DateFinalUnits),VLOOKUP(IF(YEAR(BT$5)&gt;'General Inputs'!$F$42,'General Inputs'!$F$42,YEAR(BT$5)),'General Inputs'!$F$36:$L$42,7,FALSE),0)</f>
        <v>0</v>
      </c>
      <c r="BU10" s="198">
        <f>IF(AND(BU$9=1,BU$5&gt;=DateFinalUnits),VLOOKUP(IF(YEAR(BU$5)&gt;'General Inputs'!$F$42,'General Inputs'!$F$42,YEAR(BU$5)),'General Inputs'!$F$36:$L$42,7,FALSE),0)</f>
        <v>0</v>
      </c>
      <c r="BV10" s="198">
        <f>IF(AND(BV$9=1,BV$5&gt;=DateFinalUnits),VLOOKUP(IF(YEAR(BV$5)&gt;'General Inputs'!$F$42,'General Inputs'!$F$42,YEAR(BV$5)),'General Inputs'!$F$36:$L$42,7,FALSE),0)</f>
        <v>0</v>
      </c>
      <c r="BW10" s="198">
        <f>IF(AND(BW$9=1,BW$5&gt;=DateFinalUnits),VLOOKUP(IF(YEAR(BW$5)&gt;'General Inputs'!$F$42,'General Inputs'!$F$42,YEAR(BW$5)),'General Inputs'!$F$36:$L$42,7,FALSE),0)</f>
        <v>0</v>
      </c>
      <c r="BX10" s="198">
        <f>IF(AND(BX$9=1,BX$5&gt;=DateFinalUnits),VLOOKUP(IF(YEAR(BX$5)&gt;'General Inputs'!$F$42,'General Inputs'!$F$42,YEAR(BX$5)),'General Inputs'!$F$36:$L$42,7,FALSE),0)</f>
        <v>0</v>
      </c>
      <c r="BY10" s="198">
        <f>IF(AND(BY$9=1,BY$5&gt;=DateFinalUnits),VLOOKUP(IF(YEAR(BY$5)&gt;'General Inputs'!$F$42,'General Inputs'!$F$42,YEAR(BY$5)),'General Inputs'!$F$36:$L$42,7,FALSE),0)</f>
        <v>0</v>
      </c>
      <c r="BZ10" s="198">
        <f>IF(AND(BZ$9=1,BZ$5&gt;=DateFinalUnits),VLOOKUP(IF(YEAR(BZ$5)&gt;'General Inputs'!$F$42,'General Inputs'!$F$42,YEAR(BZ$5)),'General Inputs'!$F$36:$L$42,7,FALSE),0)</f>
        <v>0</v>
      </c>
      <c r="CA10" s="198">
        <f>IF(AND(CA$9=1,CA$5&gt;=DateFinalUnits),VLOOKUP(IF(YEAR(CA$5)&gt;'General Inputs'!$F$42,'General Inputs'!$F$42,YEAR(CA$5)),'General Inputs'!$F$36:$L$42,7,FALSE),0)</f>
        <v>0</v>
      </c>
      <c r="CB10" s="198">
        <f>IF(AND(CB$9=1,CB$5&gt;=DateFinalUnits),VLOOKUP(IF(YEAR(CB$5)&gt;'General Inputs'!$F$42,'General Inputs'!$F$42,YEAR(CB$5)),'General Inputs'!$F$36:$L$42,7,FALSE),0)</f>
        <v>0.03</v>
      </c>
      <c r="CC10" s="198">
        <f>IF(AND(CC$9=1,CC$5&gt;=DateFinalUnits),VLOOKUP(IF(YEAR(CC$5)&gt;'General Inputs'!$F$42,'General Inputs'!$F$42,YEAR(CC$5)),'General Inputs'!$F$36:$L$42,7,FALSE),0)</f>
        <v>0</v>
      </c>
      <c r="CD10" s="198">
        <f>IF(AND(CD$9=1,CD$5&gt;=DateFinalUnits),VLOOKUP(IF(YEAR(CD$5)&gt;'General Inputs'!$F$42,'General Inputs'!$F$42,YEAR(CD$5)),'General Inputs'!$F$36:$L$42,7,FALSE),0)</f>
        <v>0</v>
      </c>
      <c r="CE10" s="198">
        <f>IF(AND(CE$9=1,CE$5&gt;=DateFinalUnits),VLOOKUP(IF(YEAR(CE$5)&gt;'General Inputs'!$F$42,'General Inputs'!$F$42,YEAR(CE$5)),'General Inputs'!$F$36:$L$42,7,FALSE),0)</f>
        <v>0</v>
      </c>
      <c r="CF10" s="198">
        <f>IF(AND(CF$9=1,CF$5&gt;=DateFinalUnits),VLOOKUP(IF(YEAR(CF$5)&gt;'General Inputs'!$F$42,'General Inputs'!$F$42,YEAR(CF$5)),'General Inputs'!$F$36:$L$42,7,FALSE),0)</f>
        <v>0</v>
      </c>
      <c r="CG10" s="198">
        <f>IF(AND(CG$9=1,CG$5&gt;=DateFinalUnits),VLOOKUP(IF(YEAR(CG$5)&gt;'General Inputs'!$F$42,'General Inputs'!$F$42,YEAR(CG$5)),'General Inputs'!$F$36:$L$42,7,FALSE),0)</f>
        <v>0</v>
      </c>
      <c r="CH10" s="198">
        <f>IF(AND(CH$9=1,CH$5&gt;=DateFinalUnits),VLOOKUP(IF(YEAR(CH$5)&gt;'General Inputs'!$F$42,'General Inputs'!$F$42,YEAR(CH$5)),'General Inputs'!$F$36:$L$42,7,FALSE),0)</f>
        <v>0</v>
      </c>
      <c r="CI10" s="198">
        <f>IF(AND(CI$9=1,CI$5&gt;=DateFinalUnits),VLOOKUP(IF(YEAR(CI$5)&gt;'General Inputs'!$F$42,'General Inputs'!$F$42,YEAR(CI$5)),'General Inputs'!$F$36:$L$42,7,FALSE),0)</f>
        <v>0</v>
      </c>
      <c r="CJ10" s="198">
        <f>IF(AND(CJ$9=1,CJ$5&gt;=DateFinalUnits),VLOOKUP(IF(YEAR(CJ$5)&gt;'General Inputs'!$F$42,'General Inputs'!$F$42,YEAR(CJ$5)),'General Inputs'!$F$36:$L$42,7,FALSE),0)</f>
        <v>0</v>
      </c>
      <c r="CK10" s="198">
        <f>IF(AND(CK$9=1,CK$5&gt;=DateFinalUnits),VLOOKUP(IF(YEAR(CK$5)&gt;'General Inputs'!$F$42,'General Inputs'!$F$42,YEAR(CK$5)),'General Inputs'!$F$36:$L$42,7,FALSE),0)</f>
        <v>0</v>
      </c>
      <c r="CL10" s="198">
        <f>IF(AND(CL$9=1,CL$5&gt;=DateFinalUnits),VLOOKUP(IF(YEAR(CL$5)&gt;'General Inputs'!$F$42,'General Inputs'!$F$42,YEAR(CL$5)),'General Inputs'!$F$36:$L$42,7,FALSE),0)</f>
        <v>0</v>
      </c>
      <c r="CM10" s="198">
        <f>IF(AND(CM$9=1,CM$5&gt;=DateFinalUnits),VLOOKUP(IF(YEAR(CM$5)&gt;'General Inputs'!$F$42,'General Inputs'!$F$42,YEAR(CM$5)),'General Inputs'!$F$36:$L$42,7,FALSE),0)</f>
        <v>0</v>
      </c>
      <c r="CN10" s="198">
        <f>IF(AND(CN$9=1,CN$5&gt;=DateFinalUnits),VLOOKUP(IF(YEAR(CN$5)&gt;'General Inputs'!$F$42,'General Inputs'!$F$42,YEAR(CN$5)),'General Inputs'!$F$36:$L$42,7,FALSE),0)</f>
        <v>0.03</v>
      </c>
      <c r="CO10" s="198">
        <f>IF(AND(CO$9=1,CO$5&gt;=DateFinalUnits),VLOOKUP(IF(YEAR(CO$5)&gt;'General Inputs'!$F$42,'General Inputs'!$F$42,YEAR(CO$5)),'General Inputs'!$F$36:$L$42,7,FALSE),0)</f>
        <v>0</v>
      </c>
      <c r="CP10" s="198">
        <f>IF(AND(CP$9=1,CP$5&gt;=DateFinalUnits),VLOOKUP(IF(YEAR(CP$5)&gt;'General Inputs'!$F$42,'General Inputs'!$F$42,YEAR(CP$5)),'General Inputs'!$F$36:$L$42,7,FALSE),0)</f>
        <v>0</v>
      </c>
      <c r="CQ10" s="198">
        <f>IF(AND(CQ$9=1,CQ$5&gt;=DateFinalUnits),VLOOKUP(IF(YEAR(CQ$5)&gt;'General Inputs'!$F$42,'General Inputs'!$F$42,YEAR(CQ$5)),'General Inputs'!$F$36:$L$42,7,FALSE),0)</f>
        <v>0</v>
      </c>
      <c r="CR10" s="198">
        <f>IF(AND(CR$9=1,CR$5&gt;=DateFinalUnits),VLOOKUP(IF(YEAR(CR$5)&gt;'General Inputs'!$F$42,'General Inputs'!$F$42,YEAR(CR$5)),'General Inputs'!$F$36:$L$42,7,FALSE),0)</f>
        <v>0</v>
      </c>
      <c r="CS10" s="198">
        <f>IF(AND(CS$9=1,CS$5&gt;=DateFinalUnits),VLOOKUP(IF(YEAR(CS$5)&gt;'General Inputs'!$F$42,'General Inputs'!$F$42,YEAR(CS$5)),'General Inputs'!$F$36:$L$42,7,FALSE),0)</f>
        <v>0</v>
      </c>
      <c r="CT10" s="198">
        <f>IF(AND(CT$9=1,CT$5&gt;=DateFinalUnits),VLOOKUP(IF(YEAR(CT$5)&gt;'General Inputs'!$F$42,'General Inputs'!$F$42,YEAR(CT$5)),'General Inputs'!$F$36:$L$42,7,FALSE),0)</f>
        <v>0</v>
      </c>
      <c r="CU10" s="198">
        <f>IF(AND(CU$9=1,CU$5&gt;=DateFinalUnits),VLOOKUP(IF(YEAR(CU$5)&gt;'General Inputs'!$F$42,'General Inputs'!$F$42,YEAR(CU$5)),'General Inputs'!$F$36:$L$42,7,FALSE),0)</f>
        <v>0</v>
      </c>
      <c r="CV10" s="198">
        <f>IF(AND(CV$9=1,CV$5&gt;=DateFinalUnits),VLOOKUP(IF(YEAR(CV$5)&gt;'General Inputs'!$F$42,'General Inputs'!$F$42,YEAR(CV$5)),'General Inputs'!$F$36:$L$42,7,FALSE),0)</f>
        <v>0</v>
      </c>
      <c r="CW10" s="198">
        <f>IF(AND(CW$9=1,CW$5&gt;=DateFinalUnits),VLOOKUP(IF(YEAR(CW$5)&gt;'General Inputs'!$F$42,'General Inputs'!$F$42,YEAR(CW$5)),'General Inputs'!$F$36:$L$42,7,FALSE),0)</f>
        <v>0</v>
      </c>
      <c r="CX10" s="198">
        <f>IF(AND(CX$9=1,CX$5&gt;=DateFinalUnits),VLOOKUP(IF(YEAR(CX$5)&gt;'General Inputs'!$F$42,'General Inputs'!$F$42,YEAR(CX$5)),'General Inputs'!$F$36:$L$42,7,FALSE),0)</f>
        <v>0</v>
      </c>
      <c r="CY10" s="198">
        <f>IF(AND(CY$9=1,CY$5&gt;=DateFinalUnits),VLOOKUP(IF(YEAR(CY$5)&gt;'General Inputs'!$F$42,'General Inputs'!$F$42,YEAR(CY$5)),'General Inputs'!$F$36:$L$42,7,FALSE),0)</f>
        <v>0</v>
      </c>
      <c r="CZ10" s="198">
        <f>IF(AND(CZ$9=1,CZ$5&gt;=DateFinalUnits),VLOOKUP(IF(YEAR(CZ$5)&gt;'General Inputs'!$F$42,'General Inputs'!$F$42,YEAR(CZ$5)),'General Inputs'!$F$36:$L$42,7,FALSE),0)</f>
        <v>0.03</v>
      </c>
      <c r="DA10" s="198">
        <f>IF(AND(DA$9=1,DA$5&gt;=DateFinalUnits),VLOOKUP(IF(YEAR(DA$5)&gt;'General Inputs'!$F$42,'General Inputs'!$F$42,YEAR(DA$5)),'General Inputs'!$F$36:$L$42,7,FALSE),0)</f>
        <v>0</v>
      </c>
      <c r="DB10" s="198">
        <f>IF(AND(DB$9=1,DB$5&gt;=DateFinalUnits),VLOOKUP(IF(YEAR(DB$5)&gt;'General Inputs'!$F$42,'General Inputs'!$F$42,YEAR(DB$5)),'General Inputs'!$F$36:$L$42,7,FALSE),0)</f>
        <v>0</v>
      </c>
      <c r="DC10" s="198">
        <f>IF(AND(DC$9=1,DC$5&gt;=DateFinalUnits),VLOOKUP(IF(YEAR(DC$5)&gt;'General Inputs'!$F$42,'General Inputs'!$F$42,YEAR(DC$5)),'General Inputs'!$F$36:$L$42,7,FALSE),0)</f>
        <v>0</v>
      </c>
      <c r="DD10" s="198">
        <f>IF(AND(DD$9=1,DD$5&gt;=DateFinalUnits),VLOOKUP(IF(YEAR(DD$5)&gt;'General Inputs'!$F$42,'General Inputs'!$F$42,YEAR(DD$5)),'General Inputs'!$F$36:$L$42,7,FALSE),0)</f>
        <v>0</v>
      </c>
      <c r="DE10" s="198">
        <f>IF(AND(DE$9=1,DE$5&gt;=DateFinalUnits),VLOOKUP(IF(YEAR(DE$5)&gt;'General Inputs'!$F$42,'General Inputs'!$F$42,YEAR(DE$5)),'General Inputs'!$F$36:$L$42,7,FALSE),0)</f>
        <v>0</v>
      </c>
      <c r="DF10" s="198">
        <f>IF(AND(DF$9=1,DF$5&gt;=DateFinalUnits),VLOOKUP(IF(YEAR(DF$5)&gt;'General Inputs'!$F$42,'General Inputs'!$F$42,YEAR(DF$5)),'General Inputs'!$F$36:$L$42,7,FALSE),0)</f>
        <v>0</v>
      </c>
      <c r="DG10" s="198">
        <f>IF(AND(DG$9=1,DG$5&gt;=DateFinalUnits),VLOOKUP(IF(YEAR(DG$5)&gt;'General Inputs'!$F$42,'General Inputs'!$F$42,YEAR(DG$5)),'General Inputs'!$F$36:$L$42,7,FALSE),0)</f>
        <v>0</v>
      </c>
      <c r="DH10" s="198">
        <f>IF(AND(DH$9=1,DH$5&gt;=DateFinalUnits),VLOOKUP(IF(YEAR(DH$5)&gt;'General Inputs'!$F$42,'General Inputs'!$F$42,YEAR(DH$5)),'General Inputs'!$F$36:$L$42,7,FALSE),0)</f>
        <v>0</v>
      </c>
      <c r="DI10" s="198">
        <f>IF(AND(DI$9=1,DI$5&gt;=DateFinalUnits),VLOOKUP(IF(YEAR(DI$5)&gt;'General Inputs'!$F$42,'General Inputs'!$F$42,YEAR(DI$5)),'General Inputs'!$F$36:$L$42,7,FALSE),0)</f>
        <v>0</v>
      </c>
      <c r="DJ10" s="198">
        <f>IF(AND(DJ$9=1,DJ$5&gt;=DateFinalUnits),VLOOKUP(IF(YEAR(DJ$5)&gt;'General Inputs'!$F$42,'General Inputs'!$F$42,YEAR(DJ$5)),'General Inputs'!$F$36:$L$42,7,FALSE),0)</f>
        <v>0</v>
      </c>
      <c r="DK10" s="198">
        <f>IF(AND(DK$9=1,DK$5&gt;=DateFinalUnits),VLOOKUP(IF(YEAR(DK$5)&gt;'General Inputs'!$F$42,'General Inputs'!$F$42,YEAR(DK$5)),'General Inputs'!$F$36:$L$42,7,FALSE),0)</f>
        <v>0</v>
      </c>
      <c r="DL10" s="198">
        <f>IF(AND(DL$9=1,DL$5&gt;=DateFinalUnits),VLOOKUP(IF(YEAR(DL$5)&gt;'General Inputs'!$F$42,'General Inputs'!$F$42,YEAR(DL$5)),'General Inputs'!$F$36:$L$42,7,FALSE),0)</f>
        <v>0.03</v>
      </c>
      <c r="DM10" s="198">
        <f>IF(AND(DM$9=1,DM$5&gt;=DateFinalUnits),VLOOKUP(IF(YEAR(DM$5)&gt;'General Inputs'!$F$42,'General Inputs'!$F$42,YEAR(DM$5)),'General Inputs'!$F$36:$L$42,7,FALSE),0)</f>
        <v>0</v>
      </c>
      <c r="DN10" s="198">
        <f>IF(AND(DN$9=1,DN$5&gt;=DateFinalUnits),VLOOKUP(IF(YEAR(DN$5)&gt;'General Inputs'!$F$42,'General Inputs'!$F$42,YEAR(DN$5)),'General Inputs'!$F$36:$L$42,7,FALSE),0)</f>
        <v>0</v>
      </c>
      <c r="DO10" s="198">
        <f>IF(AND(DO$9=1,DO$5&gt;=DateFinalUnits),VLOOKUP(IF(YEAR(DO$5)&gt;'General Inputs'!$F$42,'General Inputs'!$F$42,YEAR(DO$5)),'General Inputs'!$F$36:$L$42,7,FALSE),0)</f>
        <v>0</v>
      </c>
      <c r="DP10" s="198">
        <f>IF(AND(DP$9=1,DP$5&gt;=DateFinalUnits),VLOOKUP(IF(YEAR(DP$5)&gt;'General Inputs'!$F$42,'General Inputs'!$F$42,YEAR(DP$5)),'General Inputs'!$F$36:$L$42,7,FALSE),0)</f>
        <v>0</v>
      </c>
      <c r="DQ10" s="198">
        <f>IF(AND(DQ$9=1,DQ$5&gt;=DateFinalUnits),VLOOKUP(IF(YEAR(DQ$5)&gt;'General Inputs'!$F$42,'General Inputs'!$F$42,YEAR(DQ$5)),'General Inputs'!$F$36:$L$42,7,FALSE),0)</f>
        <v>0</v>
      </c>
      <c r="DR10" s="198">
        <f>IF(AND(DR$9=1,DR$5&gt;=DateFinalUnits),VLOOKUP(IF(YEAR(DR$5)&gt;'General Inputs'!$F$42,'General Inputs'!$F$42,YEAR(DR$5)),'General Inputs'!$F$36:$L$42,7,FALSE),0)</f>
        <v>0</v>
      </c>
      <c r="DS10" s="198">
        <f>IF(AND(DS$9=1,DS$5&gt;=DateFinalUnits),VLOOKUP(IF(YEAR(DS$5)&gt;'General Inputs'!$F$42,'General Inputs'!$F$42,YEAR(DS$5)),'General Inputs'!$F$36:$L$42,7,FALSE),0)</f>
        <v>0</v>
      </c>
      <c r="DT10" s="198">
        <f>IF(AND(DT$9=1,DT$5&gt;=DateFinalUnits),VLOOKUP(IF(YEAR(DT$5)&gt;'General Inputs'!$F$42,'General Inputs'!$F$42,YEAR(DT$5)),'General Inputs'!$F$36:$L$42,7,FALSE),0)</f>
        <v>0</v>
      </c>
      <c r="DU10" s="198">
        <f>IF(AND(DU$9=1,DU$5&gt;=DateFinalUnits),VLOOKUP(IF(YEAR(DU$5)&gt;'General Inputs'!$F$42,'General Inputs'!$F$42,YEAR(DU$5)),'General Inputs'!$F$36:$L$42,7,FALSE),0)</f>
        <v>0</v>
      </c>
      <c r="DV10" s="198">
        <f>IF(AND(DV$9=1,DV$5&gt;=DateFinalUnits),VLOOKUP(IF(YEAR(DV$5)&gt;'General Inputs'!$F$42,'General Inputs'!$F$42,YEAR(DV$5)),'General Inputs'!$F$36:$L$42,7,FALSE),0)</f>
        <v>0</v>
      </c>
      <c r="DW10" s="198">
        <f>IF(AND(DW$9=1,DW$5&gt;=DateFinalUnits),VLOOKUP(IF(YEAR(DW$5)&gt;'General Inputs'!$F$42,'General Inputs'!$F$42,YEAR(DW$5)),'General Inputs'!$F$36:$L$42,7,FALSE),0)</f>
        <v>0</v>
      </c>
      <c r="DX10" s="198">
        <f>IF(AND(DX$9=1,DX$5&gt;=DateFinalUnits),VLOOKUP(IF(YEAR(DX$5)&gt;'General Inputs'!$F$42,'General Inputs'!$F$42,YEAR(DX$5)),'General Inputs'!$F$36:$L$42,7,FALSE),0)</f>
        <v>0.03</v>
      </c>
      <c r="DY10" s="198">
        <f>IF(AND(DY$9=1,DY$5&gt;=DateFinalUnits),VLOOKUP(IF(YEAR(DY$5)&gt;'General Inputs'!$F$42,'General Inputs'!$F$42,YEAR(DY$5)),'General Inputs'!$F$36:$L$42,7,FALSE),0)</f>
        <v>0</v>
      </c>
      <c r="DZ10" s="198">
        <f>IF(AND(DZ$9=1,DZ$5&gt;=DateFinalUnits),VLOOKUP(IF(YEAR(DZ$5)&gt;'General Inputs'!$F$42,'General Inputs'!$F$42,YEAR(DZ$5)),'General Inputs'!$F$36:$L$42,7,FALSE),0)</f>
        <v>0</v>
      </c>
      <c r="EA10" s="198">
        <f>IF(AND(EA$9=1,EA$5&gt;=DateFinalUnits),VLOOKUP(IF(YEAR(EA$5)&gt;'General Inputs'!$F$42,'General Inputs'!$F$42,YEAR(EA$5)),'General Inputs'!$F$36:$L$42,7,FALSE),0)</f>
        <v>0</v>
      </c>
      <c r="EB10" s="198">
        <f>IF(AND(EB$9=1,EB$5&gt;=DateFinalUnits),VLOOKUP(IF(YEAR(EB$5)&gt;'General Inputs'!$F$42,'General Inputs'!$F$42,YEAR(EB$5)),'General Inputs'!$F$36:$L$42,7,FALSE),0)</f>
        <v>0</v>
      </c>
      <c r="EC10" s="198">
        <f>IF(AND(EC$9=1,EC$5&gt;=DateFinalUnits),VLOOKUP(IF(YEAR(EC$5)&gt;'General Inputs'!$F$42,'General Inputs'!$F$42,YEAR(EC$5)),'General Inputs'!$F$36:$L$42,7,FALSE),0)</f>
        <v>0</v>
      </c>
      <c r="ED10" s="198">
        <f>IF(AND(ED$9=1,ED$5&gt;=DateFinalUnits),VLOOKUP(IF(YEAR(ED$5)&gt;'General Inputs'!$F$42,'General Inputs'!$F$42,YEAR(ED$5)),'General Inputs'!$F$36:$L$42,7,FALSE),0)</f>
        <v>0</v>
      </c>
      <c r="EE10" s="198">
        <f>IF(AND(EE$9=1,EE$5&gt;=DateFinalUnits),VLOOKUP(IF(YEAR(EE$5)&gt;'General Inputs'!$F$42,'General Inputs'!$F$42,YEAR(EE$5)),'General Inputs'!$F$36:$L$42,7,FALSE),0)</f>
        <v>0</v>
      </c>
      <c r="EF10" s="198">
        <f>IF(AND(EF$9=1,EF$5&gt;=DateFinalUnits),VLOOKUP(IF(YEAR(EF$5)&gt;'General Inputs'!$F$42,'General Inputs'!$F$42,YEAR(EF$5)),'General Inputs'!$F$36:$L$42,7,FALSE),0)</f>
        <v>0</v>
      </c>
    </row>
    <row r="11" spans="1:136" x14ac:dyDescent="0.3">
      <c r="A11" s="229" t="s">
        <v>1725</v>
      </c>
      <c r="D11" s="198">
        <f>IF(D$9=1,VLOOKUP(IF(YEAR(D$5)&gt;'General Inputs'!$F$42,'General Inputs'!$F$42,YEAR(D$5)),'General Inputs'!$F$36:$L$42,7,FALSE),0)</f>
        <v>0</v>
      </c>
      <c r="E11" s="198">
        <f>IF(E$9=1,VLOOKUP(IF(YEAR(E$5)&gt;'General Inputs'!$F$42,'General Inputs'!$F$42,YEAR(E$5)),'General Inputs'!$F$36:$L$42,7,FALSE),0)</f>
        <v>0</v>
      </c>
      <c r="F11" s="198">
        <f>IF(F$9=1,VLOOKUP(IF(YEAR(F$5)&gt;'General Inputs'!$F$42,'General Inputs'!$F$42,YEAR(F$5)),'General Inputs'!$F$36:$L$42,7,FALSE),0)</f>
        <v>0</v>
      </c>
      <c r="G11" s="198">
        <f>IF(G$9=1,VLOOKUP(IF(YEAR(G$5)&gt;'General Inputs'!$F$42,'General Inputs'!$F$42,YEAR(G$5)),'General Inputs'!$F$36:$L$42,7,FALSE),0)</f>
        <v>0</v>
      </c>
      <c r="H11" s="198">
        <f>IF(H$9=1,VLOOKUP(IF(YEAR(H$5)&gt;'General Inputs'!$F$42,'General Inputs'!$F$42,YEAR(H$5)),'General Inputs'!$F$36:$L$42,7,FALSE),0)</f>
        <v>0.03</v>
      </c>
      <c r="I11" s="198">
        <f>IF(I$9=1,VLOOKUP(IF(YEAR(I$5)&gt;'General Inputs'!$F$42,'General Inputs'!$F$42,YEAR(I$5)),'General Inputs'!$F$36:$L$42,7,FALSE),0)</f>
        <v>0</v>
      </c>
      <c r="J11" s="198">
        <f>IF(J$9=1,VLOOKUP(IF(YEAR(J$5)&gt;'General Inputs'!$F$42,'General Inputs'!$F$42,YEAR(J$5)),'General Inputs'!$F$36:$L$42,7,FALSE),0)</f>
        <v>0</v>
      </c>
      <c r="K11" s="198">
        <f>IF(K$9=1,VLOOKUP(IF(YEAR(K$5)&gt;'General Inputs'!$F$42,'General Inputs'!$F$42,YEAR(K$5)),'General Inputs'!$F$36:$L$42,7,FALSE),0)</f>
        <v>0</v>
      </c>
      <c r="L11" s="198">
        <f>IF(L$9=1,VLOOKUP(IF(YEAR(L$5)&gt;'General Inputs'!$F$42,'General Inputs'!$F$42,YEAR(L$5)),'General Inputs'!$F$36:$L$42,7,FALSE),0)</f>
        <v>0</v>
      </c>
      <c r="M11" s="198">
        <f>IF(M$9=1,VLOOKUP(IF(YEAR(M$5)&gt;'General Inputs'!$F$42,'General Inputs'!$F$42,YEAR(M$5)),'General Inputs'!$F$36:$L$42,7,FALSE),0)</f>
        <v>0</v>
      </c>
      <c r="N11" s="198">
        <f>IF(N$9=1,VLOOKUP(IF(YEAR(N$5)&gt;'General Inputs'!$F$42,'General Inputs'!$F$42,YEAR(N$5)),'General Inputs'!$F$36:$L$42,7,FALSE),0)</f>
        <v>0</v>
      </c>
      <c r="O11" s="198">
        <f>IF(O$9=1,VLOOKUP(IF(YEAR(O$5)&gt;'General Inputs'!$F$42,'General Inputs'!$F$42,YEAR(O$5)),'General Inputs'!$F$36:$L$42,7,FALSE),0)</f>
        <v>0</v>
      </c>
      <c r="P11" s="198">
        <f>IF(P$9=1,VLOOKUP(IF(YEAR(P$5)&gt;'General Inputs'!$F$42,'General Inputs'!$F$42,YEAR(P$5)),'General Inputs'!$F$36:$L$42,7,FALSE),0)</f>
        <v>0</v>
      </c>
      <c r="Q11" s="198">
        <f>IF(Q$9=1,VLOOKUP(IF(YEAR(Q$5)&gt;'General Inputs'!$F$42,'General Inputs'!$F$42,YEAR(Q$5)),'General Inputs'!$F$36:$L$42,7,FALSE),0)</f>
        <v>0</v>
      </c>
      <c r="R11" s="198">
        <f>IF(R$9=1,VLOOKUP(IF(YEAR(R$5)&gt;'General Inputs'!$F$42,'General Inputs'!$F$42,YEAR(R$5)),'General Inputs'!$F$36:$L$42,7,FALSE),0)</f>
        <v>0</v>
      </c>
      <c r="S11" s="198">
        <f>IF(S$9=1,VLOOKUP(IF(YEAR(S$5)&gt;'General Inputs'!$F$42,'General Inputs'!$F$42,YEAR(S$5)),'General Inputs'!$F$36:$L$42,7,FALSE),0)</f>
        <v>0</v>
      </c>
      <c r="T11" s="198">
        <f>IF(T$9=1,VLOOKUP(IF(YEAR(T$5)&gt;'General Inputs'!$F$42,'General Inputs'!$F$42,YEAR(T$5)),'General Inputs'!$F$36:$L$42,7,FALSE),0)</f>
        <v>0.03</v>
      </c>
      <c r="U11" s="198">
        <f>IF(U$9=1,VLOOKUP(IF(YEAR(U$5)&gt;'General Inputs'!$F$42,'General Inputs'!$F$42,YEAR(U$5)),'General Inputs'!$F$36:$L$42,7,FALSE),0)</f>
        <v>0</v>
      </c>
      <c r="V11" s="198">
        <f>IF(V$9=1,VLOOKUP(IF(YEAR(V$5)&gt;'General Inputs'!$F$42,'General Inputs'!$F$42,YEAR(V$5)),'General Inputs'!$F$36:$L$42,7,FALSE),0)</f>
        <v>0</v>
      </c>
      <c r="W11" s="198">
        <f>IF(W$9=1,VLOOKUP(IF(YEAR(W$5)&gt;'General Inputs'!$F$42,'General Inputs'!$F$42,YEAR(W$5)),'General Inputs'!$F$36:$L$42,7,FALSE),0)</f>
        <v>0</v>
      </c>
      <c r="X11" s="198">
        <f>IF(X$9=1,VLOOKUP(IF(YEAR(X$5)&gt;'General Inputs'!$F$42,'General Inputs'!$F$42,YEAR(X$5)),'General Inputs'!$F$36:$L$42,7,FALSE),0)</f>
        <v>0</v>
      </c>
      <c r="Y11" s="198">
        <f>IF(Y$9=1,VLOOKUP(IF(YEAR(Y$5)&gt;'General Inputs'!$F$42,'General Inputs'!$F$42,YEAR(Y$5)),'General Inputs'!$F$36:$L$42,7,FALSE),0)</f>
        <v>0</v>
      </c>
      <c r="Z11" s="198">
        <f>IF(Z$9=1,VLOOKUP(IF(YEAR(Z$5)&gt;'General Inputs'!$F$42,'General Inputs'!$F$42,YEAR(Z$5)),'General Inputs'!$F$36:$L$42,7,FALSE),0)</f>
        <v>0</v>
      </c>
      <c r="AA11" s="198">
        <f>IF(AA$9=1,VLOOKUP(IF(YEAR(AA$5)&gt;'General Inputs'!$F$42,'General Inputs'!$F$42,YEAR(AA$5)),'General Inputs'!$F$36:$L$42,7,FALSE),0)</f>
        <v>0</v>
      </c>
      <c r="AB11" s="198">
        <f>IF(AB$9=1,VLOOKUP(IF(YEAR(AB$5)&gt;'General Inputs'!$F$42,'General Inputs'!$F$42,YEAR(AB$5)),'General Inputs'!$F$36:$L$42,7,FALSE),0)</f>
        <v>0</v>
      </c>
      <c r="AC11" s="198">
        <f>IF(AC$9=1,VLOOKUP(IF(YEAR(AC$5)&gt;'General Inputs'!$F$42,'General Inputs'!$F$42,YEAR(AC$5)),'General Inputs'!$F$36:$L$42,7,FALSE),0)</f>
        <v>0</v>
      </c>
      <c r="AD11" s="198">
        <f>IF(AD$9=1,VLOOKUP(IF(YEAR(AD$5)&gt;'General Inputs'!$F$42,'General Inputs'!$F$42,YEAR(AD$5)),'General Inputs'!$F$36:$L$42,7,FALSE),0)</f>
        <v>0</v>
      </c>
      <c r="AE11" s="198">
        <f>IF(AE$9=1,VLOOKUP(IF(YEAR(AE$5)&gt;'General Inputs'!$F$42,'General Inputs'!$F$42,YEAR(AE$5)),'General Inputs'!$F$36:$L$42,7,FALSE),0)</f>
        <v>0</v>
      </c>
      <c r="AF11" s="198">
        <f>IF(AF$9=1,VLOOKUP(IF(YEAR(AF$5)&gt;'General Inputs'!$F$42,'General Inputs'!$F$42,YEAR(AF$5)),'General Inputs'!$F$36:$L$42,7,FALSE),0)</f>
        <v>0.03</v>
      </c>
      <c r="AG11" s="198">
        <f>IF(AG$9=1,VLOOKUP(IF(YEAR(AG$5)&gt;'General Inputs'!$F$42,'General Inputs'!$F$42,YEAR(AG$5)),'General Inputs'!$F$36:$L$42,7,FALSE),0)</f>
        <v>0</v>
      </c>
      <c r="AH11" s="198">
        <f>IF(AH$9=1,VLOOKUP(IF(YEAR(AH$5)&gt;'General Inputs'!$F$42,'General Inputs'!$F$42,YEAR(AH$5)),'General Inputs'!$F$36:$L$42,7,FALSE),0)</f>
        <v>0</v>
      </c>
      <c r="AI11" s="198">
        <f>IF(AI$9=1,VLOOKUP(IF(YEAR(AI$5)&gt;'General Inputs'!$F$42,'General Inputs'!$F$42,YEAR(AI$5)),'General Inputs'!$F$36:$L$42,7,FALSE),0)</f>
        <v>0</v>
      </c>
      <c r="AJ11" s="198">
        <f>IF(AJ$9=1,VLOOKUP(IF(YEAR(AJ$5)&gt;'General Inputs'!$F$42,'General Inputs'!$F$42,YEAR(AJ$5)),'General Inputs'!$F$36:$L$42,7,FALSE),0)</f>
        <v>0</v>
      </c>
      <c r="AK11" s="198">
        <f>IF(AK$9=1,VLOOKUP(IF(YEAR(AK$5)&gt;'General Inputs'!$F$42,'General Inputs'!$F$42,YEAR(AK$5)),'General Inputs'!$F$36:$L$42,7,FALSE),0)</f>
        <v>0</v>
      </c>
      <c r="AL11" s="198">
        <f>IF(AL$9=1,VLOOKUP(IF(YEAR(AL$5)&gt;'General Inputs'!$F$42,'General Inputs'!$F$42,YEAR(AL$5)),'General Inputs'!$F$36:$L$42,7,FALSE),0)</f>
        <v>0</v>
      </c>
      <c r="AM11" s="198">
        <f>IF(AM$9=1,VLOOKUP(IF(YEAR(AM$5)&gt;'General Inputs'!$F$42,'General Inputs'!$F$42,YEAR(AM$5)),'General Inputs'!$F$36:$L$42,7,FALSE),0)</f>
        <v>0</v>
      </c>
      <c r="AN11" s="198">
        <f>IF(AN$9=1,VLOOKUP(IF(YEAR(AN$5)&gt;'General Inputs'!$F$42,'General Inputs'!$F$42,YEAR(AN$5)),'General Inputs'!$F$36:$L$42,7,FALSE),0)</f>
        <v>0</v>
      </c>
      <c r="AO11" s="198">
        <f>IF(AO$9=1,VLOOKUP(IF(YEAR(AO$5)&gt;'General Inputs'!$F$42,'General Inputs'!$F$42,YEAR(AO$5)),'General Inputs'!$F$36:$L$42,7,FALSE),0)</f>
        <v>0</v>
      </c>
      <c r="AP11" s="198">
        <f>IF(AP$9=1,VLOOKUP(IF(YEAR(AP$5)&gt;'General Inputs'!$F$42,'General Inputs'!$F$42,YEAR(AP$5)),'General Inputs'!$F$36:$L$42,7,FALSE),0)</f>
        <v>0</v>
      </c>
      <c r="AQ11" s="198">
        <f>IF(AQ$9=1,VLOOKUP(IF(YEAR(AQ$5)&gt;'General Inputs'!$F$42,'General Inputs'!$F$42,YEAR(AQ$5)),'General Inputs'!$F$36:$L$42,7,FALSE),0)</f>
        <v>0</v>
      </c>
      <c r="AR11" s="198">
        <f>IF(AR$9=1,VLOOKUP(IF(YEAR(AR$5)&gt;'General Inputs'!$F$42,'General Inputs'!$F$42,YEAR(AR$5)),'General Inputs'!$F$36:$L$42,7,FALSE),0)</f>
        <v>0.03</v>
      </c>
      <c r="AS11" s="198">
        <f>IF(AS$9=1,VLOOKUP(IF(YEAR(AS$5)&gt;'General Inputs'!$F$42,'General Inputs'!$F$42,YEAR(AS$5)),'General Inputs'!$F$36:$L$42,7,FALSE),0)</f>
        <v>0</v>
      </c>
      <c r="AT11" s="198">
        <f>IF(AT$9=1,VLOOKUP(IF(YEAR(AT$5)&gt;'General Inputs'!$F$42,'General Inputs'!$F$42,YEAR(AT$5)),'General Inputs'!$F$36:$L$42,7,FALSE),0)</f>
        <v>0</v>
      </c>
      <c r="AU11" s="198">
        <f>IF(AU$9=1,VLOOKUP(IF(YEAR(AU$5)&gt;'General Inputs'!$F$42,'General Inputs'!$F$42,YEAR(AU$5)),'General Inputs'!$F$36:$L$42,7,FALSE),0)</f>
        <v>0</v>
      </c>
      <c r="AV11" s="198">
        <f>IF(AV$9=1,VLOOKUP(IF(YEAR(AV$5)&gt;'General Inputs'!$F$42,'General Inputs'!$F$42,YEAR(AV$5)),'General Inputs'!$F$36:$L$42,7,FALSE),0)</f>
        <v>0</v>
      </c>
      <c r="AW11" s="198">
        <f>IF(AW$9=1,VLOOKUP(IF(YEAR(AW$5)&gt;'General Inputs'!$F$42,'General Inputs'!$F$42,YEAR(AW$5)),'General Inputs'!$F$36:$L$42,7,FALSE),0)</f>
        <v>0</v>
      </c>
      <c r="AX11" s="198">
        <f>IF(AX$9=1,VLOOKUP(IF(YEAR(AX$5)&gt;'General Inputs'!$F$42,'General Inputs'!$F$42,YEAR(AX$5)),'General Inputs'!$F$36:$L$42,7,FALSE),0)</f>
        <v>0</v>
      </c>
      <c r="AY11" s="198">
        <f>IF(AY$9=1,VLOOKUP(IF(YEAR(AY$5)&gt;'General Inputs'!$F$42,'General Inputs'!$F$42,YEAR(AY$5)),'General Inputs'!$F$36:$L$42,7,FALSE),0)</f>
        <v>0</v>
      </c>
      <c r="AZ11" s="198">
        <f>IF(AZ$9=1,VLOOKUP(IF(YEAR(AZ$5)&gt;'General Inputs'!$F$42,'General Inputs'!$F$42,YEAR(AZ$5)),'General Inputs'!$F$36:$L$42,7,FALSE),0)</f>
        <v>0</v>
      </c>
      <c r="BA11" s="198">
        <f>IF(BA$9=1,VLOOKUP(IF(YEAR(BA$5)&gt;'General Inputs'!$F$42,'General Inputs'!$F$42,YEAR(BA$5)),'General Inputs'!$F$36:$L$42,7,FALSE),0)</f>
        <v>0</v>
      </c>
      <c r="BB11" s="198">
        <f>IF(BB$9=1,VLOOKUP(IF(YEAR(BB$5)&gt;'General Inputs'!$F$42,'General Inputs'!$F$42,YEAR(BB$5)),'General Inputs'!$F$36:$L$42,7,FALSE),0)</f>
        <v>0</v>
      </c>
      <c r="BC11" s="198">
        <f>IF(BC$9=1,VLOOKUP(IF(YEAR(BC$5)&gt;'General Inputs'!$F$42,'General Inputs'!$F$42,YEAR(BC$5)),'General Inputs'!$F$36:$L$42,7,FALSE),0)</f>
        <v>0</v>
      </c>
      <c r="BD11" s="198">
        <f>IF(BD$9=1,VLOOKUP(IF(YEAR(BD$5)&gt;'General Inputs'!$F$42,'General Inputs'!$F$42,YEAR(BD$5)),'General Inputs'!$F$36:$L$42,7,FALSE),0)</f>
        <v>0.03</v>
      </c>
      <c r="BE11" s="198">
        <f>IF(BE$9=1,VLOOKUP(IF(YEAR(BE$5)&gt;'General Inputs'!$F$42,'General Inputs'!$F$42,YEAR(BE$5)),'General Inputs'!$F$36:$L$42,7,FALSE),0)</f>
        <v>0</v>
      </c>
      <c r="BF11" s="198">
        <f>IF(BF$9=1,VLOOKUP(IF(YEAR(BF$5)&gt;'General Inputs'!$F$42,'General Inputs'!$F$42,YEAR(BF$5)),'General Inputs'!$F$36:$L$42,7,FALSE),0)</f>
        <v>0</v>
      </c>
      <c r="BG11" s="198">
        <f>IF(BG$9=1,VLOOKUP(IF(YEAR(BG$5)&gt;'General Inputs'!$F$42,'General Inputs'!$F$42,YEAR(BG$5)),'General Inputs'!$F$36:$L$42,7,FALSE),0)</f>
        <v>0</v>
      </c>
      <c r="BH11" s="198">
        <f>IF(BH$9=1,VLOOKUP(IF(YEAR(BH$5)&gt;'General Inputs'!$F$42,'General Inputs'!$F$42,YEAR(BH$5)),'General Inputs'!$F$36:$L$42,7,FALSE),0)</f>
        <v>0</v>
      </c>
      <c r="BI11" s="198">
        <f>IF(BI$9=1,VLOOKUP(IF(YEAR(BI$5)&gt;'General Inputs'!$F$42,'General Inputs'!$F$42,YEAR(BI$5)),'General Inputs'!$F$36:$L$42,7,FALSE),0)</f>
        <v>0</v>
      </c>
      <c r="BJ11" s="198">
        <f>IF(BJ$9=1,VLOOKUP(IF(YEAR(BJ$5)&gt;'General Inputs'!$F$42,'General Inputs'!$F$42,YEAR(BJ$5)),'General Inputs'!$F$36:$L$42,7,FALSE),0)</f>
        <v>0</v>
      </c>
      <c r="BK11" s="198">
        <f>IF(BK$9=1,VLOOKUP(IF(YEAR(BK$5)&gt;'General Inputs'!$F$42,'General Inputs'!$F$42,YEAR(BK$5)),'General Inputs'!$F$36:$L$42,7,FALSE),0)</f>
        <v>0</v>
      </c>
      <c r="BL11" s="198">
        <f>IF(BL$9=1,VLOOKUP(IF(YEAR(BL$5)&gt;'General Inputs'!$F$42,'General Inputs'!$F$42,YEAR(BL$5)),'General Inputs'!$F$36:$L$42,7,FALSE),0)</f>
        <v>0</v>
      </c>
      <c r="BM11" s="198">
        <f>IF(BM$9=1,VLOOKUP(IF(YEAR(BM$5)&gt;'General Inputs'!$F$42,'General Inputs'!$F$42,YEAR(BM$5)),'General Inputs'!$F$36:$L$42,7,FALSE),0)</f>
        <v>0</v>
      </c>
      <c r="BN11" s="198">
        <f>IF(BN$9=1,VLOOKUP(IF(YEAR(BN$5)&gt;'General Inputs'!$F$42,'General Inputs'!$F$42,YEAR(BN$5)),'General Inputs'!$F$36:$L$42,7,FALSE),0)</f>
        <v>0</v>
      </c>
      <c r="BO11" s="198">
        <f>IF(BO$9=1,VLOOKUP(IF(YEAR(BO$5)&gt;'General Inputs'!$F$42,'General Inputs'!$F$42,YEAR(BO$5)),'General Inputs'!$F$36:$L$42,7,FALSE),0)</f>
        <v>0</v>
      </c>
      <c r="BP11" s="198">
        <f>IF(BP$9=1,VLOOKUP(IF(YEAR(BP$5)&gt;'General Inputs'!$F$42,'General Inputs'!$F$42,YEAR(BP$5)),'General Inputs'!$F$36:$L$42,7,FALSE),0)</f>
        <v>0.03</v>
      </c>
      <c r="BQ11" s="198">
        <f>IF(BQ$9=1,VLOOKUP(IF(YEAR(BQ$5)&gt;'General Inputs'!$F$42,'General Inputs'!$F$42,YEAR(BQ$5)),'General Inputs'!$F$36:$L$42,7,FALSE),0)</f>
        <v>0</v>
      </c>
      <c r="BR11" s="198">
        <f>IF(BR$9=1,VLOOKUP(IF(YEAR(BR$5)&gt;'General Inputs'!$F$42,'General Inputs'!$F$42,YEAR(BR$5)),'General Inputs'!$F$36:$L$42,7,FALSE),0)</f>
        <v>0</v>
      </c>
      <c r="BS11" s="198">
        <f>IF(BS$9=1,VLOOKUP(IF(YEAR(BS$5)&gt;'General Inputs'!$F$42,'General Inputs'!$F$42,YEAR(BS$5)),'General Inputs'!$F$36:$L$42,7,FALSE),0)</f>
        <v>0</v>
      </c>
      <c r="BT11" s="198">
        <f>IF(BT$9=1,VLOOKUP(IF(YEAR(BT$5)&gt;'General Inputs'!$F$42,'General Inputs'!$F$42,YEAR(BT$5)),'General Inputs'!$F$36:$L$42,7,FALSE),0)</f>
        <v>0</v>
      </c>
      <c r="BU11" s="198">
        <f>IF(BU$9=1,VLOOKUP(IF(YEAR(BU$5)&gt;'General Inputs'!$F$42,'General Inputs'!$F$42,YEAR(BU$5)),'General Inputs'!$F$36:$L$42,7,FALSE),0)</f>
        <v>0</v>
      </c>
      <c r="BV11" s="198">
        <f>IF(BV$9=1,VLOOKUP(IF(YEAR(BV$5)&gt;'General Inputs'!$F$42,'General Inputs'!$F$42,YEAR(BV$5)),'General Inputs'!$F$36:$L$42,7,FALSE),0)</f>
        <v>0</v>
      </c>
      <c r="BW11" s="198">
        <f>IF(BW$9=1,VLOOKUP(IF(YEAR(BW$5)&gt;'General Inputs'!$F$42,'General Inputs'!$F$42,YEAR(BW$5)),'General Inputs'!$F$36:$L$42,7,FALSE),0)</f>
        <v>0</v>
      </c>
      <c r="BX11" s="198">
        <f>IF(BX$9=1,VLOOKUP(IF(YEAR(BX$5)&gt;'General Inputs'!$F$42,'General Inputs'!$F$42,YEAR(BX$5)),'General Inputs'!$F$36:$L$42,7,FALSE),0)</f>
        <v>0</v>
      </c>
      <c r="BY11" s="198">
        <f>IF(BY$9=1,VLOOKUP(IF(YEAR(BY$5)&gt;'General Inputs'!$F$42,'General Inputs'!$F$42,YEAR(BY$5)),'General Inputs'!$F$36:$L$42,7,FALSE),0)</f>
        <v>0</v>
      </c>
      <c r="BZ11" s="198">
        <f>IF(BZ$9=1,VLOOKUP(IF(YEAR(BZ$5)&gt;'General Inputs'!$F$42,'General Inputs'!$F$42,YEAR(BZ$5)),'General Inputs'!$F$36:$L$42,7,FALSE),0)</f>
        <v>0</v>
      </c>
      <c r="CA11" s="198">
        <f>IF(CA$9=1,VLOOKUP(IF(YEAR(CA$5)&gt;'General Inputs'!$F$42,'General Inputs'!$F$42,YEAR(CA$5)),'General Inputs'!$F$36:$L$42,7,FALSE),0)</f>
        <v>0</v>
      </c>
      <c r="CB11" s="198">
        <f>IF(CB$9=1,VLOOKUP(IF(YEAR(CB$5)&gt;'General Inputs'!$F$42,'General Inputs'!$F$42,YEAR(CB$5)),'General Inputs'!$F$36:$L$42,7,FALSE),0)</f>
        <v>0.03</v>
      </c>
      <c r="CC11" s="198">
        <f>IF(CC$9=1,VLOOKUP(IF(YEAR(CC$5)&gt;'General Inputs'!$F$42,'General Inputs'!$F$42,YEAR(CC$5)),'General Inputs'!$F$36:$L$42,7,FALSE),0)</f>
        <v>0</v>
      </c>
      <c r="CD11" s="198">
        <f>IF(CD$9=1,VLOOKUP(IF(YEAR(CD$5)&gt;'General Inputs'!$F$42,'General Inputs'!$F$42,YEAR(CD$5)),'General Inputs'!$F$36:$L$42,7,FALSE),0)</f>
        <v>0</v>
      </c>
      <c r="CE11" s="198">
        <f>IF(CE$9=1,VLOOKUP(IF(YEAR(CE$5)&gt;'General Inputs'!$F$42,'General Inputs'!$F$42,YEAR(CE$5)),'General Inputs'!$F$36:$L$42,7,FALSE),0)</f>
        <v>0</v>
      </c>
      <c r="CF11" s="198">
        <f>IF(CF$9=1,VLOOKUP(IF(YEAR(CF$5)&gt;'General Inputs'!$F$42,'General Inputs'!$F$42,YEAR(CF$5)),'General Inputs'!$F$36:$L$42,7,FALSE),0)</f>
        <v>0</v>
      </c>
      <c r="CG11" s="198">
        <f>IF(CG$9=1,VLOOKUP(IF(YEAR(CG$5)&gt;'General Inputs'!$F$42,'General Inputs'!$F$42,YEAR(CG$5)),'General Inputs'!$F$36:$L$42,7,FALSE),0)</f>
        <v>0</v>
      </c>
      <c r="CH11" s="198">
        <f>IF(CH$9=1,VLOOKUP(IF(YEAR(CH$5)&gt;'General Inputs'!$F$42,'General Inputs'!$F$42,YEAR(CH$5)),'General Inputs'!$F$36:$L$42,7,FALSE),0)</f>
        <v>0</v>
      </c>
      <c r="CI11" s="198">
        <f>IF(CI$9=1,VLOOKUP(IF(YEAR(CI$5)&gt;'General Inputs'!$F$42,'General Inputs'!$F$42,YEAR(CI$5)),'General Inputs'!$F$36:$L$42,7,FALSE),0)</f>
        <v>0</v>
      </c>
      <c r="CJ11" s="198">
        <f>IF(CJ$9=1,VLOOKUP(IF(YEAR(CJ$5)&gt;'General Inputs'!$F$42,'General Inputs'!$F$42,YEAR(CJ$5)),'General Inputs'!$F$36:$L$42,7,FALSE),0)</f>
        <v>0</v>
      </c>
      <c r="CK11" s="198">
        <f>IF(CK$9=1,VLOOKUP(IF(YEAR(CK$5)&gt;'General Inputs'!$F$42,'General Inputs'!$F$42,YEAR(CK$5)),'General Inputs'!$F$36:$L$42,7,FALSE),0)</f>
        <v>0</v>
      </c>
      <c r="CL11" s="198">
        <f>IF(CL$9=1,VLOOKUP(IF(YEAR(CL$5)&gt;'General Inputs'!$F$42,'General Inputs'!$F$42,YEAR(CL$5)),'General Inputs'!$F$36:$L$42,7,FALSE),0)</f>
        <v>0</v>
      </c>
      <c r="CM11" s="198">
        <f>IF(CM$9=1,VLOOKUP(IF(YEAR(CM$5)&gt;'General Inputs'!$F$42,'General Inputs'!$F$42,YEAR(CM$5)),'General Inputs'!$F$36:$L$42,7,FALSE),0)</f>
        <v>0</v>
      </c>
      <c r="CN11" s="198">
        <f>IF(CN$9=1,VLOOKUP(IF(YEAR(CN$5)&gt;'General Inputs'!$F$42,'General Inputs'!$F$42,YEAR(CN$5)),'General Inputs'!$F$36:$L$42,7,FALSE),0)</f>
        <v>0.03</v>
      </c>
      <c r="CO11" s="198">
        <f>IF(CO$9=1,VLOOKUP(IF(YEAR(CO$5)&gt;'General Inputs'!$F$42,'General Inputs'!$F$42,YEAR(CO$5)),'General Inputs'!$F$36:$L$42,7,FALSE),0)</f>
        <v>0</v>
      </c>
      <c r="CP11" s="198">
        <f>IF(CP$9=1,VLOOKUP(IF(YEAR(CP$5)&gt;'General Inputs'!$F$42,'General Inputs'!$F$42,YEAR(CP$5)),'General Inputs'!$F$36:$L$42,7,FALSE),0)</f>
        <v>0</v>
      </c>
      <c r="CQ11" s="198">
        <f>IF(CQ$9=1,VLOOKUP(IF(YEAR(CQ$5)&gt;'General Inputs'!$F$42,'General Inputs'!$F$42,YEAR(CQ$5)),'General Inputs'!$F$36:$L$42,7,FALSE),0)</f>
        <v>0</v>
      </c>
      <c r="CR11" s="198">
        <f>IF(CR$9=1,VLOOKUP(IF(YEAR(CR$5)&gt;'General Inputs'!$F$42,'General Inputs'!$F$42,YEAR(CR$5)),'General Inputs'!$F$36:$L$42,7,FALSE),0)</f>
        <v>0</v>
      </c>
      <c r="CS11" s="198">
        <f>IF(CS$9=1,VLOOKUP(IF(YEAR(CS$5)&gt;'General Inputs'!$F$42,'General Inputs'!$F$42,YEAR(CS$5)),'General Inputs'!$F$36:$L$42,7,FALSE),0)</f>
        <v>0</v>
      </c>
      <c r="CT11" s="198">
        <f>IF(CT$9=1,VLOOKUP(IF(YEAR(CT$5)&gt;'General Inputs'!$F$42,'General Inputs'!$F$42,YEAR(CT$5)),'General Inputs'!$F$36:$L$42,7,FALSE),0)</f>
        <v>0</v>
      </c>
      <c r="CU11" s="198">
        <f>IF(CU$9=1,VLOOKUP(IF(YEAR(CU$5)&gt;'General Inputs'!$F$42,'General Inputs'!$F$42,YEAR(CU$5)),'General Inputs'!$F$36:$L$42,7,FALSE),0)</f>
        <v>0</v>
      </c>
      <c r="CV11" s="198">
        <f>IF(CV$9=1,VLOOKUP(IF(YEAR(CV$5)&gt;'General Inputs'!$F$42,'General Inputs'!$F$42,YEAR(CV$5)),'General Inputs'!$F$36:$L$42,7,FALSE),0)</f>
        <v>0</v>
      </c>
      <c r="CW11" s="198">
        <f>IF(CW$9=1,VLOOKUP(IF(YEAR(CW$5)&gt;'General Inputs'!$F$42,'General Inputs'!$F$42,YEAR(CW$5)),'General Inputs'!$F$36:$L$42,7,FALSE),0)</f>
        <v>0</v>
      </c>
      <c r="CX11" s="198">
        <f>IF(CX$9=1,VLOOKUP(IF(YEAR(CX$5)&gt;'General Inputs'!$F$42,'General Inputs'!$F$42,YEAR(CX$5)),'General Inputs'!$F$36:$L$42,7,FALSE),0)</f>
        <v>0</v>
      </c>
      <c r="CY11" s="198">
        <f>IF(CY$9=1,VLOOKUP(IF(YEAR(CY$5)&gt;'General Inputs'!$F$42,'General Inputs'!$F$42,YEAR(CY$5)),'General Inputs'!$F$36:$L$42,7,FALSE),0)</f>
        <v>0</v>
      </c>
      <c r="CZ11" s="198">
        <f>IF(CZ$9=1,VLOOKUP(IF(YEAR(CZ$5)&gt;'General Inputs'!$F$42,'General Inputs'!$F$42,YEAR(CZ$5)),'General Inputs'!$F$36:$L$42,7,FALSE),0)</f>
        <v>0.03</v>
      </c>
      <c r="DA11" s="198">
        <f>IF(DA$9=1,VLOOKUP(IF(YEAR(DA$5)&gt;'General Inputs'!$F$42,'General Inputs'!$F$42,YEAR(DA$5)),'General Inputs'!$F$36:$L$42,7,FALSE),0)</f>
        <v>0</v>
      </c>
      <c r="DB11" s="198">
        <f>IF(DB$9=1,VLOOKUP(IF(YEAR(DB$5)&gt;'General Inputs'!$F$42,'General Inputs'!$F$42,YEAR(DB$5)),'General Inputs'!$F$36:$L$42,7,FALSE),0)</f>
        <v>0</v>
      </c>
      <c r="DC11" s="198">
        <f>IF(DC$9=1,VLOOKUP(IF(YEAR(DC$5)&gt;'General Inputs'!$F$42,'General Inputs'!$F$42,YEAR(DC$5)),'General Inputs'!$F$36:$L$42,7,FALSE),0)</f>
        <v>0</v>
      </c>
      <c r="DD11" s="198">
        <f>IF(DD$9=1,VLOOKUP(IF(YEAR(DD$5)&gt;'General Inputs'!$F$42,'General Inputs'!$F$42,YEAR(DD$5)),'General Inputs'!$F$36:$L$42,7,FALSE),0)</f>
        <v>0</v>
      </c>
      <c r="DE11" s="198">
        <f>IF(DE$9=1,VLOOKUP(IF(YEAR(DE$5)&gt;'General Inputs'!$F$42,'General Inputs'!$F$42,YEAR(DE$5)),'General Inputs'!$F$36:$L$42,7,FALSE),0)</f>
        <v>0</v>
      </c>
      <c r="DF11" s="198">
        <f>IF(DF$9=1,VLOOKUP(IF(YEAR(DF$5)&gt;'General Inputs'!$F$42,'General Inputs'!$F$42,YEAR(DF$5)),'General Inputs'!$F$36:$L$42,7,FALSE),0)</f>
        <v>0</v>
      </c>
      <c r="DG11" s="198">
        <f>IF(DG$9=1,VLOOKUP(IF(YEAR(DG$5)&gt;'General Inputs'!$F$42,'General Inputs'!$F$42,YEAR(DG$5)),'General Inputs'!$F$36:$L$42,7,FALSE),0)</f>
        <v>0</v>
      </c>
      <c r="DH11" s="198">
        <f>IF(DH$9=1,VLOOKUP(IF(YEAR(DH$5)&gt;'General Inputs'!$F$42,'General Inputs'!$F$42,YEAR(DH$5)),'General Inputs'!$F$36:$L$42,7,FALSE),0)</f>
        <v>0</v>
      </c>
      <c r="DI11" s="198">
        <f>IF(DI$9=1,VLOOKUP(IF(YEAR(DI$5)&gt;'General Inputs'!$F$42,'General Inputs'!$F$42,YEAR(DI$5)),'General Inputs'!$F$36:$L$42,7,FALSE),0)</f>
        <v>0</v>
      </c>
      <c r="DJ11" s="198">
        <f>IF(DJ$9=1,VLOOKUP(IF(YEAR(DJ$5)&gt;'General Inputs'!$F$42,'General Inputs'!$F$42,YEAR(DJ$5)),'General Inputs'!$F$36:$L$42,7,FALSE),0)</f>
        <v>0</v>
      </c>
      <c r="DK11" s="198">
        <f>IF(DK$9=1,VLOOKUP(IF(YEAR(DK$5)&gt;'General Inputs'!$F$42,'General Inputs'!$F$42,YEAR(DK$5)),'General Inputs'!$F$36:$L$42,7,FALSE),0)</f>
        <v>0</v>
      </c>
      <c r="DL11" s="198">
        <f>IF(DL$9=1,VLOOKUP(IF(YEAR(DL$5)&gt;'General Inputs'!$F$42,'General Inputs'!$F$42,YEAR(DL$5)),'General Inputs'!$F$36:$L$42,7,FALSE),0)</f>
        <v>0.03</v>
      </c>
      <c r="DM11" s="198">
        <f>IF(DM$9=1,VLOOKUP(IF(YEAR(DM$5)&gt;'General Inputs'!$F$42,'General Inputs'!$F$42,YEAR(DM$5)),'General Inputs'!$F$36:$L$42,7,FALSE),0)</f>
        <v>0</v>
      </c>
      <c r="DN11" s="198">
        <f>IF(DN$9=1,VLOOKUP(IF(YEAR(DN$5)&gt;'General Inputs'!$F$42,'General Inputs'!$F$42,YEAR(DN$5)),'General Inputs'!$F$36:$L$42,7,FALSE),0)</f>
        <v>0</v>
      </c>
      <c r="DO11" s="198">
        <f>IF(DO$9=1,VLOOKUP(IF(YEAR(DO$5)&gt;'General Inputs'!$F$42,'General Inputs'!$F$42,YEAR(DO$5)),'General Inputs'!$F$36:$L$42,7,FALSE),0)</f>
        <v>0</v>
      </c>
      <c r="DP11" s="198">
        <f>IF(DP$9=1,VLOOKUP(IF(YEAR(DP$5)&gt;'General Inputs'!$F$42,'General Inputs'!$F$42,YEAR(DP$5)),'General Inputs'!$F$36:$L$42,7,FALSE),0)</f>
        <v>0</v>
      </c>
      <c r="DQ11" s="198">
        <f>IF(DQ$9=1,VLOOKUP(IF(YEAR(DQ$5)&gt;'General Inputs'!$F$42,'General Inputs'!$F$42,YEAR(DQ$5)),'General Inputs'!$F$36:$L$42,7,FALSE),0)</f>
        <v>0</v>
      </c>
      <c r="DR11" s="198">
        <f>IF(DR$9=1,VLOOKUP(IF(YEAR(DR$5)&gt;'General Inputs'!$F$42,'General Inputs'!$F$42,YEAR(DR$5)),'General Inputs'!$F$36:$L$42,7,FALSE),0)</f>
        <v>0</v>
      </c>
      <c r="DS11" s="198">
        <f>IF(DS$9=1,VLOOKUP(IF(YEAR(DS$5)&gt;'General Inputs'!$F$42,'General Inputs'!$F$42,YEAR(DS$5)),'General Inputs'!$F$36:$L$42,7,FALSE),0)</f>
        <v>0</v>
      </c>
      <c r="DT11" s="198">
        <f>IF(DT$9=1,VLOOKUP(IF(YEAR(DT$5)&gt;'General Inputs'!$F$42,'General Inputs'!$F$42,YEAR(DT$5)),'General Inputs'!$F$36:$L$42,7,FALSE),0)</f>
        <v>0</v>
      </c>
      <c r="DU11" s="198">
        <f>IF(DU$9=1,VLOOKUP(IF(YEAR(DU$5)&gt;'General Inputs'!$F$42,'General Inputs'!$F$42,YEAR(DU$5)),'General Inputs'!$F$36:$L$42,7,FALSE),0)</f>
        <v>0</v>
      </c>
      <c r="DV11" s="198">
        <f>IF(DV$9=1,VLOOKUP(IF(YEAR(DV$5)&gt;'General Inputs'!$F$42,'General Inputs'!$F$42,YEAR(DV$5)),'General Inputs'!$F$36:$L$42,7,FALSE),0)</f>
        <v>0</v>
      </c>
      <c r="DW11" s="198">
        <f>IF(DW$9=1,VLOOKUP(IF(YEAR(DW$5)&gt;'General Inputs'!$F$42,'General Inputs'!$F$42,YEAR(DW$5)),'General Inputs'!$F$36:$L$42,7,FALSE),0)</f>
        <v>0</v>
      </c>
      <c r="DX11" s="198">
        <f>IF(DX$9=1,VLOOKUP(IF(YEAR(DX$5)&gt;'General Inputs'!$F$42,'General Inputs'!$F$42,YEAR(DX$5)),'General Inputs'!$F$36:$L$42,7,FALSE),0)</f>
        <v>0.03</v>
      </c>
      <c r="DY11" s="198">
        <f>IF(DY$9=1,VLOOKUP(IF(YEAR(DY$5)&gt;'General Inputs'!$F$42,'General Inputs'!$F$42,YEAR(DY$5)),'General Inputs'!$F$36:$L$42,7,FALSE),0)</f>
        <v>0</v>
      </c>
      <c r="DZ11" s="198">
        <f>IF(DZ$9=1,VLOOKUP(IF(YEAR(DZ$5)&gt;'General Inputs'!$F$42,'General Inputs'!$F$42,YEAR(DZ$5)),'General Inputs'!$F$36:$L$42,7,FALSE),0)</f>
        <v>0</v>
      </c>
      <c r="EA11" s="198">
        <f>IF(EA$9=1,VLOOKUP(IF(YEAR(EA$5)&gt;'General Inputs'!$F$42,'General Inputs'!$F$42,YEAR(EA$5)),'General Inputs'!$F$36:$L$42,7,FALSE),0)</f>
        <v>0</v>
      </c>
      <c r="EB11" s="198">
        <f>IF(EB$9=1,VLOOKUP(IF(YEAR(EB$5)&gt;'General Inputs'!$F$42,'General Inputs'!$F$42,YEAR(EB$5)),'General Inputs'!$F$36:$L$42,7,FALSE),0)</f>
        <v>0</v>
      </c>
      <c r="EC11" s="198">
        <f>IF(EC$9=1,VLOOKUP(IF(YEAR(EC$5)&gt;'General Inputs'!$F$42,'General Inputs'!$F$42,YEAR(EC$5)),'General Inputs'!$F$36:$L$42,7,FALSE),0)</f>
        <v>0</v>
      </c>
      <c r="ED11" s="198">
        <f>IF(ED$9=1,VLOOKUP(IF(YEAR(ED$5)&gt;'General Inputs'!$F$42,'General Inputs'!$F$42,YEAR(ED$5)),'General Inputs'!$F$36:$L$42,7,FALSE),0)</f>
        <v>0</v>
      </c>
      <c r="EE11" s="198">
        <f>IF(EE$9=1,VLOOKUP(IF(YEAR(EE$5)&gt;'General Inputs'!$F$42,'General Inputs'!$F$42,YEAR(EE$5)),'General Inputs'!$F$36:$L$42,7,FALSE),0)</f>
        <v>0</v>
      </c>
      <c r="EF11" s="198">
        <f>IF(EF$9=1,VLOOKUP(IF(YEAR(EF$5)&gt;'General Inputs'!$F$42,'General Inputs'!$F$42,YEAR(EF$5)),'General Inputs'!$F$36:$L$42,7,FALSE),0)</f>
        <v>0</v>
      </c>
    </row>
    <row r="12" spans="1:136" x14ac:dyDescent="0.3">
      <c r="A12" s="229" t="s">
        <v>2272</v>
      </c>
      <c r="D12" s="229">
        <f>D8</f>
        <v>8850000</v>
      </c>
      <c r="E12" s="229">
        <f ca="1">IF(AND(E9=1,E6&gt;=MonthFinalUnits,D12&lt;TotalProjectCost+'Operating Inputs'!$D$224),(TotalProjectCost+'Operating Inputs'!$D$224)*(1+E10),IF(AND(E9=1,E6&lt;MonthFinalUnits),E8,IF(E9=1,(1+E10)*D12,D12)))</f>
        <v>8850000</v>
      </c>
      <c r="F12" s="229">
        <f ca="1">IF(AND(F9=1,F6&gt;=MonthFinalUnits,E12&lt;TotalProjectCost+'Operating Inputs'!$D$224),(TotalProjectCost+'Operating Inputs'!$D$224)*(1+F10),IF(AND(F9=1,F6&lt;MonthFinalUnits),F8,IF(F9=1,(1+F10)*E12,E12)))</f>
        <v>8850000</v>
      </c>
      <c r="G12" s="229">
        <f ca="1">IF(AND(G9=1,G6&gt;=MonthFinalUnits,F12&lt;TotalProjectCost+'Operating Inputs'!$D$224),(TotalProjectCost+'Operating Inputs'!$D$224)*(1+G10),IF(AND(G9=1,G6&lt;MonthFinalUnits),G8,IF(G9=1,(1+G10)*F12,F12)))</f>
        <v>8850000</v>
      </c>
      <c r="H12" s="229">
        <f ca="1">IF(AND(H9=1,H6&gt;=MonthFinalUnits,G12&lt;TotalProjectCost+'Operating Inputs'!$D$224),(TotalProjectCost+'Operating Inputs'!$D$224)*(1+H10),IF(AND(H9=1,H6&lt;MonthFinalUnits),H8,IF(H9=1,(1+H10)*G12,G12)))</f>
        <v>19505576.284242198</v>
      </c>
      <c r="I12" s="229">
        <f ca="1">IF(AND(I9=1,I6&gt;=MonthFinalUnits,H12&lt;TotalProjectCost+'Operating Inputs'!$D$224),(TotalProjectCost+'Operating Inputs'!$D$224)*(1+I10),IF(AND(I9=1,I6&lt;MonthFinalUnits),I8,IF(I9=1,(1+I10)*H12,H12)))</f>
        <v>19505576.284242198</v>
      </c>
      <c r="J12" s="229">
        <f ca="1">IF(AND(J9=1,J6&gt;=MonthFinalUnits,I12&lt;TotalProjectCost+'Operating Inputs'!$D$224),(TotalProjectCost+'Operating Inputs'!$D$224)*(1+J10),IF(AND(J9=1,J6&lt;MonthFinalUnits),J8,IF(J9=1,(1+J10)*I12,I12)))</f>
        <v>19505576.284242198</v>
      </c>
      <c r="K12" s="229">
        <f ca="1">IF(AND(K9=1,K6&gt;=MonthFinalUnits,J12&lt;TotalProjectCost+'Operating Inputs'!$D$224),(TotalProjectCost+'Operating Inputs'!$D$224)*(1+K10),IF(AND(K9=1,K6&lt;MonthFinalUnits),K8,IF(K9=1,(1+K10)*J12,J12)))</f>
        <v>19505576.284242198</v>
      </c>
      <c r="L12" s="229">
        <f ca="1">IF(AND(L9=1,L6&gt;=MonthFinalUnits,K12&lt;TotalProjectCost+'Operating Inputs'!$D$224),(TotalProjectCost+'Operating Inputs'!$D$224)*(1+L10),IF(AND(L9=1,L6&lt;MonthFinalUnits),L8,IF(L9=1,(1+L10)*K12,K12)))</f>
        <v>19505576.284242198</v>
      </c>
      <c r="M12" s="229">
        <f ca="1">IF(AND(M9=1,M6&gt;=MonthFinalUnits,L12&lt;TotalProjectCost+'Operating Inputs'!$D$224),(TotalProjectCost+'Operating Inputs'!$D$224)*(1+M10),IF(AND(M9=1,M6&lt;MonthFinalUnits),M8,IF(M9=1,(1+M10)*L12,L12)))</f>
        <v>19505576.284242198</v>
      </c>
      <c r="N12" s="229">
        <f ca="1">IF(AND(N9=1,N6&gt;=MonthFinalUnits,M12&lt;TotalProjectCost+'Operating Inputs'!$D$224),(TotalProjectCost+'Operating Inputs'!$D$224)*(1+N10),IF(AND(N9=1,N6&lt;MonthFinalUnits),N8,IF(N9=1,(1+N10)*M12,M12)))</f>
        <v>19505576.284242198</v>
      </c>
      <c r="O12" s="229">
        <f ca="1">IF(AND(O9=1,O6&gt;=MonthFinalUnits,N12&lt;TotalProjectCost+'Operating Inputs'!$D$224),(TotalProjectCost+'Operating Inputs'!$D$224)*(1+O10),IF(AND(O9=1,O6&lt;MonthFinalUnits),O8,IF(O9=1,(1+O10)*N12,N12)))</f>
        <v>19505576.284242198</v>
      </c>
      <c r="P12" s="229">
        <f ca="1">IF(AND(P9=1,P6&gt;=MonthFinalUnits,O12&lt;TotalProjectCost+'Operating Inputs'!$D$224),(TotalProjectCost+'Operating Inputs'!$D$224)*(1+P10),IF(AND(P9=1,P6&lt;MonthFinalUnits),P8,IF(P9=1,(1+P10)*O12,O12)))</f>
        <v>19505576.284242198</v>
      </c>
      <c r="Q12" s="229">
        <f ca="1">IF(AND(Q9=1,Q6&gt;=MonthFinalUnits,P12&lt;TotalProjectCost+'Operating Inputs'!$D$224),(TotalProjectCost+'Operating Inputs'!$D$224)*(1+Q10),IF(AND(Q9=1,Q6&lt;MonthFinalUnits),Q8,IF(Q9=1,(1+Q10)*P12,P12)))</f>
        <v>19505576.284242198</v>
      </c>
      <c r="R12" s="229">
        <f ca="1">IF(AND(R9=1,R6&gt;=MonthFinalUnits,Q12&lt;TotalProjectCost+'Operating Inputs'!$D$224),(TotalProjectCost+'Operating Inputs'!$D$224)*(1+R10),IF(AND(R9=1,R6&lt;MonthFinalUnits),R8,IF(R9=1,(1+R10)*Q12,Q12)))</f>
        <v>19505576.284242198</v>
      </c>
      <c r="S12" s="229">
        <f ca="1">IF(AND(S9=1,S6&gt;=MonthFinalUnits,R12&lt;TotalProjectCost+'Operating Inputs'!$D$224),(TotalProjectCost+'Operating Inputs'!$D$224)*(1+S10),IF(AND(S9=1,S6&lt;MonthFinalUnits),S8,IF(S9=1,(1+S10)*R12,R12)))</f>
        <v>19505576.284242198</v>
      </c>
      <c r="T12" s="229">
        <f ca="1">IF(AND(T9=1,T6&gt;=MonthFinalUnits,S12&lt;TotalProjectCost+'Operating Inputs'!$D$224),(TotalProjectCost+'Operating Inputs'!$D$224)*(1+T10),IF(AND(T9=1,T6&lt;MonthFinalUnits),T8,IF(T9=1,(1+T10)*S12,S12)))</f>
        <v>59849975.340502433</v>
      </c>
      <c r="U12" s="229">
        <f ca="1">IF(AND(U9=1,U6&gt;=MonthFinalUnits,T12&lt;TotalProjectCost+'Operating Inputs'!$D$224),(TotalProjectCost+'Operating Inputs'!$D$224)*(1+U10),IF(AND(U9=1,U6&lt;MonthFinalUnits),U8,IF(U9=1,(1+U10)*T12,T12)))</f>
        <v>59849975.340502433</v>
      </c>
      <c r="V12" s="229">
        <f ca="1">IF(AND(V9=1,V6&gt;=MonthFinalUnits,U12&lt;TotalProjectCost+'Operating Inputs'!$D$224),(TotalProjectCost+'Operating Inputs'!$D$224)*(1+V10),IF(AND(V9=1,V6&lt;MonthFinalUnits),V8,IF(V9=1,(1+V10)*U12,U12)))</f>
        <v>59849975.340502433</v>
      </c>
      <c r="W12" s="229">
        <f ca="1">IF(AND(W9=1,W6&gt;=MonthFinalUnits,V12&lt;TotalProjectCost+'Operating Inputs'!$D$224),(TotalProjectCost+'Operating Inputs'!$D$224)*(1+W10),IF(AND(W9=1,W6&lt;MonthFinalUnits),W8,IF(W9=1,(1+W10)*V12,V12)))</f>
        <v>59849975.340502433</v>
      </c>
      <c r="X12" s="229">
        <f ca="1">IF(AND(X9=1,X6&gt;=MonthFinalUnits,W12&lt;TotalProjectCost+'Operating Inputs'!$D$224),(TotalProjectCost+'Operating Inputs'!$D$224)*(1+X10),IF(AND(X9=1,X6&lt;MonthFinalUnits),X8,IF(X9=1,(1+X10)*W12,W12)))</f>
        <v>59849975.340502433</v>
      </c>
      <c r="Y12" s="229">
        <f ca="1">IF(AND(Y9=1,Y6&gt;=MonthFinalUnits,X12&lt;TotalProjectCost+'Operating Inputs'!$D$224),(TotalProjectCost+'Operating Inputs'!$D$224)*(1+Y10),IF(AND(Y9=1,Y6&lt;MonthFinalUnits),Y8,IF(Y9=1,(1+Y10)*X12,X12)))</f>
        <v>59849975.340502433</v>
      </c>
      <c r="Z12" s="229">
        <f ca="1">IF(AND(Z9=1,Z6&gt;=MonthFinalUnits,Y12&lt;TotalProjectCost+'Operating Inputs'!$D$224),(TotalProjectCost+'Operating Inputs'!$D$224)*(1+Z10),IF(AND(Z9=1,Z6&lt;MonthFinalUnits),Z8,IF(Z9=1,(1+Z10)*Y12,Y12)))</f>
        <v>59849975.340502433</v>
      </c>
      <c r="AA12" s="229">
        <f ca="1">IF(AND(AA9=1,AA6&gt;=MonthFinalUnits,Z12&lt;TotalProjectCost+'Operating Inputs'!$D$224),(TotalProjectCost+'Operating Inputs'!$D$224)*(1+AA10),IF(AND(AA9=1,AA6&lt;MonthFinalUnits),AA8,IF(AA9=1,(1+AA10)*Z12,Z12)))</f>
        <v>59849975.340502433</v>
      </c>
      <c r="AB12" s="229">
        <f ca="1">IF(AND(AB9=1,AB6&gt;=MonthFinalUnits,AA12&lt;TotalProjectCost+'Operating Inputs'!$D$224),(TotalProjectCost+'Operating Inputs'!$D$224)*(1+AB10),IF(AND(AB9=1,AB6&lt;MonthFinalUnits),AB8,IF(AB9=1,(1+AB10)*AA12,AA12)))</f>
        <v>59849975.340502433</v>
      </c>
      <c r="AC12" s="229">
        <f ca="1">IF(AND(AC9=1,AC6&gt;=MonthFinalUnits,AB12&lt;TotalProjectCost+'Operating Inputs'!$D$224),(TotalProjectCost+'Operating Inputs'!$D$224)*(1+AC10),IF(AND(AC9=1,AC6&lt;MonthFinalUnits),AC8,IF(AC9=1,(1+AC10)*AB12,AB12)))</f>
        <v>59849975.340502433</v>
      </c>
      <c r="AD12" s="229">
        <f ca="1">IF(AND(AD9=1,AD6&gt;=MonthFinalUnits,AC12&lt;TotalProjectCost+'Operating Inputs'!$D$224),(TotalProjectCost+'Operating Inputs'!$D$224)*(1+AD10),IF(AND(AD9=1,AD6&lt;MonthFinalUnits),AD8,IF(AD9=1,(1+AD10)*AC12,AC12)))</f>
        <v>59849975.340502433</v>
      </c>
      <c r="AE12" s="229">
        <f ca="1">IF(AND(AE9=1,AE6&gt;=MonthFinalUnits,AD12&lt;TotalProjectCost+'Operating Inputs'!$D$224),(TotalProjectCost+'Operating Inputs'!$D$224)*(1+AE10),IF(AND(AE9=1,AE6&lt;MonthFinalUnits),AE8,IF(AE9=1,(1+AE10)*AD12,AD12)))</f>
        <v>59849975.340502433</v>
      </c>
      <c r="AF12" s="229">
        <f ca="1">IF(AND(AF9=1,AF6&gt;=MonthFinalUnits,AE12&lt;TotalProjectCost+'Operating Inputs'!$D$224),(TotalProjectCost+'Operating Inputs'!$D$224)*(1+AF10),IF(AND(AF9=1,AF6&lt;MonthFinalUnits),AF8,IF(AF9=1,(1+AF10)*AE12,AE12)))</f>
        <v>80298413.072443828</v>
      </c>
      <c r="AG12" s="229">
        <f ca="1">IF(AND(AG9=1,AG6&gt;=MonthFinalUnits,AF12&lt;TotalProjectCost+'Operating Inputs'!$D$224),(TotalProjectCost+'Operating Inputs'!$D$224)*(1+AG10),IF(AND(AG9=1,AG6&lt;MonthFinalUnits),AG8,IF(AG9=1,(1+AG10)*AF12,AF12)))</f>
        <v>80298413.072443828</v>
      </c>
      <c r="AH12" s="229">
        <f ca="1">IF(AND(AH9=1,AH6&gt;=MonthFinalUnits,AG12&lt;TotalProjectCost+'Operating Inputs'!$D$224),(TotalProjectCost+'Operating Inputs'!$D$224)*(1+AH10),IF(AND(AH9=1,AH6&lt;MonthFinalUnits),AH8,IF(AH9=1,(1+AH10)*AG12,AG12)))</f>
        <v>80298413.072443828</v>
      </c>
      <c r="AI12" s="229">
        <f ca="1">IF(AND(AI9=1,AI6&gt;=MonthFinalUnits,AH12&lt;TotalProjectCost+'Operating Inputs'!$D$224),(TotalProjectCost+'Operating Inputs'!$D$224)*(1+AI10),IF(AND(AI9=1,AI6&lt;MonthFinalUnits),AI8,IF(AI9=1,(1+AI10)*AH12,AH12)))</f>
        <v>80298413.072443828</v>
      </c>
      <c r="AJ12" s="229">
        <f ca="1">IF(AND(AJ9=1,AJ6&gt;=MonthFinalUnits,AI12&lt;TotalProjectCost+'Operating Inputs'!$D$224),(TotalProjectCost+'Operating Inputs'!$D$224)*(1+AJ10),IF(AND(AJ9=1,AJ6&lt;MonthFinalUnits),AJ8,IF(AJ9=1,(1+AJ10)*AI12,AI12)))</f>
        <v>80298413.072443828</v>
      </c>
      <c r="AK12" s="229">
        <f ca="1">IF(AND(AK9=1,AK6&gt;=MonthFinalUnits,AJ12&lt;TotalProjectCost+'Operating Inputs'!$D$224),(TotalProjectCost+'Operating Inputs'!$D$224)*(1+AK10),IF(AND(AK9=1,AK6&lt;MonthFinalUnits),AK8,IF(AK9=1,(1+AK10)*AJ12,AJ12)))</f>
        <v>80298413.072443828</v>
      </c>
      <c r="AL12" s="229">
        <f ca="1">IF(AND(AL9=1,AL6&gt;=MonthFinalUnits,AK12&lt;TotalProjectCost+'Operating Inputs'!$D$224),(TotalProjectCost+'Operating Inputs'!$D$224)*(1+AL10),IF(AND(AL9=1,AL6&lt;MonthFinalUnits),AL8,IF(AL9=1,(1+AL10)*AK12,AK12)))</f>
        <v>80298413.072443828</v>
      </c>
      <c r="AM12" s="229">
        <f ca="1">IF(AND(AM9=1,AM6&gt;=MonthFinalUnits,AL12&lt;TotalProjectCost+'Operating Inputs'!$D$224),(TotalProjectCost+'Operating Inputs'!$D$224)*(1+AM10),IF(AND(AM9=1,AM6&lt;MonthFinalUnits),AM8,IF(AM9=1,(1+AM10)*AL12,AL12)))</f>
        <v>80298413.072443828</v>
      </c>
      <c r="AN12" s="229">
        <f ca="1">IF(AND(AN9=1,AN6&gt;=MonthFinalUnits,AM12&lt;TotalProjectCost+'Operating Inputs'!$D$224),(TotalProjectCost+'Operating Inputs'!$D$224)*(1+AN10),IF(AND(AN9=1,AN6&lt;MonthFinalUnits),AN8,IF(AN9=1,(1+AN10)*AM12,AM12)))</f>
        <v>80298413.072443828</v>
      </c>
      <c r="AO12" s="229">
        <f ca="1">IF(AND(AO9=1,AO6&gt;=MonthFinalUnits,AN12&lt;TotalProjectCost+'Operating Inputs'!$D$224),(TotalProjectCost+'Operating Inputs'!$D$224)*(1+AO10),IF(AND(AO9=1,AO6&lt;MonthFinalUnits),AO8,IF(AO9=1,(1+AO10)*AN12,AN12)))</f>
        <v>80298413.072443828</v>
      </c>
      <c r="AP12" s="229">
        <f ca="1">IF(AND(AP9=1,AP6&gt;=MonthFinalUnits,AO12&lt;TotalProjectCost+'Operating Inputs'!$D$224),(TotalProjectCost+'Operating Inputs'!$D$224)*(1+AP10),IF(AND(AP9=1,AP6&lt;MonthFinalUnits),AP8,IF(AP9=1,(1+AP10)*AO12,AO12)))</f>
        <v>80298413.072443828</v>
      </c>
      <c r="AQ12" s="229">
        <f ca="1">IF(AND(AQ9=1,AQ6&gt;=MonthFinalUnits,AP12&lt;TotalProjectCost+'Operating Inputs'!$D$224),(TotalProjectCost+'Operating Inputs'!$D$224)*(1+AQ10),IF(AND(AQ9=1,AQ6&lt;MonthFinalUnits),AQ8,IF(AQ9=1,(1+AQ10)*AP12,AP12)))</f>
        <v>80298413.072443828</v>
      </c>
      <c r="AR12" s="229">
        <f ca="1">IF(AND(AR9=1,AR6&gt;=MonthFinalUnits,AQ12&lt;TotalProjectCost+'Operating Inputs'!$D$224),(TotalProjectCost+'Operating Inputs'!$D$224)*(1+AR10),IF(AND(AR9=1,AR6&lt;MonthFinalUnits),AR8,IF(AR9=1,(1+AR10)*AQ12,AQ12)))</f>
        <v>82707365.464617148</v>
      </c>
      <c r="AS12" s="229">
        <f ca="1">IF(AND(AS9=1,AS6&gt;=MonthFinalUnits,AR12&lt;TotalProjectCost+'Operating Inputs'!$D$224),(TotalProjectCost+'Operating Inputs'!$D$224)*(1+AS10),IF(AND(AS9=1,AS6&lt;MonthFinalUnits),AS8,IF(AS9=1,(1+AS10)*AR12,AR12)))</f>
        <v>82707365.464617148</v>
      </c>
      <c r="AT12" s="229">
        <f ca="1">IF(AND(AT9=1,AT6&gt;=MonthFinalUnits,AS12&lt;TotalProjectCost+'Operating Inputs'!$D$224),(TotalProjectCost+'Operating Inputs'!$D$224)*(1+AT10),IF(AND(AT9=1,AT6&lt;MonthFinalUnits),AT8,IF(AT9=1,(1+AT10)*AS12,AS12)))</f>
        <v>82707365.464617148</v>
      </c>
      <c r="AU12" s="229">
        <f ca="1">IF(AND(AU9=1,AU6&gt;=MonthFinalUnits,AT12&lt;TotalProjectCost+'Operating Inputs'!$D$224),(TotalProjectCost+'Operating Inputs'!$D$224)*(1+AU10),IF(AND(AU9=1,AU6&lt;MonthFinalUnits),AU8,IF(AU9=1,(1+AU10)*AT12,AT12)))</f>
        <v>82707365.464617148</v>
      </c>
      <c r="AV12" s="229">
        <f ca="1">IF(AND(AV9=1,AV6&gt;=MonthFinalUnits,AU12&lt;TotalProjectCost+'Operating Inputs'!$D$224),(TotalProjectCost+'Operating Inputs'!$D$224)*(1+AV10),IF(AND(AV9=1,AV6&lt;MonthFinalUnits),AV8,IF(AV9=1,(1+AV10)*AU12,AU12)))</f>
        <v>82707365.464617148</v>
      </c>
      <c r="AW12" s="229">
        <f ca="1">IF(AND(AW9=1,AW6&gt;=MonthFinalUnits,AV12&lt;TotalProjectCost+'Operating Inputs'!$D$224),(TotalProjectCost+'Operating Inputs'!$D$224)*(1+AW10),IF(AND(AW9=1,AW6&lt;MonthFinalUnits),AW8,IF(AW9=1,(1+AW10)*AV12,AV12)))</f>
        <v>82707365.464617148</v>
      </c>
      <c r="AX12" s="229">
        <f ca="1">IF(AND(AX9=1,AX6&gt;=MonthFinalUnits,AW12&lt;TotalProjectCost+'Operating Inputs'!$D$224),(TotalProjectCost+'Operating Inputs'!$D$224)*(1+AX10),IF(AND(AX9=1,AX6&lt;MonthFinalUnits),AX8,IF(AX9=1,(1+AX10)*AW12,AW12)))</f>
        <v>82707365.464617148</v>
      </c>
      <c r="AY12" s="229">
        <f ca="1">IF(AND(AY9=1,AY6&gt;=MonthFinalUnits,AX12&lt;TotalProjectCost+'Operating Inputs'!$D$224),(TotalProjectCost+'Operating Inputs'!$D$224)*(1+AY10),IF(AND(AY9=1,AY6&lt;MonthFinalUnits),AY8,IF(AY9=1,(1+AY10)*AX12,AX12)))</f>
        <v>82707365.464617148</v>
      </c>
      <c r="AZ12" s="229">
        <f ca="1">IF(AND(AZ9=1,AZ6&gt;=MonthFinalUnits,AY12&lt;TotalProjectCost+'Operating Inputs'!$D$224),(TotalProjectCost+'Operating Inputs'!$D$224)*(1+AZ10),IF(AND(AZ9=1,AZ6&lt;MonthFinalUnits),AZ8,IF(AZ9=1,(1+AZ10)*AY12,AY12)))</f>
        <v>82707365.464617148</v>
      </c>
      <c r="BA12" s="229">
        <f ca="1">IF(AND(BA9=1,BA6&gt;=MonthFinalUnits,AZ12&lt;TotalProjectCost+'Operating Inputs'!$D$224),(TotalProjectCost+'Operating Inputs'!$D$224)*(1+BA10),IF(AND(BA9=1,BA6&lt;MonthFinalUnits),BA8,IF(BA9=1,(1+BA10)*AZ12,AZ12)))</f>
        <v>82707365.464617148</v>
      </c>
      <c r="BB12" s="229">
        <f ca="1">IF(AND(BB9=1,BB6&gt;=MonthFinalUnits,BA12&lt;TotalProjectCost+'Operating Inputs'!$D$224),(TotalProjectCost+'Operating Inputs'!$D$224)*(1+BB10),IF(AND(BB9=1,BB6&lt;MonthFinalUnits),BB8,IF(BB9=1,(1+BB10)*BA12,BA12)))</f>
        <v>82707365.464617148</v>
      </c>
      <c r="BC12" s="229">
        <f ca="1">IF(AND(BC9=1,BC6&gt;=MonthFinalUnits,BB12&lt;TotalProjectCost+'Operating Inputs'!$D$224),(TotalProjectCost+'Operating Inputs'!$D$224)*(1+BC10),IF(AND(BC9=1,BC6&lt;MonthFinalUnits),BC8,IF(BC9=1,(1+BC10)*BB12,BB12)))</f>
        <v>82707365.464617148</v>
      </c>
      <c r="BD12" s="229">
        <f ca="1">IF(AND(BD9=1,BD6&gt;=MonthFinalUnits,BC12&lt;TotalProjectCost+'Operating Inputs'!$D$224),(TotalProjectCost+'Operating Inputs'!$D$224)*(1+BD10),IF(AND(BD9=1,BD6&lt;MonthFinalUnits),BD8,IF(BD9=1,(1+BD10)*BC12,BC12)))</f>
        <v>85188586.428555667</v>
      </c>
      <c r="BE12" s="229">
        <f ca="1">IF(AND(BE9=1,BE6&gt;=MonthFinalUnits,BD12&lt;TotalProjectCost+'Operating Inputs'!$D$224),(TotalProjectCost+'Operating Inputs'!$D$224)*(1+BE10),IF(AND(BE9=1,BE6&lt;MonthFinalUnits),BE8,IF(BE9=1,(1+BE10)*BD12,BD12)))</f>
        <v>85188586.428555667</v>
      </c>
      <c r="BF12" s="229">
        <f ca="1">IF(AND(BF9=1,BF6&gt;=MonthFinalUnits,BE12&lt;TotalProjectCost+'Operating Inputs'!$D$224),(TotalProjectCost+'Operating Inputs'!$D$224)*(1+BF10),IF(AND(BF9=1,BF6&lt;MonthFinalUnits),BF8,IF(BF9=1,(1+BF10)*BE12,BE12)))</f>
        <v>85188586.428555667</v>
      </c>
      <c r="BG12" s="229">
        <f ca="1">IF(AND(BG9=1,BG6&gt;=MonthFinalUnits,BF12&lt;TotalProjectCost+'Operating Inputs'!$D$224),(TotalProjectCost+'Operating Inputs'!$D$224)*(1+BG10),IF(AND(BG9=1,BG6&lt;MonthFinalUnits),BG8,IF(BG9=1,(1+BG10)*BF12,BF12)))</f>
        <v>85188586.428555667</v>
      </c>
      <c r="BH12" s="229">
        <f ca="1">IF(AND(BH9=1,BH6&gt;=MonthFinalUnits,BG12&lt;TotalProjectCost+'Operating Inputs'!$D$224),(TotalProjectCost+'Operating Inputs'!$D$224)*(1+BH10),IF(AND(BH9=1,BH6&lt;MonthFinalUnits),BH8,IF(BH9=1,(1+BH10)*BG12,BG12)))</f>
        <v>85188586.428555667</v>
      </c>
      <c r="BI12" s="229">
        <f ca="1">IF(AND(BI9=1,BI6&gt;=MonthFinalUnits,BH12&lt;TotalProjectCost+'Operating Inputs'!$D$224),(TotalProjectCost+'Operating Inputs'!$D$224)*(1+BI10),IF(AND(BI9=1,BI6&lt;MonthFinalUnits),BI8,IF(BI9=1,(1+BI10)*BH12,BH12)))</f>
        <v>85188586.428555667</v>
      </c>
      <c r="BJ12" s="229">
        <f ca="1">IF(AND(BJ9=1,BJ6&gt;=MonthFinalUnits,BI12&lt;TotalProjectCost+'Operating Inputs'!$D$224),(TotalProjectCost+'Operating Inputs'!$D$224)*(1+BJ10),IF(AND(BJ9=1,BJ6&lt;MonthFinalUnits),BJ8,IF(BJ9=1,(1+BJ10)*BI12,BI12)))</f>
        <v>85188586.428555667</v>
      </c>
      <c r="BK12" s="229">
        <f ca="1">IF(AND(BK9=1,BK6&gt;=MonthFinalUnits,BJ12&lt;TotalProjectCost+'Operating Inputs'!$D$224),(TotalProjectCost+'Operating Inputs'!$D$224)*(1+BK10),IF(AND(BK9=1,BK6&lt;MonthFinalUnits),BK8,IF(BK9=1,(1+BK10)*BJ12,BJ12)))</f>
        <v>85188586.428555667</v>
      </c>
      <c r="BL12" s="229">
        <f ca="1">IF(AND(BL9=1,BL6&gt;=MonthFinalUnits,BK12&lt;TotalProjectCost+'Operating Inputs'!$D$224),(TotalProjectCost+'Operating Inputs'!$D$224)*(1+BL10),IF(AND(BL9=1,BL6&lt;MonthFinalUnits),BL8,IF(BL9=1,(1+BL10)*BK12,BK12)))</f>
        <v>85188586.428555667</v>
      </c>
      <c r="BM12" s="229">
        <f ca="1">IF(AND(BM9=1,BM6&gt;=MonthFinalUnits,BL12&lt;TotalProjectCost+'Operating Inputs'!$D$224),(TotalProjectCost+'Operating Inputs'!$D$224)*(1+BM10),IF(AND(BM9=1,BM6&lt;MonthFinalUnits),BM8,IF(BM9=1,(1+BM10)*BL12,BL12)))</f>
        <v>85188586.428555667</v>
      </c>
      <c r="BN12" s="229">
        <f ca="1">IF(AND(BN9=1,BN6&gt;=MonthFinalUnits,BM12&lt;TotalProjectCost+'Operating Inputs'!$D$224),(TotalProjectCost+'Operating Inputs'!$D$224)*(1+BN10),IF(AND(BN9=1,BN6&lt;MonthFinalUnits),BN8,IF(BN9=1,(1+BN10)*BM12,BM12)))</f>
        <v>85188586.428555667</v>
      </c>
      <c r="BO12" s="229">
        <f ca="1">IF(AND(BO9=1,BO6&gt;=MonthFinalUnits,BN12&lt;TotalProjectCost+'Operating Inputs'!$D$224),(TotalProjectCost+'Operating Inputs'!$D$224)*(1+BO10),IF(AND(BO9=1,BO6&lt;MonthFinalUnits),BO8,IF(BO9=1,(1+BO10)*BN12,BN12)))</f>
        <v>85188586.428555667</v>
      </c>
      <c r="BP12" s="229">
        <f ca="1">IF(AND(BP9=1,BP6&gt;=MonthFinalUnits,BO12&lt;TotalProjectCost+'Operating Inputs'!$D$224),(TotalProjectCost+'Operating Inputs'!$D$224)*(1+BP10),IF(AND(BP9=1,BP6&lt;MonthFinalUnits),BP8,IF(BP9=1,(1+BP10)*BO12,BO12)))</f>
        <v>87744244.021412343</v>
      </c>
      <c r="BQ12" s="229">
        <f ca="1">IF(AND(BQ9=1,BQ6&gt;=MonthFinalUnits,BP12&lt;TotalProjectCost+'Operating Inputs'!$D$224),(TotalProjectCost+'Operating Inputs'!$D$224)*(1+BQ10),IF(AND(BQ9=1,BQ6&lt;MonthFinalUnits),BQ8,IF(BQ9=1,(1+BQ10)*BP12,BP12)))</f>
        <v>87744244.021412343</v>
      </c>
      <c r="BR12" s="229">
        <f ca="1">IF(AND(BR9=1,BR6&gt;=MonthFinalUnits,BQ12&lt;TotalProjectCost+'Operating Inputs'!$D$224),(TotalProjectCost+'Operating Inputs'!$D$224)*(1+BR10),IF(AND(BR9=1,BR6&lt;MonthFinalUnits),BR8,IF(BR9=1,(1+BR10)*BQ12,BQ12)))</f>
        <v>87744244.021412343</v>
      </c>
      <c r="BS12" s="229">
        <f ca="1">IF(AND(BS9=1,BS6&gt;=MonthFinalUnits,BR12&lt;TotalProjectCost+'Operating Inputs'!$D$224),(TotalProjectCost+'Operating Inputs'!$D$224)*(1+BS10),IF(AND(BS9=1,BS6&lt;MonthFinalUnits),BS8,IF(BS9=1,(1+BS10)*BR12,BR12)))</f>
        <v>87744244.021412343</v>
      </c>
      <c r="BT12" s="229">
        <f ca="1">IF(AND(BT9=1,BT6&gt;=MonthFinalUnits,BS12&lt;TotalProjectCost+'Operating Inputs'!$D$224),(TotalProjectCost+'Operating Inputs'!$D$224)*(1+BT10),IF(AND(BT9=1,BT6&lt;MonthFinalUnits),BT8,IF(BT9=1,(1+BT10)*BS12,BS12)))</f>
        <v>87744244.021412343</v>
      </c>
      <c r="BU12" s="229">
        <f ca="1">IF(AND(BU9=1,BU6&gt;=MonthFinalUnits,BT12&lt;TotalProjectCost+'Operating Inputs'!$D$224),(TotalProjectCost+'Operating Inputs'!$D$224)*(1+BU10),IF(AND(BU9=1,BU6&lt;MonthFinalUnits),BU8,IF(BU9=1,(1+BU10)*BT12,BT12)))</f>
        <v>87744244.021412343</v>
      </c>
      <c r="BV12" s="229">
        <f ca="1">IF(AND(BV9=1,BV6&gt;=MonthFinalUnits,BU12&lt;TotalProjectCost+'Operating Inputs'!$D$224),(TotalProjectCost+'Operating Inputs'!$D$224)*(1+BV10),IF(AND(BV9=1,BV6&lt;MonthFinalUnits),BV8,IF(BV9=1,(1+BV10)*BU12,BU12)))</f>
        <v>87744244.021412343</v>
      </c>
      <c r="BW12" s="229">
        <f ca="1">IF(AND(BW9=1,BW6&gt;=MonthFinalUnits,BV12&lt;TotalProjectCost+'Operating Inputs'!$D$224),(TotalProjectCost+'Operating Inputs'!$D$224)*(1+BW10),IF(AND(BW9=1,BW6&lt;MonthFinalUnits),BW8,IF(BW9=1,(1+BW10)*BV12,BV12)))</f>
        <v>87744244.021412343</v>
      </c>
      <c r="BX12" s="229">
        <f ca="1">IF(AND(BX9=1,BX6&gt;=MonthFinalUnits,BW12&lt;TotalProjectCost+'Operating Inputs'!$D$224),(TotalProjectCost+'Operating Inputs'!$D$224)*(1+BX10),IF(AND(BX9=1,BX6&lt;MonthFinalUnits),BX8,IF(BX9=1,(1+BX10)*BW12,BW12)))</f>
        <v>87744244.021412343</v>
      </c>
      <c r="BY12" s="229">
        <f ca="1">IF(AND(BY9=1,BY6&gt;=MonthFinalUnits,BX12&lt;TotalProjectCost+'Operating Inputs'!$D$224),(TotalProjectCost+'Operating Inputs'!$D$224)*(1+BY10),IF(AND(BY9=1,BY6&lt;MonthFinalUnits),BY8,IF(BY9=1,(1+BY10)*BX12,BX12)))</f>
        <v>87744244.021412343</v>
      </c>
      <c r="BZ12" s="229">
        <f ca="1">IF(AND(BZ9=1,BZ6&gt;=MonthFinalUnits,BY12&lt;TotalProjectCost+'Operating Inputs'!$D$224),(TotalProjectCost+'Operating Inputs'!$D$224)*(1+BZ10),IF(AND(BZ9=1,BZ6&lt;MonthFinalUnits),BZ8,IF(BZ9=1,(1+BZ10)*BY12,BY12)))</f>
        <v>87744244.021412343</v>
      </c>
      <c r="CA12" s="229">
        <f ca="1">IF(AND(CA9=1,CA6&gt;=MonthFinalUnits,BZ12&lt;TotalProjectCost+'Operating Inputs'!$D$224),(TotalProjectCost+'Operating Inputs'!$D$224)*(1+CA10),IF(AND(CA9=1,CA6&lt;MonthFinalUnits),CA8,IF(CA9=1,(1+CA10)*BZ12,BZ12)))</f>
        <v>87744244.021412343</v>
      </c>
      <c r="CB12" s="229">
        <f ca="1">IF(AND(CB9=1,CB6&gt;=MonthFinalUnits,CA12&lt;TotalProjectCost+'Operating Inputs'!$D$224),(TotalProjectCost+'Operating Inputs'!$D$224)*(1+CB10),IF(AND(CB9=1,CB6&lt;MonthFinalUnits),CB8,IF(CB9=1,(1+CB10)*CA12,CA12)))</f>
        <v>90376571.34205471</v>
      </c>
      <c r="CC12" s="229">
        <f ca="1">IF(AND(CC9=1,CC6&gt;=MonthFinalUnits,CB12&lt;TotalProjectCost+'Operating Inputs'!$D$224),(TotalProjectCost+'Operating Inputs'!$D$224)*(1+CC10),IF(AND(CC9=1,CC6&lt;MonthFinalUnits),CC8,IF(CC9=1,(1+CC10)*CB12,CB12)))</f>
        <v>90376571.34205471</v>
      </c>
      <c r="CD12" s="229">
        <f ca="1">IF(AND(CD9=1,CD6&gt;=MonthFinalUnits,CC12&lt;TotalProjectCost+'Operating Inputs'!$D$224),(TotalProjectCost+'Operating Inputs'!$D$224)*(1+CD10),IF(AND(CD9=1,CD6&lt;MonthFinalUnits),CD8,IF(CD9=1,(1+CD10)*CC12,CC12)))</f>
        <v>90376571.34205471</v>
      </c>
      <c r="CE12" s="229">
        <f ca="1">IF(AND(CE9=1,CE6&gt;=MonthFinalUnits,CD12&lt;TotalProjectCost+'Operating Inputs'!$D$224),(TotalProjectCost+'Operating Inputs'!$D$224)*(1+CE10),IF(AND(CE9=1,CE6&lt;MonthFinalUnits),CE8,IF(CE9=1,(1+CE10)*CD12,CD12)))</f>
        <v>90376571.34205471</v>
      </c>
      <c r="CF12" s="229">
        <f ca="1">IF(AND(CF9=1,CF6&gt;=MonthFinalUnits,CE12&lt;TotalProjectCost+'Operating Inputs'!$D$224),(TotalProjectCost+'Operating Inputs'!$D$224)*(1+CF10),IF(AND(CF9=1,CF6&lt;MonthFinalUnits),CF8,IF(CF9=1,(1+CF10)*CE12,CE12)))</f>
        <v>90376571.34205471</v>
      </c>
      <c r="CG12" s="229">
        <f ca="1">IF(AND(CG9=1,CG6&gt;=MonthFinalUnits,CF12&lt;TotalProjectCost+'Operating Inputs'!$D$224),(TotalProjectCost+'Operating Inputs'!$D$224)*(1+CG10),IF(AND(CG9=1,CG6&lt;MonthFinalUnits),CG8,IF(CG9=1,(1+CG10)*CF12,CF12)))</f>
        <v>90376571.34205471</v>
      </c>
      <c r="CH12" s="229">
        <f ca="1">IF(AND(CH9=1,CH6&gt;=MonthFinalUnits,CG12&lt;TotalProjectCost+'Operating Inputs'!$D$224),(TotalProjectCost+'Operating Inputs'!$D$224)*(1+CH10),IF(AND(CH9=1,CH6&lt;MonthFinalUnits),CH8,IF(CH9=1,(1+CH10)*CG12,CG12)))</f>
        <v>90376571.34205471</v>
      </c>
      <c r="CI12" s="229">
        <f ca="1">IF(AND(CI9=1,CI6&gt;=MonthFinalUnits,CH12&lt;TotalProjectCost+'Operating Inputs'!$D$224),(TotalProjectCost+'Operating Inputs'!$D$224)*(1+CI10),IF(AND(CI9=1,CI6&lt;MonthFinalUnits),CI8,IF(CI9=1,(1+CI10)*CH12,CH12)))</f>
        <v>90376571.34205471</v>
      </c>
      <c r="CJ12" s="229">
        <f ca="1">IF(AND(CJ9=1,CJ6&gt;=MonthFinalUnits,CI12&lt;TotalProjectCost+'Operating Inputs'!$D$224),(TotalProjectCost+'Operating Inputs'!$D$224)*(1+CJ10),IF(AND(CJ9=1,CJ6&lt;MonthFinalUnits),CJ8,IF(CJ9=1,(1+CJ10)*CI12,CI12)))</f>
        <v>90376571.34205471</v>
      </c>
      <c r="CK12" s="229">
        <f ca="1">IF(AND(CK9=1,CK6&gt;=MonthFinalUnits,CJ12&lt;TotalProjectCost+'Operating Inputs'!$D$224),(TotalProjectCost+'Operating Inputs'!$D$224)*(1+CK10),IF(AND(CK9=1,CK6&lt;MonthFinalUnits),CK8,IF(CK9=1,(1+CK10)*CJ12,CJ12)))</f>
        <v>90376571.34205471</v>
      </c>
      <c r="CL12" s="229">
        <f ca="1">IF(AND(CL9=1,CL6&gt;=MonthFinalUnits,CK12&lt;TotalProjectCost+'Operating Inputs'!$D$224),(TotalProjectCost+'Operating Inputs'!$D$224)*(1+CL10),IF(AND(CL9=1,CL6&lt;MonthFinalUnits),CL8,IF(CL9=1,(1+CL10)*CK12,CK12)))</f>
        <v>90376571.34205471</v>
      </c>
      <c r="CM12" s="229">
        <f ca="1">IF(AND(CM9=1,CM6&gt;=MonthFinalUnits,CL12&lt;TotalProjectCost+'Operating Inputs'!$D$224),(TotalProjectCost+'Operating Inputs'!$D$224)*(1+CM10),IF(AND(CM9=1,CM6&lt;MonthFinalUnits),CM8,IF(CM9=1,(1+CM10)*CL12,CL12)))</f>
        <v>90376571.34205471</v>
      </c>
      <c r="CN12" s="229">
        <f ca="1">IF(AND(CN9=1,CN6&gt;=MonthFinalUnits,CM12&lt;TotalProjectCost+'Operating Inputs'!$D$224),(TotalProjectCost+'Operating Inputs'!$D$224)*(1+CN10),IF(AND(CN9=1,CN6&lt;MonthFinalUnits),CN8,IF(CN9=1,(1+CN10)*CM12,CM12)))</f>
        <v>93087868.48231636</v>
      </c>
      <c r="CO12" s="229">
        <f ca="1">IF(AND(CO9=1,CO6&gt;=MonthFinalUnits,CN12&lt;TotalProjectCost+'Operating Inputs'!$D$224),(TotalProjectCost+'Operating Inputs'!$D$224)*(1+CO10),IF(AND(CO9=1,CO6&lt;MonthFinalUnits),CO8,IF(CO9=1,(1+CO10)*CN12,CN12)))</f>
        <v>93087868.48231636</v>
      </c>
      <c r="CP12" s="229">
        <f ca="1">IF(AND(CP9=1,CP6&gt;=MonthFinalUnits,CO12&lt;TotalProjectCost+'Operating Inputs'!$D$224),(TotalProjectCost+'Operating Inputs'!$D$224)*(1+CP10),IF(AND(CP9=1,CP6&lt;MonthFinalUnits),CP8,IF(CP9=1,(1+CP10)*CO12,CO12)))</f>
        <v>93087868.48231636</v>
      </c>
      <c r="CQ12" s="229">
        <f ca="1">IF(AND(CQ9=1,CQ6&gt;=MonthFinalUnits,CP12&lt;TotalProjectCost+'Operating Inputs'!$D$224),(TotalProjectCost+'Operating Inputs'!$D$224)*(1+CQ10),IF(AND(CQ9=1,CQ6&lt;MonthFinalUnits),CQ8,IF(CQ9=1,(1+CQ10)*CP12,CP12)))</f>
        <v>93087868.48231636</v>
      </c>
      <c r="CR12" s="229">
        <f ca="1">IF(AND(CR9=1,CR6&gt;=MonthFinalUnits,CQ12&lt;TotalProjectCost+'Operating Inputs'!$D$224),(TotalProjectCost+'Operating Inputs'!$D$224)*(1+CR10),IF(AND(CR9=1,CR6&lt;MonthFinalUnits),CR8,IF(CR9=1,(1+CR10)*CQ12,CQ12)))</f>
        <v>93087868.48231636</v>
      </c>
      <c r="CS12" s="229">
        <f ca="1">IF(AND(CS9=1,CS6&gt;=MonthFinalUnits,CR12&lt;TotalProjectCost+'Operating Inputs'!$D$224),(TotalProjectCost+'Operating Inputs'!$D$224)*(1+CS10),IF(AND(CS9=1,CS6&lt;MonthFinalUnits),CS8,IF(CS9=1,(1+CS10)*CR12,CR12)))</f>
        <v>93087868.48231636</v>
      </c>
      <c r="CT12" s="229">
        <f ca="1">IF(AND(CT9=1,CT6&gt;=MonthFinalUnits,CS12&lt;TotalProjectCost+'Operating Inputs'!$D$224),(TotalProjectCost+'Operating Inputs'!$D$224)*(1+CT10),IF(AND(CT9=1,CT6&lt;MonthFinalUnits),CT8,IF(CT9=1,(1+CT10)*CS12,CS12)))</f>
        <v>93087868.48231636</v>
      </c>
      <c r="CU12" s="229">
        <f ca="1">IF(AND(CU9=1,CU6&gt;=MonthFinalUnits,CT12&lt;TotalProjectCost+'Operating Inputs'!$D$224),(TotalProjectCost+'Operating Inputs'!$D$224)*(1+CU10),IF(AND(CU9=1,CU6&lt;MonthFinalUnits),CU8,IF(CU9=1,(1+CU10)*CT12,CT12)))</f>
        <v>93087868.48231636</v>
      </c>
      <c r="CV12" s="229">
        <f ca="1">IF(AND(CV9=1,CV6&gt;=MonthFinalUnits,CU12&lt;TotalProjectCost+'Operating Inputs'!$D$224),(TotalProjectCost+'Operating Inputs'!$D$224)*(1+CV10),IF(AND(CV9=1,CV6&lt;MonthFinalUnits),CV8,IF(CV9=1,(1+CV10)*CU12,CU12)))</f>
        <v>93087868.48231636</v>
      </c>
      <c r="CW12" s="229">
        <f ca="1">IF(AND(CW9=1,CW6&gt;=MonthFinalUnits,CV12&lt;TotalProjectCost+'Operating Inputs'!$D$224),(TotalProjectCost+'Operating Inputs'!$D$224)*(1+CW10),IF(AND(CW9=1,CW6&lt;MonthFinalUnits),CW8,IF(CW9=1,(1+CW10)*CV12,CV12)))</f>
        <v>93087868.48231636</v>
      </c>
      <c r="CX12" s="229">
        <f ca="1">IF(AND(CX9=1,CX6&gt;=MonthFinalUnits,CW12&lt;TotalProjectCost+'Operating Inputs'!$D$224),(TotalProjectCost+'Operating Inputs'!$D$224)*(1+CX10),IF(AND(CX9=1,CX6&lt;MonthFinalUnits),CX8,IF(CX9=1,(1+CX10)*CW12,CW12)))</f>
        <v>93087868.48231636</v>
      </c>
      <c r="CY12" s="229">
        <f ca="1">IF(AND(CY9=1,CY6&gt;=MonthFinalUnits,CX12&lt;TotalProjectCost+'Operating Inputs'!$D$224),(TotalProjectCost+'Operating Inputs'!$D$224)*(1+CY10),IF(AND(CY9=1,CY6&lt;MonthFinalUnits),CY8,IF(CY9=1,(1+CY10)*CX12,CX12)))</f>
        <v>93087868.48231636</v>
      </c>
      <c r="CZ12" s="229">
        <f ca="1">IF(AND(CZ9=1,CZ6&gt;=MonthFinalUnits,CY12&lt;TotalProjectCost+'Operating Inputs'!$D$224),(TotalProjectCost+'Operating Inputs'!$D$224)*(1+CZ10),IF(AND(CZ9=1,CZ6&lt;MonthFinalUnits),CZ8,IF(CZ9=1,(1+CZ10)*CY12,CY12)))</f>
        <v>95880504.536785856</v>
      </c>
      <c r="DA12" s="229">
        <f ca="1">IF(AND(DA9=1,DA6&gt;=MonthFinalUnits,CZ12&lt;TotalProjectCost+'Operating Inputs'!$D$224),(TotalProjectCost+'Operating Inputs'!$D$224)*(1+DA10),IF(AND(DA9=1,DA6&lt;MonthFinalUnits),DA8,IF(DA9=1,(1+DA10)*CZ12,CZ12)))</f>
        <v>95880504.536785856</v>
      </c>
      <c r="DB12" s="229">
        <f ca="1">IF(AND(DB9=1,DB6&gt;=MonthFinalUnits,DA12&lt;TotalProjectCost+'Operating Inputs'!$D$224),(TotalProjectCost+'Operating Inputs'!$D$224)*(1+DB10),IF(AND(DB9=1,DB6&lt;MonthFinalUnits),DB8,IF(DB9=1,(1+DB10)*DA12,DA12)))</f>
        <v>95880504.536785856</v>
      </c>
      <c r="DC12" s="229">
        <f ca="1">IF(AND(DC9=1,DC6&gt;=MonthFinalUnits,DB12&lt;TotalProjectCost+'Operating Inputs'!$D$224),(TotalProjectCost+'Operating Inputs'!$D$224)*(1+DC10),IF(AND(DC9=1,DC6&lt;MonthFinalUnits),DC8,IF(DC9=1,(1+DC10)*DB12,DB12)))</f>
        <v>95880504.536785856</v>
      </c>
      <c r="DD12" s="229">
        <f ca="1">IF(AND(DD9=1,DD6&gt;=MonthFinalUnits,DC12&lt;TotalProjectCost+'Operating Inputs'!$D$224),(TotalProjectCost+'Operating Inputs'!$D$224)*(1+DD10),IF(AND(DD9=1,DD6&lt;MonthFinalUnits),DD8,IF(DD9=1,(1+DD10)*DC12,DC12)))</f>
        <v>95880504.536785856</v>
      </c>
      <c r="DE12" s="229">
        <f ca="1">IF(AND(DE9=1,DE6&gt;=MonthFinalUnits,DD12&lt;TotalProjectCost+'Operating Inputs'!$D$224),(TotalProjectCost+'Operating Inputs'!$D$224)*(1+DE10),IF(AND(DE9=1,DE6&lt;MonthFinalUnits),DE8,IF(DE9=1,(1+DE10)*DD12,DD12)))</f>
        <v>95880504.536785856</v>
      </c>
      <c r="DF12" s="229">
        <f ca="1">IF(AND(DF9=1,DF6&gt;=MonthFinalUnits,DE12&lt;TotalProjectCost+'Operating Inputs'!$D$224),(TotalProjectCost+'Operating Inputs'!$D$224)*(1+DF10),IF(AND(DF9=1,DF6&lt;MonthFinalUnits),DF8,IF(DF9=1,(1+DF10)*DE12,DE12)))</f>
        <v>95880504.536785856</v>
      </c>
      <c r="DG12" s="229">
        <f ca="1">IF(AND(DG9=1,DG6&gt;=MonthFinalUnits,DF12&lt;TotalProjectCost+'Operating Inputs'!$D$224),(TotalProjectCost+'Operating Inputs'!$D$224)*(1+DG10),IF(AND(DG9=1,DG6&lt;MonthFinalUnits),DG8,IF(DG9=1,(1+DG10)*DF12,DF12)))</f>
        <v>95880504.536785856</v>
      </c>
      <c r="DH12" s="229">
        <f ca="1">IF(AND(DH9=1,DH6&gt;=MonthFinalUnits,DG12&lt;TotalProjectCost+'Operating Inputs'!$D$224),(TotalProjectCost+'Operating Inputs'!$D$224)*(1+DH10),IF(AND(DH9=1,DH6&lt;MonthFinalUnits),DH8,IF(DH9=1,(1+DH10)*DG12,DG12)))</f>
        <v>95880504.536785856</v>
      </c>
      <c r="DI12" s="229">
        <f ca="1">IF(AND(DI9=1,DI6&gt;=MonthFinalUnits,DH12&lt;TotalProjectCost+'Operating Inputs'!$D$224),(TotalProjectCost+'Operating Inputs'!$D$224)*(1+DI10),IF(AND(DI9=1,DI6&lt;MonthFinalUnits),DI8,IF(DI9=1,(1+DI10)*DH12,DH12)))</f>
        <v>95880504.536785856</v>
      </c>
      <c r="DJ12" s="229">
        <f ca="1">IF(AND(DJ9=1,DJ6&gt;=MonthFinalUnits,DI12&lt;TotalProjectCost+'Operating Inputs'!$D$224),(TotalProjectCost+'Operating Inputs'!$D$224)*(1+DJ10),IF(AND(DJ9=1,DJ6&lt;MonthFinalUnits),DJ8,IF(DJ9=1,(1+DJ10)*DI12,DI12)))</f>
        <v>95880504.536785856</v>
      </c>
      <c r="DK12" s="229">
        <f ca="1">IF(AND(DK9=1,DK6&gt;=MonthFinalUnits,DJ12&lt;TotalProjectCost+'Operating Inputs'!$D$224),(TotalProjectCost+'Operating Inputs'!$D$224)*(1+DK10),IF(AND(DK9=1,DK6&lt;MonthFinalUnits),DK8,IF(DK9=1,(1+DK10)*DJ12,DJ12)))</f>
        <v>95880504.536785856</v>
      </c>
      <c r="DL12" s="229">
        <f ca="1">IF(AND(DL9=1,DL6&gt;=MonthFinalUnits,DK12&lt;TotalProjectCost+'Operating Inputs'!$D$224),(TotalProjectCost+'Operating Inputs'!$D$224)*(1+DL10),IF(AND(DL9=1,DL6&lt;MonthFinalUnits),DL8,IF(DL9=1,(1+DL10)*DK12,DK12)))</f>
        <v>98756919.672889441</v>
      </c>
      <c r="DM12" s="229">
        <f ca="1">IF(AND(DM9=1,DM6&gt;=MonthFinalUnits,DL12&lt;TotalProjectCost+'Operating Inputs'!$D$224),(TotalProjectCost+'Operating Inputs'!$D$224)*(1+DM10),IF(AND(DM9=1,DM6&lt;MonthFinalUnits),DM8,IF(DM9=1,(1+DM10)*DL12,DL12)))</f>
        <v>98756919.672889441</v>
      </c>
      <c r="DN12" s="229">
        <f ca="1">IF(AND(DN9=1,DN6&gt;=MonthFinalUnits,DM12&lt;TotalProjectCost+'Operating Inputs'!$D$224),(TotalProjectCost+'Operating Inputs'!$D$224)*(1+DN10),IF(AND(DN9=1,DN6&lt;MonthFinalUnits),DN8,IF(DN9=1,(1+DN10)*DM12,DM12)))</f>
        <v>98756919.672889441</v>
      </c>
      <c r="DO12" s="229">
        <f ca="1">IF(AND(DO9=1,DO6&gt;=MonthFinalUnits,DN12&lt;TotalProjectCost+'Operating Inputs'!$D$224),(TotalProjectCost+'Operating Inputs'!$D$224)*(1+DO10),IF(AND(DO9=1,DO6&lt;MonthFinalUnits),DO8,IF(DO9=1,(1+DO10)*DN12,DN12)))</f>
        <v>98756919.672889441</v>
      </c>
      <c r="DP12" s="229">
        <f ca="1">IF(AND(DP9=1,DP6&gt;=MonthFinalUnits,DO12&lt;TotalProjectCost+'Operating Inputs'!$D$224),(TotalProjectCost+'Operating Inputs'!$D$224)*(1+DP10),IF(AND(DP9=1,DP6&lt;MonthFinalUnits),DP8,IF(DP9=1,(1+DP10)*DO12,DO12)))</f>
        <v>98756919.672889441</v>
      </c>
      <c r="DQ12" s="229">
        <f ca="1">IF(AND(DQ9=1,DQ6&gt;=MonthFinalUnits,DP12&lt;TotalProjectCost+'Operating Inputs'!$D$224),(TotalProjectCost+'Operating Inputs'!$D$224)*(1+DQ10),IF(AND(DQ9=1,DQ6&lt;MonthFinalUnits),DQ8,IF(DQ9=1,(1+DQ10)*DP12,DP12)))</f>
        <v>98756919.672889441</v>
      </c>
      <c r="DR12" s="229">
        <f ca="1">IF(AND(DR9=1,DR6&gt;=MonthFinalUnits,DQ12&lt;TotalProjectCost+'Operating Inputs'!$D$224),(TotalProjectCost+'Operating Inputs'!$D$224)*(1+DR10),IF(AND(DR9=1,DR6&lt;MonthFinalUnits),DR8,IF(DR9=1,(1+DR10)*DQ12,DQ12)))</f>
        <v>98756919.672889441</v>
      </c>
      <c r="DS12" s="229">
        <f ca="1">IF(AND(DS9=1,DS6&gt;=MonthFinalUnits,DR12&lt;TotalProjectCost+'Operating Inputs'!$D$224),(TotalProjectCost+'Operating Inputs'!$D$224)*(1+DS10),IF(AND(DS9=1,DS6&lt;MonthFinalUnits),DS8,IF(DS9=1,(1+DS10)*DR12,DR12)))</f>
        <v>98756919.672889441</v>
      </c>
      <c r="DT12" s="229">
        <f ca="1">IF(AND(DT9=1,DT6&gt;=MonthFinalUnits,DS12&lt;TotalProjectCost+'Operating Inputs'!$D$224),(TotalProjectCost+'Operating Inputs'!$D$224)*(1+DT10),IF(AND(DT9=1,DT6&lt;MonthFinalUnits),DT8,IF(DT9=1,(1+DT10)*DS12,DS12)))</f>
        <v>98756919.672889441</v>
      </c>
      <c r="DU12" s="229">
        <f ca="1">IF(AND(DU9=1,DU6&gt;=MonthFinalUnits,DT12&lt;TotalProjectCost+'Operating Inputs'!$D$224),(TotalProjectCost+'Operating Inputs'!$D$224)*(1+DU10),IF(AND(DU9=1,DU6&lt;MonthFinalUnits),DU8,IF(DU9=1,(1+DU10)*DT12,DT12)))</f>
        <v>98756919.672889441</v>
      </c>
      <c r="DV12" s="229">
        <f ca="1">IF(AND(DV9=1,DV6&gt;=MonthFinalUnits,DU12&lt;TotalProjectCost+'Operating Inputs'!$D$224),(TotalProjectCost+'Operating Inputs'!$D$224)*(1+DV10),IF(AND(DV9=1,DV6&lt;MonthFinalUnits),DV8,IF(DV9=1,(1+DV10)*DU12,DU12)))</f>
        <v>98756919.672889441</v>
      </c>
      <c r="DW12" s="229">
        <f ca="1">IF(AND(DW9=1,DW6&gt;=MonthFinalUnits,DV12&lt;TotalProjectCost+'Operating Inputs'!$D$224),(TotalProjectCost+'Operating Inputs'!$D$224)*(1+DW10),IF(AND(DW9=1,DW6&lt;MonthFinalUnits),DW8,IF(DW9=1,(1+DW10)*DV12,DV12)))</f>
        <v>98756919.672889441</v>
      </c>
      <c r="DX12" s="229">
        <f ca="1">IF(AND(DX9=1,DX6&gt;=MonthFinalUnits,DW12&lt;TotalProjectCost+'Operating Inputs'!$D$224),(TotalProjectCost+'Operating Inputs'!$D$224)*(1+DX10),IF(AND(DX9=1,DX6&lt;MonthFinalUnits),DX8,IF(DX9=1,(1+DX10)*DW12,DW12)))</f>
        <v>101719627.26307613</v>
      </c>
      <c r="DY12" s="229">
        <f ca="1">IF(AND(DY9=1,DY6&gt;=MonthFinalUnits,DX12&lt;TotalProjectCost+'Operating Inputs'!$D$224),(TotalProjectCost+'Operating Inputs'!$D$224)*(1+DY10),IF(AND(DY9=1,DY6&lt;MonthFinalUnits),DY8,IF(DY9=1,(1+DY10)*DX12,DX12)))</f>
        <v>101719627.26307613</v>
      </c>
      <c r="DZ12" s="229">
        <f ca="1">IF(AND(DZ9=1,DZ6&gt;=MonthFinalUnits,DY12&lt;TotalProjectCost+'Operating Inputs'!$D$224),(TotalProjectCost+'Operating Inputs'!$D$224)*(1+DZ10),IF(AND(DZ9=1,DZ6&lt;MonthFinalUnits),DZ8,IF(DZ9=1,(1+DZ10)*DY12,DY12)))</f>
        <v>101719627.26307613</v>
      </c>
      <c r="EA12" s="229">
        <f ca="1">IF(AND(EA9=1,EA6&gt;=MonthFinalUnits,DZ12&lt;TotalProjectCost+'Operating Inputs'!$D$224),(TotalProjectCost+'Operating Inputs'!$D$224)*(1+EA10),IF(AND(EA9=1,EA6&lt;MonthFinalUnits),EA8,IF(EA9=1,(1+EA10)*DZ12,DZ12)))</f>
        <v>101719627.26307613</v>
      </c>
      <c r="EB12" s="229">
        <f ca="1">IF(AND(EB9=1,EB6&gt;=MonthFinalUnits,EA12&lt;TotalProjectCost+'Operating Inputs'!$D$224),(TotalProjectCost+'Operating Inputs'!$D$224)*(1+EB10),IF(AND(EB9=1,EB6&lt;MonthFinalUnits),EB8,IF(EB9=1,(1+EB10)*EA12,EA12)))</f>
        <v>101719627.26307613</v>
      </c>
      <c r="EC12" s="229">
        <f ca="1">IF(AND(EC9=1,EC6&gt;=MonthFinalUnits,EB12&lt;TotalProjectCost+'Operating Inputs'!$D$224),(TotalProjectCost+'Operating Inputs'!$D$224)*(1+EC10),IF(AND(EC9=1,EC6&lt;MonthFinalUnits),EC8,IF(EC9=1,(1+EC10)*EB12,EB12)))</f>
        <v>101719627.26307613</v>
      </c>
      <c r="ED12" s="229">
        <f ca="1">IF(AND(ED9=1,ED6&gt;=MonthFinalUnits,EC12&lt;TotalProjectCost+'Operating Inputs'!$D$224),(TotalProjectCost+'Operating Inputs'!$D$224)*(1+ED10),IF(AND(ED9=1,ED6&lt;MonthFinalUnits),ED8,IF(ED9=1,(1+ED10)*EC12,EC12)))</f>
        <v>101719627.26307613</v>
      </c>
      <c r="EE12" s="229">
        <f ca="1">IF(AND(EE9=1,EE6&gt;=MonthFinalUnits,ED12&lt;TotalProjectCost+'Operating Inputs'!$D$224),(TotalProjectCost+'Operating Inputs'!$D$224)*(1+EE10),IF(AND(EE9=1,EE6&lt;MonthFinalUnits),EE8,IF(EE9=1,(1+EE10)*ED12,ED12)))</f>
        <v>101719627.26307613</v>
      </c>
      <c r="EF12" s="229">
        <f ca="1">IF(AND(EF9=1,EF6&gt;=MonthFinalUnits,EE12&lt;TotalProjectCost+'Operating Inputs'!$D$224),(TotalProjectCost+'Operating Inputs'!$D$224)*(1+EF10),IF(AND(EF9=1,EF6&lt;MonthFinalUnits),EF8,IF(EF9=1,(1+EF10)*EE12,EE12)))</f>
        <v>101719627.26307613</v>
      </c>
    </row>
    <row r="13" spans="1:136" x14ac:dyDescent="0.3">
      <c r="A13" s="229" t="s">
        <v>2273</v>
      </c>
      <c r="D13" s="16">
        <f>+IF(HLOOKUP(YEAR(D$5),'Tax Study Input'!$B$8:$N$14,7,FALSE)="",D$12,HLOOKUP(YEAR(D$5),'Tax Study Input'!$B$8:$N$14,7,FALSE))</f>
        <v>4007300</v>
      </c>
      <c r="E13" s="16">
        <f>+IF(HLOOKUP(YEAR(E$5),'Tax Study Input'!$B$8:$N$14,7,FALSE)="",E$12,HLOOKUP(YEAR(E$5),'Tax Study Input'!$B$8:$N$14,7,FALSE))</f>
        <v>4007300</v>
      </c>
      <c r="F13" s="16">
        <f>+IF(HLOOKUP(YEAR(F$5),'Tax Study Input'!$B$8:$N$14,7,FALSE)="",F$12,HLOOKUP(YEAR(F$5),'Tax Study Input'!$B$8:$N$14,7,FALSE))</f>
        <v>4007300</v>
      </c>
      <c r="G13" s="16">
        <f>+IF(HLOOKUP(YEAR(G$5),'Tax Study Input'!$B$8:$N$14,7,FALSE)="",G$12,HLOOKUP(YEAR(G$5),'Tax Study Input'!$B$8:$N$14,7,FALSE))</f>
        <v>4007300</v>
      </c>
      <c r="H13" s="16">
        <f>+IF(HLOOKUP(YEAR(H$5),'Tax Study Input'!$B$8:$N$14,7,FALSE)="",H$12,HLOOKUP(YEAR(H$5),'Tax Study Input'!$B$8:$N$14,7,FALSE))</f>
        <v>4699000</v>
      </c>
      <c r="I13" s="16">
        <f>+IF(HLOOKUP(YEAR(I$5),'Tax Study Input'!$B$8:$N$14,7,FALSE)="",I$12,HLOOKUP(YEAR(I$5),'Tax Study Input'!$B$8:$N$14,7,FALSE))</f>
        <v>4699000</v>
      </c>
      <c r="J13" s="16">
        <f>+IF(HLOOKUP(YEAR(J$5),'Tax Study Input'!$B$8:$N$14,7,FALSE)="",J$12,HLOOKUP(YEAR(J$5),'Tax Study Input'!$B$8:$N$14,7,FALSE))</f>
        <v>4699000</v>
      </c>
      <c r="K13" s="16">
        <f>+IF(HLOOKUP(YEAR(K$5),'Tax Study Input'!$B$8:$N$14,7,FALSE)="",K$12,HLOOKUP(YEAR(K$5),'Tax Study Input'!$B$8:$N$14,7,FALSE))</f>
        <v>4699000</v>
      </c>
      <c r="L13" s="16">
        <f>+IF(HLOOKUP(YEAR(L$5),'Tax Study Input'!$B$8:$N$14,7,FALSE)="",L$12,HLOOKUP(YEAR(L$5),'Tax Study Input'!$B$8:$N$14,7,FALSE))</f>
        <v>4699000</v>
      </c>
      <c r="M13" s="16">
        <f>+IF(HLOOKUP(YEAR(M$5),'Tax Study Input'!$B$8:$N$14,7,FALSE)="",M$12,HLOOKUP(YEAR(M$5),'Tax Study Input'!$B$8:$N$14,7,FALSE))</f>
        <v>4699000</v>
      </c>
      <c r="N13" s="16">
        <f>+IF(HLOOKUP(YEAR(N$5),'Tax Study Input'!$B$8:$N$14,7,FALSE)="",N$12,HLOOKUP(YEAR(N$5),'Tax Study Input'!$B$8:$N$14,7,FALSE))</f>
        <v>4699000</v>
      </c>
      <c r="O13" s="16">
        <f>+IF(HLOOKUP(YEAR(O$5),'Tax Study Input'!$B$8:$N$14,7,FALSE)="",O$12,HLOOKUP(YEAR(O$5),'Tax Study Input'!$B$8:$N$14,7,FALSE))</f>
        <v>4699000</v>
      </c>
      <c r="P13" s="16">
        <f>+IF(HLOOKUP(YEAR(P$5),'Tax Study Input'!$B$8:$N$14,7,FALSE)="",P$12,HLOOKUP(YEAR(P$5),'Tax Study Input'!$B$8:$N$14,7,FALSE))</f>
        <v>4699000</v>
      </c>
      <c r="Q13" s="16">
        <f>+IF(HLOOKUP(YEAR(Q$5),'Tax Study Input'!$B$8:$N$14,7,FALSE)="",Q$12,HLOOKUP(YEAR(Q$5),'Tax Study Input'!$B$8:$N$14,7,FALSE))</f>
        <v>4699000</v>
      </c>
      <c r="R13" s="16">
        <f>+IF(HLOOKUP(YEAR(R$5),'Tax Study Input'!$B$8:$N$14,7,FALSE)="",R$12,HLOOKUP(YEAR(R$5),'Tax Study Input'!$B$8:$N$14,7,FALSE))</f>
        <v>4699000</v>
      </c>
      <c r="S13" s="16">
        <f>+IF(HLOOKUP(YEAR(S$5),'Tax Study Input'!$B$8:$N$14,7,FALSE)="",S$12,HLOOKUP(YEAR(S$5),'Tax Study Input'!$B$8:$N$14,7,FALSE))</f>
        <v>4699000</v>
      </c>
      <c r="T13" s="16">
        <f>+IF(HLOOKUP(YEAR(T$5),'Tax Study Input'!$B$8:$N$14,7,FALSE)="",T$12,HLOOKUP(YEAR(T$5),'Tax Study Input'!$B$8:$N$14,7,FALSE))</f>
        <v>21846000</v>
      </c>
      <c r="U13" s="16">
        <f>+IF(HLOOKUP(YEAR(U$5),'Tax Study Input'!$B$8:$N$14,7,FALSE)="",U$12,HLOOKUP(YEAR(U$5),'Tax Study Input'!$B$8:$N$14,7,FALSE))</f>
        <v>21846000</v>
      </c>
      <c r="V13" s="16">
        <f>+IF(HLOOKUP(YEAR(V$5),'Tax Study Input'!$B$8:$N$14,7,FALSE)="",V$12,HLOOKUP(YEAR(V$5),'Tax Study Input'!$B$8:$N$14,7,FALSE))</f>
        <v>21846000</v>
      </c>
      <c r="W13" s="16">
        <f>+IF(HLOOKUP(YEAR(W$5),'Tax Study Input'!$B$8:$N$14,7,FALSE)="",W$12,HLOOKUP(YEAR(W$5),'Tax Study Input'!$B$8:$N$14,7,FALSE))</f>
        <v>21846000</v>
      </c>
      <c r="X13" s="16">
        <f>+IF(HLOOKUP(YEAR(X$5),'Tax Study Input'!$B$8:$N$14,7,FALSE)="",X$12,HLOOKUP(YEAR(X$5),'Tax Study Input'!$B$8:$N$14,7,FALSE))</f>
        <v>21846000</v>
      </c>
      <c r="Y13" s="16">
        <f>+IF(HLOOKUP(YEAR(Y$5),'Tax Study Input'!$B$8:$N$14,7,FALSE)="",Y$12,HLOOKUP(YEAR(Y$5),'Tax Study Input'!$B$8:$N$14,7,FALSE))</f>
        <v>21846000</v>
      </c>
      <c r="Z13" s="16">
        <f>+IF(HLOOKUP(YEAR(Z$5),'Tax Study Input'!$B$8:$N$14,7,FALSE)="",Z$12,HLOOKUP(YEAR(Z$5),'Tax Study Input'!$B$8:$N$14,7,FALSE))</f>
        <v>21846000</v>
      </c>
      <c r="AA13" s="16">
        <f>+IF(HLOOKUP(YEAR(AA$5),'Tax Study Input'!$B$8:$N$14,7,FALSE)="",AA$12,HLOOKUP(YEAR(AA$5),'Tax Study Input'!$B$8:$N$14,7,FALSE))</f>
        <v>21846000</v>
      </c>
      <c r="AB13" s="16">
        <f>+IF(HLOOKUP(YEAR(AB$5),'Tax Study Input'!$B$8:$N$14,7,FALSE)="",AB$12,HLOOKUP(YEAR(AB$5),'Tax Study Input'!$B$8:$N$14,7,FALSE))</f>
        <v>21846000</v>
      </c>
      <c r="AC13" s="16">
        <f>+IF(HLOOKUP(YEAR(AC$5),'Tax Study Input'!$B$8:$N$14,7,FALSE)="",AC$12,HLOOKUP(YEAR(AC$5),'Tax Study Input'!$B$8:$N$14,7,FALSE))</f>
        <v>21846000</v>
      </c>
      <c r="AD13" s="16">
        <f>+IF(HLOOKUP(YEAR(AD$5),'Tax Study Input'!$B$8:$N$14,7,FALSE)="",AD$12,HLOOKUP(YEAR(AD$5),'Tax Study Input'!$B$8:$N$14,7,FALSE))</f>
        <v>21846000</v>
      </c>
      <c r="AE13" s="16">
        <f>+IF(HLOOKUP(YEAR(AE$5),'Tax Study Input'!$B$8:$N$14,7,FALSE)="",AE$12,HLOOKUP(YEAR(AE$5),'Tax Study Input'!$B$8:$N$14,7,FALSE))</f>
        <v>21846000</v>
      </c>
      <c r="AF13" s="16">
        <f>+IF(HLOOKUP(YEAR(AF$5),'Tax Study Input'!$B$8:$N$14,7,FALSE)="",AF$12,HLOOKUP(YEAR(AF$5),'Tax Study Input'!$B$8:$N$14,7,FALSE))</f>
        <v>62305000</v>
      </c>
      <c r="AG13" s="16">
        <f>+IF(HLOOKUP(YEAR(AG$5),'Tax Study Input'!$B$8:$N$14,7,FALSE)="",AG$12,HLOOKUP(YEAR(AG$5),'Tax Study Input'!$B$8:$N$14,7,FALSE))</f>
        <v>62305000</v>
      </c>
      <c r="AH13" s="16">
        <f>+IF(HLOOKUP(YEAR(AH$5),'Tax Study Input'!$B$8:$N$14,7,FALSE)="",AH$12,HLOOKUP(YEAR(AH$5),'Tax Study Input'!$B$8:$N$14,7,FALSE))</f>
        <v>62305000</v>
      </c>
      <c r="AI13" s="16">
        <f>+IF(HLOOKUP(YEAR(AI$5),'Tax Study Input'!$B$8:$N$14,7,FALSE)="",AI$12,HLOOKUP(YEAR(AI$5),'Tax Study Input'!$B$8:$N$14,7,FALSE))</f>
        <v>62305000</v>
      </c>
      <c r="AJ13" s="16">
        <f>+IF(HLOOKUP(YEAR(AJ$5),'Tax Study Input'!$B$8:$N$14,7,FALSE)="",AJ$12,HLOOKUP(YEAR(AJ$5),'Tax Study Input'!$B$8:$N$14,7,FALSE))</f>
        <v>62305000</v>
      </c>
      <c r="AK13" s="16">
        <f>+IF(HLOOKUP(YEAR(AK$5),'Tax Study Input'!$B$8:$N$14,7,FALSE)="",AK$12,HLOOKUP(YEAR(AK$5),'Tax Study Input'!$B$8:$N$14,7,FALSE))</f>
        <v>62305000</v>
      </c>
      <c r="AL13" s="16">
        <f>+IF(HLOOKUP(YEAR(AL$5),'Tax Study Input'!$B$8:$N$14,7,FALSE)="",AL$12,HLOOKUP(YEAR(AL$5),'Tax Study Input'!$B$8:$N$14,7,FALSE))</f>
        <v>62305000</v>
      </c>
      <c r="AM13" s="16">
        <f>+IF(HLOOKUP(YEAR(AM$5),'Tax Study Input'!$B$8:$N$14,7,FALSE)="",AM$12,HLOOKUP(YEAR(AM$5),'Tax Study Input'!$B$8:$N$14,7,FALSE))</f>
        <v>62305000</v>
      </c>
      <c r="AN13" s="16">
        <f>+IF(HLOOKUP(YEAR(AN$5),'Tax Study Input'!$B$8:$N$14,7,FALSE)="",AN$12,HLOOKUP(YEAR(AN$5),'Tax Study Input'!$B$8:$N$14,7,FALSE))</f>
        <v>62305000</v>
      </c>
      <c r="AO13" s="16">
        <f>+IF(HLOOKUP(YEAR(AO$5),'Tax Study Input'!$B$8:$N$14,7,FALSE)="",AO$12,HLOOKUP(YEAR(AO$5),'Tax Study Input'!$B$8:$N$14,7,FALSE))</f>
        <v>62305000</v>
      </c>
      <c r="AP13" s="16">
        <f>+IF(HLOOKUP(YEAR(AP$5),'Tax Study Input'!$B$8:$N$14,7,FALSE)="",AP$12,HLOOKUP(YEAR(AP$5),'Tax Study Input'!$B$8:$N$14,7,FALSE))</f>
        <v>62305000</v>
      </c>
      <c r="AQ13" s="16">
        <f>+IF(HLOOKUP(YEAR(AQ$5),'Tax Study Input'!$B$8:$N$14,7,FALSE)="",AQ$12,HLOOKUP(YEAR(AQ$5),'Tax Study Input'!$B$8:$N$14,7,FALSE))</f>
        <v>62305000</v>
      </c>
      <c r="AR13" s="16">
        <f>+IF(HLOOKUP(YEAR(AR$5),'Tax Study Input'!$B$8:$N$14,7,FALSE)="",AR$12,HLOOKUP(YEAR(AR$5),'Tax Study Input'!$B$8:$N$14,7,FALSE))</f>
        <v>89670000</v>
      </c>
      <c r="AS13" s="16">
        <f>+IF(HLOOKUP(YEAR(AS$5),'Tax Study Input'!$B$8:$N$14,7,FALSE)="",AS$12,HLOOKUP(YEAR(AS$5),'Tax Study Input'!$B$8:$N$14,7,FALSE))</f>
        <v>89670000</v>
      </c>
      <c r="AT13" s="16">
        <f>+IF(HLOOKUP(YEAR(AT$5),'Tax Study Input'!$B$8:$N$14,7,FALSE)="",AT$12,HLOOKUP(YEAR(AT$5),'Tax Study Input'!$B$8:$N$14,7,FALSE))</f>
        <v>89670000</v>
      </c>
      <c r="AU13" s="16">
        <f>+IF(HLOOKUP(YEAR(AU$5),'Tax Study Input'!$B$8:$N$14,7,FALSE)="",AU$12,HLOOKUP(YEAR(AU$5),'Tax Study Input'!$B$8:$N$14,7,FALSE))</f>
        <v>89670000</v>
      </c>
      <c r="AV13" s="16">
        <f>+IF(HLOOKUP(YEAR(AV$5),'Tax Study Input'!$B$8:$N$14,7,FALSE)="",AV$12,HLOOKUP(YEAR(AV$5),'Tax Study Input'!$B$8:$N$14,7,FALSE))</f>
        <v>89670000</v>
      </c>
      <c r="AW13" s="16">
        <f>+IF(HLOOKUP(YEAR(AW$5),'Tax Study Input'!$B$8:$N$14,7,FALSE)="",AW$12,HLOOKUP(YEAR(AW$5),'Tax Study Input'!$B$8:$N$14,7,FALSE))</f>
        <v>89670000</v>
      </c>
      <c r="AX13" s="16">
        <f>+IF(HLOOKUP(YEAR(AX$5),'Tax Study Input'!$B$8:$N$14,7,FALSE)="",AX$12,HLOOKUP(YEAR(AX$5),'Tax Study Input'!$B$8:$N$14,7,FALSE))</f>
        <v>89670000</v>
      </c>
      <c r="AY13" s="16">
        <f>+IF(HLOOKUP(YEAR(AY$5),'Tax Study Input'!$B$8:$N$14,7,FALSE)="",AY$12,HLOOKUP(YEAR(AY$5),'Tax Study Input'!$B$8:$N$14,7,FALSE))</f>
        <v>89670000</v>
      </c>
      <c r="AZ13" s="16">
        <f>+IF(HLOOKUP(YEAR(AZ$5),'Tax Study Input'!$B$8:$N$14,7,FALSE)="",AZ$12,HLOOKUP(YEAR(AZ$5),'Tax Study Input'!$B$8:$N$14,7,FALSE))</f>
        <v>89670000</v>
      </c>
      <c r="BA13" s="16">
        <f>+IF(HLOOKUP(YEAR(BA$5),'Tax Study Input'!$B$8:$N$14,7,FALSE)="",BA$12,HLOOKUP(YEAR(BA$5),'Tax Study Input'!$B$8:$N$14,7,FALSE))</f>
        <v>89670000</v>
      </c>
      <c r="BB13" s="16">
        <f>+IF(HLOOKUP(YEAR(BB$5),'Tax Study Input'!$B$8:$N$14,7,FALSE)="",BB$12,HLOOKUP(YEAR(BB$5),'Tax Study Input'!$B$8:$N$14,7,FALSE))</f>
        <v>89670000</v>
      </c>
      <c r="BC13" s="16">
        <f>+IF(HLOOKUP(YEAR(BC$5),'Tax Study Input'!$B$8:$N$14,7,FALSE)="",BC$12,HLOOKUP(YEAR(BC$5),'Tax Study Input'!$B$8:$N$14,7,FALSE))</f>
        <v>89670000</v>
      </c>
      <c r="BD13" s="16">
        <f>+IF(HLOOKUP(YEAR(BD$5),'Tax Study Input'!$B$8:$N$14,7,FALSE)="",BD$12,HLOOKUP(YEAR(BD$5),'Tax Study Input'!$B$8:$N$14,7,FALSE))</f>
        <v>94736000</v>
      </c>
      <c r="BE13" s="16">
        <f>+IF(HLOOKUP(YEAR(BE$5),'Tax Study Input'!$B$8:$N$14,7,FALSE)="",BE$12,HLOOKUP(YEAR(BE$5),'Tax Study Input'!$B$8:$N$14,7,FALSE))</f>
        <v>94736000</v>
      </c>
      <c r="BF13" s="16">
        <f>+IF(HLOOKUP(YEAR(BF$5),'Tax Study Input'!$B$8:$N$14,7,FALSE)="",BF$12,HLOOKUP(YEAR(BF$5),'Tax Study Input'!$B$8:$N$14,7,FALSE))</f>
        <v>94736000</v>
      </c>
      <c r="BG13" s="16">
        <f>+IF(HLOOKUP(YEAR(BG$5),'Tax Study Input'!$B$8:$N$14,7,FALSE)="",BG$12,HLOOKUP(YEAR(BG$5),'Tax Study Input'!$B$8:$N$14,7,FALSE))</f>
        <v>94736000</v>
      </c>
      <c r="BH13" s="16">
        <f>+IF(HLOOKUP(YEAR(BH$5),'Tax Study Input'!$B$8:$N$14,7,FALSE)="",BH$12,HLOOKUP(YEAR(BH$5),'Tax Study Input'!$B$8:$N$14,7,FALSE))</f>
        <v>94736000</v>
      </c>
      <c r="BI13" s="16">
        <f>+IF(HLOOKUP(YEAR(BI$5),'Tax Study Input'!$B$8:$N$14,7,FALSE)="",BI$12,HLOOKUP(YEAR(BI$5),'Tax Study Input'!$B$8:$N$14,7,FALSE))</f>
        <v>94736000</v>
      </c>
      <c r="BJ13" s="16">
        <f>+IF(HLOOKUP(YEAR(BJ$5),'Tax Study Input'!$B$8:$N$14,7,FALSE)="",BJ$12,HLOOKUP(YEAR(BJ$5),'Tax Study Input'!$B$8:$N$14,7,FALSE))</f>
        <v>94736000</v>
      </c>
      <c r="BK13" s="16">
        <f>+IF(HLOOKUP(YEAR(BK$5),'Tax Study Input'!$B$8:$N$14,7,FALSE)="",BK$12,HLOOKUP(YEAR(BK$5),'Tax Study Input'!$B$8:$N$14,7,FALSE))</f>
        <v>94736000</v>
      </c>
      <c r="BL13" s="16">
        <f>+IF(HLOOKUP(YEAR(BL$5),'Tax Study Input'!$B$8:$N$14,7,FALSE)="",BL$12,HLOOKUP(YEAR(BL$5),'Tax Study Input'!$B$8:$N$14,7,FALSE))</f>
        <v>94736000</v>
      </c>
      <c r="BM13" s="16">
        <f>+IF(HLOOKUP(YEAR(BM$5),'Tax Study Input'!$B$8:$N$14,7,FALSE)="",BM$12,HLOOKUP(YEAR(BM$5),'Tax Study Input'!$B$8:$N$14,7,FALSE))</f>
        <v>94736000</v>
      </c>
      <c r="BN13" s="16">
        <f>+IF(HLOOKUP(YEAR(BN$5),'Tax Study Input'!$B$8:$N$14,7,FALSE)="",BN$12,HLOOKUP(YEAR(BN$5),'Tax Study Input'!$B$8:$N$14,7,FALSE))</f>
        <v>94736000</v>
      </c>
      <c r="BO13" s="16">
        <f>+IF(HLOOKUP(YEAR(BO$5),'Tax Study Input'!$B$8:$N$14,7,FALSE)="",BO$12,HLOOKUP(YEAR(BO$5),'Tax Study Input'!$B$8:$N$14,7,FALSE))</f>
        <v>94736000</v>
      </c>
      <c r="BP13" s="16">
        <f>+IF(HLOOKUP(YEAR(BP$5),'Tax Study Input'!$B$8:$N$14,7,FALSE)="",BP$12,HLOOKUP(YEAR(BP$5),'Tax Study Input'!$B$8:$N$14,7,FALSE))</f>
        <v>97578080</v>
      </c>
      <c r="BQ13" s="16">
        <f>+IF(HLOOKUP(YEAR(BQ$5),'Tax Study Input'!$B$8:$N$14,7,FALSE)="",BQ$12,HLOOKUP(YEAR(BQ$5),'Tax Study Input'!$B$8:$N$14,7,FALSE))</f>
        <v>97578080</v>
      </c>
      <c r="BR13" s="16">
        <f>+IF(HLOOKUP(YEAR(BR$5),'Tax Study Input'!$B$8:$N$14,7,FALSE)="",BR$12,HLOOKUP(YEAR(BR$5),'Tax Study Input'!$B$8:$N$14,7,FALSE))</f>
        <v>97578080</v>
      </c>
      <c r="BS13" s="16">
        <f>+IF(HLOOKUP(YEAR(BS$5),'Tax Study Input'!$B$8:$N$14,7,FALSE)="",BS$12,HLOOKUP(YEAR(BS$5),'Tax Study Input'!$B$8:$N$14,7,FALSE))</f>
        <v>97578080</v>
      </c>
      <c r="BT13" s="16">
        <f>+IF(HLOOKUP(YEAR(BT$5),'Tax Study Input'!$B$8:$N$14,7,FALSE)="",BT$12,HLOOKUP(YEAR(BT$5),'Tax Study Input'!$B$8:$N$14,7,FALSE))</f>
        <v>97578080</v>
      </c>
      <c r="BU13" s="16">
        <f>+IF(HLOOKUP(YEAR(BU$5),'Tax Study Input'!$B$8:$N$14,7,FALSE)="",BU$12,HLOOKUP(YEAR(BU$5),'Tax Study Input'!$B$8:$N$14,7,FALSE))</f>
        <v>97578080</v>
      </c>
      <c r="BV13" s="16">
        <f>+IF(HLOOKUP(YEAR(BV$5),'Tax Study Input'!$B$8:$N$14,7,FALSE)="",BV$12,HLOOKUP(YEAR(BV$5),'Tax Study Input'!$B$8:$N$14,7,FALSE))</f>
        <v>97578080</v>
      </c>
      <c r="BW13" s="16">
        <f>+IF(HLOOKUP(YEAR(BW$5),'Tax Study Input'!$B$8:$N$14,7,FALSE)="",BW$12,HLOOKUP(YEAR(BW$5),'Tax Study Input'!$B$8:$N$14,7,FALSE))</f>
        <v>97578080</v>
      </c>
      <c r="BX13" s="16">
        <f>+IF(HLOOKUP(YEAR(BX$5),'Tax Study Input'!$B$8:$N$14,7,FALSE)="",BX$12,HLOOKUP(YEAR(BX$5),'Tax Study Input'!$B$8:$N$14,7,FALSE))</f>
        <v>97578080</v>
      </c>
      <c r="BY13" s="16">
        <f>+IF(HLOOKUP(YEAR(BY$5),'Tax Study Input'!$B$8:$N$14,7,FALSE)="",BY$12,HLOOKUP(YEAR(BY$5),'Tax Study Input'!$B$8:$N$14,7,FALSE))</f>
        <v>97578080</v>
      </c>
      <c r="BZ13" s="16">
        <f>+IF(HLOOKUP(YEAR(BZ$5),'Tax Study Input'!$B$8:$N$14,7,FALSE)="",BZ$12,HLOOKUP(YEAR(BZ$5),'Tax Study Input'!$B$8:$N$14,7,FALSE))</f>
        <v>97578080</v>
      </c>
      <c r="CA13" s="16">
        <f>+IF(HLOOKUP(YEAR(CA$5),'Tax Study Input'!$B$8:$N$14,7,FALSE)="",CA$12,HLOOKUP(YEAR(CA$5),'Tax Study Input'!$B$8:$N$14,7,FALSE))</f>
        <v>97578080</v>
      </c>
      <c r="CB13" s="16">
        <f>+IF(HLOOKUP(YEAR(CB$5),'Tax Study Input'!$B$8:$N$14,7,FALSE)="",CB$12,HLOOKUP(YEAR(CB$5),'Tax Study Input'!$B$8:$N$14,7,FALSE))</f>
        <v>100505422.40000001</v>
      </c>
      <c r="CC13" s="16">
        <f>+IF(HLOOKUP(YEAR(CC$5),'Tax Study Input'!$B$8:$N$14,7,FALSE)="",CC$12,HLOOKUP(YEAR(CC$5),'Tax Study Input'!$B$8:$N$14,7,FALSE))</f>
        <v>100505422.40000001</v>
      </c>
      <c r="CD13" s="16">
        <f>+IF(HLOOKUP(YEAR(CD$5),'Tax Study Input'!$B$8:$N$14,7,FALSE)="",CD$12,HLOOKUP(YEAR(CD$5),'Tax Study Input'!$B$8:$N$14,7,FALSE))</f>
        <v>100505422.40000001</v>
      </c>
      <c r="CE13" s="16">
        <f>+IF(HLOOKUP(YEAR(CE$5),'Tax Study Input'!$B$8:$N$14,7,FALSE)="",CE$12,HLOOKUP(YEAR(CE$5),'Tax Study Input'!$B$8:$N$14,7,FALSE))</f>
        <v>100505422.40000001</v>
      </c>
      <c r="CF13" s="16">
        <f>+IF(HLOOKUP(YEAR(CF$5),'Tax Study Input'!$B$8:$N$14,7,FALSE)="",CF$12,HLOOKUP(YEAR(CF$5),'Tax Study Input'!$B$8:$N$14,7,FALSE))</f>
        <v>100505422.40000001</v>
      </c>
      <c r="CG13" s="16">
        <f>+IF(HLOOKUP(YEAR(CG$5),'Tax Study Input'!$B$8:$N$14,7,FALSE)="",CG$12,HLOOKUP(YEAR(CG$5),'Tax Study Input'!$B$8:$N$14,7,FALSE))</f>
        <v>100505422.40000001</v>
      </c>
      <c r="CH13" s="16">
        <f>+IF(HLOOKUP(YEAR(CH$5),'Tax Study Input'!$B$8:$N$14,7,FALSE)="",CH$12,HLOOKUP(YEAR(CH$5),'Tax Study Input'!$B$8:$N$14,7,FALSE))</f>
        <v>100505422.40000001</v>
      </c>
      <c r="CI13" s="16">
        <f>+IF(HLOOKUP(YEAR(CI$5),'Tax Study Input'!$B$8:$N$14,7,FALSE)="",CI$12,HLOOKUP(YEAR(CI$5),'Tax Study Input'!$B$8:$N$14,7,FALSE))</f>
        <v>100505422.40000001</v>
      </c>
      <c r="CJ13" s="16">
        <f>+IF(HLOOKUP(YEAR(CJ$5),'Tax Study Input'!$B$8:$N$14,7,FALSE)="",CJ$12,HLOOKUP(YEAR(CJ$5),'Tax Study Input'!$B$8:$N$14,7,FALSE))</f>
        <v>100505422.40000001</v>
      </c>
      <c r="CK13" s="16">
        <f>+IF(HLOOKUP(YEAR(CK$5),'Tax Study Input'!$B$8:$N$14,7,FALSE)="",CK$12,HLOOKUP(YEAR(CK$5),'Tax Study Input'!$B$8:$N$14,7,FALSE))</f>
        <v>100505422.40000001</v>
      </c>
      <c r="CL13" s="16">
        <f>+IF(HLOOKUP(YEAR(CL$5),'Tax Study Input'!$B$8:$N$14,7,FALSE)="",CL$12,HLOOKUP(YEAR(CL$5),'Tax Study Input'!$B$8:$N$14,7,FALSE))</f>
        <v>100505422.40000001</v>
      </c>
      <c r="CM13" s="16">
        <f>+IF(HLOOKUP(YEAR(CM$5),'Tax Study Input'!$B$8:$N$14,7,FALSE)="",CM$12,HLOOKUP(YEAR(CM$5),'Tax Study Input'!$B$8:$N$14,7,FALSE))</f>
        <v>100505422.40000001</v>
      </c>
      <c r="CN13" s="16">
        <f>+IF(HLOOKUP(YEAR(CN$5),'Tax Study Input'!$B$8:$N$14,7,FALSE)="",CN$12,HLOOKUP(YEAR(CN$5),'Tax Study Input'!$B$8:$N$14,7,FALSE))</f>
        <v>103520585.07200001</v>
      </c>
      <c r="CO13" s="16">
        <f>+IF(HLOOKUP(YEAR(CO$5),'Tax Study Input'!$B$8:$N$14,7,FALSE)="",CO$12,HLOOKUP(YEAR(CO$5),'Tax Study Input'!$B$8:$N$14,7,FALSE))</f>
        <v>103520585.07200001</v>
      </c>
      <c r="CP13" s="16">
        <f>+IF(HLOOKUP(YEAR(CP$5),'Tax Study Input'!$B$8:$N$14,7,FALSE)="",CP$12,HLOOKUP(YEAR(CP$5),'Tax Study Input'!$B$8:$N$14,7,FALSE))</f>
        <v>103520585.07200001</v>
      </c>
      <c r="CQ13" s="16">
        <f>+IF(HLOOKUP(YEAR(CQ$5),'Tax Study Input'!$B$8:$N$14,7,FALSE)="",CQ$12,HLOOKUP(YEAR(CQ$5),'Tax Study Input'!$B$8:$N$14,7,FALSE))</f>
        <v>103520585.07200001</v>
      </c>
      <c r="CR13" s="16">
        <f>+IF(HLOOKUP(YEAR(CR$5),'Tax Study Input'!$B$8:$N$14,7,FALSE)="",CR$12,HLOOKUP(YEAR(CR$5),'Tax Study Input'!$B$8:$N$14,7,FALSE))</f>
        <v>103520585.07200001</v>
      </c>
      <c r="CS13" s="16">
        <f>+IF(HLOOKUP(YEAR(CS$5),'Tax Study Input'!$B$8:$N$14,7,FALSE)="",CS$12,HLOOKUP(YEAR(CS$5),'Tax Study Input'!$B$8:$N$14,7,FALSE))</f>
        <v>103520585.07200001</v>
      </c>
      <c r="CT13" s="16">
        <f>+IF(HLOOKUP(YEAR(CT$5),'Tax Study Input'!$B$8:$N$14,7,FALSE)="",CT$12,HLOOKUP(YEAR(CT$5),'Tax Study Input'!$B$8:$N$14,7,FALSE))</f>
        <v>103520585.07200001</v>
      </c>
      <c r="CU13" s="16">
        <f>+IF(HLOOKUP(YEAR(CU$5),'Tax Study Input'!$B$8:$N$14,7,FALSE)="",CU$12,HLOOKUP(YEAR(CU$5),'Tax Study Input'!$B$8:$N$14,7,FALSE))</f>
        <v>103520585.07200001</v>
      </c>
      <c r="CV13" s="16">
        <f>+IF(HLOOKUP(YEAR(CV$5),'Tax Study Input'!$B$8:$N$14,7,FALSE)="",CV$12,HLOOKUP(YEAR(CV$5),'Tax Study Input'!$B$8:$N$14,7,FALSE))</f>
        <v>103520585.07200001</v>
      </c>
      <c r="CW13" s="16">
        <f>+IF(HLOOKUP(YEAR(CW$5),'Tax Study Input'!$B$8:$N$14,7,FALSE)="",CW$12,HLOOKUP(YEAR(CW$5),'Tax Study Input'!$B$8:$N$14,7,FALSE))</f>
        <v>103520585.07200001</v>
      </c>
      <c r="CX13" s="16">
        <f>+IF(HLOOKUP(YEAR(CX$5),'Tax Study Input'!$B$8:$N$14,7,FALSE)="",CX$12,HLOOKUP(YEAR(CX$5),'Tax Study Input'!$B$8:$N$14,7,FALSE))</f>
        <v>103520585.07200001</v>
      </c>
      <c r="CY13" s="16">
        <f>+IF(HLOOKUP(YEAR(CY$5),'Tax Study Input'!$B$8:$N$14,7,FALSE)="",CY$12,HLOOKUP(YEAR(CY$5),'Tax Study Input'!$B$8:$N$14,7,FALSE))</f>
        <v>103520585.07200001</v>
      </c>
      <c r="CZ13" s="16">
        <f>+IF(HLOOKUP(YEAR(CZ$5),'Tax Study Input'!$B$8:$N$14,7,FALSE)="",CZ$12,HLOOKUP(YEAR(CZ$5),'Tax Study Input'!$B$8:$N$14,7,FALSE))</f>
        <v>106626202.62416002</v>
      </c>
      <c r="DA13" s="16">
        <f>+IF(HLOOKUP(YEAR(DA$5),'Tax Study Input'!$B$8:$N$14,7,FALSE)="",DA$12,HLOOKUP(YEAR(DA$5),'Tax Study Input'!$B$8:$N$14,7,FALSE))</f>
        <v>106626202.62416002</v>
      </c>
      <c r="DB13" s="16">
        <f>+IF(HLOOKUP(YEAR(DB$5),'Tax Study Input'!$B$8:$N$14,7,FALSE)="",DB$12,HLOOKUP(YEAR(DB$5),'Tax Study Input'!$B$8:$N$14,7,FALSE))</f>
        <v>106626202.62416002</v>
      </c>
      <c r="DC13" s="16">
        <f>+IF(HLOOKUP(YEAR(DC$5),'Tax Study Input'!$B$8:$N$14,7,FALSE)="",DC$12,HLOOKUP(YEAR(DC$5),'Tax Study Input'!$B$8:$N$14,7,FALSE))</f>
        <v>106626202.62416002</v>
      </c>
      <c r="DD13" s="16">
        <f>+IF(HLOOKUP(YEAR(DD$5),'Tax Study Input'!$B$8:$N$14,7,FALSE)="",DD$12,HLOOKUP(YEAR(DD$5),'Tax Study Input'!$B$8:$N$14,7,FALSE))</f>
        <v>106626202.62416002</v>
      </c>
      <c r="DE13" s="16">
        <f>+IF(HLOOKUP(YEAR(DE$5),'Tax Study Input'!$B$8:$N$14,7,FALSE)="",DE$12,HLOOKUP(YEAR(DE$5),'Tax Study Input'!$B$8:$N$14,7,FALSE))</f>
        <v>106626202.62416002</v>
      </c>
      <c r="DF13" s="16">
        <f>+IF(HLOOKUP(YEAR(DF$5),'Tax Study Input'!$B$8:$N$14,7,FALSE)="",DF$12,HLOOKUP(YEAR(DF$5),'Tax Study Input'!$B$8:$N$14,7,FALSE))</f>
        <v>106626202.62416002</v>
      </c>
      <c r="DG13" s="16">
        <f>+IF(HLOOKUP(YEAR(DG$5),'Tax Study Input'!$B$8:$N$14,7,FALSE)="",DG$12,HLOOKUP(YEAR(DG$5),'Tax Study Input'!$B$8:$N$14,7,FALSE))</f>
        <v>106626202.62416002</v>
      </c>
      <c r="DH13" s="16">
        <f>+IF(HLOOKUP(YEAR(DH$5),'Tax Study Input'!$B$8:$N$14,7,FALSE)="",DH$12,HLOOKUP(YEAR(DH$5),'Tax Study Input'!$B$8:$N$14,7,FALSE))</f>
        <v>106626202.62416002</v>
      </c>
      <c r="DI13" s="16">
        <f>+IF(HLOOKUP(YEAR(DI$5),'Tax Study Input'!$B$8:$N$14,7,FALSE)="",DI$12,HLOOKUP(YEAR(DI$5),'Tax Study Input'!$B$8:$N$14,7,FALSE))</f>
        <v>106626202.62416002</v>
      </c>
      <c r="DJ13" s="16">
        <f>+IF(HLOOKUP(YEAR(DJ$5),'Tax Study Input'!$B$8:$N$14,7,FALSE)="",DJ$12,HLOOKUP(YEAR(DJ$5),'Tax Study Input'!$B$8:$N$14,7,FALSE))</f>
        <v>106626202.62416002</v>
      </c>
      <c r="DK13" s="16">
        <f>+IF(HLOOKUP(YEAR(DK$5),'Tax Study Input'!$B$8:$N$14,7,FALSE)="",DK$12,HLOOKUP(YEAR(DK$5),'Tax Study Input'!$B$8:$N$14,7,FALSE))</f>
        <v>106626202.62416002</v>
      </c>
      <c r="DL13" s="16">
        <f>+IF(HLOOKUP(YEAR(DL$5),'Tax Study Input'!$B$8:$N$14,7,FALSE)="",DL$12,HLOOKUP(YEAR(DL$5),'Tax Study Input'!$B$8:$N$14,7,FALSE))</f>
        <v>109824988.70288482</v>
      </c>
      <c r="DM13" s="16">
        <f>+IF(HLOOKUP(YEAR(DM$5),'Tax Study Input'!$B$8:$N$14,7,FALSE)="",DM$12,HLOOKUP(YEAR(DM$5),'Tax Study Input'!$B$8:$N$14,7,FALSE))</f>
        <v>109824988.70288482</v>
      </c>
      <c r="DN13" s="16">
        <f>+IF(HLOOKUP(YEAR(DN$5),'Tax Study Input'!$B$8:$N$14,7,FALSE)="",DN$12,HLOOKUP(YEAR(DN$5),'Tax Study Input'!$B$8:$N$14,7,FALSE))</f>
        <v>109824988.70288482</v>
      </c>
      <c r="DO13" s="16">
        <f>+IF(HLOOKUP(YEAR(DO$5),'Tax Study Input'!$B$8:$N$14,7,FALSE)="",DO$12,HLOOKUP(YEAR(DO$5),'Tax Study Input'!$B$8:$N$14,7,FALSE))</f>
        <v>109824988.70288482</v>
      </c>
      <c r="DP13" s="16">
        <f>+IF(HLOOKUP(YEAR(DP$5),'Tax Study Input'!$B$8:$N$14,7,FALSE)="",DP$12,HLOOKUP(YEAR(DP$5),'Tax Study Input'!$B$8:$N$14,7,FALSE))</f>
        <v>109824988.70288482</v>
      </c>
      <c r="DQ13" s="16">
        <f>+IF(HLOOKUP(YEAR(DQ$5),'Tax Study Input'!$B$8:$N$14,7,FALSE)="",DQ$12,HLOOKUP(YEAR(DQ$5),'Tax Study Input'!$B$8:$N$14,7,FALSE))</f>
        <v>109824988.70288482</v>
      </c>
      <c r="DR13" s="16">
        <f>+IF(HLOOKUP(YEAR(DR$5),'Tax Study Input'!$B$8:$N$14,7,FALSE)="",DR$12,HLOOKUP(YEAR(DR$5),'Tax Study Input'!$B$8:$N$14,7,FALSE))</f>
        <v>109824988.70288482</v>
      </c>
      <c r="DS13" s="16">
        <f>+IF(HLOOKUP(YEAR(DS$5),'Tax Study Input'!$B$8:$N$14,7,FALSE)="",DS$12,HLOOKUP(YEAR(DS$5),'Tax Study Input'!$B$8:$N$14,7,FALSE))</f>
        <v>109824988.70288482</v>
      </c>
      <c r="DT13" s="16">
        <f>+IF(HLOOKUP(YEAR(DT$5),'Tax Study Input'!$B$8:$N$14,7,FALSE)="",DT$12,HLOOKUP(YEAR(DT$5),'Tax Study Input'!$B$8:$N$14,7,FALSE))</f>
        <v>109824988.70288482</v>
      </c>
      <c r="DU13" s="16">
        <f>+IF(HLOOKUP(YEAR(DU$5),'Tax Study Input'!$B$8:$N$14,7,FALSE)="",DU$12,HLOOKUP(YEAR(DU$5),'Tax Study Input'!$B$8:$N$14,7,FALSE))</f>
        <v>109824988.70288482</v>
      </c>
      <c r="DV13" s="16">
        <f>+IF(HLOOKUP(YEAR(DV$5),'Tax Study Input'!$B$8:$N$14,7,FALSE)="",DV$12,HLOOKUP(YEAR(DV$5),'Tax Study Input'!$B$8:$N$14,7,FALSE))</f>
        <v>109824988.70288482</v>
      </c>
      <c r="DW13" s="16">
        <f>+IF(HLOOKUP(YEAR(DW$5),'Tax Study Input'!$B$8:$N$14,7,FALSE)="",DW$12,HLOOKUP(YEAR(DW$5),'Tax Study Input'!$B$8:$N$14,7,FALSE))</f>
        <v>109824988.70288482</v>
      </c>
      <c r="DX13" s="16">
        <f>+IF(HLOOKUP(YEAR(DX$5),'Tax Study Input'!$B$8:$N$14,7,FALSE)="",DX$12,HLOOKUP(YEAR(DX$5),'Tax Study Input'!$B$8:$N$14,7,FALSE))</f>
        <v>113119738.36397137</v>
      </c>
      <c r="DY13" s="16">
        <f>+IF(HLOOKUP(YEAR(DY$5),'Tax Study Input'!$B$8:$N$14,7,FALSE)="",DY$12,HLOOKUP(YEAR(DY$5),'Tax Study Input'!$B$8:$N$14,7,FALSE))</f>
        <v>113119738.36397137</v>
      </c>
      <c r="DZ13" s="16">
        <f>+IF(HLOOKUP(YEAR(DZ$5),'Tax Study Input'!$B$8:$N$14,7,FALSE)="",DZ$12,HLOOKUP(YEAR(DZ$5),'Tax Study Input'!$B$8:$N$14,7,FALSE))</f>
        <v>113119738.36397137</v>
      </c>
      <c r="EA13" s="16">
        <f>+IF(HLOOKUP(YEAR(EA$5),'Tax Study Input'!$B$8:$N$14,7,FALSE)="",EA$12,HLOOKUP(YEAR(EA$5),'Tax Study Input'!$B$8:$N$14,7,FALSE))</f>
        <v>113119738.36397137</v>
      </c>
      <c r="EB13" s="16">
        <f>+IF(HLOOKUP(YEAR(EB$5),'Tax Study Input'!$B$8:$N$14,7,FALSE)="",EB$12,HLOOKUP(YEAR(EB$5),'Tax Study Input'!$B$8:$N$14,7,FALSE))</f>
        <v>113119738.36397137</v>
      </c>
      <c r="EC13" s="16">
        <f>+IF(HLOOKUP(YEAR(EC$5),'Tax Study Input'!$B$8:$N$14,7,FALSE)="",EC$12,HLOOKUP(YEAR(EC$5),'Tax Study Input'!$B$8:$N$14,7,FALSE))</f>
        <v>113119738.36397137</v>
      </c>
      <c r="ED13" s="16">
        <f>+IF(HLOOKUP(YEAR(ED$5),'Tax Study Input'!$B$8:$N$14,7,FALSE)="",ED$12,HLOOKUP(YEAR(ED$5),'Tax Study Input'!$B$8:$N$14,7,FALSE))</f>
        <v>113119738.36397137</v>
      </c>
      <c r="EE13" s="16">
        <f>+IF(HLOOKUP(YEAR(EE$5),'Tax Study Input'!$B$8:$N$14,7,FALSE)="",EE$12,HLOOKUP(YEAR(EE$5),'Tax Study Input'!$B$8:$N$14,7,FALSE))</f>
        <v>113119738.36397137</v>
      </c>
      <c r="EF13" s="16">
        <f>+IF(HLOOKUP(YEAR(EF$5),'Tax Study Input'!$B$8:$N$14,7,FALSE)="",EF$12,HLOOKUP(YEAR(EF$5),'Tax Study Input'!$B$8:$N$14,7,FALSE))</f>
        <v>113119738.36397137</v>
      </c>
    </row>
    <row r="14" spans="1:136" x14ac:dyDescent="0.3">
      <c r="A14" s="229" t="s">
        <v>2274</v>
      </c>
      <c r="E14" s="2265">
        <f ca="1">(E$12*(LOOKUP(YEAR(E$5),'Tax Study Input'!$B$8:$N$8,'Tax Study Input'!$B$17:$N$17)))/12+LOOKUP(YEAR(E$5),'Tax Study Input'!$B$8:$N$8,'Tax Study Input'!$B$19:$N$19)/12</f>
        <v>3331.3377149353296</v>
      </c>
      <c r="F14" s="2264">
        <f ca="1">(F$12*(LOOKUP(YEAR(F$5),'Tax Study Input'!$B$8:$N$8,'Tax Study Input'!$B$17:$N$17)))/12+LOOKUP(YEAR(F$5),'Tax Study Input'!$B$8:$N$8,'Tax Study Input'!$B$19:$N$19)/12</f>
        <v>3331.3377149353296</v>
      </c>
      <c r="G14" s="2264">
        <f ca="1">(G$12*(LOOKUP(YEAR(G$5),'Tax Study Input'!$B$8:$N$8,'Tax Study Input'!$B$17:$N$17)))/12+LOOKUP(YEAR(G$5),'Tax Study Input'!$B$8:$N$8,'Tax Study Input'!$B$19:$N$19)/12</f>
        <v>3331.3377149353296</v>
      </c>
      <c r="H14" s="2264">
        <f ca="1">(H$12*(LOOKUP(YEAR(H$5),'Tax Study Input'!$B$8:$N$8,'Tax Study Input'!$B$17:$N$17)))/12+LOOKUP(YEAR(H$5),'Tax Study Input'!$B$8:$N$8,'Tax Study Input'!$B$19:$N$19)/12</f>
        <v>7334.1378649844455</v>
      </c>
      <c r="I14" s="2264">
        <f ca="1">(I$12*(LOOKUP(YEAR(I$5),'Tax Study Input'!$B$8:$N$8,'Tax Study Input'!$B$17:$N$17)))/12+LOOKUP(YEAR(I$5),'Tax Study Input'!$B$8:$N$8,'Tax Study Input'!$B$19:$N$19)/12</f>
        <v>7334.1378649844455</v>
      </c>
      <c r="J14" s="2264">
        <f ca="1">(J$12*(LOOKUP(YEAR(J$5),'Tax Study Input'!$B$8:$N$8,'Tax Study Input'!$B$17:$N$17)))/12+LOOKUP(YEAR(J$5),'Tax Study Input'!$B$8:$N$8,'Tax Study Input'!$B$19:$N$19)/12</f>
        <v>7334.1378649844455</v>
      </c>
      <c r="K14" s="2264">
        <f ca="1">(K$12*(LOOKUP(YEAR(K$5),'Tax Study Input'!$B$8:$N$8,'Tax Study Input'!$B$17:$N$17)))/12+LOOKUP(YEAR(K$5),'Tax Study Input'!$B$8:$N$8,'Tax Study Input'!$B$19:$N$19)/12</f>
        <v>7334.1378649844455</v>
      </c>
      <c r="L14" s="2264">
        <f ca="1">(L$12*(LOOKUP(YEAR(L$5),'Tax Study Input'!$B$8:$N$8,'Tax Study Input'!$B$17:$N$17)))/12+LOOKUP(YEAR(L$5),'Tax Study Input'!$B$8:$N$8,'Tax Study Input'!$B$19:$N$19)/12</f>
        <v>7334.1378649844455</v>
      </c>
      <c r="M14" s="2264">
        <f ca="1">(M$12*(LOOKUP(YEAR(M$5),'Tax Study Input'!$B$8:$N$8,'Tax Study Input'!$B$17:$N$17)))/12+LOOKUP(YEAR(M$5),'Tax Study Input'!$B$8:$N$8,'Tax Study Input'!$B$19:$N$19)/12</f>
        <v>7334.1378649844455</v>
      </c>
      <c r="N14" s="2264">
        <f ca="1">(N$12*(LOOKUP(YEAR(N$5),'Tax Study Input'!$B$8:$N$8,'Tax Study Input'!$B$17:$N$17)))/12+LOOKUP(YEAR(N$5),'Tax Study Input'!$B$8:$N$8,'Tax Study Input'!$B$19:$N$19)/12</f>
        <v>7334.1378649844455</v>
      </c>
      <c r="O14" s="2264">
        <f ca="1">(O$12*(LOOKUP(YEAR(O$5),'Tax Study Input'!$B$8:$N$8,'Tax Study Input'!$B$17:$N$17)))/12+LOOKUP(YEAR(O$5),'Tax Study Input'!$B$8:$N$8,'Tax Study Input'!$B$19:$N$19)/12</f>
        <v>7334.1378649844455</v>
      </c>
      <c r="P14" s="2264">
        <f ca="1">(P$12*(LOOKUP(YEAR(P$5),'Tax Study Input'!$B$8:$N$8,'Tax Study Input'!$B$17:$N$17)))/12+LOOKUP(YEAR(P$5),'Tax Study Input'!$B$8:$N$8,'Tax Study Input'!$B$19:$N$19)/12</f>
        <v>7334.1378649844455</v>
      </c>
      <c r="Q14" s="2264">
        <f ca="1">(Q$12*(LOOKUP(YEAR(Q$5),'Tax Study Input'!$B$8:$N$8,'Tax Study Input'!$B$17:$N$17)))/12+LOOKUP(YEAR(Q$5),'Tax Study Input'!$B$8:$N$8,'Tax Study Input'!$B$19:$N$19)/12</f>
        <v>7334.1378649844455</v>
      </c>
      <c r="R14" s="2264">
        <f ca="1">(R$12*(LOOKUP(YEAR(R$5),'Tax Study Input'!$B$8:$N$8,'Tax Study Input'!$B$17:$N$17)))/12+LOOKUP(YEAR(R$5),'Tax Study Input'!$B$8:$N$8,'Tax Study Input'!$B$19:$N$19)/12</f>
        <v>7334.1378649844455</v>
      </c>
      <c r="S14" s="2264">
        <f ca="1">(S$12*(LOOKUP(YEAR(S$5),'Tax Study Input'!$B$8:$N$8,'Tax Study Input'!$B$17:$N$17)))/12+LOOKUP(YEAR(S$5),'Tax Study Input'!$B$8:$N$8,'Tax Study Input'!$B$19:$N$19)/12</f>
        <v>7334.1378649844455</v>
      </c>
      <c r="T14" s="2264">
        <f ca="1">(T$12*(LOOKUP(YEAR(T$5),'Tax Study Input'!$B$8:$N$8,'Tax Study Input'!$B$17:$N$17)))/12+LOOKUP(YEAR(T$5),'Tax Study Input'!$B$8:$N$8,'Tax Study Input'!$B$19:$N$19)/12</f>
        <v>22487.314155334629</v>
      </c>
      <c r="U14" s="2264">
        <f ca="1">(U$12*(LOOKUP(YEAR(U$5),'Tax Study Input'!$B$8:$N$8,'Tax Study Input'!$B$17:$N$17)))/12+LOOKUP(YEAR(U$5),'Tax Study Input'!$B$8:$N$8,'Tax Study Input'!$B$19:$N$19)/12</f>
        <v>22487.314155334629</v>
      </c>
      <c r="V14" s="2264">
        <f ca="1">(V$12*(LOOKUP(YEAR(V$5),'Tax Study Input'!$B$8:$N$8,'Tax Study Input'!$B$17:$N$17)))/12+LOOKUP(YEAR(V$5),'Tax Study Input'!$B$8:$N$8,'Tax Study Input'!$B$19:$N$19)/12</f>
        <v>22487.314155334629</v>
      </c>
      <c r="W14" s="2264">
        <f ca="1">(W$12*(LOOKUP(YEAR(W$5),'Tax Study Input'!$B$8:$N$8,'Tax Study Input'!$B$17:$N$17)))/12+LOOKUP(YEAR(W$5),'Tax Study Input'!$B$8:$N$8,'Tax Study Input'!$B$19:$N$19)/12</f>
        <v>22487.314155334629</v>
      </c>
      <c r="X14" s="2264">
        <f ca="1">(X$12*(LOOKUP(YEAR(X$5),'Tax Study Input'!$B$8:$N$8,'Tax Study Input'!$B$17:$N$17)))/12+LOOKUP(YEAR(X$5),'Tax Study Input'!$B$8:$N$8,'Tax Study Input'!$B$19:$N$19)/12</f>
        <v>22487.314155334629</v>
      </c>
      <c r="Y14" s="2264">
        <f ca="1">(Y$12*(LOOKUP(YEAR(Y$5),'Tax Study Input'!$B$8:$N$8,'Tax Study Input'!$B$17:$N$17)))/12+LOOKUP(YEAR(Y$5),'Tax Study Input'!$B$8:$N$8,'Tax Study Input'!$B$19:$N$19)/12</f>
        <v>22487.314155334629</v>
      </c>
      <c r="Z14" s="2264">
        <f ca="1">(Z$12*(LOOKUP(YEAR(Z$5),'Tax Study Input'!$B$8:$N$8,'Tax Study Input'!$B$17:$N$17)))/12+LOOKUP(YEAR(Z$5),'Tax Study Input'!$B$8:$N$8,'Tax Study Input'!$B$19:$N$19)/12</f>
        <v>22487.314155334629</v>
      </c>
      <c r="AA14" s="2264">
        <f ca="1">(AA$12*(LOOKUP(YEAR(AA$5),'Tax Study Input'!$B$8:$N$8,'Tax Study Input'!$B$17:$N$17)))/12+LOOKUP(YEAR(AA$5),'Tax Study Input'!$B$8:$N$8,'Tax Study Input'!$B$19:$N$19)/12</f>
        <v>22487.314155334629</v>
      </c>
      <c r="AB14" s="2264">
        <f ca="1">(AB$12*(LOOKUP(YEAR(AB$5),'Tax Study Input'!$B$8:$N$8,'Tax Study Input'!$B$17:$N$17)))/12+LOOKUP(YEAR(AB$5),'Tax Study Input'!$B$8:$N$8,'Tax Study Input'!$B$19:$N$19)/12</f>
        <v>22487.314155334629</v>
      </c>
      <c r="AC14" s="2264">
        <f ca="1">(AC$12*(LOOKUP(YEAR(AC$5),'Tax Study Input'!$B$8:$N$8,'Tax Study Input'!$B$17:$N$17)))/12+LOOKUP(YEAR(AC$5),'Tax Study Input'!$B$8:$N$8,'Tax Study Input'!$B$19:$N$19)/12</f>
        <v>22487.314155334629</v>
      </c>
      <c r="AD14" s="2264">
        <f ca="1">(AD$12*(LOOKUP(YEAR(AD$5),'Tax Study Input'!$B$8:$N$8,'Tax Study Input'!$B$17:$N$17)))/12+LOOKUP(YEAR(AD$5),'Tax Study Input'!$B$8:$N$8,'Tax Study Input'!$B$19:$N$19)/12</f>
        <v>22487.314155334629</v>
      </c>
      <c r="AE14" s="2264">
        <f ca="1">(AE$12*(LOOKUP(YEAR(AE$5),'Tax Study Input'!$B$8:$N$8,'Tax Study Input'!$B$17:$N$17)))/12+LOOKUP(YEAR(AE$5),'Tax Study Input'!$B$8:$N$8,'Tax Study Input'!$B$19:$N$19)/12</f>
        <v>22487.314155334629</v>
      </c>
      <c r="AF14" s="2264">
        <f ca="1">(AF$12*(LOOKUP(YEAR(AF$5),'Tax Study Input'!$B$8:$N$8,'Tax Study Input'!$B$17:$N$17)))/12+LOOKUP(YEAR(AF$5),'Tax Study Input'!$B$8:$N$8,'Tax Study Input'!$B$19:$N$19)/12</f>
        <v>30168.067098264961</v>
      </c>
      <c r="AG14" s="2264">
        <f ca="1">(AG$12*(LOOKUP(YEAR(AG$5),'Tax Study Input'!$B$8:$N$8,'Tax Study Input'!$B$17:$N$17)))/12+LOOKUP(YEAR(AG$5),'Tax Study Input'!$B$8:$N$8,'Tax Study Input'!$B$19:$N$19)/12</f>
        <v>30168.067098264961</v>
      </c>
      <c r="AH14" s="2264">
        <f ca="1">(AH$12*(LOOKUP(YEAR(AH$5),'Tax Study Input'!$B$8:$N$8,'Tax Study Input'!$B$17:$N$17)))/12+LOOKUP(YEAR(AH$5),'Tax Study Input'!$B$8:$N$8,'Tax Study Input'!$B$19:$N$19)/12</f>
        <v>30168.067098264961</v>
      </c>
      <c r="AI14" s="2264">
        <f ca="1">(AI$12*(LOOKUP(YEAR(AI$5),'Tax Study Input'!$B$8:$N$8,'Tax Study Input'!$B$17:$N$17)))/12+LOOKUP(YEAR(AI$5),'Tax Study Input'!$B$8:$N$8,'Tax Study Input'!$B$19:$N$19)/12</f>
        <v>30168.067098264961</v>
      </c>
      <c r="AJ14" s="2264">
        <f ca="1">(AJ$12*(LOOKUP(YEAR(AJ$5),'Tax Study Input'!$B$8:$N$8,'Tax Study Input'!$B$17:$N$17)))/12+LOOKUP(YEAR(AJ$5),'Tax Study Input'!$B$8:$N$8,'Tax Study Input'!$B$19:$N$19)/12</f>
        <v>30168.067098264961</v>
      </c>
      <c r="AK14" s="2264">
        <f ca="1">(AK$12*(LOOKUP(YEAR(AK$5),'Tax Study Input'!$B$8:$N$8,'Tax Study Input'!$B$17:$N$17)))/12+LOOKUP(YEAR(AK$5),'Tax Study Input'!$B$8:$N$8,'Tax Study Input'!$B$19:$N$19)/12</f>
        <v>30168.067098264961</v>
      </c>
      <c r="AL14" s="2264">
        <f ca="1">(AL$12*(LOOKUP(YEAR(AL$5),'Tax Study Input'!$B$8:$N$8,'Tax Study Input'!$B$17:$N$17)))/12+LOOKUP(YEAR(AL$5),'Tax Study Input'!$B$8:$N$8,'Tax Study Input'!$B$19:$N$19)/12</f>
        <v>30168.067098264961</v>
      </c>
      <c r="AM14" s="2264">
        <f ca="1">(AM$12*(LOOKUP(YEAR(AM$5),'Tax Study Input'!$B$8:$N$8,'Tax Study Input'!$B$17:$N$17)))/12+LOOKUP(YEAR(AM$5),'Tax Study Input'!$B$8:$N$8,'Tax Study Input'!$B$19:$N$19)/12</f>
        <v>30168.067098264961</v>
      </c>
      <c r="AN14" s="2264">
        <f ca="1">(AN$12*(LOOKUP(YEAR(AN$5),'Tax Study Input'!$B$8:$N$8,'Tax Study Input'!$B$17:$N$17)))/12+LOOKUP(YEAR(AN$5),'Tax Study Input'!$B$8:$N$8,'Tax Study Input'!$B$19:$N$19)/12</f>
        <v>30168.067098264961</v>
      </c>
      <c r="AO14" s="2264">
        <f ca="1">(AO$12*(LOOKUP(YEAR(AO$5),'Tax Study Input'!$B$8:$N$8,'Tax Study Input'!$B$17:$N$17)))/12+LOOKUP(YEAR(AO$5),'Tax Study Input'!$B$8:$N$8,'Tax Study Input'!$B$19:$N$19)/12</f>
        <v>30168.067098264961</v>
      </c>
      <c r="AP14" s="2264">
        <f ca="1">(AP$12*(LOOKUP(YEAR(AP$5),'Tax Study Input'!$B$8:$N$8,'Tax Study Input'!$B$17:$N$17)))/12+LOOKUP(YEAR(AP$5),'Tax Study Input'!$B$8:$N$8,'Tax Study Input'!$B$19:$N$19)/12</f>
        <v>30168.067098264961</v>
      </c>
      <c r="AQ14" s="2264">
        <f ca="1">(AQ$12*(LOOKUP(YEAR(AQ$5),'Tax Study Input'!$B$8:$N$8,'Tax Study Input'!$B$17:$N$17)))/12+LOOKUP(YEAR(AQ$5),'Tax Study Input'!$B$8:$N$8,'Tax Study Input'!$B$19:$N$19)/12</f>
        <v>30168.067098264961</v>
      </c>
      <c r="AR14" s="2264">
        <f ca="1">(AR$12*(LOOKUP(YEAR(AR$5),'Tax Study Input'!$B$8:$N$8,'Tax Study Input'!$B$17:$N$17)))/12+LOOKUP(YEAR(AR$5),'Tax Study Input'!$B$8:$N$8,'Tax Study Input'!$B$19:$N$19)/12</f>
        <v>32646.142444546247</v>
      </c>
      <c r="AS14" s="2264">
        <f ca="1">(AS$12*(LOOKUP(YEAR(AS$5),'Tax Study Input'!$B$8:$N$8,'Tax Study Input'!$B$17:$N$17)))/12+LOOKUP(YEAR(AS$5),'Tax Study Input'!$B$8:$N$8,'Tax Study Input'!$B$19:$N$19)/12</f>
        <v>32646.142444546247</v>
      </c>
      <c r="AT14" s="2264">
        <f ca="1">(AT$12*(LOOKUP(YEAR(AT$5),'Tax Study Input'!$B$8:$N$8,'Tax Study Input'!$B$17:$N$17)))/12+LOOKUP(YEAR(AT$5),'Tax Study Input'!$B$8:$N$8,'Tax Study Input'!$B$19:$N$19)/12</f>
        <v>32646.142444546247</v>
      </c>
      <c r="AU14" s="2264">
        <f ca="1">(AU$12*(LOOKUP(YEAR(AU$5),'Tax Study Input'!$B$8:$N$8,'Tax Study Input'!$B$17:$N$17)))/12+LOOKUP(YEAR(AU$5),'Tax Study Input'!$B$8:$N$8,'Tax Study Input'!$B$19:$N$19)/12</f>
        <v>32646.142444546247</v>
      </c>
      <c r="AV14" s="2264">
        <f ca="1">(AV$12*(LOOKUP(YEAR(AV$5),'Tax Study Input'!$B$8:$N$8,'Tax Study Input'!$B$17:$N$17)))/12+LOOKUP(YEAR(AV$5),'Tax Study Input'!$B$8:$N$8,'Tax Study Input'!$B$19:$N$19)/12</f>
        <v>32646.142444546247</v>
      </c>
      <c r="AW14" s="2264">
        <f ca="1">(AW$12*(LOOKUP(YEAR(AW$5),'Tax Study Input'!$B$8:$N$8,'Tax Study Input'!$B$17:$N$17)))/12+LOOKUP(YEAR(AW$5),'Tax Study Input'!$B$8:$N$8,'Tax Study Input'!$B$19:$N$19)/12</f>
        <v>32646.142444546247</v>
      </c>
      <c r="AX14" s="2264">
        <f ca="1">(AX$12*(LOOKUP(YEAR(AX$5),'Tax Study Input'!$B$8:$N$8,'Tax Study Input'!$B$17:$N$17)))/12+LOOKUP(YEAR(AX$5),'Tax Study Input'!$B$8:$N$8,'Tax Study Input'!$B$19:$N$19)/12</f>
        <v>32646.142444546247</v>
      </c>
      <c r="AY14" s="2264">
        <f ca="1">(AY$12*(LOOKUP(YEAR(AY$5),'Tax Study Input'!$B$8:$N$8,'Tax Study Input'!$B$17:$N$17)))/12+LOOKUP(YEAR(AY$5),'Tax Study Input'!$B$8:$N$8,'Tax Study Input'!$B$19:$N$19)/12</f>
        <v>32646.142444546247</v>
      </c>
      <c r="AZ14" s="2264">
        <f ca="1">(AZ$12*(LOOKUP(YEAR(AZ$5),'Tax Study Input'!$B$8:$N$8,'Tax Study Input'!$B$17:$N$17)))/12+LOOKUP(YEAR(AZ$5),'Tax Study Input'!$B$8:$N$8,'Tax Study Input'!$B$19:$N$19)/12</f>
        <v>32646.142444546247</v>
      </c>
      <c r="BA14" s="2264">
        <f ca="1">(BA$12*(LOOKUP(YEAR(BA$5),'Tax Study Input'!$B$8:$N$8,'Tax Study Input'!$B$17:$N$17)))/12+LOOKUP(YEAR(BA$5),'Tax Study Input'!$B$8:$N$8,'Tax Study Input'!$B$19:$N$19)/12</f>
        <v>32646.142444546247</v>
      </c>
      <c r="BB14" s="2264">
        <f ca="1">(BB$12*(LOOKUP(YEAR(BB$5),'Tax Study Input'!$B$8:$N$8,'Tax Study Input'!$B$17:$N$17)))/12+LOOKUP(YEAR(BB$5),'Tax Study Input'!$B$8:$N$8,'Tax Study Input'!$B$19:$N$19)/12</f>
        <v>32646.142444546247</v>
      </c>
      <c r="BC14" s="2264">
        <f ca="1">(BC$12*(LOOKUP(YEAR(BC$5),'Tax Study Input'!$B$8:$N$8,'Tax Study Input'!$B$17:$N$17)))/12+LOOKUP(YEAR(BC$5),'Tax Study Input'!$B$8:$N$8,'Tax Study Input'!$B$19:$N$19)/12</f>
        <v>32646.142444546247</v>
      </c>
      <c r="BD14" s="2264">
        <f ca="1">(BD$12*(LOOKUP(YEAR(BD$5),'Tax Study Input'!$B$8:$N$8,'Tax Study Input'!$B$17:$N$17)))/12+LOOKUP(YEAR(BD$5),'Tax Study Input'!$B$8:$N$8,'Tax Study Input'!$B$19:$N$19)/12</f>
        <v>33736.360051215968</v>
      </c>
      <c r="BE14" s="2264">
        <f ca="1">(BE$12*(LOOKUP(YEAR(BE$5),'Tax Study Input'!$B$8:$N$8,'Tax Study Input'!$B$17:$N$17)))/12+LOOKUP(YEAR(BE$5),'Tax Study Input'!$B$8:$N$8,'Tax Study Input'!$B$19:$N$19)/12</f>
        <v>33736.360051215968</v>
      </c>
      <c r="BF14" s="2264">
        <f ca="1">(BF$12*(LOOKUP(YEAR(BF$5),'Tax Study Input'!$B$8:$N$8,'Tax Study Input'!$B$17:$N$17)))/12+LOOKUP(YEAR(BF$5),'Tax Study Input'!$B$8:$N$8,'Tax Study Input'!$B$19:$N$19)/12</f>
        <v>33736.360051215968</v>
      </c>
      <c r="BG14" s="2264">
        <f ca="1">(BG$12*(LOOKUP(YEAR(BG$5),'Tax Study Input'!$B$8:$N$8,'Tax Study Input'!$B$17:$N$17)))/12+LOOKUP(YEAR(BG$5),'Tax Study Input'!$B$8:$N$8,'Tax Study Input'!$B$19:$N$19)/12</f>
        <v>33736.360051215968</v>
      </c>
      <c r="BH14" s="2264">
        <f ca="1">(BH$12*(LOOKUP(YEAR(BH$5),'Tax Study Input'!$B$8:$N$8,'Tax Study Input'!$B$17:$N$17)))/12+LOOKUP(YEAR(BH$5),'Tax Study Input'!$B$8:$N$8,'Tax Study Input'!$B$19:$N$19)/12</f>
        <v>33736.360051215968</v>
      </c>
      <c r="BI14" s="2264">
        <f ca="1">(BI$12*(LOOKUP(YEAR(BI$5),'Tax Study Input'!$B$8:$N$8,'Tax Study Input'!$B$17:$N$17)))/12+LOOKUP(YEAR(BI$5),'Tax Study Input'!$B$8:$N$8,'Tax Study Input'!$B$19:$N$19)/12</f>
        <v>33736.360051215968</v>
      </c>
      <c r="BJ14" s="2264">
        <f ca="1">(BJ$12*(LOOKUP(YEAR(BJ$5),'Tax Study Input'!$B$8:$N$8,'Tax Study Input'!$B$17:$N$17)))/12+LOOKUP(YEAR(BJ$5),'Tax Study Input'!$B$8:$N$8,'Tax Study Input'!$B$19:$N$19)/12</f>
        <v>33736.360051215968</v>
      </c>
      <c r="BK14" s="2264">
        <f ca="1">(BK$12*(LOOKUP(YEAR(BK$5),'Tax Study Input'!$B$8:$N$8,'Tax Study Input'!$B$17:$N$17)))/12+LOOKUP(YEAR(BK$5),'Tax Study Input'!$B$8:$N$8,'Tax Study Input'!$B$19:$N$19)/12</f>
        <v>33736.360051215968</v>
      </c>
      <c r="BL14" s="2264">
        <f ca="1">(BL$12*(LOOKUP(YEAR(BL$5),'Tax Study Input'!$B$8:$N$8,'Tax Study Input'!$B$17:$N$17)))/12+LOOKUP(YEAR(BL$5),'Tax Study Input'!$B$8:$N$8,'Tax Study Input'!$B$19:$N$19)/12</f>
        <v>33736.360051215968</v>
      </c>
      <c r="BM14" s="2264">
        <f ca="1">(BM$12*(LOOKUP(YEAR(BM$5),'Tax Study Input'!$B$8:$N$8,'Tax Study Input'!$B$17:$N$17)))/12+LOOKUP(YEAR(BM$5),'Tax Study Input'!$B$8:$N$8,'Tax Study Input'!$B$19:$N$19)/12</f>
        <v>33736.360051215968</v>
      </c>
      <c r="BN14" s="2264">
        <f ca="1">(BN$12*(LOOKUP(YEAR(BN$5),'Tax Study Input'!$B$8:$N$8,'Tax Study Input'!$B$17:$N$17)))/12+LOOKUP(YEAR(BN$5),'Tax Study Input'!$B$8:$N$8,'Tax Study Input'!$B$19:$N$19)/12</f>
        <v>33736.360051215968</v>
      </c>
      <c r="BO14" s="2264">
        <f ca="1">(BO$12*(LOOKUP(YEAR(BO$5),'Tax Study Input'!$B$8:$N$8,'Tax Study Input'!$B$17:$N$17)))/12+LOOKUP(YEAR(BO$5),'Tax Study Input'!$B$8:$N$8,'Tax Study Input'!$B$19:$N$19)/12</f>
        <v>33736.360051215968</v>
      </c>
      <c r="BP14" s="2264">
        <f ca="1">(BP$12*(LOOKUP(YEAR(BP$5),'Tax Study Input'!$B$8:$N$8,'Tax Study Input'!$B$17:$N$17)))/12+LOOKUP(YEAR(BP$5),'Tax Study Input'!$B$8:$N$8,'Tax Study Input'!$B$19:$N$19)/12</f>
        <v>34969.231121977369</v>
      </c>
      <c r="BQ14" s="2264">
        <f ca="1">(BQ$12*(LOOKUP(YEAR(BQ$5),'Tax Study Input'!$B$8:$N$8,'Tax Study Input'!$B$17:$N$17)))/12+LOOKUP(YEAR(BQ$5),'Tax Study Input'!$B$8:$N$8,'Tax Study Input'!$B$19:$N$19)/12</f>
        <v>34969.231121977369</v>
      </c>
      <c r="BR14" s="2264">
        <f ca="1">(BR$12*(LOOKUP(YEAR(BR$5),'Tax Study Input'!$B$8:$N$8,'Tax Study Input'!$B$17:$N$17)))/12+LOOKUP(YEAR(BR$5),'Tax Study Input'!$B$8:$N$8,'Tax Study Input'!$B$19:$N$19)/12</f>
        <v>34969.231121977369</v>
      </c>
      <c r="BS14" s="2264">
        <f ca="1">(BS$12*(LOOKUP(YEAR(BS$5),'Tax Study Input'!$B$8:$N$8,'Tax Study Input'!$B$17:$N$17)))/12+LOOKUP(YEAR(BS$5),'Tax Study Input'!$B$8:$N$8,'Tax Study Input'!$B$19:$N$19)/12</f>
        <v>34969.231121977369</v>
      </c>
      <c r="BT14" s="2264">
        <f ca="1">(BT$12*(LOOKUP(YEAR(BT$5),'Tax Study Input'!$B$8:$N$8,'Tax Study Input'!$B$17:$N$17)))/12+LOOKUP(YEAR(BT$5),'Tax Study Input'!$B$8:$N$8,'Tax Study Input'!$B$19:$N$19)/12</f>
        <v>34969.231121977369</v>
      </c>
      <c r="BU14" s="2264">
        <f ca="1">(BU$12*(LOOKUP(YEAR(BU$5),'Tax Study Input'!$B$8:$N$8,'Tax Study Input'!$B$17:$N$17)))/12+LOOKUP(YEAR(BU$5),'Tax Study Input'!$B$8:$N$8,'Tax Study Input'!$B$19:$N$19)/12</f>
        <v>34969.231121977369</v>
      </c>
      <c r="BV14" s="2264">
        <f ca="1">(BV$12*(LOOKUP(YEAR(BV$5),'Tax Study Input'!$B$8:$N$8,'Tax Study Input'!$B$17:$N$17)))/12+LOOKUP(YEAR(BV$5),'Tax Study Input'!$B$8:$N$8,'Tax Study Input'!$B$19:$N$19)/12</f>
        <v>34969.231121977369</v>
      </c>
      <c r="BW14" s="2264">
        <f ca="1">(BW$12*(LOOKUP(YEAR(BW$5),'Tax Study Input'!$B$8:$N$8,'Tax Study Input'!$B$17:$N$17)))/12+LOOKUP(YEAR(BW$5),'Tax Study Input'!$B$8:$N$8,'Tax Study Input'!$B$19:$N$19)/12</f>
        <v>34969.231121977369</v>
      </c>
      <c r="BX14" s="2264">
        <f ca="1">(BX$12*(LOOKUP(YEAR(BX$5),'Tax Study Input'!$B$8:$N$8,'Tax Study Input'!$B$17:$N$17)))/12+LOOKUP(YEAR(BX$5),'Tax Study Input'!$B$8:$N$8,'Tax Study Input'!$B$19:$N$19)/12</f>
        <v>34969.231121977369</v>
      </c>
      <c r="BY14" s="2264">
        <f ca="1">(BY$12*(LOOKUP(YEAR(BY$5),'Tax Study Input'!$B$8:$N$8,'Tax Study Input'!$B$17:$N$17)))/12+LOOKUP(YEAR(BY$5),'Tax Study Input'!$B$8:$N$8,'Tax Study Input'!$B$19:$N$19)/12</f>
        <v>34969.231121977369</v>
      </c>
      <c r="BZ14" s="2264">
        <f ca="1">(BZ$12*(LOOKUP(YEAR(BZ$5),'Tax Study Input'!$B$8:$N$8,'Tax Study Input'!$B$17:$N$17)))/12+LOOKUP(YEAR(BZ$5),'Tax Study Input'!$B$8:$N$8,'Tax Study Input'!$B$19:$N$19)/12</f>
        <v>34969.231121977369</v>
      </c>
      <c r="CA14" s="2264">
        <f ca="1">(CA$12*(LOOKUP(YEAR(CA$5),'Tax Study Input'!$B$8:$N$8,'Tax Study Input'!$B$17:$N$17)))/12+LOOKUP(YEAR(CA$5),'Tax Study Input'!$B$8:$N$8,'Tax Study Input'!$B$19:$N$19)/12</f>
        <v>34969.231121977369</v>
      </c>
      <c r="CB14" s="2264">
        <f ca="1">(CB$12*(LOOKUP(YEAR(CB$5),'Tax Study Input'!$B$8:$N$8,'Tax Study Input'!$B$17:$N$17)))/12+LOOKUP(YEAR(CB$5),'Tax Study Input'!$B$8:$N$8,'Tax Study Input'!$B$19:$N$19)/12</f>
        <v>36254.551388136926</v>
      </c>
      <c r="CC14" s="2264">
        <f ca="1">(CC$12*(LOOKUP(YEAR(CC$5),'Tax Study Input'!$B$8:$N$8,'Tax Study Input'!$B$17:$N$17)))/12+LOOKUP(YEAR(CC$5),'Tax Study Input'!$B$8:$N$8,'Tax Study Input'!$B$19:$N$19)/12</f>
        <v>36254.551388136926</v>
      </c>
      <c r="CD14" s="2264">
        <f ca="1">(CD$12*(LOOKUP(YEAR(CD$5),'Tax Study Input'!$B$8:$N$8,'Tax Study Input'!$B$17:$N$17)))/12+LOOKUP(YEAR(CD$5),'Tax Study Input'!$B$8:$N$8,'Tax Study Input'!$B$19:$N$19)/12</f>
        <v>36254.551388136926</v>
      </c>
      <c r="CE14" s="2264">
        <f ca="1">(CE$12*(LOOKUP(YEAR(CE$5),'Tax Study Input'!$B$8:$N$8,'Tax Study Input'!$B$17:$N$17)))/12+LOOKUP(YEAR(CE$5),'Tax Study Input'!$B$8:$N$8,'Tax Study Input'!$B$19:$N$19)/12</f>
        <v>36254.551388136926</v>
      </c>
      <c r="CF14" s="2264">
        <f ca="1">(CF$12*(LOOKUP(YEAR(CF$5),'Tax Study Input'!$B$8:$N$8,'Tax Study Input'!$B$17:$N$17)))/12+LOOKUP(YEAR(CF$5),'Tax Study Input'!$B$8:$N$8,'Tax Study Input'!$B$19:$N$19)/12</f>
        <v>36254.551388136926</v>
      </c>
      <c r="CG14" s="2264">
        <f ca="1">(CG$12*(LOOKUP(YEAR(CG$5),'Tax Study Input'!$B$8:$N$8,'Tax Study Input'!$B$17:$N$17)))/12+LOOKUP(YEAR(CG$5),'Tax Study Input'!$B$8:$N$8,'Tax Study Input'!$B$19:$N$19)/12</f>
        <v>36254.551388136926</v>
      </c>
      <c r="CH14" s="2264">
        <f ca="1">(CH$12*(LOOKUP(YEAR(CH$5),'Tax Study Input'!$B$8:$N$8,'Tax Study Input'!$B$17:$N$17)))/12+LOOKUP(YEAR(CH$5),'Tax Study Input'!$B$8:$N$8,'Tax Study Input'!$B$19:$N$19)/12</f>
        <v>36254.551388136926</v>
      </c>
      <c r="CI14" s="2264">
        <f ca="1">(CI$12*(LOOKUP(YEAR(CI$5),'Tax Study Input'!$B$8:$N$8,'Tax Study Input'!$B$17:$N$17)))/12+LOOKUP(YEAR(CI$5),'Tax Study Input'!$B$8:$N$8,'Tax Study Input'!$B$19:$N$19)/12</f>
        <v>36254.551388136926</v>
      </c>
      <c r="CJ14" s="2264">
        <f ca="1">(CJ$12*(LOOKUP(YEAR(CJ$5),'Tax Study Input'!$B$8:$N$8,'Tax Study Input'!$B$17:$N$17)))/12+LOOKUP(YEAR(CJ$5),'Tax Study Input'!$B$8:$N$8,'Tax Study Input'!$B$19:$N$19)/12</f>
        <v>36254.551388136926</v>
      </c>
      <c r="CK14" s="2264">
        <f ca="1">(CK$12*(LOOKUP(YEAR(CK$5),'Tax Study Input'!$B$8:$N$8,'Tax Study Input'!$B$17:$N$17)))/12+LOOKUP(YEAR(CK$5),'Tax Study Input'!$B$8:$N$8,'Tax Study Input'!$B$19:$N$19)/12</f>
        <v>36254.551388136926</v>
      </c>
      <c r="CL14" s="2264">
        <f ca="1">(CL$12*(LOOKUP(YEAR(CL$5),'Tax Study Input'!$B$8:$N$8,'Tax Study Input'!$B$17:$N$17)))/12+LOOKUP(YEAR(CL$5),'Tax Study Input'!$B$8:$N$8,'Tax Study Input'!$B$19:$N$19)/12</f>
        <v>36254.551388136926</v>
      </c>
      <c r="CM14" s="2264">
        <f ca="1">(CM$12*(LOOKUP(YEAR(CM$5),'Tax Study Input'!$B$8:$N$8,'Tax Study Input'!$B$17:$N$17)))/12+LOOKUP(YEAR(CM$5),'Tax Study Input'!$B$8:$N$8,'Tax Study Input'!$B$19:$N$19)/12</f>
        <v>36254.551388136926</v>
      </c>
      <c r="CN14" s="2264">
        <f ca="1">(CN$12*(LOOKUP(YEAR(CN$5),'Tax Study Input'!$B$8:$N$8,'Tax Study Input'!$B$17:$N$17)))/12+LOOKUP(YEAR(CN$5),'Tax Study Input'!$B$8:$N$8,'Tax Study Input'!$B$19:$N$19)/12</f>
        <v>37595.221742737049</v>
      </c>
      <c r="CO14" s="2264">
        <f ca="1">(CO$12*(LOOKUP(YEAR(CO$5),'Tax Study Input'!$B$8:$N$8,'Tax Study Input'!$B$17:$N$17)))/12+LOOKUP(YEAR(CO$5),'Tax Study Input'!$B$8:$N$8,'Tax Study Input'!$B$19:$N$19)/12</f>
        <v>37595.221742737049</v>
      </c>
      <c r="CP14" s="2264">
        <f ca="1">(CP$12*(LOOKUP(YEAR(CP$5),'Tax Study Input'!$B$8:$N$8,'Tax Study Input'!$B$17:$N$17)))/12+LOOKUP(YEAR(CP$5),'Tax Study Input'!$B$8:$N$8,'Tax Study Input'!$B$19:$N$19)/12</f>
        <v>37595.221742737049</v>
      </c>
      <c r="CQ14" s="2264">
        <f ca="1">(CQ$12*(LOOKUP(YEAR(CQ$5),'Tax Study Input'!$B$8:$N$8,'Tax Study Input'!$B$17:$N$17)))/12+LOOKUP(YEAR(CQ$5),'Tax Study Input'!$B$8:$N$8,'Tax Study Input'!$B$19:$N$19)/12</f>
        <v>37595.221742737049</v>
      </c>
      <c r="CR14" s="2264">
        <f ca="1">(CR$12*(LOOKUP(YEAR(CR$5),'Tax Study Input'!$B$8:$N$8,'Tax Study Input'!$B$17:$N$17)))/12+LOOKUP(YEAR(CR$5),'Tax Study Input'!$B$8:$N$8,'Tax Study Input'!$B$19:$N$19)/12</f>
        <v>37595.221742737049</v>
      </c>
      <c r="CS14" s="2264">
        <f ca="1">(CS$12*(LOOKUP(YEAR(CS$5),'Tax Study Input'!$B$8:$N$8,'Tax Study Input'!$B$17:$N$17)))/12+LOOKUP(YEAR(CS$5),'Tax Study Input'!$B$8:$N$8,'Tax Study Input'!$B$19:$N$19)/12</f>
        <v>37595.221742737049</v>
      </c>
      <c r="CT14" s="2264">
        <f ca="1">(CT$12*(LOOKUP(YEAR(CT$5),'Tax Study Input'!$B$8:$N$8,'Tax Study Input'!$B$17:$N$17)))/12+LOOKUP(YEAR(CT$5),'Tax Study Input'!$B$8:$N$8,'Tax Study Input'!$B$19:$N$19)/12</f>
        <v>37595.221742737049</v>
      </c>
      <c r="CU14" s="2264">
        <f ca="1">(CU$12*(LOOKUP(YEAR(CU$5),'Tax Study Input'!$B$8:$N$8,'Tax Study Input'!$B$17:$N$17)))/12+LOOKUP(YEAR(CU$5),'Tax Study Input'!$B$8:$N$8,'Tax Study Input'!$B$19:$N$19)/12</f>
        <v>37595.221742737049</v>
      </c>
      <c r="CV14" s="2264">
        <f ca="1">(CV$12*(LOOKUP(YEAR(CV$5),'Tax Study Input'!$B$8:$N$8,'Tax Study Input'!$B$17:$N$17)))/12+LOOKUP(YEAR(CV$5),'Tax Study Input'!$B$8:$N$8,'Tax Study Input'!$B$19:$N$19)/12</f>
        <v>37595.221742737049</v>
      </c>
      <c r="CW14" s="2264">
        <f ca="1">(CW$12*(LOOKUP(YEAR(CW$5),'Tax Study Input'!$B$8:$N$8,'Tax Study Input'!$B$17:$N$17)))/12+LOOKUP(YEAR(CW$5),'Tax Study Input'!$B$8:$N$8,'Tax Study Input'!$B$19:$N$19)/12</f>
        <v>37595.221742737049</v>
      </c>
      <c r="CX14" s="2264">
        <f ca="1">(CX$12*(LOOKUP(YEAR(CX$5),'Tax Study Input'!$B$8:$N$8,'Tax Study Input'!$B$17:$N$17)))/12+LOOKUP(YEAR(CX$5),'Tax Study Input'!$B$8:$N$8,'Tax Study Input'!$B$19:$N$19)/12</f>
        <v>37595.221742737049</v>
      </c>
      <c r="CY14" s="2264">
        <f ca="1">(CY$12*(LOOKUP(YEAR(CY$5),'Tax Study Input'!$B$8:$N$8,'Tax Study Input'!$B$17:$N$17)))/12+LOOKUP(YEAR(CY$5),'Tax Study Input'!$B$8:$N$8,'Tax Study Input'!$B$19:$N$19)/12</f>
        <v>37595.221742737049</v>
      </c>
      <c r="CZ14" s="2264">
        <f ca="1">(CZ$12*(LOOKUP(YEAR(CZ$5),'Tax Study Input'!$B$8:$N$8,'Tax Study Input'!$B$17:$N$17)))/12+LOOKUP(YEAR(CZ$5),'Tax Study Input'!$B$8:$N$8,'Tax Study Input'!$B$19:$N$19)/12</f>
        <v>38994.35560428755</v>
      </c>
      <c r="DA14" s="2264">
        <f ca="1">(DA$12*(LOOKUP(YEAR(DA$5),'Tax Study Input'!$B$8:$N$8,'Tax Study Input'!$B$17:$N$17)))/12+LOOKUP(YEAR(DA$5),'Tax Study Input'!$B$8:$N$8,'Tax Study Input'!$B$19:$N$19)/12</f>
        <v>38994.35560428755</v>
      </c>
      <c r="DB14" s="2264">
        <f ca="1">(DB$12*(LOOKUP(YEAR(DB$5),'Tax Study Input'!$B$8:$N$8,'Tax Study Input'!$B$17:$N$17)))/12+LOOKUP(YEAR(DB$5),'Tax Study Input'!$B$8:$N$8,'Tax Study Input'!$B$19:$N$19)/12</f>
        <v>38994.35560428755</v>
      </c>
      <c r="DC14" s="2264">
        <f ca="1">(DC$12*(LOOKUP(YEAR(DC$5),'Tax Study Input'!$B$8:$N$8,'Tax Study Input'!$B$17:$N$17)))/12+LOOKUP(YEAR(DC$5),'Tax Study Input'!$B$8:$N$8,'Tax Study Input'!$B$19:$N$19)/12</f>
        <v>38994.35560428755</v>
      </c>
      <c r="DD14" s="2264">
        <f ca="1">(DD$12*(LOOKUP(YEAR(DD$5),'Tax Study Input'!$B$8:$N$8,'Tax Study Input'!$B$17:$N$17)))/12+LOOKUP(YEAR(DD$5),'Tax Study Input'!$B$8:$N$8,'Tax Study Input'!$B$19:$N$19)/12</f>
        <v>38994.35560428755</v>
      </c>
      <c r="DE14" s="2264">
        <f ca="1">(DE$12*(LOOKUP(YEAR(DE$5),'Tax Study Input'!$B$8:$N$8,'Tax Study Input'!$B$17:$N$17)))/12+LOOKUP(YEAR(DE$5),'Tax Study Input'!$B$8:$N$8,'Tax Study Input'!$B$19:$N$19)/12</f>
        <v>38994.35560428755</v>
      </c>
      <c r="DF14" s="2264">
        <f ca="1">(DF$12*(LOOKUP(YEAR(DF$5),'Tax Study Input'!$B$8:$N$8,'Tax Study Input'!$B$17:$N$17)))/12+LOOKUP(YEAR(DF$5),'Tax Study Input'!$B$8:$N$8,'Tax Study Input'!$B$19:$N$19)/12</f>
        <v>38994.35560428755</v>
      </c>
      <c r="DG14" s="2264">
        <f ca="1">(DG$12*(LOOKUP(YEAR(DG$5),'Tax Study Input'!$B$8:$N$8,'Tax Study Input'!$B$17:$N$17)))/12+LOOKUP(YEAR(DG$5),'Tax Study Input'!$B$8:$N$8,'Tax Study Input'!$B$19:$N$19)/12</f>
        <v>38994.35560428755</v>
      </c>
      <c r="DH14" s="2264">
        <f ca="1">(DH$12*(LOOKUP(YEAR(DH$5),'Tax Study Input'!$B$8:$N$8,'Tax Study Input'!$B$17:$N$17)))/12+LOOKUP(YEAR(DH$5),'Tax Study Input'!$B$8:$N$8,'Tax Study Input'!$B$19:$N$19)/12</f>
        <v>38994.35560428755</v>
      </c>
      <c r="DI14" s="2264">
        <f ca="1">(DI$12*(LOOKUP(YEAR(DI$5),'Tax Study Input'!$B$8:$N$8,'Tax Study Input'!$B$17:$N$17)))/12+LOOKUP(YEAR(DI$5),'Tax Study Input'!$B$8:$N$8,'Tax Study Input'!$B$19:$N$19)/12</f>
        <v>38994.35560428755</v>
      </c>
      <c r="DJ14" s="2264">
        <f ca="1">(DJ$12*(LOOKUP(YEAR(DJ$5),'Tax Study Input'!$B$8:$N$8,'Tax Study Input'!$B$17:$N$17)))/12+LOOKUP(YEAR(DJ$5),'Tax Study Input'!$B$8:$N$8,'Tax Study Input'!$B$19:$N$19)/12</f>
        <v>38994.35560428755</v>
      </c>
      <c r="DK14" s="2264">
        <f ca="1">(DK$12*(LOOKUP(YEAR(DK$5),'Tax Study Input'!$B$8:$N$8,'Tax Study Input'!$B$17:$N$17)))/12+LOOKUP(YEAR(DK$5),'Tax Study Input'!$B$8:$N$8,'Tax Study Input'!$B$19:$N$19)/12</f>
        <v>38994.35560428755</v>
      </c>
      <c r="DL14" s="2264">
        <f ca="1">(DL$12*(LOOKUP(YEAR(DL$5),'Tax Study Input'!$B$8:$N$8,'Tax Study Input'!$B$17:$N$17)))/12+LOOKUP(YEAR(DL$5),'Tax Study Input'!$B$8:$N$8,'Tax Study Input'!$B$19:$N$19)/12</f>
        <v>40455.297602725092</v>
      </c>
      <c r="DM14" s="2264">
        <f ca="1">(DM$12*(LOOKUP(YEAR(DM$5),'Tax Study Input'!$B$8:$N$8,'Tax Study Input'!$B$17:$N$17)))/12+LOOKUP(YEAR(DM$5),'Tax Study Input'!$B$8:$N$8,'Tax Study Input'!$B$19:$N$19)/12</f>
        <v>40455.297602725092</v>
      </c>
      <c r="DN14" s="2264">
        <f ca="1">(DN$12*(LOOKUP(YEAR(DN$5),'Tax Study Input'!$B$8:$N$8,'Tax Study Input'!$B$17:$N$17)))/12+LOOKUP(YEAR(DN$5),'Tax Study Input'!$B$8:$N$8,'Tax Study Input'!$B$19:$N$19)/12</f>
        <v>40455.297602725092</v>
      </c>
      <c r="DO14" s="2264">
        <f ca="1">(DO$12*(LOOKUP(YEAR(DO$5),'Tax Study Input'!$B$8:$N$8,'Tax Study Input'!$B$17:$N$17)))/12+LOOKUP(YEAR(DO$5),'Tax Study Input'!$B$8:$N$8,'Tax Study Input'!$B$19:$N$19)/12</f>
        <v>40455.297602725092</v>
      </c>
      <c r="DP14" s="2264">
        <f ca="1">(DP$12*(LOOKUP(YEAR(DP$5),'Tax Study Input'!$B$8:$N$8,'Tax Study Input'!$B$17:$N$17)))/12+LOOKUP(YEAR(DP$5),'Tax Study Input'!$B$8:$N$8,'Tax Study Input'!$B$19:$N$19)/12</f>
        <v>40455.297602725092</v>
      </c>
      <c r="DQ14" s="2264">
        <f ca="1">(DQ$12*(LOOKUP(YEAR(DQ$5),'Tax Study Input'!$B$8:$N$8,'Tax Study Input'!$B$17:$N$17)))/12+LOOKUP(YEAR(DQ$5),'Tax Study Input'!$B$8:$N$8,'Tax Study Input'!$B$19:$N$19)/12</f>
        <v>40455.297602725092</v>
      </c>
      <c r="DR14" s="2264">
        <f ca="1">(DR$12*(LOOKUP(YEAR(DR$5),'Tax Study Input'!$B$8:$N$8,'Tax Study Input'!$B$17:$N$17)))/12+LOOKUP(YEAR(DR$5),'Tax Study Input'!$B$8:$N$8,'Tax Study Input'!$B$19:$N$19)/12</f>
        <v>40455.297602725092</v>
      </c>
      <c r="DS14" s="2264">
        <f ca="1">(DS$12*(LOOKUP(YEAR(DS$5),'Tax Study Input'!$B$8:$N$8,'Tax Study Input'!$B$17:$N$17)))/12+LOOKUP(YEAR(DS$5),'Tax Study Input'!$B$8:$N$8,'Tax Study Input'!$B$19:$N$19)/12</f>
        <v>40455.297602725092</v>
      </c>
      <c r="DT14" s="2264">
        <f ca="1">(DT$12*(LOOKUP(YEAR(DT$5),'Tax Study Input'!$B$8:$N$8,'Tax Study Input'!$B$17:$N$17)))/12+LOOKUP(YEAR(DT$5),'Tax Study Input'!$B$8:$N$8,'Tax Study Input'!$B$19:$N$19)/12</f>
        <v>40455.297602725092</v>
      </c>
      <c r="DU14" s="2264">
        <f ca="1">(DU$12*(LOOKUP(YEAR(DU$5),'Tax Study Input'!$B$8:$N$8,'Tax Study Input'!$B$17:$N$17)))/12+LOOKUP(YEAR(DU$5),'Tax Study Input'!$B$8:$N$8,'Tax Study Input'!$B$19:$N$19)/12</f>
        <v>40455.297602725092</v>
      </c>
      <c r="DV14" s="2264">
        <f ca="1">(DV$12*(LOOKUP(YEAR(DV$5),'Tax Study Input'!$B$8:$N$8,'Tax Study Input'!$B$17:$N$17)))/12+LOOKUP(YEAR(DV$5),'Tax Study Input'!$B$8:$N$8,'Tax Study Input'!$B$19:$N$19)/12</f>
        <v>40455.297602725092</v>
      </c>
      <c r="DW14" s="2264">
        <f ca="1">(DW$12*(LOOKUP(YEAR(DW$5),'Tax Study Input'!$B$8:$N$8,'Tax Study Input'!$B$17:$N$17)))/12+LOOKUP(YEAR(DW$5),'Tax Study Input'!$B$8:$N$8,'Tax Study Input'!$B$19:$N$19)/12</f>
        <v>40455.297602725092</v>
      </c>
      <c r="DX14" s="2264">
        <f ca="1">(DX$12*(LOOKUP(YEAR(DX$5),'Tax Study Input'!$B$8:$N$8,'Tax Study Input'!$B$17:$N$17)))/12+LOOKUP(YEAR(DX$5),'Tax Study Input'!$B$8:$N$8,'Tax Study Input'!$B$19:$N$19)/12</f>
        <v>41981.6440490401</v>
      </c>
      <c r="DY14" s="2264">
        <f ca="1">(DY$12*(LOOKUP(YEAR(DY$5),'Tax Study Input'!$B$8:$N$8,'Tax Study Input'!$B$17:$N$17)))/12+LOOKUP(YEAR(DY$5),'Tax Study Input'!$B$8:$N$8,'Tax Study Input'!$B$19:$N$19)/12</f>
        <v>41981.6440490401</v>
      </c>
      <c r="DZ14" s="2264">
        <f ca="1">(DZ$12*(LOOKUP(YEAR(DZ$5),'Tax Study Input'!$B$8:$N$8,'Tax Study Input'!$B$17:$N$17)))/12+LOOKUP(YEAR(DZ$5),'Tax Study Input'!$B$8:$N$8,'Tax Study Input'!$B$19:$N$19)/12</f>
        <v>41981.6440490401</v>
      </c>
      <c r="EA14" s="2264">
        <f ca="1">(EA$12*(LOOKUP(YEAR(EA$5),'Tax Study Input'!$B$8:$N$8,'Tax Study Input'!$B$17:$N$17)))/12+LOOKUP(YEAR(EA$5),'Tax Study Input'!$B$8:$N$8,'Tax Study Input'!$B$19:$N$19)/12</f>
        <v>41981.6440490401</v>
      </c>
      <c r="EB14" s="2264">
        <f ca="1">(EB$12*(LOOKUP(YEAR(EB$5),'Tax Study Input'!$B$8:$N$8,'Tax Study Input'!$B$17:$N$17)))/12+LOOKUP(YEAR(EB$5),'Tax Study Input'!$B$8:$N$8,'Tax Study Input'!$B$19:$N$19)/12</f>
        <v>41981.6440490401</v>
      </c>
      <c r="EC14" s="2264">
        <f ca="1">(EC$12*(LOOKUP(YEAR(EC$5),'Tax Study Input'!$B$8:$N$8,'Tax Study Input'!$B$17:$N$17)))/12+LOOKUP(YEAR(EC$5),'Tax Study Input'!$B$8:$N$8,'Tax Study Input'!$B$19:$N$19)/12</f>
        <v>41981.6440490401</v>
      </c>
      <c r="ED14" s="2264">
        <f ca="1">(ED$12*(LOOKUP(YEAR(ED$5),'Tax Study Input'!$B$8:$N$8,'Tax Study Input'!$B$17:$N$17)))/12+LOOKUP(YEAR(ED$5),'Tax Study Input'!$B$8:$N$8,'Tax Study Input'!$B$19:$N$19)/12</f>
        <v>41981.6440490401</v>
      </c>
      <c r="EE14" s="2264">
        <f ca="1">(EE$12*(LOOKUP(YEAR(EE$5),'Tax Study Input'!$B$8:$N$8,'Tax Study Input'!$B$17:$N$17)))/12+LOOKUP(YEAR(EE$5),'Tax Study Input'!$B$8:$N$8,'Tax Study Input'!$B$19:$N$19)/12</f>
        <v>41981.6440490401</v>
      </c>
      <c r="EF14" s="2264">
        <f ca="1">(EF$12*(LOOKUP(YEAR(EF$5),'Tax Study Input'!$B$8:$N$8,'Tax Study Input'!$B$17:$N$17)))/12+LOOKUP(YEAR(EF$5),'Tax Study Input'!$B$8:$N$8,'Tax Study Input'!$B$19:$N$19)/12</f>
        <v>41981.6440490401</v>
      </c>
    </row>
    <row r="15" spans="1:136" x14ac:dyDescent="0.3">
      <c r="A15" s="229" t="s">
        <v>2275</v>
      </c>
      <c r="C15" s="755"/>
      <c r="E15" s="229">
        <f>'Operating Inputs'!$I$178/12</f>
        <v>0</v>
      </c>
      <c r="F15" s="229">
        <f t="shared" ref="F15:K15" si="3">IF(F9=1,(1+F11)*E15,E15)</f>
        <v>0</v>
      </c>
      <c r="G15" s="229">
        <f t="shared" si="3"/>
        <v>0</v>
      </c>
      <c r="H15" s="229">
        <f t="shared" si="3"/>
        <v>0</v>
      </c>
      <c r="I15" s="229">
        <f t="shared" si="3"/>
        <v>0</v>
      </c>
      <c r="J15" s="229">
        <f t="shared" si="3"/>
        <v>0</v>
      </c>
      <c r="K15" s="229">
        <f t="shared" si="3"/>
        <v>0</v>
      </c>
      <c r="L15" s="229">
        <f>IF(L9=1,(1+L11)*K15,K15)</f>
        <v>0</v>
      </c>
      <c r="M15" s="229">
        <f t="shared" ref="M15:BX15" si="4">IF(M9=1,(1+M11)*L15,L15)</f>
        <v>0</v>
      </c>
      <c r="N15" s="229">
        <f t="shared" si="4"/>
        <v>0</v>
      </c>
      <c r="O15" s="229">
        <f t="shared" si="4"/>
        <v>0</v>
      </c>
      <c r="P15" s="229">
        <f t="shared" si="4"/>
        <v>0</v>
      </c>
      <c r="Q15" s="229">
        <f t="shared" si="4"/>
        <v>0</v>
      </c>
      <c r="R15" s="229">
        <f t="shared" si="4"/>
        <v>0</v>
      </c>
      <c r="S15" s="229">
        <f t="shared" si="4"/>
        <v>0</v>
      </c>
      <c r="T15" s="229">
        <f t="shared" si="4"/>
        <v>0</v>
      </c>
      <c r="U15" s="229">
        <f t="shared" si="4"/>
        <v>0</v>
      </c>
      <c r="V15" s="229">
        <f t="shared" si="4"/>
        <v>0</v>
      </c>
      <c r="W15" s="229">
        <f t="shared" si="4"/>
        <v>0</v>
      </c>
      <c r="X15" s="229">
        <f t="shared" si="4"/>
        <v>0</v>
      </c>
      <c r="Y15" s="229">
        <f t="shared" si="4"/>
        <v>0</v>
      </c>
      <c r="Z15" s="229">
        <f t="shared" si="4"/>
        <v>0</v>
      </c>
      <c r="AA15" s="229">
        <f t="shared" si="4"/>
        <v>0</v>
      </c>
      <c r="AB15" s="229">
        <f t="shared" si="4"/>
        <v>0</v>
      </c>
      <c r="AC15" s="229">
        <f t="shared" si="4"/>
        <v>0</v>
      </c>
      <c r="AD15" s="229">
        <f t="shared" si="4"/>
        <v>0</v>
      </c>
      <c r="AE15" s="229">
        <f t="shared" si="4"/>
        <v>0</v>
      </c>
      <c r="AF15" s="229">
        <f t="shared" si="4"/>
        <v>0</v>
      </c>
      <c r="AG15" s="229">
        <f t="shared" si="4"/>
        <v>0</v>
      </c>
      <c r="AH15" s="229">
        <f t="shared" si="4"/>
        <v>0</v>
      </c>
      <c r="AI15" s="229">
        <f t="shared" si="4"/>
        <v>0</v>
      </c>
      <c r="AJ15" s="229">
        <f t="shared" si="4"/>
        <v>0</v>
      </c>
      <c r="AK15" s="229">
        <f t="shared" si="4"/>
        <v>0</v>
      </c>
      <c r="AL15" s="229">
        <f t="shared" si="4"/>
        <v>0</v>
      </c>
      <c r="AM15" s="229">
        <f t="shared" si="4"/>
        <v>0</v>
      </c>
      <c r="AN15" s="229">
        <f t="shared" si="4"/>
        <v>0</v>
      </c>
      <c r="AO15" s="229">
        <f t="shared" si="4"/>
        <v>0</v>
      </c>
      <c r="AP15" s="229">
        <f t="shared" si="4"/>
        <v>0</v>
      </c>
      <c r="AQ15" s="229">
        <f t="shared" si="4"/>
        <v>0</v>
      </c>
      <c r="AR15" s="229">
        <f t="shared" si="4"/>
        <v>0</v>
      </c>
      <c r="AS15" s="229">
        <f t="shared" si="4"/>
        <v>0</v>
      </c>
      <c r="AT15" s="229">
        <f t="shared" si="4"/>
        <v>0</v>
      </c>
      <c r="AU15" s="229">
        <f t="shared" si="4"/>
        <v>0</v>
      </c>
      <c r="AV15" s="229">
        <f t="shared" si="4"/>
        <v>0</v>
      </c>
      <c r="AW15" s="229">
        <f t="shared" si="4"/>
        <v>0</v>
      </c>
      <c r="AX15" s="229">
        <f t="shared" si="4"/>
        <v>0</v>
      </c>
      <c r="AY15" s="229">
        <f t="shared" si="4"/>
        <v>0</v>
      </c>
      <c r="AZ15" s="229">
        <f t="shared" si="4"/>
        <v>0</v>
      </c>
      <c r="BA15" s="229">
        <f t="shared" si="4"/>
        <v>0</v>
      </c>
      <c r="BB15" s="229">
        <f t="shared" si="4"/>
        <v>0</v>
      </c>
      <c r="BC15" s="229">
        <f t="shared" si="4"/>
        <v>0</v>
      </c>
      <c r="BD15" s="229">
        <f t="shared" si="4"/>
        <v>0</v>
      </c>
      <c r="BE15" s="229">
        <f t="shared" si="4"/>
        <v>0</v>
      </c>
      <c r="BF15" s="229">
        <f t="shared" si="4"/>
        <v>0</v>
      </c>
      <c r="BG15" s="229">
        <f t="shared" si="4"/>
        <v>0</v>
      </c>
      <c r="BH15" s="229">
        <f t="shared" si="4"/>
        <v>0</v>
      </c>
      <c r="BI15" s="229">
        <f t="shared" si="4"/>
        <v>0</v>
      </c>
      <c r="BJ15" s="229">
        <f t="shared" si="4"/>
        <v>0</v>
      </c>
      <c r="BK15" s="229">
        <f t="shared" si="4"/>
        <v>0</v>
      </c>
      <c r="BL15" s="229">
        <f t="shared" si="4"/>
        <v>0</v>
      </c>
      <c r="BM15" s="229">
        <f t="shared" si="4"/>
        <v>0</v>
      </c>
      <c r="BN15" s="229">
        <f t="shared" si="4"/>
        <v>0</v>
      </c>
      <c r="BO15" s="229">
        <f t="shared" si="4"/>
        <v>0</v>
      </c>
      <c r="BP15" s="229">
        <f t="shared" si="4"/>
        <v>0</v>
      </c>
      <c r="BQ15" s="229">
        <f t="shared" si="4"/>
        <v>0</v>
      </c>
      <c r="BR15" s="229">
        <f t="shared" si="4"/>
        <v>0</v>
      </c>
      <c r="BS15" s="229">
        <f t="shared" si="4"/>
        <v>0</v>
      </c>
      <c r="BT15" s="229">
        <f t="shared" si="4"/>
        <v>0</v>
      </c>
      <c r="BU15" s="229">
        <f t="shared" si="4"/>
        <v>0</v>
      </c>
      <c r="BV15" s="229">
        <f t="shared" si="4"/>
        <v>0</v>
      </c>
      <c r="BW15" s="229">
        <f t="shared" si="4"/>
        <v>0</v>
      </c>
      <c r="BX15" s="229">
        <f t="shared" si="4"/>
        <v>0</v>
      </c>
      <c r="BY15" s="229">
        <f t="shared" ref="BY15:EF15" si="5">IF(BY9=1,(1+BY11)*BX15,BX15)</f>
        <v>0</v>
      </c>
      <c r="BZ15" s="229">
        <f t="shared" si="5"/>
        <v>0</v>
      </c>
      <c r="CA15" s="229">
        <f t="shared" si="5"/>
        <v>0</v>
      </c>
      <c r="CB15" s="229">
        <f t="shared" si="5"/>
        <v>0</v>
      </c>
      <c r="CC15" s="229">
        <f t="shared" si="5"/>
        <v>0</v>
      </c>
      <c r="CD15" s="229">
        <f t="shared" si="5"/>
        <v>0</v>
      </c>
      <c r="CE15" s="229">
        <f t="shared" si="5"/>
        <v>0</v>
      </c>
      <c r="CF15" s="229">
        <f t="shared" si="5"/>
        <v>0</v>
      </c>
      <c r="CG15" s="229">
        <f t="shared" si="5"/>
        <v>0</v>
      </c>
      <c r="CH15" s="229">
        <f t="shared" si="5"/>
        <v>0</v>
      </c>
      <c r="CI15" s="229">
        <f t="shared" si="5"/>
        <v>0</v>
      </c>
      <c r="CJ15" s="229">
        <f t="shared" si="5"/>
        <v>0</v>
      </c>
      <c r="CK15" s="229">
        <f t="shared" si="5"/>
        <v>0</v>
      </c>
      <c r="CL15" s="229">
        <f t="shared" si="5"/>
        <v>0</v>
      </c>
      <c r="CM15" s="229">
        <f t="shared" si="5"/>
        <v>0</v>
      </c>
      <c r="CN15" s="229">
        <f t="shared" si="5"/>
        <v>0</v>
      </c>
      <c r="CO15" s="229">
        <f t="shared" si="5"/>
        <v>0</v>
      </c>
      <c r="CP15" s="229">
        <f t="shared" si="5"/>
        <v>0</v>
      </c>
      <c r="CQ15" s="229">
        <f t="shared" si="5"/>
        <v>0</v>
      </c>
      <c r="CR15" s="229">
        <f t="shared" si="5"/>
        <v>0</v>
      </c>
      <c r="CS15" s="229">
        <f t="shared" si="5"/>
        <v>0</v>
      </c>
      <c r="CT15" s="229">
        <f t="shared" si="5"/>
        <v>0</v>
      </c>
      <c r="CU15" s="229">
        <f t="shared" si="5"/>
        <v>0</v>
      </c>
      <c r="CV15" s="229">
        <f t="shared" si="5"/>
        <v>0</v>
      </c>
      <c r="CW15" s="229">
        <f t="shared" si="5"/>
        <v>0</v>
      </c>
      <c r="CX15" s="229">
        <f t="shared" si="5"/>
        <v>0</v>
      </c>
      <c r="CY15" s="229">
        <f t="shared" si="5"/>
        <v>0</v>
      </c>
      <c r="CZ15" s="229">
        <f t="shared" si="5"/>
        <v>0</v>
      </c>
      <c r="DA15" s="229">
        <f t="shared" si="5"/>
        <v>0</v>
      </c>
      <c r="DB15" s="229">
        <f t="shared" si="5"/>
        <v>0</v>
      </c>
      <c r="DC15" s="229">
        <f t="shared" si="5"/>
        <v>0</v>
      </c>
      <c r="DD15" s="229">
        <f t="shared" si="5"/>
        <v>0</v>
      </c>
      <c r="DE15" s="229">
        <f t="shared" si="5"/>
        <v>0</v>
      </c>
      <c r="DF15" s="229">
        <f t="shared" si="5"/>
        <v>0</v>
      </c>
      <c r="DG15" s="229">
        <f t="shared" si="5"/>
        <v>0</v>
      </c>
      <c r="DH15" s="229">
        <f t="shared" si="5"/>
        <v>0</v>
      </c>
      <c r="DI15" s="229">
        <f t="shared" si="5"/>
        <v>0</v>
      </c>
      <c r="DJ15" s="229">
        <f t="shared" si="5"/>
        <v>0</v>
      </c>
      <c r="DK15" s="229">
        <f t="shared" si="5"/>
        <v>0</v>
      </c>
      <c r="DL15" s="229">
        <f t="shared" si="5"/>
        <v>0</v>
      </c>
      <c r="DM15" s="229">
        <f t="shared" si="5"/>
        <v>0</v>
      </c>
      <c r="DN15" s="229">
        <f t="shared" si="5"/>
        <v>0</v>
      </c>
      <c r="DO15" s="229">
        <f t="shared" si="5"/>
        <v>0</v>
      </c>
      <c r="DP15" s="229">
        <f t="shared" si="5"/>
        <v>0</v>
      </c>
      <c r="DQ15" s="229">
        <f t="shared" si="5"/>
        <v>0</v>
      </c>
      <c r="DR15" s="229">
        <f t="shared" si="5"/>
        <v>0</v>
      </c>
      <c r="DS15" s="229">
        <f t="shared" si="5"/>
        <v>0</v>
      </c>
      <c r="DT15" s="229">
        <f t="shared" si="5"/>
        <v>0</v>
      </c>
      <c r="DU15" s="229">
        <f t="shared" si="5"/>
        <v>0</v>
      </c>
      <c r="DV15" s="229">
        <f t="shared" si="5"/>
        <v>0</v>
      </c>
      <c r="DW15" s="229">
        <f t="shared" si="5"/>
        <v>0</v>
      </c>
      <c r="DX15" s="229">
        <f t="shared" si="5"/>
        <v>0</v>
      </c>
      <c r="DY15" s="229">
        <f t="shared" si="5"/>
        <v>0</v>
      </c>
      <c r="DZ15" s="229">
        <f t="shared" si="5"/>
        <v>0</v>
      </c>
      <c r="EA15" s="229">
        <f t="shared" si="5"/>
        <v>0</v>
      </c>
      <c r="EB15" s="229">
        <f t="shared" si="5"/>
        <v>0</v>
      </c>
      <c r="EC15" s="229">
        <f t="shared" si="5"/>
        <v>0</v>
      </c>
      <c r="ED15" s="229">
        <f t="shared" si="5"/>
        <v>0</v>
      </c>
      <c r="EE15" s="229">
        <f t="shared" si="5"/>
        <v>0</v>
      </c>
      <c r="EF15" s="229">
        <f t="shared" si="5"/>
        <v>0</v>
      </c>
    </row>
    <row r="16" spans="1:136" x14ac:dyDescent="0.3">
      <c r="A16" s="229" t="s">
        <v>2276</v>
      </c>
      <c r="E16" s="229">
        <f>IF(E6&lt;'General Inputs'!$D$31,0,1)</f>
        <v>0</v>
      </c>
      <c r="F16" s="229">
        <f>IF(F6&lt;'General Inputs'!$D$31,0,1)</f>
        <v>0</v>
      </c>
      <c r="G16" s="229">
        <f>IF(G6&lt;'General Inputs'!$D$31,0,1)</f>
        <v>0</v>
      </c>
      <c r="H16" s="229">
        <f>IF(H6&lt;'General Inputs'!$D$31,0,1)</f>
        <v>0</v>
      </c>
      <c r="I16" s="229">
        <f>IF(I6&lt;'General Inputs'!$D$31,0,1)</f>
        <v>0</v>
      </c>
      <c r="J16" s="229">
        <f>IF(J6&lt;'General Inputs'!$D$31,0,1)</f>
        <v>0</v>
      </c>
      <c r="K16" s="229">
        <f>IF(K6&lt;'General Inputs'!$D$31,0,1)</f>
        <v>0</v>
      </c>
      <c r="L16" s="229">
        <f>IF(L6&lt;'General Inputs'!$D$31,0,1)</f>
        <v>0</v>
      </c>
      <c r="M16" s="229">
        <f>IF(M6&lt;'General Inputs'!$D$31,0,1)</f>
        <v>0</v>
      </c>
      <c r="N16" s="229">
        <f>IF(N6&lt;'General Inputs'!$D$31,0,1)</f>
        <v>0</v>
      </c>
      <c r="O16" s="229">
        <f>IF(O6&lt;'General Inputs'!$D$31,0,1)</f>
        <v>0</v>
      </c>
      <c r="P16" s="229">
        <f>IF(P6&lt;'General Inputs'!$D$31,0,1)</f>
        <v>0</v>
      </c>
      <c r="Q16" s="229">
        <f>IF(Q6&lt;'General Inputs'!$D$31,0,1)</f>
        <v>0</v>
      </c>
      <c r="R16" s="229">
        <f>IF(R6&lt;'General Inputs'!$D$31,0,1)</f>
        <v>1</v>
      </c>
      <c r="S16" s="229">
        <f>IF(S6&lt;'General Inputs'!$D$31,0,1)</f>
        <v>1</v>
      </c>
      <c r="T16" s="229">
        <f>IF(T6&lt;'General Inputs'!$D$31,0,1)</f>
        <v>1</v>
      </c>
      <c r="U16" s="229">
        <f>IF(U6&lt;'General Inputs'!$D$31,0,1)</f>
        <v>1</v>
      </c>
      <c r="V16" s="229">
        <f>IF(V6&lt;'General Inputs'!$D$31,0,1)</f>
        <v>1</v>
      </c>
      <c r="W16" s="229">
        <f>IF(W6&lt;'General Inputs'!$D$31,0,1)</f>
        <v>1</v>
      </c>
      <c r="X16" s="229">
        <f>IF(X6&lt;'General Inputs'!$D$31,0,1)</f>
        <v>1</v>
      </c>
      <c r="Y16" s="229">
        <f>IF(Y6&lt;'General Inputs'!$D$31,0,1)</f>
        <v>1</v>
      </c>
      <c r="Z16" s="229">
        <f>IF(Z6&lt;'General Inputs'!$D$31,0,1)</f>
        <v>1</v>
      </c>
      <c r="AA16" s="229">
        <f>IF(AA6&lt;'General Inputs'!$D$31,0,1)</f>
        <v>1</v>
      </c>
      <c r="AB16" s="229">
        <f>IF(AB6&lt;'General Inputs'!$D$31,0,1)</f>
        <v>1</v>
      </c>
      <c r="AC16" s="229">
        <f>IF(AC6&lt;'General Inputs'!$D$31,0,1)</f>
        <v>1</v>
      </c>
      <c r="AD16" s="229">
        <f>IF(AD6&lt;'General Inputs'!$D$31,0,1)</f>
        <v>1</v>
      </c>
      <c r="AE16" s="229">
        <f>IF(AE6&lt;'General Inputs'!$D$31,0,1)</f>
        <v>1</v>
      </c>
      <c r="AF16" s="229">
        <f>IF(AF6&lt;'General Inputs'!$D$31,0,1)</f>
        <v>1</v>
      </c>
      <c r="AG16" s="229">
        <f>IF(AG6&lt;'General Inputs'!$D$31,0,1)</f>
        <v>1</v>
      </c>
      <c r="AH16" s="229">
        <f>IF(AH6&lt;'General Inputs'!$D$31,0,1)</f>
        <v>1</v>
      </c>
      <c r="AI16" s="229">
        <f>IF(AI6&lt;'General Inputs'!$D$31,0,1)</f>
        <v>1</v>
      </c>
      <c r="AJ16" s="229">
        <f>IF(AJ6&lt;'General Inputs'!$D$31,0,1)</f>
        <v>1</v>
      </c>
      <c r="AK16" s="229">
        <f>IF(AK6&lt;'General Inputs'!$D$31,0,1)</f>
        <v>1</v>
      </c>
      <c r="AL16" s="229">
        <f>IF(AL6&lt;'General Inputs'!$D$31,0,1)</f>
        <v>1</v>
      </c>
      <c r="AM16" s="229">
        <f>IF(AM6&lt;'General Inputs'!$D$31,0,1)</f>
        <v>1</v>
      </c>
      <c r="AN16" s="229">
        <f>IF(AN6&lt;'General Inputs'!$D$31,0,1)</f>
        <v>1</v>
      </c>
      <c r="AO16" s="229">
        <f>IF(AO6&lt;'General Inputs'!$D$31,0,1)</f>
        <v>1</v>
      </c>
      <c r="AP16" s="229">
        <f>IF(AP6&lt;'General Inputs'!$D$31,0,1)</f>
        <v>1</v>
      </c>
      <c r="AQ16" s="229">
        <f>IF(AQ6&lt;'General Inputs'!$D$31,0,1)</f>
        <v>1</v>
      </c>
      <c r="AR16" s="229">
        <f>IF(AR6&lt;'General Inputs'!$D$31,0,1)</f>
        <v>1</v>
      </c>
      <c r="AS16" s="229">
        <f>IF(AS6&lt;'General Inputs'!$D$31,0,1)</f>
        <v>1</v>
      </c>
      <c r="AT16" s="229">
        <f>IF(AT6&lt;'General Inputs'!$D$31,0,1)</f>
        <v>1</v>
      </c>
      <c r="AU16" s="229">
        <f>IF(AU6&lt;'General Inputs'!$D$31,0,1)</f>
        <v>1</v>
      </c>
      <c r="AV16" s="229">
        <f>IF(AV6&lt;'General Inputs'!$D$31,0,1)</f>
        <v>1</v>
      </c>
      <c r="AW16" s="229">
        <f>IF(AW6&lt;'General Inputs'!$D$31,0,1)</f>
        <v>1</v>
      </c>
      <c r="AX16" s="229">
        <f>IF(AX6&lt;'General Inputs'!$D$31,0,1)</f>
        <v>1</v>
      </c>
      <c r="AY16" s="229">
        <f>IF(AY6&lt;'General Inputs'!$D$31,0,1)</f>
        <v>1</v>
      </c>
      <c r="AZ16" s="229">
        <f>IF(AZ6&lt;'General Inputs'!$D$31,0,1)</f>
        <v>1</v>
      </c>
      <c r="BA16" s="229">
        <f>IF(BA6&lt;'General Inputs'!$D$31,0,1)</f>
        <v>1</v>
      </c>
      <c r="BB16" s="229">
        <f>IF(BB6&lt;'General Inputs'!$D$31,0,1)</f>
        <v>1</v>
      </c>
      <c r="BC16" s="229">
        <f>IF(BC6&lt;'General Inputs'!$D$31,0,1)</f>
        <v>1</v>
      </c>
      <c r="BD16" s="229">
        <f>IF(BD6&lt;'General Inputs'!$D$31,0,1)</f>
        <v>1</v>
      </c>
      <c r="BE16" s="229">
        <f>IF(BE6&lt;'General Inputs'!$D$31,0,1)</f>
        <v>1</v>
      </c>
      <c r="BF16" s="229">
        <f>IF(BF6&lt;'General Inputs'!$D$31,0,1)</f>
        <v>1</v>
      </c>
      <c r="BG16" s="229">
        <f>IF(BG6&lt;'General Inputs'!$D$31,0,1)</f>
        <v>1</v>
      </c>
      <c r="BH16" s="229">
        <f>IF(BH6&lt;'General Inputs'!$D$31,0,1)</f>
        <v>1</v>
      </c>
      <c r="BI16" s="229">
        <f>IF(BI6&lt;'General Inputs'!$D$31,0,1)</f>
        <v>1</v>
      </c>
      <c r="BJ16" s="229">
        <f>IF(BJ6&lt;'General Inputs'!$D$31,0,1)</f>
        <v>1</v>
      </c>
      <c r="BK16" s="229">
        <f>IF(BK6&lt;'General Inputs'!$D$31,0,1)</f>
        <v>1</v>
      </c>
      <c r="BL16" s="229">
        <f>IF(BL6&lt;'General Inputs'!$D$31,0,1)</f>
        <v>1</v>
      </c>
      <c r="BM16" s="229">
        <f>IF(BM6&lt;'General Inputs'!$D$31,0,1)</f>
        <v>1</v>
      </c>
      <c r="BN16" s="229">
        <f>IF(BN6&lt;'General Inputs'!$D$31,0,1)</f>
        <v>1</v>
      </c>
      <c r="BO16" s="229">
        <f>IF(BO6&lt;'General Inputs'!$D$31,0,1)</f>
        <v>1</v>
      </c>
      <c r="BP16" s="229">
        <f>IF(BP6&lt;'General Inputs'!$D$31,0,1)</f>
        <v>1</v>
      </c>
      <c r="BQ16" s="229">
        <f>IF(BQ6&lt;'General Inputs'!$D$31,0,1)</f>
        <v>1</v>
      </c>
      <c r="BR16" s="229">
        <f>IF(BR6&lt;'General Inputs'!$D$31,0,1)</f>
        <v>1</v>
      </c>
      <c r="BS16" s="229">
        <f>IF(BS6&lt;'General Inputs'!$D$31,0,1)</f>
        <v>1</v>
      </c>
      <c r="BT16" s="229">
        <f>IF(BT6&lt;'General Inputs'!$D$31,0,1)</f>
        <v>1</v>
      </c>
      <c r="BU16" s="229">
        <f>IF(BU6&lt;'General Inputs'!$D$31,0,1)</f>
        <v>1</v>
      </c>
      <c r="BV16" s="229">
        <f>IF(BV6&lt;'General Inputs'!$D$31,0,1)</f>
        <v>1</v>
      </c>
      <c r="BW16" s="229">
        <f>IF(BW6&lt;'General Inputs'!$D$31,0,1)</f>
        <v>1</v>
      </c>
      <c r="BX16" s="229">
        <f>IF(BX6&lt;'General Inputs'!$D$31,0,1)</f>
        <v>1</v>
      </c>
      <c r="BY16" s="229">
        <f>IF(BY6&lt;'General Inputs'!$D$31,0,1)</f>
        <v>1</v>
      </c>
      <c r="BZ16" s="229">
        <f>IF(BZ6&lt;'General Inputs'!$D$31,0,1)</f>
        <v>1</v>
      </c>
      <c r="CA16" s="229">
        <f>IF(CA6&lt;'General Inputs'!$D$31,0,1)</f>
        <v>1</v>
      </c>
      <c r="CB16" s="229">
        <f>IF(CB6&lt;'General Inputs'!$D$31,0,1)</f>
        <v>1</v>
      </c>
      <c r="CC16" s="229">
        <f>IF(CC6&lt;'General Inputs'!$D$31,0,1)</f>
        <v>1</v>
      </c>
      <c r="CD16" s="229">
        <f>IF(CD6&lt;'General Inputs'!$D$31,0,1)</f>
        <v>1</v>
      </c>
      <c r="CE16" s="229">
        <f>IF(CE6&lt;'General Inputs'!$D$31,0,1)</f>
        <v>1</v>
      </c>
      <c r="CF16" s="229">
        <f>IF(CF6&lt;'General Inputs'!$D$31,0,1)</f>
        <v>1</v>
      </c>
      <c r="CG16" s="229">
        <f>IF(CG6&lt;'General Inputs'!$D$31,0,1)</f>
        <v>1</v>
      </c>
      <c r="CH16" s="229">
        <f>IF(CH6&lt;'General Inputs'!$D$31,0,1)</f>
        <v>1</v>
      </c>
      <c r="CI16" s="229">
        <f>IF(CI6&lt;'General Inputs'!$D$31,0,1)</f>
        <v>1</v>
      </c>
      <c r="CJ16" s="229">
        <f>IF(CJ6&lt;'General Inputs'!$D$31,0,1)</f>
        <v>1</v>
      </c>
      <c r="CK16" s="229">
        <f>IF(CK6&lt;'General Inputs'!$D$31,0,1)</f>
        <v>1</v>
      </c>
      <c r="CL16" s="229">
        <f>IF(CL6&lt;'General Inputs'!$D$31,0,1)</f>
        <v>1</v>
      </c>
      <c r="CM16" s="229">
        <f>IF(CM6&lt;'General Inputs'!$D$31,0,1)</f>
        <v>1</v>
      </c>
      <c r="CN16" s="229">
        <f>IF(CN6&lt;'General Inputs'!$D$31,0,1)</f>
        <v>1</v>
      </c>
      <c r="CO16" s="229">
        <f>IF(CO6&lt;'General Inputs'!$D$31,0,1)</f>
        <v>1</v>
      </c>
      <c r="CP16" s="229">
        <f>IF(CP6&lt;'General Inputs'!$D$31,0,1)</f>
        <v>1</v>
      </c>
      <c r="CQ16" s="229">
        <f>IF(CQ6&lt;'General Inputs'!$D$31,0,1)</f>
        <v>1</v>
      </c>
      <c r="CR16" s="229">
        <f>IF(CR6&lt;'General Inputs'!$D$31,0,1)</f>
        <v>1</v>
      </c>
      <c r="CS16" s="229">
        <f>IF(CS6&lt;'General Inputs'!$D$31,0,1)</f>
        <v>1</v>
      </c>
      <c r="CT16" s="229">
        <f>IF(CT6&lt;'General Inputs'!$D$31,0,1)</f>
        <v>1</v>
      </c>
      <c r="CU16" s="229">
        <f>IF(CU6&lt;'General Inputs'!$D$31,0,1)</f>
        <v>1</v>
      </c>
      <c r="CV16" s="229">
        <f>IF(CV6&lt;'General Inputs'!$D$31,0,1)</f>
        <v>1</v>
      </c>
      <c r="CW16" s="229">
        <f>IF(CW6&lt;'General Inputs'!$D$31,0,1)</f>
        <v>1</v>
      </c>
      <c r="CX16" s="229">
        <f>IF(CX6&lt;'General Inputs'!$D$31,0,1)</f>
        <v>1</v>
      </c>
      <c r="CY16" s="229">
        <f>IF(CY6&lt;'General Inputs'!$D$31,0,1)</f>
        <v>1</v>
      </c>
      <c r="CZ16" s="229">
        <f>IF(CZ6&lt;'General Inputs'!$D$31,0,1)</f>
        <v>1</v>
      </c>
      <c r="DA16" s="229">
        <f>IF(DA6&lt;'General Inputs'!$D$31,0,1)</f>
        <v>1</v>
      </c>
      <c r="DB16" s="229">
        <f>IF(DB6&lt;'General Inputs'!$D$31,0,1)</f>
        <v>1</v>
      </c>
      <c r="DC16" s="229">
        <f>IF(DC6&lt;'General Inputs'!$D$31,0,1)</f>
        <v>1</v>
      </c>
      <c r="DD16" s="229">
        <f>IF(DD6&lt;'General Inputs'!$D$31,0,1)</f>
        <v>1</v>
      </c>
      <c r="DE16" s="229">
        <f>IF(DE6&lt;'General Inputs'!$D$31,0,1)</f>
        <v>1</v>
      </c>
      <c r="DF16" s="229">
        <f>IF(DF6&lt;'General Inputs'!$D$31,0,1)</f>
        <v>1</v>
      </c>
      <c r="DG16" s="229">
        <f>IF(DG6&lt;'General Inputs'!$D$31,0,1)</f>
        <v>1</v>
      </c>
      <c r="DH16" s="229">
        <f>IF(DH6&lt;'General Inputs'!$D$31,0,1)</f>
        <v>1</v>
      </c>
      <c r="DI16" s="229">
        <f>IF(DI6&lt;'General Inputs'!$D$31,0,1)</f>
        <v>1</v>
      </c>
      <c r="DJ16" s="229">
        <f>IF(DJ6&lt;'General Inputs'!$D$31,0,1)</f>
        <v>1</v>
      </c>
      <c r="DK16" s="229">
        <f>IF(DK6&lt;'General Inputs'!$D$31,0,1)</f>
        <v>1</v>
      </c>
      <c r="DL16" s="229">
        <f>IF(DL6&lt;'General Inputs'!$D$31,0,1)</f>
        <v>1</v>
      </c>
      <c r="DM16" s="229">
        <f>IF(DM6&lt;'General Inputs'!$D$31,0,1)</f>
        <v>1</v>
      </c>
      <c r="DN16" s="229">
        <f>IF(DN6&lt;'General Inputs'!$D$31,0,1)</f>
        <v>1</v>
      </c>
      <c r="DO16" s="229">
        <f>IF(DO6&lt;'General Inputs'!$D$31,0,1)</f>
        <v>1</v>
      </c>
      <c r="DP16" s="229">
        <f>IF(DP6&lt;'General Inputs'!$D$31,0,1)</f>
        <v>1</v>
      </c>
      <c r="DQ16" s="229">
        <f>IF(DQ6&lt;'General Inputs'!$D$31,0,1)</f>
        <v>1</v>
      </c>
      <c r="DR16" s="229">
        <f>IF(DR6&lt;'General Inputs'!$D$31,0,1)</f>
        <v>1</v>
      </c>
      <c r="DS16" s="229">
        <f>IF(DS6&lt;'General Inputs'!$D$31,0,1)</f>
        <v>1</v>
      </c>
      <c r="DT16" s="229">
        <f>IF(DT6&lt;'General Inputs'!$D$31,0,1)</f>
        <v>1</v>
      </c>
      <c r="DU16" s="229">
        <f>IF(DU6&lt;'General Inputs'!$D$31,0,1)</f>
        <v>1</v>
      </c>
      <c r="DV16" s="229">
        <f>IF(DV6&lt;'General Inputs'!$D$31,0,1)</f>
        <v>1</v>
      </c>
      <c r="DW16" s="229">
        <f>IF(DW6&lt;'General Inputs'!$D$31,0,1)</f>
        <v>1</v>
      </c>
      <c r="DX16" s="229">
        <f>IF(DX6&lt;'General Inputs'!$D$31,0,1)</f>
        <v>1</v>
      </c>
      <c r="DY16" s="229">
        <f>IF(DY6&lt;'General Inputs'!$D$31,0,1)</f>
        <v>1</v>
      </c>
      <c r="DZ16" s="229">
        <f>IF(DZ6&lt;'General Inputs'!$D$31,0,1)</f>
        <v>1</v>
      </c>
      <c r="EA16" s="229">
        <f>IF(EA6&lt;'General Inputs'!$D$31,0,1)</f>
        <v>1</v>
      </c>
      <c r="EB16" s="229">
        <f>IF(EB6&lt;'General Inputs'!$D$31,0,1)</f>
        <v>1</v>
      </c>
      <c r="EC16" s="229">
        <f>IF(EC6&lt;'General Inputs'!$D$31,0,1)</f>
        <v>1</v>
      </c>
      <c r="ED16" s="229">
        <f>IF(ED6&lt;'General Inputs'!$D$31,0,1)</f>
        <v>1</v>
      </c>
      <c r="EE16" s="229">
        <f>IF(EE6&lt;'General Inputs'!$D$31,0,1)</f>
        <v>1</v>
      </c>
      <c r="EF16" s="229">
        <f>IF(EF6&lt;'General Inputs'!$D$31,0,1)</f>
        <v>1</v>
      </c>
    </row>
    <row r="17" spans="1:136" x14ac:dyDescent="0.3">
      <c r="A17" s="229" t="s">
        <v>2277</v>
      </c>
      <c r="E17" s="229">
        <f t="shared" ref="E17:BP17" ca="1" si="6">IF(E16=0,E14+E15,0)</f>
        <v>3331.3377149353296</v>
      </c>
      <c r="F17" s="229">
        <f t="shared" ca="1" si="6"/>
        <v>3331.3377149353296</v>
      </c>
      <c r="G17" s="229">
        <f t="shared" ca="1" si="6"/>
        <v>3331.3377149353296</v>
      </c>
      <c r="H17" s="229">
        <f t="shared" ca="1" si="6"/>
        <v>7334.1378649844455</v>
      </c>
      <c r="I17" s="229">
        <f t="shared" ca="1" si="6"/>
        <v>7334.1378649844455</v>
      </c>
      <c r="J17" s="229">
        <f t="shared" ca="1" si="6"/>
        <v>7334.1378649844455</v>
      </c>
      <c r="K17" s="229">
        <f t="shared" ca="1" si="6"/>
        <v>7334.1378649844455</v>
      </c>
      <c r="L17" s="229">
        <f t="shared" ca="1" si="6"/>
        <v>7334.1378649844455</v>
      </c>
      <c r="M17" s="229">
        <f t="shared" ca="1" si="6"/>
        <v>7334.1378649844455</v>
      </c>
      <c r="N17" s="229">
        <f t="shared" ca="1" si="6"/>
        <v>7334.1378649844455</v>
      </c>
      <c r="O17" s="229">
        <f t="shared" ca="1" si="6"/>
        <v>7334.1378649844455</v>
      </c>
      <c r="P17" s="229">
        <f t="shared" ca="1" si="6"/>
        <v>7334.1378649844455</v>
      </c>
      <c r="Q17" s="229">
        <f t="shared" ca="1" si="6"/>
        <v>7334.1378649844455</v>
      </c>
      <c r="R17" s="229">
        <f t="shared" si="6"/>
        <v>0</v>
      </c>
      <c r="S17" s="229">
        <f t="shared" si="6"/>
        <v>0</v>
      </c>
      <c r="T17" s="229">
        <f t="shared" si="6"/>
        <v>0</v>
      </c>
      <c r="U17" s="229">
        <f t="shared" si="6"/>
        <v>0</v>
      </c>
      <c r="V17" s="229">
        <f t="shared" si="6"/>
        <v>0</v>
      </c>
      <c r="W17" s="229">
        <f t="shared" si="6"/>
        <v>0</v>
      </c>
      <c r="X17" s="229">
        <f t="shared" si="6"/>
        <v>0</v>
      </c>
      <c r="Y17" s="229">
        <f t="shared" si="6"/>
        <v>0</v>
      </c>
      <c r="Z17" s="229">
        <f t="shared" si="6"/>
        <v>0</v>
      </c>
      <c r="AA17" s="229">
        <f t="shared" si="6"/>
        <v>0</v>
      </c>
      <c r="AB17" s="229">
        <f t="shared" si="6"/>
        <v>0</v>
      </c>
      <c r="AC17" s="229">
        <f t="shared" si="6"/>
        <v>0</v>
      </c>
      <c r="AD17" s="229">
        <f t="shared" si="6"/>
        <v>0</v>
      </c>
      <c r="AE17" s="229">
        <f t="shared" si="6"/>
        <v>0</v>
      </c>
      <c r="AF17" s="229">
        <f t="shared" si="6"/>
        <v>0</v>
      </c>
      <c r="AG17" s="229">
        <f t="shared" si="6"/>
        <v>0</v>
      </c>
      <c r="AH17" s="229">
        <f t="shared" si="6"/>
        <v>0</v>
      </c>
      <c r="AI17" s="229">
        <f t="shared" si="6"/>
        <v>0</v>
      </c>
      <c r="AJ17" s="229">
        <f t="shared" si="6"/>
        <v>0</v>
      </c>
      <c r="AK17" s="229">
        <f t="shared" si="6"/>
        <v>0</v>
      </c>
      <c r="AL17" s="229">
        <f t="shared" si="6"/>
        <v>0</v>
      </c>
      <c r="AM17" s="229">
        <f t="shared" si="6"/>
        <v>0</v>
      </c>
      <c r="AN17" s="229">
        <f t="shared" si="6"/>
        <v>0</v>
      </c>
      <c r="AO17" s="229">
        <f t="shared" si="6"/>
        <v>0</v>
      </c>
      <c r="AP17" s="229">
        <f t="shared" si="6"/>
        <v>0</v>
      </c>
      <c r="AQ17" s="229">
        <f t="shared" si="6"/>
        <v>0</v>
      </c>
      <c r="AR17" s="229">
        <f t="shared" si="6"/>
        <v>0</v>
      </c>
      <c r="AS17" s="229">
        <f t="shared" si="6"/>
        <v>0</v>
      </c>
      <c r="AT17" s="229">
        <f t="shared" si="6"/>
        <v>0</v>
      </c>
      <c r="AU17" s="229">
        <f t="shared" si="6"/>
        <v>0</v>
      </c>
      <c r="AV17" s="229">
        <f t="shared" si="6"/>
        <v>0</v>
      </c>
      <c r="AW17" s="229">
        <f t="shared" si="6"/>
        <v>0</v>
      </c>
      <c r="AX17" s="229">
        <f t="shared" si="6"/>
        <v>0</v>
      </c>
      <c r="AY17" s="229">
        <f t="shared" si="6"/>
        <v>0</v>
      </c>
      <c r="AZ17" s="229">
        <f t="shared" si="6"/>
        <v>0</v>
      </c>
      <c r="BA17" s="229">
        <f t="shared" si="6"/>
        <v>0</v>
      </c>
      <c r="BB17" s="229">
        <f t="shared" si="6"/>
        <v>0</v>
      </c>
      <c r="BC17" s="229">
        <f t="shared" si="6"/>
        <v>0</v>
      </c>
      <c r="BD17" s="229">
        <f t="shared" si="6"/>
        <v>0</v>
      </c>
      <c r="BE17" s="229">
        <f t="shared" si="6"/>
        <v>0</v>
      </c>
      <c r="BF17" s="229">
        <f t="shared" si="6"/>
        <v>0</v>
      </c>
      <c r="BG17" s="229">
        <f t="shared" si="6"/>
        <v>0</v>
      </c>
      <c r="BH17" s="229">
        <f t="shared" si="6"/>
        <v>0</v>
      </c>
      <c r="BI17" s="229">
        <f t="shared" si="6"/>
        <v>0</v>
      </c>
      <c r="BJ17" s="229">
        <f t="shared" si="6"/>
        <v>0</v>
      </c>
      <c r="BK17" s="229">
        <f t="shared" si="6"/>
        <v>0</v>
      </c>
      <c r="BL17" s="229">
        <f t="shared" si="6"/>
        <v>0</v>
      </c>
      <c r="BM17" s="229">
        <f t="shared" si="6"/>
        <v>0</v>
      </c>
      <c r="BN17" s="229">
        <f t="shared" si="6"/>
        <v>0</v>
      </c>
      <c r="BO17" s="229">
        <f t="shared" si="6"/>
        <v>0</v>
      </c>
      <c r="BP17" s="229">
        <f t="shared" si="6"/>
        <v>0</v>
      </c>
      <c r="BQ17" s="229">
        <f t="shared" ref="BQ17:EB17" si="7">IF(BQ16=0,BQ14+BQ15,0)</f>
        <v>0</v>
      </c>
      <c r="BR17" s="229">
        <f t="shared" si="7"/>
        <v>0</v>
      </c>
      <c r="BS17" s="229">
        <f t="shared" si="7"/>
        <v>0</v>
      </c>
      <c r="BT17" s="229">
        <f t="shared" si="7"/>
        <v>0</v>
      </c>
      <c r="BU17" s="229">
        <f t="shared" si="7"/>
        <v>0</v>
      </c>
      <c r="BV17" s="229">
        <f t="shared" si="7"/>
        <v>0</v>
      </c>
      <c r="BW17" s="229">
        <f t="shared" si="7"/>
        <v>0</v>
      </c>
      <c r="BX17" s="229">
        <f t="shared" si="7"/>
        <v>0</v>
      </c>
      <c r="BY17" s="229">
        <f t="shared" si="7"/>
        <v>0</v>
      </c>
      <c r="BZ17" s="229">
        <f t="shared" si="7"/>
        <v>0</v>
      </c>
      <c r="CA17" s="229">
        <f t="shared" si="7"/>
        <v>0</v>
      </c>
      <c r="CB17" s="229">
        <f t="shared" si="7"/>
        <v>0</v>
      </c>
      <c r="CC17" s="229">
        <f t="shared" si="7"/>
        <v>0</v>
      </c>
      <c r="CD17" s="229">
        <f t="shared" si="7"/>
        <v>0</v>
      </c>
      <c r="CE17" s="229">
        <f t="shared" si="7"/>
        <v>0</v>
      </c>
      <c r="CF17" s="229">
        <f t="shared" si="7"/>
        <v>0</v>
      </c>
      <c r="CG17" s="229">
        <f t="shared" si="7"/>
        <v>0</v>
      </c>
      <c r="CH17" s="229">
        <f t="shared" si="7"/>
        <v>0</v>
      </c>
      <c r="CI17" s="229">
        <f t="shared" si="7"/>
        <v>0</v>
      </c>
      <c r="CJ17" s="229">
        <f t="shared" si="7"/>
        <v>0</v>
      </c>
      <c r="CK17" s="229">
        <f t="shared" si="7"/>
        <v>0</v>
      </c>
      <c r="CL17" s="229">
        <f t="shared" si="7"/>
        <v>0</v>
      </c>
      <c r="CM17" s="229">
        <f t="shared" si="7"/>
        <v>0</v>
      </c>
      <c r="CN17" s="229">
        <f t="shared" si="7"/>
        <v>0</v>
      </c>
      <c r="CO17" s="229">
        <f t="shared" si="7"/>
        <v>0</v>
      </c>
      <c r="CP17" s="229">
        <f t="shared" si="7"/>
        <v>0</v>
      </c>
      <c r="CQ17" s="229">
        <f t="shared" si="7"/>
        <v>0</v>
      </c>
      <c r="CR17" s="229">
        <f t="shared" si="7"/>
        <v>0</v>
      </c>
      <c r="CS17" s="229">
        <f t="shared" si="7"/>
        <v>0</v>
      </c>
      <c r="CT17" s="229">
        <f t="shared" si="7"/>
        <v>0</v>
      </c>
      <c r="CU17" s="229">
        <f t="shared" si="7"/>
        <v>0</v>
      </c>
      <c r="CV17" s="229">
        <f t="shared" si="7"/>
        <v>0</v>
      </c>
      <c r="CW17" s="229">
        <f t="shared" si="7"/>
        <v>0</v>
      </c>
      <c r="CX17" s="229">
        <f t="shared" si="7"/>
        <v>0</v>
      </c>
      <c r="CY17" s="229">
        <f t="shared" si="7"/>
        <v>0</v>
      </c>
      <c r="CZ17" s="229">
        <f t="shared" si="7"/>
        <v>0</v>
      </c>
      <c r="DA17" s="229">
        <f t="shared" si="7"/>
        <v>0</v>
      </c>
      <c r="DB17" s="229">
        <f t="shared" si="7"/>
        <v>0</v>
      </c>
      <c r="DC17" s="229">
        <f t="shared" si="7"/>
        <v>0</v>
      </c>
      <c r="DD17" s="229">
        <f t="shared" si="7"/>
        <v>0</v>
      </c>
      <c r="DE17" s="229">
        <f t="shared" si="7"/>
        <v>0</v>
      </c>
      <c r="DF17" s="229">
        <f t="shared" si="7"/>
        <v>0</v>
      </c>
      <c r="DG17" s="229">
        <f t="shared" si="7"/>
        <v>0</v>
      </c>
      <c r="DH17" s="229">
        <f t="shared" si="7"/>
        <v>0</v>
      </c>
      <c r="DI17" s="229">
        <f t="shared" si="7"/>
        <v>0</v>
      </c>
      <c r="DJ17" s="229">
        <f t="shared" si="7"/>
        <v>0</v>
      </c>
      <c r="DK17" s="229">
        <f t="shared" si="7"/>
        <v>0</v>
      </c>
      <c r="DL17" s="229">
        <f t="shared" si="7"/>
        <v>0</v>
      </c>
      <c r="DM17" s="229">
        <f t="shared" si="7"/>
        <v>0</v>
      </c>
      <c r="DN17" s="229">
        <f t="shared" si="7"/>
        <v>0</v>
      </c>
      <c r="DO17" s="229">
        <f t="shared" si="7"/>
        <v>0</v>
      </c>
      <c r="DP17" s="229">
        <f t="shared" si="7"/>
        <v>0</v>
      </c>
      <c r="DQ17" s="229">
        <f t="shared" si="7"/>
        <v>0</v>
      </c>
      <c r="DR17" s="229">
        <f t="shared" si="7"/>
        <v>0</v>
      </c>
      <c r="DS17" s="229">
        <f t="shared" si="7"/>
        <v>0</v>
      </c>
      <c r="DT17" s="229">
        <f t="shared" si="7"/>
        <v>0</v>
      </c>
      <c r="DU17" s="229">
        <f t="shared" si="7"/>
        <v>0</v>
      </c>
      <c r="DV17" s="229">
        <f t="shared" si="7"/>
        <v>0</v>
      </c>
      <c r="DW17" s="229">
        <f t="shared" si="7"/>
        <v>0</v>
      </c>
      <c r="DX17" s="229">
        <f t="shared" si="7"/>
        <v>0</v>
      </c>
      <c r="DY17" s="229">
        <f t="shared" si="7"/>
        <v>0</v>
      </c>
      <c r="DZ17" s="229">
        <f t="shared" si="7"/>
        <v>0</v>
      </c>
      <c r="EA17" s="229">
        <f t="shared" si="7"/>
        <v>0</v>
      </c>
      <c r="EB17" s="229">
        <f t="shared" si="7"/>
        <v>0</v>
      </c>
      <c r="EC17" s="229">
        <f>IF(EC16=0,EC14+EC15,0)</f>
        <v>0</v>
      </c>
      <c r="ED17" s="229">
        <f>IF(ED16=0,ED14+ED15,0)</f>
        <v>0</v>
      </c>
      <c r="EE17" s="229">
        <f>IF(EE16=0,EE14+EE15,0)</f>
        <v>0</v>
      </c>
      <c r="EF17" s="229">
        <f>IF(EF16=0,EF14+EF15,0)</f>
        <v>0</v>
      </c>
    </row>
    <row r="18" spans="1:136" x14ac:dyDescent="0.3">
      <c r="A18" s="229" t="s">
        <v>2278</v>
      </c>
      <c r="E18" s="229">
        <f t="shared" ref="E18:Y18" ca="1" si="8">E16*(E14+E15)</f>
        <v>0</v>
      </c>
      <c r="F18" s="229">
        <f t="shared" ca="1" si="8"/>
        <v>0</v>
      </c>
      <c r="G18" s="229">
        <f t="shared" ca="1" si="8"/>
        <v>0</v>
      </c>
      <c r="H18" s="229">
        <f t="shared" ca="1" si="8"/>
        <v>0</v>
      </c>
      <c r="I18" s="229">
        <f t="shared" ca="1" si="8"/>
        <v>0</v>
      </c>
      <c r="J18" s="229">
        <f t="shared" ca="1" si="8"/>
        <v>0</v>
      </c>
      <c r="K18" s="229">
        <f t="shared" ca="1" si="8"/>
        <v>0</v>
      </c>
      <c r="L18" s="229">
        <f t="shared" ca="1" si="8"/>
        <v>0</v>
      </c>
      <c r="M18" s="229">
        <f t="shared" ca="1" si="8"/>
        <v>0</v>
      </c>
      <c r="N18" s="229">
        <f t="shared" ca="1" si="8"/>
        <v>0</v>
      </c>
      <c r="O18" s="229">
        <f t="shared" ca="1" si="8"/>
        <v>0</v>
      </c>
      <c r="P18" s="229">
        <f t="shared" ca="1" si="8"/>
        <v>0</v>
      </c>
      <c r="Q18" s="229">
        <f t="shared" ca="1" si="8"/>
        <v>0</v>
      </c>
      <c r="R18" s="229">
        <f t="shared" ca="1" si="8"/>
        <v>7334.1378649844455</v>
      </c>
      <c r="S18" s="229">
        <f t="shared" ca="1" si="8"/>
        <v>7334.1378649844455</v>
      </c>
      <c r="T18" s="229">
        <f t="shared" ca="1" si="8"/>
        <v>22487.314155334629</v>
      </c>
      <c r="U18" s="229">
        <f t="shared" ca="1" si="8"/>
        <v>22487.314155334629</v>
      </c>
      <c r="V18" s="229">
        <f t="shared" ca="1" si="8"/>
        <v>22487.314155334629</v>
      </c>
      <c r="W18" s="229">
        <f t="shared" ca="1" si="8"/>
        <v>22487.314155334629</v>
      </c>
      <c r="X18" s="229">
        <f t="shared" ca="1" si="8"/>
        <v>22487.314155334629</v>
      </c>
      <c r="Y18" s="229">
        <f t="shared" ca="1" si="8"/>
        <v>22487.314155334629</v>
      </c>
      <c r="Z18" s="229">
        <f ca="1">Z16*(Z14+Z15)</f>
        <v>22487.314155334629</v>
      </c>
      <c r="AA18" s="229">
        <f t="shared" ref="AA18:CL18" ca="1" si="9">AA16*(AA14+AA15)</f>
        <v>22487.314155334629</v>
      </c>
      <c r="AB18" s="229">
        <f t="shared" ca="1" si="9"/>
        <v>22487.314155334629</v>
      </c>
      <c r="AC18" s="229">
        <f t="shared" ca="1" si="9"/>
        <v>22487.314155334629</v>
      </c>
      <c r="AD18" s="229">
        <f t="shared" ca="1" si="9"/>
        <v>22487.314155334629</v>
      </c>
      <c r="AE18" s="229">
        <f t="shared" ca="1" si="9"/>
        <v>22487.314155334629</v>
      </c>
      <c r="AF18" s="229">
        <f t="shared" ca="1" si="9"/>
        <v>30168.067098264961</v>
      </c>
      <c r="AG18" s="229">
        <f t="shared" ca="1" si="9"/>
        <v>30168.067098264961</v>
      </c>
      <c r="AH18" s="229">
        <f t="shared" ca="1" si="9"/>
        <v>30168.067098264961</v>
      </c>
      <c r="AI18" s="229">
        <f t="shared" ca="1" si="9"/>
        <v>30168.067098264961</v>
      </c>
      <c r="AJ18" s="229">
        <f t="shared" ca="1" si="9"/>
        <v>30168.067098264961</v>
      </c>
      <c r="AK18" s="229">
        <f t="shared" ca="1" si="9"/>
        <v>30168.067098264961</v>
      </c>
      <c r="AL18" s="229">
        <f t="shared" ca="1" si="9"/>
        <v>30168.067098264961</v>
      </c>
      <c r="AM18" s="229">
        <f t="shared" ca="1" si="9"/>
        <v>30168.067098264961</v>
      </c>
      <c r="AN18" s="229">
        <f t="shared" ca="1" si="9"/>
        <v>30168.067098264961</v>
      </c>
      <c r="AO18" s="229">
        <f t="shared" ca="1" si="9"/>
        <v>30168.067098264961</v>
      </c>
      <c r="AP18" s="229">
        <f t="shared" ca="1" si="9"/>
        <v>30168.067098264961</v>
      </c>
      <c r="AQ18" s="229">
        <f t="shared" ca="1" si="9"/>
        <v>30168.067098264961</v>
      </c>
      <c r="AR18" s="229">
        <f t="shared" ca="1" si="9"/>
        <v>32646.142444546247</v>
      </c>
      <c r="AS18" s="229">
        <f t="shared" ca="1" si="9"/>
        <v>32646.142444546247</v>
      </c>
      <c r="AT18" s="229">
        <f t="shared" ca="1" si="9"/>
        <v>32646.142444546247</v>
      </c>
      <c r="AU18" s="229">
        <f t="shared" ca="1" si="9"/>
        <v>32646.142444546247</v>
      </c>
      <c r="AV18" s="229">
        <f t="shared" ca="1" si="9"/>
        <v>32646.142444546247</v>
      </c>
      <c r="AW18" s="229">
        <f t="shared" ca="1" si="9"/>
        <v>32646.142444546247</v>
      </c>
      <c r="AX18" s="229">
        <f t="shared" ca="1" si="9"/>
        <v>32646.142444546247</v>
      </c>
      <c r="AY18" s="229">
        <f t="shared" ca="1" si="9"/>
        <v>32646.142444546247</v>
      </c>
      <c r="AZ18" s="229">
        <f t="shared" ca="1" si="9"/>
        <v>32646.142444546247</v>
      </c>
      <c r="BA18" s="229">
        <f t="shared" ca="1" si="9"/>
        <v>32646.142444546247</v>
      </c>
      <c r="BB18" s="229">
        <f t="shared" ca="1" si="9"/>
        <v>32646.142444546247</v>
      </c>
      <c r="BC18" s="229">
        <f t="shared" ca="1" si="9"/>
        <v>32646.142444546247</v>
      </c>
      <c r="BD18" s="229">
        <f t="shared" ca="1" si="9"/>
        <v>33736.360051215968</v>
      </c>
      <c r="BE18" s="229">
        <f t="shared" ca="1" si="9"/>
        <v>33736.360051215968</v>
      </c>
      <c r="BF18" s="229">
        <f t="shared" ca="1" si="9"/>
        <v>33736.360051215968</v>
      </c>
      <c r="BG18" s="229">
        <f t="shared" ca="1" si="9"/>
        <v>33736.360051215968</v>
      </c>
      <c r="BH18" s="229">
        <f t="shared" ca="1" si="9"/>
        <v>33736.360051215968</v>
      </c>
      <c r="BI18" s="229">
        <f t="shared" ca="1" si="9"/>
        <v>33736.360051215968</v>
      </c>
      <c r="BJ18" s="229">
        <f t="shared" ca="1" si="9"/>
        <v>33736.360051215968</v>
      </c>
      <c r="BK18" s="229">
        <f t="shared" ca="1" si="9"/>
        <v>33736.360051215968</v>
      </c>
      <c r="BL18" s="229">
        <f t="shared" ca="1" si="9"/>
        <v>33736.360051215968</v>
      </c>
      <c r="BM18" s="229">
        <f t="shared" ca="1" si="9"/>
        <v>33736.360051215968</v>
      </c>
      <c r="BN18" s="229">
        <f t="shared" ca="1" si="9"/>
        <v>33736.360051215968</v>
      </c>
      <c r="BO18" s="229">
        <f t="shared" ca="1" si="9"/>
        <v>33736.360051215968</v>
      </c>
      <c r="BP18" s="229">
        <f t="shared" ca="1" si="9"/>
        <v>34969.231121977369</v>
      </c>
      <c r="BQ18" s="229">
        <f t="shared" ca="1" si="9"/>
        <v>34969.231121977369</v>
      </c>
      <c r="BR18" s="229">
        <f t="shared" ca="1" si="9"/>
        <v>34969.231121977369</v>
      </c>
      <c r="BS18" s="229">
        <f t="shared" ca="1" si="9"/>
        <v>34969.231121977369</v>
      </c>
      <c r="BT18" s="229">
        <f t="shared" ca="1" si="9"/>
        <v>34969.231121977369</v>
      </c>
      <c r="BU18" s="229">
        <f t="shared" ca="1" si="9"/>
        <v>34969.231121977369</v>
      </c>
      <c r="BV18" s="229">
        <f t="shared" ca="1" si="9"/>
        <v>34969.231121977369</v>
      </c>
      <c r="BW18" s="229">
        <f t="shared" ca="1" si="9"/>
        <v>34969.231121977369</v>
      </c>
      <c r="BX18" s="229">
        <f t="shared" ca="1" si="9"/>
        <v>34969.231121977369</v>
      </c>
      <c r="BY18" s="229">
        <f t="shared" ca="1" si="9"/>
        <v>34969.231121977369</v>
      </c>
      <c r="BZ18" s="229">
        <f t="shared" ca="1" si="9"/>
        <v>34969.231121977369</v>
      </c>
      <c r="CA18" s="229">
        <f t="shared" ca="1" si="9"/>
        <v>34969.231121977369</v>
      </c>
      <c r="CB18" s="229">
        <f t="shared" ca="1" si="9"/>
        <v>36254.551388136926</v>
      </c>
      <c r="CC18" s="229">
        <f t="shared" ca="1" si="9"/>
        <v>36254.551388136926</v>
      </c>
      <c r="CD18" s="229">
        <f t="shared" ca="1" si="9"/>
        <v>36254.551388136926</v>
      </c>
      <c r="CE18" s="229">
        <f t="shared" ca="1" si="9"/>
        <v>36254.551388136926</v>
      </c>
      <c r="CF18" s="229">
        <f t="shared" ca="1" si="9"/>
        <v>36254.551388136926</v>
      </c>
      <c r="CG18" s="229">
        <f t="shared" ca="1" si="9"/>
        <v>36254.551388136926</v>
      </c>
      <c r="CH18" s="229">
        <f t="shared" ca="1" si="9"/>
        <v>36254.551388136926</v>
      </c>
      <c r="CI18" s="229">
        <f t="shared" ca="1" si="9"/>
        <v>36254.551388136926</v>
      </c>
      <c r="CJ18" s="229">
        <f t="shared" ca="1" si="9"/>
        <v>36254.551388136926</v>
      </c>
      <c r="CK18" s="229">
        <f t="shared" ca="1" si="9"/>
        <v>36254.551388136926</v>
      </c>
      <c r="CL18" s="229">
        <f t="shared" ca="1" si="9"/>
        <v>36254.551388136926</v>
      </c>
      <c r="CM18" s="229">
        <f t="shared" ref="CM18:EF18" ca="1" si="10">CM16*(CM14+CM15)</f>
        <v>36254.551388136926</v>
      </c>
      <c r="CN18" s="229">
        <f t="shared" ca="1" si="10"/>
        <v>37595.221742737049</v>
      </c>
      <c r="CO18" s="229">
        <f t="shared" ca="1" si="10"/>
        <v>37595.221742737049</v>
      </c>
      <c r="CP18" s="229">
        <f t="shared" ca="1" si="10"/>
        <v>37595.221742737049</v>
      </c>
      <c r="CQ18" s="229">
        <f t="shared" ca="1" si="10"/>
        <v>37595.221742737049</v>
      </c>
      <c r="CR18" s="229">
        <f t="shared" ca="1" si="10"/>
        <v>37595.221742737049</v>
      </c>
      <c r="CS18" s="229">
        <f t="shared" ca="1" si="10"/>
        <v>37595.221742737049</v>
      </c>
      <c r="CT18" s="229">
        <f t="shared" ca="1" si="10"/>
        <v>37595.221742737049</v>
      </c>
      <c r="CU18" s="229">
        <f t="shared" ca="1" si="10"/>
        <v>37595.221742737049</v>
      </c>
      <c r="CV18" s="229">
        <f t="shared" ca="1" si="10"/>
        <v>37595.221742737049</v>
      </c>
      <c r="CW18" s="229">
        <f t="shared" ca="1" si="10"/>
        <v>37595.221742737049</v>
      </c>
      <c r="CX18" s="229">
        <f t="shared" ca="1" si="10"/>
        <v>37595.221742737049</v>
      </c>
      <c r="CY18" s="229">
        <f t="shared" ca="1" si="10"/>
        <v>37595.221742737049</v>
      </c>
      <c r="CZ18" s="229">
        <f t="shared" ca="1" si="10"/>
        <v>38994.35560428755</v>
      </c>
      <c r="DA18" s="229">
        <f t="shared" ca="1" si="10"/>
        <v>38994.35560428755</v>
      </c>
      <c r="DB18" s="229">
        <f t="shared" ca="1" si="10"/>
        <v>38994.35560428755</v>
      </c>
      <c r="DC18" s="229">
        <f t="shared" ca="1" si="10"/>
        <v>38994.35560428755</v>
      </c>
      <c r="DD18" s="229">
        <f t="shared" ca="1" si="10"/>
        <v>38994.35560428755</v>
      </c>
      <c r="DE18" s="229">
        <f t="shared" ca="1" si="10"/>
        <v>38994.35560428755</v>
      </c>
      <c r="DF18" s="229">
        <f t="shared" ca="1" si="10"/>
        <v>38994.35560428755</v>
      </c>
      <c r="DG18" s="229">
        <f t="shared" ca="1" si="10"/>
        <v>38994.35560428755</v>
      </c>
      <c r="DH18" s="229">
        <f t="shared" ca="1" si="10"/>
        <v>38994.35560428755</v>
      </c>
      <c r="DI18" s="229">
        <f t="shared" ca="1" si="10"/>
        <v>38994.35560428755</v>
      </c>
      <c r="DJ18" s="229">
        <f t="shared" ca="1" si="10"/>
        <v>38994.35560428755</v>
      </c>
      <c r="DK18" s="229">
        <f t="shared" ca="1" si="10"/>
        <v>38994.35560428755</v>
      </c>
      <c r="DL18" s="229">
        <f t="shared" ca="1" si="10"/>
        <v>40455.297602725092</v>
      </c>
      <c r="DM18" s="229">
        <f t="shared" ca="1" si="10"/>
        <v>40455.297602725092</v>
      </c>
      <c r="DN18" s="229">
        <f t="shared" ca="1" si="10"/>
        <v>40455.297602725092</v>
      </c>
      <c r="DO18" s="229">
        <f t="shared" ca="1" si="10"/>
        <v>40455.297602725092</v>
      </c>
      <c r="DP18" s="229">
        <f t="shared" ca="1" si="10"/>
        <v>40455.297602725092</v>
      </c>
      <c r="DQ18" s="229">
        <f t="shared" ca="1" si="10"/>
        <v>40455.297602725092</v>
      </c>
      <c r="DR18" s="229">
        <f t="shared" ca="1" si="10"/>
        <v>40455.297602725092</v>
      </c>
      <c r="DS18" s="229">
        <f t="shared" ca="1" si="10"/>
        <v>40455.297602725092</v>
      </c>
      <c r="DT18" s="229">
        <f t="shared" ca="1" si="10"/>
        <v>40455.297602725092</v>
      </c>
      <c r="DU18" s="229">
        <f t="shared" ca="1" si="10"/>
        <v>40455.297602725092</v>
      </c>
      <c r="DV18" s="229">
        <f t="shared" ca="1" si="10"/>
        <v>40455.297602725092</v>
      </c>
      <c r="DW18" s="229">
        <f t="shared" ca="1" si="10"/>
        <v>40455.297602725092</v>
      </c>
      <c r="DX18" s="229">
        <f t="shared" ca="1" si="10"/>
        <v>41981.6440490401</v>
      </c>
      <c r="DY18" s="229">
        <f t="shared" ca="1" si="10"/>
        <v>41981.6440490401</v>
      </c>
      <c r="DZ18" s="229">
        <f t="shared" ca="1" si="10"/>
        <v>41981.6440490401</v>
      </c>
      <c r="EA18" s="229">
        <f t="shared" ca="1" si="10"/>
        <v>41981.6440490401</v>
      </c>
      <c r="EB18" s="229">
        <f t="shared" ca="1" si="10"/>
        <v>41981.6440490401</v>
      </c>
      <c r="EC18" s="229">
        <f t="shared" ca="1" si="10"/>
        <v>41981.6440490401</v>
      </c>
      <c r="ED18" s="229">
        <f t="shared" ca="1" si="10"/>
        <v>41981.6440490401</v>
      </c>
      <c r="EE18" s="229">
        <f t="shared" ca="1" si="10"/>
        <v>41981.6440490401</v>
      </c>
      <c r="EF18" s="229">
        <f t="shared" ca="1" si="10"/>
        <v>41981.6440490401</v>
      </c>
    </row>
    <row r="20" spans="1:136" x14ac:dyDescent="0.3">
      <c r="A20" s="756" t="s">
        <v>2279</v>
      </c>
      <c r="D20" s="229">
        <f t="shared" ref="D20:AI20" si="11">IF(D6&gt;=MIN(24,MonthFinalUnits),1,0)</f>
        <v>0</v>
      </c>
      <c r="E20" s="229">
        <f t="shared" si="11"/>
        <v>0</v>
      </c>
      <c r="F20" s="229">
        <f t="shared" si="11"/>
        <v>0</v>
      </c>
      <c r="G20" s="229">
        <f t="shared" si="11"/>
        <v>0</v>
      </c>
      <c r="H20" s="229">
        <f t="shared" si="11"/>
        <v>0</v>
      </c>
      <c r="I20" s="229">
        <f t="shared" si="11"/>
        <v>0</v>
      </c>
      <c r="J20" s="229">
        <f t="shared" si="11"/>
        <v>0</v>
      </c>
      <c r="K20" s="229">
        <f t="shared" si="11"/>
        <v>0</v>
      </c>
      <c r="L20" s="229">
        <f t="shared" si="11"/>
        <v>0</v>
      </c>
      <c r="M20" s="229">
        <f t="shared" si="11"/>
        <v>0</v>
      </c>
      <c r="N20" s="229">
        <f t="shared" si="11"/>
        <v>0</v>
      </c>
      <c r="O20" s="229">
        <f t="shared" si="11"/>
        <v>0</v>
      </c>
      <c r="P20" s="229">
        <f t="shared" si="11"/>
        <v>0</v>
      </c>
      <c r="Q20" s="229">
        <f t="shared" si="11"/>
        <v>0</v>
      </c>
      <c r="R20" s="229">
        <f t="shared" si="11"/>
        <v>0</v>
      </c>
      <c r="S20" s="229">
        <f t="shared" si="11"/>
        <v>0</v>
      </c>
      <c r="T20" s="229">
        <f t="shared" si="11"/>
        <v>0</v>
      </c>
      <c r="U20" s="229">
        <f t="shared" si="11"/>
        <v>0</v>
      </c>
      <c r="V20" s="229">
        <f t="shared" si="11"/>
        <v>0</v>
      </c>
      <c r="W20" s="229">
        <f t="shared" si="11"/>
        <v>0</v>
      </c>
      <c r="X20" s="229">
        <f t="shared" si="11"/>
        <v>0</v>
      </c>
      <c r="Y20" s="229">
        <f t="shared" si="11"/>
        <v>0</v>
      </c>
      <c r="Z20" s="229">
        <f t="shared" si="11"/>
        <v>0</v>
      </c>
      <c r="AA20" s="229">
        <f t="shared" si="11"/>
        <v>0</v>
      </c>
      <c r="AB20" s="229">
        <f t="shared" si="11"/>
        <v>1</v>
      </c>
      <c r="AC20" s="229">
        <f t="shared" si="11"/>
        <v>1</v>
      </c>
      <c r="AD20" s="229">
        <f t="shared" si="11"/>
        <v>1</v>
      </c>
      <c r="AE20" s="229">
        <f t="shared" si="11"/>
        <v>1</v>
      </c>
      <c r="AF20" s="229">
        <f t="shared" si="11"/>
        <v>1</v>
      </c>
      <c r="AG20" s="229">
        <f t="shared" si="11"/>
        <v>1</v>
      </c>
      <c r="AH20" s="229">
        <f t="shared" si="11"/>
        <v>1</v>
      </c>
      <c r="AI20" s="229">
        <f t="shared" si="11"/>
        <v>1</v>
      </c>
      <c r="AJ20" s="229">
        <f t="shared" ref="AJ20:BO20" si="12">IF(AJ6&gt;=MIN(24,MonthFinalUnits),1,0)</f>
        <v>1</v>
      </c>
      <c r="AK20" s="229">
        <f t="shared" si="12"/>
        <v>1</v>
      </c>
      <c r="AL20" s="229">
        <f t="shared" si="12"/>
        <v>1</v>
      </c>
      <c r="AM20" s="229">
        <f t="shared" si="12"/>
        <v>1</v>
      </c>
      <c r="AN20" s="229">
        <f t="shared" si="12"/>
        <v>1</v>
      </c>
      <c r="AO20" s="229">
        <f t="shared" si="12"/>
        <v>1</v>
      </c>
      <c r="AP20" s="229">
        <f t="shared" si="12"/>
        <v>1</v>
      </c>
      <c r="AQ20" s="229">
        <f t="shared" si="12"/>
        <v>1</v>
      </c>
      <c r="AR20" s="229">
        <f t="shared" si="12"/>
        <v>1</v>
      </c>
      <c r="AS20" s="229">
        <f t="shared" si="12"/>
        <v>1</v>
      </c>
      <c r="AT20" s="229">
        <f t="shared" si="12"/>
        <v>1</v>
      </c>
      <c r="AU20" s="229">
        <f t="shared" si="12"/>
        <v>1</v>
      </c>
      <c r="AV20" s="229">
        <f t="shared" si="12"/>
        <v>1</v>
      </c>
      <c r="AW20" s="229">
        <f t="shared" si="12"/>
        <v>1</v>
      </c>
      <c r="AX20" s="229">
        <f t="shared" si="12"/>
        <v>1</v>
      </c>
      <c r="AY20" s="229">
        <f t="shared" si="12"/>
        <v>1</v>
      </c>
      <c r="AZ20" s="229">
        <f t="shared" si="12"/>
        <v>1</v>
      </c>
      <c r="BA20" s="229">
        <f t="shared" si="12"/>
        <v>1</v>
      </c>
      <c r="BB20" s="229">
        <f t="shared" si="12"/>
        <v>1</v>
      </c>
      <c r="BC20" s="229">
        <f t="shared" si="12"/>
        <v>1</v>
      </c>
      <c r="BD20" s="229">
        <f t="shared" si="12"/>
        <v>1</v>
      </c>
      <c r="BE20" s="229">
        <f t="shared" si="12"/>
        <v>1</v>
      </c>
      <c r="BF20" s="229">
        <f t="shared" si="12"/>
        <v>1</v>
      </c>
      <c r="BG20" s="229">
        <f t="shared" si="12"/>
        <v>1</v>
      </c>
      <c r="BH20" s="229">
        <f t="shared" si="12"/>
        <v>1</v>
      </c>
      <c r="BI20" s="229">
        <f t="shared" si="12"/>
        <v>1</v>
      </c>
      <c r="BJ20" s="229">
        <f t="shared" si="12"/>
        <v>1</v>
      </c>
      <c r="BK20" s="229">
        <f t="shared" si="12"/>
        <v>1</v>
      </c>
      <c r="BL20" s="229">
        <f t="shared" si="12"/>
        <v>1</v>
      </c>
      <c r="BM20" s="229">
        <f t="shared" si="12"/>
        <v>1</v>
      </c>
      <c r="BN20" s="229">
        <f t="shared" si="12"/>
        <v>1</v>
      </c>
      <c r="BO20" s="229">
        <f t="shared" si="12"/>
        <v>1</v>
      </c>
      <c r="BP20" s="229">
        <f t="shared" ref="BP20:CU20" si="13">IF(BP6&gt;=MIN(24,MonthFinalUnits),1,0)</f>
        <v>1</v>
      </c>
      <c r="BQ20" s="229">
        <f t="shared" si="13"/>
        <v>1</v>
      </c>
      <c r="BR20" s="229">
        <f t="shared" si="13"/>
        <v>1</v>
      </c>
      <c r="BS20" s="229">
        <f t="shared" si="13"/>
        <v>1</v>
      </c>
      <c r="BT20" s="229">
        <f t="shared" si="13"/>
        <v>1</v>
      </c>
      <c r="BU20" s="229">
        <f t="shared" si="13"/>
        <v>1</v>
      </c>
      <c r="BV20" s="229">
        <f t="shared" si="13"/>
        <v>1</v>
      </c>
      <c r="BW20" s="229">
        <f t="shared" si="13"/>
        <v>1</v>
      </c>
      <c r="BX20" s="229">
        <f t="shared" si="13"/>
        <v>1</v>
      </c>
      <c r="BY20" s="229">
        <f t="shared" si="13"/>
        <v>1</v>
      </c>
      <c r="BZ20" s="229">
        <f t="shared" si="13"/>
        <v>1</v>
      </c>
      <c r="CA20" s="229">
        <f t="shared" si="13"/>
        <v>1</v>
      </c>
      <c r="CB20" s="229">
        <f t="shared" si="13"/>
        <v>1</v>
      </c>
      <c r="CC20" s="229">
        <f t="shared" si="13"/>
        <v>1</v>
      </c>
      <c r="CD20" s="229">
        <f t="shared" si="13"/>
        <v>1</v>
      </c>
      <c r="CE20" s="229">
        <f t="shared" si="13"/>
        <v>1</v>
      </c>
      <c r="CF20" s="229">
        <f t="shared" si="13"/>
        <v>1</v>
      </c>
      <c r="CG20" s="229">
        <f t="shared" si="13"/>
        <v>1</v>
      </c>
      <c r="CH20" s="229">
        <f t="shared" si="13"/>
        <v>1</v>
      </c>
      <c r="CI20" s="229">
        <f t="shared" si="13"/>
        <v>1</v>
      </c>
      <c r="CJ20" s="229">
        <f t="shared" si="13"/>
        <v>1</v>
      </c>
      <c r="CK20" s="229">
        <f t="shared" si="13"/>
        <v>1</v>
      </c>
      <c r="CL20" s="229">
        <f t="shared" si="13"/>
        <v>1</v>
      </c>
      <c r="CM20" s="229">
        <f t="shared" si="13"/>
        <v>1</v>
      </c>
      <c r="CN20" s="229">
        <f t="shared" si="13"/>
        <v>1</v>
      </c>
      <c r="CO20" s="229">
        <f t="shared" si="13"/>
        <v>1</v>
      </c>
      <c r="CP20" s="229">
        <f t="shared" si="13"/>
        <v>1</v>
      </c>
      <c r="CQ20" s="229">
        <f t="shared" si="13"/>
        <v>1</v>
      </c>
      <c r="CR20" s="229">
        <f t="shared" si="13"/>
        <v>1</v>
      </c>
      <c r="CS20" s="229">
        <f t="shared" si="13"/>
        <v>1</v>
      </c>
      <c r="CT20" s="229">
        <f t="shared" si="13"/>
        <v>1</v>
      </c>
      <c r="CU20" s="229">
        <f t="shared" si="13"/>
        <v>1</v>
      </c>
      <c r="CV20" s="229">
        <f t="shared" ref="CV20:EF20" si="14">IF(CV6&gt;=MIN(24,MonthFinalUnits),1,0)</f>
        <v>1</v>
      </c>
      <c r="CW20" s="229">
        <f t="shared" si="14"/>
        <v>1</v>
      </c>
      <c r="CX20" s="229">
        <f t="shared" si="14"/>
        <v>1</v>
      </c>
      <c r="CY20" s="229">
        <f t="shared" si="14"/>
        <v>1</v>
      </c>
      <c r="CZ20" s="229">
        <f t="shared" si="14"/>
        <v>1</v>
      </c>
      <c r="DA20" s="229">
        <f t="shared" si="14"/>
        <v>1</v>
      </c>
      <c r="DB20" s="229">
        <f t="shared" si="14"/>
        <v>1</v>
      </c>
      <c r="DC20" s="229">
        <f t="shared" si="14"/>
        <v>1</v>
      </c>
      <c r="DD20" s="229">
        <f t="shared" si="14"/>
        <v>1</v>
      </c>
      <c r="DE20" s="229">
        <f t="shared" si="14"/>
        <v>1</v>
      </c>
      <c r="DF20" s="229">
        <f t="shared" si="14"/>
        <v>1</v>
      </c>
      <c r="DG20" s="229">
        <f t="shared" si="14"/>
        <v>1</v>
      </c>
      <c r="DH20" s="229">
        <f t="shared" si="14"/>
        <v>1</v>
      </c>
      <c r="DI20" s="229">
        <f t="shared" si="14"/>
        <v>1</v>
      </c>
      <c r="DJ20" s="229">
        <f t="shared" si="14"/>
        <v>1</v>
      </c>
      <c r="DK20" s="229">
        <f t="shared" si="14"/>
        <v>1</v>
      </c>
      <c r="DL20" s="229">
        <f t="shared" si="14"/>
        <v>1</v>
      </c>
      <c r="DM20" s="229">
        <f t="shared" si="14"/>
        <v>1</v>
      </c>
      <c r="DN20" s="229">
        <f t="shared" si="14"/>
        <v>1</v>
      </c>
      <c r="DO20" s="229">
        <f t="shared" si="14"/>
        <v>1</v>
      </c>
      <c r="DP20" s="229">
        <f t="shared" si="14"/>
        <v>1</v>
      </c>
      <c r="DQ20" s="229">
        <f t="shared" si="14"/>
        <v>1</v>
      </c>
      <c r="DR20" s="229">
        <f t="shared" si="14"/>
        <v>1</v>
      </c>
      <c r="DS20" s="229">
        <f t="shared" si="14"/>
        <v>1</v>
      </c>
      <c r="DT20" s="229">
        <f t="shared" si="14"/>
        <v>1</v>
      </c>
      <c r="DU20" s="229">
        <f t="shared" si="14"/>
        <v>1</v>
      </c>
      <c r="DV20" s="229">
        <f t="shared" si="14"/>
        <v>1</v>
      </c>
      <c r="DW20" s="229">
        <f t="shared" si="14"/>
        <v>1</v>
      </c>
      <c r="DX20" s="229">
        <f t="shared" si="14"/>
        <v>1</v>
      </c>
      <c r="DY20" s="229">
        <f t="shared" si="14"/>
        <v>1</v>
      </c>
      <c r="DZ20" s="229">
        <f t="shared" si="14"/>
        <v>1</v>
      </c>
      <c r="EA20" s="229">
        <f t="shared" si="14"/>
        <v>1</v>
      </c>
      <c r="EB20" s="229">
        <f t="shared" si="14"/>
        <v>1</v>
      </c>
      <c r="EC20" s="229">
        <f t="shared" si="14"/>
        <v>1</v>
      </c>
      <c r="ED20" s="229">
        <f t="shared" si="14"/>
        <v>1</v>
      </c>
      <c r="EE20" s="229">
        <f t="shared" si="14"/>
        <v>1</v>
      </c>
      <c r="EF20" s="229">
        <f t="shared" si="14"/>
        <v>1</v>
      </c>
    </row>
    <row r="21" spans="1:136" x14ac:dyDescent="0.3">
      <c r="A21" s="229" t="s">
        <v>2280</v>
      </c>
      <c r="D21" s="229">
        <f>IF(D20=0,'Operating Inputs'!$I$168,MIN(D8,TotalProjectCost))</f>
        <v>8850000</v>
      </c>
      <c r="E21" s="229">
        <f>IF(E20=0,'Operating Inputs'!$I$168,MIN(E8,TotalProjectCost))</f>
        <v>8850000</v>
      </c>
      <c r="F21" s="229">
        <f>IF(F20=0,'Operating Inputs'!$I$168,MIN(F8,TotalProjectCost))</f>
        <v>8850000</v>
      </c>
      <c r="G21" s="229">
        <f>IF(G20=0,'Operating Inputs'!$I$168,MIN(G8,TotalProjectCost))</f>
        <v>8850000</v>
      </c>
      <c r="H21" s="229">
        <f>IF(H20=0,'Operating Inputs'!$I$168,MIN(H8,TotalProjectCost))</f>
        <v>8850000</v>
      </c>
      <c r="I21" s="229">
        <f>IF(I20=0,'Operating Inputs'!$I$168,MIN(I8,TotalProjectCost))</f>
        <v>8850000</v>
      </c>
      <c r="J21" s="229">
        <f>IF(J20=0,'Operating Inputs'!$I$168,MIN(J8,TotalProjectCost))</f>
        <v>8850000</v>
      </c>
      <c r="K21" s="229">
        <f>IF(K20=0,'Operating Inputs'!$I$168,MIN(K8,TotalProjectCost))</f>
        <v>8850000</v>
      </c>
      <c r="L21" s="229">
        <f>IF(L20=0,'Operating Inputs'!$I$168,MIN(L8,TotalProjectCost))</f>
        <v>8850000</v>
      </c>
      <c r="M21" s="229">
        <f>IF(M20=0,'Operating Inputs'!$I$168,MIN(M8,TotalProjectCost))</f>
        <v>8850000</v>
      </c>
      <c r="N21" s="229">
        <f>IF(N20=0,'Operating Inputs'!$I$168,MIN(N8,TotalProjectCost))</f>
        <v>8850000</v>
      </c>
      <c r="O21" s="229">
        <f>IF(O20=0,'Operating Inputs'!$I$168,MIN(O8,TotalProjectCost))</f>
        <v>8850000</v>
      </c>
      <c r="P21" s="229">
        <f>IF(P20=0,'Operating Inputs'!$I$168,MIN(P8,TotalProjectCost))</f>
        <v>8850000</v>
      </c>
      <c r="Q21" s="229">
        <f>IF(Q20=0,'Operating Inputs'!$I$168,MIN(Q8,TotalProjectCost))</f>
        <v>8850000</v>
      </c>
      <c r="R21" s="229">
        <f>IF(R20=0,'Operating Inputs'!$I$168,MIN(R8,TotalProjectCost))</f>
        <v>8850000</v>
      </c>
      <c r="S21" s="229">
        <f>IF(S20=0,'Operating Inputs'!$I$168,MIN(S8,TotalProjectCost))</f>
        <v>8850000</v>
      </c>
      <c r="T21" s="229">
        <f>IF(T20=0,'Operating Inputs'!$I$168,MIN(T8,TotalProjectCost))</f>
        <v>8850000</v>
      </c>
      <c r="U21" s="229">
        <f>IF(U20=0,'Operating Inputs'!$I$168,MIN(U8,TotalProjectCost))</f>
        <v>8850000</v>
      </c>
      <c r="V21" s="229">
        <f>IF(V20=0,'Operating Inputs'!$I$168,MIN(V8,TotalProjectCost))</f>
        <v>8850000</v>
      </c>
      <c r="W21" s="229">
        <f>IF(W20=0,'Operating Inputs'!$I$168,MIN(W8,TotalProjectCost))</f>
        <v>8850000</v>
      </c>
      <c r="X21" s="229">
        <f>IF(X20=0,'Operating Inputs'!$I$168,MIN(X8,TotalProjectCost))</f>
        <v>8850000</v>
      </c>
      <c r="Y21" s="229">
        <f>IF(Y20=0,'Operating Inputs'!$I$168,MIN(Y8,TotalProjectCost))</f>
        <v>8850000</v>
      </c>
      <c r="Z21" s="229">
        <f>IF(Z20=0,'Operating Inputs'!$I$168,MIN(Z8,TotalProjectCost))</f>
        <v>8850000</v>
      </c>
      <c r="AA21" s="229">
        <f>IF(AA20=0,'Operating Inputs'!$I$168,MIN(AA8,TotalProjectCost))</f>
        <v>8850000</v>
      </c>
      <c r="AB21" s="229">
        <f ca="1">IF(AB20=0,'Operating Inputs'!$I$168,MIN(AB8,TotalProjectCost))</f>
        <v>77281920.057961136</v>
      </c>
      <c r="AC21" s="229">
        <f ca="1">IF(AC20=0,'Operating Inputs'!$I$168,MIN(AC8,TotalProjectCost))</f>
        <v>77959624.342178479</v>
      </c>
      <c r="AD21" s="229">
        <f ca="1">IF(AD20=0,'Operating Inputs'!$I$168,MIN(AD8,TotalProjectCost))</f>
        <v>77959624.342178479</v>
      </c>
      <c r="AE21" s="229">
        <f ca="1">IF(AE20=0,'Operating Inputs'!$I$168,MIN(AE8,TotalProjectCost))</f>
        <v>77959624.342178479</v>
      </c>
      <c r="AF21" s="229">
        <f ca="1">IF(AF20=0,'Operating Inputs'!$I$168,MIN(AF8,TotalProjectCost))</f>
        <v>77959624.342178479</v>
      </c>
      <c r="AG21" s="229">
        <f ca="1">IF(AG20=0,'Operating Inputs'!$I$168,MIN(AG8,TotalProjectCost))</f>
        <v>77959624.342178479</v>
      </c>
      <c r="AH21" s="229">
        <f ca="1">IF(AH20=0,'Operating Inputs'!$I$168,MIN(AH8,TotalProjectCost))</f>
        <v>77959624.342178479</v>
      </c>
      <c r="AI21" s="229">
        <f ca="1">IF(AI20=0,'Operating Inputs'!$I$168,MIN(AI8,TotalProjectCost))</f>
        <v>77959624.342178479</v>
      </c>
      <c r="AJ21" s="229">
        <f ca="1">IF(AJ20=0,'Operating Inputs'!$I$168,MIN(AJ8,TotalProjectCost))</f>
        <v>77959624.342178479</v>
      </c>
      <c r="AK21" s="229">
        <f ca="1">IF(AK20=0,'Operating Inputs'!$I$168,MIN(AK8,TotalProjectCost))</f>
        <v>77959624.342178479</v>
      </c>
      <c r="AL21" s="229">
        <f ca="1">IF(AL20=0,'Operating Inputs'!$I$168,MIN(AL8,TotalProjectCost))</f>
        <v>77959624.342178479</v>
      </c>
      <c r="AM21" s="229">
        <f ca="1">IF(AM20=0,'Operating Inputs'!$I$168,MIN(AM8,TotalProjectCost))</f>
        <v>77959624.342178479</v>
      </c>
      <c r="AN21" s="229">
        <f ca="1">IF(AN20=0,'Operating Inputs'!$I$168,MIN(AN8,TotalProjectCost))</f>
        <v>77959624.342178479</v>
      </c>
      <c r="AO21" s="229">
        <f ca="1">IF(AO20=0,'Operating Inputs'!$I$168,MIN(AO8,TotalProjectCost))</f>
        <v>77959624.342178479</v>
      </c>
      <c r="AP21" s="229">
        <f ca="1">IF(AP20=0,'Operating Inputs'!$I$168,MIN(AP8,TotalProjectCost))</f>
        <v>77959624.342178479</v>
      </c>
      <c r="AQ21" s="229">
        <f ca="1">IF(AQ20=0,'Operating Inputs'!$I$168,MIN(AQ8,TotalProjectCost))</f>
        <v>77959624.342178479</v>
      </c>
      <c r="AR21" s="229">
        <f ca="1">IF(AR20=0,'Operating Inputs'!$I$168,MIN(AR8,TotalProjectCost))</f>
        <v>77959624.342178479</v>
      </c>
      <c r="AS21" s="229">
        <f ca="1">IF(AS20=0,'Operating Inputs'!$I$168,MIN(AS8,TotalProjectCost))</f>
        <v>77959624.342178479</v>
      </c>
      <c r="AT21" s="229">
        <f ca="1">IF(AT20=0,'Operating Inputs'!$I$168,MIN(AT8,TotalProjectCost))</f>
        <v>77959624.342178479</v>
      </c>
      <c r="AU21" s="229">
        <f ca="1">IF(AU20=0,'Operating Inputs'!$I$168,MIN(AU8,TotalProjectCost))</f>
        <v>77959624.342178479</v>
      </c>
      <c r="AV21" s="229">
        <f ca="1">IF(AV20=0,'Operating Inputs'!$I$168,MIN(AV8,TotalProjectCost))</f>
        <v>77959624.342178479</v>
      </c>
      <c r="AW21" s="229">
        <f ca="1">IF(AW20=0,'Operating Inputs'!$I$168,MIN(AW8,TotalProjectCost))</f>
        <v>77959624.342178479</v>
      </c>
      <c r="AX21" s="229">
        <f ca="1">IF(AX20=0,'Operating Inputs'!$I$168,MIN(AX8,TotalProjectCost))</f>
        <v>77959624.342178479</v>
      </c>
      <c r="AY21" s="229">
        <f ca="1">IF(AY20=0,'Operating Inputs'!$I$168,MIN(AY8,TotalProjectCost))</f>
        <v>77959624.342178479</v>
      </c>
      <c r="AZ21" s="229">
        <f ca="1">IF(AZ20=0,'Operating Inputs'!$I$168,MIN(AZ8,TotalProjectCost))</f>
        <v>77959624.342178479</v>
      </c>
      <c r="BA21" s="229">
        <f ca="1">IF(BA20=0,'Operating Inputs'!$I$168,MIN(BA8,TotalProjectCost))</f>
        <v>77959624.342178479</v>
      </c>
      <c r="BB21" s="229">
        <f ca="1">IF(BB20=0,'Operating Inputs'!$I$168,MIN(BB8,TotalProjectCost))</f>
        <v>77959624.342178479</v>
      </c>
      <c r="BC21" s="229">
        <f ca="1">IF(BC20=0,'Operating Inputs'!$I$168,MIN(BC8,TotalProjectCost))</f>
        <v>77959624.342178479</v>
      </c>
      <c r="BD21" s="229">
        <f ca="1">IF(BD20=0,'Operating Inputs'!$I$168,MIN(BD8,TotalProjectCost))</f>
        <v>77959624.342178479</v>
      </c>
      <c r="BE21" s="229">
        <f ca="1">IF(BE20=0,'Operating Inputs'!$I$168,MIN(BE8,TotalProjectCost))</f>
        <v>77959624.342178479</v>
      </c>
      <c r="BF21" s="229">
        <f ca="1">IF(BF20=0,'Operating Inputs'!$I$168,MIN(BF8,TotalProjectCost))</f>
        <v>77959624.342178479</v>
      </c>
      <c r="BG21" s="229">
        <f ca="1">IF(BG20=0,'Operating Inputs'!$I$168,MIN(BG8,TotalProjectCost))</f>
        <v>77959624.342178479</v>
      </c>
      <c r="BH21" s="229">
        <f ca="1">IF(BH20=0,'Operating Inputs'!$I$168,MIN(BH8,TotalProjectCost))</f>
        <v>77959624.342178479</v>
      </c>
      <c r="BI21" s="229">
        <f ca="1">IF(BI20=0,'Operating Inputs'!$I$168,MIN(BI8,TotalProjectCost))</f>
        <v>77959624.342178479</v>
      </c>
      <c r="BJ21" s="229">
        <f ca="1">IF(BJ20=0,'Operating Inputs'!$I$168,MIN(BJ8,TotalProjectCost))</f>
        <v>77959624.342178479</v>
      </c>
      <c r="BK21" s="229">
        <f ca="1">IF(BK20=0,'Operating Inputs'!$I$168,MIN(BK8,TotalProjectCost))</f>
        <v>77959624.342178479</v>
      </c>
      <c r="BL21" s="229">
        <f ca="1">IF(BL20=0,'Operating Inputs'!$I$168,MIN(BL8,TotalProjectCost))</f>
        <v>77959624.342178479</v>
      </c>
      <c r="BM21" s="229">
        <f ca="1">IF(BM20=0,'Operating Inputs'!$I$168,MIN(BM8,TotalProjectCost))</f>
        <v>77959624.342178479</v>
      </c>
      <c r="BN21" s="229">
        <f ca="1">IF(BN20=0,'Operating Inputs'!$I$168,MIN(BN8,TotalProjectCost))</f>
        <v>77959624.342178479</v>
      </c>
      <c r="BO21" s="229">
        <f ca="1">IF(BO20=0,'Operating Inputs'!$I$168,MIN(BO8,TotalProjectCost))</f>
        <v>77959624.342178479</v>
      </c>
      <c r="BP21" s="229">
        <f ca="1">IF(BP20=0,'Operating Inputs'!$I$168,MIN(BP8,TotalProjectCost))</f>
        <v>77959624.342178479</v>
      </c>
      <c r="BQ21" s="229">
        <f ca="1">IF(BQ20=0,'Operating Inputs'!$I$168,MIN(BQ8,TotalProjectCost))</f>
        <v>77959624.342178479</v>
      </c>
      <c r="BR21" s="229">
        <f ca="1">IF(BR20=0,'Operating Inputs'!$I$168,MIN(BR8,TotalProjectCost))</f>
        <v>77959624.342178479</v>
      </c>
      <c r="BS21" s="229">
        <f ca="1">IF(BS20=0,'Operating Inputs'!$I$168,MIN(BS8,TotalProjectCost))</f>
        <v>77959624.342178479</v>
      </c>
      <c r="BT21" s="229">
        <f ca="1">IF(BT20=0,'Operating Inputs'!$I$168,MIN(BT8,TotalProjectCost))</f>
        <v>77959624.342178479</v>
      </c>
      <c r="BU21" s="229">
        <f ca="1">IF(BU20=0,'Operating Inputs'!$I$168,MIN(BU8,TotalProjectCost))</f>
        <v>77959624.342178479</v>
      </c>
      <c r="BV21" s="229">
        <f ca="1">IF(BV20=0,'Operating Inputs'!$I$168,MIN(BV8,TotalProjectCost))</f>
        <v>77959624.342178479</v>
      </c>
      <c r="BW21" s="229">
        <f ca="1">IF(BW20=0,'Operating Inputs'!$I$168,MIN(BW8,TotalProjectCost))</f>
        <v>77959624.342178479</v>
      </c>
      <c r="BX21" s="229">
        <f ca="1">IF(BX20=0,'Operating Inputs'!$I$168,MIN(BX8,TotalProjectCost))</f>
        <v>77959624.342178479</v>
      </c>
      <c r="BY21" s="229">
        <f ca="1">IF(BY20=0,'Operating Inputs'!$I$168,MIN(BY8,TotalProjectCost))</f>
        <v>77959624.342178479</v>
      </c>
      <c r="BZ21" s="229">
        <f ca="1">IF(BZ20=0,'Operating Inputs'!$I$168,MIN(BZ8,TotalProjectCost))</f>
        <v>77959624.342178479</v>
      </c>
      <c r="CA21" s="229">
        <f ca="1">IF(CA20=0,'Operating Inputs'!$I$168,MIN(CA8,TotalProjectCost))</f>
        <v>77959624.342178479</v>
      </c>
      <c r="CB21" s="229">
        <f ca="1">IF(CB20=0,'Operating Inputs'!$I$168,MIN(CB8,TotalProjectCost))</f>
        <v>77959624.342178479</v>
      </c>
      <c r="CC21" s="229">
        <f ca="1">IF(CC20=0,'Operating Inputs'!$I$168,MIN(CC8,TotalProjectCost))</f>
        <v>77959624.342178479</v>
      </c>
      <c r="CD21" s="229">
        <f ca="1">IF(CD20=0,'Operating Inputs'!$I$168,MIN(CD8,TotalProjectCost))</f>
        <v>77959624.342178479</v>
      </c>
      <c r="CE21" s="229">
        <f ca="1">IF(CE20=0,'Operating Inputs'!$I$168,MIN(CE8,TotalProjectCost))</f>
        <v>77959624.342178479</v>
      </c>
      <c r="CF21" s="229">
        <f ca="1">IF(CF20=0,'Operating Inputs'!$I$168,MIN(CF8,TotalProjectCost))</f>
        <v>77959624.342178479</v>
      </c>
      <c r="CG21" s="229">
        <f ca="1">IF(CG20=0,'Operating Inputs'!$I$168,MIN(CG8,TotalProjectCost))</f>
        <v>77959624.342178479</v>
      </c>
      <c r="CH21" s="229">
        <f ca="1">IF(CH20=0,'Operating Inputs'!$I$168,MIN(CH8,TotalProjectCost))</f>
        <v>77959624.342178479</v>
      </c>
      <c r="CI21" s="229">
        <f ca="1">IF(CI20=0,'Operating Inputs'!$I$168,MIN(CI8,TotalProjectCost))</f>
        <v>77959624.342178479</v>
      </c>
      <c r="CJ21" s="229">
        <f ca="1">IF(CJ20=0,'Operating Inputs'!$I$168,MIN(CJ8,TotalProjectCost))</f>
        <v>77959624.342178479</v>
      </c>
      <c r="CK21" s="229">
        <f ca="1">IF(CK20=0,'Operating Inputs'!$I$168,MIN(CK8,TotalProjectCost))</f>
        <v>77959624.342178479</v>
      </c>
      <c r="CL21" s="229">
        <f ca="1">IF(CL20=0,'Operating Inputs'!$I$168,MIN(CL8,TotalProjectCost))</f>
        <v>77959624.342178479</v>
      </c>
      <c r="CM21" s="229">
        <f ca="1">IF(CM20=0,'Operating Inputs'!$I$168,MIN(CM8,TotalProjectCost))</f>
        <v>77959624.342178479</v>
      </c>
      <c r="CN21" s="229">
        <f ca="1">IF(CN20=0,'Operating Inputs'!$I$168,MIN(CN8,TotalProjectCost))</f>
        <v>77959624.342178479</v>
      </c>
      <c r="CO21" s="229">
        <f ca="1">IF(CO20=0,'Operating Inputs'!$I$168,MIN(CO8,TotalProjectCost))</f>
        <v>77959624.342178479</v>
      </c>
      <c r="CP21" s="229">
        <f ca="1">IF(CP20=0,'Operating Inputs'!$I$168,MIN(CP8,TotalProjectCost))</f>
        <v>77959624.342178479</v>
      </c>
      <c r="CQ21" s="229">
        <f ca="1">IF(CQ20=0,'Operating Inputs'!$I$168,MIN(CQ8,TotalProjectCost))</f>
        <v>77959624.342178479</v>
      </c>
      <c r="CR21" s="229">
        <f ca="1">IF(CR20=0,'Operating Inputs'!$I$168,MIN(CR8,TotalProjectCost))</f>
        <v>77959624.342178479</v>
      </c>
      <c r="CS21" s="229">
        <f ca="1">IF(CS20=0,'Operating Inputs'!$I$168,MIN(CS8,TotalProjectCost))</f>
        <v>77959624.342178479</v>
      </c>
      <c r="CT21" s="229">
        <f ca="1">IF(CT20=0,'Operating Inputs'!$I$168,MIN(CT8,TotalProjectCost))</f>
        <v>77959624.342178479</v>
      </c>
      <c r="CU21" s="229">
        <f ca="1">IF(CU20=0,'Operating Inputs'!$I$168,MIN(CU8,TotalProjectCost))</f>
        <v>77959624.342178479</v>
      </c>
      <c r="CV21" s="229">
        <f ca="1">IF(CV20=0,'Operating Inputs'!$I$168,MIN(CV8,TotalProjectCost))</f>
        <v>77959624.342178479</v>
      </c>
      <c r="CW21" s="229">
        <f ca="1">IF(CW20=0,'Operating Inputs'!$I$168,MIN(CW8,TotalProjectCost))</f>
        <v>77959624.342178479</v>
      </c>
      <c r="CX21" s="229">
        <f ca="1">IF(CX20=0,'Operating Inputs'!$I$168,MIN(CX8,TotalProjectCost))</f>
        <v>77959624.342178479</v>
      </c>
      <c r="CY21" s="229">
        <f ca="1">IF(CY20=0,'Operating Inputs'!$I$168,MIN(CY8,TotalProjectCost))</f>
        <v>77959624.342178479</v>
      </c>
      <c r="CZ21" s="229">
        <f ca="1">IF(CZ20=0,'Operating Inputs'!$I$168,MIN(CZ8,TotalProjectCost))</f>
        <v>77959624.342178479</v>
      </c>
      <c r="DA21" s="229">
        <f ca="1">IF(DA20=0,'Operating Inputs'!$I$168,MIN(DA8,TotalProjectCost))</f>
        <v>77959624.342178479</v>
      </c>
      <c r="DB21" s="229">
        <f ca="1">IF(DB20=0,'Operating Inputs'!$I$168,MIN(DB8,TotalProjectCost))</f>
        <v>77959624.342178479</v>
      </c>
      <c r="DC21" s="229">
        <f ca="1">IF(DC20=0,'Operating Inputs'!$I$168,MIN(DC8,TotalProjectCost))</f>
        <v>77959624.342178479</v>
      </c>
      <c r="DD21" s="229">
        <f ca="1">IF(DD20=0,'Operating Inputs'!$I$168,MIN(DD8,TotalProjectCost))</f>
        <v>77959624.342178479</v>
      </c>
      <c r="DE21" s="229">
        <f ca="1">IF(DE20=0,'Operating Inputs'!$I$168,MIN(DE8,TotalProjectCost))</f>
        <v>77959624.342178479</v>
      </c>
      <c r="DF21" s="229">
        <f ca="1">IF(DF20=0,'Operating Inputs'!$I$168,MIN(DF8,TotalProjectCost))</f>
        <v>77959624.342178479</v>
      </c>
      <c r="DG21" s="229">
        <f ca="1">IF(DG20=0,'Operating Inputs'!$I$168,MIN(DG8,TotalProjectCost))</f>
        <v>77959624.342178479</v>
      </c>
      <c r="DH21" s="229">
        <f ca="1">IF(DH20=0,'Operating Inputs'!$I$168,MIN(DH8,TotalProjectCost))</f>
        <v>77959624.342178479</v>
      </c>
      <c r="DI21" s="229">
        <f ca="1">IF(DI20=0,'Operating Inputs'!$I$168,MIN(DI8,TotalProjectCost))</f>
        <v>77959624.342178479</v>
      </c>
      <c r="DJ21" s="229">
        <f ca="1">IF(DJ20=0,'Operating Inputs'!$I$168,MIN(DJ8,TotalProjectCost))</f>
        <v>77959624.342178479</v>
      </c>
      <c r="DK21" s="229">
        <f ca="1">IF(DK20=0,'Operating Inputs'!$I$168,MIN(DK8,TotalProjectCost))</f>
        <v>77959624.342178479</v>
      </c>
      <c r="DL21" s="229">
        <f ca="1">IF(DL20=0,'Operating Inputs'!$I$168,MIN(DL8,TotalProjectCost))</f>
        <v>77959624.342178479</v>
      </c>
      <c r="DM21" s="229">
        <f ca="1">IF(DM20=0,'Operating Inputs'!$I$168,MIN(DM8,TotalProjectCost))</f>
        <v>77959624.342178479</v>
      </c>
      <c r="DN21" s="229">
        <f ca="1">IF(DN20=0,'Operating Inputs'!$I$168,MIN(DN8,TotalProjectCost))</f>
        <v>77959624.342178479</v>
      </c>
      <c r="DO21" s="229">
        <f ca="1">IF(DO20=0,'Operating Inputs'!$I$168,MIN(DO8,TotalProjectCost))</f>
        <v>77959624.342178479</v>
      </c>
      <c r="DP21" s="229">
        <f ca="1">IF(DP20=0,'Operating Inputs'!$I$168,MIN(DP8,TotalProjectCost))</f>
        <v>77959624.342178479</v>
      </c>
      <c r="DQ21" s="229">
        <f ca="1">IF(DQ20=0,'Operating Inputs'!$I$168,MIN(DQ8,TotalProjectCost))</f>
        <v>77959624.342178479</v>
      </c>
      <c r="DR21" s="229">
        <f ca="1">IF(DR20=0,'Operating Inputs'!$I$168,MIN(DR8,TotalProjectCost))</f>
        <v>77959624.342178479</v>
      </c>
      <c r="DS21" s="229">
        <f ca="1">IF(DS20=0,'Operating Inputs'!$I$168,MIN(DS8,TotalProjectCost))</f>
        <v>77959624.342178479</v>
      </c>
      <c r="DT21" s="229">
        <f ca="1">IF(DT20=0,'Operating Inputs'!$I$168,MIN(DT8,TotalProjectCost))</f>
        <v>77959624.342178479</v>
      </c>
      <c r="DU21" s="229">
        <f ca="1">IF(DU20=0,'Operating Inputs'!$I$168,MIN(DU8,TotalProjectCost))</f>
        <v>77959624.342178479</v>
      </c>
      <c r="DV21" s="229">
        <f ca="1">IF(DV20=0,'Operating Inputs'!$I$168,MIN(DV8,TotalProjectCost))</f>
        <v>77959624.342178479</v>
      </c>
      <c r="DW21" s="229">
        <f ca="1">IF(DW20=0,'Operating Inputs'!$I$168,MIN(DW8,TotalProjectCost))</f>
        <v>77959624.342178479</v>
      </c>
      <c r="DX21" s="229">
        <f ca="1">IF(DX20=0,'Operating Inputs'!$I$168,MIN(DX8,TotalProjectCost))</f>
        <v>77959624.342178479</v>
      </c>
      <c r="DY21" s="229">
        <f ca="1">IF(DY20=0,'Operating Inputs'!$I$168,MIN(DY8,TotalProjectCost))</f>
        <v>77959624.342178479</v>
      </c>
      <c r="DZ21" s="229">
        <f ca="1">IF(DZ20=0,'Operating Inputs'!$I$168,MIN(DZ8,TotalProjectCost))</f>
        <v>77959624.342178479</v>
      </c>
      <c r="EA21" s="229">
        <f ca="1">IF(EA20=0,'Operating Inputs'!$I$168,MIN(EA8,TotalProjectCost))</f>
        <v>77959624.342178479</v>
      </c>
      <c r="EB21" s="229">
        <f ca="1">IF(EB20=0,'Operating Inputs'!$I$168,MIN(EB8,TotalProjectCost))</f>
        <v>77959624.342178479</v>
      </c>
      <c r="EC21" s="229">
        <f ca="1">IF(EC20=0,'Operating Inputs'!$I$168,MIN(EC8,TotalProjectCost))</f>
        <v>77959624.342178479</v>
      </c>
      <c r="ED21" s="229">
        <f ca="1">IF(ED20=0,'Operating Inputs'!$I$168,MIN(ED8,TotalProjectCost))</f>
        <v>77959624.342178479</v>
      </c>
      <c r="EE21" s="229">
        <f ca="1">IF(EE20=0,'Operating Inputs'!$I$168,MIN(EE8,TotalProjectCost))</f>
        <v>77959624.342178479</v>
      </c>
      <c r="EF21" s="229">
        <f ca="1">IF(EF20=0,'Operating Inputs'!$I$168,MIN(EF8,TotalProjectCost))</f>
        <v>77959624.342178479</v>
      </c>
    </row>
    <row r="22" spans="1:136" x14ac:dyDescent="0.3">
      <c r="A22" s="229" t="s">
        <v>2274</v>
      </c>
      <c r="E22" s="229">
        <f>IF(E20=0,((E21*MillRate/100)+'Operating Inputs'!$I$178)/12,SUM(E14:E15))</f>
        <v>3323.8377149353296</v>
      </c>
      <c r="F22" s="229">
        <f>IF(F20=0,((F21*MillRate/100)+'Operating Inputs'!$I$178)/12,SUM(F14:F15))</f>
        <v>3323.8377149353296</v>
      </c>
      <c r="G22" s="229">
        <f>IF(G20=0,((G21*MillRate/100)+'Operating Inputs'!$I$178)/12,SUM(G14:G15))</f>
        <v>3323.8377149353296</v>
      </c>
      <c r="H22" s="229">
        <f>IF(H20=0,((H21*MillRate/100)+'Operating Inputs'!$I$178)/12,SUM(H14:H15))</f>
        <v>3323.8377149353296</v>
      </c>
      <c r="I22" s="229">
        <f>IF(I20=0,((I21*MillRate/100)+'Operating Inputs'!$I$178)/12,SUM(I14:I15))</f>
        <v>3323.8377149353296</v>
      </c>
      <c r="J22" s="229">
        <f>IF(J20=0,((J21*MillRate/100)+'Operating Inputs'!$I$178)/12,SUM(J14:J15))</f>
        <v>3323.8377149353296</v>
      </c>
      <c r="K22" s="229">
        <f>IF(K20=0,((K21*MillRate/100)+'Operating Inputs'!$I$178)/12,SUM(K14:K15))</f>
        <v>3323.8377149353296</v>
      </c>
      <c r="L22" s="229">
        <f>IF(L20=0,((L21*MillRate/100)+'Operating Inputs'!$I$178)/12,SUM(L14:L15))</f>
        <v>3323.8377149353296</v>
      </c>
      <c r="M22" s="229">
        <f>IF(M20=0,((M21*MillRate/100)+'Operating Inputs'!$I$178)/12,SUM(M14:M15))</f>
        <v>3323.8377149353296</v>
      </c>
      <c r="N22" s="229">
        <f>IF(N20=0,((N21*MillRate/100)+'Operating Inputs'!$I$178)/12,SUM(N14:N15))</f>
        <v>3323.8377149353296</v>
      </c>
      <c r="O22" s="229">
        <f>IF(O20=0,((O21*MillRate/100)+'Operating Inputs'!$I$178)/12,SUM(O14:O15))</f>
        <v>3323.8377149353296</v>
      </c>
      <c r="P22" s="229">
        <f>IF(P20=0,((P21*MillRate/100)+'Operating Inputs'!$I$178)/12,SUM(P14:P15))</f>
        <v>3323.8377149353296</v>
      </c>
      <c r="Q22" s="229">
        <f>IF(Q20=0,((Q21*MillRate/100)+'Operating Inputs'!$I$178)/12,SUM(Q14:Q15))</f>
        <v>3323.8377149353296</v>
      </c>
      <c r="R22" s="229">
        <f>IF(R20=0,((R21*MillRate/100)+'Operating Inputs'!$I$178)/12,SUM(R14:R15))</f>
        <v>3323.8377149353296</v>
      </c>
      <c r="S22" s="229">
        <f>IF(S20=0,((S21*MillRate/100)+'Operating Inputs'!$I$178)/12,SUM(S14:S15))</f>
        <v>3323.8377149353296</v>
      </c>
      <c r="T22" s="229">
        <f>IF(T20=0,((T21*MillRate/100)+'Operating Inputs'!$I$178)/12,SUM(T14:T15))</f>
        <v>3323.8377149353296</v>
      </c>
      <c r="U22" s="229">
        <f>IF(U20=0,((U21*MillRate/100)+'Operating Inputs'!$I$178)/12,SUM(U14:U15))</f>
        <v>3323.8377149353296</v>
      </c>
      <c r="V22" s="229">
        <f>IF(V20=0,((V21*MillRate/100)+'Operating Inputs'!$I$178)/12,SUM(V14:V15))</f>
        <v>3323.8377149353296</v>
      </c>
      <c r="W22" s="229">
        <f>IF(W20=0,((W21*MillRate/100)+'Operating Inputs'!$I$178)/12,SUM(W14:W15))</f>
        <v>3323.8377149353296</v>
      </c>
      <c r="X22" s="229">
        <f>IF(X20=0,((X21*MillRate/100)+'Operating Inputs'!$I$178)/12,SUM(X14:X15))</f>
        <v>3323.8377149353296</v>
      </c>
      <c r="Y22" s="229">
        <f>IF(Y20=0,((Y21*MillRate/100)+'Operating Inputs'!$I$178)/12,SUM(Y14:Y15))</f>
        <v>3323.8377149353296</v>
      </c>
      <c r="Z22" s="229">
        <f>IF(Z20=0,((Z21*MillRate/100)+'Operating Inputs'!$I$178)/12,SUM(Z14:Z15))</f>
        <v>3323.8377149353296</v>
      </c>
      <c r="AA22" s="229">
        <f>IF(AA20=0,((AA21*MillRate/100)+'Operating Inputs'!$I$178)/12,SUM(AA14:AA15))</f>
        <v>3323.8377149353296</v>
      </c>
      <c r="AB22" s="229">
        <f ca="1">IF(AB20=0,((AB21*MillRate/100)+'Operating Inputs'!$I$178)/12,SUM(AB14:AB15))</f>
        <v>22487.314155334629</v>
      </c>
      <c r="AC22" s="229">
        <f ca="1">IF(AC20=0,((AC21*MillRate/100)+'Operating Inputs'!$I$178)/12,SUM(AC14:AC15))</f>
        <v>22487.314155334629</v>
      </c>
      <c r="AD22" s="229">
        <f ca="1">IF(AD20=0,((AD21*MillRate/100)+'Operating Inputs'!$I$178)/12,SUM(AD14:AD15))</f>
        <v>22487.314155334629</v>
      </c>
      <c r="AE22" s="229">
        <f ca="1">IF(AE20=0,((AE21*MillRate/100)+'Operating Inputs'!$I$178)/12,SUM(AE14:AE15))</f>
        <v>22487.314155334629</v>
      </c>
      <c r="AF22" s="229">
        <f ca="1">IF(AF20=0,((AF21*MillRate/100)+'Operating Inputs'!$I$178)/12,SUM(AF14:AF15))</f>
        <v>30168.067098264961</v>
      </c>
      <c r="AG22" s="229">
        <f ca="1">IF(AG20=0,((AG21*MillRate/100)+'Operating Inputs'!$I$178)/12,SUM(AG14:AG15))</f>
        <v>30168.067098264961</v>
      </c>
      <c r="AH22" s="229">
        <f ca="1">IF(AH20=0,((AH21*MillRate/100)+'Operating Inputs'!$I$178)/12,SUM(AH14:AH15))</f>
        <v>30168.067098264961</v>
      </c>
      <c r="AI22" s="229">
        <f ca="1">IF(AI20=0,((AI21*MillRate/100)+'Operating Inputs'!$I$178)/12,SUM(AI14:AI15))</f>
        <v>30168.067098264961</v>
      </c>
      <c r="AJ22" s="229">
        <f ca="1">IF(AJ20=0,((AJ21*MillRate/100)+'Operating Inputs'!$I$178)/12,SUM(AJ14:AJ15))</f>
        <v>30168.067098264961</v>
      </c>
      <c r="AK22" s="229">
        <f ca="1">IF(AK20=0,((AK21*MillRate/100)+'Operating Inputs'!$I$178)/12,SUM(AK14:AK15))</f>
        <v>30168.067098264961</v>
      </c>
      <c r="AL22" s="229">
        <f ca="1">IF(AL20=0,((AL21*MillRate/100)+'Operating Inputs'!$I$178)/12,SUM(AL14:AL15))</f>
        <v>30168.067098264961</v>
      </c>
      <c r="AM22" s="229">
        <f ca="1">IF(AM20=0,((AM21*MillRate/100)+'Operating Inputs'!$I$178)/12,SUM(AM14:AM15))</f>
        <v>30168.067098264961</v>
      </c>
      <c r="AN22" s="229">
        <f ca="1">IF(AN20=0,((AN21*MillRate/100)+'Operating Inputs'!$I$178)/12,SUM(AN14:AN15))</f>
        <v>30168.067098264961</v>
      </c>
      <c r="AO22" s="229">
        <f ca="1">IF(AO20=0,((AO21*MillRate/100)+'Operating Inputs'!$I$178)/12,SUM(AO14:AO15))</f>
        <v>30168.067098264961</v>
      </c>
      <c r="AP22" s="229">
        <f ca="1">IF(AP20=0,((AP21*MillRate/100)+'Operating Inputs'!$I$178)/12,SUM(AP14:AP15))</f>
        <v>30168.067098264961</v>
      </c>
      <c r="AQ22" s="229">
        <f ca="1">IF(AQ20=0,((AQ21*MillRate/100)+'Operating Inputs'!$I$178)/12,SUM(AQ14:AQ15))</f>
        <v>30168.067098264961</v>
      </c>
      <c r="AR22" s="229">
        <f ca="1">IF(AR20=0,((AR21*MillRate/100)+'Operating Inputs'!$I$178)/12,SUM(AR14:AR15))</f>
        <v>32646.142444546247</v>
      </c>
      <c r="AS22" s="229">
        <f ca="1">IF(AS20=0,((AS21*MillRate/100)+'Operating Inputs'!$I$178)/12,SUM(AS14:AS15))</f>
        <v>32646.142444546247</v>
      </c>
      <c r="AT22" s="229">
        <f ca="1">IF(AT20=0,((AT21*MillRate/100)+'Operating Inputs'!$I$178)/12,SUM(AT14:AT15))</f>
        <v>32646.142444546247</v>
      </c>
      <c r="AU22" s="229">
        <f ca="1">IF(AU20=0,((AU21*MillRate/100)+'Operating Inputs'!$I$178)/12,SUM(AU14:AU15))</f>
        <v>32646.142444546247</v>
      </c>
      <c r="AV22" s="229">
        <f ca="1">IF(AV20=0,((AV21*MillRate/100)+'Operating Inputs'!$I$178)/12,SUM(AV14:AV15))</f>
        <v>32646.142444546247</v>
      </c>
      <c r="AW22" s="229">
        <f ca="1">IF(AW20=0,((AW21*MillRate/100)+'Operating Inputs'!$I$178)/12,SUM(AW14:AW15))</f>
        <v>32646.142444546247</v>
      </c>
      <c r="AX22" s="229">
        <f ca="1">IF(AX20=0,((AX21*MillRate/100)+'Operating Inputs'!$I$178)/12,SUM(AX14:AX15))</f>
        <v>32646.142444546247</v>
      </c>
      <c r="AY22" s="229">
        <f ca="1">IF(AY20=0,((AY21*MillRate/100)+'Operating Inputs'!$I$178)/12,SUM(AY14:AY15))</f>
        <v>32646.142444546247</v>
      </c>
      <c r="AZ22" s="229">
        <f ca="1">IF(AZ20=0,((AZ21*MillRate/100)+'Operating Inputs'!$I$178)/12,SUM(AZ14:AZ15))</f>
        <v>32646.142444546247</v>
      </c>
      <c r="BA22" s="229">
        <f ca="1">IF(BA20=0,((BA21*MillRate/100)+'Operating Inputs'!$I$178)/12,SUM(BA14:BA15))</f>
        <v>32646.142444546247</v>
      </c>
      <c r="BB22" s="229">
        <f ca="1">IF(BB20=0,((BB21*MillRate/100)+'Operating Inputs'!$I$178)/12,SUM(BB14:BB15))</f>
        <v>32646.142444546247</v>
      </c>
      <c r="BC22" s="229">
        <f ca="1">IF(BC20=0,((BC21*MillRate/100)+'Operating Inputs'!$I$178)/12,SUM(BC14:BC15))</f>
        <v>32646.142444546247</v>
      </c>
      <c r="BD22" s="229">
        <f ca="1">IF(BD20=0,((BD21*MillRate/100)+'Operating Inputs'!$I$178)/12,SUM(BD14:BD15))</f>
        <v>33736.360051215968</v>
      </c>
      <c r="BE22" s="229">
        <f ca="1">IF(BE20=0,((BE21*MillRate/100)+'Operating Inputs'!$I$178)/12,SUM(BE14:BE15))</f>
        <v>33736.360051215968</v>
      </c>
      <c r="BF22" s="229">
        <f ca="1">IF(BF20=0,((BF21*MillRate/100)+'Operating Inputs'!$I$178)/12,SUM(BF14:BF15))</f>
        <v>33736.360051215968</v>
      </c>
      <c r="BG22" s="229">
        <f ca="1">IF(BG20=0,((BG21*MillRate/100)+'Operating Inputs'!$I$178)/12,SUM(BG14:BG15))</f>
        <v>33736.360051215968</v>
      </c>
      <c r="BH22" s="229">
        <f ca="1">IF(BH20=0,((BH21*MillRate/100)+'Operating Inputs'!$I$178)/12,SUM(BH14:BH15))</f>
        <v>33736.360051215968</v>
      </c>
      <c r="BI22" s="229">
        <f ca="1">IF(BI20=0,((BI21*MillRate/100)+'Operating Inputs'!$I$178)/12,SUM(BI14:BI15))</f>
        <v>33736.360051215968</v>
      </c>
      <c r="BJ22" s="229">
        <f ca="1">IF(BJ20=0,((BJ21*MillRate/100)+'Operating Inputs'!$I$178)/12,SUM(BJ14:BJ15))</f>
        <v>33736.360051215968</v>
      </c>
      <c r="BK22" s="229">
        <f ca="1">IF(BK20=0,((BK21*MillRate/100)+'Operating Inputs'!$I$178)/12,SUM(BK14:BK15))</f>
        <v>33736.360051215968</v>
      </c>
      <c r="BL22" s="229">
        <f ca="1">IF(BL20=0,((BL21*MillRate/100)+'Operating Inputs'!$I$178)/12,SUM(BL14:BL15))</f>
        <v>33736.360051215968</v>
      </c>
      <c r="BM22" s="229">
        <f ca="1">IF(BM20=0,((BM21*MillRate/100)+'Operating Inputs'!$I$178)/12,SUM(BM14:BM15))</f>
        <v>33736.360051215968</v>
      </c>
      <c r="BN22" s="229">
        <f ca="1">IF(BN20=0,((BN21*MillRate/100)+'Operating Inputs'!$I$178)/12,SUM(BN14:BN15))</f>
        <v>33736.360051215968</v>
      </c>
      <c r="BO22" s="229">
        <f ca="1">IF(BO20=0,((BO21*MillRate/100)+'Operating Inputs'!$I$178)/12,SUM(BO14:BO15))</f>
        <v>33736.360051215968</v>
      </c>
      <c r="BP22" s="229">
        <f ca="1">IF(BP20=0,((BP21*MillRate/100)+'Operating Inputs'!$I$178)/12,SUM(BP14:BP15))</f>
        <v>34969.231121977369</v>
      </c>
      <c r="BQ22" s="229">
        <f ca="1">IF(BQ20=0,((BQ21*MillRate/100)+'Operating Inputs'!$I$178)/12,SUM(BQ14:BQ15))</f>
        <v>34969.231121977369</v>
      </c>
      <c r="BR22" s="229">
        <f ca="1">IF(BR20=0,((BR21*MillRate/100)+'Operating Inputs'!$I$178)/12,SUM(BR14:BR15))</f>
        <v>34969.231121977369</v>
      </c>
      <c r="BS22" s="229">
        <f ca="1">IF(BS20=0,((BS21*MillRate/100)+'Operating Inputs'!$I$178)/12,SUM(BS14:BS15))</f>
        <v>34969.231121977369</v>
      </c>
      <c r="BT22" s="229">
        <f ca="1">IF(BT20=0,((BT21*MillRate/100)+'Operating Inputs'!$I$178)/12,SUM(BT14:BT15))</f>
        <v>34969.231121977369</v>
      </c>
      <c r="BU22" s="229">
        <f ca="1">IF(BU20=0,((BU21*MillRate/100)+'Operating Inputs'!$I$178)/12,SUM(BU14:BU15))</f>
        <v>34969.231121977369</v>
      </c>
      <c r="BV22" s="229">
        <f ca="1">IF(BV20=0,((BV21*MillRate/100)+'Operating Inputs'!$I$178)/12,SUM(BV14:BV15))</f>
        <v>34969.231121977369</v>
      </c>
      <c r="BW22" s="229">
        <f ca="1">IF(BW20=0,((BW21*MillRate/100)+'Operating Inputs'!$I$178)/12,SUM(BW14:BW15))</f>
        <v>34969.231121977369</v>
      </c>
      <c r="BX22" s="229">
        <f ca="1">IF(BX20=0,((BX21*MillRate/100)+'Operating Inputs'!$I$178)/12,SUM(BX14:BX15))</f>
        <v>34969.231121977369</v>
      </c>
      <c r="BY22" s="229">
        <f ca="1">IF(BY20=0,((BY21*MillRate/100)+'Operating Inputs'!$I$178)/12,SUM(BY14:BY15))</f>
        <v>34969.231121977369</v>
      </c>
      <c r="BZ22" s="229">
        <f ca="1">IF(BZ20=0,((BZ21*MillRate/100)+'Operating Inputs'!$I$178)/12,SUM(BZ14:BZ15))</f>
        <v>34969.231121977369</v>
      </c>
      <c r="CA22" s="229">
        <f ca="1">IF(CA20=0,((CA21*MillRate/100)+'Operating Inputs'!$I$178)/12,SUM(CA14:CA15))</f>
        <v>34969.231121977369</v>
      </c>
      <c r="CB22" s="229">
        <f ca="1">IF(CB20=0,((CB21*MillRate/100)+'Operating Inputs'!$I$178)/12,SUM(CB14:CB15))</f>
        <v>36254.551388136926</v>
      </c>
      <c r="CC22" s="229">
        <f ca="1">IF(CC20=0,((CC21*MillRate/100)+'Operating Inputs'!$I$178)/12,SUM(CC14:CC15))</f>
        <v>36254.551388136926</v>
      </c>
      <c r="CD22" s="229">
        <f ca="1">IF(CD20=0,((CD21*MillRate/100)+'Operating Inputs'!$I$178)/12,SUM(CD14:CD15))</f>
        <v>36254.551388136926</v>
      </c>
      <c r="CE22" s="229">
        <f ca="1">IF(CE20=0,((CE21*MillRate/100)+'Operating Inputs'!$I$178)/12,SUM(CE14:CE15))</f>
        <v>36254.551388136926</v>
      </c>
      <c r="CF22" s="229">
        <f ca="1">IF(CF20=0,((CF21*MillRate/100)+'Operating Inputs'!$I$178)/12,SUM(CF14:CF15))</f>
        <v>36254.551388136926</v>
      </c>
      <c r="CG22" s="229">
        <f ca="1">IF(CG20=0,((CG21*MillRate/100)+'Operating Inputs'!$I$178)/12,SUM(CG14:CG15))</f>
        <v>36254.551388136926</v>
      </c>
      <c r="CH22" s="229">
        <f ca="1">IF(CH20=0,((CH21*MillRate/100)+'Operating Inputs'!$I$178)/12,SUM(CH14:CH15))</f>
        <v>36254.551388136926</v>
      </c>
      <c r="CI22" s="229">
        <f ca="1">IF(CI20=0,((CI21*MillRate/100)+'Operating Inputs'!$I$178)/12,SUM(CI14:CI15))</f>
        <v>36254.551388136926</v>
      </c>
      <c r="CJ22" s="229">
        <f ca="1">IF(CJ20=0,((CJ21*MillRate/100)+'Operating Inputs'!$I$178)/12,SUM(CJ14:CJ15))</f>
        <v>36254.551388136926</v>
      </c>
      <c r="CK22" s="229">
        <f ca="1">IF(CK20=0,((CK21*MillRate/100)+'Operating Inputs'!$I$178)/12,SUM(CK14:CK15))</f>
        <v>36254.551388136926</v>
      </c>
      <c r="CL22" s="229">
        <f ca="1">IF(CL20=0,((CL21*MillRate/100)+'Operating Inputs'!$I$178)/12,SUM(CL14:CL15))</f>
        <v>36254.551388136926</v>
      </c>
      <c r="CM22" s="229">
        <f ca="1">IF(CM20=0,((CM21*MillRate/100)+'Operating Inputs'!$I$178)/12,SUM(CM14:CM15))</f>
        <v>36254.551388136926</v>
      </c>
      <c r="CN22" s="229">
        <f ca="1">IF(CN20=0,((CN21*MillRate/100)+'Operating Inputs'!$I$178)/12,SUM(CN14:CN15))</f>
        <v>37595.221742737049</v>
      </c>
      <c r="CO22" s="229">
        <f ca="1">IF(CO20=0,((CO21*MillRate/100)+'Operating Inputs'!$I$178)/12,SUM(CO14:CO15))</f>
        <v>37595.221742737049</v>
      </c>
      <c r="CP22" s="229">
        <f ca="1">IF(CP20=0,((CP21*MillRate/100)+'Operating Inputs'!$I$178)/12,SUM(CP14:CP15))</f>
        <v>37595.221742737049</v>
      </c>
      <c r="CQ22" s="229">
        <f ca="1">IF(CQ20=0,((CQ21*MillRate/100)+'Operating Inputs'!$I$178)/12,SUM(CQ14:CQ15))</f>
        <v>37595.221742737049</v>
      </c>
      <c r="CR22" s="229">
        <f ca="1">IF(CR20=0,((CR21*MillRate/100)+'Operating Inputs'!$I$178)/12,SUM(CR14:CR15))</f>
        <v>37595.221742737049</v>
      </c>
      <c r="CS22" s="229">
        <f ca="1">IF(CS20=0,((CS21*MillRate/100)+'Operating Inputs'!$I$178)/12,SUM(CS14:CS15))</f>
        <v>37595.221742737049</v>
      </c>
      <c r="CT22" s="229">
        <f ca="1">IF(CT20=0,((CT21*MillRate/100)+'Operating Inputs'!$I$178)/12,SUM(CT14:CT15))</f>
        <v>37595.221742737049</v>
      </c>
      <c r="CU22" s="229">
        <f ca="1">IF(CU20=0,((CU21*MillRate/100)+'Operating Inputs'!$I$178)/12,SUM(CU14:CU15))</f>
        <v>37595.221742737049</v>
      </c>
      <c r="CV22" s="229">
        <f ca="1">IF(CV20=0,((CV21*MillRate/100)+'Operating Inputs'!$I$178)/12,SUM(CV14:CV15))</f>
        <v>37595.221742737049</v>
      </c>
      <c r="CW22" s="229">
        <f ca="1">IF(CW20=0,((CW21*MillRate/100)+'Operating Inputs'!$I$178)/12,SUM(CW14:CW15))</f>
        <v>37595.221742737049</v>
      </c>
      <c r="CX22" s="229">
        <f ca="1">IF(CX20=0,((CX21*MillRate/100)+'Operating Inputs'!$I$178)/12,SUM(CX14:CX15))</f>
        <v>37595.221742737049</v>
      </c>
      <c r="CY22" s="229">
        <f ca="1">IF(CY20=0,((CY21*MillRate/100)+'Operating Inputs'!$I$178)/12,SUM(CY14:CY15))</f>
        <v>37595.221742737049</v>
      </c>
      <c r="CZ22" s="229">
        <f ca="1">IF(CZ20=0,((CZ21*MillRate/100)+'Operating Inputs'!$I$178)/12,SUM(CZ14:CZ15))</f>
        <v>38994.35560428755</v>
      </c>
      <c r="DA22" s="229">
        <f ca="1">IF(DA20=0,((DA21*MillRate/100)+'Operating Inputs'!$I$178)/12,SUM(DA14:DA15))</f>
        <v>38994.35560428755</v>
      </c>
      <c r="DB22" s="229">
        <f ca="1">IF(DB20=0,((DB21*MillRate/100)+'Operating Inputs'!$I$178)/12,SUM(DB14:DB15))</f>
        <v>38994.35560428755</v>
      </c>
      <c r="DC22" s="229">
        <f ca="1">IF(DC20=0,((DC21*MillRate/100)+'Operating Inputs'!$I$178)/12,SUM(DC14:DC15))</f>
        <v>38994.35560428755</v>
      </c>
      <c r="DD22" s="229">
        <f ca="1">IF(DD20=0,((DD21*MillRate/100)+'Operating Inputs'!$I$178)/12,SUM(DD14:DD15))</f>
        <v>38994.35560428755</v>
      </c>
      <c r="DE22" s="229">
        <f ca="1">IF(DE20=0,((DE21*MillRate/100)+'Operating Inputs'!$I$178)/12,SUM(DE14:DE15))</f>
        <v>38994.35560428755</v>
      </c>
      <c r="DF22" s="229">
        <f ca="1">IF(DF20=0,((DF21*MillRate/100)+'Operating Inputs'!$I$178)/12,SUM(DF14:DF15))</f>
        <v>38994.35560428755</v>
      </c>
      <c r="DG22" s="229">
        <f ca="1">IF(DG20=0,((DG21*MillRate/100)+'Operating Inputs'!$I$178)/12,SUM(DG14:DG15))</f>
        <v>38994.35560428755</v>
      </c>
      <c r="DH22" s="229">
        <f ca="1">IF(DH20=0,((DH21*MillRate/100)+'Operating Inputs'!$I$178)/12,SUM(DH14:DH15))</f>
        <v>38994.35560428755</v>
      </c>
      <c r="DI22" s="229">
        <f ca="1">IF(DI20=0,((DI21*MillRate/100)+'Operating Inputs'!$I$178)/12,SUM(DI14:DI15))</f>
        <v>38994.35560428755</v>
      </c>
      <c r="DJ22" s="229">
        <f ca="1">IF(DJ20=0,((DJ21*MillRate/100)+'Operating Inputs'!$I$178)/12,SUM(DJ14:DJ15))</f>
        <v>38994.35560428755</v>
      </c>
      <c r="DK22" s="229">
        <f ca="1">IF(DK20=0,((DK21*MillRate/100)+'Operating Inputs'!$I$178)/12,SUM(DK14:DK15))</f>
        <v>38994.35560428755</v>
      </c>
      <c r="DL22" s="229">
        <f ca="1">IF(DL20=0,((DL21*MillRate/100)+'Operating Inputs'!$I$178)/12,SUM(DL14:DL15))</f>
        <v>40455.297602725092</v>
      </c>
      <c r="DM22" s="229">
        <f ca="1">IF(DM20=0,((DM21*MillRate/100)+'Operating Inputs'!$I$178)/12,SUM(DM14:DM15))</f>
        <v>40455.297602725092</v>
      </c>
      <c r="DN22" s="229">
        <f ca="1">IF(DN20=0,((DN21*MillRate/100)+'Operating Inputs'!$I$178)/12,SUM(DN14:DN15))</f>
        <v>40455.297602725092</v>
      </c>
      <c r="DO22" s="229">
        <f ca="1">IF(DO20=0,((DO21*MillRate/100)+'Operating Inputs'!$I$178)/12,SUM(DO14:DO15))</f>
        <v>40455.297602725092</v>
      </c>
      <c r="DP22" s="229">
        <f ca="1">IF(DP20=0,((DP21*MillRate/100)+'Operating Inputs'!$I$178)/12,SUM(DP14:DP15))</f>
        <v>40455.297602725092</v>
      </c>
      <c r="DQ22" s="229">
        <f ca="1">IF(DQ20=0,((DQ21*MillRate/100)+'Operating Inputs'!$I$178)/12,SUM(DQ14:DQ15))</f>
        <v>40455.297602725092</v>
      </c>
      <c r="DR22" s="229">
        <f ca="1">IF(DR20=0,((DR21*MillRate/100)+'Operating Inputs'!$I$178)/12,SUM(DR14:DR15))</f>
        <v>40455.297602725092</v>
      </c>
      <c r="DS22" s="229">
        <f ca="1">IF(DS20=0,((DS21*MillRate/100)+'Operating Inputs'!$I$178)/12,SUM(DS14:DS15))</f>
        <v>40455.297602725092</v>
      </c>
      <c r="DT22" s="229">
        <f ca="1">IF(DT20=0,((DT21*MillRate/100)+'Operating Inputs'!$I$178)/12,SUM(DT14:DT15))</f>
        <v>40455.297602725092</v>
      </c>
      <c r="DU22" s="229">
        <f ca="1">IF(DU20=0,((DU21*MillRate/100)+'Operating Inputs'!$I$178)/12,SUM(DU14:DU15))</f>
        <v>40455.297602725092</v>
      </c>
      <c r="DV22" s="229">
        <f ca="1">IF(DV20=0,((DV21*MillRate/100)+'Operating Inputs'!$I$178)/12,SUM(DV14:DV15))</f>
        <v>40455.297602725092</v>
      </c>
      <c r="DW22" s="229">
        <f ca="1">IF(DW20=0,((DW21*MillRate/100)+'Operating Inputs'!$I$178)/12,SUM(DW14:DW15))</f>
        <v>40455.297602725092</v>
      </c>
      <c r="DX22" s="229">
        <f ca="1">IF(DX20=0,((DX21*MillRate/100)+'Operating Inputs'!$I$178)/12,SUM(DX14:DX15))</f>
        <v>41981.6440490401</v>
      </c>
      <c r="DY22" s="229">
        <f ca="1">IF(DY20=0,((DY21*MillRate/100)+'Operating Inputs'!$I$178)/12,SUM(DY14:DY15))</f>
        <v>41981.6440490401</v>
      </c>
      <c r="DZ22" s="229">
        <f ca="1">IF(DZ20=0,((DZ21*MillRate/100)+'Operating Inputs'!$I$178)/12,SUM(DZ14:DZ15))</f>
        <v>41981.6440490401</v>
      </c>
      <c r="EA22" s="229">
        <f ca="1">IF(EA20=0,((EA21*MillRate/100)+'Operating Inputs'!$I$178)/12,SUM(EA14:EA15))</f>
        <v>41981.6440490401</v>
      </c>
      <c r="EB22" s="229">
        <f ca="1">IF(EB20=0,((EB21*MillRate/100)+'Operating Inputs'!$I$178)/12,SUM(EB14:EB15))</f>
        <v>41981.6440490401</v>
      </c>
      <c r="EC22" s="229">
        <f ca="1">IF(EC20=0,((EC21*MillRate/100)+'Operating Inputs'!$I$178)/12,SUM(EC14:EC15))</f>
        <v>41981.6440490401</v>
      </c>
      <c r="ED22" s="229">
        <f ca="1">IF(ED20=0,((ED21*MillRate/100)+'Operating Inputs'!$I$178)/12,SUM(ED14:ED15))</f>
        <v>41981.6440490401</v>
      </c>
      <c r="EE22" s="229">
        <f ca="1">IF(EE20=0,((EE21*MillRate/100)+'Operating Inputs'!$I$178)/12,SUM(EE14:EE15))</f>
        <v>41981.6440490401</v>
      </c>
      <c r="EF22" s="229">
        <f ca="1">IF(EF20=0,((EF21*MillRate/100)+'Operating Inputs'!$I$178)/12,SUM(EF14:EF15))</f>
        <v>41981.6440490401</v>
      </c>
    </row>
    <row r="23" spans="1:136" x14ac:dyDescent="0.3">
      <c r="A23" s="229" t="s">
        <v>2281</v>
      </c>
      <c r="E23" s="229">
        <f t="shared" ref="E23:AI23" si="15">IF(E16=0,E22,0)</f>
        <v>3323.8377149353296</v>
      </c>
      <c r="F23" s="229">
        <f t="shared" si="15"/>
        <v>3323.8377149353296</v>
      </c>
      <c r="G23" s="229">
        <f t="shared" si="15"/>
        <v>3323.8377149353296</v>
      </c>
      <c r="H23" s="229">
        <f t="shared" si="15"/>
        <v>3323.8377149353296</v>
      </c>
      <c r="I23" s="229">
        <f t="shared" si="15"/>
        <v>3323.8377149353296</v>
      </c>
      <c r="J23" s="229">
        <f t="shared" si="15"/>
        <v>3323.8377149353296</v>
      </c>
      <c r="K23" s="229">
        <f t="shared" si="15"/>
        <v>3323.8377149353296</v>
      </c>
      <c r="L23" s="229">
        <f t="shared" si="15"/>
        <v>3323.8377149353296</v>
      </c>
      <c r="M23" s="229">
        <f t="shared" si="15"/>
        <v>3323.8377149353296</v>
      </c>
      <c r="N23" s="229">
        <f t="shared" si="15"/>
        <v>3323.8377149353296</v>
      </c>
      <c r="O23" s="229">
        <f t="shared" si="15"/>
        <v>3323.8377149353296</v>
      </c>
      <c r="P23" s="229">
        <f t="shared" si="15"/>
        <v>3323.8377149353296</v>
      </c>
      <c r="Q23" s="229">
        <f t="shared" si="15"/>
        <v>3323.8377149353296</v>
      </c>
      <c r="R23" s="229">
        <f t="shared" si="15"/>
        <v>0</v>
      </c>
      <c r="S23" s="229">
        <f t="shared" si="15"/>
        <v>0</v>
      </c>
      <c r="T23" s="229">
        <f t="shared" si="15"/>
        <v>0</v>
      </c>
      <c r="U23" s="229">
        <f t="shared" si="15"/>
        <v>0</v>
      </c>
      <c r="V23" s="229">
        <f t="shared" si="15"/>
        <v>0</v>
      </c>
      <c r="W23" s="229">
        <f t="shared" si="15"/>
        <v>0</v>
      </c>
      <c r="X23" s="229">
        <f t="shared" si="15"/>
        <v>0</v>
      </c>
      <c r="Y23" s="229">
        <f t="shared" si="15"/>
        <v>0</v>
      </c>
      <c r="Z23" s="229">
        <f t="shared" si="15"/>
        <v>0</v>
      </c>
      <c r="AA23" s="229">
        <f t="shared" si="15"/>
        <v>0</v>
      </c>
      <c r="AB23" s="229">
        <f t="shared" si="15"/>
        <v>0</v>
      </c>
      <c r="AC23" s="229">
        <f t="shared" si="15"/>
        <v>0</v>
      </c>
      <c r="AD23" s="229">
        <f t="shared" si="15"/>
        <v>0</v>
      </c>
      <c r="AE23" s="229">
        <f t="shared" si="15"/>
        <v>0</v>
      </c>
      <c r="AF23" s="229">
        <f t="shared" si="15"/>
        <v>0</v>
      </c>
      <c r="AG23" s="229">
        <f t="shared" si="15"/>
        <v>0</v>
      </c>
      <c r="AH23" s="229">
        <f t="shared" si="15"/>
        <v>0</v>
      </c>
      <c r="AI23" s="229">
        <f t="shared" si="15"/>
        <v>0</v>
      </c>
      <c r="AJ23" s="229">
        <f t="shared" ref="AJ23:BO23" si="16">IF(AJ16=0,AJ22,0)</f>
        <v>0</v>
      </c>
      <c r="AK23" s="229">
        <f t="shared" si="16"/>
        <v>0</v>
      </c>
      <c r="AL23" s="229">
        <f t="shared" si="16"/>
        <v>0</v>
      </c>
      <c r="AM23" s="229">
        <f t="shared" si="16"/>
        <v>0</v>
      </c>
      <c r="AN23" s="229">
        <f t="shared" si="16"/>
        <v>0</v>
      </c>
      <c r="AO23" s="229">
        <f t="shared" si="16"/>
        <v>0</v>
      </c>
      <c r="AP23" s="229">
        <f t="shared" si="16"/>
        <v>0</v>
      </c>
      <c r="AQ23" s="229">
        <f t="shared" si="16"/>
        <v>0</v>
      </c>
      <c r="AR23" s="229">
        <f t="shared" si="16"/>
        <v>0</v>
      </c>
      <c r="AS23" s="229">
        <f t="shared" si="16"/>
        <v>0</v>
      </c>
      <c r="AT23" s="229">
        <f t="shared" si="16"/>
        <v>0</v>
      </c>
      <c r="AU23" s="229">
        <f t="shared" si="16"/>
        <v>0</v>
      </c>
      <c r="AV23" s="229">
        <f t="shared" si="16"/>
        <v>0</v>
      </c>
      <c r="AW23" s="229">
        <f t="shared" si="16"/>
        <v>0</v>
      </c>
      <c r="AX23" s="229">
        <f t="shared" si="16"/>
        <v>0</v>
      </c>
      <c r="AY23" s="229">
        <f t="shared" si="16"/>
        <v>0</v>
      </c>
      <c r="AZ23" s="229">
        <f t="shared" si="16"/>
        <v>0</v>
      </c>
      <c r="BA23" s="229">
        <f t="shared" si="16"/>
        <v>0</v>
      </c>
      <c r="BB23" s="229">
        <f t="shared" si="16"/>
        <v>0</v>
      </c>
      <c r="BC23" s="229">
        <f t="shared" si="16"/>
        <v>0</v>
      </c>
      <c r="BD23" s="229">
        <f t="shared" si="16"/>
        <v>0</v>
      </c>
      <c r="BE23" s="229">
        <f t="shared" si="16"/>
        <v>0</v>
      </c>
      <c r="BF23" s="229">
        <f t="shared" si="16"/>
        <v>0</v>
      </c>
      <c r="BG23" s="229">
        <f t="shared" si="16"/>
        <v>0</v>
      </c>
      <c r="BH23" s="229">
        <f t="shared" si="16"/>
        <v>0</v>
      </c>
      <c r="BI23" s="229">
        <f t="shared" si="16"/>
        <v>0</v>
      </c>
      <c r="BJ23" s="229">
        <f t="shared" si="16"/>
        <v>0</v>
      </c>
      <c r="BK23" s="229">
        <f t="shared" si="16"/>
        <v>0</v>
      </c>
      <c r="BL23" s="229">
        <f t="shared" si="16"/>
        <v>0</v>
      </c>
      <c r="BM23" s="229">
        <f t="shared" si="16"/>
        <v>0</v>
      </c>
      <c r="BN23" s="229">
        <f t="shared" si="16"/>
        <v>0</v>
      </c>
      <c r="BO23" s="229">
        <f t="shared" si="16"/>
        <v>0</v>
      </c>
      <c r="BP23" s="229">
        <f t="shared" ref="BP23:CU23" si="17">IF(BP16=0,BP22,0)</f>
        <v>0</v>
      </c>
      <c r="BQ23" s="229">
        <f t="shared" si="17"/>
        <v>0</v>
      </c>
      <c r="BR23" s="229">
        <f t="shared" si="17"/>
        <v>0</v>
      </c>
      <c r="BS23" s="229">
        <f t="shared" si="17"/>
        <v>0</v>
      </c>
      <c r="BT23" s="229">
        <f t="shared" si="17"/>
        <v>0</v>
      </c>
      <c r="BU23" s="229">
        <f t="shared" si="17"/>
        <v>0</v>
      </c>
      <c r="BV23" s="229">
        <f t="shared" si="17"/>
        <v>0</v>
      </c>
      <c r="BW23" s="229">
        <f t="shared" si="17"/>
        <v>0</v>
      </c>
      <c r="BX23" s="229">
        <f t="shared" si="17"/>
        <v>0</v>
      </c>
      <c r="BY23" s="229">
        <f t="shared" si="17"/>
        <v>0</v>
      </c>
      <c r="BZ23" s="229">
        <f t="shared" si="17"/>
        <v>0</v>
      </c>
      <c r="CA23" s="229">
        <f t="shared" si="17"/>
        <v>0</v>
      </c>
      <c r="CB23" s="229">
        <f t="shared" si="17"/>
        <v>0</v>
      </c>
      <c r="CC23" s="229">
        <f t="shared" si="17"/>
        <v>0</v>
      </c>
      <c r="CD23" s="229">
        <f t="shared" si="17"/>
        <v>0</v>
      </c>
      <c r="CE23" s="229">
        <f t="shared" si="17"/>
        <v>0</v>
      </c>
      <c r="CF23" s="229">
        <f t="shared" si="17"/>
        <v>0</v>
      </c>
      <c r="CG23" s="229">
        <f t="shared" si="17"/>
        <v>0</v>
      </c>
      <c r="CH23" s="229">
        <f t="shared" si="17"/>
        <v>0</v>
      </c>
      <c r="CI23" s="229">
        <f t="shared" si="17"/>
        <v>0</v>
      </c>
      <c r="CJ23" s="229">
        <f t="shared" si="17"/>
        <v>0</v>
      </c>
      <c r="CK23" s="229">
        <f t="shared" si="17"/>
        <v>0</v>
      </c>
      <c r="CL23" s="229">
        <f t="shared" si="17"/>
        <v>0</v>
      </c>
      <c r="CM23" s="229">
        <f t="shared" si="17"/>
        <v>0</v>
      </c>
      <c r="CN23" s="229">
        <f t="shared" si="17"/>
        <v>0</v>
      </c>
      <c r="CO23" s="229">
        <f t="shared" si="17"/>
        <v>0</v>
      </c>
      <c r="CP23" s="229">
        <f t="shared" si="17"/>
        <v>0</v>
      </c>
      <c r="CQ23" s="229">
        <f t="shared" si="17"/>
        <v>0</v>
      </c>
      <c r="CR23" s="229">
        <f t="shared" si="17"/>
        <v>0</v>
      </c>
      <c r="CS23" s="229">
        <f t="shared" si="17"/>
        <v>0</v>
      </c>
      <c r="CT23" s="229">
        <f t="shared" si="17"/>
        <v>0</v>
      </c>
      <c r="CU23" s="229">
        <f t="shared" si="17"/>
        <v>0</v>
      </c>
      <c r="CV23" s="229">
        <f t="shared" ref="CV23:EA23" si="18">IF(CV16=0,CV22,0)</f>
        <v>0</v>
      </c>
      <c r="CW23" s="229">
        <f t="shared" si="18"/>
        <v>0</v>
      </c>
      <c r="CX23" s="229">
        <f t="shared" si="18"/>
        <v>0</v>
      </c>
      <c r="CY23" s="229">
        <f t="shared" si="18"/>
        <v>0</v>
      </c>
      <c r="CZ23" s="229">
        <f t="shared" si="18"/>
        <v>0</v>
      </c>
      <c r="DA23" s="229">
        <f t="shared" si="18"/>
        <v>0</v>
      </c>
      <c r="DB23" s="229">
        <f t="shared" si="18"/>
        <v>0</v>
      </c>
      <c r="DC23" s="229">
        <f t="shared" si="18"/>
        <v>0</v>
      </c>
      <c r="DD23" s="229">
        <f t="shared" si="18"/>
        <v>0</v>
      </c>
      <c r="DE23" s="229">
        <f t="shared" si="18"/>
        <v>0</v>
      </c>
      <c r="DF23" s="229">
        <f t="shared" si="18"/>
        <v>0</v>
      </c>
      <c r="DG23" s="229">
        <f t="shared" si="18"/>
        <v>0</v>
      </c>
      <c r="DH23" s="229">
        <f t="shared" si="18"/>
        <v>0</v>
      </c>
      <c r="DI23" s="229">
        <f t="shared" si="18"/>
        <v>0</v>
      </c>
      <c r="DJ23" s="229">
        <f t="shared" si="18"/>
        <v>0</v>
      </c>
      <c r="DK23" s="229">
        <f t="shared" si="18"/>
        <v>0</v>
      </c>
      <c r="DL23" s="229">
        <f t="shared" si="18"/>
        <v>0</v>
      </c>
      <c r="DM23" s="229">
        <f t="shared" si="18"/>
        <v>0</v>
      </c>
      <c r="DN23" s="229">
        <f t="shared" si="18"/>
        <v>0</v>
      </c>
      <c r="DO23" s="229">
        <f t="shared" si="18"/>
        <v>0</v>
      </c>
      <c r="DP23" s="229">
        <f t="shared" si="18"/>
        <v>0</v>
      </c>
      <c r="DQ23" s="229">
        <f t="shared" si="18"/>
        <v>0</v>
      </c>
      <c r="DR23" s="229">
        <f t="shared" si="18"/>
        <v>0</v>
      </c>
      <c r="DS23" s="229">
        <f t="shared" si="18"/>
        <v>0</v>
      </c>
      <c r="DT23" s="229">
        <f t="shared" si="18"/>
        <v>0</v>
      </c>
      <c r="DU23" s="229">
        <f t="shared" si="18"/>
        <v>0</v>
      </c>
      <c r="DV23" s="229">
        <f t="shared" si="18"/>
        <v>0</v>
      </c>
      <c r="DW23" s="229">
        <f t="shared" si="18"/>
        <v>0</v>
      </c>
      <c r="DX23" s="229">
        <f t="shared" si="18"/>
        <v>0</v>
      </c>
      <c r="DY23" s="229">
        <f t="shared" si="18"/>
        <v>0</v>
      </c>
      <c r="DZ23" s="229">
        <f t="shared" si="18"/>
        <v>0</v>
      </c>
      <c r="EA23" s="229">
        <f t="shared" si="18"/>
        <v>0</v>
      </c>
      <c r="EB23" s="229">
        <f>IF(EB16=0,EB22,0)</f>
        <v>0</v>
      </c>
      <c r="EC23" s="229">
        <f>IF(EC16=0,EC22,0)</f>
        <v>0</v>
      </c>
      <c r="ED23" s="229">
        <f>IF(ED16=0,ED22,0)</f>
        <v>0</v>
      </c>
      <c r="EE23" s="229">
        <f>IF(EE16=0,EE22,0)</f>
        <v>0</v>
      </c>
      <c r="EF23" s="229">
        <f>IF(EF16=0,EF22,0)</f>
        <v>0</v>
      </c>
    </row>
    <row r="24" spans="1:136" x14ac:dyDescent="0.3">
      <c r="A24" s="229" t="s">
        <v>2282</v>
      </c>
      <c r="E24" s="229">
        <f t="shared" ref="E24:AI24" si="19">E16*E22</f>
        <v>0</v>
      </c>
      <c r="F24" s="229">
        <f t="shared" si="19"/>
        <v>0</v>
      </c>
      <c r="G24" s="229">
        <f t="shared" si="19"/>
        <v>0</v>
      </c>
      <c r="H24" s="229">
        <f t="shared" si="19"/>
        <v>0</v>
      </c>
      <c r="I24" s="229">
        <f t="shared" si="19"/>
        <v>0</v>
      </c>
      <c r="J24" s="229">
        <f t="shared" si="19"/>
        <v>0</v>
      </c>
      <c r="K24" s="229">
        <f t="shared" si="19"/>
        <v>0</v>
      </c>
      <c r="L24" s="229">
        <f t="shared" si="19"/>
        <v>0</v>
      </c>
      <c r="M24" s="229">
        <f t="shared" si="19"/>
        <v>0</v>
      </c>
      <c r="N24" s="229">
        <f t="shared" si="19"/>
        <v>0</v>
      </c>
      <c r="O24" s="229">
        <f t="shared" si="19"/>
        <v>0</v>
      </c>
      <c r="P24" s="229">
        <f t="shared" si="19"/>
        <v>0</v>
      </c>
      <c r="Q24" s="229">
        <f t="shared" si="19"/>
        <v>0</v>
      </c>
      <c r="R24" s="229">
        <f t="shared" si="19"/>
        <v>3323.8377149353296</v>
      </c>
      <c r="S24" s="229">
        <f t="shared" si="19"/>
        <v>3323.8377149353296</v>
      </c>
      <c r="T24" s="229">
        <f t="shared" si="19"/>
        <v>3323.8377149353296</v>
      </c>
      <c r="U24" s="229">
        <f t="shared" si="19"/>
        <v>3323.8377149353296</v>
      </c>
      <c r="V24" s="229">
        <f t="shared" si="19"/>
        <v>3323.8377149353296</v>
      </c>
      <c r="W24" s="229">
        <f t="shared" si="19"/>
        <v>3323.8377149353296</v>
      </c>
      <c r="X24" s="229">
        <f t="shared" si="19"/>
        <v>3323.8377149353296</v>
      </c>
      <c r="Y24" s="229">
        <f t="shared" si="19"/>
        <v>3323.8377149353296</v>
      </c>
      <c r="Z24" s="229">
        <f t="shared" si="19"/>
        <v>3323.8377149353296</v>
      </c>
      <c r="AA24" s="229">
        <f t="shared" si="19"/>
        <v>3323.8377149353296</v>
      </c>
      <c r="AB24" s="229">
        <f t="shared" ca="1" si="19"/>
        <v>22487.314155334629</v>
      </c>
      <c r="AC24" s="229">
        <f t="shared" ca="1" si="19"/>
        <v>22487.314155334629</v>
      </c>
      <c r="AD24" s="229">
        <f t="shared" ca="1" si="19"/>
        <v>22487.314155334629</v>
      </c>
      <c r="AE24" s="229">
        <f t="shared" ca="1" si="19"/>
        <v>22487.314155334629</v>
      </c>
      <c r="AF24" s="229">
        <f t="shared" ca="1" si="19"/>
        <v>30168.067098264961</v>
      </c>
      <c r="AG24" s="229">
        <f t="shared" ca="1" si="19"/>
        <v>30168.067098264961</v>
      </c>
      <c r="AH24" s="229">
        <f t="shared" ca="1" si="19"/>
        <v>30168.067098264961</v>
      </c>
      <c r="AI24" s="229">
        <f t="shared" ca="1" si="19"/>
        <v>30168.067098264961</v>
      </c>
      <c r="AJ24" s="229">
        <f t="shared" ref="AJ24:BO24" ca="1" si="20">AJ16*AJ22</f>
        <v>30168.067098264961</v>
      </c>
      <c r="AK24" s="229">
        <f t="shared" ca="1" si="20"/>
        <v>30168.067098264961</v>
      </c>
      <c r="AL24" s="229">
        <f t="shared" ca="1" si="20"/>
        <v>30168.067098264961</v>
      </c>
      <c r="AM24" s="229">
        <f t="shared" ca="1" si="20"/>
        <v>30168.067098264961</v>
      </c>
      <c r="AN24" s="229">
        <f t="shared" ca="1" si="20"/>
        <v>30168.067098264961</v>
      </c>
      <c r="AO24" s="229">
        <f t="shared" ca="1" si="20"/>
        <v>30168.067098264961</v>
      </c>
      <c r="AP24" s="229">
        <f t="shared" ca="1" si="20"/>
        <v>30168.067098264961</v>
      </c>
      <c r="AQ24" s="229">
        <f t="shared" ca="1" si="20"/>
        <v>30168.067098264961</v>
      </c>
      <c r="AR24" s="229">
        <f t="shared" ca="1" si="20"/>
        <v>32646.142444546247</v>
      </c>
      <c r="AS24" s="229">
        <f t="shared" ca="1" si="20"/>
        <v>32646.142444546247</v>
      </c>
      <c r="AT24" s="229">
        <f t="shared" ca="1" si="20"/>
        <v>32646.142444546247</v>
      </c>
      <c r="AU24" s="229">
        <f t="shared" ca="1" si="20"/>
        <v>32646.142444546247</v>
      </c>
      <c r="AV24" s="229">
        <f t="shared" ca="1" si="20"/>
        <v>32646.142444546247</v>
      </c>
      <c r="AW24" s="229">
        <f t="shared" ca="1" si="20"/>
        <v>32646.142444546247</v>
      </c>
      <c r="AX24" s="229">
        <f t="shared" ca="1" si="20"/>
        <v>32646.142444546247</v>
      </c>
      <c r="AY24" s="229">
        <f t="shared" ca="1" si="20"/>
        <v>32646.142444546247</v>
      </c>
      <c r="AZ24" s="229">
        <f t="shared" ca="1" si="20"/>
        <v>32646.142444546247</v>
      </c>
      <c r="BA24" s="229">
        <f t="shared" ca="1" si="20"/>
        <v>32646.142444546247</v>
      </c>
      <c r="BB24" s="229">
        <f t="shared" ca="1" si="20"/>
        <v>32646.142444546247</v>
      </c>
      <c r="BC24" s="229">
        <f t="shared" ca="1" si="20"/>
        <v>32646.142444546247</v>
      </c>
      <c r="BD24" s="229">
        <f t="shared" ca="1" si="20"/>
        <v>33736.360051215968</v>
      </c>
      <c r="BE24" s="229">
        <f t="shared" ca="1" si="20"/>
        <v>33736.360051215968</v>
      </c>
      <c r="BF24" s="229">
        <f t="shared" ca="1" si="20"/>
        <v>33736.360051215968</v>
      </c>
      <c r="BG24" s="229">
        <f t="shared" ca="1" si="20"/>
        <v>33736.360051215968</v>
      </c>
      <c r="BH24" s="229">
        <f t="shared" ca="1" si="20"/>
        <v>33736.360051215968</v>
      </c>
      <c r="BI24" s="229">
        <f t="shared" ca="1" si="20"/>
        <v>33736.360051215968</v>
      </c>
      <c r="BJ24" s="229">
        <f t="shared" ca="1" si="20"/>
        <v>33736.360051215968</v>
      </c>
      <c r="BK24" s="229">
        <f t="shared" ca="1" si="20"/>
        <v>33736.360051215968</v>
      </c>
      <c r="BL24" s="229">
        <f t="shared" ca="1" si="20"/>
        <v>33736.360051215968</v>
      </c>
      <c r="BM24" s="229">
        <f t="shared" ca="1" si="20"/>
        <v>33736.360051215968</v>
      </c>
      <c r="BN24" s="229">
        <f t="shared" ca="1" si="20"/>
        <v>33736.360051215968</v>
      </c>
      <c r="BO24" s="229">
        <f t="shared" ca="1" si="20"/>
        <v>33736.360051215968</v>
      </c>
      <c r="BP24" s="229">
        <f t="shared" ref="BP24:CU24" ca="1" si="21">BP16*BP22</f>
        <v>34969.231121977369</v>
      </c>
      <c r="BQ24" s="229">
        <f t="shared" ca="1" si="21"/>
        <v>34969.231121977369</v>
      </c>
      <c r="BR24" s="229">
        <f t="shared" ca="1" si="21"/>
        <v>34969.231121977369</v>
      </c>
      <c r="BS24" s="229">
        <f t="shared" ca="1" si="21"/>
        <v>34969.231121977369</v>
      </c>
      <c r="BT24" s="229">
        <f t="shared" ca="1" si="21"/>
        <v>34969.231121977369</v>
      </c>
      <c r="BU24" s="229">
        <f t="shared" ca="1" si="21"/>
        <v>34969.231121977369</v>
      </c>
      <c r="BV24" s="229">
        <f t="shared" ca="1" si="21"/>
        <v>34969.231121977369</v>
      </c>
      <c r="BW24" s="229">
        <f t="shared" ca="1" si="21"/>
        <v>34969.231121977369</v>
      </c>
      <c r="BX24" s="229">
        <f t="shared" ca="1" si="21"/>
        <v>34969.231121977369</v>
      </c>
      <c r="BY24" s="229">
        <f t="shared" ca="1" si="21"/>
        <v>34969.231121977369</v>
      </c>
      <c r="BZ24" s="229">
        <f t="shared" ca="1" si="21"/>
        <v>34969.231121977369</v>
      </c>
      <c r="CA24" s="229">
        <f t="shared" ca="1" si="21"/>
        <v>34969.231121977369</v>
      </c>
      <c r="CB24" s="229">
        <f t="shared" ca="1" si="21"/>
        <v>36254.551388136926</v>
      </c>
      <c r="CC24" s="229">
        <f t="shared" ca="1" si="21"/>
        <v>36254.551388136926</v>
      </c>
      <c r="CD24" s="229">
        <f t="shared" ca="1" si="21"/>
        <v>36254.551388136926</v>
      </c>
      <c r="CE24" s="229">
        <f t="shared" ca="1" si="21"/>
        <v>36254.551388136926</v>
      </c>
      <c r="CF24" s="229">
        <f t="shared" ca="1" si="21"/>
        <v>36254.551388136926</v>
      </c>
      <c r="CG24" s="229">
        <f t="shared" ca="1" si="21"/>
        <v>36254.551388136926</v>
      </c>
      <c r="CH24" s="229">
        <f t="shared" ca="1" si="21"/>
        <v>36254.551388136926</v>
      </c>
      <c r="CI24" s="229">
        <f t="shared" ca="1" si="21"/>
        <v>36254.551388136926</v>
      </c>
      <c r="CJ24" s="229">
        <f t="shared" ca="1" si="21"/>
        <v>36254.551388136926</v>
      </c>
      <c r="CK24" s="229">
        <f t="shared" ca="1" si="21"/>
        <v>36254.551388136926</v>
      </c>
      <c r="CL24" s="229">
        <f t="shared" ca="1" si="21"/>
        <v>36254.551388136926</v>
      </c>
      <c r="CM24" s="229">
        <f t="shared" ca="1" si="21"/>
        <v>36254.551388136926</v>
      </c>
      <c r="CN24" s="229">
        <f t="shared" ca="1" si="21"/>
        <v>37595.221742737049</v>
      </c>
      <c r="CO24" s="229">
        <f t="shared" ca="1" si="21"/>
        <v>37595.221742737049</v>
      </c>
      <c r="CP24" s="229">
        <f t="shared" ca="1" si="21"/>
        <v>37595.221742737049</v>
      </c>
      <c r="CQ24" s="229">
        <f t="shared" ca="1" si="21"/>
        <v>37595.221742737049</v>
      </c>
      <c r="CR24" s="229">
        <f t="shared" ca="1" si="21"/>
        <v>37595.221742737049</v>
      </c>
      <c r="CS24" s="229">
        <f t="shared" ca="1" si="21"/>
        <v>37595.221742737049</v>
      </c>
      <c r="CT24" s="229">
        <f t="shared" ca="1" si="21"/>
        <v>37595.221742737049</v>
      </c>
      <c r="CU24" s="229">
        <f t="shared" ca="1" si="21"/>
        <v>37595.221742737049</v>
      </c>
      <c r="CV24" s="229">
        <f t="shared" ref="CV24:EF24" ca="1" si="22">CV16*CV22</f>
        <v>37595.221742737049</v>
      </c>
      <c r="CW24" s="229">
        <f t="shared" ca="1" si="22"/>
        <v>37595.221742737049</v>
      </c>
      <c r="CX24" s="229">
        <f t="shared" ca="1" si="22"/>
        <v>37595.221742737049</v>
      </c>
      <c r="CY24" s="229">
        <f t="shared" ca="1" si="22"/>
        <v>37595.221742737049</v>
      </c>
      <c r="CZ24" s="229">
        <f t="shared" ca="1" si="22"/>
        <v>38994.35560428755</v>
      </c>
      <c r="DA24" s="229">
        <f t="shared" ca="1" si="22"/>
        <v>38994.35560428755</v>
      </c>
      <c r="DB24" s="229">
        <f t="shared" ca="1" si="22"/>
        <v>38994.35560428755</v>
      </c>
      <c r="DC24" s="229">
        <f t="shared" ca="1" si="22"/>
        <v>38994.35560428755</v>
      </c>
      <c r="DD24" s="229">
        <f t="shared" ca="1" si="22"/>
        <v>38994.35560428755</v>
      </c>
      <c r="DE24" s="229">
        <f t="shared" ca="1" si="22"/>
        <v>38994.35560428755</v>
      </c>
      <c r="DF24" s="229">
        <f t="shared" ca="1" si="22"/>
        <v>38994.35560428755</v>
      </c>
      <c r="DG24" s="229">
        <f t="shared" ca="1" si="22"/>
        <v>38994.35560428755</v>
      </c>
      <c r="DH24" s="229">
        <f t="shared" ca="1" si="22"/>
        <v>38994.35560428755</v>
      </c>
      <c r="DI24" s="229">
        <f t="shared" ca="1" si="22"/>
        <v>38994.35560428755</v>
      </c>
      <c r="DJ24" s="229">
        <f t="shared" ca="1" si="22"/>
        <v>38994.35560428755</v>
      </c>
      <c r="DK24" s="229">
        <f t="shared" ca="1" si="22"/>
        <v>38994.35560428755</v>
      </c>
      <c r="DL24" s="229">
        <f t="shared" ca="1" si="22"/>
        <v>40455.297602725092</v>
      </c>
      <c r="DM24" s="229">
        <f t="shared" ca="1" si="22"/>
        <v>40455.297602725092</v>
      </c>
      <c r="DN24" s="229">
        <f t="shared" ca="1" si="22"/>
        <v>40455.297602725092</v>
      </c>
      <c r="DO24" s="229">
        <f t="shared" ca="1" si="22"/>
        <v>40455.297602725092</v>
      </c>
      <c r="DP24" s="229">
        <f t="shared" ca="1" si="22"/>
        <v>40455.297602725092</v>
      </c>
      <c r="DQ24" s="229">
        <f t="shared" ca="1" si="22"/>
        <v>40455.297602725092</v>
      </c>
      <c r="DR24" s="229">
        <f t="shared" ca="1" si="22"/>
        <v>40455.297602725092</v>
      </c>
      <c r="DS24" s="229">
        <f t="shared" ca="1" si="22"/>
        <v>40455.297602725092</v>
      </c>
      <c r="DT24" s="229">
        <f t="shared" ca="1" si="22"/>
        <v>40455.297602725092</v>
      </c>
      <c r="DU24" s="229">
        <f t="shared" ca="1" si="22"/>
        <v>40455.297602725092</v>
      </c>
      <c r="DV24" s="229">
        <f t="shared" ca="1" si="22"/>
        <v>40455.297602725092</v>
      </c>
      <c r="DW24" s="229">
        <f t="shared" ca="1" si="22"/>
        <v>40455.297602725092</v>
      </c>
      <c r="DX24" s="229">
        <f t="shared" ca="1" si="22"/>
        <v>41981.6440490401</v>
      </c>
      <c r="DY24" s="229">
        <f t="shared" ca="1" si="22"/>
        <v>41981.6440490401</v>
      </c>
      <c r="DZ24" s="229">
        <f t="shared" ca="1" si="22"/>
        <v>41981.6440490401</v>
      </c>
      <c r="EA24" s="229">
        <f t="shared" ca="1" si="22"/>
        <v>41981.6440490401</v>
      </c>
      <c r="EB24" s="229">
        <f t="shared" ca="1" si="22"/>
        <v>41981.6440490401</v>
      </c>
      <c r="EC24" s="229">
        <f t="shared" ca="1" si="22"/>
        <v>41981.6440490401</v>
      </c>
      <c r="ED24" s="229">
        <f t="shared" ca="1" si="22"/>
        <v>41981.6440490401</v>
      </c>
      <c r="EE24" s="229">
        <f t="shared" ca="1" si="22"/>
        <v>41981.6440490401</v>
      </c>
      <c r="EF24" s="229">
        <f t="shared" ca="1" si="22"/>
        <v>41981.6440490401</v>
      </c>
    </row>
    <row r="26" spans="1:136" x14ac:dyDescent="0.3">
      <c r="K26" s="229">
        <f ca="1">E14</f>
        <v>3331.3377149353296</v>
      </c>
      <c r="L26" s="229">
        <f t="shared" ref="L26:Y26" ca="1" si="23">F14</f>
        <v>3331.3377149353296</v>
      </c>
      <c r="M26" s="229">
        <f t="shared" ca="1" si="23"/>
        <v>3331.3377149353296</v>
      </c>
      <c r="N26" s="229">
        <f t="shared" ca="1" si="23"/>
        <v>7334.1378649844455</v>
      </c>
      <c r="O26" s="229">
        <f t="shared" ca="1" si="23"/>
        <v>7334.1378649844455</v>
      </c>
      <c r="P26" s="229">
        <f t="shared" ca="1" si="23"/>
        <v>7334.1378649844455</v>
      </c>
      <c r="Q26" s="229">
        <f t="shared" ca="1" si="23"/>
        <v>7334.1378649844455</v>
      </c>
      <c r="R26" s="229">
        <f t="shared" ca="1" si="23"/>
        <v>7334.1378649844455</v>
      </c>
      <c r="S26" s="229">
        <f t="shared" ca="1" si="23"/>
        <v>7334.1378649844455</v>
      </c>
      <c r="T26" s="229">
        <f t="shared" ca="1" si="23"/>
        <v>7334.1378649844455</v>
      </c>
      <c r="U26" s="229">
        <f t="shared" ca="1" si="23"/>
        <v>7334.1378649844455</v>
      </c>
      <c r="V26" s="229">
        <f t="shared" ca="1" si="23"/>
        <v>7334.1378649844455</v>
      </c>
      <c r="W26" s="229">
        <f t="shared" ca="1" si="23"/>
        <v>7334.1378649844455</v>
      </c>
      <c r="X26" s="229">
        <f t="shared" ca="1" si="23"/>
        <v>7334.1378649844455</v>
      </c>
      <c r="Y26" s="229">
        <f t="shared" ca="1" si="23"/>
        <v>7334.1378649844455</v>
      </c>
    </row>
    <row r="27" spans="1:136" x14ac:dyDescent="0.3">
      <c r="E27" s="198"/>
    </row>
    <row r="28" spans="1:136" x14ac:dyDescent="0.3">
      <c r="Q28" s="229">
        <f t="shared" ref="Q28:V28" ca="1" si="24">Q14-Q26</f>
        <v>0</v>
      </c>
      <c r="R28" s="229">
        <f t="shared" ca="1" si="24"/>
        <v>0</v>
      </c>
      <c r="S28" s="229">
        <f t="shared" ca="1" si="24"/>
        <v>0</v>
      </c>
      <c r="T28" s="229">
        <f t="shared" ca="1" si="24"/>
        <v>15153.176290350184</v>
      </c>
      <c r="U28" s="229">
        <f t="shared" ca="1" si="24"/>
        <v>15153.176290350184</v>
      </c>
      <c r="V28" s="229">
        <f t="shared" ca="1" si="24"/>
        <v>15153.176290350184</v>
      </c>
    </row>
  </sheetData>
  <sheetProtection algorithmName="SHA-512" hashValue="EszTn77+E6kFjFPv2QY89Uzg8G23RxTcXPU/W2IkzCPzoYQ2SCMVMq69mZz5I6Fa4/ef+QqCSz6XUpUqvywdWw==" saltValue="eGOFzjKQ4C/RszzBv3JSZA==" spinCount="100000" sheet="1" objects="1" scenarios="1"/>
  <conditionalFormatting sqref="D9:EF9">
    <cfRule type="cellIs" dxfId="26" priority="9" operator="greaterThan">
      <formula>0</formula>
    </cfRule>
  </conditionalFormatting>
  <conditionalFormatting sqref="D10:EF11">
    <cfRule type="cellIs" dxfId="25" priority="8" operator="greaterThan">
      <formula>0</formula>
    </cfRule>
  </conditionalFormatting>
  <conditionalFormatting sqref="AF10:AF11">
    <cfRule type="cellIs" dxfId="24" priority="6" operator="greaterThan">
      <formula>0</formula>
    </cfRule>
  </conditionalFormatting>
  <conditionalFormatting sqref="D20:EF20">
    <cfRule type="expression" dxfId="23" priority="5">
      <formula>D20=1</formula>
    </cfRule>
  </conditionalFormatting>
  <pageMargins left="0.25" right="0.25" top="0.4" bottom="0.4" header="0.3" footer="0.3"/>
  <pageSetup scale="60" pageOrder="overThenDown" orientation="landscape" horizontalDpi="1200" verticalDpi="1200" r:id="rId1"/>
  <headerFooter>
    <oddHeader>&amp;C&amp;"Garamond,Bold Italic"&amp;14Tax Calculations&amp;"Garamond,Italic"
(Monthly Detail)&amp;R&amp;"Garamond,Regular"&amp;10Printed: &amp;D &amp;T</oddHeader>
    <oddFooter>&amp;R&amp;"Garamond,Regular"&amp;10Page &amp;P of &amp;N</oddFooter>
  </headerFooter>
  <colBreaks count="8" manualBreakCount="8">
    <brk id="28" max="16" man="1"/>
    <brk id="40" max="16" man="1"/>
    <brk id="52" max="16" man="1"/>
    <brk id="64" max="16" man="1"/>
    <brk id="76" max="16" man="1"/>
    <brk id="88" max="16" man="1"/>
    <brk id="100" max="16" man="1"/>
    <brk id="112" max="16" man="1"/>
  </colBreaks>
  <legacyDrawing r:id="rId2"/>
  <extLst>
    <ext xmlns:x14="http://schemas.microsoft.com/office/spreadsheetml/2009/9/main" uri="{78C0D931-6437-407d-A8EE-F0AAD7539E65}">
      <x14:conditionalFormattings>
        <x14:conditionalFormatting xmlns:xm="http://schemas.microsoft.com/office/excel/2006/main">
          <x14:cfRule type="expression" priority="1" id="{7BD1659B-024D-4F21-A0EE-11C074D8FB4B}">
            <xm:f>'General Inputs'!$D$8&lt;&gt;"Oregon"</xm:f>
            <x14:dxf>
              <font>
                <color theme="0" tint="-0.24994659260841701"/>
              </font>
              <fill>
                <patternFill patternType="none">
                  <bgColor auto="1"/>
                </patternFill>
              </fill>
            </x14:dxf>
          </x14:cfRule>
          <xm:sqref>A20:EF24</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6">
    <tabColor rgb="FFFFC000"/>
    <pageSetUpPr fitToPage="1"/>
  </sheetPr>
  <dimension ref="A1:G73"/>
  <sheetViews>
    <sheetView showGridLines="0" zoomScale="90" zoomScaleNormal="90" zoomScaleSheetLayoutView="100" workbookViewId="0">
      <pane xSplit="2" ySplit="8" topLeftCell="C49" activePane="bottomRight" state="frozen"/>
      <selection pane="topRight"/>
      <selection pane="bottomLeft"/>
      <selection pane="bottomRight" activeCell="A9" sqref="A9"/>
    </sheetView>
  </sheetViews>
  <sheetFormatPr defaultColWidth="16" defaultRowHeight="13.8" x14ac:dyDescent="0.3"/>
  <cols>
    <col min="1" max="1" width="16" style="548"/>
    <col min="2" max="2" width="46.6640625" style="578" bestFit="1" customWidth="1"/>
    <col min="3" max="3" width="52.33203125" style="548" customWidth="1"/>
    <col min="4" max="4" width="19.44140625" style="548" customWidth="1"/>
    <col min="5" max="5" width="19.44140625" style="579" customWidth="1"/>
    <col min="6" max="6" width="19.44140625" style="548" customWidth="1"/>
    <col min="7" max="7" width="12.6640625" style="548" customWidth="1"/>
    <col min="8" max="16384" width="16" style="548"/>
  </cols>
  <sheetData>
    <row r="1" spans="1:7" ht="14.4" x14ac:dyDescent="0.3">
      <c r="A1" s="3" t="str">
        <f>'Tax Calcs'!A1</f>
        <v>Project:</v>
      </c>
      <c r="B1" s="545" t="str">
        <f>'Tax Calcs'!B1</f>
        <v>Emblem Meridian</v>
      </c>
      <c r="C1" s="3"/>
      <c r="D1" s="3"/>
      <c r="E1" s="546"/>
      <c r="F1" s="3"/>
      <c r="G1" s="547"/>
    </row>
    <row r="2" spans="1:7" ht="14.4" x14ac:dyDescent="0.3">
      <c r="A2" s="3" t="str">
        <f>'Tax Calcs'!A2</f>
        <v>Location:</v>
      </c>
      <c r="B2" s="545" t="str">
        <f>'General Inputs'!B8&amp;", "&amp;'General Inputs'!D8</f>
        <v>Meridian, Other</v>
      </c>
      <c r="C2" s="3"/>
      <c r="D2" s="3"/>
      <c r="E2" s="546"/>
      <c r="F2" s="3"/>
      <c r="G2" s="549"/>
    </row>
    <row r="3" spans="1:7" ht="14.4" x14ac:dyDescent="0.3">
      <c r="A3" s="3" t="str">
        <f>'Tax Calcs'!A3</f>
        <v>Last Saved:</v>
      </c>
      <c r="B3" s="4">
        <f>'General Inputs'!B10</f>
        <v>46248</v>
      </c>
      <c r="C3" s="550">
        <f>'General Inputs'!C10</f>
        <v>0.67652777777777773</v>
      </c>
      <c r="D3" s="550"/>
      <c r="E3" s="551"/>
      <c r="F3" s="550"/>
      <c r="G3" s="552"/>
    </row>
    <row r="4" spans="1:7" ht="6.75" customHeight="1" x14ac:dyDescent="0.3">
      <c r="A4" s="553"/>
      <c r="B4" s="554"/>
      <c r="C4" s="555"/>
      <c r="D4" s="555"/>
      <c r="E4" s="556"/>
      <c r="F4" s="555"/>
      <c r="G4" s="552"/>
    </row>
    <row r="5" spans="1:7" ht="14.4" x14ac:dyDescent="0.3">
      <c r="A5" s="557"/>
      <c r="B5" s="558"/>
      <c r="C5" s="109"/>
      <c r="D5" s="109"/>
      <c r="E5" s="559"/>
      <c r="F5" s="109"/>
      <c r="G5" s="560"/>
    </row>
    <row r="6" spans="1:7" ht="15" thickBot="1" x14ac:dyDescent="0.35">
      <c r="A6" s="561" t="s">
        <v>2283</v>
      </c>
      <c r="B6" s="562" t="s">
        <v>2284</v>
      </c>
      <c r="C6" s="563" t="s">
        <v>1963</v>
      </c>
      <c r="D6" s="563" t="s">
        <v>2285</v>
      </c>
      <c r="E6" s="564" t="s">
        <v>1657</v>
      </c>
      <c r="F6" s="563" t="s">
        <v>2286</v>
      </c>
      <c r="G6" s="565" t="s">
        <v>2287</v>
      </c>
    </row>
    <row r="7" spans="1:7" ht="4.5" customHeight="1" thickTop="1" x14ac:dyDescent="0.3">
      <c r="A7" s="2"/>
      <c r="B7" s="545"/>
      <c r="C7" s="2"/>
      <c r="D7" s="2"/>
      <c r="E7" s="551"/>
      <c r="F7" s="2"/>
      <c r="G7" s="2"/>
    </row>
    <row r="8" spans="1:7" ht="14.4" x14ac:dyDescent="0.3">
      <c r="A8" s="566" t="s">
        <v>2288</v>
      </c>
      <c r="B8" s="567"/>
      <c r="C8" s="107"/>
      <c r="D8" s="107"/>
      <c r="E8" s="568"/>
      <c r="F8" s="107"/>
      <c r="G8" s="569"/>
    </row>
    <row r="9" spans="1:7" ht="14.4" x14ac:dyDescent="0.3">
      <c r="A9" s="46"/>
      <c r="B9" s="101" t="s">
        <v>2289</v>
      </c>
      <c r="C9" s="101"/>
      <c r="D9" s="101"/>
      <c r="E9" s="102"/>
      <c r="F9" s="101"/>
      <c r="G9" s="6">
        <v>0</v>
      </c>
    </row>
    <row r="10" spans="1:7" ht="14.4" x14ac:dyDescent="0.3">
      <c r="A10" s="46"/>
      <c r="B10" s="101" t="s">
        <v>2290</v>
      </c>
      <c r="C10" s="101"/>
      <c r="D10" s="101"/>
      <c r="E10" s="102"/>
      <c r="F10" s="101"/>
      <c r="G10" s="6">
        <v>0</v>
      </c>
    </row>
    <row r="11" spans="1:7" ht="14.4" x14ac:dyDescent="0.3">
      <c r="A11" s="46"/>
      <c r="B11" s="101" t="s">
        <v>2291</v>
      </c>
      <c r="C11" s="101"/>
      <c r="D11" s="101"/>
      <c r="E11" s="102"/>
      <c r="F11" s="101"/>
      <c r="G11" s="6">
        <v>0</v>
      </c>
    </row>
    <row r="12" spans="1:7" ht="14.4" x14ac:dyDescent="0.3">
      <c r="A12" s="46"/>
      <c r="B12" s="101" t="s">
        <v>2292</v>
      </c>
      <c r="C12" s="101"/>
      <c r="D12" s="101"/>
      <c r="E12" s="102"/>
      <c r="F12" s="101"/>
      <c r="G12" s="6">
        <v>0</v>
      </c>
    </row>
    <row r="13" spans="1:7" ht="14.4" x14ac:dyDescent="0.3">
      <c r="A13" s="46"/>
      <c r="B13" s="101" t="s">
        <v>2293</v>
      </c>
      <c r="C13" s="101"/>
      <c r="D13" s="101"/>
      <c r="E13" s="102"/>
      <c r="F13" s="101"/>
      <c r="G13" s="6">
        <v>0</v>
      </c>
    </row>
    <row r="14" spans="1:7" ht="14.4" x14ac:dyDescent="0.3">
      <c r="A14" s="46"/>
      <c r="B14" s="101" t="s">
        <v>2294</v>
      </c>
      <c r="C14" s="101"/>
      <c r="D14" s="101"/>
      <c r="E14" s="102"/>
      <c r="F14" s="101"/>
      <c r="G14" s="6">
        <v>0</v>
      </c>
    </row>
    <row r="15" spans="1:7" ht="14.4" x14ac:dyDescent="0.3">
      <c r="A15" s="46"/>
      <c r="B15" s="101" t="s">
        <v>2295</v>
      </c>
      <c r="C15" s="101"/>
      <c r="D15" s="101"/>
      <c r="E15" s="102"/>
      <c r="F15" s="101"/>
      <c r="G15" s="6">
        <v>0</v>
      </c>
    </row>
    <row r="16" spans="1:7" ht="14.4" x14ac:dyDescent="0.3">
      <c r="A16" s="46"/>
      <c r="B16" s="101" t="s">
        <v>2296</v>
      </c>
      <c r="C16" s="101"/>
      <c r="D16" s="101"/>
      <c r="E16" s="102"/>
      <c r="F16" s="101"/>
      <c r="G16" s="6">
        <v>0</v>
      </c>
    </row>
    <row r="17" spans="1:7" ht="14.4" x14ac:dyDescent="0.3">
      <c r="A17" s="46"/>
      <c r="B17" s="101" t="s">
        <v>2297</v>
      </c>
      <c r="C17" s="101"/>
      <c r="D17" s="101"/>
      <c r="E17" s="102"/>
      <c r="F17" s="101"/>
      <c r="G17" s="6">
        <v>0</v>
      </c>
    </row>
    <row r="18" spans="1:7" ht="14.4" x14ac:dyDescent="0.3">
      <c r="A18" s="46"/>
      <c r="B18" s="101" t="s">
        <v>2298</v>
      </c>
      <c r="C18" s="101"/>
      <c r="D18" s="101"/>
      <c r="E18" s="102"/>
      <c r="F18" s="101"/>
      <c r="G18" s="6">
        <v>0</v>
      </c>
    </row>
    <row r="19" spans="1:7" ht="14.4" x14ac:dyDescent="0.3">
      <c r="A19" s="46"/>
      <c r="B19" s="101" t="s">
        <v>2299</v>
      </c>
      <c r="C19" s="101"/>
      <c r="D19" s="101"/>
      <c r="E19" s="102"/>
      <c r="F19" s="101"/>
      <c r="G19" s="6">
        <v>0</v>
      </c>
    </row>
    <row r="20" spans="1:7" ht="14.4" x14ac:dyDescent="0.3">
      <c r="A20" s="46"/>
      <c r="B20" s="101" t="s">
        <v>2300</v>
      </c>
      <c r="C20" s="101"/>
      <c r="D20" s="101"/>
      <c r="E20" s="102"/>
      <c r="F20" s="101"/>
      <c r="G20" s="6">
        <v>0</v>
      </c>
    </row>
    <row r="21" spans="1:7" ht="14.4" x14ac:dyDescent="0.3">
      <c r="A21" s="46"/>
      <c r="B21" s="101" t="s">
        <v>2301</v>
      </c>
      <c r="C21" s="101"/>
      <c r="D21" s="101"/>
      <c r="E21" s="102"/>
      <c r="F21" s="101"/>
      <c r="G21" s="6">
        <v>0</v>
      </c>
    </row>
    <row r="22" spans="1:7" ht="14.4" x14ac:dyDescent="0.3">
      <c r="A22" s="46"/>
      <c r="B22" s="101" t="s">
        <v>2302</v>
      </c>
      <c r="C22" s="101"/>
      <c r="D22" s="101"/>
      <c r="E22" s="102"/>
      <c r="F22" s="101"/>
      <c r="G22" s="6">
        <v>0</v>
      </c>
    </row>
    <row r="23" spans="1:7" ht="14.4" x14ac:dyDescent="0.3">
      <c r="A23" s="46"/>
      <c r="B23" s="101" t="s">
        <v>2303</v>
      </c>
      <c r="C23" s="101"/>
      <c r="D23" s="101"/>
      <c r="E23" s="102"/>
      <c r="F23" s="101"/>
      <c r="G23" s="6">
        <v>0</v>
      </c>
    </row>
    <row r="24" spans="1:7" ht="14.4" x14ac:dyDescent="0.3">
      <c r="A24" s="46"/>
      <c r="B24" s="101" t="s">
        <v>2304</v>
      </c>
      <c r="C24" s="101"/>
      <c r="D24" s="101"/>
      <c r="E24" s="102"/>
      <c r="F24" s="101"/>
      <c r="G24" s="6">
        <v>0</v>
      </c>
    </row>
    <row r="25" spans="1:7" ht="14.4" x14ac:dyDescent="0.3">
      <c r="A25" s="46"/>
      <c r="B25" s="101" t="s">
        <v>2305</v>
      </c>
      <c r="C25" s="101"/>
      <c r="D25" s="101"/>
      <c r="E25" s="102"/>
      <c r="F25" s="101"/>
      <c r="G25" s="6">
        <v>0</v>
      </c>
    </row>
    <row r="26" spans="1:7" ht="14.4" x14ac:dyDescent="0.3">
      <c r="A26" s="46"/>
      <c r="B26" s="101" t="s">
        <v>2306</v>
      </c>
      <c r="C26" s="101"/>
      <c r="D26" s="101"/>
      <c r="E26" s="102"/>
      <c r="F26" s="101"/>
      <c r="G26" s="6">
        <v>0</v>
      </c>
    </row>
    <row r="27" spans="1:7" ht="14.4" x14ac:dyDescent="0.3">
      <c r="A27" s="46"/>
      <c r="B27" s="101" t="s">
        <v>2307</v>
      </c>
      <c r="C27" s="101"/>
      <c r="D27" s="101"/>
      <c r="E27" s="102"/>
      <c r="F27" s="101"/>
      <c r="G27" s="6">
        <v>0</v>
      </c>
    </row>
    <row r="28" spans="1:7" ht="14.4" x14ac:dyDescent="0.3">
      <c r="A28" s="46"/>
      <c r="B28" s="101" t="s">
        <v>1286</v>
      </c>
      <c r="C28" s="101"/>
      <c r="D28" s="101"/>
      <c r="E28" s="102"/>
      <c r="F28" s="101"/>
      <c r="G28" s="6">
        <v>0</v>
      </c>
    </row>
    <row r="29" spans="1:7" ht="14.4" x14ac:dyDescent="0.3">
      <c r="A29" s="46"/>
      <c r="B29" s="101" t="s">
        <v>1286</v>
      </c>
      <c r="C29" s="101"/>
      <c r="D29" s="101"/>
      <c r="E29" s="102"/>
      <c r="F29" s="101"/>
      <c r="G29" s="6">
        <v>0</v>
      </c>
    </row>
    <row r="30" spans="1:7" ht="14.4" x14ac:dyDescent="0.3">
      <c r="A30" s="46"/>
      <c r="B30" s="101" t="s">
        <v>1286</v>
      </c>
      <c r="C30" s="101"/>
      <c r="D30" s="101"/>
      <c r="E30" s="102"/>
      <c r="F30" s="101"/>
      <c r="G30" s="6">
        <v>0</v>
      </c>
    </row>
    <row r="31" spans="1:7" ht="14.4" x14ac:dyDescent="0.3">
      <c r="A31" s="47"/>
      <c r="B31" s="101" t="s">
        <v>1286</v>
      </c>
      <c r="C31" s="103"/>
      <c r="D31" s="103"/>
      <c r="E31" s="104"/>
      <c r="F31" s="103"/>
      <c r="G31" s="61">
        <v>0</v>
      </c>
    </row>
    <row r="32" spans="1:7" ht="14.4" x14ac:dyDescent="0.3">
      <c r="A32" s="46"/>
      <c r="B32" s="101" t="s">
        <v>2308</v>
      </c>
      <c r="C32" s="101"/>
      <c r="D32" s="101"/>
      <c r="E32" s="102"/>
      <c r="F32" s="101"/>
      <c r="G32" s="61">
        <v>0</v>
      </c>
    </row>
    <row r="33" spans="1:7" ht="14.4" x14ac:dyDescent="0.3">
      <c r="A33" s="46"/>
      <c r="B33" s="101" t="s">
        <v>2309</v>
      </c>
      <c r="C33" s="101"/>
      <c r="D33" s="101"/>
      <c r="E33" s="102"/>
      <c r="F33" s="101"/>
      <c r="G33" s="61">
        <v>0</v>
      </c>
    </row>
    <row r="34" spans="1:7" ht="14.4" x14ac:dyDescent="0.3">
      <c r="A34" s="46"/>
      <c r="B34" s="101" t="s">
        <v>1867</v>
      </c>
      <c r="C34" s="101"/>
      <c r="D34" s="101"/>
      <c r="E34" s="102"/>
      <c r="F34" s="101"/>
      <c r="G34" s="61">
        <v>0</v>
      </c>
    </row>
    <row r="35" spans="1:7" ht="14.4" x14ac:dyDescent="0.3">
      <c r="A35" s="1662"/>
      <c r="B35" s="1663" t="s">
        <v>2310</v>
      </c>
      <c r="C35" s="1663"/>
      <c r="D35" s="1663"/>
      <c r="E35" s="1663"/>
      <c r="F35" s="1663"/>
      <c r="G35" s="1664">
        <f>SUBTOTAL(9,G9:G34)</f>
        <v>0</v>
      </c>
    </row>
    <row r="36" spans="1:7" ht="6.75" customHeight="1" x14ac:dyDescent="0.3">
      <c r="A36" s="2"/>
      <c r="B36" s="545"/>
      <c r="C36" s="2"/>
      <c r="D36" s="2"/>
      <c r="E36" s="551"/>
      <c r="F36" s="2"/>
      <c r="G36" s="570"/>
    </row>
    <row r="37" spans="1:7" ht="14.4" x14ac:dyDescent="0.3">
      <c r="A37" s="571" t="s">
        <v>2311</v>
      </c>
      <c r="B37" s="572"/>
      <c r="C37" s="573"/>
      <c r="D37" s="573"/>
      <c r="E37" s="574"/>
      <c r="F37" s="573"/>
      <c r="G37" s="575"/>
    </row>
    <row r="38" spans="1:7" ht="14.4" x14ac:dyDescent="0.3">
      <c r="A38" s="59"/>
      <c r="B38" s="101" t="s">
        <v>2312</v>
      </c>
      <c r="C38" s="13"/>
      <c r="D38" s="13"/>
      <c r="E38" s="105"/>
      <c r="F38" s="13"/>
      <c r="G38" s="106">
        <v>0</v>
      </c>
    </row>
    <row r="39" spans="1:7" ht="14.4" x14ac:dyDescent="0.3">
      <c r="A39" s="46"/>
      <c r="B39" s="101" t="s">
        <v>2313</v>
      </c>
      <c r="C39" s="101"/>
      <c r="D39" s="101"/>
      <c r="E39" s="102"/>
      <c r="F39" s="101"/>
      <c r="G39" s="6">
        <v>0</v>
      </c>
    </row>
    <row r="40" spans="1:7" ht="14.4" x14ac:dyDescent="0.3">
      <c r="A40" s="46"/>
      <c r="B40" s="101" t="s">
        <v>2001</v>
      </c>
      <c r="C40" s="101"/>
      <c r="D40" s="101"/>
      <c r="E40" s="102"/>
      <c r="F40" s="101"/>
      <c r="G40" s="6">
        <v>0</v>
      </c>
    </row>
    <row r="41" spans="1:7" ht="14.4" x14ac:dyDescent="0.3">
      <c r="A41" s="46"/>
      <c r="B41" s="101" t="s">
        <v>2314</v>
      </c>
      <c r="C41" s="101"/>
      <c r="D41" s="101"/>
      <c r="E41" s="102"/>
      <c r="F41" s="101"/>
      <c r="G41" s="6">
        <v>0</v>
      </c>
    </row>
    <row r="42" spans="1:7" ht="14.4" x14ac:dyDescent="0.3">
      <c r="A42" s="46"/>
      <c r="B42" s="101" t="s">
        <v>2315</v>
      </c>
      <c r="C42" s="101"/>
      <c r="D42" s="101"/>
      <c r="E42" s="102"/>
      <c r="F42" s="101"/>
      <c r="G42" s="6">
        <v>0</v>
      </c>
    </row>
    <row r="43" spans="1:7" ht="14.4" x14ac:dyDescent="0.3">
      <c r="A43" s="46"/>
      <c r="B43" s="101" t="s">
        <v>2316</v>
      </c>
      <c r="C43" s="101"/>
      <c r="D43" s="101"/>
      <c r="E43" s="102"/>
      <c r="F43" s="101"/>
      <c r="G43" s="6">
        <v>0</v>
      </c>
    </row>
    <row r="44" spans="1:7" ht="14.4" x14ac:dyDescent="0.3">
      <c r="A44" s="46"/>
      <c r="B44" s="101" t="s">
        <v>1976</v>
      </c>
      <c r="C44" s="101"/>
      <c r="D44" s="101"/>
      <c r="E44" s="102"/>
      <c r="F44" s="101"/>
      <c r="G44" s="6">
        <v>0</v>
      </c>
    </row>
    <row r="45" spans="1:7" ht="14.4" x14ac:dyDescent="0.3">
      <c r="A45" s="46"/>
      <c r="B45" s="101" t="s">
        <v>1976</v>
      </c>
      <c r="C45" s="101"/>
      <c r="D45" s="101"/>
      <c r="E45" s="102"/>
      <c r="F45" s="101"/>
      <c r="G45" s="6">
        <v>0</v>
      </c>
    </row>
    <row r="46" spans="1:7" ht="14.4" x14ac:dyDescent="0.3">
      <c r="A46" s="46"/>
      <c r="B46" s="101" t="s">
        <v>2317</v>
      </c>
      <c r="C46" s="101"/>
      <c r="D46" s="101"/>
      <c r="E46" s="102"/>
      <c r="F46" s="101"/>
      <c r="G46" s="6">
        <v>0</v>
      </c>
    </row>
    <row r="47" spans="1:7" ht="14.4" x14ac:dyDescent="0.3">
      <c r="A47" s="47"/>
      <c r="B47" s="101" t="s">
        <v>2318</v>
      </c>
      <c r="C47" s="103"/>
      <c r="D47" s="103"/>
      <c r="E47" s="104"/>
      <c r="F47" s="103"/>
      <c r="G47" s="6">
        <v>0</v>
      </c>
    </row>
    <row r="48" spans="1:7" ht="14.4" x14ac:dyDescent="0.3">
      <c r="A48" s="47"/>
      <c r="B48" s="101" t="s">
        <v>2319</v>
      </c>
      <c r="C48" s="103"/>
      <c r="D48" s="103"/>
      <c r="E48" s="104"/>
      <c r="F48" s="103"/>
      <c r="G48" s="6">
        <v>0</v>
      </c>
    </row>
    <row r="49" spans="1:7" ht="14.4" x14ac:dyDescent="0.3">
      <c r="A49" s="47"/>
      <c r="B49" s="101" t="s">
        <v>2320</v>
      </c>
      <c r="C49" s="103"/>
      <c r="D49" s="103"/>
      <c r="E49" s="104"/>
      <c r="F49" s="103"/>
      <c r="G49" s="6">
        <v>0</v>
      </c>
    </row>
    <row r="50" spans="1:7" ht="14.4" x14ac:dyDescent="0.3">
      <c r="A50" s="47"/>
      <c r="B50" s="101" t="s">
        <v>2321</v>
      </c>
      <c r="C50" s="103"/>
      <c r="D50" s="103"/>
      <c r="E50" s="104"/>
      <c r="F50" s="103"/>
      <c r="G50" s="6">
        <v>0</v>
      </c>
    </row>
    <row r="51" spans="1:7" ht="14.4" x14ac:dyDescent="0.3">
      <c r="A51" s="47"/>
      <c r="B51" s="101" t="s">
        <v>619</v>
      </c>
      <c r="C51" s="103"/>
      <c r="D51" s="103"/>
      <c r="E51" s="104"/>
      <c r="F51" s="103"/>
      <c r="G51" s="6">
        <v>0</v>
      </c>
    </row>
    <row r="52" spans="1:7" ht="14.4" x14ac:dyDescent="0.3">
      <c r="A52" s="47"/>
      <c r="B52" s="101" t="s">
        <v>2322</v>
      </c>
      <c r="C52" s="103"/>
      <c r="D52" s="103"/>
      <c r="E52" s="104"/>
      <c r="F52" s="103"/>
      <c r="G52" s="6">
        <v>0</v>
      </c>
    </row>
    <row r="53" spans="1:7" ht="14.4" x14ac:dyDescent="0.3">
      <c r="A53" s="47"/>
      <c r="B53" s="101" t="s">
        <v>2323</v>
      </c>
      <c r="C53" s="103"/>
      <c r="D53" s="103"/>
      <c r="E53" s="104"/>
      <c r="F53" s="103"/>
      <c r="G53" s="6">
        <v>0</v>
      </c>
    </row>
    <row r="54" spans="1:7" ht="14.4" x14ac:dyDescent="0.3">
      <c r="A54" s="47"/>
      <c r="B54" s="101" t="s">
        <v>2309</v>
      </c>
      <c r="C54" s="103"/>
      <c r="D54" s="103"/>
      <c r="E54" s="104"/>
      <c r="F54" s="103"/>
      <c r="G54" s="6">
        <v>0</v>
      </c>
    </row>
    <row r="55" spans="1:7" ht="14.4" x14ac:dyDescent="0.3">
      <c r="A55" s="47"/>
      <c r="B55" s="101" t="s">
        <v>1861</v>
      </c>
      <c r="C55" s="103"/>
      <c r="D55" s="103"/>
      <c r="E55" s="104"/>
      <c r="F55" s="103"/>
      <c r="G55" s="6">
        <v>0</v>
      </c>
    </row>
    <row r="56" spans="1:7" ht="14.4" x14ac:dyDescent="0.3">
      <c r="A56" s="47"/>
      <c r="B56" s="101" t="s">
        <v>2324</v>
      </c>
      <c r="C56" s="103"/>
      <c r="D56" s="103"/>
      <c r="E56" s="104"/>
      <c r="F56" s="103"/>
      <c r="G56" s="6">
        <v>0</v>
      </c>
    </row>
    <row r="57" spans="1:7" ht="14.4" x14ac:dyDescent="0.3">
      <c r="A57" s="47"/>
      <c r="B57" s="101" t="s">
        <v>2325</v>
      </c>
      <c r="C57" s="103"/>
      <c r="D57" s="103"/>
      <c r="E57" s="104"/>
      <c r="F57" s="103"/>
      <c r="G57" s="6">
        <v>0</v>
      </c>
    </row>
    <row r="58" spans="1:7" ht="14.4" x14ac:dyDescent="0.3">
      <c r="A58" s="47"/>
      <c r="B58" s="101"/>
      <c r="C58" s="103"/>
      <c r="D58" s="103"/>
      <c r="E58" s="104"/>
      <c r="F58" s="103"/>
      <c r="G58" s="6">
        <v>0</v>
      </c>
    </row>
    <row r="59" spans="1:7" ht="14.4" x14ac:dyDescent="0.3">
      <c r="A59" s="47"/>
      <c r="B59" s="101"/>
      <c r="C59" s="103"/>
      <c r="D59" s="103"/>
      <c r="E59" s="104"/>
      <c r="F59" s="103"/>
      <c r="G59" s="6">
        <v>0</v>
      </c>
    </row>
    <row r="60" spans="1:7" ht="14.4" x14ac:dyDescent="0.3">
      <c r="A60" s="47"/>
      <c r="B60" s="101"/>
      <c r="C60" s="103"/>
      <c r="D60" s="103"/>
      <c r="E60" s="104"/>
      <c r="F60" s="103"/>
      <c r="G60" s="6">
        <v>0</v>
      </c>
    </row>
    <row r="61" spans="1:7" ht="14.4" x14ac:dyDescent="0.3">
      <c r="A61" s="47"/>
      <c r="B61" s="101"/>
      <c r="C61" s="103"/>
      <c r="D61" s="103"/>
      <c r="E61" s="104"/>
      <c r="F61" s="103"/>
      <c r="G61" s="6">
        <v>0</v>
      </c>
    </row>
    <row r="62" spans="1:7" ht="14.4" x14ac:dyDescent="0.3">
      <c r="A62" s="47"/>
      <c r="B62" s="101"/>
      <c r="C62" s="103"/>
      <c r="D62" s="103"/>
      <c r="E62" s="104"/>
      <c r="F62" s="103"/>
      <c r="G62" s="6">
        <v>0</v>
      </c>
    </row>
    <row r="63" spans="1:7" ht="14.4" x14ac:dyDescent="0.3">
      <c r="A63" s="47"/>
      <c r="B63" s="101"/>
      <c r="C63" s="103"/>
      <c r="D63" s="103"/>
      <c r="E63" s="104"/>
      <c r="F63" s="103"/>
      <c r="G63" s="6">
        <v>0</v>
      </c>
    </row>
    <row r="64" spans="1:7" ht="14.4" x14ac:dyDescent="0.3">
      <c r="A64" s="47"/>
      <c r="B64" s="101"/>
      <c r="C64" s="103"/>
      <c r="D64" s="103"/>
      <c r="E64" s="104"/>
      <c r="F64" s="103"/>
      <c r="G64" s="6">
        <v>0</v>
      </c>
    </row>
    <row r="65" spans="1:7" ht="14.4" x14ac:dyDescent="0.3">
      <c r="A65" s="47"/>
      <c r="B65" s="101"/>
      <c r="C65" s="103"/>
      <c r="D65" s="103"/>
      <c r="E65" s="104"/>
      <c r="F65" s="103"/>
      <c r="G65" s="6">
        <v>0</v>
      </c>
    </row>
    <row r="66" spans="1:7" ht="14.4" x14ac:dyDescent="0.3">
      <c r="A66" s="47"/>
      <c r="B66" s="101"/>
      <c r="C66" s="103"/>
      <c r="D66" s="103"/>
      <c r="E66" s="104"/>
      <c r="F66" s="103"/>
      <c r="G66" s="6">
        <v>0</v>
      </c>
    </row>
    <row r="67" spans="1:7" ht="14.4" x14ac:dyDescent="0.3">
      <c r="A67" s="47"/>
      <c r="B67" s="101"/>
      <c r="C67" s="103"/>
      <c r="D67" s="103"/>
      <c r="E67" s="104"/>
      <c r="F67" s="103"/>
      <c r="G67" s="6">
        <v>0</v>
      </c>
    </row>
    <row r="68" spans="1:7" ht="14.4" x14ac:dyDescent="0.3">
      <c r="A68" s="47"/>
      <c r="B68" s="101"/>
      <c r="C68" s="103"/>
      <c r="D68" s="103"/>
      <c r="E68" s="104"/>
      <c r="F68" s="103"/>
      <c r="G68" s="6">
        <v>0</v>
      </c>
    </row>
    <row r="69" spans="1:7" ht="14.4" x14ac:dyDescent="0.3">
      <c r="A69" s="47"/>
      <c r="B69" s="101"/>
      <c r="C69" s="103"/>
      <c r="D69" s="103"/>
      <c r="E69" s="104"/>
      <c r="F69" s="103"/>
      <c r="G69" s="6">
        <v>0</v>
      </c>
    </row>
    <row r="70" spans="1:7" ht="14.4" x14ac:dyDescent="0.3">
      <c r="A70" s="47"/>
      <c r="B70" s="101"/>
      <c r="C70" s="103"/>
      <c r="D70" s="103"/>
      <c r="E70" s="104"/>
      <c r="F70" s="103"/>
      <c r="G70" s="6">
        <v>0</v>
      </c>
    </row>
    <row r="71" spans="1:7" ht="14.4" x14ac:dyDescent="0.3">
      <c r="A71" s="47"/>
      <c r="B71" s="101"/>
      <c r="C71" s="103"/>
      <c r="D71" s="103"/>
      <c r="E71" s="104"/>
      <c r="F71" s="103"/>
      <c r="G71" s="6">
        <v>0</v>
      </c>
    </row>
    <row r="72" spans="1:7" ht="14.4" x14ac:dyDescent="0.3">
      <c r="A72" s="47"/>
      <c r="B72" s="101"/>
      <c r="C72" s="103"/>
      <c r="D72" s="103"/>
      <c r="E72" s="104"/>
      <c r="F72" s="103"/>
      <c r="G72" s="61">
        <v>0</v>
      </c>
    </row>
    <row r="73" spans="1:7" ht="14.4" x14ac:dyDescent="0.3">
      <c r="A73" s="1662"/>
      <c r="B73" s="1663" t="s">
        <v>2326</v>
      </c>
      <c r="C73" s="576"/>
      <c r="D73" s="576"/>
      <c r="E73" s="577"/>
      <c r="F73" s="576"/>
      <c r="G73" s="1664">
        <f>SUBTOTAL(9,G38:G72)</f>
        <v>0</v>
      </c>
    </row>
  </sheetData>
  <sortState xmlns:xlrd2="http://schemas.microsoft.com/office/spreadsheetml/2017/richdata2" ref="B38:B65">
    <sortCondition ref="B38"/>
  </sortState>
  <conditionalFormatting sqref="A38:A72 A9:A34">
    <cfRule type="expression" dxfId="21" priority="33">
      <formula>$G$45&gt;0</formula>
    </cfRule>
  </conditionalFormatting>
  <pageMargins left="0.25" right="0.25" top="0.75" bottom="0.75" header="0.3" footer="0.3"/>
  <pageSetup scale="71" fitToHeight="0" pageOrder="overThenDown" orientation="landscape" r:id="rId1"/>
  <headerFooter>
    <oddHeader>&amp;C&amp;"Garamond,Bold Italic"&amp;14Soft Cost Detail&amp;"Garamond,Italic"
&amp;R&amp;"Garamond,Regular"&amp;10Printed: &amp;D &amp;T</oddHeader>
    <oddFooter>&amp;R&amp;"Garamond,Regular"&amp;10Page &amp;P of &amp;N</oddFooter>
  </headerFooter>
  <rowBreaks count="1" manualBreakCount="1">
    <brk id="36" max="16383" man="1"/>
  </rowBreak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4">
    <tabColor rgb="FFFFC000"/>
  </sheetPr>
  <dimension ref="A1:BT189"/>
  <sheetViews>
    <sheetView showGridLines="0" zoomScale="90" zoomScaleNormal="90" workbookViewId="0">
      <pane xSplit="3" ySplit="9" topLeftCell="D73" activePane="bottomRight" state="frozen"/>
      <selection pane="topRight"/>
      <selection pane="bottomLeft"/>
      <selection pane="bottomRight" activeCell="B118" sqref="B118"/>
    </sheetView>
  </sheetViews>
  <sheetFormatPr defaultColWidth="14.33203125" defaultRowHeight="14.4" x14ac:dyDescent="0.3"/>
  <cols>
    <col min="1" max="1" width="14.33203125" style="182"/>
    <col min="2" max="2" width="14.33203125" style="512"/>
    <col min="3" max="3" width="27.5546875" style="182" customWidth="1"/>
    <col min="4" max="4" width="14.33203125" style="208"/>
    <col min="5" max="7" width="14.33203125" style="581"/>
    <col min="8" max="16384" width="14.33203125" style="583"/>
  </cols>
  <sheetData>
    <row r="1" spans="1:72" x14ac:dyDescent="0.3">
      <c r="A1" t="str">
        <f>'A-DevBdgt'!A1</f>
        <v>Project:</v>
      </c>
      <c r="B1" t="str">
        <f>'A-DevBdgt'!B1</f>
        <v>Emblem Meridian</v>
      </c>
      <c r="C1"/>
      <c r="D1" s="580"/>
      <c r="H1" s="582"/>
      <c r="I1" s="582"/>
      <c r="J1" s="582"/>
      <c r="K1" s="582"/>
      <c r="L1" s="582"/>
      <c r="M1" s="582"/>
      <c r="N1" s="582"/>
      <c r="O1" s="582"/>
      <c r="P1" s="582"/>
      <c r="Q1" s="582"/>
      <c r="R1" s="582"/>
      <c r="S1" s="582"/>
      <c r="T1" s="582"/>
      <c r="U1" s="582"/>
      <c r="V1" s="582"/>
      <c r="W1" s="582"/>
      <c r="X1" s="582"/>
      <c r="Y1" s="582"/>
      <c r="Z1" s="582"/>
      <c r="AA1" s="582"/>
      <c r="AB1" s="582"/>
      <c r="AC1" s="582"/>
      <c r="AD1" s="582"/>
      <c r="AE1" s="582"/>
      <c r="AF1" s="582"/>
      <c r="AG1" s="582"/>
      <c r="AH1" s="582"/>
      <c r="AI1" s="582"/>
      <c r="AJ1" s="582"/>
      <c r="AK1" s="582"/>
      <c r="AL1" s="582"/>
      <c r="AM1" s="582"/>
      <c r="AN1" s="582"/>
      <c r="AO1" s="582"/>
      <c r="AP1" s="582"/>
      <c r="AQ1" s="582"/>
      <c r="AR1" s="582"/>
      <c r="AS1" s="582"/>
      <c r="AT1" s="582"/>
      <c r="AU1" s="582"/>
      <c r="AV1" s="582"/>
      <c r="AW1" s="582"/>
      <c r="AX1" s="582"/>
      <c r="AY1" s="582"/>
      <c r="AZ1" s="582"/>
      <c r="BA1" s="582"/>
      <c r="BB1" s="582"/>
      <c r="BC1" s="582"/>
      <c r="BD1" s="582"/>
      <c r="BE1" s="582"/>
      <c r="BF1" s="582"/>
      <c r="BG1" s="582"/>
      <c r="BH1" s="582"/>
      <c r="BI1" s="582"/>
      <c r="BJ1" s="582"/>
      <c r="BK1" s="582"/>
      <c r="BL1" s="582"/>
      <c r="BM1" s="582"/>
      <c r="BN1" s="582"/>
      <c r="BO1" s="582"/>
      <c r="BP1" s="582"/>
      <c r="BQ1" s="582"/>
      <c r="BR1" s="582"/>
      <c r="BS1" s="582"/>
      <c r="BT1" s="582"/>
    </row>
    <row r="2" spans="1:72" x14ac:dyDescent="0.3">
      <c r="A2" t="str">
        <f>'A-DevBdgt'!A2</f>
        <v>Location:</v>
      </c>
      <c r="B2" s="229" t="str">
        <f>'A-DevBdgt'!B2</f>
        <v>Meridian, Other</v>
      </c>
      <c r="C2"/>
      <c r="D2" s="580"/>
      <c r="H2" s="582"/>
      <c r="I2" s="582"/>
      <c r="J2" s="582"/>
      <c r="K2" s="582"/>
      <c r="L2" s="582"/>
      <c r="M2" s="582"/>
      <c r="N2" s="582"/>
      <c r="O2" s="582"/>
      <c r="P2" s="582"/>
      <c r="Q2" s="582"/>
      <c r="R2" s="582"/>
      <c r="S2" s="582"/>
      <c r="T2" s="582"/>
      <c r="U2" s="582"/>
      <c r="V2" s="582"/>
      <c r="W2" s="582"/>
      <c r="X2" s="582"/>
      <c r="Y2" s="582"/>
      <c r="Z2" s="582"/>
      <c r="AA2" s="582"/>
      <c r="AB2" s="582"/>
      <c r="AC2" s="582"/>
      <c r="AD2" s="582"/>
      <c r="AE2" s="582"/>
      <c r="AF2" s="582"/>
      <c r="AG2" s="582"/>
      <c r="AH2" s="582"/>
      <c r="AI2" s="582"/>
      <c r="AJ2" s="582"/>
      <c r="AK2" s="582"/>
      <c r="AL2" s="582"/>
      <c r="AM2" s="582"/>
      <c r="AN2" s="582"/>
      <c r="AO2" s="582"/>
      <c r="AP2" s="582"/>
      <c r="AQ2" s="582"/>
      <c r="AR2" s="582"/>
      <c r="AS2" s="582"/>
      <c r="AT2" s="582"/>
      <c r="AU2" s="582"/>
      <c r="AV2" s="582"/>
      <c r="AW2" s="582"/>
      <c r="AX2" s="582"/>
      <c r="AY2" s="582"/>
      <c r="AZ2" s="582"/>
      <c r="BA2" s="582"/>
      <c r="BB2" s="582"/>
      <c r="BC2" s="582"/>
      <c r="BD2" s="582"/>
      <c r="BE2" s="582"/>
      <c r="BF2" s="582"/>
      <c r="BG2" s="582"/>
      <c r="BH2" s="582"/>
      <c r="BI2" s="582"/>
      <c r="BJ2" s="582"/>
      <c r="BK2" s="582"/>
      <c r="BL2" s="582"/>
      <c r="BM2" s="582"/>
      <c r="BN2" s="582"/>
      <c r="BO2" s="582"/>
      <c r="BP2" s="582"/>
      <c r="BQ2" s="582"/>
      <c r="BR2" s="582"/>
      <c r="BS2" s="582"/>
      <c r="BT2" s="582"/>
    </row>
    <row r="3" spans="1:72" x14ac:dyDescent="0.3">
      <c r="A3" t="str">
        <f>'A-DevBdgt'!A3</f>
        <v>Last Saved:</v>
      </c>
      <c r="B3" s="584">
        <f>'A-DevBdgt'!B3</f>
        <v>46248</v>
      </c>
      <c r="C3" s="585">
        <f>'A-DevBdgt'!C3</f>
        <v>0.67652777777777773</v>
      </c>
      <c r="D3" s="586"/>
      <c r="H3" s="582"/>
      <c r="I3" s="582"/>
      <c r="J3" s="582"/>
      <c r="K3" s="582"/>
      <c r="L3" s="582"/>
      <c r="M3" s="582"/>
      <c r="N3" s="582"/>
      <c r="O3" s="582"/>
      <c r="P3" s="582"/>
      <c r="Q3" s="582"/>
      <c r="R3" s="582"/>
      <c r="S3" s="582"/>
      <c r="T3" s="582"/>
      <c r="U3" s="582"/>
      <c r="V3" s="582"/>
      <c r="W3" s="582"/>
      <c r="X3" s="582"/>
      <c r="Y3" s="582"/>
      <c r="Z3" s="582"/>
      <c r="AA3" s="582"/>
      <c r="AB3" s="582"/>
      <c r="AC3" s="582"/>
      <c r="AD3" s="582"/>
      <c r="AE3" s="582"/>
      <c r="AF3" s="582"/>
      <c r="AG3" s="582"/>
      <c r="AH3" s="582"/>
      <c r="AI3" s="582"/>
      <c r="AJ3" s="582"/>
      <c r="AK3" s="582"/>
      <c r="AL3" s="582"/>
      <c r="AM3" s="582"/>
      <c r="AN3" s="582"/>
      <c r="AO3" s="582"/>
      <c r="AP3" s="582"/>
      <c r="AQ3" s="582"/>
      <c r="AR3" s="582"/>
      <c r="AS3" s="582"/>
      <c r="AT3" s="582"/>
      <c r="AU3" s="582"/>
      <c r="AV3" s="582"/>
      <c r="AW3" s="582"/>
      <c r="AX3" s="582"/>
      <c r="AY3" s="582"/>
      <c r="AZ3" s="582"/>
      <c r="BA3" s="582"/>
      <c r="BB3" s="582"/>
      <c r="BC3" s="582"/>
      <c r="BD3" s="582"/>
      <c r="BE3" s="582"/>
      <c r="BF3" s="582"/>
      <c r="BG3" s="582"/>
      <c r="BH3" s="582"/>
      <c r="BI3" s="582"/>
      <c r="BJ3" s="582"/>
      <c r="BK3" s="582"/>
      <c r="BL3" s="582"/>
      <c r="BM3" s="582"/>
      <c r="BN3" s="582"/>
      <c r="BO3" s="582"/>
      <c r="BP3" s="582"/>
      <c r="BQ3" s="582"/>
      <c r="BR3" s="582"/>
      <c r="BS3" s="582"/>
      <c r="BT3" s="582"/>
    </row>
    <row r="4" spans="1:72" x14ac:dyDescent="0.3">
      <c r="A4"/>
      <c r="B4" s="584"/>
      <c r="C4" s="585"/>
      <c r="D4" s="586"/>
      <c r="H4" s="582"/>
      <c r="I4" s="582"/>
      <c r="J4" s="582"/>
      <c r="K4" s="582"/>
      <c r="L4" s="582"/>
      <c r="M4" s="582"/>
      <c r="N4" s="582"/>
      <c r="O4" s="582"/>
      <c r="P4" s="582"/>
      <c r="Q4" s="582"/>
      <c r="R4" s="582"/>
      <c r="S4" s="582"/>
      <c r="T4" s="582"/>
      <c r="U4" s="582"/>
      <c r="V4" s="582"/>
      <c r="W4" s="582"/>
      <c r="X4" s="582"/>
      <c r="Y4" s="582"/>
      <c r="Z4" s="582"/>
      <c r="AA4" s="582"/>
      <c r="AB4" s="582"/>
      <c r="AC4" s="582"/>
      <c r="AD4" s="582"/>
      <c r="AE4" s="582"/>
      <c r="AF4" s="582"/>
      <c r="AG4" s="582"/>
      <c r="AH4" s="582"/>
      <c r="AI4" s="582"/>
      <c r="AJ4" s="582"/>
      <c r="AK4" s="582"/>
      <c r="AL4" s="582"/>
      <c r="AM4" s="582"/>
      <c r="AN4" s="582"/>
      <c r="AO4" s="582"/>
      <c r="AP4" s="582"/>
      <c r="AQ4" s="582"/>
      <c r="AR4" s="582"/>
      <c r="AS4" s="582"/>
      <c r="AT4" s="582"/>
      <c r="AU4" s="582"/>
      <c r="AV4" s="582"/>
      <c r="AW4" s="582"/>
      <c r="AX4" s="582"/>
      <c r="AY4" s="582"/>
      <c r="AZ4" s="582"/>
      <c r="BA4" s="582"/>
      <c r="BB4" s="582"/>
      <c r="BC4" s="582"/>
      <c r="BD4" s="582"/>
      <c r="BE4" s="582"/>
      <c r="BF4" s="582"/>
      <c r="BG4" s="582"/>
      <c r="BH4" s="582"/>
      <c r="BI4" s="582"/>
      <c r="BJ4" s="582"/>
      <c r="BK4" s="582"/>
      <c r="BL4" s="582"/>
      <c r="BM4" s="582"/>
      <c r="BN4" s="582"/>
      <c r="BO4" s="582"/>
      <c r="BP4" s="582"/>
      <c r="BQ4" s="582"/>
      <c r="BR4" s="582"/>
      <c r="BS4" s="582"/>
      <c r="BT4" s="582"/>
    </row>
    <row r="5" spans="1:72" hidden="1" x14ac:dyDescent="0.3">
      <c r="H5" s="582">
        <f>IF(H7&gt;=JVClosingDate,1,0)</f>
        <v>0</v>
      </c>
      <c r="I5" s="582">
        <f t="shared" ref="I5:AM5" si="0">IF(I7&gt;=JVClosingDate,1,0)</f>
        <v>0</v>
      </c>
      <c r="J5" s="582">
        <f t="shared" si="0"/>
        <v>0</v>
      </c>
      <c r="K5" s="582">
        <f t="shared" si="0"/>
        <v>0</v>
      </c>
      <c r="L5" s="582">
        <f t="shared" si="0"/>
        <v>0</v>
      </c>
      <c r="M5" s="582">
        <f t="shared" si="0"/>
        <v>0</v>
      </c>
      <c r="N5" s="582">
        <f t="shared" si="0"/>
        <v>0</v>
      </c>
      <c r="O5" s="582">
        <f t="shared" si="0"/>
        <v>0</v>
      </c>
      <c r="P5" s="582">
        <f t="shared" si="0"/>
        <v>0</v>
      </c>
      <c r="Q5" s="582">
        <f t="shared" si="0"/>
        <v>0</v>
      </c>
      <c r="R5" s="582">
        <f t="shared" si="0"/>
        <v>0</v>
      </c>
      <c r="S5" s="582">
        <f t="shared" si="0"/>
        <v>0</v>
      </c>
      <c r="T5" s="582">
        <f t="shared" si="0"/>
        <v>0</v>
      </c>
      <c r="U5" s="582">
        <f t="shared" si="0"/>
        <v>0</v>
      </c>
      <c r="V5" s="582">
        <f t="shared" si="0"/>
        <v>0</v>
      </c>
      <c r="W5" s="582">
        <f t="shared" si="0"/>
        <v>1</v>
      </c>
      <c r="X5" s="582">
        <f t="shared" si="0"/>
        <v>1</v>
      </c>
      <c r="Y5" s="582">
        <f t="shared" si="0"/>
        <v>1</v>
      </c>
      <c r="Z5" s="582">
        <f t="shared" si="0"/>
        <v>1</v>
      </c>
      <c r="AA5" s="582">
        <f t="shared" si="0"/>
        <v>1</v>
      </c>
      <c r="AB5" s="582">
        <f t="shared" si="0"/>
        <v>1</v>
      </c>
      <c r="AC5" s="582">
        <f t="shared" si="0"/>
        <v>1</v>
      </c>
      <c r="AD5" s="582">
        <f t="shared" si="0"/>
        <v>1</v>
      </c>
      <c r="AE5" s="582">
        <f t="shared" si="0"/>
        <v>1</v>
      </c>
      <c r="AF5" s="582">
        <f t="shared" si="0"/>
        <v>1</v>
      </c>
      <c r="AG5" s="582">
        <f t="shared" si="0"/>
        <v>1</v>
      </c>
      <c r="AH5" s="582">
        <f t="shared" si="0"/>
        <v>1</v>
      </c>
      <c r="AI5" s="582">
        <f t="shared" si="0"/>
        <v>1</v>
      </c>
      <c r="AJ5" s="582">
        <f t="shared" si="0"/>
        <v>1</v>
      </c>
      <c r="AK5" s="582">
        <f t="shared" si="0"/>
        <v>1</v>
      </c>
      <c r="AL5" s="582">
        <f t="shared" si="0"/>
        <v>1</v>
      </c>
      <c r="AM5" s="582">
        <f t="shared" si="0"/>
        <v>1</v>
      </c>
      <c r="AN5" s="582">
        <f t="shared" ref="AN5:BT5" si="1">IF(AN7&gt;=JVClosingDate,1,0)</f>
        <v>1</v>
      </c>
      <c r="AO5" s="582">
        <f t="shared" si="1"/>
        <v>1</v>
      </c>
      <c r="AP5" s="582">
        <f t="shared" si="1"/>
        <v>1</v>
      </c>
      <c r="AQ5" s="582">
        <f t="shared" si="1"/>
        <v>1</v>
      </c>
      <c r="AR5" s="582">
        <f t="shared" si="1"/>
        <v>1</v>
      </c>
      <c r="AS5" s="582">
        <f t="shared" si="1"/>
        <v>1</v>
      </c>
      <c r="AT5" s="582">
        <f t="shared" si="1"/>
        <v>1</v>
      </c>
      <c r="AU5" s="582">
        <f t="shared" si="1"/>
        <v>1</v>
      </c>
      <c r="AV5" s="582">
        <f t="shared" si="1"/>
        <v>1</v>
      </c>
      <c r="AW5" s="582">
        <f t="shared" si="1"/>
        <v>1</v>
      </c>
      <c r="AX5" s="582">
        <f t="shared" si="1"/>
        <v>1</v>
      </c>
      <c r="AY5" s="582">
        <f t="shared" si="1"/>
        <v>1</v>
      </c>
      <c r="AZ5" s="582">
        <f t="shared" si="1"/>
        <v>1</v>
      </c>
      <c r="BA5" s="582">
        <f t="shared" si="1"/>
        <v>1</v>
      </c>
      <c r="BB5" s="582">
        <f t="shared" si="1"/>
        <v>1</v>
      </c>
      <c r="BC5" s="582">
        <f t="shared" si="1"/>
        <v>1</v>
      </c>
      <c r="BD5" s="582">
        <f t="shared" si="1"/>
        <v>1</v>
      </c>
      <c r="BE5" s="582">
        <f t="shared" si="1"/>
        <v>1</v>
      </c>
      <c r="BF5" s="582">
        <f t="shared" si="1"/>
        <v>1</v>
      </c>
      <c r="BG5" s="582">
        <f t="shared" si="1"/>
        <v>1</v>
      </c>
      <c r="BH5" s="582">
        <f t="shared" si="1"/>
        <v>1</v>
      </c>
      <c r="BI5" s="582">
        <f t="shared" si="1"/>
        <v>1</v>
      </c>
      <c r="BJ5" s="582">
        <f t="shared" si="1"/>
        <v>1</v>
      </c>
      <c r="BK5" s="582">
        <f t="shared" si="1"/>
        <v>1</v>
      </c>
      <c r="BL5" s="582">
        <f t="shared" si="1"/>
        <v>1</v>
      </c>
      <c r="BM5" s="582">
        <f t="shared" si="1"/>
        <v>1</v>
      </c>
      <c r="BN5" s="582">
        <f t="shared" si="1"/>
        <v>1</v>
      </c>
      <c r="BO5" s="582">
        <f t="shared" si="1"/>
        <v>1</v>
      </c>
      <c r="BP5" s="582">
        <f t="shared" si="1"/>
        <v>1</v>
      </c>
      <c r="BQ5" s="582">
        <f t="shared" si="1"/>
        <v>1</v>
      </c>
      <c r="BR5" s="582">
        <f t="shared" si="1"/>
        <v>1</v>
      </c>
      <c r="BS5" s="582">
        <f t="shared" si="1"/>
        <v>1</v>
      </c>
      <c r="BT5" s="582">
        <f t="shared" si="1"/>
        <v>1</v>
      </c>
    </row>
    <row r="6" spans="1:72" s="592" customFormat="1" x14ac:dyDescent="0.3">
      <c r="A6" s="369"/>
      <c r="B6" s="587"/>
      <c r="C6" s="369"/>
      <c r="D6" s="588" t="s">
        <v>345</v>
      </c>
      <c r="E6" s="588" t="s">
        <v>173</v>
      </c>
      <c r="F6" s="589" t="s">
        <v>2327</v>
      </c>
      <c r="G6" s="590" t="s">
        <v>2328</v>
      </c>
      <c r="H6" s="591">
        <f>-YEARFRAC(AnalysisStartDate,JVClosingDate)*12</f>
        <v>-15</v>
      </c>
      <c r="I6" s="591">
        <f>H6+1</f>
        <v>-14</v>
      </c>
      <c r="J6" s="591">
        <f t="shared" ref="J6:BT6" si="2">I6+1</f>
        <v>-13</v>
      </c>
      <c r="K6" s="591">
        <f t="shared" si="2"/>
        <v>-12</v>
      </c>
      <c r="L6" s="591">
        <f t="shared" si="2"/>
        <v>-11</v>
      </c>
      <c r="M6" s="591">
        <f t="shared" si="2"/>
        <v>-10</v>
      </c>
      <c r="N6" s="591">
        <f t="shared" si="2"/>
        <v>-9</v>
      </c>
      <c r="O6" s="591">
        <f t="shared" si="2"/>
        <v>-8</v>
      </c>
      <c r="P6" s="591">
        <f t="shared" si="2"/>
        <v>-7</v>
      </c>
      <c r="Q6" s="591">
        <f t="shared" si="2"/>
        <v>-6</v>
      </c>
      <c r="R6" s="591">
        <f t="shared" si="2"/>
        <v>-5</v>
      </c>
      <c r="S6" s="591">
        <f t="shared" si="2"/>
        <v>-4</v>
      </c>
      <c r="T6" s="591">
        <f t="shared" si="2"/>
        <v>-3</v>
      </c>
      <c r="U6" s="591">
        <f t="shared" si="2"/>
        <v>-2</v>
      </c>
      <c r="V6" s="591">
        <f t="shared" si="2"/>
        <v>-1</v>
      </c>
      <c r="W6" s="591">
        <f t="shared" si="2"/>
        <v>0</v>
      </c>
      <c r="X6" s="591">
        <f t="shared" si="2"/>
        <v>1</v>
      </c>
      <c r="Y6" s="591">
        <f t="shared" si="2"/>
        <v>2</v>
      </c>
      <c r="Z6" s="591">
        <f t="shared" si="2"/>
        <v>3</v>
      </c>
      <c r="AA6" s="591">
        <f t="shared" si="2"/>
        <v>4</v>
      </c>
      <c r="AB6" s="591">
        <f t="shared" si="2"/>
        <v>5</v>
      </c>
      <c r="AC6" s="591">
        <f t="shared" si="2"/>
        <v>6</v>
      </c>
      <c r="AD6" s="591">
        <f t="shared" si="2"/>
        <v>7</v>
      </c>
      <c r="AE6" s="591">
        <f t="shared" si="2"/>
        <v>8</v>
      </c>
      <c r="AF6" s="591">
        <f t="shared" si="2"/>
        <v>9</v>
      </c>
      <c r="AG6" s="591">
        <f t="shared" si="2"/>
        <v>10</v>
      </c>
      <c r="AH6" s="591">
        <f t="shared" si="2"/>
        <v>11</v>
      </c>
      <c r="AI6" s="591">
        <f t="shared" si="2"/>
        <v>12</v>
      </c>
      <c r="AJ6" s="591">
        <f t="shared" si="2"/>
        <v>13</v>
      </c>
      <c r="AK6" s="591">
        <f t="shared" si="2"/>
        <v>14</v>
      </c>
      <c r="AL6" s="591">
        <f t="shared" si="2"/>
        <v>15</v>
      </c>
      <c r="AM6" s="591">
        <f t="shared" si="2"/>
        <v>16</v>
      </c>
      <c r="AN6" s="591">
        <f t="shared" si="2"/>
        <v>17</v>
      </c>
      <c r="AO6" s="591">
        <f t="shared" si="2"/>
        <v>18</v>
      </c>
      <c r="AP6" s="591">
        <f t="shared" si="2"/>
        <v>19</v>
      </c>
      <c r="AQ6" s="591">
        <f t="shared" si="2"/>
        <v>20</v>
      </c>
      <c r="AR6" s="591">
        <f t="shared" si="2"/>
        <v>21</v>
      </c>
      <c r="AS6" s="591">
        <f t="shared" si="2"/>
        <v>22</v>
      </c>
      <c r="AT6" s="591">
        <f t="shared" si="2"/>
        <v>23</v>
      </c>
      <c r="AU6" s="591">
        <f t="shared" si="2"/>
        <v>24</v>
      </c>
      <c r="AV6" s="591">
        <f t="shared" si="2"/>
        <v>25</v>
      </c>
      <c r="AW6" s="591">
        <f t="shared" si="2"/>
        <v>26</v>
      </c>
      <c r="AX6" s="591">
        <f t="shared" si="2"/>
        <v>27</v>
      </c>
      <c r="AY6" s="591">
        <f t="shared" si="2"/>
        <v>28</v>
      </c>
      <c r="AZ6" s="591">
        <f t="shared" si="2"/>
        <v>29</v>
      </c>
      <c r="BA6" s="591">
        <f t="shared" si="2"/>
        <v>30</v>
      </c>
      <c r="BB6" s="591">
        <f t="shared" si="2"/>
        <v>31</v>
      </c>
      <c r="BC6" s="591">
        <f t="shared" si="2"/>
        <v>32</v>
      </c>
      <c r="BD6" s="591">
        <f t="shared" si="2"/>
        <v>33</v>
      </c>
      <c r="BE6" s="591">
        <f t="shared" si="2"/>
        <v>34</v>
      </c>
      <c r="BF6" s="591">
        <f t="shared" si="2"/>
        <v>35</v>
      </c>
      <c r="BG6" s="591">
        <f t="shared" si="2"/>
        <v>36</v>
      </c>
      <c r="BH6" s="591">
        <f t="shared" si="2"/>
        <v>37</v>
      </c>
      <c r="BI6" s="591">
        <f t="shared" si="2"/>
        <v>38</v>
      </c>
      <c r="BJ6" s="591">
        <f t="shared" si="2"/>
        <v>39</v>
      </c>
      <c r="BK6" s="591">
        <f t="shared" si="2"/>
        <v>40</v>
      </c>
      <c r="BL6" s="591">
        <f t="shared" si="2"/>
        <v>41</v>
      </c>
      <c r="BM6" s="591">
        <f t="shared" si="2"/>
        <v>42</v>
      </c>
      <c r="BN6" s="591">
        <f t="shared" si="2"/>
        <v>43</v>
      </c>
      <c r="BO6" s="591">
        <f t="shared" si="2"/>
        <v>44</v>
      </c>
      <c r="BP6" s="591">
        <f t="shared" si="2"/>
        <v>45</v>
      </c>
      <c r="BQ6" s="591">
        <f t="shared" si="2"/>
        <v>46</v>
      </c>
      <c r="BR6" s="591">
        <f t="shared" si="2"/>
        <v>47</v>
      </c>
      <c r="BS6" s="591">
        <f t="shared" si="2"/>
        <v>48</v>
      </c>
      <c r="BT6" s="591">
        <f t="shared" si="2"/>
        <v>49</v>
      </c>
    </row>
    <row r="7" spans="1:72" s="598" customFormat="1" ht="15" thickBot="1" x14ac:dyDescent="0.35">
      <c r="A7" s="593"/>
      <c r="B7" s="594"/>
      <c r="C7" s="593"/>
      <c r="D7" s="595" t="s">
        <v>2287</v>
      </c>
      <c r="E7" s="595" t="s">
        <v>2329</v>
      </c>
      <c r="F7" s="60">
        <f ca="1">TODAY()</f>
        <v>46248</v>
      </c>
      <c r="G7" s="596" t="s">
        <v>2330</v>
      </c>
      <c r="H7" s="597">
        <f>AnalysisStartDate</f>
        <v>46174</v>
      </c>
      <c r="I7" s="597">
        <f>EDATE(H7,1)</f>
        <v>46204</v>
      </c>
      <c r="J7" s="597">
        <f t="shared" ref="J7:AQ7" si="3">EDATE(I7,1)</f>
        <v>46235</v>
      </c>
      <c r="K7" s="597">
        <f t="shared" si="3"/>
        <v>46266</v>
      </c>
      <c r="L7" s="597">
        <f t="shared" si="3"/>
        <v>46296</v>
      </c>
      <c r="M7" s="597">
        <f t="shared" si="3"/>
        <v>46327</v>
      </c>
      <c r="N7" s="597">
        <f t="shared" si="3"/>
        <v>46357</v>
      </c>
      <c r="O7" s="597">
        <f t="shared" si="3"/>
        <v>46388</v>
      </c>
      <c r="P7" s="597">
        <f t="shared" si="3"/>
        <v>46419</v>
      </c>
      <c r="Q7" s="597">
        <f t="shared" si="3"/>
        <v>46447</v>
      </c>
      <c r="R7" s="597">
        <f t="shared" si="3"/>
        <v>46478</v>
      </c>
      <c r="S7" s="597">
        <f t="shared" si="3"/>
        <v>46508</v>
      </c>
      <c r="T7" s="597">
        <f t="shared" si="3"/>
        <v>46539</v>
      </c>
      <c r="U7" s="597">
        <f t="shared" si="3"/>
        <v>46569</v>
      </c>
      <c r="V7" s="597">
        <f t="shared" si="3"/>
        <v>46600</v>
      </c>
      <c r="W7" s="597">
        <f t="shared" si="3"/>
        <v>46631</v>
      </c>
      <c r="X7" s="597">
        <f t="shared" si="3"/>
        <v>46661</v>
      </c>
      <c r="Y7" s="597">
        <f t="shared" si="3"/>
        <v>46692</v>
      </c>
      <c r="Z7" s="597">
        <f t="shared" si="3"/>
        <v>46722</v>
      </c>
      <c r="AA7" s="597">
        <f t="shared" si="3"/>
        <v>46753</v>
      </c>
      <c r="AB7" s="597">
        <f t="shared" si="3"/>
        <v>46784</v>
      </c>
      <c r="AC7" s="597">
        <f t="shared" si="3"/>
        <v>46813</v>
      </c>
      <c r="AD7" s="597">
        <f t="shared" si="3"/>
        <v>46844</v>
      </c>
      <c r="AE7" s="597">
        <f t="shared" si="3"/>
        <v>46874</v>
      </c>
      <c r="AF7" s="597">
        <f t="shared" si="3"/>
        <v>46905</v>
      </c>
      <c r="AG7" s="597">
        <f t="shared" si="3"/>
        <v>46935</v>
      </c>
      <c r="AH7" s="597">
        <f t="shared" si="3"/>
        <v>46966</v>
      </c>
      <c r="AI7" s="597">
        <f t="shared" si="3"/>
        <v>46997</v>
      </c>
      <c r="AJ7" s="597">
        <f t="shared" si="3"/>
        <v>47027</v>
      </c>
      <c r="AK7" s="597">
        <f t="shared" si="3"/>
        <v>47058</v>
      </c>
      <c r="AL7" s="597">
        <f t="shared" si="3"/>
        <v>47088</v>
      </c>
      <c r="AM7" s="597">
        <f t="shared" si="3"/>
        <v>47119</v>
      </c>
      <c r="AN7" s="597">
        <f t="shared" si="3"/>
        <v>47150</v>
      </c>
      <c r="AO7" s="597">
        <f t="shared" si="3"/>
        <v>47178</v>
      </c>
      <c r="AP7" s="597">
        <f t="shared" si="3"/>
        <v>47209</v>
      </c>
      <c r="AQ7" s="597">
        <f t="shared" si="3"/>
        <v>47239</v>
      </c>
      <c r="AR7" s="597">
        <f t="shared" ref="AR7:BT7" si="4">EDATE(AQ7,1)</f>
        <v>47270</v>
      </c>
      <c r="AS7" s="597">
        <f t="shared" si="4"/>
        <v>47300</v>
      </c>
      <c r="AT7" s="597">
        <f t="shared" si="4"/>
        <v>47331</v>
      </c>
      <c r="AU7" s="597">
        <f t="shared" si="4"/>
        <v>47362</v>
      </c>
      <c r="AV7" s="597">
        <f t="shared" si="4"/>
        <v>47392</v>
      </c>
      <c r="AW7" s="597">
        <f t="shared" si="4"/>
        <v>47423</v>
      </c>
      <c r="AX7" s="597">
        <f t="shared" si="4"/>
        <v>47453</v>
      </c>
      <c r="AY7" s="597">
        <f t="shared" si="4"/>
        <v>47484</v>
      </c>
      <c r="AZ7" s="597">
        <f t="shared" si="4"/>
        <v>47515</v>
      </c>
      <c r="BA7" s="597">
        <f t="shared" si="4"/>
        <v>47543</v>
      </c>
      <c r="BB7" s="597">
        <f t="shared" si="4"/>
        <v>47574</v>
      </c>
      <c r="BC7" s="597">
        <f t="shared" si="4"/>
        <v>47604</v>
      </c>
      <c r="BD7" s="597">
        <f t="shared" si="4"/>
        <v>47635</v>
      </c>
      <c r="BE7" s="597">
        <f t="shared" si="4"/>
        <v>47665</v>
      </c>
      <c r="BF7" s="597">
        <f t="shared" si="4"/>
        <v>47696</v>
      </c>
      <c r="BG7" s="597">
        <f t="shared" si="4"/>
        <v>47727</v>
      </c>
      <c r="BH7" s="597">
        <f t="shared" si="4"/>
        <v>47757</v>
      </c>
      <c r="BI7" s="597">
        <f t="shared" si="4"/>
        <v>47788</v>
      </c>
      <c r="BJ7" s="597">
        <f t="shared" si="4"/>
        <v>47818</v>
      </c>
      <c r="BK7" s="597">
        <f t="shared" si="4"/>
        <v>47849</v>
      </c>
      <c r="BL7" s="597">
        <f t="shared" si="4"/>
        <v>47880</v>
      </c>
      <c r="BM7" s="597">
        <f t="shared" si="4"/>
        <v>47908</v>
      </c>
      <c r="BN7" s="597">
        <f t="shared" si="4"/>
        <v>47939</v>
      </c>
      <c r="BO7" s="597">
        <f t="shared" si="4"/>
        <v>47969</v>
      </c>
      <c r="BP7" s="597">
        <f t="shared" si="4"/>
        <v>48000</v>
      </c>
      <c r="BQ7" s="597">
        <f t="shared" si="4"/>
        <v>48030</v>
      </c>
      <c r="BR7" s="597">
        <f t="shared" si="4"/>
        <v>48061</v>
      </c>
      <c r="BS7" s="597">
        <f t="shared" si="4"/>
        <v>48092</v>
      </c>
      <c r="BT7" s="597">
        <f t="shared" si="4"/>
        <v>48122</v>
      </c>
    </row>
    <row r="8" spans="1:72" s="602" customFormat="1" ht="7.5" customHeight="1" thickTop="1" x14ac:dyDescent="0.3">
      <c r="A8" s="599">
        <f>JVClosingDate</f>
        <v>46631</v>
      </c>
      <c r="B8" s="600"/>
      <c r="C8" s="599"/>
      <c r="D8" s="601"/>
      <c r="H8" s="603">
        <f>H6</f>
        <v>-15</v>
      </c>
      <c r="I8" s="603">
        <f t="shared" ref="I8:AQ8" si="5">I6</f>
        <v>-14</v>
      </c>
      <c r="J8" s="603">
        <f t="shared" si="5"/>
        <v>-13</v>
      </c>
      <c r="K8" s="603">
        <f t="shared" si="5"/>
        <v>-12</v>
      </c>
      <c r="L8" s="603">
        <f t="shared" si="5"/>
        <v>-11</v>
      </c>
      <c r="M8" s="603">
        <f t="shared" si="5"/>
        <v>-10</v>
      </c>
      <c r="N8" s="603">
        <f t="shared" si="5"/>
        <v>-9</v>
      </c>
      <c r="O8" s="603">
        <f t="shared" si="5"/>
        <v>-8</v>
      </c>
      <c r="P8" s="603">
        <f t="shared" si="5"/>
        <v>-7</v>
      </c>
      <c r="Q8" s="603">
        <f t="shared" si="5"/>
        <v>-6</v>
      </c>
      <c r="R8" s="603">
        <f t="shared" si="5"/>
        <v>-5</v>
      </c>
      <c r="S8" s="603">
        <f t="shared" si="5"/>
        <v>-4</v>
      </c>
      <c r="T8" s="603">
        <f t="shared" si="5"/>
        <v>-3</v>
      </c>
      <c r="U8" s="603">
        <f t="shared" si="5"/>
        <v>-2</v>
      </c>
      <c r="V8" s="603">
        <f t="shared" si="5"/>
        <v>-1</v>
      </c>
      <c r="W8" s="603">
        <f t="shared" si="5"/>
        <v>0</v>
      </c>
      <c r="X8" s="603">
        <f t="shared" si="5"/>
        <v>1</v>
      </c>
      <c r="Y8" s="603">
        <f t="shared" si="5"/>
        <v>2</v>
      </c>
      <c r="Z8" s="603">
        <f t="shared" si="5"/>
        <v>3</v>
      </c>
      <c r="AA8" s="603">
        <f t="shared" si="5"/>
        <v>4</v>
      </c>
      <c r="AB8" s="603">
        <f t="shared" si="5"/>
        <v>5</v>
      </c>
      <c r="AC8" s="603">
        <f t="shared" si="5"/>
        <v>6</v>
      </c>
      <c r="AD8" s="603">
        <f t="shared" si="5"/>
        <v>7</v>
      </c>
      <c r="AE8" s="603">
        <f t="shared" si="5"/>
        <v>8</v>
      </c>
      <c r="AF8" s="603">
        <f t="shared" si="5"/>
        <v>9</v>
      </c>
      <c r="AG8" s="603">
        <f t="shared" si="5"/>
        <v>10</v>
      </c>
      <c r="AH8" s="603">
        <f t="shared" si="5"/>
        <v>11</v>
      </c>
      <c r="AI8" s="603">
        <f t="shared" si="5"/>
        <v>12</v>
      </c>
      <c r="AJ8" s="603">
        <f t="shared" si="5"/>
        <v>13</v>
      </c>
      <c r="AK8" s="603">
        <f t="shared" si="5"/>
        <v>14</v>
      </c>
      <c r="AL8" s="603">
        <f t="shared" si="5"/>
        <v>15</v>
      </c>
      <c r="AM8" s="603">
        <f t="shared" si="5"/>
        <v>16</v>
      </c>
      <c r="AN8" s="603">
        <f t="shared" si="5"/>
        <v>17</v>
      </c>
      <c r="AO8" s="603">
        <f t="shared" si="5"/>
        <v>18</v>
      </c>
      <c r="AP8" s="603">
        <f t="shared" si="5"/>
        <v>19</v>
      </c>
      <c r="AQ8" s="603">
        <f t="shared" si="5"/>
        <v>20</v>
      </c>
      <c r="AR8" s="603">
        <f t="shared" ref="AR8:BS8" si="6">AR6</f>
        <v>21</v>
      </c>
      <c r="AS8" s="603">
        <f t="shared" si="6"/>
        <v>22</v>
      </c>
      <c r="AT8" s="603">
        <f t="shared" si="6"/>
        <v>23</v>
      </c>
      <c r="AU8" s="603">
        <f t="shared" si="6"/>
        <v>24</v>
      </c>
      <c r="AV8" s="603">
        <f t="shared" si="6"/>
        <v>25</v>
      </c>
      <c r="AW8" s="603">
        <f t="shared" si="6"/>
        <v>26</v>
      </c>
      <c r="AX8" s="603">
        <f t="shared" si="6"/>
        <v>27</v>
      </c>
      <c r="AY8" s="603">
        <f t="shared" si="6"/>
        <v>28</v>
      </c>
      <c r="AZ8" s="603">
        <f t="shared" si="6"/>
        <v>29</v>
      </c>
      <c r="BA8" s="603">
        <f t="shared" si="6"/>
        <v>30</v>
      </c>
      <c r="BB8" s="603">
        <f t="shared" si="6"/>
        <v>31</v>
      </c>
      <c r="BC8" s="603">
        <f t="shared" si="6"/>
        <v>32</v>
      </c>
      <c r="BD8" s="603">
        <f t="shared" si="6"/>
        <v>33</v>
      </c>
      <c r="BE8" s="603">
        <f t="shared" si="6"/>
        <v>34</v>
      </c>
      <c r="BF8" s="603">
        <f t="shared" si="6"/>
        <v>35</v>
      </c>
      <c r="BG8" s="603">
        <f t="shared" si="6"/>
        <v>36</v>
      </c>
      <c r="BH8" s="603">
        <f t="shared" si="6"/>
        <v>37</v>
      </c>
      <c r="BI8" s="603">
        <f t="shared" si="6"/>
        <v>38</v>
      </c>
      <c r="BJ8" s="603">
        <f t="shared" si="6"/>
        <v>39</v>
      </c>
      <c r="BK8" s="603">
        <f t="shared" si="6"/>
        <v>40</v>
      </c>
      <c r="BL8" s="603">
        <f t="shared" si="6"/>
        <v>41</v>
      </c>
      <c r="BM8" s="603">
        <f t="shared" si="6"/>
        <v>42</v>
      </c>
      <c r="BN8" s="603">
        <f t="shared" si="6"/>
        <v>43</v>
      </c>
      <c r="BO8" s="603">
        <f t="shared" si="6"/>
        <v>44</v>
      </c>
      <c r="BP8" s="603">
        <f t="shared" si="6"/>
        <v>45</v>
      </c>
      <c r="BQ8" s="603">
        <f t="shared" si="6"/>
        <v>46</v>
      </c>
      <c r="BR8" s="603">
        <f t="shared" si="6"/>
        <v>47</v>
      </c>
      <c r="BS8" s="603">
        <f t="shared" si="6"/>
        <v>48</v>
      </c>
      <c r="BT8" s="603">
        <f>BT6</f>
        <v>49</v>
      </c>
    </row>
    <row r="9" spans="1:72" s="203" customFormat="1" ht="15.6" x14ac:dyDescent="0.3">
      <c r="A9" s="115" t="s">
        <v>2331</v>
      </c>
      <c r="B9" s="389"/>
      <c r="C9" s="389"/>
      <c r="D9" s="389"/>
      <c r="E9" s="389"/>
      <c r="F9" s="389"/>
      <c r="G9" s="389"/>
      <c r="H9" s="389"/>
      <c r="I9" s="389"/>
      <c r="J9" s="389"/>
      <c r="K9" s="389"/>
      <c r="L9" s="389"/>
      <c r="M9" s="389"/>
      <c r="N9" s="389"/>
      <c r="O9" s="389"/>
      <c r="P9" s="389"/>
      <c r="Q9" s="389"/>
      <c r="R9" s="389"/>
      <c r="S9" s="389"/>
      <c r="T9" s="389"/>
      <c r="U9" s="389"/>
      <c r="V9" s="389"/>
      <c r="W9" s="389"/>
      <c r="X9" s="389"/>
      <c r="Y9" s="389"/>
      <c r="Z9" s="389"/>
      <c r="AA9" s="389"/>
      <c r="AB9" s="389"/>
      <c r="AC9" s="389"/>
      <c r="AD9" s="389"/>
      <c r="AE9" s="389"/>
      <c r="AF9" s="389"/>
      <c r="AG9" s="389"/>
      <c r="AH9" s="389"/>
      <c r="AI9" s="389"/>
      <c r="AJ9" s="389"/>
      <c r="AK9" s="389"/>
      <c r="AL9" s="389"/>
      <c r="AM9" s="389"/>
      <c r="AN9" s="389"/>
      <c r="AO9" s="389"/>
      <c r="AP9" s="389"/>
      <c r="AQ9" s="389"/>
      <c r="AR9" s="389"/>
      <c r="AS9" s="389"/>
      <c r="AT9" s="389"/>
      <c r="AU9" s="389"/>
      <c r="AV9" s="389"/>
      <c r="AW9" s="389"/>
      <c r="AX9" s="389"/>
      <c r="AY9" s="389"/>
      <c r="AZ9" s="389"/>
      <c r="BA9" s="389"/>
      <c r="BB9" s="389"/>
      <c r="BC9" s="389"/>
      <c r="BD9" s="389"/>
      <c r="BE9" s="389"/>
      <c r="BF9" s="389"/>
      <c r="BG9" s="389"/>
      <c r="BH9" s="389"/>
      <c r="BI9" s="389"/>
      <c r="BJ9" s="389"/>
      <c r="BK9" s="389"/>
      <c r="BL9" s="389"/>
      <c r="BM9" s="389"/>
      <c r="BN9" s="389"/>
      <c r="BO9" s="389"/>
      <c r="BP9" s="389"/>
      <c r="BQ9" s="389"/>
      <c r="BR9" s="389"/>
      <c r="BS9" s="389"/>
      <c r="BT9" s="389"/>
    </row>
    <row r="10" spans="1:72" s="203" customFormat="1" ht="3.75" customHeight="1" thickBot="1" x14ac:dyDescent="0.35">
      <c r="A10" s="119"/>
      <c r="B10" s="119"/>
      <c r="C10" s="119"/>
      <c r="D10" s="119"/>
      <c r="E10" s="119"/>
      <c r="F10" s="119"/>
      <c r="G10" s="119"/>
      <c r="H10" s="119"/>
      <c r="I10" s="119"/>
      <c r="J10" s="119"/>
      <c r="K10" s="119"/>
      <c r="L10" s="119"/>
      <c r="M10" s="119"/>
      <c r="N10" s="119"/>
      <c r="O10" s="119"/>
      <c r="P10" s="119"/>
      <c r="Q10" s="119"/>
      <c r="R10" s="119"/>
      <c r="S10" s="119"/>
      <c r="T10" s="119"/>
      <c r="U10" s="119"/>
      <c r="V10" s="119"/>
      <c r="W10" s="119"/>
      <c r="X10" s="119"/>
      <c r="Y10" s="119"/>
      <c r="Z10" s="119"/>
      <c r="AA10" s="119"/>
      <c r="AB10" s="119"/>
      <c r="AC10" s="119"/>
      <c r="AD10" s="119"/>
      <c r="AE10" s="119"/>
      <c r="AF10" s="119"/>
      <c r="AG10" s="119"/>
      <c r="AH10" s="119"/>
      <c r="AI10" s="119"/>
      <c r="AJ10" s="119"/>
      <c r="AK10" s="119"/>
      <c r="AL10" s="119"/>
      <c r="AM10" s="119"/>
      <c r="AN10" s="119"/>
      <c r="AO10" s="119"/>
      <c r="AP10" s="119"/>
      <c r="AQ10" s="119"/>
      <c r="AR10" s="119"/>
      <c r="AS10" s="119"/>
      <c r="AT10" s="119"/>
      <c r="AU10" s="119"/>
      <c r="AV10" s="119"/>
      <c r="AW10" s="119"/>
      <c r="AX10" s="119"/>
      <c r="AY10" s="119"/>
      <c r="AZ10" s="119"/>
      <c r="BA10" s="119"/>
      <c r="BB10" s="119"/>
      <c r="BC10" s="119"/>
      <c r="BD10" s="119"/>
      <c r="BE10" s="119"/>
      <c r="BF10" s="119"/>
      <c r="BG10" s="119"/>
      <c r="BH10" s="119"/>
      <c r="BI10" s="119"/>
      <c r="BJ10" s="119"/>
      <c r="BK10" s="119"/>
      <c r="BL10" s="119"/>
      <c r="BM10" s="119"/>
      <c r="BN10" s="119"/>
      <c r="BO10" s="119"/>
      <c r="BP10" s="119"/>
      <c r="BQ10" s="119"/>
      <c r="BR10" s="119"/>
      <c r="BS10" s="119"/>
      <c r="BT10" s="119"/>
    </row>
    <row r="11" spans="1:72" s="203" customFormat="1" ht="15" thickTop="1" x14ac:dyDescent="0.3">
      <c r="A11" s="604" t="s">
        <v>677</v>
      </c>
      <c r="B11" s="182"/>
      <c r="C11" s="182"/>
      <c r="D11" s="605">
        <f ca="1">TotalADValorem</f>
        <v>83335.391794650437</v>
      </c>
      <c r="E11" s="606">
        <f>SUMIF($H$7:$BT$7,"&lt;"&amp;StartDate,$H11:$BT11)</f>
        <v>0</v>
      </c>
      <c r="F11" s="606">
        <f ca="1">SUMIF($H$7:$BT$7,"&lt;="&amp;$F$7,$H11:$BT11)</f>
        <v>0</v>
      </c>
      <c r="G11" s="606">
        <f ca="1">E11-F11</f>
        <v>0</v>
      </c>
      <c r="H11" s="607">
        <f>SUBTOTAL(9,H12:H12)</f>
        <v>0</v>
      </c>
      <c r="I11" s="607">
        <f t="shared" ref="I11:BT11" si="7">SUBTOTAL(9,I12:I12)</f>
        <v>0</v>
      </c>
      <c r="J11" s="607">
        <f t="shared" si="7"/>
        <v>0</v>
      </c>
      <c r="K11" s="607">
        <f t="shared" si="7"/>
        <v>0</v>
      </c>
      <c r="L11" s="607">
        <f t="shared" si="7"/>
        <v>0</v>
      </c>
      <c r="M11" s="607">
        <f t="shared" si="7"/>
        <v>0</v>
      </c>
      <c r="N11" s="607">
        <f t="shared" si="7"/>
        <v>0</v>
      </c>
      <c r="O11" s="607">
        <f t="shared" si="7"/>
        <v>0</v>
      </c>
      <c r="P11" s="607">
        <f t="shared" si="7"/>
        <v>0</v>
      </c>
      <c r="Q11" s="607">
        <f t="shared" si="7"/>
        <v>0</v>
      </c>
      <c r="R11" s="607">
        <f t="shared" si="7"/>
        <v>0</v>
      </c>
      <c r="S11" s="607">
        <f t="shared" si="7"/>
        <v>0</v>
      </c>
      <c r="T11" s="607">
        <f t="shared" si="7"/>
        <v>0</v>
      </c>
      <c r="U11" s="607">
        <f t="shared" si="7"/>
        <v>0</v>
      </c>
      <c r="V11" s="607">
        <f t="shared" si="7"/>
        <v>0</v>
      </c>
      <c r="W11" s="607">
        <f t="shared" si="7"/>
        <v>0</v>
      </c>
      <c r="X11" s="607">
        <f t="shared" si="7"/>
        <v>0</v>
      </c>
      <c r="Y11" s="607">
        <f t="shared" si="7"/>
        <v>0</v>
      </c>
      <c r="Z11" s="607">
        <f t="shared" si="7"/>
        <v>0</v>
      </c>
      <c r="AA11" s="607">
        <f t="shared" si="7"/>
        <v>0</v>
      </c>
      <c r="AB11" s="607">
        <f t="shared" si="7"/>
        <v>0</v>
      </c>
      <c r="AC11" s="607">
        <f t="shared" si="7"/>
        <v>0</v>
      </c>
      <c r="AD11" s="607">
        <f t="shared" si="7"/>
        <v>0</v>
      </c>
      <c r="AE11" s="607">
        <f t="shared" si="7"/>
        <v>0</v>
      </c>
      <c r="AF11" s="607">
        <f t="shared" si="7"/>
        <v>0</v>
      </c>
      <c r="AG11" s="607">
        <f t="shared" si="7"/>
        <v>0</v>
      </c>
      <c r="AH11" s="607">
        <f t="shared" si="7"/>
        <v>0</v>
      </c>
      <c r="AI11" s="607">
        <f t="shared" si="7"/>
        <v>0</v>
      </c>
      <c r="AJ11" s="607">
        <f t="shared" si="7"/>
        <v>0</v>
      </c>
      <c r="AK11" s="607">
        <f t="shared" si="7"/>
        <v>0</v>
      </c>
      <c r="AL11" s="607">
        <f t="shared" si="7"/>
        <v>0</v>
      </c>
      <c r="AM11" s="607">
        <f t="shared" si="7"/>
        <v>0</v>
      </c>
      <c r="AN11" s="607">
        <f t="shared" si="7"/>
        <v>0</v>
      </c>
      <c r="AO11" s="607">
        <f t="shared" si="7"/>
        <v>0</v>
      </c>
      <c r="AP11" s="607">
        <f t="shared" si="7"/>
        <v>0</v>
      </c>
      <c r="AQ11" s="607">
        <f t="shared" si="7"/>
        <v>0</v>
      </c>
      <c r="AR11" s="607">
        <f t="shared" si="7"/>
        <v>0</v>
      </c>
      <c r="AS11" s="607">
        <f t="shared" si="7"/>
        <v>0</v>
      </c>
      <c r="AT11" s="607">
        <f t="shared" si="7"/>
        <v>0</v>
      </c>
      <c r="AU11" s="607">
        <f t="shared" si="7"/>
        <v>0</v>
      </c>
      <c r="AV11" s="607">
        <f t="shared" si="7"/>
        <v>0</v>
      </c>
      <c r="AW11" s="607">
        <f t="shared" si="7"/>
        <v>0</v>
      </c>
      <c r="AX11" s="607">
        <f t="shared" si="7"/>
        <v>0</v>
      </c>
      <c r="AY11" s="607">
        <f t="shared" si="7"/>
        <v>0</v>
      </c>
      <c r="AZ11" s="607">
        <f t="shared" si="7"/>
        <v>0</v>
      </c>
      <c r="BA11" s="607">
        <f t="shared" si="7"/>
        <v>0</v>
      </c>
      <c r="BB11" s="607">
        <f t="shared" si="7"/>
        <v>0</v>
      </c>
      <c r="BC11" s="607">
        <f t="shared" si="7"/>
        <v>0</v>
      </c>
      <c r="BD11" s="607">
        <f t="shared" si="7"/>
        <v>0</v>
      </c>
      <c r="BE11" s="607">
        <f t="shared" si="7"/>
        <v>0</v>
      </c>
      <c r="BF11" s="607">
        <f t="shared" si="7"/>
        <v>0</v>
      </c>
      <c r="BG11" s="607">
        <f t="shared" si="7"/>
        <v>0</v>
      </c>
      <c r="BH11" s="607">
        <f t="shared" si="7"/>
        <v>0</v>
      </c>
      <c r="BI11" s="607">
        <f t="shared" si="7"/>
        <v>0</v>
      </c>
      <c r="BJ11" s="607">
        <f t="shared" si="7"/>
        <v>0</v>
      </c>
      <c r="BK11" s="607">
        <f t="shared" si="7"/>
        <v>0</v>
      </c>
      <c r="BL11" s="607">
        <f t="shared" si="7"/>
        <v>0</v>
      </c>
      <c r="BM11" s="607">
        <f t="shared" si="7"/>
        <v>0</v>
      </c>
      <c r="BN11" s="607">
        <f t="shared" si="7"/>
        <v>0</v>
      </c>
      <c r="BO11" s="607">
        <f t="shared" si="7"/>
        <v>0</v>
      </c>
      <c r="BP11" s="607">
        <f t="shared" si="7"/>
        <v>0</v>
      </c>
      <c r="BQ11" s="607">
        <f t="shared" si="7"/>
        <v>0</v>
      </c>
      <c r="BR11" s="607">
        <f t="shared" si="7"/>
        <v>0</v>
      </c>
      <c r="BS11" s="607">
        <f t="shared" si="7"/>
        <v>0</v>
      </c>
      <c r="BT11" s="607">
        <f t="shared" si="7"/>
        <v>0</v>
      </c>
    </row>
    <row r="12" spans="1:72" s="203" customFormat="1" x14ac:dyDescent="0.3">
      <c r="A12" s="608">
        <f>'Development Inputs'!A9</f>
        <v>0</v>
      </c>
      <c r="B12" s="609" t="str">
        <f>'Development Inputs'!B9</f>
        <v>Capitalized Ad Valorem Taxes</v>
      </c>
      <c r="C12" s="477"/>
      <c r="D12" s="610">
        <f ca="1">'Development Inputs'!E9</f>
        <v>83335.391794650437</v>
      </c>
      <c r="E12" s="610">
        <f>SUMIF($H$7:$BT$7,"&lt;"&amp;StartDate,$H12:$BT12)</f>
        <v>0</v>
      </c>
      <c r="F12" s="610">
        <f ca="1">SUMIF($H$7:$BT$7,"&lt;="&amp;$F$7,$H12:$BT12)</f>
        <v>0</v>
      </c>
      <c r="G12" s="610">
        <f ca="1">E12-F12</f>
        <v>0</v>
      </c>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row>
    <row r="13" spans="1:72" s="203" customFormat="1" x14ac:dyDescent="0.3">
      <c r="A13" s="611"/>
      <c r="B13" s="612"/>
      <c r="C13" s="613"/>
      <c r="D13" s="614"/>
      <c r="E13" s="614"/>
      <c r="F13" s="614"/>
      <c r="G13" s="614"/>
      <c r="H13" s="615"/>
      <c r="I13" s="615"/>
      <c r="J13" s="615"/>
      <c r="K13" s="615"/>
      <c r="L13" s="615"/>
      <c r="M13" s="615"/>
      <c r="N13" s="615"/>
      <c r="O13" s="615"/>
      <c r="P13" s="615"/>
      <c r="Q13" s="615"/>
      <c r="R13" s="615"/>
      <c r="S13" s="615"/>
      <c r="T13" s="615"/>
      <c r="U13" s="615"/>
      <c r="V13" s="615"/>
      <c r="W13" s="615"/>
      <c r="X13" s="615"/>
      <c r="Y13" s="615"/>
      <c r="Z13" s="615"/>
      <c r="AA13" s="615"/>
      <c r="AB13" s="615"/>
      <c r="AC13" s="615"/>
      <c r="AD13" s="615"/>
      <c r="AE13" s="615"/>
      <c r="AF13" s="615"/>
      <c r="AG13" s="615"/>
      <c r="AH13" s="615"/>
      <c r="AI13" s="615"/>
      <c r="AJ13" s="615"/>
      <c r="AK13" s="615"/>
      <c r="AL13" s="615"/>
      <c r="AM13" s="615"/>
      <c r="AN13" s="615"/>
      <c r="AO13" s="615"/>
      <c r="AP13" s="615"/>
      <c r="AQ13" s="615"/>
      <c r="AR13" s="615"/>
      <c r="AS13" s="615"/>
      <c r="AT13" s="615"/>
      <c r="AU13" s="615"/>
      <c r="AV13" s="615"/>
      <c r="AW13" s="615"/>
      <c r="AX13" s="615"/>
      <c r="AY13" s="615"/>
      <c r="AZ13" s="615"/>
      <c r="BA13" s="615"/>
      <c r="BB13" s="615"/>
      <c r="BC13" s="615"/>
      <c r="BD13" s="615"/>
      <c r="BE13" s="615"/>
      <c r="BF13" s="615"/>
      <c r="BG13" s="615"/>
      <c r="BH13" s="615"/>
      <c r="BI13" s="615"/>
      <c r="BJ13" s="615"/>
      <c r="BK13" s="615"/>
      <c r="BL13" s="615"/>
      <c r="BM13" s="615"/>
      <c r="BN13" s="615"/>
      <c r="BO13" s="615"/>
      <c r="BP13" s="615"/>
      <c r="BQ13" s="615"/>
      <c r="BR13" s="615"/>
      <c r="BS13" s="615"/>
      <c r="BT13" s="615"/>
    </row>
    <row r="14" spans="1:72" x14ac:dyDescent="0.3">
      <c r="A14" s="580" t="s">
        <v>670</v>
      </c>
      <c r="B14" s="616"/>
      <c r="D14" s="605">
        <f>TotalAandE</f>
        <v>1500605</v>
      </c>
      <c r="E14" s="617">
        <f t="shared" ref="E14:E29" si="8">SUMIF($H$7:$BT$7,"&lt;"&amp;StartDate,$H14:$BT14)</f>
        <v>0</v>
      </c>
      <c r="F14" s="617">
        <f t="shared" ref="F14:F29" ca="1" si="9">SUMIF($H$7:$BT$7,"&lt;="&amp;$F$7,$H14:$BT14)</f>
        <v>0</v>
      </c>
      <c r="G14" s="617">
        <f ca="1">E14-F14</f>
        <v>0</v>
      </c>
      <c r="H14" s="618">
        <f>SUBTOTAL(9,H15:H29)</f>
        <v>0</v>
      </c>
      <c r="I14" s="618">
        <f t="shared" ref="I14:AQ14" si="10">SUBTOTAL(9,I15:I29)</f>
        <v>0</v>
      </c>
      <c r="J14" s="618">
        <f t="shared" si="10"/>
        <v>0</v>
      </c>
      <c r="K14" s="618">
        <f t="shared" si="10"/>
        <v>0</v>
      </c>
      <c r="L14" s="618">
        <f>SUBTOTAL(9,L15:L29)</f>
        <v>0</v>
      </c>
      <c r="M14" s="618">
        <f t="shared" si="10"/>
        <v>0</v>
      </c>
      <c r="N14" s="618">
        <f t="shared" si="10"/>
        <v>0</v>
      </c>
      <c r="O14" s="618">
        <f t="shared" si="10"/>
        <v>0</v>
      </c>
      <c r="P14" s="618">
        <f t="shared" si="10"/>
        <v>0</v>
      </c>
      <c r="Q14" s="618">
        <f t="shared" si="10"/>
        <v>0</v>
      </c>
      <c r="R14" s="618">
        <f t="shared" si="10"/>
        <v>0</v>
      </c>
      <c r="S14" s="618">
        <f t="shared" si="10"/>
        <v>0</v>
      </c>
      <c r="T14" s="618">
        <f t="shared" si="10"/>
        <v>0</v>
      </c>
      <c r="U14" s="618">
        <f t="shared" si="10"/>
        <v>0</v>
      </c>
      <c r="V14" s="618">
        <f t="shared" si="10"/>
        <v>0</v>
      </c>
      <c r="W14" s="618">
        <f t="shared" si="10"/>
        <v>0</v>
      </c>
      <c r="X14" s="618">
        <f t="shared" si="10"/>
        <v>0</v>
      </c>
      <c r="Y14" s="618">
        <f t="shared" si="10"/>
        <v>0</v>
      </c>
      <c r="Z14" s="618">
        <f t="shared" si="10"/>
        <v>0</v>
      </c>
      <c r="AA14" s="618">
        <f t="shared" si="10"/>
        <v>0</v>
      </c>
      <c r="AB14" s="618">
        <f t="shared" si="10"/>
        <v>0</v>
      </c>
      <c r="AC14" s="618">
        <f t="shared" si="10"/>
        <v>0</v>
      </c>
      <c r="AD14" s="618">
        <f t="shared" si="10"/>
        <v>0</v>
      </c>
      <c r="AE14" s="618">
        <f t="shared" si="10"/>
        <v>0</v>
      </c>
      <c r="AF14" s="618">
        <f t="shared" si="10"/>
        <v>0</v>
      </c>
      <c r="AG14" s="618">
        <f t="shared" si="10"/>
        <v>0</v>
      </c>
      <c r="AH14" s="618">
        <f t="shared" si="10"/>
        <v>0</v>
      </c>
      <c r="AI14" s="618">
        <f t="shared" si="10"/>
        <v>0</v>
      </c>
      <c r="AJ14" s="618">
        <f t="shared" si="10"/>
        <v>0</v>
      </c>
      <c r="AK14" s="618">
        <f t="shared" si="10"/>
        <v>0</v>
      </c>
      <c r="AL14" s="618">
        <f t="shared" si="10"/>
        <v>0</v>
      </c>
      <c r="AM14" s="618">
        <f t="shared" si="10"/>
        <v>0</v>
      </c>
      <c r="AN14" s="618">
        <f t="shared" si="10"/>
        <v>0</v>
      </c>
      <c r="AO14" s="618">
        <f t="shared" si="10"/>
        <v>0</v>
      </c>
      <c r="AP14" s="618">
        <f t="shared" si="10"/>
        <v>0</v>
      </c>
      <c r="AQ14" s="618">
        <f t="shared" si="10"/>
        <v>0</v>
      </c>
      <c r="AR14" s="618">
        <f t="shared" ref="AR14:BS14" si="11">SUBTOTAL(9,AR15:AR29)</f>
        <v>0</v>
      </c>
      <c r="AS14" s="618">
        <f t="shared" si="11"/>
        <v>0</v>
      </c>
      <c r="AT14" s="618">
        <f t="shared" si="11"/>
        <v>0</v>
      </c>
      <c r="AU14" s="618">
        <f t="shared" si="11"/>
        <v>0</v>
      </c>
      <c r="AV14" s="618">
        <f t="shared" si="11"/>
        <v>0</v>
      </c>
      <c r="AW14" s="618">
        <f t="shared" si="11"/>
        <v>0</v>
      </c>
      <c r="AX14" s="618">
        <f t="shared" si="11"/>
        <v>0</v>
      </c>
      <c r="AY14" s="618">
        <f t="shared" si="11"/>
        <v>0</v>
      </c>
      <c r="AZ14" s="618">
        <f t="shared" si="11"/>
        <v>0</v>
      </c>
      <c r="BA14" s="618">
        <f t="shared" si="11"/>
        <v>0</v>
      </c>
      <c r="BB14" s="618">
        <f t="shared" si="11"/>
        <v>0</v>
      </c>
      <c r="BC14" s="618">
        <f t="shared" si="11"/>
        <v>0</v>
      </c>
      <c r="BD14" s="618">
        <f t="shared" si="11"/>
        <v>0</v>
      </c>
      <c r="BE14" s="618">
        <f t="shared" si="11"/>
        <v>0</v>
      </c>
      <c r="BF14" s="618">
        <f t="shared" si="11"/>
        <v>0</v>
      </c>
      <c r="BG14" s="618">
        <f t="shared" si="11"/>
        <v>0</v>
      </c>
      <c r="BH14" s="618">
        <f t="shared" si="11"/>
        <v>0</v>
      </c>
      <c r="BI14" s="618">
        <f t="shared" si="11"/>
        <v>0</v>
      </c>
      <c r="BJ14" s="618">
        <f t="shared" si="11"/>
        <v>0</v>
      </c>
      <c r="BK14" s="618">
        <f t="shared" si="11"/>
        <v>0</v>
      </c>
      <c r="BL14" s="618">
        <f t="shared" si="11"/>
        <v>0</v>
      </c>
      <c r="BM14" s="618">
        <f t="shared" si="11"/>
        <v>0</v>
      </c>
      <c r="BN14" s="618">
        <f t="shared" si="11"/>
        <v>0</v>
      </c>
      <c r="BO14" s="618">
        <f t="shared" si="11"/>
        <v>0</v>
      </c>
      <c r="BP14" s="618">
        <f t="shared" si="11"/>
        <v>0</v>
      </c>
      <c r="BQ14" s="618">
        <f t="shared" si="11"/>
        <v>0</v>
      </c>
      <c r="BR14" s="618">
        <f t="shared" si="11"/>
        <v>0</v>
      </c>
      <c r="BS14" s="618">
        <f t="shared" si="11"/>
        <v>0</v>
      </c>
      <c r="BT14" s="618">
        <f>SUBTOTAL(9,BT15:BT29)</f>
        <v>0</v>
      </c>
    </row>
    <row r="15" spans="1:72" x14ac:dyDescent="0.3">
      <c r="A15" s="619">
        <f>'Development Inputs'!H11</f>
        <v>0</v>
      </c>
      <c r="B15" s="512" t="str">
        <f>'Development Inputs'!I11</f>
        <v xml:space="preserve">Architect / MEP / Structural </v>
      </c>
      <c r="D15" s="617">
        <f>IF($D$29&gt;0,0,'Development Inputs'!L11)</f>
        <v>623905</v>
      </c>
      <c r="E15" s="617">
        <f t="shared" si="8"/>
        <v>0</v>
      </c>
      <c r="F15" s="617">
        <f t="shared" ca="1" si="9"/>
        <v>0</v>
      </c>
      <c r="G15" s="617">
        <f ca="1">E15-F15</f>
        <v>0</v>
      </c>
      <c r="H15" s="6"/>
      <c r="I15" s="6"/>
      <c r="J15" s="6"/>
      <c r="K15" s="6"/>
      <c r="L15" s="6"/>
      <c r="M15" s="6"/>
      <c r="N15" s="6"/>
      <c r="O15" s="6"/>
      <c r="P15" s="6"/>
      <c r="Q15" s="6"/>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c r="AW15" s="6"/>
      <c r="AX15" s="6"/>
      <c r="AY15" s="6"/>
      <c r="AZ15" s="6"/>
      <c r="BA15" s="6"/>
      <c r="BB15" s="6"/>
      <c r="BC15" s="6"/>
      <c r="BD15" s="6"/>
      <c r="BE15" s="6"/>
      <c r="BF15" s="6"/>
      <c r="BG15" s="6"/>
      <c r="BH15" s="6"/>
      <c r="BI15" s="6"/>
      <c r="BJ15" s="6"/>
      <c r="BK15" s="6"/>
      <c r="BL15" s="6"/>
      <c r="BM15" s="6"/>
      <c r="BN15" s="6"/>
      <c r="BO15" s="6"/>
      <c r="BP15" s="6"/>
      <c r="BQ15" s="6"/>
      <c r="BR15" s="6"/>
      <c r="BS15" s="6"/>
      <c r="BT15" s="6"/>
    </row>
    <row r="16" spans="1:72" x14ac:dyDescent="0.3">
      <c r="A16" s="619">
        <f>'Development Inputs'!H12</f>
        <v>0</v>
      </c>
      <c r="B16" s="512" t="str">
        <f>'Development Inputs'!I12</f>
        <v>Interior Design</v>
      </c>
      <c r="D16" s="617">
        <f>IF($D$29&gt;0,0,'Development Inputs'!L12)</f>
        <v>29700</v>
      </c>
      <c r="E16" s="617">
        <f t="shared" si="8"/>
        <v>0</v>
      </c>
      <c r="F16" s="617">
        <f t="shared" ca="1" si="9"/>
        <v>0</v>
      </c>
      <c r="G16" s="617">
        <f ca="1">E16-F16</f>
        <v>0</v>
      </c>
      <c r="H16" s="6"/>
      <c r="I16" s="6"/>
      <c r="J16" s="6"/>
      <c r="K16" s="6"/>
      <c r="L16" s="6"/>
      <c r="M16" s="6"/>
      <c r="N16" s="6"/>
      <c r="O16" s="6"/>
      <c r="P16" s="6"/>
      <c r="Q16" s="6"/>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c r="AW16" s="6"/>
      <c r="AX16" s="6"/>
      <c r="AY16" s="6"/>
      <c r="AZ16" s="6"/>
      <c r="BA16" s="6"/>
      <c r="BB16" s="6"/>
      <c r="BC16" s="6"/>
      <c r="BD16" s="6"/>
      <c r="BE16" s="6"/>
      <c r="BF16" s="6"/>
      <c r="BG16" s="6"/>
      <c r="BH16" s="6"/>
      <c r="BI16" s="6"/>
      <c r="BJ16" s="6"/>
      <c r="BK16" s="6"/>
      <c r="BL16" s="6"/>
      <c r="BM16" s="6"/>
      <c r="BN16" s="6"/>
      <c r="BO16" s="6"/>
      <c r="BP16" s="6"/>
      <c r="BQ16" s="6"/>
      <c r="BR16" s="6"/>
      <c r="BS16" s="6"/>
      <c r="BT16" s="6"/>
    </row>
    <row r="17" spans="1:72" x14ac:dyDescent="0.3">
      <c r="A17" s="619">
        <f>'Development Inputs'!H13</f>
        <v>0</v>
      </c>
      <c r="B17" s="512" t="str">
        <f>'Development Inputs'!I13</f>
        <v>Architectual Reimbursables (Included in L11)</v>
      </c>
      <c r="D17" s="617">
        <f>IF($D$29&gt;0,0,'Development Inputs'!L13)</f>
        <v>0</v>
      </c>
      <c r="E17" s="617">
        <f t="shared" si="8"/>
        <v>0</v>
      </c>
      <c r="F17" s="617">
        <f t="shared" ca="1" si="9"/>
        <v>0</v>
      </c>
      <c r="G17" s="617">
        <f ca="1">E17-F17</f>
        <v>0</v>
      </c>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6"/>
      <c r="AX17" s="6"/>
      <c r="AY17" s="6"/>
      <c r="AZ17" s="6"/>
      <c r="BA17" s="6"/>
      <c r="BB17" s="6"/>
      <c r="BC17" s="6"/>
      <c r="BD17" s="6"/>
      <c r="BE17" s="6"/>
      <c r="BF17" s="6"/>
      <c r="BG17" s="6"/>
      <c r="BH17" s="6"/>
      <c r="BI17" s="6"/>
      <c r="BJ17" s="6"/>
      <c r="BK17" s="6"/>
      <c r="BL17" s="6"/>
      <c r="BM17" s="6"/>
      <c r="BN17" s="6"/>
      <c r="BO17" s="6"/>
      <c r="BP17" s="6"/>
      <c r="BQ17" s="6"/>
      <c r="BR17" s="6"/>
      <c r="BS17" s="6"/>
      <c r="BT17" s="6"/>
    </row>
    <row r="18" spans="1:72" x14ac:dyDescent="0.3">
      <c r="A18" s="619">
        <f>'Development Inputs'!H14</f>
        <v>0</v>
      </c>
      <c r="B18" s="512" t="str">
        <f>'Development Inputs'!I14</f>
        <v>Accesibility Consultant</v>
      </c>
      <c r="D18" s="617">
        <f>IF($D$29&gt;0,0,'Development Inputs'!L14)</f>
        <v>39000</v>
      </c>
      <c r="E18" s="617">
        <f t="shared" si="8"/>
        <v>0</v>
      </c>
      <c r="F18" s="617">
        <f t="shared" ca="1" si="9"/>
        <v>0</v>
      </c>
      <c r="G18" s="617">
        <f t="shared" ref="G18:G29" ca="1" si="12">E18-F18</f>
        <v>0</v>
      </c>
      <c r="H18" s="6"/>
      <c r="I18" s="6"/>
      <c r="J18" s="6"/>
      <c r="K18" s="6"/>
      <c r="L18" s="6"/>
      <c r="M18" s="6"/>
      <c r="N18" s="6"/>
      <c r="O18" s="6"/>
      <c r="P18" s="6"/>
      <c r="Q18" s="6"/>
      <c r="R18" s="6"/>
      <c r="S18" s="6"/>
      <c r="T18" s="6"/>
      <c r="U18" s="6"/>
      <c r="V18" s="6"/>
      <c r="W18" s="6"/>
      <c r="X18" s="6"/>
      <c r="Y18" s="6"/>
      <c r="Z18" s="6"/>
      <c r="AA18" s="6"/>
      <c r="AB18" s="6"/>
      <c r="AC18" s="6"/>
      <c r="AD18" s="6"/>
      <c r="AE18" s="6"/>
      <c r="AF18" s="6"/>
      <c r="AG18" s="6"/>
      <c r="AH18" s="6"/>
      <c r="AI18" s="6"/>
      <c r="AJ18" s="6"/>
      <c r="AK18" s="6"/>
      <c r="AL18" s="6"/>
      <c r="AM18" s="6"/>
      <c r="AN18" s="6"/>
      <c r="AO18" s="6"/>
      <c r="AP18" s="6"/>
      <c r="AQ18" s="6"/>
      <c r="AR18" s="6"/>
      <c r="AS18" s="6"/>
      <c r="AT18" s="6"/>
      <c r="AU18" s="6"/>
      <c r="AV18" s="6"/>
      <c r="AW18" s="6"/>
      <c r="AX18" s="6"/>
      <c r="AY18" s="6"/>
      <c r="AZ18" s="6"/>
      <c r="BA18" s="6"/>
      <c r="BB18" s="6"/>
      <c r="BC18" s="6"/>
      <c r="BD18" s="6"/>
      <c r="BE18" s="6"/>
      <c r="BF18" s="6"/>
      <c r="BG18" s="6"/>
      <c r="BH18" s="6"/>
      <c r="BI18" s="6"/>
      <c r="BJ18" s="6"/>
      <c r="BK18" s="6"/>
      <c r="BL18" s="6"/>
      <c r="BM18" s="6"/>
      <c r="BN18" s="6"/>
      <c r="BO18" s="6"/>
      <c r="BP18" s="6"/>
      <c r="BQ18" s="6"/>
      <c r="BR18" s="6"/>
      <c r="BS18" s="6"/>
      <c r="BT18" s="6"/>
    </row>
    <row r="19" spans="1:72" x14ac:dyDescent="0.3">
      <c r="A19" s="619">
        <f>'Development Inputs'!H15</f>
        <v>0</v>
      </c>
      <c r="B19" s="512" t="str">
        <f>'Development Inputs'!I15</f>
        <v>5Q Design &amp; Onboarding</v>
      </c>
      <c r="D19" s="617">
        <f>IF($D$29&gt;0,0,'Development Inputs'!L15)</f>
        <v>15250</v>
      </c>
      <c r="E19" s="617">
        <f t="shared" si="8"/>
        <v>0</v>
      </c>
      <c r="F19" s="617">
        <f t="shared" ca="1" si="9"/>
        <v>0</v>
      </c>
      <c r="G19" s="617">
        <f t="shared" ca="1" si="12"/>
        <v>0</v>
      </c>
      <c r="H19" s="6"/>
      <c r="I19" s="6"/>
      <c r="J19" s="6"/>
      <c r="K19" s="6"/>
      <c r="L19" s="6"/>
      <c r="M19" s="6"/>
      <c r="N19" s="6"/>
      <c r="O19" s="6"/>
      <c r="P19" s="6"/>
      <c r="Q19" s="6"/>
      <c r="R19" s="6"/>
      <c r="S19" s="6"/>
      <c r="T19" s="6"/>
      <c r="U19" s="6"/>
      <c r="V19" s="6"/>
      <c r="W19" s="6"/>
      <c r="X19" s="6"/>
      <c r="Y19" s="6"/>
      <c r="Z19" s="6"/>
      <c r="AA19" s="6"/>
      <c r="AB19" s="6"/>
      <c r="AC19" s="6"/>
      <c r="AD19" s="6"/>
      <c r="AE19" s="6"/>
      <c r="AF19" s="6"/>
      <c r="AG19" s="6"/>
      <c r="AH19" s="6"/>
      <c r="AI19" s="6"/>
      <c r="AJ19" s="6"/>
      <c r="AK19" s="6"/>
      <c r="AL19" s="6"/>
      <c r="AM19" s="6"/>
      <c r="AN19" s="6"/>
      <c r="AO19" s="6"/>
      <c r="AP19" s="6"/>
      <c r="AQ19" s="6"/>
      <c r="AR19" s="6"/>
      <c r="AS19" s="6"/>
      <c r="AT19" s="6"/>
      <c r="AU19" s="6"/>
      <c r="AV19" s="6"/>
      <c r="AW19" s="6"/>
      <c r="AX19" s="6"/>
      <c r="AY19" s="6"/>
      <c r="AZ19" s="6"/>
      <c r="BA19" s="6"/>
      <c r="BB19" s="6"/>
      <c r="BC19" s="6"/>
      <c r="BD19" s="6"/>
      <c r="BE19" s="6"/>
      <c r="BF19" s="6"/>
      <c r="BG19" s="6"/>
      <c r="BH19" s="6"/>
      <c r="BI19" s="6"/>
      <c r="BJ19" s="6"/>
      <c r="BK19" s="6"/>
      <c r="BL19" s="6"/>
      <c r="BM19" s="6"/>
      <c r="BN19" s="6"/>
      <c r="BO19" s="6"/>
      <c r="BP19" s="6"/>
      <c r="BQ19" s="6"/>
      <c r="BR19" s="6"/>
      <c r="BS19" s="6"/>
      <c r="BT19" s="6"/>
    </row>
    <row r="20" spans="1:72" x14ac:dyDescent="0.3">
      <c r="A20" s="619">
        <f>'Development Inputs'!H16</f>
        <v>0</v>
      </c>
      <c r="B20" s="512" t="str">
        <f>'Development Inputs'!I16</f>
        <v>Owner Direct A&amp;E</v>
      </c>
      <c r="D20" s="617">
        <f>IF($D$29&gt;0,0,'Development Inputs'!L16)</f>
        <v>328700</v>
      </c>
      <c r="E20" s="617">
        <f t="shared" si="8"/>
        <v>0</v>
      </c>
      <c r="F20" s="617">
        <f t="shared" ca="1" si="9"/>
        <v>0</v>
      </c>
      <c r="G20" s="617">
        <f t="shared" ca="1" si="12"/>
        <v>0</v>
      </c>
      <c r="H20" s="6"/>
      <c r="I20" s="6"/>
      <c r="J20" s="6"/>
      <c r="K20" s="6"/>
      <c r="L20" s="6"/>
      <c r="M20" s="6"/>
      <c r="N20" s="6"/>
      <c r="O20" s="6"/>
      <c r="P20" s="6"/>
      <c r="Q20" s="6"/>
      <c r="R20" s="6"/>
      <c r="S20" s="6"/>
      <c r="T20" s="6"/>
      <c r="U20" s="6"/>
      <c r="V20" s="6"/>
      <c r="W20" s="6"/>
      <c r="X20" s="6"/>
      <c r="Y20" s="6"/>
      <c r="Z20" s="6"/>
      <c r="AA20" s="6"/>
      <c r="AB20" s="6"/>
      <c r="AC20" s="6"/>
      <c r="AD20" s="6"/>
      <c r="AE20" s="6"/>
      <c r="AF20" s="6"/>
      <c r="AG20" s="6"/>
      <c r="AH20" s="6"/>
      <c r="AI20" s="6"/>
      <c r="AJ20" s="6"/>
      <c r="AK20" s="6"/>
      <c r="AL20" s="6"/>
      <c r="AM20" s="6"/>
      <c r="AN20" s="6"/>
      <c r="AO20" s="6"/>
      <c r="AP20" s="6"/>
      <c r="AQ20" s="6"/>
      <c r="AR20" s="6"/>
      <c r="AS20" s="6"/>
      <c r="AT20" s="6"/>
      <c r="AU20" s="6"/>
      <c r="AV20" s="6"/>
      <c r="AW20" s="6"/>
      <c r="AX20" s="6"/>
      <c r="AY20" s="6"/>
      <c r="AZ20" s="6"/>
      <c r="BA20" s="6"/>
      <c r="BB20" s="6"/>
      <c r="BC20" s="6"/>
      <c r="BD20" s="6"/>
      <c r="BE20" s="6"/>
      <c r="BF20" s="6"/>
      <c r="BG20" s="6"/>
      <c r="BH20" s="6"/>
      <c r="BI20" s="6"/>
      <c r="BJ20" s="6"/>
      <c r="BK20" s="6"/>
      <c r="BL20" s="6"/>
      <c r="BM20" s="6"/>
      <c r="BN20" s="6"/>
      <c r="BO20" s="6"/>
      <c r="BP20" s="6"/>
      <c r="BQ20" s="6"/>
      <c r="BR20" s="6"/>
      <c r="BS20" s="6"/>
      <c r="BT20" s="6"/>
    </row>
    <row r="21" spans="1:72" x14ac:dyDescent="0.3">
      <c r="A21" s="619">
        <f>'Development Inputs'!H17</f>
        <v>0</v>
      </c>
      <c r="B21" s="512" t="str">
        <f>'Development Inputs'!I17</f>
        <v>Testing &amp; Inspections</v>
      </c>
      <c r="D21" s="617">
        <f>IF($D$29&gt;0,0,'Development Inputs'!L17)</f>
        <v>210000</v>
      </c>
      <c r="E21" s="617">
        <f t="shared" si="8"/>
        <v>0</v>
      </c>
      <c r="F21" s="617">
        <f t="shared" ca="1" si="9"/>
        <v>0</v>
      </c>
      <c r="G21" s="617">
        <f t="shared" ca="1" si="12"/>
        <v>0</v>
      </c>
      <c r="H21" s="6"/>
      <c r="I21" s="6"/>
      <c r="J21" s="6"/>
      <c r="K21" s="6"/>
      <c r="L21" s="6"/>
      <c r="M21" s="6"/>
      <c r="N21" s="6"/>
      <c r="O21" s="6"/>
      <c r="P21" s="6"/>
      <c r="Q21" s="6"/>
      <c r="R21" s="6"/>
      <c r="S21" s="6"/>
      <c r="T21" s="6"/>
      <c r="U21" s="6"/>
      <c r="V21" s="6"/>
      <c r="W21" s="6"/>
      <c r="X21" s="6"/>
      <c r="Y21" s="6"/>
      <c r="Z21" s="6"/>
      <c r="AA21" s="6"/>
      <c r="AB21" s="6"/>
      <c r="AC21" s="6"/>
      <c r="AD21" s="6"/>
      <c r="AE21" s="6"/>
      <c r="AF21" s="6"/>
      <c r="AG21" s="6"/>
      <c r="AH21" s="6"/>
      <c r="AI21" s="6"/>
      <c r="AJ21" s="6"/>
      <c r="AK21" s="6"/>
      <c r="AL21" s="6"/>
      <c r="AM21" s="6"/>
      <c r="AN21" s="6"/>
      <c r="AO21" s="6"/>
      <c r="AP21" s="6"/>
      <c r="AQ21" s="6"/>
      <c r="AR21" s="6"/>
      <c r="AS21" s="6"/>
      <c r="AT21" s="6"/>
      <c r="AU21" s="6"/>
      <c r="AV21" s="6"/>
      <c r="AW21" s="6"/>
      <c r="AX21" s="6"/>
      <c r="AY21" s="6"/>
      <c r="AZ21" s="6"/>
      <c r="BA21" s="6"/>
      <c r="BB21" s="6"/>
      <c r="BC21" s="6"/>
      <c r="BD21" s="6"/>
      <c r="BE21" s="6"/>
      <c r="BF21" s="6"/>
      <c r="BG21" s="6"/>
      <c r="BH21" s="6"/>
      <c r="BI21" s="6"/>
      <c r="BJ21" s="6"/>
      <c r="BK21" s="6"/>
      <c r="BL21" s="6"/>
      <c r="BM21" s="6"/>
      <c r="BN21" s="6"/>
      <c r="BO21" s="6"/>
      <c r="BP21" s="6"/>
      <c r="BQ21" s="6"/>
      <c r="BR21" s="6"/>
      <c r="BS21" s="6"/>
      <c r="BT21" s="6"/>
    </row>
    <row r="22" spans="1:72" x14ac:dyDescent="0.3">
      <c r="A22" s="619">
        <f>'Development Inputs'!H18</f>
        <v>0</v>
      </c>
      <c r="B22" s="512" t="str">
        <f>'Development Inputs'!I18</f>
        <v>Other A&amp;E Consultants</v>
      </c>
      <c r="D22" s="617">
        <f>IF($D$29&gt;0,0,'Development Inputs'!L18)</f>
        <v>204050</v>
      </c>
      <c r="E22" s="617">
        <f t="shared" si="8"/>
        <v>0</v>
      </c>
      <c r="F22" s="617">
        <f t="shared" ca="1" si="9"/>
        <v>0</v>
      </c>
      <c r="G22" s="617">
        <f t="shared" ca="1" si="12"/>
        <v>0</v>
      </c>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6"/>
      <c r="AK22" s="6"/>
      <c r="AL22" s="6"/>
      <c r="AM22" s="6"/>
      <c r="AN22" s="6"/>
      <c r="AO22" s="6"/>
      <c r="AP22" s="6"/>
      <c r="AQ22" s="6"/>
      <c r="AR22" s="6"/>
      <c r="AS22" s="6"/>
      <c r="AT22" s="6"/>
      <c r="AU22" s="6"/>
      <c r="AV22" s="6"/>
      <c r="AW22" s="6"/>
      <c r="AX22" s="6"/>
      <c r="AY22" s="6"/>
      <c r="AZ22" s="6"/>
      <c r="BA22" s="6"/>
      <c r="BB22" s="6"/>
      <c r="BC22" s="6"/>
      <c r="BD22" s="6"/>
      <c r="BE22" s="6"/>
      <c r="BF22" s="6"/>
      <c r="BG22" s="6"/>
      <c r="BH22" s="6"/>
      <c r="BI22" s="6"/>
      <c r="BJ22" s="6"/>
      <c r="BK22" s="6"/>
      <c r="BL22" s="6"/>
      <c r="BM22" s="6"/>
      <c r="BN22" s="6"/>
      <c r="BO22" s="6"/>
      <c r="BP22" s="6"/>
      <c r="BQ22" s="6"/>
      <c r="BR22" s="6"/>
      <c r="BS22" s="6"/>
      <c r="BT22" s="6"/>
    </row>
    <row r="23" spans="1:72" x14ac:dyDescent="0.3">
      <c r="A23" s="619">
        <f>'Development Inputs'!H19</f>
        <v>0</v>
      </c>
      <c r="B23" s="512" t="str">
        <f>'Development Inputs'!I19</f>
        <v>Quarterra Reimbursables</v>
      </c>
      <c r="D23" s="617">
        <f>IF($D$29&gt;0,0,'Development Inputs'!L19)</f>
        <v>50000</v>
      </c>
      <c r="E23" s="617">
        <f t="shared" si="8"/>
        <v>0</v>
      </c>
      <c r="F23" s="617">
        <f t="shared" ca="1" si="9"/>
        <v>0</v>
      </c>
      <c r="G23" s="617">
        <f t="shared" ca="1" si="12"/>
        <v>0</v>
      </c>
      <c r="H23" s="6"/>
      <c r="I23" s="6"/>
      <c r="J23" s="6"/>
      <c r="K23" s="6"/>
      <c r="L23" s="6"/>
      <c r="M23" s="6"/>
      <c r="N23" s="6"/>
      <c r="O23" s="6"/>
      <c r="P23" s="6"/>
      <c r="Q23" s="6"/>
      <c r="R23" s="6"/>
      <c r="S23" s="6"/>
      <c r="T23" s="6"/>
      <c r="U23" s="6"/>
      <c r="V23" s="6"/>
      <c r="W23" s="6"/>
      <c r="X23" s="6"/>
      <c r="Y23" s="6"/>
      <c r="Z23" s="6"/>
      <c r="AA23" s="6"/>
      <c r="AB23" s="6"/>
      <c r="AC23" s="6"/>
      <c r="AD23" s="6"/>
      <c r="AE23" s="6"/>
      <c r="AF23" s="6"/>
      <c r="AG23" s="6"/>
      <c r="AH23" s="6"/>
      <c r="AI23" s="6"/>
      <c r="AJ23" s="6"/>
      <c r="AK23" s="6"/>
      <c r="AL23" s="6"/>
      <c r="AM23" s="6"/>
      <c r="AN23" s="6"/>
      <c r="AO23" s="6"/>
      <c r="AP23" s="6"/>
      <c r="AQ23" s="6"/>
      <c r="AR23" s="6"/>
      <c r="AS23" s="6"/>
      <c r="AT23" s="6"/>
      <c r="AU23" s="6"/>
      <c r="AV23" s="6"/>
      <c r="AW23" s="6"/>
      <c r="AX23" s="6"/>
      <c r="AY23" s="6"/>
      <c r="AZ23" s="6"/>
      <c r="BA23" s="6"/>
      <c r="BB23" s="6"/>
      <c r="BC23" s="6"/>
      <c r="BD23" s="6"/>
      <c r="BE23" s="6"/>
      <c r="BF23" s="6"/>
      <c r="BG23" s="6"/>
      <c r="BH23" s="6"/>
      <c r="BI23" s="6"/>
      <c r="BJ23" s="6"/>
      <c r="BK23" s="6"/>
      <c r="BL23" s="6"/>
      <c r="BM23" s="6"/>
      <c r="BN23" s="6"/>
      <c r="BO23" s="6"/>
      <c r="BP23" s="6"/>
      <c r="BQ23" s="6"/>
      <c r="BR23" s="6"/>
      <c r="BS23" s="6"/>
      <c r="BT23" s="6"/>
    </row>
    <row r="24" spans="1:72" x14ac:dyDescent="0.3">
      <c r="A24" s="619">
        <f>'Development Inputs'!H20</f>
        <v>0</v>
      </c>
      <c r="B24" s="512">
        <f>'Development Inputs'!I20</f>
        <v>0</v>
      </c>
      <c r="D24" s="617">
        <f>IF($D$29&gt;0,0,'Development Inputs'!L20)</f>
        <v>0</v>
      </c>
      <c r="E24" s="617">
        <f t="shared" si="8"/>
        <v>0</v>
      </c>
      <c r="F24" s="617">
        <f t="shared" ca="1" si="9"/>
        <v>0</v>
      </c>
      <c r="G24" s="617">
        <f t="shared" ca="1" si="12"/>
        <v>0</v>
      </c>
      <c r="H24" s="6"/>
      <c r="I24" s="6"/>
      <c r="J24" s="6"/>
      <c r="K24" s="6"/>
      <c r="L24" s="6"/>
      <c r="M24" s="6"/>
      <c r="N24" s="6"/>
      <c r="O24" s="6"/>
      <c r="P24" s="6"/>
      <c r="Q24" s="6"/>
      <c r="R24" s="6"/>
      <c r="S24" s="6"/>
      <c r="T24" s="6"/>
      <c r="U24" s="6"/>
      <c r="V24" s="6"/>
      <c r="W24" s="6"/>
      <c r="X24" s="6"/>
      <c r="Y24" s="6"/>
      <c r="Z24" s="6"/>
      <c r="AA24" s="6"/>
      <c r="AB24" s="6"/>
      <c r="AC24" s="6"/>
      <c r="AD24" s="6"/>
      <c r="AE24" s="6"/>
      <c r="AF24" s="6"/>
      <c r="AG24" s="6"/>
      <c r="AH24" s="6"/>
      <c r="AI24" s="6"/>
      <c r="AJ24" s="6"/>
      <c r="AK24" s="6"/>
      <c r="AL24" s="6"/>
      <c r="AM24" s="6"/>
      <c r="AN24" s="6"/>
      <c r="AO24" s="6"/>
      <c r="AP24" s="6"/>
      <c r="AQ24" s="6"/>
      <c r="AR24" s="6"/>
      <c r="AS24" s="6"/>
      <c r="AT24" s="6"/>
      <c r="AU24" s="6"/>
      <c r="AV24" s="6"/>
      <c r="AW24" s="6"/>
      <c r="AX24" s="6"/>
      <c r="AY24" s="6"/>
      <c r="AZ24" s="6"/>
      <c r="BA24" s="6"/>
      <c r="BB24" s="6"/>
      <c r="BC24" s="6"/>
      <c r="BD24" s="6"/>
      <c r="BE24" s="6"/>
      <c r="BF24" s="6"/>
      <c r="BG24" s="6"/>
      <c r="BH24" s="6"/>
      <c r="BI24" s="6"/>
      <c r="BJ24" s="6"/>
      <c r="BK24" s="6"/>
      <c r="BL24" s="6"/>
      <c r="BM24" s="6"/>
      <c r="BN24" s="6"/>
      <c r="BO24" s="6"/>
      <c r="BP24" s="6"/>
      <c r="BQ24" s="6"/>
      <c r="BR24" s="6"/>
      <c r="BS24" s="6"/>
      <c r="BT24" s="6"/>
    </row>
    <row r="25" spans="1:72" x14ac:dyDescent="0.3">
      <c r="A25" s="619">
        <f>'Development Inputs'!H21</f>
        <v>0</v>
      </c>
      <c r="B25" s="512">
        <f>'Development Inputs'!I21</f>
        <v>0</v>
      </c>
      <c r="D25" s="617">
        <f>IF($D$29&gt;0,0,'Development Inputs'!L21)</f>
        <v>0</v>
      </c>
      <c r="E25" s="617">
        <f t="shared" si="8"/>
        <v>0</v>
      </c>
      <c r="F25" s="617">
        <f t="shared" ca="1" si="9"/>
        <v>0</v>
      </c>
      <c r="G25" s="617">
        <f t="shared" ca="1" si="12"/>
        <v>0</v>
      </c>
      <c r="H25" s="6"/>
      <c r="I25" s="6"/>
      <c r="J25" s="6"/>
      <c r="K25" s="6"/>
      <c r="L25" s="6"/>
      <c r="M25" s="6"/>
      <c r="N25" s="6"/>
      <c r="O25" s="6"/>
      <c r="P25" s="6"/>
      <c r="Q25" s="6"/>
      <c r="R25" s="6"/>
      <c r="S25" s="6"/>
      <c r="T25" s="6"/>
      <c r="U25" s="6"/>
      <c r="V25" s="6"/>
      <c r="W25" s="6"/>
      <c r="X25" s="6"/>
      <c r="Y25" s="6"/>
      <c r="Z25" s="6"/>
      <c r="AA25" s="6"/>
      <c r="AB25" s="6"/>
      <c r="AC25" s="6"/>
      <c r="AD25" s="6"/>
      <c r="AE25" s="6"/>
      <c r="AF25" s="6"/>
      <c r="AG25" s="6"/>
      <c r="AH25" s="6"/>
      <c r="AI25" s="6"/>
      <c r="AJ25" s="6"/>
      <c r="AK25" s="6"/>
      <c r="AL25" s="6"/>
      <c r="AM25" s="6"/>
      <c r="AN25" s="6"/>
      <c r="AO25" s="6"/>
      <c r="AP25" s="6"/>
      <c r="AQ25" s="6"/>
      <c r="AR25" s="6"/>
      <c r="AS25" s="6"/>
      <c r="AT25" s="6"/>
      <c r="AU25" s="6"/>
      <c r="AV25" s="6"/>
      <c r="AW25" s="6"/>
      <c r="AX25" s="6"/>
      <c r="AY25" s="6"/>
      <c r="AZ25" s="6"/>
      <c r="BA25" s="6"/>
      <c r="BB25" s="6"/>
      <c r="BC25" s="6"/>
      <c r="BD25" s="6"/>
      <c r="BE25" s="6"/>
      <c r="BF25" s="6"/>
      <c r="BG25" s="6"/>
      <c r="BH25" s="6"/>
      <c r="BI25" s="6"/>
      <c r="BJ25" s="6"/>
      <c r="BK25" s="6"/>
      <c r="BL25" s="6"/>
      <c r="BM25" s="6"/>
      <c r="BN25" s="6"/>
      <c r="BO25" s="6"/>
      <c r="BP25" s="6"/>
      <c r="BQ25" s="6"/>
      <c r="BR25" s="6"/>
      <c r="BS25" s="6"/>
      <c r="BT25" s="6"/>
    </row>
    <row r="26" spans="1:72" x14ac:dyDescent="0.3">
      <c r="A26" s="619">
        <f>'Development Inputs'!H22</f>
        <v>0</v>
      </c>
      <c r="B26" s="512">
        <f>'Development Inputs'!I22</f>
        <v>0</v>
      </c>
      <c r="D26" s="617">
        <f>IF($D$29&gt;0,0,'Development Inputs'!L22)</f>
        <v>0</v>
      </c>
      <c r="E26" s="617">
        <f t="shared" si="8"/>
        <v>0</v>
      </c>
      <c r="F26" s="617">
        <f t="shared" ca="1" si="9"/>
        <v>0</v>
      </c>
      <c r="G26" s="617">
        <f t="shared" ca="1" si="12"/>
        <v>0</v>
      </c>
      <c r="H26" s="6"/>
      <c r="I26" s="6"/>
      <c r="J26" s="6"/>
      <c r="K26" s="6"/>
      <c r="L26" s="6"/>
      <c r="M26" s="6"/>
      <c r="N26" s="6"/>
      <c r="O26" s="6"/>
      <c r="P26" s="6"/>
      <c r="Q26" s="6"/>
      <c r="R26" s="6"/>
      <c r="S26" s="6"/>
      <c r="T26" s="6"/>
      <c r="U26" s="6"/>
      <c r="V26" s="6"/>
      <c r="W26" s="6"/>
      <c r="X26" s="6"/>
      <c r="Y26" s="6"/>
      <c r="Z26" s="6"/>
      <c r="AA26" s="6"/>
      <c r="AB26" s="6"/>
      <c r="AC26" s="6"/>
      <c r="AD26" s="6"/>
      <c r="AE26" s="6"/>
      <c r="AF26" s="6"/>
      <c r="AG26" s="6"/>
      <c r="AH26" s="6"/>
      <c r="AI26" s="6"/>
      <c r="AJ26" s="6"/>
      <c r="AK26" s="6"/>
      <c r="AL26" s="6"/>
      <c r="AM26" s="6"/>
      <c r="AN26" s="6"/>
      <c r="AO26" s="6"/>
      <c r="AP26" s="6"/>
      <c r="AQ26" s="6"/>
      <c r="AR26" s="6"/>
      <c r="AS26" s="6"/>
      <c r="AT26" s="6"/>
      <c r="AU26" s="6"/>
      <c r="AV26" s="6"/>
      <c r="AW26" s="6"/>
      <c r="AX26" s="6"/>
      <c r="AY26" s="6"/>
      <c r="AZ26" s="6"/>
      <c r="BA26" s="6"/>
      <c r="BB26" s="6"/>
      <c r="BC26" s="6"/>
      <c r="BD26" s="6"/>
      <c r="BE26" s="6"/>
      <c r="BF26" s="6"/>
      <c r="BG26" s="6"/>
      <c r="BH26" s="6"/>
      <c r="BI26" s="6"/>
      <c r="BJ26" s="6"/>
      <c r="BK26" s="6"/>
      <c r="BL26" s="6"/>
      <c r="BM26" s="6"/>
      <c r="BN26" s="6"/>
      <c r="BO26" s="6"/>
      <c r="BP26" s="6"/>
      <c r="BQ26" s="6"/>
      <c r="BR26" s="6"/>
      <c r="BS26" s="6"/>
      <c r="BT26" s="6"/>
    </row>
    <row r="27" spans="1:72" x14ac:dyDescent="0.3">
      <c r="A27" s="619">
        <f>'Development Inputs'!H23</f>
        <v>0</v>
      </c>
      <c r="B27" s="512">
        <f>'Development Inputs'!I23</f>
        <v>0</v>
      </c>
      <c r="D27" s="617">
        <f>IF($D$29&gt;0,0,'Development Inputs'!L23)</f>
        <v>0</v>
      </c>
      <c r="E27" s="617">
        <f t="shared" si="8"/>
        <v>0</v>
      </c>
      <c r="F27" s="617">
        <f t="shared" ca="1" si="9"/>
        <v>0</v>
      </c>
      <c r="G27" s="617">
        <f t="shared" ca="1" si="12"/>
        <v>0</v>
      </c>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6"/>
      <c r="AK27" s="6"/>
      <c r="AL27" s="6"/>
      <c r="AM27" s="6"/>
      <c r="AN27" s="6"/>
      <c r="AO27" s="6"/>
      <c r="AP27" s="6"/>
      <c r="AQ27" s="6"/>
      <c r="AR27" s="6"/>
      <c r="AS27" s="6"/>
      <c r="AT27" s="6"/>
      <c r="AU27" s="6"/>
      <c r="AV27" s="6"/>
      <c r="AW27" s="6"/>
      <c r="AX27" s="6"/>
      <c r="AY27" s="6"/>
      <c r="AZ27" s="6"/>
      <c r="BA27" s="6"/>
      <c r="BB27" s="6"/>
      <c r="BC27" s="6"/>
      <c r="BD27" s="6"/>
      <c r="BE27" s="6"/>
      <c r="BF27" s="6"/>
      <c r="BG27" s="6"/>
      <c r="BH27" s="6"/>
      <c r="BI27" s="6"/>
      <c r="BJ27" s="6"/>
      <c r="BK27" s="6"/>
      <c r="BL27" s="6"/>
      <c r="BM27" s="6"/>
      <c r="BN27" s="6"/>
      <c r="BO27" s="6"/>
      <c r="BP27" s="6"/>
      <c r="BQ27" s="6"/>
      <c r="BR27" s="6"/>
      <c r="BS27" s="6"/>
      <c r="BT27" s="6"/>
    </row>
    <row r="28" spans="1:72" x14ac:dyDescent="0.3">
      <c r="A28" s="619">
        <f>'Development Inputs'!H24</f>
        <v>0</v>
      </c>
      <c r="B28" s="512">
        <f>'Development Inputs'!I24</f>
        <v>0</v>
      </c>
      <c r="D28" s="617">
        <f>IF($D$29&gt;0,0,'Development Inputs'!L24)</f>
        <v>0</v>
      </c>
      <c r="E28" s="617">
        <f t="shared" si="8"/>
        <v>0</v>
      </c>
      <c r="F28" s="617">
        <f t="shared" ca="1" si="9"/>
        <v>0</v>
      </c>
      <c r="G28" s="617">
        <f t="shared" ca="1" si="12"/>
        <v>0</v>
      </c>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6"/>
      <c r="AK28" s="6"/>
      <c r="AL28" s="6"/>
      <c r="AM28" s="6"/>
      <c r="AN28" s="6"/>
      <c r="AO28" s="6"/>
      <c r="AP28" s="6"/>
      <c r="AQ28" s="6"/>
      <c r="AR28" s="6"/>
      <c r="AS28" s="6"/>
      <c r="AT28" s="6"/>
      <c r="AU28" s="6"/>
      <c r="AV28" s="6"/>
      <c r="AW28" s="6"/>
      <c r="AX28" s="6"/>
      <c r="AY28" s="6"/>
      <c r="AZ28" s="6"/>
      <c r="BA28" s="6"/>
      <c r="BB28" s="6"/>
      <c r="BC28" s="6"/>
      <c r="BD28" s="6"/>
      <c r="BE28" s="6"/>
      <c r="BF28" s="6"/>
      <c r="BG28" s="6"/>
      <c r="BH28" s="6"/>
      <c r="BI28" s="6"/>
      <c r="BJ28" s="6"/>
      <c r="BK28" s="6"/>
      <c r="BL28" s="6"/>
      <c r="BM28" s="6"/>
      <c r="BN28" s="6"/>
      <c r="BO28" s="6"/>
      <c r="BP28" s="6"/>
      <c r="BQ28" s="6"/>
      <c r="BR28" s="6"/>
      <c r="BS28" s="6"/>
      <c r="BT28" s="6"/>
    </row>
    <row r="29" spans="1:72" s="203" customFormat="1" x14ac:dyDescent="0.3">
      <c r="A29" s="619">
        <f>'Development Inputs'!H25</f>
        <v>0</v>
      </c>
      <c r="B29" s="512" t="str">
        <f>'Development Inputs'!I25</f>
        <v>Input as Total</v>
      </c>
      <c r="C29" s="182"/>
      <c r="D29" s="617">
        <f>'Development Inputs'!L25</f>
        <v>0</v>
      </c>
      <c r="E29" s="617">
        <f t="shared" si="8"/>
        <v>0</v>
      </c>
      <c r="F29" s="617">
        <f t="shared" ca="1" si="9"/>
        <v>0</v>
      </c>
      <c r="G29" s="617">
        <f t="shared" ca="1" si="12"/>
        <v>0</v>
      </c>
      <c r="H29" s="61"/>
      <c r="I29" s="61"/>
      <c r="J29" s="61"/>
      <c r="K29" s="61"/>
      <c r="L29" s="61"/>
      <c r="M29" s="61"/>
      <c r="N29" s="61"/>
      <c r="O29" s="61"/>
      <c r="P29" s="61"/>
      <c r="Q29" s="61"/>
      <c r="R29" s="61"/>
      <c r="S29" s="61"/>
      <c r="T29" s="61"/>
      <c r="U29" s="61"/>
      <c r="V29" s="61"/>
      <c r="W29" s="61"/>
      <c r="X29" s="61"/>
      <c r="Y29" s="61"/>
      <c r="Z29" s="61"/>
      <c r="AA29" s="61"/>
      <c r="AB29" s="61"/>
      <c r="AC29" s="61"/>
      <c r="AD29" s="61"/>
      <c r="AE29" s="61"/>
      <c r="AF29" s="61"/>
      <c r="AG29" s="61"/>
      <c r="AH29" s="61"/>
      <c r="AI29" s="61"/>
      <c r="AJ29" s="61"/>
      <c r="AK29" s="61"/>
      <c r="AL29" s="61"/>
      <c r="AM29" s="61"/>
      <c r="AN29" s="61"/>
      <c r="AO29" s="61"/>
      <c r="AP29" s="61"/>
      <c r="AQ29" s="61"/>
      <c r="AR29" s="61"/>
      <c r="AS29" s="61"/>
      <c r="AT29" s="61"/>
      <c r="AU29" s="61"/>
      <c r="AV29" s="61"/>
      <c r="AW29" s="61"/>
      <c r="AX29" s="61"/>
      <c r="AY29" s="61"/>
      <c r="AZ29" s="61"/>
      <c r="BA29" s="61"/>
      <c r="BB29" s="61"/>
      <c r="BC29" s="61"/>
      <c r="BD29" s="61"/>
      <c r="BE29" s="61"/>
      <c r="BF29" s="61"/>
      <c r="BG29" s="61"/>
      <c r="BH29" s="61"/>
      <c r="BI29" s="61"/>
      <c r="BJ29" s="61"/>
      <c r="BK29" s="61"/>
      <c r="BL29" s="61"/>
      <c r="BM29" s="61"/>
      <c r="BN29" s="61"/>
      <c r="BO29" s="61"/>
      <c r="BP29" s="61"/>
      <c r="BQ29" s="61"/>
      <c r="BR29" s="61"/>
      <c r="BS29" s="61"/>
      <c r="BT29" s="61"/>
    </row>
    <row r="30" spans="1:72" s="203" customFormat="1" x14ac:dyDescent="0.3">
      <c r="A30" s="611"/>
      <c r="B30" s="612"/>
      <c r="C30" s="613"/>
      <c r="D30" s="614"/>
      <c r="E30" s="614"/>
      <c r="F30" s="614"/>
      <c r="G30" s="614"/>
      <c r="H30" s="615"/>
      <c r="I30" s="615"/>
      <c r="J30" s="615"/>
      <c r="K30" s="615"/>
      <c r="L30" s="615"/>
      <c r="M30" s="615"/>
      <c r="N30" s="615"/>
      <c r="O30" s="615"/>
      <c r="P30" s="615"/>
      <c r="Q30" s="615"/>
      <c r="R30" s="615"/>
      <c r="S30" s="615"/>
      <c r="T30" s="615"/>
      <c r="U30" s="615"/>
      <c r="V30" s="615"/>
      <c r="W30" s="615"/>
      <c r="X30" s="615"/>
      <c r="Y30" s="615"/>
      <c r="Z30" s="615"/>
      <c r="AA30" s="615"/>
      <c r="AB30" s="615"/>
      <c r="AC30" s="615"/>
      <c r="AD30" s="615"/>
      <c r="AE30" s="615"/>
      <c r="AF30" s="615"/>
      <c r="AG30" s="615"/>
      <c r="AH30" s="615"/>
      <c r="AI30" s="615"/>
      <c r="AJ30" s="615"/>
      <c r="AK30" s="615"/>
      <c r="AL30" s="615"/>
      <c r="AM30" s="615"/>
      <c r="AN30" s="615"/>
      <c r="AO30" s="615"/>
      <c r="AP30" s="615"/>
      <c r="AQ30" s="615"/>
      <c r="AR30" s="615"/>
      <c r="AS30" s="615"/>
      <c r="AT30" s="615"/>
      <c r="AU30" s="615"/>
      <c r="AV30" s="615"/>
      <c r="AW30" s="615"/>
      <c r="AX30" s="615"/>
      <c r="AY30" s="615"/>
      <c r="AZ30" s="615"/>
      <c r="BA30" s="615"/>
      <c r="BB30" s="615"/>
      <c r="BC30" s="615"/>
      <c r="BD30" s="615"/>
      <c r="BE30" s="615"/>
      <c r="BF30" s="615"/>
      <c r="BG30" s="615"/>
      <c r="BH30" s="615"/>
      <c r="BI30" s="615"/>
      <c r="BJ30" s="615"/>
      <c r="BK30" s="615"/>
      <c r="BL30" s="615"/>
      <c r="BM30" s="615"/>
      <c r="BN30" s="615"/>
      <c r="BO30" s="615"/>
      <c r="BP30" s="615"/>
      <c r="BQ30" s="615"/>
      <c r="BR30" s="615"/>
      <c r="BS30" s="615"/>
      <c r="BT30" s="615"/>
    </row>
    <row r="31" spans="1:72" s="182" customFormat="1" x14ac:dyDescent="0.3">
      <c r="A31" s="208" t="s">
        <v>787</v>
      </c>
      <c r="B31" s="512"/>
      <c r="D31" s="605">
        <f>TotalRetail</f>
        <v>0</v>
      </c>
      <c r="E31" s="617">
        <f>SUMIF($H$7:$BT$7,"&lt;"&amp;StartDate,$H31:$BT31)</f>
        <v>0</v>
      </c>
      <c r="F31" s="617">
        <f ca="1">SUMIF($H$7:$BT$7,"&lt;="&amp;$F$7,$H31:$BT31)</f>
        <v>0</v>
      </c>
      <c r="G31" s="617">
        <f ca="1">E31-F31</f>
        <v>0</v>
      </c>
      <c r="H31" s="617">
        <f>SUBTOTAL(9,H32:H33)</f>
        <v>0</v>
      </c>
      <c r="I31" s="617">
        <f t="shared" ref="I31:BT31" si="13">SUBTOTAL(9,I32:I33)</f>
        <v>0</v>
      </c>
      <c r="J31" s="617">
        <f t="shared" si="13"/>
        <v>0</v>
      </c>
      <c r="K31" s="617">
        <f t="shared" si="13"/>
        <v>0</v>
      </c>
      <c r="L31" s="617">
        <f t="shared" si="13"/>
        <v>0</v>
      </c>
      <c r="M31" s="617">
        <f t="shared" si="13"/>
        <v>0</v>
      </c>
      <c r="N31" s="617">
        <f t="shared" si="13"/>
        <v>0</v>
      </c>
      <c r="O31" s="617">
        <f t="shared" si="13"/>
        <v>0</v>
      </c>
      <c r="P31" s="617">
        <f t="shared" si="13"/>
        <v>0</v>
      </c>
      <c r="Q31" s="617">
        <f t="shared" si="13"/>
        <v>0</v>
      </c>
      <c r="R31" s="617">
        <f t="shared" si="13"/>
        <v>0</v>
      </c>
      <c r="S31" s="617">
        <f t="shared" si="13"/>
        <v>0</v>
      </c>
      <c r="T31" s="617">
        <f t="shared" si="13"/>
        <v>0</v>
      </c>
      <c r="U31" s="617">
        <f t="shared" si="13"/>
        <v>0</v>
      </c>
      <c r="V31" s="617">
        <f t="shared" si="13"/>
        <v>0</v>
      </c>
      <c r="W31" s="617">
        <f t="shared" si="13"/>
        <v>0</v>
      </c>
      <c r="X31" s="617">
        <f t="shared" si="13"/>
        <v>0</v>
      </c>
      <c r="Y31" s="617">
        <f t="shared" si="13"/>
        <v>0</v>
      </c>
      <c r="Z31" s="617">
        <f t="shared" si="13"/>
        <v>0</v>
      </c>
      <c r="AA31" s="617">
        <f t="shared" si="13"/>
        <v>0</v>
      </c>
      <c r="AB31" s="617">
        <f t="shared" si="13"/>
        <v>0</v>
      </c>
      <c r="AC31" s="617">
        <f t="shared" si="13"/>
        <v>0</v>
      </c>
      <c r="AD31" s="617">
        <f t="shared" si="13"/>
        <v>0</v>
      </c>
      <c r="AE31" s="617">
        <f t="shared" si="13"/>
        <v>0</v>
      </c>
      <c r="AF31" s="617">
        <f t="shared" si="13"/>
        <v>0</v>
      </c>
      <c r="AG31" s="617">
        <f t="shared" si="13"/>
        <v>0</v>
      </c>
      <c r="AH31" s="617">
        <f t="shared" si="13"/>
        <v>0</v>
      </c>
      <c r="AI31" s="617">
        <f t="shared" si="13"/>
        <v>0</v>
      </c>
      <c r="AJ31" s="617">
        <f t="shared" si="13"/>
        <v>0</v>
      </c>
      <c r="AK31" s="617">
        <f t="shared" si="13"/>
        <v>0</v>
      </c>
      <c r="AL31" s="617">
        <f t="shared" si="13"/>
        <v>0</v>
      </c>
      <c r="AM31" s="617">
        <f t="shared" si="13"/>
        <v>0</v>
      </c>
      <c r="AN31" s="617">
        <f t="shared" si="13"/>
        <v>0</v>
      </c>
      <c r="AO31" s="617">
        <f t="shared" si="13"/>
        <v>0</v>
      </c>
      <c r="AP31" s="617">
        <f t="shared" si="13"/>
        <v>0</v>
      </c>
      <c r="AQ31" s="617">
        <f t="shared" si="13"/>
        <v>0</v>
      </c>
      <c r="AR31" s="617">
        <f t="shared" si="13"/>
        <v>0</v>
      </c>
      <c r="AS31" s="617">
        <f t="shared" si="13"/>
        <v>0</v>
      </c>
      <c r="AT31" s="617">
        <f t="shared" si="13"/>
        <v>0</v>
      </c>
      <c r="AU31" s="617">
        <f t="shared" si="13"/>
        <v>0</v>
      </c>
      <c r="AV31" s="617">
        <f t="shared" si="13"/>
        <v>0</v>
      </c>
      <c r="AW31" s="617">
        <f t="shared" si="13"/>
        <v>0</v>
      </c>
      <c r="AX31" s="617">
        <f t="shared" si="13"/>
        <v>0</v>
      </c>
      <c r="AY31" s="617">
        <f t="shared" si="13"/>
        <v>0</v>
      </c>
      <c r="AZ31" s="617">
        <f t="shared" si="13"/>
        <v>0</v>
      </c>
      <c r="BA31" s="617">
        <f t="shared" si="13"/>
        <v>0</v>
      </c>
      <c r="BB31" s="617">
        <f t="shared" si="13"/>
        <v>0</v>
      </c>
      <c r="BC31" s="617">
        <f t="shared" si="13"/>
        <v>0</v>
      </c>
      <c r="BD31" s="617">
        <f t="shared" si="13"/>
        <v>0</v>
      </c>
      <c r="BE31" s="617">
        <f t="shared" si="13"/>
        <v>0</v>
      </c>
      <c r="BF31" s="617">
        <f t="shared" si="13"/>
        <v>0</v>
      </c>
      <c r="BG31" s="617">
        <f t="shared" si="13"/>
        <v>0</v>
      </c>
      <c r="BH31" s="617">
        <f t="shared" si="13"/>
        <v>0</v>
      </c>
      <c r="BI31" s="617">
        <f t="shared" si="13"/>
        <v>0</v>
      </c>
      <c r="BJ31" s="617">
        <f t="shared" si="13"/>
        <v>0</v>
      </c>
      <c r="BK31" s="617">
        <f t="shared" si="13"/>
        <v>0</v>
      </c>
      <c r="BL31" s="617">
        <f t="shared" si="13"/>
        <v>0</v>
      </c>
      <c r="BM31" s="617">
        <f t="shared" si="13"/>
        <v>0</v>
      </c>
      <c r="BN31" s="617">
        <f t="shared" si="13"/>
        <v>0</v>
      </c>
      <c r="BO31" s="617">
        <f t="shared" si="13"/>
        <v>0</v>
      </c>
      <c r="BP31" s="617">
        <f t="shared" si="13"/>
        <v>0</v>
      </c>
      <c r="BQ31" s="617">
        <f t="shared" si="13"/>
        <v>0</v>
      </c>
      <c r="BR31" s="617">
        <f t="shared" si="13"/>
        <v>0</v>
      </c>
      <c r="BS31" s="617">
        <f t="shared" si="13"/>
        <v>0</v>
      </c>
      <c r="BT31" s="617">
        <f t="shared" si="13"/>
        <v>0</v>
      </c>
    </row>
    <row r="32" spans="1:72" x14ac:dyDescent="0.3">
      <c r="A32" s="619">
        <f>'Development Inputs'!H64</f>
        <v>0</v>
      </c>
      <c r="B32" s="512" t="str">
        <f>'Development Inputs'!I64</f>
        <v>Tenant Improvements</v>
      </c>
      <c r="D32" s="617">
        <f>'Development Inputs'!L64</f>
        <v>0</v>
      </c>
      <c r="E32" s="617">
        <f>SUMIF($H$7:$BT$7,"&lt;"&amp;StartDate,$H32:$BT32)</f>
        <v>0</v>
      </c>
      <c r="F32" s="617">
        <f ca="1">SUMIF($H$7:$BT$7,"&lt;="&amp;$F$7,$H32:$BT32)</f>
        <v>0</v>
      </c>
      <c r="G32" s="617">
        <f ca="1">E32-F32</f>
        <v>0</v>
      </c>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6"/>
      <c r="AK32" s="6"/>
      <c r="AL32" s="6"/>
      <c r="AM32" s="6"/>
      <c r="AN32" s="6"/>
      <c r="AO32" s="6"/>
      <c r="AP32" s="6"/>
      <c r="AQ32" s="6"/>
      <c r="AR32" s="6"/>
      <c r="AS32" s="6"/>
      <c r="AT32" s="6"/>
      <c r="AU32" s="6"/>
      <c r="AV32" s="6"/>
      <c r="AW32" s="6"/>
      <c r="AX32" s="6"/>
      <c r="AY32" s="6"/>
      <c r="AZ32" s="6"/>
      <c r="BA32" s="6"/>
      <c r="BB32" s="6"/>
      <c r="BC32" s="6"/>
      <c r="BD32" s="6"/>
      <c r="BE32" s="6"/>
      <c r="BF32" s="6"/>
      <c r="BG32" s="6"/>
      <c r="BH32" s="6"/>
      <c r="BI32" s="6"/>
      <c r="BJ32" s="6"/>
      <c r="BK32" s="6"/>
      <c r="BL32" s="6"/>
      <c r="BM32" s="6"/>
      <c r="BN32" s="6"/>
      <c r="BO32" s="6"/>
      <c r="BP32" s="6"/>
      <c r="BQ32" s="6"/>
      <c r="BR32" s="6"/>
      <c r="BS32" s="6"/>
      <c r="BT32" s="6"/>
    </row>
    <row r="33" spans="1:72" s="203" customFormat="1" x14ac:dyDescent="0.3">
      <c r="A33" s="619">
        <f>'Development Inputs'!H65</f>
        <v>0</v>
      </c>
      <c r="B33" s="512" t="str">
        <f>'Development Inputs'!I65</f>
        <v>Commissions</v>
      </c>
      <c r="C33" s="182"/>
      <c r="D33" s="617">
        <f>'Development Inputs'!L65</f>
        <v>0</v>
      </c>
      <c r="E33" s="617">
        <f>SUMIF($H$7:$BT$7,"&lt;"&amp;StartDate,$H33:$BT33)</f>
        <v>0</v>
      </c>
      <c r="F33" s="610">
        <f ca="1">SUMIF($H$7:$BT$7,"&lt;="&amp;$F$7,$H33:$BT33)</f>
        <v>0</v>
      </c>
      <c r="G33" s="610">
        <f ca="1">E33-F33</f>
        <v>0</v>
      </c>
      <c r="H33" s="5"/>
      <c r="I33" s="5"/>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row>
    <row r="34" spans="1:72" s="203" customFormat="1" x14ac:dyDescent="0.3">
      <c r="A34" s="611"/>
      <c r="B34" s="612"/>
      <c r="C34" s="613"/>
      <c r="D34" s="614"/>
      <c r="E34" s="614"/>
      <c r="F34" s="614"/>
      <c r="G34" s="614"/>
      <c r="H34" s="615"/>
      <c r="I34" s="615"/>
      <c r="J34" s="615"/>
      <c r="K34" s="615"/>
      <c r="L34" s="615"/>
      <c r="M34" s="615"/>
      <c r="N34" s="615"/>
      <c r="O34" s="615"/>
      <c r="P34" s="615"/>
      <c r="Q34" s="615"/>
      <c r="R34" s="615"/>
      <c r="S34" s="615"/>
      <c r="T34" s="615"/>
      <c r="U34" s="615"/>
      <c r="V34" s="615"/>
      <c r="W34" s="615"/>
      <c r="X34" s="615"/>
      <c r="Y34" s="615"/>
      <c r="Z34" s="615"/>
      <c r="AA34" s="615"/>
      <c r="AB34" s="615"/>
      <c r="AC34" s="615"/>
      <c r="AD34" s="615"/>
      <c r="AE34" s="615"/>
      <c r="AF34" s="615"/>
      <c r="AG34" s="615"/>
      <c r="AH34" s="615"/>
      <c r="AI34" s="615"/>
      <c r="AJ34" s="615"/>
      <c r="AK34" s="615"/>
      <c r="AL34" s="615"/>
      <c r="AM34" s="615"/>
      <c r="AN34" s="615"/>
      <c r="AO34" s="615"/>
      <c r="AP34" s="615"/>
      <c r="AQ34" s="615"/>
      <c r="AR34" s="615"/>
      <c r="AS34" s="615"/>
      <c r="AT34" s="615"/>
      <c r="AU34" s="615"/>
      <c r="AV34" s="615"/>
      <c r="AW34" s="615"/>
      <c r="AX34" s="615"/>
      <c r="AY34" s="615"/>
      <c r="AZ34" s="615"/>
      <c r="BA34" s="615"/>
      <c r="BB34" s="615"/>
      <c r="BC34" s="615"/>
      <c r="BD34" s="615"/>
      <c r="BE34" s="615"/>
      <c r="BF34" s="615"/>
      <c r="BG34" s="615"/>
      <c r="BH34" s="615"/>
      <c r="BI34" s="615"/>
      <c r="BJ34" s="615"/>
      <c r="BK34" s="615"/>
      <c r="BL34" s="615"/>
      <c r="BM34" s="615"/>
      <c r="BN34" s="615"/>
      <c r="BO34" s="615"/>
      <c r="BP34" s="615"/>
      <c r="BQ34" s="615"/>
      <c r="BR34" s="615"/>
      <c r="BS34" s="615"/>
      <c r="BT34" s="615"/>
    </row>
    <row r="35" spans="1:72" s="182" customFormat="1" x14ac:dyDescent="0.3">
      <c r="A35" s="208" t="s">
        <v>1867</v>
      </c>
      <c r="B35" s="512"/>
      <c r="D35" s="605">
        <f ca="1">TotalContingency</f>
        <v>3352055.1111288061</v>
      </c>
      <c r="E35" s="617">
        <f>SUMIF($H$7:$BT$7,"&lt;"&amp;StartDate,$H35:$BT35)</f>
        <v>0</v>
      </c>
      <c r="F35" s="617">
        <f ca="1">SUMIF($H$7:$BT$7,"&lt;="&amp;$F$7,$H35:$BT35)</f>
        <v>0</v>
      </c>
      <c r="G35" s="617">
        <f ca="1">E35-F35</f>
        <v>0</v>
      </c>
      <c r="H35" s="617">
        <f>SUBTOTAL(9,H36:H37)</f>
        <v>0</v>
      </c>
      <c r="I35" s="617">
        <f t="shared" ref="I35:AQ35" si="14">SUBTOTAL(9,I36:I37)</f>
        <v>0</v>
      </c>
      <c r="J35" s="617">
        <f t="shared" si="14"/>
        <v>0</v>
      </c>
      <c r="K35" s="617">
        <f t="shared" si="14"/>
        <v>0</v>
      </c>
      <c r="L35" s="617">
        <f t="shared" si="14"/>
        <v>0</v>
      </c>
      <c r="M35" s="617">
        <f t="shared" si="14"/>
        <v>0</v>
      </c>
      <c r="N35" s="617">
        <f t="shared" si="14"/>
        <v>0</v>
      </c>
      <c r="O35" s="617">
        <f t="shared" si="14"/>
        <v>0</v>
      </c>
      <c r="P35" s="617">
        <f t="shared" si="14"/>
        <v>0</v>
      </c>
      <c r="Q35" s="617">
        <f t="shared" si="14"/>
        <v>0</v>
      </c>
      <c r="R35" s="617">
        <f t="shared" si="14"/>
        <v>0</v>
      </c>
      <c r="S35" s="617">
        <f t="shared" si="14"/>
        <v>0</v>
      </c>
      <c r="T35" s="617">
        <f t="shared" si="14"/>
        <v>0</v>
      </c>
      <c r="U35" s="617">
        <f t="shared" si="14"/>
        <v>0</v>
      </c>
      <c r="V35" s="617">
        <f t="shared" si="14"/>
        <v>0</v>
      </c>
      <c r="W35" s="617">
        <f t="shared" si="14"/>
        <v>0</v>
      </c>
      <c r="X35" s="617">
        <f t="shared" si="14"/>
        <v>0</v>
      </c>
      <c r="Y35" s="617">
        <f t="shared" si="14"/>
        <v>0</v>
      </c>
      <c r="Z35" s="617">
        <f t="shared" si="14"/>
        <v>0</v>
      </c>
      <c r="AA35" s="617">
        <f t="shared" si="14"/>
        <v>0</v>
      </c>
      <c r="AB35" s="617">
        <f t="shared" si="14"/>
        <v>0</v>
      </c>
      <c r="AC35" s="617">
        <f t="shared" si="14"/>
        <v>0</v>
      </c>
      <c r="AD35" s="617">
        <f t="shared" si="14"/>
        <v>0</v>
      </c>
      <c r="AE35" s="617">
        <f t="shared" si="14"/>
        <v>0</v>
      </c>
      <c r="AF35" s="617">
        <f t="shared" si="14"/>
        <v>0</v>
      </c>
      <c r="AG35" s="617">
        <f t="shared" si="14"/>
        <v>0</v>
      </c>
      <c r="AH35" s="617">
        <f t="shared" si="14"/>
        <v>0</v>
      </c>
      <c r="AI35" s="617">
        <f t="shared" si="14"/>
        <v>0</v>
      </c>
      <c r="AJ35" s="617">
        <f t="shared" si="14"/>
        <v>0</v>
      </c>
      <c r="AK35" s="617">
        <f t="shared" si="14"/>
        <v>0</v>
      </c>
      <c r="AL35" s="617">
        <f t="shared" si="14"/>
        <v>0</v>
      </c>
      <c r="AM35" s="617">
        <f t="shared" si="14"/>
        <v>0</v>
      </c>
      <c r="AN35" s="617">
        <f t="shared" si="14"/>
        <v>0</v>
      </c>
      <c r="AO35" s="617">
        <f t="shared" si="14"/>
        <v>0</v>
      </c>
      <c r="AP35" s="617">
        <f t="shared" si="14"/>
        <v>0</v>
      </c>
      <c r="AQ35" s="617">
        <f t="shared" si="14"/>
        <v>0</v>
      </c>
      <c r="AR35" s="617">
        <f t="shared" ref="AR35:BS35" si="15">SUBTOTAL(9,AR36:AR37)</f>
        <v>0</v>
      </c>
      <c r="AS35" s="617">
        <f t="shared" si="15"/>
        <v>0</v>
      </c>
      <c r="AT35" s="617">
        <f t="shared" si="15"/>
        <v>0</v>
      </c>
      <c r="AU35" s="617">
        <f t="shared" si="15"/>
        <v>0</v>
      </c>
      <c r="AV35" s="617">
        <f t="shared" si="15"/>
        <v>0</v>
      </c>
      <c r="AW35" s="617">
        <f t="shared" si="15"/>
        <v>0</v>
      </c>
      <c r="AX35" s="617">
        <f t="shared" si="15"/>
        <v>0</v>
      </c>
      <c r="AY35" s="617">
        <f t="shared" si="15"/>
        <v>0</v>
      </c>
      <c r="AZ35" s="617">
        <f t="shared" si="15"/>
        <v>0</v>
      </c>
      <c r="BA35" s="617">
        <f t="shared" si="15"/>
        <v>0</v>
      </c>
      <c r="BB35" s="617">
        <f t="shared" si="15"/>
        <v>0</v>
      </c>
      <c r="BC35" s="617">
        <f t="shared" si="15"/>
        <v>0</v>
      </c>
      <c r="BD35" s="617">
        <f t="shared" si="15"/>
        <v>0</v>
      </c>
      <c r="BE35" s="617">
        <f t="shared" si="15"/>
        <v>0</v>
      </c>
      <c r="BF35" s="617">
        <f t="shared" si="15"/>
        <v>0</v>
      </c>
      <c r="BG35" s="617">
        <f t="shared" si="15"/>
        <v>0</v>
      </c>
      <c r="BH35" s="617">
        <f t="shared" si="15"/>
        <v>0</v>
      </c>
      <c r="BI35" s="617">
        <f t="shared" si="15"/>
        <v>0</v>
      </c>
      <c r="BJ35" s="617">
        <f t="shared" si="15"/>
        <v>0</v>
      </c>
      <c r="BK35" s="617">
        <f t="shared" si="15"/>
        <v>0</v>
      </c>
      <c r="BL35" s="617">
        <f t="shared" si="15"/>
        <v>0</v>
      </c>
      <c r="BM35" s="617">
        <f t="shared" si="15"/>
        <v>0</v>
      </c>
      <c r="BN35" s="617">
        <f t="shared" si="15"/>
        <v>0</v>
      </c>
      <c r="BO35" s="617">
        <f t="shared" si="15"/>
        <v>0</v>
      </c>
      <c r="BP35" s="617">
        <f t="shared" si="15"/>
        <v>0</v>
      </c>
      <c r="BQ35" s="617">
        <f t="shared" si="15"/>
        <v>0</v>
      </c>
      <c r="BR35" s="617">
        <f t="shared" si="15"/>
        <v>0</v>
      </c>
      <c r="BS35" s="617">
        <f t="shared" si="15"/>
        <v>0</v>
      </c>
      <c r="BT35" s="617">
        <f>SUBTOTAL(9,BT36:BT37)</f>
        <v>0</v>
      </c>
    </row>
    <row r="36" spans="1:72" x14ac:dyDescent="0.3">
      <c r="A36" s="619">
        <f>'Development Inputs'!A16</f>
        <v>0</v>
      </c>
      <c r="B36" s="512" t="str">
        <f>'Development Inputs'!B16</f>
        <v>Soft Cost Contingency</v>
      </c>
      <c r="D36" s="617">
        <f ca="1">'Development Inputs'!E16</f>
        <v>847328.33995378879</v>
      </c>
      <c r="E36" s="617">
        <f>SUMIF($H$7:$BT$7,"&lt;"&amp;StartDate,$H36:$BT36)</f>
        <v>0</v>
      </c>
      <c r="F36" s="617">
        <f ca="1">SUMIF($H$7:$BT$7,"&lt;="&amp;$F$7,$H36:$BT36)</f>
        <v>0</v>
      </c>
      <c r="G36" s="617">
        <f ca="1">E36-F36</f>
        <v>0</v>
      </c>
      <c r="H36" s="6"/>
      <c r="I36" s="6"/>
      <c r="J36" s="6"/>
      <c r="K36" s="6"/>
      <c r="L36" s="6"/>
      <c r="M36" s="6"/>
      <c r="N36" s="6"/>
      <c r="O36" s="6"/>
      <c r="P36" s="6"/>
      <c r="Q36" s="6"/>
      <c r="R36" s="6"/>
      <c r="S36" s="6"/>
      <c r="T36" s="6"/>
      <c r="U36" s="6"/>
      <c r="V36" s="6"/>
      <c r="W36" s="6"/>
      <c r="X36" s="6"/>
      <c r="Y36" s="6"/>
      <c r="Z36" s="6"/>
      <c r="AA36" s="6"/>
      <c r="AB36" s="6"/>
      <c r="AC36" s="6"/>
      <c r="AD36" s="6"/>
      <c r="AE36" s="6"/>
      <c r="AF36" s="6"/>
      <c r="AG36" s="6"/>
      <c r="AH36" s="6"/>
      <c r="AI36" s="6"/>
      <c r="AJ36" s="6"/>
      <c r="AK36" s="6"/>
      <c r="AL36" s="6"/>
      <c r="AM36" s="6"/>
      <c r="AN36" s="6"/>
      <c r="AO36" s="6"/>
      <c r="AP36" s="6"/>
      <c r="AQ36" s="6"/>
      <c r="AR36" s="6"/>
      <c r="AS36" s="6"/>
      <c r="AT36" s="6"/>
      <c r="AU36" s="6"/>
      <c r="AV36" s="6"/>
      <c r="AW36" s="6"/>
      <c r="AX36" s="6"/>
      <c r="AY36" s="6"/>
      <c r="AZ36" s="6"/>
      <c r="BA36" s="6"/>
      <c r="BB36" s="6"/>
      <c r="BC36" s="6"/>
      <c r="BD36" s="6"/>
      <c r="BE36" s="6"/>
      <c r="BF36" s="6"/>
      <c r="BG36" s="6"/>
      <c r="BH36" s="6"/>
      <c r="BI36" s="6"/>
      <c r="BJ36" s="6"/>
      <c r="BK36" s="6"/>
      <c r="BL36" s="6"/>
      <c r="BM36" s="6"/>
      <c r="BN36" s="6"/>
      <c r="BO36" s="6"/>
      <c r="BP36" s="6"/>
      <c r="BQ36" s="6"/>
      <c r="BR36" s="6"/>
      <c r="BS36" s="6"/>
      <c r="BT36" s="6"/>
    </row>
    <row r="37" spans="1:72" s="203" customFormat="1" x14ac:dyDescent="0.3">
      <c r="A37" s="608">
        <f>'Development Inputs'!A17</f>
        <v>0</v>
      </c>
      <c r="B37" s="609" t="str">
        <f>'Development Inputs'!B17</f>
        <v>Hard Cost Contingency</v>
      </c>
      <c r="C37" s="477"/>
      <c r="D37" s="617">
        <f>'Development Inputs'!E17</f>
        <v>2504726.7711750176</v>
      </c>
      <c r="E37" s="610">
        <f>SUMIF($H$7:$BT$7,"&lt;"&amp;StartDate,$H37:$BT37)</f>
        <v>0</v>
      </c>
      <c r="F37" s="610">
        <f ca="1">SUMIF($H$7:$BT$7,"&lt;="&amp;$F$7,$H37:$BT37)</f>
        <v>0</v>
      </c>
      <c r="G37" s="610">
        <f ca="1">E37-F37</f>
        <v>0</v>
      </c>
      <c r="H37" s="5"/>
      <c r="I37" s="5"/>
      <c r="J37" s="5"/>
      <c r="K37" s="5"/>
      <c r="L37" s="5"/>
      <c r="M37" s="5"/>
      <c r="N37" s="5"/>
      <c r="O37" s="5"/>
      <c r="P37" s="5"/>
      <c r="Q37" s="5"/>
      <c r="R37" s="5"/>
      <c r="S37" s="5"/>
      <c r="T37" s="5"/>
      <c r="U37" s="5"/>
      <c r="V37" s="5"/>
      <c r="W37" s="5"/>
      <c r="X37" s="5"/>
      <c r="Y37" s="5"/>
      <c r="Z37" s="5"/>
      <c r="AA37" s="5"/>
      <c r="AB37" s="5"/>
      <c r="AC37" s="5"/>
      <c r="AD37" s="5"/>
      <c r="AE37" s="5"/>
      <c r="AF37" s="5"/>
      <c r="AG37" s="5"/>
      <c r="AH37" s="5"/>
      <c r="AI37" s="5"/>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row>
    <row r="38" spans="1:72" s="203" customFormat="1" x14ac:dyDescent="0.3">
      <c r="A38" s="611"/>
      <c r="B38" s="612"/>
      <c r="C38" s="613"/>
      <c r="D38" s="614"/>
      <c r="E38" s="614"/>
      <c r="F38" s="614"/>
      <c r="G38" s="614"/>
      <c r="H38" s="615"/>
      <c r="I38" s="615"/>
      <c r="J38" s="615"/>
      <c r="K38" s="615"/>
      <c r="L38" s="615"/>
      <c r="M38" s="615"/>
      <c r="N38" s="615"/>
      <c r="O38" s="615"/>
      <c r="P38" s="615"/>
      <c r="Q38" s="615"/>
      <c r="R38" s="615"/>
      <c r="S38" s="615"/>
      <c r="T38" s="615"/>
      <c r="U38" s="615"/>
      <c r="V38" s="615"/>
      <c r="W38" s="615"/>
      <c r="X38" s="615"/>
      <c r="Y38" s="615"/>
      <c r="Z38" s="615"/>
      <c r="AA38" s="615"/>
      <c r="AB38" s="615"/>
      <c r="AC38" s="615"/>
      <c r="AD38" s="615"/>
      <c r="AE38" s="615"/>
      <c r="AF38" s="615"/>
      <c r="AG38" s="615"/>
      <c r="AH38" s="615"/>
      <c r="AI38" s="615"/>
      <c r="AJ38" s="615"/>
      <c r="AK38" s="615"/>
      <c r="AL38" s="615"/>
      <c r="AM38" s="615"/>
      <c r="AN38" s="615"/>
      <c r="AO38" s="615"/>
      <c r="AP38" s="615"/>
      <c r="AQ38" s="615"/>
      <c r="AR38" s="615"/>
      <c r="AS38" s="615"/>
      <c r="AT38" s="615"/>
      <c r="AU38" s="615"/>
      <c r="AV38" s="615"/>
      <c r="AW38" s="615"/>
      <c r="AX38" s="615"/>
      <c r="AY38" s="615"/>
      <c r="AZ38" s="615"/>
      <c r="BA38" s="615"/>
      <c r="BB38" s="615"/>
      <c r="BC38" s="615"/>
      <c r="BD38" s="615"/>
      <c r="BE38" s="615"/>
      <c r="BF38" s="615"/>
      <c r="BG38" s="615"/>
      <c r="BH38" s="615"/>
      <c r="BI38" s="615"/>
      <c r="BJ38" s="615"/>
      <c r="BK38" s="615"/>
      <c r="BL38" s="615"/>
      <c r="BM38" s="615"/>
      <c r="BN38" s="615"/>
      <c r="BO38" s="615"/>
      <c r="BP38" s="615"/>
      <c r="BQ38" s="615"/>
      <c r="BR38" s="615"/>
      <c r="BS38" s="615"/>
      <c r="BT38" s="615"/>
    </row>
    <row r="39" spans="1:72" s="182" customFormat="1" x14ac:dyDescent="0.3">
      <c r="A39" s="208" t="s">
        <v>2332</v>
      </c>
      <c r="B39" s="512"/>
      <c r="D39" s="605">
        <f ca="1">TotalDeficits</f>
        <v>1415342.6750558638</v>
      </c>
      <c r="E39" s="617">
        <f>SUMIF($H$7:$BT$7,"&lt;"&amp;StartDate,$H39:$BT39)</f>
        <v>0</v>
      </c>
      <c r="F39" s="617">
        <f ca="1">SUMIF($H$7:$BT$7,"&lt;="&amp;$F$7,$H39:$BT39)</f>
        <v>0</v>
      </c>
      <c r="G39" s="617">
        <f ca="1">E39-F39</f>
        <v>0</v>
      </c>
      <c r="H39" s="617">
        <f>SUBTOTAL(9,H40:H41)</f>
        <v>0</v>
      </c>
      <c r="I39" s="617">
        <f t="shared" ref="I39:BT39" si="16">SUBTOTAL(9,I40:I41)</f>
        <v>0</v>
      </c>
      <c r="J39" s="617">
        <f t="shared" si="16"/>
        <v>0</v>
      </c>
      <c r="K39" s="617">
        <f t="shared" si="16"/>
        <v>0</v>
      </c>
      <c r="L39" s="617">
        <f t="shared" si="16"/>
        <v>0</v>
      </c>
      <c r="M39" s="617">
        <f t="shared" si="16"/>
        <v>0</v>
      </c>
      <c r="N39" s="617">
        <f t="shared" si="16"/>
        <v>0</v>
      </c>
      <c r="O39" s="617">
        <f t="shared" si="16"/>
        <v>0</v>
      </c>
      <c r="P39" s="617">
        <f t="shared" si="16"/>
        <v>0</v>
      </c>
      <c r="Q39" s="617">
        <f t="shared" si="16"/>
        <v>0</v>
      </c>
      <c r="R39" s="617">
        <f t="shared" si="16"/>
        <v>0</v>
      </c>
      <c r="S39" s="617">
        <f t="shared" si="16"/>
        <v>0</v>
      </c>
      <c r="T39" s="617">
        <f t="shared" si="16"/>
        <v>0</v>
      </c>
      <c r="U39" s="617">
        <f t="shared" si="16"/>
        <v>0</v>
      </c>
      <c r="V39" s="617">
        <f t="shared" si="16"/>
        <v>0</v>
      </c>
      <c r="W39" s="617">
        <f t="shared" si="16"/>
        <v>0</v>
      </c>
      <c r="X39" s="617">
        <f t="shared" si="16"/>
        <v>0</v>
      </c>
      <c r="Y39" s="617">
        <f t="shared" si="16"/>
        <v>0</v>
      </c>
      <c r="Z39" s="617">
        <f t="shared" si="16"/>
        <v>0</v>
      </c>
      <c r="AA39" s="617">
        <f t="shared" si="16"/>
        <v>0</v>
      </c>
      <c r="AB39" s="617">
        <f t="shared" si="16"/>
        <v>0</v>
      </c>
      <c r="AC39" s="617">
        <f t="shared" si="16"/>
        <v>0</v>
      </c>
      <c r="AD39" s="617">
        <f t="shared" si="16"/>
        <v>0</v>
      </c>
      <c r="AE39" s="617">
        <f t="shared" si="16"/>
        <v>0</v>
      </c>
      <c r="AF39" s="617">
        <f t="shared" si="16"/>
        <v>0</v>
      </c>
      <c r="AG39" s="617">
        <f t="shared" si="16"/>
        <v>0</v>
      </c>
      <c r="AH39" s="617">
        <f t="shared" si="16"/>
        <v>0</v>
      </c>
      <c r="AI39" s="617">
        <f t="shared" si="16"/>
        <v>0</v>
      </c>
      <c r="AJ39" s="617">
        <f t="shared" si="16"/>
        <v>0</v>
      </c>
      <c r="AK39" s="617">
        <f t="shared" si="16"/>
        <v>0</v>
      </c>
      <c r="AL39" s="617">
        <f t="shared" si="16"/>
        <v>0</v>
      </c>
      <c r="AM39" s="617">
        <f t="shared" si="16"/>
        <v>0</v>
      </c>
      <c r="AN39" s="617">
        <f t="shared" si="16"/>
        <v>0</v>
      </c>
      <c r="AO39" s="617">
        <f t="shared" si="16"/>
        <v>0</v>
      </c>
      <c r="AP39" s="617">
        <f t="shared" si="16"/>
        <v>0</v>
      </c>
      <c r="AQ39" s="617">
        <f t="shared" si="16"/>
        <v>0</v>
      </c>
      <c r="AR39" s="617">
        <f t="shared" si="16"/>
        <v>0</v>
      </c>
      <c r="AS39" s="617">
        <f t="shared" si="16"/>
        <v>0</v>
      </c>
      <c r="AT39" s="617">
        <f t="shared" si="16"/>
        <v>0</v>
      </c>
      <c r="AU39" s="617">
        <f t="shared" si="16"/>
        <v>0</v>
      </c>
      <c r="AV39" s="617">
        <f t="shared" si="16"/>
        <v>0</v>
      </c>
      <c r="AW39" s="617">
        <f t="shared" si="16"/>
        <v>0</v>
      </c>
      <c r="AX39" s="617">
        <f t="shared" si="16"/>
        <v>0</v>
      </c>
      <c r="AY39" s="617">
        <f t="shared" si="16"/>
        <v>0</v>
      </c>
      <c r="AZ39" s="617">
        <f t="shared" si="16"/>
        <v>0</v>
      </c>
      <c r="BA39" s="617">
        <f t="shared" si="16"/>
        <v>0</v>
      </c>
      <c r="BB39" s="617">
        <f t="shared" si="16"/>
        <v>0</v>
      </c>
      <c r="BC39" s="617">
        <f t="shared" si="16"/>
        <v>0</v>
      </c>
      <c r="BD39" s="617">
        <f t="shared" si="16"/>
        <v>0</v>
      </c>
      <c r="BE39" s="617">
        <f t="shared" si="16"/>
        <v>0</v>
      </c>
      <c r="BF39" s="617">
        <f t="shared" si="16"/>
        <v>0</v>
      </c>
      <c r="BG39" s="617">
        <f t="shared" si="16"/>
        <v>0</v>
      </c>
      <c r="BH39" s="617">
        <f t="shared" si="16"/>
        <v>0</v>
      </c>
      <c r="BI39" s="617">
        <f t="shared" si="16"/>
        <v>0</v>
      </c>
      <c r="BJ39" s="617">
        <f t="shared" si="16"/>
        <v>0</v>
      </c>
      <c r="BK39" s="617">
        <f t="shared" si="16"/>
        <v>0</v>
      </c>
      <c r="BL39" s="617">
        <f t="shared" si="16"/>
        <v>0</v>
      </c>
      <c r="BM39" s="617">
        <f t="shared" si="16"/>
        <v>0</v>
      </c>
      <c r="BN39" s="617">
        <f t="shared" si="16"/>
        <v>0</v>
      </c>
      <c r="BO39" s="617">
        <f t="shared" si="16"/>
        <v>0</v>
      </c>
      <c r="BP39" s="617">
        <f t="shared" si="16"/>
        <v>0</v>
      </c>
      <c r="BQ39" s="617">
        <f t="shared" si="16"/>
        <v>0</v>
      </c>
      <c r="BR39" s="617">
        <f t="shared" si="16"/>
        <v>0</v>
      </c>
      <c r="BS39" s="617">
        <f t="shared" si="16"/>
        <v>0</v>
      </c>
      <c r="BT39" s="617">
        <f t="shared" si="16"/>
        <v>0</v>
      </c>
    </row>
    <row r="40" spans="1:72" x14ac:dyDescent="0.3">
      <c r="A40" s="619">
        <f>'Development Inputs'!H54</f>
        <v>0</v>
      </c>
      <c r="B40" s="512" t="str">
        <f>'Development Inputs'!I54</f>
        <v>Construction Interest</v>
      </c>
      <c r="D40" s="617">
        <f ca="1">'Development Inputs'!L54</f>
        <v>1086262.1410115552</v>
      </c>
      <c r="E40" s="617">
        <f>SUMIF($H$7:$BT$7,"&lt;"&amp;StartDate,$H40:$BT40)</f>
        <v>0</v>
      </c>
      <c r="F40" s="617">
        <f ca="1">SUMIF($H$7:$BT$7,"&lt;="&amp;$F$7,$H40:$BT40)</f>
        <v>0</v>
      </c>
      <c r="G40" s="617">
        <f ca="1">E40-F40</f>
        <v>0</v>
      </c>
      <c r="H40" s="6"/>
      <c r="I40" s="6"/>
      <c r="J40" s="6"/>
      <c r="K40" s="6"/>
      <c r="L40" s="6"/>
      <c r="M40" s="6"/>
      <c r="N40" s="6"/>
      <c r="O40" s="6"/>
      <c r="P40" s="6"/>
      <c r="Q40" s="6"/>
      <c r="R40" s="6"/>
      <c r="S40" s="6"/>
      <c r="T40" s="6"/>
      <c r="U40" s="6"/>
      <c r="V40" s="6"/>
      <c r="W40" s="6"/>
      <c r="X40" s="6"/>
      <c r="Y40" s="6"/>
      <c r="Z40" s="6"/>
      <c r="AA40" s="6"/>
      <c r="AB40" s="6"/>
      <c r="AC40" s="6"/>
      <c r="AD40" s="6"/>
      <c r="AE40" s="6"/>
      <c r="AF40" s="6"/>
      <c r="AG40" s="6"/>
      <c r="AH40" s="6"/>
      <c r="AI40" s="6"/>
      <c r="AJ40" s="6"/>
      <c r="AK40" s="6"/>
      <c r="AL40" s="6"/>
      <c r="AM40" s="6"/>
      <c r="AN40" s="6"/>
      <c r="AO40" s="6"/>
      <c r="AP40" s="6"/>
      <c r="AQ40" s="6"/>
      <c r="AR40" s="6"/>
      <c r="AS40" s="6"/>
      <c r="AT40" s="6"/>
      <c r="AU40" s="6"/>
      <c r="AV40" s="6"/>
      <c r="AW40" s="6"/>
      <c r="AX40" s="6"/>
      <c r="AY40" s="6"/>
      <c r="AZ40" s="6"/>
      <c r="BA40" s="6"/>
      <c r="BB40" s="6"/>
      <c r="BC40" s="6"/>
      <c r="BD40" s="6"/>
      <c r="BE40" s="6"/>
      <c r="BF40" s="6"/>
      <c r="BG40" s="6"/>
      <c r="BH40" s="6"/>
      <c r="BI40" s="6"/>
      <c r="BJ40" s="6"/>
      <c r="BK40" s="6"/>
      <c r="BL40" s="6"/>
      <c r="BM40" s="6"/>
      <c r="BN40" s="6"/>
      <c r="BO40" s="6"/>
      <c r="BP40" s="6"/>
      <c r="BQ40" s="6"/>
      <c r="BR40" s="6"/>
      <c r="BS40" s="6"/>
      <c r="BT40" s="6"/>
    </row>
    <row r="41" spans="1:72" s="203" customFormat="1" x14ac:dyDescent="0.3">
      <c r="A41" s="619">
        <f>'Development Inputs'!H55</f>
        <v>0</v>
      </c>
      <c r="B41" s="512" t="str">
        <f>'Development Inputs'!I55</f>
        <v>Operating Deficits</v>
      </c>
      <c r="C41" s="477"/>
      <c r="D41" s="617">
        <f ca="1">'Development Inputs'!L55</f>
        <v>329080.53404430853</v>
      </c>
      <c r="E41" s="610">
        <f>SUMIF($H$7:$BT$7,"&lt;"&amp;StartDate,$H41:$BT41)</f>
        <v>0</v>
      </c>
      <c r="F41" s="610">
        <f ca="1">SUMIF($H$7:$BT$7,"&lt;="&amp;$F$7,$H41:$BT41)</f>
        <v>0</v>
      </c>
      <c r="G41" s="610">
        <f ca="1">E41-F41</f>
        <v>0</v>
      </c>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5"/>
    </row>
    <row r="42" spans="1:72" s="203" customFormat="1" x14ac:dyDescent="0.3">
      <c r="A42" s="611"/>
      <c r="B42" s="612"/>
      <c r="C42" s="613"/>
      <c r="D42" s="614"/>
      <c r="E42" s="614"/>
      <c r="F42" s="614"/>
      <c r="G42" s="614"/>
      <c r="H42" s="615"/>
      <c r="I42" s="615"/>
      <c r="J42" s="615"/>
      <c r="K42" s="615"/>
      <c r="L42" s="615"/>
      <c r="M42" s="615"/>
      <c r="N42" s="615"/>
      <c r="O42" s="615"/>
      <c r="P42" s="615"/>
      <c r="Q42" s="615"/>
      <c r="R42" s="615"/>
      <c r="S42" s="615"/>
      <c r="T42" s="615"/>
      <c r="U42" s="615"/>
      <c r="V42" s="615"/>
      <c r="W42" s="615"/>
      <c r="X42" s="615"/>
      <c r="Y42" s="615"/>
      <c r="Z42" s="615"/>
      <c r="AA42" s="615"/>
      <c r="AB42" s="615"/>
      <c r="AC42" s="615"/>
      <c r="AD42" s="615"/>
      <c r="AE42" s="615"/>
      <c r="AF42" s="615"/>
      <c r="AG42" s="615"/>
      <c r="AH42" s="615"/>
      <c r="AI42" s="615"/>
      <c r="AJ42" s="615"/>
      <c r="AK42" s="615"/>
      <c r="AL42" s="615"/>
      <c r="AM42" s="615"/>
      <c r="AN42" s="615"/>
      <c r="AO42" s="615"/>
      <c r="AP42" s="615"/>
      <c r="AQ42" s="615"/>
      <c r="AR42" s="615"/>
      <c r="AS42" s="615"/>
      <c r="AT42" s="615"/>
      <c r="AU42" s="615"/>
      <c r="AV42" s="615"/>
      <c r="AW42" s="615"/>
      <c r="AX42" s="615"/>
      <c r="AY42" s="615"/>
      <c r="AZ42" s="615"/>
      <c r="BA42" s="615"/>
      <c r="BB42" s="615"/>
      <c r="BC42" s="615"/>
      <c r="BD42" s="615"/>
      <c r="BE42" s="615"/>
      <c r="BF42" s="615"/>
      <c r="BG42" s="615"/>
      <c r="BH42" s="615"/>
      <c r="BI42" s="615"/>
      <c r="BJ42" s="615"/>
      <c r="BK42" s="615"/>
      <c r="BL42" s="615"/>
      <c r="BM42" s="615"/>
      <c r="BN42" s="615"/>
      <c r="BO42" s="615"/>
      <c r="BP42" s="615"/>
      <c r="BQ42" s="615"/>
      <c r="BR42" s="615"/>
      <c r="BS42" s="615"/>
      <c r="BT42" s="615"/>
    </row>
    <row r="43" spans="1:72" s="182" customFormat="1" x14ac:dyDescent="0.3">
      <c r="A43" s="208" t="s">
        <v>674</v>
      </c>
      <c r="B43" s="512"/>
      <c r="D43" s="620">
        <f ca="1">TotalFinancing</f>
        <v>896583.45041148621</v>
      </c>
      <c r="E43" s="617">
        <f t="shared" ref="E43:E53" si="17">SUMIF($H$7:$BT$7,"&lt;"&amp;StartDate,$H43:$BT43)</f>
        <v>0</v>
      </c>
      <c r="F43" s="617">
        <f t="shared" ref="F43:F53" ca="1" si="18">SUMIF($H$7:$BT$7,"&lt;="&amp;$F$7,$H43:$BT43)</f>
        <v>0</v>
      </c>
      <c r="G43" s="617">
        <f t="shared" ref="G43:G53" ca="1" si="19">E43-F43</f>
        <v>0</v>
      </c>
      <c r="H43" s="617">
        <f>SUBTOTAL(9,H44:H53)</f>
        <v>0</v>
      </c>
      <c r="I43" s="617">
        <f t="shared" ref="I43:AQ43" si="20">SUBTOTAL(9,I44:I53)</f>
        <v>0</v>
      </c>
      <c r="J43" s="617">
        <f t="shared" si="20"/>
        <v>0</v>
      </c>
      <c r="K43" s="617">
        <f t="shared" si="20"/>
        <v>0</v>
      </c>
      <c r="L43" s="617">
        <f t="shared" si="20"/>
        <v>0</v>
      </c>
      <c r="M43" s="617">
        <f t="shared" si="20"/>
        <v>0</v>
      </c>
      <c r="N43" s="617">
        <f t="shared" si="20"/>
        <v>0</v>
      </c>
      <c r="O43" s="617">
        <f t="shared" si="20"/>
        <v>0</v>
      </c>
      <c r="P43" s="617">
        <f t="shared" si="20"/>
        <v>0</v>
      </c>
      <c r="Q43" s="617">
        <f t="shared" si="20"/>
        <v>0</v>
      </c>
      <c r="R43" s="617">
        <f t="shared" si="20"/>
        <v>0</v>
      </c>
      <c r="S43" s="617">
        <f t="shared" si="20"/>
        <v>0</v>
      </c>
      <c r="T43" s="617">
        <f t="shared" si="20"/>
        <v>0</v>
      </c>
      <c r="U43" s="617">
        <f t="shared" si="20"/>
        <v>0</v>
      </c>
      <c r="V43" s="617">
        <f t="shared" si="20"/>
        <v>0</v>
      </c>
      <c r="W43" s="617">
        <f t="shared" si="20"/>
        <v>0</v>
      </c>
      <c r="X43" s="617">
        <f t="shared" si="20"/>
        <v>0</v>
      </c>
      <c r="Y43" s="617">
        <f t="shared" si="20"/>
        <v>0</v>
      </c>
      <c r="Z43" s="617">
        <f t="shared" si="20"/>
        <v>0</v>
      </c>
      <c r="AA43" s="617">
        <f t="shared" si="20"/>
        <v>0</v>
      </c>
      <c r="AB43" s="617">
        <f t="shared" si="20"/>
        <v>0</v>
      </c>
      <c r="AC43" s="617">
        <f t="shared" si="20"/>
        <v>0</v>
      </c>
      <c r="AD43" s="617">
        <f t="shared" si="20"/>
        <v>0</v>
      </c>
      <c r="AE43" s="617">
        <f t="shared" si="20"/>
        <v>0</v>
      </c>
      <c r="AF43" s="617">
        <f t="shared" si="20"/>
        <v>0</v>
      </c>
      <c r="AG43" s="617">
        <f t="shared" si="20"/>
        <v>0</v>
      </c>
      <c r="AH43" s="617">
        <f t="shared" si="20"/>
        <v>0</v>
      </c>
      <c r="AI43" s="617">
        <f t="shared" si="20"/>
        <v>0</v>
      </c>
      <c r="AJ43" s="617">
        <f t="shared" si="20"/>
        <v>0</v>
      </c>
      <c r="AK43" s="617">
        <f t="shared" si="20"/>
        <v>0</v>
      </c>
      <c r="AL43" s="617">
        <f t="shared" si="20"/>
        <v>0</v>
      </c>
      <c r="AM43" s="617">
        <f t="shared" si="20"/>
        <v>0</v>
      </c>
      <c r="AN43" s="617">
        <f t="shared" si="20"/>
        <v>0</v>
      </c>
      <c r="AO43" s="617">
        <f t="shared" si="20"/>
        <v>0</v>
      </c>
      <c r="AP43" s="617">
        <f t="shared" si="20"/>
        <v>0</v>
      </c>
      <c r="AQ43" s="617">
        <f t="shared" si="20"/>
        <v>0</v>
      </c>
      <c r="AR43" s="617">
        <f t="shared" ref="AR43:BS43" si="21">SUBTOTAL(9,AR44:AR53)</f>
        <v>0</v>
      </c>
      <c r="AS43" s="617">
        <f t="shared" si="21"/>
        <v>0</v>
      </c>
      <c r="AT43" s="617">
        <f t="shared" si="21"/>
        <v>0</v>
      </c>
      <c r="AU43" s="617">
        <f t="shared" si="21"/>
        <v>0</v>
      </c>
      <c r="AV43" s="617">
        <f t="shared" si="21"/>
        <v>0</v>
      </c>
      <c r="AW43" s="617">
        <f t="shared" si="21"/>
        <v>0</v>
      </c>
      <c r="AX43" s="617">
        <f t="shared" si="21"/>
        <v>0</v>
      </c>
      <c r="AY43" s="617">
        <f t="shared" si="21"/>
        <v>0</v>
      </c>
      <c r="AZ43" s="617">
        <f t="shared" si="21"/>
        <v>0</v>
      </c>
      <c r="BA43" s="617">
        <f t="shared" si="21"/>
        <v>0</v>
      </c>
      <c r="BB43" s="617">
        <f t="shared" si="21"/>
        <v>0</v>
      </c>
      <c r="BC43" s="617">
        <f t="shared" si="21"/>
        <v>0</v>
      </c>
      <c r="BD43" s="617">
        <f t="shared" si="21"/>
        <v>0</v>
      </c>
      <c r="BE43" s="617">
        <f t="shared" si="21"/>
        <v>0</v>
      </c>
      <c r="BF43" s="617">
        <f t="shared" si="21"/>
        <v>0</v>
      </c>
      <c r="BG43" s="617">
        <f t="shared" si="21"/>
        <v>0</v>
      </c>
      <c r="BH43" s="617">
        <f t="shared" si="21"/>
        <v>0</v>
      </c>
      <c r="BI43" s="617">
        <f t="shared" si="21"/>
        <v>0</v>
      </c>
      <c r="BJ43" s="617">
        <f t="shared" si="21"/>
        <v>0</v>
      </c>
      <c r="BK43" s="617">
        <f t="shared" si="21"/>
        <v>0</v>
      </c>
      <c r="BL43" s="617">
        <f t="shared" si="21"/>
        <v>0</v>
      </c>
      <c r="BM43" s="617">
        <f t="shared" si="21"/>
        <v>0</v>
      </c>
      <c r="BN43" s="617">
        <f t="shared" si="21"/>
        <v>0</v>
      </c>
      <c r="BO43" s="617">
        <f t="shared" si="21"/>
        <v>0</v>
      </c>
      <c r="BP43" s="617">
        <f t="shared" si="21"/>
        <v>0</v>
      </c>
      <c r="BQ43" s="617">
        <f t="shared" si="21"/>
        <v>0</v>
      </c>
      <c r="BR43" s="617">
        <f t="shared" si="21"/>
        <v>0</v>
      </c>
      <c r="BS43" s="617">
        <f t="shared" si="21"/>
        <v>0</v>
      </c>
      <c r="BT43" s="617">
        <f>SUBTOTAL(9,BT44:BT53)</f>
        <v>0</v>
      </c>
    </row>
    <row r="44" spans="1:72" x14ac:dyDescent="0.3">
      <c r="A44" s="619">
        <f>'Development Inputs'!A99</f>
        <v>0</v>
      </c>
      <c r="B44" s="512" t="str">
        <f>'Development Inputs'!B99</f>
        <v>Equity Commitment Fees</v>
      </c>
      <c r="D44" s="617">
        <f ca="1">'Development Inputs'!E99</f>
        <v>0</v>
      </c>
      <c r="E44" s="617">
        <f t="shared" si="17"/>
        <v>0</v>
      </c>
      <c r="F44" s="617">
        <f t="shared" ca="1" si="18"/>
        <v>0</v>
      </c>
      <c r="G44" s="617">
        <f t="shared" ca="1" si="19"/>
        <v>0</v>
      </c>
      <c r="H44" s="6"/>
      <c r="I44" s="6"/>
      <c r="J44" s="6"/>
      <c r="K44" s="6"/>
      <c r="L44" s="6"/>
      <c r="M44" s="6"/>
      <c r="N44" s="6"/>
      <c r="O44" s="6"/>
      <c r="P44" s="6"/>
      <c r="Q44" s="6"/>
      <c r="R44" s="6"/>
      <c r="S44" s="6"/>
      <c r="T44" s="6"/>
      <c r="U44" s="6"/>
      <c r="V44" s="6"/>
      <c r="W44" s="6"/>
      <c r="X44" s="6"/>
      <c r="Y44" s="6"/>
      <c r="Z44" s="6"/>
      <c r="AA44" s="6"/>
      <c r="AB44" s="6"/>
      <c r="AC44" s="6"/>
      <c r="AD44" s="6"/>
      <c r="AE44" s="6"/>
      <c r="AF44" s="6"/>
      <c r="AG44" s="6"/>
      <c r="AH44" s="6"/>
      <c r="AI44" s="6"/>
      <c r="AJ44" s="6"/>
      <c r="AK44" s="6"/>
      <c r="AL44" s="6"/>
      <c r="AM44" s="6"/>
      <c r="AN44" s="6"/>
      <c r="AO44" s="6"/>
      <c r="AP44" s="6"/>
      <c r="AQ44" s="6"/>
      <c r="AR44" s="6"/>
      <c r="AS44" s="6"/>
      <c r="AT44" s="6"/>
      <c r="AU44" s="6"/>
      <c r="AV44" s="6"/>
      <c r="AW44" s="6"/>
      <c r="AX44" s="6"/>
      <c r="AY44" s="6"/>
      <c r="AZ44" s="6"/>
      <c r="BA44" s="6"/>
      <c r="BB44" s="6"/>
      <c r="BC44" s="6"/>
      <c r="BD44" s="6"/>
      <c r="BE44" s="6"/>
      <c r="BF44" s="6"/>
      <c r="BG44" s="6"/>
      <c r="BH44" s="6"/>
      <c r="BI44" s="6"/>
      <c r="BJ44" s="6"/>
      <c r="BK44" s="6"/>
      <c r="BL44" s="6"/>
      <c r="BM44" s="6"/>
      <c r="BN44" s="6"/>
      <c r="BO44" s="6"/>
      <c r="BP44" s="6"/>
      <c r="BQ44" s="6"/>
      <c r="BR44" s="6"/>
      <c r="BS44" s="6"/>
      <c r="BT44" s="6"/>
    </row>
    <row r="45" spans="1:72" x14ac:dyDescent="0.3">
      <c r="A45" s="619">
        <f>'Development Inputs'!A100</f>
        <v>0</v>
      </c>
      <c r="B45" s="512" t="str">
        <f>'Development Inputs'!B100</f>
        <v>Equity Broker Fees</v>
      </c>
      <c r="D45" s="617">
        <f ca="1">'Development Inputs'!E100</f>
        <v>0</v>
      </c>
      <c r="E45" s="617">
        <f t="shared" si="17"/>
        <v>0</v>
      </c>
      <c r="F45" s="617">
        <f t="shared" ca="1" si="18"/>
        <v>0</v>
      </c>
      <c r="G45" s="617">
        <f t="shared" ca="1" si="19"/>
        <v>0</v>
      </c>
      <c r="H45" s="6"/>
      <c r="I45" s="6"/>
      <c r="J45" s="6"/>
      <c r="K45" s="6"/>
      <c r="L45" s="6"/>
      <c r="M45" s="6"/>
      <c r="N45" s="6"/>
      <c r="O45" s="6"/>
      <c r="P45" s="6"/>
      <c r="Q45" s="6"/>
      <c r="R45" s="6"/>
      <c r="S45" s="6"/>
      <c r="T45" s="6"/>
      <c r="U45" s="6"/>
      <c r="V45" s="6"/>
      <c r="W45" s="6"/>
      <c r="X45" s="6"/>
      <c r="Y45" s="6"/>
      <c r="Z45" s="6"/>
      <c r="AA45" s="6"/>
      <c r="AB45" s="6"/>
      <c r="AC45" s="6"/>
      <c r="AD45" s="6"/>
      <c r="AE45" s="6"/>
      <c r="AF45" s="6"/>
      <c r="AG45" s="6"/>
      <c r="AH45" s="6"/>
      <c r="AI45" s="6"/>
      <c r="AJ45" s="6"/>
      <c r="AK45" s="6"/>
      <c r="AL45" s="6"/>
      <c r="AM45" s="6"/>
      <c r="AN45" s="6"/>
      <c r="AO45" s="6"/>
      <c r="AP45" s="6"/>
      <c r="AQ45" s="6"/>
      <c r="AR45" s="6"/>
      <c r="AS45" s="6"/>
      <c r="AT45" s="6"/>
      <c r="AU45" s="6"/>
      <c r="AV45" s="6"/>
      <c r="AW45" s="6"/>
      <c r="AX45" s="6"/>
      <c r="AY45" s="6"/>
      <c r="AZ45" s="6"/>
      <c r="BA45" s="6"/>
      <c r="BB45" s="6"/>
      <c r="BC45" s="6"/>
      <c r="BD45" s="6"/>
      <c r="BE45" s="6"/>
      <c r="BF45" s="6"/>
      <c r="BG45" s="6"/>
      <c r="BH45" s="6"/>
      <c r="BI45" s="6"/>
      <c r="BJ45" s="6"/>
      <c r="BK45" s="6"/>
      <c r="BL45" s="6"/>
      <c r="BM45" s="6"/>
      <c r="BN45" s="6"/>
      <c r="BO45" s="6"/>
      <c r="BP45" s="6"/>
      <c r="BQ45" s="6"/>
      <c r="BR45" s="6"/>
      <c r="BS45" s="6"/>
      <c r="BT45" s="6"/>
    </row>
    <row r="46" spans="1:72" x14ac:dyDescent="0.3">
      <c r="A46" s="619">
        <f>'Development Inputs'!A103</f>
        <v>0</v>
      </c>
      <c r="B46" s="512" t="str">
        <f>'Development Inputs'!B103</f>
        <v>Construction Loan Legal</v>
      </c>
      <c r="D46" s="617">
        <f>'Development Inputs'!E103</f>
        <v>250000</v>
      </c>
      <c r="E46" s="617">
        <f t="shared" si="17"/>
        <v>0</v>
      </c>
      <c r="F46" s="617">
        <f t="shared" ca="1" si="18"/>
        <v>0</v>
      </c>
      <c r="G46" s="617">
        <f t="shared" ca="1" si="19"/>
        <v>0</v>
      </c>
      <c r="H46" s="6"/>
      <c r="I46" s="6"/>
      <c r="J46" s="6"/>
      <c r="K46" s="6"/>
      <c r="L46" s="6"/>
      <c r="M46" s="6"/>
      <c r="N46" s="6"/>
      <c r="O46" s="6"/>
      <c r="P46" s="6"/>
      <c r="Q46" s="6"/>
      <c r="R46" s="6"/>
      <c r="S46" s="6"/>
      <c r="T46" s="6"/>
      <c r="U46" s="6"/>
      <c r="V46" s="6"/>
      <c r="W46" s="6"/>
      <c r="X46" s="6"/>
      <c r="Y46" s="6"/>
      <c r="Z46" s="6"/>
      <c r="AA46" s="6"/>
      <c r="AB46" s="6"/>
      <c r="AC46" s="6"/>
      <c r="AD46" s="6"/>
      <c r="AE46" s="6"/>
      <c r="AF46" s="6"/>
      <c r="AG46" s="6"/>
      <c r="AH46" s="6"/>
      <c r="AI46" s="6"/>
      <c r="AJ46" s="6"/>
      <c r="AK46" s="6"/>
      <c r="AL46" s="6"/>
      <c r="AM46" s="6"/>
      <c r="AN46" s="6"/>
      <c r="AO46" s="6"/>
      <c r="AP46" s="6"/>
      <c r="AQ46" s="6"/>
      <c r="AR46" s="6"/>
      <c r="AS46" s="6"/>
      <c r="AT46" s="6"/>
      <c r="AU46" s="6"/>
      <c r="AV46" s="6"/>
      <c r="AW46" s="6"/>
      <c r="AX46" s="6"/>
      <c r="AY46" s="6"/>
      <c r="AZ46" s="6"/>
      <c r="BA46" s="6"/>
      <c r="BB46" s="6"/>
      <c r="BC46" s="6"/>
      <c r="BD46" s="6"/>
      <c r="BE46" s="6"/>
      <c r="BF46" s="6"/>
      <c r="BG46" s="6"/>
      <c r="BH46" s="6"/>
      <c r="BI46" s="6"/>
      <c r="BJ46" s="6"/>
      <c r="BK46" s="6"/>
      <c r="BL46" s="6"/>
      <c r="BM46" s="6"/>
      <c r="BN46" s="6"/>
      <c r="BO46" s="6"/>
      <c r="BP46" s="6"/>
      <c r="BQ46" s="6"/>
      <c r="BR46" s="6"/>
      <c r="BS46" s="6"/>
      <c r="BT46" s="6"/>
    </row>
    <row r="47" spans="1:72" x14ac:dyDescent="0.3">
      <c r="A47" s="619">
        <f>'Development Inputs'!A104</f>
        <v>0</v>
      </c>
      <c r="B47" s="512" t="str">
        <f>'Development Inputs'!B104</f>
        <v>Construction Loan Commitment Fee</v>
      </c>
      <c r="D47" s="617">
        <f ca="1">'Development Inputs'!E104</f>
        <v>321583.45041148626</v>
      </c>
      <c r="E47" s="617">
        <f t="shared" si="17"/>
        <v>0</v>
      </c>
      <c r="F47" s="617">
        <f t="shared" ca="1" si="18"/>
        <v>0</v>
      </c>
      <c r="G47" s="617">
        <f t="shared" ca="1" si="19"/>
        <v>0</v>
      </c>
      <c r="H47" s="6"/>
      <c r="I47" s="6"/>
      <c r="J47" s="6"/>
      <c r="K47" s="6"/>
      <c r="L47" s="6"/>
      <c r="M47" s="6"/>
      <c r="N47" s="6"/>
      <c r="O47" s="6"/>
      <c r="P47" s="6"/>
      <c r="Q47" s="6"/>
      <c r="R47" s="6"/>
      <c r="S47" s="6"/>
      <c r="T47" s="6"/>
      <c r="U47" s="6"/>
      <c r="V47" s="6"/>
      <c r="W47" s="6"/>
      <c r="X47" s="6"/>
      <c r="Y47" s="6"/>
      <c r="Z47" s="6"/>
      <c r="AA47" s="6"/>
      <c r="AB47" s="6"/>
      <c r="AC47" s="6"/>
      <c r="AD47" s="6"/>
      <c r="AE47" s="6"/>
      <c r="AF47" s="6"/>
      <c r="AG47" s="6"/>
      <c r="AH47" s="6"/>
      <c r="AI47" s="6"/>
      <c r="AJ47" s="6"/>
      <c r="AK47" s="6"/>
      <c r="AL47" s="6"/>
      <c r="AM47" s="6"/>
      <c r="AN47" s="6"/>
      <c r="AO47" s="6"/>
      <c r="AP47" s="6"/>
      <c r="AQ47" s="6"/>
      <c r="AR47" s="6"/>
      <c r="AS47" s="6"/>
      <c r="AT47" s="6"/>
      <c r="AU47" s="6"/>
      <c r="AV47" s="6"/>
      <c r="AW47" s="6"/>
      <c r="AX47" s="6"/>
      <c r="AY47" s="6"/>
      <c r="AZ47" s="6"/>
      <c r="BA47" s="6"/>
      <c r="BB47" s="6"/>
      <c r="BC47" s="6"/>
      <c r="BD47" s="6"/>
      <c r="BE47" s="6"/>
      <c r="BF47" s="6"/>
      <c r="BG47" s="6"/>
      <c r="BH47" s="6"/>
      <c r="BI47" s="6"/>
      <c r="BJ47" s="6"/>
      <c r="BK47" s="6"/>
      <c r="BL47" s="6"/>
      <c r="BM47" s="6"/>
      <c r="BN47" s="6"/>
      <c r="BO47" s="6"/>
      <c r="BP47" s="6"/>
      <c r="BQ47" s="6"/>
      <c r="BR47" s="6"/>
      <c r="BS47" s="6"/>
      <c r="BT47" s="6"/>
    </row>
    <row r="48" spans="1:72" x14ac:dyDescent="0.3">
      <c r="A48" s="619">
        <f>'Development Inputs'!A105</f>
        <v>0</v>
      </c>
      <c r="B48" s="512" t="str">
        <f>'Development Inputs'!B105</f>
        <v>LP Due Diligence</v>
      </c>
      <c r="D48" s="617">
        <f>'Development Inputs'!E105</f>
        <v>250000</v>
      </c>
      <c r="E48" s="617">
        <f t="shared" si="17"/>
        <v>0</v>
      </c>
      <c r="F48" s="617">
        <f t="shared" ca="1" si="18"/>
        <v>0</v>
      </c>
      <c r="G48" s="617">
        <f t="shared" ca="1" si="19"/>
        <v>0</v>
      </c>
      <c r="H48" s="6"/>
      <c r="I48" s="6"/>
      <c r="J48" s="6"/>
      <c r="K48" s="6"/>
      <c r="L48" s="6"/>
      <c r="M48" s="6"/>
      <c r="N48" s="6"/>
      <c r="O48" s="6"/>
      <c r="P48" s="6"/>
      <c r="Q48" s="6"/>
      <c r="R48" s="6"/>
      <c r="S48" s="6"/>
      <c r="T48" s="6"/>
      <c r="U48" s="6"/>
      <c r="V48" s="6"/>
      <c r="W48" s="6"/>
      <c r="X48" s="6"/>
      <c r="Y48" s="6"/>
      <c r="Z48" s="6"/>
      <c r="AA48" s="6"/>
      <c r="AB48" s="6"/>
      <c r="AC48" s="6"/>
      <c r="AD48" s="6"/>
      <c r="AE48" s="6"/>
      <c r="AF48" s="6"/>
      <c r="AG48" s="6"/>
      <c r="AH48" s="6"/>
      <c r="AI48" s="6"/>
      <c r="AJ48" s="6"/>
      <c r="AK48" s="6"/>
      <c r="AL48" s="6"/>
      <c r="AM48" s="6"/>
      <c r="AN48" s="6"/>
      <c r="AO48" s="6"/>
      <c r="AP48" s="6"/>
      <c r="AQ48" s="6"/>
      <c r="AR48" s="6"/>
      <c r="AS48" s="6"/>
      <c r="AT48" s="6"/>
      <c r="AU48" s="6"/>
      <c r="AV48" s="6"/>
      <c r="AW48" s="6"/>
      <c r="AX48" s="6"/>
      <c r="AY48" s="6"/>
      <c r="AZ48" s="6"/>
      <c r="BA48" s="6"/>
      <c r="BB48" s="6"/>
      <c r="BC48" s="6"/>
      <c r="BD48" s="6"/>
      <c r="BE48" s="6"/>
      <c r="BF48" s="6"/>
      <c r="BG48" s="6"/>
      <c r="BH48" s="6"/>
      <c r="BI48" s="6"/>
      <c r="BJ48" s="6"/>
      <c r="BK48" s="6"/>
      <c r="BL48" s="6"/>
      <c r="BM48" s="6"/>
      <c r="BN48" s="6"/>
      <c r="BO48" s="6"/>
      <c r="BP48" s="6"/>
      <c r="BQ48" s="6"/>
      <c r="BR48" s="6"/>
      <c r="BS48" s="6"/>
      <c r="BT48" s="6"/>
    </row>
    <row r="49" spans="1:72" x14ac:dyDescent="0.3">
      <c r="A49" s="619">
        <f>'Development Inputs'!A106</f>
        <v>0</v>
      </c>
      <c r="B49" s="512" t="str">
        <f>'Development Inputs'!B106</f>
        <v>Debt Broker Fees</v>
      </c>
      <c r="D49" s="617">
        <f ca="1">'Development Inputs'!E106</f>
        <v>0</v>
      </c>
      <c r="E49" s="617">
        <f t="shared" si="17"/>
        <v>0</v>
      </c>
      <c r="F49" s="617">
        <f t="shared" ca="1" si="18"/>
        <v>0</v>
      </c>
      <c r="G49" s="617">
        <f t="shared" ca="1" si="19"/>
        <v>0</v>
      </c>
      <c r="H49" s="6"/>
      <c r="I49" s="6"/>
      <c r="J49" s="6"/>
      <c r="K49" s="6"/>
      <c r="L49" s="6"/>
      <c r="M49" s="6"/>
      <c r="N49" s="6"/>
      <c r="O49" s="6"/>
      <c r="P49" s="6"/>
      <c r="Q49" s="6"/>
      <c r="R49" s="6"/>
      <c r="S49" s="6"/>
      <c r="T49" s="6"/>
      <c r="U49" s="6"/>
      <c r="V49" s="6"/>
      <c r="W49" s="6"/>
      <c r="X49" s="6"/>
      <c r="Y49" s="6"/>
      <c r="Z49" s="6"/>
      <c r="AA49" s="6"/>
      <c r="AB49" s="6"/>
      <c r="AC49" s="6"/>
      <c r="AD49" s="6"/>
      <c r="AE49" s="6"/>
      <c r="AF49" s="6"/>
      <c r="AG49" s="6"/>
      <c r="AH49" s="6"/>
      <c r="AI49" s="6"/>
      <c r="AJ49" s="6"/>
      <c r="AK49" s="6"/>
      <c r="AL49" s="6"/>
      <c r="AM49" s="6"/>
      <c r="AN49" s="6"/>
      <c r="AO49" s="6"/>
      <c r="AP49" s="6"/>
      <c r="AQ49" s="6"/>
      <c r="AR49" s="6"/>
      <c r="AS49" s="6"/>
      <c r="AT49" s="6"/>
      <c r="AU49" s="6"/>
      <c r="AV49" s="6"/>
      <c r="AW49" s="6"/>
      <c r="AX49" s="6"/>
      <c r="AY49" s="6"/>
      <c r="AZ49" s="6"/>
      <c r="BA49" s="6"/>
      <c r="BB49" s="6"/>
      <c r="BC49" s="6"/>
      <c r="BD49" s="6"/>
      <c r="BE49" s="6"/>
      <c r="BF49" s="6"/>
      <c r="BG49" s="6"/>
      <c r="BH49" s="6"/>
      <c r="BI49" s="6"/>
      <c r="BJ49" s="6"/>
      <c r="BK49" s="6"/>
      <c r="BL49" s="6"/>
      <c r="BM49" s="6"/>
      <c r="BN49" s="6"/>
      <c r="BO49" s="6"/>
      <c r="BP49" s="6"/>
      <c r="BQ49" s="6"/>
      <c r="BR49" s="6"/>
      <c r="BS49" s="6"/>
      <c r="BT49" s="6"/>
    </row>
    <row r="50" spans="1:72" x14ac:dyDescent="0.3">
      <c r="A50" s="619">
        <f>'Development Inputs'!A107</f>
        <v>0</v>
      </c>
      <c r="B50" s="512" t="str">
        <f>'Development Inputs'!B107</f>
        <v>Mezzanine Loan Legal</v>
      </c>
      <c r="D50" s="617">
        <f>'Development Inputs'!E107</f>
        <v>0</v>
      </c>
      <c r="E50" s="617">
        <f t="shared" si="17"/>
        <v>0</v>
      </c>
      <c r="F50" s="617">
        <f t="shared" ca="1" si="18"/>
        <v>0</v>
      </c>
      <c r="G50" s="617">
        <f t="shared" ca="1" si="19"/>
        <v>0</v>
      </c>
      <c r="H50" s="6"/>
      <c r="I50" s="6"/>
      <c r="J50" s="6"/>
      <c r="K50" s="6"/>
      <c r="L50" s="6"/>
      <c r="M50" s="6"/>
      <c r="N50" s="6"/>
      <c r="O50" s="6"/>
      <c r="P50" s="6"/>
      <c r="Q50" s="6"/>
      <c r="R50" s="6"/>
      <c r="S50" s="6"/>
      <c r="T50" s="6"/>
      <c r="U50" s="6"/>
      <c r="V50" s="6"/>
      <c r="W50" s="6"/>
      <c r="X50" s="6"/>
      <c r="Y50" s="6"/>
      <c r="Z50" s="6"/>
      <c r="AA50" s="6"/>
      <c r="AB50" s="6"/>
      <c r="AC50" s="6"/>
      <c r="AD50" s="6"/>
      <c r="AE50" s="6"/>
      <c r="AF50" s="6"/>
      <c r="AG50" s="6"/>
      <c r="AH50" s="6"/>
      <c r="AI50" s="6"/>
      <c r="AJ50" s="6"/>
      <c r="AK50" s="6"/>
      <c r="AL50" s="6"/>
      <c r="AM50" s="6"/>
      <c r="AN50" s="6"/>
      <c r="AO50" s="6"/>
      <c r="AP50" s="6"/>
      <c r="AQ50" s="6"/>
      <c r="AR50" s="6"/>
      <c r="AS50" s="6"/>
      <c r="AT50" s="6"/>
      <c r="AU50" s="6"/>
      <c r="AV50" s="6"/>
      <c r="AW50" s="6"/>
      <c r="AX50" s="6"/>
      <c r="AY50" s="6"/>
      <c r="AZ50" s="6"/>
      <c r="BA50" s="6"/>
      <c r="BB50" s="6"/>
      <c r="BC50" s="6"/>
      <c r="BD50" s="6"/>
      <c r="BE50" s="6"/>
      <c r="BF50" s="6"/>
      <c r="BG50" s="6"/>
      <c r="BH50" s="6"/>
      <c r="BI50" s="6"/>
      <c r="BJ50" s="6"/>
      <c r="BK50" s="6"/>
      <c r="BL50" s="6"/>
      <c r="BM50" s="6"/>
      <c r="BN50" s="6"/>
      <c r="BO50" s="6"/>
      <c r="BP50" s="6"/>
      <c r="BQ50" s="6"/>
      <c r="BR50" s="6"/>
      <c r="BS50" s="6"/>
      <c r="BT50" s="6"/>
    </row>
    <row r="51" spans="1:72" x14ac:dyDescent="0.3">
      <c r="A51" s="619">
        <f>'Development Inputs'!A108</f>
        <v>0</v>
      </c>
      <c r="B51" s="512" t="str">
        <f>'Development Inputs'!B108</f>
        <v>Mezzanine Loan Commitment Fee</v>
      </c>
      <c r="D51" s="617">
        <f ca="1">'Development Inputs'!E108</f>
        <v>0</v>
      </c>
      <c r="E51" s="617">
        <f t="shared" si="17"/>
        <v>0</v>
      </c>
      <c r="F51" s="617">
        <f t="shared" ca="1" si="18"/>
        <v>0</v>
      </c>
      <c r="G51" s="617">
        <f t="shared" ca="1" si="19"/>
        <v>0</v>
      </c>
      <c r="H51" s="6"/>
      <c r="I51" s="6"/>
      <c r="J51" s="6"/>
      <c r="K51" s="6"/>
      <c r="L51" s="6"/>
      <c r="M51" s="6"/>
      <c r="N51" s="6"/>
      <c r="O51" s="6"/>
      <c r="P51" s="6"/>
      <c r="Q51" s="6"/>
      <c r="R51" s="6"/>
      <c r="S51" s="6"/>
      <c r="T51" s="6"/>
      <c r="U51" s="6"/>
      <c r="V51" s="6"/>
      <c r="W51" s="6"/>
      <c r="X51" s="6"/>
      <c r="Y51" s="6"/>
      <c r="Z51" s="6"/>
      <c r="AA51" s="6"/>
      <c r="AB51" s="6"/>
      <c r="AC51" s="6"/>
      <c r="AD51" s="6"/>
      <c r="AE51" s="6"/>
      <c r="AF51" s="6"/>
      <c r="AG51" s="6"/>
      <c r="AH51" s="6"/>
      <c r="AI51" s="6"/>
      <c r="AJ51" s="6"/>
      <c r="AK51" s="6"/>
      <c r="AL51" s="6"/>
      <c r="AM51" s="6"/>
      <c r="AN51" s="6"/>
      <c r="AO51" s="6"/>
      <c r="AP51" s="6"/>
      <c r="AQ51" s="6"/>
      <c r="AR51" s="6"/>
      <c r="AS51" s="6"/>
      <c r="AT51" s="6"/>
      <c r="AU51" s="6"/>
      <c r="AV51" s="6"/>
      <c r="AW51" s="6"/>
      <c r="AX51" s="6"/>
      <c r="AY51" s="6"/>
      <c r="AZ51" s="6"/>
      <c r="BA51" s="6"/>
      <c r="BB51" s="6"/>
      <c r="BC51" s="6"/>
      <c r="BD51" s="6"/>
      <c r="BE51" s="6"/>
      <c r="BF51" s="6"/>
      <c r="BG51" s="6"/>
      <c r="BH51" s="6"/>
      <c r="BI51" s="6"/>
      <c r="BJ51" s="6"/>
      <c r="BK51" s="6"/>
      <c r="BL51" s="6"/>
      <c r="BM51" s="6"/>
      <c r="BN51" s="6"/>
      <c r="BO51" s="6"/>
      <c r="BP51" s="6"/>
      <c r="BQ51" s="6"/>
      <c r="BR51" s="6"/>
      <c r="BS51" s="6"/>
      <c r="BT51" s="6"/>
    </row>
    <row r="52" spans="1:72" x14ac:dyDescent="0.3">
      <c r="A52" s="619">
        <f>'Development Inputs'!A111</f>
        <v>0</v>
      </c>
      <c r="B52" s="512" t="str">
        <f>'Development Inputs'!B111</f>
        <v>Inspection Fees</v>
      </c>
      <c r="D52" s="617">
        <f>'Development Inputs'!E111</f>
        <v>75000</v>
      </c>
      <c r="E52" s="617">
        <f t="shared" si="17"/>
        <v>0</v>
      </c>
      <c r="F52" s="617">
        <f t="shared" ca="1" si="18"/>
        <v>0</v>
      </c>
      <c r="G52" s="617">
        <f t="shared" ca="1" si="19"/>
        <v>0</v>
      </c>
      <c r="H52" s="6"/>
      <c r="I52" s="6"/>
      <c r="J52" s="6"/>
      <c r="K52" s="6"/>
      <c r="L52" s="6"/>
      <c r="M52" s="6"/>
      <c r="N52" s="6"/>
      <c r="O52" s="6"/>
      <c r="P52" s="6"/>
      <c r="Q52" s="6"/>
      <c r="R52" s="6"/>
      <c r="S52" s="6"/>
      <c r="T52" s="6"/>
      <c r="U52" s="6"/>
      <c r="V52" s="6"/>
      <c r="W52" s="6"/>
      <c r="X52" s="6"/>
      <c r="Y52" s="6"/>
      <c r="Z52" s="6"/>
      <c r="AA52" s="6"/>
      <c r="AB52" s="6"/>
      <c r="AC52" s="6"/>
      <c r="AD52" s="6"/>
      <c r="AE52" s="6"/>
      <c r="AF52" s="6"/>
      <c r="AG52" s="6"/>
      <c r="AH52" s="6"/>
      <c r="AI52" s="6"/>
      <c r="AJ52" s="6"/>
      <c r="AK52" s="6"/>
      <c r="AL52" s="6"/>
      <c r="AM52" s="6"/>
      <c r="AN52" s="6"/>
      <c r="AO52" s="6"/>
      <c r="AP52" s="6"/>
      <c r="AQ52" s="6"/>
      <c r="AR52" s="6"/>
      <c r="AS52" s="6"/>
      <c r="AT52" s="6"/>
      <c r="AU52" s="6"/>
      <c r="AV52" s="6"/>
      <c r="AW52" s="6"/>
      <c r="AX52" s="6"/>
      <c r="AY52" s="6"/>
      <c r="AZ52" s="6"/>
      <c r="BA52" s="6"/>
      <c r="BB52" s="6"/>
      <c r="BC52" s="6"/>
      <c r="BD52" s="6"/>
      <c r="BE52" s="6"/>
      <c r="BF52" s="6"/>
      <c r="BG52" s="6"/>
      <c r="BH52" s="6"/>
      <c r="BI52" s="6"/>
      <c r="BJ52" s="6"/>
      <c r="BK52" s="6"/>
      <c r="BL52" s="6"/>
      <c r="BM52" s="6"/>
      <c r="BN52" s="6"/>
      <c r="BO52" s="6"/>
      <c r="BP52" s="6"/>
      <c r="BQ52" s="6"/>
      <c r="BR52" s="6"/>
      <c r="BS52" s="6"/>
      <c r="BT52" s="6"/>
    </row>
    <row r="53" spans="1:72" s="203" customFormat="1" x14ac:dyDescent="0.3">
      <c r="A53" s="619">
        <f>'Development Inputs'!A112</f>
        <v>0</v>
      </c>
      <c r="B53" s="609" t="str">
        <f>'Development Inputs'!B112</f>
        <v>Construction Loan Extension Fees</v>
      </c>
      <c r="C53" s="477"/>
      <c r="D53" s="617">
        <f ca="1">'Development Inputs'!E112</f>
        <v>0</v>
      </c>
      <c r="E53" s="610">
        <f t="shared" si="17"/>
        <v>0</v>
      </c>
      <c r="F53" s="610">
        <f t="shared" ca="1" si="18"/>
        <v>0</v>
      </c>
      <c r="G53" s="610">
        <f t="shared" ca="1" si="19"/>
        <v>0</v>
      </c>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c r="BT53" s="5"/>
    </row>
    <row r="54" spans="1:72" s="203" customFormat="1" x14ac:dyDescent="0.3">
      <c r="A54" s="611"/>
      <c r="B54" s="612"/>
      <c r="C54" s="613"/>
      <c r="D54" s="614"/>
      <c r="E54" s="614"/>
      <c r="F54" s="614"/>
      <c r="G54" s="614"/>
      <c r="H54" s="615"/>
      <c r="I54" s="615"/>
      <c r="J54" s="615"/>
      <c r="K54" s="615"/>
      <c r="L54" s="615"/>
      <c r="M54" s="615"/>
      <c r="N54" s="615"/>
      <c r="O54" s="615"/>
      <c r="P54" s="615"/>
      <c r="Q54" s="615"/>
      <c r="R54" s="615"/>
      <c r="S54" s="615"/>
      <c r="T54" s="615"/>
      <c r="U54" s="615"/>
      <c r="V54" s="615"/>
      <c r="W54" s="615"/>
      <c r="X54" s="615"/>
      <c r="Y54" s="615"/>
      <c r="Z54" s="615"/>
      <c r="AA54" s="615"/>
      <c r="AB54" s="615"/>
      <c r="AC54" s="615"/>
      <c r="AD54" s="615"/>
      <c r="AE54" s="615"/>
      <c r="AF54" s="615"/>
      <c r="AG54" s="615"/>
      <c r="AH54" s="615"/>
      <c r="AI54" s="615"/>
      <c r="AJ54" s="615"/>
      <c r="AK54" s="615"/>
      <c r="AL54" s="615"/>
      <c r="AM54" s="615"/>
      <c r="AN54" s="615"/>
      <c r="AO54" s="615"/>
      <c r="AP54" s="615"/>
      <c r="AQ54" s="615"/>
      <c r="AR54" s="615"/>
      <c r="AS54" s="615"/>
      <c r="AT54" s="615"/>
      <c r="AU54" s="615"/>
      <c r="AV54" s="615"/>
      <c r="AW54" s="615"/>
      <c r="AX54" s="615"/>
      <c r="AY54" s="615"/>
      <c r="AZ54" s="615"/>
      <c r="BA54" s="615"/>
      <c r="BB54" s="615"/>
      <c r="BC54" s="615"/>
      <c r="BD54" s="615"/>
      <c r="BE54" s="615"/>
      <c r="BF54" s="615"/>
      <c r="BG54" s="615"/>
      <c r="BH54" s="615"/>
      <c r="BI54" s="615"/>
      <c r="BJ54" s="615"/>
      <c r="BK54" s="615"/>
      <c r="BL54" s="615"/>
      <c r="BM54" s="615"/>
      <c r="BN54" s="615"/>
      <c r="BO54" s="615"/>
      <c r="BP54" s="615"/>
      <c r="BQ54" s="615"/>
      <c r="BR54" s="615"/>
      <c r="BS54" s="615"/>
      <c r="BT54" s="615"/>
    </row>
    <row r="55" spans="1:72" s="182" customFormat="1" x14ac:dyDescent="0.3">
      <c r="A55" s="208" t="s">
        <v>675</v>
      </c>
      <c r="B55" s="512"/>
      <c r="D55" s="620">
        <f>TotalFFandE</f>
        <v>625000</v>
      </c>
      <c r="E55" s="617">
        <f t="shared" ref="E55:E77" si="22">SUMIF($H$7:$BT$7,"&lt;"&amp;StartDate,$H55:$BT55)</f>
        <v>0</v>
      </c>
      <c r="F55" s="617">
        <f t="shared" ref="F55:F77" ca="1" si="23">SUMIF($H$7:$BT$7,"&lt;="&amp;$F$7,$H55:$BT55)</f>
        <v>0</v>
      </c>
      <c r="G55" s="617">
        <f t="shared" ref="G55:G77" ca="1" si="24">E55-F55</f>
        <v>0</v>
      </c>
      <c r="H55" s="617">
        <f>SUBTOTAL(9,H56:H77)</f>
        <v>0</v>
      </c>
      <c r="I55" s="617">
        <f t="shared" ref="I55:AQ55" si="25">SUBTOTAL(9,I56:I77)</f>
        <v>0</v>
      </c>
      <c r="J55" s="617">
        <f t="shared" si="25"/>
        <v>0</v>
      </c>
      <c r="K55" s="617">
        <f t="shared" si="25"/>
        <v>0</v>
      </c>
      <c r="L55" s="617">
        <f t="shared" si="25"/>
        <v>0</v>
      </c>
      <c r="M55" s="617">
        <f t="shared" si="25"/>
        <v>0</v>
      </c>
      <c r="N55" s="617">
        <f t="shared" si="25"/>
        <v>0</v>
      </c>
      <c r="O55" s="617">
        <f t="shared" si="25"/>
        <v>0</v>
      </c>
      <c r="P55" s="617">
        <f t="shared" si="25"/>
        <v>0</v>
      </c>
      <c r="Q55" s="617">
        <f t="shared" si="25"/>
        <v>0</v>
      </c>
      <c r="R55" s="617">
        <f t="shared" si="25"/>
        <v>0</v>
      </c>
      <c r="S55" s="617">
        <f t="shared" si="25"/>
        <v>0</v>
      </c>
      <c r="T55" s="617">
        <f t="shared" si="25"/>
        <v>0</v>
      </c>
      <c r="U55" s="617">
        <f t="shared" si="25"/>
        <v>0</v>
      </c>
      <c r="V55" s="617">
        <f t="shared" si="25"/>
        <v>0</v>
      </c>
      <c r="W55" s="617">
        <f t="shared" si="25"/>
        <v>0</v>
      </c>
      <c r="X55" s="617">
        <f t="shared" si="25"/>
        <v>0</v>
      </c>
      <c r="Y55" s="617">
        <f t="shared" si="25"/>
        <v>0</v>
      </c>
      <c r="Z55" s="617">
        <f t="shared" si="25"/>
        <v>0</v>
      </c>
      <c r="AA55" s="617">
        <f t="shared" si="25"/>
        <v>0</v>
      </c>
      <c r="AB55" s="617">
        <f t="shared" si="25"/>
        <v>0</v>
      </c>
      <c r="AC55" s="617">
        <f t="shared" si="25"/>
        <v>0</v>
      </c>
      <c r="AD55" s="617">
        <f t="shared" si="25"/>
        <v>0</v>
      </c>
      <c r="AE55" s="617">
        <f t="shared" si="25"/>
        <v>0</v>
      </c>
      <c r="AF55" s="617">
        <f t="shared" si="25"/>
        <v>0</v>
      </c>
      <c r="AG55" s="617">
        <f t="shared" si="25"/>
        <v>0</v>
      </c>
      <c r="AH55" s="617">
        <f t="shared" si="25"/>
        <v>0</v>
      </c>
      <c r="AI55" s="617">
        <f t="shared" si="25"/>
        <v>0</v>
      </c>
      <c r="AJ55" s="617">
        <f t="shared" si="25"/>
        <v>0</v>
      </c>
      <c r="AK55" s="617">
        <f t="shared" si="25"/>
        <v>0</v>
      </c>
      <c r="AL55" s="617">
        <f t="shared" si="25"/>
        <v>0</v>
      </c>
      <c r="AM55" s="617">
        <f t="shared" si="25"/>
        <v>0</v>
      </c>
      <c r="AN55" s="617">
        <f t="shared" si="25"/>
        <v>0</v>
      </c>
      <c r="AO55" s="617">
        <f t="shared" si="25"/>
        <v>0</v>
      </c>
      <c r="AP55" s="617">
        <f t="shared" si="25"/>
        <v>0</v>
      </c>
      <c r="AQ55" s="617">
        <f t="shared" si="25"/>
        <v>0</v>
      </c>
      <c r="AR55" s="617">
        <f t="shared" ref="AR55:BT55" si="26">SUBTOTAL(9,AR56:AR77)</f>
        <v>0</v>
      </c>
      <c r="AS55" s="617">
        <f t="shared" si="26"/>
        <v>0</v>
      </c>
      <c r="AT55" s="617">
        <f t="shared" si="26"/>
        <v>0</v>
      </c>
      <c r="AU55" s="617">
        <f t="shared" si="26"/>
        <v>0</v>
      </c>
      <c r="AV55" s="617">
        <f t="shared" si="26"/>
        <v>0</v>
      </c>
      <c r="AW55" s="617">
        <f t="shared" si="26"/>
        <v>0</v>
      </c>
      <c r="AX55" s="617">
        <f t="shared" si="26"/>
        <v>0</v>
      </c>
      <c r="AY55" s="617">
        <f t="shared" si="26"/>
        <v>0</v>
      </c>
      <c r="AZ55" s="617">
        <f t="shared" si="26"/>
        <v>0</v>
      </c>
      <c r="BA55" s="617">
        <f t="shared" si="26"/>
        <v>0</v>
      </c>
      <c r="BB55" s="617">
        <f t="shared" si="26"/>
        <v>0</v>
      </c>
      <c r="BC55" s="617">
        <f t="shared" si="26"/>
        <v>0</v>
      </c>
      <c r="BD55" s="617">
        <f t="shared" si="26"/>
        <v>0</v>
      </c>
      <c r="BE55" s="617">
        <f t="shared" si="26"/>
        <v>0</v>
      </c>
      <c r="BF55" s="617">
        <f t="shared" si="26"/>
        <v>0</v>
      </c>
      <c r="BG55" s="617">
        <f t="shared" si="26"/>
        <v>0</v>
      </c>
      <c r="BH55" s="617">
        <f t="shared" si="26"/>
        <v>0</v>
      </c>
      <c r="BI55" s="617">
        <f t="shared" si="26"/>
        <v>0</v>
      </c>
      <c r="BJ55" s="617">
        <f t="shared" si="26"/>
        <v>0</v>
      </c>
      <c r="BK55" s="617">
        <f t="shared" si="26"/>
        <v>0</v>
      </c>
      <c r="BL55" s="617">
        <f t="shared" si="26"/>
        <v>0</v>
      </c>
      <c r="BM55" s="617">
        <f t="shared" si="26"/>
        <v>0</v>
      </c>
      <c r="BN55" s="617">
        <f t="shared" si="26"/>
        <v>0</v>
      </c>
      <c r="BO55" s="617">
        <f t="shared" si="26"/>
        <v>0</v>
      </c>
      <c r="BP55" s="617">
        <f t="shared" si="26"/>
        <v>0</v>
      </c>
      <c r="BQ55" s="617">
        <f t="shared" si="26"/>
        <v>0</v>
      </c>
      <c r="BR55" s="617">
        <f t="shared" si="26"/>
        <v>0</v>
      </c>
      <c r="BS55" s="617">
        <f t="shared" si="26"/>
        <v>0</v>
      </c>
      <c r="BT55" s="617">
        <f t="shared" si="26"/>
        <v>0</v>
      </c>
    </row>
    <row r="56" spans="1:72" x14ac:dyDescent="0.3">
      <c r="A56" s="619">
        <f>'Development Inputs'!A24</f>
        <v>0</v>
      </c>
      <c r="B56" s="512" t="str">
        <f>'Development Inputs'!B24</f>
        <v>Accessories &amp; Art</v>
      </c>
      <c r="D56" s="617">
        <f>IF($D$77&gt;0,0,'Development Inputs'!E24)</f>
        <v>0</v>
      </c>
      <c r="E56" s="617">
        <f t="shared" si="22"/>
        <v>0</v>
      </c>
      <c r="F56" s="617">
        <f t="shared" ca="1" si="23"/>
        <v>0</v>
      </c>
      <c r="G56" s="617">
        <f t="shared" ca="1" si="24"/>
        <v>0</v>
      </c>
      <c r="H56" s="6"/>
      <c r="I56" s="6"/>
      <c r="J56" s="6"/>
      <c r="K56" s="6"/>
      <c r="L56" s="6"/>
      <c r="M56" s="6"/>
      <c r="N56" s="6"/>
      <c r="O56" s="6"/>
      <c r="P56" s="6"/>
      <c r="Q56" s="6"/>
      <c r="R56" s="6"/>
      <c r="S56" s="6"/>
      <c r="T56" s="6"/>
      <c r="U56" s="6"/>
      <c r="V56" s="6"/>
      <c r="W56" s="6"/>
      <c r="X56" s="6"/>
      <c r="Y56" s="6"/>
      <c r="Z56" s="6"/>
      <c r="AA56" s="6"/>
      <c r="AB56" s="6"/>
      <c r="AC56" s="6"/>
      <c r="AD56" s="6"/>
      <c r="AE56" s="6"/>
      <c r="AF56" s="6"/>
      <c r="AG56" s="6"/>
      <c r="AH56" s="6"/>
      <c r="AI56" s="6"/>
      <c r="AJ56" s="6"/>
      <c r="AK56" s="6"/>
      <c r="AL56" s="6"/>
      <c r="AM56" s="6"/>
      <c r="AN56" s="6"/>
      <c r="AO56" s="6"/>
      <c r="AP56" s="6"/>
      <c r="AQ56" s="6"/>
      <c r="AR56" s="6"/>
      <c r="AS56" s="6"/>
      <c r="AT56" s="6"/>
      <c r="AU56" s="6"/>
      <c r="AV56" s="6"/>
      <c r="AW56" s="6"/>
      <c r="AX56" s="6"/>
      <c r="AY56" s="6"/>
      <c r="AZ56" s="6"/>
      <c r="BA56" s="6"/>
      <c r="BB56" s="6"/>
      <c r="BC56" s="6"/>
      <c r="BD56" s="6"/>
      <c r="BE56" s="6"/>
      <c r="BF56" s="6"/>
      <c r="BG56" s="6"/>
      <c r="BH56" s="6"/>
      <c r="BI56" s="6"/>
      <c r="BJ56" s="6"/>
      <c r="BK56" s="6"/>
      <c r="BL56" s="6"/>
      <c r="BM56" s="6"/>
      <c r="BN56" s="6"/>
      <c r="BO56" s="6"/>
      <c r="BP56" s="6"/>
      <c r="BQ56" s="6"/>
      <c r="BR56" s="6"/>
      <c r="BS56" s="6"/>
      <c r="BT56" s="6"/>
    </row>
    <row r="57" spans="1:72" x14ac:dyDescent="0.3">
      <c r="A57" s="619">
        <f>'Development Inputs'!A25</f>
        <v>0</v>
      </c>
      <c r="B57" s="512" t="str">
        <f>'Development Inputs'!B25</f>
        <v>Fitness</v>
      </c>
      <c r="D57" s="617">
        <f>IF($D$77&gt;0,0,'Development Inputs'!E25)</f>
        <v>0</v>
      </c>
      <c r="E57" s="617">
        <f t="shared" si="22"/>
        <v>0</v>
      </c>
      <c r="F57" s="617">
        <f t="shared" ca="1" si="23"/>
        <v>0</v>
      </c>
      <c r="G57" s="617">
        <f t="shared" ca="1" si="24"/>
        <v>0</v>
      </c>
      <c r="H57" s="6"/>
      <c r="I57" s="6"/>
      <c r="J57" s="6"/>
      <c r="K57" s="6"/>
      <c r="L57" s="6"/>
      <c r="M57" s="6"/>
      <c r="N57" s="6"/>
      <c r="O57" s="6"/>
      <c r="P57" s="6"/>
      <c r="Q57" s="6"/>
      <c r="R57" s="6"/>
      <c r="S57" s="6"/>
      <c r="T57" s="6"/>
      <c r="U57" s="6"/>
      <c r="V57" s="6"/>
      <c r="W57" s="6"/>
      <c r="X57" s="6"/>
      <c r="Y57" s="6"/>
      <c r="Z57" s="6"/>
      <c r="AA57" s="6"/>
      <c r="AB57" s="6"/>
      <c r="AC57" s="6"/>
      <c r="AD57" s="6"/>
      <c r="AE57" s="6"/>
      <c r="AF57" s="6"/>
      <c r="AG57" s="6"/>
      <c r="AH57" s="6"/>
      <c r="AI57" s="6"/>
      <c r="AJ57" s="6"/>
      <c r="AK57" s="6"/>
      <c r="AL57" s="6"/>
      <c r="AM57" s="6"/>
      <c r="AN57" s="6"/>
      <c r="AO57" s="6"/>
      <c r="AP57" s="6"/>
      <c r="AQ57" s="6"/>
      <c r="AR57" s="6"/>
      <c r="AS57" s="6"/>
      <c r="AT57" s="6"/>
      <c r="AU57" s="6"/>
      <c r="AV57" s="6"/>
      <c r="AW57" s="6"/>
      <c r="AX57" s="6"/>
      <c r="AY57" s="6"/>
      <c r="AZ57" s="6"/>
      <c r="BA57" s="6"/>
      <c r="BB57" s="6"/>
      <c r="BC57" s="6"/>
      <c r="BD57" s="6"/>
      <c r="BE57" s="6"/>
      <c r="BF57" s="6"/>
      <c r="BG57" s="6"/>
      <c r="BH57" s="6"/>
      <c r="BI57" s="6"/>
      <c r="BJ57" s="6"/>
      <c r="BK57" s="6"/>
      <c r="BL57" s="6"/>
      <c r="BM57" s="6"/>
      <c r="BN57" s="6"/>
      <c r="BO57" s="6"/>
      <c r="BP57" s="6"/>
      <c r="BQ57" s="6"/>
      <c r="BR57" s="6"/>
      <c r="BS57" s="6"/>
      <c r="BT57" s="6"/>
    </row>
    <row r="58" spans="1:72" x14ac:dyDescent="0.3">
      <c r="A58" s="619">
        <f>'Development Inputs'!A26</f>
        <v>0</v>
      </c>
      <c r="B58" s="512" t="str">
        <f>'Development Inputs'!B26</f>
        <v>Freight</v>
      </c>
      <c r="D58" s="617">
        <f>IF($D$77&gt;0,0,'Development Inputs'!E26)</f>
        <v>0</v>
      </c>
      <c r="E58" s="617">
        <f t="shared" si="22"/>
        <v>0</v>
      </c>
      <c r="F58" s="617">
        <f t="shared" ca="1" si="23"/>
        <v>0</v>
      </c>
      <c r="G58" s="617">
        <f t="shared" ca="1" si="24"/>
        <v>0</v>
      </c>
      <c r="H58" s="6"/>
      <c r="I58" s="6"/>
      <c r="J58" s="6"/>
      <c r="K58" s="6"/>
      <c r="L58" s="6"/>
      <c r="M58" s="6"/>
      <c r="N58" s="6"/>
      <c r="O58" s="6"/>
      <c r="P58" s="6"/>
      <c r="Q58" s="6"/>
      <c r="R58" s="6"/>
      <c r="S58" s="6"/>
      <c r="T58" s="6"/>
      <c r="U58" s="6"/>
      <c r="V58" s="6"/>
      <c r="W58" s="6"/>
      <c r="X58" s="6"/>
      <c r="Y58" s="6"/>
      <c r="Z58" s="6"/>
      <c r="AA58" s="6"/>
      <c r="AB58" s="6"/>
      <c r="AC58" s="6"/>
      <c r="AD58" s="6"/>
      <c r="AE58" s="6"/>
      <c r="AF58" s="6"/>
      <c r="AG58" s="6"/>
      <c r="AH58" s="6"/>
      <c r="AI58" s="6"/>
      <c r="AJ58" s="6"/>
      <c r="AK58" s="6"/>
      <c r="AL58" s="6"/>
      <c r="AM58" s="6"/>
      <c r="AN58" s="6"/>
      <c r="AO58" s="6"/>
      <c r="AP58" s="6"/>
      <c r="AQ58" s="6"/>
      <c r="AR58" s="6"/>
      <c r="AS58" s="6"/>
      <c r="AT58" s="6"/>
      <c r="AU58" s="6"/>
      <c r="AV58" s="6"/>
      <c r="AW58" s="6"/>
      <c r="AX58" s="6"/>
      <c r="AY58" s="6"/>
      <c r="AZ58" s="6"/>
      <c r="BA58" s="6"/>
      <c r="BB58" s="6"/>
      <c r="BC58" s="6"/>
      <c r="BD58" s="6"/>
      <c r="BE58" s="6"/>
      <c r="BF58" s="6"/>
      <c r="BG58" s="6"/>
      <c r="BH58" s="6"/>
      <c r="BI58" s="6"/>
      <c r="BJ58" s="6"/>
      <c r="BK58" s="6"/>
      <c r="BL58" s="6"/>
      <c r="BM58" s="6"/>
      <c r="BN58" s="6"/>
      <c r="BO58" s="6"/>
      <c r="BP58" s="6"/>
      <c r="BQ58" s="6"/>
      <c r="BR58" s="6"/>
      <c r="BS58" s="6"/>
      <c r="BT58" s="6"/>
    </row>
    <row r="59" spans="1:72" x14ac:dyDescent="0.3">
      <c r="A59" s="619">
        <f>'Development Inputs'!A27</f>
        <v>0</v>
      </c>
      <c r="B59" s="512" t="str">
        <f>'Development Inputs'!B27</f>
        <v>Installation</v>
      </c>
      <c r="D59" s="617">
        <f>IF($D$77&gt;0,0,'Development Inputs'!E27)</f>
        <v>0</v>
      </c>
      <c r="E59" s="617">
        <f t="shared" si="22"/>
        <v>0</v>
      </c>
      <c r="F59" s="617">
        <f t="shared" ca="1" si="23"/>
        <v>0</v>
      </c>
      <c r="G59" s="617">
        <f t="shared" ca="1" si="24"/>
        <v>0</v>
      </c>
      <c r="H59" s="6"/>
      <c r="I59" s="6"/>
      <c r="J59" s="6"/>
      <c r="K59" s="6"/>
      <c r="L59" s="6"/>
      <c r="M59" s="6"/>
      <c r="N59" s="6"/>
      <c r="O59" s="6"/>
      <c r="P59" s="6"/>
      <c r="Q59" s="6"/>
      <c r="R59" s="6"/>
      <c r="S59" s="6"/>
      <c r="T59" s="6"/>
      <c r="U59" s="6"/>
      <c r="V59" s="6"/>
      <c r="W59" s="6"/>
      <c r="X59" s="6"/>
      <c r="Y59" s="6"/>
      <c r="Z59" s="6"/>
      <c r="AA59" s="6"/>
      <c r="AB59" s="6"/>
      <c r="AC59" s="6"/>
      <c r="AD59" s="6"/>
      <c r="AE59" s="6"/>
      <c r="AF59" s="6"/>
      <c r="AG59" s="6"/>
      <c r="AH59" s="6"/>
      <c r="AI59" s="6"/>
      <c r="AJ59" s="6"/>
      <c r="AK59" s="6"/>
      <c r="AL59" s="6"/>
      <c r="AM59" s="6"/>
      <c r="AN59" s="6"/>
      <c r="AO59" s="6"/>
      <c r="AP59" s="6"/>
      <c r="AQ59" s="6"/>
      <c r="AR59" s="6"/>
      <c r="AS59" s="6"/>
      <c r="AT59" s="6"/>
      <c r="AU59" s="6"/>
      <c r="AV59" s="6"/>
      <c r="AW59" s="6"/>
      <c r="AX59" s="6"/>
      <c r="AY59" s="6"/>
      <c r="AZ59" s="6"/>
      <c r="BA59" s="6"/>
      <c r="BB59" s="6"/>
      <c r="BC59" s="6"/>
      <c r="BD59" s="6"/>
      <c r="BE59" s="6"/>
      <c r="BF59" s="6"/>
      <c r="BG59" s="6"/>
      <c r="BH59" s="6"/>
      <c r="BI59" s="6"/>
      <c r="BJ59" s="6"/>
      <c r="BK59" s="6"/>
      <c r="BL59" s="6"/>
      <c r="BM59" s="6"/>
      <c r="BN59" s="6"/>
      <c r="BO59" s="6"/>
      <c r="BP59" s="6"/>
      <c r="BQ59" s="6"/>
      <c r="BR59" s="6"/>
      <c r="BS59" s="6"/>
      <c r="BT59" s="6"/>
    </row>
    <row r="60" spans="1:72" x14ac:dyDescent="0.3">
      <c r="A60" s="619">
        <f>'Development Inputs'!A28</f>
        <v>0</v>
      </c>
      <c r="B60" s="512" t="str">
        <f>'Development Inputs'!B28</f>
        <v>Technology &amp; Network Equipment</v>
      </c>
      <c r="D60" s="617">
        <f>IF($D$77&gt;0,0,'Development Inputs'!E28)</f>
        <v>0</v>
      </c>
      <c r="E60" s="617">
        <f t="shared" si="22"/>
        <v>0</v>
      </c>
      <c r="F60" s="617">
        <f t="shared" ca="1" si="23"/>
        <v>0</v>
      </c>
      <c r="G60" s="617">
        <f t="shared" ca="1" si="24"/>
        <v>0</v>
      </c>
      <c r="H60" s="6"/>
      <c r="I60" s="6"/>
      <c r="J60" s="6"/>
      <c r="K60" s="6"/>
      <c r="L60" s="6"/>
      <c r="M60" s="6"/>
      <c r="N60" s="6"/>
      <c r="O60" s="6"/>
      <c r="P60" s="6"/>
      <c r="Q60" s="6"/>
      <c r="R60" s="6"/>
      <c r="S60" s="6"/>
      <c r="T60" s="6"/>
      <c r="U60" s="6"/>
      <c r="V60" s="6"/>
      <c r="W60" s="6"/>
      <c r="X60" s="6"/>
      <c r="Y60" s="6"/>
      <c r="Z60" s="6"/>
      <c r="AA60" s="6"/>
      <c r="AB60" s="6"/>
      <c r="AC60" s="6"/>
      <c r="AD60" s="6"/>
      <c r="AE60" s="6"/>
      <c r="AF60" s="6"/>
      <c r="AG60" s="6"/>
      <c r="AH60" s="6"/>
      <c r="AI60" s="6"/>
      <c r="AJ60" s="6"/>
      <c r="AK60" s="6"/>
      <c r="AL60" s="6"/>
      <c r="AM60" s="6"/>
      <c r="AN60" s="6"/>
      <c r="AO60" s="6"/>
      <c r="AP60" s="6"/>
      <c r="AQ60" s="6"/>
      <c r="AR60" s="6"/>
      <c r="AS60" s="6"/>
      <c r="AT60" s="6"/>
      <c r="AU60" s="6"/>
      <c r="AV60" s="6"/>
      <c r="AW60" s="6"/>
      <c r="AX60" s="6"/>
      <c r="AY60" s="6"/>
      <c r="AZ60" s="6"/>
      <c r="BA60" s="6"/>
      <c r="BB60" s="6"/>
      <c r="BC60" s="6"/>
      <c r="BD60" s="6"/>
      <c r="BE60" s="6"/>
      <c r="BF60" s="6"/>
      <c r="BG60" s="6"/>
      <c r="BH60" s="6"/>
      <c r="BI60" s="6"/>
      <c r="BJ60" s="6"/>
      <c r="BK60" s="6"/>
      <c r="BL60" s="6"/>
      <c r="BM60" s="6"/>
      <c r="BN60" s="6"/>
      <c r="BO60" s="6"/>
      <c r="BP60" s="6"/>
      <c r="BQ60" s="6"/>
      <c r="BR60" s="6"/>
      <c r="BS60" s="6"/>
      <c r="BT60" s="6"/>
    </row>
    <row r="61" spans="1:72" x14ac:dyDescent="0.3">
      <c r="A61" s="619">
        <f>'Development Inputs'!A29</f>
        <v>0</v>
      </c>
      <c r="B61" s="512" t="str">
        <f>'Development Inputs'!B29</f>
        <v>National WiFi</v>
      </c>
      <c r="D61" s="617">
        <f>IF($D$77&gt;0,0,'Development Inputs'!E29)</f>
        <v>0</v>
      </c>
      <c r="E61" s="617">
        <f t="shared" si="22"/>
        <v>0</v>
      </c>
      <c r="F61" s="617">
        <f t="shared" ca="1" si="23"/>
        <v>0</v>
      </c>
      <c r="G61" s="617">
        <f t="shared" ca="1" si="24"/>
        <v>0</v>
      </c>
      <c r="H61" s="6"/>
      <c r="I61" s="6"/>
      <c r="J61" s="6"/>
      <c r="K61" s="6"/>
      <c r="L61" s="6"/>
      <c r="M61" s="6"/>
      <c r="N61" s="6"/>
      <c r="O61" s="6"/>
      <c r="P61" s="6"/>
      <c r="Q61" s="6"/>
      <c r="R61" s="6"/>
      <c r="S61" s="6"/>
      <c r="T61" s="6"/>
      <c r="U61" s="6"/>
      <c r="V61" s="6"/>
      <c r="W61" s="6"/>
      <c r="X61" s="6"/>
      <c r="Y61" s="6"/>
      <c r="Z61" s="6"/>
      <c r="AA61" s="6"/>
      <c r="AB61" s="6"/>
      <c r="AC61" s="6"/>
      <c r="AD61" s="6"/>
      <c r="AE61" s="6"/>
      <c r="AF61" s="6"/>
      <c r="AG61" s="6"/>
      <c r="AH61" s="6"/>
      <c r="AI61" s="6"/>
      <c r="AJ61" s="6"/>
      <c r="AK61" s="6"/>
      <c r="AL61" s="6"/>
      <c r="AM61" s="6"/>
      <c r="AN61" s="6"/>
      <c r="AO61" s="6"/>
      <c r="AP61" s="6"/>
      <c r="AQ61" s="6"/>
      <c r="AR61" s="6"/>
      <c r="AS61" s="6"/>
      <c r="AT61" s="6"/>
      <c r="AU61" s="6"/>
      <c r="AV61" s="6"/>
      <c r="AW61" s="6"/>
      <c r="AX61" s="6"/>
      <c r="AY61" s="6"/>
      <c r="AZ61" s="6"/>
      <c r="BA61" s="6"/>
      <c r="BB61" s="6"/>
      <c r="BC61" s="6"/>
      <c r="BD61" s="6"/>
      <c r="BE61" s="6"/>
      <c r="BF61" s="6"/>
      <c r="BG61" s="6"/>
      <c r="BH61" s="6"/>
      <c r="BI61" s="6"/>
      <c r="BJ61" s="6"/>
      <c r="BK61" s="6"/>
      <c r="BL61" s="6"/>
      <c r="BM61" s="6"/>
      <c r="BN61" s="6"/>
      <c r="BO61" s="6"/>
      <c r="BP61" s="6"/>
      <c r="BQ61" s="6"/>
      <c r="BR61" s="6"/>
      <c r="BS61" s="6"/>
      <c r="BT61" s="6"/>
    </row>
    <row r="62" spans="1:72" x14ac:dyDescent="0.3">
      <c r="A62" s="619">
        <f>'Development Inputs'!A30</f>
        <v>0</v>
      </c>
      <c r="B62" s="512" t="str">
        <f>'Development Inputs'!B30</f>
        <v>Lounge</v>
      </c>
      <c r="D62" s="617">
        <f>IF($D$77&gt;0,0,'Development Inputs'!E30)</f>
        <v>0</v>
      </c>
      <c r="E62" s="617">
        <f t="shared" si="22"/>
        <v>0</v>
      </c>
      <c r="F62" s="617">
        <f t="shared" ca="1" si="23"/>
        <v>0</v>
      </c>
      <c r="G62" s="617">
        <f t="shared" ca="1" si="24"/>
        <v>0</v>
      </c>
      <c r="H62" s="6"/>
      <c r="I62" s="6"/>
      <c r="J62" s="6"/>
      <c r="K62" s="6"/>
      <c r="L62" s="6"/>
      <c r="M62" s="6"/>
      <c r="N62" s="6"/>
      <c r="O62" s="6"/>
      <c r="P62" s="6"/>
      <c r="Q62" s="6"/>
      <c r="R62" s="6"/>
      <c r="S62" s="6"/>
      <c r="T62" s="6"/>
      <c r="U62" s="6"/>
      <c r="V62" s="6"/>
      <c r="W62" s="6"/>
      <c r="X62" s="6"/>
      <c r="Y62" s="6"/>
      <c r="Z62" s="6"/>
      <c r="AA62" s="6"/>
      <c r="AB62" s="6"/>
      <c r="AC62" s="6"/>
      <c r="AD62" s="6"/>
      <c r="AE62" s="6"/>
      <c r="AF62" s="6"/>
      <c r="AG62" s="6"/>
      <c r="AH62" s="6"/>
      <c r="AI62" s="6"/>
      <c r="AJ62" s="6"/>
      <c r="AK62" s="6"/>
      <c r="AL62" s="6"/>
      <c r="AM62" s="6"/>
      <c r="AN62" s="6"/>
      <c r="AO62" s="6"/>
      <c r="AP62" s="6"/>
      <c r="AQ62" s="6"/>
      <c r="AR62" s="6"/>
      <c r="AS62" s="6"/>
      <c r="AT62" s="6"/>
      <c r="AU62" s="6"/>
      <c r="AV62" s="6"/>
      <c r="AW62" s="6"/>
      <c r="AX62" s="6"/>
      <c r="AY62" s="6"/>
      <c r="AZ62" s="6"/>
      <c r="BA62" s="6"/>
      <c r="BB62" s="6"/>
      <c r="BC62" s="6"/>
      <c r="BD62" s="6"/>
      <c r="BE62" s="6"/>
      <c r="BF62" s="6"/>
      <c r="BG62" s="6"/>
      <c r="BH62" s="6"/>
      <c r="BI62" s="6"/>
      <c r="BJ62" s="6"/>
      <c r="BK62" s="6"/>
      <c r="BL62" s="6"/>
      <c r="BM62" s="6"/>
      <c r="BN62" s="6"/>
      <c r="BO62" s="6"/>
      <c r="BP62" s="6"/>
      <c r="BQ62" s="6"/>
      <c r="BR62" s="6"/>
      <c r="BS62" s="6"/>
      <c r="BT62" s="6"/>
    </row>
    <row r="63" spans="1:72" x14ac:dyDescent="0.3">
      <c r="A63" s="619">
        <f>'Development Inputs'!A31</f>
        <v>0</v>
      </c>
      <c r="B63" s="512" t="str">
        <f>'Development Inputs'!B31</f>
        <v>Maintenance Equipment</v>
      </c>
      <c r="D63" s="617">
        <f>IF($D$77&gt;0,0,'Development Inputs'!E31)</f>
        <v>0</v>
      </c>
      <c r="E63" s="617">
        <f t="shared" si="22"/>
        <v>0</v>
      </c>
      <c r="F63" s="617">
        <f t="shared" ca="1" si="23"/>
        <v>0</v>
      </c>
      <c r="G63" s="617">
        <f t="shared" ca="1" si="24"/>
        <v>0</v>
      </c>
      <c r="H63" s="6"/>
      <c r="I63" s="6"/>
      <c r="J63" s="6"/>
      <c r="K63" s="6"/>
      <c r="L63" s="6"/>
      <c r="M63" s="6"/>
      <c r="N63" s="6"/>
      <c r="O63" s="6"/>
      <c r="P63" s="6"/>
      <c r="Q63" s="6"/>
      <c r="R63" s="6"/>
      <c r="S63" s="6"/>
      <c r="T63" s="6"/>
      <c r="U63" s="6"/>
      <c r="V63" s="6"/>
      <c r="W63" s="6"/>
      <c r="X63" s="6"/>
      <c r="Y63" s="6"/>
      <c r="Z63" s="6"/>
      <c r="AA63" s="6"/>
      <c r="AB63" s="6"/>
      <c r="AC63" s="6"/>
      <c r="AD63" s="6"/>
      <c r="AE63" s="6"/>
      <c r="AF63" s="6"/>
      <c r="AG63" s="6"/>
      <c r="AH63" s="6"/>
      <c r="AI63" s="6"/>
      <c r="AJ63" s="6"/>
      <c r="AK63" s="6"/>
      <c r="AL63" s="6"/>
      <c r="AM63" s="6"/>
      <c r="AN63" s="6"/>
      <c r="AO63" s="6"/>
      <c r="AP63" s="6"/>
      <c r="AQ63" s="6"/>
      <c r="AR63" s="6"/>
      <c r="AS63" s="6"/>
      <c r="AT63" s="6"/>
      <c r="AU63" s="6"/>
      <c r="AV63" s="6"/>
      <c r="AW63" s="6"/>
      <c r="AX63" s="6"/>
      <c r="AY63" s="6"/>
      <c r="AZ63" s="6"/>
      <c r="BA63" s="6"/>
      <c r="BB63" s="6"/>
      <c r="BC63" s="6"/>
      <c r="BD63" s="6"/>
      <c r="BE63" s="6"/>
      <c r="BF63" s="6"/>
      <c r="BG63" s="6"/>
      <c r="BH63" s="6"/>
      <c r="BI63" s="6"/>
      <c r="BJ63" s="6"/>
      <c r="BK63" s="6"/>
      <c r="BL63" s="6"/>
      <c r="BM63" s="6"/>
      <c r="BN63" s="6"/>
      <c r="BO63" s="6"/>
      <c r="BP63" s="6"/>
      <c r="BQ63" s="6"/>
      <c r="BR63" s="6"/>
      <c r="BS63" s="6"/>
      <c r="BT63" s="6"/>
    </row>
    <row r="64" spans="1:72" x14ac:dyDescent="0.3">
      <c r="A64" s="619">
        <f>'Development Inputs'!A32</f>
        <v>0</v>
      </c>
      <c r="B64" s="512" t="str">
        <f>'Development Inputs'!B32</f>
        <v>Clubhouse</v>
      </c>
      <c r="D64" s="617">
        <f>IF($D$77&gt;0,0,'Development Inputs'!E32)</f>
        <v>0</v>
      </c>
      <c r="E64" s="617">
        <f t="shared" si="22"/>
        <v>0</v>
      </c>
      <c r="F64" s="617">
        <f t="shared" ca="1" si="23"/>
        <v>0</v>
      </c>
      <c r="G64" s="617">
        <f t="shared" ca="1" si="24"/>
        <v>0</v>
      </c>
      <c r="H64" s="6"/>
      <c r="I64" s="6"/>
      <c r="J64" s="6"/>
      <c r="K64" s="6"/>
      <c r="L64" s="6"/>
      <c r="M64" s="6"/>
      <c r="N64" s="6"/>
      <c r="O64" s="6"/>
      <c r="P64" s="6"/>
      <c r="Q64" s="6"/>
      <c r="R64" s="6"/>
      <c r="S64" s="6"/>
      <c r="T64" s="6"/>
      <c r="U64" s="6"/>
      <c r="V64" s="6"/>
      <c r="W64" s="6"/>
      <c r="X64" s="6"/>
      <c r="Y64" s="6"/>
      <c r="Z64" s="6"/>
      <c r="AA64" s="6"/>
      <c r="AB64" s="6"/>
      <c r="AC64" s="6"/>
      <c r="AD64" s="6"/>
      <c r="AE64" s="6"/>
      <c r="AF64" s="6"/>
      <c r="AG64" s="6"/>
      <c r="AH64" s="6"/>
      <c r="AI64" s="6"/>
      <c r="AJ64" s="6"/>
      <c r="AK64" s="6"/>
      <c r="AL64" s="6"/>
      <c r="AM64" s="6"/>
      <c r="AN64" s="6"/>
      <c r="AO64" s="6"/>
      <c r="AP64" s="6"/>
      <c r="AQ64" s="6"/>
      <c r="AR64" s="6"/>
      <c r="AS64" s="6"/>
      <c r="AT64" s="6"/>
      <c r="AU64" s="6"/>
      <c r="AV64" s="6"/>
      <c r="AW64" s="6"/>
      <c r="AX64" s="6"/>
      <c r="AY64" s="6"/>
      <c r="AZ64" s="6"/>
      <c r="BA64" s="6"/>
      <c r="BB64" s="6"/>
      <c r="BC64" s="6"/>
      <c r="BD64" s="6"/>
      <c r="BE64" s="6"/>
      <c r="BF64" s="6"/>
      <c r="BG64" s="6"/>
      <c r="BH64" s="6"/>
      <c r="BI64" s="6"/>
      <c r="BJ64" s="6"/>
      <c r="BK64" s="6"/>
      <c r="BL64" s="6"/>
      <c r="BM64" s="6"/>
      <c r="BN64" s="6"/>
      <c r="BO64" s="6"/>
      <c r="BP64" s="6"/>
      <c r="BQ64" s="6"/>
      <c r="BR64" s="6"/>
      <c r="BS64" s="6"/>
      <c r="BT64" s="6"/>
    </row>
    <row r="65" spans="1:72" x14ac:dyDescent="0.3">
      <c r="A65" s="619">
        <f>'Development Inputs'!A33</f>
        <v>0</v>
      </c>
      <c r="B65" s="512" t="str">
        <f>'Development Inputs'!B33</f>
        <v>Model Unit - A1</v>
      </c>
      <c r="D65" s="617">
        <f>IF($D$77&gt;0,0,'Development Inputs'!E33)</f>
        <v>0</v>
      </c>
      <c r="E65" s="617">
        <f t="shared" si="22"/>
        <v>0</v>
      </c>
      <c r="F65" s="617">
        <f t="shared" ca="1" si="23"/>
        <v>0</v>
      </c>
      <c r="G65" s="617">
        <f t="shared" ca="1" si="24"/>
        <v>0</v>
      </c>
      <c r="H65" s="6"/>
      <c r="I65" s="6"/>
      <c r="J65" s="6"/>
      <c r="K65" s="6"/>
      <c r="L65" s="6"/>
      <c r="M65" s="6"/>
      <c r="N65" s="6"/>
      <c r="O65" s="6"/>
      <c r="P65" s="6"/>
      <c r="Q65" s="6"/>
      <c r="R65" s="6"/>
      <c r="S65" s="6"/>
      <c r="T65" s="6"/>
      <c r="U65" s="6"/>
      <c r="V65" s="6"/>
      <c r="W65" s="6"/>
      <c r="X65" s="6"/>
      <c r="Y65" s="6"/>
      <c r="Z65" s="6"/>
      <c r="AA65" s="6"/>
      <c r="AB65" s="6"/>
      <c r="AC65" s="6"/>
      <c r="AD65" s="6"/>
      <c r="AE65" s="6"/>
      <c r="AF65" s="6"/>
      <c r="AG65" s="6"/>
      <c r="AH65" s="6"/>
      <c r="AI65" s="6"/>
      <c r="AJ65" s="6"/>
      <c r="AK65" s="6"/>
      <c r="AL65" s="6"/>
      <c r="AM65" s="6"/>
      <c r="AN65" s="6"/>
      <c r="AO65" s="6"/>
      <c r="AP65" s="6"/>
      <c r="AQ65" s="6"/>
      <c r="AR65" s="6"/>
      <c r="AS65" s="6"/>
      <c r="AT65" s="6"/>
      <c r="AU65" s="6"/>
      <c r="AV65" s="6"/>
      <c r="AW65" s="6"/>
      <c r="AX65" s="6"/>
      <c r="AY65" s="6"/>
      <c r="AZ65" s="6"/>
      <c r="BA65" s="6"/>
      <c r="BB65" s="6"/>
      <c r="BC65" s="6"/>
      <c r="BD65" s="6"/>
      <c r="BE65" s="6"/>
      <c r="BF65" s="6"/>
      <c r="BG65" s="6"/>
      <c r="BH65" s="6"/>
      <c r="BI65" s="6"/>
      <c r="BJ65" s="6"/>
      <c r="BK65" s="6"/>
      <c r="BL65" s="6"/>
      <c r="BM65" s="6"/>
      <c r="BN65" s="6"/>
      <c r="BO65" s="6"/>
      <c r="BP65" s="6"/>
      <c r="BQ65" s="6"/>
      <c r="BR65" s="6"/>
      <c r="BS65" s="6"/>
      <c r="BT65" s="6"/>
    </row>
    <row r="66" spans="1:72" x14ac:dyDescent="0.3">
      <c r="A66" s="619">
        <f>'Development Inputs'!A34</f>
        <v>0</v>
      </c>
      <c r="B66" s="512" t="str">
        <f>'Development Inputs'!B34</f>
        <v>Model Unit - A2</v>
      </c>
      <c r="D66" s="617">
        <f>IF($D$77&gt;0,0,'Development Inputs'!E34)</f>
        <v>0</v>
      </c>
      <c r="E66" s="617">
        <f t="shared" si="22"/>
        <v>0</v>
      </c>
      <c r="F66" s="617">
        <f t="shared" ca="1" si="23"/>
        <v>0</v>
      </c>
      <c r="G66" s="617">
        <f t="shared" ca="1" si="24"/>
        <v>0</v>
      </c>
      <c r="H66" s="6"/>
      <c r="I66" s="6"/>
      <c r="J66" s="6"/>
      <c r="K66" s="6"/>
      <c r="L66" s="6"/>
      <c r="M66" s="6"/>
      <c r="N66" s="6"/>
      <c r="O66" s="6"/>
      <c r="P66" s="6"/>
      <c r="Q66" s="6"/>
      <c r="R66" s="6"/>
      <c r="S66" s="6"/>
      <c r="T66" s="6"/>
      <c r="U66" s="6"/>
      <c r="V66" s="6"/>
      <c r="W66" s="6"/>
      <c r="X66" s="6"/>
      <c r="Y66" s="6"/>
      <c r="Z66" s="6"/>
      <c r="AA66" s="6"/>
      <c r="AB66" s="6"/>
      <c r="AC66" s="6"/>
      <c r="AD66" s="6"/>
      <c r="AE66" s="6"/>
      <c r="AF66" s="6"/>
      <c r="AG66" s="6"/>
      <c r="AH66" s="6"/>
      <c r="AI66" s="6"/>
      <c r="AJ66" s="6"/>
      <c r="AK66" s="6"/>
      <c r="AL66" s="6"/>
      <c r="AM66" s="6"/>
      <c r="AN66" s="6"/>
      <c r="AO66" s="6"/>
      <c r="AP66" s="6"/>
      <c r="AQ66" s="6"/>
      <c r="AR66" s="6"/>
      <c r="AS66" s="6"/>
      <c r="AT66" s="6"/>
      <c r="AU66" s="6"/>
      <c r="AV66" s="6"/>
      <c r="AW66" s="6"/>
      <c r="AX66" s="6"/>
      <c r="AY66" s="6"/>
      <c r="AZ66" s="6"/>
      <c r="BA66" s="6"/>
      <c r="BB66" s="6"/>
      <c r="BC66" s="6"/>
      <c r="BD66" s="6"/>
      <c r="BE66" s="6"/>
      <c r="BF66" s="6"/>
      <c r="BG66" s="6"/>
      <c r="BH66" s="6"/>
      <c r="BI66" s="6"/>
      <c r="BJ66" s="6"/>
      <c r="BK66" s="6"/>
      <c r="BL66" s="6"/>
      <c r="BM66" s="6"/>
      <c r="BN66" s="6"/>
      <c r="BO66" s="6"/>
      <c r="BP66" s="6"/>
      <c r="BQ66" s="6"/>
      <c r="BR66" s="6"/>
      <c r="BS66" s="6"/>
      <c r="BT66" s="6"/>
    </row>
    <row r="67" spans="1:72" x14ac:dyDescent="0.3">
      <c r="A67" s="619">
        <f>'Development Inputs'!A35</f>
        <v>0</v>
      </c>
      <c r="B67" s="512" t="str">
        <f>'Development Inputs'!B35</f>
        <v>Model Unit - B1</v>
      </c>
      <c r="D67" s="617">
        <f>IF($D$77&gt;0,0,'Development Inputs'!E35)</f>
        <v>0</v>
      </c>
      <c r="E67" s="617">
        <f t="shared" si="22"/>
        <v>0</v>
      </c>
      <c r="F67" s="617">
        <f t="shared" ca="1" si="23"/>
        <v>0</v>
      </c>
      <c r="G67" s="617">
        <f t="shared" ca="1" si="24"/>
        <v>0</v>
      </c>
      <c r="H67" s="6"/>
      <c r="I67" s="6"/>
      <c r="J67" s="6"/>
      <c r="K67" s="6"/>
      <c r="L67" s="6"/>
      <c r="M67" s="6"/>
      <c r="N67" s="6"/>
      <c r="O67" s="6"/>
      <c r="P67" s="6"/>
      <c r="Q67" s="6"/>
      <c r="R67" s="6"/>
      <c r="S67" s="6"/>
      <c r="T67" s="6"/>
      <c r="U67" s="6"/>
      <c r="V67" s="6"/>
      <c r="W67" s="6"/>
      <c r="X67" s="6"/>
      <c r="Y67" s="6"/>
      <c r="Z67" s="6"/>
      <c r="AA67" s="6"/>
      <c r="AB67" s="6"/>
      <c r="AC67" s="6"/>
      <c r="AD67" s="6"/>
      <c r="AE67" s="6"/>
      <c r="AF67" s="6"/>
      <c r="AG67" s="6"/>
      <c r="AH67" s="6"/>
      <c r="AI67" s="6"/>
      <c r="AJ67" s="6"/>
      <c r="AK67" s="6"/>
      <c r="AL67" s="6"/>
      <c r="AM67" s="6"/>
      <c r="AN67" s="6"/>
      <c r="AO67" s="6"/>
      <c r="AP67" s="6"/>
      <c r="AQ67" s="6"/>
      <c r="AR67" s="6"/>
      <c r="AS67" s="6"/>
      <c r="AT67" s="6"/>
      <c r="AU67" s="6"/>
      <c r="AV67" s="6"/>
      <c r="AW67" s="6"/>
      <c r="AX67" s="6"/>
      <c r="AY67" s="6"/>
      <c r="AZ67" s="6"/>
      <c r="BA67" s="6"/>
      <c r="BB67" s="6"/>
      <c r="BC67" s="6"/>
      <c r="BD67" s="6"/>
      <c r="BE67" s="6"/>
      <c r="BF67" s="6"/>
      <c r="BG67" s="6"/>
      <c r="BH67" s="6"/>
      <c r="BI67" s="6"/>
      <c r="BJ67" s="6"/>
      <c r="BK67" s="6"/>
      <c r="BL67" s="6"/>
      <c r="BM67" s="6"/>
      <c r="BN67" s="6"/>
      <c r="BO67" s="6"/>
      <c r="BP67" s="6"/>
      <c r="BQ67" s="6"/>
      <c r="BR67" s="6"/>
      <c r="BS67" s="6"/>
      <c r="BT67" s="6"/>
    </row>
    <row r="68" spans="1:72" x14ac:dyDescent="0.3">
      <c r="A68" s="619">
        <f>'Development Inputs'!A36</f>
        <v>0</v>
      </c>
      <c r="B68" s="512" t="str">
        <f>'Development Inputs'!B36</f>
        <v>Model Unit - B2</v>
      </c>
      <c r="D68" s="617">
        <f>IF($D$77&gt;0,0,'Development Inputs'!E36)</f>
        <v>0</v>
      </c>
      <c r="E68" s="617">
        <f t="shared" si="22"/>
        <v>0</v>
      </c>
      <c r="F68" s="617">
        <f t="shared" ca="1" si="23"/>
        <v>0</v>
      </c>
      <c r="G68" s="617">
        <f t="shared" ca="1" si="24"/>
        <v>0</v>
      </c>
      <c r="H68" s="6"/>
      <c r="I68" s="6"/>
      <c r="J68" s="6"/>
      <c r="K68" s="6"/>
      <c r="L68" s="6"/>
      <c r="M68" s="6"/>
      <c r="N68" s="6"/>
      <c r="O68" s="6"/>
      <c r="P68" s="6"/>
      <c r="Q68" s="6"/>
      <c r="R68" s="6"/>
      <c r="S68" s="6"/>
      <c r="T68" s="6"/>
      <c r="U68" s="6"/>
      <c r="V68" s="6"/>
      <c r="W68" s="6"/>
      <c r="X68" s="6"/>
      <c r="Y68" s="6"/>
      <c r="Z68" s="6"/>
      <c r="AA68" s="6"/>
      <c r="AB68" s="6"/>
      <c r="AC68" s="6"/>
      <c r="AD68" s="6"/>
      <c r="AE68" s="6"/>
      <c r="AF68" s="6"/>
      <c r="AG68" s="6"/>
      <c r="AH68" s="6"/>
      <c r="AI68" s="6"/>
      <c r="AJ68" s="6"/>
      <c r="AK68" s="6"/>
      <c r="AL68" s="6"/>
      <c r="AM68" s="6"/>
      <c r="AN68" s="6"/>
      <c r="AO68" s="6"/>
      <c r="AP68" s="6"/>
      <c r="AQ68" s="6"/>
      <c r="AR68" s="6"/>
      <c r="AS68" s="6"/>
      <c r="AT68" s="6"/>
      <c r="AU68" s="6"/>
      <c r="AV68" s="6"/>
      <c r="AW68" s="6"/>
      <c r="AX68" s="6"/>
      <c r="AY68" s="6"/>
      <c r="AZ68" s="6"/>
      <c r="BA68" s="6"/>
      <c r="BB68" s="6"/>
      <c r="BC68" s="6"/>
      <c r="BD68" s="6"/>
      <c r="BE68" s="6"/>
      <c r="BF68" s="6"/>
      <c r="BG68" s="6"/>
      <c r="BH68" s="6"/>
      <c r="BI68" s="6"/>
      <c r="BJ68" s="6"/>
      <c r="BK68" s="6"/>
      <c r="BL68" s="6"/>
      <c r="BM68" s="6"/>
      <c r="BN68" s="6"/>
      <c r="BO68" s="6"/>
      <c r="BP68" s="6"/>
      <c r="BQ68" s="6"/>
      <c r="BR68" s="6"/>
      <c r="BS68" s="6"/>
      <c r="BT68" s="6"/>
    </row>
    <row r="69" spans="1:72" x14ac:dyDescent="0.3">
      <c r="A69" s="619">
        <f>'Development Inputs'!A37</f>
        <v>0</v>
      </c>
      <c r="B69" s="512" t="str">
        <f>'Development Inputs'!B37</f>
        <v>Parcel Pending / Laundry Valet Equipment</v>
      </c>
      <c r="D69" s="617">
        <f>IF($D$77&gt;0,0,'Development Inputs'!E37)</f>
        <v>0</v>
      </c>
      <c r="E69" s="617">
        <f t="shared" si="22"/>
        <v>0</v>
      </c>
      <c r="F69" s="617">
        <f t="shared" ca="1" si="23"/>
        <v>0</v>
      </c>
      <c r="G69" s="617">
        <f t="shared" ca="1" si="24"/>
        <v>0</v>
      </c>
      <c r="H69" s="6"/>
      <c r="I69" s="6"/>
      <c r="J69" s="6"/>
      <c r="K69" s="6"/>
      <c r="L69" s="6"/>
      <c r="M69" s="6"/>
      <c r="N69" s="6"/>
      <c r="O69" s="6"/>
      <c r="P69" s="6"/>
      <c r="Q69" s="6"/>
      <c r="R69" s="6"/>
      <c r="S69" s="6"/>
      <c r="T69" s="6"/>
      <c r="U69" s="6"/>
      <c r="V69" s="6"/>
      <c r="W69" s="6"/>
      <c r="X69" s="6"/>
      <c r="Y69" s="6"/>
      <c r="Z69" s="6"/>
      <c r="AA69" s="6"/>
      <c r="AB69" s="6"/>
      <c r="AC69" s="6"/>
      <c r="AD69" s="6"/>
      <c r="AE69" s="6"/>
      <c r="AF69" s="6"/>
      <c r="AG69" s="6"/>
      <c r="AH69" s="6"/>
      <c r="AI69" s="6"/>
      <c r="AJ69" s="6"/>
      <c r="AK69" s="6"/>
      <c r="AL69" s="6"/>
      <c r="AM69" s="6"/>
      <c r="AN69" s="6"/>
      <c r="AO69" s="6"/>
      <c r="AP69" s="6"/>
      <c r="AQ69" s="6"/>
      <c r="AR69" s="6"/>
      <c r="AS69" s="6"/>
      <c r="AT69" s="6"/>
      <c r="AU69" s="6"/>
      <c r="AV69" s="6"/>
      <c r="AW69" s="6"/>
      <c r="AX69" s="6"/>
      <c r="AY69" s="6"/>
      <c r="AZ69" s="6"/>
      <c r="BA69" s="6"/>
      <c r="BB69" s="6"/>
      <c r="BC69" s="6"/>
      <c r="BD69" s="6"/>
      <c r="BE69" s="6"/>
      <c r="BF69" s="6"/>
      <c r="BG69" s="6"/>
      <c r="BH69" s="6"/>
      <c r="BI69" s="6"/>
      <c r="BJ69" s="6"/>
      <c r="BK69" s="6"/>
      <c r="BL69" s="6"/>
      <c r="BM69" s="6"/>
      <c r="BN69" s="6"/>
      <c r="BO69" s="6"/>
      <c r="BP69" s="6"/>
      <c r="BQ69" s="6"/>
      <c r="BR69" s="6"/>
      <c r="BS69" s="6"/>
      <c r="BT69" s="6"/>
    </row>
    <row r="70" spans="1:72" x14ac:dyDescent="0.3">
      <c r="A70" s="619">
        <f>'Development Inputs'!A38</f>
        <v>0</v>
      </c>
      <c r="B70" s="512" t="str">
        <f>'Development Inputs'!B38</f>
        <v>Pool/Outdoor Furniture</v>
      </c>
      <c r="D70" s="617">
        <f>IF($D$77&gt;0,0,'Development Inputs'!E38)</f>
        <v>0</v>
      </c>
      <c r="E70" s="617">
        <f t="shared" si="22"/>
        <v>0</v>
      </c>
      <c r="F70" s="617">
        <f t="shared" ca="1" si="23"/>
        <v>0</v>
      </c>
      <c r="G70" s="617">
        <f t="shared" ca="1" si="24"/>
        <v>0</v>
      </c>
      <c r="H70" s="6"/>
      <c r="I70" s="6"/>
      <c r="J70" s="6"/>
      <c r="K70" s="6"/>
      <c r="L70" s="6"/>
      <c r="M70" s="6"/>
      <c r="N70" s="6"/>
      <c r="O70" s="6"/>
      <c r="P70" s="6"/>
      <c r="Q70" s="6"/>
      <c r="R70" s="6"/>
      <c r="S70" s="6"/>
      <c r="T70" s="6"/>
      <c r="U70" s="6"/>
      <c r="V70" s="6"/>
      <c r="W70" s="6"/>
      <c r="X70" s="6"/>
      <c r="Y70" s="6"/>
      <c r="Z70" s="6"/>
      <c r="AA70" s="6"/>
      <c r="AB70" s="6"/>
      <c r="AC70" s="6"/>
      <c r="AD70" s="6"/>
      <c r="AE70" s="6"/>
      <c r="AF70" s="6"/>
      <c r="AG70" s="6"/>
      <c r="AH70" s="6"/>
      <c r="AI70" s="6"/>
      <c r="AJ70" s="6"/>
      <c r="AK70" s="6"/>
      <c r="AL70" s="6"/>
      <c r="AM70" s="6"/>
      <c r="AN70" s="6"/>
      <c r="AO70" s="6"/>
      <c r="AP70" s="6"/>
      <c r="AQ70" s="6"/>
      <c r="AR70" s="6"/>
      <c r="AS70" s="6"/>
      <c r="AT70" s="6"/>
      <c r="AU70" s="6"/>
      <c r="AV70" s="6"/>
      <c r="AW70" s="6"/>
      <c r="AX70" s="6"/>
      <c r="AY70" s="6"/>
      <c r="AZ70" s="6"/>
      <c r="BA70" s="6"/>
      <c r="BB70" s="6"/>
      <c r="BC70" s="6"/>
      <c r="BD70" s="6"/>
      <c r="BE70" s="6"/>
      <c r="BF70" s="6"/>
      <c r="BG70" s="6"/>
      <c r="BH70" s="6"/>
      <c r="BI70" s="6"/>
      <c r="BJ70" s="6"/>
      <c r="BK70" s="6"/>
      <c r="BL70" s="6"/>
      <c r="BM70" s="6"/>
      <c r="BN70" s="6"/>
      <c r="BO70" s="6"/>
      <c r="BP70" s="6"/>
      <c r="BQ70" s="6"/>
      <c r="BR70" s="6"/>
      <c r="BS70" s="6"/>
      <c r="BT70" s="6"/>
    </row>
    <row r="71" spans="1:72" x14ac:dyDescent="0.3">
      <c r="A71" s="619">
        <f>'Development Inputs'!A39</f>
        <v>0</v>
      </c>
      <c r="B71" s="512" t="str">
        <f>'Development Inputs'!B39</f>
        <v>Purchasing</v>
      </c>
      <c r="D71" s="617">
        <f>IF($D$77&gt;0,0,'Development Inputs'!E39)</f>
        <v>0</v>
      </c>
      <c r="E71" s="617">
        <f t="shared" si="22"/>
        <v>0</v>
      </c>
      <c r="F71" s="617">
        <f t="shared" ca="1" si="23"/>
        <v>0</v>
      </c>
      <c r="G71" s="617">
        <f t="shared" ca="1" si="24"/>
        <v>0</v>
      </c>
      <c r="H71" s="6"/>
      <c r="I71" s="6"/>
      <c r="J71" s="6"/>
      <c r="K71" s="6"/>
      <c r="L71" s="6"/>
      <c r="M71" s="6"/>
      <c r="N71" s="6"/>
      <c r="O71" s="6"/>
      <c r="P71" s="6"/>
      <c r="Q71" s="6"/>
      <c r="R71" s="6"/>
      <c r="S71" s="6"/>
      <c r="T71" s="6"/>
      <c r="U71" s="6"/>
      <c r="V71" s="6"/>
      <c r="W71" s="6"/>
      <c r="X71" s="6"/>
      <c r="Y71" s="6"/>
      <c r="Z71" s="6"/>
      <c r="AA71" s="6"/>
      <c r="AB71" s="6"/>
      <c r="AC71" s="6"/>
      <c r="AD71" s="6"/>
      <c r="AE71" s="6"/>
      <c r="AF71" s="6"/>
      <c r="AG71" s="6"/>
      <c r="AH71" s="6"/>
      <c r="AI71" s="6"/>
      <c r="AJ71" s="6"/>
      <c r="AK71" s="6"/>
      <c r="AL71" s="6"/>
      <c r="AM71" s="6"/>
      <c r="AN71" s="6"/>
      <c r="AO71" s="6"/>
      <c r="AP71" s="6"/>
      <c r="AQ71" s="6"/>
      <c r="AR71" s="6"/>
      <c r="AS71" s="6"/>
      <c r="AT71" s="6"/>
      <c r="AU71" s="6"/>
      <c r="AV71" s="6"/>
      <c r="AW71" s="6"/>
      <c r="AX71" s="6"/>
      <c r="AY71" s="6"/>
      <c r="AZ71" s="6"/>
      <c r="BA71" s="6"/>
      <c r="BB71" s="6"/>
      <c r="BC71" s="6"/>
      <c r="BD71" s="6"/>
      <c r="BE71" s="6"/>
      <c r="BF71" s="6"/>
      <c r="BG71" s="6"/>
      <c r="BH71" s="6"/>
      <c r="BI71" s="6"/>
      <c r="BJ71" s="6"/>
      <c r="BK71" s="6"/>
      <c r="BL71" s="6"/>
      <c r="BM71" s="6"/>
      <c r="BN71" s="6"/>
      <c r="BO71" s="6"/>
      <c r="BP71" s="6"/>
      <c r="BQ71" s="6"/>
      <c r="BR71" s="6"/>
      <c r="BS71" s="6"/>
      <c r="BT71" s="6"/>
    </row>
    <row r="72" spans="1:72" x14ac:dyDescent="0.3">
      <c r="A72" s="619">
        <f>'Development Inputs'!A40</f>
        <v>0</v>
      </c>
      <c r="B72" s="512" t="str">
        <f>'Development Inputs'!B40</f>
        <v>Sales Tax</v>
      </c>
      <c r="D72" s="617">
        <f>IF($D$77&gt;0,0,'Development Inputs'!E40)</f>
        <v>0</v>
      </c>
      <c r="E72" s="617">
        <f t="shared" si="22"/>
        <v>0</v>
      </c>
      <c r="F72" s="617">
        <f t="shared" ca="1" si="23"/>
        <v>0</v>
      </c>
      <c r="G72" s="617">
        <f t="shared" ca="1" si="24"/>
        <v>0</v>
      </c>
      <c r="H72" s="6"/>
      <c r="I72" s="6"/>
      <c r="J72" s="6"/>
      <c r="K72" s="6"/>
      <c r="L72" s="6"/>
      <c r="M72" s="6"/>
      <c r="N72" s="6"/>
      <c r="O72" s="6"/>
      <c r="P72" s="6"/>
      <c r="Q72" s="6"/>
      <c r="R72" s="6"/>
      <c r="S72" s="6"/>
      <c r="T72" s="6"/>
      <c r="U72" s="6"/>
      <c r="V72" s="6"/>
      <c r="W72" s="6"/>
      <c r="X72" s="6"/>
      <c r="Y72" s="6"/>
      <c r="Z72" s="6"/>
      <c r="AA72" s="6"/>
      <c r="AB72" s="6"/>
      <c r="AC72" s="6"/>
      <c r="AD72" s="6"/>
      <c r="AE72" s="6"/>
      <c r="AF72" s="6"/>
      <c r="AG72" s="6"/>
      <c r="AH72" s="6"/>
      <c r="AI72" s="6"/>
      <c r="AJ72" s="6"/>
      <c r="AK72" s="6"/>
      <c r="AL72" s="6"/>
      <c r="AM72" s="6"/>
      <c r="AN72" s="6"/>
      <c r="AO72" s="6"/>
      <c r="AP72" s="6"/>
      <c r="AQ72" s="6"/>
      <c r="AR72" s="6"/>
      <c r="AS72" s="6"/>
      <c r="AT72" s="6"/>
      <c r="AU72" s="6"/>
      <c r="AV72" s="6"/>
      <c r="AW72" s="6"/>
      <c r="AX72" s="6"/>
      <c r="AY72" s="6"/>
      <c r="AZ72" s="6"/>
      <c r="BA72" s="6"/>
      <c r="BB72" s="6"/>
      <c r="BC72" s="6"/>
      <c r="BD72" s="6"/>
      <c r="BE72" s="6"/>
      <c r="BF72" s="6"/>
      <c r="BG72" s="6"/>
      <c r="BH72" s="6"/>
      <c r="BI72" s="6"/>
      <c r="BJ72" s="6"/>
      <c r="BK72" s="6"/>
      <c r="BL72" s="6"/>
      <c r="BM72" s="6"/>
      <c r="BN72" s="6"/>
      <c r="BO72" s="6"/>
      <c r="BP72" s="6"/>
      <c r="BQ72" s="6"/>
      <c r="BR72" s="6"/>
      <c r="BS72" s="6"/>
      <c r="BT72" s="6"/>
    </row>
    <row r="73" spans="1:72" x14ac:dyDescent="0.3">
      <c r="A73" s="619">
        <f>'Development Inputs'!A41</f>
        <v>0</v>
      </c>
      <c r="B73" s="512" t="str">
        <f>'Development Inputs'!B41</f>
        <v>Signage</v>
      </c>
      <c r="D73" s="617">
        <f>IF($D$77&gt;0,0,'Development Inputs'!E41)</f>
        <v>0</v>
      </c>
      <c r="E73" s="617">
        <f t="shared" si="22"/>
        <v>0</v>
      </c>
      <c r="F73" s="617">
        <f t="shared" ca="1" si="23"/>
        <v>0</v>
      </c>
      <c r="G73" s="617">
        <f t="shared" ca="1" si="24"/>
        <v>0</v>
      </c>
      <c r="H73" s="6"/>
      <c r="I73" s="6"/>
      <c r="J73" s="6"/>
      <c r="K73" s="6"/>
      <c r="L73" s="6"/>
      <c r="M73" s="6"/>
      <c r="N73" s="6"/>
      <c r="O73" s="6"/>
      <c r="P73" s="6"/>
      <c r="Q73" s="6"/>
      <c r="R73" s="6"/>
      <c r="S73" s="6"/>
      <c r="T73" s="6"/>
      <c r="U73" s="6"/>
      <c r="V73" s="6"/>
      <c r="W73" s="6"/>
      <c r="X73" s="6"/>
      <c r="Y73" s="6"/>
      <c r="Z73" s="6"/>
      <c r="AA73" s="6"/>
      <c r="AB73" s="6"/>
      <c r="AC73" s="6"/>
      <c r="AD73" s="6"/>
      <c r="AE73" s="6"/>
      <c r="AF73" s="6"/>
      <c r="AG73" s="6"/>
      <c r="AH73" s="6"/>
      <c r="AI73" s="6"/>
      <c r="AJ73" s="6"/>
      <c r="AK73" s="6"/>
      <c r="AL73" s="6"/>
      <c r="AM73" s="6"/>
      <c r="AN73" s="6"/>
      <c r="AO73" s="6"/>
      <c r="AP73" s="6"/>
      <c r="AQ73" s="6"/>
      <c r="AR73" s="6"/>
      <c r="AS73" s="6"/>
      <c r="AT73" s="6"/>
      <c r="AU73" s="6"/>
      <c r="AV73" s="6"/>
      <c r="AW73" s="6"/>
      <c r="AX73" s="6"/>
      <c r="AY73" s="6"/>
      <c r="AZ73" s="6"/>
      <c r="BA73" s="6"/>
      <c r="BB73" s="6"/>
      <c r="BC73" s="6"/>
      <c r="BD73" s="6"/>
      <c r="BE73" s="6"/>
      <c r="BF73" s="6"/>
      <c r="BG73" s="6"/>
      <c r="BH73" s="6"/>
      <c r="BI73" s="6"/>
      <c r="BJ73" s="6"/>
      <c r="BK73" s="6"/>
      <c r="BL73" s="6"/>
      <c r="BM73" s="6"/>
      <c r="BN73" s="6"/>
      <c r="BO73" s="6"/>
      <c r="BP73" s="6"/>
      <c r="BQ73" s="6"/>
      <c r="BR73" s="6"/>
      <c r="BS73" s="6"/>
      <c r="BT73" s="6"/>
    </row>
    <row r="74" spans="1:72" x14ac:dyDescent="0.3">
      <c r="A74" s="619">
        <f>'Development Inputs'!A42</f>
        <v>0</v>
      </c>
      <c r="B74" s="512" t="str">
        <f>'Development Inputs'!B42</f>
        <v>EV Charging Stations</v>
      </c>
      <c r="D74" s="617">
        <f>IF($D$77&gt;0,0,'Development Inputs'!E42)</f>
        <v>0</v>
      </c>
      <c r="E74" s="617">
        <f t="shared" si="22"/>
        <v>0</v>
      </c>
      <c r="F74" s="617">
        <f t="shared" ca="1" si="23"/>
        <v>0</v>
      </c>
      <c r="G74" s="617">
        <f t="shared" ca="1" si="24"/>
        <v>0</v>
      </c>
      <c r="H74" s="6"/>
      <c r="I74" s="6"/>
      <c r="J74" s="6"/>
      <c r="K74" s="6"/>
      <c r="L74" s="6"/>
      <c r="M74" s="6"/>
      <c r="N74" s="6"/>
      <c r="O74" s="6"/>
      <c r="P74" s="6"/>
      <c r="Q74" s="6"/>
      <c r="R74" s="6"/>
      <c r="S74" s="6"/>
      <c r="T74" s="6"/>
      <c r="U74" s="6"/>
      <c r="V74" s="6"/>
      <c r="W74" s="6"/>
      <c r="X74" s="6"/>
      <c r="Y74" s="6"/>
      <c r="Z74" s="6"/>
      <c r="AA74" s="6"/>
      <c r="AB74" s="6"/>
      <c r="AC74" s="6"/>
      <c r="AD74" s="6"/>
      <c r="AE74" s="6"/>
      <c r="AF74" s="6"/>
      <c r="AG74" s="6"/>
      <c r="AH74" s="6"/>
      <c r="AI74" s="6"/>
      <c r="AJ74" s="6"/>
      <c r="AK74" s="6"/>
      <c r="AL74" s="6"/>
      <c r="AM74" s="6"/>
      <c r="AN74" s="6"/>
      <c r="AO74" s="6"/>
      <c r="AP74" s="6"/>
      <c r="AQ74" s="6"/>
      <c r="AR74" s="6"/>
      <c r="AS74" s="6"/>
      <c r="AT74" s="6"/>
      <c r="AU74" s="6"/>
      <c r="AV74" s="6"/>
      <c r="AW74" s="6"/>
      <c r="AX74" s="6"/>
      <c r="AY74" s="6"/>
      <c r="AZ74" s="6"/>
      <c r="BA74" s="6"/>
      <c r="BB74" s="6"/>
      <c r="BC74" s="6"/>
      <c r="BD74" s="6"/>
      <c r="BE74" s="6"/>
      <c r="BF74" s="6"/>
      <c r="BG74" s="6"/>
      <c r="BH74" s="6"/>
      <c r="BI74" s="6"/>
      <c r="BJ74" s="6"/>
      <c r="BK74" s="6"/>
      <c r="BL74" s="6"/>
      <c r="BM74" s="6"/>
      <c r="BN74" s="6"/>
      <c r="BO74" s="6"/>
      <c r="BP74" s="6"/>
      <c r="BQ74" s="6"/>
      <c r="BR74" s="6"/>
      <c r="BS74" s="6"/>
      <c r="BT74" s="6"/>
    </row>
    <row r="75" spans="1:72" x14ac:dyDescent="0.3">
      <c r="A75" s="619">
        <f>'Development Inputs'!A43</f>
        <v>0</v>
      </c>
      <c r="B75" s="512" t="str">
        <f>'Development Inputs'!B43</f>
        <v>Trash Compactor</v>
      </c>
      <c r="D75" s="617">
        <f>IF($D$77&gt;0,0,'Development Inputs'!E43)</f>
        <v>0</v>
      </c>
      <c r="E75" s="617">
        <f t="shared" si="22"/>
        <v>0</v>
      </c>
      <c r="F75" s="617">
        <f t="shared" ca="1" si="23"/>
        <v>0</v>
      </c>
      <c r="G75" s="617">
        <f t="shared" ca="1" si="24"/>
        <v>0</v>
      </c>
      <c r="H75" s="6"/>
      <c r="I75" s="6"/>
      <c r="J75" s="6"/>
      <c r="K75" s="6"/>
      <c r="L75" s="6"/>
      <c r="M75" s="6"/>
      <c r="N75" s="6"/>
      <c r="O75" s="6"/>
      <c r="P75" s="6"/>
      <c r="Q75" s="6"/>
      <c r="R75" s="6"/>
      <c r="S75" s="6"/>
      <c r="T75" s="6"/>
      <c r="U75" s="6"/>
      <c r="V75" s="6"/>
      <c r="W75" s="6"/>
      <c r="X75" s="6"/>
      <c r="Y75" s="6"/>
      <c r="Z75" s="6"/>
      <c r="AA75" s="6"/>
      <c r="AB75" s="6"/>
      <c r="AC75" s="6"/>
      <c r="AD75" s="6"/>
      <c r="AE75" s="6"/>
      <c r="AF75" s="6"/>
      <c r="AG75" s="6"/>
      <c r="AH75" s="6"/>
      <c r="AI75" s="6"/>
      <c r="AJ75" s="6"/>
      <c r="AK75" s="6"/>
      <c r="AL75" s="6"/>
      <c r="AM75" s="6"/>
      <c r="AN75" s="6"/>
      <c r="AO75" s="6"/>
      <c r="AP75" s="6"/>
      <c r="AQ75" s="6"/>
      <c r="AR75" s="6"/>
      <c r="AS75" s="6"/>
      <c r="AT75" s="6"/>
      <c r="AU75" s="6"/>
      <c r="AV75" s="6"/>
      <c r="AW75" s="6"/>
      <c r="AX75" s="6"/>
      <c r="AY75" s="6"/>
      <c r="AZ75" s="6"/>
      <c r="BA75" s="6"/>
      <c r="BB75" s="6"/>
      <c r="BC75" s="6"/>
      <c r="BD75" s="6"/>
      <c r="BE75" s="6"/>
      <c r="BF75" s="6"/>
      <c r="BG75" s="6"/>
      <c r="BH75" s="6"/>
      <c r="BI75" s="6"/>
      <c r="BJ75" s="6"/>
      <c r="BK75" s="6"/>
      <c r="BL75" s="6"/>
      <c r="BM75" s="6"/>
      <c r="BN75" s="6"/>
      <c r="BO75" s="6"/>
      <c r="BP75" s="6"/>
      <c r="BQ75" s="6"/>
      <c r="BR75" s="6"/>
      <c r="BS75" s="6"/>
      <c r="BT75" s="6"/>
    </row>
    <row r="76" spans="1:72" x14ac:dyDescent="0.3">
      <c r="A76" s="619">
        <f>'Development Inputs'!A44</f>
        <v>0</v>
      </c>
      <c r="B76" s="512" t="str">
        <f>'Development Inputs'!B44</f>
        <v>Contingency</v>
      </c>
      <c r="D76" s="617">
        <f>IF($D$77&gt;0,0,'Development Inputs'!E44)</f>
        <v>0</v>
      </c>
      <c r="E76" s="617">
        <f t="shared" si="22"/>
        <v>0</v>
      </c>
      <c r="F76" s="617">
        <f t="shared" ca="1" si="23"/>
        <v>0</v>
      </c>
      <c r="G76" s="617">
        <f t="shared" ca="1" si="24"/>
        <v>0</v>
      </c>
      <c r="H76" s="6"/>
      <c r="I76" s="6"/>
      <c r="J76" s="6"/>
      <c r="K76" s="6"/>
      <c r="L76" s="6"/>
      <c r="M76" s="6"/>
      <c r="N76" s="6"/>
      <c r="O76" s="6"/>
      <c r="P76" s="6"/>
      <c r="Q76" s="6"/>
      <c r="R76" s="6"/>
      <c r="S76" s="6"/>
      <c r="T76" s="6"/>
      <c r="U76" s="6"/>
      <c r="V76" s="6"/>
      <c r="W76" s="6"/>
      <c r="X76" s="6"/>
      <c r="Y76" s="6"/>
      <c r="Z76" s="6"/>
      <c r="AA76" s="6"/>
      <c r="AB76" s="6"/>
      <c r="AC76" s="6"/>
      <c r="AD76" s="6"/>
      <c r="AE76" s="6"/>
      <c r="AF76" s="6"/>
      <c r="AG76" s="6"/>
      <c r="AH76" s="6"/>
      <c r="AI76" s="6"/>
      <c r="AJ76" s="6"/>
      <c r="AK76" s="6"/>
      <c r="AL76" s="6"/>
      <c r="AM76" s="6"/>
      <c r="AN76" s="6"/>
      <c r="AO76" s="6"/>
      <c r="AP76" s="6"/>
      <c r="AQ76" s="6"/>
      <c r="AR76" s="6"/>
      <c r="AS76" s="6"/>
      <c r="AT76" s="6"/>
      <c r="AU76" s="6"/>
      <c r="AV76" s="6"/>
      <c r="AW76" s="6"/>
      <c r="AX76" s="6"/>
      <c r="AY76" s="6"/>
      <c r="AZ76" s="6"/>
      <c r="BA76" s="6"/>
      <c r="BB76" s="6"/>
      <c r="BC76" s="6"/>
      <c r="BD76" s="6"/>
      <c r="BE76" s="6"/>
      <c r="BF76" s="6"/>
      <c r="BG76" s="6"/>
      <c r="BH76" s="6"/>
      <c r="BI76" s="6"/>
      <c r="BJ76" s="6"/>
      <c r="BK76" s="6"/>
      <c r="BL76" s="6"/>
      <c r="BM76" s="6"/>
      <c r="BN76" s="6"/>
      <c r="BO76" s="6"/>
      <c r="BP76" s="6"/>
      <c r="BQ76" s="6"/>
      <c r="BR76" s="6"/>
      <c r="BS76" s="6"/>
      <c r="BT76" s="6"/>
    </row>
    <row r="77" spans="1:72" s="203" customFormat="1" x14ac:dyDescent="0.3">
      <c r="A77" s="619">
        <f>'Development Inputs'!A45</f>
        <v>0</v>
      </c>
      <c r="B77" s="512" t="str">
        <f>'Development Inputs'!B45</f>
        <v>Input as Total</v>
      </c>
      <c r="C77" s="477"/>
      <c r="D77" s="617">
        <f>'Development Inputs'!E45</f>
        <v>625000</v>
      </c>
      <c r="E77" s="610">
        <f t="shared" si="22"/>
        <v>0</v>
      </c>
      <c r="F77" s="610">
        <f t="shared" ca="1" si="23"/>
        <v>0</v>
      </c>
      <c r="G77" s="610">
        <f t="shared" ca="1" si="24"/>
        <v>0</v>
      </c>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row>
    <row r="78" spans="1:72" s="203" customFormat="1" x14ac:dyDescent="0.3">
      <c r="A78" s="611"/>
      <c r="B78" s="612"/>
      <c r="C78" s="613"/>
      <c r="D78" s="614"/>
      <c r="E78" s="614"/>
      <c r="F78" s="614"/>
      <c r="G78" s="614"/>
      <c r="H78" s="615"/>
      <c r="I78" s="615"/>
      <c r="J78" s="615"/>
      <c r="K78" s="615"/>
      <c r="L78" s="615"/>
      <c r="M78" s="615"/>
      <c r="N78" s="615"/>
      <c r="O78" s="615"/>
      <c r="P78" s="615"/>
      <c r="Q78" s="615"/>
      <c r="R78" s="615"/>
      <c r="S78" s="615"/>
      <c r="T78" s="615"/>
      <c r="U78" s="615"/>
      <c r="V78" s="615"/>
      <c r="W78" s="615"/>
      <c r="X78" s="615"/>
      <c r="Y78" s="615"/>
      <c r="Z78" s="615"/>
      <c r="AA78" s="615"/>
      <c r="AB78" s="615"/>
      <c r="AC78" s="615"/>
      <c r="AD78" s="615"/>
      <c r="AE78" s="615"/>
      <c r="AF78" s="615"/>
      <c r="AG78" s="615"/>
      <c r="AH78" s="615"/>
      <c r="AI78" s="615"/>
      <c r="AJ78" s="615"/>
      <c r="AK78" s="615"/>
      <c r="AL78" s="615"/>
      <c r="AM78" s="615"/>
      <c r="AN78" s="615"/>
      <c r="AO78" s="615"/>
      <c r="AP78" s="615"/>
      <c r="AQ78" s="615"/>
      <c r="AR78" s="615"/>
      <c r="AS78" s="615"/>
      <c r="AT78" s="615"/>
      <c r="AU78" s="615"/>
      <c r="AV78" s="615"/>
      <c r="AW78" s="615"/>
      <c r="AX78" s="615"/>
      <c r="AY78" s="615"/>
      <c r="AZ78" s="615"/>
      <c r="BA78" s="615"/>
      <c r="BB78" s="615"/>
      <c r="BC78" s="615"/>
      <c r="BD78" s="615"/>
      <c r="BE78" s="615"/>
      <c r="BF78" s="615"/>
      <c r="BG78" s="615"/>
      <c r="BH78" s="615"/>
      <c r="BI78" s="615"/>
      <c r="BJ78" s="615"/>
      <c r="BK78" s="615"/>
      <c r="BL78" s="615"/>
      <c r="BM78" s="615"/>
      <c r="BN78" s="615"/>
      <c r="BO78" s="615"/>
      <c r="BP78" s="615"/>
      <c r="BQ78" s="615"/>
      <c r="BR78" s="615"/>
      <c r="BS78" s="615"/>
      <c r="BT78" s="615"/>
    </row>
    <row r="79" spans="1:72" s="182" customFormat="1" x14ac:dyDescent="0.3">
      <c r="A79" s="208" t="s">
        <v>462</v>
      </c>
      <c r="B79" s="512"/>
      <c r="D79" s="620">
        <f>TotalHardCosts</f>
        <v>50094535.423500352</v>
      </c>
      <c r="E79" s="617">
        <f t="shared" ref="E79:E88" si="27">SUMIF($H$7:$BT$7,"&lt;"&amp;StartDate,$H79:$BT79)</f>
        <v>0</v>
      </c>
      <c r="F79" s="617">
        <f t="shared" ref="F79:F88" ca="1" si="28">SUMIF($H$7:$BT$7,"&lt;="&amp;$F$7,$H79:$BT79)</f>
        <v>0</v>
      </c>
      <c r="G79" s="617">
        <f ca="1">E79-F79</f>
        <v>0</v>
      </c>
      <c r="H79" s="617">
        <f>SUBTOTAL(9,H80:H88)</f>
        <v>0</v>
      </c>
      <c r="I79" s="617">
        <f t="shared" ref="I79:AN79" si="29">SUBTOTAL(9,I56:I77)</f>
        <v>0</v>
      </c>
      <c r="J79" s="617">
        <f t="shared" si="29"/>
        <v>0</v>
      </c>
      <c r="K79" s="617">
        <f t="shared" si="29"/>
        <v>0</v>
      </c>
      <c r="L79" s="617">
        <f t="shared" si="29"/>
        <v>0</v>
      </c>
      <c r="M79" s="617">
        <f t="shared" si="29"/>
        <v>0</v>
      </c>
      <c r="N79" s="617">
        <f t="shared" si="29"/>
        <v>0</v>
      </c>
      <c r="O79" s="617">
        <f t="shared" si="29"/>
        <v>0</v>
      </c>
      <c r="P79" s="617">
        <f t="shared" si="29"/>
        <v>0</v>
      </c>
      <c r="Q79" s="617">
        <f t="shared" si="29"/>
        <v>0</v>
      </c>
      <c r="R79" s="617">
        <f t="shared" si="29"/>
        <v>0</v>
      </c>
      <c r="S79" s="617">
        <f t="shared" si="29"/>
        <v>0</v>
      </c>
      <c r="T79" s="617">
        <f t="shared" si="29"/>
        <v>0</v>
      </c>
      <c r="U79" s="617">
        <f t="shared" si="29"/>
        <v>0</v>
      </c>
      <c r="V79" s="617">
        <f t="shared" si="29"/>
        <v>0</v>
      </c>
      <c r="W79" s="617">
        <f t="shared" si="29"/>
        <v>0</v>
      </c>
      <c r="X79" s="617">
        <f t="shared" si="29"/>
        <v>0</v>
      </c>
      <c r="Y79" s="617">
        <f t="shared" si="29"/>
        <v>0</v>
      </c>
      <c r="Z79" s="617">
        <f t="shared" si="29"/>
        <v>0</v>
      </c>
      <c r="AA79" s="617">
        <f t="shared" si="29"/>
        <v>0</v>
      </c>
      <c r="AB79" s="617">
        <f t="shared" si="29"/>
        <v>0</v>
      </c>
      <c r="AC79" s="617">
        <f t="shared" si="29"/>
        <v>0</v>
      </c>
      <c r="AD79" s="617">
        <f t="shared" si="29"/>
        <v>0</v>
      </c>
      <c r="AE79" s="617">
        <f t="shared" si="29"/>
        <v>0</v>
      </c>
      <c r="AF79" s="617">
        <f t="shared" si="29"/>
        <v>0</v>
      </c>
      <c r="AG79" s="617">
        <f t="shared" si="29"/>
        <v>0</v>
      </c>
      <c r="AH79" s="617">
        <f t="shared" si="29"/>
        <v>0</v>
      </c>
      <c r="AI79" s="617">
        <f t="shared" si="29"/>
        <v>0</v>
      </c>
      <c r="AJ79" s="617">
        <f t="shared" si="29"/>
        <v>0</v>
      </c>
      <c r="AK79" s="617">
        <f t="shared" si="29"/>
        <v>0</v>
      </c>
      <c r="AL79" s="617">
        <f t="shared" si="29"/>
        <v>0</v>
      </c>
      <c r="AM79" s="617">
        <f t="shared" si="29"/>
        <v>0</v>
      </c>
      <c r="AN79" s="617">
        <f t="shared" si="29"/>
        <v>0</v>
      </c>
      <c r="AO79" s="617">
        <f t="shared" ref="AO79:BT79" si="30">SUBTOTAL(9,AO56:AO77)</f>
        <v>0</v>
      </c>
      <c r="AP79" s="617">
        <f t="shared" si="30"/>
        <v>0</v>
      </c>
      <c r="AQ79" s="617">
        <f t="shared" si="30"/>
        <v>0</v>
      </c>
      <c r="AR79" s="617">
        <f t="shared" si="30"/>
        <v>0</v>
      </c>
      <c r="AS79" s="617">
        <f t="shared" si="30"/>
        <v>0</v>
      </c>
      <c r="AT79" s="617">
        <f t="shared" si="30"/>
        <v>0</v>
      </c>
      <c r="AU79" s="617">
        <f t="shared" si="30"/>
        <v>0</v>
      </c>
      <c r="AV79" s="617">
        <f t="shared" si="30"/>
        <v>0</v>
      </c>
      <c r="AW79" s="617">
        <f t="shared" si="30"/>
        <v>0</v>
      </c>
      <c r="AX79" s="617">
        <f t="shared" si="30"/>
        <v>0</v>
      </c>
      <c r="AY79" s="617">
        <f t="shared" si="30"/>
        <v>0</v>
      </c>
      <c r="AZ79" s="617">
        <f t="shared" si="30"/>
        <v>0</v>
      </c>
      <c r="BA79" s="617">
        <f t="shared" si="30"/>
        <v>0</v>
      </c>
      <c r="BB79" s="617">
        <f t="shared" si="30"/>
        <v>0</v>
      </c>
      <c r="BC79" s="617">
        <f t="shared" si="30"/>
        <v>0</v>
      </c>
      <c r="BD79" s="617">
        <f t="shared" si="30"/>
        <v>0</v>
      </c>
      <c r="BE79" s="617">
        <f t="shared" si="30"/>
        <v>0</v>
      </c>
      <c r="BF79" s="617">
        <f t="shared" si="30"/>
        <v>0</v>
      </c>
      <c r="BG79" s="617">
        <f t="shared" si="30"/>
        <v>0</v>
      </c>
      <c r="BH79" s="617">
        <f t="shared" si="30"/>
        <v>0</v>
      </c>
      <c r="BI79" s="617">
        <f t="shared" si="30"/>
        <v>0</v>
      </c>
      <c r="BJ79" s="617">
        <f t="shared" si="30"/>
        <v>0</v>
      </c>
      <c r="BK79" s="617">
        <f t="shared" si="30"/>
        <v>0</v>
      </c>
      <c r="BL79" s="617">
        <f t="shared" si="30"/>
        <v>0</v>
      </c>
      <c r="BM79" s="617">
        <f t="shared" si="30"/>
        <v>0</v>
      </c>
      <c r="BN79" s="617">
        <f t="shared" si="30"/>
        <v>0</v>
      </c>
      <c r="BO79" s="617">
        <f t="shared" si="30"/>
        <v>0</v>
      </c>
      <c r="BP79" s="617">
        <f t="shared" si="30"/>
        <v>0</v>
      </c>
      <c r="BQ79" s="617">
        <f t="shared" si="30"/>
        <v>0</v>
      </c>
      <c r="BR79" s="617">
        <f t="shared" si="30"/>
        <v>0</v>
      </c>
      <c r="BS79" s="617">
        <f t="shared" si="30"/>
        <v>0</v>
      </c>
      <c r="BT79" s="617">
        <f t="shared" si="30"/>
        <v>0</v>
      </c>
    </row>
    <row r="80" spans="1:72" x14ac:dyDescent="0.3">
      <c r="A80" s="619">
        <f>'Development Inputs'!A52</f>
        <v>0</v>
      </c>
      <c r="B80" s="512" t="str">
        <f>'Development Inputs'!B52</f>
        <v>Hard Costs Residential</v>
      </c>
      <c r="D80" s="617">
        <f>'Development Inputs'!E52</f>
        <v>49442548.164321959</v>
      </c>
      <c r="E80" s="617">
        <f t="shared" si="27"/>
        <v>0</v>
      </c>
      <c r="F80" s="617">
        <f t="shared" ca="1" si="28"/>
        <v>0</v>
      </c>
      <c r="G80" s="617">
        <f t="shared" ref="G80:G88" ca="1" si="31">E80-F80</f>
        <v>0</v>
      </c>
      <c r="H80" s="6"/>
      <c r="I80" s="6"/>
      <c r="J80" s="6"/>
      <c r="K80" s="6"/>
      <c r="L80" s="6"/>
      <c r="M80" s="6"/>
      <c r="N80" s="6"/>
      <c r="O80" s="6"/>
      <c r="P80" s="6"/>
      <c r="Q80" s="6"/>
      <c r="R80" s="6"/>
      <c r="S80" s="6"/>
      <c r="T80" s="6"/>
      <c r="U80" s="6"/>
      <c r="V80" s="6"/>
      <c r="W80" s="6"/>
      <c r="X80" s="6"/>
      <c r="Y80" s="6"/>
      <c r="Z80" s="6"/>
      <c r="AA80" s="6"/>
      <c r="AB80" s="6"/>
      <c r="AC80" s="6"/>
      <c r="AD80" s="6"/>
      <c r="AE80" s="6"/>
      <c r="AF80" s="6"/>
      <c r="AG80" s="6"/>
      <c r="AH80" s="6"/>
      <c r="AI80" s="6"/>
      <c r="AJ80" s="6"/>
      <c r="AK80" s="6"/>
      <c r="AL80" s="6"/>
      <c r="AM80" s="6"/>
      <c r="AN80" s="6"/>
      <c r="AO80" s="6"/>
      <c r="AP80" s="6"/>
      <c r="AQ80" s="6"/>
      <c r="AR80" s="6"/>
      <c r="AS80" s="6"/>
      <c r="AT80" s="6"/>
      <c r="AU80" s="6"/>
      <c r="AV80" s="6"/>
      <c r="AW80" s="6"/>
      <c r="AX80" s="6"/>
      <c r="AY80" s="6"/>
      <c r="AZ80" s="6"/>
      <c r="BA80" s="6"/>
      <c r="BB80" s="6"/>
      <c r="BC80" s="6"/>
      <c r="BD80" s="6"/>
      <c r="BE80" s="6"/>
      <c r="BF80" s="6"/>
      <c r="BG80" s="6"/>
      <c r="BH80" s="6"/>
      <c r="BI80" s="6"/>
      <c r="BJ80" s="6"/>
      <c r="BK80" s="6"/>
      <c r="BL80" s="6"/>
      <c r="BM80" s="6"/>
      <c r="BN80" s="6"/>
      <c r="BO80" s="6"/>
      <c r="BP80" s="6"/>
      <c r="BQ80" s="6"/>
      <c r="BR80" s="6"/>
      <c r="BS80" s="6"/>
      <c r="BT80" s="6"/>
    </row>
    <row r="81" spans="1:72" x14ac:dyDescent="0.3">
      <c r="A81" s="619" t="str">
        <f>'Development Inputs'!A53</f>
        <v>Water Only</v>
      </c>
      <c r="B81" s="512" t="str">
        <f>'Development Inputs'!B53</f>
        <v>Sub-meters &amp; Lennar Pre-Con Fees</v>
      </c>
      <c r="D81" s="617">
        <f>'Development Inputs'!E53</f>
        <v>35200</v>
      </c>
      <c r="E81" s="617">
        <f t="shared" si="27"/>
        <v>0</v>
      </c>
      <c r="F81" s="617">
        <f t="shared" ca="1" si="28"/>
        <v>0</v>
      </c>
      <c r="G81" s="617">
        <f t="shared" ca="1" si="31"/>
        <v>0</v>
      </c>
      <c r="H81" s="6"/>
      <c r="I81" s="6"/>
      <c r="J81" s="6"/>
      <c r="K81" s="6"/>
      <c r="L81" s="6"/>
      <c r="M81" s="6"/>
      <c r="N81" s="6"/>
      <c r="O81" s="6"/>
      <c r="P81" s="6"/>
      <c r="Q81" s="6"/>
      <c r="R81" s="6"/>
      <c r="S81" s="6"/>
      <c r="T81" s="6"/>
      <c r="U81" s="6"/>
      <c r="V81" s="6"/>
      <c r="W81" s="6"/>
      <c r="X81" s="6"/>
      <c r="Y81" s="6"/>
      <c r="Z81" s="6"/>
      <c r="AA81" s="6"/>
      <c r="AB81" s="6"/>
      <c r="AC81" s="6"/>
      <c r="AD81" s="6"/>
      <c r="AE81" s="6"/>
      <c r="AF81" s="6"/>
      <c r="AG81" s="6"/>
      <c r="AH81" s="6"/>
      <c r="AI81" s="6"/>
      <c r="AJ81" s="6"/>
      <c r="AK81" s="6"/>
      <c r="AL81" s="6"/>
      <c r="AM81" s="6"/>
      <c r="AN81" s="6"/>
      <c r="AO81" s="6"/>
      <c r="AP81" s="6"/>
      <c r="AQ81" s="6"/>
      <c r="AR81" s="6"/>
      <c r="AS81" s="6"/>
      <c r="AT81" s="6"/>
      <c r="AU81" s="6"/>
      <c r="AV81" s="6"/>
      <c r="AW81" s="6"/>
      <c r="AX81" s="6"/>
      <c r="AY81" s="6"/>
      <c r="AZ81" s="6"/>
      <c r="BA81" s="6"/>
      <c r="BB81" s="6"/>
      <c r="BC81" s="6"/>
      <c r="BD81" s="6"/>
      <c r="BE81" s="6"/>
      <c r="BF81" s="6"/>
      <c r="BG81" s="6"/>
      <c r="BH81" s="6"/>
      <c r="BI81" s="6"/>
      <c r="BJ81" s="6"/>
      <c r="BK81" s="6"/>
      <c r="BL81" s="6"/>
      <c r="BM81" s="6"/>
      <c r="BN81" s="6"/>
      <c r="BO81" s="6"/>
      <c r="BP81" s="6"/>
      <c r="BQ81" s="6"/>
      <c r="BR81" s="6"/>
      <c r="BS81" s="6"/>
      <c r="BT81" s="6"/>
    </row>
    <row r="82" spans="1:72" x14ac:dyDescent="0.3">
      <c r="A82" s="619">
        <f>'Development Inputs'!A54</f>
        <v>0</v>
      </c>
      <c r="B82" s="512" t="str">
        <f>'Development Inputs'!B54</f>
        <v>OCIP Credits to GMP</v>
      </c>
      <c r="D82" s="617">
        <f>'Development Inputs'!E54</f>
        <v>-247212.7408216098</v>
      </c>
      <c r="E82" s="617">
        <f t="shared" si="27"/>
        <v>0</v>
      </c>
      <c r="F82" s="617">
        <f t="shared" ca="1" si="28"/>
        <v>0</v>
      </c>
      <c r="G82" s="617">
        <f t="shared" ca="1" si="31"/>
        <v>0</v>
      </c>
      <c r="H82" s="6"/>
      <c r="I82" s="6"/>
      <c r="J82" s="6"/>
      <c r="K82" s="6"/>
      <c r="L82" s="6"/>
      <c r="M82" s="6"/>
      <c r="N82" s="6"/>
      <c r="O82" s="6"/>
      <c r="P82" s="6"/>
      <c r="Q82" s="6"/>
      <c r="R82" s="6"/>
      <c r="S82" s="6"/>
      <c r="T82" s="6"/>
      <c r="U82" s="6"/>
      <c r="V82" s="6"/>
      <c r="W82" s="6"/>
      <c r="X82" s="6"/>
      <c r="Y82" s="6"/>
      <c r="Z82" s="6"/>
      <c r="AA82" s="6"/>
      <c r="AB82" s="6"/>
      <c r="AC82" s="6"/>
      <c r="AD82" s="6"/>
      <c r="AE82" s="6"/>
      <c r="AF82" s="6"/>
      <c r="AG82" s="6"/>
      <c r="AH82" s="6"/>
      <c r="AI82" s="6"/>
      <c r="AJ82" s="6"/>
      <c r="AK82" s="6"/>
      <c r="AL82" s="6"/>
      <c r="AM82" s="6"/>
      <c r="AN82" s="6"/>
      <c r="AO82" s="6"/>
      <c r="AP82" s="6"/>
      <c r="AQ82" s="6"/>
      <c r="AR82" s="6"/>
      <c r="AS82" s="6"/>
      <c r="AT82" s="6"/>
      <c r="AU82" s="6"/>
      <c r="AV82" s="6"/>
      <c r="AW82" s="6"/>
      <c r="AX82" s="6"/>
      <c r="AY82" s="6"/>
      <c r="AZ82" s="6"/>
      <c r="BA82" s="6"/>
      <c r="BB82" s="6"/>
      <c r="BC82" s="6"/>
      <c r="BD82" s="6"/>
      <c r="BE82" s="6"/>
      <c r="BF82" s="6"/>
      <c r="BG82" s="6"/>
      <c r="BH82" s="6"/>
      <c r="BI82" s="6"/>
      <c r="BJ82" s="6"/>
      <c r="BK82" s="6"/>
      <c r="BL82" s="6"/>
      <c r="BM82" s="6"/>
      <c r="BN82" s="6"/>
      <c r="BO82" s="6"/>
      <c r="BP82" s="6"/>
      <c r="BQ82" s="6"/>
      <c r="BR82" s="6"/>
      <c r="BS82" s="6"/>
      <c r="BT82" s="6"/>
    </row>
    <row r="83" spans="1:72" x14ac:dyDescent="0.3">
      <c r="A83" s="619">
        <f>'Development Inputs'!A55</f>
        <v>0</v>
      </c>
      <c r="B83" s="512" t="str">
        <f>'Development Inputs'!B55</f>
        <v>HCOGMP</v>
      </c>
      <c r="D83" s="617">
        <f>'Development Inputs'!E55</f>
        <v>0</v>
      </c>
      <c r="E83" s="617">
        <f t="shared" si="27"/>
        <v>0</v>
      </c>
      <c r="F83" s="617">
        <f t="shared" ca="1" si="28"/>
        <v>0</v>
      </c>
      <c r="G83" s="617">
        <f t="shared" ca="1" si="31"/>
        <v>0</v>
      </c>
      <c r="H83" s="6"/>
      <c r="I83" s="6"/>
      <c r="J83" s="6"/>
      <c r="K83" s="6"/>
      <c r="L83" s="6"/>
      <c r="M83" s="6"/>
      <c r="N83" s="6"/>
      <c r="O83" s="6"/>
      <c r="P83" s="6"/>
      <c r="Q83" s="6"/>
      <c r="R83" s="6"/>
      <c r="S83" s="6"/>
      <c r="T83" s="6"/>
      <c r="U83" s="6"/>
      <c r="V83" s="6"/>
      <c r="W83" s="6"/>
      <c r="X83" s="6"/>
      <c r="Y83" s="6"/>
      <c r="Z83" s="6"/>
      <c r="AA83" s="6"/>
      <c r="AB83" s="6"/>
      <c r="AC83" s="6"/>
      <c r="AD83" s="6"/>
      <c r="AE83" s="6"/>
      <c r="AF83" s="6"/>
      <c r="AG83" s="6"/>
      <c r="AH83" s="6"/>
      <c r="AI83" s="6"/>
      <c r="AJ83" s="6"/>
      <c r="AK83" s="6"/>
      <c r="AL83" s="6"/>
      <c r="AM83" s="6"/>
      <c r="AN83" s="6"/>
      <c r="AO83" s="6"/>
      <c r="AP83" s="6"/>
      <c r="AQ83" s="6"/>
      <c r="AR83" s="6"/>
      <c r="AS83" s="6"/>
      <c r="AT83" s="6"/>
      <c r="AU83" s="6"/>
      <c r="AV83" s="6"/>
      <c r="AW83" s="6"/>
      <c r="AX83" s="6"/>
      <c r="AY83" s="6"/>
      <c r="AZ83" s="6"/>
      <c r="BA83" s="6"/>
      <c r="BB83" s="6"/>
      <c r="BC83" s="6"/>
      <c r="BD83" s="6"/>
      <c r="BE83" s="6"/>
      <c r="BF83" s="6"/>
      <c r="BG83" s="6"/>
      <c r="BH83" s="6"/>
      <c r="BI83" s="6"/>
      <c r="BJ83" s="6"/>
      <c r="BK83" s="6"/>
      <c r="BL83" s="6"/>
      <c r="BM83" s="6"/>
      <c r="BN83" s="6"/>
      <c r="BO83" s="6"/>
      <c r="BP83" s="6"/>
      <c r="BQ83" s="6"/>
      <c r="BR83" s="6"/>
      <c r="BS83" s="6"/>
      <c r="BT83" s="6"/>
    </row>
    <row r="84" spans="1:72" x14ac:dyDescent="0.3">
      <c r="A84" s="619">
        <f>'Development Inputs'!A56</f>
        <v>0</v>
      </c>
      <c r="B84" s="512" t="str">
        <f>'Development Inputs'!B56</f>
        <v>Garages</v>
      </c>
      <c r="D84" s="617">
        <f>'Development Inputs'!E56</f>
        <v>864000</v>
      </c>
      <c r="E84" s="617">
        <f t="shared" si="27"/>
        <v>0</v>
      </c>
      <c r="F84" s="617">
        <f t="shared" ca="1" si="28"/>
        <v>0</v>
      </c>
      <c r="G84" s="617">
        <f t="shared" ca="1" si="31"/>
        <v>0</v>
      </c>
      <c r="H84" s="6"/>
      <c r="I84" s="6"/>
      <c r="J84" s="6"/>
      <c r="K84" s="6"/>
      <c r="L84" s="6"/>
      <c r="M84" s="6"/>
      <c r="N84" s="6"/>
      <c r="O84" s="6"/>
      <c r="P84" s="6"/>
      <c r="Q84" s="6"/>
      <c r="R84" s="6"/>
      <c r="S84" s="6"/>
      <c r="T84" s="6"/>
      <c r="U84" s="6"/>
      <c r="V84" s="6"/>
      <c r="W84" s="6"/>
      <c r="X84" s="6"/>
      <c r="Y84" s="6"/>
      <c r="Z84" s="6"/>
      <c r="AA84" s="6"/>
      <c r="AB84" s="6"/>
      <c r="AC84" s="6"/>
      <c r="AD84" s="6"/>
      <c r="AE84" s="6"/>
      <c r="AF84" s="6"/>
      <c r="AG84" s="6"/>
      <c r="AH84" s="6"/>
      <c r="AI84" s="6"/>
      <c r="AJ84" s="6"/>
      <c r="AK84" s="6"/>
      <c r="AL84" s="6"/>
      <c r="AM84" s="6"/>
      <c r="AN84" s="6"/>
      <c r="AO84" s="6"/>
      <c r="AP84" s="6"/>
      <c r="AQ84" s="6"/>
      <c r="AR84" s="6"/>
      <c r="AS84" s="6"/>
      <c r="AT84" s="6"/>
      <c r="AU84" s="6"/>
      <c r="AV84" s="6"/>
      <c r="AW84" s="6"/>
      <c r="AX84" s="6"/>
      <c r="AY84" s="6"/>
      <c r="AZ84" s="6"/>
      <c r="BA84" s="6"/>
      <c r="BB84" s="6"/>
      <c r="BC84" s="6"/>
      <c r="BD84" s="6"/>
      <c r="BE84" s="6"/>
      <c r="BF84" s="6"/>
      <c r="BG84" s="6"/>
      <c r="BH84" s="6"/>
      <c r="BI84" s="6"/>
      <c r="BJ84" s="6"/>
      <c r="BK84" s="6"/>
      <c r="BL84" s="6"/>
      <c r="BM84" s="6"/>
      <c r="BN84" s="6"/>
      <c r="BO84" s="6"/>
      <c r="BP84" s="6"/>
      <c r="BQ84" s="6"/>
      <c r="BR84" s="6"/>
      <c r="BS84" s="6"/>
      <c r="BT84" s="6"/>
    </row>
    <row r="85" spans="1:72" x14ac:dyDescent="0.3">
      <c r="A85" s="619">
        <f>'Development Inputs'!A61</f>
        <v>0</v>
      </c>
      <c r="B85" s="512">
        <f>'Development Inputs'!B61</f>
        <v>0</v>
      </c>
      <c r="D85" s="617">
        <f>'Development Inputs'!E61</f>
        <v>0</v>
      </c>
      <c r="E85" s="617">
        <f t="shared" si="27"/>
        <v>0</v>
      </c>
      <c r="F85" s="617">
        <f t="shared" ca="1" si="28"/>
        <v>0</v>
      </c>
      <c r="G85" s="617">
        <f ca="1">E85-F85</f>
        <v>0</v>
      </c>
      <c r="H85" s="6"/>
      <c r="I85" s="6"/>
      <c r="J85" s="6"/>
      <c r="K85" s="6"/>
      <c r="L85" s="6"/>
      <c r="M85" s="6"/>
      <c r="N85" s="6"/>
      <c r="O85" s="6"/>
      <c r="P85" s="6"/>
      <c r="Q85" s="6"/>
      <c r="R85" s="6"/>
      <c r="S85" s="6"/>
      <c r="T85" s="6"/>
      <c r="U85" s="6"/>
      <c r="V85" s="6"/>
      <c r="W85" s="6"/>
      <c r="X85" s="6"/>
      <c r="Y85" s="6"/>
      <c r="Z85" s="6"/>
      <c r="AA85" s="6"/>
      <c r="AB85" s="6"/>
      <c r="AC85" s="6"/>
      <c r="AD85" s="6"/>
      <c r="AE85" s="6"/>
      <c r="AF85" s="6"/>
      <c r="AG85" s="6"/>
      <c r="AH85" s="6"/>
      <c r="AI85" s="6"/>
      <c r="AJ85" s="6"/>
      <c r="AK85" s="6"/>
      <c r="AL85" s="6"/>
      <c r="AM85" s="6"/>
      <c r="AN85" s="6"/>
      <c r="AO85" s="6"/>
      <c r="AP85" s="6"/>
      <c r="AQ85" s="6"/>
      <c r="AR85" s="6"/>
      <c r="AS85" s="6"/>
      <c r="AT85" s="6"/>
      <c r="AU85" s="6"/>
      <c r="AV85" s="6"/>
      <c r="AW85" s="6"/>
      <c r="AX85" s="6"/>
      <c r="AY85" s="6"/>
      <c r="AZ85" s="6"/>
      <c r="BA85" s="6"/>
      <c r="BB85" s="6"/>
      <c r="BC85" s="6"/>
      <c r="BD85" s="6"/>
      <c r="BE85" s="6"/>
      <c r="BF85" s="6"/>
      <c r="BG85" s="6"/>
      <c r="BH85" s="6"/>
      <c r="BI85" s="6"/>
      <c r="BJ85" s="6"/>
      <c r="BK85" s="6"/>
      <c r="BL85" s="6"/>
      <c r="BM85" s="6"/>
      <c r="BN85" s="6"/>
      <c r="BO85" s="6"/>
      <c r="BP85" s="6"/>
      <c r="BQ85" s="6"/>
      <c r="BR85" s="6"/>
      <c r="BS85" s="6"/>
      <c r="BT85" s="6"/>
    </row>
    <row r="86" spans="1:72" x14ac:dyDescent="0.3">
      <c r="A86" s="619">
        <f>'Development Inputs'!A62</f>
        <v>0</v>
      </c>
      <c r="B86" s="512">
        <f>'Development Inputs'!B62</f>
        <v>0</v>
      </c>
      <c r="D86" s="617">
        <f>'Development Inputs'!E62</f>
        <v>0</v>
      </c>
      <c r="E86" s="617">
        <f t="shared" si="27"/>
        <v>0</v>
      </c>
      <c r="F86" s="617">
        <f t="shared" ca="1" si="28"/>
        <v>0</v>
      </c>
      <c r="G86" s="617">
        <f ca="1">E86-F86</f>
        <v>0</v>
      </c>
      <c r="H86" s="6"/>
      <c r="I86" s="6"/>
      <c r="J86" s="6"/>
      <c r="K86" s="6"/>
      <c r="L86" s="6"/>
      <c r="M86" s="6"/>
      <c r="N86" s="6"/>
      <c r="O86" s="6"/>
      <c r="P86" s="6"/>
      <c r="Q86" s="6"/>
      <c r="R86" s="6"/>
      <c r="S86" s="6"/>
      <c r="T86" s="6"/>
      <c r="U86" s="6"/>
      <c r="V86" s="6"/>
      <c r="W86" s="6"/>
      <c r="X86" s="6"/>
      <c r="Y86" s="6"/>
      <c r="Z86" s="6"/>
      <c r="AA86" s="6"/>
      <c r="AB86" s="6"/>
      <c r="AC86" s="6"/>
      <c r="AD86" s="6"/>
      <c r="AE86" s="6"/>
      <c r="AF86" s="6"/>
      <c r="AG86" s="6"/>
      <c r="AH86" s="6"/>
      <c r="AI86" s="6"/>
      <c r="AJ86" s="6"/>
      <c r="AK86" s="6"/>
      <c r="AL86" s="6"/>
      <c r="AM86" s="6"/>
      <c r="AN86" s="6"/>
      <c r="AO86" s="6"/>
      <c r="AP86" s="6"/>
      <c r="AQ86" s="6"/>
      <c r="AR86" s="6"/>
      <c r="AS86" s="6"/>
      <c r="AT86" s="6"/>
      <c r="AU86" s="6"/>
      <c r="AV86" s="6"/>
      <c r="AW86" s="6"/>
      <c r="AX86" s="6"/>
      <c r="AY86" s="6"/>
      <c r="AZ86" s="6"/>
      <c r="BA86" s="6"/>
      <c r="BB86" s="6"/>
      <c r="BC86" s="6"/>
      <c r="BD86" s="6"/>
      <c r="BE86" s="6"/>
      <c r="BF86" s="6"/>
      <c r="BG86" s="6"/>
      <c r="BH86" s="6"/>
      <c r="BI86" s="6"/>
      <c r="BJ86" s="6"/>
      <c r="BK86" s="6"/>
      <c r="BL86" s="6"/>
      <c r="BM86" s="6"/>
      <c r="BN86" s="6"/>
      <c r="BO86" s="6"/>
      <c r="BP86" s="6"/>
      <c r="BQ86" s="6"/>
      <c r="BR86" s="6"/>
      <c r="BS86" s="6"/>
      <c r="BT86" s="6"/>
    </row>
    <row r="87" spans="1:72" x14ac:dyDescent="0.3">
      <c r="A87" s="619">
        <f>'Development Inputs'!A63</f>
        <v>0</v>
      </c>
      <c r="B87" s="512" t="str">
        <f>'Development Inputs'!B63</f>
        <v>Subtotal Hard Costs</v>
      </c>
      <c r="D87" s="617">
        <f>'Development Inputs'!E63</f>
        <v>50094535.423500352</v>
      </c>
      <c r="E87" s="617">
        <f t="shared" si="27"/>
        <v>0</v>
      </c>
      <c r="F87" s="617">
        <f t="shared" ca="1" si="28"/>
        <v>0</v>
      </c>
      <c r="G87" s="617">
        <f t="shared" ca="1" si="31"/>
        <v>0</v>
      </c>
      <c r="H87" s="6"/>
      <c r="I87" s="6"/>
      <c r="J87" s="6"/>
      <c r="K87" s="6"/>
      <c r="L87" s="6"/>
      <c r="M87" s="6"/>
      <c r="N87" s="6"/>
      <c r="O87" s="6"/>
      <c r="P87" s="6"/>
      <c r="Q87" s="6"/>
      <c r="R87" s="6"/>
      <c r="S87" s="6"/>
      <c r="T87" s="6"/>
      <c r="U87" s="6"/>
      <c r="V87" s="6"/>
      <c r="W87" s="6"/>
      <c r="X87" s="6"/>
      <c r="Y87" s="6"/>
      <c r="Z87" s="6"/>
      <c r="AA87" s="6"/>
      <c r="AB87" s="6"/>
      <c r="AC87" s="6"/>
      <c r="AD87" s="6"/>
      <c r="AE87" s="6"/>
      <c r="AF87" s="6"/>
      <c r="AG87" s="6"/>
      <c r="AH87" s="6"/>
      <c r="AI87" s="6"/>
      <c r="AJ87" s="6"/>
      <c r="AK87" s="6"/>
      <c r="AL87" s="6"/>
      <c r="AM87" s="6"/>
      <c r="AN87" s="6"/>
      <c r="AO87" s="6"/>
      <c r="AP87" s="6"/>
      <c r="AQ87" s="6"/>
      <c r="AR87" s="6"/>
      <c r="AS87" s="6"/>
      <c r="AT87" s="6"/>
      <c r="AU87" s="6"/>
      <c r="AV87" s="6"/>
      <c r="AW87" s="6"/>
      <c r="AX87" s="6"/>
      <c r="AY87" s="6"/>
      <c r="AZ87" s="6"/>
      <c r="BA87" s="6"/>
      <c r="BB87" s="6"/>
      <c r="BC87" s="6"/>
      <c r="BD87" s="6"/>
      <c r="BE87" s="6"/>
      <c r="BF87" s="6"/>
      <c r="BG87" s="6"/>
      <c r="BH87" s="6"/>
      <c r="BI87" s="6"/>
      <c r="BJ87" s="6"/>
      <c r="BK87" s="6"/>
      <c r="BL87" s="6"/>
      <c r="BM87" s="6"/>
      <c r="BN87" s="6"/>
      <c r="BO87" s="6"/>
      <c r="BP87" s="6"/>
      <c r="BQ87" s="6"/>
      <c r="BR87" s="6"/>
      <c r="BS87" s="6"/>
      <c r="BT87" s="6"/>
    </row>
    <row r="88" spans="1:72" s="203" customFormat="1" x14ac:dyDescent="0.3">
      <c r="A88" s="619">
        <f>'Development Inputs'!A64</f>
        <v>0</v>
      </c>
      <c r="B88" s="512" t="str">
        <f>'Development Inputs'!B64</f>
        <v>Construction Management (CM) Fee</v>
      </c>
      <c r="C88" s="477"/>
      <c r="D88" s="617">
        <f>'Development Inputs'!E64</f>
        <v>0</v>
      </c>
      <c r="E88" s="610">
        <f t="shared" si="27"/>
        <v>0</v>
      </c>
      <c r="F88" s="610">
        <f t="shared" ca="1" si="28"/>
        <v>0</v>
      </c>
      <c r="G88" s="610">
        <f t="shared" ca="1" si="31"/>
        <v>0</v>
      </c>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row>
    <row r="89" spans="1:72" s="203" customFormat="1" x14ac:dyDescent="0.3">
      <c r="A89" s="611"/>
      <c r="B89" s="612"/>
      <c r="C89" s="613"/>
      <c r="D89" s="614"/>
      <c r="E89" s="614"/>
      <c r="F89" s="614"/>
      <c r="G89" s="614"/>
      <c r="H89" s="615"/>
      <c r="I89" s="615"/>
      <c r="J89" s="615"/>
      <c r="K89" s="615"/>
      <c r="L89" s="615"/>
      <c r="M89" s="615"/>
      <c r="N89" s="615"/>
      <c r="O89" s="615"/>
      <c r="P89" s="615"/>
      <c r="Q89" s="615"/>
      <c r="R89" s="615"/>
      <c r="S89" s="615"/>
      <c r="T89" s="615"/>
      <c r="U89" s="615"/>
      <c r="V89" s="615"/>
      <c r="W89" s="615"/>
      <c r="X89" s="615"/>
      <c r="Y89" s="615"/>
      <c r="Z89" s="615"/>
      <c r="AA89" s="615"/>
      <c r="AB89" s="615"/>
      <c r="AC89" s="615"/>
      <c r="AD89" s="615"/>
      <c r="AE89" s="615"/>
      <c r="AF89" s="615"/>
      <c r="AG89" s="615"/>
      <c r="AH89" s="615"/>
      <c r="AI89" s="615"/>
      <c r="AJ89" s="615"/>
      <c r="AK89" s="615"/>
      <c r="AL89" s="615"/>
      <c r="AM89" s="615"/>
      <c r="AN89" s="615"/>
      <c r="AO89" s="615"/>
      <c r="AP89" s="615"/>
      <c r="AQ89" s="615"/>
      <c r="AR89" s="615"/>
      <c r="AS89" s="615"/>
      <c r="AT89" s="615"/>
      <c r="AU89" s="615"/>
      <c r="AV89" s="615"/>
      <c r="AW89" s="615"/>
      <c r="AX89" s="615"/>
      <c r="AY89" s="615"/>
      <c r="AZ89" s="615"/>
      <c r="BA89" s="615"/>
      <c r="BB89" s="615"/>
      <c r="BC89" s="615"/>
      <c r="BD89" s="615"/>
      <c r="BE89" s="615"/>
      <c r="BF89" s="615"/>
      <c r="BG89" s="615"/>
      <c r="BH89" s="615"/>
      <c r="BI89" s="615"/>
      <c r="BJ89" s="615"/>
      <c r="BK89" s="615"/>
      <c r="BL89" s="615"/>
      <c r="BM89" s="615"/>
      <c r="BN89" s="615"/>
      <c r="BO89" s="615"/>
      <c r="BP89" s="615"/>
      <c r="BQ89" s="615"/>
      <c r="BR89" s="615"/>
      <c r="BS89" s="615"/>
      <c r="BT89" s="615"/>
    </row>
    <row r="90" spans="1:72" s="182" customFormat="1" x14ac:dyDescent="0.3">
      <c r="A90" s="208" t="s">
        <v>671</v>
      </c>
      <c r="B90" s="512"/>
      <c r="D90" s="620">
        <f ca="1">TotalInsurance</f>
        <v>1418022.6257534006</v>
      </c>
      <c r="E90" s="617">
        <f t="shared" ref="E90:E96" si="32">SUMIF($H$7:$BT$7,"&lt;"&amp;StartDate,$H90:$BT90)</f>
        <v>0</v>
      </c>
      <c r="F90" s="617">
        <f t="shared" ref="F90:F96" ca="1" si="33">SUMIF($H$7:$BT$7,"&lt;="&amp;$F$7,$H90:$BT90)</f>
        <v>0</v>
      </c>
      <c r="G90" s="617">
        <f t="shared" ref="G90:G96" ca="1" si="34">E90-F90</f>
        <v>0</v>
      </c>
      <c r="H90" s="617">
        <f>SUBTOTAL(9,H91:H96)</f>
        <v>0</v>
      </c>
      <c r="I90" s="617">
        <f t="shared" ref="I90:BT90" si="35">SUBTOTAL(9,I67:I88)</f>
        <v>0</v>
      </c>
      <c r="J90" s="617">
        <f t="shared" si="35"/>
        <v>0</v>
      </c>
      <c r="K90" s="617">
        <f t="shared" si="35"/>
        <v>0</v>
      </c>
      <c r="L90" s="617">
        <f t="shared" si="35"/>
        <v>0</v>
      </c>
      <c r="M90" s="617">
        <f t="shared" si="35"/>
        <v>0</v>
      </c>
      <c r="N90" s="617">
        <f t="shared" si="35"/>
        <v>0</v>
      </c>
      <c r="O90" s="617">
        <f t="shared" si="35"/>
        <v>0</v>
      </c>
      <c r="P90" s="617">
        <f t="shared" si="35"/>
        <v>0</v>
      </c>
      <c r="Q90" s="617">
        <f t="shared" si="35"/>
        <v>0</v>
      </c>
      <c r="R90" s="617">
        <f t="shared" si="35"/>
        <v>0</v>
      </c>
      <c r="S90" s="617">
        <f t="shared" si="35"/>
        <v>0</v>
      </c>
      <c r="T90" s="617">
        <f t="shared" si="35"/>
        <v>0</v>
      </c>
      <c r="U90" s="617">
        <f t="shared" si="35"/>
        <v>0</v>
      </c>
      <c r="V90" s="617">
        <f t="shared" si="35"/>
        <v>0</v>
      </c>
      <c r="W90" s="617">
        <f t="shared" si="35"/>
        <v>0</v>
      </c>
      <c r="X90" s="617">
        <f t="shared" si="35"/>
        <v>0</v>
      </c>
      <c r="Y90" s="617">
        <f t="shared" si="35"/>
        <v>0</v>
      </c>
      <c r="Z90" s="617">
        <f t="shared" si="35"/>
        <v>0</v>
      </c>
      <c r="AA90" s="617">
        <f t="shared" si="35"/>
        <v>0</v>
      </c>
      <c r="AB90" s="617">
        <f t="shared" si="35"/>
        <v>0</v>
      </c>
      <c r="AC90" s="617">
        <f t="shared" si="35"/>
        <v>0</v>
      </c>
      <c r="AD90" s="617">
        <f t="shared" si="35"/>
        <v>0</v>
      </c>
      <c r="AE90" s="617">
        <f t="shared" si="35"/>
        <v>0</v>
      </c>
      <c r="AF90" s="617">
        <f t="shared" si="35"/>
        <v>0</v>
      </c>
      <c r="AG90" s="617">
        <f t="shared" si="35"/>
        <v>0</v>
      </c>
      <c r="AH90" s="617">
        <f t="shared" si="35"/>
        <v>0</v>
      </c>
      <c r="AI90" s="617">
        <f t="shared" si="35"/>
        <v>0</v>
      </c>
      <c r="AJ90" s="617">
        <f t="shared" si="35"/>
        <v>0</v>
      </c>
      <c r="AK90" s="617">
        <f t="shared" si="35"/>
        <v>0</v>
      </c>
      <c r="AL90" s="617">
        <f t="shared" si="35"/>
        <v>0</v>
      </c>
      <c r="AM90" s="617">
        <f t="shared" si="35"/>
        <v>0</v>
      </c>
      <c r="AN90" s="617">
        <f t="shared" si="35"/>
        <v>0</v>
      </c>
      <c r="AO90" s="617">
        <f t="shared" si="35"/>
        <v>0</v>
      </c>
      <c r="AP90" s="617">
        <f t="shared" si="35"/>
        <v>0</v>
      </c>
      <c r="AQ90" s="617">
        <f t="shared" si="35"/>
        <v>0</v>
      </c>
      <c r="AR90" s="617">
        <f t="shared" si="35"/>
        <v>0</v>
      </c>
      <c r="AS90" s="617">
        <f t="shared" si="35"/>
        <v>0</v>
      </c>
      <c r="AT90" s="617">
        <f t="shared" si="35"/>
        <v>0</v>
      </c>
      <c r="AU90" s="617">
        <f t="shared" si="35"/>
        <v>0</v>
      </c>
      <c r="AV90" s="617">
        <f t="shared" si="35"/>
        <v>0</v>
      </c>
      <c r="AW90" s="617">
        <f t="shared" si="35"/>
        <v>0</v>
      </c>
      <c r="AX90" s="617">
        <f t="shared" si="35"/>
        <v>0</v>
      </c>
      <c r="AY90" s="617">
        <f t="shared" si="35"/>
        <v>0</v>
      </c>
      <c r="AZ90" s="617">
        <f t="shared" si="35"/>
        <v>0</v>
      </c>
      <c r="BA90" s="617">
        <f t="shared" si="35"/>
        <v>0</v>
      </c>
      <c r="BB90" s="617">
        <f t="shared" si="35"/>
        <v>0</v>
      </c>
      <c r="BC90" s="617">
        <f t="shared" si="35"/>
        <v>0</v>
      </c>
      <c r="BD90" s="617">
        <f t="shared" si="35"/>
        <v>0</v>
      </c>
      <c r="BE90" s="617">
        <f t="shared" si="35"/>
        <v>0</v>
      </c>
      <c r="BF90" s="617">
        <f t="shared" si="35"/>
        <v>0</v>
      </c>
      <c r="BG90" s="617">
        <f t="shared" si="35"/>
        <v>0</v>
      </c>
      <c r="BH90" s="617">
        <f t="shared" si="35"/>
        <v>0</v>
      </c>
      <c r="BI90" s="617">
        <f t="shared" si="35"/>
        <v>0</v>
      </c>
      <c r="BJ90" s="617">
        <f t="shared" si="35"/>
        <v>0</v>
      </c>
      <c r="BK90" s="617">
        <f t="shared" si="35"/>
        <v>0</v>
      </c>
      <c r="BL90" s="617">
        <f t="shared" si="35"/>
        <v>0</v>
      </c>
      <c r="BM90" s="617">
        <f t="shared" si="35"/>
        <v>0</v>
      </c>
      <c r="BN90" s="617">
        <f t="shared" si="35"/>
        <v>0</v>
      </c>
      <c r="BO90" s="617">
        <f t="shared" si="35"/>
        <v>0</v>
      </c>
      <c r="BP90" s="617">
        <f t="shared" si="35"/>
        <v>0</v>
      </c>
      <c r="BQ90" s="617">
        <f t="shared" si="35"/>
        <v>0</v>
      </c>
      <c r="BR90" s="617">
        <f t="shared" si="35"/>
        <v>0</v>
      </c>
      <c r="BS90" s="617">
        <f t="shared" si="35"/>
        <v>0</v>
      </c>
      <c r="BT90" s="617">
        <f t="shared" si="35"/>
        <v>0</v>
      </c>
    </row>
    <row r="91" spans="1:72" x14ac:dyDescent="0.3">
      <c r="A91" s="619">
        <f>'Development Inputs'!A120</f>
        <v>0</v>
      </c>
      <c r="B91" s="512" t="str">
        <f>'Development Inputs'!B120</f>
        <v>General Liability (GL)</v>
      </c>
      <c r="D91" s="617">
        <f>IF($D$96&gt;0,0,'Development Inputs'!E120)</f>
        <v>753711.05696388404</v>
      </c>
      <c r="E91" s="617">
        <f t="shared" si="32"/>
        <v>0</v>
      </c>
      <c r="F91" s="617">
        <f t="shared" ca="1" si="33"/>
        <v>0</v>
      </c>
      <c r="G91" s="617">
        <f t="shared" ca="1" si="34"/>
        <v>0</v>
      </c>
      <c r="H91" s="6"/>
      <c r="I91" s="6"/>
      <c r="J91" s="6"/>
      <c r="K91" s="6"/>
      <c r="L91" s="6"/>
      <c r="M91" s="6"/>
      <c r="N91" s="6"/>
      <c r="O91" s="6"/>
      <c r="P91" s="6"/>
      <c r="Q91" s="6"/>
      <c r="R91" s="6"/>
      <c r="S91" s="6"/>
      <c r="T91" s="6"/>
      <c r="U91" s="6"/>
      <c r="V91" s="6"/>
      <c r="W91" s="6"/>
      <c r="X91" s="6"/>
      <c r="Y91" s="6"/>
      <c r="Z91" s="6"/>
      <c r="AA91" s="6"/>
      <c r="AB91" s="6"/>
      <c r="AC91" s="6"/>
      <c r="AD91" s="6"/>
      <c r="AE91" s="6"/>
      <c r="AF91" s="6"/>
      <c r="AG91" s="6"/>
      <c r="AH91" s="6"/>
      <c r="AI91" s="6"/>
      <c r="AJ91" s="6"/>
      <c r="AK91" s="6"/>
      <c r="AL91" s="6"/>
      <c r="AM91" s="6"/>
      <c r="AN91" s="6"/>
      <c r="AO91" s="6"/>
      <c r="AP91" s="6"/>
      <c r="AQ91" s="6"/>
      <c r="AR91" s="6"/>
      <c r="AS91" s="6"/>
      <c r="AT91" s="6"/>
      <c r="AU91" s="6"/>
      <c r="AV91" s="6"/>
      <c r="AW91" s="6"/>
      <c r="AX91" s="6"/>
      <c r="AY91" s="6"/>
      <c r="AZ91" s="6"/>
      <c r="BA91" s="6"/>
      <c r="BB91" s="6"/>
      <c r="BC91" s="6"/>
      <c r="BD91" s="6"/>
      <c r="BE91" s="6"/>
      <c r="BF91" s="6"/>
      <c r="BG91" s="6"/>
      <c r="BH91" s="6"/>
      <c r="BI91" s="6"/>
      <c r="BJ91" s="6"/>
      <c r="BK91" s="6"/>
      <c r="BL91" s="6"/>
      <c r="BM91" s="6"/>
      <c r="BN91" s="6"/>
      <c r="BO91" s="6"/>
      <c r="BP91" s="6"/>
      <c r="BQ91" s="6"/>
      <c r="BR91" s="6"/>
      <c r="BS91" s="6"/>
      <c r="BT91" s="6"/>
    </row>
    <row r="92" spans="1:72" x14ac:dyDescent="0.3">
      <c r="A92" s="619">
        <f>'Development Inputs'!A121</f>
        <v>0</v>
      </c>
      <c r="B92" s="512" t="str">
        <f>'Development Inputs'!B121</f>
        <v>Pollution Legal Liability (PLL)</v>
      </c>
      <c r="D92" s="617">
        <f>IF($D$96&gt;0,0,'Development Inputs'!E121)</f>
        <v>0</v>
      </c>
      <c r="E92" s="617">
        <f t="shared" si="32"/>
        <v>0</v>
      </c>
      <c r="F92" s="617">
        <f t="shared" ca="1" si="33"/>
        <v>0</v>
      </c>
      <c r="G92" s="617">
        <f t="shared" ca="1" si="34"/>
        <v>0</v>
      </c>
      <c r="H92" s="6"/>
      <c r="I92" s="6"/>
      <c r="J92" s="6"/>
      <c r="K92" s="6"/>
      <c r="L92" s="6"/>
      <c r="M92" s="6"/>
      <c r="N92" s="6"/>
      <c r="O92" s="6"/>
      <c r="P92" s="6"/>
      <c r="Q92" s="6"/>
      <c r="R92" s="6"/>
      <c r="S92" s="6"/>
      <c r="T92" s="6"/>
      <c r="U92" s="6"/>
      <c r="V92" s="6"/>
      <c r="W92" s="6"/>
      <c r="X92" s="6"/>
      <c r="Y92" s="6"/>
      <c r="Z92" s="6"/>
      <c r="AA92" s="6"/>
      <c r="AB92" s="6"/>
      <c r="AC92" s="6"/>
      <c r="AD92" s="6"/>
      <c r="AE92" s="6"/>
      <c r="AF92" s="6"/>
      <c r="AG92" s="6"/>
      <c r="AH92" s="6"/>
      <c r="AI92" s="6"/>
      <c r="AJ92" s="6"/>
      <c r="AK92" s="6"/>
      <c r="AL92" s="6"/>
      <c r="AM92" s="6"/>
      <c r="AN92" s="6"/>
      <c r="AO92" s="6"/>
      <c r="AP92" s="6"/>
      <c r="AQ92" s="6"/>
      <c r="AR92" s="6"/>
      <c r="AS92" s="6"/>
      <c r="AT92" s="6"/>
      <c r="AU92" s="6"/>
      <c r="AV92" s="6"/>
      <c r="AW92" s="6"/>
      <c r="AX92" s="6"/>
      <c r="AY92" s="6"/>
      <c r="AZ92" s="6"/>
      <c r="BA92" s="6"/>
      <c r="BB92" s="6"/>
      <c r="BC92" s="6"/>
      <c r="BD92" s="6"/>
      <c r="BE92" s="6"/>
      <c r="BF92" s="6"/>
      <c r="BG92" s="6"/>
      <c r="BH92" s="6"/>
      <c r="BI92" s="6"/>
      <c r="BJ92" s="6"/>
      <c r="BK92" s="6"/>
      <c r="BL92" s="6"/>
      <c r="BM92" s="6"/>
      <c r="BN92" s="6"/>
      <c r="BO92" s="6"/>
      <c r="BP92" s="6"/>
      <c r="BQ92" s="6"/>
      <c r="BR92" s="6"/>
      <c r="BS92" s="6"/>
      <c r="BT92" s="6"/>
    </row>
    <row r="93" spans="1:72" x14ac:dyDescent="0.3">
      <c r="A93" s="619">
        <f>'Development Inputs'!A122</f>
        <v>0</v>
      </c>
      <c r="B93" s="512" t="str">
        <f>'Development Inputs'!B122</f>
        <v>Builder's Risk</v>
      </c>
      <c r="D93" s="617">
        <f ca="1">IF($D$96&gt;0,0,'Development Inputs'!E122)</f>
        <v>664311.56878951658</v>
      </c>
      <c r="E93" s="617">
        <f t="shared" si="32"/>
        <v>0</v>
      </c>
      <c r="F93" s="617">
        <f t="shared" ca="1" si="33"/>
        <v>0</v>
      </c>
      <c r="G93" s="617">
        <f t="shared" ca="1" si="34"/>
        <v>0</v>
      </c>
      <c r="H93" s="6"/>
      <c r="I93" s="6"/>
      <c r="J93" s="6"/>
      <c r="K93" s="6"/>
      <c r="L93" s="6"/>
      <c r="M93" s="6"/>
      <c r="N93" s="6"/>
      <c r="O93" s="6"/>
      <c r="P93" s="6"/>
      <c r="Q93" s="6"/>
      <c r="R93" s="6"/>
      <c r="S93" s="6"/>
      <c r="T93" s="6"/>
      <c r="U93" s="6"/>
      <c r="V93" s="6"/>
      <c r="W93" s="6"/>
      <c r="X93" s="6"/>
      <c r="Y93" s="6"/>
      <c r="Z93" s="6"/>
      <c r="AA93" s="6"/>
      <c r="AB93" s="6"/>
      <c r="AC93" s="6"/>
      <c r="AD93" s="6"/>
      <c r="AE93" s="6"/>
      <c r="AF93" s="6"/>
      <c r="AG93" s="6"/>
      <c r="AH93" s="6"/>
      <c r="AI93" s="6"/>
      <c r="AJ93" s="6"/>
      <c r="AK93" s="6"/>
      <c r="AL93" s="6"/>
      <c r="AM93" s="6"/>
      <c r="AN93" s="6"/>
      <c r="AO93" s="6"/>
      <c r="AP93" s="6"/>
      <c r="AQ93" s="6"/>
      <c r="AR93" s="6"/>
      <c r="AS93" s="6"/>
      <c r="AT93" s="6"/>
      <c r="AU93" s="6"/>
      <c r="AV93" s="6"/>
      <c r="AW93" s="6"/>
      <c r="AX93" s="6"/>
      <c r="AY93" s="6"/>
      <c r="AZ93" s="6"/>
      <c r="BA93" s="6"/>
      <c r="BB93" s="6"/>
      <c r="BC93" s="6"/>
      <c r="BD93" s="6"/>
      <c r="BE93" s="6"/>
      <c r="BF93" s="6"/>
      <c r="BG93" s="6"/>
      <c r="BH93" s="6"/>
      <c r="BI93" s="6"/>
      <c r="BJ93" s="6"/>
      <c r="BK93" s="6"/>
      <c r="BL93" s="6"/>
      <c r="BM93" s="6"/>
      <c r="BN93" s="6"/>
      <c r="BO93" s="6"/>
      <c r="BP93" s="6"/>
      <c r="BQ93" s="6"/>
      <c r="BR93" s="6"/>
      <c r="BS93" s="6"/>
      <c r="BT93" s="6"/>
    </row>
    <row r="94" spans="1:72" x14ac:dyDescent="0.3">
      <c r="A94" s="619">
        <f>'Development Inputs'!A123</f>
        <v>0</v>
      </c>
      <c r="B94" s="512">
        <f>'Development Inputs'!B123</f>
        <v>0</v>
      </c>
      <c r="D94" s="617">
        <f>IF($D$96&gt;0,0,'Development Inputs'!E123)</f>
        <v>0</v>
      </c>
      <c r="E94" s="617">
        <f t="shared" si="32"/>
        <v>0</v>
      </c>
      <c r="F94" s="617">
        <f t="shared" ca="1" si="33"/>
        <v>0</v>
      </c>
      <c r="G94" s="617">
        <f t="shared" ca="1" si="34"/>
        <v>0</v>
      </c>
      <c r="H94" s="6"/>
      <c r="I94" s="6"/>
      <c r="J94" s="6"/>
      <c r="K94" s="6"/>
      <c r="L94" s="6"/>
      <c r="M94" s="6"/>
      <c r="N94" s="6"/>
      <c r="O94" s="6"/>
      <c r="P94" s="6"/>
      <c r="Q94" s="6"/>
      <c r="R94" s="6"/>
      <c r="S94" s="6"/>
      <c r="T94" s="6"/>
      <c r="U94" s="6"/>
      <c r="V94" s="6"/>
      <c r="W94" s="6"/>
      <c r="X94" s="6"/>
      <c r="Y94" s="6"/>
      <c r="Z94" s="6"/>
      <c r="AA94" s="6"/>
      <c r="AB94" s="6"/>
      <c r="AC94" s="6"/>
      <c r="AD94" s="6"/>
      <c r="AE94" s="6"/>
      <c r="AF94" s="6"/>
      <c r="AG94" s="6"/>
      <c r="AH94" s="6"/>
      <c r="AI94" s="6"/>
      <c r="AJ94" s="6"/>
      <c r="AK94" s="6"/>
      <c r="AL94" s="6"/>
      <c r="AM94" s="6"/>
      <c r="AN94" s="6"/>
      <c r="AO94" s="6"/>
      <c r="AP94" s="6"/>
      <c r="AQ94" s="6"/>
      <c r="AR94" s="6"/>
      <c r="AS94" s="6"/>
      <c r="AT94" s="6"/>
      <c r="AU94" s="6"/>
      <c r="AV94" s="6"/>
      <c r="AW94" s="6"/>
      <c r="AX94" s="6"/>
      <c r="AY94" s="6"/>
      <c r="AZ94" s="6"/>
      <c r="BA94" s="6"/>
      <c r="BB94" s="6"/>
      <c r="BC94" s="6"/>
      <c r="BD94" s="6"/>
      <c r="BE94" s="6"/>
      <c r="BF94" s="6"/>
      <c r="BG94" s="6"/>
      <c r="BH94" s="6"/>
      <c r="BI94" s="6"/>
      <c r="BJ94" s="6"/>
      <c r="BK94" s="6"/>
      <c r="BL94" s="6"/>
      <c r="BM94" s="6"/>
      <c r="BN94" s="6"/>
      <c r="BO94" s="6"/>
      <c r="BP94" s="6"/>
      <c r="BQ94" s="6"/>
      <c r="BR94" s="6"/>
      <c r="BS94" s="6"/>
      <c r="BT94" s="6"/>
    </row>
    <row r="95" spans="1:72" x14ac:dyDescent="0.3">
      <c r="A95" s="619">
        <f>'Development Inputs'!A124</f>
        <v>0</v>
      </c>
      <c r="B95" s="512">
        <f>'Development Inputs'!B124</f>
        <v>0</v>
      </c>
      <c r="D95" s="617">
        <f>IF($D$96&gt;0,0,'Development Inputs'!E124)</f>
        <v>0</v>
      </c>
      <c r="E95" s="617">
        <f t="shared" si="32"/>
        <v>0</v>
      </c>
      <c r="F95" s="617">
        <f t="shared" ca="1" si="33"/>
        <v>0</v>
      </c>
      <c r="G95" s="617">
        <f t="shared" ca="1" si="34"/>
        <v>0</v>
      </c>
      <c r="H95" s="6"/>
      <c r="I95" s="6"/>
      <c r="J95" s="6"/>
      <c r="K95" s="6"/>
      <c r="L95" s="6"/>
      <c r="M95" s="6"/>
      <c r="N95" s="6"/>
      <c r="O95" s="6"/>
      <c r="P95" s="6"/>
      <c r="Q95" s="6"/>
      <c r="R95" s="6"/>
      <c r="S95" s="6"/>
      <c r="T95" s="6"/>
      <c r="U95" s="6"/>
      <c r="V95" s="6"/>
      <c r="W95" s="6"/>
      <c r="X95" s="6"/>
      <c r="Y95" s="6"/>
      <c r="Z95" s="6"/>
      <c r="AA95" s="6"/>
      <c r="AB95" s="6"/>
      <c r="AC95" s="6"/>
      <c r="AD95" s="6"/>
      <c r="AE95" s="6"/>
      <c r="AF95" s="6"/>
      <c r="AG95" s="6"/>
      <c r="AH95" s="6"/>
      <c r="AI95" s="6"/>
      <c r="AJ95" s="6"/>
      <c r="AK95" s="6"/>
      <c r="AL95" s="6"/>
      <c r="AM95" s="6"/>
      <c r="AN95" s="6"/>
      <c r="AO95" s="6"/>
      <c r="AP95" s="6"/>
      <c r="AQ95" s="6"/>
      <c r="AR95" s="6"/>
      <c r="AS95" s="6"/>
      <c r="AT95" s="6"/>
      <c r="AU95" s="6"/>
      <c r="AV95" s="6"/>
      <c r="AW95" s="6"/>
      <c r="AX95" s="6"/>
      <c r="AY95" s="6"/>
      <c r="AZ95" s="6"/>
      <c r="BA95" s="6"/>
      <c r="BB95" s="6"/>
      <c r="BC95" s="6"/>
      <c r="BD95" s="6"/>
      <c r="BE95" s="6"/>
      <c r="BF95" s="6"/>
      <c r="BG95" s="6"/>
      <c r="BH95" s="6"/>
      <c r="BI95" s="6"/>
      <c r="BJ95" s="6"/>
      <c r="BK95" s="6"/>
      <c r="BL95" s="6"/>
      <c r="BM95" s="6"/>
      <c r="BN95" s="6"/>
      <c r="BO95" s="6"/>
      <c r="BP95" s="6"/>
      <c r="BQ95" s="6"/>
      <c r="BR95" s="6"/>
      <c r="BS95" s="6"/>
      <c r="BT95" s="6"/>
    </row>
    <row r="96" spans="1:72" x14ac:dyDescent="0.3">
      <c r="A96" s="619">
        <f>'Development Inputs'!A125</f>
        <v>0</v>
      </c>
      <c r="B96" s="512" t="str">
        <f>'Development Inputs'!B125</f>
        <v>Input as Total</v>
      </c>
      <c r="D96" s="617">
        <f>'Development Inputs'!E125</f>
        <v>0</v>
      </c>
      <c r="E96" s="617">
        <f t="shared" si="32"/>
        <v>0</v>
      </c>
      <c r="F96" s="617">
        <f t="shared" ca="1" si="33"/>
        <v>0</v>
      </c>
      <c r="G96" s="617">
        <f t="shared" ca="1" si="34"/>
        <v>0</v>
      </c>
      <c r="H96" s="6"/>
      <c r="I96" s="6"/>
      <c r="J96" s="6"/>
      <c r="K96" s="6"/>
      <c r="L96" s="6"/>
      <c r="M96" s="6"/>
      <c r="N96" s="6"/>
      <c r="O96" s="6"/>
      <c r="P96" s="6"/>
      <c r="Q96" s="6"/>
      <c r="R96" s="6"/>
      <c r="S96" s="6"/>
      <c r="T96" s="6"/>
      <c r="U96" s="6"/>
      <c r="V96" s="6"/>
      <c r="W96" s="6"/>
      <c r="X96" s="6"/>
      <c r="Y96" s="6"/>
      <c r="Z96" s="6"/>
      <c r="AA96" s="6"/>
      <c r="AB96" s="6"/>
      <c r="AC96" s="6"/>
      <c r="AD96" s="6"/>
      <c r="AE96" s="6"/>
      <c r="AF96" s="6"/>
      <c r="AG96" s="6"/>
      <c r="AH96" s="6"/>
      <c r="AI96" s="6"/>
      <c r="AJ96" s="6"/>
      <c r="AK96" s="6"/>
      <c r="AL96" s="6"/>
      <c r="AM96" s="6"/>
      <c r="AN96" s="6"/>
      <c r="AO96" s="6"/>
      <c r="AP96" s="6"/>
      <c r="AQ96" s="6"/>
      <c r="AR96" s="6"/>
      <c r="AS96" s="6"/>
      <c r="AT96" s="6"/>
      <c r="AU96" s="6"/>
      <c r="AV96" s="6"/>
      <c r="AW96" s="6"/>
      <c r="AX96" s="6"/>
      <c r="AY96" s="6"/>
      <c r="AZ96" s="6"/>
      <c r="BA96" s="6"/>
      <c r="BB96" s="6"/>
      <c r="BC96" s="6"/>
      <c r="BD96" s="6"/>
      <c r="BE96" s="6"/>
      <c r="BF96" s="6"/>
      <c r="BG96" s="6"/>
      <c r="BH96" s="6"/>
      <c r="BI96" s="6"/>
      <c r="BJ96" s="6"/>
      <c r="BK96" s="6"/>
      <c r="BL96" s="6"/>
      <c r="BM96" s="6"/>
      <c r="BN96" s="6"/>
      <c r="BO96" s="6"/>
      <c r="BP96" s="6"/>
      <c r="BQ96" s="6"/>
      <c r="BR96" s="6"/>
      <c r="BS96" s="6"/>
      <c r="BT96" s="6"/>
    </row>
    <row r="97" spans="1:72" s="203" customFormat="1" x14ac:dyDescent="0.3">
      <c r="A97" s="611"/>
      <c r="B97" s="612"/>
      <c r="C97" s="613"/>
      <c r="D97" s="614"/>
      <c r="E97" s="614"/>
      <c r="F97" s="614"/>
      <c r="G97" s="614"/>
      <c r="H97" s="615"/>
      <c r="I97" s="615"/>
      <c r="J97" s="615"/>
      <c r="K97" s="615"/>
      <c r="L97" s="615"/>
      <c r="M97" s="615"/>
      <c r="N97" s="615"/>
      <c r="O97" s="615"/>
      <c r="P97" s="615"/>
      <c r="Q97" s="615"/>
      <c r="R97" s="615"/>
      <c r="S97" s="615"/>
      <c r="T97" s="615"/>
      <c r="U97" s="615"/>
      <c r="V97" s="615"/>
      <c r="W97" s="615"/>
      <c r="X97" s="615"/>
      <c r="Y97" s="615"/>
      <c r="Z97" s="615"/>
      <c r="AA97" s="615"/>
      <c r="AB97" s="615"/>
      <c r="AC97" s="615"/>
      <c r="AD97" s="615"/>
      <c r="AE97" s="615"/>
      <c r="AF97" s="615"/>
      <c r="AG97" s="615"/>
      <c r="AH97" s="615"/>
      <c r="AI97" s="615"/>
      <c r="AJ97" s="615"/>
      <c r="AK97" s="615"/>
      <c r="AL97" s="615"/>
      <c r="AM97" s="615"/>
      <c r="AN97" s="615"/>
      <c r="AO97" s="615"/>
      <c r="AP97" s="615"/>
      <c r="AQ97" s="615"/>
      <c r="AR97" s="615"/>
      <c r="AS97" s="615"/>
      <c r="AT97" s="615"/>
      <c r="AU97" s="615"/>
      <c r="AV97" s="615"/>
      <c r="AW97" s="615"/>
      <c r="AX97" s="615"/>
      <c r="AY97" s="615"/>
      <c r="AZ97" s="615"/>
      <c r="BA97" s="615"/>
      <c r="BB97" s="615"/>
      <c r="BC97" s="615"/>
      <c r="BD97" s="615"/>
      <c r="BE97" s="615"/>
      <c r="BF97" s="615"/>
      <c r="BG97" s="615"/>
      <c r="BH97" s="615"/>
      <c r="BI97" s="615"/>
      <c r="BJ97" s="615"/>
      <c r="BK97" s="615"/>
      <c r="BL97" s="615"/>
      <c r="BM97" s="615"/>
      <c r="BN97" s="615"/>
      <c r="BO97" s="615"/>
      <c r="BP97" s="615"/>
      <c r="BQ97" s="615"/>
      <c r="BR97" s="615"/>
      <c r="BS97" s="615"/>
      <c r="BT97" s="615"/>
    </row>
    <row r="98" spans="1:72" s="182" customFormat="1" x14ac:dyDescent="0.3">
      <c r="A98" s="208" t="s">
        <v>2333</v>
      </c>
      <c r="B98" s="512"/>
      <c r="D98" s="620">
        <f ca="1">TotalLand</f>
        <v>9092959.6243421789</v>
      </c>
      <c r="E98" s="617">
        <f t="shared" ref="E98:E112" si="36">SUMIF($H$7:$BT$7,"&lt;"&amp;StartDate,$H98:$BT98)</f>
        <v>0</v>
      </c>
      <c r="F98" s="617">
        <f t="shared" ref="F98:F112" ca="1" si="37">SUMIF($H$7:$BT$7,"&lt;="&amp;$F$7,$H98:$BT98)</f>
        <v>0</v>
      </c>
      <c r="G98" s="617">
        <f t="shared" ref="G98:G156" ca="1" si="38">E98-F98</f>
        <v>0</v>
      </c>
      <c r="H98" s="617">
        <f>SUBTOTAL(9,H99:H112)</f>
        <v>0</v>
      </c>
      <c r="I98" s="617">
        <f t="shared" ref="I98:AM98" si="39">SUBTOTAL(9,I99:I112)</f>
        <v>0</v>
      </c>
      <c r="J98" s="617">
        <f t="shared" si="39"/>
        <v>0</v>
      </c>
      <c r="K98" s="617">
        <f t="shared" si="39"/>
        <v>0</v>
      </c>
      <c r="L98" s="617">
        <f t="shared" si="39"/>
        <v>0</v>
      </c>
      <c r="M98" s="617">
        <f t="shared" si="39"/>
        <v>0</v>
      </c>
      <c r="N98" s="617">
        <f t="shared" si="39"/>
        <v>0</v>
      </c>
      <c r="O98" s="617">
        <f t="shared" si="39"/>
        <v>0</v>
      </c>
      <c r="P98" s="617">
        <f t="shared" si="39"/>
        <v>0</v>
      </c>
      <c r="Q98" s="617">
        <f t="shared" si="39"/>
        <v>0</v>
      </c>
      <c r="R98" s="617">
        <f t="shared" si="39"/>
        <v>0</v>
      </c>
      <c r="S98" s="617">
        <f t="shared" si="39"/>
        <v>0</v>
      </c>
      <c r="T98" s="617">
        <f t="shared" si="39"/>
        <v>0</v>
      </c>
      <c r="U98" s="617">
        <f t="shared" si="39"/>
        <v>0</v>
      </c>
      <c r="V98" s="617">
        <f t="shared" si="39"/>
        <v>0</v>
      </c>
      <c r="W98" s="617">
        <f t="shared" si="39"/>
        <v>0</v>
      </c>
      <c r="X98" s="617">
        <f t="shared" si="39"/>
        <v>0</v>
      </c>
      <c r="Y98" s="617">
        <f t="shared" si="39"/>
        <v>0</v>
      </c>
      <c r="Z98" s="617">
        <f t="shared" si="39"/>
        <v>0</v>
      </c>
      <c r="AA98" s="617">
        <f t="shared" si="39"/>
        <v>0</v>
      </c>
      <c r="AB98" s="617">
        <f t="shared" si="39"/>
        <v>0</v>
      </c>
      <c r="AC98" s="617">
        <f t="shared" si="39"/>
        <v>0</v>
      </c>
      <c r="AD98" s="617">
        <f t="shared" si="39"/>
        <v>0</v>
      </c>
      <c r="AE98" s="617">
        <f t="shared" si="39"/>
        <v>0</v>
      </c>
      <c r="AF98" s="617">
        <f t="shared" si="39"/>
        <v>0</v>
      </c>
      <c r="AG98" s="617">
        <f t="shared" si="39"/>
        <v>0</v>
      </c>
      <c r="AH98" s="617">
        <f t="shared" si="39"/>
        <v>0</v>
      </c>
      <c r="AI98" s="617">
        <f t="shared" si="39"/>
        <v>0</v>
      </c>
      <c r="AJ98" s="617">
        <f t="shared" si="39"/>
        <v>0</v>
      </c>
      <c r="AK98" s="617">
        <f t="shared" si="39"/>
        <v>0</v>
      </c>
      <c r="AL98" s="617">
        <f t="shared" si="39"/>
        <v>0</v>
      </c>
      <c r="AM98" s="617">
        <f t="shared" si="39"/>
        <v>0</v>
      </c>
      <c r="AN98" s="617">
        <f t="shared" ref="AN98:BS98" si="40">SUBTOTAL(9,AN99:AN112)</f>
        <v>0</v>
      </c>
      <c r="AO98" s="617">
        <f t="shared" si="40"/>
        <v>0</v>
      </c>
      <c r="AP98" s="617">
        <f t="shared" si="40"/>
        <v>0</v>
      </c>
      <c r="AQ98" s="617">
        <f t="shared" si="40"/>
        <v>0</v>
      </c>
      <c r="AR98" s="617">
        <f t="shared" si="40"/>
        <v>0</v>
      </c>
      <c r="AS98" s="617">
        <f t="shared" si="40"/>
        <v>0</v>
      </c>
      <c r="AT98" s="617">
        <f t="shared" si="40"/>
        <v>0</v>
      </c>
      <c r="AU98" s="617">
        <f t="shared" si="40"/>
        <v>0</v>
      </c>
      <c r="AV98" s="617">
        <f t="shared" si="40"/>
        <v>0</v>
      </c>
      <c r="AW98" s="617">
        <f t="shared" si="40"/>
        <v>0</v>
      </c>
      <c r="AX98" s="617">
        <f t="shared" si="40"/>
        <v>0</v>
      </c>
      <c r="AY98" s="617">
        <f t="shared" si="40"/>
        <v>0</v>
      </c>
      <c r="AZ98" s="617">
        <f t="shared" si="40"/>
        <v>0</v>
      </c>
      <c r="BA98" s="617">
        <f t="shared" si="40"/>
        <v>0</v>
      </c>
      <c r="BB98" s="617">
        <f t="shared" si="40"/>
        <v>0</v>
      </c>
      <c r="BC98" s="617">
        <f t="shared" si="40"/>
        <v>0</v>
      </c>
      <c r="BD98" s="617">
        <f t="shared" si="40"/>
        <v>0</v>
      </c>
      <c r="BE98" s="617">
        <f t="shared" si="40"/>
        <v>0</v>
      </c>
      <c r="BF98" s="617">
        <f t="shared" si="40"/>
        <v>0</v>
      </c>
      <c r="BG98" s="617">
        <f t="shared" si="40"/>
        <v>0</v>
      </c>
      <c r="BH98" s="617">
        <f t="shared" si="40"/>
        <v>0</v>
      </c>
      <c r="BI98" s="617">
        <f t="shared" si="40"/>
        <v>0</v>
      </c>
      <c r="BJ98" s="617">
        <f t="shared" si="40"/>
        <v>0</v>
      </c>
      <c r="BK98" s="617">
        <f t="shared" si="40"/>
        <v>0</v>
      </c>
      <c r="BL98" s="617">
        <f t="shared" si="40"/>
        <v>0</v>
      </c>
      <c r="BM98" s="617">
        <f t="shared" si="40"/>
        <v>0</v>
      </c>
      <c r="BN98" s="617">
        <f t="shared" si="40"/>
        <v>0</v>
      </c>
      <c r="BO98" s="617">
        <f t="shared" si="40"/>
        <v>0</v>
      </c>
      <c r="BP98" s="617">
        <f t="shared" si="40"/>
        <v>0</v>
      </c>
      <c r="BQ98" s="617">
        <f t="shared" si="40"/>
        <v>0</v>
      </c>
      <c r="BR98" s="617">
        <f t="shared" si="40"/>
        <v>0</v>
      </c>
      <c r="BS98" s="617">
        <f t="shared" si="40"/>
        <v>0</v>
      </c>
      <c r="BT98" s="617">
        <f>SUBTOTAL(9,BT99:BT112)</f>
        <v>0</v>
      </c>
    </row>
    <row r="99" spans="1:72" x14ac:dyDescent="0.3">
      <c r="A99" s="619">
        <f>'Development Inputs'!A77</f>
        <v>0</v>
      </c>
      <c r="B99" s="512" t="str">
        <f>'Development Inputs'!B77</f>
        <v>Ad Valorem Taxes (if land closes prior to JV)</v>
      </c>
      <c r="D99" s="617">
        <f>IF($D$112&gt;0,0,'Development Inputs'!E77)</f>
        <v>0</v>
      </c>
      <c r="E99" s="617">
        <f t="shared" si="36"/>
        <v>0</v>
      </c>
      <c r="F99" s="617">
        <f t="shared" ca="1" si="37"/>
        <v>0</v>
      </c>
      <c r="G99" s="617">
        <f t="shared" ca="1" si="38"/>
        <v>0</v>
      </c>
      <c r="H99" s="6"/>
      <c r="I99" s="6"/>
      <c r="J99" s="6"/>
      <c r="K99" s="6"/>
      <c r="L99" s="6"/>
      <c r="M99" s="6"/>
      <c r="N99" s="6"/>
      <c r="O99" s="6"/>
      <c r="P99" s="6"/>
      <c r="Q99" s="6"/>
      <c r="R99" s="6"/>
      <c r="S99" s="6"/>
      <c r="T99" s="6"/>
      <c r="U99" s="6"/>
      <c r="V99" s="6"/>
      <c r="W99" s="6"/>
      <c r="X99" s="6"/>
      <c r="Y99" s="6"/>
      <c r="Z99" s="6"/>
      <c r="AA99" s="6"/>
      <c r="AB99" s="6"/>
      <c r="AC99" s="6"/>
      <c r="AD99" s="6"/>
      <c r="AE99" s="6"/>
      <c r="AF99" s="6"/>
      <c r="AG99" s="6"/>
      <c r="AH99" s="6"/>
      <c r="AI99" s="6"/>
      <c r="AJ99" s="6"/>
      <c r="AK99" s="6"/>
      <c r="AL99" s="6"/>
      <c r="AM99" s="6"/>
      <c r="AN99" s="6"/>
      <c r="AO99" s="6"/>
      <c r="AP99" s="6"/>
      <c r="AQ99" s="6"/>
      <c r="AR99" s="6"/>
      <c r="AS99" s="6"/>
      <c r="AT99" s="6"/>
      <c r="AU99" s="6"/>
      <c r="AV99" s="6"/>
      <c r="AW99" s="6"/>
      <c r="AX99" s="6"/>
      <c r="AY99" s="6"/>
      <c r="AZ99" s="6"/>
      <c r="BA99" s="6"/>
      <c r="BB99" s="6"/>
      <c r="BC99" s="6"/>
      <c r="BD99" s="6"/>
      <c r="BE99" s="6"/>
      <c r="BF99" s="6"/>
      <c r="BG99" s="6"/>
      <c r="BH99" s="6"/>
      <c r="BI99" s="6"/>
      <c r="BJ99" s="6"/>
      <c r="BK99" s="6"/>
      <c r="BL99" s="6"/>
      <c r="BM99" s="6"/>
      <c r="BN99" s="6"/>
      <c r="BO99" s="6"/>
      <c r="BP99" s="6"/>
      <c r="BQ99" s="6"/>
      <c r="BR99" s="6"/>
      <c r="BS99" s="6"/>
      <c r="BT99" s="6"/>
    </row>
    <row r="100" spans="1:72" x14ac:dyDescent="0.3">
      <c r="A100" s="619">
        <f>'Development Inputs'!A78</f>
        <v>0</v>
      </c>
      <c r="B100" s="512" t="str">
        <f>'Development Inputs'!B78</f>
        <v>Appraisal</v>
      </c>
      <c r="D100" s="617">
        <f>IF($D$112&gt;0,0,'Development Inputs'!E78)</f>
        <v>15000</v>
      </c>
      <c r="E100" s="617">
        <f t="shared" si="36"/>
        <v>0</v>
      </c>
      <c r="F100" s="617">
        <f t="shared" ca="1" si="37"/>
        <v>0</v>
      </c>
      <c r="G100" s="617">
        <f t="shared" ca="1" si="38"/>
        <v>0</v>
      </c>
      <c r="H100" s="6"/>
      <c r="I100" s="6"/>
      <c r="J100" s="6"/>
      <c r="K100" s="6"/>
      <c r="L100" s="6"/>
      <c r="M100" s="6"/>
      <c r="N100" s="6"/>
      <c r="O100" s="6"/>
      <c r="P100" s="6"/>
      <c r="Q100" s="6"/>
      <c r="R100" s="6"/>
      <c r="S100" s="6"/>
      <c r="T100" s="6"/>
      <c r="U100" s="6"/>
      <c r="V100" s="6"/>
      <c r="W100" s="6"/>
      <c r="X100" s="6"/>
      <c r="Y100" s="6"/>
      <c r="Z100" s="6"/>
      <c r="AA100" s="6"/>
      <c r="AB100" s="6"/>
      <c r="AC100" s="6"/>
      <c r="AD100" s="6"/>
      <c r="AE100" s="6"/>
      <c r="AF100" s="6"/>
      <c r="AG100" s="6"/>
      <c r="AH100" s="6"/>
      <c r="AI100" s="6"/>
      <c r="AJ100" s="6"/>
      <c r="AK100" s="6"/>
      <c r="AL100" s="6"/>
      <c r="AM100" s="6"/>
      <c r="AN100" s="6"/>
      <c r="AO100" s="6"/>
      <c r="AP100" s="6"/>
      <c r="AQ100" s="6"/>
      <c r="AR100" s="6"/>
      <c r="AS100" s="6"/>
      <c r="AT100" s="6"/>
      <c r="AU100" s="6"/>
      <c r="AV100" s="6"/>
      <c r="AW100" s="6"/>
      <c r="AX100" s="6"/>
      <c r="AY100" s="6"/>
      <c r="AZ100" s="6"/>
      <c r="BA100" s="6"/>
      <c r="BB100" s="6"/>
      <c r="BC100" s="6"/>
      <c r="BD100" s="6"/>
      <c r="BE100" s="6"/>
      <c r="BF100" s="6"/>
      <c r="BG100" s="6"/>
      <c r="BH100" s="6"/>
      <c r="BI100" s="6"/>
      <c r="BJ100" s="6"/>
      <c r="BK100" s="6"/>
      <c r="BL100" s="6"/>
      <c r="BM100" s="6"/>
      <c r="BN100" s="6"/>
      <c r="BO100" s="6"/>
      <c r="BP100" s="6"/>
      <c r="BQ100" s="6"/>
      <c r="BR100" s="6"/>
      <c r="BS100" s="6"/>
      <c r="BT100" s="6"/>
    </row>
    <row r="101" spans="1:72" x14ac:dyDescent="0.3">
      <c r="A101" s="619">
        <f>'Development Inputs'!A79</f>
        <v>0</v>
      </c>
      <c r="B101" s="512" t="str">
        <f>'Development Inputs'!B79</f>
        <v>Brokerage Fee</v>
      </c>
      <c r="D101" s="617">
        <f>IF($D$112&gt;0,0,'Development Inputs'!E79)</f>
        <v>0</v>
      </c>
      <c r="E101" s="617">
        <f t="shared" si="36"/>
        <v>0</v>
      </c>
      <c r="F101" s="617">
        <f t="shared" ca="1" si="37"/>
        <v>0</v>
      </c>
      <c r="G101" s="617">
        <f t="shared" ca="1" si="38"/>
        <v>0</v>
      </c>
      <c r="H101" s="6"/>
      <c r="I101" s="6"/>
      <c r="J101" s="6"/>
      <c r="K101" s="6"/>
      <c r="L101" s="6"/>
      <c r="M101" s="6"/>
      <c r="N101" s="6"/>
      <c r="O101" s="6"/>
      <c r="P101" s="6"/>
      <c r="Q101" s="6"/>
      <c r="R101" s="6"/>
      <c r="S101" s="6"/>
      <c r="T101" s="6"/>
      <c r="U101" s="6"/>
      <c r="V101" s="6"/>
      <c r="W101" s="6"/>
      <c r="X101" s="6"/>
      <c r="Y101" s="6"/>
      <c r="Z101" s="6"/>
      <c r="AA101" s="6"/>
      <c r="AB101" s="6"/>
      <c r="AC101" s="6"/>
      <c r="AD101" s="6"/>
      <c r="AE101" s="6"/>
      <c r="AF101" s="6"/>
      <c r="AG101" s="6"/>
      <c r="AH101" s="6"/>
      <c r="AI101" s="6"/>
      <c r="AJ101" s="6"/>
      <c r="AK101" s="6"/>
      <c r="AL101" s="6"/>
      <c r="AM101" s="6"/>
      <c r="AN101" s="6"/>
      <c r="AO101" s="6"/>
      <c r="AP101" s="6"/>
      <c r="AQ101" s="6"/>
      <c r="AR101" s="6"/>
      <c r="AS101" s="6"/>
      <c r="AT101" s="6"/>
      <c r="AU101" s="6"/>
      <c r="AV101" s="6"/>
      <c r="AW101" s="6"/>
      <c r="AX101" s="6"/>
      <c r="AY101" s="6"/>
      <c r="AZ101" s="6"/>
      <c r="BA101" s="6"/>
      <c r="BB101" s="6"/>
      <c r="BC101" s="6"/>
      <c r="BD101" s="6"/>
      <c r="BE101" s="6"/>
      <c r="BF101" s="6"/>
      <c r="BG101" s="6"/>
      <c r="BH101" s="6"/>
      <c r="BI101" s="6"/>
      <c r="BJ101" s="6"/>
      <c r="BK101" s="6"/>
      <c r="BL101" s="6"/>
      <c r="BM101" s="6"/>
      <c r="BN101" s="6"/>
      <c r="BO101" s="6"/>
      <c r="BP101" s="6"/>
      <c r="BQ101" s="6"/>
      <c r="BR101" s="6"/>
      <c r="BS101" s="6"/>
      <c r="BT101" s="6"/>
    </row>
    <row r="102" spans="1:72" x14ac:dyDescent="0.3">
      <c r="A102" s="619">
        <f>'Development Inputs'!A84</f>
        <v>0</v>
      </c>
      <c r="B102" s="512" t="str">
        <f>'Development Inputs'!B84</f>
        <v>FMB Carry Cost</v>
      </c>
      <c r="D102" s="617">
        <f>IF($D$112&gt;0,0,'Development Inputs'!E84)</f>
        <v>0</v>
      </c>
      <c r="E102" s="617">
        <f t="shared" si="36"/>
        <v>0</v>
      </c>
      <c r="F102" s="617">
        <f t="shared" ca="1" si="37"/>
        <v>0</v>
      </c>
      <c r="G102" s="617">
        <f t="shared" ca="1" si="38"/>
        <v>0</v>
      </c>
      <c r="H102" s="6"/>
      <c r="I102" s="6"/>
      <c r="J102" s="6"/>
      <c r="K102" s="6"/>
      <c r="L102" s="6"/>
      <c r="M102" s="6"/>
      <c r="N102" s="6"/>
      <c r="O102" s="6"/>
      <c r="P102" s="6"/>
      <c r="Q102" s="6"/>
      <c r="R102" s="6"/>
      <c r="S102" s="6"/>
      <c r="T102" s="6"/>
      <c r="U102" s="6"/>
      <c r="V102" s="6"/>
      <c r="W102" s="6"/>
      <c r="X102" s="6"/>
      <c r="Y102" s="6"/>
      <c r="Z102" s="6"/>
      <c r="AA102" s="6"/>
      <c r="AB102" s="6"/>
      <c r="AC102" s="6"/>
      <c r="AD102" s="6"/>
      <c r="AE102" s="6"/>
      <c r="AF102" s="6"/>
      <c r="AG102" s="6"/>
      <c r="AH102" s="6"/>
      <c r="AI102" s="6"/>
      <c r="AJ102" s="6"/>
      <c r="AK102" s="6"/>
      <c r="AL102" s="6"/>
      <c r="AM102" s="6"/>
      <c r="AN102" s="6"/>
      <c r="AO102" s="6"/>
      <c r="AP102" s="6"/>
      <c r="AQ102" s="6"/>
      <c r="AR102" s="6"/>
      <c r="AS102" s="6"/>
      <c r="AT102" s="6"/>
      <c r="AU102" s="6"/>
      <c r="AV102" s="6"/>
      <c r="AW102" s="6"/>
      <c r="AX102" s="6"/>
      <c r="AY102" s="6"/>
      <c r="AZ102" s="6"/>
      <c r="BA102" s="6"/>
      <c r="BB102" s="6"/>
      <c r="BC102" s="6"/>
      <c r="BD102" s="6"/>
      <c r="BE102" s="6"/>
      <c r="BF102" s="6"/>
      <c r="BG102" s="6"/>
      <c r="BH102" s="6"/>
      <c r="BI102" s="6"/>
      <c r="BJ102" s="6"/>
      <c r="BK102" s="6"/>
      <c r="BL102" s="6"/>
      <c r="BM102" s="6"/>
      <c r="BN102" s="6"/>
      <c r="BO102" s="6"/>
      <c r="BP102" s="6"/>
      <c r="BQ102" s="6"/>
      <c r="BR102" s="6"/>
      <c r="BS102" s="6"/>
      <c r="BT102" s="6"/>
    </row>
    <row r="103" spans="1:72" x14ac:dyDescent="0.3">
      <c r="A103" s="619">
        <f>'Development Inputs'!A85</f>
        <v>0</v>
      </c>
      <c r="B103" s="512" t="str">
        <f>'Development Inputs'!B85</f>
        <v>Carry Costs - Earnest Money Deposits</v>
      </c>
      <c r="D103" s="617">
        <f>IF($D$112&gt;0,0,'Development Inputs'!E85)</f>
        <v>0</v>
      </c>
      <c r="E103" s="617">
        <f t="shared" si="36"/>
        <v>0</v>
      </c>
      <c r="F103" s="617">
        <f t="shared" ca="1" si="37"/>
        <v>0</v>
      </c>
      <c r="G103" s="617">
        <f t="shared" ca="1" si="38"/>
        <v>0</v>
      </c>
      <c r="H103" s="6"/>
      <c r="I103" s="6"/>
      <c r="J103" s="6"/>
      <c r="K103" s="6"/>
      <c r="L103" s="6"/>
      <c r="M103" s="6"/>
      <c r="N103" s="6"/>
      <c r="O103" s="6"/>
      <c r="P103" s="6"/>
      <c r="Q103" s="6"/>
      <c r="R103" s="6"/>
      <c r="S103" s="6"/>
      <c r="T103" s="6"/>
      <c r="U103" s="6"/>
      <c r="V103" s="6"/>
      <c r="W103" s="6"/>
      <c r="X103" s="6"/>
      <c r="Y103" s="6"/>
      <c r="Z103" s="6"/>
      <c r="AA103" s="6"/>
      <c r="AB103" s="6"/>
      <c r="AC103" s="6"/>
      <c r="AD103" s="6"/>
      <c r="AE103" s="6"/>
      <c r="AF103" s="6"/>
      <c r="AG103" s="6"/>
      <c r="AH103" s="6"/>
      <c r="AI103" s="6"/>
      <c r="AJ103" s="6"/>
      <c r="AK103" s="6"/>
      <c r="AL103" s="6"/>
      <c r="AM103" s="6"/>
      <c r="AN103" s="6"/>
      <c r="AO103" s="6"/>
      <c r="AP103" s="6"/>
      <c r="AQ103" s="6"/>
      <c r="AR103" s="6"/>
      <c r="AS103" s="6"/>
      <c r="AT103" s="6"/>
      <c r="AU103" s="6"/>
      <c r="AV103" s="6"/>
      <c r="AW103" s="6"/>
      <c r="AX103" s="6"/>
      <c r="AY103" s="6"/>
      <c r="AZ103" s="6"/>
      <c r="BA103" s="6"/>
      <c r="BB103" s="6"/>
      <c r="BC103" s="6"/>
      <c r="BD103" s="6"/>
      <c r="BE103" s="6"/>
      <c r="BF103" s="6"/>
      <c r="BG103" s="6"/>
      <c r="BH103" s="6"/>
      <c r="BI103" s="6"/>
      <c r="BJ103" s="6"/>
      <c r="BK103" s="6"/>
      <c r="BL103" s="6"/>
      <c r="BM103" s="6"/>
      <c r="BN103" s="6"/>
      <c r="BO103" s="6"/>
      <c r="BP103" s="6"/>
      <c r="BQ103" s="6"/>
      <c r="BR103" s="6"/>
      <c r="BS103" s="6"/>
      <c r="BT103" s="6"/>
    </row>
    <row r="104" spans="1:72" x14ac:dyDescent="0.3">
      <c r="A104" s="619">
        <f>'Development Inputs'!A86</f>
        <v>0</v>
      </c>
      <c r="B104" s="512" t="str">
        <f>'Development Inputs'!B86</f>
        <v>Closing Costs</v>
      </c>
      <c r="D104" s="617">
        <f>IF($D$112&gt;0,0,'Development Inputs'!E86)</f>
        <v>50000</v>
      </c>
      <c r="E104" s="617">
        <f t="shared" si="36"/>
        <v>0</v>
      </c>
      <c r="F104" s="617">
        <f t="shared" ca="1" si="37"/>
        <v>0</v>
      </c>
      <c r="G104" s="617">
        <f t="shared" ca="1" si="38"/>
        <v>0</v>
      </c>
      <c r="H104" s="6"/>
      <c r="I104" s="6"/>
      <c r="J104" s="6"/>
      <c r="K104" s="6"/>
      <c r="L104" s="6"/>
      <c r="M104" s="6"/>
      <c r="N104" s="6"/>
      <c r="O104" s="6"/>
      <c r="P104" s="6"/>
      <c r="Q104" s="6"/>
      <c r="R104" s="6"/>
      <c r="S104" s="6"/>
      <c r="T104" s="6"/>
      <c r="U104" s="6"/>
      <c r="V104" s="6"/>
      <c r="W104" s="6"/>
      <c r="X104" s="6"/>
      <c r="Y104" s="6"/>
      <c r="Z104" s="6"/>
      <c r="AA104" s="6"/>
      <c r="AB104" s="6"/>
      <c r="AC104" s="6"/>
      <c r="AD104" s="6"/>
      <c r="AE104" s="6"/>
      <c r="AF104" s="6"/>
      <c r="AG104" s="6"/>
      <c r="AH104" s="6"/>
      <c r="AI104" s="6"/>
      <c r="AJ104" s="6"/>
      <c r="AK104" s="6"/>
      <c r="AL104" s="6"/>
      <c r="AM104" s="6"/>
      <c r="AN104" s="6"/>
      <c r="AO104" s="6"/>
      <c r="AP104" s="6"/>
      <c r="AQ104" s="6"/>
      <c r="AR104" s="6"/>
      <c r="AS104" s="6"/>
      <c r="AT104" s="6"/>
      <c r="AU104" s="6"/>
      <c r="AV104" s="6"/>
      <c r="AW104" s="6"/>
      <c r="AX104" s="6"/>
      <c r="AY104" s="6"/>
      <c r="AZ104" s="6"/>
      <c r="BA104" s="6"/>
      <c r="BB104" s="6"/>
      <c r="BC104" s="6"/>
      <c r="BD104" s="6"/>
      <c r="BE104" s="6"/>
      <c r="BF104" s="6"/>
      <c r="BG104" s="6"/>
      <c r="BH104" s="6"/>
      <c r="BI104" s="6"/>
      <c r="BJ104" s="6"/>
      <c r="BK104" s="6"/>
      <c r="BL104" s="6"/>
      <c r="BM104" s="6"/>
      <c r="BN104" s="6"/>
      <c r="BO104" s="6"/>
      <c r="BP104" s="6"/>
      <c r="BQ104" s="6"/>
      <c r="BR104" s="6"/>
      <c r="BS104" s="6"/>
      <c r="BT104" s="6"/>
    </row>
    <row r="105" spans="1:72" x14ac:dyDescent="0.3">
      <c r="A105" s="619">
        <f>'Development Inputs'!A87</f>
        <v>0</v>
      </c>
      <c r="B105" s="512" t="str">
        <f>'Development Inputs'!B87</f>
        <v>Due Diligence / Feasibility Studies</v>
      </c>
      <c r="D105" s="617">
        <f>IF($D$112&gt;0,0,'Development Inputs'!E87)</f>
        <v>0</v>
      </c>
      <c r="E105" s="617">
        <f t="shared" si="36"/>
        <v>0</v>
      </c>
      <c r="F105" s="617">
        <f t="shared" ca="1" si="37"/>
        <v>0</v>
      </c>
      <c r="G105" s="617">
        <f t="shared" ca="1" si="38"/>
        <v>0</v>
      </c>
      <c r="H105" s="6"/>
      <c r="I105" s="6"/>
      <c r="J105" s="6"/>
      <c r="K105" s="6"/>
      <c r="L105" s="6"/>
      <c r="M105" s="6"/>
      <c r="N105" s="6"/>
      <c r="O105" s="6"/>
      <c r="P105" s="6"/>
      <c r="Q105" s="6"/>
      <c r="R105" s="6"/>
      <c r="S105" s="6"/>
      <c r="T105" s="6"/>
      <c r="U105" s="6"/>
      <c r="V105" s="6"/>
      <c r="W105" s="6"/>
      <c r="X105" s="6"/>
      <c r="Y105" s="6"/>
      <c r="Z105" s="6"/>
      <c r="AA105" s="6"/>
      <c r="AB105" s="6"/>
      <c r="AC105" s="6"/>
      <c r="AD105" s="6"/>
      <c r="AE105" s="6"/>
      <c r="AF105" s="6"/>
      <c r="AG105" s="6"/>
      <c r="AH105" s="6"/>
      <c r="AI105" s="6"/>
      <c r="AJ105" s="6"/>
      <c r="AK105" s="6"/>
      <c r="AL105" s="6"/>
      <c r="AM105" s="6"/>
      <c r="AN105" s="6"/>
      <c r="AO105" s="6"/>
      <c r="AP105" s="6"/>
      <c r="AQ105" s="6"/>
      <c r="AR105" s="6"/>
      <c r="AS105" s="6"/>
      <c r="AT105" s="6"/>
      <c r="AU105" s="6"/>
      <c r="AV105" s="6"/>
      <c r="AW105" s="6"/>
      <c r="AX105" s="6"/>
      <c r="AY105" s="6"/>
      <c r="AZ105" s="6"/>
      <c r="BA105" s="6"/>
      <c r="BB105" s="6"/>
      <c r="BC105" s="6"/>
      <c r="BD105" s="6"/>
      <c r="BE105" s="6"/>
      <c r="BF105" s="6"/>
      <c r="BG105" s="6"/>
      <c r="BH105" s="6"/>
      <c r="BI105" s="6"/>
      <c r="BJ105" s="6"/>
      <c r="BK105" s="6"/>
      <c r="BL105" s="6"/>
      <c r="BM105" s="6"/>
      <c r="BN105" s="6"/>
      <c r="BO105" s="6"/>
      <c r="BP105" s="6"/>
      <c r="BQ105" s="6"/>
      <c r="BR105" s="6"/>
      <c r="BS105" s="6"/>
      <c r="BT105" s="6"/>
    </row>
    <row r="106" spans="1:72" x14ac:dyDescent="0.3">
      <c r="A106" s="619">
        <f>'Development Inputs'!A88</f>
        <v>0</v>
      </c>
      <c r="B106" s="512" t="str">
        <f>'Development Inputs'!B88</f>
        <v>Land Purchase Price</v>
      </c>
      <c r="D106" s="617">
        <f>IF($D$112&gt;0,0,'Development Inputs'!E88)</f>
        <v>8850000</v>
      </c>
      <c r="E106" s="617">
        <f t="shared" si="36"/>
        <v>0</v>
      </c>
      <c r="F106" s="617">
        <f t="shared" ca="1" si="37"/>
        <v>0</v>
      </c>
      <c r="G106" s="617">
        <f t="shared" ca="1" si="38"/>
        <v>0</v>
      </c>
      <c r="H106" s="6"/>
      <c r="I106" s="6"/>
      <c r="J106" s="6"/>
      <c r="K106" s="6"/>
      <c r="L106" s="6"/>
      <c r="M106" s="6"/>
      <c r="N106" s="6"/>
      <c r="O106" s="6"/>
      <c r="P106" s="6"/>
      <c r="Q106" s="6"/>
      <c r="R106" s="6"/>
      <c r="S106" s="6"/>
      <c r="T106" s="6"/>
      <c r="U106" s="6"/>
      <c r="V106" s="6"/>
      <c r="W106" s="6"/>
      <c r="X106" s="6"/>
      <c r="Y106" s="6"/>
      <c r="Z106" s="6"/>
      <c r="AA106" s="6"/>
      <c r="AB106" s="6"/>
      <c r="AC106" s="6"/>
      <c r="AD106" s="6"/>
      <c r="AE106" s="6"/>
      <c r="AF106" s="6"/>
      <c r="AG106" s="6"/>
      <c r="AH106" s="6"/>
      <c r="AI106" s="6"/>
      <c r="AJ106" s="6"/>
      <c r="AK106" s="6"/>
      <c r="AL106" s="6"/>
      <c r="AM106" s="6"/>
      <c r="AN106" s="6"/>
      <c r="AO106" s="6"/>
      <c r="AP106" s="6"/>
      <c r="AQ106" s="6"/>
      <c r="AR106" s="6"/>
      <c r="AS106" s="6"/>
      <c r="AT106" s="6"/>
      <c r="AU106" s="6"/>
      <c r="AV106" s="6"/>
      <c r="AW106" s="6"/>
      <c r="AX106" s="6"/>
      <c r="AY106" s="6"/>
      <c r="AZ106" s="6"/>
      <c r="BA106" s="6"/>
      <c r="BB106" s="6"/>
      <c r="BC106" s="6"/>
      <c r="BD106" s="6"/>
      <c r="BE106" s="6"/>
      <c r="BF106" s="6"/>
      <c r="BG106" s="6"/>
      <c r="BH106" s="6"/>
      <c r="BI106" s="6"/>
      <c r="BJ106" s="6"/>
      <c r="BK106" s="6"/>
      <c r="BL106" s="6"/>
      <c r="BM106" s="6"/>
      <c r="BN106" s="6"/>
      <c r="BO106" s="6"/>
      <c r="BP106" s="6"/>
      <c r="BQ106" s="6"/>
      <c r="BR106" s="6"/>
      <c r="BS106" s="6"/>
      <c r="BT106" s="6"/>
    </row>
    <row r="107" spans="1:72" x14ac:dyDescent="0.3">
      <c r="A107" s="619">
        <f>'Development Inputs'!A89</f>
        <v>0</v>
      </c>
      <c r="B107" s="512" t="str">
        <f>'Development Inputs'!B89</f>
        <v>Legal Fees</v>
      </c>
      <c r="D107" s="617">
        <f>IF($D$112&gt;0,0,'Development Inputs'!E89)</f>
        <v>100000</v>
      </c>
      <c r="E107" s="617">
        <f t="shared" si="36"/>
        <v>0</v>
      </c>
      <c r="F107" s="617">
        <f t="shared" ca="1" si="37"/>
        <v>0</v>
      </c>
      <c r="G107" s="617">
        <f t="shared" ca="1" si="38"/>
        <v>0</v>
      </c>
      <c r="H107" s="6"/>
      <c r="I107" s="6"/>
      <c r="J107" s="6"/>
      <c r="K107" s="6"/>
      <c r="L107" s="6"/>
      <c r="M107" s="6"/>
      <c r="N107" s="6"/>
      <c r="O107" s="6"/>
      <c r="P107" s="6"/>
      <c r="Q107" s="6"/>
      <c r="R107" s="6"/>
      <c r="S107" s="6"/>
      <c r="T107" s="6"/>
      <c r="U107" s="6"/>
      <c r="V107" s="6"/>
      <c r="W107" s="6"/>
      <c r="X107" s="6"/>
      <c r="Y107" s="6"/>
      <c r="Z107" s="6"/>
      <c r="AA107" s="6"/>
      <c r="AB107" s="6"/>
      <c r="AC107" s="6"/>
      <c r="AD107" s="6"/>
      <c r="AE107" s="6"/>
      <c r="AF107" s="6"/>
      <c r="AG107" s="6"/>
      <c r="AH107" s="6"/>
      <c r="AI107" s="6"/>
      <c r="AJ107" s="6"/>
      <c r="AK107" s="6"/>
      <c r="AL107" s="6"/>
      <c r="AM107" s="6"/>
      <c r="AN107" s="6"/>
      <c r="AO107" s="6"/>
      <c r="AP107" s="6"/>
      <c r="AQ107" s="6"/>
      <c r="AR107" s="6"/>
      <c r="AS107" s="6"/>
      <c r="AT107" s="6"/>
      <c r="AU107" s="6"/>
      <c r="AV107" s="6"/>
      <c r="AW107" s="6"/>
      <c r="AX107" s="6"/>
      <c r="AY107" s="6"/>
      <c r="AZ107" s="6"/>
      <c r="BA107" s="6"/>
      <c r="BB107" s="6"/>
      <c r="BC107" s="6"/>
      <c r="BD107" s="6"/>
      <c r="BE107" s="6"/>
      <c r="BF107" s="6"/>
      <c r="BG107" s="6"/>
      <c r="BH107" s="6"/>
      <c r="BI107" s="6"/>
      <c r="BJ107" s="6"/>
      <c r="BK107" s="6"/>
      <c r="BL107" s="6"/>
      <c r="BM107" s="6"/>
      <c r="BN107" s="6"/>
      <c r="BO107" s="6"/>
      <c r="BP107" s="6"/>
      <c r="BQ107" s="6"/>
      <c r="BR107" s="6"/>
      <c r="BS107" s="6"/>
      <c r="BT107" s="6"/>
    </row>
    <row r="108" spans="1:72" x14ac:dyDescent="0.3">
      <c r="A108" s="619">
        <f>'Development Inputs'!A90</f>
        <v>0</v>
      </c>
      <c r="B108" s="512" t="str">
        <f>'Development Inputs'!B90</f>
        <v>Title Insurance</v>
      </c>
      <c r="D108" s="617">
        <f ca="1">IF($D$112&gt;0,0,'Development Inputs'!E90)</f>
        <v>77959.624342178475</v>
      </c>
      <c r="E108" s="617">
        <f t="shared" si="36"/>
        <v>0</v>
      </c>
      <c r="F108" s="617">
        <f t="shared" ca="1" si="37"/>
        <v>0</v>
      </c>
      <c r="G108" s="617">
        <f t="shared" ca="1" si="38"/>
        <v>0</v>
      </c>
      <c r="H108" s="6"/>
      <c r="I108" s="6"/>
      <c r="J108" s="6"/>
      <c r="K108" s="6"/>
      <c r="L108" s="6"/>
      <c r="M108" s="6"/>
      <c r="N108" s="6"/>
      <c r="O108" s="6"/>
      <c r="P108" s="6"/>
      <c r="Q108" s="6"/>
      <c r="R108" s="6"/>
      <c r="S108" s="6"/>
      <c r="T108" s="6"/>
      <c r="U108" s="6"/>
      <c r="V108" s="6"/>
      <c r="W108" s="6"/>
      <c r="X108" s="6"/>
      <c r="Y108" s="6"/>
      <c r="Z108" s="6"/>
      <c r="AA108" s="6"/>
      <c r="AB108" s="6"/>
      <c r="AC108" s="6"/>
      <c r="AD108" s="6"/>
      <c r="AE108" s="6"/>
      <c r="AF108" s="6"/>
      <c r="AG108" s="6"/>
      <c r="AH108" s="6"/>
      <c r="AI108" s="6"/>
      <c r="AJ108" s="6"/>
      <c r="AK108" s="6"/>
      <c r="AL108" s="6"/>
      <c r="AM108" s="6"/>
      <c r="AN108" s="6"/>
      <c r="AO108" s="6"/>
      <c r="AP108" s="6"/>
      <c r="AQ108" s="6"/>
      <c r="AR108" s="6"/>
      <c r="AS108" s="6"/>
      <c r="AT108" s="6"/>
      <c r="AU108" s="6"/>
      <c r="AV108" s="6"/>
      <c r="AW108" s="6"/>
      <c r="AX108" s="6"/>
      <c r="AY108" s="6"/>
      <c r="AZ108" s="6"/>
      <c r="BA108" s="6"/>
      <c r="BB108" s="6"/>
      <c r="BC108" s="6"/>
      <c r="BD108" s="6"/>
      <c r="BE108" s="6"/>
      <c r="BF108" s="6"/>
      <c r="BG108" s="6"/>
      <c r="BH108" s="6"/>
      <c r="BI108" s="6"/>
      <c r="BJ108" s="6"/>
      <c r="BK108" s="6"/>
      <c r="BL108" s="6"/>
      <c r="BM108" s="6"/>
      <c r="BN108" s="6"/>
      <c r="BO108" s="6"/>
      <c r="BP108" s="6"/>
      <c r="BQ108" s="6"/>
      <c r="BR108" s="6"/>
      <c r="BS108" s="6"/>
      <c r="BT108" s="6"/>
    </row>
    <row r="109" spans="1:72" x14ac:dyDescent="0.3">
      <c r="A109" s="619">
        <f>'Development Inputs'!A91</f>
        <v>0</v>
      </c>
      <c r="B109" s="512" t="str">
        <f>'Development Inputs'!B91</f>
        <v>Transfer Tax</v>
      </c>
      <c r="D109" s="617">
        <f>IF($D$112&gt;0,0,'Development Inputs'!E91)</f>
        <v>0</v>
      </c>
      <c r="E109" s="617">
        <f t="shared" si="36"/>
        <v>0</v>
      </c>
      <c r="F109" s="617">
        <f t="shared" ca="1" si="37"/>
        <v>0</v>
      </c>
      <c r="G109" s="617">
        <f t="shared" ca="1" si="38"/>
        <v>0</v>
      </c>
      <c r="H109" s="6"/>
      <c r="I109" s="6"/>
      <c r="J109" s="6"/>
      <c r="K109" s="6"/>
      <c r="L109" s="6"/>
      <c r="M109" s="6"/>
      <c r="N109" s="6"/>
      <c r="O109" s="6"/>
      <c r="P109" s="6"/>
      <c r="Q109" s="6"/>
      <c r="R109" s="6"/>
      <c r="S109" s="6"/>
      <c r="T109" s="6"/>
      <c r="U109" s="6"/>
      <c r="V109" s="6"/>
      <c r="W109" s="6"/>
      <c r="X109" s="6"/>
      <c r="Y109" s="6"/>
      <c r="Z109" s="6"/>
      <c r="AA109" s="6"/>
      <c r="AB109" s="6"/>
      <c r="AC109" s="6"/>
      <c r="AD109" s="6"/>
      <c r="AE109" s="6"/>
      <c r="AF109" s="6"/>
      <c r="AG109" s="6"/>
      <c r="AH109" s="6"/>
      <c r="AI109" s="6"/>
      <c r="AJ109" s="6"/>
      <c r="AK109" s="6"/>
      <c r="AL109" s="6"/>
      <c r="AM109" s="6"/>
      <c r="AN109" s="6"/>
      <c r="AO109" s="6"/>
      <c r="AP109" s="6"/>
      <c r="AQ109" s="6"/>
      <c r="AR109" s="6"/>
      <c r="AS109" s="6"/>
      <c r="AT109" s="6"/>
      <c r="AU109" s="6"/>
      <c r="AV109" s="6"/>
      <c r="AW109" s="6"/>
      <c r="AX109" s="6"/>
      <c r="AY109" s="6"/>
      <c r="AZ109" s="6"/>
      <c r="BA109" s="6"/>
      <c r="BB109" s="6"/>
      <c r="BC109" s="6"/>
      <c r="BD109" s="6"/>
      <c r="BE109" s="6"/>
      <c r="BF109" s="6"/>
      <c r="BG109" s="6"/>
      <c r="BH109" s="6"/>
      <c r="BI109" s="6"/>
      <c r="BJ109" s="6"/>
      <c r="BK109" s="6"/>
      <c r="BL109" s="6"/>
      <c r="BM109" s="6"/>
      <c r="BN109" s="6"/>
      <c r="BO109" s="6"/>
      <c r="BP109" s="6"/>
      <c r="BQ109" s="6"/>
      <c r="BR109" s="6"/>
      <c r="BS109" s="6"/>
      <c r="BT109" s="6"/>
    </row>
    <row r="110" spans="1:72" x14ac:dyDescent="0.3">
      <c r="A110" s="619">
        <f>'Development Inputs'!A92</f>
        <v>0</v>
      </c>
      <c r="B110" s="512" t="str">
        <f>'Development Inputs'!B92</f>
        <v>Other-</v>
      </c>
      <c r="D110" s="617">
        <f>IF($D$112&gt;0,0,'Development Inputs'!E92)</f>
        <v>0</v>
      </c>
      <c r="E110" s="617">
        <f t="shared" si="36"/>
        <v>0</v>
      </c>
      <c r="F110" s="617">
        <f t="shared" ca="1" si="37"/>
        <v>0</v>
      </c>
      <c r="G110" s="617">
        <f t="shared" ca="1" si="38"/>
        <v>0</v>
      </c>
      <c r="H110" s="6"/>
      <c r="I110" s="6"/>
      <c r="J110" s="6"/>
      <c r="K110" s="6"/>
      <c r="L110" s="6"/>
      <c r="M110" s="6"/>
      <c r="N110" s="6"/>
      <c r="O110" s="6"/>
      <c r="P110" s="6"/>
      <c r="Q110" s="6"/>
      <c r="R110" s="6"/>
      <c r="S110" s="6"/>
      <c r="T110" s="6"/>
      <c r="U110" s="6"/>
      <c r="V110" s="6"/>
      <c r="W110" s="6"/>
      <c r="X110" s="6"/>
      <c r="Y110" s="6"/>
      <c r="Z110" s="6"/>
      <c r="AA110" s="6"/>
      <c r="AB110" s="6"/>
      <c r="AC110" s="6"/>
      <c r="AD110" s="6"/>
      <c r="AE110" s="6"/>
      <c r="AF110" s="6"/>
      <c r="AG110" s="6"/>
      <c r="AH110" s="6"/>
      <c r="AI110" s="6"/>
      <c r="AJ110" s="6"/>
      <c r="AK110" s="6"/>
      <c r="AL110" s="6"/>
      <c r="AM110" s="6"/>
      <c r="AN110" s="6"/>
      <c r="AO110" s="6"/>
      <c r="AP110" s="6"/>
      <c r="AQ110" s="6"/>
      <c r="AR110" s="6"/>
      <c r="AS110" s="6"/>
      <c r="AT110" s="6"/>
      <c r="AU110" s="6"/>
      <c r="AV110" s="6"/>
      <c r="AW110" s="6"/>
      <c r="AX110" s="6"/>
      <c r="AY110" s="6"/>
      <c r="AZ110" s="6"/>
      <c r="BA110" s="6"/>
      <c r="BB110" s="6"/>
      <c r="BC110" s="6"/>
      <c r="BD110" s="6"/>
      <c r="BE110" s="6"/>
      <c r="BF110" s="6"/>
      <c r="BG110" s="6"/>
      <c r="BH110" s="6"/>
      <c r="BI110" s="6"/>
      <c r="BJ110" s="6"/>
      <c r="BK110" s="6"/>
      <c r="BL110" s="6"/>
      <c r="BM110" s="6"/>
      <c r="BN110" s="6"/>
      <c r="BO110" s="6"/>
      <c r="BP110" s="6"/>
      <c r="BQ110" s="6"/>
      <c r="BR110" s="6"/>
      <c r="BS110" s="6"/>
      <c r="BT110" s="6"/>
    </row>
    <row r="111" spans="1:72" x14ac:dyDescent="0.3">
      <c r="A111" s="619">
        <f>'Development Inputs'!A93</f>
        <v>0</v>
      </c>
      <c r="B111" s="512" t="str">
        <f>'Development Inputs'!B93</f>
        <v>Other-</v>
      </c>
      <c r="D111" s="617">
        <f>IF($D$112&gt;0,0,'Development Inputs'!E93)</f>
        <v>0</v>
      </c>
      <c r="E111" s="617">
        <f t="shared" si="36"/>
        <v>0</v>
      </c>
      <c r="F111" s="617">
        <f t="shared" ca="1" si="37"/>
        <v>0</v>
      </c>
      <c r="G111" s="617">
        <f t="shared" ca="1" si="38"/>
        <v>0</v>
      </c>
      <c r="H111" s="6"/>
      <c r="I111" s="6"/>
      <c r="J111" s="6"/>
      <c r="K111" s="6"/>
      <c r="L111" s="6"/>
      <c r="M111" s="6"/>
      <c r="N111" s="6"/>
      <c r="O111" s="6"/>
      <c r="P111" s="6"/>
      <c r="Q111" s="6"/>
      <c r="R111" s="6"/>
      <c r="S111" s="6"/>
      <c r="T111" s="6"/>
      <c r="U111" s="6"/>
      <c r="V111" s="6"/>
      <c r="W111" s="6"/>
      <c r="X111" s="6"/>
      <c r="Y111" s="6"/>
      <c r="Z111" s="6"/>
      <c r="AA111" s="6"/>
      <c r="AB111" s="6"/>
      <c r="AC111" s="6"/>
      <c r="AD111" s="6"/>
      <c r="AE111" s="6"/>
      <c r="AF111" s="6"/>
      <c r="AG111" s="6"/>
      <c r="AH111" s="6"/>
      <c r="AI111" s="6"/>
      <c r="AJ111" s="6"/>
      <c r="AK111" s="6"/>
      <c r="AL111" s="6"/>
      <c r="AM111" s="6"/>
      <c r="AN111" s="6"/>
      <c r="AO111" s="6"/>
      <c r="AP111" s="6"/>
      <c r="AQ111" s="6"/>
      <c r="AR111" s="6"/>
      <c r="AS111" s="6"/>
      <c r="AT111" s="6"/>
      <c r="AU111" s="6"/>
      <c r="AV111" s="6"/>
      <c r="AW111" s="6"/>
      <c r="AX111" s="6"/>
      <c r="AY111" s="6"/>
      <c r="AZ111" s="6"/>
      <c r="BA111" s="6"/>
      <c r="BB111" s="6"/>
      <c r="BC111" s="6"/>
      <c r="BD111" s="6"/>
      <c r="BE111" s="6"/>
      <c r="BF111" s="6"/>
      <c r="BG111" s="6"/>
      <c r="BH111" s="6"/>
      <c r="BI111" s="6"/>
      <c r="BJ111" s="6"/>
      <c r="BK111" s="6"/>
      <c r="BL111" s="6"/>
      <c r="BM111" s="6"/>
      <c r="BN111" s="6"/>
      <c r="BO111" s="6"/>
      <c r="BP111" s="6"/>
      <c r="BQ111" s="6"/>
      <c r="BR111" s="6"/>
      <c r="BS111" s="6"/>
      <c r="BT111" s="6"/>
    </row>
    <row r="112" spans="1:72" s="203" customFormat="1" x14ac:dyDescent="0.3">
      <c r="A112" s="619">
        <f>'Development Inputs'!A94</f>
        <v>0</v>
      </c>
      <c r="B112" s="512" t="str">
        <f>'Development Inputs'!B94</f>
        <v>Input as Total</v>
      </c>
      <c r="C112" s="477"/>
      <c r="D112" s="617">
        <f>'Development Inputs'!E94</f>
        <v>0</v>
      </c>
      <c r="E112" s="610">
        <f t="shared" si="36"/>
        <v>0</v>
      </c>
      <c r="F112" s="610">
        <f t="shared" ca="1" si="37"/>
        <v>0</v>
      </c>
      <c r="G112" s="610">
        <f t="shared" ca="1" si="38"/>
        <v>0</v>
      </c>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row>
    <row r="113" spans="1:72" s="203" customFormat="1" x14ac:dyDescent="0.3">
      <c r="A113" s="611"/>
      <c r="B113" s="612"/>
      <c r="C113" s="613"/>
      <c r="D113" s="614"/>
      <c r="E113" s="614"/>
      <c r="F113" s="614"/>
      <c r="G113" s="614"/>
      <c r="H113" s="615"/>
      <c r="I113" s="615"/>
      <c r="J113" s="615"/>
      <c r="K113" s="615"/>
      <c r="L113" s="615"/>
      <c r="M113" s="615"/>
      <c r="N113" s="615"/>
      <c r="O113" s="615"/>
      <c r="P113" s="615"/>
      <c r="Q113" s="615"/>
      <c r="R113" s="615"/>
      <c r="S113" s="615"/>
      <c r="T113" s="615"/>
      <c r="U113" s="615"/>
      <c r="V113" s="615"/>
      <c r="W113" s="615"/>
      <c r="X113" s="615"/>
      <c r="Y113" s="615"/>
      <c r="Z113" s="615"/>
      <c r="AA113" s="615"/>
      <c r="AB113" s="615"/>
      <c r="AC113" s="615"/>
      <c r="AD113" s="615"/>
      <c r="AE113" s="615"/>
      <c r="AF113" s="615"/>
      <c r="AG113" s="615"/>
      <c r="AH113" s="615"/>
      <c r="AI113" s="615"/>
      <c r="AJ113" s="615"/>
      <c r="AK113" s="615"/>
      <c r="AL113" s="615"/>
      <c r="AM113" s="615"/>
      <c r="AN113" s="615"/>
      <c r="AO113" s="615"/>
      <c r="AP113" s="615"/>
      <c r="AQ113" s="615"/>
      <c r="AR113" s="615"/>
      <c r="AS113" s="615"/>
      <c r="AT113" s="615"/>
      <c r="AU113" s="615"/>
      <c r="AV113" s="615"/>
      <c r="AW113" s="615"/>
      <c r="AX113" s="615"/>
      <c r="AY113" s="615"/>
      <c r="AZ113" s="615"/>
      <c r="BA113" s="615"/>
      <c r="BB113" s="615"/>
      <c r="BC113" s="615"/>
      <c r="BD113" s="615"/>
      <c r="BE113" s="615"/>
      <c r="BF113" s="615"/>
      <c r="BG113" s="615"/>
      <c r="BH113" s="615"/>
      <c r="BI113" s="615"/>
      <c r="BJ113" s="615"/>
      <c r="BK113" s="615"/>
      <c r="BL113" s="615"/>
      <c r="BM113" s="615"/>
      <c r="BN113" s="615"/>
      <c r="BO113" s="615"/>
      <c r="BP113" s="615"/>
      <c r="BQ113" s="615"/>
      <c r="BR113" s="615"/>
      <c r="BS113" s="615"/>
      <c r="BT113" s="615"/>
    </row>
    <row r="114" spans="1:72" s="182" customFormat="1" x14ac:dyDescent="0.3">
      <c r="A114" s="208" t="s">
        <v>2334</v>
      </c>
      <c r="B114" s="512"/>
      <c r="D114" s="620">
        <f ca="1">TotalOverhead</f>
        <v>2578503.9316375433</v>
      </c>
      <c r="E114" s="617">
        <f>SUMIF($H$7:$BT$7,"&lt;"&amp;StartDate,$H114:$BT114)</f>
        <v>0</v>
      </c>
      <c r="F114" s="617">
        <f ca="1">SUMIF($H$7:$BT$7,"&lt;="&amp;$F$7,$H114:$BT114)</f>
        <v>0</v>
      </c>
      <c r="G114" s="617">
        <f ca="1">E114-F114</f>
        <v>0</v>
      </c>
      <c r="H114" s="617">
        <f>SUBTOTAL(9,H115:H115)</f>
        <v>0</v>
      </c>
      <c r="I114" s="617">
        <f t="shared" ref="I114:AM114" si="41">SUBTOTAL(9,I115:I115)</f>
        <v>0</v>
      </c>
      <c r="J114" s="617">
        <f t="shared" si="41"/>
        <v>0</v>
      </c>
      <c r="K114" s="617">
        <f t="shared" si="41"/>
        <v>0</v>
      </c>
      <c r="L114" s="617">
        <f t="shared" si="41"/>
        <v>0</v>
      </c>
      <c r="M114" s="617">
        <f t="shared" si="41"/>
        <v>0</v>
      </c>
      <c r="N114" s="617">
        <f t="shared" si="41"/>
        <v>0</v>
      </c>
      <c r="O114" s="617">
        <f t="shared" si="41"/>
        <v>0</v>
      </c>
      <c r="P114" s="617">
        <f t="shared" si="41"/>
        <v>0</v>
      </c>
      <c r="Q114" s="617">
        <f t="shared" si="41"/>
        <v>0</v>
      </c>
      <c r="R114" s="617">
        <f t="shared" si="41"/>
        <v>0</v>
      </c>
      <c r="S114" s="617">
        <f t="shared" si="41"/>
        <v>0</v>
      </c>
      <c r="T114" s="617">
        <f t="shared" si="41"/>
        <v>0</v>
      </c>
      <c r="U114" s="617">
        <f t="shared" si="41"/>
        <v>0</v>
      </c>
      <c r="V114" s="617">
        <f t="shared" si="41"/>
        <v>0</v>
      </c>
      <c r="W114" s="617">
        <f t="shared" si="41"/>
        <v>0</v>
      </c>
      <c r="X114" s="617">
        <f t="shared" si="41"/>
        <v>0</v>
      </c>
      <c r="Y114" s="617">
        <f t="shared" si="41"/>
        <v>0</v>
      </c>
      <c r="Z114" s="617">
        <f t="shared" si="41"/>
        <v>0</v>
      </c>
      <c r="AA114" s="617">
        <f t="shared" si="41"/>
        <v>0</v>
      </c>
      <c r="AB114" s="617">
        <f t="shared" si="41"/>
        <v>0</v>
      </c>
      <c r="AC114" s="617">
        <f t="shared" si="41"/>
        <v>0</v>
      </c>
      <c r="AD114" s="617">
        <f t="shared" si="41"/>
        <v>0</v>
      </c>
      <c r="AE114" s="617">
        <f t="shared" si="41"/>
        <v>0</v>
      </c>
      <c r="AF114" s="617">
        <f t="shared" si="41"/>
        <v>0</v>
      </c>
      <c r="AG114" s="617">
        <f t="shared" si="41"/>
        <v>0</v>
      </c>
      <c r="AH114" s="617">
        <f t="shared" si="41"/>
        <v>0</v>
      </c>
      <c r="AI114" s="617">
        <f t="shared" si="41"/>
        <v>0</v>
      </c>
      <c r="AJ114" s="617">
        <f t="shared" si="41"/>
        <v>0</v>
      </c>
      <c r="AK114" s="617">
        <f t="shared" si="41"/>
        <v>0</v>
      </c>
      <c r="AL114" s="617">
        <f t="shared" si="41"/>
        <v>0</v>
      </c>
      <c r="AM114" s="617">
        <f t="shared" si="41"/>
        <v>0</v>
      </c>
      <c r="AN114" s="617">
        <f t="shared" ref="AN114:BS114" si="42">SUBTOTAL(9,AN115:AN115)</f>
        <v>0</v>
      </c>
      <c r="AO114" s="617">
        <f t="shared" si="42"/>
        <v>0</v>
      </c>
      <c r="AP114" s="617">
        <f t="shared" si="42"/>
        <v>0</v>
      </c>
      <c r="AQ114" s="617">
        <f t="shared" si="42"/>
        <v>0</v>
      </c>
      <c r="AR114" s="617">
        <f t="shared" si="42"/>
        <v>0</v>
      </c>
      <c r="AS114" s="617">
        <f t="shared" si="42"/>
        <v>0</v>
      </c>
      <c r="AT114" s="617">
        <f t="shared" si="42"/>
        <v>0</v>
      </c>
      <c r="AU114" s="617">
        <f t="shared" si="42"/>
        <v>0</v>
      </c>
      <c r="AV114" s="617">
        <f t="shared" si="42"/>
        <v>0</v>
      </c>
      <c r="AW114" s="617">
        <f t="shared" si="42"/>
        <v>0</v>
      </c>
      <c r="AX114" s="617">
        <f t="shared" si="42"/>
        <v>0</v>
      </c>
      <c r="AY114" s="617">
        <f t="shared" si="42"/>
        <v>0</v>
      </c>
      <c r="AZ114" s="617">
        <f t="shared" si="42"/>
        <v>0</v>
      </c>
      <c r="BA114" s="617">
        <f t="shared" si="42"/>
        <v>0</v>
      </c>
      <c r="BB114" s="617">
        <f t="shared" si="42"/>
        <v>0</v>
      </c>
      <c r="BC114" s="617">
        <f t="shared" si="42"/>
        <v>0</v>
      </c>
      <c r="BD114" s="617">
        <f t="shared" si="42"/>
        <v>0</v>
      </c>
      <c r="BE114" s="617">
        <f t="shared" si="42"/>
        <v>0</v>
      </c>
      <c r="BF114" s="617">
        <f t="shared" si="42"/>
        <v>0</v>
      </c>
      <c r="BG114" s="617">
        <f t="shared" si="42"/>
        <v>0</v>
      </c>
      <c r="BH114" s="617">
        <f t="shared" si="42"/>
        <v>0</v>
      </c>
      <c r="BI114" s="617">
        <f t="shared" si="42"/>
        <v>0</v>
      </c>
      <c r="BJ114" s="617">
        <f t="shared" si="42"/>
        <v>0</v>
      </c>
      <c r="BK114" s="617">
        <f t="shared" si="42"/>
        <v>0</v>
      </c>
      <c r="BL114" s="617">
        <f t="shared" si="42"/>
        <v>0</v>
      </c>
      <c r="BM114" s="617">
        <f t="shared" si="42"/>
        <v>0</v>
      </c>
      <c r="BN114" s="617">
        <f t="shared" si="42"/>
        <v>0</v>
      </c>
      <c r="BO114" s="617">
        <f t="shared" si="42"/>
        <v>0</v>
      </c>
      <c r="BP114" s="617">
        <f t="shared" si="42"/>
        <v>0</v>
      </c>
      <c r="BQ114" s="617">
        <f t="shared" si="42"/>
        <v>0</v>
      </c>
      <c r="BR114" s="617">
        <f t="shared" si="42"/>
        <v>0</v>
      </c>
      <c r="BS114" s="617">
        <f t="shared" si="42"/>
        <v>0</v>
      </c>
      <c r="BT114" s="617">
        <f>SUBTOTAL(9,BT115:BT115)</f>
        <v>0</v>
      </c>
    </row>
    <row r="115" spans="1:72" x14ac:dyDescent="0.3">
      <c r="A115" s="619">
        <f>'Development Inputs'!H103</f>
        <v>0</v>
      </c>
      <c r="B115" s="512" t="str">
        <f>'Development Inputs'!I103</f>
        <v>Development Fee</v>
      </c>
      <c r="D115" s="617">
        <f ca="1">'Development Inputs'!L103</f>
        <v>2578503.9316375433</v>
      </c>
      <c r="E115" s="617">
        <f>SUMIF($H$7:$BT$7,"&lt;"&amp;StartDate,$H115:$BT115)</f>
        <v>0</v>
      </c>
      <c r="F115" s="617">
        <f ca="1">SUMIF($H$7:$BT$7,"&lt;="&amp;$F$7,$H115:$BT115)</f>
        <v>0</v>
      </c>
      <c r="G115" s="617">
        <f ca="1">E115-F115</f>
        <v>0</v>
      </c>
      <c r="H115" s="6"/>
      <c r="I115" s="6"/>
      <c r="J115" s="6"/>
      <c r="K115" s="6"/>
      <c r="L115" s="6"/>
      <c r="M115" s="6"/>
      <c r="N115" s="6"/>
      <c r="O115" s="6"/>
      <c r="P115" s="6"/>
      <c r="Q115" s="6"/>
      <c r="R115" s="6"/>
      <c r="S115" s="6"/>
      <c r="T115" s="6"/>
      <c r="U115" s="6"/>
      <c r="V115" s="6"/>
      <c r="W115" s="6"/>
      <c r="X115" s="6"/>
      <c r="Y115" s="6"/>
      <c r="Z115" s="6"/>
      <c r="AA115" s="6"/>
      <c r="AB115" s="6"/>
      <c r="AC115" s="6"/>
      <c r="AD115" s="6"/>
      <c r="AE115" s="6"/>
      <c r="AF115" s="6"/>
      <c r="AG115" s="6"/>
      <c r="AH115" s="6"/>
      <c r="AI115" s="6"/>
      <c r="AJ115" s="6"/>
      <c r="AK115" s="6"/>
      <c r="AL115" s="6"/>
      <c r="AM115" s="6"/>
      <c r="AN115" s="6"/>
      <c r="AO115" s="6"/>
      <c r="AP115" s="6"/>
      <c r="AQ115" s="6"/>
      <c r="AR115" s="6"/>
      <c r="AS115" s="6"/>
      <c r="AT115" s="6"/>
      <c r="AU115" s="6"/>
      <c r="AV115" s="6"/>
      <c r="AW115" s="6"/>
      <c r="AX115" s="6"/>
      <c r="AY115" s="6"/>
      <c r="AZ115" s="6"/>
      <c r="BA115" s="6"/>
      <c r="BB115" s="6"/>
      <c r="BC115" s="6"/>
      <c r="BD115" s="6"/>
      <c r="BE115" s="6"/>
      <c r="BF115" s="6"/>
      <c r="BG115" s="6"/>
      <c r="BH115" s="6"/>
      <c r="BI115" s="6"/>
      <c r="BJ115" s="6"/>
      <c r="BK115" s="6"/>
      <c r="BL115" s="6"/>
      <c r="BM115" s="6"/>
      <c r="BN115" s="6"/>
      <c r="BO115" s="6"/>
      <c r="BP115" s="6"/>
      <c r="BQ115" s="6"/>
      <c r="BR115" s="6"/>
      <c r="BS115" s="6"/>
      <c r="BT115" s="6"/>
    </row>
    <row r="116" spans="1:72" s="203" customFormat="1" x14ac:dyDescent="0.3">
      <c r="A116" s="611"/>
      <c r="B116" s="612"/>
      <c r="C116" s="613"/>
      <c r="D116" s="614"/>
      <c r="E116" s="614"/>
      <c r="F116" s="614"/>
      <c r="G116" s="614"/>
      <c r="H116" s="615"/>
      <c r="I116" s="615"/>
      <c r="J116" s="615"/>
      <c r="K116" s="615"/>
      <c r="L116" s="615"/>
      <c r="M116" s="615"/>
      <c r="N116" s="615"/>
      <c r="O116" s="615"/>
      <c r="P116" s="615"/>
      <c r="Q116" s="615"/>
      <c r="R116" s="615"/>
      <c r="S116" s="615"/>
      <c r="T116" s="615"/>
      <c r="U116" s="615"/>
      <c r="V116" s="615"/>
      <c r="W116" s="615"/>
      <c r="X116" s="615"/>
      <c r="Y116" s="615"/>
      <c r="Z116" s="615"/>
      <c r="AA116" s="615"/>
      <c r="AB116" s="615"/>
      <c r="AC116" s="615"/>
      <c r="AD116" s="615"/>
      <c r="AE116" s="615"/>
      <c r="AF116" s="615"/>
      <c r="AG116" s="615"/>
      <c r="AH116" s="615"/>
      <c r="AI116" s="615"/>
      <c r="AJ116" s="615"/>
      <c r="AK116" s="615"/>
      <c r="AL116" s="615"/>
      <c r="AM116" s="615"/>
      <c r="AN116" s="615"/>
      <c r="AO116" s="615"/>
      <c r="AP116" s="615"/>
      <c r="AQ116" s="615"/>
      <c r="AR116" s="615"/>
      <c r="AS116" s="615"/>
      <c r="AT116" s="615"/>
      <c r="AU116" s="615"/>
      <c r="AV116" s="615"/>
      <c r="AW116" s="615"/>
      <c r="AX116" s="615"/>
      <c r="AY116" s="615"/>
      <c r="AZ116" s="615"/>
      <c r="BA116" s="615"/>
      <c r="BB116" s="615"/>
      <c r="BC116" s="615"/>
      <c r="BD116" s="615"/>
      <c r="BE116" s="615"/>
      <c r="BF116" s="615"/>
      <c r="BG116" s="615"/>
      <c r="BH116" s="615"/>
      <c r="BI116" s="615"/>
      <c r="BJ116" s="615"/>
      <c r="BK116" s="615"/>
      <c r="BL116" s="615"/>
      <c r="BM116" s="615"/>
      <c r="BN116" s="615"/>
      <c r="BO116" s="615"/>
      <c r="BP116" s="615"/>
      <c r="BQ116" s="615"/>
      <c r="BR116" s="615"/>
      <c r="BS116" s="615"/>
      <c r="BT116" s="615"/>
    </row>
    <row r="117" spans="1:72" s="182" customFormat="1" x14ac:dyDescent="0.3">
      <c r="A117" s="208" t="s">
        <v>669</v>
      </c>
      <c r="B117" s="512"/>
      <c r="D117" s="620">
        <f>'Development Inputs'!L94</f>
        <v>4459158.9889518414</v>
      </c>
      <c r="E117" s="617">
        <f t="shared" ref="E117:E136" si="43">SUMIF($H$7:$BT$7,"&lt;"&amp;StartDate,$H117:$BT117)</f>
        <v>0</v>
      </c>
      <c r="F117" s="617">
        <f t="shared" ref="F117:F136" ca="1" si="44">SUMIF($H$7:$BT$7,"&lt;="&amp;$F$7,$H117:$BT117)</f>
        <v>0</v>
      </c>
      <c r="G117" s="617">
        <f t="shared" ref="G117:G136" ca="1" si="45">E117-F117</f>
        <v>0</v>
      </c>
      <c r="H117" s="617">
        <f>SUBTOTAL(9,H118:H136)</f>
        <v>0</v>
      </c>
      <c r="I117" s="617">
        <f t="shared" ref="I117:AP117" si="46">SUBTOTAL(9,I118:I136)</f>
        <v>0</v>
      </c>
      <c r="J117" s="617">
        <f t="shared" si="46"/>
        <v>0</v>
      </c>
      <c r="K117" s="617">
        <f t="shared" si="46"/>
        <v>0</v>
      </c>
      <c r="L117" s="617">
        <f t="shared" si="46"/>
        <v>0</v>
      </c>
      <c r="M117" s="617">
        <f t="shared" si="46"/>
        <v>0</v>
      </c>
      <c r="N117" s="617">
        <f t="shared" si="46"/>
        <v>0</v>
      </c>
      <c r="O117" s="617">
        <f t="shared" si="46"/>
        <v>0</v>
      </c>
      <c r="P117" s="617">
        <f t="shared" si="46"/>
        <v>0</v>
      </c>
      <c r="Q117" s="617">
        <f t="shared" si="46"/>
        <v>0</v>
      </c>
      <c r="R117" s="617">
        <f t="shared" si="46"/>
        <v>0</v>
      </c>
      <c r="S117" s="617">
        <f t="shared" si="46"/>
        <v>0</v>
      </c>
      <c r="T117" s="617">
        <f t="shared" si="46"/>
        <v>0</v>
      </c>
      <c r="U117" s="617">
        <f t="shared" si="46"/>
        <v>0</v>
      </c>
      <c r="V117" s="617">
        <f t="shared" si="46"/>
        <v>0</v>
      </c>
      <c r="W117" s="617">
        <f t="shared" si="46"/>
        <v>0</v>
      </c>
      <c r="X117" s="617">
        <f t="shared" si="46"/>
        <v>0</v>
      </c>
      <c r="Y117" s="617">
        <f t="shared" si="46"/>
        <v>0</v>
      </c>
      <c r="Z117" s="617">
        <f t="shared" si="46"/>
        <v>0</v>
      </c>
      <c r="AA117" s="617">
        <f t="shared" si="46"/>
        <v>0</v>
      </c>
      <c r="AB117" s="617">
        <f t="shared" si="46"/>
        <v>0</v>
      </c>
      <c r="AC117" s="617">
        <f t="shared" si="46"/>
        <v>0</v>
      </c>
      <c r="AD117" s="617">
        <f t="shared" si="46"/>
        <v>0</v>
      </c>
      <c r="AE117" s="617">
        <f t="shared" si="46"/>
        <v>0</v>
      </c>
      <c r="AF117" s="617">
        <f t="shared" si="46"/>
        <v>0</v>
      </c>
      <c r="AG117" s="617">
        <f t="shared" si="46"/>
        <v>0</v>
      </c>
      <c r="AH117" s="617">
        <f t="shared" si="46"/>
        <v>0</v>
      </c>
      <c r="AI117" s="617">
        <f t="shared" si="46"/>
        <v>0</v>
      </c>
      <c r="AJ117" s="617">
        <f t="shared" si="46"/>
        <v>0</v>
      </c>
      <c r="AK117" s="617">
        <f t="shared" si="46"/>
        <v>0</v>
      </c>
      <c r="AL117" s="617">
        <f t="shared" si="46"/>
        <v>0</v>
      </c>
      <c r="AM117" s="617">
        <f t="shared" si="46"/>
        <v>0</v>
      </c>
      <c r="AN117" s="617">
        <f t="shared" si="46"/>
        <v>0</v>
      </c>
      <c r="AO117" s="617">
        <f t="shared" si="46"/>
        <v>0</v>
      </c>
      <c r="AP117" s="617">
        <f t="shared" si="46"/>
        <v>0</v>
      </c>
      <c r="AQ117" s="617">
        <f>SUBTOTAL(9,AQ118:AQ136)</f>
        <v>0</v>
      </c>
      <c r="AR117" s="617">
        <f t="shared" ref="AR117:BT117" si="47">SUBTOTAL(9,AR118:AR136)</f>
        <v>0</v>
      </c>
      <c r="AS117" s="617">
        <f t="shared" si="47"/>
        <v>0</v>
      </c>
      <c r="AT117" s="617">
        <f t="shared" si="47"/>
        <v>0</v>
      </c>
      <c r="AU117" s="617">
        <f t="shared" si="47"/>
        <v>0</v>
      </c>
      <c r="AV117" s="617">
        <f t="shared" si="47"/>
        <v>0</v>
      </c>
      <c r="AW117" s="617">
        <f t="shared" si="47"/>
        <v>0</v>
      </c>
      <c r="AX117" s="617">
        <f t="shared" si="47"/>
        <v>0</v>
      </c>
      <c r="AY117" s="617">
        <f t="shared" si="47"/>
        <v>0</v>
      </c>
      <c r="AZ117" s="617">
        <f t="shared" si="47"/>
        <v>0</v>
      </c>
      <c r="BA117" s="617">
        <f t="shared" si="47"/>
        <v>0</v>
      </c>
      <c r="BB117" s="617">
        <f t="shared" si="47"/>
        <v>0</v>
      </c>
      <c r="BC117" s="617">
        <f t="shared" si="47"/>
        <v>0</v>
      </c>
      <c r="BD117" s="617">
        <f t="shared" si="47"/>
        <v>0</v>
      </c>
      <c r="BE117" s="617">
        <f t="shared" si="47"/>
        <v>0</v>
      </c>
      <c r="BF117" s="617">
        <f t="shared" si="47"/>
        <v>0</v>
      </c>
      <c r="BG117" s="617">
        <f t="shared" si="47"/>
        <v>0</v>
      </c>
      <c r="BH117" s="617">
        <f t="shared" si="47"/>
        <v>0</v>
      </c>
      <c r="BI117" s="617">
        <f t="shared" si="47"/>
        <v>0</v>
      </c>
      <c r="BJ117" s="617">
        <f t="shared" si="47"/>
        <v>0</v>
      </c>
      <c r="BK117" s="617">
        <f t="shared" si="47"/>
        <v>0</v>
      </c>
      <c r="BL117" s="617">
        <f t="shared" si="47"/>
        <v>0</v>
      </c>
      <c r="BM117" s="617">
        <f t="shared" si="47"/>
        <v>0</v>
      </c>
      <c r="BN117" s="617">
        <f t="shared" si="47"/>
        <v>0</v>
      </c>
      <c r="BO117" s="617">
        <f t="shared" si="47"/>
        <v>0</v>
      </c>
      <c r="BP117" s="617">
        <f t="shared" si="47"/>
        <v>0</v>
      </c>
      <c r="BQ117" s="617">
        <f t="shared" si="47"/>
        <v>0</v>
      </c>
      <c r="BR117" s="617">
        <f t="shared" si="47"/>
        <v>0</v>
      </c>
      <c r="BS117" s="617">
        <f t="shared" si="47"/>
        <v>0</v>
      </c>
      <c r="BT117" s="617">
        <f t="shared" si="47"/>
        <v>0</v>
      </c>
    </row>
    <row r="118" spans="1:72" x14ac:dyDescent="0.3">
      <c r="A118" s="619">
        <f>'Development Inputs'!H75</f>
        <v>0</v>
      </c>
      <c r="B118" s="512" t="str">
        <f>'Development Inputs'!I75</f>
        <v>Permit Fees</v>
      </c>
      <c r="D118" s="617">
        <f>IF($D$136&gt;0,0,'Development Inputs'!L75)</f>
        <v>275666</v>
      </c>
      <c r="E118" s="617">
        <f t="shared" si="43"/>
        <v>0</v>
      </c>
      <c r="F118" s="617">
        <f t="shared" ca="1" si="44"/>
        <v>0</v>
      </c>
      <c r="G118" s="617">
        <f t="shared" ca="1" si="45"/>
        <v>0</v>
      </c>
      <c r="H118" s="6"/>
      <c r="I118" s="6"/>
      <c r="J118" s="6"/>
      <c r="K118" s="6"/>
      <c r="L118" s="6"/>
      <c r="M118" s="6"/>
      <c r="N118" s="6"/>
      <c r="O118" s="6"/>
      <c r="P118" s="6"/>
      <c r="Q118" s="6"/>
      <c r="R118" s="6"/>
      <c r="S118" s="6"/>
      <c r="T118" s="6"/>
      <c r="U118" s="6"/>
      <c r="V118" s="6"/>
      <c r="W118" s="6"/>
      <c r="X118" s="6"/>
      <c r="Y118" s="6"/>
      <c r="Z118" s="6"/>
      <c r="AA118" s="6"/>
      <c r="AB118" s="6"/>
      <c r="AC118" s="6"/>
      <c r="AD118" s="6"/>
      <c r="AE118" s="6"/>
      <c r="AF118" s="6"/>
      <c r="AG118" s="6"/>
      <c r="AH118" s="6"/>
      <c r="AI118" s="6"/>
      <c r="AJ118" s="6"/>
      <c r="AK118" s="6"/>
      <c r="AL118" s="6"/>
      <c r="AM118" s="6"/>
      <c r="AN118" s="6"/>
      <c r="AO118" s="6"/>
      <c r="AP118" s="6"/>
      <c r="AQ118" s="6"/>
      <c r="AR118" s="6"/>
      <c r="AS118" s="6"/>
      <c r="AT118" s="6"/>
      <c r="AU118" s="6"/>
      <c r="AV118" s="6"/>
      <c r="AW118" s="6"/>
      <c r="AX118" s="6"/>
      <c r="AY118" s="6"/>
      <c r="AZ118" s="6"/>
      <c r="BA118" s="6"/>
      <c r="BB118" s="6"/>
      <c r="BC118" s="6"/>
      <c r="BD118" s="6"/>
      <c r="BE118" s="6"/>
      <c r="BF118" s="6"/>
      <c r="BG118" s="6"/>
      <c r="BH118" s="6"/>
      <c r="BI118" s="6"/>
      <c r="BJ118" s="6"/>
      <c r="BK118" s="6"/>
      <c r="BL118" s="6"/>
      <c r="BM118" s="6"/>
      <c r="BN118" s="6"/>
      <c r="BO118" s="6"/>
      <c r="BP118" s="6"/>
      <c r="BQ118" s="6"/>
      <c r="BR118" s="6"/>
      <c r="BS118" s="6"/>
      <c r="BT118" s="6"/>
    </row>
    <row r="119" spans="1:72" x14ac:dyDescent="0.3">
      <c r="A119" s="619">
        <f>'Development Inputs'!H76</f>
        <v>0</v>
      </c>
      <c r="B119" s="512" t="str">
        <f>'Development Inputs'!I76</f>
        <v>Land Use &amp; Plan Review Fees</v>
      </c>
      <c r="D119" s="617">
        <f>IF($D$136&gt;0,0,'Development Inputs'!L76)</f>
        <v>374882.7</v>
      </c>
      <c r="E119" s="617">
        <f t="shared" si="43"/>
        <v>0</v>
      </c>
      <c r="F119" s="617">
        <f t="shared" ca="1" si="44"/>
        <v>0</v>
      </c>
      <c r="G119" s="617">
        <f t="shared" ca="1" si="45"/>
        <v>0</v>
      </c>
      <c r="H119" s="6"/>
      <c r="I119" s="6"/>
      <c r="J119" s="6"/>
      <c r="K119" s="6"/>
      <c r="L119" s="6"/>
      <c r="M119" s="6"/>
      <c r="N119" s="6"/>
      <c r="O119" s="6"/>
      <c r="P119" s="6"/>
      <c r="Q119" s="6"/>
      <c r="R119" s="6"/>
      <c r="S119" s="6"/>
      <c r="T119" s="6"/>
      <c r="U119" s="6"/>
      <c r="V119" s="6"/>
      <c r="W119" s="6"/>
      <c r="X119" s="6"/>
      <c r="Y119" s="6"/>
      <c r="Z119" s="6"/>
      <c r="AA119" s="6"/>
      <c r="AB119" s="6"/>
      <c r="AC119" s="6"/>
      <c r="AD119" s="6"/>
      <c r="AE119" s="6"/>
      <c r="AF119" s="6"/>
      <c r="AG119" s="6"/>
      <c r="AH119" s="6"/>
      <c r="AI119" s="6"/>
      <c r="AJ119" s="6"/>
      <c r="AK119" s="6"/>
      <c r="AL119" s="6"/>
      <c r="AM119" s="6"/>
      <c r="AN119" s="6"/>
      <c r="AO119" s="6"/>
      <c r="AP119" s="6"/>
      <c r="AQ119" s="6"/>
      <c r="AR119" s="6"/>
      <c r="AS119" s="6"/>
      <c r="AT119" s="6"/>
      <c r="AU119" s="6"/>
      <c r="AV119" s="6"/>
      <c r="AW119" s="6"/>
      <c r="AX119" s="6"/>
      <c r="AY119" s="6"/>
      <c r="AZ119" s="6"/>
      <c r="BA119" s="6"/>
      <c r="BB119" s="6"/>
      <c r="BC119" s="6"/>
      <c r="BD119" s="6"/>
      <c r="BE119" s="6"/>
      <c r="BF119" s="6"/>
      <c r="BG119" s="6"/>
      <c r="BH119" s="6"/>
      <c r="BI119" s="6"/>
      <c r="BJ119" s="6"/>
      <c r="BK119" s="6"/>
      <c r="BL119" s="6"/>
      <c r="BM119" s="6"/>
      <c r="BN119" s="6"/>
      <c r="BO119" s="6"/>
      <c r="BP119" s="6"/>
      <c r="BQ119" s="6"/>
      <c r="BR119" s="6"/>
      <c r="BS119" s="6"/>
      <c r="BT119" s="6"/>
    </row>
    <row r="120" spans="1:72" x14ac:dyDescent="0.3">
      <c r="A120" s="619">
        <f>'Development Inputs'!H77</f>
        <v>0</v>
      </c>
      <c r="B120" s="512" t="str">
        <f>'Development Inputs'!I77</f>
        <v>Impact Fees</v>
      </c>
      <c r="D120" s="617">
        <f>IF($D$136&gt;0,0,'Development Inputs'!L77)</f>
        <v>1482976.2889518414</v>
      </c>
      <c r="E120" s="617">
        <f t="shared" si="43"/>
        <v>0</v>
      </c>
      <c r="F120" s="617">
        <f t="shared" ca="1" si="44"/>
        <v>0</v>
      </c>
      <c r="G120" s="617">
        <f t="shared" ca="1" si="45"/>
        <v>0</v>
      </c>
      <c r="H120" s="6"/>
      <c r="I120" s="6"/>
      <c r="J120" s="6"/>
      <c r="K120" s="6"/>
      <c r="L120" s="6"/>
      <c r="M120" s="6"/>
      <c r="N120" s="6"/>
      <c r="O120" s="6"/>
      <c r="P120" s="6"/>
      <c r="Q120" s="6"/>
      <c r="R120" s="6"/>
      <c r="S120" s="6"/>
      <c r="T120" s="6"/>
      <c r="U120" s="6"/>
      <c r="V120" s="6"/>
      <c r="W120" s="6"/>
      <c r="X120" s="6"/>
      <c r="Y120" s="6"/>
      <c r="Z120" s="6"/>
      <c r="AA120" s="6"/>
      <c r="AB120" s="6"/>
      <c r="AC120" s="6"/>
      <c r="AD120" s="6"/>
      <c r="AE120" s="6"/>
      <c r="AF120" s="6"/>
      <c r="AG120" s="6"/>
      <c r="AH120" s="6"/>
      <c r="AI120" s="6"/>
      <c r="AJ120" s="6"/>
      <c r="AK120" s="6"/>
      <c r="AL120" s="6"/>
      <c r="AM120" s="6"/>
      <c r="AN120" s="6"/>
      <c r="AO120" s="6"/>
      <c r="AP120" s="6"/>
      <c r="AQ120" s="6"/>
      <c r="AR120" s="6"/>
      <c r="AS120" s="6"/>
      <c r="AT120" s="6"/>
      <c r="AU120" s="6"/>
      <c r="AV120" s="6"/>
      <c r="AW120" s="6"/>
      <c r="AX120" s="6"/>
      <c r="AY120" s="6"/>
      <c r="AZ120" s="6"/>
      <c r="BA120" s="6"/>
      <c r="BB120" s="6"/>
      <c r="BC120" s="6"/>
      <c r="BD120" s="6"/>
      <c r="BE120" s="6"/>
      <c r="BF120" s="6"/>
      <c r="BG120" s="6"/>
      <c r="BH120" s="6"/>
      <c r="BI120" s="6"/>
      <c r="BJ120" s="6"/>
      <c r="BK120" s="6"/>
      <c r="BL120" s="6"/>
      <c r="BM120" s="6"/>
      <c r="BN120" s="6"/>
      <c r="BO120" s="6"/>
      <c r="BP120" s="6"/>
      <c r="BQ120" s="6"/>
      <c r="BR120" s="6"/>
      <c r="BS120" s="6"/>
      <c r="BT120" s="6"/>
    </row>
    <row r="121" spans="1:72" x14ac:dyDescent="0.3">
      <c r="A121" s="619">
        <f>'Development Inputs'!H78</f>
        <v>0</v>
      </c>
      <c r="B121" s="512" t="str">
        <f>'Development Inputs'!I78</f>
        <v>Connection Charges</v>
      </c>
      <c r="D121" s="617">
        <f>IF($D$136&gt;0,0,'Development Inputs'!L78)</f>
        <v>1900634</v>
      </c>
      <c r="E121" s="617">
        <f t="shared" si="43"/>
        <v>0</v>
      </c>
      <c r="F121" s="617">
        <f t="shared" ca="1" si="44"/>
        <v>0</v>
      </c>
      <c r="G121" s="617">
        <f t="shared" ca="1" si="45"/>
        <v>0</v>
      </c>
      <c r="H121" s="6"/>
      <c r="I121" s="6"/>
      <c r="J121" s="6"/>
      <c r="K121" s="6"/>
      <c r="L121" s="6"/>
      <c r="M121" s="6"/>
      <c r="N121" s="6"/>
      <c r="O121" s="6"/>
      <c r="P121" s="6"/>
      <c r="Q121" s="6"/>
      <c r="R121" s="6"/>
      <c r="S121" s="6"/>
      <c r="T121" s="6"/>
      <c r="U121" s="6"/>
      <c r="V121" s="6"/>
      <c r="W121" s="6"/>
      <c r="X121" s="6"/>
      <c r="Y121" s="6"/>
      <c r="Z121" s="6"/>
      <c r="AA121" s="6"/>
      <c r="AB121" s="6"/>
      <c r="AC121" s="6"/>
      <c r="AD121" s="6"/>
      <c r="AE121" s="6"/>
      <c r="AF121" s="6"/>
      <c r="AG121" s="6"/>
      <c r="AH121" s="6"/>
      <c r="AI121" s="6"/>
      <c r="AJ121" s="6"/>
      <c r="AK121" s="6"/>
      <c r="AL121" s="6"/>
      <c r="AM121" s="6"/>
      <c r="AN121" s="6"/>
      <c r="AO121" s="6"/>
      <c r="AP121" s="6"/>
      <c r="AQ121" s="6"/>
      <c r="AR121" s="6"/>
      <c r="AS121" s="6"/>
      <c r="AT121" s="6"/>
      <c r="AU121" s="6"/>
      <c r="AV121" s="6"/>
      <c r="AW121" s="6"/>
      <c r="AX121" s="6"/>
      <c r="AY121" s="6"/>
      <c r="AZ121" s="6"/>
      <c r="BA121" s="6"/>
      <c r="BB121" s="6"/>
      <c r="BC121" s="6"/>
      <c r="BD121" s="6"/>
      <c r="BE121" s="6"/>
      <c r="BF121" s="6"/>
      <c r="BG121" s="6"/>
      <c r="BH121" s="6"/>
      <c r="BI121" s="6"/>
      <c r="BJ121" s="6"/>
      <c r="BK121" s="6"/>
      <c r="BL121" s="6"/>
      <c r="BM121" s="6"/>
      <c r="BN121" s="6"/>
      <c r="BO121" s="6"/>
      <c r="BP121" s="6"/>
      <c r="BQ121" s="6"/>
      <c r="BR121" s="6"/>
      <c r="BS121" s="6"/>
      <c r="BT121" s="6"/>
    </row>
    <row r="122" spans="1:72" x14ac:dyDescent="0.3">
      <c r="A122" s="619">
        <f>'Development Inputs'!H79</f>
        <v>0</v>
      </c>
      <c r="B122" s="512" t="str">
        <f>'Development Inputs'!I79</f>
        <v>Power Company Fees</v>
      </c>
      <c r="D122" s="617">
        <f>IF($D$136&gt;0,0,'Development Inputs'!L79)</f>
        <v>325000</v>
      </c>
      <c r="E122" s="617">
        <f t="shared" si="43"/>
        <v>0</v>
      </c>
      <c r="F122" s="617">
        <f t="shared" ca="1" si="44"/>
        <v>0</v>
      </c>
      <c r="G122" s="617">
        <f t="shared" ca="1" si="45"/>
        <v>0</v>
      </c>
      <c r="H122" s="6"/>
      <c r="I122" s="6"/>
      <c r="J122" s="6"/>
      <c r="K122" s="6"/>
      <c r="L122" s="6"/>
      <c r="M122" s="6"/>
      <c r="N122" s="6"/>
      <c r="O122" s="6"/>
      <c r="P122" s="6"/>
      <c r="Q122" s="6"/>
      <c r="R122" s="6"/>
      <c r="S122" s="6"/>
      <c r="T122" s="6"/>
      <c r="U122" s="6"/>
      <c r="V122" s="6"/>
      <c r="W122" s="6"/>
      <c r="X122" s="6"/>
      <c r="Y122" s="6"/>
      <c r="Z122" s="6"/>
      <c r="AA122" s="6"/>
      <c r="AB122" s="6"/>
      <c r="AC122" s="6"/>
      <c r="AD122" s="6"/>
      <c r="AE122" s="6"/>
      <c r="AF122" s="6"/>
      <c r="AG122" s="6"/>
      <c r="AH122" s="6"/>
      <c r="AI122" s="6"/>
      <c r="AJ122" s="6"/>
      <c r="AK122" s="6"/>
      <c r="AL122" s="6"/>
      <c r="AM122" s="6"/>
      <c r="AN122" s="6"/>
      <c r="AO122" s="6"/>
      <c r="AP122" s="6"/>
      <c r="AQ122" s="6"/>
      <c r="AR122" s="6"/>
      <c r="AS122" s="6"/>
      <c r="AT122" s="6"/>
      <c r="AU122" s="6"/>
      <c r="AV122" s="6"/>
      <c r="AW122" s="6"/>
      <c r="AX122" s="6"/>
      <c r="AY122" s="6"/>
      <c r="AZ122" s="6"/>
      <c r="BA122" s="6"/>
      <c r="BB122" s="6"/>
      <c r="BC122" s="6"/>
      <c r="BD122" s="6"/>
      <c r="BE122" s="6"/>
      <c r="BF122" s="6"/>
      <c r="BG122" s="6"/>
      <c r="BH122" s="6"/>
      <c r="BI122" s="6"/>
      <c r="BJ122" s="6"/>
      <c r="BK122" s="6"/>
      <c r="BL122" s="6"/>
      <c r="BM122" s="6"/>
      <c r="BN122" s="6"/>
      <c r="BO122" s="6"/>
      <c r="BP122" s="6"/>
      <c r="BQ122" s="6"/>
      <c r="BR122" s="6"/>
      <c r="BS122" s="6"/>
      <c r="BT122" s="6"/>
    </row>
    <row r="123" spans="1:72" x14ac:dyDescent="0.3">
      <c r="A123" s="619">
        <f>'Development Inputs'!H80</f>
        <v>0</v>
      </c>
      <c r="B123" s="512" t="str">
        <f>'Development Inputs'!I80</f>
        <v>Other + Escalation</v>
      </c>
      <c r="D123" s="617">
        <f>IF($D$136&gt;0,0,'Development Inputs'!L80)</f>
        <v>100000</v>
      </c>
      <c r="E123" s="617">
        <f t="shared" si="43"/>
        <v>0</v>
      </c>
      <c r="F123" s="617">
        <f t="shared" ca="1" si="44"/>
        <v>0</v>
      </c>
      <c r="G123" s="617">
        <f t="shared" ca="1" si="45"/>
        <v>0</v>
      </c>
      <c r="H123" s="6"/>
      <c r="I123" s="6"/>
      <c r="J123" s="6"/>
      <c r="K123" s="6"/>
      <c r="L123" s="6"/>
      <c r="M123" s="6"/>
      <c r="N123" s="6"/>
      <c r="O123" s="6"/>
      <c r="P123" s="6"/>
      <c r="Q123" s="6"/>
      <c r="R123" s="6"/>
      <c r="S123" s="6"/>
      <c r="T123" s="6"/>
      <c r="U123" s="6"/>
      <c r="V123" s="6"/>
      <c r="W123" s="6"/>
      <c r="X123" s="6"/>
      <c r="Y123" s="6"/>
      <c r="Z123" s="6"/>
      <c r="AA123" s="6"/>
      <c r="AB123" s="6"/>
      <c r="AC123" s="6"/>
      <c r="AD123" s="6"/>
      <c r="AE123" s="6"/>
      <c r="AF123" s="6"/>
      <c r="AG123" s="6"/>
      <c r="AH123" s="6"/>
      <c r="AI123" s="6"/>
      <c r="AJ123" s="6"/>
      <c r="AK123" s="6"/>
      <c r="AL123" s="6"/>
      <c r="AM123" s="6"/>
      <c r="AN123" s="6"/>
      <c r="AO123" s="6"/>
      <c r="AP123" s="6"/>
      <c r="AQ123" s="6"/>
      <c r="AR123" s="6"/>
      <c r="AS123" s="6"/>
      <c r="AT123" s="6"/>
      <c r="AU123" s="6"/>
      <c r="AV123" s="6"/>
      <c r="AW123" s="6"/>
      <c r="AX123" s="6"/>
      <c r="AY123" s="6"/>
      <c r="AZ123" s="6"/>
      <c r="BA123" s="6"/>
      <c r="BB123" s="6"/>
      <c r="BC123" s="6"/>
      <c r="BD123" s="6"/>
      <c r="BE123" s="6"/>
      <c r="BF123" s="6"/>
      <c r="BG123" s="6"/>
      <c r="BH123" s="6"/>
      <c r="BI123" s="6"/>
      <c r="BJ123" s="6"/>
      <c r="BK123" s="6"/>
      <c r="BL123" s="6"/>
      <c r="BM123" s="6"/>
      <c r="BN123" s="6"/>
      <c r="BO123" s="6"/>
      <c r="BP123" s="6"/>
      <c r="BQ123" s="6"/>
      <c r="BR123" s="6"/>
      <c r="BS123" s="6"/>
      <c r="BT123" s="6"/>
    </row>
    <row r="124" spans="1:72" x14ac:dyDescent="0.3">
      <c r="A124" s="619">
        <f>'Development Inputs'!H81</f>
        <v>0</v>
      </c>
      <c r="B124" s="512">
        <f>'Development Inputs'!I81</f>
        <v>0</v>
      </c>
      <c r="D124" s="617">
        <f>IF($D$136&gt;0,0,'Development Inputs'!L81)</f>
        <v>0</v>
      </c>
      <c r="E124" s="617">
        <f t="shared" si="43"/>
        <v>0</v>
      </c>
      <c r="F124" s="617">
        <f t="shared" ca="1" si="44"/>
        <v>0</v>
      </c>
      <c r="G124" s="617">
        <f t="shared" ca="1" si="45"/>
        <v>0</v>
      </c>
      <c r="H124" s="6"/>
      <c r="I124" s="6"/>
      <c r="J124" s="6"/>
      <c r="K124" s="6"/>
      <c r="L124" s="6"/>
      <c r="M124" s="6"/>
      <c r="N124" s="6"/>
      <c r="O124" s="6"/>
      <c r="P124" s="6"/>
      <c r="Q124" s="6"/>
      <c r="R124" s="6"/>
      <c r="S124" s="6"/>
      <c r="T124" s="6"/>
      <c r="U124" s="6"/>
      <c r="V124" s="6"/>
      <c r="W124" s="6"/>
      <c r="X124" s="6"/>
      <c r="Y124" s="6"/>
      <c r="Z124" s="6"/>
      <c r="AA124" s="6"/>
      <c r="AB124" s="6"/>
      <c r="AC124" s="6"/>
      <c r="AD124" s="6"/>
      <c r="AE124" s="6"/>
      <c r="AF124" s="6"/>
      <c r="AG124" s="6"/>
      <c r="AH124" s="6"/>
      <c r="AI124" s="6"/>
      <c r="AJ124" s="6"/>
      <c r="AK124" s="6"/>
      <c r="AL124" s="6"/>
      <c r="AM124" s="6"/>
      <c r="AN124" s="6"/>
      <c r="AO124" s="6"/>
      <c r="AP124" s="6"/>
      <c r="AQ124" s="6"/>
      <c r="AR124" s="6"/>
      <c r="AS124" s="6"/>
      <c r="AT124" s="6"/>
      <c r="AU124" s="6"/>
      <c r="AV124" s="6"/>
      <c r="AW124" s="6"/>
      <c r="AX124" s="6"/>
      <c r="AY124" s="6"/>
      <c r="AZ124" s="6"/>
      <c r="BA124" s="6"/>
      <c r="BB124" s="6"/>
      <c r="BC124" s="6"/>
      <c r="BD124" s="6"/>
      <c r="BE124" s="6"/>
      <c r="BF124" s="6"/>
      <c r="BG124" s="6"/>
      <c r="BH124" s="6"/>
      <c r="BI124" s="6"/>
      <c r="BJ124" s="6"/>
      <c r="BK124" s="6"/>
      <c r="BL124" s="6"/>
      <c r="BM124" s="6"/>
      <c r="BN124" s="6"/>
      <c r="BO124" s="6"/>
      <c r="BP124" s="6"/>
      <c r="BQ124" s="6"/>
      <c r="BR124" s="6"/>
      <c r="BS124" s="6"/>
      <c r="BT124" s="6"/>
    </row>
    <row r="125" spans="1:72" x14ac:dyDescent="0.3">
      <c r="A125" s="619">
        <f>'Development Inputs'!H82</f>
        <v>0</v>
      </c>
      <c r="B125" s="512">
        <f>'Development Inputs'!I82</f>
        <v>0</v>
      </c>
      <c r="D125" s="617">
        <f>IF($D$136&gt;0,0,'Development Inputs'!L82)</f>
        <v>0</v>
      </c>
      <c r="E125" s="617">
        <f t="shared" si="43"/>
        <v>0</v>
      </c>
      <c r="F125" s="617">
        <f t="shared" ca="1" si="44"/>
        <v>0</v>
      </c>
      <c r="G125" s="617">
        <f t="shared" ca="1" si="45"/>
        <v>0</v>
      </c>
      <c r="H125" s="6"/>
      <c r="I125" s="6"/>
      <c r="J125" s="6"/>
      <c r="K125" s="6"/>
      <c r="L125" s="6"/>
      <c r="M125" s="6"/>
      <c r="N125" s="6"/>
      <c r="O125" s="6"/>
      <c r="P125" s="6"/>
      <c r="Q125" s="6"/>
      <c r="R125" s="6"/>
      <c r="S125" s="6"/>
      <c r="T125" s="6"/>
      <c r="U125" s="6"/>
      <c r="V125" s="6"/>
      <c r="W125" s="6"/>
      <c r="X125" s="6"/>
      <c r="Y125" s="6"/>
      <c r="Z125" s="6"/>
      <c r="AA125" s="6"/>
      <c r="AB125" s="6"/>
      <c r="AC125" s="6"/>
      <c r="AD125" s="6"/>
      <c r="AE125" s="6"/>
      <c r="AF125" s="6"/>
      <c r="AG125" s="6"/>
      <c r="AH125" s="6"/>
      <c r="AI125" s="6"/>
      <c r="AJ125" s="6"/>
      <c r="AK125" s="6"/>
      <c r="AL125" s="6"/>
      <c r="AM125" s="6"/>
      <c r="AN125" s="6"/>
      <c r="AO125" s="6"/>
      <c r="AP125" s="6"/>
      <c r="AQ125" s="6"/>
      <c r="AR125" s="6"/>
      <c r="AS125" s="6"/>
      <c r="AT125" s="6"/>
      <c r="AU125" s="6"/>
      <c r="AV125" s="6"/>
      <c r="AW125" s="6"/>
      <c r="AX125" s="6"/>
      <c r="AY125" s="6"/>
      <c r="AZ125" s="6"/>
      <c r="BA125" s="6"/>
      <c r="BB125" s="6"/>
      <c r="BC125" s="6"/>
      <c r="BD125" s="6"/>
      <c r="BE125" s="6"/>
      <c r="BF125" s="6"/>
      <c r="BG125" s="6"/>
      <c r="BH125" s="6"/>
      <c r="BI125" s="6"/>
      <c r="BJ125" s="6"/>
      <c r="BK125" s="6"/>
      <c r="BL125" s="6"/>
      <c r="BM125" s="6"/>
      <c r="BN125" s="6"/>
      <c r="BO125" s="6"/>
      <c r="BP125" s="6"/>
      <c r="BQ125" s="6"/>
      <c r="BR125" s="6"/>
      <c r="BS125" s="6"/>
      <c r="BT125" s="6"/>
    </row>
    <row r="126" spans="1:72" x14ac:dyDescent="0.3">
      <c r="A126" s="619">
        <f>'Development Inputs'!H83</f>
        <v>0</v>
      </c>
      <c r="B126" s="512">
        <f>'Development Inputs'!I83</f>
        <v>0</v>
      </c>
      <c r="D126" s="617">
        <f>IF($D$136&gt;0,0,'Development Inputs'!L83)</f>
        <v>0</v>
      </c>
      <c r="E126" s="617">
        <f t="shared" si="43"/>
        <v>0</v>
      </c>
      <c r="F126" s="617">
        <f t="shared" ca="1" si="44"/>
        <v>0</v>
      </c>
      <c r="G126" s="617">
        <f t="shared" ca="1" si="45"/>
        <v>0</v>
      </c>
      <c r="H126" s="6"/>
      <c r="I126" s="6"/>
      <c r="J126" s="6"/>
      <c r="K126" s="6"/>
      <c r="L126" s="6"/>
      <c r="M126" s="6"/>
      <c r="N126" s="6"/>
      <c r="O126" s="6"/>
      <c r="P126" s="6"/>
      <c r="Q126" s="6"/>
      <c r="R126" s="6"/>
      <c r="S126" s="6"/>
      <c r="T126" s="6"/>
      <c r="U126" s="6"/>
      <c r="V126" s="6"/>
      <c r="W126" s="6"/>
      <c r="X126" s="6"/>
      <c r="Y126" s="6"/>
      <c r="Z126" s="6"/>
      <c r="AA126" s="6"/>
      <c r="AB126" s="6"/>
      <c r="AC126" s="6"/>
      <c r="AD126" s="6"/>
      <c r="AE126" s="6"/>
      <c r="AF126" s="6"/>
      <c r="AG126" s="6"/>
      <c r="AH126" s="6"/>
      <c r="AI126" s="6"/>
      <c r="AJ126" s="6"/>
      <c r="AK126" s="6"/>
      <c r="AL126" s="6"/>
      <c r="AM126" s="6"/>
      <c r="AN126" s="6"/>
      <c r="AO126" s="6"/>
      <c r="AP126" s="6"/>
      <c r="AQ126" s="6"/>
      <c r="AR126" s="6"/>
      <c r="AS126" s="6"/>
      <c r="AT126" s="6"/>
      <c r="AU126" s="6"/>
      <c r="AV126" s="6"/>
      <c r="AW126" s="6"/>
      <c r="AX126" s="6"/>
      <c r="AY126" s="6"/>
      <c r="AZ126" s="6"/>
      <c r="BA126" s="6"/>
      <c r="BB126" s="6"/>
      <c r="BC126" s="6"/>
      <c r="BD126" s="6"/>
      <c r="BE126" s="6"/>
      <c r="BF126" s="6"/>
      <c r="BG126" s="6"/>
      <c r="BH126" s="6"/>
      <c r="BI126" s="6"/>
      <c r="BJ126" s="6"/>
      <c r="BK126" s="6"/>
      <c r="BL126" s="6"/>
      <c r="BM126" s="6"/>
      <c r="BN126" s="6"/>
      <c r="BO126" s="6"/>
      <c r="BP126" s="6"/>
      <c r="BQ126" s="6"/>
      <c r="BR126" s="6"/>
      <c r="BS126" s="6"/>
      <c r="BT126" s="6"/>
    </row>
    <row r="127" spans="1:72" x14ac:dyDescent="0.3">
      <c r="A127" s="619">
        <f>'Development Inputs'!H84</f>
        <v>0</v>
      </c>
      <c r="B127" s="512">
        <f>'Development Inputs'!I84</f>
        <v>0</v>
      </c>
      <c r="D127" s="617">
        <f>IF($D$136&gt;0,0,'Development Inputs'!L84)</f>
        <v>0</v>
      </c>
      <c r="E127" s="617">
        <f t="shared" si="43"/>
        <v>0</v>
      </c>
      <c r="F127" s="617">
        <f t="shared" ca="1" si="44"/>
        <v>0</v>
      </c>
      <c r="G127" s="617">
        <f t="shared" ca="1" si="45"/>
        <v>0</v>
      </c>
      <c r="H127" s="6"/>
      <c r="I127" s="6"/>
      <c r="J127" s="6"/>
      <c r="K127" s="6"/>
      <c r="L127" s="6"/>
      <c r="M127" s="6"/>
      <c r="N127" s="6"/>
      <c r="O127" s="6"/>
      <c r="P127" s="6"/>
      <c r="Q127" s="6"/>
      <c r="R127" s="6"/>
      <c r="S127" s="6"/>
      <c r="T127" s="6"/>
      <c r="U127" s="6"/>
      <c r="V127" s="6"/>
      <c r="W127" s="6"/>
      <c r="X127" s="6"/>
      <c r="Y127" s="6"/>
      <c r="Z127" s="6"/>
      <c r="AA127" s="6"/>
      <c r="AB127" s="6"/>
      <c r="AC127" s="6"/>
      <c r="AD127" s="6"/>
      <c r="AE127" s="6"/>
      <c r="AF127" s="6"/>
      <c r="AG127" s="6"/>
      <c r="AH127" s="6"/>
      <c r="AI127" s="6"/>
      <c r="AJ127" s="6"/>
      <c r="AK127" s="6"/>
      <c r="AL127" s="6"/>
      <c r="AM127" s="6"/>
      <c r="AN127" s="6"/>
      <c r="AO127" s="6"/>
      <c r="AP127" s="6"/>
      <c r="AQ127" s="6"/>
      <c r="AR127" s="6"/>
      <c r="AS127" s="6"/>
      <c r="AT127" s="6"/>
      <c r="AU127" s="6"/>
      <c r="AV127" s="6"/>
      <c r="AW127" s="6"/>
      <c r="AX127" s="6"/>
      <c r="AY127" s="6"/>
      <c r="AZ127" s="6"/>
      <c r="BA127" s="6"/>
      <c r="BB127" s="6"/>
      <c r="BC127" s="6"/>
      <c r="BD127" s="6"/>
      <c r="BE127" s="6"/>
      <c r="BF127" s="6"/>
      <c r="BG127" s="6"/>
      <c r="BH127" s="6"/>
      <c r="BI127" s="6"/>
      <c r="BJ127" s="6"/>
      <c r="BK127" s="6"/>
      <c r="BL127" s="6"/>
      <c r="BM127" s="6"/>
      <c r="BN127" s="6"/>
      <c r="BO127" s="6"/>
      <c r="BP127" s="6"/>
      <c r="BQ127" s="6"/>
      <c r="BR127" s="6"/>
      <c r="BS127" s="6"/>
      <c r="BT127" s="6"/>
    </row>
    <row r="128" spans="1:72" x14ac:dyDescent="0.3">
      <c r="A128" s="619">
        <f>'Development Inputs'!H85</f>
        <v>0</v>
      </c>
      <c r="B128" s="512">
        <f>'Development Inputs'!I85</f>
        <v>0</v>
      </c>
      <c r="D128" s="617">
        <f>IF($D$136&gt;0,0,'Development Inputs'!L85)</f>
        <v>0</v>
      </c>
      <c r="E128" s="617">
        <f t="shared" si="43"/>
        <v>0</v>
      </c>
      <c r="F128" s="617">
        <f t="shared" ca="1" si="44"/>
        <v>0</v>
      </c>
      <c r="G128" s="617">
        <f t="shared" ca="1" si="45"/>
        <v>0</v>
      </c>
      <c r="H128" s="6"/>
      <c r="I128" s="6"/>
      <c r="J128" s="6"/>
      <c r="K128" s="6"/>
      <c r="L128" s="6"/>
      <c r="M128" s="6"/>
      <c r="N128" s="6"/>
      <c r="O128" s="6"/>
      <c r="P128" s="6"/>
      <c r="Q128" s="6"/>
      <c r="R128" s="6"/>
      <c r="S128" s="6"/>
      <c r="T128" s="6"/>
      <c r="U128" s="6"/>
      <c r="V128" s="6"/>
      <c r="W128" s="6"/>
      <c r="X128" s="6"/>
      <c r="Y128" s="6"/>
      <c r="Z128" s="6"/>
      <c r="AA128" s="6"/>
      <c r="AB128" s="6"/>
      <c r="AC128" s="6"/>
      <c r="AD128" s="6"/>
      <c r="AE128" s="6"/>
      <c r="AF128" s="6"/>
      <c r="AG128" s="6"/>
      <c r="AH128" s="6"/>
      <c r="AI128" s="6"/>
      <c r="AJ128" s="6"/>
      <c r="AK128" s="6"/>
      <c r="AL128" s="6"/>
      <c r="AM128" s="6"/>
      <c r="AN128" s="6"/>
      <c r="AO128" s="6"/>
      <c r="AP128" s="6"/>
      <c r="AQ128" s="6"/>
      <c r="AR128" s="6"/>
      <c r="AS128" s="6"/>
      <c r="AT128" s="6"/>
      <c r="AU128" s="6"/>
      <c r="AV128" s="6"/>
      <c r="AW128" s="6"/>
      <c r="AX128" s="6"/>
      <c r="AY128" s="6"/>
      <c r="AZ128" s="6"/>
      <c r="BA128" s="6"/>
      <c r="BB128" s="6"/>
      <c r="BC128" s="6"/>
      <c r="BD128" s="6"/>
      <c r="BE128" s="6"/>
      <c r="BF128" s="6"/>
      <c r="BG128" s="6"/>
      <c r="BH128" s="6"/>
      <c r="BI128" s="6"/>
      <c r="BJ128" s="6"/>
      <c r="BK128" s="6"/>
      <c r="BL128" s="6"/>
      <c r="BM128" s="6"/>
      <c r="BN128" s="6"/>
      <c r="BO128" s="6"/>
      <c r="BP128" s="6"/>
      <c r="BQ128" s="6"/>
      <c r="BR128" s="6"/>
      <c r="BS128" s="6"/>
      <c r="BT128" s="6"/>
    </row>
    <row r="129" spans="1:72" x14ac:dyDescent="0.3">
      <c r="A129" s="619">
        <f>'Development Inputs'!H86</f>
        <v>0</v>
      </c>
      <c r="B129" s="512">
        <f>'Development Inputs'!I86</f>
        <v>0</v>
      </c>
      <c r="D129" s="617">
        <f>IF($D$136&gt;0,0,'Development Inputs'!L86)</f>
        <v>0</v>
      </c>
      <c r="E129" s="617">
        <f t="shared" si="43"/>
        <v>0</v>
      </c>
      <c r="F129" s="617">
        <f t="shared" ca="1" si="44"/>
        <v>0</v>
      </c>
      <c r="G129" s="617">
        <f t="shared" ca="1" si="45"/>
        <v>0</v>
      </c>
      <c r="H129" s="6"/>
      <c r="I129" s="6"/>
      <c r="J129" s="6"/>
      <c r="K129" s="6"/>
      <c r="L129" s="6"/>
      <c r="M129" s="6"/>
      <c r="N129" s="6"/>
      <c r="O129" s="6"/>
      <c r="P129" s="6"/>
      <c r="Q129" s="6"/>
      <c r="R129" s="6"/>
      <c r="S129" s="6"/>
      <c r="T129" s="6"/>
      <c r="U129" s="6"/>
      <c r="V129" s="6"/>
      <c r="W129" s="6"/>
      <c r="X129" s="6"/>
      <c r="Y129" s="6"/>
      <c r="Z129" s="6"/>
      <c r="AA129" s="6"/>
      <c r="AB129" s="6"/>
      <c r="AC129" s="6"/>
      <c r="AD129" s="6"/>
      <c r="AE129" s="6"/>
      <c r="AF129" s="6"/>
      <c r="AG129" s="6"/>
      <c r="AH129" s="6"/>
      <c r="AI129" s="6"/>
      <c r="AJ129" s="6"/>
      <c r="AK129" s="6"/>
      <c r="AL129" s="6"/>
      <c r="AM129" s="6"/>
      <c r="AN129" s="6"/>
      <c r="AO129" s="6"/>
      <c r="AP129" s="6"/>
      <c r="AQ129" s="6"/>
      <c r="AR129" s="6"/>
      <c r="AS129" s="6"/>
      <c r="AT129" s="6"/>
      <c r="AU129" s="6"/>
      <c r="AV129" s="6"/>
      <c r="AW129" s="6"/>
      <c r="AX129" s="6"/>
      <c r="AY129" s="6"/>
      <c r="AZ129" s="6"/>
      <c r="BA129" s="6"/>
      <c r="BB129" s="6"/>
      <c r="BC129" s="6"/>
      <c r="BD129" s="6"/>
      <c r="BE129" s="6"/>
      <c r="BF129" s="6"/>
      <c r="BG129" s="6"/>
      <c r="BH129" s="6"/>
      <c r="BI129" s="6"/>
      <c r="BJ129" s="6"/>
      <c r="BK129" s="6"/>
      <c r="BL129" s="6"/>
      <c r="BM129" s="6"/>
      <c r="BN129" s="6"/>
      <c r="BO129" s="6"/>
      <c r="BP129" s="6"/>
      <c r="BQ129" s="6"/>
      <c r="BR129" s="6"/>
      <c r="BS129" s="6"/>
      <c r="BT129" s="6"/>
    </row>
    <row r="130" spans="1:72" x14ac:dyDescent="0.3">
      <c r="A130" s="619">
        <f>'Development Inputs'!H87</f>
        <v>0</v>
      </c>
      <c r="B130" s="512">
        <f>'Development Inputs'!I87</f>
        <v>0</v>
      </c>
      <c r="D130" s="617">
        <f>IF($D$136&gt;0,0,'Development Inputs'!L87)</f>
        <v>0</v>
      </c>
      <c r="E130" s="617">
        <f t="shared" si="43"/>
        <v>0</v>
      </c>
      <c r="F130" s="617">
        <f t="shared" ca="1" si="44"/>
        <v>0</v>
      </c>
      <c r="G130" s="617">
        <f t="shared" ca="1" si="45"/>
        <v>0</v>
      </c>
      <c r="H130" s="6"/>
      <c r="I130" s="6"/>
      <c r="J130" s="6"/>
      <c r="K130" s="6"/>
      <c r="L130" s="6"/>
      <c r="M130" s="6"/>
      <c r="N130" s="6"/>
      <c r="O130" s="6"/>
      <c r="P130" s="6"/>
      <c r="Q130" s="6"/>
      <c r="R130" s="6"/>
      <c r="S130" s="6"/>
      <c r="T130" s="6"/>
      <c r="U130" s="6"/>
      <c r="V130" s="6"/>
      <c r="W130" s="6"/>
      <c r="X130" s="6"/>
      <c r="Y130" s="6"/>
      <c r="Z130" s="6"/>
      <c r="AA130" s="6"/>
      <c r="AB130" s="6"/>
      <c r="AC130" s="6"/>
      <c r="AD130" s="6"/>
      <c r="AE130" s="6"/>
      <c r="AF130" s="6"/>
      <c r="AG130" s="6"/>
      <c r="AH130" s="6"/>
      <c r="AI130" s="6"/>
      <c r="AJ130" s="6"/>
      <c r="AK130" s="6"/>
      <c r="AL130" s="6"/>
      <c r="AM130" s="6"/>
      <c r="AN130" s="6"/>
      <c r="AO130" s="6"/>
      <c r="AP130" s="6"/>
      <c r="AQ130" s="6"/>
      <c r="AR130" s="6"/>
      <c r="AS130" s="6"/>
      <c r="AT130" s="6"/>
      <c r="AU130" s="6"/>
      <c r="AV130" s="6"/>
      <c r="AW130" s="6"/>
      <c r="AX130" s="6"/>
      <c r="AY130" s="6"/>
      <c r="AZ130" s="6"/>
      <c r="BA130" s="6"/>
      <c r="BB130" s="6"/>
      <c r="BC130" s="6"/>
      <c r="BD130" s="6"/>
      <c r="BE130" s="6"/>
      <c r="BF130" s="6"/>
      <c r="BG130" s="6"/>
      <c r="BH130" s="6"/>
      <c r="BI130" s="6"/>
      <c r="BJ130" s="6"/>
      <c r="BK130" s="6"/>
      <c r="BL130" s="6"/>
      <c r="BM130" s="6"/>
      <c r="BN130" s="6"/>
      <c r="BO130" s="6"/>
      <c r="BP130" s="6"/>
      <c r="BQ130" s="6"/>
      <c r="BR130" s="6"/>
      <c r="BS130" s="6"/>
      <c r="BT130" s="6"/>
    </row>
    <row r="131" spans="1:72" x14ac:dyDescent="0.3">
      <c r="A131" s="619">
        <f>'Development Inputs'!H88</f>
        <v>0</v>
      </c>
      <c r="B131" s="512">
        <f>'Development Inputs'!I88</f>
        <v>0</v>
      </c>
      <c r="D131" s="617">
        <f>IF($D$136&gt;0,0,'Development Inputs'!L88)</f>
        <v>0</v>
      </c>
      <c r="E131" s="617">
        <f t="shared" si="43"/>
        <v>0</v>
      </c>
      <c r="F131" s="617">
        <f t="shared" ca="1" si="44"/>
        <v>0</v>
      </c>
      <c r="G131" s="617">
        <f t="shared" ca="1" si="45"/>
        <v>0</v>
      </c>
      <c r="H131" s="6"/>
      <c r="I131" s="6"/>
      <c r="J131" s="6"/>
      <c r="K131" s="6"/>
      <c r="L131" s="6"/>
      <c r="M131" s="6"/>
      <c r="N131" s="6"/>
      <c r="O131" s="6"/>
      <c r="P131" s="6"/>
      <c r="Q131" s="6"/>
      <c r="R131" s="6"/>
      <c r="S131" s="6"/>
      <c r="T131" s="6"/>
      <c r="U131" s="6"/>
      <c r="V131" s="6"/>
      <c r="W131" s="6"/>
      <c r="X131" s="6"/>
      <c r="Y131" s="6"/>
      <c r="Z131" s="6"/>
      <c r="AA131" s="6"/>
      <c r="AB131" s="6"/>
      <c r="AC131" s="6"/>
      <c r="AD131" s="6"/>
      <c r="AE131" s="6"/>
      <c r="AF131" s="6"/>
      <c r="AG131" s="6"/>
      <c r="AH131" s="6"/>
      <c r="AI131" s="6"/>
      <c r="AJ131" s="6"/>
      <c r="AK131" s="6"/>
      <c r="AL131" s="6"/>
      <c r="AM131" s="6"/>
      <c r="AN131" s="6"/>
      <c r="AO131" s="6"/>
      <c r="AP131" s="6"/>
      <c r="AQ131" s="6"/>
      <c r="AR131" s="6"/>
      <c r="AS131" s="6"/>
      <c r="AT131" s="6"/>
      <c r="AU131" s="6"/>
      <c r="AV131" s="6"/>
      <c r="AW131" s="6"/>
      <c r="AX131" s="6"/>
      <c r="AY131" s="6"/>
      <c r="AZ131" s="6"/>
      <c r="BA131" s="6"/>
      <c r="BB131" s="6"/>
      <c r="BC131" s="6"/>
      <c r="BD131" s="6"/>
      <c r="BE131" s="6"/>
      <c r="BF131" s="6"/>
      <c r="BG131" s="6"/>
      <c r="BH131" s="6"/>
      <c r="BI131" s="6"/>
      <c r="BJ131" s="6"/>
      <c r="BK131" s="6"/>
      <c r="BL131" s="6"/>
      <c r="BM131" s="6"/>
      <c r="BN131" s="6"/>
      <c r="BO131" s="6"/>
      <c r="BP131" s="6"/>
      <c r="BQ131" s="6"/>
      <c r="BR131" s="6"/>
      <c r="BS131" s="6"/>
      <c r="BT131" s="6"/>
    </row>
    <row r="132" spans="1:72" x14ac:dyDescent="0.3">
      <c r="A132" s="619">
        <f>'Development Inputs'!H89</f>
        <v>0</v>
      </c>
      <c r="B132" s="512">
        <f>'Development Inputs'!I89</f>
        <v>0</v>
      </c>
      <c r="D132" s="617">
        <f>IF($D$136&gt;0,0,'Development Inputs'!L89)</f>
        <v>0</v>
      </c>
      <c r="E132" s="617">
        <f t="shared" si="43"/>
        <v>0</v>
      </c>
      <c r="F132" s="617">
        <f t="shared" ca="1" si="44"/>
        <v>0</v>
      </c>
      <c r="G132" s="617">
        <f t="shared" ca="1" si="45"/>
        <v>0</v>
      </c>
      <c r="H132" s="6"/>
      <c r="I132" s="6"/>
      <c r="J132" s="6"/>
      <c r="K132" s="6"/>
      <c r="L132" s="6"/>
      <c r="M132" s="6"/>
      <c r="N132" s="6"/>
      <c r="O132" s="6"/>
      <c r="P132" s="6"/>
      <c r="Q132" s="6"/>
      <c r="R132" s="6"/>
      <c r="S132" s="6"/>
      <c r="T132" s="6"/>
      <c r="U132" s="6"/>
      <c r="V132" s="6"/>
      <c r="W132" s="6"/>
      <c r="X132" s="6"/>
      <c r="Y132" s="6"/>
      <c r="Z132" s="6"/>
      <c r="AA132" s="6"/>
      <c r="AB132" s="6"/>
      <c r="AC132" s="6"/>
      <c r="AD132" s="6"/>
      <c r="AE132" s="6"/>
      <c r="AF132" s="6"/>
      <c r="AG132" s="6"/>
      <c r="AH132" s="6"/>
      <c r="AI132" s="6"/>
      <c r="AJ132" s="6"/>
      <c r="AK132" s="6"/>
      <c r="AL132" s="6"/>
      <c r="AM132" s="6"/>
      <c r="AN132" s="6"/>
      <c r="AO132" s="6"/>
      <c r="AP132" s="6"/>
      <c r="AQ132" s="6"/>
      <c r="AR132" s="6"/>
      <c r="AS132" s="6"/>
      <c r="AT132" s="6"/>
      <c r="AU132" s="6"/>
      <c r="AV132" s="6"/>
      <c r="AW132" s="6"/>
      <c r="AX132" s="6"/>
      <c r="AY132" s="6"/>
      <c r="AZ132" s="6"/>
      <c r="BA132" s="6"/>
      <c r="BB132" s="6"/>
      <c r="BC132" s="6"/>
      <c r="BD132" s="6"/>
      <c r="BE132" s="6"/>
      <c r="BF132" s="6"/>
      <c r="BG132" s="6"/>
      <c r="BH132" s="6"/>
      <c r="BI132" s="6"/>
      <c r="BJ132" s="6"/>
      <c r="BK132" s="6"/>
      <c r="BL132" s="6"/>
      <c r="BM132" s="6"/>
      <c r="BN132" s="6"/>
      <c r="BO132" s="6"/>
      <c r="BP132" s="6"/>
      <c r="BQ132" s="6"/>
      <c r="BR132" s="6"/>
      <c r="BS132" s="6"/>
      <c r="BT132" s="6"/>
    </row>
    <row r="133" spans="1:72" x14ac:dyDescent="0.3">
      <c r="A133" s="619">
        <f>'Development Inputs'!H90</f>
        <v>0</v>
      </c>
      <c r="B133" s="512">
        <f>'Development Inputs'!I90</f>
        <v>0</v>
      </c>
      <c r="D133" s="617">
        <f>IF($D$136&gt;0,0,'Development Inputs'!L90)</f>
        <v>0</v>
      </c>
      <c r="E133" s="617">
        <f t="shared" si="43"/>
        <v>0</v>
      </c>
      <c r="F133" s="617">
        <f t="shared" ca="1" si="44"/>
        <v>0</v>
      </c>
      <c r="G133" s="617"/>
      <c r="H133" s="6"/>
      <c r="I133" s="6"/>
      <c r="J133" s="6"/>
      <c r="K133" s="6"/>
      <c r="L133" s="6"/>
      <c r="M133" s="6"/>
      <c r="N133" s="6"/>
      <c r="O133" s="6"/>
      <c r="P133" s="6"/>
      <c r="Q133" s="6"/>
      <c r="R133" s="6"/>
      <c r="S133" s="6"/>
      <c r="T133" s="6"/>
      <c r="U133" s="6"/>
      <c r="V133" s="6"/>
      <c r="W133" s="6"/>
      <c r="X133" s="6"/>
      <c r="Y133" s="6"/>
      <c r="Z133" s="6"/>
      <c r="AA133" s="6"/>
      <c r="AB133" s="6"/>
      <c r="AC133" s="6"/>
      <c r="AD133" s="6"/>
      <c r="AE133" s="6"/>
      <c r="AF133" s="6"/>
      <c r="AG133" s="6"/>
      <c r="AH133" s="6"/>
      <c r="AI133" s="6"/>
      <c r="AJ133" s="6"/>
      <c r="AK133" s="6"/>
      <c r="AL133" s="6"/>
      <c r="AM133" s="6"/>
      <c r="AN133" s="6"/>
      <c r="AO133" s="6"/>
      <c r="AP133" s="6"/>
      <c r="AQ133" s="6"/>
      <c r="AR133" s="6"/>
      <c r="AS133" s="6"/>
      <c r="AT133" s="6"/>
      <c r="AU133" s="6"/>
      <c r="AV133" s="6"/>
      <c r="AW133" s="6"/>
      <c r="AX133" s="6"/>
      <c r="AY133" s="6"/>
      <c r="AZ133" s="6"/>
      <c r="BA133" s="6"/>
      <c r="BB133" s="6"/>
      <c r="BC133" s="6"/>
      <c r="BD133" s="6"/>
      <c r="BE133" s="6"/>
      <c r="BF133" s="6"/>
      <c r="BG133" s="6"/>
      <c r="BH133" s="6"/>
      <c r="BI133" s="6"/>
      <c r="BJ133" s="6"/>
      <c r="BK133" s="6"/>
      <c r="BL133" s="6"/>
      <c r="BM133" s="6"/>
      <c r="BN133" s="6"/>
      <c r="BO133" s="6"/>
      <c r="BP133" s="6"/>
      <c r="BQ133" s="6"/>
      <c r="BR133" s="6"/>
      <c r="BS133" s="6"/>
      <c r="BT133" s="6"/>
    </row>
    <row r="134" spans="1:72" x14ac:dyDescent="0.3">
      <c r="A134" s="619">
        <f>'Development Inputs'!H91</f>
        <v>0</v>
      </c>
      <c r="B134" s="512">
        <f>'Development Inputs'!I91</f>
        <v>0</v>
      </c>
      <c r="D134" s="617">
        <f>IF($D$136&gt;0,0,'Development Inputs'!L91)</f>
        <v>0</v>
      </c>
      <c r="E134" s="617">
        <f t="shared" si="43"/>
        <v>0</v>
      </c>
      <c r="F134" s="617">
        <f t="shared" ca="1" si="44"/>
        <v>0</v>
      </c>
      <c r="G134" s="617">
        <f t="shared" ca="1" si="45"/>
        <v>0</v>
      </c>
      <c r="H134" s="6"/>
      <c r="I134" s="6"/>
      <c r="J134" s="6"/>
      <c r="K134" s="6"/>
      <c r="L134" s="6"/>
      <c r="M134" s="6"/>
      <c r="N134" s="6"/>
      <c r="O134" s="6"/>
      <c r="P134" s="6"/>
      <c r="Q134" s="6"/>
      <c r="R134" s="6"/>
      <c r="S134" s="6"/>
      <c r="T134" s="6"/>
      <c r="U134" s="6"/>
      <c r="V134" s="6"/>
      <c r="W134" s="6"/>
      <c r="X134" s="6"/>
      <c r="Y134" s="6"/>
      <c r="Z134" s="6"/>
      <c r="AA134" s="6"/>
      <c r="AB134" s="6"/>
      <c r="AC134" s="6"/>
      <c r="AD134" s="6"/>
      <c r="AE134" s="6"/>
      <c r="AF134" s="6"/>
      <c r="AG134" s="6"/>
      <c r="AH134" s="6"/>
      <c r="AI134" s="6"/>
      <c r="AJ134" s="6"/>
      <c r="AK134" s="6"/>
      <c r="AL134" s="6"/>
      <c r="AM134" s="6"/>
      <c r="AN134" s="6"/>
      <c r="AO134" s="6"/>
      <c r="AP134" s="6"/>
      <c r="AQ134" s="6"/>
      <c r="AR134" s="6"/>
      <c r="AS134" s="6"/>
      <c r="AT134" s="6"/>
      <c r="AU134" s="6"/>
      <c r="AV134" s="6"/>
      <c r="AW134" s="6"/>
      <c r="AX134" s="6"/>
      <c r="AY134" s="6"/>
      <c r="AZ134" s="6"/>
      <c r="BA134" s="6"/>
      <c r="BB134" s="6"/>
      <c r="BC134" s="6"/>
      <c r="BD134" s="6"/>
      <c r="BE134" s="6"/>
      <c r="BF134" s="6"/>
      <c r="BG134" s="6"/>
      <c r="BH134" s="6"/>
      <c r="BI134" s="6"/>
      <c r="BJ134" s="6"/>
      <c r="BK134" s="6"/>
      <c r="BL134" s="6"/>
      <c r="BM134" s="6"/>
      <c r="BN134" s="6"/>
      <c r="BO134" s="6"/>
      <c r="BP134" s="6"/>
      <c r="BQ134" s="6"/>
      <c r="BR134" s="6"/>
      <c r="BS134" s="6"/>
      <c r="BT134" s="6"/>
    </row>
    <row r="135" spans="1:72" x14ac:dyDescent="0.3">
      <c r="A135" s="619">
        <f>'Development Inputs'!H92</f>
        <v>0</v>
      </c>
      <c r="B135" s="512">
        <f>'Development Inputs'!I92</f>
        <v>0</v>
      </c>
      <c r="D135" s="617">
        <f>IF($D$136&gt;0,0,'Development Inputs'!L92)</f>
        <v>0</v>
      </c>
      <c r="E135" s="617">
        <f t="shared" si="43"/>
        <v>0</v>
      </c>
      <c r="F135" s="617">
        <f t="shared" ca="1" si="44"/>
        <v>0</v>
      </c>
      <c r="G135" s="617">
        <f t="shared" ca="1" si="45"/>
        <v>0</v>
      </c>
      <c r="H135" s="6"/>
      <c r="I135" s="6"/>
      <c r="J135" s="6"/>
      <c r="K135" s="6"/>
      <c r="L135" s="6"/>
      <c r="M135" s="6"/>
      <c r="N135" s="6"/>
      <c r="O135" s="6"/>
      <c r="P135" s="6"/>
      <c r="Q135" s="6"/>
      <c r="R135" s="6"/>
      <c r="S135" s="6"/>
      <c r="T135" s="6"/>
      <c r="U135" s="6"/>
      <c r="V135" s="6"/>
      <c r="W135" s="6"/>
      <c r="X135" s="6"/>
      <c r="Y135" s="6"/>
      <c r="Z135" s="6"/>
      <c r="AA135" s="6"/>
      <c r="AB135" s="6"/>
      <c r="AC135" s="6"/>
      <c r="AD135" s="6"/>
      <c r="AE135" s="6"/>
      <c r="AF135" s="6"/>
      <c r="AG135" s="6"/>
      <c r="AH135" s="6"/>
      <c r="AI135" s="6"/>
      <c r="AJ135" s="6"/>
      <c r="AK135" s="6"/>
      <c r="AL135" s="6"/>
      <c r="AM135" s="6"/>
      <c r="AN135" s="6"/>
      <c r="AO135" s="6"/>
      <c r="AP135" s="6"/>
      <c r="AQ135" s="6"/>
      <c r="AR135" s="6"/>
      <c r="AS135" s="6"/>
      <c r="AT135" s="6"/>
      <c r="AU135" s="6"/>
      <c r="AV135" s="6"/>
      <c r="AW135" s="6"/>
      <c r="AX135" s="6"/>
      <c r="AY135" s="6"/>
      <c r="AZ135" s="6"/>
      <c r="BA135" s="6"/>
      <c r="BB135" s="6"/>
      <c r="BC135" s="6"/>
      <c r="BD135" s="6"/>
      <c r="BE135" s="6"/>
      <c r="BF135" s="6"/>
      <c r="BG135" s="6"/>
      <c r="BH135" s="6"/>
      <c r="BI135" s="6"/>
      <c r="BJ135" s="6"/>
      <c r="BK135" s="6"/>
      <c r="BL135" s="6"/>
      <c r="BM135" s="6"/>
      <c r="BN135" s="6"/>
      <c r="BO135" s="6"/>
      <c r="BP135" s="6"/>
      <c r="BQ135" s="6"/>
      <c r="BR135" s="6"/>
      <c r="BS135" s="6"/>
      <c r="BT135" s="6"/>
    </row>
    <row r="136" spans="1:72" s="203" customFormat="1" x14ac:dyDescent="0.3">
      <c r="A136" s="619">
        <f>'Development Inputs'!H93</f>
        <v>0</v>
      </c>
      <c r="B136" s="512" t="str">
        <f>'Development Inputs'!I93</f>
        <v>Input as Total</v>
      </c>
      <c r="C136" s="477"/>
      <c r="D136" s="617">
        <f>'Development Inputs'!L93</f>
        <v>0</v>
      </c>
      <c r="E136" s="610">
        <f t="shared" si="43"/>
        <v>0</v>
      </c>
      <c r="F136" s="610">
        <f t="shared" ca="1" si="44"/>
        <v>0</v>
      </c>
      <c r="G136" s="610">
        <f t="shared" ca="1" si="45"/>
        <v>0</v>
      </c>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row>
    <row r="137" spans="1:72" s="203" customFormat="1" x14ac:dyDescent="0.3">
      <c r="A137" s="611"/>
      <c r="B137" s="612"/>
      <c r="C137" s="613"/>
      <c r="D137" s="614"/>
      <c r="E137" s="614"/>
      <c r="F137" s="614"/>
      <c r="G137" s="614"/>
      <c r="H137" s="615"/>
      <c r="I137" s="615"/>
      <c r="J137" s="615"/>
      <c r="K137" s="615"/>
      <c r="L137" s="615"/>
      <c r="M137" s="615"/>
      <c r="N137" s="615"/>
      <c r="O137" s="615"/>
      <c r="P137" s="615"/>
      <c r="Q137" s="615"/>
      <c r="R137" s="615"/>
      <c r="S137" s="615"/>
      <c r="T137" s="615"/>
      <c r="U137" s="615"/>
      <c r="V137" s="615"/>
      <c r="W137" s="615"/>
      <c r="X137" s="615"/>
      <c r="Y137" s="615"/>
      <c r="Z137" s="615"/>
      <c r="AA137" s="615"/>
      <c r="AB137" s="615"/>
      <c r="AC137" s="615"/>
      <c r="AD137" s="615"/>
      <c r="AE137" s="615"/>
      <c r="AF137" s="615"/>
      <c r="AG137" s="615"/>
      <c r="AH137" s="615"/>
      <c r="AI137" s="615"/>
      <c r="AJ137" s="615"/>
      <c r="AK137" s="615"/>
      <c r="AL137" s="615"/>
      <c r="AM137" s="615"/>
      <c r="AN137" s="615"/>
      <c r="AO137" s="615"/>
      <c r="AP137" s="615"/>
      <c r="AQ137" s="615"/>
      <c r="AR137" s="615"/>
      <c r="AS137" s="615"/>
      <c r="AT137" s="615"/>
      <c r="AU137" s="615"/>
      <c r="AV137" s="615"/>
      <c r="AW137" s="615"/>
      <c r="AX137" s="615"/>
      <c r="AY137" s="615"/>
      <c r="AZ137" s="615"/>
      <c r="BA137" s="615"/>
      <c r="BB137" s="615"/>
      <c r="BC137" s="615"/>
      <c r="BD137" s="615"/>
      <c r="BE137" s="615"/>
      <c r="BF137" s="615"/>
      <c r="BG137" s="615"/>
      <c r="BH137" s="615"/>
      <c r="BI137" s="615"/>
      <c r="BJ137" s="615"/>
      <c r="BK137" s="615"/>
      <c r="BL137" s="615"/>
      <c r="BM137" s="615"/>
      <c r="BN137" s="615"/>
      <c r="BO137" s="615"/>
      <c r="BP137" s="615"/>
      <c r="BQ137" s="615"/>
      <c r="BR137" s="615"/>
      <c r="BS137" s="615"/>
      <c r="BT137" s="615"/>
    </row>
    <row r="138" spans="1:72" s="182" customFormat="1" x14ac:dyDescent="0.3">
      <c r="A138" s="208" t="s">
        <v>2335</v>
      </c>
      <c r="B138" s="512"/>
      <c r="D138" s="620">
        <f>TotalStartup</f>
        <v>375000</v>
      </c>
      <c r="E138" s="617">
        <f t="shared" ref="E138:E156" si="48">SUMIF($H$7:$BT$7,"&lt;"&amp;StartDate,$H138:$BT138)</f>
        <v>0</v>
      </c>
      <c r="F138" s="617">
        <f t="shared" ref="F138:F156" ca="1" si="49">SUMIF($H$7:$BT$7,"&lt;="&amp;$F$7,$H138:$BT138)</f>
        <v>0</v>
      </c>
      <c r="G138" s="617">
        <f t="shared" ca="1" si="38"/>
        <v>0</v>
      </c>
      <c r="H138" s="617">
        <f>SUBTOTAL(9,H139:H156)</f>
        <v>0</v>
      </c>
      <c r="I138" s="617">
        <f t="shared" ref="I138:AQ138" si="50">SUBTOTAL(9,I139:I156)</f>
        <v>0</v>
      </c>
      <c r="J138" s="617">
        <f t="shared" si="50"/>
        <v>0</v>
      </c>
      <c r="K138" s="617">
        <f t="shared" si="50"/>
        <v>0</v>
      </c>
      <c r="L138" s="617">
        <f t="shared" si="50"/>
        <v>0</v>
      </c>
      <c r="M138" s="617">
        <f t="shared" si="50"/>
        <v>0</v>
      </c>
      <c r="N138" s="617">
        <f t="shared" si="50"/>
        <v>0</v>
      </c>
      <c r="O138" s="617">
        <f t="shared" si="50"/>
        <v>0</v>
      </c>
      <c r="P138" s="617">
        <f t="shared" si="50"/>
        <v>0</v>
      </c>
      <c r="Q138" s="617">
        <f t="shared" si="50"/>
        <v>0</v>
      </c>
      <c r="R138" s="617">
        <f t="shared" si="50"/>
        <v>0</v>
      </c>
      <c r="S138" s="617">
        <f t="shared" si="50"/>
        <v>0</v>
      </c>
      <c r="T138" s="617">
        <f t="shared" si="50"/>
        <v>0</v>
      </c>
      <c r="U138" s="617">
        <f t="shared" si="50"/>
        <v>0</v>
      </c>
      <c r="V138" s="617">
        <f t="shared" si="50"/>
        <v>0</v>
      </c>
      <c r="W138" s="617">
        <f t="shared" si="50"/>
        <v>0</v>
      </c>
      <c r="X138" s="617">
        <f t="shared" si="50"/>
        <v>0</v>
      </c>
      <c r="Y138" s="617">
        <f t="shared" si="50"/>
        <v>0</v>
      </c>
      <c r="Z138" s="617">
        <f t="shared" si="50"/>
        <v>0</v>
      </c>
      <c r="AA138" s="617">
        <f t="shared" si="50"/>
        <v>0</v>
      </c>
      <c r="AB138" s="617">
        <f t="shared" si="50"/>
        <v>0</v>
      </c>
      <c r="AC138" s="617">
        <f t="shared" si="50"/>
        <v>0</v>
      </c>
      <c r="AD138" s="617">
        <f t="shared" si="50"/>
        <v>0</v>
      </c>
      <c r="AE138" s="617">
        <f t="shared" si="50"/>
        <v>0</v>
      </c>
      <c r="AF138" s="617">
        <f t="shared" si="50"/>
        <v>0</v>
      </c>
      <c r="AG138" s="617">
        <f t="shared" si="50"/>
        <v>0</v>
      </c>
      <c r="AH138" s="617">
        <f t="shared" si="50"/>
        <v>0</v>
      </c>
      <c r="AI138" s="617">
        <f t="shared" si="50"/>
        <v>0</v>
      </c>
      <c r="AJ138" s="617">
        <f t="shared" si="50"/>
        <v>0</v>
      </c>
      <c r="AK138" s="617">
        <f t="shared" si="50"/>
        <v>0</v>
      </c>
      <c r="AL138" s="617">
        <f t="shared" si="50"/>
        <v>0</v>
      </c>
      <c r="AM138" s="617">
        <f t="shared" si="50"/>
        <v>0</v>
      </c>
      <c r="AN138" s="617">
        <f t="shared" si="50"/>
        <v>0</v>
      </c>
      <c r="AO138" s="617">
        <f t="shared" si="50"/>
        <v>0</v>
      </c>
      <c r="AP138" s="617">
        <f t="shared" si="50"/>
        <v>0</v>
      </c>
      <c r="AQ138" s="617">
        <f t="shared" si="50"/>
        <v>0</v>
      </c>
      <c r="AR138" s="617">
        <f t="shared" ref="AR138:BT138" si="51">SUBTOTAL(9,AR139:AR156)</f>
        <v>0</v>
      </c>
      <c r="AS138" s="617">
        <f t="shared" si="51"/>
        <v>0</v>
      </c>
      <c r="AT138" s="617">
        <f t="shared" si="51"/>
        <v>0</v>
      </c>
      <c r="AU138" s="617">
        <f t="shared" si="51"/>
        <v>0</v>
      </c>
      <c r="AV138" s="617">
        <f t="shared" si="51"/>
        <v>0</v>
      </c>
      <c r="AW138" s="617">
        <f t="shared" si="51"/>
        <v>0</v>
      </c>
      <c r="AX138" s="617">
        <f t="shared" si="51"/>
        <v>0</v>
      </c>
      <c r="AY138" s="617">
        <f t="shared" si="51"/>
        <v>0</v>
      </c>
      <c r="AZ138" s="617">
        <f t="shared" si="51"/>
        <v>0</v>
      </c>
      <c r="BA138" s="617">
        <f t="shared" si="51"/>
        <v>0</v>
      </c>
      <c r="BB138" s="617">
        <f t="shared" si="51"/>
        <v>0</v>
      </c>
      <c r="BC138" s="617">
        <f t="shared" si="51"/>
        <v>0</v>
      </c>
      <c r="BD138" s="617">
        <f t="shared" si="51"/>
        <v>0</v>
      </c>
      <c r="BE138" s="617">
        <f t="shared" si="51"/>
        <v>0</v>
      </c>
      <c r="BF138" s="617">
        <f t="shared" si="51"/>
        <v>0</v>
      </c>
      <c r="BG138" s="617">
        <f t="shared" si="51"/>
        <v>0</v>
      </c>
      <c r="BH138" s="617">
        <f t="shared" si="51"/>
        <v>0</v>
      </c>
      <c r="BI138" s="617">
        <f t="shared" si="51"/>
        <v>0</v>
      </c>
      <c r="BJ138" s="617">
        <f t="shared" si="51"/>
        <v>0</v>
      </c>
      <c r="BK138" s="617">
        <f t="shared" si="51"/>
        <v>0</v>
      </c>
      <c r="BL138" s="617">
        <f t="shared" si="51"/>
        <v>0</v>
      </c>
      <c r="BM138" s="617">
        <f t="shared" si="51"/>
        <v>0</v>
      </c>
      <c r="BN138" s="617">
        <f t="shared" si="51"/>
        <v>0</v>
      </c>
      <c r="BO138" s="617">
        <f t="shared" si="51"/>
        <v>0</v>
      </c>
      <c r="BP138" s="617">
        <f t="shared" si="51"/>
        <v>0</v>
      </c>
      <c r="BQ138" s="617">
        <f t="shared" si="51"/>
        <v>0</v>
      </c>
      <c r="BR138" s="617">
        <f t="shared" si="51"/>
        <v>0</v>
      </c>
      <c r="BS138" s="617">
        <f t="shared" si="51"/>
        <v>0</v>
      </c>
      <c r="BT138" s="617">
        <f t="shared" si="51"/>
        <v>0</v>
      </c>
    </row>
    <row r="139" spans="1:72" x14ac:dyDescent="0.3">
      <c r="A139" s="619">
        <f>'Development Inputs'!H32</f>
        <v>0</v>
      </c>
      <c r="B139" s="512" t="str">
        <f>'Development Inputs'!I32</f>
        <v>Office Equipment</v>
      </c>
      <c r="D139" s="617">
        <f>IF($D$156&gt;0,0,'Development Inputs'!L32)</f>
        <v>0</v>
      </c>
      <c r="E139" s="617">
        <f t="shared" si="48"/>
        <v>0</v>
      </c>
      <c r="F139" s="617">
        <f t="shared" ca="1" si="49"/>
        <v>0</v>
      </c>
      <c r="G139" s="617">
        <f t="shared" ca="1" si="38"/>
        <v>0</v>
      </c>
      <c r="H139" s="6"/>
      <c r="I139" s="6"/>
      <c r="J139" s="6"/>
      <c r="K139" s="6"/>
      <c r="L139" s="6"/>
      <c r="M139" s="6"/>
      <c r="N139" s="6"/>
      <c r="O139" s="6"/>
      <c r="P139" s="6"/>
      <c r="Q139" s="6"/>
      <c r="R139" s="6"/>
      <c r="S139" s="6"/>
      <c r="T139" s="6"/>
      <c r="U139" s="6"/>
      <c r="V139" s="6"/>
      <c r="W139" s="6"/>
      <c r="X139" s="6"/>
      <c r="Y139" s="6"/>
      <c r="Z139" s="6"/>
      <c r="AA139" s="6"/>
      <c r="AB139" s="6"/>
      <c r="AC139" s="6"/>
      <c r="AD139" s="6"/>
      <c r="AE139" s="6"/>
      <c r="AF139" s="6"/>
      <c r="AG139" s="6"/>
      <c r="AH139" s="6"/>
      <c r="AI139" s="6"/>
      <c r="AJ139" s="6"/>
      <c r="AK139" s="6"/>
      <c r="AL139" s="6"/>
      <c r="AM139" s="6"/>
      <c r="AN139" s="6"/>
      <c r="AO139" s="6"/>
      <c r="AP139" s="6"/>
      <c r="AQ139" s="6"/>
      <c r="AR139" s="6"/>
      <c r="AS139" s="6"/>
      <c r="AT139" s="6"/>
      <c r="AU139" s="6"/>
      <c r="AV139" s="6"/>
      <c r="AW139" s="6"/>
      <c r="AX139" s="6"/>
      <c r="AY139" s="6"/>
      <c r="AZ139" s="6"/>
      <c r="BA139" s="6"/>
      <c r="BB139" s="6"/>
      <c r="BC139" s="6"/>
      <c r="BD139" s="6"/>
      <c r="BE139" s="6"/>
      <c r="BF139" s="6"/>
      <c r="BG139" s="6"/>
      <c r="BH139" s="6"/>
      <c r="BI139" s="6"/>
      <c r="BJ139" s="6"/>
      <c r="BK139" s="6"/>
      <c r="BL139" s="6"/>
      <c r="BM139" s="6"/>
      <c r="BN139" s="6"/>
      <c r="BO139" s="6"/>
      <c r="BP139" s="6"/>
      <c r="BQ139" s="6"/>
      <c r="BR139" s="6"/>
      <c r="BS139" s="6"/>
      <c r="BT139" s="6"/>
    </row>
    <row r="140" spans="1:72" x14ac:dyDescent="0.3">
      <c r="A140" s="619">
        <f>'Development Inputs'!H33</f>
        <v>0</v>
      </c>
      <c r="B140" s="512" t="str">
        <f>'Development Inputs'!I33</f>
        <v>Office Supplies</v>
      </c>
      <c r="D140" s="617">
        <f>IF($D$156&gt;0,0,'Development Inputs'!L33)</f>
        <v>0</v>
      </c>
      <c r="E140" s="617">
        <f t="shared" si="48"/>
        <v>0</v>
      </c>
      <c r="F140" s="617">
        <f t="shared" ca="1" si="49"/>
        <v>0</v>
      </c>
      <c r="G140" s="617">
        <f t="shared" ca="1" si="38"/>
        <v>0</v>
      </c>
      <c r="H140" s="6"/>
      <c r="I140" s="6"/>
      <c r="J140" s="6"/>
      <c r="K140" s="6"/>
      <c r="L140" s="6"/>
      <c r="M140" s="6"/>
      <c r="N140" s="6"/>
      <c r="O140" s="6"/>
      <c r="P140" s="6"/>
      <c r="Q140" s="6"/>
      <c r="R140" s="6"/>
      <c r="S140" s="6"/>
      <c r="T140" s="6"/>
      <c r="U140" s="6"/>
      <c r="V140" s="6"/>
      <c r="W140" s="6"/>
      <c r="X140" s="6"/>
      <c r="Y140" s="6"/>
      <c r="Z140" s="6"/>
      <c r="AA140" s="6"/>
      <c r="AB140" s="6"/>
      <c r="AC140" s="6"/>
      <c r="AD140" s="6"/>
      <c r="AE140" s="6"/>
      <c r="AF140" s="6"/>
      <c r="AG140" s="6"/>
      <c r="AH140" s="6"/>
      <c r="AI140" s="6"/>
      <c r="AJ140" s="6"/>
      <c r="AK140" s="6"/>
      <c r="AL140" s="6"/>
      <c r="AM140" s="6"/>
      <c r="AN140" s="6"/>
      <c r="AO140" s="6"/>
      <c r="AP140" s="6"/>
      <c r="AQ140" s="6"/>
      <c r="AR140" s="6"/>
      <c r="AS140" s="6"/>
      <c r="AT140" s="6"/>
      <c r="AU140" s="6"/>
      <c r="AV140" s="6"/>
      <c r="AW140" s="6"/>
      <c r="AX140" s="6"/>
      <c r="AY140" s="6"/>
      <c r="AZ140" s="6"/>
      <c r="BA140" s="6"/>
      <c r="BB140" s="6"/>
      <c r="BC140" s="6"/>
      <c r="BD140" s="6"/>
      <c r="BE140" s="6"/>
      <c r="BF140" s="6"/>
      <c r="BG140" s="6"/>
      <c r="BH140" s="6"/>
      <c r="BI140" s="6"/>
      <c r="BJ140" s="6"/>
      <c r="BK140" s="6"/>
      <c r="BL140" s="6"/>
      <c r="BM140" s="6"/>
      <c r="BN140" s="6"/>
      <c r="BO140" s="6"/>
      <c r="BP140" s="6"/>
      <c r="BQ140" s="6"/>
      <c r="BR140" s="6"/>
      <c r="BS140" s="6"/>
      <c r="BT140" s="6"/>
    </row>
    <row r="141" spans="1:72" x14ac:dyDescent="0.3">
      <c r="A141" s="619">
        <f>'Development Inputs'!H34</f>
        <v>0</v>
      </c>
      <c r="B141" s="512" t="str">
        <f>'Development Inputs'!I34</f>
        <v>Maintenance Supplies</v>
      </c>
      <c r="D141" s="617">
        <f>IF($D$156&gt;0,0,'Development Inputs'!L34)</f>
        <v>0</v>
      </c>
      <c r="E141" s="617">
        <f t="shared" si="48"/>
        <v>0</v>
      </c>
      <c r="F141" s="617">
        <f t="shared" ca="1" si="49"/>
        <v>0</v>
      </c>
      <c r="G141" s="617">
        <f t="shared" ca="1" si="38"/>
        <v>0</v>
      </c>
      <c r="H141" s="6"/>
      <c r="I141" s="6"/>
      <c r="J141" s="6"/>
      <c r="K141" s="6"/>
      <c r="L141" s="6"/>
      <c r="M141" s="6"/>
      <c r="N141" s="6"/>
      <c r="O141" s="6"/>
      <c r="P141" s="6"/>
      <c r="Q141" s="6"/>
      <c r="R141" s="6"/>
      <c r="S141" s="6"/>
      <c r="T141" s="6"/>
      <c r="U141" s="6"/>
      <c r="V141" s="6"/>
      <c r="W141" s="6"/>
      <c r="X141" s="6"/>
      <c r="Y141" s="6"/>
      <c r="Z141" s="6"/>
      <c r="AA141" s="6"/>
      <c r="AB141" s="6"/>
      <c r="AC141" s="6"/>
      <c r="AD141" s="6"/>
      <c r="AE141" s="6"/>
      <c r="AF141" s="6"/>
      <c r="AG141" s="6"/>
      <c r="AH141" s="6"/>
      <c r="AI141" s="6"/>
      <c r="AJ141" s="6"/>
      <c r="AK141" s="6"/>
      <c r="AL141" s="6"/>
      <c r="AM141" s="6"/>
      <c r="AN141" s="6"/>
      <c r="AO141" s="6"/>
      <c r="AP141" s="6"/>
      <c r="AQ141" s="6"/>
      <c r="AR141" s="6"/>
      <c r="AS141" s="6"/>
      <c r="AT141" s="6"/>
      <c r="AU141" s="6"/>
      <c r="AV141" s="6"/>
      <c r="AW141" s="6"/>
      <c r="AX141" s="6"/>
      <c r="AY141" s="6"/>
      <c r="AZ141" s="6"/>
      <c r="BA141" s="6"/>
      <c r="BB141" s="6"/>
      <c r="BC141" s="6"/>
      <c r="BD141" s="6"/>
      <c r="BE141" s="6"/>
      <c r="BF141" s="6"/>
      <c r="BG141" s="6"/>
      <c r="BH141" s="6"/>
      <c r="BI141" s="6"/>
      <c r="BJ141" s="6"/>
      <c r="BK141" s="6"/>
      <c r="BL141" s="6"/>
      <c r="BM141" s="6"/>
      <c r="BN141" s="6"/>
      <c r="BO141" s="6"/>
      <c r="BP141" s="6"/>
      <c r="BQ141" s="6"/>
      <c r="BR141" s="6"/>
      <c r="BS141" s="6"/>
      <c r="BT141" s="6"/>
    </row>
    <row r="142" spans="1:72" x14ac:dyDescent="0.3">
      <c r="A142" s="619">
        <f>'Development Inputs'!H35</f>
        <v>0</v>
      </c>
      <c r="B142" s="512" t="str">
        <f>'Development Inputs'!I35</f>
        <v>Maintenance Equipment</v>
      </c>
      <c r="D142" s="617">
        <f>IF($D$156&gt;0,0,'Development Inputs'!L35)</f>
        <v>0</v>
      </c>
      <c r="E142" s="617">
        <f t="shared" si="48"/>
        <v>0</v>
      </c>
      <c r="F142" s="617">
        <f t="shared" ca="1" si="49"/>
        <v>0</v>
      </c>
      <c r="G142" s="617">
        <f t="shared" ca="1" si="38"/>
        <v>0</v>
      </c>
      <c r="H142" s="6"/>
      <c r="I142" s="6"/>
      <c r="J142" s="6"/>
      <c r="K142" s="6"/>
      <c r="L142" s="6"/>
      <c r="M142" s="6"/>
      <c r="N142" s="6"/>
      <c r="O142" s="6"/>
      <c r="P142" s="6"/>
      <c r="Q142" s="6"/>
      <c r="R142" s="6"/>
      <c r="S142" s="6"/>
      <c r="T142" s="6"/>
      <c r="U142" s="6"/>
      <c r="V142" s="6"/>
      <c r="W142" s="6"/>
      <c r="X142" s="6"/>
      <c r="Y142" s="6"/>
      <c r="Z142" s="6"/>
      <c r="AA142" s="6"/>
      <c r="AB142" s="6"/>
      <c r="AC142" s="6"/>
      <c r="AD142" s="6"/>
      <c r="AE142" s="6"/>
      <c r="AF142" s="6"/>
      <c r="AG142" s="6"/>
      <c r="AH142" s="6"/>
      <c r="AI142" s="6"/>
      <c r="AJ142" s="6"/>
      <c r="AK142" s="6"/>
      <c r="AL142" s="6"/>
      <c r="AM142" s="6"/>
      <c r="AN142" s="6"/>
      <c r="AO142" s="6"/>
      <c r="AP142" s="6"/>
      <c r="AQ142" s="6"/>
      <c r="AR142" s="6"/>
      <c r="AS142" s="6"/>
      <c r="AT142" s="6"/>
      <c r="AU142" s="6"/>
      <c r="AV142" s="6"/>
      <c r="AW142" s="6"/>
      <c r="AX142" s="6"/>
      <c r="AY142" s="6"/>
      <c r="AZ142" s="6"/>
      <c r="BA142" s="6"/>
      <c r="BB142" s="6"/>
      <c r="BC142" s="6"/>
      <c r="BD142" s="6"/>
      <c r="BE142" s="6"/>
      <c r="BF142" s="6"/>
      <c r="BG142" s="6"/>
      <c r="BH142" s="6"/>
      <c r="BI142" s="6"/>
      <c r="BJ142" s="6"/>
      <c r="BK142" s="6"/>
      <c r="BL142" s="6"/>
      <c r="BM142" s="6"/>
      <c r="BN142" s="6"/>
      <c r="BO142" s="6"/>
      <c r="BP142" s="6"/>
      <c r="BQ142" s="6"/>
      <c r="BR142" s="6"/>
      <c r="BS142" s="6"/>
      <c r="BT142" s="6"/>
    </row>
    <row r="143" spans="1:72" x14ac:dyDescent="0.3">
      <c r="A143" s="619">
        <f>'Development Inputs'!H36</f>
        <v>0</v>
      </c>
      <c r="B143" s="512" t="str">
        <f>'Development Inputs'!I36</f>
        <v>Leasing &amp; Marketing Start-Up</v>
      </c>
      <c r="D143" s="617">
        <f>IF($D$156&gt;0,0,'Development Inputs'!L36)</f>
        <v>0</v>
      </c>
      <c r="E143" s="617">
        <f t="shared" si="48"/>
        <v>0</v>
      </c>
      <c r="F143" s="617">
        <f t="shared" ca="1" si="49"/>
        <v>0</v>
      </c>
      <c r="G143" s="617">
        <f t="shared" ca="1" si="38"/>
        <v>0</v>
      </c>
      <c r="H143" s="6"/>
      <c r="I143" s="6"/>
      <c r="J143" s="6"/>
      <c r="K143" s="6"/>
      <c r="L143" s="6"/>
      <c r="M143" s="6"/>
      <c r="N143" s="6"/>
      <c r="O143" s="6"/>
      <c r="P143" s="6"/>
      <c r="Q143" s="6"/>
      <c r="R143" s="6"/>
      <c r="S143" s="6"/>
      <c r="T143" s="6"/>
      <c r="U143" s="6"/>
      <c r="V143" s="6"/>
      <c r="W143" s="6"/>
      <c r="X143" s="6"/>
      <c r="Y143" s="6"/>
      <c r="Z143" s="6"/>
      <c r="AA143" s="6"/>
      <c r="AB143" s="6"/>
      <c r="AC143" s="6"/>
      <c r="AD143" s="6"/>
      <c r="AE143" s="6"/>
      <c r="AF143" s="6"/>
      <c r="AG143" s="6"/>
      <c r="AH143" s="6"/>
      <c r="AI143" s="6"/>
      <c r="AJ143" s="6"/>
      <c r="AK143" s="6"/>
      <c r="AL143" s="6"/>
      <c r="AM143" s="6"/>
      <c r="AN143" s="6"/>
      <c r="AO143" s="6"/>
      <c r="AP143" s="6"/>
      <c r="AQ143" s="6"/>
      <c r="AR143" s="6"/>
      <c r="AS143" s="6"/>
      <c r="AT143" s="6"/>
      <c r="AU143" s="6"/>
      <c r="AV143" s="6"/>
      <c r="AW143" s="6"/>
      <c r="AX143" s="6"/>
      <c r="AY143" s="6"/>
      <c r="AZ143" s="6"/>
      <c r="BA143" s="6"/>
      <c r="BB143" s="6"/>
      <c r="BC143" s="6"/>
      <c r="BD143" s="6"/>
      <c r="BE143" s="6"/>
      <c r="BF143" s="6"/>
      <c r="BG143" s="6"/>
      <c r="BH143" s="6"/>
      <c r="BI143" s="6"/>
      <c r="BJ143" s="6"/>
      <c r="BK143" s="6"/>
      <c r="BL143" s="6"/>
      <c r="BM143" s="6"/>
      <c r="BN143" s="6"/>
      <c r="BO143" s="6"/>
      <c r="BP143" s="6"/>
      <c r="BQ143" s="6"/>
      <c r="BR143" s="6"/>
      <c r="BS143" s="6"/>
      <c r="BT143" s="6"/>
    </row>
    <row r="144" spans="1:72" x14ac:dyDescent="0.3">
      <c r="A144" s="619">
        <f>'Development Inputs'!H37</f>
        <v>0</v>
      </c>
      <c r="B144" s="1134" t="str">
        <f>'Development Inputs'!I37</f>
        <v>stlt. Wall Costs</v>
      </c>
      <c r="D144" s="617">
        <f>IF($D$156&gt;0,0,'Development Inputs'!L37)</f>
        <v>0</v>
      </c>
      <c r="E144" s="617">
        <f t="shared" si="48"/>
        <v>0</v>
      </c>
      <c r="F144" s="617">
        <f t="shared" ca="1" si="49"/>
        <v>0</v>
      </c>
      <c r="G144" s="617">
        <f t="shared" ca="1" si="38"/>
        <v>0</v>
      </c>
      <c r="H144" s="6"/>
      <c r="I144" s="6"/>
      <c r="J144" s="6"/>
      <c r="K144" s="6"/>
      <c r="L144" s="6"/>
      <c r="M144" s="6"/>
      <c r="N144" s="6"/>
      <c r="O144" s="6"/>
      <c r="P144" s="6"/>
      <c r="Q144" s="6"/>
      <c r="R144" s="6"/>
      <c r="S144" s="6"/>
      <c r="T144" s="6"/>
      <c r="U144" s="6"/>
      <c r="V144" s="6"/>
      <c r="W144" s="6"/>
      <c r="X144" s="6"/>
      <c r="Y144" s="6"/>
      <c r="Z144" s="6"/>
      <c r="AA144" s="6"/>
      <c r="AB144" s="6"/>
      <c r="AC144" s="6"/>
      <c r="AD144" s="6"/>
      <c r="AE144" s="6"/>
      <c r="AF144" s="6"/>
      <c r="AG144" s="6"/>
      <c r="AH144" s="6"/>
      <c r="AI144" s="6"/>
      <c r="AJ144" s="6"/>
      <c r="AK144" s="6"/>
      <c r="AL144" s="6"/>
      <c r="AM144" s="6"/>
      <c r="AN144" s="6"/>
      <c r="AO144" s="6"/>
      <c r="AP144" s="6"/>
      <c r="AQ144" s="6"/>
      <c r="AR144" s="6"/>
      <c r="AS144" s="6"/>
      <c r="AT144" s="6"/>
      <c r="AU144" s="6"/>
      <c r="AV144" s="6"/>
      <c r="AW144" s="6"/>
      <c r="AX144" s="6"/>
      <c r="AY144" s="6"/>
      <c r="AZ144" s="6"/>
      <c r="BA144" s="6"/>
      <c r="BB144" s="6"/>
      <c r="BC144" s="6"/>
      <c r="BD144" s="6"/>
      <c r="BE144" s="6"/>
      <c r="BF144" s="6"/>
      <c r="BG144" s="6"/>
      <c r="BH144" s="6"/>
      <c r="BI144" s="6"/>
      <c r="BJ144" s="6"/>
      <c r="BK144" s="6"/>
      <c r="BL144" s="6"/>
      <c r="BM144" s="6"/>
      <c r="BN144" s="6"/>
      <c r="BO144" s="6"/>
      <c r="BP144" s="6"/>
      <c r="BQ144" s="6"/>
      <c r="BR144" s="6"/>
      <c r="BS144" s="6"/>
      <c r="BT144" s="6"/>
    </row>
    <row r="145" spans="1:72" x14ac:dyDescent="0.3">
      <c r="A145" s="619">
        <f>'Development Inputs'!H38</f>
        <v>0</v>
      </c>
      <c r="B145" s="1134" t="str">
        <f>'Development Inputs'!I38</f>
        <v>Pre-Leasing Efforts</v>
      </c>
      <c r="D145" s="617">
        <f>IF($D$156&gt;0,0,'Development Inputs'!L38)</f>
        <v>0</v>
      </c>
      <c r="E145" s="617">
        <f t="shared" si="48"/>
        <v>0</v>
      </c>
      <c r="F145" s="617">
        <f t="shared" ca="1" si="49"/>
        <v>0</v>
      </c>
      <c r="G145" s="617">
        <f t="shared" ca="1" si="38"/>
        <v>0</v>
      </c>
      <c r="H145" s="6"/>
      <c r="I145" s="6"/>
      <c r="J145" s="6"/>
      <c r="K145" s="6"/>
      <c r="L145" s="6"/>
      <c r="M145" s="6"/>
      <c r="N145" s="6"/>
      <c r="O145" s="6"/>
      <c r="P145" s="6"/>
      <c r="Q145" s="6"/>
      <c r="R145" s="6"/>
      <c r="S145" s="6"/>
      <c r="T145" s="6"/>
      <c r="U145" s="6"/>
      <c r="V145" s="6"/>
      <c r="W145" s="6"/>
      <c r="X145" s="6"/>
      <c r="Y145" s="6"/>
      <c r="Z145" s="6"/>
      <c r="AA145" s="6"/>
      <c r="AB145" s="6"/>
      <c r="AC145" s="6"/>
      <c r="AD145" s="6"/>
      <c r="AE145" s="6"/>
      <c r="AF145" s="6"/>
      <c r="AG145" s="6"/>
      <c r="AH145" s="6"/>
      <c r="AI145" s="6"/>
      <c r="AJ145" s="6"/>
      <c r="AK145" s="6"/>
      <c r="AL145" s="6"/>
      <c r="AM145" s="6"/>
      <c r="AN145" s="6"/>
      <c r="AO145" s="6"/>
      <c r="AP145" s="6"/>
      <c r="AQ145" s="6"/>
      <c r="AR145" s="6"/>
      <c r="AS145" s="6"/>
      <c r="AT145" s="6"/>
      <c r="AU145" s="6"/>
      <c r="AV145" s="6"/>
      <c r="AW145" s="6"/>
      <c r="AX145" s="6"/>
      <c r="AY145" s="6"/>
      <c r="AZ145" s="6"/>
      <c r="BA145" s="6"/>
      <c r="BB145" s="6"/>
      <c r="BC145" s="6"/>
      <c r="BD145" s="6"/>
      <c r="BE145" s="6"/>
      <c r="BF145" s="6"/>
      <c r="BG145" s="6"/>
      <c r="BH145" s="6"/>
      <c r="BI145" s="6"/>
      <c r="BJ145" s="6"/>
      <c r="BK145" s="6"/>
      <c r="BL145" s="6"/>
      <c r="BM145" s="6"/>
      <c r="BN145" s="6"/>
      <c r="BO145" s="6"/>
      <c r="BP145" s="6"/>
      <c r="BQ145" s="6"/>
      <c r="BR145" s="6"/>
      <c r="BS145" s="6"/>
      <c r="BT145" s="6"/>
    </row>
    <row r="146" spans="1:72" x14ac:dyDescent="0.3">
      <c r="A146" s="619">
        <f>'Development Inputs'!H39</f>
        <v>0</v>
      </c>
      <c r="B146" s="1134" t="str">
        <f>'Development Inputs'!I39</f>
        <v>Advertising Costs</v>
      </c>
      <c r="D146" s="617">
        <f>IF($D$156&gt;0,0,'Development Inputs'!L39)</f>
        <v>0</v>
      </c>
      <c r="E146" s="617">
        <f t="shared" si="48"/>
        <v>0</v>
      </c>
      <c r="F146" s="617">
        <f t="shared" ca="1" si="49"/>
        <v>0</v>
      </c>
      <c r="G146" s="617">
        <f t="shared" ca="1" si="38"/>
        <v>0</v>
      </c>
      <c r="H146" s="6"/>
      <c r="I146" s="6"/>
      <c r="J146" s="6"/>
      <c r="K146" s="6"/>
      <c r="L146" s="6"/>
      <c r="M146" s="6"/>
      <c r="N146" s="6"/>
      <c r="O146" s="6"/>
      <c r="P146" s="6"/>
      <c r="Q146" s="6"/>
      <c r="R146" s="6"/>
      <c r="S146" s="6"/>
      <c r="T146" s="6"/>
      <c r="U146" s="6"/>
      <c r="V146" s="6"/>
      <c r="W146" s="6"/>
      <c r="X146" s="6"/>
      <c r="Y146" s="6"/>
      <c r="Z146" s="6"/>
      <c r="AA146" s="6"/>
      <c r="AB146" s="6"/>
      <c r="AC146" s="6"/>
      <c r="AD146" s="6"/>
      <c r="AE146" s="6"/>
      <c r="AF146" s="6"/>
      <c r="AG146" s="6"/>
      <c r="AH146" s="6"/>
      <c r="AI146" s="6"/>
      <c r="AJ146" s="6"/>
      <c r="AK146" s="6"/>
      <c r="AL146" s="6"/>
      <c r="AM146" s="6"/>
      <c r="AN146" s="6"/>
      <c r="AO146" s="6"/>
      <c r="AP146" s="6"/>
      <c r="AQ146" s="6"/>
      <c r="AR146" s="6"/>
      <c r="AS146" s="6"/>
      <c r="AT146" s="6"/>
      <c r="AU146" s="6"/>
      <c r="AV146" s="6"/>
      <c r="AW146" s="6"/>
      <c r="AX146" s="6"/>
      <c r="AY146" s="6"/>
      <c r="AZ146" s="6"/>
      <c r="BA146" s="6"/>
      <c r="BB146" s="6"/>
      <c r="BC146" s="6"/>
      <c r="BD146" s="6"/>
      <c r="BE146" s="6"/>
      <c r="BF146" s="6"/>
      <c r="BG146" s="6"/>
      <c r="BH146" s="6"/>
      <c r="BI146" s="6"/>
      <c r="BJ146" s="6"/>
      <c r="BK146" s="6"/>
      <c r="BL146" s="6"/>
      <c r="BM146" s="6"/>
      <c r="BN146" s="6"/>
      <c r="BO146" s="6"/>
      <c r="BP146" s="6"/>
      <c r="BQ146" s="6"/>
      <c r="BR146" s="6"/>
      <c r="BS146" s="6"/>
      <c r="BT146" s="6"/>
    </row>
    <row r="147" spans="1:72" x14ac:dyDescent="0.3">
      <c r="A147" s="619">
        <f>'Development Inputs'!H40</f>
        <v>0</v>
      </c>
      <c r="B147" s="1134" t="str">
        <f>'Development Inputs'!I40</f>
        <v>Marketing Agency Deliverables</v>
      </c>
      <c r="D147" s="617">
        <f>IF($D$156&gt;0,0,'Development Inputs'!L40)</f>
        <v>0</v>
      </c>
      <c r="E147" s="617">
        <f t="shared" si="48"/>
        <v>0</v>
      </c>
      <c r="F147" s="617">
        <f t="shared" ca="1" si="49"/>
        <v>0</v>
      </c>
      <c r="G147" s="617">
        <f t="shared" ca="1" si="38"/>
        <v>0</v>
      </c>
      <c r="H147" s="6"/>
      <c r="I147" s="6"/>
      <c r="J147" s="6"/>
      <c r="K147" s="6"/>
      <c r="L147" s="6"/>
      <c r="M147" s="6"/>
      <c r="N147" s="6"/>
      <c r="O147" s="6"/>
      <c r="P147" s="6"/>
      <c r="Q147" s="6"/>
      <c r="R147" s="6"/>
      <c r="S147" s="6"/>
      <c r="T147" s="6"/>
      <c r="U147" s="6"/>
      <c r="V147" s="6"/>
      <c r="W147" s="6"/>
      <c r="X147" s="6"/>
      <c r="Y147" s="6"/>
      <c r="Z147" s="6"/>
      <c r="AA147" s="6"/>
      <c r="AB147" s="6"/>
      <c r="AC147" s="6"/>
      <c r="AD147" s="6"/>
      <c r="AE147" s="6"/>
      <c r="AF147" s="6"/>
      <c r="AG147" s="6"/>
      <c r="AH147" s="6"/>
      <c r="AI147" s="6"/>
      <c r="AJ147" s="6"/>
      <c r="AK147" s="6"/>
      <c r="AL147" s="6"/>
      <c r="AM147" s="6"/>
      <c r="AN147" s="6"/>
      <c r="AO147" s="6"/>
      <c r="AP147" s="6"/>
      <c r="AQ147" s="6"/>
      <c r="AR147" s="6"/>
      <c r="AS147" s="6"/>
      <c r="AT147" s="6"/>
      <c r="AU147" s="6"/>
      <c r="AV147" s="6"/>
      <c r="AW147" s="6"/>
      <c r="AX147" s="6"/>
      <c r="AY147" s="6"/>
      <c r="AZ147" s="6"/>
      <c r="BA147" s="6"/>
      <c r="BB147" s="6"/>
      <c r="BC147" s="6"/>
      <c r="BD147" s="6"/>
      <c r="BE147" s="6"/>
      <c r="BF147" s="6"/>
      <c r="BG147" s="6"/>
      <c r="BH147" s="6"/>
      <c r="BI147" s="6"/>
      <c r="BJ147" s="6"/>
      <c r="BK147" s="6"/>
      <c r="BL147" s="6"/>
      <c r="BM147" s="6"/>
      <c r="BN147" s="6"/>
      <c r="BO147" s="6"/>
      <c r="BP147" s="6"/>
      <c r="BQ147" s="6"/>
      <c r="BR147" s="6"/>
      <c r="BS147" s="6"/>
      <c r="BT147" s="6"/>
    </row>
    <row r="148" spans="1:72" x14ac:dyDescent="0.3">
      <c r="A148" s="619">
        <f>'Development Inputs'!H41</f>
        <v>0</v>
      </c>
      <c r="B148" s="1134" t="str">
        <f>'Development Inputs'!I41</f>
        <v>Outreach &amp; Misc. Marketing</v>
      </c>
      <c r="D148" s="617">
        <f>IF($D$156&gt;0,0,'Development Inputs'!L41)</f>
        <v>0</v>
      </c>
      <c r="E148" s="617">
        <f t="shared" si="48"/>
        <v>0</v>
      </c>
      <c r="F148" s="617">
        <f t="shared" ca="1" si="49"/>
        <v>0</v>
      </c>
      <c r="G148" s="617">
        <f t="shared" ca="1" si="38"/>
        <v>0</v>
      </c>
      <c r="H148" s="6"/>
      <c r="I148" s="6"/>
      <c r="J148" s="6"/>
      <c r="K148" s="6"/>
      <c r="L148" s="6"/>
      <c r="M148" s="6"/>
      <c r="N148" s="6"/>
      <c r="O148" s="6"/>
      <c r="P148" s="6"/>
      <c r="Q148" s="6"/>
      <c r="R148" s="6"/>
      <c r="S148" s="6"/>
      <c r="T148" s="6"/>
      <c r="U148" s="6"/>
      <c r="V148" s="6"/>
      <c r="W148" s="6"/>
      <c r="X148" s="6"/>
      <c r="Y148" s="6"/>
      <c r="Z148" s="6"/>
      <c r="AA148" s="6"/>
      <c r="AB148" s="6"/>
      <c r="AC148" s="6"/>
      <c r="AD148" s="6"/>
      <c r="AE148" s="6"/>
      <c r="AF148" s="6"/>
      <c r="AG148" s="6"/>
      <c r="AH148" s="6"/>
      <c r="AI148" s="6"/>
      <c r="AJ148" s="6"/>
      <c r="AK148" s="6"/>
      <c r="AL148" s="6"/>
      <c r="AM148" s="6"/>
      <c r="AN148" s="6"/>
      <c r="AO148" s="6"/>
      <c r="AP148" s="6"/>
      <c r="AQ148" s="6"/>
      <c r="AR148" s="6"/>
      <c r="AS148" s="6"/>
      <c r="AT148" s="6"/>
      <c r="AU148" s="6"/>
      <c r="AV148" s="6"/>
      <c r="AW148" s="6"/>
      <c r="AX148" s="6"/>
      <c r="AY148" s="6"/>
      <c r="AZ148" s="6"/>
      <c r="BA148" s="6"/>
      <c r="BB148" s="6"/>
      <c r="BC148" s="6"/>
      <c r="BD148" s="6"/>
      <c r="BE148" s="6"/>
      <c r="BF148" s="6"/>
      <c r="BG148" s="6"/>
      <c r="BH148" s="6"/>
      <c r="BI148" s="6"/>
      <c r="BJ148" s="6"/>
      <c r="BK148" s="6"/>
      <c r="BL148" s="6"/>
      <c r="BM148" s="6"/>
      <c r="BN148" s="6"/>
      <c r="BO148" s="6"/>
      <c r="BP148" s="6"/>
      <c r="BQ148" s="6"/>
      <c r="BR148" s="6"/>
      <c r="BS148" s="6"/>
      <c r="BT148" s="6"/>
    </row>
    <row r="149" spans="1:72" x14ac:dyDescent="0.3">
      <c r="A149" s="619">
        <f>'Development Inputs'!H42</f>
        <v>0</v>
      </c>
      <c r="B149" s="1134" t="str">
        <f>'Development Inputs'!I42</f>
        <v>Other - Non Advertising</v>
      </c>
      <c r="D149" s="617">
        <f>IF($D$156&gt;0,0,'Development Inputs'!L42)</f>
        <v>0</v>
      </c>
      <c r="E149" s="617">
        <f t="shared" si="48"/>
        <v>0</v>
      </c>
      <c r="F149" s="617">
        <f t="shared" ca="1" si="49"/>
        <v>0</v>
      </c>
      <c r="G149" s="617">
        <f t="shared" ca="1" si="38"/>
        <v>0</v>
      </c>
      <c r="H149" s="6"/>
      <c r="I149" s="6"/>
      <c r="J149" s="6"/>
      <c r="K149" s="6"/>
      <c r="L149" s="6"/>
      <c r="M149" s="6"/>
      <c r="N149" s="6"/>
      <c r="O149" s="6"/>
      <c r="P149" s="6"/>
      <c r="Q149" s="6"/>
      <c r="R149" s="6"/>
      <c r="S149" s="6"/>
      <c r="T149" s="6"/>
      <c r="U149" s="6"/>
      <c r="V149" s="6"/>
      <c r="W149" s="6"/>
      <c r="X149" s="6"/>
      <c r="Y149" s="6"/>
      <c r="Z149" s="6"/>
      <c r="AA149" s="6"/>
      <c r="AB149" s="6"/>
      <c r="AC149" s="6"/>
      <c r="AD149" s="6"/>
      <c r="AE149" s="6"/>
      <c r="AF149" s="6"/>
      <c r="AG149" s="6"/>
      <c r="AH149" s="6"/>
      <c r="AI149" s="6"/>
      <c r="AJ149" s="6"/>
      <c r="AK149" s="6"/>
      <c r="AL149" s="6"/>
      <c r="AM149" s="6"/>
      <c r="AN149" s="6"/>
      <c r="AO149" s="6"/>
      <c r="AP149" s="6"/>
      <c r="AQ149" s="6"/>
      <c r="AR149" s="6"/>
      <c r="AS149" s="6"/>
      <c r="AT149" s="6"/>
      <c r="AU149" s="6"/>
      <c r="AV149" s="6"/>
      <c r="AW149" s="6"/>
      <c r="AX149" s="6"/>
      <c r="AY149" s="6"/>
      <c r="AZ149" s="6"/>
      <c r="BA149" s="6"/>
      <c r="BB149" s="6"/>
      <c r="BC149" s="6"/>
      <c r="BD149" s="6"/>
      <c r="BE149" s="6"/>
      <c r="BF149" s="6"/>
      <c r="BG149" s="6"/>
      <c r="BH149" s="6"/>
      <c r="BI149" s="6"/>
      <c r="BJ149" s="6"/>
      <c r="BK149" s="6"/>
      <c r="BL149" s="6"/>
      <c r="BM149" s="6"/>
      <c r="BN149" s="6"/>
      <c r="BO149" s="6"/>
      <c r="BP149" s="6"/>
      <c r="BQ149" s="6"/>
      <c r="BR149" s="6"/>
      <c r="BS149" s="6"/>
      <c r="BT149" s="6"/>
    </row>
    <row r="150" spans="1:72" x14ac:dyDescent="0.3">
      <c r="A150" s="619">
        <f>'Development Inputs'!H43</f>
        <v>0</v>
      </c>
      <c r="B150" s="1134" t="str">
        <f>'Development Inputs'!I43</f>
        <v>90-Day Pre-Leasing Strategy</v>
      </c>
      <c r="D150" s="617">
        <f>IF($D$156&gt;0,0,'Development Inputs'!L43)</f>
        <v>0</v>
      </c>
      <c r="E150" s="617">
        <f t="shared" si="48"/>
        <v>0</v>
      </c>
      <c r="F150" s="617">
        <f t="shared" ca="1" si="49"/>
        <v>0</v>
      </c>
      <c r="G150" s="617">
        <f t="shared" ca="1" si="38"/>
        <v>0</v>
      </c>
      <c r="H150" s="6"/>
      <c r="I150" s="6"/>
      <c r="J150" s="6"/>
      <c r="K150" s="6"/>
      <c r="L150" s="6"/>
      <c r="M150" s="6"/>
      <c r="N150" s="6"/>
      <c r="O150" s="6"/>
      <c r="P150" s="6"/>
      <c r="Q150" s="6"/>
      <c r="R150" s="6"/>
      <c r="S150" s="6"/>
      <c r="T150" s="6"/>
      <c r="U150" s="6"/>
      <c r="V150" s="6"/>
      <c r="W150" s="6"/>
      <c r="X150" s="6"/>
      <c r="Y150" s="6"/>
      <c r="Z150" s="6"/>
      <c r="AA150" s="6"/>
      <c r="AB150" s="6"/>
      <c r="AC150" s="6"/>
      <c r="AD150" s="6"/>
      <c r="AE150" s="6"/>
      <c r="AF150" s="6"/>
      <c r="AG150" s="6"/>
      <c r="AH150" s="6"/>
      <c r="AI150" s="6"/>
      <c r="AJ150" s="6"/>
      <c r="AK150" s="6"/>
      <c r="AL150" s="6"/>
      <c r="AM150" s="6"/>
      <c r="AN150" s="6"/>
      <c r="AO150" s="6"/>
      <c r="AP150" s="6"/>
      <c r="AQ150" s="6"/>
      <c r="AR150" s="6"/>
      <c r="AS150" s="6"/>
      <c r="AT150" s="6"/>
      <c r="AU150" s="6"/>
      <c r="AV150" s="6"/>
      <c r="AW150" s="6"/>
      <c r="AX150" s="6"/>
      <c r="AY150" s="6"/>
      <c r="AZ150" s="6"/>
      <c r="BA150" s="6"/>
      <c r="BB150" s="6"/>
      <c r="BC150" s="6"/>
      <c r="BD150" s="6"/>
      <c r="BE150" s="6"/>
      <c r="BF150" s="6"/>
      <c r="BG150" s="6"/>
      <c r="BH150" s="6"/>
      <c r="BI150" s="6"/>
      <c r="BJ150" s="6"/>
      <c r="BK150" s="6"/>
      <c r="BL150" s="6"/>
      <c r="BM150" s="6"/>
      <c r="BN150" s="6"/>
      <c r="BO150" s="6"/>
      <c r="BP150" s="6"/>
      <c r="BQ150" s="6"/>
      <c r="BR150" s="6"/>
      <c r="BS150" s="6"/>
      <c r="BT150" s="6"/>
    </row>
    <row r="151" spans="1:72" x14ac:dyDescent="0.3">
      <c r="A151" s="619">
        <f>'Development Inputs'!H44</f>
        <v>0</v>
      </c>
      <c r="B151" s="512" t="str">
        <f>'Development Inputs'!I44</f>
        <v>First Year OPEX Supplement</v>
      </c>
      <c r="D151" s="617">
        <f>IF($D$156&gt;0,0,'Development Inputs'!L44)</f>
        <v>0</v>
      </c>
      <c r="E151" s="617">
        <f t="shared" si="48"/>
        <v>0</v>
      </c>
      <c r="F151" s="617">
        <f t="shared" ca="1" si="49"/>
        <v>0</v>
      </c>
      <c r="G151" s="617">
        <f t="shared" ca="1" si="38"/>
        <v>0</v>
      </c>
      <c r="H151" s="6"/>
      <c r="I151" s="6"/>
      <c r="J151" s="6"/>
      <c r="K151" s="6"/>
      <c r="L151" s="6"/>
      <c r="M151" s="6"/>
      <c r="N151" s="6"/>
      <c r="O151" s="6"/>
      <c r="P151" s="6"/>
      <c r="Q151" s="6"/>
      <c r="R151" s="6"/>
      <c r="S151" s="6"/>
      <c r="T151" s="6"/>
      <c r="U151" s="6"/>
      <c r="V151" s="6"/>
      <c r="W151" s="6"/>
      <c r="X151" s="6"/>
      <c r="Y151" s="6"/>
      <c r="Z151" s="6"/>
      <c r="AA151" s="6"/>
      <c r="AB151" s="6"/>
      <c r="AC151" s="6"/>
      <c r="AD151" s="6"/>
      <c r="AE151" s="6"/>
      <c r="AF151" s="6"/>
      <c r="AG151" s="6"/>
      <c r="AH151" s="6"/>
      <c r="AI151" s="6"/>
      <c r="AJ151" s="6"/>
      <c r="AK151" s="6"/>
      <c r="AL151" s="6"/>
      <c r="AM151" s="6"/>
      <c r="AN151" s="6"/>
      <c r="AO151" s="6"/>
      <c r="AP151" s="6"/>
      <c r="AQ151" s="6"/>
      <c r="AR151" s="6"/>
      <c r="AS151" s="6"/>
      <c r="AT151" s="6"/>
      <c r="AU151" s="6"/>
      <c r="AV151" s="6"/>
      <c r="AW151" s="6"/>
      <c r="AX151" s="6"/>
      <c r="AY151" s="6"/>
      <c r="AZ151" s="6"/>
      <c r="BA151" s="6"/>
      <c r="BB151" s="6"/>
      <c r="BC151" s="6"/>
      <c r="BD151" s="6"/>
      <c r="BE151" s="6"/>
      <c r="BF151" s="6"/>
      <c r="BG151" s="6"/>
      <c r="BH151" s="6"/>
      <c r="BI151" s="6"/>
      <c r="BJ151" s="6"/>
      <c r="BK151" s="6"/>
      <c r="BL151" s="6"/>
      <c r="BM151" s="6"/>
      <c r="BN151" s="6"/>
      <c r="BO151" s="6"/>
      <c r="BP151" s="6"/>
      <c r="BQ151" s="6"/>
      <c r="BR151" s="6"/>
      <c r="BS151" s="6"/>
      <c r="BT151" s="6"/>
    </row>
    <row r="152" spans="1:72" x14ac:dyDescent="0.3">
      <c r="A152" s="619">
        <f>'Development Inputs'!H45</f>
        <v>0</v>
      </c>
      <c r="B152" s="512" t="str">
        <f>'Development Inputs'!I45</f>
        <v>stlt. Lounge</v>
      </c>
      <c r="D152" s="617">
        <f>IF($D$156&gt;0,0,'Development Inputs'!L45)</f>
        <v>0</v>
      </c>
      <c r="E152" s="617">
        <f t="shared" si="48"/>
        <v>0</v>
      </c>
      <c r="F152" s="617">
        <f t="shared" ca="1" si="49"/>
        <v>0</v>
      </c>
      <c r="G152" s="617">
        <f t="shared" ca="1" si="38"/>
        <v>0</v>
      </c>
      <c r="H152" s="6"/>
      <c r="I152" s="6"/>
      <c r="J152" s="6"/>
      <c r="K152" s="6"/>
      <c r="L152" s="6"/>
      <c r="M152" s="6"/>
      <c r="N152" s="6"/>
      <c r="O152" s="6"/>
      <c r="P152" s="6"/>
      <c r="Q152" s="6"/>
      <c r="R152" s="6"/>
      <c r="S152" s="6"/>
      <c r="T152" s="6"/>
      <c r="U152" s="6"/>
      <c r="V152" s="6"/>
      <c r="W152" s="6"/>
      <c r="X152" s="6"/>
      <c r="Y152" s="6"/>
      <c r="Z152" s="6"/>
      <c r="AA152" s="6"/>
      <c r="AB152" s="6"/>
      <c r="AC152" s="6"/>
      <c r="AD152" s="6"/>
      <c r="AE152" s="6"/>
      <c r="AF152" s="6"/>
      <c r="AG152" s="6"/>
      <c r="AH152" s="6"/>
      <c r="AI152" s="6"/>
      <c r="AJ152" s="6"/>
      <c r="AK152" s="6"/>
      <c r="AL152" s="6"/>
      <c r="AM152" s="6"/>
      <c r="AN152" s="6"/>
      <c r="AO152" s="6"/>
      <c r="AP152" s="6"/>
      <c r="AQ152" s="6"/>
      <c r="AR152" s="6"/>
      <c r="AS152" s="6"/>
      <c r="AT152" s="6"/>
      <c r="AU152" s="6"/>
      <c r="AV152" s="6"/>
      <c r="AW152" s="6"/>
      <c r="AX152" s="6"/>
      <c r="AY152" s="6"/>
      <c r="AZ152" s="6"/>
      <c r="BA152" s="6"/>
      <c r="BB152" s="6"/>
      <c r="BC152" s="6"/>
      <c r="BD152" s="6"/>
      <c r="BE152" s="6"/>
      <c r="BF152" s="6"/>
      <c r="BG152" s="6"/>
      <c r="BH152" s="6"/>
      <c r="BI152" s="6"/>
      <c r="BJ152" s="6"/>
      <c r="BK152" s="6"/>
      <c r="BL152" s="6"/>
      <c r="BM152" s="6"/>
      <c r="BN152" s="6"/>
      <c r="BO152" s="6"/>
      <c r="BP152" s="6"/>
      <c r="BQ152" s="6"/>
      <c r="BR152" s="6"/>
      <c r="BS152" s="6"/>
      <c r="BT152" s="6"/>
    </row>
    <row r="153" spans="1:72" x14ac:dyDescent="0.3">
      <c r="A153" s="619">
        <f>'Development Inputs'!H46</f>
        <v>0</v>
      </c>
      <c r="B153" s="512" t="str">
        <f>'Development Inputs'!I46</f>
        <v>stlt. Fit</v>
      </c>
      <c r="D153" s="617">
        <f>IF($D$156&gt;0,0,'Development Inputs'!L46)</f>
        <v>0</v>
      </c>
      <c r="E153" s="617">
        <f t="shared" si="48"/>
        <v>0</v>
      </c>
      <c r="F153" s="617">
        <f t="shared" ca="1" si="49"/>
        <v>0</v>
      </c>
      <c r="G153" s="617">
        <f t="shared" ca="1" si="38"/>
        <v>0</v>
      </c>
      <c r="H153" s="6"/>
      <c r="I153" s="6"/>
      <c r="J153" s="6"/>
      <c r="K153" s="6"/>
      <c r="L153" s="6"/>
      <c r="M153" s="6"/>
      <c r="N153" s="6"/>
      <c r="O153" s="6"/>
      <c r="P153" s="6"/>
      <c r="Q153" s="6"/>
      <c r="R153" s="6"/>
      <c r="S153" s="6"/>
      <c r="T153" s="6"/>
      <c r="U153" s="6"/>
      <c r="V153" s="6"/>
      <c r="W153" s="6"/>
      <c r="X153" s="6"/>
      <c r="Y153" s="6"/>
      <c r="Z153" s="6"/>
      <c r="AA153" s="6"/>
      <c r="AB153" s="6"/>
      <c r="AC153" s="6"/>
      <c r="AD153" s="6"/>
      <c r="AE153" s="6"/>
      <c r="AF153" s="6"/>
      <c r="AG153" s="6"/>
      <c r="AH153" s="6"/>
      <c r="AI153" s="6"/>
      <c r="AJ153" s="6"/>
      <c r="AK153" s="6"/>
      <c r="AL153" s="6"/>
      <c r="AM153" s="6"/>
      <c r="AN153" s="6"/>
      <c r="AO153" s="6"/>
      <c r="AP153" s="6"/>
      <c r="AQ153" s="6"/>
      <c r="AR153" s="6"/>
      <c r="AS153" s="6"/>
      <c r="AT153" s="6"/>
      <c r="AU153" s="6"/>
      <c r="AV153" s="6"/>
      <c r="AW153" s="6"/>
      <c r="AX153" s="6"/>
      <c r="AY153" s="6"/>
      <c r="AZ153" s="6"/>
      <c r="BA153" s="6"/>
      <c r="BB153" s="6"/>
      <c r="BC153" s="6"/>
      <c r="BD153" s="6"/>
      <c r="BE153" s="6"/>
      <c r="BF153" s="6"/>
      <c r="BG153" s="6"/>
      <c r="BH153" s="6"/>
      <c r="BI153" s="6"/>
      <c r="BJ153" s="6"/>
      <c r="BK153" s="6"/>
      <c r="BL153" s="6"/>
      <c r="BM153" s="6"/>
      <c r="BN153" s="6"/>
      <c r="BO153" s="6"/>
      <c r="BP153" s="6"/>
      <c r="BQ153" s="6"/>
      <c r="BR153" s="6"/>
      <c r="BS153" s="6"/>
      <c r="BT153" s="6"/>
    </row>
    <row r="154" spans="1:72" x14ac:dyDescent="0.3">
      <c r="A154" s="619">
        <f>'Development Inputs'!H47</f>
        <v>0</v>
      </c>
      <c r="B154" s="512" t="str">
        <f>'Development Inputs'!I47</f>
        <v>stlt. Co-Working</v>
      </c>
      <c r="D154" s="617">
        <f>IF($D$156&gt;0,0,'Development Inputs'!L47)</f>
        <v>0</v>
      </c>
      <c r="E154" s="617">
        <f t="shared" si="48"/>
        <v>0</v>
      </c>
      <c r="F154" s="617">
        <f t="shared" ca="1" si="49"/>
        <v>0</v>
      </c>
      <c r="G154" s="617">
        <f t="shared" ca="1" si="38"/>
        <v>0</v>
      </c>
      <c r="H154" s="6"/>
      <c r="I154" s="6"/>
      <c r="J154" s="6"/>
      <c r="K154" s="6"/>
      <c r="L154" s="6"/>
      <c r="M154" s="6"/>
      <c r="N154" s="6"/>
      <c r="O154" s="6"/>
      <c r="P154" s="6"/>
      <c r="Q154" s="6"/>
      <c r="R154" s="6"/>
      <c r="S154" s="6"/>
      <c r="T154" s="6"/>
      <c r="U154" s="6"/>
      <c r="V154" s="6"/>
      <c r="W154" s="6"/>
      <c r="X154" s="6"/>
      <c r="Y154" s="6"/>
      <c r="Z154" s="6"/>
      <c r="AA154" s="6"/>
      <c r="AB154" s="6"/>
      <c r="AC154" s="6"/>
      <c r="AD154" s="6"/>
      <c r="AE154" s="6"/>
      <c r="AF154" s="6"/>
      <c r="AG154" s="6"/>
      <c r="AH154" s="6"/>
      <c r="AI154" s="6"/>
      <c r="AJ154" s="6"/>
      <c r="AK154" s="6"/>
      <c r="AL154" s="6"/>
      <c r="AM154" s="6"/>
      <c r="AN154" s="6"/>
      <c r="AO154" s="6"/>
      <c r="AP154" s="6"/>
      <c r="AQ154" s="6"/>
      <c r="AR154" s="6"/>
      <c r="AS154" s="6"/>
      <c r="AT154" s="6"/>
      <c r="AU154" s="6"/>
      <c r="AV154" s="6"/>
      <c r="AW154" s="6"/>
      <c r="AX154" s="6"/>
      <c r="AY154" s="6"/>
      <c r="AZ154" s="6"/>
      <c r="BA154" s="6"/>
      <c r="BB154" s="6"/>
      <c r="BC154" s="6"/>
      <c r="BD154" s="6"/>
      <c r="BE154" s="6"/>
      <c r="BF154" s="6"/>
      <c r="BG154" s="6"/>
      <c r="BH154" s="6"/>
      <c r="BI154" s="6"/>
      <c r="BJ154" s="6"/>
      <c r="BK154" s="6"/>
      <c r="BL154" s="6"/>
      <c r="BM154" s="6"/>
      <c r="BN154" s="6"/>
      <c r="BO154" s="6"/>
      <c r="BP154" s="6"/>
      <c r="BQ154" s="6"/>
      <c r="BR154" s="6"/>
      <c r="BS154" s="6"/>
      <c r="BT154" s="6"/>
    </row>
    <row r="155" spans="1:72" x14ac:dyDescent="0.3">
      <c r="A155" s="619">
        <f>'Development Inputs'!H48</f>
        <v>0</v>
      </c>
      <c r="B155" s="512" t="str">
        <f>'Development Inputs'!I48</f>
        <v>WORKING CAPITAL</v>
      </c>
      <c r="D155" s="617">
        <f>IF($D$156&gt;0,0,'Development Inputs'!L48)</f>
        <v>0</v>
      </c>
      <c r="E155" s="617">
        <f t="shared" si="48"/>
        <v>0</v>
      </c>
      <c r="F155" s="617">
        <f t="shared" ca="1" si="49"/>
        <v>0</v>
      </c>
      <c r="G155" s="617">
        <f t="shared" ca="1" si="38"/>
        <v>0</v>
      </c>
      <c r="H155" s="6"/>
      <c r="I155" s="6"/>
      <c r="J155" s="6"/>
      <c r="K155" s="6"/>
      <c r="L155" s="6"/>
      <c r="M155" s="6"/>
      <c r="N155" s="6"/>
      <c r="O155" s="6"/>
      <c r="P155" s="6"/>
      <c r="Q155" s="6"/>
      <c r="R155" s="6"/>
      <c r="S155" s="6"/>
      <c r="T155" s="6"/>
      <c r="U155" s="6"/>
      <c r="V155" s="6"/>
      <c r="W155" s="6"/>
      <c r="X155" s="6"/>
      <c r="Y155" s="6"/>
      <c r="Z155" s="6"/>
      <c r="AA155" s="6"/>
      <c r="AB155" s="6"/>
      <c r="AC155" s="6"/>
      <c r="AD155" s="6"/>
      <c r="AE155" s="6"/>
      <c r="AF155" s="6"/>
      <c r="AG155" s="6"/>
      <c r="AH155" s="6"/>
      <c r="AI155" s="6"/>
      <c r="AJ155" s="6"/>
      <c r="AK155" s="6"/>
      <c r="AL155" s="6"/>
      <c r="AM155" s="6"/>
      <c r="AN155" s="6"/>
      <c r="AO155" s="6"/>
      <c r="AP155" s="6"/>
      <c r="AQ155" s="6"/>
      <c r="AR155" s="6"/>
      <c r="AS155" s="6"/>
      <c r="AT155" s="6"/>
      <c r="AU155" s="6"/>
      <c r="AV155" s="6"/>
      <c r="AW155" s="6"/>
      <c r="AX155" s="6"/>
      <c r="AY155" s="6"/>
      <c r="AZ155" s="6"/>
      <c r="BA155" s="6"/>
      <c r="BB155" s="6"/>
      <c r="BC155" s="6"/>
      <c r="BD155" s="6"/>
      <c r="BE155" s="6"/>
      <c r="BF155" s="6"/>
      <c r="BG155" s="6"/>
      <c r="BH155" s="6"/>
      <c r="BI155" s="6"/>
      <c r="BJ155" s="6"/>
      <c r="BK155" s="6"/>
      <c r="BL155" s="6"/>
      <c r="BM155" s="6"/>
      <c r="BN155" s="6"/>
      <c r="BO155" s="6"/>
      <c r="BP155" s="6"/>
      <c r="BQ155" s="6"/>
      <c r="BR155" s="6"/>
      <c r="BS155" s="6"/>
      <c r="BT155" s="6"/>
    </row>
    <row r="156" spans="1:72" s="203" customFormat="1" x14ac:dyDescent="0.3">
      <c r="A156" s="619">
        <f>'Development Inputs'!H49</f>
        <v>0</v>
      </c>
      <c r="B156" s="512" t="str">
        <f>'Development Inputs'!I49</f>
        <v>Input as Total</v>
      </c>
      <c r="C156" s="477"/>
      <c r="D156" s="617">
        <f>'Development Inputs'!L49</f>
        <v>375000</v>
      </c>
      <c r="E156" s="610">
        <f t="shared" si="48"/>
        <v>0</v>
      </c>
      <c r="F156" s="610">
        <f t="shared" ca="1" si="49"/>
        <v>0</v>
      </c>
      <c r="G156" s="610">
        <f t="shared" ca="1" si="38"/>
        <v>0</v>
      </c>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row>
    <row r="157" spans="1:72" s="182" customFormat="1" x14ac:dyDescent="0.3">
      <c r="A157" s="621" t="s">
        <v>2336</v>
      </c>
      <c r="B157" s="622"/>
      <c r="C157" s="621"/>
      <c r="D157" s="623">
        <f ca="1">SUM(D11,D14,D31,D39,D35,D43,D79,D90,D55,D98,D114,D117,D138)</f>
        <v>75891102.222576126</v>
      </c>
      <c r="E157" s="624">
        <f>SUM(E11,E14,E31,E39,E35,E43,E79,E90,E55,E98,E114,E117,E138)</f>
        <v>0</v>
      </c>
      <c r="F157" s="624">
        <f ca="1">SUM(F11,F14,F31,F39,F35,F43,F79,F90,F55,F98,F114,F117,F138)</f>
        <v>0</v>
      </c>
      <c r="G157" s="624">
        <f ca="1">SUM(G11,G14,G31,G39,G35,G43,G79,G90,G55,G98,G114,G117,G138)</f>
        <v>0</v>
      </c>
      <c r="H157" s="625">
        <f t="shared" ref="H157:AM157" si="52">SUBTOTAL(9,H11:H156)</f>
        <v>0</v>
      </c>
      <c r="I157" s="625">
        <f t="shared" si="52"/>
        <v>0</v>
      </c>
      <c r="J157" s="625">
        <f t="shared" si="52"/>
        <v>0</v>
      </c>
      <c r="K157" s="625">
        <f t="shared" si="52"/>
        <v>0</v>
      </c>
      <c r="L157" s="625">
        <f t="shared" si="52"/>
        <v>0</v>
      </c>
      <c r="M157" s="625">
        <f t="shared" si="52"/>
        <v>0</v>
      </c>
      <c r="N157" s="625">
        <f t="shared" si="52"/>
        <v>0</v>
      </c>
      <c r="O157" s="625">
        <f t="shared" si="52"/>
        <v>0</v>
      </c>
      <c r="P157" s="625">
        <f t="shared" si="52"/>
        <v>0</v>
      </c>
      <c r="Q157" s="625">
        <f t="shared" si="52"/>
        <v>0</v>
      </c>
      <c r="R157" s="625">
        <f t="shared" si="52"/>
        <v>0</v>
      </c>
      <c r="S157" s="625">
        <f t="shared" si="52"/>
        <v>0</v>
      </c>
      <c r="T157" s="625">
        <f t="shared" si="52"/>
        <v>0</v>
      </c>
      <c r="U157" s="625">
        <f t="shared" si="52"/>
        <v>0</v>
      </c>
      <c r="V157" s="625">
        <f t="shared" si="52"/>
        <v>0</v>
      </c>
      <c r="W157" s="625">
        <f t="shared" si="52"/>
        <v>0</v>
      </c>
      <c r="X157" s="625">
        <f t="shared" si="52"/>
        <v>0</v>
      </c>
      <c r="Y157" s="625">
        <f t="shared" si="52"/>
        <v>0</v>
      </c>
      <c r="Z157" s="625">
        <f t="shared" si="52"/>
        <v>0</v>
      </c>
      <c r="AA157" s="625">
        <f t="shared" si="52"/>
        <v>0</v>
      </c>
      <c r="AB157" s="625">
        <f t="shared" si="52"/>
        <v>0</v>
      </c>
      <c r="AC157" s="625">
        <f t="shared" si="52"/>
        <v>0</v>
      </c>
      <c r="AD157" s="625">
        <f t="shared" si="52"/>
        <v>0</v>
      </c>
      <c r="AE157" s="625">
        <f t="shared" si="52"/>
        <v>0</v>
      </c>
      <c r="AF157" s="625">
        <f t="shared" si="52"/>
        <v>0</v>
      </c>
      <c r="AG157" s="625">
        <f t="shared" si="52"/>
        <v>0</v>
      </c>
      <c r="AH157" s="625">
        <f t="shared" si="52"/>
        <v>0</v>
      </c>
      <c r="AI157" s="625">
        <f t="shared" si="52"/>
        <v>0</v>
      </c>
      <c r="AJ157" s="625">
        <f t="shared" si="52"/>
        <v>0</v>
      </c>
      <c r="AK157" s="625">
        <f t="shared" si="52"/>
        <v>0</v>
      </c>
      <c r="AL157" s="625">
        <f t="shared" si="52"/>
        <v>0</v>
      </c>
      <c r="AM157" s="625">
        <f t="shared" si="52"/>
        <v>0</v>
      </c>
      <c r="AN157" s="625">
        <f t="shared" ref="AN157:BS157" si="53">SUBTOTAL(9,AN11:AN156)</f>
        <v>0</v>
      </c>
      <c r="AO157" s="625">
        <f t="shared" si="53"/>
        <v>0</v>
      </c>
      <c r="AP157" s="625">
        <f t="shared" si="53"/>
        <v>0</v>
      </c>
      <c r="AQ157" s="625">
        <f t="shared" si="53"/>
        <v>0</v>
      </c>
      <c r="AR157" s="625">
        <f t="shared" si="53"/>
        <v>0</v>
      </c>
      <c r="AS157" s="625">
        <f t="shared" si="53"/>
        <v>0</v>
      </c>
      <c r="AT157" s="625">
        <f t="shared" si="53"/>
        <v>0</v>
      </c>
      <c r="AU157" s="625">
        <f t="shared" si="53"/>
        <v>0</v>
      </c>
      <c r="AV157" s="625">
        <f t="shared" si="53"/>
        <v>0</v>
      </c>
      <c r="AW157" s="625">
        <f t="shared" si="53"/>
        <v>0</v>
      </c>
      <c r="AX157" s="625">
        <f t="shared" si="53"/>
        <v>0</v>
      </c>
      <c r="AY157" s="625">
        <f t="shared" si="53"/>
        <v>0</v>
      </c>
      <c r="AZ157" s="625">
        <f t="shared" si="53"/>
        <v>0</v>
      </c>
      <c r="BA157" s="625">
        <f t="shared" si="53"/>
        <v>0</v>
      </c>
      <c r="BB157" s="625">
        <f t="shared" si="53"/>
        <v>0</v>
      </c>
      <c r="BC157" s="625">
        <f t="shared" si="53"/>
        <v>0</v>
      </c>
      <c r="BD157" s="625">
        <f t="shared" si="53"/>
        <v>0</v>
      </c>
      <c r="BE157" s="625">
        <f t="shared" si="53"/>
        <v>0</v>
      </c>
      <c r="BF157" s="625">
        <f t="shared" si="53"/>
        <v>0</v>
      </c>
      <c r="BG157" s="625">
        <f t="shared" si="53"/>
        <v>0</v>
      </c>
      <c r="BH157" s="625">
        <f t="shared" si="53"/>
        <v>0</v>
      </c>
      <c r="BI157" s="625">
        <f t="shared" si="53"/>
        <v>0</v>
      </c>
      <c r="BJ157" s="625">
        <f t="shared" si="53"/>
        <v>0</v>
      </c>
      <c r="BK157" s="625">
        <f t="shared" si="53"/>
        <v>0</v>
      </c>
      <c r="BL157" s="625">
        <f t="shared" si="53"/>
        <v>0</v>
      </c>
      <c r="BM157" s="625">
        <f t="shared" si="53"/>
        <v>0</v>
      </c>
      <c r="BN157" s="625">
        <f t="shared" si="53"/>
        <v>0</v>
      </c>
      <c r="BO157" s="625">
        <f t="shared" si="53"/>
        <v>0</v>
      </c>
      <c r="BP157" s="625">
        <f t="shared" si="53"/>
        <v>0</v>
      </c>
      <c r="BQ157" s="625">
        <f t="shared" si="53"/>
        <v>0</v>
      </c>
      <c r="BR157" s="625">
        <f t="shared" si="53"/>
        <v>0</v>
      </c>
      <c r="BS157" s="625">
        <f t="shared" si="53"/>
        <v>0</v>
      </c>
      <c r="BT157" s="625">
        <f>SUBTOTAL(9,BT11:BT156)</f>
        <v>0</v>
      </c>
    </row>
    <row r="158" spans="1:72" s="182" customFormat="1" ht="15" thickBot="1" x14ac:dyDescent="0.35">
      <c r="A158" s="436" t="s">
        <v>2337</v>
      </c>
      <c r="B158" s="435"/>
      <c r="C158" s="436"/>
      <c r="D158" s="626">
        <f ca="1">D157</f>
        <v>75891102.222576126</v>
      </c>
      <c r="E158" s="483">
        <f>E157</f>
        <v>0</v>
      </c>
      <c r="F158" s="483">
        <f ca="1">F157</f>
        <v>0</v>
      </c>
      <c r="G158" s="483">
        <f ca="1">G157</f>
        <v>0</v>
      </c>
      <c r="H158" s="433">
        <f>H157</f>
        <v>0</v>
      </c>
      <c r="I158" s="433">
        <f>I157+H158</f>
        <v>0</v>
      </c>
      <c r="J158" s="433">
        <f t="shared" ref="J158:AQ158" si="54">J157+I158</f>
        <v>0</v>
      </c>
      <c r="K158" s="433">
        <f t="shared" si="54"/>
        <v>0</v>
      </c>
      <c r="L158" s="433">
        <f t="shared" si="54"/>
        <v>0</v>
      </c>
      <c r="M158" s="433">
        <f t="shared" si="54"/>
        <v>0</v>
      </c>
      <c r="N158" s="433">
        <f t="shared" si="54"/>
        <v>0</v>
      </c>
      <c r="O158" s="433">
        <f t="shared" si="54"/>
        <v>0</v>
      </c>
      <c r="P158" s="433">
        <f t="shared" si="54"/>
        <v>0</v>
      </c>
      <c r="Q158" s="433">
        <f t="shared" si="54"/>
        <v>0</v>
      </c>
      <c r="R158" s="433">
        <f t="shared" si="54"/>
        <v>0</v>
      </c>
      <c r="S158" s="433">
        <f t="shared" si="54"/>
        <v>0</v>
      </c>
      <c r="T158" s="433">
        <f t="shared" si="54"/>
        <v>0</v>
      </c>
      <c r="U158" s="433">
        <f t="shared" si="54"/>
        <v>0</v>
      </c>
      <c r="V158" s="433">
        <f t="shared" si="54"/>
        <v>0</v>
      </c>
      <c r="W158" s="433">
        <f t="shared" si="54"/>
        <v>0</v>
      </c>
      <c r="X158" s="433">
        <f t="shared" si="54"/>
        <v>0</v>
      </c>
      <c r="Y158" s="433">
        <f t="shared" si="54"/>
        <v>0</v>
      </c>
      <c r="Z158" s="433">
        <f t="shared" si="54"/>
        <v>0</v>
      </c>
      <c r="AA158" s="433">
        <f t="shared" si="54"/>
        <v>0</v>
      </c>
      <c r="AB158" s="433">
        <f t="shared" si="54"/>
        <v>0</v>
      </c>
      <c r="AC158" s="433">
        <f t="shared" si="54"/>
        <v>0</v>
      </c>
      <c r="AD158" s="433">
        <f t="shared" si="54"/>
        <v>0</v>
      </c>
      <c r="AE158" s="433">
        <f t="shared" si="54"/>
        <v>0</v>
      </c>
      <c r="AF158" s="433">
        <f t="shared" si="54"/>
        <v>0</v>
      </c>
      <c r="AG158" s="433">
        <f t="shared" si="54"/>
        <v>0</v>
      </c>
      <c r="AH158" s="433">
        <f t="shared" si="54"/>
        <v>0</v>
      </c>
      <c r="AI158" s="433">
        <f t="shared" si="54"/>
        <v>0</v>
      </c>
      <c r="AJ158" s="433">
        <f t="shared" si="54"/>
        <v>0</v>
      </c>
      <c r="AK158" s="433">
        <f t="shared" si="54"/>
        <v>0</v>
      </c>
      <c r="AL158" s="433">
        <f t="shared" si="54"/>
        <v>0</v>
      </c>
      <c r="AM158" s="433">
        <f t="shared" si="54"/>
        <v>0</v>
      </c>
      <c r="AN158" s="433">
        <f t="shared" si="54"/>
        <v>0</v>
      </c>
      <c r="AO158" s="433">
        <f t="shared" si="54"/>
        <v>0</v>
      </c>
      <c r="AP158" s="433">
        <f t="shared" si="54"/>
        <v>0</v>
      </c>
      <c r="AQ158" s="433">
        <f t="shared" si="54"/>
        <v>0</v>
      </c>
      <c r="AR158" s="433">
        <f t="shared" ref="AR158:BT158" si="55">AR157+AQ158</f>
        <v>0</v>
      </c>
      <c r="AS158" s="433">
        <f t="shared" si="55"/>
        <v>0</v>
      </c>
      <c r="AT158" s="433">
        <f t="shared" si="55"/>
        <v>0</v>
      </c>
      <c r="AU158" s="433">
        <f t="shared" si="55"/>
        <v>0</v>
      </c>
      <c r="AV158" s="433">
        <f t="shared" si="55"/>
        <v>0</v>
      </c>
      <c r="AW158" s="433">
        <f t="shared" si="55"/>
        <v>0</v>
      </c>
      <c r="AX158" s="433">
        <f t="shared" si="55"/>
        <v>0</v>
      </c>
      <c r="AY158" s="433">
        <f t="shared" si="55"/>
        <v>0</v>
      </c>
      <c r="AZ158" s="433">
        <f t="shared" si="55"/>
        <v>0</v>
      </c>
      <c r="BA158" s="433">
        <f t="shared" si="55"/>
        <v>0</v>
      </c>
      <c r="BB158" s="433">
        <f t="shared" si="55"/>
        <v>0</v>
      </c>
      <c r="BC158" s="433">
        <f t="shared" si="55"/>
        <v>0</v>
      </c>
      <c r="BD158" s="433">
        <f t="shared" si="55"/>
        <v>0</v>
      </c>
      <c r="BE158" s="433">
        <f t="shared" si="55"/>
        <v>0</v>
      </c>
      <c r="BF158" s="433">
        <f t="shared" si="55"/>
        <v>0</v>
      </c>
      <c r="BG158" s="433">
        <f t="shared" si="55"/>
        <v>0</v>
      </c>
      <c r="BH158" s="433">
        <f t="shared" si="55"/>
        <v>0</v>
      </c>
      <c r="BI158" s="433">
        <f t="shared" si="55"/>
        <v>0</v>
      </c>
      <c r="BJ158" s="433">
        <f t="shared" si="55"/>
        <v>0</v>
      </c>
      <c r="BK158" s="433">
        <f t="shared" si="55"/>
        <v>0</v>
      </c>
      <c r="BL158" s="433">
        <f t="shared" si="55"/>
        <v>0</v>
      </c>
      <c r="BM158" s="433">
        <f t="shared" si="55"/>
        <v>0</v>
      </c>
      <c r="BN158" s="433">
        <f t="shared" si="55"/>
        <v>0</v>
      </c>
      <c r="BO158" s="433">
        <f t="shared" si="55"/>
        <v>0</v>
      </c>
      <c r="BP158" s="433">
        <f t="shared" si="55"/>
        <v>0</v>
      </c>
      <c r="BQ158" s="433">
        <f t="shared" si="55"/>
        <v>0</v>
      </c>
      <c r="BR158" s="433">
        <f t="shared" si="55"/>
        <v>0</v>
      </c>
      <c r="BS158" s="433">
        <f t="shared" si="55"/>
        <v>0</v>
      </c>
      <c r="BT158" s="433">
        <f t="shared" si="55"/>
        <v>0</v>
      </c>
    </row>
    <row r="159" spans="1:72" s="182" customFormat="1" ht="15" thickTop="1" x14ac:dyDescent="0.3">
      <c r="B159" s="512"/>
      <c r="D159" s="627"/>
      <c r="E159" s="464"/>
      <c r="F159" s="464"/>
      <c r="G159" s="464"/>
      <c r="H159" s="408"/>
      <c r="I159" s="408"/>
      <c r="J159" s="408"/>
      <c r="K159" s="408"/>
      <c r="L159" s="408"/>
      <c r="M159" s="408"/>
      <c r="N159" s="408"/>
      <c r="O159" s="408"/>
      <c r="P159" s="408"/>
      <c r="Q159" s="408"/>
      <c r="R159" s="408"/>
      <c r="S159" s="408"/>
      <c r="T159" s="408"/>
      <c r="U159" s="408"/>
      <c r="V159" s="408"/>
      <c r="W159" s="408"/>
      <c r="X159" s="408"/>
      <c r="Y159" s="408"/>
      <c r="Z159" s="408"/>
      <c r="AA159" s="408"/>
      <c r="AB159" s="408"/>
      <c r="AC159" s="408"/>
      <c r="AD159" s="408"/>
      <c r="AE159" s="408"/>
      <c r="AF159" s="408"/>
      <c r="AG159" s="408"/>
      <c r="AH159" s="408"/>
      <c r="AI159" s="408"/>
      <c r="AJ159" s="408"/>
      <c r="AK159" s="408"/>
      <c r="AL159" s="408"/>
      <c r="AM159" s="408"/>
      <c r="AN159" s="408"/>
      <c r="AO159" s="408"/>
      <c r="AP159" s="408"/>
      <c r="AQ159" s="408"/>
      <c r="AR159" s="408"/>
      <c r="AS159" s="408"/>
      <c r="AT159" s="408"/>
      <c r="AU159" s="408"/>
      <c r="AV159" s="408"/>
      <c r="AW159" s="408"/>
      <c r="AX159" s="408"/>
      <c r="AY159" s="408"/>
      <c r="AZ159" s="408"/>
      <c r="BA159" s="408"/>
      <c r="BB159" s="408"/>
      <c r="BC159" s="408"/>
      <c r="BD159" s="408"/>
      <c r="BE159" s="408"/>
      <c r="BF159" s="408"/>
      <c r="BG159" s="408"/>
      <c r="BH159" s="408"/>
      <c r="BI159" s="408"/>
      <c r="BJ159" s="408"/>
      <c r="BK159" s="408"/>
      <c r="BL159" s="408"/>
      <c r="BM159" s="408"/>
      <c r="BN159" s="408"/>
      <c r="BO159" s="408"/>
      <c r="BP159" s="408"/>
      <c r="BQ159" s="408"/>
      <c r="BR159" s="408"/>
      <c r="BS159" s="408"/>
      <c r="BT159" s="408"/>
    </row>
    <row r="160" spans="1:72" s="182" customFormat="1" ht="15.6" x14ac:dyDescent="0.3">
      <c r="A160" s="115" t="s">
        <v>2338</v>
      </c>
      <c r="B160" s="389"/>
      <c r="C160" s="389"/>
      <c r="D160" s="389"/>
      <c r="E160" s="389"/>
      <c r="F160" s="389"/>
      <c r="G160" s="389"/>
      <c r="H160" s="389"/>
      <c r="I160" s="389"/>
      <c r="J160" s="389"/>
      <c r="K160" s="389"/>
      <c r="L160" s="389"/>
      <c r="M160" s="389"/>
      <c r="N160" s="389"/>
      <c r="O160" s="389"/>
      <c r="P160" s="389"/>
      <c r="Q160" s="389"/>
      <c r="R160" s="389"/>
      <c r="S160" s="389"/>
      <c r="T160" s="389"/>
      <c r="U160" s="389"/>
      <c r="V160" s="389"/>
      <c r="W160" s="389"/>
      <c r="X160" s="389"/>
      <c r="Y160" s="389"/>
      <c r="Z160" s="389"/>
      <c r="AA160" s="389"/>
      <c r="AB160" s="389"/>
      <c r="AC160" s="389"/>
      <c r="AD160" s="389"/>
      <c r="AE160" s="389"/>
      <c r="AF160" s="389"/>
      <c r="AG160" s="389"/>
      <c r="AH160" s="389"/>
      <c r="AI160" s="389"/>
      <c r="AJ160" s="389"/>
      <c r="AK160" s="389"/>
      <c r="AL160" s="389"/>
      <c r="AM160" s="389"/>
      <c r="AN160" s="389"/>
      <c r="AO160" s="389"/>
      <c r="AP160" s="389"/>
      <c r="AQ160" s="389"/>
      <c r="AR160" s="389"/>
      <c r="AS160" s="389"/>
      <c r="AT160" s="389"/>
      <c r="AU160" s="389"/>
      <c r="AV160" s="389"/>
      <c r="AW160" s="389"/>
      <c r="AX160" s="389"/>
      <c r="AY160" s="389"/>
      <c r="AZ160" s="389"/>
      <c r="BA160" s="389"/>
      <c r="BB160" s="389"/>
      <c r="BC160" s="389"/>
      <c r="BD160" s="389"/>
      <c r="BE160" s="389"/>
      <c r="BF160" s="389"/>
      <c r="BG160" s="389"/>
      <c r="BH160" s="389"/>
      <c r="BI160" s="389"/>
      <c r="BJ160" s="389"/>
      <c r="BK160" s="389"/>
      <c r="BL160" s="389"/>
      <c r="BM160" s="389"/>
      <c r="BN160" s="389"/>
      <c r="BO160" s="389"/>
      <c r="BP160" s="389"/>
      <c r="BQ160" s="389"/>
      <c r="BR160" s="389"/>
      <c r="BS160" s="389"/>
      <c r="BT160" s="389"/>
    </row>
    <row r="161" spans="1:72" s="182" customFormat="1" ht="3.75" customHeight="1" thickBot="1" x14ac:dyDescent="0.35">
      <c r="A161" s="119"/>
      <c r="B161" s="119"/>
      <c r="C161" s="119"/>
      <c r="D161" s="119"/>
      <c r="E161" s="119"/>
      <c r="F161" s="119"/>
      <c r="G161" s="119"/>
      <c r="H161" s="119"/>
      <c r="I161" s="119"/>
      <c r="J161" s="119"/>
      <c r="K161" s="119"/>
      <c r="L161" s="119"/>
      <c r="M161" s="119"/>
      <c r="N161" s="119"/>
      <c r="O161" s="119"/>
      <c r="P161" s="119"/>
      <c r="Q161" s="119"/>
      <c r="R161" s="119"/>
      <c r="S161" s="119"/>
      <c r="T161" s="119"/>
      <c r="U161" s="119"/>
      <c r="V161" s="119"/>
      <c r="W161" s="119"/>
      <c r="X161" s="119"/>
      <c r="Y161" s="119"/>
      <c r="Z161" s="119"/>
      <c r="AA161" s="119"/>
      <c r="AB161" s="119"/>
      <c r="AC161" s="119"/>
      <c r="AD161" s="119"/>
      <c r="AE161" s="119"/>
      <c r="AF161" s="119"/>
      <c r="AG161" s="119"/>
      <c r="AH161" s="119"/>
      <c r="AI161" s="119"/>
      <c r="AJ161" s="119"/>
      <c r="AK161" s="119"/>
      <c r="AL161" s="119"/>
      <c r="AM161" s="119"/>
      <c r="AN161" s="119"/>
      <c r="AO161" s="119"/>
      <c r="AP161" s="119"/>
      <c r="AQ161" s="119"/>
      <c r="AR161" s="119"/>
      <c r="AS161" s="119"/>
      <c r="AT161" s="119"/>
      <c r="AU161" s="119"/>
      <c r="AV161" s="119"/>
      <c r="AW161" s="119"/>
      <c r="AX161" s="119"/>
      <c r="AY161" s="119"/>
      <c r="AZ161" s="119"/>
      <c r="BA161" s="119"/>
      <c r="BB161" s="119"/>
      <c r="BC161" s="119"/>
      <c r="BD161" s="119"/>
      <c r="BE161" s="119"/>
      <c r="BF161" s="119"/>
      <c r="BG161" s="119"/>
      <c r="BH161" s="119"/>
      <c r="BI161" s="119"/>
      <c r="BJ161" s="119"/>
      <c r="BK161" s="119"/>
      <c r="BL161" s="119"/>
      <c r="BM161" s="119"/>
      <c r="BN161" s="119"/>
      <c r="BO161" s="119"/>
      <c r="BP161" s="119"/>
      <c r="BQ161" s="119"/>
      <c r="BR161" s="119"/>
      <c r="BS161" s="119"/>
      <c r="BT161" s="119"/>
    </row>
    <row r="162" spans="1:72" s="182" customFormat="1" ht="15" thickTop="1" x14ac:dyDescent="0.3">
      <c r="A162" s="182" t="s">
        <v>2339</v>
      </c>
      <c r="B162" s="512"/>
      <c r="D162" s="627"/>
      <c r="E162" s="464"/>
      <c r="F162" s="464"/>
      <c r="G162" s="464"/>
      <c r="H162" s="408">
        <f>IF(H5=1,0,G165)</f>
        <v>0</v>
      </c>
      <c r="I162" s="408">
        <f t="shared" ref="I162:AM162" si="56">IF(I5=1,0,H165)</f>
        <v>0</v>
      </c>
      <c r="J162" s="408">
        <f t="shared" si="56"/>
        <v>0</v>
      </c>
      <c r="K162" s="408">
        <f t="shared" si="56"/>
        <v>0</v>
      </c>
      <c r="L162" s="408">
        <f t="shared" si="56"/>
        <v>0</v>
      </c>
      <c r="M162" s="408">
        <f t="shared" si="56"/>
        <v>0</v>
      </c>
      <c r="N162" s="408">
        <f t="shared" si="56"/>
        <v>0</v>
      </c>
      <c r="O162" s="408">
        <f t="shared" si="56"/>
        <v>0</v>
      </c>
      <c r="P162" s="408">
        <f t="shared" si="56"/>
        <v>0</v>
      </c>
      <c r="Q162" s="408">
        <f t="shared" si="56"/>
        <v>0</v>
      </c>
      <c r="R162" s="408">
        <f t="shared" si="56"/>
        <v>0</v>
      </c>
      <c r="S162" s="408">
        <f t="shared" si="56"/>
        <v>0</v>
      </c>
      <c r="T162" s="408">
        <f t="shared" si="56"/>
        <v>0</v>
      </c>
      <c r="U162" s="408">
        <f t="shared" si="56"/>
        <v>0</v>
      </c>
      <c r="V162" s="408">
        <f t="shared" si="56"/>
        <v>0</v>
      </c>
      <c r="W162" s="408">
        <f t="shared" si="56"/>
        <v>0</v>
      </c>
      <c r="X162" s="408">
        <f t="shared" si="56"/>
        <v>0</v>
      </c>
      <c r="Y162" s="408">
        <f t="shared" si="56"/>
        <v>0</v>
      </c>
      <c r="Z162" s="408">
        <f t="shared" si="56"/>
        <v>0</v>
      </c>
      <c r="AA162" s="408">
        <f t="shared" si="56"/>
        <v>0</v>
      </c>
      <c r="AB162" s="408">
        <f t="shared" si="56"/>
        <v>0</v>
      </c>
      <c r="AC162" s="408">
        <f t="shared" si="56"/>
        <v>0</v>
      </c>
      <c r="AD162" s="408">
        <f t="shared" si="56"/>
        <v>0</v>
      </c>
      <c r="AE162" s="408">
        <f t="shared" si="56"/>
        <v>0</v>
      </c>
      <c r="AF162" s="408">
        <f t="shared" si="56"/>
        <v>0</v>
      </c>
      <c r="AG162" s="408">
        <f t="shared" si="56"/>
        <v>0</v>
      </c>
      <c r="AH162" s="408">
        <f t="shared" si="56"/>
        <v>0</v>
      </c>
      <c r="AI162" s="408">
        <f t="shared" si="56"/>
        <v>0</v>
      </c>
      <c r="AJ162" s="408">
        <f t="shared" si="56"/>
        <v>0</v>
      </c>
      <c r="AK162" s="408">
        <f t="shared" si="56"/>
        <v>0</v>
      </c>
      <c r="AL162" s="408">
        <f t="shared" si="56"/>
        <v>0</v>
      </c>
      <c r="AM162" s="408">
        <f t="shared" si="56"/>
        <v>0</v>
      </c>
      <c r="AN162" s="408">
        <f t="shared" ref="AN162:BT162" si="57">IF(AN5=1,0,AM165)</f>
        <v>0</v>
      </c>
      <c r="AO162" s="408">
        <f t="shared" si="57"/>
        <v>0</v>
      </c>
      <c r="AP162" s="408">
        <f t="shared" si="57"/>
        <v>0</v>
      </c>
      <c r="AQ162" s="408">
        <f t="shared" si="57"/>
        <v>0</v>
      </c>
      <c r="AR162" s="408">
        <f t="shared" si="57"/>
        <v>0</v>
      </c>
      <c r="AS162" s="408">
        <f t="shared" si="57"/>
        <v>0</v>
      </c>
      <c r="AT162" s="408">
        <f t="shared" si="57"/>
        <v>0</v>
      </c>
      <c r="AU162" s="408">
        <f t="shared" si="57"/>
        <v>0</v>
      </c>
      <c r="AV162" s="408">
        <f t="shared" si="57"/>
        <v>0</v>
      </c>
      <c r="AW162" s="408">
        <f t="shared" si="57"/>
        <v>0</v>
      </c>
      <c r="AX162" s="408">
        <f t="shared" si="57"/>
        <v>0</v>
      </c>
      <c r="AY162" s="408">
        <f t="shared" si="57"/>
        <v>0</v>
      </c>
      <c r="AZ162" s="408">
        <f t="shared" si="57"/>
        <v>0</v>
      </c>
      <c r="BA162" s="408">
        <f t="shared" si="57"/>
        <v>0</v>
      </c>
      <c r="BB162" s="408">
        <f t="shared" si="57"/>
        <v>0</v>
      </c>
      <c r="BC162" s="408">
        <f t="shared" si="57"/>
        <v>0</v>
      </c>
      <c r="BD162" s="408">
        <f t="shared" si="57"/>
        <v>0</v>
      </c>
      <c r="BE162" s="408">
        <f t="shared" si="57"/>
        <v>0</v>
      </c>
      <c r="BF162" s="408">
        <f t="shared" si="57"/>
        <v>0</v>
      </c>
      <c r="BG162" s="408">
        <f t="shared" si="57"/>
        <v>0</v>
      </c>
      <c r="BH162" s="408">
        <f t="shared" si="57"/>
        <v>0</v>
      </c>
      <c r="BI162" s="408">
        <f t="shared" si="57"/>
        <v>0</v>
      </c>
      <c r="BJ162" s="408">
        <f t="shared" si="57"/>
        <v>0</v>
      </c>
      <c r="BK162" s="408">
        <f t="shared" si="57"/>
        <v>0</v>
      </c>
      <c r="BL162" s="408">
        <f t="shared" si="57"/>
        <v>0</v>
      </c>
      <c r="BM162" s="408">
        <f t="shared" si="57"/>
        <v>0</v>
      </c>
      <c r="BN162" s="408">
        <f t="shared" si="57"/>
        <v>0</v>
      </c>
      <c r="BO162" s="408">
        <f t="shared" si="57"/>
        <v>0</v>
      </c>
      <c r="BP162" s="408">
        <f t="shared" si="57"/>
        <v>0</v>
      </c>
      <c r="BQ162" s="408">
        <f t="shared" si="57"/>
        <v>0</v>
      </c>
      <c r="BR162" s="408">
        <f t="shared" si="57"/>
        <v>0</v>
      </c>
      <c r="BS162" s="408">
        <f t="shared" si="57"/>
        <v>0</v>
      </c>
      <c r="BT162" s="408">
        <f t="shared" si="57"/>
        <v>0</v>
      </c>
    </row>
    <row r="163" spans="1:72" s="182" customFormat="1" x14ac:dyDescent="0.3">
      <c r="A163" s="182" t="s">
        <v>2340</v>
      </c>
      <c r="B163" s="512"/>
      <c r="D163" s="627"/>
      <c r="E163" s="62">
        <v>1</v>
      </c>
      <c r="F163" s="464"/>
      <c r="G163" s="464"/>
      <c r="H163" s="407">
        <f>H157*$E$163</f>
        <v>0</v>
      </c>
      <c r="I163" s="407">
        <f>I157*$E$163</f>
        <v>0</v>
      </c>
      <c r="J163" s="407">
        <f t="shared" ref="J163:S163" si="58">J157*$E$163</f>
        <v>0</v>
      </c>
      <c r="K163" s="407">
        <f t="shared" si="58"/>
        <v>0</v>
      </c>
      <c r="L163" s="407">
        <f t="shared" si="58"/>
        <v>0</v>
      </c>
      <c r="M163" s="407">
        <f t="shared" si="58"/>
        <v>0</v>
      </c>
      <c r="N163" s="407">
        <f t="shared" si="58"/>
        <v>0</v>
      </c>
      <c r="O163" s="407">
        <f t="shared" si="58"/>
        <v>0</v>
      </c>
      <c r="P163" s="407">
        <f t="shared" si="58"/>
        <v>0</v>
      </c>
      <c r="Q163" s="407">
        <f t="shared" si="58"/>
        <v>0</v>
      </c>
      <c r="R163" s="407">
        <f t="shared" si="58"/>
        <v>0</v>
      </c>
      <c r="S163" s="407">
        <f t="shared" si="58"/>
        <v>0</v>
      </c>
      <c r="T163" s="407">
        <f>T157*$E$163</f>
        <v>0</v>
      </c>
      <c r="U163" s="407">
        <f t="shared" ref="U163:BT163" si="59">U157*$E$163</f>
        <v>0</v>
      </c>
      <c r="V163" s="407">
        <f t="shared" si="59"/>
        <v>0</v>
      </c>
      <c r="W163" s="407">
        <f t="shared" si="59"/>
        <v>0</v>
      </c>
      <c r="X163" s="407">
        <f t="shared" si="59"/>
        <v>0</v>
      </c>
      <c r="Y163" s="407">
        <f t="shared" si="59"/>
        <v>0</v>
      </c>
      <c r="Z163" s="407">
        <f t="shared" si="59"/>
        <v>0</v>
      </c>
      <c r="AA163" s="407">
        <f t="shared" si="59"/>
        <v>0</v>
      </c>
      <c r="AB163" s="407">
        <f t="shared" si="59"/>
        <v>0</v>
      </c>
      <c r="AC163" s="407">
        <f t="shared" si="59"/>
        <v>0</v>
      </c>
      <c r="AD163" s="407">
        <f t="shared" si="59"/>
        <v>0</v>
      </c>
      <c r="AE163" s="407">
        <f t="shared" si="59"/>
        <v>0</v>
      </c>
      <c r="AF163" s="407">
        <f t="shared" si="59"/>
        <v>0</v>
      </c>
      <c r="AG163" s="407">
        <f t="shared" si="59"/>
        <v>0</v>
      </c>
      <c r="AH163" s="407">
        <f t="shared" si="59"/>
        <v>0</v>
      </c>
      <c r="AI163" s="407">
        <f t="shared" si="59"/>
        <v>0</v>
      </c>
      <c r="AJ163" s="407">
        <f t="shared" si="59"/>
        <v>0</v>
      </c>
      <c r="AK163" s="407">
        <f t="shared" si="59"/>
        <v>0</v>
      </c>
      <c r="AL163" s="407">
        <f t="shared" si="59"/>
        <v>0</v>
      </c>
      <c r="AM163" s="407">
        <f t="shared" si="59"/>
        <v>0</v>
      </c>
      <c r="AN163" s="407">
        <f t="shared" si="59"/>
        <v>0</v>
      </c>
      <c r="AO163" s="407">
        <f t="shared" si="59"/>
        <v>0</v>
      </c>
      <c r="AP163" s="407">
        <f t="shared" si="59"/>
        <v>0</v>
      </c>
      <c r="AQ163" s="407">
        <f t="shared" si="59"/>
        <v>0</v>
      </c>
      <c r="AR163" s="407">
        <f t="shared" si="59"/>
        <v>0</v>
      </c>
      <c r="AS163" s="407">
        <f t="shared" si="59"/>
        <v>0</v>
      </c>
      <c r="AT163" s="407">
        <f t="shared" si="59"/>
        <v>0</v>
      </c>
      <c r="AU163" s="407">
        <f t="shared" si="59"/>
        <v>0</v>
      </c>
      <c r="AV163" s="407">
        <f t="shared" si="59"/>
        <v>0</v>
      </c>
      <c r="AW163" s="407">
        <f t="shared" si="59"/>
        <v>0</v>
      </c>
      <c r="AX163" s="407">
        <f t="shared" si="59"/>
        <v>0</v>
      </c>
      <c r="AY163" s="407">
        <f t="shared" si="59"/>
        <v>0</v>
      </c>
      <c r="AZ163" s="407">
        <f t="shared" si="59"/>
        <v>0</v>
      </c>
      <c r="BA163" s="407">
        <f t="shared" si="59"/>
        <v>0</v>
      </c>
      <c r="BB163" s="407">
        <f t="shared" si="59"/>
        <v>0</v>
      </c>
      <c r="BC163" s="407">
        <f t="shared" si="59"/>
        <v>0</v>
      </c>
      <c r="BD163" s="407">
        <f t="shared" si="59"/>
        <v>0</v>
      </c>
      <c r="BE163" s="407">
        <f t="shared" si="59"/>
        <v>0</v>
      </c>
      <c r="BF163" s="407">
        <f t="shared" si="59"/>
        <v>0</v>
      </c>
      <c r="BG163" s="407">
        <f t="shared" si="59"/>
        <v>0</v>
      </c>
      <c r="BH163" s="407">
        <f t="shared" si="59"/>
        <v>0</v>
      </c>
      <c r="BI163" s="407">
        <f t="shared" si="59"/>
        <v>0</v>
      </c>
      <c r="BJ163" s="407">
        <f t="shared" si="59"/>
        <v>0</v>
      </c>
      <c r="BK163" s="407">
        <f t="shared" si="59"/>
        <v>0</v>
      </c>
      <c r="BL163" s="407">
        <f t="shared" si="59"/>
        <v>0</v>
      </c>
      <c r="BM163" s="407">
        <f t="shared" si="59"/>
        <v>0</v>
      </c>
      <c r="BN163" s="407">
        <f t="shared" si="59"/>
        <v>0</v>
      </c>
      <c r="BO163" s="407">
        <f t="shared" si="59"/>
        <v>0</v>
      </c>
      <c r="BP163" s="407">
        <f t="shared" si="59"/>
        <v>0</v>
      </c>
      <c r="BQ163" s="407">
        <f t="shared" si="59"/>
        <v>0</v>
      </c>
      <c r="BR163" s="407">
        <f t="shared" si="59"/>
        <v>0</v>
      </c>
      <c r="BS163" s="407">
        <f t="shared" si="59"/>
        <v>0</v>
      </c>
      <c r="BT163" s="407">
        <f t="shared" si="59"/>
        <v>0</v>
      </c>
    </row>
    <row r="164" spans="1:72" s="182" customFormat="1" x14ac:dyDescent="0.3">
      <c r="A164" s="182" t="s">
        <v>2341</v>
      </c>
      <c r="B164" s="512"/>
      <c r="D164" s="627"/>
      <c r="E164" s="1135">
        <f>'Development Inputs'!D75</f>
        <v>0</v>
      </c>
      <c r="F164" s="464"/>
      <c r="G164" s="464"/>
      <c r="H164" s="407">
        <f>IF(H5=1,0,G165*'Development Inputs'!$D$75/12)</f>
        <v>0</v>
      </c>
      <c r="I164" s="407">
        <f>IF(I5=1,0,H165*'Development Inputs'!$D$75/12)</f>
        <v>0</v>
      </c>
      <c r="J164" s="407">
        <f>IF(J5=1,0,I165*'Development Inputs'!$D$75/12)</f>
        <v>0</v>
      </c>
      <c r="K164" s="407">
        <f>IF(K5=1,0,J165*'Development Inputs'!$D$75/12)</f>
        <v>0</v>
      </c>
      <c r="L164" s="407">
        <f>IF(L5=1,0,K165*'Development Inputs'!$D$75/12)</f>
        <v>0</v>
      </c>
      <c r="M164" s="407">
        <f>IF(M5=1,0,L165*'Development Inputs'!$D$75/12)</f>
        <v>0</v>
      </c>
      <c r="N164" s="407">
        <f>IF(N5=1,0,M165*'Development Inputs'!$D$75/12)</f>
        <v>0</v>
      </c>
      <c r="O164" s="407">
        <f>IF(O5=1,0,N165*'Development Inputs'!$D$75/12)</f>
        <v>0</v>
      </c>
      <c r="P164" s="407">
        <f>IF(P5=1,0,O165*'Development Inputs'!$D$75/12)</f>
        <v>0</v>
      </c>
      <c r="Q164" s="407">
        <f>IF(Q5=1,0,P165*'Development Inputs'!$D$75/12)</f>
        <v>0</v>
      </c>
      <c r="R164" s="407">
        <f>IF(R5=1,0,Q165*'Development Inputs'!$D$75/12)</f>
        <v>0</v>
      </c>
      <c r="S164" s="407">
        <f>IF(S5=1,0,R165*'Development Inputs'!$D$75/12)</f>
        <v>0</v>
      </c>
      <c r="T164" s="407">
        <f>IF(T5=1,0,S165*'Development Inputs'!$D$75/12)</f>
        <v>0</v>
      </c>
      <c r="U164" s="407">
        <f>IF(U5=1,0,T165*'Development Inputs'!$D$75/12)</f>
        <v>0</v>
      </c>
      <c r="V164" s="407">
        <f>IF(V5=1,0,U165*'Development Inputs'!$D$75/12)</f>
        <v>0</v>
      </c>
      <c r="W164" s="407">
        <f>IF(W5=1,0,V165*'Development Inputs'!$D$75/12)</f>
        <v>0</v>
      </c>
      <c r="X164" s="407">
        <f>IF(X5=1,0,W165*'Development Inputs'!$D$75/12)</f>
        <v>0</v>
      </c>
      <c r="Y164" s="407">
        <f>IF(Y5=1,0,X165*'Development Inputs'!$D$75/12)</f>
        <v>0</v>
      </c>
      <c r="Z164" s="407">
        <f>IF(Z5=1,0,Y165*'Development Inputs'!$D$75/12)</f>
        <v>0</v>
      </c>
      <c r="AA164" s="407">
        <f>IF(AA5=1,0,Z165*'Development Inputs'!$D$75/12)</f>
        <v>0</v>
      </c>
      <c r="AB164" s="407">
        <f>IF(AB5=1,0,AA165*'Development Inputs'!$D$75/12)</f>
        <v>0</v>
      </c>
      <c r="AC164" s="407">
        <f>IF(AC5=1,0,AB165*'Development Inputs'!$D$75/12)</f>
        <v>0</v>
      </c>
      <c r="AD164" s="407">
        <f>IF(AD5=1,0,AC165*'Development Inputs'!$D$75/12)</f>
        <v>0</v>
      </c>
      <c r="AE164" s="407">
        <f>IF(AE5=1,0,AD165*'Development Inputs'!$D$75/12)</f>
        <v>0</v>
      </c>
      <c r="AF164" s="407">
        <f>IF(AF5=1,0,AE165*'Development Inputs'!$D$75/12)</f>
        <v>0</v>
      </c>
      <c r="AG164" s="407">
        <f>IF(AG5=1,0,AF165*'Development Inputs'!$D$75/12)</f>
        <v>0</v>
      </c>
      <c r="AH164" s="407">
        <f>IF(AH5=1,0,AG165*'Development Inputs'!$D$75/12)</f>
        <v>0</v>
      </c>
      <c r="AI164" s="407">
        <f>IF(AI5=1,0,AH165*'Development Inputs'!$D$75/12)</f>
        <v>0</v>
      </c>
      <c r="AJ164" s="407">
        <f>IF(AJ5=1,0,AI165*'Development Inputs'!$D$75/12)</f>
        <v>0</v>
      </c>
      <c r="AK164" s="407">
        <f>IF(AK5=1,0,AJ165*'Development Inputs'!$D$75/12)</f>
        <v>0</v>
      </c>
      <c r="AL164" s="407">
        <f>IF(AL5=1,0,AK165*'Development Inputs'!$D$75/12)</f>
        <v>0</v>
      </c>
      <c r="AM164" s="407">
        <f>IF(AM5=1,0,AL165*'Development Inputs'!$D$75/12)</f>
        <v>0</v>
      </c>
      <c r="AN164" s="407">
        <f>IF(AN5=1,0,AM165*'Development Inputs'!$D$75/12)</f>
        <v>0</v>
      </c>
      <c r="AO164" s="407">
        <f>IF(AO5=1,0,AN165*'Development Inputs'!$D$75/12)</f>
        <v>0</v>
      </c>
      <c r="AP164" s="407">
        <f>IF(AP5=1,0,AO165*'Development Inputs'!$D$75/12)</f>
        <v>0</v>
      </c>
      <c r="AQ164" s="407">
        <f>IF(AQ5=1,0,AP165*'Development Inputs'!$D$75/12)</f>
        <v>0</v>
      </c>
      <c r="AR164" s="407">
        <f>IF(AR5=1,0,AQ165*'Development Inputs'!$D$75/12)</f>
        <v>0</v>
      </c>
      <c r="AS164" s="407">
        <f>IF(AS5=1,0,AR165*'Development Inputs'!$D$75/12)</f>
        <v>0</v>
      </c>
      <c r="AT164" s="407">
        <f>IF(AT5=1,0,AS165*'Development Inputs'!$D$75/12)</f>
        <v>0</v>
      </c>
      <c r="AU164" s="407">
        <f>IF(AU5=1,0,AT165*'Development Inputs'!$D$75/12)</f>
        <v>0</v>
      </c>
      <c r="AV164" s="407">
        <f>IF(AV5=1,0,AU165*'Development Inputs'!$D$75/12)</f>
        <v>0</v>
      </c>
      <c r="AW164" s="407">
        <f>IF(AW5=1,0,AV165*'Development Inputs'!$D$75/12)</f>
        <v>0</v>
      </c>
      <c r="AX164" s="407">
        <f>IF(AX5=1,0,AW165*'Development Inputs'!$D$75/12)</f>
        <v>0</v>
      </c>
      <c r="AY164" s="407">
        <f>IF(AY5=1,0,AX165*'Development Inputs'!$D$75/12)</f>
        <v>0</v>
      </c>
      <c r="AZ164" s="407">
        <f>IF(AZ5=1,0,AY165*'Development Inputs'!$D$75/12)</f>
        <v>0</v>
      </c>
      <c r="BA164" s="407">
        <f>IF(BA5=1,0,AZ165*'Development Inputs'!$D$75/12)</f>
        <v>0</v>
      </c>
      <c r="BB164" s="407">
        <f>IF(BB5=1,0,BA165*'Development Inputs'!$D$75/12)</f>
        <v>0</v>
      </c>
      <c r="BC164" s="407">
        <f>IF(BC5=1,0,BB165*'Development Inputs'!$D$75/12)</f>
        <v>0</v>
      </c>
      <c r="BD164" s="407">
        <f>IF(BD5=1,0,BC165*'Development Inputs'!$D$75/12)</f>
        <v>0</v>
      </c>
      <c r="BE164" s="407">
        <f>IF(BE5=1,0,BD165*'Development Inputs'!$D$75/12)</f>
        <v>0</v>
      </c>
      <c r="BF164" s="407">
        <f>IF(BF5=1,0,BE165*'Development Inputs'!$D$75/12)</f>
        <v>0</v>
      </c>
      <c r="BG164" s="407">
        <f>IF(BG5=1,0,BF165*'Development Inputs'!$D$75/12)</f>
        <v>0</v>
      </c>
      <c r="BH164" s="407">
        <f>IF(BH5=1,0,BG165*'Development Inputs'!$D$75/12)</f>
        <v>0</v>
      </c>
      <c r="BI164" s="407">
        <f>IF(BI5=1,0,BH165*'Development Inputs'!$D$75/12)</f>
        <v>0</v>
      </c>
      <c r="BJ164" s="407">
        <f>IF(BJ5=1,0,BI165*'Development Inputs'!$D$75/12)</f>
        <v>0</v>
      </c>
      <c r="BK164" s="407">
        <f>IF(BK5=1,0,BJ165*'Development Inputs'!$D$75/12)</f>
        <v>0</v>
      </c>
      <c r="BL164" s="407">
        <f>IF(BL5=1,0,BK165*'Development Inputs'!$D$75/12)</f>
        <v>0</v>
      </c>
      <c r="BM164" s="407">
        <f>IF(BM5=1,0,BL165*'Development Inputs'!$D$75/12)</f>
        <v>0</v>
      </c>
      <c r="BN164" s="407">
        <f>IF(BN5=1,0,BM165*'Development Inputs'!$D$75/12)</f>
        <v>0</v>
      </c>
      <c r="BO164" s="407">
        <f>IF(BO5=1,0,BN165*'Development Inputs'!$D$75/12)</f>
        <v>0</v>
      </c>
      <c r="BP164" s="407">
        <f>IF(BP5=1,0,BO165*'Development Inputs'!$D$75/12)</f>
        <v>0</v>
      </c>
      <c r="BQ164" s="407">
        <f>IF(BQ5=1,0,BP165*'Development Inputs'!$D$75/12)</f>
        <v>0</v>
      </c>
      <c r="BR164" s="407">
        <f>IF(BR5=1,0,BQ165*'Development Inputs'!$D$75/12)</f>
        <v>0</v>
      </c>
      <c r="BS164" s="407">
        <f>IF(BS5=1,0,BR165*'Development Inputs'!$D$75/12)</f>
        <v>0</v>
      </c>
      <c r="BT164" s="407">
        <f>IF(BT5=1,0,BS165*'Development Inputs'!$D$75/12)</f>
        <v>0</v>
      </c>
    </row>
    <row r="165" spans="1:72" s="182" customFormat="1" x14ac:dyDescent="0.3">
      <c r="A165" s="613" t="s">
        <v>2342</v>
      </c>
      <c r="B165" s="612"/>
      <c r="C165" s="613"/>
      <c r="D165" s="628"/>
      <c r="E165" s="629"/>
      <c r="F165" s="629"/>
      <c r="G165" s="629"/>
      <c r="H165" s="630">
        <f t="shared" ref="H165:AM165" si="60">SUM(H162:H164)</f>
        <v>0</v>
      </c>
      <c r="I165" s="630">
        <f>SUM(I162:I164)</f>
        <v>0</v>
      </c>
      <c r="J165" s="630">
        <f t="shared" si="60"/>
        <v>0</v>
      </c>
      <c r="K165" s="630">
        <f t="shared" si="60"/>
        <v>0</v>
      </c>
      <c r="L165" s="630">
        <f t="shared" si="60"/>
        <v>0</v>
      </c>
      <c r="M165" s="630">
        <f t="shared" si="60"/>
        <v>0</v>
      </c>
      <c r="N165" s="630">
        <f t="shared" si="60"/>
        <v>0</v>
      </c>
      <c r="O165" s="630">
        <f t="shared" si="60"/>
        <v>0</v>
      </c>
      <c r="P165" s="630">
        <f t="shared" si="60"/>
        <v>0</v>
      </c>
      <c r="Q165" s="630">
        <f t="shared" si="60"/>
        <v>0</v>
      </c>
      <c r="R165" s="630">
        <f t="shared" si="60"/>
        <v>0</v>
      </c>
      <c r="S165" s="630">
        <f t="shared" si="60"/>
        <v>0</v>
      </c>
      <c r="T165" s="630">
        <f t="shared" si="60"/>
        <v>0</v>
      </c>
      <c r="U165" s="630">
        <f t="shared" si="60"/>
        <v>0</v>
      </c>
      <c r="V165" s="630">
        <f t="shared" si="60"/>
        <v>0</v>
      </c>
      <c r="W165" s="630">
        <f t="shared" si="60"/>
        <v>0</v>
      </c>
      <c r="X165" s="630">
        <f t="shared" si="60"/>
        <v>0</v>
      </c>
      <c r="Y165" s="630">
        <f t="shared" si="60"/>
        <v>0</v>
      </c>
      <c r="Z165" s="630">
        <f t="shared" si="60"/>
        <v>0</v>
      </c>
      <c r="AA165" s="630">
        <f t="shared" si="60"/>
        <v>0</v>
      </c>
      <c r="AB165" s="630">
        <f t="shared" si="60"/>
        <v>0</v>
      </c>
      <c r="AC165" s="630">
        <f t="shared" si="60"/>
        <v>0</v>
      </c>
      <c r="AD165" s="630">
        <f t="shared" si="60"/>
        <v>0</v>
      </c>
      <c r="AE165" s="630">
        <f t="shared" si="60"/>
        <v>0</v>
      </c>
      <c r="AF165" s="630">
        <f t="shared" si="60"/>
        <v>0</v>
      </c>
      <c r="AG165" s="630">
        <f t="shared" si="60"/>
        <v>0</v>
      </c>
      <c r="AH165" s="630">
        <f t="shared" si="60"/>
        <v>0</v>
      </c>
      <c r="AI165" s="630">
        <f t="shared" si="60"/>
        <v>0</v>
      </c>
      <c r="AJ165" s="630">
        <f t="shared" si="60"/>
        <v>0</v>
      </c>
      <c r="AK165" s="630">
        <f t="shared" si="60"/>
        <v>0</v>
      </c>
      <c r="AL165" s="630">
        <f t="shared" si="60"/>
        <v>0</v>
      </c>
      <c r="AM165" s="630">
        <f t="shared" si="60"/>
        <v>0</v>
      </c>
      <c r="AN165" s="630">
        <f t="shared" ref="AN165:BS165" si="61">SUM(AN162:AN164)</f>
        <v>0</v>
      </c>
      <c r="AO165" s="630">
        <f t="shared" si="61"/>
        <v>0</v>
      </c>
      <c r="AP165" s="630">
        <f t="shared" si="61"/>
        <v>0</v>
      </c>
      <c r="AQ165" s="630">
        <f t="shared" si="61"/>
        <v>0</v>
      </c>
      <c r="AR165" s="630">
        <f t="shared" si="61"/>
        <v>0</v>
      </c>
      <c r="AS165" s="630">
        <f t="shared" si="61"/>
        <v>0</v>
      </c>
      <c r="AT165" s="630">
        <f t="shared" si="61"/>
        <v>0</v>
      </c>
      <c r="AU165" s="630">
        <f t="shared" si="61"/>
        <v>0</v>
      </c>
      <c r="AV165" s="630">
        <f t="shared" si="61"/>
        <v>0</v>
      </c>
      <c r="AW165" s="630">
        <f t="shared" si="61"/>
        <v>0</v>
      </c>
      <c r="AX165" s="630">
        <f t="shared" si="61"/>
        <v>0</v>
      </c>
      <c r="AY165" s="630">
        <f t="shared" si="61"/>
        <v>0</v>
      </c>
      <c r="AZ165" s="630">
        <f t="shared" si="61"/>
        <v>0</v>
      </c>
      <c r="BA165" s="630">
        <f t="shared" si="61"/>
        <v>0</v>
      </c>
      <c r="BB165" s="630">
        <f t="shared" si="61"/>
        <v>0</v>
      </c>
      <c r="BC165" s="630">
        <f t="shared" si="61"/>
        <v>0</v>
      </c>
      <c r="BD165" s="630">
        <f t="shared" si="61"/>
        <v>0</v>
      </c>
      <c r="BE165" s="630">
        <f t="shared" si="61"/>
        <v>0</v>
      </c>
      <c r="BF165" s="630">
        <f t="shared" si="61"/>
        <v>0</v>
      </c>
      <c r="BG165" s="630">
        <f t="shared" si="61"/>
        <v>0</v>
      </c>
      <c r="BH165" s="630">
        <f t="shared" si="61"/>
        <v>0</v>
      </c>
      <c r="BI165" s="630">
        <f t="shared" si="61"/>
        <v>0</v>
      </c>
      <c r="BJ165" s="630">
        <f t="shared" si="61"/>
        <v>0</v>
      </c>
      <c r="BK165" s="630">
        <f t="shared" si="61"/>
        <v>0</v>
      </c>
      <c r="BL165" s="630">
        <f t="shared" si="61"/>
        <v>0</v>
      </c>
      <c r="BM165" s="630">
        <f t="shared" si="61"/>
        <v>0</v>
      </c>
      <c r="BN165" s="630">
        <f t="shared" si="61"/>
        <v>0</v>
      </c>
      <c r="BO165" s="630">
        <f t="shared" si="61"/>
        <v>0</v>
      </c>
      <c r="BP165" s="630">
        <f t="shared" si="61"/>
        <v>0</v>
      </c>
      <c r="BQ165" s="630">
        <f t="shared" si="61"/>
        <v>0</v>
      </c>
      <c r="BR165" s="630">
        <f t="shared" si="61"/>
        <v>0</v>
      </c>
      <c r="BS165" s="630">
        <f t="shared" si="61"/>
        <v>0</v>
      </c>
      <c r="BT165" s="630">
        <f>SUM(BT162:BT164)</f>
        <v>0</v>
      </c>
    </row>
    <row r="166" spans="1:72" s="182" customFormat="1" x14ac:dyDescent="0.3">
      <c r="B166" s="512"/>
      <c r="D166" s="627"/>
      <c r="E166" s="464"/>
      <c r="F166" s="464"/>
      <c r="G166" s="464"/>
      <c r="H166" s="408"/>
      <c r="I166" s="408"/>
      <c r="J166" s="408"/>
      <c r="K166" s="408"/>
      <c r="L166" s="408"/>
      <c r="M166" s="408"/>
      <c r="N166" s="408"/>
      <c r="O166" s="408"/>
      <c r="P166" s="408"/>
      <c r="Q166" s="408"/>
      <c r="R166" s="408"/>
      <c r="S166" s="408"/>
      <c r="T166" s="408"/>
      <c r="U166" s="408"/>
      <c r="V166" s="408"/>
      <c r="W166" s="408"/>
      <c r="X166" s="408"/>
      <c r="Y166" s="408"/>
      <c r="Z166" s="408"/>
      <c r="AA166" s="408"/>
      <c r="AB166" s="408"/>
      <c r="AC166" s="408"/>
      <c r="AD166" s="408"/>
      <c r="AE166" s="408"/>
      <c r="AF166" s="408"/>
      <c r="AG166" s="408"/>
      <c r="AH166" s="408"/>
      <c r="AI166" s="408"/>
      <c r="AJ166" s="408"/>
      <c r="AK166" s="408"/>
      <c r="AL166" s="408"/>
      <c r="AM166" s="408"/>
      <c r="AN166" s="408"/>
      <c r="AO166" s="408"/>
      <c r="AP166" s="408"/>
      <c r="AQ166" s="408"/>
      <c r="AR166" s="408"/>
      <c r="AS166" s="408"/>
      <c r="AT166" s="408"/>
      <c r="AU166" s="408"/>
      <c r="AV166" s="408"/>
      <c r="AW166" s="408"/>
      <c r="AX166" s="408"/>
      <c r="AY166" s="408"/>
      <c r="AZ166" s="408"/>
      <c r="BA166" s="408"/>
      <c r="BB166" s="408"/>
      <c r="BC166" s="408"/>
      <c r="BD166" s="408"/>
      <c r="BE166" s="408"/>
      <c r="BF166" s="408"/>
      <c r="BG166" s="408"/>
      <c r="BH166" s="408"/>
      <c r="BI166" s="408"/>
      <c r="BJ166" s="408"/>
      <c r="BK166" s="408"/>
      <c r="BL166" s="408"/>
      <c r="BM166" s="408"/>
      <c r="BN166" s="408"/>
      <c r="BO166" s="408"/>
      <c r="BP166" s="408"/>
      <c r="BQ166" s="408"/>
      <c r="BR166" s="408"/>
      <c r="BS166" s="408"/>
      <c r="BT166" s="408"/>
    </row>
    <row r="167" spans="1:72" s="182" customFormat="1" x14ac:dyDescent="0.3">
      <c r="A167" s="182" t="str">
        <f>TEXT('General Inputs'!$J$29,(""))&amp;" Beginning Balance"</f>
        <v>LP Beginning Balance</v>
      </c>
      <c r="B167" s="512"/>
      <c r="D167" s="627"/>
      <c r="E167" s="464"/>
      <c r="F167" s="464"/>
      <c r="G167" s="464"/>
      <c r="H167" s="408">
        <f t="shared" ref="H167:AM167" si="62">IF(H5=1,0,G170)</f>
        <v>0</v>
      </c>
      <c r="I167" s="408">
        <f t="shared" si="62"/>
        <v>0</v>
      </c>
      <c r="J167" s="408">
        <f t="shared" si="62"/>
        <v>0</v>
      </c>
      <c r="K167" s="408">
        <f t="shared" si="62"/>
        <v>0</v>
      </c>
      <c r="L167" s="408">
        <f t="shared" si="62"/>
        <v>0</v>
      </c>
      <c r="M167" s="408">
        <f t="shared" si="62"/>
        <v>0</v>
      </c>
      <c r="N167" s="408">
        <f t="shared" si="62"/>
        <v>0</v>
      </c>
      <c r="O167" s="408">
        <f t="shared" si="62"/>
        <v>0</v>
      </c>
      <c r="P167" s="408">
        <f t="shared" si="62"/>
        <v>0</v>
      </c>
      <c r="Q167" s="408">
        <f t="shared" si="62"/>
        <v>0</v>
      </c>
      <c r="R167" s="408">
        <f t="shared" si="62"/>
        <v>0</v>
      </c>
      <c r="S167" s="408">
        <f t="shared" si="62"/>
        <v>0</v>
      </c>
      <c r="T167" s="408">
        <f t="shared" si="62"/>
        <v>0</v>
      </c>
      <c r="U167" s="408">
        <f t="shared" si="62"/>
        <v>0</v>
      </c>
      <c r="V167" s="408">
        <f t="shared" si="62"/>
        <v>0</v>
      </c>
      <c r="W167" s="408">
        <f t="shared" si="62"/>
        <v>0</v>
      </c>
      <c r="X167" s="408">
        <f t="shared" si="62"/>
        <v>0</v>
      </c>
      <c r="Y167" s="408">
        <f t="shared" si="62"/>
        <v>0</v>
      </c>
      <c r="Z167" s="408">
        <f t="shared" si="62"/>
        <v>0</v>
      </c>
      <c r="AA167" s="408">
        <f t="shared" si="62"/>
        <v>0</v>
      </c>
      <c r="AB167" s="408">
        <f t="shared" si="62"/>
        <v>0</v>
      </c>
      <c r="AC167" s="408">
        <f t="shared" si="62"/>
        <v>0</v>
      </c>
      <c r="AD167" s="408">
        <f t="shared" si="62"/>
        <v>0</v>
      </c>
      <c r="AE167" s="408">
        <f t="shared" si="62"/>
        <v>0</v>
      </c>
      <c r="AF167" s="408">
        <f t="shared" si="62"/>
        <v>0</v>
      </c>
      <c r="AG167" s="408">
        <f t="shared" si="62"/>
        <v>0</v>
      </c>
      <c r="AH167" s="408">
        <f t="shared" si="62"/>
        <v>0</v>
      </c>
      <c r="AI167" s="408">
        <f t="shared" si="62"/>
        <v>0</v>
      </c>
      <c r="AJ167" s="408">
        <f t="shared" si="62"/>
        <v>0</v>
      </c>
      <c r="AK167" s="408">
        <f t="shared" si="62"/>
        <v>0</v>
      </c>
      <c r="AL167" s="408">
        <f t="shared" si="62"/>
        <v>0</v>
      </c>
      <c r="AM167" s="408">
        <f t="shared" si="62"/>
        <v>0</v>
      </c>
      <c r="AN167" s="408">
        <f t="shared" ref="AN167:BT167" si="63">IF(AN5=1,0,AM170)</f>
        <v>0</v>
      </c>
      <c r="AO167" s="408">
        <f t="shared" si="63"/>
        <v>0</v>
      </c>
      <c r="AP167" s="408">
        <f t="shared" si="63"/>
        <v>0</v>
      </c>
      <c r="AQ167" s="408">
        <f t="shared" si="63"/>
        <v>0</v>
      </c>
      <c r="AR167" s="408">
        <f t="shared" si="63"/>
        <v>0</v>
      </c>
      <c r="AS167" s="408">
        <f t="shared" si="63"/>
        <v>0</v>
      </c>
      <c r="AT167" s="408">
        <f t="shared" si="63"/>
        <v>0</v>
      </c>
      <c r="AU167" s="408">
        <f t="shared" si="63"/>
        <v>0</v>
      </c>
      <c r="AV167" s="408">
        <f t="shared" si="63"/>
        <v>0</v>
      </c>
      <c r="AW167" s="408">
        <f t="shared" si="63"/>
        <v>0</v>
      </c>
      <c r="AX167" s="408">
        <f t="shared" si="63"/>
        <v>0</v>
      </c>
      <c r="AY167" s="408">
        <f t="shared" si="63"/>
        <v>0</v>
      </c>
      <c r="AZ167" s="408">
        <f t="shared" si="63"/>
        <v>0</v>
      </c>
      <c r="BA167" s="408">
        <f t="shared" si="63"/>
        <v>0</v>
      </c>
      <c r="BB167" s="408">
        <f t="shared" si="63"/>
        <v>0</v>
      </c>
      <c r="BC167" s="408">
        <f t="shared" si="63"/>
        <v>0</v>
      </c>
      <c r="BD167" s="408">
        <f t="shared" si="63"/>
        <v>0</v>
      </c>
      <c r="BE167" s="408">
        <f t="shared" si="63"/>
        <v>0</v>
      </c>
      <c r="BF167" s="408">
        <f t="shared" si="63"/>
        <v>0</v>
      </c>
      <c r="BG167" s="408">
        <f t="shared" si="63"/>
        <v>0</v>
      </c>
      <c r="BH167" s="408">
        <f t="shared" si="63"/>
        <v>0</v>
      </c>
      <c r="BI167" s="408">
        <f t="shared" si="63"/>
        <v>0</v>
      </c>
      <c r="BJ167" s="408">
        <f t="shared" si="63"/>
        <v>0</v>
      </c>
      <c r="BK167" s="408">
        <f t="shared" si="63"/>
        <v>0</v>
      </c>
      <c r="BL167" s="408">
        <f t="shared" si="63"/>
        <v>0</v>
      </c>
      <c r="BM167" s="408">
        <f t="shared" si="63"/>
        <v>0</v>
      </c>
      <c r="BN167" s="408">
        <f t="shared" si="63"/>
        <v>0</v>
      </c>
      <c r="BO167" s="408">
        <f t="shared" si="63"/>
        <v>0</v>
      </c>
      <c r="BP167" s="408">
        <f t="shared" si="63"/>
        <v>0</v>
      </c>
      <c r="BQ167" s="408">
        <f t="shared" si="63"/>
        <v>0</v>
      </c>
      <c r="BR167" s="408">
        <f t="shared" si="63"/>
        <v>0</v>
      </c>
      <c r="BS167" s="408">
        <f t="shared" si="63"/>
        <v>0</v>
      </c>
      <c r="BT167" s="408">
        <f t="shared" si="63"/>
        <v>0</v>
      </c>
    </row>
    <row r="168" spans="1:72" s="182" customFormat="1" x14ac:dyDescent="0.3">
      <c r="A168" s="182" t="str">
        <f>TEXT('General Inputs'!$J$29,(""))&amp;" Contributions"</f>
        <v>LP Contributions</v>
      </c>
      <c r="B168" s="512"/>
      <c r="D168" s="627"/>
      <c r="E168" s="62">
        <v>0</v>
      </c>
      <c r="F168" s="464"/>
      <c r="G168" s="464"/>
      <c r="H168" s="407">
        <f t="shared" ref="H168:R168" si="64">H157*$E$168</f>
        <v>0</v>
      </c>
      <c r="I168" s="407">
        <f t="shared" si="64"/>
        <v>0</v>
      </c>
      <c r="J168" s="407">
        <f t="shared" si="64"/>
        <v>0</v>
      </c>
      <c r="K168" s="407">
        <f t="shared" si="64"/>
        <v>0</v>
      </c>
      <c r="L168" s="407">
        <f t="shared" si="64"/>
        <v>0</v>
      </c>
      <c r="M168" s="407">
        <f t="shared" si="64"/>
        <v>0</v>
      </c>
      <c r="N168" s="407">
        <f t="shared" si="64"/>
        <v>0</v>
      </c>
      <c r="O168" s="407">
        <f t="shared" si="64"/>
        <v>0</v>
      </c>
      <c r="P168" s="407">
        <f t="shared" si="64"/>
        <v>0</v>
      </c>
      <c r="Q168" s="407">
        <f t="shared" si="64"/>
        <v>0</v>
      </c>
      <c r="R168" s="407">
        <f t="shared" si="64"/>
        <v>0</v>
      </c>
      <c r="S168" s="407">
        <f>S157*$E$168</f>
        <v>0</v>
      </c>
      <c r="T168" s="407">
        <f t="shared" ref="T168:BT168" si="65">T157*$E$168</f>
        <v>0</v>
      </c>
      <c r="U168" s="407">
        <f t="shared" si="65"/>
        <v>0</v>
      </c>
      <c r="V168" s="407">
        <f t="shared" si="65"/>
        <v>0</v>
      </c>
      <c r="W168" s="407">
        <f t="shared" si="65"/>
        <v>0</v>
      </c>
      <c r="X168" s="407">
        <f t="shared" si="65"/>
        <v>0</v>
      </c>
      <c r="Y168" s="407">
        <f t="shared" si="65"/>
        <v>0</v>
      </c>
      <c r="Z168" s="407">
        <f t="shared" si="65"/>
        <v>0</v>
      </c>
      <c r="AA168" s="407">
        <f t="shared" si="65"/>
        <v>0</v>
      </c>
      <c r="AB168" s="407">
        <f t="shared" si="65"/>
        <v>0</v>
      </c>
      <c r="AC168" s="407">
        <f t="shared" si="65"/>
        <v>0</v>
      </c>
      <c r="AD168" s="407">
        <f t="shared" si="65"/>
        <v>0</v>
      </c>
      <c r="AE168" s="407">
        <f t="shared" si="65"/>
        <v>0</v>
      </c>
      <c r="AF168" s="407">
        <f t="shared" si="65"/>
        <v>0</v>
      </c>
      <c r="AG168" s="407">
        <f t="shared" si="65"/>
        <v>0</v>
      </c>
      <c r="AH168" s="407">
        <f t="shared" si="65"/>
        <v>0</v>
      </c>
      <c r="AI168" s="407">
        <f t="shared" si="65"/>
        <v>0</v>
      </c>
      <c r="AJ168" s="407">
        <f t="shared" si="65"/>
        <v>0</v>
      </c>
      <c r="AK168" s="407">
        <f t="shared" si="65"/>
        <v>0</v>
      </c>
      <c r="AL168" s="407">
        <f t="shared" si="65"/>
        <v>0</v>
      </c>
      <c r="AM168" s="407">
        <f t="shared" si="65"/>
        <v>0</v>
      </c>
      <c r="AN168" s="407">
        <f t="shared" si="65"/>
        <v>0</v>
      </c>
      <c r="AO168" s="407">
        <f t="shared" si="65"/>
        <v>0</v>
      </c>
      <c r="AP168" s="407">
        <f t="shared" si="65"/>
        <v>0</v>
      </c>
      <c r="AQ168" s="407">
        <f t="shared" si="65"/>
        <v>0</v>
      </c>
      <c r="AR168" s="407">
        <f t="shared" si="65"/>
        <v>0</v>
      </c>
      <c r="AS168" s="407">
        <f t="shared" si="65"/>
        <v>0</v>
      </c>
      <c r="AT168" s="407">
        <f t="shared" si="65"/>
        <v>0</v>
      </c>
      <c r="AU168" s="407">
        <f t="shared" si="65"/>
        <v>0</v>
      </c>
      <c r="AV168" s="407">
        <f t="shared" si="65"/>
        <v>0</v>
      </c>
      <c r="AW168" s="407">
        <f t="shared" si="65"/>
        <v>0</v>
      </c>
      <c r="AX168" s="407">
        <f t="shared" si="65"/>
        <v>0</v>
      </c>
      <c r="AY168" s="407">
        <f t="shared" si="65"/>
        <v>0</v>
      </c>
      <c r="AZ168" s="407">
        <f t="shared" si="65"/>
        <v>0</v>
      </c>
      <c r="BA168" s="407">
        <f t="shared" si="65"/>
        <v>0</v>
      </c>
      <c r="BB168" s="407">
        <f t="shared" si="65"/>
        <v>0</v>
      </c>
      <c r="BC168" s="407">
        <f t="shared" si="65"/>
        <v>0</v>
      </c>
      <c r="BD168" s="407">
        <f t="shared" si="65"/>
        <v>0</v>
      </c>
      <c r="BE168" s="407">
        <f t="shared" si="65"/>
        <v>0</v>
      </c>
      <c r="BF168" s="407">
        <f t="shared" si="65"/>
        <v>0</v>
      </c>
      <c r="BG168" s="407">
        <f t="shared" si="65"/>
        <v>0</v>
      </c>
      <c r="BH168" s="407">
        <f t="shared" si="65"/>
        <v>0</v>
      </c>
      <c r="BI168" s="407">
        <f t="shared" si="65"/>
        <v>0</v>
      </c>
      <c r="BJ168" s="407">
        <f t="shared" si="65"/>
        <v>0</v>
      </c>
      <c r="BK168" s="407">
        <f t="shared" si="65"/>
        <v>0</v>
      </c>
      <c r="BL168" s="407">
        <f t="shared" si="65"/>
        <v>0</v>
      </c>
      <c r="BM168" s="407">
        <f t="shared" si="65"/>
        <v>0</v>
      </c>
      <c r="BN168" s="407">
        <f t="shared" si="65"/>
        <v>0</v>
      </c>
      <c r="BO168" s="407">
        <f t="shared" si="65"/>
        <v>0</v>
      </c>
      <c r="BP168" s="407">
        <f t="shared" si="65"/>
        <v>0</v>
      </c>
      <c r="BQ168" s="407">
        <f t="shared" si="65"/>
        <v>0</v>
      </c>
      <c r="BR168" s="407">
        <f t="shared" si="65"/>
        <v>0</v>
      </c>
      <c r="BS168" s="407">
        <f t="shared" si="65"/>
        <v>0</v>
      </c>
      <c r="BT168" s="407">
        <f t="shared" si="65"/>
        <v>0</v>
      </c>
    </row>
    <row r="169" spans="1:72" s="182" customFormat="1" x14ac:dyDescent="0.3">
      <c r="A169" s="182" t="s">
        <v>2341</v>
      </c>
      <c r="B169" s="512"/>
      <c r="D169" s="627"/>
      <c r="E169" s="1135">
        <f>'General Inputs'!J11</f>
        <v>0.1</v>
      </c>
      <c r="F169" s="464"/>
      <c r="G169" s="464"/>
      <c r="H169" s="407">
        <f>IF(H5=1,0,G170*'Development Inputs'!$D$75/12)</f>
        <v>0</v>
      </c>
      <c r="I169" s="407">
        <f>IF(I5=1,0,H170*'Development Inputs'!$D$75/12)</f>
        <v>0</v>
      </c>
      <c r="J169" s="407">
        <f>IF(J5=1,0,I170*'Development Inputs'!$D$75/12)</f>
        <v>0</v>
      </c>
      <c r="K169" s="407">
        <f>IF(K5=1,0,J170*'Development Inputs'!$D$75/12)</f>
        <v>0</v>
      </c>
      <c r="L169" s="407">
        <f>IF(L5=1,0,K170*'Development Inputs'!$D$75/12)</f>
        <v>0</v>
      </c>
      <c r="M169" s="407">
        <f>IF(M5=1,0,L170*'Development Inputs'!$D$75/12)</f>
        <v>0</v>
      </c>
      <c r="N169" s="407">
        <f>IF(N5=1,0,M170*'Development Inputs'!$D$75/12)</f>
        <v>0</v>
      </c>
      <c r="O169" s="407">
        <f>IF(O5=1,0,N170*'Development Inputs'!$D$75/12)</f>
        <v>0</v>
      </c>
      <c r="P169" s="407">
        <f>IF(P5=1,0,O170*'Development Inputs'!$D$75/12)</f>
        <v>0</v>
      </c>
      <c r="Q169" s="407">
        <f>IF(Q5=1,0,P170*'Development Inputs'!$D$75/12)</f>
        <v>0</v>
      </c>
      <c r="R169" s="407">
        <f>IF(R5=1,0,Q170*'Development Inputs'!$D$75/12)</f>
        <v>0</v>
      </c>
      <c r="S169" s="407">
        <f>IF(S5=1,0,R170*'Development Inputs'!$D$75/12)</f>
        <v>0</v>
      </c>
      <c r="T169" s="407">
        <f>IF(T5=1,0,S170*'Development Inputs'!$D$75/12)</f>
        <v>0</v>
      </c>
      <c r="U169" s="407">
        <f>IF(U5=1,0,T170*'Development Inputs'!$D$75/12)</f>
        <v>0</v>
      </c>
      <c r="V169" s="407">
        <f>IF(V5=1,0,U170*'Development Inputs'!$D$75/12)</f>
        <v>0</v>
      </c>
      <c r="W169" s="407">
        <f>IF(W5=1,0,V170*'Development Inputs'!$D$75/12)</f>
        <v>0</v>
      </c>
      <c r="X169" s="407">
        <f>IF(X5=1,0,W170*'Development Inputs'!$D$75/12)</f>
        <v>0</v>
      </c>
      <c r="Y169" s="407">
        <f>IF(Y5=1,0,X170*'Development Inputs'!$D$75/12)</f>
        <v>0</v>
      </c>
      <c r="Z169" s="407">
        <f>IF(Z5=1,0,Y170*'Development Inputs'!$D$75/12)</f>
        <v>0</v>
      </c>
      <c r="AA169" s="407">
        <f>IF(AA5=1,0,Z170*'Development Inputs'!$D$75/12)</f>
        <v>0</v>
      </c>
      <c r="AB169" s="407">
        <f>IF(AB5=1,0,AA170*'Development Inputs'!$D$75/12)</f>
        <v>0</v>
      </c>
      <c r="AC169" s="407">
        <f>IF(AC5=1,0,AB170*'Development Inputs'!$D$75/12)</f>
        <v>0</v>
      </c>
      <c r="AD169" s="407">
        <f>IF(AD5=1,0,AC170*'Development Inputs'!$D$75/12)</f>
        <v>0</v>
      </c>
      <c r="AE169" s="407">
        <f>IF(AE5=1,0,AD170*'Development Inputs'!$D$75/12)</f>
        <v>0</v>
      </c>
      <c r="AF169" s="407">
        <f>IF(AF5=1,0,AE170*'Development Inputs'!$D$75/12)</f>
        <v>0</v>
      </c>
      <c r="AG169" s="407">
        <f>IF(AG5=1,0,AF170*'Development Inputs'!$D$75/12)</f>
        <v>0</v>
      </c>
      <c r="AH169" s="407">
        <f>IF(AH5=1,0,AG170*'Development Inputs'!$D$75/12)</f>
        <v>0</v>
      </c>
      <c r="AI169" s="407">
        <f>IF(AI5=1,0,AH170*'Development Inputs'!$D$75/12)</f>
        <v>0</v>
      </c>
      <c r="AJ169" s="407">
        <f>IF(AJ5=1,0,AI170*'Development Inputs'!$D$75/12)</f>
        <v>0</v>
      </c>
      <c r="AK169" s="407">
        <f>IF(AK5=1,0,AJ170*'Development Inputs'!$D$75/12)</f>
        <v>0</v>
      </c>
      <c r="AL169" s="407">
        <f>IF(AL5=1,0,AK170*'Development Inputs'!$D$75/12)</f>
        <v>0</v>
      </c>
      <c r="AM169" s="407">
        <f>IF(AM5=1,0,AL170*'Development Inputs'!$D$75/12)</f>
        <v>0</v>
      </c>
      <c r="AN169" s="407">
        <f>IF(AN5=1,0,AM170*'Development Inputs'!$D$75/12)</f>
        <v>0</v>
      </c>
      <c r="AO169" s="407">
        <f>IF(AO5=1,0,AN170*'Development Inputs'!$D$75/12)</f>
        <v>0</v>
      </c>
      <c r="AP169" s="407">
        <f>IF(AP5=1,0,AO170*'Development Inputs'!$D$75/12)</f>
        <v>0</v>
      </c>
      <c r="AQ169" s="407">
        <f>IF(AQ5=1,0,AP170*'Development Inputs'!$D$75/12)</f>
        <v>0</v>
      </c>
      <c r="AR169" s="407">
        <f>IF(AR5=1,0,AQ170*'Development Inputs'!$D$75/12)</f>
        <v>0</v>
      </c>
      <c r="AS169" s="407">
        <f>IF(AS5=1,0,AR170*'Development Inputs'!$D$75/12)</f>
        <v>0</v>
      </c>
      <c r="AT169" s="407">
        <f>IF(AT5=1,0,AS170*'Development Inputs'!$D$75/12)</f>
        <v>0</v>
      </c>
      <c r="AU169" s="407">
        <f>IF(AU5=1,0,AT170*'Development Inputs'!$D$75/12)</f>
        <v>0</v>
      </c>
      <c r="AV169" s="407">
        <f>IF(AV5=1,0,AU170*'Development Inputs'!$D$75/12)</f>
        <v>0</v>
      </c>
      <c r="AW169" s="407">
        <f>IF(AW5=1,0,AV170*'Development Inputs'!$D$75/12)</f>
        <v>0</v>
      </c>
      <c r="AX169" s="407">
        <f>IF(AX5=1,0,AW170*'Development Inputs'!$D$75/12)</f>
        <v>0</v>
      </c>
      <c r="AY169" s="407">
        <f>IF(AY5=1,0,AX170*'Development Inputs'!$D$75/12)</f>
        <v>0</v>
      </c>
      <c r="AZ169" s="407">
        <f>IF(AZ5=1,0,AY170*'Development Inputs'!$D$75/12)</f>
        <v>0</v>
      </c>
      <c r="BA169" s="407">
        <f>IF(BA5=1,0,AZ170*'Development Inputs'!$D$75/12)</f>
        <v>0</v>
      </c>
      <c r="BB169" s="407">
        <f>IF(BB5=1,0,BA170*'Development Inputs'!$D$75/12)</f>
        <v>0</v>
      </c>
      <c r="BC169" s="407">
        <f>IF(BC5=1,0,BB170*'Development Inputs'!$D$75/12)</f>
        <v>0</v>
      </c>
      <c r="BD169" s="407">
        <f>IF(BD5=1,0,BC170*'Development Inputs'!$D$75/12)</f>
        <v>0</v>
      </c>
      <c r="BE169" s="407">
        <f>IF(BE5=1,0,BD170*'Development Inputs'!$D$75/12)</f>
        <v>0</v>
      </c>
      <c r="BF169" s="407">
        <f>IF(BF5=1,0,BE170*'Development Inputs'!$D$75/12)</f>
        <v>0</v>
      </c>
      <c r="BG169" s="407">
        <f>IF(BG5=1,0,BF170*'Development Inputs'!$D$75/12)</f>
        <v>0</v>
      </c>
      <c r="BH169" s="407">
        <f>IF(BH5=1,0,BG170*'Development Inputs'!$D$75/12)</f>
        <v>0</v>
      </c>
      <c r="BI169" s="407">
        <f>IF(BI5=1,0,BH170*'Development Inputs'!$D$75/12)</f>
        <v>0</v>
      </c>
      <c r="BJ169" s="407">
        <f>IF(BJ5=1,0,BI170*'Development Inputs'!$D$75/12)</f>
        <v>0</v>
      </c>
      <c r="BK169" s="407">
        <f>IF(BK5=1,0,BJ170*'Development Inputs'!$D$75/12)</f>
        <v>0</v>
      </c>
      <c r="BL169" s="407">
        <f>IF(BL5=1,0,BK170*'Development Inputs'!$D$75/12)</f>
        <v>0</v>
      </c>
      <c r="BM169" s="407">
        <f>IF(BM5=1,0,BL170*'Development Inputs'!$D$75/12)</f>
        <v>0</v>
      </c>
      <c r="BN169" s="407">
        <f>IF(BN5=1,0,BM170*'Development Inputs'!$D$75/12)</f>
        <v>0</v>
      </c>
      <c r="BO169" s="407">
        <f>IF(BO5=1,0,BN170*'Development Inputs'!$D$75/12)</f>
        <v>0</v>
      </c>
      <c r="BP169" s="407">
        <f>IF(BP5=1,0,BO170*'Development Inputs'!$D$75/12)</f>
        <v>0</v>
      </c>
      <c r="BQ169" s="407">
        <f>IF(BQ5=1,0,BP170*'Development Inputs'!$D$75/12)</f>
        <v>0</v>
      </c>
      <c r="BR169" s="407">
        <f>IF(BR5=1,0,BQ170*'Development Inputs'!$D$75/12)</f>
        <v>0</v>
      </c>
      <c r="BS169" s="407">
        <f>IF(BS5=1,0,BR170*'Development Inputs'!$D$75/12)</f>
        <v>0</v>
      </c>
      <c r="BT169" s="407">
        <f>IF(BT5=1,0,BS170*'Development Inputs'!$D$75/12)</f>
        <v>0</v>
      </c>
    </row>
    <row r="170" spans="1:72" s="182" customFormat="1" x14ac:dyDescent="0.3">
      <c r="A170" s="613" t="str">
        <f>TEXT('General Inputs'!$J$29,(""))&amp;" Ending Balance"</f>
        <v>LP Ending Balance</v>
      </c>
      <c r="B170" s="612"/>
      <c r="C170" s="613"/>
      <c r="D170" s="628"/>
      <c r="E170" s="629"/>
      <c r="F170" s="629"/>
      <c r="G170" s="629"/>
      <c r="H170" s="630">
        <f>SUM(H167:H169)</f>
        <v>0</v>
      </c>
      <c r="I170" s="630">
        <f t="shared" ref="I170:AM170" si="66">SUM(I167:I169)</f>
        <v>0</v>
      </c>
      <c r="J170" s="630">
        <f t="shared" si="66"/>
        <v>0</v>
      </c>
      <c r="K170" s="630">
        <f t="shared" si="66"/>
        <v>0</v>
      </c>
      <c r="L170" s="630">
        <f t="shared" si="66"/>
        <v>0</v>
      </c>
      <c r="M170" s="630">
        <f t="shared" si="66"/>
        <v>0</v>
      </c>
      <c r="N170" s="630">
        <f t="shared" si="66"/>
        <v>0</v>
      </c>
      <c r="O170" s="630">
        <f t="shared" si="66"/>
        <v>0</v>
      </c>
      <c r="P170" s="630">
        <f t="shared" si="66"/>
        <v>0</v>
      </c>
      <c r="Q170" s="630">
        <f t="shared" si="66"/>
        <v>0</v>
      </c>
      <c r="R170" s="630">
        <f t="shared" si="66"/>
        <v>0</v>
      </c>
      <c r="S170" s="630">
        <f t="shared" si="66"/>
        <v>0</v>
      </c>
      <c r="T170" s="630">
        <f t="shared" si="66"/>
        <v>0</v>
      </c>
      <c r="U170" s="630">
        <f t="shared" si="66"/>
        <v>0</v>
      </c>
      <c r="V170" s="630">
        <f t="shared" si="66"/>
        <v>0</v>
      </c>
      <c r="W170" s="630">
        <f t="shared" si="66"/>
        <v>0</v>
      </c>
      <c r="X170" s="630">
        <f t="shared" si="66"/>
        <v>0</v>
      </c>
      <c r="Y170" s="630">
        <f t="shared" si="66"/>
        <v>0</v>
      </c>
      <c r="Z170" s="630">
        <f t="shared" si="66"/>
        <v>0</v>
      </c>
      <c r="AA170" s="630">
        <f t="shared" si="66"/>
        <v>0</v>
      </c>
      <c r="AB170" s="630">
        <f t="shared" si="66"/>
        <v>0</v>
      </c>
      <c r="AC170" s="630">
        <f t="shared" si="66"/>
        <v>0</v>
      </c>
      <c r="AD170" s="630">
        <f t="shared" si="66"/>
        <v>0</v>
      </c>
      <c r="AE170" s="630">
        <f t="shared" si="66"/>
        <v>0</v>
      </c>
      <c r="AF170" s="630">
        <f t="shared" si="66"/>
        <v>0</v>
      </c>
      <c r="AG170" s="630">
        <f t="shared" si="66"/>
        <v>0</v>
      </c>
      <c r="AH170" s="630">
        <f t="shared" si="66"/>
        <v>0</v>
      </c>
      <c r="AI170" s="630">
        <f t="shared" si="66"/>
        <v>0</v>
      </c>
      <c r="AJ170" s="630">
        <f t="shared" si="66"/>
        <v>0</v>
      </c>
      <c r="AK170" s="630">
        <f t="shared" si="66"/>
        <v>0</v>
      </c>
      <c r="AL170" s="630">
        <f t="shared" si="66"/>
        <v>0</v>
      </c>
      <c r="AM170" s="630">
        <f t="shared" si="66"/>
        <v>0</v>
      </c>
      <c r="AN170" s="630">
        <f t="shared" ref="AN170:BS170" si="67">SUM(AN167:AN169)</f>
        <v>0</v>
      </c>
      <c r="AO170" s="630">
        <f t="shared" si="67"/>
        <v>0</v>
      </c>
      <c r="AP170" s="630">
        <f t="shared" si="67"/>
        <v>0</v>
      </c>
      <c r="AQ170" s="630">
        <f t="shared" si="67"/>
        <v>0</v>
      </c>
      <c r="AR170" s="630">
        <f t="shared" si="67"/>
        <v>0</v>
      </c>
      <c r="AS170" s="630">
        <f t="shared" si="67"/>
        <v>0</v>
      </c>
      <c r="AT170" s="630">
        <f t="shared" si="67"/>
        <v>0</v>
      </c>
      <c r="AU170" s="630">
        <f t="shared" si="67"/>
        <v>0</v>
      </c>
      <c r="AV170" s="630">
        <f t="shared" si="67"/>
        <v>0</v>
      </c>
      <c r="AW170" s="630">
        <f t="shared" si="67"/>
        <v>0</v>
      </c>
      <c r="AX170" s="630">
        <f t="shared" si="67"/>
        <v>0</v>
      </c>
      <c r="AY170" s="630">
        <f t="shared" si="67"/>
        <v>0</v>
      </c>
      <c r="AZ170" s="630">
        <f t="shared" si="67"/>
        <v>0</v>
      </c>
      <c r="BA170" s="630">
        <f t="shared" si="67"/>
        <v>0</v>
      </c>
      <c r="BB170" s="630">
        <f t="shared" si="67"/>
        <v>0</v>
      </c>
      <c r="BC170" s="630">
        <f t="shared" si="67"/>
        <v>0</v>
      </c>
      <c r="BD170" s="630">
        <f t="shared" si="67"/>
        <v>0</v>
      </c>
      <c r="BE170" s="630">
        <f t="shared" si="67"/>
        <v>0</v>
      </c>
      <c r="BF170" s="630">
        <f t="shared" si="67"/>
        <v>0</v>
      </c>
      <c r="BG170" s="630">
        <f t="shared" si="67"/>
        <v>0</v>
      </c>
      <c r="BH170" s="630">
        <f t="shared" si="67"/>
        <v>0</v>
      </c>
      <c r="BI170" s="630">
        <f t="shared" si="67"/>
        <v>0</v>
      </c>
      <c r="BJ170" s="630">
        <f t="shared" si="67"/>
        <v>0</v>
      </c>
      <c r="BK170" s="630">
        <f t="shared" si="67"/>
        <v>0</v>
      </c>
      <c r="BL170" s="630">
        <f t="shared" si="67"/>
        <v>0</v>
      </c>
      <c r="BM170" s="630">
        <f t="shared" si="67"/>
        <v>0</v>
      </c>
      <c r="BN170" s="630">
        <f t="shared" si="67"/>
        <v>0</v>
      </c>
      <c r="BO170" s="630">
        <f t="shared" si="67"/>
        <v>0</v>
      </c>
      <c r="BP170" s="630">
        <f t="shared" si="67"/>
        <v>0</v>
      </c>
      <c r="BQ170" s="630">
        <f t="shared" si="67"/>
        <v>0</v>
      </c>
      <c r="BR170" s="630">
        <f t="shared" si="67"/>
        <v>0</v>
      </c>
      <c r="BS170" s="630">
        <f t="shared" si="67"/>
        <v>0</v>
      </c>
      <c r="BT170" s="630">
        <f>SUM(BT167:BT169)</f>
        <v>0</v>
      </c>
    </row>
    <row r="171" spans="1:72" s="182" customFormat="1" x14ac:dyDescent="0.3">
      <c r="B171" s="512"/>
      <c r="D171" s="627"/>
      <c r="E171" s="464"/>
      <c r="F171" s="464"/>
      <c r="G171" s="464"/>
      <c r="H171" s="408"/>
      <c r="I171" s="408"/>
      <c r="J171" s="408"/>
      <c r="K171" s="408"/>
      <c r="L171" s="408"/>
      <c r="M171" s="408"/>
      <c r="N171" s="408"/>
      <c r="O171" s="408"/>
      <c r="P171" s="408"/>
      <c r="Q171" s="408"/>
      <c r="R171" s="408"/>
      <c r="S171" s="408"/>
      <c r="T171" s="408"/>
      <c r="U171" s="408"/>
      <c r="V171" s="408"/>
      <c r="W171" s="408"/>
      <c r="X171" s="408"/>
      <c r="Y171" s="408"/>
      <c r="Z171" s="408"/>
      <c r="AA171" s="408"/>
      <c r="AB171" s="408"/>
      <c r="AC171" s="408"/>
      <c r="AD171" s="408"/>
      <c r="AE171" s="408"/>
      <c r="AF171" s="408"/>
      <c r="AG171" s="408"/>
      <c r="AH171" s="408"/>
      <c r="AI171" s="408"/>
      <c r="AJ171" s="408"/>
      <c r="AK171" s="408"/>
      <c r="AL171" s="408"/>
      <c r="AM171" s="408"/>
      <c r="AN171" s="408"/>
      <c r="AO171" s="408"/>
      <c r="AP171" s="408"/>
      <c r="AQ171" s="408"/>
      <c r="AR171" s="408"/>
      <c r="AS171" s="408"/>
      <c r="AT171" s="408"/>
      <c r="AU171" s="408"/>
      <c r="AV171" s="408"/>
      <c r="AW171" s="408"/>
      <c r="AX171" s="408"/>
      <c r="AY171" s="408"/>
      <c r="AZ171" s="408"/>
      <c r="BA171" s="408"/>
      <c r="BB171" s="408"/>
      <c r="BC171" s="408"/>
      <c r="BD171" s="408"/>
      <c r="BE171" s="408"/>
      <c r="BF171" s="408"/>
      <c r="BG171" s="408"/>
      <c r="BH171" s="408"/>
      <c r="BI171" s="408"/>
      <c r="BJ171" s="408"/>
      <c r="BK171" s="408"/>
      <c r="BL171" s="408"/>
      <c r="BM171" s="408"/>
      <c r="BN171" s="408"/>
      <c r="BO171" s="408"/>
      <c r="BP171" s="408"/>
      <c r="BQ171" s="408"/>
      <c r="BR171" s="408"/>
      <c r="BS171" s="408"/>
      <c r="BT171" s="408"/>
    </row>
    <row r="172" spans="1:72" s="182" customFormat="1" x14ac:dyDescent="0.3">
      <c r="A172" s="182" t="str">
        <f>TEXT('General Inputs'!$L$29,(""))&amp;" Beginning Balance"</f>
        <v>LAND Beginning Balance</v>
      </c>
      <c r="B172" s="512"/>
      <c r="D172" s="627"/>
      <c r="E172" s="464"/>
      <c r="F172" s="464"/>
      <c r="G172" s="464"/>
      <c r="H172" s="408">
        <f t="shared" ref="H172:AM172" si="68">IF(H5=1,0,G175)</f>
        <v>0</v>
      </c>
      <c r="I172" s="408">
        <f t="shared" si="68"/>
        <v>0</v>
      </c>
      <c r="J172" s="408">
        <f t="shared" si="68"/>
        <v>0</v>
      </c>
      <c r="K172" s="408">
        <f t="shared" si="68"/>
        <v>0</v>
      </c>
      <c r="L172" s="408">
        <f t="shared" si="68"/>
        <v>0</v>
      </c>
      <c r="M172" s="408">
        <f t="shared" si="68"/>
        <v>0</v>
      </c>
      <c r="N172" s="408">
        <f t="shared" si="68"/>
        <v>0</v>
      </c>
      <c r="O172" s="408">
        <f t="shared" si="68"/>
        <v>0</v>
      </c>
      <c r="P172" s="408">
        <f t="shared" si="68"/>
        <v>0</v>
      </c>
      <c r="Q172" s="408">
        <f t="shared" si="68"/>
        <v>0</v>
      </c>
      <c r="R172" s="408">
        <f t="shared" si="68"/>
        <v>0</v>
      </c>
      <c r="S172" s="408">
        <f t="shared" si="68"/>
        <v>0</v>
      </c>
      <c r="T172" s="408">
        <f t="shared" si="68"/>
        <v>0</v>
      </c>
      <c r="U172" s="408">
        <f t="shared" si="68"/>
        <v>0</v>
      </c>
      <c r="V172" s="408">
        <f t="shared" si="68"/>
        <v>0</v>
      </c>
      <c r="W172" s="408">
        <f t="shared" si="68"/>
        <v>0</v>
      </c>
      <c r="X172" s="408">
        <f t="shared" si="68"/>
        <v>0</v>
      </c>
      <c r="Y172" s="408">
        <f t="shared" si="68"/>
        <v>0</v>
      </c>
      <c r="Z172" s="408">
        <f t="shared" si="68"/>
        <v>0</v>
      </c>
      <c r="AA172" s="408">
        <f t="shared" si="68"/>
        <v>0</v>
      </c>
      <c r="AB172" s="408">
        <f t="shared" si="68"/>
        <v>0</v>
      </c>
      <c r="AC172" s="408">
        <f t="shared" si="68"/>
        <v>0</v>
      </c>
      <c r="AD172" s="408">
        <f t="shared" si="68"/>
        <v>0</v>
      </c>
      <c r="AE172" s="408">
        <f t="shared" si="68"/>
        <v>0</v>
      </c>
      <c r="AF172" s="408">
        <f t="shared" si="68"/>
        <v>0</v>
      </c>
      <c r="AG172" s="408">
        <f t="shared" si="68"/>
        <v>0</v>
      </c>
      <c r="AH172" s="408">
        <f t="shared" si="68"/>
        <v>0</v>
      </c>
      <c r="AI172" s="408">
        <f t="shared" si="68"/>
        <v>0</v>
      </c>
      <c r="AJ172" s="408">
        <f t="shared" si="68"/>
        <v>0</v>
      </c>
      <c r="AK172" s="408">
        <f t="shared" si="68"/>
        <v>0</v>
      </c>
      <c r="AL172" s="408">
        <f t="shared" si="68"/>
        <v>0</v>
      </c>
      <c r="AM172" s="408">
        <f t="shared" si="68"/>
        <v>0</v>
      </c>
      <c r="AN172" s="408">
        <f t="shared" ref="AN172:BT172" si="69">IF(AN5=1,0,AM175)</f>
        <v>0</v>
      </c>
      <c r="AO172" s="408">
        <f t="shared" si="69"/>
        <v>0</v>
      </c>
      <c r="AP172" s="408">
        <f t="shared" si="69"/>
        <v>0</v>
      </c>
      <c r="AQ172" s="408">
        <f t="shared" si="69"/>
        <v>0</v>
      </c>
      <c r="AR172" s="408">
        <f t="shared" si="69"/>
        <v>0</v>
      </c>
      <c r="AS172" s="408">
        <f t="shared" si="69"/>
        <v>0</v>
      </c>
      <c r="AT172" s="408">
        <f t="shared" si="69"/>
        <v>0</v>
      </c>
      <c r="AU172" s="408">
        <f t="shared" si="69"/>
        <v>0</v>
      </c>
      <c r="AV172" s="408">
        <f t="shared" si="69"/>
        <v>0</v>
      </c>
      <c r="AW172" s="408">
        <f t="shared" si="69"/>
        <v>0</v>
      </c>
      <c r="AX172" s="408">
        <f t="shared" si="69"/>
        <v>0</v>
      </c>
      <c r="AY172" s="408">
        <f t="shared" si="69"/>
        <v>0</v>
      </c>
      <c r="AZ172" s="408">
        <f t="shared" si="69"/>
        <v>0</v>
      </c>
      <c r="BA172" s="408">
        <f t="shared" si="69"/>
        <v>0</v>
      </c>
      <c r="BB172" s="408">
        <f t="shared" si="69"/>
        <v>0</v>
      </c>
      <c r="BC172" s="408">
        <f t="shared" si="69"/>
        <v>0</v>
      </c>
      <c r="BD172" s="408">
        <f t="shared" si="69"/>
        <v>0</v>
      </c>
      <c r="BE172" s="408">
        <f t="shared" si="69"/>
        <v>0</v>
      </c>
      <c r="BF172" s="408">
        <f t="shared" si="69"/>
        <v>0</v>
      </c>
      <c r="BG172" s="408">
        <f t="shared" si="69"/>
        <v>0</v>
      </c>
      <c r="BH172" s="408">
        <f t="shared" si="69"/>
        <v>0</v>
      </c>
      <c r="BI172" s="408">
        <f t="shared" si="69"/>
        <v>0</v>
      </c>
      <c r="BJ172" s="408">
        <f t="shared" si="69"/>
        <v>0</v>
      </c>
      <c r="BK172" s="408">
        <f t="shared" si="69"/>
        <v>0</v>
      </c>
      <c r="BL172" s="408">
        <f t="shared" si="69"/>
        <v>0</v>
      </c>
      <c r="BM172" s="408">
        <f t="shared" si="69"/>
        <v>0</v>
      </c>
      <c r="BN172" s="408">
        <f t="shared" si="69"/>
        <v>0</v>
      </c>
      <c r="BO172" s="408">
        <f t="shared" si="69"/>
        <v>0</v>
      </c>
      <c r="BP172" s="408">
        <f t="shared" si="69"/>
        <v>0</v>
      </c>
      <c r="BQ172" s="408">
        <f t="shared" si="69"/>
        <v>0</v>
      </c>
      <c r="BR172" s="408">
        <f t="shared" si="69"/>
        <v>0</v>
      </c>
      <c r="BS172" s="408">
        <f t="shared" si="69"/>
        <v>0</v>
      </c>
      <c r="BT172" s="408">
        <f t="shared" si="69"/>
        <v>0</v>
      </c>
    </row>
    <row r="173" spans="1:72" s="182" customFormat="1" x14ac:dyDescent="0.3">
      <c r="A173" s="182" t="str">
        <f>TEXT('General Inputs'!$L$29,(""))&amp;" Contributions"</f>
        <v>LAND Contributions</v>
      </c>
      <c r="B173" s="512"/>
      <c r="D173" s="627"/>
      <c r="E173" s="62">
        <v>0</v>
      </c>
      <c r="F173" s="464"/>
      <c r="G173" s="464"/>
      <c r="H173" s="407">
        <f t="shared" ref="H173:S173" si="70">H157*$E$173</f>
        <v>0</v>
      </c>
      <c r="I173" s="407">
        <f t="shared" si="70"/>
        <v>0</v>
      </c>
      <c r="J173" s="407">
        <f t="shared" si="70"/>
        <v>0</v>
      </c>
      <c r="K173" s="407">
        <f t="shared" si="70"/>
        <v>0</v>
      </c>
      <c r="L173" s="407">
        <f t="shared" si="70"/>
        <v>0</v>
      </c>
      <c r="M173" s="407">
        <f t="shared" si="70"/>
        <v>0</v>
      </c>
      <c r="N173" s="407">
        <f t="shared" si="70"/>
        <v>0</v>
      </c>
      <c r="O173" s="407">
        <f t="shared" si="70"/>
        <v>0</v>
      </c>
      <c r="P173" s="407">
        <f t="shared" si="70"/>
        <v>0</v>
      </c>
      <c r="Q173" s="407">
        <f t="shared" si="70"/>
        <v>0</v>
      </c>
      <c r="R173" s="407">
        <f t="shared" si="70"/>
        <v>0</v>
      </c>
      <c r="S173" s="407">
        <f t="shared" si="70"/>
        <v>0</v>
      </c>
      <c r="T173" s="407">
        <f>T157*$E$173</f>
        <v>0</v>
      </c>
      <c r="U173" s="407">
        <f t="shared" ref="U173:BT173" si="71">U157*$E$173</f>
        <v>0</v>
      </c>
      <c r="V173" s="407">
        <f t="shared" si="71"/>
        <v>0</v>
      </c>
      <c r="W173" s="407">
        <f t="shared" si="71"/>
        <v>0</v>
      </c>
      <c r="X173" s="407">
        <f t="shared" si="71"/>
        <v>0</v>
      </c>
      <c r="Y173" s="407">
        <f t="shared" si="71"/>
        <v>0</v>
      </c>
      <c r="Z173" s="407">
        <f t="shared" si="71"/>
        <v>0</v>
      </c>
      <c r="AA173" s="407">
        <f t="shared" si="71"/>
        <v>0</v>
      </c>
      <c r="AB173" s="407">
        <f t="shared" si="71"/>
        <v>0</v>
      </c>
      <c r="AC173" s="407">
        <f t="shared" si="71"/>
        <v>0</v>
      </c>
      <c r="AD173" s="407">
        <f t="shared" si="71"/>
        <v>0</v>
      </c>
      <c r="AE173" s="407">
        <f t="shared" si="71"/>
        <v>0</v>
      </c>
      <c r="AF173" s="407">
        <f t="shared" si="71"/>
        <v>0</v>
      </c>
      <c r="AG173" s="407">
        <f t="shared" si="71"/>
        <v>0</v>
      </c>
      <c r="AH173" s="407">
        <f t="shared" si="71"/>
        <v>0</v>
      </c>
      <c r="AI173" s="407">
        <f t="shared" si="71"/>
        <v>0</v>
      </c>
      <c r="AJ173" s="407">
        <f t="shared" si="71"/>
        <v>0</v>
      </c>
      <c r="AK173" s="407">
        <f t="shared" si="71"/>
        <v>0</v>
      </c>
      <c r="AL173" s="407">
        <f t="shared" si="71"/>
        <v>0</v>
      </c>
      <c r="AM173" s="407">
        <f t="shared" si="71"/>
        <v>0</v>
      </c>
      <c r="AN173" s="407">
        <f t="shared" si="71"/>
        <v>0</v>
      </c>
      <c r="AO173" s="407">
        <f t="shared" si="71"/>
        <v>0</v>
      </c>
      <c r="AP173" s="407">
        <f t="shared" si="71"/>
        <v>0</v>
      </c>
      <c r="AQ173" s="407">
        <f t="shared" si="71"/>
        <v>0</v>
      </c>
      <c r="AR173" s="407">
        <f t="shared" si="71"/>
        <v>0</v>
      </c>
      <c r="AS173" s="407">
        <f t="shared" si="71"/>
        <v>0</v>
      </c>
      <c r="AT173" s="407">
        <f t="shared" si="71"/>
        <v>0</v>
      </c>
      <c r="AU173" s="407">
        <f t="shared" si="71"/>
        <v>0</v>
      </c>
      <c r="AV173" s="407">
        <f t="shared" si="71"/>
        <v>0</v>
      </c>
      <c r="AW173" s="407">
        <f t="shared" si="71"/>
        <v>0</v>
      </c>
      <c r="AX173" s="407">
        <f t="shared" si="71"/>
        <v>0</v>
      </c>
      <c r="AY173" s="407">
        <f t="shared" si="71"/>
        <v>0</v>
      </c>
      <c r="AZ173" s="407">
        <f t="shared" si="71"/>
        <v>0</v>
      </c>
      <c r="BA173" s="407">
        <f t="shared" si="71"/>
        <v>0</v>
      </c>
      <c r="BB173" s="407">
        <f t="shared" si="71"/>
        <v>0</v>
      </c>
      <c r="BC173" s="407">
        <f t="shared" si="71"/>
        <v>0</v>
      </c>
      <c r="BD173" s="407">
        <f t="shared" si="71"/>
        <v>0</v>
      </c>
      <c r="BE173" s="407">
        <f t="shared" si="71"/>
        <v>0</v>
      </c>
      <c r="BF173" s="407">
        <f t="shared" si="71"/>
        <v>0</v>
      </c>
      <c r="BG173" s="407">
        <f t="shared" si="71"/>
        <v>0</v>
      </c>
      <c r="BH173" s="407">
        <f t="shared" si="71"/>
        <v>0</v>
      </c>
      <c r="BI173" s="407">
        <f t="shared" si="71"/>
        <v>0</v>
      </c>
      <c r="BJ173" s="407">
        <f t="shared" si="71"/>
        <v>0</v>
      </c>
      <c r="BK173" s="407">
        <f t="shared" si="71"/>
        <v>0</v>
      </c>
      <c r="BL173" s="407">
        <f t="shared" si="71"/>
        <v>0</v>
      </c>
      <c r="BM173" s="407">
        <f t="shared" si="71"/>
        <v>0</v>
      </c>
      <c r="BN173" s="407">
        <f t="shared" si="71"/>
        <v>0</v>
      </c>
      <c r="BO173" s="407">
        <f t="shared" si="71"/>
        <v>0</v>
      </c>
      <c r="BP173" s="407">
        <f t="shared" si="71"/>
        <v>0</v>
      </c>
      <c r="BQ173" s="407">
        <f t="shared" si="71"/>
        <v>0</v>
      </c>
      <c r="BR173" s="407">
        <f t="shared" si="71"/>
        <v>0</v>
      </c>
      <c r="BS173" s="407">
        <f t="shared" si="71"/>
        <v>0</v>
      </c>
      <c r="BT173" s="407">
        <f t="shared" si="71"/>
        <v>0</v>
      </c>
    </row>
    <row r="174" spans="1:72" s="182" customFormat="1" x14ac:dyDescent="0.3">
      <c r="A174" s="182" t="s">
        <v>2341</v>
      </c>
      <c r="B174" s="512"/>
      <c r="D174" s="627"/>
      <c r="E174" s="1135">
        <f>'General Inputs'!L11</f>
        <v>0.1</v>
      </c>
      <c r="F174" s="464"/>
      <c r="G174" s="464"/>
      <c r="H174" s="407">
        <f>IF(H5=1,0,G175*'Development Inputs'!$D$75/12)</f>
        <v>0</v>
      </c>
      <c r="I174" s="407">
        <f>IF(I5=1,0,H175*'Development Inputs'!$D$75/12)</f>
        <v>0</v>
      </c>
      <c r="J174" s="407">
        <f>IF(J5=1,0,I175*'Development Inputs'!$D$75/12)</f>
        <v>0</v>
      </c>
      <c r="K174" s="407">
        <f>IF(K5=1,0,J175*'Development Inputs'!$D$75/12)</f>
        <v>0</v>
      </c>
      <c r="L174" s="407">
        <f>IF(L5=1,0,K175*'Development Inputs'!$D$75/12)</f>
        <v>0</v>
      </c>
      <c r="M174" s="407">
        <f>IF(M5=1,0,L175*'Development Inputs'!$D$75/12)</f>
        <v>0</v>
      </c>
      <c r="N174" s="407">
        <f>IF(N5=1,0,M175*'Development Inputs'!$D$75/12)</f>
        <v>0</v>
      </c>
      <c r="O174" s="407">
        <f>IF(O5=1,0,N175*'Development Inputs'!$D$75/12)</f>
        <v>0</v>
      </c>
      <c r="P174" s="407">
        <f>IF(P5=1,0,O175*'Development Inputs'!$D$75/12)</f>
        <v>0</v>
      </c>
      <c r="Q174" s="407">
        <f>IF(Q5=1,0,P175*'Development Inputs'!$D$75/12)</f>
        <v>0</v>
      </c>
      <c r="R174" s="407">
        <f>IF(R5=1,0,Q175*'Development Inputs'!$D$75/12)</f>
        <v>0</v>
      </c>
      <c r="S174" s="407">
        <f>IF(S5=1,0,R175*'Development Inputs'!$D$75/12)</f>
        <v>0</v>
      </c>
      <c r="T174" s="407">
        <f>IF(T5=1,0,S175*'Development Inputs'!$D$75/12)</f>
        <v>0</v>
      </c>
      <c r="U174" s="407">
        <f>IF(U5=1,0,T175*'Development Inputs'!$D$75/12)</f>
        <v>0</v>
      </c>
      <c r="V174" s="407">
        <f>IF(V5=1,0,U175*'Development Inputs'!$D$75/12)</f>
        <v>0</v>
      </c>
      <c r="W174" s="407">
        <f>IF(W5=1,0,V175*'Development Inputs'!$D$75/12)</f>
        <v>0</v>
      </c>
      <c r="X174" s="407">
        <f>IF(X5=1,0,W175*'Development Inputs'!$D$75/12)</f>
        <v>0</v>
      </c>
      <c r="Y174" s="407">
        <f>IF(Y5=1,0,X175*'Development Inputs'!$D$75/12)</f>
        <v>0</v>
      </c>
      <c r="Z174" s="407">
        <f>IF(Z5=1,0,Y175*'Development Inputs'!$D$75/12)</f>
        <v>0</v>
      </c>
      <c r="AA174" s="407">
        <f>IF(AA5=1,0,Z175*'Development Inputs'!$D$75/12)</f>
        <v>0</v>
      </c>
      <c r="AB174" s="407">
        <f>IF(AB5=1,0,AA175*'Development Inputs'!$D$75/12)</f>
        <v>0</v>
      </c>
      <c r="AC174" s="407">
        <f>IF(AC5=1,0,AB175*'Development Inputs'!$D$75/12)</f>
        <v>0</v>
      </c>
      <c r="AD174" s="407">
        <f>IF(AD5=1,0,AC175*'Development Inputs'!$D$75/12)</f>
        <v>0</v>
      </c>
      <c r="AE174" s="407">
        <f>IF(AE5=1,0,AD175*'Development Inputs'!$D$75/12)</f>
        <v>0</v>
      </c>
      <c r="AF174" s="407">
        <f>IF(AF5=1,0,AE175*'Development Inputs'!$D$75/12)</f>
        <v>0</v>
      </c>
      <c r="AG174" s="407">
        <f>IF(AG5=1,0,AF175*'Development Inputs'!$D$75/12)</f>
        <v>0</v>
      </c>
      <c r="AH174" s="407">
        <f>IF(AH5=1,0,AG175*'Development Inputs'!$D$75/12)</f>
        <v>0</v>
      </c>
      <c r="AI174" s="407">
        <f>IF(AI5=1,0,AH175*'Development Inputs'!$D$75/12)</f>
        <v>0</v>
      </c>
      <c r="AJ174" s="407">
        <f>IF(AJ5=1,0,AI175*'Development Inputs'!$D$75/12)</f>
        <v>0</v>
      </c>
      <c r="AK174" s="407">
        <f>IF(AK5=1,0,AJ175*'Development Inputs'!$D$75/12)</f>
        <v>0</v>
      </c>
      <c r="AL174" s="407">
        <f>IF(AL5=1,0,AK175*'Development Inputs'!$D$75/12)</f>
        <v>0</v>
      </c>
      <c r="AM174" s="407">
        <f>IF(AM5=1,0,AL175*'Development Inputs'!$D$75/12)</f>
        <v>0</v>
      </c>
      <c r="AN174" s="407">
        <f>IF(AN5=1,0,AM175*'Development Inputs'!$D$75/12)</f>
        <v>0</v>
      </c>
      <c r="AO174" s="407">
        <f>IF(AO5=1,0,AN175*'Development Inputs'!$D$75/12)</f>
        <v>0</v>
      </c>
      <c r="AP174" s="407">
        <f>IF(AP5=1,0,AO175*'Development Inputs'!$D$75/12)</f>
        <v>0</v>
      </c>
      <c r="AQ174" s="407">
        <f>IF(AQ5=1,0,AP175*'Development Inputs'!$D$75/12)</f>
        <v>0</v>
      </c>
      <c r="AR174" s="407">
        <f>IF(AR5=1,0,AQ175*'Development Inputs'!$D$75/12)</f>
        <v>0</v>
      </c>
      <c r="AS174" s="407">
        <f>IF(AS5=1,0,AR175*'Development Inputs'!$D$75/12)</f>
        <v>0</v>
      </c>
      <c r="AT174" s="407">
        <f>IF(AT5=1,0,AS175*'Development Inputs'!$D$75/12)</f>
        <v>0</v>
      </c>
      <c r="AU174" s="407">
        <f>IF(AU5=1,0,AT175*'Development Inputs'!$D$75/12)</f>
        <v>0</v>
      </c>
      <c r="AV174" s="407">
        <f>IF(AV5=1,0,AU175*'Development Inputs'!$D$75/12)</f>
        <v>0</v>
      </c>
      <c r="AW174" s="407">
        <f>IF(AW5=1,0,AV175*'Development Inputs'!$D$75/12)</f>
        <v>0</v>
      </c>
      <c r="AX174" s="407">
        <f>IF(AX5=1,0,AW175*'Development Inputs'!$D$75/12)</f>
        <v>0</v>
      </c>
      <c r="AY174" s="407">
        <f>IF(AY5=1,0,AX175*'Development Inputs'!$D$75/12)</f>
        <v>0</v>
      </c>
      <c r="AZ174" s="407">
        <f>IF(AZ5=1,0,AY175*'Development Inputs'!$D$75/12)</f>
        <v>0</v>
      </c>
      <c r="BA174" s="407">
        <f>IF(BA5=1,0,AZ175*'Development Inputs'!$D$75/12)</f>
        <v>0</v>
      </c>
      <c r="BB174" s="407">
        <f>IF(BB5=1,0,BA175*'Development Inputs'!$D$75/12)</f>
        <v>0</v>
      </c>
      <c r="BC174" s="407">
        <f>IF(BC5=1,0,BB175*'Development Inputs'!$D$75/12)</f>
        <v>0</v>
      </c>
      <c r="BD174" s="407">
        <f>IF(BD5=1,0,BC175*'Development Inputs'!$D$75/12)</f>
        <v>0</v>
      </c>
      <c r="BE174" s="407">
        <f>IF(BE5=1,0,BD175*'Development Inputs'!$D$75/12)</f>
        <v>0</v>
      </c>
      <c r="BF174" s="407">
        <f>IF(BF5=1,0,BE175*'Development Inputs'!$D$75/12)</f>
        <v>0</v>
      </c>
      <c r="BG174" s="407">
        <f>IF(BG5=1,0,BF175*'Development Inputs'!$D$75/12)</f>
        <v>0</v>
      </c>
      <c r="BH174" s="407">
        <f>IF(BH5=1,0,BG175*'Development Inputs'!$D$75/12)</f>
        <v>0</v>
      </c>
      <c r="BI174" s="407">
        <f>IF(BI5=1,0,BH175*'Development Inputs'!$D$75/12)</f>
        <v>0</v>
      </c>
      <c r="BJ174" s="407">
        <f>IF(BJ5=1,0,BI175*'Development Inputs'!$D$75/12)</f>
        <v>0</v>
      </c>
      <c r="BK174" s="407">
        <f>IF(BK5=1,0,BJ175*'Development Inputs'!$D$75/12)</f>
        <v>0</v>
      </c>
      <c r="BL174" s="407">
        <f>IF(BL5=1,0,BK175*'Development Inputs'!$D$75/12)</f>
        <v>0</v>
      </c>
      <c r="BM174" s="407">
        <f>IF(BM5=1,0,BL175*'Development Inputs'!$D$75/12)</f>
        <v>0</v>
      </c>
      <c r="BN174" s="407">
        <f>IF(BN5=1,0,BM175*'Development Inputs'!$D$75/12)</f>
        <v>0</v>
      </c>
      <c r="BO174" s="407">
        <f>IF(BO5=1,0,BN175*'Development Inputs'!$D$75/12)</f>
        <v>0</v>
      </c>
      <c r="BP174" s="407">
        <f>IF(BP5=1,0,BO175*'Development Inputs'!$D$75/12)</f>
        <v>0</v>
      </c>
      <c r="BQ174" s="407">
        <f>IF(BQ5=1,0,BP175*'Development Inputs'!$D$75/12)</f>
        <v>0</v>
      </c>
      <c r="BR174" s="407">
        <f>IF(BR5=1,0,BQ175*'Development Inputs'!$D$75/12)</f>
        <v>0</v>
      </c>
      <c r="BS174" s="407">
        <f>IF(BS5=1,0,BR175*'Development Inputs'!$D$75/12)</f>
        <v>0</v>
      </c>
      <c r="BT174" s="407">
        <f>IF(BT5=1,0,BS175*'Development Inputs'!$D$75/12)</f>
        <v>0</v>
      </c>
    </row>
    <row r="175" spans="1:72" s="182" customFormat="1" x14ac:dyDescent="0.3">
      <c r="A175" s="613" t="str">
        <f>TEXT('General Inputs'!$L$29,(""))&amp;" Ending Balance"</f>
        <v>LAND Ending Balance</v>
      </c>
      <c r="B175" s="612"/>
      <c r="C175" s="613"/>
      <c r="D175" s="628"/>
      <c r="E175" s="629"/>
      <c r="F175" s="629"/>
      <c r="G175" s="629"/>
      <c r="H175" s="630">
        <f t="shared" ref="H175:AM175" si="72">SUM(H172:H174)</f>
        <v>0</v>
      </c>
      <c r="I175" s="630">
        <f>SUM(I172:I174)</f>
        <v>0</v>
      </c>
      <c r="J175" s="630">
        <f t="shared" si="72"/>
        <v>0</v>
      </c>
      <c r="K175" s="630">
        <f t="shared" si="72"/>
        <v>0</v>
      </c>
      <c r="L175" s="630">
        <f t="shared" si="72"/>
        <v>0</v>
      </c>
      <c r="M175" s="630">
        <f t="shared" si="72"/>
        <v>0</v>
      </c>
      <c r="N175" s="630">
        <f t="shared" si="72"/>
        <v>0</v>
      </c>
      <c r="O175" s="630">
        <f t="shared" si="72"/>
        <v>0</v>
      </c>
      <c r="P175" s="630">
        <f t="shared" si="72"/>
        <v>0</v>
      </c>
      <c r="Q175" s="630">
        <f t="shared" si="72"/>
        <v>0</v>
      </c>
      <c r="R175" s="630">
        <f t="shared" si="72"/>
        <v>0</v>
      </c>
      <c r="S175" s="630">
        <f t="shared" si="72"/>
        <v>0</v>
      </c>
      <c r="T175" s="630">
        <f t="shared" si="72"/>
        <v>0</v>
      </c>
      <c r="U175" s="630">
        <f t="shared" si="72"/>
        <v>0</v>
      </c>
      <c r="V175" s="630">
        <f t="shared" si="72"/>
        <v>0</v>
      </c>
      <c r="W175" s="630">
        <f t="shared" si="72"/>
        <v>0</v>
      </c>
      <c r="X175" s="630">
        <f t="shared" si="72"/>
        <v>0</v>
      </c>
      <c r="Y175" s="630">
        <f t="shared" si="72"/>
        <v>0</v>
      </c>
      <c r="Z175" s="630">
        <f t="shared" si="72"/>
        <v>0</v>
      </c>
      <c r="AA175" s="630">
        <f t="shared" si="72"/>
        <v>0</v>
      </c>
      <c r="AB175" s="630">
        <f t="shared" si="72"/>
        <v>0</v>
      </c>
      <c r="AC175" s="630">
        <f t="shared" si="72"/>
        <v>0</v>
      </c>
      <c r="AD175" s="630">
        <f t="shared" si="72"/>
        <v>0</v>
      </c>
      <c r="AE175" s="630">
        <f t="shared" si="72"/>
        <v>0</v>
      </c>
      <c r="AF175" s="630">
        <f t="shared" si="72"/>
        <v>0</v>
      </c>
      <c r="AG175" s="630">
        <f t="shared" si="72"/>
        <v>0</v>
      </c>
      <c r="AH175" s="630">
        <f t="shared" si="72"/>
        <v>0</v>
      </c>
      <c r="AI175" s="630">
        <f t="shared" si="72"/>
        <v>0</v>
      </c>
      <c r="AJ175" s="630">
        <f t="shared" si="72"/>
        <v>0</v>
      </c>
      <c r="AK175" s="630">
        <f t="shared" si="72"/>
        <v>0</v>
      </c>
      <c r="AL175" s="630">
        <f t="shared" si="72"/>
        <v>0</v>
      </c>
      <c r="AM175" s="630">
        <f t="shared" si="72"/>
        <v>0</v>
      </c>
      <c r="AN175" s="630">
        <f t="shared" ref="AN175:BS175" si="73">SUM(AN172:AN174)</f>
        <v>0</v>
      </c>
      <c r="AO175" s="630">
        <f t="shared" si="73"/>
        <v>0</v>
      </c>
      <c r="AP175" s="630">
        <f t="shared" si="73"/>
        <v>0</v>
      </c>
      <c r="AQ175" s="630">
        <f t="shared" si="73"/>
        <v>0</v>
      </c>
      <c r="AR175" s="630">
        <f t="shared" si="73"/>
        <v>0</v>
      </c>
      <c r="AS175" s="630">
        <f t="shared" si="73"/>
        <v>0</v>
      </c>
      <c r="AT175" s="630">
        <f t="shared" si="73"/>
        <v>0</v>
      </c>
      <c r="AU175" s="630">
        <f t="shared" si="73"/>
        <v>0</v>
      </c>
      <c r="AV175" s="630">
        <f t="shared" si="73"/>
        <v>0</v>
      </c>
      <c r="AW175" s="630">
        <f t="shared" si="73"/>
        <v>0</v>
      </c>
      <c r="AX175" s="630">
        <f t="shared" si="73"/>
        <v>0</v>
      </c>
      <c r="AY175" s="630">
        <f t="shared" si="73"/>
        <v>0</v>
      </c>
      <c r="AZ175" s="630">
        <f t="shared" si="73"/>
        <v>0</v>
      </c>
      <c r="BA175" s="630">
        <f t="shared" si="73"/>
        <v>0</v>
      </c>
      <c r="BB175" s="630">
        <f t="shared" si="73"/>
        <v>0</v>
      </c>
      <c r="BC175" s="630">
        <f t="shared" si="73"/>
        <v>0</v>
      </c>
      <c r="BD175" s="630">
        <f t="shared" si="73"/>
        <v>0</v>
      </c>
      <c r="BE175" s="630">
        <f t="shared" si="73"/>
        <v>0</v>
      </c>
      <c r="BF175" s="630">
        <f t="shared" si="73"/>
        <v>0</v>
      </c>
      <c r="BG175" s="630">
        <f t="shared" si="73"/>
        <v>0</v>
      </c>
      <c r="BH175" s="630">
        <f t="shared" si="73"/>
        <v>0</v>
      </c>
      <c r="BI175" s="630">
        <f t="shared" si="73"/>
        <v>0</v>
      </c>
      <c r="BJ175" s="630">
        <f t="shared" si="73"/>
        <v>0</v>
      </c>
      <c r="BK175" s="630">
        <f t="shared" si="73"/>
        <v>0</v>
      </c>
      <c r="BL175" s="630">
        <f t="shared" si="73"/>
        <v>0</v>
      </c>
      <c r="BM175" s="630">
        <f t="shared" si="73"/>
        <v>0</v>
      </c>
      <c r="BN175" s="630">
        <f t="shared" si="73"/>
        <v>0</v>
      </c>
      <c r="BO175" s="630">
        <f t="shared" si="73"/>
        <v>0</v>
      </c>
      <c r="BP175" s="630">
        <f t="shared" si="73"/>
        <v>0</v>
      </c>
      <c r="BQ175" s="630">
        <f t="shared" si="73"/>
        <v>0</v>
      </c>
      <c r="BR175" s="630">
        <f t="shared" si="73"/>
        <v>0</v>
      </c>
      <c r="BS175" s="630">
        <f t="shared" si="73"/>
        <v>0</v>
      </c>
      <c r="BT175" s="630">
        <f>SUM(BT172:BT174)</f>
        <v>0</v>
      </c>
    </row>
    <row r="176" spans="1:72" s="182" customFormat="1" ht="15" thickBot="1" x14ac:dyDescent="0.35">
      <c r="A176" s="436" t="s">
        <v>2343</v>
      </c>
      <c r="B176" s="435"/>
      <c r="C176" s="436"/>
      <c r="D176" s="626"/>
      <c r="E176" s="483"/>
      <c r="F176" s="483"/>
      <c r="G176" s="483"/>
      <c r="H176" s="433">
        <f t="shared" ref="H176:AM176" si="74">H165+H170+H175</f>
        <v>0</v>
      </c>
      <c r="I176" s="433">
        <f>I165+I170+I175</f>
        <v>0</v>
      </c>
      <c r="J176" s="433">
        <f t="shared" si="74"/>
        <v>0</v>
      </c>
      <c r="K176" s="433">
        <f t="shared" si="74"/>
        <v>0</v>
      </c>
      <c r="L176" s="433">
        <f t="shared" si="74"/>
        <v>0</v>
      </c>
      <c r="M176" s="433">
        <f t="shared" si="74"/>
        <v>0</v>
      </c>
      <c r="N176" s="433">
        <f t="shared" si="74"/>
        <v>0</v>
      </c>
      <c r="O176" s="433">
        <f t="shared" si="74"/>
        <v>0</v>
      </c>
      <c r="P176" s="433">
        <f t="shared" si="74"/>
        <v>0</v>
      </c>
      <c r="Q176" s="433">
        <f t="shared" si="74"/>
        <v>0</v>
      </c>
      <c r="R176" s="433">
        <f t="shared" si="74"/>
        <v>0</v>
      </c>
      <c r="S176" s="433">
        <f t="shared" si="74"/>
        <v>0</v>
      </c>
      <c r="T176" s="433">
        <f t="shared" si="74"/>
        <v>0</v>
      </c>
      <c r="U176" s="433">
        <f t="shared" si="74"/>
        <v>0</v>
      </c>
      <c r="V176" s="433">
        <f t="shared" si="74"/>
        <v>0</v>
      </c>
      <c r="W176" s="433">
        <f t="shared" si="74"/>
        <v>0</v>
      </c>
      <c r="X176" s="433">
        <f t="shared" si="74"/>
        <v>0</v>
      </c>
      <c r="Y176" s="433">
        <f t="shared" si="74"/>
        <v>0</v>
      </c>
      <c r="Z176" s="433">
        <f t="shared" si="74"/>
        <v>0</v>
      </c>
      <c r="AA176" s="433">
        <f t="shared" si="74"/>
        <v>0</v>
      </c>
      <c r="AB176" s="433">
        <f t="shared" si="74"/>
        <v>0</v>
      </c>
      <c r="AC176" s="433">
        <f t="shared" si="74"/>
        <v>0</v>
      </c>
      <c r="AD176" s="433">
        <f t="shared" si="74"/>
        <v>0</v>
      </c>
      <c r="AE176" s="433">
        <f t="shared" si="74"/>
        <v>0</v>
      </c>
      <c r="AF176" s="433">
        <f t="shared" si="74"/>
        <v>0</v>
      </c>
      <c r="AG176" s="433">
        <f t="shared" si="74"/>
        <v>0</v>
      </c>
      <c r="AH176" s="433">
        <f t="shared" si="74"/>
        <v>0</v>
      </c>
      <c r="AI176" s="433">
        <f t="shared" si="74"/>
        <v>0</v>
      </c>
      <c r="AJ176" s="433">
        <f t="shared" si="74"/>
        <v>0</v>
      </c>
      <c r="AK176" s="433">
        <f t="shared" si="74"/>
        <v>0</v>
      </c>
      <c r="AL176" s="433">
        <f t="shared" si="74"/>
        <v>0</v>
      </c>
      <c r="AM176" s="433">
        <f t="shared" si="74"/>
        <v>0</v>
      </c>
      <c r="AN176" s="433">
        <f t="shared" ref="AN176:BS176" si="75">AN165+AN170+AN175</f>
        <v>0</v>
      </c>
      <c r="AO176" s="433">
        <f t="shared" si="75"/>
        <v>0</v>
      </c>
      <c r="AP176" s="433">
        <f t="shared" si="75"/>
        <v>0</v>
      </c>
      <c r="AQ176" s="433">
        <f t="shared" si="75"/>
        <v>0</v>
      </c>
      <c r="AR176" s="433">
        <f t="shared" si="75"/>
        <v>0</v>
      </c>
      <c r="AS176" s="433">
        <f t="shared" si="75"/>
        <v>0</v>
      </c>
      <c r="AT176" s="433">
        <f t="shared" si="75"/>
        <v>0</v>
      </c>
      <c r="AU176" s="433">
        <f t="shared" si="75"/>
        <v>0</v>
      </c>
      <c r="AV176" s="433">
        <f t="shared" si="75"/>
        <v>0</v>
      </c>
      <c r="AW176" s="433">
        <f t="shared" si="75"/>
        <v>0</v>
      </c>
      <c r="AX176" s="433">
        <f t="shared" si="75"/>
        <v>0</v>
      </c>
      <c r="AY176" s="433">
        <f t="shared" si="75"/>
        <v>0</v>
      </c>
      <c r="AZ176" s="433">
        <f t="shared" si="75"/>
        <v>0</v>
      </c>
      <c r="BA176" s="433">
        <f t="shared" si="75"/>
        <v>0</v>
      </c>
      <c r="BB176" s="433">
        <f t="shared" si="75"/>
        <v>0</v>
      </c>
      <c r="BC176" s="433">
        <f t="shared" si="75"/>
        <v>0</v>
      </c>
      <c r="BD176" s="433">
        <f t="shared" si="75"/>
        <v>0</v>
      </c>
      <c r="BE176" s="433">
        <f t="shared" si="75"/>
        <v>0</v>
      </c>
      <c r="BF176" s="433">
        <f t="shared" si="75"/>
        <v>0</v>
      </c>
      <c r="BG176" s="433">
        <f t="shared" si="75"/>
        <v>0</v>
      </c>
      <c r="BH176" s="433">
        <f t="shared" si="75"/>
        <v>0</v>
      </c>
      <c r="BI176" s="433">
        <f t="shared" si="75"/>
        <v>0</v>
      </c>
      <c r="BJ176" s="433">
        <f t="shared" si="75"/>
        <v>0</v>
      </c>
      <c r="BK176" s="433">
        <f t="shared" si="75"/>
        <v>0</v>
      </c>
      <c r="BL176" s="433">
        <f t="shared" si="75"/>
        <v>0</v>
      </c>
      <c r="BM176" s="433">
        <f t="shared" si="75"/>
        <v>0</v>
      </c>
      <c r="BN176" s="433">
        <f t="shared" si="75"/>
        <v>0</v>
      </c>
      <c r="BO176" s="433">
        <f t="shared" si="75"/>
        <v>0</v>
      </c>
      <c r="BP176" s="433">
        <f t="shared" si="75"/>
        <v>0</v>
      </c>
      <c r="BQ176" s="433">
        <f t="shared" si="75"/>
        <v>0</v>
      </c>
      <c r="BR176" s="433">
        <f t="shared" si="75"/>
        <v>0</v>
      </c>
      <c r="BS176" s="433">
        <f t="shared" si="75"/>
        <v>0</v>
      </c>
      <c r="BT176" s="433">
        <f>BT165+BT170+BT175</f>
        <v>0</v>
      </c>
    </row>
    <row r="177" spans="2:72" s="182" customFormat="1" ht="15" thickTop="1" x14ac:dyDescent="0.3">
      <c r="B177" s="512"/>
      <c r="D177" s="627"/>
      <c r="E177" s="464"/>
      <c r="F177" s="464"/>
      <c r="G177" s="464"/>
      <c r="H177" s="408"/>
      <c r="I177" s="408"/>
      <c r="J177" s="408"/>
      <c r="K177" s="408"/>
      <c r="L177" s="408"/>
      <c r="M177" s="408"/>
      <c r="N177" s="408"/>
      <c r="O177" s="408"/>
      <c r="P177" s="408"/>
      <c r="Q177" s="408"/>
      <c r="R177" s="408"/>
      <c r="S177" s="408"/>
      <c r="T177" s="408"/>
      <c r="U177" s="408"/>
      <c r="V177" s="408"/>
      <c r="W177" s="408"/>
      <c r="X177" s="408"/>
      <c r="Y177" s="408"/>
      <c r="Z177" s="408"/>
      <c r="AA177" s="408"/>
      <c r="AB177" s="408"/>
      <c r="AC177" s="408"/>
      <c r="AD177" s="408"/>
      <c r="AE177" s="408"/>
      <c r="AF177" s="408"/>
      <c r="AG177" s="408"/>
      <c r="AH177" s="408"/>
      <c r="AI177" s="408"/>
      <c r="AJ177" s="408"/>
      <c r="AK177" s="408"/>
      <c r="AL177" s="408"/>
      <c r="AM177" s="408"/>
      <c r="AN177" s="408"/>
      <c r="AO177" s="408"/>
      <c r="AP177" s="408"/>
      <c r="AQ177" s="408"/>
      <c r="AR177" s="408"/>
      <c r="AS177" s="408"/>
      <c r="AT177" s="408"/>
      <c r="AU177" s="408"/>
      <c r="AV177" s="408"/>
      <c r="AW177" s="408"/>
      <c r="AX177" s="408"/>
      <c r="AY177" s="408"/>
      <c r="AZ177" s="408"/>
      <c r="BA177" s="408"/>
      <c r="BB177" s="408"/>
      <c r="BC177" s="408"/>
      <c r="BD177" s="408"/>
      <c r="BE177" s="408"/>
      <c r="BF177" s="408"/>
      <c r="BG177" s="408"/>
      <c r="BH177" s="408"/>
      <c r="BI177" s="408"/>
      <c r="BJ177" s="408"/>
      <c r="BK177" s="408"/>
      <c r="BL177" s="408"/>
      <c r="BM177" s="408"/>
      <c r="BN177" s="408"/>
      <c r="BO177" s="408"/>
      <c r="BP177" s="408"/>
      <c r="BQ177" s="408"/>
      <c r="BR177" s="408"/>
      <c r="BS177" s="408"/>
      <c r="BT177" s="408"/>
    </row>
    <row r="186" spans="2:72" x14ac:dyDescent="0.3">
      <c r="B186" s="583"/>
      <c r="C186" s="583"/>
      <c r="D186" s="583"/>
      <c r="E186" s="583"/>
      <c r="F186" s="583"/>
    </row>
    <row r="187" spans="2:72" x14ac:dyDescent="0.3">
      <c r="B187" s="583"/>
      <c r="C187" s="583"/>
      <c r="D187" s="583"/>
      <c r="E187" s="583"/>
      <c r="F187" s="583"/>
    </row>
    <row r="188" spans="2:72" x14ac:dyDescent="0.3">
      <c r="B188" s="583"/>
      <c r="C188" s="583"/>
      <c r="D188" s="583"/>
      <c r="E188" s="583"/>
      <c r="F188" s="583"/>
    </row>
    <row r="189" spans="2:72" x14ac:dyDescent="0.3">
      <c r="B189" s="583"/>
      <c r="C189" s="583"/>
      <c r="D189" s="583"/>
      <c r="E189" s="583"/>
      <c r="F189" s="583"/>
    </row>
  </sheetData>
  <conditionalFormatting sqref="H6:BT176">
    <cfRule type="expression" dxfId="20" priority="2">
      <formula>H$7&gt;=$A$8</formula>
    </cfRule>
  </conditionalFormatting>
  <pageMargins left="0.25" right="0.25" top="0.4" bottom="0.4" header="0.3" footer="0.3"/>
  <pageSetup scale="55" pageOrder="overThenDown" orientation="landscape" r:id="rId1"/>
  <headerFooter>
    <oddHeader>&amp;C&amp;"Garamond,Bold Italic"&amp;14Front Money Budget&amp;R&amp;"Garamond,Regular"&amp;10Printed: &amp;D &amp;T</oddHeader>
    <oddFooter>&amp;R&amp;"Garamond,Regular"&amp;10Page &amp;P of &amp;N</oddFooter>
  </headerFooter>
  <legacyDrawing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F04F1-3001-4420-A3A1-B33017640B2D}">
  <sheetPr codeName="Sheet36"/>
  <dimension ref="D5:M66"/>
  <sheetViews>
    <sheetView showGridLines="0" topLeftCell="A45" workbookViewId="0">
      <selection activeCell="S24" sqref="S24"/>
    </sheetView>
  </sheetViews>
  <sheetFormatPr defaultRowHeight="14.4" x14ac:dyDescent="0.3"/>
  <cols>
    <col min="5" max="5" width="11.6640625" customWidth="1"/>
    <col min="6" max="6" width="12.5546875" customWidth="1"/>
    <col min="11" max="11" width="11.6640625" customWidth="1"/>
    <col min="12" max="12" width="12.5546875" customWidth="1"/>
  </cols>
  <sheetData>
    <row r="5" spans="4:13" x14ac:dyDescent="0.3">
      <c r="D5" s="2635" t="s">
        <v>1958</v>
      </c>
      <c r="E5" s="2635"/>
      <c r="F5" s="2635"/>
      <c r="G5" s="2635"/>
      <c r="J5" s="2635" t="s">
        <v>983</v>
      </c>
      <c r="K5" s="2635"/>
      <c r="L5" s="2635"/>
      <c r="M5" s="2635"/>
    </row>
    <row r="6" spans="4:13" ht="15" thickBot="1" x14ac:dyDescent="0.35">
      <c r="D6" s="221" t="s">
        <v>1184</v>
      </c>
      <c r="E6" s="222" t="s">
        <v>1185</v>
      </c>
      <c r="F6" s="222" t="s">
        <v>1186</v>
      </c>
      <c r="G6" s="222" t="s">
        <v>1187</v>
      </c>
      <c r="J6" s="221" t="s">
        <v>1184</v>
      </c>
      <c r="K6" s="222" t="s">
        <v>1185</v>
      </c>
      <c r="L6" s="222" t="s">
        <v>1186</v>
      </c>
      <c r="M6" s="222" t="s">
        <v>1187</v>
      </c>
    </row>
    <row r="7" spans="4:13" ht="15" thickTop="1" x14ac:dyDescent="0.3">
      <c r="D7" s="1538" t="s">
        <v>2344</v>
      </c>
      <c r="E7" s="1539">
        <v>0</v>
      </c>
      <c r="F7" s="1540">
        <v>1</v>
      </c>
      <c r="G7" s="1539">
        <v>666</v>
      </c>
      <c r="J7" s="1538" t="s">
        <v>1480</v>
      </c>
      <c r="K7" s="1539">
        <v>1</v>
      </c>
      <c r="L7" s="1540">
        <v>1</v>
      </c>
      <c r="M7" s="1539">
        <v>635</v>
      </c>
    </row>
    <row r="8" spans="4:13" x14ac:dyDescent="0.3">
      <c r="D8" s="1538" t="s">
        <v>597</v>
      </c>
      <c r="E8" s="1539">
        <v>1</v>
      </c>
      <c r="F8" s="1540">
        <v>1</v>
      </c>
      <c r="G8" s="1539">
        <v>738</v>
      </c>
      <c r="J8" s="1538" t="s">
        <v>1481</v>
      </c>
      <c r="K8" s="1539">
        <v>1</v>
      </c>
      <c r="L8" s="1540">
        <v>1</v>
      </c>
      <c r="M8" s="1539">
        <v>677</v>
      </c>
    </row>
    <row r="9" spans="4:13" x14ac:dyDescent="0.3">
      <c r="D9" s="1538" t="s">
        <v>1464</v>
      </c>
      <c r="E9" s="1539">
        <v>1</v>
      </c>
      <c r="F9" s="1540">
        <v>1</v>
      </c>
      <c r="G9" s="1539">
        <v>774</v>
      </c>
      <c r="J9" s="1538" t="s">
        <v>1492</v>
      </c>
      <c r="K9" s="1539">
        <v>1</v>
      </c>
      <c r="L9" s="1540">
        <v>1</v>
      </c>
      <c r="M9" s="1539">
        <v>725</v>
      </c>
    </row>
    <row r="10" spans="4:13" x14ac:dyDescent="0.3">
      <c r="D10" s="1538" t="s">
        <v>1466</v>
      </c>
      <c r="E10" s="1539">
        <v>2</v>
      </c>
      <c r="F10" s="1540">
        <v>2</v>
      </c>
      <c r="G10" s="1539">
        <v>1099</v>
      </c>
      <c r="J10" s="1538" t="s">
        <v>1493</v>
      </c>
      <c r="K10" s="1539">
        <v>1</v>
      </c>
      <c r="L10" s="1540">
        <v>1</v>
      </c>
      <c r="M10" s="1539">
        <v>767</v>
      </c>
    </row>
    <row r="11" spans="4:13" x14ac:dyDescent="0.3">
      <c r="D11" s="1538" t="s">
        <v>1467</v>
      </c>
      <c r="E11" s="1539">
        <v>2</v>
      </c>
      <c r="F11" s="1540">
        <v>2</v>
      </c>
      <c r="G11" s="1539">
        <v>1194</v>
      </c>
      <c r="J11" s="1538" t="str">
        <f>IF(K11=2,"B1.1","A3.1")</f>
        <v>B1.1</v>
      </c>
      <c r="K11" s="1541">
        <v>2</v>
      </c>
      <c r="L11" s="1540">
        <v>1</v>
      </c>
      <c r="M11" s="1539">
        <v>852</v>
      </c>
    </row>
    <row r="12" spans="4:13" x14ac:dyDescent="0.3">
      <c r="D12" s="1538" t="s">
        <v>1469</v>
      </c>
      <c r="E12" s="1539">
        <v>3</v>
      </c>
      <c r="F12" s="1540">
        <v>2</v>
      </c>
      <c r="G12" s="1539">
        <v>1434</v>
      </c>
      <c r="J12" s="1538" t="str">
        <f>IF(K12=2,"B1.2","A3.2")</f>
        <v>B1.2</v>
      </c>
      <c r="K12" s="1541">
        <v>2</v>
      </c>
      <c r="L12" s="1540">
        <v>1</v>
      </c>
      <c r="M12" s="1539">
        <v>894</v>
      </c>
    </row>
    <row r="13" spans="4:13" x14ac:dyDescent="0.3">
      <c r="D13" s="1538" t="s">
        <v>1194</v>
      </c>
      <c r="E13" s="1539">
        <v>2</v>
      </c>
      <c r="F13" s="1540">
        <v>2.5</v>
      </c>
      <c r="G13" s="1539">
        <v>1392</v>
      </c>
      <c r="J13" s="1538" t="s">
        <v>1485</v>
      </c>
      <c r="K13" s="1539">
        <v>2</v>
      </c>
      <c r="L13" s="1540">
        <v>2</v>
      </c>
      <c r="M13" s="1539">
        <v>924</v>
      </c>
    </row>
    <row r="14" spans="4:13" x14ac:dyDescent="0.3">
      <c r="D14" s="1538" t="s">
        <v>1195</v>
      </c>
      <c r="E14" s="1539">
        <v>3</v>
      </c>
      <c r="F14" s="1540">
        <v>2.5</v>
      </c>
      <c r="G14" s="1539">
        <v>1719</v>
      </c>
      <c r="J14" s="1538" t="s">
        <v>1498</v>
      </c>
      <c r="K14" s="1539">
        <v>2</v>
      </c>
      <c r="L14" s="1540">
        <v>2</v>
      </c>
      <c r="M14" s="1539">
        <v>965</v>
      </c>
    </row>
    <row r="15" spans="4:13" x14ac:dyDescent="0.3">
      <c r="D15" s="1538" t="s">
        <v>2345</v>
      </c>
      <c r="E15" s="1539">
        <v>3</v>
      </c>
      <c r="F15" s="1540">
        <v>2.5</v>
      </c>
      <c r="G15" s="1539">
        <v>1677</v>
      </c>
      <c r="J15" s="1538" t="s">
        <v>1499</v>
      </c>
      <c r="K15" s="1539">
        <v>2</v>
      </c>
      <c r="L15" s="1540">
        <v>2</v>
      </c>
      <c r="M15" s="1539">
        <v>1007</v>
      </c>
    </row>
    <row r="16" spans="4:13" x14ac:dyDescent="0.3">
      <c r="D16" s="1538" t="s">
        <v>2346</v>
      </c>
      <c r="E16" s="1539">
        <v>3</v>
      </c>
      <c r="F16" s="1540">
        <v>2.5</v>
      </c>
      <c r="G16" s="1539">
        <v>1912</v>
      </c>
      <c r="J16" s="1538" t="s">
        <v>1500</v>
      </c>
      <c r="K16" s="1539">
        <v>2</v>
      </c>
      <c r="L16" s="1540">
        <v>2</v>
      </c>
      <c r="M16" s="1539">
        <v>1014</v>
      </c>
    </row>
    <row r="17" spans="4:13" x14ac:dyDescent="0.3">
      <c r="D17" s="1538" t="s">
        <v>2347</v>
      </c>
      <c r="E17" s="1539">
        <v>2</v>
      </c>
      <c r="F17" s="1540">
        <v>2</v>
      </c>
      <c r="G17" s="1539">
        <v>1541</v>
      </c>
      <c r="J17" s="1538" t="s">
        <v>1501</v>
      </c>
      <c r="K17" s="1539">
        <v>2</v>
      </c>
      <c r="L17" s="1540">
        <v>2</v>
      </c>
      <c r="M17" s="1539">
        <v>1055</v>
      </c>
    </row>
    <row r="18" spans="4:13" x14ac:dyDescent="0.3">
      <c r="D18" s="1538" t="s">
        <v>2348</v>
      </c>
      <c r="E18" s="1539">
        <v>2</v>
      </c>
      <c r="F18" s="1540">
        <v>2</v>
      </c>
      <c r="G18" s="1539">
        <v>1199</v>
      </c>
      <c r="J18" s="1538" t="s">
        <v>1502</v>
      </c>
      <c r="K18" s="1539">
        <v>2</v>
      </c>
      <c r="L18" s="1540">
        <v>2</v>
      </c>
      <c r="M18" s="1539">
        <v>1097</v>
      </c>
    </row>
    <row r="19" spans="4:13" x14ac:dyDescent="0.3">
      <c r="D19" s="1538" t="s">
        <v>2349</v>
      </c>
      <c r="E19" s="1539">
        <v>3</v>
      </c>
      <c r="F19" s="1540">
        <v>2</v>
      </c>
      <c r="G19" s="1539">
        <v>1501</v>
      </c>
      <c r="J19" s="1538" t="s">
        <v>1503</v>
      </c>
      <c r="K19" s="1539">
        <v>3</v>
      </c>
      <c r="L19" s="1540">
        <v>2</v>
      </c>
      <c r="M19" s="1539">
        <v>1207</v>
      </c>
    </row>
    <row r="20" spans="4:13" x14ac:dyDescent="0.3">
      <c r="D20" s="1542" t="s">
        <v>1599</v>
      </c>
      <c r="E20" s="1543" t="s">
        <v>1599</v>
      </c>
      <c r="F20" s="1544" t="s">
        <v>1599</v>
      </c>
      <c r="G20" s="1543">
        <v>0</v>
      </c>
      <c r="J20" s="1538" t="s">
        <v>1504</v>
      </c>
      <c r="K20" s="1539">
        <v>3</v>
      </c>
      <c r="L20" s="1540">
        <v>2</v>
      </c>
      <c r="M20" s="1539">
        <v>1249</v>
      </c>
    </row>
    <row r="39" spans="4:7" x14ac:dyDescent="0.3">
      <c r="D39" s="229" t="str">
        <f>D7</f>
        <v>S1</v>
      </c>
      <c r="E39" s="229">
        <f t="shared" ref="E39:G39" si="0">E7</f>
        <v>0</v>
      </c>
      <c r="F39" s="233">
        <f t="shared" si="0"/>
        <v>1</v>
      </c>
      <c r="G39" s="229">
        <f t="shared" si="0"/>
        <v>666</v>
      </c>
    </row>
    <row r="40" spans="4:7" x14ac:dyDescent="0.3">
      <c r="D40" s="229" t="str">
        <f t="shared" ref="D40:G52" si="1">D8</f>
        <v>A1</v>
      </c>
      <c r="E40" s="229">
        <f t="shared" si="1"/>
        <v>1</v>
      </c>
      <c r="F40" s="233">
        <f t="shared" si="1"/>
        <v>1</v>
      </c>
      <c r="G40" s="229">
        <f t="shared" si="1"/>
        <v>738</v>
      </c>
    </row>
    <row r="41" spans="4:7" x14ac:dyDescent="0.3">
      <c r="D41" s="229" t="str">
        <f t="shared" si="1"/>
        <v>A2</v>
      </c>
      <c r="E41" s="229">
        <f t="shared" si="1"/>
        <v>1</v>
      </c>
      <c r="F41" s="233">
        <f t="shared" si="1"/>
        <v>1</v>
      </c>
      <c r="G41" s="229">
        <f t="shared" si="1"/>
        <v>774</v>
      </c>
    </row>
    <row r="42" spans="4:7" x14ac:dyDescent="0.3">
      <c r="D42" s="229" t="str">
        <f t="shared" si="1"/>
        <v>B1</v>
      </c>
      <c r="E42" s="229">
        <f t="shared" si="1"/>
        <v>2</v>
      </c>
      <c r="F42" s="233">
        <f t="shared" si="1"/>
        <v>2</v>
      </c>
      <c r="G42" s="229">
        <f t="shared" si="1"/>
        <v>1099</v>
      </c>
    </row>
    <row r="43" spans="4:7" x14ac:dyDescent="0.3">
      <c r="D43" s="229" t="str">
        <f t="shared" si="1"/>
        <v>B2</v>
      </c>
      <c r="E43" s="229">
        <f t="shared" si="1"/>
        <v>2</v>
      </c>
      <c r="F43" s="233">
        <f t="shared" si="1"/>
        <v>2</v>
      </c>
      <c r="G43" s="229">
        <f t="shared" si="1"/>
        <v>1194</v>
      </c>
    </row>
    <row r="44" spans="4:7" x14ac:dyDescent="0.3">
      <c r="D44" s="229" t="str">
        <f t="shared" si="1"/>
        <v>C1</v>
      </c>
      <c r="E44" s="229">
        <f t="shared" si="1"/>
        <v>3</v>
      </c>
      <c r="F44" s="233">
        <f t="shared" si="1"/>
        <v>2</v>
      </c>
      <c r="G44" s="229">
        <f t="shared" si="1"/>
        <v>1434</v>
      </c>
    </row>
    <row r="45" spans="4:7" x14ac:dyDescent="0.3">
      <c r="D45" s="229" t="str">
        <f t="shared" si="1"/>
        <v>T-A</v>
      </c>
      <c r="E45" s="229">
        <f t="shared" si="1"/>
        <v>2</v>
      </c>
      <c r="F45" s="233">
        <f t="shared" si="1"/>
        <v>2.5</v>
      </c>
      <c r="G45" s="229">
        <f t="shared" si="1"/>
        <v>1392</v>
      </c>
    </row>
    <row r="46" spans="4:7" x14ac:dyDescent="0.3">
      <c r="D46" s="229" t="str">
        <f t="shared" si="1"/>
        <v>T-B</v>
      </c>
      <c r="E46" s="229">
        <f t="shared" si="1"/>
        <v>3</v>
      </c>
      <c r="F46" s="233">
        <f t="shared" si="1"/>
        <v>2.5</v>
      </c>
      <c r="G46" s="229">
        <f t="shared" si="1"/>
        <v>1719</v>
      </c>
    </row>
    <row r="47" spans="4:7" x14ac:dyDescent="0.3">
      <c r="D47" s="229" t="str">
        <f t="shared" si="1"/>
        <v>T-C</v>
      </c>
      <c r="E47" s="229">
        <f t="shared" si="1"/>
        <v>3</v>
      </c>
      <c r="F47" s="233">
        <f t="shared" si="1"/>
        <v>2.5</v>
      </c>
      <c r="G47" s="229">
        <f t="shared" si="1"/>
        <v>1677</v>
      </c>
    </row>
    <row r="48" spans="4:7" x14ac:dyDescent="0.3">
      <c r="D48" s="229" t="str">
        <f t="shared" si="1"/>
        <v>T-D</v>
      </c>
      <c r="E48" s="229">
        <f t="shared" si="1"/>
        <v>3</v>
      </c>
      <c r="F48" s="233">
        <f t="shared" si="1"/>
        <v>2.5</v>
      </c>
      <c r="G48" s="229">
        <f t="shared" si="1"/>
        <v>1912</v>
      </c>
    </row>
    <row r="49" spans="4:7" x14ac:dyDescent="0.3">
      <c r="D49" s="229" t="str">
        <f t="shared" si="1"/>
        <v>T-E</v>
      </c>
      <c r="E49" s="229">
        <f t="shared" si="1"/>
        <v>2</v>
      </c>
      <c r="F49" s="233">
        <f t="shared" si="1"/>
        <v>2</v>
      </c>
      <c r="G49" s="229">
        <f t="shared" si="1"/>
        <v>1541</v>
      </c>
    </row>
    <row r="50" spans="4:7" x14ac:dyDescent="0.3">
      <c r="D50" s="229" t="str">
        <f t="shared" si="1"/>
        <v>T-F</v>
      </c>
      <c r="E50" s="229">
        <f t="shared" si="1"/>
        <v>2</v>
      </c>
      <c r="F50" s="233">
        <f t="shared" si="1"/>
        <v>2</v>
      </c>
      <c r="G50" s="229">
        <f t="shared" si="1"/>
        <v>1199</v>
      </c>
    </row>
    <row r="51" spans="4:7" x14ac:dyDescent="0.3">
      <c r="D51" s="229" t="str">
        <f t="shared" si="1"/>
        <v>T-G</v>
      </c>
      <c r="E51" s="229">
        <f t="shared" si="1"/>
        <v>3</v>
      </c>
      <c r="F51" s="233">
        <f t="shared" si="1"/>
        <v>2</v>
      </c>
      <c r="G51" s="229">
        <f t="shared" si="1"/>
        <v>1501</v>
      </c>
    </row>
    <row r="52" spans="4:7" x14ac:dyDescent="0.3">
      <c r="D52" s="229" t="str">
        <f t="shared" si="1"/>
        <v>-</v>
      </c>
      <c r="E52" s="229" t="str">
        <f t="shared" si="1"/>
        <v>-</v>
      </c>
      <c r="F52" s="233" t="str">
        <f t="shared" si="1"/>
        <v>-</v>
      </c>
      <c r="G52" s="229">
        <f t="shared" si="1"/>
        <v>0</v>
      </c>
    </row>
    <row r="53" spans="4:7" x14ac:dyDescent="0.3">
      <c r="D53" s="229" t="str">
        <f>J7</f>
        <v>A1.1</v>
      </c>
      <c r="E53" s="229">
        <f t="shared" ref="E53:G53" si="2">K7</f>
        <v>1</v>
      </c>
      <c r="F53" s="233">
        <f t="shared" si="2"/>
        <v>1</v>
      </c>
      <c r="G53" s="229">
        <f t="shared" si="2"/>
        <v>635</v>
      </c>
    </row>
    <row r="54" spans="4:7" x14ac:dyDescent="0.3">
      <c r="D54" s="229" t="str">
        <f t="shared" ref="D54:G66" si="3">J8</f>
        <v>A1.2</v>
      </c>
      <c r="E54" s="229">
        <f t="shared" si="3"/>
        <v>1</v>
      </c>
      <c r="F54" s="233">
        <f t="shared" si="3"/>
        <v>1</v>
      </c>
      <c r="G54" s="229">
        <f t="shared" si="3"/>
        <v>677</v>
      </c>
    </row>
    <row r="55" spans="4:7" x14ac:dyDescent="0.3">
      <c r="D55" s="229" t="str">
        <f t="shared" si="3"/>
        <v>A2.1</v>
      </c>
      <c r="E55" s="229">
        <f t="shared" si="3"/>
        <v>1</v>
      </c>
      <c r="F55" s="233">
        <f t="shared" si="3"/>
        <v>1</v>
      </c>
      <c r="G55" s="229">
        <f t="shared" si="3"/>
        <v>725</v>
      </c>
    </row>
    <row r="56" spans="4:7" x14ac:dyDescent="0.3">
      <c r="D56" s="229" t="str">
        <f t="shared" si="3"/>
        <v>A2.2</v>
      </c>
      <c r="E56" s="229">
        <f t="shared" si="3"/>
        <v>1</v>
      </c>
      <c r="F56" s="233">
        <f t="shared" si="3"/>
        <v>1</v>
      </c>
      <c r="G56" s="229">
        <f t="shared" si="3"/>
        <v>767</v>
      </c>
    </row>
    <row r="57" spans="4:7" x14ac:dyDescent="0.3">
      <c r="D57" s="1538" t="str">
        <f t="shared" si="3"/>
        <v>B1.1</v>
      </c>
      <c r="E57" s="1545">
        <f t="shared" si="3"/>
        <v>2</v>
      </c>
      <c r="F57" s="233">
        <f t="shared" si="3"/>
        <v>1</v>
      </c>
      <c r="G57" s="229">
        <f t="shared" si="3"/>
        <v>852</v>
      </c>
    </row>
    <row r="58" spans="4:7" x14ac:dyDescent="0.3">
      <c r="D58" s="1538" t="str">
        <f t="shared" si="3"/>
        <v>B1.2</v>
      </c>
      <c r="E58" s="1545">
        <f t="shared" si="3"/>
        <v>2</v>
      </c>
      <c r="F58" s="233">
        <f t="shared" si="3"/>
        <v>1</v>
      </c>
      <c r="G58" s="229">
        <f t="shared" si="3"/>
        <v>894</v>
      </c>
    </row>
    <row r="59" spans="4:7" x14ac:dyDescent="0.3">
      <c r="D59" s="229" t="str">
        <f t="shared" si="3"/>
        <v>B2.1</v>
      </c>
      <c r="E59" s="229">
        <f t="shared" si="3"/>
        <v>2</v>
      </c>
      <c r="F59" s="233">
        <f t="shared" si="3"/>
        <v>2</v>
      </c>
      <c r="G59" s="229">
        <f t="shared" si="3"/>
        <v>924</v>
      </c>
    </row>
    <row r="60" spans="4:7" x14ac:dyDescent="0.3">
      <c r="D60" s="229" t="str">
        <f t="shared" si="3"/>
        <v>B2.2</v>
      </c>
      <c r="E60" s="229">
        <f t="shared" si="3"/>
        <v>2</v>
      </c>
      <c r="F60" s="233">
        <f t="shared" si="3"/>
        <v>2</v>
      </c>
      <c r="G60" s="229">
        <f t="shared" si="3"/>
        <v>965</v>
      </c>
    </row>
    <row r="61" spans="4:7" x14ac:dyDescent="0.3">
      <c r="D61" s="229" t="str">
        <f t="shared" si="3"/>
        <v>B2.3</v>
      </c>
      <c r="E61" s="229">
        <f t="shared" si="3"/>
        <v>2</v>
      </c>
      <c r="F61" s="233">
        <f t="shared" si="3"/>
        <v>2</v>
      </c>
      <c r="G61" s="229">
        <f t="shared" si="3"/>
        <v>1007</v>
      </c>
    </row>
    <row r="62" spans="4:7" x14ac:dyDescent="0.3">
      <c r="D62" s="229" t="str">
        <f t="shared" si="3"/>
        <v>B3.1</v>
      </c>
      <c r="E62" s="229">
        <f t="shared" si="3"/>
        <v>2</v>
      </c>
      <c r="F62" s="233">
        <f t="shared" si="3"/>
        <v>2</v>
      </c>
      <c r="G62" s="229">
        <f t="shared" si="3"/>
        <v>1014</v>
      </c>
    </row>
    <row r="63" spans="4:7" x14ac:dyDescent="0.3">
      <c r="D63" s="229" t="str">
        <f t="shared" si="3"/>
        <v>B3.2</v>
      </c>
      <c r="E63" s="229">
        <f t="shared" si="3"/>
        <v>2</v>
      </c>
      <c r="F63" s="233">
        <f t="shared" si="3"/>
        <v>2</v>
      </c>
      <c r="G63" s="229">
        <f t="shared" si="3"/>
        <v>1055</v>
      </c>
    </row>
    <row r="64" spans="4:7" x14ac:dyDescent="0.3">
      <c r="D64" s="229" t="str">
        <f t="shared" si="3"/>
        <v>B3.3</v>
      </c>
      <c r="E64" s="229">
        <f t="shared" si="3"/>
        <v>2</v>
      </c>
      <c r="F64" s="233">
        <f t="shared" si="3"/>
        <v>2</v>
      </c>
      <c r="G64" s="229">
        <f t="shared" si="3"/>
        <v>1097</v>
      </c>
    </row>
    <row r="65" spans="4:7" x14ac:dyDescent="0.3">
      <c r="D65" s="229" t="str">
        <f t="shared" si="3"/>
        <v>C1.1</v>
      </c>
      <c r="E65" s="229">
        <f t="shared" si="3"/>
        <v>3</v>
      </c>
      <c r="F65" s="233">
        <f t="shared" si="3"/>
        <v>2</v>
      </c>
      <c r="G65" s="229">
        <f t="shared" si="3"/>
        <v>1207</v>
      </c>
    </row>
    <row r="66" spans="4:7" x14ac:dyDescent="0.3">
      <c r="D66" s="229" t="str">
        <f t="shared" si="3"/>
        <v>C1.2</v>
      </c>
      <c r="E66" s="229">
        <f t="shared" si="3"/>
        <v>3</v>
      </c>
      <c r="F66" s="233">
        <f t="shared" si="3"/>
        <v>2</v>
      </c>
      <c r="G66" s="229">
        <f t="shared" si="3"/>
        <v>1249</v>
      </c>
    </row>
  </sheetData>
  <mergeCells count="2">
    <mergeCell ref="D5:G5"/>
    <mergeCell ref="J5:M5"/>
  </mergeCells>
  <dataValidations count="1">
    <dataValidation type="list" allowBlank="1" showInputMessage="1" showErrorMessage="1" sqref="K11:K12" xr:uid="{1794D131-2F26-49F4-93C7-2734701E2729}">
      <formula1>"2,1"</formula1>
    </dataValidation>
  </dataValidations>
  <pageMargins left="0.7" right="0.7" top="0.75" bottom="0.75" header="0.3" footer="0.3"/>
  <legacy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2">
    <tabColor theme="6" tint="0.79998168889431442"/>
  </sheetPr>
  <dimension ref="A1:O49"/>
  <sheetViews>
    <sheetView showGridLines="0" zoomScale="70" zoomScaleNormal="70" zoomScaleSheetLayoutView="90" workbookViewId="0">
      <pane xSplit="3" ySplit="7" topLeftCell="D8" activePane="bottomRight" state="frozen"/>
      <selection pane="topRight"/>
      <selection pane="bottomLeft"/>
      <selection pane="bottomRight"/>
    </sheetView>
  </sheetViews>
  <sheetFormatPr defaultColWidth="14.6640625" defaultRowHeight="14.4" x14ac:dyDescent="0.3"/>
  <sheetData>
    <row r="1" spans="1:15" x14ac:dyDescent="0.3">
      <c r="A1" t="str">
        <f>DevBdgt!A1</f>
        <v>Project:</v>
      </c>
      <c r="B1" t="str">
        <f>DevBdgt!B1</f>
        <v>Emblem Meridian</v>
      </c>
    </row>
    <row r="2" spans="1:15" x14ac:dyDescent="0.3">
      <c r="A2" t="str">
        <f>DevBdgt!A2</f>
        <v>Location:</v>
      </c>
      <c r="B2" s="229" t="str">
        <f>DevBdgt!B2</f>
        <v>Meridian, Other</v>
      </c>
    </row>
    <row r="3" spans="1:15" x14ac:dyDescent="0.3">
      <c r="A3" t="str">
        <f>DevBdgt!A3</f>
        <v>Last Saved:</v>
      </c>
      <c r="B3" s="584">
        <f>DevBdgt!B3</f>
        <v>46248</v>
      </c>
      <c r="C3" s="585">
        <f>DevBdgt!C3</f>
        <v>0.67652777777777773</v>
      </c>
    </row>
    <row r="4" spans="1:15" ht="6.75" customHeight="1" x14ac:dyDescent="0.3"/>
    <row r="5" spans="1:15" x14ac:dyDescent="0.3">
      <c r="A5" s="631"/>
      <c r="B5" s="631"/>
      <c r="C5" s="631"/>
      <c r="D5" s="632">
        <v>0</v>
      </c>
      <c r="E5" s="632">
        <v>1</v>
      </c>
      <c r="F5" s="632">
        <v>2</v>
      </c>
      <c r="G5" s="632">
        <v>3</v>
      </c>
      <c r="H5" s="632">
        <v>4</v>
      </c>
      <c r="I5" s="632">
        <v>5</v>
      </c>
      <c r="J5" s="632">
        <v>6</v>
      </c>
      <c r="K5" s="632">
        <v>7</v>
      </c>
      <c r="L5" s="632">
        <v>8</v>
      </c>
      <c r="M5" s="632">
        <v>9</v>
      </c>
      <c r="N5" s="632">
        <v>10</v>
      </c>
      <c r="O5" s="633" t="s">
        <v>2350</v>
      </c>
    </row>
    <row r="6" spans="1:15" ht="15" thickBot="1" x14ac:dyDescent="0.35">
      <c r="A6" s="634"/>
      <c r="B6" s="634"/>
      <c r="C6" s="634"/>
      <c r="D6" s="634">
        <f>YEAR(StartDate)</f>
        <v>2027</v>
      </c>
      <c r="E6" s="634">
        <f>D6+1</f>
        <v>2028</v>
      </c>
      <c r="F6" s="634">
        <f>E6+1</f>
        <v>2029</v>
      </c>
      <c r="G6" s="634">
        <f t="shared" ref="G6:N6" si="0">F6+1</f>
        <v>2030</v>
      </c>
      <c r="H6" s="634">
        <f t="shared" si="0"/>
        <v>2031</v>
      </c>
      <c r="I6" s="634">
        <f t="shared" si="0"/>
        <v>2032</v>
      </c>
      <c r="J6" s="634">
        <f t="shared" si="0"/>
        <v>2033</v>
      </c>
      <c r="K6" s="634">
        <f t="shared" si="0"/>
        <v>2034</v>
      </c>
      <c r="L6" s="634">
        <f t="shared" si="0"/>
        <v>2035</v>
      </c>
      <c r="M6" s="634">
        <f t="shared" si="0"/>
        <v>2036</v>
      </c>
      <c r="N6" s="634">
        <f t="shared" si="0"/>
        <v>2037</v>
      </c>
      <c r="O6" s="387"/>
    </row>
    <row r="7" spans="1:15" ht="7.5" customHeight="1" thickTop="1" thickBot="1" x14ac:dyDescent="0.35"/>
    <row r="8" spans="1:15" ht="15" thickTop="1" x14ac:dyDescent="0.3">
      <c r="A8" s="318" t="str">
        <f>DevBdgt!A9</f>
        <v>UNIT DELIVERY</v>
      </c>
      <c r="B8" s="319"/>
      <c r="C8" s="635"/>
      <c r="D8" s="322"/>
      <c r="E8" s="322"/>
      <c r="F8" s="322"/>
      <c r="G8" s="322"/>
      <c r="H8" s="322"/>
      <c r="I8" s="322"/>
      <c r="J8" s="322"/>
      <c r="K8" s="322"/>
      <c r="L8" s="322"/>
      <c r="M8" s="322"/>
      <c r="N8" s="322"/>
      <c r="O8" s="322"/>
    </row>
    <row r="9" spans="1:15" ht="7.5" customHeight="1" x14ac:dyDescent="0.3"/>
    <row r="10" spans="1:15" x14ac:dyDescent="0.3">
      <c r="A10" t="str">
        <f>DevBdgt!A11</f>
        <v>Units BOM (BMR)</v>
      </c>
      <c r="D10" s="229">
        <f>DevBdgt!E11</f>
        <v>0</v>
      </c>
      <c r="E10" s="636">
        <f>DevBdgt!F11</f>
        <v>0</v>
      </c>
      <c r="F10" s="636">
        <f>DevBdgt!R11</f>
        <v>0</v>
      </c>
      <c r="G10" s="636">
        <f>DevBdgt!AD11</f>
        <v>0</v>
      </c>
      <c r="H10" s="636">
        <f>DevBdgt!AP11</f>
        <v>0</v>
      </c>
      <c r="I10" s="636">
        <f>DevBdgt!BB11</f>
        <v>0</v>
      </c>
      <c r="J10" s="636">
        <f>DevBdgt!BN11</f>
        <v>0</v>
      </c>
      <c r="K10" s="636">
        <f>DevBdgt!BZ11</f>
        <v>0</v>
      </c>
      <c r="L10" s="636">
        <f>DevBdgt!CL11</f>
        <v>0</v>
      </c>
      <c r="M10" s="636">
        <f>DevBdgt!CX11</f>
        <v>0</v>
      </c>
      <c r="N10" s="636">
        <f>DevBdgt!DJ11</f>
        <v>0</v>
      </c>
      <c r="O10" s="636">
        <f>D10</f>
        <v>0</v>
      </c>
    </row>
    <row r="11" spans="1:15" x14ac:dyDescent="0.3">
      <c r="A11" s="241" t="str">
        <f>DevBdgt!A12</f>
        <v>Unit Delivery (BMR)</v>
      </c>
      <c r="B11" s="241"/>
      <c r="C11" s="241"/>
      <c r="D11" s="637">
        <f>DevBdgt!E12</f>
        <v>0</v>
      </c>
      <c r="E11" s="638">
        <f>SUM(DevBdgt!F12:Q12)</f>
        <v>0</v>
      </c>
      <c r="F11" s="638">
        <f>SUM(DevBdgt!R12:AC12)</f>
        <v>0</v>
      </c>
      <c r="G11" s="638">
        <f>SUM(DevBdgt!AD12:AO12)</f>
        <v>0</v>
      </c>
      <c r="H11" s="638">
        <f>SUM(DevBdgt!AP12:BA12)</f>
        <v>0</v>
      </c>
      <c r="I11" s="638">
        <f>SUM(DevBdgt!BB12:BM12)</f>
        <v>0</v>
      </c>
      <c r="J11" s="638">
        <f>SUM(DevBdgt!BN12:BY12)</f>
        <v>0</v>
      </c>
      <c r="K11" s="638">
        <f>SUM(DevBdgt!BZ12:CK12)</f>
        <v>0</v>
      </c>
      <c r="L11" s="638">
        <f>SUM(DevBdgt!CL12:CW12)</f>
        <v>0</v>
      </c>
      <c r="M11" s="638">
        <f>SUM(DevBdgt!CX12:DI12)</f>
        <v>0</v>
      </c>
      <c r="N11" s="638">
        <f>SUM(DevBdgt!DJ12:DU12)</f>
        <v>0</v>
      </c>
      <c r="O11" s="638">
        <f>SUM(D11:N11)</f>
        <v>0</v>
      </c>
    </row>
    <row r="12" spans="1:15" x14ac:dyDescent="0.3">
      <c r="A12" s="639" t="str">
        <f>DevBdgt!A13</f>
        <v>Units EOM (BMR)</v>
      </c>
      <c r="D12" s="229">
        <f>DevBdgt!E13</f>
        <v>0</v>
      </c>
      <c r="E12" s="229">
        <f t="shared" ref="E12:O12" si="1">SUM(E10:E11)</f>
        <v>0</v>
      </c>
      <c r="F12" s="229">
        <f t="shared" si="1"/>
        <v>0</v>
      </c>
      <c r="G12" s="229">
        <f t="shared" si="1"/>
        <v>0</v>
      </c>
      <c r="H12" s="229">
        <f t="shared" si="1"/>
        <v>0</v>
      </c>
      <c r="I12" s="229">
        <f t="shared" si="1"/>
        <v>0</v>
      </c>
      <c r="J12" s="229">
        <f t="shared" si="1"/>
        <v>0</v>
      </c>
      <c r="K12" s="229">
        <f t="shared" si="1"/>
        <v>0</v>
      </c>
      <c r="L12" s="229">
        <f t="shared" si="1"/>
        <v>0</v>
      </c>
      <c r="M12" s="229">
        <f t="shared" si="1"/>
        <v>0</v>
      </c>
      <c r="N12" s="229">
        <f t="shared" si="1"/>
        <v>0</v>
      </c>
      <c r="O12" s="229">
        <f t="shared" si="1"/>
        <v>0</v>
      </c>
    </row>
    <row r="13" spans="1:15" ht="7.5" customHeight="1" x14ac:dyDescent="0.3"/>
    <row r="14" spans="1:15" x14ac:dyDescent="0.3">
      <c r="A14" t="str">
        <f>DevBdgt!A15</f>
        <v>Units BOM (Market)</v>
      </c>
      <c r="D14" s="229">
        <f>DevBdgt!E15</f>
        <v>0</v>
      </c>
      <c r="E14" s="636">
        <f>DevBdgt!F15</f>
        <v>0</v>
      </c>
      <c r="F14" s="636">
        <f>DevBdgt!R15</f>
        <v>0</v>
      </c>
      <c r="G14" s="636">
        <f>DevBdgt!AD15</f>
        <v>234.66666666666669</v>
      </c>
      <c r="H14" s="636">
        <f>DevBdgt!AP15</f>
        <v>256</v>
      </c>
      <c r="I14" s="636">
        <f>DevBdgt!BB15</f>
        <v>256</v>
      </c>
      <c r="J14" s="636">
        <f>DevBdgt!BN15</f>
        <v>256</v>
      </c>
      <c r="K14" s="636">
        <f>DevBdgt!BZ15</f>
        <v>256</v>
      </c>
      <c r="L14" s="636">
        <f>DevBdgt!CL15</f>
        <v>256</v>
      </c>
      <c r="M14" s="636">
        <f>DevBdgt!CX15</f>
        <v>256</v>
      </c>
      <c r="N14" s="636">
        <f>DevBdgt!DJ15</f>
        <v>256</v>
      </c>
      <c r="O14" s="636">
        <f>D14</f>
        <v>0</v>
      </c>
    </row>
    <row r="15" spans="1:15" x14ac:dyDescent="0.3">
      <c r="A15" s="241" t="str">
        <f>DevBdgt!A16</f>
        <v>Unit Delivery (Market)</v>
      </c>
      <c r="B15" s="241"/>
      <c r="C15" s="241"/>
      <c r="D15" s="637">
        <f>DevBdgt!E16</f>
        <v>0</v>
      </c>
      <c r="E15" s="638">
        <f>SUM(DevBdgt!F16:Q16)</f>
        <v>0</v>
      </c>
      <c r="F15" s="638">
        <f>SUM(DevBdgt!R16:AC16)</f>
        <v>234.66666666666669</v>
      </c>
      <c r="G15" s="638">
        <f>SUM(DevBdgt!AD16:AO16)</f>
        <v>21.333333333333332</v>
      </c>
      <c r="H15" s="638">
        <f>SUM(DevBdgt!AP16:BA16)</f>
        <v>0</v>
      </c>
      <c r="I15" s="638">
        <f>SUM(DevBdgt!BB16:BM16)</f>
        <v>0</v>
      </c>
      <c r="J15" s="638">
        <f>SUM(DevBdgt!BN16:BY16)</f>
        <v>0</v>
      </c>
      <c r="K15" s="638">
        <f>SUM(DevBdgt!BZ16:CK16)</f>
        <v>0</v>
      </c>
      <c r="L15" s="638">
        <f>SUM(DevBdgt!CL16:CW16)</f>
        <v>0</v>
      </c>
      <c r="M15" s="638">
        <f>SUM(DevBdgt!CX16:DI16)</f>
        <v>0</v>
      </c>
      <c r="N15" s="638">
        <f>SUM(DevBdgt!DJ16:DU16)</f>
        <v>0</v>
      </c>
      <c r="O15" s="638">
        <f>SUM(D15:N15)</f>
        <v>256</v>
      </c>
    </row>
    <row r="16" spans="1:15" x14ac:dyDescent="0.3">
      <c r="A16" s="639" t="str">
        <f>DevBdgt!A17</f>
        <v>Units EOM (Market)</v>
      </c>
      <c r="D16" s="229">
        <f>DevBdgt!E17</f>
        <v>0</v>
      </c>
      <c r="E16" s="229">
        <f t="shared" ref="E16:O16" si="2">SUM(E14:E15)</f>
        <v>0</v>
      </c>
      <c r="F16" s="229">
        <f t="shared" si="2"/>
        <v>234.66666666666669</v>
      </c>
      <c r="G16" s="229">
        <f t="shared" si="2"/>
        <v>256</v>
      </c>
      <c r="H16" s="229">
        <f t="shared" si="2"/>
        <v>256</v>
      </c>
      <c r="I16" s="229">
        <f t="shared" si="2"/>
        <v>256</v>
      </c>
      <c r="J16" s="229">
        <f t="shared" si="2"/>
        <v>256</v>
      </c>
      <c r="K16" s="229">
        <f t="shared" si="2"/>
        <v>256</v>
      </c>
      <c r="L16" s="229">
        <f t="shared" si="2"/>
        <v>256</v>
      </c>
      <c r="M16" s="229">
        <f t="shared" si="2"/>
        <v>256</v>
      </c>
      <c r="N16" s="229">
        <f t="shared" si="2"/>
        <v>256</v>
      </c>
      <c r="O16" s="229">
        <f t="shared" si="2"/>
        <v>256</v>
      </c>
    </row>
    <row r="17" spans="1:15" ht="7.5" customHeight="1" x14ac:dyDescent="0.3"/>
    <row r="18" spans="1:15" x14ac:dyDescent="0.3">
      <c r="A18" t="str">
        <f>DevBdgt!A19</f>
        <v>Units BOM (All)</v>
      </c>
      <c r="D18" s="229">
        <f>DevBdgt!E19</f>
        <v>0</v>
      </c>
      <c r="E18" s="636">
        <f>DevBdgt!F19</f>
        <v>0</v>
      </c>
      <c r="F18" s="636">
        <f>DevBdgt!R19</f>
        <v>0</v>
      </c>
      <c r="G18" s="636">
        <f>DevBdgt!AD19</f>
        <v>234.66666666666669</v>
      </c>
      <c r="H18" s="636">
        <f>DevBdgt!AP19</f>
        <v>256</v>
      </c>
      <c r="I18" s="636">
        <f>DevBdgt!BB19</f>
        <v>256</v>
      </c>
      <c r="J18" s="636">
        <f>DevBdgt!BN19</f>
        <v>256</v>
      </c>
      <c r="K18" s="636">
        <f>DevBdgt!BZ19</f>
        <v>256</v>
      </c>
      <c r="L18" s="636">
        <f>DevBdgt!CL19</f>
        <v>256</v>
      </c>
      <c r="M18" s="636">
        <f>DevBdgt!CX19</f>
        <v>256</v>
      </c>
      <c r="N18" s="636">
        <f>DevBdgt!DJ19</f>
        <v>256</v>
      </c>
      <c r="O18" s="636">
        <f>D18</f>
        <v>0</v>
      </c>
    </row>
    <row r="19" spans="1:15" x14ac:dyDescent="0.3">
      <c r="A19" s="241" t="str">
        <f>DevBdgt!A20</f>
        <v>Unit Delivery (All)</v>
      </c>
      <c r="B19" s="241"/>
      <c r="C19" s="241"/>
      <c r="D19" s="637">
        <f>DevBdgt!E20</f>
        <v>0</v>
      </c>
      <c r="E19" s="638">
        <f>SUM(DevBdgt!F20:Q20)</f>
        <v>0</v>
      </c>
      <c r="F19" s="638">
        <f>SUM(DevBdgt!R20:AC20)</f>
        <v>234.66666666666669</v>
      </c>
      <c r="G19" s="638">
        <f>SUM(DevBdgt!AD20:AO20)</f>
        <v>21.333333333333332</v>
      </c>
      <c r="H19" s="638">
        <f>SUM(DevBdgt!AP20:BA20)</f>
        <v>0</v>
      </c>
      <c r="I19" s="638">
        <f>SUM(DevBdgt!BB20:BM20)</f>
        <v>0</v>
      </c>
      <c r="J19" s="638">
        <f>SUM(DevBdgt!BN20:BY20)</f>
        <v>0</v>
      </c>
      <c r="K19" s="638">
        <f>SUM(DevBdgt!BZ20:CK20)</f>
        <v>0</v>
      </c>
      <c r="L19" s="638">
        <f>SUM(DevBdgt!CL20:CW20)</f>
        <v>0</v>
      </c>
      <c r="M19" s="638">
        <f>SUM(DevBdgt!CX20:DI20)</f>
        <v>0</v>
      </c>
      <c r="N19" s="638">
        <f>SUM(DevBdgt!DJ20:DU20)</f>
        <v>0</v>
      </c>
      <c r="O19" s="638">
        <f>SUM(D19:N19)</f>
        <v>256</v>
      </c>
    </row>
    <row r="20" spans="1:15" x14ac:dyDescent="0.3">
      <c r="A20" s="639" t="str">
        <f>DevBdgt!A21</f>
        <v>Unit EOM (All)</v>
      </c>
      <c r="D20" s="229">
        <f>DevBdgt!E21</f>
        <v>0</v>
      </c>
      <c r="E20" s="229">
        <f t="shared" ref="E20:O20" si="3">SUM(E18:E19)</f>
        <v>0</v>
      </c>
      <c r="F20" s="229">
        <f t="shared" si="3"/>
        <v>234.66666666666669</v>
      </c>
      <c r="G20" s="229">
        <f t="shared" si="3"/>
        <v>256</v>
      </c>
      <c r="H20" s="229">
        <f t="shared" si="3"/>
        <v>256</v>
      </c>
      <c r="I20" s="229">
        <f t="shared" si="3"/>
        <v>256</v>
      </c>
      <c r="J20" s="229">
        <f t="shared" si="3"/>
        <v>256</v>
      </c>
      <c r="K20" s="229">
        <f t="shared" si="3"/>
        <v>256</v>
      </c>
      <c r="L20" s="229">
        <f t="shared" si="3"/>
        <v>256</v>
      </c>
      <c r="M20" s="229">
        <f t="shared" si="3"/>
        <v>256</v>
      </c>
      <c r="N20" s="229">
        <f t="shared" si="3"/>
        <v>256</v>
      </c>
      <c r="O20" s="229">
        <f t="shared" si="3"/>
        <v>256</v>
      </c>
    </row>
    <row r="21" spans="1:15" ht="7.5" customHeight="1" x14ac:dyDescent="0.3"/>
    <row r="22" spans="1:15" x14ac:dyDescent="0.3">
      <c r="A22" t="str">
        <f>DevBdgt!A23</f>
        <v>Cumulative Units Complete (%)</v>
      </c>
      <c r="D22" s="198">
        <f>DevBdgt!E23</f>
        <v>0</v>
      </c>
      <c r="E22" s="198">
        <f t="shared" ref="E22:O22" si="4">E20/Units</f>
        <v>0</v>
      </c>
      <c r="F22" s="198">
        <f t="shared" si="4"/>
        <v>0.91666666666666674</v>
      </c>
      <c r="G22" s="198">
        <f t="shared" si="4"/>
        <v>1</v>
      </c>
      <c r="H22" s="198">
        <f t="shared" si="4"/>
        <v>1</v>
      </c>
      <c r="I22" s="198">
        <f t="shared" si="4"/>
        <v>1</v>
      </c>
      <c r="J22" s="198">
        <f t="shared" si="4"/>
        <v>1</v>
      </c>
      <c r="K22" s="198">
        <f t="shared" si="4"/>
        <v>1</v>
      </c>
      <c r="L22" s="198">
        <f t="shared" si="4"/>
        <v>1</v>
      </c>
      <c r="M22" s="198">
        <f t="shared" si="4"/>
        <v>1</v>
      </c>
      <c r="N22" s="198">
        <f t="shared" si="4"/>
        <v>1</v>
      </c>
      <c r="O22" s="198">
        <f t="shared" si="4"/>
        <v>1</v>
      </c>
    </row>
    <row r="23" spans="1:15" ht="7.5" customHeight="1" x14ac:dyDescent="0.3">
      <c r="A23" s="289"/>
      <c r="B23" s="289"/>
      <c r="C23" s="289"/>
      <c r="D23" s="289"/>
      <c r="E23" s="289"/>
      <c r="F23" s="289"/>
      <c r="G23" s="289"/>
      <c r="H23" s="289"/>
      <c r="I23" s="289"/>
      <c r="J23" s="289"/>
      <c r="K23" s="289"/>
      <c r="L23" s="289"/>
      <c r="M23" s="289"/>
      <c r="N23" s="289"/>
      <c r="O23" s="289"/>
    </row>
    <row r="24" spans="1:15" x14ac:dyDescent="0.3">
      <c r="A24" t="str">
        <f>DevBdgt!A25</f>
        <v>Construction Curve</v>
      </c>
      <c r="D24" s="198">
        <f>DevBdgt!E25</f>
        <v>0</v>
      </c>
      <c r="E24" s="198">
        <f>SUM(DevBdgt!F25:Q25)</f>
        <v>0.46592467295048429</v>
      </c>
      <c r="F24" s="198">
        <f>SUM(DevBdgt!R25:AC25)</f>
        <v>0.52414714045421884</v>
      </c>
      <c r="G24" s="198">
        <f>SUM(DevBdgt!AD25:AO25)</f>
        <v>9.9281865952969284E-3</v>
      </c>
      <c r="H24" s="198">
        <f>SUM(DevBdgt!AP25:BA25)</f>
        <v>0</v>
      </c>
      <c r="I24" s="198">
        <f>SUM(DevBdgt!BB25:BM25)</f>
        <v>0</v>
      </c>
      <c r="J24" s="198">
        <f>SUM(DevBdgt!BN25:BY25)</f>
        <v>0</v>
      </c>
      <c r="K24" s="198">
        <f>SUM(DevBdgt!BZ25:CK25)</f>
        <v>0</v>
      </c>
      <c r="L24" s="198">
        <f>SUM(DevBdgt!CL25:CW25)</f>
        <v>0</v>
      </c>
      <c r="M24" s="198">
        <f>SUM(DevBdgt!CX25:DI25)</f>
        <v>0</v>
      </c>
      <c r="N24" s="198">
        <f>SUM(DevBdgt!DJ25:DU25)</f>
        <v>0</v>
      </c>
      <c r="O24" s="198">
        <f>SUM(D24:N24)</f>
        <v>1</v>
      </c>
    </row>
    <row r="25" spans="1:15" x14ac:dyDescent="0.3">
      <c r="A25" t="str">
        <f>DevBdgt!A26</f>
        <v>Cumulative Construction Complete (%)</v>
      </c>
      <c r="D25" s="198">
        <f>DevBdgt!E26</f>
        <v>0</v>
      </c>
      <c r="E25" s="198">
        <f>DevBdgt!Q26</f>
        <v>0.46592467295048429</v>
      </c>
      <c r="F25" s="198">
        <f>DevBdgt!AC26</f>
        <v>0.99007181340470307</v>
      </c>
      <c r="G25" s="198">
        <f>DevBdgt!AO26</f>
        <v>1</v>
      </c>
      <c r="H25" s="198">
        <f>DevBdgt!BA26</f>
        <v>1</v>
      </c>
      <c r="I25" s="198">
        <f>DevBdgt!BM26</f>
        <v>1</v>
      </c>
      <c r="J25" s="198">
        <f>DevBdgt!BY26</f>
        <v>1</v>
      </c>
      <c r="K25" s="198">
        <f>DevBdgt!CK26</f>
        <v>1</v>
      </c>
      <c r="L25" s="198">
        <f>DevBdgt!CW26</f>
        <v>1</v>
      </c>
      <c r="M25" s="198">
        <f>DevBdgt!DI26</f>
        <v>1</v>
      </c>
      <c r="N25" s="198">
        <f>DevBdgt!DU26</f>
        <v>1</v>
      </c>
      <c r="O25" s="198">
        <f>N25</f>
        <v>1</v>
      </c>
    </row>
    <row r="26" spans="1:15" ht="7.5" customHeight="1" thickBot="1" x14ac:dyDescent="0.35">
      <c r="A26" s="289"/>
      <c r="B26" s="289"/>
      <c r="C26" s="289"/>
      <c r="D26" s="289"/>
      <c r="E26" s="289"/>
      <c r="F26" s="289"/>
      <c r="G26" s="289"/>
      <c r="H26" s="289"/>
      <c r="I26" s="289"/>
      <c r="J26" s="289"/>
      <c r="K26" s="289"/>
      <c r="L26" s="289"/>
      <c r="M26" s="289"/>
      <c r="N26" s="289"/>
      <c r="O26" s="289"/>
    </row>
    <row r="27" spans="1:15" ht="15" thickTop="1" x14ac:dyDescent="0.3">
      <c r="A27" s="318" t="str">
        <f>DevBdgt!A28</f>
        <v>DEVELOPMENT BUDGET</v>
      </c>
      <c r="B27" s="319"/>
      <c r="C27" s="635"/>
      <c r="D27" s="322"/>
      <c r="E27" s="322"/>
      <c r="F27" s="322"/>
      <c r="G27" s="322"/>
      <c r="H27" s="322"/>
      <c r="I27" s="322"/>
      <c r="J27" s="322"/>
      <c r="K27" s="322"/>
      <c r="L27" s="322"/>
      <c r="M27" s="322"/>
      <c r="N27" s="322"/>
      <c r="O27" s="322"/>
    </row>
    <row r="28" spans="1:15" x14ac:dyDescent="0.3">
      <c r="A28" s="393" t="s">
        <v>783</v>
      </c>
      <c r="B28" s="393"/>
      <c r="C28" s="393"/>
    </row>
    <row r="29" spans="1:15" x14ac:dyDescent="0.3">
      <c r="A29" s="413" t="str">
        <f>DevBdgt!A30</f>
        <v>Purchase Price</v>
      </c>
      <c r="B29" s="206"/>
      <c r="C29" s="206"/>
      <c r="D29" s="227">
        <f>DevBdgt!E30</f>
        <v>0</v>
      </c>
      <c r="E29" s="227">
        <f>SUM(DevBdgt!F30:Q30)</f>
        <v>8850000</v>
      </c>
      <c r="F29" s="227">
        <f>SUM(DevBdgt!R30:AC30)</f>
        <v>0</v>
      </c>
      <c r="G29" s="227">
        <f>SUM(DevBdgt!AD30:AO30)</f>
        <v>0</v>
      </c>
      <c r="H29" s="227">
        <f>SUM(DevBdgt!AP30:BA30)</f>
        <v>0</v>
      </c>
      <c r="I29" s="227">
        <f>SUM(DevBdgt!BB30:BM30)</f>
        <v>0</v>
      </c>
      <c r="J29" s="227">
        <f>SUM(DevBdgt!BN30:BY30)</f>
        <v>0</v>
      </c>
      <c r="K29" s="227">
        <f>SUM(DevBdgt!BZ30:CK30)</f>
        <v>0</v>
      </c>
      <c r="L29" s="227">
        <f>SUM(DevBdgt!CL30:CW30)</f>
        <v>0</v>
      </c>
      <c r="M29" s="227">
        <f>SUM(DevBdgt!CX30:DI30)</f>
        <v>0</v>
      </c>
      <c r="N29" s="227">
        <f>SUM(DevBdgt!DJ30:DU30)</f>
        <v>0</v>
      </c>
      <c r="O29" s="227">
        <f>SUM(D29:N29)</f>
        <v>8850000</v>
      </c>
    </row>
    <row r="30" spans="1:15" x14ac:dyDescent="0.3">
      <c r="A30" s="206" t="str">
        <f>DevBdgt!A31</f>
        <v>Acquisition Costs</v>
      </c>
      <c r="D30" s="229">
        <f>DevBdgt!E31</f>
        <v>0</v>
      </c>
      <c r="E30" s="229">
        <f ca="1">SUM(DevBdgt!F31:Q31)</f>
        <v>242959.62434217893</v>
      </c>
      <c r="F30" s="229">
        <f>SUM(DevBdgt!R31:AC31)</f>
        <v>0</v>
      </c>
      <c r="G30" s="229">
        <f>SUM(DevBdgt!AD31:AO31)</f>
        <v>0</v>
      </c>
      <c r="H30" s="229">
        <f>SUM(DevBdgt!AP31:BA31)</f>
        <v>0</v>
      </c>
      <c r="I30" s="229">
        <f>SUM(DevBdgt!BB31:BM31)</f>
        <v>0</v>
      </c>
      <c r="J30" s="229">
        <f>SUM(DevBdgt!BN31:BY31)</f>
        <v>0</v>
      </c>
      <c r="K30" s="229">
        <f>SUM(DevBdgt!BZ31:CK31)</f>
        <v>0</v>
      </c>
      <c r="L30" s="229">
        <f>SUM(DevBdgt!CL31:CW31)</f>
        <v>0</v>
      </c>
      <c r="M30" s="229">
        <f>SUM(DevBdgt!CX31:DI31)</f>
        <v>0</v>
      </c>
      <c r="N30" s="229">
        <f>SUM(DevBdgt!DJ31:DU31)</f>
        <v>0</v>
      </c>
      <c r="O30" s="229">
        <f ca="1">SUM(D30:N30)</f>
        <v>242959.62434217893</v>
      </c>
    </row>
    <row r="31" spans="1:15" x14ac:dyDescent="0.3">
      <c r="A31" s="393" t="s">
        <v>794</v>
      </c>
      <c r="B31" s="206"/>
      <c r="C31" s="206"/>
    </row>
    <row r="32" spans="1:15" x14ac:dyDescent="0.3">
      <c r="A32" s="413" t="str">
        <f>DevBdgt!A33</f>
        <v>Ad Valorem Taxes</v>
      </c>
      <c r="D32" s="229">
        <f>DevBdgt!E33</f>
        <v>0</v>
      </c>
      <c r="E32" s="229">
        <f ca="1">SUM(DevBdgt!F33:Q33)</f>
        <v>76001.253929665996</v>
      </c>
      <c r="F32" s="229">
        <f ca="1">SUM(DevBdgt!R33:AC33)</f>
        <v>7334.1378649844455</v>
      </c>
      <c r="G32" s="229">
        <f>SUM(DevBdgt!AD33:AO33)</f>
        <v>0</v>
      </c>
      <c r="H32" s="229">
        <f>SUM(DevBdgt!AP33:BA33)</f>
        <v>0</v>
      </c>
      <c r="I32" s="229">
        <f>SUM(DevBdgt!BB33:BM33)</f>
        <v>0</v>
      </c>
      <c r="J32" s="229">
        <f>SUM(DevBdgt!BN33:BY33)</f>
        <v>0</v>
      </c>
      <c r="K32" s="229">
        <f>SUM(DevBdgt!BZ33:CK33)</f>
        <v>0</v>
      </c>
      <c r="L32" s="229">
        <f>SUM(DevBdgt!CL33:CW33)</f>
        <v>0</v>
      </c>
      <c r="M32" s="229">
        <f>SUM(DevBdgt!CX33:DI33)</f>
        <v>0</v>
      </c>
      <c r="N32" s="229">
        <f>SUM(DevBdgt!DJ33:DU33)</f>
        <v>0</v>
      </c>
      <c r="O32" s="229">
        <f t="shared" ref="O32:O41" ca="1" si="5">SUM(D32:N32)</f>
        <v>83335.391794650437</v>
      </c>
    </row>
    <row r="33" spans="1:15" x14ac:dyDescent="0.3">
      <c r="A33" s="413" t="str">
        <f>DevBdgt!A34</f>
        <v>Architectural &amp; Engineering</v>
      </c>
      <c r="D33" s="229">
        <f>DevBdgt!E34</f>
        <v>1050423.5</v>
      </c>
      <c r="E33" s="229">
        <f>SUM(DevBdgt!F34:Q34)</f>
        <v>216087.12000000002</v>
      </c>
      <c r="F33" s="229">
        <f>SUM(DevBdgt!R34:AC34)</f>
        <v>216087.12000000002</v>
      </c>
      <c r="G33" s="229">
        <f>SUM(DevBdgt!AD34:AO34)</f>
        <v>18007.259999999998</v>
      </c>
      <c r="H33" s="229">
        <f>SUM(DevBdgt!AP34:BA34)</f>
        <v>0</v>
      </c>
      <c r="I33" s="229">
        <f>SUM(DevBdgt!BB34:BM34)</f>
        <v>0</v>
      </c>
      <c r="J33" s="229">
        <f>SUM(DevBdgt!BN34:BY34)</f>
        <v>0</v>
      </c>
      <c r="K33" s="229">
        <f>SUM(DevBdgt!BZ34:CK34)</f>
        <v>0</v>
      </c>
      <c r="L33" s="229">
        <f>SUM(DevBdgt!CL34:CW34)</f>
        <v>0</v>
      </c>
      <c r="M33" s="229">
        <f>SUM(DevBdgt!CX34:DI34)</f>
        <v>0</v>
      </c>
      <c r="N33" s="229">
        <f>SUM(DevBdgt!DJ34:DU34)</f>
        <v>0</v>
      </c>
      <c r="O33" s="229">
        <f t="shared" si="5"/>
        <v>1500605.0000000002</v>
      </c>
    </row>
    <row r="34" spans="1:15" x14ac:dyDescent="0.3">
      <c r="A34" s="413" t="str">
        <f>DevBdgt!A35</f>
        <v>Construction Interest</v>
      </c>
      <c r="D34" s="229">
        <f>DevBdgt!E35</f>
        <v>0</v>
      </c>
      <c r="E34" s="229">
        <f ca="1">SUM(DevBdgt!F35:Q35)</f>
        <v>40131.847345416674</v>
      </c>
      <c r="F34" s="229">
        <f ca="1">SUM(DevBdgt!R35:AC35)</f>
        <v>1046130.2936661385</v>
      </c>
      <c r="G34" s="229">
        <f ca="1">SUM(DevBdgt!AD35:AO35)</f>
        <v>0</v>
      </c>
      <c r="H34" s="229">
        <f ca="1">SUM(DevBdgt!AP35:BA35)</f>
        <v>0</v>
      </c>
      <c r="I34" s="229">
        <f ca="1">SUM(DevBdgt!BB35:BM35)</f>
        <v>0</v>
      </c>
      <c r="J34" s="229">
        <f ca="1">SUM(DevBdgt!BN35:BY35)</f>
        <v>0</v>
      </c>
      <c r="K34" s="229">
        <f ca="1">SUM(DevBdgt!BZ35:CK35)</f>
        <v>0</v>
      </c>
      <c r="L34" s="229">
        <f ca="1">SUM(DevBdgt!CL35:CW35)</f>
        <v>0</v>
      </c>
      <c r="M34" s="229">
        <f ca="1">SUM(DevBdgt!CX35:DI35)</f>
        <v>0</v>
      </c>
      <c r="N34" s="229">
        <f ca="1">SUM(DevBdgt!DJ35:DU35)</f>
        <v>0</v>
      </c>
      <c r="O34" s="229">
        <f t="shared" ca="1" si="5"/>
        <v>1086262.1410115552</v>
      </c>
    </row>
    <row r="35" spans="1:15" x14ac:dyDescent="0.3">
      <c r="A35" s="413" t="str">
        <f>DevBdgt!A36</f>
        <v>Financing</v>
      </c>
      <c r="D35" s="229">
        <f ca="1">DevBdgt!E36</f>
        <v>821583.45041148621</v>
      </c>
      <c r="E35" s="229">
        <f>SUM(DevBdgt!F36:Q36)</f>
        <v>36000</v>
      </c>
      <c r="F35" s="229">
        <f>SUM(DevBdgt!R36:AC36)</f>
        <v>36000</v>
      </c>
      <c r="G35" s="229">
        <f>SUM(DevBdgt!AD36:AO36)</f>
        <v>3000</v>
      </c>
      <c r="H35" s="229">
        <f ca="1">SUM(DevBdgt!AP36:BA36)</f>
        <v>0</v>
      </c>
      <c r="I35" s="229">
        <f ca="1">SUM(DevBdgt!BB36:BM36)</f>
        <v>0</v>
      </c>
      <c r="J35" s="229">
        <f>SUM(DevBdgt!BN36:BY36)</f>
        <v>0</v>
      </c>
      <c r="K35" s="229">
        <f>SUM(DevBdgt!BZ36:CK36)</f>
        <v>0</v>
      </c>
      <c r="L35" s="229">
        <f>SUM(DevBdgt!CL36:CW36)</f>
        <v>0</v>
      </c>
      <c r="M35" s="229">
        <f>SUM(DevBdgt!CX36:DI36)</f>
        <v>0</v>
      </c>
      <c r="N35" s="229">
        <f>SUM(DevBdgt!DJ36:DU36)</f>
        <v>0</v>
      </c>
      <c r="O35" s="229">
        <f t="shared" ca="1" si="5"/>
        <v>896583.45041148621</v>
      </c>
    </row>
    <row r="36" spans="1:15" x14ac:dyDescent="0.3">
      <c r="A36" s="413" t="str">
        <f>DevBdgt!A37</f>
        <v>Furniture, Fixtures &amp; Equipment</v>
      </c>
      <c r="D36" s="229">
        <f>DevBdgt!E37</f>
        <v>0</v>
      </c>
      <c r="E36" s="229">
        <f>SUM(DevBdgt!F37:Q37)</f>
        <v>500000</v>
      </c>
      <c r="F36" s="229">
        <f>SUM(DevBdgt!R37:AC37)</f>
        <v>125000</v>
      </c>
      <c r="G36" s="229">
        <f>SUM(DevBdgt!AD37:AO37)</f>
        <v>0</v>
      </c>
      <c r="H36" s="229">
        <f>SUM(DevBdgt!AP37:BA37)</f>
        <v>0</v>
      </c>
      <c r="I36" s="229">
        <f>SUM(DevBdgt!BB37:BM37)</f>
        <v>0</v>
      </c>
      <c r="J36" s="229">
        <f>SUM(DevBdgt!BN37:BY37)</f>
        <v>0</v>
      </c>
      <c r="K36" s="229">
        <f>SUM(DevBdgt!BZ37:CK37)</f>
        <v>0</v>
      </c>
      <c r="L36" s="229">
        <f>SUM(DevBdgt!CL37:CW37)</f>
        <v>0</v>
      </c>
      <c r="M36" s="229">
        <f>SUM(DevBdgt!CX37:DI37)</f>
        <v>0</v>
      </c>
      <c r="N36" s="229">
        <f>SUM(DevBdgt!DJ37:DU37)</f>
        <v>0</v>
      </c>
      <c r="O36" s="229">
        <f t="shared" si="5"/>
        <v>625000</v>
      </c>
    </row>
    <row r="37" spans="1:15" x14ac:dyDescent="0.3">
      <c r="A37" s="413" t="str">
        <f>DevBdgt!A38</f>
        <v>Insurance</v>
      </c>
      <c r="D37" s="229">
        <f>DevBdgt!E38</f>
        <v>0</v>
      </c>
      <c r="E37" s="229">
        <f ca="1">SUM(DevBdgt!F38:Q38)</f>
        <v>1418022.6257534006</v>
      </c>
      <c r="F37" s="229">
        <f>SUM(DevBdgt!R38:AC38)</f>
        <v>0</v>
      </c>
      <c r="G37" s="229">
        <f>SUM(DevBdgt!AD38:AO38)</f>
        <v>0</v>
      </c>
      <c r="H37" s="229">
        <f>SUM(DevBdgt!AP38:BA38)</f>
        <v>0</v>
      </c>
      <c r="I37" s="229">
        <f>SUM(DevBdgt!BB38:BM38)</f>
        <v>0</v>
      </c>
      <c r="J37" s="229">
        <f>SUM(DevBdgt!BN38:BY38)</f>
        <v>0</v>
      </c>
      <c r="K37" s="229">
        <f>SUM(DevBdgt!BZ38:CK38)</f>
        <v>0</v>
      </c>
      <c r="L37" s="229">
        <f>SUM(DevBdgt!CL38:CW38)</f>
        <v>0</v>
      </c>
      <c r="M37" s="229">
        <f>SUM(DevBdgt!CX38:DI38)</f>
        <v>0</v>
      </c>
      <c r="N37" s="229">
        <f>SUM(DevBdgt!DJ38:DU38)</f>
        <v>0</v>
      </c>
      <c r="O37" s="229">
        <f t="shared" ca="1" si="5"/>
        <v>1418022.6257534006</v>
      </c>
    </row>
    <row r="38" spans="1:15" x14ac:dyDescent="0.3">
      <c r="A38" s="413" t="str">
        <f>DevBdgt!A39</f>
        <v>Start-Up Expenses &amp; Marketing</v>
      </c>
      <c r="D38" s="229">
        <f>DevBdgt!E39</f>
        <v>0</v>
      </c>
      <c r="E38" s="229">
        <f>SUM(DevBdgt!F39:Q39)</f>
        <v>0</v>
      </c>
      <c r="F38" s="229">
        <f>SUM(DevBdgt!R39:AC39)</f>
        <v>375000</v>
      </c>
      <c r="G38" s="229">
        <f>SUM(DevBdgt!AD39:AO39)</f>
        <v>0</v>
      </c>
      <c r="H38" s="229">
        <f>SUM(DevBdgt!AP39:BA39)</f>
        <v>0</v>
      </c>
      <c r="I38" s="229">
        <f>SUM(DevBdgt!BB39:BM39)</f>
        <v>0</v>
      </c>
      <c r="J38" s="229">
        <f>SUM(DevBdgt!BN39:BY39)</f>
        <v>0</v>
      </c>
      <c r="K38" s="229">
        <f>SUM(DevBdgt!BZ39:CK39)</f>
        <v>0</v>
      </c>
      <c r="L38" s="229">
        <f>SUM(DevBdgt!CL39:CW39)</f>
        <v>0</v>
      </c>
      <c r="M38" s="229">
        <f>SUM(DevBdgt!CX39:DI39)</f>
        <v>0</v>
      </c>
      <c r="N38" s="229">
        <f>SUM(DevBdgt!DJ39:DU39)</f>
        <v>0</v>
      </c>
      <c r="O38" s="229">
        <f t="shared" si="5"/>
        <v>375000</v>
      </c>
    </row>
    <row r="39" spans="1:15" x14ac:dyDescent="0.3">
      <c r="A39" s="413" t="str">
        <f>DevBdgt!A40</f>
        <v>Operating Deficits</v>
      </c>
      <c r="D39" s="229">
        <f>DevBdgt!E40</f>
        <v>0</v>
      </c>
      <c r="E39" s="229">
        <f ca="1">SUM(DevBdgt!F40:Q40)</f>
        <v>0</v>
      </c>
      <c r="F39" s="229">
        <f ca="1">SUM(DevBdgt!R40:AC40)</f>
        <v>329080.53404430853</v>
      </c>
      <c r="G39" s="229">
        <f ca="1">SUM(DevBdgt!AD40:AO40)</f>
        <v>0</v>
      </c>
      <c r="H39" s="229">
        <f ca="1">SUM(DevBdgt!AP40:BA40)</f>
        <v>0</v>
      </c>
      <c r="I39" s="229">
        <f ca="1">SUM(DevBdgt!BB40:BM40)</f>
        <v>0</v>
      </c>
      <c r="J39" s="229">
        <f ca="1">SUM(DevBdgt!BN40:BY40)</f>
        <v>0</v>
      </c>
      <c r="K39" s="229">
        <f ca="1">SUM(DevBdgt!BZ40:CK40)</f>
        <v>0</v>
      </c>
      <c r="L39" s="229">
        <f ca="1">SUM(DevBdgt!CL40:CW40)</f>
        <v>0</v>
      </c>
      <c r="M39" s="229">
        <f ca="1">SUM(DevBdgt!CX40:DI40)</f>
        <v>0</v>
      </c>
      <c r="N39" s="229">
        <f ca="1">SUM(DevBdgt!DJ40:DU40)</f>
        <v>0</v>
      </c>
      <c r="O39" s="229">
        <f t="shared" ca="1" si="5"/>
        <v>329080.53404430853</v>
      </c>
    </row>
    <row r="40" spans="1:15" x14ac:dyDescent="0.3">
      <c r="A40" s="413" t="str">
        <f>DevBdgt!A41</f>
        <v>Overhead &amp; Administration Fees</v>
      </c>
      <c r="D40" s="229">
        <f>DevBdgt!E41</f>
        <v>0</v>
      </c>
      <c r="E40" s="229">
        <f ca="1">SUM(DevBdgt!F41:Q41)</f>
        <v>1275869.9878556028</v>
      </c>
      <c r="F40" s="229">
        <f ca="1">SUM(DevBdgt!R41:AC41)</f>
        <v>1275869.9878556028</v>
      </c>
      <c r="G40" s="229">
        <f ca="1">SUM(DevBdgt!AD41:AO41)</f>
        <v>106322.4989879669</v>
      </c>
      <c r="H40" s="229">
        <f>SUM(DevBdgt!AP41:BA41)</f>
        <v>0</v>
      </c>
      <c r="I40" s="229">
        <f>SUM(DevBdgt!BB41:BM41)</f>
        <v>0</v>
      </c>
      <c r="J40" s="229">
        <f>SUM(DevBdgt!BN41:BY41)</f>
        <v>0</v>
      </c>
      <c r="K40" s="229">
        <f>SUM(DevBdgt!BZ41:CK41)</f>
        <v>0</v>
      </c>
      <c r="L40" s="229">
        <f>SUM(DevBdgt!CL41:CW41)</f>
        <v>0</v>
      </c>
      <c r="M40" s="229">
        <f>SUM(DevBdgt!CX41:DI41)</f>
        <v>0</v>
      </c>
      <c r="N40" s="229">
        <f>SUM(DevBdgt!DJ41:DU41)</f>
        <v>0</v>
      </c>
      <c r="O40" s="229">
        <f t="shared" ca="1" si="5"/>
        <v>2658062.4746991722</v>
      </c>
    </row>
    <row r="41" spans="1:15" x14ac:dyDescent="0.3">
      <c r="A41" s="413" t="str">
        <f>DevBdgt!A42</f>
        <v>Permits &amp; Fees</v>
      </c>
      <c r="D41" s="229">
        <f>DevBdgt!E42</f>
        <v>0</v>
      </c>
      <c r="E41" s="229">
        <f>SUM(DevBdgt!F42:Q42)</f>
        <v>4459158.9889518414</v>
      </c>
      <c r="F41" s="229">
        <f>SUM(DevBdgt!R42:AC42)</f>
        <v>0</v>
      </c>
      <c r="G41" s="229">
        <f>SUM(DevBdgt!AD42:AO42)</f>
        <v>0</v>
      </c>
      <c r="H41" s="229">
        <f>SUM(DevBdgt!AP42:BA42)</f>
        <v>0</v>
      </c>
      <c r="I41" s="229">
        <f>SUM(DevBdgt!BB42:BM42)</f>
        <v>0</v>
      </c>
      <c r="J41" s="229">
        <f>SUM(DevBdgt!BN42:BY42)</f>
        <v>0</v>
      </c>
      <c r="K41" s="229">
        <f>SUM(DevBdgt!BZ42:CK42)</f>
        <v>0</v>
      </c>
      <c r="L41" s="229">
        <f>SUM(DevBdgt!CL42:CW42)</f>
        <v>0</v>
      </c>
      <c r="M41" s="229">
        <f>SUM(DevBdgt!CX42:DI42)</f>
        <v>0</v>
      </c>
      <c r="N41" s="229">
        <f>SUM(DevBdgt!DJ42:DU42)</f>
        <v>0</v>
      </c>
      <c r="O41" s="229">
        <f t="shared" si="5"/>
        <v>4459158.9889518414</v>
      </c>
    </row>
    <row r="42" spans="1:15" x14ac:dyDescent="0.3">
      <c r="A42" s="206" t="str">
        <f>DevBdgt!A43</f>
        <v>Soft Cost Contingency</v>
      </c>
      <c r="D42" s="229">
        <f ca="1">DevBdgt!E43</f>
        <v>0</v>
      </c>
      <c r="E42" s="229">
        <f ca="1">SUM(DevBdgt!F43:Q43)</f>
        <v>399054.03281263245</v>
      </c>
      <c r="F42" s="229">
        <f ca="1">SUM(DevBdgt!R43:AC43)</f>
        <v>448920.27043971099</v>
      </c>
      <c r="G42" s="229">
        <f ca="1">SUM(DevBdgt!AD43:AO43)</f>
        <v>8503.269153532472</v>
      </c>
      <c r="H42" s="229">
        <f ca="1">SUM(DevBdgt!AP43:BA43)</f>
        <v>0</v>
      </c>
      <c r="I42" s="229">
        <f ca="1">SUM(DevBdgt!BB43:BM43)</f>
        <v>0</v>
      </c>
      <c r="J42" s="229">
        <f ca="1">SUM(DevBdgt!BN43:BY43)</f>
        <v>0</v>
      </c>
      <c r="K42" s="229">
        <f ca="1">SUM(DevBdgt!BZ43:CK43)</f>
        <v>0</v>
      </c>
      <c r="L42" s="229">
        <f ca="1">SUM(DevBdgt!CL43:CW43)</f>
        <v>0</v>
      </c>
      <c r="M42" s="229">
        <f ca="1">SUM(DevBdgt!CX43:DI43)</f>
        <v>0</v>
      </c>
      <c r="N42" s="229">
        <f ca="1">SUM(DevBdgt!DJ43:DU43)</f>
        <v>0</v>
      </c>
      <c r="O42" s="229">
        <f ca="1">SUM(D42:N42)</f>
        <v>856477.57240587589</v>
      </c>
    </row>
    <row r="43" spans="1:15" x14ac:dyDescent="0.3">
      <c r="A43" s="428" t="s">
        <v>817</v>
      </c>
    </row>
    <row r="44" spans="1:15" x14ac:dyDescent="0.3">
      <c r="A44" s="413" t="str">
        <f>DevBdgt!A45</f>
        <v>Hard Costs</v>
      </c>
      <c r="D44" s="229">
        <f>DevBdgt!E45</f>
        <v>0</v>
      </c>
      <c r="E44" s="229">
        <f>SUM(DevBdgt!F45:Q45)</f>
        <v>24218798.463107686</v>
      </c>
      <c r="F44" s="229">
        <f>SUM(DevBdgt!R45:AC45)</f>
        <v>27245206.568023901</v>
      </c>
      <c r="G44" s="229">
        <f>SUM(DevBdgt!AD45:AO45)</f>
        <v>516067.86292937328</v>
      </c>
      <c r="H44" s="229">
        <f>SUM(DevBdgt!AP45:BA45)</f>
        <v>0</v>
      </c>
      <c r="I44" s="229">
        <f>SUM(DevBdgt!BB45:BM45)</f>
        <v>0</v>
      </c>
      <c r="J44" s="229">
        <f>SUM(DevBdgt!BN45:BY45)</f>
        <v>0</v>
      </c>
      <c r="K44" s="229">
        <f>SUM(DevBdgt!BZ45:CK45)</f>
        <v>0</v>
      </c>
      <c r="L44" s="229">
        <f>SUM(DevBdgt!CL45:CW45)</f>
        <v>0</v>
      </c>
      <c r="M44" s="229">
        <f>SUM(DevBdgt!CX45:DI45)</f>
        <v>0</v>
      </c>
      <c r="N44" s="229">
        <f>SUM(DevBdgt!DJ45:DU45)</f>
        <v>0</v>
      </c>
      <c r="O44" s="229">
        <f>SUM(D44:N44)</f>
        <v>51980072.894060962</v>
      </c>
    </row>
    <row r="45" spans="1:15" x14ac:dyDescent="0.3">
      <c r="A45" s="413" t="str">
        <f>DevBdgt!A46</f>
        <v>Hard Cost Contingency</v>
      </c>
      <c r="D45" s="229">
        <f>DevBdgt!E46</f>
        <v>0</v>
      </c>
      <c r="E45" s="229">
        <f>SUM(DevBdgt!F46:Q46)</f>
        <v>1210939.9231553846</v>
      </c>
      <c r="F45" s="229">
        <f>SUM(DevBdgt!R46:AC46)</f>
        <v>1362260.3284011951</v>
      </c>
      <c r="G45" s="229">
        <f>SUM(DevBdgt!AD46:AO46)</f>
        <v>25803.393146468665</v>
      </c>
      <c r="H45" s="229">
        <f>SUM(DevBdgt!AP46:BA46)</f>
        <v>0</v>
      </c>
      <c r="I45" s="229">
        <f>SUM(DevBdgt!BB46:BM46)</f>
        <v>0</v>
      </c>
      <c r="J45" s="229">
        <f>SUM(DevBdgt!BN46:BY46)</f>
        <v>0</v>
      </c>
      <c r="K45" s="229">
        <f>SUM(DevBdgt!BZ46:CK46)</f>
        <v>0</v>
      </c>
      <c r="L45" s="229">
        <f>SUM(DevBdgt!CL46:CW46)</f>
        <v>0</v>
      </c>
      <c r="M45" s="229">
        <f>SUM(DevBdgt!CX46:DI46)</f>
        <v>0</v>
      </c>
      <c r="N45" s="229">
        <f>SUM(DevBdgt!DJ46:DU46)</f>
        <v>0</v>
      </c>
      <c r="O45" s="229">
        <f>SUM(D45:N45)</f>
        <v>2599003.6447030487</v>
      </c>
    </row>
    <row r="46" spans="1:15" x14ac:dyDescent="0.3">
      <c r="A46" s="512" t="str">
        <f>DevBdgt!A47</f>
        <v>Commercial (TI, Legal &amp; Commissions)</v>
      </c>
      <c r="D46" s="229">
        <f>DevBdgt!E47</f>
        <v>0</v>
      </c>
      <c r="E46" s="229">
        <f>SUM(DevBdgt!F47:Q47)</f>
        <v>0</v>
      </c>
      <c r="F46" s="229">
        <f>SUM(DevBdgt!R47:AC47)</f>
        <v>0</v>
      </c>
      <c r="G46" s="229">
        <f>SUM(DevBdgt!AD47:AO47)</f>
        <v>0</v>
      </c>
      <c r="H46" s="229">
        <f>SUM(DevBdgt!AP47:BA47)</f>
        <v>0</v>
      </c>
      <c r="I46" s="229">
        <f>SUM(DevBdgt!BB47:BM47)</f>
        <v>0</v>
      </c>
      <c r="J46" s="229">
        <f>SUM(DevBdgt!BN47:BY47)</f>
        <v>0</v>
      </c>
      <c r="K46" s="229">
        <f>SUM(DevBdgt!BZ47:CK47)</f>
        <v>0</v>
      </c>
      <c r="L46" s="229">
        <f>SUM(DevBdgt!CL47:CW47)</f>
        <v>0</v>
      </c>
      <c r="M46" s="229">
        <f>SUM(DevBdgt!CX47:DI47)</f>
        <v>0</v>
      </c>
      <c r="N46" s="229">
        <f>SUM(DevBdgt!DJ47:DU47)</f>
        <v>0</v>
      </c>
      <c r="O46" s="229">
        <f>SUM(D46:N46)</f>
        <v>0</v>
      </c>
    </row>
    <row r="47" spans="1:15" x14ac:dyDescent="0.3">
      <c r="A47" s="640" t="str">
        <f>DevBdgt!A48</f>
        <v>DEVELOPMENT BUDGET</v>
      </c>
      <c r="B47" s="246"/>
      <c r="C47" s="246"/>
      <c r="D47" s="247">
        <f ca="1">DevBdgt!E48</f>
        <v>1872006.9504114862</v>
      </c>
      <c r="E47" s="247">
        <f ca="1">SUM(E29:E46)</f>
        <v>42943023.86725381</v>
      </c>
      <c r="F47" s="247">
        <f t="shared" ref="F47:N47" ca="1" si="6">SUM(F29:F46)</f>
        <v>32466889.240295842</v>
      </c>
      <c r="G47" s="247">
        <f t="shared" ca="1" si="6"/>
        <v>677704.28421734134</v>
      </c>
      <c r="H47" s="247">
        <f t="shared" ca="1" si="6"/>
        <v>0</v>
      </c>
      <c r="I47" s="247">
        <f t="shared" ca="1" si="6"/>
        <v>0</v>
      </c>
      <c r="J47" s="247">
        <f t="shared" ca="1" si="6"/>
        <v>0</v>
      </c>
      <c r="K47" s="247">
        <f t="shared" ca="1" si="6"/>
        <v>0</v>
      </c>
      <c r="L47" s="247">
        <f t="shared" ca="1" si="6"/>
        <v>0</v>
      </c>
      <c r="M47" s="247">
        <f t="shared" ca="1" si="6"/>
        <v>0</v>
      </c>
      <c r="N47" s="247">
        <f t="shared" ca="1" si="6"/>
        <v>0</v>
      </c>
      <c r="O47" s="247">
        <f ca="1">SUM(O29:O46)</f>
        <v>77959624.342178479</v>
      </c>
    </row>
    <row r="48" spans="1:15" ht="15" thickBot="1" x14ac:dyDescent="0.35">
      <c r="A48" s="641" t="str">
        <f>DevBdgt!A49</f>
        <v>CUMULATIVE</v>
      </c>
      <c r="B48" s="248"/>
      <c r="C48" s="248"/>
      <c r="D48" s="250">
        <f ca="1">D47</f>
        <v>1872006.9504114862</v>
      </c>
      <c r="E48" s="250">
        <f ca="1">E47+D48</f>
        <v>44815030.817665294</v>
      </c>
      <c r="F48" s="250">
        <f t="shared" ref="F48:N48" ca="1" si="7">F47+E48</f>
        <v>77281920.057961136</v>
      </c>
      <c r="G48" s="250">
        <f t="shared" ca="1" si="7"/>
        <v>77959624.342178479</v>
      </c>
      <c r="H48" s="250">
        <f t="shared" ca="1" si="7"/>
        <v>77959624.342178479</v>
      </c>
      <c r="I48" s="250">
        <f t="shared" ca="1" si="7"/>
        <v>77959624.342178479</v>
      </c>
      <c r="J48" s="250">
        <f t="shared" ca="1" si="7"/>
        <v>77959624.342178479</v>
      </c>
      <c r="K48" s="250">
        <f t="shared" ca="1" si="7"/>
        <v>77959624.342178479</v>
      </c>
      <c r="L48" s="250">
        <f t="shared" ca="1" si="7"/>
        <v>77959624.342178479</v>
      </c>
      <c r="M48" s="250">
        <f t="shared" ca="1" si="7"/>
        <v>77959624.342178479</v>
      </c>
      <c r="N48" s="250">
        <f t="shared" ca="1" si="7"/>
        <v>77959624.342178479</v>
      </c>
      <c r="O48" s="250">
        <f ca="1">N48</f>
        <v>77959624.342178479</v>
      </c>
    </row>
    <row r="49" ht="15" thickTop="1" x14ac:dyDescent="0.3"/>
  </sheetData>
  <sheetProtection algorithmName="SHA-512" hashValue="Igm8TQGPkKf2yjS3owJOSbztqAlQJpe6efEi/cX9FRpuGlmaQdxbun8Kn6Th1TBwUSUm/5IUHYoS2rUWU0q2bA==" saltValue="RDCgl+l7W0K9h5PBG1nazQ==" spinCount="100000" sheet="1" objects="1" scenarios="1"/>
  <pageMargins left="0.25" right="0.25" top="0.4" bottom="0.4" header="0.3" footer="0.3"/>
  <pageSetup scale="60" pageOrder="overThenDown" orientation="landscape" r:id="rId1"/>
  <headerFooter>
    <oddHeader>&amp;C&amp;"Garamond,Bold Italic"&amp;14Development Budget&amp;"Garamond,Italic"
(Annual Detail)&amp;R&amp;"Garamond,Regular"&amp;10Printed: &amp;D &amp;T</oddHeader>
    <oddFooter>&amp;R&amp;"Garamond,Regular"&amp;10Page &amp;P of &amp;N</oddFooter>
  </headerFooter>
  <extLst>
    <ext xmlns:x14="http://schemas.microsoft.com/office/spreadsheetml/2009/9/main" uri="{78C0D931-6437-407d-A8EE-F0AAD7539E65}">
      <x14:conditionalFormattings>
        <x14:conditionalFormatting xmlns:xm="http://schemas.microsoft.com/office/excel/2006/main">
          <x14:cfRule type="expression" priority="1" id="{184AF90D-3AD1-4A1B-BE8B-D15CE13CC3FD}">
            <xm:f>'Operating Inputs'!$C$110=0</xm:f>
            <x14:dxf>
              <font>
                <color theme="0" tint="-0.24994659260841701"/>
              </font>
            </x14:dxf>
          </x14:cfRule>
          <xm:sqref>A46:O46</xm:sqref>
        </x14:conditionalFormatting>
      </x14:conditionalFormatting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
    <tabColor theme="6" tint="0.79998168889431442"/>
  </sheetPr>
  <dimension ref="A1:EL69"/>
  <sheetViews>
    <sheetView showGridLines="0" zoomScale="85" zoomScaleNormal="85" workbookViewId="0">
      <pane xSplit="4" ySplit="8" topLeftCell="E9" activePane="bottomRight" state="frozen"/>
      <selection pane="topRight"/>
      <selection pane="bottomLeft"/>
      <selection pane="bottomRight"/>
    </sheetView>
  </sheetViews>
  <sheetFormatPr defaultColWidth="13.6640625" defaultRowHeight="14.4" x14ac:dyDescent="0.3"/>
  <cols>
    <col min="1" max="2" width="13.6640625" customWidth="1"/>
    <col min="3" max="3" width="12" bestFit="1" customWidth="1"/>
    <col min="4" max="4" width="12.6640625" style="282" hidden="1" customWidth="1"/>
    <col min="5" max="5" width="12.6640625" bestFit="1" customWidth="1"/>
    <col min="12" max="12" width="13.6640625" customWidth="1"/>
    <col min="14" max="14" width="13.6640625" customWidth="1"/>
    <col min="139" max="139" width="15.33203125" bestFit="1" customWidth="1"/>
  </cols>
  <sheetData>
    <row r="1" spans="1:142" x14ac:dyDescent="0.3">
      <c r="A1" t="s">
        <v>948</v>
      </c>
      <c r="B1" t="str">
        <f>'General Inputs'!B7</f>
        <v>Emblem Meridian</v>
      </c>
    </row>
    <row r="2" spans="1:142" x14ac:dyDescent="0.3">
      <c r="A2" t="s">
        <v>954</v>
      </c>
      <c r="B2" s="229" t="str">
        <f>'General Inputs'!B8&amp;", "&amp;'General Inputs'!D8</f>
        <v>Meridian, Other</v>
      </c>
      <c r="E2" t="str">
        <f t="shared" ref="E2:AO2" si="0">IF(E12+E16&lt;&gt;E20,"Alert","")</f>
        <v/>
      </c>
      <c r="F2" t="str">
        <f t="shared" si="0"/>
        <v/>
      </c>
      <c r="G2" t="str">
        <f t="shared" si="0"/>
        <v/>
      </c>
      <c r="H2" t="str">
        <f t="shared" si="0"/>
        <v/>
      </c>
      <c r="I2" t="str">
        <f t="shared" si="0"/>
        <v/>
      </c>
      <c r="K2" t="str">
        <f t="shared" si="0"/>
        <v/>
      </c>
      <c r="L2" t="str">
        <f t="shared" si="0"/>
        <v/>
      </c>
      <c r="M2" t="str">
        <f t="shared" si="0"/>
        <v/>
      </c>
      <c r="N2" t="str">
        <f t="shared" si="0"/>
        <v/>
      </c>
      <c r="O2" t="str">
        <f t="shared" si="0"/>
        <v/>
      </c>
      <c r="P2" t="str">
        <f t="shared" si="0"/>
        <v/>
      </c>
      <c r="Q2" t="str">
        <f t="shared" si="0"/>
        <v/>
      </c>
      <c r="R2" t="str">
        <f t="shared" si="0"/>
        <v/>
      </c>
      <c r="S2" t="str">
        <f t="shared" si="0"/>
        <v/>
      </c>
      <c r="T2" t="str">
        <f t="shared" si="0"/>
        <v/>
      </c>
      <c r="U2" t="str">
        <f t="shared" si="0"/>
        <v/>
      </c>
      <c r="V2" t="str">
        <f t="shared" si="0"/>
        <v/>
      </c>
      <c r="W2" t="str">
        <f t="shared" si="0"/>
        <v/>
      </c>
      <c r="X2" t="str">
        <f t="shared" si="0"/>
        <v/>
      </c>
      <c r="Y2" t="str">
        <f t="shared" si="0"/>
        <v/>
      </c>
      <c r="Z2" t="str">
        <f t="shared" si="0"/>
        <v/>
      </c>
      <c r="AA2" t="str">
        <f t="shared" si="0"/>
        <v/>
      </c>
      <c r="AB2" t="str">
        <f t="shared" si="0"/>
        <v/>
      </c>
      <c r="AC2" t="str">
        <f t="shared" si="0"/>
        <v/>
      </c>
      <c r="AD2" t="str">
        <f t="shared" si="0"/>
        <v/>
      </c>
      <c r="AE2" t="str">
        <f t="shared" si="0"/>
        <v/>
      </c>
      <c r="AF2" t="str">
        <f t="shared" si="0"/>
        <v/>
      </c>
      <c r="AG2" t="str">
        <f t="shared" si="0"/>
        <v/>
      </c>
      <c r="AH2" t="str">
        <f t="shared" si="0"/>
        <v/>
      </c>
      <c r="AI2" t="str">
        <f t="shared" si="0"/>
        <v/>
      </c>
      <c r="AJ2" t="str">
        <f t="shared" si="0"/>
        <v/>
      </c>
      <c r="AK2" t="str">
        <f t="shared" si="0"/>
        <v/>
      </c>
      <c r="AL2" t="str">
        <f t="shared" si="0"/>
        <v/>
      </c>
      <c r="AM2" t="str">
        <f t="shared" si="0"/>
        <v/>
      </c>
      <c r="AN2" t="str">
        <f t="shared" si="0"/>
        <v/>
      </c>
      <c r="AO2" t="str">
        <f t="shared" si="0"/>
        <v/>
      </c>
    </row>
    <row r="3" spans="1:142" x14ac:dyDescent="0.3">
      <c r="A3" t="s">
        <v>961</v>
      </c>
      <c r="B3" s="584">
        <f>'General Inputs'!$B$10</f>
        <v>46248</v>
      </c>
      <c r="C3" s="585">
        <f>'General Inputs'!C10</f>
        <v>0.67652777777777773</v>
      </c>
      <c r="E3" s="388"/>
      <c r="F3" s="388"/>
      <c r="G3" s="388"/>
      <c r="H3" s="388"/>
      <c r="I3" s="388"/>
      <c r="J3" s="642"/>
      <c r="K3" s="642"/>
      <c r="L3" s="642"/>
      <c r="M3" s="642"/>
      <c r="N3" s="642"/>
      <c r="O3" s="642"/>
      <c r="P3" s="642"/>
      <c r="Q3" s="642"/>
      <c r="R3" s="642"/>
      <c r="S3" s="642"/>
      <c r="T3" s="642"/>
      <c r="U3" s="642"/>
      <c r="V3" s="642"/>
      <c r="W3" s="642"/>
      <c r="X3" s="642"/>
      <c r="Y3" s="642"/>
      <c r="Z3" s="642"/>
      <c r="AA3" s="642"/>
      <c r="AB3" s="642"/>
      <c r="AC3" s="642"/>
      <c r="AD3" s="642"/>
      <c r="AE3" s="642"/>
      <c r="AF3" s="642"/>
      <c r="AG3" s="642"/>
      <c r="AH3" s="642"/>
      <c r="AI3" s="642"/>
      <c r="AJ3" s="642"/>
      <c r="AK3" s="642"/>
      <c r="AL3" s="642"/>
      <c r="AM3" s="642"/>
      <c r="AN3" s="642"/>
      <c r="AO3" s="642"/>
      <c r="AP3" s="642"/>
      <c r="AQ3" s="642"/>
      <c r="AR3" s="642"/>
      <c r="AS3" s="642"/>
      <c r="AT3" s="642"/>
      <c r="AU3" s="642"/>
      <c r="AV3" s="642"/>
      <c r="AW3" s="642"/>
      <c r="AX3" s="642"/>
      <c r="AY3" s="642"/>
      <c r="AZ3" s="642"/>
      <c r="BA3" s="642"/>
      <c r="BB3" s="642"/>
      <c r="BC3" s="642"/>
      <c r="BD3" s="642"/>
      <c r="BE3" s="642"/>
      <c r="BF3" s="642"/>
      <c r="BG3" s="642"/>
      <c r="BH3" s="642"/>
      <c r="BI3" s="642"/>
      <c r="BJ3" s="642"/>
      <c r="BK3" s="642"/>
      <c r="BL3" s="642"/>
      <c r="BM3" s="642"/>
      <c r="BN3" s="642"/>
      <c r="BO3" s="642"/>
      <c r="BP3" s="642"/>
      <c r="BQ3" s="642"/>
      <c r="BR3" s="642"/>
      <c r="BS3" s="642"/>
      <c r="BT3" s="642"/>
      <c r="BU3" s="642"/>
      <c r="BV3" s="642"/>
      <c r="BW3" s="642"/>
      <c r="BX3" s="642"/>
      <c r="BY3" s="642"/>
      <c r="BZ3" s="642"/>
      <c r="CA3" s="642"/>
      <c r="CB3" s="642"/>
      <c r="CC3" s="642"/>
      <c r="CD3" s="642"/>
      <c r="CE3" s="642"/>
      <c r="CF3" s="642"/>
      <c r="CG3" s="642"/>
      <c r="CH3" s="642"/>
      <c r="CI3" s="642"/>
      <c r="CJ3" s="642"/>
      <c r="CK3" s="642"/>
      <c r="CL3" s="642"/>
      <c r="CM3" s="642"/>
      <c r="CN3" s="642"/>
      <c r="CO3" s="642"/>
      <c r="CP3" s="642"/>
      <c r="CQ3" s="642"/>
      <c r="CR3" s="642"/>
      <c r="CS3" s="642"/>
      <c r="CT3" s="642"/>
      <c r="CU3" s="642"/>
      <c r="CV3" s="642"/>
      <c r="CW3" s="642"/>
      <c r="CX3" s="642"/>
      <c r="CY3" s="642"/>
      <c r="CZ3" s="642"/>
      <c r="DA3" s="642"/>
      <c r="DB3" s="642"/>
      <c r="DC3" s="642"/>
      <c r="DD3" s="642"/>
      <c r="DE3" s="642"/>
      <c r="DF3" s="642"/>
      <c r="DG3" s="642"/>
      <c r="DH3" s="642"/>
      <c r="DI3" s="642"/>
      <c r="DJ3" s="642"/>
      <c r="DK3" s="642"/>
      <c r="DL3" s="642"/>
      <c r="DM3" s="642"/>
      <c r="DN3" s="642"/>
      <c r="DO3" s="642"/>
      <c r="DP3" s="642"/>
      <c r="DQ3" s="642"/>
      <c r="DR3" s="642"/>
      <c r="DS3" s="642"/>
      <c r="DT3" s="642"/>
      <c r="DU3" s="642"/>
      <c r="DV3" s="642"/>
      <c r="DW3" s="642"/>
      <c r="DX3" s="642"/>
      <c r="DY3" s="642"/>
      <c r="DZ3" s="642"/>
      <c r="EA3" s="642"/>
      <c r="EB3" s="642"/>
      <c r="EC3" s="642"/>
      <c r="ED3" s="642"/>
      <c r="EE3" s="642"/>
      <c r="EF3" s="642"/>
      <c r="EG3" s="642"/>
      <c r="EH3" s="642"/>
      <c r="EJ3" s="642"/>
      <c r="EK3" s="642"/>
      <c r="EL3" s="642"/>
    </row>
    <row r="4" spans="1:142" ht="7.5" customHeight="1" x14ac:dyDescent="0.3">
      <c r="B4" s="584"/>
      <c r="C4" s="585"/>
      <c r="E4" s="388"/>
      <c r="F4" s="388"/>
      <c r="G4" s="388"/>
      <c r="H4" s="388"/>
      <c r="I4" s="388"/>
      <c r="J4" s="642"/>
      <c r="K4" s="642"/>
      <c r="L4" s="642"/>
      <c r="M4" s="642"/>
      <c r="N4" s="642"/>
      <c r="O4" s="642"/>
      <c r="P4" s="642"/>
      <c r="Q4" s="642"/>
      <c r="R4" s="642"/>
      <c r="S4" s="642"/>
      <c r="T4" s="642"/>
      <c r="U4" s="642"/>
      <c r="V4" s="642"/>
      <c r="W4" s="642"/>
      <c r="X4" s="642"/>
      <c r="Y4" s="642"/>
      <c r="Z4" s="642"/>
      <c r="AA4" s="642"/>
      <c r="AB4" s="642"/>
      <c r="AC4" s="642"/>
      <c r="AD4" s="642"/>
      <c r="AE4" s="642"/>
      <c r="AF4" s="642"/>
      <c r="AG4" s="642"/>
      <c r="AH4" s="642"/>
      <c r="AI4" s="642"/>
      <c r="AJ4" s="642"/>
      <c r="AK4" s="642"/>
      <c r="AL4" s="642"/>
      <c r="AM4" s="642"/>
      <c r="AN4" s="642"/>
      <c r="AO4" s="642"/>
      <c r="AP4" s="642"/>
      <c r="AQ4" s="642"/>
      <c r="AR4" s="642"/>
      <c r="AS4" s="642"/>
      <c r="AT4" s="642"/>
      <c r="AU4" s="642"/>
      <c r="AV4" s="642"/>
      <c r="AW4" s="642"/>
      <c r="AX4" s="642"/>
      <c r="AY4" s="642"/>
      <c r="AZ4" s="642"/>
      <c r="BA4" s="642"/>
      <c r="BB4" s="642"/>
      <c r="BC4" s="642"/>
      <c r="BD4" s="642"/>
      <c r="BE4" s="642"/>
      <c r="BF4" s="642"/>
      <c r="BG4" s="642"/>
      <c r="BH4" s="642"/>
      <c r="BI4" s="642"/>
      <c r="BJ4" s="642"/>
      <c r="BK4" s="642"/>
      <c r="BL4" s="642"/>
      <c r="BM4" s="642"/>
      <c r="BN4" s="642"/>
      <c r="BO4" s="642"/>
      <c r="BP4" s="642"/>
      <c r="BQ4" s="642"/>
      <c r="BR4" s="642"/>
      <c r="BS4" s="642"/>
      <c r="BT4" s="642"/>
      <c r="BU4" s="642"/>
      <c r="BV4" s="642"/>
      <c r="BW4" s="642"/>
      <c r="BX4" s="642"/>
      <c r="BY4" s="642"/>
      <c r="BZ4" s="642"/>
      <c r="CA4" s="642"/>
      <c r="CB4" s="642"/>
      <c r="CC4" s="642"/>
      <c r="CD4" s="642"/>
      <c r="CE4" s="642"/>
      <c r="CF4" s="642"/>
      <c r="CG4" s="642"/>
      <c r="CH4" s="642"/>
      <c r="CI4" s="642"/>
      <c r="CJ4" s="642"/>
      <c r="CK4" s="642"/>
      <c r="CL4" s="642"/>
      <c r="CM4" s="642"/>
      <c r="CN4" s="642"/>
      <c r="CO4" s="642"/>
      <c r="CP4" s="642"/>
      <c r="CQ4" s="642"/>
      <c r="CR4" s="642"/>
      <c r="CS4" s="642"/>
      <c r="CT4" s="642"/>
      <c r="CU4" s="642"/>
      <c r="CV4" s="642"/>
      <c r="CW4" s="642"/>
      <c r="CX4" s="642"/>
      <c r="CY4" s="642"/>
      <c r="CZ4" s="642"/>
      <c r="DA4" s="642"/>
      <c r="DB4" s="642"/>
      <c r="DC4" s="642"/>
      <c r="DD4" s="642"/>
      <c r="DE4" s="642"/>
      <c r="DF4" s="642"/>
      <c r="DG4" s="642"/>
      <c r="DH4" s="642"/>
      <c r="DI4" s="642"/>
      <c r="DJ4" s="642"/>
      <c r="DK4" s="642"/>
      <c r="DL4" s="642"/>
      <c r="DM4" s="642"/>
      <c r="DN4" s="642"/>
      <c r="DO4" s="642"/>
      <c r="DP4" s="642"/>
      <c r="DQ4" s="642"/>
      <c r="DR4" s="642"/>
      <c r="DS4" s="642"/>
      <c r="DT4" s="642"/>
      <c r="DU4" s="642"/>
      <c r="DV4" s="642"/>
      <c r="DW4" s="642"/>
      <c r="DX4" s="642"/>
      <c r="DY4" s="642"/>
      <c r="DZ4" s="642"/>
      <c r="EA4" s="642"/>
      <c r="EB4" s="642"/>
      <c r="EC4" s="642"/>
      <c r="ED4" s="642"/>
      <c r="EE4" s="642"/>
      <c r="EF4" s="642"/>
      <c r="EG4" s="642"/>
      <c r="EH4" s="642"/>
      <c r="EJ4" s="642"/>
      <c r="EK4" s="642"/>
      <c r="EL4" s="642"/>
    </row>
    <row r="5" spans="1:142" s="200" customFormat="1" hidden="1" x14ac:dyDescent="0.3">
      <c r="D5" s="282"/>
      <c r="E5" s="643">
        <f t="shared" ref="E5:AJ5" si="1">E7</f>
        <v>46631</v>
      </c>
      <c r="F5" s="643">
        <f t="shared" si="1"/>
        <v>46661</v>
      </c>
      <c r="G5" s="643">
        <f t="shared" si="1"/>
        <v>46692</v>
      </c>
      <c r="H5" s="643">
        <f t="shared" si="1"/>
        <v>46722</v>
      </c>
      <c r="I5" s="643">
        <f t="shared" si="1"/>
        <v>46753</v>
      </c>
      <c r="J5" s="643">
        <f t="shared" si="1"/>
        <v>46784</v>
      </c>
      <c r="K5" s="643">
        <f t="shared" si="1"/>
        <v>46813</v>
      </c>
      <c r="L5" s="643">
        <f t="shared" si="1"/>
        <v>46844</v>
      </c>
      <c r="M5" s="643">
        <f t="shared" si="1"/>
        <v>46874</v>
      </c>
      <c r="N5" s="643">
        <f t="shared" si="1"/>
        <v>46905</v>
      </c>
      <c r="O5" s="643">
        <f t="shared" si="1"/>
        <v>46935</v>
      </c>
      <c r="P5" s="643">
        <f t="shared" si="1"/>
        <v>46966</v>
      </c>
      <c r="Q5" s="643">
        <f t="shared" si="1"/>
        <v>46997</v>
      </c>
      <c r="R5" s="643">
        <f t="shared" si="1"/>
        <v>47027</v>
      </c>
      <c r="S5" s="643">
        <f t="shared" si="1"/>
        <v>47058</v>
      </c>
      <c r="T5" s="643">
        <f t="shared" si="1"/>
        <v>47088</v>
      </c>
      <c r="U5" s="643">
        <f t="shared" si="1"/>
        <v>47119</v>
      </c>
      <c r="V5" s="643">
        <f t="shared" si="1"/>
        <v>47150</v>
      </c>
      <c r="W5" s="643">
        <f t="shared" si="1"/>
        <v>47178</v>
      </c>
      <c r="X5" s="643">
        <f t="shared" si="1"/>
        <v>47209</v>
      </c>
      <c r="Y5" s="643">
        <f t="shared" si="1"/>
        <v>47239</v>
      </c>
      <c r="Z5" s="643">
        <f t="shared" si="1"/>
        <v>47270</v>
      </c>
      <c r="AA5" s="643">
        <f t="shared" si="1"/>
        <v>47300</v>
      </c>
      <c r="AB5" s="643">
        <f t="shared" si="1"/>
        <v>47331</v>
      </c>
      <c r="AC5" s="643">
        <f t="shared" si="1"/>
        <v>47362</v>
      </c>
      <c r="AD5" s="643">
        <f t="shared" si="1"/>
        <v>47392</v>
      </c>
      <c r="AE5" s="643">
        <f t="shared" si="1"/>
        <v>47423</v>
      </c>
      <c r="AF5" s="643">
        <f t="shared" si="1"/>
        <v>47453</v>
      </c>
      <c r="AG5" s="643">
        <f t="shared" si="1"/>
        <v>47484</v>
      </c>
      <c r="AH5" s="643">
        <f t="shared" si="1"/>
        <v>47515</v>
      </c>
      <c r="AI5" s="643">
        <f t="shared" si="1"/>
        <v>47543</v>
      </c>
      <c r="AJ5" s="643">
        <f t="shared" si="1"/>
        <v>47574</v>
      </c>
      <c r="AK5" s="643">
        <f t="shared" ref="AK5:BP5" si="2">AK7</f>
        <v>47604</v>
      </c>
      <c r="AL5" s="643">
        <f t="shared" si="2"/>
        <v>47635</v>
      </c>
      <c r="AM5" s="643">
        <f t="shared" si="2"/>
        <v>47665</v>
      </c>
      <c r="AN5" s="643">
        <f t="shared" si="2"/>
        <v>47696</v>
      </c>
      <c r="AO5" s="643">
        <f t="shared" si="2"/>
        <v>47727</v>
      </c>
      <c r="AP5" s="643">
        <f t="shared" si="2"/>
        <v>47757</v>
      </c>
      <c r="AQ5" s="643">
        <f t="shared" si="2"/>
        <v>47788</v>
      </c>
      <c r="AR5" s="643">
        <f t="shared" si="2"/>
        <v>47818</v>
      </c>
      <c r="AS5" s="643">
        <f t="shared" si="2"/>
        <v>47849</v>
      </c>
      <c r="AT5" s="643">
        <f t="shared" si="2"/>
        <v>47880</v>
      </c>
      <c r="AU5" s="643">
        <f t="shared" si="2"/>
        <v>47908</v>
      </c>
      <c r="AV5" s="643">
        <f t="shared" si="2"/>
        <v>47939</v>
      </c>
      <c r="AW5" s="643">
        <f t="shared" si="2"/>
        <v>47969</v>
      </c>
      <c r="AX5" s="643">
        <f t="shared" si="2"/>
        <v>48000</v>
      </c>
      <c r="AY5" s="643">
        <f t="shared" si="2"/>
        <v>48030</v>
      </c>
      <c r="AZ5" s="643">
        <f t="shared" si="2"/>
        <v>48061</v>
      </c>
      <c r="BA5" s="643">
        <f t="shared" si="2"/>
        <v>48092</v>
      </c>
      <c r="BB5" s="643">
        <f t="shared" si="2"/>
        <v>48122</v>
      </c>
      <c r="BC5" s="643">
        <f t="shared" si="2"/>
        <v>48153</v>
      </c>
      <c r="BD5" s="643">
        <f t="shared" si="2"/>
        <v>48183</v>
      </c>
      <c r="BE5" s="643">
        <f t="shared" si="2"/>
        <v>48214</v>
      </c>
      <c r="BF5" s="643">
        <f t="shared" si="2"/>
        <v>48245</v>
      </c>
      <c r="BG5" s="643">
        <f t="shared" si="2"/>
        <v>48274</v>
      </c>
      <c r="BH5" s="643">
        <f t="shared" si="2"/>
        <v>48305</v>
      </c>
      <c r="BI5" s="643">
        <f t="shared" si="2"/>
        <v>48335</v>
      </c>
      <c r="BJ5" s="643">
        <f t="shared" si="2"/>
        <v>48366</v>
      </c>
      <c r="BK5" s="643">
        <f t="shared" si="2"/>
        <v>48396</v>
      </c>
      <c r="BL5" s="643">
        <f t="shared" si="2"/>
        <v>48427</v>
      </c>
      <c r="BM5" s="643">
        <f t="shared" si="2"/>
        <v>48458</v>
      </c>
      <c r="BN5" s="643">
        <f t="shared" si="2"/>
        <v>48488</v>
      </c>
      <c r="BO5" s="643">
        <f t="shared" si="2"/>
        <v>48519</v>
      </c>
      <c r="BP5" s="643">
        <f t="shared" si="2"/>
        <v>48549</v>
      </c>
      <c r="BQ5" s="643">
        <f t="shared" ref="BQ5:CV5" si="3">BQ7</f>
        <v>48580</v>
      </c>
      <c r="BR5" s="643">
        <f t="shared" si="3"/>
        <v>48611</v>
      </c>
      <c r="BS5" s="643">
        <f t="shared" si="3"/>
        <v>48639</v>
      </c>
      <c r="BT5" s="643">
        <f t="shared" si="3"/>
        <v>48670</v>
      </c>
      <c r="BU5" s="643">
        <f t="shared" si="3"/>
        <v>48700</v>
      </c>
      <c r="BV5" s="643">
        <f t="shared" si="3"/>
        <v>48731</v>
      </c>
      <c r="BW5" s="643">
        <f t="shared" si="3"/>
        <v>48761</v>
      </c>
      <c r="BX5" s="643">
        <f t="shared" si="3"/>
        <v>48792</v>
      </c>
      <c r="BY5" s="643">
        <f t="shared" si="3"/>
        <v>48823</v>
      </c>
      <c r="BZ5" s="643">
        <f t="shared" si="3"/>
        <v>48853</v>
      </c>
      <c r="CA5" s="643">
        <f t="shared" si="3"/>
        <v>48884</v>
      </c>
      <c r="CB5" s="643">
        <f t="shared" si="3"/>
        <v>48914</v>
      </c>
      <c r="CC5" s="643">
        <f t="shared" si="3"/>
        <v>48945</v>
      </c>
      <c r="CD5" s="643">
        <f t="shared" si="3"/>
        <v>48976</v>
      </c>
      <c r="CE5" s="643">
        <f t="shared" si="3"/>
        <v>49004</v>
      </c>
      <c r="CF5" s="643">
        <f t="shared" si="3"/>
        <v>49035</v>
      </c>
      <c r="CG5" s="643">
        <f t="shared" si="3"/>
        <v>49065</v>
      </c>
      <c r="CH5" s="643">
        <f t="shared" si="3"/>
        <v>49096</v>
      </c>
      <c r="CI5" s="643">
        <f t="shared" si="3"/>
        <v>49126</v>
      </c>
      <c r="CJ5" s="643">
        <f t="shared" si="3"/>
        <v>49157</v>
      </c>
      <c r="CK5" s="643">
        <f t="shared" si="3"/>
        <v>49188</v>
      </c>
      <c r="CL5" s="643">
        <f t="shared" si="3"/>
        <v>49218</v>
      </c>
      <c r="CM5" s="643">
        <f t="shared" si="3"/>
        <v>49249</v>
      </c>
      <c r="CN5" s="643">
        <f t="shared" si="3"/>
        <v>49279</v>
      </c>
      <c r="CO5" s="643">
        <f t="shared" si="3"/>
        <v>49310</v>
      </c>
      <c r="CP5" s="643">
        <f t="shared" si="3"/>
        <v>49341</v>
      </c>
      <c r="CQ5" s="643">
        <f t="shared" si="3"/>
        <v>49369</v>
      </c>
      <c r="CR5" s="643">
        <f t="shared" si="3"/>
        <v>49400</v>
      </c>
      <c r="CS5" s="643">
        <f t="shared" si="3"/>
        <v>49430</v>
      </c>
      <c r="CT5" s="643">
        <f t="shared" si="3"/>
        <v>49461</v>
      </c>
      <c r="CU5" s="643">
        <f t="shared" si="3"/>
        <v>49491</v>
      </c>
      <c r="CV5" s="643">
        <f t="shared" si="3"/>
        <v>49522</v>
      </c>
      <c r="CW5" s="643">
        <f t="shared" ref="CW5:EG5" si="4">CW7</f>
        <v>49553</v>
      </c>
      <c r="CX5" s="643">
        <f t="shared" si="4"/>
        <v>49583</v>
      </c>
      <c r="CY5" s="643">
        <f t="shared" si="4"/>
        <v>49614</v>
      </c>
      <c r="CZ5" s="643">
        <f t="shared" si="4"/>
        <v>49644</v>
      </c>
      <c r="DA5" s="643">
        <f t="shared" si="4"/>
        <v>49675</v>
      </c>
      <c r="DB5" s="643">
        <f t="shared" si="4"/>
        <v>49706</v>
      </c>
      <c r="DC5" s="643">
        <f t="shared" si="4"/>
        <v>49735</v>
      </c>
      <c r="DD5" s="643">
        <f t="shared" si="4"/>
        <v>49766</v>
      </c>
      <c r="DE5" s="643">
        <f t="shared" si="4"/>
        <v>49796</v>
      </c>
      <c r="DF5" s="643">
        <f t="shared" si="4"/>
        <v>49827</v>
      </c>
      <c r="DG5" s="643">
        <f t="shared" si="4"/>
        <v>49857</v>
      </c>
      <c r="DH5" s="643">
        <f t="shared" si="4"/>
        <v>49888</v>
      </c>
      <c r="DI5" s="643">
        <f t="shared" si="4"/>
        <v>49919</v>
      </c>
      <c r="DJ5" s="643">
        <f t="shared" si="4"/>
        <v>49949</v>
      </c>
      <c r="DK5" s="643">
        <f t="shared" si="4"/>
        <v>49980</v>
      </c>
      <c r="DL5" s="643">
        <f t="shared" si="4"/>
        <v>50010</v>
      </c>
      <c r="DM5" s="643">
        <f t="shared" si="4"/>
        <v>50041</v>
      </c>
      <c r="DN5" s="643">
        <f t="shared" si="4"/>
        <v>50072</v>
      </c>
      <c r="DO5" s="643">
        <f t="shared" si="4"/>
        <v>50100</v>
      </c>
      <c r="DP5" s="643">
        <f t="shared" si="4"/>
        <v>50131</v>
      </c>
      <c r="DQ5" s="643">
        <f t="shared" si="4"/>
        <v>50161</v>
      </c>
      <c r="DR5" s="643">
        <f t="shared" si="4"/>
        <v>50192</v>
      </c>
      <c r="DS5" s="643">
        <f t="shared" si="4"/>
        <v>50222</v>
      </c>
      <c r="DT5" s="643">
        <f t="shared" si="4"/>
        <v>50253</v>
      </c>
      <c r="DU5" s="643">
        <f t="shared" si="4"/>
        <v>50284</v>
      </c>
      <c r="DV5" s="643">
        <f t="shared" si="4"/>
        <v>50314</v>
      </c>
      <c r="DW5" s="643">
        <f t="shared" si="4"/>
        <v>50345</v>
      </c>
      <c r="DX5" s="643">
        <f t="shared" si="4"/>
        <v>50375</v>
      </c>
      <c r="DY5" s="643">
        <f t="shared" si="4"/>
        <v>50406</v>
      </c>
      <c r="DZ5" s="643">
        <f t="shared" si="4"/>
        <v>50437</v>
      </c>
      <c r="EA5" s="643">
        <f t="shared" si="4"/>
        <v>50465</v>
      </c>
      <c r="EB5" s="643">
        <f t="shared" si="4"/>
        <v>50496</v>
      </c>
      <c r="EC5" s="643">
        <f t="shared" si="4"/>
        <v>50526</v>
      </c>
      <c r="ED5" s="643">
        <f t="shared" si="4"/>
        <v>50557</v>
      </c>
      <c r="EE5" s="643">
        <f t="shared" si="4"/>
        <v>50587</v>
      </c>
      <c r="EF5" s="643">
        <f t="shared" si="4"/>
        <v>50618</v>
      </c>
      <c r="EG5" s="643">
        <f t="shared" si="4"/>
        <v>50649</v>
      </c>
      <c r="EH5" s="643"/>
      <c r="EJ5" s="643"/>
      <c r="EK5" s="643"/>
      <c r="EL5" s="643"/>
    </row>
    <row r="6" spans="1:142" s="644" customFormat="1" x14ac:dyDescent="0.3">
      <c r="A6" s="631"/>
      <c r="B6" s="631"/>
      <c r="C6" s="631"/>
      <c r="D6" s="631"/>
      <c r="E6" s="386">
        <v>0</v>
      </c>
      <c r="F6" s="386">
        <v>1</v>
      </c>
      <c r="G6" s="386">
        <v>2</v>
      </c>
      <c r="H6" s="386">
        <v>3</v>
      </c>
      <c r="I6" s="386">
        <v>4</v>
      </c>
      <c r="J6" s="386">
        <v>5</v>
      </c>
      <c r="K6" s="386">
        <v>6</v>
      </c>
      <c r="L6" s="386">
        <v>7</v>
      </c>
      <c r="M6" s="386">
        <v>8</v>
      </c>
      <c r="N6" s="386">
        <v>9</v>
      </c>
      <c r="O6" s="386">
        <v>10</v>
      </c>
      <c r="P6" s="386">
        <v>11</v>
      </c>
      <c r="Q6" s="386">
        <v>12</v>
      </c>
      <c r="R6" s="386">
        <v>13</v>
      </c>
      <c r="S6" s="386">
        <v>14</v>
      </c>
      <c r="T6" s="386">
        <v>15</v>
      </c>
      <c r="U6" s="386">
        <v>16</v>
      </c>
      <c r="V6" s="386">
        <v>17</v>
      </c>
      <c r="W6" s="386">
        <v>18</v>
      </c>
      <c r="X6" s="386">
        <v>19</v>
      </c>
      <c r="Y6" s="386">
        <v>20</v>
      </c>
      <c r="Z6" s="386">
        <v>21</v>
      </c>
      <c r="AA6" s="386">
        <v>22</v>
      </c>
      <c r="AB6" s="386">
        <v>23</v>
      </c>
      <c r="AC6" s="386">
        <v>24</v>
      </c>
      <c r="AD6" s="386">
        <v>25</v>
      </c>
      <c r="AE6" s="386">
        <v>26</v>
      </c>
      <c r="AF6" s="386">
        <v>27</v>
      </c>
      <c r="AG6" s="386">
        <v>28</v>
      </c>
      <c r="AH6" s="386">
        <v>29</v>
      </c>
      <c r="AI6" s="386">
        <v>30</v>
      </c>
      <c r="AJ6" s="386">
        <v>31</v>
      </c>
      <c r="AK6" s="386">
        <v>32</v>
      </c>
      <c r="AL6" s="386">
        <v>33</v>
      </c>
      <c r="AM6" s="386">
        <v>34</v>
      </c>
      <c r="AN6" s="386">
        <v>35</v>
      </c>
      <c r="AO6" s="386">
        <v>36</v>
      </c>
      <c r="AP6" s="386">
        <v>37</v>
      </c>
      <c r="AQ6" s="386">
        <v>38</v>
      </c>
      <c r="AR6" s="386">
        <v>39</v>
      </c>
      <c r="AS6" s="386">
        <v>40</v>
      </c>
      <c r="AT6" s="386">
        <v>41</v>
      </c>
      <c r="AU6" s="386">
        <v>42</v>
      </c>
      <c r="AV6" s="386">
        <v>43</v>
      </c>
      <c r="AW6" s="386">
        <v>44</v>
      </c>
      <c r="AX6" s="386">
        <v>45</v>
      </c>
      <c r="AY6" s="386">
        <v>46</v>
      </c>
      <c r="AZ6" s="386">
        <v>47</v>
      </c>
      <c r="BA6" s="386">
        <v>48</v>
      </c>
      <c r="BB6" s="386">
        <v>49</v>
      </c>
      <c r="BC6" s="386">
        <v>50</v>
      </c>
      <c r="BD6" s="386">
        <v>51</v>
      </c>
      <c r="BE6" s="386">
        <v>52</v>
      </c>
      <c r="BF6" s="386">
        <v>53</v>
      </c>
      <c r="BG6" s="386">
        <v>54</v>
      </c>
      <c r="BH6" s="386">
        <v>55</v>
      </c>
      <c r="BI6" s="386">
        <v>56</v>
      </c>
      <c r="BJ6" s="386">
        <v>57</v>
      </c>
      <c r="BK6" s="386">
        <v>58</v>
      </c>
      <c r="BL6" s="386">
        <v>59</v>
      </c>
      <c r="BM6" s="386">
        <v>60</v>
      </c>
      <c r="BN6" s="386">
        <v>61</v>
      </c>
      <c r="BO6" s="386">
        <v>62</v>
      </c>
      <c r="BP6" s="386">
        <v>63</v>
      </c>
      <c r="BQ6" s="386">
        <v>64</v>
      </c>
      <c r="BR6" s="386">
        <v>65</v>
      </c>
      <c r="BS6" s="386">
        <v>66</v>
      </c>
      <c r="BT6" s="386">
        <v>67</v>
      </c>
      <c r="BU6" s="386">
        <v>68</v>
      </c>
      <c r="BV6" s="386">
        <v>69</v>
      </c>
      <c r="BW6" s="386">
        <v>70</v>
      </c>
      <c r="BX6" s="386">
        <v>71</v>
      </c>
      <c r="BY6" s="386">
        <v>72</v>
      </c>
      <c r="BZ6" s="386">
        <v>73</v>
      </c>
      <c r="CA6" s="386">
        <v>74</v>
      </c>
      <c r="CB6" s="386">
        <v>75</v>
      </c>
      <c r="CC6" s="386">
        <v>76</v>
      </c>
      <c r="CD6" s="386">
        <v>77</v>
      </c>
      <c r="CE6" s="386">
        <v>78</v>
      </c>
      <c r="CF6" s="386">
        <v>79</v>
      </c>
      <c r="CG6" s="386">
        <v>80</v>
      </c>
      <c r="CH6" s="386">
        <v>81</v>
      </c>
      <c r="CI6" s="386">
        <v>82</v>
      </c>
      <c r="CJ6" s="386">
        <v>83</v>
      </c>
      <c r="CK6" s="386">
        <v>84</v>
      </c>
      <c r="CL6" s="386">
        <v>85</v>
      </c>
      <c r="CM6" s="386">
        <v>86</v>
      </c>
      <c r="CN6" s="386">
        <v>87</v>
      </c>
      <c r="CO6" s="386">
        <v>88</v>
      </c>
      <c r="CP6" s="386">
        <v>89</v>
      </c>
      <c r="CQ6" s="386">
        <v>90</v>
      </c>
      <c r="CR6" s="386">
        <v>91</v>
      </c>
      <c r="CS6" s="386">
        <v>92</v>
      </c>
      <c r="CT6" s="386">
        <v>93</v>
      </c>
      <c r="CU6" s="386">
        <v>94</v>
      </c>
      <c r="CV6" s="386">
        <v>95</v>
      </c>
      <c r="CW6" s="386">
        <v>96</v>
      </c>
      <c r="CX6" s="386">
        <v>97</v>
      </c>
      <c r="CY6" s="386">
        <v>98</v>
      </c>
      <c r="CZ6" s="386">
        <v>99</v>
      </c>
      <c r="DA6" s="386">
        <v>100</v>
      </c>
      <c r="DB6" s="386">
        <v>101</v>
      </c>
      <c r="DC6" s="386">
        <v>102</v>
      </c>
      <c r="DD6" s="386">
        <v>103</v>
      </c>
      <c r="DE6" s="386">
        <v>104</v>
      </c>
      <c r="DF6" s="386">
        <v>105</v>
      </c>
      <c r="DG6" s="386">
        <v>106</v>
      </c>
      <c r="DH6" s="386">
        <v>107</v>
      </c>
      <c r="DI6" s="386">
        <v>108</v>
      </c>
      <c r="DJ6" s="386">
        <v>109</v>
      </c>
      <c r="DK6" s="386">
        <v>110</v>
      </c>
      <c r="DL6" s="386">
        <v>111</v>
      </c>
      <c r="DM6" s="386">
        <v>112</v>
      </c>
      <c r="DN6" s="386">
        <v>113</v>
      </c>
      <c r="DO6" s="386">
        <v>114</v>
      </c>
      <c r="DP6" s="386">
        <v>115</v>
      </c>
      <c r="DQ6" s="386">
        <v>116</v>
      </c>
      <c r="DR6" s="386">
        <v>117</v>
      </c>
      <c r="DS6" s="386">
        <v>118</v>
      </c>
      <c r="DT6" s="386">
        <v>119</v>
      </c>
      <c r="DU6" s="386">
        <v>120</v>
      </c>
      <c r="DV6" s="386">
        <v>121</v>
      </c>
      <c r="DW6" s="386">
        <v>122</v>
      </c>
      <c r="DX6" s="386">
        <v>123</v>
      </c>
      <c r="DY6" s="386">
        <v>124</v>
      </c>
      <c r="DZ6" s="386">
        <v>125</v>
      </c>
      <c r="EA6" s="386">
        <v>126</v>
      </c>
      <c r="EB6" s="386">
        <v>127</v>
      </c>
      <c r="EC6" s="386">
        <v>128</v>
      </c>
      <c r="ED6" s="386">
        <v>129</v>
      </c>
      <c r="EE6" s="386">
        <v>130</v>
      </c>
      <c r="EF6" s="386">
        <v>131</v>
      </c>
      <c r="EG6" s="386">
        <v>132</v>
      </c>
      <c r="EH6" s="386"/>
    </row>
    <row r="7" spans="1:142" s="644" customFormat="1" ht="15" thickBot="1" x14ac:dyDescent="0.35">
      <c r="A7" s="634"/>
      <c r="B7" s="634"/>
      <c r="C7" s="634"/>
      <c r="D7" s="634">
        <v>1</v>
      </c>
      <c r="E7" s="387">
        <f>JVClosingDate</f>
        <v>46631</v>
      </c>
      <c r="F7" s="387">
        <f>IF(ConstrStartDate=JVClosingDate,ConstrStartDate,EDATE(E7,1))</f>
        <v>46661</v>
      </c>
      <c r="G7" s="387">
        <f>EDATE(F7,1)</f>
        <v>46692</v>
      </c>
      <c r="H7" s="387">
        <f>EDATE(G7,1)</f>
        <v>46722</v>
      </c>
      <c r="I7" s="387">
        <f t="shared" ref="I7:BR7" si="5">EDATE(H7,1)</f>
        <v>46753</v>
      </c>
      <c r="J7" s="387">
        <f t="shared" si="5"/>
        <v>46784</v>
      </c>
      <c r="K7" s="387">
        <f t="shared" si="5"/>
        <v>46813</v>
      </c>
      <c r="L7" s="387">
        <f t="shared" si="5"/>
        <v>46844</v>
      </c>
      <c r="M7" s="387">
        <f t="shared" si="5"/>
        <v>46874</v>
      </c>
      <c r="N7" s="387">
        <f t="shared" si="5"/>
        <v>46905</v>
      </c>
      <c r="O7" s="387">
        <f t="shared" si="5"/>
        <v>46935</v>
      </c>
      <c r="P7" s="387">
        <f t="shared" si="5"/>
        <v>46966</v>
      </c>
      <c r="Q7" s="387">
        <f t="shared" si="5"/>
        <v>46997</v>
      </c>
      <c r="R7" s="387">
        <f t="shared" si="5"/>
        <v>47027</v>
      </c>
      <c r="S7" s="387">
        <f t="shared" si="5"/>
        <v>47058</v>
      </c>
      <c r="T7" s="387">
        <f t="shared" si="5"/>
        <v>47088</v>
      </c>
      <c r="U7" s="387">
        <f t="shared" si="5"/>
        <v>47119</v>
      </c>
      <c r="V7" s="387">
        <f t="shared" si="5"/>
        <v>47150</v>
      </c>
      <c r="W7" s="387">
        <f t="shared" si="5"/>
        <v>47178</v>
      </c>
      <c r="X7" s="387">
        <f t="shared" si="5"/>
        <v>47209</v>
      </c>
      <c r="Y7" s="387">
        <f t="shared" si="5"/>
        <v>47239</v>
      </c>
      <c r="Z7" s="387">
        <f t="shared" si="5"/>
        <v>47270</v>
      </c>
      <c r="AA7" s="387">
        <f t="shared" si="5"/>
        <v>47300</v>
      </c>
      <c r="AB7" s="387">
        <f t="shared" si="5"/>
        <v>47331</v>
      </c>
      <c r="AC7" s="387">
        <f t="shared" si="5"/>
        <v>47362</v>
      </c>
      <c r="AD7" s="387">
        <f t="shared" si="5"/>
        <v>47392</v>
      </c>
      <c r="AE7" s="387">
        <f t="shared" si="5"/>
        <v>47423</v>
      </c>
      <c r="AF7" s="387">
        <f t="shared" si="5"/>
        <v>47453</v>
      </c>
      <c r="AG7" s="387">
        <f t="shared" si="5"/>
        <v>47484</v>
      </c>
      <c r="AH7" s="387">
        <f t="shared" si="5"/>
        <v>47515</v>
      </c>
      <c r="AI7" s="387">
        <f t="shared" si="5"/>
        <v>47543</v>
      </c>
      <c r="AJ7" s="387">
        <f t="shared" si="5"/>
        <v>47574</v>
      </c>
      <c r="AK7" s="387">
        <f t="shared" si="5"/>
        <v>47604</v>
      </c>
      <c r="AL7" s="387">
        <f t="shared" si="5"/>
        <v>47635</v>
      </c>
      <c r="AM7" s="387">
        <f t="shared" si="5"/>
        <v>47665</v>
      </c>
      <c r="AN7" s="387">
        <f t="shared" si="5"/>
        <v>47696</v>
      </c>
      <c r="AO7" s="387">
        <f t="shared" si="5"/>
        <v>47727</v>
      </c>
      <c r="AP7" s="387">
        <f t="shared" si="5"/>
        <v>47757</v>
      </c>
      <c r="AQ7" s="387">
        <f t="shared" si="5"/>
        <v>47788</v>
      </c>
      <c r="AR7" s="387">
        <f t="shared" si="5"/>
        <v>47818</v>
      </c>
      <c r="AS7" s="387">
        <f t="shared" si="5"/>
        <v>47849</v>
      </c>
      <c r="AT7" s="387">
        <f t="shared" si="5"/>
        <v>47880</v>
      </c>
      <c r="AU7" s="387">
        <f t="shared" si="5"/>
        <v>47908</v>
      </c>
      <c r="AV7" s="387">
        <f t="shared" si="5"/>
        <v>47939</v>
      </c>
      <c r="AW7" s="387">
        <f t="shared" si="5"/>
        <v>47969</v>
      </c>
      <c r="AX7" s="387">
        <f t="shared" si="5"/>
        <v>48000</v>
      </c>
      <c r="AY7" s="387">
        <f t="shared" si="5"/>
        <v>48030</v>
      </c>
      <c r="AZ7" s="387">
        <f t="shared" si="5"/>
        <v>48061</v>
      </c>
      <c r="BA7" s="387">
        <f t="shared" si="5"/>
        <v>48092</v>
      </c>
      <c r="BB7" s="387">
        <f t="shared" si="5"/>
        <v>48122</v>
      </c>
      <c r="BC7" s="387">
        <f t="shared" si="5"/>
        <v>48153</v>
      </c>
      <c r="BD7" s="387">
        <f t="shared" si="5"/>
        <v>48183</v>
      </c>
      <c r="BE7" s="387">
        <f t="shared" si="5"/>
        <v>48214</v>
      </c>
      <c r="BF7" s="387">
        <f t="shared" si="5"/>
        <v>48245</v>
      </c>
      <c r="BG7" s="387">
        <f t="shared" si="5"/>
        <v>48274</v>
      </c>
      <c r="BH7" s="387">
        <f t="shared" si="5"/>
        <v>48305</v>
      </c>
      <c r="BI7" s="387">
        <f t="shared" si="5"/>
        <v>48335</v>
      </c>
      <c r="BJ7" s="387">
        <f t="shared" si="5"/>
        <v>48366</v>
      </c>
      <c r="BK7" s="387">
        <f t="shared" si="5"/>
        <v>48396</v>
      </c>
      <c r="BL7" s="387">
        <f t="shared" si="5"/>
        <v>48427</v>
      </c>
      <c r="BM7" s="387">
        <f t="shared" si="5"/>
        <v>48458</v>
      </c>
      <c r="BN7" s="387">
        <f t="shared" si="5"/>
        <v>48488</v>
      </c>
      <c r="BO7" s="387">
        <f t="shared" si="5"/>
        <v>48519</v>
      </c>
      <c r="BP7" s="387">
        <f t="shared" si="5"/>
        <v>48549</v>
      </c>
      <c r="BQ7" s="387">
        <f t="shared" si="5"/>
        <v>48580</v>
      </c>
      <c r="BR7" s="387">
        <f t="shared" si="5"/>
        <v>48611</v>
      </c>
      <c r="BS7" s="387">
        <f t="shared" ref="BS7:ED7" si="6">EDATE(BR7,1)</f>
        <v>48639</v>
      </c>
      <c r="BT7" s="387">
        <f t="shared" si="6"/>
        <v>48670</v>
      </c>
      <c r="BU7" s="387">
        <f t="shared" si="6"/>
        <v>48700</v>
      </c>
      <c r="BV7" s="387">
        <f t="shared" si="6"/>
        <v>48731</v>
      </c>
      <c r="BW7" s="387">
        <f t="shared" si="6"/>
        <v>48761</v>
      </c>
      <c r="BX7" s="387">
        <f t="shared" si="6"/>
        <v>48792</v>
      </c>
      <c r="BY7" s="387">
        <f t="shared" si="6"/>
        <v>48823</v>
      </c>
      <c r="BZ7" s="387">
        <f t="shared" si="6"/>
        <v>48853</v>
      </c>
      <c r="CA7" s="387">
        <f t="shared" si="6"/>
        <v>48884</v>
      </c>
      <c r="CB7" s="387">
        <f t="shared" si="6"/>
        <v>48914</v>
      </c>
      <c r="CC7" s="387">
        <f t="shared" si="6"/>
        <v>48945</v>
      </c>
      <c r="CD7" s="387">
        <f t="shared" si="6"/>
        <v>48976</v>
      </c>
      <c r="CE7" s="387">
        <f t="shared" si="6"/>
        <v>49004</v>
      </c>
      <c r="CF7" s="387">
        <f t="shared" si="6"/>
        <v>49035</v>
      </c>
      <c r="CG7" s="387">
        <f t="shared" si="6"/>
        <v>49065</v>
      </c>
      <c r="CH7" s="387">
        <f t="shared" si="6"/>
        <v>49096</v>
      </c>
      <c r="CI7" s="387">
        <f t="shared" si="6"/>
        <v>49126</v>
      </c>
      <c r="CJ7" s="387">
        <f t="shared" si="6"/>
        <v>49157</v>
      </c>
      <c r="CK7" s="387">
        <f t="shared" si="6"/>
        <v>49188</v>
      </c>
      <c r="CL7" s="387">
        <f t="shared" si="6"/>
        <v>49218</v>
      </c>
      <c r="CM7" s="387">
        <f t="shared" si="6"/>
        <v>49249</v>
      </c>
      <c r="CN7" s="387">
        <f t="shared" si="6"/>
        <v>49279</v>
      </c>
      <c r="CO7" s="387">
        <f t="shared" si="6"/>
        <v>49310</v>
      </c>
      <c r="CP7" s="387">
        <f t="shared" si="6"/>
        <v>49341</v>
      </c>
      <c r="CQ7" s="387">
        <f t="shared" si="6"/>
        <v>49369</v>
      </c>
      <c r="CR7" s="387">
        <f t="shared" si="6"/>
        <v>49400</v>
      </c>
      <c r="CS7" s="387">
        <f t="shared" si="6"/>
        <v>49430</v>
      </c>
      <c r="CT7" s="387">
        <f t="shared" si="6"/>
        <v>49461</v>
      </c>
      <c r="CU7" s="387">
        <f t="shared" si="6"/>
        <v>49491</v>
      </c>
      <c r="CV7" s="387">
        <f t="shared" si="6"/>
        <v>49522</v>
      </c>
      <c r="CW7" s="387">
        <f t="shared" si="6"/>
        <v>49553</v>
      </c>
      <c r="CX7" s="387">
        <f t="shared" si="6"/>
        <v>49583</v>
      </c>
      <c r="CY7" s="387">
        <f t="shared" si="6"/>
        <v>49614</v>
      </c>
      <c r="CZ7" s="387">
        <f t="shared" si="6"/>
        <v>49644</v>
      </c>
      <c r="DA7" s="387">
        <f t="shared" si="6"/>
        <v>49675</v>
      </c>
      <c r="DB7" s="387">
        <f t="shared" si="6"/>
        <v>49706</v>
      </c>
      <c r="DC7" s="387">
        <f t="shared" si="6"/>
        <v>49735</v>
      </c>
      <c r="DD7" s="387">
        <f t="shared" si="6"/>
        <v>49766</v>
      </c>
      <c r="DE7" s="387">
        <f t="shared" si="6"/>
        <v>49796</v>
      </c>
      <c r="DF7" s="387">
        <f t="shared" si="6"/>
        <v>49827</v>
      </c>
      <c r="DG7" s="387">
        <f t="shared" si="6"/>
        <v>49857</v>
      </c>
      <c r="DH7" s="387">
        <f t="shared" si="6"/>
        <v>49888</v>
      </c>
      <c r="DI7" s="387">
        <f t="shared" si="6"/>
        <v>49919</v>
      </c>
      <c r="DJ7" s="387">
        <f t="shared" si="6"/>
        <v>49949</v>
      </c>
      <c r="DK7" s="387">
        <f t="shared" si="6"/>
        <v>49980</v>
      </c>
      <c r="DL7" s="387">
        <f t="shared" si="6"/>
        <v>50010</v>
      </c>
      <c r="DM7" s="387">
        <f t="shared" si="6"/>
        <v>50041</v>
      </c>
      <c r="DN7" s="387">
        <f t="shared" si="6"/>
        <v>50072</v>
      </c>
      <c r="DO7" s="387">
        <f t="shared" si="6"/>
        <v>50100</v>
      </c>
      <c r="DP7" s="387">
        <f t="shared" si="6"/>
        <v>50131</v>
      </c>
      <c r="DQ7" s="387">
        <f t="shared" si="6"/>
        <v>50161</v>
      </c>
      <c r="DR7" s="387">
        <f t="shared" si="6"/>
        <v>50192</v>
      </c>
      <c r="DS7" s="387">
        <f t="shared" si="6"/>
        <v>50222</v>
      </c>
      <c r="DT7" s="387">
        <f t="shared" si="6"/>
        <v>50253</v>
      </c>
      <c r="DU7" s="387">
        <f t="shared" si="6"/>
        <v>50284</v>
      </c>
      <c r="DV7" s="387">
        <f t="shared" si="6"/>
        <v>50314</v>
      </c>
      <c r="DW7" s="387">
        <f t="shared" si="6"/>
        <v>50345</v>
      </c>
      <c r="DX7" s="387">
        <f t="shared" si="6"/>
        <v>50375</v>
      </c>
      <c r="DY7" s="387">
        <f t="shared" si="6"/>
        <v>50406</v>
      </c>
      <c r="DZ7" s="387">
        <f t="shared" si="6"/>
        <v>50437</v>
      </c>
      <c r="EA7" s="387">
        <f t="shared" si="6"/>
        <v>50465</v>
      </c>
      <c r="EB7" s="387">
        <f t="shared" si="6"/>
        <v>50496</v>
      </c>
      <c r="EC7" s="387">
        <f t="shared" si="6"/>
        <v>50526</v>
      </c>
      <c r="ED7" s="387">
        <f t="shared" si="6"/>
        <v>50557</v>
      </c>
      <c r="EE7" s="387">
        <f>EDATE(ED7,1)</f>
        <v>50587</v>
      </c>
      <c r="EF7" s="387">
        <f>EDATE(EE7,1)</f>
        <v>50618</v>
      </c>
      <c r="EG7" s="387">
        <f>EDATE(EF7,1)</f>
        <v>50649</v>
      </c>
      <c r="EH7" s="387"/>
    </row>
    <row r="8" spans="1:142" ht="6.75" customHeight="1" thickTop="1" thickBot="1" x14ac:dyDescent="0.35"/>
    <row r="9" spans="1:142" ht="15" thickTop="1" x14ac:dyDescent="0.3">
      <c r="A9" s="318" t="s">
        <v>2351</v>
      </c>
      <c r="B9" s="319"/>
      <c r="C9" s="635"/>
      <c r="D9" s="645" t="s">
        <v>2352</v>
      </c>
      <c r="E9" s="322"/>
      <c r="F9" s="322"/>
      <c r="G9" s="322"/>
      <c r="H9" s="322"/>
      <c r="I9" s="322"/>
      <c r="J9" s="322"/>
      <c r="K9" s="322"/>
      <c r="L9" s="322"/>
      <c r="M9" s="322"/>
      <c r="N9" s="322"/>
      <c r="O9" s="322"/>
      <c r="P9" s="322"/>
      <c r="Q9" s="322"/>
      <c r="R9" s="322"/>
      <c r="S9" s="322"/>
      <c r="T9" s="322"/>
      <c r="U9" s="322"/>
      <c r="V9" s="322"/>
      <c r="W9" s="322"/>
      <c r="X9" s="322"/>
      <c r="Y9" s="322"/>
      <c r="Z9" s="322"/>
      <c r="AA9" s="322"/>
      <c r="AB9" s="322"/>
      <c r="AC9" s="322"/>
      <c r="AD9" s="322"/>
      <c r="AE9" s="322"/>
      <c r="AF9" s="322"/>
      <c r="AG9" s="322"/>
      <c r="AH9" s="322"/>
      <c r="AI9" s="322"/>
      <c r="AJ9" s="322"/>
      <c r="AK9" s="322"/>
      <c r="AL9" s="322"/>
      <c r="AM9" s="322"/>
      <c r="AN9" s="322"/>
      <c r="AO9" s="322"/>
      <c r="AP9" s="322"/>
      <c r="AQ9" s="322"/>
      <c r="AR9" s="322"/>
      <c r="AS9" s="322"/>
      <c r="AT9" s="322"/>
      <c r="AU9" s="322"/>
      <c r="AV9" s="322"/>
      <c r="AW9" s="322"/>
      <c r="AX9" s="322"/>
      <c r="AY9" s="322"/>
      <c r="AZ9" s="322"/>
      <c r="BA9" s="322"/>
      <c r="BB9" s="322"/>
      <c r="BC9" s="322"/>
      <c r="BD9" s="322"/>
      <c r="BE9" s="322"/>
      <c r="BF9" s="322"/>
      <c r="BG9" s="322"/>
      <c r="BH9" s="322"/>
      <c r="BI9" s="322"/>
      <c r="BJ9" s="322"/>
      <c r="BK9" s="322"/>
      <c r="BL9" s="322"/>
      <c r="BM9" s="322"/>
      <c r="BN9" s="322"/>
      <c r="BO9" s="322"/>
      <c r="BP9" s="322"/>
      <c r="BQ9" s="322"/>
      <c r="BR9" s="322"/>
      <c r="BS9" s="322"/>
      <c r="BT9" s="322"/>
      <c r="BU9" s="322"/>
      <c r="BV9" s="322"/>
      <c r="BW9" s="322"/>
      <c r="BX9" s="322"/>
      <c r="BY9" s="322"/>
      <c r="BZ9" s="322"/>
      <c r="CA9" s="322"/>
      <c r="CB9" s="322"/>
      <c r="CC9" s="322"/>
      <c r="CD9" s="322"/>
      <c r="CE9" s="322"/>
      <c r="CF9" s="322"/>
      <c r="CG9" s="322"/>
      <c r="CH9" s="322"/>
      <c r="CI9" s="322"/>
      <c r="CJ9" s="322"/>
      <c r="CK9" s="322"/>
      <c r="CL9" s="322"/>
      <c r="CM9" s="322"/>
      <c r="CN9" s="322"/>
      <c r="CO9" s="322"/>
      <c r="CP9" s="322"/>
      <c r="CQ9" s="322"/>
      <c r="CR9" s="322"/>
      <c r="CS9" s="322"/>
      <c r="CT9" s="322"/>
      <c r="CU9" s="322"/>
      <c r="CV9" s="322"/>
      <c r="CW9" s="322"/>
      <c r="CX9" s="322"/>
      <c r="CY9" s="322"/>
      <c r="CZ9" s="322"/>
      <c r="DA9" s="322"/>
      <c r="DB9" s="322"/>
      <c r="DC9" s="322"/>
      <c r="DD9" s="322"/>
      <c r="DE9" s="322"/>
      <c r="DF9" s="322"/>
      <c r="DG9" s="322"/>
      <c r="DH9" s="322"/>
      <c r="DI9" s="322"/>
      <c r="DJ9" s="322"/>
      <c r="DK9" s="322"/>
      <c r="DL9" s="322"/>
      <c r="DM9" s="322"/>
      <c r="DN9" s="322"/>
      <c r="DO9" s="322"/>
      <c r="DP9" s="322"/>
      <c r="DQ9" s="322"/>
      <c r="DR9" s="322"/>
      <c r="DS9" s="322"/>
      <c r="DT9" s="322"/>
      <c r="DU9" s="322"/>
      <c r="DV9" s="322"/>
      <c r="DW9" s="322"/>
      <c r="DX9" s="322"/>
      <c r="DY9" s="322"/>
      <c r="DZ9" s="322"/>
      <c r="EA9" s="322"/>
      <c r="EB9" s="322"/>
      <c r="EC9" s="322"/>
      <c r="ED9" s="322"/>
      <c r="EE9" s="322"/>
      <c r="EF9" s="322"/>
      <c r="EG9" s="322"/>
      <c r="EH9" s="322"/>
    </row>
    <row r="10" spans="1:142" ht="7.5" customHeight="1" x14ac:dyDescent="0.3">
      <c r="B10" s="203"/>
      <c r="C10" s="203"/>
      <c r="D10" s="646" t="s">
        <v>1183</v>
      </c>
    </row>
    <row r="11" spans="1:142" x14ac:dyDescent="0.3">
      <c r="A11" t="s">
        <v>2353</v>
      </c>
      <c r="D11" s="647">
        <f t="shared" ref="D11:AI11" si="7">C13</f>
        <v>0</v>
      </c>
      <c r="E11" s="229">
        <f t="shared" si="7"/>
        <v>0</v>
      </c>
      <c r="F11" s="636">
        <f t="shared" si="7"/>
        <v>0</v>
      </c>
      <c r="G11" s="636">
        <f t="shared" si="7"/>
        <v>0</v>
      </c>
      <c r="H11" s="636">
        <f t="shared" si="7"/>
        <v>0</v>
      </c>
      <c r="I11" s="636">
        <f t="shared" si="7"/>
        <v>0</v>
      </c>
      <c r="J11" s="636">
        <f t="shared" si="7"/>
        <v>0</v>
      </c>
      <c r="K11" s="636">
        <f t="shared" si="7"/>
        <v>0</v>
      </c>
      <c r="L11" s="636">
        <f t="shared" si="7"/>
        <v>0</v>
      </c>
      <c r="M11" s="636">
        <f t="shared" si="7"/>
        <v>0</v>
      </c>
      <c r="N11" s="636">
        <f t="shared" si="7"/>
        <v>0</v>
      </c>
      <c r="O11" s="636">
        <f t="shared" si="7"/>
        <v>0</v>
      </c>
      <c r="P11" s="636">
        <f t="shared" si="7"/>
        <v>0</v>
      </c>
      <c r="Q11" s="636">
        <f t="shared" si="7"/>
        <v>0</v>
      </c>
      <c r="R11" s="636">
        <f t="shared" si="7"/>
        <v>0</v>
      </c>
      <c r="S11" s="636">
        <f t="shared" si="7"/>
        <v>0</v>
      </c>
      <c r="T11" s="636">
        <f t="shared" si="7"/>
        <v>0</v>
      </c>
      <c r="U11" s="636">
        <f t="shared" si="7"/>
        <v>0</v>
      </c>
      <c r="V11" s="636">
        <f t="shared" si="7"/>
        <v>0</v>
      </c>
      <c r="W11" s="636">
        <f t="shared" si="7"/>
        <v>0</v>
      </c>
      <c r="X11" s="636">
        <f t="shared" si="7"/>
        <v>0</v>
      </c>
      <c r="Y11" s="636">
        <f t="shared" si="7"/>
        <v>0</v>
      </c>
      <c r="Z11" s="636">
        <f t="shared" si="7"/>
        <v>0</v>
      </c>
      <c r="AA11" s="636">
        <f t="shared" si="7"/>
        <v>0</v>
      </c>
      <c r="AB11" s="636">
        <f t="shared" si="7"/>
        <v>0</v>
      </c>
      <c r="AC11" s="636">
        <f t="shared" si="7"/>
        <v>0</v>
      </c>
      <c r="AD11" s="636">
        <f t="shared" si="7"/>
        <v>0</v>
      </c>
      <c r="AE11" s="636">
        <f t="shared" si="7"/>
        <v>0</v>
      </c>
      <c r="AF11" s="636">
        <f t="shared" si="7"/>
        <v>0</v>
      </c>
      <c r="AG11" s="636">
        <f t="shared" si="7"/>
        <v>0</v>
      </c>
      <c r="AH11" s="636">
        <f t="shared" si="7"/>
        <v>0</v>
      </c>
      <c r="AI11" s="636">
        <f t="shared" si="7"/>
        <v>0</v>
      </c>
      <c r="AJ11" s="636">
        <f t="shared" ref="AJ11:BO11" si="8">AI13</f>
        <v>0</v>
      </c>
      <c r="AK11" s="636">
        <f t="shared" si="8"/>
        <v>0</v>
      </c>
      <c r="AL11" s="636">
        <f t="shared" si="8"/>
        <v>0</v>
      </c>
      <c r="AM11" s="636">
        <f t="shared" si="8"/>
        <v>0</v>
      </c>
      <c r="AN11" s="636">
        <f t="shared" si="8"/>
        <v>0</v>
      </c>
      <c r="AO11" s="636">
        <f t="shared" si="8"/>
        <v>0</v>
      </c>
      <c r="AP11" s="229">
        <f t="shared" si="8"/>
        <v>0</v>
      </c>
      <c r="AQ11" s="229">
        <f t="shared" si="8"/>
        <v>0</v>
      </c>
      <c r="AR11" s="229">
        <f t="shared" si="8"/>
        <v>0</v>
      </c>
      <c r="AS11" s="229">
        <f t="shared" si="8"/>
        <v>0</v>
      </c>
      <c r="AT11" s="229">
        <f t="shared" si="8"/>
        <v>0</v>
      </c>
      <c r="AU11" s="229">
        <f t="shared" si="8"/>
        <v>0</v>
      </c>
      <c r="AV11" s="229">
        <f t="shared" si="8"/>
        <v>0</v>
      </c>
      <c r="AW11" s="229">
        <f t="shared" si="8"/>
        <v>0</v>
      </c>
      <c r="AX11" s="229">
        <f t="shared" si="8"/>
        <v>0</v>
      </c>
      <c r="AY11" s="229">
        <f t="shared" si="8"/>
        <v>0</v>
      </c>
      <c r="AZ11" s="229">
        <f t="shared" si="8"/>
        <v>0</v>
      </c>
      <c r="BA11" s="229">
        <f t="shared" si="8"/>
        <v>0</v>
      </c>
      <c r="BB11" s="229">
        <f t="shared" si="8"/>
        <v>0</v>
      </c>
      <c r="BC11" s="229">
        <f t="shared" si="8"/>
        <v>0</v>
      </c>
      <c r="BD11" s="229">
        <f t="shared" si="8"/>
        <v>0</v>
      </c>
      <c r="BE11" s="229">
        <f t="shared" si="8"/>
        <v>0</v>
      </c>
      <c r="BF11" s="229">
        <f t="shared" si="8"/>
        <v>0</v>
      </c>
      <c r="BG11" s="229">
        <f t="shared" si="8"/>
        <v>0</v>
      </c>
      <c r="BH11" s="229">
        <f t="shared" si="8"/>
        <v>0</v>
      </c>
      <c r="BI11" s="229">
        <f t="shared" si="8"/>
        <v>0</v>
      </c>
      <c r="BJ11" s="229">
        <f t="shared" si="8"/>
        <v>0</v>
      </c>
      <c r="BK11" s="229">
        <f t="shared" si="8"/>
        <v>0</v>
      </c>
      <c r="BL11" s="229">
        <f t="shared" si="8"/>
        <v>0</v>
      </c>
      <c r="BM11" s="229">
        <f t="shared" si="8"/>
        <v>0</v>
      </c>
      <c r="BN11" s="229">
        <f t="shared" si="8"/>
        <v>0</v>
      </c>
      <c r="BO11" s="229">
        <f t="shared" si="8"/>
        <v>0</v>
      </c>
      <c r="BP11" s="229">
        <f t="shared" ref="BP11:CU11" si="9">BO13</f>
        <v>0</v>
      </c>
      <c r="BQ11" s="229">
        <f t="shared" si="9"/>
        <v>0</v>
      </c>
      <c r="BR11" s="229">
        <f t="shared" si="9"/>
        <v>0</v>
      </c>
      <c r="BS11" s="229">
        <f t="shared" si="9"/>
        <v>0</v>
      </c>
      <c r="BT11" s="229">
        <f t="shared" si="9"/>
        <v>0</v>
      </c>
      <c r="BU11" s="229">
        <f t="shared" si="9"/>
        <v>0</v>
      </c>
      <c r="BV11" s="229">
        <f t="shared" si="9"/>
        <v>0</v>
      </c>
      <c r="BW11" s="229">
        <f t="shared" si="9"/>
        <v>0</v>
      </c>
      <c r="BX11" s="229">
        <f t="shared" si="9"/>
        <v>0</v>
      </c>
      <c r="BY11" s="229">
        <f t="shared" si="9"/>
        <v>0</v>
      </c>
      <c r="BZ11" s="229">
        <f t="shared" si="9"/>
        <v>0</v>
      </c>
      <c r="CA11" s="229">
        <f t="shared" si="9"/>
        <v>0</v>
      </c>
      <c r="CB11" s="229">
        <f t="shared" si="9"/>
        <v>0</v>
      </c>
      <c r="CC11" s="229">
        <f t="shared" si="9"/>
        <v>0</v>
      </c>
      <c r="CD11" s="229">
        <f t="shared" si="9"/>
        <v>0</v>
      </c>
      <c r="CE11" s="229">
        <f t="shared" si="9"/>
        <v>0</v>
      </c>
      <c r="CF11" s="229">
        <f t="shared" si="9"/>
        <v>0</v>
      </c>
      <c r="CG11" s="229">
        <f t="shared" si="9"/>
        <v>0</v>
      </c>
      <c r="CH11" s="229">
        <f t="shared" si="9"/>
        <v>0</v>
      </c>
      <c r="CI11" s="229">
        <f t="shared" si="9"/>
        <v>0</v>
      </c>
      <c r="CJ11" s="229">
        <f t="shared" si="9"/>
        <v>0</v>
      </c>
      <c r="CK11" s="229">
        <f t="shared" si="9"/>
        <v>0</v>
      </c>
      <c r="CL11" s="229">
        <f t="shared" si="9"/>
        <v>0</v>
      </c>
      <c r="CM11" s="229">
        <f t="shared" si="9"/>
        <v>0</v>
      </c>
      <c r="CN11" s="229">
        <f t="shared" si="9"/>
        <v>0</v>
      </c>
      <c r="CO11" s="229">
        <f t="shared" si="9"/>
        <v>0</v>
      </c>
      <c r="CP11" s="229">
        <f t="shared" si="9"/>
        <v>0</v>
      </c>
      <c r="CQ11" s="229">
        <f t="shared" si="9"/>
        <v>0</v>
      </c>
      <c r="CR11" s="229">
        <f t="shared" si="9"/>
        <v>0</v>
      </c>
      <c r="CS11" s="229">
        <f t="shared" si="9"/>
        <v>0</v>
      </c>
      <c r="CT11" s="229">
        <f t="shared" si="9"/>
        <v>0</v>
      </c>
      <c r="CU11" s="229">
        <f t="shared" si="9"/>
        <v>0</v>
      </c>
      <c r="CV11" s="229">
        <f t="shared" ref="CV11:EA11" si="10">CU13</f>
        <v>0</v>
      </c>
      <c r="CW11" s="229">
        <f t="shared" si="10"/>
        <v>0</v>
      </c>
      <c r="CX11" s="229">
        <f t="shared" si="10"/>
        <v>0</v>
      </c>
      <c r="CY11" s="229">
        <f t="shared" si="10"/>
        <v>0</v>
      </c>
      <c r="CZ11" s="229">
        <f t="shared" si="10"/>
        <v>0</v>
      </c>
      <c r="DA11" s="229">
        <f t="shared" si="10"/>
        <v>0</v>
      </c>
      <c r="DB11" s="229">
        <f t="shared" si="10"/>
        <v>0</v>
      </c>
      <c r="DC11" s="229">
        <f t="shared" si="10"/>
        <v>0</v>
      </c>
      <c r="DD11" s="229">
        <f t="shared" si="10"/>
        <v>0</v>
      </c>
      <c r="DE11" s="229">
        <f t="shared" si="10"/>
        <v>0</v>
      </c>
      <c r="DF11" s="229">
        <f t="shared" si="10"/>
        <v>0</v>
      </c>
      <c r="DG11" s="229">
        <f t="shared" si="10"/>
        <v>0</v>
      </c>
      <c r="DH11" s="229">
        <f t="shared" si="10"/>
        <v>0</v>
      </c>
      <c r="DI11" s="229">
        <f t="shared" si="10"/>
        <v>0</v>
      </c>
      <c r="DJ11" s="229">
        <f t="shared" si="10"/>
        <v>0</v>
      </c>
      <c r="DK11" s="229">
        <f t="shared" si="10"/>
        <v>0</v>
      </c>
      <c r="DL11" s="229">
        <f t="shared" si="10"/>
        <v>0</v>
      </c>
      <c r="DM11" s="229">
        <f t="shared" si="10"/>
        <v>0</v>
      </c>
      <c r="DN11" s="229">
        <f t="shared" si="10"/>
        <v>0</v>
      </c>
      <c r="DO11" s="229">
        <f t="shared" si="10"/>
        <v>0</v>
      </c>
      <c r="DP11" s="229">
        <f t="shared" si="10"/>
        <v>0</v>
      </c>
      <c r="DQ11" s="229">
        <f t="shared" si="10"/>
        <v>0</v>
      </c>
      <c r="DR11" s="229">
        <f t="shared" si="10"/>
        <v>0</v>
      </c>
      <c r="DS11" s="229">
        <f t="shared" si="10"/>
        <v>0</v>
      </c>
      <c r="DT11" s="229">
        <f t="shared" si="10"/>
        <v>0</v>
      </c>
      <c r="DU11" s="229">
        <f t="shared" si="10"/>
        <v>0</v>
      </c>
      <c r="DV11" s="229">
        <f t="shared" si="10"/>
        <v>0</v>
      </c>
      <c r="DW11" s="229">
        <f t="shared" si="10"/>
        <v>0</v>
      </c>
      <c r="DX11" s="229">
        <f t="shared" si="10"/>
        <v>0</v>
      </c>
      <c r="DY11" s="229">
        <f t="shared" si="10"/>
        <v>0</v>
      </c>
      <c r="DZ11" s="229">
        <f t="shared" si="10"/>
        <v>0</v>
      </c>
      <c r="EA11" s="229">
        <f t="shared" si="10"/>
        <v>0</v>
      </c>
      <c r="EB11" s="229">
        <f t="shared" ref="EB11:EG11" si="11">EA13</f>
        <v>0</v>
      </c>
      <c r="EC11" s="229">
        <f t="shared" si="11"/>
        <v>0</v>
      </c>
      <c r="ED11" s="229">
        <f t="shared" si="11"/>
        <v>0</v>
      </c>
      <c r="EE11" s="229">
        <f t="shared" si="11"/>
        <v>0</v>
      </c>
      <c r="EF11" s="229">
        <f t="shared" si="11"/>
        <v>0</v>
      </c>
      <c r="EG11" s="229">
        <f t="shared" si="11"/>
        <v>0</v>
      </c>
      <c r="EH11" s="229"/>
    </row>
    <row r="12" spans="1:142" x14ac:dyDescent="0.3">
      <c r="A12" s="241" t="s">
        <v>2354</v>
      </c>
      <c r="B12" s="241"/>
      <c r="C12" s="241"/>
      <c r="D12" s="648">
        <f t="shared" ref="D12:AO12" si="12">BMRUnits/Units*D20</f>
        <v>0</v>
      </c>
      <c r="E12" s="637">
        <f t="shared" si="12"/>
        <v>0</v>
      </c>
      <c r="F12" s="638">
        <f t="shared" si="12"/>
        <v>0</v>
      </c>
      <c r="G12" s="638">
        <f t="shared" si="12"/>
        <v>0</v>
      </c>
      <c r="H12" s="638">
        <f t="shared" si="12"/>
        <v>0</v>
      </c>
      <c r="I12" s="638">
        <f t="shared" si="12"/>
        <v>0</v>
      </c>
      <c r="J12" s="638">
        <f t="shared" si="12"/>
        <v>0</v>
      </c>
      <c r="K12" s="638">
        <f t="shared" si="12"/>
        <v>0</v>
      </c>
      <c r="L12" s="638">
        <f t="shared" si="12"/>
        <v>0</v>
      </c>
      <c r="M12" s="638">
        <f t="shared" si="12"/>
        <v>0</v>
      </c>
      <c r="N12" s="638">
        <f t="shared" si="12"/>
        <v>0</v>
      </c>
      <c r="O12" s="638">
        <f t="shared" si="12"/>
        <v>0</v>
      </c>
      <c r="P12" s="638">
        <f t="shared" si="12"/>
        <v>0</v>
      </c>
      <c r="Q12" s="638">
        <f t="shared" si="12"/>
        <v>0</v>
      </c>
      <c r="R12" s="638">
        <f t="shared" si="12"/>
        <v>0</v>
      </c>
      <c r="S12" s="638">
        <f t="shared" si="12"/>
        <v>0</v>
      </c>
      <c r="T12" s="638">
        <f t="shared" si="12"/>
        <v>0</v>
      </c>
      <c r="U12" s="638">
        <f t="shared" si="12"/>
        <v>0</v>
      </c>
      <c r="V12" s="638">
        <f t="shared" si="12"/>
        <v>0</v>
      </c>
      <c r="W12" s="638">
        <f t="shared" si="12"/>
        <v>0</v>
      </c>
      <c r="X12" s="638">
        <f t="shared" si="12"/>
        <v>0</v>
      </c>
      <c r="Y12" s="638">
        <f t="shared" si="12"/>
        <v>0</v>
      </c>
      <c r="Z12" s="638">
        <f t="shared" si="12"/>
        <v>0</v>
      </c>
      <c r="AA12" s="638">
        <f t="shared" si="12"/>
        <v>0</v>
      </c>
      <c r="AB12" s="638">
        <f t="shared" si="12"/>
        <v>0</v>
      </c>
      <c r="AC12" s="638">
        <f t="shared" si="12"/>
        <v>0</v>
      </c>
      <c r="AD12" s="638">
        <f t="shared" si="12"/>
        <v>0</v>
      </c>
      <c r="AE12" s="638">
        <f t="shared" si="12"/>
        <v>0</v>
      </c>
      <c r="AF12" s="638">
        <f t="shared" si="12"/>
        <v>0</v>
      </c>
      <c r="AG12" s="638">
        <f t="shared" si="12"/>
        <v>0</v>
      </c>
      <c r="AH12" s="638">
        <f t="shared" si="12"/>
        <v>0</v>
      </c>
      <c r="AI12" s="638">
        <f t="shared" si="12"/>
        <v>0</v>
      </c>
      <c r="AJ12" s="638">
        <f t="shared" si="12"/>
        <v>0</v>
      </c>
      <c r="AK12" s="638">
        <f t="shared" si="12"/>
        <v>0</v>
      </c>
      <c r="AL12" s="638">
        <f t="shared" si="12"/>
        <v>0</v>
      </c>
      <c r="AM12" s="638">
        <f t="shared" si="12"/>
        <v>0</v>
      </c>
      <c r="AN12" s="638">
        <f t="shared" si="12"/>
        <v>0</v>
      </c>
      <c r="AO12" s="638">
        <f t="shared" si="12"/>
        <v>0</v>
      </c>
      <c r="AP12" s="637">
        <f t="shared" ref="AP12:BO12" si="13">BMRUnits/Units*AP20</f>
        <v>0</v>
      </c>
      <c r="AQ12" s="637">
        <f t="shared" si="13"/>
        <v>0</v>
      </c>
      <c r="AR12" s="637">
        <f t="shared" si="13"/>
        <v>0</v>
      </c>
      <c r="AS12" s="637">
        <f t="shared" si="13"/>
        <v>0</v>
      </c>
      <c r="AT12" s="637">
        <f t="shared" si="13"/>
        <v>0</v>
      </c>
      <c r="AU12" s="637">
        <f t="shared" si="13"/>
        <v>0</v>
      </c>
      <c r="AV12" s="637">
        <f t="shared" si="13"/>
        <v>0</v>
      </c>
      <c r="AW12" s="637">
        <f t="shared" si="13"/>
        <v>0</v>
      </c>
      <c r="AX12" s="637">
        <f t="shared" si="13"/>
        <v>0</v>
      </c>
      <c r="AY12" s="637">
        <f t="shared" si="13"/>
        <v>0</v>
      </c>
      <c r="AZ12" s="637">
        <f t="shared" si="13"/>
        <v>0</v>
      </c>
      <c r="BA12" s="637">
        <f t="shared" si="13"/>
        <v>0</v>
      </c>
      <c r="BB12" s="637">
        <f t="shared" si="13"/>
        <v>0</v>
      </c>
      <c r="BC12" s="637">
        <f t="shared" si="13"/>
        <v>0</v>
      </c>
      <c r="BD12" s="637">
        <f t="shared" si="13"/>
        <v>0</v>
      </c>
      <c r="BE12" s="637">
        <f t="shared" si="13"/>
        <v>0</v>
      </c>
      <c r="BF12" s="637">
        <f t="shared" si="13"/>
        <v>0</v>
      </c>
      <c r="BG12" s="637">
        <f t="shared" si="13"/>
        <v>0</v>
      </c>
      <c r="BH12" s="637">
        <f t="shared" si="13"/>
        <v>0</v>
      </c>
      <c r="BI12" s="637">
        <f t="shared" si="13"/>
        <v>0</v>
      </c>
      <c r="BJ12" s="637">
        <f t="shared" si="13"/>
        <v>0</v>
      </c>
      <c r="BK12" s="637">
        <f t="shared" si="13"/>
        <v>0</v>
      </c>
      <c r="BL12" s="637">
        <f t="shared" si="13"/>
        <v>0</v>
      </c>
      <c r="BM12" s="637">
        <f t="shared" si="13"/>
        <v>0</v>
      </c>
      <c r="BN12" s="637">
        <f t="shared" si="13"/>
        <v>0</v>
      </c>
      <c r="BO12" s="637">
        <f t="shared" si="13"/>
        <v>0</v>
      </c>
      <c r="BP12" s="637">
        <f t="shared" ref="BP12:CU12" si="14">BMRUnits/Units*BP20</f>
        <v>0</v>
      </c>
      <c r="BQ12" s="637">
        <f t="shared" si="14"/>
        <v>0</v>
      </c>
      <c r="BR12" s="637">
        <f t="shared" si="14"/>
        <v>0</v>
      </c>
      <c r="BS12" s="637">
        <f t="shared" si="14"/>
        <v>0</v>
      </c>
      <c r="BT12" s="637">
        <f t="shared" si="14"/>
        <v>0</v>
      </c>
      <c r="BU12" s="637">
        <f t="shared" si="14"/>
        <v>0</v>
      </c>
      <c r="BV12" s="637">
        <f t="shared" si="14"/>
        <v>0</v>
      </c>
      <c r="BW12" s="637">
        <f t="shared" si="14"/>
        <v>0</v>
      </c>
      <c r="BX12" s="637">
        <f t="shared" si="14"/>
        <v>0</v>
      </c>
      <c r="BY12" s="637">
        <f t="shared" si="14"/>
        <v>0</v>
      </c>
      <c r="BZ12" s="637">
        <f t="shared" si="14"/>
        <v>0</v>
      </c>
      <c r="CA12" s="637">
        <f t="shared" si="14"/>
        <v>0</v>
      </c>
      <c r="CB12" s="637">
        <f t="shared" si="14"/>
        <v>0</v>
      </c>
      <c r="CC12" s="637">
        <f t="shared" si="14"/>
        <v>0</v>
      </c>
      <c r="CD12" s="637">
        <f t="shared" si="14"/>
        <v>0</v>
      </c>
      <c r="CE12" s="637">
        <f t="shared" si="14"/>
        <v>0</v>
      </c>
      <c r="CF12" s="637">
        <f t="shared" si="14"/>
        <v>0</v>
      </c>
      <c r="CG12" s="637">
        <f t="shared" si="14"/>
        <v>0</v>
      </c>
      <c r="CH12" s="637">
        <f t="shared" si="14"/>
        <v>0</v>
      </c>
      <c r="CI12" s="637">
        <f t="shared" si="14"/>
        <v>0</v>
      </c>
      <c r="CJ12" s="637">
        <f t="shared" si="14"/>
        <v>0</v>
      </c>
      <c r="CK12" s="637">
        <f t="shared" si="14"/>
        <v>0</v>
      </c>
      <c r="CL12" s="637">
        <f t="shared" si="14"/>
        <v>0</v>
      </c>
      <c r="CM12" s="637">
        <f t="shared" si="14"/>
        <v>0</v>
      </c>
      <c r="CN12" s="637">
        <f t="shared" si="14"/>
        <v>0</v>
      </c>
      <c r="CO12" s="637">
        <f t="shared" si="14"/>
        <v>0</v>
      </c>
      <c r="CP12" s="637">
        <f t="shared" si="14"/>
        <v>0</v>
      </c>
      <c r="CQ12" s="637">
        <f t="shared" si="14"/>
        <v>0</v>
      </c>
      <c r="CR12" s="637">
        <f t="shared" si="14"/>
        <v>0</v>
      </c>
      <c r="CS12" s="637">
        <f t="shared" si="14"/>
        <v>0</v>
      </c>
      <c r="CT12" s="637">
        <f t="shared" si="14"/>
        <v>0</v>
      </c>
      <c r="CU12" s="637">
        <f t="shared" si="14"/>
        <v>0</v>
      </c>
      <c r="CV12" s="637">
        <f t="shared" ref="CV12:EA12" si="15">BMRUnits/Units*CV20</f>
        <v>0</v>
      </c>
      <c r="CW12" s="637">
        <f t="shared" si="15"/>
        <v>0</v>
      </c>
      <c r="CX12" s="637">
        <f t="shared" si="15"/>
        <v>0</v>
      </c>
      <c r="CY12" s="637">
        <f t="shared" si="15"/>
        <v>0</v>
      </c>
      <c r="CZ12" s="637">
        <f t="shared" si="15"/>
        <v>0</v>
      </c>
      <c r="DA12" s="637">
        <f t="shared" si="15"/>
        <v>0</v>
      </c>
      <c r="DB12" s="637">
        <f t="shared" si="15"/>
        <v>0</v>
      </c>
      <c r="DC12" s="637">
        <f t="shared" si="15"/>
        <v>0</v>
      </c>
      <c r="DD12" s="637">
        <f t="shared" si="15"/>
        <v>0</v>
      </c>
      <c r="DE12" s="637">
        <f t="shared" si="15"/>
        <v>0</v>
      </c>
      <c r="DF12" s="637">
        <f t="shared" si="15"/>
        <v>0</v>
      </c>
      <c r="DG12" s="637">
        <f t="shared" si="15"/>
        <v>0</v>
      </c>
      <c r="DH12" s="637">
        <f t="shared" si="15"/>
        <v>0</v>
      </c>
      <c r="DI12" s="637">
        <f t="shared" si="15"/>
        <v>0</v>
      </c>
      <c r="DJ12" s="637">
        <f t="shared" si="15"/>
        <v>0</v>
      </c>
      <c r="DK12" s="637">
        <f t="shared" si="15"/>
        <v>0</v>
      </c>
      <c r="DL12" s="637">
        <f t="shared" si="15"/>
        <v>0</v>
      </c>
      <c r="DM12" s="637">
        <f t="shared" si="15"/>
        <v>0</v>
      </c>
      <c r="DN12" s="637">
        <f t="shared" si="15"/>
        <v>0</v>
      </c>
      <c r="DO12" s="637">
        <f t="shared" si="15"/>
        <v>0</v>
      </c>
      <c r="DP12" s="637">
        <f t="shared" si="15"/>
        <v>0</v>
      </c>
      <c r="DQ12" s="637">
        <f t="shared" si="15"/>
        <v>0</v>
      </c>
      <c r="DR12" s="637">
        <f t="shared" si="15"/>
        <v>0</v>
      </c>
      <c r="DS12" s="637">
        <f t="shared" si="15"/>
        <v>0</v>
      </c>
      <c r="DT12" s="637">
        <f t="shared" si="15"/>
        <v>0</v>
      </c>
      <c r="DU12" s="637">
        <f t="shared" si="15"/>
        <v>0</v>
      </c>
      <c r="DV12" s="637">
        <f t="shared" si="15"/>
        <v>0</v>
      </c>
      <c r="DW12" s="637">
        <f t="shared" si="15"/>
        <v>0</v>
      </c>
      <c r="DX12" s="637">
        <f t="shared" si="15"/>
        <v>0</v>
      </c>
      <c r="DY12" s="637">
        <f t="shared" si="15"/>
        <v>0</v>
      </c>
      <c r="DZ12" s="637">
        <f t="shared" si="15"/>
        <v>0</v>
      </c>
      <c r="EA12" s="637">
        <f t="shared" si="15"/>
        <v>0</v>
      </c>
      <c r="EB12" s="637">
        <f t="shared" ref="EB12:EG12" si="16">BMRUnits/Units*EB20</f>
        <v>0</v>
      </c>
      <c r="EC12" s="637">
        <f t="shared" si="16"/>
        <v>0</v>
      </c>
      <c r="ED12" s="637">
        <f t="shared" si="16"/>
        <v>0</v>
      </c>
      <c r="EE12" s="637">
        <f t="shared" si="16"/>
        <v>0</v>
      </c>
      <c r="EF12" s="637">
        <f t="shared" si="16"/>
        <v>0</v>
      </c>
      <c r="EG12" s="637">
        <f t="shared" si="16"/>
        <v>0</v>
      </c>
      <c r="EH12" s="637"/>
    </row>
    <row r="13" spans="1:142" x14ac:dyDescent="0.3">
      <c r="A13" s="639" t="s">
        <v>2355</v>
      </c>
      <c r="D13" s="647">
        <f t="shared" ref="D13:AI13" si="17">D12+C13</f>
        <v>0</v>
      </c>
      <c r="E13" s="229">
        <f t="shared" si="17"/>
        <v>0</v>
      </c>
      <c r="F13" s="229">
        <f t="shared" si="17"/>
        <v>0</v>
      </c>
      <c r="G13" s="229">
        <f t="shared" si="17"/>
        <v>0</v>
      </c>
      <c r="H13" s="229">
        <f t="shared" si="17"/>
        <v>0</v>
      </c>
      <c r="I13" s="229">
        <f t="shared" si="17"/>
        <v>0</v>
      </c>
      <c r="J13" s="229">
        <f t="shared" si="17"/>
        <v>0</v>
      </c>
      <c r="K13" s="229">
        <f t="shared" si="17"/>
        <v>0</v>
      </c>
      <c r="L13" s="229">
        <f t="shared" si="17"/>
        <v>0</v>
      </c>
      <c r="M13" s="229">
        <f t="shared" si="17"/>
        <v>0</v>
      </c>
      <c r="N13" s="229">
        <f t="shared" si="17"/>
        <v>0</v>
      </c>
      <c r="O13" s="229">
        <f t="shared" si="17"/>
        <v>0</v>
      </c>
      <c r="P13" s="229">
        <f t="shared" si="17"/>
        <v>0</v>
      </c>
      <c r="Q13" s="229">
        <f t="shared" si="17"/>
        <v>0</v>
      </c>
      <c r="R13" s="229">
        <f t="shared" si="17"/>
        <v>0</v>
      </c>
      <c r="S13" s="229">
        <f t="shared" si="17"/>
        <v>0</v>
      </c>
      <c r="T13" s="229">
        <f t="shared" si="17"/>
        <v>0</v>
      </c>
      <c r="U13" s="229">
        <f t="shared" si="17"/>
        <v>0</v>
      </c>
      <c r="V13" s="229">
        <f t="shared" si="17"/>
        <v>0</v>
      </c>
      <c r="W13" s="229">
        <f t="shared" si="17"/>
        <v>0</v>
      </c>
      <c r="X13" s="229">
        <f t="shared" si="17"/>
        <v>0</v>
      </c>
      <c r="Y13" s="229">
        <f t="shared" si="17"/>
        <v>0</v>
      </c>
      <c r="Z13" s="229">
        <f t="shared" si="17"/>
        <v>0</v>
      </c>
      <c r="AA13" s="229">
        <f t="shared" si="17"/>
        <v>0</v>
      </c>
      <c r="AB13" s="229">
        <f t="shared" si="17"/>
        <v>0</v>
      </c>
      <c r="AC13" s="229">
        <f t="shared" si="17"/>
        <v>0</v>
      </c>
      <c r="AD13" s="229">
        <f t="shared" si="17"/>
        <v>0</v>
      </c>
      <c r="AE13" s="229">
        <f t="shared" si="17"/>
        <v>0</v>
      </c>
      <c r="AF13" s="229">
        <f t="shared" si="17"/>
        <v>0</v>
      </c>
      <c r="AG13" s="229">
        <f t="shared" si="17"/>
        <v>0</v>
      </c>
      <c r="AH13" s="229">
        <f t="shared" si="17"/>
        <v>0</v>
      </c>
      <c r="AI13" s="229">
        <f t="shared" si="17"/>
        <v>0</v>
      </c>
      <c r="AJ13" s="229">
        <f t="shared" ref="AJ13:BO13" si="18">AJ12+AI13</f>
        <v>0</v>
      </c>
      <c r="AK13" s="229">
        <f t="shared" si="18"/>
        <v>0</v>
      </c>
      <c r="AL13" s="229">
        <f t="shared" si="18"/>
        <v>0</v>
      </c>
      <c r="AM13" s="229">
        <f t="shared" si="18"/>
        <v>0</v>
      </c>
      <c r="AN13" s="229">
        <f t="shared" si="18"/>
        <v>0</v>
      </c>
      <c r="AO13" s="229">
        <f t="shared" si="18"/>
        <v>0</v>
      </c>
      <c r="AP13" s="229">
        <f t="shared" si="18"/>
        <v>0</v>
      </c>
      <c r="AQ13" s="229">
        <f t="shared" si="18"/>
        <v>0</v>
      </c>
      <c r="AR13" s="229">
        <f t="shared" si="18"/>
        <v>0</v>
      </c>
      <c r="AS13" s="229">
        <f t="shared" si="18"/>
        <v>0</v>
      </c>
      <c r="AT13" s="229">
        <f t="shared" si="18"/>
        <v>0</v>
      </c>
      <c r="AU13" s="229">
        <f t="shared" si="18"/>
        <v>0</v>
      </c>
      <c r="AV13" s="229">
        <f t="shared" si="18"/>
        <v>0</v>
      </c>
      <c r="AW13" s="229">
        <f t="shared" si="18"/>
        <v>0</v>
      </c>
      <c r="AX13" s="229">
        <f t="shared" si="18"/>
        <v>0</v>
      </c>
      <c r="AY13" s="229">
        <f t="shared" si="18"/>
        <v>0</v>
      </c>
      <c r="AZ13" s="229">
        <f t="shared" si="18"/>
        <v>0</v>
      </c>
      <c r="BA13" s="229">
        <f t="shared" si="18"/>
        <v>0</v>
      </c>
      <c r="BB13" s="229">
        <f t="shared" si="18"/>
        <v>0</v>
      </c>
      <c r="BC13" s="229">
        <f t="shared" si="18"/>
        <v>0</v>
      </c>
      <c r="BD13" s="229">
        <f t="shared" si="18"/>
        <v>0</v>
      </c>
      <c r="BE13" s="229">
        <f t="shared" si="18"/>
        <v>0</v>
      </c>
      <c r="BF13" s="229">
        <f t="shared" si="18"/>
        <v>0</v>
      </c>
      <c r="BG13" s="229">
        <f t="shared" si="18"/>
        <v>0</v>
      </c>
      <c r="BH13" s="229">
        <f t="shared" si="18"/>
        <v>0</v>
      </c>
      <c r="BI13" s="229">
        <f t="shared" si="18"/>
        <v>0</v>
      </c>
      <c r="BJ13" s="229">
        <f t="shared" si="18"/>
        <v>0</v>
      </c>
      <c r="BK13" s="229">
        <f t="shared" si="18"/>
        <v>0</v>
      </c>
      <c r="BL13" s="229">
        <f t="shared" si="18"/>
        <v>0</v>
      </c>
      <c r="BM13" s="229">
        <f t="shared" si="18"/>
        <v>0</v>
      </c>
      <c r="BN13" s="229">
        <f t="shared" si="18"/>
        <v>0</v>
      </c>
      <c r="BO13" s="229">
        <f t="shared" si="18"/>
        <v>0</v>
      </c>
      <c r="BP13" s="229">
        <f t="shared" ref="BP13:CU13" si="19">BP12+BO13</f>
        <v>0</v>
      </c>
      <c r="BQ13" s="229">
        <f t="shared" si="19"/>
        <v>0</v>
      </c>
      <c r="BR13" s="229">
        <f t="shared" si="19"/>
        <v>0</v>
      </c>
      <c r="BS13" s="229">
        <f t="shared" si="19"/>
        <v>0</v>
      </c>
      <c r="BT13" s="229">
        <f t="shared" si="19"/>
        <v>0</v>
      </c>
      <c r="BU13" s="229">
        <f t="shared" si="19"/>
        <v>0</v>
      </c>
      <c r="BV13" s="229">
        <f t="shared" si="19"/>
        <v>0</v>
      </c>
      <c r="BW13" s="229">
        <f t="shared" si="19"/>
        <v>0</v>
      </c>
      <c r="BX13" s="229">
        <f t="shared" si="19"/>
        <v>0</v>
      </c>
      <c r="BY13" s="229">
        <f t="shared" si="19"/>
        <v>0</v>
      </c>
      <c r="BZ13" s="229">
        <f t="shared" si="19"/>
        <v>0</v>
      </c>
      <c r="CA13" s="229">
        <f t="shared" si="19"/>
        <v>0</v>
      </c>
      <c r="CB13" s="229">
        <f t="shared" si="19"/>
        <v>0</v>
      </c>
      <c r="CC13" s="229">
        <f t="shared" si="19"/>
        <v>0</v>
      </c>
      <c r="CD13" s="229">
        <f t="shared" si="19"/>
        <v>0</v>
      </c>
      <c r="CE13" s="229">
        <f t="shared" si="19"/>
        <v>0</v>
      </c>
      <c r="CF13" s="229">
        <f t="shared" si="19"/>
        <v>0</v>
      </c>
      <c r="CG13" s="229">
        <f t="shared" si="19"/>
        <v>0</v>
      </c>
      <c r="CH13" s="229">
        <f t="shared" si="19"/>
        <v>0</v>
      </c>
      <c r="CI13" s="229">
        <f t="shared" si="19"/>
        <v>0</v>
      </c>
      <c r="CJ13" s="229">
        <f t="shared" si="19"/>
        <v>0</v>
      </c>
      <c r="CK13" s="229">
        <f t="shared" si="19"/>
        <v>0</v>
      </c>
      <c r="CL13" s="229">
        <f t="shared" si="19"/>
        <v>0</v>
      </c>
      <c r="CM13" s="229">
        <f t="shared" si="19"/>
        <v>0</v>
      </c>
      <c r="CN13" s="229">
        <f t="shared" si="19"/>
        <v>0</v>
      </c>
      <c r="CO13" s="229">
        <f t="shared" si="19"/>
        <v>0</v>
      </c>
      <c r="CP13" s="229">
        <f t="shared" si="19"/>
        <v>0</v>
      </c>
      <c r="CQ13" s="229">
        <f t="shared" si="19"/>
        <v>0</v>
      </c>
      <c r="CR13" s="229">
        <f t="shared" si="19"/>
        <v>0</v>
      </c>
      <c r="CS13" s="229">
        <f t="shared" si="19"/>
        <v>0</v>
      </c>
      <c r="CT13" s="229">
        <f t="shared" si="19"/>
        <v>0</v>
      </c>
      <c r="CU13" s="229">
        <f t="shared" si="19"/>
        <v>0</v>
      </c>
      <c r="CV13" s="229">
        <f t="shared" ref="CV13:EA13" si="20">CV12+CU13</f>
        <v>0</v>
      </c>
      <c r="CW13" s="229">
        <f t="shared" si="20"/>
        <v>0</v>
      </c>
      <c r="CX13" s="229">
        <f t="shared" si="20"/>
        <v>0</v>
      </c>
      <c r="CY13" s="229">
        <f t="shared" si="20"/>
        <v>0</v>
      </c>
      <c r="CZ13" s="229">
        <f t="shared" si="20"/>
        <v>0</v>
      </c>
      <c r="DA13" s="229">
        <f t="shared" si="20"/>
        <v>0</v>
      </c>
      <c r="DB13" s="229">
        <f t="shared" si="20"/>
        <v>0</v>
      </c>
      <c r="DC13" s="229">
        <f t="shared" si="20"/>
        <v>0</v>
      </c>
      <c r="DD13" s="229">
        <f t="shared" si="20"/>
        <v>0</v>
      </c>
      <c r="DE13" s="229">
        <f t="shared" si="20"/>
        <v>0</v>
      </c>
      <c r="DF13" s="229">
        <f t="shared" si="20"/>
        <v>0</v>
      </c>
      <c r="DG13" s="229">
        <f t="shared" si="20"/>
        <v>0</v>
      </c>
      <c r="DH13" s="229">
        <f t="shared" si="20"/>
        <v>0</v>
      </c>
      <c r="DI13" s="229">
        <f t="shared" si="20"/>
        <v>0</v>
      </c>
      <c r="DJ13" s="229">
        <f t="shared" si="20"/>
        <v>0</v>
      </c>
      <c r="DK13" s="229">
        <f t="shared" si="20"/>
        <v>0</v>
      </c>
      <c r="DL13" s="229">
        <f t="shared" si="20"/>
        <v>0</v>
      </c>
      <c r="DM13" s="229">
        <f t="shared" si="20"/>
        <v>0</v>
      </c>
      <c r="DN13" s="229">
        <f t="shared" si="20"/>
        <v>0</v>
      </c>
      <c r="DO13" s="229">
        <f t="shared" si="20"/>
        <v>0</v>
      </c>
      <c r="DP13" s="229">
        <f t="shared" si="20"/>
        <v>0</v>
      </c>
      <c r="DQ13" s="229">
        <f t="shared" si="20"/>
        <v>0</v>
      </c>
      <c r="DR13" s="229">
        <f t="shared" si="20"/>
        <v>0</v>
      </c>
      <c r="DS13" s="229">
        <f t="shared" si="20"/>
        <v>0</v>
      </c>
      <c r="DT13" s="229">
        <f t="shared" si="20"/>
        <v>0</v>
      </c>
      <c r="DU13" s="229">
        <f t="shared" si="20"/>
        <v>0</v>
      </c>
      <c r="DV13" s="229">
        <f t="shared" si="20"/>
        <v>0</v>
      </c>
      <c r="DW13" s="229">
        <f t="shared" si="20"/>
        <v>0</v>
      </c>
      <c r="DX13" s="229">
        <f t="shared" si="20"/>
        <v>0</v>
      </c>
      <c r="DY13" s="229">
        <f t="shared" si="20"/>
        <v>0</v>
      </c>
      <c r="DZ13" s="229">
        <f t="shared" si="20"/>
        <v>0</v>
      </c>
      <c r="EA13" s="229">
        <f t="shared" si="20"/>
        <v>0</v>
      </c>
      <c r="EB13" s="229">
        <f t="shared" ref="EB13:EG13" si="21">EB12+EA13</f>
        <v>0</v>
      </c>
      <c r="EC13" s="229">
        <f t="shared" si="21"/>
        <v>0</v>
      </c>
      <c r="ED13" s="229">
        <f t="shared" si="21"/>
        <v>0</v>
      </c>
      <c r="EE13" s="229">
        <f t="shared" si="21"/>
        <v>0</v>
      </c>
      <c r="EF13" s="229">
        <f t="shared" si="21"/>
        <v>0</v>
      </c>
      <c r="EG13" s="229">
        <f t="shared" si="21"/>
        <v>0</v>
      </c>
      <c r="EH13" s="229"/>
    </row>
    <row r="14" spans="1:142" ht="7.5" customHeight="1" x14ac:dyDescent="0.3">
      <c r="B14" s="203"/>
      <c r="C14" s="203"/>
      <c r="D14" s="646"/>
    </row>
    <row r="15" spans="1:142" x14ac:dyDescent="0.3">
      <c r="A15" t="s">
        <v>2356</v>
      </c>
      <c r="D15" s="647">
        <f t="shared" ref="D15:AI15" si="22">C17</f>
        <v>0</v>
      </c>
      <c r="E15" s="229">
        <f t="shared" si="22"/>
        <v>0</v>
      </c>
      <c r="F15" s="636">
        <f t="shared" si="22"/>
        <v>0</v>
      </c>
      <c r="G15" s="636">
        <f t="shared" si="22"/>
        <v>0</v>
      </c>
      <c r="H15" s="636">
        <f t="shared" si="22"/>
        <v>0</v>
      </c>
      <c r="I15" s="636">
        <f t="shared" si="22"/>
        <v>0</v>
      </c>
      <c r="J15" s="636">
        <f t="shared" si="22"/>
        <v>0</v>
      </c>
      <c r="K15" s="636">
        <f t="shared" si="22"/>
        <v>0</v>
      </c>
      <c r="L15" s="636">
        <f t="shared" si="22"/>
        <v>0</v>
      </c>
      <c r="M15" s="636">
        <f t="shared" si="22"/>
        <v>0</v>
      </c>
      <c r="N15" s="636">
        <f t="shared" si="22"/>
        <v>0</v>
      </c>
      <c r="O15" s="636">
        <f t="shared" si="22"/>
        <v>0</v>
      </c>
      <c r="P15" s="636">
        <f t="shared" si="22"/>
        <v>0</v>
      </c>
      <c r="Q15" s="636">
        <f t="shared" si="22"/>
        <v>0</v>
      </c>
      <c r="R15" s="636">
        <f t="shared" si="22"/>
        <v>0</v>
      </c>
      <c r="S15" s="636">
        <f t="shared" si="22"/>
        <v>0</v>
      </c>
      <c r="T15" s="636">
        <f t="shared" si="22"/>
        <v>21.333333333333332</v>
      </c>
      <c r="U15" s="636">
        <f t="shared" si="22"/>
        <v>42.666666666666664</v>
      </c>
      <c r="V15" s="636">
        <f t="shared" si="22"/>
        <v>64</v>
      </c>
      <c r="W15" s="636">
        <f t="shared" si="22"/>
        <v>85.333333333333329</v>
      </c>
      <c r="X15" s="636">
        <f t="shared" si="22"/>
        <v>106.66666666666666</v>
      </c>
      <c r="Y15" s="636">
        <f t="shared" si="22"/>
        <v>127.99999999999999</v>
      </c>
      <c r="Z15" s="636">
        <f t="shared" si="22"/>
        <v>149.33333333333331</v>
      </c>
      <c r="AA15" s="636">
        <f t="shared" si="22"/>
        <v>170.66666666666666</v>
      </c>
      <c r="AB15" s="636">
        <f t="shared" si="22"/>
        <v>192</v>
      </c>
      <c r="AC15" s="636">
        <f t="shared" si="22"/>
        <v>213.33333333333334</v>
      </c>
      <c r="AD15" s="636">
        <f t="shared" si="22"/>
        <v>234.66666666666669</v>
      </c>
      <c r="AE15" s="636">
        <f t="shared" si="22"/>
        <v>256</v>
      </c>
      <c r="AF15" s="636">
        <f t="shared" si="22"/>
        <v>256</v>
      </c>
      <c r="AG15" s="636">
        <f t="shared" si="22"/>
        <v>256</v>
      </c>
      <c r="AH15" s="636">
        <f t="shared" si="22"/>
        <v>256</v>
      </c>
      <c r="AI15" s="636">
        <f t="shared" si="22"/>
        <v>256</v>
      </c>
      <c r="AJ15" s="636">
        <f t="shared" ref="AJ15:BO15" si="23">AI17</f>
        <v>256</v>
      </c>
      <c r="AK15" s="636">
        <f t="shared" si="23"/>
        <v>256</v>
      </c>
      <c r="AL15" s="636">
        <f t="shared" si="23"/>
        <v>256</v>
      </c>
      <c r="AM15" s="636">
        <f t="shared" si="23"/>
        <v>256</v>
      </c>
      <c r="AN15" s="636">
        <f t="shared" si="23"/>
        <v>256</v>
      </c>
      <c r="AO15" s="636">
        <f t="shared" si="23"/>
        <v>256</v>
      </c>
      <c r="AP15" s="229">
        <f t="shared" si="23"/>
        <v>256</v>
      </c>
      <c r="AQ15" s="229">
        <f t="shared" si="23"/>
        <v>256</v>
      </c>
      <c r="AR15" s="229">
        <f t="shared" si="23"/>
        <v>256</v>
      </c>
      <c r="AS15" s="229">
        <f t="shared" si="23"/>
        <v>256</v>
      </c>
      <c r="AT15" s="229">
        <f t="shared" si="23"/>
        <v>256</v>
      </c>
      <c r="AU15" s="229">
        <f t="shared" si="23"/>
        <v>256</v>
      </c>
      <c r="AV15" s="229">
        <f t="shared" si="23"/>
        <v>256</v>
      </c>
      <c r="AW15" s="229">
        <f t="shared" si="23"/>
        <v>256</v>
      </c>
      <c r="AX15" s="229">
        <f t="shared" si="23"/>
        <v>256</v>
      </c>
      <c r="AY15" s="229">
        <f t="shared" si="23"/>
        <v>256</v>
      </c>
      <c r="AZ15" s="229">
        <f t="shared" si="23"/>
        <v>256</v>
      </c>
      <c r="BA15" s="229">
        <f t="shared" si="23"/>
        <v>256</v>
      </c>
      <c r="BB15" s="229">
        <f t="shared" si="23"/>
        <v>256</v>
      </c>
      <c r="BC15" s="229">
        <f t="shared" si="23"/>
        <v>256</v>
      </c>
      <c r="BD15" s="229">
        <f t="shared" si="23"/>
        <v>256</v>
      </c>
      <c r="BE15" s="229">
        <f t="shared" si="23"/>
        <v>256</v>
      </c>
      <c r="BF15" s="229">
        <f t="shared" si="23"/>
        <v>256</v>
      </c>
      <c r="BG15" s="229">
        <f t="shared" si="23"/>
        <v>256</v>
      </c>
      <c r="BH15" s="229">
        <f t="shared" si="23"/>
        <v>256</v>
      </c>
      <c r="BI15" s="229">
        <f t="shared" si="23"/>
        <v>256</v>
      </c>
      <c r="BJ15" s="229">
        <f t="shared" si="23"/>
        <v>256</v>
      </c>
      <c r="BK15" s="229">
        <f t="shared" si="23"/>
        <v>256</v>
      </c>
      <c r="BL15" s="229">
        <f t="shared" si="23"/>
        <v>256</v>
      </c>
      <c r="BM15" s="229">
        <f t="shared" si="23"/>
        <v>256</v>
      </c>
      <c r="BN15" s="229">
        <f t="shared" si="23"/>
        <v>256</v>
      </c>
      <c r="BO15" s="229">
        <f t="shared" si="23"/>
        <v>256</v>
      </c>
      <c r="BP15" s="229">
        <f t="shared" ref="BP15:CU15" si="24">BO17</f>
        <v>256</v>
      </c>
      <c r="BQ15" s="229">
        <f t="shared" si="24"/>
        <v>256</v>
      </c>
      <c r="BR15" s="229">
        <f t="shared" si="24"/>
        <v>256</v>
      </c>
      <c r="BS15" s="229">
        <f t="shared" si="24"/>
        <v>256</v>
      </c>
      <c r="BT15" s="229">
        <f t="shared" si="24"/>
        <v>256</v>
      </c>
      <c r="BU15" s="229">
        <f t="shared" si="24"/>
        <v>256</v>
      </c>
      <c r="BV15" s="229">
        <f t="shared" si="24"/>
        <v>256</v>
      </c>
      <c r="BW15" s="229">
        <f t="shared" si="24"/>
        <v>256</v>
      </c>
      <c r="BX15" s="229">
        <f t="shared" si="24"/>
        <v>256</v>
      </c>
      <c r="BY15" s="229">
        <f t="shared" si="24"/>
        <v>256</v>
      </c>
      <c r="BZ15" s="229">
        <f t="shared" si="24"/>
        <v>256</v>
      </c>
      <c r="CA15" s="229">
        <f t="shared" si="24"/>
        <v>256</v>
      </c>
      <c r="CB15" s="229">
        <f t="shared" si="24"/>
        <v>256</v>
      </c>
      <c r="CC15" s="229">
        <f t="shared" si="24"/>
        <v>256</v>
      </c>
      <c r="CD15" s="229">
        <f t="shared" si="24"/>
        <v>256</v>
      </c>
      <c r="CE15" s="229">
        <f t="shared" si="24"/>
        <v>256</v>
      </c>
      <c r="CF15" s="229">
        <f t="shared" si="24"/>
        <v>256</v>
      </c>
      <c r="CG15" s="229">
        <f t="shared" si="24"/>
        <v>256</v>
      </c>
      <c r="CH15" s="229">
        <f t="shared" si="24"/>
        <v>256</v>
      </c>
      <c r="CI15" s="229">
        <f t="shared" si="24"/>
        <v>256</v>
      </c>
      <c r="CJ15" s="229">
        <f t="shared" si="24"/>
        <v>256</v>
      </c>
      <c r="CK15" s="229">
        <f t="shared" si="24"/>
        <v>256</v>
      </c>
      <c r="CL15" s="229">
        <f t="shared" si="24"/>
        <v>256</v>
      </c>
      <c r="CM15" s="229">
        <f t="shared" si="24"/>
        <v>256</v>
      </c>
      <c r="CN15" s="229">
        <f t="shared" si="24"/>
        <v>256</v>
      </c>
      <c r="CO15" s="229">
        <f t="shared" si="24"/>
        <v>256</v>
      </c>
      <c r="CP15" s="229">
        <f t="shared" si="24"/>
        <v>256</v>
      </c>
      <c r="CQ15" s="229">
        <f t="shared" si="24"/>
        <v>256</v>
      </c>
      <c r="CR15" s="229">
        <f t="shared" si="24"/>
        <v>256</v>
      </c>
      <c r="CS15" s="229">
        <f t="shared" si="24"/>
        <v>256</v>
      </c>
      <c r="CT15" s="229">
        <f t="shared" si="24"/>
        <v>256</v>
      </c>
      <c r="CU15" s="229">
        <f t="shared" si="24"/>
        <v>256</v>
      </c>
      <c r="CV15" s="229">
        <f t="shared" ref="CV15:EA15" si="25">CU17</f>
        <v>256</v>
      </c>
      <c r="CW15" s="229">
        <f t="shared" si="25"/>
        <v>256</v>
      </c>
      <c r="CX15" s="229">
        <f t="shared" si="25"/>
        <v>256</v>
      </c>
      <c r="CY15" s="229">
        <f t="shared" si="25"/>
        <v>256</v>
      </c>
      <c r="CZ15" s="229">
        <f t="shared" si="25"/>
        <v>256</v>
      </c>
      <c r="DA15" s="229">
        <f t="shared" si="25"/>
        <v>256</v>
      </c>
      <c r="DB15" s="229">
        <f t="shared" si="25"/>
        <v>256</v>
      </c>
      <c r="DC15" s="229">
        <f t="shared" si="25"/>
        <v>256</v>
      </c>
      <c r="DD15" s="229">
        <f t="shared" si="25"/>
        <v>256</v>
      </c>
      <c r="DE15" s="229">
        <f t="shared" si="25"/>
        <v>256</v>
      </c>
      <c r="DF15" s="229">
        <f t="shared" si="25"/>
        <v>256</v>
      </c>
      <c r="DG15" s="229">
        <f t="shared" si="25"/>
        <v>256</v>
      </c>
      <c r="DH15" s="229">
        <f t="shared" si="25"/>
        <v>256</v>
      </c>
      <c r="DI15" s="229">
        <f t="shared" si="25"/>
        <v>256</v>
      </c>
      <c r="DJ15" s="229">
        <f t="shared" si="25"/>
        <v>256</v>
      </c>
      <c r="DK15" s="229">
        <f t="shared" si="25"/>
        <v>256</v>
      </c>
      <c r="DL15" s="229">
        <f t="shared" si="25"/>
        <v>256</v>
      </c>
      <c r="DM15" s="229">
        <f t="shared" si="25"/>
        <v>256</v>
      </c>
      <c r="DN15" s="229">
        <f t="shared" si="25"/>
        <v>256</v>
      </c>
      <c r="DO15" s="229">
        <f t="shared" si="25"/>
        <v>256</v>
      </c>
      <c r="DP15" s="229">
        <f t="shared" si="25"/>
        <v>256</v>
      </c>
      <c r="DQ15" s="229">
        <f t="shared" si="25"/>
        <v>256</v>
      </c>
      <c r="DR15" s="229">
        <f t="shared" si="25"/>
        <v>256</v>
      </c>
      <c r="DS15" s="229">
        <f t="shared" si="25"/>
        <v>256</v>
      </c>
      <c r="DT15" s="229">
        <f t="shared" si="25"/>
        <v>256</v>
      </c>
      <c r="DU15" s="229">
        <f t="shared" si="25"/>
        <v>256</v>
      </c>
      <c r="DV15" s="229">
        <f t="shared" si="25"/>
        <v>256</v>
      </c>
      <c r="DW15" s="229">
        <f t="shared" si="25"/>
        <v>256</v>
      </c>
      <c r="DX15" s="229">
        <f t="shared" si="25"/>
        <v>256</v>
      </c>
      <c r="DY15" s="229">
        <f t="shared" si="25"/>
        <v>256</v>
      </c>
      <c r="DZ15" s="229">
        <f t="shared" si="25"/>
        <v>256</v>
      </c>
      <c r="EA15" s="229">
        <f t="shared" si="25"/>
        <v>256</v>
      </c>
      <c r="EB15" s="229">
        <f t="shared" ref="EB15:EG15" si="26">EA17</f>
        <v>256</v>
      </c>
      <c r="EC15" s="229">
        <f t="shared" si="26"/>
        <v>256</v>
      </c>
      <c r="ED15" s="229">
        <f t="shared" si="26"/>
        <v>256</v>
      </c>
      <c r="EE15" s="229">
        <f t="shared" si="26"/>
        <v>256</v>
      </c>
      <c r="EF15" s="229">
        <f t="shared" si="26"/>
        <v>256</v>
      </c>
      <c r="EG15" s="229">
        <f t="shared" si="26"/>
        <v>256</v>
      </c>
      <c r="EH15" s="229"/>
    </row>
    <row r="16" spans="1:142" x14ac:dyDescent="0.3">
      <c r="A16" s="241" t="s">
        <v>2357</v>
      </c>
      <c r="B16" s="241"/>
      <c r="C16" s="241" t="s">
        <v>966</v>
      </c>
      <c r="D16" s="648">
        <f t="shared" ref="D16:AO16" si="27">MarketRateUnits/Units*D20</f>
        <v>0</v>
      </c>
      <c r="E16" s="637">
        <f t="shared" si="27"/>
        <v>0</v>
      </c>
      <c r="F16" s="638">
        <f t="shared" si="27"/>
        <v>0</v>
      </c>
      <c r="G16" s="638">
        <f t="shared" si="27"/>
        <v>0</v>
      </c>
      <c r="H16" s="638">
        <f t="shared" si="27"/>
        <v>0</v>
      </c>
      <c r="I16" s="638">
        <f t="shared" si="27"/>
        <v>0</v>
      </c>
      <c r="J16" s="638">
        <f t="shared" si="27"/>
        <v>0</v>
      </c>
      <c r="K16" s="638">
        <f t="shared" si="27"/>
        <v>0</v>
      </c>
      <c r="L16" s="638">
        <f t="shared" si="27"/>
        <v>0</v>
      </c>
      <c r="M16" s="638">
        <f t="shared" si="27"/>
        <v>0</v>
      </c>
      <c r="N16" s="638">
        <f t="shared" si="27"/>
        <v>0</v>
      </c>
      <c r="O16" s="638">
        <f t="shared" si="27"/>
        <v>0</v>
      </c>
      <c r="P16" s="638">
        <f t="shared" si="27"/>
        <v>0</v>
      </c>
      <c r="Q16" s="638">
        <f t="shared" si="27"/>
        <v>0</v>
      </c>
      <c r="R16" s="638">
        <f t="shared" si="27"/>
        <v>0</v>
      </c>
      <c r="S16" s="638">
        <f t="shared" si="27"/>
        <v>21.333333333333332</v>
      </c>
      <c r="T16" s="638">
        <f t="shared" si="27"/>
        <v>21.333333333333332</v>
      </c>
      <c r="U16" s="638">
        <f t="shared" si="27"/>
        <v>21.333333333333332</v>
      </c>
      <c r="V16" s="638">
        <f t="shared" si="27"/>
        <v>21.333333333333332</v>
      </c>
      <c r="W16" s="638">
        <f t="shared" si="27"/>
        <v>21.333333333333332</v>
      </c>
      <c r="X16" s="638">
        <f t="shared" si="27"/>
        <v>21.333333333333332</v>
      </c>
      <c r="Y16" s="638">
        <f t="shared" si="27"/>
        <v>21.333333333333332</v>
      </c>
      <c r="Z16" s="638">
        <f t="shared" si="27"/>
        <v>21.333333333333332</v>
      </c>
      <c r="AA16" s="638">
        <f t="shared" si="27"/>
        <v>21.333333333333332</v>
      </c>
      <c r="AB16" s="638">
        <f t="shared" si="27"/>
        <v>21.333333333333332</v>
      </c>
      <c r="AC16" s="638">
        <f t="shared" si="27"/>
        <v>21.333333333333332</v>
      </c>
      <c r="AD16" s="638">
        <f t="shared" si="27"/>
        <v>21.333333333333332</v>
      </c>
      <c r="AE16" s="638">
        <f t="shared" si="27"/>
        <v>0</v>
      </c>
      <c r="AF16" s="638">
        <f t="shared" si="27"/>
        <v>0</v>
      </c>
      <c r="AG16" s="638">
        <f t="shared" si="27"/>
        <v>0</v>
      </c>
      <c r="AH16" s="638">
        <f t="shared" si="27"/>
        <v>0</v>
      </c>
      <c r="AI16" s="638">
        <f t="shared" si="27"/>
        <v>0</v>
      </c>
      <c r="AJ16" s="638">
        <f t="shared" si="27"/>
        <v>0</v>
      </c>
      <c r="AK16" s="638">
        <f t="shared" si="27"/>
        <v>0</v>
      </c>
      <c r="AL16" s="638">
        <f t="shared" si="27"/>
        <v>0</v>
      </c>
      <c r="AM16" s="638">
        <f t="shared" si="27"/>
        <v>0</v>
      </c>
      <c r="AN16" s="638">
        <f t="shared" si="27"/>
        <v>0</v>
      </c>
      <c r="AO16" s="638">
        <f t="shared" si="27"/>
        <v>0</v>
      </c>
      <c r="AP16" s="242">
        <f t="shared" ref="AP16:BO16" si="28">MarketRateUnits/Units*AP20</f>
        <v>0</v>
      </c>
      <c r="AQ16" s="242">
        <f t="shared" si="28"/>
        <v>0</v>
      </c>
      <c r="AR16" s="242">
        <f t="shared" si="28"/>
        <v>0</v>
      </c>
      <c r="AS16" s="242">
        <f t="shared" si="28"/>
        <v>0</v>
      </c>
      <c r="AT16" s="242">
        <f t="shared" si="28"/>
        <v>0</v>
      </c>
      <c r="AU16" s="242">
        <f t="shared" si="28"/>
        <v>0</v>
      </c>
      <c r="AV16" s="242">
        <f t="shared" si="28"/>
        <v>0</v>
      </c>
      <c r="AW16" s="242">
        <f t="shared" si="28"/>
        <v>0</v>
      </c>
      <c r="AX16" s="242">
        <f t="shared" si="28"/>
        <v>0</v>
      </c>
      <c r="AY16" s="242">
        <f t="shared" si="28"/>
        <v>0</v>
      </c>
      <c r="AZ16" s="242">
        <f t="shared" si="28"/>
        <v>0</v>
      </c>
      <c r="BA16" s="242">
        <f t="shared" si="28"/>
        <v>0</v>
      </c>
      <c r="BB16" s="242">
        <f t="shared" si="28"/>
        <v>0</v>
      </c>
      <c r="BC16" s="242">
        <f t="shared" si="28"/>
        <v>0</v>
      </c>
      <c r="BD16" s="242">
        <f t="shared" si="28"/>
        <v>0</v>
      </c>
      <c r="BE16" s="242">
        <f t="shared" si="28"/>
        <v>0</v>
      </c>
      <c r="BF16" s="242">
        <f t="shared" si="28"/>
        <v>0</v>
      </c>
      <c r="BG16" s="242">
        <f t="shared" si="28"/>
        <v>0</v>
      </c>
      <c r="BH16" s="242">
        <f t="shared" si="28"/>
        <v>0</v>
      </c>
      <c r="BI16" s="242">
        <f t="shared" si="28"/>
        <v>0</v>
      </c>
      <c r="BJ16" s="242">
        <f t="shared" si="28"/>
        <v>0</v>
      </c>
      <c r="BK16" s="242">
        <f t="shared" si="28"/>
        <v>0</v>
      </c>
      <c r="BL16" s="242">
        <f t="shared" si="28"/>
        <v>0</v>
      </c>
      <c r="BM16" s="242">
        <f t="shared" si="28"/>
        <v>0</v>
      </c>
      <c r="BN16" s="242">
        <f t="shared" si="28"/>
        <v>0</v>
      </c>
      <c r="BO16" s="242">
        <f t="shared" si="28"/>
        <v>0</v>
      </c>
      <c r="BP16" s="242">
        <f t="shared" ref="BP16:CU16" si="29">MarketRateUnits/Units*BP20</f>
        <v>0</v>
      </c>
      <c r="BQ16" s="242">
        <f t="shared" si="29"/>
        <v>0</v>
      </c>
      <c r="BR16" s="242">
        <f t="shared" si="29"/>
        <v>0</v>
      </c>
      <c r="BS16" s="242">
        <f t="shared" si="29"/>
        <v>0</v>
      </c>
      <c r="BT16" s="242">
        <f t="shared" si="29"/>
        <v>0</v>
      </c>
      <c r="BU16" s="242">
        <f t="shared" si="29"/>
        <v>0</v>
      </c>
      <c r="BV16" s="242">
        <f t="shared" si="29"/>
        <v>0</v>
      </c>
      <c r="BW16" s="242">
        <f t="shared" si="29"/>
        <v>0</v>
      </c>
      <c r="BX16" s="242">
        <f t="shared" si="29"/>
        <v>0</v>
      </c>
      <c r="BY16" s="242">
        <f t="shared" si="29"/>
        <v>0</v>
      </c>
      <c r="BZ16" s="242">
        <f t="shared" si="29"/>
        <v>0</v>
      </c>
      <c r="CA16" s="242">
        <f t="shared" si="29"/>
        <v>0</v>
      </c>
      <c r="CB16" s="242">
        <f t="shared" si="29"/>
        <v>0</v>
      </c>
      <c r="CC16" s="242">
        <f t="shared" si="29"/>
        <v>0</v>
      </c>
      <c r="CD16" s="242">
        <f t="shared" si="29"/>
        <v>0</v>
      </c>
      <c r="CE16" s="242">
        <f t="shared" si="29"/>
        <v>0</v>
      </c>
      <c r="CF16" s="242">
        <f t="shared" si="29"/>
        <v>0</v>
      </c>
      <c r="CG16" s="242">
        <f t="shared" si="29"/>
        <v>0</v>
      </c>
      <c r="CH16" s="242">
        <f t="shared" si="29"/>
        <v>0</v>
      </c>
      <c r="CI16" s="242">
        <f t="shared" si="29"/>
        <v>0</v>
      </c>
      <c r="CJ16" s="242">
        <f t="shared" si="29"/>
        <v>0</v>
      </c>
      <c r="CK16" s="242">
        <f t="shared" si="29"/>
        <v>0</v>
      </c>
      <c r="CL16" s="242">
        <f t="shared" si="29"/>
        <v>0</v>
      </c>
      <c r="CM16" s="242">
        <f t="shared" si="29"/>
        <v>0</v>
      </c>
      <c r="CN16" s="242">
        <f t="shared" si="29"/>
        <v>0</v>
      </c>
      <c r="CO16" s="242">
        <f t="shared" si="29"/>
        <v>0</v>
      </c>
      <c r="CP16" s="242">
        <f t="shared" si="29"/>
        <v>0</v>
      </c>
      <c r="CQ16" s="242">
        <f t="shared" si="29"/>
        <v>0</v>
      </c>
      <c r="CR16" s="242">
        <f t="shared" si="29"/>
        <v>0</v>
      </c>
      <c r="CS16" s="242">
        <f t="shared" si="29"/>
        <v>0</v>
      </c>
      <c r="CT16" s="242">
        <f t="shared" si="29"/>
        <v>0</v>
      </c>
      <c r="CU16" s="242">
        <f t="shared" si="29"/>
        <v>0</v>
      </c>
      <c r="CV16" s="242">
        <f t="shared" ref="CV16:EA16" si="30">MarketRateUnits/Units*CV20</f>
        <v>0</v>
      </c>
      <c r="CW16" s="242">
        <f t="shared" si="30"/>
        <v>0</v>
      </c>
      <c r="CX16" s="242">
        <f t="shared" si="30"/>
        <v>0</v>
      </c>
      <c r="CY16" s="242">
        <f t="shared" si="30"/>
        <v>0</v>
      </c>
      <c r="CZ16" s="242">
        <f t="shared" si="30"/>
        <v>0</v>
      </c>
      <c r="DA16" s="242">
        <f t="shared" si="30"/>
        <v>0</v>
      </c>
      <c r="DB16" s="242">
        <f t="shared" si="30"/>
        <v>0</v>
      </c>
      <c r="DC16" s="242">
        <f t="shared" si="30"/>
        <v>0</v>
      </c>
      <c r="DD16" s="242">
        <f t="shared" si="30"/>
        <v>0</v>
      </c>
      <c r="DE16" s="242">
        <f t="shared" si="30"/>
        <v>0</v>
      </c>
      <c r="DF16" s="242">
        <f t="shared" si="30"/>
        <v>0</v>
      </c>
      <c r="DG16" s="242">
        <f t="shared" si="30"/>
        <v>0</v>
      </c>
      <c r="DH16" s="242">
        <f t="shared" si="30"/>
        <v>0</v>
      </c>
      <c r="DI16" s="242">
        <f t="shared" si="30"/>
        <v>0</v>
      </c>
      <c r="DJ16" s="242">
        <f t="shared" si="30"/>
        <v>0</v>
      </c>
      <c r="DK16" s="242">
        <f t="shared" si="30"/>
        <v>0</v>
      </c>
      <c r="DL16" s="242">
        <f t="shared" si="30"/>
        <v>0</v>
      </c>
      <c r="DM16" s="242">
        <f t="shared" si="30"/>
        <v>0</v>
      </c>
      <c r="DN16" s="242">
        <f t="shared" si="30"/>
        <v>0</v>
      </c>
      <c r="DO16" s="242">
        <f t="shared" si="30"/>
        <v>0</v>
      </c>
      <c r="DP16" s="242">
        <f t="shared" si="30"/>
        <v>0</v>
      </c>
      <c r="DQ16" s="242">
        <f t="shared" si="30"/>
        <v>0</v>
      </c>
      <c r="DR16" s="242">
        <f t="shared" si="30"/>
        <v>0</v>
      </c>
      <c r="DS16" s="242">
        <f t="shared" si="30"/>
        <v>0</v>
      </c>
      <c r="DT16" s="242">
        <f t="shared" si="30"/>
        <v>0</v>
      </c>
      <c r="DU16" s="242">
        <f t="shared" si="30"/>
        <v>0</v>
      </c>
      <c r="DV16" s="242">
        <f t="shared" si="30"/>
        <v>0</v>
      </c>
      <c r="DW16" s="242">
        <f t="shared" si="30"/>
        <v>0</v>
      </c>
      <c r="DX16" s="242">
        <f t="shared" si="30"/>
        <v>0</v>
      </c>
      <c r="DY16" s="242">
        <f t="shared" si="30"/>
        <v>0</v>
      </c>
      <c r="DZ16" s="242">
        <f t="shared" si="30"/>
        <v>0</v>
      </c>
      <c r="EA16" s="242">
        <f t="shared" si="30"/>
        <v>0</v>
      </c>
      <c r="EB16" s="242">
        <f t="shared" ref="EB16:EG16" si="31">MarketRateUnits/Units*EB20</f>
        <v>0</v>
      </c>
      <c r="EC16" s="242">
        <f t="shared" si="31"/>
        <v>0</v>
      </c>
      <c r="ED16" s="242">
        <f t="shared" si="31"/>
        <v>0</v>
      </c>
      <c r="EE16" s="242">
        <f t="shared" si="31"/>
        <v>0</v>
      </c>
      <c r="EF16" s="242">
        <f t="shared" si="31"/>
        <v>0</v>
      </c>
      <c r="EG16" s="242">
        <f t="shared" si="31"/>
        <v>0</v>
      </c>
      <c r="EH16" s="242"/>
    </row>
    <row r="17" spans="1:139" x14ac:dyDescent="0.3">
      <c r="A17" s="639" t="s">
        <v>2358</v>
      </c>
      <c r="D17" s="647">
        <f t="shared" ref="D17:AI17" si="32">D16+C17</f>
        <v>0</v>
      </c>
      <c r="E17" s="229">
        <f t="shared" si="32"/>
        <v>0</v>
      </c>
      <c r="F17" s="229">
        <f t="shared" si="32"/>
        <v>0</v>
      </c>
      <c r="G17" s="229">
        <f t="shared" si="32"/>
        <v>0</v>
      </c>
      <c r="H17" s="229">
        <f t="shared" si="32"/>
        <v>0</v>
      </c>
      <c r="I17" s="229">
        <f t="shared" si="32"/>
        <v>0</v>
      </c>
      <c r="J17" s="229">
        <f t="shared" si="32"/>
        <v>0</v>
      </c>
      <c r="K17" s="229">
        <f t="shared" si="32"/>
        <v>0</v>
      </c>
      <c r="L17" s="229">
        <f t="shared" si="32"/>
        <v>0</v>
      </c>
      <c r="M17" s="229">
        <f t="shared" si="32"/>
        <v>0</v>
      </c>
      <c r="N17" s="229">
        <f t="shared" si="32"/>
        <v>0</v>
      </c>
      <c r="O17" s="229">
        <f t="shared" si="32"/>
        <v>0</v>
      </c>
      <c r="P17" s="229">
        <f t="shared" si="32"/>
        <v>0</v>
      </c>
      <c r="Q17" s="229">
        <f t="shared" si="32"/>
        <v>0</v>
      </c>
      <c r="R17" s="229">
        <f t="shared" si="32"/>
        <v>0</v>
      </c>
      <c r="S17" s="229">
        <f t="shared" si="32"/>
        <v>21.333333333333332</v>
      </c>
      <c r="T17" s="229">
        <f t="shared" si="32"/>
        <v>42.666666666666664</v>
      </c>
      <c r="U17" s="229">
        <f t="shared" si="32"/>
        <v>64</v>
      </c>
      <c r="V17" s="229">
        <f t="shared" si="32"/>
        <v>85.333333333333329</v>
      </c>
      <c r="W17" s="229">
        <f t="shared" si="32"/>
        <v>106.66666666666666</v>
      </c>
      <c r="X17" s="229">
        <f t="shared" si="32"/>
        <v>127.99999999999999</v>
      </c>
      <c r="Y17" s="229">
        <f t="shared" si="32"/>
        <v>149.33333333333331</v>
      </c>
      <c r="Z17" s="229">
        <f t="shared" si="32"/>
        <v>170.66666666666666</v>
      </c>
      <c r="AA17" s="229">
        <f t="shared" si="32"/>
        <v>192</v>
      </c>
      <c r="AB17" s="229">
        <f t="shared" si="32"/>
        <v>213.33333333333334</v>
      </c>
      <c r="AC17" s="229">
        <f t="shared" si="32"/>
        <v>234.66666666666669</v>
      </c>
      <c r="AD17" s="229">
        <f t="shared" si="32"/>
        <v>256</v>
      </c>
      <c r="AE17" s="229">
        <f t="shared" si="32"/>
        <v>256</v>
      </c>
      <c r="AF17" s="229">
        <f t="shared" si="32"/>
        <v>256</v>
      </c>
      <c r="AG17" s="229">
        <f t="shared" si="32"/>
        <v>256</v>
      </c>
      <c r="AH17" s="229">
        <f t="shared" si="32"/>
        <v>256</v>
      </c>
      <c r="AI17" s="229">
        <f t="shared" si="32"/>
        <v>256</v>
      </c>
      <c r="AJ17" s="229">
        <f t="shared" ref="AJ17:BO17" si="33">AJ16+AI17</f>
        <v>256</v>
      </c>
      <c r="AK17" s="229">
        <f t="shared" si="33"/>
        <v>256</v>
      </c>
      <c r="AL17" s="229">
        <f t="shared" si="33"/>
        <v>256</v>
      </c>
      <c r="AM17" s="229">
        <f t="shared" si="33"/>
        <v>256</v>
      </c>
      <c r="AN17" s="229">
        <f t="shared" si="33"/>
        <v>256</v>
      </c>
      <c r="AO17" s="229">
        <f t="shared" si="33"/>
        <v>256</v>
      </c>
      <c r="AP17" s="229">
        <f t="shared" si="33"/>
        <v>256</v>
      </c>
      <c r="AQ17" s="229">
        <f t="shared" si="33"/>
        <v>256</v>
      </c>
      <c r="AR17" s="229">
        <f t="shared" si="33"/>
        <v>256</v>
      </c>
      <c r="AS17" s="229">
        <f t="shared" si="33"/>
        <v>256</v>
      </c>
      <c r="AT17" s="229">
        <f t="shared" si="33"/>
        <v>256</v>
      </c>
      <c r="AU17" s="229">
        <f t="shared" si="33"/>
        <v>256</v>
      </c>
      <c r="AV17" s="229">
        <f t="shared" si="33"/>
        <v>256</v>
      </c>
      <c r="AW17" s="229">
        <f t="shared" si="33"/>
        <v>256</v>
      </c>
      <c r="AX17" s="229">
        <f t="shared" si="33"/>
        <v>256</v>
      </c>
      <c r="AY17" s="229">
        <f t="shared" si="33"/>
        <v>256</v>
      </c>
      <c r="AZ17" s="229">
        <f t="shared" si="33"/>
        <v>256</v>
      </c>
      <c r="BA17" s="229">
        <f t="shared" si="33"/>
        <v>256</v>
      </c>
      <c r="BB17" s="229">
        <f t="shared" si="33"/>
        <v>256</v>
      </c>
      <c r="BC17" s="229">
        <f t="shared" si="33"/>
        <v>256</v>
      </c>
      <c r="BD17" s="229">
        <f t="shared" si="33"/>
        <v>256</v>
      </c>
      <c r="BE17" s="229">
        <f t="shared" si="33"/>
        <v>256</v>
      </c>
      <c r="BF17" s="229">
        <f t="shared" si="33"/>
        <v>256</v>
      </c>
      <c r="BG17" s="229">
        <f t="shared" si="33"/>
        <v>256</v>
      </c>
      <c r="BH17" s="229">
        <f t="shared" si="33"/>
        <v>256</v>
      </c>
      <c r="BI17" s="229">
        <f t="shared" si="33"/>
        <v>256</v>
      </c>
      <c r="BJ17" s="229">
        <f t="shared" si="33"/>
        <v>256</v>
      </c>
      <c r="BK17" s="229">
        <f t="shared" si="33"/>
        <v>256</v>
      </c>
      <c r="BL17" s="229">
        <f t="shared" si="33"/>
        <v>256</v>
      </c>
      <c r="BM17" s="229">
        <f t="shared" si="33"/>
        <v>256</v>
      </c>
      <c r="BN17" s="229">
        <f t="shared" si="33"/>
        <v>256</v>
      </c>
      <c r="BO17" s="229">
        <f t="shared" si="33"/>
        <v>256</v>
      </c>
      <c r="BP17" s="229">
        <f t="shared" ref="BP17:CU17" si="34">BP16+BO17</f>
        <v>256</v>
      </c>
      <c r="BQ17" s="229">
        <f t="shared" si="34"/>
        <v>256</v>
      </c>
      <c r="BR17" s="229">
        <f t="shared" si="34"/>
        <v>256</v>
      </c>
      <c r="BS17" s="229">
        <f t="shared" si="34"/>
        <v>256</v>
      </c>
      <c r="BT17" s="229">
        <f t="shared" si="34"/>
        <v>256</v>
      </c>
      <c r="BU17" s="229">
        <f t="shared" si="34"/>
        <v>256</v>
      </c>
      <c r="BV17" s="229">
        <f t="shared" si="34"/>
        <v>256</v>
      </c>
      <c r="BW17" s="229">
        <f t="shared" si="34"/>
        <v>256</v>
      </c>
      <c r="BX17" s="229">
        <f t="shared" si="34"/>
        <v>256</v>
      </c>
      <c r="BY17" s="229">
        <f t="shared" si="34"/>
        <v>256</v>
      </c>
      <c r="BZ17" s="229">
        <f t="shared" si="34"/>
        <v>256</v>
      </c>
      <c r="CA17" s="229">
        <f t="shared" si="34"/>
        <v>256</v>
      </c>
      <c r="CB17" s="229">
        <f t="shared" si="34"/>
        <v>256</v>
      </c>
      <c r="CC17" s="229">
        <f t="shared" si="34"/>
        <v>256</v>
      </c>
      <c r="CD17" s="229">
        <f t="shared" si="34"/>
        <v>256</v>
      </c>
      <c r="CE17" s="229">
        <f t="shared" si="34"/>
        <v>256</v>
      </c>
      <c r="CF17" s="229">
        <f t="shared" si="34"/>
        <v>256</v>
      </c>
      <c r="CG17" s="229">
        <f t="shared" si="34"/>
        <v>256</v>
      </c>
      <c r="CH17" s="229">
        <f t="shared" si="34"/>
        <v>256</v>
      </c>
      <c r="CI17" s="229">
        <f t="shared" si="34"/>
        <v>256</v>
      </c>
      <c r="CJ17" s="229">
        <f t="shared" si="34"/>
        <v>256</v>
      </c>
      <c r="CK17" s="229">
        <f t="shared" si="34"/>
        <v>256</v>
      </c>
      <c r="CL17" s="229">
        <f t="shared" si="34"/>
        <v>256</v>
      </c>
      <c r="CM17" s="229">
        <f t="shared" si="34"/>
        <v>256</v>
      </c>
      <c r="CN17" s="229">
        <f t="shared" si="34"/>
        <v>256</v>
      </c>
      <c r="CO17" s="229">
        <f t="shared" si="34"/>
        <v>256</v>
      </c>
      <c r="CP17" s="229">
        <f t="shared" si="34"/>
        <v>256</v>
      </c>
      <c r="CQ17" s="229">
        <f t="shared" si="34"/>
        <v>256</v>
      </c>
      <c r="CR17" s="229">
        <f t="shared" si="34"/>
        <v>256</v>
      </c>
      <c r="CS17" s="229">
        <f t="shared" si="34"/>
        <v>256</v>
      </c>
      <c r="CT17" s="229">
        <f t="shared" si="34"/>
        <v>256</v>
      </c>
      <c r="CU17" s="229">
        <f t="shared" si="34"/>
        <v>256</v>
      </c>
      <c r="CV17" s="229">
        <f t="shared" ref="CV17:EA17" si="35">CV16+CU17</f>
        <v>256</v>
      </c>
      <c r="CW17" s="229">
        <f t="shared" si="35"/>
        <v>256</v>
      </c>
      <c r="CX17" s="229">
        <f t="shared" si="35"/>
        <v>256</v>
      </c>
      <c r="CY17" s="229">
        <f t="shared" si="35"/>
        <v>256</v>
      </c>
      <c r="CZ17" s="229">
        <f t="shared" si="35"/>
        <v>256</v>
      </c>
      <c r="DA17" s="229">
        <f t="shared" si="35"/>
        <v>256</v>
      </c>
      <c r="DB17" s="229">
        <f t="shared" si="35"/>
        <v>256</v>
      </c>
      <c r="DC17" s="229">
        <f t="shared" si="35"/>
        <v>256</v>
      </c>
      <c r="DD17" s="229">
        <f t="shared" si="35"/>
        <v>256</v>
      </c>
      <c r="DE17" s="229">
        <f t="shared" si="35"/>
        <v>256</v>
      </c>
      <c r="DF17" s="229">
        <f t="shared" si="35"/>
        <v>256</v>
      </c>
      <c r="DG17" s="229">
        <f t="shared" si="35"/>
        <v>256</v>
      </c>
      <c r="DH17" s="229">
        <f t="shared" si="35"/>
        <v>256</v>
      </c>
      <c r="DI17" s="229">
        <f t="shared" si="35"/>
        <v>256</v>
      </c>
      <c r="DJ17" s="229">
        <f t="shared" si="35"/>
        <v>256</v>
      </c>
      <c r="DK17" s="229">
        <f t="shared" si="35"/>
        <v>256</v>
      </c>
      <c r="DL17" s="229">
        <f t="shared" si="35"/>
        <v>256</v>
      </c>
      <c r="DM17" s="229">
        <f t="shared" si="35"/>
        <v>256</v>
      </c>
      <c r="DN17" s="229">
        <f t="shared" si="35"/>
        <v>256</v>
      </c>
      <c r="DO17" s="229">
        <f t="shared" si="35"/>
        <v>256</v>
      </c>
      <c r="DP17" s="229">
        <f t="shared" si="35"/>
        <v>256</v>
      </c>
      <c r="DQ17" s="229">
        <f t="shared" si="35"/>
        <v>256</v>
      </c>
      <c r="DR17" s="229">
        <f t="shared" si="35"/>
        <v>256</v>
      </c>
      <c r="DS17" s="229">
        <f t="shared" si="35"/>
        <v>256</v>
      </c>
      <c r="DT17" s="229">
        <f t="shared" si="35"/>
        <v>256</v>
      </c>
      <c r="DU17" s="229">
        <f t="shared" si="35"/>
        <v>256</v>
      </c>
      <c r="DV17" s="229">
        <f t="shared" si="35"/>
        <v>256</v>
      </c>
      <c r="DW17" s="229">
        <f t="shared" si="35"/>
        <v>256</v>
      </c>
      <c r="DX17" s="229">
        <f t="shared" si="35"/>
        <v>256</v>
      </c>
      <c r="DY17" s="229">
        <f t="shared" si="35"/>
        <v>256</v>
      </c>
      <c r="DZ17" s="229">
        <f t="shared" si="35"/>
        <v>256</v>
      </c>
      <c r="EA17" s="229">
        <f t="shared" si="35"/>
        <v>256</v>
      </c>
      <c r="EB17" s="229">
        <f t="shared" ref="EB17:EG17" si="36">EB16+EA17</f>
        <v>256</v>
      </c>
      <c r="EC17" s="229">
        <f t="shared" si="36"/>
        <v>256</v>
      </c>
      <c r="ED17" s="229">
        <f t="shared" si="36"/>
        <v>256</v>
      </c>
      <c r="EE17" s="229">
        <f t="shared" si="36"/>
        <v>256</v>
      </c>
      <c r="EF17" s="229">
        <f t="shared" si="36"/>
        <v>256</v>
      </c>
      <c r="EG17" s="229">
        <f t="shared" si="36"/>
        <v>256</v>
      </c>
      <c r="EH17" s="229"/>
    </row>
    <row r="18" spans="1:139" ht="7.5" customHeight="1" x14ac:dyDescent="0.3">
      <c r="B18" s="203"/>
      <c r="C18" s="203"/>
      <c r="D18" s="646"/>
    </row>
    <row r="19" spans="1:139" x14ac:dyDescent="0.3">
      <c r="A19" t="s">
        <v>2359</v>
      </c>
      <c r="D19" s="647">
        <f t="shared" ref="D19:AI19" si="37">C21</f>
        <v>0</v>
      </c>
      <c r="E19" s="229">
        <f t="shared" si="37"/>
        <v>0</v>
      </c>
      <c r="F19" s="229">
        <f t="shared" si="37"/>
        <v>0</v>
      </c>
      <c r="G19" s="229">
        <f t="shared" si="37"/>
        <v>0</v>
      </c>
      <c r="H19" s="229">
        <f t="shared" si="37"/>
        <v>0</v>
      </c>
      <c r="I19" s="229">
        <f t="shared" si="37"/>
        <v>0</v>
      </c>
      <c r="J19" s="229">
        <f t="shared" si="37"/>
        <v>0</v>
      </c>
      <c r="K19" s="229">
        <f t="shared" si="37"/>
        <v>0</v>
      </c>
      <c r="L19" s="229">
        <f t="shared" si="37"/>
        <v>0</v>
      </c>
      <c r="M19" s="229">
        <f t="shared" si="37"/>
        <v>0</v>
      </c>
      <c r="N19" s="229">
        <f t="shared" si="37"/>
        <v>0</v>
      </c>
      <c r="O19" s="229">
        <f t="shared" si="37"/>
        <v>0</v>
      </c>
      <c r="P19" s="229">
        <f t="shared" si="37"/>
        <v>0</v>
      </c>
      <c r="Q19" s="229">
        <f t="shared" si="37"/>
        <v>0</v>
      </c>
      <c r="R19" s="229">
        <f t="shared" si="37"/>
        <v>0</v>
      </c>
      <c r="S19" s="229">
        <f t="shared" si="37"/>
        <v>0</v>
      </c>
      <c r="T19" s="229">
        <f t="shared" si="37"/>
        <v>21.333333333333332</v>
      </c>
      <c r="U19" s="229">
        <f t="shared" si="37"/>
        <v>42.666666666666664</v>
      </c>
      <c r="V19" s="229">
        <f t="shared" si="37"/>
        <v>64</v>
      </c>
      <c r="W19" s="229">
        <f t="shared" si="37"/>
        <v>85.333333333333329</v>
      </c>
      <c r="X19" s="229">
        <f t="shared" si="37"/>
        <v>106.66666666666666</v>
      </c>
      <c r="Y19" s="229">
        <f t="shared" si="37"/>
        <v>127.99999999999999</v>
      </c>
      <c r="Z19" s="229">
        <f t="shared" si="37"/>
        <v>149.33333333333331</v>
      </c>
      <c r="AA19" s="229">
        <f t="shared" si="37"/>
        <v>170.66666666666666</v>
      </c>
      <c r="AB19" s="229">
        <f t="shared" si="37"/>
        <v>192</v>
      </c>
      <c r="AC19" s="229">
        <f t="shared" si="37"/>
        <v>213.33333333333334</v>
      </c>
      <c r="AD19" s="229">
        <f t="shared" si="37"/>
        <v>234.66666666666669</v>
      </c>
      <c r="AE19" s="229">
        <f t="shared" si="37"/>
        <v>256</v>
      </c>
      <c r="AF19" s="229">
        <f t="shared" si="37"/>
        <v>256</v>
      </c>
      <c r="AG19" s="229">
        <f t="shared" si="37"/>
        <v>256</v>
      </c>
      <c r="AH19" s="229">
        <f t="shared" si="37"/>
        <v>256</v>
      </c>
      <c r="AI19" s="229">
        <f t="shared" si="37"/>
        <v>256</v>
      </c>
      <c r="AJ19" s="229">
        <f t="shared" ref="AJ19:BO19" si="38">AI21</f>
        <v>256</v>
      </c>
      <c r="AK19" s="229">
        <f t="shared" si="38"/>
        <v>256</v>
      </c>
      <c r="AL19" s="229">
        <f t="shared" si="38"/>
        <v>256</v>
      </c>
      <c r="AM19" s="229">
        <f t="shared" si="38"/>
        <v>256</v>
      </c>
      <c r="AN19" s="229">
        <f t="shared" si="38"/>
        <v>256</v>
      </c>
      <c r="AO19" s="229">
        <f t="shared" si="38"/>
        <v>256</v>
      </c>
      <c r="AP19" s="229">
        <f t="shared" si="38"/>
        <v>256</v>
      </c>
      <c r="AQ19" s="229">
        <f t="shared" si="38"/>
        <v>256</v>
      </c>
      <c r="AR19" s="229">
        <f t="shared" si="38"/>
        <v>256</v>
      </c>
      <c r="AS19" s="229">
        <f t="shared" si="38"/>
        <v>256</v>
      </c>
      <c r="AT19" s="229">
        <f t="shared" si="38"/>
        <v>256</v>
      </c>
      <c r="AU19" s="229">
        <f t="shared" si="38"/>
        <v>256</v>
      </c>
      <c r="AV19" s="229">
        <f t="shared" si="38"/>
        <v>256</v>
      </c>
      <c r="AW19" s="229">
        <f t="shared" si="38"/>
        <v>256</v>
      </c>
      <c r="AX19" s="229">
        <f t="shared" si="38"/>
        <v>256</v>
      </c>
      <c r="AY19" s="229">
        <f t="shared" si="38"/>
        <v>256</v>
      </c>
      <c r="AZ19" s="229">
        <f t="shared" si="38"/>
        <v>256</v>
      </c>
      <c r="BA19" s="229">
        <f t="shared" si="38"/>
        <v>256</v>
      </c>
      <c r="BB19" s="229">
        <f t="shared" si="38"/>
        <v>256</v>
      </c>
      <c r="BC19" s="229">
        <f t="shared" si="38"/>
        <v>256</v>
      </c>
      <c r="BD19" s="229">
        <f t="shared" si="38"/>
        <v>256</v>
      </c>
      <c r="BE19" s="229">
        <f t="shared" si="38"/>
        <v>256</v>
      </c>
      <c r="BF19" s="229">
        <f t="shared" si="38"/>
        <v>256</v>
      </c>
      <c r="BG19" s="229">
        <f t="shared" si="38"/>
        <v>256</v>
      </c>
      <c r="BH19" s="229">
        <f t="shared" si="38"/>
        <v>256</v>
      </c>
      <c r="BI19" s="229">
        <f t="shared" si="38"/>
        <v>256</v>
      </c>
      <c r="BJ19" s="229">
        <f t="shared" si="38"/>
        <v>256</v>
      </c>
      <c r="BK19" s="229">
        <f t="shared" si="38"/>
        <v>256</v>
      </c>
      <c r="BL19" s="229">
        <f t="shared" si="38"/>
        <v>256</v>
      </c>
      <c r="BM19" s="229">
        <f t="shared" si="38"/>
        <v>256</v>
      </c>
      <c r="BN19" s="229">
        <f t="shared" si="38"/>
        <v>256</v>
      </c>
      <c r="BO19" s="229">
        <f t="shared" si="38"/>
        <v>256</v>
      </c>
      <c r="BP19" s="229">
        <f t="shared" ref="BP19:CU19" si="39">BO21</f>
        <v>256</v>
      </c>
      <c r="BQ19" s="229">
        <f t="shared" si="39"/>
        <v>256</v>
      </c>
      <c r="BR19" s="229">
        <f t="shared" si="39"/>
        <v>256</v>
      </c>
      <c r="BS19" s="229">
        <f t="shared" si="39"/>
        <v>256</v>
      </c>
      <c r="BT19" s="229">
        <f t="shared" si="39"/>
        <v>256</v>
      </c>
      <c r="BU19" s="229">
        <f t="shared" si="39"/>
        <v>256</v>
      </c>
      <c r="BV19" s="229">
        <f t="shared" si="39"/>
        <v>256</v>
      </c>
      <c r="BW19" s="229">
        <f t="shared" si="39"/>
        <v>256</v>
      </c>
      <c r="BX19" s="229">
        <f t="shared" si="39"/>
        <v>256</v>
      </c>
      <c r="BY19" s="229">
        <f t="shared" si="39"/>
        <v>256</v>
      </c>
      <c r="BZ19" s="229">
        <f t="shared" si="39"/>
        <v>256</v>
      </c>
      <c r="CA19" s="229">
        <f t="shared" si="39"/>
        <v>256</v>
      </c>
      <c r="CB19" s="229">
        <f t="shared" si="39"/>
        <v>256</v>
      </c>
      <c r="CC19" s="229">
        <f t="shared" si="39"/>
        <v>256</v>
      </c>
      <c r="CD19" s="229">
        <f t="shared" si="39"/>
        <v>256</v>
      </c>
      <c r="CE19" s="229">
        <f t="shared" si="39"/>
        <v>256</v>
      </c>
      <c r="CF19" s="229">
        <f t="shared" si="39"/>
        <v>256</v>
      </c>
      <c r="CG19" s="229">
        <f t="shared" si="39"/>
        <v>256</v>
      </c>
      <c r="CH19" s="229">
        <f t="shared" si="39"/>
        <v>256</v>
      </c>
      <c r="CI19" s="229">
        <f t="shared" si="39"/>
        <v>256</v>
      </c>
      <c r="CJ19" s="229">
        <f t="shared" si="39"/>
        <v>256</v>
      </c>
      <c r="CK19" s="229">
        <f t="shared" si="39"/>
        <v>256</v>
      </c>
      <c r="CL19" s="229">
        <f t="shared" si="39"/>
        <v>256</v>
      </c>
      <c r="CM19" s="229">
        <f t="shared" si="39"/>
        <v>256</v>
      </c>
      <c r="CN19" s="229">
        <f t="shared" si="39"/>
        <v>256</v>
      </c>
      <c r="CO19" s="229">
        <f t="shared" si="39"/>
        <v>256</v>
      </c>
      <c r="CP19" s="229">
        <f t="shared" si="39"/>
        <v>256</v>
      </c>
      <c r="CQ19" s="229">
        <f t="shared" si="39"/>
        <v>256</v>
      </c>
      <c r="CR19" s="229">
        <f t="shared" si="39"/>
        <v>256</v>
      </c>
      <c r="CS19" s="229">
        <f t="shared" si="39"/>
        <v>256</v>
      </c>
      <c r="CT19" s="229">
        <f t="shared" si="39"/>
        <v>256</v>
      </c>
      <c r="CU19" s="229">
        <f t="shared" si="39"/>
        <v>256</v>
      </c>
      <c r="CV19" s="229">
        <f t="shared" ref="CV19:EA19" si="40">CU21</f>
        <v>256</v>
      </c>
      <c r="CW19" s="229">
        <f t="shared" si="40"/>
        <v>256</v>
      </c>
      <c r="CX19" s="229">
        <f t="shared" si="40"/>
        <v>256</v>
      </c>
      <c r="CY19" s="229">
        <f t="shared" si="40"/>
        <v>256</v>
      </c>
      <c r="CZ19" s="229">
        <f t="shared" si="40"/>
        <v>256</v>
      </c>
      <c r="DA19" s="229">
        <f t="shared" si="40"/>
        <v>256</v>
      </c>
      <c r="DB19" s="229">
        <f t="shared" si="40"/>
        <v>256</v>
      </c>
      <c r="DC19" s="229">
        <f t="shared" si="40"/>
        <v>256</v>
      </c>
      <c r="DD19" s="229">
        <f t="shared" si="40"/>
        <v>256</v>
      </c>
      <c r="DE19" s="229">
        <f t="shared" si="40"/>
        <v>256</v>
      </c>
      <c r="DF19" s="229">
        <f t="shared" si="40"/>
        <v>256</v>
      </c>
      <c r="DG19" s="229">
        <f t="shared" si="40"/>
        <v>256</v>
      </c>
      <c r="DH19" s="229">
        <f t="shared" si="40"/>
        <v>256</v>
      </c>
      <c r="DI19" s="229">
        <f t="shared" si="40"/>
        <v>256</v>
      </c>
      <c r="DJ19" s="229">
        <f t="shared" si="40"/>
        <v>256</v>
      </c>
      <c r="DK19" s="229">
        <f t="shared" si="40"/>
        <v>256</v>
      </c>
      <c r="DL19" s="229">
        <f t="shared" si="40"/>
        <v>256</v>
      </c>
      <c r="DM19" s="229">
        <f t="shared" si="40"/>
        <v>256</v>
      </c>
      <c r="DN19" s="229">
        <f t="shared" si="40"/>
        <v>256</v>
      </c>
      <c r="DO19" s="229">
        <f t="shared" si="40"/>
        <v>256</v>
      </c>
      <c r="DP19" s="229">
        <f t="shared" si="40"/>
        <v>256</v>
      </c>
      <c r="DQ19" s="229">
        <f t="shared" si="40"/>
        <v>256</v>
      </c>
      <c r="DR19" s="229">
        <f t="shared" si="40"/>
        <v>256</v>
      </c>
      <c r="DS19" s="229">
        <f t="shared" si="40"/>
        <v>256</v>
      </c>
      <c r="DT19" s="229">
        <f t="shared" si="40"/>
        <v>256</v>
      </c>
      <c r="DU19" s="229">
        <f t="shared" si="40"/>
        <v>256</v>
      </c>
      <c r="DV19" s="229">
        <f t="shared" si="40"/>
        <v>256</v>
      </c>
      <c r="DW19" s="229">
        <f t="shared" si="40"/>
        <v>256</v>
      </c>
      <c r="DX19" s="229">
        <f t="shared" si="40"/>
        <v>256</v>
      </c>
      <c r="DY19" s="229">
        <f t="shared" si="40"/>
        <v>256</v>
      </c>
      <c r="DZ19" s="229">
        <f t="shared" si="40"/>
        <v>256</v>
      </c>
      <c r="EA19" s="229">
        <f t="shared" si="40"/>
        <v>256</v>
      </c>
      <c r="EB19" s="229">
        <f t="shared" ref="EB19:EG19" si="41">EA21</f>
        <v>256</v>
      </c>
      <c r="EC19" s="229">
        <f t="shared" si="41"/>
        <v>256</v>
      </c>
      <c r="ED19" s="229">
        <f t="shared" si="41"/>
        <v>256</v>
      </c>
      <c r="EE19" s="229">
        <f t="shared" si="41"/>
        <v>256</v>
      </c>
      <c r="EF19" s="229">
        <f t="shared" si="41"/>
        <v>256</v>
      </c>
      <c r="EG19" s="229">
        <f t="shared" si="41"/>
        <v>256</v>
      </c>
      <c r="EH19" s="229"/>
    </row>
    <row r="20" spans="1:139" x14ac:dyDescent="0.3">
      <c r="A20" s="241" t="s">
        <v>2360</v>
      </c>
      <c r="B20" s="241"/>
      <c r="C20" s="241"/>
      <c r="D20" s="648">
        <f>IF(AND(D$6&gt;=MonthFirstUnits,D6&lt;=(Units/UnitDelivery)+MonthFirstUnits-1),UnitDelivery,IF(D6=ROUNDDOWN((Units/UnitDelivery)+MonthFirstUnits,0),Units-SUM(C$20:$F20),0))</f>
        <v>0</v>
      </c>
      <c r="E20" s="637">
        <f>IF(AND(E$6&gt;=MonthFirstUnits,E6&lt;=(Units/UnitDelivery)+MonthFirstUnits-1),UnitDelivery,IF(E6=ROUNDDOWN((Units/UnitDelivery)+MonthFirstUnits,0),Units-SUM(D$20:$F20),0))</f>
        <v>0</v>
      </c>
      <c r="F20" s="637">
        <f>IF(AND(F$6&gt;=MonthFirstUnits,F6&lt;=(Units/UnitDelivery)+MonthFirstUnits-1),UnitDelivery,IF(F6=ROUNDDOWN((Units/UnitDelivery)+MonthFirstUnits,0),Units-SUM(E$20:$F20),0))</f>
        <v>0</v>
      </c>
      <c r="G20" s="637">
        <f>IF(AND(G$6&gt;=MonthFirstUnits,G6&lt;=(Units/UnitDelivery)+MonthFirstUnits-1),UnitDelivery,IF(G6=ROUNDDOWN((Units/UnitDelivery)+MonthFirstUnits,0),Units-SUM(F$20:$F20),0))</f>
        <v>0</v>
      </c>
      <c r="H20" s="637">
        <f>IF(AND(H$6&gt;=MonthFirstUnits,H6&lt;=(Units/UnitDelivery)+MonthFirstUnits-1),UnitDelivery,IF(H6=ROUNDDOWN((Units/UnitDelivery)+MonthFirstUnits,0),Units-SUM($F$20:G20),0))</f>
        <v>0</v>
      </c>
      <c r="I20" s="637">
        <f>IF(AND(I$6&gt;=MonthFirstUnits,I6&lt;=(Units/UnitDelivery)+MonthFirstUnits-1),UnitDelivery,IF(I6=ROUNDDOWN((Units/UnitDelivery)+MonthFirstUnits,0),Units-SUM($F$20:H20),0))</f>
        <v>0</v>
      </c>
      <c r="J20" s="637">
        <f>IF(AND(J$6&gt;=MonthFirstUnits,J6&lt;=(Units/UnitDelivery)+MonthFirstUnits-1),UnitDelivery,IF(J6=ROUNDDOWN((Units/UnitDelivery)+MonthFirstUnits,0),Units-SUM($F$20:I20),0))</f>
        <v>0</v>
      </c>
      <c r="K20" s="637">
        <f>IF(AND(K$6&gt;=MonthFirstUnits,K6&lt;=(Units/UnitDelivery)+MonthFirstUnits-1),UnitDelivery,IF(K6=ROUNDDOWN((Units/UnitDelivery)+MonthFirstUnits,0),Units-SUM($F$20:J20),0))</f>
        <v>0</v>
      </c>
      <c r="L20" s="637">
        <f>IF(AND(L$6&gt;=MonthFirstUnits,L6&lt;=(Units/UnitDelivery)+MonthFirstUnits-1),UnitDelivery,IF(L6=ROUNDDOWN((Units/UnitDelivery)+MonthFirstUnits,0),Units-SUM($F$20:K20),0))</f>
        <v>0</v>
      </c>
      <c r="M20" s="637">
        <f>IF(AND(M$6&gt;=MonthFirstUnits,M6&lt;=(Units/UnitDelivery)+MonthFirstUnits-1),UnitDelivery,IF(M6=ROUNDDOWN((Units/UnitDelivery)+MonthFirstUnits,0),Units-SUM($F$20:L20),0))</f>
        <v>0</v>
      </c>
      <c r="N20" s="637">
        <f>IF(AND(N$6&gt;=MonthFirstUnits,N6&lt;=(Units/UnitDelivery)+MonthFirstUnits-1),UnitDelivery,IF(N6=ROUNDDOWN((Units/UnitDelivery)+MonthFirstUnits,0),Units-SUM($F$20:M20),0))</f>
        <v>0</v>
      </c>
      <c r="O20" s="637">
        <f>IF(AND(O$6&gt;=MonthFirstUnits,O6&lt;=(Units/UnitDelivery)+MonthFirstUnits-1),UnitDelivery,IF(O6=ROUNDDOWN((Units/UnitDelivery)+MonthFirstUnits,0),Units-SUM($F$20:N20),0))</f>
        <v>0</v>
      </c>
      <c r="P20" s="637">
        <f>IF(AND(P$6&gt;=MonthFirstUnits,P6&lt;=(Units/UnitDelivery)+MonthFirstUnits-1),UnitDelivery,IF(P6=ROUNDDOWN((Units/UnitDelivery)+MonthFirstUnits,0),Units-SUM($F$20:O20),0))</f>
        <v>0</v>
      </c>
      <c r="Q20" s="637">
        <f>IF(AND(Q$6&gt;=MonthFirstUnits,Q6&lt;=(Units/UnitDelivery)+MonthFirstUnits-1),UnitDelivery,IF(Q6=ROUNDDOWN((Units/UnitDelivery)+MonthFirstUnits,0),Units-SUM($F$20:P20),0))</f>
        <v>0</v>
      </c>
      <c r="R20" s="637">
        <f>IF(AND(R$6&gt;=MonthFirstUnits,R6&lt;=(Units/UnitDelivery)+MonthFirstUnits-1),UnitDelivery,IF(R6=ROUNDDOWN((Units/UnitDelivery)+MonthFirstUnits,0),Units-SUM($F$20:Q20),0))</f>
        <v>0</v>
      </c>
      <c r="S20" s="637">
        <f>IF(AND(S$6&gt;=MonthFirstUnits,S6&lt;=(Units/UnitDelivery)+MonthFirstUnits-1),UnitDelivery,IF(S6=ROUNDDOWN((Units/UnitDelivery)+MonthFirstUnits,0),Units-SUM($F$20:R20),0))</f>
        <v>21.333333333333332</v>
      </c>
      <c r="T20" s="637">
        <f>IF(AND(T$6&gt;=MonthFirstUnits,T6&lt;=(Units/UnitDelivery)+MonthFirstUnits-1),UnitDelivery,IF(T6=ROUNDDOWN((Units/UnitDelivery)+MonthFirstUnits,0),Units-SUM($F$20:S20),0))</f>
        <v>21.333333333333332</v>
      </c>
      <c r="U20" s="637">
        <f>IF(AND(U$6&gt;=MonthFirstUnits,U6&lt;=(Units/UnitDelivery)+MonthFirstUnits-1),UnitDelivery,IF(U6=ROUNDDOWN((Units/UnitDelivery)+MonthFirstUnits,0),Units-SUM($F$20:T20),0))</f>
        <v>21.333333333333332</v>
      </c>
      <c r="V20" s="637">
        <f>IF(AND(V$6&gt;=MonthFirstUnits,V6&lt;=(Units/UnitDelivery)+MonthFirstUnits-1),UnitDelivery,IF(V6=ROUNDDOWN((Units/UnitDelivery)+MonthFirstUnits,0),Units-SUM($F$20:U20),0))</f>
        <v>21.333333333333332</v>
      </c>
      <c r="W20" s="637">
        <f>IF(AND(W$6&gt;=MonthFirstUnits,W6&lt;=(Units/UnitDelivery)+MonthFirstUnits-1),UnitDelivery,IF(W6=ROUNDDOWN((Units/UnitDelivery)+MonthFirstUnits,0),Units-SUM($F$20:V20),0))</f>
        <v>21.333333333333332</v>
      </c>
      <c r="X20" s="637">
        <f>IF(AND(X$6&gt;=MonthFirstUnits,X6&lt;=(Units/UnitDelivery)+MonthFirstUnits-1),UnitDelivery,IF(X6=ROUNDDOWN((Units/UnitDelivery)+MonthFirstUnits,0),Units-SUM($F$20:W20),0))</f>
        <v>21.333333333333332</v>
      </c>
      <c r="Y20" s="637">
        <f>IF(AND(Y$6&gt;=MonthFirstUnits,Y6&lt;=(Units/UnitDelivery)+MonthFirstUnits-1),UnitDelivery,IF(Y6=ROUNDDOWN((Units/UnitDelivery)+MonthFirstUnits,0),Units-SUM($F$20:X20),0))</f>
        <v>21.333333333333332</v>
      </c>
      <c r="Z20" s="637">
        <f>IF(AND(Z$6&gt;=MonthFirstUnits,Z6&lt;=(Units/UnitDelivery)+MonthFirstUnits-1),UnitDelivery,IF(Z6=ROUNDDOWN((Units/UnitDelivery)+MonthFirstUnits,0),Units-SUM($F$20:Y20),0))</f>
        <v>21.333333333333332</v>
      </c>
      <c r="AA20" s="637">
        <f>IF(AND(AA$6&gt;=MonthFirstUnits,AA6&lt;=(Units/UnitDelivery)+MonthFirstUnits-1),UnitDelivery,IF(AA6=ROUNDDOWN((Units/UnitDelivery)+MonthFirstUnits,0),Units-SUM($F$20:Z20),0))</f>
        <v>21.333333333333332</v>
      </c>
      <c r="AB20" s="637">
        <f>IF(AND(AB$6&gt;=MonthFirstUnits,AB6&lt;=(Units/UnitDelivery)+MonthFirstUnits-1),UnitDelivery,IF(AB6=ROUNDDOWN((Units/UnitDelivery)+MonthFirstUnits,0),Units-SUM($F$20:AA20),0))</f>
        <v>21.333333333333332</v>
      </c>
      <c r="AC20" s="637">
        <f>IF(AND(AC$6&gt;=MonthFirstUnits,AC6&lt;=(Units/UnitDelivery)+MonthFirstUnits-1),UnitDelivery,IF(AC6=ROUNDDOWN((Units/UnitDelivery)+MonthFirstUnits,0),Units-SUM($F$20:AB20),0))</f>
        <v>21.333333333333332</v>
      </c>
      <c r="AD20" s="637">
        <f>IF(AND(AD$6&gt;=MonthFirstUnits,AD6&lt;=(Units/UnitDelivery)+MonthFirstUnits-1),UnitDelivery,IF(AD6=ROUNDDOWN((Units/UnitDelivery)+MonthFirstUnits,0),Units-SUM($F$20:AC20),0))</f>
        <v>21.333333333333332</v>
      </c>
      <c r="AE20" s="637">
        <f>IF(AND(AE$6&gt;=MonthFirstUnits,AE6&lt;=(Units/UnitDelivery)+MonthFirstUnits-1),UnitDelivery,IF(AE6=ROUNDDOWN((Units/UnitDelivery)+MonthFirstUnits,0),Units-SUM($F$20:AD20),0))</f>
        <v>0</v>
      </c>
      <c r="AF20" s="637">
        <f>IF(AND(AF$6&gt;=MonthFirstUnits,AF6&lt;=(Units/UnitDelivery)+MonthFirstUnits-1),UnitDelivery,IF(AF6=ROUNDDOWN((Units/UnitDelivery)+MonthFirstUnits,0),Units-SUM($F$20:AE20),0))</f>
        <v>0</v>
      </c>
      <c r="AG20" s="637">
        <f>IF(AND(AG$6&gt;=MonthFirstUnits,AG6&lt;=(Units/UnitDelivery)+MonthFirstUnits-1),UnitDelivery,IF(AG6=ROUNDDOWN((Units/UnitDelivery)+MonthFirstUnits,0),Units-SUM($F$20:AF20),0))</f>
        <v>0</v>
      </c>
      <c r="AH20" s="637">
        <f>IF(AND(AH$6&gt;=MonthFirstUnits,AH6&lt;=(Units/UnitDelivery)+MonthFirstUnits-1),UnitDelivery,IF(AH6=ROUNDDOWN((Units/UnitDelivery)+MonthFirstUnits,0),Units-SUM($F$20:AG20),0))</f>
        <v>0</v>
      </c>
      <c r="AI20" s="637">
        <f>IF(AND(AI$6&gt;=MonthFirstUnits,AI6&lt;=(Units/UnitDelivery)+MonthFirstUnits-1),UnitDelivery,IF(AI6=ROUNDDOWN((Units/UnitDelivery)+MonthFirstUnits,0),Units-SUM($F$20:AH20),0))</f>
        <v>0</v>
      </c>
      <c r="AJ20" s="637">
        <f>IF(AND(AJ$6&gt;=MonthFirstUnits,AJ6&lt;=(Units/UnitDelivery)+MonthFirstUnits-1),UnitDelivery,IF(AJ6=ROUNDDOWN((Units/UnitDelivery)+MonthFirstUnits,0),Units-SUM($F$20:AI20),0))</f>
        <v>0</v>
      </c>
      <c r="AK20" s="637">
        <f>IF(AND(AK$6&gt;=MonthFirstUnits,AK6&lt;=(Units/UnitDelivery)+MonthFirstUnits-1),UnitDelivery,IF(AK6=ROUNDDOWN((Units/UnitDelivery)+MonthFirstUnits,0),Units-SUM($F$20:AJ20),0))</f>
        <v>0</v>
      </c>
      <c r="AL20" s="637">
        <f>IF(AND(AL$6&gt;=MonthFirstUnits,AL6&lt;=(Units/UnitDelivery)+MonthFirstUnits-1),UnitDelivery,IF(AL6=ROUNDDOWN((Units/UnitDelivery)+MonthFirstUnits,0),Units-SUM($F$20:AK20),0))</f>
        <v>0</v>
      </c>
      <c r="AM20" s="637">
        <f>IF(AND(AM$6&gt;=MonthFirstUnits,AM6&lt;=(Units/UnitDelivery)+MonthFirstUnits-1),UnitDelivery,IF(AM6=ROUNDDOWN((Units/UnitDelivery)+MonthFirstUnits,0),Units-SUM($F$20:AL20),0))</f>
        <v>0</v>
      </c>
      <c r="AN20" s="637">
        <f>IF(AND(AN$6&gt;=MonthFirstUnits,AN6&lt;=(Units/UnitDelivery)+MonthFirstUnits-1),UnitDelivery,IF(AN6=ROUNDDOWN((Units/UnitDelivery)+MonthFirstUnits,0),Units-SUM($F$20:AM20),0))</f>
        <v>0</v>
      </c>
      <c r="AO20" s="637">
        <f>IF(AND(AO$6&gt;=MonthFirstUnits,AO6&lt;=(Units/UnitDelivery)+MonthFirstUnits-1),UnitDelivery,IF(AO6=ROUNDDOWN((Units/UnitDelivery)+MonthFirstUnits,0),Units-SUM($F$20:AN20),0))</f>
        <v>0</v>
      </c>
      <c r="AP20" s="637">
        <f>IF(AND(AP$6&gt;=MonthFirstUnits,AP6&lt;=(Units/UnitDelivery)+MonthFirstUnits-1),UnitDelivery,IF(AP6=ROUNDDOWN((Units/UnitDelivery)+MonthFirstUnits,0),Units-SUM($F$20:AO20),0))</f>
        <v>0</v>
      </c>
      <c r="AQ20" s="637">
        <f>IF(AND(AQ$6&gt;=MonthFirstUnits,AQ6&lt;=(Units/UnitDelivery)+MonthFirstUnits-1),UnitDelivery,IF(AQ6=ROUNDDOWN((Units/UnitDelivery)+MonthFirstUnits,0),Units-SUM($F$20:AP20),0))</f>
        <v>0</v>
      </c>
      <c r="AR20" s="637">
        <f>IF(AND(AR$6&gt;=MonthFirstUnits,AR6&lt;=(Units/UnitDelivery)+MonthFirstUnits-1),UnitDelivery,IF(AR6=ROUNDDOWN((Units/UnitDelivery)+MonthFirstUnits,0),Units-SUM($F$20:AQ20),0))</f>
        <v>0</v>
      </c>
      <c r="AS20" s="637">
        <f>IF(AND(AS$6&gt;=MonthFirstUnits,AS6&lt;=(Units/UnitDelivery)+MonthFirstUnits-1),UnitDelivery,IF(AS6=ROUNDDOWN((Units/UnitDelivery)+MonthFirstUnits,0),Units-SUM($F$20:AR20),0))</f>
        <v>0</v>
      </c>
      <c r="AT20" s="637">
        <f>IF(AND(AT$6&gt;=MonthFirstUnits,AT6&lt;=(Units/UnitDelivery)+MonthFirstUnits-1),UnitDelivery,IF(AT6=ROUNDDOWN((Units/UnitDelivery)+MonthFirstUnits,0),Units-SUM($F$20:AS20),0))</f>
        <v>0</v>
      </c>
      <c r="AU20" s="637">
        <f>IF(AND(AU$6&gt;=MonthFirstUnits,AU6&lt;=(Units/UnitDelivery)+MonthFirstUnits-1),UnitDelivery,IF(AU6=ROUNDDOWN((Units/UnitDelivery)+MonthFirstUnits,0),Units-SUM($F$20:AT20),0))</f>
        <v>0</v>
      </c>
      <c r="AV20" s="637">
        <f>IF(AND(AV$6&gt;=MonthFirstUnits,AV6&lt;=(Units/UnitDelivery)+MonthFirstUnits-1),UnitDelivery,IF(AV6=ROUNDDOWN((Units/UnitDelivery)+MonthFirstUnits,0),Units-SUM($F$20:AU20),0))</f>
        <v>0</v>
      </c>
      <c r="AW20" s="637">
        <f>IF(AND(AW$6&gt;=MonthFirstUnits,AW6&lt;=(Units/UnitDelivery)+MonthFirstUnits-1),UnitDelivery,IF(AW6=ROUNDDOWN((Units/UnitDelivery)+MonthFirstUnits,0),Units-SUM($F$20:AV20),0))</f>
        <v>0</v>
      </c>
      <c r="AX20" s="637">
        <f>IF(AND(AX$6&gt;=MonthFirstUnits,AX6&lt;=(Units/UnitDelivery)+MonthFirstUnits-1),UnitDelivery,IF(AX6=ROUNDDOWN((Units/UnitDelivery)+MonthFirstUnits,0),Units-SUM($F$20:AW20),0))</f>
        <v>0</v>
      </c>
      <c r="AY20" s="637">
        <f>IF(AND(AY$6&gt;=MonthFirstUnits,AY6&lt;=(Units/UnitDelivery)+MonthFirstUnits-1),UnitDelivery,IF(AY6=ROUNDDOWN((Units/UnitDelivery)+MonthFirstUnits,0),Units-SUM($F$20:AX20),0))</f>
        <v>0</v>
      </c>
      <c r="AZ20" s="637">
        <f>IF(AND(AZ$6&gt;=MonthFirstUnits,AZ6&lt;=(Units/UnitDelivery)+MonthFirstUnits-1),UnitDelivery,IF(AZ6=ROUNDDOWN((Units/UnitDelivery)+MonthFirstUnits,0),Units-SUM($F$20:AY20),0))</f>
        <v>0</v>
      </c>
      <c r="BA20" s="637">
        <f>IF(AND(BA$6&gt;=MonthFirstUnits,BA6&lt;=(Units/UnitDelivery)+MonthFirstUnits-1),UnitDelivery,IF(BA6=ROUNDDOWN((Units/UnitDelivery)+MonthFirstUnits,0),Units-SUM($F$20:AZ20),0))</f>
        <v>0</v>
      </c>
      <c r="BB20" s="637">
        <f>IF(AND(BB$6&gt;=MonthFirstUnits,BB6&lt;=(Units/UnitDelivery)+MonthFirstUnits-1),UnitDelivery,IF(BB6=ROUNDDOWN((Units/UnitDelivery)+MonthFirstUnits,0),Units-SUM($F$20:BA20),0))</f>
        <v>0</v>
      </c>
      <c r="BC20" s="637">
        <f>IF(AND(BC$6&gt;=MonthFirstUnits,BC6&lt;=(Units/UnitDelivery)+MonthFirstUnits-1),UnitDelivery,IF(BC6=ROUNDDOWN((Units/UnitDelivery)+MonthFirstUnits,0),Units-SUM($F$20:BB20),0))</f>
        <v>0</v>
      </c>
      <c r="BD20" s="637">
        <f>IF(AND(BD$6&gt;=MonthFirstUnits,BD6&lt;=(Units/UnitDelivery)+MonthFirstUnits-1),UnitDelivery,IF(BD6=ROUNDDOWN((Units/UnitDelivery)+MonthFirstUnits,0),Units-SUM($F$20:BC20),0))</f>
        <v>0</v>
      </c>
      <c r="BE20" s="637">
        <f>IF(AND(BE$6&gt;=MonthFirstUnits,BE6&lt;=(Units/UnitDelivery)+MonthFirstUnits-1),UnitDelivery,IF(BE6=ROUNDDOWN((Units/UnitDelivery)+MonthFirstUnits,0),Units-SUM($F$20:BD20),0))</f>
        <v>0</v>
      </c>
      <c r="BF20" s="637">
        <f>IF(AND(BF$6&gt;=MonthFirstUnits,BF6&lt;=(Units/UnitDelivery)+MonthFirstUnits-1),UnitDelivery,IF(BF6=ROUNDDOWN((Units/UnitDelivery)+MonthFirstUnits,0),Units-SUM($F$20:BE20),0))</f>
        <v>0</v>
      </c>
      <c r="BG20" s="637">
        <f>IF(AND(BG$6&gt;=MonthFirstUnits,BG6&lt;=(Units/UnitDelivery)+MonthFirstUnits-1),UnitDelivery,IF(BG6=ROUNDDOWN((Units/UnitDelivery)+MonthFirstUnits,0),Units-SUM($F$20:BF20),0))</f>
        <v>0</v>
      </c>
      <c r="BH20" s="637">
        <f>IF(AND(BH$6&gt;=MonthFirstUnits,BH6&lt;=(Units/UnitDelivery)+MonthFirstUnits-1),UnitDelivery,IF(BH6=ROUNDDOWN((Units/UnitDelivery)+MonthFirstUnits,0),Units-SUM($F$20:BG20),0))</f>
        <v>0</v>
      </c>
      <c r="BI20" s="637">
        <f>IF(AND(BI$6&gt;=MonthFirstUnits,BI6&lt;=(Units/UnitDelivery)+MonthFirstUnits-1),UnitDelivery,IF(BI6=ROUNDDOWN((Units/UnitDelivery)+MonthFirstUnits,0),Units-SUM($F$20:BH20),0))</f>
        <v>0</v>
      </c>
      <c r="BJ20" s="637">
        <f>IF(AND(BJ$6&gt;=MonthFirstUnits,BJ6&lt;=(Units/UnitDelivery)+MonthFirstUnits-1),UnitDelivery,IF(BJ6=ROUNDDOWN((Units/UnitDelivery)+MonthFirstUnits,0),Units-SUM($F$20:BI20),0))</f>
        <v>0</v>
      </c>
      <c r="BK20" s="637">
        <f>IF(AND(BK$6&gt;=MonthFirstUnits,BK6&lt;=(Units/UnitDelivery)+MonthFirstUnits-1),UnitDelivery,IF(BK6=ROUNDDOWN((Units/UnitDelivery)+MonthFirstUnits,0),Units-SUM($F$20:BJ20),0))</f>
        <v>0</v>
      </c>
      <c r="BL20" s="637">
        <f>IF(AND(BL$6&gt;=MonthFirstUnits,BL6&lt;=(Units/UnitDelivery)+MonthFirstUnits-1),UnitDelivery,IF(BL6=ROUNDDOWN((Units/UnitDelivery)+MonthFirstUnits,0),Units-SUM($F$20:BK20),0))</f>
        <v>0</v>
      </c>
      <c r="BM20" s="637">
        <f>IF(AND(BM$6&gt;=MonthFirstUnits,BM6&lt;=(Units/UnitDelivery)+MonthFirstUnits-1),UnitDelivery,IF(BM6=ROUNDDOWN((Units/UnitDelivery)+MonthFirstUnits,0),Units-SUM($F$20:BL20),0))</f>
        <v>0</v>
      </c>
      <c r="BN20" s="637">
        <f>IF(AND(BN$6&gt;=MonthFirstUnits,BN6&lt;=(Units/UnitDelivery)+MonthFirstUnits-1),UnitDelivery,IF(BN6=ROUNDDOWN((Units/UnitDelivery)+MonthFirstUnits,0),Units-SUM($F$20:BM20),0))</f>
        <v>0</v>
      </c>
      <c r="BO20" s="637">
        <f>IF(AND(BO$6&gt;=MonthFirstUnits,BO6&lt;=(Units/UnitDelivery)+MonthFirstUnits-1),UnitDelivery,IF(BO6=ROUNDDOWN((Units/UnitDelivery)+MonthFirstUnits,0),Units-SUM($F$20:BN20),0))</f>
        <v>0</v>
      </c>
      <c r="BP20" s="637">
        <f>IF(AND(BP$6&gt;=MonthFirstUnits,BP6&lt;=(Units/UnitDelivery)+MonthFirstUnits-1),UnitDelivery,IF(BP6=ROUNDDOWN((Units/UnitDelivery)+MonthFirstUnits,0),Units-SUM($F$20:BO20),0))</f>
        <v>0</v>
      </c>
      <c r="BQ20" s="637">
        <f>IF(AND(BQ$6&gt;=MonthFirstUnits,BQ6&lt;=(Units/UnitDelivery)+MonthFirstUnits-1),UnitDelivery,IF(BQ6=ROUNDDOWN((Units/UnitDelivery)+MonthFirstUnits,0),Units-SUM($F$20:BP20),0))</f>
        <v>0</v>
      </c>
      <c r="BR20" s="637">
        <f>IF(AND(BR$6&gt;=MonthFirstUnits,BR6&lt;=(Units/UnitDelivery)+MonthFirstUnits-1),UnitDelivery,IF(BR6=ROUNDDOWN((Units/UnitDelivery)+MonthFirstUnits,0),Units-SUM($F$20:BQ20),0))</f>
        <v>0</v>
      </c>
      <c r="BS20" s="637">
        <f>IF(AND(BS$6&gt;=MonthFirstUnits,BS6&lt;=(Units/UnitDelivery)+MonthFirstUnits-1),UnitDelivery,IF(BS6=ROUNDDOWN((Units/UnitDelivery)+MonthFirstUnits,0),Units-SUM($F$20:BR20),0))</f>
        <v>0</v>
      </c>
      <c r="BT20" s="637">
        <f>IF(AND(BT$6&gt;=MonthFirstUnits,BT6&lt;=(Units/UnitDelivery)+MonthFirstUnits-1),UnitDelivery,IF(BT6=ROUNDDOWN((Units/UnitDelivery)+MonthFirstUnits,0),Units-SUM($F$20:BS20),0))</f>
        <v>0</v>
      </c>
      <c r="BU20" s="637">
        <f>IF(AND(BU$6&gt;=MonthFirstUnits,BU6&lt;=(Units/UnitDelivery)+MonthFirstUnits-1),UnitDelivery,IF(BU6=ROUNDDOWN((Units/UnitDelivery)+MonthFirstUnits,0),Units-SUM($F$20:BT20),0))</f>
        <v>0</v>
      </c>
      <c r="BV20" s="637">
        <f>IF(AND(BV$6&gt;=MonthFirstUnits,BV6&lt;=(Units/UnitDelivery)+MonthFirstUnits-1),UnitDelivery,IF(BV6=ROUNDDOWN((Units/UnitDelivery)+MonthFirstUnits,0),Units-SUM($F$20:BU20),0))</f>
        <v>0</v>
      </c>
      <c r="BW20" s="637">
        <f>IF(AND(BW$6&gt;=MonthFirstUnits,BW6&lt;=(Units/UnitDelivery)+MonthFirstUnits-1),UnitDelivery,IF(BW6=ROUNDDOWN((Units/UnitDelivery)+MonthFirstUnits,0),Units-SUM($F$20:BV20),0))</f>
        <v>0</v>
      </c>
      <c r="BX20" s="637">
        <f>IF(AND(BX$6&gt;=MonthFirstUnits,BX6&lt;=(Units/UnitDelivery)+MonthFirstUnits-1),UnitDelivery,IF(BX6=ROUNDDOWN((Units/UnitDelivery)+MonthFirstUnits,0),Units-SUM($F$20:BW20),0))</f>
        <v>0</v>
      </c>
      <c r="BY20" s="637">
        <f>IF(AND(BY$6&gt;=MonthFirstUnits,BY6&lt;=(Units/UnitDelivery)+MonthFirstUnits-1),UnitDelivery,IF(BY6=ROUNDDOWN((Units/UnitDelivery)+MonthFirstUnits,0),Units-SUM($F$20:BX20),0))</f>
        <v>0</v>
      </c>
      <c r="BZ20" s="637">
        <f>IF(AND(BZ$6&gt;=MonthFirstUnits,BZ6&lt;=(Units/UnitDelivery)+MonthFirstUnits-1),UnitDelivery,IF(BZ6=ROUNDDOWN((Units/UnitDelivery)+MonthFirstUnits,0),Units-SUM($F$20:BY20),0))</f>
        <v>0</v>
      </c>
      <c r="CA20" s="637">
        <f>IF(AND(CA$6&gt;=MonthFirstUnits,CA6&lt;=(Units/UnitDelivery)+MonthFirstUnits-1),UnitDelivery,IF(CA6=ROUNDDOWN((Units/UnitDelivery)+MonthFirstUnits,0),Units-SUM($F$20:BZ20),0))</f>
        <v>0</v>
      </c>
      <c r="CB20" s="637">
        <f>IF(AND(CB$6&gt;=MonthFirstUnits,CB6&lt;=(Units/UnitDelivery)+MonthFirstUnits-1),UnitDelivery,IF(CB6=ROUNDDOWN((Units/UnitDelivery)+MonthFirstUnits,0),Units-SUM($F$20:CA20),0))</f>
        <v>0</v>
      </c>
      <c r="CC20" s="637">
        <f>IF(AND(CC$6&gt;=MonthFirstUnits,CC6&lt;=(Units/UnitDelivery)+MonthFirstUnits-1),UnitDelivery,IF(CC6=ROUNDDOWN((Units/UnitDelivery)+MonthFirstUnits,0),Units-SUM($F$20:CB20),0))</f>
        <v>0</v>
      </c>
      <c r="CD20" s="637">
        <f>IF(AND(CD$6&gt;=MonthFirstUnits,CD6&lt;=(Units/UnitDelivery)+MonthFirstUnits-1),UnitDelivery,IF(CD6=ROUNDDOWN((Units/UnitDelivery)+MonthFirstUnits,0),Units-SUM($F$20:CC20),0))</f>
        <v>0</v>
      </c>
      <c r="CE20" s="637">
        <f>IF(AND(CE$6&gt;=MonthFirstUnits,CE6&lt;=(Units/UnitDelivery)+MonthFirstUnits-1),UnitDelivery,IF(CE6=ROUNDDOWN((Units/UnitDelivery)+MonthFirstUnits,0),Units-SUM($F$20:CD20),0))</f>
        <v>0</v>
      </c>
      <c r="CF20" s="637">
        <f>IF(AND(CF$6&gt;=MonthFirstUnits,CF6&lt;=(Units/UnitDelivery)+MonthFirstUnits-1),UnitDelivery,IF(CF6=ROUNDDOWN((Units/UnitDelivery)+MonthFirstUnits,0),Units-SUM($F$20:CE20),0))</f>
        <v>0</v>
      </c>
      <c r="CG20" s="637">
        <f>IF(AND(CG$6&gt;=MonthFirstUnits,CG6&lt;=(Units/UnitDelivery)+MonthFirstUnits-1),UnitDelivery,IF(CG6=ROUNDDOWN((Units/UnitDelivery)+MonthFirstUnits,0),Units-SUM($F$20:CF20),0))</f>
        <v>0</v>
      </c>
      <c r="CH20" s="637">
        <f>IF(AND(CH$6&gt;=MonthFirstUnits,CH6&lt;=(Units/UnitDelivery)+MonthFirstUnits-1),UnitDelivery,IF(CH6=ROUNDDOWN((Units/UnitDelivery)+MonthFirstUnits,0),Units-SUM($F$20:CG20),0))</f>
        <v>0</v>
      </c>
      <c r="CI20" s="637">
        <f>IF(AND(CI$6&gt;=MonthFirstUnits,CI6&lt;=(Units/UnitDelivery)+MonthFirstUnits-1),UnitDelivery,IF(CI6=ROUNDDOWN((Units/UnitDelivery)+MonthFirstUnits,0),Units-SUM($F$20:CH20),0))</f>
        <v>0</v>
      </c>
      <c r="CJ20" s="637">
        <f>IF(AND(CJ$6&gt;=MonthFirstUnits,CJ6&lt;=(Units/UnitDelivery)+MonthFirstUnits-1),UnitDelivery,IF(CJ6=ROUNDDOWN((Units/UnitDelivery)+MonthFirstUnits,0),Units-SUM($F$20:CI20),0))</f>
        <v>0</v>
      </c>
      <c r="CK20" s="637">
        <f>IF(AND(CK$6&gt;=MonthFirstUnits,CK6&lt;=(Units/UnitDelivery)+MonthFirstUnits-1),UnitDelivery,IF(CK6=ROUNDDOWN((Units/UnitDelivery)+MonthFirstUnits,0),Units-SUM($F$20:CJ20),0))</f>
        <v>0</v>
      </c>
      <c r="CL20" s="637">
        <f>IF(AND(CL$6&gt;=MonthFirstUnits,CL6&lt;=(Units/UnitDelivery)+MonthFirstUnits-1),UnitDelivery,IF(CL6=ROUNDDOWN((Units/UnitDelivery)+MonthFirstUnits,0),Units-SUM($F$20:CK20),0))</f>
        <v>0</v>
      </c>
      <c r="CM20" s="637">
        <f>IF(AND(CM$6&gt;=MonthFirstUnits,CM6&lt;=(Units/UnitDelivery)+MonthFirstUnits-1),UnitDelivery,IF(CM6=ROUNDDOWN((Units/UnitDelivery)+MonthFirstUnits,0),Units-SUM($F$20:CL20),0))</f>
        <v>0</v>
      </c>
      <c r="CN20" s="637">
        <f>IF(AND(CN$6&gt;=MonthFirstUnits,CN6&lt;=(Units/UnitDelivery)+MonthFirstUnits-1),UnitDelivery,IF(CN6=ROUNDDOWN((Units/UnitDelivery)+MonthFirstUnits,0),Units-SUM($F$20:CM20),0))</f>
        <v>0</v>
      </c>
      <c r="CO20" s="637">
        <f>IF(AND(CO$6&gt;=MonthFirstUnits,CO6&lt;=(Units/UnitDelivery)+MonthFirstUnits-1),UnitDelivery,IF(CO6=ROUNDDOWN((Units/UnitDelivery)+MonthFirstUnits,0),Units-SUM($F$20:CN20),0))</f>
        <v>0</v>
      </c>
      <c r="CP20" s="637">
        <f>IF(AND(CP$6&gt;=MonthFirstUnits,CP6&lt;=(Units/UnitDelivery)+MonthFirstUnits-1),UnitDelivery,IF(CP6=ROUNDDOWN((Units/UnitDelivery)+MonthFirstUnits,0),Units-SUM($F$20:CO20),0))</f>
        <v>0</v>
      </c>
      <c r="CQ20" s="637">
        <f>IF(AND(CQ$6&gt;=MonthFirstUnits,CQ6&lt;=(Units/UnitDelivery)+MonthFirstUnits-1),UnitDelivery,IF(CQ6=ROUNDDOWN((Units/UnitDelivery)+MonthFirstUnits,0),Units-SUM($F$20:CP20),0))</f>
        <v>0</v>
      </c>
      <c r="CR20" s="637">
        <f>IF(AND(CR$6&gt;=MonthFirstUnits,CR6&lt;=(Units/UnitDelivery)+MonthFirstUnits-1),UnitDelivery,IF(CR6=ROUNDDOWN((Units/UnitDelivery)+MonthFirstUnits,0),Units-SUM($F$20:CQ20),0))</f>
        <v>0</v>
      </c>
      <c r="CS20" s="637">
        <f>IF(AND(CS$6&gt;=MonthFirstUnits,CS6&lt;=(Units/UnitDelivery)+MonthFirstUnits-1),UnitDelivery,IF(CS6=ROUNDDOWN((Units/UnitDelivery)+MonthFirstUnits,0),Units-SUM($F$20:CR20),0))</f>
        <v>0</v>
      </c>
      <c r="CT20" s="637">
        <f>IF(AND(CT$6&gt;=MonthFirstUnits,CT6&lt;=(Units/UnitDelivery)+MonthFirstUnits-1),UnitDelivery,IF(CT6=ROUNDDOWN((Units/UnitDelivery)+MonthFirstUnits,0),Units-SUM($F$20:CS20),0))</f>
        <v>0</v>
      </c>
      <c r="CU20" s="637">
        <f>IF(AND(CU$6&gt;=MonthFirstUnits,CU6&lt;=(Units/UnitDelivery)+MonthFirstUnits-1),UnitDelivery,IF(CU6=ROUNDDOWN((Units/UnitDelivery)+MonthFirstUnits,0),Units-SUM($F$20:CT20),0))</f>
        <v>0</v>
      </c>
      <c r="CV20" s="637">
        <f>IF(AND(CV$6&gt;=MonthFirstUnits,CV6&lt;=(Units/UnitDelivery)+MonthFirstUnits-1),UnitDelivery,IF(CV6=ROUNDDOWN((Units/UnitDelivery)+MonthFirstUnits,0),Units-SUM($F$20:CU20),0))</f>
        <v>0</v>
      </c>
      <c r="CW20" s="637">
        <f>IF(AND(CW$6&gt;=MonthFirstUnits,CW6&lt;=(Units/UnitDelivery)+MonthFirstUnits-1),UnitDelivery,IF(CW6=ROUNDDOWN((Units/UnitDelivery)+MonthFirstUnits,0),Units-SUM($F$20:CV20),0))</f>
        <v>0</v>
      </c>
      <c r="CX20" s="637">
        <f>IF(AND(CX$6&gt;=MonthFirstUnits,CX6&lt;=(Units/UnitDelivery)+MonthFirstUnits-1),UnitDelivery,IF(CX6=ROUNDDOWN((Units/UnitDelivery)+MonthFirstUnits,0),Units-SUM($F$20:CW20),0))</f>
        <v>0</v>
      </c>
      <c r="CY20" s="637">
        <f>IF(AND(CY$6&gt;=MonthFirstUnits,CY6&lt;=(Units/UnitDelivery)+MonthFirstUnits-1),UnitDelivery,IF(CY6=ROUNDDOWN((Units/UnitDelivery)+MonthFirstUnits,0),Units-SUM($F$20:CX20),0))</f>
        <v>0</v>
      </c>
      <c r="CZ20" s="637">
        <f>IF(AND(CZ$6&gt;=MonthFirstUnits,CZ6&lt;=(Units/UnitDelivery)+MonthFirstUnits-1),UnitDelivery,IF(CZ6=ROUNDDOWN((Units/UnitDelivery)+MonthFirstUnits,0),Units-SUM($F$20:CY20),0))</f>
        <v>0</v>
      </c>
      <c r="DA20" s="637">
        <f>IF(AND(DA$6&gt;=MonthFirstUnits,DA6&lt;=(Units/UnitDelivery)+MonthFirstUnits-1),UnitDelivery,IF(DA6=ROUNDDOWN((Units/UnitDelivery)+MonthFirstUnits,0),Units-SUM($F$20:CZ20),0))</f>
        <v>0</v>
      </c>
      <c r="DB20" s="637">
        <f>IF(AND(DB$6&gt;=MonthFirstUnits,DB6&lt;=(Units/UnitDelivery)+MonthFirstUnits-1),UnitDelivery,IF(DB6=ROUNDDOWN((Units/UnitDelivery)+MonthFirstUnits,0),Units-SUM($F$20:DA20),0))</f>
        <v>0</v>
      </c>
      <c r="DC20" s="637">
        <f>IF(AND(DC$6&gt;=MonthFirstUnits,DC6&lt;=(Units/UnitDelivery)+MonthFirstUnits-1),UnitDelivery,IF(DC6=ROUNDDOWN((Units/UnitDelivery)+MonthFirstUnits,0),Units-SUM($F$20:DB20),0))</f>
        <v>0</v>
      </c>
      <c r="DD20" s="637">
        <f>IF(AND(DD$6&gt;=MonthFirstUnits,DD6&lt;=(Units/UnitDelivery)+MonthFirstUnits-1),UnitDelivery,IF(DD6=ROUNDDOWN((Units/UnitDelivery)+MonthFirstUnits,0),Units-SUM($F$20:DC20),0))</f>
        <v>0</v>
      </c>
      <c r="DE20" s="637">
        <f>IF(AND(DE$6&gt;=MonthFirstUnits,DE6&lt;=(Units/UnitDelivery)+MonthFirstUnits-1),UnitDelivery,IF(DE6=ROUNDDOWN((Units/UnitDelivery)+MonthFirstUnits,0),Units-SUM($F$20:DD20),0))</f>
        <v>0</v>
      </c>
      <c r="DF20" s="637">
        <f>IF(AND(DF$6&gt;=MonthFirstUnits,DF6&lt;=(Units/UnitDelivery)+MonthFirstUnits-1),UnitDelivery,IF(DF6=ROUNDDOWN((Units/UnitDelivery)+MonthFirstUnits,0),Units-SUM($F$20:DE20),0))</f>
        <v>0</v>
      </c>
      <c r="DG20" s="637">
        <f>IF(AND(DG$6&gt;=MonthFirstUnits,DG6&lt;=(Units/UnitDelivery)+MonthFirstUnits-1),UnitDelivery,IF(DG6=ROUNDDOWN((Units/UnitDelivery)+MonthFirstUnits,0),Units-SUM($F$20:DF20),0))</f>
        <v>0</v>
      </c>
      <c r="DH20" s="637">
        <f>IF(AND(DH$6&gt;=MonthFirstUnits,DH6&lt;=(Units/UnitDelivery)+MonthFirstUnits-1),UnitDelivery,IF(DH6=ROUNDDOWN((Units/UnitDelivery)+MonthFirstUnits,0),Units-SUM($F$20:DG20),0))</f>
        <v>0</v>
      </c>
      <c r="DI20" s="637">
        <f>IF(AND(DI$6&gt;=MonthFirstUnits,DI6&lt;=(Units/UnitDelivery)+MonthFirstUnits-1),UnitDelivery,IF(DI6=ROUNDDOWN((Units/UnitDelivery)+MonthFirstUnits,0),Units-SUM($F$20:DH20),0))</f>
        <v>0</v>
      </c>
      <c r="DJ20" s="637">
        <f>IF(AND(DJ$6&gt;=MonthFirstUnits,DJ6&lt;=(Units/UnitDelivery)+MonthFirstUnits-1),UnitDelivery,IF(DJ6=ROUNDDOWN((Units/UnitDelivery)+MonthFirstUnits,0),Units-SUM($F$20:DI20),0))</f>
        <v>0</v>
      </c>
      <c r="DK20" s="637">
        <f>IF(AND(DK$6&gt;=MonthFirstUnits,DK6&lt;=(Units/UnitDelivery)+MonthFirstUnits-1),UnitDelivery,IF(DK6=ROUNDDOWN((Units/UnitDelivery)+MonthFirstUnits,0),Units-SUM($F$20:DJ20),0))</f>
        <v>0</v>
      </c>
      <c r="DL20" s="637">
        <f>IF(AND(DL$6&gt;=MonthFirstUnits,DL6&lt;=(Units/UnitDelivery)+MonthFirstUnits-1),UnitDelivery,IF(DL6=ROUNDDOWN((Units/UnitDelivery)+MonthFirstUnits,0),Units-SUM($F$20:DK20),0))</f>
        <v>0</v>
      </c>
      <c r="DM20" s="637">
        <f>IF(AND(DM$6&gt;=MonthFirstUnits,DM6&lt;=(Units/UnitDelivery)+MonthFirstUnits-1),UnitDelivery,IF(DM6=ROUNDDOWN((Units/UnitDelivery)+MonthFirstUnits,0),Units-SUM($F$20:DL20),0))</f>
        <v>0</v>
      </c>
      <c r="DN20" s="637">
        <f>IF(AND(DN$6&gt;=MonthFirstUnits,DN6&lt;=(Units/UnitDelivery)+MonthFirstUnits-1),UnitDelivery,IF(DN6=ROUNDDOWN((Units/UnitDelivery)+MonthFirstUnits,0),Units-SUM($F$20:DM20),0))</f>
        <v>0</v>
      </c>
      <c r="DO20" s="637">
        <f>IF(AND(DO$6&gt;=MonthFirstUnits,DO6&lt;=(Units/UnitDelivery)+MonthFirstUnits-1),UnitDelivery,IF(DO6=ROUNDDOWN((Units/UnitDelivery)+MonthFirstUnits,0),Units-SUM($F$20:DN20),0))</f>
        <v>0</v>
      </c>
      <c r="DP20" s="637">
        <f>IF(AND(DP$6&gt;=MonthFirstUnits,DP6&lt;=(Units/UnitDelivery)+MonthFirstUnits-1),UnitDelivery,IF(DP6=ROUNDDOWN((Units/UnitDelivery)+MonthFirstUnits,0),Units-SUM($F$20:DO20),0))</f>
        <v>0</v>
      </c>
      <c r="DQ20" s="637">
        <f>IF(AND(DQ$6&gt;=MonthFirstUnits,DQ6&lt;=(Units/UnitDelivery)+MonthFirstUnits-1),UnitDelivery,IF(DQ6=ROUNDDOWN((Units/UnitDelivery)+MonthFirstUnits,0),Units-SUM($F$20:DP20),0))</f>
        <v>0</v>
      </c>
      <c r="DR20" s="637">
        <f>IF(AND(DR$6&gt;=MonthFirstUnits,DR6&lt;=(Units/UnitDelivery)+MonthFirstUnits-1),UnitDelivery,IF(DR6=ROUNDDOWN((Units/UnitDelivery)+MonthFirstUnits,0),Units-SUM($F$20:DQ20),0))</f>
        <v>0</v>
      </c>
      <c r="DS20" s="637">
        <f>IF(AND(DS$6&gt;=MonthFirstUnits,DS6&lt;=(Units/UnitDelivery)+MonthFirstUnits-1),UnitDelivery,IF(DS6=ROUNDDOWN((Units/UnitDelivery)+MonthFirstUnits,0),Units-SUM($F$20:DR20),0))</f>
        <v>0</v>
      </c>
      <c r="DT20" s="637">
        <f>IF(AND(DT$6&gt;=MonthFirstUnits,DT6&lt;=(Units/UnitDelivery)+MonthFirstUnits-1),UnitDelivery,IF(DT6=ROUNDDOWN((Units/UnitDelivery)+MonthFirstUnits,0),Units-SUM($F$20:DS20),0))</f>
        <v>0</v>
      </c>
      <c r="DU20" s="637">
        <f>IF(AND(DU$6&gt;=MonthFirstUnits,DU6&lt;=(Units/UnitDelivery)+MonthFirstUnits-1),UnitDelivery,IF(DU6=ROUNDDOWN((Units/UnitDelivery)+MonthFirstUnits,0),Units-SUM($F$20:DT20),0))</f>
        <v>0</v>
      </c>
      <c r="DV20" s="637">
        <f>IF(AND(DV$6&gt;=MonthFirstUnits,DV6&lt;=(Units/UnitDelivery)+MonthFirstUnits-1),UnitDelivery,IF(DV6=ROUNDDOWN((Units/UnitDelivery)+MonthFirstUnits,0),Units-SUM($F$20:DU20),0))</f>
        <v>0</v>
      </c>
      <c r="DW20" s="637">
        <f>IF(AND(DW$6&gt;=MonthFirstUnits,DW6&lt;=(Units/UnitDelivery)+MonthFirstUnits-1),UnitDelivery,IF(DW6=ROUNDDOWN((Units/UnitDelivery)+MonthFirstUnits,0),Units-SUM($F$20:DV20),0))</f>
        <v>0</v>
      </c>
      <c r="DX20" s="637">
        <f>IF(AND(DX$6&gt;=MonthFirstUnits,DX6&lt;=(Units/UnitDelivery)+MonthFirstUnits-1),UnitDelivery,IF(DX6=ROUNDDOWN((Units/UnitDelivery)+MonthFirstUnits,0),Units-SUM($F$20:DW20),0))</f>
        <v>0</v>
      </c>
      <c r="DY20" s="637">
        <f>IF(AND(DY$6&gt;=MonthFirstUnits,DY6&lt;=(Units/UnitDelivery)+MonthFirstUnits-1),UnitDelivery,IF(DY6=ROUNDDOWN((Units/UnitDelivery)+MonthFirstUnits,0),Units-SUM($F$20:DX20),0))</f>
        <v>0</v>
      </c>
      <c r="DZ20" s="637">
        <f>IF(AND(DZ$6&gt;=MonthFirstUnits,DZ6&lt;=(Units/UnitDelivery)+MonthFirstUnits-1),UnitDelivery,IF(DZ6=ROUNDDOWN((Units/UnitDelivery)+MonthFirstUnits,0),Units-SUM($F$20:DY20),0))</f>
        <v>0</v>
      </c>
      <c r="EA20" s="637">
        <f>IF(AND(EA$6&gt;=MonthFirstUnits,EA6&lt;=(Units/UnitDelivery)+MonthFirstUnits-1),UnitDelivery,IF(EA6=ROUNDDOWN((Units/UnitDelivery)+MonthFirstUnits,0),Units-SUM($F$20:DZ20),0))</f>
        <v>0</v>
      </c>
      <c r="EB20" s="637">
        <f>IF(AND(EB$6&gt;=MonthFirstUnits,EB6&lt;=(Units/UnitDelivery)+MonthFirstUnits-1),UnitDelivery,IF(EB6=ROUNDDOWN((Units/UnitDelivery)+MonthFirstUnits,0),Units-SUM($F$20:EA20),0))</f>
        <v>0</v>
      </c>
      <c r="EC20" s="637">
        <f>IF(AND(EC$6&gt;=MonthFirstUnits,EC6&lt;=(Units/UnitDelivery)+MonthFirstUnits-1),UnitDelivery,IF(EC6=ROUNDDOWN((Units/UnitDelivery)+MonthFirstUnits,0),Units-SUM($F$20:EB20),0))</f>
        <v>0</v>
      </c>
      <c r="ED20" s="637">
        <f>IF(AND(ED$6&gt;=MonthFirstUnits,ED6&lt;=(Units/UnitDelivery)+MonthFirstUnits-1),UnitDelivery,IF(ED6=ROUNDDOWN((Units/UnitDelivery)+MonthFirstUnits,0),Units-SUM($F$20:EC20),0))</f>
        <v>0</v>
      </c>
      <c r="EE20" s="637">
        <f>IF(AND(EE$6&gt;=MonthFirstUnits,EE6&lt;=(Units/UnitDelivery)+MonthFirstUnits-1),UnitDelivery,IF(EE6=ROUNDDOWN((Units/UnitDelivery)+MonthFirstUnits,0),Units-SUM($F$20:ED20),0))</f>
        <v>0</v>
      </c>
      <c r="EF20" s="637">
        <f>IF(AND(EF$6&gt;=MonthFirstUnits,EF6&lt;=(Units/UnitDelivery)+MonthFirstUnits-1),UnitDelivery,IF(EF6=ROUNDDOWN((Units/UnitDelivery)+MonthFirstUnits,0),Units-SUM($F$20:EE20),0))</f>
        <v>0</v>
      </c>
      <c r="EG20" s="637">
        <f>IF(AND(EG$6&gt;=MonthFirstUnits,EG6&lt;=(Units/UnitDelivery)+MonthFirstUnits-1),UnitDelivery,IF(EG6=ROUNDDOWN((Units/UnitDelivery)+MonthFirstUnits,0),Units-SUM($F$20:EF20),0))</f>
        <v>0</v>
      </c>
      <c r="EH20" s="637"/>
    </row>
    <row r="21" spans="1:139" x14ac:dyDescent="0.3">
      <c r="A21" s="639" t="s">
        <v>2361</v>
      </c>
      <c r="D21" s="647">
        <f t="shared" ref="D21:AI21" si="42">D20+C21</f>
        <v>0</v>
      </c>
      <c r="E21" s="229">
        <f t="shared" si="42"/>
        <v>0</v>
      </c>
      <c r="F21" s="229">
        <f t="shared" si="42"/>
        <v>0</v>
      </c>
      <c r="G21" s="229">
        <f t="shared" si="42"/>
        <v>0</v>
      </c>
      <c r="H21" s="229">
        <f t="shared" si="42"/>
        <v>0</v>
      </c>
      <c r="I21" s="229">
        <f t="shared" si="42"/>
        <v>0</v>
      </c>
      <c r="J21" s="229">
        <f t="shared" si="42"/>
        <v>0</v>
      </c>
      <c r="K21" s="229">
        <f t="shared" si="42"/>
        <v>0</v>
      </c>
      <c r="L21" s="229">
        <f t="shared" si="42"/>
        <v>0</v>
      </c>
      <c r="M21" s="229">
        <f t="shared" si="42"/>
        <v>0</v>
      </c>
      <c r="N21" s="229">
        <f t="shared" si="42"/>
        <v>0</v>
      </c>
      <c r="O21" s="229">
        <f t="shared" si="42"/>
        <v>0</v>
      </c>
      <c r="P21" s="229">
        <f t="shared" si="42"/>
        <v>0</v>
      </c>
      <c r="Q21" s="229">
        <f t="shared" si="42"/>
        <v>0</v>
      </c>
      <c r="R21" s="229">
        <f t="shared" si="42"/>
        <v>0</v>
      </c>
      <c r="S21" s="229">
        <f t="shared" si="42"/>
        <v>21.333333333333332</v>
      </c>
      <c r="T21" s="229">
        <f t="shared" si="42"/>
        <v>42.666666666666664</v>
      </c>
      <c r="U21" s="229">
        <f t="shared" si="42"/>
        <v>64</v>
      </c>
      <c r="V21" s="229">
        <f t="shared" si="42"/>
        <v>85.333333333333329</v>
      </c>
      <c r="W21" s="229">
        <f t="shared" si="42"/>
        <v>106.66666666666666</v>
      </c>
      <c r="X21" s="229">
        <f t="shared" si="42"/>
        <v>127.99999999999999</v>
      </c>
      <c r="Y21" s="229">
        <f t="shared" si="42"/>
        <v>149.33333333333331</v>
      </c>
      <c r="Z21" s="229">
        <f t="shared" si="42"/>
        <v>170.66666666666666</v>
      </c>
      <c r="AA21" s="229">
        <f t="shared" si="42"/>
        <v>192</v>
      </c>
      <c r="AB21" s="229">
        <f t="shared" si="42"/>
        <v>213.33333333333334</v>
      </c>
      <c r="AC21" s="229">
        <f t="shared" si="42"/>
        <v>234.66666666666669</v>
      </c>
      <c r="AD21" s="229">
        <f t="shared" si="42"/>
        <v>256</v>
      </c>
      <c r="AE21" s="229">
        <f t="shared" si="42"/>
        <v>256</v>
      </c>
      <c r="AF21" s="229">
        <f t="shared" si="42"/>
        <v>256</v>
      </c>
      <c r="AG21" s="229">
        <f t="shared" si="42"/>
        <v>256</v>
      </c>
      <c r="AH21" s="229">
        <f t="shared" si="42"/>
        <v>256</v>
      </c>
      <c r="AI21" s="229">
        <f t="shared" si="42"/>
        <v>256</v>
      </c>
      <c r="AJ21" s="229">
        <f t="shared" ref="AJ21:BO21" si="43">AJ20+AI21</f>
        <v>256</v>
      </c>
      <c r="AK21" s="229">
        <f t="shared" si="43"/>
        <v>256</v>
      </c>
      <c r="AL21" s="229">
        <f t="shared" si="43"/>
        <v>256</v>
      </c>
      <c r="AM21" s="229">
        <f t="shared" si="43"/>
        <v>256</v>
      </c>
      <c r="AN21" s="229">
        <f t="shared" si="43"/>
        <v>256</v>
      </c>
      <c r="AO21" s="229">
        <f t="shared" si="43"/>
        <v>256</v>
      </c>
      <c r="AP21" s="229">
        <f t="shared" si="43"/>
        <v>256</v>
      </c>
      <c r="AQ21" s="229">
        <f t="shared" si="43"/>
        <v>256</v>
      </c>
      <c r="AR21" s="229">
        <f t="shared" si="43"/>
        <v>256</v>
      </c>
      <c r="AS21" s="229">
        <f t="shared" si="43"/>
        <v>256</v>
      </c>
      <c r="AT21" s="229">
        <f t="shared" si="43"/>
        <v>256</v>
      </c>
      <c r="AU21" s="229">
        <f t="shared" si="43"/>
        <v>256</v>
      </c>
      <c r="AV21" s="229">
        <f t="shared" si="43"/>
        <v>256</v>
      </c>
      <c r="AW21" s="229">
        <f t="shared" si="43"/>
        <v>256</v>
      </c>
      <c r="AX21" s="229">
        <f t="shared" si="43"/>
        <v>256</v>
      </c>
      <c r="AY21" s="229">
        <f t="shared" si="43"/>
        <v>256</v>
      </c>
      <c r="AZ21" s="229">
        <f t="shared" si="43"/>
        <v>256</v>
      </c>
      <c r="BA21" s="229">
        <f t="shared" si="43"/>
        <v>256</v>
      </c>
      <c r="BB21" s="229">
        <f t="shared" si="43"/>
        <v>256</v>
      </c>
      <c r="BC21" s="229">
        <f t="shared" si="43"/>
        <v>256</v>
      </c>
      <c r="BD21" s="229">
        <f t="shared" si="43"/>
        <v>256</v>
      </c>
      <c r="BE21" s="229">
        <f t="shared" si="43"/>
        <v>256</v>
      </c>
      <c r="BF21" s="229">
        <f t="shared" si="43"/>
        <v>256</v>
      </c>
      <c r="BG21" s="229">
        <f t="shared" si="43"/>
        <v>256</v>
      </c>
      <c r="BH21" s="229">
        <f t="shared" si="43"/>
        <v>256</v>
      </c>
      <c r="BI21" s="229">
        <f t="shared" si="43"/>
        <v>256</v>
      </c>
      <c r="BJ21" s="229">
        <f t="shared" si="43"/>
        <v>256</v>
      </c>
      <c r="BK21" s="229">
        <f t="shared" si="43"/>
        <v>256</v>
      </c>
      <c r="BL21" s="229">
        <f t="shared" si="43"/>
        <v>256</v>
      </c>
      <c r="BM21" s="229">
        <f t="shared" si="43"/>
        <v>256</v>
      </c>
      <c r="BN21" s="229">
        <f t="shared" si="43"/>
        <v>256</v>
      </c>
      <c r="BO21" s="229">
        <f t="shared" si="43"/>
        <v>256</v>
      </c>
      <c r="BP21" s="229">
        <f t="shared" ref="BP21:CU21" si="44">BP20+BO21</f>
        <v>256</v>
      </c>
      <c r="BQ21" s="229">
        <f t="shared" si="44"/>
        <v>256</v>
      </c>
      <c r="BR21" s="229">
        <f t="shared" si="44"/>
        <v>256</v>
      </c>
      <c r="BS21" s="229">
        <f t="shared" si="44"/>
        <v>256</v>
      </c>
      <c r="BT21" s="229">
        <f t="shared" si="44"/>
        <v>256</v>
      </c>
      <c r="BU21" s="229">
        <f t="shared" si="44"/>
        <v>256</v>
      </c>
      <c r="BV21" s="229">
        <f t="shared" si="44"/>
        <v>256</v>
      </c>
      <c r="BW21" s="229">
        <f t="shared" si="44"/>
        <v>256</v>
      </c>
      <c r="BX21" s="229">
        <f t="shared" si="44"/>
        <v>256</v>
      </c>
      <c r="BY21" s="229">
        <f t="shared" si="44"/>
        <v>256</v>
      </c>
      <c r="BZ21" s="229">
        <f t="shared" si="44"/>
        <v>256</v>
      </c>
      <c r="CA21" s="229">
        <f t="shared" si="44"/>
        <v>256</v>
      </c>
      <c r="CB21" s="229">
        <f t="shared" si="44"/>
        <v>256</v>
      </c>
      <c r="CC21" s="229">
        <f t="shared" si="44"/>
        <v>256</v>
      </c>
      <c r="CD21" s="229">
        <f t="shared" si="44"/>
        <v>256</v>
      </c>
      <c r="CE21" s="229">
        <f t="shared" si="44"/>
        <v>256</v>
      </c>
      <c r="CF21" s="229">
        <f t="shared" si="44"/>
        <v>256</v>
      </c>
      <c r="CG21" s="229">
        <f t="shared" si="44"/>
        <v>256</v>
      </c>
      <c r="CH21" s="229">
        <f t="shared" si="44"/>
        <v>256</v>
      </c>
      <c r="CI21" s="229">
        <f t="shared" si="44"/>
        <v>256</v>
      </c>
      <c r="CJ21" s="229">
        <f t="shared" si="44"/>
        <v>256</v>
      </c>
      <c r="CK21" s="229">
        <f t="shared" si="44"/>
        <v>256</v>
      </c>
      <c r="CL21" s="229">
        <f t="shared" si="44"/>
        <v>256</v>
      </c>
      <c r="CM21" s="229">
        <f t="shared" si="44"/>
        <v>256</v>
      </c>
      <c r="CN21" s="229">
        <f t="shared" si="44"/>
        <v>256</v>
      </c>
      <c r="CO21" s="229">
        <f t="shared" si="44"/>
        <v>256</v>
      </c>
      <c r="CP21" s="229">
        <f t="shared" si="44"/>
        <v>256</v>
      </c>
      <c r="CQ21" s="229">
        <f t="shared" si="44"/>
        <v>256</v>
      </c>
      <c r="CR21" s="229">
        <f t="shared" si="44"/>
        <v>256</v>
      </c>
      <c r="CS21" s="229">
        <f t="shared" si="44"/>
        <v>256</v>
      </c>
      <c r="CT21" s="229">
        <f t="shared" si="44"/>
        <v>256</v>
      </c>
      <c r="CU21" s="229">
        <f t="shared" si="44"/>
        <v>256</v>
      </c>
      <c r="CV21" s="229">
        <f t="shared" ref="CV21:EA21" si="45">CV20+CU21</f>
        <v>256</v>
      </c>
      <c r="CW21" s="229">
        <f t="shared" si="45"/>
        <v>256</v>
      </c>
      <c r="CX21" s="229">
        <f t="shared" si="45"/>
        <v>256</v>
      </c>
      <c r="CY21" s="229">
        <f t="shared" si="45"/>
        <v>256</v>
      </c>
      <c r="CZ21" s="229">
        <f t="shared" si="45"/>
        <v>256</v>
      </c>
      <c r="DA21" s="229">
        <f t="shared" si="45"/>
        <v>256</v>
      </c>
      <c r="DB21" s="229">
        <f t="shared" si="45"/>
        <v>256</v>
      </c>
      <c r="DC21" s="229">
        <f t="shared" si="45"/>
        <v>256</v>
      </c>
      <c r="DD21" s="229">
        <f t="shared" si="45"/>
        <v>256</v>
      </c>
      <c r="DE21" s="229">
        <f t="shared" si="45"/>
        <v>256</v>
      </c>
      <c r="DF21" s="229">
        <f t="shared" si="45"/>
        <v>256</v>
      </c>
      <c r="DG21" s="229">
        <f t="shared" si="45"/>
        <v>256</v>
      </c>
      <c r="DH21" s="229">
        <f t="shared" si="45"/>
        <v>256</v>
      </c>
      <c r="DI21" s="229">
        <f t="shared" si="45"/>
        <v>256</v>
      </c>
      <c r="DJ21" s="229">
        <f t="shared" si="45"/>
        <v>256</v>
      </c>
      <c r="DK21" s="229">
        <f t="shared" si="45"/>
        <v>256</v>
      </c>
      <c r="DL21" s="229">
        <f t="shared" si="45"/>
        <v>256</v>
      </c>
      <c r="DM21" s="229">
        <f t="shared" si="45"/>
        <v>256</v>
      </c>
      <c r="DN21" s="229">
        <f t="shared" si="45"/>
        <v>256</v>
      </c>
      <c r="DO21" s="229">
        <f t="shared" si="45"/>
        <v>256</v>
      </c>
      <c r="DP21" s="229">
        <f t="shared" si="45"/>
        <v>256</v>
      </c>
      <c r="DQ21" s="229">
        <f t="shared" si="45"/>
        <v>256</v>
      </c>
      <c r="DR21" s="229">
        <f t="shared" si="45"/>
        <v>256</v>
      </c>
      <c r="DS21" s="229">
        <f t="shared" si="45"/>
        <v>256</v>
      </c>
      <c r="DT21" s="229">
        <f t="shared" si="45"/>
        <v>256</v>
      </c>
      <c r="DU21" s="229">
        <f t="shared" si="45"/>
        <v>256</v>
      </c>
      <c r="DV21" s="229">
        <f t="shared" si="45"/>
        <v>256</v>
      </c>
      <c r="DW21" s="229">
        <f t="shared" si="45"/>
        <v>256</v>
      </c>
      <c r="DX21" s="229">
        <f t="shared" si="45"/>
        <v>256</v>
      </c>
      <c r="DY21" s="229">
        <f t="shared" si="45"/>
        <v>256</v>
      </c>
      <c r="DZ21" s="229">
        <f t="shared" si="45"/>
        <v>256</v>
      </c>
      <c r="EA21" s="229">
        <f t="shared" si="45"/>
        <v>256</v>
      </c>
      <c r="EB21" s="229">
        <f t="shared" ref="EB21:EG21" si="46">EB20+EA21</f>
        <v>256</v>
      </c>
      <c r="EC21" s="229">
        <f t="shared" si="46"/>
        <v>256</v>
      </c>
      <c r="ED21" s="229">
        <f t="shared" si="46"/>
        <v>256</v>
      </c>
      <c r="EE21" s="229">
        <f t="shared" si="46"/>
        <v>256</v>
      </c>
      <c r="EF21" s="229">
        <f t="shared" si="46"/>
        <v>256</v>
      </c>
      <c r="EG21" s="229">
        <f t="shared" si="46"/>
        <v>256</v>
      </c>
      <c r="EH21" s="229"/>
    </row>
    <row r="22" spans="1:139" ht="7.5" customHeight="1" x14ac:dyDescent="0.3">
      <c r="B22" s="203"/>
      <c r="C22" s="203"/>
      <c r="D22" s="646"/>
    </row>
    <row r="23" spans="1:139" x14ac:dyDescent="0.3">
      <c r="A23" s="649" t="s">
        <v>2362</v>
      </c>
      <c r="B23" s="649"/>
      <c r="C23" s="649"/>
      <c r="D23" s="650"/>
      <c r="E23" s="651">
        <f t="shared" ref="E23:AJ23" si="47">E21/Units</f>
        <v>0</v>
      </c>
      <c r="F23" s="651">
        <f t="shared" si="47"/>
        <v>0</v>
      </c>
      <c r="G23" s="651">
        <f t="shared" si="47"/>
        <v>0</v>
      </c>
      <c r="H23" s="651">
        <f t="shared" si="47"/>
        <v>0</v>
      </c>
      <c r="I23" s="651">
        <f t="shared" si="47"/>
        <v>0</v>
      </c>
      <c r="J23" s="651">
        <f t="shared" si="47"/>
        <v>0</v>
      </c>
      <c r="K23" s="651">
        <f t="shared" si="47"/>
        <v>0</v>
      </c>
      <c r="L23" s="651">
        <f t="shared" si="47"/>
        <v>0</v>
      </c>
      <c r="M23" s="651">
        <f t="shared" si="47"/>
        <v>0</v>
      </c>
      <c r="N23" s="651">
        <f t="shared" si="47"/>
        <v>0</v>
      </c>
      <c r="O23" s="651">
        <f t="shared" si="47"/>
        <v>0</v>
      </c>
      <c r="P23" s="651">
        <f t="shared" si="47"/>
        <v>0</v>
      </c>
      <c r="Q23" s="651">
        <f t="shared" si="47"/>
        <v>0</v>
      </c>
      <c r="R23" s="651">
        <f t="shared" si="47"/>
        <v>0</v>
      </c>
      <c r="S23" s="651">
        <f t="shared" si="47"/>
        <v>8.3333333333333329E-2</v>
      </c>
      <c r="T23" s="651">
        <f t="shared" si="47"/>
        <v>0.16666666666666666</v>
      </c>
      <c r="U23" s="651">
        <f t="shared" si="47"/>
        <v>0.25</v>
      </c>
      <c r="V23" s="651">
        <f t="shared" si="47"/>
        <v>0.33333333333333331</v>
      </c>
      <c r="W23" s="651">
        <f t="shared" si="47"/>
        <v>0.41666666666666663</v>
      </c>
      <c r="X23" s="651">
        <f t="shared" si="47"/>
        <v>0.49999999999999994</v>
      </c>
      <c r="Y23" s="651">
        <f t="shared" si="47"/>
        <v>0.58333333333333326</v>
      </c>
      <c r="Z23" s="651">
        <f t="shared" si="47"/>
        <v>0.66666666666666663</v>
      </c>
      <c r="AA23" s="651">
        <f t="shared" si="47"/>
        <v>0.75</v>
      </c>
      <c r="AB23" s="651">
        <f t="shared" si="47"/>
        <v>0.83333333333333337</v>
      </c>
      <c r="AC23" s="651">
        <f t="shared" si="47"/>
        <v>0.91666666666666674</v>
      </c>
      <c r="AD23" s="651">
        <f t="shared" si="47"/>
        <v>1</v>
      </c>
      <c r="AE23" s="651">
        <f t="shared" si="47"/>
        <v>1</v>
      </c>
      <c r="AF23" s="651">
        <f t="shared" si="47"/>
        <v>1</v>
      </c>
      <c r="AG23" s="651">
        <f t="shared" si="47"/>
        <v>1</v>
      </c>
      <c r="AH23" s="651">
        <f t="shared" si="47"/>
        <v>1</v>
      </c>
      <c r="AI23" s="651">
        <f t="shared" si="47"/>
        <v>1</v>
      </c>
      <c r="AJ23" s="651">
        <f t="shared" si="47"/>
        <v>1</v>
      </c>
      <c r="AK23" s="651">
        <f t="shared" ref="AK23:BP23" si="48">AK21/Units</f>
        <v>1</v>
      </c>
      <c r="AL23" s="651">
        <f t="shared" si="48"/>
        <v>1</v>
      </c>
      <c r="AM23" s="651">
        <f t="shared" si="48"/>
        <v>1</v>
      </c>
      <c r="AN23" s="651">
        <f t="shared" si="48"/>
        <v>1</v>
      </c>
      <c r="AO23" s="651">
        <f t="shared" si="48"/>
        <v>1</v>
      </c>
      <c r="AP23" s="651">
        <f t="shared" si="48"/>
        <v>1</v>
      </c>
      <c r="AQ23" s="651">
        <f t="shared" si="48"/>
        <v>1</v>
      </c>
      <c r="AR23" s="651">
        <f t="shared" si="48"/>
        <v>1</v>
      </c>
      <c r="AS23" s="651">
        <f t="shared" si="48"/>
        <v>1</v>
      </c>
      <c r="AT23" s="651">
        <f t="shared" si="48"/>
        <v>1</v>
      </c>
      <c r="AU23" s="651">
        <f t="shared" si="48"/>
        <v>1</v>
      </c>
      <c r="AV23" s="651">
        <f t="shared" si="48"/>
        <v>1</v>
      </c>
      <c r="AW23" s="651">
        <f t="shared" si="48"/>
        <v>1</v>
      </c>
      <c r="AX23" s="651">
        <f t="shared" si="48"/>
        <v>1</v>
      </c>
      <c r="AY23" s="651">
        <f t="shared" si="48"/>
        <v>1</v>
      </c>
      <c r="AZ23" s="651">
        <f t="shared" si="48"/>
        <v>1</v>
      </c>
      <c r="BA23" s="651">
        <f t="shared" si="48"/>
        <v>1</v>
      </c>
      <c r="BB23" s="651">
        <f t="shared" si="48"/>
        <v>1</v>
      </c>
      <c r="BC23" s="651">
        <f t="shared" si="48"/>
        <v>1</v>
      </c>
      <c r="BD23" s="651">
        <f t="shared" si="48"/>
        <v>1</v>
      </c>
      <c r="BE23" s="651">
        <f t="shared" si="48"/>
        <v>1</v>
      </c>
      <c r="BF23" s="651">
        <f t="shared" si="48"/>
        <v>1</v>
      </c>
      <c r="BG23" s="651">
        <f t="shared" si="48"/>
        <v>1</v>
      </c>
      <c r="BH23" s="651">
        <f t="shared" si="48"/>
        <v>1</v>
      </c>
      <c r="BI23" s="651">
        <f t="shared" si="48"/>
        <v>1</v>
      </c>
      <c r="BJ23" s="651">
        <f t="shared" si="48"/>
        <v>1</v>
      </c>
      <c r="BK23" s="651">
        <f t="shared" si="48"/>
        <v>1</v>
      </c>
      <c r="BL23" s="651">
        <f t="shared" si="48"/>
        <v>1</v>
      </c>
      <c r="BM23" s="651">
        <f t="shared" si="48"/>
        <v>1</v>
      </c>
      <c r="BN23" s="651">
        <f t="shared" si="48"/>
        <v>1</v>
      </c>
      <c r="BO23" s="651">
        <f t="shared" si="48"/>
        <v>1</v>
      </c>
      <c r="BP23" s="651">
        <f t="shared" si="48"/>
        <v>1</v>
      </c>
      <c r="BQ23" s="651">
        <f t="shared" ref="BQ23:CV23" si="49">BQ21/Units</f>
        <v>1</v>
      </c>
      <c r="BR23" s="651">
        <f t="shared" si="49"/>
        <v>1</v>
      </c>
      <c r="BS23" s="651">
        <f t="shared" si="49"/>
        <v>1</v>
      </c>
      <c r="BT23" s="651">
        <f t="shared" si="49"/>
        <v>1</v>
      </c>
      <c r="BU23" s="651">
        <f t="shared" si="49"/>
        <v>1</v>
      </c>
      <c r="BV23" s="651">
        <f t="shared" si="49"/>
        <v>1</v>
      </c>
      <c r="BW23" s="651">
        <f t="shared" si="49"/>
        <v>1</v>
      </c>
      <c r="BX23" s="651">
        <f t="shared" si="49"/>
        <v>1</v>
      </c>
      <c r="BY23" s="651">
        <f t="shared" si="49"/>
        <v>1</v>
      </c>
      <c r="BZ23" s="651">
        <f t="shared" si="49"/>
        <v>1</v>
      </c>
      <c r="CA23" s="651">
        <f t="shared" si="49"/>
        <v>1</v>
      </c>
      <c r="CB23" s="651">
        <f t="shared" si="49"/>
        <v>1</v>
      </c>
      <c r="CC23" s="651">
        <f t="shared" si="49"/>
        <v>1</v>
      </c>
      <c r="CD23" s="651">
        <f t="shared" si="49"/>
        <v>1</v>
      </c>
      <c r="CE23" s="651">
        <f t="shared" si="49"/>
        <v>1</v>
      </c>
      <c r="CF23" s="651">
        <f t="shared" si="49"/>
        <v>1</v>
      </c>
      <c r="CG23" s="651">
        <f t="shared" si="49"/>
        <v>1</v>
      </c>
      <c r="CH23" s="651">
        <f t="shared" si="49"/>
        <v>1</v>
      </c>
      <c r="CI23" s="651">
        <f t="shared" si="49"/>
        <v>1</v>
      </c>
      <c r="CJ23" s="651">
        <f t="shared" si="49"/>
        <v>1</v>
      </c>
      <c r="CK23" s="651">
        <f t="shared" si="49"/>
        <v>1</v>
      </c>
      <c r="CL23" s="651">
        <f t="shared" si="49"/>
        <v>1</v>
      </c>
      <c r="CM23" s="651">
        <f t="shared" si="49"/>
        <v>1</v>
      </c>
      <c r="CN23" s="651">
        <f t="shared" si="49"/>
        <v>1</v>
      </c>
      <c r="CO23" s="651">
        <f t="shared" si="49"/>
        <v>1</v>
      </c>
      <c r="CP23" s="651">
        <f t="shared" si="49"/>
        <v>1</v>
      </c>
      <c r="CQ23" s="651">
        <f t="shared" si="49"/>
        <v>1</v>
      </c>
      <c r="CR23" s="651">
        <f t="shared" si="49"/>
        <v>1</v>
      </c>
      <c r="CS23" s="651">
        <f t="shared" si="49"/>
        <v>1</v>
      </c>
      <c r="CT23" s="651">
        <f t="shared" si="49"/>
        <v>1</v>
      </c>
      <c r="CU23" s="651">
        <f t="shared" si="49"/>
        <v>1</v>
      </c>
      <c r="CV23" s="651">
        <f t="shared" si="49"/>
        <v>1</v>
      </c>
      <c r="CW23" s="651">
        <f t="shared" ref="CW23:EG23" si="50">CW21/Units</f>
        <v>1</v>
      </c>
      <c r="CX23" s="651">
        <f t="shared" si="50"/>
        <v>1</v>
      </c>
      <c r="CY23" s="651">
        <f t="shared" si="50"/>
        <v>1</v>
      </c>
      <c r="CZ23" s="651">
        <f t="shared" si="50"/>
        <v>1</v>
      </c>
      <c r="DA23" s="651">
        <f t="shared" si="50"/>
        <v>1</v>
      </c>
      <c r="DB23" s="651">
        <f t="shared" si="50"/>
        <v>1</v>
      </c>
      <c r="DC23" s="651">
        <f t="shared" si="50"/>
        <v>1</v>
      </c>
      <c r="DD23" s="651">
        <f t="shared" si="50"/>
        <v>1</v>
      </c>
      <c r="DE23" s="651">
        <f t="shared" si="50"/>
        <v>1</v>
      </c>
      <c r="DF23" s="651">
        <f t="shared" si="50"/>
        <v>1</v>
      </c>
      <c r="DG23" s="651">
        <f t="shared" si="50"/>
        <v>1</v>
      </c>
      <c r="DH23" s="651">
        <f t="shared" si="50"/>
        <v>1</v>
      </c>
      <c r="DI23" s="651">
        <f t="shared" si="50"/>
        <v>1</v>
      </c>
      <c r="DJ23" s="651">
        <f t="shared" si="50"/>
        <v>1</v>
      </c>
      <c r="DK23" s="651">
        <f t="shared" si="50"/>
        <v>1</v>
      </c>
      <c r="DL23" s="651">
        <f t="shared" si="50"/>
        <v>1</v>
      </c>
      <c r="DM23" s="651">
        <f t="shared" si="50"/>
        <v>1</v>
      </c>
      <c r="DN23" s="651">
        <f t="shared" si="50"/>
        <v>1</v>
      </c>
      <c r="DO23" s="651">
        <f t="shared" si="50"/>
        <v>1</v>
      </c>
      <c r="DP23" s="651">
        <f t="shared" si="50"/>
        <v>1</v>
      </c>
      <c r="DQ23" s="651">
        <f t="shared" si="50"/>
        <v>1</v>
      </c>
      <c r="DR23" s="651">
        <f t="shared" si="50"/>
        <v>1</v>
      </c>
      <c r="DS23" s="651">
        <f t="shared" si="50"/>
        <v>1</v>
      </c>
      <c r="DT23" s="651">
        <f t="shared" si="50"/>
        <v>1</v>
      </c>
      <c r="DU23" s="651">
        <f t="shared" si="50"/>
        <v>1</v>
      </c>
      <c r="DV23" s="651">
        <f t="shared" si="50"/>
        <v>1</v>
      </c>
      <c r="DW23" s="651">
        <f t="shared" si="50"/>
        <v>1</v>
      </c>
      <c r="DX23" s="651">
        <f t="shared" si="50"/>
        <v>1</v>
      </c>
      <c r="DY23" s="651">
        <f t="shared" si="50"/>
        <v>1</v>
      </c>
      <c r="DZ23" s="651">
        <f t="shared" si="50"/>
        <v>1</v>
      </c>
      <c r="EA23" s="651">
        <f t="shared" si="50"/>
        <v>1</v>
      </c>
      <c r="EB23" s="651">
        <f t="shared" si="50"/>
        <v>1</v>
      </c>
      <c r="EC23" s="651">
        <f t="shared" si="50"/>
        <v>1</v>
      </c>
      <c r="ED23" s="651">
        <f t="shared" si="50"/>
        <v>1</v>
      </c>
      <c r="EE23" s="651">
        <f t="shared" si="50"/>
        <v>1</v>
      </c>
      <c r="EF23" s="651">
        <f t="shared" si="50"/>
        <v>1</v>
      </c>
      <c r="EG23" s="651">
        <f t="shared" si="50"/>
        <v>1</v>
      </c>
      <c r="EH23" s="651"/>
    </row>
    <row r="24" spans="1:139" ht="7.5" customHeight="1" x14ac:dyDescent="0.3">
      <c r="B24" s="203"/>
      <c r="C24" s="203"/>
      <c r="D24" s="646"/>
    </row>
    <row r="25" spans="1:139" x14ac:dyDescent="0.3">
      <c r="A25" t="s">
        <v>2363</v>
      </c>
      <c r="E25" s="198"/>
      <c r="F25" s="198">
        <f>IF(OR(F6&lt;'General Inputs'!$D$30,F6&gt;'General Inputs'!$D$30+ConstPeriod-1),0,HLOOKUP(F$6,TableConstCurves,3,FALSE))</f>
        <v>1.7838367967777109E-3</v>
      </c>
      <c r="G25" s="198">
        <f>IF(OR(G6&lt;'General Inputs'!$D$30,G6&gt;'General Inputs'!$D$30+ConstPeriod-1),0,HLOOKUP(G$6,TableConstCurves,3,FALSE))</f>
        <v>6.2567868610355548E-3</v>
      </c>
      <c r="H25" s="198">
        <f>IF(OR(H6&lt;'General Inputs'!$D$30,H6&gt;'General Inputs'!$D$30+ConstPeriod-1),0,HLOOKUP(H$6,TableConstCurves,3,FALSE))</f>
        <v>1.072158401463873E-2</v>
      </c>
      <c r="I25" s="198">
        <f>IF(OR(I6&lt;'General Inputs'!$D$30,I6&gt;'General Inputs'!$D$30+ConstPeriod-1),0,HLOOKUP(I$6,TableConstCurves,3,FALSE))</f>
        <v>1.9783107551358179E-2</v>
      </c>
      <c r="J25" s="198">
        <f>IF(OR(J6&lt;'General Inputs'!$D$30,J6&gt;'General Inputs'!$D$30+ConstPeriod-1),0,HLOOKUP(J$6,TableConstCurves,3,FALSE))</f>
        <v>3.3819111569278471E-2</v>
      </c>
      <c r="K25" s="198">
        <f>IF(OR(K6&lt;'General Inputs'!$D$30,K6&gt;'General Inputs'!$D$30+ConstPeriod-1),0,HLOOKUP(K$6,TableConstCurves,3,FALSE))</f>
        <v>3.488038348247556E-2</v>
      </c>
      <c r="L25" s="198">
        <f>IF(OR(L6&lt;'General Inputs'!$D$30,L6&gt;'General Inputs'!$D$30+ConstPeriod-1),0,HLOOKUP(L$6,TableConstCurves,3,FALSE))</f>
        <v>4.51135059054181E-2</v>
      </c>
      <c r="M25" s="198">
        <f>IF(OR(M6&lt;'General Inputs'!$D$30,M6&gt;'General Inputs'!$D$30+ConstPeriod-1),0,HLOOKUP(M$6,TableConstCurves,3,FALSE))</f>
        <v>5.39662230559394E-2</v>
      </c>
      <c r="N25" s="198">
        <f>IF(OR(N6&lt;'General Inputs'!$D$30,N6&gt;'General Inputs'!$D$30+ConstPeriod-1),0,HLOOKUP(N$6,TableConstCurves,3,FALSE))</f>
        <v>5.7949826218219674E-2</v>
      </c>
      <c r="O25" s="198">
        <f>IF(OR(O6&lt;'General Inputs'!$D$30,O6&gt;'General Inputs'!$D$30+ConstPeriod-1),0,HLOOKUP(O$6,TableConstCurves,3,FALSE))</f>
        <v>6.4788468477919026E-2</v>
      </c>
      <c r="P25" s="198">
        <f>IF(OR(P6&lt;'General Inputs'!$D$30,P6&gt;'General Inputs'!$D$30+ConstPeriod-1),0,HLOOKUP(P$6,TableConstCurves,3,FALSE))</f>
        <v>6.8170401746178222E-2</v>
      </c>
      <c r="Q25" s="198">
        <f>IF(OR(Q6&lt;'General Inputs'!$D$30,Q6&gt;'General Inputs'!$D$30+ConstPeriod-1),0,HLOOKUP(Q$6,TableConstCurves,3,FALSE))</f>
        <v>6.8691437271245659E-2</v>
      </c>
      <c r="R25" s="198">
        <f>IF(OR(R6&lt;'General Inputs'!$D$30,R6&gt;'General Inputs'!$D$30+ConstPeriod-1),0,HLOOKUP(R$6,TableConstCurves,3,FALSE))</f>
        <v>6.4263914851491244E-2</v>
      </c>
      <c r="S25" s="198">
        <f>IF(OR(S6&lt;'General Inputs'!$D$30,S6&gt;'General Inputs'!$D$30+ConstPeriod-1),0,HLOOKUP(S$6,TableConstCurves,3,FALSE))</f>
        <v>6.2182678934341928E-2</v>
      </c>
      <c r="T25" s="198">
        <f>IF(OR(T6&lt;'General Inputs'!$D$30,T6&gt;'General Inputs'!$D$30+ConstPeriod-1),0,HLOOKUP(T$6,TableConstCurves,3,FALSE))</f>
        <v>6.0969864697935416E-2</v>
      </c>
      <c r="U25" s="198">
        <f>IF(OR(U6&lt;'General Inputs'!$D$30,U6&gt;'General Inputs'!$D$30+ConstPeriod-1),0,HLOOKUP(U$6,TableConstCurves,3,FALSE))</f>
        <v>5.5680553996835136E-2</v>
      </c>
      <c r="V25" s="198">
        <f>IF(OR(V6&lt;'General Inputs'!$D$30,V6&gt;'General Inputs'!$D$30+ConstPeriod-1),0,HLOOKUP(V$6,TableConstCurves,3,FALSE))</f>
        <v>4.9811874136302836E-2</v>
      </c>
      <c r="W25" s="198">
        <f>IF(OR(W6&lt;'General Inputs'!$D$30,W6&gt;'General Inputs'!$D$30+ConstPeriod-1),0,HLOOKUP(W$6,TableConstCurves,3,FALSE))</f>
        <v>4.9809421321176828E-2</v>
      </c>
      <c r="X25" s="198">
        <f>IF(OR(X6&lt;'General Inputs'!$D$30,X6&gt;'General Inputs'!$D$30+ConstPeriod-1),0,HLOOKUP(X$6,TableConstCurves,3,FALSE))</f>
        <v>4.6252188046931431E-2</v>
      </c>
      <c r="Y25" s="198">
        <f>IF(OR(Y6&lt;'General Inputs'!$D$30,Y6&gt;'General Inputs'!$D$30+ConstPeriod-1),0,HLOOKUP(Y$6,TableConstCurves,3,FALSE))</f>
        <v>3.884591020288386E-2</v>
      </c>
      <c r="Z25" s="198">
        <f>IF(OR(Z6&lt;'General Inputs'!$D$30,Z6&gt;'General Inputs'!$D$30+ConstPeriod-1),0,HLOOKUP(Z$6,TableConstCurves,3,FALSE))</f>
        <v>3.3307656764089866E-2</v>
      </c>
      <c r="AA25" s="198">
        <f>IF(OR(AA6&lt;'General Inputs'!$D$30,AA6&gt;'General Inputs'!$D$30+ConstPeriod-1),0,HLOOKUP(AA$6,TableConstCurves,3,FALSE))</f>
        <v>2.8129859163246396E-2</v>
      </c>
      <c r="AB25" s="198">
        <f>IF(OR(AB6&lt;'General Inputs'!$D$30,AB6&gt;'General Inputs'!$D$30+ConstPeriod-1),0,HLOOKUP(AB$6,TableConstCurves,3,FALSE))</f>
        <v>1.9317456626116725E-2</v>
      </c>
      <c r="AC25" s="198">
        <f>IF(OR(AC6&lt;'General Inputs'!$D$30,AC6&gt;'General Inputs'!$D$30+ConstPeriod-1),0,HLOOKUP(AC$6,TableConstCurves,3,FALSE))</f>
        <v>1.557576171286712E-2</v>
      </c>
      <c r="AD25" s="198">
        <f>IF(OR(AD6&lt;'General Inputs'!$D$30,AD6&gt;'General Inputs'!$D$30+ConstPeriod-1),0,HLOOKUP(AD$6,TableConstCurves,3,FALSE))</f>
        <v>9.9281865952969284E-3</v>
      </c>
      <c r="AE25" s="198">
        <f>IF(OR(AE6&lt;'General Inputs'!$D$30,AE6&gt;'General Inputs'!$D$30+ConstPeriod-1),0,HLOOKUP(AE$6,TableConstCurves,3,FALSE))</f>
        <v>0</v>
      </c>
      <c r="AF25" s="198">
        <f>IF(OR(AF6&lt;'General Inputs'!$D$30,AF6&gt;'General Inputs'!$D$30+ConstPeriod-1),0,HLOOKUP(AF$6,TableConstCurves,3,FALSE))</f>
        <v>0</v>
      </c>
      <c r="AG25" s="198">
        <f>IF(OR(AG6&lt;'General Inputs'!$D$30,AG6&gt;'General Inputs'!$D$30+ConstPeriod-1),0,HLOOKUP(AG$6,TableConstCurves,3,FALSE))</f>
        <v>0</v>
      </c>
      <c r="AH25" s="198">
        <f>IF(OR(AH6&lt;'General Inputs'!$D$30,AH6&gt;'General Inputs'!$D$30+ConstPeriod-1),0,HLOOKUP(AH$6,TableConstCurves,3,FALSE))</f>
        <v>0</v>
      </c>
      <c r="AI25" s="198">
        <f>IF(OR(AI6&lt;'General Inputs'!$D$30,AI6&gt;'General Inputs'!$D$30+ConstPeriod-1),0,HLOOKUP(AI$6,TableConstCurves,3,FALSE))</f>
        <v>0</v>
      </c>
      <c r="AJ25" s="198">
        <f>IF(OR(AJ6&lt;'General Inputs'!$D$30,AJ6&gt;'General Inputs'!$D$30+ConstPeriod-1),0,HLOOKUP(AJ$6,TableConstCurves,3,FALSE))</f>
        <v>0</v>
      </c>
      <c r="AK25" s="198">
        <f>IF(OR(AK6&lt;'General Inputs'!$D$30,AK6&gt;'General Inputs'!$D$30+ConstPeriod-1),0,HLOOKUP(AK$6,TableConstCurves,3,FALSE))</f>
        <v>0</v>
      </c>
      <c r="AL25" s="198">
        <f>IF(OR(AL6&lt;'General Inputs'!$D$30,AL6&gt;'General Inputs'!$D$30+ConstPeriod-1),0,HLOOKUP(AL$6,TableConstCurves,3,FALSE))</f>
        <v>0</v>
      </c>
      <c r="AM25" s="198">
        <f>IF(OR(AM6&lt;'General Inputs'!$D$30,AM6&gt;'General Inputs'!$D$30+ConstPeriod-1),0,HLOOKUP(AM$6,TableConstCurves,3,FALSE))</f>
        <v>0</v>
      </c>
      <c r="AN25" s="198">
        <f>IF(OR(AN6&lt;'General Inputs'!$D$30,AN6&gt;'General Inputs'!$D$30+ConstPeriod-1),0,HLOOKUP(AN$6,TableConstCurves,3,FALSE))</f>
        <v>0</v>
      </c>
      <c r="AO25" s="198">
        <f>IF(OR(AO6&lt;'General Inputs'!$D$30,AO6&gt;'General Inputs'!$D$30+ConstPeriod-1),0,HLOOKUP(AO$6,TableConstCurves,3,FALSE))</f>
        <v>0</v>
      </c>
      <c r="AP25" s="198">
        <f>IF(OR(AP6&lt;'General Inputs'!$D$30,AP6&gt;'General Inputs'!$D$30+ConstPeriod-1),0,HLOOKUP(AP$6,TableConstCurves,3,FALSE))</f>
        <v>0</v>
      </c>
      <c r="AQ25" s="198">
        <f>IF(OR(AQ6&lt;'General Inputs'!$D$30,AQ6&gt;'General Inputs'!$D$30+ConstPeriod-1),0,HLOOKUP(AQ$6,TableConstCurves,3,FALSE))</f>
        <v>0</v>
      </c>
      <c r="AR25" s="198">
        <f>IF(OR(AR6&lt;'General Inputs'!$D$30,AR6&gt;'General Inputs'!$D$30+ConstPeriod-1),0,HLOOKUP(AR$6,TableConstCurves,3,FALSE))</f>
        <v>0</v>
      </c>
      <c r="AS25" s="198">
        <f>IF(OR(AS6&lt;'General Inputs'!$D$30,AS6&gt;'General Inputs'!$D$30+ConstPeriod-1),0,HLOOKUP(AS$6,TableConstCurves,3,FALSE))</f>
        <v>0</v>
      </c>
      <c r="AT25" s="198">
        <f>IF(OR(AT6&lt;'General Inputs'!$D$30,AT6&gt;'General Inputs'!$D$30+ConstPeriod-1),0,HLOOKUP(AT$6,TableConstCurves,3,FALSE))</f>
        <v>0</v>
      </c>
      <c r="AU25" s="198">
        <f>IF(OR(AU6&lt;'General Inputs'!$D$30,AU6&gt;'General Inputs'!$D$30+ConstPeriod-1),0,HLOOKUP(AU$6,TableConstCurves,3,FALSE))</f>
        <v>0</v>
      </c>
      <c r="AV25" s="198">
        <f>IF(OR(AV6&lt;'General Inputs'!$D$30,AV6&gt;'General Inputs'!$D$30+ConstPeriod-1),0,HLOOKUP(AV$6,TableConstCurves,3,FALSE))</f>
        <v>0</v>
      </c>
      <c r="AW25" s="198">
        <f>IF(OR(AW6&lt;'General Inputs'!$D$30,AW6&gt;'General Inputs'!$D$30+ConstPeriod-1),0,HLOOKUP(AW$6,TableConstCurves,3,FALSE))</f>
        <v>0</v>
      </c>
      <c r="AX25" s="198">
        <f>IF(OR(AX6&lt;'General Inputs'!$D$30,AX6&gt;'General Inputs'!$D$30+ConstPeriod-1),0,HLOOKUP(AX$6,TableConstCurves,3,FALSE))</f>
        <v>0</v>
      </c>
      <c r="AY25" s="198">
        <f>IF(OR(AY6&lt;'General Inputs'!$D$30,AY6&gt;'General Inputs'!$D$30+ConstPeriod-1),0,HLOOKUP(AY$6,TableConstCurves,3,FALSE))</f>
        <v>0</v>
      </c>
      <c r="AZ25" s="198">
        <f>IF(OR(AZ6&lt;'General Inputs'!$D$30,AZ6&gt;'General Inputs'!$D$30+ConstPeriod-1),0,HLOOKUP(AZ$6,TableConstCurves,3,FALSE))</f>
        <v>0</v>
      </c>
      <c r="BA25" s="198">
        <f>IF(OR(BA6&lt;'General Inputs'!$D$30,BA6&gt;'General Inputs'!$D$30+ConstPeriod-1),0,HLOOKUP(BA$6,TableConstCurves,3,FALSE))</f>
        <v>0</v>
      </c>
      <c r="BB25" s="198">
        <f>IF(OR(BB6&lt;'General Inputs'!$D$30,BB6&gt;'General Inputs'!$D$30+ConstPeriod-1),0,HLOOKUP(BB$6,TableConstCurves,3,FALSE))</f>
        <v>0</v>
      </c>
      <c r="BC25" s="198">
        <f>IF(OR(BC6&lt;'General Inputs'!$D$30,BC6&gt;'General Inputs'!$D$30+ConstPeriod-1),0,HLOOKUP(BC$6,TableConstCurves,3,FALSE))</f>
        <v>0</v>
      </c>
      <c r="BD25" s="198">
        <f>IF(OR(BD6&lt;'General Inputs'!$D$30,BD6&gt;'General Inputs'!$D$30+ConstPeriod-1),0,HLOOKUP(BD$6,TableConstCurves,3,FALSE))</f>
        <v>0</v>
      </c>
      <c r="BE25" s="198">
        <f>IF(OR(BE6&lt;'General Inputs'!$D$30,BE6&gt;'General Inputs'!$D$30+ConstPeriod-1),0,HLOOKUP(BE$6,TableConstCurves,3,FALSE))</f>
        <v>0</v>
      </c>
      <c r="BF25" s="198">
        <f>IF(OR(BF6&lt;'General Inputs'!$D$30,BF6&gt;'General Inputs'!$D$30+ConstPeriod-1),0,HLOOKUP(BF$6,TableConstCurves,3,FALSE))</f>
        <v>0</v>
      </c>
      <c r="BG25" s="198">
        <f>IF(OR(BG6&lt;'General Inputs'!$D$30,BG6&gt;'General Inputs'!$D$30+ConstPeriod-1),0,HLOOKUP(BG$6,TableConstCurves,3,FALSE))</f>
        <v>0</v>
      </c>
      <c r="BH25" s="198">
        <f>IF(OR(BH6&lt;'General Inputs'!$D$30,BH6&gt;'General Inputs'!$D$30+ConstPeriod-1),0,HLOOKUP(BH$6,TableConstCurves,3,FALSE))</f>
        <v>0</v>
      </c>
      <c r="BI25" s="198">
        <f>IF(OR(BI6&lt;'General Inputs'!$D$30,BI6&gt;'General Inputs'!$D$30+ConstPeriod-1),0,HLOOKUP(BI$6,TableConstCurves,3,FALSE))</f>
        <v>0</v>
      </c>
      <c r="BJ25" s="198">
        <f>IF(OR(BJ6&lt;'General Inputs'!$D$30,BJ6&gt;'General Inputs'!$D$30+ConstPeriod-1),0,HLOOKUP(BJ$6,TableConstCurves,3,FALSE))</f>
        <v>0</v>
      </c>
      <c r="BK25" s="198">
        <f>IF(OR(BK6&lt;'General Inputs'!$D$30,BK6&gt;'General Inputs'!$D$30+ConstPeriod-1),0,HLOOKUP(BK$6,TableConstCurves,3,FALSE))</f>
        <v>0</v>
      </c>
      <c r="BL25" s="198">
        <f>IF(OR(BL6&lt;'General Inputs'!$D$30,BL6&gt;'General Inputs'!$D$30+ConstPeriod-1),0,HLOOKUP(BL$6,TableConstCurves,3,FALSE))</f>
        <v>0</v>
      </c>
      <c r="BM25" s="198">
        <f>IF(OR(BM6&lt;'General Inputs'!$D$30,BM6&gt;'General Inputs'!$D$30+ConstPeriod-1),0,HLOOKUP(BM$6,TableConstCurves,3,FALSE))</f>
        <v>0</v>
      </c>
      <c r="BN25" s="198">
        <f>IF(OR(BN6&lt;'General Inputs'!$D$30,BN6&gt;'General Inputs'!$D$30+ConstPeriod-1),0,HLOOKUP(BN$6,TableConstCurves,3,FALSE))</f>
        <v>0</v>
      </c>
      <c r="BO25" s="198">
        <f>IF(OR(BO6&lt;'General Inputs'!$D$30,BO6&gt;'General Inputs'!$D$30+ConstPeriod-1),0,HLOOKUP(BO$6,TableConstCurves,3,FALSE))</f>
        <v>0</v>
      </c>
      <c r="BP25" s="198">
        <f>IF(OR(BP6&lt;'General Inputs'!$D$30,BP6&gt;'General Inputs'!$D$30+ConstPeriod-1),0,HLOOKUP(BP$6,TableConstCurves,3,FALSE))</f>
        <v>0</v>
      </c>
      <c r="BQ25" s="198">
        <f>IF(OR(BQ6&lt;'General Inputs'!$D$30,BQ6&gt;'General Inputs'!$D$30+ConstPeriod-1),0,HLOOKUP(BQ$6,TableConstCurves,3,FALSE))</f>
        <v>0</v>
      </c>
      <c r="BR25" s="198">
        <f>IF(OR(BR6&lt;'General Inputs'!$D$30,BR6&gt;'General Inputs'!$D$30+ConstPeriod-1),0,HLOOKUP(BR$6,TableConstCurves,3,FALSE))</f>
        <v>0</v>
      </c>
      <c r="BS25" s="198">
        <f>IF(OR(BS6&lt;'General Inputs'!$D$30,BS6&gt;'General Inputs'!$D$30+ConstPeriod-1),0,HLOOKUP(BS$6,TableConstCurves,3,FALSE))</f>
        <v>0</v>
      </c>
      <c r="BT25" s="198">
        <f>IF(OR(BT6&lt;'General Inputs'!$D$30,BT6&gt;'General Inputs'!$D$30+ConstPeriod-1),0,HLOOKUP(BT$6,TableConstCurves,3,FALSE))</f>
        <v>0</v>
      </c>
      <c r="BU25" s="198">
        <f>IF(OR(BU6&lt;'General Inputs'!$D$30,BU6&gt;'General Inputs'!$D$30+ConstPeriod-1),0,HLOOKUP(BU$6,TableConstCurves,3,FALSE))</f>
        <v>0</v>
      </c>
      <c r="BV25" s="198">
        <f>IF(OR(BV6&lt;'General Inputs'!$D$30,BV6&gt;'General Inputs'!$D$30+ConstPeriod-1),0,HLOOKUP(BV$6,TableConstCurves,3,FALSE))</f>
        <v>0</v>
      </c>
      <c r="BW25" s="198">
        <f>IF(OR(BW6&lt;'General Inputs'!$D$30,BW6&gt;'General Inputs'!$D$30+ConstPeriod-1),0,HLOOKUP(BW$6,TableConstCurves,3,FALSE))</f>
        <v>0</v>
      </c>
      <c r="BX25" s="198">
        <f>IF(OR(BX6&lt;'General Inputs'!$D$30,BX6&gt;'General Inputs'!$D$30+ConstPeriod-1),0,HLOOKUP(BX$6,TableConstCurves,3,FALSE))</f>
        <v>0</v>
      </c>
      <c r="BY25" s="198">
        <f>IF(OR(BY6&lt;'General Inputs'!$D$30,BY6&gt;'General Inputs'!$D$30+ConstPeriod-1),0,HLOOKUP(BY$6,TableConstCurves,3,FALSE))</f>
        <v>0</v>
      </c>
      <c r="BZ25" s="198">
        <f>IF(OR(BZ6&lt;'General Inputs'!$D$30,BZ6&gt;'General Inputs'!$D$30+ConstPeriod-1),0,HLOOKUP(BZ$6,TableConstCurves,3,FALSE))</f>
        <v>0</v>
      </c>
      <c r="CA25" s="198">
        <f>IF(OR(CA6&lt;'General Inputs'!$D$30,CA6&gt;'General Inputs'!$D$30+ConstPeriod-1),0,HLOOKUP(CA$6,TableConstCurves,3,FALSE))</f>
        <v>0</v>
      </c>
      <c r="CB25" s="198">
        <f>IF(OR(CB6&lt;'General Inputs'!$D$30,CB6&gt;'General Inputs'!$D$30+ConstPeriod-1),0,HLOOKUP(CB$6,TableConstCurves,3,FALSE))</f>
        <v>0</v>
      </c>
      <c r="CC25" s="198">
        <f>IF(OR(CC6&lt;'General Inputs'!$D$30,CC6&gt;'General Inputs'!$D$30+ConstPeriod-1),0,HLOOKUP(CC$6,TableConstCurves,3,FALSE))</f>
        <v>0</v>
      </c>
      <c r="CD25" s="198">
        <f>IF(OR(CD6&lt;'General Inputs'!$D$30,CD6&gt;'General Inputs'!$D$30+ConstPeriod-1),0,HLOOKUP(CD$6,TableConstCurves,3,FALSE))</f>
        <v>0</v>
      </c>
      <c r="CE25" s="198">
        <f>IF(OR(CE6&lt;'General Inputs'!$D$30,CE6&gt;'General Inputs'!$D$30+ConstPeriod-1),0,HLOOKUP(CE$6,TableConstCurves,3,FALSE))</f>
        <v>0</v>
      </c>
      <c r="CF25" s="198">
        <f>IF(OR(CF6&lt;'General Inputs'!$D$30,CF6&gt;'General Inputs'!$D$30+ConstPeriod-1),0,HLOOKUP(CF$6,TableConstCurves,3,FALSE))</f>
        <v>0</v>
      </c>
      <c r="CG25" s="198">
        <f>IF(OR(CG6&lt;'General Inputs'!$D$30,CG6&gt;'General Inputs'!$D$30+ConstPeriod-1),0,HLOOKUP(CG$6,TableConstCurves,3,FALSE))</f>
        <v>0</v>
      </c>
      <c r="CH25" s="198">
        <f>IF(OR(CH6&lt;'General Inputs'!$D$30,CH6&gt;'General Inputs'!$D$30+ConstPeriod-1),0,HLOOKUP(CH$6,TableConstCurves,3,FALSE))</f>
        <v>0</v>
      </c>
      <c r="CI25" s="198">
        <f>IF(OR(CI6&lt;'General Inputs'!$D$30,CI6&gt;'General Inputs'!$D$30+ConstPeriod-1),0,HLOOKUP(CI$6,TableConstCurves,3,FALSE))</f>
        <v>0</v>
      </c>
      <c r="CJ25" s="198">
        <f>IF(OR(CJ6&lt;'General Inputs'!$D$30,CJ6&gt;'General Inputs'!$D$30+ConstPeriod-1),0,HLOOKUP(CJ$6,TableConstCurves,3,FALSE))</f>
        <v>0</v>
      </c>
      <c r="CK25" s="198">
        <f>IF(OR(CK6&lt;'General Inputs'!$D$30,CK6&gt;'General Inputs'!$D$30+ConstPeriod-1),0,HLOOKUP(CK$6,TableConstCurves,3,FALSE))</f>
        <v>0</v>
      </c>
      <c r="CL25" s="198">
        <f>IF(OR(CL6&lt;'General Inputs'!$D$30,CL6&gt;'General Inputs'!$D$30+ConstPeriod-1),0,HLOOKUP(CL$6,TableConstCurves,3,FALSE))</f>
        <v>0</v>
      </c>
      <c r="CM25" s="198">
        <f>IF(OR(CM6&lt;'General Inputs'!$D$30,CM6&gt;'General Inputs'!$D$30+ConstPeriod-1),0,HLOOKUP(CM$6,TableConstCurves,3,FALSE))</f>
        <v>0</v>
      </c>
      <c r="CN25" s="198">
        <f>IF(OR(CN6&lt;'General Inputs'!$D$30,CN6&gt;'General Inputs'!$D$30+ConstPeriod-1),0,HLOOKUP(CN$6,TableConstCurves,3,FALSE))</f>
        <v>0</v>
      </c>
      <c r="CO25" s="198">
        <f>IF(OR(CO6&lt;'General Inputs'!$D$30,CO6&gt;'General Inputs'!$D$30+ConstPeriod-1),0,HLOOKUP(CO$6,TableConstCurves,3,FALSE))</f>
        <v>0</v>
      </c>
      <c r="CP25" s="198">
        <f>IF(OR(CP6&lt;'General Inputs'!$D$30,CP6&gt;'General Inputs'!$D$30+ConstPeriod-1),0,HLOOKUP(CP$6,TableConstCurves,3,FALSE))</f>
        <v>0</v>
      </c>
      <c r="CQ25" s="198">
        <f>IF(OR(CQ6&lt;'General Inputs'!$D$30,CQ6&gt;'General Inputs'!$D$30+ConstPeriod-1),0,HLOOKUP(CQ$6,TableConstCurves,3,FALSE))</f>
        <v>0</v>
      </c>
      <c r="CR25" s="198">
        <f>IF(OR(CR6&lt;'General Inputs'!$D$30,CR6&gt;'General Inputs'!$D$30+ConstPeriod-1),0,HLOOKUP(CR$6,TableConstCurves,3,FALSE))</f>
        <v>0</v>
      </c>
      <c r="CS25" s="198">
        <f>IF(OR(CS6&lt;'General Inputs'!$D$30,CS6&gt;'General Inputs'!$D$30+ConstPeriod-1),0,HLOOKUP(CS$6,TableConstCurves,3,FALSE))</f>
        <v>0</v>
      </c>
      <c r="CT25" s="198">
        <f>IF(OR(CT6&lt;'General Inputs'!$D$30,CT6&gt;'General Inputs'!$D$30+ConstPeriod-1),0,HLOOKUP(CT$6,TableConstCurves,3,FALSE))</f>
        <v>0</v>
      </c>
      <c r="CU25" s="198">
        <f>IF(OR(CU6&lt;'General Inputs'!$D$30,CU6&gt;'General Inputs'!$D$30+ConstPeriod-1),0,HLOOKUP(CU$6,TableConstCurves,3,FALSE))</f>
        <v>0</v>
      </c>
      <c r="CV25" s="198">
        <f>IF(OR(CV6&lt;'General Inputs'!$D$30,CV6&gt;'General Inputs'!$D$30+ConstPeriod-1),0,HLOOKUP(CV$6,TableConstCurves,3,FALSE))</f>
        <v>0</v>
      </c>
      <c r="CW25" s="198">
        <f>IF(OR(CW6&lt;'General Inputs'!$D$30,CW6&gt;'General Inputs'!$D$30+ConstPeriod-1),0,HLOOKUP(CW$6,TableConstCurves,3,FALSE))</f>
        <v>0</v>
      </c>
      <c r="CX25" s="198">
        <f>IF(OR(CX6&lt;'General Inputs'!$D$30,CX6&gt;'General Inputs'!$D$30+ConstPeriod-1),0,HLOOKUP(CX$6,TableConstCurves,3,FALSE))</f>
        <v>0</v>
      </c>
      <c r="CY25" s="198">
        <f>IF(OR(CY6&lt;'General Inputs'!$D$30,CY6&gt;'General Inputs'!$D$30+ConstPeriod-1),0,HLOOKUP(CY$6,TableConstCurves,3,FALSE))</f>
        <v>0</v>
      </c>
      <c r="CZ25" s="198">
        <f>IF(OR(CZ6&lt;'General Inputs'!$D$30,CZ6&gt;'General Inputs'!$D$30+ConstPeriod-1),0,HLOOKUP(CZ$6,TableConstCurves,3,FALSE))</f>
        <v>0</v>
      </c>
      <c r="DA25" s="198">
        <f>IF(OR(DA6&lt;'General Inputs'!$D$30,DA6&gt;'General Inputs'!$D$30+ConstPeriod-1),0,HLOOKUP(DA$6,TableConstCurves,3,FALSE))</f>
        <v>0</v>
      </c>
      <c r="DB25" s="198">
        <f>IF(OR(DB6&lt;'General Inputs'!$D$30,DB6&gt;'General Inputs'!$D$30+ConstPeriod-1),0,HLOOKUP(DB$6,TableConstCurves,3,FALSE))</f>
        <v>0</v>
      </c>
      <c r="DC25" s="198">
        <f>IF(OR(DC6&lt;'General Inputs'!$D$30,DC6&gt;'General Inputs'!$D$30+ConstPeriod-1),0,HLOOKUP(DC$6,TableConstCurves,3,FALSE))</f>
        <v>0</v>
      </c>
      <c r="DD25" s="198">
        <f>IF(OR(DD6&lt;'General Inputs'!$D$30,DD6&gt;'General Inputs'!$D$30+ConstPeriod-1),0,HLOOKUP(DD$6,TableConstCurves,3,FALSE))</f>
        <v>0</v>
      </c>
      <c r="DE25" s="198">
        <f>IF(OR(DE6&lt;'General Inputs'!$D$30,DE6&gt;'General Inputs'!$D$30+ConstPeriod-1),0,HLOOKUP(DE$6,TableConstCurves,3,FALSE))</f>
        <v>0</v>
      </c>
      <c r="DF25" s="198">
        <f>IF(OR(DF6&lt;'General Inputs'!$D$30,DF6&gt;'General Inputs'!$D$30+ConstPeriod-1),0,HLOOKUP(DF$6,TableConstCurves,3,FALSE))</f>
        <v>0</v>
      </c>
      <c r="DG25" s="198">
        <f>IF(OR(DG6&lt;'General Inputs'!$D$30,DG6&gt;'General Inputs'!$D$30+ConstPeriod-1),0,HLOOKUP(DG$6,TableConstCurves,3,FALSE))</f>
        <v>0</v>
      </c>
      <c r="DH25" s="198">
        <f>IF(OR(DH6&lt;'General Inputs'!$D$30,DH6&gt;'General Inputs'!$D$30+ConstPeriod-1),0,HLOOKUP(DH$6,TableConstCurves,3,FALSE))</f>
        <v>0</v>
      </c>
      <c r="DI25" s="198">
        <f>IF(OR(DI6&lt;'General Inputs'!$D$30,DI6&gt;'General Inputs'!$D$30+ConstPeriod-1),0,HLOOKUP(DI$6,TableConstCurves,3,FALSE))</f>
        <v>0</v>
      </c>
      <c r="DJ25" s="198">
        <f>IF(OR(DJ6&lt;'General Inputs'!$D$30,DJ6&gt;'General Inputs'!$D$30+ConstPeriod-1),0,HLOOKUP(DJ$6,TableConstCurves,3,FALSE))</f>
        <v>0</v>
      </c>
      <c r="DK25" s="198">
        <f>IF(OR(DK6&lt;'General Inputs'!$D$30,DK6&gt;'General Inputs'!$D$30+ConstPeriod-1),0,HLOOKUP(DK$6,TableConstCurves,3,FALSE))</f>
        <v>0</v>
      </c>
      <c r="DL25" s="198">
        <f>IF(OR(DL6&lt;'General Inputs'!$D$30,DL6&gt;'General Inputs'!$D$30+ConstPeriod-1),0,HLOOKUP(DL$6,TableConstCurves,3,FALSE))</f>
        <v>0</v>
      </c>
      <c r="DM25" s="198">
        <f>IF(OR(DM6&lt;'General Inputs'!$D$30,DM6&gt;'General Inputs'!$D$30+ConstPeriod-1),0,HLOOKUP(DM$6,TableConstCurves,3,FALSE))</f>
        <v>0</v>
      </c>
      <c r="DN25" s="198">
        <f>IF(OR(DN6&lt;'General Inputs'!$D$30,DN6&gt;'General Inputs'!$D$30+ConstPeriod-1),0,HLOOKUP(DN$6,TableConstCurves,3,FALSE))</f>
        <v>0</v>
      </c>
      <c r="DO25" s="198">
        <f>IF(OR(DO6&lt;'General Inputs'!$D$30,DO6&gt;'General Inputs'!$D$30+ConstPeriod-1),0,HLOOKUP(DO$6,TableConstCurves,3,FALSE))</f>
        <v>0</v>
      </c>
      <c r="DP25" s="198">
        <f>IF(OR(DP6&lt;'General Inputs'!$D$30,DP6&gt;'General Inputs'!$D$30+ConstPeriod-1),0,HLOOKUP(DP$6,TableConstCurves,3,FALSE))</f>
        <v>0</v>
      </c>
      <c r="DQ25" s="198">
        <f>IF(OR(DQ6&lt;'General Inputs'!$D$30,DQ6&gt;'General Inputs'!$D$30+ConstPeriod-1),0,HLOOKUP(DQ$6,TableConstCurves,3,FALSE))</f>
        <v>0</v>
      </c>
      <c r="DR25" s="198">
        <f>IF(OR(DR6&lt;'General Inputs'!$D$30,DR6&gt;'General Inputs'!$D$30+ConstPeriod-1),0,HLOOKUP(DR$6,TableConstCurves,3,FALSE))</f>
        <v>0</v>
      </c>
      <c r="DS25" s="198">
        <f>IF(OR(DS6&lt;'General Inputs'!$D$30,DS6&gt;'General Inputs'!$D$30+ConstPeriod-1),0,HLOOKUP(DS$6,TableConstCurves,3,FALSE))</f>
        <v>0</v>
      </c>
      <c r="DT25" s="198">
        <f>IF(OR(DT6&lt;'General Inputs'!$D$30,DT6&gt;'General Inputs'!$D$30+ConstPeriod-1),0,HLOOKUP(DT$6,TableConstCurves,3,FALSE))</f>
        <v>0</v>
      </c>
      <c r="DU25" s="198">
        <f>IF(OR(DU6&lt;'General Inputs'!$D$30,DU6&gt;'General Inputs'!$D$30+ConstPeriod-1),0,HLOOKUP(DU$6,TableConstCurves,3,FALSE))</f>
        <v>0</v>
      </c>
      <c r="DV25" s="198">
        <f>IF(OR(DV6&lt;'General Inputs'!$D$30,DV6&gt;'General Inputs'!$D$30+ConstPeriod-1),0,HLOOKUP(DV$6,TableConstCurves,3,FALSE))</f>
        <v>0</v>
      </c>
      <c r="DW25" s="198">
        <f>IF(OR(DW6&lt;'General Inputs'!$D$30,DW6&gt;'General Inputs'!$D$30+ConstPeriod-1),0,HLOOKUP(DW$6,TableConstCurves,3,FALSE))</f>
        <v>0</v>
      </c>
      <c r="DX25" s="198">
        <f>IF(OR(DX6&lt;'General Inputs'!$D$30,DX6&gt;'General Inputs'!$D$30+ConstPeriod-1),0,HLOOKUP(DX$6,TableConstCurves,3,FALSE))</f>
        <v>0</v>
      </c>
      <c r="DY25" s="198">
        <f>IF(OR(DY6&lt;'General Inputs'!$D$30,DY6&gt;'General Inputs'!$D$30+ConstPeriod-1),0,HLOOKUP(DY$6,TableConstCurves,3,FALSE))</f>
        <v>0</v>
      </c>
      <c r="DZ25" s="198">
        <f>IF(OR(DZ6&lt;'General Inputs'!$D$30,DZ6&gt;'General Inputs'!$D$30+ConstPeriod-1),0,HLOOKUP(DZ$6,TableConstCurves,3,FALSE))</f>
        <v>0</v>
      </c>
      <c r="EA25" s="198">
        <f>IF(OR(EA6&lt;'General Inputs'!$D$30,EA6&gt;'General Inputs'!$D$30+ConstPeriod-1),0,HLOOKUP(EA$6,TableConstCurves,3,FALSE))</f>
        <v>0</v>
      </c>
      <c r="EB25" s="198">
        <f>IF(OR(EB6&lt;'General Inputs'!$D$30,EB6&gt;'General Inputs'!$D$30+ConstPeriod-1),0,HLOOKUP(EB$6,TableConstCurves,3,FALSE))</f>
        <v>0</v>
      </c>
      <c r="EC25" s="198">
        <f>IF(OR(EC6&lt;'General Inputs'!$D$30,EC6&gt;'General Inputs'!$D$30+ConstPeriod-1),0,HLOOKUP(EC$6,TableConstCurves,3,FALSE))</f>
        <v>0</v>
      </c>
      <c r="ED25" s="198">
        <f>IF(OR(ED6&lt;'General Inputs'!$D$30,ED6&gt;'General Inputs'!$D$30+ConstPeriod-1),0,HLOOKUP(ED$6,TableConstCurves,3,FALSE))</f>
        <v>0</v>
      </c>
      <c r="EE25" s="198">
        <f>IF(OR(EE6&lt;'General Inputs'!$D$30,EE6&gt;'General Inputs'!$D$30+ConstPeriod-1),0,HLOOKUP(EE$6,TableConstCurves,3,FALSE))</f>
        <v>0</v>
      </c>
      <c r="EF25" s="198">
        <f>IF(OR(EF6&lt;'General Inputs'!$D$30,EF6&gt;'General Inputs'!$D$30+ConstPeriod-1),0,HLOOKUP(EF$6,TableConstCurves,3,FALSE))</f>
        <v>0</v>
      </c>
      <c r="EG25" s="198">
        <f>IF(OR(EG6&lt;'General Inputs'!$D$30,EG6&gt;'General Inputs'!$D$30+ConstPeriod-1),0,HLOOKUP(EG$6,TableConstCurves,3,FALSE))</f>
        <v>0</v>
      </c>
      <c r="EH25" s="198"/>
    </row>
    <row r="26" spans="1:139" x14ac:dyDescent="0.3">
      <c r="A26" s="649" t="s">
        <v>2364</v>
      </c>
      <c r="B26" s="649"/>
      <c r="C26" s="649"/>
      <c r="D26" s="650"/>
      <c r="E26" s="651"/>
      <c r="F26" s="651">
        <f t="shared" ref="F26:AJ26" si="51">F25+E26</f>
        <v>1.7838367967777109E-3</v>
      </c>
      <c r="G26" s="651">
        <f t="shared" si="51"/>
        <v>8.0406236578132659E-3</v>
      </c>
      <c r="H26" s="651">
        <f t="shared" si="51"/>
        <v>1.8762207672451996E-2</v>
      </c>
      <c r="I26" s="651">
        <f t="shared" si="51"/>
        <v>3.8545315223810175E-2</v>
      </c>
      <c r="J26" s="651">
        <f t="shared" si="51"/>
        <v>7.2364426793088646E-2</v>
      </c>
      <c r="K26" s="651">
        <f t="shared" si="51"/>
        <v>0.10724481027556421</v>
      </c>
      <c r="L26" s="651">
        <f t="shared" si="51"/>
        <v>0.15235831618098231</v>
      </c>
      <c r="M26" s="651">
        <f t="shared" si="51"/>
        <v>0.20632453923692171</v>
      </c>
      <c r="N26" s="651">
        <f t="shared" si="51"/>
        <v>0.26427436545514138</v>
      </c>
      <c r="O26" s="651">
        <f t="shared" si="51"/>
        <v>0.32906283393306041</v>
      </c>
      <c r="P26" s="651">
        <f t="shared" si="51"/>
        <v>0.39723323567923863</v>
      </c>
      <c r="Q26" s="651">
        <f t="shared" si="51"/>
        <v>0.46592467295048429</v>
      </c>
      <c r="R26" s="651">
        <f t="shared" si="51"/>
        <v>0.53018858780197553</v>
      </c>
      <c r="S26" s="651">
        <f t="shared" si="51"/>
        <v>0.59237126673631746</v>
      </c>
      <c r="T26" s="651">
        <f t="shared" si="51"/>
        <v>0.65334113143425288</v>
      </c>
      <c r="U26" s="651">
        <f t="shared" si="51"/>
        <v>0.70902168543108801</v>
      </c>
      <c r="V26" s="651">
        <f t="shared" si="51"/>
        <v>0.75883355956739085</v>
      </c>
      <c r="W26" s="651">
        <f t="shared" si="51"/>
        <v>0.80864298088856768</v>
      </c>
      <c r="X26" s="651">
        <f t="shared" si="51"/>
        <v>0.85489516893549911</v>
      </c>
      <c r="Y26" s="651">
        <f t="shared" si="51"/>
        <v>0.89374107913838297</v>
      </c>
      <c r="Z26" s="651">
        <f t="shared" si="51"/>
        <v>0.92704873590247283</v>
      </c>
      <c r="AA26" s="651">
        <f t="shared" si="51"/>
        <v>0.95517859506571923</v>
      </c>
      <c r="AB26" s="651">
        <f t="shared" si="51"/>
        <v>0.97449605169183595</v>
      </c>
      <c r="AC26" s="651">
        <f t="shared" si="51"/>
        <v>0.99007181340470307</v>
      </c>
      <c r="AD26" s="651">
        <f t="shared" si="51"/>
        <v>1</v>
      </c>
      <c r="AE26" s="651">
        <f t="shared" si="51"/>
        <v>1</v>
      </c>
      <c r="AF26" s="651">
        <f t="shared" si="51"/>
        <v>1</v>
      </c>
      <c r="AG26" s="651">
        <f t="shared" si="51"/>
        <v>1</v>
      </c>
      <c r="AH26" s="651">
        <f t="shared" si="51"/>
        <v>1</v>
      </c>
      <c r="AI26" s="651">
        <f t="shared" si="51"/>
        <v>1</v>
      </c>
      <c r="AJ26" s="651">
        <f t="shared" si="51"/>
        <v>1</v>
      </c>
      <c r="AK26" s="651">
        <f t="shared" ref="AK26:BP26" si="52">AK25+AJ26</f>
        <v>1</v>
      </c>
      <c r="AL26" s="651">
        <f t="shared" si="52"/>
        <v>1</v>
      </c>
      <c r="AM26" s="651">
        <f t="shared" si="52"/>
        <v>1</v>
      </c>
      <c r="AN26" s="651">
        <f t="shared" si="52"/>
        <v>1</v>
      </c>
      <c r="AO26" s="651">
        <f t="shared" si="52"/>
        <v>1</v>
      </c>
      <c r="AP26" s="651">
        <f t="shared" si="52"/>
        <v>1</v>
      </c>
      <c r="AQ26" s="651">
        <f t="shared" si="52"/>
        <v>1</v>
      </c>
      <c r="AR26" s="651">
        <f t="shared" si="52"/>
        <v>1</v>
      </c>
      <c r="AS26" s="651">
        <f t="shared" si="52"/>
        <v>1</v>
      </c>
      <c r="AT26" s="651">
        <f t="shared" si="52"/>
        <v>1</v>
      </c>
      <c r="AU26" s="651">
        <f t="shared" si="52"/>
        <v>1</v>
      </c>
      <c r="AV26" s="651">
        <f t="shared" si="52"/>
        <v>1</v>
      </c>
      <c r="AW26" s="651">
        <f t="shared" si="52"/>
        <v>1</v>
      </c>
      <c r="AX26" s="651">
        <f t="shared" si="52"/>
        <v>1</v>
      </c>
      <c r="AY26" s="651">
        <f t="shared" si="52"/>
        <v>1</v>
      </c>
      <c r="AZ26" s="651">
        <f t="shared" si="52"/>
        <v>1</v>
      </c>
      <c r="BA26" s="651">
        <f t="shared" si="52"/>
        <v>1</v>
      </c>
      <c r="BB26" s="651">
        <f t="shared" si="52"/>
        <v>1</v>
      </c>
      <c r="BC26" s="651">
        <f t="shared" si="52"/>
        <v>1</v>
      </c>
      <c r="BD26" s="651">
        <f t="shared" si="52"/>
        <v>1</v>
      </c>
      <c r="BE26" s="651">
        <f t="shared" si="52"/>
        <v>1</v>
      </c>
      <c r="BF26" s="651">
        <f t="shared" si="52"/>
        <v>1</v>
      </c>
      <c r="BG26" s="651">
        <f t="shared" si="52"/>
        <v>1</v>
      </c>
      <c r="BH26" s="651">
        <f t="shared" si="52"/>
        <v>1</v>
      </c>
      <c r="BI26" s="651">
        <f t="shared" si="52"/>
        <v>1</v>
      </c>
      <c r="BJ26" s="651">
        <f t="shared" si="52"/>
        <v>1</v>
      </c>
      <c r="BK26" s="651">
        <f t="shared" si="52"/>
        <v>1</v>
      </c>
      <c r="BL26" s="651">
        <f t="shared" si="52"/>
        <v>1</v>
      </c>
      <c r="BM26" s="651">
        <f t="shared" si="52"/>
        <v>1</v>
      </c>
      <c r="BN26" s="651">
        <f t="shared" si="52"/>
        <v>1</v>
      </c>
      <c r="BO26" s="651">
        <f t="shared" si="52"/>
        <v>1</v>
      </c>
      <c r="BP26" s="651">
        <f t="shared" si="52"/>
        <v>1</v>
      </c>
      <c r="BQ26" s="651">
        <f t="shared" ref="BQ26:CV26" si="53">BQ25+BP26</f>
        <v>1</v>
      </c>
      <c r="BR26" s="651">
        <f t="shared" si="53"/>
        <v>1</v>
      </c>
      <c r="BS26" s="651">
        <f t="shared" si="53"/>
        <v>1</v>
      </c>
      <c r="BT26" s="651">
        <f t="shared" si="53"/>
        <v>1</v>
      </c>
      <c r="BU26" s="651">
        <f t="shared" si="53"/>
        <v>1</v>
      </c>
      <c r="BV26" s="651">
        <f t="shared" si="53"/>
        <v>1</v>
      </c>
      <c r="BW26" s="651">
        <f t="shared" si="53"/>
        <v>1</v>
      </c>
      <c r="BX26" s="651">
        <f t="shared" si="53"/>
        <v>1</v>
      </c>
      <c r="BY26" s="651">
        <f t="shared" si="53"/>
        <v>1</v>
      </c>
      <c r="BZ26" s="651">
        <f t="shared" si="53"/>
        <v>1</v>
      </c>
      <c r="CA26" s="651">
        <f t="shared" si="53"/>
        <v>1</v>
      </c>
      <c r="CB26" s="651">
        <f t="shared" si="53"/>
        <v>1</v>
      </c>
      <c r="CC26" s="651">
        <f t="shared" si="53"/>
        <v>1</v>
      </c>
      <c r="CD26" s="651">
        <f t="shared" si="53"/>
        <v>1</v>
      </c>
      <c r="CE26" s="651">
        <f t="shared" si="53"/>
        <v>1</v>
      </c>
      <c r="CF26" s="651">
        <f t="shared" si="53"/>
        <v>1</v>
      </c>
      <c r="CG26" s="651">
        <f t="shared" si="53"/>
        <v>1</v>
      </c>
      <c r="CH26" s="651">
        <f t="shared" si="53"/>
        <v>1</v>
      </c>
      <c r="CI26" s="651">
        <f t="shared" si="53"/>
        <v>1</v>
      </c>
      <c r="CJ26" s="651">
        <f t="shared" si="53"/>
        <v>1</v>
      </c>
      <c r="CK26" s="651">
        <f t="shared" si="53"/>
        <v>1</v>
      </c>
      <c r="CL26" s="651">
        <f t="shared" si="53"/>
        <v>1</v>
      </c>
      <c r="CM26" s="651">
        <f t="shared" si="53"/>
        <v>1</v>
      </c>
      <c r="CN26" s="651">
        <f t="shared" si="53"/>
        <v>1</v>
      </c>
      <c r="CO26" s="651">
        <f t="shared" si="53"/>
        <v>1</v>
      </c>
      <c r="CP26" s="651">
        <f t="shared" si="53"/>
        <v>1</v>
      </c>
      <c r="CQ26" s="651">
        <f t="shared" si="53"/>
        <v>1</v>
      </c>
      <c r="CR26" s="651">
        <f t="shared" si="53"/>
        <v>1</v>
      </c>
      <c r="CS26" s="651">
        <f t="shared" si="53"/>
        <v>1</v>
      </c>
      <c r="CT26" s="651">
        <f t="shared" si="53"/>
        <v>1</v>
      </c>
      <c r="CU26" s="651">
        <f t="shared" si="53"/>
        <v>1</v>
      </c>
      <c r="CV26" s="651">
        <f t="shared" si="53"/>
        <v>1</v>
      </c>
      <c r="CW26" s="651">
        <f t="shared" ref="CW26:EB26" si="54">CW25+CV26</f>
        <v>1</v>
      </c>
      <c r="CX26" s="651">
        <f t="shared" si="54"/>
        <v>1</v>
      </c>
      <c r="CY26" s="651">
        <f t="shared" si="54"/>
        <v>1</v>
      </c>
      <c r="CZ26" s="651">
        <f t="shared" si="54"/>
        <v>1</v>
      </c>
      <c r="DA26" s="651">
        <f t="shared" si="54"/>
        <v>1</v>
      </c>
      <c r="DB26" s="651">
        <f t="shared" si="54"/>
        <v>1</v>
      </c>
      <c r="DC26" s="651">
        <f t="shared" si="54"/>
        <v>1</v>
      </c>
      <c r="DD26" s="651">
        <f t="shared" si="54"/>
        <v>1</v>
      </c>
      <c r="DE26" s="651">
        <f t="shared" si="54"/>
        <v>1</v>
      </c>
      <c r="DF26" s="651">
        <f t="shared" si="54"/>
        <v>1</v>
      </c>
      <c r="DG26" s="651">
        <f t="shared" si="54"/>
        <v>1</v>
      </c>
      <c r="DH26" s="651">
        <f t="shared" si="54"/>
        <v>1</v>
      </c>
      <c r="DI26" s="651">
        <f t="shared" si="54"/>
        <v>1</v>
      </c>
      <c r="DJ26" s="651">
        <f t="shared" si="54"/>
        <v>1</v>
      </c>
      <c r="DK26" s="651">
        <f t="shared" si="54"/>
        <v>1</v>
      </c>
      <c r="DL26" s="651">
        <f t="shared" si="54"/>
        <v>1</v>
      </c>
      <c r="DM26" s="651">
        <f t="shared" si="54"/>
        <v>1</v>
      </c>
      <c r="DN26" s="651">
        <f t="shared" si="54"/>
        <v>1</v>
      </c>
      <c r="DO26" s="651">
        <f t="shared" si="54"/>
        <v>1</v>
      </c>
      <c r="DP26" s="651">
        <f t="shared" si="54"/>
        <v>1</v>
      </c>
      <c r="DQ26" s="651">
        <f t="shared" si="54"/>
        <v>1</v>
      </c>
      <c r="DR26" s="651">
        <f t="shared" si="54"/>
        <v>1</v>
      </c>
      <c r="DS26" s="651">
        <f t="shared" si="54"/>
        <v>1</v>
      </c>
      <c r="DT26" s="651">
        <f t="shared" si="54"/>
        <v>1</v>
      </c>
      <c r="DU26" s="651">
        <f t="shared" si="54"/>
        <v>1</v>
      </c>
      <c r="DV26" s="651">
        <f t="shared" si="54"/>
        <v>1</v>
      </c>
      <c r="DW26" s="651">
        <f t="shared" si="54"/>
        <v>1</v>
      </c>
      <c r="DX26" s="651">
        <f t="shared" si="54"/>
        <v>1</v>
      </c>
      <c r="DY26" s="651">
        <f t="shared" si="54"/>
        <v>1</v>
      </c>
      <c r="DZ26" s="651">
        <f t="shared" si="54"/>
        <v>1</v>
      </c>
      <c r="EA26" s="651">
        <f t="shared" si="54"/>
        <v>1</v>
      </c>
      <c r="EB26" s="651">
        <f t="shared" si="54"/>
        <v>1</v>
      </c>
      <c r="EC26" s="651">
        <f>EC25+EB26</f>
        <v>1</v>
      </c>
      <c r="ED26" s="651">
        <f>ED25+EC26</f>
        <v>1</v>
      </c>
      <c r="EE26" s="651">
        <f>EE25+ED26</f>
        <v>1</v>
      </c>
      <c r="EF26" s="651">
        <f>EF25+EE26</f>
        <v>1</v>
      </c>
      <c r="EG26" s="651">
        <f>EG25+EF26</f>
        <v>1</v>
      </c>
      <c r="EH26" s="651"/>
    </row>
    <row r="27" spans="1:139" ht="7.5" customHeight="1" thickBot="1" x14ac:dyDescent="0.35">
      <c r="B27" s="203"/>
      <c r="C27" s="203"/>
      <c r="D27" s="646"/>
    </row>
    <row r="28" spans="1:139" ht="15" thickTop="1" x14ac:dyDescent="0.3">
      <c r="A28" s="318" t="s">
        <v>2365</v>
      </c>
      <c r="B28" s="319"/>
      <c r="C28" s="635"/>
      <c r="D28" s="645"/>
      <c r="E28" s="322"/>
      <c r="F28" s="322"/>
      <c r="G28" s="322"/>
      <c r="H28" s="322"/>
      <c r="I28" s="322"/>
      <c r="J28" s="322"/>
      <c r="K28" s="322"/>
      <c r="L28" s="322"/>
      <c r="M28" s="322"/>
      <c r="N28" s="322"/>
      <c r="O28" s="322"/>
      <c r="P28" s="322"/>
      <c r="Q28" s="322"/>
      <c r="R28" s="322"/>
      <c r="S28" s="322"/>
      <c r="T28" s="322"/>
      <c r="U28" s="322"/>
      <c r="V28" s="322"/>
      <c r="W28" s="322"/>
      <c r="X28" s="322"/>
      <c r="Y28" s="322"/>
      <c r="Z28" s="322"/>
      <c r="AA28" s="322"/>
      <c r="AB28" s="322"/>
      <c r="AC28" s="322"/>
      <c r="AD28" s="322"/>
      <c r="AE28" s="322"/>
      <c r="AF28" s="322"/>
      <c r="AG28" s="322"/>
      <c r="AH28" s="322"/>
      <c r="AI28" s="322"/>
      <c r="AJ28" s="322"/>
      <c r="AK28" s="322"/>
      <c r="AL28" s="322"/>
      <c r="AM28" s="322"/>
      <c r="AN28" s="322"/>
      <c r="AO28" s="322"/>
      <c r="AP28" s="322"/>
      <c r="AQ28" s="322"/>
      <c r="AR28" s="322"/>
      <c r="AS28" s="322"/>
      <c r="AT28" s="322"/>
      <c r="AU28" s="322"/>
      <c r="AV28" s="322"/>
      <c r="AW28" s="322"/>
      <c r="AX28" s="322"/>
      <c r="AY28" s="322"/>
      <c r="AZ28" s="322"/>
      <c r="BA28" s="322"/>
      <c r="BB28" s="322"/>
      <c r="BC28" s="322"/>
      <c r="BD28" s="322"/>
      <c r="BE28" s="322"/>
      <c r="BF28" s="322"/>
      <c r="BG28" s="322"/>
      <c r="BH28" s="322"/>
      <c r="BI28" s="322"/>
      <c r="BJ28" s="322"/>
      <c r="BK28" s="322"/>
      <c r="BL28" s="322"/>
      <c r="BM28" s="322"/>
      <c r="BN28" s="322"/>
      <c r="BO28" s="322"/>
      <c r="BP28" s="322"/>
      <c r="BQ28" s="322"/>
      <c r="BR28" s="322"/>
      <c r="BS28" s="322"/>
      <c r="BT28" s="322"/>
      <c r="BU28" s="322"/>
      <c r="BV28" s="322"/>
      <c r="BW28" s="322"/>
      <c r="BX28" s="322"/>
      <c r="BY28" s="322"/>
      <c r="BZ28" s="322"/>
      <c r="CA28" s="322"/>
      <c r="CB28" s="322"/>
      <c r="CC28" s="322"/>
      <c r="CD28" s="322"/>
      <c r="CE28" s="322"/>
      <c r="CF28" s="322"/>
      <c r="CG28" s="322"/>
      <c r="CH28" s="322"/>
      <c r="CI28" s="322"/>
      <c r="CJ28" s="322"/>
      <c r="CK28" s="322"/>
      <c r="CL28" s="322"/>
      <c r="CM28" s="322"/>
      <c r="CN28" s="322"/>
      <c r="CO28" s="322"/>
      <c r="CP28" s="322"/>
      <c r="CQ28" s="322"/>
      <c r="CR28" s="322"/>
      <c r="CS28" s="322"/>
      <c r="CT28" s="322"/>
      <c r="CU28" s="322"/>
      <c r="CV28" s="322"/>
      <c r="CW28" s="322"/>
      <c r="CX28" s="322"/>
      <c r="CY28" s="322"/>
      <c r="CZ28" s="322"/>
      <c r="DA28" s="322"/>
      <c r="DB28" s="322"/>
      <c r="DC28" s="322"/>
      <c r="DD28" s="322"/>
      <c r="DE28" s="322"/>
      <c r="DF28" s="322"/>
      <c r="DG28" s="322"/>
      <c r="DH28" s="322"/>
      <c r="DI28" s="322"/>
      <c r="DJ28" s="322"/>
      <c r="DK28" s="322"/>
      <c r="DL28" s="322"/>
      <c r="DM28" s="322"/>
      <c r="DN28" s="322"/>
      <c r="DO28" s="322"/>
      <c r="DP28" s="322"/>
      <c r="DQ28" s="322"/>
      <c r="DR28" s="322"/>
      <c r="DS28" s="322"/>
      <c r="DT28" s="322"/>
      <c r="DU28" s="322"/>
      <c r="DV28" s="322"/>
      <c r="DW28" s="322"/>
      <c r="DX28" s="322"/>
      <c r="DY28" s="322"/>
      <c r="DZ28" s="322"/>
      <c r="EA28" s="322"/>
      <c r="EB28" s="322"/>
      <c r="EC28" s="322"/>
      <c r="ED28" s="322"/>
      <c r="EE28" s="322"/>
      <c r="EF28" s="322"/>
      <c r="EG28" s="322"/>
      <c r="EH28" s="322"/>
    </row>
    <row r="29" spans="1:139" x14ac:dyDescent="0.3">
      <c r="A29" s="393" t="s">
        <v>783</v>
      </c>
      <c r="B29" s="393"/>
      <c r="C29" s="393"/>
      <c r="D29" s="646"/>
    </row>
    <row r="30" spans="1:139" x14ac:dyDescent="0.3">
      <c r="A30" s="206" t="s">
        <v>660</v>
      </c>
      <c r="B30" s="206"/>
      <c r="C30" s="206"/>
      <c r="E30" s="227">
        <f t="shared" ref="E30:AJ30" si="55">IF(AND(LandAcqDate&lt;=JVClosingDate,E$6=0),LandPrice,IF(AND(LandAcqDate&gt;JVClosingDate,E$7=LandAcqDate),LandPrice,0))</f>
        <v>0</v>
      </c>
      <c r="F30" s="227">
        <f t="shared" si="55"/>
        <v>8850000</v>
      </c>
      <c r="G30" s="227">
        <f t="shared" si="55"/>
        <v>0</v>
      </c>
      <c r="H30" s="227">
        <f t="shared" si="55"/>
        <v>0</v>
      </c>
      <c r="I30" s="227">
        <f t="shared" si="55"/>
        <v>0</v>
      </c>
      <c r="J30" s="227">
        <f t="shared" si="55"/>
        <v>0</v>
      </c>
      <c r="K30" s="227">
        <f t="shared" si="55"/>
        <v>0</v>
      </c>
      <c r="L30" s="227">
        <f t="shared" si="55"/>
        <v>0</v>
      </c>
      <c r="M30" s="227">
        <f t="shared" si="55"/>
        <v>0</v>
      </c>
      <c r="N30" s="227">
        <f t="shared" si="55"/>
        <v>0</v>
      </c>
      <c r="O30" s="227">
        <f t="shared" si="55"/>
        <v>0</v>
      </c>
      <c r="P30" s="227">
        <f t="shared" si="55"/>
        <v>0</v>
      </c>
      <c r="Q30" s="227">
        <f t="shared" si="55"/>
        <v>0</v>
      </c>
      <c r="R30" s="227">
        <f t="shared" si="55"/>
        <v>0</v>
      </c>
      <c r="S30" s="227">
        <f t="shared" si="55"/>
        <v>0</v>
      </c>
      <c r="T30" s="227">
        <f t="shared" si="55"/>
        <v>0</v>
      </c>
      <c r="U30" s="227">
        <f t="shared" si="55"/>
        <v>0</v>
      </c>
      <c r="V30" s="227">
        <f t="shared" si="55"/>
        <v>0</v>
      </c>
      <c r="W30" s="227">
        <f t="shared" si="55"/>
        <v>0</v>
      </c>
      <c r="X30" s="227">
        <f t="shared" si="55"/>
        <v>0</v>
      </c>
      <c r="Y30" s="227">
        <f t="shared" si="55"/>
        <v>0</v>
      </c>
      <c r="Z30" s="227">
        <f t="shared" si="55"/>
        <v>0</v>
      </c>
      <c r="AA30" s="227">
        <f t="shared" si="55"/>
        <v>0</v>
      </c>
      <c r="AB30" s="227">
        <f t="shared" si="55"/>
        <v>0</v>
      </c>
      <c r="AC30" s="227">
        <f t="shared" si="55"/>
        <v>0</v>
      </c>
      <c r="AD30" s="227">
        <f t="shared" si="55"/>
        <v>0</v>
      </c>
      <c r="AE30" s="227">
        <f t="shared" si="55"/>
        <v>0</v>
      </c>
      <c r="AF30" s="227">
        <f t="shared" si="55"/>
        <v>0</v>
      </c>
      <c r="AG30" s="227">
        <f t="shared" si="55"/>
        <v>0</v>
      </c>
      <c r="AH30" s="227">
        <f t="shared" si="55"/>
        <v>0</v>
      </c>
      <c r="AI30" s="227">
        <f t="shared" si="55"/>
        <v>0</v>
      </c>
      <c r="AJ30" s="227">
        <f t="shared" si="55"/>
        <v>0</v>
      </c>
      <c r="AK30" s="227">
        <f t="shared" ref="AK30:BP30" si="56">IF(AND(LandAcqDate&lt;=JVClosingDate,AK$6=0),LandPrice,IF(AND(LandAcqDate&gt;JVClosingDate,AK$7=LandAcqDate),LandPrice,0))</f>
        <v>0</v>
      </c>
      <c r="AL30" s="227">
        <f t="shared" si="56"/>
        <v>0</v>
      </c>
      <c r="AM30" s="227">
        <f t="shared" si="56"/>
        <v>0</v>
      </c>
      <c r="AN30" s="227">
        <f t="shared" si="56"/>
        <v>0</v>
      </c>
      <c r="AO30" s="227">
        <f t="shared" si="56"/>
        <v>0</v>
      </c>
      <c r="AP30" s="227">
        <f t="shared" si="56"/>
        <v>0</v>
      </c>
      <c r="AQ30" s="227">
        <f t="shared" si="56"/>
        <v>0</v>
      </c>
      <c r="AR30" s="227">
        <f t="shared" si="56"/>
        <v>0</v>
      </c>
      <c r="AS30" s="227">
        <f t="shared" si="56"/>
        <v>0</v>
      </c>
      <c r="AT30" s="227">
        <f t="shared" si="56"/>
        <v>0</v>
      </c>
      <c r="AU30" s="227">
        <f t="shared" si="56"/>
        <v>0</v>
      </c>
      <c r="AV30" s="227">
        <f t="shared" si="56"/>
        <v>0</v>
      </c>
      <c r="AW30" s="227">
        <f t="shared" si="56"/>
        <v>0</v>
      </c>
      <c r="AX30" s="227">
        <f t="shared" si="56"/>
        <v>0</v>
      </c>
      <c r="AY30" s="227">
        <f t="shared" si="56"/>
        <v>0</v>
      </c>
      <c r="AZ30" s="227">
        <f t="shared" si="56"/>
        <v>0</v>
      </c>
      <c r="BA30" s="227">
        <f t="shared" si="56"/>
        <v>0</v>
      </c>
      <c r="BB30" s="227">
        <f t="shared" si="56"/>
        <v>0</v>
      </c>
      <c r="BC30" s="227">
        <f t="shared" si="56"/>
        <v>0</v>
      </c>
      <c r="BD30" s="227">
        <f t="shared" si="56"/>
        <v>0</v>
      </c>
      <c r="BE30" s="227">
        <f t="shared" si="56"/>
        <v>0</v>
      </c>
      <c r="BF30" s="227">
        <f t="shared" si="56"/>
        <v>0</v>
      </c>
      <c r="BG30" s="227">
        <f t="shared" si="56"/>
        <v>0</v>
      </c>
      <c r="BH30" s="227">
        <f t="shared" si="56"/>
        <v>0</v>
      </c>
      <c r="BI30" s="227">
        <f t="shared" si="56"/>
        <v>0</v>
      </c>
      <c r="BJ30" s="227">
        <f t="shared" si="56"/>
        <v>0</v>
      </c>
      <c r="BK30" s="227">
        <f t="shared" si="56"/>
        <v>0</v>
      </c>
      <c r="BL30" s="227">
        <f t="shared" si="56"/>
        <v>0</v>
      </c>
      <c r="BM30" s="227">
        <f t="shared" si="56"/>
        <v>0</v>
      </c>
      <c r="BN30" s="227">
        <f t="shared" si="56"/>
        <v>0</v>
      </c>
      <c r="BO30" s="227">
        <f t="shared" si="56"/>
        <v>0</v>
      </c>
      <c r="BP30" s="227">
        <f t="shared" si="56"/>
        <v>0</v>
      </c>
      <c r="BQ30" s="227">
        <f t="shared" ref="BQ30:CV30" si="57">IF(AND(LandAcqDate&lt;=JVClosingDate,BQ$6=0),LandPrice,IF(AND(LandAcqDate&gt;JVClosingDate,BQ$7=LandAcqDate),LandPrice,0))</f>
        <v>0</v>
      </c>
      <c r="BR30" s="227">
        <f t="shared" si="57"/>
        <v>0</v>
      </c>
      <c r="BS30" s="227">
        <f t="shared" si="57"/>
        <v>0</v>
      </c>
      <c r="BT30" s="227">
        <f t="shared" si="57"/>
        <v>0</v>
      </c>
      <c r="BU30" s="227">
        <f t="shared" si="57"/>
        <v>0</v>
      </c>
      <c r="BV30" s="227">
        <f t="shared" si="57"/>
        <v>0</v>
      </c>
      <c r="BW30" s="227">
        <f t="shared" si="57"/>
        <v>0</v>
      </c>
      <c r="BX30" s="227">
        <f t="shared" si="57"/>
        <v>0</v>
      </c>
      <c r="BY30" s="227">
        <f t="shared" si="57"/>
        <v>0</v>
      </c>
      <c r="BZ30" s="227">
        <f t="shared" si="57"/>
        <v>0</v>
      </c>
      <c r="CA30" s="227">
        <f t="shared" si="57"/>
        <v>0</v>
      </c>
      <c r="CB30" s="227">
        <f t="shared" si="57"/>
        <v>0</v>
      </c>
      <c r="CC30" s="227">
        <f t="shared" si="57"/>
        <v>0</v>
      </c>
      <c r="CD30" s="227">
        <f t="shared" si="57"/>
        <v>0</v>
      </c>
      <c r="CE30" s="227">
        <f t="shared" si="57"/>
        <v>0</v>
      </c>
      <c r="CF30" s="227">
        <f t="shared" si="57"/>
        <v>0</v>
      </c>
      <c r="CG30" s="227">
        <f t="shared" si="57"/>
        <v>0</v>
      </c>
      <c r="CH30" s="227">
        <f t="shared" si="57"/>
        <v>0</v>
      </c>
      <c r="CI30" s="227">
        <f t="shared" si="57"/>
        <v>0</v>
      </c>
      <c r="CJ30" s="227">
        <f t="shared" si="57"/>
        <v>0</v>
      </c>
      <c r="CK30" s="227">
        <f t="shared" si="57"/>
        <v>0</v>
      </c>
      <c r="CL30" s="227">
        <f t="shared" si="57"/>
        <v>0</v>
      </c>
      <c r="CM30" s="227">
        <f t="shared" si="57"/>
        <v>0</v>
      </c>
      <c r="CN30" s="227">
        <f t="shared" si="57"/>
        <v>0</v>
      </c>
      <c r="CO30" s="227">
        <f t="shared" si="57"/>
        <v>0</v>
      </c>
      <c r="CP30" s="227">
        <f t="shared" si="57"/>
        <v>0</v>
      </c>
      <c r="CQ30" s="227">
        <f t="shared" si="57"/>
        <v>0</v>
      </c>
      <c r="CR30" s="227">
        <f t="shared" si="57"/>
        <v>0</v>
      </c>
      <c r="CS30" s="227">
        <f t="shared" si="57"/>
        <v>0</v>
      </c>
      <c r="CT30" s="227">
        <f t="shared" si="57"/>
        <v>0</v>
      </c>
      <c r="CU30" s="227">
        <f t="shared" si="57"/>
        <v>0</v>
      </c>
      <c r="CV30" s="227">
        <f t="shared" si="57"/>
        <v>0</v>
      </c>
      <c r="CW30" s="227">
        <f t="shared" ref="CW30:EG30" si="58">IF(AND(LandAcqDate&lt;=JVClosingDate,CW$6=0),LandPrice,IF(AND(LandAcqDate&gt;JVClosingDate,CW$7=LandAcqDate),LandPrice,0))</f>
        <v>0</v>
      </c>
      <c r="CX30" s="227">
        <f t="shared" si="58"/>
        <v>0</v>
      </c>
      <c r="CY30" s="227">
        <f t="shared" si="58"/>
        <v>0</v>
      </c>
      <c r="CZ30" s="227">
        <f t="shared" si="58"/>
        <v>0</v>
      </c>
      <c r="DA30" s="227">
        <f t="shared" si="58"/>
        <v>0</v>
      </c>
      <c r="DB30" s="227">
        <f t="shared" si="58"/>
        <v>0</v>
      </c>
      <c r="DC30" s="227">
        <f t="shared" si="58"/>
        <v>0</v>
      </c>
      <c r="DD30" s="227">
        <f t="shared" si="58"/>
        <v>0</v>
      </c>
      <c r="DE30" s="227">
        <f t="shared" si="58"/>
        <v>0</v>
      </c>
      <c r="DF30" s="227">
        <f t="shared" si="58"/>
        <v>0</v>
      </c>
      <c r="DG30" s="227">
        <f t="shared" si="58"/>
        <v>0</v>
      </c>
      <c r="DH30" s="227">
        <f t="shared" si="58"/>
        <v>0</v>
      </c>
      <c r="DI30" s="227">
        <f t="shared" si="58"/>
        <v>0</v>
      </c>
      <c r="DJ30" s="227">
        <f t="shared" si="58"/>
        <v>0</v>
      </c>
      <c r="DK30" s="227">
        <f t="shared" si="58"/>
        <v>0</v>
      </c>
      <c r="DL30" s="227">
        <f t="shared" si="58"/>
        <v>0</v>
      </c>
      <c r="DM30" s="227">
        <f t="shared" si="58"/>
        <v>0</v>
      </c>
      <c r="DN30" s="227">
        <f t="shared" si="58"/>
        <v>0</v>
      </c>
      <c r="DO30" s="227">
        <f t="shared" si="58"/>
        <v>0</v>
      </c>
      <c r="DP30" s="227">
        <f t="shared" si="58"/>
        <v>0</v>
      </c>
      <c r="DQ30" s="227">
        <f t="shared" si="58"/>
        <v>0</v>
      </c>
      <c r="DR30" s="227">
        <f t="shared" si="58"/>
        <v>0</v>
      </c>
      <c r="DS30" s="227">
        <f t="shared" si="58"/>
        <v>0</v>
      </c>
      <c r="DT30" s="227">
        <f t="shared" si="58"/>
        <v>0</v>
      </c>
      <c r="DU30" s="227">
        <f t="shared" si="58"/>
        <v>0</v>
      </c>
      <c r="DV30" s="227">
        <f t="shared" si="58"/>
        <v>0</v>
      </c>
      <c r="DW30" s="227">
        <f t="shared" si="58"/>
        <v>0</v>
      </c>
      <c r="DX30" s="227">
        <f t="shared" si="58"/>
        <v>0</v>
      </c>
      <c r="DY30" s="227">
        <f t="shared" si="58"/>
        <v>0</v>
      </c>
      <c r="DZ30" s="227">
        <f t="shared" si="58"/>
        <v>0</v>
      </c>
      <c r="EA30" s="227">
        <f t="shared" si="58"/>
        <v>0</v>
      </c>
      <c r="EB30" s="227">
        <f t="shared" si="58"/>
        <v>0</v>
      </c>
      <c r="EC30" s="227">
        <f t="shared" si="58"/>
        <v>0</v>
      </c>
      <c r="ED30" s="227">
        <f t="shared" si="58"/>
        <v>0</v>
      </c>
      <c r="EE30" s="227">
        <f t="shared" si="58"/>
        <v>0</v>
      </c>
      <c r="EF30" s="227">
        <f t="shared" si="58"/>
        <v>0</v>
      </c>
      <c r="EG30" s="227">
        <f t="shared" si="58"/>
        <v>0</v>
      </c>
      <c r="EH30" s="227">
        <f>SUBTOTAL(9,E30:EG30)</f>
        <v>8850000</v>
      </c>
      <c r="EI30" s="227"/>
    </row>
    <row r="31" spans="1:139" x14ac:dyDescent="0.3">
      <c r="A31" s="206" t="s">
        <v>661</v>
      </c>
      <c r="B31" s="206"/>
      <c r="C31" s="206"/>
      <c r="E31" s="229">
        <f t="shared" ref="E31:AJ31" si="59">IF(AND(LandAcqDate&lt;=JVClosingDate,E$6=0),TotalLand-E30,IF(AND(LandAcqDate&gt;JVClosingDate,E$7=LandAcqDate),TotalLand-E30,0))</f>
        <v>0</v>
      </c>
      <c r="F31" s="229">
        <f t="shared" ca="1" si="59"/>
        <v>242959.62434217893</v>
      </c>
      <c r="G31" s="229">
        <f t="shared" si="59"/>
        <v>0</v>
      </c>
      <c r="H31" s="229">
        <f t="shared" si="59"/>
        <v>0</v>
      </c>
      <c r="I31" s="229">
        <f t="shared" si="59"/>
        <v>0</v>
      </c>
      <c r="J31" s="229">
        <f t="shared" si="59"/>
        <v>0</v>
      </c>
      <c r="K31" s="229">
        <f t="shared" si="59"/>
        <v>0</v>
      </c>
      <c r="L31" s="229">
        <f t="shared" si="59"/>
        <v>0</v>
      </c>
      <c r="M31" s="229">
        <f t="shared" si="59"/>
        <v>0</v>
      </c>
      <c r="N31" s="229">
        <f t="shared" si="59"/>
        <v>0</v>
      </c>
      <c r="O31" s="229">
        <f t="shared" si="59"/>
        <v>0</v>
      </c>
      <c r="P31" s="229">
        <f t="shared" si="59"/>
        <v>0</v>
      </c>
      <c r="Q31" s="229">
        <f t="shared" si="59"/>
        <v>0</v>
      </c>
      <c r="R31" s="229">
        <f t="shared" si="59"/>
        <v>0</v>
      </c>
      <c r="S31" s="229">
        <f t="shared" si="59"/>
        <v>0</v>
      </c>
      <c r="T31" s="229">
        <f t="shared" si="59"/>
        <v>0</v>
      </c>
      <c r="U31" s="229">
        <f t="shared" si="59"/>
        <v>0</v>
      </c>
      <c r="V31" s="229">
        <f t="shared" si="59"/>
        <v>0</v>
      </c>
      <c r="W31" s="229">
        <f t="shared" si="59"/>
        <v>0</v>
      </c>
      <c r="X31" s="229">
        <f t="shared" si="59"/>
        <v>0</v>
      </c>
      <c r="Y31" s="229">
        <f t="shared" si="59"/>
        <v>0</v>
      </c>
      <c r="Z31" s="229">
        <f t="shared" si="59"/>
        <v>0</v>
      </c>
      <c r="AA31" s="229">
        <f t="shared" si="59"/>
        <v>0</v>
      </c>
      <c r="AB31" s="229">
        <f t="shared" si="59"/>
        <v>0</v>
      </c>
      <c r="AC31" s="229">
        <f t="shared" si="59"/>
        <v>0</v>
      </c>
      <c r="AD31" s="229">
        <f t="shared" si="59"/>
        <v>0</v>
      </c>
      <c r="AE31" s="229">
        <f t="shared" si="59"/>
        <v>0</v>
      </c>
      <c r="AF31" s="229">
        <f t="shared" si="59"/>
        <v>0</v>
      </c>
      <c r="AG31" s="229">
        <f t="shared" si="59"/>
        <v>0</v>
      </c>
      <c r="AH31" s="229">
        <f t="shared" si="59"/>
        <v>0</v>
      </c>
      <c r="AI31" s="229">
        <f t="shared" si="59"/>
        <v>0</v>
      </c>
      <c r="AJ31" s="229">
        <f t="shared" si="59"/>
        <v>0</v>
      </c>
      <c r="AK31" s="229">
        <f t="shared" ref="AK31:BP31" si="60">IF(AND(LandAcqDate&lt;=JVClosingDate,AK$6=0),TotalLand-AK30,IF(AND(LandAcqDate&gt;JVClosingDate,AK$7=LandAcqDate),TotalLand-AK30,0))</f>
        <v>0</v>
      </c>
      <c r="AL31" s="229">
        <f t="shared" si="60"/>
        <v>0</v>
      </c>
      <c r="AM31" s="229">
        <f t="shared" si="60"/>
        <v>0</v>
      </c>
      <c r="AN31" s="229">
        <f t="shared" si="60"/>
        <v>0</v>
      </c>
      <c r="AO31" s="229">
        <f t="shared" si="60"/>
        <v>0</v>
      </c>
      <c r="AP31" s="229">
        <f t="shared" si="60"/>
        <v>0</v>
      </c>
      <c r="AQ31" s="229">
        <f t="shared" si="60"/>
        <v>0</v>
      </c>
      <c r="AR31" s="229">
        <f t="shared" si="60"/>
        <v>0</v>
      </c>
      <c r="AS31" s="229">
        <f t="shared" si="60"/>
        <v>0</v>
      </c>
      <c r="AT31" s="229">
        <f t="shared" si="60"/>
        <v>0</v>
      </c>
      <c r="AU31" s="229">
        <f t="shared" si="60"/>
        <v>0</v>
      </c>
      <c r="AV31" s="229">
        <f t="shared" si="60"/>
        <v>0</v>
      </c>
      <c r="AW31" s="229">
        <f t="shared" si="60"/>
        <v>0</v>
      </c>
      <c r="AX31" s="229">
        <f t="shared" si="60"/>
        <v>0</v>
      </c>
      <c r="AY31" s="229">
        <f t="shared" si="60"/>
        <v>0</v>
      </c>
      <c r="AZ31" s="229">
        <f t="shared" si="60"/>
        <v>0</v>
      </c>
      <c r="BA31" s="229">
        <f t="shared" si="60"/>
        <v>0</v>
      </c>
      <c r="BB31" s="229">
        <f t="shared" si="60"/>
        <v>0</v>
      </c>
      <c r="BC31" s="229">
        <f t="shared" si="60"/>
        <v>0</v>
      </c>
      <c r="BD31" s="229">
        <f t="shared" si="60"/>
        <v>0</v>
      </c>
      <c r="BE31" s="229">
        <f t="shared" si="60"/>
        <v>0</v>
      </c>
      <c r="BF31" s="229">
        <f t="shared" si="60"/>
        <v>0</v>
      </c>
      <c r="BG31" s="229">
        <f t="shared" si="60"/>
        <v>0</v>
      </c>
      <c r="BH31" s="229">
        <f t="shared" si="60"/>
        <v>0</v>
      </c>
      <c r="BI31" s="229">
        <f t="shared" si="60"/>
        <v>0</v>
      </c>
      <c r="BJ31" s="229">
        <f t="shared" si="60"/>
        <v>0</v>
      </c>
      <c r="BK31" s="229">
        <f t="shared" si="60"/>
        <v>0</v>
      </c>
      <c r="BL31" s="229">
        <f t="shared" si="60"/>
        <v>0</v>
      </c>
      <c r="BM31" s="229">
        <f t="shared" si="60"/>
        <v>0</v>
      </c>
      <c r="BN31" s="229">
        <f t="shared" si="60"/>
        <v>0</v>
      </c>
      <c r="BO31" s="229">
        <f t="shared" si="60"/>
        <v>0</v>
      </c>
      <c r="BP31" s="229">
        <f t="shared" si="60"/>
        <v>0</v>
      </c>
      <c r="BQ31" s="229">
        <f t="shared" ref="BQ31:CV31" si="61">IF(AND(LandAcqDate&lt;=JVClosingDate,BQ$6=0),TotalLand-BQ30,IF(AND(LandAcqDate&gt;JVClosingDate,BQ$7=LandAcqDate),TotalLand-BQ30,0))</f>
        <v>0</v>
      </c>
      <c r="BR31" s="229">
        <f t="shared" si="61"/>
        <v>0</v>
      </c>
      <c r="BS31" s="229">
        <f t="shared" si="61"/>
        <v>0</v>
      </c>
      <c r="BT31" s="229">
        <f t="shared" si="61"/>
        <v>0</v>
      </c>
      <c r="BU31" s="229">
        <f t="shared" si="61"/>
        <v>0</v>
      </c>
      <c r="BV31" s="229">
        <f t="shared" si="61"/>
        <v>0</v>
      </c>
      <c r="BW31" s="229">
        <f t="shared" si="61"/>
        <v>0</v>
      </c>
      <c r="BX31" s="229">
        <f t="shared" si="61"/>
        <v>0</v>
      </c>
      <c r="BY31" s="229">
        <f t="shared" si="61"/>
        <v>0</v>
      </c>
      <c r="BZ31" s="229">
        <f t="shared" si="61"/>
        <v>0</v>
      </c>
      <c r="CA31" s="229">
        <f t="shared" si="61"/>
        <v>0</v>
      </c>
      <c r="CB31" s="229">
        <f t="shared" si="61"/>
        <v>0</v>
      </c>
      <c r="CC31" s="229">
        <f t="shared" si="61"/>
        <v>0</v>
      </c>
      <c r="CD31" s="229">
        <f t="shared" si="61"/>
        <v>0</v>
      </c>
      <c r="CE31" s="229">
        <f t="shared" si="61"/>
        <v>0</v>
      </c>
      <c r="CF31" s="229">
        <f t="shared" si="61"/>
        <v>0</v>
      </c>
      <c r="CG31" s="229">
        <f t="shared" si="61"/>
        <v>0</v>
      </c>
      <c r="CH31" s="229">
        <f t="shared" si="61"/>
        <v>0</v>
      </c>
      <c r="CI31" s="229">
        <f t="shared" si="61"/>
        <v>0</v>
      </c>
      <c r="CJ31" s="229">
        <f t="shared" si="61"/>
        <v>0</v>
      </c>
      <c r="CK31" s="229">
        <f t="shared" si="61"/>
        <v>0</v>
      </c>
      <c r="CL31" s="229">
        <f t="shared" si="61"/>
        <v>0</v>
      </c>
      <c r="CM31" s="229">
        <f t="shared" si="61"/>
        <v>0</v>
      </c>
      <c r="CN31" s="229">
        <f t="shared" si="61"/>
        <v>0</v>
      </c>
      <c r="CO31" s="229">
        <f t="shared" si="61"/>
        <v>0</v>
      </c>
      <c r="CP31" s="229">
        <f t="shared" si="61"/>
        <v>0</v>
      </c>
      <c r="CQ31" s="229">
        <f t="shared" si="61"/>
        <v>0</v>
      </c>
      <c r="CR31" s="229">
        <f t="shared" si="61"/>
        <v>0</v>
      </c>
      <c r="CS31" s="229">
        <f t="shared" si="61"/>
        <v>0</v>
      </c>
      <c r="CT31" s="229">
        <f t="shared" si="61"/>
        <v>0</v>
      </c>
      <c r="CU31" s="229">
        <f t="shared" si="61"/>
        <v>0</v>
      </c>
      <c r="CV31" s="229">
        <f t="shared" si="61"/>
        <v>0</v>
      </c>
      <c r="CW31" s="229">
        <f t="shared" ref="CW31:EB31" si="62">IF(AND(LandAcqDate&lt;=JVClosingDate,CW$6=0),TotalLand-CW30,IF(AND(LandAcqDate&gt;JVClosingDate,CW$7=LandAcqDate),TotalLand-CW30,0))</f>
        <v>0</v>
      </c>
      <c r="CX31" s="229">
        <f t="shared" si="62"/>
        <v>0</v>
      </c>
      <c r="CY31" s="229">
        <f t="shared" si="62"/>
        <v>0</v>
      </c>
      <c r="CZ31" s="229">
        <f t="shared" si="62"/>
        <v>0</v>
      </c>
      <c r="DA31" s="229">
        <f t="shared" si="62"/>
        <v>0</v>
      </c>
      <c r="DB31" s="229">
        <f t="shared" si="62"/>
        <v>0</v>
      </c>
      <c r="DC31" s="229">
        <f t="shared" si="62"/>
        <v>0</v>
      </c>
      <c r="DD31" s="229">
        <f t="shared" si="62"/>
        <v>0</v>
      </c>
      <c r="DE31" s="229">
        <f t="shared" si="62"/>
        <v>0</v>
      </c>
      <c r="DF31" s="229">
        <f t="shared" si="62"/>
        <v>0</v>
      </c>
      <c r="DG31" s="229">
        <f t="shared" si="62"/>
        <v>0</v>
      </c>
      <c r="DH31" s="229">
        <f t="shared" si="62"/>
        <v>0</v>
      </c>
      <c r="DI31" s="229">
        <f t="shared" si="62"/>
        <v>0</v>
      </c>
      <c r="DJ31" s="229">
        <f t="shared" si="62"/>
        <v>0</v>
      </c>
      <c r="DK31" s="229">
        <f t="shared" si="62"/>
        <v>0</v>
      </c>
      <c r="DL31" s="229">
        <f t="shared" si="62"/>
        <v>0</v>
      </c>
      <c r="DM31" s="229">
        <f t="shared" si="62"/>
        <v>0</v>
      </c>
      <c r="DN31" s="229">
        <f t="shared" si="62"/>
        <v>0</v>
      </c>
      <c r="DO31" s="229">
        <f t="shared" si="62"/>
        <v>0</v>
      </c>
      <c r="DP31" s="229">
        <f t="shared" si="62"/>
        <v>0</v>
      </c>
      <c r="DQ31" s="229">
        <f t="shared" si="62"/>
        <v>0</v>
      </c>
      <c r="DR31" s="229">
        <f t="shared" si="62"/>
        <v>0</v>
      </c>
      <c r="DS31" s="229">
        <f t="shared" si="62"/>
        <v>0</v>
      </c>
      <c r="DT31" s="229">
        <f t="shared" si="62"/>
        <v>0</v>
      </c>
      <c r="DU31" s="229">
        <f t="shared" si="62"/>
        <v>0</v>
      </c>
      <c r="DV31" s="229">
        <f t="shared" si="62"/>
        <v>0</v>
      </c>
      <c r="DW31" s="229">
        <f t="shared" si="62"/>
        <v>0</v>
      </c>
      <c r="DX31" s="229">
        <f t="shared" si="62"/>
        <v>0</v>
      </c>
      <c r="DY31" s="229">
        <f t="shared" si="62"/>
        <v>0</v>
      </c>
      <c r="DZ31" s="229">
        <f t="shared" si="62"/>
        <v>0</v>
      </c>
      <c r="EA31" s="229">
        <f t="shared" si="62"/>
        <v>0</v>
      </c>
      <c r="EB31" s="229">
        <f t="shared" si="62"/>
        <v>0</v>
      </c>
      <c r="EC31" s="229">
        <f t="shared" ref="EC31:EG31" si="63">IF(AND(LandAcqDate&lt;=JVClosingDate,EC$6=0),TotalLand-EC30,IF(AND(LandAcqDate&gt;JVClosingDate,EC$7=LandAcqDate),TotalLand-EC30,0))</f>
        <v>0</v>
      </c>
      <c r="ED31" s="229">
        <f t="shared" si="63"/>
        <v>0</v>
      </c>
      <c r="EE31" s="229">
        <f t="shared" si="63"/>
        <v>0</v>
      </c>
      <c r="EF31" s="229">
        <f t="shared" si="63"/>
        <v>0</v>
      </c>
      <c r="EG31" s="229">
        <f t="shared" si="63"/>
        <v>0</v>
      </c>
      <c r="EH31" s="229">
        <f ca="1">SUBTOTAL(9,E31:EG31)</f>
        <v>242959.62434217893</v>
      </c>
      <c r="EI31" s="227"/>
    </row>
    <row r="32" spans="1:139" x14ac:dyDescent="0.3">
      <c r="A32" s="393" t="s">
        <v>794</v>
      </c>
      <c r="B32" s="393"/>
      <c r="C32" s="393"/>
      <c r="D32" s="646"/>
      <c r="EI32" s="227"/>
    </row>
    <row r="33" spans="1:139" x14ac:dyDescent="0.3">
      <c r="A33" s="413" t="s">
        <v>677</v>
      </c>
      <c r="B33" s="413"/>
      <c r="C33" s="413"/>
      <c r="E33" s="229">
        <v>0</v>
      </c>
      <c r="F33" s="229">
        <f ca="1">IF('General Inputs'!$D$8="Oregon",'Tax Calcs'!E23,'Tax Calcs'!E17)</f>
        <v>3331.3377149353296</v>
      </c>
      <c r="G33" s="229">
        <f ca="1">IF('General Inputs'!$D$8="Oregon",'Tax Calcs'!F23,'Tax Calcs'!F17)</f>
        <v>3331.3377149353296</v>
      </c>
      <c r="H33" s="229">
        <f ca="1">IF('General Inputs'!$D$8="Oregon",'Tax Calcs'!G23,'Tax Calcs'!G17)</f>
        <v>3331.3377149353296</v>
      </c>
      <c r="I33" s="229">
        <f ca="1">IF('General Inputs'!$D$8="Oregon",'Tax Calcs'!H23,'Tax Calcs'!H17)</f>
        <v>7334.1378649844455</v>
      </c>
      <c r="J33" s="229">
        <f ca="1">IF('General Inputs'!$D$8="Oregon",'Tax Calcs'!I23,'Tax Calcs'!I17)</f>
        <v>7334.1378649844455</v>
      </c>
      <c r="K33" s="229">
        <f ca="1">IF('General Inputs'!$D$8="Oregon",'Tax Calcs'!J23,'Tax Calcs'!J17)</f>
        <v>7334.1378649844455</v>
      </c>
      <c r="L33" s="229">
        <f ca="1">IF('General Inputs'!$D$8="Oregon",'Tax Calcs'!K23,'Tax Calcs'!K17)</f>
        <v>7334.1378649844455</v>
      </c>
      <c r="M33" s="229">
        <f ca="1">IF('General Inputs'!$D$8="Oregon",'Tax Calcs'!L23,'Tax Calcs'!L17)</f>
        <v>7334.1378649844455</v>
      </c>
      <c r="N33" s="229">
        <f ca="1">IF('General Inputs'!$D$8="Oregon",'Tax Calcs'!M23,'Tax Calcs'!M17)</f>
        <v>7334.1378649844455</v>
      </c>
      <c r="O33" s="229">
        <f ca="1">IF('General Inputs'!$D$8="Oregon",'Tax Calcs'!N23,'Tax Calcs'!N17)</f>
        <v>7334.1378649844455</v>
      </c>
      <c r="P33" s="229">
        <f ca="1">IF('General Inputs'!$D$8="Oregon",'Tax Calcs'!O23,'Tax Calcs'!O17)</f>
        <v>7334.1378649844455</v>
      </c>
      <c r="Q33" s="229">
        <f ca="1">IF('General Inputs'!$D$8="Oregon",'Tax Calcs'!P23,'Tax Calcs'!P17)</f>
        <v>7334.1378649844455</v>
      </c>
      <c r="R33" s="229">
        <f ca="1">IF('General Inputs'!$D$8="Oregon",'Tax Calcs'!Q23,'Tax Calcs'!Q17)</f>
        <v>7334.1378649844455</v>
      </c>
      <c r="S33" s="229">
        <f>IF('General Inputs'!$D$8="Oregon",'Tax Calcs'!R23,'Tax Calcs'!R17)</f>
        <v>0</v>
      </c>
      <c r="T33" s="229">
        <f>IF('General Inputs'!$D$8="Oregon",'Tax Calcs'!S23,'Tax Calcs'!S17)</f>
        <v>0</v>
      </c>
      <c r="U33" s="229">
        <f>IF('General Inputs'!$D$8="Oregon",'Tax Calcs'!T23,'Tax Calcs'!T17)</f>
        <v>0</v>
      </c>
      <c r="V33" s="229">
        <f>IF('General Inputs'!$D$8="Oregon",'Tax Calcs'!U23,'Tax Calcs'!U17)</f>
        <v>0</v>
      </c>
      <c r="W33" s="229">
        <f>IF('General Inputs'!$D$8="Oregon",'Tax Calcs'!V23,'Tax Calcs'!V17)</f>
        <v>0</v>
      </c>
      <c r="X33" s="229">
        <f>IF('General Inputs'!$D$8="Oregon",'Tax Calcs'!W23,'Tax Calcs'!W17)</f>
        <v>0</v>
      </c>
      <c r="Y33" s="229">
        <f>IF('General Inputs'!$D$8="Oregon",'Tax Calcs'!X23,'Tax Calcs'!X17)</f>
        <v>0</v>
      </c>
      <c r="Z33" s="229">
        <f>IF('General Inputs'!$D$8="Oregon",'Tax Calcs'!Y23,'Tax Calcs'!Y17)</f>
        <v>0</v>
      </c>
      <c r="AA33" s="229">
        <f>IF('General Inputs'!$D$8="Oregon",'Tax Calcs'!Z23,'Tax Calcs'!Z17)</f>
        <v>0</v>
      </c>
      <c r="AB33" s="229">
        <f>IF('General Inputs'!$D$8="Oregon",'Tax Calcs'!AA23,'Tax Calcs'!AA17)</f>
        <v>0</v>
      </c>
      <c r="AC33" s="229">
        <f>IF('General Inputs'!$D$8="Oregon",'Tax Calcs'!AB23,'Tax Calcs'!AB17)</f>
        <v>0</v>
      </c>
      <c r="AD33" s="229">
        <f>IF('General Inputs'!$D$8="Oregon",'Tax Calcs'!AC23,'Tax Calcs'!AC17)</f>
        <v>0</v>
      </c>
      <c r="AE33" s="229">
        <f>IF('General Inputs'!$D$8="Oregon",'Tax Calcs'!AD23,'Tax Calcs'!AD17)</f>
        <v>0</v>
      </c>
      <c r="AF33" s="229">
        <f>IF('General Inputs'!$D$8="Oregon",'Tax Calcs'!AE23,'Tax Calcs'!AE17)</f>
        <v>0</v>
      </c>
      <c r="AG33" s="229">
        <f>IF('General Inputs'!$D$8="Oregon",'Tax Calcs'!AF23,'Tax Calcs'!AF17)</f>
        <v>0</v>
      </c>
      <c r="AH33" s="229">
        <f>IF('General Inputs'!$D$8="Oregon",'Tax Calcs'!AG23,'Tax Calcs'!AG17)</f>
        <v>0</v>
      </c>
      <c r="AI33" s="229">
        <f>IF('General Inputs'!$D$8="Oregon",'Tax Calcs'!AH23,'Tax Calcs'!AH17)</f>
        <v>0</v>
      </c>
      <c r="AJ33" s="229">
        <f>IF('General Inputs'!$D$8="Oregon",'Tax Calcs'!AI23,'Tax Calcs'!AI17)</f>
        <v>0</v>
      </c>
      <c r="AK33" s="229">
        <f>IF('General Inputs'!$D$8="Oregon",'Tax Calcs'!AJ23,'Tax Calcs'!AJ17)</f>
        <v>0</v>
      </c>
      <c r="AL33" s="229">
        <f>IF('General Inputs'!$D$8="Oregon",'Tax Calcs'!AK23,'Tax Calcs'!AK17)</f>
        <v>0</v>
      </c>
      <c r="AM33" s="229">
        <f>IF('General Inputs'!$D$8="Oregon",'Tax Calcs'!AL23,'Tax Calcs'!AL17)</f>
        <v>0</v>
      </c>
      <c r="AN33" s="229">
        <f>IF('General Inputs'!$D$8="Oregon",'Tax Calcs'!AM23,'Tax Calcs'!AM17)</f>
        <v>0</v>
      </c>
      <c r="AO33" s="229">
        <f>IF('General Inputs'!$D$8="Oregon",'Tax Calcs'!AN23,'Tax Calcs'!AN17)</f>
        <v>0</v>
      </c>
      <c r="AP33" s="229">
        <f>IF('General Inputs'!$D$8="Oregon",'Tax Calcs'!AO23,'Tax Calcs'!AO17)</f>
        <v>0</v>
      </c>
      <c r="AQ33" s="229">
        <f>IF('General Inputs'!$D$8="Oregon",'Tax Calcs'!AP23,'Tax Calcs'!AP17)</f>
        <v>0</v>
      </c>
      <c r="AR33" s="229">
        <f>IF('General Inputs'!$D$8="Oregon",'Tax Calcs'!AQ23,'Tax Calcs'!AQ17)</f>
        <v>0</v>
      </c>
      <c r="AS33" s="229">
        <f>IF('General Inputs'!$D$8="Oregon",'Tax Calcs'!AR23,'Tax Calcs'!AR17)</f>
        <v>0</v>
      </c>
      <c r="AT33" s="229">
        <f>IF('General Inputs'!$D$8="Oregon",'Tax Calcs'!AS23,'Tax Calcs'!AS17)</f>
        <v>0</v>
      </c>
      <c r="AU33" s="229">
        <f>IF('General Inputs'!$D$8="Oregon",'Tax Calcs'!AT23,'Tax Calcs'!AT17)</f>
        <v>0</v>
      </c>
      <c r="AV33" s="229">
        <f>IF('General Inputs'!$D$8="Oregon",'Tax Calcs'!AU23,'Tax Calcs'!AU17)</f>
        <v>0</v>
      </c>
      <c r="AW33" s="229">
        <f>IF('General Inputs'!$D$8="Oregon",'Tax Calcs'!AV23,'Tax Calcs'!AV17)</f>
        <v>0</v>
      </c>
      <c r="AX33" s="229">
        <f>IF('General Inputs'!$D$8="Oregon",'Tax Calcs'!AW23,'Tax Calcs'!AW17)</f>
        <v>0</v>
      </c>
      <c r="AY33" s="229">
        <f>IF('General Inputs'!$D$8="Oregon",'Tax Calcs'!AX23,'Tax Calcs'!AX17)</f>
        <v>0</v>
      </c>
      <c r="AZ33" s="229">
        <f>IF('General Inputs'!$D$8="Oregon",'Tax Calcs'!AY23,'Tax Calcs'!AY17)</f>
        <v>0</v>
      </c>
      <c r="BA33" s="229">
        <f>IF('General Inputs'!$D$8="Oregon",'Tax Calcs'!AZ23,'Tax Calcs'!AZ17)</f>
        <v>0</v>
      </c>
      <c r="BB33" s="229">
        <f>IF('General Inputs'!$D$8="Oregon",'Tax Calcs'!BA23,'Tax Calcs'!BA17)</f>
        <v>0</v>
      </c>
      <c r="BC33" s="229">
        <f>IF('General Inputs'!$D$8="Oregon",'Tax Calcs'!BB23,'Tax Calcs'!BB17)</f>
        <v>0</v>
      </c>
      <c r="BD33" s="229">
        <f>IF('General Inputs'!$D$8="Oregon",'Tax Calcs'!BC23,'Tax Calcs'!BC17)</f>
        <v>0</v>
      </c>
      <c r="BE33" s="229">
        <f>IF('General Inputs'!$D$8="Oregon",'Tax Calcs'!BD23,'Tax Calcs'!BD17)</f>
        <v>0</v>
      </c>
      <c r="BF33" s="229">
        <f>IF('General Inputs'!$D$8="Oregon",'Tax Calcs'!BE23,'Tax Calcs'!BE17)</f>
        <v>0</v>
      </c>
      <c r="BG33" s="229">
        <f>IF('General Inputs'!$D$8="Oregon",'Tax Calcs'!BF23,'Tax Calcs'!BF17)</f>
        <v>0</v>
      </c>
      <c r="BH33" s="229">
        <f>IF('General Inputs'!$D$8="Oregon",'Tax Calcs'!BG23,'Tax Calcs'!BG17)</f>
        <v>0</v>
      </c>
      <c r="BI33" s="229">
        <f>IF('General Inputs'!$D$8="Oregon",'Tax Calcs'!BH23,'Tax Calcs'!BH17)</f>
        <v>0</v>
      </c>
      <c r="BJ33" s="229">
        <f>IF('General Inputs'!$D$8="Oregon",'Tax Calcs'!BI23,'Tax Calcs'!BI17)</f>
        <v>0</v>
      </c>
      <c r="BK33" s="229">
        <f>IF('General Inputs'!$D$8="Oregon",'Tax Calcs'!BJ23,'Tax Calcs'!BJ17)</f>
        <v>0</v>
      </c>
      <c r="BL33" s="229">
        <f>IF('General Inputs'!$D$8="Oregon",'Tax Calcs'!BK23,'Tax Calcs'!BK17)</f>
        <v>0</v>
      </c>
      <c r="BM33" s="229">
        <f>IF('General Inputs'!$D$8="Oregon",'Tax Calcs'!BL23,'Tax Calcs'!BL17)</f>
        <v>0</v>
      </c>
      <c r="BN33" s="229">
        <f>IF('General Inputs'!$D$8="Oregon",'Tax Calcs'!BM23,'Tax Calcs'!BM17)</f>
        <v>0</v>
      </c>
      <c r="BO33" s="229">
        <f>IF('General Inputs'!$D$8="Oregon",'Tax Calcs'!BN23,'Tax Calcs'!BN17)</f>
        <v>0</v>
      </c>
      <c r="BP33" s="229">
        <f>IF('General Inputs'!$D$8="Oregon",'Tax Calcs'!BO23,'Tax Calcs'!BO17)</f>
        <v>0</v>
      </c>
      <c r="BQ33" s="229">
        <f>IF('General Inputs'!$D$8="Oregon",'Tax Calcs'!BP23,'Tax Calcs'!BP17)</f>
        <v>0</v>
      </c>
      <c r="BR33" s="229">
        <f>IF('General Inputs'!$D$8="Oregon",'Tax Calcs'!BQ23,'Tax Calcs'!BQ17)</f>
        <v>0</v>
      </c>
      <c r="BS33" s="229">
        <f>IF('General Inputs'!$D$8="Oregon",'Tax Calcs'!BR23,'Tax Calcs'!BR17)</f>
        <v>0</v>
      </c>
      <c r="BT33" s="229">
        <f>IF('General Inputs'!$D$8="Oregon",'Tax Calcs'!BS23,'Tax Calcs'!BS17)</f>
        <v>0</v>
      </c>
      <c r="BU33" s="229">
        <f>IF('General Inputs'!$D$8="Oregon",'Tax Calcs'!BT23,'Tax Calcs'!BT17)</f>
        <v>0</v>
      </c>
      <c r="BV33" s="229">
        <f>IF('General Inputs'!$D$8="Oregon",'Tax Calcs'!BU23,'Tax Calcs'!BU17)</f>
        <v>0</v>
      </c>
      <c r="BW33" s="229">
        <f>IF('General Inputs'!$D$8="Oregon",'Tax Calcs'!BV23,'Tax Calcs'!BV17)</f>
        <v>0</v>
      </c>
      <c r="BX33" s="229">
        <f>IF('General Inputs'!$D$8="Oregon",'Tax Calcs'!BW23,'Tax Calcs'!BW17)</f>
        <v>0</v>
      </c>
      <c r="BY33" s="229">
        <f>IF('General Inputs'!$D$8="Oregon",'Tax Calcs'!BX23,'Tax Calcs'!BX17)</f>
        <v>0</v>
      </c>
      <c r="BZ33" s="229">
        <f>IF('General Inputs'!$D$8="Oregon",'Tax Calcs'!BY23,'Tax Calcs'!BY17)</f>
        <v>0</v>
      </c>
      <c r="CA33" s="229">
        <f>IF('General Inputs'!$D$8="Oregon",'Tax Calcs'!BZ23,'Tax Calcs'!BZ17)</f>
        <v>0</v>
      </c>
      <c r="CB33" s="229">
        <f>IF('General Inputs'!$D$8="Oregon",'Tax Calcs'!CA23,'Tax Calcs'!CA17)</f>
        <v>0</v>
      </c>
      <c r="CC33" s="229">
        <f>IF('General Inputs'!$D$8="Oregon",'Tax Calcs'!CB23,'Tax Calcs'!CB17)</f>
        <v>0</v>
      </c>
      <c r="CD33" s="229">
        <f>IF('General Inputs'!$D$8="Oregon",'Tax Calcs'!CC23,'Tax Calcs'!CC17)</f>
        <v>0</v>
      </c>
      <c r="CE33" s="229">
        <f>IF('General Inputs'!$D$8="Oregon",'Tax Calcs'!CD23,'Tax Calcs'!CD17)</f>
        <v>0</v>
      </c>
      <c r="CF33" s="229">
        <f>IF('General Inputs'!$D$8="Oregon",'Tax Calcs'!CE23,'Tax Calcs'!CE17)</f>
        <v>0</v>
      </c>
      <c r="CG33" s="229">
        <f>IF('General Inputs'!$D$8="Oregon",'Tax Calcs'!CF23,'Tax Calcs'!CF17)</f>
        <v>0</v>
      </c>
      <c r="CH33" s="229">
        <f>IF('General Inputs'!$D$8="Oregon",'Tax Calcs'!CG23,'Tax Calcs'!CG17)</f>
        <v>0</v>
      </c>
      <c r="CI33" s="229">
        <f>IF('General Inputs'!$D$8="Oregon",'Tax Calcs'!CH23,'Tax Calcs'!CH17)</f>
        <v>0</v>
      </c>
      <c r="CJ33" s="229">
        <f>IF('General Inputs'!$D$8="Oregon",'Tax Calcs'!CI23,'Tax Calcs'!CI17)</f>
        <v>0</v>
      </c>
      <c r="CK33" s="229">
        <f>IF('General Inputs'!$D$8="Oregon",'Tax Calcs'!CJ23,'Tax Calcs'!CJ17)</f>
        <v>0</v>
      </c>
      <c r="CL33" s="229">
        <f>IF('General Inputs'!$D$8="Oregon",'Tax Calcs'!CK23,'Tax Calcs'!CK17)</f>
        <v>0</v>
      </c>
      <c r="CM33" s="229">
        <f>IF('General Inputs'!$D$8="Oregon",'Tax Calcs'!CL23,'Tax Calcs'!CL17)</f>
        <v>0</v>
      </c>
      <c r="CN33" s="229">
        <f>IF('General Inputs'!$D$8="Oregon",'Tax Calcs'!CM23,'Tax Calcs'!CM17)</f>
        <v>0</v>
      </c>
      <c r="CO33" s="229">
        <f>IF('General Inputs'!$D$8="Oregon",'Tax Calcs'!CN23,'Tax Calcs'!CN17)</f>
        <v>0</v>
      </c>
      <c r="CP33" s="229">
        <f>IF('General Inputs'!$D$8="Oregon",'Tax Calcs'!CO23,'Tax Calcs'!CO17)</f>
        <v>0</v>
      </c>
      <c r="CQ33" s="229">
        <f>IF('General Inputs'!$D$8="Oregon",'Tax Calcs'!CP23,'Tax Calcs'!CP17)</f>
        <v>0</v>
      </c>
      <c r="CR33" s="229">
        <f>IF('General Inputs'!$D$8="Oregon",'Tax Calcs'!CQ23,'Tax Calcs'!CQ17)</f>
        <v>0</v>
      </c>
      <c r="CS33" s="229">
        <f>IF('General Inputs'!$D$8="Oregon",'Tax Calcs'!CR23,'Tax Calcs'!CR17)</f>
        <v>0</v>
      </c>
      <c r="CT33" s="229">
        <f>IF('General Inputs'!$D$8="Oregon",'Tax Calcs'!CS23,'Tax Calcs'!CS17)</f>
        <v>0</v>
      </c>
      <c r="CU33" s="229">
        <f>IF('General Inputs'!$D$8="Oregon",'Tax Calcs'!CT23,'Tax Calcs'!CT17)</f>
        <v>0</v>
      </c>
      <c r="CV33" s="229">
        <f>IF('General Inputs'!$D$8="Oregon",'Tax Calcs'!CU23,'Tax Calcs'!CU17)</f>
        <v>0</v>
      </c>
      <c r="CW33" s="229">
        <f>IF('General Inputs'!$D$8="Oregon",'Tax Calcs'!CV23,'Tax Calcs'!CV17)</f>
        <v>0</v>
      </c>
      <c r="CX33" s="229">
        <f>IF('General Inputs'!$D$8="Oregon",'Tax Calcs'!CW23,'Tax Calcs'!CW17)</f>
        <v>0</v>
      </c>
      <c r="CY33" s="229">
        <f>IF('General Inputs'!$D$8="Oregon",'Tax Calcs'!CX23,'Tax Calcs'!CX17)</f>
        <v>0</v>
      </c>
      <c r="CZ33" s="229">
        <f>IF('General Inputs'!$D$8="Oregon",'Tax Calcs'!CY23,'Tax Calcs'!CY17)</f>
        <v>0</v>
      </c>
      <c r="DA33" s="229">
        <f>IF('General Inputs'!$D$8="Oregon",'Tax Calcs'!CZ23,'Tax Calcs'!CZ17)</f>
        <v>0</v>
      </c>
      <c r="DB33" s="229">
        <f>IF('General Inputs'!$D$8="Oregon",'Tax Calcs'!DA23,'Tax Calcs'!DA17)</f>
        <v>0</v>
      </c>
      <c r="DC33" s="229">
        <f>IF('General Inputs'!$D$8="Oregon",'Tax Calcs'!DB23,'Tax Calcs'!DB17)</f>
        <v>0</v>
      </c>
      <c r="DD33" s="229">
        <f>IF('General Inputs'!$D$8="Oregon",'Tax Calcs'!DC23,'Tax Calcs'!DC17)</f>
        <v>0</v>
      </c>
      <c r="DE33" s="229">
        <f>IF('General Inputs'!$D$8="Oregon",'Tax Calcs'!DD23,'Tax Calcs'!DD17)</f>
        <v>0</v>
      </c>
      <c r="DF33" s="229">
        <f>IF('General Inputs'!$D$8="Oregon",'Tax Calcs'!DE23,'Tax Calcs'!DE17)</f>
        <v>0</v>
      </c>
      <c r="DG33" s="229">
        <f>IF('General Inputs'!$D$8="Oregon",'Tax Calcs'!DF23,'Tax Calcs'!DF17)</f>
        <v>0</v>
      </c>
      <c r="DH33" s="229">
        <f>IF('General Inputs'!$D$8="Oregon",'Tax Calcs'!DG23,'Tax Calcs'!DG17)</f>
        <v>0</v>
      </c>
      <c r="DI33" s="229">
        <f>IF('General Inputs'!$D$8="Oregon",'Tax Calcs'!DH23,'Tax Calcs'!DH17)</f>
        <v>0</v>
      </c>
      <c r="DJ33" s="229">
        <f>IF('General Inputs'!$D$8="Oregon",'Tax Calcs'!DI23,'Tax Calcs'!DI17)</f>
        <v>0</v>
      </c>
      <c r="DK33" s="229">
        <f>IF('General Inputs'!$D$8="Oregon",'Tax Calcs'!DJ23,'Tax Calcs'!DJ17)</f>
        <v>0</v>
      </c>
      <c r="DL33" s="229">
        <f>IF('General Inputs'!$D$8="Oregon",'Tax Calcs'!DK23,'Tax Calcs'!DK17)</f>
        <v>0</v>
      </c>
      <c r="DM33" s="229">
        <f>IF('General Inputs'!$D$8="Oregon",'Tax Calcs'!DL23,'Tax Calcs'!DL17)</f>
        <v>0</v>
      </c>
      <c r="DN33" s="229">
        <f>IF('General Inputs'!$D$8="Oregon",'Tax Calcs'!DM23,'Tax Calcs'!DM17)</f>
        <v>0</v>
      </c>
      <c r="DO33" s="229">
        <f>IF('General Inputs'!$D$8="Oregon",'Tax Calcs'!DN23,'Tax Calcs'!DN17)</f>
        <v>0</v>
      </c>
      <c r="DP33" s="229">
        <f>IF('General Inputs'!$D$8="Oregon",'Tax Calcs'!DO23,'Tax Calcs'!DO17)</f>
        <v>0</v>
      </c>
      <c r="DQ33" s="229">
        <f>IF('General Inputs'!$D$8="Oregon",'Tax Calcs'!DP23,'Tax Calcs'!DP17)</f>
        <v>0</v>
      </c>
      <c r="DR33" s="229">
        <f>IF('General Inputs'!$D$8="Oregon",'Tax Calcs'!DQ23,'Tax Calcs'!DQ17)</f>
        <v>0</v>
      </c>
      <c r="DS33" s="229">
        <f>IF('General Inputs'!$D$8="Oregon",'Tax Calcs'!DR23,'Tax Calcs'!DR17)</f>
        <v>0</v>
      </c>
      <c r="DT33" s="229">
        <f>IF('General Inputs'!$D$8="Oregon",'Tax Calcs'!DS23,'Tax Calcs'!DS17)</f>
        <v>0</v>
      </c>
      <c r="DU33" s="229">
        <f>IF('General Inputs'!$D$8="Oregon",'Tax Calcs'!DT23,'Tax Calcs'!DT17)</f>
        <v>0</v>
      </c>
      <c r="DV33" s="229">
        <f>IF('General Inputs'!$D$8="Oregon",'Tax Calcs'!DU23,'Tax Calcs'!DU17)</f>
        <v>0</v>
      </c>
      <c r="DW33" s="229">
        <f>IF('General Inputs'!$D$8="Oregon",'Tax Calcs'!DV23,'Tax Calcs'!DV17)</f>
        <v>0</v>
      </c>
      <c r="DX33" s="229">
        <f>IF('General Inputs'!$D$8="Oregon",'Tax Calcs'!DW23,'Tax Calcs'!DW17)</f>
        <v>0</v>
      </c>
      <c r="DY33" s="229">
        <f>IF('General Inputs'!$D$8="Oregon",'Tax Calcs'!DX23,'Tax Calcs'!DX17)</f>
        <v>0</v>
      </c>
      <c r="DZ33" s="229">
        <f>IF('General Inputs'!$D$8="Oregon",'Tax Calcs'!DY23,'Tax Calcs'!DY17)</f>
        <v>0</v>
      </c>
      <c r="EA33" s="229">
        <f>IF('General Inputs'!$D$8="Oregon",'Tax Calcs'!DZ23,'Tax Calcs'!DZ17)</f>
        <v>0</v>
      </c>
      <c r="EB33" s="229">
        <f>IF('General Inputs'!$D$8="Oregon",'Tax Calcs'!EA23,'Tax Calcs'!EA17)</f>
        <v>0</v>
      </c>
      <c r="EC33" s="229">
        <f>IF('General Inputs'!$D$8="Oregon",'Tax Calcs'!EB23,'Tax Calcs'!EB17)</f>
        <v>0</v>
      </c>
      <c r="ED33" s="229">
        <f>IF('General Inputs'!$D$8="Oregon",'Tax Calcs'!EC23,'Tax Calcs'!EC17)</f>
        <v>0</v>
      </c>
      <c r="EE33" s="229">
        <f>IF('General Inputs'!$D$8="Oregon",'Tax Calcs'!ED23,'Tax Calcs'!ED17)</f>
        <v>0</v>
      </c>
      <c r="EF33" s="229">
        <f>IF('General Inputs'!$D$8="Oregon",'Tax Calcs'!EE23,'Tax Calcs'!EE17)</f>
        <v>0</v>
      </c>
      <c r="EG33" s="229">
        <f>IF('General Inputs'!$D$8="Oregon",'Tax Calcs'!EF23,'Tax Calcs'!EF17)</f>
        <v>0</v>
      </c>
      <c r="EH33" s="229">
        <f ca="1">IF(Macros!$B$3=2,1,SUBTOTAL(9,E33:EG33))</f>
        <v>83335.391794650437</v>
      </c>
      <c r="EI33" s="227"/>
    </row>
    <row r="34" spans="1:139" x14ac:dyDescent="0.3">
      <c r="A34" s="413" t="s">
        <v>670</v>
      </c>
      <c r="B34" s="413"/>
      <c r="C34" s="413"/>
      <c r="E34" s="229">
        <f>IF(E6=0,'Development Inputs'!$H$9*TotalAandE,0)+IF(AND(DevBdgt!E6&lt;'General Inputs'!$D$30,DevBdgt!E6&gt;0),'Development Inputs'!$I$9*TotalAandE/('General Inputs'!$D$30-1),0)+IF(AND(E6&lt;=MonthFinalUnits,DevBdgt!E6&gt;='General Inputs'!$D$30),'Development Inputs'!$J$9*TotalAandE/(MonthFinalUnits-'General Inputs'!$D$30+1),0)</f>
        <v>1050423.5</v>
      </c>
      <c r="F34" s="229">
        <f>IF(F6=0,'Development Inputs'!$H$9*TotalAandE,0)+IF(AND(DevBdgt!F6&lt;'General Inputs'!$D$30,DevBdgt!F6&gt;0),'Development Inputs'!$I$9*TotalAandE/('General Inputs'!$D$30-1),0)+IF(AND(F6&lt;=MonthFinalUnits,DevBdgt!F6&gt;='General Inputs'!$D$30),'Development Inputs'!$J$9*TotalAandE/(MonthFinalUnits-'General Inputs'!$D$30+1),0)</f>
        <v>18007.259999999998</v>
      </c>
      <c r="G34" s="229">
        <f>IF(G6=0,'Development Inputs'!$H$9*TotalAandE,0)+IF(AND(DevBdgt!G6&lt;'General Inputs'!$D$30,DevBdgt!G6&gt;0),'Development Inputs'!$I$9*TotalAandE/('General Inputs'!$D$30-1),0)+IF(AND(G6&lt;=MonthFinalUnits,DevBdgt!G6&gt;='General Inputs'!$D$30),'Development Inputs'!$J$9*TotalAandE/(MonthFinalUnits-'General Inputs'!$D$30+1),0)</f>
        <v>18007.259999999998</v>
      </c>
      <c r="H34" s="229">
        <f>IF(H6=0,'Development Inputs'!$H$9*TotalAandE,0)+IF(AND(DevBdgt!H6&lt;'General Inputs'!$D$30,DevBdgt!H6&gt;0),'Development Inputs'!$I$9*TotalAandE/('General Inputs'!$D$30-1),0)+IF(AND(H6&lt;=MonthFinalUnits,DevBdgt!H6&gt;='General Inputs'!$D$30),'Development Inputs'!$J$9*TotalAandE/(MonthFinalUnits-'General Inputs'!$D$30+1),0)</f>
        <v>18007.259999999998</v>
      </c>
      <c r="I34" s="229">
        <f>IF(I6=0,'Development Inputs'!$H$9*TotalAandE,0)+IF(AND(DevBdgt!I6&lt;'General Inputs'!$D$30,DevBdgt!I6&gt;0),'Development Inputs'!$I$9*TotalAandE/('General Inputs'!$D$30-1),0)+IF(AND(I6&lt;=MonthFinalUnits,DevBdgt!I6&gt;='General Inputs'!$D$30),'Development Inputs'!$J$9*TotalAandE/(MonthFinalUnits-'General Inputs'!$D$30+1),0)</f>
        <v>18007.259999999998</v>
      </c>
      <c r="J34" s="229">
        <f>IF(J6=0,'Development Inputs'!$H$9*TotalAandE,0)+IF(AND(DevBdgt!J6&lt;'General Inputs'!$D$30,DevBdgt!J6&gt;0),'Development Inputs'!$I$9*TotalAandE/('General Inputs'!$D$30-1),0)+IF(AND(J6&lt;=MonthFinalUnits,DevBdgt!J6&gt;='General Inputs'!$D$30),'Development Inputs'!$J$9*TotalAandE/(MonthFinalUnits-'General Inputs'!$D$30+1),0)</f>
        <v>18007.259999999998</v>
      </c>
      <c r="K34" s="229">
        <f>IF(K6=0,'Development Inputs'!$H$9*TotalAandE,0)+IF(AND(DevBdgt!K6&lt;'General Inputs'!$D$30,DevBdgt!K6&gt;0),'Development Inputs'!$I$9*TotalAandE/('General Inputs'!$D$30-1),0)+IF(AND(K6&lt;=MonthFinalUnits,DevBdgt!K6&gt;='General Inputs'!$D$30),'Development Inputs'!$J$9*TotalAandE/(MonthFinalUnits-'General Inputs'!$D$30+1),0)</f>
        <v>18007.259999999998</v>
      </c>
      <c r="L34" s="229">
        <f>IF(L6=0,'Development Inputs'!$H$9*TotalAandE,0)+IF(AND(DevBdgt!L6&lt;'General Inputs'!$D$30,DevBdgt!L6&gt;0),'Development Inputs'!$I$9*TotalAandE/('General Inputs'!$D$30-1),0)+IF(AND(L6&lt;=MonthFinalUnits,DevBdgt!L6&gt;='General Inputs'!$D$30),'Development Inputs'!$J$9*TotalAandE/(MonthFinalUnits-'General Inputs'!$D$30+1),0)</f>
        <v>18007.259999999998</v>
      </c>
      <c r="M34" s="229">
        <f>IF(M6=0,'Development Inputs'!$H$9*TotalAandE,0)+IF(AND(DevBdgt!M6&lt;'General Inputs'!$D$30,DevBdgt!M6&gt;0),'Development Inputs'!$I$9*TotalAandE/('General Inputs'!$D$30-1),0)+IF(AND(M6&lt;=MonthFinalUnits,DevBdgt!M6&gt;='General Inputs'!$D$30),'Development Inputs'!$J$9*TotalAandE/(MonthFinalUnits-'General Inputs'!$D$30+1),0)</f>
        <v>18007.259999999998</v>
      </c>
      <c r="N34" s="229">
        <f>IF(N6=0,'Development Inputs'!$H$9*TotalAandE,0)+IF(AND(DevBdgt!N6&lt;'General Inputs'!$D$30,DevBdgt!N6&gt;0),'Development Inputs'!$I$9*TotalAandE/('General Inputs'!$D$30-1),0)+IF(AND(N6&lt;=MonthFinalUnits,DevBdgt!N6&gt;='General Inputs'!$D$30),'Development Inputs'!$J$9*TotalAandE/(MonthFinalUnits-'General Inputs'!$D$30+1),0)</f>
        <v>18007.259999999998</v>
      </c>
      <c r="O34" s="229">
        <f>IF(O6=0,'Development Inputs'!$H$9*TotalAandE,0)+IF(AND(DevBdgt!O6&lt;'General Inputs'!$D$30,DevBdgt!O6&gt;0),'Development Inputs'!$I$9*TotalAandE/('General Inputs'!$D$30-1),0)+IF(AND(O6&lt;=MonthFinalUnits,DevBdgt!O6&gt;='General Inputs'!$D$30),'Development Inputs'!$J$9*TotalAandE/(MonthFinalUnits-'General Inputs'!$D$30+1),0)</f>
        <v>18007.259999999998</v>
      </c>
      <c r="P34" s="229">
        <f>IF(P6=0,'Development Inputs'!$H$9*TotalAandE,0)+IF(AND(DevBdgt!P6&lt;'General Inputs'!$D$30,DevBdgt!P6&gt;0),'Development Inputs'!$I$9*TotalAandE/('General Inputs'!$D$30-1),0)+IF(AND(P6&lt;=MonthFinalUnits,DevBdgt!P6&gt;='General Inputs'!$D$30),'Development Inputs'!$J$9*TotalAandE/(MonthFinalUnits-'General Inputs'!$D$30+1),0)</f>
        <v>18007.259999999998</v>
      </c>
      <c r="Q34" s="229">
        <f>IF(Q6=0,'Development Inputs'!$H$9*TotalAandE,0)+IF(AND(DevBdgt!Q6&lt;'General Inputs'!$D$30,DevBdgt!Q6&gt;0),'Development Inputs'!$I$9*TotalAandE/('General Inputs'!$D$30-1),0)+IF(AND(Q6&lt;=MonthFinalUnits,DevBdgt!Q6&gt;='General Inputs'!$D$30),'Development Inputs'!$J$9*TotalAandE/(MonthFinalUnits-'General Inputs'!$D$30+1),0)</f>
        <v>18007.259999999998</v>
      </c>
      <c r="R34" s="229">
        <f>IF(R6=0,'Development Inputs'!$H$9*TotalAandE,0)+IF(AND(DevBdgt!R6&lt;'General Inputs'!$D$30,DevBdgt!R6&gt;0),'Development Inputs'!$I$9*TotalAandE/('General Inputs'!$D$30-1),0)+IF(AND(R6&lt;=MonthFinalUnits,DevBdgt!R6&gt;='General Inputs'!$D$30),'Development Inputs'!$J$9*TotalAandE/(MonthFinalUnits-'General Inputs'!$D$30+1),0)</f>
        <v>18007.259999999998</v>
      </c>
      <c r="S34" s="229">
        <f>IF(S6=0,'Development Inputs'!$H$9*TotalAandE,0)+IF(AND(DevBdgt!S6&lt;'General Inputs'!$D$30,DevBdgt!S6&gt;0),'Development Inputs'!$I$9*TotalAandE/('General Inputs'!$D$30-1),0)+IF(AND(S6&lt;=MonthFinalUnits,DevBdgt!S6&gt;='General Inputs'!$D$30),'Development Inputs'!$J$9*TotalAandE/(MonthFinalUnits-'General Inputs'!$D$30+1),0)</f>
        <v>18007.259999999998</v>
      </c>
      <c r="T34" s="229">
        <f>IF(T6=0,'Development Inputs'!$H$9*TotalAandE,0)+IF(AND(DevBdgt!T6&lt;'General Inputs'!$D$30,DevBdgt!T6&gt;0),'Development Inputs'!$I$9*TotalAandE/('General Inputs'!$D$30-1),0)+IF(AND(T6&lt;=MonthFinalUnits,DevBdgt!T6&gt;='General Inputs'!$D$30),'Development Inputs'!$J$9*TotalAandE/(MonthFinalUnits-'General Inputs'!$D$30+1),0)</f>
        <v>18007.259999999998</v>
      </c>
      <c r="U34" s="229">
        <f>IF(U6=0,'Development Inputs'!$H$9*TotalAandE,0)+IF(AND(DevBdgt!U6&lt;'General Inputs'!$D$30,DevBdgt!U6&gt;0),'Development Inputs'!$I$9*TotalAandE/('General Inputs'!$D$30-1),0)+IF(AND(U6&lt;=MonthFinalUnits,DevBdgt!U6&gt;='General Inputs'!$D$30),'Development Inputs'!$J$9*TotalAandE/(MonthFinalUnits-'General Inputs'!$D$30+1),0)</f>
        <v>18007.259999999998</v>
      </c>
      <c r="V34" s="229">
        <f>IF(V6=0,'Development Inputs'!$H$9*TotalAandE,0)+IF(AND(DevBdgt!V6&lt;'General Inputs'!$D$30,DevBdgt!V6&gt;0),'Development Inputs'!$I$9*TotalAandE/('General Inputs'!$D$30-1),0)+IF(AND(V6&lt;=MonthFinalUnits,DevBdgt!V6&gt;='General Inputs'!$D$30),'Development Inputs'!$J$9*TotalAandE/(MonthFinalUnits-'General Inputs'!$D$30+1),0)</f>
        <v>18007.259999999998</v>
      </c>
      <c r="W34" s="229">
        <f>IF(W6=0,'Development Inputs'!$H$9*TotalAandE,0)+IF(AND(DevBdgt!W6&lt;'General Inputs'!$D$30,DevBdgt!W6&gt;0),'Development Inputs'!$I$9*TotalAandE/('General Inputs'!$D$30-1),0)+IF(AND(W6&lt;=MonthFinalUnits,DevBdgt!W6&gt;='General Inputs'!$D$30),'Development Inputs'!$J$9*TotalAandE/(MonthFinalUnits-'General Inputs'!$D$30+1),0)</f>
        <v>18007.259999999998</v>
      </c>
      <c r="X34" s="229">
        <f>IF(X6=0,'Development Inputs'!$H$9*TotalAandE,0)+IF(AND(DevBdgt!X6&lt;'General Inputs'!$D$30,DevBdgt!X6&gt;0),'Development Inputs'!$I$9*TotalAandE/('General Inputs'!$D$30-1),0)+IF(AND(X6&lt;=MonthFinalUnits,DevBdgt!X6&gt;='General Inputs'!$D$30),'Development Inputs'!$J$9*TotalAandE/(MonthFinalUnits-'General Inputs'!$D$30+1),0)</f>
        <v>18007.259999999998</v>
      </c>
      <c r="Y34" s="229">
        <f>IF(Y6=0,'Development Inputs'!$H$9*TotalAandE,0)+IF(AND(DevBdgt!Y6&lt;'General Inputs'!$D$30,DevBdgt!Y6&gt;0),'Development Inputs'!$I$9*TotalAandE/('General Inputs'!$D$30-1),0)+IF(AND(Y6&lt;=MonthFinalUnits,DevBdgt!Y6&gt;='General Inputs'!$D$30),'Development Inputs'!$J$9*TotalAandE/(MonthFinalUnits-'General Inputs'!$D$30+1),0)</f>
        <v>18007.259999999998</v>
      </c>
      <c r="Z34" s="229">
        <f>IF(Z6=0,'Development Inputs'!$H$9*TotalAandE,0)+IF(AND(DevBdgt!Z6&lt;'General Inputs'!$D$30,DevBdgt!Z6&gt;0),'Development Inputs'!$I$9*TotalAandE/('General Inputs'!$D$30-1),0)+IF(AND(Z6&lt;=MonthFinalUnits,DevBdgt!Z6&gt;='General Inputs'!$D$30),'Development Inputs'!$J$9*TotalAandE/(MonthFinalUnits-'General Inputs'!$D$30+1),0)</f>
        <v>18007.259999999998</v>
      </c>
      <c r="AA34" s="229">
        <f>IF(AA6=0,'Development Inputs'!$H$9*TotalAandE,0)+IF(AND(DevBdgt!AA6&lt;'General Inputs'!$D$30,DevBdgt!AA6&gt;0),'Development Inputs'!$I$9*TotalAandE/('General Inputs'!$D$30-1),0)+IF(AND(AA6&lt;=MonthFinalUnits,DevBdgt!AA6&gt;='General Inputs'!$D$30),'Development Inputs'!$J$9*TotalAandE/(MonthFinalUnits-'General Inputs'!$D$30+1),0)</f>
        <v>18007.259999999998</v>
      </c>
      <c r="AB34" s="229">
        <f>IF(AB6=0,'Development Inputs'!$H$9*TotalAandE,0)+IF(AND(DevBdgt!AB6&lt;'General Inputs'!$D$30,DevBdgt!AB6&gt;0),'Development Inputs'!$I$9*TotalAandE/('General Inputs'!$D$30-1),0)+IF(AND(AB6&lt;=MonthFinalUnits,DevBdgt!AB6&gt;='General Inputs'!$D$30),'Development Inputs'!$J$9*TotalAandE/(MonthFinalUnits-'General Inputs'!$D$30+1),0)</f>
        <v>18007.259999999998</v>
      </c>
      <c r="AC34" s="229">
        <f>IF(AC6=0,'Development Inputs'!$H$9*TotalAandE,0)+IF(AND(DevBdgt!AC6&lt;'General Inputs'!$D$30,DevBdgt!AC6&gt;0),'Development Inputs'!$I$9*TotalAandE/('General Inputs'!$D$30-1),0)+IF(AND(AC6&lt;=MonthFinalUnits,DevBdgt!AC6&gt;='General Inputs'!$D$30),'Development Inputs'!$J$9*TotalAandE/(MonthFinalUnits-'General Inputs'!$D$30+1),0)</f>
        <v>18007.259999999998</v>
      </c>
      <c r="AD34" s="229">
        <f>IF(AD6=0,'Development Inputs'!$H$9*TotalAandE,0)+IF(AND(DevBdgt!AD6&lt;'General Inputs'!$D$30,DevBdgt!AD6&gt;0),'Development Inputs'!$I$9*TotalAandE/('General Inputs'!$D$30-1),0)+IF(AND(AD6&lt;=MonthFinalUnits,DevBdgt!AD6&gt;='General Inputs'!$D$30),'Development Inputs'!$J$9*TotalAandE/(MonthFinalUnits-'General Inputs'!$D$30+1),0)</f>
        <v>18007.259999999998</v>
      </c>
      <c r="AE34" s="229">
        <f>IF(AE6=0,'Development Inputs'!$H$9*TotalAandE,0)+IF(AND(DevBdgt!AE6&lt;'General Inputs'!$D$30,DevBdgt!AE6&gt;0),'Development Inputs'!$I$9*TotalAandE/('General Inputs'!$D$30-1),0)+IF(AND(AE6&lt;=MonthFinalUnits,DevBdgt!AE6&gt;='General Inputs'!$D$30),'Development Inputs'!$J$9*TotalAandE/(MonthFinalUnits-'General Inputs'!$D$30+1),0)</f>
        <v>0</v>
      </c>
      <c r="AF34" s="229">
        <f>IF(AF6=0,'Development Inputs'!$H$9*TotalAandE,0)+IF(AND(DevBdgt!AF6&lt;'General Inputs'!$D$30,DevBdgt!AF6&gt;0),'Development Inputs'!$I$9*TotalAandE/('General Inputs'!$D$30-1),0)+IF(AND(AF6&lt;=MonthFinalUnits,DevBdgt!AF6&gt;='General Inputs'!$D$30),'Development Inputs'!$J$9*TotalAandE/(MonthFinalUnits-'General Inputs'!$D$30+1),0)</f>
        <v>0</v>
      </c>
      <c r="AG34" s="229">
        <f>IF(AG6=0,'Development Inputs'!$H$9*TotalAandE,0)+IF(AND(DevBdgt!AG6&lt;'General Inputs'!$D$30,DevBdgt!AG6&gt;0),'Development Inputs'!$I$9*TotalAandE/('General Inputs'!$D$30-1),0)+IF(AND(AG6&lt;=MonthFinalUnits,DevBdgt!AG6&gt;='General Inputs'!$D$30),'Development Inputs'!$J$9*TotalAandE/(MonthFinalUnits-'General Inputs'!$D$30+1),0)</f>
        <v>0</v>
      </c>
      <c r="AH34" s="229">
        <f>IF(AH6=0,'Development Inputs'!$H$9*TotalAandE,0)+IF(AND(DevBdgt!AH6&lt;'General Inputs'!$D$30,DevBdgt!AH6&gt;0),'Development Inputs'!$I$9*TotalAandE/('General Inputs'!$D$30-1),0)+IF(AND(AH6&lt;=MonthFinalUnits,DevBdgt!AH6&gt;='General Inputs'!$D$30),'Development Inputs'!$J$9*TotalAandE/(MonthFinalUnits-'General Inputs'!$D$30+1),0)</f>
        <v>0</v>
      </c>
      <c r="AI34" s="229">
        <f>IF(AI6=0,'Development Inputs'!$H$9*TotalAandE,0)+IF(AND(DevBdgt!AI6&lt;'General Inputs'!$D$30,DevBdgt!AI6&gt;0),'Development Inputs'!$I$9*TotalAandE/('General Inputs'!$D$30-1),0)+IF(AND(AI6&lt;=MonthFinalUnits,DevBdgt!AI6&gt;='General Inputs'!$D$30),'Development Inputs'!$J$9*TotalAandE/(MonthFinalUnits-'General Inputs'!$D$30+1),0)</f>
        <v>0</v>
      </c>
      <c r="AJ34" s="229">
        <f>IF(AJ6=0,'Development Inputs'!$H$9*TotalAandE,0)+IF(AND(DevBdgt!AJ6&lt;'General Inputs'!$D$30,DevBdgt!AJ6&gt;0),'Development Inputs'!$I$9*TotalAandE/('General Inputs'!$D$30-1),0)+IF(AND(AJ6&lt;=MonthFinalUnits,DevBdgt!AJ6&gt;='General Inputs'!$D$30),'Development Inputs'!$J$9*TotalAandE/(MonthFinalUnits-'General Inputs'!$D$30+1),0)</f>
        <v>0</v>
      </c>
      <c r="AK34" s="229">
        <f>IF(AK6=0,'Development Inputs'!$H$9*TotalAandE,0)+IF(AND(DevBdgt!AK6&lt;'General Inputs'!$D$30,DevBdgt!AK6&gt;0),'Development Inputs'!$I$9*TotalAandE/('General Inputs'!$D$30-1),0)+IF(AND(AK6&lt;=MonthFinalUnits,DevBdgt!AK6&gt;='General Inputs'!$D$30),'Development Inputs'!$J$9*TotalAandE/(MonthFinalUnits-'General Inputs'!$D$30+1),0)</f>
        <v>0</v>
      </c>
      <c r="AL34" s="229">
        <f>IF(AL6=0,'Development Inputs'!$H$9*TotalAandE,0)+IF(AND(DevBdgt!AL6&lt;'General Inputs'!$D$30,DevBdgt!AL6&gt;0),'Development Inputs'!$I$9*TotalAandE/('General Inputs'!$D$30-1),0)+IF(AND(AL6&lt;=MonthFinalUnits,DevBdgt!AL6&gt;='General Inputs'!$D$30),'Development Inputs'!$J$9*TotalAandE/(MonthFinalUnits-'General Inputs'!$D$30+1),0)</f>
        <v>0</v>
      </c>
      <c r="AM34" s="229">
        <f>IF(AM6=0,'Development Inputs'!$H$9*TotalAandE,0)+IF(AND(DevBdgt!AM6&lt;'General Inputs'!$D$30,DevBdgt!AM6&gt;0),'Development Inputs'!$I$9*TotalAandE/('General Inputs'!$D$30-1),0)+IF(AND(AM6&lt;=MonthFinalUnits,DevBdgt!AM6&gt;='General Inputs'!$D$30),'Development Inputs'!$J$9*TotalAandE/(MonthFinalUnits-'General Inputs'!$D$30+1),0)</f>
        <v>0</v>
      </c>
      <c r="AN34" s="229">
        <f>IF(AN6=0,'Development Inputs'!$H$9*TotalAandE,0)+IF(AND(DevBdgt!AN6&lt;'General Inputs'!$D$30,DevBdgt!AN6&gt;0),'Development Inputs'!$I$9*TotalAandE/('General Inputs'!$D$30-1),0)+IF(AND(AN6&lt;=MonthFinalUnits,DevBdgt!AN6&gt;='General Inputs'!$D$30),'Development Inputs'!$J$9*TotalAandE/(MonthFinalUnits-'General Inputs'!$D$30+1),0)</f>
        <v>0</v>
      </c>
      <c r="AO34" s="229">
        <f>IF(AO6=0,'Development Inputs'!$H$9*TotalAandE,0)+IF(AND(DevBdgt!AO6&lt;'General Inputs'!$D$30,DevBdgt!AO6&gt;0),'Development Inputs'!$I$9*TotalAandE/('General Inputs'!$D$30-1),0)+IF(AND(AO6&lt;=MonthFinalUnits,DevBdgt!AO6&gt;='General Inputs'!$D$30),'Development Inputs'!$J$9*TotalAandE/(MonthFinalUnits-'General Inputs'!$D$30+1),0)</f>
        <v>0</v>
      </c>
      <c r="AP34" s="229">
        <f>IF(AP6=0,'Development Inputs'!$H$9*TotalAandE,0)+IF(AND(DevBdgt!AP6&lt;'General Inputs'!$D$30,DevBdgt!AP6&gt;0),'Development Inputs'!$I$9*TotalAandE/('General Inputs'!$D$30-1),0)+IF(AND(AP6&lt;=MonthFinalUnits,DevBdgt!AP6&gt;='General Inputs'!$D$30),'Development Inputs'!$J$9*TotalAandE/(MonthFinalUnits-'General Inputs'!$D$30+1),0)</f>
        <v>0</v>
      </c>
      <c r="AQ34" s="229">
        <f>IF(AQ6=0,'Development Inputs'!$H$9*TotalAandE,0)+IF(AND(DevBdgt!AQ6&lt;'General Inputs'!$D$30,DevBdgt!AQ6&gt;0),'Development Inputs'!$I$9*TotalAandE/('General Inputs'!$D$30-1),0)+IF(AND(AQ6&lt;=MonthFinalUnits,DevBdgt!AQ6&gt;='General Inputs'!$D$30),'Development Inputs'!$J$9*TotalAandE/(MonthFinalUnits-'General Inputs'!$D$30+1),0)</f>
        <v>0</v>
      </c>
      <c r="AR34" s="229">
        <f>IF(AR6=0,'Development Inputs'!$H$9*TotalAandE,0)+IF(AND(DevBdgt!AR6&lt;'General Inputs'!$D$30,DevBdgt!AR6&gt;0),'Development Inputs'!$I$9*TotalAandE/('General Inputs'!$D$30-1),0)+IF(AND(AR6&lt;=MonthFinalUnits,DevBdgt!AR6&gt;='General Inputs'!$D$30),'Development Inputs'!$J$9*TotalAandE/(MonthFinalUnits-'General Inputs'!$D$30+1),0)</f>
        <v>0</v>
      </c>
      <c r="AS34" s="229">
        <f>IF(AS6=0,'Development Inputs'!$H$9*TotalAandE,0)+IF(AND(DevBdgt!AS6&lt;'General Inputs'!$D$30,DevBdgt!AS6&gt;0),'Development Inputs'!$I$9*TotalAandE/('General Inputs'!$D$30-1),0)+IF(AND(AS6&lt;=MonthFinalUnits,DevBdgt!AS6&gt;='General Inputs'!$D$30),'Development Inputs'!$J$9*TotalAandE/(MonthFinalUnits-'General Inputs'!$D$30+1),0)</f>
        <v>0</v>
      </c>
      <c r="AT34" s="229">
        <f>IF(AT6=0,'Development Inputs'!$H$9*TotalAandE,0)+IF(AND(DevBdgt!AT6&lt;'General Inputs'!$D$30,DevBdgt!AT6&gt;0),'Development Inputs'!$I$9*TotalAandE/('General Inputs'!$D$30-1),0)+IF(AND(AT6&lt;=MonthFinalUnits,DevBdgt!AT6&gt;='General Inputs'!$D$30),'Development Inputs'!$J$9*TotalAandE/(MonthFinalUnits-'General Inputs'!$D$30+1),0)</f>
        <v>0</v>
      </c>
      <c r="AU34" s="229">
        <f>IF(AU6=0,'Development Inputs'!$H$9*TotalAandE,0)+IF(AND(DevBdgt!AU6&lt;'General Inputs'!$D$30,DevBdgt!AU6&gt;0),'Development Inputs'!$I$9*TotalAandE/('General Inputs'!$D$30-1),0)+IF(AND(AU6&lt;=MonthFinalUnits,DevBdgt!AU6&gt;='General Inputs'!$D$30),'Development Inputs'!$J$9*TotalAandE/(MonthFinalUnits-'General Inputs'!$D$30+1),0)</f>
        <v>0</v>
      </c>
      <c r="AV34" s="229">
        <f>IF(AV6=0,'Development Inputs'!$H$9*TotalAandE,0)+IF(AND(DevBdgt!AV6&lt;'General Inputs'!$D$30,DevBdgt!AV6&gt;0),'Development Inputs'!$I$9*TotalAandE/('General Inputs'!$D$30-1),0)+IF(AND(AV6&lt;=MonthFinalUnits,DevBdgt!AV6&gt;='General Inputs'!$D$30),'Development Inputs'!$J$9*TotalAandE/(MonthFinalUnits-'General Inputs'!$D$30+1),0)</f>
        <v>0</v>
      </c>
      <c r="AW34" s="229">
        <f>IF(AW6=0,'Development Inputs'!$H$9*TotalAandE,0)+IF(AND(DevBdgt!AW6&lt;'General Inputs'!$D$30,DevBdgt!AW6&gt;0),'Development Inputs'!$I$9*TotalAandE/('General Inputs'!$D$30-1),0)+IF(AND(AW6&lt;=MonthFinalUnits,DevBdgt!AW6&gt;='General Inputs'!$D$30),'Development Inputs'!$J$9*TotalAandE/(MonthFinalUnits-'General Inputs'!$D$30+1),0)</f>
        <v>0</v>
      </c>
      <c r="AX34" s="229">
        <f>IF(AX6=0,'Development Inputs'!$H$9*TotalAandE,0)+IF(AND(DevBdgt!AX6&lt;'General Inputs'!$D$30,DevBdgt!AX6&gt;0),'Development Inputs'!$I$9*TotalAandE/('General Inputs'!$D$30-1),0)+IF(AND(AX6&lt;=MonthFinalUnits,DevBdgt!AX6&gt;='General Inputs'!$D$30),'Development Inputs'!$J$9*TotalAandE/(MonthFinalUnits-'General Inputs'!$D$30+1),0)</f>
        <v>0</v>
      </c>
      <c r="AY34" s="229">
        <f>IF(AY6=0,'Development Inputs'!$H$9*TotalAandE,0)+IF(AND(DevBdgt!AY6&lt;'General Inputs'!$D$30,DevBdgt!AY6&gt;0),'Development Inputs'!$I$9*TotalAandE/('General Inputs'!$D$30-1),0)+IF(AND(AY6&lt;=MonthFinalUnits,DevBdgt!AY6&gt;='General Inputs'!$D$30),'Development Inputs'!$J$9*TotalAandE/(MonthFinalUnits-'General Inputs'!$D$30+1),0)</f>
        <v>0</v>
      </c>
      <c r="AZ34" s="229">
        <f>IF(AZ6=0,'Development Inputs'!$H$9*TotalAandE,0)+IF(AND(DevBdgt!AZ6&lt;'General Inputs'!$D$30,DevBdgt!AZ6&gt;0),'Development Inputs'!$I$9*TotalAandE/('General Inputs'!$D$30-1),0)+IF(AND(AZ6&lt;=MonthFinalUnits,DevBdgt!AZ6&gt;='General Inputs'!$D$30),'Development Inputs'!$J$9*TotalAandE/(MonthFinalUnits-'General Inputs'!$D$30+1),0)</f>
        <v>0</v>
      </c>
      <c r="BA34" s="229">
        <f>IF(BA6=0,'Development Inputs'!$H$9*TotalAandE,0)+IF(AND(DevBdgt!BA6&lt;'General Inputs'!$D$30,DevBdgt!BA6&gt;0),'Development Inputs'!$I$9*TotalAandE/('General Inputs'!$D$30-1),0)+IF(AND(BA6&lt;=MonthFinalUnits,DevBdgt!BA6&gt;='General Inputs'!$D$30),'Development Inputs'!$J$9*TotalAandE/(MonthFinalUnits-'General Inputs'!$D$30+1),0)</f>
        <v>0</v>
      </c>
      <c r="BB34" s="229">
        <f>IF(BB6=0,'Development Inputs'!$H$9*TotalAandE,0)+IF(AND(DevBdgt!BB6&lt;'General Inputs'!$D$30,DevBdgt!BB6&gt;0),'Development Inputs'!$I$9*TotalAandE/('General Inputs'!$D$30-1),0)+IF(AND(BB6&lt;=MonthFinalUnits,DevBdgt!BB6&gt;='General Inputs'!$D$30),'Development Inputs'!$J$9*TotalAandE/(MonthFinalUnits-'General Inputs'!$D$30+1),0)</f>
        <v>0</v>
      </c>
      <c r="BC34" s="229">
        <f>IF(BC6=0,'Development Inputs'!$H$9*TotalAandE,0)+IF(AND(DevBdgt!BC6&lt;'General Inputs'!$D$30,DevBdgt!BC6&gt;0),'Development Inputs'!$I$9*TotalAandE/('General Inputs'!$D$30-1),0)+IF(AND(BC6&lt;=MonthFinalUnits,DevBdgt!BC6&gt;='General Inputs'!$D$30),'Development Inputs'!$J$9*TotalAandE/(MonthFinalUnits-'General Inputs'!$D$30+1),0)</f>
        <v>0</v>
      </c>
      <c r="BD34" s="229">
        <f>IF(BD6=0,'Development Inputs'!$H$9*TotalAandE,0)+IF(AND(DevBdgt!BD6&lt;'General Inputs'!$D$30,DevBdgt!BD6&gt;0),'Development Inputs'!$I$9*TotalAandE/('General Inputs'!$D$30-1),0)+IF(AND(BD6&lt;=MonthFinalUnits,DevBdgt!BD6&gt;='General Inputs'!$D$30),'Development Inputs'!$J$9*TotalAandE/(MonthFinalUnits-'General Inputs'!$D$30+1),0)</f>
        <v>0</v>
      </c>
      <c r="BE34" s="229">
        <f>IF(BE6=0,'Development Inputs'!$H$9*TotalAandE,0)+IF(AND(DevBdgt!BE6&lt;'General Inputs'!$D$30,DevBdgt!BE6&gt;0),'Development Inputs'!$I$9*TotalAandE/('General Inputs'!$D$30-1),0)+IF(AND(BE6&lt;=MonthFinalUnits,DevBdgt!BE6&gt;='General Inputs'!$D$30),'Development Inputs'!$J$9*TotalAandE/(MonthFinalUnits-'General Inputs'!$D$30+1),0)</f>
        <v>0</v>
      </c>
      <c r="BF34" s="229">
        <f>IF(BF6=0,'Development Inputs'!$H$9*TotalAandE,0)+IF(AND(DevBdgt!BF6&lt;'General Inputs'!$D$30,DevBdgt!BF6&gt;0),'Development Inputs'!$I$9*TotalAandE/('General Inputs'!$D$30-1),0)+IF(AND(BF6&lt;=MonthFinalUnits,DevBdgt!BF6&gt;='General Inputs'!$D$30),'Development Inputs'!$J$9*TotalAandE/(MonthFinalUnits-'General Inputs'!$D$30+1),0)</f>
        <v>0</v>
      </c>
      <c r="BG34" s="229">
        <f>IF(BG6=0,'Development Inputs'!$H$9*TotalAandE,0)+IF(AND(DevBdgt!BG6&lt;'General Inputs'!$D$30,DevBdgt!BG6&gt;0),'Development Inputs'!$I$9*TotalAandE/('General Inputs'!$D$30-1),0)+IF(AND(BG6&lt;=MonthFinalUnits,DevBdgt!BG6&gt;='General Inputs'!$D$30),'Development Inputs'!$J$9*TotalAandE/(MonthFinalUnits-'General Inputs'!$D$30+1),0)</f>
        <v>0</v>
      </c>
      <c r="BH34" s="229">
        <f>IF(BH6=0,'Development Inputs'!$H$9*TotalAandE,0)+IF(AND(DevBdgt!BH6&lt;'General Inputs'!$D$30,DevBdgt!BH6&gt;0),'Development Inputs'!$I$9*TotalAandE/('General Inputs'!$D$30-1),0)+IF(AND(BH6&lt;=MonthFinalUnits,DevBdgt!BH6&gt;='General Inputs'!$D$30),'Development Inputs'!$J$9*TotalAandE/(MonthFinalUnits-'General Inputs'!$D$30+1),0)</f>
        <v>0</v>
      </c>
      <c r="BI34" s="229">
        <f>IF(BI6=0,'Development Inputs'!$H$9*TotalAandE,0)+IF(AND(DevBdgt!BI6&lt;'General Inputs'!$D$30,DevBdgt!BI6&gt;0),'Development Inputs'!$I$9*TotalAandE/('General Inputs'!$D$30-1),0)+IF(AND(BI6&lt;=MonthFinalUnits,DevBdgt!BI6&gt;='General Inputs'!$D$30),'Development Inputs'!$J$9*TotalAandE/(MonthFinalUnits-'General Inputs'!$D$30+1),0)</f>
        <v>0</v>
      </c>
      <c r="BJ34" s="229">
        <f>IF(BJ6=0,'Development Inputs'!$H$9*TotalAandE,0)+IF(AND(DevBdgt!BJ6&lt;'General Inputs'!$D$30,DevBdgt!BJ6&gt;0),'Development Inputs'!$I$9*TotalAandE/('General Inputs'!$D$30-1),0)+IF(AND(BJ6&lt;=MonthFinalUnits,DevBdgt!BJ6&gt;='General Inputs'!$D$30),'Development Inputs'!$J$9*TotalAandE/(MonthFinalUnits-'General Inputs'!$D$30+1),0)</f>
        <v>0</v>
      </c>
      <c r="BK34" s="229">
        <f>IF(BK6=0,'Development Inputs'!$H$9*TotalAandE,0)+IF(AND(DevBdgt!BK6&lt;'General Inputs'!$D$30,DevBdgt!BK6&gt;0),'Development Inputs'!$I$9*TotalAandE/('General Inputs'!$D$30-1),0)+IF(AND(BK6&lt;=MonthFinalUnits,DevBdgt!BK6&gt;='General Inputs'!$D$30),'Development Inputs'!$J$9*TotalAandE/(MonthFinalUnits-'General Inputs'!$D$30+1),0)</f>
        <v>0</v>
      </c>
      <c r="BL34" s="229">
        <f>IF(BL6=0,'Development Inputs'!$H$9*TotalAandE,0)+IF(AND(DevBdgt!BL6&lt;'General Inputs'!$D$30,DevBdgt!BL6&gt;0),'Development Inputs'!$I$9*TotalAandE/('General Inputs'!$D$30-1),0)+IF(AND(BL6&lt;=MonthFinalUnits,DevBdgt!BL6&gt;='General Inputs'!$D$30),'Development Inputs'!$J$9*TotalAandE/(MonthFinalUnits-'General Inputs'!$D$30+1),0)</f>
        <v>0</v>
      </c>
      <c r="BM34" s="229">
        <f>IF(BM6=0,'Development Inputs'!$H$9*TotalAandE,0)+IF(AND(DevBdgt!BM6&lt;'General Inputs'!$D$30,DevBdgt!BM6&gt;0),'Development Inputs'!$I$9*TotalAandE/('General Inputs'!$D$30-1),0)+IF(AND(BM6&lt;=MonthFinalUnits,DevBdgt!BM6&gt;='General Inputs'!$D$30),'Development Inputs'!$J$9*TotalAandE/(MonthFinalUnits-'General Inputs'!$D$30+1),0)</f>
        <v>0</v>
      </c>
      <c r="BN34" s="229">
        <f>IF(BN6=0,'Development Inputs'!$H$9*TotalAandE,0)+IF(AND(DevBdgt!BN6&lt;'General Inputs'!$D$30,DevBdgt!BN6&gt;0),'Development Inputs'!$I$9*TotalAandE/('General Inputs'!$D$30-1),0)+IF(AND(BN6&lt;=MonthFinalUnits,DevBdgt!BN6&gt;='General Inputs'!$D$30),'Development Inputs'!$J$9*TotalAandE/(MonthFinalUnits-'General Inputs'!$D$30+1),0)</f>
        <v>0</v>
      </c>
      <c r="BO34" s="229">
        <f>IF(BO6=0,'Development Inputs'!$H$9*TotalAandE,0)+IF(AND(DevBdgt!BO6&lt;'General Inputs'!$D$30,DevBdgt!BO6&gt;0),'Development Inputs'!$I$9*TotalAandE/('General Inputs'!$D$30-1),0)+IF(AND(BO6&lt;=MonthFinalUnits,DevBdgt!BO6&gt;='General Inputs'!$D$30),'Development Inputs'!$J$9*TotalAandE/(MonthFinalUnits-'General Inputs'!$D$30+1),0)</f>
        <v>0</v>
      </c>
      <c r="BP34" s="229">
        <f>IF(BP6=0,'Development Inputs'!$H$9*TotalAandE,0)+IF(AND(DevBdgt!BP6&lt;'General Inputs'!$D$30,DevBdgt!BP6&gt;0),'Development Inputs'!$I$9*TotalAandE/('General Inputs'!$D$30-1),0)+IF(AND(BP6&lt;=MonthFinalUnits,DevBdgt!BP6&gt;='General Inputs'!$D$30),'Development Inputs'!$J$9*TotalAandE/(MonthFinalUnits-'General Inputs'!$D$30+1),0)</f>
        <v>0</v>
      </c>
      <c r="BQ34" s="229">
        <f>IF(BQ6=0,'Development Inputs'!$H$9*TotalAandE,0)+IF(AND(DevBdgt!BQ6&lt;'General Inputs'!$D$30,DevBdgt!BQ6&gt;0),'Development Inputs'!$I$9*TotalAandE/('General Inputs'!$D$30-1),0)+IF(AND(BQ6&lt;=MonthFinalUnits,DevBdgt!BQ6&gt;='General Inputs'!$D$30),'Development Inputs'!$J$9*TotalAandE/(MonthFinalUnits-'General Inputs'!$D$30+1),0)</f>
        <v>0</v>
      </c>
      <c r="BR34" s="229">
        <f>IF(BR6=0,'Development Inputs'!$H$9*TotalAandE,0)+IF(AND(DevBdgt!BR6&lt;'General Inputs'!$D$30,DevBdgt!BR6&gt;0),'Development Inputs'!$I$9*TotalAandE/('General Inputs'!$D$30-1),0)+IF(AND(BR6&lt;=MonthFinalUnits,DevBdgt!BR6&gt;='General Inputs'!$D$30),'Development Inputs'!$J$9*TotalAandE/(MonthFinalUnits-'General Inputs'!$D$30+1),0)</f>
        <v>0</v>
      </c>
      <c r="BS34" s="229">
        <f>IF(BS6=0,'Development Inputs'!$H$9*TotalAandE,0)+IF(AND(DevBdgt!BS6&lt;'General Inputs'!$D$30,DevBdgt!BS6&gt;0),'Development Inputs'!$I$9*TotalAandE/('General Inputs'!$D$30-1),0)+IF(AND(BS6&lt;=MonthFinalUnits,DevBdgt!BS6&gt;='General Inputs'!$D$30),'Development Inputs'!$J$9*TotalAandE/(MonthFinalUnits-'General Inputs'!$D$30+1),0)</f>
        <v>0</v>
      </c>
      <c r="BT34" s="229">
        <f>IF(BT6=0,'Development Inputs'!$H$9*TotalAandE,0)+IF(AND(DevBdgt!BT6&lt;'General Inputs'!$D$30,DevBdgt!BT6&gt;0),'Development Inputs'!$I$9*TotalAandE/('General Inputs'!$D$30-1),0)+IF(AND(BT6&lt;=MonthFinalUnits,DevBdgt!BT6&gt;='General Inputs'!$D$30),'Development Inputs'!$J$9*TotalAandE/(MonthFinalUnits-'General Inputs'!$D$30+1),0)</f>
        <v>0</v>
      </c>
      <c r="BU34" s="229">
        <f>IF(BU6=0,'Development Inputs'!$H$9*TotalAandE,0)+IF(AND(DevBdgt!BU6&lt;'General Inputs'!$D$30,DevBdgt!BU6&gt;0),'Development Inputs'!$I$9*TotalAandE/('General Inputs'!$D$30-1),0)+IF(AND(BU6&lt;=MonthFinalUnits,DevBdgt!BU6&gt;='General Inputs'!$D$30),'Development Inputs'!$J$9*TotalAandE/(MonthFinalUnits-'General Inputs'!$D$30+1),0)</f>
        <v>0</v>
      </c>
      <c r="BV34" s="229">
        <f>IF(BV6=0,'Development Inputs'!$H$9*TotalAandE,0)+IF(AND(DevBdgt!BV6&lt;'General Inputs'!$D$30,DevBdgt!BV6&gt;0),'Development Inputs'!$I$9*TotalAandE/('General Inputs'!$D$30-1),0)+IF(AND(BV6&lt;=MonthFinalUnits,DevBdgt!BV6&gt;='General Inputs'!$D$30),'Development Inputs'!$J$9*TotalAandE/(MonthFinalUnits-'General Inputs'!$D$30+1),0)</f>
        <v>0</v>
      </c>
      <c r="BW34" s="229">
        <f>IF(BW6=0,'Development Inputs'!$H$9*TotalAandE,0)+IF(AND(DevBdgt!BW6&lt;'General Inputs'!$D$30,DevBdgt!BW6&gt;0),'Development Inputs'!$I$9*TotalAandE/('General Inputs'!$D$30-1),0)+IF(AND(BW6&lt;=MonthFinalUnits,DevBdgt!BW6&gt;='General Inputs'!$D$30),'Development Inputs'!$J$9*TotalAandE/(MonthFinalUnits-'General Inputs'!$D$30+1),0)</f>
        <v>0</v>
      </c>
      <c r="BX34" s="229">
        <f>IF(BX6=0,'Development Inputs'!$H$9*TotalAandE,0)+IF(AND(DevBdgt!BX6&lt;'General Inputs'!$D$30,DevBdgt!BX6&gt;0),'Development Inputs'!$I$9*TotalAandE/('General Inputs'!$D$30-1),0)+IF(AND(BX6&lt;=MonthFinalUnits,DevBdgt!BX6&gt;='General Inputs'!$D$30),'Development Inputs'!$J$9*TotalAandE/(MonthFinalUnits-'General Inputs'!$D$30+1),0)</f>
        <v>0</v>
      </c>
      <c r="BY34" s="229">
        <f>IF(BY6=0,'Development Inputs'!$H$9*TotalAandE,0)+IF(AND(DevBdgt!BY6&lt;'General Inputs'!$D$30,DevBdgt!BY6&gt;0),'Development Inputs'!$I$9*TotalAandE/('General Inputs'!$D$30-1),0)+IF(AND(BY6&lt;=MonthFinalUnits,DevBdgt!BY6&gt;='General Inputs'!$D$30),'Development Inputs'!$J$9*TotalAandE/(MonthFinalUnits-'General Inputs'!$D$30+1),0)</f>
        <v>0</v>
      </c>
      <c r="BZ34" s="229">
        <f>IF(BZ6=0,'Development Inputs'!$H$9*TotalAandE,0)+IF(AND(DevBdgt!BZ6&lt;'General Inputs'!$D$30,DevBdgt!BZ6&gt;0),'Development Inputs'!$I$9*TotalAandE/('General Inputs'!$D$30-1),0)+IF(AND(BZ6&lt;=MonthFinalUnits,DevBdgt!BZ6&gt;='General Inputs'!$D$30),'Development Inputs'!$J$9*TotalAandE/(MonthFinalUnits-'General Inputs'!$D$30+1),0)</f>
        <v>0</v>
      </c>
      <c r="CA34" s="229">
        <f>IF(CA6=0,'Development Inputs'!$H$9*TotalAandE,0)+IF(AND(DevBdgt!CA6&lt;'General Inputs'!$D$30,DevBdgt!CA6&gt;0),'Development Inputs'!$I$9*TotalAandE/('General Inputs'!$D$30-1),0)+IF(AND(CA6&lt;=MonthFinalUnits,DevBdgt!CA6&gt;='General Inputs'!$D$30),'Development Inputs'!$J$9*TotalAandE/(MonthFinalUnits-'General Inputs'!$D$30+1),0)</f>
        <v>0</v>
      </c>
      <c r="CB34" s="229">
        <f>IF(CB6=0,'Development Inputs'!$H$9*TotalAandE,0)+IF(AND(DevBdgt!CB6&lt;'General Inputs'!$D$30,DevBdgt!CB6&gt;0),'Development Inputs'!$I$9*TotalAandE/('General Inputs'!$D$30-1),0)+IF(AND(CB6&lt;=MonthFinalUnits,DevBdgt!CB6&gt;='General Inputs'!$D$30),'Development Inputs'!$J$9*TotalAandE/(MonthFinalUnits-'General Inputs'!$D$30+1),0)</f>
        <v>0</v>
      </c>
      <c r="CC34" s="229">
        <f>IF(CC6=0,'Development Inputs'!$H$9*TotalAandE,0)+IF(AND(DevBdgt!CC6&lt;'General Inputs'!$D$30,DevBdgt!CC6&gt;0),'Development Inputs'!$I$9*TotalAandE/('General Inputs'!$D$30-1),0)+IF(AND(CC6&lt;=MonthFinalUnits,DevBdgt!CC6&gt;='General Inputs'!$D$30),'Development Inputs'!$J$9*TotalAandE/(MonthFinalUnits-'General Inputs'!$D$30+1),0)</f>
        <v>0</v>
      </c>
      <c r="CD34" s="229">
        <f>IF(CD6=0,'Development Inputs'!$H$9*TotalAandE,0)+IF(AND(DevBdgt!CD6&lt;'General Inputs'!$D$30,DevBdgt!CD6&gt;0),'Development Inputs'!$I$9*TotalAandE/('General Inputs'!$D$30-1),0)+IF(AND(CD6&lt;=MonthFinalUnits,DevBdgt!CD6&gt;='General Inputs'!$D$30),'Development Inputs'!$J$9*TotalAandE/(MonthFinalUnits-'General Inputs'!$D$30+1),0)</f>
        <v>0</v>
      </c>
      <c r="CE34" s="229">
        <f>IF(CE6=0,'Development Inputs'!$H$9*TotalAandE,0)+IF(AND(DevBdgt!CE6&lt;'General Inputs'!$D$30,DevBdgt!CE6&gt;0),'Development Inputs'!$I$9*TotalAandE/('General Inputs'!$D$30-1),0)+IF(AND(CE6&lt;=MonthFinalUnits,DevBdgt!CE6&gt;='General Inputs'!$D$30),'Development Inputs'!$J$9*TotalAandE/(MonthFinalUnits-'General Inputs'!$D$30+1),0)</f>
        <v>0</v>
      </c>
      <c r="CF34" s="229">
        <f>IF(CF6=0,'Development Inputs'!$H$9*TotalAandE,0)+IF(AND(DevBdgt!CF6&lt;'General Inputs'!$D$30,DevBdgt!CF6&gt;0),'Development Inputs'!$I$9*TotalAandE/('General Inputs'!$D$30-1),0)+IF(AND(CF6&lt;=MonthFinalUnits,DevBdgt!CF6&gt;='General Inputs'!$D$30),'Development Inputs'!$J$9*TotalAandE/(MonthFinalUnits-'General Inputs'!$D$30+1),0)</f>
        <v>0</v>
      </c>
      <c r="CG34" s="229">
        <f>IF(CG6=0,'Development Inputs'!$H$9*TotalAandE,0)+IF(AND(DevBdgt!CG6&lt;'General Inputs'!$D$30,DevBdgt!CG6&gt;0),'Development Inputs'!$I$9*TotalAandE/('General Inputs'!$D$30-1),0)+IF(AND(CG6&lt;=MonthFinalUnits,DevBdgt!CG6&gt;='General Inputs'!$D$30),'Development Inputs'!$J$9*TotalAandE/(MonthFinalUnits-'General Inputs'!$D$30+1),0)</f>
        <v>0</v>
      </c>
      <c r="CH34" s="229">
        <f>IF(CH6=0,'Development Inputs'!$H$9*TotalAandE,0)+IF(AND(DevBdgt!CH6&lt;'General Inputs'!$D$30,DevBdgt!CH6&gt;0),'Development Inputs'!$I$9*TotalAandE/('General Inputs'!$D$30-1),0)+IF(AND(CH6&lt;=MonthFinalUnits,DevBdgt!CH6&gt;='General Inputs'!$D$30),'Development Inputs'!$J$9*TotalAandE/(MonthFinalUnits-'General Inputs'!$D$30+1),0)</f>
        <v>0</v>
      </c>
      <c r="CI34" s="229">
        <f>IF(CI6=0,'Development Inputs'!$H$9*TotalAandE,0)+IF(AND(DevBdgt!CI6&lt;'General Inputs'!$D$30,DevBdgt!CI6&gt;0),'Development Inputs'!$I$9*TotalAandE/('General Inputs'!$D$30-1),0)+IF(AND(CI6&lt;=MonthFinalUnits,DevBdgt!CI6&gt;='General Inputs'!$D$30),'Development Inputs'!$J$9*TotalAandE/(MonthFinalUnits-'General Inputs'!$D$30+1),0)</f>
        <v>0</v>
      </c>
      <c r="CJ34" s="229">
        <f>IF(CJ6=0,'Development Inputs'!$H$9*TotalAandE,0)+IF(AND(DevBdgt!CJ6&lt;'General Inputs'!$D$30,DevBdgt!CJ6&gt;0),'Development Inputs'!$I$9*TotalAandE/('General Inputs'!$D$30-1),0)+IF(AND(CJ6&lt;=MonthFinalUnits,DevBdgt!CJ6&gt;='General Inputs'!$D$30),'Development Inputs'!$J$9*TotalAandE/(MonthFinalUnits-'General Inputs'!$D$30+1),0)</f>
        <v>0</v>
      </c>
      <c r="CK34" s="229">
        <f>IF(CK6=0,'Development Inputs'!$H$9*TotalAandE,0)+IF(AND(DevBdgt!CK6&lt;'General Inputs'!$D$30,DevBdgt!CK6&gt;0),'Development Inputs'!$I$9*TotalAandE/('General Inputs'!$D$30-1),0)+IF(AND(CK6&lt;=MonthFinalUnits,DevBdgt!CK6&gt;='General Inputs'!$D$30),'Development Inputs'!$J$9*TotalAandE/(MonthFinalUnits-'General Inputs'!$D$30+1),0)</f>
        <v>0</v>
      </c>
      <c r="CL34" s="229">
        <f>IF(CL6=0,'Development Inputs'!$H$9*TotalAandE,0)+IF(AND(DevBdgt!CL6&lt;'General Inputs'!$D$30,DevBdgt!CL6&gt;0),'Development Inputs'!$I$9*TotalAandE/('General Inputs'!$D$30-1),0)+IF(AND(CL6&lt;=MonthFinalUnits,DevBdgt!CL6&gt;='General Inputs'!$D$30),'Development Inputs'!$J$9*TotalAandE/(MonthFinalUnits-'General Inputs'!$D$30+1),0)</f>
        <v>0</v>
      </c>
      <c r="CM34" s="229">
        <f>IF(CM6=0,'Development Inputs'!$H$9*TotalAandE,0)+IF(AND(DevBdgt!CM6&lt;'General Inputs'!$D$30,DevBdgt!CM6&gt;0),'Development Inputs'!$I$9*TotalAandE/('General Inputs'!$D$30-1),0)+IF(AND(CM6&lt;=MonthFinalUnits,DevBdgt!CM6&gt;='General Inputs'!$D$30),'Development Inputs'!$J$9*TotalAandE/(MonthFinalUnits-'General Inputs'!$D$30+1),0)</f>
        <v>0</v>
      </c>
      <c r="CN34" s="229">
        <f>IF(CN6=0,'Development Inputs'!$H$9*TotalAandE,0)+IF(AND(DevBdgt!CN6&lt;'General Inputs'!$D$30,DevBdgt!CN6&gt;0),'Development Inputs'!$I$9*TotalAandE/('General Inputs'!$D$30-1),0)+IF(AND(CN6&lt;=MonthFinalUnits,DevBdgt!CN6&gt;='General Inputs'!$D$30),'Development Inputs'!$J$9*TotalAandE/(MonthFinalUnits-'General Inputs'!$D$30+1),0)</f>
        <v>0</v>
      </c>
      <c r="CO34" s="229">
        <f>IF(CO6=0,'Development Inputs'!$H$9*TotalAandE,0)+IF(AND(DevBdgt!CO6&lt;'General Inputs'!$D$30,DevBdgt!CO6&gt;0),'Development Inputs'!$I$9*TotalAandE/('General Inputs'!$D$30-1),0)+IF(AND(CO6&lt;=MonthFinalUnits,DevBdgt!CO6&gt;='General Inputs'!$D$30),'Development Inputs'!$J$9*TotalAandE/(MonthFinalUnits-'General Inputs'!$D$30+1),0)</f>
        <v>0</v>
      </c>
      <c r="CP34" s="229">
        <f>IF(CP6=0,'Development Inputs'!$H$9*TotalAandE,0)+IF(AND(DevBdgt!CP6&lt;'General Inputs'!$D$30,DevBdgt!CP6&gt;0),'Development Inputs'!$I$9*TotalAandE/('General Inputs'!$D$30-1),0)+IF(AND(CP6&lt;=MonthFinalUnits,DevBdgt!CP6&gt;='General Inputs'!$D$30),'Development Inputs'!$J$9*TotalAandE/(MonthFinalUnits-'General Inputs'!$D$30+1),0)</f>
        <v>0</v>
      </c>
      <c r="CQ34" s="229">
        <f>IF(CQ6=0,'Development Inputs'!$H$9*TotalAandE,0)+IF(AND(DevBdgt!CQ6&lt;'General Inputs'!$D$30,DevBdgt!CQ6&gt;0),'Development Inputs'!$I$9*TotalAandE/('General Inputs'!$D$30-1),0)+IF(AND(CQ6&lt;=MonthFinalUnits,DevBdgt!CQ6&gt;='General Inputs'!$D$30),'Development Inputs'!$J$9*TotalAandE/(MonthFinalUnits-'General Inputs'!$D$30+1),0)</f>
        <v>0</v>
      </c>
      <c r="CR34" s="229">
        <f>IF(CR6=0,'Development Inputs'!$H$9*TotalAandE,0)+IF(AND(DevBdgt!CR6&lt;'General Inputs'!$D$30,DevBdgt!CR6&gt;0),'Development Inputs'!$I$9*TotalAandE/('General Inputs'!$D$30-1),0)+IF(AND(CR6&lt;=MonthFinalUnits,DevBdgt!CR6&gt;='General Inputs'!$D$30),'Development Inputs'!$J$9*TotalAandE/(MonthFinalUnits-'General Inputs'!$D$30+1),0)</f>
        <v>0</v>
      </c>
      <c r="CS34" s="229">
        <f>IF(CS6=0,'Development Inputs'!$H$9*TotalAandE,0)+IF(AND(DevBdgt!CS6&lt;'General Inputs'!$D$30,DevBdgt!CS6&gt;0),'Development Inputs'!$I$9*TotalAandE/('General Inputs'!$D$30-1),0)+IF(AND(CS6&lt;=MonthFinalUnits,DevBdgt!CS6&gt;='General Inputs'!$D$30),'Development Inputs'!$J$9*TotalAandE/(MonthFinalUnits-'General Inputs'!$D$30+1),0)</f>
        <v>0</v>
      </c>
      <c r="CT34" s="229">
        <f>IF(CT6=0,'Development Inputs'!$H$9*TotalAandE,0)+IF(AND(DevBdgt!CT6&lt;'General Inputs'!$D$30,DevBdgt!CT6&gt;0),'Development Inputs'!$I$9*TotalAandE/('General Inputs'!$D$30-1),0)+IF(AND(CT6&lt;=MonthFinalUnits,DevBdgt!CT6&gt;='General Inputs'!$D$30),'Development Inputs'!$J$9*TotalAandE/(MonthFinalUnits-'General Inputs'!$D$30+1),0)</f>
        <v>0</v>
      </c>
      <c r="CU34" s="229">
        <f>IF(CU6=0,'Development Inputs'!$H$9*TotalAandE,0)+IF(AND(DevBdgt!CU6&lt;'General Inputs'!$D$30,DevBdgt!CU6&gt;0),'Development Inputs'!$I$9*TotalAandE/('General Inputs'!$D$30-1),0)+IF(AND(CU6&lt;=MonthFinalUnits,DevBdgt!CU6&gt;='General Inputs'!$D$30),'Development Inputs'!$J$9*TotalAandE/(MonthFinalUnits-'General Inputs'!$D$30+1),0)</f>
        <v>0</v>
      </c>
      <c r="CV34" s="229">
        <f>IF(CV6=0,'Development Inputs'!$H$9*TotalAandE,0)+IF(AND(DevBdgt!CV6&lt;'General Inputs'!$D$30,DevBdgt!CV6&gt;0),'Development Inputs'!$I$9*TotalAandE/('General Inputs'!$D$30-1),0)+IF(AND(CV6&lt;=MonthFinalUnits,DevBdgt!CV6&gt;='General Inputs'!$D$30),'Development Inputs'!$J$9*TotalAandE/(MonthFinalUnits-'General Inputs'!$D$30+1),0)</f>
        <v>0</v>
      </c>
      <c r="CW34" s="229">
        <f>IF(CW6=0,'Development Inputs'!$H$9*TotalAandE,0)+IF(AND(DevBdgt!CW6&lt;'General Inputs'!$D$30,DevBdgt!CW6&gt;0),'Development Inputs'!$I$9*TotalAandE/('General Inputs'!$D$30-1),0)+IF(AND(CW6&lt;=MonthFinalUnits,DevBdgt!CW6&gt;='General Inputs'!$D$30),'Development Inputs'!$J$9*TotalAandE/(MonthFinalUnits-'General Inputs'!$D$30+1),0)</f>
        <v>0</v>
      </c>
      <c r="CX34" s="229">
        <f>IF(CX6=0,'Development Inputs'!$H$9*TotalAandE,0)+IF(AND(DevBdgt!CX6&lt;'General Inputs'!$D$30,DevBdgt!CX6&gt;0),'Development Inputs'!$I$9*TotalAandE/('General Inputs'!$D$30-1),0)+IF(AND(CX6&lt;=MonthFinalUnits,DevBdgt!CX6&gt;='General Inputs'!$D$30),'Development Inputs'!$J$9*TotalAandE/(MonthFinalUnits-'General Inputs'!$D$30+1),0)</f>
        <v>0</v>
      </c>
      <c r="CY34" s="229">
        <f>IF(CY6=0,'Development Inputs'!$H$9*TotalAandE,0)+IF(AND(DevBdgt!CY6&lt;'General Inputs'!$D$30,DevBdgt!CY6&gt;0),'Development Inputs'!$I$9*TotalAandE/('General Inputs'!$D$30-1),0)+IF(AND(CY6&lt;=MonthFinalUnits,DevBdgt!CY6&gt;='General Inputs'!$D$30),'Development Inputs'!$J$9*TotalAandE/(MonthFinalUnits-'General Inputs'!$D$30+1),0)</f>
        <v>0</v>
      </c>
      <c r="CZ34" s="229">
        <f>IF(CZ6=0,'Development Inputs'!$H$9*TotalAandE,0)+IF(AND(DevBdgt!CZ6&lt;'General Inputs'!$D$30,DevBdgt!CZ6&gt;0),'Development Inputs'!$I$9*TotalAandE/('General Inputs'!$D$30-1),0)+IF(AND(CZ6&lt;=MonthFinalUnits,DevBdgt!CZ6&gt;='General Inputs'!$D$30),'Development Inputs'!$J$9*TotalAandE/(MonthFinalUnits-'General Inputs'!$D$30+1),0)</f>
        <v>0</v>
      </c>
      <c r="DA34" s="229">
        <f>IF(DA6=0,'Development Inputs'!$H$9*TotalAandE,0)+IF(AND(DevBdgt!DA6&lt;'General Inputs'!$D$30,DevBdgt!DA6&gt;0),'Development Inputs'!$I$9*TotalAandE/('General Inputs'!$D$30-1),0)+IF(AND(DA6&lt;=MonthFinalUnits,DevBdgt!DA6&gt;='General Inputs'!$D$30),'Development Inputs'!$J$9*TotalAandE/(MonthFinalUnits-'General Inputs'!$D$30+1),0)</f>
        <v>0</v>
      </c>
      <c r="DB34" s="229">
        <f>IF(DB6=0,'Development Inputs'!$H$9*TotalAandE,0)+IF(AND(DevBdgt!DB6&lt;'General Inputs'!$D$30,DevBdgt!DB6&gt;0),'Development Inputs'!$I$9*TotalAandE/('General Inputs'!$D$30-1),0)+IF(AND(DB6&lt;=MonthFinalUnits,DevBdgt!DB6&gt;='General Inputs'!$D$30),'Development Inputs'!$J$9*TotalAandE/(MonthFinalUnits-'General Inputs'!$D$30+1),0)</f>
        <v>0</v>
      </c>
      <c r="DC34" s="229">
        <f>IF(DC6=0,'Development Inputs'!$H$9*TotalAandE,0)+IF(AND(DevBdgt!DC6&lt;'General Inputs'!$D$30,DevBdgt!DC6&gt;0),'Development Inputs'!$I$9*TotalAandE/('General Inputs'!$D$30-1),0)+IF(AND(DC6&lt;=MonthFinalUnits,DevBdgt!DC6&gt;='General Inputs'!$D$30),'Development Inputs'!$J$9*TotalAandE/(MonthFinalUnits-'General Inputs'!$D$30+1),0)</f>
        <v>0</v>
      </c>
      <c r="DD34" s="229">
        <f>IF(DD6=0,'Development Inputs'!$H$9*TotalAandE,0)+IF(AND(DevBdgt!DD6&lt;'General Inputs'!$D$30,DevBdgt!DD6&gt;0),'Development Inputs'!$I$9*TotalAandE/('General Inputs'!$D$30-1),0)+IF(AND(DD6&lt;=MonthFinalUnits,DevBdgt!DD6&gt;='General Inputs'!$D$30),'Development Inputs'!$J$9*TotalAandE/(MonthFinalUnits-'General Inputs'!$D$30+1),0)</f>
        <v>0</v>
      </c>
      <c r="DE34" s="229">
        <f>IF(DE6=0,'Development Inputs'!$H$9*TotalAandE,0)+IF(AND(DevBdgt!DE6&lt;'General Inputs'!$D$30,DevBdgt!DE6&gt;0),'Development Inputs'!$I$9*TotalAandE/('General Inputs'!$D$30-1),0)+IF(AND(DE6&lt;=MonthFinalUnits,DevBdgt!DE6&gt;='General Inputs'!$D$30),'Development Inputs'!$J$9*TotalAandE/(MonthFinalUnits-'General Inputs'!$D$30+1),0)</f>
        <v>0</v>
      </c>
      <c r="DF34" s="229">
        <f>IF(DF6=0,'Development Inputs'!$H$9*TotalAandE,0)+IF(AND(DevBdgt!DF6&lt;'General Inputs'!$D$30,DevBdgt!DF6&gt;0),'Development Inputs'!$I$9*TotalAandE/('General Inputs'!$D$30-1),0)+IF(AND(DF6&lt;=MonthFinalUnits,DevBdgt!DF6&gt;='General Inputs'!$D$30),'Development Inputs'!$J$9*TotalAandE/(MonthFinalUnits-'General Inputs'!$D$30+1),0)</f>
        <v>0</v>
      </c>
      <c r="DG34" s="229">
        <f>IF(DG6=0,'Development Inputs'!$H$9*TotalAandE,0)+IF(AND(DevBdgt!DG6&lt;'General Inputs'!$D$30,DevBdgt!DG6&gt;0),'Development Inputs'!$I$9*TotalAandE/('General Inputs'!$D$30-1),0)+IF(AND(DG6&lt;=MonthFinalUnits,DevBdgt!DG6&gt;='General Inputs'!$D$30),'Development Inputs'!$J$9*TotalAandE/(MonthFinalUnits-'General Inputs'!$D$30+1),0)</f>
        <v>0</v>
      </c>
      <c r="DH34" s="229">
        <f>IF(DH6=0,'Development Inputs'!$H$9*TotalAandE,0)+IF(AND(DevBdgt!DH6&lt;'General Inputs'!$D$30,DevBdgt!DH6&gt;0),'Development Inputs'!$I$9*TotalAandE/('General Inputs'!$D$30-1),0)+IF(AND(DH6&lt;=MonthFinalUnits,DevBdgt!DH6&gt;='General Inputs'!$D$30),'Development Inputs'!$J$9*TotalAandE/(MonthFinalUnits-'General Inputs'!$D$30+1),0)</f>
        <v>0</v>
      </c>
      <c r="DI34" s="229">
        <f>IF(DI6=0,'Development Inputs'!$H$9*TotalAandE,0)+IF(AND(DevBdgt!DI6&lt;'General Inputs'!$D$30,DevBdgt!DI6&gt;0),'Development Inputs'!$I$9*TotalAandE/('General Inputs'!$D$30-1),0)+IF(AND(DI6&lt;=MonthFinalUnits,DevBdgt!DI6&gt;='General Inputs'!$D$30),'Development Inputs'!$J$9*TotalAandE/(MonthFinalUnits-'General Inputs'!$D$30+1),0)</f>
        <v>0</v>
      </c>
      <c r="DJ34" s="229">
        <f>IF(DJ6=0,'Development Inputs'!$H$9*TotalAandE,0)+IF(AND(DevBdgt!DJ6&lt;'General Inputs'!$D$30,DevBdgt!DJ6&gt;0),'Development Inputs'!$I$9*TotalAandE/('General Inputs'!$D$30-1),0)+IF(AND(DJ6&lt;=MonthFinalUnits,DevBdgt!DJ6&gt;='General Inputs'!$D$30),'Development Inputs'!$J$9*TotalAandE/(MonthFinalUnits-'General Inputs'!$D$30+1),0)</f>
        <v>0</v>
      </c>
      <c r="DK34" s="229">
        <f>IF(DK6=0,'Development Inputs'!$H$9*TotalAandE,0)+IF(AND(DevBdgt!DK6&lt;'General Inputs'!$D$30,DevBdgt!DK6&gt;0),'Development Inputs'!$I$9*TotalAandE/('General Inputs'!$D$30-1),0)+IF(AND(DK6&lt;=MonthFinalUnits,DevBdgt!DK6&gt;='General Inputs'!$D$30),'Development Inputs'!$J$9*TotalAandE/(MonthFinalUnits-'General Inputs'!$D$30+1),0)</f>
        <v>0</v>
      </c>
      <c r="DL34" s="229">
        <f>IF(DL6=0,'Development Inputs'!$H$9*TotalAandE,0)+IF(AND(DevBdgt!DL6&lt;'General Inputs'!$D$30,DevBdgt!DL6&gt;0),'Development Inputs'!$I$9*TotalAandE/('General Inputs'!$D$30-1),0)+IF(AND(DL6&lt;=MonthFinalUnits,DevBdgt!DL6&gt;='General Inputs'!$D$30),'Development Inputs'!$J$9*TotalAandE/(MonthFinalUnits-'General Inputs'!$D$30+1),0)</f>
        <v>0</v>
      </c>
      <c r="DM34" s="229">
        <f>IF(DM6=0,'Development Inputs'!$H$9*TotalAandE,0)+IF(AND(DevBdgt!DM6&lt;'General Inputs'!$D$30,DevBdgt!DM6&gt;0),'Development Inputs'!$I$9*TotalAandE/('General Inputs'!$D$30-1),0)+IF(AND(DM6&lt;=MonthFinalUnits,DevBdgt!DM6&gt;='General Inputs'!$D$30),'Development Inputs'!$J$9*TotalAandE/(MonthFinalUnits-'General Inputs'!$D$30+1),0)</f>
        <v>0</v>
      </c>
      <c r="DN34" s="229">
        <f>IF(DN6=0,'Development Inputs'!$H$9*TotalAandE,0)+IF(AND(DevBdgt!DN6&lt;'General Inputs'!$D$30,DevBdgt!DN6&gt;0),'Development Inputs'!$I$9*TotalAandE/('General Inputs'!$D$30-1),0)+IF(AND(DN6&lt;=MonthFinalUnits,DevBdgt!DN6&gt;='General Inputs'!$D$30),'Development Inputs'!$J$9*TotalAandE/(MonthFinalUnits-'General Inputs'!$D$30+1),0)</f>
        <v>0</v>
      </c>
      <c r="DO34" s="229">
        <f>IF(DO6=0,'Development Inputs'!$H$9*TotalAandE,0)+IF(AND(DevBdgt!DO6&lt;'General Inputs'!$D$30,DevBdgt!DO6&gt;0),'Development Inputs'!$I$9*TotalAandE/('General Inputs'!$D$30-1),0)+IF(AND(DO6&lt;=MonthFinalUnits,DevBdgt!DO6&gt;='General Inputs'!$D$30),'Development Inputs'!$J$9*TotalAandE/(MonthFinalUnits-'General Inputs'!$D$30+1),0)</f>
        <v>0</v>
      </c>
      <c r="DP34" s="229">
        <f>IF(DP6=0,'Development Inputs'!$H$9*TotalAandE,0)+IF(AND(DevBdgt!DP6&lt;'General Inputs'!$D$30,DevBdgt!DP6&gt;0),'Development Inputs'!$I$9*TotalAandE/('General Inputs'!$D$30-1),0)+IF(AND(DP6&lt;=MonthFinalUnits,DevBdgt!DP6&gt;='General Inputs'!$D$30),'Development Inputs'!$J$9*TotalAandE/(MonthFinalUnits-'General Inputs'!$D$30+1),0)</f>
        <v>0</v>
      </c>
      <c r="DQ34" s="229">
        <f>IF(DQ6=0,'Development Inputs'!$H$9*TotalAandE,0)+IF(AND(DevBdgt!DQ6&lt;'General Inputs'!$D$30,DevBdgt!DQ6&gt;0),'Development Inputs'!$I$9*TotalAandE/('General Inputs'!$D$30-1),0)+IF(AND(DQ6&lt;=MonthFinalUnits,DevBdgt!DQ6&gt;='General Inputs'!$D$30),'Development Inputs'!$J$9*TotalAandE/(MonthFinalUnits-'General Inputs'!$D$30+1),0)</f>
        <v>0</v>
      </c>
      <c r="DR34" s="229">
        <f>IF(DR6=0,'Development Inputs'!$H$9*TotalAandE,0)+IF(AND(DevBdgt!DR6&lt;'General Inputs'!$D$30,DevBdgt!DR6&gt;0),'Development Inputs'!$I$9*TotalAandE/('General Inputs'!$D$30-1),0)+IF(AND(DR6&lt;=MonthFinalUnits,DevBdgt!DR6&gt;='General Inputs'!$D$30),'Development Inputs'!$J$9*TotalAandE/(MonthFinalUnits-'General Inputs'!$D$30+1),0)</f>
        <v>0</v>
      </c>
      <c r="DS34" s="229">
        <f>IF(DS6=0,'Development Inputs'!$H$9*TotalAandE,0)+IF(AND(DevBdgt!DS6&lt;'General Inputs'!$D$30,DevBdgt!DS6&gt;0),'Development Inputs'!$I$9*TotalAandE/('General Inputs'!$D$30-1),0)+IF(AND(DS6&lt;=MonthFinalUnits,DevBdgt!DS6&gt;='General Inputs'!$D$30),'Development Inputs'!$J$9*TotalAandE/(MonthFinalUnits-'General Inputs'!$D$30+1),0)</f>
        <v>0</v>
      </c>
      <c r="DT34" s="229">
        <f>IF(DT6=0,'Development Inputs'!$H$9*TotalAandE,0)+IF(AND(DevBdgt!DT6&lt;'General Inputs'!$D$30,DevBdgt!DT6&gt;0),'Development Inputs'!$I$9*TotalAandE/('General Inputs'!$D$30-1),0)+IF(AND(DT6&lt;=MonthFinalUnits,DevBdgt!DT6&gt;='General Inputs'!$D$30),'Development Inputs'!$J$9*TotalAandE/(MonthFinalUnits-'General Inputs'!$D$30+1),0)</f>
        <v>0</v>
      </c>
      <c r="DU34" s="229">
        <f>IF(DU6=0,'Development Inputs'!$H$9*TotalAandE,0)+IF(AND(DevBdgt!DU6&lt;'General Inputs'!$D$30,DevBdgt!DU6&gt;0),'Development Inputs'!$I$9*TotalAandE/('General Inputs'!$D$30-1),0)+IF(AND(DU6&lt;=MonthFinalUnits,DevBdgt!DU6&gt;='General Inputs'!$D$30),'Development Inputs'!$J$9*TotalAandE/(MonthFinalUnits-'General Inputs'!$D$30+1),0)</f>
        <v>0</v>
      </c>
      <c r="DV34" s="229">
        <f>IF(DV6=0,'Development Inputs'!$H$9*TotalAandE,0)+IF(AND(DevBdgt!DV6&lt;'General Inputs'!$D$30,DevBdgt!DV6&gt;0),'Development Inputs'!$I$9*TotalAandE/('General Inputs'!$D$30-1),0)+IF(AND(DV6&lt;=MonthFinalUnits,DevBdgt!DV6&gt;='General Inputs'!$D$30),'Development Inputs'!$J$9*TotalAandE/(MonthFinalUnits-'General Inputs'!$D$30+1),0)</f>
        <v>0</v>
      </c>
      <c r="DW34" s="229">
        <f>IF(DW6=0,'Development Inputs'!$H$9*TotalAandE,0)+IF(AND(DevBdgt!DW6&lt;'General Inputs'!$D$30,DevBdgt!DW6&gt;0),'Development Inputs'!$I$9*TotalAandE/('General Inputs'!$D$30-1),0)+IF(AND(DW6&lt;=MonthFinalUnits,DevBdgt!DW6&gt;='General Inputs'!$D$30),'Development Inputs'!$J$9*TotalAandE/(MonthFinalUnits-'General Inputs'!$D$30+1),0)</f>
        <v>0</v>
      </c>
      <c r="DX34" s="229">
        <f>IF(DX6=0,'Development Inputs'!$H$9*TotalAandE,0)+IF(AND(DevBdgt!DX6&lt;'General Inputs'!$D$30,DevBdgt!DX6&gt;0),'Development Inputs'!$I$9*TotalAandE/('General Inputs'!$D$30-1),0)+IF(AND(DX6&lt;=MonthFinalUnits,DevBdgt!DX6&gt;='General Inputs'!$D$30),'Development Inputs'!$J$9*TotalAandE/(MonthFinalUnits-'General Inputs'!$D$30+1),0)</f>
        <v>0</v>
      </c>
      <c r="DY34" s="229">
        <f>IF(DY6=0,'Development Inputs'!$H$9*TotalAandE,0)+IF(AND(DevBdgt!DY6&lt;'General Inputs'!$D$30,DevBdgt!DY6&gt;0),'Development Inputs'!$I$9*TotalAandE/('General Inputs'!$D$30-1),0)+IF(AND(DY6&lt;=MonthFinalUnits,DevBdgt!DY6&gt;='General Inputs'!$D$30),'Development Inputs'!$J$9*TotalAandE/(MonthFinalUnits-'General Inputs'!$D$30+1),0)</f>
        <v>0</v>
      </c>
      <c r="DZ34" s="229">
        <f>IF(DZ6=0,'Development Inputs'!$H$9*TotalAandE,0)+IF(AND(DevBdgt!DZ6&lt;'General Inputs'!$D$30,DevBdgt!DZ6&gt;0),'Development Inputs'!$I$9*TotalAandE/('General Inputs'!$D$30-1),0)+IF(AND(DZ6&lt;=MonthFinalUnits,DevBdgt!DZ6&gt;='General Inputs'!$D$30),'Development Inputs'!$J$9*TotalAandE/(MonthFinalUnits-'General Inputs'!$D$30+1),0)</f>
        <v>0</v>
      </c>
      <c r="EA34" s="229">
        <f>IF(EA6=0,'Development Inputs'!$H$9*TotalAandE,0)+IF(AND(DevBdgt!EA6&lt;'General Inputs'!$D$30,DevBdgt!EA6&gt;0),'Development Inputs'!$I$9*TotalAandE/('General Inputs'!$D$30-1),0)+IF(AND(EA6&lt;=MonthFinalUnits,DevBdgt!EA6&gt;='General Inputs'!$D$30),'Development Inputs'!$J$9*TotalAandE/(MonthFinalUnits-'General Inputs'!$D$30+1),0)</f>
        <v>0</v>
      </c>
      <c r="EB34" s="229">
        <f>IF(EB6=0,'Development Inputs'!$H$9*TotalAandE,0)+IF(AND(DevBdgt!EB6&lt;'General Inputs'!$D$30,DevBdgt!EB6&gt;0),'Development Inputs'!$I$9*TotalAandE/('General Inputs'!$D$30-1),0)+IF(AND(EB6&lt;=MonthFinalUnits,DevBdgt!EB6&gt;='General Inputs'!$D$30),'Development Inputs'!$J$9*TotalAandE/(MonthFinalUnits-'General Inputs'!$D$30+1),0)</f>
        <v>0</v>
      </c>
      <c r="EC34" s="229">
        <f>IF(EC6=0,'Development Inputs'!$H$9*TotalAandE,0)+IF(AND(DevBdgt!EC6&lt;'General Inputs'!$D$30,DevBdgt!EC6&gt;0),'Development Inputs'!$I$9*TotalAandE/('General Inputs'!$D$30-1),0)+IF(AND(EC6&lt;=MonthFinalUnits,DevBdgt!EC6&gt;='General Inputs'!$D$30),'Development Inputs'!$J$9*TotalAandE/(MonthFinalUnits-'General Inputs'!$D$30+1),0)</f>
        <v>0</v>
      </c>
      <c r="ED34" s="229">
        <f>IF(ED6=0,'Development Inputs'!$H$9*TotalAandE,0)+IF(AND(DevBdgt!ED6&lt;'General Inputs'!$D$30,DevBdgt!ED6&gt;0),'Development Inputs'!$I$9*TotalAandE/('General Inputs'!$D$30-1),0)+IF(AND(ED6&lt;=MonthFinalUnits,DevBdgt!ED6&gt;='General Inputs'!$D$30),'Development Inputs'!$J$9*TotalAandE/(MonthFinalUnits-'General Inputs'!$D$30+1),0)</f>
        <v>0</v>
      </c>
      <c r="EE34" s="229">
        <f>IF(EE6=0,'Development Inputs'!$H$9*TotalAandE,0)+IF(AND(DevBdgt!EE6&lt;'General Inputs'!$D$30,DevBdgt!EE6&gt;0),'Development Inputs'!$I$9*TotalAandE/('General Inputs'!$D$30-1),0)+IF(AND(EE6&lt;=MonthFinalUnits,DevBdgt!EE6&gt;='General Inputs'!$D$30),'Development Inputs'!$J$9*TotalAandE/(MonthFinalUnits-'General Inputs'!$D$30+1),0)</f>
        <v>0</v>
      </c>
      <c r="EF34" s="229">
        <f>IF(EF6=0,'Development Inputs'!$H$9*TotalAandE,0)+IF(AND(DevBdgt!EF6&lt;'General Inputs'!$D$30,DevBdgt!EF6&gt;0),'Development Inputs'!$I$9*TotalAandE/('General Inputs'!$D$30-1),0)+IF(AND(EF6&lt;=MonthFinalUnits,DevBdgt!EF6&gt;='General Inputs'!$D$30),'Development Inputs'!$J$9*TotalAandE/(MonthFinalUnits-'General Inputs'!$D$30+1),0)</f>
        <v>0</v>
      </c>
      <c r="EG34" s="229">
        <f>IF(EG6=0,'Development Inputs'!$H$9*TotalAandE,0)+IF(AND(DevBdgt!EG6&lt;'General Inputs'!$D$30,DevBdgt!EG6&gt;0),'Development Inputs'!$I$9*TotalAandE/('General Inputs'!$D$30-1),0)+IF(AND(EG6&lt;=MonthFinalUnits,DevBdgt!EG6&gt;='General Inputs'!$D$30),'Development Inputs'!$J$9*TotalAandE/(MonthFinalUnits-'General Inputs'!$D$30+1),0)</f>
        <v>0</v>
      </c>
      <c r="EH34" s="229">
        <f>SUBTOTAL(9,E34:EG34)</f>
        <v>1500605.0000000002</v>
      </c>
      <c r="EI34" s="227"/>
    </row>
    <row r="35" spans="1:139" x14ac:dyDescent="0.3">
      <c r="A35" s="413" t="s">
        <v>672</v>
      </c>
      <c r="B35" s="413"/>
      <c r="C35" s="413"/>
      <c r="D35" s="282">
        <f>IF(AND(Waterfalls!D151&gt;=Waterfalls!D152,Waterfalls!D151&gt;0),0,IF(Waterfalls!D151&lt;=0,-Waterfalls!D152,Waterfalls!D151+Waterfalls!D152))</f>
        <v>0</v>
      </c>
      <c r="E35" s="229">
        <f>IF((Waterfalls!E151&gt;=-Waterfalls!E152),0,IF(Waterfalls!E151&lt;=0,-Waterfalls!E152,-Waterfalls!E151-Waterfalls!E152))</f>
        <v>0</v>
      </c>
      <c r="F35" s="229">
        <f ca="1">IF((Waterfalls!F151&gt;=-Waterfalls!F152),0,IF(Waterfalls!F151&lt;=0,-Waterfalls!F152,-Waterfalls!F151-Waterfalls!F152))</f>
        <v>0</v>
      </c>
      <c r="G35" s="229">
        <f ca="1">IF((Waterfalls!G151&gt;=-Waterfalls!G152),0,IF(Waterfalls!G151&lt;=0,-Waterfalls!G152,-Waterfalls!G151-Waterfalls!G152))</f>
        <v>0</v>
      </c>
      <c r="H35" s="229">
        <f ca="1">IF((Waterfalls!H151&gt;=-Waterfalls!H152),0,IF(Waterfalls!H151&lt;=0,-Waterfalls!H152,-Waterfalls!H151-Waterfalls!H152))</f>
        <v>0</v>
      </c>
      <c r="I35" s="229">
        <f ca="1">IF((Waterfalls!I151&gt;=-Waterfalls!I152),0,IF(Waterfalls!I151&lt;=0,-Waterfalls!I152,-Waterfalls!I151-Waterfalls!I152))</f>
        <v>0</v>
      </c>
      <c r="J35" s="229">
        <f ca="1">IF((Waterfalls!J151&gt;=-Waterfalls!J152),0,IF(Waterfalls!J151&lt;=0,-Waterfalls!J152,-Waterfalls!J151-Waterfalls!J152))</f>
        <v>0</v>
      </c>
      <c r="K35" s="229">
        <f ca="1">IF((Waterfalls!K151&gt;=-Waterfalls!K152),0,IF(Waterfalls!K151&lt;=0,-Waterfalls!K152,-Waterfalls!K151-Waterfalls!K152))</f>
        <v>0</v>
      </c>
      <c r="L35" s="229">
        <f ca="1">IF((Waterfalls!L151&gt;=-Waterfalls!L152),0,IF(Waterfalls!L151&lt;=0,-Waterfalls!L152,-Waterfalls!L151-Waterfalls!L152))</f>
        <v>0</v>
      </c>
      <c r="M35" s="229">
        <f ca="1">IF((Waterfalls!M151&gt;=-Waterfalls!M152),0,IF(Waterfalls!M151&lt;=0,-Waterfalls!M152,-Waterfalls!M151-Waterfalls!M152))</f>
        <v>0</v>
      </c>
      <c r="N35" s="229">
        <f ca="1">IF((Waterfalls!N151&gt;=-Waterfalls!N152),0,IF(Waterfalls!N151&lt;=0,-Waterfalls!N152,-Waterfalls!N151-Waterfalls!N152))</f>
        <v>0</v>
      </c>
      <c r="O35" s="229">
        <f ca="1">IF((Waterfalls!O151&gt;=-Waterfalls!O152),0,IF(Waterfalls!O151&lt;=0,-Waterfalls!O152,-Waterfalls!O151-Waterfalls!O152))</f>
        <v>0</v>
      </c>
      <c r="P35" s="229">
        <f ca="1">IF((Waterfalls!P151&gt;=-Waterfalls!P152),0,IF(Waterfalls!P151&lt;=0,-Waterfalls!P152,-Waterfalls!P151-Waterfalls!P152))</f>
        <v>9271.8618416666668</v>
      </c>
      <c r="Q35" s="229">
        <f ca="1">IF((Waterfalls!Q151&gt;=-Waterfalls!Q152),0,IF(Waterfalls!Q151&lt;=0,-Waterfalls!Q152,-Waterfalls!Q151-Waterfalls!Q152))</f>
        <v>30859.985503750006</v>
      </c>
      <c r="R35" s="229">
        <f ca="1">IF((Waterfalls!R151&gt;=-Waterfalls!R152),0,IF(Waterfalls!R151&lt;=0,-Waterfalls!R152,-Waterfalls!R151-Waterfalls!R152))</f>
        <v>52721.499257916672</v>
      </c>
      <c r="S35" s="229">
        <f ca="1">IF((Waterfalls!S151&gt;=-Waterfalls!S152),0,IF(Waterfalls!S151&lt;=0,-Waterfalls!S152,-Waterfalls!S151-Waterfalls!S152))</f>
        <v>74793.826184999998</v>
      </c>
      <c r="T35" s="229">
        <f ca="1">IF((Waterfalls!T151&gt;=-Waterfalls!T152),0,IF(Waterfalls!T151&lt;=0,-Waterfalls!T152,-Waterfalls!T151-Waterfalls!T152))</f>
        <v>95453.90916208335</v>
      </c>
      <c r="U35" s="229">
        <f ca="1">IF((Waterfalls!U151&gt;=-Waterfalls!U152),0,IF(Waterfalls!U151&lt;=0,-Waterfalls!U152,-Waterfalls!U151-Waterfalls!U152))</f>
        <v>115534.80412500001</v>
      </c>
      <c r="V35" s="229">
        <f ca="1">IF((Waterfalls!V151&gt;=-Waterfalls!V152),0,IF(Waterfalls!V151&lt;=0,-Waterfalls!V152,-Waterfalls!V151-Waterfalls!V152))</f>
        <v>134160.78209083332</v>
      </c>
      <c r="W35" s="229">
        <f ca="1">IF((Waterfalls!W151&gt;=-Waterfalls!W152),0,IF(Waterfalls!W151&lt;=0,-Waterfalls!W152,-Waterfalls!W151-Waterfalls!W152))</f>
        <v>150961.88393541667</v>
      </c>
      <c r="X35" s="229">
        <f ca="1">IF((Waterfalls!X151&gt;=-Waterfalls!X152),0,IF(Waterfalls!X151&lt;=0,-Waterfalls!X152,-Waterfalls!X151-Waterfalls!X152))</f>
        <v>149468.47362206239</v>
      </c>
      <c r="Y35" s="229">
        <f ca="1">IF((Waterfalls!Y151&gt;=-Waterfalls!Y152),0,IF(Waterfalls!Y151&lt;=0,-Waterfalls!Y152,-Waterfalls!Y151-Waterfalls!Y152))</f>
        <v>126565.92720762049</v>
      </c>
      <c r="Z35" s="229">
        <f ca="1">IF((Waterfalls!Z151&gt;=-Waterfalls!Z152),0,IF(Waterfalls!Z151&lt;=0,-Waterfalls!Z152,-Waterfalls!Z151-Waterfalls!Z152))</f>
        <v>93159.022734660248</v>
      </c>
      <c r="AA35" s="229">
        <f ca="1">IF((Waterfalls!AA151&gt;=-Waterfalls!AA152),0,IF(Waterfalls!AA151&lt;=0,-Waterfalls!AA152,-Waterfalls!AA151-Waterfalls!AA152))</f>
        <v>49426.25748972423</v>
      </c>
      <c r="AB35" s="229">
        <f ca="1">IF((Waterfalls!AB151&gt;=-Waterfalls!AB152),0,IF(Waterfalls!AB151&lt;=0,-Waterfalls!AB152,-Waterfalls!AB151-Waterfalls!AB152))</f>
        <v>3883.9078558211913</v>
      </c>
      <c r="AC35" s="229">
        <f ca="1">IF((Waterfalls!AC151&gt;=-Waterfalls!AC152),0,IF(Waterfalls!AC151&lt;=0,-Waterfalls!AC152,-Waterfalls!AC151-Waterfalls!AC152))</f>
        <v>0</v>
      </c>
      <c r="AD35" s="229">
        <f ca="1">IF((Waterfalls!AD151&gt;=-Waterfalls!AD152),0,IF(Waterfalls!AD151&lt;=0,-Waterfalls!AD152,-Waterfalls!AD151-Waterfalls!AD152))</f>
        <v>0</v>
      </c>
      <c r="AE35" s="229">
        <f ca="1">IF((Waterfalls!AE151&gt;=-Waterfalls!AE152),0,IF(Waterfalls!AE151&lt;=0,-Waterfalls!AE152,-Waterfalls!AE151-Waterfalls!AE152))</f>
        <v>0</v>
      </c>
      <c r="AF35" s="229">
        <f ca="1">IF((Waterfalls!AF151&gt;=-Waterfalls!AF152),0,IF(Waterfalls!AF151&lt;=0,-Waterfalls!AF152,-Waterfalls!AF151-Waterfalls!AF152))</f>
        <v>0</v>
      </c>
      <c r="AG35" s="229">
        <f ca="1">IF((Waterfalls!AG151&gt;=-Waterfalls!AG152),0,IF(Waterfalls!AG151&lt;=0,-Waterfalls!AG152,-Waterfalls!AG151-Waterfalls!AG152))</f>
        <v>0</v>
      </c>
      <c r="AH35" s="229">
        <f ca="1">IF((Waterfalls!AH151&gt;=-Waterfalls!AH152),0,IF(Waterfalls!AH151&lt;=0,-Waterfalls!AH152,-Waterfalls!AH151-Waterfalls!AH152))</f>
        <v>0</v>
      </c>
      <c r="AI35" s="229">
        <f ca="1">IF((Waterfalls!AI151&gt;=-Waterfalls!AI152),0,IF(Waterfalls!AI151&lt;=0,-Waterfalls!AI152,-Waterfalls!AI151-Waterfalls!AI152))</f>
        <v>0</v>
      </c>
      <c r="AJ35" s="229">
        <f ca="1">IF((Waterfalls!AJ151&gt;=-Waterfalls!AJ152),0,IF(Waterfalls!AJ151&lt;=0,-Waterfalls!AJ152,-Waterfalls!AJ151-Waterfalls!AJ152))</f>
        <v>0</v>
      </c>
      <c r="AK35" s="229">
        <f ca="1">IF((Waterfalls!AK151&gt;=-Waterfalls!AK152),0,IF(Waterfalls!AK151&lt;=0,-Waterfalls!AK152,-Waterfalls!AK151-Waterfalls!AK152))</f>
        <v>0</v>
      </c>
      <c r="AL35" s="229">
        <f ca="1">IF((Waterfalls!AL151&gt;=-Waterfalls!AL152),0,IF(Waterfalls!AL151&lt;=0,-Waterfalls!AL152,-Waterfalls!AL151-Waterfalls!AL152))</f>
        <v>0</v>
      </c>
      <c r="AM35" s="229">
        <f ca="1">IF((Waterfalls!AM151&gt;=-Waterfalls!AM152),0,IF(Waterfalls!AM151&lt;=0,-Waterfalls!AM152,-Waterfalls!AM151-Waterfalls!AM152))</f>
        <v>0</v>
      </c>
      <c r="AN35" s="229">
        <f ca="1">IF((Waterfalls!AN151&gt;=-Waterfalls!AN152),0,IF(Waterfalls!AN151&lt;=0,-Waterfalls!AN152,-Waterfalls!AN151-Waterfalls!AN152))</f>
        <v>0</v>
      </c>
      <c r="AO35" s="229">
        <f ca="1">IF((Waterfalls!AO151&gt;=-Waterfalls!AO152),0,IF(Waterfalls!AO151&lt;=0,-Waterfalls!AO152,-Waterfalls!AO151-Waterfalls!AO152))</f>
        <v>0</v>
      </c>
      <c r="AP35" s="229">
        <f ca="1">IF((Waterfalls!AP151&gt;=-Waterfalls!AP152),0,IF(Waterfalls!AP151&lt;=0,-Waterfalls!AP152,-Waterfalls!AP151-Waterfalls!AP152))</f>
        <v>0</v>
      </c>
      <c r="AQ35" s="229">
        <f ca="1">IF((Waterfalls!AQ151&gt;=-Waterfalls!AQ152),0,IF(Waterfalls!AQ151&lt;=0,-Waterfalls!AQ152,-Waterfalls!AQ151-Waterfalls!AQ152))</f>
        <v>0</v>
      </c>
      <c r="AR35" s="229">
        <f ca="1">IF((Waterfalls!AR151&gt;=-Waterfalls!AR152),0,IF(Waterfalls!AR151&lt;=0,-Waterfalls!AR152,-Waterfalls!AR151-Waterfalls!AR152))</f>
        <v>0</v>
      </c>
      <c r="AS35" s="229">
        <f ca="1">IF((Waterfalls!AS151&gt;=-Waterfalls!AS152),0,IF(Waterfalls!AS151&lt;=0,-Waterfalls!AS152,-Waterfalls!AS151-Waterfalls!AS152))</f>
        <v>0</v>
      </c>
      <c r="AT35" s="229">
        <f ca="1">IF((Waterfalls!AT151&gt;=-Waterfalls!AT152),0,IF(Waterfalls!AT151&lt;=0,-Waterfalls!AT152,-Waterfalls!AT151-Waterfalls!AT152))</f>
        <v>0</v>
      </c>
      <c r="AU35" s="229">
        <f ca="1">IF((Waterfalls!AU151&gt;=-Waterfalls!AU152),0,IF(Waterfalls!AU151&lt;=0,-Waterfalls!AU152,-Waterfalls!AU151-Waterfalls!AU152))</f>
        <v>0</v>
      </c>
      <c r="AV35" s="229">
        <f ca="1">IF((Waterfalls!AV151&gt;=-Waterfalls!AV152),0,IF(Waterfalls!AV151&lt;=0,-Waterfalls!AV152,-Waterfalls!AV151-Waterfalls!AV152))</f>
        <v>0</v>
      </c>
      <c r="AW35" s="229">
        <f ca="1">IF((Waterfalls!AW151&gt;=-Waterfalls!AW152),0,IF(Waterfalls!AW151&lt;=0,-Waterfalls!AW152,-Waterfalls!AW151-Waterfalls!AW152))</f>
        <v>0</v>
      </c>
      <c r="AX35" s="229">
        <f ca="1">IF((Waterfalls!AX151&gt;=-Waterfalls!AX152),0,IF(Waterfalls!AX151&lt;=0,-Waterfalls!AX152,-Waterfalls!AX151-Waterfalls!AX152))</f>
        <v>0</v>
      </c>
      <c r="AY35" s="229">
        <f ca="1">IF((Waterfalls!AY151&gt;=-Waterfalls!AY152),0,IF(Waterfalls!AY151&lt;=0,-Waterfalls!AY152,-Waterfalls!AY151-Waterfalls!AY152))</f>
        <v>0</v>
      </c>
      <c r="AZ35" s="229">
        <f ca="1">IF((Waterfalls!AZ151&gt;=-Waterfalls!AZ152),0,IF(Waterfalls!AZ151&lt;=0,-Waterfalls!AZ152,-Waterfalls!AZ151-Waterfalls!AZ152))</f>
        <v>0</v>
      </c>
      <c r="BA35" s="229">
        <f ca="1">IF((Waterfalls!BA151&gt;=-Waterfalls!BA152),0,IF(Waterfalls!BA151&lt;=0,-Waterfalls!BA152,-Waterfalls!BA151-Waterfalls!BA152))</f>
        <v>0</v>
      </c>
      <c r="BB35" s="229">
        <f ca="1">IF((Waterfalls!BB151&gt;=-Waterfalls!BB152),0,IF(Waterfalls!BB151&lt;=0,-Waterfalls!BB152,-Waterfalls!BB151-Waterfalls!BB152))</f>
        <v>0</v>
      </c>
      <c r="BC35" s="229">
        <f ca="1">IF((Waterfalls!BC151&gt;=-Waterfalls!BC152),0,IF(Waterfalls!BC151&lt;=0,-Waterfalls!BC152,-Waterfalls!BC151-Waterfalls!BC152))</f>
        <v>0</v>
      </c>
      <c r="BD35" s="229">
        <f ca="1">IF((Waterfalls!BD151&gt;=-Waterfalls!BD152),0,IF(Waterfalls!BD151&lt;=0,-Waterfalls!BD152,-Waterfalls!BD151-Waterfalls!BD152))</f>
        <v>0</v>
      </c>
      <c r="BE35" s="229">
        <f ca="1">IF((Waterfalls!BE151&gt;=-Waterfalls!BE152),0,IF(Waterfalls!BE151&lt;=0,-Waterfalls!BE152,-Waterfalls!BE151-Waterfalls!BE152))</f>
        <v>0</v>
      </c>
      <c r="BF35" s="229">
        <f ca="1">IF((Waterfalls!BF151&gt;=-Waterfalls!BF152),0,IF(Waterfalls!BF151&lt;=0,-Waterfalls!BF152,-Waterfalls!BF151-Waterfalls!BF152))</f>
        <v>0</v>
      </c>
      <c r="BG35" s="229">
        <f ca="1">IF((Waterfalls!BG151&gt;=-Waterfalls!BG152),0,IF(Waterfalls!BG151&lt;=0,-Waterfalls!BG152,-Waterfalls!BG151-Waterfalls!BG152))</f>
        <v>0</v>
      </c>
      <c r="BH35" s="229">
        <f ca="1">IF((Waterfalls!BH151&gt;=-Waterfalls!BH152),0,IF(Waterfalls!BH151&lt;=0,-Waterfalls!BH152,-Waterfalls!BH151-Waterfalls!BH152))</f>
        <v>0</v>
      </c>
      <c r="BI35" s="229">
        <f ca="1">IF((Waterfalls!BI151&gt;=-Waterfalls!BI152),0,IF(Waterfalls!BI151&lt;=0,-Waterfalls!BI152,-Waterfalls!BI151-Waterfalls!BI152))</f>
        <v>0</v>
      </c>
      <c r="BJ35" s="229">
        <f ca="1">IF((Waterfalls!BJ151&gt;=-Waterfalls!BJ152),0,IF(Waterfalls!BJ151&lt;=0,-Waterfalls!BJ152,-Waterfalls!BJ151-Waterfalls!BJ152))</f>
        <v>0</v>
      </c>
      <c r="BK35" s="229">
        <f ca="1">IF((Waterfalls!BK151&gt;=-Waterfalls!BK152),0,IF(Waterfalls!BK151&lt;=0,-Waterfalls!BK152,-Waterfalls!BK151-Waterfalls!BK152))</f>
        <v>0</v>
      </c>
      <c r="BL35" s="229">
        <f ca="1">IF((Waterfalls!BL151&gt;=-Waterfalls!BL152),0,IF(Waterfalls!BL151&lt;=0,-Waterfalls!BL152,-Waterfalls!BL151-Waterfalls!BL152))</f>
        <v>0</v>
      </c>
      <c r="BM35" s="229">
        <f ca="1">IF((Waterfalls!BM151&gt;=-Waterfalls!BM152),0,IF(Waterfalls!BM151&lt;=0,-Waterfalls!BM152,-Waterfalls!BM151-Waterfalls!BM152))</f>
        <v>0</v>
      </c>
      <c r="BN35" s="229">
        <f ca="1">IF((Waterfalls!BN151&gt;=-Waterfalls!BN152),0,IF(Waterfalls!BN151&lt;=0,-Waterfalls!BN152,-Waterfalls!BN151-Waterfalls!BN152))</f>
        <v>0</v>
      </c>
      <c r="BO35" s="229">
        <f ca="1">IF((Waterfalls!BO151&gt;=-Waterfalls!BO152),0,IF(Waterfalls!BO151&lt;=0,-Waterfalls!BO152,-Waterfalls!BO151-Waterfalls!BO152))</f>
        <v>0</v>
      </c>
      <c r="BP35" s="229">
        <f ca="1">IF((Waterfalls!BP151&gt;=-Waterfalls!BP152),0,IF(Waterfalls!BP151&lt;=0,-Waterfalls!BP152,-Waterfalls!BP151-Waterfalls!BP152))</f>
        <v>0</v>
      </c>
      <c r="BQ35" s="229">
        <f ca="1">IF((Waterfalls!BQ151&gt;=-Waterfalls!BQ152),0,IF(Waterfalls!BQ151&lt;=0,-Waterfalls!BQ152,-Waterfalls!BQ151-Waterfalls!BQ152))</f>
        <v>0</v>
      </c>
      <c r="BR35" s="229">
        <f ca="1">IF((Waterfalls!BR151&gt;=-Waterfalls!BR152),0,IF(Waterfalls!BR151&lt;=0,-Waterfalls!BR152,-Waterfalls!BR151-Waterfalls!BR152))</f>
        <v>0</v>
      </c>
      <c r="BS35" s="229">
        <f ca="1">IF((Waterfalls!BS151&gt;=-Waterfalls!BS152),0,IF(Waterfalls!BS151&lt;=0,-Waterfalls!BS152,-Waterfalls!BS151-Waterfalls!BS152))</f>
        <v>0</v>
      </c>
      <c r="BT35" s="229">
        <f ca="1">IF((Waterfalls!BT151&gt;=-Waterfalls!BT152),0,IF(Waterfalls!BT151&lt;=0,-Waterfalls!BT152,-Waterfalls!BT151-Waterfalls!BT152))</f>
        <v>0</v>
      </c>
      <c r="BU35" s="229">
        <f ca="1">IF((Waterfalls!BU151&gt;=-Waterfalls!BU152),0,IF(Waterfalls!BU151&lt;=0,-Waterfalls!BU152,-Waterfalls!BU151-Waterfalls!BU152))</f>
        <v>0</v>
      </c>
      <c r="BV35" s="229">
        <f ca="1">IF((Waterfalls!BV151&gt;=-Waterfalls!BV152),0,IF(Waterfalls!BV151&lt;=0,-Waterfalls!BV152,-Waterfalls!BV151-Waterfalls!BV152))</f>
        <v>0</v>
      </c>
      <c r="BW35" s="229">
        <f ca="1">IF((Waterfalls!BW151&gt;=-Waterfalls!BW152),0,IF(Waterfalls!BW151&lt;=0,-Waterfalls!BW152,-Waterfalls!BW151-Waterfalls!BW152))</f>
        <v>0</v>
      </c>
      <c r="BX35" s="229">
        <f ca="1">IF((Waterfalls!BX151&gt;=-Waterfalls!BX152),0,IF(Waterfalls!BX151&lt;=0,-Waterfalls!BX152,-Waterfalls!BX151-Waterfalls!BX152))</f>
        <v>0</v>
      </c>
      <c r="BY35" s="229">
        <f ca="1">IF((Waterfalls!BY151&gt;=-Waterfalls!BY152),0,IF(Waterfalls!BY151&lt;=0,-Waterfalls!BY152,-Waterfalls!BY151-Waterfalls!BY152))</f>
        <v>0</v>
      </c>
      <c r="BZ35" s="229">
        <f ca="1">IF((Waterfalls!BZ151&gt;=-Waterfalls!BZ152),0,IF(Waterfalls!BZ151&lt;=0,-Waterfalls!BZ152,-Waterfalls!BZ151-Waterfalls!BZ152))</f>
        <v>0</v>
      </c>
      <c r="CA35" s="229">
        <f ca="1">IF((Waterfalls!CA151&gt;=-Waterfalls!CA152),0,IF(Waterfalls!CA151&lt;=0,-Waterfalls!CA152,-Waterfalls!CA151-Waterfalls!CA152))</f>
        <v>0</v>
      </c>
      <c r="CB35" s="229">
        <f ca="1">IF((Waterfalls!CB151&gt;=-Waterfalls!CB152),0,IF(Waterfalls!CB151&lt;=0,-Waterfalls!CB152,-Waterfalls!CB151-Waterfalls!CB152))</f>
        <v>0</v>
      </c>
      <c r="CC35" s="229">
        <f ca="1">IF((Waterfalls!CC151&gt;=-Waterfalls!CC152),0,IF(Waterfalls!CC151&lt;=0,-Waterfalls!CC152,-Waterfalls!CC151-Waterfalls!CC152))</f>
        <v>0</v>
      </c>
      <c r="CD35" s="229">
        <f ca="1">IF((Waterfalls!CD151&gt;=-Waterfalls!CD152),0,IF(Waterfalls!CD151&lt;=0,-Waterfalls!CD152,-Waterfalls!CD151-Waterfalls!CD152))</f>
        <v>0</v>
      </c>
      <c r="CE35" s="229">
        <f ca="1">IF((Waterfalls!CE151&gt;=-Waterfalls!CE152),0,IF(Waterfalls!CE151&lt;=0,-Waterfalls!CE152,-Waterfalls!CE151-Waterfalls!CE152))</f>
        <v>0</v>
      </c>
      <c r="CF35" s="229">
        <f ca="1">IF((Waterfalls!CF151&gt;=-Waterfalls!CF152),0,IF(Waterfalls!CF151&lt;=0,-Waterfalls!CF152,-Waterfalls!CF151-Waterfalls!CF152))</f>
        <v>0</v>
      </c>
      <c r="CG35" s="229">
        <f ca="1">IF((Waterfalls!CG151&gt;=-Waterfalls!CG152),0,IF(Waterfalls!CG151&lt;=0,-Waterfalls!CG152,-Waterfalls!CG151-Waterfalls!CG152))</f>
        <v>0</v>
      </c>
      <c r="CH35" s="229">
        <f ca="1">IF((Waterfalls!CH151&gt;=-Waterfalls!CH152),0,IF(Waterfalls!CH151&lt;=0,-Waterfalls!CH152,-Waterfalls!CH151-Waterfalls!CH152))</f>
        <v>0</v>
      </c>
      <c r="CI35" s="229">
        <f ca="1">IF((Waterfalls!CI151&gt;=-Waterfalls!CI152),0,IF(Waterfalls!CI151&lt;=0,-Waterfalls!CI152,-Waterfalls!CI151-Waterfalls!CI152))</f>
        <v>0</v>
      </c>
      <c r="CJ35" s="229">
        <f ca="1">IF((Waterfalls!CJ151&gt;=-Waterfalls!CJ152),0,IF(Waterfalls!CJ151&lt;=0,-Waterfalls!CJ152,-Waterfalls!CJ151-Waterfalls!CJ152))</f>
        <v>0</v>
      </c>
      <c r="CK35" s="229">
        <f ca="1">IF((Waterfalls!CK151&gt;=-Waterfalls!CK152),0,IF(Waterfalls!CK151&lt;=0,-Waterfalls!CK152,-Waterfalls!CK151-Waterfalls!CK152))</f>
        <v>0</v>
      </c>
      <c r="CL35" s="229">
        <f ca="1">IF((Waterfalls!CL151&gt;=-Waterfalls!CL152),0,IF(Waterfalls!CL151&lt;=0,-Waterfalls!CL152,-Waterfalls!CL151-Waterfalls!CL152))</f>
        <v>0</v>
      </c>
      <c r="CM35" s="229">
        <f ca="1">IF((Waterfalls!CM151&gt;=-Waterfalls!CM152),0,IF(Waterfalls!CM151&lt;=0,-Waterfalls!CM152,-Waterfalls!CM151-Waterfalls!CM152))</f>
        <v>0</v>
      </c>
      <c r="CN35" s="229">
        <f ca="1">IF((Waterfalls!CN151&gt;=-Waterfalls!CN152),0,IF(Waterfalls!CN151&lt;=0,-Waterfalls!CN152,-Waterfalls!CN151-Waterfalls!CN152))</f>
        <v>0</v>
      </c>
      <c r="CO35" s="229">
        <f ca="1">IF((Waterfalls!CO151&gt;=-Waterfalls!CO152),0,IF(Waterfalls!CO151&lt;=0,-Waterfalls!CO152,-Waterfalls!CO151-Waterfalls!CO152))</f>
        <v>0</v>
      </c>
      <c r="CP35" s="229">
        <f ca="1">IF((Waterfalls!CP151&gt;=-Waterfalls!CP152),0,IF(Waterfalls!CP151&lt;=0,-Waterfalls!CP152,-Waterfalls!CP151-Waterfalls!CP152))</f>
        <v>0</v>
      </c>
      <c r="CQ35" s="229">
        <f ca="1">IF((Waterfalls!CQ151&gt;=-Waterfalls!CQ152),0,IF(Waterfalls!CQ151&lt;=0,-Waterfalls!CQ152,-Waterfalls!CQ151-Waterfalls!CQ152))</f>
        <v>0</v>
      </c>
      <c r="CR35" s="229">
        <f ca="1">IF((Waterfalls!CR151&gt;=-Waterfalls!CR152),0,IF(Waterfalls!CR151&lt;=0,-Waterfalls!CR152,-Waterfalls!CR151-Waterfalls!CR152))</f>
        <v>0</v>
      </c>
      <c r="CS35" s="229">
        <f ca="1">IF((Waterfalls!CS151&gt;=-Waterfalls!CS152),0,IF(Waterfalls!CS151&lt;=0,-Waterfalls!CS152,-Waterfalls!CS151-Waterfalls!CS152))</f>
        <v>0</v>
      </c>
      <c r="CT35" s="229">
        <f ca="1">IF((Waterfalls!CT151&gt;=-Waterfalls!CT152),0,IF(Waterfalls!CT151&lt;=0,-Waterfalls!CT152,-Waterfalls!CT151-Waterfalls!CT152))</f>
        <v>0</v>
      </c>
      <c r="CU35" s="229">
        <f ca="1">IF((Waterfalls!CU151&gt;=-Waterfalls!CU152),0,IF(Waterfalls!CU151&lt;=0,-Waterfalls!CU152,-Waterfalls!CU151-Waterfalls!CU152))</f>
        <v>0</v>
      </c>
      <c r="CV35" s="229">
        <f ca="1">IF((Waterfalls!CV151&gt;=-Waterfalls!CV152),0,IF(Waterfalls!CV151&lt;=0,-Waterfalls!CV152,-Waterfalls!CV151-Waterfalls!CV152))</f>
        <v>0</v>
      </c>
      <c r="CW35" s="229">
        <f ca="1">IF((Waterfalls!CW151&gt;=-Waterfalls!CW152),0,IF(Waterfalls!CW151&lt;=0,-Waterfalls!CW152,-Waterfalls!CW151-Waterfalls!CW152))</f>
        <v>0</v>
      </c>
      <c r="CX35" s="229">
        <f ca="1">IF((Waterfalls!CX151&gt;=-Waterfalls!CX152),0,IF(Waterfalls!CX151&lt;=0,-Waterfalls!CX152,-Waterfalls!CX151-Waterfalls!CX152))</f>
        <v>0</v>
      </c>
      <c r="CY35" s="229">
        <f ca="1">IF((Waterfalls!CY151&gt;=-Waterfalls!CY152),0,IF(Waterfalls!CY151&lt;=0,-Waterfalls!CY152,-Waterfalls!CY151-Waterfalls!CY152))</f>
        <v>0</v>
      </c>
      <c r="CZ35" s="229">
        <f ca="1">IF((Waterfalls!CZ151&gt;=-Waterfalls!CZ152),0,IF(Waterfalls!CZ151&lt;=0,-Waterfalls!CZ152,-Waterfalls!CZ151-Waterfalls!CZ152))</f>
        <v>0</v>
      </c>
      <c r="DA35" s="229">
        <f ca="1">IF((Waterfalls!DA151&gt;=-Waterfalls!DA152),0,IF(Waterfalls!DA151&lt;=0,-Waterfalls!DA152,-Waterfalls!DA151-Waterfalls!DA152))</f>
        <v>0</v>
      </c>
      <c r="DB35" s="229">
        <f ca="1">IF((Waterfalls!DB151&gt;=-Waterfalls!DB152),0,IF(Waterfalls!DB151&lt;=0,-Waterfalls!DB152,-Waterfalls!DB151-Waterfalls!DB152))</f>
        <v>0</v>
      </c>
      <c r="DC35" s="229">
        <f ca="1">IF((Waterfalls!DC151&gt;=-Waterfalls!DC152),0,IF(Waterfalls!DC151&lt;=0,-Waterfalls!DC152,-Waterfalls!DC151-Waterfalls!DC152))</f>
        <v>0</v>
      </c>
      <c r="DD35" s="229">
        <f ca="1">IF((Waterfalls!DD151&gt;=-Waterfalls!DD152),0,IF(Waterfalls!DD151&lt;=0,-Waterfalls!DD152,-Waterfalls!DD151-Waterfalls!DD152))</f>
        <v>0</v>
      </c>
      <c r="DE35" s="229">
        <f ca="1">IF((Waterfalls!DE151&gt;=-Waterfalls!DE152),0,IF(Waterfalls!DE151&lt;=0,-Waterfalls!DE152,-Waterfalls!DE151-Waterfalls!DE152))</f>
        <v>0</v>
      </c>
      <c r="DF35" s="229">
        <f ca="1">IF((Waterfalls!DF151&gt;=-Waterfalls!DF152),0,IF(Waterfalls!DF151&lt;=0,-Waterfalls!DF152,-Waterfalls!DF151-Waterfalls!DF152))</f>
        <v>0</v>
      </c>
      <c r="DG35" s="229">
        <f ca="1">IF((Waterfalls!DG151&gt;=-Waterfalls!DG152),0,IF(Waterfalls!DG151&lt;=0,-Waterfalls!DG152,-Waterfalls!DG151-Waterfalls!DG152))</f>
        <v>0</v>
      </c>
      <c r="DH35" s="229">
        <f ca="1">IF((Waterfalls!DH151&gt;=-Waterfalls!DH152),0,IF(Waterfalls!DH151&lt;=0,-Waterfalls!DH152,-Waterfalls!DH151-Waterfalls!DH152))</f>
        <v>0</v>
      </c>
      <c r="DI35" s="229">
        <f ca="1">IF((Waterfalls!DI151&gt;=-Waterfalls!DI152),0,IF(Waterfalls!DI151&lt;=0,-Waterfalls!DI152,-Waterfalls!DI151-Waterfalls!DI152))</f>
        <v>0</v>
      </c>
      <c r="DJ35" s="229">
        <f ca="1">IF((Waterfalls!DJ151&gt;=-Waterfalls!DJ152),0,IF(Waterfalls!DJ151&lt;=0,-Waterfalls!DJ152,-Waterfalls!DJ151-Waterfalls!DJ152))</f>
        <v>0</v>
      </c>
      <c r="DK35" s="229">
        <f ca="1">IF((Waterfalls!DK151&gt;=-Waterfalls!DK152),0,IF(Waterfalls!DK151&lt;=0,-Waterfalls!DK152,-Waterfalls!DK151-Waterfalls!DK152))</f>
        <v>0</v>
      </c>
      <c r="DL35" s="229">
        <f ca="1">IF((Waterfalls!DL151&gt;=-Waterfalls!DL152),0,IF(Waterfalls!DL151&lt;=0,-Waterfalls!DL152,-Waterfalls!DL151-Waterfalls!DL152))</f>
        <v>0</v>
      </c>
      <c r="DM35" s="229">
        <f ca="1">IF((Waterfalls!DM151&gt;=-Waterfalls!DM152),0,IF(Waterfalls!DM151&lt;=0,-Waterfalls!DM152,-Waterfalls!DM151-Waterfalls!DM152))</f>
        <v>0</v>
      </c>
      <c r="DN35" s="229">
        <f ca="1">IF((Waterfalls!DN151&gt;=-Waterfalls!DN152),0,IF(Waterfalls!DN151&lt;=0,-Waterfalls!DN152,-Waterfalls!DN151-Waterfalls!DN152))</f>
        <v>0</v>
      </c>
      <c r="DO35" s="229">
        <f ca="1">IF((Waterfalls!DO151&gt;=-Waterfalls!DO152),0,IF(Waterfalls!DO151&lt;=0,-Waterfalls!DO152,-Waterfalls!DO151-Waterfalls!DO152))</f>
        <v>0</v>
      </c>
      <c r="DP35" s="229">
        <f ca="1">IF((Waterfalls!DP151&gt;=-Waterfalls!DP152),0,IF(Waterfalls!DP151&lt;=0,-Waterfalls!DP152,-Waterfalls!DP151-Waterfalls!DP152))</f>
        <v>0</v>
      </c>
      <c r="DQ35" s="229">
        <f ca="1">IF((Waterfalls!DQ151&gt;=-Waterfalls!DQ152),0,IF(Waterfalls!DQ151&lt;=0,-Waterfalls!DQ152,-Waterfalls!DQ151-Waterfalls!DQ152))</f>
        <v>0</v>
      </c>
      <c r="DR35" s="229">
        <f ca="1">IF((Waterfalls!DR151&gt;=-Waterfalls!DR152),0,IF(Waterfalls!DR151&lt;=0,-Waterfalls!DR152,-Waterfalls!DR151-Waterfalls!DR152))</f>
        <v>0</v>
      </c>
      <c r="DS35" s="229">
        <f ca="1">IF((Waterfalls!DS151&gt;=-Waterfalls!DS152),0,IF(Waterfalls!DS151&lt;=0,-Waterfalls!DS152,-Waterfalls!DS151-Waterfalls!DS152))</f>
        <v>0</v>
      </c>
      <c r="DT35" s="229">
        <f ca="1">IF((Waterfalls!DT151&gt;=-Waterfalls!DT152),0,IF(Waterfalls!DT151&lt;=0,-Waterfalls!DT152,-Waterfalls!DT151-Waterfalls!DT152))</f>
        <v>0</v>
      </c>
      <c r="DU35" s="229">
        <f ca="1">IF((Waterfalls!DU151&gt;=-Waterfalls!DU152),0,IF(Waterfalls!DU151&lt;=0,-Waterfalls!DU152,-Waterfalls!DU151-Waterfalls!DU152))</f>
        <v>0</v>
      </c>
      <c r="DV35" s="229">
        <f ca="1">IF((Waterfalls!DV151&gt;=-Waterfalls!DV152),0,IF(Waterfalls!DV151&lt;=0,-Waterfalls!DV152,-Waterfalls!DV151-Waterfalls!DV152))</f>
        <v>0</v>
      </c>
      <c r="DW35" s="229">
        <f ca="1">IF((Waterfalls!DW151&gt;=-Waterfalls!DW152),0,IF(Waterfalls!DW151&lt;=0,-Waterfalls!DW152,-Waterfalls!DW151-Waterfalls!DW152))</f>
        <v>0</v>
      </c>
      <c r="DX35" s="229">
        <f ca="1">IF((Waterfalls!DX151&gt;=-Waterfalls!DX152),0,IF(Waterfalls!DX151&lt;=0,-Waterfalls!DX152,-Waterfalls!DX151-Waterfalls!DX152))</f>
        <v>0</v>
      </c>
      <c r="DY35" s="229">
        <f ca="1">IF((Waterfalls!DY151&gt;=-Waterfalls!DY152),0,IF(Waterfalls!DY151&lt;=0,-Waterfalls!DY152,-Waterfalls!DY151-Waterfalls!DY152))</f>
        <v>0</v>
      </c>
      <c r="DZ35" s="229">
        <f ca="1">IF((Waterfalls!DZ151&gt;=-Waterfalls!DZ152),0,IF(Waterfalls!DZ151&lt;=0,-Waterfalls!DZ152,-Waterfalls!DZ151-Waterfalls!DZ152))</f>
        <v>0</v>
      </c>
      <c r="EA35" s="229">
        <f ca="1">IF((Waterfalls!EA151&gt;=-Waterfalls!EA152),0,IF(Waterfalls!EA151&lt;=0,-Waterfalls!EA152,-Waterfalls!EA151-Waterfalls!EA152))</f>
        <v>0</v>
      </c>
      <c r="EB35" s="229">
        <f ca="1">IF((Waterfalls!EB151&gt;=-Waterfalls!EB152),0,IF(Waterfalls!EB151&lt;=0,-Waterfalls!EB152,-Waterfalls!EB151-Waterfalls!EB152))</f>
        <v>0</v>
      </c>
      <c r="EC35" s="229">
        <f ca="1">IF((Waterfalls!EC151&gt;=-Waterfalls!EC152),0,IF(Waterfalls!EC151&lt;=0,-Waterfalls!EC152,-Waterfalls!EC151-Waterfalls!EC152))</f>
        <v>0</v>
      </c>
      <c r="ED35" s="229">
        <f ca="1">IF((Waterfalls!ED151&gt;=-Waterfalls!ED152),0,IF(Waterfalls!ED151&lt;=0,-Waterfalls!ED152,-Waterfalls!ED151-Waterfalls!ED152))</f>
        <v>0</v>
      </c>
      <c r="EE35" s="229">
        <f ca="1">IF((Waterfalls!EE151&gt;=-Waterfalls!EE152),0,IF(Waterfalls!EE151&lt;=0,-Waterfalls!EE152,-Waterfalls!EE151-Waterfalls!EE152))</f>
        <v>0</v>
      </c>
      <c r="EF35" s="229">
        <f ca="1">IF((Waterfalls!EF151&gt;=-Waterfalls!EF152),0,IF(Waterfalls!EF151&lt;=0,-Waterfalls!EF152,-Waterfalls!EF151-Waterfalls!EF152))</f>
        <v>0</v>
      </c>
      <c r="EG35" s="229">
        <f ca="1">IF((Waterfalls!EG151&gt;=-Waterfalls!EG152),0,IF(Waterfalls!EG151&lt;=0,-Waterfalls!EG152,-Waterfalls!EG151-Waterfalls!EG152))</f>
        <v>0</v>
      </c>
      <c r="EH35" s="229">
        <f ca="1">IF(Macros!$B$3=2,1,SUBTOTAL(9,E35:EG35))</f>
        <v>1086262.1410115552</v>
      </c>
      <c r="EI35" s="227"/>
    </row>
    <row r="36" spans="1:139" x14ac:dyDescent="0.3">
      <c r="A36" s="413" t="s">
        <v>674</v>
      </c>
      <c r="B36" s="413"/>
      <c r="C36" s="413"/>
      <c r="E36" s="229">
        <f ca="1">IF(E6=0,'Development Inputs'!$E$101+'Development Inputs'!$E$109,0)+IF(E$6='General Inputs'!$G$20,'General Inputs'!$H$20*'General Inputs'!$H$8,0)+IF(E$6='General Inputs'!$G$21,'General Inputs'!$H$21*'General Inputs'!$H$8,0)+IF(AND(E6&gt;='General Inputs'!$D$30,E6&lt;=MonthFinalUnits),'Development Inputs'!$D$111,0)</f>
        <v>821583.45041148621</v>
      </c>
      <c r="F36" s="229">
        <f>IF(F6=0,'Development Inputs'!$E$101+'Development Inputs'!$E$109,0)+IF(F$6='General Inputs'!$G$20,'General Inputs'!$H$20*'General Inputs'!$H$8,0)+IF(F$6='General Inputs'!$G$21,'General Inputs'!$H$21*'General Inputs'!$H$8,0)+IF(AND(F6&gt;='General Inputs'!$D$30,F6&lt;=MonthFinalUnits),'Development Inputs'!$D$111,0)</f>
        <v>3000</v>
      </c>
      <c r="G36" s="229">
        <f>IF(G6=0,'Development Inputs'!$E$101+'Development Inputs'!$E$109,0)+IF(G$6='General Inputs'!$G$20,'General Inputs'!$H$20*'General Inputs'!$H$8,0)+IF(G$6='General Inputs'!$G$21,'General Inputs'!$H$21*'General Inputs'!$H$8,0)+IF(AND(G6&gt;='General Inputs'!$D$30,G6&lt;=MonthFinalUnits),'Development Inputs'!$D$111,0)</f>
        <v>3000</v>
      </c>
      <c r="H36" s="229">
        <f>IF(H6=0,'Development Inputs'!$E$101+'Development Inputs'!$E$109,0)+IF(H$6='General Inputs'!$G$20,'General Inputs'!$H$20*'General Inputs'!$H$8,0)+IF(H$6='General Inputs'!$G$21,'General Inputs'!$H$21*'General Inputs'!$H$8,0)+IF(AND(H6&gt;='General Inputs'!$D$30,H6&lt;=MonthFinalUnits),'Development Inputs'!$D$111,0)</f>
        <v>3000</v>
      </c>
      <c r="I36" s="229">
        <f>IF(I6=0,'Development Inputs'!$E$101+'Development Inputs'!$E$109,0)+IF(I$6='General Inputs'!$G$20,'General Inputs'!$H$20*'General Inputs'!$H$8,0)+IF(I$6='General Inputs'!$G$21,'General Inputs'!$H$21*'General Inputs'!$H$8,0)+IF(AND(I6&gt;='General Inputs'!$D$30,I6&lt;=MonthFinalUnits),'Development Inputs'!$D$111,0)</f>
        <v>3000</v>
      </c>
      <c r="J36" s="229">
        <f>IF(J6=0,'Development Inputs'!$E$101+'Development Inputs'!$E$109,0)+IF(J$6='General Inputs'!$G$20,'General Inputs'!$H$20*'General Inputs'!$H$8,0)+IF(J$6='General Inputs'!$G$21,'General Inputs'!$H$21*'General Inputs'!$H$8,0)+IF(AND(J6&gt;='General Inputs'!$D$30,J6&lt;=MonthFinalUnits),'Development Inputs'!$D$111,0)</f>
        <v>3000</v>
      </c>
      <c r="K36" s="229">
        <f>IF(K6=0,'Development Inputs'!$E$101+'Development Inputs'!$E$109,0)+IF(K$6='General Inputs'!$G$20,'General Inputs'!$H$20*'General Inputs'!$H$8,0)+IF(K$6='General Inputs'!$G$21,'General Inputs'!$H$21*'General Inputs'!$H$8,0)+IF(AND(K6&gt;='General Inputs'!$D$30,K6&lt;=MonthFinalUnits),'Development Inputs'!$D$111,0)</f>
        <v>3000</v>
      </c>
      <c r="L36" s="229">
        <f>IF(L6=0,'Development Inputs'!$E$101+'Development Inputs'!$E$109,0)+IF(L$6='General Inputs'!$G$20,'General Inputs'!$H$20*'General Inputs'!$H$8,0)+IF(L$6='General Inputs'!$G$21,'General Inputs'!$H$21*'General Inputs'!$H$8,0)+IF(AND(L6&gt;='General Inputs'!$D$30,L6&lt;=MonthFinalUnits),'Development Inputs'!$D$111,0)</f>
        <v>3000</v>
      </c>
      <c r="M36" s="229">
        <f>IF(M6=0,'Development Inputs'!$E$101+'Development Inputs'!$E$109,0)+IF(M$6='General Inputs'!$G$20,'General Inputs'!$H$20*'General Inputs'!$H$8,0)+IF(M$6='General Inputs'!$G$21,'General Inputs'!$H$21*'General Inputs'!$H$8,0)+IF(AND(M6&gt;='General Inputs'!$D$30,M6&lt;=MonthFinalUnits),'Development Inputs'!$D$111,0)</f>
        <v>3000</v>
      </c>
      <c r="N36" s="229">
        <f>IF(N6=0,'Development Inputs'!$E$101+'Development Inputs'!$E$109,0)+IF(N$6='General Inputs'!$G$20,'General Inputs'!$H$20*'General Inputs'!$H$8,0)+IF(N$6='General Inputs'!$G$21,'General Inputs'!$H$21*'General Inputs'!$H$8,0)+IF(AND(N6&gt;='General Inputs'!$D$30,N6&lt;=MonthFinalUnits),'Development Inputs'!$D$111,0)</f>
        <v>3000</v>
      </c>
      <c r="O36" s="229">
        <f>IF(O6=0,'Development Inputs'!$E$101+'Development Inputs'!$E$109,0)+IF(O$6='General Inputs'!$G$20,'General Inputs'!$H$20*'General Inputs'!$H$8,0)+IF(O$6='General Inputs'!$G$21,'General Inputs'!$H$21*'General Inputs'!$H$8,0)+IF(AND(O6&gt;='General Inputs'!$D$30,O6&lt;=MonthFinalUnits),'Development Inputs'!$D$111,0)</f>
        <v>3000</v>
      </c>
      <c r="P36" s="229">
        <f>IF(P6=0,'Development Inputs'!$E$101+'Development Inputs'!$E$109,0)+IF(P$6='General Inputs'!$G$20,'General Inputs'!$H$20*'General Inputs'!$H$8,0)+IF(P$6='General Inputs'!$G$21,'General Inputs'!$H$21*'General Inputs'!$H$8,0)+IF(AND(P6&gt;='General Inputs'!$D$30,P6&lt;=MonthFinalUnits),'Development Inputs'!$D$111,0)</f>
        <v>3000</v>
      </c>
      <c r="Q36" s="229">
        <f>IF(Q6=0,'Development Inputs'!$E$101+'Development Inputs'!$E$109,0)+IF(Q$6='General Inputs'!$G$20,'General Inputs'!$H$20*'General Inputs'!$H$8,0)+IF(Q$6='General Inputs'!$G$21,'General Inputs'!$H$21*'General Inputs'!$H$8,0)+IF(AND(Q6&gt;='General Inputs'!$D$30,Q6&lt;=MonthFinalUnits),'Development Inputs'!$D$111,0)</f>
        <v>3000</v>
      </c>
      <c r="R36" s="229">
        <f>IF(R6=0,'Development Inputs'!$E$101+'Development Inputs'!$E$109,0)+IF(R$6='General Inputs'!$G$20,'General Inputs'!$H$20*'General Inputs'!$H$8,0)+IF(R$6='General Inputs'!$G$21,'General Inputs'!$H$21*'General Inputs'!$H$8,0)+IF(AND(R6&gt;='General Inputs'!$D$30,R6&lt;=MonthFinalUnits),'Development Inputs'!$D$111,0)</f>
        <v>3000</v>
      </c>
      <c r="S36" s="229">
        <f>IF(S6=0,'Development Inputs'!$E$101+'Development Inputs'!$E$109,0)+IF(S$6='General Inputs'!$G$20,'General Inputs'!$H$20*'General Inputs'!$H$8,0)+IF(S$6='General Inputs'!$G$21,'General Inputs'!$H$21*'General Inputs'!$H$8,0)+IF(AND(S6&gt;='General Inputs'!$D$30,S6&lt;=MonthFinalUnits),'Development Inputs'!$D$111,0)</f>
        <v>3000</v>
      </c>
      <c r="T36" s="229">
        <f>IF(T6=0,'Development Inputs'!$E$101+'Development Inputs'!$E$109,0)+IF(T$6='General Inputs'!$G$20,'General Inputs'!$H$20*'General Inputs'!$H$8,0)+IF(T$6='General Inputs'!$G$21,'General Inputs'!$H$21*'General Inputs'!$H$8,0)+IF(AND(T6&gt;='General Inputs'!$D$30,T6&lt;=MonthFinalUnits),'Development Inputs'!$D$111,0)</f>
        <v>3000</v>
      </c>
      <c r="U36" s="229">
        <f>IF(U6=0,'Development Inputs'!$E$101+'Development Inputs'!$E$109,0)+IF(U$6='General Inputs'!$G$20,'General Inputs'!$H$20*'General Inputs'!$H$8,0)+IF(U$6='General Inputs'!$G$21,'General Inputs'!$H$21*'General Inputs'!$H$8,0)+IF(AND(U6&gt;='General Inputs'!$D$30,U6&lt;=MonthFinalUnits),'Development Inputs'!$D$111,0)</f>
        <v>3000</v>
      </c>
      <c r="V36" s="229">
        <f>IF(V6=0,'Development Inputs'!$E$101+'Development Inputs'!$E$109,0)+IF(V$6='General Inputs'!$G$20,'General Inputs'!$H$20*'General Inputs'!$H$8,0)+IF(V$6='General Inputs'!$G$21,'General Inputs'!$H$21*'General Inputs'!$H$8,0)+IF(AND(V6&gt;='General Inputs'!$D$30,V6&lt;=MonthFinalUnits),'Development Inputs'!$D$111,0)</f>
        <v>3000</v>
      </c>
      <c r="W36" s="229">
        <f>IF(W6=0,'Development Inputs'!$E$101+'Development Inputs'!$E$109,0)+IF(W$6='General Inputs'!$G$20,'General Inputs'!$H$20*'General Inputs'!$H$8,0)+IF(W$6='General Inputs'!$G$21,'General Inputs'!$H$21*'General Inputs'!$H$8,0)+IF(AND(W6&gt;='General Inputs'!$D$30,W6&lt;=MonthFinalUnits),'Development Inputs'!$D$111,0)</f>
        <v>3000</v>
      </c>
      <c r="X36" s="229">
        <f>IF(X6=0,'Development Inputs'!$E$101+'Development Inputs'!$E$109,0)+IF(X$6='General Inputs'!$G$20,'General Inputs'!$H$20*'General Inputs'!$H$8,0)+IF(X$6='General Inputs'!$G$21,'General Inputs'!$H$21*'General Inputs'!$H$8,0)+IF(AND(X6&gt;='General Inputs'!$D$30,X6&lt;=MonthFinalUnits),'Development Inputs'!$D$111,0)</f>
        <v>3000</v>
      </c>
      <c r="Y36" s="229">
        <f>IF(Y6=0,'Development Inputs'!$E$101+'Development Inputs'!$E$109,0)+IF(Y$6='General Inputs'!$G$20,'General Inputs'!$H$20*'General Inputs'!$H$8,0)+IF(Y$6='General Inputs'!$G$21,'General Inputs'!$H$21*'General Inputs'!$H$8,0)+IF(AND(Y6&gt;='General Inputs'!$D$30,Y6&lt;=MonthFinalUnits),'Development Inputs'!$D$111,0)</f>
        <v>3000</v>
      </c>
      <c r="Z36" s="229">
        <f>IF(Z6=0,'Development Inputs'!$E$101+'Development Inputs'!$E$109,0)+IF(Z$6='General Inputs'!$G$20,'General Inputs'!$H$20*'General Inputs'!$H$8,0)+IF(Z$6='General Inputs'!$G$21,'General Inputs'!$H$21*'General Inputs'!$H$8,0)+IF(AND(Z6&gt;='General Inputs'!$D$30,Z6&lt;=MonthFinalUnits),'Development Inputs'!$D$111,0)</f>
        <v>3000</v>
      </c>
      <c r="AA36" s="229">
        <f>IF(AA6=0,'Development Inputs'!$E$101+'Development Inputs'!$E$109,0)+IF(AA$6='General Inputs'!$G$20,'General Inputs'!$H$20*'General Inputs'!$H$8,0)+IF(AA$6='General Inputs'!$G$21,'General Inputs'!$H$21*'General Inputs'!$H$8,0)+IF(AND(AA6&gt;='General Inputs'!$D$30,AA6&lt;=MonthFinalUnits),'Development Inputs'!$D$111,0)</f>
        <v>3000</v>
      </c>
      <c r="AB36" s="229">
        <f>IF(AB6=0,'Development Inputs'!$E$101+'Development Inputs'!$E$109,0)+IF(AB$6='General Inputs'!$G$20,'General Inputs'!$H$20*'General Inputs'!$H$8,0)+IF(AB$6='General Inputs'!$G$21,'General Inputs'!$H$21*'General Inputs'!$H$8,0)+IF(AND(AB6&gt;='General Inputs'!$D$30,AB6&lt;=MonthFinalUnits),'Development Inputs'!$D$111,0)</f>
        <v>3000</v>
      </c>
      <c r="AC36" s="229">
        <f>IF(AC6=0,'Development Inputs'!$E$101+'Development Inputs'!$E$109,0)+IF(AC$6='General Inputs'!$G$20,'General Inputs'!$H$20*'General Inputs'!$H$8,0)+IF(AC$6='General Inputs'!$G$21,'General Inputs'!$H$21*'General Inputs'!$H$8,0)+IF(AND(AC6&gt;='General Inputs'!$D$30,AC6&lt;=MonthFinalUnits),'Development Inputs'!$D$111,0)</f>
        <v>3000</v>
      </c>
      <c r="AD36" s="229">
        <f>IF(AD6=0,'Development Inputs'!$E$101+'Development Inputs'!$E$109,0)+IF(AD$6='General Inputs'!$G$20,'General Inputs'!$H$20*'General Inputs'!$H$8,0)+IF(AD$6='General Inputs'!$G$21,'General Inputs'!$H$21*'General Inputs'!$H$8,0)+IF(AND(AD6&gt;='General Inputs'!$D$30,AD6&lt;=MonthFinalUnits),'Development Inputs'!$D$111,0)</f>
        <v>3000</v>
      </c>
      <c r="AE36" s="229">
        <f>IF(AE6=0,'Development Inputs'!$E$101+'Development Inputs'!$E$109,0)+IF(AE$6='General Inputs'!$G$20,'General Inputs'!$H$20*'General Inputs'!$H$8,0)+IF(AE$6='General Inputs'!$G$21,'General Inputs'!$H$21*'General Inputs'!$H$8,0)+IF(AND(AE6&gt;='General Inputs'!$D$30,AE6&lt;=MonthFinalUnits),'Development Inputs'!$D$111,0)</f>
        <v>0</v>
      </c>
      <c r="AF36" s="229">
        <f>IF(AF6=0,'Development Inputs'!$E$101+'Development Inputs'!$E$109,0)+IF(AF$6='General Inputs'!$G$20,'General Inputs'!$H$20*'General Inputs'!$H$8,0)+IF(AF$6='General Inputs'!$G$21,'General Inputs'!$H$21*'General Inputs'!$H$8,0)+IF(AND(AF6&gt;='General Inputs'!$D$30,AF6&lt;=MonthFinalUnits),'Development Inputs'!$D$111,0)</f>
        <v>0</v>
      </c>
      <c r="AG36" s="229">
        <f>IF(AG6=0,'Development Inputs'!$E$101+'Development Inputs'!$E$109,0)+IF(AG$6='General Inputs'!$G$20,'General Inputs'!$H$20*'General Inputs'!$H$8,0)+IF(AG$6='General Inputs'!$G$21,'General Inputs'!$H$21*'General Inputs'!$H$8,0)+IF(AND(AG6&gt;='General Inputs'!$D$30,AG6&lt;=MonthFinalUnits),'Development Inputs'!$D$111,0)</f>
        <v>0</v>
      </c>
      <c r="AH36" s="229">
        <f>IF(AH6=0,'Development Inputs'!$E$101+'Development Inputs'!$E$109,0)+IF(AH$6='General Inputs'!$G$20,'General Inputs'!$H$20*'General Inputs'!$H$8,0)+IF(AH$6='General Inputs'!$G$21,'General Inputs'!$H$21*'General Inputs'!$H$8,0)+IF(AND(AH6&gt;='General Inputs'!$D$30,AH6&lt;=MonthFinalUnits),'Development Inputs'!$D$111,0)</f>
        <v>0</v>
      </c>
      <c r="AI36" s="229">
        <f>IF(AI6=0,'Development Inputs'!$E$101+'Development Inputs'!$E$109,0)+IF(AI$6='General Inputs'!$G$20,'General Inputs'!$H$20*'General Inputs'!$H$8,0)+IF(AI$6='General Inputs'!$G$21,'General Inputs'!$H$21*'General Inputs'!$H$8,0)+IF(AND(AI6&gt;='General Inputs'!$D$30,AI6&lt;=MonthFinalUnits),'Development Inputs'!$D$111,0)</f>
        <v>0</v>
      </c>
      <c r="AJ36" s="229">
        <f>IF(AJ6=0,'Development Inputs'!$E$101+'Development Inputs'!$E$109,0)+IF(AJ$6='General Inputs'!$G$20,'General Inputs'!$H$20*'General Inputs'!$H$8,0)+IF(AJ$6='General Inputs'!$G$21,'General Inputs'!$H$21*'General Inputs'!$H$8,0)+IF(AND(AJ6&gt;='General Inputs'!$D$30,AJ6&lt;=MonthFinalUnits),'Development Inputs'!$D$111,0)</f>
        <v>0</v>
      </c>
      <c r="AK36" s="229">
        <f>IF(AK6=0,'Development Inputs'!$E$101+'Development Inputs'!$E$109,0)+IF(AK$6='General Inputs'!$G$20,'General Inputs'!$H$20*'General Inputs'!$H$8,0)+IF(AK$6='General Inputs'!$G$21,'General Inputs'!$H$21*'General Inputs'!$H$8,0)+IF(AND(AK6&gt;='General Inputs'!$D$30,AK6&lt;=MonthFinalUnits),'Development Inputs'!$D$111,0)</f>
        <v>0</v>
      </c>
      <c r="AL36" s="229">
        <f>IF(AL6=0,'Development Inputs'!$E$101+'Development Inputs'!$E$109,0)+IF(AL$6='General Inputs'!$G$20,'General Inputs'!$H$20*'General Inputs'!$H$8,0)+IF(AL$6='General Inputs'!$G$21,'General Inputs'!$H$21*'General Inputs'!$H$8,0)+IF(AND(AL6&gt;='General Inputs'!$D$30,AL6&lt;=MonthFinalUnits),'Development Inputs'!$D$111,0)</f>
        <v>0</v>
      </c>
      <c r="AM36" s="229">
        <f>IF(AM6=0,'Development Inputs'!$E$101+'Development Inputs'!$E$109,0)+IF(AM$6='General Inputs'!$G$20,'General Inputs'!$H$20*'General Inputs'!$H$8,0)+IF(AM$6='General Inputs'!$G$21,'General Inputs'!$H$21*'General Inputs'!$H$8,0)+IF(AND(AM6&gt;='General Inputs'!$D$30,AM6&lt;=MonthFinalUnits),'Development Inputs'!$D$111,0)</f>
        <v>0</v>
      </c>
      <c r="AN36" s="229">
        <f>IF(AN6=0,'Development Inputs'!$E$101+'Development Inputs'!$E$109,0)+IF(AN$6='General Inputs'!$G$20,'General Inputs'!$H$20*'General Inputs'!$H$8,0)+IF(AN$6='General Inputs'!$G$21,'General Inputs'!$H$21*'General Inputs'!$H$8,0)+IF(AND(AN6&gt;='General Inputs'!$D$30,AN6&lt;=MonthFinalUnits),'Development Inputs'!$D$111,0)</f>
        <v>0</v>
      </c>
      <c r="AO36" s="229">
        <f>IF(AO6=0,'Development Inputs'!$E$101+'Development Inputs'!$E$109,0)+IF(AO$6='General Inputs'!$G$20,'General Inputs'!$H$20*'General Inputs'!$H$8,0)+IF(AO$6='General Inputs'!$G$21,'General Inputs'!$H$21*'General Inputs'!$H$8,0)+IF(AND(AO6&gt;='General Inputs'!$D$30,AO6&lt;=MonthFinalUnits),'Development Inputs'!$D$111,0)</f>
        <v>0</v>
      </c>
      <c r="AP36" s="229">
        <f ca="1">IF(AP6=0,'Development Inputs'!$E$101+'Development Inputs'!$E$109,0)+IF(AP$6='General Inputs'!$G$20,'General Inputs'!$H$20*'General Inputs'!$H$8,0)+IF(AP$6='General Inputs'!$G$21,'General Inputs'!$H$21*'General Inputs'!$H$8,0)+IF(AND(AP6&gt;='General Inputs'!$D$30,AP6&lt;=MonthFinalUnits),'Development Inputs'!$D$111,0)</f>
        <v>0</v>
      </c>
      <c r="AQ36" s="229">
        <f>IF(AQ6=0,'Development Inputs'!$E$101+'Development Inputs'!$E$109,0)+IF(AQ$6='General Inputs'!$G$20,'General Inputs'!$H$20*'General Inputs'!$H$8,0)+IF(AQ$6='General Inputs'!$G$21,'General Inputs'!$H$21*'General Inputs'!$H$8,0)+IF(AND(AQ6&gt;='General Inputs'!$D$30,AQ6&lt;=MonthFinalUnits),'Development Inputs'!$D$111,0)</f>
        <v>0</v>
      </c>
      <c r="AR36" s="229">
        <f>IF(AR6=0,'Development Inputs'!$E$101+'Development Inputs'!$E$109,0)+IF(AR$6='General Inputs'!$G$20,'General Inputs'!$H$20*'General Inputs'!$H$8,0)+IF(AR$6='General Inputs'!$G$21,'General Inputs'!$H$21*'General Inputs'!$H$8,0)+IF(AND(AR6&gt;='General Inputs'!$D$30,AR6&lt;=MonthFinalUnits),'Development Inputs'!$D$111,0)</f>
        <v>0</v>
      </c>
      <c r="AS36" s="229">
        <f>IF(AS6=0,'Development Inputs'!$E$101+'Development Inputs'!$E$109,0)+IF(AS$6='General Inputs'!$G$20,'General Inputs'!$H$20*'General Inputs'!$H$8,0)+IF(AS$6='General Inputs'!$G$21,'General Inputs'!$H$21*'General Inputs'!$H$8,0)+IF(AND(AS6&gt;='General Inputs'!$D$30,AS6&lt;=MonthFinalUnits),'Development Inputs'!$D$111,0)</f>
        <v>0</v>
      </c>
      <c r="AT36" s="229">
        <f>IF(AT6=0,'Development Inputs'!$E$101+'Development Inputs'!$E$109,0)+IF(AT$6='General Inputs'!$G$20,'General Inputs'!$H$20*'General Inputs'!$H$8,0)+IF(AT$6='General Inputs'!$G$21,'General Inputs'!$H$21*'General Inputs'!$H$8,0)+IF(AND(AT6&gt;='General Inputs'!$D$30,AT6&lt;=MonthFinalUnits),'Development Inputs'!$D$111,0)</f>
        <v>0</v>
      </c>
      <c r="AU36" s="229">
        <f>IF(AU6=0,'Development Inputs'!$E$101+'Development Inputs'!$E$109,0)+IF(AU$6='General Inputs'!$G$20,'General Inputs'!$H$20*'General Inputs'!$H$8,0)+IF(AU$6='General Inputs'!$G$21,'General Inputs'!$H$21*'General Inputs'!$H$8,0)+IF(AND(AU6&gt;='General Inputs'!$D$30,AU6&lt;=MonthFinalUnits),'Development Inputs'!$D$111,0)</f>
        <v>0</v>
      </c>
      <c r="AV36" s="229">
        <f>IF(AV6=0,'Development Inputs'!$E$101+'Development Inputs'!$E$109,0)+IF(AV$6='General Inputs'!$G$20,'General Inputs'!$H$20*'General Inputs'!$H$8,0)+IF(AV$6='General Inputs'!$G$21,'General Inputs'!$H$21*'General Inputs'!$H$8,0)+IF(AND(AV6&gt;='General Inputs'!$D$30,AV6&lt;=MonthFinalUnits),'Development Inputs'!$D$111,0)</f>
        <v>0</v>
      </c>
      <c r="AW36" s="229">
        <f>IF(AW6=0,'Development Inputs'!$E$101+'Development Inputs'!$E$109,0)+IF(AW$6='General Inputs'!$G$20,'General Inputs'!$H$20*'General Inputs'!$H$8,0)+IF(AW$6='General Inputs'!$G$21,'General Inputs'!$H$21*'General Inputs'!$H$8,0)+IF(AND(AW6&gt;='General Inputs'!$D$30,AW6&lt;=MonthFinalUnits),'Development Inputs'!$D$111,0)</f>
        <v>0</v>
      </c>
      <c r="AX36" s="229">
        <f>IF(AX6=0,'Development Inputs'!$E$101+'Development Inputs'!$E$109,0)+IF(AX$6='General Inputs'!$G$20,'General Inputs'!$H$20*'General Inputs'!$H$8,0)+IF(AX$6='General Inputs'!$G$21,'General Inputs'!$H$21*'General Inputs'!$H$8,0)+IF(AND(AX6&gt;='General Inputs'!$D$30,AX6&lt;=MonthFinalUnits),'Development Inputs'!$D$111,0)</f>
        <v>0</v>
      </c>
      <c r="AY36" s="229">
        <f>IF(AY6=0,'Development Inputs'!$E$101+'Development Inputs'!$E$109,0)+IF(AY$6='General Inputs'!$G$20,'General Inputs'!$H$20*'General Inputs'!$H$8,0)+IF(AY$6='General Inputs'!$G$21,'General Inputs'!$H$21*'General Inputs'!$H$8,0)+IF(AND(AY6&gt;='General Inputs'!$D$30,AY6&lt;=MonthFinalUnits),'Development Inputs'!$D$111,0)</f>
        <v>0</v>
      </c>
      <c r="AZ36" s="229">
        <f>IF(AZ6=0,'Development Inputs'!$E$101+'Development Inputs'!$E$109,0)+IF(AZ$6='General Inputs'!$G$20,'General Inputs'!$H$20*'General Inputs'!$H$8,0)+IF(AZ$6='General Inputs'!$G$21,'General Inputs'!$H$21*'General Inputs'!$H$8,0)+IF(AND(AZ6&gt;='General Inputs'!$D$30,AZ6&lt;=MonthFinalUnits),'Development Inputs'!$D$111,0)</f>
        <v>0</v>
      </c>
      <c r="BA36" s="229">
        <f>IF(BA6=0,'Development Inputs'!$E$101+'Development Inputs'!$E$109,0)+IF(BA$6='General Inputs'!$G$20,'General Inputs'!$H$20*'General Inputs'!$H$8,0)+IF(BA$6='General Inputs'!$G$21,'General Inputs'!$H$21*'General Inputs'!$H$8,0)+IF(AND(BA6&gt;='General Inputs'!$D$30,BA6&lt;=MonthFinalUnits),'Development Inputs'!$D$111,0)</f>
        <v>0</v>
      </c>
      <c r="BB36" s="229">
        <f ca="1">IF(BB6=0,'Development Inputs'!$E$101+'Development Inputs'!$E$109,0)+IF(BB$6='General Inputs'!$G$20,'General Inputs'!$H$20*'General Inputs'!$H$8,0)+IF(BB$6='General Inputs'!$G$21,'General Inputs'!$H$21*'General Inputs'!$H$8,0)+IF(AND(BB6&gt;='General Inputs'!$D$30,BB6&lt;=MonthFinalUnits),'Development Inputs'!$D$111,0)</f>
        <v>0</v>
      </c>
      <c r="BC36" s="229">
        <f>IF(BC6=0,'Development Inputs'!$E$101+'Development Inputs'!$E$109,0)+IF(BC$6='General Inputs'!$G$20,'General Inputs'!$H$20*'General Inputs'!$H$8,0)+IF(BC$6='General Inputs'!$G$21,'General Inputs'!$H$21*'General Inputs'!$H$8,0)+IF(AND(BC6&gt;='General Inputs'!$D$30,BC6&lt;=MonthFinalUnits),'Development Inputs'!$D$111,0)</f>
        <v>0</v>
      </c>
      <c r="BD36" s="229">
        <f>IF(BD6=0,'Development Inputs'!$E$101+'Development Inputs'!$E$109,0)+IF(BD$6='General Inputs'!$G$20,'General Inputs'!$H$20*'General Inputs'!$H$8,0)+IF(BD$6='General Inputs'!$G$21,'General Inputs'!$H$21*'General Inputs'!$H$8,0)+IF(AND(BD6&gt;='General Inputs'!$D$30,BD6&lt;=MonthFinalUnits),'Development Inputs'!$D$111,0)</f>
        <v>0</v>
      </c>
      <c r="BE36" s="229">
        <f>IF(BE6=0,'Development Inputs'!$E$101+'Development Inputs'!$E$109,0)+IF(BE$6='General Inputs'!$G$20,'General Inputs'!$H$20*'General Inputs'!$H$8,0)+IF(BE$6='General Inputs'!$G$21,'General Inputs'!$H$21*'General Inputs'!$H$8,0)+IF(AND(BE6&gt;='General Inputs'!$D$30,BE6&lt;=MonthFinalUnits),'Development Inputs'!$D$111,0)</f>
        <v>0</v>
      </c>
      <c r="BF36" s="229">
        <f>IF(BF6=0,'Development Inputs'!$E$101+'Development Inputs'!$E$109,0)+IF(BF$6='General Inputs'!$G$20,'General Inputs'!$H$20*'General Inputs'!$H$8,0)+IF(BF$6='General Inputs'!$G$21,'General Inputs'!$H$21*'General Inputs'!$H$8,0)+IF(AND(BF6&gt;='General Inputs'!$D$30,BF6&lt;=MonthFinalUnits),'Development Inputs'!$D$111,0)</f>
        <v>0</v>
      </c>
      <c r="BG36" s="229">
        <f>IF(BG6=0,'Development Inputs'!$E$101+'Development Inputs'!$E$109,0)+IF(BG$6='General Inputs'!$G$20,'General Inputs'!$H$20*'General Inputs'!$H$8,0)+IF(BG$6='General Inputs'!$G$21,'General Inputs'!$H$21*'General Inputs'!$H$8,0)+IF(AND(BG6&gt;='General Inputs'!$D$30,BG6&lt;=MonthFinalUnits),'Development Inputs'!$D$111,0)</f>
        <v>0</v>
      </c>
      <c r="BH36" s="229">
        <f>IF(BH6=0,'Development Inputs'!$E$101+'Development Inputs'!$E$109,0)+IF(BH$6='General Inputs'!$G$20,'General Inputs'!$H$20*'General Inputs'!$H$8,0)+IF(BH$6='General Inputs'!$G$21,'General Inputs'!$H$21*'General Inputs'!$H$8,0)+IF(AND(BH6&gt;='General Inputs'!$D$30,BH6&lt;=MonthFinalUnits),'Development Inputs'!$D$111,0)</f>
        <v>0</v>
      </c>
      <c r="BI36" s="229">
        <f>IF(BI6=0,'Development Inputs'!$E$101+'Development Inputs'!$E$109,0)+IF(BI$6='General Inputs'!$G$20,'General Inputs'!$H$20*'General Inputs'!$H$8,0)+IF(BI$6='General Inputs'!$G$21,'General Inputs'!$H$21*'General Inputs'!$H$8,0)+IF(AND(BI6&gt;='General Inputs'!$D$30,BI6&lt;=MonthFinalUnits),'Development Inputs'!$D$111,0)</f>
        <v>0</v>
      </c>
      <c r="BJ36" s="229">
        <f>IF(BJ6=0,'Development Inputs'!$E$101+'Development Inputs'!$E$109,0)+IF(BJ$6='General Inputs'!$G$20,'General Inputs'!$H$20*'General Inputs'!$H$8,0)+IF(BJ$6='General Inputs'!$G$21,'General Inputs'!$H$21*'General Inputs'!$H$8,0)+IF(AND(BJ6&gt;='General Inputs'!$D$30,BJ6&lt;=MonthFinalUnits),'Development Inputs'!$D$111,0)</f>
        <v>0</v>
      </c>
      <c r="BK36" s="229">
        <f>IF(BK6=0,'Development Inputs'!$E$101+'Development Inputs'!$E$109,0)+IF(BK$6='General Inputs'!$G$20,'General Inputs'!$H$20*'General Inputs'!$H$8,0)+IF(BK$6='General Inputs'!$G$21,'General Inputs'!$H$21*'General Inputs'!$H$8,0)+IF(AND(BK6&gt;='General Inputs'!$D$30,BK6&lt;=MonthFinalUnits),'Development Inputs'!$D$111,0)</f>
        <v>0</v>
      </c>
      <c r="BL36" s="229">
        <f>IF(BL6=0,'Development Inputs'!$E$101+'Development Inputs'!$E$109,0)+IF(BL$6='General Inputs'!$G$20,'General Inputs'!$H$20*'General Inputs'!$H$8,0)+IF(BL$6='General Inputs'!$G$21,'General Inputs'!$H$21*'General Inputs'!$H$8,0)+IF(AND(BL6&gt;='General Inputs'!$D$30,BL6&lt;=MonthFinalUnits),'Development Inputs'!$D$111,0)</f>
        <v>0</v>
      </c>
      <c r="BM36" s="229">
        <f>IF(BM6=0,'Development Inputs'!$E$101+'Development Inputs'!$E$109,0)+IF(BM$6='General Inputs'!$G$20,'General Inputs'!$H$20*'General Inputs'!$H$8,0)+IF(BM$6='General Inputs'!$G$21,'General Inputs'!$H$21*'General Inputs'!$H$8,0)+IF(AND(BM6&gt;='General Inputs'!$D$30,BM6&lt;=MonthFinalUnits),'Development Inputs'!$D$111,0)</f>
        <v>0</v>
      </c>
      <c r="BN36" s="229">
        <f>IF(BN6=0,'Development Inputs'!$E$101+'Development Inputs'!$E$109,0)+IF(BN$6='General Inputs'!$G$20,'General Inputs'!$H$20*'General Inputs'!$H$8,0)+IF(BN$6='General Inputs'!$G$21,'General Inputs'!$H$21*'General Inputs'!$H$8,0)+IF(AND(BN6&gt;='General Inputs'!$D$30,BN6&lt;=MonthFinalUnits),'Development Inputs'!$D$111,0)</f>
        <v>0</v>
      </c>
      <c r="BO36" s="229">
        <f>IF(BO6=0,'Development Inputs'!$E$101+'Development Inputs'!$E$109,0)+IF(BO$6='General Inputs'!$G$20,'General Inputs'!$H$20*'General Inputs'!$H$8,0)+IF(BO$6='General Inputs'!$G$21,'General Inputs'!$H$21*'General Inputs'!$H$8,0)+IF(AND(BO6&gt;='General Inputs'!$D$30,BO6&lt;=MonthFinalUnits),'Development Inputs'!$D$111,0)</f>
        <v>0</v>
      </c>
      <c r="BP36" s="229">
        <f>IF(BP6=0,'Development Inputs'!$E$101+'Development Inputs'!$E$109,0)+IF(BP$6='General Inputs'!$G$20,'General Inputs'!$H$20*'General Inputs'!$H$8,0)+IF(BP$6='General Inputs'!$G$21,'General Inputs'!$H$21*'General Inputs'!$H$8,0)+IF(AND(BP6&gt;='General Inputs'!$D$30,BP6&lt;=MonthFinalUnits),'Development Inputs'!$D$111,0)</f>
        <v>0</v>
      </c>
      <c r="BQ36" s="229">
        <f>IF(BQ6=0,'Development Inputs'!$E$101+'Development Inputs'!$E$109,0)+IF(BQ$6='General Inputs'!$G$20,'General Inputs'!$H$20*'General Inputs'!$H$8,0)+IF(BQ$6='General Inputs'!$G$21,'General Inputs'!$H$21*'General Inputs'!$H$8,0)+IF(AND(BQ6&gt;='General Inputs'!$D$30,BQ6&lt;=MonthFinalUnits),'Development Inputs'!$D$111,0)</f>
        <v>0</v>
      </c>
      <c r="BR36" s="229">
        <f>IF(BR6=0,'Development Inputs'!$E$101+'Development Inputs'!$E$109,0)+IF(BR$6='General Inputs'!$G$20,'General Inputs'!$H$20*'General Inputs'!$H$8,0)+IF(BR$6='General Inputs'!$G$21,'General Inputs'!$H$21*'General Inputs'!$H$8,0)+IF(AND(BR6&gt;='General Inputs'!$D$30,BR6&lt;=MonthFinalUnits),'Development Inputs'!$D$111,0)</f>
        <v>0</v>
      </c>
      <c r="BS36" s="229">
        <f>IF(BS6=0,'Development Inputs'!$E$101+'Development Inputs'!$E$109,0)+IF(BS$6='General Inputs'!$G$20,'General Inputs'!$H$20*'General Inputs'!$H$8,0)+IF(BS$6='General Inputs'!$G$21,'General Inputs'!$H$21*'General Inputs'!$H$8,0)+IF(AND(BS6&gt;='General Inputs'!$D$30,BS6&lt;=MonthFinalUnits),'Development Inputs'!$D$111,0)</f>
        <v>0</v>
      </c>
      <c r="BT36" s="229">
        <f>IF(BT6=0,'Development Inputs'!$E$101+'Development Inputs'!$E$109,0)+IF(BT$6='General Inputs'!$G$20,'General Inputs'!$H$20*'General Inputs'!$H$8,0)+IF(BT$6='General Inputs'!$G$21,'General Inputs'!$H$21*'General Inputs'!$H$8,0)+IF(AND(BT6&gt;='General Inputs'!$D$30,BT6&lt;=MonthFinalUnits),'Development Inputs'!$D$111,0)</f>
        <v>0</v>
      </c>
      <c r="BU36" s="229">
        <f>IF(BU6=0,'Development Inputs'!$E$101+'Development Inputs'!$E$109,0)+IF(BU$6='General Inputs'!$G$20,'General Inputs'!$H$20*'General Inputs'!$H$8,0)+IF(BU$6='General Inputs'!$G$21,'General Inputs'!$H$21*'General Inputs'!$H$8,0)+IF(AND(BU6&gt;='General Inputs'!$D$30,BU6&lt;=MonthFinalUnits),'Development Inputs'!$D$111,0)</f>
        <v>0</v>
      </c>
      <c r="BV36" s="229">
        <f>IF(BV6=0,'Development Inputs'!$E$101+'Development Inputs'!$E$109,0)+IF(BV$6='General Inputs'!$G$20,'General Inputs'!$H$20*'General Inputs'!$H$8,0)+IF(BV$6='General Inputs'!$G$21,'General Inputs'!$H$21*'General Inputs'!$H$8,0)+IF(AND(BV6&gt;='General Inputs'!$D$30,BV6&lt;=MonthFinalUnits),'Development Inputs'!$D$111,0)</f>
        <v>0</v>
      </c>
      <c r="BW36" s="229">
        <f>IF(BW6=0,'Development Inputs'!$E$101+'Development Inputs'!$E$109,0)+IF(BW$6='General Inputs'!$G$20,'General Inputs'!$H$20*'General Inputs'!$H$8,0)+IF(BW$6='General Inputs'!$G$21,'General Inputs'!$H$21*'General Inputs'!$H$8,0)+IF(AND(BW6&gt;='General Inputs'!$D$30,BW6&lt;=MonthFinalUnits),'Development Inputs'!$D$111,0)</f>
        <v>0</v>
      </c>
      <c r="BX36" s="229">
        <f>IF(BX6=0,'Development Inputs'!$E$101+'Development Inputs'!$E$109,0)+IF(BX$6='General Inputs'!$G$20,'General Inputs'!$H$20*'General Inputs'!$H$8,0)+IF(BX$6='General Inputs'!$G$21,'General Inputs'!$H$21*'General Inputs'!$H$8,0)+IF(AND(BX6&gt;='General Inputs'!$D$30,BX6&lt;=MonthFinalUnits),'Development Inputs'!$D$111,0)</f>
        <v>0</v>
      </c>
      <c r="BY36" s="229">
        <f>IF(BY6=0,'Development Inputs'!$E$101+'Development Inputs'!$E$109,0)+IF(BY$6='General Inputs'!$G$20,'General Inputs'!$H$20*'General Inputs'!$H$8,0)+IF(BY$6='General Inputs'!$G$21,'General Inputs'!$H$21*'General Inputs'!$H$8,0)+IF(AND(BY6&gt;='General Inputs'!$D$30,BY6&lt;=MonthFinalUnits),'Development Inputs'!$D$111,0)</f>
        <v>0</v>
      </c>
      <c r="BZ36" s="229">
        <f>IF(BZ6=0,'Development Inputs'!$E$101+'Development Inputs'!$E$109,0)+IF(BZ$6='General Inputs'!$G$20,'General Inputs'!$H$20*'General Inputs'!$H$8,0)+IF(BZ$6='General Inputs'!$G$21,'General Inputs'!$H$21*'General Inputs'!$H$8,0)+IF(AND(BZ6&gt;='General Inputs'!$D$30,BZ6&lt;=MonthFinalUnits),'Development Inputs'!$D$111,0)</f>
        <v>0</v>
      </c>
      <c r="CA36" s="229">
        <f>IF(CA6=0,'Development Inputs'!$E$101+'Development Inputs'!$E$109,0)+IF(CA$6='General Inputs'!$G$20,'General Inputs'!$H$20*'General Inputs'!$H$8,0)+IF(CA$6='General Inputs'!$G$21,'General Inputs'!$H$21*'General Inputs'!$H$8,0)+IF(AND(CA6&gt;='General Inputs'!$D$30,CA6&lt;=MonthFinalUnits),'Development Inputs'!$D$111,0)</f>
        <v>0</v>
      </c>
      <c r="CB36" s="229">
        <f>IF(CB6=0,'Development Inputs'!$E$101+'Development Inputs'!$E$109,0)+IF(CB$6='General Inputs'!$G$20,'General Inputs'!$H$20*'General Inputs'!$H$8,0)+IF(CB$6='General Inputs'!$G$21,'General Inputs'!$H$21*'General Inputs'!$H$8,0)+IF(AND(CB6&gt;='General Inputs'!$D$30,CB6&lt;=MonthFinalUnits),'Development Inputs'!$D$111,0)</f>
        <v>0</v>
      </c>
      <c r="CC36" s="229">
        <f>IF(CC6=0,'Development Inputs'!$E$101+'Development Inputs'!$E$109,0)+IF(CC$6='General Inputs'!$G$20,'General Inputs'!$H$20*'General Inputs'!$H$8,0)+IF(CC$6='General Inputs'!$G$21,'General Inputs'!$H$21*'General Inputs'!$H$8,0)+IF(AND(CC6&gt;='General Inputs'!$D$30,CC6&lt;=MonthFinalUnits),'Development Inputs'!$D$111,0)</f>
        <v>0</v>
      </c>
      <c r="CD36" s="229">
        <f>IF(CD6=0,'Development Inputs'!$E$101+'Development Inputs'!$E$109,0)+IF(CD$6='General Inputs'!$G$20,'General Inputs'!$H$20*'General Inputs'!$H$8,0)+IF(CD$6='General Inputs'!$G$21,'General Inputs'!$H$21*'General Inputs'!$H$8,0)+IF(AND(CD6&gt;='General Inputs'!$D$30,CD6&lt;=MonthFinalUnits),'Development Inputs'!$D$111,0)</f>
        <v>0</v>
      </c>
      <c r="CE36" s="229">
        <f>IF(CE6=0,'Development Inputs'!$E$101+'Development Inputs'!$E$109,0)+IF(CE$6='General Inputs'!$G$20,'General Inputs'!$H$20*'General Inputs'!$H$8,0)+IF(CE$6='General Inputs'!$G$21,'General Inputs'!$H$21*'General Inputs'!$H$8,0)+IF(AND(CE6&gt;='General Inputs'!$D$30,CE6&lt;=MonthFinalUnits),'Development Inputs'!$D$111,0)</f>
        <v>0</v>
      </c>
      <c r="CF36" s="229">
        <f>IF(CF6=0,'Development Inputs'!$E$101+'Development Inputs'!$E$109,0)+IF(CF$6='General Inputs'!$G$20,'General Inputs'!$H$20*'General Inputs'!$H$8,0)+IF(CF$6='General Inputs'!$G$21,'General Inputs'!$H$21*'General Inputs'!$H$8,0)+IF(AND(CF6&gt;='General Inputs'!$D$30,CF6&lt;=MonthFinalUnits),'Development Inputs'!$D$111,0)</f>
        <v>0</v>
      </c>
      <c r="CG36" s="229">
        <f>IF(CG6=0,'Development Inputs'!$E$101+'Development Inputs'!$E$109,0)+IF(CG$6='General Inputs'!$G$20,'General Inputs'!$H$20*'General Inputs'!$H$8,0)+IF(CG$6='General Inputs'!$G$21,'General Inputs'!$H$21*'General Inputs'!$H$8,0)+IF(AND(CG6&gt;='General Inputs'!$D$30,CG6&lt;=MonthFinalUnits),'Development Inputs'!$D$111,0)</f>
        <v>0</v>
      </c>
      <c r="CH36" s="229">
        <f>IF(CH6=0,'Development Inputs'!$E$101+'Development Inputs'!$E$109,0)+IF(CH$6='General Inputs'!$G$20,'General Inputs'!$H$20*'General Inputs'!$H$8,0)+IF(CH$6='General Inputs'!$G$21,'General Inputs'!$H$21*'General Inputs'!$H$8,0)+IF(AND(CH6&gt;='General Inputs'!$D$30,CH6&lt;=MonthFinalUnits),'Development Inputs'!$D$111,0)</f>
        <v>0</v>
      </c>
      <c r="CI36" s="229">
        <f>IF(CI6=0,'Development Inputs'!$E$101+'Development Inputs'!$E$109,0)+IF(CI$6='General Inputs'!$G$20,'General Inputs'!$H$20*'General Inputs'!$H$8,0)+IF(CI$6='General Inputs'!$G$21,'General Inputs'!$H$21*'General Inputs'!$H$8,0)+IF(AND(CI6&gt;='General Inputs'!$D$30,CI6&lt;=MonthFinalUnits),'Development Inputs'!$D$111,0)</f>
        <v>0</v>
      </c>
      <c r="CJ36" s="229">
        <f>IF(CJ6=0,'Development Inputs'!$E$101+'Development Inputs'!$E$109,0)+IF(CJ$6='General Inputs'!$G$20,'General Inputs'!$H$20*'General Inputs'!$H$8,0)+IF(CJ$6='General Inputs'!$G$21,'General Inputs'!$H$21*'General Inputs'!$H$8,0)+IF(AND(CJ6&gt;='General Inputs'!$D$30,CJ6&lt;=MonthFinalUnits),'Development Inputs'!$D$111,0)</f>
        <v>0</v>
      </c>
      <c r="CK36" s="229">
        <f>IF(CK6=0,'Development Inputs'!$E$101+'Development Inputs'!$E$109,0)+IF(CK$6='General Inputs'!$G$20,'General Inputs'!$H$20*'General Inputs'!$H$8,0)+IF(CK$6='General Inputs'!$G$21,'General Inputs'!$H$21*'General Inputs'!$H$8,0)+IF(AND(CK6&gt;='General Inputs'!$D$30,CK6&lt;=MonthFinalUnits),'Development Inputs'!$D$111,0)</f>
        <v>0</v>
      </c>
      <c r="CL36" s="229">
        <f>IF(CL6=0,'Development Inputs'!$E$101+'Development Inputs'!$E$109,0)+IF(CL$6='General Inputs'!$G$20,'General Inputs'!$H$20*'General Inputs'!$H$8,0)+IF(CL$6='General Inputs'!$G$21,'General Inputs'!$H$21*'General Inputs'!$H$8,0)+IF(AND(CL6&gt;='General Inputs'!$D$30,CL6&lt;=MonthFinalUnits),'Development Inputs'!$D$111,0)</f>
        <v>0</v>
      </c>
      <c r="CM36" s="229">
        <f>IF(CM6=0,'Development Inputs'!$E$101+'Development Inputs'!$E$109,0)+IF(CM$6='General Inputs'!$G$20,'General Inputs'!$H$20*'General Inputs'!$H$8,0)+IF(CM$6='General Inputs'!$G$21,'General Inputs'!$H$21*'General Inputs'!$H$8,0)+IF(AND(CM6&gt;='General Inputs'!$D$30,CM6&lt;=MonthFinalUnits),'Development Inputs'!$D$111,0)</f>
        <v>0</v>
      </c>
      <c r="CN36" s="229">
        <f>IF(CN6=0,'Development Inputs'!$E$101+'Development Inputs'!$E$109,0)+IF(CN$6='General Inputs'!$G$20,'General Inputs'!$H$20*'General Inputs'!$H$8,0)+IF(CN$6='General Inputs'!$G$21,'General Inputs'!$H$21*'General Inputs'!$H$8,0)+IF(AND(CN6&gt;='General Inputs'!$D$30,CN6&lt;=MonthFinalUnits),'Development Inputs'!$D$111,0)</f>
        <v>0</v>
      </c>
      <c r="CO36" s="229">
        <f>IF(CO6=0,'Development Inputs'!$E$101+'Development Inputs'!$E$109,0)+IF(CO$6='General Inputs'!$G$20,'General Inputs'!$H$20*'General Inputs'!$H$8,0)+IF(CO$6='General Inputs'!$G$21,'General Inputs'!$H$21*'General Inputs'!$H$8,0)+IF(AND(CO6&gt;='General Inputs'!$D$30,CO6&lt;=MonthFinalUnits),'Development Inputs'!$D$111,0)</f>
        <v>0</v>
      </c>
      <c r="CP36" s="229">
        <f>IF(CP6=0,'Development Inputs'!$E$101+'Development Inputs'!$E$109,0)+IF(CP$6='General Inputs'!$G$20,'General Inputs'!$H$20*'General Inputs'!$H$8,0)+IF(CP$6='General Inputs'!$G$21,'General Inputs'!$H$21*'General Inputs'!$H$8,0)+IF(AND(CP6&gt;='General Inputs'!$D$30,CP6&lt;=MonthFinalUnits),'Development Inputs'!$D$111,0)</f>
        <v>0</v>
      </c>
      <c r="CQ36" s="229">
        <f>IF(CQ6=0,'Development Inputs'!$E$101+'Development Inputs'!$E$109,0)+IF(CQ$6='General Inputs'!$G$20,'General Inputs'!$H$20*'General Inputs'!$H$8,0)+IF(CQ$6='General Inputs'!$G$21,'General Inputs'!$H$21*'General Inputs'!$H$8,0)+IF(AND(CQ6&gt;='General Inputs'!$D$30,CQ6&lt;=MonthFinalUnits),'Development Inputs'!$D$111,0)</f>
        <v>0</v>
      </c>
      <c r="CR36" s="229">
        <f>IF(CR6=0,'Development Inputs'!$E$101+'Development Inputs'!$E$109,0)+IF(CR$6='General Inputs'!$G$20,'General Inputs'!$H$20*'General Inputs'!$H$8,0)+IF(CR$6='General Inputs'!$G$21,'General Inputs'!$H$21*'General Inputs'!$H$8,0)+IF(AND(CR6&gt;='General Inputs'!$D$30,CR6&lt;=MonthFinalUnits),'Development Inputs'!$D$111,0)</f>
        <v>0</v>
      </c>
      <c r="CS36" s="229">
        <f>IF(CS6=0,'Development Inputs'!$E$101+'Development Inputs'!$E$109,0)+IF(CS$6='General Inputs'!$G$20,'General Inputs'!$H$20*'General Inputs'!$H$8,0)+IF(CS$6='General Inputs'!$G$21,'General Inputs'!$H$21*'General Inputs'!$H$8,0)+IF(AND(CS6&gt;='General Inputs'!$D$30,CS6&lt;=MonthFinalUnits),'Development Inputs'!$D$111,0)</f>
        <v>0</v>
      </c>
      <c r="CT36" s="229">
        <f>IF(CT6=0,'Development Inputs'!$E$101+'Development Inputs'!$E$109,0)+IF(CT$6='General Inputs'!$G$20,'General Inputs'!$H$20*'General Inputs'!$H$8,0)+IF(CT$6='General Inputs'!$G$21,'General Inputs'!$H$21*'General Inputs'!$H$8,0)+IF(AND(CT6&gt;='General Inputs'!$D$30,CT6&lt;=MonthFinalUnits),'Development Inputs'!$D$111,0)</f>
        <v>0</v>
      </c>
      <c r="CU36" s="229">
        <f>IF(CU6=0,'Development Inputs'!$E$101+'Development Inputs'!$E$109,0)+IF(CU$6='General Inputs'!$G$20,'General Inputs'!$H$20*'General Inputs'!$H$8,0)+IF(CU$6='General Inputs'!$G$21,'General Inputs'!$H$21*'General Inputs'!$H$8,0)+IF(AND(CU6&gt;='General Inputs'!$D$30,CU6&lt;=MonthFinalUnits),'Development Inputs'!$D$111,0)</f>
        <v>0</v>
      </c>
      <c r="CV36" s="229">
        <f>IF(CV6=0,'Development Inputs'!$E$101+'Development Inputs'!$E$109,0)+IF(CV$6='General Inputs'!$G$20,'General Inputs'!$H$20*'General Inputs'!$H$8,0)+IF(CV$6='General Inputs'!$G$21,'General Inputs'!$H$21*'General Inputs'!$H$8,0)+IF(AND(CV6&gt;='General Inputs'!$D$30,CV6&lt;=MonthFinalUnits),'Development Inputs'!$D$111,0)</f>
        <v>0</v>
      </c>
      <c r="CW36" s="229">
        <f>IF(CW6=0,'Development Inputs'!$E$101+'Development Inputs'!$E$109,0)+IF(CW$6='General Inputs'!$G$20,'General Inputs'!$H$20*'General Inputs'!$H$8,0)+IF(CW$6='General Inputs'!$G$21,'General Inputs'!$H$21*'General Inputs'!$H$8,0)+IF(AND(CW6&gt;='General Inputs'!$D$30,CW6&lt;=MonthFinalUnits),'Development Inputs'!$D$111,0)</f>
        <v>0</v>
      </c>
      <c r="CX36" s="229">
        <f>IF(CX6=0,'Development Inputs'!$E$101+'Development Inputs'!$E$109,0)+IF(CX$6='General Inputs'!$G$20,'General Inputs'!$H$20*'General Inputs'!$H$8,0)+IF(CX$6='General Inputs'!$G$21,'General Inputs'!$H$21*'General Inputs'!$H$8,0)+IF(AND(CX6&gt;='General Inputs'!$D$30,CX6&lt;=MonthFinalUnits),'Development Inputs'!$D$111,0)</f>
        <v>0</v>
      </c>
      <c r="CY36" s="229">
        <f>IF(CY6=0,'Development Inputs'!$E$101+'Development Inputs'!$E$109,0)+IF(CY$6='General Inputs'!$G$20,'General Inputs'!$H$20*'General Inputs'!$H$8,0)+IF(CY$6='General Inputs'!$G$21,'General Inputs'!$H$21*'General Inputs'!$H$8,0)+IF(AND(CY6&gt;='General Inputs'!$D$30,CY6&lt;=MonthFinalUnits),'Development Inputs'!$D$111,0)</f>
        <v>0</v>
      </c>
      <c r="CZ36" s="229">
        <f>IF(CZ6=0,'Development Inputs'!$E$101+'Development Inputs'!$E$109,0)+IF(CZ$6='General Inputs'!$G$20,'General Inputs'!$H$20*'General Inputs'!$H$8,0)+IF(CZ$6='General Inputs'!$G$21,'General Inputs'!$H$21*'General Inputs'!$H$8,0)+IF(AND(CZ6&gt;='General Inputs'!$D$30,CZ6&lt;=MonthFinalUnits),'Development Inputs'!$D$111,0)</f>
        <v>0</v>
      </c>
      <c r="DA36" s="229">
        <f>IF(DA6=0,'Development Inputs'!$E$101+'Development Inputs'!$E$109,0)+IF(DA$6='General Inputs'!$G$20,'General Inputs'!$H$20*'General Inputs'!$H$8,0)+IF(DA$6='General Inputs'!$G$21,'General Inputs'!$H$21*'General Inputs'!$H$8,0)+IF(AND(DA6&gt;='General Inputs'!$D$30,DA6&lt;=MonthFinalUnits),'Development Inputs'!$D$111,0)</f>
        <v>0</v>
      </c>
      <c r="DB36" s="229">
        <f>IF(DB6=0,'Development Inputs'!$E$101+'Development Inputs'!$E$109,0)+IF(DB$6='General Inputs'!$G$20,'General Inputs'!$H$20*'General Inputs'!$H$8,0)+IF(DB$6='General Inputs'!$G$21,'General Inputs'!$H$21*'General Inputs'!$H$8,0)+IF(AND(DB6&gt;='General Inputs'!$D$30,DB6&lt;=MonthFinalUnits),'Development Inputs'!$D$111,0)</f>
        <v>0</v>
      </c>
      <c r="DC36" s="229">
        <f>IF(DC6=0,'Development Inputs'!$E$101+'Development Inputs'!$E$109,0)+IF(DC$6='General Inputs'!$G$20,'General Inputs'!$H$20*'General Inputs'!$H$8,0)+IF(DC$6='General Inputs'!$G$21,'General Inputs'!$H$21*'General Inputs'!$H$8,0)+IF(AND(DC6&gt;='General Inputs'!$D$30,DC6&lt;=MonthFinalUnits),'Development Inputs'!$D$111,0)</f>
        <v>0</v>
      </c>
      <c r="DD36" s="229">
        <f>IF(DD6=0,'Development Inputs'!$E$101+'Development Inputs'!$E$109,0)+IF(DD$6='General Inputs'!$G$20,'General Inputs'!$H$20*'General Inputs'!$H$8,0)+IF(DD$6='General Inputs'!$G$21,'General Inputs'!$H$21*'General Inputs'!$H$8,0)+IF(AND(DD6&gt;='General Inputs'!$D$30,DD6&lt;=MonthFinalUnits),'Development Inputs'!$D$111,0)</f>
        <v>0</v>
      </c>
      <c r="DE36" s="229">
        <f>IF(DE6=0,'Development Inputs'!$E$101+'Development Inputs'!$E$109,0)+IF(DE$6='General Inputs'!$G$20,'General Inputs'!$H$20*'General Inputs'!$H$8,0)+IF(DE$6='General Inputs'!$G$21,'General Inputs'!$H$21*'General Inputs'!$H$8,0)+IF(AND(DE6&gt;='General Inputs'!$D$30,DE6&lt;=MonthFinalUnits),'Development Inputs'!$D$111,0)</f>
        <v>0</v>
      </c>
      <c r="DF36" s="229">
        <f>IF(DF6=0,'Development Inputs'!$E$101+'Development Inputs'!$E$109,0)+IF(DF$6='General Inputs'!$G$20,'General Inputs'!$H$20*'General Inputs'!$H$8,0)+IF(DF$6='General Inputs'!$G$21,'General Inputs'!$H$21*'General Inputs'!$H$8,0)+IF(AND(DF6&gt;='General Inputs'!$D$30,DF6&lt;=MonthFinalUnits),'Development Inputs'!$D$111,0)</f>
        <v>0</v>
      </c>
      <c r="DG36" s="229">
        <f>IF(DG6=0,'Development Inputs'!$E$101+'Development Inputs'!$E$109,0)+IF(DG$6='General Inputs'!$G$20,'General Inputs'!$H$20*'General Inputs'!$H$8,0)+IF(DG$6='General Inputs'!$G$21,'General Inputs'!$H$21*'General Inputs'!$H$8,0)+IF(AND(DG6&gt;='General Inputs'!$D$30,DG6&lt;=MonthFinalUnits),'Development Inputs'!$D$111,0)</f>
        <v>0</v>
      </c>
      <c r="DH36" s="229">
        <f>IF(DH6=0,'Development Inputs'!$E$101+'Development Inputs'!$E$109,0)+IF(DH$6='General Inputs'!$G$20,'General Inputs'!$H$20*'General Inputs'!$H$8,0)+IF(DH$6='General Inputs'!$G$21,'General Inputs'!$H$21*'General Inputs'!$H$8,0)+IF(AND(DH6&gt;='General Inputs'!$D$30,DH6&lt;=MonthFinalUnits),'Development Inputs'!$D$111,0)</f>
        <v>0</v>
      </c>
      <c r="DI36" s="229">
        <f>IF(DI6=0,'Development Inputs'!$E$101+'Development Inputs'!$E$109,0)+IF(DI$6='General Inputs'!$G$20,'General Inputs'!$H$20*'General Inputs'!$H$8,0)+IF(DI$6='General Inputs'!$G$21,'General Inputs'!$H$21*'General Inputs'!$H$8,0)+IF(AND(DI6&gt;='General Inputs'!$D$30,DI6&lt;=MonthFinalUnits),'Development Inputs'!$D$111,0)</f>
        <v>0</v>
      </c>
      <c r="DJ36" s="229">
        <f>IF(DJ6=0,'Development Inputs'!$E$101+'Development Inputs'!$E$109,0)+IF(DJ$6='General Inputs'!$G$20,'General Inputs'!$H$20*'General Inputs'!$H$8,0)+IF(DJ$6='General Inputs'!$G$21,'General Inputs'!$H$21*'General Inputs'!$H$8,0)+IF(AND(DJ6&gt;='General Inputs'!$D$30,DJ6&lt;=MonthFinalUnits),'Development Inputs'!$D$111,0)</f>
        <v>0</v>
      </c>
      <c r="DK36" s="229">
        <f>IF(DK6=0,'Development Inputs'!$E$101+'Development Inputs'!$E$109,0)+IF(DK$6='General Inputs'!$G$20,'General Inputs'!$H$20*'General Inputs'!$H$8,0)+IF(DK$6='General Inputs'!$G$21,'General Inputs'!$H$21*'General Inputs'!$H$8,0)+IF(AND(DK6&gt;='General Inputs'!$D$30,DK6&lt;=MonthFinalUnits),'Development Inputs'!$D$111,0)</f>
        <v>0</v>
      </c>
      <c r="DL36" s="229">
        <f>IF(DL6=0,'Development Inputs'!$E$101+'Development Inputs'!$E$109,0)+IF(DL$6='General Inputs'!$G$20,'General Inputs'!$H$20*'General Inputs'!$H$8,0)+IF(DL$6='General Inputs'!$G$21,'General Inputs'!$H$21*'General Inputs'!$H$8,0)+IF(AND(DL6&gt;='General Inputs'!$D$30,DL6&lt;=MonthFinalUnits),'Development Inputs'!$D$111,0)</f>
        <v>0</v>
      </c>
      <c r="DM36" s="229">
        <f>IF(DM6=0,'Development Inputs'!$E$101+'Development Inputs'!$E$109,0)+IF(DM$6='General Inputs'!$G$20,'General Inputs'!$H$20*'General Inputs'!$H$8,0)+IF(DM$6='General Inputs'!$G$21,'General Inputs'!$H$21*'General Inputs'!$H$8,0)+IF(AND(DM6&gt;='General Inputs'!$D$30,DM6&lt;=MonthFinalUnits),'Development Inputs'!$D$111,0)</f>
        <v>0</v>
      </c>
      <c r="DN36" s="229">
        <f>IF(DN6=0,'Development Inputs'!$E$101+'Development Inputs'!$E$109,0)+IF(DN$6='General Inputs'!$G$20,'General Inputs'!$H$20*'General Inputs'!$H$8,0)+IF(DN$6='General Inputs'!$G$21,'General Inputs'!$H$21*'General Inputs'!$H$8,0)+IF(AND(DN6&gt;='General Inputs'!$D$30,DN6&lt;=MonthFinalUnits),'Development Inputs'!$D$111,0)</f>
        <v>0</v>
      </c>
      <c r="DO36" s="229">
        <f>IF(DO6=0,'Development Inputs'!$E$101+'Development Inputs'!$E$109,0)+IF(DO$6='General Inputs'!$G$20,'General Inputs'!$H$20*'General Inputs'!$H$8,0)+IF(DO$6='General Inputs'!$G$21,'General Inputs'!$H$21*'General Inputs'!$H$8,0)+IF(AND(DO6&gt;='General Inputs'!$D$30,DO6&lt;=MonthFinalUnits),'Development Inputs'!$D$111,0)</f>
        <v>0</v>
      </c>
      <c r="DP36" s="229">
        <f>IF(DP6=0,'Development Inputs'!$E$101+'Development Inputs'!$E$109,0)+IF(DP$6='General Inputs'!$G$20,'General Inputs'!$H$20*'General Inputs'!$H$8,0)+IF(DP$6='General Inputs'!$G$21,'General Inputs'!$H$21*'General Inputs'!$H$8,0)+IF(AND(DP6&gt;='General Inputs'!$D$30,DP6&lt;=MonthFinalUnits),'Development Inputs'!$D$111,0)</f>
        <v>0</v>
      </c>
      <c r="DQ36" s="229">
        <f>IF(DQ6=0,'Development Inputs'!$E$101+'Development Inputs'!$E$109,0)+IF(DQ$6='General Inputs'!$G$20,'General Inputs'!$H$20*'General Inputs'!$H$8,0)+IF(DQ$6='General Inputs'!$G$21,'General Inputs'!$H$21*'General Inputs'!$H$8,0)+IF(AND(DQ6&gt;='General Inputs'!$D$30,DQ6&lt;=MonthFinalUnits),'Development Inputs'!$D$111,0)</f>
        <v>0</v>
      </c>
      <c r="DR36" s="229">
        <f>IF(DR6=0,'Development Inputs'!$E$101+'Development Inputs'!$E$109,0)+IF(DR$6='General Inputs'!$G$20,'General Inputs'!$H$20*'General Inputs'!$H$8,0)+IF(DR$6='General Inputs'!$G$21,'General Inputs'!$H$21*'General Inputs'!$H$8,0)+IF(AND(DR6&gt;='General Inputs'!$D$30,DR6&lt;=MonthFinalUnits),'Development Inputs'!$D$111,0)</f>
        <v>0</v>
      </c>
      <c r="DS36" s="229">
        <f>IF(DS6=0,'Development Inputs'!$E$101+'Development Inputs'!$E$109,0)+IF(DS$6='General Inputs'!$G$20,'General Inputs'!$H$20*'General Inputs'!$H$8,0)+IF(DS$6='General Inputs'!$G$21,'General Inputs'!$H$21*'General Inputs'!$H$8,0)+IF(AND(DS6&gt;='General Inputs'!$D$30,DS6&lt;=MonthFinalUnits),'Development Inputs'!$D$111,0)</f>
        <v>0</v>
      </c>
      <c r="DT36" s="229">
        <f>IF(DT6=0,'Development Inputs'!$E$101+'Development Inputs'!$E$109,0)+IF(DT$6='General Inputs'!$G$20,'General Inputs'!$H$20*'General Inputs'!$H$8,0)+IF(DT$6='General Inputs'!$G$21,'General Inputs'!$H$21*'General Inputs'!$H$8,0)+IF(AND(DT6&gt;='General Inputs'!$D$30,DT6&lt;=MonthFinalUnits),'Development Inputs'!$D$111,0)</f>
        <v>0</v>
      </c>
      <c r="DU36" s="229">
        <f>IF(DU6=0,'Development Inputs'!$E$101+'Development Inputs'!$E$109,0)+IF(DU$6='General Inputs'!$G$20,'General Inputs'!$H$20*'General Inputs'!$H$8,0)+IF(DU$6='General Inputs'!$G$21,'General Inputs'!$H$21*'General Inputs'!$H$8,0)+IF(AND(DU6&gt;='General Inputs'!$D$30,DU6&lt;=MonthFinalUnits),'Development Inputs'!$D$111,0)</f>
        <v>0</v>
      </c>
      <c r="DV36" s="229">
        <f>IF(DV6=0,'Development Inputs'!$E$101+'Development Inputs'!$E$109,0)+IF(DV$6='General Inputs'!$G$20,'General Inputs'!$H$20*'General Inputs'!$H$8,0)+IF(DV$6='General Inputs'!$G$21,'General Inputs'!$H$21*'General Inputs'!$H$8,0)+IF(AND(DV6&gt;='General Inputs'!$D$30,DV6&lt;=MonthFinalUnits),'Development Inputs'!$D$111,0)</f>
        <v>0</v>
      </c>
      <c r="DW36" s="229">
        <f>IF(DW6=0,'Development Inputs'!$E$101+'Development Inputs'!$E$109,0)+IF(DW$6='General Inputs'!$G$20,'General Inputs'!$H$20*'General Inputs'!$H$8,0)+IF(DW$6='General Inputs'!$G$21,'General Inputs'!$H$21*'General Inputs'!$H$8,0)+IF(AND(DW6&gt;='General Inputs'!$D$30,DW6&lt;=MonthFinalUnits),'Development Inputs'!$D$111,0)</f>
        <v>0</v>
      </c>
      <c r="DX36" s="229">
        <f>IF(DX6=0,'Development Inputs'!$E$101+'Development Inputs'!$E$109,0)+IF(DX$6='General Inputs'!$G$20,'General Inputs'!$H$20*'General Inputs'!$H$8,0)+IF(DX$6='General Inputs'!$G$21,'General Inputs'!$H$21*'General Inputs'!$H$8,0)+IF(AND(DX6&gt;='General Inputs'!$D$30,DX6&lt;=MonthFinalUnits),'Development Inputs'!$D$111,0)</f>
        <v>0</v>
      </c>
      <c r="DY36" s="229">
        <f>IF(DY6=0,'Development Inputs'!$E$101+'Development Inputs'!$E$109,0)+IF(DY$6='General Inputs'!$G$20,'General Inputs'!$H$20*'General Inputs'!$H$8,0)+IF(DY$6='General Inputs'!$G$21,'General Inputs'!$H$21*'General Inputs'!$H$8,0)+IF(AND(DY6&gt;='General Inputs'!$D$30,DY6&lt;=MonthFinalUnits),'Development Inputs'!$D$111,0)</f>
        <v>0</v>
      </c>
      <c r="DZ36" s="229">
        <f>IF(DZ6=0,'Development Inputs'!$E$101+'Development Inputs'!$E$109,0)+IF(DZ$6='General Inputs'!$G$20,'General Inputs'!$H$20*'General Inputs'!$H$8,0)+IF(DZ$6='General Inputs'!$G$21,'General Inputs'!$H$21*'General Inputs'!$H$8,0)+IF(AND(DZ6&gt;='General Inputs'!$D$30,DZ6&lt;=MonthFinalUnits),'Development Inputs'!$D$111,0)</f>
        <v>0</v>
      </c>
      <c r="EA36" s="229">
        <f>IF(EA6=0,'Development Inputs'!$E$101+'Development Inputs'!$E$109,0)+IF(EA$6='General Inputs'!$G$20,'General Inputs'!$H$20*'General Inputs'!$H$8,0)+IF(EA$6='General Inputs'!$G$21,'General Inputs'!$H$21*'General Inputs'!$H$8,0)+IF(AND(EA6&gt;='General Inputs'!$D$30,EA6&lt;=MonthFinalUnits),'Development Inputs'!$D$111,0)</f>
        <v>0</v>
      </c>
      <c r="EB36" s="229">
        <f>IF(EB6=0,'Development Inputs'!$E$101+'Development Inputs'!$E$109,0)+IF(EB$6='General Inputs'!$G$20,'General Inputs'!$H$20*'General Inputs'!$H$8,0)+IF(EB$6='General Inputs'!$G$21,'General Inputs'!$H$21*'General Inputs'!$H$8,0)+IF(AND(EB6&gt;='General Inputs'!$D$30,EB6&lt;=MonthFinalUnits),'Development Inputs'!$D$111,0)</f>
        <v>0</v>
      </c>
      <c r="EC36" s="229">
        <f>IF(EC6=0,'Development Inputs'!$E$101+'Development Inputs'!$E$109,0)+IF(EC$6='General Inputs'!$G$20,'General Inputs'!$H$20*'General Inputs'!$H$8,0)+IF(EC$6='General Inputs'!$G$21,'General Inputs'!$H$21*'General Inputs'!$H$8,0)+IF(AND(EC6&gt;='General Inputs'!$D$30,EC6&lt;=MonthFinalUnits),'Development Inputs'!$D$111,0)</f>
        <v>0</v>
      </c>
      <c r="ED36" s="229">
        <f>IF(ED6=0,'Development Inputs'!$E$101+'Development Inputs'!$E$109,0)+IF(ED$6='General Inputs'!$G$20,'General Inputs'!$H$20*'General Inputs'!$H$8,0)+IF(ED$6='General Inputs'!$G$21,'General Inputs'!$H$21*'General Inputs'!$H$8,0)+IF(AND(ED6&gt;='General Inputs'!$D$30,ED6&lt;=MonthFinalUnits),'Development Inputs'!$D$111,0)</f>
        <v>0</v>
      </c>
      <c r="EE36" s="229">
        <f>IF(EE6=0,'Development Inputs'!$E$101+'Development Inputs'!$E$109,0)+IF(EE$6='General Inputs'!$G$20,'General Inputs'!$H$20*'General Inputs'!$H$8,0)+IF(EE$6='General Inputs'!$G$21,'General Inputs'!$H$21*'General Inputs'!$H$8,0)+IF(AND(EE6&gt;='General Inputs'!$D$30,EE6&lt;=MonthFinalUnits),'Development Inputs'!$D$111,0)</f>
        <v>0</v>
      </c>
      <c r="EF36" s="229">
        <f>IF(EF6=0,'Development Inputs'!$E$101+'Development Inputs'!$E$109,0)+IF(EF$6='General Inputs'!$G$20,'General Inputs'!$H$20*'General Inputs'!$H$8,0)+IF(EF$6='General Inputs'!$G$21,'General Inputs'!$H$21*'General Inputs'!$H$8,0)+IF(AND(EF6&gt;='General Inputs'!$D$30,EF6&lt;=MonthFinalUnits),'Development Inputs'!$D$111,0)</f>
        <v>0</v>
      </c>
      <c r="EG36" s="229">
        <f>IF(EG6=0,'Development Inputs'!$E$101+'Development Inputs'!$E$109,0)+IF(EG$6='General Inputs'!$G$20,'General Inputs'!$H$20*'General Inputs'!$H$8,0)+IF(EG$6='General Inputs'!$G$21,'General Inputs'!$H$21*'General Inputs'!$H$8,0)+IF(AND(EG6&gt;='General Inputs'!$D$30,EG6&lt;=MonthFinalUnits),'Development Inputs'!$D$111,0)</f>
        <v>0</v>
      </c>
      <c r="EH36" s="229">
        <f ca="1">IF(Macros!$B$3=2,1,SUBTOTAL(9,E36:EG36))</f>
        <v>896583.45041148621</v>
      </c>
      <c r="EI36" s="227"/>
    </row>
    <row r="37" spans="1:139" x14ac:dyDescent="0.3">
      <c r="A37" s="413" t="s">
        <v>675</v>
      </c>
      <c r="B37" s="413"/>
      <c r="C37" s="413"/>
      <c r="E37" s="229">
        <f>IF(E$6='Development Inputs'!$B$22,'Development Inputs'!$A$22*TotalFFandE,IF(AND(E$6&gt;'Development Inputs'!$B$22,E$6&lt;='Development Inputs'!$C$22),TotalFFandE*(1-'Development Inputs'!$A$22)/('Development Inputs'!$C$22-'Development Inputs'!$B$22),0))</f>
        <v>0</v>
      </c>
      <c r="F37" s="229">
        <f>IF(F$6='Development Inputs'!$B$22,'Development Inputs'!$A$22*TotalFFandE,IF(AND(F$6&gt;'Development Inputs'!$B$22,F$6&lt;='Development Inputs'!$C$22),TotalFFandE*(1-'Development Inputs'!$A$22)/('Development Inputs'!$C$22-'Development Inputs'!$B$22),0))</f>
        <v>0</v>
      </c>
      <c r="G37" s="229">
        <f>IF(G$6='Development Inputs'!$B$22,'Development Inputs'!$A$22*TotalFFandE,IF(AND(G$6&gt;'Development Inputs'!$B$22,G$6&lt;='Development Inputs'!$C$22),TotalFFandE*(1-'Development Inputs'!$A$22)/('Development Inputs'!$C$22-'Development Inputs'!$B$22),0))</f>
        <v>0</v>
      </c>
      <c r="H37" s="229">
        <f>IF(H$6='Development Inputs'!$B$22,'Development Inputs'!$A$22*TotalFFandE,IF(AND(H$6&gt;'Development Inputs'!$B$22,H$6&lt;='Development Inputs'!$C$22),TotalFFandE*(1-'Development Inputs'!$A$22)/('Development Inputs'!$C$22-'Development Inputs'!$B$22),0))</f>
        <v>0</v>
      </c>
      <c r="I37" s="229">
        <f>IF(I$6='Development Inputs'!$B$22,'Development Inputs'!$A$22*TotalFFandE,IF(AND(I$6&gt;'Development Inputs'!$B$22,I$6&lt;='Development Inputs'!$C$22),TotalFFandE*(1-'Development Inputs'!$A$22)/('Development Inputs'!$C$22-'Development Inputs'!$B$22),0))</f>
        <v>0</v>
      </c>
      <c r="J37" s="229">
        <f>IF(J$6='Development Inputs'!$B$22,'Development Inputs'!$A$22*TotalFFandE,IF(AND(J$6&gt;'Development Inputs'!$B$22,J$6&lt;='Development Inputs'!$C$22),TotalFFandE*(1-'Development Inputs'!$A$22)/('Development Inputs'!$C$22-'Development Inputs'!$B$22),0))</f>
        <v>0</v>
      </c>
      <c r="K37" s="229">
        <f>IF(K$6='Development Inputs'!$B$22,'Development Inputs'!$A$22*TotalFFandE,IF(AND(K$6&gt;'Development Inputs'!$B$22,K$6&lt;='Development Inputs'!$C$22),TotalFFandE*(1-'Development Inputs'!$A$22)/('Development Inputs'!$C$22-'Development Inputs'!$B$22),0))</f>
        <v>0</v>
      </c>
      <c r="L37" s="229">
        <f>IF(L$6='Development Inputs'!$B$22,'Development Inputs'!$A$22*TotalFFandE,IF(AND(L$6&gt;'Development Inputs'!$B$22,L$6&lt;='Development Inputs'!$C$22),TotalFFandE*(1-'Development Inputs'!$A$22)/('Development Inputs'!$C$22-'Development Inputs'!$B$22),0))</f>
        <v>0</v>
      </c>
      <c r="M37" s="229">
        <f>IF(M$6='Development Inputs'!$B$22,'Development Inputs'!$A$22*TotalFFandE,IF(AND(M$6&gt;'Development Inputs'!$B$22,M$6&lt;='Development Inputs'!$C$22),TotalFFandE*(1-'Development Inputs'!$A$22)/('Development Inputs'!$C$22-'Development Inputs'!$B$22),0))</f>
        <v>0</v>
      </c>
      <c r="N37" s="229">
        <f>IF(N$6='Development Inputs'!$B$22,'Development Inputs'!$A$22*TotalFFandE,IF(AND(N$6&gt;'Development Inputs'!$B$22,N$6&lt;='Development Inputs'!$C$22),TotalFFandE*(1-'Development Inputs'!$A$22)/('Development Inputs'!$C$22-'Development Inputs'!$B$22),0))</f>
        <v>312500</v>
      </c>
      <c r="O37" s="229">
        <f>IF(O$6='Development Inputs'!$B$22,'Development Inputs'!$A$22*TotalFFandE,IF(AND(O$6&gt;'Development Inputs'!$B$22,O$6&lt;='Development Inputs'!$C$22),TotalFFandE*(1-'Development Inputs'!$A$22)/('Development Inputs'!$C$22-'Development Inputs'!$B$22),0))</f>
        <v>62500</v>
      </c>
      <c r="P37" s="229">
        <f>IF(P$6='Development Inputs'!$B$22,'Development Inputs'!$A$22*TotalFFandE,IF(AND(P$6&gt;'Development Inputs'!$B$22,P$6&lt;='Development Inputs'!$C$22),TotalFFandE*(1-'Development Inputs'!$A$22)/('Development Inputs'!$C$22-'Development Inputs'!$B$22),0))</f>
        <v>62500</v>
      </c>
      <c r="Q37" s="229">
        <f>IF(Q$6='Development Inputs'!$B$22,'Development Inputs'!$A$22*TotalFFandE,IF(AND(Q$6&gt;'Development Inputs'!$B$22,Q$6&lt;='Development Inputs'!$C$22),TotalFFandE*(1-'Development Inputs'!$A$22)/('Development Inputs'!$C$22-'Development Inputs'!$B$22),0))</f>
        <v>62500</v>
      </c>
      <c r="R37" s="229">
        <f>IF(R$6='Development Inputs'!$B$22,'Development Inputs'!$A$22*TotalFFandE,IF(AND(R$6&gt;'Development Inputs'!$B$22,R$6&lt;='Development Inputs'!$C$22),TotalFFandE*(1-'Development Inputs'!$A$22)/('Development Inputs'!$C$22-'Development Inputs'!$B$22),0))</f>
        <v>62500</v>
      </c>
      <c r="S37" s="229">
        <f>IF(S$6='Development Inputs'!$B$22,'Development Inputs'!$A$22*TotalFFandE,IF(AND(S$6&gt;'Development Inputs'!$B$22,S$6&lt;='Development Inputs'!$C$22),TotalFFandE*(1-'Development Inputs'!$A$22)/('Development Inputs'!$C$22-'Development Inputs'!$B$22),0))</f>
        <v>62500</v>
      </c>
      <c r="T37" s="229">
        <f>IF(T$6='Development Inputs'!$B$22,'Development Inputs'!$A$22*TotalFFandE,IF(AND(T$6&gt;'Development Inputs'!$B$22,T$6&lt;='Development Inputs'!$C$22),TotalFFandE*(1-'Development Inputs'!$A$22)/('Development Inputs'!$C$22-'Development Inputs'!$B$22),0))</f>
        <v>0</v>
      </c>
      <c r="U37" s="229">
        <f>IF(U$6='Development Inputs'!$B$22,'Development Inputs'!$A$22*TotalFFandE,IF(AND(U$6&gt;'Development Inputs'!$B$22,U$6&lt;='Development Inputs'!$C$22),TotalFFandE*(1-'Development Inputs'!$A$22)/('Development Inputs'!$C$22-'Development Inputs'!$B$22),0))</f>
        <v>0</v>
      </c>
      <c r="V37" s="229">
        <f>IF(V$6='Development Inputs'!$B$22,'Development Inputs'!$A$22*TotalFFandE,IF(AND(V$6&gt;'Development Inputs'!$B$22,V$6&lt;='Development Inputs'!$C$22),TotalFFandE*(1-'Development Inputs'!$A$22)/('Development Inputs'!$C$22-'Development Inputs'!$B$22),0))</f>
        <v>0</v>
      </c>
      <c r="W37" s="229">
        <f>IF(W$6='Development Inputs'!$B$22,'Development Inputs'!$A$22*TotalFFandE,IF(AND(W$6&gt;'Development Inputs'!$B$22,W$6&lt;='Development Inputs'!$C$22),TotalFFandE*(1-'Development Inputs'!$A$22)/('Development Inputs'!$C$22-'Development Inputs'!$B$22),0))</f>
        <v>0</v>
      </c>
      <c r="X37" s="229">
        <f>IF(X$6='Development Inputs'!$B$22,'Development Inputs'!$A$22*TotalFFandE,IF(AND(X$6&gt;'Development Inputs'!$B$22,X$6&lt;='Development Inputs'!$C$22),TotalFFandE*(1-'Development Inputs'!$A$22)/('Development Inputs'!$C$22-'Development Inputs'!$B$22),0))</f>
        <v>0</v>
      </c>
      <c r="Y37" s="229">
        <f>IF(Y$6='Development Inputs'!$B$22,'Development Inputs'!$A$22*TotalFFandE,IF(AND(Y$6&gt;'Development Inputs'!$B$22,Y$6&lt;='Development Inputs'!$C$22),TotalFFandE*(1-'Development Inputs'!$A$22)/('Development Inputs'!$C$22-'Development Inputs'!$B$22),0))</f>
        <v>0</v>
      </c>
      <c r="Z37" s="229">
        <f>IF(Z$6='Development Inputs'!$B$22,'Development Inputs'!$A$22*TotalFFandE,IF(AND(Z$6&gt;'Development Inputs'!$B$22,Z$6&lt;='Development Inputs'!$C$22),TotalFFandE*(1-'Development Inputs'!$A$22)/('Development Inputs'!$C$22-'Development Inputs'!$B$22),0))</f>
        <v>0</v>
      </c>
      <c r="AA37" s="229">
        <f>IF(AA$6='Development Inputs'!$B$22,'Development Inputs'!$A$22*TotalFFandE,IF(AND(AA$6&gt;'Development Inputs'!$B$22,AA$6&lt;='Development Inputs'!$C$22),TotalFFandE*(1-'Development Inputs'!$A$22)/('Development Inputs'!$C$22-'Development Inputs'!$B$22),0))</f>
        <v>0</v>
      </c>
      <c r="AB37" s="229">
        <f>IF(AB$6='Development Inputs'!$B$22,'Development Inputs'!$A$22*TotalFFandE,IF(AND(AB$6&gt;'Development Inputs'!$B$22,AB$6&lt;='Development Inputs'!$C$22),TotalFFandE*(1-'Development Inputs'!$A$22)/('Development Inputs'!$C$22-'Development Inputs'!$B$22),0))</f>
        <v>0</v>
      </c>
      <c r="AC37" s="229">
        <f>IF(AC$6='Development Inputs'!$B$22,'Development Inputs'!$A$22*TotalFFandE,IF(AND(AC$6&gt;'Development Inputs'!$B$22,AC$6&lt;='Development Inputs'!$C$22),TotalFFandE*(1-'Development Inputs'!$A$22)/('Development Inputs'!$C$22-'Development Inputs'!$B$22),0))</f>
        <v>0</v>
      </c>
      <c r="AD37" s="229">
        <f>IF(AD$6='Development Inputs'!$B$22,'Development Inputs'!$A$22*TotalFFandE,IF(AND(AD$6&gt;'Development Inputs'!$B$22,AD$6&lt;='Development Inputs'!$C$22),TotalFFandE*(1-'Development Inputs'!$A$22)/('Development Inputs'!$C$22-'Development Inputs'!$B$22),0))</f>
        <v>0</v>
      </c>
      <c r="AE37" s="229">
        <f>IF(AE$6='Development Inputs'!$B$22,'Development Inputs'!$A$22*TotalFFandE,IF(AND(AE$6&gt;'Development Inputs'!$B$22,AE$6&lt;='Development Inputs'!$C$22),TotalFFandE*(1-'Development Inputs'!$A$22)/('Development Inputs'!$C$22-'Development Inputs'!$B$22),0))</f>
        <v>0</v>
      </c>
      <c r="AF37" s="229">
        <f>IF(AF$6='Development Inputs'!$B$22,'Development Inputs'!$A$22*TotalFFandE,IF(AND(AF$6&gt;'Development Inputs'!$B$22,AF$6&lt;='Development Inputs'!$C$22),TotalFFandE*(1-'Development Inputs'!$A$22)/('Development Inputs'!$C$22-'Development Inputs'!$B$22),0))</f>
        <v>0</v>
      </c>
      <c r="AG37" s="229">
        <f>IF(AG$6='Development Inputs'!$B$22,'Development Inputs'!$A$22*TotalFFandE,IF(AND(AG$6&gt;'Development Inputs'!$B$22,AG$6&lt;='Development Inputs'!$C$22),TotalFFandE*(1-'Development Inputs'!$A$22)/('Development Inputs'!$C$22-'Development Inputs'!$B$22),0))</f>
        <v>0</v>
      </c>
      <c r="AH37" s="229">
        <f>IF(AH$6='Development Inputs'!$B$22,'Development Inputs'!$A$22*TotalFFandE,IF(AND(AH$6&gt;'Development Inputs'!$B$22,AH$6&lt;='Development Inputs'!$C$22),TotalFFandE*(1-'Development Inputs'!$A$22)/('Development Inputs'!$C$22-'Development Inputs'!$B$22),0))</f>
        <v>0</v>
      </c>
      <c r="AI37" s="229">
        <f>IF(AI$6='Development Inputs'!$B$22,'Development Inputs'!$A$22*TotalFFandE,IF(AND(AI$6&gt;'Development Inputs'!$B$22,AI$6&lt;='Development Inputs'!$C$22),TotalFFandE*(1-'Development Inputs'!$A$22)/('Development Inputs'!$C$22-'Development Inputs'!$B$22),0))</f>
        <v>0</v>
      </c>
      <c r="AJ37" s="229">
        <f>IF(AJ$6='Development Inputs'!$B$22,'Development Inputs'!$A$22*TotalFFandE,IF(AND(AJ$6&gt;'Development Inputs'!$B$22,AJ$6&lt;='Development Inputs'!$C$22),TotalFFandE*(1-'Development Inputs'!$A$22)/('Development Inputs'!$C$22-'Development Inputs'!$B$22),0))</f>
        <v>0</v>
      </c>
      <c r="AK37" s="229">
        <f>IF(AK$6='Development Inputs'!$B$22,'Development Inputs'!$A$22*TotalFFandE,IF(AND(AK$6&gt;'Development Inputs'!$B$22,AK$6&lt;='Development Inputs'!$C$22),TotalFFandE*(1-'Development Inputs'!$A$22)/('Development Inputs'!$C$22-'Development Inputs'!$B$22),0))</f>
        <v>0</v>
      </c>
      <c r="AL37" s="229">
        <f>IF(AL$6='Development Inputs'!$B$22,'Development Inputs'!$A$22*TotalFFandE,IF(AND(AL$6&gt;'Development Inputs'!$B$22,AL$6&lt;='Development Inputs'!$C$22),TotalFFandE*(1-'Development Inputs'!$A$22)/('Development Inputs'!$C$22-'Development Inputs'!$B$22),0))</f>
        <v>0</v>
      </c>
      <c r="AM37" s="229">
        <f>IF(AM$6='Development Inputs'!$B$22,'Development Inputs'!$A$22*TotalFFandE,IF(AND(AM$6&gt;'Development Inputs'!$B$22,AM$6&lt;='Development Inputs'!$C$22),TotalFFandE*(1-'Development Inputs'!$A$22)/('Development Inputs'!$C$22-'Development Inputs'!$B$22),0))</f>
        <v>0</v>
      </c>
      <c r="AN37" s="229">
        <f>IF(AN$6='Development Inputs'!$B$22,'Development Inputs'!$A$22*TotalFFandE,IF(AND(AN$6&gt;'Development Inputs'!$B$22,AN$6&lt;='Development Inputs'!$C$22),TotalFFandE*(1-'Development Inputs'!$A$22)/('Development Inputs'!$C$22-'Development Inputs'!$B$22),0))</f>
        <v>0</v>
      </c>
      <c r="AO37" s="229">
        <f>IF(AO$6='Development Inputs'!$B$22,'Development Inputs'!$A$22*TotalFFandE,IF(AND(AO$6&gt;'Development Inputs'!$B$22,AO$6&lt;='Development Inputs'!$C$22),TotalFFandE*(1-'Development Inputs'!$A$22)/('Development Inputs'!$C$22-'Development Inputs'!$B$22),0))</f>
        <v>0</v>
      </c>
      <c r="AP37" s="229">
        <f>IF(AP$6='Development Inputs'!$B$22,'Development Inputs'!$A$22*TotalFFandE,IF(AND(AP$6&gt;'Development Inputs'!$B$22,AP$6&lt;='Development Inputs'!$C$22),TotalFFandE*(1-'Development Inputs'!$A$22)/('Development Inputs'!$C$22-'Development Inputs'!$B$22),0))</f>
        <v>0</v>
      </c>
      <c r="AQ37" s="229">
        <f>IF(AQ$6='Development Inputs'!$B$22,'Development Inputs'!$A$22*TotalFFandE,IF(AND(AQ$6&gt;'Development Inputs'!$B$22,AQ$6&lt;='Development Inputs'!$C$22),TotalFFandE*(1-'Development Inputs'!$A$22)/('Development Inputs'!$C$22-'Development Inputs'!$B$22),0))</f>
        <v>0</v>
      </c>
      <c r="AR37" s="229">
        <f>IF(AR$6='Development Inputs'!$B$22,'Development Inputs'!$A$22*TotalFFandE,IF(AND(AR$6&gt;'Development Inputs'!$B$22,AR$6&lt;='Development Inputs'!$C$22),TotalFFandE*(1-'Development Inputs'!$A$22)/('Development Inputs'!$C$22-'Development Inputs'!$B$22),0))</f>
        <v>0</v>
      </c>
      <c r="AS37" s="229">
        <f>IF(AS$6='Development Inputs'!$B$22,'Development Inputs'!$A$22*TotalFFandE,IF(AND(AS$6&gt;'Development Inputs'!$B$22,AS$6&lt;='Development Inputs'!$C$22),TotalFFandE*(1-'Development Inputs'!$A$22)/('Development Inputs'!$C$22-'Development Inputs'!$B$22),0))</f>
        <v>0</v>
      </c>
      <c r="AT37" s="229">
        <f>IF(AT$6='Development Inputs'!$B$22,'Development Inputs'!$A$22*TotalFFandE,IF(AND(AT$6&gt;'Development Inputs'!$B$22,AT$6&lt;='Development Inputs'!$C$22),TotalFFandE*(1-'Development Inputs'!$A$22)/('Development Inputs'!$C$22-'Development Inputs'!$B$22),0))</f>
        <v>0</v>
      </c>
      <c r="AU37" s="229">
        <f>IF(AU$6='Development Inputs'!$B$22,'Development Inputs'!$A$22*TotalFFandE,IF(AND(AU$6&gt;'Development Inputs'!$B$22,AU$6&lt;='Development Inputs'!$C$22),TotalFFandE*(1-'Development Inputs'!$A$22)/('Development Inputs'!$C$22-'Development Inputs'!$B$22),0))</f>
        <v>0</v>
      </c>
      <c r="AV37" s="229">
        <f>IF(AV$6='Development Inputs'!$B$22,'Development Inputs'!$A$22*TotalFFandE,IF(AND(AV$6&gt;'Development Inputs'!$B$22,AV$6&lt;='Development Inputs'!$C$22),TotalFFandE*(1-'Development Inputs'!$A$22)/('Development Inputs'!$C$22-'Development Inputs'!$B$22),0))</f>
        <v>0</v>
      </c>
      <c r="AW37" s="229">
        <f>IF(AW$6='Development Inputs'!$B$22,'Development Inputs'!$A$22*TotalFFandE,IF(AND(AW$6&gt;'Development Inputs'!$B$22,AW$6&lt;='Development Inputs'!$C$22),TotalFFandE*(1-'Development Inputs'!$A$22)/('Development Inputs'!$C$22-'Development Inputs'!$B$22),0))</f>
        <v>0</v>
      </c>
      <c r="AX37" s="229">
        <f>IF(AX$6='Development Inputs'!$B$22,'Development Inputs'!$A$22*TotalFFandE,IF(AND(AX$6&gt;'Development Inputs'!$B$22,AX$6&lt;='Development Inputs'!$C$22),TotalFFandE*(1-'Development Inputs'!$A$22)/('Development Inputs'!$C$22-'Development Inputs'!$B$22),0))</f>
        <v>0</v>
      </c>
      <c r="AY37" s="229">
        <f>IF(AY$6='Development Inputs'!$B$22,'Development Inputs'!$A$22*TotalFFandE,IF(AND(AY$6&gt;'Development Inputs'!$B$22,AY$6&lt;='Development Inputs'!$C$22),TotalFFandE*(1-'Development Inputs'!$A$22)/('Development Inputs'!$C$22-'Development Inputs'!$B$22),0))</f>
        <v>0</v>
      </c>
      <c r="AZ37" s="229">
        <f>IF(AZ$6='Development Inputs'!$B$22,'Development Inputs'!$A$22*TotalFFandE,IF(AND(AZ$6&gt;'Development Inputs'!$B$22,AZ$6&lt;='Development Inputs'!$C$22),TotalFFandE*(1-'Development Inputs'!$A$22)/('Development Inputs'!$C$22-'Development Inputs'!$B$22),0))</f>
        <v>0</v>
      </c>
      <c r="BA37" s="229">
        <f>IF(BA$6='Development Inputs'!$B$22,'Development Inputs'!$A$22*TotalFFandE,IF(AND(BA$6&gt;'Development Inputs'!$B$22,BA$6&lt;='Development Inputs'!$C$22),TotalFFandE*(1-'Development Inputs'!$A$22)/('Development Inputs'!$C$22-'Development Inputs'!$B$22),0))</f>
        <v>0</v>
      </c>
      <c r="BB37" s="229">
        <f>IF(BB$6='Development Inputs'!$B$22,'Development Inputs'!$A$22*TotalFFandE,IF(AND(BB$6&gt;'Development Inputs'!$B$22,BB$6&lt;='Development Inputs'!$C$22),TotalFFandE*(1-'Development Inputs'!$A$22)/('Development Inputs'!$C$22-'Development Inputs'!$B$22),0))</f>
        <v>0</v>
      </c>
      <c r="BC37" s="229">
        <f>IF(BC$6='Development Inputs'!$B$22,'Development Inputs'!$A$22*TotalFFandE,IF(AND(BC$6&gt;'Development Inputs'!$B$22,BC$6&lt;='Development Inputs'!$C$22),TotalFFandE*(1-'Development Inputs'!$A$22)/('Development Inputs'!$C$22-'Development Inputs'!$B$22),0))</f>
        <v>0</v>
      </c>
      <c r="BD37" s="229">
        <f>IF(BD$6='Development Inputs'!$B$22,'Development Inputs'!$A$22*TotalFFandE,IF(AND(BD$6&gt;'Development Inputs'!$B$22,BD$6&lt;='Development Inputs'!$C$22),TotalFFandE*(1-'Development Inputs'!$A$22)/('Development Inputs'!$C$22-'Development Inputs'!$B$22),0))</f>
        <v>0</v>
      </c>
      <c r="BE37" s="229">
        <f>IF(BE$6='Development Inputs'!$B$22,'Development Inputs'!$A$22*TotalFFandE,IF(AND(BE$6&gt;'Development Inputs'!$B$22,BE$6&lt;='Development Inputs'!$C$22),TotalFFandE*(1-'Development Inputs'!$A$22)/('Development Inputs'!$C$22-'Development Inputs'!$B$22),0))</f>
        <v>0</v>
      </c>
      <c r="BF37" s="229">
        <f>IF(BF$6='Development Inputs'!$B$22,'Development Inputs'!$A$22*TotalFFandE,IF(AND(BF$6&gt;'Development Inputs'!$B$22,BF$6&lt;='Development Inputs'!$C$22),TotalFFandE*(1-'Development Inputs'!$A$22)/('Development Inputs'!$C$22-'Development Inputs'!$B$22),0))</f>
        <v>0</v>
      </c>
      <c r="BG37" s="229">
        <f>IF(BG$6='Development Inputs'!$B$22,'Development Inputs'!$A$22*TotalFFandE,IF(AND(BG$6&gt;'Development Inputs'!$B$22,BG$6&lt;='Development Inputs'!$C$22),TotalFFandE*(1-'Development Inputs'!$A$22)/('Development Inputs'!$C$22-'Development Inputs'!$B$22),0))</f>
        <v>0</v>
      </c>
      <c r="BH37" s="229">
        <f>IF(BH$6='Development Inputs'!$B$22,'Development Inputs'!$A$22*TotalFFandE,IF(AND(BH$6&gt;'Development Inputs'!$B$22,BH$6&lt;='Development Inputs'!$C$22),TotalFFandE*(1-'Development Inputs'!$A$22)/('Development Inputs'!$C$22-'Development Inputs'!$B$22),0))</f>
        <v>0</v>
      </c>
      <c r="BI37" s="229">
        <f>IF(BI$6='Development Inputs'!$B$22,'Development Inputs'!$A$22*TotalFFandE,IF(AND(BI$6&gt;'Development Inputs'!$B$22,BI$6&lt;='Development Inputs'!$C$22),TotalFFandE*(1-'Development Inputs'!$A$22)/('Development Inputs'!$C$22-'Development Inputs'!$B$22),0))</f>
        <v>0</v>
      </c>
      <c r="BJ37" s="229">
        <f>IF(BJ$6='Development Inputs'!$B$22,'Development Inputs'!$A$22*TotalFFandE,IF(AND(BJ$6&gt;'Development Inputs'!$B$22,BJ$6&lt;='Development Inputs'!$C$22),TotalFFandE*(1-'Development Inputs'!$A$22)/('Development Inputs'!$C$22-'Development Inputs'!$B$22),0))</f>
        <v>0</v>
      </c>
      <c r="BK37" s="229">
        <f>IF(BK$6='Development Inputs'!$B$22,'Development Inputs'!$A$22*TotalFFandE,IF(AND(BK$6&gt;'Development Inputs'!$B$22,BK$6&lt;='Development Inputs'!$C$22),TotalFFandE*(1-'Development Inputs'!$A$22)/('Development Inputs'!$C$22-'Development Inputs'!$B$22),0))</f>
        <v>0</v>
      </c>
      <c r="BL37" s="229">
        <f>IF(BL$6='Development Inputs'!$B$22,'Development Inputs'!$A$22*TotalFFandE,IF(AND(BL$6&gt;'Development Inputs'!$B$22,BL$6&lt;='Development Inputs'!$C$22),TotalFFandE*(1-'Development Inputs'!$A$22)/('Development Inputs'!$C$22-'Development Inputs'!$B$22),0))</f>
        <v>0</v>
      </c>
      <c r="BM37" s="229">
        <f>IF(BM$6='Development Inputs'!$B$22,'Development Inputs'!$A$22*TotalFFandE,IF(AND(BM$6&gt;'Development Inputs'!$B$22,BM$6&lt;='Development Inputs'!$C$22),TotalFFandE*(1-'Development Inputs'!$A$22)/('Development Inputs'!$C$22-'Development Inputs'!$B$22),0))</f>
        <v>0</v>
      </c>
      <c r="BN37" s="229">
        <f>IF(BN$6='Development Inputs'!$B$22,'Development Inputs'!$A$22*TotalFFandE,IF(AND(BN$6&gt;'Development Inputs'!$B$22,BN$6&lt;='Development Inputs'!$C$22),TotalFFandE*(1-'Development Inputs'!$A$22)/('Development Inputs'!$C$22-'Development Inputs'!$B$22),0))</f>
        <v>0</v>
      </c>
      <c r="BO37" s="229">
        <f>IF(BO$6='Development Inputs'!$B$22,'Development Inputs'!$A$22*TotalFFandE,IF(AND(BO$6&gt;'Development Inputs'!$B$22,BO$6&lt;='Development Inputs'!$C$22),TotalFFandE*(1-'Development Inputs'!$A$22)/('Development Inputs'!$C$22-'Development Inputs'!$B$22),0))</f>
        <v>0</v>
      </c>
      <c r="BP37" s="229">
        <f>IF(BP$6='Development Inputs'!$B$22,'Development Inputs'!$A$22*TotalFFandE,IF(AND(BP$6&gt;'Development Inputs'!$B$22,BP$6&lt;='Development Inputs'!$C$22),TotalFFandE*(1-'Development Inputs'!$A$22)/('Development Inputs'!$C$22-'Development Inputs'!$B$22),0))</f>
        <v>0</v>
      </c>
      <c r="BQ37" s="229">
        <f>IF(BQ$6='Development Inputs'!$B$22,'Development Inputs'!$A$22*TotalFFandE,IF(AND(BQ$6&gt;'Development Inputs'!$B$22,BQ$6&lt;='Development Inputs'!$C$22),TotalFFandE*(1-'Development Inputs'!$A$22)/('Development Inputs'!$C$22-'Development Inputs'!$B$22),0))</f>
        <v>0</v>
      </c>
      <c r="BR37" s="229">
        <f>IF(BR$6='Development Inputs'!$B$22,'Development Inputs'!$A$22*TotalFFandE,IF(AND(BR$6&gt;'Development Inputs'!$B$22,BR$6&lt;='Development Inputs'!$C$22),TotalFFandE*(1-'Development Inputs'!$A$22)/('Development Inputs'!$C$22-'Development Inputs'!$B$22),0))</f>
        <v>0</v>
      </c>
      <c r="BS37" s="229">
        <f>IF(BS$6='Development Inputs'!$B$22,'Development Inputs'!$A$22*TotalFFandE,IF(AND(BS$6&gt;'Development Inputs'!$B$22,BS$6&lt;='Development Inputs'!$C$22),TotalFFandE*(1-'Development Inputs'!$A$22)/('Development Inputs'!$C$22-'Development Inputs'!$B$22),0))</f>
        <v>0</v>
      </c>
      <c r="BT37" s="229">
        <f>IF(BT$6='Development Inputs'!$B$22,'Development Inputs'!$A$22*TotalFFandE,IF(AND(BT$6&gt;'Development Inputs'!$B$22,BT$6&lt;='Development Inputs'!$C$22),TotalFFandE*(1-'Development Inputs'!$A$22)/('Development Inputs'!$C$22-'Development Inputs'!$B$22),0))</f>
        <v>0</v>
      </c>
      <c r="BU37" s="229">
        <f>IF(BU$6='Development Inputs'!$B$22,'Development Inputs'!$A$22*TotalFFandE,IF(AND(BU$6&gt;'Development Inputs'!$B$22,BU$6&lt;='Development Inputs'!$C$22),TotalFFandE*(1-'Development Inputs'!$A$22)/('Development Inputs'!$C$22-'Development Inputs'!$B$22),0))</f>
        <v>0</v>
      </c>
      <c r="BV37" s="229">
        <f>IF(BV$6='Development Inputs'!$B$22,'Development Inputs'!$A$22*TotalFFandE,IF(AND(BV$6&gt;'Development Inputs'!$B$22,BV$6&lt;='Development Inputs'!$C$22),TotalFFandE*(1-'Development Inputs'!$A$22)/('Development Inputs'!$C$22-'Development Inputs'!$B$22),0))</f>
        <v>0</v>
      </c>
      <c r="BW37" s="229">
        <f>IF(BW$6='Development Inputs'!$B$22,'Development Inputs'!$A$22*TotalFFandE,IF(AND(BW$6&gt;'Development Inputs'!$B$22,BW$6&lt;='Development Inputs'!$C$22),TotalFFandE*(1-'Development Inputs'!$A$22)/('Development Inputs'!$C$22-'Development Inputs'!$B$22),0))</f>
        <v>0</v>
      </c>
      <c r="BX37" s="229">
        <f>IF(BX$6='Development Inputs'!$B$22,'Development Inputs'!$A$22*TotalFFandE,IF(AND(BX$6&gt;'Development Inputs'!$B$22,BX$6&lt;='Development Inputs'!$C$22),TotalFFandE*(1-'Development Inputs'!$A$22)/('Development Inputs'!$C$22-'Development Inputs'!$B$22),0))</f>
        <v>0</v>
      </c>
      <c r="BY37" s="229">
        <f>IF(BY$6='Development Inputs'!$B$22,'Development Inputs'!$A$22*TotalFFandE,IF(AND(BY$6&gt;'Development Inputs'!$B$22,BY$6&lt;='Development Inputs'!$C$22),TotalFFandE*(1-'Development Inputs'!$A$22)/('Development Inputs'!$C$22-'Development Inputs'!$B$22),0))</f>
        <v>0</v>
      </c>
      <c r="BZ37" s="229">
        <f>IF(BZ$6='Development Inputs'!$B$22,'Development Inputs'!$A$22*TotalFFandE,IF(AND(BZ$6&gt;'Development Inputs'!$B$22,BZ$6&lt;='Development Inputs'!$C$22),TotalFFandE*(1-'Development Inputs'!$A$22)/('Development Inputs'!$C$22-'Development Inputs'!$B$22),0))</f>
        <v>0</v>
      </c>
      <c r="CA37" s="229">
        <f>IF(CA$6='Development Inputs'!$B$22,'Development Inputs'!$A$22*TotalFFandE,IF(AND(CA$6&gt;'Development Inputs'!$B$22,CA$6&lt;='Development Inputs'!$C$22),TotalFFandE*(1-'Development Inputs'!$A$22)/('Development Inputs'!$C$22-'Development Inputs'!$B$22),0))</f>
        <v>0</v>
      </c>
      <c r="CB37" s="229">
        <f>IF(CB$6='Development Inputs'!$B$22,'Development Inputs'!$A$22*TotalFFandE,IF(AND(CB$6&gt;'Development Inputs'!$B$22,CB$6&lt;='Development Inputs'!$C$22),TotalFFandE*(1-'Development Inputs'!$A$22)/('Development Inputs'!$C$22-'Development Inputs'!$B$22),0))</f>
        <v>0</v>
      </c>
      <c r="CC37" s="229">
        <f>IF(CC$6='Development Inputs'!$B$22,'Development Inputs'!$A$22*TotalFFandE,IF(AND(CC$6&gt;'Development Inputs'!$B$22,CC$6&lt;='Development Inputs'!$C$22),TotalFFandE*(1-'Development Inputs'!$A$22)/('Development Inputs'!$C$22-'Development Inputs'!$B$22),0))</f>
        <v>0</v>
      </c>
      <c r="CD37" s="229">
        <f>IF(CD$6='Development Inputs'!$B$22,'Development Inputs'!$A$22*TotalFFandE,IF(AND(CD$6&gt;'Development Inputs'!$B$22,CD$6&lt;='Development Inputs'!$C$22),TotalFFandE*(1-'Development Inputs'!$A$22)/('Development Inputs'!$C$22-'Development Inputs'!$B$22),0))</f>
        <v>0</v>
      </c>
      <c r="CE37" s="229">
        <f>IF(CE$6='Development Inputs'!$B$22,'Development Inputs'!$A$22*TotalFFandE,IF(AND(CE$6&gt;'Development Inputs'!$B$22,CE$6&lt;='Development Inputs'!$C$22),TotalFFandE*(1-'Development Inputs'!$A$22)/('Development Inputs'!$C$22-'Development Inputs'!$B$22),0))</f>
        <v>0</v>
      </c>
      <c r="CF37" s="229">
        <f>IF(CF$6='Development Inputs'!$B$22,'Development Inputs'!$A$22*TotalFFandE,IF(AND(CF$6&gt;'Development Inputs'!$B$22,CF$6&lt;='Development Inputs'!$C$22),TotalFFandE*(1-'Development Inputs'!$A$22)/('Development Inputs'!$C$22-'Development Inputs'!$B$22),0))</f>
        <v>0</v>
      </c>
      <c r="CG37" s="229">
        <f>IF(CG$6='Development Inputs'!$B$22,'Development Inputs'!$A$22*TotalFFandE,IF(AND(CG$6&gt;'Development Inputs'!$B$22,CG$6&lt;='Development Inputs'!$C$22),TotalFFandE*(1-'Development Inputs'!$A$22)/('Development Inputs'!$C$22-'Development Inputs'!$B$22),0))</f>
        <v>0</v>
      </c>
      <c r="CH37" s="229">
        <f>IF(CH$6='Development Inputs'!$B$22,'Development Inputs'!$A$22*TotalFFandE,IF(AND(CH$6&gt;'Development Inputs'!$B$22,CH$6&lt;='Development Inputs'!$C$22),TotalFFandE*(1-'Development Inputs'!$A$22)/('Development Inputs'!$C$22-'Development Inputs'!$B$22),0))</f>
        <v>0</v>
      </c>
      <c r="CI37" s="229">
        <f>IF(CI$6='Development Inputs'!$B$22,'Development Inputs'!$A$22*TotalFFandE,IF(AND(CI$6&gt;'Development Inputs'!$B$22,CI$6&lt;='Development Inputs'!$C$22),TotalFFandE*(1-'Development Inputs'!$A$22)/('Development Inputs'!$C$22-'Development Inputs'!$B$22),0))</f>
        <v>0</v>
      </c>
      <c r="CJ37" s="229">
        <f>IF(CJ$6='Development Inputs'!$B$22,'Development Inputs'!$A$22*TotalFFandE,IF(AND(CJ$6&gt;'Development Inputs'!$B$22,CJ$6&lt;='Development Inputs'!$C$22),TotalFFandE*(1-'Development Inputs'!$A$22)/('Development Inputs'!$C$22-'Development Inputs'!$B$22),0))</f>
        <v>0</v>
      </c>
      <c r="CK37" s="229">
        <f>IF(CK$6='Development Inputs'!$B$22,'Development Inputs'!$A$22*TotalFFandE,IF(AND(CK$6&gt;'Development Inputs'!$B$22,CK$6&lt;='Development Inputs'!$C$22),TotalFFandE*(1-'Development Inputs'!$A$22)/('Development Inputs'!$C$22-'Development Inputs'!$B$22),0))</f>
        <v>0</v>
      </c>
      <c r="CL37" s="229">
        <f>IF(CL$6='Development Inputs'!$B$22,'Development Inputs'!$A$22*TotalFFandE,IF(AND(CL$6&gt;'Development Inputs'!$B$22,CL$6&lt;='Development Inputs'!$C$22),TotalFFandE*(1-'Development Inputs'!$A$22)/('Development Inputs'!$C$22-'Development Inputs'!$B$22),0))</f>
        <v>0</v>
      </c>
      <c r="CM37" s="229">
        <f>IF(CM$6='Development Inputs'!$B$22,'Development Inputs'!$A$22*TotalFFandE,IF(AND(CM$6&gt;'Development Inputs'!$B$22,CM$6&lt;='Development Inputs'!$C$22),TotalFFandE*(1-'Development Inputs'!$A$22)/('Development Inputs'!$C$22-'Development Inputs'!$B$22),0))</f>
        <v>0</v>
      </c>
      <c r="CN37" s="229">
        <f>IF(CN$6='Development Inputs'!$B$22,'Development Inputs'!$A$22*TotalFFandE,IF(AND(CN$6&gt;'Development Inputs'!$B$22,CN$6&lt;='Development Inputs'!$C$22),TotalFFandE*(1-'Development Inputs'!$A$22)/('Development Inputs'!$C$22-'Development Inputs'!$B$22),0))</f>
        <v>0</v>
      </c>
      <c r="CO37" s="229">
        <f>IF(CO$6='Development Inputs'!$B$22,'Development Inputs'!$A$22*TotalFFandE,IF(AND(CO$6&gt;'Development Inputs'!$B$22,CO$6&lt;='Development Inputs'!$C$22),TotalFFandE*(1-'Development Inputs'!$A$22)/('Development Inputs'!$C$22-'Development Inputs'!$B$22),0))</f>
        <v>0</v>
      </c>
      <c r="CP37" s="229">
        <f>IF(CP$6='Development Inputs'!$B$22,'Development Inputs'!$A$22*TotalFFandE,IF(AND(CP$6&gt;'Development Inputs'!$B$22,CP$6&lt;='Development Inputs'!$C$22),TotalFFandE*(1-'Development Inputs'!$A$22)/('Development Inputs'!$C$22-'Development Inputs'!$B$22),0))</f>
        <v>0</v>
      </c>
      <c r="CQ37" s="229">
        <f>IF(CQ$6='Development Inputs'!$B$22,'Development Inputs'!$A$22*TotalFFandE,IF(AND(CQ$6&gt;'Development Inputs'!$B$22,CQ$6&lt;='Development Inputs'!$C$22),TotalFFandE*(1-'Development Inputs'!$A$22)/('Development Inputs'!$C$22-'Development Inputs'!$B$22),0))</f>
        <v>0</v>
      </c>
      <c r="CR37" s="229">
        <f>IF(CR$6='Development Inputs'!$B$22,'Development Inputs'!$A$22*TotalFFandE,IF(AND(CR$6&gt;'Development Inputs'!$B$22,CR$6&lt;='Development Inputs'!$C$22),TotalFFandE*(1-'Development Inputs'!$A$22)/('Development Inputs'!$C$22-'Development Inputs'!$B$22),0))</f>
        <v>0</v>
      </c>
      <c r="CS37" s="229">
        <f>IF(CS$6='Development Inputs'!$B$22,'Development Inputs'!$A$22*TotalFFandE,IF(AND(CS$6&gt;'Development Inputs'!$B$22,CS$6&lt;='Development Inputs'!$C$22),TotalFFandE*(1-'Development Inputs'!$A$22)/('Development Inputs'!$C$22-'Development Inputs'!$B$22),0))</f>
        <v>0</v>
      </c>
      <c r="CT37" s="229">
        <f>IF(CT$6='Development Inputs'!$B$22,'Development Inputs'!$A$22*TotalFFandE,IF(AND(CT$6&gt;'Development Inputs'!$B$22,CT$6&lt;='Development Inputs'!$C$22),TotalFFandE*(1-'Development Inputs'!$A$22)/('Development Inputs'!$C$22-'Development Inputs'!$B$22),0))</f>
        <v>0</v>
      </c>
      <c r="CU37" s="229">
        <f>IF(CU$6='Development Inputs'!$B$22,'Development Inputs'!$A$22*TotalFFandE,IF(AND(CU$6&gt;'Development Inputs'!$B$22,CU$6&lt;='Development Inputs'!$C$22),TotalFFandE*(1-'Development Inputs'!$A$22)/('Development Inputs'!$C$22-'Development Inputs'!$B$22),0))</f>
        <v>0</v>
      </c>
      <c r="CV37" s="229">
        <f>IF(CV$6='Development Inputs'!$B$22,'Development Inputs'!$A$22*TotalFFandE,IF(AND(CV$6&gt;'Development Inputs'!$B$22,CV$6&lt;='Development Inputs'!$C$22),TotalFFandE*(1-'Development Inputs'!$A$22)/('Development Inputs'!$C$22-'Development Inputs'!$B$22),0))</f>
        <v>0</v>
      </c>
      <c r="CW37" s="229">
        <f>IF(CW$6='Development Inputs'!$B$22,'Development Inputs'!$A$22*TotalFFandE,IF(AND(CW$6&gt;'Development Inputs'!$B$22,CW$6&lt;='Development Inputs'!$C$22),TotalFFandE*(1-'Development Inputs'!$A$22)/('Development Inputs'!$C$22-'Development Inputs'!$B$22),0))</f>
        <v>0</v>
      </c>
      <c r="CX37" s="229">
        <f>IF(CX$6='Development Inputs'!$B$22,'Development Inputs'!$A$22*TotalFFandE,IF(AND(CX$6&gt;'Development Inputs'!$B$22,CX$6&lt;='Development Inputs'!$C$22),TotalFFandE*(1-'Development Inputs'!$A$22)/('Development Inputs'!$C$22-'Development Inputs'!$B$22),0))</f>
        <v>0</v>
      </c>
      <c r="CY37" s="229">
        <f>IF(CY$6='Development Inputs'!$B$22,'Development Inputs'!$A$22*TotalFFandE,IF(AND(CY$6&gt;'Development Inputs'!$B$22,CY$6&lt;='Development Inputs'!$C$22),TotalFFandE*(1-'Development Inputs'!$A$22)/('Development Inputs'!$C$22-'Development Inputs'!$B$22),0))</f>
        <v>0</v>
      </c>
      <c r="CZ37" s="229">
        <f>IF(CZ$6='Development Inputs'!$B$22,'Development Inputs'!$A$22*TotalFFandE,IF(AND(CZ$6&gt;'Development Inputs'!$B$22,CZ$6&lt;='Development Inputs'!$C$22),TotalFFandE*(1-'Development Inputs'!$A$22)/('Development Inputs'!$C$22-'Development Inputs'!$B$22),0))</f>
        <v>0</v>
      </c>
      <c r="DA37" s="229">
        <f>IF(DA$6='Development Inputs'!$B$22,'Development Inputs'!$A$22*TotalFFandE,IF(AND(DA$6&gt;'Development Inputs'!$B$22,DA$6&lt;='Development Inputs'!$C$22),TotalFFandE*(1-'Development Inputs'!$A$22)/('Development Inputs'!$C$22-'Development Inputs'!$B$22),0))</f>
        <v>0</v>
      </c>
      <c r="DB37" s="229">
        <f>IF(DB$6='Development Inputs'!$B$22,'Development Inputs'!$A$22*TotalFFandE,IF(AND(DB$6&gt;'Development Inputs'!$B$22,DB$6&lt;='Development Inputs'!$C$22),TotalFFandE*(1-'Development Inputs'!$A$22)/('Development Inputs'!$C$22-'Development Inputs'!$B$22),0))</f>
        <v>0</v>
      </c>
      <c r="DC37" s="229">
        <f>IF(DC$6='Development Inputs'!$B$22,'Development Inputs'!$A$22*TotalFFandE,IF(AND(DC$6&gt;'Development Inputs'!$B$22,DC$6&lt;='Development Inputs'!$C$22),TotalFFandE*(1-'Development Inputs'!$A$22)/('Development Inputs'!$C$22-'Development Inputs'!$B$22),0))</f>
        <v>0</v>
      </c>
      <c r="DD37" s="229">
        <f>IF(DD$6='Development Inputs'!$B$22,'Development Inputs'!$A$22*TotalFFandE,IF(AND(DD$6&gt;'Development Inputs'!$B$22,DD$6&lt;='Development Inputs'!$C$22),TotalFFandE*(1-'Development Inputs'!$A$22)/('Development Inputs'!$C$22-'Development Inputs'!$B$22),0))</f>
        <v>0</v>
      </c>
      <c r="DE37" s="229">
        <f>IF(DE$6='Development Inputs'!$B$22,'Development Inputs'!$A$22*TotalFFandE,IF(AND(DE$6&gt;'Development Inputs'!$B$22,DE$6&lt;='Development Inputs'!$C$22),TotalFFandE*(1-'Development Inputs'!$A$22)/('Development Inputs'!$C$22-'Development Inputs'!$B$22),0))</f>
        <v>0</v>
      </c>
      <c r="DF37" s="229">
        <f>IF(DF$6='Development Inputs'!$B$22,'Development Inputs'!$A$22*TotalFFandE,IF(AND(DF$6&gt;'Development Inputs'!$B$22,DF$6&lt;='Development Inputs'!$C$22),TotalFFandE*(1-'Development Inputs'!$A$22)/('Development Inputs'!$C$22-'Development Inputs'!$B$22),0))</f>
        <v>0</v>
      </c>
      <c r="DG37" s="229">
        <f>IF(DG$6='Development Inputs'!$B$22,'Development Inputs'!$A$22*TotalFFandE,IF(AND(DG$6&gt;'Development Inputs'!$B$22,DG$6&lt;='Development Inputs'!$C$22),TotalFFandE*(1-'Development Inputs'!$A$22)/('Development Inputs'!$C$22-'Development Inputs'!$B$22),0))</f>
        <v>0</v>
      </c>
      <c r="DH37" s="229">
        <f>IF(DH$6='Development Inputs'!$B$22,'Development Inputs'!$A$22*TotalFFandE,IF(AND(DH$6&gt;'Development Inputs'!$B$22,DH$6&lt;='Development Inputs'!$C$22),TotalFFandE*(1-'Development Inputs'!$A$22)/('Development Inputs'!$C$22-'Development Inputs'!$B$22),0))</f>
        <v>0</v>
      </c>
      <c r="DI37" s="229">
        <f>IF(DI$6='Development Inputs'!$B$22,'Development Inputs'!$A$22*TotalFFandE,IF(AND(DI$6&gt;'Development Inputs'!$B$22,DI$6&lt;='Development Inputs'!$C$22),TotalFFandE*(1-'Development Inputs'!$A$22)/('Development Inputs'!$C$22-'Development Inputs'!$B$22),0))</f>
        <v>0</v>
      </c>
      <c r="DJ37" s="229">
        <f>IF(DJ$6='Development Inputs'!$B$22,'Development Inputs'!$A$22*TotalFFandE,IF(AND(DJ$6&gt;'Development Inputs'!$B$22,DJ$6&lt;='Development Inputs'!$C$22),TotalFFandE*(1-'Development Inputs'!$A$22)/('Development Inputs'!$C$22-'Development Inputs'!$B$22),0))</f>
        <v>0</v>
      </c>
      <c r="DK37" s="229">
        <f>IF(DK$6='Development Inputs'!$B$22,'Development Inputs'!$A$22*TotalFFandE,IF(AND(DK$6&gt;'Development Inputs'!$B$22,DK$6&lt;='Development Inputs'!$C$22),TotalFFandE*(1-'Development Inputs'!$A$22)/('Development Inputs'!$C$22-'Development Inputs'!$B$22),0))</f>
        <v>0</v>
      </c>
      <c r="DL37" s="229">
        <f>IF(DL$6='Development Inputs'!$B$22,'Development Inputs'!$A$22*TotalFFandE,IF(AND(DL$6&gt;'Development Inputs'!$B$22,DL$6&lt;='Development Inputs'!$C$22),TotalFFandE*(1-'Development Inputs'!$A$22)/('Development Inputs'!$C$22-'Development Inputs'!$B$22),0))</f>
        <v>0</v>
      </c>
      <c r="DM37" s="229">
        <f>IF(DM$6='Development Inputs'!$B$22,'Development Inputs'!$A$22*TotalFFandE,IF(AND(DM$6&gt;'Development Inputs'!$B$22,DM$6&lt;='Development Inputs'!$C$22),TotalFFandE*(1-'Development Inputs'!$A$22)/('Development Inputs'!$C$22-'Development Inputs'!$B$22),0))</f>
        <v>0</v>
      </c>
      <c r="DN37" s="229">
        <f>IF(DN$6='Development Inputs'!$B$22,'Development Inputs'!$A$22*TotalFFandE,IF(AND(DN$6&gt;'Development Inputs'!$B$22,DN$6&lt;='Development Inputs'!$C$22),TotalFFandE*(1-'Development Inputs'!$A$22)/('Development Inputs'!$C$22-'Development Inputs'!$B$22),0))</f>
        <v>0</v>
      </c>
      <c r="DO37" s="229">
        <f>IF(DO$6='Development Inputs'!$B$22,'Development Inputs'!$A$22*TotalFFandE,IF(AND(DO$6&gt;'Development Inputs'!$B$22,DO$6&lt;='Development Inputs'!$C$22),TotalFFandE*(1-'Development Inputs'!$A$22)/('Development Inputs'!$C$22-'Development Inputs'!$B$22),0))</f>
        <v>0</v>
      </c>
      <c r="DP37" s="229">
        <f>IF(DP$6='Development Inputs'!$B$22,'Development Inputs'!$A$22*TotalFFandE,IF(AND(DP$6&gt;'Development Inputs'!$B$22,DP$6&lt;='Development Inputs'!$C$22),TotalFFandE*(1-'Development Inputs'!$A$22)/('Development Inputs'!$C$22-'Development Inputs'!$B$22),0))</f>
        <v>0</v>
      </c>
      <c r="DQ37" s="229">
        <f>IF(DQ$6='Development Inputs'!$B$22,'Development Inputs'!$A$22*TotalFFandE,IF(AND(DQ$6&gt;'Development Inputs'!$B$22,DQ$6&lt;='Development Inputs'!$C$22),TotalFFandE*(1-'Development Inputs'!$A$22)/('Development Inputs'!$C$22-'Development Inputs'!$B$22),0))</f>
        <v>0</v>
      </c>
      <c r="DR37" s="229">
        <f>IF(DR$6='Development Inputs'!$B$22,'Development Inputs'!$A$22*TotalFFandE,IF(AND(DR$6&gt;'Development Inputs'!$B$22,DR$6&lt;='Development Inputs'!$C$22),TotalFFandE*(1-'Development Inputs'!$A$22)/('Development Inputs'!$C$22-'Development Inputs'!$B$22),0))</f>
        <v>0</v>
      </c>
      <c r="DS37" s="229">
        <f>IF(DS$6='Development Inputs'!$B$22,'Development Inputs'!$A$22*TotalFFandE,IF(AND(DS$6&gt;'Development Inputs'!$B$22,DS$6&lt;='Development Inputs'!$C$22),TotalFFandE*(1-'Development Inputs'!$A$22)/('Development Inputs'!$C$22-'Development Inputs'!$B$22),0))</f>
        <v>0</v>
      </c>
      <c r="DT37" s="229">
        <f>IF(DT$6='Development Inputs'!$B$22,'Development Inputs'!$A$22*TotalFFandE,IF(AND(DT$6&gt;'Development Inputs'!$B$22,DT$6&lt;='Development Inputs'!$C$22),TotalFFandE*(1-'Development Inputs'!$A$22)/('Development Inputs'!$C$22-'Development Inputs'!$B$22),0))</f>
        <v>0</v>
      </c>
      <c r="DU37" s="229">
        <f>IF(DU$6='Development Inputs'!$B$22,'Development Inputs'!$A$22*TotalFFandE,IF(AND(DU$6&gt;'Development Inputs'!$B$22,DU$6&lt;='Development Inputs'!$C$22),TotalFFandE*(1-'Development Inputs'!$A$22)/('Development Inputs'!$C$22-'Development Inputs'!$B$22),0))</f>
        <v>0</v>
      </c>
      <c r="DV37" s="229">
        <f>IF(DV$6='Development Inputs'!$B$22,'Development Inputs'!$A$22*TotalFFandE,IF(AND(DV$6&gt;'Development Inputs'!$B$22,DV$6&lt;='Development Inputs'!$C$22),TotalFFandE*(1-'Development Inputs'!$A$22)/('Development Inputs'!$C$22-'Development Inputs'!$B$22),0))</f>
        <v>0</v>
      </c>
      <c r="DW37" s="229">
        <f>IF(DW$6='Development Inputs'!$B$22,'Development Inputs'!$A$22*TotalFFandE,IF(AND(DW$6&gt;'Development Inputs'!$B$22,DW$6&lt;='Development Inputs'!$C$22),TotalFFandE*(1-'Development Inputs'!$A$22)/('Development Inputs'!$C$22-'Development Inputs'!$B$22),0))</f>
        <v>0</v>
      </c>
      <c r="DX37" s="229">
        <f>IF(DX$6='Development Inputs'!$B$22,'Development Inputs'!$A$22*TotalFFandE,IF(AND(DX$6&gt;'Development Inputs'!$B$22,DX$6&lt;='Development Inputs'!$C$22),TotalFFandE*(1-'Development Inputs'!$A$22)/('Development Inputs'!$C$22-'Development Inputs'!$B$22),0))</f>
        <v>0</v>
      </c>
      <c r="DY37" s="229">
        <f>IF(DY$6='Development Inputs'!$B$22,'Development Inputs'!$A$22*TotalFFandE,IF(AND(DY$6&gt;'Development Inputs'!$B$22,DY$6&lt;='Development Inputs'!$C$22),TotalFFandE*(1-'Development Inputs'!$A$22)/('Development Inputs'!$C$22-'Development Inputs'!$B$22),0))</f>
        <v>0</v>
      </c>
      <c r="DZ37" s="229">
        <f>IF(DZ$6='Development Inputs'!$B$22,'Development Inputs'!$A$22*TotalFFandE,IF(AND(DZ$6&gt;'Development Inputs'!$B$22,DZ$6&lt;='Development Inputs'!$C$22),TotalFFandE*(1-'Development Inputs'!$A$22)/('Development Inputs'!$C$22-'Development Inputs'!$B$22),0))</f>
        <v>0</v>
      </c>
      <c r="EA37" s="229">
        <f>IF(EA$6='Development Inputs'!$B$22,'Development Inputs'!$A$22*TotalFFandE,IF(AND(EA$6&gt;'Development Inputs'!$B$22,EA$6&lt;='Development Inputs'!$C$22),TotalFFandE*(1-'Development Inputs'!$A$22)/('Development Inputs'!$C$22-'Development Inputs'!$B$22),0))</f>
        <v>0</v>
      </c>
      <c r="EB37" s="229">
        <f>IF(EB$6='Development Inputs'!$B$22,'Development Inputs'!$A$22*TotalFFandE,IF(AND(EB$6&gt;'Development Inputs'!$B$22,EB$6&lt;='Development Inputs'!$C$22),TotalFFandE*(1-'Development Inputs'!$A$22)/('Development Inputs'!$C$22-'Development Inputs'!$B$22),0))</f>
        <v>0</v>
      </c>
      <c r="EC37" s="229">
        <f>IF(EC$6='Development Inputs'!$B$22,'Development Inputs'!$A$22*TotalFFandE,IF(AND(EC$6&gt;'Development Inputs'!$B$22,EC$6&lt;='Development Inputs'!$C$22),TotalFFandE*(1-'Development Inputs'!$A$22)/('Development Inputs'!$C$22-'Development Inputs'!$B$22),0))</f>
        <v>0</v>
      </c>
      <c r="ED37" s="229">
        <f>IF(ED$6='Development Inputs'!$B$22,'Development Inputs'!$A$22*TotalFFandE,IF(AND(ED$6&gt;'Development Inputs'!$B$22,ED$6&lt;='Development Inputs'!$C$22),TotalFFandE*(1-'Development Inputs'!$A$22)/('Development Inputs'!$C$22-'Development Inputs'!$B$22),0))</f>
        <v>0</v>
      </c>
      <c r="EE37" s="229">
        <f>IF(EE$6='Development Inputs'!$B$22,'Development Inputs'!$A$22*TotalFFandE,IF(AND(EE$6&gt;'Development Inputs'!$B$22,EE$6&lt;='Development Inputs'!$C$22),TotalFFandE*(1-'Development Inputs'!$A$22)/('Development Inputs'!$C$22-'Development Inputs'!$B$22),0))</f>
        <v>0</v>
      </c>
      <c r="EF37" s="229">
        <f>IF(EF$6='Development Inputs'!$B$22,'Development Inputs'!$A$22*TotalFFandE,IF(AND(EF$6&gt;'Development Inputs'!$B$22,EF$6&lt;='Development Inputs'!$C$22),TotalFFandE*(1-'Development Inputs'!$A$22)/('Development Inputs'!$C$22-'Development Inputs'!$B$22),0))</f>
        <v>0</v>
      </c>
      <c r="EG37" s="229">
        <f>IF(EG$6='Development Inputs'!$B$22,'Development Inputs'!$A$22*TotalFFandE,IF(AND(EG$6&gt;'Development Inputs'!$B$22,EG$6&lt;='Development Inputs'!$C$22),TotalFFandE*(1-'Development Inputs'!$A$22)/('Development Inputs'!$C$22-'Development Inputs'!$B$22),0))</f>
        <v>0</v>
      </c>
      <c r="EH37" s="229">
        <f>SUBTOTAL(9,E37:EG37)</f>
        <v>625000</v>
      </c>
      <c r="EI37" s="227"/>
    </row>
    <row r="38" spans="1:139" x14ac:dyDescent="0.3">
      <c r="A38" s="413" t="s">
        <v>671</v>
      </c>
      <c r="B38" s="413"/>
      <c r="C38" s="413"/>
      <c r="E38" s="229">
        <f>IF(E$6='Development Inputs'!$B$118,'Development Inputs'!$A$118*TotalInsurance,IF(AND(E$6&gt;'Development Inputs'!$B$118,E$6&lt;='Development Inputs'!$C$118),TotalInsurance*(1-'Development Inputs'!$A$118)/('Development Inputs'!$C$118-'Development Inputs'!$B$118),0))</f>
        <v>0</v>
      </c>
      <c r="F38" s="229">
        <f ca="1">IF(F$6='Development Inputs'!$B$118,'Development Inputs'!$A$118*TotalInsurance,IF(AND(F$6&gt;'Development Inputs'!$B$118,F$6&lt;='Development Inputs'!$C$118),TotalInsurance*(1-'Development Inputs'!$A$118)/('Development Inputs'!$C$118-'Development Inputs'!$B$118),0))</f>
        <v>1418022.6257534006</v>
      </c>
      <c r="G38" s="229">
        <f>IF(G$6='Development Inputs'!$B$118,'Development Inputs'!$A$118*TotalInsurance,IF(AND(G$6&gt;'Development Inputs'!$B$118,G$6&lt;='Development Inputs'!$C$118),TotalInsurance*(1-'Development Inputs'!$A$118)/('Development Inputs'!$C$118-'Development Inputs'!$B$118),0))</f>
        <v>0</v>
      </c>
      <c r="H38" s="229">
        <f>IF(H$6='Development Inputs'!$B$118,'Development Inputs'!$A$118*TotalInsurance,IF(AND(H$6&gt;'Development Inputs'!$B$118,H$6&lt;='Development Inputs'!$C$118),TotalInsurance*(1-'Development Inputs'!$A$118)/('Development Inputs'!$C$118-'Development Inputs'!$B$118),0))</f>
        <v>0</v>
      </c>
      <c r="I38" s="229">
        <f>IF(I$6='Development Inputs'!$B$118,'Development Inputs'!$A$118*TotalInsurance,IF(AND(I$6&gt;'Development Inputs'!$B$118,I$6&lt;='Development Inputs'!$C$118),TotalInsurance*(1-'Development Inputs'!$A$118)/('Development Inputs'!$C$118-'Development Inputs'!$B$118),0))</f>
        <v>0</v>
      </c>
      <c r="J38" s="229">
        <f>IF(J$6='Development Inputs'!$B$118,'Development Inputs'!$A$118*TotalInsurance,IF(AND(J$6&gt;'Development Inputs'!$B$118,J$6&lt;='Development Inputs'!$C$118),TotalInsurance*(1-'Development Inputs'!$A$118)/('Development Inputs'!$C$118-'Development Inputs'!$B$118),0))</f>
        <v>0</v>
      </c>
      <c r="K38" s="229">
        <f>IF(K$6='Development Inputs'!$B$118,'Development Inputs'!$A$118*TotalInsurance,IF(AND(K$6&gt;'Development Inputs'!$B$118,K$6&lt;='Development Inputs'!$C$118),TotalInsurance*(1-'Development Inputs'!$A$118)/('Development Inputs'!$C$118-'Development Inputs'!$B$118),0))</f>
        <v>0</v>
      </c>
      <c r="L38" s="229">
        <f>IF(L$6='Development Inputs'!$B$118,'Development Inputs'!$A$118*TotalInsurance,IF(AND(L$6&gt;'Development Inputs'!$B$118,L$6&lt;='Development Inputs'!$C$118),TotalInsurance*(1-'Development Inputs'!$A$118)/('Development Inputs'!$C$118-'Development Inputs'!$B$118),0))</f>
        <v>0</v>
      </c>
      <c r="M38" s="229">
        <f>IF(M$6='Development Inputs'!$B$118,'Development Inputs'!$A$118*TotalInsurance,IF(AND(M$6&gt;'Development Inputs'!$B$118,M$6&lt;='Development Inputs'!$C$118),TotalInsurance*(1-'Development Inputs'!$A$118)/('Development Inputs'!$C$118-'Development Inputs'!$B$118),0))</f>
        <v>0</v>
      </c>
      <c r="N38" s="229">
        <f>IF(N$6='Development Inputs'!$B$118,'Development Inputs'!$A$118*TotalInsurance,IF(AND(N$6&gt;'Development Inputs'!$B$118,N$6&lt;='Development Inputs'!$C$118),TotalInsurance*(1-'Development Inputs'!$A$118)/('Development Inputs'!$C$118-'Development Inputs'!$B$118),0))</f>
        <v>0</v>
      </c>
      <c r="O38" s="229">
        <f>IF(O$6='Development Inputs'!$B$118,'Development Inputs'!$A$118*TotalInsurance,IF(AND(O$6&gt;'Development Inputs'!$B$118,O$6&lt;='Development Inputs'!$C$118),TotalInsurance*(1-'Development Inputs'!$A$118)/('Development Inputs'!$C$118-'Development Inputs'!$B$118),0))</f>
        <v>0</v>
      </c>
      <c r="P38" s="229">
        <f>IF(P$6='Development Inputs'!$B$118,'Development Inputs'!$A$118*TotalInsurance,IF(AND(P$6&gt;'Development Inputs'!$B$118,P$6&lt;='Development Inputs'!$C$118),TotalInsurance*(1-'Development Inputs'!$A$118)/('Development Inputs'!$C$118-'Development Inputs'!$B$118),0))</f>
        <v>0</v>
      </c>
      <c r="Q38" s="229">
        <f>IF(Q$6='Development Inputs'!$B$118,'Development Inputs'!$A$118*TotalInsurance,IF(AND(Q$6&gt;'Development Inputs'!$B$118,Q$6&lt;='Development Inputs'!$C$118),TotalInsurance*(1-'Development Inputs'!$A$118)/('Development Inputs'!$C$118-'Development Inputs'!$B$118),0))</f>
        <v>0</v>
      </c>
      <c r="R38" s="229">
        <f>IF(R$6='Development Inputs'!$B$118,'Development Inputs'!$A$118*TotalInsurance,IF(AND(R$6&gt;'Development Inputs'!$B$118,R$6&lt;='Development Inputs'!$C$118),TotalInsurance*(1-'Development Inputs'!$A$118)/('Development Inputs'!$C$118-'Development Inputs'!$B$118),0))</f>
        <v>0</v>
      </c>
      <c r="S38" s="229">
        <f>IF(S$6='Development Inputs'!$B$118,'Development Inputs'!$A$118*TotalInsurance,IF(AND(S$6&gt;'Development Inputs'!$B$118,S$6&lt;='Development Inputs'!$C$118),TotalInsurance*(1-'Development Inputs'!$A$118)/('Development Inputs'!$C$118-'Development Inputs'!$B$118),0))</f>
        <v>0</v>
      </c>
      <c r="T38" s="229">
        <f>IF(T$6='Development Inputs'!$B$118,'Development Inputs'!$A$118*TotalInsurance,IF(AND(T$6&gt;'Development Inputs'!$B$118,T$6&lt;='Development Inputs'!$C$118),TotalInsurance*(1-'Development Inputs'!$A$118)/('Development Inputs'!$C$118-'Development Inputs'!$B$118),0))</f>
        <v>0</v>
      </c>
      <c r="U38" s="229">
        <f>IF(U$6='Development Inputs'!$B$118,'Development Inputs'!$A$118*TotalInsurance,IF(AND(U$6&gt;'Development Inputs'!$B$118,U$6&lt;='Development Inputs'!$C$118),TotalInsurance*(1-'Development Inputs'!$A$118)/('Development Inputs'!$C$118-'Development Inputs'!$B$118),0))</f>
        <v>0</v>
      </c>
      <c r="V38" s="229">
        <f>IF(V$6='Development Inputs'!$B$118,'Development Inputs'!$A$118*TotalInsurance,IF(AND(V$6&gt;'Development Inputs'!$B$118,V$6&lt;='Development Inputs'!$C$118),TotalInsurance*(1-'Development Inputs'!$A$118)/('Development Inputs'!$C$118-'Development Inputs'!$B$118),0))</f>
        <v>0</v>
      </c>
      <c r="W38" s="229">
        <f>IF(W$6='Development Inputs'!$B$118,'Development Inputs'!$A$118*TotalInsurance,IF(AND(W$6&gt;'Development Inputs'!$B$118,W$6&lt;='Development Inputs'!$C$118),TotalInsurance*(1-'Development Inputs'!$A$118)/('Development Inputs'!$C$118-'Development Inputs'!$B$118),0))</f>
        <v>0</v>
      </c>
      <c r="X38" s="229">
        <f>IF(X$6='Development Inputs'!$B$118,'Development Inputs'!$A$118*TotalInsurance,IF(AND(X$6&gt;'Development Inputs'!$B$118,X$6&lt;='Development Inputs'!$C$118),TotalInsurance*(1-'Development Inputs'!$A$118)/('Development Inputs'!$C$118-'Development Inputs'!$B$118),0))</f>
        <v>0</v>
      </c>
      <c r="Y38" s="229">
        <f>IF(Y$6='Development Inputs'!$B$118,'Development Inputs'!$A$118*TotalInsurance,IF(AND(Y$6&gt;'Development Inputs'!$B$118,Y$6&lt;='Development Inputs'!$C$118),TotalInsurance*(1-'Development Inputs'!$A$118)/('Development Inputs'!$C$118-'Development Inputs'!$B$118),0))</f>
        <v>0</v>
      </c>
      <c r="Z38" s="229">
        <f>IF(Z$6='Development Inputs'!$B$118,'Development Inputs'!$A$118*TotalInsurance,IF(AND(Z$6&gt;'Development Inputs'!$B$118,Z$6&lt;='Development Inputs'!$C$118),TotalInsurance*(1-'Development Inputs'!$A$118)/('Development Inputs'!$C$118-'Development Inputs'!$B$118),0))</f>
        <v>0</v>
      </c>
      <c r="AA38" s="229">
        <f>IF(AA$6='Development Inputs'!$B$118,'Development Inputs'!$A$118*TotalInsurance,IF(AND(AA$6&gt;'Development Inputs'!$B$118,AA$6&lt;='Development Inputs'!$C$118),TotalInsurance*(1-'Development Inputs'!$A$118)/('Development Inputs'!$C$118-'Development Inputs'!$B$118),0))</f>
        <v>0</v>
      </c>
      <c r="AB38" s="229">
        <f>IF(AB$6='Development Inputs'!$B$118,'Development Inputs'!$A$118*TotalInsurance,IF(AND(AB$6&gt;'Development Inputs'!$B$118,AB$6&lt;='Development Inputs'!$C$118),TotalInsurance*(1-'Development Inputs'!$A$118)/('Development Inputs'!$C$118-'Development Inputs'!$B$118),0))</f>
        <v>0</v>
      </c>
      <c r="AC38" s="229">
        <f>IF(AC$6='Development Inputs'!$B$118,'Development Inputs'!$A$118*TotalInsurance,IF(AND(AC$6&gt;'Development Inputs'!$B$118,AC$6&lt;='Development Inputs'!$C$118),TotalInsurance*(1-'Development Inputs'!$A$118)/('Development Inputs'!$C$118-'Development Inputs'!$B$118),0))</f>
        <v>0</v>
      </c>
      <c r="AD38" s="229">
        <f>IF(AD$6='Development Inputs'!$B$118,'Development Inputs'!$A$118*TotalInsurance,IF(AND(AD$6&gt;'Development Inputs'!$B$118,AD$6&lt;='Development Inputs'!$C$118),TotalInsurance*(1-'Development Inputs'!$A$118)/('Development Inputs'!$C$118-'Development Inputs'!$B$118),0))</f>
        <v>0</v>
      </c>
      <c r="AE38" s="229">
        <f>IF(AE$6='Development Inputs'!$B$118,'Development Inputs'!$A$118*TotalInsurance,IF(AND(AE$6&gt;'Development Inputs'!$B$118,AE$6&lt;='Development Inputs'!$C$118),TotalInsurance*(1-'Development Inputs'!$A$118)/('Development Inputs'!$C$118-'Development Inputs'!$B$118),0))</f>
        <v>0</v>
      </c>
      <c r="AF38" s="229">
        <f>IF(AF$6='Development Inputs'!$B$118,'Development Inputs'!$A$118*TotalInsurance,IF(AND(AF$6&gt;'Development Inputs'!$B$118,AF$6&lt;='Development Inputs'!$C$118),TotalInsurance*(1-'Development Inputs'!$A$118)/('Development Inputs'!$C$118-'Development Inputs'!$B$118),0))</f>
        <v>0</v>
      </c>
      <c r="AG38" s="229">
        <f>IF(AG$6='Development Inputs'!$B$118,'Development Inputs'!$A$118*TotalInsurance,IF(AND(AG$6&gt;'Development Inputs'!$B$118,AG$6&lt;='Development Inputs'!$C$118),TotalInsurance*(1-'Development Inputs'!$A$118)/('Development Inputs'!$C$118-'Development Inputs'!$B$118),0))</f>
        <v>0</v>
      </c>
      <c r="AH38" s="229">
        <f>IF(AH$6='Development Inputs'!$B$118,'Development Inputs'!$A$118*TotalInsurance,IF(AND(AH$6&gt;'Development Inputs'!$B$118,AH$6&lt;='Development Inputs'!$C$118),TotalInsurance*(1-'Development Inputs'!$A$118)/('Development Inputs'!$C$118-'Development Inputs'!$B$118),0))</f>
        <v>0</v>
      </c>
      <c r="AI38" s="229">
        <f>IF(AI$6='Development Inputs'!$B$118,'Development Inputs'!$A$118*TotalInsurance,IF(AND(AI$6&gt;'Development Inputs'!$B$118,AI$6&lt;='Development Inputs'!$C$118),TotalInsurance*(1-'Development Inputs'!$A$118)/('Development Inputs'!$C$118-'Development Inputs'!$B$118),0))</f>
        <v>0</v>
      </c>
      <c r="AJ38" s="229">
        <f>IF(AJ$6='Development Inputs'!$B$118,'Development Inputs'!$A$118*TotalInsurance,IF(AND(AJ$6&gt;'Development Inputs'!$B$118,AJ$6&lt;='Development Inputs'!$C$118),TotalInsurance*(1-'Development Inputs'!$A$118)/('Development Inputs'!$C$118-'Development Inputs'!$B$118),0))</f>
        <v>0</v>
      </c>
      <c r="AK38" s="229">
        <f>IF(AK$6='Development Inputs'!$B$118,'Development Inputs'!$A$118*TotalInsurance,IF(AND(AK$6&gt;'Development Inputs'!$B$118,AK$6&lt;='Development Inputs'!$C$118),TotalInsurance*(1-'Development Inputs'!$A$118)/('Development Inputs'!$C$118-'Development Inputs'!$B$118),0))</f>
        <v>0</v>
      </c>
      <c r="AL38" s="229">
        <f>IF(AL$6='Development Inputs'!$B$118,'Development Inputs'!$A$118*TotalInsurance,IF(AND(AL$6&gt;'Development Inputs'!$B$118,AL$6&lt;='Development Inputs'!$C$118),TotalInsurance*(1-'Development Inputs'!$A$118)/('Development Inputs'!$C$118-'Development Inputs'!$B$118),0))</f>
        <v>0</v>
      </c>
      <c r="AM38" s="229">
        <f>IF(AM$6='Development Inputs'!$B$118,'Development Inputs'!$A$118*TotalInsurance,IF(AND(AM$6&gt;'Development Inputs'!$B$118,AM$6&lt;='Development Inputs'!$C$118),TotalInsurance*(1-'Development Inputs'!$A$118)/('Development Inputs'!$C$118-'Development Inputs'!$B$118),0))</f>
        <v>0</v>
      </c>
      <c r="AN38" s="229">
        <f>IF(AN$6='Development Inputs'!$B$118,'Development Inputs'!$A$118*TotalInsurance,IF(AND(AN$6&gt;'Development Inputs'!$B$118,AN$6&lt;='Development Inputs'!$C$118),TotalInsurance*(1-'Development Inputs'!$A$118)/('Development Inputs'!$C$118-'Development Inputs'!$B$118),0))</f>
        <v>0</v>
      </c>
      <c r="AO38" s="229">
        <f>IF(AO$6='Development Inputs'!$B$118,'Development Inputs'!$A$118*TotalInsurance,IF(AND(AO$6&gt;'Development Inputs'!$B$118,AO$6&lt;='Development Inputs'!$C$118),TotalInsurance*(1-'Development Inputs'!$A$118)/('Development Inputs'!$C$118-'Development Inputs'!$B$118),0))</f>
        <v>0</v>
      </c>
      <c r="AP38" s="229">
        <f>IF(AP$6='Development Inputs'!$B$118,'Development Inputs'!$A$118*TotalInsurance,IF(AND(AP$6&gt;'Development Inputs'!$B$118,AP$6&lt;='Development Inputs'!$C$118),TotalInsurance*(1-'Development Inputs'!$A$118)/('Development Inputs'!$C$118-'Development Inputs'!$B$118),0))</f>
        <v>0</v>
      </c>
      <c r="AQ38" s="229">
        <f>IF(AQ$6='Development Inputs'!$B$118,'Development Inputs'!$A$118*TotalInsurance,IF(AND(AQ$6&gt;'Development Inputs'!$B$118,AQ$6&lt;='Development Inputs'!$C$118),TotalInsurance*(1-'Development Inputs'!$A$118)/('Development Inputs'!$C$118-'Development Inputs'!$B$118),0))</f>
        <v>0</v>
      </c>
      <c r="AR38" s="229">
        <f>IF(AR$6='Development Inputs'!$B$118,'Development Inputs'!$A$118*TotalInsurance,IF(AND(AR$6&gt;'Development Inputs'!$B$118,AR$6&lt;='Development Inputs'!$C$118),TotalInsurance*(1-'Development Inputs'!$A$118)/('Development Inputs'!$C$118-'Development Inputs'!$B$118),0))</f>
        <v>0</v>
      </c>
      <c r="AS38" s="229">
        <f>IF(AS$6='Development Inputs'!$B$118,'Development Inputs'!$A$118*TotalInsurance,IF(AND(AS$6&gt;'Development Inputs'!$B$118,AS$6&lt;='Development Inputs'!$C$118),TotalInsurance*(1-'Development Inputs'!$A$118)/('Development Inputs'!$C$118-'Development Inputs'!$B$118),0))</f>
        <v>0</v>
      </c>
      <c r="AT38" s="229">
        <f>IF(AT$6='Development Inputs'!$B$118,'Development Inputs'!$A$118*TotalInsurance,IF(AND(AT$6&gt;'Development Inputs'!$B$118,AT$6&lt;='Development Inputs'!$C$118),TotalInsurance*(1-'Development Inputs'!$A$118)/('Development Inputs'!$C$118-'Development Inputs'!$B$118),0))</f>
        <v>0</v>
      </c>
      <c r="AU38" s="229">
        <f>IF(AU$6='Development Inputs'!$B$118,'Development Inputs'!$A$118*TotalInsurance,IF(AND(AU$6&gt;'Development Inputs'!$B$118,AU$6&lt;='Development Inputs'!$C$118),TotalInsurance*(1-'Development Inputs'!$A$118)/('Development Inputs'!$C$118-'Development Inputs'!$B$118),0))</f>
        <v>0</v>
      </c>
      <c r="AV38" s="229">
        <f>IF(AV$6='Development Inputs'!$B$118,'Development Inputs'!$A$118*TotalInsurance,IF(AND(AV$6&gt;'Development Inputs'!$B$118,AV$6&lt;='Development Inputs'!$C$118),TotalInsurance*(1-'Development Inputs'!$A$118)/('Development Inputs'!$C$118-'Development Inputs'!$B$118),0))</f>
        <v>0</v>
      </c>
      <c r="AW38" s="229">
        <f>IF(AW$6='Development Inputs'!$B$118,'Development Inputs'!$A$118*TotalInsurance,IF(AND(AW$6&gt;'Development Inputs'!$B$118,AW$6&lt;='Development Inputs'!$C$118),TotalInsurance*(1-'Development Inputs'!$A$118)/('Development Inputs'!$C$118-'Development Inputs'!$B$118),0))</f>
        <v>0</v>
      </c>
      <c r="AX38" s="229">
        <f>IF(AX$6='Development Inputs'!$B$118,'Development Inputs'!$A$118*TotalInsurance,IF(AND(AX$6&gt;'Development Inputs'!$B$118,AX$6&lt;='Development Inputs'!$C$118),TotalInsurance*(1-'Development Inputs'!$A$118)/('Development Inputs'!$C$118-'Development Inputs'!$B$118),0))</f>
        <v>0</v>
      </c>
      <c r="AY38" s="229">
        <f>IF(AY$6='Development Inputs'!$B$118,'Development Inputs'!$A$118*TotalInsurance,IF(AND(AY$6&gt;'Development Inputs'!$B$118,AY$6&lt;='Development Inputs'!$C$118),TotalInsurance*(1-'Development Inputs'!$A$118)/('Development Inputs'!$C$118-'Development Inputs'!$B$118),0))</f>
        <v>0</v>
      </c>
      <c r="AZ38" s="229">
        <f>IF(AZ$6='Development Inputs'!$B$118,'Development Inputs'!$A$118*TotalInsurance,IF(AND(AZ$6&gt;'Development Inputs'!$B$118,AZ$6&lt;='Development Inputs'!$C$118),TotalInsurance*(1-'Development Inputs'!$A$118)/('Development Inputs'!$C$118-'Development Inputs'!$B$118),0))</f>
        <v>0</v>
      </c>
      <c r="BA38" s="229">
        <f>IF(BA$6='Development Inputs'!$B$118,'Development Inputs'!$A$118*TotalInsurance,IF(AND(BA$6&gt;'Development Inputs'!$B$118,BA$6&lt;='Development Inputs'!$C$118),TotalInsurance*(1-'Development Inputs'!$A$118)/('Development Inputs'!$C$118-'Development Inputs'!$B$118),0))</f>
        <v>0</v>
      </c>
      <c r="BB38" s="229">
        <f>IF(BB$6='Development Inputs'!$B$118,'Development Inputs'!$A$118*TotalInsurance,IF(AND(BB$6&gt;'Development Inputs'!$B$118,BB$6&lt;='Development Inputs'!$C$118),TotalInsurance*(1-'Development Inputs'!$A$118)/('Development Inputs'!$C$118-'Development Inputs'!$B$118),0))</f>
        <v>0</v>
      </c>
      <c r="BC38" s="229">
        <f>IF(BC$6='Development Inputs'!$B$118,'Development Inputs'!$A$118*TotalInsurance,IF(AND(BC$6&gt;'Development Inputs'!$B$118,BC$6&lt;='Development Inputs'!$C$118),TotalInsurance*(1-'Development Inputs'!$A$118)/('Development Inputs'!$C$118-'Development Inputs'!$B$118),0))</f>
        <v>0</v>
      </c>
      <c r="BD38" s="229">
        <f>IF(BD$6='Development Inputs'!$B$118,'Development Inputs'!$A$118*TotalInsurance,IF(AND(BD$6&gt;'Development Inputs'!$B$118,BD$6&lt;='Development Inputs'!$C$118),TotalInsurance*(1-'Development Inputs'!$A$118)/('Development Inputs'!$C$118-'Development Inputs'!$B$118),0))</f>
        <v>0</v>
      </c>
      <c r="BE38" s="229">
        <f>IF(BE$6='Development Inputs'!$B$118,'Development Inputs'!$A$118*TotalInsurance,IF(AND(BE$6&gt;'Development Inputs'!$B$118,BE$6&lt;='Development Inputs'!$C$118),TotalInsurance*(1-'Development Inputs'!$A$118)/('Development Inputs'!$C$118-'Development Inputs'!$B$118),0))</f>
        <v>0</v>
      </c>
      <c r="BF38" s="229">
        <f>IF(BF$6='Development Inputs'!$B$118,'Development Inputs'!$A$118*TotalInsurance,IF(AND(BF$6&gt;'Development Inputs'!$B$118,BF$6&lt;='Development Inputs'!$C$118),TotalInsurance*(1-'Development Inputs'!$A$118)/('Development Inputs'!$C$118-'Development Inputs'!$B$118),0))</f>
        <v>0</v>
      </c>
      <c r="BG38" s="229">
        <f>IF(BG$6='Development Inputs'!$B$118,'Development Inputs'!$A$118*TotalInsurance,IF(AND(BG$6&gt;'Development Inputs'!$B$118,BG$6&lt;='Development Inputs'!$C$118),TotalInsurance*(1-'Development Inputs'!$A$118)/('Development Inputs'!$C$118-'Development Inputs'!$B$118),0))</f>
        <v>0</v>
      </c>
      <c r="BH38" s="229">
        <f>IF(BH$6='Development Inputs'!$B$118,'Development Inputs'!$A$118*TotalInsurance,IF(AND(BH$6&gt;'Development Inputs'!$B$118,BH$6&lt;='Development Inputs'!$C$118),TotalInsurance*(1-'Development Inputs'!$A$118)/('Development Inputs'!$C$118-'Development Inputs'!$B$118),0))</f>
        <v>0</v>
      </c>
      <c r="BI38" s="229">
        <f>IF(BI$6='Development Inputs'!$B$118,'Development Inputs'!$A$118*TotalInsurance,IF(AND(BI$6&gt;'Development Inputs'!$B$118,BI$6&lt;='Development Inputs'!$C$118),TotalInsurance*(1-'Development Inputs'!$A$118)/('Development Inputs'!$C$118-'Development Inputs'!$B$118),0))</f>
        <v>0</v>
      </c>
      <c r="BJ38" s="229">
        <f>IF(BJ$6='Development Inputs'!$B$118,'Development Inputs'!$A$118*TotalInsurance,IF(AND(BJ$6&gt;'Development Inputs'!$B$118,BJ$6&lt;='Development Inputs'!$C$118),TotalInsurance*(1-'Development Inputs'!$A$118)/('Development Inputs'!$C$118-'Development Inputs'!$B$118),0))</f>
        <v>0</v>
      </c>
      <c r="BK38" s="229">
        <f>IF(BK$6='Development Inputs'!$B$118,'Development Inputs'!$A$118*TotalInsurance,IF(AND(BK$6&gt;'Development Inputs'!$B$118,BK$6&lt;='Development Inputs'!$C$118),TotalInsurance*(1-'Development Inputs'!$A$118)/('Development Inputs'!$C$118-'Development Inputs'!$B$118),0))</f>
        <v>0</v>
      </c>
      <c r="BL38" s="229">
        <f>IF(BL$6='Development Inputs'!$B$118,'Development Inputs'!$A$118*TotalInsurance,IF(AND(BL$6&gt;'Development Inputs'!$B$118,BL$6&lt;='Development Inputs'!$C$118),TotalInsurance*(1-'Development Inputs'!$A$118)/('Development Inputs'!$C$118-'Development Inputs'!$B$118),0))</f>
        <v>0</v>
      </c>
      <c r="BM38" s="229">
        <f>IF(BM$6='Development Inputs'!$B$118,'Development Inputs'!$A$118*TotalInsurance,IF(AND(BM$6&gt;'Development Inputs'!$B$118,BM$6&lt;='Development Inputs'!$C$118),TotalInsurance*(1-'Development Inputs'!$A$118)/('Development Inputs'!$C$118-'Development Inputs'!$B$118),0))</f>
        <v>0</v>
      </c>
      <c r="BN38" s="229">
        <f>IF(BN$6='Development Inputs'!$B$118,'Development Inputs'!$A$118*TotalInsurance,IF(AND(BN$6&gt;'Development Inputs'!$B$118,BN$6&lt;='Development Inputs'!$C$118),TotalInsurance*(1-'Development Inputs'!$A$118)/('Development Inputs'!$C$118-'Development Inputs'!$B$118),0))</f>
        <v>0</v>
      </c>
      <c r="BO38" s="229">
        <f>IF(BO$6='Development Inputs'!$B$118,'Development Inputs'!$A$118*TotalInsurance,IF(AND(BO$6&gt;'Development Inputs'!$B$118,BO$6&lt;='Development Inputs'!$C$118),TotalInsurance*(1-'Development Inputs'!$A$118)/('Development Inputs'!$C$118-'Development Inputs'!$B$118),0))</f>
        <v>0</v>
      </c>
      <c r="BP38" s="229">
        <f>IF(BP$6='Development Inputs'!$B$118,'Development Inputs'!$A$118*TotalInsurance,IF(AND(BP$6&gt;'Development Inputs'!$B$118,BP$6&lt;='Development Inputs'!$C$118),TotalInsurance*(1-'Development Inputs'!$A$118)/('Development Inputs'!$C$118-'Development Inputs'!$B$118),0))</f>
        <v>0</v>
      </c>
      <c r="BQ38" s="229">
        <f>IF(BQ$6='Development Inputs'!$B$118,'Development Inputs'!$A$118*TotalInsurance,IF(AND(BQ$6&gt;'Development Inputs'!$B$118,BQ$6&lt;='Development Inputs'!$C$118),TotalInsurance*(1-'Development Inputs'!$A$118)/('Development Inputs'!$C$118-'Development Inputs'!$B$118),0))</f>
        <v>0</v>
      </c>
      <c r="BR38" s="229">
        <f>IF(BR$6='Development Inputs'!$B$118,'Development Inputs'!$A$118*TotalInsurance,IF(AND(BR$6&gt;'Development Inputs'!$B$118,BR$6&lt;='Development Inputs'!$C$118),TotalInsurance*(1-'Development Inputs'!$A$118)/('Development Inputs'!$C$118-'Development Inputs'!$B$118),0))</f>
        <v>0</v>
      </c>
      <c r="BS38" s="229">
        <f>IF(BS$6='Development Inputs'!$B$118,'Development Inputs'!$A$118*TotalInsurance,IF(AND(BS$6&gt;'Development Inputs'!$B$118,BS$6&lt;='Development Inputs'!$C$118),TotalInsurance*(1-'Development Inputs'!$A$118)/('Development Inputs'!$C$118-'Development Inputs'!$B$118),0))</f>
        <v>0</v>
      </c>
      <c r="BT38" s="229">
        <f>IF(BT$6='Development Inputs'!$B$118,'Development Inputs'!$A$118*TotalInsurance,IF(AND(BT$6&gt;'Development Inputs'!$B$118,BT$6&lt;='Development Inputs'!$C$118),TotalInsurance*(1-'Development Inputs'!$A$118)/('Development Inputs'!$C$118-'Development Inputs'!$B$118),0))</f>
        <v>0</v>
      </c>
      <c r="BU38" s="229">
        <f>IF(BU$6='Development Inputs'!$B$118,'Development Inputs'!$A$118*TotalInsurance,IF(AND(BU$6&gt;'Development Inputs'!$B$118,BU$6&lt;='Development Inputs'!$C$118),TotalInsurance*(1-'Development Inputs'!$A$118)/('Development Inputs'!$C$118-'Development Inputs'!$B$118),0))</f>
        <v>0</v>
      </c>
      <c r="BV38" s="229">
        <f>IF(BV$6='Development Inputs'!$B$118,'Development Inputs'!$A$118*TotalInsurance,IF(AND(BV$6&gt;'Development Inputs'!$B$118,BV$6&lt;='Development Inputs'!$C$118),TotalInsurance*(1-'Development Inputs'!$A$118)/('Development Inputs'!$C$118-'Development Inputs'!$B$118),0))</f>
        <v>0</v>
      </c>
      <c r="BW38" s="229">
        <f>IF(BW$6='Development Inputs'!$B$118,'Development Inputs'!$A$118*TotalInsurance,IF(AND(BW$6&gt;'Development Inputs'!$B$118,BW$6&lt;='Development Inputs'!$C$118),TotalInsurance*(1-'Development Inputs'!$A$118)/('Development Inputs'!$C$118-'Development Inputs'!$B$118),0))</f>
        <v>0</v>
      </c>
      <c r="BX38" s="229">
        <f>IF(BX$6='Development Inputs'!$B$118,'Development Inputs'!$A$118*TotalInsurance,IF(AND(BX$6&gt;'Development Inputs'!$B$118,BX$6&lt;='Development Inputs'!$C$118),TotalInsurance*(1-'Development Inputs'!$A$118)/('Development Inputs'!$C$118-'Development Inputs'!$B$118),0))</f>
        <v>0</v>
      </c>
      <c r="BY38" s="229">
        <f>IF(BY$6='Development Inputs'!$B$118,'Development Inputs'!$A$118*TotalInsurance,IF(AND(BY$6&gt;'Development Inputs'!$B$118,BY$6&lt;='Development Inputs'!$C$118),TotalInsurance*(1-'Development Inputs'!$A$118)/('Development Inputs'!$C$118-'Development Inputs'!$B$118),0))</f>
        <v>0</v>
      </c>
      <c r="BZ38" s="229">
        <f>IF(BZ$6='Development Inputs'!$B$118,'Development Inputs'!$A$118*TotalInsurance,IF(AND(BZ$6&gt;'Development Inputs'!$B$118,BZ$6&lt;='Development Inputs'!$C$118),TotalInsurance*(1-'Development Inputs'!$A$118)/('Development Inputs'!$C$118-'Development Inputs'!$B$118),0))</f>
        <v>0</v>
      </c>
      <c r="CA38" s="229">
        <f>IF(CA$6='Development Inputs'!$B$118,'Development Inputs'!$A$118*TotalInsurance,IF(AND(CA$6&gt;'Development Inputs'!$B$118,CA$6&lt;='Development Inputs'!$C$118),TotalInsurance*(1-'Development Inputs'!$A$118)/('Development Inputs'!$C$118-'Development Inputs'!$B$118),0))</f>
        <v>0</v>
      </c>
      <c r="CB38" s="229">
        <f>IF(CB$6='Development Inputs'!$B$118,'Development Inputs'!$A$118*TotalInsurance,IF(AND(CB$6&gt;'Development Inputs'!$B$118,CB$6&lt;='Development Inputs'!$C$118),TotalInsurance*(1-'Development Inputs'!$A$118)/('Development Inputs'!$C$118-'Development Inputs'!$B$118),0))</f>
        <v>0</v>
      </c>
      <c r="CC38" s="229">
        <f>IF(CC$6='Development Inputs'!$B$118,'Development Inputs'!$A$118*TotalInsurance,IF(AND(CC$6&gt;'Development Inputs'!$B$118,CC$6&lt;='Development Inputs'!$C$118),TotalInsurance*(1-'Development Inputs'!$A$118)/('Development Inputs'!$C$118-'Development Inputs'!$B$118),0))</f>
        <v>0</v>
      </c>
      <c r="CD38" s="229">
        <f>IF(CD$6='Development Inputs'!$B$118,'Development Inputs'!$A$118*TotalInsurance,IF(AND(CD$6&gt;'Development Inputs'!$B$118,CD$6&lt;='Development Inputs'!$C$118),TotalInsurance*(1-'Development Inputs'!$A$118)/('Development Inputs'!$C$118-'Development Inputs'!$B$118),0))</f>
        <v>0</v>
      </c>
      <c r="CE38" s="229">
        <f>IF(CE$6='Development Inputs'!$B$118,'Development Inputs'!$A$118*TotalInsurance,IF(AND(CE$6&gt;'Development Inputs'!$B$118,CE$6&lt;='Development Inputs'!$C$118),TotalInsurance*(1-'Development Inputs'!$A$118)/('Development Inputs'!$C$118-'Development Inputs'!$B$118),0))</f>
        <v>0</v>
      </c>
      <c r="CF38" s="229">
        <f>IF(CF$6='Development Inputs'!$B$118,'Development Inputs'!$A$118*TotalInsurance,IF(AND(CF$6&gt;'Development Inputs'!$B$118,CF$6&lt;='Development Inputs'!$C$118),TotalInsurance*(1-'Development Inputs'!$A$118)/('Development Inputs'!$C$118-'Development Inputs'!$B$118),0))</f>
        <v>0</v>
      </c>
      <c r="CG38" s="229">
        <f>IF(CG$6='Development Inputs'!$B$118,'Development Inputs'!$A$118*TotalInsurance,IF(AND(CG$6&gt;'Development Inputs'!$B$118,CG$6&lt;='Development Inputs'!$C$118),TotalInsurance*(1-'Development Inputs'!$A$118)/('Development Inputs'!$C$118-'Development Inputs'!$B$118),0))</f>
        <v>0</v>
      </c>
      <c r="CH38" s="229">
        <f>IF(CH$6='Development Inputs'!$B$118,'Development Inputs'!$A$118*TotalInsurance,IF(AND(CH$6&gt;'Development Inputs'!$B$118,CH$6&lt;='Development Inputs'!$C$118),TotalInsurance*(1-'Development Inputs'!$A$118)/('Development Inputs'!$C$118-'Development Inputs'!$B$118),0))</f>
        <v>0</v>
      </c>
      <c r="CI38" s="229">
        <f>IF(CI$6='Development Inputs'!$B$118,'Development Inputs'!$A$118*TotalInsurance,IF(AND(CI$6&gt;'Development Inputs'!$B$118,CI$6&lt;='Development Inputs'!$C$118),TotalInsurance*(1-'Development Inputs'!$A$118)/('Development Inputs'!$C$118-'Development Inputs'!$B$118),0))</f>
        <v>0</v>
      </c>
      <c r="CJ38" s="229">
        <f>IF(CJ$6='Development Inputs'!$B$118,'Development Inputs'!$A$118*TotalInsurance,IF(AND(CJ$6&gt;'Development Inputs'!$B$118,CJ$6&lt;='Development Inputs'!$C$118),TotalInsurance*(1-'Development Inputs'!$A$118)/('Development Inputs'!$C$118-'Development Inputs'!$B$118),0))</f>
        <v>0</v>
      </c>
      <c r="CK38" s="229">
        <f>IF(CK$6='Development Inputs'!$B$118,'Development Inputs'!$A$118*TotalInsurance,IF(AND(CK$6&gt;'Development Inputs'!$B$118,CK$6&lt;='Development Inputs'!$C$118),TotalInsurance*(1-'Development Inputs'!$A$118)/('Development Inputs'!$C$118-'Development Inputs'!$B$118),0))</f>
        <v>0</v>
      </c>
      <c r="CL38" s="229">
        <f>IF(CL$6='Development Inputs'!$B$118,'Development Inputs'!$A$118*TotalInsurance,IF(AND(CL$6&gt;'Development Inputs'!$B$118,CL$6&lt;='Development Inputs'!$C$118),TotalInsurance*(1-'Development Inputs'!$A$118)/('Development Inputs'!$C$118-'Development Inputs'!$B$118),0))</f>
        <v>0</v>
      </c>
      <c r="CM38" s="229">
        <f>IF(CM$6='Development Inputs'!$B$118,'Development Inputs'!$A$118*TotalInsurance,IF(AND(CM$6&gt;'Development Inputs'!$B$118,CM$6&lt;='Development Inputs'!$C$118),TotalInsurance*(1-'Development Inputs'!$A$118)/('Development Inputs'!$C$118-'Development Inputs'!$B$118),0))</f>
        <v>0</v>
      </c>
      <c r="CN38" s="229">
        <f>IF(CN$6='Development Inputs'!$B$118,'Development Inputs'!$A$118*TotalInsurance,IF(AND(CN$6&gt;'Development Inputs'!$B$118,CN$6&lt;='Development Inputs'!$C$118),TotalInsurance*(1-'Development Inputs'!$A$118)/('Development Inputs'!$C$118-'Development Inputs'!$B$118),0))</f>
        <v>0</v>
      </c>
      <c r="CO38" s="229">
        <f>IF(CO$6='Development Inputs'!$B$118,'Development Inputs'!$A$118*TotalInsurance,IF(AND(CO$6&gt;'Development Inputs'!$B$118,CO$6&lt;='Development Inputs'!$C$118),TotalInsurance*(1-'Development Inputs'!$A$118)/('Development Inputs'!$C$118-'Development Inputs'!$B$118),0))</f>
        <v>0</v>
      </c>
      <c r="CP38" s="229">
        <f>IF(CP$6='Development Inputs'!$B$118,'Development Inputs'!$A$118*TotalInsurance,IF(AND(CP$6&gt;'Development Inputs'!$B$118,CP$6&lt;='Development Inputs'!$C$118),TotalInsurance*(1-'Development Inputs'!$A$118)/('Development Inputs'!$C$118-'Development Inputs'!$B$118),0))</f>
        <v>0</v>
      </c>
      <c r="CQ38" s="229">
        <f>IF(CQ$6='Development Inputs'!$B$118,'Development Inputs'!$A$118*TotalInsurance,IF(AND(CQ$6&gt;'Development Inputs'!$B$118,CQ$6&lt;='Development Inputs'!$C$118),TotalInsurance*(1-'Development Inputs'!$A$118)/('Development Inputs'!$C$118-'Development Inputs'!$B$118),0))</f>
        <v>0</v>
      </c>
      <c r="CR38" s="229">
        <f>IF(CR$6='Development Inputs'!$B$118,'Development Inputs'!$A$118*TotalInsurance,IF(AND(CR$6&gt;'Development Inputs'!$B$118,CR$6&lt;='Development Inputs'!$C$118),TotalInsurance*(1-'Development Inputs'!$A$118)/('Development Inputs'!$C$118-'Development Inputs'!$B$118),0))</f>
        <v>0</v>
      </c>
      <c r="CS38" s="229">
        <f>IF(CS$6='Development Inputs'!$B$118,'Development Inputs'!$A$118*TotalInsurance,IF(AND(CS$6&gt;'Development Inputs'!$B$118,CS$6&lt;='Development Inputs'!$C$118),TotalInsurance*(1-'Development Inputs'!$A$118)/('Development Inputs'!$C$118-'Development Inputs'!$B$118),0))</f>
        <v>0</v>
      </c>
      <c r="CT38" s="229">
        <f>IF(CT$6='Development Inputs'!$B$118,'Development Inputs'!$A$118*TotalInsurance,IF(AND(CT$6&gt;'Development Inputs'!$B$118,CT$6&lt;='Development Inputs'!$C$118),TotalInsurance*(1-'Development Inputs'!$A$118)/('Development Inputs'!$C$118-'Development Inputs'!$B$118),0))</f>
        <v>0</v>
      </c>
      <c r="CU38" s="229">
        <f>IF(CU$6='Development Inputs'!$B$118,'Development Inputs'!$A$118*TotalInsurance,IF(AND(CU$6&gt;'Development Inputs'!$B$118,CU$6&lt;='Development Inputs'!$C$118),TotalInsurance*(1-'Development Inputs'!$A$118)/('Development Inputs'!$C$118-'Development Inputs'!$B$118),0))</f>
        <v>0</v>
      </c>
      <c r="CV38" s="229">
        <f>IF(CV$6='Development Inputs'!$B$118,'Development Inputs'!$A$118*TotalInsurance,IF(AND(CV$6&gt;'Development Inputs'!$B$118,CV$6&lt;='Development Inputs'!$C$118),TotalInsurance*(1-'Development Inputs'!$A$118)/('Development Inputs'!$C$118-'Development Inputs'!$B$118),0))</f>
        <v>0</v>
      </c>
      <c r="CW38" s="229">
        <f>IF(CW$6='Development Inputs'!$B$118,'Development Inputs'!$A$118*TotalInsurance,IF(AND(CW$6&gt;'Development Inputs'!$B$118,CW$6&lt;='Development Inputs'!$C$118),TotalInsurance*(1-'Development Inputs'!$A$118)/('Development Inputs'!$C$118-'Development Inputs'!$B$118),0))</f>
        <v>0</v>
      </c>
      <c r="CX38" s="229">
        <f>IF(CX$6='Development Inputs'!$B$118,'Development Inputs'!$A$118*TotalInsurance,IF(AND(CX$6&gt;'Development Inputs'!$B$118,CX$6&lt;='Development Inputs'!$C$118),TotalInsurance*(1-'Development Inputs'!$A$118)/('Development Inputs'!$C$118-'Development Inputs'!$B$118),0))</f>
        <v>0</v>
      </c>
      <c r="CY38" s="229">
        <f>IF(CY$6='Development Inputs'!$B$118,'Development Inputs'!$A$118*TotalInsurance,IF(AND(CY$6&gt;'Development Inputs'!$B$118,CY$6&lt;='Development Inputs'!$C$118),TotalInsurance*(1-'Development Inputs'!$A$118)/('Development Inputs'!$C$118-'Development Inputs'!$B$118),0))</f>
        <v>0</v>
      </c>
      <c r="CZ38" s="229">
        <f>IF(CZ$6='Development Inputs'!$B$118,'Development Inputs'!$A$118*TotalInsurance,IF(AND(CZ$6&gt;'Development Inputs'!$B$118,CZ$6&lt;='Development Inputs'!$C$118),TotalInsurance*(1-'Development Inputs'!$A$118)/('Development Inputs'!$C$118-'Development Inputs'!$B$118),0))</f>
        <v>0</v>
      </c>
      <c r="DA38" s="229">
        <f>IF(DA$6='Development Inputs'!$B$118,'Development Inputs'!$A$118*TotalInsurance,IF(AND(DA$6&gt;'Development Inputs'!$B$118,DA$6&lt;='Development Inputs'!$C$118),TotalInsurance*(1-'Development Inputs'!$A$118)/('Development Inputs'!$C$118-'Development Inputs'!$B$118),0))</f>
        <v>0</v>
      </c>
      <c r="DB38" s="229">
        <f>IF(DB$6='Development Inputs'!$B$118,'Development Inputs'!$A$118*TotalInsurance,IF(AND(DB$6&gt;'Development Inputs'!$B$118,DB$6&lt;='Development Inputs'!$C$118),TotalInsurance*(1-'Development Inputs'!$A$118)/('Development Inputs'!$C$118-'Development Inputs'!$B$118),0))</f>
        <v>0</v>
      </c>
      <c r="DC38" s="229">
        <f>IF(DC$6='Development Inputs'!$B$118,'Development Inputs'!$A$118*TotalInsurance,IF(AND(DC$6&gt;'Development Inputs'!$B$118,DC$6&lt;='Development Inputs'!$C$118),TotalInsurance*(1-'Development Inputs'!$A$118)/('Development Inputs'!$C$118-'Development Inputs'!$B$118),0))</f>
        <v>0</v>
      </c>
      <c r="DD38" s="229">
        <f>IF(DD$6='Development Inputs'!$B$118,'Development Inputs'!$A$118*TotalInsurance,IF(AND(DD$6&gt;'Development Inputs'!$B$118,DD$6&lt;='Development Inputs'!$C$118),TotalInsurance*(1-'Development Inputs'!$A$118)/('Development Inputs'!$C$118-'Development Inputs'!$B$118),0))</f>
        <v>0</v>
      </c>
      <c r="DE38" s="229">
        <f>IF(DE$6='Development Inputs'!$B$118,'Development Inputs'!$A$118*TotalInsurance,IF(AND(DE$6&gt;'Development Inputs'!$B$118,DE$6&lt;='Development Inputs'!$C$118),TotalInsurance*(1-'Development Inputs'!$A$118)/('Development Inputs'!$C$118-'Development Inputs'!$B$118),0))</f>
        <v>0</v>
      </c>
      <c r="DF38" s="229">
        <f>IF(DF$6='Development Inputs'!$B$118,'Development Inputs'!$A$118*TotalInsurance,IF(AND(DF$6&gt;'Development Inputs'!$B$118,DF$6&lt;='Development Inputs'!$C$118),TotalInsurance*(1-'Development Inputs'!$A$118)/('Development Inputs'!$C$118-'Development Inputs'!$B$118),0))</f>
        <v>0</v>
      </c>
      <c r="DG38" s="229">
        <f>IF(DG$6='Development Inputs'!$B$118,'Development Inputs'!$A$118*TotalInsurance,IF(AND(DG$6&gt;'Development Inputs'!$B$118,DG$6&lt;='Development Inputs'!$C$118),TotalInsurance*(1-'Development Inputs'!$A$118)/('Development Inputs'!$C$118-'Development Inputs'!$B$118),0))</f>
        <v>0</v>
      </c>
      <c r="DH38" s="229">
        <f>IF(DH$6='Development Inputs'!$B$118,'Development Inputs'!$A$118*TotalInsurance,IF(AND(DH$6&gt;'Development Inputs'!$B$118,DH$6&lt;='Development Inputs'!$C$118),TotalInsurance*(1-'Development Inputs'!$A$118)/('Development Inputs'!$C$118-'Development Inputs'!$B$118),0))</f>
        <v>0</v>
      </c>
      <c r="DI38" s="229">
        <f>IF(DI$6='Development Inputs'!$B$118,'Development Inputs'!$A$118*TotalInsurance,IF(AND(DI$6&gt;'Development Inputs'!$B$118,DI$6&lt;='Development Inputs'!$C$118),TotalInsurance*(1-'Development Inputs'!$A$118)/('Development Inputs'!$C$118-'Development Inputs'!$B$118),0))</f>
        <v>0</v>
      </c>
      <c r="DJ38" s="229">
        <f>IF(DJ$6='Development Inputs'!$B$118,'Development Inputs'!$A$118*TotalInsurance,IF(AND(DJ$6&gt;'Development Inputs'!$B$118,DJ$6&lt;='Development Inputs'!$C$118),TotalInsurance*(1-'Development Inputs'!$A$118)/('Development Inputs'!$C$118-'Development Inputs'!$B$118),0))</f>
        <v>0</v>
      </c>
      <c r="DK38" s="229">
        <f>IF(DK$6='Development Inputs'!$B$118,'Development Inputs'!$A$118*TotalInsurance,IF(AND(DK$6&gt;'Development Inputs'!$B$118,DK$6&lt;='Development Inputs'!$C$118),TotalInsurance*(1-'Development Inputs'!$A$118)/('Development Inputs'!$C$118-'Development Inputs'!$B$118),0))</f>
        <v>0</v>
      </c>
      <c r="DL38" s="229">
        <f>IF(DL$6='Development Inputs'!$B$118,'Development Inputs'!$A$118*TotalInsurance,IF(AND(DL$6&gt;'Development Inputs'!$B$118,DL$6&lt;='Development Inputs'!$C$118),TotalInsurance*(1-'Development Inputs'!$A$118)/('Development Inputs'!$C$118-'Development Inputs'!$B$118),0))</f>
        <v>0</v>
      </c>
      <c r="DM38" s="229">
        <f>IF(DM$6='Development Inputs'!$B$118,'Development Inputs'!$A$118*TotalInsurance,IF(AND(DM$6&gt;'Development Inputs'!$B$118,DM$6&lt;='Development Inputs'!$C$118),TotalInsurance*(1-'Development Inputs'!$A$118)/('Development Inputs'!$C$118-'Development Inputs'!$B$118),0))</f>
        <v>0</v>
      </c>
      <c r="DN38" s="229">
        <f>IF(DN$6='Development Inputs'!$B$118,'Development Inputs'!$A$118*TotalInsurance,IF(AND(DN$6&gt;'Development Inputs'!$B$118,DN$6&lt;='Development Inputs'!$C$118),TotalInsurance*(1-'Development Inputs'!$A$118)/('Development Inputs'!$C$118-'Development Inputs'!$B$118),0))</f>
        <v>0</v>
      </c>
      <c r="DO38" s="229">
        <f>IF(DO$6='Development Inputs'!$B$118,'Development Inputs'!$A$118*TotalInsurance,IF(AND(DO$6&gt;'Development Inputs'!$B$118,DO$6&lt;='Development Inputs'!$C$118),TotalInsurance*(1-'Development Inputs'!$A$118)/('Development Inputs'!$C$118-'Development Inputs'!$B$118),0))</f>
        <v>0</v>
      </c>
      <c r="DP38" s="229">
        <f>IF(DP$6='Development Inputs'!$B$118,'Development Inputs'!$A$118*TotalInsurance,IF(AND(DP$6&gt;'Development Inputs'!$B$118,DP$6&lt;='Development Inputs'!$C$118),TotalInsurance*(1-'Development Inputs'!$A$118)/('Development Inputs'!$C$118-'Development Inputs'!$B$118),0))</f>
        <v>0</v>
      </c>
      <c r="DQ38" s="229">
        <f>IF(DQ$6='Development Inputs'!$B$118,'Development Inputs'!$A$118*TotalInsurance,IF(AND(DQ$6&gt;'Development Inputs'!$B$118,DQ$6&lt;='Development Inputs'!$C$118),TotalInsurance*(1-'Development Inputs'!$A$118)/('Development Inputs'!$C$118-'Development Inputs'!$B$118),0))</f>
        <v>0</v>
      </c>
      <c r="DR38" s="229">
        <f>IF(DR$6='Development Inputs'!$B$118,'Development Inputs'!$A$118*TotalInsurance,IF(AND(DR$6&gt;'Development Inputs'!$B$118,DR$6&lt;='Development Inputs'!$C$118),TotalInsurance*(1-'Development Inputs'!$A$118)/('Development Inputs'!$C$118-'Development Inputs'!$B$118),0))</f>
        <v>0</v>
      </c>
      <c r="DS38" s="229">
        <f>IF(DS$6='Development Inputs'!$B$118,'Development Inputs'!$A$118*TotalInsurance,IF(AND(DS$6&gt;'Development Inputs'!$B$118,DS$6&lt;='Development Inputs'!$C$118),TotalInsurance*(1-'Development Inputs'!$A$118)/('Development Inputs'!$C$118-'Development Inputs'!$B$118),0))</f>
        <v>0</v>
      </c>
      <c r="DT38" s="229">
        <f>IF(DT$6='Development Inputs'!$B$118,'Development Inputs'!$A$118*TotalInsurance,IF(AND(DT$6&gt;'Development Inputs'!$B$118,DT$6&lt;='Development Inputs'!$C$118),TotalInsurance*(1-'Development Inputs'!$A$118)/('Development Inputs'!$C$118-'Development Inputs'!$B$118),0))</f>
        <v>0</v>
      </c>
      <c r="DU38" s="229">
        <f>IF(DU$6='Development Inputs'!$B$118,'Development Inputs'!$A$118*TotalInsurance,IF(AND(DU$6&gt;'Development Inputs'!$B$118,DU$6&lt;='Development Inputs'!$C$118),TotalInsurance*(1-'Development Inputs'!$A$118)/('Development Inputs'!$C$118-'Development Inputs'!$B$118),0))</f>
        <v>0</v>
      </c>
      <c r="DV38" s="229">
        <f>IF(DV$6='Development Inputs'!$B$118,'Development Inputs'!$A$118*TotalInsurance,IF(AND(DV$6&gt;'Development Inputs'!$B$118,DV$6&lt;='Development Inputs'!$C$118),TotalInsurance*(1-'Development Inputs'!$A$118)/('Development Inputs'!$C$118-'Development Inputs'!$B$118),0))</f>
        <v>0</v>
      </c>
      <c r="DW38" s="229">
        <f>IF(DW$6='Development Inputs'!$B$118,'Development Inputs'!$A$118*TotalInsurance,IF(AND(DW$6&gt;'Development Inputs'!$B$118,DW$6&lt;='Development Inputs'!$C$118),TotalInsurance*(1-'Development Inputs'!$A$118)/('Development Inputs'!$C$118-'Development Inputs'!$B$118),0))</f>
        <v>0</v>
      </c>
      <c r="DX38" s="229">
        <f>IF(DX$6='Development Inputs'!$B$118,'Development Inputs'!$A$118*TotalInsurance,IF(AND(DX$6&gt;'Development Inputs'!$B$118,DX$6&lt;='Development Inputs'!$C$118),TotalInsurance*(1-'Development Inputs'!$A$118)/('Development Inputs'!$C$118-'Development Inputs'!$B$118),0))</f>
        <v>0</v>
      </c>
      <c r="DY38" s="229">
        <f>IF(DY$6='Development Inputs'!$B$118,'Development Inputs'!$A$118*TotalInsurance,IF(AND(DY$6&gt;'Development Inputs'!$B$118,DY$6&lt;='Development Inputs'!$C$118),TotalInsurance*(1-'Development Inputs'!$A$118)/('Development Inputs'!$C$118-'Development Inputs'!$B$118),0))</f>
        <v>0</v>
      </c>
      <c r="DZ38" s="229">
        <f>IF(DZ$6='Development Inputs'!$B$118,'Development Inputs'!$A$118*TotalInsurance,IF(AND(DZ$6&gt;'Development Inputs'!$B$118,DZ$6&lt;='Development Inputs'!$C$118),TotalInsurance*(1-'Development Inputs'!$A$118)/('Development Inputs'!$C$118-'Development Inputs'!$B$118),0))</f>
        <v>0</v>
      </c>
      <c r="EA38" s="229">
        <f>IF(EA$6='Development Inputs'!$B$118,'Development Inputs'!$A$118*TotalInsurance,IF(AND(EA$6&gt;'Development Inputs'!$B$118,EA$6&lt;='Development Inputs'!$C$118),TotalInsurance*(1-'Development Inputs'!$A$118)/('Development Inputs'!$C$118-'Development Inputs'!$B$118),0))</f>
        <v>0</v>
      </c>
      <c r="EB38" s="229">
        <f>IF(EB$6='Development Inputs'!$B$118,'Development Inputs'!$A$118*TotalInsurance,IF(AND(EB$6&gt;'Development Inputs'!$B$118,EB$6&lt;='Development Inputs'!$C$118),TotalInsurance*(1-'Development Inputs'!$A$118)/('Development Inputs'!$C$118-'Development Inputs'!$B$118),0))</f>
        <v>0</v>
      </c>
      <c r="EC38" s="229">
        <f>IF(EC$6='Development Inputs'!$B$118,'Development Inputs'!$A$118*TotalInsurance,IF(AND(EC$6&gt;'Development Inputs'!$B$118,EC$6&lt;='Development Inputs'!$C$118),TotalInsurance*(1-'Development Inputs'!$A$118)/('Development Inputs'!$C$118-'Development Inputs'!$B$118),0))</f>
        <v>0</v>
      </c>
      <c r="ED38" s="229">
        <f>IF(ED$6='Development Inputs'!$B$118,'Development Inputs'!$A$118*TotalInsurance,IF(AND(ED$6&gt;'Development Inputs'!$B$118,ED$6&lt;='Development Inputs'!$C$118),TotalInsurance*(1-'Development Inputs'!$A$118)/('Development Inputs'!$C$118-'Development Inputs'!$B$118),0))</f>
        <v>0</v>
      </c>
      <c r="EE38" s="229">
        <f>IF(EE$6='Development Inputs'!$B$118,'Development Inputs'!$A$118*TotalInsurance,IF(AND(EE$6&gt;'Development Inputs'!$B$118,EE$6&lt;='Development Inputs'!$C$118),TotalInsurance*(1-'Development Inputs'!$A$118)/('Development Inputs'!$C$118-'Development Inputs'!$B$118),0))</f>
        <v>0</v>
      </c>
      <c r="EF38" s="229">
        <f>IF(EF$6='Development Inputs'!$B$118,'Development Inputs'!$A$118*TotalInsurance,IF(AND(EF$6&gt;'Development Inputs'!$B$118,EF$6&lt;='Development Inputs'!$C$118),TotalInsurance*(1-'Development Inputs'!$A$118)/('Development Inputs'!$C$118-'Development Inputs'!$B$118),0))</f>
        <v>0</v>
      </c>
      <c r="EG38" s="229">
        <f>IF(EG$6='Development Inputs'!$B$118,'Development Inputs'!$A$118*TotalInsurance,IF(AND(EG$6&gt;'Development Inputs'!$B$118,EG$6&lt;='Development Inputs'!$C$118),TotalInsurance*(1-'Development Inputs'!$A$118)/('Development Inputs'!$C$118-'Development Inputs'!$B$118),0))</f>
        <v>0</v>
      </c>
      <c r="EH38" s="229">
        <f ca="1">IF(Macros!$B$3=2,1,SUBTOTAL(9,E38:EG38))</f>
        <v>1418022.6257534006</v>
      </c>
      <c r="EI38" s="227"/>
    </row>
    <row r="39" spans="1:139" x14ac:dyDescent="0.3">
      <c r="A39" s="413" t="s">
        <v>907</v>
      </c>
      <c r="B39" s="413"/>
      <c r="C39" s="413"/>
      <c r="E39" s="229">
        <f>IF(E$6='Development Inputs'!$I$30,TotalStartup*'Development Inputs'!$H$30,IF(AND(E$6&gt;'Development Inputs'!$I$30,E$6&lt;='Development Inputs'!$J$30),TotalStartup*(1-'Development Inputs'!$H$30)/('Development Inputs'!$J$30-'Development Inputs'!$I$30),0))</f>
        <v>0</v>
      </c>
      <c r="F39" s="229">
        <f>IF(F$6='Development Inputs'!$I$30,TotalStartup*'Development Inputs'!$H$30,IF(AND(F$6&gt;'Development Inputs'!$I$30,F$6&lt;='Development Inputs'!$J$30),TotalStartup*(1-'Development Inputs'!$H$30)/('Development Inputs'!$J$30-'Development Inputs'!$I$30),0))</f>
        <v>0</v>
      </c>
      <c r="G39" s="229">
        <f>IF(G$6='Development Inputs'!$I$30,TotalStartup*'Development Inputs'!$H$30,IF(AND(G$6&gt;'Development Inputs'!$I$30,G$6&lt;='Development Inputs'!$J$30),TotalStartup*(1-'Development Inputs'!$H$30)/('Development Inputs'!$J$30-'Development Inputs'!$I$30),0))</f>
        <v>0</v>
      </c>
      <c r="H39" s="229">
        <f>IF(H$6='Development Inputs'!$I$30,TotalStartup*'Development Inputs'!$H$30,IF(AND(H$6&gt;'Development Inputs'!$I$30,H$6&lt;='Development Inputs'!$J$30),TotalStartup*(1-'Development Inputs'!$H$30)/('Development Inputs'!$J$30-'Development Inputs'!$I$30),0))</f>
        <v>0</v>
      </c>
      <c r="I39" s="229">
        <f>IF(I$6='Development Inputs'!$I$30,TotalStartup*'Development Inputs'!$H$30,IF(AND(I$6&gt;'Development Inputs'!$I$30,I$6&lt;='Development Inputs'!$J$30),TotalStartup*(1-'Development Inputs'!$H$30)/('Development Inputs'!$J$30-'Development Inputs'!$I$30),0))</f>
        <v>0</v>
      </c>
      <c r="J39" s="229">
        <f>IF(J$6='Development Inputs'!$I$30,TotalStartup*'Development Inputs'!$H$30,IF(AND(J$6&gt;'Development Inputs'!$I$30,J$6&lt;='Development Inputs'!$J$30),TotalStartup*(1-'Development Inputs'!$H$30)/('Development Inputs'!$J$30-'Development Inputs'!$I$30),0))</f>
        <v>0</v>
      </c>
      <c r="K39" s="229">
        <f>IF(K$6='Development Inputs'!$I$30,TotalStartup*'Development Inputs'!$H$30,IF(AND(K$6&gt;'Development Inputs'!$I$30,K$6&lt;='Development Inputs'!$J$30),TotalStartup*(1-'Development Inputs'!$H$30)/('Development Inputs'!$J$30-'Development Inputs'!$I$30),0))</f>
        <v>0</v>
      </c>
      <c r="L39" s="229">
        <f>IF(L$6='Development Inputs'!$I$30,TotalStartup*'Development Inputs'!$H$30,IF(AND(L$6&gt;'Development Inputs'!$I$30,L$6&lt;='Development Inputs'!$J$30),TotalStartup*(1-'Development Inputs'!$H$30)/('Development Inputs'!$J$30-'Development Inputs'!$I$30),0))</f>
        <v>0</v>
      </c>
      <c r="M39" s="229">
        <f>IF(M$6='Development Inputs'!$I$30,TotalStartup*'Development Inputs'!$H$30,IF(AND(M$6&gt;'Development Inputs'!$I$30,M$6&lt;='Development Inputs'!$J$30),TotalStartup*(1-'Development Inputs'!$H$30)/('Development Inputs'!$J$30-'Development Inputs'!$I$30),0))</f>
        <v>0</v>
      </c>
      <c r="N39" s="229">
        <f>IF(N$6='Development Inputs'!$I$30,TotalStartup*'Development Inputs'!$H$30,IF(AND(N$6&gt;'Development Inputs'!$I$30,N$6&lt;='Development Inputs'!$J$30),TotalStartup*(1-'Development Inputs'!$H$30)/('Development Inputs'!$J$30-'Development Inputs'!$I$30),0))</f>
        <v>0</v>
      </c>
      <c r="O39" s="229">
        <f>IF(O$6='Development Inputs'!$I$30,TotalStartup*'Development Inputs'!$H$30,IF(AND(O$6&gt;'Development Inputs'!$I$30,O$6&lt;='Development Inputs'!$J$30),TotalStartup*(1-'Development Inputs'!$H$30)/('Development Inputs'!$J$30-'Development Inputs'!$I$30),0))</f>
        <v>0</v>
      </c>
      <c r="P39" s="229">
        <f>IF(P$6='Development Inputs'!$I$30,TotalStartup*'Development Inputs'!$H$30,IF(AND(P$6&gt;'Development Inputs'!$I$30,P$6&lt;='Development Inputs'!$J$30),TotalStartup*(1-'Development Inputs'!$H$30)/('Development Inputs'!$J$30-'Development Inputs'!$I$30),0))</f>
        <v>0</v>
      </c>
      <c r="Q39" s="229">
        <f>IF(Q$6='Development Inputs'!$I$30,TotalStartup*'Development Inputs'!$H$30,IF(AND(Q$6&gt;'Development Inputs'!$I$30,Q$6&lt;='Development Inputs'!$J$30),TotalStartup*(1-'Development Inputs'!$H$30)/('Development Inputs'!$J$30-'Development Inputs'!$I$30),0))</f>
        <v>0</v>
      </c>
      <c r="R39" s="229">
        <f>IF(R$6='Development Inputs'!$I$30,TotalStartup*'Development Inputs'!$H$30,IF(AND(R$6&gt;'Development Inputs'!$I$30,R$6&lt;='Development Inputs'!$J$30),TotalStartup*(1-'Development Inputs'!$H$30)/('Development Inputs'!$J$30-'Development Inputs'!$I$30),0))</f>
        <v>262500</v>
      </c>
      <c r="S39" s="229">
        <f>IF(S$6='Development Inputs'!$I$30,TotalStartup*'Development Inputs'!$H$30,IF(AND(S$6&gt;'Development Inputs'!$I$30,S$6&lt;='Development Inputs'!$J$30),TotalStartup*(1-'Development Inputs'!$H$30)/('Development Inputs'!$J$30-'Development Inputs'!$I$30),0))</f>
        <v>22500.000000000004</v>
      </c>
      <c r="T39" s="229">
        <f>IF(T$6='Development Inputs'!$I$30,TotalStartup*'Development Inputs'!$H$30,IF(AND(T$6&gt;'Development Inputs'!$I$30,T$6&lt;='Development Inputs'!$J$30),TotalStartup*(1-'Development Inputs'!$H$30)/('Development Inputs'!$J$30-'Development Inputs'!$I$30),0))</f>
        <v>22500.000000000004</v>
      </c>
      <c r="U39" s="229">
        <f>IF(U$6='Development Inputs'!$I$30,TotalStartup*'Development Inputs'!$H$30,IF(AND(U$6&gt;'Development Inputs'!$I$30,U$6&lt;='Development Inputs'!$J$30),TotalStartup*(1-'Development Inputs'!$H$30)/('Development Inputs'!$J$30-'Development Inputs'!$I$30),0))</f>
        <v>22500.000000000004</v>
      </c>
      <c r="V39" s="229">
        <f>IF(V$6='Development Inputs'!$I$30,TotalStartup*'Development Inputs'!$H$30,IF(AND(V$6&gt;'Development Inputs'!$I$30,V$6&lt;='Development Inputs'!$J$30),TotalStartup*(1-'Development Inputs'!$H$30)/('Development Inputs'!$J$30-'Development Inputs'!$I$30),0))</f>
        <v>22500.000000000004</v>
      </c>
      <c r="W39" s="229">
        <f>IF(W$6='Development Inputs'!$I$30,TotalStartup*'Development Inputs'!$H$30,IF(AND(W$6&gt;'Development Inputs'!$I$30,W$6&lt;='Development Inputs'!$J$30),TotalStartup*(1-'Development Inputs'!$H$30)/('Development Inputs'!$J$30-'Development Inputs'!$I$30),0))</f>
        <v>22500.000000000004</v>
      </c>
      <c r="X39" s="229">
        <f>IF(X$6='Development Inputs'!$I$30,TotalStartup*'Development Inputs'!$H$30,IF(AND(X$6&gt;'Development Inputs'!$I$30,X$6&lt;='Development Inputs'!$J$30),TotalStartup*(1-'Development Inputs'!$H$30)/('Development Inputs'!$J$30-'Development Inputs'!$I$30),0))</f>
        <v>0</v>
      </c>
      <c r="Y39" s="229">
        <f>IF(Y$6='Development Inputs'!$I$30,TotalStartup*'Development Inputs'!$H$30,IF(AND(Y$6&gt;'Development Inputs'!$I$30,Y$6&lt;='Development Inputs'!$J$30),TotalStartup*(1-'Development Inputs'!$H$30)/('Development Inputs'!$J$30-'Development Inputs'!$I$30),0))</f>
        <v>0</v>
      </c>
      <c r="Z39" s="229">
        <f>IF(Z$6='Development Inputs'!$I$30,TotalStartup*'Development Inputs'!$H$30,IF(AND(Z$6&gt;'Development Inputs'!$I$30,Z$6&lt;='Development Inputs'!$J$30),TotalStartup*(1-'Development Inputs'!$H$30)/('Development Inputs'!$J$30-'Development Inputs'!$I$30),0))</f>
        <v>0</v>
      </c>
      <c r="AA39" s="229">
        <f>IF(AA$6='Development Inputs'!$I$30,TotalStartup*'Development Inputs'!$H$30,IF(AND(AA$6&gt;'Development Inputs'!$I$30,AA$6&lt;='Development Inputs'!$J$30),TotalStartup*(1-'Development Inputs'!$H$30)/('Development Inputs'!$J$30-'Development Inputs'!$I$30),0))</f>
        <v>0</v>
      </c>
      <c r="AB39" s="229">
        <f>IF(AB$6='Development Inputs'!$I$30,TotalStartup*'Development Inputs'!$H$30,IF(AND(AB$6&gt;'Development Inputs'!$I$30,AB$6&lt;='Development Inputs'!$J$30),TotalStartup*(1-'Development Inputs'!$H$30)/('Development Inputs'!$J$30-'Development Inputs'!$I$30),0))</f>
        <v>0</v>
      </c>
      <c r="AC39" s="229">
        <f>IF(AC$6='Development Inputs'!$I$30,TotalStartup*'Development Inputs'!$H$30,IF(AND(AC$6&gt;'Development Inputs'!$I$30,AC$6&lt;='Development Inputs'!$J$30),TotalStartup*(1-'Development Inputs'!$H$30)/('Development Inputs'!$J$30-'Development Inputs'!$I$30),0))</f>
        <v>0</v>
      </c>
      <c r="AD39" s="229">
        <f>IF(AD$6='Development Inputs'!$I$30,TotalStartup*'Development Inputs'!$H$30,IF(AND(AD$6&gt;'Development Inputs'!$I$30,AD$6&lt;='Development Inputs'!$J$30),TotalStartup*(1-'Development Inputs'!$H$30)/('Development Inputs'!$J$30-'Development Inputs'!$I$30),0))</f>
        <v>0</v>
      </c>
      <c r="AE39" s="229">
        <f>IF(AE$6='Development Inputs'!$I$30,TotalStartup*'Development Inputs'!$H$30,IF(AND(AE$6&gt;'Development Inputs'!$I$30,AE$6&lt;='Development Inputs'!$J$30),TotalStartup*(1-'Development Inputs'!$H$30)/('Development Inputs'!$J$30-'Development Inputs'!$I$30),0))</f>
        <v>0</v>
      </c>
      <c r="AF39" s="229">
        <f>IF(AF$6='Development Inputs'!$I$30,TotalStartup*'Development Inputs'!$H$30,IF(AND(AF$6&gt;'Development Inputs'!$I$30,AF$6&lt;='Development Inputs'!$J$30),TotalStartup*(1-'Development Inputs'!$H$30)/('Development Inputs'!$J$30-'Development Inputs'!$I$30),0))</f>
        <v>0</v>
      </c>
      <c r="AG39" s="229">
        <f>IF(AG$6='Development Inputs'!$I$30,TotalStartup*'Development Inputs'!$H$30,IF(AND(AG$6&gt;'Development Inputs'!$I$30,AG$6&lt;='Development Inputs'!$J$30),TotalStartup*(1-'Development Inputs'!$H$30)/('Development Inputs'!$J$30-'Development Inputs'!$I$30),0))</f>
        <v>0</v>
      </c>
      <c r="AH39" s="229">
        <f>IF(AH$6='Development Inputs'!$I$30,TotalStartup*'Development Inputs'!$H$30,IF(AND(AH$6&gt;'Development Inputs'!$I$30,AH$6&lt;='Development Inputs'!$J$30),TotalStartup*(1-'Development Inputs'!$H$30)/('Development Inputs'!$J$30-'Development Inputs'!$I$30),0))</f>
        <v>0</v>
      </c>
      <c r="AI39" s="229">
        <f>IF(AI$6='Development Inputs'!$I$30,TotalStartup*'Development Inputs'!$H$30,IF(AND(AI$6&gt;'Development Inputs'!$I$30,AI$6&lt;='Development Inputs'!$J$30),TotalStartup*(1-'Development Inputs'!$H$30)/('Development Inputs'!$J$30-'Development Inputs'!$I$30),0))</f>
        <v>0</v>
      </c>
      <c r="AJ39" s="229">
        <f>IF(AJ$6='Development Inputs'!$I$30,TotalStartup*'Development Inputs'!$H$30,IF(AND(AJ$6&gt;'Development Inputs'!$I$30,AJ$6&lt;='Development Inputs'!$J$30),TotalStartup*(1-'Development Inputs'!$H$30)/('Development Inputs'!$J$30-'Development Inputs'!$I$30),0))</f>
        <v>0</v>
      </c>
      <c r="AK39" s="229">
        <f>IF(AK$6='Development Inputs'!$I$30,TotalStartup*'Development Inputs'!$H$30,IF(AND(AK$6&gt;'Development Inputs'!$I$30,AK$6&lt;='Development Inputs'!$J$30),TotalStartup*(1-'Development Inputs'!$H$30)/('Development Inputs'!$J$30-'Development Inputs'!$I$30),0))</f>
        <v>0</v>
      </c>
      <c r="AL39" s="229">
        <f>IF(AL$6='Development Inputs'!$I$30,TotalStartup*'Development Inputs'!$H$30,IF(AND(AL$6&gt;'Development Inputs'!$I$30,AL$6&lt;='Development Inputs'!$J$30),TotalStartup*(1-'Development Inputs'!$H$30)/('Development Inputs'!$J$30-'Development Inputs'!$I$30),0))</f>
        <v>0</v>
      </c>
      <c r="AM39" s="229">
        <f>IF(AM$6='Development Inputs'!$I$30,TotalStartup*'Development Inputs'!$H$30,IF(AND(AM$6&gt;'Development Inputs'!$I$30,AM$6&lt;='Development Inputs'!$J$30),TotalStartup*(1-'Development Inputs'!$H$30)/('Development Inputs'!$J$30-'Development Inputs'!$I$30),0))</f>
        <v>0</v>
      </c>
      <c r="AN39" s="229">
        <f>IF(AN$6='Development Inputs'!$I$30,TotalStartup*'Development Inputs'!$H$30,IF(AND(AN$6&gt;'Development Inputs'!$I$30,AN$6&lt;='Development Inputs'!$J$30),TotalStartup*(1-'Development Inputs'!$H$30)/('Development Inputs'!$J$30-'Development Inputs'!$I$30),0))</f>
        <v>0</v>
      </c>
      <c r="AO39" s="229">
        <f>IF(AO$6='Development Inputs'!$I$30,TotalStartup*'Development Inputs'!$H$30,IF(AND(AO$6&gt;'Development Inputs'!$I$30,AO$6&lt;='Development Inputs'!$J$30),TotalStartup*(1-'Development Inputs'!$H$30)/('Development Inputs'!$J$30-'Development Inputs'!$I$30),0))</f>
        <v>0</v>
      </c>
      <c r="AP39" s="229">
        <f>IF(AP$6='Development Inputs'!$I$30,TotalStartup*'Development Inputs'!$H$30,IF(AND(AP$6&gt;'Development Inputs'!$I$30,AP$6&lt;='Development Inputs'!$J$30),TotalStartup*(1-'Development Inputs'!$H$30)/('Development Inputs'!$J$30-'Development Inputs'!$I$30),0))</f>
        <v>0</v>
      </c>
      <c r="AQ39" s="229">
        <f>IF(AQ$6='Development Inputs'!$I$30,TotalStartup*'Development Inputs'!$H$30,IF(AND(AQ$6&gt;'Development Inputs'!$I$30,AQ$6&lt;='Development Inputs'!$J$30),TotalStartup*(1-'Development Inputs'!$H$30)/('Development Inputs'!$J$30-'Development Inputs'!$I$30),0))</f>
        <v>0</v>
      </c>
      <c r="AR39" s="229">
        <f>IF(AR$6='Development Inputs'!$I$30,TotalStartup*'Development Inputs'!$H$30,IF(AND(AR$6&gt;'Development Inputs'!$I$30,AR$6&lt;='Development Inputs'!$J$30),TotalStartup*(1-'Development Inputs'!$H$30)/('Development Inputs'!$J$30-'Development Inputs'!$I$30),0))</f>
        <v>0</v>
      </c>
      <c r="AS39" s="229">
        <f>IF(AS$6='Development Inputs'!$I$30,TotalStartup*'Development Inputs'!$H$30,IF(AND(AS$6&gt;'Development Inputs'!$I$30,AS$6&lt;='Development Inputs'!$J$30),TotalStartup*(1-'Development Inputs'!$H$30)/('Development Inputs'!$J$30-'Development Inputs'!$I$30),0))</f>
        <v>0</v>
      </c>
      <c r="AT39" s="229">
        <f>IF(AT$6='Development Inputs'!$I$30,TotalStartup*'Development Inputs'!$H$30,IF(AND(AT$6&gt;'Development Inputs'!$I$30,AT$6&lt;='Development Inputs'!$J$30),TotalStartup*(1-'Development Inputs'!$H$30)/('Development Inputs'!$J$30-'Development Inputs'!$I$30),0))</f>
        <v>0</v>
      </c>
      <c r="AU39" s="229">
        <f>IF(AU$6='Development Inputs'!$I$30,TotalStartup*'Development Inputs'!$H$30,IF(AND(AU$6&gt;'Development Inputs'!$I$30,AU$6&lt;='Development Inputs'!$J$30),TotalStartup*(1-'Development Inputs'!$H$30)/('Development Inputs'!$J$30-'Development Inputs'!$I$30),0))</f>
        <v>0</v>
      </c>
      <c r="AV39" s="229">
        <f>IF(AV$6='Development Inputs'!$I$30,TotalStartup*'Development Inputs'!$H$30,IF(AND(AV$6&gt;'Development Inputs'!$I$30,AV$6&lt;='Development Inputs'!$J$30),TotalStartup*(1-'Development Inputs'!$H$30)/('Development Inputs'!$J$30-'Development Inputs'!$I$30),0))</f>
        <v>0</v>
      </c>
      <c r="AW39" s="229">
        <f>IF(AW$6='Development Inputs'!$I$30,TotalStartup*'Development Inputs'!$H$30,IF(AND(AW$6&gt;'Development Inputs'!$I$30,AW$6&lt;='Development Inputs'!$J$30),TotalStartup*(1-'Development Inputs'!$H$30)/('Development Inputs'!$J$30-'Development Inputs'!$I$30),0))</f>
        <v>0</v>
      </c>
      <c r="AX39" s="229">
        <f>IF(AX$6='Development Inputs'!$I$30,TotalStartup*'Development Inputs'!$H$30,IF(AND(AX$6&gt;'Development Inputs'!$I$30,AX$6&lt;='Development Inputs'!$J$30),TotalStartup*(1-'Development Inputs'!$H$30)/('Development Inputs'!$J$30-'Development Inputs'!$I$30),0))</f>
        <v>0</v>
      </c>
      <c r="AY39" s="229">
        <f>IF(AY$6='Development Inputs'!$I$30,TotalStartup*'Development Inputs'!$H$30,IF(AND(AY$6&gt;'Development Inputs'!$I$30,AY$6&lt;='Development Inputs'!$J$30),TotalStartup*(1-'Development Inputs'!$H$30)/('Development Inputs'!$J$30-'Development Inputs'!$I$30),0))</f>
        <v>0</v>
      </c>
      <c r="AZ39" s="229">
        <f>IF(AZ$6='Development Inputs'!$I$30,TotalStartup*'Development Inputs'!$H$30,IF(AND(AZ$6&gt;'Development Inputs'!$I$30,AZ$6&lt;='Development Inputs'!$J$30),TotalStartup*(1-'Development Inputs'!$H$30)/('Development Inputs'!$J$30-'Development Inputs'!$I$30),0))</f>
        <v>0</v>
      </c>
      <c r="BA39" s="229">
        <f>IF(BA$6='Development Inputs'!$I$30,TotalStartup*'Development Inputs'!$H$30,IF(AND(BA$6&gt;'Development Inputs'!$I$30,BA$6&lt;='Development Inputs'!$J$30),TotalStartup*(1-'Development Inputs'!$H$30)/('Development Inputs'!$J$30-'Development Inputs'!$I$30),0))</f>
        <v>0</v>
      </c>
      <c r="BB39" s="229">
        <f>IF(BB$6='Development Inputs'!$I$30,TotalStartup*'Development Inputs'!$H$30,IF(AND(BB$6&gt;'Development Inputs'!$I$30,BB$6&lt;='Development Inputs'!$J$30),TotalStartup*(1-'Development Inputs'!$H$30)/('Development Inputs'!$J$30-'Development Inputs'!$I$30),0))</f>
        <v>0</v>
      </c>
      <c r="BC39" s="229">
        <f>IF(BC$6='Development Inputs'!$I$30,TotalStartup*'Development Inputs'!$H$30,IF(AND(BC$6&gt;'Development Inputs'!$I$30,BC$6&lt;='Development Inputs'!$J$30),TotalStartup*(1-'Development Inputs'!$H$30)/('Development Inputs'!$J$30-'Development Inputs'!$I$30),0))</f>
        <v>0</v>
      </c>
      <c r="BD39" s="229">
        <f>IF(BD$6='Development Inputs'!$I$30,TotalStartup*'Development Inputs'!$H$30,IF(AND(BD$6&gt;'Development Inputs'!$I$30,BD$6&lt;='Development Inputs'!$J$30),TotalStartup*(1-'Development Inputs'!$H$30)/('Development Inputs'!$J$30-'Development Inputs'!$I$30),0))</f>
        <v>0</v>
      </c>
      <c r="BE39" s="229">
        <f>IF(BE$6='Development Inputs'!$I$30,TotalStartup*'Development Inputs'!$H$30,IF(AND(BE$6&gt;'Development Inputs'!$I$30,BE$6&lt;='Development Inputs'!$J$30),TotalStartup*(1-'Development Inputs'!$H$30)/('Development Inputs'!$J$30-'Development Inputs'!$I$30),0))</f>
        <v>0</v>
      </c>
      <c r="BF39" s="229">
        <f>IF(BF$6='Development Inputs'!$I$30,TotalStartup*'Development Inputs'!$H$30,IF(AND(BF$6&gt;'Development Inputs'!$I$30,BF$6&lt;='Development Inputs'!$J$30),TotalStartup*(1-'Development Inputs'!$H$30)/('Development Inputs'!$J$30-'Development Inputs'!$I$30),0))</f>
        <v>0</v>
      </c>
      <c r="BG39" s="229">
        <f>IF(BG$6='Development Inputs'!$I$30,TotalStartup*'Development Inputs'!$H$30,IF(AND(BG$6&gt;'Development Inputs'!$I$30,BG$6&lt;='Development Inputs'!$J$30),TotalStartup*(1-'Development Inputs'!$H$30)/('Development Inputs'!$J$30-'Development Inputs'!$I$30),0))</f>
        <v>0</v>
      </c>
      <c r="BH39" s="229">
        <f>IF(BH$6='Development Inputs'!$I$30,TotalStartup*'Development Inputs'!$H$30,IF(AND(BH$6&gt;'Development Inputs'!$I$30,BH$6&lt;='Development Inputs'!$J$30),TotalStartup*(1-'Development Inputs'!$H$30)/('Development Inputs'!$J$30-'Development Inputs'!$I$30),0))</f>
        <v>0</v>
      </c>
      <c r="BI39" s="229">
        <f>IF(BI$6='Development Inputs'!$I$30,TotalStartup*'Development Inputs'!$H$30,IF(AND(BI$6&gt;'Development Inputs'!$I$30,BI$6&lt;='Development Inputs'!$J$30),TotalStartup*(1-'Development Inputs'!$H$30)/('Development Inputs'!$J$30-'Development Inputs'!$I$30),0))</f>
        <v>0</v>
      </c>
      <c r="BJ39" s="229">
        <f>IF(BJ$6='Development Inputs'!$I$30,TotalStartup*'Development Inputs'!$H$30,IF(AND(BJ$6&gt;'Development Inputs'!$I$30,BJ$6&lt;='Development Inputs'!$J$30),TotalStartup*(1-'Development Inputs'!$H$30)/('Development Inputs'!$J$30-'Development Inputs'!$I$30),0))</f>
        <v>0</v>
      </c>
      <c r="BK39" s="229">
        <f>IF(BK$6='Development Inputs'!$I$30,TotalStartup*'Development Inputs'!$H$30,IF(AND(BK$6&gt;'Development Inputs'!$I$30,BK$6&lt;='Development Inputs'!$J$30),TotalStartup*(1-'Development Inputs'!$H$30)/('Development Inputs'!$J$30-'Development Inputs'!$I$30),0))</f>
        <v>0</v>
      </c>
      <c r="BL39" s="229">
        <f>IF(BL$6='Development Inputs'!$I$30,TotalStartup*'Development Inputs'!$H$30,IF(AND(BL$6&gt;'Development Inputs'!$I$30,BL$6&lt;='Development Inputs'!$J$30),TotalStartup*(1-'Development Inputs'!$H$30)/('Development Inputs'!$J$30-'Development Inputs'!$I$30),0))</f>
        <v>0</v>
      </c>
      <c r="BM39" s="229">
        <f>IF(BM$6='Development Inputs'!$I$30,TotalStartup*'Development Inputs'!$H$30,IF(AND(BM$6&gt;'Development Inputs'!$I$30,BM$6&lt;='Development Inputs'!$J$30),TotalStartup*(1-'Development Inputs'!$H$30)/('Development Inputs'!$J$30-'Development Inputs'!$I$30),0))</f>
        <v>0</v>
      </c>
      <c r="BN39" s="229">
        <f>IF(BN$6='Development Inputs'!$I$30,TotalStartup*'Development Inputs'!$H$30,IF(AND(BN$6&gt;'Development Inputs'!$I$30,BN$6&lt;='Development Inputs'!$J$30),TotalStartup*(1-'Development Inputs'!$H$30)/('Development Inputs'!$J$30-'Development Inputs'!$I$30),0))</f>
        <v>0</v>
      </c>
      <c r="BO39" s="229">
        <f>IF(BO$6='Development Inputs'!$I$30,TotalStartup*'Development Inputs'!$H$30,IF(AND(BO$6&gt;'Development Inputs'!$I$30,BO$6&lt;='Development Inputs'!$J$30),TotalStartup*(1-'Development Inputs'!$H$30)/('Development Inputs'!$J$30-'Development Inputs'!$I$30),0))</f>
        <v>0</v>
      </c>
      <c r="BP39" s="229">
        <f>IF(BP$6='Development Inputs'!$I$30,TotalStartup*'Development Inputs'!$H$30,IF(AND(BP$6&gt;'Development Inputs'!$I$30,BP$6&lt;='Development Inputs'!$J$30),TotalStartup*(1-'Development Inputs'!$H$30)/('Development Inputs'!$J$30-'Development Inputs'!$I$30),0))</f>
        <v>0</v>
      </c>
      <c r="BQ39" s="229">
        <f>IF(BQ$6='Development Inputs'!$I$30,TotalStartup*'Development Inputs'!$H$30,IF(AND(BQ$6&gt;'Development Inputs'!$I$30,BQ$6&lt;='Development Inputs'!$J$30),TotalStartup*(1-'Development Inputs'!$H$30)/('Development Inputs'!$J$30-'Development Inputs'!$I$30),0))</f>
        <v>0</v>
      </c>
      <c r="BR39" s="229">
        <f>IF(BR$6='Development Inputs'!$I$30,TotalStartup*'Development Inputs'!$H$30,IF(AND(BR$6&gt;'Development Inputs'!$I$30,BR$6&lt;='Development Inputs'!$J$30),TotalStartup*(1-'Development Inputs'!$H$30)/('Development Inputs'!$J$30-'Development Inputs'!$I$30),0))</f>
        <v>0</v>
      </c>
      <c r="BS39" s="229">
        <f>IF(BS$6='Development Inputs'!$I$30,TotalStartup*'Development Inputs'!$H$30,IF(AND(BS$6&gt;'Development Inputs'!$I$30,BS$6&lt;='Development Inputs'!$J$30),TotalStartup*(1-'Development Inputs'!$H$30)/('Development Inputs'!$J$30-'Development Inputs'!$I$30),0))</f>
        <v>0</v>
      </c>
      <c r="BT39" s="229">
        <f>IF(BT$6='Development Inputs'!$I$30,TotalStartup*'Development Inputs'!$H$30,IF(AND(BT$6&gt;'Development Inputs'!$I$30,BT$6&lt;='Development Inputs'!$J$30),TotalStartup*(1-'Development Inputs'!$H$30)/('Development Inputs'!$J$30-'Development Inputs'!$I$30),0))</f>
        <v>0</v>
      </c>
      <c r="BU39" s="229">
        <f>IF(BU$6='Development Inputs'!$I$30,TotalStartup*'Development Inputs'!$H$30,IF(AND(BU$6&gt;'Development Inputs'!$I$30,BU$6&lt;='Development Inputs'!$J$30),TotalStartup*(1-'Development Inputs'!$H$30)/('Development Inputs'!$J$30-'Development Inputs'!$I$30),0))</f>
        <v>0</v>
      </c>
      <c r="BV39" s="229">
        <f>IF(BV$6='Development Inputs'!$I$30,TotalStartup*'Development Inputs'!$H$30,IF(AND(BV$6&gt;'Development Inputs'!$I$30,BV$6&lt;='Development Inputs'!$J$30),TotalStartup*(1-'Development Inputs'!$H$30)/('Development Inputs'!$J$30-'Development Inputs'!$I$30),0))</f>
        <v>0</v>
      </c>
      <c r="BW39" s="229">
        <f>IF(BW$6='Development Inputs'!$I$30,TotalStartup*'Development Inputs'!$H$30,IF(AND(BW$6&gt;'Development Inputs'!$I$30,BW$6&lt;='Development Inputs'!$J$30),TotalStartup*(1-'Development Inputs'!$H$30)/('Development Inputs'!$J$30-'Development Inputs'!$I$30),0))</f>
        <v>0</v>
      </c>
      <c r="BX39" s="229">
        <f>IF(BX$6='Development Inputs'!$I$30,TotalStartup*'Development Inputs'!$H$30,IF(AND(BX$6&gt;'Development Inputs'!$I$30,BX$6&lt;='Development Inputs'!$J$30),TotalStartup*(1-'Development Inputs'!$H$30)/('Development Inputs'!$J$30-'Development Inputs'!$I$30),0))</f>
        <v>0</v>
      </c>
      <c r="BY39" s="229">
        <f>IF(BY$6='Development Inputs'!$I$30,TotalStartup*'Development Inputs'!$H$30,IF(AND(BY$6&gt;'Development Inputs'!$I$30,BY$6&lt;='Development Inputs'!$J$30),TotalStartup*(1-'Development Inputs'!$H$30)/('Development Inputs'!$J$30-'Development Inputs'!$I$30),0))</f>
        <v>0</v>
      </c>
      <c r="BZ39" s="229">
        <f>IF(BZ$6='Development Inputs'!$I$30,TotalStartup*'Development Inputs'!$H$30,IF(AND(BZ$6&gt;'Development Inputs'!$I$30,BZ$6&lt;='Development Inputs'!$J$30),TotalStartup*(1-'Development Inputs'!$H$30)/('Development Inputs'!$J$30-'Development Inputs'!$I$30),0))</f>
        <v>0</v>
      </c>
      <c r="CA39" s="229">
        <f>IF(CA$6='Development Inputs'!$I$30,TotalStartup*'Development Inputs'!$H$30,IF(AND(CA$6&gt;'Development Inputs'!$I$30,CA$6&lt;='Development Inputs'!$J$30),TotalStartup*(1-'Development Inputs'!$H$30)/('Development Inputs'!$J$30-'Development Inputs'!$I$30),0))</f>
        <v>0</v>
      </c>
      <c r="CB39" s="229">
        <f>IF(CB$6='Development Inputs'!$I$30,TotalStartup*'Development Inputs'!$H$30,IF(AND(CB$6&gt;'Development Inputs'!$I$30,CB$6&lt;='Development Inputs'!$J$30),TotalStartup*(1-'Development Inputs'!$H$30)/('Development Inputs'!$J$30-'Development Inputs'!$I$30),0))</f>
        <v>0</v>
      </c>
      <c r="CC39" s="229">
        <f>IF(CC$6='Development Inputs'!$I$30,TotalStartup*'Development Inputs'!$H$30,IF(AND(CC$6&gt;'Development Inputs'!$I$30,CC$6&lt;='Development Inputs'!$J$30),TotalStartup*(1-'Development Inputs'!$H$30)/('Development Inputs'!$J$30-'Development Inputs'!$I$30),0))</f>
        <v>0</v>
      </c>
      <c r="CD39" s="229">
        <f>IF(CD$6='Development Inputs'!$I$30,TotalStartup*'Development Inputs'!$H$30,IF(AND(CD$6&gt;'Development Inputs'!$I$30,CD$6&lt;='Development Inputs'!$J$30),TotalStartup*(1-'Development Inputs'!$H$30)/('Development Inputs'!$J$30-'Development Inputs'!$I$30),0))</f>
        <v>0</v>
      </c>
      <c r="CE39" s="229">
        <f>IF(CE$6='Development Inputs'!$I$30,TotalStartup*'Development Inputs'!$H$30,IF(AND(CE$6&gt;'Development Inputs'!$I$30,CE$6&lt;='Development Inputs'!$J$30),TotalStartup*(1-'Development Inputs'!$H$30)/('Development Inputs'!$J$30-'Development Inputs'!$I$30),0))</f>
        <v>0</v>
      </c>
      <c r="CF39" s="229">
        <f>IF(CF$6='Development Inputs'!$I$30,TotalStartup*'Development Inputs'!$H$30,IF(AND(CF$6&gt;'Development Inputs'!$I$30,CF$6&lt;='Development Inputs'!$J$30),TotalStartup*(1-'Development Inputs'!$H$30)/('Development Inputs'!$J$30-'Development Inputs'!$I$30),0))</f>
        <v>0</v>
      </c>
      <c r="CG39" s="229">
        <f>IF(CG$6='Development Inputs'!$I$30,TotalStartup*'Development Inputs'!$H$30,IF(AND(CG$6&gt;'Development Inputs'!$I$30,CG$6&lt;='Development Inputs'!$J$30),TotalStartup*(1-'Development Inputs'!$H$30)/('Development Inputs'!$J$30-'Development Inputs'!$I$30),0))</f>
        <v>0</v>
      </c>
      <c r="CH39" s="229">
        <f>IF(CH$6='Development Inputs'!$I$30,TotalStartup*'Development Inputs'!$H$30,IF(AND(CH$6&gt;'Development Inputs'!$I$30,CH$6&lt;='Development Inputs'!$J$30),TotalStartup*(1-'Development Inputs'!$H$30)/('Development Inputs'!$J$30-'Development Inputs'!$I$30),0))</f>
        <v>0</v>
      </c>
      <c r="CI39" s="229">
        <f>IF(CI$6='Development Inputs'!$I$30,TotalStartup*'Development Inputs'!$H$30,IF(AND(CI$6&gt;'Development Inputs'!$I$30,CI$6&lt;='Development Inputs'!$J$30),TotalStartup*(1-'Development Inputs'!$H$30)/('Development Inputs'!$J$30-'Development Inputs'!$I$30),0))</f>
        <v>0</v>
      </c>
      <c r="CJ39" s="229">
        <f>IF(CJ$6='Development Inputs'!$I$30,TotalStartup*'Development Inputs'!$H$30,IF(AND(CJ$6&gt;'Development Inputs'!$I$30,CJ$6&lt;='Development Inputs'!$J$30),TotalStartup*(1-'Development Inputs'!$H$30)/('Development Inputs'!$J$30-'Development Inputs'!$I$30),0))</f>
        <v>0</v>
      </c>
      <c r="CK39" s="229">
        <f>IF(CK$6='Development Inputs'!$I$30,TotalStartup*'Development Inputs'!$H$30,IF(AND(CK$6&gt;'Development Inputs'!$I$30,CK$6&lt;='Development Inputs'!$J$30),TotalStartup*(1-'Development Inputs'!$H$30)/('Development Inputs'!$J$30-'Development Inputs'!$I$30),0))</f>
        <v>0</v>
      </c>
      <c r="CL39" s="229">
        <f>IF(CL$6='Development Inputs'!$I$30,TotalStartup*'Development Inputs'!$H$30,IF(AND(CL$6&gt;'Development Inputs'!$I$30,CL$6&lt;='Development Inputs'!$J$30),TotalStartup*(1-'Development Inputs'!$H$30)/('Development Inputs'!$J$30-'Development Inputs'!$I$30),0))</f>
        <v>0</v>
      </c>
      <c r="CM39" s="229">
        <f>IF(CM$6='Development Inputs'!$I$30,TotalStartup*'Development Inputs'!$H$30,IF(AND(CM$6&gt;'Development Inputs'!$I$30,CM$6&lt;='Development Inputs'!$J$30),TotalStartup*(1-'Development Inputs'!$H$30)/('Development Inputs'!$J$30-'Development Inputs'!$I$30),0))</f>
        <v>0</v>
      </c>
      <c r="CN39" s="229">
        <f>IF(CN$6='Development Inputs'!$I$30,TotalStartup*'Development Inputs'!$H$30,IF(AND(CN$6&gt;'Development Inputs'!$I$30,CN$6&lt;='Development Inputs'!$J$30),TotalStartup*(1-'Development Inputs'!$H$30)/('Development Inputs'!$J$30-'Development Inputs'!$I$30),0))</f>
        <v>0</v>
      </c>
      <c r="CO39" s="229">
        <f>IF(CO$6='Development Inputs'!$I$30,TotalStartup*'Development Inputs'!$H$30,IF(AND(CO$6&gt;'Development Inputs'!$I$30,CO$6&lt;='Development Inputs'!$J$30),TotalStartup*(1-'Development Inputs'!$H$30)/('Development Inputs'!$J$30-'Development Inputs'!$I$30),0))</f>
        <v>0</v>
      </c>
      <c r="CP39" s="229">
        <f>IF(CP$6='Development Inputs'!$I$30,TotalStartup*'Development Inputs'!$H$30,IF(AND(CP$6&gt;'Development Inputs'!$I$30,CP$6&lt;='Development Inputs'!$J$30),TotalStartup*(1-'Development Inputs'!$H$30)/('Development Inputs'!$J$30-'Development Inputs'!$I$30),0))</f>
        <v>0</v>
      </c>
      <c r="CQ39" s="229">
        <f>IF(CQ$6='Development Inputs'!$I$30,TotalStartup*'Development Inputs'!$H$30,IF(AND(CQ$6&gt;'Development Inputs'!$I$30,CQ$6&lt;='Development Inputs'!$J$30),TotalStartup*(1-'Development Inputs'!$H$30)/('Development Inputs'!$J$30-'Development Inputs'!$I$30),0))</f>
        <v>0</v>
      </c>
      <c r="CR39" s="229">
        <f>IF(CR$6='Development Inputs'!$I$30,TotalStartup*'Development Inputs'!$H$30,IF(AND(CR$6&gt;'Development Inputs'!$I$30,CR$6&lt;='Development Inputs'!$J$30),TotalStartup*(1-'Development Inputs'!$H$30)/('Development Inputs'!$J$30-'Development Inputs'!$I$30),0))</f>
        <v>0</v>
      </c>
      <c r="CS39" s="229">
        <f>IF(CS$6='Development Inputs'!$I$30,TotalStartup*'Development Inputs'!$H$30,IF(AND(CS$6&gt;'Development Inputs'!$I$30,CS$6&lt;='Development Inputs'!$J$30),TotalStartup*(1-'Development Inputs'!$H$30)/('Development Inputs'!$J$30-'Development Inputs'!$I$30),0))</f>
        <v>0</v>
      </c>
      <c r="CT39" s="229">
        <f>IF(CT$6='Development Inputs'!$I$30,TotalStartup*'Development Inputs'!$H$30,IF(AND(CT$6&gt;'Development Inputs'!$I$30,CT$6&lt;='Development Inputs'!$J$30),TotalStartup*(1-'Development Inputs'!$H$30)/('Development Inputs'!$J$30-'Development Inputs'!$I$30),0))</f>
        <v>0</v>
      </c>
      <c r="CU39" s="229">
        <f>IF(CU$6='Development Inputs'!$I$30,TotalStartup*'Development Inputs'!$H$30,IF(AND(CU$6&gt;'Development Inputs'!$I$30,CU$6&lt;='Development Inputs'!$J$30),TotalStartup*(1-'Development Inputs'!$H$30)/('Development Inputs'!$J$30-'Development Inputs'!$I$30),0))</f>
        <v>0</v>
      </c>
      <c r="CV39" s="229">
        <f>IF(CV$6='Development Inputs'!$I$30,TotalStartup*'Development Inputs'!$H$30,IF(AND(CV$6&gt;'Development Inputs'!$I$30,CV$6&lt;='Development Inputs'!$J$30),TotalStartup*(1-'Development Inputs'!$H$30)/('Development Inputs'!$J$30-'Development Inputs'!$I$30),0))</f>
        <v>0</v>
      </c>
      <c r="CW39" s="229">
        <f>IF(CW$6='Development Inputs'!$I$30,TotalStartup*'Development Inputs'!$H$30,IF(AND(CW$6&gt;'Development Inputs'!$I$30,CW$6&lt;='Development Inputs'!$J$30),TotalStartup*(1-'Development Inputs'!$H$30)/('Development Inputs'!$J$30-'Development Inputs'!$I$30),0))</f>
        <v>0</v>
      </c>
      <c r="CX39" s="229">
        <f>IF(CX$6='Development Inputs'!$I$30,TotalStartup*'Development Inputs'!$H$30,IF(AND(CX$6&gt;'Development Inputs'!$I$30,CX$6&lt;='Development Inputs'!$J$30),TotalStartup*(1-'Development Inputs'!$H$30)/('Development Inputs'!$J$30-'Development Inputs'!$I$30),0))</f>
        <v>0</v>
      </c>
      <c r="CY39" s="229">
        <f>IF(CY$6='Development Inputs'!$I$30,TotalStartup*'Development Inputs'!$H$30,IF(AND(CY$6&gt;'Development Inputs'!$I$30,CY$6&lt;='Development Inputs'!$J$30),TotalStartup*(1-'Development Inputs'!$H$30)/('Development Inputs'!$J$30-'Development Inputs'!$I$30),0))</f>
        <v>0</v>
      </c>
      <c r="CZ39" s="229">
        <f>IF(CZ$6='Development Inputs'!$I$30,TotalStartup*'Development Inputs'!$H$30,IF(AND(CZ$6&gt;'Development Inputs'!$I$30,CZ$6&lt;='Development Inputs'!$J$30),TotalStartup*(1-'Development Inputs'!$H$30)/('Development Inputs'!$J$30-'Development Inputs'!$I$30),0))</f>
        <v>0</v>
      </c>
      <c r="DA39" s="229">
        <f>IF(DA$6='Development Inputs'!$I$30,TotalStartup*'Development Inputs'!$H$30,IF(AND(DA$6&gt;'Development Inputs'!$I$30,DA$6&lt;='Development Inputs'!$J$30),TotalStartup*(1-'Development Inputs'!$H$30)/('Development Inputs'!$J$30-'Development Inputs'!$I$30),0))</f>
        <v>0</v>
      </c>
      <c r="DB39" s="229">
        <f>IF(DB$6='Development Inputs'!$I$30,TotalStartup*'Development Inputs'!$H$30,IF(AND(DB$6&gt;'Development Inputs'!$I$30,DB$6&lt;='Development Inputs'!$J$30),TotalStartup*(1-'Development Inputs'!$H$30)/('Development Inputs'!$J$30-'Development Inputs'!$I$30),0))</f>
        <v>0</v>
      </c>
      <c r="DC39" s="229">
        <f>IF(DC$6='Development Inputs'!$I$30,TotalStartup*'Development Inputs'!$H$30,IF(AND(DC$6&gt;'Development Inputs'!$I$30,DC$6&lt;='Development Inputs'!$J$30),TotalStartup*(1-'Development Inputs'!$H$30)/('Development Inputs'!$J$30-'Development Inputs'!$I$30),0))</f>
        <v>0</v>
      </c>
      <c r="DD39" s="229">
        <f>IF(DD$6='Development Inputs'!$I$30,TotalStartup*'Development Inputs'!$H$30,IF(AND(DD$6&gt;'Development Inputs'!$I$30,DD$6&lt;='Development Inputs'!$J$30),TotalStartup*(1-'Development Inputs'!$H$30)/('Development Inputs'!$J$30-'Development Inputs'!$I$30),0))</f>
        <v>0</v>
      </c>
      <c r="DE39" s="229">
        <f>IF(DE$6='Development Inputs'!$I$30,TotalStartup*'Development Inputs'!$H$30,IF(AND(DE$6&gt;'Development Inputs'!$I$30,DE$6&lt;='Development Inputs'!$J$30),TotalStartup*(1-'Development Inputs'!$H$30)/('Development Inputs'!$J$30-'Development Inputs'!$I$30),0))</f>
        <v>0</v>
      </c>
      <c r="DF39" s="229">
        <f>IF(DF$6='Development Inputs'!$I$30,TotalStartup*'Development Inputs'!$H$30,IF(AND(DF$6&gt;'Development Inputs'!$I$30,DF$6&lt;='Development Inputs'!$J$30),TotalStartup*(1-'Development Inputs'!$H$30)/('Development Inputs'!$J$30-'Development Inputs'!$I$30),0))</f>
        <v>0</v>
      </c>
      <c r="DG39" s="229">
        <f>IF(DG$6='Development Inputs'!$I$30,TotalStartup*'Development Inputs'!$H$30,IF(AND(DG$6&gt;'Development Inputs'!$I$30,DG$6&lt;='Development Inputs'!$J$30),TotalStartup*(1-'Development Inputs'!$H$30)/('Development Inputs'!$J$30-'Development Inputs'!$I$30),0))</f>
        <v>0</v>
      </c>
      <c r="DH39" s="229">
        <f>IF(DH$6='Development Inputs'!$I$30,TotalStartup*'Development Inputs'!$H$30,IF(AND(DH$6&gt;'Development Inputs'!$I$30,DH$6&lt;='Development Inputs'!$J$30),TotalStartup*(1-'Development Inputs'!$H$30)/('Development Inputs'!$J$30-'Development Inputs'!$I$30),0))</f>
        <v>0</v>
      </c>
      <c r="DI39" s="229">
        <f>IF(DI$6='Development Inputs'!$I$30,TotalStartup*'Development Inputs'!$H$30,IF(AND(DI$6&gt;'Development Inputs'!$I$30,DI$6&lt;='Development Inputs'!$J$30),TotalStartup*(1-'Development Inputs'!$H$30)/('Development Inputs'!$J$30-'Development Inputs'!$I$30),0))</f>
        <v>0</v>
      </c>
      <c r="DJ39" s="229">
        <f>IF(DJ$6='Development Inputs'!$I$30,TotalStartup*'Development Inputs'!$H$30,IF(AND(DJ$6&gt;'Development Inputs'!$I$30,DJ$6&lt;='Development Inputs'!$J$30),TotalStartup*(1-'Development Inputs'!$H$30)/('Development Inputs'!$J$30-'Development Inputs'!$I$30),0))</f>
        <v>0</v>
      </c>
      <c r="DK39" s="229">
        <f>IF(DK$6='Development Inputs'!$I$30,TotalStartup*'Development Inputs'!$H$30,IF(AND(DK$6&gt;'Development Inputs'!$I$30,DK$6&lt;='Development Inputs'!$J$30),TotalStartup*(1-'Development Inputs'!$H$30)/('Development Inputs'!$J$30-'Development Inputs'!$I$30),0))</f>
        <v>0</v>
      </c>
      <c r="DL39" s="229">
        <f>IF(DL$6='Development Inputs'!$I$30,TotalStartup*'Development Inputs'!$H$30,IF(AND(DL$6&gt;'Development Inputs'!$I$30,DL$6&lt;='Development Inputs'!$J$30),TotalStartup*(1-'Development Inputs'!$H$30)/('Development Inputs'!$J$30-'Development Inputs'!$I$30),0))</f>
        <v>0</v>
      </c>
      <c r="DM39" s="229">
        <f>IF(DM$6='Development Inputs'!$I$30,TotalStartup*'Development Inputs'!$H$30,IF(AND(DM$6&gt;'Development Inputs'!$I$30,DM$6&lt;='Development Inputs'!$J$30),TotalStartup*(1-'Development Inputs'!$H$30)/('Development Inputs'!$J$30-'Development Inputs'!$I$30),0))</f>
        <v>0</v>
      </c>
      <c r="DN39" s="229">
        <f>IF(DN$6='Development Inputs'!$I$30,TotalStartup*'Development Inputs'!$H$30,IF(AND(DN$6&gt;'Development Inputs'!$I$30,DN$6&lt;='Development Inputs'!$J$30),TotalStartup*(1-'Development Inputs'!$H$30)/('Development Inputs'!$J$30-'Development Inputs'!$I$30),0))</f>
        <v>0</v>
      </c>
      <c r="DO39" s="229">
        <f>IF(DO$6='Development Inputs'!$I$30,TotalStartup*'Development Inputs'!$H$30,IF(AND(DO$6&gt;'Development Inputs'!$I$30,DO$6&lt;='Development Inputs'!$J$30),TotalStartup*(1-'Development Inputs'!$H$30)/('Development Inputs'!$J$30-'Development Inputs'!$I$30),0))</f>
        <v>0</v>
      </c>
      <c r="DP39" s="229">
        <f>IF(DP$6='Development Inputs'!$I$30,TotalStartup*'Development Inputs'!$H$30,IF(AND(DP$6&gt;'Development Inputs'!$I$30,DP$6&lt;='Development Inputs'!$J$30),TotalStartup*(1-'Development Inputs'!$H$30)/('Development Inputs'!$J$30-'Development Inputs'!$I$30),0))</f>
        <v>0</v>
      </c>
      <c r="DQ39" s="229">
        <f>IF(DQ$6='Development Inputs'!$I$30,TotalStartup*'Development Inputs'!$H$30,IF(AND(DQ$6&gt;'Development Inputs'!$I$30,DQ$6&lt;='Development Inputs'!$J$30),TotalStartup*(1-'Development Inputs'!$H$30)/('Development Inputs'!$J$30-'Development Inputs'!$I$30),0))</f>
        <v>0</v>
      </c>
      <c r="DR39" s="229">
        <f>IF(DR$6='Development Inputs'!$I$30,TotalStartup*'Development Inputs'!$H$30,IF(AND(DR$6&gt;'Development Inputs'!$I$30,DR$6&lt;='Development Inputs'!$J$30),TotalStartup*(1-'Development Inputs'!$H$30)/('Development Inputs'!$J$30-'Development Inputs'!$I$30),0))</f>
        <v>0</v>
      </c>
      <c r="DS39" s="229">
        <f>IF(DS$6='Development Inputs'!$I$30,TotalStartup*'Development Inputs'!$H$30,IF(AND(DS$6&gt;'Development Inputs'!$I$30,DS$6&lt;='Development Inputs'!$J$30),TotalStartup*(1-'Development Inputs'!$H$30)/('Development Inputs'!$J$30-'Development Inputs'!$I$30),0))</f>
        <v>0</v>
      </c>
      <c r="DT39" s="229">
        <f>IF(DT$6='Development Inputs'!$I$30,TotalStartup*'Development Inputs'!$H$30,IF(AND(DT$6&gt;'Development Inputs'!$I$30,DT$6&lt;='Development Inputs'!$J$30),TotalStartup*(1-'Development Inputs'!$H$30)/('Development Inputs'!$J$30-'Development Inputs'!$I$30),0))</f>
        <v>0</v>
      </c>
      <c r="DU39" s="229">
        <f>IF(DU$6='Development Inputs'!$I$30,TotalStartup*'Development Inputs'!$H$30,IF(AND(DU$6&gt;'Development Inputs'!$I$30,DU$6&lt;='Development Inputs'!$J$30),TotalStartup*(1-'Development Inputs'!$H$30)/('Development Inputs'!$J$30-'Development Inputs'!$I$30),0))</f>
        <v>0</v>
      </c>
      <c r="DV39" s="229">
        <f>IF(DV$6='Development Inputs'!$I$30,TotalStartup*'Development Inputs'!$H$30,IF(AND(DV$6&gt;'Development Inputs'!$I$30,DV$6&lt;='Development Inputs'!$J$30),TotalStartup*(1-'Development Inputs'!$H$30)/('Development Inputs'!$J$30-'Development Inputs'!$I$30),0))</f>
        <v>0</v>
      </c>
      <c r="DW39" s="229">
        <f>IF(DW$6='Development Inputs'!$I$30,TotalStartup*'Development Inputs'!$H$30,IF(AND(DW$6&gt;'Development Inputs'!$I$30,DW$6&lt;='Development Inputs'!$J$30),TotalStartup*(1-'Development Inputs'!$H$30)/('Development Inputs'!$J$30-'Development Inputs'!$I$30),0))</f>
        <v>0</v>
      </c>
      <c r="DX39" s="229">
        <f>IF(DX$6='Development Inputs'!$I$30,TotalStartup*'Development Inputs'!$H$30,IF(AND(DX$6&gt;'Development Inputs'!$I$30,DX$6&lt;='Development Inputs'!$J$30),TotalStartup*(1-'Development Inputs'!$H$30)/('Development Inputs'!$J$30-'Development Inputs'!$I$30),0))</f>
        <v>0</v>
      </c>
      <c r="DY39" s="229">
        <f>IF(DY$6='Development Inputs'!$I$30,TotalStartup*'Development Inputs'!$H$30,IF(AND(DY$6&gt;'Development Inputs'!$I$30,DY$6&lt;='Development Inputs'!$J$30),TotalStartup*(1-'Development Inputs'!$H$30)/('Development Inputs'!$J$30-'Development Inputs'!$I$30),0))</f>
        <v>0</v>
      </c>
      <c r="DZ39" s="229">
        <f>IF(DZ$6='Development Inputs'!$I$30,TotalStartup*'Development Inputs'!$H$30,IF(AND(DZ$6&gt;'Development Inputs'!$I$30,DZ$6&lt;='Development Inputs'!$J$30),TotalStartup*(1-'Development Inputs'!$H$30)/('Development Inputs'!$J$30-'Development Inputs'!$I$30),0))</f>
        <v>0</v>
      </c>
      <c r="EA39" s="229">
        <f>IF(EA$6='Development Inputs'!$I$30,TotalStartup*'Development Inputs'!$H$30,IF(AND(EA$6&gt;'Development Inputs'!$I$30,EA$6&lt;='Development Inputs'!$J$30),TotalStartup*(1-'Development Inputs'!$H$30)/('Development Inputs'!$J$30-'Development Inputs'!$I$30),0))</f>
        <v>0</v>
      </c>
      <c r="EB39" s="229">
        <f>IF(EB$6='Development Inputs'!$I$30,TotalStartup*'Development Inputs'!$H$30,IF(AND(EB$6&gt;'Development Inputs'!$I$30,EB$6&lt;='Development Inputs'!$J$30),TotalStartup*(1-'Development Inputs'!$H$30)/('Development Inputs'!$J$30-'Development Inputs'!$I$30),0))</f>
        <v>0</v>
      </c>
      <c r="EC39" s="229">
        <f>IF(EC$6='Development Inputs'!$I$30,TotalStartup*'Development Inputs'!$H$30,IF(AND(EC$6&gt;'Development Inputs'!$I$30,EC$6&lt;='Development Inputs'!$J$30),TotalStartup*(1-'Development Inputs'!$H$30)/('Development Inputs'!$J$30-'Development Inputs'!$I$30),0))</f>
        <v>0</v>
      </c>
      <c r="ED39" s="229">
        <f>IF(ED$6='Development Inputs'!$I$30,TotalStartup*'Development Inputs'!$H$30,IF(AND(ED$6&gt;'Development Inputs'!$I$30,ED$6&lt;='Development Inputs'!$J$30),TotalStartup*(1-'Development Inputs'!$H$30)/('Development Inputs'!$J$30-'Development Inputs'!$I$30),0))</f>
        <v>0</v>
      </c>
      <c r="EE39" s="229">
        <f>IF(EE$6='Development Inputs'!$I$30,TotalStartup*'Development Inputs'!$H$30,IF(AND(EE$6&gt;'Development Inputs'!$I$30,EE$6&lt;='Development Inputs'!$J$30),TotalStartup*(1-'Development Inputs'!$H$30)/('Development Inputs'!$J$30-'Development Inputs'!$I$30),0))</f>
        <v>0</v>
      </c>
      <c r="EF39" s="229">
        <f>IF(EF$6='Development Inputs'!$I$30,TotalStartup*'Development Inputs'!$H$30,IF(AND(EF$6&gt;'Development Inputs'!$I$30,EF$6&lt;='Development Inputs'!$J$30),TotalStartup*(1-'Development Inputs'!$H$30)/('Development Inputs'!$J$30-'Development Inputs'!$I$30),0))</f>
        <v>0</v>
      </c>
      <c r="EG39" s="229">
        <f>IF(EG$6='Development Inputs'!$I$30,TotalStartup*'Development Inputs'!$H$30,IF(AND(EG$6&gt;'Development Inputs'!$I$30,EG$6&lt;='Development Inputs'!$J$30),TotalStartup*(1-'Development Inputs'!$H$30)/('Development Inputs'!$J$30-'Development Inputs'!$I$30),0))</f>
        <v>0</v>
      </c>
      <c r="EH39" s="229">
        <f>SUBTOTAL(9,E39:EG39)</f>
        <v>375000</v>
      </c>
      <c r="EI39" s="227"/>
    </row>
    <row r="40" spans="1:139" x14ac:dyDescent="0.3">
      <c r="A40" s="413" t="s">
        <v>676</v>
      </c>
      <c r="B40" s="413"/>
      <c r="C40" s="413"/>
      <c r="D40" s="282">
        <f>Waterfalls!D162-DevBdgt!D35</f>
        <v>0</v>
      </c>
      <c r="E40" s="229">
        <f>Waterfalls!E162-DevBdgt!E35</f>
        <v>0</v>
      </c>
      <c r="F40" s="229">
        <f ca="1">Waterfalls!F162-DevBdgt!F35</f>
        <v>0</v>
      </c>
      <c r="G40" s="229">
        <f ca="1">Waterfalls!G162-DevBdgt!G35</f>
        <v>0</v>
      </c>
      <c r="H40" s="229">
        <f ca="1">Waterfalls!H162-DevBdgt!H35</f>
        <v>0</v>
      </c>
      <c r="I40" s="229">
        <f ca="1">Waterfalls!I162-DevBdgt!I35</f>
        <v>0</v>
      </c>
      <c r="J40" s="229">
        <f ca="1">Waterfalls!J162-DevBdgt!J35</f>
        <v>0</v>
      </c>
      <c r="K40" s="229">
        <f ca="1">Waterfalls!K162-DevBdgt!K35</f>
        <v>0</v>
      </c>
      <c r="L40" s="229">
        <f ca="1">Waterfalls!L162-DevBdgt!L35</f>
        <v>0</v>
      </c>
      <c r="M40" s="229">
        <f ca="1">Waterfalls!M162-DevBdgt!M35</f>
        <v>0</v>
      </c>
      <c r="N40" s="229">
        <f ca="1">Waterfalls!N162-DevBdgt!N35</f>
        <v>0</v>
      </c>
      <c r="O40" s="229">
        <f ca="1">Waterfalls!O162-DevBdgt!O35</f>
        <v>0</v>
      </c>
      <c r="P40" s="229">
        <f ca="1">Waterfalls!P162-DevBdgt!P35</f>
        <v>0</v>
      </c>
      <c r="Q40" s="229">
        <f ca="1">Waterfalls!Q162-DevBdgt!Q35</f>
        <v>0</v>
      </c>
      <c r="R40" s="229">
        <f ca="1">Waterfalls!R162-DevBdgt!R35</f>
        <v>0</v>
      </c>
      <c r="S40" s="229">
        <f ca="1">Waterfalls!S162-DevBdgt!S35</f>
        <v>79914.316796474115</v>
      </c>
      <c r="T40" s="229">
        <f ca="1">Waterfalls!T162-DevBdgt!T35</f>
        <v>82060.245337504777</v>
      </c>
      <c r="U40" s="229">
        <f ca="1">Waterfalls!U162-DevBdgt!U35</f>
        <v>86595.158524060025</v>
      </c>
      <c r="V40" s="229">
        <f ca="1">Waterfalls!V162-DevBdgt!V35</f>
        <v>56402.494005308195</v>
      </c>
      <c r="W40" s="229">
        <f ca="1">Waterfalls!W162-DevBdgt!W35</f>
        <v>24108.319380961417</v>
      </c>
      <c r="X40" s="229">
        <f ca="1">Waterfalls!X162-DevBdgt!X35</f>
        <v>0</v>
      </c>
      <c r="Y40" s="229">
        <f ca="1">Waterfalls!Y162-DevBdgt!Y35</f>
        <v>0</v>
      </c>
      <c r="Z40" s="229">
        <f ca="1">Waterfalls!Z162-DevBdgt!Z35</f>
        <v>0</v>
      </c>
      <c r="AA40" s="229">
        <f ca="1">Waterfalls!AA162-DevBdgt!AA35</f>
        <v>0</v>
      </c>
      <c r="AB40" s="229">
        <f ca="1">Waterfalls!AB162-DevBdgt!AB35</f>
        <v>0</v>
      </c>
      <c r="AC40" s="229">
        <f ca="1">Waterfalls!AC162-DevBdgt!AC35</f>
        <v>0</v>
      </c>
      <c r="AD40" s="229">
        <f ca="1">Waterfalls!AD162-DevBdgt!AD35</f>
        <v>0</v>
      </c>
      <c r="AE40" s="229">
        <f ca="1">Waterfalls!AE162-DevBdgt!AE35</f>
        <v>0</v>
      </c>
      <c r="AF40" s="229">
        <f ca="1">Waterfalls!AF162-DevBdgt!AF35</f>
        <v>0</v>
      </c>
      <c r="AG40" s="229">
        <f ca="1">Waterfalls!AG162-DevBdgt!AG35</f>
        <v>0</v>
      </c>
      <c r="AH40" s="229">
        <f ca="1">Waterfalls!AH162-DevBdgt!AH35</f>
        <v>0</v>
      </c>
      <c r="AI40" s="229">
        <f ca="1">Waterfalls!AI162-DevBdgt!AI35</f>
        <v>0</v>
      </c>
      <c r="AJ40" s="229">
        <f ca="1">Waterfalls!AJ162-DevBdgt!AJ35</f>
        <v>0</v>
      </c>
      <c r="AK40" s="229">
        <f ca="1">Waterfalls!AK162-DevBdgt!AK35</f>
        <v>0</v>
      </c>
      <c r="AL40" s="229">
        <f ca="1">Waterfalls!AL162-DevBdgt!AL35</f>
        <v>0</v>
      </c>
      <c r="AM40" s="229">
        <f ca="1">Waterfalls!AM162-DevBdgt!AM35</f>
        <v>0</v>
      </c>
      <c r="AN40" s="229">
        <f ca="1">Waterfalls!AN162-DevBdgt!AN35</f>
        <v>0</v>
      </c>
      <c r="AO40" s="229">
        <f ca="1">Waterfalls!AO162-DevBdgt!AO35</f>
        <v>0</v>
      </c>
      <c r="AP40" s="229">
        <f ca="1">Waterfalls!AP162-DevBdgt!AP35</f>
        <v>0</v>
      </c>
      <c r="AQ40" s="229">
        <f ca="1">Waterfalls!AQ162-DevBdgt!AQ35</f>
        <v>0</v>
      </c>
      <c r="AR40" s="229">
        <f ca="1">Waterfalls!AR162-DevBdgt!AR35</f>
        <v>0</v>
      </c>
      <c r="AS40" s="229">
        <f ca="1">Waterfalls!AS162-DevBdgt!AS35</f>
        <v>0</v>
      </c>
      <c r="AT40" s="229">
        <f ca="1">Waterfalls!AT162-DevBdgt!AT35</f>
        <v>0</v>
      </c>
      <c r="AU40" s="229">
        <f ca="1">Waterfalls!AU162-DevBdgt!AU35</f>
        <v>0</v>
      </c>
      <c r="AV40" s="229">
        <f ca="1">Waterfalls!AV162-DevBdgt!AV35</f>
        <v>0</v>
      </c>
      <c r="AW40" s="229">
        <f ca="1">Waterfalls!AW162-DevBdgt!AW35</f>
        <v>0</v>
      </c>
      <c r="AX40" s="229">
        <f ca="1">Waterfalls!AX162-DevBdgt!AX35</f>
        <v>0</v>
      </c>
      <c r="AY40" s="229">
        <f ca="1">Waterfalls!AY162-DevBdgt!AY35</f>
        <v>0</v>
      </c>
      <c r="AZ40" s="229">
        <f ca="1">Waterfalls!AZ162-DevBdgt!AZ35</f>
        <v>0</v>
      </c>
      <c r="BA40" s="229">
        <f ca="1">Waterfalls!BA162-DevBdgt!BA35</f>
        <v>0</v>
      </c>
      <c r="BB40" s="229">
        <f ca="1">Waterfalls!BB162-DevBdgt!BB35</f>
        <v>0</v>
      </c>
      <c r="BC40" s="229">
        <f ca="1">Waterfalls!BC162-DevBdgt!BC35</f>
        <v>0</v>
      </c>
      <c r="BD40" s="229">
        <f ca="1">Waterfalls!BD162-DevBdgt!BD35</f>
        <v>0</v>
      </c>
      <c r="BE40" s="229">
        <f ca="1">Waterfalls!BE162-DevBdgt!BE35</f>
        <v>0</v>
      </c>
      <c r="BF40" s="229">
        <f ca="1">Waterfalls!BF162-DevBdgt!BF35</f>
        <v>0</v>
      </c>
      <c r="BG40" s="229">
        <f ca="1">Waterfalls!BG162-DevBdgt!BG35</f>
        <v>0</v>
      </c>
      <c r="BH40" s="229">
        <f ca="1">Waterfalls!BH162-DevBdgt!BH35</f>
        <v>0</v>
      </c>
      <c r="BI40" s="229">
        <f ca="1">Waterfalls!BI162-DevBdgt!BI35</f>
        <v>0</v>
      </c>
      <c r="BJ40" s="229">
        <f ca="1">Waterfalls!BJ162-DevBdgt!BJ35</f>
        <v>0</v>
      </c>
      <c r="BK40" s="229">
        <f ca="1">Waterfalls!BK162-DevBdgt!BK35</f>
        <v>0</v>
      </c>
      <c r="BL40" s="229">
        <f ca="1">Waterfalls!BL162-DevBdgt!BL35</f>
        <v>0</v>
      </c>
      <c r="BM40" s="229">
        <f ca="1">Waterfalls!BM162-DevBdgt!BM35</f>
        <v>0</v>
      </c>
      <c r="BN40" s="229">
        <f ca="1">Waterfalls!BN162-DevBdgt!BN35</f>
        <v>0</v>
      </c>
      <c r="BO40" s="229">
        <f ca="1">Waterfalls!BO162-DevBdgt!BO35</f>
        <v>0</v>
      </c>
      <c r="BP40" s="229">
        <f ca="1">Waterfalls!BP162-DevBdgt!BP35</f>
        <v>0</v>
      </c>
      <c r="BQ40" s="229">
        <f ca="1">Waterfalls!BQ162-DevBdgt!BQ35</f>
        <v>0</v>
      </c>
      <c r="BR40" s="229">
        <f ca="1">Waterfalls!BR162-DevBdgt!BR35</f>
        <v>0</v>
      </c>
      <c r="BS40" s="229">
        <f ca="1">Waterfalls!BS162-DevBdgt!BS35</f>
        <v>0</v>
      </c>
      <c r="BT40" s="229">
        <f ca="1">Waterfalls!BT162-DevBdgt!BT35</f>
        <v>0</v>
      </c>
      <c r="BU40" s="229">
        <f ca="1">Waterfalls!BU162-DevBdgt!BU35</f>
        <v>0</v>
      </c>
      <c r="BV40" s="229">
        <f ca="1">Waterfalls!BV162-DevBdgt!BV35</f>
        <v>0</v>
      </c>
      <c r="BW40" s="229">
        <f ca="1">Waterfalls!BW162-DevBdgt!BW35</f>
        <v>0</v>
      </c>
      <c r="BX40" s="229">
        <f ca="1">Waterfalls!BX162-DevBdgt!BX35</f>
        <v>0</v>
      </c>
      <c r="BY40" s="229">
        <f ca="1">Waterfalls!BY162-DevBdgt!BY35</f>
        <v>0</v>
      </c>
      <c r="BZ40" s="229">
        <f ca="1">Waterfalls!BZ162-DevBdgt!BZ35</f>
        <v>0</v>
      </c>
      <c r="CA40" s="229">
        <f ca="1">Waterfalls!CA162-DevBdgt!CA35</f>
        <v>0</v>
      </c>
      <c r="CB40" s="229">
        <f ca="1">Waterfalls!CB162-DevBdgt!CB35</f>
        <v>0</v>
      </c>
      <c r="CC40" s="229">
        <f ca="1">Waterfalls!CC162-DevBdgt!CC35</f>
        <v>0</v>
      </c>
      <c r="CD40" s="229">
        <f ca="1">Waterfalls!CD162-DevBdgt!CD35</f>
        <v>0</v>
      </c>
      <c r="CE40" s="229">
        <f ca="1">Waterfalls!CE162-DevBdgt!CE35</f>
        <v>0</v>
      </c>
      <c r="CF40" s="229">
        <f ca="1">Waterfalls!CF162-DevBdgt!CF35</f>
        <v>0</v>
      </c>
      <c r="CG40" s="229">
        <f ca="1">Waterfalls!CG162-DevBdgt!CG35</f>
        <v>0</v>
      </c>
      <c r="CH40" s="229">
        <f ca="1">Waterfalls!CH162-DevBdgt!CH35</f>
        <v>0</v>
      </c>
      <c r="CI40" s="229">
        <f ca="1">Waterfalls!CI162-DevBdgt!CI35</f>
        <v>0</v>
      </c>
      <c r="CJ40" s="229">
        <f ca="1">Waterfalls!CJ162-DevBdgt!CJ35</f>
        <v>0</v>
      </c>
      <c r="CK40" s="229">
        <f ca="1">Waterfalls!CK162-DevBdgt!CK35</f>
        <v>0</v>
      </c>
      <c r="CL40" s="229">
        <f ca="1">Waterfalls!CL162-DevBdgt!CL35</f>
        <v>0</v>
      </c>
      <c r="CM40" s="229">
        <f ca="1">Waterfalls!CM162-DevBdgt!CM35</f>
        <v>0</v>
      </c>
      <c r="CN40" s="229">
        <f ca="1">Waterfalls!CN162-DevBdgt!CN35</f>
        <v>0</v>
      </c>
      <c r="CO40" s="229">
        <f ca="1">Waterfalls!CO162-DevBdgt!CO35</f>
        <v>0</v>
      </c>
      <c r="CP40" s="229">
        <f ca="1">Waterfalls!CP162-DevBdgt!CP35</f>
        <v>0</v>
      </c>
      <c r="CQ40" s="229">
        <f ca="1">Waterfalls!CQ162-DevBdgt!CQ35</f>
        <v>0</v>
      </c>
      <c r="CR40" s="229">
        <f ca="1">Waterfalls!CR162-DevBdgt!CR35</f>
        <v>0</v>
      </c>
      <c r="CS40" s="229">
        <f ca="1">Waterfalls!CS162-DevBdgt!CS35</f>
        <v>0</v>
      </c>
      <c r="CT40" s="229">
        <f ca="1">Waterfalls!CT162-DevBdgt!CT35</f>
        <v>0</v>
      </c>
      <c r="CU40" s="229">
        <f ca="1">Waterfalls!CU162-DevBdgt!CU35</f>
        <v>0</v>
      </c>
      <c r="CV40" s="229">
        <f ca="1">Waterfalls!CV162-DevBdgt!CV35</f>
        <v>0</v>
      </c>
      <c r="CW40" s="229">
        <f ca="1">Waterfalls!CW162-DevBdgt!CW35</f>
        <v>0</v>
      </c>
      <c r="CX40" s="229">
        <f ca="1">Waterfalls!CX162-DevBdgt!CX35</f>
        <v>0</v>
      </c>
      <c r="CY40" s="229">
        <f ca="1">Waterfalls!CY162-DevBdgt!CY35</f>
        <v>0</v>
      </c>
      <c r="CZ40" s="229">
        <f ca="1">Waterfalls!CZ162-DevBdgt!CZ35</f>
        <v>0</v>
      </c>
      <c r="DA40" s="229">
        <f ca="1">Waterfalls!DA162-DevBdgt!DA35</f>
        <v>0</v>
      </c>
      <c r="DB40" s="229">
        <f ca="1">Waterfalls!DB162-DevBdgt!DB35</f>
        <v>0</v>
      </c>
      <c r="DC40" s="229">
        <f ca="1">Waterfalls!DC162-DevBdgt!DC35</f>
        <v>0</v>
      </c>
      <c r="DD40" s="229">
        <f ca="1">Waterfalls!DD162-DevBdgt!DD35</f>
        <v>0</v>
      </c>
      <c r="DE40" s="229">
        <f ca="1">Waterfalls!DE162-DevBdgt!DE35</f>
        <v>0</v>
      </c>
      <c r="DF40" s="229">
        <f ca="1">Waterfalls!DF162-DevBdgt!DF35</f>
        <v>0</v>
      </c>
      <c r="DG40" s="229">
        <f ca="1">Waterfalls!DG162-DevBdgt!DG35</f>
        <v>0</v>
      </c>
      <c r="DH40" s="229">
        <f ca="1">Waterfalls!DH162-DevBdgt!DH35</f>
        <v>0</v>
      </c>
      <c r="DI40" s="229">
        <f ca="1">Waterfalls!DI162-DevBdgt!DI35</f>
        <v>0</v>
      </c>
      <c r="DJ40" s="229">
        <f ca="1">Waterfalls!DJ162-DevBdgt!DJ35</f>
        <v>0</v>
      </c>
      <c r="DK40" s="229">
        <f ca="1">Waterfalls!DK162-DevBdgt!DK35</f>
        <v>0</v>
      </c>
      <c r="DL40" s="229">
        <f ca="1">Waterfalls!DL162-DevBdgt!DL35</f>
        <v>0</v>
      </c>
      <c r="DM40" s="229">
        <f ca="1">Waterfalls!DM162-DevBdgt!DM35</f>
        <v>0</v>
      </c>
      <c r="DN40" s="229">
        <f ca="1">Waterfalls!DN162-DevBdgt!DN35</f>
        <v>0</v>
      </c>
      <c r="DO40" s="229">
        <f ca="1">Waterfalls!DO162-DevBdgt!DO35</f>
        <v>0</v>
      </c>
      <c r="DP40" s="229">
        <f ca="1">Waterfalls!DP162-DevBdgt!DP35</f>
        <v>0</v>
      </c>
      <c r="DQ40" s="229">
        <f ca="1">Waterfalls!DQ162-DevBdgt!DQ35</f>
        <v>0</v>
      </c>
      <c r="DR40" s="229">
        <f ca="1">Waterfalls!DR162-DevBdgt!DR35</f>
        <v>0</v>
      </c>
      <c r="DS40" s="229">
        <f ca="1">Waterfalls!DS162-DevBdgt!DS35</f>
        <v>0</v>
      </c>
      <c r="DT40" s="229">
        <f ca="1">Waterfalls!DT162-DevBdgt!DT35</f>
        <v>0</v>
      </c>
      <c r="DU40" s="229">
        <f ca="1">Waterfalls!DU162-DevBdgt!DU35</f>
        <v>0</v>
      </c>
      <c r="DV40" s="229">
        <f ca="1">Waterfalls!DV162-DevBdgt!DV35</f>
        <v>0</v>
      </c>
      <c r="DW40" s="229">
        <f ca="1">Waterfalls!DW162-DevBdgt!DW35</f>
        <v>0</v>
      </c>
      <c r="DX40" s="229">
        <f ca="1">Waterfalls!DX162-DevBdgt!DX35</f>
        <v>0</v>
      </c>
      <c r="DY40" s="229">
        <f ca="1">Waterfalls!DY162-DevBdgt!DY35</f>
        <v>0</v>
      </c>
      <c r="DZ40" s="229">
        <f ca="1">Waterfalls!DZ162-DevBdgt!DZ35</f>
        <v>0</v>
      </c>
      <c r="EA40" s="229">
        <f ca="1">Waterfalls!EA162-DevBdgt!EA35</f>
        <v>0</v>
      </c>
      <c r="EB40" s="229">
        <f ca="1">Waterfalls!EB162-DevBdgt!EB35</f>
        <v>0</v>
      </c>
      <c r="EC40" s="229">
        <f ca="1">Waterfalls!EC162-DevBdgt!EC35</f>
        <v>0</v>
      </c>
      <c r="ED40" s="229">
        <f ca="1">Waterfalls!ED162-DevBdgt!ED35</f>
        <v>0</v>
      </c>
      <c r="EE40" s="229">
        <f ca="1">Waterfalls!EE162-DevBdgt!EE35</f>
        <v>0</v>
      </c>
      <c r="EF40" s="229">
        <f ca="1">Waterfalls!EF162-DevBdgt!EF35</f>
        <v>0</v>
      </c>
      <c r="EG40" s="229">
        <f ca="1">Waterfalls!EG162-DevBdgt!EG35</f>
        <v>0</v>
      </c>
      <c r="EH40" s="229">
        <f ca="1">IF(Macros!$B$3=2,1,SUBTOTAL(9,E40:EG40))</f>
        <v>329080.53404430853</v>
      </c>
      <c r="EI40" s="227"/>
    </row>
    <row r="41" spans="1:139" x14ac:dyDescent="0.3">
      <c r="A41" s="413" t="s">
        <v>909</v>
      </c>
      <c r="B41" s="413"/>
      <c r="C41" s="413"/>
      <c r="E41" s="229">
        <f>IF(AND('Development Inputs'!$N$99="Total Cost",E$6&gt;='Development Inputs'!$I$98,E$6&lt;='Development Inputs'!$J$98),(TotalProjectCost*'Development Inputs'!$K$99)/('Development Inputs'!$J$98-'Development Inputs'!$I$98+1),
IF(AND('Development Inputs'!$N$99="Less Land",E$6&gt;='Development Inputs'!$I$98,E$6&lt;='Development Inputs'!$J$98),((TotalProjectCost-$EH$30)*'Development Inputs'!$K$99)/('Development Inputs'!$J$98-'Development Inputs'!$I$98+1),
IF(AND('Development Inputs'!$N$99="Less Land &amp; Fees",E$6&gt;='Development Inputs'!$I$98,E$6&lt;='Development Inputs'!$J$98),(SUM($EH$31:$EH$40,$EH$42:$EH$47)-'Development Inputs'!$E$99-$C$53)*'Development Inputs'!$K$99/('Development Inputs'!$J$98-'Development Inputs'!$I$98+1),
IF(AND('Development Inputs'!$N$99="Less Fees",E$6&gt;='Development Inputs'!$I$98,E$6&lt;='Development Inputs'!$J$98),(SUM($EH$30:$EH$40,$EH$42:$EH$47)-'Development Inputs'!$E$99)*'Development Inputs'!$K$99/('Development Inputs'!$J$98-'Development Inputs'!$I$98+1),0))))</f>
        <v>0</v>
      </c>
      <c r="F41" s="229">
        <f ca="1">IF(AND('Development Inputs'!$N$99="Total Cost",F$6&gt;='Development Inputs'!$I$98,F$6&lt;='Development Inputs'!$J$98),(TotalProjectCost*'Development Inputs'!$K$99)/('Development Inputs'!$J$98-'Development Inputs'!$I$98+1),
IF(AND('Development Inputs'!$N$99="Less Land",F$6&gt;='Development Inputs'!$I$98,F$6&lt;='Development Inputs'!$J$98),((TotalProjectCost-$EH$30)*'Development Inputs'!$K$99)/('Development Inputs'!$J$98-'Development Inputs'!$I$98+1),
IF(AND('Development Inputs'!$N$99="Less Land &amp; Fees",F$6&gt;='Development Inputs'!$I$98,F$6&lt;='Development Inputs'!$J$98),(SUM($EH$31:$EH$40,$EH$42:$EH$47)-'Development Inputs'!$E$99-$C$53)*'Development Inputs'!$K$99/('Development Inputs'!$J$98-'Development Inputs'!$I$98+1),
IF(AND('Development Inputs'!$N$99="Less Fees",F$6&gt;='Development Inputs'!$I$98,F$6&lt;='Development Inputs'!$J$98),(SUM($EH$30:$EH$40,$EH$42:$EH$47)-'Development Inputs'!$E$99)*'Development Inputs'!$K$99/('Development Inputs'!$J$98-'Development Inputs'!$I$98+1),0))))</f>
        <v>106322.4989879669</v>
      </c>
      <c r="G41" s="229">
        <f ca="1">IF(AND('Development Inputs'!$N$99="Total Cost",G$6&gt;='Development Inputs'!$I$98,G$6&lt;='Development Inputs'!$J$98),(TotalProjectCost*'Development Inputs'!$K$99)/('Development Inputs'!$J$98-'Development Inputs'!$I$98+1),
IF(AND('Development Inputs'!$N$99="Less Land",G$6&gt;='Development Inputs'!$I$98,G$6&lt;='Development Inputs'!$J$98),((TotalProjectCost-$EH$30)*'Development Inputs'!$K$99)/('Development Inputs'!$J$98-'Development Inputs'!$I$98+1),
IF(AND('Development Inputs'!$N$99="Less Land &amp; Fees",G$6&gt;='Development Inputs'!$I$98,G$6&lt;='Development Inputs'!$J$98),(SUM($EH$31:$EH$40,$EH$42:$EH$47)-'Development Inputs'!$E$99-$C$53)*'Development Inputs'!$K$99/('Development Inputs'!$J$98-'Development Inputs'!$I$98+1),
IF(AND('Development Inputs'!$N$99="Less Fees",G$6&gt;='Development Inputs'!$I$98,G$6&lt;='Development Inputs'!$J$98),(SUM($EH$30:$EH$40,$EH$42:$EH$47)-'Development Inputs'!$E$99)*'Development Inputs'!$K$99/('Development Inputs'!$J$98-'Development Inputs'!$I$98+1),0))))</f>
        <v>106322.4989879669</v>
      </c>
      <c r="H41" s="229">
        <f ca="1">IF(AND('Development Inputs'!$N$99="Total Cost",H$6&gt;='Development Inputs'!$I$98,H$6&lt;='Development Inputs'!$J$98),(TotalProjectCost*'Development Inputs'!$K$99)/('Development Inputs'!$J$98-'Development Inputs'!$I$98+1),
IF(AND('Development Inputs'!$N$99="Less Land",H$6&gt;='Development Inputs'!$I$98,H$6&lt;='Development Inputs'!$J$98),((TotalProjectCost-$EH$30)*'Development Inputs'!$K$99)/('Development Inputs'!$J$98-'Development Inputs'!$I$98+1),
IF(AND('Development Inputs'!$N$99="Less Land &amp; Fees",H$6&gt;='Development Inputs'!$I$98,H$6&lt;='Development Inputs'!$J$98),(SUM($EH$31:$EH$40,$EH$42:$EH$47)-'Development Inputs'!$E$99-$C$53)*'Development Inputs'!$K$99/('Development Inputs'!$J$98-'Development Inputs'!$I$98+1),
IF(AND('Development Inputs'!$N$99="Less Fees",H$6&gt;='Development Inputs'!$I$98,H$6&lt;='Development Inputs'!$J$98),(SUM($EH$30:$EH$40,$EH$42:$EH$47)-'Development Inputs'!$E$99)*'Development Inputs'!$K$99/('Development Inputs'!$J$98-'Development Inputs'!$I$98+1),0))))</f>
        <v>106322.4989879669</v>
      </c>
      <c r="I41" s="229">
        <f ca="1">IF(AND('Development Inputs'!$N$99="Total Cost",I$6&gt;='Development Inputs'!$I$98,I$6&lt;='Development Inputs'!$J$98),(TotalProjectCost*'Development Inputs'!$K$99)/('Development Inputs'!$J$98-'Development Inputs'!$I$98+1),
IF(AND('Development Inputs'!$N$99="Less Land",I$6&gt;='Development Inputs'!$I$98,I$6&lt;='Development Inputs'!$J$98),((TotalProjectCost-$EH$30)*'Development Inputs'!$K$99)/('Development Inputs'!$J$98-'Development Inputs'!$I$98+1),
IF(AND('Development Inputs'!$N$99="Less Land &amp; Fees",I$6&gt;='Development Inputs'!$I$98,I$6&lt;='Development Inputs'!$J$98),(SUM($EH$31:$EH$40,$EH$42:$EH$47)-'Development Inputs'!$E$99-$C$53)*'Development Inputs'!$K$99/('Development Inputs'!$J$98-'Development Inputs'!$I$98+1),
IF(AND('Development Inputs'!$N$99="Less Fees",I$6&gt;='Development Inputs'!$I$98,I$6&lt;='Development Inputs'!$J$98),(SUM($EH$30:$EH$40,$EH$42:$EH$47)-'Development Inputs'!$E$99)*'Development Inputs'!$K$99/('Development Inputs'!$J$98-'Development Inputs'!$I$98+1),0))))</f>
        <v>106322.4989879669</v>
      </c>
      <c r="J41" s="229">
        <f ca="1">IF(AND('Development Inputs'!$N$99="Total Cost",J$6&gt;='Development Inputs'!$I$98,J$6&lt;='Development Inputs'!$J$98),(TotalProjectCost*'Development Inputs'!$K$99)/('Development Inputs'!$J$98-'Development Inputs'!$I$98+1),
IF(AND('Development Inputs'!$N$99="Less Land",J$6&gt;='Development Inputs'!$I$98,J$6&lt;='Development Inputs'!$J$98),((TotalProjectCost-$EH$30)*'Development Inputs'!$K$99)/('Development Inputs'!$J$98-'Development Inputs'!$I$98+1),
IF(AND('Development Inputs'!$N$99="Less Land &amp; Fees",J$6&gt;='Development Inputs'!$I$98,J$6&lt;='Development Inputs'!$J$98),(SUM($EH$31:$EH$40,$EH$42:$EH$47)-'Development Inputs'!$E$99-$C$53)*'Development Inputs'!$K$99/('Development Inputs'!$J$98-'Development Inputs'!$I$98+1),
IF(AND('Development Inputs'!$N$99="Less Fees",J$6&gt;='Development Inputs'!$I$98,J$6&lt;='Development Inputs'!$J$98),(SUM($EH$30:$EH$40,$EH$42:$EH$47)-'Development Inputs'!$E$99)*'Development Inputs'!$K$99/('Development Inputs'!$J$98-'Development Inputs'!$I$98+1),0))))</f>
        <v>106322.4989879669</v>
      </c>
      <c r="K41" s="229">
        <f ca="1">IF(AND('Development Inputs'!$N$99="Total Cost",K$6&gt;='Development Inputs'!$I$98,K$6&lt;='Development Inputs'!$J$98),(TotalProjectCost*'Development Inputs'!$K$99)/('Development Inputs'!$J$98-'Development Inputs'!$I$98+1),
IF(AND('Development Inputs'!$N$99="Less Land",K$6&gt;='Development Inputs'!$I$98,K$6&lt;='Development Inputs'!$J$98),((TotalProjectCost-$EH$30)*'Development Inputs'!$K$99)/('Development Inputs'!$J$98-'Development Inputs'!$I$98+1),
IF(AND('Development Inputs'!$N$99="Less Land &amp; Fees",K$6&gt;='Development Inputs'!$I$98,K$6&lt;='Development Inputs'!$J$98),(SUM($EH$31:$EH$40,$EH$42:$EH$47)-'Development Inputs'!$E$99-$C$53)*'Development Inputs'!$K$99/('Development Inputs'!$J$98-'Development Inputs'!$I$98+1),
IF(AND('Development Inputs'!$N$99="Less Fees",K$6&gt;='Development Inputs'!$I$98,K$6&lt;='Development Inputs'!$J$98),(SUM($EH$30:$EH$40,$EH$42:$EH$47)-'Development Inputs'!$E$99)*'Development Inputs'!$K$99/('Development Inputs'!$J$98-'Development Inputs'!$I$98+1),0))))</f>
        <v>106322.4989879669</v>
      </c>
      <c r="L41" s="229">
        <f ca="1">IF(AND('Development Inputs'!$N$99="Total Cost",L$6&gt;='Development Inputs'!$I$98,L$6&lt;='Development Inputs'!$J$98),(TotalProjectCost*'Development Inputs'!$K$99)/('Development Inputs'!$J$98-'Development Inputs'!$I$98+1),
IF(AND('Development Inputs'!$N$99="Less Land",L$6&gt;='Development Inputs'!$I$98,L$6&lt;='Development Inputs'!$J$98),((TotalProjectCost-$EH$30)*'Development Inputs'!$K$99)/('Development Inputs'!$J$98-'Development Inputs'!$I$98+1),
IF(AND('Development Inputs'!$N$99="Less Land &amp; Fees",L$6&gt;='Development Inputs'!$I$98,L$6&lt;='Development Inputs'!$J$98),(SUM($EH$31:$EH$40,$EH$42:$EH$47)-'Development Inputs'!$E$99-$C$53)*'Development Inputs'!$K$99/('Development Inputs'!$J$98-'Development Inputs'!$I$98+1),
IF(AND('Development Inputs'!$N$99="Less Fees",L$6&gt;='Development Inputs'!$I$98,L$6&lt;='Development Inputs'!$J$98),(SUM($EH$30:$EH$40,$EH$42:$EH$47)-'Development Inputs'!$E$99)*'Development Inputs'!$K$99/('Development Inputs'!$J$98-'Development Inputs'!$I$98+1),0))))</f>
        <v>106322.4989879669</v>
      </c>
      <c r="M41" s="229">
        <f ca="1">IF(AND('Development Inputs'!$N$99="Total Cost",M$6&gt;='Development Inputs'!$I$98,M$6&lt;='Development Inputs'!$J$98),(TotalProjectCost*'Development Inputs'!$K$99)/('Development Inputs'!$J$98-'Development Inputs'!$I$98+1),
IF(AND('Development Inputs'!$N$99="Less Land",M$6&gt;='Development Inputs'!$I$98,M$6&lt;='Development Inputs'!$J$98),((TotalProjectCost-$EH$30)*'Development Inputs'!$K$99)/('Development Inputs'!$J$98-'Development Inputs'!$I$98+1),
IF(AND('Development Inputs'!$N$99="Less Land &amp; Fees",M$6&gt;='Development Inputs'!$I$98,M$6&lt;='Development Inputs'!$J$98),(SUM($EH$31:$EH$40,$EH$42:$EH$47)-'Development Inputs'!$E$99-$C$53)*'Development Inputs'!$K$99/('Development Inputs'!$J$98-'Development Inputs'!$I$98+1),
IF(AND('Development Inputs'!$N$99="Less Fees",M$6&gt;='Development Inputs'!$I$98,M$6&lt;='Development Inputs'!$J$98),(SUM($EH$30:$EH$40,$EH$42:$EH$47)-'Development Inputs'!$E$99)*'Development Inputs'!$K$99/('Development Inputs'!$J$98-'Development Inputs'!$I$98+1),0))))</f>
        <v>106322.4989879669</v>
      </c>
      <c r="N41" s="229">
        <f ca="1">IF(AND('Development Inputs'!$N$99="Total Cost",N$6&gt;='Development Inputs'!$I$98,N$6&lt;='Development Inputs'!$J$98),(TotalProjectCost*'Development Inputs'!$K$99)/('Development Inputs'!$J$98-'Development Inputs'!$I$98+1),
IF(AND('Development Inputs'!$N$99="Less Land",N$6&gt;='Development Inputs'!$I$98,N$6&lt;='Development Inputs'!$J$98),((TotalProjectCost-$EH$30)*'Development Inputs'!$K$99)/('Development Inputs'!$J$98-'Development Inputs'!$I$98+1),
IF(AND('Development Inputs'!$N$99="Less Land &amp; Fees",N$6&gt;='Development Inputs'!$I$98,N$6&lt;='Development Inputs'!$J$98),(SUM($EH$31:$EH$40,$EH$42:$EH$47)-'Development Inputs'!$E$99-$C$53)*'Development Inputs'!$K$99/('Development Inputs'!$J$98-'Development Inputs'!$I$98+1),
IF(AND('Development Inputs'!$N$99="Less Fees",N$6&gt;='Development Inputs'!$I$98,N$6&lt;='Development Inputs'!$J$98),(SUM($EH$30:$EH$40,$EH$42:$EH$47)-'Development Inputs'!$E$99)*'Development Inputs'!$K$99/('Development Inputs'!$J$98-'Development Inputs'!$I$98+1),0))))</f>
        <v>106322.4989879669</v>
      </c>
      <c r="O41" s="229">
        <f ca="1">IF(AND('Development Inputs'!$N$99="Total Cost",O$6&gt;='Development Inputs'!$I$98,O$6&lt;='Development Inputs'!$J$98),(TotalProjectCost*'Development Inputs'!$K$99)/('Development Inputs'!$J$98-'Development Inputs'!$I$98+1),
IF(AND('Development Inputs'!$N$99="Less Land",O$6&gt;='Development Inputs'!$I$98,O$6&lt;='Development Inputs'!$J$98),((TotalProjectCost-$EH$30)*'Development Inputs'!$K$99)/('Development Inputs'!$J$98-'Development Inputs'!$I$98+1),
IF(AND('Development Inputs'!$N$99="Less Land &amp; Fees",O$6&gt;='Development Inputs'!$I$98,O$6&lt;='Development Inputs'!$J$98),(SUM($EH$31:$EH$40,$EH$42:$EH$47)-'Development Inputs'!$E$99-$C$53)*'Development Inputs'!$K$99/('Development Inputs'!$J$98-'Development Inputs'!$I$98+1),
IF(AND('Development Inputs'!$N$99="Less Fees",O$6&gt;='Development Inputs'!$I$98,O$6&lt;='Development Inputs'!$J$98),(SUM($EH$30:$EH$40,$EH$42:$EH$47)-'Development Inputs'!$E$99)*'Development Inputs'!$K$99/('Development Inputs'!$J$98-'Development Inputs'!$I$98+1),0))))</f>
        <v>106322.4989879669</v>
      </c>
      <c r="P41" s="229">
        <f ca="1">IF(AND('Development Inputs'!$N$99="Total Cost",P$6&gt;='Development Inputs'!$I$98,P$6&lt;='Development Inputs'!$J$98),(TotalProjectCost*'Development Inputs'!$K$99)/('Development Inputs'!$J$98-'Development Inputs'!$I$98+1),
IF(AND('Development Inputs'!$N$99="Less Land",P$6&gt;='Development Inputs'!$I$98,P$6&lt;='Development Inputs'!$J$98),((TotalProjectCost-$EH$30)*'Development Inputs'!$K$99)/('Development Inputs'!$J$98-'Development Inputs'!$I$98+1),
IF(AND('Development Inputs'!$N$99="Less Land &amp; Fees",P$6&gt;='Development Inputs'!$I$98,P$6&lt;='Development Inputs'!$J$98),(SUM($EH$31:$EH$40,$EH$42:$EH$47)-'Development Inputs'!$E$99-$C$53)*'Development Inputs'!$K$99/('Development Inputs'!$J$98-'Development Inputs'!$I$98+1),
IF(AND('Development Inputs'!$N$99="Less Fees",P$6&gt;='Development Inputs'!$I$98,P$6&lt;='Development Inputs'!$J$98),(SUM($EH$30:$EH$40,$EH$42:$EH$47)-'Development Inputs'!$E$99)*'Development Inputs'!$K$99/('Development Inputs'!$J$98-'Development Inputs'!$I$98+1),0))))</f>
        <v>106322.4989879669</v>
      </c>
      <c r="Q41" s="229">
        <f ca="1">IF(AND('Development Inputs'!$N$99="Total Cost",Q$6&gt;='Development Inputs'!$I$98,Q$6&lt;='Development Inputs'!$J$98),(TotalProjectCost*'Development Inputs'!$K$99)/('Development Inputs'!$J$98-'Development Inputs'!$I$98+1),
IF(AND('Development Inputs'!$N$99="Less Land",Q$6&gt;='Development Inputs'!$I$98,Q$6&lt;='Development Inputs'!$J$98),((TotalProjectCost-$EH$30)*'Development Inputs'!$K$99)/('Development Inputs'!$J$98-'Development Inputs'!$I$98+1),
IF(AND('Development Inputs'!$N$99="Less Land &amp; Fees",Q$6&gt;='Development Inputs'!$I$98,Q$6&lt;='Development Inputs'!$J$98),(SUM($EH$31:$EH$40,$EH$42:$EH$47)-'Development Inputs'!$E$99-$C$53)*'Development Inputs'!$K$99/('Development Inputs'!$J$98-'Development Inputs'!$I$98+1),
IF(AND('Development Inputs'!$N$99="Less Fees",Q$6&gt;='Development Inputs'!$I$98,Q$6&lt;='Development Inputs'!$J$98),(SUM($EH$30:$EH$40,$EH$42:$EH$47)-'Development Inputs'!$E$99)*'Development Inputs'!$K$99/('Development Inputs'!$J$98-'Development Inputs'!$I$98+1),0))))</f>
        <v>106322.4989879669</v>
      </c>
      <c r="R41" s="229">
        <f ca="1">IF(AND('Development Inputs'!$N$99="Total Cost",R$6&gt;='Development Inputs'!$I$98,R$6&lt;='Development Inputs'!$J$98),(TotalProjectCost*'Development Inputs'!$K$99)/('Development Inputs'!$J$98-'Development Inputs'!$I$98+1),
IF(AND('Development Inputs'!$N$99="Less Land",R$6&gt;='Development Inputs'!$I$98,R$6&lt;='Development Inputs'!$J$98),((TotalProjectCost-$EH$30)*'Development Inputs'!$K$99)/('Development Inputs'!$J$98-'Development Inputs'!$I$98+1),
IF(AND('Development Inputs'!$N$99="Less Land &amp; Fees",R$6&gt;='Development Inputs'!$I$98,R$6&lt;='Development Inputs'!$J$98),(SUM($EH$31:$EH$40,$EH$42:$EH$47)-'Development Inputs'!$E$99-$C$53)*'Development Inputs'!$K$99/('Development Inputs'!$J$98-'Development Inputs'!$I$98+1),
IF(AND('Development Inputs'!$N$99="Less Fees",R$6&gt;='Development Inputs'!$I$98,R$6&lt;='Development Inputs'!$J$98),(SUM($EH$30:$EH$40,$EH$42:$EH$47)-'Development Inputs'!$E$99)*'Development Inputs'!$K$99/('Development Inputs'!$J$98-'Development Inputs'!$I$98+1),0))))</f>
        <v>106322.4989879669</v>
      </c>
      <c r="S41" s="229">
        <f ca="1">IF(AND('Development Inputs'!$N$99="Total Cost",S$6&gt;='Development Inputs'!$I$98,S$6&lt;='Development Inputs'!$J$98),(TotalProjectCost*'Development Inputs'!$K$99)/('Development Inputs'!$J$98-'Development Inputs'!$I$98+1),
IF(AND('Development Inputs'!$N$99="Less Land",S$6&gt;='Development Inputs'!$I$98,S$6&lt;='Development Inputs'!$J$98),((TotalProjectCost-$EH$30)*'Development Inputs'!$K$99)/('Development Inputs'!$J$98-'Development Inputs'!$I$98+1),
IF(AND('Development Inputs'!$N$99="Less Land &amp; Fees",S$6&gt;='Development Inputs'!$I$98,S$6&lt;='Development Inputs'!$J$98),(SUM($EH$31:$EH$40,$EH$42:$EH$47)-'Development Inputs'!$E$99-$C$53)*'Development Inputs'!$K$99/('Development Inputs'!$J$98-'Development Inputs'!$I$98+1),
IF(AND('Development Inputs'!$N$99="Less Fees",S$6&gt;='Development Inputs'!$I$98,S$6&lt;='Development Inputs'!$J$98),(SUM($EH$30:$EH$40,$EH$42:$EH$47)-'Development Inputs'!$E$99)*'Development Inputs'!$K$99/('Development Inputs'!$J$98-'Development Inputs'!$I$98+1),0))))</f>
        <v>106322.4989879669</v>
      </c>
      <c r="T41" s="229">
        <f ca="1">IF(AND('Development Inputs'!$N$99="Total Cost",T$6&gt;='Development Inputs'!$I$98,T$6&lt;='Development Inputs'!$J$98),(TotalProjectCost*'Development Inputs'!$K$99)/('Development Inputs'!$J$98-'Development Inputs'!$I$98+1),
IF(AND('Development Inputs'!$N$99="Less Land",T$6&gt;='Development Inputs'!$I$98,T$6&lt;='Development Inputs'!$J$98),((TotalProjectCost-$EH$30)*'Development Inputs'!$K$99)/('Development Inputs'!$J$98-'Development Inputs'!$I$98+1),
IF(AND('Development Inputs'!$N$99="Less Land &amp; Fees",T$6&gt;='Development Inputs'!$I$98,T$6&lt;='Development Inputs'!$J$98),(SUM($EH$31:$EH$40,$EH$42:$EH$47)-'Development Inputs'!$E$99-$C$53)*'Development Inputs'!$K$99/('Development Inputs'!$J$98-'Development Inputs'!$I$98+1),
IF(AND('Development Inputs'!$N$99="Less Fees",T$6&gt;='Development Inputs'!$I$98,T$6&lt;='Development Inputs'!$J$98),(SUM($EH$30:$EH$40,$EH$42:$EH$47)-'Development Inputs'!$E$99)*'Development Inputs'!$K$99/('Development Inputs'!$J$98-'Development Inputs'!$I$98+1),0))))</f>
        <v>106322.4989879669</v>
      </c>
      <c r="U41" s="229">
        <f ca="1">IF(AND('Development Inputs'!$N$99="Total Cost",U$6&gt;='Development Inputs'!$I$98,U$6&lt;='Development Inputs'!$J$98),(TotalProjectCost*'Development Inputs'!$K$99)/('Development Inputs'!$J$98-'Development Inputs'!$I$98+1),
IF(AND('Development Inputs'!$N$99="Less Land",U$6&gt;='Development Inputs'!$I$98,U$6&lt;='Development Inputs'!$J$98),((TotalProjectCost-$EH$30)*'Development Inputs'!$K$99)/('Development Inputs'!$J$98-'Development Inputs'!$I$98+1),
IF(AND('Development Inputs'!$N$99="Less Land &amp; Fees",U$6&gt;='Development Inputs'!$I$98,U$6&lt;='Development Inputs'!$J$98),(SUM($EH$31:$EH$40,$EH$42:$EH$47)-'Development Inputs'!$E$99-$C$53)*'Development Inputs'!$K$99/('Development Inputs'!$J$98-'Development Inputs'!$I$98+1),
IF(AND('Development Inputs'!$N$99="Less Fees",U$6&gt;='Development Inputs'!$I$98,U$6&lt;='Development Inputs'!$J$98),(SUM($EH$30:$EH$40,$EH$42:$EH$47)-'Development Inputs'!$E$99)*'Development Inputs'!$K$99/('Development Inputs'!$J$98-'Development Inputs'!$I$98+1),0))))</f>
        <v>106322.4989879669</v>
      </c>
      <c r="V41" s="229">
        <f ca="1">IF(AND('Development Inputs'!$N$99="Total Cost",V$6&gt;='Development Inputs'!$I$98,V$6&lt;='Development Inputs'!$J$98),(TotalProjectCost*'Development Inputs'!$K$99)/('Development Inputs'!$J$98-'Development Inputs'!$I$98+1),
IF(AND('Development Inputs'!$N$99="Less Land",V$6&gt;='Development Inputs'!$I$98,V$6&lt;='Development Inputs'!$J$98),((TotalProjectCost-$EH$30)*'Development Inputs'!$K$99)/('Development Inputs'!$J$98-'Development Inputs'!$I$98+1),
IF(AND('Development Inputs'!$N$99="Less Land &amp; Fees",V$6&gt;='Development Inputs'!$I$98,V$6&lt;='Development Inputs'!$J$98),(SUM($EH$31:$EH$40,$EH$42:$EH$47)-'Development Inputs'!$E$99-$C$53)*'Development Inputs'!$K$99/('Development Inputs'!$J$98-'Development Inputs'!$I$98+1),
IF(AND('Development Inputs'!$N$99="Less Fees",V$6&gt;='Development Inputs'!$I$98,V$6&lt;='Development Inputs'!$J$98),(SUM($EH$30:$EH$40,$EH$42:$EH$47)-'Development Inputs'!$E$99)*'Development Inputs'!$K$99/('Development Inputs'!$J$98-'Development Inputs'!$I$98+1),0))))</f>
        <v>106322.4989879669</v>
      </c>
      <c r="W41" s="229">
        <f ca="1">IF(AND('Development Inputs'!$N$99="Total Cost",W$6&gt;='Development Inputs'!$I$98,W$6&lt;='Development Inputs'!$J$98),(TotalProjectCost*'Development Inputs'!$K$99)/('Development Inputs'!$J$98-'Development Inputs'!$I$98+1),
IF(AND('Development Inputs'!$N$99="Less Land",W$6&gt;='Development Inputs'!$I$98,W$6&lt;='Development Inputs'!$J$98),((TotalProjectCost-$EH$30)*'Development Inputs'!$K$99)/('Development Inputs'!$J$98-'Development Inputs'!$I$98+1),
IF(AND('Development Inputs'!$N$99="Less Land &amp; Fees",W$6&gt;='Development Inputs'!$I$98,W$6&lt;='Development Inputs'!$J$98),(SUM($EH$31:$EH$40,$EH$42:$EH$47)-'Development Inputs'!$E$99-$C$53)*'Development Inputs'!$K$99/('Development Inputs'!$J$98-'Development Inputs'!$I$98+1),
IF(AND('Development Inputs'!$N$99="Less Fees",W$6&gt;='Development Inputs'!$I$98,W$6&lt;='Development Inputs'!$J$98),(SUM($EH$30:$EH$40,$EH$42:$EH$47)-'Development Inputs'!$E$99)*'Development Inputs'!$K$99/('Development Inputs'!$J$98-'Development Inputs'!$I$98+1),0))))</f>
        <v>106322.4989879669</v>
      </c>
      <c r="X41" s="229">
        <f ca="1">IF(AND('Development Inputs'!$N$99="Total Cost",X$6&gt;='Development Inputs'!$I$98,X$6&lt;='Development Inputs'!$J$98),(TotalProjectCost*'Development Inputs'!$K$99)/('Development Inputs'!$J$98-'Development Inputs'!$I$98+1),
IF(AND('Development Inputs'!$N$99="Less Land",X$6&gt;='Development Inputs'!$I$98,X$6&lt;='Development Inputs'!$J$98),((TotalProjectCost-$EH$30)*'Development Inputs'!$K$99)/('Development Inputs'!$J$98-'Development Inputs'!$I$98+1),
IF(AND('Development Inputs'!$N$99="Less Land &amp; Fees",X$6&gt;='Development Inputs'!$I$98,X$6&lt;='Development Inputs'!$J$98),(SUM($EH$31:$EH$40,$EH$42:$EH$47)-'Development Inputs'!$E$99-$C$53)*'Development Inputs'!$K$99/('Development Inputs'!$J$98-'Development Inputs'!$I$98+1),
IF(AND('Development Inputs'!$N$99="Less Fees",X$6&gt;='Development Inputs'!$I$98,X$6&lt;='Development Inputs'!$J$98),(SUM($EH$30:$EH$40,$EH$42:$EH$47)-'Development Inputs'!$E$99)*'Development Inputs'!$K$99/('Development Inputs'!$J$98-'Development Inputs'!$I$98+1),0))))</f>
        <v>106322.4989879669</v>
      </c>
      <c r="Y41" s="229">
        <f ca="1">IF(AND('Development Inputs'!$N$99="Total Cost",Y$6&gt;='Development Inputs'!$I$98,Y$6&lt;='Development Inputs'!$J$98),(TotalProjectCost*'Development Inputs'!$K$99)/('Development Inputs'!$J$98-'Development Inputs'!$I$98+1),
IF(AND('Development Inputs'!$N$99="Less Land",Y$6&gt;='Development Inputs'!$I$98,Y$6&lt;='Development Inputs'!$J$98),((TotalProjectCost-$EH$30)*'Development Inputs'!$K$99)/('Development Inputs'!$J$98-'Development Inputs'!$I$98+1),
IF(AND('Development Inputs'!$N$99="Less Land &amp; Fees",Y$6&gt;='Development Inputs'!$I$98,Y$6&lt;='Development Inputs'!$J$98),(SUM($EH$31:$EH$40,$EH$42:$EH$47)-'Development Inputs'!$E$99-$C$53)*'Development Inputs'!$K$99/('Development Inputs'!$J$98-'Development Inputs'!$I$98+1),
IF(AND('Development Inputs'!$N$99="Less Fees",Y$6&gt;='Development Inputs'!$I$98,Y$6&lt;='Development Inputs'!$J$98),(SUM($EH$30:$EH$40,$EH$42:$EH$47)-'Development Inputs'!$E$99)*'Development Inputs'!$K$99/('Development Inputs'!$J$98-'Development Inputs'!$I$98+1),0))))</f>
        <v>106322.4989879669</v>
      </c>
      <c r="Z41" s="229">
        <f ca="1">IF(AND('Development Inputs'!$N$99="Total Cost",Z$6&gt;='Development Inputs'!$I$98,Z$6&lt;='Development Inputs'!$J$98),(TotalProjectCost*'Development Inputs'!$K$99)/('Development Inputs'!$J$98-'Development Inputs'!$I$98+1),
IF(AND('Development Inputs'!$N$99="Less Land",Z$6&gt;='Development Inputs'!$I$98,Z$6&lt;='Development Inputs'!$J$98),((TotalProjectCost-$EH$30)*'Development Inputs'!$K$99)/('Development Inputs'!$J$98-'Development Inputs'!$I$98+1),
IF(AND('Development Inputs'!$N$99="Less Land &amp; Fees",Z$6&gt;='Development Inputs'!$I$98,Z$6&lt;='Development Inputs'!$J$98),(SUM($EH$31:$EH$40,$EH$42:$EH$47)-'Development Inputs'!$E$99-$C$53)*'Development Inputs'!$K$99/('Development Inputs'!$J$98-'Development Inputs'!$I$98+1),
IF(AND('Development Inputs'!$N$99="Less Fees",Z$6&gt;='Development Inputs'!$I$98,Z$6&lt;='Development Inputs'!$J$98),(SUM($EH$30:$EH$40,$EH$42:$EH$47)-'Development Inputs'!$E$99)*'Development Inputs'!$K$99/('Development Inputs'!$J$98-'Development Inputs'!$I$98+1),0))))</f>
        <v>106322.4989879669</v>
      </c>
      <c r="AA41" s="229">
        <f ca="1">IF(AND('Development Inputs'!$N$99="Total Cost",AA$6&gt;='Development Inputs'!$I$98,AA$6&lt;='Development Inputs'!$J$98),(TotalProjectCost*'Development Inputs'!$K$99)/('Development Inputs'!$J$98-'Development Inputs'!$I$98+1),
IF(AND('Development Inputs'!$N$99="Less Land",AA$6&gt;='Development Inputs'!$I$98,AA$6&lt;='Development Inputs'!$J$98),((TotalProjectCost-$EH$30)*'Development Inputs'!$K$99)/('Development Inputs'!$J$98-'Development Inputs'!$I$98+1),
IF(AND('Development Inputs'!$N$99="Less Land &amp; Fees",AA$6&gt;='Development Inputs'!$I$98,AA$6&lt;='Development Inputs'!$J$98),(SUM($EH$31:$EH$40,$EH$42:$EH$47)-'Development Inputs'!$E$99-$C$53)*'Development Inputs'!$K$99/('Development Inputs'!$J$98-'Development Inputs'!$I$98+1),
IF(AND('Development Inputs'!$N$99="Less Fees",AA$6&gt;='Development Inputs'!$I$98,AA$6&lt;='Development Inputs'!$J$98),(SUM($EH$30:$EH$40,$EH$42:$EH$47)-'Development Inputs'!$E$99)*'Development Inputs'!$K$99/('Development Inputs'!$J$98-'Development Inputs'!$I$98+1),0))))</f>
        <v>106322.4989879669</v>
      </c>
      <c r="AB41" s="229">
        <f ca="1">IF(AND('Development Inputs'!$N$99="Total Cost",AB$6&gt;='Development Inputs'!$I$98,AB$6&lt;='Development Inputs'!$J$98),(TotalProjectCost*'Development Inputs'!$K$99)/('Development Inputs'!$J$98-'Development Inputs'!$I$98+1),
IF(AND('Development Inputs'!$N$99="Less Land",AB$6&gt;='Development Inputs'!$I$98,AB$6&lt;='Development Inputs'!$J$98),((TotalProjectCost-$EH$30)*'Development Inputs'!$K$99)/('Development Inputs'!$J$98-'Development Inputs'!$I$98+1),
IF(AND('Development Inputs'!$N$99="Less Land &amp; Fees",AB$6&gt;='Development Inputs'!$I$98,AB$6&lt;='Development Inputs'!$J$98),(SUM($EH$31:$EH$40,$EH$42:$EH$47)-'Development Inputs'!$E$99-$C$53)*'Development Inputs'!$K$99/('Development Inputs'!$J$98-'Development Inputs'!$I$98+1),
IF(AND('Development Inputs'!$N$99="Less Fees",AB$6&gt;='Development Inputs'!$I$98,AB$6&lt;='Development Inputs'!$J$98),(SUM($EH$30:$EH$40,$EH$42:$EH$47)-'Development Inputs'!$E$99)*'Development Inputs'!$K$99/('Development Inputs'!$J$98-'Development Inputs'!$I$98+1),0))))</f>
        <v>106322.4989879669</v>
      </c>
      <c r="AC41" s="229">
        <f ca="1">IF(AND('Development Inputs'!$N$99="Total Cost",AC$6&gt;='Development Inputs'!$I$98,AC$6&lt;='Development Inputs'!$J$98),(TotalProjectCost*'Development Inputs'!$K$99)/('Development Inputs'!$J$98-'Development Inputs'!$I$98+1),
IF(AND('Development Inputs'!$N$99="Less Land",AC$6&gt;='Development Inputs'!$I$98,AC$6&lt;='Development Inputs'!$J$98),((TotalProjectCost-$EH$30)*'Development Inputs'!$K$99)/('Development Inputs'!$J$98-'Development Inputs'!$I$98+1),
IF(AND('Development Inputs'!$N$99="Less Land &amp; Fees",AC$6&gt;='Development Inputs'!$I$98,AC$6&lt;='Development Inputs'!$J$98),(SUM($EH$31:$EH$40,$EH$42:$EH$47)-'Development Inputs'!$E$99-$C$53)*'Development Inputs'!$K$99/('Development Inputs'!$J$98-'Development Inputs'!$I$98+1),
IF(AND('Development Inputs'!$N$99="Less Fees",AC$6&gt;='Development Inputs'!$I$98,AC$6&lt;='Development Inputs'!$J$98),(SUM($EH$30:$EH$40,$EH$42:$EH$47)-'Development Inputs'!$E$99)*'Development Inputs'!$K$99/('Development Inputs'!$J$98-'Development Inputs'!$I$98+1),0))))</f>
        <v>106322.4989879669</v>
      </c>
      <c r="AD41" s="229">
        <f ca="1">IF(AND('Development Inputs'!$N$99="Total Cost",AD$6&gt;='Development Inputs'!$I$98,AD$6&lt;='Development Inputs'!$J$98),(TotalProjectCost*'Development Inputs'!$K$99)/('Development Inputs'!$J$98-'Development Inputs'!$I$98+1),
IF(AND('Development Inputs'!$N$99="Less Land",AD$6&gt;='Development Inputs'!$I$98,AD$6&lt;='Development Inputs'!$J$98),((TotalProjectCost-$EH$30)*'Development Inputs'!$K$99)/('Development Inputs'!$J$98-'Development Inputs'!$I$98+1),
IF(AND('Development Inputs'!$N$99="Less Land &amp; Fees",AD$6&gt;='Development Inputs'!$I$98,AD$6&lt;='Development Inputs'!$J$98),(SUM($EH$31:$EH$40,$EH$42:$EH$47)-'Development Inputs'!$E$99-$C$53)*'Development Inputs'!$K$99/('Development Inputs'!$J$98-'Development Inputs'!$I$98+1),
IF(AND('Development Inputs'!$N$99="Less Fees",AD$6&gt;='Development Inputs'!$I$98,AD$6&lt;='Development Inputs'!$J$98),(SUM($EH$30:$EH$40,$EH$42:$EH$47)-'Development Inputs'!$E$99)*'Development Inputs'!$K$99/('Development Inputs'!$J$98-'Development Inputs'!$I$98+1),0))))</f>
        <v>106322.4989879669</v>
      </c>
      <c r="AE41" s="229">
        <f>IF(AND('Development Inputs'!$N$99="Total Cost",AE$6&gt;='Development Inputs'!$I$98,AE$6&lt;='Development Inputs'!$J$98),(TotalProjectCost*'Development Inputs'!$K$99)/('Development Inputs'!$J$98-'Development Inputs'!$I$98+1),
IF(AND('Development Inputs'!$N$99="Less Land",AE$6&gt;='Development Inputs'!$I$98,AE$6&lt;='Development Inputs'!$J$98),((TotalProjectCost-$EH$30)*'Development Inputs'!$K$99)/('Development Inputs'!$J$98-'Development Inputs'!$I$98+1),
IF(AND('Development Inputs'!$N$99="Less Land &amp; Fees",AE$6&gt;='Development Inputs'!$I$98,AE$6&lt;='Development Inputs'!$J$98),(SUM($EH$31:$EH$40,$EH$42:$EH$47)-'Development Inputs'!$E$99-$C$53)*'Development Inputs'!$K$99/('Development Inputs'!$J$98-'Development Inputs'!$I$98+1),
IF(AND('Development Inputs'!$N$99="Less Fees",AE$6&gt;='Development Inputs'!$I$98,AE$6&lt;='Development Inputs'!$J$98),(SUM($EH$30:$EH$40,$EH$42:$EH$47)-'Development Inputs'!$E$99)*'Development Inputs'!$K$99/('Development Inputs'!$J$98-'Development Inputs'!$I$98+1),0))))</f>
        <v>0</v>
      </c>
      <c r="AF41" s="229">
        <f>IF(AND('Development Inputs'!$N$99="Total Cost",AF$6&gt;='Development Inputs'!$I$98,AF$6&lt;='Development Inputs'!$J$98),(TotalProjectCost*'Development Inputs'!$K$99)/('Development Inputs'!$J$98-'Development Inputs'!$I$98+1),
IF(AND('Development Inputs'!$N$99="Less Land",AF$6&gt;='Development Inputs'!$I$98,AF$6&lt;='Development Inputs'!$J$98),((TotalProjectCost-$EH$30)*'Development Inputs'!$K$99)/('Development Inputs'!$J$98-'Development Inputs'!$I$98+1),
IF(AND('Development Inputs'!$N$99="Less Land &amp; Fees",AF$6&gt;='Development Inputs'!$I$98,AF$6&lt;='Development Inputs'!$J$98),(SUM($EH$31:$EH$40,$EH$42:$EH$47)-'Development Inputs'!$E$99-$C$53)*'Development Inputs'!$K$99/('Development Inputs'!$J$98-'Development Inputs'!$I$98+1),
IF(AND('Development Inputs'!$N$99="Less Fees",AF$6&gt;='Development Inputs'!$I$98,AF$6&lt;='Development Inputs'!$J$98),(SUM($EH$30:$EH$40,$EH$42:$EH$47)-'Development Inputs'!$E$99)*'Development Inputs'!$K$99/('Development Inputs'!$J$98-'Development Inputs'!$I$98+1),0))))</f>
        <v>0</v>
      </c>
      <c r="AG41" s="229">
        <f>IF(AND('Development Inputs'!$N$99="Total Cost",AG$6&gt;='Development Inputs'!$I$98,AG$6&lt;='Development Inputs'!$J$98),(TotalProjectCost*'Development Inputs'!$K$99)/('Development Inputs'!$J$98-'Development Inputs'!$I$98+1),
IF(AND('Development Inputs'!$N$99="Less Land",AG$6&gt;='Development Inputs'!$I$98,AG$6&lt;='Development Inputs'!$J$98),((TotalProjectCost-$EH$30)*'Development Inputs'!$K$99)/('Development Inputs'!$J$98-'Development Inputs'!$I$98+1),
IF(AND('Development Inputs'!$N$99="Less Land &amp; Fees",AG$6&gt;='Development Inputs'!$I$98,AG$6&lt;='Development Inputs'!$J$98),(SUM($EH$31:$EH$40,$EH$42:$EH$47)-'Development Inputs'!$E$99-$C$53)*'Development Inputs'!$K$99/('Development Inputs'!$J$98-'Development Inputs'!$I$98+1),
IF(AND('Development Inputs'!$N$99="Less Fees",AG$6&gt;='Development Inputs'!$I$98,AG$6&lt;='Development Inputs'!$J$98),(SUM($EH$30:$EH$40,$EH$42:$EH$47)-'Development Inputs'!$E$99)*'Development Inputs'!$K$99/('Development Inputs'!$J$98-'Development Inputs'!$I$98+1),0))))</f>
        <v>0</v>
      </c>
      <c r="AH41" s="229">
        <f>IF(AND('Development Inputs'!$N$99="Total Cost",AH$6&gt;='Development Inputs'!$I$98,AH$6&lt;='Development Inputs'!$J$98),(TotalProjectCost*'Development Inputs'!$K$99)/('Development Inputs'!$J$98-'Development Inputs'!$I$98+1),
IF(AND('Development Inputs'!$N$99="Less Land",AH$6&gt;='Development Inputs'!$I$98,AH$6&lt;='Development Inputs'!$J$98),((TotalProjectCost-$EH$30)*'Development Inputs'!$K$99)/('Development Inputs'!$J$98-'Development Inputs'!$I$98+1),
IF(AND('Development Inputs'!$N$99="Less Land &amp; Fees",AH$6&gt;='Development Inputs'!$I$98,AH$6&lt;='Development Inputs'!$J$98),(SUM($EH$31:$EH$40,$EH$42:$EH$47)-'Development Inputs'!$E$99-$C$53)*'Development Inputs'!$K$99/('Development Inputs'!$J$98-'Development Inputs'!$I$98+1),
IF(AND('Development Inputs'!$N$99="Less Fees",AH$6&gt;='Development Inputs'!$I$98,AH$6&lt;='Development Inputs'!$J$98),(SUM($EH$30:$EH$40,$EH$42:$EH$47)-'Development Inputs'!$E$99)*'Development Inputs'!$K$99/('Development Inputs'!$J$98-'Development Inputs'!$I$98+1),0))))</f>
        <v>0</v>
      </c>
      <c r="AI41" s="229">
        <f>IF(AND('Development Inputs'!$N$99="Total Cost",AI$6&gt;='Development Inputs'!$I$98,AI$6&lt;='Development Inputs'!$J$98),(TotalProjectCost*'Development Inputs'!$K$99)/('Development Inputs'!$J$98-'Development Inputs'!$I$98+1),
IF(AND('Development Inputs'!$N$99="Less Land",AI$6&gt;='Development Inputs'!$I$98,AI$6&lt;='Development Inputs'!$J$98),((TotalProjectCost-$EH$30)*'Development Inputs'!$K$99)/('Development Inputs'!$J$98-'Development Inputs'!$I$98+1),
IF(AND('Development Inputs'!$N$99="Less Land &amp; Fees",AI$6&gt;='Development Inputs'!$I$98,AI$6&lt;='Development Inputs'!$J$98),(SUM($EH$31:$EH$40,$EH$42:$EH$47)-'Development Inputs'!$E$99-$C$53)*'Development Inputs'!$K$99/('Development Inputs'!$J$98-'Development Inputs'!$I$98+1),
IF(AND('Development Inputs'!$N$99="Less Fees",AI$6&gt;='Development Inputs'!$I$98,AI$6&lt;='Development Inputs'!$J$98),(SUM($EH$30:$EH$40,$EH$42:$EH$47)-'Development Inputs'!$E$99)*'Development Inputs'!$K$99/('Development Inputs'!$J$98-'Development Inputs'!$I$98+1),0))))</f>
        <v>0</v>
      </c>
      <c r="AJ41" s="229">
        <f>IF(AND('Development Inputs'!$N$99="Total Cost",AJ$6&gt;='Development Inputs'!$I$98,AJ$6&lt;='Development Inputs'!$J$98),(TotalProjectCost*'Development Inputs'!$K$99)/('Development Inputs'!$J$98-'Development Inputs'!$I$98+1),
IF(AND('Development Inputs'!$N$99="Less Land",AJ$6&gt;='Development Inputs'!$I$98,AJ$6&lt;='Development Inputs'!$J$98),((TotalProjectCost-$EH$30)*'Development Inputs'!$K$99)/('Development Inputs'!$J$98-'Development Inputs'!$I$98+1),
IF(AND('Development Inputs'!$N$99="Less Land &amp; Fees",AJ$6&gt;='Development Inputs'!$I$98,AJ$6&lt;='Development Inputs'!$J$98),(SUM($EH$31:$EH$40,$EH$42:$EH$47)-'Development Inputs'!$E$99-$C$53)*'Development Inputs'!$K$99/('Development Inputs'!$J$98-'Development Inputs'!$I$98+1),
IF(AND('Development Inputs'!$N$99="Less Fees",AJ$6&gt;='Development Inputs'!$I$98,AJ$6&lt;='Development Inputs'!$J$98),(SUM($EH$30:$EH$40,$EH$42:$EH$47)-'Development Inputs'!$E$99)*'Development Inputs'!$K$99/('Development Inputs'!$J$98-'Development Inputs'!$I$98+1),0))))</f>
        <v>0</v>
      </c>
      <c r="AK41" s="229">
        <f>IF(AND('Development Inputs'!$N$99="Total Cost",AK$6&gt;='Development Inputs'!$I$98,AK$6&lt;='Development Inputs'!$J$98),(TotalProjectCost*'Development Inputs'!$K$99)/('Development Inputs'!$J$98-'Development Inputs'!$I$98+1),
IF(AND('Development Inputs'!$N$99="Less Land",AK$6&gt;='Development Inputs'!$I$98,AK$6&lt;='Development Inputs'!$J$98),((TotalProjectCost-$EH$30)*'Development Inputs'!$K$99)/('Development Inputs'!$J$98-'Development Inputs'!$I$98+1),
IF(AND('Development Inputs'!$N$99="Less Land &amp; Fees",AK$6&gt;='Development Inputs'!$I$98,AK$6&lt;='Development Inputs'!$J$98),(SUM($EH$31:$EH$40,$EH$42:$EH$47)-'Development Inputs'!$E$99-$C$53)*'Development Inputs'!$K$99/('Development Inputs'!$J$98-'Development Inputs'!$I$98+1),
IF(AND('Development Inputs'!$N$99="Less Fees",AK$6&gt;='Development Inputs'!$I$98,AK$6&lt;='Development Inputs'!$J$98),(SUM($EH$30:$EH$40,$EH$42:$EH$47)-'Development Inputs'!$E$99)*'Development Inputs'!$K$99/('Development Inputs'!$J$98-'Development Inputs'!$I$98+1),0))))</f>
        <v>0</v>
      </c>
      <c r="AL41" s="229">
        <f>IF(AND('Development Inputs'!$N$99="Total Cost",AL$6&gt;='Development Inputs'!$I$98,AL$6&lt;='Development Inputs'!$J$98),(TotalProjectCost*'Development Inputs'!$K$99)/('Development Inputs'!$J$98-'Development Inputs'!$I$98+1),
IF(AND('Development Inputs'!$N$99="Less Land",AL$6&gt;='Development Inputs'!$I$98,AL$6&lt;='Development Inputs'!$J$98),((TotalProjectCost-$EH$30)*'Development Inputs'!$K$99)/('Development Inputs'!$J$98-'Development Inputs'!$I$98+1),
IF(AND('Development Inputs'!$N$99="Less Land &amp; Fees",AL$6&gt;='Development Inputs'!$I$98,AL$6&lt;='Development Inputs'!$J$98),(SUM($EH$31:$EH$40,$EH$42:$EH$47)-'Development Inputs'!$E$99-$C$53)*'Development Inputs'!$K$99/('Development Inputs'!$J$98-'Development Inputs'!$I$98+1),
IF(AND('Development Inputs'!$N$99="Less Fees",AL$6&gt;='Development Inputs'!$I$98,AL$6&lt;='Development Inputs'!$J$98),(SUM($EH$30:$EH$40,$EH$42:$EH$47)-'Development Inputs'!$E$99)*'Development Inputs'!$K$99/('Development Inputs'!$J$98-'Development Inputs'!$I$98+1),0))))</f>
        <v>0</v>
      </c>
      <c r="AM41" s="229">
        <f>IF(AND('Development Inputs'!$N$99="Total Cost",AM$6&gt;='Development Inputs'!$I$98,AM$6&lt;='Development Inputs'!$J$98),(TotalProjectCost*'Development Inputs'!$K$99)/('Development Inputs'!$J$98-'Development Inputs'!$I$98+1),
IF(AND('Development Inputs'!$N$99="Less Land",AM$6&gt;='Development Inputs'!$I$98,AM$6&lt;='Development Inputs'!$J$98),((TotalProjectCost-$EH$30)*'Development Inputs'!$K$99)/('Development Inputs'!$J$98-'Development Inputs'!$I$98+1),
IF(AND('Development Inputs'!$N$99="Less Land &amp; Fees",AM$6&gt;='Development Inputs'!$I$98,AM$6&lt;='Development Inputs'!$J$98),(SUM($EH$31:$EH$40,$EH$42:$EH$47)-'Development Inputs'!$E$99-$C$53)*'Development Inputs'!$K$99/('Development Inputs'!$J$98-'Development Inputs'!$I$98+1),
IF(AND('Development Inputs'!$N$99="Less Fees",AM$6&gt;='Development Inputs'!$I$98,AM$6&lt;='Development Inputs'!$J$98),(SUM($EH$30:$EH$40,$EH$42:$EH$47)-'Development Inputs'!$E$99)*'Development Inputs'!$K$99/('Development Inputs'!$J$98-'Development Inputs'!$I$98+1),0))))</f>
        <v>0</v>
      </c>
      <c r="AN41" s="229">
        <f>IF(AND('Development Inputs'!$N$99="Total Cost",AN$6&gt;='Development Inputs'!$I$98,AN$6&lt;='Development Inputs'!$J$98),(TotalProjectCost*'Development Inputs'!$K$99)/('Development Inputs'!$J$98-'Development Inputs'!$I$98+1),
IF(AND('Development Inputs'!$N$99="Less Land",AN$6&gt;='Development Inputs'!$I$98,AN$6&lt;='Development Inputs'!$J$98),((TotalProjectCost-$EH$30)*'Development Inputs'!$K$99)/('Development Inputs'!$J$98-'Development Inputs'!$I$98+1),
IF(AND('Development Inputs'!$N$99="Less Land &amp; Fees",AN$6&gt;='Development Inputs'!$I$98,AN$6&lt;='Development Inputs'!$J$98),(SUM($EH$31:$EH$40,$EH$42:$EH$47)-'Development Inputs'!$E$99-$C$53)*'Development Inputs'!$K$99/('Development Inputs'!$J$98-'Development Inputs'!$I$98+1),
IF(AND('Development Inputs'!$N$99="Less Fees",AN$6&gt;='Development Inputs'!$I$98,AN$6&lt;='Development Inputs'!$J$98),(SUM($EH$30:$EH$40,$EH$42:$EH$47)-'Development Inputs'!$E$99)*'Development Inputs'!$K$99/('Development Inputs'!$J$98-'Development Inputs'!$I$98+1),0))))</f>
        <v>0</v>
      </c>
      <c r="AO41" s="229">
        <f>IF(AND('Development Inputs'!$N$99="Total Cost",AO$6&gt;='Development Inputs'!$I$98,AO$6&lt;='Development Inputs'!$J$98),(TotalProjectCost*'Development Inputs'!$K$99)/('Development Inputs'!$J$98-'Development Inputs'!$I$98+1),
IF(AND('Development Inputs'!$N$99="Less Land",AO$6&gt;='Development Inputs'!$I$98,AO$6&lt;='Development Inputs'!$J$98),((TotalProjectCost-$EH$30)*'Development Inputs'!$K$99)/('Development Inputs'!$J$98-'Development Inputs'!$I$98+1),
IF(AND('Development Inputs'!$N$99="Less Land &amp; Fees",AO$6&gt;='Development Inputs'!$I$98,AO$6&lt;='Development Inputs'!$J$98),(SUM($EH$31:$EH$40,$EH$42:$EH$47)-'Development Inputs'!$E$99-$C$53)*'Development Inputs'!$K$99/('Development Inputs'!$J$98-'Development Inputs'!$I$98+1),
IF(AND('Development Inputs'!$N$99="Less Fees",AO$6&gt;='Development Inputs'!$I$98,AO$6&lt;='Development Inputs'!$J$98),(SUM($EH$30:$EH$40,$EH$42:$EH$47)-'Development Inputs'!$E$99)*'Development Inputs'!$K$99/('Development Inputs'!$J$98-'Development Inputs'!$I$98+1),0))))</f>
        <v>0</v>
      </c>
      <c r="AP41" s="229">
        <f>IF(AND('Development Inputs'!$N$99="Total Cost",AP$6&gt;='Development Inputs'!$I$98,AP$6&lt;='Development Inputs'!$J$98),(TotalProjectCost*'Development Inputs'!$K$99)/('Development Inputs'!$J$98-'Development Inputs'!$I$98+1),
IF(AND('Development Inputs'!$N$99="Less Land",AP$6&gt;='Development Inputs'!$I$98,AP$6&lt;='Development Inputs'!$J$98),((TotalProjectCost-$EH$30)*'Development Inputs'!$K$99)/('Development Inputs'!$J$98-'Development Inputs'!$I$98+1),
IF(AND('Development Inputs'!$N$99="Less Land &amp; Fees",AP$6&gt;='Development Inputs'!$I$98,AP$6&lt;='Development Inputs'!$J$98),(SUM($EH$31:$EH$40,$EH$42:$EH$47)-'Development Inputs'!$E$99-$C$53)*'Development Inputs'!$K$99/('Development Inputs'!$J$98-'Development Inputs'!$I$98+1),
IF(AND('Development Inputs'!$N$99="Less Fees",AP$6&gt;='Development Inputs'!$I$98,AP$6&lt;='Development Inputs'!$J$98),(SUM($EH$30:$EH$40,$EH$42:$EH$47)-'Development Inputs'!$E$99)*'Development Inputs'!$K$99/('Development Inputs'!$J$98-'Development Inputs'!$I$98+1),0))))</f>
        <v>0</v>
      </c>
      <c r="AQ41" s="229">
        <f>IF(AND('Development Inputs'!$N$99="Total Cost",AQ$6&gt;='Development Inputs'!$I$98,AQ$6&lt;='Development Inputs'!$J$98),(TotalProjectCost*'Development Inputs'!$K$99)/('Development Inputs'!$J$98-'Development Inputs'!$I$98+1),
IF(AND('Development Inputs'!$N$99="Less Land",AQ$6&gt;='Development Inputs'!$I$98,AQ$6&lt;='Development Inputs'!$J$98),((TotalProjectCost-$EH$30)*'Development Inputs'!$K$99)/('Development Inputs'!$J$98-'Development Inputs'!$I$98+1),
IF(AND('Development Inputs'!$N$99="Less Land &amp; Fees",AQ$6&gt;='Development Inputs'!$I$98,AQ$6&lt;='Development Inputs'!$J$98),(SUM($EH$31:$EH$40,$EH$42:$EH$47)-'Development Inputs'!$E$99-$C$53)*'Development Inputs'!$K$99/('Development Inputs'!$J$98-'Development Inputs'!$I$98+1),
IF(AND('Development Inputs'!$N$99="Less Fees",AQ$6&gt;='Development Inputs'!$I$98,AQ$6&lt;='Development Inputs'!$J$98),(SUM($EH$30:$EH$40,$EH$42:$EH$47)-'Development Inputs'!$E$99)*'Development Inputs'!$K$99/('Development Inputs'!$J$98-'Development Inputs'!$I$98+1),0))))</f>
        <v>0</v>
      </c>
      <c r="AR41" s="229">
        <f>IF(AND('Development Inputs'!$N$99="Total Cost",AR$6&gt;='Development Inputs'!$I$98,AR$6&lt;='Development Inputs'!$J$98),(TotalProjectCost*'Development Inputs'!$K$99)/('Development Inputs'!$J$98-'Development Inputs'!$I$98+1),
IF(AND('Development Inputs'!$N$99="Less Land",AR$6&gt;='Development Inputs'!$I$98,AR$6&lt;='Development Inputs'!$J$98),((TotalProjectCost-$EH$30)*'Development Inputs'!$K$99)/('Development Inputs'!$J$98-'Development Inputs'!$I$98+1),
IF(AND('Development Inputs'!$N$99="Less Land &amp; Fees",AR$6&gt;='Development Inputs'!$I$98,AR$6&lt;='Development Inputs'!$J$98),(SUM($EH$31:$EH$40,$EH$42:$EH$47)-'Development Inputs'!$E$99-$C$53)*'Development Inputs'!$K$99/('Development Inputs'!$J$98-'Development Inputs'!$I$98+1),
IF(AND('Development Inputs'!$N$99="Less Fees",AR$6&gt;='Development Inputs'!$I$98,AR$6&lt;='Development Inputs'!$J$98),(SUM($EH$30:$EH$40,$EH$42:$EH$47)-'Development Inputs'!$E$99)*'Development Inputs'!$K$99/('Development Inputs'!$J$98-'Development Inputs'!$I$98+1),0))))</f>
        <v>0</v>
      </c>
      <c r="AS41" s="229">
        <f>IF(AND('Development Inputs'!$N$99="Total Cost",AS$6&gt;='Development Inputs'!$I$98,AS$6&lt;='Development Inputs'!$J$98),(TotalProjectCost*'Development Inputs'!$K$99)/('Development Inputs'!$J$98-'Development Inputs'!$I$98+1),
IF(AND('Development Inputs'!$N$99="Less Land",AS$6&gt;='Development Inputs'!$I$98,AS$6&lt;='Development Inputs'!$J$98),((TotalProjectCost-$EH$30)*'Development Inputs'!$K$99)/('Development Inputs'!$J$98-'Development Inputs'!$I$98+1),
IF(AND('Development Inputs'!$N$99="Less Land &amp; Fees",AS$6&gt;='Development Inputs'!$I$98,AS$6&lt;='Development Inputs'!$J$98),(SUM($EH$31:$EH$40,$EH$42:$EH$47)-'Development Inputs'!$E$99-$C$53)*'Development Inputs'!$K$99/('Development Inputs'!$J$98-'Development Inputs'!$I$98+1),
IF(AND('Development Inputs'!$N$99="Less Fees",AS$6&gt;='Development Inputs'!$I$98,AS$6&lt;='Development Inputs'!$J$98),(SUM($EH$30:$EH$40,$EH$42:$EH$47)-'Development Inputs'!$E$99)*'Development Inputs'!$K$99/('Development Inputs'!$J$98-'Development Inputs'!$I$98+1),0))))</f>
        <v>0</v>
      </c>
      <c r="AT41" s="229">
        <f>IF(AND('Development Inputs'!$N$99="Total Cost",AT$6&gt;='Development Inputs'!$I$98,AT$6&lt;='Development Inputs'!$J$98),(TotalProjectCost*'Development Inputs'!$K$99)/('Development Inputs'!$J$98-'Development Inputs'!$I$98+1),
IF(AND('Development Inputs'!$N$99="Less Land",AT$6&gt;='Development Inputs'!$I$98,AT$6&lt;='Development Inputs'!$J$98),((TotalProjectCost-$EH$30)*'Development Inputs'!$K$99)/('Development Inputs'!$J$98-'Development Inputs'!$I$98+1),
IF(AND('Development Inputs'!$N$99="Less Land &amp; Fees",AT$6&gt;='Development Inputs'!$I$98,AT$6&lt;='Development Inputs'!$J$98),(SUM($EH$31:$EH$40,$EH$42:$EH$47)-'Development Inputs'!$E$99-$C$53)*'Development Inputs'!$K$99/('Development Inputs'!$J$98-'Development Inputs'!$I$98+1),
IF(AND('Development Inputs'!$N$99="Less Fees",AT$6&gt;='Development Inputs'!$I$98,AT$6&lt;='Development Inputs'!$J$98),(SUM($EH$30:$EH$40,$EH$42:$EH$47)-'Development Inputs'!$E$99)*'Development Inputs'!$K$99/('Development Inputs'!$J$98-'Development Inputs'!$I$98+1),0))))</f>
        <v>0</v>
      </c>
      <c r="AU41" s="229">
        <f>IF(AND('Development Inputs'!$N$99="Total Cost",AU$6&gt;='Development Inputs'!$I$98,AU$6&lt;='Development Inputs'!$J$98),(TotalProjectCost*'Development Inputs'!$K$99)/('Development Inputs'!$J$98-'Development Inputs'!$I$98+1),
IF(AND('Development Inputs'!$N$99="Less Land",AU$6&gt;='Development Inputs'!$I$98,AU$6&lt;='Development Inputs'!$J$98),((TotalProjectCost-$EH$30)*'Development Inputs'!$K$99)/('Development Inputs'!$J$98-'Development Inputs'!$I$98+1),
IF(AND('Development Inputs'!$N$99="Less Land &amp; Fees",AU$6&gt;='Development Inputs'!$I$98,AU$6&lt;='Development Inputs'!$J$98),(SUM($EH$31:$EH$40,$EH$42:$EH$47)-'Development Inputs'!$E$99-$C$53)*'Development Inputs'!$K$99/('Development Inputs'!$J$98-'Development Inputs'!$I$98+1),
IF(AND('Development Inputs'!$N$99="Less Fees",AU$6&gt;='Development Inputs'!$I$98,AU$6&lt;='Development Inputs'!$J$98),(SUM($EH$30:$EH$40,$EH$42:$EH$47)-'Development Inputs'!$E$99)*'Development Inputs'!$K$99/('Development Inputs'!$J$98-'Development Inputs'!$I$98+1),0))))</f>
        <v>0</v>
      </c>
      <c r="AV41" s="229">
        <f>IF(AND('Development Inputs'!$N$99="Total Cost",AV$6&gt;='Development Inputs'!$I$98,AV$6&lt;='Development Inputs'!$J$98),(TotalProjectCost*'Development Inputs'!$K$99)/('Development Inputs'!$J$98-'Development Inputs'!$I$98+1),
IF(AND('Development Inputs'!$N$99="Less Land",AV$6&gt;='Development Inputs'!$I$98,AV$6&lt;='Development Inputs'!$J$98),((TotalProjectCost-$EH$30)*'Development Inputs'!$K$99)/('Development Inputs'!$J$98-'Development Inputs'!$I$98+1),
IF(AND('Development Inputs'!$N$99="Less Land &amp; Fees",AV$6&gt;='Development Inputs'!$I$98,AV$6&lt;='Development Inputs'!$J$98),(SUM($EH$31:$EH$40,$EH$42:$EH$47)-'Development Inputs'!$E$99-$C$53)*'Development Inputs'!$K$99/('Development Inputs'!$J$98-'Development Inputs'!$I$98+1),
IF(AND('Development Inputs'!$N$99="Less Fees",AV$6&gt;='Development Inputs'!$I$98,AV$6&lt;='Development Inputs'!$J$98),(SUM($EH$30:$EH$40,$EH$42:$EH$47)-'Development Inputs'!$E$99)*'Development Inputs'!$K$99/('Development Inputs'!$J$98-'Development Inputs'!$I$98+1),0))))</f>
        <v>0</v>
      </c>
      <c r="AW41" s="229">
        <f>IF(AND('Development Inputs'!$N$99="Total Cost",AW$6&gt;='Development Inputs'!$I$98,AW$6&lt;='Development Inputs'!$J$98),(TotalProjectCost*'Development Inputs'!$K$99)/('Development Inputs'!$J$98-'Development Inputs'!$I$98+1),
IF(AND('Development Inputs'!$N$99="Less Land",AW$6&gt;='Development Inputs'!$I$98,AW$6&lt;='Development Inputs'!$J$98),((TotalProjectCost-$EH$30)*'Development Inputs'!$K$99)/('Development Inputs'!$J$98-'Development Inputs'!$I$98+1),
IF(AND('Development Inputs'!$N$99="Less Land &amp; Fees",AW$6&gt;='Development Inputs'!$I$98,AW$6&lt;='Development Inputs'!$J$98),(SUM($EH$31:$EH$40,$EH$42:$EH$47)-'Development Inputs'!$E$99-$C$53)*'Development Inputs'!$K$99/('Development Inputs'!$J$98-'Development Inputs'!$I$98+1),
IF(AND('Development Inputs'!$N$99="Less Fees",AW$6&gt;='Development Inputs'!$I$98,AW$6&lt;='Development Inputs'!$J$98),(SUM($EH$30:$EH$40,$EH$42:$EH$47)-'Development Inputs'!$E$99)*'Development Inputs'!$K$99/('Development Inputs'!$J$98-'Development Inputs'!$I$98+1),0))))</f>
        <v>0</v>
      </c>
      <c r="AX41" s="229">
        <f>IF(AND('Development Inputs'!$N$99="Total Cost",AX$6&gt;='Development Inputs'!$I$98,AX$6&lt;='Development Inputs'!$J$98),(TotalProjectCost*'Development Inputs'!$K$99)/('Development Inputs'!$J$98-'Development Inputs'!$I$98+1),
IF(AND('Development Inputs'!$N$99="Less Land",AX$6&gt;='Development Inputs'!$I$98,AX$6&lt;='Development Inputs'!$J$98),((TotalProjectCost-$EH$30)*'Development Inputs'!$K$99)/('Development Inputs'!$J$98-'Development Inputs'!$I$98+1),
IF(AND('Development Inputs'!$N$99="Less Land &amp; Fees",AX$6&gt;='Development Inputs'!$I$98,AX$6&lt;='Development Inputs'!$J$98),(SUM($EH$31:$EH$40,$EH$42:$EH$47)-'Development Inputs'!$E$99-$C$53)*'Development Inputs'!$K$99/('Development Inputs'!$J$98-'Development Inputs'!$I$98+1),
IF(AND('Development Inputs'!$N$99="Less Fees",AX$6&gt;='Development Inputs'!$I$98,AX$6&lt;='Development Inputs'!$J$98),(SUM($EH$30:$EH$40,$EH$42:$EH$47)-'Development Inputs'!$E$99)*'Development Inputs'!$K$99/('Development Inputs'!$J$98-'Development Inputs'!$I$98+1),0))))</f>
        <v>0</v>
      </c>
      <c r="AY41" s="229">
        <f>IF(AND('Development Inputs'!$N$99="Total Cost",AY$6&gt;='Development Inputs'!$I$98,AY$6&lt;='Development Inputs'!$J$98),(TotalProjectCost*'Development Inputs'!$K$99)/('Development Inputs'!$J$98-'Development Inputs'!$I$98+1),
IF(AND('Development Inputs'!$N$99="Less Land",AY$6&gt;='Development Inputs'!$I$98,AY$6&lt;='Development Inputs'!$J$98),((TotalProjectCost-$EH$30)*'Development Inputs'!$K$99)/('Development Inputs'!$J$98-'Development Inputs'!$I$98+1),
IF(AND('Development Inputs'!$N$99="Less Land &amp; Fees",AY$6&gt;='Development Inputs'!$I$98,AY$6&lt;='Development Inputs'!$J$98),(SUM($EH$31:$EH$40,$EH$42:$EH$47)-'Development Inputs'!$E$99-$C$53)*'Development Inputs'!$K$99/('Development Inputs'!$J$98-'Development Inputs'!$I$98+1),
IF(AND('Development Inputs'!$N$99="Less Fees",AY$6&gt;='Development Inputs'!$I$98,AY$6&lt;='Development Inputs'!$J$98),(SUM($EH$30:$EH$40,$EH$42:$EH$47)-'Development Inputs'!$E$99)*'Development Inputs'!$K$99/('Development Inputs'!$J$98-'Development Inputs'!$I$98+1),0))))</f>
        <v>0</v>
      </c>
      <c r="AZ41" s="229">
        <f>IF(AND('Development Inputs'!$N$99="Total Cost",AZ$6&gt;='Development Inputs'!$I$98,AZ$6&lt;='Development Inputs'!$J$98),(TotalProjectCost*'Development Inputs'!$K$99)/('Development Inputs'!$J$98-'Development Inputs'!$I$98+1),
IF(AND('Development Inputs'!$N$99="Less Land",AZ$6&gt;='Development Inputs'!$I$98,AZ$6&lt;='Development Inputs'!$J$98),((TotalProjectCost-$EH$30)*'Development Inputs'!$K$99)/('Development Inputs'!$J$98-'Development Inputs'!$I$98+1),
IF(AND('Development Inputs'!$N$99="Less Land &amp; Fees",AZ$6&gt;='Development Inputs'!$I$98,AZ$6&lt;='Development Inputs'!$J$98),(SUM($EH$31:$EH$40,$EH$42:$EH$47)-'Development Inputs'!$E$99-$C$53)*'Development Inputs'!$K$99/('Development Inputs'!$J$98-'Development Inputs'!$I$98+1),
IF(AND('Development Inputs'!$N$99="Less Fees",AZ$6&gt;='Development Inputs'!$I$98,AZ$6&lt;='Development Inputs'!$J$98),(SUM($EH$30:$EH$40,$EH$42:$EH$47)-'Development Inputs'!$E$99)*'Development Inputs'!$K$99/('Development Inputs'!$J$98-'Development Inputs'!$I$98+1),0))))</f>
        <v>0</v>
      </c>
      <c r="BA41" s="229">
        <f>IF(AND('Development Inputs'!$N$99="Total Cost",BA$6&gt;='Development Inputs'!$I$98,BA$6&lt;='Development Inputs'!$J$98),(TotalProjectCost*'Development Inputs'!$K$99)/('Development Inputs'!$J$98-'Development Inputs'!$I$98+1),
IF(AND('Development Inputs'!$N$99="Less Land",BA$6&gt;='Development Inputs'!$I$98,BA$6&lt;='Development Inputs'!$J$98),((TotalProjectCost-$EH$30)*'Development Inputs'!$K$99)/('Development Inputs'!$J$98-'Development Inputs'!$I$98+1),
IF(AND('Development Inputs'!$N$99="Less Land &amp; Fees",BA$6&gt;='Development Inputs'!$I$98,BA$6&lt;='Development Inputs'!$J$98),(SUM($EH$31:$EH$40,$EH$42:$EH$47)-'Development Inputs'!$E$99-$C$53)*'Development Inputs'!$K$99/('Development Inputs'!$J$98-'Development Inputs'!$I$98+1),
IF(AND('Development Inputs'!$N$99="Less Fees",BA$6&gt;='Development Inputs'!$I$98,BA$6&lt;='Development Inputs'!$J$98),(SUM($EH$30:$EH$40,$EH$42:$EH$47)-'Development Inputs'!$E$99)*'Development Inputs'!$K$99/('Development Inputs'!$J$98-'Development Inputs'!$I$98+1),0))))</f>
        <v>0</v>
      </c>
      <c r="BB41" s="229">
        <f>IF(AND('Development Inputs'!$N$99="Total Cost",BB$6&gt;='Development Inputs'!$I$98,BB$6&lt;='Development Inputs'!$J$98),(TotalProjectCost*'Development Inputs'!$K$99)/('Development Inputs'!$J$98-'Development Inputs'!$I$98+1),
IF(AND('Development Inputs'!$N$99="Less Land",BB$6&gt;='Development Inputs'!$I$98,BB$6&lt;='Development Inputs'!$J$98),((TotalProjectCost-$EH$30)*'Development Inputs'!$K$99)/('Development Inputs'!$J$98-'Development Inputs'!$I$98+1),
IF(AND('Development Inputs'!$N$99="Less Land &amp; Fees",BB$6&gt;='Development Inputs'!$I$98,BB$6&lt;='Development Inputs'!$J$98),(SUM($EH$31:$EH$40,$EH$42:$EH$47)-'Development Inputs'!$E$99-$C$53)*'Development Inputs'!$K$99/('Development Inputs'!$J$98-'Development Inputs'!$I$98+1),
IF(AND('Development Inputs'!$N$99="Less Fees",BB$6&gt;='Development Inputs'!$I$98,BB$6&lt;='Development Inputs'!$J$98),(SUM($EH$30:$EH$40,$EH$42:$EH$47)-'Development Inputs'!$E$99)*'Development Inputs'!$K$99/('Development Inputs'!$J$98-'Development Inputs'!$I$98+1),0))))</f>
        <v>0</v>
      </c>
      <c r="BC41" s="229">
        <f>IF(AND('Development Inputs'!$N$99="Total Cost",BC$6&gt;='Development Inputs'!$I$98,BC$6&lt;='Development Inputs'!$J$98),(TotalProjectCost*'Development Inputs'!$K$99)/('Development Inputs'!$J$98-'Development Inputs'!$I$98+1),
IF(AND('Development Inputs'!$N$99="Less Land",BC$6&gt;='Development Inputs'!$I$98,BC$6&lt;='Development Inputs'!$J$98),((TotalProjectCost-$EH$30)*'Development Inputs'!$K$99)/('Development Inputs'!$J$98-'Development Inputs'!$I$98+1),
IF(AND('Development Inputs'!$N$99="Less Land &amp; Fees",BC$6&gt;='Development Inputs'!$I$98,BC$6&lt;='Development Inputs'!$J$98),(SUM($EH$31:$EH$40,$EH$42:$EH$47)-'Development Inputs'!$E$99-$C$53)*'Development Inputs'!$K$99/('Development Inputs'!$J$98-'Development Inputs'!$I$98+1),
IF(AND('Development Inputs'!$N$99="Less Fees",BC$6&gt;='Development Inputs'!$I$98,BC$6&lt;='Development Inputs'!$J$98),(SUM($EH$30:$EH$40,$EH$42:$EH$47)-'Development Inputs'!$E$99)*'Development Inputs'!$K$99/('Development Inputs'!$J$98-'Development Inputs'!$I$98+1),0))))</f>
        <v>0</v>
      </c>
      <c r="BD41" s="229">
        <f>IF(AND('Development Inputs'!$N$99="Total Cost",BD$6&gt;='Development Inputs'!$I$98,BD$6&lt;='Development Inputs'!$J$98),(TotalProjectCost*'Development Inputs'!$K$99)/('Development Inputs'!$J$98-'Development Inputs'!$I$98+1),
IF(AND('Development Inputs'!$N$99="Less Land",BD$6&gt;='Development Inputs'!$I$98,BD$6&lt;='Development Inputs'!$J$98),((TotalProjectCost-$EH$30)*'Development Inputs'!$K$99)/('Development Inputs'!$J$98-'Development Inputs'!$I$98+1),
IF(AND('Development Inputs'!$N$99="Less Land &amp; Fees",BD$6&gt;='Development Inputs'!$I$98,BD$6&lt;='Development Inputs'!$J$98),(SUM($EH$31:$EH$40,$EH$42:$EH$47)-'Development Inputs'!$E$99-$C$53)*'Development Inputs'!$K$99/('Development Inputs'!$J$98-'Development Inputs'!$I$98+1),
IF(AND('Development Inputs'!$N$99="Less Fees",BD$6&gt;='Development Inputs'!$I$98,BD$6&lt;='Development Inputs'!$J$98),(SUM($EH$30:$EH$40,$EH$42:$EH$47)-'Development Inputs'!$E$99)*'Development Inputs'!$K$99/('Development Inputs'!$J$98-'Development Inputs'!$I$98+1),0))))</f>
        <v>0</v>
      </c>
      <c r="BE41" s="229">
        <f>IF(AND('Development Inputs'!$N$99="Total Cost",BE$6&gt;='Development Inputs'!$I$98,BE$6&lt;='Development Inputs'!$J$98),(TotalProjectCost*'Development Inputs'!$K$99)/('Development Inputs'!$J$98-'Development Inputs'!$I$98+1),
IF(AND('Development Inputs'!$N$99="Less Land",BE$6&gt;='Development Inputs'!$I$98,BE$6&lt;='Development Inputs'!$J$98),((TotalProjectCost-$EH$30)*'Development Inputs'!$K$99)/('Development Inputs'!$J$98-'Development Inputs'!$I$98+1),
IF(AND('Development Inputs'!$N$99="Less Land &amp; Fees",BE$6&gt;='Development Inputs'!$I$98,BE$6&lt;='Development Inputs'!$J$98),(SUM($EH$31:$EH$40,$EH$42:$EH$47)-'Development Inputs'!$E$99-$C$53)*'Development Inputs'!$K$99/('Development Inputs'!$J$98-'Development Inputs'!$I$98+1),
IF(AND('Development Inputs'!$N$99="Less Fees",BE$6&gt;='Development Inputs'!$I$98,BE$6&lt;='Development Inputs'!$J$98),(SUM($EH$30:$EH$40,$EH$42:$EH$47)-'Development Inputs'!$E$99)*'Development Inputs'!$K$99/('Development Inputs'!$J$98-'Development Inputs'!$I$98+1),0))))</f>
        <v>0</v>
      </c>
      <c r="BF41" s="229">
        <f>IF(AND('Development Inputs'!$N$99="Total Cost",BF$6&gt;='Development Inputs'!$I$98,BF$6&lt;='Development Inputs'!$J$98),(TotalProjectCost*'Development Inputs'!$K$99)/('Development Inputs'!$J$98-'Development Inputs'!$I$98+1),
IF(AND('Development Inputs'!$N$99="Less Land",BF$6&gt;='Development Inputs'!$I$98,BF$6&lt;='Development Inputs'!$J$98),((TotalProjectCost-$EH$30)*'Development Inputs'!$K$99)/('Development Inputs'!$J$98-'Development Inputs'!$I$98+1),
IF(AND('Development Inputs'!$N$99="Less Land &amp; Fees",BF$6&gt;='Development Inputs'!$I$98,BF$6&lt;='Development Inputs'!$J$98),(SUM($EH$31:$EH$40,$EH$42:$EH$47)-'Development Inputs'!$E$99-$C$53)*'Development Inputs'!$K$99/('Development Inputs'!$J$98-'Development Inputs'!$I$98+1),
IF(AND('Development Inputs'!$N$99="Less Fees",BF$6&gt;='Development Inputs'!$I$98,BF$6&lt;='Development Inputs'!$J$98),(SUM($EH$30:$EH$40,$EH$42:$EH$47)-'Development Inputs'!$E$99)*'Development Inputs'!$K$99/('Development Inputs'!$J$98-'Development Inputs'!$I$98+1),0))))</f>
        <v>0</v>
      </c>
      <c r="BG41" s="229">
        <f>IF(AND('Development Inputs'!$N$99="Total Cost",BG$6&gt;='Development Inputs'!$I$98,BG$6&lt;='Development Inputs'!$J$98),(TotalProjectCost*'Development Inputs'!$K$99)/('Development Inputs'!$J$98-'Development Inputs'!$I$98+1),
IF(AND('Development Inputs'!$N$99="Less Land",BG$6&gt;='Development Inputs'!$I$98,BG$6&lt;='Development Inputs'!$J$98),((TotalProjectCost-$EH$30)*'Development Inputs'!$K$99)/('Development Inputs'!$J$98-'Development Inputs'!$I$98+1),
IF(AND('Development Inputs'!$N$99="Less Land &amp; Fees",BG$6&gt;='Development Inputs'!$I$98,BG$6&lt;='Development Inputs'!$J$98),(SUM($EH$31:$EH$40,$EH$42:$EH$47)-'Development Inputs'!$E$99-$C$53)*'Development Inputs'!$K$99/('Development Inputs'!$J$98-'Development Inputs'!$I$98+1),
IF(AND('Development Inputs'!$N$99="Less Fees",BG$6&gt;='Development Inputs'!$I$98,BG$6&lt;='Development Inputs'!$J$98),(SUM($EH$30:$EH$40,$EH$42:$EH$47)-'Development Inputs'!$E$99)*'Development Inputs'!$K$99/('Development Inputs'!$J$98-'Development Inputs'!$I$98+1),0))))</f>
        <v>0</v>
      </c>
      <c r="BH41" s="229">
        <f>IF(AND('Development Inputs'!$N$99="Total Cost",BH$6&gt;='Development Inputs'!$I$98,BH$6&lt;='Development Inputs'!$J$98),(TotalProjectCost*'Development Inputs'!$K$99)/('Development Inputs'!$J$98-'Development Inputs'!$I$98+1),
IF(AND('Development Inputs'!$N$99="Less Land",BH$6&gt;='Development Inputs'!$I$98,BH$6&lt;='Development Inputs'!$J$98),((TotalProjectCost-$EH$30)*'Development Inputs'!$K$99)/('Development Inputs'!$J$98-'Development Inputs'!$I$98+1),
IF(AND('Development Inputs'!$N$99="Less Land &amp; Fees",BH$6&gt;='Development Inputs'!$I$98,BH$6&lt;='Development Inputs'!$J$98),(SUM($EH$31:$EH$40,$EH$42:$EH$47)-'Development Inputs'!$E$99-$C$53)*'Development Inputs'!$K$99/('Development Inputs'!$J$98-'Development Inputs'!$I$98+1),
IF(AND('Development Inputs'!$N$99="Less Fees",BH$6&gt;='Development Inputs'!$I$98,BH$6&lt;='Development Inputs'!$J$98),(SUM($EH$30:$EH$40,$EH$42:$EH$47)-'Development Inputs'!$E$99)*'Development Inputs'!$K$99/('Development Inputs'!$J$98-'Development Inputs'!$I$98+1),0))))</f>
        <v>0</v>
      </c>
      <c r="BI41" s="229">
        <f>IF(AND('Development Inputs'!$N$99="Total Cost",BI$6&gt;='Development Inputs'!$I$98,BI$6&lt;='Development Inputs'!$J$98),(TotalProjectCost*'Development Inputs'!$K$99)/('Development Inputs'!$J$98-'Development Inputs'!$I$98+1),
IF(AND('Development Inputs'!$N$99="Less Land",BI$6&gt;='Development Inputs'!$I$98,BI$6&lt;='Development Inputs'!$J$98),((TotalProjectCost-$EH$30)*'Development Inputs'!$K$99)/('Development Inputs'!$J$98-'Development Inputs'!$I$98+1),
IF(AND('Development Inputs'!$N$99="Less Land &amp; Fees",BI$6&gt;='Development Inputs'!$I$98,BI$6&lt;='Development Inputs'!$J$98),(SUM($EH$31:$EH$40,$EH$42:$EH$47)-'Development Inputs'!$E$99-$C$53)*'Development Inputs'!$K$99/('Development Inputs'!$J$98-'Development Inputs'!$I$98+1),
IF(AND('Development Inputs'!$N$99="Less Fees",BI$6&gt;='Development Inputs'!$I$98,BI$6&lt;='Development Inputs'!$J$98),(SUM($EH$30:$EH$40,$EH$42:$EH$47)-'Development Inputs'!$E$99)*'Development Inputs'!$K$99/('Development Inputs'!$J$98-'Development Inputs'!$I$98+1),0))))</f>
        <v>0</v>
      </c>
      <c r="BJ41" s="229">
        <f>IF(AND('Development Inputs'!$N$99="Total Cost",BJ$6&gt;='Development Inputs'!$I$98,BJ$6&lt;='Development Inputs'!$J$98),(TotalProjectCost*'Development Inputs'!$K$99)/('Development Inputs'!$J$98-'Development Inputs'!$I$98+1),
IF(AND('Development Inputs'!$N$99="Less Land",BJ$6&gt;='Development Inputs'!$I$98,BJ$6&lt;='Development Inputs'!$J$98),((TotalProjectCost-$EH$30)*'Development Inputs'!$K$99)/('Development Inputs'!$J$98-'Development Inputs'!$I$98+1),
IF(AND('Development Inputs'!$N$99="Less Land &amp; Fees",BJ$6&gt;='Development Inputs'!$I$98,BJ$6&lt;='Development Inputs'!$J$98),(SUM($EH$31:$EH$40,$EH$42:$EH$47)-'Development Inputs'!$E$99-$C$53)*'Development Inputs'!$K$99/('Development Inputs'!$J$98-'Development Inputs'!$I$98+1),
IF(AND('Development Inputs'!$N$99="Less Fees",BJ$6&gt;='Development Inputs'!$I$98,BJ$6&lt;='Development Inputs'!$J$98),(SUM($EH$30:$EH$40,$EH$42:$EH$47)-'Development Inputs'!$E$99)*'Development Inputs'!$K$99/('Development Inputs'!$J$98-'Development Inputs'!$I$98+1),0))))</f>
        <v>0</v>
      </c>
      <c r="BK41" s="229">
        <f>IF(AND('Development Inputs'!$N$99="Total Cost",BK$6&gt;='Development Inputs'!$I$98,BK$6&lt;='Development Inputs'!$J$98),(TotalProjectCost*'Development Inputs'!$K$99)/('Development Inputs'!$J$98-'Development Inputs'!$I$98+1),
IF(AND('Development Inputs'!$N$99="Less Land",BK$6&gt;='Development Inputs'!$I$98,BK$6&lt;='Development Inputs'!$J$98),((TotalProjectCost-$EH$30)*'Development Inputs'!$K$99)/('Development Inputs'!$J$98-'Development Inputs'!$I$98+1),
IF(AND('Development Inputs'!$N$99="Less Land &amp; Fees",BK$6&gt;='Development Inputs'!$I$98,BK$6&lt;='Development Inputs'!$J$98),(SUM($EH$31:$EH$40,$EH$42:$EH$47)-'Development Inputs'!$E$99-$C$53)*'Development Inputs'!$K$99/('Development Inputs'!$J$98-'Development Inputs'!$I$98+1),
IF(AND('Development Inputs'!$N$99="Less Fees",BK$6&gt;='Development Inputs'!$I$98,BK$6&lt;='Development Inputs'!$J$98),(SUM($EH$30:$EH$40,$EH$42:$EH$47)-'Development Inputs'!$E$99)*'Development Inputs'!$K$99/('Development Inputs'!$J$98-'Development Inputs'!$I$98+1),0))))</f>
        <v>0</v>
      </c>
      <c r="BL41" s="229">
        <f>IF(AND('Development Inputs'!$N$99="Total Cost",BL$6&gt;='Development Inputs'!$I$98,BL$6&lt;='Development Inputs'!$J$98),(TotalProjectCost*'Development Inputs'!$K$99)/('Development Inputs'!$J$98-'Development Inputs'!$I$98+1),
IF(AND('Development Inputs'!$N$99="Less Land",BL$6&gt;='Development Inputs'!$I$98,BL$6&lt;='Development Inputs'!$J$98),((TotalProjectCost-$EH$30)*'Development Inputs'!$K$99)/('Development Inputs'!$J$98-'Development Inputs'!$I$98+1),
IF(AND('Development Inputs'!$N$99="Less Land &amp; Fees",BL$6&gt;='Development Inputs'!$I$98,BL$6&lt;='Development Inputs'!$J$98),(SUM($EH$31:$EH$40,$EH$42:$EH$47)-'Development Inputs'!$E$99-$C$53)*'Development Inputs'!$K$99/('Development Inputs'!$J$98-'Development Inputs'!$I$98+1),
IF(AND('Development Inputs'!$N$99="Less Fees",BL$6&gt;='Development Inputs'!$I$98,BL$6&lt;='Development Inputs'!$J$98),(SUM($EH$30:$EH$40,$EH$42:$EH$47)-'Development Inputs'!$E$99)*'Development Inputs'!$K$99/('Development Inputs'!$J$98-'Development Inputs'!$I$98+1),0))))</f>
        <v>0</v>
      </c>
      <c r="BM41" s="229">
        <f>IF(AND('Development Inputs'!$N$99="Total Cost",BM$6&gt;='Development Inputs'!$I$98,BM$6&lt;='Development Inputs'!$J$98),(TotalProjectCost*'Development Inputs'!$K$99)/('Development Inputs'!$J$98-'Development Inputs'!$I$98+1),
IF(AND('Development Inputs'!$N$99="Less Land",BM$6&gt;='Development Inputs'!$I$98,BM$6&lt;='Development Inputs'!$J$98),((TotalProjectCost-$EH$30)*'Development Inputs'!$K$99)/('Development Inputs'!$J$98-'Development Inputs'!$I$98+1),
IF(AND('Development Inputs'!$N$99="Less Land &amp; Fees",BM$6&gt;='Development Inputs'!$I$98,BM$6&lt;='Development Inputs'!$J$98),(SUM($EH$31:$EH$40,$EH$42:$EH$47)-'Development Inputs'!$E$99-$C$53)*'Development Inputs'!$K$99/('Development Inputs'!$J$98-'Development Inputs'!$I$98+1),
IF(AND('Development Inputs'!$N$99="Less Fees",BM$6&gt;='Development Inputs'!$I$98,BM$6&lt;='Development Inputs'!$J$98),(SUM($EH$30:$EH$40,$EH$42:$EH$47)-'Development Inputs'!$E$99)*'Development Inputs'!$K$99/('Development Inputs'!$J$98-'Development Inputs'!$I$98+1),0))))</f>
        <v>0</v>
      </c>
      <c r="BN41" s="229">
        <f>IF(AND('Development Inputs'!$N$99="Total Cost",BN$6&gt;='Development Inputs'!$I$98,BN$6&lt;='Development Inputs'!$J$98),(TotalProjectCost*'Development Inputs'!$K$99)/('Development Inputs'!$J$98-'Development Inputs'!$I$98+1),
IF(AND('Development Inputs'!$N$99="Less Land",BN$6&gt;='Development Inputs'!$I$98,BN$6&lt;='Development Inputs'!$J$98),((TotalProjectCost-$EH$30)*'Development Inputs'!$K$99)/('Development Inputs'!$J$98-'Development Inputs'!$I$98+1),
IF(AND('Development Inputs'!$N$99="Less Land &amp; Fees",BN$6&gt;='Development Inputs'!$I$98,BN$6&lt;='Development Inputs'!$J$98),(SUM($EH$31:$EH$40,$EH$42:$EH$47)-'Development Inputs'!$E$99-$C$53)*'Development Inputs'!$K$99/('Development Inputs'!$J$98-'Development Inputs'!$I$98+1),
IF(AND('Development Inputs'!$N$99="Less Fees",BN$6&gt;='Development Inputs'!$I$98,BN$6&lt;='Development Inputs'!$J$98),(SUM($EH$30:$EH$40,$EH$42:$EH$47)-'Development Inputs'!$E$99)*'Development Inputs'!$K$99/('Development Inputs'!$J$98-'Development Inputs'!$I$98+1),0))))</f>
        <v>0</v>
      </c>
      <c r="BO41" s="229">
        <f>IF(AND('Development Inputs'!$N$99="Total Cost",BO$6&gt;='Development Inputs'!$I$98,BO$6&lt;='Development Inputs'!$J$98),(TotalProjectCost*'Development Inputs'!$K$99)/('Development Inputs'!$J$98-'Development Inputs'!$I$98+1),
IF(AND('Development Inputs'!$N$99="Less Land",BO$6&gt;='Development Inputs'!$I$98,BO$6&lt;='Development Inputs'!$J$98),((TotalProjectCost-$EH$30)*'Development Inputs'!$K$99)/('Development Inputs'!$J$98-'Development Inputs'!$I$98+1),
IF(AND('Development Inputs'!$N$99="Less Land &amp; Fees",BO$6&gt;='Development Inputs'!$I$98,BO$6&lt;='Development Inputs'!$J$98),(SUM($EH$31:$EH$40,$EH$42:$EH$47)-'Development Inputs'!$E$99-$C$53)*'Development Inputs'!$K$99/('Development Inputs'!$J$98-'Development Inputs'!$I$98+1),
IF(AND('Development Inputs'!$N$99="Less Fees",BO$6&gt;='Development Inputs'!$I$98,BO$6&lt;='Development Inputs'!$J$98),(SUM($EH$30:$EH$40,$EH$42:$EH$47)-'Development Inputs'!$E$99)*'Development Inputs'!$K$99/('Development Inputs'!$J$98-'Development Inputs'!$I$98+1),0))))</f>
        <v>0</v>
      </c>
      <c r="BP41" s="229">
        <f>IF(AND('Development Inputs'!$N$99="Total Cost",BP$6&gt;='Development Inputs'!$I$98,BP$6&lt;='Development Inputs'!$J$98),(TotalProjectCost*'Development Inputs'!$K$99)/('Development Inputs'!$J$98-'Development Inputs'!$I$98+1),
IF(AND('Development Inputs'!$N$99="Less Land",BP$6&gt;='Development Inputs'!$I$98,BP$6&lt;='Development Inputs'!$J$98),((TotalProjectCost-$EH$30)*'Development Inputs'!$K$99)/('Development Inputs'!$J$98-'Development Inputs'!$I$98+1),
IF(AND('Development Inputs'!$N$99="Less Land &amp; Fees",BP$6&gt;='Development Inputs'!$I$98,BP$6&lt;='Development Inputs'!$J$98),(SUM($EH$31:$EH$40,$EH$42:$EH$47)-'Development Inputs'!$E$99-$C$53)*'Development Inputs'!$K$99/('Development Inputs'!$J$98-'Development Inputs'!$I$98+1),
IF(AND('Development Inputs'!$N$99="Less Fees",BP$6&gt;='Development Inputs'!$I$98,BP$6&lt;='Development Inputs'!$J$98),(SUM($EH$30:$EH$40,$EH$42:$EH$47)-'Development Inputs'!$E$99)*'Development Inputs'!$K$99/('Development Inputs'!$J$98-'Development Inputs'!$I$98+1),0))))</f>
        <v>0</v>
      </c>
      <c r="BQ41" s="229">
        <f>IF(AND('Development Inputs'!$N$99="Total Cost",BQ$6&gt;='Development Inputs'!$I$98,BQ$6&lt;='Development Inputs'!$J$98),(TotalProjectCost*'Development Inputs'!$K$99)/('Development Inputs'!$J$98-'Development Inputs'!$I$98+1),
IF(AND('Development Inputs'!$N$99="Less Land",BQ$6&gt;='Development Inputs'!$I$98,BQ$6&lt;='Development Inputs'!$J$98),((TotalProjectCost-$EH$30)*'Development Inputs'!$K$99)/('Development Inputs'!$J$98-'Development Inputs'!$I$98+1),
IF(AND('Development Inputs'!$N$99="Less Land &amp; Fees",BQ$6&gt;='Development Inputs'!$I$98,BQ$6&lt;='Development Inputs'!$J$98),(SUM($EH$31:$EH$40,$EH$42:$EH$47)-'Development Inputs'!$E$99-$C$53)*'Development Inputs'!$K$99/('Development Inputs'!$J$98-'Development Inputs'!$I$98+1),
IF(AND('Development Inputs'!$N$99="Less Fees",BQ$6&gt;='Development Inputs'!$I$98,BQ$6&lt;='Development Inputs'!$J$98),(SUM($EH$30:$EH$40,$EH$42:$EH$47)-'Development Inputs'!$E$99)*'Development Inputs'!$K$99/('Development Inputs'!$J$98-'Development Inputs'!$I$98+1),0))))</f>
        <v>0</v>
      </c>
      <c r="BR41" s="229">
        <f>IF(AND('Development Inputs'!$N$99="Total Cost",BR$6&gt;='Development Inputs'!$I$98,BR$6&lt;='Development Inputs'!$J$98),(TotalProjectCost*'Development Inputs'!$K$99)/('Development Inputs'!$J$98-'Development Inputs'!$I$98+1),
IF(AND('Development Inputs'!$N$99="Less Land",BR$6&gt;='Development Inputs'!$I$98,BR$6&lt;='Development Inputs'!$J$98),((TotalProjectCost-$EH$30)*'Development Inputs'!$K$99)/('Development Inputs'!$J$98-'Development Inputs'!$I$98+1),
IF(AND('Development Inputs'!$N$99="Less Land &amp; Fees",BR$6&gt;='Development Inputs'!$I$98,BR$6&lt;='Development Inputs'!$J$98),(SUM($EH$31:$EH$40,$EH$42:$EH$47)-'Development Inputs'!$E$99-$C$53)*'Development Inputs'!$K$99/('Development Inputs'!$J$98-'Development Inputs'!$I$98+1),
IF(AND('Development Inputs'!$N$99="Less Fees",BR$6&gt;='Development Inputs'!$I$98,BR$6&lt;='Development Inputs'!$J$98),(SUM($EH$30:$EH$40,$EH$42:$EH$47)-'Development Inputs'!$E$99)*'Development Inputs'!$K$99/('Development Inputs'!$J$98-'Development Inputs'!$I$98+1),0))))</f>
        <v>0</v>
      </c>
      <c r="BS41" s="229">
        <f>IF(AND('Development Inputs'!$N$99="Total Cost",BS$6&gt;='Development Inputs'!$I$98,BS$6&lt;='Development Inputs'!$J$98),(TotalProjectCost*'Development Inputs'!$K$99)/('Development Inputs'!$J$98-'Development Inputs'!$I$98+1),
IF(AND('Development Inputs'!$N$99="Less Land",BS$6&gt;='Development Inputs'!$I$98,BS$6&lt;='Development Inputs'!$J$98),((TotalProjectCost-$EH$30)*'Development Inputs'!$K$99)/('Development Inputs'!$J$98-'Development Inputs'!$I$98+1),
IF(AND('Development Inputs'!$N$99="Less Land &amp; Fees",BS$6&gt;='Development Inputs'!$I$98,BS$6&lt;='Development Inputs'!$J$98),(SUM($EH$31:$EH$40,$EH$42:$EH$47)-'Development Inputs'!$E$99-$C$53)*'Development Inputs'!$K$99/('Development Inputs'!$J$98-'Development Inputs'!$I$98+1),
IF(AND('Development Inputs'!$N$99="Less Fees",BS$6&gt;='Development Inputs'!$I$98,BS$6&lt;='Development Inputs'!$J$98),(SUM($EH$30:$EH$40,$EH$42:$EH$47)-'Development Inputs'!$E$99)*'Development Inputs'!$K$99/('Development Inputs'!$J$98-'Development Inputs'!$I$98+1),0))))</f>
        <v>0</v>
      </c>
      <c r="BT41" s="229">
        <f>IF(AND('Development Inputs'!$N$99="Total Cost",BT$6&gt;='Development Inputs'!$I$98,BT$6&lt;='Development Inputs'!$J$98),(TotalProjectCost*'Development Inputs'!$K$99)/('Development Inputs'!$J$98-'Development Inputs'!$I$98+1),
IF(AND('Development Inputs'!$N$99="Less Land",BT$6&gt;='Development Inputs'!$I$98,BT$6&lt;='Development Inputs'!$J$98),((TotalProjectCost-$EH$30)*'Development Inputs'!$K$99)/('Development Inputs'!$J$98-'Development Inputs'!$I$98+1),
IF(AND('Development Inputs'!$N$99="Less Land &amp; Fees",BT$6&gt;='Development Inputs'!$I$98,BT$6&lt;='Development Inputs'!$J$98),(SUM($EH$31:$EH$40,$EH$42:$EH$47)-'Development Inputs'!$E$99-$C$53)*'Development Inputs'!$K$99/('Development Inputs'!$J$98-'Development Inputs'!$I$98+1),
IF(AND('Development Inputs'!$N$99="Less Fees",BT$6&gt;='Development Inputs'!$I$98,BT$6&lt;='Development Inputs'!$J$98),(SUM($EH$30:$EH$40,$EH$42:$EH$47)-'Development Inputs'!$E$99)*'Development Inputs'!$K$99/('Development Inputs'!$J$98-'Development Inputs'!$I$98+1),0))))</f>
        <v>0</v>
      </c>
      <c r="BU41" s="229">
        <f>IF(AND('Development Inputs'!$N$99="Total Cost",BU$6&gt;='Development Inputs'!$I$98,BU$6&lt;='Development Inputs'!$J$98),(TotalProjectCost*'Development Inputs'!$K$99)/('Development Inputs'!$J$98-'Development Inputs'!$I$98+1),
IF(AND('Development Inputs'!$N$99="Less Land",BU$6&gt;='Development Inputs'!$I$98,BU$6&lt;='Development Inputs'!$J$98),((TotalProjectCost-$EH$30)*'Development Inputs'!$K$99)/('Development Inputs'!$J$98-'Development Inputs'!$I$98+1),
IF(AND('Development Inputs'!$N$99="Less Land &amp; Fees",BU$6&gt;='Development Inputs'!$I$98,BU$6&lt;='Development Inputs'!$J$98),(SUM($EH$31:$EH$40,$EH$42:$EH$47)-'Development Inputs'!$E$99-$C$53)*'Development Inputs'!$K$99/('Development Inputs'!$J$98-'Development Inputs'!$I$98+1),
IF(AND('Development Inputs'!$N$99="Less Fees",BU$6&gt;='Development Inputs'!$I$98,BU$6&lt;='Development Inputs'!$J$98),(SUM($EH$30:$EH$40,$EH$42:$EH$47)-'Development Inputs'!$E$99)*'Development Inputs'!$K$99/('Development Inputs'!$J$98-'Development Inputs'!$I$98+1),0))))</f>
        <v>0</v>
      </c>
      <c r="BV41" s="229">
        <f>IF(AND('Development Inputs'!$N$99="Total Cost",BV$6&gt;='Development Inputs'!$I$98,BV$6&lt;='Development Inputs'!$J$98),(TotalProjectCost*'Development Inputs'!$K$99)/('Development Inputs'!$J$98-'Development Inputs'!$I$98+1),
IF(AND('Development Inputs'!$N$99="Less Land",BV$6&gt;='Development Inputs'!$I$98,BV$6&lt;='Development Inputs'!$J$98),((TotalProjectCost-$EH$30)*'Development Inputs'!$K$99)/('Development Inputs'!$J$98-'Development Inputs'!$I$98+1),
IF(AND('Development Inputs'!$N$99="Less Land &amp; Fees",BV$6&gt;='Development Inputs'!$I$98,BV$6&lt;='Development Inputs'!$J$98),(SUM($EH$31:$EH$40,$EH$42:$EH$47)-'Development Inputs'!$E$99-$C$53)*'Development Inputs'!$K$99/('Development Inputs'!$J$98-'Development Inputs'!$I$98+1),
IF(AND('Development Inputs'!$N$99="Less Fees",BV$6&gt;='Development Inputs'!$I$98,BV$6&lt;='Development Inputs'!$J$98),(SUM($EH$30:$EH$40,$EH$42:$EH$47)-'Development Inputs'!$E$99)*'Development Inputs'!$K$99/('Development Inputs'!$J$98-'Development Inputs'!$I$98+1),0))))</f>
        <v>0</v>
      </c>
      <c r="BW41" s="229">
        <f>IF(AND('Development Inputs'!$N$99="Total Cost",BW$6&gt;='Development Inputs'!$I$98,BW$6&lt;='Development Inputs'!$J$98),(TotalProjectCost*'Development Inputs'!$K$99)/('Development Inputs'!$J$98-'Development Inputs'!$I$98+1),
IF(AND('Development Inputs'!$N$99="Less Land",BW$6&gt;='Development Inputs'!$I$98,BW$6&lt;='Development Inputs'!$J$98),((TotalProjectCost-$EH$30)*'Development Inputs'!$K$99)/('Development Inputs'!$J$98-'Development Inputs'!$I$98+1),
IF(AND('Development Inputs'!$N$99="Less Land &amp; Fees",BW$6&gt;='Development Inputs'!$I$98,BW$6&lt;='Development Inputs'!$J$98),(SUM($EH$31:$EH$40,$EH$42:$EH$47)-'Development Inputs'!$E$99-$C$53)*'Development Inputs'!$K$99/('Development Inputs'!$J$98-'Development Inputs'!$I$98+1),
IF(AND('Development Inputs'!$N$99="Less Fees",BW$6&gt;='Development Inputs'!$I$98,BW$6&lt;='Development Inputs'!$J$98),(SUM($EH$30:$EH$40,$EH$42:$EH$47)-'Development Inputs'!$E$99)*'Development Inputs'!$K$99/('Development Inputs'!$J$98-'Development Inputs'!$I$98+1),0))))</f>
        <v>0</v>
      </c>
      <c r="BX41" s="229">
        <f>IF(AND('Development Inputs'!$N$99="Total Cost",BX$6&gt;='Development Inputs'!$I$98,BX$6&lt;='Development Inputs'!$J$98),(TotalProjectCost*'Development Inputs'!$K$99)/('Development Inputs'!$J$98-'Development Inputs'!$I$98+1),
IF(AND('Development Inputs'!$N$99="Less Land",BX$6&gt;='Development Inputs'!$I$98,BX$6&lt;='Development Inputs'!$J$98),((TotalProjectCost-$EH$30)*'Development Inputs'!$K$99)/('Development Inputs'!$J$98-'Development Inputs'!$I$98+1),
IF(AND('Development Inputs'!$N$99="Less Land &amp; Fees",BX$6&gt;='Development Inputs'!$I$98,BX$6&lt;='Development Inputs'!$J$98),(SUM($EH$31:$EH$40,$EH$42:$EH$47)-'Development Inputs'!$E$99-$C$53)*'Development Inputs'!$K$99/('Development Inputs'!$J$98-'Development Inputs'!$I$98+1),
IF(AND('Development Inputs'!$N$99="Less Fees",BX$6&gt;='Development Inputs'!$I$98,BX$6&lt;='Development Inputs'!$J$98),(SUM($EH$30:$EH$40,$EH$42:$EH$47)-'Development Inputs'!$E$99)*'Development Inputs'!$K$99/('Development Inputs'!$J$98-'Development Inputs'!$I$98+1),0))))</f>
        <v>0</v>
      </c>
      <c r="BY41" s="229">
        <f>IF(AND('Development Inputs'!$N$99="Total Cost",BY$6&gt;='Development Inputs'!$I$98,BY$6&lt;='Development Inputs'!$J$98),(TotalProjectCost*'Development Inputs'!$K$99)/('Development Inputs'!$J$98-'Development Inputs'!$I$98+1),
IF(AND('Development Inputs'!$N$99="Less Land",BY$6&gt;='Development Inputs'!$I$98,BY$6&lt;='Development Inputs'!$J$98),((TotalProjectCost-$EH$30)*'Development Inputs'!$K$99)/('Development Inputs'!$J$98-'Development Inputs'!$I$98+1),
IF(AND('Development Inputs'!$N$99="Less Land &amp; Fees",BY$6&gt;='Development Inputs'!$I$98,BY$6&lt;='Development Inputs'!$J$98),(SUM($EH$31:$EH$40,$EH$42:$EH$47)-'Development Inputs'!$E$99-$C$53)*'Development Inputs'!$K$99/('Development Inputs'!$J$98-'Development Inputs'!$I$98+1),
IF(AND('Development Inputs'!$N$99="Less Fees",BY$6&gt;='Development Inputs'!$I$98,BY$6&lt;='Development Inputs'!$J$98),(SUM($EH$30:$EH$40,$EH$42:$EH$47)-'Development Inputs'!$E$99)*'Development Inputs'!$K$99/('Development Inputs'!$J$98-'Development Inputs'!$I$98+1),0))))</f>
        <v>0</v>
      </c>
      <c r="BZ41" s="229">
        <f>IF(AND('Development Inputs'!$N$99="Total Cost",BZ$6&gt;='Development Inputs'!$I$98,BZ$6&lt;='Development Inputs'!$J$98),(TotalProjectCost*'Development Inputs'!$K$99)/('Development Inputs'!$J$98-'Development Inputs'!$I$98+1),
IF(AND('Development Inputs'!$N$99="Less Land",BZ$6&gt;='Development Inputs'!$I$98,BZ$6&lt;='Development Inputs'!$J$98),((TotalProjectCost-$EH$30)*'Development Inputs'!$K$99)/('Development Inputs'!$J$98-'Development Inputs'!$I$98+1),
IF(AND('Development Inputs'!$N$99="Less Land &amp; Fees",BZ$6&gt;='Development Inputs'!$I$98,BZ$6&lt;='Development Inputs'!$J$98),(SUM($EH$31:$EH$40,$EH$42:$EH$47)-'Development Inputs'!$E$99-$C$53)*'Development Inputs'!$K$99/('Development Inputs'!$J$98-'Development Inputs'!$I$98+1),
IF(AND('Development Inputs'!$N$99="Less Fees",BZ$6&gt;='Development Inputs'!$I$98,BZ$6&lt;='Development Inputs'!$J$98),(SUM($EH$30:$EH$40,$EH$42:$EH$47)-'Development Inputs'!$E$99)*'Development Inputs'!$K$99/('Development Inputs'!$J$98-'Development Inputs'!$I$98+1),0))))</f>
        <v>0</v>
      </c>
      <c r="CA41" s="229">
        <f>IF(AND('Development Inputs'!$N$99="Total Cost",CA$6&gt;='Development Inputs'!$I$98,CA$6&lt;='Development Inputs'!$J$98),(TotalProjectCost*'Development Inputs'!$K$99)/('Development Inputs'!$J$98-'Development Inputs'!$I$98+1),
IF(AND('Development Inputs'!$N$99="Less Land",CA$6&gt;='Development Inputs'!$I$98,CA$6&lt;='Development Inputs'!$J$98),((TotalProjectCost-$EH$30)*'Development Inputs'!$K$99)/('Development Inputs'!$J$98-'Development Inputs'!$I$98+1),
IF(AND('Development Inputs'!$N$99="Less Land &amp; Fees",CA$6&gt;='Development Inputs'!$I$98,CA$6&lt;='Development Inputs'!$J$98),(SUM($EH$31:$EH$40,$EH$42:$EH$47)-'Development Inputs'!$E$99-$C$53)*'Development Inputs'!$K$99/('Development Inputs'!$J$98-'Development Inputs'!$I$98+1),
IF(AND('Development Inputs'!$N$99="Less Fees",CA$6&gt;='Development Inputs'!$I$98,CA$6&lt;='Development Inputs'!$J$98),(SUM($EH$30:$EH$40,$EH$42:$EH$47)-'Development Inputs'!$E$99)*'Development Inputs'!$K$99/('Development Inputs'!$J$98-'Development Inputs'!$I$98+1),0))))</f>
        <v>0</v>
      </c>
      <c r="CB41" s="229">
        <f>IF(AND('Development Inputs'!$N$99="Total Cost",CB$6&gt;='Development Inputs'!$I$98,CB$6&lt;='Development Inputs'!$J$98),(TotalProjectCost*'Development Inputs'!$K$99)/('Development Inputs'!$J$98-'Development Inputs'!$I$98+1),
IF(AND('Development Inputs'!$N$99="Less Land",CB$6&gt;='Development Inputs'!$I$98,CB$6&lt;='Development Inputs'!$J$98),((TotalProjectCost-$EH$30)*'Development Inputs'!$K$99)/('Development Inputs'!$J$98-'Development Inputs'!$I$98+1),
IF(AND('Development Inputs'!$N$99="Less Land &amp; Fees",CB$6&gt;='Development Inputs'!$I$98,CB$6&lt;='Development Inputs'!$J$98),(SUM($EH$31:$EH$40,$EH$42:$EH$47)-'Development Inputs'!$E$99-$C$53)*'Development Inputs'!$K$99/('Development Inputs'!$J$98-'Development Inputs'!$I$98+1),
IF(AND('Development Inputs'!$N$99="Less Fees",CB$6&gt;='Development Inputs'!$I$98,CB$6&lt;='Development Inputs'!$J$98),(SUM($EH$30:$EH$40,$EH$42:$EH$47)-'Development Inputs'!$E$99)*'Development Inputs'!$K$99/('Development Inputs'!$J$98-'Development Inputs'!$I$98+1),0))))</f>
        <v>0</v>
      </c>
      <c r="CC41" s="229">
        <f>IF(AND('Development Inputs'!$N$99="Total Cost",CC$6&gt;='Development Inputs'!$I$98,CC$6&lt;='Development Inputs'!$J$98),(TotalProjectCost*'Development Inputs'!$K$99)/('Development Inputs'!$J$98-'Development Inputs'!$I$98+1),
IF(AND('Development Inputs'!$N$99="Less Land",CC$6&gt;='Development Inputs'!$I$98,CC$6&lt;='Development Inputs'!$J$98),((TotalProjectCost-$EH$30)*'Development Inputs'!$K$99)/('Development Inputs'!$J$98-'Development Inputs'!$I$98+1),
IF(AND('Development Inputs'!$N$99="Less Land &amp; Fees",CC$6&gt;='Development Inputs'!$I$98,CC$6&lt;='Development Inputs'!$J$98),(SUM($EH$31:$EH$40,$EH$42:$EH$47)-'Development Inputs'!$E$99-$C$53)*'Development Inputs'!$K$99/('Development Inputs'!$J$98-'Development Inputs'!$I$98+1),
IF(AND('Development Inputs'!$N$99="Less Fees",CC$6&gt;='Development Inputs'!$I$98,CC$6&lt;='Development Inputs'!$J$98),(SUM($EH$30:$EH$40,$EH$42:$EH$47)-'Development Inputs'!$E$99)*'Development Inputs'!$K$99/('Development Inputs'!$J$98-'Development Inputs'!$I$98+1),0))))</f>
        <v>0</v>
      </c>
      <c r="CD41" s="229">
        <f>IF(AND('Development Inputs'!$N$99="Total Cost",CD$6&gt;='Development Inputs'!$I$98,CD$6&lt;='Development Inputs'!$J$98),(TotalProjectCost*'Development Inputs'!$K$99)/('Development Inputs'!$J$98-'Development Inputs'!$I$98+1),
IF(AND('Development Inputs'!$N$99="Less Land",CD$6&gt;='Development Inputs'!$I$98,CD$6&lt;='Development Inputs'!$J$98),((TotalProjectCost-$EH$30)*'Development Inputs'!$K$99)/('Development Inputs'!$J$98-'Development Inputs'!$I$98+1),
IF(AND('Development Inputs'!$N$99="Less Land &amp; Fees",CD$6&gt;='Development Inputs'!$I$98,CD$6&lt;='Development Inputs'!$J$98),(SUM($EH$31:$EH$40,$EH$42:$EH$47)-'Development Inputs'!$E$99-$C$53)*'Development Inputs'!$K$99/('Development Inputs'!$J$98-'Development Inputs'!$I$98+1),
IF(AND('Development Inputs'!$N$99="Less Fees",CD$6&gt;='Development Inputs'!$I$98,CD$6&lt;='Development Inputs'!$J$98),(SUM($EH$30:$EH$40,$EH$42:$EH$47)-'Development Inputs'!$E$99)*'Development Inputs'!$K$99/('Development Inputs'!$J$98-'Development Inputs'!$I$98+1),0))))</f>
        <v>0</v>
      </c>
      <c r="CE41" s="229">
        <f>IF(AND('Development Inputs'!$N$99="Total Cost",CE$6&gt;='Development Inputs'!$I$98,CE$6&lt;='Development Inputs'!$J$98),(TotalProjectCost*'Development Inputs'!$K$99)/('Development Inputs'!$J$98-'Development Inputs'!$I$98+1),
IF(AND('Development Inputs'!$N$99="Less Land",CE$6&gt;='Development Inputs'!$I$98,CE$6&lt;='Development Inputs'!$J$98),((TotalProjectCost-$EH$30)*'Development Inputs'!$K$99)/('Development Inputs'!$J$98-'Development Inputs'!$I$98+1),
IF(AND('Development Inputs'!$N$99="Less Land &amp; Fees",CE$6&gt;='Development Inputs'!$I$98,CE$6&lt;='Development Inputs'!$J$98),(SUM($EH$31:$EH$40,$EH$42:$EH$47)-'Development Inputs'!$E$99-$C$53)*'Development Inputs'!$K$99/('Development Inputs'!$J$98-'Development Inputs'!$I$98+1),
IF(AND('Development Inputs'!$N$99="Less Fees",CE$6&gt;='Development Inputs'!$I$98,CE$6&lt;='Development Inputs'!$J$98),(SUM($EH$30:$EH$40,$EH$42:$EH$47)-'Development Inputs'!$E$99)*'Development Inputs'!$K$99/('Development Inputs'!$J$98-'Development Inputs'!$I$98+1),0))))</f>
        <v>0</v>
      </c>
      <c r="CF41" s="229">
        <f>IF(AND('Development Inputs'!$N$99="Total Cost",CF$6&gt;='Development Inputs'!$I$98,CF$6&lt;='Development Inputs'!$J$98),(TotalProjectCost*'Development Inputs'!$K$99)/('Development Inputs'!$J$98-'Development Inputs'!$I$98+1),
IF(AND('Development Inputs'!$N$99="Less Land",CF$6&gt;='Development Inputs'!$I$98,CF$6&lt;='Development Inputs'!$J$98),((TotalProjectCost-$EH$30)*'Development Inputs'!$K$99)/('Development Inputs'!$J$98-'Development Inputs'!$I$98+1),
IF(AND('Development Inputs'!$N$99="Less Land &amp; Fees",CF$6&gt;='Development Inputs'!$I$98,CF$6&lt;='Development Inputs'!$J$98),(SUM($EH$31:$EH$40,$EH$42:$EH$47)-'Development Inputs'!$E$99-$C$53)*'Development Inputs'!$K$99/('Development Inputs'!$J$98-'Development Inputs'!$I$98+1),
IF(AND('Development Inputs'!$N$99="Less Fees",CF$6&gt;='Development Inputs'!$I$98,CF$6&lt;='Development Inputs'!$J$98),(SUM($EH$30:$EH$40,$EH$42:$EH$47)-'Development Inputs'!$E$99)*'Development Inputs'!$K$99/('Development Inputs'!$J$98-'Development Inputs'!$I$98+1),0))))</f>
        <v>0</v>
      </c>
      <c r="CG41" s="229">
        <f>IF(AND('Development Inputs'!$N$99="Total Cost",CG$6&gt;='Development Inputs'!$I$98,CG$6&lt;='Development Inputs'!$J$98),(TotalProjectCost*'Development Inputs'!$K$99)/('Development Inputs'!$J$98-'Development Inputs'!$I$98+1),
IF(AND('Development Inputs'!$N$99="Less Land",CG$6&gt;='Development Inputs'!$I$98,CG$6&lt;='Development Inputs'!$J$98),((TotalProjectCost-$EH$30)*'Development Inputs'!$K$99)/('Development Inputs'!$J$98-'Development Inputs'!$I$98+1),
IF(AND('Development Inputs'!$N$99="Less Land &amp; Fees",CG$6&gt;='Development Inputs'!$I$98,CG$6&lt;='Development Inputs'!$J$98),(SUM($EH$31:$EH$40,$EH$42:$EH$47)-'Development Inputs'!$E$99-$C$53)*'Development Inputs'!$K$99/('Development Inputs'!$J$98-'Development Inputs'!$I$98+1),
IF(AND('Development Inputs'!$N$99="Less Fees",CG$6&gt;='Development Inputs'!$I$98,CG$6&lt;='Development Inputs'!$J$98),(SUM($EH$30:$EH$40,$EH$42:$EH$47)-'Development Inputs'!$E$99)*'Development Inputs'!$K$99/('Development Inputs'!$J$98-'Development Inputs'!$I$98+1),0))))</f>
        <v>0</v>
      </c>
      <c r="CH41" s="229">
        <f>IF(AND('Development Inputs'!$N$99="Total Cost",CH$6&gt;='Development Inputs'!$I$98,CH$6&lt;='Development Inputs'!$J$98),(TotalProjectCost*'Development Inputs'!$K$99)/('Development Inputs'!$J$98-'Development Inputs'!$I$98+1),
IF(AND('Development Inputs'!$N$99="Less Land",CH$6&gt;='Development Inputs'!$I$98,CH$6&lt;='Development Inputs'!$J$98),((TotalProjectCost-$EH$30)*'Development Inputs'!$K$99)/('Development Inputs'!$J$98-'Development Inputs'!$I$98+1),
IF(AND('Development Inputs'!$N$99="Less Land &amp; Fees",CH$6&gt;='Development Inputs'!$I$98,CH$6&lt;='Development Inputs'!$J$98),(SUM($EH$31:$EH$40,$EH$42:$EH$47)-'Development Inputs'!$E$99-$C$53)*'Development Inputs'!$K$99/('Development Inputs'!$J$98-'Development Inputs'!$I$98+1),
IF(AND('Development Inputs'!$N$99="Less Fees",CH$6&gt;='Development Inputs'!$I$98,CH$6&lt;='Development Inputs'!$J$98),(SUM($EH$30:$EH$40,$EH$42:$EH$47)-'Development Inputs'!$E$99)*'Development Inputs'!$K$99/('Development Inputs'!$J$98-'Development Inputs'!$I$98+1),0))))</f>
        <v>0</v>
      </c>
      <c r="CI41" s="229">
        <f>IF(AND('Development Inputs'!$N$99="Total Cost",CI$6&gt;='Development Inputs'!$I$98,CI$6&lt;='Development Inputs'!$J$98),(TotalProjectCost*'Development Inputs'!$K$99)/('Development Inputs'!$J$98-'Development Inputs'!$I$98+1),
IF(AND('Development Inputs'!$N$99="Less Land",CI$6&gt;='Development Inputs'!$I$98,CI$6&lt;='Development Inputs'!$J$98),((TotalProjectCost-$EH$30)*'Development Inputs'!$K$99)/('Development Inputs'!$J$98-'Development Inputs'!$I$98+1),
IF(AND('Development Inputs'!$N$99="Less Land &amp; Fees",CI$6&gt;='Development Inputs'!$I$98,CI$6&lt;='Development Inputs'!$J$98),(SUM($EH$31:$EH$40,$EH$42:$EH$47)-'Development Inputs'!$E$99-$C$53)*'Development Inputs'!$K$99/('Development Inputs'!$J$98-'Development Inputs'!$I$98+1),
IF(AND('Development Inputs'!$N$99="Less Fees",CI$6&gt;='Development Inputs'!$I$98,CI$6&lt;='Development Inputs'!$J$98),(SUM($EH$30:$EH$40,$EH$42:$EH$47)-'Development Inputs'!$E$99)*'Development Inputs'!$K$99/('Development Inputs'!$J$98-'Development Inputs'!$I$98+1),0))))</f>
        <v>0</v>
      </c>
      <c r="CJ41" s="229">
        <f>IF(AND('Development Inputs'!$N$99="Total Cost",CJ$6&gt;='Development Inputs'!$I$98,CJ$6&lt;='Development Inputs'!$J$98),(TotalProjectCost*'Development Inputs'!$K$99)/('Development Inputs'!$J$98-'Development Inputs'!$I$98+1),
IF(AND('Development Inputs'!$N$99="Less Land",CJ$6&gt;='Development Inputs'!$I$98,CJ$6&lt;='Development Inputs'!$J$98),((TotalProjectCost-$EH$30)*'Development Inputs'!$K$99)/('Development Inputs'!$J$98-'Development Inputs'!$I$98+1),
IF(AND('Development Inputs'!$N$99="Less Land &amp; Fees",CJ$6&gt;='Development Inputs'!$I$98,CJ$6&lt;='Development Inputs'!$J$98),(SUM($EH$31:$EH$40,$EH$42:$EH$47)-'Development Inputs'!$E$99-$C$53)*'Development Inputs'!$K$99/('Development Inputs'!$J$98-'Development Inputs'!$I$98+1),
IF(AND('Development Inputs'!$N$99="Less Fees",CJ$6&gt;='Development Inputs'!$I$98,CJ$6&lt;='Development Inputs'!$J$98),(SUM($EH$30:$EH$40,$EH$42:$EH$47)-'Development Inputs'!$E$99)*'Development Inputs'!$K$99/('Development Inputs'!$J$98-'Development Inputs'!$I$98+1),0))))</f>
        <v>0</v>
      </c>
      <c r="CK41" s="229">
        <f>IF(AND('Development Inputs'!$N$99="Total Cost",CK$6&gt;='Development Inputs'!$I$98,CK$6&lt;='Development Inputs'!$J$98),(TotalProjectCost*'Development Inputs'!$K$99)/('Development Inputs'!$J$98-'Development Inputs'!$I$98+1),
IF(AND('Development Inputs'!$N$99="Less Land",CK$6&gt;='Development Inputs'!$I$98,CK$6&lt;='Development Inputs'!$J$98),((TotalProjectCost-$EH$30)*'Development Inputs'!$K$99)/('Development Inputs'!$J$98-'Development Inputs'!$I$98+1),
IF(AND('Development Inputs'!$N$99="Less Land &amp; Fees",CK$6&gt;='Development Inputs'!$I$98,CK$6&lt;='Development Inputs'!$J$98),(SUM($EH$31:$EH$40,$EH$42:$EH$47)-'Development Inputs'!$E$99-$C$53)*'Development Inputs'!$K$99/('Development Inputs'!$J$98-'Development Inputs'!$I$98+1),
IF(AND('Development Inputs'!$N$99="Less Fees",CK$6&gt;='Development Inputs'!$I$98,CK$6&lt;='Development Inputs'!$J$98),(SUM($EH$30:$EH$40,$EH$42:$EH$47)-'Development Inputs'!$E$99)*'Development Inputs'!$K$99/('Development Inputs'!$J$98-'Development Inputs'!$I$98+1),0))))</f>
        <v>0</v>
      </c>
      <c r="CL41" s="229">
        <f>IF(AND('Development Inputs'!$N$99="Total Cost",CL$6&gt;='Development Inputs'!$I$98,CL$6&lt;='Development Inputs'!$J$98),(TotalProjectCost*'Development Inputs'!$K$99)/('Development Inputs'!$J$98-'Development Inputs'!$I$98+1),
IF(AND('Development Inputs'!$N$99="Less Land",CL$6&gt;='Development Inputs'!$I$98,CL$6&lt;='Development Inputs'!$J$98),((TotalProjectCost-$EH$30)*'Development Inputs'!$K$99)/('Development Inputs'!$J$98-'Development Inputs'!$I$98+1),
IF(AND('Development Inputs'!$N$99="Less Land &amp; Fees",CL$6&gt;='Development Inputs'!$I$98,CL$6&lt;='Development Inputs'!$J$98),(SUM($EH$31:$EH$40,$EH$42:$EH$47)-'Development Inputs'!$E$99-$C$53)*'Development Inputs'!$K$99/('Development Inputs'!$J$98-'Development Inputs'!$I$98+1),
IF(AND('Development Inputs'!$N$99="Less Fees",CL$6&gt;='Development Inputs'!$I$98,CL$6&lt;='Development Inputs'!$J$98),(SUM($EH$30:$EH$40,$EH$42:$EH$47)-'Development Inputs'!$E$99)*'Development Inputs'!$K$99/('Development Inputs'!$J$98-'Development Inputs'!$I$98+1),0))))</f>
        <v>0</v>
      </c>
      <c r="CM41" s="229">
        <f>IF(AND('Development Inputs'!$N$99="Total Cost",CM$6&gt;='Development Inputs'!$I$98,CM$6&lt;='Development Inputs'!$J$98),(TotalProjectCost*'Development Inputs'!$K$99)/('Development Inputs'!$J$98-'Development Inputs'!$I$98+1),
IF(AND('Development Inputs'!$N$99="Less Land",CM$6&gt;='Development Inputs'!$I$98,CM$6&lt;='Development Inputs'!$J$98),((TotalProjectCost-$EH$30)*'Development Inputs'!$K$99)/('Development Inputs'!$J$98-'Development Inputs'!$I$98+1),
IF(AND('Development Inputs'!$N$99="Less Land &amp; Fees",CM$6&gt;='Development Inputs'!$I$98,CM$6&lt;='Development Inputs'!$J$98),(SUM($EH$31:$EH$40,$EH$42:$EH$47)-'Development Inputs'!$E$99-$C$53)*'Development Inputs'!$K$99/('Development Inputs'!$J$98-'Development Inputs'!$I$98+1),
IF(AND('Development Inputs'!$N$99="Less Fees",CM$6&gt;='Development Inputs'!$I$98,CM$6&lt;='Development Inputs'!$J$98),(SUM($EH$30:$EH$40,$EH$42:$EH$47)-'Development Inputs'!$E$99)*'Development Inputs'!$K$99/('Development Inputs'!$J$98-'Development Inputs'!$I$98+1),0))))</f>
        <v>0</v>
      </c>
      <c r="CN41" s="229">
        <f>IF(AND('Development Inputs'!$N$99="Total Cost",CN$6&gt;='Development Inputs'!$I$98,CN$6&lt;='Development Inputs'!$J$98),(TotalProjectCost*'Development Inputs'!$K$99)/('Development Inputs'!$J$98-'Development Inputs'!$I$98+1),
IF(AND('Development Inputs'!$N$99="Less Land",CN$6&gt;='Development Inputs'!$I$98,CN$6&lt;='Development Inputs'!$J$98),((TotalProjectCost-$EH$30)*'Development Inputs'!$K$99)/('Development Inputs'!$J$98-'Development Inputs'!$I$98+1),
IF(AND('Development Inputs'!$N$99="Less Land &amp; Fees",CN$6&gt;='Development Inputs'!$I$98,CN$6&lt;='Development Inputs'!$J$98),(SUM($EH$31:$EH$40,$EH$42:$EH$47)-'Development Inputs'!$E$99-$C$53)*'Development Inputs'!$K$99/('Development Inputs'!$J$98-'Development Inputs'!$I$98+1),
IF(AND('Development Inputs'!$N$99="Less Fees",CN$6&gt;='Development Inputs'!$I$98,CN$6&lt;='Development Inputs'!$J$98),(SUM($EH$30:$EH$40,$EH$42:$EH$47)-'Development Inputs'!$E$99)*'Development Inputs'!$K$99/('Development Inputs'!$J$98-'Development Inputs'!$I$98+1),0))))</f>
        <v>0</v>
      </c>
      <c r="CO41" s="229">
        <f>IF(AND('Development Inputs'!$N$99="Total Cost",CO$6&gt;='Development Inputs'!$I$98,CO$6&lt;='Development Inputs'!$J$98),(TotalProjectCost*'Development Inputs'!$K$99)/('Development Inputs'!$J$98-'Development Inputs'!$I$98+1),
IF(AND('Development Inputs'!$N$99="Less Land",CO$6&gt;='Development Inputs'!$I$98,CO$6&lt;='Development Inputs'!$J$98),((TotalProjectCost-$EH$30)*'Development Inputs'!$K$99)/('Development Inputs'!$J$98-'Development Inputs'!$I$98+1),
IF(AND('Development Inputs'!$N$99="Less Land &amp; Fees",CO$6&gt;='Development Inputs'!$I$98,CO$6&lt;='Development Inputs'!$J$98),(SUM($EH$31:$EH$40,$EH$42:$EH$47)-'Development Inputs'!$E$99-$C$53)*'Development Inputs'!$K$99/('Development Inputs'!$J$98-'Development Inputs'!$I$98+1),
IF(AND('Development Inputs'!$N$99="Less Fees",CO$6&gt;='Development Inputs'!$I$98,CO$6&lt;='Development Inputs'!$J$98),(SUM($EH$30:$EH$40,$EH$42:$EH$47)-'Development Inputs'!$E$99)*'Development Inputs'!$K$99/('Development Inputs'!$J$98-'Development Inputs'!$I$98+1),0))))</f>
        <v>0</v>
      </c>
      <c r="CP41" s="229">
        <f>IF(AND('Development Inputs'!$N$99="Total Cost",CP$6&gt;='Development Inputs'!$I$98,CP$6&lt;='Development Inputs'!$J$98),(TotalProjectCost*'Development Inputs'!$K$99)/('Development Inputs'!$J$98-'Development Inputs'!$I$98+1),
IF(AND('Development Inputs'!$N$99="Less Land",CP$6&gt;='Development Inputs'!$I$98,CP$6&lt;='Development Inputs'!$J$98),((TotalProjectCost-$EH$30)*'Development Inputs'!$K$99)/('Development Inputs'!$J$98-'Development Inputs'!$I$98+1),
IF(AND('Development Inputs'!$N$99="Less Land &amp; Fees",CP$6&gt;='Development Inputs'!$I$98,CP$6&lt;='Development Inputs'!$J$98),(SUM($EH$31:$EH$40,$EH$42:$EH$47)-'Development Inputs'!$E$99-$C$53)*'Development Inputs'!$K$99/('Development Inputs'!$J$98-'Development Inputs'!$I$98+1),
IF(AND('Development Inputs'!$N$99="Less Fees",CP$6&gt;='Development Inputs'!$I$98,CP$6&lt;='Development Inputs'!$J$98),(SUM($EH$30:$EH$40,$EH$42:$EH$47)-'Development Inputs'!$E$99)*'Development Inputs'!$K$99/('Development Inputs'!$J$98-'Development Inputs'!$I$98+1),0))))</f>
        <v>0</v>
      </c>
      <c r="CQ41" s="229">
        <f>IF(AND('Development Inputs'!$N$99="Total Cost",CQ$6&gt;='Development Inputs'!$I$98,CQ$6&lt;='Development Inputs'!$J$98),(TotalProjectCost*'Development Inputs'!$K$99)/('Development Inputs'!$J$98-'Development Inputs'!$I$98+1),
IF(AND('Development Inputs'!$N$99="Less Land",CQ$6&gt;='Development Inputs'!$I$98,CQ$6&lt;='Development Inputs'!$J$98),((TotalProjectCost-$EH$30)*'Development Inputs'!$K$99)/('Development Inputs'!$J$98-'Development Inputs'!$I$98+1),
IF(AND('Development Inputs'!$N$99="Less Land &amp; Fees",CQ$6&gt;='Development Inputs'!$I$98,CQ$6&lt;='Development Inputs'!$J$98),(SUM($EH$31:$EH$40,$EH$42:$EH$47)-'Development Inputs'!$E$99-$C$53)*'Development Inputs'!$K$99/('Development Inputs'!$J$98-'Development Inputs'!$I$98+1),
IF(AND('Development Inputs'!$N$99="Less Fees",CQ$6&gt;='Development Inputs'!$I$98,CQ$6&lt;='Development Inputs'!$J$98),(SUM($EH$30:$EH$40,$EH$42:$EH$47)-'Development Inputs'!$E$99)*'Development Inputs'!$K$99/('Development Inputs'!$J$98-'Development Inputs'!$I$98+1),0))))</f>
        <v>0</v>
      </c>
      <c r="CR41" s="229">
        <f>IF(AND('Development Inputs'!$N$99="Total Cost",CR$6&gt;='Development Inputs'!$I$98,CR$6&lt;='Development Inputs'!$J$98),(TotalProjectCost*'Development Inputs'!$K$99)/('Development Inputs'!$J$98-'Development Inputs'!$I$98+1),
IF(AND('Development Inputs'!$N$99="Less Land",CR$6&gt;='Development Inputs'!$I$98,CR$6&lt;='Development Inputs'!$J$98),((TotalProjectCost-$EH$30)*'Development Inputs'!$K$99)/('Development Inputs'!$J$98-'Development Inputs'!$I$98+1),
IF(AND('Development Inputs'!$N$99="Less Land &amp; Fees",CR$6&gt;='Development Inputs'!$I$98,CR$6&lt;='Development Inputs'!$J$98),(SUM($EH$31:$EH$40,$EH$42:$EH$47)-'Development Inputs'!$E$99-$C$53)*'Development Inputs'!$K$99/('Development Inputs'!$J$98-'Development Inputs'!$I$98+1),
IF(AND('Development Inputs'!$N$99="Less Fees",CR$6&gt;='Development Inputs'!$I$98,CR$6&lt;='Development Inputs'!$J$98),(SUM($EH$30:$EH$40,$EH$42:$EH$47)-'Development Inputs'!$E$99)*'Development Inputs'!$K$99/('Development Inputs'!$J$98-'Development Inputs'!$I$98+1),0))))</f>
        <v>0</v>
      </c>
      <c r="CS41" s="229">
        <f>IF(AND('Development Inputs'!$N$99="Total Cost",CS$6&gt;='Development Inputs'!$I$98,CS$6&lt;='Development Inputs'!$J$98),(TotalProjectCost*'Development Inputs'!$K$99)/('Development Inputs'!$J$98-'Development Inputs'!$I$98+1),
IF(AND('Development Inputs'!$N$99="Less Land",CS$6&gt;='Development Inputs'!$I$98,CS$6&lt;='Development Inputs'!$J$98),((TotalProjectCost-$EH$30)*'Development Inputs'!$K$99)/('Development Inputs'!$J$98-'Development Inputs'!$I$98+1),
IF(AND('Development Inputs'!$N$99="Less Land &amp; Fees",CS$6&gt;='Development Inputs'!$I$98,CS$6&lt;='Development Inputs'!$J$98),(SUM($EH$31:$EH$40,$EH$42:$EH$47)-'Development Inputs'!$E$99-$C$53)*'Development Inputs'!$K$99/('Development Inputs'!$J$98-'Development Inputs'!$I$98+1),
IF(AND('Development Inputs'!$N$99="Less Fees",CS$6&gt;='Development Inputs'!$I$98,CS$6&lt;='Development Inputs'!$J$98),(SUM($EH$30:$EH$40,$EH$42:$EH$47)-'Development Inputs'!$E$99)*'Development Inputs'!$K$99/('Development Inputs'!$J$98-'Development Inputs'!$I$98+1),0))))</f>
        <v>0</v>
      </c>
      <c r="CT41" s="229">
        <f>IF(AND('Development Inputs'!$N$99="Total Cost",CT$6&gt;='Development Inputs'!$I$98,CT$6&lt;='Development Inputs'!$J$98),(TotalProjectCost*'Development Inputs'!$K$99)/('Development Inputs'!$J$98-'Development Inputs'!$I$98+1),
IF(AND('Development Inputs'!$N$99="Less Land",CT$6&gt;='Development Inputs'!$I$98,CT$6&lt;='Development Inputs'!$J$98),((TotalProjectCost-$EH$30)*'Development Inputs'!$K$99)/('Development Inputs'!$J$98-'Development Inputs'!$I$98+1),
IF(AND('Development Inputs'!$N$99="Less Land &amp; Fees",CT$6&gt;='Development Inputs'!$I$98,CT$6&lt;='Development Inputs'!$J$98),(SUM($EH$31:$EH$40,$EH$42:$EH$47)-'Development Inputs'!$E$99-$C$53)*'Development Inputs'!$K$99/('Development Inputs'!$J$98-'Development Inputs'!$I$98+1),
IF(AND('Development Inputs'!$N$99="Less Fees",CT$6&gt;='Development Inputs'!$I$98,CT$6&lt;='Development Inputs'!$J$98),(SUM($EH$30:$EH$40,$EH$42:$EH$47)-'Development Inputs'!$E$99)*'Development Inputs'!$K$99/('Development Inputs'!$J$98-'Development Inputs'!$I$98+1),0))))</f>
        <v>0</v>
      </c>
      <c r="CU41" s="229">
        <f>IF(AND('Development Inputs'!$N$99="Total Cost",CU$6&gt;='Development Inputs'!$I$98,CU$6&lt;='Development Inputs'!$J$98),(TotalProjectCost*'Development Inputs'!$K$99)/('Development Inputs'!$J$98-'Development Inputs'!$I$98+1),
IF(AND('Development Inputs'!$N$99="Less Land",CU$6&gt;='Development Inputs'!$I$98,CU$6&lt;='Development Inputs'!$J$98),((TotalProjectCost-$EH$30)*'Development Inputs'!$K$99)/('Development Inputs'!$J$98-'Development Inputs'!$I$98+1),
IF(AND('Development Inputs'!$N$99="Less Land &amp; Fees",CU$6&gt;='Development Inputs'!$I$98,CU$6&lt;='Development Inputs'!$J$98),(SUM($EH$31:$EH$40,$EH$42:$EH$47)-'Development Inputs'!$E$99-$C$53)*'Development Inputs'!$K$99/('Development Inputs'!$J$98-'Development Inputs'!$I$98+1),
IF(AND('Development Inputs'!$N$99="Less Fees",CU$6&gt;='Development Inputs'!$I$98,CU$6&lt;='Development Inputs'!$J$98),(SUM($EH$30:$EH$40,$EH$42:$EH$47)-'Development Inputs'!$E$99)*'Development Inputs'!$K$99/('Development Inputs'!$J$98-'Development Inputs'!$I$98+1),0))))</f>
        <v>0</v>
      </c>
      <c r="CV41" s="229">
        <f>IF(AND('Development Inputs'!$N$99="Total Cost",CV$6&gt;='Development Inputs'!$I$98,CV$6&lt;='Development Inputs'!$J$98),(TotalProjectCost*'Development Inputs'!$K$99)/('Development Inputs'!$J$98-'Development Inputs'!$I$98+1),
IF(AND('Development Inputs'!$N$99="Less Land",CV$6&gt;='Development Inputs'!$I$98,CV$6&lt;='Development Inputs'!$J$98),((TotalProjectCost-$EH$30)*'Development Inputs'!$K$99)/('Development Inputs'!$J$98-'Development Inputs'!$I$98+1),
IF(AND('Development Inputs'!$N$99="Less Land &amp; Fees",CV$6&gt;='Development Inputs'!$I$98,CV$6&lt;='Development Inputs'!$J$98),(SUM($EH$31:$EH$40,$EH$42:$EH$47)-'Development Inputs'!$E$99-$C$53)*'Development Inputs'!$K$99/('Development Inputs'!$J$98-'Development Inputs'!$I$98+1),
IF(AND('Development Inputs'!$N$99="Less Fees",CV$6&gt;='Development Inputs'!$I$98,CV$6&lt;='Development Inputs'!$J$98),(SUM($EH$30:$EH$40,$EH$42:$EH$47)-'Development Inputs'!$E$99)*'Development Inputs'!$K$99/('Development Inputs'!$J$98-'Development Inputs'!$I$98+1),0))))</f>
        <v>0</v>
      </c>
      <c r="CW41" s="229">
        <f>IF(AND('Development Inputs'!$N$99="Total Cost",CW$6&gt;='Development Inputs'!$I$98,CW$6&lt;='Development Inputs'!$J$98),(TotalProjectCost*'Development Inputs'!$K$99)/('Development Inputs'!$J$98-'Development Inputs'!$I$98+1),
IF(AND('Development Inputs'!$N$99="Less Land",CW$6&gt;='Development Inputs'!$I$98,CW$6&lt;='Development Inputs'!$J$98),((TotalProjectCost-$EH$30)*'Development Inputs'!$K$99)/('Development Inputs'!$J$98-'Development Inputs'!$I$98+1),
IF(AND('Development Inputs'!$N$99="Less Land &amp; Fees",CW$6&gt;='Development Inputs'!$I$98,CW$6&lt;='Development Inputs'!$J$98),(SUM($EH$31:$EH$40,$EH$42:$EH$47)-'Development Inputs'!$E$99-$C$53)*'Development Inputs'!$K$99/('Development Inputs'!$J$98-'Development Inputs'!$I$98+1),
IF(AND('Development Inputs'!$N$99="Less Fees",CW$6&gt;='Development Inputs'!$I$98,CW$6&lt;='Development Inputs'!$J$98),(SUM($EH$30:$EH$40,$EH$42:$EH$47)-'Development Inputs'!$E$99)*'Development Inputs'!$K$99/('Development Inputs'!$J$98-'Development Inputs'!$I$98+1),0))))</f>
        <v>0</v>
      </c>
      <c r="CX41" s="229">
        <f>IF(AND('Development Inputs'!$N$99="Total Cost",CX$6&gt;='Development Inputs'!$I$98,CX$6&lt;='Development Inputs'!$J$98),(TotalProjectCost*'Development Inputs'!$K$99)/('Development Inputs'!$J$98-'Development Inputs'!$I$98+1),
IF(AND('Development Inputs'!$N$99="Less Land",CX$6&gt;='Development Inputs'!$I$98,CX$6&lt;='Development Inputs'!$J$98),((TotalProjectCost-$EH$30)*'Development Inputs'!$K$99)/('Development Inputs'!$J$98-'Development Inputs'!$I$98+1),
IF(AND('Development Inputs'!$N$99="Less Land &amp; Fees",CX$6&gt;='Development Inputs'!$I$98,CX$6&lt;='Development Inputs'!$J$98),(SUM($EH$31:$EH$40,$EH$42:$EH$47)-'Development Inputs'!$E$99-$C$53)*'Development Inputs'!$K$99/('Development Inputs'!$J$98-'Development Inputs'!$I$98+1),
IF(AND('Development Inputs'!$N$99="Less Fees",CX$6&gt;='Development Inputs'!$I$98,CX$6&lt;='Development Inputs'!$J$98),(SUM($EH$30:$EH$40,$EH$42:$EH$47)-'Development Inputs'!$E$99)*'Development Inputs'!$K$99/('Development Inputs'!$J$98-'Development Inputs'!$I$98+1),0))))</f>
        <v>0</v>
      </c>
      <c r="CY41" s="229">
        <f>IF(AND('Development Inputs'!$N$99="Total Cost",CY$6&gt;='Development Inputs'!$I$98,CY$6&lt;='Development Inputs'!$J$98),(TotalProjectCost*'Development Inputs'!$K$99)/('Development Inputs'!$J$98-'Development Inputs'!$I$98+1),
IF(AND('Development Inputs'!$N$99="Less Land",CY$6&gt;='Development Inputs'!$I$98,CY$6&lt;='Development Inputs'!$J$98),((TotalProjectCost-$EH$30)*'Development Inputs'!$K$99)/('Development Inputs'!$J$98-'Development Inputs'!$I$98+1),
IF(AND('Development Inputs'!$N$99="Less Land &amp; Fees",CY$6&gt;='Development Inputs'!$I$98,CY$6&lt;='Development Inputs'!$J$98),(SUM($EH$31:$EH$40,$EH$42:$EH$47)-'Development Inputs'!$E$99-$C$53)*'Development Inputs'!$K$99/('Development Inputs'!$J$98-'Development Inputs'!$I$98+1),
IF(AND('Development Inputs'!$N$99="Less Fees",CY$6&gt;='Development Inputs'!$I$98,CY$6&lt;='Development Inputs'!$J$98),(SUM($EH$30:$EH$40,$EH$42:$EH$47)-'Development Inputs'!$E$99)*'Development Inputs'!$K$99/('Development Inputs'!$J$98-'Development Inputs'!$I$98+1),0))))</f>
        <v>0</v>
      </c>
      <c r="CZ41" s="229">
        <f>IF(AND('Development Inputs'!$N$99="Total Cost",CZ$6&gt;='Development Inputs'!$I$98,CZ$6&lt;='Development Inputs'!$J$98),(TotalProjectCost*'Development Inputs'!$K$99)/('Development Inputs'!$J$98-'Development Inputs'!$I$98+1),
IF(AND('Development Inputs'!$N$99="Less Land",CZ$6&gt;='Development Inputs'!$I$98,CZ$6&lt;='Development Inputs'!$J$98),((TotalProjectCost-$EH$30)*'Development Inputs'!$K$99)/('Development Inputs'!$J$98-'Development Inputs'!$I$98+1),
IF(AND('Development Inputs'!$N$99="Less Land &amp; Fees",CZ$6&gt;='Development Inputs'!$I$98,CZ$6&lt;='Development Inputs'!$J$98),(SUM($EH$31:$EH$40,$EH$42:$EH$47)-'Development Inputs'!$E$99-$C$53)*'Development Inputs'!$K$99/('Development Inputs'!$J$98-'Development Inputs'!$I$98+1),
IF(AND('Development Inputs'!$N$99="Less Fees",CZ$6&gt;='Development Inputs'!$I$98,CZ$6&lt;='Development Inputs'!$J$98),(SUM($EH$30:$EH$40,$EH$42:$EH$47)-'Development Inputs'!$E$99)*'Development Inputs'!$K$99/('Development Inputs'!$J$98-'Development Inputs'!$I$98+1),0))))</f>
        <v>0</v>
      </c>
      <c r="DA41" s="229">
        <f>IF(AND('Development Inputs'!$N$99="Total Cost",DA$6&gt;='Development Inputs'!$I$98,DA$6&lt;='Development Inputs'!$J$98),(TotalProjectCost*'Development Inputs'!$K$99)/('Development Inputs'!$J$98-'Development Inputs'!$I$98+1),
IF(AND('Development Inputs'!$N$99="Less Land",DA$6&gt;='Development Inputs'!$I$98,DA$6&lt;='Development Inputs'!$J$98),((TotalProjectCost-$EH$30)*'Development Inputs'!$K$99)/('Development Inputs'!$J$98-'Development Inputs'!$I$98+1),
IF(AND('Development Inputs'!$N$99="Less Land &amp; Fees",DA$6&gt;='Development Inputs'!$I$98,DA$6&lt;='Development Inputs'!$J$98),(SUM($EH$31:$EH$40,$EH$42:$EH$47)-'Development Inputs'!$E$99-$C$53)*'Development Inputs'!$K$99/('Development Inputs'!$J$98-'Development Inputs'!$I$98+1),
IF(AND('Development Inputs'!$N$99="Less Fees",DA$6&gt;='Development Inputs'!$I$98,DA$6&lt;='Development Inputs'!$J$98),(SUM($EH$30:$EH$40,$EH$42:$EH$47)-'Development Inputs'!$E$99)*'Development Inputs'!$K$99/('Development Inputs'!$J$98-'Development Inputs'!$I$98+1),0))))</f>
        <v>0</v>
      </c>
      <c r="DB41" s="229">
        <f>IF(AND('Development Inputs'!$N$99="Total Cost",DB$6&gt;='Development Inputs'!$I$98,DB$6&lt;='Development Inputs'!$J$98),(TotalProjectCost*'Development Inputs'!$K$99)/('Development Inputs'!$J$98-'Development Inputs'!$I$98+1),
IF(AND('Development Inputs'!$N$99="Less Land",DB$6&gt;='Development Inputs'!$I$98,DB$6&lt;='Development Inputs'!$J$98),((TotalProjectCost-$EH$30)*'Development Inputs'!$K$99)/('Development Inputs'!$J$98-'Development Inputs'!$I$98+1),
IF(AND('Development Inputs'!$N$99="Less Land &amp; Fees",DB$6&gt;='Development Inputs'!$I$98,DB$6&lt;='Development Inputs'!$J$98),(SUM($EH$31:$EH$40,$EH$42:$EH$47)-'Development Inputs'!$E$99-$C$53)*'Development Inputs'!$K$99/('Development Inputs'!$J$98-'Development Inputs'!$I$98+1),
IF(AND('Development Inputs'!$N$99="Less Fees",DB$6&gt;='Development Inputs'!$I$98,DB$6&lt;='Development Inputs'!$J$98),(SUM($EH$30:$EH$40,$EH$42:$EH$47)-'Development Inputs'!$E$99)*'Development Inputs'!$K$99/('Development Inputs'!$J$98-'Development Inputs'!$I$98+1),0))))</f>
        <v>0</v>
      </c>
      <c r="DC41" s="229">
        <f>IF(AND('Development Inputs'!$N$99="Total Cost",DC$6&gt;='Development Inputs'!$I$98,DC$6&lt;='Development Inputs'!$J$98),(TotalProjectCost*'Development Inputs'!$K$99)/('Development Inputs'!$J$98-'Development Inputs'!$I$98+1),
IF(AND('Development Inputs'!$N$99="Less Land",DC$6&gt;='Development Inputs'!$I$98,DC$6&lt;='Development Inputs'!$J$98),((TotalProjectCost-$EH$30)*'Development Inputs'!$K$99)/('Development Inputs'!$J$98-'Development Inputs'!$I$98+1),
IF(AND('Development Inputs'!$N$99="Less Land &amp; Fees",DC$6&gt;='Development Inputs'!$I$98,DC$6&lt;='Development Inputs'!$J$98),(SUM($EH$31:$EH$40,$EH$42:$EH$47)-'Development Inputs'!$E$99-$C$53)*'Development Inputs'!$K$99/('Development Inputs'!$J$98-'Development Inputs'!$I$98+1),
IF(AND('Development Inputs'!$N$99="Less Fees",DC$6&gt;='Development Inputs'!$I$98,DC$6&lt;='Development Inputs'!$J$98),(SUM($EH$30:$EH$40,$EH$42:$EH$47)-'Development Inputs'!$E$99)*'Development Inputs'!$K$99/('Development Inputs'!$J$98-'Development Inputs'!$I$98+1),0))))</f>
        <v>0</v>
      </c>
      <c r="DD41" s="229">
        <f>IF(AND('Development Inputs'!$N$99="Total Cost",DD$6&gt;='Development Inputs'!$I$98,DD$6&lt;='Development Inputs'!$J$98),(TotalProjectCost*'Development Inputs'!$K$99)/('Development Inputs'!$J$98-'Development Inputs'!$I$98+1),
IF(AND('Development Inputs'!$N$99="Less Land",DD$6&gt;='Development Inputs'!$I$98,DD$6&lt;='Development Inputs'!$J$98),((TotalProjectCost-$EH$30)*'Development Inputs'!$K$99)/('Development Inputs'!$J$98-'Development Inputs'!$I$98+1),
IF(AND('Development Inputs'!$N$99="Less Land &amp; Fees",DD$6&gt;='Development Inputs'!$I$98,DD$6&lt;='Development Inputs'!$J$98),(SUM($EH$31:$EH$40,$EH$42:$EH$47)-'Development Inputs'!$E$99-$C$53)*'Development Inputs'!$K$99/('Development Inputs'!$J$98-'Development Inputs'!$I$98+1),
IF(AND('Development Inputs'!$N$99="Less Fees",DD$6&gt;='Development Inputs'!$I$98,DD$6&lt;='Development Inputs'!$J$98),(SUM($EH$30:$EH$40,$EH$42:$EH$47)-'Development Inputs'!$E$99)*'Development Inputs'!$K$99/('Development Inputs'!$J$98-'Development Inputs'!$I$98+1),0))))</f>
        <v>0</v>
      </c>
      <c r="DE41" s="229">
        <f>IF(AND('Development Inputs'!$N$99="Total Cost",DE$6&gt;='Development Inputs'!$I$98,DE$6&lt;='Development Inputs'!$J$98),(TotalProjectCost*'Development Inputs'!$K$99)/('Development Inputs'!$J$98-'Development Inputs'!$I$98+1),
IF(AND('Development Inputs'!$N$99="Less Land",DE$6&gt;='Development Inputs'!$I$98,DE$6&lt;='Development Inputs'!$J$98),((TotalProjectCost-$EH$30)*'Development Inputs'!$K$99)/('Development Inputs'!$J$98-'Development Inputs'!$I$98+1),
IF(AND('Development Inputs'!$N$99="Less Land &amp; Fees",DE$6&gt;='Development Inputs'!$I$98,DE$6&lt;='Development Inputs'!$J$98),(SUM($EH$31:$EH$40,$EH$42:$EH$47)-'Development Inputs'!$E$99-$C$53)*'Development Inputs'!$K$99/('Development Inputs'!$J$98-'Development Inputs'!$I$98+1),
IF(AND('Development Inputs'!$N$99="Less Fees",DE$6&gt;='Development Inputs'!$I$98,DE$6&lt;='Development Inputs'!$J$98),(SUM($EH$30:$EH$40,$EH$42:$EH$47)-'Development Inputs'!$E$99)*'Development Inputs'!$K$99/('Development Inputs'!$J$98-'Development Inputs'!$I$98+1),0))))</f>
        <v>0</v>
      </c>
      <c r="DF41" s="229">
        <f>IF(AND('Development Inputs'!$N$99="Total Cost",DF$6&gt;='Development Inputs'!$I$98,DF$6&lt;='Development Inputs'!$J$98),(TotalProjectCost*'Development Inputs'!$K$99)/('Development Inputs'!$J$98-'Development Inputs'!$I$98+1),
IF(AND('Development Inputs'!$N$99="Less Land",DF$6&gt;='Development Inputs'!$I$98,DF$6&lt;='Development Inputs'!$J$98),((TotalProjectCost-$EH$30)*'Development Inputs'!$K$99)/('Development Inputs'!$J$98-'Development Inputs'!$I$98+1),
IF(AND('Development Inputs'!$N$99="Less Land &amp; Fees",DF$6&gt;='Development Inputs'!$I$98,DF$6&lt;='Development Inputs'!$J$98),(SUM($EH$31:$EH$40,$EH$42:$EH$47)-'Development Inputs'!$E$99-$C$53)*'Development Inputs'!$K$99/('Development Inputs'!$J$98-'Development Inputs'!$I$98+1),
IF(AND('Development Inputs'!$N$99="Less Fees",DF$6&gt;='Development Inputs'!$I$98,DF$6&lt;='Development Inputs'!$J$98),(SUM($EH$30:$EH$40,$EH$42:$EH$47)-'Development Inputs'!$E$99)*'Development Inputs'!$K$99/('Development Inputs'!$J$98-'Development Inputs'!$I$98+1),0))))</f>
        <v>0</v>
      </c>
      <c r="DG41" s="229">
        <f>IF(AND('Development Inputs'!$N$99="Total Cost",DG$6&gt;='Development Inputs'!$I$98,DG$6&lt;='Development Inputs'!$J$98),(TotalProjectCost*'Development Inputs'!$K$99)/('Development Inputs'!$J$98-'Development Inputs'!$I$98+1),
IF(AND('Development Inputs'!$N$99="Less Land",DG$6&gt;='Development Inputs'!$I$98,DG$6&lt;='Development Inputs'!$J$98),((TotalProjectCost-$EH$30)*'Development Inputs'!$K$99)/('Development Inputs'!$J$98-'Development Inputs'!$I$98+1),
IF(AND('Development Inputs'!$N$99="Less Land &amp; Fees",DG$6&gt;='Development Inputs'!$I$98,DG$6&lt;='Development Inputs'!$J$98),(SUM($EH$31:$EH$40,$EH$42:$EH$47)-'Development Inputs'!$E$99-$C$53)*'Development Inputs'!$K$99/('Development Inputs'!$J$98-'Development Inputs'!$I$98+1),
IF(AND('Development Inputs'!$N$99="Less Fees",DG$6&gt;='Development Inputs'!$I$98,DG$6&lt;='Development Inputs'!$J$98),(SUM($EH$30:$EH$40,$EH$42:$EH$47)-'Development Inputs'!$E$99)*'Development Inputs'!$K$99/('Development Inputs'!$J$98-'Development Inputs'!$I$98+1),0))))</f>
        <v>0</v>
      </c>
      <c r="DH41" s="229">
        <f>IF(AND('Development Inputs'!$N$99="Total Cost",DH$6&gt;='Development Inputs'!$I$98,DH$6&lt;='Development Inputs'!$J$98),(TotalProjectCost*'Development Inputs'!$K$99)/('Development Inputs'!$J$98-'Development Inputs'!$I$98+1),
IF(AND('Development Inputs'!$N$99="Less Land",DH$6&gt;='Development Inputs'!$I$98,DH$6&lt;='Development Inputs'!$J$98),((TotalProjectCost-$EH$30)*'Development Inputs'!$K$99)/('Development Inputs'!$J$98-'Development Inputs'!$I$98+1),
IF(AND('Development Inputs'!$N$99="Less Land &amp; Fees",DH$6&gt;='Development Inputs'!$I$98,DH$6&lt;='Development Inputs'!$J$98),(SUM($EH$31:$EH$40,$EH$42:$EH$47)-'Development Inputs'!$E$99-$C$53)*'Development Inputs'!$K$99/('Development Inputs'!$J$98-'Development Inputs'!$I$98+1),
IF(AND('Development Inputs'!$N$99="Less Fees",DH$6&gt;='Development Inputs'!$I$98,DH$6&lt;='Development Inputs'!$J$98),(SUM($EH$30:$EH$40,$EH$42:$EH$47)-'Development Inputs'!$E$99)*'Development Inputs'!$K$99/('Development Inputs'!$J$98-'Development Inputs'!$I$98+1),0))))</f>
        <v>0</v>
      </c>
      <c r="DI41" s="229">
        <f>IF(AND('Development Inputs'!$N$99="Total Cost",DI$6&gt;='Development Inputs'!$I$98,DI$6&lt;='Development Inputs'!$J$98),(TotalProjectCost*'Development Inputs'!$K$99)/('Development Inputs'!$J$98-'Development Inputs'!$I$98+1),
IF(AND('Development Inputs'!$N$99="Less Land",DI$6&gt;='Development Inputs'!$I$98,DI$6&lt;='Development Inputs'!$J$98),((TotalProjectCost-$EH$30)*'Development Inputs'!$K$99)/('Development Inputs'!$J$98-'Development Inputs'!$I$98+1),
IF(AND('Development Inputs'!$N$99="Less Land &amp; Fees",DI$6&gt;='Development Inputs'!$I$98,DI$6&lt;='Development Inputs'!$J$98),(SUM($EH$31:$EH$40,$EH$42:$EH$47)-'Development Inputs'!$E$99-$C$53)*'Development Inputs'!$K$99/('Development Inputs'!$J$98-'Development Inputs'!$I$98+1),
IF(AND('Development Inputs'!$N$99="Less Fees",DI$6&gt;='Development Inputs'!$I$98,DI$6&lt;='Development Inputs'!$J$98),(SUM($EH$30:$EH$40,$EH$42:$EH$47)-'Development Inputs'!$E$99)*'Development Inputs'!$K$99/('Development Inputs'!$J$98-'Development Inputs'!$I$98+1),0))))</f>
        <v>0</v>
      </c>
      <c r="DJ41" s="229">
        <f>IF(AND('Development Inputs'!$N$99="Total Cost",DJ$6&gt;='Development Inputs'!$I$98,DJ$6&lt;='Development Inputs'!$J$98),(TotalProjectCost*'Development Inputs'!$K$99)/('Development Inputs'!$J$98-'Development Inputs'!$I$98+1),
IF(AND('Development Inputs'!$N$99="Less Land",DJ$6&gt;='Development Inputs'!$I$98,DJ$6&lt;='Development Inputs'!$J$98),((TotalProjectCost-$EH$30)*'Development Inputs'!$K$99)/('Development Inputs'!$J$98-'Development Inputs'!$I$98+1),
IF(AND('Development Inputs'!$N$99="Less Land &amp; Fees",DJ$6&gt;='Development Inputs'!$I$98,DJ$6&lt;='Development Inputs'!$J$98),(SUM($EH$31:$EH$40,$EH$42:$EH$47)-'Development Inputs'!$E$99-$C$53)*'Development Inputs'!$K$99/('Development Inputs'!$J$98-'Development Inputs'!$I$98+1),
IF(AND('Development Inputs'!$N$99="Less Fees",DJ$6&gt;='Development Inputs'!$I$98,DJ$6&lt;='Development Inputs'!$J$98),(SUM($EH$30:$EH$40,$EH$42:$EH$47)-'Development Inputs'!$E$99)*'Development Inputs'!$K$99/('Development Inputs'!$J$98-'Development Inputs'!$I$98+1),0))))</f>
        <v>0</v>
      </c>
      <c r="DK41" s="229">
        <f>IF(AND('Development Inputs'!$N$99="Total Cost",DK$6&gt;='Development Inputs'!$I$98,DK$6&lt;='Development Inputs'!$J$98),(TotalProjectCost*'Development Inputs'!$K$99)/('Development Inputs'!$J$98-'Development Inputs'!$I$98+1),
IF(AND('Development Inputs'!$N$99="Less Land",DK$6&gt;='Development Inputs'!$I$98,DK$6&lt;='Development Inputs'!$J$98),((TotalProjectCost-$EH$30)*'Development Inputs'!$K$99)/('Development Inputs'!$J$98-'Development Inputs'!$I$98+1),
IF(AND('Development Inputs'!$N$99="Less Land &amp; Fees",DK$6&gt;='Development Inputs'!$I$98,DK$6&lt;='Development Inputs'!$J$98),(SUM($EH$31:$EH$40,$EH$42:$EH$47)-'Development Inputs'!$E$99-$C$53)*'Development Inputs'!$K$99/('Development Inputs'!$J$98-'Development Inputs'!$I$98+1),
IF(AND('Development Inputs'!$N$99="Less Fees",DK$6&gt;='Development Inputs'!$I$98,DK$6&lt;='Development Inputs'!$J$98),(SUM($EH$30:$EH$40,$EH$42:$EH$47)-'Development Inputs'!$E$99)*'Development Inputs'!$K$99/('Development Inputs'!$J$98-'Development Inputs'!$I$98+1),0))))</f>
        <v>0</v>
      </c>
      <c r="DL41" s="229">
        <f>IF(AND('Development Inputs'!$N$99="Total Cost",DL$6&gt;='Development Inputs'!$I$98,DL$6&lt;='Development Inputs'!$J$98),(TotalProjectCost*'Development Inputs'!$K$99)/('Development Inputs'!$J$98-'Development Inputs'!$I$98+1),
IF(AND('Development Inputs'!$N$99="Less Land",DL$6&gt;='Development Inputs'!$I$98,DL$6&lt;='Development Inputs'!$J$98),((TotalProjectCost-$EH$30)*'Development Inputs'!$K$99)/('Development Inputs'!$J$98-'Development Inputs'!$I$98+1),
IF(AND('Development Inputs'!$N$99="Less Land &amp; Fees",DL$6&gt;='Development Inputs'!$I$98,DL$6&lt;='Development Inputs'!$J$98),(SUM($EH$31:$EH$40,$EH$42:$EH$47)-'Development Inputs'!$E$99-$C$53)*'Development Inputs'!$K$99/('Development Inputs'!$J$98-'Development Inputs'!$I$98+1),
IF(AND('Development Inputs'!$N$99="Less Fees",DL$6&gt;='Development Inputs'!$I$98,DL$6&lt;='Development Inputs'!$J$98),(SUM($EH$30:$EH$40,$EH$42:$EH$47)-'Development Inputs'!$E$99)*'Development Inputs'!$K$99/('Development Inputs'!$J$98-'Development Inputs'!$I$98+1),0))))</f>
        <v>0</v>
      </c>
      <c r="DM41" s="229">
        <f>IF(AND('Development Inputs'!$N$99="Total Cost",DM$6&gt;='Development Inputs'!$I$98,DM$6&lt;='Development Inputs'!$J$98),(TotalProjectCost*'Development Inputs'!$K$99)/('Development Inputs'!$J$98-'Development Inputs'!$I$98+1),
IF(AND('Development Inputs'!$N$99="Less Land",DM$6&gt;='Development Inputs'!$I$98,DM$6&lt;='Development Inputs'!$J$98),((TotalProjectCost-$EH$30)*'Development Inputs'!$K$99)/('Development Inputs'!$J$98-'Development Inputs'!$I$98+1),
IF(AND('Development Inputs'!$N$99="Less Land &amp; Fees",DM$6&gt;='Development Inputs'!$I$98,DM$6&lt;='Development Inputs'!$J$98),(SUM($EH$31:$EH$40,$EH$42:$EH$47)-'Development Inputs'!$E$99-$C$53)*'Development Inputs'!$K$99/('Development Inputs'!$J$98-'Development Inputs'!$I$98+1),
IF(AND('Development Inputs'!$N$99="Less Fees",DM$6&gt;='Development Inputs'!$I$98,DM$6&lt;='Development Inputs'!$J$98),(SUM($EH$30:$EH$40,$EH$42:$EH$47)-'Development Inputs'!$E$99)*'Development Inputs'!$K$99/('Development Inputs'!$J$98-'Development Inputs'!$I$98+1),0))))</f>
        <v>0</v>
      </c>
      <c r="DN41" s="229">
        <f>IF(AND('Development Inputs'!$N$99="Total Cost",DN$6&gt;='Development Inputs'!$I$98,DN$6&lt;='Development Inputs'!$J$98),(TotalProjectCost*'Development Inputs'!$K$99)/('Development Inputs'!$J$98-'Development Inputs'!$I$98+1),
IF(AND('Development Inputs'!$N$99="Less Land",DN$6&gt;='Development Inputs'!$I$98,DN$6&lt;='Development Inputs'!$J$98),((TotalProjectCost-$EH$30)*'Development Inputs'!$K$99)/('Development Inputs'!$J$98-'Development Inputs'!$I$98+1),
IF(AND('Development Inputs'!$N$99="Less Land &amp; Fees",DN$6&gt;='Development Inputs'!$I$98,DN$6&lt;='Development Inputs'!$J$98),(SUM($EH$31:$EH$40,$EH$42:$EH$47)-'Development Inputs'!$E$99-$C$53)*'Development Inputs'!$K$99/('Development Inputs'!$J$98-'Development Inputs'!$I$98+1),
IF(AND('Development Inputs'!$N$99="Less Fees",DN$6&gt;='Development Inputs'!$I$98,DN$6&lt;='Development Inputs'!$J$98),(SUM($EH$30:$EH$40,$EH$42:$EH$47)-'Development Inputs'!$E$99)*'Development Inputs'!$K$99/('Development Inputs'!$J$98-'Development Inputs'!$I$98+1),0))))</f>
        <v>0</v>
      </c>
      <c r="DO41" s="229">
        <f>IF(AND('Development Inputs'!$N$99="Total Cost",DO$6&gt;='Development Inputs'!$I$98,DO$6&lt;='Development Inputs'!$J$98),(TotalProjectCost*'Development Inputs'!$K$99)/('Development Inputs'!$J$98-'Development Inputs'!$I$98+1),
IF(AND('Development Inputs'!$N$99="Less Land",DO$6&gt;='Development Inputs'!$I$98,DO$6&lt;='Development Inputs'!$J$98),((TotalProjectCost-$EH$30)*'Development Inputs'!$K$99)/('Development Inputs'!$J$98-'Development Inputs'!$I$98+1),
IF(AND('Development Inputs'!$N$99="Less Land &amp; Fees",DO$6&gt;='Development Inputs'!$I$98,DO$6&lt;='Development Inputs'!$J$98),(SUM($EH$31:$EH$40,$EH$42:$EH$47)-'Development Inputs'!$E$99-$C$53)*'Development Inputs'!$K$99/('Development Inputs'!$J$98-'Development Inputs'!$I$98+1),
IF(AND('Development Inputs'!$N$99="Less Fees",DO$6&gt;='Development Inputs'!$I$98,DO$6&lt;='Development Inputs'!$J$98),(SUM($EH$30:$EH$40,$EH$42:$EH$47)-'Development Inputs'!$E$99)*'Development Inputs'!$K$99/('Development Inputs'!$J$98-'Development Inputs'!$I$98+1),0))))</f>
        <v>0</v>
      </c>
      <c r="DP41" s="229">
        <f>IF(AND('Development Inputs'!$N$99="Total Cost",DP$6&gt;='Development Inputs'!$I$98,DP$6&lt;='Development Inputs'!$J$98),(TotalProjectCost*'Development Inputs'!$K$99)/('Development Inputs'!$J$98-'Development Inputs'!$I$98+1),
IF(AND('Development Inputs'!$N$99="Less Land",DP$6&gt;='Development Inputs'!$I$98,DP$6&lt;='Development Inputs'!$J$98),((TotalProjectCost-$EH$30)*'Development Inputs'!$K$99)/('Development Inputs'!$J$98-'Development Inputs'!$I$98+1),
IF(AND('Development Inputs'!$N$99="Less Land &amp; Fees",DP$6&gt;='Development Inputs'!$I$98,DP$6&lt;='Development Inputs'!$J$98),(SUM($EH$31:$EH$40,$EH$42:$EH$47)-'Development Inputs'!$E$99-$C$53)*'Development Inputs'!$K$99/('Development Inputs'!$J$98-'Development Inputs'!$I$98+1),
IF(AND('Development Inputs'!$N$99="Less Fees",DP$6&gt;='Development Inputs'!$I$98,DP$6&lt;='Development Inputs'!$J$98),(SUM($EH$30:$EH$40,$EH$42:$EH$47)-'Development Inputs'!$E$99)*'Development Inputs'!$K$99/('Development Inputs'!$J$98-'Development Inputs'!$I$98+1),0))))</f>
        <v>0</v>
      </c>
      <c r="DQ41" s="229">
        <f>IF(AND('Development Inputs'!$N$99="Total Cost",DQ$6&gt;='Development Inputs'!$I$98,DQ$6&lt;='Development Inputs'!$J$98),(TotalProjectCost*'Development Inputs'!$K$99)/('Development Inputs'!$J$98-'Development Inputs'!$I$98+1),
IF(AND('Development Inputs'!$N$99="Less Land",DQ$6&gt;='Development Inputs'!$I$98,DQ$6&lt;='Development Inputs'!$J$98),((TotalProjectCost-$EH$30)*'Development Inputs'!$K$99)/('Development Inputs'!$J$98-'Development Inputs'!$I$98+1),
IF(AND('Development Inputs'!$N$99="Less Land &amp; Fees",DQ$6&gt;='Development Inputs'!$I$98,DQ$6&lt;='Development Inputs'!$J$98),(SUM($EH$31:$EH$40,$EH$42:$EH$47)-'Development Inputs'!$E$99-$C$53)*'Development Inputs'!$K$99/('Development Inputs'!$J$98-'Development Inputs'!$I$98+1),
IF(AND('Development Inputs'!$N$99="Less Fees",DQ$6&gt;='Development Inputs'!$I$98,DQ$6&lt;='Development Inputs'!$J$98),(SUM($EH$30:$EH$40,$EH$42:$EH$47)-'Development Inputs'!$E$99)*'Development Inputs'!$K$99/('Development Inputs'!$J$98-'Development Inputs'!$I$98+1),0))))</f>
        <v>0</v>
      </c>
      <c r="DR41" s="229">
        <f>IF(AND('Development Inputs'!$N$99="Total Cost",DR$6&gt;='Development Inputs'!$I$98,DR$6&lt;='Development Inputs'!$J$98),(TotalProjectCost*'Development Inputs'!$K$99)/('Development Inputs'!$J$98-'Development Inputs'!$I$98+1),
IF(AND('Development Inputs'!$N$99="Less Land",DR$6&gt;='Development Inputs'!$I$98,DR$6&lt;='Development Inputs'!$J$98),((TotalProjectCost-$EH$30)*'Development Inputs'!$K$99)/('Development Inputs'!$J$98-'Development Inputs'!$I$98+1),
IF(AND('Development Inputs'!$N$99="Less Land &amp; Fees",DR$6&gt;='Development Inputs'!$I$98,DR$6&lt;='Development Inputs'!$J$98),(SUM($EH$31:$EH$40,$EH$42:$EH$47)-'Development Inputs'!$E$99-$C$53)*'Development Inputs'!$K$99/('Development Inputs'!$J$98-'Development Inputs'!$I$98+1),
IF(AND('Development Inputs'!$N$99="Less Fees",DR$6&gt;='Development Inputs'!$I$98,DR$6&lt;='Development Inputs'!$J$98),(SUM($EH$30:$EH$40,$EH$42:$EH$47)-'Development Inputs'!$E$99)*'Development Inputs'!$K$99/('Development Inputs'!$J$98-'Development Inputs'!$I$98+1),0))))</f>
        <v>0</v>
      </c>
      <c r="DS41" s="229">
        <f>IF(AND('Development Inputs'!$N$99="Total Cost",DS$6&gt;='Development Inputs'!$I$98,DS$6&lt;='Development Inputs'!$J$98),(TotalProjectCost*'Development Inputs'!$K$99)/('Development Inputs'!$J$98-'Development Inputs'!$I$98+1),
IF(AND('Development Inputs'!$N$99="Less Land",DS$6&gt;='Development Inputs'!$I$98,DS$6&lt;='Development Inputs'!$J$98),((TotalProjectCost-$EH$30)*'Development Inputs'!$K$99)/('Development Inputs'!$J$98-'Development Inputs'!$I$98+1),
IF(AND('Development Inputs'!$N$99="Less Land &amp; Fees",DS$6&gt;='Development Inputs'!$I$98,DS$6&lt;='Development Inputs'!$J$98),(SUM($EH$31:$EH$40,$EH$42:$EH$47)-'Development Inputs'!$E$99-$C$53)*'Development Inputs'!$K$99/('Development Inputs'!$J$98-'Development Inputs'!$I$98+1),
IF(AND('Development Inputs'!$N$99="Less Fees",DS$6&gt;='Development Inputs'!$I$98,DS$6&lt;='Development Inputs'!$J$98),(SUM($EH$30:$EH$40,$EH$42:$EH$47)-'Development Inputs'!$E$99)*'Development Inputs'!$K$99/('Development Inputs'!$J$98-'Development Inputs'!$I$98+1),0))))</f>
        <v>0</v>
      </c>
      <c r="DT41" s="229">
        <f>IF(AND('Development Inputs'!$N$99="Total Cost",DT$6&gt;='Development Inputs'!$I$98,DT$6&lt;='Development Inputs'!$J$98),(TotalProjectCost*'Development Inputs'!$K$99)/('Development Inputs'!$J$98-'Development Inputs'!$I$98+1),
IF(AND('Development Inputs'!$N$99="Less Land",DT$6&gt;='Development Inputs'!$I$98,DT$6&lt;='Development Inputs'!$J$98),((TotalProjectCost-$EH$30)*'Development Inputs'!$K$99)/('Development Inputs'!$J$98-'Development Inputs'!$I$98+1),
IF(AND('Development Inputs'!$N$99="Less Land &amp; Fees",DT$6&gt;='Development Inputs'!$I$98,DT$6&lt;='Development Inputs'!$J$98),(SUM($EH$31:$EH$40,$EH$42:$EH$47)-'Development Inputs'!$E$99-$C$53)*'Development Inputs'!$K$99/('Development Inputs'!$J$98-'Development Inputs'!$I$98+1),
IF(AND('Development Inputs'!$N$99="Less Fees",DT$6&gt;='Development Inputs'!$I$98,DT$6&lt;='Development Inputs'!$J$98),(SUM($EH$30:$EH$40,$EH$42:$EH$47)-'Development Inputs'!$E$99)*'Development Inputs'!$K$99/('Development Inputs'!$J$98-'Development Inputs'!$I$98+1),0))))</f>
        <v>0</v>
      </c>
      <c r="DU41" s="229">
        <f>IF(AND('Development Inputs'!$N$99="Total Cost",DU$6&gt;='Development Inputs'!$I$98,DU$6&lt;='Development Inputs'!$J$98),(TotalProjectCost*'Development Inputs'!$K$99)/('Development Inputs'!$J$98-'Development Inputs'!$I$98+1),
IF(AND('Development Inputs'!$N$99="Less Land",DU$6&gt;='Development Inputs'!$I$98,DU$6&lt;='Development Inputs'!$J$98),((TotalProjectCost-$EH$30)*'Development Inputs'!$K$99)/('Development Inputs'!$J$98-'Development Inputs'!$I$98+1),
IF(AND('Development Inputs'!$N$99="Less Land &amp; Fees",DU$6&gt;='Development Inputs'!$I$98,DU$6&lt;='Development Inputs'!$J$98),(SUM($EH$31:$EH$40,$EH$42:$EH$47)-'Development Inputs'!$E$99-$C$53)*'Development Inputs'!$K$99/('Development Inputs'!$J$98-'Development Inputs'!$I$98+1),
IF(AND('Development Inputs'!$N$99="Less Fees",DU$6&gt;='Development Inputs'!$I$98,DU$6&lt;='Development Inputs'!$J$98),(SUM($EH$30:$EH$40,$EH$42:$EH$47)-'Development Inputs'!$E$99)*'Development Inputs'!$K$99/('Development Inputs'!$J$98-'Development Inputs'!$I$98+1),0))))</f>
        <v>0</v>
      </c>
      <c r="DV41" s="229">
        <f>IF(AND('Development Inputs'!$N$99="Total Cost",DV$6&gt;='Development Inputs'!$I$98,DV$6&lt;='Development Inputs'!$J$98),(TotalProjectCost*'Development Inputs'!$K$99)/('Development Inputs'!$J$98-'Development Inputs'!$I$98+1),
IF(AND('Development Inputs'!$N$99="Less Land",DV$6&gt;='Development Inputs'!$I$98,DV$6&lt;='Development Inputs'!$J$98),((TotalProjectCost-$EH$30)*'Development Inputs'!$K$99)/('Development Inputs'!$J$98-'Development Inputs'!$I$98+1),
IF(AND('Development Inputs'!$N$99="Less Land &amp; Fees",DV$6&gt;='Development Inputs'!$I$98,DV$6&lt;='Development Inputs'!$J$98),(SUM($EH$31:$EH$40,$EH$42:$EH$47)-'Development Inputs'!$E$99-$C$53)*'Development Inputs'!$K$99/('Development Inputs'!$J$98-'Development Inputs'!$I$98+1),
IF(AND('Development Inputs'!$N$99="Less Fees",DV$6&gt;='Development Inputs'!$I$98,DV$6&lt;='Development Inputs'!$J$98),(SUM($EH$30:$EH$40,$EH$42:$EH$47)-'Development Inputs'!$E$99)*'Development Inputs'!$K$99/('Development Inputs'!$J$98-'Development Inputs'!$I$98+1),0))))</f>
        <v>0</v>
      </c>
      <c r="DW41" s="229">
        <f>IF(AND('Development Inputs'!$N$99="Total Cost",DW$6&gt;='Development Inputs'!$I$98,DW$6&lt;='Development Inputs'!$J$98),(TotalProjectCost*'Development Inputs'!$K$99)/('Development Inputs'!$J$98-'Development Inputs'!$I$98+1),
IF(AND('Development Inputs'!$N$99="Less Land",DW$6&gt;='Development Inputs'!$I$98,DW$6&lt;='Development Inputs'!$J$98),((TotalProjectCost-$EH$30)*'Development Inputs'!$K$99)/('Development Inputs'!$J$98-'Development Inputs'!$I$98+1),
IF(AND('Development Inputs'!$N$99="Less Land &amp; Fees",DW$6&gt;='Development Inputs'!$I$98,DW$6&lt;='Development Inputs'!$J$98),(SUM($EH$31:$EH$40,$EH$42:$EH$47)-'Development Inputs'!$E$99-$C$53)*'Development Inputs'!$K$99/('Development Inputs'!$J$98-'Development Inputs'!$I$98+1),
IF(AND('Development Inputs'!$N$99="Less Fees",DW$6&gt;='Development Inputs'!$I$98,DW$6&lt;='Development Inputs'!$J$98),(SUM($EH$30:$EH$40,$EH$42:$EH$47)-'Development Inputs'!$E$99)*'Development Inputs'!$K$99/('Development Inputs'!$J$98-'Development Inputs'!$I$98+1),0))))</f>
        <v>0</v>
      </c>
      <c r="DX41" s="229">
        <f>IF(AND('Development Inputs'!$N$99="Total Cost",DX$6&gt;='Development Inputs'!$I$98,DX$6&lt;='Development Inputs'!$J$98),(TotalProjectCost*'Development Inputs'!$K$99)/('Development Inputs'!$J$98-'Development Inputs'!$I$98+1),
IF(AND('Development Inputs'!$N$99="Less Land",DX$6&gt;='Development Inputs'!$I$98,DX$6&lt;='Development Inputs'!$J$98),((TotalProjectCost-$EH$30)*'Development Inputs'!$K$99)/('Development Inputs'!$J$98-'Development Inputs'!$I$98+1),
IF(AND('Development Inputs'!$N$99="Less Land &amp; Fees",DX$6&gt;='Development Inputs'!$I$98,DX$6&lt;='Development Inputs'!$J$98),(SUM($EH$31:$EH$40,$EH$42:$EH$47)-'Development Inputs'!$E$99-$C$53)*'Development Inputs'!$K$99/('Development Inputs'!$J$98-'Development Inputs'!$I$98+1),
IF(AND('Development Inputs'!$N$99="Less Fees",DX$6&gt;='Development Inputs'!$I$98,DX$6&lt;='Development Inputs'!$J$98),(SUM($EH$30:$EH$40,$EH$42:$EH$47)-'Development Inputs'!$E$99)*'Development Inputs'!$K$99/('Development Inputs'!$J$98-'Development Inputs'!$I$98+1),0))))</f>
        <v>0</v>
      </c>
      <c r="DY41" s="229">
        <f>IF(AND('Development Inputs'!$N$99="Total Cost",DY$6&gt;='Development Inputs'!$I$98,DY$6&lt;='Development Inputs'!$J$98),(TotalProjectCost*'Development Inputs'!$K$99)/('Development Inputs'!$J$98-'Development Inputs'!$I$98+1),
IF(AND('Development Inputs'!$N$99="Less Land",DY$6&gt;='Development Inputs'!$I$98,DY$6&lt;='Development Inputs'!$J$98),((TotalProjectCost-$EH$30)*'Development Inputs'!$K$99)/('Development Inputs'!$J$98-'Development Inputs'!$I$98+1),
IF(AND('Development Inputs'!$N$99="Less Land &amp; Fees",DY$6&gt;='Development Inputs'!$I$98,DY$6&lt;='Development Inputs'!$J$98),(SUM($EH$31:$EH$40,$EH$42:$EH$47)-'Development Inputs'!$E$99-$C$53)*'Development Inputs'!$K$99/('Development Inputs'!$J$98-'Development Inputs'!$I$98+1),
IF(AND('Development Inputs'!$N$99="Less Fees",DY$6&gt;='Development Inputs'!$I$98,DY$6&lt;='Development Inputs'!$J$98),(SUM($EH$30:$EH$40,$EH$42:$EH$47)-'Development Inputs'!$E$99)*'Development Inputs'!$K$99/('Development Inputs'!$J$98-'Development Inputs'!$I$98+1),0))))</f>
        <v>0</v>
      </c>
      <c r="DZ41" s="229">
        <f>IF(AND('Development Inputs'!$N$99="Total Cost",DZ$6&gt;='Development Inputs'!$I$98,DZ$6&lt;='Development Inputs'!$J$98),(TotalProjectCost*'Development Inputs'!$K$99)/('Development Inputs'!$J$98-'Development Inputs'!$I$98+1),
IF(AND('Development Inputs'!$N$99="Less Land",DZ$6&gt;='Development Inputs'!$I$98,DZ$6&lt;='Development Inputs'!$J$98),((TotalProjectCost-$EH$30)*'Development Inputs'!$K$99)/('Development Inputs'!$J$98-'Development Inputs'!$I$98+1),
IF(AND('Development Inputs'!$N$99="Less Land &amp; Fees",DZ$6&gt;='Development Inputs'!$I$98,DZ$6&lt;='Development Inputs'!$J$98),(SUM($EH$31:$EH$40,$EH$42:$EH$47)-'Development Inputs'!$E$99-$C$53)*'Development Inputs'!$K$99/('Development Inputs'!$J$98-'Development Inputs'!$I$98+1),
IF(AND('Development Inputs'!$N$99="Less Fees",DZ$6&gt;='Development Inputs'!$I$98,DZ$6&lt;='Development Inputs'!$J$98),(SUM($EH$30:$EH$40,$EH$42:$EH$47)-'Development Inputs'!$E$99)*'Development Inputs'!$K$99/('Development Inputs'!$J$98-'Development Inputs'!$I$98+1),0))))</f>
        <v>0</v>
      </c>
      <c r="EA41" s="229">
        <f>IF(AND('Development Inputs'!$N$99="Total Cost",EA$6&gt;='Development Inputs'!$I$98,EA$6&lt;='Development Inputs'!$J$98),(TotalProjectCost*'Development Inputs'!$K$99)/('Development Inputs'!$J$98-'Development Inputs'!$I$98+1),
IF(AND('Development Inputs'!$N$99="Less Land",EA$6&gt;='Development Inputs'!$I$98,EA$6&lt;='Development Inputs'!$J$98),((TotalProjectCost-$EH$30)*'Development Inputs'!$K$99)/('Development Inputs'!$J$98-'Development Inputs'!$I$98+1),
IF(AND('Development Inputs'!$N$99="Less Land &amp; Fees",EA$6&gt;='Development Inputs'!$I$98,EA$6&lt;='Development Inputs'!$J$98),(SUM($EH$31:$EH$40,$EH$42:$EH$47)-'Development Inputs'!$E$99-$C$53)*'Development Inputs'!$K$99/('Development Inputs'!$J$98-'Development Inputs'!$I$98+1),
IF(AND('Development Inputs'!$N$99="Less Fees",EA$6&gt;='Development Inputs'!$I$98,EA$6&lt;='Development Inputs'!$J$98),(SUM($EH$30:$EH$40,$EH$42:$EH$47)-'Development Inputs'!$E$99)*'Development Inputs'!$K$99/('Development Inputs'!$J$98-'Development Inputs'!$I$98+1),0))))</f>
        <v>0</v>
      </c>
      <c r="EB41" s="229">
        <f>IF(AND('Development Inputs'!$N$99="Total Cost",EB$6&gt;='Development Inputs'!$I$98,EB$6&lt;='Development Inputs'!$J$98),(TotalProjectCost*'Development Inputs'!$K$99)/('Development Inputs'!$J$98-'Development Inputs'!$I$98+1),
IF(AND('Development Inputs'!$N$99="Less Land",EB$6&gt;='Development Inputs'!$I$98,EB$6&lt;='Development Inputs'!$J$98),((TotalProjectCost-$EH$30)*'Development Inputs'!$K$99)/('Development Inputs'!$J$98-'Development Inputs'!$I$98+1),
IF(AND('Development Inputs'!$N$99="Less Land &amp; Fees",EB$6&gt;='Development Inputs'!$I$98,EB$6&lt;='Development Inputs'!$J$98),(SUM($EH$31:$EH$40,$EH$42:$EH$47)-'Development Inputs'!$E$99-$C$53)*'Development Inputs'!$K$99/('Development Inputs'!$J$98-'Development Inputs'!$I$98+1),
IF(AND('Development Inputs'!$N$99="Less Fees",EB$6&gt;='Development Inputs'!$I$98,EB$6&lt;='Development Inputs'!$J$98),(SUM($EH$30:$EH$40,$EH$42:$EH$47)-'Development Inputs'!$E$99)*'Development Inputs'!$K$99/('Development Inputs'!$J$98-'Development Inputs'!$I$98+1),0))))</f>
        <v>0</v>
      </c>
      <c r="EC41" s="229">
        <f>IF(AND('Development Inputs'!$N$99="Total Cost",EC$6&gt;='Development Inputs'!$I$98,EC$6&lt;='Development Inputs'!$J$98),(TotalProjectCost*'Development Inputs'!$K$99)/('Development Inputs'!$J$98-'Development Inputs'!$I$98+1),
IF(AND('Development Inputs'!$N$99="Less Land",EC$6&gt;='Development Inputs'!$I$98,EC$6&lt;='Development Inputs'!$J$98),((TotalProjectCost-$EH$30)*'Development Inputs'!$K$99)/('Development Inputs'!$J$98-'Development Inputs'!$I$98+1),
IF(AND('Development Inputs'!$N$99="Less Land &amp; Fees",EC$6&gt;='Development Inputs'!$I$98,EC$6&lt;='Development Inputs'!$J$98),(SUM($EH$31:$EH$40,$EH$42:$EH$47)-'Development Inputs'!$E$99-$C$53)*'Development Inputs'!$K$99/('Development Inputs'!$J$98-'Development Inputs'!$I$98+1),
IF(AND('Development Inputs'!$N$99="Less Fees",EC$6&gt;='Development Inputs'!$I$98,EC$6&lt;='Development Inputs'!$J$98),(SUM($EH$30:$EH$40,$EH$42:$EH$47)-'Development Inputs'!$E$99)*'Development Inputs'!$K$99/('Development Inputs'!$J$98-'Development Inputs'!$I$98+1),0))))</f>
        <v>0</v>
      </c>
      <c r="ED41" s="229">
        <f>IF(AND('Development Inputs'!$N$99="Total Cost",ED$6&gt;='Development Inputs'!$I$98,ED$6&lt;='Development Inputs'!$J$98),(TotalProjectCost*'Development Inputs'!$K$99)/('Development Inputs'!$J$98-'Development Inputs'!$I$98+1),
IF(AND('Development Inputs'!$N$99="Less Land",ED$6&gt;='Development Inputs'!$I$98,ED$6&lt;='Development Inputs'!$J$98),((TotalProjectCost-$EH$30)*'Development Inputs'!$K$99)/('Development Inputs'!$J$98-'Development Inputs'!$I$98+1),
IF(AND('Development Inputs'!$N$99="Less Land &amp; Fees",ED$6&gt;='Development Inputs'!$I$98,ED$6&lt;='Development Inputs'!$J$98),(SUM($EH$31:$EH$40,$EH$42:$EH$47)-'Development Inputs'!$E$99-$C$53)*'Development Inputs'!$K$99/('Development Inputs'!$J$98-'Development Inputs'!$I$98+1),
IF(AND('Development Inputs'!$N$99="Less Fees",ED$6&gt;='Development Inputs'!$I$98,ED$6&lt;='Development Inputs'!$J$98),(SUM($EH$30:$EH$40,$EH$42:$EH$47)-'Development Inputs'!$E$99)*'Development Inputs'!$K$99/('Development Inputs'!$J$98-'Development Inputs'!$I$98+1),0))))</f>
        <v>0</v>
      </c>
      <c r="EE41" s="229">
        <f>IF(AND('Development Inputs'!$N$99="Total Cost",EE$6&gt;='Development Inputs'!$I$98,EE$6&lt;='Development Inputs'!$J$98),(TotalProjectCost*'Development Inputs'!$K$99)/('Development Inputs'!$J$98-'Development Inputs'!$I$98+1),
IF(AND('Development Inputs'!$N$99="Less Land",EE$6&gt;='Development Inputs'!$I$98,EE$6&lt;='Development Inputs'!$J$98),((TotalProjectCost-$EH$30)*'Development Inputs'!$K$99)/('Development Inputs'!$J$98-'Development Inputs'!$I$98+1),
IF(AND('Development Inputs'!$N$99="Less Land &amp; Fees",EE$6&gt;='Development Inputs'!$I$98,EE$6&lt;='Development Inputs'!$J$98),(SUM($EH$31:$EH$40,$EH$42:$EH$47)-'Development Inputs'!$E$99-$C$53)*'Development Inputs'!$K$99/('Development Inputs'!$J$98-'Development Inputs'!$I$98+1),
IF(AND('Development Inputs'!$N$99="Less Fees",EE$6&gt;='Development Inputs'!$I$98,EE$6&lt;='Development Inputs'!$J$98),(SUM($EH$30:$EH$40,$EH$42:$EH$47)-'Development Inputs'!$E$99)*'Development Inputs'!$K$99/('Development Inputs'!$J$98-'Development Inputs'!$I$98+1),0))))</f>
        <v>0</v>
      </c>
      <c r="EF41" s="229">
        <f>IF(AND('Development Inputs'!$N$99="Total Cost",EF$6&gt;='Development Inputs'!$I$98,EF$6&lt;='Development Inputs'!$J$98),(TotalProjectCost*'Development Inputs'!$K$99)/('Development Inputs'!$J$98-'Development Inputs'!$I$98+1),
IF(AND('Development Inputs'!$N$99="Less Land",EF$6&gt;='Development Inputs'!$I$98,EF$6&lt;='Development Inputs'!$J$98),((TotalProjectCost-$EH$30)*'Development Inputs'!$K$99)/('Development Inputs'!$J$98-'Development Inputs'!$I$98+1),
IF(AND('Development Inputs'!$N$99="Less Land &amp; Fees",EF$6&gt;='Development Inputs'!$I$98,EF$6&lt;='Development Inputs'!$J$98),(SUM($EH$31:$EH$40,$EH$42:$EH$47)-'Development Inputs'!$E$99-$C$53)*'Development Inputs'!$K$99/('Development Inputs'!$J$98-'Development Inputs'!$I$98+1),
IF(AND('Development Inputs'!$N$99="Less Fees",EF$6&gt;='Development Inputs'!$I$98,EF$6&lt;='Development Inputs'!$J$98),(SUM($EH$30:$EH$40,$EH$42:$EH$47)-'Development Inputs'!$E$99)*'Development Inputs'!$K$99/('Development Inputs'!$J$98-'Development Inputs'!$I$98+1),0))))</f>
        <v>0</v>
      </c>
      <c r="EG41" s="229">
        <f>IF(AND('Development Inputs'!$N$99="Total Cost",EG$6&gt;='Development Inputs'!$I$98,EG$6&lt;='Development Inputs'!$J$98),(TotalProjectCost*'Development Inputs'!$K$99)/('Development Inputs'!$J$98-'Development Inputs'!$I$98+1),
IF(AND('Development Inputs'!$N$99="Less Land",EG$6&gt;='Development Inputs'!$I$98,EG$6&lt;='Development Inputs'!$J$98),((TotalProjectCost-$EH$30)*'Development Inputs'!$K$99)/('Development Inputs'!$J$98-'Development Inputs'!$I$98+1),
IF(AND('Development Inputs'!$N$99="Less Land &amp; Fees",EG$6&gt;='Development Inputs'!$I$98,EG$6&lt;='Development Inputs'!$J$98),(SUM($EH$31:$EH$40,$EH$42:$EH$47)-'Development Inputs'!$E$99-$C$53)*'Development Inputs'!$K$99/('Development Inputs'!$J$98-'Development Inputs'!$I$98+1),
IF(AND('Development Inputs'!$N$99="Less Fees",EG$6&gt;='Development Inputs'!$I$98,EG$6&lt;='Development Inputs'!$J$98),(SUM($EH$30:$EH$40,$EH$42:$EH$47)-'Development Inputs'!$E$99)*'Development Inputs'!$K$99/('Development Inputs'!$J$98-'Development Inputs'!$I$98+1),0))))</f>
        <v>0</v>
      </c>
      <c r="EH41" s="229">
        <f ca="1">IF(Macros!$B$3=2,1,SUBTOTAL(9,E41:EG41))</f>
        <v>2658062.4746991713</v>
      </c>
      <c r="EI41" s="227"/>
    </row>
    <row r="42" spans="1:139" x14ac:dyDescent="0.3">
      <c r="A42" s="413" t="s">
        <v>669</v>
      </c>
      <c r="B42" s="413"/>
      <c r="C42" s="413"/>
      <c r="E42" s="229">
        <f>IF(E$6='Development Inputs'!$I$73,'Development Inputs'!$L$94*'Development Inputs'!$H$73,IF(AND(E$6&gt;'Development Inputs'!$I$73,E$6&lt;='Development Inputs'!$J$73),'Development Inputs'!$L$94*(1-'Development Inputs'!$H$73)/('Development Inputs'!$J$73-'Development Inputs'!$I$73),0))</f>
        <v>0</v>
      </c>
      <c r="F42" s="229">
        <f>IF(F$6='Development Inputs'!$I$73,'Development Inputs'!$L$94*'Development Inputs'!$H$73,IF(AND(F$6&gt;'Development Inputs'!$I$73,F$6&lt;='Development Inputs'!$J$73),'Development Inputs'!$L$94*(1-'Development Inputs'!$H$73)/('Development Inputs'!$J$73-'Development Inputs'!$I$73),0))</f>
        <v>4459158.9889518414</v>
      </c>
      <c r="G42" s="229">
        <f>IF(G$6='Development Inputs'!$I$73,'Development Inputs'!$L$94*'Development Inputs'!$H$73,IF(AND(G$6&gt;'Development Inputs'!$I$73,G$6&lt;='Development Inputs'!$J$73),'Development Inputs'!$L$94*(1-'Development Inputs'!$H$73)/('Development Inputs'!$J$73-'Development Inputs'!$I$73),0))</f>
        <v>0</v>
      </c>
      <c r="H42" s="229">
        <f>IF(H$6='Development Inputs'!$I$73,'Development Inputs'!$L$94*'Development Inputs'!$H$73,IF(AND(H$6&gt;'Development Inputs'!$I$73,H$6&lt;='Development Inputs'!$J$73),'Development Inputs'!$L$94*(1-'Development Inputs'!$H$73)/('Development Inputs'!$J$73-'Development Inputs'!$I$73),0))</f>
        <v>0</v>
      </c>
      <c r="I42" s="229">
        <f>IF(I$6='Development Inputs'!$I$73,'Development Inputs'!$L$94*'Development Inputs'!$H$73,IF(AND(I$6&gt;'Development Inputs'!$I$73,I$6&lt;='Development Inputs'!$J$73),'Development Inputs'!$L$94*(1-'Development Inputs'!$H$73)/('Development Inputs'!$J$73-'Development Inputs'!$I$73),0))</f>
        <v>0</v>
      </c>
      <c r="J42" s="229">
        <f>IF(J$6='Development Inputs'!$I$73,'Development Inputs'!$L$94*'Development Inputs'!$H$73,IF(AND(J$6&gt;'Development Inputs'!$I$73,J$6&lt;='Development Inputs'!$J$73),'Development Inputs'!$L$94*(1-'Development Inputs'!$H$73)/('Development Inputs'!$J$73-'Development Inputs'!$I$73),0))</f>
        <v>0</v>
      </c>
      <c r="K42" s="229">
        <f>IF(K$6='Development Inputs'!$I$73,'Development Inputs'!$L$94*'Development Inputs'!$H$73,IF(AND(K$6&gt;'Development Inputs'!$I$73,K$6&lt;='Development Inputs'!$J$73),'Development Inputs'!$L$94*(1-'Development Inputs'!$H$73)/('Development Inputs'!$J$73-'Development Inputs'!$I$73),0))</f>
        <v>0</v>
      </c>
      <c r="L42" s="229">
        <f>IF(L$6='Development Inputs'!$I$73,'Development Inputs'!$L$94*'Development Inputs'!$H$73,IF(AND(L$6&gt;'Development Inputs'!$I$73,L$6&lt;='Development Inputs'!$J$73),'Development Inputs'!$L$94*(1-'Development Inputs'!$H$73)/('Development Inputs'!$J$73-'Development Inputs'!$I$73),0))</f>
        <v>0</v>
      </c>
      <c r="M42" s="229">
        <f>IF(M$6='Development Inputs'!$I$73,'Development Inputs'!$L$94*'Development Inputs'!$H$73,IF(AND(M$6&gt;'Development Inputs'!$I$73,M$6&lt;='Development Inputs'!$J$73),'Development Inputs'!$L$94*(1-'Development Inputs'!$H$73)/('Development Inputs'!$J$73-'Development Inputs'!$I$73),0))</f>
        <v>0</v>
      </c>
      <c r="N42" s="229">
        <f>IF(N$6='Development Inputs'!$I$73,'Development Inputs'!$L$94*'Development Inputs'!$H$73,IF(AND(N$6&gt;'Development Inputs'!$I$73,N$6&lt;='Development Inputs'!$J$73),'Development Inputs'!$L$94*(1-'Development Inputs'!$H$73)/('Development Inputs'!$J$73-'Development Inputs'!$I$73),0))</f>
        <v>0</v>
      </c>
      <c r="O42" s="229">
        <f>IF(O$6='Development Inputs'!$I$73,'Development Inputs'!$L$94*'Development Inputs'!$H$73,IF(AND(O$6&gt;'Development Inputs'!$I$73,O$6&lt;='Development Inputs'!$J$73),'Development Inputs'!$L$94*(1-'Development Inputs'!$H$73)/('Development Inputs'!$J$73-'Development Inputs'!$I$73),0))</f>
        <v>0</v>
      </c>
      <c r="P42" s="229">
        <f>IF(P$6='Development Inputs'!$I$73,'Development Inputs'!$L$94*'Development Inputs'!$H$73,IF(AND(P$6&gt;'Development Inputs'!$I$73,P$6&lt;='Development Inputs'!$J$73),'Development Inputs'!$L$94*(1-'Development Inputs'!$H$73)/('Development Inputs'!$J$73-'Development Inputs'!$I$73),0))</f>
        <v>0</v>
      </c>
      <c r="Q42" s="229">
        <f>IF(Q$6='Development Inputs'!$I$73,'Development Inputs'!$L$94*'Development Inputs'!$H$73,IF(AND(Q$6&gt;'Development Inputs'!$I$73,Q$6&lt;='Development Inputs'!$J$73),'Development Inputs'!$L$94*(1-'Development Inputs'!$H$73)/('Development Inputs'!$J$73-'Development Inputs'!$I$73),0))</f>
        <v>0</v>
      </c>
      <c r="R42" s="229">
        <f>IF(R$6='Development Inputs'!$I$73,'Development Inputs'!$L$94*'Development Inputs'!$H$73,IF(AND(R$6&gt;'Development Inputs'!$I$73,R$6&lt;='Development Inputs'!$J$73),'Development Inputs'!$L$94*(1-'Development Inputs'!$H$73)/('Development Inputs'!$J$73-'Development Inputs'!$I$73),0))</f>
        <v>0</v>
      </c>
      <c r="S42" s="229">
        <f>IF(S$6='Development Inputs'!$I$73,'Development Inputs'!$L$94*'Development Inputs'!$H$73,IF(AND(S$6&gt;'Development Inputs'!$I$73,S$6&lt;='Development Inputs'!$J$73),'Development Inputs'!$L$94*(1-'Development Inputs'!$H$73)/('Development Inputs'!$J$73-'Development Inputs'!$I$73),0))</f>
        <v>0</v>
      </c>
      <c r="T42" s="229">
        <f>IF(T$6='Development Inputs'!$I$73,'Development Inputs'!$L$94*'Development Inputs'!$H$73,IF(AND(T$6&gt;'Development Inputs'!$I$73,T$6&lt;='Development Inputs'!$J$73),'Development Inputs'!$L$94*(1-'Development Inputs'!$H$73)/('Development Inputs'!$J$73-'Development Inputs'!$I$73),0))</f>
        <v>0</v>
      </c>
      <c r="U42" s="229">
        <f>IF(U$6='Development Inputs'!$I$73,'Development Inputs'!$L$94*'Development Inputs'!$H$73,IF(AND(U$6&gt;'Development Inputs'!$I$73,U$6&lt;='Development Inputs'!$J$73),'Development Inputs'!$L$94*(1-'Development Inputs'!$H$73)/('Development Inputs'!$J$73-'Development Inputs'!$I$73),0))</f>
        <v>0</v>
      </c>
      <c r="V42" s="229">
        <f>IF(V$6='Development Inputs'!$I$73,'Development Inputs'!$L$94*'Development Inputs'!$H$73,IF(AND(V$6&gt;'Development Inputs'!$I$73,V$6&lt;='Development Inputs'!$J$73),'Development Inputs'!$L$94*(1-'Development Inputs'!$H$73)/('Development Inputs'!$J$73-'Development Inputs'!$I$73),0))</f>
        <v>0</v>
      </c>
      <c r="W42" s="229">
        <f>IF(W$6='Development Inputs'!$I$73,'Development Inputs'!$L$94*'Development Inputs'!$H$73,IF(AND(W$6&gt;'Development Inputs'!$I$73,W$6&lt;='Development Inputs'!$J$73),'Development Inputs'!$L$94*(1-'Development Inputs'!$H$73)/('Development Inputs'!$J$73-'Development Inputs'!$I$73),0))</f>
        <v>0</v>
      </c>
      <c r="X42" s="229">
        <f>IF(X$6='Development Inputs'!$I$73,'Development Inputs'!$L$94*'Development Inputs'!$H$73,IF(AND(X$6&gt;'Development Inputs'!$I$73,X$6&lt;='Development Inputs'!$J$73),'Development Inputs'!$L$94*(1-'Development Inputs'!$H$73)/('Development Inputs'!$J$73-'Development Inputs'!$I$73),0))</f>
        <v>0</v>
      </c>
      <c r="Y42" s="229">
        <f>IF(Y$6='Development Inputs'!$I$73,'Development Inputs'!$L$94*'Development Inputs'!$H$73,IF(AND(Y$6&gt;'Development Inputs'!$I$73,Y$6&lt;='Development Inputs'!$J$73),'Development Inputs'!$L$94*(1-'Development Inputs'!$H$73)/('Development Inputs'!$J$73-'Development Inputs'!$I$73),0))</f>
        <v>0</v>
      </c>
      <c r="Z42" s="229">
        <f>IF(Z$6='Development Inputs'!$I$73,'Development Inputs'!$L$94*'Development Inputs'!$H$73,IF(AND(Z$6&gt;'Development Inputs'!$I$73,Z$6&lt;='Development Inputs'!$J$73),'Development Inputs'!$L$94*(1-'Development Inputs'!$H$73)/('Development Inputs'!$J$73-'Development Inputs'!$I$73),0))</f>
        <v>0</v>
      </c>
      <c r="AA42" s="229">
        <f>IF(AA$6='Development Inputs'!$I$73,'Development Inputs'!$L$94*'Development Inputs'!$H$73,IF(AND(AA$6&gt;'Development Inputs'!$I$73,AA$6&lt;='Development Inputs'!$J$73),'Development Inputs'!$L$94*(1-'Development Inputs'!$H$73)/('Development Inputs'!$J$73-'Development Inputs'!$I$73),0))</f>
        <v>0</v>
      </c>
      <c r="AB42" s="229">
        <f>IF(AB$6='Development Inputs'!$I$73,'Development Inputs'!$L$94*'Development Inputs'!$H$73,IF(AND(AB$6&gt;'Development Inputs'!$I$73,AB$6&lt;='Development Inputs'!$J$73),'Development Inputs'!$L$94*(1-'Development Inputs'!$H$73)/('Development Inputs'!$J$73-'Development Inputs'!$I$73),0))</f>
        <v>0</v>
      </c>
      <c r="AC42" s="229">
        <f>IF(AC$6='Development Inputs'!$I$73,'Development Inputs'!$L$94*'Development Inputs'!$H$73,IF(AND(AC$6&gt;'Development Inputs'!$I$73,AC$6&lt;='Development Inputs'!$J$73),'Development Inputs'!$L$94*(1-'Development Inputs'!$H$73)/('Development Inputs'!$J$73-'Development Inputs'!$I$73),0))</f>
        <v>0</v>
      </c>
      <c r="AD42" s="229">
        <f>IF(AD$6='Development Inputs'!$I$73,'Development Inputs'!$L$94*'Development Inputs'!$H$73,IF(AND(AD$6&gt;'Development Inputs'!$I$73,AD$6&lt;='Development Inputs'!$J$73),'Development Inputs'!$L$94*(1-'Development Inputs'!$H$73)/('Development Inputs'!$J$73-'Development Inputs'!$I$73),0))</f>
        <v>0</v>
      </c>
      <c r="AE42" s="229">
        <f>IF(AE$6='Development Inputs'!$I$73,'Development Inputs'!$L$94*'Development Inputs'!$H$73,IF(AND(AE$6&gt;'Development Inputs'!$I$73,AE$6&lt;='Development Inputs'!$J$73),'Development Inputs'!$L$94*(1-'Development Inputs'!$H$73)/('Development Inputs'!$J$73-'Development Inputs'!$I$73),0))</f>
        <v>0</v>
      </c>
      <c r="AF42" s="229">
        <f>IF(AF$6='Development Inputs'!$I$73,'Development Inputs'!$L$94*'Development Inputs'!$H$73,IF(AND(AF$6&gt;'Development Inputs'!$I$73,AF$6&lt;='Development Inputs'!$J$73),'Development Inputs'!$L$94*(1-'Development Inputs'!$H$73)/('Development Inputs'!$J$73-'Development Inputs'!$I$73),0))</f>
        <v>0</v>
      </c>
      <c r="AG42" s="229">
        <f>IF(AG$6='Development Inputs'!$I$73,'Development Inputs'!$L$94*'Development Inputs'!$H$73,IF(AND(AG$6&gt;'Development Inputs'!$I$73,AG$6&lt;='Development Inputs'!$J$73),'Development Inputs'!$L$94*(1-'Development Inputs'!$H$73)/('Development Inputs'!$J$73-'Development Inputs'!$I$73),0))</f>
        <v>0</v>
      </c>
      <c r="AH42" s="229">
        <f>IF(AH$6='Development Inputs'!$I$73,'Development Inputs'!$L$94*'Development Inputs'!$H$73,IF(AND(AH$6&gt;'Development Inputs'!$I$73,AH$6&lt;='Development Inputs'!$J$73),'Development Inputs'!$L$94*(1-'Development Inputs'!$H$73)/('Development Inputs'!$J$73-'Development Inputs'!$I$73),0))</f>
        <v>0</v>
      </c>
      <c r="AI42" s="229">
        <f>IF(AI$6='Development Inputs'!$I$73,'Development Inputs'!$L$94*'Development Inputs'!$H$73,IF(AND(AI$6&gt;'Development Inputs'!$I$73,AI$6&lt;='Development Inputs'!$J$73),'Development Inputs'!$L$94*(1-'Development Inputs'!$H$73)/('Development Inputs'!$J$73-'Development Inputs'!$I$73),0))</f>
        <v>0</v>
      </c>
      <c r="AJ42" s="229">
        <f>IF(AJ$6='Development Inputs'!$I$73,'Development Inputs'!$L$94*'Development Inputs'!$H$73,IF(AND(AJ$6&gt;'Development Inputs'!$I$73,AJ$6&lt;='Development Inputs'!$J$73),'Development Inputs'!$L$94*(1-'Development Inputs'!$H$73)/('Development Inputs'!$J$73-'Development Inputs'!$I$73),0))</f>
        <v>0</v>
      </c>
      <c r="AK42" s="229">
        <f>IF(AK$6='Development Inputs'!$I$73,'Development Inputs'!$L$94*'Development Inputs'!$H$73,IF(AND(AK$6&gt;'Development Inputs'!$I$73,AK$6&lt;='Development Inputs'!$J$73),'Development Inputs'!$L$94*(1-'Development Inputs'!$H$73)/('Development Inputs'!$J$73-'Development Inputs'!$I$73),0))</f>
        <v>0</v>
      </c>
      <c r="AL42" s="229">
        <f>IF(AL$6='Development Inputs'!$I$73,'Development Inputs'!$L$94*'Development Inputs'!$H$73,IF(AND(AL$6&gt;'Development Inputs'!$I$73,AL$6&lt;='Development Inputs'!$J$73),'Development Inputs'!$L$94*(1-'Development Inputs'!$H$73)/('Development Inputs'!$J$73-'Development Inputs'!$I$73),0))</f>
        <v>0</v>
      </c>
      <c r="AM42" s="229">
        <f>IF(AM$6='Development Inputs'!$I$73,'Development Inputs'!$L$94*'Development Inputs'!$H$73,IF(AND(AM$6&gt;'Development Inputs'!$I$73,AM$6&lt;='Development Inputs'!$J$73),'Development Inputs'!$L$94*(1-'Development Inputs'!$H$73)/('Development Inputs'!$J$73-'Development Inputs'!$I$73),0))</f>
        <v>0</v>
      </c>
      <c r="AN42" s="229">
        <f>IF(AN$6='Development Inputs'!$I$73,'Development Inputs'!$L$94*'Development Inputs'!$H$73,IF(AND(AN$6&gt;'Development Inputs'!$I$73,AN$6&lt;='Development Inputs'!$J$73),'Development Inputs'!$L$94*(1-'Development Inputs'!$H$73)/('Development Inputs'!$J$73-'Development Inputs'!$I$73),0))</f>
        <v>0</v>
      </c>
      <c r="AO42" s="229">
        <f>IF(AO$6='Development Inputs'!$I$73,'Development Inputs'!$L$94*'Development Inputs'!$H$73,IF(AND(AO$6&gt;'Development Inputs'!$I$73,AO$6&lt;='Development Inputs'!$J$73),'Development Inputs'!$L$94*(1-'Development Inputs'!$H$73)/('Development Inputs'!$J$73-'Development Inputs'!$I$73),0))</f>
        <v>0</v>
      </c>
      <c r="AP42" s="229">
        <f>IF(AP$6='Development Inputs'!$I$73,'Development Inputs'!$L$94*'Development Inputs'!$H$73,IF(AND(AP$6&gt;'Development Inputs'!$I$73,AP$6&lt;='Development Inputs'!$J$73),'Development Inputs'!$L$94*(1-'Development Inputs'!$H$73)/('Development Inputs'!$J$73-'Development Inputs'!$I$73),0))</f>
        <v>0</v>
      </c>
      <c r="AQ42" s="229">
        <f>IF(AQ$6='Development Inputs'!$I$73,'Development Inputs'!$L$94*'Development Inputs'!$H$73,IF(AND(AQ$6&gt;'Development Inputs'!$I$73,AQ$6&lt;='Development Inputs'!$J$73),'Development Inputs'!$L$94*(1-'Development Inputs'!$H$73)/('Development Inputs'!$J$73-'Development Inputs'!$I$73),0))</f>
        <v>0</v>
      </c>
      <c r="AR42" s="229">
        <f>IF(AR$6='Development Inputs'!$I$73,'Development Inputs'!$L$94*'Development Inputs'!$H$73,IF(AND(AR$6&gt;'Development Inputs'!$I$73,AR$6&lt;='Development Inputs'!$J$73),'Development Inputs'!$L$94*(1-'Development Inputs'!$H$73)/('Development Inputs'!$J$73-'Development Inputs'!$I$73),0))</f>
        <v>0</v>
      </c>
      <c r="AS42" s="229">
        <f>IF(AS$6='Development Inputs'!$I$73,'Development Inputs'!$L$94*'Development Inputs'!$H$73,IF(AND(AS$6&gt;'Development Inputs'!$I$73,AS$6&lt;='Development Inputs'!$J$73),'Development Inputs'!$L$94*(1-'Development Inputs'!$H$73)/('Development Inputs'!$J$73-'Development Inputs'!$I$73),0))</f>
        <v>0</v>
      </c>
      <c r="AT42" s="229">
        <f>IF(AT$6='Development Inputs'!$I$73,'Development Inputs'!$L$94*'Development Inputs'!$H$73,IF(AND(AT$6&gt;'Development Inputs'!$I$73,AT$6&lt;='Development Inputs'!$J$73),'Development Inputs'!$L$94*(1-'Development Inputs'!$H$73)/('Development Inputs'!$J$73-'Development Inputs'!$I$73),0))</f>
        <v>0</v>
      </c>
      <c r="AU42" s="229">
        <f>IF(AU$6='Development Inputs'!$I$73,'Development Inputs'!$L$94*'Development Inputs'!$H$73,IF(AND(AU$6&gt;'Development Inputs'!$I$73,AU$6&lt;='Development Inputs'!$J$73),'Development Inputs'!$L$94*(1-'Development Inputs'!$H$73)/('Development Inputs'!$J$73-'Development Inputs'!$I$73),0))</f>
        <v>0</v>
      </c>
      <c r="AV42" s="229">
        <f>IF(AV$6='Development Inputs'!$I$73,'Development Inputs'!$L$94*'Development Inputs'!$H$73,IF(AND(AV$6&gt;'Development Inputs'!$I$73,AV$6&lt;='Development Inputs'!$J$73),'Development Inputs'!$L$94*(1-'Development Inputs'!$H$73)/('Development Inputs'!$J$73-'Development Inputs'!$I$73),0))</f>
        <v>0</v>
      </c>
      <c r="AW42" s="229">
        <f>IF(AW$6='Development Inputs'!$I$73,'Development Inputs'!$L$94*'Development Inputs'!$H$73,IF(AND(AW$6&gt;'Development Inputs'!$I$73,AW$6&lt;='Development Inputs'!$J$73),'Development Inputs'!$L$94*(1-'Development Inputs'!$H$73)/('Development Inputs'!$J$73-'Development Inputs'!$I$73),0))</f>
        <v>0</v>
      </c>
      <c r="AX42" s="229">
        <f>IF(AX$6='Development Inputs'!$I$73,'Development Inputs'!$L$94*'Development Inputs'!$H$73,IF(AND(AX$6&gt;'Development Inputs'!$I$73,AX$6&lt;='Development Inputs'!$J$73),'Development Inputs'!$L$94*(1-'Development Inputs'!$H$73)/('Development Inputs'!$J$73-'Development Inputs'!$I$73),0))</f>
        <v>0</v>
      </c>
      <c r="AY42" s="229">
        <f>IF(AY$6='Development Inputs'!$I$73,'Development Inputs'!$L$94*'Development Inputs'!$H$73,IF(AND(AY$6&gt;'Development Inputs'!$I$73,AY$6&lt;='Development Inputs'!$J$73),'Development Inputs'!$L$94*(1-'Development Inputs'!$H$73)/('Development Inputs'!$J$73-'Development Inputs'!$I$73),0))</f>
        <v>0</v>
      </c>
      <c r="AZ42" s="229">
        <f>IF(AZ$6='Development Inputs'!$I$73,'Development Inputs'!$L$94*'Development Inputs'!$H$73,IF(AND(AZ$6&gt;'Development Inputs'!$I$73,AZ$6&lt;='Development Inputs'!$J$73),'Development Inputs'!$L$94*(1-'Development Inputs'!$H$73)/('Development Inputs'!$J$73-'Development Inputs'!$I$73),0))</f>
        <v>0</v>
      </c>
      <c r="BA42" s="229">
        <f>IF(BA$6='Development Inputs'!$I$73,'Development Inputs'!$L$94*'Development Inputs'!$H$73,IF(AND(BA$6&gt;'Development Inputs'!$I$73,BA$6&lt;='Development Inputs'!$J$73),'Development Inputs'!$L$94*(1-'Development Inputs'!$H$73)/('Development Inputs'!$J$73-'Development Inputs'!$I$73),0))</f>
        <v>0</v>
      </c>
      <c r="BB42" s="229">
        <f>IF(BB$6='Development Inputs'!$I$73,'Development Inputs'!$L$94*'Development Inputs'!$H$73,IF(AND(BB$6&gt;'Development Inputs'!$I$73,BB$6&lt;='Development Inputs'!$J$73),'Development Inputs'!$L$94*(1-'Development Inputs'!$H$73)/('Development Inputs'!$J$73-'Development Inputs'!$I$73),0))</f>
        <v>0</v>
      </c>
      <c r="BC42" s="229">
        <f>IF(BC$6='Development Inputs'!$I$73,'Development Inputs'!$L$94*'Development Inputs'!$H$73,IF(AND(BC$6&gt;'Development Inputs'!$I$73,BC$6&lt;='Development Inputs'!$J$73),'Development Inputs'!$L$94*(1-'Development Inputs'!$H$73)/('Development Inputs'!$J$73-'Development Inputs'!$I$73),0))</f>
        <v>0</v>
      </c>
      <c r="BD42" s="229">
        <f>IF(BD$6='Development Inputs'!$I$73,'Development Inputs'!$L$94*'Development Inputs'!$H$73,IF(AND(BD$6&gt;'Development Inputs'!$I$73,BD$6&lt;='Development Inputs'!$J$73),'Development Inputs'!$L$94*(1-'Development Inputs'!$H$73)/('Development Inputs'!$J$73-'Development Inputs'!$I$73),0))</f>
        <v>0</v>
      </c>
      <c r="BE42" s="229">
        <f>IF(BE$6='Development Inputs'!$I$73,'Development Inputs'!$L$94*'Development Inputs'!$H$73,IF(AND(BE$6&gt;'Development Inputs'!$I$73,BE$6&lt;='Development Inputs'!$J$73),'Development Inputs'!$L$94*(1-'Development Inputs'!$H$73)/('Development Inputs'!$J$73-'Development Inputs'!$I$73),0))</f>
        <v>0</v>
      </c>
      <c r="BF42" s="229">
        <f>IF(BF$6='Development Inputs'!$I$73,'Development Inputs'!$L$94*'Development Inputs'!$H$73,IF(AND(BF$6&gt;'Development Inputs'!$I$73,BF$6&lt;='Development Inputs'!$J$73),'Development Inputs'!$L$94*(1-'Development Inputs'!$H$73)/('Development Inputs'!$J$73-'Development Inputs'!$I$73),0))</f>
        <v>0</v>
      </c>
      <c r="BG42" s="229">
        <f>IF(BG$6='Development Inputs'!$I$73,'Development Inputs'!$L$94*'Development Inputs'!$H$73,IF(AND(BG$6&gt;'Development Inputs'!$I$73,BG$6&lt;='Development Inputs'!$J$73),'Development Inputs'!$L$94*(1-'Development Inputs'!$H$73)/('Development Inputs'!$J$73-'Development Inputs'!$I$73),0))</f>
        <v>0</v>
      </c>
      <c r="BH42" s="229">
        <f>IF(BH$6='Development Inputs'!$I$73,'Development Inputs'!$L$94*'Development Inputs'!$H$73,IF(AND(BH$6&gt;'Development Inputs'!$I$73,BH$6&lt;='Development Inputs'!$J$73),'Development Inputs'!$L$94*(1-'Development Inputs'!$H$73)/('Development Inputs'!$J$73-'Development Inputs'!$I$73),0))</f>
        <v>0</v>
      </c>
      <c r="BI42" s="229">
        <f>IF(BI$6='Development Inputs'!$I$73,'Development Inputs'!$L$94*'Development Inputs'!$H$73,IF(AND(BI$6&gt;'Development Inputs'!$I$73,BI$6&lt;='Development Inputs'!$J$73),'Development Inputs'!$L$94*(1-'Development Inputs'!$H$73)/('Development Inputs'!$J$73-'Development Inputs'!$I$73),0))</f>
        <v>0</v>
      </c>
      <c r="BJ42" s="229">
        <f>IF(BJ$6='Development Inputs'!$I$73,'Development Inputs'!$L$94*'Development Inputs'!$H$73,IF(AND(BJ$6&gt;'Development Inputs'!$I$73,BJ$6&lt;='Development Inputs'!$J$73),'Development Inputs'!$L$94*(1-'Development Inputs'!$H$73)/('Development Inputs'!$J$73-'Development Inputs'!$I$73),0))</f>
        <v>0</v>
      </c>
      <c r="BK42" s="229">
        <f>IF(BK$6='Development Inputs'!$I$73,'Development Inputs'!$L$94*'Development Inputs'!$H$73,IF(AND(BK$6&gt;'Development Inputs'!$I$73,BK$6&lt;='Development Inputs'!$J$73),'Development Inputs'!$L$94*(1-'Development Inputs'!$H$73)/('Development Inputs'!$J$73-'Development Inputs'!$I$73),0))</f>
        <v>0</v>
      </c>
      <c r="BL42" s="229">
        <f>IF(BL$6='Development Inputs'!$I$73,'Development Inputs'!$L$94*'Development Inputs'!$H$73,IF(AND(BL$6&gt;'Development Inputs'!$I$73,BL$6&lt;='Development Inputs'!$J$73),'Development Inputs'!$L$94*(1-'Development Inputs'!$H$73)/('Development Inputs'!$J$73-'Development Inputs'!$I$73),0))</f>
        <v>0</v>
      </c>
      <c r="BM42" s="229">
        <f>IF(BM$6='Development Inputs'!$I$73,'Development Inputs'!$L$94*'Development Inputs'!$H$73,IF(AND(BM$6&gt;'Development Inputs'!$I$73,BM$6&lt;='Development Inputs'!$J$73),'Development Inputs'!$L$94*(1-'Development Inputs'!$H$73)/('Development Inputs'!$J$73-'Development Inputs'!$I$73),0))</f>
        <v>0</v>
      </c>
      <c r="BN42" s="229">
        <f>IF(BN$6='Development Inputs'!$I$73,'Development Inputs'!$L$94*'Development Inputs'!$H$73,IF(AND(BN$6&gt;'Development Inputs'!$I$73,BN$6&lt;='Development Inputs'!$J$73),'Development Inputs'!$L$94*(1-'Development Inputs'!$H$73)/('Development Inputs'!$J$73-'Development Inputs'!$I$73),0))</f>
        <v>0</v>
      </c>
      <c r="BO42" s="229">
        <f>IF(BO$6='Development Inputs'!$I$73,'Development Inputs'!$L$94*'Development Inputs'!$H$73,IF(AND(BO$6&gt;'Development Inputs'!$I$73,BO$6&lt;='Development Inputs'!$J$73),'Development Inputs'!$L$94*(1-'Development Inputs'!$H$73)/('Development Inputs'!$J$73-'Development Inputs'!$I$73),0))</f>
        <v>0</v>
      </c>
      <c r="BP42" s="229">
        <f>IF(BP$6='Development Inputs'!$I$73,'Development Inputs'!$L$94*'Development Inputs'!$H$73,IF(AND(BP$6&gt;'Development Inputs'!$I$73,BP$6&lt;='Development Inputs'!$J$73),'Development Inputs'!$L$94*(1-'Development Inputs'!$H$73)/('Development Inputs'!$J$73-'Development Inputs'!$I$73),0))</f>
        <v>0</v>
      </c>
      <c r="BQ42" s="229">
        <f>IF(BQ$6='Development Inputs'!$I$73,'Development Inputs'!$L$94*'Development Inputs'!$H$73,IF(AND(BQ$6&gt;'Development Inputs'!$I$73,BQ$6&lt;='Development Inputs'!$J$73),'Development Inputs'!$L$94*(1-'Development Inputs'!$H$73)/('Development Inputs'!$J$73-'Development Inputs'!$I$73),0))</f>
        <v>0</v>
      </c>
      <c r="BR42" s="229">
        <f>IF(BR$6='Development Inputs'!$I$73,'Development Inputs'!$L$94*'Development Inputs'!$H$73,IF(AND(BR$6&gt;'Development Inputs'!$I$73,BR$6&lt;='Development Inputs'!$J$73),'Development Inputs'!$L$94*(1-'Development Inputs'!$H$73)/('Development Inputs'!$J$73-'Development Inputs'!$I$73),0))</f>
        <v>0</v>
      </c>
      <c r="BS42" s="229">
        <f>IF(BS$6='Development Inputs'!$I$73,'Development Inputs'!$L$94*'Development Inputs'!$H$73,IF(AND(BS$6&gt;'Development Inputs'!$I$73,BS$6&lt;='Development Inputs'!$J$73),'Development Inputs'!$L$94*(1-'Development Inputs'!$H$73)/('Development Inputs'!$J$73-'Development Inputs'!$I$73),0))</f>
        <v>0</v>
      </c>
      <c r="BT42" s="229">
        <f>IF(BT$6='Development Inputs'!$I$73,'Development Inputs'!$L$94*'Development Inputs'!$H$73,IF(AND(BT$6&gt;'Development Inputs'!$I$73,BT$6&lt;='Development Inputs'!$J$73),'Development Inputs'!$L$94*(1-'Development Inputs'!$H$73)/('Development Inputs'!$J$73-'Development Inputs'!$I$73),0))</f>
        <v>0</v>
      </c>
      <c r="BU42" s="229">
        <f>IF(BU$6='Development Inputs'!$I$73,'Development Inputs'!$L$94*'Development Inputs'!$H$73,IF(AND(BU$6&gt;'Development Inputs'!$I$73,BU$6&lt;='Development Inputs'!$J$73),'Development Inputs'!$L$94*(1-'Development Inputs'!$H$73)/('Development Inputs'!$J$73-'Development Inputs'!$I$73),0))</f>
        <v>0</v>
      </c>
      <c r="BV42" s="229">
        <f>IF(BV$6='Development Inputs'!$I$73,'Development Inputs'!$L$94*'Development Inputs'!$H$73,IF(AND(BV$6&gt;'Development Inputs'!$I$73,BV$6&lt;='Development Inputs'!$J$73),'Development Inputs'!$L$94*(1-'Development Inputs'!$H$73)/('Development Inputs'!$J$73-'Development Inputs'!$I$73),0))</f>
        <v>0</v>
      </c>
      <c r="BW42" s="229">
        <f>IF(BW$6='Development Inputs'!$I$73,'Development Inputs'!$L$94*'Development Inputs'!$H$73,IF(AND(BW$6&gt;'Development Inputs'!$I$73,BW$6&lt;='Development Inputs'!$J$73),'Development Inputs'!$L$94*(1-'Development Inputs'!$H$73)/('Development Inputs'!$J$73-'Development Inputs'!$I$73),0))</f>
        <v>0</v>
      </c>
      <c r="BX42" s="229">
        <f>IF(BX$6='Development Inputs'!$I$73,'Development Inputs'!$L$94*'Development Inputs'!$H$73,IF(AND(BX$6&gt;'Development Inputs'!$I$73,BX$6&lt;='Development Inputs'!$J$73),'Development Inputs'!$L$94*(1-'Development Inputs'!$H$73)/('Development Inputs'!$J$73-'Development Inputs'!$I$73),0))</f>
        <v>0</v>
      </c>
      <c r="BY42" s="229">
        <f>IF(BY$6='Development Inputs'!$I$73,'Development Inputs'!$L$94*'Development Inputs'!$H$73,IF(AND(BY$6&gt;'Development Inputs'!$I$73,BY$6&lt;='Development Inputs'!$J$73),'Development Inputs'!$L$94*(1-'Development Inputs'!$H$73)/('Development Inputs'!$J$73-'Development Inputs'!$I$73),0))</f>
        <v>0</v>
      </c>
      <c r="BZ42" s="229">
        <f>IF(BZ$6='Development Inputs'!$I$73,'Development Inputs'!$L$94*'Development Inputs'!$H$73,IF(AND(BZ$6&gt;'Development Inputs'!$I$73,BZ$6&lt;='Development Inputs'!$J$73),'Development Inputs'!$L$94*(1-'Development Inputs'!$H$73)/('Development Inputs'!$J$73-'Development Inputs'!$I$73),0))</f>
        <v>0</v>
      </c>
      <c r="CA42" s="229">
        <f>IF(CA$6='Development Inputs'!$I$73,'Development Inputs'!$L$94*'Development Inputs'!$H$73,IF(AND(CA$6&gt;'Development Inputs'!$I$73,CA$6&lt;='Development Inputs'!$J$73),'Development Inputs'!$L$94*(1-'Development Inputs'!$H$73)/('Development Inputs'!$J$73-'Development Inputs'!$I$73),0))</f>
        <v>0</v>
      </c>
      <c r="CB42" s="229">
        <f>IF(CB$6='Development Inputs'!$I$73,'Development Inputs'!$L$94*'Development Inputs'!$H$73,IF(AND(CB$6&gt;'Development Inputs'!$I$73,CB$6&lt;='Development Inputs'!$J$73),'Development Inputs'!$L$94*(1-'Development Inputs'!$H$73)/('Development Inputs'!$J$73-'Development Inputs'!$I$73),0))</f>
        <v>0</v>
      </c>
      <c r="CC42" s="229">
        <f>IF(CC$6='Development Inputs'!$I$73,'Development Inputs'!$L$94*'Development Inputs'!$H$73,IF(AND(CC$6&gt;'Development Inputs'!$I$73,CC$6&lt;='Development Inputs'!$J$73),'Development Inputs'!$L$94*(1-'Development Inputs'!$H$73)/('Development Inputs'!$J$73-'Development Inputs'!$I$73),0))</f>
        <v>0</v>
      </c>
      <c r="CD42" s="229">
        <f>IF(CD$6='Development Inputs'!$I$73,'Development Inputs'!$L$94*'Development Inputs'!$H$73,IF(AND(CD$6&gt;'Development Inputs'!$I$73,CD$6&lt;='Development Inputs'!$J$73),'Development Inputs'!$L$94*(1-'Development Inputs'!$H$73)/('Development Inputs'!$J$73-'Development Inputs'!$I$73),0))</f>
        <v>0</v>
      </c>
      <c r="CE42" s="229">
        <f>IF(CE$6='Development Inputs'!$I$73,'Development Inputs'!$L$94*'Development Inputs'!$H$73,IF(AND(CE$6&gt;'Development Inputs'!$I$73,CE$6&lt;='Development Inputs'!$J$73),'Development Inputs'!$L$94*(1-'Development Inputs'!$H$73)/('Development Inputs'!$J$73-'Development Inputs'!$I$73),0))</f>
        <v>0</v>
      </c>
      <c r="CF42" s="229">
        <f>IF(CF$6='Development Inputs'!$I$73,'Development Inputs'!$L$94*'Development Inputs'!$H$73,IF(AND(CF$6&gt;'Development Inputs'!$I$73,CF$6&lt;='Development Inputs'!$J$73),'Development Inputs'!$L$94*(1-'Development Inputs'!$H$73)/('Development Inputs'!$J$73-'Development Inputs'!$I$73),0))</f>
        <v>0</v>
      </c>
      <c r="CG42" s="229">
        <f>IF(CG$6='Development Inputs'!$I$73,'Development Inputs'!$L$94*'Development Inputs'!$H$73,IF(AND(CG$6&gt;'Development Inputs'!$I$73,CG$6&lt;='Development Inputs'!$J$73),'Development Inputs'!$L$94*(1-'Development Inputs'!$H$73)/('Development Inputs'!$J$73-'Development Inputs'!$I$73),0))</f>
        <v>0</v>
      </c>
      <c r="CH42" s="229">
        <f>IF(CH$6='Development Inputs'!$I$73,'Development Inputs'!$L$94*'Development Inputs'!$H$73,IF(AND(CH$6&gt;'Development Inputs'!$I$73,CH$6&lt;='Development Inputs'!$J$73),'Development Inputs'!$L$94*(1-'Development Inputs'!$H$73)/('Development Inputs'!$J$73-'Development Inputs'!$I$73),0))</f>
        <v>0</v>
      </c>
      <c r="CI42" s="229">
        <f>IF(CI$6='Development Inputs'!$I$73,'Development Inputs'!$L$94*'Development Inputs'!$H$73,IF(AND(CI$6&gt;'Development Inputs'!$I$73,CI$6&lt;='Development Inputs'!$J$73),'Development Inputs'!$L$94*(1-'Development Inputs'!$H$73)/('Development Inputs'!$J$73-'Development Inputs'!$I$73),0))</f>
        <v>0</v>
      </c>
      <c r="CJ42" s="229">
        <f>IF(CJ$6='Development Inputs'!$I$73,'Development Inputs'!$L$94*'Development Inputs'!$H$73,IF(AND(CJ$6&gt;'Development Inputs'!$I$73,CJ$6&lt;='Development Inputs'!$J$73),'Development Inputs'!$L$94*(1-'Development Inputs'!$H$73)/('Development Inputs'!$J$73-'Development Inputs'!$I$73),0))</f>
        <v>0</v>
      </c>
      <c r="CK42" s="229">
        <f>IF(CK$6='Development Inputs'!$I$73,'Development Inputs'!$L$94*'Development Inputs'!$H$73,IF(AND(CK$6&gt;'Development Inputs'!$I$73,CK$6&lt;='Development Inputs'!$J$73),'Development Inputs'!$L$94*(1-'Development Inputs'!$H$73)/('Development Inputs'!$J$73-'Development Inputs'!$I$73),0))</f>
        <v>0</v>
      </c>
      <c r="CL42" s="229">
        <f>IF(CL$6='Development Inputs'!$I$73,'Development Inputs'!$L$94*'Development Inputs'!$H$73,IF(AND(CL$6&gt;'Development Inputs'!$I$73,CL$6&lt;='Development Inputs'!$J$73),'Development Inputs'!$L$94*(1-'Development Inputs'!$H$73)/('Development Inputs'!$J$73-'Development Inputs'!$I$73),0))</f>
        <v>0</v>
      </c>
      <c r="CM42" s="229">
        <f>IF(CM$6='Development Inputs'!$I$73,'Development Inputs'!$L$94*'Development Inputs'!$H$73,IF(AND(CM$6&gt;'Development Inputs'!$I$73,CM$6&lt;='Development Inputs'!$J$73),'Development Inputs'!$L$94*(1-'Development Inputs'!$H$73)/('Development Inputs'!$J$73-'Development Inputs'!$I$73),0))</f>
        <v>0</v>
      </c>
      <c r="CN42" s="229">
        <f>IF(CN$6='Development Inputs'!$I$73,'Development Inputs'!$L$94*'Development Inputs'!$H$73,IF(AND(CN$6&gt;'Development Inputs'!$I$73,CN$6&lt;='Development Inputs'!$J$73),'Development Inputs'!$L$94*(1-'Development Inputs'!$H$73)/('Development Inputs'!$J$73-'Development Inputs'!$I$73),0))</f>
        <v>0</v>
      </c>
      <c r="CO42" s="229">
        <f>IF(CO$6='Development Inputs'!$I$73,'Development Inputs'!$L$94*'Development Inputs'!$H$73,IF(AND(CO$6&gt;'Development Inputs'!$I$73,CO$6&lt;='Development Inputs'!$J$73),'Development Inputs'!$L$94*(1-'Development Inputs'!$H$73)/('Development Inputs'!$J$73-'Development Inputs'!$I$73),0))</f>
        <v>0</v>
      </c>
      <c r="CP42" s="229">
        <f>IF(CP$6='Development Inputs'!$I$73,'Development Inputs'!$L$94*'Development Inputs'!$H$73,IF(AND(CP$6&gt;'Development Inputs'!$I$73,CP$6&lt;='Development Inputs'!$J$73),'Development Inputs'!$L$94*(1-'Development Inputs'!$H$73)/('Development Inputs'!$J$73-'Development Inputs'!$I$73),0))</f>
        <v>0</v>
      </c>
      <c r="CQ42" s="229">
        <f>IF(CQ$6='Development Inputs'!$I$73,'Development Inputs'!$L$94*'Development Inputs'!$H$73,IF(AND(CQ$6&gt;'Development Inputs'!$I$73,CQ$6&lt;='Development Inputs'!$J$73),'Development Inputs'!$L$94*(1-'Development Inputs'!$H$73)/('Development Inputs'!$J$73-'Development Inputs'!$I$73),0))</f>
        <v>0</v>
      </c>
      <c r="CR42" s="229">
        <f>IF(CR$6='Development Inputs'!$I$73,'Development Inputs'!$L$94*'Development Inputs'!$H$73,IF(AND(CR$6&gt;'Development Inputs'!$I$73,CR$6&lt;='Development Inputs'!$J$73),'Development Inputs'!$L$94*(1-'Development Inputs'!$H$73)/('Development Inputs'!$J$73-'Development Inputs'!$I$73),0))</f>
        <v>0</v>
      </c>
      <c r="CS42" s="229">
        <f>IF(CS$6='Development Inputs'!$I$73,'Development Inputs'!$L$94*'Development Inputs'!$H$73,IF(AND(CS$6&gt;'Development Inputs'!$I$73,CS$6&lt;='Development Inputs'!$J$73),'Development Inputs'!$L$94*(1-'Development Inputs'!$H$73)/('Development Inputs'!$J$73-'Development Inputs'!$I$73),0))</f>
        <v>0</v>
      </c>
      <c r="CT42" s="229">
        <f>IF(CT$6='Development Inputs'!$I$73,'Development Inputs'!$L$94*'Development Inputs'!$H$73,IF(AND(CT$6&gt;'Development Inputs'!$I$73,CT$6&lt;='Development Inputs'!$J$73),'Development Inputs'!$L$94*(1-'Development Inputs'!$H$73)/('Development Inputs'!$J$73-'Development Inputs'!$I$73),0))</f>
        <v>0</v>
      </c>
      <c r="CU42" s="229">
        <f>IF(CU$6='Development Inputs'!$I$73,'Development Inputs'!$L$94*'Development Inputs'!$H$73,IF(AND(CU$6&gt;'Development Inputs'!$I$73,CU$6&lt;='Development Inputs'!$J$73),'Development Inputs'!$L$94*(1-'Development Inputs'!$H$73)/('Development Inputs'!$J$73-'Development Inputs'!$I$73),0))</f>
        <v>0</v>
      </c>
      <c r="CV42" s="229">
        <f>IF(CV$6='Development Inputs'!$I$73,'Development Inputs'!$L$94*'Development Inputs'!$H$73,IF(AND(CV$6&gt;'Development Inputs'!$I$73,CV$6&lt;='Development Inputs'!$J$73),'Development Inputs'!$L$94*(1-'Development Inputs'!$H$73)/('Development Inputs'!$J$73-'Development Inputs'!$I$73),0))</f>
        <v>0</v>
      </c>
      <c r="CW42" s="229">
        <f>IF(CW$6='Development Inputs'!$I$73,'Development Inputs'!$L$94*'Development Inputs'!$H$73,IF(AND(CW$6&gt;'Development Inputs'!$I$73,CW$6&lt;='Development Inputs'!$J$73),'Development Inputs'!$L$94*(1-'Development Inputs'!$H$73)/('Development Inputs'!$J$73-'Development Inputs'!$I$73),0))</f>
        <v>0</v>
      </c>
      <c r="CX42" s="229">
        <f>IF(CX$6='Development Inputs'!$I$73,'Development Inputs'!$L$94*'Development Inputs'!$H$73,IF(AND(CX$6&gt;'Development Inputs'!$I$73,CX$6&lt;='Development Inputs'!$J$73),'Development Inputs'!$L$94*(1-'Development Inputs'!$H$73)/('Development Inputs'!$J$73-'Development Inputs'!$I$73),0))</f>
        <v>0</v>
      </c>
      <c r="CY42" s="229">
        <f>IF(CY$6='Development Inputs'!$I$73,'Development Inputs'!$L$94*'Development Inputs'!$H$73,IF(AND(CY$6&gt;'Development Inputs'!$I$73,CY$6&lt;='Development Inputs'!$J$73),'Development Inputs'!$L$94*(1-'Development Inputs'!$H$73)/('Development Inputs'!$J$73-'Development Inputs'!$I$73),0))</f>
        <v>0</v>
      </c>
      <c r="CZ42" s="229">
        <f>IF(CZ$6='Development Inputs'!$I$73,'Development Inputs'!$L$94*'Development Inputs'!$H$73,IF(AND(CZ$6&gt;'Development Inputs'!$I$73,CZ$6&lt;='Development Inputs'!$J$73),'Development Inputs'!$L$94*(1-'Development Inputs'!$H$73)/('Development Inputs'!$J$73-'Development Inputs'!$I$73),0))</f>
        <v>0</v>
      </c>
      <c r="DA42" s="229">
        <f>IF(DA$6='Development Inputs'!$I$73,'Development Inputs'!$L$94*'Development Inputs'!$H$73,IF(AND(DA$6&gt;'Development Inputs'!$I$73,DA$6&lt;='Development Inputs'!$J$73),'Development Inputs'!$L$94*(1-'Development Inputs'!$H$73)/('Development Inputs'!$J$73-'Development Inputs'!$I$73),0))</f>
        <v>0</v>
      </c>
      <c r="DB42" s="229">
        <f>IF(DB$6='Development Inputs'!$I$73,'Development Inputs'!$L$94*'Development Inputs'!$H$73,IF(AND(DB$6&gt;'Development Inputs'!$I$73,DB$6&lt;='Development Inputs'!$J$73),'Development Inputs'!$L$94*(1-'Development Inputs'!$H$73)/('Development Inputs'!$J$73-'Development Inputs'!$I$73),0))</f>
        <v>0</v>
      </c>
      <c r="DC42" s="229">
        <f>IF(DC$6='Development Inputs'!$I$73,'Development Inputs'!$L$94*'Development Inputs'!$H$73,IF(AND(DC$6&gt;'Development Inputs'!$I$73,DC$6&lt;='Development Inputs'!$J$73),'Development Inputs'!$L$94*(1-'Development Inputs'!$H$73)/('Development Inputs'!$J$73-'Development Inputs'!$I$73),0))</f>
        <v>0</v>
      </c>
      <c r="DD42" s="229">
        <f>IF(DD$6='Development Inputs'!$I$73,'Development Inputs'!$L$94*'Development Inputs'!$H$73,IF(AND(DD$6&gt;'Development Inputs'!$I$73,DD$6&lt;='Development Inputs'!$J$73),'Development Inputs'!$L$94*(1-'Development Inputs'!$H$73)/('Development Inputs'!$J$73-'Development Inputs'!$I$73),0))</f>
        <v>0</v>
      </c>
      <c r="DE42" s="229">
        <f>IF(DE$6='Development Inputs'!$I$73,'Development Inputs'!$L$94*'Development Inputs'!$H$73,IF(AND(DE$6&gt;'Development Inputs'!$I$73,DE$6&lt;='Development Inputs'!$J$73),'Development Inputs'!$L$94*(1-'Development Inputs'!$H$73)/('Development Inputs'!$J$73-'Development Inputs'!$I$73),0))</f>
        <v>0</v>
      </c>
      <c r="DF42" s="229">
        <f>IF(DF$6='Development Inputs'!$I$73,'Development Inputs'!$L$94*'Development Inputs'!$H$73,IF(AND(DF$6&gt;'Development Inputs'!$I$73,DF$6&lt;='Development Inputs'!$J$73),'Development Inputs'!$L$94*(1-'Development Inputs'!$H$73)/('Development Inputs'!$J$73-'Development Inputs'!$I$73),0))</f>
        <v>0</v>
      </c>
      <c r="DG42" s="229">
        <f>IF(DG$6='Development Inputs'!$I$73,'Development Inputs'!$L$94*'Development Inputs'!$H$73,IF(AND(DG$6&gt;'Development Inputs'!$I$73,DG$6&lt;='Development Inputs'!$J$73),'Development Inputs'!$L$94*(1-'Development Inputs'!$H$73)/('Development Inputs'!$J$73-'Development Inputs'!$I$73),0))</f>
        <v>0</v>
      </c>
      <c r="DH42" s="229">
        <f>IF(DH$6='Development Inputs'!$I$73,'Development Inputs'!$L$94*'Development Inputs'!$H$73,IF(AND(DH$6&gt;'Development Inputs'!$I$73,DH$6&lt;='Development Inputs'!$J$73),'Development Inputs'!$L$94*(1-'Development Inputs'!$H$73)/('Development Inputs'!$J$73-'Development Inputs'!$I$73),0))</f>
        <v>0</v>
      </c>
      <c r="DI42" s="229">
        <f>IF(DI$6='Development Inputs'!$I$73,'Development Inputs'!$L$94*'Development Inputs'!$H$73,IF(AND(DI$6&gt;'Development Inputs'!$I$73,DI$6&lt;='Development Inputs'!$J$73),'Development Inputs'!$L$94*(1-'Development Inputs'!$H$73)/('Development Inputs'!$J$73-'Development Inputs'!$I$73),0))</f>
        <v>0</v>
      </c>
      <c r="DJ42" s="229">
        <f>IF(DJ$6='Development Inputs'!$I$73,'Development Inputs'!$L$94*'Development Inputs'!$H$73,IF(AND(DJ$6&gt;'Development Inputs'!$I$73,DJ$6&lt;='Development Inputs'!$J$73),'Development Inputs'!$L$94*(1-'Development Inputs'!$H$73)/('Development Inputs'!$J$73-'Development Inputs'!$I$73),0))</f>
        <v>0</v>
      </c>
      <c r="DK42" s="229">
        <f>IF(DK$6='Development Inputs'!$I$73,'Development Inputs'!$L$94*'Development Inputs'!$H$73,IF(AND(DK$6&gt;'Development Inputs'!$I$73,DK$6&lt;='Development Inputs'!$J$73),'Development Inputs'!$L$94*(1-'Development Inputs'!$H$73)/('Development Inputs'!$J$73-'Development Inputs'!$I$73),0))</f>
        <v>0</v>
      </c>
      <c r="DL42" s="229">
        <f>IF(DL$6='Development Inputs'!$I$73,'Development Inputs'!$L$94*'Development Inputs'!$H$73,IF(AND(DL$6&gt;'Development Inputs'!$I$73,DL$6&lt;='Development Inputs'!$J$73),'Development Inputs'!$L$94*(1-'Development Inputs'!$H$73)/('Development Inputs'!$J$73-'Development Inputs'!$I$73),0))</f>
        <v>0</v>
      </c>
      <c r="DM42" s="229">
        <f>IF(DM$6='Development Inputs'!$I$73,'Development Inputs'!$L$94*'Development Inputs'!$H$73,IF(AND(DM$6&gt;'Development Inputs'!$I$73,DM$6&lt;='Development Inputs'!$J$73),'Development Inputs'!$L$94*(1-'Development Inputs'!$H$73)/('Development Inputs'!$J$73-'Development Inputs'!$I$73),0))</f>
        <v>0</v>
      </c>
      <c r="DN42" s="229">
        <f>IF(DN$6='Development Inputs'!$I$73,'Development Inputs'!$L$94*'Development Inputs'!$H$73,IF(AND(DN$6&gt;'Development Inputs'!$I$73,DN$6&lt;='Development Inputs'!$J$73),'Development Inputs'!$L$94*(1-'Development Inputs'!$H$73)/('Development Inputs'!$J$73-'Development Inputs'!$I$73),0))</f>
        <v>0</v>
      </c>
      <c r="DO42" s="229">
        <f>IF(DO$6='Development Inputs'!$I$73,'Development Inputs'!$L$94*'Development Inputs'!$H$73,IF(AND(DO$6&gt;'Development Inputs'!$I$73,DO$6&lt;='Development Inputs'!$J$73),'Development Inputs'!$L$94*(1-'Development Inputs'!$H$73)/('Development Inputs'!$J$73-'Development Inputs'!$I$73),0))</f>
        <v>0</v>
      </c>
      <c r="DP42" s="229">
        <f>IF(DP$6='Development Inputs'!$I$73,'Development Inputs'!$L$94*'Development Inputs'!$H$73,IF(AND(DP$6&gt;'Development Inputs'!$I$73,DP$6&lt;='Development Inputs'!$J$73),'Development Inputs'!$L$94*(1-'Development Inputs'!$H$73)/('Development Inputs'!$J$73-'Development Inputs'!$I$73),0))</f>
        <v>0</v>
      </c>
      <c r="DQ42" s="229">
        <f>IF(DQ$6='Development Inputs'!$I$73,'Development Inputs'!$L$94*'Development Inputs'!$H$73,IF(AND(DQ$6&gt;'Development Inputs'!$I$73,DQ$6&lt;='Development Inputs'!$J$73),'Development Inputs'!$L$94*(1-'Development Inputs'!$H$73)/('Development Inputs'!$J$73-'Development Inputs'!$I$73),0))</f>
        <v>0</v>
      </c>
      <c r="DR42" s="229">
        <f>IF(DR$6='Development Inputs'!$I$73,'Development Inputs'!$L$94*'Development Inputs'!$H$73,IF(AND(DR$6&gt;'Development Inputs'!$I$73,DR$6&lt;='Development Inputs'!$J$73),'Development Inputs'!$L$94*(1-'Development Inputs'!$H$73)/('Development Inputs'!$J$73-'Development Inputs'!$I$73),0))</f>
        <v>0</v>
      </c>
      <c r="DS42" s="229">
        <f>IF(DS$6='Development Inputs'!$I$73,'Development Inputs'!$L$94*'Development Inputs'!$H$73,IF(AND(DS$6&gt;'Development Inputs'!$I$73,DS$6&lt;='Development Inputs'!$J$73),'Development Inputs'!$L$94*(1-'Development Inputs'!$H$73)/('Development Inputs'!$J$73-'Development Inputs'!$I$73),0))</f>
        <v>0</v>
      </c>
      <c r="DT42" s="229">
        <f>IF(DT$6='Development Inputs'!$I$73,'Development Inputs'!$L$94*'Development Inputs'!$H$73,IF(AND(DT$6&gt;'Development Inputs'!$I$73,DT$6&lt;='Development Inputs'!$J$73),'Development Inputs'!$L$94*(1-'Development Inputs'!$H$73)/('Development Inputs'!$J$73-'Development Inputs'!$I$73),0))</f>
        <v>0</v>
      </c>
      <c r="DU42" s="229">
        <f>IF(DU$6='Development Inputs'!$I$73,'Development Inputs'!$L$94*'Development Inputs'!$H$73,IF(AND(DU$6&gt;'Development Inputs'!$I$73,DU$6&lt;='Development Inputs'!$J$73),'Development Inputs'!$L$94*(1-'Development Inputs'!$H$73)/('Development Inputs'!$J$73-'Development Inputs'!$I$73),0))</f>
        <v>0</v>
      </c>
      <c r="DV42" s="229">
        <f>IF(DV$6='Development Inputs'!$I$73,'Development Inputs'!$L$94*'Development Inputs'!$H$73,IF(AND(DV$6&gt;'Development Inputs'!$I$73,DV$6&lt;='Development Inputs'!$J$73),'Development Inputs'!$L$94*(1-'Development Inputs'!$H$73)/('Development Inputs'!$J$73-'Development Inputs'!$I$73),0))</f>
        <v>0</v>
      </c>
      <c r="DW42" s="229">
        <f>IF(DW$6='Development Inputs'!$I$73,'Development Inputs'!$L$94*'Development Inputs'!$H$73,IF(AND(DW$6&gt;'Development Inputs'!$I$73,DW$6&lt;='Development Inputs'!$J$73),'Development Inputs'!$L$94*(1-'Development Inputs'!$H$73)/('Development Inputs'!$J$73-'Development Inputs'!$I$73),0))</f>
        <v>0</v>
      </c>
      <c r="DX42" s="229">
        <f>IF(DX$6='Development Inputs'!$I$73,'Development Inputs'!$L$94*'Development Inputs'!$H$73,IF(AND(DX$6&gt;'Development Inputs'!$I$73,DX$6&lt;='Development Inputs'!$J$73),'Development Inputs'!$L$94*(1-'Development Inputs'!$H$73)/('Development Inputs'!$J$73-'Development Inputs'!$I$73),0))</f>
        <v>0</v>
      </c>
      <c r="DY42" s="229">
        <f>IF(DY$6='Development Inputs'!$I$73,'Development Inputs'!$L$94*'Development Inputs'!$H$73,IF(AND(DY$6&gt;'Development Inputs'!$I$73,DY$6&lt;='Development Inputs'!$J$73),'Development Inputs'!$L$94*(1-'Development Inputs'!$H$73)/('Development Inputs'!$J$73-'Development Inputs'!$I$73),0))</f>
        <v>0</v>
      </c>
      <c r="DZ42" s="229">
        <f>IF(DZ$6='Development Inputs'!$I$73,'Development Inputs'!$L$94*'Development Inputs'!$H$73,IF(AND(DZ$6&gt;'Development Inputs'!$I$73,DZ$6&lt;='Development Inputs'!$J$73),'Development Inputs'!$L$94*(1-'Development Inputs'!$H$73)/('Development Inputs'!$J$73-'Development Inputs'!$I$73),0))</f>
        <v>0</v>
      </c>
      <c r="EA42" s="229">
        <f>IF(EA$6='Development Inputs'!$I$73,'Development Inputs'!$L$94*'Development Inputs'!$H$73,IF(AND(EA$6&gt;'Development Inputs'!$I$73,EA$6&lt;='Development Inputs'!$J$73),'Development Inputs'!$L$94*(1-'Development Inputs'!$H$73)/('Development Inputs'!$J$73-'Development Inputs'!$I$73),0))</f>
        <v>0</v>
      </c>
      <c r="EB42" s="229">
        <f>IF(EB$6='Development Inputs'!$I$73,'Development Inputs'!$L$94*'Development Inputs'!$H$73,IF(AND(EB$6&gt;'Development Inputs'!$I$73,EB$6&lt;='Development Inputs'!$J$73),'Development Inputs'!$L$94*(1-'Development Inputs'!$H$73)/('Development Inputs'!$J$73-'Development Inputs'!$I$73),0))</f>
        <v>0</v>
      </c>
      <c r="EC42" s="229">
        <f>IF(EC$6='Development Inputs'!$I$73,'Development Inputs'!$L$94*'Development Inputs'!$H$73,IF(AND(EC$6&gt;'Development Inputs'!$I$73,EC$6&lt;='Development Inputs'!$J$73),'Development Inputs'!$L$94*(1-'Development Inputs'!$H$73)/('Development Inputs'!$J$73-'Development Inputs'!$I$73),0))</f>
        <v>0</v>
      </c>
      <c r="ED42" s="229">
        <f>IF(ED$6='Development Inputs'!$I$73,'Development Inputs'!$L$94*'Development Inputs'!$H$73,IF(AND(ED$6&gt;'Development Inputs'!$I$73,ED$6&lt;='Development Inputs'!$J$73),'Development Inputs'!$L$94*(1-'Development Inputs'!$H$73)/('Development Inputs'!$J$73-'Development Inputs'!$I$73),0))</f>
        <v>0</v>
      </c>
      <c r="EE42" s="229">
        <f>IF(EE$6='Development Inputs'!$I$73,'Development Inputs'!$L$94*'Development Inputs'!$H$73,IF(AND(EE$6&gt;'Development Inputs'!$I$73,EE$6&lt;='Development Inputs'!$J$73),'Development Inputs'!$L$94*(1-'Development Inputs'!$H$73)/('Development Inputs'!$J$73-'Development Inputs'!$I$73),0))</f>
        <v>0</v>
      </c>
      <c r="EF42" s="229">
        <f>IF(EF$6='Development Inputs'!$I$73,'Development Inputs'!$L$94*'Development Inputs'!$H$73,IF(AND(EF$6&gt;'Development Inputs'!$I$73,EF$6&lt;='Development Inputs'!$J$73),'Development Inputs'!$L$94*(1-'Development Inputs'!$H$73)/('Development Inputs'!$J$73-'Development Inputs'!$I$73),0))</f>
        <v>0</v>
      </c>
      <c r="EG42" s="229">
        <f>IF(EG$6='Development Inputs'!$I$73,'Development Inputs'!$L$94*'Development Inputs'!$H$73,IF(AND(EG$6&gt;'Development Inputs'!$I$73,EG$6&lt;='Development Inputs'!$J$73),'Development Inputs'!$L$94*(1-'Development Inputs'!$H$73)/('Development Inputs'!$J$73-'Development Inputs'!$I$73),0))</f>
        <v>0</v>
      </c>
      <c r="EH42" s="229">
        <f>SUBTOTAL(9,E42:EG42)</f>
        <v>4459158.9889518414</v>
      </c>
      <c r="EI42" s="227"/>
    </row>
    <row r="43" spans="1:139" x14ac:dyDescent="0.3">
      <c r="A43" s="206" t="s">
        <v>679</v>
      </c>
      <c r="B43" s="206"/>
      <c r="C43" s="206"/>
      <c r="E43" s="229">
        <f ca="1">SUM($EH$31:$EH$43,$EH$46:$EH$47)*'Development Inputs'!$B$13*E25</f>
        <v>0</v>
      </c>
      <c r="F43" s="229">
        <f ca="1">SUM($EH$31:$EH$43,$EH$46:$EH$47)*'Development Inputs'!$B$13*F25</f>
        <v>1527.8162092724476</v>
      </c>
      <c r="G43" s="229">
        <f ca="1">SUM($EH$31:$EH$43,$EH$46:$EH$47)*'Development Inputs'!$B$13*G25</f>
        <v>5358.7976218007125</v>
      </c>
      <c r="H43" s="229">
        <f ca="1">SUM($EH$31:$EH$43,$EH$46:$EH$47)*'Development Inputs'!$B$13*H25</f>
        <v>9182.7962492034239</v>
      </c>
      <c r="I43" s="229">
        <f ca="1">SUM($EH$31:$EH$43,$EH$46:$EH$47)*'Development Inputs'!$B$13*I25</f>
        <v>16943.787930231603</v>
      </c>
      <c r="J43" s="229">
        <f ca="1">SUM($EH$31:$EH$43,$EH$46:$EH$47)*'Development Inputs'!$B$13*J25</f>
        <v>28965.310577779095</v>
      </c>
      <c r="K43" s="229">
        <f ca="1">SUM($EH$31:$EH$43,$EH$46:$EH$47)*'Development Inputs'!$B$13*K25</f>
        <v>29874.266169656679</v>
      </c>
      <c r="L43" s="229">
        <f ca="1">SUM($EH$31:$EH$43,$EH$46:$EH$47)*'Development Inputs'!$B$13*L25</f>
        <v>38638.706020590638</v>
      </c>
      <c r="M43" s="229">
        <f ca="1">SUM($EH$31:$EH$43,$EH$46:$EH$47)*'Development Inputs'!$B$13*M25</f>
        <v>46220.859714864986</v>
      </c>
      <c r="N43" s="229">
        <f ca="1">SUM($EH$31:$EH$43,$EH$46:$EH$47)*'Development Inputs'!$B$13*N25</f>
        <v>49632.72648072317</v>
      </c>
      <c r="O43" s="229">
        <f ca="1">SUM($EH$31:$EH$43,$EH$46:$EH$47)*'Development Inputs'!$B$13*O25</f>
        <v>55489.870201862701</v>
      </c>
      <c r="P43" s="229">
        <f ca="1">SUM($EH$31:$EH$43,$EH$46:$EH$47)*'Development Inputs'!$B$13*P25</f>
        <v>58386.420197500003</v>
      </c>
      <c r="Q43" s="229">
        <f ca="1">SUM($EH$31:$EH$43,$EH$46:$EH$47)*'Development Inputs'!$B$13*Q25</f>
        <v>58832.675439146988</v>
      </c>
      <c r="R43" s="229">
        <f ca="1">SUM($EH$31:$EH$43,$EH$46:$EH$47)*'Development Inputs'!$B$13*R25</f>
        <v>55040.601785303137</v>
      </c>
      <c r="S43" s="229">
        <f ca="1">SUM($EH$31:$EH$43,$EH$46:$EH$47)*'Development Inputs'!$B$13*S25</f>
        <v>53258.069899379174</v>
      </c>
      <c r="T43" s="229">
        <f ca="1">SUM($EH$31:$EH$43,$EH$46:$EH$47)*'Development Inputs'!$B$13*T25</f>
        <v>52219.321706402436</v>
      </c>
      <c r="U43" s="229">
        <f ca="1">SUM($EH$31:$EH$43,$EH$46:$EH$47)*'Development Inputs'!$B$13*U25</f>
        <v>47689.145717423649</v>
      </c>
      <c r="V43" s="229">
        <f ca="1">SUM($EH$31:$EH$43,$EH$46:$EH$47)*'Development Inputs'!$B$13*V25</f>
        <v>42662.75303724769</v>
      </c>
      <c r="W43" s="229">
        <f ca="1">SUM($EH$31:$EH$43,$EH$46:$EH$47)*'Development Inputs'!$B$13*W25</f>
        <v>42660.652256103007</v>
      </c>
      <c r="X43" s="229">
        <f ca="1">SUM($EH$31:$EH$43,$EH$46:$EH$47)*'Development Inputs'!$B$13*X25</f>
        <v>39613.961736895901</v>
      </c>
      <c r="Y43" s="229">
        <f ca="1">SUM($EH$31:$EH$43,$EH$46:$EH$47)*'Development Inputs'!$B$13*Y25</f>
        <v>33270.650868462617</v>
      </c>
      <c r="Z43" s="229">
        <f ca="1">SUM($EH$31:$EH$43,$EH$46:$EH$47)*'Development Inputs'!$B$13*Z25</f>
        <v>28527.261007835841</v>
      </c>
      <c r="AA43" s="229">
        <f ca="1">SUM($EH$31:$EH$43,$EH$46:$EH$47)*'Development Inputs'!$B$13*AA25</f>
        <v>24092.593488256458</v>
      </c>
      <c r="AB43" s="229">
        <f ca="1">SUM($EH$31:$EH$43,$EH$46:$EH$47)*'Development Inputs'!$B$13*AB25</f>
        <v>16544.968356192254</v>
      </c>
      <c r="AC43" s="229">
        <f ca="1">SUM($EH$31:$EH$43,$EH$46:$EH$47)*'Development Inputs'!$B$13*AC25</f>
        <v>13340.290580208819</v>
      </c>
      <c r="AD43" s="229">
        <f ca="1">SUM($EH$31:$EH$43,$EH$46:$EH$47)*'Development Inputs'!$B$13*AD25</f>
        <v>8503.269153532472</v>
      </c>
      <c r="AE43" s="229">
        <f ca="1">SUM($EH$31:$EH$43,$EH$46:$EH$47)*'Development Inputs'!$B$13*AE25</f>
        <v>0</v>
      </c>
      <c r="AF43" s="229">
        <f ca="1">SUM($EH$31:$EH$43,$EH$46:$EH$47)*'Development Inputs'!$B$13*AF25</f>
        <v>0</v>
      </c>
      <c r="AG43" s="229">
        <f ca="1">SUM($EH$31:$EH$43,$EH$46:$EH$47)*'Development Inputs'!$B$13*AG25</f>
        <v>0</v>
      </c>
      <c r="AH43" s="229">
        <f ca="1">SUM($EH$31:$EH$43,$EH$46:$EH$47)*'Development Inputs'!$B$13*AH25</f>
        <v>0</v>
      </c>
      <c r="AI43" s="229">
        <f ca="1">SUM($EH$31:$EH$43,$EH$46:$EH$47)*'Development Inputs'!$B$13*AI25</f>
        <v>0</v>
      </c>
      <c r="AJ43" s="229">
        <f ca="1">SUM($EH$31:$EH$43,$EH$46:$EH$47)*'Development Inputs'!$B$13*AJ25</f>
        <v>0</v>
      </c>
      <c r="AK43" s="229">
        <f ca="1">SUM($EH$31:$EH$43,$EH$46:$EH$47)*'Development Inputs'!$B$13*AK25</f>
        <v>0</v>
      </c>
      <c r="AL43" s="229">
        <f ca="1">SUM($EH$31:$EH$43,$EH$46:$EH$47)*'Development Inputs'!$B$13*AL25</f>
        <v>0</v>
      </c>
      <c r="AM43" s="229">
        <f ca="1">SUM($EH$31:$EH$43,$EH$46:$EH$47)*'Development Inputs'!$B$13*AM25</f>
        <v>0</v>
      </c>
      <c r="AN43" s="229">
        <f ca="1">SUM($EH$31:$EH$43,$EH$46:$EH$47)*'Development Inputs'!$B$13*AN25</f>
        <v>0</v>
      </c>
      <c r="AO43" s="229">
        <f ca="1">SUM($EH$31:$EH$43,$EH$46:$EH$47)*'Development Inputs'!$B$13*AO25</f>
        <v>0</v>
      </c>
      <c r="AP43" s="229">
        <f ca="1">SUM($EH$31:$EH$43,$EH$46:$EH$47)*'Development Inputs'!$B$13*AP25</f>
        <v>0</v>
      </c>
      <c r="AQ43" s="229">
        <f ca="1">SUM($EH$31:$EH$43,$EH$46:$EH$47)*'Development Inputs'!$B$13*AQ25</f>
        <v>0</v>
      </c>
      <c r="AR43" s="229">
        <f ca="1">SUM($EH$31:$EH$43,$EH$46:$EH$47)*'Development Inputs'!$B$13*AR25</f>
        <v>0</v>
      </c>
      <c r="AS43" s="229">
        <f ca="1">SUM($EH$31:$EH$43,$EH$46:$EH$47)*'Development Inputs'!$B$13*AS25</f>
        <v>0</v>
      </c>
      <c r="AT43" s="229">
        <f ca="1">SUM($EH$31:$EH$43,$EH$46:$EH$47)*'Development Inputs'!$B$13*AT25</f>
        <v>0</v>
      </c>
      <c r="AU43" s="229">
        <f ca="1">SUM($EH$31:$EH$43,$EH$46:$EH$47)*'Development Inputs'!$B$13*AU25</f>
        <v>0</v>
      </c>
      <c r="AV43" s="229">
        <f ca="1">SUM($EH$31:$EH$43,$EH$46:$EH$47)*'Development Inputs'!$B$13*AV25</f>
        <v>0</v>
      </c>
      <c r="AW43" s="229">
        <f ca="1">SUM($EH$31:$EH$43,$EH$46:$EH$47)*'Development Inputs'!$B$13*AW25</f>
        <v>0</v>
      </c>
      <c r="AX43" s="229">
        <f ca="1">SUM($EH$31:$EH$43,$EH$46:$EH$47)*'Development Inputs'!$B$13*AX25</f>
        <v>0</v>
      </c>
      <c r="AY43" s="229">
        <f ca="1">SUM($EH$31:$EH$43,$EH$46:$EH$47)*'Development Inputs'!$B$13*AY25</f>
        <v>0</v>
      </c>
      <c r="AZ43" s="229">
        <f ca="1">SUM($EH$31:$EH$43,$EH$46:$EH$47)*'Development Inputs'!$B$13*AZ25</f>
        <v>0</v>
      </c>
      <c r="BA43" s="229">
        <f ca="1">SUM($EH$31:$EH$43,$EH$46:$EH$47)*'Development Inputs'!$B$13*BA25</f>
        <v>0</v>
      </c>
      <c r="BB43" s="229">
        <f ca="1">SUM($EH$31:$EH$43,$EH$46:$EH$47)*'Development Inputs'!$B$13*BB25</f>
        <v>0</v>
      </c>
      <c r="BC43" s="229">
        <f ca="1">SUM($EH$31:$EH$43,$EH$46:$EH$47)*'Development Inputs'!$B$13*BC25</f>
        <v>0</v>
      </c>
      <c r="BD43" s="229">
        <f ca="1">SUM($EH$31:$EH$43,$EH$46:$EH$47)*'Development Inputs'!$B$13*BD25</f>
        <v>0</v>
      </c>
      <c r="BE43" s="229">
        <f ca="1">SUM($EH$31:$EH$43,$EH$46:$EH$47)*'Development Inputs'!$B$13*BE25</f>
        <v>0</v>
      </c>
      <c r="BF43" s="229">
        <f ca="1">SUM($EH$31:$EH$43,$EH$46:$EH$47)*'Development Inputs'!$B$13*BF25</f>
        <v>0</v>
      </c>
      <c r="BG43" s="229">
        <f ca="1">SUM($EH$31:$EH$43,$EH$46:$EH$47)*'Development Inputs'!$B$13*BG25</f>
        <v>0</v>
      </c>
      <c r="BH43" s="229">
        <f ca="1">SUM($EH$31:$EH$43,$EH$46:$EH$47)*'Development Inputs'!$B$13*BH25</f>
        <v>0</v>
      </c>
      <c r="BI43" s="229">
        <f ca="1">SUM($EH$31:$EH$43,$EH$46:$EH$47)*'Development Inputs'!$B$13*BI25</f>
        <v>0</v>
      </c>
      <c r="BJ43" s="229">
        <f ca="1">SUM($EH$31:$EH$43,$EH$46:$EH$47)*'Development Inputs'!$B$13*BJ25</f>
        <v>0</v>
      </c>
      <c r="BK43" s="229">
        <f ca="1">SUM($EH$31:$EH$43,$EH$46:$EH$47)*'Development Inputs'!$B$13*BK25</f>
        <v>0</v>
      </c>
      <c r="BL43" s="229">
        <f ca="1">SUM($EH$31:$EH$43,$EH$46:$EH$47)*'Development Inputs'!$B$13*BL25</f>
        <v>0</v>
      </c>
      <c r="BM43" s="229">
        <f ca="1">SUM($EH$31:$EH$43,$EH$46:$EH$47)*'Development Inputs'!$B$13*BM25</f>
        <v>0</v>
      </c>
      <c r="BN43" s="229">
        <f ca="1">SUM($EH$31:$EH$43,$EH$46:$EH$47)*'Development Inputs'!$B$13*BN25</f>
        <v>0</v>
      </c>
      <c r="BO43" s="229">
        <f ca="1">SUM($EH$31:$EH$43,$EH$46:$EH$47)*'Development Inputs'!$B$13*BO25</f>
        <v>0</v>
      </c>
      <c r="BP43" s="229">
        <f ca="1">SUM($EH$31:$EH$43,$EH$46:$EH$47)*'Development Inputs'!$B$13*BP25</f>
        <v>0</v>
      </c>
      <c r="BQ43" s="229">
        <f ca="1">SUM($EH$31:$EH$43,$EH$46:$EH$47)*'Development Inputs'!$B$13*BQ25</f>
        <v>0</v>
      </c>
      <c r="BR43" s="229">
        <f ca="1">SUM($EH$31:$EH$43,$EH$46:$EH$47)*'Development Inputs'!$B$13*BR25</f>
        <v>0</v>
      </c>
      <c r="BS43" s="229">
        <f ca="1">SUM($EH$31:$EH$43,$EH$46:$EH$47)*'Development Inputs'!$B$13*BS25</f>
        <v>0</v>
      </c>
      <c r="BT43" s="229">
        <f ca="1">SUM($EH$31:$EH$43,$EH$46:$EH$47)*'Development Inputs'!$B$13*BT25</f>
        <v>0</v>
      </c>
      <c r="BU43" s="229">
        <f ca="1">SUM($EH$31:$EH$43,$EH$46:$EH$47)*'Development Inputs'!$B$13*BU25</f>
        <v>0</v>
      </c>
      <c r="BV43" s="229">
        <f ca="1">SUM($EH$31:$EH$43,$EH$46:$EH$47)*'Development Inputs'!$B$13*BV25</f>
        <v>0</v>
      </c>
      <c r="BW43" s="229">
        <f ca="1">SUM($EH$31:$EH$43,$EH$46:$EH$47)*'Development Inputs'!$B$13*BW25</f>
        <v>0</v>
      </c>
      <c r="BX43" s="229">
        <f ca="1">SUM($EH$31:$EH$43,$EH$46:$EH$47)*'Development Inputs'!$B$13*BX25</f>
        <v>0</v>
      </c>
      <c r="BY43" s="229">
        <f ca="1">SUM($EH$31:$EH$43,$EH$46:$EH$47)*'Development Inputs'!$B$13*BY25</f>
        <v>0</v>
      </c>
      <c r="BZ43" s="229">
        <f ca="1">SUM($EH$31:$EH$43,$EH$46:$EH$47)*'Development Inputs'!$B$13*BZ25</f>
        <v>0</v>
      </c>
      <c r="CA43" s="229">
        <f ca="1">SUM($EH$31:$EH$43,$EH$46:$EH$47)*'Development Inputs'!$B$13*CA25</f>
        <v>0</v>
      </c>
      <c r="CB43" s="229">
        <f ca="1">SUM($EH$31:$EH$43,$EH$46:$EH$47)*'Development Inputs'!$B$13*CB25</f>
        <v>0</v>
      </c>
      <c r="CC43" s="229">
        <f ca="1">SUM($EH$31:$EH$43,$EH$46:$EH$47)*'Development Inputs'!$B$13*CC25</f>
        <v>0</v>
      </c>
      <c r="CD43" s="229">
        <f ca="1">SUM($EH$31:$EH$43,$EH$46:$EH$47)*'Development Inputs'!$B$13*CD25</f>
        <v>0</v>
      </c>
      <c r="CE43" s="229">
        <f ca="1">SUM($EH$31:$EH$43,$EH$46:$EH$47)*'Development Inputs'!$B$13*CE25</f>
        <v>0</v>
      </c>
      <c r="CF43" s="229">
        <f ca="1">SUM($EH$31:$EH$43,$EH$46:$EH$47)*'Development Inputs'!$B$13*CF25</f>
        <v>0</v>
      </c>
      <c r="CG43" s="229">
        <f ca="1">SUM($EH$31:$EH$43,$EH$46:$EH$47)*'Development Inputs'!$B$13*CG25</f>
        <v>0</v>
      </c>
      <c r="CH43" s="229">
        <f ca="1">SUM($EH$31:$EH$43,$EH$46:$EH$47)*'Development Inputs'!$B$13*CH25</f>
        <v>0</v>
      </c>
      <c r="CI43" s="229">
        <f ca="1">SUM($EH$31:$EH$43,$EH$46:$EH$47)*'Development Inputs'!$B$13*CI25</f>
        <v>0</v>
      </c>
      <c r="CJ43" s="229">
        <f ca="1">SUM($EH$31:$EH$43,$EH$46:$EH$47)*'Development Inputs'!$B$13*CJ25</f>
        <v>0</v>
      </c>
      <c r="CK43" s="229">
        <f ca="1">SUM($EH$31:$EH$43,$EH$46:$EH$47)*'Development Inputs'!$B$13*CK25</f>
        <v>0</v>
      </c>
      <c r="CL43" s="229">
        <f ca="1">SUM($EH$31:$EH$43,$EH$46:$EH$47)*'Development Inputs'!$B$13*CL25</f>
        <v>0</v>
      </c>
      <c r="CM43" s="229">
        <f ca="1">SUM($EH$31:$EH$43,$EH$46:$EH$47)*'Development Inputs'!$B$13*CM25</f>
        <v>0</v>
      </c>
      <c r="CN43" s="229">
        <f ca="1">SUM($EH$31:$EH$43,$EH$46:$EH$47)*'Development Inputs'!$B$13*CN25</f>
        <v>0</v>
      </c>
      <c r="CO43" s="229">
        <f ca="1">SUM($EH$31:$EH$43,$EH$46:$EH$47)*'Development Inputs'!$B$13*CO25</f>
        <v>0</v>
      </c>
      <c r="CP43" s="229">
        <f ca="1">SUM($EH$31:$EH$43,$EH$46:$EH$47)*'Development Inputs'!$B$13*CP25</f>
        <v>0</v>
      </c>
      <c r="CQ43" s="229">
        <f ca="1">SUM($EH$31:$EH$43,$EH$46:$EH$47)*'Development Inputs'!$B$13*CQ25</f>
        <v>0</v>
      </c>
      <c r="CR43" s="229">
        <f ca="1">SUM($EH$31:$EH$43,$EH$46:$EH$47)*'Development Inputs'!$B$13*CR25</f>
        <v>0</v>
      </c>
      <c r="CS43" s="229">
        <f ca="1">SUM($EH$31:$EH$43,$EH$46:$EH$47)*'Development Inputs'!$B$13*CS25</f>
        <v>0</v>
      </c>
      <c r="CT43" s="229">
        <f ca="1">SUM($EH$31:$EH$43,$EH$46:$EH$47)*'Development Inputs'!$B$13*CT25</f>
        <v>0</v>
      </c>
      <c r="CU43" s="229">
        <f ca="1">SUM($EH$31:$EH$43,$EH$46:$EH$47)*'Development Inputs'!$B$13*CU25</f>
        <v>0</v>
      </c>
      <c r="CV43" s="229">
        <f ca="1">SUM($EH$31:$EH$43,$EH$46:$EH$47)*'Development Inputs'!$B$13*CV25</f>
        <v>0</v>
      </c>
      <c r="CW43" s="229">
        <f ca="1">SUM($EH$31:$EH$43,$EH$46:$EH$47)*'Development Inputs'!$B$13*CW25</f>
        <v>0</v>
      </c>
      <c r="CX43" s="229">
        <f ca="1">SUM($EH$31:$EH$43,$EH$46:$EH$47)*'Development Inputs'!$B$13*CX25</f>
        <v>0</v>
      </c>
      <c r="CY43" s="229">
        <f ca="1">SUM($EH$31:$EH$43,$EH$46:$EH$47)*'Development Inputs'!$B$13*CY25</f>
        <v>0</v>
      </c>
      <c r="CZ43" s="229">
        <f ca="1">SUM($EH$31:$EH$43,$EH$46:$EH$47)*'Development Inputs'!$B$13*CZ25</f>
        <v>0</v>
      </c>
      <c r="DA43" s="229">
        <f ca="1">SUM($EH$31:$EH$43,$EH$46:$EH$47)*'Development Inputs'!$B$13*DA25</f>
        <v>0</v>
      </c>
      <c r="DB43" s="229">
        <f ca="1">SUM($EH$31:$EH$43,$EH$46:$EH$47)*'Development Inputs'!$B$13*DB25</f>
        <v>0</v>
      </c>
      <c r="DC43" s="229">
        <f ca="1">SUM($EH$31:$EH$43,$EH$46:$EH$47)*'Development Inputs'!$B$13*DC25</f>
        <v>0</v>
      </c>
      <c r="DD43" s="229">
        <f ca="1">SUM($EH$31:$EH$43,$EH$46:$EH$47)*'Development Inputs'!$B$13*DD25</f>
        <v>0</v>
      </c>
      <c r="DE43" s="229">
        <f ca="1">SUM($EH$31:$EH$43,$EH$46:$EH$47)*'Development Inputs'!$B$13*DE25</f>
        <v>0</v>
      </c>
      <c r="DF43" s="229">
        <f ca="1">SUM($EH$31:$EH$43,$EH$46:$EH$47)*'Development Inputs'!$B$13*DF25</f>
        <v>0</v>
      </c>
      <c r="DG43" s="229">
        <f ca="1">SUM($EH$31:$EH$43,$EH$46:$EH$47)*'Development Inputs'!$B$13*DG25</f>
        <v>0</v>
      </c>
      <c r="DH43" s="229">
        <f ca="1">SUM($EH$31:$EH$43,$EH$46:$EH$47)*'Development Inputs'!$B$13*DH25</f>
        <v>0</v>
      </c>
      <c r="DI43" s="229">
        <f ca="1">SUM($EH$31:$EH$43,$EH$46:$EH$47)*'Development Inputs'!$B$13*DI25</f>
        <v>0</v>
      </c>
      <c r="DJ43" s="229">
        <f ca="1">SUM($EH$31:$EH$43,$EH$46:$EH$47)*'Development Inputs'!$B$13*DJ25</f>
        <v>0</v>
      </c>
      <c r="DK43" s="229">
        <f ca="1">SUM($EH$31:$EH$43,$EH$46:$EH$47)*'Development Inputs'!$B$13*DK25</f>
        <v>0</v>
      </c>
      <c r="DL43" s="229">
        <f ca="1">SUM($EH$31:$EH$43,$EH$46:$EH$47)*'Development Inputs'!$B$13*DL25</f>
        <v>0</v>
      </c>
      <c r="DM43" s="229">
        <f ca="1">SUM($EH$31:$EH$43,$EH$46:$EH$47)*'Development Inputs'!$B$13*DM25</f>
        <v>0</v>
      </c>
      <c r="DN43" s="229">
        <f ca="1">SUM($EH$31:$EH$43,$EH$46:$EH$47)*'Development Inputs'!$B$13*DN25</f>
        <v>0</v>
      </c>
      <c r="DO43" s="229">
        <f ca="1">SUM($EH$31:$EH$43,$EH$46:$EH$47)*'Development Inputs'!$B$13*DO25</f>
        <v>0</v>
      </c>
      <c r="DP43" s="229">
        <f ca="1">SUM($EH$31:$EH$43,$EH$46:$EH$47)*'Development Inputs'!$B$13*DP25</f>
        <v>0</v>
      </c>
      <c r="DQ43" s="229">
        <f ca="1">SUM($EH$31:$EH$43,$EH$46:$EH$47)*'Development Inputs'!$B$13*DQ25</f>
        <v>0</v>
      </c>
      <c r="DR43" s="229">
        <f ca="1">SUM($EH$31:$EH$43,$EH$46:$EH$47)*'Development Inputs'!$B$13*DR25</f>
        <v>0</v>
      </c>
      <c r="DS43" s="229">
        <f ca="1">SUM($EH$31:$EH$43,$EH$46:$EH$47)*'Development Inputs'!$B$13*DS25</f>
        <v>0</v>
      </c>
      <c r="DT43" s="229">
        <f ca="1">SUM($EH$31:$EH$43,$EH$46:$EH$47)*'Development Inputs'!$B$13*DT25</f>
        <v>0</v>
      </c>
      <c r="DU43" s="229">
        <f ca="1">SUM($EH$31:$EH$43,$EH$46:$EH$47)*'Development Inputs'!$B$13*DU25</f>
        <v>0</v>
      </c>
      <c r="DV43" s="229">
        <f ca="1">SUM($EH$31:$EH$43,$EH$46:$EH$47)*'Development Inputs'!$B$13*DV25</f>
        <v>0</v>
      </c>
      <c r="DW43" s="229">
        <f ca="1">SUM($EH$31:$EH$43,$EH$46:$EH$47)*'Development Inputs'!$B$13*DW25</f>
        <v>0</v>
      </c>
      <c r="DX43" s="229">
        <f ca="1">SUM($EH$31:$EH$43,$EH$46:$EH$47)*'Development Inputs'!$B$13*DX25</f>
        <v>0</v>
      </c>
      <c r="DY43" s="229">
        <f ca="1">SUM($EH$31:$EH$43,$EH$46:$EH$47)*'Development Inputs'!$B$13*DY25</f>
        <v>0</v>
      </c>
      <c r="DZ43" s="229">
        <f ca="1">SUM($EH$31:$EH$43,$EH$46:$EH$47)*'Development Inputs'!$B$13*DZ25</f>
        <v>0</v>
      </c>
      <c r="EA43" s="229">
        <f ca="1">SUM($EH$31:$EH$43,$EH$46:$EH$47)*'Development Inputs'!$B$13*EA25</f>
        <v>0</v>
      </c>
      <c r="EB43" s="229">
        <f ca="1">SUM($EH$31:$EH$43,$EH$46:$EH$47)*'Development Inputs'!$B$13*EB25</f>
        <v>0</v>
      </c>
      <c r="EC43" s="229">
        <f ca="1">SUM($EH$31:$EH$43,$EH$46:$EH$47)*'Development Inputs'!$B$13*EC25</f>
        <v>0</v>
      </c>
      <c r="ED43" s="229">
        <f ca="1">SUM($EH$31:$EH$43,$EH$46:$EH$47)*'Development Inputs'!$B$13*ED25</f>
        <v>0</v>
      </c>
      <c r="EE43" s="229">
        <f ca="1">SUM($EH$31:$EH$43,$EH$46:$EH$47)*'Development Inputs'!$B$13*EE25</f>
        <v>0</v>
      </c>
      <c r="EF43" s="229">
        <f ca="1">SUM($EH$31:$EH$43,$EH$46:$EH$47)*'Development Inputs'!$B$13*EF25</f>
        <v>0</v>
      </c>
      <c r="EG43" s="229">
        <f ca="1">SUM($EH$31:$EH$43,$EH$46:$EH$47)*'Development Inputs'!$B$13*EG25</f>
        <v>0</v>
      </c>
      <c r="EH43" s="229">
        <f ca="1">IF(Macros!$B$3=2,1,SUBTOTAL(9,E43:EG43))</f>
        <v>856477.57240587578</v>
      </c>
      <c r="EI43" s="227"/>
    </row>
    <row r="44" spans="1:139" x14ac:dyDescent="0.3">
      <c r="A44" s="428" t="s">
        <v>817</v>
      </c>
      <c r="B44" s="428"/>
      <c r="C44" s="428"/>
      <c r="EI44" s="227"/>
    </row>
    <row r="45" spans="1:139" x14ac:dyDescent="0.3">
      <c r="A45" s="413" t="s">
        <v>462</v>
      </c>
      <c r="B45" s="413"/>
      <c r="C45" s="413"/>
      <c r="D45" s="652">
        <f>(TotalHardCosts*(1+PreStartHCGrowth))</f>
        <v>51980072.894060962</v>
      </c>
      <c r="E45" s="229">
        <f>'Development Inputs'!$G$48*$D$45</f>
        <v>0</v>
      </c>
      <c r="F45" s="229">
        <f>$D$45*(1-'Development Inputs'!$G$48)*F$25</f>
        <v>92723.966727613617</v>
      </c>
      <c r="G45" s="229">
        <f>$D$45*(1-'Development Inputs'!$G$48)*G$25</f>
        <v>325228.23711923102</v>
      </c>
      <c r="H45" s="229">
        <f>$D$45*(1-'Development Inputs'!$G$48)*H$25</f>
        <v>557308.71862071997</v>
      </c>
      <c r="I45" s="229">
        <f>$D$45*(1-'Development Inputs'!$G$48)*I$25</f>
        <v>1028327.372590646</v>
      </c>
      <c r="J45" s="229">
        <f>$D$45*(1-'Development Inputs'!$G$48)*J$25</f>
        <v>1757919.8845834753</v>
      </c>
      <c r="K45" s="229">
        <f>$D$45*(1-'Development Inputs'!$G$48)*K$25</f>
        <v>1813084.8759918795</v>
      </c>
      <c r="L45" s="229">
        <f>$D$45*(1-'Development Inputs'!$G$48)*L$25</f>
        <v>2345003.3254702827</v>
      </c>
      <c r="M45" s="229">
        <f>$D$45*(1-'Development Inputs'!$G$48)*M$25</f>
        <v>2805168.2082648831</v>
      </c>
      <c r="N45" s="229">
        <f>$D$45*(1-'Development Inputs'!$G$48)*N$25</f>
        <v>3012236.1910212236</v>
      </c>
      <c r="O45" s="229">
        <f>$D$45*(1-'Development Inputs'!$G$48)*O$25</f>
        <v>3367709.3141768016</v>
      </c>
      <c r="P45" s="229">
        <f>$D$45*(1-'Development Inputs'!$G$48)*P$25</f>
        <v>3543502.4519837648</v>
      </c>
      <c r="Q45" s="229">
        <f>$D$45*(1-'Development Inputs'!$G$48)*Q$25</f>
        <v>3570585.9165571653</v>
      </c>
      <c r="R45" s="229">
        <f>$D$45*(1-'Development Inputs'!$G$48)*R$25</f>
        <v>3340442.9784382419</v>
      </c>
      <c r="S45" s="229">
        <f>$D$45*(1-'Development Inputs'!$G$48)*S$25</f>
        <v>3232260.1837550825</v>
      </c>
      <c r="T45" s="229">
        <f>$D$45*(1-'Development Inputs'!$G$48)*T$25</f>
        <v>3169218.0113397171</v>
      </c>
      <c r="U45" s="229">
        <f>$D$45*(1-'Development Inputs'!$G$48)*U$25</f>
        <v>2894279.2555371877</v>
      </c>
      <c r="V45" s="229">
        <f>$D$45*(1-'Development Inputs'!$G$48)*V$25</f>
        <v>2589224.8485948113</v>
      </c>
      <c r="W45" s="229">
        <f>$D$45*(1-'Development Inputs'!$G$48)*W$25</f>
        <v>2589097.3510857658</v>
      </c>
      <c r="X45" s="229">
        <f>$D$45*(1-'Development Inputs'!$G$48)*X$25</f>
        <v>2404192.106189311</v>
      </c>
      <c r="Y45" s="229">
        <f>$D$45*(1-'Development Inputs'!$G$48)*Y$25</f>
        <v>2019213.2439820494</v>
      </c>
      <c r="Z45" s="229">
        <f>$D$45*(1-'Development Inputs'!$G$48)*Z$25</f>
        <v>1731334.4265277539</v>
      </c>
      <c r="AA45" s="229">
        <f>$D$45*(1-'Development Inputs'!$G$48)*AA$25</f>
        <v>1462192.1298052163</v>
      </c>
      <c r="AB45" s="229">
        <f>$D$45*(1-'Development Inputs'!$G$48)*AB$25</f>
        <v>1004122.8035534082</v>
      </c>
      <c r="AC45" s="229">
        <f>$D$45*(1-'Development Inputs'!$G$48)*AC$25</f>
        <v>809629.22921535675</v>
      </c>
      <c r="AD45" s="229">
        <f>$D$45*(1-'Development Inputs'!$G$48)*AD$25</f>
        <v>516067.86292937328</v>
      </c>
      <c r="AE45" s="229">
        <f>$D$45*(1-'Development Inputs'!$G$48)*AE$25</f>
        <v>0</v>
      </c>
      <c r="AF45" s="229">
        <f>$D$45*(1-'Development Inputs'!$G$48)*AF$25</f>
        <v>0</v>
      </c>
      <c r="AG45" s="229">
        <f>$D$45*(1-'Development Inputs'!$G$48)*AG$25</f>
        <v>0</v>
      </c>
      <c r="AH45" s="229">
        <f>$D$45*(1-'Development Inputs'!$G$48)*AH$25</f>
        <v>0</v>
      </c>
      <c r="AI45" s="229">
        <f>$D$45*(1-'Development Inputs'!$G$48)*AI$25</f>
        <v>0</v>
      </c>
      <c r="AJ45" s="229">
        <f>$D$45*(1-'Development Inputs'!$G$48)*AJ$25</f>
        <v>0</v>
      </c>
      <c r="AK45" s="229">
        <f>$D$45*(1-'Development Inputs'!$G$48)*AK$25</f>
        <v>0</v>
      </c>
      <c r="AL45" s="229">
        <f>$D$45*(1-'Development Inputs'!$G$48)*AL$25</f>
        <v>0</v>
      </c>
      <c r="AM45" s="229">
        <f>$D$45*(1-'Development Inputs'!$G$48)*AM$25</f>
        <v>0</v>
      </c>
      <c r="AN45" s="229">
        <f>$D$45*(1-'Development Inputs'!$G$48)*AN$25</f>
        <v>0</v>
      </c>
      <c r="AO45" s="229">
        <f>$D$45*(1-'Development Inputs'!$G$48)*AO$25</f>
        <v>0</v>
      </c>
      <c r="AP45" s="229">
        <f>$D$45*(1-'Development Inputs'!$G$48)*AP$25</f>
        <v>0</v>
      </c>
      <c r="AQ45" s="229">
        <f>$D$45*(1-'Development Inputs'!$G$48)*AQ$25</f>
        <v>0</v>
      </c>
      <c r="AR45" s="229">
        <f>$D$45*(1-'Development Inputs'!$G$48)*AR$25</f>
        <v>0</v>
      </c>
      <c r="AS45" s="229">
        <f>$D$45*(1-'Development Inputs'!$G$48)*AS$25</f>
        <v>0</v>
      </c>
      <c r="AT45" s="229">
        <f>$D$45*(1-'Development Inputs'!$G$48)*AT$25</f>
        <v>0</v>
      </c>
      <c r="AU45" s="229">
        <f>$D$45*(1-'Development Inputs'!$G$48)*AU$25</f>
        <v>0</v>
      </c>
      <c r="AV45" s="229">
        <f>$D$45*(1-'Development Inputs'!$G$48)*AV$25</f>
        <v>0</v>
      </c>
      <c r="AW45" s="229">
        <f>$D$45*(1-'Development Inputs'!$G$48)*AW$25</f>
        <v>0</v>
      </c>
      <c r="AX45" s="229">
        <f>$D$45*(1-'Development Inputs'!$G$48)*AX$25</f>
        <v>0</v>
      </c>
      <c r="AY45" s="229">
        <f>$D$45*(1-'Development Inputs'!$G$48)*AY$25</f>
        <v>0</v>
      </c>
      <c r="AZ45" s="229">
        <f>$D$45*(1-'Development Inputs'!$G$48)*AZ$25</f>
        <v>0</v>
      </c>
      <c r="BA45" s="229">
        <f>$D$45*(1-'Development Inputs'!$G$48)*BA$25</f>
        <v>0</v>
      </c>
      <c r="BB45" s="229">
        <f>$D$45*(1-'Development Inputs'!$G$48)*BB$25</f>
        <v>0</v>
      </c>
      <c r="BC45" s="229">
        <f>$D$45*(1-'Development Inputs'!$G$48)*BC$25</f>
        <v>0</v>
      </c>
      <c r="BD45" s="229">
        <f>$D$45*(1-'Development Inputs'!$G$48)*BD$25</f>
        <v>0</v>
      </c>
      <c r="BE45" s="229">
        <f>$D$45*(1-'Development Inputs'!$G$48)*BE$25</f>
        <v>0</v>
      </c>
      <c r="BF45" s="229">
        <f>$D$45*(1-'Development Inputs'!$G$48)*BF$25</f>
        <v>0</v>
      </c>
      <c r="BG45" s="229">
        <f>$D$45*(1-'Development Inputs'!$G$48)*BG$25</f>
        <v>0</v>
      </c>
      <c r="BH45" s="229">
        <f>$D$45*(1-'Development Inputs'!$G$48)*BH$25</f>
        <v>0</v>
      </c>
      <c r="BI45" s="229">
        <f>$D$45*(1-'Development Inputs'!$G$48)*BI$25</f>
        <v>0</v>
      </c>
      <c r="BJ45" s="229">
        <f>$D$45*(1-'Development Inputs'!$G$48)*BJ$25</f>
        <v>0</v>
      </c>
      <c r="BK45" s="229">
        <f>$D$45*(1-'Development Inputs'!$G$48)*BK$25</f>
        <v>0</v>
      </c>
      <c r="BL45" s="229">
        <f>$D$45*(1-'Development Inputs'!$G$48)*BL$25</f>
        <v>0</v>
      </c>
      <c r="BM45" s="229">
        <f>$D$45*(1-'Development Inputs'!$G$48)*BM$25</f>
        <v>0</v>
      </c>
      <c r="BN45" s="229">
        <f>$D$45*(1-'Development Inputs'!$G$48)*BN$25</f>
        <v>0</v>
      </c>
      <c r="BO45" s="229">
        <f>$D$45*(1-'Development Inputs'!$G$48)*BO$25</f>
        <v>0</v>
      </c>
      <c r="BP45" s="229">
        <f>$D$45*(1-'Development Inputs'!$G$48)*BP$25</f>
        <v>0</v>
      </c>
      <c r="BQ45" s="229">
        <f>$D$45*(1-'Development Inputs'!$G$48)*BQ$25</f>
        <v>0</v>
      </c>
      <c r="BR45" s="229">
        <f>$D$45*(1-'Development Inputs'!$G$48)*BR$25</f>
        <v>0</v>
      </c>
      <c r="BS45" s="229">
        <f>$D$45*(1-'Development Inputs'!$G$48)*BS$25</f>
        <v>0</v>
      </c>
      <c r="BT45" s="229">
        <f>$D$45*(1-'Development Inputs'!$G$48)*BT$25</f>
        <v>0</v>
      </c>
      <c r="BU45" s="229">
        <f>$D$45*(1-'Development Inputs'!$G$48)*BU$25</f>
        <v>0</v>
      </c>
      <c r="BV45" s="229">
        <f>$D$45*(1-'Development Inputs'!$G$48)*BV$25</f>
        <v>0</v>
      </c>
      <c r="BW45" s="229">
        <f>$D$45*(1-'Development Inputs'!$G$48)*BW$25</f>
        <v>0</v>
      </c>
      <c r="BX45" s="229">
        <f>$D$45*(1-'Development Inputs'!$G$48)*BX$25</f>
        <v>0</v>
      </c>
      <c r="BY45" s="229">
        <f>$D$45*(1-'Development Inputs'!$G$48)*BY$25</f>
        <v>0</v>
      </c>
      <c r="BZ45" s="229">
        <f>$D$45*(1-'Development Inputs'!$G$48)*BZ$25</f>
        <v>0</v>
      </c>
      <c r="CA45" s="229">
        <f>$D$45*(1-'Development Inputs'!$G$48)*CA$25</f>
        <v>0</v>
      </c>
      <c r="CB45" s="229">
        <f>$D$45*(1-'Development Inputs'!$G$48)*CB$25</f>
        <v>0</v>
      </c>
      <c r="CC45" s="229">
        <f>$D$45*(1-'Development Inputs'!$G$48)*CC$25</f>
        <v>0</v>
      </c>
      <c r="CD45" s="229">
        <f>$D$45*(1-'Development Inputs'!$G$48)*CD$25</f>
        <v>0</v>
      </c>
      <c r="CE45" s="229">
        <f>$D$45*(1-'Development Inputs'!$G$48)*CE$25</f>
        <v>0</v>
      </c>
      <c r="CF45" s="229">
        <f>$D$45*(1-'Development Inputs'!$G$48)*CF$25</f>
        <v>0</v>
      </c>
      <c r="CG45" s="229">
        <f>$D$45*(1-'Development Inputs'!$G$48)*CG$25</f>
        <v>0</v>
      </c>
      <c r="CH45" s="229">
        <f>$D$45*(1-'Development Inputs'!$G$48)*CH$25</f>
        <v>0</v>
      </c>
      <c r="CI45" s="229">
        <f>$D$45*(1-'Development Inputs'!$G$48)*CI$25</f>
        <v>0</v>
      </c>
      <c r="CJ45" s="229">
        <f>$D$45*(1-'Development Inputs'!$G$48)*CJ$25</f>
        <v>0</v>
      </c>
      <c r="CK45" s="229">
        <f>$D$45*(1-'Development Inputs'!$G$48)*CK$25</f>
        <v>0</v>
      </c>
      <c r="CL45" s="229">
        <f>$D$45*(1-'Development Inputs'!$G$48)*CL$25</f>
        <v>0</v>
      </c>
      <c r="CM45" s="229">
        <f>$D$45*(1-'Development Inputs'!$G$48)*CM$25</f>
        <v>0</v>
      </c>
      <c r="CN45" s="229">
        <f>$D$45*(1-'Development Inputs'!$G$48)*CN$25</f>
        <v>0</v>
      </c>
      <c r="CO45" s="229">
        <f>$D$45*(1-'Development Inputs'!$G$48)*CO$25</f>
        <v>0</v>
      </c>
      <c r="CP45" s="229">
        <f>$D$45*(1-'Development Inputs'!$G$48)*CP$25</f>
        <v>0</v>
      </c>
      <c r="CQ45" s="229">
        <f>$D$45*(1-'Development Inputs'!$G$48)*CQ$25</f>
        <v>0</v>
      </c>
      <c r="CR45" s="229">
        <f>$D$45*(1-'Development Inputs'!$G$48)*CR$25</f>
        <v>0</v>
      </c>
      <c r="CS45" s="229">
        <f>$D$45*(1-'Development Inputs'!$G$48)*CS$25</f>
        <v>0</v>
      </c>
      <c r="CT45" s="229">
        <f>$D$45*(1-'Development Inputs'!$G$48)*CT$25</f>
        <v>0</v>
      </c>
      <c r="CU45" s="229">
        <f>$D$45*(1-'Development Inputs'!$G$48)*CU$25</f>
        <v>0</v>
      </c>
      <c r="CV45" s="229">
        <f>$D$45*(1-'Development Inputs'!$G$48)*CV$25</f>
        <v>0</v>
      </c>
      <c r="CW45" s="229">
        <f>$D$45*(1-'Development Inputs'!$G$48)*CW$25</f>
        <v>0</v>
      </c>
      <c r="CX45" s="229">
        <f>$D$45*(1-'Development Inputs'!$G$48)*CX$25</f>
        <v>0</v>
      </c>
      <c r="CY45" s="229">
        <f>$D$45*(1-'Development Inputs'!$G$48)*CY$25</f>
        <v>0</v>
      </c>
      <c r="CZ45" s="229">
        <f>$D$45*(1-'Development Inputs'!$G$48)*CZ$25</f>
        <v>0</v>
      </c>
      <c r="DA45" s="229">
        <f>$D$45*(1-'Development Inputs'!$G$48)*DA$25</f>
        <v>0</v>
      </c>
      <c r="DB45" s="229">
        <f>$D$45*(1-'Development Inputs'!$G$48)*DB$25</f>
        <v>0</v>
      </c>
      <c r="DC45" s="229">
        <f>$D$45*(1-'Development Inputs'!$G$48)*DC$25</f>
        <v>0</v>
      </c>
      <c r="DD45" s="229">
        <f>$D$45*(1-'Development Inputs'!$G$48)*DD$25</f>
        <v>0</v>
      </c>
      <c r="DE45" s="229">
        <f>$D$45*(1-'Development Inputs'!$G$48)*DE$25</f>
        <v>0</v>
      </c>
      <c r="DF45" s="229">
        <f>$D$45*(1-'Development Inputs'!$G$48)*DF$25</f>
        <v>0</v>
      </c>
      <c r="DG45" s="229">
        <f>$D$45*(1-'Development Inputs'!$G$48)*DG$25</f>
        <v>0</v>
      </c>
      <c r="DH45" s="229">
        <f>$D$45*(1-'Development Inputs'!$G$48)*DH$25</f>
        <v>0</v>
      </c>
      <c r="DI45" s="229">
        <f>$D$45*(1-'Development Inputs'!$G$48)*DI$25</f>
        <v>0</v>
      </c>
      <c r="DJ45" s="229">
        <f>$D$45*(1-'Development Inputs'!$G$48)*DJ$25</f>
        <v>0</v>
      </c>
      <c r="DK45" s="229">
        <f>$D$45*(1-'Development Inputs'!$G$48)*DK$25</f>
        <v>0</v>
      </c>
      <c r="DL45" s="229">
        <f>$D$45*(1-'Development Inputs'!$G$48)*DL$25</f>
        <v>0</v>
      </c>
      <c r="DM45" s="229">
        <f>$D$45*(1-'Development Inputs'!$G$48)*DM$25</f>
        <v>0</v>
      </c>
      <c r="DN45" s="229">
        <f>$D$45*(1-'Development Inputs'!$G$48)*DN$25</f>
        <v>0</v>
      </c>
      <c r="DO45" s="229">
        <f>$D$45*(1-'Development Inputs'!$G$48)*DO$25</f>
        <v>0</v>
      </c>
      <c r="DP45" s="229">
        <f>$D$45*(1-'Development Inputs'!$G$48)*DP$25</f>
        <v>0</v>
      </c>
      <c r="DQ45" s="229">
        <f>$D$45*(1-'Development Inputs'!$G$48)*DQ$25</f>
        <v>0</v>
      </c>
      <c r="DR45" s="229">
        <f>$D$45*(1-'Development Inputs'!$G$48)*DR$25</f>
        <v>0</v>
      </c>
      <c r="DS45" s="229">
        <f>$D$45*(1-'Development Inputs'!$G$48)*DS$25</f>
        <v>0</v>
      </c>
      <c r="DT45" s="229">
        <f>$D$45*(1-'Development Inputs'!$G$48)*DT$25</f>
        <v>0</v>
      </c>
      <c r="DU45" s="229">
        <f>$D$45*(1-'Development Inputs'!$G$48)*DU$25</f>
        <v>0</v>
      </c>
      <c r="DV45" s="229">
        <f>$D$45*(1-'Development Inputs'!$G$48)*DV$25</f>
        <v>0</v>
      </c>
      <c r="DW45" s="229">
        <f>$D$45*(1-'Development Inputs'!$G$48)*DW$25</f>
        <v>0</v>
      </c>
      <c r="DX45" s="229">
        <f>$D$45*(1-'Development Inputs'!$G$48)*DX$25</f>
        <v>0</v>
      </c>
      <c r="DY45" s="229">
        <f>$D$45*(1-'Development Inputs'!$G$48)*DY$25</f>
        <v>0</v>
      </c>
      <c r="DZ45" s="229">
        <f>$D$45*(1-'Development Inputs'!$G$48)*DZ$25</f>
        <v>0</v>
      </c>
      <c r="EA45" s="229">
        <f>$D$45*(1-'Development Inputs'!$G$48)*EA$25</f>
        <v>0</v>
      </c>
      <c r="EB45" s="229">
        <f>$D$45*(1-'Development Inputs'!$G$48)*EB$25</f>
        <v>0</v>
      </c>
      <c r="EC45" s="229">
        <f>$D$45*(1-'Development Inputs'!$G$48)*EC$25</f>
        <v>0</v>
      </c>
      <c r="ED45" s="229">
        <f>$D$45*(1-'Development Inputs'!$G$48)*ED$25</f>
        <v>0</v>
      </c>
      <c r="EE45" s="229">
        <f>$D$45*(1-'Development Inputs'!$G$48)*EE$25</f>
        <v>0</v>
      </c>
      <c r="EF45" s="229">
        <f>$D$45*(1-'Development Inputs'!$G$48)*EF$25</f>
        <v>0</v>
      </c>
      <c r="EG45" s="229">
        <f>$D$45*(1-'Development Inputs'!$G$48)*EG$25</f>
        <v>0</v>
      </c>
      <c r="EH45" s="229">
        <f>SUBTOTAL(9,E45:EG45)</f>
        <v>51980072.894060962</v>
      </c>
      <c r="EI45" s="227"/>
    </row>
    <row r="46" spans="1:139" x14ac:dyDescent="0.3">
      <c r="A46" s="413" t="s">
        <v>666</v>
      </c>
      <c r="B46" s="413"/>
      <c r="C46" s="413"/>
      <c r="E46" s="229">
        <f>$D$45*'Development Inputs'!$B$14*E25</f>
        <v>0</v>
      </c>
      <c r="F46" s="229">
        <f>$D$45*'Development Inputs'!$B$14*F25</f>
        <v>4636.1983363806812</v>
      </c>
      <c r="G46" s="229">
        <f>$D$45*'Development Inputs'!$B$14*G25</f>
        <v>16261.411855961551</v>
      </c>
      <c r="H46" s="229">
        <f>$D$45*'Development Inputs'!$B$14*H25</f>
        <v>27865.435931036001</v>
      </c>
      <c r="I46" s="229">
        <f>$D$45*'Development Inputs'!$B$14*I25</f>
        <v>51416.368629532306</v>
      </c>
      <c r="J46" s="229">
        <f>$D$45*'Development Inputs'!$B$14*J25</f>
        <v>87895.994229173768</v>
      </c>
      <c r="K46" s="229">
        <f>$D$45*'Development Inputs'!$B$14*K25</f>
        <v>90654.243799593984</v>
      </c>
      <c r="L46" s="229">
        <f>$D$45*'Development Inputs'!$B$14*L25</f>
        <v>117250.16627351413</v>
      </c>
      <c r="M46" s="229">
        <f>$D$45*'Development Inputs'!$B$14*M25</f>
        <v>140258.41041324419</v>
      </c>
      <c r="N46" s="229">
        <f>$D$45*'Development Inputs'!$B$14*N25</f>
        <v>150611.80955106119</v>
      </c>
      <c r="O46" s="229">
        <f>$D$45*'Development Inputs'!$B$14*O25</f>
        <v>168385.46570884011</v>
      </c>
      <c r="P46" s="229">
        <f>$D$45*'Development Inputs'!$B$14*P25</f>
        <v>177175.12259918824</v>
      </c>
      <c r="Q46" s="229">
        <f>$D$45*'Development Inputs'!$B$14*Q25</f>
        <v>178529.29582785827</v>
      </c>
      <c r="R46" s="229">
        <f>$D$45*'Development Inputs'!$B$14*R25</f>
        <v>167022.1489219121</v>
      </c>
      <c r="S46" s="229">
        <f>$D$45*'Development Inputs'!$B$14*S25</f>
        <v>161613.00918775413</v>
      </c>
      <c r="T46" s="229">
        <f>$D$45*'Development Inputs'!$B$14*T25</f>
        <v>158460.90056698586</v>
      </c>
      <c r="U46" s="229">
        <f>$D$45*'Development Inputs'!$B$14*U25</f>
        <v>144713.96277685941</v>
      </c>
      <c r="V46" s="229">
        <f>$D$45*'Development Inputs'!$B$14*V25</f>
        <v>129461.24242974058</v>
      </c>
      <c r="W46" s="229">
        <f>$D$45*'Development Inputs'!$B$14*W25</f>
        <v>129454.8675542883</v>
      </c>
      <c r="X46" s="229">
        <f>$D$45*'Development Inputs'!$B$14*X25</f>
        <v>120209.60530946555</v>
      </c>
      <c r="Y46" s="229">
        <f>$D$45*'Development Inputs'!$B$14*Y25</f>
        <v>100960.66219910249</v>
      </c>
      <c r="Z46" s="229">
        <f>$D$45*'Development Inputs'!$B$14*Z25</f>
        <v>86566.721326387706</v>
      </c>
      <c r="AA46" s="229">
        <f>$D$45*'Development Inputs'!$B$14*AA25</f>
        <v>73109.60649026082</v>
      </c>
      <c r="AB46" s="229">
        <f>$D$45*'Development Inputs'!$B$14*AB25</f>
        <v>50206.140177670415</v>
      </c>
      <c r="AC46" s="229">
        <f>$D$45*'Development Inputs'!$B$14*AC25</f>
        <v>40481.461460767838</v>
      </c>
      <c r="AD46" s="229">
        <f>$D$45*'Development Inputs'!$B$14*AD25</f>
        <v>25803.393146468665</v>
      </c>
      <c r="AE46" s="229">
        <f>$D$45*'Development Inputs'!$B$14*AE25</f>
        <v>0</v>
      </c>
      <c r="AF46" s="229">
        <f>$D$45*'Development Inputs'!$B$14*AF25</f>
        <v>0</v>
      </c>
      <c r="AG46" s="229">
        <f>$D$45*'Development Inputs'!$B$14*AG25</f>
        <v>0</v>
      </c>
      <c r="AH46" s="229">
        <f>$D$45*'Development Inputs'!$B$14*AH25</f>
        <v>0</v>
      </c>
      <c r="AI46" s="229">
        <f>$D$45*'Development Inputs'!$B$14*AI25</f>
        <v>0</v>
      </c>
      <c r="AJ46" s="229">
        <f>$D$45*'Development Inputs'!$B$14*AJ25</f>
        <v>0</v>
      </c>
      <c r="AK46" s="229">
        <f>$D$45*'Development Inputs'!$B$14*AK25</f>
        <v>0</v>
      </c>
      <c r="AL46" s="229">
        <f>$D$45*'Development Inputs'!$B$14*AL25</f>
        <v>0</v>
      </c>
      <c r="AM46" s="229">
        <f>$D$45*'Development Inputs'!$B$14*AM25</f>
        <v>0</v>
      </c>
      <c r="AN46" s="229">
        <f>$D$45*'Development Inputs'!$B$14*AN25</f>
        <v>0</v>
      </c>
      <c r="AO46" s="229">
        <f>$D$45*'Development Inputs'!$B$14*AO25</f>
        <v>0</v>
      </c>
      <c r="AP46" s="229">
        <f>$D$45*'Development Inputs'!$B$14*AP25</f>
        <v>0</v>
      </c>
      <c r="AQ46" s="229">
        <f>$D$45*'Development Inputs'!$B$14*AQ25</f>
        <v>0</v>
      </c>
      <c r="AR46" s="229">
        <f>$D$45*'Development Inputs'!$B$14*AR25</f>
        <v>0</v>
      </c>
      <c r="AS46" s="229">
        <f>$D$45*'Development Inputs'!$B$14*AS25</f>
        <v>0</v>
      </c>
      <c r="AT46" s="229">
        <f>$D$45*'Development Inputs'!$B$14*AT25</f>
        <v>0</v>
      </c>
      <c r="AU46" s="229">
        <f>$D$45*'Development Inputs'!$B$14*AU25</f>
        <v>0</v>
      </c>
      <c r="AV46" s="229">
        <f>$D$45*'Development Inputs'!$B$14*AV25</f>
        <v>0</v>
      </c>
      <c r="AW46" s="229">
        <f>$D$45*'Development Inputs'!$B$14*AW25</f>
        <v>0</v>
      </c>
      <c r="AX46" s="229">
        <f>$D$45*'Development Inputs'!$B$14*AX25</f>
        <v>0</v>
      </c>
      <c r="AY46" s="229">
        <f>$D$45*'Development Inputs'!$B$14*AY25</f>
        <v>0</v>
      </c>
      <c r="AZ46" s="229">
        <f>$D$45*'Development Inputs'!$B$14*AZ25</f>
        <v>0</v>
      </c>
      <c r="BA46" s="229">
        <f>$D$45*'Development Inputs'!$B$14*BA25</f>
        <v>0</v>
      </c>
      <c r="BB46" s="229">
        <f>$D$45*'Development Inputs'!$B$14*BB25</f>
        <v>0</v>
      </c>
      <c r="BC46" s="229">
        <f>$D$45*'Development Inputs'!$B$14*BC25</f>
        <v>0</v>
      </c>
      <c r="BD46" s="229">
        <f>$D$45*'Development Inputs'!$B$14*BD25</f>
        <v>0</v>
      </c>
      <c r="BE46" s="229">
        <f>$D$45*'Development Inputs'!$B$14*BE25</f>
        <v>0</v>
      </c>
      <c r="BF46" s="229">
        <f>$D$45*'Development Inputs'!$B$14*BF25</f>
        <v>0</v>
      </c>
      <c r="BG46" s="229">
        <f>$D$45*'Development Inputs'!$B$14*BG25</f>
        <v>0</v>
      </c>
      <c r="BH46" s="229">
        <f>$D$45*'Development Inputs'!$B$14*BH25</f>
        <v>0</v>
      </c>
      <c r="BI46" s="229">
        <f>$D$45*'Development Inputs'!$B$14*BI25</f>
        <v>0</v>
      </c>
      <c r="BJ46" s="229">
        <f>$D$45*'Development Inputs'!$B$14*BJ25</f>
        <v>0</v>
      </c>
      <c r="BK46" s="229">
        <f>$D$45*'Development Inputs'!$B$14*BK25</f>
        <v>0</v>
      </c>
      <c r="BL46" s="229">
        <f>$D$45*'Development Inputs'!$B$14*BL25</f>
        <v>0</v>
      </c>
      <c r="BM46" s="229">
        <f>$D$45*'Development Inputs'!$B$14*BM25</f>
        <v>0</v>
      </c>
      <c r="BN46" s="229">
        <f>$D$45*'Development Inputs'!$B$14*BN25</f>
        <v>0</v>
      </c>
      <c r="BO46" s="229">
        <f>$D$45*'Development Inputs'!$B$14*BO25</f>
        <v>0</v>
      </c>
      <c r="BP46" s="229">
        <f>$D$45*'Development Inputs'!$B$14*BP25</f>
        <v>0</v>
      </c>
      <c r="BQ46" s="229">
        <f>$D$45*'Development Inputs'!$B$14*BQ25</f>
        <v>0</v>
      </c>
      <c r="BR46" s="229">
        <f>$D$45*'Development Inputs'!$B$14*BR25</f>
        <v>0</v>
      </c>
      <c r="BS46" s="229">
        <f>$D$45*'Development Inputs'!$B$14*BS25</f>
        <v>0</v>
      </c>
      <c r="BT46" s="229">
        <f>$D$45*'Development Inputs'!$B$14*BT25</f>
        <v>0</v>
      </c>
      <c r="BU46" s="229">
        <f>$D$45*'Development Inputs'!$B$14*BU25</f>
        <v>0</v>
      </c>
      <c r="BV46" s="229">
        <f>$D$45*'Development Inputs'!$B$14*BV25</f>
        <v>0</v>
      </c>
      <c r="BW46" s="229">
        <f>$D$45*'Development Inputs'!$B$14*BW25</f>
        <v>0</v>
      </c>
      <c r="BX46" s="229">
        <f>$D$45*'Development Inputs'!$B$14*BX25</f>
        <v>0</v>
      </c>
      <c r="BY46" s="229">
        <f>$D$45*'Development Inputs'!$B$14*BY25</f>
        <v>0</v>
      </c>
      <c r="BZ46" s="229">
        <f>$D$45*'Development Inputs'!$B$14*BZ25</f>
        <v>0</v>
      </c>
      <c r="CA46" s="229">
        <f>$D$45*'Development Inputs'!$B$14*CA25</f>
        <v>0</v>
      </c>
      <c r="CB46" s="229">
        <f>$D$45*'Development Inputs'!$B$14*CB25</f>
        <v>0</v>
      </c>
      <c r="CC46" s="229">
        <f>$D$45*'Development Inputs'!$B$14*CC25</f>
        <v>0</v>
      </c>
      <c r="CD46" s="229">
        <f>$D$45*'Development Inputs'!$B$14*CD25</f>
        <v>0</v>
      </c>
      <c r="CE46" s="229">
        <f>$D$45*'Development Inputs'!$B$14*CE25</f>
        <v>0</v>
      </c>
      <c r="CF46" s="229">
        <f>$D$45*'Development Inputs'!$B$14*CF25</f>
        <v>0</v>
      </c>
      <c r="CG46" s="229">
        <f>$D$45*'Development Inputs'!$B$14*CG25</f>
        <v>0</v>
      </c>
      <c r="CH46" s="229">
        <f>$D$45*'Development Inputs'!$B$14*CH25</f>
        <v>0</v>
      </c>
      <c r="CI46" s="229">
        <f>$D$45*'Development Inputs'!$B$14*CI25</f>
        <v>0</v>
      </c>
      <c r="CJ46" s="229">
        <f>$D$45*'Development Inputs'!$B$14*CJ25</f>
        <v>0</v>
      </c>
      <c r="CK46" s="229">
        <f>$D$45*'Development Inputs'!$B$14*CK25</f>
        <v>0</v>
      </c>
      <c r="CL46" s="229">
        <f>$D$45*'Development Inputs'!$B$14*CL25</f>
        <v>0</v>
      </c>
      <c r="CM46" s="229">
        <f>$D$45*'Development Inputs'!$B$14*CM25</f>
        <v>0</v>
      </c>
      <c r="CN46" s="229">
        <f>$D$45*'Development Inputs'!$B$14*CN25</f>
        <v>0</v>
      </c>
      <c r="CO46" s="229">
        <f>$D$45*'Development Inputs'!$B$14*CO25</f>
        <v>0</v>
      </c>
      <c r="CP46" s="229">
        <f>$D$45*'Development Inputs'!$B$14*CP25</f>
        <v>0</v>
      </c>
      <c r="CQ46" s="229">
        <f>$D$45*'Development Inputs'!$B$14*CQ25</f>
        <v>0</v>
      </c>
      <c r="CR46" s="229">
        <f>$D$45*'Development Inputs'!$B$14*CR25</f>
        <v>0</v>
      </c>
      <c r="CS46" s="229">
        <f>$D$45*'Development Inputs'!$B$14*CS25</f>
        <v>0</v>
      </c>
      <c r="CT46" s="229">
        <f>$D$45*'Development Inputs'!$B$14*CT25</f>
        <v>0</v>
      </c>
      <c r="CU46" s="229">
        <f>$D$45*'Development Inputs'!$B$14*CU25</f>
        <v>0</v>
      </c>
      <c r="CV46" s="229">
        <f>$D$45*'Development Inputs'!$B$14*CV25</f>
        <v>0</v>
      </c>
      <c r="CW46" s="229">
        <f>$D$45*'Development Inputs'!$B$14*CW25</f>
        <v>0</v>
      </c>
      <c r="CX46" s="229">
        <f>$D$45*'Development Inputs'!$B$14*CX25</f>
        <v>0</v>
      </c>
      <c r="CY46" s="229">
        <f>$D$45*'Development Inputs'!$B$14*CY25</f>
        <v>0</v>
      </c>
      <c r="CZ46" s="229">
        <f>$D$45*'Development Inputs'!$B$14*CZ25</f>
        <v>0</v>
      </c>
      <c r="DA46" s="229">
        <f>$D$45*'Development Inputs'!$B$14*DA25</f>
        <v>0</v>
      </c>
      <c r="DB46" s="229">
        <f>$D$45*'Development Inputs'!$B$14*DB25</f>
        <v>0</v>
      </c>
      <c r="DC46" s="229">
        <f>$D$45*'Development Inputs'!$B$14*DC25</f>
        <v>0</v>
      </c>
      <c r="DD46" s="229">
        <f>$D$45*'Development Inputs'!$B$14*DD25</f>
        <v>0</v>
      </c>
      <c r="DE46" s="229">
        <f>$D$45*'Development Inputs'!$B$14*DE25</f>
        <v>0</v>
      </c>
      <c r="DF46" s="229">
        <f>$D$45*'Development Inputs'!$B$14*DF25</f>
        <v>0</v>
      </c>
      <c r="DG46" s="229">
        <f>$D$45*'Development Inputs'!$B$14*DG25</f>
        <v>0</v>
      </c>
      <c r="DH46" s="229">
        <f>$D$45*'Development Inputs'!$B$14*DH25</f>
        <v>0</v>
      </c>
      <c r="DI46" s="229">
        <f>$D$45*'Development Inputs'!$B$14*DI25</f>
        <v>0</v>
      </c>
      <c r="DJ46" s="229">
        <f>$D$45*'Development Inputs'!$B$14*DJ25</f>
        <v>0</v>
      </c>
      <c r="DK46" s="229">
        <f>$D$45*'Development Inputs'!$B$14*DK25</f>
        <v>0</v>
      </c>
      <c r="DL46" s="229">
        <f>$D$45*'Development Inputs'!$B$14*DL25</f>
        <v>0</v>
      </c>
      <c r="DM46" s="229">
        <f>$D$45*'Development Inputs'!$B$14*DM25</f>
        <v>0</v>
      </c>
      <c r="DN46" s="229">
        <f>$D$45*'Development Inputs'!$B$14*DN25</f>
        <v>0</v>
      </c>
      <c r="DO46" s="229">
        <f>$D$45*'Development Inputs'!$B$14*DO25</f>
        <v>0</v>
      </c>
      <c r="DP46" s="229">
        <f>$D$45*'Development Inputs'!$B$14*DP25</f>
        <v>0</v>
      </c>
      <c r="DQ46" s="229">
        <f>$D$45*'Development Inputs'!$B$14*DQ25</f>
        <v>0</v>
      </c>
      <c r="DR46" s="229">
        <f>$D$45*'Development Inputs'!$B$14*DR25</f>
        <v>0</v>
      </c>
      <c r="DS46" s="229">
        <f>$D$45*'Development Inputs'!$B$14*DS25</f>
        <v>0</v>
      </c>
      <c r="DT46" s="229">
        <f>$D$45*'Development Inputs'!$B$14*DT25</f>
        <v>0</v>
      </c>
      <c r="DU46" s="229">
        <f>$D$45*'Development Inputs'!$B$14*DU25</f>
        <v>0</v>
      </c>
      <c r="DV46" s="229">
        <f>$D$45*'Development Inputs'!$B$14*DV25</f>
        <v>0</v>
      </c>
      <c r="DW46" s="229">
        <f>$D$45*'Development Inputs'!$B$14*DW25</f>
        <v>0</v>
      </c>
      <c r="DX46" s="229">
        <f>$D$45*'Development Inputs'!$B$14*DX25</f>
        <v>0</v>
      </c>
      <c r="DY46" s="229">
        <f>$D$45*'Development Inputs'!$B$14*DY25</f>
        <v>0</v>
      </c>
      <c r="DZ46" s="229">
        <f>$D$45*'Development Inputs'!$B$14*DZ25</f>
        <v>0</v>
      </c>
      <c r="EA46" s="229">
        <f>$D$45*'Development Inputs'!$B$14*EA25</f>
        <v>0</v>
      </c>
      <c r="EB46" s="229">
        <f>$D$45*'Development Inputs'!$B$14*EB25</f>
        <v>0</v>
      </c>
      <c r="EC46" s="229">
        <f>$D$45*'Development Inputs'!$B$14*EC25</f>
        <v>0</v>
      </c>
      <c r="ED46" s="229">
        <f>$D$45*'Development Inputs'!$B$14*ED25</f>
        <v>0</v>
      </c>
      <c r="EE46" s="229">
        <f>$D$45*'Development Inputs'!$B$14*EE25</f>
        <v>0</v>
      </c>
      <c r="EF46" s="229">
        <f>$D$45*'Development Inputs'!$B$14*EF25</f>
        <v>0</v>
      </c>
      <c r="EG46" s="229">
        <f>$D$45*'Development Inputs'!$B$14*EG25</f>
        <v>0</v>
      </c>
      <c r="EH46" s="229">
        <f>SUBTOTAL(9,E46:EG46)</f>
        <v>2599003.6447030478</v>
      </c>
      <c r="EI46" s="227"/>
    </row>
    <row r="47" spans="1:139" x14ac:dyDescent="0.3">
      <c r="A47" s="512" t="s">
        <v>916</v>
      </c>
      <c r="B47" s="512"/>
      <c r="C47" s="512"/>
      <c r="E47" s="229">
        <f>'Operating Inputs'!ET110</f>
        <v>0</v>
      </c>
      <c r="F47" s="229">
        <f>'Operating Inputs'!EU110</f>
        <v>0</v>
      </c>
      <c r="G47" s="229">
        <f>'Operating Inputs'!EV110</f>
        <v>0</v>
      </c>
      <c r="H47" s="229">
        <f>'Operating Inputs'!EW110</f>
        <v>0</v>
      </c>
      <c r="I47" s="229">
        <f>'Operating Inputs'!EX110</f>
        <v>0</v>
      </c>
      <c r="J47" s="229">
        <f>'Operating Inputs'!EY110</f>
        <v>0</v>
      </c>
      <c r="K47" s="229">
        <f>'Operating Inputs'!EZ110</f>
        <v>0</v>
      </c>
      <c r="L47" s="229">
        <f>'Operating Inputs'!FA110</f>
        <v>0</v>
      </c>
      <c r="M47" s="229">
        <f>'Operating Inputs'!FB110</f>
        <v>0</v>
      </c>
      <c r="N47" s="229">
        <f>'Operating Inputs'!FC110</f>
        <v>0</v>
      </c>
      <c r="O47" s="229">
        <f>'Operating Inputs'!FD110</f>
        <v>0</v>
      </c>
      <c r="P47" s="229">
        <f>'Operating Inputs'!FE110</f>
        <v>0</v>
      </c>
      <c r="Q47" s="229">
        <f>'Operating Inputs'!FF110</f>
        <v>0</v>
      </c>
      <c r="R47" s="229">
        <f>'Operating Inputs'!FG110</f>
        <v>0</v>
      </c>
      <c r="S47" s="229">
        <f>'Operating Inputs'!FH110</f>
        <v>0</v>
      </c>
      <c r="T47" s="229">
        <f>'Operating Inputs'!FI110</f>
        <v>0</v>
      </c>
      <c r="U47" s="229">
        <f>'Operating Inputs'!FJ110</f>
        <v>0</v>
      </c>
      <c r="V47" s="229">
        <f>'Operating Inputs'!FK110</f>
        <v>0</v>
      </c>
      <c r="W47" s="229">
        <f>'Operating Inputs'!FL110</f>
        <v>0</v>
      </c>
      <c r="X47" s="229">
        <f>'Operating Inputs'!FM110</f>
        <v>0</v>
      </c>
      <c r="Y47" s="229">
        <f>'Operating Inputs'!FN110</f>
        <v>0</v>
      </c>
      <c r="Z47" s="229">
        <f>'Operating Inputs'!FO110</f>
        <v>0</v>
      </c>
      <c r="AA47" s="229">
        <f>'Operating Inputs'!FP110</f>
        <v>0</v>
      </c>
      <c r="AB47" s="229">
        <f>'Operating Inputs'!FQ110</f>
        <v>0</v>
      </c>
      <c r="AC47" s="229">
        <f>'Operating Inputs'!FR110</f>
        <v>0</v>
      </c>
      <c r="AD47" s="229">
        <f>'Operating Inputs'!FS110</f>
        <v>0</v>
      </c>
      <c r="AE47" s="229">
        <f>'Operating Inputs'!FT110</f>
        <v>0</v>
      </c>
      <c r="AF47" s="229">
        <f>'Operating Inputs'!FU110</f>
        <v>0</v>
      </c>
      <c r="AG47" s="229">
        <f>'Operating Inputs'!FV110</f>
        <v>0</v>
      </c>
      <c r="AH47" s="229">
        <f>'Operating Inputs'!FW110</f>
        <v>0</v>
      </c>
      <c r="AI47" s="229">
        <f>'Operating Inputs'!FX110</f>
        <v>0</v>
      </c>
      <c r="AJ47" s="229">
        <f>'Operating Inputs'!FY110</f>
        <v>0</v>
      </c>
      <c r="AK47" s="229">
        <f>'Operating Inputs'!FZ110</f>
        <v>0</v>
      </c>
      <c r="AL47" s="229">
        <f>'Operating Inputs'!GA110</f>
        <v>0</v>
      </c>
      <c r="AM47" s="229">
        <f>'Operating Inputs'!GB110</f>
        <v>0</v>
      </c>
      <c r="AN47" s="229">
        <f>'Operating Inputs'!GC110</f>
        <v>0</v>
      </c>
      <c r="AO47" s="229">
        <f>'Operating Inputs'!GD110</f>
        <v>0</v>
      </c>
      <c r="AP47" s="229">
        <f>'Operating Inputs'!GE110</f>
        <v>0</v>
      </c>
      <c r="AQ47" s="229">
        <f>'Operating Inputs'!GF110</f>
        <v>0</v>
      </c>
      <c r="AR47" s="229">
        <f>'Operating Inputs'!GG110</f>
        <v>0</v>
      </c>
      <c r="AS47" s="229">
        <f>'Operating Inputs'!GH110</f>
        <v>0</v>
      </c>
      <c r="AT47" s="229">
        <f>'Operating Inputs'!GI110</f>
        <v>0</v>
      </c>
      <c r="AU47" s="229">
        <f>'Operating Inputs'!GJ110</f>
        <v>0</v>
      </c>
      <c r="AV47" s="229">
        <f>'Operating Inputs'!GK110</f>
        <v>0</v>
      </c>
      <c r="AW47" s="229">
        <f>'Operating Inputs'!GL110</f>
        <v>0</v>
      </c>
      <c r="AX47" s="229">
        <f>'Operating Inputs'!GM110</f>
        <v>0</v>
      </c>
      <c r="AY47" s="229">
        <f>'Operating Inputs'!GN110</f>
        <v>0</v>
      </c>
      <c r="AZ47" s="229">
        <f>'Operating Inputs'!GO110</f>
        <v>0</v>
      </c>
      <c r="BA47" s="229">
        <f>'Operating Inputs'!GP110</f>
        <v>0</v>
      </c>
      <c r="BB47" s="229">
        <f>'Operating Inputs'!GQ110</f>
        <v>0</v>
      </c>
      <c r="BC47" s="229">
        <f>'Operating Inputs'!GR110</f>
        <v>0</v>
      </c>
      <c r="BD47" s="229">
        <f>'Operating Inputs'!GS110</f>
        <v>0</v>
      </c>
      <c r="BE47" s="229">
        <f>'Operating Inputs'!GT110</f>
        <v>0</v>
      </c>
      <c r="BF47" s="229">
        <f>'Operating Inputs'!GU110</f>
        <v>0</v>
      </c>
      <c r="BG47" s="229">
        <f>'Operating Inputs'!GV110</f>
        <v>0</v>
      </c>
      <c r="BH47" s="229">
        <f>'Operating Inputs'!GW110</f>
        <v>0</v>
      </c>
      <c r="BI47" s="229">
        <f>'Operating Inputs'!GX110</f>
        <v>0</v>
      </c>
      <c r="BJ47" s="229">
        <f>'Operating Inputs'!GY110</f>
        <v>0</v>
      </c>
      <c r="BK47" s="229">
        <f>'Operating Inputs'!GZ110</f>
        <v>0</v>
      </c>
      <c r="BL47" s="229">
        <f>'Operating Inputs'!HA110</f>
        <v>0</v>
      </c>
      <c r="BM47" s="229">
        <f>'Operating Inputs'!HB110</f>
        <v>0</v>
      </c>
      <c r="BN47" s="229">
        <f>'Operating Inputs'!HC110</f>
        <v>0</v>
      </c>
      <c r="BO47" s="229">
        <f>'Operating Inputs'!HD110</f>
        <v>0</v>
      </c>
      <c r="BP47" s="229">
        <f>'Operating Inputs'!HE110</f>
        <v>0</v>
      </c>
      <c r="BQ47" s="229">
        <f>'Operating Inputs'!HF110</f>
        <v>0</v>
      </c>
      <c r="BR47" s="229">
        <f>'Operating Inputs'!HG110</f>
        <v>0</v>
      </c>
      <c r="BS47" s="229">
        <f>'Operating Inputs'!HH110</f>
        <v>0</v>
      </c>
      <c r="BT47" s="229">
        <f>'Operating Inputs'!HI110</f>
        <v>0</v>
      </c>
      <c r="BU47" s="229">
        <f>'Operating Inputs'!HJ110</f>
        <v>0</v>
      </c>
      <c r="BV47" s="229">
        <f>'Operating Inputs'!HK110</f>
        <v>0</v>
      </c>
      <c r="BW47" s="229">
        <f>'Operating Inputs'!HL110</f>
        <v>0</v>
      </c>
      <c r="BX47" s="229">
        <f>'Operating Inputs'!HM110</f>
        <v>0</v>
      </c>
      <c r="BY47" s="229">
        <f>'Operating Inputs'!HN110</f>
        <v>0</v>
      </c>
      <c r="BZ47" s="229">
        <f>'Operating Inputs'!HO110</f>
        <v>0</v>
      </c>
      <c r="CA47" s="229">
        <f>'Operating Inputs'!HP110</f>
        <v>0</v>
      </c>
      <c r="CB47" s="229">
        <f>'Operating Inputs'!HQ110</f>
        <v>0</v>
      </c>
      <c r="CC47" s="229">
        <f>'Operating Inputs'!HR110</f>
        <v>0</v>
      </c>
      <c r="CD47" s="229">
        <f>'Operating Inputs'!HS110</f>
        <v>0</v>
      </c>
      <c r="CE47" s="229">
        <f>'Operating Inputs'!HT110</f>
        <v>0</v>
      </c>
      <c r="CF47" s="229">
        <f>'Operating Inputs'!HU110</f>
        <v>0</v>
      </c>
      <c r="CG47" s="229">
        <f>'Operating Inputs'!HV110</f>
        <v>0</v>
      </c>
      <c r="CH47" s="229">
        <f>'Operating Inputs'!HW110</f>
        <v>0</v>
      </c>
      <c r="CI47" s="229">
        <f>'Operating Inputs'!HX110</f>
        <v>0</v>
      </c>
      <c r="CJ47" s="229">
        <f>'Operating Inputs'!HY110</f>
        <v>0</v>
      </c>
      <c r="CK47" s="229">
        <f>'Operating Inputs'!HZ110</f>
        <v>0</v>
      </c>
      <c r="CL47" s="229">
        <f>'Operating Inputs'!IA110</f>
        <v>0</v>
      </c>
      <c r="CM47" s="229">
        <f>'Operating Inputs'!IB110</f>
        <v>0</v>
      </c>
      <c r="CN47" s="229">
        <f>'Operating Inputs'!IC110</f>
        <v>0</v>
      </c>
      <c r="CO47" s="229">
        <f>'Operating Inputs'!ID110</f>
        <v>0</v>
      </c>
      <c r="CP47" s="229">
        <f>'Operating Inputs'!IE110</f>
        <v>0</v>
      </c>
      <c r="CQ47" s="229">
        <f>'Operating Inputs'!IF110</f>
        <v>0</v>
      </c>
      <c r="CR47" s="229">
        <f>'Operating Inputs'!IG110</f>
        <v>0</v>
      </c>
      <c r="CS47" s="229">
        <f>'Operating Inputs'!IH110</f>
        <v>0</v>
      </c>
      <c r="CT47" s="229">
        <f>'Operating Inputs'!II110</f>
        <v>0</v>
      </c>
      <c r="CU47" s="229">
        <f>'Operating Inputs'!IJ110</f>
        <v>0</v>
      </c>
      <c r="CV47" s="229">
        <f>'Operating Inputs'!IK110</f>
        <v>0</v>
      </c>
      <c r="CW47" s="229">
        <f>'Operating Inputs'!IL110</f>
        <v>0</v>
      </c>
      <c r="CX47" s="229">
        <f>'Operating Inputs'!IM110</f>
        <v>0</v>
      </c>
      <c r="CY47" s="229">
        <f>'Operating Inputs'!IN110</f>
        <v>0</v>
      </c>
      <c r="CZ47" s="229">
        <f>'Operating Inputs'!IO110</f>
        <v>0</v>
      </c>
      <c r="DA47" s="229">
        <f>'Operating Inputs'!IP110</f>
        <v>0</v>
      </c>
      <c r="DB47" s="229">
        <f>'Operating Inputs'!IQ110</f>
        <v>0</v>
      </c>
      <c r="DC47" s="229">
        <f>'Operating Inputs'!IR110</f>
        <v>0</v>
      </c>
      <c r="DD47" s="229">
        <f>'Operating Inputs'!IS110</f>
        <v>0</v>
      </c>
      <c r="DE47" s="229">
        <f>'Operating Inputs'!IT110</f>
        <v>0</v>
      </c>
      <c r="DF47" s="229">
        <f>'Operating Inputs'!IU110</f>
        <v>0</v>
      </c>
      <c r="DG47" s="229">
        <f>'Operating Inputs'!IV110</f>
        <v>0</v>
      </c>
      <c r="DH47" s="229">
        <f>'Operating Inputs'!IW110</f>
        <v>0</v>
      </c>
      <c r="DI47" s="229">
        <f>'Operating Inputs'!IX110</f>
        <v>0</v>
      </c>
      <c r="DJ47" s="229">
        <f>'Operating Inputs'!IY110</f>
        <v>0</v>
      </c>
      <c r="DK47" s="229">
        <f>'Operating Inputs'!IZ110</f>
        <v>0</v>
      </c>
      <c r="DL47" s="229">
        <f>'Operating Inputs'!JA110</f>
        <v>0</v>
      </c>
      <c r="DM47" s="229">
        <f>'Operating Inputs'!JB110</f>
        <v>0</v>
      </c>
      <c r="DN47" s="229">
        <f>'Operating Inputs'!JC110</f>
        <v>0</v>
      </c>
      <c r="DO47" s="229">
        <f>'Operating Inputs'!JD110</f>
        <v>0</v>
      </c>
      <c r="DP47" s="229">
        <f>'Operating Inputs'!JE110</f>
        <v>0</v>
      </c>
      <c r="DQ47" s="229">
        <f>'Operating Inputs'!JF110</f>
        <v>0</v>
      </c>
      <c r="DR47" s="229">
        <f>'Operating Inputs'!JG110</f>
        <v>0</v>
      </c>
      <c r="DS47" s="229">
        <f>'Operating Inputs'!JH110</f>
        <v>0</v>
      </c>
      <c r="DT47" s="229">
        <f>'Operating Inputs'!JI110</f>
        <v>0</v>
      </c>
      <c r="DU47" s="229">
        <f>'Operating Inputs'!JJ110</f>
        <v>0</v>
      </c>
      <c r="DV47" s="229">
        <f>'Operating Inputs'!JK110</f>
        <v>0</v>
      </c>
      <c r="DW47" s="229">
        <f>'Operating Inputs'!JL110</f>
        <v>0</v>
      </c>
      <c r="DX47" s="229">
        <f>'Operating Inputs'!JM110</f>
        <v>0</v>
      </c>
      <c r="DY47" s="229">
        <f>'Operating Inputs'!JN110</f>
        <v>0</v>
      </c>
      <c r="DZ47" s="229">
        <f>'Operating Inputs'!JO110</f>
        <v>0</v>
      </c>
      <c r="EA47" s="229">
        <f>'Operating Inputs'!JP110</f>
        <v>0</v>
      </c>
      <c r="EB47" s="229">
        <f>'Operating Inputs'!JQ110</f>
        <v>0</v>
      </c>
      <c r="EC47" s="229">
        <f>'Operating Inputs'!JR110</f>
        <v>0</v>
      </c>
      <c r="ED47" s="229">
        <f>'Operating Inputs'!JS110</f>
        <v>0</v>
      </c>
      <c r="EE47" s="229">
        <f>'Operating Inputs'!JT110</f>
        <v>0</v>
      </c>
      <c r="EF47" s="229">
        <f>'Operating Inputs'!JU110</f>
        <v>0</v>
      </c>
      <c r="EG47" s="229">
        <f>'Operating Inputs'!JV110</f>
        <v>0</v>
      </c>
      <c r="EH47" s="229">
        <f>SUBTOTAL(9,E47:EG47)</f>
        <v>0</v>
      </c>
      <c r="EI47" s="227"/>
    </row>
    <row r="48" spans="1:139" x14ac:dyDescent="0.3">
      <c r="A48" s="640" t="s">
        <v>2365</v>
      </c>
      <c r="B48" s="246"/>
      <c r="C48" s="246"/>
      <c r="D48" s="653"/>
      <c r="E48" s="247">
        <f ca="1">SUM(E30:E47)</f>
        <v>1872006.9504114862</v>
      </c>
      <c r="F48" s="247">
        <f t="shared" ref="F48:BQ48" ca="1" si="64">SUM(F30:F47)</f>
        <v>15199690.31702359</v>
      </c>
      <c r="G48" s="247">
        <f t="shared" ca="1" si="64"/>
        <v>477509.54329989548</v>
      </c>
      <c r="H48" s="247">
        <f t="shared" ca="1" si="64"/>
        <v>725018.0475038616</v>
      </c>
      <c r="I48" s="247">
        <f t="shared" ca="1" si="64"/>
        <v>1231351.4260033614</v>
      </c>
      <c r="J48" s="247">
        <f t="shared" ca="1" si="64"/>
        <v>2009445.0862433794</v>
      </c>
      <c r="K48" s="247">
        <f t="shared" ca="1" si="64"/>
        <v>2068277.2828140815</v>
      </c>
      <c r="L48" s="247">
        <f t="shared" ca="1" si="64"/>
        <v>2635556.0946173389</v>
      </c>
      <c r="M48" s="247">
        <f t="shared" ca="1" si="64"/>
        <v>3126311.3752459437</v>
      </c>
      <c r="N48" s="247">
        <f t="shared" ca="1" si="64"/>
        <v>3659644.6239059591</v>
      </c>
      <c r="O48" s="247">
        <f t="shared" ca="1" si="64"/>
        <v>3788748.5469404557</v>
      </c>
      <c r="P48" s="247">
        <f t="shared" ca="1" si="64"/>
        <v>3985499.7534750709</v>
      </c>
      <c r="Q48" s="247">
        <f t="shared" ca="1" si="64"/>
        <v>4035971.7701808717</v>
      </c>
      <c r="R48" s="247">
        <f t="shared" ca="1" si="64"/>
        <v>4074891.1252563251</v>
      </c>
      <c r="S48" s="247">
        <f t="shared" ca="1" si="64"/>
        <v>3814169.1648116568</v>
      </c>
      <c r="T48" s="247">
        <f t="shared" ca="1" si="64"/>
        <v>3707242.1471006605</v>
      </c>
      <c r="U48" s="247">
        <f t="shared" ca="1" si="64"/>
        <v>3438642.0856684977</v>
      </c>
      <c r="V48" s="247">
        <f t="shared" ca="1" si="64"/>
        <v>3101741.8791459082</v>
      </c>
      <c r="W48" s="247">
        <f t="shared" ca="1" si="64"/>
        <v>3086112.8332005022</v>
      </c>
      <c r="X48" s="247">
        <f t="shared" ca="1" si="64"/>
        <v>2840813.9058457017</v>
      </c>
      <c r="Y48" s="247">
        <f t="shared" ca="1" si="64"/>
        <v>2407340.2432452017</v>
      </c>
      <c r="Z48" s="247">
        <f t="shared" ca="1" si="64"/>
        <v>2066917.1905846046</v>
      </c>
      <c r="AA48" s="247">
        <f t="shared" ca="1" si="64"/>
        <v>1736150.3462614249</v>
      </c>
      <c r="AB48" s="247">
        <f t="shared" ca="1" si="64"/>
        <v>1202087.578931059</v>
      </c>
      <c r="AC48" s="247">
        <f t="shared" ca="1" si="64"/>
        <v>990780.74024430034</v>
      </c>
      <c r="AD48" s="247">
        <f t="shared" ca="1" si="64"/>
        <v>677704.28421734134</v>
      </c>
      <c r="AE48" s="247">
        <f t="shared" ca="1" si="64"/>
        <v>0</v>
      </c>
      <c r="AF48" s="247">
        <f t="shared" ca="1" si="64"/>
        <v>0</v>
      </c>
      <c r="AG48" s="247">
        <f t="shared" ca="1" si="64"/>
        <v>0</v>
      </c>
      <c r="AH48" s="247">
        <f t="shared" ca="1" si="64"/>
        <v>0</v>
      </c>
      <c r="AI48" s="247">
        <f t="shared" ca="1" si="64"/>
        <v>0</v>
      </c>
      <c r="AJ48" s="247">
        <f t="shared" ca="1" si="64"/>
        <v>0</v>
      </c>
      <c r="AK48" s="247">
        <f t="shared" ca="1" si="64"/>
        <v>0</v>
      </c>
      <c r="AL48" s="247">
        <f t="shared" ca="1" si="64"/>
        <v>0</v>
      </c>
      <c r="AM48" s="247">
        <f t="shared" ca="1" si="64"/>
        <v>0</v>
      </c>
      <c r="AN48" s="247">
        <f t="shared" ca="1" si="64"/>
        <v>0</v>
      </c>
      <c r="AO48" s="247">
        <f t="shared" ca="1" si="64"/>
        <v>0</v>
      </c>
      <c r="AP48" s="247">
        <f t="shared" ca="1" si="64"/>
        <v>0</v>
      </c>
      <c r="AQ48" s="247">
        <f t="shared" ca="1" si="64"/>
        <v>0</v>
      </c>
      <c r="AR48" s="247">
        <f t="shared" ca="1" si="64"/>
        <v>0</v>
      </c>
      <c r="AS48" s="247">
        <f t="shared" ca="1" si="64"/>
        <v>0</v>
      </c>
      <c r="AT48" s="247">
        <f t="shared" ca="1" si="64"/>
        <v>0</v>
      </c>
      <c r="AU48" s="247">
        <f t="shared" ca="1" si="64"/>
        <v>0</v>
      </c>
      <c r="AV48" s="247">
        <f t="shared" ca="1" si="64"/>
        <v>0</v>
      </c>
      <c r="AW48" s="247">
        <f t="shared" ca="1" si="64"/>
        <v>0</v>
      </c>
      <c r="AX48" s="247">
        <f t="shared" ca="1" si="64"/>
        <v>0</v>
      </c>
      <c r="AY48" s="247">
        <f t="shared" ca="1" si="64"/>
        <v>0</v>
      </c>
      <c r="AZ48" s="247">
        <f t="shared" ca="1" si="64"/>
        <v>0</v>
      </c>
      <c r="BA48" s="247">
        <f t="shared" ca="1" si="64"/>
        <v>0</v>
      </c>
      <c r="BB48" s="247">
        <f t="shared" ca="1" si="64"/>
        <v>0</v>
      </c>
      <c r="BC48" s="247">
        <f t="shared" ca="1" si="64"/>
        <v>0</v>
      </c>
      <c r="BD48" s="247">
        <f t="shared" ca="1" si="64"/>
        <v>0</v>
      </c>
      <c r="BE48" s="247">
        <f t="shared" ca="1" si="64"/>
        <v>0</v>
      </c>
      <c r="BF48" s="247">
        <f t="shared" ca="1" si="64"/>
        <v>0</v>
      </c>
      <c r="BG48" s="247">
        <f t="shared" ca="1" si="64"/>
        <v>0</v>
      </c>
      <c r="BH48" s="247">
        <f t="shared" ca="1" si="64"/>
        <v>0</v>
      </c>
      <c r="BI48" s="247">
        <f t="shared" ca="1" si="64"/>
        <v>0</v>
      </c>
      <c r="BJ48" s="247">
        <f t="shared" ca="1" si="64"/>
        <v>0</v>
      </c>
      <c r="BK48" s="247">
        <f t="shared" ca="1" si="64"/>
        <v>0</v>
      </c>
      <c r="BL48" s="247">
        <f t="shared" ca="1" si="64"/>
        <v>0</v>
      </c>
      <c r="BM48" s="247">
        <f t="shared" ca="1" si="64"/>
        <v>0</v>
      </c>
      <c r="BN48" s="247">
        <f t="shared" ca="1" si="64"/>
        <v>0</v>
      </c>
      <c r="BO48" s="247">
        <f t="shared" ca="1" si="64"/>
        <v>0</v>
      </c>
      <c r="BP48" s="247">
        <f t="shared" ca="1" si="64"/>
        <v>0</v>
      </c>
      <c r="BQ48" s="247">
        <f t="shared" ca="1" si="64"/>
        <v>0</v>
      </c>
      <c r="BR48" s="247">
        <f t="shared" ref="BR48:EC48" ca="1" si="65">SUM(BR30:BR47)</f>
        <v>0</v>
      </c>
      <c r="BS48" s="247">
        <f t="shared" ca="1" si="65"/>
        <v>0</v>
      </c>
      <c r="BT48" s="247">
        <f t="shared" ca="1" si="65"/>
        <v>0</v>
      </c>
      <c r="BU48" s="247">
        <f t="shared" ca="1" si="65"/>
        <v>0</v>
      </c>
      <c r="BV48" s="247">
        <f t="shared" ca="1" si="65"/>
        <v>0</v>
      </c>
      <c r="BW48" s="247">
        <f t="shared" ca="1" si="65"/>
        <v>0</v>
      </c>
      <c r="BX48" s="247">
        <f t="shared" ca="1" si="65"/>
        <v>0</v>
      </c>
      <c r="BY48" s="247">
        <f t="shared" ca="1" si="65"/>
        <v>0</v>
      </c>
      <c r="BZ48" s="247">
        <f t="shared" ca="1" si="65"/>
        <v>0</v>
      </c>
      <c r="CA48" s="247">
        <f t="shared" ca="1" si="65"/>
        <v>0</v>
      </c>
      <c r="CB48" s="247">
        <f t="shared" ca="1" si="65"/>
        <v>0</v>
      </c>
      <c r="CC48" s="247">
        <f t="shared" ca="1" si="65"/>
        <v>0</v>
      </c>
      <c r="CD48" s="247">
        <f t="shared" ca="1" si="65"/>
        <v>0</v>
      </c>
      <c r="CE48" s="247">
        <f t="shared" ca="1" si="65"/>
        <v>0</v>
      </c>
      <c r="CF48" s="247">
        <f t="shared" ca="1" si="65"/>
        <v>0</v>
      </c>
      <c r="CG48" s="247">
        <f t="shared" ca="1" si="65"/>
        <v>0</v>
      </c>
      <c r="CH48" s="247">
        <f t="shared" ca="1" si="65"/>
        <v>0</v>
      </c>
      <c r="CI48" s="247">
        <f t="shared" ca="1" si="65"/>
        <v>0</v>
      </c>
      <c r="CJ48" s="247">
        <f t="shared" ca="1" si="65"/>
        <v>0</v>
      </c>
      <c r="CK48" s="247">
        <f t="shared" ca="1" si="65"/>
        <v>0</v>
      </c>
      <c r="CL48" s="247">
        <f t="shared" ca="1" si="65"/>
        <v>0</v>
      </c>
      <c r="CM48" s="247">
        <f t="shared" ca="1" si="65"/>
        <v>0</v>
      </c>
      <c r="CN48" s="247">
        <f t="shared" ca="1" si="65"/>
        <v>0</v>
      </c>
      <c r="CO48" s="247">
        <f t="shared" ca="1" si="65"/>
        <v>0</v>
      </c>
      <c r="CP48" s="247">
        <f t="shared" ca="1" si="65"/>
        <v>0</v>
      </c>
      <c r="CQ48" s="247">
        <f t="shared" ca="1" si="65"/>
        <v>0</v>
      </c>
      <c r="CR48" s="247">
        <f t="shared" ca="1" si="65"/>
        <v>0</v>
      </c>
      <c r="CS48" s="247">
        <f t="shared" ca="1" si="65"/>
        <v>0</v>
      </c>
      <c r="CT48" s="247">
        <f t="shared" ca="1" si="65"/>
        <v>0</v>
      </c>
      <c r="CU48" s="247">
        <f t="shared" ca="1" si="65"/>
        <v>0</v>
      </c>
      <c r="CV48" s="247">
        <f t="shared" ca="1" si="65"/>
        <v>0</v>
      </c>
      <c r="CW48" s="247">
        <f t="shared" ca="1" si="65"/>
        <v>0</v>
      </c>
      <c r="CX48" s="247">
        <f t="shared" ca="1" si="65"/>
        <v>0</v>
      </c>
      <c r="CY48" s="247">
        <f t="shared" ca="1" si="65"/>
        <v>0</v>
      </c>
      <c r="CZ48" s="247">
        <f t="shared" ca="1" si="65"/>
        <v>0</v>
      </c>
      <c r="DA48" s="247">
        <f t="shared" ca="1" si="65"/>
        <v>0</v>
      </c>
      <c r="DB48" s="247">
        <f t="shared" ca="1" si="65"/>
        <v>0</v>
      </c>
      <c r="DC48" s="247">
        <f t="shared" ca="1" si="65"/>
        <v>0</v>
      </c>
      <c r="DD48" s="247">
        <f t="shared" ca="1" si="65"/>
        <v>0</v>
      </c>
      <c r="DE48" s="247">
        <f t="shared" ca="1" si="65"/>
        <v>0</v>
      </c>
      <c r="DF48" s="247">
        <f t="shared" ca="1" si="65"/>
        <v>0</v>
      </c>
      <c r="DG48" s="247">
        <f t="shared" ca="1" si="65"/>
        <v>0</v>
      </c>
      <c r="DH48" s="247">
        <f t="shared" ca="1" si="65"/>
        <v>0</v>
      </c>
      <c r="DI48" s="247">
        <f t="shared" ca="1" si="65"/>
        <v>0</v>
      </c>
      <c r="DJ48" s="247">
        <f t="shared" ca="1" si="65"/>
        <v>0</v>
      </c>
      <c r="DK48" s="247">
        <f t="shared" ca="1" si="65"/>
        <v>0</v>
      </c>
      <c r="DL48" s="247">
        <f t="shared" ca="1" si="65"/>
        <v>0</v>
      </c>
      <c r="DM48" s="247">
        <f t="shared" ca="1" si="65"/>
        <v>0</v>
      </c>
      <c r="DN48" s="247">
        <f t="shared" ca="1" si="65"/>
        <v>0</v>
      </c>
      <c r="DO48" s="247">
        <f t="shared" ca="1" si="65"/>
        <v>0</v>
      </c>
      <c r="DP48" s="247">
        <f t="shared" ca="1" si="65"/>
        <v>0</v>
      </c>
      <c r="DQ48" s="247">
        <f t="shared" ca="1" si="65"/>
        <v>0</v>
      </c>
      <c r="DR48" s="247">
        <f t="shared" ca="1" si="65"/>
        <v>0</v>
      </c>
      <c r="DS48" s="247">
        <f t="shared" ca="1" si="65"/>
        <v>0</v>
      </c>
      <c r="DT48" s="247">
        <f t="shared" ca="1" si="65"/>
        <v>0</v>
      </c>
      <c r="DU48" s="247">
        <f t="shared" ca="1" si="65"/>
        <v>0</v>
      </c>
      <c r="DV48" s="247">
        <f t="shared" ca="1" si="65"/>
        <v>0</v>
      </c>
      <c r="DW48" s="247">
        <f t="shared" ca="1" si="65"/>
        <v>0</v>
      </c>
      <c r="DX48" s="247">
        <f t="shared" ca="1" si="65"/>
        <v>0</v>
      </c>
      <c r="DY48" s="247">
        <f t="shared" ca="1" si="65"/>
        <v>0</v>
      </c>
      <c r="DZ48" s="247">
        <f t="shared" ca="1" si="65"/>
        <v>0</v>
      </c>
      <c r="EA48" s="247">
        <f t="shared" ca="1" si="65"/>
        <v>0</v>
      </c>
      <c r="EB48" s="247">
        <f t="shared" ca="1" si="65"/>
        <v>0</v>
      </c>
      <c r="EC48" s="247">
        <f t="shared" ca="1" si="65"/>
        <v>0</v>
      </c>
      <c r="ED48" s="247">
        <f ca="1">SUM(ED30:ED47)</f>
        <v>0</v>
      </c>
      <c r="EE48" s="247">
        <f ca="1">SUM(EE30:EE47)</f>
        <v>0</v>
      </c>
      <c r="EF48" s="247">
        <f ca="1">SUM(EF30:EF47)</f>
        <v>0</v>
      </c>
      <c r="EG48" s="247">
        <f ca="1">SUM(EG30:EG47)</f>
        <v>0</v>
      </c>
      <c r="EH48" s="247">
        <f ca="1">SUM(EH30:EH47)</f>
        <v>77959624.342178479</v>
      </c>
      <c r="EI48" s="198"/>
    </row>
    <row r="49" spans="1:139" ht="15" thickBot="1" x14ac:dyDescent="0.35">
      <c r="A49" s="641" t="s">
        <v>2366</v>
      </c>
      <c r="B49" s="248"/>
      <c r="C49" s="248"/>
      <c r="D49" s="654"/>
      <c r="E49" s="250">
        <f t="shared" ref="E49:AJ49" ca="1" si="66">E48+D49</f>
        <v>1872006.9504114862</v>
      </c>
      <c r="F49" s="250">
        <f t="shared" ca="1" si="66"/>
        <v>17071697.267435078</v>
      </c>
      <c r="G49" s="250">
        <f t="shared" ca="1" si="66"/>
        <v>17549206.810734972</v>
      </c>
      <c r="H49" s="250">
        <f t="shared" ca="1" si="66"/>
        <v>18274224.858238835</v>
      </c>
      <c r="I49" s="250">
        <f t="shared" ca="1" si="66"/>
        <v>19505576.284242198</v>
      </c>
      <c r="J49" s="250">
        <f t="shared" ca="1" si="66"/>
        <v>21515021.370485578</v>
      </c>
      <c r="K49" s="250">
        <f t="shared" ca="1" si="66"/>
        <v>23583298.653299659</v>
      </c>
      <c r="L49" s="250">
        <f t="shared" ca="1" si="66"/>
        <v>26218854.747916996</v>
      </c>
      <c r="M49" s="250">
        <f t="shared" ca="1" si="66"/>
        <v>29345166.12316294</v>
      </c>
      <c r="N49" s="250">
        <f t="shared" ca="1" si="66"/>
        <v>33004810.747068901</v>
      </c>
      <c r="O49" s="250">
        <f t="shared" ca="1" si="66"/>
        <v>36793559.294009358</v>
      </c>
      <c r="P49" s="250">
        <f t="shared" ca="1" si="66"/>
        <v>40779059.047484428</v>
      </c>
      <c r="Q49" s="250">
        <f t="shared" ca="1" si="66"/>
        <v>44815030.817665301</v>
      </c>
      <c r="R49" s="250">
        <f t="shared" ca="1" si="66"/>
        <v>48889921.942921624</v>
      </c>
      <c r="S49" s="250">
        <f t="shared" ca="1" si="66"/>
        <v>52704091.107733279</v>
      </c>
      <c r="T49" s="250">
        <f t="shared" ca="1" si="66"/>
        <v>56411333.254833937</v>
      </c>
      <c r="U49" s="250">
        <f t="shared" ca="1" si="66"/>
        <v>59849975.340502433</v>
      </c>
      <c r="V49" s="250">
        <f t="shared" ca="1" si="66"/>
        <v>62951717.219648339</v>
      </c>
      <c r="W49" s="250">
        <f t="shared" ca="1" si="66"/>
        <v>66037830.052848838</v>
      </c>
      <c r="X49" s="250">
        <f t="shared" ca="1" si="66"/>
        <v>68878643.958694547</v>
      </c>
      <c r="Y49" s="250">
        <f t="shared" ca="1" si="66"/>
        <v>71285984.201939747</v>
      </c>
      <c r="Z49" s="250">
        <f t="shared" ca="1" si="66"/>
        <v>73352901.392524347</v>
      </c>
      <c r="AA49" s="250">
        <f t="shared" ca="1" si="66"/>
        <v>75089051.738785774</v>
      </c>
      <c r="AB49" s="250">
        <f t="shared" ca="1" si="66"/>
        <v>76291139.317716837</v>
      </c>
      <c r="AC49" s="250">
        <f t="shared" ca="1" si="66"/>
        <v>77281920.057961136</v>
      </c>
      <c r="AD49" s="250">
        <f t="shared" ca="1" si="66"/>
        <v>77959624.342178479</v>
      </c>
      <c r="AE49" s="250">
        <f t="shared" ca="1" si="66"/>
        <v>77959624.342178479</v>
      </c>
      <c r="AF49" s="250">
        <f t="shared" ca="1" si="66"/>
        <v>77959624.342178479</v>
      </c>
      <c r="AG49" s="250">
        <f t="shared" ca="1" si="66"/>
        <v>77959624.342178479</v>
      </c>
      <c r="AH49" s="250">
        <f t="shared" ca="1" si="66"/>
        <v>77959624.342178479</v>
      </c>
      <c r="AI49" s="250">
        <f t="shared" ca="1" si="66"/>
        <v>77959624.342178479</v>
      </c>
      <c r="AJ49" s="250">
        <f t="shared" ca="1" si="66"/>
        <v>77959624.342178479</v>
      </c>
      <c r="AK49" s="250">
        <f t="shared" ref="AK49:BP49" ca="1" si="67">AK48+AJ49</f>
        <v>77959624.342178479</v>
      </c>
      <c r="AL49" s="250">
        <f t="shared" ca="1" si="67"/>
        <v>77959624.342178479</v>
      </c>
      <c r="AM49" s="250">
        <f t="shared" ca="1" si="67"/>
        <v>77959624.342178479</v>
      </c>
      <c r="AN49" s="250">
        <f t="shared" ca="1" si="67"/>
        <v>77959624.342178479</v>
      </c>
      <c r="AO49" s="250">
        <f t="shared" ca="1" si="67"/>
        <v>77959624.342178479</v>
      </c>
      <c r="AP49" s="250">
        <f t="shared" ca="1" si="67"/>
        <v>77959624.342178479</v>
      </c>
      <c r="AQ49" s="250">
        <f t="shared" ca="1" si="67"/>
        <v>77959624.342178479</v>
      </c>
      <c r="AR49" s="250">
        <f t="shared" ca="1" si="67"/>
        <v>77959624.342178479</v>
      </c>
      <c r="AS49" s="250">
        <f t="shared" ca="1" si="67"/>
        <v>77959624.342178479</v>
      </c>
      <c r="AT49" s="250">
        <f t="shared" ca="1" si="67"/>
        <v>77959624.342178479</v>
      </c>
      <c r="AU49" s="250">
        <f t="shared" ca="1" si="67"/>
        <v>77959624.342178479</v>
      </c>
      <c r="AV49" s="250">
        <f t="shared" ca="1" si="67"/>
        <v>77959624.342178479</v>
      </c>
      <c r="AW49" s="250">
        <f t="shared" ca="1" si="67"/>
        <v>77959624.342178479</v>
      </c>
      <c r="AX49" s="250">
        <f t="shared" ca="1" si="67"/>
        <v>77959624.342178479</v>
      </c>
      <c r="AY49" s="250">
        <f t="shared" ca="1" si="67"/>
        <v>77959624.342178479</v>
      </c>
      <c r="AZ49" s="250">
        <f t="shared" ca="1" si="67"/>
        <v>77959624.342178479</v>
      </c>
      <c r="BA49" s="250">
        <f t="shared" ca="1" si="67"/>
        <v>77959624.342178479</v>
      </c>
      <c r="BB49" s="250">
        <f t="shared" ca="1" si="67"/>
        <v>77959624.342178479</v>
      </c>
      <c r="BC49" s="250">
        <f t="shared" ca="1" si="67"/>
        <v>77959624.342178479</v>
      </c>
      <c r="BD49" s="250">
        <f t="shared" ca="1" si="67"/>
        <v>77959624.342178479</v>
      </c>
      <c r="BE49" s="250">
        <f t="shared" ca="1" si="67"/>
        <v>77959624.342178479</v>
      </c>
      <c r="BF49" s="250">
        <f t="shared" ca="1" si="67"/>
        <v>77959624.342178479</v>
      </c>
      <c r="BG49" s="250">
        <f t="shared" ca="1" si="67"/>
        <v>77959624.342178479</v>
      </c>
      <c r="BH49" s="250">
        <f t="shared" ca="1" si="67"/>
        <v>77959624.342178479</v>
      </c>
      <c r="BI49" s="250">
        <f t="shared" ca="1" si="67"/>
        <v>77959624.342178479</v>
      </c>
      <c r="BJ49" s="250">
        <f t="shared" ca="1" si="67"/>
        <v>77959624.342178479</v>
      </c>
      <c r="BK49" s="250">
        <f t="shared" ca="1" si="67"/>
        <v>77959624.342178479</v>
      </c>
      <c r="BL49" s="250">
        <f t="shared" ca="1" si="67"/>
        <v>77959624.342178479</v>
      </c>
      <c r="BM49" s="250">
        <f t="shared" ca="1" si="67"/>
        <v>77959624.342178479</v>
      </c>
      <c r="BN49" s="250">
        <f t="shared" ca="1" si="67"/>
        <v>77959624.342178479</v>
      </c>
      <c r="BO49" s="250">
        <f t="shared" ca="1" si="67"/>
        <v>77959624.342178479</v>
      </c>
      <c r="BP49" s="250">
        <f t="shared" ca="1" si="67"/>
        <v>77959624.342178479</v>
      </c>
      <c r="BQ49" s="250">
        <f t="shared" ref="BQ49:CV49" ca="1" si="68">BQ48+BP49</f>
        <v>77959624.342178479</v>
      </c>
      <c r="BR49" s="250">
        <f t="shared" ca="1" si="68"/>
        <v>77959624.342178479</v>
      </c>
      <c r="BS49" s="250">
        <f t="shared" ca="1" si="68"/>
        <v>77959624.342178479</v>
      </c>
      <c r="BT49" s="250">
        <f t="shared" ca="1" si="68"/>
        <v>77959624.342178479</v>
      </c>
      <c r="BU49" s="250">
        <f t="shared" ca="1" si="68"/>
        <v>77959624.342178479</v>
      </c>
      <c r="BV49" s="250">
        <f t="shared" ca="1" si="68"/>
        <v>77959624.342178479</v>
      </c>
      <c r="BW49" s="250">
        <f t="shared" ca="1" si="68"/>
        <v>77959624.342178479</v>
      </c>
      <c r="BX49" s="250">
        <f t="shared" ca="1" si="68"/>
        <v>77959624.342178479</v>
      </c>
      <c r="BY49" s="250">
        <f t="shared" ca="1" si="68"/>
        <v>77959624.342178479</v>
      </c>
      <c r="BZ49" s="250">
        <f t="shared" ca="1" si="68"/>
        <v>77959624.342178479</v>
      </c>
      <c r="CA49" s="250">
        <f t="shared" ca="1" si="68"/>
        <v>77959624.342178479</v>
      </c>
      <c r="CB49" s="250">
        <f t="shared" ca="1" si="68"/>
        <v>77959624.342178479</v>
      </c>
      <c r="CC49" s="250">
        <f t="shared" ca="1" si="68"/>
        <v>77959624.342178479</v>
      </c>
      <c r="CD49" s="250">
        <f t="shared" ca="1" si="68"/>
        <v>77959624.342178479</v>
      </c>
      <c r="CE49" s="250">
        <f t="shared" ca="1" si="68"/>
        <v>77959624.342178479</v>
      </c>
      <c r="CF49" s="250">
        <f t="shared" ca="1" si="68"/>
        <v>77959624.342178479</v>
      </c>
      <c r="CG49" s="250">
        <f t="shared" ca="1" si="68"/>
        <v>77959624.342178479</v>
      </c>
      <c r="CH49" s="250">
        <f t="shared" ca="1" si="68"/>
        <v>77959624.342178479</v>
      </c>
      <c r="CI49" s="250">
        <f t="shared" ca="1" si="68"/>
        <v>77959624.342178479</v>
      </c>
      <c r="CJ49" s="250">
        <f t="shared" ca="1" si="68"/>
        <v>77959624.342178479</v>
      </c>
      <c r="CK49" s="250">
        <f t="shared" ca="1" si="68"/>
        <v>77959624.342178479</v>
      </c>
      <c r="CL49" s="250">
        <f t="shared" ca="1" si="68"/>
        <v>77959624.342178479</v>
      </c>
      <c r="CM49" s="250">
        <f t="shared" ca="1" si="68"/>
        <v>77959624.342178479</v>
      </c>
      <c r="CN49" s="250">
        <f t="shared" ca="1" si="68"/>
        <v>77959624.342178479</v>
      </c>
      <c r="CO49" s="250">
        <f t="shared" ca="1" si="68"/>
        <v>77959624.342178479</v>
      </c>
      <c r="CP49" s="250">
        <f t="shared" ca="1" si="68"/>
        <v>77959624.342178479</v>
      </c>
      <c r="CQ49" s="250">
        <f t="shared" ca="1" si="68"/>
        <v>77959624.342178479</v>
      </c>
      <c r="CR49" s="250">
        <f t="shared" ca="1" si="68"/>
        <v>77959624.342178479</v>
      </c>
      <c r="CS49" s="250">
        <f t="shared" ca="1" si="68"/>
        <v>77959624.342178479</v>
      </c>
      <c r="CT49" s="250">
        <f t="shared" ca="1" si="68"/>
        <v>77959624.342178479</v>
      </c>
      <c r="CU49" s="250">
        <f t="shared" ca="1" si="68"/>
        <v>77959624.342178479</v>
      </c>
      <c r="CV49" s="250">
        <f t="shared" ca="1" si="68"/>
        <v>77959624.342178479</v>
      </c>
      <c r="CW49" s="250">
        <f t="shared" ref="CW49:EB49" ca="1" si="69">CW48+CV49</f>
        <v>77959624.342178479</v>
      </c>
      <c r="CX49" s="250">
        <f t="shared" ca="1" si="69"/>
        <v>77959624.342178479</v>
      </c>
      <c r="CY49" s="250">
        <f t="shared" ca="1" si="69"/>
        <v>77959624.342178479</v>
      </c>
      <c r="CZ49" s="250">
        <f t="shared" ca="1" si="69"/>
        <v>77959624.342178479</v>
      </c>
      <c r="DA49" s="250">
        <f t="shared" ca="1" si="69"/>
        <v>77959624.342178479</v>
      </c>
      <c r="DB49" s="250">
        <f t="shared" ca="1" si="69"/>
        <v>77959624.342178479</v>
      </c>
      <c r="DC49" s="250">
        <f t="shared" ca="1" si="69"/>
        <v>77959624.342178479</v>
      </c>
      <c r="DD49" s="250">
        <f t="shared" ca="1" si="69"/>
        <v>77959624.342178479</v>
      </c>
      <c r="DE49" s="250">
        <f t="shared" ca="1" si="69"/>
        <v>77959624.342178479</v>
      </c>
      <c r="DF49" s="250">
        <f t="shared" ca="1" si="69"/>
        <v>77959624.342178479</v>
      </c>
      <c r="DG49" s="250">
        <f t="shared" ca="1" si="69"/>
        <v>77959624.342178479</v>
      </c>
      <c r="DH49" s="250">
        <f t="shared" ca="1" si="69"/>
        <v>77959624.342178479</v>
      </c>
      <c r="DI49" s="250">
        <f t="shared" ca="1" si="69"/>
        <v>77959624.342178479</v>
      </c>
      <c r="DJ49" s="250">
        <f t="shared" ca="1" si="69"/>
        <v>77959624.342178479</v>
      </c>
      <c r="DK49" s="250">
        <f t="shared" ca="1" si="69"/>
        <v>77959624.342178479</v>
      </c>
      <c r="DL49" s="250">
        <f t="shared" ca="1" si="69"/>
        <v>77959624.342178479</v>
      </c>
      <c r="DM49" s="250">
        <f t="shared" ca="1" si="69"/>
        <v>77959624.342178479</v>
      </c>
      <c r="DN49" s="250">
        <f t="shared" ca="1" si="69"/>
        <v>77959624.342178479</v>
      </c>
      <c r="DO49" s="250">
        <f t="shared" ca="1" si="69"/>
        <v>77959624.342178479</v>
      </c>
      <c r="DP49" s="250">
        <f t="shared" ca="1" si="69"/>
        <v>77959624.342178479</v>
      </c>
      <c r="DQ49" s="250">
        <f t="shared" ca="1" si="69"/>
        <v>77959624.342178479</v>
      </c>
      <c r="DR49" s="250">
        <f t="shared" ca="1" si="69"/>
        <v>77959624.342178479</v>
      </c>
      <c r="DS49" s="250">
        <f t="shared" ca="1" si="69"/>
        <v>77959624.342178479</v>
      </c>
      <c r="DT49" s="250">
        <f t="shared" ca="1" si="69"/>
        <v>77959624.342178479</v>
      </c>
      <c r="DU49" s="250">
        <f t="shared" ca="1" si="69"/>
        <v>77959624.342178479</v>
      </c>
      <c r="DV49" s="250">
        <f t="shared" ca="1" si="69"/>
        <v>77959624.342178479</v>
      </c>
      <c r="DW49" s="250">
        <f t="shared" ca="1" si="69"/>
        <v>77959624.342178479</v>
      </c>
      <c r="DX49" s="250">
        <f t="shared" ca="1" si="69"/>
        <v>77959624.342178479</v>
      </c>
      <c r="DY49" s="250">
        <f t="shared" ca="1" si="69"/>
        <v>77959624.342178479</v>
      </c>
      <c r="DZ49" s="250">
        <f t="shared" ca="1" si="69"/>
        <v>77959624.342178479</v>
      </c>
      <c r="EA49" s="250">
        <f t="shared" ca="1" si="69"/>
        <v>77959624.342178479</v>
      </c>
      <c r="EB49" s="250">
        <f t="shared" ca="1" si="69"/>
        <v>77959624.342178479</v>
      </c>
      <c r="EC49" s="250">
        <f ca="1">EC48+EB49</f>
        <v>77959624.342178479</v>
      </c>
      <c r="ED49" s="250">
        <f ca="1">ED48+EC49</f>
        <v>77959624.342178479</v>
      </c>
      <c r="EE49" s="250">
        <f ca="1">EE48+ED49</f>
        <v>77959624.342178479</v>
      </c>
      <c r="EF49" s="250">
        <f ca="1">EF48+EE49</f>
        <v>77959624.342178479</v>
      </c>
      <c r="EG49" s="250">
        <f ca="1">EG48+EF49</f>
        <v>77959624.342178479</v>
      </c>
      <c r="EH49" s="250">
        <f ca="1">EG49</f>
        <v>77959624.342178479</v>
      </c>
      <c r="EI49" s="227"/>
    </row>
    <row r="50" spans="1:139" ht="7.5" customHeight="1" thickTop="1" x14ac:dyDescent="0.3"/>
    <row r="51" spans="1:139" x14ac:dyDescent="0.3">
      <c r="E51" s="227"/>
      <c r="F51" s="227"/>
      <c r="G51" s="227"/>
      <c r="H51" s="227"/>
      <c r="I51" s="227"/>
      <c r="J51" s="227"/>
      <c r="K51" s="227"/>
      <c r="L51" s="227"/>
      <c r="M51" s="227"/>
      <c r="N51" s="227"/>
      <c r="O51" s="227"/>
      <c r="P51" s="227"/>
      <c r="Q51" s="227"/>
      <c r="R51" s="227"/>
      <c r="S51" s="227"/>
      <c r="T51" s="227"/>
      <c r="U51" s="227"/>
      <c r="V51" s="227"/>
      <c r="W51" s="227"/>
      <c r="X51" s="227"/>
      <c r="Y51" s="227"/>
      <c r="Z51" s="227"/>
      <c r="AA51" s="227"/>
      <c r="AB51" s="227"/>
      <c r="AC51" s="227"/>
      <c r="AD51" s="227"/>
      <c r="AE51" s="227"/>
      <c r="AF51" s="227"/>
      <c r="AG51" s="227"/>
      <c r="AH51" s="227"/>
      <c r="AI51" s="227"/>
      <c r="AJ51" s="227"/>
      <c r="AK51" s="227"/>
      <c r="AL51" s="227"/>
      <c r="AM51" s="227"/>
      <c r="AN51" s="227"/>
      <c r="AO51" s="227"/>
      <c r="AP51" s="227"/>
      <c r="AQ51" s="227"/>
      <c r="AR51" s="227"/>
      <c r="AS51" s="227"/>
      <c r="AT51" s="227"/>
      <c r="AU51" s="227"/>
      <c r="AV51" s="227"/>
      <c r="AW51" s="227"/>
      <c r="AX51" s="227"/>
      <c r="AY51" s="227"/>
      <c r="AZ51" s="227"/>
      <c r="BA51" s="227"/>
      <c r="BB51" s="227"/>
      <c r="BC51" s="227"/>
      <c r="BD51" s="227"/>
      <c r="BE51" s="227"/>
      <c r="BF51" s="227"/>
      <c r="BG51" s="227"/>
      <c r="BH51" s="227"/>
      <c r="BI51" s="227"/>
      <c r="BJ51" s="227"/>
      <c r="BK51" s="227"/>
      <c r="BL51" s="227"/>
      <c r="BM51" s="227"/>
      <c r="BN51" s="227"/>
      <c r="BO51" s="227"/>
      <c r="BP51" s="227"/>
      <c r="BQ51" s="227"/>
      <c r="BR51" s="227"/>
      <c r="BS51" s="227"/>
      <c r="BT51" s="227"/>
      <c r="BU51" s="227"/>
      <c r="BV51" s="227"/>
      <c r="BW51" s="227"/>
      <c r="BX51" s="227"/>
      <c r="BY51" s="227"/>
      <c r="BZ51" s="227"/>
      <c r="CA51" s="227"/>
      <c r="CB51" s="227"/>
      <c r="CC51" s="227"/>
      <c r="CD51" s="227"/>
      <c r="CE51" s="227"/>
      <c r="CF51" s="227"/>
      <c r="CG51" s="227"/>
      <c r="CH51" s="227"/>
      <c r="CI51" s="227"/>
      <c r="CJ51" s="227"/>
      <c r="CK51" s="227"/>
      <c r="CL51" s="227"/>
      <c r="CM51" s="227"/>
      <c r="CN51" s="227"/>
      <c r="CO51" s="227"/>
      <c r="CP51" s="227"/>
      <c r="CQ51" s="227"/>
      <c r="CR51" s="227"/>
      <c r="CS51" s="227"/>
      <c r="CT51" s="227"/>
      <c r="CU51" s="227"/>
      <c r="CV51" s="227"/>
      <c r="CW51" s="227"/>
      <c r="CX51" s="227"/>
      <c r="CY51" s="227"/>
      <c r="CZ51" s="227"/>
      <c r="DA51" s="227"/>
      <c r="DB51" s="227"/>
      <c r="DC51" s="227"/>
      <c r="DD51" s="227"/>
      <c r="DE51" s="227"/>
      <c r="DF51" s="227"/>
      <c r="DG51" s="227"/>
      <c r="DH51" s="227"/>
      <c r="DI51" s="227"/>
      <c r="DJ51" s="227"/>
      <c r="DK51" s="227"/>
      <c r="DL51" s="227"/>
      <c r="DM51" s="227"/>
      <c r="DN51" s="227"/>
      <c r="DO51" s="227"/>
      <c r="DP51" s="227"/>
      <c r="DQ51" s="227"/>
      <c r="DR51" s="227"/>
      <c r="DS51" s="227"/>
      <c r="DT51" s="227"/>
      <c r="DU51" s="227"/>
      <c r="DV51" s="227"/>
      <c r="DW51" s="227"/>
      <c r="DX51" s="227"/>
      <c r="DY51" s="227"/>
      <c r="DZ51" s="227"/>
      <c r="EA51" s="227"/>
      <c r="EB51" s="227"/>
      <c r="EC51" s="227"/>
      <c r="ED51" s="227"/>
      <c r="EE51" s="227"/>
      <c r="EF51" s="227"/>
      <c r="EG51" s="227"/>
      <c r="EH51" s="227"/>
    </row>
    <row r="52" spans="1:139" s="1038" customFormat="1" hidden="1" x14ac:dyDescent="0.3">
      <c r="A52" s="1038" t="s">
        <v>652</v>
      </c>
      <c r="D52" s="1039"/>
      <c r="F52" s="1038">
        <f>-Waterfalls!F159</f>
        <v>0</v>
      </c>
      <c r="G52" s="1038">
        <f>-Waterfalls!G159</f>
        <v>0</v>
      </c>
      <c r="H52" s="1038">
        <f>-Waterfalls!H159</f>
        <v>0</v>
      </c>
      <c r="I52" s="1038">
        <f>-Waterfalls!I159</f>
        <v>0</v>
      </c>
      <c r="J52" s="1038">
        <f>-Waterfalls!J159</f>
        <v>0</v>
      </c>
      <c r="K52" s="1038">
        <f>-Waterfalls!K159</f>
        <v>0</v>
      </c>
      <c r="L52" s="1038">
        <f>-Waterfalls!L159</f>
        <v>0</v>
      </c>
      <c r="M52" s="1038">
        <f>-Waterfalls!M159</f>
        <v>0</v>
      </c>
      <c r="N52" s="1038">
        <f>-Waterfalls!N159</f>
        <v>0</v>
      </c>
      <c r="O52" s="1038">
        <f>-Waterfalls!O159</f>
        <v>0</v>
      </c>
      <c r="P52" s="1038">
        <f>-Waterfalls!P159</f>
        <v>0</v>
      </c>
      <c r="Q52" s="1038">
        <f>-Waterfalls!Q159</f>
        <v>0</v>
      </c>
      <c r="R52" s="1038">
        <f>-Waterfalls!R159</f>
        <v>0</v>
      </c>
      <c r="S52" s="1038">
        <f>-Waterfalls!S159</f>
        <v>0</v>
      </c>
      <c r="T52" s="1038">
        <f>-Waterfalls!T159</f>
        <v>0</v>
      </c>
      <c r="U52" s="1038">
        <f>-Waterfalls!U159</f>
        <v>0</v>
      </c>
      <c r="V52" s="1038">
        <f>-Waterfalls!V159</f>
        <v>0</v>
      </c>
      <c r="W52" s="1038">
        <f>-Waterfalls!W159</f>
        <v>0</v>
      </c>
      <c r="X52" s="1038">
        <f>-Waterfalls!X159</f>
        <v>0</v>
      </c>
      <c r="Y52" s="1038">
        <f>-Waterfalls!Y159</f>
        <v>0</v>
      </c>
      <c r="Z52" s="1038">
        <f>-Waterfalls!Z159</f>
        <v>0</v>
      </c>
      <c r="AA52" s="1038">
        <f>-Waterfalls!AA159</f>
        <v>0</v>
      </c>
      <c r="AB52" s="1038">
        <f>-Waterfalls!AB159</f>
        <v>0</v>
      </c>
      <c r="AC52" s="1038">
        <f>-Waterfalls!AC159</f>
        <v>0</v>
      </c>
      <c r="AD52" s="1038">
        <f ca="1">-Waterfalls!AD159</f>
        <v>0</v>
      </c>
      <c r="AE52" s="1038">
        <f ca="1">-Waterfalls!AE159</f>
        <v>0</v>
      </c>
      <c r="AF52" s="1038">
        <f ca="1">-Waterfalls!AF159</f>
        <v>0</v>
      </c>
      <c r="AG52" s="1038">
        <f ca="1">-Waterfalls!AG159</f>
        <v>0</v>
      </c>
      <c r="AH52" s="1038">
        <f ca="1">-Waterfalls!AH159</f>
        <v>0</v>
      </c>
      <c r="AI52" s="1038">
        <f ca="1">-Waterfalls!AI159</f>
        <v>0</v>
      </c>
      <c r="AJ52" s="1038">
        <f ca="1">-Waterfalls!AJ159</f>
        <v>0</v>
      </c>
      <c r="AK52" s="1038">
        <f ca="1">-Waterfalls!AK159</f>
        <v>0</v>
      </c>
      <c r="AL52" s="1038">
        <f ca="1">-Waterfalls!AL159</f>
        <v>0</v>
      </c>
      <c r="AM52" s="1038">
        <f ca="1">-Waterfalls!AM159</f>
        <v>0</v>
      </c>
      <c r="AN52" s="1038">
        <f ca="1">-Waterfalls!AN159</f>
        <v>0</v>
      </c>
      <c r="AO52" s="1038">
        <f ca="1">-Waterfalls!AO159</f>
        <v>0</v>
      </c>
      <c r="AP52" s="1038">
        <f ca="1">-Waterfalls!AP159</f>
        <v>0</v>
      </c>
      <c r="AQ52" s="1038">
        <f ca="1">-Waterfalls!AQ159</f>
        <v>0</v>
      </c>
      <c r="AR52" s="1038">
        <f ca="1">-Waterfalls!AR159</f>
        <v>0</v>
      </c>
      <c r="AS52" s="1038">
        <f ca="1">-Waterfalls!AS159</f>
        <v>0</v>
      </c>
      <c r="AT52" s="1038">
        <f ca="1">-Waterfalls!AT159</f>
        <v>0</v>
      </c>
      <c r="AU52" s="1038">
        <f ca="1">-Waterfalls!AU159</f>
        <v>0</v>
      </c>
      <c r="AV52" s="1038">
        <f ca="1">-Waterfalls!AV159</f>
        <v>0</v>
      </c>
      <c r="AW52" s="1038">
        <f ca="1">-Waterfalls!AW159</f>
        <v>0</v>
      </c>
      <c r="AX52" s="1038">
        <f ca="1">-Waterfalls!AX159</f>
        <v>0</v>
      </c>
      <c r="AY52" s="1038">
        <f ca="1">-Waterfalls!AY159</f>
        <v>0</v>
      </c>
      <c r="AZ52" s="1038">
        <f ca="1">-Waterfalls!AZ159</f>
        <v>0</v>
      </c>
      <c r="BA52" s="1038">
        <f ca="1">-Waterfalls!BA159</f>
        <v>0</v>
      </c>
      <c r="BB52" s="1038">
        <f ca="1">-Waterfalls!BB159</f>
        <v>0</v>
      </c>
      <c r="BC52" s="1038">
        <f ca="1">-Waterfalls!BC159</f>
        <v>0</v>
      </c>
      <c r="BD52" s="1038">
        <f ca="1">-Waterfalls!BD159</f>
        <v>0</v>
      </c>
      <c r="BE52" s="1038">
        <f ca="1">-Waterfalls!BE159</f>
        <v>0</v>
      </c>
      <c r="BF52" s="1038">
        <f ca="1">-Waterfalls!BF159</f>
        <v>0</v>
      </c>
      <c r="BG52" s="1038">
        <f ca="1">-Waterfalls!BG159</f>
        <v>0</v>
      </c>
      <c r="BH52" s="1038">
        <f ca="1">-Waterfalls!BH159</f>
        <v>0</v>
      </c>
      <c r="BI52" s="1038">
        <f ca="1">-Waterfalls!BI159</f>
        <v>0</v>
      </c>
      <c r="BJ52" s="1038">
        <f ca="1">-Waterfalls!BJ159</f>
        <v>0</v>
      </c>
      <c r="BK52" s="1038">
        <f ca="1">-Waterfalls!BK159</f>
        <v>0</v>
      </c>
      <c r="BL52" s="1038">
        <f ca="1">-Waterfalls!BL159</f>
        <v>0</v>
      </c>
      <c r="BM52" s="1038">
        <f ca="1">-Waterfalls!BM159</f>
        <v>0</v>
      </c>
      <c r="BN52" s="1038">
        <f ca="1">-Waterfalls!BN159</f>
        <v>0</v>
      </c>
      <c r="BO52" s="1038">
        <f ca="1">-Waterfalls!BO159</f>
        <v>0</v>
      </c>
      <c r="BP52" s="1038">
        <f ca="1">-Waterfalls!BP159</f>
        <v>0</v>
      </c>
      <c r="BQ52" s="1038">
        <f ca="1">-Waterfalls!BQ159</f>
        <v>0</v>
      </c>
      <c r="BR52" s="1038">
        <f ca="1">-Waterfalls!BR159</f>
        <v>0</v>
      </c>
      <c r="BS52" s="1038">
        <f ca="1">-Waterfalls!BS159</f>
        <v>0</v>
      </c>
      <c r="BT52" s="1038">
        <f ca="1">-Waterfalls!BT159</f>
        <v>0</v>
      </c>
      <c r="BU52" s="1038">
        <f ca="1">-Waterfalls!BU159</f>
        <v>0</v>
      </c>
      <c r="BV52" s="1038">
        <f ca="1">-Waterfalls!BV159</f>
        <v>0</v>
      </c>
      <c r="BW52" s="1038">
        <f ca="1">-Waterfalls!BW159</f>
        <v>0</v>
      </c>
      <c r="BX52" s="1038">
        <f ca="1">-Waterfalls!BX159</f>
        <v>0</v>
      </c>
      <c r="BY52" s="1038">
        <f ca="1">-Waterfalls!BY159</f>
        <v>0</v>
      </c>
      <c r="BZ52" s="1038">
        <f ca="1">-Waterfalls!BZ159</f>
        <v>0</v>
      </c>
      <c r="CA52" s="1038">
        <f ca="1">-Waterfalls!CA159</f>
        <v>0</v>
      </c>
      <c r="CB52" s="1038">
        <f ca="1">-Waterfalls!CB159</f>
        <v>0</v>
      </c>
      <c r="CC52" s="1038">
        <f ca="1">-Waterfalls!CC159</f>
        <v>0</v>
      </c>
      <c r="CD52" s="1038">
        <f ca="1">-Waterfalls!CD159</f>
        <v>0</v>
      </c>
      <c r="CE52" s="1038">
        <f ca="1">-Waterfalls!CE159</f>
        <v>0</v>
      </c>
      <c r="CF52" s="1038">
        <f ca="1">-Waterfalls!CF159</f>
        <v>0</v>
      </c>
      <c r="CG52" s="1038">
        <f ca="1">-Waterfalls!CG159</f>
        <v>0</v>
      </c>
      <c r="CH52" s="1038">
        <f ca="1">-Waterfalls!CH159</f>
        <v>0</v>
      </c>
      <c r="CI52" s="1038">
        <f ca="1">-Waterfalls!CI159</f>
        <v>0</v>
      </c>
      <c r="CJ52" s="1038">
        <f ca="1">-Waterfalls!CJ159</f>
        <v>0</v>
      </c>
      <c r="CK52" s="1038">
        <f ca="1">-Waterfalls!CK159</f>
        <v>0</v>
      </c>
      <c r="CL52" s="1038">
        <f ca="1">-Waterfalls!CL159</f>
        <v>0</v>
      </c>
      <c r="CM52" s="1038">
        <f ca="1">-Waterfalls!CM159</f>
        <v>0</v>
      </c>
      <c r="CN52" s="1038">
        <f ca="1">-Waterfalls!CN159</f>
        <v>0</v>
      </c>
      <c r="CO52" s="1038">
        <f ca="1">-Waterfalls!CO159</f>
        <v>0</v>
      </c>
      <c r="CP52" s="1038">
        <f ca="1">-Waterfalls!CP159</f>
        <v>0</v>
      </c>
      <c r="CQ52" s="1038">
        <f ca="1">-Waterfalls!CQ159</f>
        <v>0</v>
      </c>
      <c r="CR52" s="1038">
        <f ca="1">-Waterfalls!CR159</f>
        <v>0</v>
      </c>
      <c r="CS52" s="1038">
        <f ca="1">-Waterfalls!CS159</f>
        <v>0</v>
      </c>
      <c r="CT52" s="1038">
        <f ca="1">-Waterfalls!CT159</f>
        <v>0</v>
      </c>
      <c r="CU52" s="1038">
        <f ca="1">-Waterfalls!CU159</f>
        <v>0</v>
      </c>
      <c r="CV52" s="1038">
        <f ca="1">-Waterfalls!CV159</f>
        <v>0</v>
      </c>
      <c r="CW52" s="1038">
        <f ca="1">-Waterfalls!CW159</f>
        <v>0</v>
      </c>
      <c r="CX52" s="1038">
        <f ca="1">-Waterfalls!CX159</f>
        <v>0</v>
      </c>
      <c r="CY52" s="1038">
        <f ca="1">-Waterfalls!CY159</f>
        <v>0</v>
      </c>
      <c r="CZ52" s="1038">
        <f ca="1">-Waterfalls!CZ159</f>
        <v>0</v>
      </c>
      <c r="DA52" s="1038">
        <f ca="1">-Waterfalls!DA159</f>
        <v>0</v>
      </c>
      <c r="DB52" s="1038">
        <f ca="1">-Waterfalls!DB159</f>
        <v>0</v>
      </c>
      <c r="DC52" s="1038">
        <f ca="1">-Waterfalls!DC159</f>
        <v>0</v>
      </c>
      <c r="DD52" s="1038">
        <f ca="1">-Waterfalls!DD159</f>
        <v>0</v>
      </c>
      <c r="DE52" s="1038">
        <f ca="1">-Waterfalls!DE159</f>
        <v>0</v>
      </c>
      <c r="DF52" s="1038">
        <f ca="1">-Waterfalls!DF159</f>
        <v>0</v>
      </c>
      <c r="DG52" s="1038">
        <f ca="1">-Waterfalls!DG159</f>
        <v>0</v>
      </c>
      <c r="DH52" s="1038">
        <f ca="1">-Waterfalls!DH159</f>
        <v>0</v>
      </c>
      <c r="DI52" s="1038">
        <f ca="1">-Waterfalls!DI159</f>
        <v>0</v>
      </c>
      <c r="DJ52" s="1038">
        <f ca="1">-Waterfalls!DJ159</f>
        <v>0</v>
      </c>
      <c r="DK52" s="1038">
        <f ca="1">-Waterfalls!DK159</f>
        <v>0</v>
      </c>
      <c r="DL52" s="1038">
        <f ca="1">-Waterfalls!DL159</f>
        <v>0</v>
      </c>
      <c r="DM52" s="1038">
        <f ca="1">-Waterfalls!DM159</f>
        <v>0</v>
      </c>
      <c r="DN52" s="1038">
        <f ca="1">-Waterfalls!DN159</f>
        <v>0</v>
      </c>
      <c r="DO52" s="1038">
        <f ca="1">-Waterfalls!DO159</f>
        <v>0</v>
      </c>
      <c r="DP52" s="1038">
        <f ca="1">-Waterfalls!DP159</f>
        <v>0</v>
      </c>
      <c r="DQ52" s="1038">
        <f ca="1">-Waterfalls!DQ159</f>
        <v>0</v>
      </c>
      <c r="DR52" s="1038">
        <f ca="1">-Waterfalls!DR159</f>
        <v>0</v>
      </c>
      <c r="DS52" s="1038">
        <f ca="1">-Waterfalls!DS159</f>
        <v>0</v>
      </c>
      <c r="DT52" s="1038">
        <f ca="1">-Waterfalls!DT159</f>
        <v>0</v>
      </c>
      <c r="DU52" s="1038">
        <f ca="1">-Waterfalls!DU159</f>
        <v>0</v>
      </c>
      <c r="DV52" s="1038">
        <f ca="1">-Waterfalls!DV159</f>
        <v>0</v>
      </c>
      <c r="DW52" s="1038">
        <f ca="1">-Waterfalls!DW159</f>
        <v>0</v>
      </c>
      <c r="DX52" s="1038">
        <f ca="1">-Waterfalls!DX159</f>
        <v>0</v>
      </c>
      <c r="DY52" s="1038">
        <f ca="1">-Waterfalls!DY159</f>
        <v>0</v>
      </c>
      <c r="DZ52" s="1038">
        <f ca="1">-Waterfalls!DZ159</f>
        <v>0</v>
      </c>
      <c r="EA52" s="1038">
        <f ca="1">-Waterfalls!EA159</f>
        <v>0</v>
      </c>
      <c r="EB52" s="1038">
        <f ca="1">-Waterfalls!EB159</f>
        <v>0</v>
      </c>
      <c r="EC52" s="1038">
        <f ca="1">-Waterfalls!EC159</f>
        <v>0</v>
      </c>
      <c r="ED52" s="1038">
        <f ca="1">-Waterfalls!ED159</f>
        <v>0</v>
      </c>
      <c r="EE52" s="1038">
        <f ca="1">-Waterfalls!EE159</f>
        <v>0</v>
      </c>
      <c r="EF52" s="1038">
        <f ca="1">-Waterfalls!EF159</f>
        <v>0</v>
      </c>
      <c r="EG52" s="1038">
        <f ca="1">-Waterfalls!EG159</f>
        <v>0</v>
      </c>
    </row>
    <row r="53" spans="1:139" s="1038" customFormat="1" hidden="1" x14ac:dyDescent="0.3">
      <c r="A53" s="1038" t="s">
        <v>2367</v>
      </c>
      <c r="C53" s="1038">
        <f ca="1">+SUM(F53:EG53)</f>
        <v>0</v>
      </c>
      <c r="D53" s="1039"/>
      <c r="F53" s="1038">
        <f ca="1">IF(F40&gt;0,MIN(F52,F40),0)</f>
        <v>0</v>
      </c>
      <c r="G53" s="1038">
        <f ca="1">IF(G40&gt;0,MIN(G52,G40),0)</f>
        <v>0</v>
      </c>
      <c r="H53" s="1038">
        <f t="shared" ref="H53:BR53" ca="1" si="70">IF(H40&gt;0,MIN(H52,H40),0)</f>
        <v>0</v>
      </c>
      <c r="I53" s="1038">
        <f t="shared" ca="1" si="70"/>
        <v>0</v>
      </c>
      <c r="J53" s="1038">
        <f t="shared" ca="1" si="70"/>
        <v>0</v>
      </c>
      <c r="K53" s="1038">
        <f t="shared" ca="1" si="70"/>
        <v>0</v>
      </c>
      <c r="L53" s="1038">
        <f t="shared" ca="1" si="70"/>
        <v>0</v>
      </c>
      <c r="M53" s="1038">
        <f t="shared" ca="1" si="70"/>
        <v>0</v>
      </c>
      <c r="N53" s="1038">
        <f t="shared" ca="1" si="70"/>
        <v>0</v>
      </c>
      <c r="O53" s="1038">
        <f t="shared" ca="1" si="70"/>
        <v>0</v>
      </c>
      <c r="P53" s="1038">
        <f t="shared" ca="1" si="70"/>
        <v>0</v>
      </c>
      <c r="Q53" s="1038">
        <f t="shared" ca="1" si="70"/>
        <v>0</v>
      </c>
      <c r="R53" s="1038">
        <f t="shared" ca="1" si="70"/>
        <v>0</v>
      </c>
      <c r="S53" s="1038">
        <f t="shared" ca="1" si="70"/>
        <v>0</v>
      </c>
      <c r="T53" s="1038">
        <f t="shared" ca="1" si="70"/>
        <v>0</v>
      </c>
      <c r="U53" s="1038">
        <f t="shared" ca="1" si="70"/>
        <v>0</v>
      </c>
      <c r="V53" s="1038">
        <f t="shared" ca="1" si="70"/>
        <v>0</v>
      </c>
      <c r="W53" s="1038">
        <f t="shared" ca="1" si="70"/>
        <v>0</v>
      </c>
      <c r="X53" s="1038">
        <f t="shared" ca="1" si="70"/>
        <v>0</v>
      </c>
      <c r="Y53" s="1038">
        <f t="shared" ca="1" si="70"/>
        <v>0</v>
      </c>
      <c r="Z53" s="1038">
        <f t="shared" ca="1" si="70"/>
        <v>0</v>
      </c>
      <c r="AA53" s="1038">
        <f t="shared" ca="1" si="70"/>
        <v>0</v>
      </c>
      <c r="AB53" s="1038">
        <f t="shared" ca="1" si="70"/>
        <v>0</v>
      </c>
      <c r="AC53" s="1038">
        <f t="shared" ca="1" si="70"/>
        <v>0</v>
      </c>
      <c r="AD53" s="1038">
        <f t="shared" ca="1" si="70"/>
        <v>0</v>
      </c>
      <c r="AE53" s="1038">
        <f t="shared" ca="1" si="70"/>
        <v>0</v>
      </c>
      <c r="AF53" s="1038">
        <f t="shared" ca="1" si="70"/>
        <v>0</v>
      </c>
      <c r="AG53" s="1038">
        <f t="shared" ca="1" si="70"/>
        <v>0</v>
      </c>
      <c r="AH53" s="1038">
        <f t="shared" ca="1" si="70"/>
        <v>0</v>
      </c>
      <c r="AI53" s="1038">
        <f t="shared" ca="1" si="70"/>
        <v>0</v>
      </c>
      <c r="AJ53" s="1038">
        <f t="shared" ca="1" si="70"/>
        <v>0</v>
      </c>
      <c r="AK53" s="1038">
        <f t="shared" ca="1" si="70"/>
        <v>0</v>
      </c>
      <c r="AL53" s="1038">
        <f t="shared" ca="1" si="70"/>
        <v>0</v>
      </c>
      <c r="AM53" s="1038">
        <f t="shared" ca="1" si="70"/>
        <v>0</v>
      </c>
      <c r="AN53" s="1038">
        <f t="shared" ca="1" si="70"/>
        <v>0</v>
      </c>
      <c r="AO53" s="1038">
        <f t="shared" ca="1" si="70"/>
        <v>0</v>
      </c>
      <c r="AP53" s="1038">
        <f t="shared" ca="1" si="70"/>
        <v>0</v>
      </c>
      <c r="AQ53" s="1038">
        <f t="shared" ca="1" si="70"/>
        <v>0</v>
      </c>
      <c r="AR53" s="1038">
        <f t="shared" ca="1" si="70"/>
        <v>0</v>
      </c>
      <c r="AS53" s="1038">
        <f t="shared" ca="1" si="70"/>
        <v>0</v>
      </c>
      <c r="AT53" s="1038">
        <f t="shared" ca="1" si="70"/>
        <v>0</v>
      </c>
      <c r="AU53" s="1038">
        <f t="shared" ca="1" si="70"/>
        <v>0</v>
      </c>
      <c r="AV53" s="1038">
        <f t="shared" ca="1" si="70"/>
        <v>0</v>
      </c>
      <c r="AW53" s="1038">
        <f t="shared" ca="1" si="70"/>
        <v>0</v>
      </c>
      <c r="AX53" s="1038">
        <f t="shared" ca="1" si="70"/>
        <v>0</v>
      </c>
      <c r="AY53" s="1038">
        <f t="shared" ca="1" si="70"/>
        <v>0</v>
      </c>
      <c r="AZ53" s="1038">
        <f t="shared" ca="1" si="70"/>
        <v>0</v>
      </c>
      <c r="BA53" s="1038">
        <f t="shared" ca="1" si="70"/>
        <v>0</v>
      </c>
      <c r="BB53" s="1038">
        <f t="shared" ca="1" si="70"/>
        <v>0</v>
      </c>
      <c r="BC53" s="1038">
        <f t="shared" ca="1" si="70"/>
        <v>0</v>
      </c>
      <c r="BD53" s="1038">
        <f t="shared" ca="1" si="70"/>
        <v>0</v>
      </c>
      <c r="BE53" s="1038">
        <f t="shared" ca="1" si="70"/>
        <v>0</v>
      </c>
      <c r="BF53" s="1038">
        <f t="shared" ca="1" si="70"/>
        <v>0</v>
      </c>
      <c r="BG53" s="1038">
        <f t="shared" ca="1" si="70"/>
        <v>0</v>
      </c>
      <c r="BH53" s="1038">
        <f t="shared" ca="1" si="70"/>
        <v>0</v>
      </c>
      <c r="BI53" s="1038">
        <f t="shared" ca="1" si="70"/>
        <v>0</v>
      </c>
      <c r="BJ53" s="1038">
        <f t="shared" ca="1" si="70"/>
        <v>0</v>
      </c>
      <c r="BK53" s="1038">
        <f t="shared" ca="1" si="70"/>
        <v>0</v>
      </c>
      <c r="BL53" s="1038">
        <f t="shared" ca="1" si="70"/>
        <v>0</v>
      </c>
      <c r="BM53" s="1038">
        <f t="shared" ca="1" si="70"/>
        <v>0</v>
      </c>
      <c r="BN53" s="1038">
        <f t="shared" ca="1" si="70"/>
        <v>0</v>
      </c>
      <c r="BO53" s="1038">
        <f t="shared" ca="1" si="70"/>
        <v>0</v>
      </c>
      <c r="BP53" s="1038">
        <f t="shared" ca="1" si="70"/>
        <v>0</v>
      </c>
      <c r="BQ53" s="1038">
        <f t="shared" ca="1" si="70"/>
        <v>0</v>
      </c>
      <c r="BR53" s="1038">
        <f t="shared" ca="1" si="70"/>
        <v>0</v>
      </c>
      <c r="BS53" s="1038">
        <f t="shared" ref="BS53:ED53" ca="1" si="71">IF(BS40&gt;0,MIN(BS52,BS40),0)</f>
        <v>0</v>
      </c>
      <c r="BT53" s="1038">
        <f t="shared" ca="1" si="71"/>
        <v>0</v>
      </c>
      <c r="BU53" s="1038">
        <f t="shared" ca="1" si="71"/>
        <v>0</v>
      </c>
      <c r="BV53" s="1038">
        <f t="shared" ca="1" si="71"/>
        <v>0</v>
      </c>
      <c r="BW53" s="1038">
        <f t="shared" ca="1" si="71"/>
        <v>0</v>
      </c>
      <c r="BX53" s="1038">
        <f t="shared" ca="1" si="71"/>
        <v>0</v>
      </c>
      <c r="BY53" s="1038">
        <f t="shared" ca="1" si="71"/>
        <v>0</v>
      </c>
      <c r="BZ53" s="1038">
        <f t="shared" ca="1" si="71"/>
        <v>0</v>
      </c>
      <c r="CA53" s="1038">
        <f t="shared" ca="1" si="71"/>
        <v>0</v>
      </c>
      <c r="CB53" s="1038">
        <f t="shared" ca="1" si="71"/>
        <v>0</v>
      </c>
      <c r="CC53" s="1038">
        <f t="shared" ca="1" si="71"/>
        <v>0</v>
      </c>
      <c r="CD53" s="1038">
        <f t="shared" ca="1" si="71"/>
        <v>0</v>
      </c>
      <c r="CE53" s="1038">
        <f t="shared" ca="1" si="71"/>
        <v>0</v>
      </c>
      <c r="CF53" s="1038">
        <f t="shared" ca="1" si="71"/>
        <v>0</v>
      </c>
      <c r="CG53" s="1038">
        <f t="shared" ca="1" si="71"/>
        <v>0</v>
      </c>
      <c r="CH53" s="1038">
        <f t="shared" ca="1" si="71"/>
        <v>0</v>
      </c>
      <c r="CI53" s="1038">
        <f t="shared" ca="1" si="71"/>
        <v>0</v>
      </c>
      <c r="CJ53" s="1038">
        <f t="shared" ca="1" si="71"/>
        <v>0</v>
      </c>
      <c r="CK53" s="1038">
        <f t="shared" ca="1" si="71"/>
        <v>0</v>
      </c>
      <c r="CL53" s="1038">
        <f t="shared" ca="1" si="71"/>
        <v>0</v>
      </c>
      <c r="CM53" s="1038">
        <f t="shared" ca="1" si="71"/>
        <v>0</v>
      </c>
      <c r="CN53" s="1038">
        <f t="shared" ca="1" si="71"/>
        <v>0</v>
      </c>
      <c r="CO53" s="1038">
        <f t="shared" ca="1" si="71"/>
        <v>0</v>
      </c>
      <c r="CP53" s="1038">
        <f t="shared" ca="1" si="71"/>
        <v>0</v>
      </c>
      <c r="CQ53" s="1038">
        <f t="shared" ca="1" si="71"/>
        <v>0</v>
      </c>
      <c r="CR53" s="1038">
        <f t="shared" ca="1" si="71"/>
        <v>0</v>
      </c>
      <c r="CS53" s="1038">
        <f t="shared" ca="1" si="71"/>
        <v>0</v>
      </c>
      <c r="CT53" s="1038">
        <f t="shared" ca="1" si="71"/>
        <v>0</v>
      </c>
      <c r="CU53" s="1038">
        <f t="shared" ca="1" si="71"/>
        <v>0</v>
      </c>
      <c r="CV53" s="1038">
        <f t="shared" ca="1" si="71"/>
        <v>0</v>
      </c>
      <c r="CW53" s="1038">
        <f t="shared" ca="1" si="71"/>
        <v>0</v>
      </c>
      <c r="CX53" s="1038">
        <f t="shared" ca="1" si="71"/>
        <v>0</v>
      </c>
      <c r="CY53" s="1038">
        <f t="shared" ca="1" si="71"/>
        <v>0</v>
      </c>
      <c r="CZ53" s="1038">
        <f t="shared" ca="1" si="71"/>
        <v>0</v>
      </c>
      <c r="DA53" s="1038">
        <f t="shared" ca="1" si="71"/>
        <v>0</v>
      </c>
      <c r="DB53" s="1038">
        <f t="shared" ca="1" si="71"/>
        <v>0</v>
      </c>
      <c r="DC53" s="1038">
        <f t="shared" ca="1" si="71"/>
        <v>0</v>
      </c>
      <c r="DD53" s="1038">
        <f t="shared" ca="1" si="71"/>
        <v>0</v>
      </c>
      <c r="DE53" s="1038">
        <f t="shared" ca="1" si="71"/>
        <v>0</v>
      </c>
      <c r="DF53" s="1038">
        <f t="shared" ca="1" si="71"/>
        <v>0</v>
      </c>
      <c r="DG53" s="1038">
        <f t="shared" ca="1" si="71"/>
        <v>0</v>
      </c>
      <c r="DH53" s="1038">
        <f t="shared" ca="1" si="71"/>
        <v>0</v>
      </c>
      <c r="DI53" s="1038">
        <f t="shared" ca="1" si="71"/>
        <v>0</v>
      </c>
      <c r="DJ53" s="1038">
        <f t="shared" ca="1" si="71"/>
        <v>0</v>
      </c>
      <c r="DK53" s="1038">
        <f t="shared" ca="1" si="71"/>
        <v>0</v>
      </c>
      <c r="DL53" s="1038">
        <f t="shared" ca="1" si="71"/>
        <v>0</v>
      </c>
      <c r="DM53" s="1038">
        <f t="shared" ca="1" si="71"/>
        <v>0</v>
      </c>
      <c r="DN53" s="1038">
        <f t="shared" ca="1" si="71"/>
        <v>0</v>
      </c>
      <c r="DO53" s="1038">
        <f t="shared" ca="1" si="71"/>
        <v>0</v>
      </c>
      <c r="DP53" s="1038">
        <f t="shared" ca="1" si="71"/>
        <v>0</v>
      </c>
      <c r="DQ53" s="1038">
        <f t="shared" ca="1" si="71"/>
        <v>0</v>
      </c>
      <c r="DR53" s="1038">
        <f t="shared" ca="1" si="71"/>
        <v>0</v>
      </c>
      <c r="DS53" s="1038">
        <f t="shared" ca="1" si="71"/>
        <v>0</v>
      </c>
      <c r="DT53" s="1038">
        <f t="shared" ca="1" si="71"/>
        <v>0</v>
      </c>
      <c r="DU53" s="1038">
        <f t="shared" ca="1" si="71"/>
        <v>0</v>
      </c>
      <c r="DV53" s="1038">
        <f t="shared" ca="1" si="71"/>
        <v>0</v>
      </c>
      <c r="DW53" s="1038">
        <f t="shared" ca="1" si="71"/>
        <v>0</v>
      </c>
      <c r="DX53" s="1038">
        <f t="shared" ca="1" si="71"/>
        <v>0</v>
      </c>
      <c r="DY53" s="1038">
        <f t="shared" ca="1" si="71"/>
        <v>0</v>
      </c>
      <c r="DZ53" s="1038">
        <f t="shared" ca="1" si="71"/>
        <v>0</v>
      </c>
      <c r="EA53" s="1038">
        <f t="shared" ca="1" si="71"/>
        <v>0</v>
      </c>
      <c r="EB53" s="1038">
        <f t="shared" ca="1" si="71"/>
        <v>0</v>
      </c>
      <c r="EC53" s="1038">
        <f t="shared" ca="1" si="71"/>
        <v>0</v>
      </c>
      <c r="ED53" s="1038">
        <f t="shared" ca="1" si="71"/>
        <v>0</v>
      </c>
      <c r="EE53" s="1038">
        <f t="shared" ref="EE53:EG53" ca="1" si="72">IF(EE40&gt;0,MIN(EE52,EE40),0)</f>
        <v>0</v>
      </c>
      <c r="EF53" s="1038">
        <f t="shared" ca="1" si="72"/>
        <v>0</v>
      </c>
      <c r="EG53" s="1038">
        <f t="shared" ca="1" si="72"/>
        <v>0</v>
      </c>
    </row>
    <row r="54" spans="1:139" x14ac:dyDescent="0.3">
      <c r="E54" s="227"/>
      <c r="F54" s="335"/>
      <c r="G54" s="227"/>
      <c r="H54" s="227"/>
      <c r="I54" s="227"/>
      <c r="J54" s="227"/>
      <c r="K54" s="227"/>
      <c r="L54" s="227"/>
      <c r="M54" s="227"/>
      <c r="N54" s="227"/>
      <c r="O54" s="227"/>
      <c r="P54" s="227"/>
      <c r="Q54" s="227"/>
      <c r="R54" s="227"/>
      <c r="S54" s="227"/>
      <c r="T54" s="227"/>
      <c r="U54" s="227"/>
      <c r="V54" s="227"/>
      <c r="W54" s="227"/>
      <c r="X54" s="227"/>
      <c r="Y54" s="227"/>
      <c r="Z54" s="227"/>
      <c r="AA54" s="227"/>
      <c r="AB54" s="227"/>
      <c r="AC54" s="227"/>
      <c r="AD54" s="227"/>
      <c r="AE54" s="227"/>
      <c r="AF54" s="227"/>
      <c r="AG54" s="227"/>
      <c r="AH54" s="227"/>
      <c r="AI54" s="227"/>
      <c r="AJ54" s="227"/>
      <c r="AK54" s="227"/>
      <c r="AL54" s="227"/>
      <c r="AM54" s="227"/>
      <c r="AN54" s="227"/>
      <c r="AO54" s="227"/>
      <c r="AP54" s="227"/>
      <c r="AQ54" s="227"/>
      <c r="AR54" s="227"/>
      <c r="AS54" s="227"/>
      <c r="AT54" s="227"/>
      <c r="AU54" s="227"/>
      <c r="AV54" s="227"/>
      <c r="AW54" s="227"/>
      <c r="AX54" s="227"/>
      <c r="AY54" s="227"/>
      <c r="AZ54" s="227"/>
      <c r="BA54" s="227"/>
      <c r="BB54" s="227"/>
      <c r="BC54" s="227"/>
      <c r="BD54" s="227"/>
      <c r="EH54" s="227"/>
    </row>
    <row r="55" spans="1:139" x14ac:dyDescent="0.3">
      <c r="E55" s="227"/>
      <c r="F55" s="227"/>
      <c r="G55" s="227"/>
      <c r="H55" s="227"/>
      <c r="I55" s="227"/>
      <c r="J55" s="227"/>
      <c r="K55" s="227"/>
      <c r="L55" s="227"/>
      <c r="M55" s="227"/>
      <c r="N55" s="227"/>
      <c r="O55" s="227"/>
      <c r="P55" s="227"/>
      <c r="Q55" s="227"/>
      <c r="R55" s="227"/>
      <c r="S55" s="227"/>
      <c r="T55" s="227"/>
      <c r="U55" s="227"/>
      <c r="V55" s="227"/>
      <c r="W55" s="227"/>
      <c r="X55" s="227"/>
      <c r="Y55" s="227"/>
      <c r="Z55" s="227"/>
      <c r="AA55" s="227"/>
      <c r="AB55" s="227"/>
      <c r="AC55" s="227"/>
      <c r="AD55" s="227"/>
      <c r="AE55" s="227"/>
      <c r="AF55" s="227"/>
      <c r="AG55" s="227"/>
      <c r="AH55" s="227"/>
      <c r="AI55" s="227"/>
      <c r="AJ55" s="227"/>
      <c r="AK55" s="227"/>
      <c r="AL55" s="227"/>
      <c r="AM55" s="227"/>
      <c r="AN55" s="227"/>
      <c r="AO55" s="227"/>
      <c r="AP55" s="227"/>
      <c r="AQ55" s="227"/>
      <c r="AR55" s="227"/>
      <c r="AS55" s="227"/>
      <c r="AT55" s="227"/>
      <c r="AU55" s="227"/>
      <c r="AV55" s="227"/>
      <c r="AW55" s="227"/>
      <c r="AX55" s="227"/>
      <c r="AY55" s="227"/>
      <c r="AZ55" s="227"/>
      <c r="BA55" s="227"/>
      <c r="BB55" s="227"/>
      <c r="BC55" s="227"/>
      <c r="BD55" s="227"/>
      <c r="EH55" s="227"/>
    </row>
    <row r="56" spans="1:139" x14ac:dyDescent="0.3">
      <c r="E56" s="227"/>
      <c r="F56" s="227"/>
      <c r="G56" s="227"/>
      <c r="H56" s="227"/>
      <c r="I56" s="227"/>
      <c r="J56" s="227"/>
      <c r="K56" s="227"/>
      <c r="L56" s="227"/>
      <c r="M56" s="227"/>
      <c r="N56" s="227"/>
      <c r="O56" s="227"/>
      <c r="P56" s="227"/>
      <c r="Q56" s="227"/>
      <c r="R56" s="227"/>
      <c r="S56" s="227"/>
      <c r="T56" s="227"/>
      <c r="U56" s="227"/>
      <c r="V56" s="227"/>
      <c r="W56" s="227"/>
      <c r="X56" s="227"/>
      <c r="Y56" s="227"/>
      <c r="Z56" s="227"/>
      <c r="AA56" s="227"/>
      <c r="AB56" s="227"/>
      <c r="AC56" s="227"/>
      <c r="AD56" s="227"/>
      <c r="AE56" s="227"/>
      <c r="AF56" s="227"/>
      <c r="AG56" s="227"/>
      <c r="AH56" s="227"/>
      <c r="AI56" s="227"/>
      <c r="AJ56" s="227"/>
      <c r="AK56" s="227"/>
      <c r="AL56" s="227"/>
      <c r="AM56" s="227"/>
      <c r="AN56" s="227"/>
      <c r="AO56" s="227"/>
      <c r="AP56" s="227"/>
      <c r="AQ56" s="227"/>
      <c r="AR56" s="227"/>
      <c r="AS56" s="227"/>
      <c r="AT56" s="227"/>
      <c r="AU56" s="227"/>
      <c r="AV56" s="227"/>
      <c r="AW56" s="227"/>
      <c r="AX56" s="227"/>
      <c r="AY56" s="227"/>
      <c r="AZ56" s="227"/>
      <c r="BA56" s="227"/>
      <c r="BB56" s="227"/>
      <c r="BC56" s="227"/>
      <c r="BD56" s="227"/>
      <c r="EH56" s="227"/>
    </row>
    <row r="57" spans="1:139" x14ac:dyDescent="0.3">
      <c r="E57" s="227"/>
      <c r="F57" s="227"/>
      <c r="G57" s="227"/>
      <c r="H57" s="227"/>
      <c r="I57" s="227"/>
      <c r="J57" s="227"/>
      <c r="K57" s="227"/>
      <c r="L57" s="227"/>
      <c r="M57" s="227"/>
      <c r="N57" s="227"/>
      <c r="O57" s="227"/>
      <c r="P57" s="227"/>
      <c r="Q57" s="227"/>
      <c r="R57" s="227"/>
      <c r="S57" s="227"/>
      <c r="T57" s="227"/>
      <c r="U57" s="227"/>
      <c r="V57" s="227"/>
      <c r="W57" s="227"/>
      <c r="X57" s="227"/>
      <c r="Y57" s="227"/>
      <c r="Z57" s="227"/>
      <c r="AA57" s="227"/>
      <c r="AB57" s="227"/>
      <c r="AC57" s="227"/>
      <c r="AD57" s="227"/>
      <c r="AE57" s="227"/>
      <c r="AF57" s="227"/>
      <c r="AG57" s="227"/>
      <c r="AH57" s="227"/>
      <c r="AI57" s="227"/>
      <c r="AJ57" s="227"/>
      <c r="AK57" s="227"/>
      <c r="AL57" s="227"/>
      <c r="AM57" s="227"/>
      <c r="AN57" s="227"/>
      <c r="AO57" s="227"/>
      <c r="AP57" s="227"/>
      <c r="AQ57" s="227"/>
      <c r="AR57" s="227"/>
      <c r="AS57" s="227"/>
      <c r="AT57" s="227"/>
      <c r="AU57" s="227"/>
      <c r="AV57" s="227"/>
      <c r="AW57" s="227"/>
      <c r="AX57" s="227"/>
      <c r="AY57" s="227"/>
      <c r="AZ57" s="227"/>
      <c r="BA57" s="227"/>
      <c r="BB57" s="227"/>
      <c r="BC57" s="227"/>
      <c r="BD57" s="227"/>
    </row>
    <row r="58" spans="1:139" x14ac:dyDescent="0.3">
      <c r="E58" s="227"/>
      <c r="F58" s="227"/>
      <c r="G58" s="227"/>
      <c r="H58" s="227"/>
      <c r="I58" s="227"/>
      <c r="J58" s="227"/>
      <c r="K58" s="227"/>
      <c r="L58" s="227"/>
      <c r="M58" s="227"/>
      <c r="N58" s="227"/>
      <c r="O58" s="227"/>
      <c r="P58" s="227"/>
      <c r="Q58" s="227"/>
      <c r="R58" s="227"/>
      <c r="S58" s="227"/>
      <c r="T58" s="227"/>
      <c r="U58" s="227"/>
      <c r="V58" s="227"/>
      <c r="W58" s="227"/>
      <c r="X58" s="227"/>
      <c r="Y58" s="227"/>
      <c r="Z58" s="227"/>
      <c r="AA58" s="227"/>
      <c r="AB58" s="227"/>
      <c r="AC58" s="227"/>
      <c r="AD58" s="227"/>
      <c r="AE58" s="227"/>
      <c r="AF58" s="227"/>
      <c r="AG58" s="227"/>
      <c r="AH58" s="227"/>
      <c r="AI58" s="227"/>
      <c r="AJ58" s="227"/>
      <c r="AK58" s="227"/>
      <c r="AL58" s="227"/>
      <c r="AM58" s="227"/>
      <c r="AN58" s="227"/>
      <c r="AO58" s="227"/>
      <c r="AP58" s="227"/>
      <c r="AQ58" s="227"/>
      <c r="AR58" s="227"/>
      <c r="AS58" s="227"/>
      <c r="AT58" s="227"/>
      <c r="AU58" s="227"/>
      <c r="AV58" s="227"/>
      <c r="AW58" s="227"/>
      <c r="AX58" s="227"/>
      <c r="AY58" s="227"/>
      <c r="AZ58" s="227"/>
      <c r="BA58" s="227"/>
      <c r="BB58" s="227"/>
      <c r="BC58" s="227"/>
      <c r="BD58" s="227"/>
    </row>
    <row r="59" spans="1:139" x14ac:dyDescent="0.3">
      <c r="E59" s="227"/>
      <c r="F59" s="227"/>
      <c r="G59" s="227"/>
      <c r="H59" s="227"/>
      <c r="I59" s="227"/>
      <c r="J59" s="227"/>
      <c r="K59" s="227"/>
      <c r="L59" s="227"/>
      <c r="M59" s="227"/>
      <c r="N59" s="227"/>
      <c r="O59" s="227"/>
      <c r="P59" s="227"/>
      <c r="Q59" s="227"/>
      <c r="R59" s="227"/>
      <c r="S59" s="227"/>
      <c r="T59" s="227"/>
      <c r="U59" s="227"/>
      <c r="V59" s="227"/>
      <c r="W59" s="227"/>
      <c r="X59" s="227"/>
      <c r="Y59" s="227"/>
      <c r="Z59" s="227"/>
      <c r="AA59" s="227"/>
      <c r="AB59" s="227"/>
      <c r="AC59" s="227"/>
      <c r="AD59" s="227"/>
      <c r="AE59" s="227"/>
      <c r="AF59" s="227"/>
      <c r="AG59" s="227"/>
      <c r="AH59" s="227"/>
      <c r="AI59" s="227"/>
      <c r="AJ59" s="227"/>
      <c r="AK59" s="227"/>
      <c r="AL59" s="227"/>
      <c r="AM59" s="227"/>
      <c r="AN59" s="227"/>
      <c r="AO59" s="227"/>
      <c r="AP59" s="227"/>
      <c r="AQ59" s="227"/>
      <c r="AR59" s="227"/>
      <c r="AS59" s="227"/>
      <c r="AT59" s="227"/>
      <c r="AU59" s="227"/>
      <c r="AV59" s="227"/>
      <c r="AW59" s="227"/>
      <c r="AX59" s="227"/>
      <c r="AY59" s="227"/>
      <c r="AZ59" s="227"/>
      <c r="BA59" s="227"/>
      <c r="BB59" s="227"/>
      <c r="BC59" s="227"/>
      <c r="BD59" s="227"/>
    </row>
    <row r="60" spans="1:139" x14ac:dyDescent="0.3">
      <c r="E60" s="227"/>
      <c r="F60" s="227"/>
      <c r="G60" s="227"/>
      <c r="H60" s="227"/>
      <c r="I60" s="227"/>
      <c r="J60" s="227"/>
      <c r="K60" s="227"/>
      <c r="L60" s="227"/>
      <c r="M60" s="227"/>
      <c r="N60" s="227"/>
      <c r="O60" s="227"/>
      <c r="P60" s="227"/>
      <c r="Q60" s="227"/>
      <c r="R60" s="227"/>
      <c r="S60" s="227"/>
      <c r="T60" s="227"/>
      <c r="U60" s="227"/>
      <c r="V60" s="227"/>
      <c r="W60" s="227"/>
      <c r="X60" s="227"/>
      <c r="Y60" s="227"/>
      <c r="Z60" s="227"/>
      <c r="AA60" s="227"/>
      <c r="AB60" s="227"/>
      <c r="AC60" s="227"/>
      <c r="AD60" s="227"/>
      <c r="AE60" s="227"/>
      <c r="AF60" s="227"/>
      <c r="AG60" s="227"/>
      <c r="AH60" s="227"/>
      <c r="AI60" s="227"/>
      <c r="AJ60" s="227"/>
      <c r="AK60" s="227"/>
      <c r="AL60" s="227"/>
      <c r="AM60" s="227"/>
      <c r="AN60" s="227"/>
      <c r="AO60" s="227"/>
      <c r="AP60" s="227"/>
      <c r="AQ60" s="227"/>
      <c r="AR60" s="227"/>
      <c r="AS60" s="227"/>
      <c r="AT60" s="227"/>
      <c r="AU60" s="227"/>
      <c r="AV60" s="227"/>
      <c r="AW60" s="227"/>
      <c r="AX60" s="227"/>
      <c r="AY60" s="227"/>
      <c r="AZ60" s="227"/>
      <c r="BA60" s="227"/>
      <c r="BB60" s="227"/>
      <c r="BC60" s="227"/>
      <c r="BD60" s="227"/>
    </row>
    <row r="61" spans="1:139" x14ac:dyDescent="0.3">
      <c r="E61" s="227"/>
      <c r="F61" s="227"/>
      <c r="G61" s="227"/>
      <c r="H61" s="227"/>
      <c r="I61" s="227"/>
      <c r="J61" s="227"/>
      <c r="K61" s="227"/>
      <c r="L61" s="227"/>
      <c r="M61" s="227"/>
      <c r="N61" s="227"/>
      <c r="O61" s="227"/>
      <c r="P61" s="227"/>
      <c r="Q61" s="227"/>
      <c r="R61" s="227"/>
      <c r="S61" s="227"/>
      <c r="T61" s="227"/>
      <c r="U61" s="227"/>
      <c r="V61" s="227"/>
      <c r="W61" s="227"/>
      <c r="X61" s="227"/>
      <c r="Y61" s="227"/>
      <c r="Z61" s="227"/>
      <c r="AA61" s="227"/>
      <c r="AB61" s="227"/>
      <c r="AC61" s="227"/>
      <c r="AD61" s="227"/>
      <c r="AE61" s="227"/>
      <c r="AF61" s="227"/>
      <c r="AG61" s="227"/>
      <c r="AH61" s="227"/>
      <c r="AI61" s="227"/>
      <c r="AJ61" s="227"/>
      <c r="AK61" s="227"/>
      <c r="AL61" s="227"/>
      <c r="AM61" s="227"/>
      <c r="AN61" s="227"/>
      <c r="AO61" s="227"/>
      <c r="AP61" s="227"/>
      <c r="AQ61" s="227"/>
      <c r="AR61" s="227"/>
      <c r="AS61" s="227"/>
      <c r="AT61" s="227"/>
      <c r="AU61" s="227"/>
      <c r="AV61" s="227"/>
      <c r="AW61" s="227"/>
      <c r="AX61" s="227"/>
      <c r="AY61" s="227"/>
      <c r="AZ61" s="227"/>
      <c r="BA61" s="227"/>
      <c r="BB61" s="227"/>
      <c r="BC61" s="227"/>
      <c r="BD61" s="227"/>
    </row>
    <row r="62" spans="1:139" x14ac:dyDescent="0.3">
      <c r="E62" s="227"/>
      <c r="F62" s="227"/>
      <c r="G62" s="227"/>
      <c r="H62" s="227"/>
      <c r="I62" s="227"/>
      <c r="J62" s="227"/>
      <c r="K62" s="227"/>
      <c r="L62" s="227"/>
      <c r="M62" s="227"/>
      <c r="N62" s="227"/>
      <c r="O62" s="227"/>
      <c r="P62" s="227"/>
      <c r="Q62" s="227"/>
      <c r="R62" s="227"/>
      <c r="S62" s="227"/>
      <c r="T62" s="227"/>
      <c r="U62" s="227"/>
      <c r="V62" s="227"/>
      <c r="W62" s="227"/>
      <c r="X62" s="227"/>
      <c r="Y62" s="227"/>
      <c r="Z62" s="227"/>
      <c r="AA62" s="227"/>
      <c r="AB62" s="227"/>
      <c r="AC62" s="227"/>
      <c r="AD62" s="227"/>
      <c r="AE62" s="227"/>
      <c r="AF62" s="227"/>
      <c r="AG62" s="227"/>
      <c r="AH62" s="227"/>
      <c r="AI62" s="227"/>
      <c r="AJ62" s="227"/>
      <c r="AK62" s="227"/>
      <c r="AL62" s="227"/>
      <c r="AM62" s="227"/>
      <c r="AN62" s="227"/>
      <c r="AO62" s="227"/>
      <c r="AP62" s="227"/>
      <c r="AQ62" s="227"/>
      <c r="AR62" s="227"/>
      <c r="AS62" s="227"/>
      <c r="AT62" s="227"/>
      <c r="AU62" s="227"/>
      <c r="AV62" s="227"/>
      <c r="AW62" s="227"/>
      <c r="AX62" s="227"/>
      <c r="AY62" s="227"/>
      <c r="AZ62" s="227"/>
      <c r="BA62" s="227"/>
      <c r="BB62" s="227"/>
      <c r="BC62" s="227"/>
      <c r="BD62" s="227"/>
    </row>
    <row r="63" spans="1:139" x14ac:dyDescent="0.3">
      <c r="E63" s="227"/>
      <c r="F63" s="227"/>
      <c r="G63" s="227"/>
      <c r="H63" s="227"/>
      <c r="I63" s="227"/>
      <c r="J63" s="227"/>
      <c r="K63" s="227"/>
      <c r="L63" s="227"/>
      <c r="M63" s="227"/>
      <c r="N63" s="227"/>
      <c r="O63" s="227"/>
      <c r="P63" s="227"/>
      <c r="Q63" s="227"/>
      <c r="R63" s="227"/>
      <c r="S63" s="227"/>
      <c r="T63" s="227"/>
      <c r="U63" s="227"/>
      <c r="V63" s="227"/>
      <c r="W63" s="227"/>
      <c r="X63" s="227"/>
      <c r="Y63" s="227"/>
      <c r="Z63" s="227"/>
      <c r="AA63" s="227"/>
      <c r="AB63" s="227"/>
      <c r="AC63" s="227"/>
      <c r="AD63" s="227"/>
      <c r="AE63" s="227"/>
      <c r="AF63" s="227"/>
      <c r="AG63" s="227"/>
      <c r="AH63" s="227"/>
      <c r="AI63" s="227"/>
      <c r="AJ63" s="227"/>
      <c r="AK63" s="227"/>
      <c r="AL63" s="227"/>
      <c r="AM63" s="227"/>
      <c r="AN63" s="227"/>
      <c r="AO63" s="227"/>
      <c r="AP63" s="227"/>
      <c r="AQ63" s="227"/>
      <c r="AR63" s="227"/>
      <c r="AS63" s="227"/>
      <c r="AT63" s="227"/>
      <c r="AU63" s="227"/>
      <c r="AV63" s="227"/>
      <c r="AW63" s="227"/>
      <c r="AX63" s="227"/>
      <c r="AY63" s="227"/>
      <c r="AZ63" s="227"/>
      <c r="BA63" s="227"/>
      <c r="BB63" s="227"/>
      <c r="BC63" s="227"/>
      <c r="BD63" s="227"/>
    </row>
    <row r="64" spans="1:139" x14ac:dyDescent="0.3">
      <c r="E64" s="227"/>
      <c r="F64" s="227"/>
      <c r="G64" s="227"/>
      <c r="H64" s="227"/>
      <c r="I64" s="227"/>
      <c r="J64" s="227"/>
      <c r="K64" s="227"/>
      <c r="L64" s="227"/>
      <c r="M64" s="227"/>
      <c r="N64" s="227"/>
      <c r="O64" s="227"/>
      <c r="P64" s="227"/>
      <c r="Q64" s="227"/>
      <c r="R64" s="227"/>
      <c r="S64" s="227"/>
      <c r="T64" s="227"/>
      <c r="U64" s="227"/>
      <c r="V64" s="227"/>
      <c r="W64" s="227"/>
      <c r="X64" s="227"/>
      <c r="Y64" s="227"/>
      <c r="Z64" s="227"/>
      <c r="AA64" s="227"/>
      <c r="AB64" s="227"/>
      <c r="AC64" s="227"/>
      <c r="AD64" s="227"/>
      <c r="AE64" s="227"/>
      <c r="AF64" s="227"/>
      <c r="AG64" s="227"/>
      <c r="AH64" s="227"/>
      <c r="AI64" s="227"/>
      <c r="AJ64" s="227"/>
      <c r="AK64" s="227"/>
      <c r="AL64" s="227"/>
      <c r="AM64" s="227"/>
      <c r="AN64" s="227"/>
      <c r="AO64" s="227"/>
      <c r="AP64" s="227"/>
      <c r="AQ64" s="227"/>
      <c r="AR64" s="227"/>
      <c r="AS64" s="227"/>
      <c r="AT64" s="227"/>
      <c r="AU64" s="227"/>
      <c r="AV64" s="227"/>
      <c r="AW64" s="227"/>
      <c r="AX64" s="227"/>
      <c r="AY64" s="227"/>
      <c r="AZ64" s="227"/>
      <c r="BA64" s="227"/>
      <c r="BB64" s="227"/>
      <c r="BC64" s="227"/>
      <c r="BD64" s="227"/>
    </row>
    <row r="65" spans="5:56" x14ac:dyDescent="0.3">
      <c r="E65" s="227"/>
      <c r="F65" s="227"/>
      <c r="G65" s="227"/>
      <c r="H65" s="227"/>
      <c r="I65" s="227"/>
      <c r="J65" s="227"/>
      <c r="K65" s="227"/>
      <c r="L65" s="227"/>
      <c r="M65" s="227"/>
      <c r="N65" s="227"/>
      <c r="O65" s="227"/>
      <c r="P65" s="227"/>
      <c r="Q65" s="227"/>
      <c r="R65" s="227"/>
      <c r="S65" s="227"/>
      <c r="T65" s="227"/>
      <c r="U65" s="227"/>
      <c r="V65" s="227"/>
      <c r="W65" s="227"/>
      <c r="X65" s="227"/>
      <c r="Y65" s="227"/>
      <c r="Z65" s="227"/>
      <c r="AA65" s="227"/>
      <c r="AB65" s="227"/>
      <c r="AC65" s="227"/>
      <c r="AD65" s="227"/>
      <c r="AE65" s="227"/>
      <c r="AF65" s="227"/>
      <c r="AG65" s="227"/>
      <c r="AH65" s="227"/>
      <c r="AI65" s="227"/>
      <c r="AJ65" s="227"/>
      <c r="AK65" s="227"/>
      <c r="AL65" s="227"/>
      <c r="AM65" s="227"/>
      <c r="AN65" s="227"/>
      <c r="AO65" s="227"/>
      <c r="AP65" s="227"/>
      <c r="AQ65" s="227"/>
      <c r="AR65" s="227"/>
      <c r="AS65" s="227"/>
      <c r="AT65" s="227"/>
      <c r="AU65" s="227"/>
      <c r="AV65" s="227"/>
      <c r="AW65" s="227"/>
      <c r="AX65" s="227"/>
      <c r="AY65" s="227"/>
      <c r="AZ65" s="227"/>
      <c r="BA65" s="227"/>
      <c r="BB65" s="227"/>
      <c r="BC65" s="227"/>
      <c r="BD65" s="227"/>
    </row>
    <row r="66" spans="5:56" x14ac:dyDescent="0.3">
      <c r="E66" s="227"/>
      <c r="F66" s="227"/>
      <c r="G66" s="227"/>
      <c r="H66" s="227"/>
      <c r="I66" s="227"/>
      <c r="J66" s="227"/>
      <c r="K66" s="227"/>
      <c r="L66" s="227"/>
      <c r="M66" s="227"/>
      <c r="N66" s="227"/>
      <c r="O66" s="227"/>
      <c r="P66" s="227"/>
      <c r="Q66" s="227"/>
      <c r="R66" s="227"/>
      <c r="S66" s="227"/>
      <c r="T66" s="227"/>
      <c r="U66" s="227"/>
      <c r="V66" s="227"/>
      <c r="W66" s="227"/>
      <c r="X66" s="227"/>
      <c r="Y66" s="227"/>
      <c r="Z66" s="227"/>
      <c r="AA66" s="227"/>
      <c r="AB66" s="227"/>
      <c r="AC66" s="227"/>
      <c r="AD66" s="227"/>
      <c r="AE66" s="227"/>
      <c r="AF66" s="227"/>
      <c r="AG66" s="227"/>
      <c r="AH66" s="227"/>
      <c r="AI66" s="227"/>
      <c r="AJ66" s="227"/>
      <c r="AK66" s="227"/>
      <c r="AL66" s="227"/>
      <c r="AM66" s="227"/>
      <c r="AN66" s="227"/>
      <c r="AO66" s="227"/>
      <c r="AP66" s="227"/>
      <c r="AQ66" s="227"/>
      <c r="AR66" s="227"/>
      <c r="AS66" s="227"/>
      <c r="AT66" s="227"/>
      <c r="AU66" s="227"/>
      <c r="AV66" s="227"/>
      <c r="AW66" s="227"/>
      <c r="AX66" s="227"/>
      <c r="AY66" s="227"/>
      <c r="AZ66" s="227"/>
      <c r="BA66" s="227"/>
      <c r="BB66" s="227"/>
      <c r="BC66" s="227"/>
      <c r="BD66" s="227"/>
    </row>
    <row r="67" spans="5:56" x14ac:dyDescent="0.3">
      <c r="E67" s="227"/>
      <c r="F67" s="227"/>
      <c r="G67" s="227"/>
      <c r="H67" s="227"/>
      <c r="I67" s="227"/>
      <c r="J67" s="227"/>
      <c r="K67" s="227"/>
      <c r="L67" s="227"/>
      <c r="M67" s="227"/>
      <c r="N67" s="227"/>
      <c r="O67" s="227"/>
      <c r="P67" s="227"/>
      <c r="Q67" s="227"/>
      <c r="R67" s="227"/>
      <c r="S67" s="227"/>
      <c r="T67" s="227"/>
      <c r="U67" s="227"/>
      <c r="V67" s="227"/>
      <c r="W67" s="227"/>
      <c r="X67" s="227"/>
      <c r="Y67" s="227"/>
      <c r="Z67" s="227"/>
      <c r="AA67" s="227"/>
      <c r="AB67" s="227"/>
      <c r="AC67" s="227"/>
      <c r="AD67" s="227"/>
      <c r="AE67" s="227"/>
      <c r="AF67" s="227"/>
      <c r="AG67" s="227"/>
      <c r="AH67" s="227"/>
      <c r="AI67" s="227"/>
      <c r="AJ67" s="227"/>
      <c r="AK67" s="227"/>
      <c r="AL67" s="227"/>
      <c r="AM67" s="227"/>
      <c r="AN67" s="227"/>
      <c r="AO67" s="227"/>
      <c r="AP67" s="227"/>
      <c r="AQ67" s="227"/>
      <c r="AR67" s="227"/>
      <c r="AS67" s="227"/>
      <c r="AT67" s="227"/>
      <c r="AU67" s="227"/>
      <c r="AV67" s="227"/>
      <c r="AW67" s="227"/>
      <c r="AX67" s="227"/>
      <c r="AY67" s="227"/>
      <c r="AZ67" s="227"/>
      <c r="BA67" s="227"/>
      <c r="BB67" s="227"/>
      <c r="BC67" s="227"/>
      <c r="BD67" s="227"/>
    </row>
    <row r="68" spans="5:56" x14ac:dyDescent="0.3">
      <c r="E68" s="227"/>
    </row>
    <row r="69" spans="5:56" x14ac:dyDescent="0.3">
      <c r="E69" s="227"/>
    </row>
  </sheetData>
  <sheetProtection algorithmName="SHA-512" hashValue="T3FV3J1hRPT2zDfBuOf4UyWhPmrIPblS3w/1JO8vkJP/O/NMCXDci4clmOQcFNbMetiSWM3Lo8PbdPLEPj362A==" saltValue="L79DkbxaMe2aFXEKGzk+Yw==" spinCount="100000" sheet="1" objects="1" scenarios="1"/>
  <sortState xmlns:xlrd2="http://schemas.microsoft.com/office/spreadsheetml/2017/richdata2" ref="A27:A38">
    <sortCondition ref="A27"/>
  </sortState>
  <conditionalFormatting sqref="E2:F2">
    <cfRule type="expression" dxfId="18" priority="12">
      <formula>E2=""</formula>
    </cfRule>
  </conditionalFormatting>
  <conditionalFormatting sqref="G2:AO2">
    <cfRule type="expression" dxfId="17" priority="11">
      <formula>G2=""</formula>
    </cfRule>
  </conditionalFormatting>
  <conditionalFormatting sqref="EK2">
    <cfRule type="expression" dxfId="16" priority="10">
      <formula>EK2=""</formula>
    </cfRule>
  </conditionalFormatting>
  <conditionalFormatting sqref="EJ2">
    <cfRule type="expression" dxfId="15" priority="9">
      <formula>EJ2=""</formula>
    </cfRule>
  </conditionalFormatting>
  <conditionalFormatting sqref="EL2">
    <cfRule type="expression" dxfId="14" priority="8">
      <formula>EL2=""</formula>
    </cfRule>
  </conditionalFormatting>
  <conditionalFormatting sqref="A23:C23">
    <cfRule type="expression" dxfId="13" priority="1">
      <formula>MAX($E$21:$EG$21)&lt;&gt;Units</formula>
    </cfRule>
  </conditionalFormatting>
  <pageMargins left="0.25" right="0.25" top="0.4" bottom="0.4" header="0.3" footer="0.3"/>
  <pageSetup scale="60" pageOrder="overThenDown" orientation="landscape" r:id="rId1"/>
  <headerFooter>
    <oddHeader>&amp;C&amp;"Garamond,Bold Italic"&amp;14Development Budget&amp;"Garamond,Italic"
(Monthly Detail)&amp;R&amp;"Garamond,Regular"&amp;10Printed: &amp;D &amp;T</oddHeader>
    <oddFooter>&amp;R&amp;"Garamond,Regular"&amp;10Page &amp;P of &amp;N</oddFooter>
  </headerFooter>
  <rowBreaks count="3" manualBreakCount="3">
    <brk id="66" max="16383" man="1"/>
    <brk id="121" max="16383" man="1"/>
    <brk id="172" max="16383" man="1"/>
  </rowBreaks>
  <colBreaks count="9" manualBreakCount="9">
    <brk id="29" max="1048575" man="1"/>
    <brk id="41" max="1048575" man="1"/>
    <brk id="53" max="1048575" man="1"/>
    <brk id="65" max="1048575" man="1"/>
    <brk id="77" max="1048575" man="1"/>
    <brk id="89" max="1048575" man="1"/>
    <brk id="101" max="1048575" man="1"/>
    <brk id="113" max="1048575" man="1"/>
    <brk id="125" max="1048575" man="1"/>
  </colBreaks>
  <legacyDrawing r:id="rId2"/>
  <extLst>
    <ext xmlns:x14="http://schemas.microsoft.com/office/spreadsheetml/2009/9/main" uri="{78C0D931-6437-407d-A8EE-F0AAD7539E65}">
      <x14:conditionalFormattings>
        <x14:conditionalFormatting xmlns:xm="http://schemas.microsoft.com/office/excel/2006/main">
          <x14:cfRule type="expression" priority="2" id="{FE71C635-6727-4F8C-BCF4-A02E494C8F3D}">
            <xm:f>'Operating Inputs'!$C$110=0</xm:f>
            <x14:dxf>
              <font>
                <color theme="0" tint="-0.24994659260841701"/>
              </font>
            </x14:dxf>
          </x14:cfRule>
          <xm:sqref>A47:EH47 EJ47:XFD47</xm:sqref>
        </x14:conditionalFormatting>
      </x14:conditionalFormatting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3">
    <tabColor theme="6" tint="0.79998168889431442"/>
  </sheetPr>
  <dimension ref="A1:O113"/>
  <sheetViews>
    <sheetView showGridLines="0" zoomScale="55" zoomScaleNormal="55" zoomScaleSheetLayoutView="90" workbookViewId="0">
      <pane xSplit="3" ySplit="7" topLeftCell="D22" activePane="bottomRight" state="frozen"/>
      <selection pane="topRight"/>
      <selection pane="bottomLeft"/>
      <selection pane="bottomRight"/>
    </sheetView>
  </sheetViews>
  <sheetFormatPr defaultColWidth="14.6640625" defaultRowHeight="14.4" outlineLevelRow="1" x14ac:dyDescent="0.3"/>
  <cols>
    <col min="1" max="14" width="15.6640625" customWidth="1"/>
    <col min="15" max="15" width="16" customWidth="1"/>
  </cols>
  <sheetData>
    <row r="1" spans="1:15" x14ac:dyDescent="0.3">
      <c r="A1" t="str">
        <f>OperBgt!A1</f>
        <v>Project:</v>
      </c>
      <c r="B1" s="229" t="str">
        <f>'General Inputs'!B7</f>
        <v>Emblem Meridian</v>
      </c>
    </row>
    <row r="2" spans="1:15" x14ac:dyDescent="0.3">
      <c r="A2" t="str">
        <f>OperBgt!A2</f>
        <v>Location:</v>
      </c>
      <c r="B2" s="229" t="str">
        <f>OperBgt!B2</f>
        <v>Meridian, Other</v>
      </c>
    </row>
    <row r="3" spans="1:15" x14ac:dyDescent="0.3">
      <c r="A3" t="str">
        <f>OperBgt!A3</f>
        <v>Last Saved:</v>
      </c>
      <c r="B3" s="584">
        <f>'General Inputs'!B10</f>
        <v>46248</v>
      </c>
      <c r="C3" s="585">
        <f>'General Inputs'!C10</f>
        <v>0.67652777777777773</v>
      </c>
    </row>
    <row r="4" spans="1:15" ht="7.5" customHeight="1" x14ac:dyDescent="0.3"/>
    <row r="5" spans="1:15" x14ac:dyDescent="0.3">
      <c r="A5" s="369"/>
      <c r="B5" s="369"/>
      <c r="C5" s="369"/>
      <c r="D5" s="369"/>
      <c r="E5" s="655">
        <v>1</v>
      </c>
      <c r="F5" s="655">
        <v>2</v>
      </c>
      <c r="G5" s="655">
        <v>3</v>
      </c>
      <c r="H5" s="655">
        <v>4</v>
      </c>
      <c r="I5" s="655">
        <v>5</v>
      </c>
      <c r="J5" s="655">
        <v>6</v>
      </c>
      <c r="K5" s="655">
        <v>7</v>
      </c>
      <c r="L5" s="655">
        <v>8</v>
      </c>
      <c r="M5" s="655">
        <v>9</v>
      </c>
      <c r="N5" s="655">
        <v>10</v>
      </c>
      <c r="O5" s="655">
        <v>11</v>
      </c>
    </row>
    <row r="6" spans="1:15" ht="15" thickBot="1" x14ac:dyDescent="0.35">
      <c r="A6" s="656"/>
      <c r="B6" s="656"/>
      <c r="C6" s="656"/>
      <c r="D6" s="656"/>
      <c r="E6" s="656">
        <f>YEAR(OperBgt!R6)</f>
        <v>2028</v>
      </c>
      <c r="F6" s="656">
        <f>YEAR(OperBgt!AD6)</f>
        <v>2029</v>
      </c>
      <c r="G6" s="656">
        <f>YEAR(OperBgt!AP6)</f>
        <v>2030</v>
      </c>
      <c r="H6" s="656">
        <f>YEAR(OperBgt!BB6)</f>
        <v>2031</v>
      </c>
      <c r="I6" s="656">
        <f>YEAR(OperBgt!BN6)</f>
        <v>2032</v>
      </c>
      <c r="J6" s="656">
        <f>YEAR(OperBgt!BZ6)</f>
        <v>2033</v>
      </c>
      <c r="K6" s="656">
        <f>YEAR(OperBgt!CL6)</f>
        <v>2034</v>
      </c>
      <c r="L6" s="656">
        <f>YEAR(OperBgt!CX6)</f>
        <v>2035</v>
      </c>
      <c r="M6" s="656">
        <f>YEAR(OperBgt!DJ6)</f>
        <v>2036</v>
      </c>
      <c r="N6" s="656">
        <f>YEAR(OperBgt!DV6)</f>
        <v>2037</v>
      </c>
      <c r="O6" s="656">
        <f>YEAR(OperBgt!EH6)</f>
        <v>2038</v>
      </c>
    </row>
    <row r="7" spans="1:15" ht="6.75" customHeight="1" thickTop="1" thickBot="1" x14ac:dyDescent="0.35"/>
    <row r="8" spans="1:15" ht="15" hidden="1" outlineLevel="1" thickTop="1" x14ac:dyDescent="0.3">
      <c r="A8" s="125" t="str">
        <f>OperBgt!A8</f>
        <v>UNIT DELIVERY</v>
      </c>
      <c r="B8" s="142"/>
      <c r="C8" s="143"/>
      <c r="D8" s="657"/>
      <c r="E8" s="322"/>
      <c r="F8" s="322"/>
      <c r="G8" s="322"/>
      <c r="H8" s="322"/>
      <c r="I8" s="322"/>
      <c r="J8" s="322"/>
      <c r="K8" s="322"/>
      <c r="L8" s="322"/>
      <c r="M8" s="322"/>
      <c r="N8" s="322"/>
      <c r="O8" s="322"/>
    </row>
    <row r="9" spans="1:15" hidden="1" outlineLevel="1" x14ac:dyDescent="0.3">
      <c r="A9" t="str">
        <f>OperBgt!A9</f>
        <v>Units BOM (BMR)</v>
      </c>
      <c r="E9" s="229">
        <f>OperBgt!G9</f>
        <v>0</v>
      </c>
      <c r="F9" s="229">
        <f>OperBgt!S9</f>
        <v>0</v>
      </c>
      <c r="G9" s="229">
        <f>OperBgt!AE9</f>
        <v>0</v>
      </c>
      <c r="H9" s="229">
        <f>OperBgt!AQ9</f>
        <v>0</v>
      </c>
      <c r="I9" s="229">
        <f>OperBgt!BC9</f>
        <v>0</v>
      </c>
      <c r="J9" s="229">
        <f>OperBgt!BO9</f>
        <v>0</v>
      </c>
      <c r="K9" s="229">
        <f>OperBgt!CA9</f>
        <v>0</v>
      </c>
      <c r="L9" s="229">
        <f>OperBgt!CM9</f>
        <v>0</v>
      </c>
      <c r="M9" s="229">
        <f>OperBgt!CY9</f>
        <v>0</v>
      </c>
      <c r="N9" s="229">
        <f>OperBgt!DK9</f>
        <v>0</v>
      </c>
      <c r="O9" s="229">
        <f>OperBgt!DW9</f>
        <v>0</v>
      </c>
    </row>
    <row r="10" spans="1:15" hidden="1" outlineLevel="1" x14ac:dyDescent="0.3">
      <c r="A10" s="241" t="str">
        <f>OperBgt!A10</f>
        <v>Unit Delivery (BMR)</v>
      </c>
      <c r="B10" s="241"/>
      <c r="C10" s="241"/>
      <c r="D10" s="241"/>
      <c r="E10" s="242">
        <f>SUM(OperBgt!G10:R10)</f>
        <v>0</v>
      </c>
      <c r="F10" s="242">
        <f>SUM(OperBgt!S10:AD10)</f>
        <v>0</v>
      </c>
      <c r="G10" s="242">
        <f>SUM(OperBgt!AE10:AP10)</f>
        <v>0</v>
      </c>
      <c r="H10" s="242">
        <f>SUM(OperBgt!AQ10:BB10)</f>
        <v>0</v>
      </c>
      <c r="I10" s="242">
        <f>SUM(OperBgt!BC10:BN10)</f>
        <v>0</v>
      </c>
      <c r="J10" s="242">
        <f>SUM(OperBgt!BO10:BZ10)</f>
        <v>0</v>
      </c>
      <c r="K10" s="242">
        <f>SUM(OperBgt!CA10:CL10)</f>
        <v>0</v>
      </c>
      <c r="L10" s="242">
        <f>SUM(OperBgt!CM10:CX10)</f>
        <v>0</v>
      </c>
      <c r="M10" s="242">
        <f>SUM(OperBgt!CY10:DJ10)</f>
        <v>0</v>
      </c>
      <c r="N10" s="242">
        <f>SUM(OperBgt!DK10:DV10)</f>
        <v>0</v>
      </c>
      <c r="O10" s="242">
        <f>SUM(OperBgt!DW10:EH10)</f>
        <v>0</v>
      </c>
    </row>
    <row r="11" spans="1:15" hidden="1" outlineLevel="1" x14ac:dyDescent="0.3">
      <c r="A11" t="str">
        <f>OperBgt!A11</f>
        <v>Units EOM (BMR)</v>
      </c>
      <c r="E11" s="229">
        <f t="shared" ref="E11:O11" si="0">SUM(E9:E10)</f>
        <v>0</v>
      </c>
      <c r="F11" s="229">
        <f t="shared" si="0"/>
        <v>0</v>
      </c>
      <c r="G11" s="229">
        <f t="shared" si="0"/>
        <v>0</v>
      </c>
      <c r="H11" s="229">
        <f t="shared" si="0"/>
        <v>0</v>
      </c>
      <c r="I11" s="229">
        <f t="shared" si="0"/>
        <v>0</v>
      </c>
      <c r="J11" s="229">
        <f t="shared" si="0"/>
        <v>0</v>
      </c>
      <c r="K11" s="229">
        <f t="shared" si="0"/>
        <v>0</v>
      </c>
      <c r="L11" s="229">
        <f t="shared" si="0"/>
        <v>0</v>
      </c>
      <c r="M11" s="229">
        <f t="shared" si="0"/>
        <v>0</v>
      </c>
      <c r="N11" s="229">
        <f t="shared" si="0"/>
        <v>0</v>
      </c>
      <c r="O11" s="229">
        <f t="shared" si="0"/>
        <v>0</v>
      </c>
    </row>
    <row r="12" spans="1:15" ht="7.5" hidden="1" customHeight="1" outlineLevel="1" x14ac:dyDescent="0.3">
      <c r="E12" s="229"/>
      <c r="F12" s="229"/>
      <c r="G12" s="229"/>
      <c r="H12" s="229"/>
      <c r="I12" s="229"/>
      <c r="J12" s="229"/>
      <c r="K12" s="229"/>
      <c r="L12" s="229"/>
      <c r="M12" s="229"/>
      <c r="N12" s="229"/>
      <c r="O12" s="229"/>
    </row>
    <row r="13" spans="1:15" hidden="1" outlineLevel="1" x14ac:dyDescent="0.3">
      <c r="A13" t="str">
        <f>OperBgt!A13</f>
        <v>Units BOM (Market)</v>
      </c>
      <c r="E13" s="229">
        <f>OperBgt!G13</f>
        <v>0</v>
      </c>
      <c r="F13" s="229">
        <f>OperBgt!S13</f>
        <v>0</v>
      </c>
      <c r="G13" s="229">
        <f>OperBgt!AE13</f>
        <v>234.66666666666669</v>
      </c>
      <c r="H13" s="229">
        <f>OperBgt!AQ13</f>
        <v>256</v>
      </c>
      <c r="I13" s="229">
        <f>OperBgt!BC13</f>
        <v>256</v>
      </c>
      <c r="J13" s="229">
        <f>OperBgt!BO13</f>
        <v>256</v>
      </c>
      <c r="K13" s="229">
        <f>OperBgt!CA13</f>
        <v>256</v>
      </c>
      <c r="L13" s="229">
        <f>OperBgt!CM13</f>
        <v>256</v>
      </c>
      <c r="M13" s="229">
        <f>OperBgt!CY13</f>
        <v>256</v>
      </c>
      <c r="N13" s="229">
        <f>OperBgt!DK13</f>
        <v>256</v>
      </c>
      <c r="O13" s="229">
        <f>OperBgt!DW13</f>
        <v>256</v>
      </c>
    </row>
    <row r="14" spans="1:15" hidden="1" outlineLevel="1" x14ac:dyDescent="0.3">
      <c r="A14" s="241" t="str">
        <f>OperBgt!A14</f>
        <v>Unit Delivery (Market)</v>
      </c>
      <c r="B14" s="241"/>
      <c r="C14" s="241"/>
      <c r="D14" s="241"/>
      <c r="E14" s="242">
        <f>SUM(OperBgt!G14:R14)</f>
        <v>0</v>
      </c>
      <c r="F14" s="242">
        <f>SUM(OperBgt!S14:AD14)</f>
        <v>234.66666666666669</v>
      </c>
      <c r="G14" s="242">
        <f>SUM(OperBgt!AE14:AP14)</f>
        <v>21.333333333333332</v>
      </c>
      <c r="H14" s="242">
        <f>SUM(OperBgt!AQ14:BB14)</f>
        <v>0</v>
      </c>
      <c r="I14" s="242">
        <f>SUM(OperBgt!BC14:BN14)</f>
        <v>0</v>
      </c>
      <c r="J14" s="242">
        <f>SUM(OperBgt!BO14:BZ14)</f>
        <v>0</v>
      </c>
      <c r="K14" s="242">
        <f>SUM(OperBgt!CA14:CL14)</f>
        <v>0</v>
      </c>
      <c r="L14" s="242">
        <f>SUM(OperBgt!CM14:CX14)</f>
        <v>0</v>
      </c>
      <c r="M14" s="242">
        <f>SUM(OperBgt!CY14:DJ14)</f>
        <v>0</v>
      </c>
      <c r="N14" s="242">
        <f>SUM(OperBgt!DK14:DV14)</f>
        <v>0</v>
      </c>
      <c r="O14" s="242">
        <f>SUM(OperBgt!DW14:EH14)</f>
        <v>0</v>
      </c>
    </row>
    <row r="15" spans="1:15" hidden="1" outlineLevel="1" x14ac:dyDescent="0.3">
      <c r="A15" t="str">
        <f>OperBgt!A15</f>
        <v>Units EOM (Market)</v>
      </c>
      <c r="E15" s="229">
        <f t="shared" ref="E15:O15" si="1">SUM(E13:E14)</f>
        <v>0</v>
      </c>
      <c r="F15" s="229">
        <f t="shared" si="1"/>
        <v>234.66666666666669</v>
      </c>
      <c r="G15" s="229">
        <f t="shared" si="1"/>
        <v>256</v>
      </c>
      <c r="H15" s="229">
        <f t="shared" si="1"/>
        <v>256</v>
      </c>
      <c r="I15" s="229">
        <f t="shared" si="1"/>
        <v>256</v>
      </c>
      <c r="J15" s="229">
        <f t="shared" si="1"/>
        <v>256</v>
      </c>
      <c r="K15" s="229">
        <f t="shared" si="1"/>
        <v>256</v>
      </c>
      <c r="L15" s="229">
        <f t="shared" si="1"/>
        <v>256</v>
      </c>
      <c r="M15" s="229">
        <f t="shared" si="1"/>
        <v>256</v>
      </c>
      <c r="N15" s="229">
        <f t="shared" si="1"/>
        <v>256</v>
      </c>
      <c r="O15" s="229">
        <f t="shared" si="1"/>
        <v>256</v>
      </c>
    </row>
    <row r="16" spans="1:15" ht="7.5" hidden="1" customHeight="1" outlineLevel="1" x14ac:dyDescent="0.3">
      <c r="E16" s="229"/>
      <c r="F16" s="229"/>
      <c r="G16" s="229"/>
      <c r="H16" s="229"/>
      <c r="I16" s="229"/>
      <c r="J16" s="229"/>
      <c r="K16" s="229"/>
      <c r="L16" s="229"/>
      <c r="M16" s="229"/>
      <c r="N16" s="229"/>
      <c r="O16" s="229"/>
    </row>
    <row r="17" spans="1:15" hidden="1" outlineLevel="1" x14ac:dyDescent="0.3">
      <c r="A17" t="str">
        <f>OperBgt!A17</f>
        <v>Units BOM (All)</v>
      </c>
      <c r="E17" s="229">
        <f>OperBgt!G17</f>
        <v>0</v>
      </c>
      <c r="F17" s="229">
        <f>OperBgt!S17</f>
        <v>0</v>
      </c>
      <c r="G17" s="229">
        <f>OperBgt!AE17</f>
        <v>234.66666666666669</v>
      </c>
      <c r="H17" s="229">
        <f>OperBgt!AQ17</f>
        <v>256</v>
      </c>
      <c r="I17" s="229">
        <f>OperBgt!BC17</f>
        <v>256</v>
      </c>
      <c r="J17" s="229">
        <f>OperBgt!BO17</f>
        <v>256</v>
      </c>
      <c r="K17" s="229">
        <f>OperBgt!CA17</f>
        <v>256</v>
      </c>
      <c r="L17" s="229">
        <f>OperBgt!CM17</f>
        <v>256</v>
      </c>
      <c r="M17" s="229">
        <f>OperBgt!CY17</f>
        <v>256</v>
      </c>
      <c r="N17" s="229">
        <f>OperBgt!DK17</f>
        <v>256</v>
      </c>
      <c r="O17" s="229">
        <f>OperBgt!DW17</f>
        <v>256</v>
      </c>
    </row>
    <row r="18" spans="1:15" hidden="1" outlineLevel="1" x14ac:dyDescent="0.3">
      <c r="A18" s="241" t="str">
        <f>OperBgt!A18</f>
        <v>Unit Delivery (All)</v>
      </c>
      <c r="B18" s="241"/>
      <c r="C18" s="241"/>
      <c r="D18" s="241"/>
      <c r="E18" s="242">
        <f>SUM(OperBgt!G18:R18)</f>
        <v>0</v>
      </c>
      <c r="F18" s="242">
        <f>SUM(OperBgt!S18:AD18)</f>
        <v>234.66666666666669</v>
      </c>
      <c r="G18" s="242">
        <f>SUM(OperBgt!AE18:AP18)</f>
        <v>21.333333333333332</v>
      </c>
      <c r="H18" s="242">
        <f>SUM(OperBgt!AQ18:BB18)</f>
        <v>0</v>
      </c>
      <c r="I18" s="242">
        <f>SUM(OperBgt!BC18:BN18)</f>
        <v>0</v>
      </c>
      <c r="J18" s="242">
        <f>SUM(OperBgt!BO18:BZ18)</f>
        <v>0</v>
      </c>
      <c r="K18" s="242">
        <f>SUM(OperBgt!CA18:CL18)</f>
        <v>0</v>
      </c>
      <c r="L18" s="242">
        <f>SUM(OperBgt!CM18:CX18)</f>
        <v>0</v>
      </c>
      <c r="M18" s="242">
        <f>SUM(OperBgt!CY18:DJ18)</f>
        <v>0</v>
      </c>
      <c r="N18" s="242">
        <f>SUM(OperBgt!DK18:DV18)</f>
        <v>0</v>
      </c>
      <c r="O18" s="242">
        <f>SUM(OperBgt!DW18:EH18)</f>
        <v>0</v>
      </c>
    </row>
    <row r="19" spans="1:15" hidden="1" outlineLevel="1" x14ac:dyDescent="0.3">
      <c r="A19" t="str">
        <f>OperBgt!A19</f>
        <v>Unit EOM (All)</v>
      </c>
      <c r="E19" s="229">
        <f t="shared" ref="E19:O19" si="2">SUM(E17:E18)</f>
        <v>0</v>
      </c>
      <c r="F19" s="229">
        <f t="shared" si="2"/>
        <v>234.66666666666669</v>
      </c>
      <c r="G19" s="229">
        <f t="shared" si="2"/>
        <v>256</v>
      </c>
      <c r="H19" s="229">
        <f t="shared" si="2"/>
        <v>256</v>
      </c>
      <c r="I19" s="229">
        <f t="shared" si="2"/>
        <v>256</v>
      </c>
      <c r="J19" s="229">
        <f t="shared" si="2"/>
        <v>256</v>
      </c>
      <c r="K19" s="229">
        <f t="shared" si="2"/>
        <v>256</v>
      </c>
      <c r="L19" s="229">
        <f t="shared" si="2"/>
        <v>256</v>
      </c>
      <c r="M19" s="229">
        <f t="shared" si="2"/>
        <v>256</v>
      </c>
      <c r="N19" s="229">
        <f t="shared" si="2"/>
        <v>256</v>
      </c>
      <c r="O19" s="229">
        <f t="shared" si="2"/>
        <v>256</v>
      </c>
    </row>
    <row r="20" spans="1:15" hidden="1" outlineLevel="1" x14ac:dyDescent="0.3">
      <c r="A20" s="658" t="str">
        <f>OperBgt!A20</f>
        <v>% Completed</v>
      </c>
      <c r="B20" s="337"/>
      <c r="C20" s="337"/>
      <c r="D20" s="337"/>
      <c r="E20" s="659">
        <f>OperBgt!R20</f>
        <v>0</v>
      </c>
      <c r="F20" s="659">
        <f>OperBgt!AD20</f>
        <v>0.91666666666666674</v>
      </c>
      <c r="G20" s="659">
        <f>OperBgt!AP20</f>
        <v>1</v>
      </c>
      <c r="H20" s="659">
        <f>OperBgt!BB20</f>
        <v>1</v>
      </c>
      <c r="I20" s="659">
        <f>OperBgt!BN20</f>
        <v>1</v>
      </c>
      <c r="J20" s="659">
        <f>OperBgt!BZ20</f>
        <v>1</v>
      </c>
      <c r="K20" s="659">
        <f>OperBgt!CL20</f>
        <v>1</v>
      </c>
      <c r="L20" s="659">
        <f>OperBgt!CX20</f>
        <v>1</v>
      </c>
      <c r="M20" s="659">
        <f>OperBgt!DJ20</f>
        <v>1</v>
      </c>
      <c r="N20" s="659">
        <f>OperBgt!DV20</f>
        <v>1</v>
      </c>
      <c r="O20" s="659">
        <f>OperBgt!EH20</f>
        <v>1</v>
      </c>
    </row>
    <row r="21" spans="1:15" ht="7.5" hidden="1" customHeight="1" outlineLevel="1" thickBot="1" x14ac:dyDescent="0.35">
      <c r="A21" s="660"/>
      <c r="B21" s="660"/>
      <c r="C21" s="660"/>
    </row>
    <row r="22" spans="1:15" ht="15" collapsed="1" thickTop="1" x14ac:dyDescent="0.3">
      <c r="A22" s="125" t="str">
        <f>OperBgt!A22</f>
        <v>ABSORPTION</v>
      </c>
      <c r="B22" s="142"/>
      <c r="C22" s="143"/>
      <c r="D22" s="657"/>
      <c r="E22" s="322"/>
      <c r="F22" s="322"/>
      <c r="G22" s="322"/>
      <c r="H22" s="322"/>
      <c r="I22" s="322"/>
      <c r="J22" s="322"/>
      <c r="K22" s="322"/>
      <c r="L22" s="322"/>
      <c r="M22" s="322"/>
      <c r="N22" s="322"/>
      <c r="O22" s="322"/>
    </row>
    <row r="23" spans="1:15" x14ac:dyDescent="0.3">
      <c r="A23" t="str">
        <f>OperBgt!A23</f>
        <v>Occupied Units BOM (BMR)</v>
      </c>
      <c r="E23" s="229">
        <f>OperBgt!G23</f>
        <v>0</v>
      </c>
      <c r="F23" s="229">
        <f>OperBgt!S23</f>
        <v>0</v>
      </c>
      <c r="G23" s="229">
        <f>OperBgt!AE23</f>
        <v>0</v>
      </c>
      <c r="H23" s="229">
        <f>OperBgt!AQ23</f>
        <v>0</v>
      </c>
      <c r="I23" s="229">
        <f>OperBgt!BC23</f>
        <v>0</v>
      </c>
      <c r="J23" s="229">
        <f>OperBgt!BO23</f>
        <v>0</v>
      </c>
      <c r="K23" s="229">
        <f>OperBgt!CA23</f>
        <v>0</v>
      </c>
      <c r="L23" s="229">
        <f>OperBgt!CM23</f>
        <v>0</v>
      </c>
      <c r="M23" s="229">
        <f>OperBgt!CY23</f>
        <v>0</v>
      </c>
      <c r="N23" s="229">
        <f>OperBgt!DK23</f>
        <v>0</v>
      </c>
      <c r="O23" s="229">
        <f>OperBgt!DW23</f>
        <v>0</v>
      </c>
    </row>
    <row r="24" spans="1:15" x14ac:dyDescent="0.3">
      <c r="A24" s="241" t="str">
        <f>OperBgt!A24</f>
        <v>Units Absorbed (BMR)</v>
      </c>
      <c r="B24" s="241"/>
      <c r="C24" s="241"/>
      <c r="D24" s="241"/>
      <c r="E24" s="242">
        <f>SUM(OperBgt!G24:R24)</f>
        <v>0</v>
      </c>
      <c r="F24" s="242">
        <f>SUM(OperBgt!S24:AD24)</f>
        <v>0</v>
      </c>
      <c r="G24" s="242">
        <f>SUM(OperBgt!AE24:AP24)</f>
        <v>0</v>
      </c>
      <c r="H24" s="242">
        <f>SUM(OperBgt!AQ24:BB24)</f>
        <v>0</v>
      </c>
      <c r="I24" s="242">
        <f>SUM(OperBgt!BC24:BN24)</f>
        <v>0</v>
      </c>
      <c r="J24" s="242">
        <f>SUM(OperBgt!BO24:BZ24)</f>
        <v>0</v>
      </c>
      <c r="K24" s="242">
        <f>SUM(OperBgt!CA24:CL24)</f>
        <v>0</v>
      </c>
      <c r="L24" s="242">
        <f>SUM(OperBgt!CM24:CX24)</f>
        <v>0</v>
      </c>
      <c r="M24" s="242">
        <f>SUM(OperBgt!CY24:DJ24)</f>
        <v>0</v>
      </c>
      <c r="N24" s="242">
        <f>SUM(OperBgt!DK24:DV24)</f>
        <v>0</v>
      </c>
      <c r="O24" s="242">
        <f>SUM(OperBgt!DW24:EH24)</f>
        <v>0</v>
      </c>
    </row>
    <row r="25" spans="1:15" x14ac:dyDescent="0.3">
      <c r="A25" s="639" t="str">
        <f>OperBgt!A25</f>
        <v>Occupied Units EOM (BMR)</v>
      </c>
      <c r="E25" s="229">
        <f t="shared" ref="E25:O25" si="3">SUM(E23:E24)</f>
        <v>0</v>
      </c>
      <c r="F25" s="229">
        <f t="shared" si="3"/>
        <v>0</v>
      </c>
      <c r="G25" s="229">
        <f t="shared" si="3"/>
        <v>0</v>
      </c>
      <c r="H25" s="229">
        <f t="shared" si="3"/>
        <v>0</v>
      </c>
      <c r="I25" s="229">
        <f t="shared" si="3"/>
        <v>0</v>
      </c>
      <c r="J25" s="229">
        <f t="shared" si="3"/>
        <v>0</v>
      </c>
      <c r="K25" s="229">
        <f t="shared" si="3"/>
        <v>0</v>
      </c>
      <c r="L25" s="229">
        <f t="shared" si="3"/>
        <v>0</v>
      </c>
      <c r="M25" s="229">
        <f t="shared" si="3"/>
        <v>0</v>
      </c>
      <c r="N25" s="229">
        <f t="shared" si="3"/>
        <v>0</v>
      </c>
      <c r="O25" s="229">
        <f t="shared" si="3"/>
        <v>0</v>
      </c>
    </row>
    <row r="26" spans="1:15" ht="7.5" customHeight="1" x14ac:dyDescent="0.3">
      <c r="E26" s="229"/>
      <c r="F26" s="229"/>
      <c r="G26" s="229"/>
      <c r="H26" s="229"/>
      <c r="I26" s="229"/>
      <c r="J26" s="229"/>
      <c r="K26" s="229"/>
      <c r="L26" s="229"/>
      <c r="M26" s="229"/>
      <c r="N26" s="229"/>
      <c r="O26" s="229"/>
    </row>
    <row r="27" spans="1:15" x14ac:dyDescent="0.3">
      <c r="A27" t="str">
        <f>OperBgt!A27</f>
        <v>Occupied Units BOM (Market)</v>
      </c>
      <c r="E27" s="229">
        <f>OperBgt!G27</f>
        <v>0</v>
      </c>
      <c r="F27" s="229">
        <f>OperBgt!S27</f>
        <v>0</v>
      </c>
      <c r="G27" s="229">
        <f>OperBgt!AE27</f>
        <v>201.59999999999997</v>
      </c>
      <c r="H27" s="229">
        <f>OperBgt!AQ27</f>
        <v>240.98</v>
      </c>
      <c r="I27" s="229">
        <f>OperBgt!BC27</f>
        <v>240.98</v>
      </c>
      <c r="J27" s="229">
        <f>OperBgt!BO27</f>
        <v>240.98</v>
      </c>
      <c r="K27" s="229">
        <f>OperBgt!CA27</f>
        <v>240.98</v>
      </c>
      <c r="L27" s="229">
        <f>OperBgt!CM27</f>
        <v>240.98</v>
      </c>
      <c r="M27" s="229">
        <f>OperBgt!CY27</f>
        <v>240.98</v>
      </c>
      <c r="N27" s="229">
        <f>OperBgt!DK27</f>
        <v>240.98</v>
      </c>
      <c r="O27" s="229">
        <f>OperBgt!DW27</f>
        <v>240.98</v>
      </c>
    </row>
    <row r="28" spans="1:15" x14ac:dyDescent="0.3">
      <c r="A28" s="241" t="str">
        <f>OperBgt!A28</f>
        <v>Units Absorbed (Market)</v>
      </c>
      <c r="B28" s="241"/>
      <c r="C28" s="241"/>
      <c r="D28" s="241"/>
      <c r="E28" s="242">
        <f>SUM(OperBgt!G28:R28)</f>
        <v>0</v>
      </c>
      <c r="F28" s="242">
        <f>SUM(OperBgt!S28:AD28)</f>
        <v>201.59999999999997</v>
      </c>
      <c r="G28" s="242">
        <f>SUM(OperBgt!AE28:AP28)</f>
        <v>39.38000000000001</v>
      </c>
      <c r="H28" s="242">
        <f>SUM(OperBgt!AQ28:BB28)</f>
        <v>0</v>
      </c>
      <c r="I28" s="242">
        <f>SUM(OperBgt!BC28:BN28)</f>
        <v>0</v>
      </c>
      <c r="J28" s="242">
        <f>SUM(OperBgt!BO28:BZ28)</f>
        <v>0</v>
      </c>
      <c r="K28" s="242">
        <f>SUM(OperBgt!CA28:CL28)</f>
        <v>0</v>
      </c>
      <c r="L28" s="242">
        <f>SUM(OperBgt!CM28:CX28)</f>
        <v>0</v>
      </c>
      <c r="M28" s="242">
        <f>SUM(OperBgt!CY28:DJ28)</f>
        <v>0</v>
      </c>
      <c r="N28" s="242">
        <f>SUM(OperBgt!DK28:DV28)</f>
        <v>0</v>
      </c>
      <c r="O28" s="242">
        <f>SUM(OperBgt!DW28:EH28)</f>
        <v>0</v>
      </c>
    </row>
    <row r="29" spans="1:15" x14ac:dyDescent="0.3">
      <c r="A29" s="639" t="str">
        <f>OperBgt!A29</f>
        <v>Occupied Units EOM (Market)</v>
      </c>
      <c r="E29" s="229">
        <f t="shared" ref="E29:O29" si="4">SUM(E27:E28)</f>
        <v>0</v>
      </c>
      <c r="F29" s="229">
        <f t="shared" si="4"/>
        <v>201.59999999999997</v>
      </c>
      <c r="G29" s="229">
        <f t="shared" si="4"/>
        <v>240.97999999999996</v>
      </c>
      <c r="H29" s="229">
        <f t="shared" si="4"/>
        <v>240.98</v>
      </c>
      <c r="I29" s="229">
        <f t="shared" si="4"/>
        <v>240.98</v>
      </c>
      <c r="J29" s="229">
        <f t="shared" si="4"/>
        <v>240.98</v>
      </c>
      <c r="K29" s="229">
        <f t="shared" si="4"/>
        <v>240.98</v>
      </c>
      <c r="L29" s="229">
        <f t="shared" si="4"/>
        <v>240.98</v>
      </c>
      <c r="M29" s="229">
        <f t="shared" si="4"/>
        <v>240.98</v>
      </c>
      <c r="N29" s="229">
        <f t="shared" si="4"/>
        <v>240.98</v>
      </c>
      <c r="O29" s="229">
        <f t="shared" si="4"/>
        <v>240.98</v>
      </c>
    </row>
    <row r="30" spans="1:15" ht="7.5" customHeight="1" x14ac:dyDescent="0.3">
      <c r="E30" s="229"/>
      <c r="F30" s="229"/>
      <c r="G30" s="229"/>
      <c r="H30" s="229"/>
      <c r="I30" s="229"/>
      <c r="J30" s="229"/>
      <c r="K30" s="229"/>
      <c r="L30" s="229"/>
      <c r="M30" s="229"/>
      <c r="N30" s="229"/>
      <c r="O30" s="229"/>
    </row>
    <row r="31" spans="1:15" x14ac:dyDescent="0.3">
      <c r="A31" t="str">
        <f>OperBgt!A31</f>
        <v>Occupied Units BOM (All)</v>
      </c>
      <c r="E31" s="229">
        <f>OperBgt!G31</f>
        <v>0</v>
      </c>
      <c r="F31" s="229">
        <f>OperBgt!S31</f>
        <v>0</v>
      </c>
      <c r="G31" s="229">
        <f>OperBgt!AE31</f>
        <v>201.59999999999997</v>
      </c>
      <c r="H31" s="229">
        <f>OperBgt!AQ31</f>
        <v>240.98</v>
      </c>
      <c r="I31" s="229">
        <f>OperBgt!BC31</f>
        <v>240.98</v>
      </c>
      <c r="J31" s="229">
        <f>OperBgt!BO31</f>
        <v>240.98</v>
      </c>
      <c r="K31" s="229">
        <f>OperBgt!CA31</f>
        <v>240.98</v>
      </c>
      <c r="L31" s="229">
        <f>OperBgt!CM31</f>
        <v>240.98</v>
      </c>
      <c r="M31" s="229">
        <f>OperBgt!CY31</f>
        <v>240.98</v>
      </c>
      <c r="N31" s="229">
        <f>OperBgt!DK31</f>
        <v>240.98</v>
      </c>
      <c r="O31" s="229">
        <f>OperBgt!DW31</f>
        <v>240.98</v>
      </c>
    </row>
    <row r="32" spans="1:15" x14ac:dyDescent="0.3">
      <c r="A32" s="241" t="str">
        <f>OperBgt!A35</f>
        <v>Units Absorbed (All)</v>
      </c>
      <c r="B32" s="241"/>
      <c r="C32" s="241"/>
      <c r="D32" s="241"/>
      <c r="E32" s="637">
        <f>SUM(OperBgt!G35:R35)</f>
        <v>0</v>
      </c>
      <c r="F32" s="637">
        <f>SUM(OperBgt!S35:AD35)</f>
        <v>201.59999999999997</v>
      </c>
      <c r="G32" s="637">
        <f>SUM(OperBgt!AE35:AP35)</f>
        <v>39.38000000000001</v>
      </c>
      <c r="H32" s="637">
        <f>SUM(OperBgt!AQ35:BB35)</f>
        <v>0</v>
      </c>
      <c r="I32" s="637">
        <f>SUM(OperBgt!BC35:BN35)</f>
        <v>0</v>
      </c>
      <c r="J32" s="637">
        <f>SUM(OperBgt!BO35:BZ35)</f>
        <v>0</v>
      </c>
      <c r="K32" s="637">
        <f>SUM(OperBgt!CA35:CL35)</f>
        <v>0</v>
      </c>
      <c r="L32" s="637">
        <f>SUM(OperBgt!CM35:CX35)</f>
        <v>0</v>
      </c>
      <c r="M32" s="637">
        <f>SUM(OperBgt!CY35:DJ35)</f>
        <v>0</v>
      </c>
      <c r="N32" s="637">
        <f>SUM(OperBgt!DK35:DV35)</f>
        <v>0</v>
      </c>
      <c r="O32" s="637">
        <f>SUM(OperBgt!DW35:EH35)</f>
        <v>0</v>
      </c>
    </row>
    <row r="33" spans="1:15" x14ac:dyDescent="0.3">
      <c r="A33" s="639" t="str">
        <f>OperBgt!A36</f>
        <v>Occupied Units EOM (All)</v>
      </c>
      <c r="E33" s="229">
        <f>OperBgt!R36</f>
        <v>0</v>
      </c>
      <c r="F33" s="229">
        <f>OperBgt!AD36</f>
        <v>201.59999999999997</v>
      </c>
      <c r="G33" s="229">
        <f>OperBgt!AP36</f>
        <v>240.98</v>
      </c>
      <c r="H33" s="229">
        <f>OperBgt!BB36</f>
        <v>240.98</v>
      </c>
      <c r="I33" s="229">
        <f>OperBgt!BN36</f>
        <v>240.98</v>
      </c>
      <c r="J33" s="229">
        <f>OperBgt!BZ36</f>
        <v>240.98</v>
      </c>
      <c r="K33" s="229">
        <f>OperBgt!CL36</f>
        <v>240.98</v>
      </c>
      <c r="L33" s="229">
        <f>OperBgt!CX36</f>
        <v>240.98</v>
      </c>
      <c r="M33" s="229">
        <f>OperBgt!DJ36</f>
        <v>240.98</v>
      </c>
      <c r="N33" s="229">
        <f>OperBgt!DV36</f>
        <v>240.98</v>
      </c>
      <c r="O33" s="229">
        <f>OperBgt!EH36</f>
        <v>240.98</v>
      </c>
    </row>
    <row r="34" spans="1:15" x14ac:dyDescent="0.3">
      <c r="A34" s="658" t="str">
        <f>OperBgt!A37</f>
        <v>EOM Physical Occupancy of Available Units</v>
      </c>
      <c r="B34" s="337"/>
      <c r="C34" s="337"/>
      <c r="D34" s="337"/>
      <c r="E34" s="659">
        <f>OperBgt!R37</f>
        <v>0</v>
      </c>
      <c r="F34" s="659">
        <f>OperBgt!AD37</f>
        <v>0.85909090909090891</v>
      </c>
      <c r="G34" s="659">
        <f>OperBgt!AP37</f>
        <v>0.94132812499999996</v>
      </c>
      <c r="H34" s="659">
        <f>OperBgt!BB37</f>
        <v>0.94132812499999996</v>
      </c>
      <c r="I34" s="659">
        <f>OperBgt!BN37</f>
        <v>0.94132812499999996</v>
      </c>
      <c r="J34" s="659">
        <f>OperBgt!BZ37</f>
        <v>0.94132812499999996</v>
      </c>
      <c r="K34" s="659">
        <f>OperBgt!CL37</f>
        <v>0.94132812499999996</v>
      </c>
      <c r="L34" s="659">
        <f>OperBgt!CX37</f>
        <v>0.94132812499999996</v>
      </c>
      <c r="M34" s="659">
        <f>OperBgt!DJ37</f>
        <v>0.94132812499999996</v>
      </c>
      <c r="N34" s="659">
        <f>OperBgt!DV37</f>
        <v>0.94132812499999996</v>
      </c>
      <c r="O34" s="659">
        <f>OperBgt!EH37</f>
        <v>0.94132812499999996</v>
      </c>
    </row>
    <row r="35" spans="1:15" x14ac:dyDescent="0.3">
      <c r="A35" s="658" t="str">
        <f>OperBgt!A38</f>
        <v>EOM Overall Physical Occupancy</v>
      </c>
      <c r="E35" s="659">
        <f>OperBgt!R38</f>
        <v>0</v>
      </c>
      <c r="F35" s="659">
        <f>OperBgt!AD38</f>
        <v>0.78749999999999987</v>
      </c>
      <c r="G35" s="659">
        <f>OperBgt!AP38</f>
        <v>0.94132812499999996</v>
      </c>
      <c r="H35" s="659">
        <f>OperBgt!BB38</f>
        <v>0.94132812499999996</v>
      </c>
      <c r="I35" s="659">
        <f>OperBgt!BN38</f>
        <v>0.94132812499999996</v>
      </c>
      <c r="J35" s="659">
        <f>OperBgt!BZ38</f>
        <v>0.94132812499999996</v>
      </c>
      <c r="K35" s="659">
        <f>OperBgt!CL38</f>
        <v>0.94132812499999996</v>
      </c>
      <c r="L35" s="659">
        <f>OperBgt!CX38</f>
        <v>0.94132812499999996</v>
      </c>
      <c r="M35" s="659">
        <f>OperBgt!DJ38</f>
        <v>0.94132812499999996</v>
      </c>
      <c r="N35" s="659">
        <f>OperBgt!DV38</f>
        <v>0.94132812499999996</v>
      </c>
      <c r="O35" s="659">
        <f>OperBgt!EH38</f>
        <v>0.94132812499999996</v>
      </c>
    </row>
    <row r="36" spans="1:15" ht="7.5" customHeight="1" thickBot="1" x14ac:dyDescent="0.35"/>
    <row r="37" spans="1:15" ht="15" thickTop="1" x14ac:dyDescent="0.3">
      <c r="A37" s="125" t="str">
        <f>OperBgt!A53</f>
        <v>REVENUE</v>
      </c>
      <c r="B37" s="142"/>
      <c r="C37" s="143"/>
      <c r="D37" s="657"/>
      <c r="E37" s="322"/>
      <c r="F37" s="322"/>
      <c r="G37" s="322"/>
      <c r="H37" s="322"/>
      <c r="I37" s="322"/>
      <c r="J37" s="322"/>
      <c r="K37" s="322"/>
      <c r="L37" s="322"/>
      <c r="M37" s="322"/>
      <c r="N37" s="322"/>
      <c r="O37" s="322"/>
    </row>
    <row r="38" spans="1:15" x14ac:dyDescent="0.3">
      <c r="A38" t="str">
        <f>OperBgt!A54</f>
        <v>Base Below Market Rate (BMR) Rent</v>
      </c>
      <c r="E38" s="227">
        <f>SUM(OperBgt!G54:R54)</f>
        <v>0</v>
      </c>
      <c r="F38" s="227">
        <f>SUM(OperBgt!S54:AD54)</f>
        <v>0</v>
      </c>
      <c r="G38" s="227">
        <f>SUM(OperBgt!AE54:AP54)</f>
        <v>0</v>
      </c>
      <c r="H38" s="227">
        <f>SUM(OperBgt!AQ54:BB54)</f>
        <v>0</v>
      </c>
      <c r="I38" s="227">
        <f>SUM(OperBgt!BC54:BN54)</f>
        <v>0</v>
      </c>
      <c r="J38" s="227">
        <f>SUM(OperBgt!BO54:BZ54)</f>
        <v>0</v>
      </c>
      <c r="K38" s="227">
        <f>SUM(OperBgt!CA54:CL54)</f>
        <v>0</v>
      </c>
      <c r="L38" s="227">
        <f>SUM(OperBgt!CM54:CX54)</f>
        <v>0</v>
      </c>
      <c r="M38" s="227">
        <f>SUM(OperBgt!CY54:DJ54)</f>
        <v>0</v>
      </c>
      <c r="N38" s="227">
        <f>SUM(OperBgt!DK54:DV54)</f>
        <v>0</v>
      </c>
      <c r="O38" s="227">
        <f>SUM(OperBgt!DW54:EH54)</f>
        <v>0</v>
      </c>
    </row>
    <row r="39" spans="1:15" x14ac:dyDescent="0.3">
      <c r="A39" s="198" t="str">
        <f>OperBgt!A55</f>
        <v>Base Market Rate (MR) Rent</v>
      </c>
      <c r="B39" s="198"/>
      <c r="C39" s="198"/>
      <c r="D39" s="198"/>
      <c r="E39" s="229">
        <f>SUM(OperBgt!G55:R55)</f>
        <v>6574634.7641068809</v>
      </c>
      <c r="F39" s="229">
        <f>SUM(OperBgt!S55:AD55)</f>
        <v>6801880.0751137203</v>
      </c>
      <c r="G39" s="229">
        <f>SUM(OperBgt!AE55:AP55)</f>
        <v>7174538.8144186819</v>
      </c>
      <c r="H39" s="229">
        <f>SUM(OperBgt!AQ55:BB55)</f>
        <v>7503491.4663947495</v>
      </c>
      <c r="I39" s="229">
        <f>SUM(OperBgt!BC55:BN55)</f>
        <v>7775166.3983684182</v>
      </c>
      <c r="J39" s="229">
        <f>SUM(OperBgt!BO55:BZ55)</f>
        <v>8102636.6627654145</v>
      </c>
      <c r="K39" s="229">
        <f>SUM(OperBgt!CA55:CL55)</f>
        <v>8445131.8770110551</v>
      </c>
      <c r="L39" s="229">
        <f>SUM(OperBgt!CM55:CX55)</f>
        <v>8802104.2271154746</v>
      </c>
      <c r="M39" s="229">
        <f>SUM(OperBgt!CY55:DJ55)</f>
        <v>9174165.6558269393</v>
      </c>
      <c r="N39" s="229">
        <f>SUM(OperBgt!DK55:DV55)</f>
        <v>9561953.9724691752</v>
      </c>
      <c r="O39" s="229">
        <f>SUM(OperBgt!DW55:EH55)</f>
        <v>9966133.9463111814</v>
      </c>
    </row>
    <row r="40" spans="1:15" x14ac:dyDescent="0.3">
      <c r="A40" s="198" t="str">
        <f>OperBgt!A56</f>
        <v>Amenity Premiums</v>
      </c>
      <c r="B40" s="198"/>
      <c r="C40" s="198"/>
      <c r="D40" s="198"/>
      <c r="E40" s="229">
        <f>SUM(OperBgt!G56:R56)</f>
        <v>0</v>
      </c>
      <c r="F40" s="229">
        <f>SUM(OperBgt!S56:AD56)</f>
        <v>0</v>
      </c>
      <c r="G40" s="229">
        <f>SUM(OperBgt!AE56:AP56)</f>
        <v>0</v>
      </c>
      <c r="H40" s="229">
        <f>SUM(OperBgt!AQ56:BB56)</f>
        <v>0</v>
      </c>
      <c r="I40" s="229">
        <f>SUM(OperBgt!BC56:BN56)</f>
        <v>0</v>
      </c>
      <c r="J40" s="229">
        <f>SUM(OperBgt!BO56:BZ56)</f>
        <v>0</v>
      </c>
      <c r="K40" s="229">
        <f>SUM(OperBgt!CA56:CL56)</f>
        <v>0</v>
      </c>
      <c r="L40" s="229">
        <f>SUM(OperBgt!CM56:CX56)</f>
        <v>0</v>
      </c>
      <c r="M40" s="229">
        <f>SUM(OperBgt!CY56:DJ56)</f>
        <v>0</v>
      </c>
      <c r="N40" s="229">
        <f>SUM(OperBgt!DK56:DV56)</f>
        <v>0</v>
      </c>
      <c r="O40" s="229">
        <f>SUM(OperBgt!DW56:EH56)</f>
        <v>0</v>
      </c>
    </row>
    <row r="41" spans="1:15" x14ac:dyDescent="0.3">
      <c r="A41" s="198" t="str">
        <f>OperBgt!A57</f>
        <v>Recurring Charges</v>
      </c>
      <c r="B41" s="198"/>
      <c r="C41" s="198"/>
      <c r="D41" s="198"/>
      <c r="E41" s="229">
        <f>SUM(OperBgt!G57:R57)</f>
        <v>975025.69266300101</v>
      </c>
      <c r="F41" s="229">
        <f>SUM(OperBgt!S57:AD57)</f>
        <v>1004276.4634428917</v>
      </c>
      <c r="G41" s="229">
        <f>SUM(OperBgt!AE57:AP57)</f>
        <v>1034404.7573461798</v>
      </c>
      <c r="H41" s="229">
        <f>SUM(OperBgt!AQ57:BB57)</f>
        <v>1065436.9000665662</v>
      </c>
      <c r="I41" s="229">
        <f>SUM(OperBgt!BC57:BN57)</f>
        <v>1097400.0070685642</v>
      </c>
      <c r="J41" s="229">
        <f>SUM(OperBgt!BO57:BZ57)</f>
        <v>1130322.0072806224</v>
      </c>
      <c r="K41" s="229">
        <f>SUM(OperBgt!CA57:CL57)</f>
        <v>1164231.6674990421</v>
      </c>
      <c r="L41" s="229">
        <f>SUM(OperBgt!CM57:CX57)</f>
        <v>1199158.6175240146</v>
      </c>
      <c r="M41" s="229">
        <f>SUM(OperBgt!CY57:DJ57)</f>
        <v>1235133.3760497363</v>
      </c>
      <c r="N41" s="229">
        <f>SUM(OperBgt!DK57:DV57)</f>
        <v>1272187.3773312296</v>
      </c>
      <c r="O41" s="229">
        <f>SUM(OperBgt!DW57:EH57)</f>
        <v>1310352.9986511681</v>
      </c>
    </row>
    <row r="42" spans="1:15" x14ac:dyDescent="0.3">
      <c r="A42" s="198" t="str">
        <f>OperBgt!A58</f>
        <v>Other Income</v>
      </c>
      <c r="B42" s="661"/>
      <c r="C42" s="661"/>
      <c r="D42" s="661"/>
      <c r="E42" s="229">
        <f>SUM(OperBgt!G58:R58)</f>
        <v>160610.02853861818</v>
      </c>
      <c r="F42" s="229">
        <f>SUM(OperBgt!S58:AD58)</f>
        <v>165428.3293947769</v>
      </c>
      <c r="G42" s="229">
        <f>SUM(OperBgt!AE58:AP58)</f>
        <v>170391.17927662036</v>
      </c>
      <c r="H42" s="229">
        <f>SUM(OperBgt!AQ58:BB58)</f>
        <v>175502.91465491918</v>
      </c>
      <c r="I42" s="229">
        <f>SUM(OperBgt!BC58:BN58)</f>
        <v>180768.00209456694</v>
      </c>
      <c r="J42" s="229">
        <f>SUM(OperBgt!BO58:BZ58)</f>
        <v>186191.04215740415</v>
      </c>
      <c r="K42" s="229">
        <f>SUM(OperBgt!CA58:CL58)</f>
        <v>191776.77342212645</v>
      </c>
      <c r="L42" s="229">
        <f>SUM(OperBgt!CM58:CX58)</f>
        <v>197530.07662479047</v>
      </c>
      <c r="M42" s="229">
        <f>SUM(OperBgt!CY58:DJ58)</f>
        <v>203455.97892353439</v>
      </c>
      <c r="N42" s="229">
        <f>SUM(OperBgt!DK58:DV58)</f>
        <v>209559.65829124063</v>
      </c>
      <c r="O42" s="229">
        <f>SUM(OperBgt!DW58:EH58)</f>
        <v>215846.4480399781</v>
      </c>
    </row>
    <row r="43" spans="1:15" x14ac:dyDescent="0.3">
      <c r="A43" s="1031" t="str">
        <f>OperBgt!A59</f>
        <v>Base Rent &amp; Amenity Premiums (MR &amp; BMR)</v>
      </c>
      <c r="B43" s="198"/>
      <c r="C43" s="198"/>
      <c r="D43" s="198"/>
      <c r="E43" s="702">
        <f>SUM(OperBgt!G59:R59)</f>
        <v>7710270.4853085019</v>
      </c>
      <c r="F43" s="702">
        <f>SUM(OperBgt!S59:AD59)</f>
        <v>7971584.8679513894</v>
      </c>
      <c r="G43" s="702">
        <f>SUM(OperBgt!AE59:AP59)</f>
        <v>8379334.7510414831</v>
      </c>
      <c r="H43" s="702">
        <f>SUM(OperBgt!AQ59:BB59)</f>
        <v>8744431.2811162341</v>
      </c>
      <c r="I43" s="702">
        <f>SUM(OperBgt!BC59:BN59)</f>
        <v>9053334.4075315502</v>
      </c>
      <c r="J43" s="702">
        <f>SUM(OperBgt!BO59:BZ59)</f>
        <v>9419149.7122034412</v>
      </c>
      <c r="K43" s="702">
        <f>SUM(OperBgt!CA59:CL59)</f>
        <v>9801140.3179322239</v>
      </c>
      <c r="L43" s="702">
        <f>SUM(OperBgt!CM59:CX59)</f>
        <v>10198792.921264281</v>
      </c>
      <c r="M43" s="702">
        <f>SUM(OperBgt!CY59:DJ59)</f>
        <v>10612755.010800209</v>
      </c>
      <c r="N43" s="702">
        <f>SUM(OperBgt!DK59:DV59)</f>
        <v>11043701.008091645</v>
      </c>
      <c r="O43" s="702">
        <f>SUM(OperBgt!DW59:EH59)</f>
        <v>11492333.393002326</v>
      </c>
    </row>
    <row r="44" spans="1:15" x14ac:dyDescent="0.3">
      <c r="A44" s="661" t="str">
        <f>OperBgt!A60</f>
        <v>Loss-to-Lease</v>
      </c>
      <c r="B44" s="661"/>
      <c r="C44" s="661"/>
      <c r="D44" s="661"/>
      <c r="E44" s="242">
        <f>SUM(OperBgt!G60:R60)</f>
        <v>0</v>
      </c>
      <c r="F44" s="242">
        <f>SUM(OperBgt!S60:AD60)</f>
        <v>-46235.381405413922</v>
      </c>
      <c r="G44" s="242">
        <f>SUM(OperBgt!AE60:AP60)</f>
        <v>-185781.46239517437</v>
      </c>
      <c r="H44" s="242">
        <f>SUM(OperBgt!AQ60:BB60)</f>
        <v>-158790.9156147615</v>
      </c>
      <c r="I44" s="242">
        <f>SUM(OperBgt!BC60:BN60)</f>
        <v>-143126.95550554706</v>
      </c>
      <c r="J44" s="242">
        <f>SUM(OperBgt!BO60:BZ60)</f>
        <v>-168118.01623850994</v>
      </c>
      <c r="K44" s="242">
        <f>SUM(OperBgt!CA60:CL60)</f>
        <v>-175390.02055541758</v>
      </c>
      <c r="L44" s="242">
        <f>SUM(OperBgt!CM60:CX60)</f>
        <v>-182803.68664545854</v>
      </c>
      <c r="M44" s="242">
        <f>SUM(OperBgt!CY60:DJ60)</f>
        <v>-190530.7254389213</v>
      </c>
      <c r="N44" s="242">
        <f>SUM(OperBgt!DK60:DV60)</f>
        <v>-198584.38307477089</v>
      </c>
      <c r="O44" s="242">
        <f>SUM(OperBgt!DW60:EH60)</f>
        <v>-206978.46560096607</v>
      </c>
    </row>
    <row r="45" spans="1:15" x14ac:dyDescent="0.3">
      <c r="A45" s="662" t="str">
        <f>OperBgt!A61</f>
        <v>POTENTIAL GROSS INCOME</v>
      </c>
      <c r="B45" s="279"/>
      <c r="C45" s="279"/>
      <c r="D45" s="279"/>
      <c r="E45" s="277">
        <f>SUM(OperBgt!G61:R61)</f>
        <v>7710270.4853085019</v>
      </c>
      <c r="F45" s="277">
        <f>SUM(OperBgt!S61:AD61)</f>
        <v>7925349.4865459744</v>
      </c>
      <c r="G45" s="277">
        <f>SUM(OperBgt!AE61:AP61)</f>
        <v>8193553.2886463087</v>
      </c>
      <c r="H45" s="277">
        <f>SUM(OperBgt!AQ61:BB61)</f>
        <v>8585640.3655014727</v>
      </c>
      <c r="I45" s="277">
        <f>SUM(OperBgt!BC61:BN61)</f>
        <v>8910207.4520260021</v>
      </c>
      <c r="J45" s="277">
        <f>SUM(OperBgt!BO61:BZ61)</f>
        <v>9251031.6959649287</v>
      </c>
      <c r="K45" s="277">
        <f>SUM(OperBgt!CA61:CL61)</f>
        <v>9625750.2973768078</v>
      </c>
      <c r="L45" s="277">
        <f>SUM(OperBgt!CM61:CX61)</f>
        <v>10015989.234618824</v>
      </c>
      <c r="M45" s="277">
        <f>SUM(OperBgt!CY61:DJ61)</f>
        <v>10422224.285361288</v>
      </c>
      <c r="N45" s="277">
        <f>SUM(OperBgt!DK61:DV61)</f>
        <v>10845116.625016872</v>
      </c>
      <c r="O45" s="277">
        <f>SUM(OperBgt!DW61:EH61)</f>
        <v>11285354.927401358</v>
      </c>
    </row>
    <row r="46" spans="1:15" x14ac:dyDescent="0.3">
      <c r="A46" s="198" t="str">
        <f>OperBgt!A62</f>
        <v>Less: Vacancy &amp; Collection Loss</v>
      </c>
      <c r="B46" s="198"/>
      <c r="C46" s="198"/>
      <c r="D46" s="198"/>
      <c r="E46" s="229">
        <f>SUM(OperBgt!G62:R62)</f>
        <v>-7710270.4853085019</v>
      </c>
      <c r="F46" s="229">
        <f>SUM(OperBgt!S62:AD62)</f>
        <v>-5346380.2656624736</v>
      </c>
      <c r="G46" s="229">
        <f>SUM(OperBgt!AE62:AP62)</f>
        <v>-639489.22419796418</v>
      </c>
      <c r="H46" s="229">
        <f>SUM(OperBgt!AQ62:BB62)</f>
        <v>-513052.17907174194</v>
      </c>
      <c r="I46" s="229">
        <f>SUM(OperBgt!BC62:BN62)</f>
        <v>-531176.10469189042</v>
      </c>
      <c r="J46" s="229">
        <f>SUM(OperBgt!BO62:BZ62)</f>
        <v>-552639.17452068662</v>
      </c>
      <c r="K46" s="229">
        <f>SUM(OperBgt!CA62:CL62)</f>
        <v>-575051.27959118027</v>
      </c>
      <c r="L46" s="229">
        <f>SUM(OperBgt!CM62:CX62)</f>
        <v>-598382.30342730321</v>
      </c>
      <c r="M46" s="229">
        <f>SUM(OperBgt!CY62:DJ62)</f>
        <v>-622670.23539929383</v>
      </c>
      <c r="N46" s="229">
        <f>SUM(OperBgt!DK62:DV62)</f>
        <v>-647954.64508412732</v>
      </c>
      <c r="O46" s="229">
        <f>SUM(OperBgt!DW62:EH62)</f>
        <v>-674276.74829255883</v>
      </c>
    </row>
    <row r="47" spans="1:15" x14ac:dyDescent="0.3">
      <c r="A47" s="661" t="str">
        <f>OperBgt!A63</f>
        <v>Less: Concessions</v>
      </c>
      <c r="B47" s="241"/>
      <c r="C47" s="241"/>
      <c r="D47" s="241"/>
      <c r="E47" s="242">
        <f>SUM(OperBgt!G63:R63)</f>
        <v>0</v>
      </c>
      <c r="F47" s="242">
        <f>SUM(OperBgt!S63:AD63)</f>
        <v>-574306.59818943834</v>
      </c>
      <c r="G47" s="242">
        <f>SUM(OperBgt!AE63:AP63)</f>
        <v>-131082.66855689677</v>
      </c>
      <c r="H47" s="242">
        <f>SUM(OperBgt!AQ63:BB63)</f>
        <v>0</v>
      </c>
      <c r="I47" s="242">
        <f>SUM(OperBgt!BC63:BN63)</f>
        <v>0</v>
      </c>
      <c r="J47" s="242">
        <f>SUM(OperBgt!BO63:BZ63)</f>
        <v>0</v>
      </c>
      <c r="K47" s="242">
        <f>SUM(OperBgt!CA63:CL63)</f>
        <v>0</v>
      </c>
      <c r="L47" s="242">
        <f>SUM(OperBgt!CM63:CX63)</f>
        <v>0</v>
      </c>
      <c r="M47" s="242">
        <f>SUM(OperBgt!CY63:DJ63)</f>
        <v>0</v>
      </c>
      <c r="N47" s="242">
        <f>SUM(OperBgt!DK63:DV63)</f>
        <v>0</v>
      </c>
      <c r="O47" s="242">
        <f>SUM(OperBgt!DW63:EH63)</f>
        <v>0</v>
      </c>
    </row>
    <row r="48" spans="1:15" x14ac:dyDescent="0.3">
      <c r="A48" s="279" t="str">
        <f>OperBgt!A64</f>
        <v>EFFECTIVE GROSS INCOME (apartments)</v>
      </c>
      <c r="B48" s="273"/>
      <c r="C48" s="273"/>
      <c r="D48" s="273"/>
      <c r="E48" s="277">
        <f>SUM(OperBgt!G64:R64)</f>
        <v>0</v>
      </c>
      <c r="F48" s="277">
        <f>SUM(OperBgt!S64:AD64)</f>
        <v>2004662.6226940623</v>
      </c>
      <c r="G48" s="277">
        <f>SUM(OperBgt!AE64:AP64)</f>
        <v>7422981.3958914476</v>
      </c>
      <c r="H48" s="277">
        <f>SUM(OperBgt!AQ64:BB64)</f>
        <v>8072588.1864297315</v>
      </c>
      <c r="I48" s="277">
        <f>SUM(OperBgt!BC64:BN64)</f>
        <v>8379031.3473341111</v>
      </c>
      <c r="J48" s="277">
        <f>SUM(OperBgt!BO64:BZ64)</f>
        <v>8698392.5214442443</v>
      </c>
      <c r="K48" s="277">
        <f>SUM(OperBgt!CA64:CL64)</f>
        <v>9050699.0177856255</v>
      </c>
      <c r="L48" s="277">
        <f>SUM(OperBgt!CM64:CX64)</f>
        <v>9417606.9311915189</v>
      </c>
      <c r="M48" s="277">
        <f>SUM(OperBgt!CY64:DJ64)</f>
        <v>9799554.0499619935</v>
      </c>
      <c r="N48" s="277">
        <f>SUM(OperBgt!DK64:DV64)</f>
        <v>10197161.979932744</v>
      </c>
      <c r="O48" s="277">
        <f>SUM(OperBgt!DW64:EH64)</f>
        <v>10611078.179108802</v>
      </c>
    </row>
    <row r="49" spans="1:15" x14ac:dyDescent="0.3">
      <c r="A49" s="661" t="str">
        <f>OperBgt!A65</f>
        <v>Commercial Income</v>
      </c>
      <c r="B49" s="661"/>
      <c r="C49" s="661"/>
      <c r="D49" s="661"/>
      <c r="E49" s="242">
        <f>SUM(OperBgt!G65:R65)</f>
        <v>0</v>
      </c>
      <c r="F49" s="242">
        <f>SUM(OperBgt!S65:AD65)</f>
        <v>0</v>
      </c>
      <c r="G49" s="242">
        <f>SUM(OperBgt!AE65:AP65)</f>
        <v>0</v>
      </c>
      <c r="H49" s="242">
        <f>SUM(OperBgt!AQ65:BB65)</f>
        <v>0</v>
      </c>
      <c r="I49" s="242">
        <f>SUM(OperBgt!BC65:BN65)</f>
        <v>0</v>
      </c>
      <c r="J49" s="242">
        <f>SUM(OperBgt!BO65:BZ65)</f>
        <v>0</v>
      </c>
      <c r="K49" s="242">
        <f>SUM(OperBgt!CA65:CL65)</f>
        <v>0</v>
      </c>
      <c r="L49" s="242">
        <f>SUM(OperBgt!CM65:CX65)</f>
        <v>0</v>
      </c>
      <c r="M49" s="242">
        <f>SUM(OperBgt!CY65:DJ65)</f>
        <v>0</v>
      </c>
      <c r="N49" s="242">
        <f>SUM(OperBgt!DK65:DV65)</f>
        <v>0</v>
      </c>
      <c r="O49" s="242">
        <f>SUM(OperBgt!DW65:EH65)</f>
        <v>0</v>
      </c>
    </row>
    <row r="50" spans="1:15" x14ac:dyDescent="0.3">
      <c r="A50" s="279" t="str">
        <f>OperBgt!A66</f>
        <v>EFFECTIVE GROSS INCOME (all sources)</v>
      </c>
      <c r="B50" s="279"/>
      <c r="C50" s="279"/>
      <c r="D50" s="279"/>
      <c r="E50" s="277">
        <f>SUM(OperBgt!G66:R66)</f>
        <v>0</v>
      </c>
      <c r="F50" s="277">
        <f>SUM(OperBgt!S66:AD66)</f>
        <v>2004662.6226940623</v>
      </c>
      <c r="G50" s="277">
        <f>SUM(OperBgt!AE66:AP66)</f>
        <v>7422981.3958914476</v>
      </c>
      <c r="H50" s="277">
        <f>SUM(OperBgt!AQ66:BB66)</f>
        <v>8072588.1864297315</v>
      </c>
      <c r="I50" s="277">
        <f>SUM(OperBgt!BC66:BN66)</f>
        <v>8379031.3473341111</v>
      </c>
      <c r="J50" s="277">
        <f>SUM(OperBgt!BO66:BZ66)</f>
        <v>8698392.5214442443</v>
      </c>
      <c r="K50" s="277">
        <f>SUM(OperBgt!CA66:CL66)</f>
        <v>9050699.0177856255</v>
      </c>
      <c r="L50" s="277">
        <f>SUM(OperBgt!CM66:CX66)</f>
        <v>9417606.9311915189</v>
      </c>
      <c r="M50" s="277">
        <f>SUM(OperBgt!CY66:DJ66)</f>
        <v>9799554.0499619935</v>
      </c>
      <c r="N50" s="277">
        <f>SUM(OperBgt!DK66:DV66)</f>
        <v>10197161.979932744</v>
      </c>
      <c r="O50" s="277">
        <f>SUM(OperBgt!DW66:EH66)</f>
        <v>10611078.179108802</v>
      </c>
    </row>
    <row r="51" spans="1:15" ht="7.5" customHeight="1" thickBot="1" x14ac:dyDescent="0.35">
      <c r="E51" s="229"/>
      <c r="F51" s="229"/>
      <c r="G51" s="229"/>
      <c r="H51" s="229"/>
      <c r="I51" s="229"/>
      <c r="J51" s="229"/>
      <c r="K51" s="229"/>
      <c r="L51" s="229"/>
      <c r="M51" s="229"/>
      <c r="N51" s="229"/>
      <c r="O51" s="229"/>
    </row>
    <row r="52" spans="1:15" ht="15" thickTop="1" x14ac:dyDescent="0.3">
      <c r="A52" s="125" t="str">
        <f>OperBgt!A68</f>
        <v>OPERATING EXPENSES</v>
      </c>
      <c r="B52" s="142"/>
      <c r="C52" s="143"/>
      <c r="D52" s="657"/>
      <c r="E52" s="322"/>
      <c r="F52" s="322"/>
      <c r="G52" s="322"/>
      <c r="H52" s="322"/>
      <c r="I52" s="322"/>
      <c r="J52" s="322"/>
      <c r="K52" s="322"/>
      <c r="L52" s="322"/>
      <c r="M52" s="322"/>
      <c r="N52" s="322"/>
      <c r="O52" s="322"/>
    </row>
    <row r="53" spans="1:15" x14ac:dyDescent="0.3">
      <c r="A53" s="198" t="str">
        <f>OperBgt!A69</f>
        <v>Administration</v>
      </c>
      <c r="E53" s="227">
        <f>SUM(OperBgt!G69:R69)</f>
        <v>0</v>
      </c>
      <c r="F53" s="227">
        <f>SUM(OperBgt!S69:AD69)</f>
        <v>106321.4013360283</v>
      </c>
      <c r="G53" s="227">
        <f>SUM(OperBgt!AE69:AP69)</f>
        <v>119228.08360469042</v>
      </c>
      <c r="H53" s="227">
        <f>SUM(OperBgt!AQ69:BB69)</f>
        <v>122804.92611283125</v>
      </c>
      <c r="I53" s="227">
        <f>SUM(OperBgt!BC69:BN69)</f>
        <v>126489.07389621632</v>
      </c>
      <c r="J53" s="227">
        <f>SUM(OperBgt!BO69:BZ69)</f>
        <v>130283.74611310293</v>
      </c>
      <c r="K53" s="227">
        <f>SUM(OperBgt!CA69:CL69)</f>
        <v>134192.2584964961</v>
      </c>
      <c r="L53" s="227">
        <f>SUM(OperBgt!CM69:CX69)</f>
        <v>138218.02625139113</v>
      </c>
      <c r="M53" s="227">
        <f>SUM(OperBgt!CY69:DJ69)</f>
        <v>142364.56703893299</v>
      </c>
      <c r="N53" s="227">
        <f>SUM(OperBgt!DK69:DV69)</f>
        <v>146635.50405010115</v>
      </c>
      <c r="O53" s="227">
        <f>SUM(OperBgt!DW69:EH69)</f>
        <v>151034.56917160441</v>
      </c>
    </row>
    <row r="54" spans="1:15" x14ac:dyDescent="0.3">
      <c r="A54" s="198" t="str">
        <f>OperBgt!A70</f>
        <v>Marketing</v>
      </c>
      <c r="E54" s="229">
        <f>SUM(OperBgt!G70:R70)</f>
        <v>0</v>
      </c>
      <c r="F54" s="229">
        <f>SUM(OperBgt!S70:AD70)</f>
        <v>89944.882172895959</v>
      </c>
      <c r="G54" s="229">
        <f>SUM(OperBgt!AE70:AP70)</f>
        <v>100863.56835752237</v>
      </c>
      <c r="H54" s="229">
        <f>SUM(OperBgt!AQ70:BB70)</f>
        <v>103889.47540824818</v>
      </c>
      <c r="I54" s="229">
        <f>SUM(OperBgt!BC70:BN70)</f>
        <v>107006.15967049572</v>
      </c>
      <c r="J54" s="229">
        <f>SUM(OperBgt!BO70:BZ70)</f>
        <v>110216.34446061075</v>
      </c>
      <c r="K54" s="229">
        <f>SUM(OperBgt!CA70:CL70)</f>
        <v>113522.8347944292</v>
      </c>
      <c r="L54" s="229">
        <f>SUM(OperBgt!CM70:CX70)</f>
        <v>116928.51983826215</v>
      </c>
      <c r="M54" s="229">
        <f>SUM(OperBgt!CY70:DJ70)</f>
        <v>120436.37543341012</v>
      </c>
      <c r="N54" s="229">
        <f>SUM(OperBgt!DK70:DV70)</f>
        <v>124049.46669641258</v>
      </c>
      <c r="O54" s="229">
        <f>SUM(OperBgt!DW70:EH70)</f>
        <v>127770.95069730509</v>
      </c>
    </row>
    <row r="55" spans="1:15" x14ac:dyDescent="0.3">
      <c r="A55" s="198" t="str">
        <f>OperBgt!A71</f>
        <v>Personnel</v>
      </c>
      <c r="E55" s="229">
        <f>SUM(OperBgt!G71:R71)</f>
        <v>0</v>
      </c>
      <c r="F55" s="229">
        <f>SUM(OperBgt!S71:AD71)</f>
        <v>385594.52741572203</v>
      </c>
      <c r="G55" s="229">
        <f>SUM(OperBgt!AE71:AP71)</f>
        <v>448376.70303470048</v>
      </c>
      <c r="H55" s="229">
        <f>SUM(OperBgt!AQ71:BB71)</f>
        <v>461828.00412574207</v>
      </c>
      <c r="I55" s="229">
        <f>SUM(OperBgt!BC71:BN71)</f>
        <v>475682.84424951463</v>
      </c>
      <c r="J55" s="229">
        <f>SUM(OperBgt!BO71:BZ71)</f>
        <v>489953.32957700081</v>
      </c>
      <c r="K55" s="229">
        <f>SUM(OperBgt!CA71:CL71)</f>
        <v>504651.92946431122</v>
      </c>
      <c r="L55" s="229">
        <f>SUM(OperBgt!CM71:CX71)</f>
        <v>519791.48734824115</v>
      </c>
      <c r="M55" s="229">
        <f>SUM(OperBgt!CY71:DJ71)</f>
        <v>535385.23196868889</v>
      </c>
      <c r="N55" s="229">
        <f>SUM(OperBgt!DK71:DV71)</f>
        <v>551446.78892775031</v>
      </c>
      <c r="O55" s="229">
        <f>SUM(OperBgt!DW71:EH71)</f>
        <v>567990.19259558339</v>
      </c>
    </row>
    <row r="56" spans="1:15" x14ac:dyDescent="0.3">
      <c r="A56" s="198" t="str">
        <f>OperBgt!A72</f>
        <v>Repairs &amp; Maintenance</v>
      </c>
      <c r="E56" s="229">
        <f>SUM(OperBgt!G72:R72)</f>
        <v>0</v>
      </c>
      <c r="F56" s="229">
        <f>SUM(OperBgt!S72:AD72)</f>
        <v>41678.779951661381</v>
      </c>
      <c r="G56" s="229">
        <f>SUM(OperBgt!AE72:AP72)</f>
        <v>123659.20273335269</v>
      </c>
      <c r="H56" s="229">
        <f>SUM(OperBgt!AQ72:BB72)</f>
        <v>138519.300544331</v>
      </c>
      <c r="I56" s="229">
        <f>SUM(OperBgt!BC72:BN72)</f>
        <v>142674.87956066104</v>
      </c>
      <c r="J56" s="229">
        <f>SUM(OperBgt!BO72:BZ72)</f>
        <v>146955.12594748108</v>
      </c>
      <c r="K56" s="229">
        <f>SUM(OperBgt!CA72:CL72)</f>
        <v>151363.77972590562</v>
      </c>
      <c r="L56" s="229">
        <f>SUM(OperBgt!CM72:CX72)</f>
        <v>155904.69311768297</v>
      </c>
      <c r="M56" s="229">
        <f>SUM(OperBgt!CY72:DJ72)</f>
        <v>160581.83391121362</v>
      </c>
      <c r="N56" s="229">
        <f>SUM(OperBgt!DK72:DV72)</f>
        <v>165399.28892855023</v>
      </c>
      <c r="O56" s="229">
        <f>SUM(OperBgt!DW72:EH72)</f>
        <v>170361.26759640692</v>
      </c>
    </row>
    <row r="57" spans="1:15" x14ac:dyDescent="0.3">
      <c r="A57" s="198" t="str">
        <f>OperBgt!A73</f>
        <v>Utilities</v>
      </c>
      <c r="E57" s="229">
        <f>SUM(OperBgt!G73:R73)</f>
        <v>0</v>
      </c>
      <c r="F57" s="229">
        <f>SUM(OperBgt!S73:AD73)</f>
        <v>276452.09711930051</v>
      </c>
      <c r="G57" s="229">
        <f>SUM(OperBgt!AE73:AP73)</f>
        <v>349208.3206999934</v>
      </c>
      <c r="H57" s="229">
        <f>SUM(OperBgt!AQ73:BB73)</f>
        <v>359684.57032099366</v>
      </c>
      <c r="I57" s="229">
        <f>SUM(OperBgt!BC73:BN73)</f>
        <v>370475.10743062379</v>
      </c>
      <c r="J57" s="229">
        <f>SUM(OperBgt!BO73:BZ73)</f>
        <v>381589.3606535428</v>
      </c>
      <c r="K57" s="229">
        <f>SUM(OperBgt!CA73:CL73)</f>
        <v>393037.0414731495</v>
      </c>
      <c r="L57" s="229">
        <f>SUM(OperBgt!CM73:CX73)</f>
        <v>404828.15271734429</v>
      </c>
      <c r="M57" s="229">
        <f>SUM(OperBgt!CY73:DJ73)</f>
        <v>416972.997298865</v>
      </c>
      <c r="N57" s="229">
        <f>SUM(OperBgt!DK73:DV73)</f>
        <v>429482.18721783144</v>
      </c>
      <c r="O57" s="229">
        <f>SUM(OperBgt!DW73:EH73)</f>
        <v>442366.6528343666</v>
      </c>
    </row>
    <row r="58" spans="1:15" x14ac:dyDescent="0.3">
      <c r="A58" s="198" t="str">
        <f>'Operating Inputs'!A122</f>
        <v>Contracts</v>
      </c>
      <c r="E58" s="229">
        <f>SUM(OperBgt!G74:R74)</f>
        <v>0</v>
      </c>
      <c r="F58" s="229">
        <f>SUM(OperBgt!S74:AD74)</f>
        <v>208025.07920241257</v>
      </c>
      <c r="G58" s="229">
        <f>SUM(OperBgt!AE74:AP74)</f>
        <v>241564.0082512091</v>
      </c>
      <c r="H58" s="229">
        <f>SUM(OperBgt!AQ74:BB74)</f>
        <v>248810.92849874555</v>
      </c>
      <c r="I58" s="229">
        <f>SUM(OperBgt!BC74:BN74)</f>
        <v>256275.25635370833</v>
      </c>
      <c r="J58" s="229">
        <f>SUM(OperBgt!BO74:BZ74)</f>
        <v>263963.51404431992</v>
      </c>
      <c r="K58" s="229">
        <f>SUM(OperBgt!CA74:CL74)</f>
        <v>271882.41946564981</v>
      </c>
      <c r="L58" s="229">
        <f>SUM(OperBgt!CM74:CX74)</f>
        <v>280038.89204961958</v>
      </c>
      <c r="M58" s="229">
        <f>SUM(OperBgt!CY74:DJ74)</f>
        <v>288440.05881110858</v>
      </c>
      <c r="N58" s="229">
        <f>SUM(OperBgt!DK74:DV74)</f>
        <v>297093.26057544228</v>
      </c>
      <c r="O58" s="229">
        <f>SUM(OperBgt!DW74:EH74)</f>
        <v>306006.0583927058</v>
      </c>
    </row>
    <row r="59" spans="1:15" x14ac:dyDescent="0.3">
      <c r="A59" s="198" t="str">
        <f>OperBgt!A75</f>
        <v>Ad-Valorem Taxes</v>
      </c>
      <c r="E59" s="229">
        <f ca="1">SUM(OperBgt!G75:R75)</f>
        <v>0</v>
      </c>
      <c r="F59" s="229">
        <f ca="1">SUM(OperBgt!S75:AD75)</f>
        <v>217054.10312798058</v>
      </c>
      <c r="G59" s="229">
        <f ca="1">SUM(OperBgt!AE75:AP75)</f>
        <v>338974.54635038844</v>
      </c>
      <c r="H59" s="229">
        <f ca="1">SUM(OperBgt!AQ75:BB75)</f>
        <v>384319.48329571099</v>
      </c>
      <c r="I59" s="229">
        <f ca="1">SUM(OperBgt!BC75:BN75)</f>
        <v>401565.66779458249</v>
      </c>
      <c r="J59" s="229">
        <f ca="1">SUM(OperBgt!BO75:BZ75)</f>
        <v>415932.16025144432</v>
      </c>
      <c r="K59" s="229">
        <f ca="1">SUM(OperBgt!CA75:CL75)</f>
        <v>431198.65585916443</v>
      </c>
      <c r="L59" s="229">
        <f ca="1">SUM(OperBgt!CM75:CX75)</f>
        <v>447120.64984904422</v>
      </c>
      <c r="M59" s="229">
        <f ca="1">SUM(OperBgt!CY75:DJ75)</f>
        <v>463734.86566679901</v>
      </c>
      <c r="N59" s="229">
        <f ca="1">SUM(OperBgt!DK75:DV75)</f>
        <v>481080.74523738853</v>
      </c>
      <c r="O59" s="229">
        <f ca="1">SUM(OperBgt!DW75:EH75)</f>
        <v>499200.6892495362</v>
      </c>
    </row>
    <row r="60" spans="1:15" x14ac:dyDescent="0.3">
      <c r="A60" s="198" t="str">
        <f>OperBgt!A76</f>
        <v>Insurance</v>
      </c>
      <c r="E60" s="229">
        <f>SUM(OperBgt!G76:R76)</f>
        <v>0</v>
      </c>
      <c r="F60" s="229">
        <f>SUM(OperBgt!S76:AD76)</f>
        <v>79113.934606465729</v>
      </c>
      <c r="G60" s="229">
        <f>SUM(OperBgt!AE76:AP76)</f>
        <v>123183.51765792658</v>
      </c>
      <c r="H60" s="229">
        <f>SUM(OperBgt!AQ76:BB76)</f>
        <v>126879.0231876645</v>
      </c>
      <c r="I60" s="229">
        <f>SUM(OperBgt!BC76:BN76)</f>
        <v>130685.3938832946</v>
      </c>
      <c r="J60" s="229">
        <f>SUM(OperBgt!BO76:BZ76)</f>
        <v>134605.95569979359</v>
      </c>
      <c r="K60" s="229">
        <f>SUM(OperBgt!CA76:CL76)</f>
        <v>138644.13437078756</v>
      </c>
      <c r="L60" s="229">
        <f>SUM(OperBgt!CM76:CX76)</f>
        <v>142803.45840191131</v>
      </c>
      <c r="M60" s="229">
        <f>SUM(OperBgt!CY76:DJ76)</f>
        <v>147087.56215396884</v>
      </c>
      <c r="N60" s="229">
        <f>SUM(OperBgt!DK76:DV76)</f>
        <v>151500.18901858799</v>
      </c>
      <c r="O60" s="229">
        <f>SUM(OperBgt!DW76:EH76)</f>
        <v>156045.19468914586</v>
      </c>
    </row>
    <row r="61" spans="1:15" x14ac:dyDescent="0.3">
      <c r="A61" s="198" t="str">
        <f>OperBgt!A77</f>
        <v>Management Fee</v>
      </c>
      <c r="E61" s="229">
        <f>SUM(OperBgt!G77:R77)</f>
        <v>0</v>
      </c>
      <c r="F61" s="229">
        <f>SUM(OperBgt!S77:AD77)</f>
        <v>113622.23805120389</v>
      </c>
      <c r="G61" s="229">
        <f>SUM(OperBgt!AE77:AP77)</f>
        <v>222689.44187674343</v>
      </c>
      <c r="H61" s="229">
        <f>SUM(OperBgt!AQ77:BB77)</f>
        <v>242177.64559289196</v>
      </c>
      <c r="I61" s="229">
        <f>SUM(OperBgt!BC77:BN77)</f>
        <v>251370.94042002337</v>
      </c>
      <c r="J61" s="229">
        <f>SUM(OperBgt!BO77:BZ77)</f>
        <v>260951.7756433273</v>
      </c>
      <c r="K61" s="229">
        <f>SUM(OperBgt!CA77:CL77)</f>
        <v>271520.97053356882</v>
      </c>
      <c r="L61" s="229">
        <f>SUM(OperBgt!CM77:CX77)</f>
        <v>282528.2079357456</v>
      </c>
      <c r="M61" s="229">
        <f>SUM(OperBgt!CY77:DJ77)</f>
        <v>293986.62149885978</v>
      </c>
      <c r="N61" s="229">
        <f>SUM(OperBgt!DK77:DV77)</f>
        <v>305914.85939798236</v>
      </c>
      <c r="O61" s="229">
        <f>SUM(OperBgt!DW77:EH77)</f>
        <v>318332.34537326399</v>
      </c>
    </row>
    <row r="62" spans="1:15" x14ac:dyDescent="0.3">
      <c r="A62" s="198" t="str">
        <f>OperBgt!A78</f>
        <v>Replacement Reserves</v>
      </c>
      <c r="E62" s="229">
        <f>SUM(OperBgt!G78:R78)</f>
        <v>0</v>
      </c>
      <c r="F62" s="229">
        <f>SUM(OperBgt!S78:AD78)</f>
        <v>0</v>
      </c>
      <c r="G62" s="229">
        <f>SUM(OperBgt!AE78:AP78)</f>
        <v>51900.96842469633</v>
      </c>
      <c r="H62" s="229">
        <f>SUM(OperBgt!AQ78:BB78)</f>
        <v>58201.386783332346</v>
      </c>
      <c r="I62" s="229">
        <f>SUM(OperBgt!BC78:BN78)</f>
        <v>59947.428386832391</v>
      </c>
      <c r="J62" s="229">
        <f>SUM(OperBgt!BO78:BZ78)</f>
        <v>61745.851238437419</v>
      </c>
      <c r="K62" s="229">
        <f>SUM(OperBgt!CA78:CL78)</f>
        <v>63598.226775590614</v>
      </c>
      <c r="L62" s="229">
        <f>SUM(OperBgt!CM78:CX78)</f>
        <v>65506.17357885839</v>
      </c>
      <c r="M62" s="229">
        <f>SUM(OperBgt!CY78:DJ78)</f>
        <v>67471.358786224169</v>
      </c>
      <c r="N62" s="229">
        <f>SUM(OperBgt!DK78:DV78)</f>
        <v>69495.499549810993</v>
      </c>
      <c r="O62" s="229">
        <f>SUM(OperBgt!DW78:EH78)</f>
        <v>71580.364536305424</v>
      </c>
    </row>
    <row r="63" spans="1:15" x14ac:dyDescent="0.3">
      <c r="A63" t="str">
        <f>'Operating Inputs'!A129</f>
        <v>Other Non-Controllable Expense</v>
      </c>
      <c r="E63" s="229">
        <f>SUM(OperBgt!G79:R79)</f>
        <v>0</v>
      </c>
      <c r="F63" s="229">
        <f>SUM(OperBgt!S79:AD79)</f>
        <v>251.94644866357407</v>
      </c>
      <c r="G63" s="229">
        <f>SUM(OperBgt!AE79:AP79)</f>
        <v>282.53100380258377</v>
      </c>
      <c r="H63" s="229">
        <f>SUM(OperBgt!AQ79:BB79)</f>
        <v>291.00693391666164</v>
      </c>
      <c r="I63" s="229">
        <f>SUM(OperBgt!BC79:BN79)</f>
        <v>299.73714193416185</v>
      </c>
      <c r="J63" s="229">
        <f>SUM(OperBgt!BO79:BZ79)</f>
        <v>308.72925619218705</v>
      </c>
      <c r="K63" s="229">
        <f>SUM(OperBgt!CA79:CL79)</f>
        <v>317.99113387795296</v>
      </c>
      <c r="L63" s="229">
        <f>SUM(OperBgt!CM79:CX79)</f>
        <v>327.53086789429187</v>
      </c>
      <c r="M63" s="229">
        <f>SUM(OperBgt!CY79:DJ79)</f>
        <v>337.35679393112093</v>
      </c>
      <c r="N63" s="229">
        <f>SUM(OperBgt!DK79:DV79)</f>
        <v>347.47749774905486</v>
      </c>
      <c r="O63" s="229">
        <f>SUM(OperBgt!DW79:EH79)</f>
        <v>357.90182268152688</v>
      </c>
    </row>
    <row r="64" spans="1:15" x14ac:dyDescent="0.3">
      <c r="A64" s="663" t="str">
        <f>OperBgt!A80</f>
        <v>Total Operating Expenses</v>
      </c>
      <c r="B64" s="246"/>
      <c r="C64" s="246"/>
      <c r="D64" s="246"/>
      <c r="E64" s="247">
        <f ca="1">SUM(OperBgt!G80:R80)</f>
        <v>0</v>
      </c>
      <c r="F64" s="247">
        <f ca="1">SUM(OperBgt!S80:AD80)</f>
        <v>1518058.9894323349</v>
      </c>
      <c r="G64" s="247">
        <f ca="1">SUM(OperBgt!AE80:AP80)</f>
        <v>2119930.8919950258</v>
      </c>
      <c r="H64" s="247">
        <f ca="1">SUM(OperBgt!AQ80:BB80)</f>
        <v>2247405.750804408</v>
      </c>
      <c r="I64" s="247">
        <f ca="1">SUM(OperBgt!BC80:BN80)</f>
        <v>2322472.4887878867</v>
      </c>
      <c r="J64" s="247">
        <f ca="1">SUM(OperBgt!BO80:BZ80)</f>
        <v>2396505.8928852528</v>
      </c>
      <c r="K64" s="247">
        <f ca="1">SUM(OperBgt!CA80:CL80)</f>
        <v>2473930.2420929312</v>
      </c>
      <c r="L64" s="247">
        <f ca="1">SUM(OperBgt!CM80:CX80)</f>
        <v>2553995.7919559949</v>
      </c>
      <c r="M64" s="247">
        <f ca="1">SUM(OperBgt!CY80:DJ80)</f>
        <v>2636798.8293620027</v>
      </c>
      <c r="N64" s="247">
        <f ca="1">SUM(OperBgt!DK80:DV80)</f>
        <v>2722445.2670976068</v>
      </c>
      <c r="O64" s="247">
        <f ca="1">SUM(OperBgt!DW80:EH80)</f>
        <v>2811046.1869589053</v>
      </c>
    </row>
    <row r="65" spans="1:15" ht="15" thickBot="1" x14ac:dyDescent="0.35">
      <c r="A65" s="271" t="str">
        <f>OperBgt!A81</f>
        <v>NET OPERATING INCOME</v>
      </c>
      <c r="B65" s="256"/>
      <c r="C65" s="256"/>
      <c r="D65" s="256"/>
      <c r="E65" s="258">
        <f ca="1">SUM(OperBgt!G81:R81)</f>
        <v>0</v>
      </c>
      <c r="F65" s="258">
        <f ca="1">SUM(OperBgt!S81:AD81)</f>
        <v>486603.63326172775</v>
      </c>
      <c r="G65" s="258">
        <f ca="1">SUM(OperBgt!AE81:AP81)</f>
        <v>5303050.5038964218</v>
      </c>
      <c r="H65" s="258">
        <f ca="1">SUM(OperBgt!AQ81:BB81)</f>
        <v>5825182.4356253222</v>
      </c>
      <c r="I65" s="258">
        <f ca="1">SUM(OperBgt!BC81:BN81)</f>
        <v>6056558.8585462254</v>
      </c>
      <c r="J65" s="258">
        <f ca="1">SUM(OperBgt!BO81:BZ81)</f>
        <v>6301886.6285589896</v>
      </c>
      <c r="K65" s="258">
        <f ca="1">SUM(OperBgt!CA81:CL81)</f>
        <v>6576768.7756926967</v>
      </c>
      <c r="L65" s="258">
        <f ca="1">SUM(OperBgt!CM81:CX81)</f>
        <v>6863611.1392355235</v>
      </c>
      <c r="M65" s="258">
        <f ca="1">SUM(OperBgt!CY81:DJ81)</f>
        <v>7162755.2205999922</v>
      </c>
      <c r="N65" s="258">
        <f ca="1">SUM(OperBgt!DK81:DV81)</f>
        <v>7474716.7128351387</v>
      </c>
      <c r="O65" s="258">
        <f ca="1">SUM(OperBgt!DW81:EH81)</f>
        <v>7800031.992149896</v>
      </c>
    </row>
    <row r="66" spans="1:15" ht="15" thickTop="1" x14ac:dyDescent="0.3">
      <c r="A66" s="279" t="s">
        <v>268</v>
      </c>
      <c r="B66" s="273"/>
      <c r="C66" s="273"/>
      <c r="D66" s="273"/>
      <c r="E66" s="279">
        <f t="shared" ref="E66:O66" ca="1" si="5">E65/TotalProjectCost</f>
        <v>0</v>
      </c>
      <c r="F66" s="279">
        <f t="shared" ca="1" si="5"/>
        <v>6.241739071572985E-3</v>
      </c>
      <c r="G66" s="279">
        <f t="shared" ca="1" si="5"/>
        <v>6.8023038189876359E-2</v>
      </c>
      <c r="H66" s="279">
        <f t="shared" ca="1" si="5"/>
        <v>7.4720504168383037E-2</v>
      </c>
      <c r="I66" s="279">
        <f t="shared" ca="1" si="5"/>
        <v>7.7688404858942434E-2</v>
      </c>
      <c r="J66" s="279">
        <f t="shared" ca="1" si="5"/>
        <v>8.0835261607969056E-2</v>
      </c>
      <c r="K66" s="279">
        <f t="shared" ca="1" si="5"/>
        <v>8.4361216863053423E-2</v>
      </c>
      <c r="L66" s="279">
        <f t="shared" ca="1" si="5"/>
        <v>8.8040587639441781E-2</v>
      </c>
      <c r="M66" s="279">
        <f t="shared" ca="1" si="5"/>
        <v>9.1877754427874131E-2</v>
      </c>
      <c r="N66" s="279">
        <f t="shared" ca="1" si="5"/>
        <v>9.5879332101797915E-2</v>
      </c>
      <c r="O66" s="279">
        <f t="shared" ca="1" si="5"/>
        <v>0.10005220084070937</v>
      </c>
    </row>
    <row r="67" spans="1:15" ht="15" thickBot="1" x14ac:dyDescent="0.35">
      <c r="E67" s="229"/>
      <c r="F67" s="229"/>
      <c r="G67" s="229"/>
      <c r="H67" s="229"/>
      <c r="I67" s="229"/>
      <c r="J67" s="229"/>
      <c r="K67" s="229"/>
      <c r="L67" s="229"/>
      <c r="M67" s="229"/>
      <c r="N67" s="229"/>
      <c r="O67" s="229"/>
    </row>
    <row r="68" spans="1:15" ht="15" thickTop="1" x14ac:dyDescent="0.3">
      <c r="A68" s="125" t="str">
        <f>OperBgt!A84</f>
        <v>LEASE TURNOVER (BMR)</v>
      </c>
      <c r="B68" s="142"/>
      <c r="C68" s="143"/>
      <c r="D68" s="657"/>
      <c r="E68" s="322"/>
      <c r="F68" s="322"/>
      <c r="G68" s="322"/>
      <c r="H68" s="322"/>
      <c r="I68" s="322"/>
      <c r="J68" s="322"/>
      <c r="K68" s="322"/>
      <c r="L68" s="322"/>
      <c r="M68" s="322"/>
      <c r="N68" s="322"/>
      <c r="O68" s="322"/>
    </row>
    <row r="69" spans="1:15" x14ac:dyDescent="0.3">
      <c r="A69" t="str">
        <f>OperBgt!A85</f>
        <v>Beginning Occupied Units</v>
      </c>
      <c r="E69" s="229">
        <f>OperBgt!G85</f>
        <v>0</v>
      </c>
      <c r="F69" s="229">
        <f>OperBgt!S85</f>
        <v>0</v>
      </c>
      <c r="G69" s="229">
        <f>OperBgt!AE85</f>
        <v>0</v>
      </c>
      <c r="H69" s="229">
        <f>OperBgt!AQ85</f>
        <v>0</v>
      </c>
      <c r="I69" s="229">
        <f>OperBgt!BC85</f>
        <v>0</v>
      </c>
      <c r="J69" s="229">
        <f>OperBgt!BO85</f>
        <v>0</v>
      </c>
      <c r="K69" s="229">
        <f>OperBgt!CA85</f>
        <v>0</v>
      </c>
      <c r="L69" s="229">
        <f>OperBgt!CM85</f>
        <v>0</v>
      </c>
      <c r="M69" s="229">
        <f>OperBgt!CY85</f>
        <v>0</v>
      </c>
      <c r="N69" s="229">
        <f>OperBgt!DK85</f>
        <v>0</v>
      </c>
      <c r="O69" s="229">
        <f>OperBgt!DW85</f>
        <v>0</v>
      </c>
    </row>
    <row r="70" spans="1:15" x14ac:dyDescent="0.3">
      <c r="A70" t="str">
        <f>OperBgt!A86</f>
        <v>New Leases</v>
      </c>
      <c r="E70" s="229">
        <f>SUM(OperBgt!G86:R86)</f>
        <v>0</v>
      </c>
      <c r="F70" s="229">
        <f>SUM(OperBgt!S86:AD86)</f>
        <v>0</v>
      </c>
      <c r="G70" s="229">
        <f>SUM(OperBgt!AE86:AP86)</f>
        <v>0</v>
      </c>
      <c r="H70" s="229">
        <f>SUM(OperBgt!AQ86:BB86)</f>
        <v>0</v>
      </c>
      <c r="I70" s="229">
        <f>SUM(OperBgt!BC86:BN86)</f>
        <v>0</v>
      </c>
      <c r="J70" s="229">
        <f>SUM(OperBgt!BO86:BZ86)</f>
        <v>0</v>
      </c>
      <c r="K70" s="229">
        <f>SUM(OperBgt!CA86:CL86)</f>
        <v>0</v>
      </c>
      <c r="L70" s="229">
        <f>SUM(OperBgt!CM86:CX86)</f>
        <v>0</v>
      </c>
      <c r="M70" s="229">
        <f>SUM(OperBgt!CY86:DJ86)</f>
        <v>0</v>
      </c>
      <c r="N70" s="229">
        <f>SUM(OperBgt!DK86:DV86)</f>
        <v>0</v>
      </c>
      <c r="O70" s="229">
        <f>SUM(OperBgt!DW86:EH86)</f>
        <v>0</v>
      </c>
    </row>
    <row r="71" spans="1:15" x14ac:dyDescent="0.3">
      <c r="A71" t="str">
        <f>OperBgt!A87</f>
        <v>Total Expirations</v>
      </c>
      <c r="E71" s="229">
        <f>SUM(OperBgt!G87:R87)</f>
        <v>0</v>
      </c>
      <c r="F71" s="229">
        <f>SUM(OperBgt!S87:AD87)</f>
        <v>0</v>
      </c>
      <c r="G71" s="229">
        <f>SUM(OperBgt!AE87:AP87)</f>
        <v>0</v>
      </c>
      <c r="H71" s="229">
        <f>SUM(OperBgt!AQ87:BB87)</f>
        <v>0</v>
      </c>
      <c r="I71" s="229">
        <f>SUM(OperBgt!BC87:BN87)</f>
        <v>0</v>
      </c>
      <c r="J71" s="229">
        <f>SUM(OperBgt!BO87:BZ87)</f>
        <v>0</v>
      </c>
      <c r="K71" s="229">
        <f>SUM(OperBgt!CA87:CL87)</f>
        <v>0</v>
      </c>
      <c r="L71" s="229">
        <f>SUM(OperBgt!CM87:CX87)</f>
        <v>0</v>
      </c>
      <c r="M71" s="229">
        <f>SUM(OperBgt!CY87:DJ87)</f>
        <v>0</v>
      </c>
      <c r="N71" s="229">
        <f>SUM(OperBgt!DK87:DV87)</f>
        <v>0</v>
      </c>
      <c r="O71" s="229">
        <f>SUM(OperBgt!DW87:EH87)</f>
        <v>0</v>
      </c>
    </row>
    <row r="72" spans="1:15" x14ac:dyDescent="0.3">
      <c r="A72" t="str">
        <f>OperBgt!A88</f>
        <v>Move outs</v>
      </c>
      <c r="E72" s="229">
        <f>SUM(OperBgt!G88:R88)</f>
        <v>0</v>
      </c>
      <c r="F72" s="229">
        <f>SUM(OperBgt!S88:AD88)</f>
        <v>0</v>
      </c>
      <c r="G72" s="229">
        <f>SUM(OperBgt!AE88:AP88)</f>
        <v>0</v>
      </c>
      <c r="H72" s="229">
        <f>SUM(OperBgt!AQ88:BB88)</f>
        <v>0</v>
      </c>
      <c r="I72" s="229">
        <f>SUM(OperBgt!BC88:BN88)</f>
        <v>0</v>
      </c>
      <c r="J72" s="229">
        <f>SUM(OperBgt!BO88:BZ88)</f>
        <v>0</v>
      </c>
      <c r="K72" s="229">
        <f>SUM(OperBgt!CA88:CL88)</f>
        <v>0</v>
      </c>
      <c r="L72" s="229">
        <f>SUM(OperBgt!CM88:CX88)</f>
        <v>0</v>
      </c>
      <c r="M72" s="229">
        <f>SUM(OperBgt!CY88:DJ88)</f>
        <v>0</v>
      </c>
      <c r="N72" s="229">
        <f>SUM(OperBgt!DK88:DV88)</f>
        <v>0</v>
      </c>
      <c r="O72" s="229">
        <f>SUM(OperBgt!DW88:EH88)</f>
        <v>0</v>
      </c>
    </row>
    <row r="73" spans="1:15" x14ac:dyDescent="0.3">
      <c r="A73" t="str">
        <f>OperBgt!A89</f>
        <v>Initial Lease-Up</v>
      </c>
      <c r="E73" s="229">
        <f>SUM(OperBgt!G89:R89)</f>
        <v>0</v>
      </c>
      <c r="F73" s="229">
        <f>SUM(OperBgt!S89:AD89)</f>
        <v>0</v>
      </c>
      <c r="G73" s="229">
        <f>SUM(OperBgt!AE89:AP89)</f>
        <v>0</v>
      </c>
      <c r="H73" s="229">
        <f>SUM(OperBgt!AQ89:BB89)</f>
        <v>0</v>
      </c>
      <c r="I73" s="229">
        <f>SUM(OperBgt!BC89:BN89)</f>
        <v>0</v>
      </c>
      <c r="J73" s="229">
        <f>SUM(OperBgt!BO89:BZ89)</f>
        <v>0</v>
      </c>
      <c r="K73" s="229">
        <f>SUM(OperBgt!CA89:CL89)</f>
        <v>0</v>
      </c>
      <c r="L73" s="229">
        <f>SUM(OperBgt!CM89:CX89)</f>
        <v>0</v>
      </c>
      <c r="M73" s="229">
        <f>SUM(OperBgt!CY89:DJ89)</f>
        <v>0</v>
      </c>
      <c r="N73" s="229">
        <f>SUM(OperBgt!DK89:DV89)</f>
        <v>0</v>
      </c>
      <c r="O73" s="229">
        <f>SUM(OperBgt!DW89:EH89)</f>
        <v>0</v>
      </c>
    </row>
    <row r="74" spans="1:15" ht="15" thickBot="1" x14ac:dyDescent="0.35">
      <c r="A74" s="248" t="str">
        <f>OperBgt!A90</f>
        <v>Ending Occupied Units</v>
      </c>
      <c r="B74" s="248"/>
      <c r="C74" s="248"/>
      <c r="D74" s="248"/>
      <c r="E74" s="249">
        <f>OperBgt!R90</f>
        <v>0</v>
      </c>
      <c r="F74" s="249">
        <f>OperBgt!AD90</f>
        <v>0</v>
      </c>
      <c r="G74" s="249">
        <f>OperBgt!AP90</f>
        <v>0</v>
      </c>
      <c r="H74" s="249">
        <f>OperBgt!BB90</f>
        <v>0</v>
      </c>
      <c r="I74" s="249">
        <f>OperBgt!BN90</f>
        <v>0</v>
      </c>
      <c r="J74" s="249">
        <f>OperBgt!BZ90</f>
        <v>0</v>
      </c>
      <c r="K74" s="249">
        <f>OperBgt!CL90</f>
        <v>0</v>
      </c>
      <c r="L74" s="249">
        <f>OperBgt!CX90</f>
        <v>0</v>
      </c>
      <c r="M74" s="249">
        <f>OperBgt!DJ90</f>
        <v>0</v>
      </c>
      <c r="N74" s="249">
        <f>OperBgt!DV90</f>
        <v>0</v>
      </c>
      <c r="O74" s="249">
        <f>OperBgt!EH90</f>
        <v>0</v>
      </c>
    </row>
    <row r="75" spans="1:15" ht="7.5" customHeight="1" thickTop="1" thickBot="1" x14ac:dyDescent="0.35">
      <c r="E75" s="229"/>
      <c r="F75" s="229"/>
      <c r="G75" s="229"/>
      <c r="H75" s="229"/>
      <c r="I75" s="229"/>
      <c r="J75" s="229"/>
      <c r="K75" s="229"/>
      <c r="L75" s="229"/>
      <c r="M75" s="229"/>
      <c r="N75" s="229"/>
      <c r="O75" s="229"/>
    </row>
    <row r="76" spans="1:15" ht="15" thickTop="1" x14ac:dyDescent="0.3">
      <c r="A76" s="125" t="str">
        <f>OperBgt!A92</f>
        <v>LOSS -TO-LEASE (BMR)</v>
      </c>
      <c r="B76" s="142"/>
      <c r="C76" s="143"/>
      <c r="D76" s="657"/>
      <c r="E76" s="322"/>
      <c r="F76" s="322"/>
      <c r="G76" s="322"/>
      <c r="H76" s="322"/>
      <c r="I76" s="322"/>
      <c r="J76" s="322"/>
      <c r="K76" s="322"/>
      <c r="L76" s="322"/>
      <c r="M76" s="322"/>
      <c r="N76" s="322"/>
      <c r="O76" s="322"/>
    </row>
    <row r="77" spans="1:15" x14ac:dyDescent="0.3">
      <c r="A77">
        <f>OperBgt!A93</f>
        <v>1</v>
      </c>
      <c r="E77" s="227">
        <f>SUM(OperBgt!G93:R93)</f>
        <v>0</v>
      </c>
      <c r="F77" s="227">
        <f>SUM(OperBgt!S93:AD93)</f>
        <v>0</v>
      </c>
      <c r="G77" s="227">
        <f>SUM(OperBgt!AE93:AP93)</f>
        <v>0</v>
      </c>
      <c r="H77" s="227">
        <f>SUM(OperBgt!AQ93:BB93)</f>
        <v>0</v>
      </c>
      <c r="I77" s="227">
        <f>SUM(OperBgt!BC93:BN93)</f>
        <v>0</v>
      </c>
      <c r="J77" s="227">
        <f>SUM(OperBgt!BO93:BZ93)</f>
        <v>0</v>
      </c>
      <c r="K77" s="227">
        <f>SUM(OperBgt!CA93:CL93)</f>
        <v>0</v>
      </c>
      <c r="L77" s="227">
        <f>SUM(OperBgt!CM93:CX93)</f>
        <v>0</v>
      </c>
      <c r="M77" s="227">
        <f>SUM(OperBgt!CY93:DJ93)</f>
        <v>0</v>
      </c>
      <c r="N77" s="227">
        <f>SUM(OperBgt!DK93:DV93)</f>
        <v>0</v>
      </c>
      <c r="O77" s="227">
        <f>SUM(OperBgt!DW93:EH93)</f>
        <v>0</v>
      </c>
    </row>
    <row r="78" spans="1:15" x14ac:dyDescent="0.3">
      <c r="A78">
        <f>OperBgt!A94</f>
        <v>2</v>
      </c>
      <c r="E78" s="229">
        <f>SUM(OperBgt!G94:R94)</f>
        <v>0</v>
      </c>
      <c r="F78" s="229">
        <f>SUM(OperBgt!S94:AD94)</f>
        <v>0</v>
      </c>
      <c r="G78" s="229">
        <f>SUM(OperBgt!AE94:AP94)</f>
        <v>0</v>
      </c>
      <c r="H78" s="229">
        <f>SUM(OperBgt!AQ94:BB94)</f>
        <v>0</v>
      </c>
      <c r="I78" s="229">
        <f>SUM(OperBgt!BC94:BN94)</f>
        <v>0</v>
      </c>
      <c r="J78" s="229">
        <f>SUM(OperBgt!BO94:BZ94)</f>
        <v>0</v>
      </c>
      <c r="K78" s="229">
        <f>SUM(OperBgt!CA94:CL94)</f>
        <v>0</v>
      </c>
      <c r="L78" s="229">
        <f>SUM(OperBgt!CM94:CX94)</f>
        <v>0</v>
      </c>
      <c r="M78" s="229">
        <f>SUM(OperBgt!CY94:DJ94)</f>
        <v>0</v>
      </c>
      <c r="N78" s="229">
        <f>SUM(OperBgt!DK94:DV94)</f>
        <v>0</v>
      </c>
      <c r="O78" s="229">
        <f>SUM(OperBgt!DW94:EH94)</f>
        <v>0</v>
      </c>
    </row>
    <row r="79" spans="1:15" x14ac:dyDescent="0.3">
      <c r="A79">
        <f>OperBgt!A95</f>
        <v>3</v>
      </c>
      <c r="E79" s="229">
        <f>SUM(OperBgt!G95:R95)</f>
        <v>0</v>
      </c>
      <c r="F79" s="229">
        <f>SUM(OperBgt!S95:AD95)</f>
        <v>0</v>
      </c>
      <c r="G79" s="229">
        <f>SUM(OperBgt!AE95:AP95)</f>
        <v>0</v>
      </c>
      <c r="H79" s="229">
        <f>SUM(OperBgt!AQ95:BB95)</f>
        <v>0</v>
      </c>
      <c r="I79" s="229">
        <f>SUM(OperBgt!BC95:BN95)</f>
        <v>0</v>
      </c>
      <c r="J79" s="229">
        <f>SUM(OperBgt!BO95:BZ95)</f>
        <v>0</v>
      </c>
      <c r="K79" s="229">
        <f>SUM(OperBgt!CA95:CL95)</f>
        <v>0</v>
      </c>
      <c r="L79" s="229">
        <f>SUM(OperBgt!CM95:CX95)</f>
        <v>0</v>
      </c>
      <c r="M79" s="229">
        <f>SUM(OperBgt!CY95:DJ95)</f>
        <v>0</v>
      </c>
      <c r="N79" s="229">
        <f>SUM(OperBgt!DK95:DV95)</f>
        <v>0</v>
      </c>
      <c r="O79" s="229">
        <f>SUM(OperBgt!DW95:EH95)</f>
        <v>0</v>
      </c>
    </row>
    <row r="80" spans="1:15" x14ac:dyDescent="0.3">
      <c r="A80">
        <f>OperBgt!A96</f>
        <v>4</v>
      </c>
      <c r="E80" s="229">
        <f>SUM(OperBgt!G96:R96)</f>
        <v>0</v>
      </c>
      <c r="F80" s="229">
        <f>SUM(OperBgt!S96:AD96)</f>
        <v>0</v>
      </c>
      <c r="G80" s="229">
        <f>SUM(OperBgt!AE96:AP96)</f>
        <v>0</v>
      </c>
      <c r="H80" s="229">
        <f>SUM(OperBgt!AQ96:BB96)</f>
        <v>0</v>
      </c>
      <c r="I80" s="229">
        <f>SUM(OperBgt!BC96:BN96)</f>
        <v>0</v>
      </c>
      <c r="J80" s="229">
        <f>SUM(OperBgt!BO96:BZ96)</f>
        <v>0</v>
      </c>
      <c r="K80" s="229">
        <f>SUM(OperBgt!CA96:CL96)</f>
        <v>0</v>
      </c>
      <c r="L80" s="229">
        <f>SUM(OperBgt!CM96:CX96)</f>
        <v>0</v>
      </c>
      <c r="M80" s="229">
        <f>SUM(OperBgt!CY96:DJ96)</f>
        <v>0</v>
      </c>
      <c r="N80" s="229">
        <f>SUM(OperBgt!DK96:DV96)</f>
        <v>0</v>
      </c>
      <c r="O80" s="229">
        <f>SUM(OperBgt!DW96:EH96)</f>
        <v>0</v>
      </c>
    </row>
    <row r="81" spans="1:15" x14ac:dyDescent="0.3">
      <c r="A81">
        <f>OperBgt!A97</f>
        <v>5</v>
      </c>
      <c r="E81" s="229">
        <f>SUM(OperBgt!G97:R97)</f>
        <v>0</v>
      </c>
      <c r="F81" s="229">
        <f>SUM(OperBgt!S97:AD97)</f>
        <v>0</v>
      </c>
      <c r="G81" s="229">
        <f>SUM(OperBgt!AE97:AP97)</f>
        <v>0</v>
      </c>
      <c r="H81" s="229">
        <f>SUM(OperBgt!AQ97:BB97)</f>
        <v>0</v>
      </c>
      <c r="I81" s="229">
        <f>SUM(OperBgt!BC97:BN97)</f>
        <v>0</v>
      </c>
      <c r="J81" s="229">
        <f>SUM(OperBgt!BO97:BZ97)</f>
        <v>0</v>
      </c>
      <c r="K81" s="229">
        <f>SUM(OperBgt!CA97:CL97)</f>
        <v>0</v>
      </c>
      <c r="L81" s="229">
        <f>SUM(OperBgt!CM97:CX97)</f>
        <v>0</v>
      </c>
      <c r="M81" s="229">
        <f>SUM(OperBgt!CY97:DJ97)</f>
        <v>0</v>
      </c>
      <c r="N81" s="229">
        <f>SUM(OperBgt!DK97:DV97)</f>
        <v>0</v>
      </c>
      <c r="O81" s="229">
        <f>SUM(OperBgt!DW97:EH97)</f>
        <v>0</v>
      </c>
    </row>
    <row r="82" spans="1:15" x14ac:dyDescent="0.3">
      <c r="A82">
        <f>OperBgt!A98</f>
        <v>6</v>
      </c>
      <c r="E82" s="229">
        <f>SUM(OperBgt!G98:R98)</f>
        <v>0</v>
      </c>
      <c r="F82" s="229">
        <f>SUM(OperBgt!S98:AD98)</f>
        <v>0</v>
      </c>
      <c r="G82" s="229">
        <f>SUM(OperBgt!AE98:AP98)</f>
        <v>0</v>
      </c>
      <c r="H82" s="229">
        <f>SUM(OperBgt!AQ98:BB98)</f>
        <v>0</v>
      </c>
      <c r="I82" s="229">
        <f>SUM(OperBgt!BC98:BN98)</f>
        <v>0</v>
      </c>
      <c r="J82" s="229">
        <f>SUM(OperBgt!BO98:BZ98)</f>
        <v>0</v>
      </c>
      <c r="K82" s="229">
        <f>SUM(OperBgt!CA98:CL98)</f>
        <v>0</v>
      </c>
      <c r="L82" s="229">
        <f>SUM(OperBgt!CM98:CX98)</f>
        <v>0</v>
      </c>
      <c r="M82" s="229">
        <f>SUM(OperBgt!CY98:DJ98)</f>
        <v>0</v>
      </c>
      <c r="N82" s="229">
        <f>SUM(OperBgt!DK98:DV98)</f>
        <v>0</v>
      </c>
      <c r="O82" s="229">
        <f>SUM(OperBgt!DW98:EH98)</f>
        <v>0</v>
      </c>
    </row>
    <row r="83" spans="1:15" x14ac:dyDescent="0.3">
      <c r="A83">
        <f>OperBgt!A99</f>
        <v>7</v>
      </c>
      <c r="E83" s="229">
        <f>SUM(OperBgt!G99:R99)</f>
        <v>0</v>
      </c>
      <c r="F83" s="229">
        <f>SUM(OperBgt!S99:AD99)</f>
        <v>0</v>
      </c>
      <c r="G83" s="229">
        <f>SUM(OperBgt!AE99:AP99)</f>
        <v>0</v>
      </c>
      <c r="H83" s="229">
        <f>SUM(OperBgt!AQ99:BB99)</f>
        <v>0</v>
      </c>
      <c r="I83" s="229">
        <f>SUM(OperBgt!BC99:BN99)</f>
        <v>0</v>
      </c>
      <c r="J83" s="229">
        <f>SUM(OperBgt!BO99:BZ99)</f>
        <v>0</v>
      </c>
      <c r="K83" s="229">
        <f>SUM(OperBgt!CA99:CL99)</f>
        <v>0</v>
      </c>
      <c r="L83" s="229">
        <f>SUM(OperBgt!CM99:CX99)</f>
        <v>0</v>
      </c>
      <c r="M83" s="229">
        <f>SUM(OperBgt!CY99:DJ99)</f>
        <v>0</v>
      </c>
      <c r="N83" s="229">
        <f>SUM(OperBgt!DK99:DV99)</f>
        <v>0</v>
      </c>
      <c r="O83" s="229">
        <f>SUM(OperBgt!DW99:EH99)</f>
        <v>0</v>
      </c>
    </row>
    <row r="84" spans="1:15" x14ac:dyDescent="0.3">
      <c r="A84">
        <f>OperBgt!A100</f>
        <v>8</v>
      </c>
      <c r="E84" s="229">
        <f>SUM(OperBgt!G100:R100)</f>
        <v>0</v>
      </c>
      <c r="F84" s="229">
        <f>SUM(OperBgt!S100:AD100)</f>
        <v>0</v>
      </c>
      <c r="G84" s="229">
        <f>SUM(OperBgt!AE100:AP100)</f>
        <v>0</v>
      </c>
      <c r="H84" s="229">
        <f>SUM(OperBgt!AQ100:BB100)</f>
        <v>0</v>
      </c>
      <c r="I84" s="229">
        <f>SUM(OperBgt!BC100:BN100)</f>
        <v>0</v>
      </c>
      <c r="J84" s="229">
        <f>SUM(OperBgt!BO100:BZ100)</f>
        <v>0</v>
      </c>
      <c r="K84" s="229">
        <f>SUM(OperBgt!CA100:CL100)</f>
        <v>0</v>
      </c>
      <c r="L84" s="229">
        <f>SUM(OperBgt!CM100:CX100)</f>
        <v>0</v>
      </c>
      <c r="M84" s="229">
        <f>SUM(OperBgt!CY100:DJ100)</f>
        <v>0</v>
      </c>
      <c r="N84" s="229">
        <f>SUM(OperBgt!DK100:DV100)</f>
        <v>0</v>
      </c>
      <c r="O84" s="229">
        <f>SUM(OperBgt!DW100:EH100)</f>
        <v>0</v>
      </c>
    </row>
    <row r="85" spans="1:15" x14ac:dyDescent="0.3">
      <c r="A85">
        <f>OperBgt!A101</f>
        <v>9</v>
      </c>
      <c r="E85" s="229">
        <f>SUM(OperBgt!G101:R101)</f>
        <v>0</v>
      </c>
      <c r="F85" s="229">
        <f>SUM(OperBgt!S101:AD101)</f>
        <v>0</v>
      </c>
      <c r="G85" s="229">
        <f>SUM(OperBgt!AE101:AP101)</f>
        <v>0</v>
      </c>
      <c r="H85" s="229">
        <f>SUM(OperBgt!AQ101:BB101)</f>
        <v>0</v>
      </c>
      <c r="I85" s="229">
        <f>SUM(OperBgt!BC101:BN101)</f>
        <v>0</v>
      </c>
      <c r="J85" s="229">
        <f>SUM(OperBgt!BO101:BZ101)</f>
        <v>0</v>
      </c>
      <c r="K85" s="229">
        <f>SUM(OperBgt!CA101:CL101)</f>
        <v>0</v>
      </c>
      <c r="L85" s="229">
        <f>SUM(OperBgt!CM101:CX101)</f>
        <v>0</v>
      </c>
      <c r="M85" s="229">
        <f>SUM(OperBgt!CY101:DJ101)</f>
        <v>0</v>
      </c>
      <c r="N85" s="229">
        <f>SUM(OperBgt!DK101:DV101)</f>
        <v>0</v>
      </c>
      <c r="O85" s="229">
        <f>SUM(OperBgt!DW101:EH101)</f>
        <v>0</v>
      </c>
    </row>
    <row r="86" spans="1:15" x14ac:dyDescent="0.3">
      <c r="A86">
        <f>OperBgt!A102</f>
        <v>10</v>
      </c>
      <c r="E86" s="229">
        <f>SUM(OperBgt!G102:R102)</f>
        <v>0</v>
      </c>
      <c r="F86" s="229">
        <f>SUM(OperBgt!S102:AD102)</f>
        <v>0</v>
      </c>
      <c r="G86" s="229">
        <f>SUM(OperBgt!AE102:AP102)</f>
        <v>0</v>
      </c>
      <c r="H86" s="229">
        <f>SUM(OperBgt!AQ102:BB102)</f>
        <v>0</v>
      </c>
      <c r="I86" s="229">
        <f>SUM(OperBgt!BC102:BN102)</f>
        <v>0</v>
      </c>
      <c r="J86" s="229">
        <f>SUM(OperBgt!BO102:BZ102)</f>
        <v>0</v>
      </c>
      <c r="K86" s="229">
        <f>SUM(OperBgt!CA102:CL102)</f>
        <v>0</v>
      </c>
      <c r="L86" s="229">
        <f>SUM(OperBgt!CM102:CX102)</f>
        <v>0</v>
      </c>
      <c r="M86" s="229">
        <f>SUM(OperBgt!CY102:DJ102)</f>
        <v>0</v>
      </c>
      <c r="N86" s="229">
        <f>SUM(OperBgt!DK102:DV102)</f>
        <v>0</v>
      </c>
      <c r="O86" s="229">
        <f>SUM(OperBgt!DW102:EH102)</f>
        <v>0</v>
      </c>
    </row>
    <row r="87" spans="1:15" x14ac:dyDescent="0.3">
      <c r="A87">
        <f>OperBgt!A103</f>
        <v>11</v>
      </c>
      <c r="E87" s="229">
        <f>SUM(OperBgt!G103:R103)</f>
        <v>0</v>
      </c>
      <c r="F87" s="229">
        <f>SUM(OperBgt!S103:AD103)</f>
        <v>0</v>
      </c>
      <c r="G87" s="229">
        <f>SUM(OperBgt!AE103:AP103)</f>
        <v>0</v>
      </c>
      <c r="H87" s="229">
        <f>SUM(OperBgt!AQ103:BB103)</f>
        <v>0</v>
      </c>
      <c r="I87" s="229">
        <f>SUM(OperBgt!BC103:BN103)</f>
        <v>0</v>
      </c>
      <c r="J87" s="229">
        <f>SUM(OperBgt!BO103:BZ103)</f>
        <v>0</v>
      </c>
      <c r="K87" s="229">
        <f>SUM(OperBgt!CA103:CL103)</f>
        <v>0</v>
      </c>
      <c r="L87" s="229">
        <f>SUM(OperBgt!CM103:CX103)</f>
        <v>0</v>
      </c>
      <c r="M87" s="229">
        <f>SUM(OperBgt!CY103:DJ103)</f>
        <v>0</v>
      </c>
      <c r="N87" s="229">
        <f>SUM(OperBgt!DK103:DV103)</f>
        <v>0</v>
      </c>
      <c r="O87" s="229">
        <f>SUM(OperBgt!DW103:EH103)</f>
        <v>0</v>
      </c>
    </row>
    <row r="88" spans="1:15" x14ac:dyDescent="0.3">
      <c r="A88">
        <f>OperBgt!A104</f>
        <v>12</v>
      </c>
      <c r="E88" s="229">
        <f>SUM(OperBgt!G104:R104)</f>
        <v>0</v>
      </c>
      <c r="F88" s="229">
        <f>SUM(OperBgt!S104:AD104)</f>
        <v>0</v>
      </c>
      <c r="G88" s="229">
        <f>SUM(OperBgt!AE104:AP104)</f>
        <v>0</v>
      </c>
      <c r="H88" s="229">
        <f>SUM(OperBgt!AQ104:BB104)</f>
        <v>0</v>
      </c>
      <c r="I88" s="229">
        <f>SUM(OperBgt!BC104:BN104)</f>
        <v>0</v>
      </c>
      <c r="J88" s="229">
        <f>SUM(OperBgt!BO104:BZ104)</f>
        <v>0</v>
      </c>
      <c r="K88" s="229">
        <f>SUM(OperBgt!CA104:CL104)</f>
        <v>0</v>
      </c>
      <c r="L88" s="229">
        <f>SUM(OperBgt!CM104:CX104)</f>
        <v>0</v>
      </c>
      <c r="M88" s="229">
        <f>SUM(OperBgt!CY104:DJ104)</f>
        <v>0</v>
      </c>
      <c r="N88" s="229">
        <f>SUM(OperBgt!DK104:DV104)</f>
        <v>0</v>
      </c>
      <c r="O88" s="229">
        <f>SUM(OperBgt!DW104:EH104)</f>
        <v>0</v>
      </c>
    </row>
    <row r="89" spans="1:15" ht="15" thickBot="1" x14ac:dyDescent="0.35">
      <c r="A89" s="248" t="str">
        <f>OperBgt!A105</f>
        <v>Total Loss-To-Lease (BMR Units)</v>
      </c>
      <c r="B89" s="248"/>
      <c r="C89" s="248"/>
      <c r="D89" s="248"/>
      <c r="E89" s="250">
        <f>SUM(OperBgt!G105:R105)</f>
        <v>0</v>
      </c>
      <c r="F89" s="250">
        <f>SUM(OperBgt!S105:AD105)</f>
        <v>0</v>
      </c>
      <c r="G89" s="250">
        <f>SUM(OperBgt!AE105:AP105)</f>
        <v>0</v>
      </c>
      <c r="H89" s="250">
        <f>SUM(OperBgt!AQ105:BB105)</f>
        <v>0</v>
      </c>
      <c r="I89" s="250">
        <f>SUM(OperBgt!BC105:BN105)</f>
        <v>0</v>
      </c>
      <c r="J89" s="250">
        <f>SUM(OperBgt!BO105:BZ105)</f>
        <v>0</v>
      </c>
      <c r="K89" s="250">
        <f>SUM(OperBgt!CA105:CL105)</f>
        <v>0</v>
      </c>
      <c r="L89" s="250">
        <f>SUM(OperBgt!CM105:CX105)</f>
        <v>0</v>
      </c>
      <c r="M89" s="250">
        <f>SUM(OperBgt!CY105:DJ105)</f>
        <v>0</v>
      </c>
      <c r="N89" s="250">
        <f>SUM(OperBgt!DK105:DV105)</f>
        <v>0</v>
      </c>
      <c r="O89" s="250">
        <f>SUM(OperBgt!DW105:EH105)</f>
        <v>0</v>
      </c>
    </row>
    <row r="90" spans="1:15" ht="7.5" customHeight="1" thickTop="1" thickBot="1" x14ac:dyDescent="0.35">
      <c r="E90" s="229"/>
      <c r="F90" s="229"/>
      <c r="G90" s="229"/>
      <c r="H90" s="229"/>
      <c r="I90" s="229"/>
      <c r="J90" s="229"/>
      <c r="K90" s="229"/>
      <c r="L90" s="229"/>
      <c r="M90" s="229"/>
      <c r="N90" s="229"/>
      <c r="O90" s="229"/>
    </row>
    <row r="91" spans="1:15" ht="15" thickTop="1" x14ac:dyDescent="0.3">
      <c r="A91" s="125" t="str">
        <f>OperBgt!A107</f>
        <v>LEASE TURNOVER (MARKET RATE)</v>
      </c>
      <c r="B91" s="142"/>
      <c r="C91" s="143"/>
      <c r="D91" s="657"/>
      <c r="E91" s="322"/>
      <c r="F91" s="322"/>
      <c r="G91" s="322"/>
      <c r="H91" s="322"/>
      <c r="I91" s="322"/>
      <c r="J91" s="322"/>
      <c r="K91" s="322"/>
      <c r="L91" s="322"/>
      <c r="M91" s="322"/>
      <c r="N91" s="322"/>
      <c r="O91" s="322"/>
    </row>
    <row r="92" spans="1:15" x14ac:dyDescent="0.3">
      <c r="A92" t="str">
        <f>OperBgt!A108</f>
        <v>Beginning Occupied Units</v>
      </c>
      <c r="E92" s="229">
        <f>OperBgt!G108</f>
        <v>0</v>
      </c>
      <c r="F92" s="229">
        <f>OperBgt!S108</f>
        <v>0</v>
      </c>
      <c r="G92" s="229">
        <f>OperBgt!AE108</f>
        <v>215.99999999999997</v>
      </c>
      <c r="H92" s="229">
        <f>OperBgt!AQ108</f>
        <v>240.98</v>
      </c>
      <c r="I92" s="229">
        <f>OperBgt!BC108</f>
        <v>240.98</v>
      </c>
      <c r="J92" s="229">
        <f>OperBgt!BO108</f>
        <v>240.98</v>
      </c>
      <c r="K92" s="229">
        <f>OperBgt!CA108</f>
        <v>240.98</v>
      </c>
      <c r="L92" s="229">
        <f>OperBgt!CM108</f>
        <v>240.98</v>
      </c>
      <c r="M92" s="229">
        <f>OperBgt!CY108</f>
        <v>240.98</v>
      </c>
      <c r="N92" s="229">
        <f>OperBgt!DK108</f>
        <v>240.98</v>
      </c>
      <c r="O92" s="229">
        <f>OperBgt!DW108</f>
        <v>240.98</v>
      </c>
    </row>
    <row r="93" spans="1:15" x14ac:dyDescent="0.3">
      <c r="A93" t="str">
        <f>OperBgt!A109</f>
        <v>New Leases</v>
      </c>
      <c r="E93" s="229">
        <f>SUM(OperBgt!G109:R109)</f>
        <v>0</v>
      </c>
      <c r="F93" s="229">
        <f>SUM(OperBgt!S109:AD109)</f>
        <v>215.99999999999997</v>
      </c>
      <c r="G93" s="229">
        <f>SUM(OperBgt!AE109:AP109)</f>
        <v>240.98000000000002</v>
      </c>
      <c r="H93" s="229">
        <f>SUM(OperBgt!AQ109:BB109)</f>
        <v>240.98000000000002</v>
      </c>
      <c r="I93" s="229">
        <f>SUM(OperBgt!BC109:BN109)</f>
        <v>240.98000000000002</v>
      </c>
      <c r="J93" s="229">
        <f>SUM(OperBgt!BO109:BZ109)</f>
        <v>240.98000000000002</v>
      </c>
      <c r="K93" s="229">
        <f>SUM(OperBgt!CA109:CL109)</f>
        <v>240.98000000000002</v>
      </c>
      <c r="L93" s="229">
        <f>SUM(OperBgt!CM109:CX109)</f>
        <v>240.98000000000002</v>
      </c>
      <c r="M93" s="229">
        <f>SUM(OperBgt!CY109:DJ109)</f>
        <v>240.98000000000002</v>
      </c>
      <c r="N93" s="229">
        <f>SUM(OperBgt!DK109:DV109)</f>
        <v>240.98000000000002</v>
      </c>
      <c r="O93" s="229">
        <f>SUM(OperBgt!DW109:EH109)</f>
        <v>240.98000000000002</v>
      </c>
    </row>
    <row r="94" spans="1:15" x14ac:dyDescent="0.3">
      <c r="A94" t="str">
        <f>OperBgt!A110</f>
        <v>Total Expirations</v>
      </c>
      <c r="E94" s="229">
        <f>SUM(OperBgt!G110:R110)</f>
        <v>0</v>
      </c>
      <c r="F94" s="229">
        <f>SUM(OperBgt!S110:AD110)</f>
        <v>0</v>
      </c>
      <c r="G94" s="229">
        <f>SUM(OperBgt!AE110:AP110)</f>
        <v>215.99999999999997</v>
      </c>
      <c r="H94" s="229">
        <f>SUM(OperBgt!AQ110:BB110)</f>
        <v>240.98000000000002</v>
      </c>
      <c r="I94" s="229">
        <f>SUM(OperBgt!BC110:BN110)</f>
        <v>240.98000000000002</v>
      </c>
      <c r="J94" s="229">
        <f>SUM(OperBgt!BO110:BZ110)</f>
        <v>240.98000000000002</v>
      </c>
      <c r="K94" s="229">
        <f>SUM(OperBgt!CA110:CL110)</f>
        <v>240.98000000000002</v>
      </c>
      <c r="L94" s="229">
        <f>SUM(OperBgt!CM110:CX110)</f>
        <v>240.98000000000002</v>
      </c>
      <c r="M94" s="229">
        <f>SUM(OperBgt!CY110:DJ110)</f>
        <v>240.98000000000002</v>
      </c>
      <c r="N94" s="229">
        <f>SUM(OperBgt!DK110:DV110)</f>
        <v>240.98000000000002</v>
      </c>
      <c r="O94" s="229">
        <f>SUM(OperBgt!DW110:EH110)</f>
        <v>240.98000000000002</v>
      </c>
    </row>
    <row r="95" spans="1:15" x14ac:dyDescent="0.3">
      <c r="A95" t="str">
        <f>OperBgt!A111</f>
        <v>Move outs</v>
      </c>
      <c r="E95" s="229">
        <f>SUM(OperBgt!G111:R111)</f>
        <v>0</v>
      </c>
      <c r="F95" s="229">
        <f>SUM(OperBgt!S111:AD111)</f>
        <v>0</v>
      </c>
      <c r="G95" s="229">
        <f>SUM(OperBgt!AE111:AP111)</f>
        <v>129.59999999999997</v>
      </c>
      <c r="H95" s="229">
        <f>SUM(OperBgt!AQ111:BB111)</f>
        <v>144.58799999999997</v>
      </c>
      <c r="I95" s="229">
        <f>SUM(OperBgt!BC111:BN111)</f>
        <v>144.58799999999997</v>
      </c>
      <c r="J95" s="229">
        <f>SUM(OperBgt!BO111:BZ111)</f>
        <v>144.58799999999997</v>
      </c>
      <c r="K95" s="229">
        <f>SUM(OperBgt!CA111:CL111)</f>
        <v>144.58799999999997</v>
      </c>
      <c r="L95" s="229">
        <f>SUM(OperBgt!CM111:CX111)</f>
        <v>144.58799999999997</v>
      </c>
      <c r="M95" s="229">
        <f>SUM(OperBgt!CY111:DJ111)</f>
        <v>144.58799999999997</v>
      </c>
      <c r="N95" s="229">
        <f>SUM(OperBgt!DK111:DV111)</f>
        <v>144.58799999999997</v>
      </c>
      <c r="O95" s="229">
        <f>SUM(OperBgt!DW111:EH111)</f>
        <v>144.58799999999997</v>
      </c>
    </row>
    <row r="96" spans="1:15" x14ac:dyDescent="0.3">
      <c r="A96" t="str">
        <f>OperBgt!A112</f>
        <v>Initial Lease-Up</v>
      </c>
      <c r="E96" s="229">
        <f>SUM(OperBgt!G112:R112)</f>
        <v>0</v>
      </c>
      <c r="F96" s="229">
        <f>SUM(OperBgt!S112:AD112)</f>
        <v>215.99999999999997</v>
      </c>
      <c r="G96" s="229">
        <f>SUM(OperBgt!AE112:AP112)</f>
        <v>24.980000000000011</v>
      </c>
      <c r="H96" s="229">
        <f>SUM(OperBgt!AQ112:BB112)</f>
        <v>0</v>
      </c>
      <c r="I96" s="229">
        <f>SUM(OperBgt!BC112:BN112)</f>
        <v>0</v>
      </c>
      <c r="J96" s="229">
        <f>SUM(OperBgt!BO112:BZ112)</f>
        <v>0</v>
      </c>
      <c r="K96" s="229">
        <f>SUM(OperBgt!CA112:CL112)</f>
        <v>0</v>
      </c>
      <c r="L96" s="229">
        <f>SUM(OperBgt!CM112:CX112)</f>
        <v>0</v>
      </c>
      <c r="M96" s="229">
        <f>SUM(OperBgt!CY112:DJ112)</f>
        <v>0</v>
      </c>
      <c r="N96" s="229">
        <f>SUM(OperBgt!DK112:DV112)</f>
        <v>0</v>
      </c>
      <c r="O96" s="229">
        <f>SUM(OperBgt!DW112:EH112)</f>
        <v>0</v>
      </c>
    </row>
    <row r="97" spans="1:15" ht="15" thickBot="1" x14ac:dyDescent="0.35">
      <c r="A97" s="248" t="str">
        <f>OperBgt!A113</f>
        <v>Ending Occupied Units</v>
      </c>
      <c r="B97" s="248"/>
      <c r="C97" s="248"/>
      <c r="D97" s="248"/>
      <c r="E97" s="249">
        <f>OperBgt!R113</f>
        <v>0</v>
      </c>
      <c r="F97" s="249">
        <f>OperBgt!AD113</f>
        <v>215.99999999999997</v>
      </c>
      <c r="G97" s="249">
        <f>OperBgt!AP113</f>
        <v>240.98</v>
      </c>
      <c r="H97" s="249">
        <f>OperBgt!BB113</f>
        <v>240.98</v>
      </c>
      <c r="I97" s="249">
        <f>OperBgt!BN113</f>
        <v>240.98</v>
      </c>
      <c r="J97" s="249">
        <f>OperBgt!BZ113</f>
        <v>240.98</v>
      </c>
      <c r="K97" s="249">
        <f>OperBgt!CL113</f>
        <v>240.98</v>
      </c>
      <c r="L97" s="249">
        <f>OperBgt!CX113</f>
        <v>240.98</v>
      </c>
      <c r="M97" s="249">
        <f>OperBgt!DJ113</f>
        <v>240.98</v>
      </c>
      <c r="N97" s="249">
        <f>OperBgt!DV113</f>
        <v>240.98</v>
      </c>
      <c r="O97" s="249">
        <f>OperBgt!EH113</f>
        <v>240.98</v>
      </c>
    </row>
    <row r="98" spans="1:15" ht="7.5" customHeight="1" thickTop="1" thickBot="1" x14ac:dyDescent="0.35">
      <c r="E98" s="229"/>
      <c r="F98" s="229"/>
      <c r="G98" s="229"/>
      <c r="H98" s="229"/>
      <c r="I98" s="229"/>
      <c r="J98" s="229"/>
      <c r="K98" s="229"/>
      <c r="L98" s="229"/>
      <c r="M98" s="229"/>
      <c r="N98" s="229"/>
      <c r="O98" s="229"/>
    </row>
    <row r="99" spans="1:15" ht="15" thickTop="1" x14ac:dyDescent="0.3">
      <c r="A99" s="125" t="str">
        <f>OperBgt!A115</f>
        <v>LOSS -TO-LEASE (Market Rate Units)</v>
      </c>
      <c r="B99" s="142"/>
      <c r="C99" s="143"/>
      <c r="D99" s="657"/>
      <c r="E99" s="322"/>
      <c r="F99" s="322"/>
      <c r="G99" s="322"/>
      <c r="H99" s="322"/>
      <c r="I99" s="322"/>
      <c r="J99" s="322"/>
      <c r="K99" s="322"/>
      <c r="L99" s="322"/>
      <c r="M99" s="322"/>
      <c r="N99" s="322"/>
      <c r="O99" s="322"/>
    </row>
    <row r="100" spans="1:15" x14ac:dyDescent="0.3">
      <c r="A100">
        <f>OperBgt!A116</f>
        <v>1</v>
      </c>
      <c r="E100" s="227">
        <f>SUM(OperBgt!G116:R116)</f>
        <v>0</v>
      </c>
      <c r="F100" s="227">
        <f>SUM(OperBgt!S116:AD116)</f>
        <v>2060.0468892346034</v>
      </c>
      <c r="G100" s="227">
        <f>SUM(OperBgt!AE116:AP116)</f>
        <v>2450.5299888149084</v>
      </c>
      <c r="H100" s="227">
        <f>SUM(OperBgt!AQ116:BB116)</f>
        <v>1814.3190537207749</v>
      </c>
      <c r="I100" s="227">
        <f>SUM(OperBgt!BC116:BN116)</f>
        <v>2036.9804741929497</v>
      </c>
      <c r="J100" s="227">
        <f>SUM(OperBgt!BO116:BZ116)</f>
        <v>2227.8326807014564</v>
      </c>
      <c r="K100" s="227">
        <f>SUM(OperBgt!CA116:CL116)</f>
        <v>2322.0022779619021</v>
      </c>
      <c r="L100" s="227">
        <f>SUM(OperBgt!CM116:CX116)</f>
        <v>2420.1523864721194</v>
      </c>
      <c r="M100" s="227">
        <f>SUM(OperBgt!CY116:DJ116)</f>
        <v>2522.4512608522227</v>
      </c>
      <c r="N100" s="227">
        <f>SUM(OperBgt!DK116:DV116)</f>
        <v>2629.0742677778567</v>
      </c>
      <c r="O100" s="227">
        <f>SUM(OperBgt!DW116:EH116)</f>
        <v>2740.2041866039258</v>
      </c>
    </row>
    <row r="101" spans="1:15" x14ac:dyDescent="0.3">
      <c r="A101">
        <f>OperBgt!A117</f>
        <v>2</v>
      </c>
      <c r="E101" s="229">
        <f>SUM(OperBgt!G117:R117)</f>
        <v>0</v>
      </c>
      <c r="F101" s="229">
        <f>SUM(OperBgt!S117:AD117)</f>
        <v>3709.4065793921973</v>
      </c>
      <c r="G101" s="229">
        <f>SUM(OperBgt!AE117:AP117)</f>
        <v>4882.0995040115358</v>
      </c>
      <c r="H101" s="229">
        <f>SUM(OperBgt!AQ117:BB117)</f>
        <v>3685.168493441729</v>
      </c>
      <c r="I101" s="229">
        <f>SUM(OperBgt!BC117:BN117)</f>
        <v>3997.0352204085793</v>
      </c>
      <c r="J101" s="229">
        <f>SUM(OperBgt!BO117:BZ117)</f>
        <v>4419.4028561221221</v>
      </c>
      <c r="K101" s="229">
        <f>SUM(OperBgt!CA117:CL117)</f>
        <v>4606.2092490338446</v>
      </c>
      <c r="L101" s="229">
        <f>SUM(OperBgt!CM117:CX117)</f>
        <v>4800.9118735335323</v>
      </c>
      <c r="M101" s="229">
        <f>SUM(OperBgt!CY117:DJ117)</f>
        <v>5003.844500175469</v>
      </c>
      <c r="N101" s="229">
        <f>SUM(OperBgt!DK117:DV117)</f>
        <v>5215.3550078618564</v>
      </c>
      <c r="O101" s="229">
        <f>SUM(OperBgt!DW117:EH117)</f>
        <v>5435.8059801969484</v>
      </c>
    </row>
    <row r="102" spans="1:15" x14ac:dyDescent="0.3">
      <c r="A102">
        <f>OperBgt!A118</f>
        <v>3</v>
      </c>
      <c r="E102" s="229">
        <f>SUM(OperBgt!G118:R118)</f>
        <v>0</v>
      </c>
      <c r="F102" s="229">
        <f>SUM(OperBgt!S118:AD118)</f>
        <v>4949.0097056865397</v>
      </c>
      <c r="G102" s="229">
        <f>SUM(OperBgt!AE118:AP118)</f>
        <v>7291.2025340979535</v>
      </c>
      <c r="H102" s="229">
        <f>SUM(OperBgt!AQ118:BB118)</f>
        <v>5600.6531352641978</v>
      </c>
      <c r="I102" s="229">
        <f>SUM(OperBgt!BC118:BN118)</f>
        <v>5886.0844219725823</v>
      </c>
      <c r="J102" s="229">
        <f>SUM(OperBgt!BO118:BZ118)</f>
        <v>6574.568988817583</v>
      </c>
      <c r="K102" s="229">
        <f>SUM(OperBgt!CA118:CL118)</f>
        <v>6852.4733930401944</v>
      </c>
      <c r="L102" s="229">
        <f>SUM(OperBgt!CM118:CX118)</f>
        <v>7142.1247053897196</v>
      </c>
      <c r="M102" s="229">
        <f>SUM(OperBgt!CY118:DJ118)</f>
        <v>7444.0194629792195</v>
      </c>
      <c r="N102" s="229">
        <f>SUM(OperBgt!DK118:DV118)</f>
        <v>7758.6751913470634</v>
      </c>
      <c r="O102" s="229">
        <f>SUM(OperBgt!DW118:EH118)</f>
        <v>8086.6312916290617</v>
      </c>
    </row>
    <row r="103" spans="1:15" x14ac:dyDescent="0.3">
      <c r="A103">
        <f>OperBgt!A119</f>
        <v>4</v>
      </c>
      <c r="E103" s="229">
        <f>SUM(OperBgt!G119:R119)</f>
        <v>0</v>
      </c>
      <c r="F103" s="229">
        <f>SUM(OperBgt!S119:AD119)</f>
        <v>5714.4591469928464</v>
      </c>
      <c r="G103" s="229">
        <f>SUM(OperBgt!AE119:AP119)</f>
        <v>9688.8479209559155</v>
      </c>
      <c r="H103" s="229">
        <f>SUM(OperBgt!AQ119:BB119)</f>
        <v>7601.2929416814541</v>
      </c>
      <c r="I103" s="229">
        <f>SUM(OperBgt!BC119:BN119)</f>
        <v>7682.9706213317786</v>
      </c>
      <c r="J103" s="229">
        <f>SUM(OperBgt!BO119:BZ119)</f>
        <v>8693.18842255862</v>
      </c>
      <c r="K103" s="229">
        <f>SUM(OperBgt!CA119:CL119)</f>
        <v>9060.6460237299125</v>
      </c>
      <c r="L103" s="229">
        <f>SUM(OperBgt!CM119:CX119)</f>
        <v>9443.6359108812285</v>
      </c>
      <c r="M103" s="229">
        <f>SUM(OperBgt!CY119:DJ119)</f>
        <v>9842.8146275350409</v>
      </c>
      <c r="N103" s="229">
        <f>SUM(OperBgt!DK119:DV119)</f>
        <v>10258.866469046108</v>
      </c>
      <c r="O103" s="229">
        <f>SUM(OperBgt!DW119:EH119)</f>
        <v>10692.504655660021</v>
      </c>
    </row>
    <row r="104" spans="1:15" x14ac:dyDescent="0.3">
      <c r="A104">
        <f>OperBgt!A120</f>
        <v>5</v>
      </c>
      <c r="E104" s="229">
        <f>SUM(OperBgt!G120:R120)</f>
        <v>0</v>
      </c>
      <c r="F104" s="229">
        <f>SUM(OperBgt!S120:AD120)</f>
        <v>6006.315094513342</v>
      </c>
      <c r="G104" s="229">
        <f>SUM(OperBgt!AE120:AP120)</f>
        <v>12110.212506305474</v>
      </c>
      <c r="H104" s="229">
        <f>SUM(OperBgt!AQ120:BB120)</f>
        <v>9693.5971339331427</v>
      </c>
      <c r="I104" s="229">
        <f>SUM(OperBgt!BC120:BN120)</f>
        <v>9435.4304272875925</v>
      </c>
      <c r="J104" s="229">
        <f>SUM(OperBgt!BO120:BZ120)</f>
        <v>10813.547925712539</v>
      </c>
      <c r="K104" s="229">
        <f>SUM(OperBgt!CA120:CL120)</f>
        <v>11270.632275871336</v>
      </c>
      <c r="L104" s="229">
        <f>SUM(OperBgt!CM120:CX120)</f>
        <v>11747.037398878549</v>
      </c>
      <c r="M104" s="229">
        <f>SUM(OperBgt!CY120:DJ120)</f>
        <v>12243.579976082923</v>
      </c>
      <c r="N104" s="229">
        <f>SUM(OperBgt!DK120:DV120)</f>
        <v>12761.111209627341</v>
      </c>
      <c r="O104" s="229">
        <f>SUM(OperBgt!DW120:EH120)</f>
        <v>13300.518281628722</v>
      </c>
    </row>
    <row r="105" spans="1:15" x14ac:dyDescent="0.3">
      <c r="A105">
        <f>OperBgt!A121</f>
        <v>6</v>
      </c>
      <c r="E105" s="229">
        <f>SUM(OperBgt!G121:R121)</f>
        <v>0</v>
      </c>
      <c r="F105" s="229">
        <f>SUM(OperBgt!S121:AD121)</f>
        <v>5825.1251691383241</v>
      </c>
      <c r="G105" s="229">
        <f>SUM(OperBgt!AE121:AP121)</f>
        <v>14570.123529378747</v>
      </c>
      <c r="H105" s="229">
        <f>SUM(OperBgt!AQ121:BB121)</f>
        <v>11886.98578840677</v>
      </c>
      <c r="I105" s="229">
        <f>SUM(OperBgt!BC121:BN121)</f>
        <v>11157.23574396744</v>
      </c>
      <c r="J105" s="229">
        <f>SUM(OperBgt!BO121:BZ121)</f>
        <v>12949.643923786996</v>
      </c>
      <c r="K105" s="229">
        <f>SUM(OperBgt!CA121:CL121)</f>
        <v>13497.020198285911</v>
      </c>
      <c r="L105" s="229">
        <f>SUM(OperBgt!CM121:CX121)</f>
        <v>14067.533849198029</v>
      </c>
      <c r="M105" s="229">
        <f>SUM(OperBgt!CY121:DJ121)</f>
        <v>14662.16288417985</v>
      </c>
      <c r="N105" s="229">
        <f>SUM(OperBgt!DK121:DV121)</f>
        <v>15281.926650880572</v>
      </c>
      <c r="O105" s="229">
        <f>SUM(OperBgt!DW121:EH121)</f>
        <v>15927.887584366725</v>
      </c>
    </row>
    <row r="106" spans="1:15" x14ac:dyDescent="0.3">
      <c r="A106">
        <f>OperBgt!A122</f>
        <v>7</v>
      </c>
      <c r="E106" s="229">
        <f>SUM(OperBgt!G122:R122)</f>
        <v>0</v>
      </c>
      <c r="F106" s="229">
        <f>SUM(OperBgt!S122:AD122)</f>
        <v>5112.6702765532955</v>
      </c>
      <c r="G106" s="229">
        <f>SUM(OperBgt!AE122:AP122)</f>
        <v>17012.378739729142</v>
      </c>
      <c r="H106" s="229">
        <f>SUM(OperBgt!AQ122:BB122)</f>
        <v>14142.784367385753</v>
      </c>
      <c r="I106" s="229">
        <f>SUM(OperBgt!BC122:BN122)</f>
        <v>12798.750966602896</v>
      </c>
      <c r="J106" s="229">
        <f>SUM(OperBgt!BO122:BZ122)</f>
        <v>15049.387116814851</v>
      </c>
      <c r="K106" s="229">
        <f>SUM(OperBgt!CA122:CL122)</f>
        <v>15685.518697109683</v>
      </c>
      <c r="L106" s="229">
        <f>SUM(OperBgt!CM122:CX122)</f>
        <v>16348.539305130642</v>
      </c>
      <c r="M106" s="229">
        <f>SUM(OperBgt!CY122:DJ122)</f>
        <v>17039.585529336175</v>
      </c>
      <c r="N106" s="229">
        <f>SUM(OperBgt!DK122:DV122)</f>
        <v>17759.842001324712</v>
      </c>
      <c r="O106" s="229">
        <f>SUM(OperBgt!DW122:EH122)</f>
        <v>18510.543426598284</v>
      </c>
    </row>
    <row r="107" spans="1:15" x14ac:dyDescent="0.3">
      <c r="A107">
        <f>OperBgt!A123</f>
        <v>8</v>
      </c>
      <c r="E107" s="229">
        <f>SUM(OperBgt!G123:R123)</f>
        <v>0</v>
      </c>
      <c r="F107" s="229">
        <f>SUM(OperBgt!S123:AD123)</f>
        <v>4642.09085991134</v>
      </c>
      <c r="G107" s="229">
        <f>SUM(OperBgt!AE123:AP123)</f>
        <v>19461.083689922973</v>
      </c>
      <c r="H107" s="229">
        <f>SUM(OperBgt!AQ123:BB123)</f>
        <v>16267.262810026763</v>
      </c>
      <c r="I107" s="229">
        <f>SUM(OperBgt!BC123:BN123)</f>
        <v>14564.73446487605</v>
      </c>
      <c r="J107" s="229">
        <f>SUM(OperBgt!BO123:BZ123)</f>
        <v>17192.338345436456</v>
      </c>
      <c r="K107" s="229">
        <f>SUM(OperBgt!CA123:CL123)</f>
        <v>17919.051617927555</v>
      </c>
      <c r="L107" s="229">
        <f>SUM(OperBgt!CM123:CX123)</f>
        <v>18676.482770081082</v>
      </c>
      <c r="M107" s="229">
        <f>SUM(OperBgt!CY123:DJ123)</f>
        <v>19465.930234396965</v>
      </c>
      <c r="N107" s="229">
        <f>SUM(OperBgt!DK123:DV123)</f>
        <v>20288.747327598179</v>
      </c>
      <c r="O107" s="229">
        <f>SUM(OperBgt!DW123:EH123)</f>
        <v>21146.344570563928</v>
      </c>
    </row>
    <row r="108" spans="1:15" x14ac:dyDescent="0.3">
      <c r="A108">
        <f>OperBgt!A124</f>
        <v>9</v>
      </c>
      <c r="E108" s="229">
        <f>SUM(OperBgt!G124:R124)</f>
        <v>0</v>
      </c>
      <c r="F108" s="229">
        <f>SUM(OperBgt!S124:AD124)</f>
        <v>3876.6414186050333</v>
      </c>
      <c r="G108" s="229">
        <f>SUM(OperBgt!AE124:AP124)</f>
        <v>21940.015031507526</v>
      </c>
      <c r="H108" s="229">
        <f>SUM(OperBgt!AQ124:BB124)</f>
        <v>18427.44643524833</v>
      </c>
      <c r="I108" s="229">
        <f>SUM(OperBgt!BC124:BN124)</f>
        <v>16344.479952827156</v>
      </c>
      <c r="J108" s="229">
        <f>SUM(OperBgt!BO124:BZ124)</f>
        <v>19359.406418406536</v>
      </c>
      <c r="K108" s="229">
        <f>SUM(OperBgt!CA124:CL124)</f>
        <v>20177.720792468375</v>
      </c>
      <c r="L108" s="229">
        <f>SUM(OperBgt!CM124:CX124)</f>
        <v>21030.624988155905</v>
      </c>
      <c r="M108" s="229">
        <f>SUM(OperBgt!CY124:DJ124)</f>
        <v>21919.581103408749</v>
      </c>
      <c r="N108" s="229">
        <f>SUM(OperBgt!DK124:DV124)</f>
        <v>22846.113038462376</v>
      </c>
      <c r="O108" s="229">
        <f>SUM(OperBgt!DW124:EH124)</f>
        <v>23811.809108205332</v>
      </c>
    </row>
    <row r="109" spans="1:15" x14ac:dyDescent="0.3">
      <c r="A109">
        <f>OperBgt!A125</f>
        <v>10</v>
      </c>
      <c r="E109" s="229">
        <f>SUM(OperBgt!G125:R125)</f>
        <v>0</v>
      </c>
      <c r="F109" s="229">
        <f>SUM(OperBgt!S125:AD125)</f>
        <v>2815.7617614321516</v>
      </c>
      <c r="G109" s="229">
        <f>SUM(OperBgt!AE125:AP125)</f>
        <v>24449.324993480433</v>
      </c>
      <c r="H109" s="229">
        <f>SUM(OperBgt!AQ125:BB125)</f>
        <v>20623.118343721286</v>
      </c>
      <c r="I109" s="229">
        <f>SUM(OperBgt!BC125:BN125)</f>
        <v>18138.332212452227</v>
      </c>
      <c r="J109" s="229">
        <f>SUM(OperBgt!BO125:BZ125)</f>
        <v>21550.791815457316</v>
      </c>
      <c r="K109" s="229">
        <f>SUM(OperBgt!CA125:CL125)</f>
        <v>22461.73517466255</v>
      </c>
      <c r="L109" s="229">
        <f>SUM(OperBgt!CM125:CX125)</f>
        <v>23411.183745684662</v>
      </c>
      <c r="M109" s="229">
        <f>SUM(OperBgt!CY125:DJ125)</f>
        <v>24400.765128442195</v>
      </c>
      <c r="N109" s="229">
        <f>SUM(OperBgt!DK125:DV125)</f>
        <v>25432.175720852112</v>
      </c>
      <c r="O109" s="229">
        <f>SUM(OperBgt!DW125:EH125)</f>
        <v>26507.183626892511</v>
      </c>
    </row>
    <row r="110" spans="1:15" x14ac:dyDescent="0.3">
      <c r="A110">
        <f>OperBgt!A126</f>
        <v>11</v>
      </c>
      <c r="E110" s="229">
        <f>SUM(OperBgt!G126:R126)</f>
        <v>0</v>
      </c>
      <c r="F110" s="229">
        <f>SUM(OperBgt!S126:AD126)</f>
        <v>1523.8545039542435</v>
      </c>
      <c r="G110" s="229">
        <f>SUM(OperBgt!AE126:AP126)</f>
        <v>25701.411071458548</v>
      </c>
      <c r="H110" s="229">
        <f>SUM(OperBgt!AQ126:BB126)</f>
        <v>23173.738803714092</v>
      </c>
      <c r="I110" s="229">
        <f>SUM(OperBgt!BC126:BN126)</f>
        <v>19754.433433373753</v>
      </c>
      <c r="J110" s="229">
        <f>SUM(OperBgt!BO126:BZ126)</f>
        <v>23646.398393338783</v>
      </c>
      <c r="K110" s="229">
        <f>SUM(OperBgt!CA126:CL126)</f>
        <v>24684.460908190242</v>
      </c>
      <c r="L110" s="229">
        <f>SUM(OperBgt!CM126:CX126)</f>
        <v>25727.863207856299</v>
      </c>
      <c r="M110" s="229">
        <f>SUM(OperBgt!CY126:DJ126)</f>
        <v>26815.369705827394</v>
      </c>
      <c r="N110" s="229">
        <f>SUM(OperBgt!DK126:DV126)</f>
        <v>27948.844668943999</v>
      </c>
      <c r="O110" s="229">
        <f>SUM(OperBgt!DW126:EH126)</f>
        <v>29130.231165860019</v>
      </c>
    </row>
    <row r="111" spans="1:15" x14ac:dyDescent="0.3">
      <c r="A111">
        <f>OperBgt!A127</f>
        <v>12</v>
      </c>
      <c r="E111" s="229">
        <f>SUM(OperBgt!G127:R127)</f>
        <v>0</v>
      </c>
      <c r="F111" s="229">
        <f>SUM(OperBgt!S127:AD127)</f>
        <v>0</v>
      </c>
      <c r="G111" s="229">
        <f>SUM(OperBgt!AE127:AP127)</f>
        <v>26224.232885511203</v>
      </c>
      <c r="H111" s="229">
        <f>SUM(OperBgt!AQ127:BB127)</f>
        <v>25874.548308217214</v>
      </c>
      <c r="I111" s="229">
        <f>SUM(OperBgt!BC127:BN127)</f>
        <v>21330.487566254065</v>
      </c>
      <c r="J111" s="229">
        <f>SUM(OperBgt!BO127:BZ127)</f>
        <v>25641.509351356672</v>
      </c>
      <c r="K111" s="229">
        <f>SUM(OperBgt!CA127:CL127)</f>
        <v>26852.549947136045</v>
      </c>
      <c r="L111" s="229">
        <f>SUM(OperBgt!CM127:CX127)</f>
        <v>27987.596504196725</v>
      </c>
      <c r="M111" s="229">
        <f>SUM(OperBgt!CY127:DJ127)</f>
        <v>29170.621025705092</v>
      </c>
      <c r="N111" s="229">
        <f>SUM(OperBgt!DK127:DV127)</f>
        <v>30403.651521048723</v>
      </c>
      <c r="O111" s="229">
        <f>SUM(OperBgt!DW127:EH127)</f>
        <v>31688.801722760607</v>
      </c>
    </row>
    <row r="112" spans="1:15" ht="15" thickBot="1" x14ac:dyDescent="0.35">
      <c r="A112" s="248" t="str">
        <f>OperBgt!A128</f>
        <v>Total Loss-To-Lease (Market Rate Units)</v>
      </c>
      <c r="B112" s="248"/>
      <c r="C112" s="248"/>
      <c r="D112" s="248"/>
      <c r="E112" s="250">
        <f>SUM(OperBgt!G128:R128)</f>
        <v>0</v>
      </c>
      <c r="F112" s="250">
        <f>SUM(OperBgt!S128:AD128)</f>
        <v>46235.381405413922</v>
      </c>
      <c r="G112" s="250">
        <f>SUM(OperBgt!AE128:AP128)</f>
        <v>185781.46239517437</v>
      </c>
      <c r="H112" s="250">
        <f>SUM(OperBgt!AQ128:BB128)</f>
        <v>158790.9156147615</v>
      </c>
      <c r="I112" s="250">
        <f>SUM(OperBgt!BC128:BN128)</f>
        <v>143126.95550554706</v>
      </c>
      <c r="J112" s="250">
        <f>SUM(OperBgt!BO128:BZ128)</f>
        <v>168118.01623850994</v>
      </c>
      <c r="K112" s="250">
        <f>SUM(OperBgt!CA128:CL128)</f>
        <v>175390.02055541758</v>
      </c>
      <c r="L112" s="250">
        <f>SUM(OperBgt!CM128:CX128)</f>
        <v>182803.68664545854</v>
      </c>
      <c r="M112" s="250">
        <f>SUM(OperBgt!CY128:DJ128)</f>
        <v>190530.7254389213</v>
      </c>
      <c r="N112" s="250">
        <f>SUM(OperBgt!DK128:DV128)</f>
        <v>198584.38307477089</v>
      </c>
      <c r="O112" s="250">
        <f>SUM(OperBgt!DW128:EH128)</f>
        <v>206978.46560096607</v>
      </c>
    </row>
    <row r="113" ht="15" thickTop="1" x14ac:dyDescent="0.3"/>
  </sheetData>
  <sheetProtection algorithmName="SHA-512" hashValue="KfAHpEXfsm9mNtV5IveSQ/S5SQEr3LNETKOpQ5EWnSOAGMyCKa95Pp7wNko9SLtAu8g3vvaeUcecxvSGCgwBIA==" saltValue="HchsNBveogsKJr9YJSu5+w==" spinCount="100000" sheet="1" objects="1" scenarios="1"/>
  <pageMargins left="0.25" right="0.25" top="0.4" bottom="0.4" header="0.3" footer="0.3"/>
  <pageSetup scale="60" orientation="landscape" r:id="rId1"/>
  <headerFooter>
    <oddHeader>&amp;C&amp;"Garamond,Bold Italic"&amp;14Operating Budget&amp;"Garamond,Italic"
(Annual Detail)&amp;R&amp;"Garamond,Regular"&amp;10Printed: &amp;D &amp;T</oddHeader>
    <oddFooter>&amp;R&amp;"Garamond,Regular"&amp;10Page &amp;P of &amp;N</oddFooter>
  </headerFooter>
  <extLst>
    <ext xmlns:x14="http://schemas.microsoft.com/office/spreadsheetml/2009/9/main" uri="{78C0D931-6437-407d-A8EE-F0AAD7539E65}">
      <x14:conditionalFormattings>
        <x14:conditionalFormatting xmlns:xm="http://schemas.microsoft.com/office/excel/2006/main">
          <x14:cfRule type="expression" priority="1" id="{62E9B802-D4D0-480B-9F08-AB0274903D33}">
            <xm:f>'Operating Inputs'!$C$110=0</xm:f>
            <x14:dxf>
              <font>
                <color theme="0" tint="-0.24994659260841701"/>
              </font>
            </x14:dxf>
          </x14:cfRule>
          <xm:sqref>A49:XFD49</xm:sqref>
        </x14:conditionalFormatting>
      </x14:conditionalFormatting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
    <tabColor theme="6" tint="0.79998168889431442"/>
  </sheetPr>
  <dimension ref="A1:EM194"/>
  <sheetViews>
    <sheetView showGridLines="0" zoomScale="90" zoomScaleNormal="90" zoomScaleSheetLayoutView="90" workbookViewId="0">
      <pane xSplit="3" ySplit="6" topLeftCell="D8" activePane="bottomRight" state="frozen"/>
      <selection pane="topRight"/>
      <selection pane="bottomLeft"/>
      <selection pane="bottomRight"/>
    </sheetView>
  </sheetViews>
  <sheetFormatPr defaultColWidth="13.88671875" defaultRowHeight="14.4" outlineLevelRow="1" x14ac:dyDescent="0.3"/>
  <cols>
    <col min="4" max="4" width="13.88671875" customWidth="1"/>
    <col min="5" max="6" width="13.88671875" style="282" hidden="1" customWidth="1"/>
    <col min="139" max="139" width="13.88671875" style="200" hidden="1" customWidth="1"/>
  </cols>
  <sheetData>
    <row r="1" spans="1:143" x14ac:dyDescent="0.3">
      <c r="A1" t="s">
        <v>948</v>
      </c>
      <c r="B1" s="229" t="str">
        <f>'General Inputs'!$B$7</f>
        <v>Emblem Meridian</v>
      </c>
    </row>
    <row r="2" spans="1:143" x14ac:dyDescent="0.3">
      <c r="A2" t="s">
        <v>954</v>
      </c>
      <c r="B2" s="229" t="str">
        <f>DevBdgt!B2</f>
        <v>Meridian, Other</v>
      </c>
    </row>
    <row r="3" spans="1:143" x14ac:dyDescent="0.3">
      <c r="A3" t="s">
        <v>961</v>
      </c>
      <c r="B3" s="584">
        <f>'General Inputs'!B10</f>
        <v>46248</v>
      </c>
      <c r="C3" s="585">
        <f>'General Inputs'!C10</f>
        <v>0.67652777777777773</v>
      </c>
      <c r="G3" s="388" t="str">
        <f>IF(OR(G37&gt;1,OperBgt!G38&gt;ROUND((1-Vacancy)*Units,0),G36&gt;G19),"Alert","")</f>
        <v/>
      </c>
      <c r="H3" s="388" t="str">
        <f>IF(OR(H37&gt;1,OperBgt!H38&gt;ROUND((1-Vacancy)*Units,0),H36&gt;H19),"Alert","")</f>
        <v/>
      </c>
      <c r="I3" s="388" t="str">
        <f>IF(OR(I37&gt;1,OperBgt!I38&gt;ROUND((1-Vacancy)*Units,0),I36&gt;I19),"Alert","")</f>
        <v/>
      </c>
      <c r="J3" s="388" t="str">
        <f>IF(OR(J37&gt;1,OperBgt!J38&gt;ROUND((1-Vacancy)*Units,0),J36&gt;J19),"Alert","")</f>
        <v/>
      </c>
      <c r="K3" s="642" t="str">
        <f>IF(OR(K37&gt;1,OperBgt!K38&gt;ROUND((1-Vacancy)*Units,0),K36&gt;K19),"Alert","")</f>
        <v/>
      </c>
      <c r="L3" s="642" t="str">
        <f>IF(OR(L37&gt;1,OperBgt!L38&gt;ROUND((1-Vacancy)*Units,0),L36&gt;L19),"Alert","")</f>
        <v/>
      </c>
      <c r="M3" s="642" t="str">
        <f>IF(OR(M37&gt;1,OperBgt!M38&gt;ROUND((1-Vacancy)*Units,0),M36&gt;M19),"Alert","")</f>
        <v/>
      </c>
      <c r="N3" s="642" t="str">
        <f>IF(OR(N37&gt;1,OperBgt!N38&gt;ROUND((1-Vacancy)*Units,0),N36&gt;N19),"Alert","")</f>
        <v/>
      </c>
      <c r="O3" s="642" t="str">
        <f>IF(OR(O37&gt;1,OperBgt!O38&gt;ROUND((1-Vacancy)*Units,0),O36&gt;O19),"Alert","")</f>
        <v/>
      </c>
      <c r="P3" s="642" t="str">
        <f>IF(OR(P37&gt;1,OperBgt!P38&gt;ROUND((1-Vacancy)*Units,0),P36&gt;P19),"Alert","")</f>
        <v/>
      </c>
      <c r="Q3" s="642" t="str">
        <f>IF(OR(Q37&gt;1,OperBgt!Q38&gt;ROUND((1-Vacancy)*Units,0),Q36&gt;Q19),"Alert","")</f>
        <v/>
      </c>
      <c r="R3" s="642" t="str">
        <f>IF(OR(R37&gt;1,OperBgt!R38&gt;ROUND((1-Vacancy)*Units,0),R36&gt;R19),"Alert","")</f>
        <v/>
      </c>
      <c r="S3" s="642" t="str">
        <f>IF(OR(S37&gt;1,OperBgt!S38&gt;ROUND((1-Vacancy)*Units,0),S36&gt;S19),"Alert","")</f>
        <v/>
      </c>
      <c r="T3" s="642" t="str">
        <f>IF(OR(T37&gt;1,OperBgt!T38&gt;ROUND((1-Vacancy)*Units,0),T36&gt;T19),"Alert","")</f>
        <v/>
      </c>
      <c r="U3" s="642" t="str">
        <f>IF(OR(U37&gt;1,OperBgt!U38&gt;ROUND((1-Vacancy)*Units,0),U36&gt;U19),"Alert","")</f>
        <v/>
      </c>
      <c r="V3" s="642" t="str">
        <f>IF(OR(V37&gt;1,OperBgt!V38&gt;ROUND((1-Vacancy)*Units,0),V36&gt;V19),"Alert","")</f>
        <v/>
      </c>
      <c r="W3" s="642" t="str">
        <f>IF(OR(W37&gt;1,OperBgt!W38&gt;ROUND((1-Vacancy)*Units,0),W36&gt;W19),"Alert","")</f>
        <v/>
      </c>
      <c r="X3" s="642" t="str">
        <f>IF(OR(X37&gt;1,OperBgt!X38&gt;ROUND((1-Vacancy)*Units,0),X36&gt;X19),"Alert","")</f>
        <v/>
      </c>
      <c r="Y3" s="642" t="str">
        <f>IF(OR(Y37&gt;1,OperBgt!Y38&gt;ROUND((1-Vacancy)*Units,0),Y36&gt;Y19),"Alert","")</f>
        <v/>
      </c>
      <c r="Z3" s="642" t="str">
        <f>IF(OR(Z37&gt;1,OperBgt!Z38&gt;ROUND((1-Vacancy)*Units,0),Z36&gt;Z19),"Alert","")</f>
        <v/>
      </c>
      <c r="AA3" s="642" t="str">
        <f>IF(OR(AA37&gt;1,OperBgt!AA38&gt;ROUND((1-Vacancy)*Units,0),AA36&gt;AA19),"Alert","")</f>
        <v/>
      </c>
      <c r="AB3" s="642" t="str">
        <f>IF(OR(AB37&gt;1,OperBgt!AB38&gt;ROUND((1-Vacancy)*Units,0),AB36&gt;AB19),"Alert","")</f>
        <v/>
      </c>
      <c r="AC3" s="642" t="str">
        <f>IF(OR(AC37&gt;1,OperBgt!AC38&gt;ROUND((1-Vacancy)*Units,0),AC36&gt;AC19),"Alert","")</f>
        <v/>
      </c>
      <c r="AD3" s="642" t="str">
        <f>IF(OR(AD37&gt;1,OperBgt!AD38&gt;ROUND((1-Vacancy)*Units,0),AD36&gt;AD19),"Alert","")</f>
        <v/>
      </c>
      <c r="AE3" s="642" t="str">
        <f>IF(OR(AE37&gt;1,OperBgt!AE38&gt;ROUND((1-Vacancy)*Units,0),AE36&gt;AE19),"Alert","")</f>
        <v/>
      </c>
      <c r="AF3" s="642" t="str">
        <f>IF(OR(AF37&gt;1,OperBgt!AF38&gt;ROUND((1-Vacancy)*Units,0),AF36&gt;AF19),"Alert","")</f>
        <v/>
      </c>
      <c r="AG3" s="642" t="str">
        <f>IF(OR(AG37&gt;1,OperBgt!AG38&gt;ROUND((1-Vacancy)*Units,0),AG36&gt;AG19),"Alert","")</f>
        <v/>
      </c>
      <c r="AH3" s="642" t="str">
        <f>IF(OR(AH37&gt;1,OperBgt!AH38&gt;ROUND((1-Vacancy)*Units,0),AH36&gt;AH19),"Alert","")</f>
        <v/>
      </c>
      <c r="AI3" s="642" t="str">
        <f>IF(OR(AI37&gt;1,OperBgt!AI38&gt;ROUND((1-Vacancy)*Units,0),AI36&gt;AI19),"Alert","")</f>
        <v/>
      </c>
      <c r="AJ3" s="642" t="str">
        <f>IF(OR(AJ37&gt;1,OperBgt!AJ38&gt;ROUND((1-Vacancy)*Units,0),AJ36&gt;AJ19),"Alert","")</f>
        <v/>
      </c>
      <c r="AK3" s="642" t="str">
        <f>IF(OR(AK37&gt;1,OperBgt!AK38&gt;ROUND((1-Vacancy)*Units,0),AK36&gt;AK19),"Alert","")</f>
        <v/>
      </c>
      <c r="AL3" s="642" t="str">
        <f>IF(OR(AL37&gt;1,OperBgt!AL38&gt;ROUND((1-Vacancy)*Units,0),AL36&gt;AL19),"Alert","")</f>
        <v/>
      </c>
      <c r="AM3" s="642" t="str">
        <f>IF(OR(AM37&gt;1,OperBgt!AM38&gt;ROUND((1-Vacancy)*Units,0),AM36&gt;AM19),"Alert","")</f>
        <v/>
      </c>
      <c r="AN3" s="642" t="str">
        <f>IF(OR(AN37&gt;1,OperBgt!AN38&gt;ROUND((1-Vacancy)*Units,0),AN36&gt;AN19),"Alert","")</f>
        <v/>
      </c>
      <c r="AO3" s="642" t="str">
        <f>IF(OR(AO37&gt;1,OperBgt!AO38&gt;ROUND((1-Vacancy)*Units,0),AO36&gt;AO19),"Alert","")</f>
        <v/>
      </c>
      <c r="AP3" s="642" t="str">
        <f>IF(OR(AP37&gt;1,OperBgt!AP38&gt;ROUND((1-Vacancy)*Units,0),AP36&gt;AP19),"Alert","")</f>
        <v/>
      </c>
      <c r="AQ3" s="642" t="str">
        <f>IF(OR(AQ37&gt;1,OperBgt!AQ38&gt;ROUND((1-Vacancy)*Units,0),AQ36&gt;AQ19),"Alert","")</f>
        <v/>
      </c>
      <c r="AR3" s="642" t="str">
        <f>IF(OR(AR37&gt;1,OperBgt!AR38&gt;ROUND((1-Vacancy)*Units,0),AR36&gt;AR19),"Alert","")</f>
        <v/>
      </c>
      <c r="AS3" s="642" t="str">
        <f>IF(OR(AS37&gt;1,OperBgt!AS38&gt;ROUND((1-Vacancy)*Units,0),AS36&gt;AS19),"Alert","")</f>
        <v/>
      </c>
      <c r="AT3" s="642" t="str">
        <f>IF(OR(AT37&gt;1,OperBgt!AT38&gt;ROUND((1-Vacancy)*Units,0),AT36&gt;AT19),"Alert","")</f>
        <v/>
      </c>
      <c r="AU3" s="642" t="str">
        <f>IF(OR(AU37&gt;1,OperBgt!AU38&gt;ROUND((1-Vacancy)*Units,0),AU36&gt;AU19),"Alert","")</f>
        <v/>
      </c>
      <c r="AV3" s="642" t="str">
        <f>IF(OR(AV37&gt;1,OperBgt!AV38&gt;ROUND((1-Vacancy)*Units,0),AV36&gt;AV19),"Alert","")</f>
        <v/>
      </c>
      <c r="AW3" s="642" t="str">
        <f>IF(OR(AW37&gt;1,OperBgt!AW38&gt;ROUND((1-Vacancy)*Units,0),AW36&gt;AW19),"Alert","")</f>
        <v/>
      </c>
      <c r="AX3" s="642" t="str">
        <f>IF(OR(AX37&gt;1,OperBgt!AX38&gt;ROUND((1-Vacancy)*Units,0),AX36&gt;AX19),"Alert","")</f>
        <v/>
      </c>
      <c r="AY3" s="642" t="str">
        <f>IF(OR(AY37&gt;1,OperBgt!AY38&gt;ROUND((1-Vacancy)*Units,0),AY36&gt;AY19),"Alert","")</f>
        <v/>
      </c>
      <c r="AZ3" s="642" t="str">
        <f>IF(OR(AZ37&gt;1,OperBgt!AZ38&gt;ROUND((1-Vacancy)*Units,0),AZ36&gt;AZ19),"Alert","")</f>
        <v/>
      </c>
      <c r="BA3" s="642" t="str">
        <f>IF(OR(BA37&gt;1,OperBgt!BA38&gt;ROUND((1-Vacancy)*Units,0),BA36&gt;BA19),"Alert","")</f>
        <v/>
      </c>
      <c r="BB3" s="642" t="str">
        <f>IF(OR(BB37&gt;1,OperBgt!BB38&gt;ROUND((1-Vacancy)*Units,0),BB36&gt;BB19),"Alert","")</f>
        <v/>
      </c>
      <c r="BC3" s="642" t="str">
        <f>IF(OR(BC37&gt;1,OperBgt!BC38&gt;ROUND((1-Vacancy)*Units,0),BC36&gt;BC19),"Alert","")</f>
        <v/>
      </c>
      <c r="BD3" s="642" t="str">
        <f>IF(OR(BD37&gt;1,OperBgt!BD38&gt;ROUND((1-Vacancy)*Units,0),BD36&gt;BD19),"Alert","")</f>
        <v/>
      </c>
      <c r="BE3" s="642" t="str">
        <f>IF(OR(BE37&gt;1,OperBgt!BE38&gt;ROUND((1-Vacancy)*Units,0),BE36&gt;BE19),"Alert","")</f>
        <v/>
      </c>
      <c r="BF3" s="642" t="str">
        <f>IF(OR(BF37&gt;1,OperBgt!BF38&gt;ROUND((1-Vacancy)*Units,0),BF36&gt;BF19),"Alert","")</f>
        <v/>
      </c>
      <c r="BG3" s="642" t="str">
        <f>IF(OR(BG37&gt;1,OperBgt!BG38&gt;ROUND((1-Vacancy)*Units,0),BG36&gt;BG19),"Alert","")</f>
        <v/>
      </c>
      <c r="BH3" s="642" t="str">
        <f>IF(OR(BH37&gt;1,OperBgt!BH38&gt;ROUND((1-Vacancy)*Units,0),BH36&gt;BH19),"Alert","")</f>
        <v/>
      </c>
      <c r="BI3" s="642" t="str">
        <f>IF(OR(BI37&gt;1,OperBgt!BI38&gt;ROUND((1-Vacancy)*Units,0),BI36&gt;BI19),"Alert","")</f>
        <v/>
      </c>
      <c r="BJ3" s="642" t="str">
        <f>IF(OR(BJ37&gt;1,OperBgt!BJ38&gt;ROUND((1-Vacancy)*Units,0),BJ36&gt;BJ19),"Alert","")</f>
        <v/>
      </c>
      <c r="BK3" s="642" t="str">
        <f>IF(OR(BK37&gt;1,OperBgt!BK38&gt;ROUND((1-Vacancy)*Units,0),BK36&gt;BK19),"Alert","")</f>
        <v/>
      </c>
      <c r="BL3" s="642" t="str">
        <f>IF(OR(BL37&gt;1,OperBgt!BL38&gt;ROUND((1-Vacancy)*Units,0),BL36&gt;BL19),"Alert","")</f>
        <v/>
      </c>
      <c r="BM3" s="642" t="str">
        <f>IF(OR(BM37&gt;1,OperBgt!BM38&gt;ROUND((1-Vacancy)*Units,0),BM36&gt;BM19),"Alert","")</f>
        <v/>
      </c>
      <c r="BN3" s="642" t="str">
        <f>IF(OR(BN37&gt;1,OperBgt!BN38&gt;ROUND((1-Vacancy)*Units,0),BN36&gt;BN19),"Alert","")</f>
        <v/>
      </c>
      <c r="BO3" s="642" t="str">
        <f>IF(OR(BO37&gt;1,OperBgt!BO38&gt;ROUND((1-Vacancy)*Units,0),BO36&gt;BO19),"Alert","")</f>
        <v/>
      </c>
      <c r="BP3" s="642" t="str">
        <f>IF(OR(BP37&gt;1,OperBgt!BP38&gt;ROUND((1-Vacancy)*Units,0),BP36&gt;BP19),"Alert","")</f>
        <v/>
      </c>
      <c r="BQ3" s="642" t="str">
        <f>IF(OR(BQ37&gt;1,OperBgt!BQ38&gt;ROUND((1-Vacancy)*Units,0),BQ36&gt;BQ19),"Alert","")</f>
        <v/>
      </c>
      <c r="BR3" s="642" t="str">
        <f>IF(OR(BR37&gt;1,OperBgt!BR38&gt;ROUND((1-Vacancy)*Units,0),BR36&gt;BR19),"Alert","")</f>
        <v/>
      </c>
      <c r="BS3" s="642" t="str">
        <f>IF(OR(BS37&gt;1,OperBgt!BS38&gt;ROUND((1-Vacancy)*Units,0),BS36&gt;BS19),"Alert","")</f>
        <v/>
      </c>
      <c r="BT3" s="642" t="str">
        <f>IF(OR(BT37&gt;1,OperBgt!BT38&gt;ROUND((1-Vacancy)*Units,0),BT36&gt;BT19),"Alert","")</f>
        <v/>
      </c>
      <c r="BU3" s="642" t="str">
        <f>IF(OR(BU37&gt;1,OperBgt!BU38&gt;ROUND((1-Vacancy)*Units,0),BU36&gt;BU19),"Alert","")</f>
        <v/>
      </c>
      <c r="BV3" s="642" t="str">
        <f>IF(OR(BV37&gt;1,OperBgt!BV38&gt;ROUND((1-Vacancy)*Units,0),BV36&gt;BV19),"Alert","")</f>
        <v/>
      </c>
      <c r="BW3" s="642" t="str">
        <f>IF(OR(BW37&gt;1,OperBgt!BW38&gt;ROUND((1-Vacancy)*Units,0),BW36&gt;BW19),"Alert","")</f>
        <v/>
      </c>
      <c r="BX3" s="642" t="str">
        <f>IF(OR(BX37&gt;1,OperBgt!BX38&gt;ROUND((1-Vacancy)*Units,0),BX36&gt;BX19),"Alert","")</f>
        <v/>
      </c>
      <c r="BY3" s="642" t="str">
        <f>IF(OR(BY37&gt;1,OperBgt!BY38&gt;ROUND((1-Vacancy)*Units,0),BY36&gt;BY19),"Alert","")</f>
        <v/>
      </c>
      <c r="BZ3" s="642" t="str">
        <f>IF(OR(BZ37&gt;1,OperBgt!BZ38&gt;ROUND((1-Vacancy)*Units,0),BZ36&gt;BZ19),"Alert","")</f>
        <v/>
      </c>
      <c r="CA3" s="642" t="str">
        <f>IF(OR(CA37&gt;1,OperBgt!CA38&gt;ROUND((1-Vacancy)*Units,0),CA36&gt;CA19),"Alert","")</f>
        <v/>
      </c>
      <c r="CB3" s="642" t="str">
        <f>IF(OR(CB37&gt;1,OperBgt!CB38&gt;ROUND((1-Vacancy)*Units,0),CB36&gt;CB19),"Alert","")</f>
        <v/>
      </c>
      <c r="CC3" s="642" t="str">
        <f>IF(OR(CC37&gt;1,OperBgt!CC38&gt;ROUND((1-Vacancy)*Units,0),CC36&gt;CC19),"Alert","")</f>
        <v/>
      </c>
      <c r="CD3" s="642" t="str">
        <f>IF(OR(CD37&gt;1,OperBgt!CD38&gt;ROUND((1-Vacancy)*Units,0),CD36&gt;CD19),"Alert","")</f>
        <v/>
      </c>
      <c r="CE3" s="642" t="str">
        <f>IF(OR(CE37&gt;1,OperBgt!CE38&gt;ROUND((1-Vacancy)*Units,0),CE36&gt;CE19),"Alert","")</f>
        <v/>
      </c>
      <c r="CF3" s="642" t="str">
        <f>IF(OR(CF37&gt;1,OperBgt!CF38&gt;ROUND((1-Vacancy)*Units,0),CF36&gt;CF19),"Alert","")</f>
        <v/>
      </c>
      <c r="CG3" s="642" t="str">
        <f>IF(OR(CG37&gt;1,OperBgt!CG38&gt;ROUND((1-Vacancy)*Units,0),CG36&gt;CG19),"Alert","")</f>
        <v/>
      </c>
      <c r="CH3" s="642" t="str">
        <f>IF(OR(CH37&gt;1,OperBgt!CH38&gt;ROUND((1-Vacancy)*Units,0),CH36&gt;CH19),"Alert","")</f>
        <v/>
      </c>
      <c r="CI3" s="642" t="str">
        <f>IF(OR(CI37&gt;1,OperBgt!CI38&gt;ROUND((1-Vacancy)*Units,0),CI36&gt;CI19),"Alert","")</f>
        <v/>
      </c>
      <c r="CJ3" s="642" t="str">
        <f>IF(OR(CJ37&gt;1,OperBgt!CJ38&gt;ROUND((1-Vacancy)*Units,0),CJ36&gt;CJ19),"Alert","")</f>
        <v/>
      </c>
      <c r="CK3" s="642" t="str">
        <f>IF(OR(CK37&gt;1,OperBgt!CK38&gt;ROUND((1-Vacancy)*Units,0),CK36&gt;CK19),"Alert","")</f>
        <v/>
      </c>
      <c r="CL3" s="642" t="str">
        <f>IF(OR(CL37&gt;1,OperBgt!CL38&gt;ROUND((1-Vacancy)*Units,0),CL36&gt;CL19),"Alert","")</f>
        <v/>
      </c>
      <c r="CM3" s="642" t="str">
        <f>IF(OR(CM37&gt;1,OperBgt!CM38&gt;ROUND((1-Vacancy)*Units,0),CM36&gt;CM19),"Alert","")</f>
        <v/>
      </c>
      <c r="CN3" s="642" t="str">
        <f>IF(OR(CN37&gt;1,OperBgt!CN38&gt;ROUND((1-Vacancy)*Units,0),CN36&gt;CN19),"Alert","")</f>
        <v/>
      </c>
      <c r="CO3" s="642" t="str">
        <f>IF(OR(CO37&gt;1,OperBgt!CO38&gt;ROUND((1-Vacancy)*Units,0),CO36&gt;CO19),"Alert","")</f>
        <v/>
      </c>
      <c r="CP3" s="642" t="str">
        <f>IF(OR(CP37&gt;1,OperBgt!CP38&gt;ROUND((1-Vacancy)*Units,0),CP36&gt;CP19),"Alert","")</f>
        <v/>
      </c>
      <c r="CQ3" s="642" t="str">
        <f>IF(OR(CQ37&gt;1,OperBgt!CQ38&gt;ROUND((1-Vacancy)*Units,0),CQ36&gt;CQ19),"Alert","")</f>
        <v/>
      </c>
      <c r="CR3" s="642" t="str">
        <f>IF(OR(CR37&gt;1,OperBgt!CR38&gt;ROUND((1-Vacancy)*Units,0),CR36&gt;CR19),"Alert","")</f>
        <v/>
      </c>
      <c r="CS3" s="642" t="str">
        <f>IF(OR(CS37&gt;1,OperBgt!CS38&gt;ROUND((1-Vacancy)*Units,0),CS36&gt;CS19),"Alert","")</f>
        <v/>
      </c>
      <c r="CT3" s="642" t="str">
        <f>IF(OR(CT37&gt;1,OperBgt!CT38&gt;ROUND((1-Vacancy)*Units,0),CT36&gt;CT19),"Alert","")</f>
        <v/>
      </c>
      <c r="CU3" s="642" t="str">
        <f>IF(OR(CU37&gt;1,OperBgt!CU38&gt;ROUND((1-Vacancy)*Units,0),CU36&gt;CU19),"Alert","")</f>
        <v/>
      </c>
      <c r="CV3" s="642" t="str">
        <f>IF(OR(CV37&gt;1,OperBgt!CV38&gt;ROUND((1-Vacancy)*Units,0),CV36&gt;CV19),"Alert","")</f>
        <v/>
      </c>
      <c r="CW3" s="642" t="str">
        <f>IF(OR(CW37&gt;1,OperBgt!CW38&gt;ROUND((1-Vacancy)*Units,0),CW36&gt;CW19),"Alert","")</f>
        <v/>
      </c>
      <c r="CX3" s="642" t="str">
        <f>IF(OR(CX37&gt;1,OperBgt!CX38&gt;ROUND((1-Vacancy)*Units,0),CX36&gt;CX19),"Alert","")</f>
        <v/>
      </c>
      <c r="CY3" s="642" t="str">
        <f>IF(OR(CY37&gt;1,OperBgt!CY38&gt;ROUND((1-Vacancy)*Units,0),CY36&gt;CY19),"Alert","")</f>
        <v/>
      </c>
      <c r="CZ3" s="642" t="str">
        <f>IF(OR(CZ37&gt;1,OperBgt!CZ38&gt;ROUND((1-Vacancy)*Units,0),CZ36&gt;CZ19),"Alert","")</f>
        <v/>
      </c>
      <c r="DA3" s="642" t="str">
        <f>IF(OR(DA37&gt;1,OperBgt!DA38&gt;ROUND((1-Vacancy)*Units,0),DA36&gt;DA19),"Alert","")</f>
        <v/>
      </c>
      <c r="DB3" s="642" t="str">
        <f>IF(OR(DB37&gt;1,OperBgt!DB38&gt;ROUND((1-Vacancy)*Units,0),DB36&gt;DB19),"Alert","")</f>
        <v/>
      </c>
      <c r="DC3" s="642" t="str">
        <f>IF(OR(DC37&gt;1,OperBgt!DC38&gt;ROUND((1-Vacancy)*Units,0),DC36&gt;DC19),"Alert","")</f>
        <v/>
      </c>
      <c r="DD3" s="642" t="str">
        <f>IF(OR(DD37&gt;1,OperBgt!DD38&gt;ROUND((1-Vacancy)*Units,0),DD36&gt;DD19),"Alert","")</f>
        <v/>
      </c>
      <c r="DE3" s="642" t="str">
        <f>IF(OR(DE37&gt;1,OperBgt!DE38&gt;ROUND((1-Vacancy)*Units,0),DE36&gt;DE19),"Alert","")</f>
        <v/>
      </c>
      <c r="DF3" s="642" t="str">
        <f>IF(OR(DF37&gt;1,OperBgt!DF38&gt;ROUND((1-Vacancy)*Units,0),DF36&gt;DF19),"Alert","")</f>
        <v/>
      </c>
      <c r="DG3" s="642" t="str">
        <f>IF(OR(DG37&gt;1,OperBgt!DG38&gt;ROUND((1-Vacancy)*Units,0),DG36&gt;DG19),"Alert","")</f>
        <v/>
      </c>
      <c r="DH3" s="642" t="str">
        <f>IF(OR(DH37&gt;1,OperBgt!DH38&gt;ROUND((1-Vacancy)*Units,0),DH36&gt;DH19),"Alert","")</f>
        <v/>
      </c>
      <c r="DI3" s="642" t="str">
        <f>IF(OR(DI37&gt;1,OperBgt!DI38&gt;ROUND((1-Vacancy)*Units,0),DI36&gt;DI19),"Alert","")</f>
        <v/>
      </c>
      <c r="DJ3" s="642" t="str">
        <f>IF(OR(DJ37&gt;1,OperBgt!DJ38&gt;ROUND((1-Vacancy)*Units,0),DJ36&gt;DJ19),"Alert","")</f>
        <v/>
      </c>
      <c r="DK3" s="642" t="str">
        <f>IF(OR(DK37&gt;1,OperBgt!DK38&gt;ROUND((1-Vacancy)*Units,0),DK36&gt;DK19),"Alert","")</f>
        <v/>
      </c>
      <c r="DL3" s="642" t="str">
        <f>IF(OR(DL37&gt;1,OperBgt!DL38&gt;ROUND((1-Vacancy)*Units,0),DL36&gt;DL19),"Alert","")</f>
        <v/>
      </c>
      <c r="DM3" s="642" t="str">
        <f>IF(OR(DM37&gt;1,OperBgt!DM38&gt;ROUND((1-Vacancy)*Units,0),DM36&gt;DM19),"Alert","")</f>
        <v/>
      </c>
      <c r="DN3" s="642" t="str">
        <f>IF(OR(DN37&gt;1,OperBgt!DN38&gt;ROUND((1-Vacancy)*Units,0),DN36&gt;DN19),"Alert","")</f>
        <v/>
      </c>
      <c r="DO3" s="642" t="str">
        <f>IF(OR(DO37&gt;1,OperBgt!DO38&gt;ROUND((1-Vacancy)*Units,0),DO36&gt;DO19),"Alert","")</f>
        <v/>
      </c>
      <c r="DP3" s="642" t="str">
        <f>IF(OR(DP37&gt;1,OperBgt!DP38&gt;ROUND((1-Vacancy)*Units,0),DP36&gt;DP19),"Alert","")</f>
        <v/>
      </c>
      <c r="DQ3" s="642" t="str">
        <f>IF(OR(DQ37&gt;1,OperBgt!DQ38&gt;ROUND((1-Vacancy)*Units,0),DQ36&gt;DQ19),"Alert","")</f>
        <v/>
      </c>
      <c r="DR3" s="642" t="str">
        <f>IF(OR(DR37&gt;1,OperBgt!DR38&gt;ROUND((1-Vacancy)*Units,0),DR36&gt;DR19),"Alert","")</f>
        <v/>
      </c>
      <c r="DS3" s="642" t="str">
        <f>IF(OR(DS37&gt;1,OperBgt!DS38&gt;ROUND((1-Vacancy)*Units,0),DS36&gt;DS19),"Alert","")</f>
        <v/>
      </c>
      <c r="DT3" s="642" t="str">
        <f>IF(OR(DT37&gt;1,OperBgt!DT38&gt;ROUND((1-Vacancy)*Units,0),DT36&gt;DT19),"Alert","")</f>
        <v/>
      </c>
      <c r="DU3" s="642" t="str">
        <f>IF(OR(DU37&gt;1,OperBgt!DU38&gt;ROUND((1-Vacancy)*Units,0),DU36&gt;DU19),"Alert","")</f>
        <v/>
      </c>
      <c r="DV3" s="642" t="str">
        <f>IF(OR(DV37&gt;1,OperBgt!DV38&gt;ROUND((1-Vacancy)*Units,0),DV36&gt;DV19),"Alert","")</f>
        <v/>
      </c>
      <c r="DW3" s="642" t="str">
        <f>IF(OR(DW37&gt;1,OperBgt!DW38&gt;ROUND((1-Vacancy)*Units,0),DW36&gt;DW19),"Alert","")</f>
        <v/>
      </c>
      <c r="DX3" s="642" t="str">
        <f>IF(OR(DX37&gt;1,OperBgt!DX38&gt;ROUND((1-Vacancy)*Units,0),DX36&gt;DX19),"Alert","")</f>
        <v/>
      </c>
      <c r="DY3" s="642" t="str">
        <f>IF(OR(DY37&gt;1,OperBgt!DY38&gt;ROUND((1-Vacancy)*Units,0),DY36&gt;DY19),"Alert","")</f>
        <v/>
      </c>
      <c r="DZ3" s="642" t="str">
        <f>IF(OR(DZ37&gt;1,OperBgt!DZ38&gt;ROUND((1-Vacancy)*Units,0),DZ36&gt;DZ19),"Alert","")</f>
        <v/>
      </c>
      <c r="EA3" s="642" t="str">
        <f>IF(OR(EA37&gt;1,OperBgt!EA38&gt;ROUND((1-Vacancy)*Units,0),EA36&gt;EA19),"Alert","")</f>
        <v/>
      </c>
      <c r="EB3" s="642" t="str">
        <f>IF(OR(EB37&gt;1,OperBgt!EB38&gt;ROUND((1-Vacancy)*Units,0),EB36&gt;EB19),"Alert","")</f>
        <v/>
      </c>
      <c r="EC3" s="642" t="str">
        <f>IF(OR(EC37&gt;1,OperBgt!EC38&gt;ROUND((1-Vacancy)*Units,0),EC36&gt;EC19),"Alert","")</f>
        <v/>
      </c>
      <c r="ED3" s="642" t="str">
        <f>IF(OR(ED37&gt;1,OperBgt!ED38&gt;ROUND((1-Vacancy)*Units,0),ED36&gt;ED19),"Alert","")</f>
        <v/>
      </c>
      <c r="EE3" s="642" t="str">
        <f>IF(OR(EE37&gt;1,OperBgt!EE38&gt;ROUND((1-Vacancy)*Units,0),EE36&gt;EE19),"Alert","")</f>
        <v/>
      </c>
      <c r="EF3" s="642" t="str">
        <f>IF(OR(EF37&gt;1,OperBgt!EF38&gt;ROUND((1-Vacancy)*Units,0),EF36&gt;EF19),"Alert","")</f>
        <v/>
      </c>
      <c r="EG3" s="642" t="str">
        <f>IF(OR(EG37&gt;1,OperBgt!EG38&gt;ROUND((1-Vacancy)*Units,0),EG36&gt;EG19),"Alert","")</f>
        <v/>
      </c>
      <c r="EH3" s="642" t="str">
        <f>IF(OR(EH37&gt;1,OperBgt!EH38&gt;ROUND((1-Vacancy)*Units,0),EH36&gt;EH19),"Alert","")</f>
        <v/>
      </c>
      <c r="EL3" s="642"/>
      <c r="EM3" s="642"/>
    </row>
    <row r="4" spans="1:143" ht="7.5" customHeight="1" x14ac:dyDescent="0.3"/>
    <row r="5" spans="1:143" s="668" customFormat="1" x14ac:dyDescent="0.3">
      <c r="A5" s="664"/>
      <c r="B5" s="664"/>
      <c r="C5" s="664"/>
      <c r="D5" s="664"/>
      <c r="E5" s="665"/>
      <c r="F5" s="665"/>
      <c r="G5" s="666">
        <f>DevBdgt!F6</f>
        <v>1</v>
      </c>
      <c r="H5" s="666">
        <f>DevBdgt!G6</f>
        <v>2</v>
      </c>
      <c r="I5" s="666">
        <f>DevBdgt!H6</f>
        <v>3</v>
      </c>
      <c r="J5" s="666">
        <f>DevBdgt!I6</f>
        <v>4</v>
      </c>
      <c r="K5" s="666">
        <f>DevBdgt!J6</f>
        <v>5</v>
      </c>
      <c r="L5" s="666">
        <f>DevBdgt!K6</f>
        <v>6</v>
      </c>
      <c r="M5" s="666">
        <f>DevBdgt!L6</f>
        <v>7</v>
      </c>
      <c r="N5" s="666">
        <f>DevBdgt!M6</f>
        <v>8</v>
      </c>
      <c r="O5" s="666">
        <f>DevBdgt!N6</f>
        <v>9</v>
      </c>
      <c r="P5" s="666">
        <f>DevBdgt!O6</f>
        <v>10</v>
      </c>
      <c r="Q5" s="666">
        <f>DevBdgt!P6</f>
        <v>11</v>
      </c>
      <c r="R5" s="666">
        <f>DevBdgt!Q6</f>
        <v>12</v>
      </c>
      <c r="S5" s="666">
        <f>DevBdgt!R6</f>
        <v>13</v>
      </c>
      <c r="T5" s="666">
        <f>DevBdgt!S6</f>
        <v>14</v>
      </c>
      <c r="U5" s="666">
        <f>DevBdgt!T6</f>
        <v>15</v>
      </c>
      <c r="V5" s="666">
        <f>DevBdgt!U6</f>
        <v>16</v>
      </c>
      <c r="W5" s="666">
        <f>DevBdgt!V6</f>
        <v>17</v>
      </c>
      <c r="X5" s="666">
        <f>DevBdgt!W6</f>
        <v>18</v>
      </c>
      <c r="Y5" s="666">
        <f>DevBdgt!X6</f>
        <v>19</v>
      </c>
      <c r="Z5" s="666">
        <f>DevBdgt!Y6</f>
        <v>20</v>
      </c>
      <c r="AA5" s="666">
        <f>DevBdgt!Z6</f>
        <v>21</v>
      </c>
      <c r="AB5" s="666">
        <f>DevBdgt!AA6</f>
        <v>22</v>
      </c>
      <c r="AC5" s="666">
        <f>DevBdgt!AB6</f>
        <v>23</v>
      </c>
      <c r="AD5" s="666">
        <f>DevBdgt!AC6</f>
        <v>24</v>
      </c>
      <c r="AE5" s="666">
        <f>DevBdgt!AD6</f>
        <v>25</v>
      </c>
      <c r="AF5" s="666">
        <f>DevBdgt!AE6</f>
        <v>26</v>
      </c>
      <c r="AG5" s="666">
        <f>DevBdgt!AF6</f>
        <v>27</v>
      </c>
      <c r="AH5" s="666">
        <f>DevBdgt!AG6</f>
        <v>28</v>
      </c>
      <c r="AI5" s="666">
        <f>DevBdgt!AH6</f>
        <v>29</v>
      </c>
      <c r="AJ5" s="666">
        <f>DevBdgt!AI6</f>
        <v>30</v>
      </c>
      <c r="AK5" s="666">
        <f>DevBdgt!AJ6</f>
        <v>31</v>
      </c>
      <c r="AL5" s="666">
        <f>DevBdgt!AK6</f>
        <v>32</v>
      </c>
      <c r="AM5" s="666">
        <f>DevBdgt!AL6</f>
        <v>33</v>
      </c>
      <c r="AN5" s="666">
        <f>DevBdgt!AM6</f>
        <v>34</v>
      </c>
      <c r="AO5" s="666">
        <f>DevBdgt!AN6</f>
        <v>35</v>
      </c>
      <c r="AP5" s="666">
        <f>DevBdgt!AO6</f>
        <v>36</v>
      </c>
      <c r="AQ5" s="666">
        <f>DevBdgt!AP6</f>
        <v>37</v>
      </c>
      <c r="AR5" s="666">
        <f>DevBdgt!AQ6</f>
        <v>38</v>
      </c>
      <c r="AS5" s="666">
        <f>DevBdgt!AR6</f>
        <v>39</v>
      </c>
      <c r="AT5" s="666">
        <f>DevBdgt!AS6</f>
        <v>40</v>
      </c>
      <c r="AU5" s="666">
        <f>DevBdgt!AT6</f>
        <v>41</v>
      </c>
      <c r="AV5" s="666">
        <f>DevBdgt!AU6</f>
        <v>42</v>
      </c>
      <c r="AW5" s="666">
        <f>DevBdgt!AV6</f>
        <v>43</v>
      </c>
      <c r="AX5" s="666">
        <f>DevBdgt!AW6</f>
        <v>44</v>
      </c>
      <c r="AY5" s="666">
        <f>DevBdgt!AX6</f>
        <v>45</v>
      </c>
      <c r="AZ5" s="666">
        <f>DevBdgt!AY6</f>
        <v>46</v>
      </c>
      <c r="BA5" s="666">
        <f>DevBdgt!AZ6</f>
        <v>47</v>
      </c>
      <c r="BB5" s="666">
        <f>DevBdgt!BA6</f>
        <v>48</v>
      </c>
      <c r="BC5" s="666">
        <f>DevBdgt!BB6</f>
        <v>49</v>
      </c>
      <c r="BD5" s="666">
        <f>DevBdgt!BC6</f>
        <v>50</v>
      </c>
      <c r="BE5" s="666">
        <f>DevBdgt!BD6</f>
        <v>51</v>
      </c>
      <c r="BF5" s="666">
        <f>DevBdgt!BE6</f>
        <v>52</v>
      </c>
      <c r="BG5" s="666">
        <f>DevBdgt!BF6</f>
        <v>53</v>
      </c>
      <c r="BH5" s="666">
        <f>DevBdgt!BG6</f>
        <v>54</v>
      </c>
      <c r="BI5" s="666">
        <f>DevBdgt!BH6</f>
        <v>55</v>
      </c>
      <c r="BJ5" s="666">
        <f>DevBdgt!BI6</f>
        <v>56</v>
      </c>
      <c r="BK5" s="666">
        <f>DevBdgt!BJ6</f>
        <v>57</v>
      </c>
      <c r="BL5" s="666">
        <f>DevBdgt!BK6</f>
        <v>58</v>
      </c>
      <c r="BM5" s="666">
        <f>DevBdgt!BL6</f>
        <v>59</v>
      </c>
      <c r="BN5" s="666">
        <f>DevBdgt!BM6</f>
        <v>60</v>
      </c>
      <c r="BO5" s="666">
        <f>DevBdgt!BN6</f>
        <v>61</v>
      </c>
      <c r="BP5" s="666">
        <f>DevBdgt!BO6</f>
        <v>62</v>
      </c>
      <c r="BQ5" s="666">
        <f>DevBdgt!BP6</f>
        <v>63</v>
      </c>
      <c r="BR5" s="666">
        <f>DevBdgt!BQ6</f>
        <v>64</v>
      </c>
      <c r="BS5" s="666">
        <f>DevBdgt!BR6</f>
        <v>65</v>
      </c>
      <c r="BT5" s="666">
        <f>DevBdgt!BS6</f>
        <v>66</v>
      </c>
      <c r="BU5" s="666">
        <f>DevBdgt!BT6</f>
        <v>67</v>
      </c>
      <c r="BV5" s="666">
        <f>DevBdgt!BU6</f>
        <v>68</v>
      </c>
      <c r="BW5" s="666">
        <f>DevBdgt!BV6</f>
        <v>69</v>
      </c>
      <c r="BX5" s="666">
        <f>DevBdgt!BW6</f>
        <v>70</v>
      </c>
      <c r="BY5" s="666">
        <f>DevBdgt!BX6</f>
        <v>71</v>
      </c>
      <c r="BZ5" s="666">
        <f>DevBdgt!BY6</f>
        <v>72</v>
      </c>
      <c r="CA5" s="666">
        <f>DevBdgt!BZ6</f>
        <v>73</v>
      </c>
      <c r="CB5" s="666">
        <f>DevBdgt!CA6</f>
        <v>74</v>
      </c>
      <c r="CC5" s="666">
        <f>DevBdgt!CB6</f>
        <v>75</v>
      </c>
      <c r="CD5" s="666">
        <f>DevBdgt!CC6</f>
        <v>76</v>
      </c>
      <c r="CE5" s="666">
        <f>DevBdgt!CD6</f>
        <v>77</v>
      </c>
      <c r="CF5" s="666">
        <f>DevBdgt!CE6</f>
        <v>78</v>
      </c>
      <c r="CG5" s="666">
        <f>DevBdgt!CF6</f>
        <v>79</v>
      </c>
      <c r="CH5" s="666">
        <f>DevBdgt!CG6</f>
        <v>80</v>
      </c>
      <c r="CI5" s="666">
        <f>DevBdgt!CH6</f>
        <v>81</v>
      </c>
      <c r="CJ5" s="666">
        <f>DevBdgt!CI6</f>
        <v>82</v>
      </c>
      <c r="CK5" s="666">
        <f>DevBdgt!CJ6</f>
        <v>83</v>
      </c>
      <c r="CL5" s="666">
        <f>DevBdgt!CK6</f>
        <v>84</v>
      </c>
      <c r="CM5" s="666">
        <f>DevBdgt!CL6</f>
        <v>85</v>
      </c>
      <c r="CN5" s="666">
        <f>DevBdgt!CM6</f>
        <v>86</v>
      </c>
      <c r="CO5" s="666">
        <f>DevBdgt!CN6</f>
        <v>87</v>
      </c>
      <c r="CP5" s="666">
        <f>DevBdgt!CO6</f>
        <v>88</v>
      </c>
      <c r="CQ5" s="666">
        <f>DevBdgt!CP6</f>
        <v>89</v>
      </c>
      <c r="CR5" s="666">
        <f>DevBdgt!CQ6</f>
        <v>90</v>
      </c>
      <c r="CS5" s="666">
        <f>DevBdgt!CR6</f>
        <v>91</v>
      </c>
      <c r="CT5" s="666">
        <f>DevBdgt!CS6</f>
        <v>92</v>
      </c>
      <c r="CU5" s="666">
        <f>DevBdgt!CT6</f>
        <v>93</v>
      </c>
      <c r="CV5" s="666">
        <f>DevBdgt!CU6</f>
        <v>94</v>
      </c>
      <c r="CW5" s="666">
        <f>DevBdgt!CV6</f>
        <v>95</v>
      </c>
      <c r="CX5" s="666">
        <f>DevBdgt!CW6</f>
        <v>96</v>
      </c>
      <c r="CY5" s="666">
        <f>DevBdgt!CX6</f>
        <v>97</v>
      </c>
      <c r="CZ5" s="666">
        <f>DevBdgt!CY6</f>
        <v>98</v>
      </c>
      <c r="DA5" s="666">
        <f>DevBdgt!CZ6</f>
        <v>99</v>
      </c>
      <c r="DB5" s="666">
        <f>DevBdgt!DA6</f>
        <v>100</v>
      </c>
      <c r="DC5" s="666">
        <f>DevBdgt!DB6</f>
        <v>101</v>
      </c>
      <c r="DD5" s="666">
        <f>DevBdgt!DC6</f>
        <v>102</v>
      </c>
      <c r="DE5" s="666">
        <f>DevBdgt!DD6</f>
        <v>103</v>
      </c>
      <c r="DF5" s="666">
        <f>DevBdgt!DE6</f>
        <v>104</v>
      </c>
      <c r="DG5" s="666">
        <f>DevBdgt!DF6</f>
        <v>105</v>
      </c>
      <c r="DH5" s="666">
        <f>DevBdgt!DG6</f>
        <v>106</v>
      </c>
      <c r="DI5" s="666">
        <f>DevBdgt!DH6</f>
        <v>107</v>
      </c>
      <c r="DJ5" s="666">
        <f>DevBdgt!DI6</f>
        <v>108</v>
      </c>
      <c r="DK5" s="666">
        <f>DevBdgt!DJ6</f>
        <v>109</v>
      </c>
      <c r="DL5" s="666">
        <f>DevBdgt!DK6</f>
        <v>110</v>
      </c>
      <c r="DM5" s="666">
        <f>DevBdgt!DL6</f>
        <v>111</v>
      </c>
      <c r="DN5" s="666">
        <f>DevBdgt!DM6</f>
        <v>112</v>
      </c>
      <c r="DO5" s="666">
        <f>DevBdgt!DN6</f>
        <v>113</v>
      </c>
      <c r="DP5" s="666">
        <f>DevBdgt!DO6</f>
        <v>114</v>
      </c>
      <c r="DQ5" s="666">
        <f>DevBdgt!DP6</f>
        <v>115</v>
      </c>
      <c r="DR5" s="666">
        <f>DevBdgt!DQ6</f>
        <v>116</v>
      </c>
      <c r="DS5" s="666">
        <f>DevBdgt!DR6</f>
        <v>117</v>
      </c>
      <c r="DT5" s="666">
        <f>DevBdgt!DS6</f>
        <v>118</v>
      </c>
      <c r="DU5" s="666">
        <f>DevBdgt!DT6</f>
        <v>119</v>
      </c>
      <c r="DV5" s="666">
        <f>DevBdgt!DU6</f>
        <v>120</v>
      </c>
      <c r="DW5" s="666">
        <f>DevBdgt!DV6</f>
        <v>121</v>
      </c>
      <c r="DX5" s="666">
        <f>DevBdgt!DW6</f>
        <v>122</v>
      </c>
      <c r="DY5" s="666">
        <f>DevBdgt!DX6</f>
        <v>123</v>
      </c>
      <c r="DZ5" s="666">
        <f>DevBdgt!DY6</f>
        <v>124</v>
      </c>
      <c r="EA5" s="666">
        <f>DevBdgt!DZ6</f>
        <v>125</v>
      </c>
      <c r="EB5" s="666">
        <f>DevBdgt!EA6</f>
        <v>126</v>
      </c>
      <c r="EC5" s="666">
        <f>DevBdgt!EB6</f>
        <v>127</v>
      </c>
      <c r="ED5" s="666">
        <f>DevBdgt!EC6</f>
        <v>128</v>
      </c>
      <c r="EE5" s="666">
        <f>DevBdgt!ED6</f>
        <v>129</v>
      </c>
      <c r="EF5" s="666">
        <f>DevBdgt!EE6</f>
        <v>130</v>
      </c>
      <c r="EG5" s="666">
        <f>DevBdgt!EF6</f>
        <v>131</v>
      </c>
      <c r="EH5" s="666">
        <f>DevBdgt!EG6</f>
        <v>132</v>
      </c>
      <c r="EI5" s="667"/>
      <c r="EJ5"/>
    </row>
    <row r="6" spans="1:143" s="668" customFormat="1" ht="15" thickBot="1" x14ac:dyDescent="0.35">
      <c r="A6" s="669"/>
      <c r="B6" s="669"/>
      <c r="C6" s="669"/>
      <c r="D6" s="669"/>
      <c r="E6" s="670">
        <f>'General Inputs'!C37</f>
        <v>46174</v>
      </c>
      <c r="F6" s="670">
        <f>JVClosingDate</f>
        <v>46631</v>
      </c>
      <c r="G6" s="671">
        <f>DevBdgt!F7</f>
        <v>46661</v>
      </c>
      <c r="H6" s="671">
        <f>DevBdgt!G7</f>
        <v>46692</v>
      </c>
      <c r="I6" s="671">
        <f>DevBdgt!H7</f>
        <v>46722</v>
      </c>
      <c r="J6" s="671">
        <f>DevBdgt!I7</f>
        <v>46753</v>
      </c>
      <c r="K6" s="671">
        <f>DevBdgt!J7</f>
        <v>46784</v>
      </c>
      <c r="L6" s="671">
        <f>DevBdgt!K7</f>
        <v>46813</v>
      </c>
      <c r="M6" s="671">
        <f>DevBdgt!L7</f>
        <v>46844</v>
      </c>
      <c r="N6" s="671">
        <f>DevBdgt!M7</f>
        <v>46874</v>
      </c>
      <c r="O6" s="671">
        <f>DevBdgt!N7</f>
        <v>46905</v>
      </c>
      <c r="P6" s="671">
        <f>DevBdgt!O7</f>
        <v>46935</v>
      </c>
      <c r="Q6" s="671">
        <f>DevBdgt!P7</f>
        <v>46966</v>
      </c>
      <c r="R6" s="671">
        <f>DevBdgt!Q7</f>
        <v>46997</v>
      </c>
      <c r="S6" s="671">
        <f>DevBdgt!R7</f>
        <v>47027</v>
      </c>
      <c r="T6" s="671">
        <f>DevBdgt!S7</f>
        <v>47058</v>
      </c>
      <c r="U6" s="671">
        <f>DevBdgt!T7</f>
        <v>47088</v>
      </c>
      <c r="V6" s="671">
        <f>DevBdgt!U7</f>
        <v>47119</v>
      </c>
      <c r="W6" s="671">
        <f>DevBdgt!V7</f>
        <v>47150</v>
      </c>
      <c r="X6" s="671">
        <f>DevBdgt!W7</f>
        <v>47178</v>
      </c>
      <c r="Y6" s="671">
        <f>DevBdgt!X7</f>
        <v>47209</v>
      </c>
      <c r="Z6" s="671">
        <f>DevBdgt!Y7</f>
        <v>47239</v>
      </c>
      <c r="AA6" s="671">
        <f>DevBdgt!Z7</f>
        <v>47270</v>
      </c>
      <c r="AB6" s="671">
        <f>DevBdgt!AA7</f>
        <v>47300</v>
      </c>
      <c r="AC6" s="671">
        <f>DevBdgt!AB7</f>
        <v>47331</v>
      </c>
      <c r="AD6" s="671">
        <f>DevBdgt!AC7</f>
        <v>47362</v>
      </c>
      <c r="AE6" s="671">
        <f>DevBdgt!AD7</f>
        <v>47392</v>
      </c>
      <c r="AF6" s="671">
        <f>DevBdgt!AE7</f>
        <v>47423</v>
      </c>
      <c r="AG6" s="671">
        <f>DevBdgt!AF7</f>
        <v>47453</v>
      </c>
      <c r="AH6" s="671">
        <f>DevBdgt!AG7</f>
        <v>47484</v>
      </c>
      <c r="AI6" s="671">
        <f>DevBdgt!AH7</f>
        <v>47515</v>
      </c>
      <c r="AJ6" s="671">
        <f>DevBdgt!AI7</f>
        <v>47543</v>
      </c>
      <c r="AK6" s="671">
        <f>DevBdgt!AJ7</f>
        <v>47574</v>
      </c>
      <c r="AL6" s="671">
        <f>DevBdgt!AK7</f>
        <v>47604</v>
      </c>
      <c r="AM6" s="671">
        <f>DevBdgt!AL7</f>
        <v>47635</v>
      </c>
      <c r="AN6" s="671">
        <f>DevBdgt!AM7</f>
        <v>47665</v>
      </c>
      <c r="AO6" s="671">
        <f>DevBdgt!AN7</f>
        <v>47696</v>
      </c>
      <c r="AP6" s="671">
        <f>DevBdgt!AO7</f>
        <v>47727</v>
      </c>
      <c r="AQ6" s="671">
        <f>DevBdgt!AP7</f>
        <v>47757</v>
      </c>
      <c r="AR6" s="671">
        <f>DevBdgt!AQ7</f>
        <v>47788</v>
      </c>
      <c r="AS6" s="671">
        <f>DevBdgt!AR7</f>
        <v>47818</v>
      </c>
      <c r="AT6" s="671">
        <f>DevBdgt!AS7</f>
        <v>47849</v>
      </c>
      <c r="AU6" s="671">
        <f>DevBdgt!AT7</f>
        <v>47880</v>
      </c>
      <c r="AV6" s="671">
        <f>DevBdgt!AU7</f>
        <v>47908</v>
      </c>
      <c r="AW6" s="671">
        <f>DevBdgt!AV7</f>
        <v>47939</v>
      </c>
      <c r="AX6" s="671">
        <f>DevBdgt!AW7</f>
        <v>47969</v>
      </c>
      <c r="AY6" s="671">
        <f>DevBdgt!AX7</f>
        <v>48000</v>
      </c>
      <c r="AZ6" s="671">
        <f>DevBdgt!AY7</f>
        <v>48030</v>
      </c>
      <c r="BA6" s="671">
        <f>DevBdgt!AZ7</f>
        <v>48061</v>
      </c>
      <c r="BB6" s="671">
        <f>DevBdgt!BA7</f>
        <v>48092</v>
      </c>
      <c r="BC6" s="671">
        <f>DevBdgt!BB7</f>
        <v>48122</v>
      </c>
      <c r="BD6" s="671">
        <f>DevBdgt!BC7</f>
        <v>48153</v>
      </c>
      <c r="BE6" s="671">
        <f>DevBdgt!BD7</f>
        <v>48183</v>
      </c>
      <c r="BF6" s="671">
        <f>DevBdgt!BE7</f>
        <v>48214</v>
      </c>
      <c r="BG6" s="671">
        <f>DevBdgt!BF7</f>
        <v>48245</v>
      </c>
      <c r="BH6" s="671">
        <f>DevBdgt!BG7</f>
        <v>48274</v>
      </c>
      <c r="BI6" s="671">
        <f>DevBdgt!BH7</f>
        <v>48305</v>
      </c>
      <c r="BJ6" s="671">
        <f>DevBdgt!BI7</f>
        <v>48335</v>
      </c>
      <c r="BK6" s="671">
        <f>DevBdgt!BJ7</f>
        <v>48366</v>
      </c>
      <c r="BL6" s="671">
        <f>DevBdgt!BK7</f>
        <v>48396</v>
      </c>
      <c r="BM6" s="671">
        <f>DevBdgt!BL7</f>
        <v>48427</v>
      </c>
      <c r="BN6" s="671">
        <f>DevBdgt!BM7</f>
        <v>48458</v>
      </c>
      <c r="BO6" s="671">
        <f>DevBdgt!BN7</f>
        <v>48488</v>
      </c>
      <c r="BP6" s="671">
        <f>DevBdgt!BO7</f>
        <v>48519</v>
      </c>
      <c r="BQ6" s="671">
        <f>DevBdgt!BP7</f>
        <v>48549</v>
      </c>
      <c r="BR6" s="671">
        <f>DevBdgt!BQ7</f>
        <v>48580</v>
      </c>
      <c r="BS6" s="671">
        <f>DevBdgt!BR7</f>
        <v>48611</v>
      </c>
      <c r="BT6" s="671">
        <f>DevBdgt!BS7</f>
        <v>48639</v>
      </c>
      <c r="BU6" s="671">
        <f>DevBdgt!BT7</f>
        <v>48670</v>
      </c>
      <c r="BV6" s="671">
        <f>DevBdgt!BU7</f>
        <v>48700</v>
      </c>
      <c r="BW6" s="671">
        <f>DevBdgt!BV7</f>
        <v>48731</v>
      </c>
      <c r="BX6" s="671">
        <f>DevBdgt!BW7</f>
        <v>48761</v>
      </c>
      <c r="BY6" s="671">
        <f>DevBdgt!BX7</f>
        <v>48792</v>
      </c>
      <c r="BZ6" s="671">
        <f>DevBdgt!BY7</f>
        <v>48823</v>
      </c>
      <c r="CA6" s="671">
        <f>DevBdgt!BZ7</f>
        <v>48853</v>
      </c>
      <c r="CB6" s="671">
        <f>DevBdgt!CA7</f>
        <v>48884</v>
      </c>
      <c r="CC6" s="671">
        <f>DevBdgt!CB7</f>
        <v>48914</v>
      </c>
      <c r="CD6" s="671">
        <f>DevBdgt!CC7</f>
        <v>48945</v>
      </c>
      <c r="CE6" s="671">
        <f>DevBdgt!CD7</f>
        <v>48976</v>
      </c>
      <c r="CF6" s="671">
        <f>DevBdgt!CE7</f>
        <v>49004</v>
      </c>
      <c r="CG6" s="671">
        <f>DevBdgt!CF7</f>
        <v>49035</v>
      </c>
      <c r="CH6" s="671">
        <f>DevBdgt!CG7</f>
        <v>49065</v>
      </c>
      <c r="CI6" s="671">
        <f>DevBdgt!CH7</f>
        <v>49096</v>
      </c>
      <c r="CJ6" s="671">
        <f>DevBdgt!CI7</f>
        <v>49126</v>
      </c>
      <c r="CK6" s="671">
        <f>DevBdgt!CJ7</f>
        <v>49157</v>
      </c>
      <c r="CL6" s="671">
        <f>DevBdgt!CK7</f>
        <v>49188</v>
      </c>
      <c r="CM6" s="671">
        <f>DevBdgt!CL7</f>
        <v>49218</v>
      </c>
      <c r="CN6" s="671">
        <f>DevBdgt!CM7</f>
        <v>49249</v>
      </c>
      <c r="CO6" s="671">
        <f>DevBdgt!CN7</f>
        <v>49279</v>
      </c>
      <c r="CP6" s="671">
        <f>DevBdgt!CO7</f>
        <v>49310</v>
      </c>
      <c r="CQ6" s="671">
        <f>DevBdgt!CP7</f>
        <v>49341</v>
      </c>
      <c r="CR6" s="671">
        <f>DevBdgt!CQ7</f>
        <v>49369</v>
      </c>
      <c r="CS6" s="671">
        <f>DevBdgt!CR7</f>
        <v>49400</v>
      </c>
      <c r="CT6" s="671">
        <f>DevBdgt!CS7</f>
        <v>49430</v>
      </c>
      <c r="CU6" s="671">
        <f>DevBdgt!CT7</f>
        <v>49461</v>
      </c>
      <c r="CV6" s="671">
        <f>DevBdgt!CU7</f>
        <v>49491</v>
      </c>
      <c r="CW6" s="671">
        <f>DevBdgt!CV7</f>
        <v>49522</v>
      </c>
      <c r="CX6" s="671">
        <f>DevBdgt!CW7</f>
        <v>49553</v>
      </c>
      <c r="CY6" s="671">
        <f>DevBdgt!CX7</f>
        <v>49583</v>
      </c>
      <c r="CZ6" s="671">
        <f>DevBdgt!CY7</f>
        <v>49614</v>
      </c>
      <c r="DA6" s="671">
        <f>DevBdgt!CZ7</f>
        <v>49644</v>
      </c>
      <c r="DB6" s="671">
        <f>DevBdgt!DA7</f>
        <v>49675</v>
      </c>
      <c r="DC6" s="671">
        <f>DevBdgt!DB7</f>
        <v>49706</v>
      </c>
      <c r="DD6" s="671">
        <f>DevBdgt!DC7</f>
        <v>49735</v>
      </c>
      <c r="DE6" s="671">
        <f>DevBdgt!DD7</f>
        <v>49766</v>
      </c>
      <c r="DF6" s="671">
        <f>DevBdgt!DE7</f>
        <v>49796</v>
      </c>
      <c r="DG6" s="671">
        <f>DevBdgt!DF7</f>
        <v>49827</v>
      </c>
      <c r="DH6" s="671">
        <f>DevBdgt!DG7</f>
        <v>49857</v>
      </c>
      <c r="DI6" s="671">
        <f>DevBdgt!DH7</f>
        <v>49888</v>
      </c>
      <c r="DJ6" s="671">
        <f>DevBdgt!DI7</f>
        <v>49919</v>
      </c>
      <c r="DK6" s="671">
        <f>DevBdgt!DJ7</f>
        <v>49949</v>
      </c>
      <c r="DL6" s="671">
        <f>DevBdgt!DK7</f>
        <v>49980</v>
      </c>
      <c r="DM6" s="671">
        <f>DevBdgt!DL7</f>
        <v>50010</v>
      </c>
      <c r="DN6" s="671">
        <f>DevBdgt!DM7</f>
        <v>50041</v>
      </c>
      <c r="DO6" s="671">
        <f>DevBdgt!DN7</f>
        <v>50072</v>
      </c>
      <c r="DP6" s="671">
        <f>DevBdgt!DO7</f>
        <v>50100</v>
      </c>
      <c r="DQ6" s="671">
        <f>DevBdgt!DP7</f>
        <v>50131</v>
      </c>
      <c r="DR6" s="671">
        <f>DevBdgt!DQ7</f>
        <v>50161</v>
      </c>
      <c r="DS6" s="671">
        <f>DevBdgt!DR7</f>
        <v>50192</v>
      </c>
      <c r="DT6" s="671">
        <f>DevBdgt!DS7</f>
        <v>50222</v>
      </c>
      <c r="DU6" s="671">
        <f>DevBdgt!DT7</f>
        <v>50253</v>
      </c>
      <c r="DV6" s="671">
        <f>DevBdgt!DU7</f>
        <v>50284</v>
      </c>
      <c r="DW6" s="671">
        <f>DevBdgt!DV7</f>
        <v>50314</v>
      </c>
      <c r="DX6" s="671">
        <f>DevBdgt!DW7</f>
        <v>50345</v>
      </c>
      <c r="DY6" s="671">
        <f>DevBdgt!DX7</f>
        <v>50375</v>
      </c>
      <c r="DZ6" s="671">
        <f>DevBdgt!DY7</f>
        <v>50406</v>
      </c>
      <c r="EA6" s="671">
        <f>DevBdgt!DZ7</f>
        <v>50437</v>
      </c>
      <c r="EB6" s="671">
        <f>DevBdgt!EA7</f>
        <v>50465</v>
      </c>
      <c r="EC6" s="671">
        <f>DevBdgt!EB7</f>
        <v>50496</v>
      </c>
      <c r="ED6" s="671">
        <f>DevBdgt!EC7</f>
        <v>50526</v>
      </c>
      <c r="EE6" s="671">
        <f>DevBdgt!ED7</f>
        <v>50557</v>
      </c>
      <c r="EF6" s="671">
        <f>DevBdgt!EE7</f>
        <v>50587</v>
      </c>
      <c r="EG6" s="671">
        <f>DevBdgt!EF7</f>
        <v>50618</v>
      </c>
      <c r="EH6" s="671">
        <f>DevBdgt!EG7</f>
        <v>50649</v>
      </c>
      <c r="EI6" s="667"/>
      <c r="EJ6"/>
      <c r="EK6" s="672"/>
    </row>
    <row r="7" spans="1:143" ht="7.5" customHeight="1" thickTop="1" thickBot="1" x14ac:dyDescent="0.35">
      <c r="EK7" s="280"/>
    </row>
    <row r="8" spans="1:143" ht="15" thickTop="1" x14ac:dyDescent="0.3">
      <c r="A8" s="2779" t="s">
        <v>2351</v>
      </c>
      <c r="B8" s="2780"/>
      <c r="C8" s="2781"/>
      <c r="D8" s="657"/>
      <c r="E8" s="673"/>
      <c r="F8" s="673"/>
      <c r="G8" s="322"/>
      <c r="H8" s="322"/>
      <c r="I8" s="322"/>
      <c r="J8" s="322"/>
      <c r="K8" s="322"/>
      <c r="L8" s="322"/>
      <c r="M8" s="322"/>
      <c r="N8" s="322"/>
      <c r="O8" s="322"/>
      <c r="P8" s="322"/>
      <c r="Q8" s="322"/>
      <c r="R8" s="322"/>
      <c r="S8" s="322"/>
      <c r="T8" s="322"/>
      <c r="U8" s="322"/>
      <c r="V8" s="322"/>
      <c r="W8" s="322"/>
      <c r="X8" s="322"/>
      <c r="Y8" s="322"/>
      <c r="Z8" s="322"/>
      <c r="AA8" s="322"/>
      <c r="AB8" s="322"/>
      <c r="AC8" s="322"/>
      <c r="AD8" s="322"/>
      <c r="AE8" s="322"/>
      <c r="AF8" s="322"/>
      <c r="AG8" s="322"/>
      <c r="AH8" s="322"/>
      <c r="AI8" s="322"/>
      <c r="AJ8" s="322"/>
      <c r="AK8" s="322"/>
      <c r="AL8" s="322"/>
      <c r="AM8" s="322"/>
      <c r="AN8" s="322"/>
      <c r="AO8" s="322"/>
      <c r="AP8" s="322"/>
      <c r="AQ8" s="322"/>
      <c r="AR8" s="322"/>
      <c r="AS8" s="322"/>
      <c r="AT8" s="322"/>
      <c r="AU8" s="322"/>
      <c r="AV8" s="322"/>
      <c r="AW8" s="322"/>
      <c r="AX8" s="322"/>
      <c r="AY8" s="322"/>
      <c r="AZ8" s="322"/>
      <c r="BA8" s="322"/>
      <c r="BB8" s="322"/>
      <c r="BC8" s="322"/>
      <c r="BD8" s="322"/>
      <c r="BE8" s="322"/>
      <c r="BF8" s="322"/>
      <c r="BG8" s="322"/>
      <c r="BH8" s="322"/>
      <c r="BI8" s="322"/>
      <c r="BJ8" s="322"/>
      <c r="BK8" s="322"/>
      <c r="BL8" s="322"/>
      <c r="BM8" s="322"/>
      <c r="BN8" s="322"/>
      <c r="BO8" s="322"/>
      <c r="BP8" s="322"/>
      <c r="BQ8" s="322"/>
      <c r="BR8" s="322"/>
      <c r="BS8" s="322"/>
      <c r="BT8" s="322"/>
      <c r="BU8" s="322"/>
      <c r="BV8" s="322"/>
      <c r="BW8" s="322"/>
      <c r="BX8" s="322"/>
      <c r="BY8" s="322"/>
      <c r="BZ8" s="322"/>
      <c r="CA8" s="322"/>
      <c r="CB8" s="322"/>
      <c r="CC8" s="322"/>
      <c r="CD8" s="322"/>
      <c r="CE8" s="322"/>
      <c r="CF8" s="322"/>
      <c r="CG8" s="322"/>
      <c r="CH8" s="322"/>
      <c r="CI8" s="322"/>
      <c r="CJ8" s="322"/>
      <c r="CK8" s="322"/>
      <c r="CL8" s="322"/>
      <c r="CM8" s="322"/>
      <c r="CN8" s="322"/>
      <c r="CO8" s="322"/>
      <c r="CP8" s="322"/>
      <c r="CQ8" s="322"/>
      <c r="CR8" s="322"/>
      <c r="CS8" s="322"/>
      <c r="CT8" s="322"/>
      <c r="CU8" s="322"/>
      <c r="CV8" s="322"/>
      <c r="CW8" s="322"/>
      <c r="CX8" s="322"/>
      <c r="CY8" s="322"/>
      <c r="CZ8" s="322"/>
      <c r="DA8" s="322"/>
      <c r="DB8" s="322"/>
      <c r="DC8" s="322"/>
      <c r="DD8" s="322"/>
      <c r="DE8" s="322"/>
      <c r="DF8" s="322"/>
      <c r="DG8" s="322"/>
      <c r="DH8" s="322"/>
      <c r="DI8" s="322"/>
      <c r="DJ8" s="322"/>
      <c r="DK8" s="322"/>
      <c r="DL8" s="322"/>
      <c r="DM8" s="322"/>
      <c r="DN8" s="322"/>
      <c r="DO8" s="322"/>
      <c r="DP8" s="322"/>
      <c r="DQ8" s="322"/>
      <c r="DR8" s="322"/>
      <c r="DS8" s="322"/>
      <c r="DT8" s="322"/>
      <c r="DU8" s="322"/>
      <c r="DV8" s="322"/>
      <c r="DW8" s="322"/>
      <c r="DX8" s="322"/>
      <c r="DY8" s="322"/>
      <c r="DZ8" s="322"/>
      <c r="EA8" s="322"/>
      <c r="EB8" s="322"/>
      <c r="EC8" s="322"/>
      <c r="ED8" s="322"/>
      <c r="EE8" s="322"/>
      <c r="EF8" s="322"/>
      <c r="EG8" s="322"/>
      <c r="EH8" s="322"/>
      <c r="EK8" s="672"/>
    </row>
    <row r="9" spans="1:143" ht="15" hidden="1" customHeight="1" outlineLevel="1" x14ac:dyDescent="0.3">
      <c r="A9" t="str">
        <f>DevBdgt!A11</f>
        <v>Units BOM (BMR)</v>
      </c>
      <c r="E9" s="647"/>
      <c r="F9" s="647"/>
      <c r="G9" s="229">
        <f>DevBdgt!F11</f>
        <v>0</v>
      </c>
      <c r="H9" s="229">
        <f>DevBdgt!G11</f>
        <v>0</v>
      </c>
      <c r="I9" s="229">
        <f>DevBdgt!H11</f>
        <v>0</v>
      </c>
      <c r="J9" s="229">
        <f>DevBdgt!I11</f>
        <v>0</v>
      </c>
      <c r="K9" s="229">
        <f>DevBdgt!J11</f>
        <v>0</v>
      </c>
      <c r="L9" s="229">
        <f>DevBdgt!K11</f>
        <v>0</v>
      </c>
      <c r="M9" s="229">
        <f>DevBdgt!L11</f>
        <v>0</v>
      </c>
      <c r="N9" s="229">
        <f>DevBdgt!M11</f>
        <v>0</v>
      </c>
      <c r="O9" s="229">
        <f>DevBdgt!N11</f>
        <v>0</v>
      </c>
      <c r="P9" s="229">
        <f>DevBdgt!O11</f>
        <v>0</v>
      </c>
      <c r="Q9" s="229">
        <f>DevBdgt!P11</f>
        <v>0</v>
      </c>
      <c r="R9" s="229">
        <f>DevBdgt!Q11</f>
        <v>0</v>
      </c>
      <c r="S9" s="229">
        <f>DevBdgt!R11</f>
        <v>0</v>
      </c>
      <c r="T9" s="229">
        <f>DevBdgt!S11</f>
        <v>0</v>
      </c>
      <c r="U9" s="229">
        <f>DevBdgt!T11</f>
        <v>0</v>
      </c>
      <c r="V9" s="229">
        <f>DevBdgt!U11</f>
        <v>0</v>
      </c>
      <c r="W9" s="229">
        <f>DevBdgt!V11</f>
        <v>0</v>
      </c>
      <c r="X9" s="229">
        <f>DevBdgt!W11</f>
        <v>0</v>
      </c>
      <c r="Y9" s="229">
        <f>DevBdgt!X11</f>
        <v>0</v>
      </c>
      <c r="Z9" s="229">
        <f>DevBdgt!Y11</f>
        <v>0</v>
      </c>
      <c r="AA9" s="229">
        <f>DevBdgt!Z11</f>
        <v>0</v>
      </c>
      <c r="AB9" s="229">
        <f>DevBdgt!AA11</f>
        <v>0</v>
      </c>
      <c r="AC9" s="229">
        <f>DevBdgt!AB11</f>
        <v>0</v>
      </c>
      <c r="AD9" s="229">
        <f>DevBdgt!AC11</f>
        <v>0</v>
      </c>
      <c r="AE9" s="229">
        <f>DevBdgt!AD11</f>
        <v>0</v>
      </c>
      <c r="AF9" s="229">
        <f>DevBdgt!AE11</f>
        <v>0</v>
      </c>
      <c r="AG9" s="229">
        <f>DevBdgt!AF11</f>
        <v>0</v>
      </c>
      <c r="AH9" s="229">
        <f>DevBdgt!AG11</f>
        <v>0</v>
      </c>
      <c r="AI9" s="229">
        <f>DevBdgt!AH11</f>
        <v>0</v>
      </c>
      <c r="AJ9" s="229">
        <f>DevBdgt!AI11</f>
        <v>0</v>
      </c>
      <c r="AK9" s="229">
        <f>DevBdgt!AJ11</f>
        <v>0</v>
      </c>
      <c r="AL9" s="229">
        <f>DevBdgt!AK11</f>
        <v>0</v>
      </c>
      <c r="AM9" s="229">
        <f>DevBdgt!AL11</f>
        <v>0</v>
      </c>
      <c r="AN9" s="229">
        <f>DevBdgt!AM11</f>
        <v>0</v>
      </c>
      <c r="AO9" s="229">
        <f>DevBdgt!AN11</f>
        <v>0</v>
      </c>
      <c r="AP9" s="229">
        <f>DevBdgt!AO11</f>
        <v>0</v>
      </c>
      <c r="AQ9" s="229">
        <f>DevBdgt!AP11</f>
        <v>0</v>
      </c>
      <c r="AR9" s="229">
        <f>DevBdgt!AQ11</f>
        <v>0</v>
      </c>
      <c r="AS9" s="229">
        <f>DevBdgt!AR11</f>
        <v>0</v>
      </c>
      <c r="AT9" s="229">
        <f>DevBdgt!AS11</f>
        <v>0</v>
      </c>
      <c r="AU9" s="229">
        <f>DevBdgt!AT11</f>
        <v>0</v>
      </c>
      <c r="AV9" s="229">
        <f>DevBdgt!AU11</f>
        <v>0</v>
      </c>
      <c r="AW9" s="229">
        <f>DevBdgt!AV11</f>
        <v>0</v>
      </c>
      <c r="AX9" s="229">
        <f>DevBdgt!AW11</f>
        <v>0</v>
      </c>
      <c r="AY9" s="229">
        <f>DevBdgt!AX11</f>
        <v>0</v>
      </c>
      <c r="AZ9" s="229">
        <f>DevBdgt!AY11</f>
        <v>0</v>
      </c>
      <c r="BA9" s="229">
        <f>DevBdgt!AZ11</f>
        <v>0</v>
      </c>
      <c r="BB9" s="229">
        <f>DevBdgt!BA11</f>
        <v>0</v>
      </c>
      <c r="BC9" s="229">
        <f>DevBdgt!BB11</f>
        <v>0</v>
      </c>
      <c r="BD9" s="229">
        <f>DevBdgt!BC11</f>
        <v>0</v>
      </c>
      <c r="BE9" s="229">
        <f>DevBdgt!BD11</f>
        <v>0</v>
      </c>
      <c r="BF9" s="229">
        <f>DevBdgt!BE11</f>
        <v>0</v>
      </c>
      <c r="BG9" s="229">
        <f>DevBdgt!BF11</f>
        <v>0</v>
      </c>
      <c r="BH9" s="229">
        <f>DevBdgt!BG11</f>
        <v>0</v>
      </c>
      <c r="BI9" s="229">
        <f>DevBdgt!BH11</f>
        <v>0</v>
      </c>
      <c r="BJ9" s="229">
        <f>DevBdgt!BI11</f>
        <v>0</v>
      </c>
      <c r="BK9" s="229">
        <f>DevBdgt!BJ11</f>
        <v>0</v>
      </c>
      <c r="BL9" s="229">
        <f>DevBdgt!BK11</f>
        <v>0</v>
      </c>
      <c r="BM9" s="229">
        <f>DevBdgt!BL11</f>
        <v>0</v>
      </c>
      <c r="BN9" s="229">
        <f>DevBdgt!BM11</f>
        <v>0</v>
      </c>
      <c r="BO9" s="229">
        <f>DevBdgt!BN11</f>
        <v>0</v>
      </c>
      <c r="BP9" s="229">
        <f>DevBdgt!BO11</f>
        <v>0</v>
      </c>
      <c r="BQ9" s="229">
        <f>DevBdgt!BP11</f>
        <v>0</v>
      </c>
      <c r="BR9" s="229">
        <f>DevBdgt!BQ11</f>
        <v>0</v>
      </c>
      <c r="BS9" s="229">
        <f>DevBdgt!BR11</f>
        <v>0</v>
      </c>
      <c r="BT9" s="229">
        <f>DevBdgt!BS11</f>
        <v>0</v>
      </c>
      <c r="BU9" s="229">
        <f>DevBdgt!BT11</f>
        <v>0</v>
      </c>
      <c r="BV9" s="229">
        <f>DevBdgt!BU11</f>
        <v>0</v>
      </c>
      <c r="BW9" s="229">
        <f>DevBdgt!BV11</f>
        <v>0</v>
      </c>
      <c r="BX9" s="229">
        <f>DevBdgt!BW11</f>
        <v>0</v>
      </c>
      <c r="BY9" s="229">
        <f>DevBdgt!BX11</f>
        <v>0</v>
      </c>
      <c r="BZ9" s="229">
        <f>DevBdgt!BY11</f>
        <v>0</v>
      </c>
      <c r="CA9" s="229">
        <f>DevBdgt!BZ11</f>
        <v>0</v>
      </c>
      <c r="CB9" s="229">
        <f>DevBdgt!CA11</f>
        <v>0</v>
      </c>
      <c r="CC9" s="229">
        <f>DevBdgt!CB11</f>
        <v>0</v>
      </c>
      <c r="CD9" s="229">
        <f>DevBdgt!CC11</f>
        <v>0</v>
      </c>
      <c r="CE9" s="229">
        <f>DevBdgt!CD11</f>
        <v>0</v>
      </c>
      <c r="CF9" s="229">
        <f>DevBdgt!CE11</f>
        <v>0</v>
      </c>
      <c r="CG9" s="229">
        <f>DevBdgt!CF11</f>
        <v>0</v>
      </c>
      <c r="CH9" s="229">
        <f>DevBdgt!CG11</f>
        <v>0</v>
      </c>
      <c r="CI9" s="229">
        <f>DevBdgt!CH11</f>
        <v>0</v>
      </c>
      <c r="CJ9" s="229">
        <f>DevBdgt!CI11</f>
        <v>0</v>
      </c>
      <c r="CK9" s="229">
        <f>DevBdgt!CJ11</f>
        <v>0</v>
      </c>
      <c r="CL9" s="229">
        <f>DevBdgt!CK11</f>
        <v>0</v>
      </c>
      <c r="CM9" s="229">
        <f>DevBdgt!CL11</f>
        <v>0</v>
      </c>
      <c r="CN9" s="229">
        <f>DevBdgt!CM11</f>
        <v>0</v>
      </c>
      <c r="CO9" s="229">
        <f>DevBdgt!CN11</f>
        <v>0</v>
      </c>
      <c r="CP9" s="229">
        <f>DevBdgt!CO11</f>
        <v>0</v>
      </c>
      <c r="CQ9" s="229">
        <f>DevBdgt!CP11</f>
        <v>0</v>
      </c>
      <c r="CR9" s="229">
        <f>DevBdgt!CQ11</f>
        <v>0</v>
      </c>
      <c r="CS9" s="229">
        <f>DevBdgt!CR11</f>
        <v>0</v>
      </c>
      <c r="CT9" s="229">
        <f>DevBdgt!CS11</f>
        <v>0</v>
      </c>
      <c r="CU9" s="229">
        <f>DevBdgt!CT11</f>
        <v>0</v>
      </c>
      <c r="CV9" s="229">
        <f>DevBdgt!CU11</f>
        <v>0</v>
      </c>
      <c r="CW9" s="229">
        <f>DevBdgt!CV11</f>
        <v>0</v>
      </c>
      <c r="CX9" s="229">
        <f>DevBdgt!CW11</f>
        <v>0</v>
      </c>
      <c r="CY9" s="229">
        <f>DevBdgt!CX11</f>
        <v>0</v>
      </c>
      <c r="CZ9" s="229">
        <f>DevBdgt!CY11</f>
        <v>0</v>
      </c>
      <c r="DA9" s="229">
        <f>DevBdgt!CZ11</f>
        <v>0</v>
      </c>
      <c r="DB9" s="229">
        <f>DevBdgt!DA11</f>
        <v>0</v>
      </c>
      <c r="DC9" s="229">
        <f>DevBdgt!DB11</f>
        <v>0</v>
      </c>
      <c r="DD9" s="229">
        <f>DevBdgt!DC11</f>
        <v>0</v>
      </c>
      <c r="DE9" s="229">
        <f>DevBdgt!DD11</f>
        <v>0</v>
      </c>
      <c r="DF9" s="229">
        <f>DevBdgt!DE11</f>
        <v>0</v>
      </c>
      <c r="DG9" s="229">
        <f>DevBdgt!DF11</f>
        <v>0</v>
      </c>
      <c r="DH9" s="229">
        <f>DevBdgt!DG11</f>
        <v>0</v>
      </c>
      <c r="DI9" s="229">
        <f>DevBdgt!DH11</f>
        <v>0</v>
      </c>
      <c r="DJ9" s="229">
        <f>DevBdgt!DI11</f>
        <v>0</v>
      </c>
      <c r="DK9" s="229">
        <f>DevBdgt!DJ11</f>
        <v>0</v>
      </c>
      <c r="DL9" s="229">
        <f>DevBdgt!DK11</f>
        <v>0</v>
      </c>
      <c r="DM9" s="229">
        <f>DevBdgt!DL11</f>
        <v>0</v>
      </c>
      <c r="DN9" s="229">
        <f>DevBdgt!DM11</f>
        <v>0</v>
      </c>
      <c r="DO9" s="229">
        <f>DevBdgt!DN11</f>
        <v>0</v>
      </c>
      <c r="DP9" s="229">
        <f>DevBdgt!DO11</f>
        <v>0</v>
      </c>
      <c r="DQ9" s="229">
        <f>DevBdgt!DP11</f>
        <v>0</v>
      </c>
      <c r="DR9" s="229">
        <f>DevBdgt!DQ11</f>
        <v>0</v>
      </c>
      <c r="DS9" s="229">
        <f>DevBdgt!DR11</f>
        <v>0</v>
      </c>
      <c r="DT9" s="229">
        <f>DevBdgt!DS11</f>
        <v>0</v>
      </c>
      <c r="DU9" s="229">
        <f>DevBdgt!DT11</f>
        <v>0</v>
      </c>
      <c r="DV9" s="229">
        <f>DevBdgt!DU11</f>
        <v>0</v>
      </c>
      <c r="DW9" s="229">
        <f>DevBdgt!DV11</f>
        <v>0</v>
      </c>
      <c r="DX9" s="229">
        <f>DevBdgt!DW11</f>
        <v>0</v>
      </c>
      <c r="DY9" s="229">
        <f>DevBdgt!DX11</f>
        <v>0</v>
      </c>
      <c r="DZ9" s="229">
        <f>DevBdgt!DY11</f>
        <v>0</v>
      </c>
      <c r="EA9" s="229">
        <f>DevBdgt!DZ11</f>
        <v>0</v>
      </c>
      <c r="EB9" s="229">
        <f>DevBdgt!EA11</f>
        <v>0</v>
      </c>
      <c r="EC9" s="229">
        <f>DevBdgt!EB11</f>
        <v>0</v>
      </c>
      <c r="ED9" s="229">
        <f>DevBdgt!EC11</f>
        <v>0</v>
      </c>
      <c r="EE9" s="229">
        <f>DevBdgt!ED11</f>
        <v>0</v>
      </c>
      <c r="EF9" s="229">
        <f>DevBdgt!EE11</f>
        <v>0</v>
      </c>
      <c r="EG9" s="229">
        <f>DevBdgt!EF11</f>
        <v>0</v>
      </c>
      <c r="EH9" s="229">
        <f>DevBdgt!EG11</f>
        <v>0</v>
      </c>
      <c r="EK9" s="280"/>
    </row>
    <row r="10" spans="1:143" ht="15" hidden="1" customHeight="1" outlineLevel="1" x14ac:dyDescent="0.3">
      <c r="A10" s="241" t="str">
        <f>DevBdgt!A12</f>
        <v>Unit Delivery (BMR)</v>
      </c>
      <c r="B10" s="241"/>
      <c r="C10" s="241"/>
      <c r="D10" s="241"/>
      <c r="E10" s="648"/>
      <c r="F10" s="648"/>
      <c r="G10" s="242">
        <f>DevBdgt!F12</f>
        <v>0</v>
      </c>
      <c r="H10" s="242">
        <f>DevBdgt!G12</f>
        <v>0</v>
      </c>
      <c r="I10" s="242">
        <f>DevBdgt!H12</f>
        <v>0</v>
      </c>
      <c r="J10" s="242">
        <f>DevBdgt!I12</f>
        <v>0</v>
      </c>
      <c r="K10" s="242">
        <f>DevBdgt!J12</f>
        <v>0</v>
      </c>
      <c r="L10" s="242">
        <f>DevBdgt!K12</f>
        <v>0</v>
      </c>
      <c r="M10" s="242">
        <f>DevBdgt!L12</f>
        <v>0</v>
      </c>
      <c r="N10" s="242">
        <f>DevBdgt!M12</f>
        <v>0</v>
      </c>
      <c r="O10" s="242">
        <f>DevBdgt!N12</f>
        <v>0</v>
      </c>
      <c r="P10" s="242">
        <f>DevBdgt!O12</f>
        <v>0</v>
      </c>
      <c r="Q10" s="242">
        <f>DevBdgt!P12</f>
        <v>0</v>
      </c>
      <c r="R10" s="242">
        <f>DevBdgt!Q12</f>
        <v>0</v>
      </c>
      <c r="S10" s="242">
        <f>DevBdgt!R12</f>
        <v>0</v>
      </c>
      <c r="T10" s="242">
        <f>DevBdgt!S12</f>
        <v>0</v>
      </c>
      <c r="U10" s="242">
        <f>DevBdgt!T12</f>
        <v>0</v>
      </c>
      <c r="V10" s="242">
        <f>DevBdgt!U12</f>
        <v>0</v>
      </c>
      <c r="W10" s="242">
        <f>DevBdgt!V12</f>
        <v>0</v>
      </c>
      <c r="X10" s="242">
        <f>DevBdgt!W12</f>
        <v>0</v>
      </c>
      <c r="Y10" s="242">
        <f>DevBdgt!X12</f>
        <v>0</v>
      </c>
      <c r="Z10" s="242">
        <f>DevBdgt!Y12</f>
        <v>0</v>
      </c>
      <c r="AA10" s="242">
        <f>DevBdgt!Z12</f>
        <v>0</v>
      </c>
      <c r="AB10" s="242">
        <f>DevBdgt!AA12</f>
        <v>0</v>
      </c>
      <c r="AC10" s="242">
        <f>DevBdgt!AB12</f>
        <v>0</v>
      </c>
      <c r="AD10" s="242">
        <f>DevBdgt!AC12</f>
        <v>0</v>
      </c>
      <c r="AE10" s="242">
        <f>DevBdgt!AD12</f>
        <v>0</v>
      </c>
      <c r="AF10" s="242">
        <f>DevBdgt!AE12</f>
        <v>0</v>
      </c>
      <c r="AG10" s="242">
        <f>DevBdgt!AF12</f>
        <v>0</v>
      </c>
      <c r="AH10" s="242">
        <f>DevBdgt!AG12</f>
        <v>0</v>
      </c>
      <c r="AI10" s="242">
        <f>DevBdgt!AH12</f>
        <v>0</v>
      </c>
      <c r="AJ10" s="242">
        <f>DevBdgt!AI12</f>
        <v>0</v>
      </c>
      <c r="AK10" s="242">
        <f>DevBdgt!AJ12</f>
        <v>0</v>
      </c>
      <c r="AL10" s="242">
        <f>DevBdgt!AK12</f>
        <v>0</v>
      </c>
      <c r="AM10" s="242">
        <f>DevBdgt!AL12</f>
        <v>0</v>
      </c>
      <c r="AN10" s="242">
        <f>DevBdgt!AM12</f>
        <v>0</v>
      </c>
      <c r="AO10" s="242">
        <f>DevBdgt!AN12</f>
        <v>0</v>
      </c>
      <c r="AP10" s="242">
        <f>DevBdgt!AO12</f>
        <v>0</v>
      </c>
      <c r="AQ10" s="242">
        <f>DevBdgt!AP12</f>
        <v>0</v>
      </c>
      <c r="AR10" s="242">
        <f>DevBdgt!AQ12</f>
        <v>0</v>
      </c>
      <c r="AS10" s="242">
        <f>DevBdgt!AR12</f>
        <v>0</v>
      </c>
      <c r="AT10" s="242">
        <f>DevBdgt!AS12</f>
        <v>0</v>
      </c>
      <c r="AU10" s="242">
        <f>DevBdgt!AT12</f>
        <v>0</v>
      </c>
      <c r="AV10" s="242">
        <f>DevBdgt!AU12</f>
        <v>0</v>
      </c>
      <c r="AW10" s="242">
        <f>DevBdgt!AV12</f>
        <v>0</v>
      </c>
      <c r="AX10" s="242">
        <f>DevBdgt!AW12</f>
        <v>0</v>
      </c>
      <c r="AY10" s="242">
        <f>DevBdgt!AX12</f>
        <v>0</v>
      </c>
      <c r="AZ10" s="242">
        <f>DevBdgt!AY12</f>
        <v>0</v>
      </c>
      <c r="BA10" s="242">
        <f>DevBdgt!AZ12</f>
        <v>0</v>
      </c>
      <c r="BB10" s="242">
        <f>DevBdgt!BA12</f>
        <v>0</v>
      </c>
      <c r="BC10" s="242">
        <f>DevBdgt!BB12</f>
        <v>0</v>
      </c>
      <c r="BD10" s="242">
        <f>DevBdgt!BC12</f>
        <v>0</v>
      </c>
      <c r="BE10" s="242">
        <f>DevBdgt!BD12</f>
        <v>0</v>
      </c>
      <c r="BF10" s="242">
        <f>DevBdgt!BE12</f>
        <v>0</v>
      </c>
      <c r="BG10" s="242">
        <f>DevBdgt!BF12</f>
        <v>0</v>
      </c>
      <c r="BH10" s="242">
        <f>DevBdgt!BG12</f>
        <v>0</v>
      </c>
      <c r="BI10" s="242">
        <f>DevBdgt!BH12</f>
        <v>0</v>
      </c>
      <c r="BJ10" s="242">
        <f>DevBdgt!BI12</f>
        <v>0</v>
      </c>
      <c r="BK10" s="242">
        <f>DevBdgt!BJ12</f>
        <v>0</v>
      </c>
      <c r="BL10" s="242">
        <f>DevBdgt!BK12</f>
        <v>0</v>
      </c>
      <c r="BM10" s="242">
        <f>DevBdgt!BL12</f>
        <v>0</v>
      </c>
      <c r="BN10" s="242">
        <f>DevBdgt!BM12</f>
        <v>0</v>
      </c>
      <c r="BO10" s="242">
        <f>DevBdgt!BN12</f>
        <v>0</v>
      </c>
      <c r="BP10" s="242">
        <f>DevBdgt!BO12</f>
        <v>0</v>
      </c>
      <c r="BQ10" s="242">
        <f>DevBdgt!BP12</f>
        <v>0</v>
      </c>
      <c r="BR10" s="242">
        <f>DevBdgt!BQ12</f>
        <v>0</v>
      </c>
      <c r="BS10" s="242">
        <f>DevBdgt!BR12</f>
        <v>0</v>
      </c>
      <c r="BT10" s="242">
        <f>DevBdgt!BS12</f>
        <v>0</v>
      </c>
      <c r="BU10" s="242">
        <f>DevBdgt!BT12</f>
        <v>0</v>
      </c>
      <c r="BV10" s="242">
        <f>DevBdgt!BU12</f>
        <v>0</v>
      </c>
      <c r="BW10" s="242">
        <f>DevBdgt!BV12</f>
        <v>0</v>
      </c>
      <c r="BX10" s="242">
        <f>DevBdgt!BW12</f>
        <v>0</v>
      </c>
      <c r="BY10" s="242">
        <f>DevBdgt!BX12</f>
        <v>0</v>
      </c>
      <c r="BZ10" s="242">
        <f>DevBdgt!BY12</f>
        <v>0</v>
      </c>
      <c r="CA10" s="242">
        <f>DevBdgt!BZ12</f>
        <v>0</v>
      </c>
      <c r="CB10" s="242">
        <f>DevBdgt!CA12</f>
        <v>0</v>
      </c>
      <c r="CC10" s="242">
        <f>DevBdgt!CB12</f>
        <v>0</v>
      </c>
      <c r="CD10" s="242">
        <f>DevBdgt!CC12</f>
        <v>0</v>
      </c>
      <c r="CE10" s="242">
        <f>DevBdgt!CD12</f>
        <v>0</v>
      </c>
      <c r="CF10" s="242">
        <f>DevBdgt!CE12</f>
        <v>0</v>
      </c>
      <c r="CG10" s="242">
        <f>DevBdgt!CF12</f>
        <v>0</v>
      </c>
      <c r="CH10" s="242">
        <f>DevBdgt!CG12</f>
        <v>0</v>
      </c>
      <c r="CI10" s="242">
        <f>DevBdgt!CH12</f>
        <v>0</v>
      </c>
      <c r="CJ10" s="242">
        <f>DevBdgt!CI12</f>
        <v>0</v>
      </c>
      <c r="CK10" s="242">
        <f>DevBdgt!CJ12</f>
        <v>0</v>
      </c>
      <c r="CL10" s="242">
        <f>DevBdgt!CK12</f>
        <v>0</v>
      </c>
      <c r="CM10" s="242">
        <f>DevBdgt!CL12</f>
        <v>0</v>
      </c>
      <c r="CN10" s="242">
        <f>DevBdgt!CM12</f>
        <v>0</v>
      </c>
      <c r="CO10" s="242">
        <f>DevBdgt!CN12</f>
        <v>0</v>
      </c>
      <c r="CP10" s="242">
        <f>DevBdgt!CO12</f>
        <v>0</v>
      </c>
      <c r="CQ10" s="242">
        <f>DevBdgt!CP12</f>
        <v>0</v>
      </c>
      <c r="CR10" s="242">
        <f>DevBdgt!CQ12</f>
        <v>0</v>
      </c>
      <c r="CS10" s="242">
        <f>DevBdgt!CR12</f>
        <v>0</v>
      </c>
      <c r="CT10" s="242">
        <f>DevBdgt!CS12</f>
        <v>0</v>
      </c>
      <c r="CU10" s="242">
        <f>DevBdgt!CT12</f>
        <v>0</v>
      </c>
      <c r="CV10" s="242">
        <f>DevBdgt!CU12</f>
        <v>0</v>
      </c>
      <c r="CW10" s="242">
        <f>DevBdgt!CV12</f>
        <v>0</v>
      </c>
      <c r="CX10" s="242">
        <f>DevBdgt!CW12</f>
        <v>0</v>
      </c>
      <c r="CY10" s="242">
        <f>DevBdgt!CX12</f>
        <v>0</v>
      </c>
      <c r="CZ10" s="242">
        <f>DevBdgt!CY12</f>
        <v>0</v>
      </c>
      <c r="DA10" s="242">
        <f>DevBdgt!CZ12</f>
        <v>0</v>
      </c>
      <c r="DB10" s="242">
        <f>DevBdgt!DA12</f>
        <v>0</v>
      </c>
      <c r="DC10" s="242">
        <f>DevBdgt!DB12</f>
        <v>0</v>
      </c>
      <c r="DD10" s="242">
        <f>DevBdgt!DC12</f>
        <v>0</v>
      </c>
      <c r="DE10" s="242">
        <f>DevBdgt!DD12</f>
        <v>0</v>
      </c>
      <c r="DF10" s="242">
        <f>DevBdgt!DE12</f>
        <v>0</v>
      </c>
      <c r="DG10" s="242">
        <f>DevBdgt!DF12</f>
        <v>0</v>
      </c>
      <c r="DH10" s="242">
        <f>DevBdgt!DG12</f>
        <v>0</v>
      </c>
      <c r="DI10" s="242">
        <f>DevBdgt!DH12</f>
        <v>0</v>
      </c>
      <c r="DJ10" s="242">
        <f>DevBdgt!DI12</f>
        <v>0</v>
      </c>
      <c r="DK10" s="242">
        <f>DevBdgt!DJ12</f>
        <v>0</v>
      </c>
      <c r="DL10" s="242">
        <f>DevBdgt!DK12</f>
        <v>0</v>
      </c>
      <c r="DM10" s="242">
        <f>DevBdgt!DL12</f>
        <v>0</v>
      </c>
      <c r="DN10" s="242">
        <f>DevBdgt!DM12</f>
        <v>0</v>
      </c>
      <c r="DO10" s="242">
        <f>DevBdgt!DN12</f>
        <v>0</v>
      </c>
      <c r="DP10" s="242">
        <f>DevBdgt!DO12</f>
        <v>0</v>
      </c>
      <c r="DQ10" s="242">
        <f>DevBdgt!DP12</f>
        <v>0</v>
      </c>
      <c r="DR10" s="242">
        <f>DevBdgt!DQ12</f>
        <v>0</v>
      </c>
      <c r="DS10" s="242">
        <f>DevBdgt!DR12</f>
        <v>0</v>
      </c>
      <c r="DT10" s="242">
        <f>DevBdgt!DS12</f>
        <v>0</v>
      </c>
      <c r="DU10" s="242">
        <f>DevBdgt!DT12</f>
        <v>0</v>
      </c>
      <c r="DV10" s="242">
        <f>DevBdgt!DU12</f>
        <v>0</v>
      </c>
      <c r="DW10" s="242">
        <f>DevBdgt!DV12</f>
        <v>0</v>
      </c>
      <c r="DX10" s="242">
        <f>DevBdgt!DW12</f>
        <v>0</v>
      </c>
      <c r="DY10" s="242">
        <f>DevBdgt!DX12</f>
        <v>0</v>
      </c>
      <c r="DZ10" s="242">
        <f>DevBdgt!DY12</f>
        <v>0</v>
      </c>
      <c r="EA10" s="242">
        <f>DevBdgt!DZ12</f>
        <v>0</v>
      </c>
      <c r="EB10" s="242">
        <f>DevBdgt!EA12</f>
        <v>0</v>
      </c>
      <c r="EC10" s="242">
        <f>DevBdgt!EB12</f>
        <v>0</v>
      </c>
      <c r="ED10" s="242">
        <f>DevBdgt!EC12</f>
        <v>0</v>
      </c>
      <c r="EE10" s="242">
        <f>DevBdgt!ED12</f>
        <v>0</v>
      </c>
      <c r="EF10" s="242">
        <f>DevBdgt!EE12</f>
        <v>0</v>
      </c>
      <c r="EG10" s="242">
        <f>DevBdgt!EF12</f>
        <v>0</v>
      </c>
      <c r="EH10" s="242">
        <f>DevBdgt!EG12</f>
        <v>0</v>
      </c>
      <c r="EK10" s="672"/>
    </row>
    <row r="11" spans="1:143" ht="15" hidden="1" customHeight="1" outlineLevel="1" x14ac:dyDescent="0.3">
      <c r="A11" t="str">
        <f>DevBdgt!A13</f>
        <v>Units EOM (BMR)</v>
      </c>
      <c r="E11" s="647"/>
      <c r="F11" s="647"/>
      <c r="G11" s="229">
        <f>DevBdgt!F13</f>
        <v>0</v>
      </c>
      <c r="H11" s="229">
        <f>DevBdgt!G13</f>
        <v>0</v>
      </c>
      <c r="I11" s="229">
        <f>DevBdgt!H13</f>
        <v>0</v>
      </c>
      <c r="J11" s="229">
        <f>DevBdgt!I13</f>
        <v>0</v>
      </c>
      <c r="K11" s="229">
        <f>DevBdgt!J13</f>
        <v>0</v>
      </c>
      <c r="L11" s="229">
        <f>DevBdgt!K13</f>
        <v>0</v>
      </c>
      <c r="M11" s="229">
        <f>DevBdgt!L13</f>
        <v>0</v>
      </c>
      <c r="N11" s="229">
        <f>DevBdgt!M13</f>
        <v>0</v>
      </c>
      <c r="O11" s="229">
        <f>DevBdgt!N13</f>
        <v>0</v>
      </c>
      <c r="P11" s="229">
        <f>DevBdgt!O13</f>
        <v>0</v>
      </c>
      <c r="Q11" s="229">
        <f>DevBdgt!P13</f>
        <v>0</v>
      </c>
      <c r="R11" s="229">
        <f>DevBdgt!Q13</f>
        <v>0</v>
      </c>
      <c r="S11" s="229">
        <f>DevBdgt!R13</f>
        <v>0</v>
      </c>
      <c r="T11" s="229">
        <f>DevBdgt!S13</f>
        <v>0</v>
      </c>
      <c r="U11" s="229">
        <f>DevBdgt!T13</f>
        <v>0</v>
      </c>
      <c r="V11" s="229">
        <f>DevBdgt!U13</f>
        <v>0</v>
      </c>
      <c r="W11" s="229">
        <f>DevBdgt!V13</f>
        <v>0</v>
      </c>
      <c r="X11" s="229">
        <f>DevBdgt!W13</f>
        <v>0</v>
      </c>
      <c r="Y11" s="229">
        <f>DevBdgt!X13</f>
        <v>0</v>
      </c>
      <c r="Z11" s="229">
        <f>DevBdgt!Y13</f>
        <v>0</v>
      </c>
      <c r="AA11" s="229">
        <f>DevBdgt!Z13</f>
        <v>0</v>
      </c>
      <c r="AB11" s="229">
        <f>DevBdgt!AA13</f>
        <v>0</v>
      </c>
      <c r="AC11" s="229">
        <f>DevBdgt!AB13</f>
        <v>0</v>
      </c>
      <c r="AD11" s="229">
        <f>DevBdgt!AC13</f>
        <v>0</v>
      </c>
      <c r="AE11" s="229">
        <f>DevBdgt!AD13</f>
        <v>0</v>
      </c>
      <c r="AF11" s="229">
        <f>DevBdgt!AE13</f>
        <v>0</v>
      </c>
      <c r="AG11" s="229">
        <f>DevBdgt!AF13</f>
        <v>0</v>
      </c>
      <c r="AH11" s="229">
        <f>DevBdgt!AG13</f>
        <v>0</v>
      </c>
      <c r="AI11" s="229">
        <f>DevBdgt!AH13</f>
        <v>0</v>
      </c>
      <c r="AJ11" s="229">
        <f>DevBdgt!AI13</f>
        <v>0</v>
      </c>
      <c r="AK11" s="229">
        <f>DevBdgt!AJ13</f>
        <v>0</v>
      </c>
      <c r="AL11" s="229">
        <f>DevBdgt!AK13</f>
        <v>0</v>
      </c>
      <c r="AM11" s="229">
        <f>DevBdgt!AL13</f>
        <v>0</v>
      </c>
      <c r="AN11" s="229">
        <f>DevBdgt!AM13</f>
        <v>0</v>
      </c>
      <c r="AO11" s="229">
        <f>DevBdgt!AN13</f>
        <v>0</v>
      </c>
      <c r="AP11" s="229">
        <f>DevBdgt!AO13</f>
        <v>0</v>
      </c>
      <c r="AQ11" s="229">
        <f>DevBdgt!AP13</f>
        <v>0</v>
      </c>
      <c r="AR11" s="229">
        <f>DevBdgt!AQ13</f>
        <v>0</v>
      </c>
      <c r="AS11" s="229">
        <f>DevBdgt!AR13</f>
        <v>0</v>
      </c>
      <c r="AT11" s="229">
        <f>DevBdgt!AS13</f>
        <v>0</v>
      </c>
      <c r="AU11" s="229">
        <f>DevBdgt!AT13</f>
        <v>0</v>
      </c>
      <c r="AV11" s="229">
        <f>DevBdgt!AU13</f>
        <v>0</v>
      </c>
      <c r="AW11" s="229">
        <f>DevBdgt!AV13</f>
        <v>0</v>
      </c>
      <c r="AX11" s="229">
        <f>DevBdgt!AW13</f>
        <v>0</v>
      </c>
      <c r="AY11" s="229">
        <f>DevBdgt!AX13</f>
        <v>0</v>
      </c>
      <c r="AZ11" s="229">
        <f>DevBdgt!AY13</f>
        <v>0</v>
      </c>
      <c r="BA11" s="229">
        <f>DevBdgt!AZ13</f>
        <v>0</v>
      </c>
      <c r="BB11" s="229">
        <f>DevBdgt!BA13</f>
        <v>0</v>
      </c>
      <c r="BC11" s="229">
        <f>DevBdgt!BB13</f>
        <v>0</v>
      </c>
      <c r="BD11" s="229">
        <f>DevBdgt!BC13</f>
        <v>0</v>
      </c>
      <c r="BE11" s="229">
        <f>DevBdgt!BD13</f>
        <v>0</v>
      </c>
      <c r="BF11" s="229">
        <f>DevBdgt!BE13</f>
        <v>0</v>
      </c>
      <c r="BG11" s="229">
        <f>DevBdgt!BF13</f>
        <v>0</v>
      </c>
      <c r="BH11" s="229">
        <f>DevBdgt!BG13</f>
        <v>0</v>
      </c>
      <c r="BI11" s="229">
        <f>DevBdgt!BH13</f>
        <v>0</v>
      </c>
      <c r="BJ11" s="229">
        <f>DevBdgt!BI13</f>
        <v>0</v>
      </c>
      <c r="BK11" s="229">
        <f>DevBdgt!BJ13</f>
        <v>0</v>
      </c>
      <c r="BL11" s="229">
        <f>DevBdgt!BK13</f>
        <v>0</v>
      </c>
      <c r="BM11" s="229">
        <f>DevBdgt!BL13</f>
        <v>0</v>
      </c>
      <c r="BN11" s="229">
        <f>DevBdgt!BM13</f>
        <v>0</v>
      </c>
      <c r="BO11" s="229">
        <f>DevBdgt!BN13</f>
        <v>0</v>
      </c>
      <c r="BP11" s="229">
        <f>DevBdgt!BO13</f>
        <v>0</v>
      </c>
      <c r="BQ11" s="229">
        <f>DevBdgt!BP13</f>
        <v>0</v>
      </c>
      <c r="BR11" s="229">
        <f>DevBdgt!BQ13</f>
        <v>0</v>
      </c>
      <c r="BS11" s="229">
        <f>DevBdgt!BR13</f>
        <v>0</v>
      </c>
      <c r="BT11" s="229">
        <f>DevBdgt!BS13</f>
        <v>0</v>
      </c>
      <c r="BU11" s="229">
        <f>DevBdgt!BT13</f>
        <v>0</v>
      </c>
      <c r="BV11" s="229">
        <f>DevBdgt!BU13</f>
        <v>0</v>
      </c>
      <c r="BW11" s="229">
        <f>DevBdgt!BV13</f>
        <v>0</v>
      </c>
      <c r="BX11" s="229">
        <f>DevBdgt!BW13</f>
        <v>0</v>
      </c>
      <c r="BY11" s="229">
        <f>DevBdgt!BX13</f>
        <v>0</v>
      </c>
      <c r="BZ11" s="229">
        <f>DevBdgt!BY13</f>
        <v>0</v>
      </c>
      <c r="CA11" s="229">
        <f>DevBdgt!BZ13</f>
        <v>0</v>
      </c>
      <c r="CB11" s="229">
        <f>DevBdgt!CA13</f>
        <v>0</v>
      </c>
      <c r="CC11" s="229">
        <f>DevBdgt!CB13</f>
        <v>0</v>
      </c>
      <c r="CD11" s="229">
        <f>DevBdgt!CC13</f>
        <v>0</v>
      </c>
      <c r="CE11" s="229">
        <f>DevBdgt!CD13</f>
        <v>0</v>
      </c>
      <c r="CF11" s="229">
        <f>DevBdgt!CE13</f>
        <v>0</v>
      </c>
      <c r="CG11" s="229">
        <f>DevBdgt!CF13</f>
        <v>0</v>
      </c>
      <c r="CH11" s="229">
        <f>DevBdgt!CG13</f>
        <v>0</v>
      </c>
      <c r="CI11" s="229">
        <f>DevBdgt!CH13</f>
        <v>0</v>
      </c>
      <c r="CJ11" s="229">
        <f>DevBdgt!CI13</f>
        <v>0</v>
      </c>
      <c r="CK11" s="229">
        <f>DevBdgt!CJ13</f>
        <v>0</v>
      </c>
      <c r="CL11" s="229">
        <f>DevBdgt!CK13</f>
        <v>0</v>
      </c>
      <c r="CM11" s="229">
        <f>DevBdgt!CL13</f>
        <v>0</v>
      </c>
      <c r="CN11" s="229">
        <f>DevBdgt!CM13</f>
        <v>0</v>
      </c>
      <c r="CO11" s="229">
        <f>DevBdgt!CN13</f>
        <v>0</v>
      </c>
      <c r="CP11" s="229">
        <f>DevBdgt!CO13</f>
        <v>0</v>
      </c>
      <c r="CQ11" s="229">
        <f>DevBdgt!CP13</f>
        <v>0</v>
      </c>
      <c r="CR11" s="229">
        <f>DevBdgt!CQ13</f>
        <v>0</v>
      </c>
      <c r="CS11" s="229">
        <f>DevBdgt!CR13</f>
        <v>0</v>
      </c>
      <c r="CT11" s="229">
        <f>DevBdgt!CS13</f>
        <v>0</v>
      </c>
      <c r="CU11" s="229">
        <f>DevBdgt!CT13</f>
        <v>0</v>
      </c>
      <c r="CV11" s="229">
        <f>DevBdgt!CU13</f>
        <v>0</v>
      </c>
      <c r="CW11" s="229">
        <f>DevBdgt!CV13</f>
        <v>0</v>
      </c>
      <c r="CX11" s="229">
        <f>DevBdgt!CW13</f>
        <v>0</v>
      </c>
      <c r="CY11" s="229">
        <f>DevBdgt!CX13</f>
        <v>0</v>
      </c>
      <c r="CZ11" s="229">
        <f>DevBdgt!CY13</f>
        <v>0</v>
      </c>
      <c r="DA11" s="229">
        <f>DevBdgt!CZ13</f>
        <v>0</v>
      </c>
      <c r="DB11" s="229">
        <f>DevBdgt!DA13</f>
        <v>0</v>
      </c>
      <c r="DC11" s="229">
        <f>DevBdgt!DB13</f>
        <v>0</v>
      </c>
      <c r="DD11" s="229">
        <f>DevBdgt!DC13</f>
        <v>0</v>
      </c>
      <c r="DE11" s="229">
        <f>DevBdgt!DD13</f>
        <v>0</v>
      </c>
      <c r="DF11" s="229">
        <f>DevBdgt!DE13</f>
        <v>0</v>
      </c>
      <c r="DG11" s="229">
        <f>DevBdgt!DF13</f>
        <v>0</v>
      </c>
      <c r="DH11" s="229">
        <f>DevBdgt!DG13</f>
        <v>0</v>
      </c>
      <c r="DI11" s="229">
        <f>DevBdgt!DH13</f>
        <v>0</v>
      </c>
      <c r="DJ11" s="229">
        <f>DevBdgt!DI13</f>
        <v>0</v>
      </c>
      <c r="DK11" s="229">
        <f>DevBdgt!DJ13</f>
        <v>0</v>
      </c>
      <c r="DL11" s="229">
        <f>DevBdgt!DK13</f>
        <v>0</v>
      </c>
      <c r="DM11" s="229">
        <f>DevBdgt!DL13</f>
        <v>0</v>
      </c>
      <c r="DN11" s="229">
        <f>DevBdgt!DM13</f>
        <v>0</v>
      </c>
      <c r="DO11" s="229">
        <f>DevBdgt!DN13</f>
        <v>0</v>
      </c>
      <c r="DP11" s="229">
        <f>DevBdgt!DO13</f>
        <v>0</v>
      </c>
      <c r="DQ11" s="229">
        <f>DevBdgt!DP13</f>
        <v>0</v>
      </c>
      <c r="DR11" s="229">
        <f>DevBdgt!DQ13</f>
        <v>0</v>
      </c>
      <c r="DS11" s="229">
        <f>DevBdgt!DR13</f>
        <v>0</v>
      </c>
      <c r="DT11" s="229">
        <f>DevBdgt!DS13</f>
        <v>0</v>
      </c>
      <c r="DU11" s="229">
        <f>DevBdgt!DT13</f>
        <v>0</v>
      </c>
      <c r="DV11" s="229">
        <f>DevBdgt!DU13</f>
        <v>0</v>
      </c>
      <c r="DW11" s="229">
        <f>DevBdgt!DV13</f>
        <v>0</v>
      </c>
      <c r="DX11" s="229">
        <f>DevBdgt!DW13</f>
        <v>0</v>
      </c>
      <c r="DY11" s="229">
        <f>DevBdgt!DX13</f>
        <v>0</v>
      </c>
      <c r="DZ11" s="229">
        <f>DevBdgt!DY13</f>
        <v>0</v>
      </c>
      <c r="EA11" s="229">
        <f>DevBdgt!DZ13</f>
        <v>0</v>
      </c>
      <c r="EB11" s="229">
        <f>DevBdgt!EA13</f>
        <v>0</v>
      </c>
      <c r="EC11" s="229">
        <f>DevBdgt!EB13</f>
        <v>0</v>
      </c>
      <c r="ED11" s="229">
        <f>DevBdgt!EC13</f>
        <v>0</v>
      </c>
      <c r="EE11" s="229">
        <f>DevBdgt!ED13</f>
        <v>0</v>
      </c>
      <c r="EF11" s="229">
        <f>DevBdgt!EE13</f>
        <v>0</v>
      </c>
      <c r="EG11" s="229">
        <f>DevBdgt!EF13</f>
        <v>0</v>
      </c>
      <c r="EH11" s="229">
        <f>DevBdgt!EG13</f>
        <v>0</v>
      </c>
      <c r="EK11" s="280"/>
    </row>
    <row r="12" spans="1:143" ht="15" hidden="1" customHeight="1" outlineLevel="1" x14ac:dyDescent="0.3">
      <c r="G12" s="229"/>
      <c r="H12" s="229"/>
      <c r="I12" s="229"/>
      <c r="J12" s="229"/>
      <c r="K12" s="229"/>
      <c r="L12" s="229"/>
      <c r="M12" s="229"/>
      <c r="N12" s="229"/>
      <c r="O12" s="229"/>
      <c r="P12" s="229"/>
      <c r="Q12" s="229"/>
      <c r="R12" s="229"/>
      <c r="S12" s="229"/>
      <c r="T12" s="229"/>
      <c r="U12" s="229"/>
      <c r="V12" s="229"/>
      <c r="W12" s="229"/>
      <c r="X12" s="229"/>
      <c r="Y12" s="229"/>
      <c r="Z12" s="229"/>
      <c r="AA12" s="229"/>
      <c r="AB12" s="229"/>
      <c r="AC12" s="229"/>
      <c r="AD12" s="229"/>
      <c r="AE12" s="229"/>
      <c r="AF12" s="229"/>
      <c r="AG12" s="229"/>
      <c r="AH12" s="229"/>
      <c r="AI12" s="229"/>
      <c r="AJ12" s="229"/>
      <c r="AK12" s="229"/>
      <c r="AL12" s="229"/>
      <c r="AM12" s="229"/>
      <c r="AN12" s="229"/>
      <c r="AO12" s="229"/>
      <c r="AP12" s="229"/>
      <c r="AQ12" s="229"/>
      <c r="AR12" s="229"/>
      <c r="AS12" s="229"/>
      <c r="AT12" s="229"/>
      <c r="AU12" s="229"/>
      <c r="AV12" s="229"/>
      <c r="AW12" s="229"/>
      <c r="AX12" s="229"/>
      <c r="AY12" s="229"/>
      <c r="AZ12" s="229"/>
      <c r="BA12" s="229"/>
      <c r="BB12" s="229"/>
      <c r="BC12" s="229"/>
      <c r="BD12" s="229"/>
      <c r="BE12" s="229"/>
      <c r="BF12" s="229"/>
      <c r="BG12" s="229"/>
      <c r="BH12" s="229"/>
      <c r="BI12" s="229"/>
      <c r="BJ12" s="229"/>
      <c r="BK12" s="229"/>
      <c r="BL12" s="229"/>
      <c r="BM12" s="229"/>
      <c r="BN12" s="229"/>
      <c r="BO12" s="229"/>
      <c r="BP12" s="229"/>
      <c r="BQ12" s="229"/>
      <c r="BR12" s="229"/>
      <c r="BS12" s="229"/>
      <c r="BT12" s="229"/>
      <c r="BU12" s="229"/>
      <c r="BV12" s="229"/>
      <c r="BW12" s="229"/>
      <c r="BX12" s="229"/>
      <c r="BY12" s="229"/>
      <c r="BZ12" s="229"/>
      <c r="CA12" s="229"/>
      <c r="CB12" s="229"/>
      <c r="CC12" s="229"/>
      <c r="CD12" s="229"/>
      <c r="CE12" s="229"/>
      <c r="CF12" s="229"/>
      <c r="CG12" s="229"/>
      <c r="CH12" s="229"/>
      <c r="CI12" s="229"/>
      <c r="CJ12" s="229"/>
      <c r="CK12" s="229"/>
      <c r="CL12" s="229"/>
      <c r="CM12" s="229"/>
      <c r="CN12" s="229"/>
      <c r="CO12" s="229"/>
      <c r="CP12" s="229"/>
      <c r="CQ12" s="229"/>
      <c r="CR12" s="229"/>
      <c r="CS12" s="229"/>
      <c r="CT12" s="229"/>
      <c r="CU12" s="229"/>
      <c r="CV12" s="229"/>
      <c r="CW12" s="229"/>
      <c r="CX12" s="229"/>
      <c r="CY12" s="229"/>
      <c r="CZ12" s="229"/>
      <c r="DA12" s="229"/>
      <c r="DB12" s="229"/>
      <c r="DC12" s="229"/>
      <c r="DD12" s="229"/>
      <c r="DE12" s="229"/>
      <c r="DF12" s="229"/>
      <c r="DG12" s="229"/>
      <c r="DH12" s="229"/>
      <c r="DI12" s="229"/>
      <c r="DJ12" s="229"/>
      <c r="DK12" s="229"/>
      <c r="DL12" s="229"/>
      <c r="DM12" s="229"/>
      <c r="DN12" s="229"/>
      <c r="DO12" s="229"/>
      <c r="DP12" s="229"/>
      <c r="DQ12" s="229"/>
      <c r="DR12" s="229"/>
      <c r="DS12" s="229"/>
      <c r="DT12" s="229"/>
      <c r="DU12" s="229"/>
      <c r="DV12" s="229"/>
      <c r="DW12" s="229"/>
      <c r="DX12" s="229"/>
      <c r="DY12" s="229"/>
      <c r="DZ12" s="229"/>
      <c r="EA12" s="229"/>
      <c r="EB12" s="229"/>
      <c r="EC12" s="229"/>
      <c r="ED12" s="229"/>
      <c r="EE12" s="229"/>
      <c r="EF12" s="229"/>
      <c r="EG12" s="229"/>
      <c r="EH12" s="229"/>
      <c r="EK12" s="672"/>
    </row>
    <row r="13" spans="1:143" ht="15" hidden="1" customHeight="1" outlineLevel="1" x14ac:dyDescent="0.3">
      <c r="A13" t="str">
        <f>DevBdgt!A15</f>
        <v>Units BOM (Market)</v>
      </c>
      <c r="E13" s="647"/>
      <c r="F13" s="647"/>
      <c r="G13" s="229">
        <f>DevBdgt!F15</f>
        <v>0</v>
      </c>
      <c r="H13" s="229">
        <f>DevBdgt!G15</f>
        <v>0</v>
      </c>
      <c r="I13" s="229">
        <f>DevBdgt!H15</f>
        <v>0</v>
      </c>
      <c r="J13" s="229">
        <f>DevBdgt!I15</f>
        <v>0</v>
      </c>
      <c r="K13" s="229">
        <f>DevBdgt!J15</f>
        <v>0</v>
      </c>
      <c r="L13" s="229">
        <f>DevBdgt!K15</f>
        <v>0</v>
      </c>
      <c r="M13" s="229">
        <f>DevBdgt!L15</f>
        <v>0</v>
      </c>
      <c r="N13" s="229">
        <f>DevBdgt!M15</f>
        <v>0</v>
      </c>
      <c r="O13" s="229">
        <f>DevBdgt!N15</f>
        <v>0</v>
      </c>
      <c r="P13" s="229">
        <f>DevBdgt!O15</f>
        <v>0</v>
      </c>
      <c r="Q13" s="229">
        <f>DevBdgt!P15</f>
        <v>0</v>
      </c>
      <c r="R13" s="229">
        <f>DevBdgt!Q15</f>
        <v>0</v>
      </c>
      <c r="S13" s="229">
        <f>DevBdgt!R15</f>
        <v>0</v>
      </c>
      <c r="T13" s="229">
        <f>DevBdgt!S15</f>
        <v>0</v>
      </c>
      <c r="U13" s="229">
        <f>DevBdgt!T15</f>
        <v>21.333333333333332</v>
      </c>
      <c r="V13" s="229">
        <f>DevBdgt!U15</f>
        <v>42.666666666666664</v>
      </c>
      <c r="W13" s="229">
        <f>DevBdgt!V15</f>
        <v>64</v>
      </c>
      <c r="X13" s="229">
        <f>DevBdgt!W15</f>
        <v>85.333333333333329</v>
      </c>
      <c r="Y13" s="229">
        <f>DevBdgt!X15</f>
        <v>106.66666666666666</v>
      </c>
      <c r="Z13" s="229">
        <f>DevBdgt!Y15</f>
        <v>127.99999999999999</v>
      </c>
      <c r="AA13" s="229">
        <f>DevBdgt!Z15</f>
        <v>149.33333333333331</v>
      </c>
      <c r="AB13" s="229">
        <f>DevBdgt!AA15</f>
        <v>170.66666666666666</v>
      </c>
      <c r="AC13" s="229">
        <f>DevBdgt!AB15</f>
        <v>192</v>
      </c>
      <c r="AD13" s="229">
        <f>DevBdgt!AC15</f>
        <v>213.33333333333334</v>
      </c>
      <c r="AE13" s="229">
        <f>DevBdgt!AD15</f>
        <v>234.66666666666669</v>
      </c>
      <c r="AF13" s="229">
        <f>DevBdgt!AE15</f>
        <v>256</v>
      </c>
      <c r="AG13" s="229">
        <f>DevBdgt!AF15</f>
        <v>256</v>
      </c>
      <c r="AH13" s="229">
        <f>DevBdgt!AG15</f>
        <v>256</v>
      </c>
      <c r="AI13" s="229">
        <f>DevBdgt!AH15</f>
        <v>256</v>
      </c>
      <c r="AJ13" s="229">
        <f>DevBdgt!AI15</f>
        <v>256</v>
      </c>
      <c r="AK13" s="229">
        <f>DevBdgt!AJ15</f>
        <v>256</v>
      </c>
      <c r="AL13" s="229">
        <f>DevBdgt!AK15</f>
        <v>256</v>
      </c>
      <c r="AM13" s="229">
        <f>DevBdgt!AL15</f>
        <v>256</v>
      </c>
      <c r="AN13" s="229">
        <f>DevBdgt!AM15</f>
        <v>256</v>
      </c>
      <c r="AO13" s="229">
        <f>DevBdgt!AN15</f>
        <v>256</v>
      </c>
      <c r="AP13" s="229">
        <f>DevBdgt!AO15</f>
        <v>256</v>
      </c>
      <c r="AQ13" s="229">
        <f>DevBdgt!AP15</f>
        <v>256</v>
      </c>
      <c r="AR13" s="229">
        <f>DevBdgt!AQ15</f>
        <v>256</v>
      </c>
      <c r="AS13" s="229">
        <f>DevBdgt!AR15</f>
        <v>256</v>
      </c>
      <c r="AT13" s="229">
        <f>DevBdgt!AS15</f>
        <v>256</v>
      </c>
      <c r="AU13" s="229">
        <f>DevBdgt!AT15</f>
        <v>256</v>
      </c>
      <c r="AV13" s="229">
        <f>DevBdgt!AU15</f>
        <v>256</v>
      </c>
      <c r="AW13" s="229">
        <f>DevBdgt!AV15</f>
        <v>256</v>
      </c>
      <c r="AX13" s="229">
        <f>DevBdgt!AW15</f>
        <v>256</v>
      </c>
      <c r="AY13" s="229">
        <f>DevBdgt!AX15</f>
        <v>256</v>
      </c>
      <c r="AZ13" s="229">
        <f>DevBdgt!AY15</f>
        <v>256</v>
      </c>
      <c r="BA13" s="229">
        <f>DevBdgt!AZ15</f>
        <v>256</v>
      </c>
      <c r="BB13" s="229">
        <f>DevBdgt!BA15</f>
        <v>256</v>
      </c>
      <c r="BC13" s="229">
        <f>DevBdgt!BB15</f>
        <v>256</v>
      </c>
      <c r="BD13" s="229">
        <f>DevBdgt!BC15</f>
        <v>256</v>
      </c>
      <c r="BE13" s="229">
        <f>DevBdgt!BD15</f>
        <v>256</v>
      </c>
      <c r="BF13" s="229">
        <f>DevBdgt!BE15</f>
        <v>256</v>
      </c>
      <c r="BG13" s="229">
        <f>DevBdgt!BF15</f>
        <v>256</v>
      </c>
      <c r="BH13" s="229">
        <f>DevBdgt!BG15</f>
        <v>256</v>
      </c>
      <c r="BI13" s="229">
        <f>DevBdgt!BH15</f>
        <v>256</v>
      </c>
      <c r="BJ13" s="229">
        <f>DevBdgt!BI15</f>
        <v>256</v>
      </c>
      <c r="BK13" s="229">
        <f>DevBdgt!BJ15</f>
        <v>256</v>
      </c>
      <c r="BL13" s="229">
        <f>DevBdgt!BK15</f>
        <v>256</v>
      </c>
      <c r="BM13" s="229">
        <f>DevBdgt!BL15</f>
        <v>256</v>
      </c>
      <c r="BN13" s="229">
        <f>DevBdgt!BM15</f>
        <v>256</v>
      </c>
      <c r="BO13" s="229">
        <f>DevBdgt!BN15</f>
        <v>256</v>
      </c>
      <c r="BP13" s="229">
        <f>DevBdgt!BO15</f>
        <v>256</v>
      </c>
      <c r="BQ13" s="229">
        <f>DevBdgt!BP15</f>
        <v>256</v>
      </c>
      <c r="BR13" s="229">
        <f>DevBdgt!BQ15</f>
        <v>256</v>
      </c>
      <c r="BS13" s="229">
        <f>DevBdgt!BR15</f>
        <v>256</v>
      </c>
      <c r="BT13" s="229">
        <f>DevBdgt!BS15</f>
        <v>256</v>
      </c>
      <c r="BU13" s="229">
        <f>DevBdgt!BT15</f>
        <v>256</v>
      </c>
      <c r="BV13" s="229">
        <f>DevBdgt!BU15</f>
        <v>256</v>
      </c>
      <c r="BW13" s="229">
        <f>DevBdgt!BV15</f>
        <v>256</v>
      </c>
      <c r="BX13" s="229">
        <f>DevBdgt!BW15</f>
        <v>256</v>
      </c>
      <c r="BY13" s="229">
        <f>DevBdgt!BX15</f>
        <v>256</v>
      </c>
      <c r="BZ13" s="229">
        <f>DevBdgt!BY15</f>
        <v>256</v>
      </c>
      <c r="CA13" s="229">
        <f>DevBdgt!BZ15</f>
        <v>256</v>
      </c>
      <c r="CB13" s="229">
        <f>DevBdgt!CA15</f>
        <v>256</v>
      </c>
      <c r="CC13" s="229">
        <f>DevBdgt!CB15</f>
        <v>256</v>
      </c>
      <c r="CD13" s="229">
        <f>DevBdgt!CC15</f>
        <v>256</v>
      </c>
      <c r="CE13" s="229">
        <f>DevBdgt!CD15</f>
        <v>256</v>
      </c>
      <c r="CF13" s="229">
        <f>DevBdgt!CE15</f>
        <v>256</v>
      </c>
      <c r="CG13" s="229">
        <f>DevBdgt!CF15</f>
        <v>256</v>
      </c>
      <c r="CH13" s="229">
        <f>DevBdgt!CG15</f>
        <v>256</v>
      </c>
      <c r="CI13" s="229">
        <f>DevBdgt!CH15</f>
        <v>256</v>
      </c>
      <c r="CJ13" s="229">
        <f>DevBdgt!CI15</f>
        <v>256</v>
      </c>
      <c r="CK13" s="229">
        <f>DevBdgt!CJ15</f>
        <v>256</v>
      </c>
      <c r="CL13" s="229">
        <f>DevBdgt!CK15</f>
        <v>256</v>
      </c>
      <c r="CM13" s="229">
        <f>DevBdgt!CL15</f>
        <v>256</v>
      </c>
      <c r="CN13" s="229">
        <f>DevBdgt!CM15</f>
        <v>256</v>
      </c>
      <c r="CO13" s="229">
        <f>DevBdgt!CN15</f>
        <v>256</v>
      </c>
      <c r="CP13" s="229">
        <f>DevBdgt!CO15</f>
        <v>256</v>
      </c>
      <c r="CQ13" s="229">
        <f>DevBdgt!CP15</f>
        <v>256</v>
      </c>
      <c r="CR13" s="229">
        <f>DevBdgt!CQ15</f>
        <v>256</v>
      </c>
      <c r="CS13" s="229">
        <f>DevBdgt!CR15</f>
        <v>256</v>
      </c>
      <c r="CT13" s="229">
        <f>DevBdgt!CS15</f>
        <v>256</v>
      </c>
      <c r="CU13" s="229">
        <f>DevBdgt!CT15</f>
        <v>256</v>
      </c>
      <c r="CV13" s="229">
        <f>DevBdgt!CU15</f>
        <v>256</v>
      </c>
      <c r="CW13" s="229">
        <f>DevBdgt!CV15</f>
        <v>256</v>
      </c>
      <c r="CX13" s="229">
        <f>DevBdgt!CW15</f>
        <v>256</v>
      </c>
      <c r="CY13" s="229">
        <f>DevBdgt!CX15</f>
        <v>256</v>
      </c>
      <c r="CZ13" s="229">
        <f>DevBdgt!CY15</f>
        <v>256</v>
      </c>
      <c r="DA13" s="229">
        <f>DevBdgt!CZ15</f>
        <v>256</v>
      </c>
      <c r="DB13" s="229">
        <f>DevBdgt!DA15</f>
        <v>256</v>
      </c>
      <c r="DC13" s="229">
        <f>DevBdgt!DB15</f>
        <v>256</v>
      </c>
      <c r="DD13" s="229">
        <f>DevBdgt!DC15</f>
        <v>256</v>
      </c>
      <c r="DE13" s="229">
        <f>DevBdgt!DD15</f>
        <v>256</v>
      </c>
      <c r="DF13" s="229">
        <f>DevBdgt!DE15</f>
        <v>256</v>
      </c>
      <c r="DG13" s="229">
        <f>DevBdgt!DF15</f>
        <v>256</v>
      </c>
      <c r="DH13" s="229">
        <f>DevBdgt!DG15</f>
        <v>256</v>
      </c>
      <c r="DI13" s="229">
        <f>DevBdgt!DH15</f>
        <v>256</v>
      </c>
      <c r="DJ13" s="229">
        <f>DevBdgt!DI15</f>
        <v>256</v>
      </c>
      <c r="DK13" s="229">
        <f>DevBdgt!DJ15</f>
        <v>256</v>
      </c>
      <c r="DL13" s="229">
        <f>DevBdgt!DK15</f>
        <v>256</v>
      </c>
      <c r="DM13" s="229">
        <f>DevBdgt!DL15</f>
        <v>256</v>
      </c>
      <c r="DN13" s="229">
        <f>DevBdgt!DM15</f>
        <v>256</v>
      </c>
      <c r="DO13" s="229">
        <f>DevBdgt!DN15</f>
        <v>256</v>
      </c>
      <c r="DP13" s="229">
        <f>DevBdgt!DO15</f>
        <v>256</v>
      </c>
      <c r="DQ13" s="229">
        <f>DevBdgt!DP15</f>
        <v>256</v>
      </c>
      <c r="DR13" s="229">
        <f>DevBdgt!DQ15</f>
        <v>256</v>
      </c>
      <c r="DS13" s="229">
        <f>DevBdgt!DR15</f>
        <v>256</v>
      </c>
      <c r="DT13" s="229">
        <f>DevBdgt!DS15</f>
        <v>256</v>
      </c>
      <c r="DU13" s="229">
        <f>DevBdgt!DT15</f>
        <v>256</v>
      </c>
      <c r="DV13" s="229">
        <f>DevBdgt!DU15</f>
        <v>256</v>
      </c>
      <c r="DW13" s="229">
        <f>DevBdgt!DV15</f>
        <v>256</v>
      </c>
      <c r="DX13" s="229">
        <f>DevBdgt!DW15</f>
        <v>256</v>
      </c>
      <c r="DY13" s="229">
        <f>DevBdgt!DX15</f>
        <v>256</v>
      </c>
      <c r="DZ13" s="229">
        <f>DevBdgt!DY15</f>
        <v>256</v>
      </c>
      <c r="EA13" s="229">
        <f>DevBdgt!DZ15</f>
        <v>256</v>
      </c>
      <c r="EB13" s="229">
        <f>DevBdgt!EA15</f>
        <v>256</v>
      </c>
      <c r="EC13" s="229">
        <f>DevBdgt!EB15</f>
        <v>256</v>
      </c>
      <c r="ED13" s="229">
        <f>DevBdgt!EC15</f>
        <v>256</v>
      </c>
      <c r="EE13" s="229">
        <f>DevBdgt!ED15</f>
        <v>256</v>
      </c>
      <c r="EF13" s="229">
        <f>DevBdgt!EE15</f>
        <v>256</v>
      </c>
      <c r="EG13" s="229">
        <f>DevBdgt!EF15</f>
        <v>256</v>
      </c>
      <c r="EH13" s="229">
        <f>DevBdgt!EG15</f>
        <v>256</v>
      </c>
      <c r="EI13" s="230">
        <f>EH13</f>
        <v>256</v>
      </c>
      <c r="EK13" s="280"/>
    </row>
    <row r="14" spans="1:143" ht="15" hidden="1" customHeight="1" outlineLevel="1" x14ac:dyDescent="0.3">
      <c r="A14" s="241" t="str">
        <f>DevBdgt!A16</f>
        <v>Unit Delivery (Market)</v>
      </c>
      <c r="B14" s="241"/>
      <c r="C14" s="241"/>
      <c r="D14" s="241"/>
      <c r="E14" s="648"/>
      <c r="F14" s="648"/>
      <c r="G14" s="242">
        <f>DevBdgt!F16</f>
        <v>0</v>
      </c>
      <c r="H14" s="242">
        <f>DevBdgt!G16</f>
        <v>0</v>
      </c>
      <c r="I14" s="242">
        <f>DevBdgt!H16</f>
        <v>0</v>
      </c>
      <c r="J14" s="242">
        <f>DevBdgt!I16</f>
        <v>0</v>
      </c>
      <c r="K14" s="242">
        <f>DevBdgt!J16</f>
        <v>0</v>
      </c>
      <c r="L14" s="242">
        <f>DevBdgt!K16</f>
        <v>0</v>
      </c>
      <c r="M14" s="242">
        <f>DevBdgt!L16</f>
        <v>0</v>
      </c>
      <c r="N14" s="242">
        <f>DevBdgt!M16</f>
        <v>0</v>
      </c>
      <c r="O14" s="242">
        <f>DevBdgt!N16</f>
        <v>0</v>
      </c>
      <c r="P14" s="242">
        <f>DevBdgt!O16</f>
        <v>0</v>
      </c>
      <c r="Q14" s="242">
        <f>DevBdgt!P16</f>
        <v>0</v>
      </c>
      <c r="R14" s="242">
        <f>DevBdgt!Q16</f>
        <v>0</v>
      </c>
      <c r="S14" s="242">
        <f>DevBdgt!R16</f>
        <v>0</v>
      </c>
      <c r="T14" s="242">
        <f>DevBdgt!S16</f>
        <v>21.333333333333332</v>
      </c>
      <c r="U14" s="242">
        <f>DevBdgt!T16</f>
        <v>21.333333333333332</v>
      </c>
      <c r="V14" s="242">
        <f>DevBdgt!U16</f>
        <v>21.333333333333332</v>
      </c>
      <c r="W14" s="242">
        <f>DevBdgt!V16</f>
        <v>21.333333333333332</v>
      </c>
      <c r="X14" s="242">
        <f>DevBdgt!W16</f>
        <v>21.333333333333332</v>
      </c>
      <c r="Y14" s="242">
        <f>DevBdgt!X16</f>
        <v>21.333333333333332</v>
      </c>
      <c r="Z14" s="242">
        <f>DevBdgt!Y16</f>
        <v>21.333333333333332</v>
      </c>
      <c r="AA14" s="242">
        <f>DevBdgt!Z16</f>
        <v>21.333333333333332</v>
      </c>
      <c r="AB14" s="242">
        <f>DevBdgt!AA16</f>
        <v>21.333333333333332</v>
      </c>
      <c r="AC14" s="242">
        <f>DevBdgt!AB16</f>
        <v>21.333333333333332</v>
      </c>
      <c r="AD14" s="242">
        <f>DevBdgt!AC16</f>
        <v>21.333333333333332</v>
      </c>
      <c r="AE14" s="242">
        <f>DevBdgt!AD16</f>
        <v>21.333333333333332</v>
      </c>
      <c r="AF14" s="242">
        <f>DevBdgt!AE16</f>
        <v>0</v>
      </c>
      <c r="AG14" s="242">
        <f>DevBdgt!AF16</f>
        <v>0</v>
      </c>
      <c r="AH14" s="242">
        <f>DevBdgt!AG16</f>
        <v>0</v>
      </c>
      <c r="AI14" s="242">
        <f>DevBdgt!AH16</f>
        <v>0</v>
      </c>
      <c r="AJ14" s="242">
        <f>DevBdgt!AI16</f>
        <v>0</v>
      </c>
      <c r="AK14" s="242">
        <f>DevBdgt!AJ16</f>
        <v>0</v>
      </c>
      <c r="AL14" s="242">
        <f>DevBdgt!AK16</f>
        <v>0</v>
      </c>
      <c r="AM14" s="242">
        <f>DevBdgt!AL16</f>
        <v>0</v>
      </c>
      <c r="AN14" s="242">
        <f>DevBdgt!AM16</f>
        <v>0</v>
      </c>
      <c r="AO14" s="242">
        <f>DevBdgt!AN16</f>
        <v>0</v>
      </c>
      <c r="AP14" s="242">
        <f>DevBdgt!AO16</f>
        <v>0</v>
      </c>
      <c r="AQ14" s="242">
        <f>DevBdgt!AP16</f>
        <v>0</v>
      </c>
      <c r="AR14" s="242">
        <f>DevBdgt!AQ16</f>
        <v>0</v>
      </c>
      <c r="AS14" s="242">
        <f>DevBdgt!AR16</f>
        <v>0</v>
      </c>
      <c r="AT14" s="242">
        <f>DevBdgt!AS16</f>
        <v>0</v>
      </c>
      <c r="AU14" s="242">
        <f>DevBdgt!AT16</f>
        <v>0</v>
      </c>
      <c r="AV14" s="242">
        <f>DevBdgt!AU16</f>
        <v>0</v>
      </c>
      <c r="AW14" s="242">
        <f>DevBdgt!AV16</f>
        <v>0</v>
      </c>
      <c r="AX14" s="242">
        <f>DevBdgt!AW16</f>
        <v>0</v>
      </c>
      <c r="AY14" s="242">
        <f>DevBdgt!AX16</f>
        <v>0</v>
      </c>
      <c r="AZ14" s="242">
        <f>DevBdgt!AY16</f>
        <v>0</v>
      </c>
      <c r="BA14" s="242">
        <f>DevBdgt!AZ16</f>
        <v>0</v>
      </c>
      <c r="BB14" s="242">
        <f>DevBdgt!BA16</f>
        <v>0</v>
      </c>
      <c r="BC14" s="242">
        <f>DevBdgt!BB16</f>
        <v>0</v>
      </c>
      <c r="BD14" s="242">
        <f>DevBdgt!BC16</f>
        <v>0</v>
      </c>
      <c r="BE14" s="242">
        <f>DevBdgt!BD16</f>
        <v>0</v>
      </c>
      <c r="BF14" s="242">
        <f>DevBdgt!BE16</f>
        <v>0</v>
      </c>
      <c r="BG14" s="242">
        <f>DevBdgt!BF16</f>
        <v>0</v>
      </c>
      <c r="BH14" s="242">
        <f>DevBdgt!BG16</f>
        <v>0</v>
      </c>
      <c r="BI14" s="242">
        <f>DevBdgt!BH16</f>
        <v>0</v>
      </c>
      <c r="BJ14" s="242">
        <f>DevBdgt!BI16</f>
        <v>0</v>
      </c>
      <c r="BK14" s="242">
        <f>DevBdgt!BJ16</f>
        <v>0</v>
      </c>
      <c r="BL14" s="242">
        <f>DevBdgt!BK16</f>
        <v>0</v>
      </c>
      <c r="BM14" s="242">
        <f>DevBdgt!BL16</f>
        <v>0</v>
      </c>
      <c r="BN14" s="242">
        <f>DevBdgt!BM16</f>
        <v>0</v>
      </c>
      <c r="BO14" s="242">
        <f>DevBdgt!BN16</f>
        <v>0</v>
      </c>
      <c r="BP14" s="242">
        <f>DevBdgt!BO16</f>
        <v>0</v>
      </c>
      <c r="BQ14" s="242">
        <f>DevBdgt!BP16</f>
        <v>0</v>
      </c>
      <c r="BR14" s="242">
        <f>DevBdgt!BQ16</f>
        <v>0</v>
      </c>
      <c r="BS14" s="242">
        <f>DevBdgt!BR16</f>
        <v>0</v>
      </c>
      <c r="BT14" s="242">
        <f>DevBdgt!BS16</f>
        <v>0</v>
      </c>
      <c r="BU14" s="242">
        <f>DevBdgt!BT16</f>
        <v>0</v>
      </c>
      <c r="BV14" s="242">
        <f>DevBdgt!BU16</f>
        <v>0</v>
      </c>
      <c r="BW14" s="242">
        <f>DevBdgt!BV16</f>
        <v>0</v>
      </c>
      <c r="BX14" s="242">
        <f>DevBdgt!BW16</f>
        <v>0</v>
      </c>
      <c r="BY14" s="242">
        <f>DevBdgt!BX16</f>
        <v>0</v>
      </c>
      <c r="BZ14" s="242">
        <f>DevBdgt!BY16</f>
        <v>0</v>
      </c>
      <c r="CA14" s="242">
        <f>DevBdgt!BZ16</f>
        <v>0</v>
      </c>
      <c r="CB14" s="242">
        <f>DevBdgt!CA16</f>
        <v>0</v>
      </c>
      <c r="CC14" s="242">
        <f>DevBdgt!CB16</f>
        <v>0</v>
      </c>
      <c r="CD14" s="242">
        <f>DevBdgt!CC16</f>
        <v>0</v>
      </c>
      <c r="CE14" s="242">
        <f>DevBdgt!CD16</f>
        <v>0</v>
      </c>
      <c r="CF14" s="242">
        <f>DevBdgt!CE16</f>
        <v>0</v>
      </c>
      <c r="CG14" s="242">
        <f>DevBdgt!CF16</f>
        <v>0</v>
      </c>
      <c r="CH14" s="242">
        <f>DevBdgt!CG16</f>
        <v>0</v>
      </c>
      <c r="CI14" s="242">
        <f>DevBdgt!CH16</f>
        <v>0</v>
      </c>
      <c r="CJ14" s="242">
        <f>DevBdgt!CI16</f>
        <v>0</v>
      </c>
      <c r="CK14" s="242">
        <f>DevBdgt!CJ16</f>
        <v>0</v>
      </c>
      <c r="CL14" s="242">
        <f>DevBdgt!CK16</f>
        <v>0</v>
      </c>
      <c r="CM14" s="242">
        <f>DevBdgt!CL16</f>
        <v>0</v>
      </c>
      <c r="CN14" s="242">
        <f>DevBdgt!CM16</f>
        <v>0</v>
      </c>
      <c r="CO14" s="242">
        <f>DevBdgt!CN16</f>
        <v>0</v>
      </c>
      <c r="CP14" s="242">
        <f>DevBdgt!CO16</f>
        <v>0</v>
      </c>
      <c r="CQ14" s="242">
        <f>DevBdgt!CP16</f>
        <v>0</v>
      </c>
      <c r="CR14" s="242">
        <f>DevBdgt!CQ16</f>
        <v>0</v>
      </c>
      <c r="CS14" s="242">
        <f>DevBdgt!CR16</f>
        <v>0</v>
      </c>
      <c r="CT14" s="242">
        <f>DevBdgt!CS16</f>
        <v>0</v>
      </c>
      <c r="CU14" s="242">
        <f>DevBdgt!CT16</f>
        <v>0</v>
      </c>
      <c r="CV14" s="242">
        <f>DevBdgt!CU16</f>
        <v>0</v>
      </c>
      <c r="CW14" s="242">
        <f>DevBdgt!CV16</f>
        <v>0</v>
      </c>
      <c r="CX14" s="242">
        <f>DevBdgt!CW16</f>
        <v>0</v>
      </c>
      <c r="CY14" s="242">
        <f>DevBdgt!CX16</f>
        <v>0</v>
      </c>
      <c r="CZ14" s="242">
        <f>DevBdgt!CY16</f>
        <v>0</v>
      </c>
      <c r="DA14" s="242">
        <f>DevBdgt!CZ16</f>
        <v>0</v>
      </c>
      <c r="DB14" s="242">
        <f>DevBdgt!DA16</f>
        <v>0</v>
      </c>
      <c r="DC14" s="242">
        <f>DevBdgt!DB16</f>
        <v>0</v>
      </c>
      <c r="DD14" s="242">
        <f>DevBdgt!DC16</f>
        <v>0</v>
      </c>
      <c r="DE14" s="242">
        <f>DevBdgt!DD16</f>
        <v>0</v>
      </c>
      <c r="DF14" s="242">
        <f>DevBdgt!DE16</f>
        <v>0</v>
      </c>
      <c r="DG14" s="242">
        <f>DevBdgt!DF16</f>
        <v>0</v>
      </c>
      <c r="DH14" s="242">
        <f>DevBdgt!DG16</f>
        <v>0</v>
      </c>
      <c r="DI14" s="242">
        <f>DevBdgt!DH16</f>
        <v>0</v>
      </c>
      <c r="DJ14" s="242">
        <f>DevBdgt!DI16</f>
        <v>0</v>
      </c>
      <c r="DK14" s="242">
        <f>DevBdgt!DJ16</f>
        <v>0</v>
      </c>
      <c r="DL14" s="242">
        <f>DevBdgt!DK16</f>
        <v>0</v>
      </c>
      <c r="DM14" s="242">
        <f>DevBdgt!DL16</f>
        <v>0</v>
      </c>
      <c r="DN14" s="242">
        <f>DevBdgt!DM16</f>
        <v>0</v>
      </c>
      <c r="DO14" s="242">
        <f>DevBdgt!DN16</f>
        <v>0</v>
      </c>
      <c r="DP14" s="242">
        <f>DevBdgt!DO16</f>
        <v>0</v>
      </c>
      <c r="DQ14" s="242">
        <f>DevBdgt!DP16</f>
        <v>0</v>
      </c>
      <c r="DR14" s="242">
        <f>DevBdgt!DQ16</f>
        <v>0</v>
      </c>
      <c r="DS14" s="242">
        <f>DevBdgt!DR16</f>
        <v>0</v>
      </c>
      <c r="DT14" s="242">
        <f>DevBdgt!DS16</f>
        <v>0</v>
      </c>
      <c r="DU14" s="242">
        <f>DevBdgt!DT16</f>
        <v>0</v>
      </c>
      <c r="DV14" s="242">
        <f>DevBdgt!DU16</f>
        <v>0</v>
      </c>
      <c r="DW14" s="242">
        <f>DevBdgt!DV16</f>
        <v>0</v>
      </c>
      <c r="DX14" s="242">
        <f>DevBdgt!DW16</f>
        <v>0</v>
      </c>
      <c r="DY14" s="242">
        <f>DevBdgt!DX16</f>
        <v>0</v>
      </c>
      <c r="DZ14" s="242">
        <f>DevBdgt!DY16</f>
        <v>0</v>
      </c>
      <c r="EA14" s="242">
        <f>DevBdgt!DZ16</f>
        <v>0</v>
      </c>
      <c r="EB14" s="242">
        <f>DevBdgt!EA16</f>
        <v>0</v>
      </c>
      <c r="EC14" s="242">
        <f>DevBdgt!EB16</f>
        <v>0</v>
      </c>
      <c r="ED14" s="242">
        <f>DevBdgt!EC16</f>
        <v>0</v>
      </c>
      <c r="EE14" s="242">
        <f>DevBdgt!ED16</f>
        <v>0</v>
      </c>
      <c r="EF14" s="242">
        <f>DevBdgt!EE16</f>
        <v>0</v>
      </c>
      <c r="EG14" s="242">
        <f>DevBdgt!EF16</f>
        <v>0</v>
      </c>
      <c r="EH14" s="242">
        <f>DevBdgt!EG16</f>
        <v>0</v>
      </c>
      <c r="EK14" s="672"/>
    </row>
    <row r="15" spans="1:143" ht="15" hidden="1" customHeight="1" outlineLevel="1" x14ac:dyDescent="0.3">
      <c r="A15" t="str">
        <f>DevBdgt!A17</f>
        <v>Units EOM (Market)</v>
      </c>
      <c r="E15" s="647"/>
      <c r="F15" s="647"/>
      <c r="G15" s="229">
        <f>DevBdgt!F17</f>
        <v>0</v>
      </c>
      <c r="H15" s="229">
        <f>DevBdgt!G17</f>
        <v>0</v>
      </c>
      <c r="I15" s="229">
        <f>DevBdgt!H17</f>
        <v>0</v>
      </c>
      <c r="J15" s="229">
        <f>DevBdgt!I17</f>
        <v>0</v>
      </c>
      <c r="K15" s="229">
        <f>DevBdgt!J17</f>
        <v>0</v>
      </c>
      <c r="L15" s="229">
        <f>DevBdgt!K17</f>
        <v>0</v>
      </c>
      <c r="M15" s="229">
        <f>DevBdgt!L17</f>
        <v>0</v>
      </c>
      <c r="N15" s="229">
        <f>DevBdgt!M17</f>
        <v>0</v>
      </c>
      <c r="O15" s="229">
        <f>DevBdgt!N17</f>
        <v>0</v>
      </c>
      <c r="P15" s="229">
        <f>DevBdgt!O17</f>
        <v>0</v>
      </c>
      <c r="Q15" s="229">
        <f>DevBdgt!P17</f>
        <v>0</v>
      </c>
      <c r="R15" s="229">
        <f>DevBdgt!Q17</f>
        <v>0</v>
      </c>
      <c r="S15" s="229">
        <f>DevBdgt!R17</f>
        <v>0</v>
      </c>
      <c r="T15" s="229">
        <f>DevBdgt!S17</f>
        <v>21.333333333333332</v>
      </c>
      <c r="U15" s="229">
        <f>DevBdgt!T17</f>
        <v>42.666666666666664</v>
      </c>
      <c r="V15" s="229">
        <f>DevBdgt!U17</f>
        <v>64</v>
      </c>
      <c r="W15" s="229">
        <f>DevBdgt!V17</f>
        <v>85.333333333333329</v>
      </c>
      <c r="X15" s="229">
        <f>DevBdgt!W17</f>
        <v>106.66666666666666</v>
      </c>
      <c r="Y15" s="229">
        <f>DevBdgt!X17</f>
        <v>127.99999999999999</v>
      </c>
      <c r="Z15" s="229">
        <f>DevBdgt!Y17</f>
        <v>149.33333333333331</v>
      </c>
      <c r="AA15" s="229">
        <f>DevBdgt!Z17</f>
        <v>170.66666666666666</v>
      </c>
      <c r="AB15" s="229">
        <f>DevBdgt!AA17</f>
        <v>192</v>
      </c>
      <c r="AC15" s="229">
        <f>DevBdgt!AB17</f>
        <v>213.33333333333334</v>
      </c>
      <c r="AD15" s="229">
        <f>DevBdgt!AC17</f>
        <v>234.66666666666669</v>
      </c>
      <c r="AE15" s="229">
        <f>DevBdgt!AD17</f>
        <v>256</v>
      </c>
      <c r="AF15" s="229">
        <f>DevBdgt!AE17</f>
        <v>256</v>
      </c>
      <c r="AG15" s="229">
        <f>DevBdgt!AF17</f>
        <v>256</v>
      </c>
      <c r="AH15" s="229">
        <f>DevBdgt!AG17</f>
        <v>256</v>
      </c>
      <c r="AI15" s="229">
        <f>DevBdgt!AH17</f>
        <v>256</v>
      </c>
      <c r="AJ15" s="229">
        <f>DevBdgt!AI17</f>
        <v>256</v>
      </c>
      <c r="AK15" s="229">
        <f>DevBdgt!AJ17</f>
        <v>256</v>
      </c>
      <c r="AL15" s="229">
        <f>DevBdgt!AK17</f>
        <v>256</v>
      </c>
      <c r="AM15" s="229">
        <f>DevBdgt!AL17</f>
        <v>256</v>
      </c>
      <c r="AN15" s="229">
        <f>DevBdgt!AM17</f>
        <v>256</v>
      </c>
      <c r="AO15" s="229">
        <f>DevBdgt!AN17</f>
        <v>256</v>
      </c>
      <c r="AP15" s="229">
        <f>DevBdgt!AO17</f>
        <v>256</v>
      </c>
      <c r="AQ15" s="229">
        <f>DevBdgt!AP17</f>
        <v>256</v>
      </c>
      <c r="AR15" s="229">
        <f>DevBdgt!AQ17</f>
        <v>256</v>
      </c>
      <c r="AS15" s="229">
        <f>DevBdgt!AR17</f>
        <v>256</v>
      </c>
      <c r="AT15" s="229">
        <f>DevBdgt!AS17</f>
        <v>256</v>
      </c>
      <c r="AU15" s="229">
        <f>DevBdgt!AT17</f>
        <v>256</v>
      </c>
      <c r="AV15" s="229">
        <f>DevBdgt!AU17</f>
        <v>256</v>
      </c>
      <c r="AW15" s="229">
        <f>DevBdgt!AV17</f>
        <v>256</v>
      </c>
      <c r="AX15" s="229">
        <f>DevBdgt!AW17</f>
        <v>256</v>
      </c>
      <c r="AY15" s="229">
        <f>DevBdgt!AX17</f>
        <v>256</v>
      </c>
      <c r="AZ15" s="229">
        <f>DevBdgt!AY17</f>
        <v>256</v>
      </c>
      <c r="BA15" s="229">
        <f>DevBdgt!AZ17</f>
        <v>256</v>
      </c>
      <c r="BB15" s="229">
        <f>DevBdgt!BA17</f>
        <v>256</v>
      </c>
      <c r="BC15" s="229">
        <f>DevBdgt!BB17</f>
        <v>256</v>
      </c>
      <c r="BD15" s="229">
        <f>DevBdgt!BC17</f>
        <v>256</v>
      </c>
      <c r="BE15" s="229">
        <f>DevBdgt!BD17</f>
        <v>256</v>
      </c>
      <c r="BF15" s="229">
        <f>DevBdgt!BE17</f>
        <v>256</v>
      </c>
      <c r="BG15" s="229">
        <f>DevBdgt!BF17</f>
        <v>256</v>
      </c>
      <c r="BH15" s="229">
        <f>DevBdgt!BG17</f>
        <v>256</v>
      </c>
      <c r="BI15" s="229">
        <f>DevBdgt!BH17</f>
        <v>256</v>
      </c>
      <c r="BJ15" s="229">
        <f>DevBdgt!BI17</f>
        <v>256</v>
      </c>
      <c r="BK15" s="229">
        <f>DevBdgt!BJ17</f>
        <v>256</v>
      </c>
      <c r="BL15" s="229">
        <f>DevBdgt!BK17</f>
        <v>256</v>
      </c>
      <c r="BM15" s="229">
        <f>DevBdgt!BL17</f>
        <v>256</v>
      </c>
      <c r="BN15" s="229">
        <f>DevBdgt!BM17</f>
        <v>256</v>
      </c>
      <c r="BO15" s="229">
        <f>DevBdgt!BN17</f>
        <v>256</v>
      </c>
      <c r="BP15" s="229">
        <f>DevBdgt!BO17</f>
        <v>256</v>
      </c>
      <c r="BQ15" s="229">
        <f>DevBdgt!BP17</f>
        <v>256</v>
      </c>
      <c r="BR15" s="229">
        <f>DevBdgt!BQ17</f>
        <v>256</v>
      </c>
      <c r="BS15" s="229">
        <f>DevBdgt!BR17</f>
        <v>256</v>
      </c>
      <c r="BT15" s="229">
        <f>DevBdgt!BS17</f>
        <v>256</v>
      </c>
      <c r="BU15" s="229">
        <f>DevBdgt!BT17</f>
        <v>256</v>
      </c>
      <c r="BV15" s="229">
        <f>DevBdgt!BU17</f>
        <v>256</v>
      </c>
      <c r="BW15" s="229">
        <f>DevBdgt!BV17</f>
        <v>256</v>
      </c>
      <c r="BX15" s="229">
        <f>DevBdgt!BW17</f>
        <v>256</v>
      </c>
      <c r="BY15" s="229">
        <f>DevBdgt!BX17</f>
        <v>256</v>
      </c>
      <c r="BZ15" s="229">
        <f>DevBdgt!BY17</f>
        <v>256</v>
      </c>
      <c r="CA15" s="229">
        <f>DevBdgt!BZ17</f>
        <v>256</v>
      </c>
      <c r="CB15" s="229">
        <f>DevBdgt!CA17</f>
        <v>256</v>
      </c>
      <c r="CC15" s="229">
        <f>DevBdgt!CB17</f>
        <v>256</v>
      </c>
      <c r="CD15" s="229">
        <f>DevBdgt!CC17</f>
        <v>256</v>
      </c>
      <c r="CE15" s="229">
        <f>DevBdgt!CD17</f>
        <v>256</v>
      </c>
      <c r="CF15" s="229">
        <f>DevBdgt!CE17</f>
        <v>256</v>
      </c>
      <c r="CG15" s="229">
        <f>DevBdgt!CF17</f>
        <v>256</v>
      </c>
      <c r="CH15" s="229">
        <f>DevBdgt!CG17</f>
        <v>256</v>
      </c>
      <c r="CI15" s="229">
        <f>DevBdgt!CH17</f>
        <v>256</v>
      </c>
      <c r="CJ15" s="229">
        <f>DevBdgt!CI17</f>
        <v>256</v>
      </c>
      <c r="CK15" s="229">
        <f>DevBdgt!CJ17</f>
        <v>256</v>
      </c>
      <c r="CL15" s="229">
        <f>DevBdgt!CK17</f>
        <v>256</v>
      </c>
      <c r="CM15" s="229">
        <f>DevBdgt!CL17</f>
        <v>256</v>
      </c>
      <c r="CN15" s="229">
        <f>DevBdgt!CM17</f>
        <v>256</v>
      </c>
      <c r="CO15" s="229">
        <f>DevBdgt!CN17</f>
        <v>256</v>
      </c>
      <c r="CP15" s="229">
        <f>DevBdgt!CO17</f>
        <v>256</v>
      </c>
      <c r="CQ15" s="229">
        <f>DevBdgt!CP17</f>
        <v>256</v>
      </c>
      <c r="CR15" s="229">
        <f>DevBdgt!CQ17</f>
        <v>256</v>
      </c>
      <c r="CS15" s="229">
        <f>DevBdgt!CR17</f>
        <v>256</v>
      </c>
      <c r="CT15" s="229">
        <f>DevBdgt!CS17</f>
        <v>256</v>
      </c>
      <c r="CU15" s="229">
        <f>DevBdgt!CT17</f>
        <v>256</v>
      </c>
      <c r="CV15" s="229">
        <f>DevBdgt!CU17</f>
        <v>256</v>
      </c>
      <c r="CW15" s="229">
        <f>DevBdgt!CV17</f>
        <v>256</v>
      </c>
      <c r="CX15" s="229">
        <f>DevBdgt!CW17</f>
        <v>256</v>
      </c>
      <c r="CY15" s="229">
        <f>DevBdgt!CX17</f>
        <v>256</v>
      </c>
      <c r="CZ15" s="229">
        <f>DevBdgt!CY17</f>
        <v>256</v>
      </c>
      <c r="DA15" s="229">
        <f>DevBdgt!CZ17</f>
        <v>256</v>
      </c>
      <c r="DB15" s="229">
        <f>DevBdgt!DA17</f>
        <v>256</v>
      </c>
      <c r="DC15" s="229">
        <f>DevBdgt!DB17</f>
        <v>256</v>
      </c>
      <c r="DD15" s="229">
        <f>DevBdgt!DC17</f>
        <v>256</v>
      </c>
      <c r="DE15" s="229">
        <f>DevBdgt!DD17</f>
        <v>256</v>
      </c>
      <c r="DF15" s="229">
        <f>DevBdgt!DE17</f>
        <v>256</v>
      </c>
      <c r="DG15" s="229">
        <f>DevBdgt!DF17</f>
        <v>256</v>
      </c>
      <c r="DH15" s="229">
        <f>DevBdgt!DG17</f>
        <v>256</v>
      </c>
      <c r="DI15" s="229">
        <f>DevBdgt!DH17</f>
        <v>256</v>
      </c>
      <c r="DJ15" s="229">
        <f>DevBdgt!DI17</f>
        <v>256</v>
      </c>
      <c r="DK15" s="229">
        <f>DevBdgt!DJ17</f>
        <v>256</v>
      </c>
      <c r="DL15" s="229">
        <f>DevBdgt!DK17</f>
        <v>256</v>
      </c>
      <c r="DM15" s="229">
        <f>DevBdgt!DL17</f>
        <v>256</v>
      </c>
      <c r="DN15" s="229">
        <f>DevBdgt!DM17</f>
        <v>256</v>
      </c>
      <c r="DO15" s="229">
        <f>DevBdgt!DN17</f>
        <v>256</v>
      </c>
      <c r="DP15" s="229">
        <f>DevBdgt!DO17</f>
        <v>256</v>
      </c>
      <c r="DQ15" s="229">
        <f>DevBdgt!DP17</f>
        <v>256</v>
      </c>
      <c r="DR15" s="229">
        <f>DevBdgt!DQ17</f>
        <v>256</v>
      </c>
      <c r="DS15" s="229">
        <f>DevBdgt!DR17</f>
        <v>256</v>
      </c>
      <c r="DT15" s="229">
        <f>DevBdgt!DS17</f>
        <v>256</v>
      </c>
      <c r="DU15" s="229">
        <f>DevBdgt!DT17</f>
        <v>256</v>
      </c>
      <c r="DV15" s="229">
        <f>DevBdgt!DU17</f>
        <v>256</v>
      </c>
      <c r="DW15" s="229">
        <f>DevBdgt!DV17</f>
        <v>256</v>
      </c>
      <c r="DX15" s="229">
        <f>DevBdgt!DW17</f>
        <v>256</v>
      </c>
      <c r="DY15" s="229">
        <f>DevBdgt!DX17</f>
        <v>256</v>
      </c>
      <c r="DZ15" s="229">
        <f>DevBdgt!DY17</f>
        <v>256</v>
      </c>
      <c r="EA15" s="229">
        <f>DevBdgt!DZ17</f>
        <v>256</v>
      </c>
      <c r="EB15" s="229">
        <f>DevBdgt!EA17</f>
        <v>256</v>
      </c>
      <c r="EC15" s="229">
        <f>DevBdgt!EB17</f>
        <v>256</v>
      </c>
      <c r="ED15" s="229">
        <f>DevBdgt!EC17</f>
        <v>256</v>
      </c>
      <c r="EE15" s="229">
        <f>DevBdgt!ED17</f>
        <v>256</v>
      </c>
      <c r="EF15" s="229">
        <f>DevBdgt!EE17</f>
        <v>256</v>
      </c>
      <c r="EG15" s="229">
        <f>DevBdgt!EF17</f>
        <v>256</v>
      </c>
      <c r="EH15" s="229">
        <f>DevBdgt!EG17</f>
        <v>256</v>
      </c>
      <c r="EK15" s="280"/>
    </row>
    <row r="16" spans="1:143" ht="15" hidden="1" customHeight="1" outlineLevel="1" x14ac:dyDescent="0.3">
      <c r="G16" s="229"/>
      <c r="H16" s="229"/>
      <c r="I16" s="229"/>
      <c r="J16" s="229"/>
      <c r="K16" s="229"/>
      <c r="L16" s="229"/>
      <c r="M16" s="229"/>
      <c r="N16" s="229"/>
      <c r="O16" s="229"/>
      <c r="P16" s="229"/>
      <c r="Q16" s="229"/>
      <c r="R16" s="229"/>
      <c r="S16" s="229"/>
      <c r="T16" s="229"/>
      <c r="U16" s="229"/>
      <c r="V16" s="229"/>
      <c r="W16" s="229"/>
      <c r="X16" s="229"/>
      <c r="Y16" s="229"/>
      <c r="Z16" s="229"/>
      <c r="AA16" s="229"/>
      <c r="AB16" s="229"/>
      <c r="AC16" s="229"/>
      <c r="AD16" s="229"/>
      <c r="AE16" s="229"/>
      <c r="AF16" s="229"/>
      <c r="AG16" s="229"/>
      <c r="AH16" s="229"/>
      <c r="AI16" s="229"/>
      <c r="AJ16" s="229"/>
      <c r="AK16" s="229"/>
      <c r="AL16" s="229"/>
      <c r="AM16" s="229"/>
      <c r="AN16" s="229"/>
      <c r="AO16" s="229"/>
      <c r="AP16" s="229"/>
      <c r="AQ16" s="229"/>
      <c r="AR16" s="229"/>
      <c r="AS16" s="229"/>
      <c r="AT16" s="229"/>
      <c r="AU16" s="229"/>
      <c r="AV16" s="229"/>
      <c r="AW16" s="229"/>
      <c r="AX16" s="229"/>
      <c r="AY16" s="229"/>
      <c r="AZ16" s="229"/>
      <c r="BA16" s="229"/>
      <c r="BB16" s="229"/>
      <c r="BC16" s="229"/>
      <c r="BD16" s="229"/>
      <c r="BE16" s="229"/>
      <c r="BF16" s="229"/>
      <c r="BG16" s="229"/>
      <c r="BH16" s="229"/>
      <c r="BI16" s="229"/>
      <c r="BJ16" s="229"/>
      <c r="BK16" s="229"/>
      <c r="BL16" s="229"/>
      <c r="BM16" s="229"/>
      <c r="BN16" s="229"/>
      <c r="BO16" s="229"/>
      <c r="BP16" s="229"/>
      <c r="BQ16" s="229"/>
      <c r="BR16" s="229"/>
      <c r="BS16" s="229"/>
      <c r="BT16" s="229"/>
      <c r="BU16" s="229"/>
      <c r="BV16" s="229"/>
      <c r="BW16" s="229"/>
      <c r="BX16" s="229"/>
      <c r="BY16" s="229"/>
      <c r="BZ16" s="229"/>
      <c r="CA16" s="229"/>
      <c r="CB16" s="229"/>
      <c r="CC16" s="229"/>
      <c r="CD16" s="229"/>
      <c r="CE16" s="229"/>
      <c r="CF16" s="229"/>
      <c r="CG16" s="229"/>
      <c r="CH16" s="229"/>
      <c r="CI16" s="229"/>
      <c r="CJ16" s="229"/>
      <c r="CK16" s="229"/>
      <c r="CL16" s="229"/>
      <c r="CM16" s="229"/>
      <c r="CN16" s="229"/>
      <c r="CO16" s="229"/>
      <c r="CP16" s="229"/>
      <c r="CQ16" s="229"/>
      <c r="CR16" s="229"/>
      <c r="CS16" s="229"/>
      <c r="CT16" s="229"/>
      <c r="CU16" s="229"/>
      <c r="CV16" s="229"/>
      <c r="CW16" s="229"/>
      <c r="CX16" s="229"/>
      <c r="CY16" s="229"/>
      <c r="CZ16" s="229"/>
      <c r="DA16" s="229"/>
      <c r="DB16" s="229"/>
      <c r="DC16" s="229"/>
      <c r="DD16" s="229"/>
      <c r="DE16" s="229"/>
      <c r="DF16" s="229"/>
      <c r="DG16" s="229"/>
      <c r="DH16" s="229"/>
      <c r="DI16" s="229"/>
      <c r="DJ16" s="229"/>
      <c r="DK16" s="229"/>
      <c r="DL16" s="229"/>
      <c r="DM16" s="229"/>
      <c r="DN16" s="229"/>
      <c r="DO16" s="229"/>
      <c r="DP16" s="229"/>
      <c r="DQ16" s="229"/>
      <c r="DR16" s="229"/>
      <c r="DS16" s="229"/>
      <c r="DT16" s="229"/>
      <c r="DU16" s="229"/>
      <c r="DV16" s="229"/>
      <c r="DW16" s="229"/>
      <c r="DX16" s="229"/>
      <c r="DY16" s="229"/>
      <c r="DZ16" s="229"/>
      <c r="EA16" s="229"/>
      <c r="EB16" s="229"/>
      <c r="EC16" s="229"/>
      <c r="ED16" s="229"/>
      <c r="EE16" s="229"/>
      <c r="EF16" s="229"/>
      <c r="EG16" s="229"/>
      <c r="EH16" s="229"/>
      <c r="EK16" s="672"/>
    </row>
    <row r="17" spans="1:141" ht="15" hidden="1" customHeight="1" outlineLevel="1" x14ac:dyDescent="0.3">
      <c r="A17" t="str">
        <f>DevBdgt!A19</f>
        <v>Units BOM (All)</v>
      </c>
      <c r="E17" s="647"/>
      <c r="F17" s="647"/>
      <c r="G17" s="229">
        <f>DevBdgt!F19</f>
        <v>0</v>
      </c>
      <c r="H17" s="229">
        <f>DevBdgt!G19</f>
        <v>0</v>
      </c>
      <c r="I17" s="229">
        <f>DevBdgt!H19</f>
        <v>0</v>
      </c>
      <c r="J17" s="229">
        <f>DevBdgt!I19</f>
        <v>0</v>
      </c>
      <c r="K17" s="229">
        <f>DevBdgt!J19</f>
        <v>0</v>
      </c>
      <c r="L17" s="229">
        <f>DevBdgt!K19</f>
        <v>0</v>
      </c>
      <c r="M17" s="229">
        <f>DevBdgt!L19</f>
        <v>0</v>
      </c>
      <c r="N17" s="229">
        <f>DevBdgt!M19</f>
        <v>0</v>
      </c>
      <c r="O17" s="229">
        <f>DevBdgt!N19</f>
        <v>0</v>
      </c>
      <c r="P17" s="229">
        <f>DevBdgt!O19</f>
        <v>0</v>
      </c>
      <c r="Q17" s="229">
        <f>DevBdgt!P19</f>
        <v>0</v>
      </c>
      <c r="R17" s="229">
        <f>DevBdgt!Q19</f>
        <v>0</v>
      </c>
      <c r="S17" s="229">
        <f>DevBdgt!R19</f>
        <v>0</v>
      </c>
      <c r="T17" s="229">
        <f>DevBdgt!S19</f>
        <v>0</v>
      </c>
      <c r="U17" s="229">
        <f>DevBdgt!T19</f>
        <v>21.333333333333332</v>
      </c>
      <c r="V17" s="229">
        <f>DevBdgt!U19</f>
        <v>42.666666666666664</v>
      </c>
      <c r="W17" s="229">
        <f>DevBdgt!V19</f>
        <v>64</v>
      </c>
      <c r="X17" s="229">
        <f>DevBdgt!W19</f>
        <v>85.333333333333329</v>
      </c>
      <c r="Y17" s="229">
        <f>DevBdgt!X19</f>
        <v>106.66666666666666</v>
      </c>
      <c r="Z17" s="229">
        <f>DevBdgt!Y19</f>
        <v>127.99999999999999</v>
      </c>
      <c r="AA17" s="229">
        <f>DevBdgt!Z19</f>
        <v>149.33333333333331</v>
      </c>
      <c r="AB17" s="229">
        <f>DevBdgt!AA19</f>
        <v>170.66666666666666</v>
      </c>
      <c r="AC17" s="229">
        <f>DevBdgt!AB19</f>
        <v>192</v>
      </c>
      <c r="AD17" s="229">
        <f>DevBdgt!AC19</f>
        <v>213.33333333333334</v>
      </c>
      <c r="AE17" s="229">
        <f>DevBdgt!AD19</f>
        <v>234.66666666666669</v>
      </c>
      <c r="AF17" s="229">
        <f>DevBdgt!AE19</f>
        <v>256</v>
      </c>
      <c r="AG17" s="229">
        <f>DevBdgt!AF19</f>
        <v>256</v>
      </c>
      <c r="AH17" s="229">
        <f>DevBdgt!AG19</f>
        <v>256</v>
      </c>
      <c r="AI17" s="229">
        <f>DevBdgt!AH19</f>
        <v>256</v>
      </c>
      <c r="AJ17" s="229">
        <f>DevBdgt!AI19</f>
        <v>256</v>
      </c>
      <c r="AK17" s="229">
        <f>DevBdgt!AJ19</f>
        <v>256</v>
      </c>
      <c r="AL17" s="229">
        <f>DevBdgt!AK19</f>
        <v>256</v>
      </c>
      <c r="AM17" s="229">
        <f>DevBdgt!AL19</f>
        <v>256</v>
      </c>
      <c r="AN17" s="229">
        <f>DevBdgt!AM19</f>
        <v>256</v>
      </c>
      <c r="AO17" s="229">
        <f>DevBdgt!AN19</f>
        <v>256</v>
      </c>
      <c r="AP17" s="229">
        <f>DevBdgt!AO19</f>
        <v>256</v>
      </c>
      <c r="AQ17" s="229">
        <f>DevBdgt!AP19</f>
        <v>256</v>
      </c>
      <c r="AR17" s="229">
        <f>DevBdgt!AQ19</f>
        <v>256</v>
      </c>
      <c r="AS17" s="229">
        <f>DevBdgt!AR19</f>
        <v>256</v>
      </c>
      <c r="AT17" s="229">
        <f>DevBdgt!AS19</f>
        <v>256</v>
      </c>
      <c r="AU17" s="229">
        <f>DevBdgt!AT19</f>
        <v>256</v>
      </c>
      <c r="AV17" s="229">
        <f>DevBdgt!AU19</f>
        <v>256</v>
      </c>
      <c r="AW17" s="229">
        <f>DevBdgt!AV19</f>
        <v>256</v>
      </c>
      <c r="AX17" s="229">
        <f>DevBdgt!AW19</f>
        <v>256</v>
      </c>
      <c r="AY17" s="229">
        <f>DevBdgt!AX19</f>
        <v>256</v>
      </c>
      <c r="AZ17" s="229">
        <f>DevBdgt!AY19</f>
        <v>256</v>
      </c>
      <c r="BA17" s="229">
        <f>DevBdgt!AZ19</f>
        <v>256</v>
      </c>
      <c r="BB17" s="229">
        <f>DevBdgt!BA19</f>
        <v>256</v>
      </c>
      <c r="BC17" s="229">
        <f>DevBdgt!BB19</f>
        <v>256</v>
      </c>
      <c r="BD17" s="229">
        <f>DevBdgt!BC19</f>
        <v>256</v>
      </c>
      <c r="BE17" s="229">
        <f>DevBdgt!BD19</f>
        <v>256</v>
      </c>
      <c r="BF17" s="229">
        <f>DevBdgt!BE19</f>
        <v>256</v>
      </c>
      <c r="BG17" s="229">
        <f>DevBdgt!BF19</f>
        <v>256</v>
      </c>
      <c r="BH17" s="229">
        <f>DevBdgt!BG19</f>
        <v>256</v>
      </c>
      <c r="BI17" s="229">
        <f>DevBdgt!BH19</f>
        <v>256</v>
      </c>
      <c r="BJ17" s="229">
        <f>DevBdgt!BI19</f>
        <v>256</v>
      </c>
      <c r="BK17" s="229">
        <f>DevBdgt!BJ19</f>
        <v>256</v>
      </c>
      <c r="BL17" s="229">
        <f>DevBdgt!BK19</f>
        <v>256</v>
      </c>
      <c r="BM17" s="229">
        <f>DevBdgt!BL19</f>
        <v>256</v>
      </c>
      <c r="BN17" s="229">
        <f>DevBdgt!BM19</f>
        <v>256</v>
      </c>
      <c r="BO17" s="229">
        <f>DevBdgt!BN19</f>
        <v>256</v>
      </c>
      <c r="BP17" s="229">
        <f>DevBdgt!BO19</f>
        <v>256</v>
      </c>
      <c r="BQ17" s="229">
        <f>DevBdgt!BP19</f>
        <v>256</v>
      </c>
      <c r="BR17" s="229">
        <f>DevBdgt!BQ19</f>
        <v>256</v>
      </c>
      <c r="BS17" s="229">
        <f>DevBdgt!BR19</f>
        <v>256</v>
      </c>
      <c r="BT17" s="229">
        <f>DevBdgt!BS19</f>
        <v>256</v>
      </c>
      <c r="BU17" s="229">
        <f>DevBdgt!BT19</f>
        <v>256</v>
      </c>
      <c r="BV17" s="229">
        <f>DevBdgt!BU19</f>
        <v>256</v>
      </c>
      <c r="BW17" s="229">
        <f>DevBdgt!BV19</f>
        <v>256</v>
      </c>
      <c r="BX17" s="229">
        <f>DevBdgt!BW19</f>
        <v>256</v>
      </c>
      <c r="BY17" s="229">
        <f>DevBdgt!BX19</f>
        <v>256</v>
      </c>
      <c r="BZ17" s="229">
        <f>DevBdgt!BY19</f>
        <v>256</v>
      </c>
      <c r="CA17" s="229">
        <f>DevBdgt!BZ19</f>
        <v>256</v>
      </c>
      <c r="CB17" s="229">
        <f>DevBdgt!CA19</f>
        <v>256</v>
      </c>
      <c r="CC17" s="229">
        <f>DevBdgt!CB19</f>
        <v>256</v>
      </c>
      <c r="CD17" s="229">
        <f>DevBdgt!CC19</f>
        <v>256</v>
      </c>
      <c r="CE17" s="229">
        <f>DevBdgt!CD19</f>
        <v>256</v>
      </c>
      <c r="CF17" s="229">
        <f>DevBdgt!CE19</f>
        <v>256</v>
      </c>
      <c r="CG17" s="229">
        <f>DevBdgt!CF19</f>
        <v>256</v>
      </c>
      <c r="CH17" s="229">
        <f>DevBdgt!CG19</f>
        <v>256</v>
      </c>
      <c r="CI17" s="229">
        <f>DevBdgt!CH19</f>
        <v>256</v>
      </c>
      <c r="CJ17" s="229">
        <f>DevBdgt!CI19</f>
        <v>256</v>
      </c>
      <c r="CK17" s="229">
        <f>DevBdgt!CJ19</f>
        <v>256</v>
      </c>
      <c r="CL17" s="229">
        <f>DevBdgt!CK19</f>
        <v>256</v>
      </c>
      <c r="CM17" s="229">
        <f>DevBdgt!CL19</f>
        <v>256</v>
      </c>
      <c r="CN17" s="229">
        <f>DevBdgt!CM19</f>
        <v>256</v>
      </c>
      <c r="CO17" s="229">
        <f>DevBdgt!CN19</f>
        <v>256</v>
      </c>
      <c r="CP17" s="229">
        <f>DevBdgt!CO19</f>
        <v>256</v>
      </c>
      <c r="CQ17" s="229">
        <f>DevBdgt!CP19</f>
        <v>256</v>
      </c>
      <c r="CR17" s="229">
        <f>DevBdgt!CQ19</f>
        <v>256</v>
      </c>
      <c r="CS17" s="229">
        <f>DevBdgt!CR19</f>
        <v>256</v>
      </c>
      <c r="CT17" s="229">
        <f>DevBdgt!CS19</f>
        <v>256</v>
      </c>
      <c r="CU17" s="229">
        <f>DevBdgt!CT19</f>
        <v>256</v>
      </c>
      <c r="CV17" s="229">
        <f>DevBdgt!CU19</f>
        <v>256</v>
      </c>
      <c r="CW17" s="229">
        <f>DevBdgt!CV19</f>
        <v>256</v>
      </c>
      <c r="CX17" s="229">
        <f>DevBdgt!CW19</f>
        <v>256</v>
      </c>
      <c r="CY17" s="229">
        <f>DevBdgt!CX19</f>
        <v>256</v>
      </c>
      <c r="CZ17" s="229">
        <f>DevBdgt!CY19</f>
        <v>256</v>
      </c>
      <c r="DA17" s="229">
        <f>DevBdgt!CZ19</f>
        <v>256</v>
      </c>
      <c r="DB17" s="229">
        <f>DevBdgt!DA19</f>
        <v>256</v>
      </c>
      <c r="DC17" s="229">
        <f>DevBdgt!DB19</f>
        <v>256</v>
      </c>
      <c r="DD17" s="229">
        <f>DevBdgt!DC19</f>
        <v>256</v>
      </c>
      <c r="DE17" s="229">
        <f>DevBdgt!DD19</f>
        <v>256</v>
      </c>
      <c r="DF17" s="229">
        <f>DevBdgt!DE19</f>
        <v>256</v>
      </c>
      <c r="DG17" s="229">
        <f>DevBdgt!DF19</f>
        <v>256</v>
      </c>
      <c r="DH17" s="229">
        <f>DevBdgt!DG19</f>
        <v>256</v>
      </c>
      <c r="DI17" s="229">
        <f>DevBdgt!DH19</f>
        <v>256</v>
      </c>
      <c r="DJ17" s="229">
        <f>DevBdgt!DI19</f>
        <v>256</v>
      </c>
      <c r="DK17" s="229">
        <f>DevBdgt!DJ19</f>
        <v>256</v>
      </c>
      <c r="DL17" s="229">
        <f>DevBdgt!DK19</f>
        <v>256</v>
      </c>
      <c r="DM17" s="229">
        <f>DevBdgt!DL19</f>
        <v>256</v>
      </c>
      <c r="DN17" s="229">
        <f>DevBdgt!DM19</f>
        <v>256</v>
      </c>
      <c r="DO17" s="229">
        <f>DevBdgt!DN19</f>
        <v>256</v>
      </c>
      <c r="DP17" s="229">
        <f>DevBdgt!DO19</f>
        <v>256</v>
      </c>
      <c r="DQ17" s="229">
        <f>DevBdgt!DP19</f>
        <v>256</v>
      </c>
      <c r="DR17" s="229">
        <f>DevBdgt!DQ19</f>
        <v>256</v>
      </c>
      <c r="DS17" s="229">
        <f>DevBdgt!DR19</f>
        <v>256</v>
      </c>
      <c r="DT17" s="229">
        <f>DevBdgt!DS19</f>
        <v>256</v>
      </c>
      <c r="DU17" s="229">
        <f>DevBdgt!DT19</f>
        <v>256</v>
      </c>
      <c r="DV17" s="229">
        <f>DevBdgt!DU19</f>
        <v>256</v>
      </c>
      <c r="DW17" s="229">
        <f>DevBdgt!DV19</f>
        <v>256</v>
      </c>
      <c r="DX17" s="229">
        <f>DevBdgt!DW19</f>
        <v>256</v>
      </c>
      <c r="DY17" s="229">
        <f>DevBdgt!DX19</f>
        <v>256</v>
      </c>
      <c r="DZ17" s="229">
        <f>DevBdgt!DY19</f>
        <v>256</v>
      </c>
      <c r="EA17" s="229">
        <f>DevBdgt!DZ19</f>
        <v>256</v>
      </c>
      <c r="EB17" s="229">
        <f>DevBdgt!EA19</f>
        <v>256</v>
      </c>
      <c r="EC17" s="229">
        <f>DevBdgt!EB19</f>
        <v>256</v>
      </c>
      <c r="ED17" s="229">
        <f>DevBdgt!EC19</f>
        <v>256</v>
      </c>
      <c r="EE17" s="229">
        <f>DevBdgt!ED19</f>
        <v>256</v>
      </c>
      <c r="EF17" s="229">
        <f>DevBdgt!EE19</f>
        <v>256</v>
      </c>
      <c r="EG17" s="229">
        <f>DevBdgt!EF19</f>
        <v>256</v>
      </c>
      <c r="EH17" s="229">
        <f>DevBdgt!EG19</f>
        <v>256</v>
      </c>
      <c r="EK17" s="280"/>
    </row>
    <row r="18" spans="1:141" ht="15" hidden="1" customHeight="1" outlineLevel="1" x14ac:dyDescent="0.3">
      <c r="A18" s="241" t="str">
        <f>DevBdgt!A20</f>
        <v>Unit Delivery (All)</v>
      </c>
      <c r="B18" s="241"/>
      <c r="C18" s="241"/>
      <c r="D18" s="241"/>
      <c r="E18" s="648"/>
      <c r="F18" s="648"/>
      <c r="G18" s="242">
        <f>DevBdgt!F20</f>
        <v>0</v>
      </c>
      <c r="H18" s="242">
        <f>DevBdgt!G20</f>
        <v>0</v>
      </c>
      <c r="I18" s="242">
        <f>DevBdgt!H20</f>
        <v>0</v>
      </c>
      <c r="J18" s="242">
        <f>DevBdgt!I20</f>
        <v>0</v>
      </c>
      <c r="K18" s="242">
        <f>DevBdgt!J20</f>
        <v>0</v>
      </c>
      <c r="L18" s="242">
        <f>DevBdgt!K20</f>
        <v>0</v>
      </c>
      <c r="M18" s="242">
        <f>DevBdgt!L20</f>
        <v>0</v>
      </c>
      <c r="N18" s="242">
        <f>DevBdgt!M20</f>
        <v>0</v>
      </c>
      <c r="O18" s="242">
        <f>DevBdgt!N20</f>
        <v>0</v>
      </c>
      <c r="P18" s="242">
        <f>DevBdgt!O20</f>
        <v>0</v>
      </c>
      <c r="Q18" s="242">
        <f>DevBdgt!P20</f>
        <v>0</v>
      </c>
      <c r="R18" s="242">
        <f>DevBdgt!Q20</f>
        <v>0</v>
      </c>
      <c r="S18" s="242">
        <f>DevBdgt!R20</f>
        <v>0</v>
      </c>
      <c r="T18" s="242">
        <f>DevBdgt!S20</f>
        <v>21.333333333333332</v>
      </c>
      <c r="U18" s="242">
        <f>DevBdgt!T20</f>
        <v>21.333333333333332</v>
      </c>
      <c r="V18" s="242">
        <f>DevBdgt!U20</f>
        <v>21.333333333333332</v>
      </c>
      <c r="W18" s="242">
        <f>DevBdgt!V20</f>
        <v>21.333333333333332</v>
      </c>
      <c r="X18" s="242">
        <f>DevBdgt!W20</f>
        <v>21.333333333333332</v>
      </c>
      <c r="Y18" s="242">
        <f>DevBdgt!X20</f>
        <v>21.333333333333332</v>
      </c>
      <c r="Z18" s="242">
        <f>DevBdgt!Y20</f>
        <v>21.333333333333332</v>
      </c>
      <c r="AA18" s="242">
        <f>DevBdgt!Z20</f>
        <v>21.333333333333332</v>
      </c>
      <c r="AB18" s="242">
        <f>DevBdgt!AA20</f>
        <v>21.333333333333332</v>
      </c>
      <c r="AC18" s="242">
        <f>DevBdgt!AB20</f>
        <v>21.333333333333332</v>
      </c>
      <c r="AD18" s="242">
        <f>DevBdgt!AC20</f>
        <v>21.333333333333332</v>
      </c>
      <c r="AE18" s="242">
        <f>DevBdgt!AD20</f>
        <v>21.333333333333332</v>
      </c>
      <c r="AF18" s="242">
        <f>DevBdgt!AE20</f>
        <v>0</v>
      </c>
      <c r="AG18" s="242">
        <f>DevBdgt!AF20</f>
        <v>0</v>
      </c>
      <c r="AH18" s="242">
        <f>DevBdgt!AG20</f>
        <v>0</v>
      </c>
      <c r="AI18" s="242">
        <f>DevBdgt!AH20</f>
        <v>0</v>
      </c>
      <c r="AJ18" s="242">
        <f>DevBdgt!AI20</f>
        <v>0</v>
      </c>
      <c r="AK18" s="242">
        <f>DevBdgt!AJ20</f>
        <v>0</v>
      </c>
      <c r="AL18" s="242">
        <f>DevBdgt!AK20</f>
        <v>0</v>
      </c>
      <c r="AM18" s="242">
        <f>DevBdgt!AL20</f>
        <v>0</v>
      </c>
      <c r="AN18" s="242">
        <f>DevBdgt!AM20</f>
        <v>0</v>
      </c>
      <c r="AO18" s="242">
        <f>DevBdgt!AN20</f>
        <v>0</v>
      </c>
      <c r="AP18" s="242">
        <f>DevBdgt!AO20</f>
        <v>0</v>
      </c>
      <c r="AQ18" s="242">
        <f>DevBdgt!AP20</f>
        <v>0</v>
      </c>
      <c r="AR18" s="242">
        <f>DevBdgt!AQ20</f>
        <v>0</v>
      </c>
      <c r="AS18" s="242">
        <f>DevBdgt!AR20</f>
        <v>0</v>
      </c>
      <c r="AT18" s="242">
        <f>DevBdgt!AS20</f>
        <v>0</v>
      </c>
      <c r="AU18" s="242">
        <f>DevBdgt!AT20</f>
        <v>0</v>
      </c>
      <c r="AV18" s="242">
        <f>DevBdgt!AU20</f>
        <v>0</v>
      </c>
      <c r="AW18" s="242">
        <f>DevBdgt!AV20</f>
        <v>0</v>
      </c>
      <c r="AX18" s="242">
        <f>DevBdgt!AW20</f>
        <v>0</v>
      </c>
      <c r="AY18" s="242">
        <f>DevBdgt!AX20</f>
        <v>0</v>
      </c>
      <c r="AZ18" s="242">
        <f>DevBdgt!AY20</f>
        <v>0</v>
      </c>
      <c r="BA18" s="242">
        <f>DevBdgt!AZ20</f>
        <v>0</v>
      </c>
      <c r="BB18" s="242">
        <f>DevBdgt!BA20</f>
        <v>0</v>
      </c>
      <c r="BC18" s="242">
        <f>DevBdgt!BB20</f>
        <v>0</v>
      </c>
      <c r="BD18" s="242">
        <f>DevBdgt!BC20</f>
        <v>0</v>
      </c>
      <c r="BE18" s="242">
        <f>DevBdgt!BD20</f>
        <v>0</v>
      </c>
      <c r="BF18" s="242">
        <f>DevBdgt!BE20</f>
        <v>0</v>
      </c>
      <c r="BG18" s="242">
        <f>DevBdgt!BF20</f>
        <v>0</v>
      </c>
      <c r="BH18" s="242">
        <f>DevBdgt!BG20</f>
        <v>0</v>
      </c>
      <c r="BI18" s="242">
        <f>DevBdgt!BH20</f>
        <v>0</v>
      </c>
      <c r="BJ18" s="242">
        <f>DevBdgt!BI20</f>
        <v>0</v>
      </c>
      <c r="BK18" s="242">
        <f>DevBdgt!BJ20</f>
        <v>0</v>
      </c>
      <c r="BL18" s="242">
        <f>DevBdgt!BK20</f>
        <v>0</v>
      </c>
      <c r="BM18" s="242">
        <f>DevBdgt!BL20</f>
        <v>0</v>
      </c>
      <c r="BN18" s="242">
        <f>DevBdgt!BM20</f>
        <v>0</v>
      </c>
      <c r="BO18" s="242">
        <f>DevBdgt!BN20</f>
        <v>0</v>
      </c>
      <c r="BP18" s="242">
        <f>DevBdgt!BO20</f>
        <v>0</v>
      </c>
      <c r="BQ18" s="242">
        <f>DevBdgt!BP20</f>
        <v>0</v>
      </c>
      <c r="BR18" s="242">
        <f>DevBdgt!BQ20</f>
        <v>0</v>
      </c>
      <c r="BS18" s="242">
        <f>DevBdgt!BR20</f>
        <v>0</v>
      </c>
      <c r="BT18" s="242">
        <f>DevBdgt!BS20</f>
        <v>0</v>
      </c>
      <c r="BU18" s="242">
        <f>DevBdgt!BT20</f>
        <v>0</v>
      </c>
      <c r="BV18" s="242">
        <f>DevBdgt!BU20</f>
        <v>0</v>
      </c>
      <c r="BW18" s="242">
        <f>DevBdgt!BV20</f>
        <v>0</v>
      </c>
      <c r="BX18" s="242">
        <f>DevBdgt!BW20</f>
        <v>0</v>
      </c>
      <c r="BY18" s="242">
        <f>DevBdgt!BX20</f>
        <v>0</v>
      </c>
      <c r="BZ18" s="242">
        <f>DevBdgt!BY20</f>
        <v>0</v>
      </c>
      <c r="CA18" s="242">
        <f>DevBdgt!BZ20</f>
        <v>0</v>
      </c>
      <c r="CB18" s="242">
        <f>DevBdgt!CA20</f>
        <v>0</v>
      </c>
      <c r="CC18" s="242">
        <f>DevBdgt!CB20</f>
        <v>0</v>
      </c>
      <c r="CD18" s="242">
        <f>DevBdgt!CC20</f>
        <v>0</v>
      </c>
      <c r="CE18" s="242">
        <f>DevBdgt!CD20</f>
        <v>0</v>
      </c>
      <c r="CF18" s="242">
        <f>DevBdgt!CE20</f>
        <v>0</v>
      </c>
      <c r="CG18" s="242">
        <f>DevBdgt!CF20</f>
        <v>0</v>
      </c>
      <c r="CH18" s="242">
        <f>DevBdgt!CG20</f>
        <v>0</v>
      </c>
      <c r="CI18" s="242">
        <f>DevBdgt!CH20</f>
        <v>0</v>
      </c>
      <c r="CJ18" s="242">
        <f>DevBdgt!CI20</f>
        <v>0</v>
      </c>
      <c r="CK18" s="242">
        <f>DevBdgt!CJ20</f>
        <v>0</v>
      </c>
      <c r="CL18" s="242">
        <f>DevBdgt!CK20</f>
        <v>0</v>
      </c>
      <c r="CM18" s="242">
        <f>DevBdgt!CL20</f>
        <v>0</v>
      </c>
      <c r="CN18" s="242">
        <f>DevBdgt!CM20</f>
        <v>0</v>
      </c>
      <c r="CO18" s="242">
        <f>DevBdgt!CN20</f>
        <v>0</v>
      </c>
      <c r="CP18" s="242">
        <f>DevBdgt!CO20</f>
        <v>0</v>
      </c>
      <c r="CQ18" s="242">
        <f>DevBdgt!CP20</f>
        <v>0</v>
      </c>
      <c r="CR18" s="242">
        <f>DevBdgt!CQ20</f>
        <v>0</v>
      </c>
      <c r="CS18" s="242">
        <f>DevBdgt!CR20</f>
        <v>0</v>
      </c>
      <c r="CT18" s="242">
        <f>DevBdgt!CS20</f>
        <v>0</v>
      </c>
      <c r="CU18" s="242">
        <f>DevBdgt!CT20</f>
        <v>0</v>
      </c>
      <c r="CV18" s="242">
        <f>DevBdgt!CU20</f>
        <v>0</v>
      </c>
      <c r="CW18" s="242">
        <f>DevBdgt!CV20</f>
        <v>0</v>
      </c>
      <c r="CX18" s="242">
        <f>DevBdgt!CW20</f>
        <v>0</v>
      </c>
      <c r="CY18" s="242">
        <f>DevBdgt!CX20</f>
        <v>0</v>
      </c>
      <c r="CZ18" s="242">
        <f>DevBdgt!CY20</f>
        <v>0</v>
      </c>
      <c r="DA18" s="242">
        <f>DevBdgt!CZ20</f>
        <v>0</v>
      </c>
      <c r="DB18" s="242">
        <f>DevBdgt!DA20</f>
        <v>0</v>
      </c>
      <c r="DC18" s="242">
        <f>DevBdgt!DB20</f>
        <v>0</v>
      </c>
      <c r="DD18" s="242">
        <f>DevBdgt!DC20</f>
        <v>0</v>
      </c>
      <c r="DE18" s="242">
        <f>DevBdgt!DD20</f>
        <v>0</v>
      </c>
      <c r="DF18" s="242">
        <f>DevBdgt!DE20</f>
        <v>0</v>
      </c>
      <c r="DG18" s="242">
        <f>DevBdgt!DF20</f>
        <v>0</v>
      </c>
      <c r="DH18" s="242">
        <f>DevBdgt!DG20</f>
        <v>0</v>
      </c>
      <c r="DI18" s="242">
        <f>DevBdgt!DH20</f>
        <v>0</v>
      </c>
      <c r="DJ18" s="242">
        <f>DevBdgt!DI20</f>
        <v>0</v>
      </c>
      <c r="DK18" s="242">
        <f>DevBdgt!DJ20</f>
        <v>0</v>
      </c>
      <c r="DL18" s="242">
        <f>DevBdgt!DK20</f>
        <v>0</v>
      </c>
      <c r="DM18" s="242">
        <f>DevBdgt!DL20</f>
        <v>0</v>
      </c>
      <c r="DN18" s="242">
        <f>DevBdgt!DM20</f>
        <v>0</v>
      </c>
      <c r="DO18" s="242">
        <f>DevBdgt!DN20</f>
        <v>0</v>
      </c>
      <c r="DP18" s="242">
        <f>DevBdgt!DO20</f>
        <v>0</v>
      </c>
      <c r="DQ18" s="242">
        <f>DevBdgt!DP20</f>
        <v>0</v>
      </c>
      <c r="DR18" s="242">
        <f>DevBdgt!DQ20</f>
        <v>0</v>
      </c>
      <c r="DS18" s="242">
        <f>DevBdgt!DR20</f>
        <v>0</v>
      </c>
      <c r="DT18" s="242">
        <f>DevBdgt!DS20</f>
        <v>0</v>
      </c>
      <c r="DU18" s="242">
        <f>DevBdgt!DT20</f>
        <v>0</v>
      </c>
      <c r="DV18" s="242">
        <f>DevBdgt!DU20</f>
        <v>0</v>
      </c>
      <c r="DW18" s="242">
        <f>DevBdgt!DV20</f>
        <v>0</v>
      </c>
      <c r="DX18" s="242">
        <f>DevBdgt!DW20</f>
        <v>0</v>
      </c>
      <c r="DY18" s="242">
        <f>DevBdgt!DX20</f>
        <v>0</v>
      </c>
      <c r="DZ18" s="242">
        <f>DevBdgt!DY20</f>
        <v>0</v>
      </c>
      <c r="EA18" s="242">
        <f>DevBdgt!DZ20</f>
        <v>0</v>
      </c>
      <c r="EB18" s="242">
        <f>DevBdgt!EA20</f>
        <v>0</v>
      </c>
      <c r="EC18" s="242">
        <f>DevBdgt!EB20</f>
        <v>0</v>
      </c>
      <c r="ED18" s="242">
        <f>DevBdgt!EC20</f>
        <v>0</v>
      </c>
      <c r="EE18" s="242">
        <f>DevBdgt!ED20</f>
        <v>0</v>
      </c>
      <c r="EF18" s="242">
        <f>DevBdgt!EE20</f>
        <v>0</v>
      </c>
      <c r="EG18" s="242">
        <f>DevBdgt!EF20</f>
        <v>0</v>
      </c>
      <c r="EH18" s="242">
        <f>DevBdgt!EG20</f>
        <v>0</v>
      </c>
      <c r="EK18" s="672"/>
    </row>
    <row r="19" spans="1:141" collapsed="1" x14ac:dyDescent="0.3">
      <c r="A19" t="str">
        <f>DevBdgt!A21</f>
        <v>Unit EOM (All)</v>
      </c>
      <c r="E19" s="647"/>
      <c r="F19" s="647"/>
      <c r="G19" s="229">
        <f>DevBdgt!F21</f>
        <v>0</v>
      </c>
      <c r="H19" s="229">
        <f>DevBdgt!G21</f>
        <v>0</v>
      </c>
      <c r="I19" s="229">
        <f>DevBdgt!H21</f>
        <v>0</v>
      </c>
      <c r="J19" s="229">
        <f>DevBdgt!I21</f>
        <v>0</v>
      </c>
      <c r="K19" s="229">
        <f>DevBdgt!J21</f>
        <v>0</v>
      </c>
      <c r="L19" s="229">
        <f>DevBdgt!K21</f>
        <v>0</v>
      </c>
      <c r="M19" s="229">
        <f>DevBdgt!L21</f>
        <v>0</v>
      </c>
      <c r="N19" s="229">
        <f>DevBdgt!M21</f>
        <v>0</v>
      </c>
      <c r="O19" s="229">
        <f>DevBdgt!N21</f>
        <v>0</v>
      </c>
      <c r="P19" s="229">
        <f>DevBdgt!O21</f>
        <v>0</v>
      </c>
      <c r="Q19" s="229">
        <f>DevBdgt!P21</f>
        <v>0</v>
      </c>
      <c r="R19" s="229">
        <f>DevBdgt!Q21</f>
        <v>0</v>
      </c>
      <c r="S19" s="229">
        <f>DevBdgt!R21</f>
        <v>0</v>
      </c>
      <c r="T19" s="229">
        <f>DevBdgt!S21</f>
        <v>21.333333333333332</v>
      </c>
      <c r="U19" s="229">
        <f>DevBdgt!T21</f>
        <v>42.666666666666664</v>
      </c>
      <c r="V19" s="229">
        <f>DevBdgt!U21</f>
        <v>64</v>
      </c>
      <c r="W19" s="229">
        <f>DevBdgt!V21</f>
        <v>85.333333333333329</v>
      </c>
      <c r="X19" s="229">
        <f>DevBdgt!W21</f>
        <v>106.66666666666666</v>
      </c>
      <c r="Y19" s="229">
        <f>DevBdgt!X21</f>
        <v>127.99999999999999</v>
      </c>
      <c r="Z19" s="229">
        <f>DevBdgt!Y21</f>
        <v>149.33333333333331</v>
      </c>
      <c r="AA19" s="229">
        <f>DevBdgt!Z21</f>
        <v>170.66666666666666</v>
      </c>
      <c r="AB19" s="229">
        <f>DevBdgt!AA21</f>
        <v>192</v>
      </c>
      <c r="AC19" s="229">
        <f>DevBdgt!AB21</f>
        <v>213.33333333333334</v>
      </c>
      <c r="AD19" s="229">
        <f>DevBdgt!AC21</f>
        <v>234.66666666666669</v>
      </c>
      <c r="AE19" s="229">
        <f>DevBdgt!AD21</f>
        <v>256</v>
      </c>
      <c r="AF19" s="229">
        <f>DevBdgt!AE21</f>
        <v>256</v>
      </c>
      <c r="AG19" s="229">
        <f>DevBdgt!AF21</f>
        <v>256</v>
      </c>
      <c r="AH19" s="229">
        <f>DevBdgt!AG21</f>
        <v>256</v>
      </c>
      <c r="AI19" s="229">
        <f>DevBdgt!AH21</f>
        <v>256</v>
      </c>
      <c r="AJ19" s="229">
        <f>DevBdgt!AI21</f>
        <v>256</v>
      </c>
      <c r="AK19" s="229">
        <f>DevBdgt!AJ21</f>
        <v>256</v>
      </c>
      <c r="AL19" s="229">
        <f>DevBdgt!AK21</f>
        <v>256</v>
      </c>
      <c r="AM19" s="229">
        <f>DevBdgt!AL21</f>
        <v>256</v>
      </c>
      <c r="AN19" s="229">
        <f>DevBdgt!AM21</f>
        <v>256</v>
      </c>
      <c r="AO19" s="229">
        <f>DevBdgt!AN21</f>
        <v>256</v>
      </c>
      <c r="AP19" s="229">
        <f>DevBdgt!AO21</f>
        <v>256</v>
      </c>
      <c r="AQ19" s="229">
        <f>DevBdgt!AP21</f>
        <v>256</v>
      </c>
      <c r="AR19" s="229">
        <f>DevBdgt!AQ21</f>
        <v>256</v>
      </c>
      <c r="AS19" s="229">
        <f>DevBdgt!AR21</f>
        <v>256</v>
      </c>
      <c r="AT19" s="229">
        <f>DevBdgt!AS21</f>
        <v>256</v>
      </c>
      <c r="AU19" s="229">
        <f>DevBdgt!AT21</f>
        <v>256</v>
      </c>
      <c r="AV19" s="229">
        <f>DevBdgt!AU21</f>
        <v>256</v>
      </c>
      <c r="AW19" s="229">
        <f>DevBdgt!AV21</f>
        <v>256</v>
      </c>
      <c r="AX19" s="229">
        <f>DevBdgt!AW21</f>
        <v>256</v>
      </c>
      <c r="AY19" s="229">
        <f>DevBdgt!AX21</f>
        <v>256</v>
      </c>
      <c r="AZ19" s="229">
        <f>DevBdgt!AY21</f>
        <v>256</v>
      </c>
      <c r="BA19" s="229">
        <f>DevBdgt!AZ21</f>
        <v>256</v>
      </c>
      <c r="BB19" s="229">
        <f>DevBdgt!BA21</f>
        <v>256</v>
      </c>
      <c r="BC19" s="229">
        <f>DevBdgt!BB21</f>
        <v>256</v>
      </c>
      <c r="BD19" s="229">
        <f>DevBdgt!BC21</f>
        <v>256</v>
      </c>
      <c r="BE19" s="229">
        <f>DevBdgt!BD21</f>
        <v>256</v>
      </c>
      <c r="BF19" s="229">
        <f>DevBdgt!BE21</f>
        <v>256</v>
      </c>
      <c r="BG19" s="229">
        <f>DevBdgt!BF21</f>
        <v>256</v>
      </c>
      <c r="BH19" s="229">
        <f>DevBdgt!BG21</f>
        <v>256</v>
      </c>
      <c r="BI19" s="229">
        <f>DevBdgt!BH21</f>
        <v>256</v>
      </c>
      <c r="BJ19" s="229">
        <f>DevBdgt!BI21</f>
        <v>256</v>
      </c>
      <c r="BK19" s="229">
        <f>DevBdgt!BJ21</f>
        <v>256</v>
      </c>
      <c r="BL19" s="229">
        <f>DevBdgt!BK21</f>
        <v>256</v>
      </c>
      <c r="BM19" s="229">
        <f>DevBdgt!BL21</f>
        <v>256</v>
      </c>
      <c r="BN19" s="229">
        <f>DevBdgt!BM21</f>
        <v>256</v>
      </c>
      <c r="BO19" s="229">
        <f>DevBdgt!BN21</f>
        <v>256</v>
      </c>
      <c r="BP19" s="229">
        <f>DevBdgt!BO21</f>
        <v>256</v>
      </c>
      <c r="BQ19" s="229">
        <f>DevBdgt!BP21</f>
        <v>256</v>
      </c>
      <c r="BR19" s="229">
        <f>DevBdgt!BQ21</f>
        <v>256</v>
      </c>
      <c r="BS19" s="229">
        <f>DevBdgt!BR21</f>
        <v>256</v>
      </c>
      <c r="BT19" s="229">
        <f>DevBdgt!BS21</f>
        <v>256</v>
      </c>
      <c r="BU19" s="229">
        <f>DevBdgt!BT21</f>
        <v>256</v>
      </c>
      <c r="BV19" s="229">
        <f>DevBdgt!BU21</f>
        <v>256</v>
      </c>
      <c r="BW19" s="229">
        <f>DevBdgt!BV21</f>
        <v>256</v>
      </c>
      <c r="BX19" s="229">
        <f>DevBdgt!BW21</f>
        <v>256</v>
      </c>
      <c r="BY19" s="229">
        <f>DevBdgt!BX21</f>
        <v>256</v>
      </c>
      <c r="BZ19" s="229">
        <f>DevBdgt!BY21</f>
        <v>256</v>
      </c>
      <c r="CA19" s="229">
        <f>DevBdgt!BZ21</f>
        <v>256</v>
      </c>
      <c r="CB19" s="229">
        <f>DevBdgt!CA21</f>
        <v>256</v>
      </c>
      <c r="CC19" s="229">
        <f>DevBdgt!CB21</f>
        <v>256</v>
      </c>
      <c r="CD19" s="229">
        <f>DevBdgt!CC21</f>
        <v>256</v>
      </c>
      <c r="CE19" s="229">
        <f>DevBdgt!CD21</f>
        <v>256</v>
      </c>
      <c r="CF19" s="229">
        <f>DevBdgt!CE21</f>
        <v>256</v>
      </c>
      <c r="CG19" s="229">
        <f>DevBdgt!CF21</f>
        <v>256</v>
      </c>
      <c r="CH19" s="229">
        <f>DevBdgt!CG21</f>
        <v>256</v>
      </c>
      <c r="CI19" s="229">
        <f>DevBdgt!CH21</f>
        <v>256</v>
      </c>
      <c r="CJ19" s="229">
        <f>DevBdgt!CI21</f>
        <v>256</v>
      </c>
      <c r="CK19" s="229">
        <f>DevBdgt!CJ21</f>
        <v>256</v>
      </c>
      <c r="CL19" s="229">
        <f>DevBdgt!CK21</f>
        <v>256</v>
      </c>
      <c r="CM19" s="229">
        <f>DevBdgt!CL21</f>
        <v>256</v>
      </c>
      <c r="CN19" s="229">
        <f>DevBdgt!CM21</f>
        <v>256</v>
      </c>
      <c r="CO19" s="229">
        <f>DevBdgt!CN21</f>
        <v>256</v>
      </c>
      <c r="CP19" s="229">
        <f>DevBdgt!CO21</f>
        <v>256</v>
      </c>
      <c r="CQ19" s="229">
        <f>DevBdgt!CP21</f>
        <v>256</v>
      </c>
      <c r="CR19" s="229">
        <f>DevBdgt!CQ21</f>
        <v>256</v>
      </c>
      <c r="CS19" s="229">
        <f>DevBdgt!CR21</f>
        <v>256</v>
      </c>
      <c r="CT19" s="229">
        <f>DevBdgt!CS21</f>
        <v>256</v>
      </c>
      <c r="CU19" s="229">
        <f>DevBdgt!CT21</f>
        <v>256</v>
      </c>
      <c r="CV19" s="229">
        <f>DevBdgt!CU21</f>
        <v>256</v>
      </c>
      <c r="CW19" s="229">
        <f>DevBdgt!CV21</f>
        <v>256</v>
      </c>
      <c r="CX19" s="229">
        <f>DevBdgt!CW21</f>
        <v>256</v>
      </c>
      <c r="CY19" s="229">
        <f>DevBdgt!CX21</f>
        <v>256</v>
      </c>
      <c r="CZ19" s="229">
        <f>DevBdgt!CY21</f>
        <v>256</v>
      </c>
      <c r="DA19" s="229">
        <f>DevBdgt!CZ21</f>
        <v>256</v>
      </c>
      <c r="DB19" s="229">
        <f>DevBdgt!DA21</f>
        <v>256</v>
      </c>
      <c r="DC19" s="229">
        <f>DevBdgt!DB21</f>
        <v>256</v>
      </c>
      <c r="DD19" s="229">
        <f>DevBdgt!DC21</f>
        <v>256</v>
      </c>
      <c r="DE19" s="229">
        <f>DevBdgt!DD21</f>
        <v>256</v>
      </c>
      <c r="DF19" s="229">
        <f>DevBdgt!DE21</f>
        <v>256</v>
      </c>
      <c r="DG19" s="229">
        <f>DevBdgt!DF21</f>
        <v>256</v>
      </c>
      <c r="DH19" s="229">
        <f>DevBdgt!DG21</f>
        <v>256</v>
      </c>
      <c r="DI19" s="229">
        <f>DevBdgt!DH21</f>
        <v>256</v>
      </c>
      <c r="DJ19" s="229">
        <f>DevBdgt!DI21</f>
        <v>256</v>
      </c>
      <c r="DK19" s="229">
        <f>DevBdgt!DJ21</f>
        <v>256</v>
      </c>
      <c r="DL19" s="229">
        <f>DevBdgt!DK21</f>
        <v>256</v>
      </c>
      <c r="DM19" s="229">
        <f>DevBdgt!DL21</f>
        <v>256</v>
      </c>
      <c r="DN19" s="229">
        <f>DevBdgt!DM21</f>
        <v>256</v>
      </c>
      <c r="DO19" s="229">
        <f>DevBdgt!DN21</f>
        <v>256</v>
      </c>
      <c r="DP19" s="229">
        <f>DevBdgt!DO21</f>
        <v>256</v>
      </c>
      <c r="DQ19" s="229">
        <f>DevBdgt!DP21</f>
        <v>256</v>
      </c>
      <c r="DR19" s="229">
        <f>DevBdgt!DQ21</f>
        <v>256</v>
      </c>
      <c r="DS19" s="229">
        <f>DevBdgt!DR21</f>
        <v>256</v>
      </c>
      <c r="DT19" s="229">
        <f>DevBdgt!DS21</f>
        <v>256</v>
      </c>
      <c r="DU19" s="229">
        <f>DevBdgt!DT21</f>
        <v>256</v>
      </c>
      <c r="DV19" s="229">
        <f>DevBdgt!DU21</f>
        <v>256</v>
      </c>
      <c r="DW19" s="229">
        <f>DevBdgt!DV21</f>
        <v>256</v>
      </c>
      <c r="DX19" s="229">
        <f>DevBdgt!DW21</f>
        <v>256</v>
      </c>
      <c r="DY19" s="229">
        <f>DevBdgt!DX21</f>
        <v>256</v>
      </c>
      <c r="DZ19" s="229">
        <f>DevBdgt!DY21</f>
        <v>256</v>
      </c>
      <c r="EA19" s="229">
        <f>DevBdgt!DZ21</f>
        <v>256</v>
      </c>
      <c r="EB19" s="229">
        <f>DevBdgt!EA21</f>
        <v>256</v>
      </c>
      <c r="EC19" s="229">
        <f>DevBdgt!EB21</f>
        <v>256</v>
      </c>
      <c r="ED19" s="229">
        <f>DevBdgt!EC21</f>
        <v>256</v>
      </c>
      <c r="EE19" s="229">
        <f>DevBdgt!ED21</f>
        <v>256</v>
      </c>
      <c r="EF19" s="229">
        <f>DevBdgt!EE21</f>
        <v>256</v>
      </c>
      <c r="EG19" s="229">
        <f>DevBdgt!EF21</f>
        <v>256</v>
      </c>
      <c r="EH19" s="229">
        <f>DevBdgt!EG21</f>
        <v>256</v>
      </c>
      <c r="EI19" s="230"/>
      <c r="EK19" s="280"/>
    </row>
    <row r="20" spans="1:141" s="337" customFormat="1" x14ac:dyDescent="0.3">
      <c r="A20" s="658" t="s">
        <v>2368</v>
      </c>
      <c r="E20" s="674"/>
      <c r="F20" s="674"/>
      <c r="G20" s="659">
        <f t="shared" ref="G20:AL20" si="0">G19/Units</f>
        <v>0</v>
      </c>
      <c r="H20" s="659">
        <f t="shared" si="0"/>
        <v>0</v>
      </c>
      <c r="I20" s="659">
        <f t="shared" si="0"/>
        <v>0</v>
      </c>
      <c r="J20" s="659">
        <f t="shared" si="0"/>
        <v>0</v>
      </c>
      <c r="K20" s="659">
        <f t="shared" si="0"/>
        <v>0</v>
      </c>
      <c r="L20" s="659">
        <f t="shared" si="0"/>
        <v>0</v>
      </c>
      <c r="M20" s="659">
        <f t="shared" si="0"/>
        <v>0</v>
      </c>
      <c r="N20" s="659">
        <f t="shared" si="0"/>
        <v>0</v>
      </c>
      <c r="O20" s="659">
        <f t="shared" si="0"/>
        <v>0</v>
      </c>
      <c r="P20" s="659">
        <f t="shared" si="0"/>
        <v>0</v>
      </c>
      <c r="Q20" s="659">
        <f t="shared" si="0"/>
        <v>0</v>
      </c>
      <c r="R20" s="659">
        <f t="shared" si="0"/>
        <v>0</v>
      </c>
      <c r="S20" s="659">
        <f t="shared" si="0"/>
        <v>0</v>
      </c>
      <c r="T20" s="659">
        <f t="shared" si="0"/>
        <v>8.3333333333333329E-2</v>
      </c>
      <c r="U20" s="659">
        <f t="shared" si="0"/>
        <v>0.16666666666666666</v>
      </c>
      <c r="V20" s="659">
        <f t="shared" si="0"/>
        <v>0.25</v>
      </c>
      <c r="W20" s="659">
        <f t="shared" si="0"/>
        <v>0.33333333333333331</v>
      </c>
      <c r="X20" s="659">
        <f t="shared" si="0"/>
        <v>0.41666666666666663</v>
      </c>
      <c r="Y20" s="659">
        <f t="shared" si="0"/>
        <v>0.49999999999999994</v>
      </c>
      <c r="Z20" s="659">
        <f t="shared" si="0"/>
        <v>0.58333333333333326</v>
      </c>
      <c r="AA20" s="659">
        <f t="shared" si="0"/>
        <v>0.66666666666666663</v>
      </c>
      <c r="AB20" s="659">
        <f t="shared" si="0"/>
        <v>0.75</v>
      </c>
      <c r="AC20" s="659">
        <f t="shared" si="0"/>
        <v>0.83333333333333337</v>
      </c>
      <c r="AD20" s="659">
        <f t="shared" si="0"/>
        <v>0.91666666666666674</v>
      </c>
      <c r="AE20" s="659">
        <f t="shared" si="0"/>
        <v>1</v>
      </c>
      <c r="AF20" s="659">
        <f t="shared" si="0"/>
        <v>1</v>
      </c>
      <c r="AG20" s="659">
        <f t="shared" si="0"/>
        <v>1</v>
      </c>
      <c r="AH20" s="659">
        <f t="shared" si="0"/>
        <v>1</v>
      </c>
      <c r="AI20" s="659">
        <f t="shared" si="0"/>
        <v>1</v>
      </c>
      <c r="AJ20" s="659">
        <f t="shared" si="0"/>
        <v>1</v>
      </c>
      <c r="AK20" s="659">
        <f t="shared" si="0"/>
        <v>1</v>
      </c>
      <c r="AL20" s="659">
        <f t="shared" si="0"/>
        <v>1</v>
      </c>
      <c r="AM20" s="659">
        <f t="shared" ref="AM20:BR20" si="1">AM19/Units</f>
        <v>1</v>
      </c>
      <c r="AN20" s="659">
        <f t="shared" si="1"/>
        <v>1</v>
      </c>
      <c r="AO20" s="659">
        <f t="shared" si="1"/>
        <v>1</v>
      </c>
      <c r="AP20" s="659">
        <f t="shared" si="1"/>
        <v>1</v>
      </c>
      <c r="AQ20" s="659">
        <f t="shared" si="1"/>
        <v>1</v>
      </c>
      <c r="AR20" s="659">
        <f t="shared" si="1"/>
        <v>1</v>
      </c>
      <c r="AS20" s="659">
        <f t="shared" si="1"/>
        <v>1</v>
      </c>
      <c r="AT20" s="659">
        <f t="shared" si="1"/>
        <v>1</v>
      </c>
      <c r="AU20" s="659">
        <f t="shared" si="1"/>
        <v>1</v>
      </c>
      <c r="AV20" s="659">
        <f t="shared" si="1"/>
        <v>1</v>
      </c>
      <c r="AW20" s="659">
        <f t="shared" si="1"/>
        <v>1</v>
      </c>
      <c r="AX20" s="659">
        <f t="shared" si="1"/>
        <v>1</v>
      </c>
      <c r="AY20" s="659">
        <f t="shared" si="1"/>
        <v>1</v>
      </c>
      <c r="AZ20" s="659">
        <f t="shared" si="1"/>
        <v>1</v>
      </c>
      <c r="BA20" s="659">
        <f t="shared" si="1"/>
        <v>1</v>
      </c>
      <c r="BB20" s="659">
        <f t="shared" si="1"/>
        <v>1</v>
      </c>
      <c r="BC20" s="659">
        <f t="shared" si="1"/>
        <v>1</v>
      </c>
      <c r="BD20" s="659">
        <f t="shared" si="1"/>
        <v>1</v>
      </c>
      <c r="BE20" s="659">
        <f t="shared" si="1"/>
        <v>1</v>
      </c>
      <c r="BF20" s="659">
        <f t="shared" si="1"/>
        <v>1</v>
      </c>
      <c r="BG20" s="659">
        <f t="shared" si="1"/>
        <v>1</v>
      </c>
      <c r="BH20" s="659">
        <f t="shared" si="1"/>
        <v>1</v>
      </c>
      <c r="BI20" s="659">
        <f t="shared" si="1"/>
        <v>1</v>
      </c>
      <c r="BJ20" s="659">
        <f t="shared" si="1"/>
        <v>1</v>
      </c>
      <c r="BK20" s="659">
        <f t="shared" si="1"/>
        <v>1</v>
      </c>
      <c r="BL20" s="659">
        <f t="shared" si="1"/>
        <v>1</v>
      </c>
      <c r="BM20" s="659">
        <f t="shared" si="1"/>
        <v>1</v>
      </c>
      <c r="BN20" s="659">
        <f t="shared" si="1"/>
        <v>1</v>
      </c>
      <c r="BO20" s="659">
        <f t="shared" si="1"/>
        <v>1</v>
      </c>
      <c r="BP20" s="659">
        <f t="shared" si="1"/>
        <v>1</v>
      </c>
      <c r="BQ20" s="659">
        <f t="shared" si="1"/>
        <v>1</v>
      </c>
      <c r="BR20" s="659">
        <f t="shared" si="1"/>
        <v>1</v>
      </c>
      <c r="BS20" s="659">
        <f t="shared" ref="BS20:CX20" si="2">BS19/Units</f>
        <v>1</v>
      </c>
      <c r="BT20" s="659">
        <f t="shared" si="2"/>
        <v>1</v>
      </c>
      <c r="BU20" s="659">
        <f t="shared" si="2"/>
        <v>1</v>
      </c>
      <c r="BV20" s="659">
        <f t="shared" si="2"/>
        <v>1</v>
      </c>
      <c r="BW20" s="659">
        <f t="shared" si="2"/>
        <v>1</v>
      </c>
      <c r="BX20" s="659">
        <f t="shared" si="2"/>
        <v>1</v>
      </c>
      <c r="BY20" s="659">
        <f t="shared" si="2"/>
        <v>1</v>
      </c>
      <c r="BZ20" s="659">
        <f t="shared" si="2"/>
        <v>1</v>
      </c>
      <c r="CA20" s="659">
        <f t="shared" si="2"/>
        <v>1</v>
      </c>
      <c r="CB20" s="659">
        <f t="shared" si="2"/>
        <v>1</v>
      </c>
      <c r="CC20" s="659">
        <f t="shared" si="2"/>
        <v>1</v>
      </c>
      <c r="CD20" s="659">
        <f t="shared" si="2"/>
        <v>1</v>
      </c>
      <c r="CE20" s="659">
        <f t="shared" si="2"/>
        <v>1</v>
      </c>
      <c r="CF20" s="659">
        <f t="shared" si="2"/>
        <v>1</v>
      </c>
      <c r="CG20" s="659">
        <f t="shared" si="2"/>
        <v>1</v>
      </c>
      <c r="CH20" s="659">
        <f t="shared" si="2"/>
        <v>1</v>
      </c>
      <c r="CI20" s="659">
        <f t="shared" si="2"/>
        <v>1</v>
      </c>
      <c r="CJ20" s="659">
        <f t="shared" si="2"/>
        <v>1</v>
      </c>
      <c r="CK20" s="659">
        <f t="shared" si="2"/>
        <v>1</v>
      </c>
      <c r="CL20" s="659">
        <f t="shared" si="2"/>
        <v>1</v>
      </c>
      <c r="CM20" s="659">
        <f t="shared" si="2"/>
        <v>1</v>
      </c>
      <c r="CN20" s="659">
        <f t="shared" si="2"/>
        <v>1</v>
      </c>
      <c r="CO20" s="659">
        <f t="shared" si="2"/>
        <v>1</v>
      </c>
      <c r="CP20" s="659">
        <f t="shared" si="2"/>
        <v>1</v>
      </c>
      <c r="CQ20" s="659">
        <f t="shared" si="2"/>
        <v>1</v>
      </c>
      <c r="CR20" s="659">
        <f t="shared" si="2"/>
        <v>1</v>
      </c>
      <c r="CS20" s="659">
        <f t="shared" si="2"/>
        <v>1</v>
      </c>
      <c r="CT20" s="659">
        <f t="shared" si="2"/>
        <v>1</v>
      </c>
      <c r="CU20" s="659">
        <f t="shared" si="2"/>
        <v>1</v>
      </c>
      <c r="CV20" s="659">
        <f t="shared" si="2"/>
        <v>1</v>
      </c>
      <c r="CW20" s="659">
        <f t="shared" si="2"/>
        <v>1</v>
      </c>
      <c r="CX20" s="659">
        <f t="shared" si="2"/>
        <v>1</v>
      </c>
      <c r="CY20" s="659">
        <f t="shared" ref="CY20:ED20" si="3">CY19/Units</f>
        <v>1</v>
      </c>
      <c r="CZ20" s="659">
        <f t="shared" si="3"/>
        <v>1</v>
      </c>
      <c r="DA20" s="659">
        <f t="shared" si="3"/>
        <v>1</v>
      </c>
      <c r="DB20" s="659">
        <f t="shared" si="3"/>
        <v>1</v>
      </c>
      <c r="DC20" s="659">
        <f t="shared" si="3"/>
        <v>1</v>
      </c>
      <c r="DD20" s="659">
        <f t="shared" si="3"/>
        <v>1</v>
      </c>
      <c r="DE20" s="659">
        <f t="shared" si="3"/>
        <v>1</v>
      </c>
      <c r="DF20" s="659">
        <f t="shared" si="3"/>
        <v>1</v>
      </c>
      <c r="DG20" s="659">
        <f t="shared" si="3"/>
        <v>1</v>
      </c>
      <c r="DH20" s="659">
        <f t="shared" si="3"/>
        <v>1</v>
      </c>
      <c r="DI20" s="659">
        <f t="shared" si="3"/>
        <v>1</v>
      </c>
      <c r="DJ20" s="659">
        <f t="shared" si="3"/>
        <v>1</v>
      </c>
      <c r="DK20" s="659">
        <f t="shared" si="3"/>
        <v>1</v>
      </c>
      <c r="DL20" s="659">
        <f t="shared" si="3"/>
        <v>1</v>
      </c>
      <c r="DM20" s="659">
        <f t="shared" si="3"/>
        <v>1</v>
      </c>
      <c r="DN20" s="659">
        <f t="shared" si="3"/>
        <v>1</v>
      </c>
      <c r="DO20" s="659">
        <f t="shared" si="3"/>
        <v>1</v>
      </c>
      <c r="DP20" s="659">
        <f t="shared" si="3"/>
        <v>1</v>
      </c>
      <c r="DQ20" s="659">
        <f t="shared" si="3"/>
        <v>1</v>
      </c>
      <c r="DR20" s="659">
        <f t="shared" si="3"/>
        <v>1</v>
      </c>
      <c r="DS20" s="659">
        <f t="shared" si="3"/>
        <v>1</v>
      </c>
      <c r="DT20" s="659">
        <f t="shared" si="3"/>
        <v>1</v>
      </c>
      <c r="DU20" s="659">
        <f t="shared" si="3"/>
        <v>1</v>
      </c>
      <c r="DV20" s="659">
        <f t="shared" si="3"/>
        <v>1</v>
      </c>
      <c r="DW20" s="659">
        <f t="shared" si="3"/>
        <v>1</v>
      </c>
      <c r="DX20" s="659">
        <f t="shared" si="3"/>
        <v>1</v>
      </c>
      <c r="DY20" s="659">
        <f t="shared" si="3"/>
        <v>1</v>
      </c>
      <c r="DZ20" s="659">
        <f t="shared" si="3"/>
        <v>1</v>
      </c>
      <c r="EA20" s="659">
        <f t="shared" si="3"/>
        <v>1</v>
      </c>
      <c r="EB20" s="659">
        <f t="shared" si="3"/>
        <v>1</v>
      </c>
      <c r="EC20" s="659">
        <f t="shared" si="3"/>
        <v>1</v>
      </c>
      <c r="ED20" s="659">
        <f t="shared" si="3"/>
        <v>1</v>
      </c>
      <c r="EE20" s="659">
        <f>EE19/Units</f>
        <v>1</v>
      </c>
      <c r="EF20" s="659">
        <f>EF19/Units</f>
        <v>1</v>
      </c>
      <c r="EG20" s="659">
        <f>EG19/Units</f>
        <v>1</v>
      </c>
      <c r="EH20" s="659">
        <f>EH19/Units</f>
        <v>1</v>
      </c>
      <c r="EI20" s="675"/>
      <c r="EJ20"/>
      <c r="EK20" s="672"/>
    </row>
    <row r="21" spans="1:141" ht="7.5" customHeight="1" thickBot="1" x14ac:dyDescent="0.35">
      <c r="A21" s="660"/>
      <c r="B21" s="660"/>
      <c r="EK21" s="280"/>
    </row>
    <row r="22" spans="1:141" ht="15" thickTop="1" x14ac:dyDescent="0.3">
      <c r="A22" s="2779" t="s">
        <v>886</v>
      </c>
      <c r="B22" s="2780"/>
      <c r="C22" s="2781"/>
      <c r="D22" s="657">
        <v>1</v>
      </c>
      <c r="E22" s="673"/>
      <c r="F22" s="673" t="s">
        <v>2369</v>
      </c>
      <c r="G22" s="322"/>
      <c r="H22" s="322"/>
      <c r="I22" s="322"/>
      <c r="J22" s="322"/>
      <c r="K22" s="322"/>
      <c r="L22" s="322"/>
      <c r="M22" s="322"/>
      <c r="N22" s="322"/>
      <c r="O22" s="322"/>
      <c r="P22" s="322"/>
      <c r="Q22" s="322"/>
      <c r="R22" s="322"/>
      <c r="S22" s="322"/>
      <c r="T22" s="322"/>
      <c r="U22" s="322"/>
      <c r="V22" s="322"/>
      <c r="W22" s="322"/>
      <c r="X22" s="322"/>
      <c r="Y22" s="322"/>
      <c r="Z22" s="322"/>
      <c r="AA22" s="322"/>
      <c r="AB22" s="322"/>
      <c r="AC22" s="322"/>
      <c r="AD22" s="322"/>
      <c r="AE22" s="322"/>
      <c r="AF22" s="322"/>
      <c r="AG22" s="322"/>
      <c r="AH22" s="322"/>
      <c r="AI22" s="322"/>
      <c r="AJ22" s="322"/>
      <c r="AK22" s="322"/>
      <c r="AL22" s="322"/>
      <c r="AM22" s="322"/>
      <c r="AN22" s="322"/>
      <c r="AO22" s="322"/>
      <c r="AP22" s="322"/>
      <c r="AQ22" s="322"/>
      <c r="AR22" s="322"/>
      <c r="AS22" s="322"/>
      <c r="AT22" s="322"/>
      <c r="AU22" s="322"/>
      <c r="AV22" s="322"/>
      <c r="AW22" s="322"/>
      <c r="AX22" s="322"/>
      <c r="AY22" s="322"/>
      <c r="AZ22" s="322"/>
      <c r="BA22" s="322"/>
      <c r="BB22" s="322"/>
      <c r="BC22" s="322"/>
      <c r="BD22" s="322"/>
      <c r="BE22" s="322"/>
      <c r="BF22" s="322"/>
      <c r="BG22" s="322"/>
      <c r="BH22" s="322"/>
      <c r="BI22" s="322"/>
      <c r="BJ22" s="322"/>
      <c r="BK22" s="322"/>
      <c r="BL22" s="322"/>
      <c r="BM22" s="322"/>
      <c r="BN22" s="322"/>
      <c r="BO22" s="322"/>
      <c r="BP22" s="322"/>
      <c r="BQ22" s="322"/>
      <c r="BR22" s="322"/>
      <c r="BS22" s="322"/>
      <c r="BT22" s="322"/>
      <c r="BU22" s="322"/>
      <c r="BV22" s="322"/>
      <c r="BW22" s="322"/>
      <c r="BX22" s="322"/>
      <c r="BY22" s="322"/>
      <c r="BZ22" s="322"/>
      <c r="CA22" s="322"/>
      <c r="CB22" s="322"/>
      <c r="CC22" s="322"/>
      <c r="CD22" s="322"/>
      <c r="CE22" s="322"/>
      <c r="CF22" s="322"/>
      <c r="CG22" s="322"/>
      <c r="CH22" s="322"/>
      <c r="CI22" s="322"/>
      <c r="CJ22" s="322"/>
      <c r="CK22" s="322"/>
      <c r="CL22" s="322"/>
      <c r="CM22" s="322"/>
      <c r="CN22" s="322"/>
      <c r="CO22" s="322"/>
      <c r="CP22" s="322"/>
      <c r="CQ22" s="322"/>
      <c r="CR22" s="322"/>
      <c r="CS22" s="322"/>
      <c r="CT22" s="322"/>
      <c r="CU22" s="322"/>
      <c r="CV22" s="322"/>
      <c r="CW22" s="322"/>
      <c r="CX22" s="322"/>
      <c r="CY22" s="322"/>
      <c r="CZ22" s="322"/>
      <c r="DA22" s="322"/>
      <c r="DB22" s="322"/>
      <c r="DC22" s="322"/>
      <c r="DD22" s="322"/>
      <c r="DE22" s="322"/>
      <c r="DF22" s="322"/>
      <c r="DG22" s="322"/>
      <c r="DH22" s="322"/>
      <c r="DI22" s="322"/>
      <c r="DJ22" s="322"/>
      <c r="DK22" s="322"/>
      <c r="DL22" s="322"/>
      <c r="DM22" s="322"/>
      <c r="DN22" s="322"/>
      <c r="DO22" s="322"/>
      <c r="DP22" s="322"/>
      <c r="DQ22" s="322"/>
      <c r="DR22" s="322"/>
      <c r="DS22" s="322"/>
      <c r="DT22" s="322"/>
      <c r="DU22" s="322"/>
      <c r="DV22" s="322"/>
      <c r="DW22" s="322"/>
      <c r="DX22" s="322"/>
      <c r="DY22" s="322"/>
      <c r="DZ22" s="322"/>
      <c r="EA22" s="322"/>
      <c r="EB22" s="322"/>
      <c r="EC22" s="322"/>
      <c r="ED22" s="322"/>
      <c r="EE22" s="322"/>
      <c r="EF22" s="322"/>
      <c r="EG22" s="322"/>
      <c r="EH22" s="322"/>
      <c r="EK22" s="672"/>
    </row>
    <row r="23" spans="1:141" x14ac:dyDescent="0.3">
      <c r="A23" t="s">
        <v>2370</v>
      </c>
      <c r="E23" s="647"/>
      <c r="F23" s="647" t="s">
        <v>1183</v>
      </c>
      <c r="G23" s="229">
        <f t="shared" ref="G23:BR23" si="4">F25</f>
        <v>0</v>
      </c>
      <c r="H23" s="229">
        <f t="shared" si="4"/>
        <v>0</v>
      </c>
      <c r="I23" s="229">
        <f t="shared" si="4"/>
        <v>0</v>
      </c>
      <c r="J23" s="229">
        <f t="shared" si="4"/>
        <v>0</v>
      </c>
      <c r="K23" s="229">
        <f t="shared" si="4"/>
        <v>0</v>
      </c>
      <c r="L23" s="229">
        <f t="shared" si="4"/>
        <v>0</v>
      </c>
      <c r="M23" s="229">
        <f t="shared" si="4"/>
        <v>0</v>
      </c>
      <c r="N23" s="229">
        <f t="shared" si="4"/>
        <v>0</v>
      </c>
      <c r="O23" s="229">
        <f t="shared" si="4"/>
        <v>0</v>
      </c>
      <c r="P23" s="229">
        <f t="shared" si="4"/>
        <v>0</v>
      </c>
      <c r="Q23" s="229">
        <f t="shared" si="4"/>
        <v>0</v>
      </c>
      <c r="R23" s="229">
        <f t="shared" si="4"/>
        <v>0</v>
      </c>
      <c r="S23" s="229">
        <f t="shared" si="4"/>
        <v>0</v>
      </c>
      <c r="T23" s="229">
        <f t="shared" si="4"/>
        <v>0</v>
      </c>
      <c r="U23" s="229">
        <f t="shared" si="4"/>
        <v>0</v>
      </c>
      <c r="V23" s="229">
        <f t="shared" si="4"/>
        <v>0</v>
      </c>
      <c r="W23" s="229">
        <f t="shared" si="4"/>
        <v>0</v>
      </c>
      <c r="X23" s="229">
        <f t="shared" si="4"/>
        <v>0</v>
      </c>
      <c r="Y23" s="229">
        <f t="shared" si="4"/>
        <v>0</v>
      </c>
      <c r="Z23" s="229">
        <f t="shared" si="4"/>
        <v>0</v>
      </c>
      <c r="AA23" s="229">
        <f t="shared" si="4"/>
        <v>0</v>
      </c>
      <c r="AB23" s="229">
        <f t="shared" si="4"/>
        <v>0</v>
      </c>
      <c r="AC23" s="229">
        <f t="shared" si="4"/>
        <v>0</v>
      </c>
      <c r="AD23" s="229">
        <f t="shared" si="4"/>
        <v>0</v>
      </c>
      <c r="AE23" s="229">
        <f t="shared" si="4"/>
        <v>0</v>
      </c>
      <c r="AF23" s="229">
        <f t="shared" si="4"/>
        <v>0</v>
      </c>
      <c r="AG23" s="229">
        <f t="shared" si="4"/>
        <v>0</v>
      </c>
      <c r="AH23" s="229">
        <f t="shared" si="4"/>
        <v>0</v>
      </c>
      <c r="AI23" s="229">
        <f t="shared" si="4"/>
        <v>0</v>
      </c>
      <c r="AJ23" s="229">
        <f t="shared" si="4"/>
        <v>0</v>
      </c>
      <c r="AK23" s="229">
        <f t="shared" si="4"/>
        <v>0</v>
      </c>
      <c r="AL23" s="229">
        <f t="shared" si="4"/>
        <v>0</v>
      </c>
      <c r="AM23" s="229">
        <f t="shared" si="4"/>
        <v>0</v>
      </c>
      <c r="AN23" s="229">
        <f t="shared" si="4"/>
        <v>0</v>
      </c>
      <c r="AO23" s="229">
        <f t="shared" si="4"/>
        <v>0</v>
      </c>
      <c r="AP23" s="229">
        <f t="shared" si="4"/>
        <v>0</v>
      </c>
      <c r="AQ23" s="229">
        <f t="shared" si="4"/>
        <v>0</v>
      </c>
      <c r="AR23" s="229">
        <f t="shared" si="4"/>
        <v>0</v>
      </c>
      <c r="AS23" s="229">
        <f t="shared" si="4"/>
        <v>0</v>
      </c>
      <c r="AT23" s="229">
        <f t="shared" si="4"/>
        <v>0</v>
      </c>
      <c r="AU23" s="229">
        <f t="shared" si="4"/>
        <v>0</v>
      </c>
      <c r="AV23" s="229">
        <f t="shared" si="4"/>
        <v>0</v>
      </c>
      <c r="AW23" s="229">
        <f t="shared" si="4"/>
        <v>0</v>
      </c>
      <c r="AX23" s="229">
        <f t="shared" si="4"/>
        <v>0</v>
      </c>
      <c r="AY23" s="229">
        <f t="shared" si="4"/>
        <v>0</v>
      </c>
      <c r="AZ23" s="229">
        <f t="shared" si="4"/>
        <v>0</v>
      </c>
      <c r="BA23" s="229">
        <f t="shared" si="4"/>
        <v>0</v>
      </c>
      <c r="BB23" s="229">
        <f t="shared" si="4"/>
        <v>0</v>
      </c>
      <c r="BC23" s="229">
        <f t="shared" si="4"/>
        <v>0</v>
      </c>
      <c r="BD23" s="229">
        <f t="shared" si="4"/>
        <v>0</v>
      </c>
      <c r="BE23" s="229">
        <f t="shared" si="4"/>
        <v>0</v>
      </c>
      <c r="BF23" s="229">
        <f t="shared" si="4"/>
        <v>0</v>
      </c>
      <c r="BG23" s="229">
        <f t="shared" si="4"/>
        <v>0</v>
      </c>
      <c r="BH23" s="229">
        <f t="shared" si="4"/>
        <v>0</v>
      </c>
      <c r="BI23" s="229">
        <f t="shared" si="4"/>
        <v>0</v>
      </c>
      <c r="BJ23" s="229">
        <f t="shared" si="4"/>
        <v>0</v>
      </c>
      <c r="BK23" s="229">
        <f t="shared" si="4"/>
        <v>0</v>
      </c>
      <c r="BL23" s="229">
        <f t="shared" si="4"/>
        <v>0</v>
      </c>
      <c r="BM23" s="229">
        <f t="shared" si="4"/>
        <v>0</v>
      </c>
      <c r="BN23" s="229">
        <f t="shared" si="4"/>
        <v>0</v>
      </c>
      <c r="BO23" s="229">
        <f t="shared" si="4"/>
        <v>0</v>
      </c>
      <c r="BP23" s="229">
        <f t="shared" si="4"/>
        <v>0</v>
      </c>
      <c r="BQ23" s="229">
        <f t="shared" si="4"/>
        <v>0</v>
      </c>
      <c r="BR23" s="229">
        <f t="shared" si="4"/>
        <v>0</v>
      </c>
      <c r="BS23" s="229">
        <f t="shared" ref="BS23:ED23" si="5">BR25</f>
        <v>0</v>
      </c>
      <c r="BT23" s="229">
        <f t="shared" si="5"/>
        <v>0</v>
      </c>
      <c r="BU23" s="229">
        <f t="shared" si="5"/>
        <v>0</v>
      </c>
      <c r="BV23" s="229">
        <f t="shared" si="5"/>
        <v>0</v>
      </c>
      <c r="BW23" s="229">
        <f t="shared" si="5"/>
        <v>0</v>
      </c>
      <c r="BX23" s="229">
        <f t="shared" si="5"/>
        <v>0</v>
      </c>
      <c r="BY23" s="229">
        <f t="shared" si="5"/>
        <v>0</v>
      </c>
      <c r="BZ23" s="229">
        <f t="shared" si="5"/>
        <v>0</v>
      </c>
      <c r="CA23" s="229">
        <f t="shared" si="5"/>
        <v>0</v>
      </c>
      <c r="CB23" s="229">
        <f t="shared" si="5"/>
        <v>0</v>
      </c>
      <c r="CC23" s="229">
        <f t="shared" si="5"/>
        <v>0</v>
      </c>
      <c r="CD23" s="229">
        <f t="shared" si="5"/>
        <v>0</v>
      </c>
      <c r="CE23" s="229">
        <f t="shared" si="5"/>
        <v>0</v>
      </c>
      <c r="CF23" s="229">
        <f t="shared" si="5"/>
        <v>0</v>
      </c>
      <c r="CG23" s="229">
        <f t="shared" si="5"/>
        <v>0</v>
      </c>
      <c r="CH23" s="229">
        <f t="shared" si="5"/>
        <v>0</v>
      </c>
      <c r="CI23" s="229">
        <f t="shared" si="5"/>
        <v>0</v>
      </c>
      <c r="CJ23" s="229">
        <f t="shared" si="5"/>
        <v>0</v>
      </c>
      <c r="CK23" s="229">
        <f t="shared" si="5"/>
        <v>0</v>
      </c>
      <c r="CL23" s="229">
        <f t="shared" si="5"/>
        <v>0</v>
      </c>
      <c r="CM23" s="229">
        <f t="shared" si="5"/>
        <v>0</v>
      </c>
      <c r="CN23" s="229">
        <f t="shared" si="5"/>
        <v>0</v>
      </c>
      <c r="CO23" s="229">
        <f t="shared" si="5"/>
        <v>0</v>
      </c>
      <c r="CP23" s="229">
        <f t="shared" si="5"/>
        <v>0</v>
      </c>
      <c r="CQ23" s="229">
        <f t="shared" si="5"/>
        <v>0</v>
      </c>
      <c r="CR23" s="229">
        <f t="shared" si="5"/>
        <v>0</v>
      </c>
      <c r="CS23" s="229">
        <f t="shared" si="5"/>
        <v>0</v>
      </c>
      <c r="CT23" s="229">
        <f t="shared" si="5"/>
        <v>0</v>
      </c>
      <c r="CU23" s="229">
        <f t="shared" si="5"/>
        <v>0</v>
      </c>
      <c r="CV23" s="229">
        <f t="shared" si="5"/>
        <v>0</v>
      </c>
      <c r="CW23" s="229">
        <f t="shared" si="5"/>
        <v>0</v>
      </c>
      <c r="CX23" s="229">
        <f t="shared" si="5"/>
        <v>0</v>
      </c>
      <c r="CY23" s="229">
        <f t="shared" si="5"/>
        <v>0</v>
      </c>
      <c r="CZ23" s="229">
        <f t="shared" si="5"/>
        <v>0</v>
      </c>
      <c r="DA23" s="229">
        <f t="shared" si="5"/>
        <v>0</v>
      </c>
      <c r="DB23" s="229">
        <f t="shared" si="5"/>
        <v>0</v>
      </c>
      <c r="DC23" s="229">
        <f t="shared" si="5"/>
        <v>0</v>
      </c>
      <c r="DD23" s="229">
        <f t="shared" si="5"/>
        <v>0</v>
      </c>
      <c r="DE23" s="229">
        <f t="shared" si="5"/>
        <v>0</v>
      </c>
      <c r="DF23" s="229">
        <f t="shared" si="5"/>
        <v>0</v>
      </c>
      <c r="DG23" s="229">
        <f t="shared" si="5"/>
        <v>0</v>
      </c>
      <c r="DH23" s="229">
        <f t="shared" si="5"/>
        <v>0</v>
      </c>
      <c r="DI23" s="229">
        <f t="shared" si="5"/>
        <v>0</v>
      </c>
      <c r="DJ23" s="229">
        <f t="shared" si="5"/>
        <v>0</v>
      </c>
      <c r="DK23" s="229">
        <f t="shared" si="5"/>
        <v>0</v>
      </c>
      <c r="DL23" s="229">
        <f t="shared" si="5"/>
        <v>0</v>
      </c>
      <c r="DM23" s="229">
        <f t="shared" si="5"/>
        <v>0</v>
      </c>
      <c r="DN23" s="229">
        <f t="shared" si="5"/>
        <v>0</v>
      </c>
      <c r="DO23" s="229">
        <f t="shared" si="5"/>
        <v>0</v>
      </c>
      <c r="DP23" s="229">
        <f t="shared" si="5"/>
        <v>0</v>
      </c>
      <c r="DQ23" s="229">
        <f t="shared" si="5"/>
        <v>0</v>
      </c>
      <c r="DR23" s="229">
        <f t="shared" si="5"/>
        <v>0</v>
      </c>
      <c r="DS23" s="229">
        <f t="shared" si="5"/>
        <v>0</v>
      </c>
      <c r="DT23" s="229">
        <f t="shared" si="5"/>
        <v>0</v>
      </c>
      <c r="DU23" s="229">
        <f t="shared" si="5"/>
        <v>0</v>
      </c>
      <c r="DV23" s="229">
        <f t="shared" si="5"/>
        <v>0</v>
      </c>
      <c r="DW23" s="229">
        <f t="shared" si="5"/>
        <v>0</v>
      </c>
      <c r="DX23" s="229">
        <f t="shared" si="5"/>
        <v>0</v>
      </c>
      <c r="DY23" s="229">
        <f t="shared" si="5"/>
        <v>0</v>
      </c>
      <c r="DZ23" s="229">
        <f t="shared" si="5"/>
        <v>0</v>
      </c>
      <c r="EA23" s="229">
        <f t="shared" si="5"/>
        <v>0</v>
      </c>
      <c r="EB23" s="229">
        <f t="shared" si="5"/>
        <v>0</v>
      </c>
      <c r="EC23" s="229">
        <f t="shared" si="5"/>
        <v>0</v>
      </c>
      <c r="ED23" s="229">
        <f t="shared" si="5"/>
        <v>0</v>
      </c>
      <c r="EE23" s="229">
        <f t="shared" ref="EE23:EH23" si="6">ED25</f>
        <v>0</v>
      </c>
      <c r="EF23" s="229">
        <f t="shared" si="6"/>
        <v>0</v>
      </c>
      <c r="EG23" s="229">
        <f t="shared" si="6"/>
        <v>0</v>
      </c>
      <c r="EH23" s="229">
        <f t="shared" si="6"/>
        <v>0</v>
      </c>
      <c r="EK23" s="280"/>
    </row>
    <row r="24" spans="1:141" x14ac:dyDescent="0.3">
      <c r="A24" s="241" t="s">
        <v>2371</v>
      </c>
      <c r="B24" s="241"/>
      <c r="C24" s="241"/>
      <c r="D24" s="241"/>
      <c r="E24" s="676"/>
      <c r="F24" s="676">
        <f t="shared" ref="F24:BQ24" si="7">F35-F28</f>
        <v>0</v>
      </c>
      <c r="G24" s="638">
        <f t="shared" si="7"/>
        <v>0</v>
      </c>
      <c r="H24" s="638">
        <f t="shared" si="7"/>
        <v>0</v>
      </c>
      <c r="I24" s="638">
        <f t="shared" si="7"/>
        <v>0</v>
      </c>
      <c r="J24" s="638">
        <f t="shared" si="7"/>
        <v>0</v>
      </c>
      <c r="K24" s="638">
        <f t="shared" si="7"/>
        <v>0</v>
      </c>
      <c r="L24" s="638">
        <f t="shared" si="7"/>
        <v>0</v>
      </c>
      <c r="M24" s="638">
        <f>M35-M28</f>
        <v>0</v>
      </c>
      <c r="N24" s="638">
        <f t="shared" si="7"/>
        <v>0</v>
      </c>
      <c r="O24" s="638">
        <f t="shared" si="7"/>
        <v>0</v>
      </c>
      <c r="P24" s="638">
        <f t="shared" si="7"/>
        <v>0</v>
      </c>
      <c r="Q24" s="638">
        <f t="shared" si="7"/>
        <v>0</v>
      </c>
      <c r="R24" s="638">
        <f t="shared" si="7"/>
        <v>0</v>
      </c>
      <c r="S24" s="638">
        <f t="shared" si="7"/>
        <v>0</v>
      </c>
      <c r="T24" s="638">
        <f t="shared" si="7"/>
        <v>0</v>
      </c>
      <c r="U24" s="638">
        <f t="shared" si="7"/>
        <v>0</v>
      </c>
      <c r="V24" s="638">
        <f t="shared" si="7"/>
        <v>0</v>
      </c>
      <c r="W24" s="638">
        <f t="shared" si="7"/>
        <v>0</v>
      </c>
      <c r="X24" s="638">
        <f t="shared" si="7"/>
        <v>0</v>
      </c>
      <c r="Y24" s="638">
        <f t="shared" si="7"/>
        <v>0</v>
      </c>
      <c r="Z24" s="638">
        <f t="shared" si="7"/>
        <v>0</v>
      </c>
      <c r="AA24" s="638">
        <f t="shared" si="7"/>
        <v>0</v>
      </c>
      <c r="AB24" s="638">
        <f t="shared" si="7"/>
        <v>0</v>
      </c>
      <c r="AC24" s="638">
        <f t="shared" si="7"/>
        <v>0</v>
      </c>
      <c r="AD24" s="638">
        <f t="shared" si="7"/>
        <v>0</v>
      </c>
      <c r="AE24" s="638">
        <f t="shared" si="7"/>
        <v>0</v>
      </c>
      <c r="AF24" s="638">
        <f t="shared" si="7"/>
        <v>0</v>
      </c>
      <c r="AG24" s="638">
        <f t="shared" si="7"/>
        <v>0</v>
      </c>
      <c r="AH24" s="638">
        <f t="shared" si="7"/>
        <v>0</v>
      </c>
      <c r="AI24" s="638">
        <f t="shared" si="7"/>
        <v>0</v>
      </c>
      <c r="AJ24" s="638">
        <f t="shared" si="7"/>
        <v>0</v>
      </c>
      <c r="AK24" s="638">
        <f t="shared" si="7"/>
        <v>0</v>
      </c>
      <c r="AL24" s="638">
        <f t="shared" si="7"/>
        <v>0</v>
      </c>
      <c r="AM24" s="638">
        <f t="shared" si="7"/>
        <v>0</v>
      </c>
      <c r="AN24" s="638">
        <f t="shared" si="7"/>
        <v>0</v>
      </c>
      <c r="AO24" s="638">
        <f t="shared" si="7"/>
        <v>0</v>
      </c>
      <c r="AP24" s="638">
        <f t="shared" si="7"/>
        <v>0</v>
      </c>
      <c r="AQ24" s="638">
        <f t="shared" si="7"/>
        <v>0</v>
      </c>
      <c r="AR24" s="638">
        <f t="shared" si="7"/>
        <v>0</v>
      </c>
      <c r="AS24" s="638">
        <f t="shared" si="7"/>
        <v>0</v>
      </c>
      <c r="AT24" s="638">
        <f t="shared" si="7"/>
        <v>0</v>
      </c>
      <c r="AU24" s="638">
        <f t="shared" si="7"/>
        <v>0</v>
      </c>
      <c r="AV24" s="638">
        <f t="shared" si="7"/>
        <v>0</v>
      </c>
      <c r="AW24" s="638">
        <f t="shared" si="7"/>
        <v>0</v>
      </c>
      <c r="AX24" s="638">
        <f t="shared" si="7"/>
        <v>0</v>
      </c>
      <c r="AY24" s="638">
        <f t="shared" si="7"/>
        <v>0</v>
      </c>
      <c r="AZ24" s="638">
        <f t="shared" si="7"/>
        <v>0</v>
      </c>
      <c r="BA24" s="638">
        <f t="shared" si="7"/>
        <v>0</v>
      </c>
      <c r="BB24" s="638">
        <f t="shared" si="7"/>
        <v>0</v>
      </c>
      <c r="BC24" s="242">
        <f t="shared" si="7"/>
        <v>0</v>
      </c>
      <c r="BD24" s="242">
        <f t="shared" si="7"/>
        <v>0</v>
      </c>
      <c r="BE24" s="242">
        <f t="shared" si="7"/>
        <v>0</v>
      </c>
      <c r="BF24" s="242">
        <f t="shared" si="7"/>
        <v>0</v>
      </c>
      <c r="BG24" s="242">
        <f t="shared" si="7"/>
        <v>0</v>
      </c>
      <c r="BH24" s="242">
        <f t="shared" si="7"/>
        <v>0</v>
      </c>
      <c r="BI24" s="242">
        <f t="shared" si="7"/>
        <v>0</v>
      </c>
      <c r="BJ24" s="242">
        <f t="shared" si="7"/>
        <v>0</v>
      </c>
      <c r="BK24" s="242">
        <f t="shared" si="7"/>
        <v>0</v>
      </c>
      <c r="BL24" s="242">
        <f t="shared" si="7"/>
        <v>0</v>
      </c>
      <c r="BM24" s="242">
        <f t="shared" si="7"/>
        <v>0</v>
      </c>
      <c r="BN24" s="242">
        <f t="shared" si="7"/>
        <v>0</v>
      </c>
      <c r="BO24" s="242">
        <f t="shared" si="7"/>
        <v>0</v>
      </c>
      <c r="BP24" s="242">
        <f t="shared" si="7"/>
        <v>0</v>
      </c>
      <c r="BQ24" s="242">
        <f t="shared" si="7"/>
        <v>0</v>
      </c>
      <c r="BR24" s="242">
        <f t="shared" ref="BR24:EC24" si="8">BR35-BR28</f>
        <v>0</v>
      </c>
      <c r="BS24" s="242">
        <f t="shared" si="8"/>
        <v>0</v>
      </c>
      <c r="BT24" s="242">
        <f t="shared" si="8"/>
        <v>0</v>
      </c>
      <c r="BU24" s="242">
        <f t="shared" si="8"/>
        <v>0</v>
      </c>
      <c r="BV24" s="242">
        <f t="shared" si="8"/>
        <v>0</v>
      </c>
      <c r="BW24" s="242">
        <f t="shared" si="8"/>
        <v>0</v>
      </c>
      <c r="BX24" s="242">
        <f t="shared" si="8"/>
        <v>0</v>
      </c>
      <c r="BY24" s="242">
        <f t="shared" si="8"/>
        <v>0</v>
      </c>
      <c r="BZ24" s="242">
        <f t="shared" si="8"/>
        <v>0</v>
      </c>
      <c r="CA24" s="242">
        <f t="shared" si="8"/>
        <v>0</v>
      </c>
      <c r="CB24" s="242">
        <f t="shared" si="8"/>
        <v>0</v>
      </c>
      <c r="CC24" s="242">
        <f t="shared" si="8"/>
        <v>0</v>
      </c>
      <c r="CD24" s="242">
        <f t="shared" si="8"/>
        <v>0</v>
      </c>
      <c r="CE24" s="242">
        <f t="shared" si="8"/>
        <v>0</v>
      </c>
      <c r="CF24" s="242">
        <f t="shared" si="8"/>
        <v>0</v>
      </c>
      <c r="CG24" s="242">
        <f t="shared" si="8"/>
        <v>0</v>
      </c>
      <c r="CH24" s="242">
        <f t="shared" si="8"/>
        <v>0</v>
      </c>
      <c r="CI24" s="242">
        <f t="shared" si="8"/>
        <v>0</v>
      </c>
      <c r="CJ24" s="242">
        <f t="shared" si="8"/>
        <v>0</v>
      </c>
      <c r="CK24" s="242">
        <f t="shared" si="8"/>
        <v>0</v>
      </c>
      <c r="CL24" s="242">
        <f t="shared" si="8"/>
        <v>0</v>
      </c>
      <c r="CM24" s="242">
        <f t="shared" si="8"/>
        <v>0</v>
      </c>
      <c r="CN24" s="242">
        <f t="shared" si="8"/>
        <v>0</v>
      </c>
      <c r="CO24" s="242">
        <f t="shared" si="8"/>
        <v>0</v>
      </c>
      <c r="CP24" s="242">
        <f t="shared" si="8"/>
        <v>0</v>
      </c>
      <c r="CQ24" s="242">
        <f t="shared" si="8"/>
        <v>0</v>
      </c>
      <c r="CR24" s="242">
        <f t="shared" si="8"/>
        <v>0</v>
      </c>
      <c r="CS24" s="242">
        <f t="shared" si="8"/>
        <v>0</v>
      </c>
      <c r="CT24" s="242">
        <f t="shared" si="8"/>
        <v>0</v>
      </c>
      <c r="CU24" s="242">
        <f t="shared" si="8"/>
        <v>0</v>
      </c>
      <c r="CV24" s="242">
        <f t="shared" si="8"/>
        <v>0</v>
      </c>
      <c r="CW24" s="242">
        <f t="shared" si="8"/>
        <v>0</v>
      </c>
      <c r="CX24" s="242">
        <f t="shared" si="8"/>
        <v>0</v>
      </c>
      <c r="CY24" s="242">
        <f t="shared" si="8"/>
        <v>0</v>
      </c>
      <c r="CZ24" s="242">
        <f t="shared" si="8"/>
        <v>0</v>
      </c>
      <c r="DA24" s="242">
        <f t="shared" si="8"/>
        <v>0</v>
      </c>
      <c r="DB24" s="242">
        <f t="shared" si="8"/>
        <v>0</v>
      </c>
      <c r="DC24" s="242">
        <f t="shared" si="8"/>
        <v>0</v>
      </c>
      <c r="DD24" s="242">
        <f t="shared" si="8"/>
        <v>0</v>
      </c>
      <c r="DE24" s="242">
        <f t="shared" si="8"/>
        <v>0</v>
      </c>
      <c r="DF24" s="242">
        <f t="shared" si="8"/>
        <v>0</v>
      </c>
      <c r="DG24" s="242">
        <f t="shared" si="8"/>
        <v>0</v>
      </c>
      <c r="DH24" s="242">
        <f t="shared" si="8"/>
        <v>0</v>
      </c>
      <c r="DI24" s="242">
        <f t="shared" si="8"/>
        <v>0</v>
      </c>
      <c r="DJ24" s="242">
        <f t="shared" si="8"/>
        <v>0</v>
      </c>
      <c r="DK24" s="242">
        <f t="shared" si="8"/>
        <v>0</v>
      </c>
      <c r="DL24" s="242">
        <f t="shared" si="8"/>
        <v>0</v>
      </c>
      <c r="DM24" s="242">
        <f t="shared" si="8"/>
        <v>0</v>
      </c>
      <c r="DN24" s="242">
        <f t="shared" si="8"/>
        <v>0</v>
      </c>
      <c r="DO24" s="242">
        <f t="shared" si="8"/>
        <v>0</v>
      </c>
      <c r="DP24" s="242">
        <f t="shared" si="8"/>
        <v>0</v>
      </c>
      <c r="DQ24" s="242">
        <f t="shared" si="8"/>
        <v>0</v>
      </c>
      <c r="DR24" s="242">
        <f t="shared" si="8"/>
        <v>0</v>
      </c>
      <c r="DS24" s="242">
        <f t="shared" si="8"/>
        <v>0</v>
      </c>
      <c r="DT24" s="242">
        <f t="shared" si="8"/>
        <v>0</v>
      </c>
      <c r="DU24" s="242">
        <f t="shared" si="8"/>
        <v>0</v>
      </c>
      <c r="DV24" s="242">
        <f t="shared" si="8"/>
        <v>0</v>
      </c>
      <c r="DW24" s="242">
        <f t="shared" si="8"/>
        <v>0</v>
      </c>
      <c r="DX24" s="242">
        <f t="shared" si="8"/>
        <v>0</v>
      </c>
      <c r="DY24" s="242">
        <f t="shared" si="8"/>
        <v>0</v>
      </c>
      <c r="DZ24" s="242">
        <f t="shared" si="8"/>
        <v>0</v>
      </c>
      <c r="EA24" s="242">
        <f t="shared" si="8"/>
        <v>0</v>
      </c>
      <c r="EB24" s="242">
        <f t="shared" si="8"/>
        <v>0</v>
      </c>
      <c r="EC24" s="242">
        <f t="shared" si="8"/>
        <v>0</v>
      </c>
      <c r="ED24" s="242">
        <f t="shared" ref="ED24:EH24" si="9">ED35-ED28</f>
        <v>0</v>
      </c>
      <c r="EE24" s="242">
        <f t="shared" si="9"/>
        <v>0</v>
      </c>
      <c r="EF24" s="242">
        <f t="shared" si="9"/>
        <v>0</v>
      </c>
      <c r="EG24" s="242">
        <f t="shared" si="9"/>
        <v>0</v>
      </c>
      <c r="EH24" s="242">
        <f t="shared" si="9"/>
        <v>0</v>
      </c>
      <c r="EK24" s="672"/>
    </row>
    <row r="25" spans="1:141" x14ac:dyDescent="0.3">
      <c r="A25" s="639" t="s">
        <v>2372</v>
      </c>
      <c r="E25" s="647"/>
      <c r="F25" s="647"/>
      <c r="G25" s="229">
        <v>0</v>
      </c>
      <c r="H25" s="229">
        <f t="shared" ref="H25:BS25" si="10">H24+G25</f>
        <v>0</v>
      </c>
      <c r="I25" s="229">
        <f t="shared" si="10"/>
        <v>0</v>
      </c>
      <c r="J25" s="229">
        <f t="shared" si="10"/>
        <v>0</v>
      </c>
      <c r="K25" s="229">
        <f t="shared" si="10"/>
        <v>0</v>
      </c>
      <c r="L25" s="229">
        <f t="shared" si="10"/>
        <v>0</v>
      </c>
      <c r="M25" s="229">
        <f t="shared" si="10"/>
        <v>0</v>
      </c>
      <c r="N25" s="229">
        <f t="shared" si="10"/>
        <v>0</v>
      </c>
      <c r="O25" s="229">
        <f t="shared" si="10"/>
        <v>0</v>
      </c>
      <c r="P25" s="229">
        <f t="shared" si="10"/>
        <v>0</v>
      </c>
      <c r="Q25" s="229">
        <f t="shared" si="10"/>
        <v>0</v>
      </c>
      <c r="R25" s="229">
        <f t="shared" si="10"/>
        <v>0</v>
      </c>
      <c r="S25" s="229">
        <f t="shared" si="10"/>
        <v>0</v>
      </c>
      <c r="T25" s="229">
        <f t="shared" si="10"/>
        <v>0</v>
      </c>
      <c r="U25" s="229">
        <f t="shared" si="10"/>
        <v>0</v>
      </c>
      <c r="V25" s="229">
        <f t="shared" si="10"/>
        <v>0</v>
      </c>
      <c r="W25" s="229">
        <f t="shared" si="10"/>
        <v>0</v>
      </c>
      <c r="X25" s="229">
        <f t="shared" si="10"/>
        <v>0</v>
      </c>
      <c r="Y25" s="229">
        <f t="shared" si="10"/>
        <v>0</v>
      </c>
      <c r="Z25" s="229">
        <f t="shared" si="10"/>
        <v>0</v>
      </c>
      <c r="AA25" s="229">
        <f t="shared" si="10"/>
        <v>0</v>
      </c>
      <c r="AB25" s="229">
        <f t="shared" si="10"/>
        <v>0</v>
      </c>
      <c r="AC25" s="229">
        <f t="shared" si="10"/>
        <v>0</v>
      </c>
      <c r="AD25" s="229">
        <f t="shared" si="10"/>
        <v>0</v>
      </c>
      <c r="AE25" s="229">
        <f t="shared" si="10"/>
        <v>0</v>
      </c>
      <c r="AF25" s="229">
        <f t="shared" si="10"/>
        <v>0</v>
      </c>
      <c r="AG25" s="229">
        <f t="shared" si="10"/>
        <v>0</v>
      </c>
      <c r="AH25" s="229">
        <f t="shared" si="10"/>
        <v>0</v>
      </c>
      <c r="AI25" s="229">
        <f t="shared" si="10"/>
        <v>0</v>
      </c>
      <c r="AJ25" s="229">
        <f t="shared" si="10"/>
        <v>0</v>
      </c>
      <c r="AK25" s="229">
        <f t="shared" si="10"/>
        <v>0</v>
      </c>
      <c r="AL25" s="229">
        <f t="shared" si="10"/>
        <v>0</v>
      </c>
      <c r="AM25" s="229">
        <f t="shared" si="10"/>
        <v>0</v>
      </c>
      <c r="AN25" s="229">
        <f t="shared" si="10"/>
        <v>0</v>
      </c>
      <c r="AO25" s="229">
        <f t="shared" si="10"/>
        <v>0</v>
      </c>
      <c r="AP25" s="229">
        <f t="shared" si="10"/>
        <v>0</v>
      </c>
      <c r="AQ25" s="229">
        <f t="shared" si="10"/>
        <v>0</v>
      </c>
      <c r="AR25" s="229">
        <f t="shared" si="10"/>
        <v>0</v>
      </c>
      <c r="AS25" s="229">
        <f t="shared" si="10"/>
        <v>0</v>
      </c>
      <c r="AT25" s="229">
        <f t="shared" si="10"/>
        <v>0</v>
      </c>
      <c r="AU25" s="229">
        <f t="shared" si="10"/>
        <v>0</v>
      </c>
      <c r="AV25" s="229">
        <f t="shared" si="10"/>
        <v>0</v>
      </c>
      <c r="AW25" s="229">
        <f t="shared" si="10"/>
        <v>0</v>
      </c>
      <c r="AX25" s="229">
        <f t="shared" si="10"/>
        <v>0</v>
      </c>
      <c r="AY25" s="229">
        <f t="shared" si="10"/>
        <v>0</v>
      </c>
      <c r="AZ25" s="229">
        <f t="shared" si="10"/>
        <v>0</v>
      </c>
      <c r="BA25" s="229">
        <f t="shared" si="10"/>
        <v>0</v>
      </c>
      <c r="BB25" s="229">
        <f t="shared" si="10"/>
        <v>0</v>
      </c>
      <c r="BC25" s="229">
        <f t="shared" si="10"/>
        <v>0</v>
      </c>
      <c r="BD25" s="229">
        <f t="shared" si="10"/>
        <v>0</v>
      </c>
      <c r="BE25" s="229">
        <f t="shared" si="10"/>
        <v>0</v>
      </c>
      <c r="BF25" s="229">
        <f t="shared" si="10"/>
        <v>0</v>
      </c>
      <c r="BG25" s="229">
        <f t="shared" si="10"/>
        <v>0</v>
      </c>
      <c r="BH25" s="229">
        <f t="shared" si="10"/>
        <v>0</v>
      </c>
      <c r="BI25" s="229">
        <f t="shared" si="10"/>
        <v>0</v>
      </c>
      <c r="BJ25" s="229">
        <f t="shared" si="10"/>
        <v>0</v>
      </c>
      <c r="BK25" s="229">
        <f t="shared" si="10"/>
        <v>0</v>
      </c>
      <c r="BL25" s="229">
        <f t="shared" si="10"/>
        <v>0</v>
      </c>
      <c r="BM25" s="229">
        <f t="shared" si="10"/>
        <v>0</v>
      </c>
      <c r="BN25" s="229">
        <f t="shared" si="10"/>
        <v>0</v>
      </c>
      <c r="BO25" s="229">
        <f t="shared" si="10"/>
        <v>0</v>
      </c>
      <c r="BP25" s="229">
        <f t="shared" si="10"/>
        <v>0</v>
      </c>
      <c r="BQ25" s="229">
        <f t="shared" si="10"/>
        <v>0</v>
      </c>
      <c r="BR25" s="229">
        <f t="shared" si="10"/>
        <v>0</v>
      </c>
      <c r="BS25" s="229">
        <f t="shared" si="10"/>
        <v>0</v>
      </c>
      <c r="BT25" s="229">
        <f t="shared" ref="BT25:EE25" si="11">BT24+BS25</f>
        <v>0</v>
      </c>
      <c r="BU25" s="229">
        <f t="shared" si="11"/>
        <v>0</v>
      </c>
      <c r="BV25" s="229">
        <f t="shared" si="11"/>
        <v>0</v>
      </c>
      <c r="BW25" s="229">
        <f t="shared" si="11"/>
        <v>0</v>
      </c>
      <c r="BX25" s="229">
        <f t="shared" si="11"/>
        <v>0</v>
      </c>
      <c r="BY25" s="229">
        <f t="shared" si="11"/>
        <v>0</v>
      </c>
      <c r="BZ25" s="229">
        <f t="shared" si="11"/>
        <v>0</v>
      </c>
      <c r="CA25" s="229">
        <f t="shared" si="11"/>
        <v>0</v>
      </c>
      <c r="CB25" s="229">
        <f t="shared" si="11"/>
        <v>0</v>
      </c>
      <c r="CC25" s="229">
        <f t="shared" si="11"/>
        <v>0</v>
      </c>
      <c r="CD25" s="229">
        <f t="shared" si="11"/>
        <v>0</v>
      </c>
      <c r="CE25" s="229">
        <f t="shared" si="11"/>
        <v>0</v>
      </c>
      <c r="CF25" s="229">
        <f t="shared" si="11"/>
        <v>0</v>
      </c>
      <c r="CG25" s="229">
        <f t="shared" si="11"/>
        <v>0</v>
      </c>
      <c r="CH25" s="229">
        <f t="shared" si="11"/>
        <v>0</v>
      </c>
      <c r="CI25" s="229">
        <f t="shared" si="11"/>
        <v>0</v>
      </c>
      <c r="CJ25" s="229">
        <f t="shared" si="11"/>
        <v>0</v>
      </c>
      <c r="CK25" s="229">
        <f t="shared" si="11"/>
        <v>0</v>
      </c>
      <c r="CL25" s="229">
        <f t="shared" si="11"/>
        <v>0</v>
      </c>
      <c r="CM25" s="229">
        <f t="shared" si="11"/>
        <v>0</v>
      </c>
      <c r="CN25" s="229">
        <f t="shared" si="11"/>
        <v>0</v>
      </c>
      <c r="CO25" s="229">
        <f t="shared" si="11"/>
        <v>0</v>
      </c>
      <c r="CP25" s="229">
        <f t="shared" si="11"/>
        <v>0</v>
      </c>
      <c r="CQ25" s="229">
        <f t="shared" si="11"/>
        <v>0</v>
      </c>
      <c r="CR25" s="229">
        <f t="shared" si="11"/>
        <v>0</v>
      </c>
      <c r="CS25" s="229">
        <f t="shared" si="11"/>
        <v>0</v>
      </c>
      <c r="CT25" s="229">
        <f t="shared" si="11"/>
        <v>0</v>
      </c>
      <c r="CU25" s="229">
        <f t="shared" si="11"/>
        <v>0</v>
      </c>
      <c r="CV25" s="229">
        <f t="shared" si="11"/>
        <v>0</v>
      </c>
      <c r="CW25" s="229">
        <f t="shared" si="11"/>
        <v>0</v>
      </c>
      <c r="CX25" s="229">
        <f t="shared" si="11"/>
        <v>0</v>
      </c>
      <c r="CY25" s="229">
        <f t="shared" si="11"/>
        <v>0</v>
      </c>
      <c r="CZ25" s="229">
        <f t="shared" si="11"/>
        <v>0</v>
      </c>
      <c r="DA25" s="229">
        <f t="shared" si="11"/>
        <v>0</v>
      </c>
      <c r="DB25" s="229">
        <f t="shared" si="11"/>
        <v>0</v>
      </c>
      <c r="DC25" s="229">
        <f t="shared" si="11"/>
        <v>0</v>
      </c>
      <c r="DD25" s="229">
        <f t="shared" si="11"/>
        <v>0</v>
      </c>
      <c r="DE25" s="229">
        <f t="shared" si="11"/>
        <v>0</v>
      </c>
      <c r="DF25" s="229">
        <f t="shared" si="11"/>
        <v>0</v>
      </c>
      <c r="DG25" s="229">
        <f t="shared" si="11"/>
        <v>0</v>
      </c>
      <c r="DH25" s="229">
        <f t="shared" si="11"/>
        <v>0</v>
      </c>
      <c r="DI25" s="229">
        <f t="shared" si="11"/>
        <v>0</v>
      </c>
      <c r="DJ25" s="229">
        <f t="shared" si="11"/>
        <v>0</v>
      </c>
      <c r="DK25" s="229">
        <f t="shared" si="11"/>
        <v>0</v>
      </c>
      <c r="DL25" s="229">
        <f t="shared" si="11"/>
        <v>0</v>
      </c>
      <c r="DM25" s="229">
        <f t="shared" si="11"/>
        <v>0</v>
      </c>
      <c r="DN25" s="229">
        <f t="shared" si="11"/>
        <v>0</v>
      </c>
      <c r="DO25" s="229">
        <f t="shared" si="11"/>
        <v>0</v>
      </c>
      <c r="DP25" s="229">
        <f t="shared" si="11"/>
        <v>0</v>
      </c>
      <c r="DQ25" s="229">
        <f t="shared" si="11"/>
        <v>0</v>
      </c>
      <c r="DR25" s="229">
        <f t="shared" si="11"/>
        <v>0</v>
      </c>
      <c r="DS25" s="229">
        <f t="shared" si="11"/>
        <v>0</v>
      </c>
      <c r="DT25" s="229">
        <f t="shared" si="11"/>
        <v>0</v>
      </c>
      <c r="DU25" s="229">
        <f t="shared" si="11"/>
        <v>0</v>
      </c>
      <c r="DV25" s="229">
        <f t="shared" si="11"/>
        <v>0</v>
      </c>
      <c r="DW25" s="229">
        <f t="shared" si="11"/>
        <v>0</v>
      </c>
      <c r="DX25" s="229">
        <f t="shared" si="11"/>
        <v>0</v>
      </c>
      <c r="DY25" s="229">
        <f t="shared" si="11"/>
        <v>0</v>
      </c>
      <c r="DZ25" s="229">
        <f t="shared" si="11"/>
        <v>0</v>
      </c>
      <c r="EA25" s="229">
        <f t="shared" si="11"/>
        <v>0</v>
      </c>
      <c r="EB25" s="229">
        <f t="shared" si="11"/>
        <v>0</v>
      </c>
      <c r="EC25" s="229">
        <f t="shared" si="11"/>
        <v>0</v>
      </c>
      <c r="ED25" s="229">
        <f t="shared" si="11"/>
        <v>0</v>
      </c>
      <c r="EE25" s="229">
        <f t="shared" si="11"/>
        <v>0</v>
      </c>
      <c r="EF25" s="229">
        <f>EF24+EE25</f>
        <v>0</v>
      </c>
      <c r="EG25" s="229">
        <f>EG24+EF25</f>
        <v>0</v>
      </c>
      <c r="EH25" s="229">
        <f>EH24+EG25</f>
        <v>0</v>
      </c>
      <c r="EK25" s="280"/>
    </row>
    <row r="26" spans="1:141" ht="7.5" customHeight="1" x14ac:dyDescent="0.3">
      <c r="G26" s="229"/>
      <c r="H26" s="229"/>
      <c r="I26" s="229"/>
      <c r="J26" s="229"/>
      <c r="K26" s="229"/>
      <c r="L26" s="229"/>
      <c r="M26" s="229"/>
      <c r="N26" s="229"/>
      <c r="O26" s="229"/>
      <c r="P26" s="229"/>
      <c r="Q26" s="229"/>
      <c r="R26" s="229"/>
      <c r="S26" s="229"/>
      <c r="T26" s="229"/>
      <c r="U26" s="229"/>
      <c r="V26" s="229"/>
      <c r="W26" s="229"/>
      <c r="X26" s="229"/>
      <c r="Y26" s="229"/>
      <c r="Z26" s="229"/>
      <c r="AA26" s="229"/>
      <c r="AB26" s="229"/>
      <c r="AC26" s="229"/>
      <c r="AD26" s="229"/>
      <c r="AE26" s="229"/>
      <c r="AF26" s="229"/>
      <c r="AG26" s="229"/>
      <c r="AH26" s="229"/>
      <c r="AI26" s="229"/>
      <c r="AJ26" s="229"/>
      <c r="AK26" s="229"/>
      <c r="AL26" s="229"/>
      <c r="AM26" s="229"/>
      <c r="AN26" s="229"/>
      <c r="AO26" s="229"/>
      <c r="AP26" s="229"/>
      <c r="AQ26" s="229"/>
      <c r="AR26" s="229"/>
      <c r="AS26" s="229"/>
      <c r="AT26" s="229"/>
      <c r="AU26" s="229"/>
      <c r="AV26" s="229"/>
      <c r="AW26" s="229"/>
      <c r="AX26" s="229"/>
      <c r="AY26" s="229"/>
      <c r="AZ26" s="229"/>
      <c r="BA26" s="229"/>
      <c r="BB26" s="229"/>
      <c r="BC26" s="229"/>
      <c r="BD26" s="229"/>
      <c r="BE26" s="229"/>
      <c r="BF26" s="229"/>
      <c r="BG26" s="229"/>
      <c r="BH26" s="229"/>
      <c r="BI26" s="229"/>
      <c r="BJ26" s="229"/>
      <c r="BK26" s="229"/>
      <c r="BL26" s="229"/>
      <c r="BM26" s="229"/>
      <c r="BN26" s="229"/>
      <c r="BO26" s="229"/>
      <c r="BP26" s="229"/>
      <c r="BQ26" s="229"/>
      <c r="BR26" s="229"/>
      <c r="BS26" s="229"/>
      <c r="BT26" s="229"/>
      <c r="BU26" s="229"/>
      <c r="BV26" s="229"/>
      <c r="BW26" s="229"/>
      <c r="BX26" s="229"/>
      <c r="BY26" s="229"/>
      <c r="BZ26" s="229"/>
      <c r="CA26" s="229"/>
      <c r="CB26" s="229"/>
      <c r="CC26" s="229"/>
      <c r="CD26" s="229"/>
      <c r="CE26" s="229"/>
      <c r="CF26" s="229"/>
      <c r="CG26" s="229"/>
      <c r="CH26" s="229"/>
      <c r="CI26" s="229"/>
      <c r="CJ26" s="229"/>
      <c r="CK26" s="229"/>
      <c r="CL26" s="229"/>
      <c r="CM26" s="229"/>
      <c r="CN26" s="229"/>
      <c r="CO26" s="229"/>
      <c r="CP26" s="229"/>
      <c r="CQ26" s="229"/>
      <c r="CR26" s="229"/>
      <c r="CS26" s="229"/>
      <c r="CT26" s="229"/>
      <c r="CU26" s="229"/>
      <c r="CV26" s="229"/>
      <c r="CW26" s="229"/>
      <c r="CX26" s="229"/>
      <c r="CY26" s="229"/>
      <c r="CZ26" s="229"/>
      <c r="DA26" s="229"/>
      <c r="DB26" s="229"/>
      <c r="DC26" s="229"/>
      <c r="DD26" s="229"/>
      <c r="DE26" s="229"/>
      <c r="DF26" s="229"/>
      <c r="DG26" s="229"/>
      <c r="DH26" s="229"/>
      <c r="DI26" s="229"/>
      <c r="DJ26" s="229"/>
      <c r="DK26" s="229"/>
      <c r="DL26" s="229"/>
      <c r="DM26" s="229"/>
      <c r="DN26" s="229"/>
      <c r="DO26" s="229"/>
      <c r="DP26" s="229"/>
      <c r="DQ26" s="229"/>
      <c r="DR26" s="229"/>
      <c r="DS26" s="229"/>
      <c r="DT26" s="229"/>
      <c r="DU26" s="229"/>
      <c r="DV26" s="229"/>
      <c r="DW26" s="229"/>
      <c r="DX26" s="229"/>
      <c r="DY26" s="229"/>
      <c r="DZ26" s="229"/>
      <c r="EA26" s="229"/>
      <c r="EB26" s="229"/>
      <c r="EC26" s="229"/>
      <c r="ED26" s="229"/>
      <c r="EE26" s="229"/>
      <c r="EF26" s="229"/>
      <c r="EG26" s="229"/>
      <c r="EH26" s="229"/>
      <c r="EK26" s="672"/>
    </row>
    <row r="27" spans="1:141" x14ac:dyDescent="0.3">
      <c r="A27" t="s">
        <v>2373</v>
      </c>
      <c r="E27" s="647"/>
      <c r="F27" s="647"/>
      <c r="G27" s="229">
        <v>0</v>
      </c>
      <c r="H27" s="229">
        <f t="shared" ref="H27:BS27" si="12">G29</f>
        <v>0</v>
      </c>
      <c r="I27" s="229">
        <f t="shared" si="12"/>
        <v>0</v>
      </c>
      <c r="J27" s="229">
        <f t="shared" si="12"/>
        <v>0</v>
      </c>
      <c r="K27" s="229">
        <f t="shared" si="12"/>
        <v>0</v>
      </c>
      <c r="L27" s="229">
        <f t="shared" si="12"/>
        <v>0</v>
      </c>
      <c r="M27" s="229">
        <f t="shared" si="12"/>
        <v>0</v>
      </c>
      <c r="N27" s="229">
        <f t="shared" si="12"/>
        <v>0</v>
      </c>
      <c r="O27" s="229">
        <f t="shared" si="12"/>
        <v>0</v>
      </c>
      <c r="P27" s="229">
        <f t="shared" si="12"/>
        <v>0</v>
      </c>
      <c r="Q27" s="229">
        <f t="shared" si="12"/>
        <v>0</v>
      </c>
      <c r="R27" s="229">
        <f t="shared" si="12"/>
        <v>0</v>
      </c>
      <c r="S27" s="229">
        <f t="shared" si="12"/>
        <v>0</v>
      </c>
      <c r="T27" s="229">
        <f t="shared" si="12"/>
        <v>0</v>
      </c>
      <c r="U27" s="229">
        <f t="shared" si="12"/>
        <v>14.4</v>
      </c>
      <c r="V27" s="229">
        <f t="shared" si="12"/>
        <v>28.8</v>
      </c>
      <c r="W27" s="229">
        <f t="shared" si="12"/>
        <v>43.2</v>
      </c>
      <c r="X27" s="229">
        <f t="shared" si="12"/>
        <v>57.6</v>
      </c>
      <c r="Y27" s="229">
        <f t="shared" si="12"/>
        <v>72</v>
      </c>
      <c r="Z27" s="229">
        <f t="shared" si="12"/>
        <v>93.6</v>
      </c>
      <c r="AA27" s="229">
        <f t="shared" si="12"/>
        <v>115.19999999999999</v>
      </c>
      <c r="AB27" s="229">
        <f t="shared" si="12"/>
        <v>136.79999999999998</v>
      </c>
      <c r="AC27" s="229">
        <f t="shared" si="12"/>
        <v>158.39999999999998</v>
      </c>
      <c r="AD27" s="229">
        <f t="shared" si="12"/>
        <v>179.99999999999997</v>
      </c>
      <c r="AE27" s="229">
        <f t="shared" si="12"/>
        <v>201.59999999999997</v>
      </c>
      <c r="AF27" s="229">
        <f t="shared" si="12"/>
        <v>215.99999999999997</v>
      </c>
      <c r="AG27" s="229">
        <f t="shared" si="12"/>
        <v>230.39999999999998</v>
      </c>
      <c r="AH27" s="229">
        <f t="shared" si="12"/>
        <v>240.98</v>
      </c>
      <c r="AI27" s="229">
        <f t="shared" si="12"/>
        <v>240.98</v>
      </c>
      <c r="AJ27" s="229">
        <f t="shared" si="12"/>
        <v>240.98</v>
      </c>
      <c r="AK27" s="229">
        <f t="shared" si="12"/>
        <v>240.98</v>
      </c>
      <c r="AL27" s="229">
        <f t="shared" si="12"/>
        <v>240.98</v>
      </c>
      <c r="AM27" s="229">
        <f t="shared" si="12"/>
        <v>240.98</v>
      </c>
      <c r="AN27" s="229">
        <f t="shared" si="12"/>
        <v>240.98</v>
      </c>
      <c r="AO27" s="229">
        <f t="shared" si="12"/>
        <v>240.98</v>
      </c>
      <c r="AP27" s="229">
        <f t="shared" si="12"/>
        <v>240.98</v>
      </c>
      <c r="AQ27" s="229">
        <f t="shared" si="12"/>
        <v>240.98</v>
      </c>
      <c r="AR27" s="229">
        <f t="shared" si="12"/>
        <v>240.98</v>
      </c>
      <c r="AS27" s="229">
        <f t="shared" si="12"/>
        <v>240.98</v>
      </c>
      <c r="AT27" s="229">
        <f t="shared" si="12"/>
        <v>240.98</v>
      </c>
      <c r="AU27" s="229">
        <f t="shared" si="12"/>
        <v>240.98</v>
      </c>
      <c r="AV27" s="229">
        <f t="shared" si="12"/>
        <v>240.98</v>
      </c>
      <c r="AW27" s="229">
        <f t="shared" si="12"/>
        <v>240.98</v>
      </c>
      <c r="AX27" s="229">
        <f t="shared" si="12"/>
        <v>240.98</v>
      </c>
      <c r="AY27" s="229">
        <f t="shared" si="12"/>
        <v>240.98</v>
      </c>
      <c r="AZ27" s="229">
        <f t="shared" si="12"/>
        <v>240.98</v>
      </c>
      <c r="BA27" s="229">
        <f t="shared" si="12"/>
        <v>240.98</v>
      </c>
      <c r="BB27" s="229">
        <f t="shared" si="12"/>
        <v>240.98</v>
      </c>
      <c r="BC27" s="229">
        <f t="shared" si="12"/>
        <v>240.98</v>
      </c>
      <c r="BD27" s="229">
        <f t="shared" si="12"/>
        <v>240.98</v>
      </c>
      <c r="BE27" s="229">
        <f t="shared" si="12"/>
        <v>240.98</v>
      </c>
      <c r="BF27" s="229">
        <f t="shared" si="12"/>
        <v>240.98</v>
      </c>
      <c r="BG27" s="229">
        <f t="shared" si="12"/>
        <v>240.98</v>
      </c>
      <c r="BH27" s="229">
        <f t="shared" si="12"/>
        <v>240.98</v>
      </c>
      <c r="BI27" s="229">
        <f t="shared" si="12"/>
        <v>240.98</v>
      </c>
      <c r="BJ27" s="229">
        <f t="shared" si="12"/>
        <v>240.98</v>
      </c>
      <c r="BK27" s="229">
        <f t="shared" si="12"/>
        <v>240.98</v>
      </c>
      <c r="BL27" s="229">
        <f t="shared" si="12"/>
        <v>240.98</v>
      </c>
      <c r="BM27" s="229">
        <f t="shared" si="12"/>
        <v>240.98</v>
      </c>
      <c r="BN27" s="229">
        <f t="shared" si="12"/>
        <v>240.98</v>
      </c>
      <c r="BO27" s="229">
        <f t="shared" si="12"/>
        <v>240.98</v>
      </c>
      <c r="BP27" s="229">
        <f t="shared" si="12"/>
        <v>240.98</v>
      </c>
      <c r="BQ27" s="229">
        <f t="shared" si="12"/>
        <v>240.98</v>
      </c>
      <c r="BR27" s="229">
        <f t="shared" si="12"/>
        <v>240.98</v>
      </c>
      <c r="BS27" s="229">
        <f t="shared" si="12"/>
        <v>240.98</v>
      </c>
      <c r="BT27" s="229">
        <f t="shared" ref="BT27:EE27" si="13">BS29</f>
        <v>240.98</v>
      </c>
      <c r="BU27" s="229">
        <f t="shared" si="13"/>
        <v>240.98</v>
      </c>
      <c r="BV27" s="229">
        <f t="shared" si="13"/>
        <v>240.98</v>
      </c>
      <c r="BW27" s="229">
        <f t="shared" si="13"/>
        <v>240.98</v>
      </c>
      <c r="BX27" s="229">
        <f t="shared" si="13"/>
        <v>240.98</v>
      </c>
      <c r="BY27" s="229">
        <f t="shared" si="13"/>
        <v>240.98</v>
      </c>
      <c r="BZ27" s="229">
        <f t="shared" si="13"/>
        <v>240.98</v>
      </c>
      <c r="CA27" s="229">
        <f t="shared" si="13"/>
        <v>240.98</v>
      </c>
      <c r="CB27" s="229">
        <f t="shared" si="13"/>
        <v>240.98</v>
      </c>
      <c r="CC27" s="229">
        <f t="shared" si="13"/>
        <v>240.98</v>
      </c>
      <c r="CD27" s="229">
        <f t="shared" si="13"/>
        <v>240.98</v>
      </c>
      <c r="CE27" s="229">
        <f t="shared" si="13"/>
        <v>240.98</v>
      </c>
      <c r="CF27" s="229">
        <f t="shared" si="13"/>
        <v>240.98</v>
      </c>
      <c r="CG27" s="229">
        <f t="shared" si="13"/>
        <v>240.98</v>
      </c>
      <c r="CH27" s="229">
        <f t="shared" si="13"/>
        <v>240.98</v>
      </c>
      <c r="CI27" s="229">
        <f t="shared" si="13"/>
        <v>240.98</v>
      </c>
      <c r="CJ27" s="229">
        <f t="shared" si="13"/>
        <v>240.98</v>
      </c>
      <c r="CK27" s="229">
        <f t="shared" si="13"/>
        <v>240.98</v>
      </c>
      <c r="CL27" s="229">
        <f t="shared" si="13"/>
        <v>240.98</v>
      </c>
      <c r="CM27" s="229">
        <f t="shared" si="13"/>
        <v>240.98</v>
      </c>
      <c r="CN27" s="229">
        <f t="shared" si="13"/>
        <v>240.98</v>
      </c>
      <c r="CO27" s="229">
        <f t="shared" si="13"/>
        <v>240.98</v>
      </c>
      <c r="CP27" s="229">
        <f t="shared" si="13"/>
        <v>240.98</v>
      </c>
      <c r="CQ27" s="229">
        <f t="shared" si="13"/>
        <v>240.98</v>
      </c>
      <c r="CR27" s="229">
        <f t="shared" si="13"/>
        <v>240.98</v>
      </c>
      <c r="CS27" s="229">
        <f t="shared" si="13"/>
        <v>240.98</v>
      </c>
      <c r="CT27" s="229">
        <f t="shared" si="13"/>
        <v>240.98</v>
      </c>
      <c r="CU27" s="229">
        <f t="shared" si="13"/>
        <v>240.98</v>
      </c>
      <c r="CV27" s="229">
        <f t="shared" si="13"/>
        <v>240.98</v>
      </c>
      <c r="CW27" s="229">
        <f t="shared" si="13"/>
        <v>240.98</v>
      </c>
      <c r="CX27" s="229">
        <f t="shared" si="13"/>
        <v>240.98</v>
      </c>
      <c r="CY27" s="229">
        <f t="shared" si="13"/>
        <v>240.98</v>
      </c>
      <c r="CZ27" s="229">
        <f t="shared" si="13"/>
        <v>240.98</v>
      </c>
      <c r="DA27" s="229">
        <f t="shared" si="13"/>
        <v>240.98</v>
      </c>
      <c r="DB27" s="229">
        <f t="shared" si="13"/>
        <v>240.98</v>
      </c>
      <c r="DC27" s="229">
        <f t="shared" si="13"/>
        <v>240.98</v>
      </c>
      <c r="DD27" s="229">
        <f t="shared" si="13"/>
        <v>240.98</v>
      </c>
      <c r="DE27" s="229">
        <f t="shared" si="13"/>
        <v>240.98</v>
      </c>
      <c r="DF27" s="229">
        <f t="shared" si="13"/>
        <v>240.98</v>
      </c>
      <c r="DG27" s="229">
        <f t="shared" si="13"/>
        <v>240.98</v>
      </c>
      <c r="DH27" s="229">
        <f t="shared" si="13"/>
        <v>240.98</v>
      </c>
      <c r="DI27" s="229">
        <f t="shared" si="13"/>
        <v>240.98</v>
      </c>
      <c r="DJ27" s="229">
        <f t="shared" si="13"/>
        <v>240.98</v>
      </c>
      <c r="DK27" s="229">
        <f t="shared" si="13"/>
        <v>240.98</v>
      </c>
      <c r="DL27" s="229">
        <f t="shared" si="13"/>
        <v>240.98</v>
      </c>
      <c r="DM27" s="229">
        <f t="shared" si="13"/>
        <v>240.98</v>
      </c>
      <c r="DN27" s="229">
        <f t="shared" si="13"/>
        <v>240.98</v>
      </c>
      <c r="DO27" s="229">
        <f t="shared" si="13"/>
        <v>240.98</v>
      </c>
      <c r="DP27" s="229">
        <f t="shared" si="13"/>
        <v>240.98</v>
      </c>
      <c r="DQ27" s="229">
        <f t="shared" si="13"/>
        <v>240.98</v>
      </c>
      <c r="DR27" s="229">
        <f t="shared" si="13"/>
        <v>240.98</v>
      </c>
      <c r="DS27" s="229">
        <f t="shared" si="13"/>
        <v>240.98</v>
      </c>
      <c r="DT27" s="229">
        <f t="shared" si="13"/>
        <v>240.98</v>
      </c>
      <c r="DU27" s="229">
        <f t="shared" si="13"/>
        <v>240.98</v>
      </c>
      <c r="DV27" s="229">
        <f t="shared" si="13"/>
        <v>240.98</v>
      </c>
      <c r="DW27" s="229">
        <f t="shared" si="13"/>
        <v>240.98</v>
      </c>
      <c r="DX27" s="229">
        <f t="shared" si="13"/>
        <v>240.98</v>
      </c>
      <c r="DY27" s="229">
        <f t="shared" si="13"/>
        <v>240.98</v>
      </c>
      <c r="DZ27" s="229">
        <f t="shared" si="13"/>
        <v>240.98</v>
      </c>
      <c r="EA27" s="229">
        <f t="shared" si="13"/>
        <v>240.98</v>
      </c>
      <c r="EB27" s="229">
        <f t="shared" si="13"/>
        <v>240.98</v>
      </c>
      <c r="EC27" s="229">
        <f t="shared" si="13"/>
        <v>240.98</v>
      </c>
      <c r="ED27" s="229">
        <f t="shared" si="13"/>
        <v>240.98</v>
      </c>
      <c r="EE27" s="229">
        <f t="shared" si="13"/>
        <v>240.98</v>
      </c>
      <c r="EF27" s="229">
        <f t="shared" ref="EF27:EH27" si="14">EE29</f>
        <v>240.98</v>
      </c>
      <c r="EG27" s="229">
        <f t="shared" si="14"/>
        <v>240.98</v>
      </c>
      <c r="EH27" s="229">
        <f t="shared" si="14"/>
        <v>240.98</v>
      </c>
      <c r="EK27" s="280"/>
    </row>
    <row r="28" spans="1:141" x14ac:dyDescent="0.3">
      <c r="A28" s="241" t="s">
        <v>2374</v>
      </c>
      <c r="B28" s="241"/>
      <c r="C28" s="241"/>
      <c r="D28" s="241"/>
      <c r="E28" s="677"/>
      <c r="F28" s="677">
        <f t="shared" ref="F28:BB28" si="15">MarketRateUnits/Units*F$35</f>
        <v>0</v>
      </c>
      <c r="G28" s="638">
        <f t="shared" si="15"/>
        <v>0</v>
      </c>
      <c r="H28" s="638">
        <f t="shared" si="15"/>
        <v>0</v>
      </c>
      <c r="I28" s="638">
        <f t="shared" si="15"/>
        <v>0</v>
      </c>
      <c r="J28" s="638">
        <f t="shared" si="15"/>
        <v>0</v>
      </c>
      <c r="K28" s="638">
        <f t="shared" si="15"/>
        <v>0</v>
      </c>
      <c r="L28" s="638">
        <f t="shared" si="15"/>
        <v>0</v>
      </c>
      <c r="M28" s="638">
        <f>MarketRateUnits/Units*M$35</f>
        <v>0</v>
      </c>
      <c r="N28" s="638">
        <f t="shared" si="15"/>
        <v>0</v>
      </c>
      <c r="O28" s="638">
        <f t="shared" si="15"/>
        <v>0</v>
      </c>
      <c r="P28" s="638">
        <f t="shared" si="15"/>
        <v>0</v>
      </c>
      <c r="Q28" s="638">
        <f t="shared" si="15"/>
        <v>0</v>
      </c>
      <c r="R28" s="638">
        <f t="shared" si="15"/>
        <v>0</v>
      </c>
      <c r="S28" s="638">
        <f t="shared" si="15"/>
        <v>0</v>
      </c>
      <c r="T28" s="638">
        <f t="shared" si="15"/>
        <v>14.4</v>
      </c>
      <c r="U28" s="638">
        <f t="shared" si="15"/>
        <v>14.4</v>
      </c>
      <c r="V28" s="638">
        <f t="shared" si="15"/>
        <v>14.4</v>
      </c>
      <c r="W28" s="638">
        <f t="shared" si="15"/>
        <v>14.4</v>
      </c>
      <c r="X28" s="638">
        <f t="shared" si="15"/>
        <v>14.4</v>
      </c>
      <c r="Y28" s="638">
        <f t="shared" si="15"/>
        <v>21.599999999999998</v>
      </c>
      <c r="Z28" s="638">
        <f t="shared" si="15"/>
        <v>21.599999999999998</v>
      </c>
      <c r="AA28" s="638">
        <f t="shared" si="15"/>
        <v>21.599999999999998</v>
      </c>
      <c r="AB28" s="638">
        <f t="shared" si="15"/>
        <v>21.599999999999998</v>
      </c>
      <c r="AC28" s="638">
        <f t="shared" si="15"/>
        <v>21.599999999999998</v>
      </c>
      <c r="AD28" s="638">
        <f t="shared" si="15"/>
        <v>21.599999999999998</v>
      </c>
      <c r="AE28" s="638">
        <f t="shared" si="15"/>
        <v>14.4</v>
      </c>
      <c r="AF28" s="638">
        <f t="shared" si="15"/>
        <v>14.4</v>
      </c>
      <c r="AG28" s="638">
        <f t="shared" si="15"/>
        <v>10.580000000000013</v>
      </c>
      <c r="AH28" s="638">
        <f t="shared" si="15"/>
        <v>0</v>
      </c>
      <c r="AI28" s="638">
        <f t="shared" si="15"/>
        <v>0</v>
      </c>
      <c r="AJ28" s="638">
        <f t="shared" si="15"/>
        <v>0</v>
      </c>
      <c r="AK28" s="638">
        <f t="shared" si="15"/>
        <v>0</v>
      </c>
      <c r="AL28" s="638">
        <f t="shared" si="15"/>
        <v>0</v>
      </c>
      <c r="AM28" s="638">
        <f t="shared" si="15"/>
        <v>0</v>
      </c>
      <c r="AN28" s="638">
        <f t="shared" si="15"/>
        <v>0</v>
      </c>
      <c r="AO28" s="638">
        <f t="shared" si="15"/>
        <v>0</v>
      </c>
      <c r="AP28" s="638">
        <f t="shared" si="15"/>
        <v>0</v>
      </c>
      <c r="AQ28" s="638">
        <f t="shared" si="15"/>
        <v>0</v>
      </c>
      <c r="AR28" s="638">
        <f t="shared" si="15"/>
        <v>0</v>
      </c>
      <c r="AS28" s="638">
        <f t="shared" si="15"/>
        <v>0</v>
      </c>
      <c r="AT28" s="638">
        <f t="shared" si="15"/>
        <v>0</v>
      </c>
      <c r="AU28" s="638">
        <f t="shared" si="15"/>
        <v>0</v>
      </c>
      <c r="AV28" s="638">
        <f t="shared" si="15"/>
        <v>0</v>
      </c>
      <c r="AW28" s="638">
        <f t="shared" si="15"/>
        <v>0</v>
      </c>
      <c r="AX28" s="638">
        <f t="shared" si="15"/>
        <v>0</v>
      </c>
      <c r="AY28" s="638">
        <f t="shared" si="15"/>
        <v>0</v>
      </c>
      <c r="AZ28" s="638">
        <f t="shared" si="15"/>
        <v>0</v>
      </c>
      <c r="BA28" s="638">
        <f t="shared" si="15"/>
        <v>0</v>
      </c>
      <c r="BB28" s="638">
        <f t="shared" si="15"/>
        <v>0</v>
      </c>
      <c r="BC28" s="637">
        <f t="shared" ref="BC28:BQ28" si="16">MarketRateUnits/Units*BC$35</f>
        <v>0</v>
      </c>
      <c r="BD28" s="637">
        <f t="shared" si="16"/>
        <v>0</v>
      </c>
      <c r="BE28" s="637">
        <f t="shared" si="16"/>
        <v>0</v>
      </c>
      <c r="BF28" s="637">
        <f t="shared" si="16"/>
        <v>0</v>
      </c>
      <c r="BG28" s="637">
        <f t="shared" si="16"/>
        <v>0</v>
      </c>
      <c r="BH28" s="637">
        <f t="shared" si="16"/>
        <v>0</v>
      </c>
      <c r="BI28" s="637">
        <f t="shared" si="16"/>
        <v>0</v>
      </c>
      <c r="BJ28" s="637">
        <f t="shared" si="16"/>
        <v>0</v>
      </c>
      <c r="BK28" s="637">
        <f t="shared" si="16"/>
        <v>0</v>
      </c>
      <c r="BL28" s="637">
        <f t="shared" si="16"/>
        <v>0</v>
      </c>
      <c r="BM28" s="637">
        <f t="shared" si="16"/>
        <v>0</v>
      </c>
      <c r="BN28" s="637">
        <f t="shared" si="16"/>
        <v>0</v>
      </c>
      <c r="BO28" s="637">
        <f t="shared" si="16"/>
        <v>0</v>
      </c>
      <c r="BP28" s="637">
        <f t="shared" si="16"/>
        <v>0</v>
      </c>
      <c r="BQ28" s="637">
        <f t="shared" si="16"/>
        <v>0</v>
      </c>
      <c r="BR28" s="637">
        <f t="shared" ref="BR28:CW28" si="17">MarketRateUnits/Units*BR$35</f>
        <v>0</v>
      </c>
      <c r="BS28" s="637">
        <f t="shared" si="17"/>
        <v>0</v>
      </c>
      <c r="BT28" s="637">
        <f t="shared" si="17"/>
        <v>0</v>
      </c>
      <c r="BU28" s="637">
        <f t="shared" si="17"/>
        <v>0</v>
      </c>
      <c r="BV28" s="637">
        <f t="shared" si="17"/>
        <v>0</v>
      </c>
      <c r="BW28" s="637">
        <f t="shared" si="17"/>
        <v>0</v>
      </c>
      <c r="BX28" s="637">
        <f t="shared" si="17"/>
        <v>0</v>
      </c>
      <c r="BY28" s="637">
        <f t="shared" si="17"/>
        <v>0</v>
      </c>
      <c r="BZ28" s="637">
        <f t="shared" si="17"/>
        <v>0</v>
      </c>
      <c r="CA28" s="637">
        <f t="shared" si="17"/>
        <v>0</v>
      </c>
      <c r="CB28" s="637">
        <f t="shared" si="17"/>
        <v>0</v>
      </c>
      <c r="CC28" s="637">
        <f t="shared" si="17"/>
        <v>0</v>
      </c>
      <c r="CD28" s="637">
        <f t="shared" si="17"/>
        <v>0</v>
      </c>
      <c r="CE28" s="637">
        <f t="shared" si="17"/>
        <v>0</v>
      </c>
      <c r="CF28" s="637">
        <f t="shared" si="17"/>
        <v>0</v>
      </c>
      <c r="CG28" s="637">
        <f t="shared" si="17"/>
        <v>0</v>
      </c>
      <c r="CH28" s="637">
        <f t="shared" si="17"/>
        <v>0</v>
      </c>
      <c r="CI28" s="637">
        <f t="shared" si="17"/>
        <v>0</v>
      </c>
      <c r="CJ28" s="637">
        <f t="shared" si="17"/>
        <v>0</v>
      </c>
      <c r="CK28" s="637">
        <f t="shared" si="17"/>
        <v>0</v>
      </c>
      <c r="CL28" s="637">
        <f t="shared" si="17"/>
        <v>0</v>
      </c>
      <c r="CM28" s="637">
        <f t="shared" si="17"/>
        <v>0</v>
      </c>
      <c r="CN28" s="637">
        <f t="shared" si="17"/>
        <v>0</v>
      </c>
      <c r="CO28" s="637">
        <f t="shared" si="17"/>
        <v>0</v>
      </c>
      <c r="CP28" s="637">
        <f t="shared" si="17"/>
        <v>0</v>
      </c>
      <c r="CQ28" s="637">
        <f t="shared" si="17"/>
        <v>0</v>
      </c>
      <c r="CR28" s="637">
        <f t="shared" si="17"/>
        <v>0</v>
      </c>
      <c r="CS28" s="637">
        <f t="shared" si="17"/>
        <v>0</v>
      </c>
      <c r="CT28" s="637">
        <f t="shared" si="17"/>
        <v>0</v>
      </c>
      <c r="CU28" s="637">
        <f t="shared" si="17"/>
        <v>0</v>
      </c>
      <c r="CV28" s="637">
        <f t="shared" si="17"/>
        <v>0</v>
      </c>
      <c r="CW28" s="637">
        <f t="shared" si="17"/>
        <v>0</v>
      </c>
      <c r="CX28" s="637">
        <f t="shared" ref="CX28:EH28" si="18">MarketRateUnits/Units*CX$35</f>
        <v>0</v>
      </c>
      <c r="CY28" s="637">
        <f t="shared" si="18"/>
        <v>0</v>
      </c>
      <c r="CZ28" s="637">
        <f t="shared" si="18"/>
        <v>0</v>
      </c>
      <c r="DA28" s="637">
        <f t="shared" si="18"/>
        <v>0</v>
      </c>
      <c r="DB28" s="637">
        <f t="shared" si="18"/>
        <v>0</v>
      </c>
      <c r="DC28" s="637">
        <f t="shared" si="18"/>
        <v>0</v>
      </c>
      <c r="DD28" s="637">
        <f t="shared" si="18"/>
        <v>0</v>
      </c>
      <c r="DE28" s="637">
        <f t="shared" si="18"/>
        <v>0</v>
      </c>
      <c r="DF28" s="637">
        <f t="shared" si="18"/>
        <v>0</v>
      </c>
      <c r="DG28" s="637">
        <f t="shared" si="18"/>
        <v>0</v>
      </c>
      <c r="DH28" s="637">
        <f t="shared" si="18"/>
        <v>0</v>
      </c>
      <c r="DI28" s="637">
        <f t="shared" si="18"/>
        <v>0</v>
      </c>
      <c r="DJ28" s="637">
        <f t="shared" si="18"/>
        <v>0</v>
      </c>
      <c r="DK28" s="637">
        <f t="shared" si="18"/>
        <v>0</v>
      </c>
      <c r="DL28" s="637">
        <f t="shared" si="18"/>
        <v>0</v>
      </c>
      <c r="DM28" s="637">
        <f t="shared" si="18"/>
        <v>0</v>
      </c>
      <c r="DN28" s="637">
        <f t="shared" si="18"/>
        <v>0</v>
      </c>
      <c r="DO28" s="637">
        <f t="shared" si="18"/>
        <v>0</v>
      </c>
      <c r="DP28" s="637">
        <f t="shared" si="18"/>
        <v>0</v>
      </c>
      <c r="DQ28" s="637">
        <f t="shared" si="18"/>
        <v>0</v>
      </c>
      <c r="DR28" s="637">
        <f t="shared" si="18"/>
        <v>0</v>
      </c>
      <c r="DS28" s="637">
        <f t="shared" si="18"/>
        <v>0</v>
      </c>
      <c r="DT28" s="637">
        <f t="shared" si="18"/>
        <v>0</v>
      </c>
      <c r="DU28" s="637">
        <f t="shared" si="18"/>
        <v>0</v>
      </c>
      <c r="DV28" s="637">
        <f t="shared" si="18"/>
        <v>0</v>
      </c>
      <c r="DW28" s="637">
        <f t="shared" si="18"/>
        <v>0</v>
      </c>
      <c r="DX28" s="637">
        <f t="shared" si="18"/>
        <v>0</v>
      </c>
      <c r="DY28" s="637">
        <f t="shared" si="18"/>
        <v>0</v>
      </c>
      <c r="DZ28" s="637">
        <f t="shared" si="18"/>
        <v>0</v>
      </c>
      <c r="EA28" s="637">
        <f t="shared" si="18"/>
        <v>0</v>
      </c>
      <c r="EB28" s="637">
        <f t="shared" si="18"/>
        <v>0</v>
      </c>
      <c r="EC28" s="637">
        <f t="shared" si="18"/>
        <v>0</v>
      </c>
      <c r="ED28" s="637">
        <f t="shared" si="18"/>
        <v>0</v>
      </c>
      <c r="EE28" s="637">
        <f t="shared" si="18"/>
        <v>0</v>
      </c>
      <c r="EF28" s="637">
        <f t="shared" si="18"/>
        <v>0</v>
      </c>
      <c r="EG28" s="637">
        <f t="shared" si="18"/>
        <v>0</v>
      </c>
      <c r="EH28" s="637">
        <f t="shared" si="18"/>
        <v>0</v>
      </c>
      <c r="EK28" s="672"/>
    </row>
    <row r="29" spans="1:141" x14ac:dyDescent="0.3">
      <c r="A29" s="639" t="s">
        <v>2375</v>
      </c>
      <c r="E29" s="647"/>
      <c r="F29" s="647"/>
      <c r="G29" s="229">
        <v>0</v>
      </c>
      <c r="H29" s="229">
        <f t="shared" ref="H29:BS29" si="19">H28+G29</f>
        <v>0</v>
      </c>
      <c r="I29" s="229">
        <f t="shared" si="19"/>
        <v>0</v>
      </c>
      <c r="J29" s="229">
        <f t="shared" si="19"/>
        <v>0</v>
      </c>
      <c r="K29" s="229">
        <f t="shared" si="19"/>
        <v>0</v>
      </c>
      <c r="L29" s="229">
        <f t="shared" si="19"/>
        <v>0</v>
      </c>
      <c r="M29" s="229">
        <f t="shared" si="19"/>
        <v>0</v>
      </c>
      <c r="N29" s="229">
        <f t="shared" si="19"/>
        <v>0</v>
      </c>
      <c r="O29" s="229">
        <f t="shared" si="19"/>
        <v>0</v>
      </c>
      <c r="P29" s="229">
        <f t="shared" si="19"/>
        <v>0</v>
      </c>
      <c r="Q29" s="229">
        <f t="shared" si="19"/>
        <v>0</v>
      </c>
      <c r="R29" s="229">
        <f t="shared" si="19"/>
        <v>0</v>
      </c>
      <c r="S29" s="229">
        <f t="shared" si="19"/>
        <v>0</v>
      </c>
      <c r="T29" s="229">
        <f t="shared" si="19"/>
        <v>14.4</v>
      </c>
      <c r="U29" s="229">
        <f t="shared" si="19"/>
        <v>28.8</v>
      </c>
      <c r="V29" s="229">
        <f t="shared" si="19"/>
        <v>43.2</v>
      </c>
      <c r="W29" s="229">
        <f t="shared" si="19"/>
        <v>57.6</v>
      </c>
      <c r="X29" s="229">
        <f t="shared" si="19"/>
        <v>72</v>
      </c>
      <c r="Y29" s="229">
        <f t="shared" si="19"/>
        <v>93.6</v>
      </c>
      <c r="Z29" s="229">
        <f t="shared" si="19"/>
        <v>115.19999999999999</v>
      </c>
      <c r="AA29" s="229">
        <f t="shared" si="19"/>
        <v>136.79999999999998</v>
      </c>
      <c r="AB29" s="229">
        <f t="shared" si="19"/>
        <v>158.39999999999998</v>
      </c>
      <c r="AC29" s="229">
        <f t="shared" si="19"/>
        <v>179.99999999999997</v>
      </c>
      <c r="AD29" s="229">
        <f t="shared" si="19"/>
        <v>201.59999999999997</v>
      </c>
      <c r="AE29" s="229">
        <f t="shared" si="19"/>
        <v>215.99999999999997</v>
      </c>
      <c r="AF29" s="229">
        <f t="shared" si="19"/>
        <v>230.39999999999998</v>
      </c>
      <c r="AG29" s="229">
        <f t="shared" si="19"/>
        <v>240.98</v>
      </c>
      <c r="AH29" s="229">
        <f t="shared" si="19"/>
        <v>240.98</v>
      </c>
      <c r="AI29" s="229">
        <f t="shared" si="19"/>
        <v>240.98</v>
      </c>
      <c r="AJ29" s="229">
        <f t="shared" si="19"/>
        <v>240.98</v>
      </c>
      <c r="AK29" s="229">
        <f t="shared" si="19"/>
        <v>240.98</v>
      </c>
      <c r="AL29" s="229">
        <f t="shared" si="19"/>
        <v>240.98</v>
      </c>
      <c r="AM29" s="229">
        <f t="shared" si="19"/>
        <v>240.98</v>
      </c>
      <c r="AN29" s="229">
        <f t="shared" si="19"/>
        <v>240.98</v>
      </c>
      <c r="AO29" s="229">
        <f t="shared" si="19"/>
        <v>240.98</v>
      </c>
      <c r="AP29" s="229">
        <f t="shared" si="19"/>
        <v>240.98</v>
      </c>
      <c r="AQ29" s="229">
        <f t="shared" si="19"/>
        <v>240.98</v>
      </c>
      <c r="AR29" s="229">
        <f t="shared" si="19"/>
        <v>240.98</v>
      </c>
      <c r="AS29" s="229">
        <f t="shared" si="19"/>
        <v>240.98</v>
      </c>
      <c r="AT29" s="229">
        <f t="shared" si="19"/>
        <v>240.98</v>
      </c>
      <c r="AU29" s="229">
        <f t="shared" si="19"/>
        <v>240.98</v>
      </c>
      <c r="AV29" s="229">
        <f t="shared" si="19"/>
        <v>240.98</v>
      </c>
      <c r="AW29" s="229">
        <f t="shared" si="19"/>
        <v>240.98</v>
      </c>
      <c r="AX29" s="229">
        <f t="shared" si="19"/>
        <v>240.98</v>
      </c>
      <c r="AY29" s="229">
        <f t="shared" si="19"/>
        <v>240.98</v>
      </c>
      <c r="AZ29" s="229">
        <f t="shared" si="19"/>
        <v>240.98</v>
      </c>
      <c r="BA29" s="229">
        <f t="shared" si="19"/>
        <v>240.98</v>
      </c>
      <c r="BB29" s="229">
        <f t="shared" si="19"/>
        <v>240.98</v>
      </c>
      <c r="BC29" s="229">
        <f t="shared" si="19"/>
        <v>240.98</v>
      </c>
      <c r="BD29" s="229">
        <f t="shared" si="19"/>
        <v>240.98</v>
      </c>
      <c r="BE29" s="229">
        <f t="shared" si="19"/>
        <v>240.98</v>
      </c>
      <c r="BF29" s="229">
        <f t="shared" si="19"/>
        <v>240.98</v>
      </c>
      <c r="BG29" s="229">
        <f t="shared" si="19"/>
        <v>240.98</v>
      </c>
      <c r="BH29" s="229">
        <f t="shared" si="19"/>
        <v>240.98</v>
      </c>
      <c r="BI29" s="229">
        <f t="shared" si="19"/>
        <v>240.98</v>
      </c>
      <c r="BJ29" s="229">
        <f t="shared" si="19"/>
        <v>240.98</v>
      </c>
      <c r="BK29" s="229">
        <f t="shared" si="19"/>
        <v>240.98</v>
      </c>
      <c r="BL29" s="229">
        <f t="shared" si="19"/>
        <v>240.98</v>
      </c>
      <c r="BM29" s="229">
        <f t="shared" si="19"/>
        <v>240.98</v>
      </c>
      <c r="BN29" s="229">
        <f t="shared" si="19"/>
        <v>240.98</v>
      </c>
      <c r="BO29" s="229">
        <f t="shared" si="19"/>
        <v>240.98</v>
      </c>
      <c r="BP29" s="229">
        <f t="shared" si="19"/>
        <v>240.98</v>
      </c>
      <c r="BQ29" s="229">
        <f t="shared" si="19"/>
        <v>240.98</v>
      </c>
      <c r="BR29" s="229">
        <f t="shared" si="19"/>
        <v>240.98</v>
      </c>
      <c r="BS29" s="229">
        <f t="shared" si="19"/>
        <v>240.98</v>
      </c>
      <c r="BT29" s="229">
        <f t="shared" ref="BT29:EE29" si="20">BT28+BS29</f>
        <v>240.98</v>
      </c>
      <c r="BU29" s="229">
        <f t="shared" si="20"/>
        <v>240.98</v>
      </c>
      <c r="BV29" s="229">
        <f t="shared" si="20"/>
        <v>240.98</v>
      </c>
      <c r="BW29" s="229">
        <f t="shared" si="20"/>
        <v>240.98</v>
      </c>
      <c r="BX29" s="229">
        <f t="shared" si="20"/>
        <v>240.98</v>
      </c>
      <c r="BY29" s="229">
        <f t="shared" si="20"/>
        <v>240.98</v>
      </c>
      <c r="BZ29" s="229">
        <f t="shared" si="20"/>
        <v>240.98</v>
      </c>
      <c r="CA29" s="229">
        <f t="shared" si="20"/>
        <v>240.98</v>
      </c>
      <c r="CB29" s="229">
        <f t="shared" si="20"/>
        <v>240.98</v>
      </c>
      <c r="CC29" s="229">
        <f t="shared" si="20"/>
        <v>240.98</v>
      </c>
      <c r="CD29" s="229">
        <f t="shared" si="20"/>
        <v>240.98</v>
      </c>
      <c r="CE29" s="229">
        <f t="shared" si="20"/>
        <v>240.98</v>
      </c>
      <c r="CF29" s="229">
        <f t="shared" si="20"/>
        <v>240.98</v>
      </c>
      <c r="CG29" s="229">
        <f t="shared" si="20"/>
        <v>240.98</v>
      </c>
      <c r="CH29" s="229">
        <f t="shared" si="20"/>
        <v>240.98</v>
      </c>
      <c r="CI29" s="229">
        <f t="shared" si="20"/>
        <v>240.98</v>
      </c>
      <c r="CJ29" s="229">
        <f t="shared" si="20"/>
        <v>240.98</v>
      </c>
      <c r="CK29" s="229">
        <f t="shared" si="20"/>
        <v>240.98</v>
      </c>
      <c r="CL29" s="229">
        <f t="shared" si="20"/>
        <v>240.98</v>
      </c>
      <c r="CM29" s="229">
        <f t="shared" si="20"/>
        <v>240.98</v>
      </c>
      <c r="CN29" s="229">
        <f t="shared" si="20"/>
        <v>240.98</v>
      </c>
      <c r="CO29" s="229">
        <f t="shared" si="20"/>
        <v>240.98</v>
      </c>
      <c r="CP29" s="229">
        <f t="shared" si="20"/>
        <v>240.98</v>
      </c>
      <c r="CQ29" s="229">
        <f t="shared" si="20"/>
        <v>240.98</v>
      </c>
      <c r="CR29" s="229">
        <f t="shared" si="20"/>
        <v>240.98</v>
      </c>
      <c r="CS29" s="229">
        <f t="shared" si="20"/>
        <v>240.98</v>
      </c>
      <c r="CT29" s="229">
        <f t="shared" si="20"/>
        <v>240.98</v>
      </c>
      <c r="CU29" s="229">
        <f t="shared" si="20"/>
        <v>240.98</v>
      </c>
      <c r="CV29" s="229">
        <f t="shared" si="20"/>
        <v>240.98</v>
      </c>
      <c r="CW29" s="229">
        <f t="shared" si="20"/>
        <v>240.98</v>
      </c>
      <c r="CX29" s="229">
        <f t="shared" si="20"/>
        <v>240.98</v>
      </c>
      <c r="CY29" s="229">
        <f t="shared" si="20"/>
        <v>240.98</v>
      </c>
      <c r="CZ29" s="229">
        <f t="shared" si="20"/>
        <v>240.98</v>
      </c>
      <c r="DA29" s="229">
        <f t="shared" si="20"/>
        <v>240.98</v>
      </c>
      <c r="DB29" s="229">
        <f t="shared" si="20"/>
        <v>240.98</v>
      </c>
      <c r="DC29" s="229">
        <f t="shared" si="20"/>
        <v>240.98</v>
      </c>
      <c r="DD29" s="229">
        <f t="shared" si="20"/>
        <v>240.98</v>
      </c>
      <c r="DE29" s="229">
        <f t="shared" si="20"/>
        <v>240.98</v>
      </c>
      <c r="DF29" s="229">
        <f t="shared" si="20"/>
        <v>240.98</v>
      </c>
      <c r="DG29" s="229">
        <f t="shared" si="20"/>
        <v>240.98</v>
      </c>
      <c r="DH29" s="229">
        <f t="shared" si="20"/>
        <v>240.98</v>
      </c>
      <c r="DI29" s="229">
        <f t="shared" si="20"/>
        <v>240.98</v>
      </c>
      <c r="DJ29" s="229">
        <f t="shared" si="20"/>
        <v>240.98</v>
      </c>
      <c r="DK29" s="229">
        <f t="shared" si="20"/>
        <v>240.98</v>
      </c>
      <c r="DL29" s="229">
        <f t="shared" si="20"/>
        <v>240.98</v>
      </c>
      <c r="DM29" s="229">
        <f t="shared" si="20"/>
        <v>240.98</v>
      </c>
      <c r="DN29" s="229">
        <f t="shared" si="20"/>
        <v>240.98</v>
      </c>
      <c r="DO29" s="229">
        <f t="shared" si="20"/>
        <v>240.98</v>
      </c>
      <c r="DP29" s="229">
        <f t="shared" si="20"/>
        <v>240.98</v>
      </c>
      <c r="DQ29" s="229">
        <f t="shared" si="20"/>
        <v>240.98</v>
      </c>
      <c r="DR29" s="229">
        <f t="shared" si="20"/>
        <v>240.98</v>
      </c>
      <c r="DS29" s="229">
        <f t="shared" si="20"/>
        <v>240.98</v>
      </c>
      <c r="DT29" s="229">
        <f t="shared" si="20"/>
        <v>240.98</v>
      </c>
      <c r="DU29" s="229">
        <f t="shared" si="20"/>
        <v>240.98</v>
      </c>
      <c r="DV29" s="229">
        <f t="shared" si="20"/>
        <v>240.98</v>
      </c>
      <c r="DW29" s="229">
        <f t="shared" si="20"/>
        <v>240.98</v>
      </c>
      <c r="DX29" s="229">
        <f t="shared" si="20"/>
        <v>240.98</v>
      </c>
      <c r="DY29" s="229">
        <f t="shared" si="20"/>
        <v>240.98</v>
      </c>
      <c r="DZ29" s="229">
        <f t="shared" si="20"/>
        <v>240.98</v>
      </c>
      <c r="EA29" s="229">
        <f t="shared" si="20"/>
        <v>240.98</v>
      </c>
      <c r="EB29" s="229">
        <f t="shared" si="20"/>
        <v>240.98</v>
      </c>
      <c r="EC29" s="229">
        <f t="shared" si="20"/>
        <v>240.98</v>
      </c>
      <c r="ED29" s="229">
        <f t="shared" si="20"/>
        <v>240.98</v>
      </c>
      <c r="EE29" s="229">
        <f t="shared" si="20"/>
        <v>240.98</v>
      </c>
      <c r="EF29" s="229">
        <f>EF28+EE29</f>
        <v>240.98</v>
      </c>
      <c r="EG29" s="229">
        <f>EG28+EF29</f>
        <v>240.98</v>
      </c>
      <c r="EH29" s="229">
        <f>EH28+EG29</f>
        <v>240.98</v>
      </c>
      <c r="EK29" s="280"/>
    </row>
    <row r="30" spans="1:141" ht="7.5" customHeight="1" x14ac:dyDescent="0.3">
      <c r="G30" s="229"/>
      <c r="H30" s="229"/>
      <c r="I30" s="229"/>
      <c r="J30" s="229"/>
      <c r="K30" s="229"/>
      <c r="L30" s="229"/>
      <c r="M30" s="229"/>
      <c r="N30" s="229"/>
      <c r="O30" s="229"/>
      <c r="P30" s="229"/>
      <c r="Q30" s="229"/>
      <c r="R30" s="229"/>
      <c r="S30" s="229"/>
      <c r="T30" s="229"/>
      <c r="U30" s="229"/>
      <c r="V30" s="229"/>
      <c r="W30" s="229"/>
      <c r="X30" s="229"/>
      <c r="Y30" s="229"/>
      <c r="Z30" s="229"/>
      <c r="AA30" s="229"/>
      <c r="AB30" s="229"/>
      <c r="AC30" s="229"/>
      <c r="AD30" s="229"/>
      <c r="AE30" s="229"/>
      <c r="AF30" s="229"/>
      <c r="AG30" s="229"/>
      <c r="AH30" s="229"/>
      <c r="AI30" s="229"/>
      <c r="AJ30" s="229"/>
      <c r="AK30" s="229"/>
      <c r="AL30" s="229"/>
      <c r="AM30" s="229"/>
      <c r="AN30" s="229"/>
      <c r="AO30" s="229"/>
      <c r="AP30" s="229"/>
      <c r="AQ30" s="229"/>
      <c r="AR30" s="229"/>
      <c r="AS30" s="229"/>
      <c r="AT30" s="229"/>
      <c r="AU30" s="229"/>
      <c r="AV30" s="229"/>
      <c r="AW30" s="229"/>
      <c r="AX30" s="229"/>
      <c r="AY30" s="229"/>
      <c r="AZ30" s="229"/>
      <c r="BA30" s="229"/>
      <c r="BB30" s="229"/>
      <c r="BC30" s="229"/>
      <c r="BD30" s="229"/>
      <c r="BE30" s="229"/>
      <c r="BF30" s="229"/>
      <c r="BG30" s="229"/>
      <c r="BH30" s="229"/>
      <c r="BI30" s="229"/>
      <c r="BJ30" s="229"/>
      <c r="BK30" s="229"/>
      <c r="BL30" s="229"/>
      <c r="BM30" s="229"/>
      <c r="BN30" s="229"/>
      <c r="BO30" s="229"/>
      <c r="BP30" s="229"/>
      <c r="BQ30" s="229"/>
      <c r="BR30" s="229"/>
      <c r="BS30" s="229"/>
      <c r="BT30" s="229"/>
      <c r="BU30" s="229"/>
      <c r="BV30" s="229"/>
      <c r="BW30" s="229"/>
      <c r="BX30" s="229"/>
      <c r="BY30" s="229"/>
      <c r="BZ30" s="229"/>
      <c r="CA30" s="229"/>
      <c r="CB30" s="229"/>
      <c r="CC30" s="229"/>
      <c r="CD30" s="229"/>
      <c r="CE30" s="229"/>
      <c r="CF30" s="229"/>
      <c r="CG30" s="229"/>
      <c r="CH30" s="229"/>
      <c r="CI30" s="229"/>
      <c r="CJ30" s="229"/>
      <c r="CK30" s="229"/>
      <c r="CL30" s="229"/>
      <c r="CM30" s="229"/>
      <c r="CN30" s="229"/>
      <c r="CO30" s="229"/>
      <c r="CP30" s="229"/>
      <c r="CQ30" s="229"/>
      <c r="CR30" s="229"/>
      <c r="CS30" s="229"/>
      <c r="CT30" s="229"/>
      <c r="CU30" s="229"/>
      <c r="CV30" s="229"/>
      <c r="CW30" s="229"/>
      <c r="CX30" s="229"/>
      <c r="CY30" s="229"/>
      <c r="CZ30" s="229"/>
      <c r="DA30" s="229"/>
      <c r="DB30" s="229"/>
      <c r="DC30" s="229"/>
      <c r="DD30" s="229"/>
      <c r="DE30" s="229"/>
      <c r="DF30" s="229"/>
      <c r="DG30" s="229"/>
      <c r="DH30" s="229"/>
      <c r="DI30" s="229"/>
      <c r="DJ30" s="229"/>
      <c r="DK30" s="229"/>
      <c r="DL30" s="229"/>
      <c r="DM30" s="229"/>
      <c r="DN30" s="229"/>
      <c r="DO30" s="229"/>
      <c r="DP30" s="229"/>
      <c r="DQ30" s="229"/>
      <c r="DR30" s="229"/>
      <c r="DS30" s="229"/>
      <c r="DT30" s="229"/>
      <c r="DU30" s="229"/>
      <c r="DV30" s="229"/>
      <c r="DW30" s="229"/>
      <c r="DX30" s="229"/>
      <c r="DY30" s="229"/>
      <c r="DZ30" s="229"/>
      <c r="EA30" s="229"/>
      <c r="EB30" s="229"/>
      <c r="EC30" s="229"/>
      <c r="ED30" s="229"/>
      <c r="EE30" s="229"/>
      <c r="EF30" s="229"/>
      <c r="EG30" s="229"/>
      <c r="EH30" s="229"/>
      <c r="EK30" s="672"/>
    </row>
    <row r="31" spans="1:141" x14ac:dyDescent="0.3">
      <c r="A31" t="s">
        <v>2376</v>
      </c>
      <c r="E31" s="678"/>
      <c r="F31" s="678"/>
      <c r="G31" s="229">
        <f t="shared" ref="G31:BR31" si="21">F36</f>
        <v>0</v>
      </c>
      <c r="H31" s="229">
        <f t="shared" si="21"/>
        <v>0</v>
      </c>
      <c r="I31" s="229">
        <f t="shared" si="21"/>
        <v>0</v>
      </c>
      <c r="J31" s="229">
        <f t="shared" si="21"/>
        <v>0</v>
      </c>
      <c r="K31" s="229">
        <f t="shared" si="21"/>
        <v>0</v>
      </c>
      <c r="L31" s="229">
        <f t="shared" si="21"/>
        <v>0</v>
      </c>
      <c r="M31" s="229">
        <f t="shared" si="21"/>
        <v>0</v>
      </c>
      <c r="N31" s="229">
        <f t="shared" si="21"/>
        <v>0</v>
      </c>
      <c r="O31" s="229">
        <f t="shared" si="21"/>
        <v>0</v>
      </c>
      <c r="P31" s="229">
        <f t="shared" si="21"/>
        <v>0</v>
      </c>
      <c r="Q31" s="229">
        <f t="shared" si="21"/>
        <v>0</v>
      </c>
      <c r="R31" s="229">
        <f t="shared" si="21"/>
        <v>0</v>
      </c>
      <c r="S31" s="229">
        <f t="shared" si="21"/>
        <v>0</v>
      </c>
      <c r="T31" s="229">
        <f t="shared" si="21"/>
        <v>0</v>
      </c>
      <c r="U31" s="229">
        <f t="shared" si="21"/>
        <v>14.4</v>
      </c>
      <c r="V31" s="229">
        <f t="shared" si="21"/>
        <v>28.8</v>
      </c>
      <c r="W31" s="229">
        <f t="shared" si="21"/>
        <v>43.2</v>
      </c>
      <c r="X31" s="229">
        <f t="shared" si="21"/>
        <v>57.6</v>
      </c>
      <c r="Y31" s="229">
        <f t="shared" si="21"/>
        <v>72</v>
      </c>
      <c r="Z31" s="229">
        <f t="shared" si="21"/>
        <v>93.6</v>
      </c>
      <c r="AA31" s="229">
        <f t="shared" si="21"/>
        <v>115.19999999999999</v>
      </c>
      <c r="AB31" s="229">
        <f t="shared" si="21"/>
        <v>136.79999999999998</v>
      </c>
      <c r="AC31" s="229">
        <f t="shared" si="21"/>
        <v>158.39999999999998</v>
      </c>
      <c r="AD31" s="229">
        <f t="shared" si="21"/>
        <v>179.99999999999997</v>
      </c>
      <c r="AE31" s="229">
        <f t="shared" si="21"/>
        <v>201.59999999999997</v>
      </c>
      <c r="AF31" s="229">
        <f t="shared" si="21"/>
        <v>215.99999999999997</v>
      </c>
      <c r="AG31" s="229">
        <f t="shared" si="21"/>
        <v>230.39999999999998</v>
      </c>
      <c r="AH31" s="229">
        <f t="shared" si="21"/>
        <v>240.98</v>
      </c>
      <c r="AI31" s="229">
        <f t="shared" si="21"/>
        <v>240.98</v>
      </c>
      <c r="AJ31" s="229">
        <f t="shared" si="21"/>
        <v>240.98</v>
      </c>
      <c r="AK31" s="229">
        <f t="shared" si="21"/>
        <v>240.98</v>
      </c>
      <c r="AL31" s="229">
        <f t="shared" si="21"/>
        <v>240.98</v>
      </c>
      <c r="AM31" s="229">
        <f t="shared" si="21"/>
        <v>240.98</v>
      </c>
      <c r="AN31" s="229">
        <f t="shared" si="21"/>
        <v>240.98</v>
      </c>
      <c r="AO31" s="229">
        <f t="shared" si="21"/>
        <v>240.98</v>
      </c>
      <c r="AP31" s="229">
        <f t="shared" si="21"/>
        <v>240.98</v>
      </c>
      <c r="AQ31" s="229">
        <f t="shared" si="21"/>
        <v>240.98</v>
      </c>
      <c r="AR31" s="229">
        <f t="shared" si="21"/>
        <v>240.98</v>
      </c>
      <c r="AS31" s="229">
        <f t="shared" si="21"/>
        <v>240.98</v>
      </c>
      <c r="AT31" s="229">
        <f t="shared" si="21"/>
        <v>240.98</v>
      </c>
      <c r="AU31" s="229">
        <f t="shared" si="21"/>
        <v>240.98</v>
      </c>
      <c r="AV31" s="229">
        <f t="shared" si="21"/>
        <v>240.98</v>
      </c>
      <c r="AW31" s="229">
        <f t="shared" si="21"/>
        <v>240.98</v>
      </c>
      <c r="AX31" s="229">
        <f t="shared" si="21"/>
        <v>240.98</v>
      </c>
      <c r="AY31" s="229">
        <f t="shared" si="21"/>
        <v>240.98</v>
      </c>
      <c r="AZ31" s="229">
        <f t="shared" si="21"/>
        <v>240.98</v>
      </c>
      <c r="BA31" s="229">
        <f t="shared" si="21"/>
        <v>240.98</v>
      </c>
      <c r="BB31" s="229">
        <f t="shared" si="21"/>
        <v>240.98</v>
      </c>
      <c r="BC31" s="229">
        <f t="shared" si="21"/>
        <v>240.98</v>
      </c>
      <c r="BD31" s="229">
        <f t="shared" si="21"/>
        <v>240.98</v>
      </c>
      <c r="BE31" s="229">
        <f t="shared" si="21"/>
        <v>240.98</v>
      </c>
      <c r="BF31" s="229">
        <f t="shared" si="21"/>
        <v>240.98</v>
      </c>
      <c r="BG31" s="229">
        <f t="shared" si="21"/>
        <v>240.98</v>
      </c>
      <c r="BH31" s="229">
        <f t="shared" si="21"/>
        <v>240.98</v>
      </c>
      <c r="BI31" s="229">
        <f t="shared" si="21"/>
        <v>240.98</v>
      </c>
      <c r="BJ31" s="229">
        <f t="shared" si="21"/>
        <v>240.98</v>
      </c>
      <c r="BK31" s="229">
        <f t="shared" si="21"/>
        <v>240.98</v>
      </c>
      <c r="BL31" s="229">
        <f t="shared" si="21"/>
        <v>240.98</v>
      </c>
      <c r="BM31" s="229">
        <f t="shared" si="21"/>
        <v>240.98</v>
      </c>
      <c r="BN31" s="229">
        <f t="shared" si="21"/>
        <v>240.98</v>
      </c>
      <c r="BO31" s="229">
        <f t="shared" si="21"/>
        <v>240.98</v>
      </c>
      <c r="BP31" s="229">
        <f t="shared" si="21"/>
        <v>240.98</v>
      </c>
      <c r="BQ31" s="229">
        <f t="shared" si="21"/>
        <v>240.98</v>
      </c>
      <c r="BR31" s="229">
        <f t="shared" si="21"/>
        <v>240.98</v>
      </c>
      <c r="BS31" s="229">
        <f t="shared" ref="BS31:ED31" si="22">BR36</f>
        <v>240.98</v>
      </c>
      <c r="BT31" s="229">
        <f t="shared" si="22"/>
        <v>240.98</v>
      </c>
      <c r="BU31" s="229">
        <f t="shared" si="22"/>
        <v>240.98</v>
      </c>
      <c r="BV31" s="229">
        <f t="shared" si="22"/>
        <v>240.98</v>
      </c>
      <c r="BW31" s="229">
        <f t="shared" si="22"/>
        <v>240.98</v>
      </c>
      <c r="BX31" s="229">
        <f t="shared" si="22"/>
        <v>240.98</v>
      </c>
      <c r="BY31" s="229">
        <f t="shared" si="22"/>
        <v>240.98</v>
      </c>
      <c r="BZ31" s="229">
        <f t="shared" si="22"/>
        <v>240.98</v>
      </c>
      <c r="CA31" s="229">
        <f t="shared" si="22"/>
        <v>240.98</v>
      </c>
      <c r="CB31" s="229">
        <f t="shared" si="22"/>
        <v>240.98</v>
      </c>
      <c r="CC31" s="229">
        <f t="shared" si="22"/>
        <v>240.98</v>
      </c>
      <c r="CD31" s="229">
        <f t="shared" si="22"/>
        <v>240.98</v>
      </c>
      <c r="CE31" s="229">
        <f t="shared" si="22"/>
        <v>240.98</v>
      </c>
      <c r="CF31" s="229">
        <f t="shared" si="22"/>
        <v>240.98</v>
      </c>
      <c r="CG31" s="229">
        <f t="shared" si="22"/>
        <v>240.98</v>
      </c>
      <c r="CH31" s="229">
        <f t="shared" si="22"/>
        <v>240.98</v>
      </c>
      <c r="CI31" s="229">
        <f t="shared" si="22"/>
        <v>240.98</v>
      </c>
      <c r="CJ31" s="229">
        <f t="shared" si="22"/>
        <v>240.98</v>
      </c>
      <c r="CK31" s="229">
        <f t="shared" si="22"/>
        <v>240.98</v>
      </c>
      <c r="CL31" s="229">
        <f t="shared" si="22"/>
        <v>240.98</v>
      </c>
      <c r="CM31" s="229">
        <f t="shared" si="22"/>
        <v>240.98</v>
      </c>
      <c r="CN31" s="229">
        <f t="shared" si="22"/>
        <v>240.98</v>
      </c>
      <c r="CO31" s="229">
        <f t="shared" si="22"/>
        <v>240.98</v>
      </c>
      <c r="CP31" s="229">
        <f t="shared" si="22"/>
        <v>240.98</v>
      </c>
      <c r="CQ31" s="229">
        <f t="shared" si="22"/>
        <v>240.98</v>
      </c>
      <c r="CR31" s="229">
        <f t="shared" si="22"/>
        <v>240.98</v>
      </c>
      <c r="CS31" s="229">
        <f t="shared" si="22"/>
        <v>240.98</v>
      </c>
      <c r="CT31" s="229">
        <f t="shared" si="22"/>
        <v>240.98</v>
      </c>
      <c r="CU31" s="229">
        <f t="shared" si="22"/>
        <v>240.98</v>
      </c>
      <c r="CV31" s="229">
        <f t="shared" si="22"/>
        <v>240.98</v>
      </c>
      <c r="CW31" s="229">
        <f t="shared" si="22"/>
        <v>240.98</v>
      </c>
      <c r="CX31" s="229">
        <f t="shared" si="22"/>
        <v>240.98</v>
      </c>
      <c r="CY31" s="229">
        <f t="shared" si="22"/>
        <v>240.98</v>
      </c>
      <c r="CZ31" s="229">
        <f t="shared" si="22"/>
        <v>240.98</v>
      </c>
      <c r="DA31" s="229">
        <f t="shared" si="22"/>
        <v>240.98</v>
      </c>
      <c r="DB31" s="229">
        <f t="shared" si="22"/>
        <v>240.98</v>
      </c>
      <c r="DC31" s="229">
        <f t="shared" si="22"/>
        <v>240.98</v>
      </c>
      <c r="DD31" s="229">
        <f t="shared" si="22"/>
        <v>240.98</v>
      </c>
      <c r="DE31" s="229">
        <f t="shared" si="22"/>
        <v>240.98</v>
      </c>
      <c r="DF31" s="229">
        <f t="shared" si="22"/>
        <v>240.98</v>
      </c>
      <c r="DG31" s="229">
        <f t="shared" si="22"/>
        <v>240.98</v>
      </c>
      <c r="DH31" s="229">
        <f t="shared" si="22"/>
        <v>240.98</v>
      </c>
      <c r="DI31" s="229">
        <f t="shared" si="22"/>
        <v>240.98</v>
      </c>
      <c r="DJ31" s="229">
        <f t="shared" si="22"/>
        <v>240.98</v>
      </c>
      <c r="DK31" s="229">
        <f t="shared" si="22"/>
        <v>240.98</v>
      </c>
      <c r="DL31" s="229">
        <f t="shared" si="22"/>
        <v>240.98</v>
      </c>
      <c r="DM31" s="229">
        <f t="shared" si="22"/>
        <v>240.98</v>
      </c>
      <c r="DN31" s="229">
        <f t="shared" si="22"/>
        <v>240.98</v>
      </c>
      <c r="DO31" s="229">
        <f t="shared" si="22"/>
        <v>240.98</v>
      </c>
      <c r="DP31" s="229">
        <f t="shared" si="22"/>
        <v>240.98</v>
      </c>
      <c r="DQ31" s="229">
        <f t="shared" si="22"/>
        <v>240.98</v>
      </c>
      <c r="DR31" s="229">
        <f t="shared" si="22"/>
        <v>240.98</v>
      </c>
      <c r="DS31" s="229">
        <f t="shared" si="22"/>
        <v>240.98</v>
      </c>
      <c r="DT31" s="229">
        <f t="shared" si="22"/>
        <v>240.98</v>
      </c>
      <c r="DU31" s="229">
        <f t="shared" si="22"/>
        <v>240.98</v>
      </c>
      <c r="DV31" s="229">
        <f t="shared" si="22"/>
        <v>240.98</v>
      </c>
      <c r="DW31" s="229">
        <f t="shared" si="22"/>
        <v>240.98</v>
      </c>
      <c r="DX31" s="229">
        <f t="shared" si="22"/>
        <v>240.98</v>
      </c>
      <c r="DY31" s="229">
        <f t="shared" si="22"/>
        <v>240.98</v>
      </c>
      <c r="DZ31" s="229">
        <f t="shared" si="22"/>
        <v>240.98</v>
      </c>
      <c r="EA31" s="229">
        <f t="shared" si="22"/>
        <v>240.98</v>
      </c>
      <c r="EB31" s="229">
        <f t="shared" si="22"/>
        <v>240.98</v>
      </c>
      <c r="EC31" s="229">
        <f t="shared" si="22"/>
        <v>240.98</v>
      </c>
      <c r="ED31" s="229">
        <f t="shared" si="22"/>
        <v>240.98</v>
      </c>
      <c r="EE31" s="229">
        <f t="shared" ref="EE31:EH31" si="23">ED36</f>
        <v>240.98</v>
      </c>
      <c r="EF31" s="229">
        <f t="shared" si="23"/>
        <v>240.98</v>
      </c>
      <c r="EG31" s="229">
        <f t="shared" si="23"/>
        <v>240.98</v>
      </c>
      <c r="EH31" s="229">
        <f t="shared" si="23"/>
        <v>240.98</v>
      </c>
      <c r="EK31" s="280"/>
    </row>
    <row r="32" spans="1:141" s="282" customFormat="1" hidden="1" x14ac:dyDescent="0.3">
      <c r="A32" s="282" t="s">
        <v>2377</v>
      </c>
      <c r="E32" s="678"/>
      <c r="F32" s="678"/>
      <c r="G32" s="647">
        <f t="shared" ref="G32:BR32" si="24">IF(G19&gt;0,1,0)</f>
        <v>0</v>
      </c>
      <c r="H32" s="647">
        <f t="shared" si="24"/>
        <v>0</v>
      </c>
      <c r="I32" s="647">
        <f t="shared" si="24"/>
        <v>0</v>
      </c>
      <c r="J32" s="647">
        <f t="shared" si="24"/>
        <v>0</v>
      </c>
      <c r="K32" s="647">
        <f t="shared" si="24"/>
        <v>0</v>
      </c>
      <c r="L32" s="647">
        <f t="shared" si="24"/>
        <v>0</v>
      </c>
      <c r="M32" s="647">
        <f t="shared" si="24"/>
        <v>0</v>
      </c>
      <c r="N32" s="647">
        <f t="shared" si="24"/>
        <v>0</v>
      </c>
      <c r="O32" s="647">
        <f t="shared" si="24"/>
        <v>0</v>
      </c>
      <c r="P32" s="647">
        <f t="shared" si="24"/>
        <v>0</v>
      </c>
      <c r="Q32" s="647">
        <f t="shared" si="24"/>
        <v>0</v>
      </c>
      <c r="R32" s="647">
        <f t="shared" si="24"/>
        <v>0</v>
      </c>
      <c r="S32" s="647">
        <f t="shared" si="24"/>
        <v>0</v>
      </c>
      <c r="T32" s="647">
        <f t="shared" si="24"/>
        <v>1</v>
      </c>
      <c r="U32" s="647">
        <f t="shared" si="24"/>
        <v>1</v>
      </c>
      <c r="V32" s="647">
        <f t="shared" si="24"/>
        <v>1</v>
      </c>
      <c r="W32" s="647">
        <f t="shared" si="24"/>
        <v>1</v>
      </c>
      <c r="X32" s="647">
        <f t="shared" si="24"/>
        <v>1</v>
      </c>
      <c r="Y32" s="647">
        <f t="shared" si="24"/>
        <v>1</v>
      </c>
      <c r="Z32" s="647">
        <f t="shared" si="24"/>
        <v>1</v>
      </c>
      <c r="AA32" s="647">
        <f t="shared" si="24"/>
        <v>1</v>
      </c>
      <c r="AB32" s="647">
        <f t="shared" si="24"/>
        <v>1</v>
      </c>
      <c r="AC32" s="647">
        <f t="shared" si="24"/>
        <v>1</v>
      </c>
      <c r="AD32" s="647">
        <f t="shared" si="24"/>
        <v>1</v>
      </c>
      <c r="AE32" s="647">
        <f t="shared" si="24"/>
        <v>1</v>
      </c>
      <c r="AF32" s="647">
        <f t="shared" si="24"/>
        <v>1</v>
      </c>
      <c r="AG32" s="647">
        <f t="shared" si="24"/>
        <v>1</v>
      </c>
      <c r="AH32" s="647">
        <f t="shared" si="24"/>
        <v>1</v>
      </c>
      <c r="AI32" s="647">
        <f t="shared" si="24"/>
        <v>1</v>
      </c>
      <c r="AJ32" s="647">
        <f t="shared" si="24"/>
        <v>1</v>
      </c>
      <c r="AK32" s="647">
        <f t="shared" si="24"/>
        <v>1</v>
      </c>
      <c r="AL32" s="647">
        <f t="shared" si="24"/>
        <v>1</v>
      </c>
      <c r="AM32" s="647">
        <f t="shared" si="24"/>
        <v>1</v>
      </c>
      <c r="AN32" s="647">
        <f t="shared" si="24"/>
        <v>1</v>
      </c>
      <c r="AO32" s="647">
        <f t="shared" si="24"/>
        <v>1</v>
      </c>
      <c r="AP32" s="647">
        <f t="shared" si="24"/>
        <v>1</v>
      </c>
      <c r="AQ32" s="647">
        <f t="shared" si="24"/>
        <v>1</v>
      </c>
      <c r="AR32" s="647">
        <f t="shared" si="24"/>
        <v>1</v>
      </c>
      <c r="AS32" s="647">
        <f t="shared" si="24"/>
        <v>1</v>
      </c>
      <c r="AT32" s="647">
        <f t="shared" si="24"/>
        <v>1</v>
      </c>
      <c r="AU32" s="647">
        <f t="shared" si="24"/>
        <v>1</v>
      </c>
      <c r="AV32" s="647">
        <f t="shared" si="24"/>
        <v>1</v>
      </c>
      <c r="AW32" s="647">
        <f t="shared" si="24"/>
        <v>1</v>
      </c>
      <c r="AX32" s="647">
        <f t="shared" si="24"/>
        <v>1</v>
      </c>
      <c r="AY32" s="647">
        <f t="shared" si="24"/>
        <v>1</v>
      </c>
      <c r="AZ32" s="647">
        <f t="shared" si="24"/>
        <v>1</v>
      </c>
      <c r="BA32" s="647">
        <f t="shared" si="24"/>
        <v>1</v>
      </c>
      <c r="BB32" s="647">
        <f t="shared" si="24"/>
        <v>1</v>
      </c>
      <c r="BC32" s="647">
        <f t="shared" si="24"/>
        <v>1</v>
      </c>
      <c r="BD32" s="647">
        <f t="shared" si="24"/>
        <v>1</v>
      </c>
      <c r="BE32" s="647">
        <f t="shared" si="24"/>
        <v>1</v>
      </c>
      <c r="BF32" s="647">
        <f t="shared" si="24"/>
        <v>1</v>
      </c>
      <c r="BG32" s="647">
        <f t="shared" si="24"/>
        <v>1</v>
      </c>
      <c r="BH32" s="647">
        <f t="shared" si="24"/>
        <v>1</v>
      </c>
      <c r="BI32" s="647">
        <f t="shared" si="24"/>
        <v>1</v>
      </c>
      <c r="BJ32" s="647">
        <f t="shared" si="24"/>
        <v>1</v>
      </c>
      <c r="BK32" s="647">
        <f t="shared" si="24"/>
        <v>1</v>
      </c>
      <c r="BL32" s="647">
        <f t="shared" si="24"/>
        <v>1</v>
      </c>
      <c r="BM32" s="647">
        <f t="shared" si="24"/>
        <v>1</v>
      </c>
      <c r="BN32" s="647">
        <f t="shared" si="24"/>
        <v>1</v>
      </c>
      <c r="BO32" s="647">
        <f t="shared" si="24"/>
        <v>1</v>
      </c>
      <c r="BP32" s="647">
        <f t="shared" si="24"/>
        <v>1</v>
      </c>
      <c r="BQ32" s="647">
        <f t="shared" si="24"/>
        <v>1</v>
      </c>
      <c r="BR32" s="647">
        <f t="shared" si="24"/>
        <v>1</v>
      </c>
      <c r="BS32" s="647">
        <f t="shared" ref="BS32:ED32" si="25">IF(BS19&gt;0,1,0)</f>
        <v>1</v>
      </c>
      <c r="BT32" s="647">
        <f t="shared" si="25"/>
        <v>1</v>
      </c>
      <c r="BU32" s="647">
        <f t="shared" si="25"/>
        <v>1</v>
      </c>
      <c r="BV32" s="647">
        <f t="shared" si="25"/>
        <v>1</v>
      </c>
      <c r="BW32" s="647">
        <f t="shared" si="25"/>
        <v>1</v>
      </c>
      <c r="BX32" s="647">
        <f t="shared" si="25"/>
        <v>1</v>
      </c>
      <c r="BY32" s="647">
        <f t="shared" si="25"/>
        <v>1</v>
      </c>
      <c r="BZ32" s="647">
        <f t="shared" si="25"/>
        <v>1</v>
      </c>
      <c r="CA32" s="647">
        <f t="shared" si="25"/>
        <v>1</v>
      </c>
      <c r="CB32" s="647">
        <f t="shared" si="25"/>
        <v>1</v>
      </c>
      <c r="CC32" s="647">
        <f t="shared" si="25"/>
        <v>1</v>
      </c>
      <c r="CD32" s="647">
        <f t="shared" si="25"/>
        <v>1</v>
      </c>
      <c r="CE32" s="647">
        <f t="shared" si="25"/>
        <v>1</v>
      </c>
      <c r="CF32" s="647">
        <f t="shared" si="25"/>
        <v>1</v>
      </c>
      <c r="CG32" s="647">
        <f t="shared" si="25"/>
        <v>1</v>
      </c>
      <c r="CH32" s="647">
        <f t="shared" si="25"/>
        <v>1</v>
      </c>
      <c r="CI32" s="647">
        <f t="shared" si="25"/>
        <v>1</v>
      </c>
      <c r="CJ32" s="647">
        <f t="shared" si="25"/>
        <v>1</v>
      </c>
      <c r="CK32" s="647">
        <f t="shared" si="25"/>
        <v>1</v>
      </c>
      <c r="CL32" s="647">
        <f t="shared" si="25"/>
        <v>1</v>
      </c>
      <c r="CM32" s="647">
        <f t="shared" si="25"/>
        <v>1</v>
      </c>
      <c r="CN32" s="647">
        <f t="shared" si="25"/>
        <v>1</v>
      </c>
      <c r="CO32" s="647">
        <f t="shared" si="25"/>
        <v>1</v>
      </c>
      <c r="CP32" s="647">
        <f t="shared" si="25"/>
        <v>1</v>
      </c>
      <c r="CQ32" s="647">
        <f t="shared" si="25"/>
        <v>1</v>
      </c>
      <c r="CR32" s="647">
        <f t="shared" si="25"/>
        <v>1</v>
      </c>
      <c r="CS32" s="647">
        <f t="shared" si="25"/>
        <v>1</v>
      </c>
      <c r="CT32" s="647">
        <f t="shared" si="25"/>
        <v>1</v>
      </c>
      <c r="CU32" s="647">
        <f t="shared" si="25"/>
        <v>1</v>
      </c>
      <c r="CV32" s="647">
        <f t="shared" si="25"/>
        <v>1</v>
      </c>
      <c r="CW32" s="647">
        <f t="shared" si="25"/>
        <v>1</v>
      </c>
      <c r="CX32" s="647">
        <f t="shared" si="25"/>
        <v>1</v>
      </c>
      <c r="CY32" s="647">
        <f t="shared" si="25"/>
        <v>1</v>
      </c>
      <c r="CZ32" s="647">
        <f t="shared" si="25"/>
        <v>1</v>
      </c>
      <c r="DA32" s="647">
        <f t="shared" si="25"/>
        <v>1</v>
      </c>
      <c r="DB32" s="647">
        <f t="shared" si="25"/>
        <v>1</v>
      </c>
      <c r="DC32" s="647">
        <f t="shared" si="25"/>
        <v>1</v>
      </c>
      <c r="DD32" s="647">
        <f t="shared" si="25"/>
        <v>1</v>
      </c>
      <c r="DE32" s="647">
        <f t="shared" si="25"/>
        <v>1</v>
      </c>
      <c r="DF32" s="647">
        <f t="shared" si="25"/>
        <v>1</v>
      </c>
      <c r="DG32" s="647">
        <f t="shared" si="25"/>
        <v>1</v>
      </c>
      <c r="DH32" s="647">
        <f t="shared" si="25"/>
        <v>1</v>
      </c>
      <c r="DI32" s="647">
        <f t="shared" si="25"/>
        <v>1</v>
      </c>
      <c r="DJ32" s="647">
        <f t="shared" si="25"/>
        <v>1</v>
      </c>
      <c r="DK32" s="647">
        <f t="shared" si="25"/>
        <v>1</v>
      </c>
      <c r="DL32" s="647">
        <f t="shared" si="25"/>
        <v>1</v>
      </c>
      <c r="DM32" s="647">
        <f t="shared" si="25"/>
        <v>1</v>
      </c>
      <c r="DN32" s="647">
        <f t="shared" si="25"/>
        <v>1</v>
      </c>
      <c r="DO32" s="647">
        <f t="shared" si="25"/>
        <v>1</v>
      </c>
      <c r="DP32" s="647">
        <f t="shared" si="25"/>
        <v>1</v>
      </c>
      <c r="DQ32" s="647">
        <f t="shared" si="25"/>
        <v>1</v>
      </c>
      <c r="DR32" s="647">
        <f t="shared" si="25"/>
        <v>1</v>
      </c>
      <c r="DS32" s="647">
        <f t="shared" si="25"/>
        <v>1</v>
      </c>
      <c r="DT32" s="647">
        <f t="shared" si="25"/>
        <v>1</v>
      </c>
      <c r="DU32" s="647">
        <f t="shared" si="25"/>
        <v>1</v>
      </c>
      <c r="DV32" s="647">
        <f t="shared" si="25"/>
        <v>1</v>
      </c>
      <c r="DW32" s="647">
        <f t="shared" si="25"/>
        <v>1</v>
      </c>
      <c r="DX32" s="647">
        <f t="shared" si="25"/>
        <v>1</v>
      </c>
      <c r="DY32" s="647">
        <f t="shared" si="25"/>
        <v>1</v>
      </c>
      <c r="DZ32" s="647">
        <f t="shared" si="25"/>
        <v>1</v>
      </c>
      <c r="EA32" s="647">
        <f t="shared" si="25"/>
        <v>1</v>
      </c>
      <c r="EB32" s="647">
        <f t="shared" si="25"/>
        <v>1</v>
      </c>
      <c r="EC32" s="647">
        <f t="shared" si="25"/>
        <v>1</v>
      </c>
      <c r="ED32" s="647">
        <f t="shared" si="25"/>
        <v>1</v>
      </c>
      <c r="EE32" s="647">
        <f t="shared" ref="EE32:EH32" si="26">IF(EE19&gt;0,1,0)</f>
        <v>1</v>
      </c>
      <c r="EF32" s="647">
        <f t="shared" si="26"/>
        <v>1</v>
      </c>
      <c r="EG32" s="647">
        <f t="shared" si="26"/>
        <v>1</v>
      </c>
      <c r="EH32" s="647">
        <f t="shared" si="26"/>
        <v>1</v>
      </c>
      <c r="EJ32" s="200"/>
      <c r="EK32" s="679"/>
    </row>
    <row r="33" spans="1:141" s="282" customFormat="1" hidden="1" x14ac:dyDescent="0.3">
      <c r="A33" s="282" t="s">
        <v>2378</v>
      </c>
      <c r="E33" s="678"/>
      <c r="F33" s="678"/>
      <c r="G33" s="647">
        <f t="shared" ref="G33:AL33" si="27">IF(G5&lt;=(MonthFirstUnits+(Units/Absorption)),1,0)</f>
        <v>1</v>
      </c>
      <c r="H33" s="647">
        <f t="shared" si="27"/>
        <v>1</v>
      </c>
      <c r="I33" s="647">
        <f t="shared" si="27"/>
        <v>1</v>
      </c>
      <c r="J33" s="647">
        <f t="shared" si="27"/>
        <v>1</v>
      </c>
      <c r="K33" s="647">
        <f t="shared" si="27"/>
        <v>1</v>
      </c>
      <c r="L33" s="647">
        <f t="shared" si="27"/>
        <v>1</v>
      </c>
      <c r="M33" s="647">
        <f t="shared" si="27"/>
        <v>1</v>
      </c>
      <c r="N33" s="647">
        <f t="shared" si="27"/>
        <v>1</v>
      </c>
      <c r="O33" s="647">
        <f t="shared" si="27"/>
        <v>1</v>
      </c>
      <c r="P33" s="647">
        <f t="shared" si="27"/>
        <v>1</v>
      </c>
      <c r="Q33" s="647">
        <f t="shared" si="27"/>
        <v>1</v>
      </c>
      <c r="R33" s="647">
        <f t="shared" si="27"/>
        <v>1</v>
      </c>
      <c r="S33" s="647">
        <f t="shared" si="27"/>
        <v>1</v>
      </c>
      <c r="T33" s="647">
        <f t="shared" si="27"/>
        <v>1</v>
      </c>
      <c r="U33" s="647">
        <f t="shared" si="27"/>
        <v>1</v>
      </c>
      <c r="V33" s="647">
        <f t="shared" si="27"/>
        <v>1</v>
      </c>
      <c r="W33" s="647">
        <f t="shared" si="27"/>
        <v>1</v>
      </c>
      <c r="X33" s="647">
        <f t="shared" si="27"/>
        <v>1</v>
      </c>
      <c r="Y33" s="647">
        <f t="shared" si="27"/>
        <v>1</v>
      </c>
      <c r="Z33" s="647">
        <f t="shared" si="27"/>
        <v>1</v>
      </c>
      <c r="AA33" s="647">
        <f t="shared" si="27"/>
        <v>1</v>
      </c>
      <c r="AB33" s="647">
        <f t="shared" si="27"/>
        <v>1</v>
      </c>
      <c r="AC33" s="647">
        <f t="shared" si="27"/>
        <v>1</v>
      </c>
      <c r="AD33" s="647">
        <f t="shared" si="27"/>
        <v>1</v>
      </c>
      <c r="AE33" s="647">
        <f t="shared" si="27"/>
        <v>1</v>
      </c>
      <c r="AF33" s="647">
        <f t="shared" si="27"/>
        <v>1</v>
      </c>
      <c r="AG33" s="647">
        <f t="shared" si="27"/>
        <v>1</v>
      </c>
      <c r="AH33" s="647">
        <f t="shared" si="27"/>
        <v>1</v>
      </c>
      <c r="AI33" s="647">
        <f t="shared" si="27"/>
        <v>0</v>
      </c>
      <c r="AJ33" s="647">
        <f t="shared" si="27"/>
        <v>0</v>
      </c>
      <c r="AK33" s="647">
        <f t="shared" si="27"/>
        <v>0</v>
      </c>
      <c r="AL33" s="647">
        <f t="shared" si="27"/>
        <v>0</v>
      </c>
      <c r="AM33" s="647">
        <f t="shared" ref="AM33:BR33" si="28">IF(AM5&lt;=(MonthFirstUnits+(Units/Absorption)),1,0)</f>
        <v>0</v>
      </c>
      <c r="AN33" s="647">
        <f t="shared" si="28"/>
        <v>0</v>
      </c>
      <c r="AO33" s="647">
        <f t="shared" si="28"/>
        <v>0</v>
      </c>
      <c r="AP33" s="647">
        <f t="shared" si="28"/>
        <v>0</v>
      </c>
      <c r="AQ33" s="647">
        <f t="shared" si="28"/>
        <v>0</v>
      </c>
      <c r="AR33" s="647">
        <f t="shared" si="28"/>
        <v>0</v>
      </c>
      <c r="AS33" s="647">
        <f t="shared" si="28"/>
        <v>0</v>
      </c>
      <c r="AT33" s="647">
        <f t="shared" si="28"/>
        <v>0</v>
      </c>
      <c r="AU33" s="647">
        <f t="shared" si="28"/>
        <v>0</v>
      </c>
      <c r="AV33" s="647">
        <f t="shared" si="28"/>
        <v>0</v>
      </c>
      <c r="AW33" s="647">
        <f t="shared" si="28"/>
        <v>0</v>
      </c>
      <c r="AX33" s="647">
        <f t="shared" si="28"/>
        <v>0</v>
      </c>
      <c r="AY33" s="647">
        <f t="shared" si="28"/>
        <v>0</v>
      </c>
      <c r="AZ33" s="647">
        <f t="shared" si="28"/>
        <v>0</v>
      </c>
      <c r="BA33" s="647">
        <f t="shared" si="28"/>
        <v>0</v>
      </c>
      <c r="BB33" s="647">
        <f t="shared" si="28"/>
        <v>0</v>
      </c>
      <c r="BC33" s="647">
        <f t="shared" si="28"/>
        <v>0</v>
      </c>
      <c r="BD33" s="647">
        <f t="shared" si="28"/>
        <v>0</v>
      </c>
      <c r="BE33" s="647">
        <f t="shared" si="28"/>
        <v>0</v>
      </c>
      <c r="BF33" s="647">
        <f t="shared" si="28"/>
        <v>0</v>
      </c>
      <c r="BG33" s="647">
        <f t="shared" si="28"/>
        <v>0</v>
      </c>
      <c r="BH33" s="647">
        <f t="shared" si="28"/>
        <v>0</v>
      </c>
      <c r="BI33" s="647">
        <f t="shared" si="28"/>
        <v>0</v>
      </c>
      <c r="BJ33" s="647">
        <f t="shared" si="28"/>
        <v>0</v>
      </c>
      <c r="BK33" s="647">
        <f t="shared" si="28"/>
        <v>0</v>
      </c>
      <c r="BL33" s="647">
        <f t="shared" si="28"/>
        <v>0</v>
      </c>
      <c r="BM33" s="647">
        <f t="shared" si="28"/>
        <v>0</v>
      </c>
      <c r="BN33" s="647">
        <f t="shared" si="28"/>
        <v>0</v>
      </c>
      <c r="BO33" s="647">
        <f t="shared" si="28"/>
        <v>0</v>
      </c>
      <c r="BP33" s="647">
        <f t="shared" si="28"/>
        <v>0</v>
      </c>
      <c r="BQ33" s="647">
        <f t="shared" si="28"/>
        <v>0</v>
      </c>
      <c r="BR33" s="647">
        <f t="shared" si="28"/>
        <v>0</v>
      </c>
      <c r="BS33" s="647">
        <f t="shared" ref="BS33:CX33" si="29">IF(BS5&lt;=(MonthFirstUnits+(Units/Absorption)),1,0)</f>
        <v>0</v>
      </c>
      <c r="BT33" s="647">
        <f t="shared" si="29"/>
        <v>0</v>
      </c>
      <c r="BU33" s="647">
        <f t="shared" si="29"/>
        <v>0</v>
      </c>
      <c r="BV33" s="647">
        <f t="shared" si="29"/>
        <v>0</v>
      </c>
      <c r="BW33" s="647">
        <f t="shared" si="29"/>
        <v>0</v>
      </c>
      <c r="BX33" s="647">
        <f t="shared" si="29"/>
        <v>0</v>
      </c>
      <c r="BY33" s="647">
        <f t="shared" si="29"/>
        <v>0</v>
      </c>
      <c r="BZ33" s="647">
        <f t="shared" si="29"/>
        <v>0</v>
      </c>
      <c r="CA33" s="647">
        <f t="shared" si="29"/>
        <v>0</v>
      </c>
      <c r="CB33" s="647">
        <f t="shared" si="29"/>
        <v>0</v>
      </c>
      <c r="CC33" s="647">
        <f t="shared" si="29"/>
        <v>0</v>
      </c>
      <c r="CD33" s="647">
        <f t="shared" si="29"/>
        <v>0</v>
      </c>
      <c r="CE33" s="647">
        <f t="shared" si="29"/>
        <v>0</v>
      </c>
      <c r="CF33" s="647">
        <f t="shared" si="29"/>
        <v>0</v>
      </c>
      <c r="CG33" s="647">
        <f t="shared" si="29"/>
        <v>0</v>
      </c>
      <c r="CH33" s="647">
        <f t="shared" si="29"/>
        <v>0</v>
      </c>
      <c r="CI33" s="647">
        <f t="shared" si="29"/>
        <v>0</v>
      </c>
      <c r="CJ33" s="647">
        <f t="shared" si="29"/>
        <v>0</v>
      </c>
      <c r="CK33" s="647">
        <f t="shared" si="29"/>
        <v>0</v>
      </c>
      <c r="CL33" s="647">
        <f t="shared" si="29"/>
        <v>0</v>
      </c>
      <c r="CM33" s="647">
        <f t="shared" si="29"/>
        <v>0</v>
      </c>
      <c r="CN33" s="647">
        <f t="shared" si="29"/>
        <v>0</v>
      </c>
      <c r="CO33" s="647">
        <f t="shared" si="29"/>
        <v>0</v>
      </c>
      <c r="CP33" s="647">
        <f t="shared" si="29"/>
        <v>0</v>
      </c>
      <c r="CQ33" s="647">
        <f t="shared" si="29"/>
        <v>0</v>
      </c>
      <c r="CR33" s="647">
        <f t="shared" si="29"/>
        <v>0</v>
      </c>
      <c r="CS33" s="647">
        <f t="shared" si="29"/>
        <v>0</v>
      </c>
      <c r="CT33" s="647">
        <f t="shared" si="29"/>
        <v>0</v>
      </c>
      <c r="CU33" s="647">
        <f t="shared" si="29"/>
        <v>0</v>
      </c>
      <c r="CV33" s="647">
        <f t="shared" si="29"/>
        <v>0</v>
      </c>
      <c r="CW33" s="647">
        <f t="shared" si="29"/>
        <v>0</v>
      </c>
      <c r="CX33" s="647">
        <f t="shared" si="29"/>
        <v>0</v>
      </c>
      <c r="CY33" s="647">
        <f t="shared" ref="CY33:EH33" si="30">IF(CY5&lt;=(MonthFirstUnits+(Units/Absorption)),1,0)</f>
        <v>0</v>
      </c>
      <c r="CZ33" s="647">
        <f t="shared" si="30"/>
        <v>0</v>
      </c>
      <c r="DA33" s="647">
        <f t="shared" si="30"/>
        <v>0</v>
      </c>
      <c r="DB33" s="647">
        <f t="shared" si="30"/>
        <v>0</v>
      </c>
      <c r="DC33" s="647">
        <f t="shared" si="30"/>
        <v>0</v>
      </c>
      <c r="DD33" s="647">
        <f t="shared" si="30"/>
        <v>0</v>
      </c>
      <c r="DE33" s="647">
        <f t="shared" si="30"/>
        <v>0</v>
      </c>
      <c r="DF33" s="647">
        <f t="shared" si="30"/>
        <v>0</v>
      </c>
      <c r="DG33" s="647">
        <f t="shared" si="30"/>
        <v>0</v>
      </c>
      <c r="DH33" s="647">
        <f t="shared" si="30"/>
        <v>0</v>
      </c>
      <c r="DI33" s="647">
        <f t="shared" si="30"/>
        <v>0</v>
      </c>
      <c r="DJ33" s="647">
        <f t="shared" si="30"/>
        <v>0</v>
      </c>
      <c r="DK33" s="647">
        <f t="shared" si="30"/>
        <v>0</v>
      </c>
      <c r="DL33" s="647">
        <f t="shared" si="30"/>
        <v>0</v>
      </c>
      <c r="DM33" s="647">
        <f t="shared" si="30"/>
        <v>0</v>
      </c>
      <c r="DN33" s="647">
        <f t="shared" si="30"/>
        <v>0</v>
      </c>
      <c r="DO33" s="647">
        <f t="shared" si="30"/>
        <v>0</v>
      </c>
      <c r="DP33" s="647">
        <f t="shared" si="30"/>
        <v>0</v>
      </c>
      <c r="DQ33" s="647">
        <f t="shared" si="30"/>
        <v>0</v>
      </c>
      <c r="DR33" s="647">
        <f t="shared" si="30"/>
        <v>0</v>
      </c>
      <c r="DS33" s="647">
        <f t="shared" si="30"/>
        <v>0</v>
      </c>
      <c r="DT33" s="647">
        <f t="shared" si="30"/>
        <v>0</v>
      </c>
      <c r="DU33" s="647">
        <f t="shared" si="30"/>
        <v>0</v>
      </c>
      <c r="DV33" s="647">
        <f t="shared" si="30"/>
        <v>0</v>
      </c>
      <c r="DW33" s="647">
        <f t="shared" si="30"/>
        <v>0</v>
      </c>
      <c r="DX33" s="647">
        <f t="shared" si="30"/>
        <v>0</v>
      </c>
      <c r="DY33" s="647">
        <f t="shared" si="30"/>
        <v>0</v>
      </c>
      <c r="DZ33" s="647">
        <f t="shared" si="30"/>
        <v>0</v>
      </c>
      <c r="EA33" s="647">
        <f t="shared" si="30"/>
        <v>0</v>
      </c>
      <c r="EB33" s="647">
        <f t="shared" si="30"/>
        <v>0</v>
      </c>
      <c r="EC33" s="647">
        <f t="shared" si="30"/>
        <v>0</v>
      </c>
      <c r="ED33" s="647">
        <f t="shared" si="30"/>
        <v>0</v>
      </c>
      <c r="EE33" s="647">
        <f t="shared" si="30"/>
        <v>0</v>
      </c>
      <c r="EF33" s="647">
        <f t="shared" si="30"/>
        <v>0</v>
      </c>
      <c r="EG33" s="647">
        <f t="shared" si="30"/>
        <v>0</v>
      </c>
      <c r="EH33" s="647">
        <f t="shared" si="30"/>
        <v>0</v>
      </c>
      <c r="EJ33" s="200"/>
      <c r="EK33" s="680"/>
    </row>
    <row r="34" spans="1:141" s="282" customFormat="1" hidden="1" x14ac:dyDescent="0.3">
      <c r="A34" s="282" t="s">
        <v>2379</v>
      </c>
      <c r="E34" s="678"/>
      <c r="F34" s="678"/>
      <c r="G34" s="647">
        <f t="shared" ref="G34:BR34" si="31">IF(SUM(G32:G33)=2,1,0)</f>
        <v>0</v>
      </c>
      <c r="H34" s="647">
        <f t="shared" si="31"/>
        <v>0</v>
      </c>
      <c r="I34" s="647">
        <f t="shared" si="31"/>
        <v>0</v>
      </c>
      <c r="J34" s="647">
        <f t="shared" si="31"/>
        <v>0</v>
      </c>
      <c r="K34" s="647">
        <f t="shared" si="31"/>
        <v>0</v>
      </c>
      <c r="L34" s="647">
        <f t="shared" si="31"/>
        <v>0</v>
      </c>
      <c r="M34" s="647">
        <f t="shared" si="31"/>
        <v>0</v>
      </c>
      <c r="N34" s="647">
        <f t="shared" si="31"/>
        <v>0</v>
      </c>
      <c r="O34" s="647">
        <f t="shared" si="31"/>
        <v>0</v>
      </c>
      <c r="P34" s="647">
        <f t="shared" si="31"/>
        <v>0</v>
      </c>
      <c r="Q34" s="647">
        <f t="shared" si="31"/>
        <v>0</v>
      </c>
      <c r="R34" s="647">
        <f t="shared" si="31"/>
        <v>0</v>
      </c>
      <c r="S34" s="647">
        <f t="shared" si="31"/>
        <v>0</v>
      </c>
      <c r="T34" s="647">
        <f t="shared" si="31"/>
        <v>1</v>
      </c>
      <c r="U34" s="647">
        <f t="shared" si="31"/>
        <v>1</v>
      </c>
      <c r="V34" s="647">
        <f t="shared" si="31"/>
        <v>1</v>
      </c>
      <c r="W34" s="647">
        <f t="shared" si="31"/>
        <v>1</v>
      </c>
      <c r="X34" s="647">
        <f t="shared" si="31"/>
        <v>1</v>
      </c>
      <c r="Y34" s="647">
        <f t="shared" si="31"/>
        <v>1</v>
      </c>
      <c r="Z34" s="647">
        <f t="shared" si="31"/>
        <v>1</v>
      </c>
      <c r="AA34" s="647">
        <f t="shared" si="31"/>
        <v>1</v>
      </c>
      <c r="AB34" s="647">
        <f t="shared" si="31"/>
        <v>1</v>
      </c>
      <c r="AC34" s="647">
        <f t="shared" si="31"/>
        <v>1</v>
      </c>
      <c r="AD34" s="647">
        <f t="shared" si="31"/>
        <v>1</v>
      </c>
      <c r="AE34" s="647">
        <f t="shared" si="31"/>
        <v>1</v>
      </c>
      <c r="AF34" s="647">
        <f t="shared" si="31"/>
        <v>1</v>
      </c>
      <c r="AG34" s="647">
        <f t="shared" si="31"/>
        <v>1</v>
      </c>
      <c r="AH34" s="647">
        <f t="shared" si="31"/>
        <v>1</v>
      </c>
      <c r="AI34" s="647">
        <f t="shared" si="31"/>
        <v>0</v>
      </c>
      <c r="AJ34" s="647">
        <f t="shared" si="31"/>
        <v>0</v>
      </c>
      <c r="AK34" s="647">
        <f t="shared" si="31"/>
        <v>0</v>
      </c>
      <c r="AL34" s="647">
        <f t="shared" si="31"/>
        <v>0</v>
      </c>
      <c r="AM34" s="647">
        <f t="shared" si="31"/>
        <v>0</v>
      </c>
      <c r="AN34" s="647">
        <f t="shared" si="31"/>
        <v>0</v>
      </c>
      <c r="AO34" s="647">
        <f t="shared" si="31"/>
        <v>0</v>
      </c>
      <c r="AP34" s="647">
        <f t="shared" si="31"/>
        <v>0</v>
      </c>
      <c r="AQ34" s="647">
        <f t="shared" si="31"/>
        <v>0</v>
      </c>
      <c r="AR34" s="647">
        <f t="shared" si="31"/>
        <v>0</v>
      </c>
      <c r="AS34" s="647">
        <f t="shared" si="31"/>
        <v>0</v>
      </c>
      <c r="AT34" s="647">
        <f t="shared" si="31"/>
        <v>0</v>
      </c>
      <c r="AU34" s="647">
        <f t="shared" si="31"/>
        <v>0</v>
      </c>
      <c r="AV34" s="647">
        <f t="shared" si="31"/>
        <v>0</v>
      </c>
      <c r="AW34" s="647">
        <f t="shared" si="31"/>
        <v>0</v>
      </c>
      <c r="AX34" s="647">
        <f t="shared" si="31"/>
        <v>0</v>
      </c>
      <c r="AY34" s="647">
        <f t="shared" si="31"/>
        <v>0</v>
      </c>
      <c r="AZ34" s="647">
        <f t="shared" si="31"/>
        <v>0</v>
      </c>
      <c r="BA34" s="647">
        <f t="shared" si="31"/>
        <v>0</v>
      </c>
      <c r="BB34" s="647">
        <f t="shared" si="31"/>
        <v>0</v>
      </c>
      <c r="BC34" s="647">
        <f t="shared" si="31"/>
        <v>0</v>
      </c>
      <c r="BD34" s="647">
        <f t="shared" si="31"/>
        <v>0</v>
      </c>
      <c r="BE34" s="647">
        <f t="shared" si="31"/>
        <v>0</v>
      </c>
      <c r="BF34" s="647">
        <f t="shared" si="31"/>
        <v>0</v>
      </c>
      <c r="BG34" s="647">
        <f t="shared" si="31"/>
        <v>0</v>
      </c>
      <c r="BH34" s="647">
        <f t="shared" si="31"/>
        <v>0</v>
      </c>
      <c r="BI34" s="647">
        <f t="shared" si="31"/>
        <v>0</v>
      </c>
      <c r="BJ34" s="647">
        <f t="shared" si="31"/>
        <v>0</v>
      </c>
      <c r="BK34" s="647">
        <f t="shared" si="31"/>
        <v>0</v>
      </c>
      <c r="BL34" s="647">
        <f t="shared" si="31"/>
        <v>0</v>
      </c>
      <c r="BM34" s="647">
        <f t="shared" si="31"/>
        <v>0</v>
      </c>
      <c r="BN34" s="647">
        <f t="shared" si="31"/>
        <v>0</v>
      </c>
      <c r="BO34" s="647">
        <f t="shared" si="31"/>
        <v>0</v>
      </c>
      <c r="BP34" s="647">
        <f t="shared" si="31"/>
        <v>0</v>
      </c>
      <c r="BQ34" s="647">
        <f t="shared" si="31"/>
        <v>0</v>
      </c>
      <c r="BR34" s="647">
        <f t="shared" si="31"/>
        <v>0</v>
      </c>
      <c r="BS34" s="647">
        <f t="shared" ref="BS34:ED34" si="32">IF(SUM(BS32:BS33)=2,1,0)</f>
        <v>0</v>
      </c>
      <c r="BT34" s="647">
        <f t="shared" si="32"/>
        <v>0</v>
      </c>
      <c r="BU34" s="647">
        <f t="shared" si="32"/>
        <v>0</v>
      </c>
      <c r="BV34" s="647">
        <f t="shared" si="32"/>
        <v>0</v>
      </c>
      <c r="BW34" s="647">
        <f t="shared" si="32"/>
        <v>0</v>
      </c>
      <c r="BX34" s="647">
        <f t="shared" si="32"/>
        <v>0</v>
      </c>
      <c r="BY34" s="647">
        <f t="shared" si="32"/>
        <v>0</v>
      </c>
      <c r="BZ34" s="647">
        <f t="shared" si="32"/>
        <v>0</v>
      </c>
      <c r="CA34" s="647">
        <f t="shared" si="32"/>
        <v>0</v>
      </c>
      <c r="CB34" s="647">
        <f t="shared" si="32"/>
        <v>0</v>
      </c>
      <c r="CC34" s="647">
        <f t="shared" si="32"/>
        <v>0</v>
      </c>
      <c r="CD34" s="647">
        <f t="shared" si="32"/>
        <v>0</v>
      </c>
      <c r="CE34" s="647">
        <f t="shared" si="32"/>
        <v>0</v>
      </c>
      <c r="CF34" s="647">
        <f t="shared" si="32"/>
        <v>0</v>
      </c>
      <c r="CG34" s="647">
        <f t="shared" si="32"/>
        <v>0</v>
      </c>
      <c r="CH34" s="647">
        <f t="shared" si="32"/>
        <v>0</v>
      </c>
      <c r="CI34" s="647">
        <f t="shared" si="32"/>
        <v>0</v>
      </c>
      <c r="CJ34" s="647">
        <f t="shared" si="32"/>
        <v>0</v>
      </c>
      <c r="CK34" s="647">
        <f t="shared" si="32"/>
        <v>0</v>
      </c>
      <c r="CL34" s="647">
        <f t="shared" si="32"/>
        <v>0</v>
      </c>
      <c r="CM34" s="647">
        <f t="shared" si="32"/>
        <v>0</v>
      </c>
      <c r="CN34" s="647">
        <f t="shared" si="32"/>
        <v>0</v>
      </c>
      <c r="CO34" s="647">
        <f t="shared" si="32"/>
        <v>0</v>
      </c>
      <c r="CP34" s="647">
        <f t="shared" si="32"/>
        <v>0</v>
      </c>
      <c r="CQ34" s="647">
        <f t="shared" si="32"/>
        <v>0</v>
      </c>
      <c r="CR34" s="647">
        <f t="shared" si="32"/>
        <v>0</v>
      </c>
      <c r="CS34" s="647">
        <f t="shared" si="32"/>
        <v>0</v>
      </c>
      <c r="CT34" s="647">
        <f t="shared" si="32"/>
        <v>0</v>
      </c>
      <c r="CU34" s="647">
        <f t="shared" si="32"/>
        <v>0</v>
      </c>
      <c r="CV34" s="647">
        <f t="shared" si="32"/>
        <v>0</v>
      </c>
      <c r="CW34" s="647">
        <f t="shared" si="32"/>
        <v>0</v>
      </c>
      <c r="CX34" s="647">
        <f t="shared" si="32"/>
        <v>0</v>
      </c>
      <c r="CY34" s="647">
        <f t="shared" si="32"/>
        <v>0</v>
      </c>
      <c r="CZ34" s="647">
        <f t="shared" si="32"/>
        <v>0</v>
      </c>
      <c r="DA34" s="647">
        <f t="shared" si="32"/>
        <v>0</v>
      </c>
      <c r="DB34" s="647">
        <f t="shared" si="32"/>
        <v>0</v>
      </c>
      <c r="DC34" s="647">
        <f t="shared" si="32"/>
        <v>0</v>
      </c>
      <c r="DD34" s="647">
        <f t="shared" si="32"/>
        <v>0</v>
      </c>
      <c r="DE34" s="647">
        <f t="shared" si="32"/>
        <v>0</v>
      </c>
      <c r="DF34" s="647">
        <f t="shared" si="32"/>
        <v>0</v>
      </c>
      <c r="DG34" s="647">
        <f t="shared" si="32"/>
        <v>0</v>
      </c>
      <c r="DH34" s="647">
        <f t="shared" si="32"/>
        <v>0</v>
      </c>
      <c r="DI34" s="647">
        <f t="shared" si="32"/>
        <v>0</v>
      </c>
      <c r="DJ34" s="647">
        <f t="shared" si="32"/>
        <v>0</v>
      </c>
      <c r="DK34" s="647">
        <f t="shared" si="32"/>
        <v>0</v>
      </c>
      <c r="DL34" s="647">
        <f t="shared" si="32"/>
        <v>0</v>
      </c>
      <c r="DM34" s="647">
        <f t="shared" si="32"/>
        <v>0</v>
      </c>
      <c r="DN34" s="647">
        <f t="shared" si="32"/>
        <v>0</v>
      </c>
      <c r="DO34" s="647">
        <f t="shared" si="32"/>
        <v>0</v>
      </c>
      <c r="DP34" s="647">
        <f t="shared" si="32"/>
        <v>0</v>
      </c>
      <c r="DQ34" s="647">
        <f t="shared" si="32"/>
        <v>0</v>
      </c>
      <c r="DR34" s="647">
        <f t="shared" si="32"/>
        <v>0</v>
      </c>
      <c r="DS34" s="647">
        <f t="shared" si="32"/>
        <v>0</v>
      </c>
      <c r="DT34" s="647">
        <f t="shared" si="32"/>
        <v>0</v>
      </c>
      <c r="DU34" s="647">
        <f t="shared" si="32"/>
        <v>0</v>
      </c>
      <c r="DV34" s="647">
        <f t="shared" si="32"/>
        <v>0</v>
      </c>
      <c r="DW34" s="647">
        <f t="shared" si="32"/>
        <v>0</v>
      </c>
      <c r="DX34" s="647">
        <f t="shared" si="32"/>
        <v>0</v>
      </c>
      <c r="DY34" s="647">
        <f t="shared" si="32"/>
        <v>0</v>
      </c>
      <c r="DZ34" s="647">
        <f t="shared" si="32"/>
        <v>0</v>
      </c>
      <c r="EA34" s="647">
        <f t="shared" si="32"/>
        <v>0</v>
      </c>
      <c r="EB34" s="647">
        <f t="shared" si="32"/>
        <v>0</v>
      </c>
      <c r="EC34" s="647">
        <f t="shared" si="32"/>
        <v>0</v>
      </c>
      <c r="ED34" s="647">
        <f t="shared" si="32"/>
        <v>0</v>
      </c>
      <c r="EE34" s="647">
        <f>IF(SUM(EE32:EE33)=2,1,0)</f>
        <v>0</v>
      </c>
      <c r="EF34" s="647">
        <f>IF(SUM(EF32:EF33)=2,1,0)</f>
        <v>0</v>
      </c>
      <c r="EG34" s="647">
        <f>IF(SUM(EG32:EG33)=2,1,0)</f>
        <v>0</v>
      </c>
      <c r="EH34" s="647">
        <f>IF(SUM(EH32:EH33)=2,1,0)</f>
        <v>0</v>
      </c>
      <c r="EJ34" s="200"/>
      <c r="EK34" s="679"/>
    </row>
    <row r="35" spans="1:141" x14ac:dyDescent="0.3">
      <c r="A35" s="241" t="s">
        <v>2380</v>
      </c>
      <c r="B35" s="241"/>
      <c r="C35" s="241"/>
      <c r="D35" s="241"/>
      <c r="E35" s="705"/>
      <c r="F35" s="705">
        <f>IF(F34=1,MIN(Absorption,(Units*(1-Vacancy))-SUM(E$35:$F35,0)),0)</f>
        <v>0</v>
      </c>
      <c r="G35" s="637">
        <f>IF(G5=MonthFirstUnits,(Absorption*12*LOOKUP(MONTH(G6),'General Inputs'!$W$46:$W$57,'General Inputs'!$Y$46:$Y$57))*FirstMonthAbsorption,(IF(G5&gt;MonthFirstUnits,IF(SUM(F35:$G35)+(Absorption*12*LOOKUP(MONTH(G6),'General Inputs'!$W$46:$W$57,'General Inputs'!$Y$46:$Y$57))&gt;Units*(1-Vacancy),
(Units*(1-Vacancy))-SUM(F35:$G35),
Absorption*12*
LOOKUP(MONTH(G6),'General Inputs'!$W$46:$W$57,'General Inputs'!$Y$46:$Y$57)),0)))</f>
        <v>0</v>
      </c>
      <c r="H35" s="637">
        <f>IF(H5=MonthFirstUnits,(Absorption*12*LOOKUP(MONTH(H6),'General Inputs'!$W$46:$W$57,'General Inputs'!$Y$46:$Y$57))*FirstMonthAbsorption,(IF(H5&gt;MonthFirstUnits,IF(SUM(G35:$G35)+(Absorption*12*LOOKUP(MONTH(H6),'General Inputs'!$W$46:$W$57,'General Inputs'!$Y$46:$Y$57))&gt;Units*(1-Vacancy),
(Units*(1-Vacancy))-SUM(G35:$G35),
Absorption*12*
LOOKUP(MONTH(H6),'General Inputs'!$W$46:$W$57,'General Inputs'!$Y$46:$Y$57)),0)))</f>
        <v>0</v>
      </c>
      <c r="I35" s="637">
        <f>IF(I5=MonthFirstUnits,(Absorption*12*LOOKUP(MONTH(I6),'General Inputs'!$W$46:$W$57,'General Inputs'!$Y$46:$Y$57))*FirstMonthAbsorption,(IF(I5&gt;MonthFirstUnits,IF(SUM($G35:H35)+(Absorption*12*LOOKUP(MONTH(I6),'General Inputs'!$W$46:$W$57,'General Inputs'!$Y$46:$Y$57))&gt;Units*(1-Vacancy),
(Units*(1-Vacancy))-SUM($G35:H35),
Absorption*12*
LOOKUP(MONTH(I6),'General Inputs'!$W$46:$W$57,'General Inputs'!$Y$46:$Y$57)),0)))</f>
        <v>0</v>
      </c>
      <c r="J35" s="637">
        <f>IF(J5=MonthFirstUnits,(Absorption*12*LOOKUP(MONTH(J6),'General Inputs'!$W$46:$W$57,'General Inputs'!$Y$46:$Y$57))*FirstMonthAbsorption,(IF(J5&gt;MonthFirstUnits,IF(SUM($G35:I35)+(Absorption*12*LOOKUP(MONTH(J6),'General Inputs'!$W$46:$W$57,'General Inputs'!$Y$46:$Y$57))&gt;Units*(1-Vacancy),
(Units*(1-Vacancy))-SUM($G35:I35),
Absorption*12*
LOOKUP(MONTH(J6),'General Inputs'!$W$46:$W$57,'General Inputs'!$Y$46:$Y$57)),0)))</f>
        <v>0</v>
      </c>
      <c r="K35" s="637">
        <f>IF(K5=MonthFirstUnits,(Absorption*12*LOOKUP(MONTH(K6),'General Inputs'!$W$46:$W$57,'General Inputs'!$Y$46:$Y$57))*FirstMonthAbsorption,(IF(K5&gt;MonthFirstUnits,IF(SUM($G35:J35)+(Absorption*12*LOOKUP(MONTH(K6),'General Inputs'!$W$46:$W$57,'General Inputs'!$Y$46:$Y$57))&gt;Units*(1-Vacancy),
(Units*(1-Vacancy))-SUM($G35:J35),
Absorption*12*
LOOKUP(MONTH(K6),'General Inputs'!$W$46:$W$57,'General Inputs'!$Y$46:$Y$57)),0)))</f>
        <v>0</v>
      </c>
      <c r="L35" s="637">
        <f>IF(L5=MonthFirstUnits,(Absorption*12*LOOKUP(MONTH(L6),'General Inputs'!$W$46:$W$57,'General Inputs'!$Y$46:$Y$57))*FirstMonthAbsorption,(IF(L5&gt;MonthFirstUnits,IF(SUM($G35:K35)+(Absorption*12*LOOKUP(MONTH(L6),'General Inputs'!$W$46:$W$57,'General Inputs'!$Y$46:$Y$57))&gt;Units*(1-Vacancy),
(Units*(1-Vacancy))-SUM($G35:K35),
Absorption*12*
LOOKUP(MONTH(L6),'General Inputs'!$W$46:$W$57,'General Inputs'!$Y$46:$Y$57)),0)))</f>
        <v>0</v>
      </c>
      <c r="M35" s="637">
        <f>IF(M5=MonthFirstUnits,(Absorption*12*LOOKUP(MONTH(M6),'General Inputs'!$W$46:$W$57,'General Inputs'!$Y$46:$Y$57))*FirstMonthAbsorption,(IF(M5&gt;MonthFirstUnits,IF(SUM($G35:L35)+(Absorption*12*LOOKUP(MONTH(M6),'General Inputs'!$W$46:$W$57,'General Inputs'!$Y$46:$Y$57))&gt;Units*(1-Vacancy),
(Units*(1-Vacancy))-SUM($G35:L35),
Absorption*12*
LOOKUP(MONTH(M6),'General Inputs'!$W$46:$W$57,'General Inputs'!$Y$46:$Y$57)),0)))</f>
        <v>0</v>
      </c>
      <c r="N35" s="637">
        <f>IF(N5=MonthFirstUnits,(Absorption*12*LOOKUP(MONTH(N6),'General Inputs'!$W$46:$W$57,'General Inputs'!$Y$46:$Y$57))*FirstMonthAbsorption,(IF(N5&gt;MonthFirstUnits,IF(SUM($G35:M35)+(Absorption*12*LOOKUP(MONTH(N6),'General Inputs'!$W$46:$W$57,'General Inputs'!$Y$46:$Y$57))&gt;Units*(1-Vacancy),
(Units*(1-Vacancy))-SUM($G35:M35),
Absorption*12*
LOOKUP(MONTH(N6),'General Inputs'!$W$46:$W$57,'General Inputs'!$Y$46:$Y$57)),0)))</f>
        <v>0</v>
      </c>
      <c r="O35" s="637">
        <f>IF(O5=MonthFirstUnits,(Absorption*12*LOOKUP(MONTH(O6),'General Inputs'!$W$46:$W$57,'General Inputs'!$Y$46:$Y$57))*FirstMonthAbsorption,(IF(O5&gt;MonthFirstUnits,IF(SUM($G35:N35)+(Absorption*12*LOOKUP(MONTH(O6),'General Inputs'!$W$46:$W$57,'General Inputs'!$Y$46:$Y$57))&gt;Units*(1-Vacancy),
(Units*(1-Vacancy))-SUM($G35:N35),
Absorption*12*
LOOKUP(MONTH(O6),'General Inputs'!$W$46:$W$57,'General Inputs'!$Y$46:$Y$57)),0)))</f>
        <v>0</v>
      </c>
      <c r="P35" s="637">
        <f>IF(P5=MonthFirstUnits,(Absorption*12*LOOKUP(MONTH(P6),'General Inputs'!$W$46:$W$57,'General Inputs'!$Y$46:$Y$57))*FirstMonthAbsorption,(IF(P5&gt;MonthFirstUnits,IF(SUM($G35:O35)+(Absorption*12*LOOKUP(MONTH(P6),'General Inputs'!$W$46:$W$57,'General Inputs'!$Y$46:$Y$57))&gt;Units*(1-Vacancy),
(Units*(1-Vacancy))-SUM($G35:O35),
Absorption*12*
LOOKUP(MONTH(P6),'General Inputs'!$W$46:$W$57,'General Inputs'!$Y$46:$Y$57)),0)))</f>
        <v>0</v>
      </c>
      <c r="Q35" s="637">
        <f>IF(Q5=MonthFirstUnits,(Absorption*12*LOOKUP(MONTH(Q6),'General Inputs'!$W$46:$W$57,'General Inputs'!$Y$46:$Y$57))*FirstMonthAbsorption,(IF(Q5&gt;MonthFirstUnits,IF(SUM($G35:P35)+(Absorption*12*LOOKUP(MONTH(Q6),'General Inputs'!$W$46:$W$57,'General Inputs'!$Y$46:$Y$57))&gt;Units*(1-Vacancy),
(Units*(1-Vacancy))-SUM($G35:P35),
Absorption*12*
LOOKUP(MONTH(Q6),'General Inputs'!$W$46:$W$57,'General Inputs'!$Y$46:$Y$57)),0)))</f>
        <v>0</v>
      </c>
      <c r="R35" s="637">
        <f>IF(R5=MonthFirstUnits,(Absorption*12*LOOKUP(MONTH(R6),'General Inputs'!$W$46:$W$57,'General Inputs'!$Y$46:$Y$57))*FirstMonthAbsorption,(IF(R5&gt;MonthFirstUnits,IF(SUM($G35:Q35)+(Absorption*12*LOOKUP(MONTH(R6),'General Inputs'!$W$46:$W$57,'General Inputs'!$Y$46:$Y$57))&gt;Units*(1-Vacancy),
(Units*(1-Vacancy))-SUM($G35:Q35),
Absorption*12*
LOOKUP(MONTH(R6),'General Inputs'!$W$46:$W$57,'General Inputs'!$Y$46:$Y$57)),0)))</f>
        <v>0</v>
      </c>
      <c r="S35" s="637">
        <f>IF(S5=MonthFirstUnits,(Absorption*12*LOOKUP(MONTH(S6),'General Inputs'!$W$46:$W$57,'General Inputs'!$Y$46:$Y$57))*FirstMonthAbsorption,(IF(S5&gt;MonthFirstUnits,IF(SUM($G35:R35)+(Absorption*12*LOOKUP(MONTH(S6),'General Inputs'!$W$46:$W$57,'General Inputs'!$Y$46:$Y$57))&gt;Units*(1-Vacancy),
(Units*(1-Vacancy))-SUM($G35:R35),
Absorption*12*
LOOKUP(MONTH(S6),'General Inputs'!$W$46:$W$57,'General Inputs'!$Y$46:$Y$57)),0)))</f>
        <v>0</v>
      </c>
      <c r="T35" s="637">
        <f>IF(T5=MonthFirstUnits,(Absorption*12*LOOKUP(MONTH(T6),'General Inputs'!$W$46:$W$57,'General Inputs'!$Y$46:$Y$57))*FirstMonthAbsorption,(IF(T5&gt;MonthFirstUnits,IF(SUM($G35:S35)+(Absorption*12*LOOKUP(MONTH(T6),'General Inputs'!$W$46:$W$57,'General Inputs'!$Y$46:$Y$57))&gt;Units*(1-Vacancy),
(Units*(1-Vacancy))-SUM($G35:S35),
Absorption*12*
LOOKUP(MONTH(T6),'General Inputs'!$W$46:$W$57,'General Inputs'!$Y$46:$Y$57)),0)))</f>
        <v>14.4</v>
      </c>
      <c r="U35" s="637">
        <f>IF(U5=MonthFirstUnits,(Absorption*12*LOOKUP(MONTH(U6),'General Inputs'!$W$46:$W$57,'General Inputs'!$Y$46:$Y$57))*FirstMonthAbsorption,(IF(U5&gt;MonthFirstUnits,IF(SUM($G35:T35)+(Absorption*12*LOOKUP(MONTH(U6),'General Inputs'!$W$46:$W$57,'General Inputs'!$Y$46:$Y$57))&gt;Units*(1-Vacancy),
(Units*(1-Vacancy))-SUM($G35:T35),
Absorption*12*
LOOKUP(MONTH(U6),'General Inputs'!$W$46:$W$57,'General Inputs'!$Y$46:$Y$57)),0)))</f>
        <v>14.4</v>
      </c>
      <c r="V35" s="637">
        <f>IF(V5=MonthFirstUnits,(Absorption*12*LOOKUP(MONTH(V6),'General Inputs'!$W$46:$W$57,'General Inputs'!$Y$46:$Y$57))*FirstMonthAbsorption,(IF(V5&gt;MonthFirstUnits,IF(SUM($G35:U35)+(Absorption*12*LOOKUP(MONTH(V6),'General Inputs'!$W$46:$W$57,'General Inputs'!$Y$46:$Y$57))&gt;Units*(1-Vacancy),
(Units*(1-Vacancy))-SUM($G35:U35),
Absorption*12*
LOOKUP(MONTH(V6),'General Inputs'!$W$46:$W$57,'General Inputs'!$Y$46:$Y$57)),0)))</f>
        <v>14.4</v>
      </c>
      <c r="W35" s="637">
        <f>IF(W5=MonthFirstUnits,(Absorption*12*LOOKUP(MONTH(W6),'General Inputs'!$W$46:$W$57,'General Inputs'!$Y$46:$Y$57))*FirstMonthAbsorption,(IF(W5&gt;MonthFirstUnits,IF(SUM($G35:V35)+(Absorption*12*LOOKUP(MONTH(W6),'General Inputs'!$W$46:$W$57,'General Inputs'!$Y$46:$Y$57))&gt;Units*(1-Vacancy),
(Units*(1-Vacancy))-SUM($G35:V35),
Absorption*12*
LOOKUP(MONTH(W6),'General Inputs'!$W$46:$W$57,'General Inputs'!$Y$46:$Y$57)),0)))</f>
        <v>14.4</v>
      </c>
      <c r="X35" s="637">
        <f>IF(X5=MonthFirstUnits,(Absorption*12*LOOKUP(MONTH(X6),'General Inputs'!$W$46:$W$57,'General Inputs'!$Y$46:$Y$57))*FirstMonthAbsorption,(IF(X5&gt;MonthFirstUnits,IF(SUM($G35:W35)+(Absorption*12*LOOKUP(MONTH(X6),'General Inputs'!$W$46:$W$57,'General Inputs'!$Y$46:$Y$57))&gt;Units*(1-Vacancy),
(Units*(1-Vacancy))-SUM($G35:W35),
Absorption*12*
LOOKUP(MONTH(X6),'General Inputs'!$W$46:$W$57,'General Inputs'!$Y$46:$Y$57)),0)))</f>
        <v>14.4</v>
      </c>
      <c r="Y35" s="637">
        <f>IF(Y5=MonthFirstUnits,(Absorption*12*LOOKUP(MONTH(Y6),'General Inputs'!$W$46:$W$57,'General Inputs'!$Y$46:$Y$57))*FirstMonthAbsorption,(IF(Y5&gt;MonthFirstUnits,IF(SUM($G35:X35)+(Absorption*12*LOOKUP(MONTH(Y6),'General Inputs'!$W$46:$W$57,'General Inputs'!$Y$46:$Y$57))&gt;Units*(1-Vacancy),
(Units*(1-Vacancy))-SUM($G35:X35),
Absorption*12*
LOOKUP(MONTH(Y6),'General Inputs'!$W$46:$W$57,'General Inputs'!$Y$46:$Y$57)),0)))</f>
        <v>21.599999999999998</v>
      </c>
      <c r="Z35" s="637">
        <f>IF(Z5=MonthFirstUnits,(Absorption*12*LOOKUP(MONTH(Z6),'General Inputs'!$W$46:$W$57,'General Inputs'!$Y$46:$Y$57))*FirstMonthAbsorption,(IF(Z5&gt;MonthFirstUnits,IF(SUM($G35:Y35)+(Absorption*12*LOOKUP(MONTH(Z6),'General Inputs'!$W$46:$W$57,'General Inputs'!$Y$46:$Y$57))&gt;Units*(1-Vacancy),
(Units*(1-Vacancy))-SUM($G35:Y35),
Absorption*12*
LOOKUP(MONTH(Z6),'General Inputs'!$W$46:$W$57,'General Inputs'!$Y$46:$Y$57)),0)))</f>
        <v>21.599999999999998</v>
      </c>
      <c r="AA35" s="637">
        <f>IF(AA5=MonthFirstUnits,(Absorption*12*LOOKUP(MONTH(AA6),'General Inputs'!$W$46:$W$57,'General Inputs'!$Y$46:$Y$57))*FirstMonthAbsorption,(IF(AA5&gt;MonthFirstUnits,IF(SUM($G35:Z35)+(Absorption*12*LOOKUP(MONTH(AA6),'General Inputs'!$W$46:$W$57,'General Inputs'!$Y$46:$Y$57))&gt;Units*(1-Vacancy),
(Units*(1-Vacancy))-SUM($G35:Z35),
Absorption*12*
LOOKUP(MONTH(AA6),'General Inputs'!$W$46:$W$57,'General Inputs'!$Y$46:$Y$57)),0)))</f>
        <v>21.599999999999998</v>
      </c>
      <c r="AB35" s="637">
        <f>IF(AB5=MonthFirstUnits,(Absorption*12*LOOKUP(MONTH(AB6),'General Inputs'!$W$46:$W$57,'General Inputs'!$Y$46:$Y$57))*FirstMonthAbsorption,(IF(AB5&gt;MonthFirstUnits,IF(SUM($G35:AA35)+(Absorption*12*LOOKUP(MONTH(AB6),'General Inputs'!$W$46:$W$57,'General Inputs'!$Y$46:$Y$57))&gt;Units*(1-Vacancy),
(Units*(1-Vacancy))-SUM($G35:AA35),
Absorption*12*
LOOKUP(MONTH(AB6),'General Inputs'!$W$46:$W$57,'General Inputs'!$Y$46:$Y$57)),0)))</f>
        <v>21.599999999999998</v>
      </c>
      <c r="AC35" s="637">
        <f>IF(AC5=MonthFirstUnits,(Absorption*12*LOOKUP(MONTH(AC6),'General Inputs'!$W$46:$W$57,'General Inputs'!$Y$46:$Y$57))*FirstMonthAbsorption,(IF(AC5&gt;MonthFirstUnits,IF(SUM($G35:AB35)+(Absorption*12*LOOKUP(MONTH(AC6),'General Inputs'!$W$46:$W$57,'General Inputs'!$Y$46:$Y$57))&gt;Units*(1-Vacancy),
(Units*(1-Vacancy))-SUM($G35:AB35),
Absorption*12*
LOOKUP(MONTH(AC6),'General Inputs'!$W$46:$W$57,'General Inputs'!$Y$46:$Y$57)),0)))</f>
        <v>21.599999999999998</v>
      </c>
      <c r="AD35" s="637">
        <f>IF(AD5=MonthFirstUnits,(Absorption*12*LOOKUP(MONTH(AD6),'General Inputs'!$W$46:$W$57,'General Inputs'!$Y$46:$Y$57))*FirstMonthAbsorption,(IF(AD5&gt;MonthFirstUnits,IF(SUM($G35:AC35)+(Absorption*12*LOOKUP(MONTH(AD6),'General Inputs'!$W$46:$W$57,'General Inputs'!$Y$46:$Y$57))&gt;Units*(1-Vacancy),
(Units*(1-Vacancy))-SUM($G35:AC35),
Absorption*12*
LOOKUP(MONTH(AD6),'General Inputs'!$W$46:$W$57,'General Inputs'!$Y$46:$Y$57)),0)))</f>
        <v>21.599999999999998</v>
      </c>
      <c r="AE35" s="637">
        <f>IF(AE5=MonthFirstUnits,(Absorption*12*LOOKUP(MONTH(AE6),'General Inputs'!$W$46:$W$57,'General Inputs'!$Y$46:$Y$57))*FirstMonthAbsorption,(IF(AE5&gt;MonthFirstUnits,IF(SUM($G35:AD35)+(Absorption*12*LOOKUP(MONTH(AE6),'General Inputs'!$W$46:$W$57,'General Inputs'!$Y$46:$Y$57))&gt;Units*(1-Vacancy),
(Units*(1-Vacancy))-SUM($G35:AD35),
Absorption*12*
LOOKUP(MONTH(AE6),'General Inputs'!$W$46:$W$57,'General Inputs'!$Y$46:$Y$57)),0)))</f>
        <v>14.4</v>
      </c>
      <c r="AF35" s="637">
        <f>IF(AF5=MonthFirstUnits,(Absorption*12*LOOKUP(MONTH(AF6),'General Inputs'!$W$46:$W$57,'General Inputs'!$Y$46:$Y$57))*FirstMonthAbsorption,(IF(AF5&gt;MonthFirstUnits,IF(SUM($G35:AE35)+(Absorption*12*LOOKUP(MONTH(AF6),'General Inputs'!$W$46:$W$57,'General Inputs'!$Y$46:$Y$57))&gt;Units*(1-Vacancy),
(Units*(1-Vacancy))-SUM($G35:AE35),
Absorption*12*
LOOKUP(MONTH(AF6),'General Inputs'!$W$46:$W$57,'General Inputs'!$Y$46:$Y$57)),0)))</f>
        <v>14.4</v>
      </c>
      <c r="AG35" s="637">
        <f>IF(AG5=MonthFirstUnits,(Absorption*12*LOOKUP(MONTH(AG6),'General Inputs'!$W$46:$W$57,'General Inputs'!$Y$46:$Y$57))*FirstMonthAbsorption,(IF(AG5&gt;MonthFirstUnits,IF(SUM($G35:AF35)+(Absorption*12*LOOKUP(MONTH(AG6),'General Inputs'!$W$46:$W$57,'General Inputs'!$Y$46:$Y$57))&gt;Units*(1-Vacancy),
(Units*(1-Vacancy))-SUM($G35:AF35),
Absorption*12*
LOOKUP(MONTH(AG6),'General Inputs'!$W$46:$W$57,'General Inputs'!$Y$46:$Y$57)),0)))</f>
        <v>10.580000000000013</v>
      </c>
      <c r="AH35" s="637">
        <f>IF(AH5=MonthFirstUnits,(Absorption*12*LOOKUP(MONTH(AH6),'General Inputs'!$W$46:$W$57,'General Inputs'!$Y$46:$Y$57))*FirstMonthAbsorption,(IF(AH5&gt;MonthFirstUnits,IF(SUM($G35:AG35)+(Absorption*12*LOOKUP(MONTH(AH6),'General Inputs'!$W$46:$W$57,'General Inputs'!$Y$46:$Y$57))&gt;Units*(1-Vacancy),
(Units*(1-Vacancy))-SUM($G35:AG35),
Absorption*12*
LOOKUP(MONTH(AH6),'General Inputs'!$W$46:$W$57,'General Inputs'!$Y$46:$Y$57)),0)))</f>
        <v>0</v>
      </c>
      <c r="AI35" s="637">
        <f>IF(AI5=MonthFirstUnits,(Absorption*12*LOOKUP(MONTH(AI6),'General Inputs'!$W$46:$W$57,'General Inputs'!$Y$46:$Y$57))*FirstMonthAbsorption,(IF(AI5&gt;MonthFirstUnits,IF(SUM($G35:AH35)+(Absorption*12*LOOKUP(MONTH(AI6),'General Inputs'!$W$46:$W$57,'General Inputs'!$Y$46:$Y$57))&gt;Units*(1-Vacancy),
(Units*(1-Vacancy))-SUM($G35:AH35),
Absorption*12*
LOOKUP(MONTH(AI6),'General Inputs'!$W$46:$W$57,'General Inputs'!$Y$46:$Y$57)),0)))</f>
        <v>0</v>
      </c>
      <c r="AJ35" s="637">
        <f>IF(AJ5=MonthFirstUnits,(Absorption*12*LOOKUP(MONTH(AJ6),'General Inputs'!$W$46:$W$57,'General Inputs'!$Y$46:$Y$57))*FirstMonthAbsorption,(IF(AJ5&gt;MonthFirstUnits,IF(SUM($G35:AI35)+(Absorption*12*LOOKUP(MONTH(AJ6),'General Inputs'!$W$46:$W$57,'General Inputs'!$Y$46:$Y$57))&gt;Units*(1-Vacancy),
(Units*(1-Vacancy))-SUM($G35:AI35),
Absorption*12*
LOOKUP(MONTH(AJ6),'General Inputs'!$W$46:$W$57,'General Inputs'!$Y$46:$Y$57)),0)))</f>
        <v>0</v>
      </c>
      <c r="AK35" s="637">
        <f>IF(AK5=MonthFirstUnits,(Absorption*12*LOOKUP(MONTH(AK6),'General Inputs'!$W$46:$W$57,'General Inputs'!$Y$46:$Y$57))*FirstMonthAbsorption,(IF(AK5&gt;MonthFirstUnits,IF(SUM($G35:AJ35)+(Absorption*12*LOOKUP(MONTH(AK6),'General Inputs'!$W$46:$W$57,'General Inputs'!$Y$46:$Y$57))&gt;Units*(1-Vacancy),
(Units*(1-Vacancy))-SUM($G35:AJ35),
Absorption*12*
LOOKUP(MONTH(AK6),'General Inputs'!$W$46:$W$57,'General Inputs'!$Y$46:$Y$57)),0)))</f>
        <v>0</v>
      </c>
      <c r="AL35" s="637">
        <f>IF(AL5=MonthFirstUnits,(Absorption*12*LOOKUP(MONTH(AL6),'General Inputs'!$W$46:$W$57,'General Inputs'!$Y$46:$Y$57))*FirstMonthAbsorption,(IF(AL5&gt;MonthFirstUnits,IF(SUM($G35:AK35)+(Absorption*12*LOOKUP(MONTH(AL6),'General Inputs'!$W$46:$W$57,'General Inputs'!$Y$46:$Y$57))&gt;Units*(1-Vacancy),
(Units*(1-Vacancy))-SUM($G35:AK35),
Absorption*12*
LOOKUP(MONTH(AL6),'General Inputs'!$W$46:$W$57,'General Inputs'!$Y$46:$Y$57)),0)))</f>
        <v>0</v>
      </c>
      <c r="AM35" s="637">
        <f>IF(AM5=MonthFirstUnits,(Absorption*12*LOOKUP(MONTH(AM6),'General Inputs'!$W$46:$W$57,'General Inputs'!$Y$46:$Y$57))*FirstMonthAbsorption,(IF(AM5&gt;MonthFirstUnits,IF(SUM($G35:AL35)+(Absorption*12*LOOKUP(MONTH(AM6),'General Inputs'!$W$46:$W$57,'General Inputs'!$Y$46:$Y$57))&gt;Units*(1-Vacancy),
(Units*(1-Vacancy))-SUM($G35:AL35),
Absorption*12*
LOOKUP(MONTH(AM6),'General Inputs'!$W$46:$W$57,'General Inputs'!$Y$46:$Y$57)),0)))</f>
        <v>0</v>
      </c>
      <c r="AN35" s="637">
        <f>IF(AN5=MonthFirstUnits,(Absorption*12*LOOKUP(MONTH(AN6),'General Inputs'!$W$46:$W$57,'General Inputs'!$Y$46:$Y$57))*FirstMonthAbsorption,(IF(AN5&gt;MonthFirstUnits,IF(SUM($G35:AM35)+(Absorption*12*LOOKUP(MONTH(AN6),'General Inputs'!$W$46:$W$57,'General Inputs'!$Y$46:$Y$57))&gt;Units*(1-Vacancy),
(Units*(1-Vacancy))-SUM($G35:AM35),
Absorption*12*
LOOKUP(MONTH(AN6),'General Inputs'!$W$46:$W$57,'General Inputs'!$Y$46:$Y$57)),0)))</f>
        <v>0</v>
      </c>
      <c r="AO35" s="637">
        <f>IF(AO5=MonthFirstUnits,(Absorption*12*LOOKUP(MONTH(AO6),'General Inputs'!$W$46:$W$57,'General Inputs'!$Y$46:$Y$57))*FirstMonthAbsorption,(IF(AO5&gt;MonthFirstUnits,IF(SUM($G35:AN35)+(Absorption*12*LOOKUP(MONTH(AO6),'General Inputs'!$W$46:$W$57,'General Inputs'!$Y$46:$Y$57))&gt;Units*(1-Vacancy),
(Units*(1-Vacancy))-SUM($G35:AN35),
Absorption*12*
LOOKUP(MONTH(AO6),'General Inputs'!$W$46:$W$57,'General Inputs'!$Y$46:$Y$57)),0)))</f>
        <v>0</v>
      </c>
      <c r="AP35" s="637">
        <f>IF(AP5=MonthFirstUnits,(Absorption*12*LOOKUP(MONTH(AP6),'General Inputs'!$W$46:$W$57,'General Inputs'!$Y$46:$Y$57))*FirstMonthAbsorption,(IF(AP5&gt;MonthFirstUnits,IF(SUM($G35:AO35)+(Absorption*12*LOOKUP(MONTH(AP6),'General Inputs'!$W$46:$W$57,'General Inputs'!$Y$46:$Y$57))&gt;Units*(1-Vacancy),
(Units*(1-Vacancy))-SUM($G35:AO35),
Absorption*12*
LOOKUP(MONTH(AP6),'General Inputs'!$W$46:$W$57,'General Inputs'!$Y$46:$Y$57)),0)))</f>
        <v>0</v>
      </c>
      <c r="AQ35" s="637">
        <f>IF(AQ5=MonthFirstUnits,(Absorption*12*LOOKUP(MONTH(AQ6),'General Inputs'!$W$46:$W$57,'General Inputs'!$Y$46:$Y$57))*FirstMonthAbsorption,(IF(AQ5&gt;MonthFirstUnits,IF(SUM($G35:AP35)+(Absorption*12*LOOKUP(MONTH(AQ6),'General Inputs'!$W$46:$W$57,'General Inputs'!$Y$46:$Y$57))&gt;Units*(1-Vacancy),
(Units*(1-Vacancy))-SUM($G35:AP35),
Absorption*12*
LOOKUP(MONTH(AQ6),'General Inputs'!$W$46:$W$57,'General Inputs'!$Y$46:$Y$57)),0)))</f>
        <v>0</v>
      </c>
      <c r="AR35" s="637">
        <f>IF(AR5=MonthFirstUnits,(Absorption*12*LOOKUP(MONTH(AR6),'General Inputs'!$W$46:$W$57,'General Inputs'!$Y$46:$Y$57))*FirstMonthAbsorption,(IF(AR5&gt;MonthFirstUnits,IF(SUM($G35:AQ35)+(Absorption*12*LOOKUP(MONTH(AR6),'General Inputs'!$W$46:$W$57,'General Inputs'!$Y$46:$Y$57))&gt;Units*(1-Vacancy),
(Units*(1-Vacancy))-SUM($G35:AQ35),
Absorption*12*
LOOKUP(MONTH(AR6),'General Inputs'!$W$46:$W$57,'General Inputs'!$Y$46:$Y$57)),0)))</f>
        <v>0</v>
      </c>
      <c r="AS35" s="637">
        <f>IF(AS5=MonthFirstUnits,(Absorption*12*LOOKUP(MONTH(AS6),'General Inputs'!$W$46:$W$57,'General Inputs'!$Y$46:$Y$57))*FirstMonthAbsorption,(IF(AS5&gt;MonthFirstUnits,IF(SUM($G35:AR35)+(Absorption*12*LOOKUP(MONTH(AS6),'General Inputs'!$W$46:$W$57,'General Inputs'!$Y$46:$Y$57))&gt;Units*(1-Vacancy),
(Units*(1-Vacancy))-SUM($G35:AR35),
Absorption*12*
LOOKUP(MONTH(AS6),'General Inputs'!$W$46:$W$57,'General Inputs'!$Y$46:$Y$57)),0)))</f>
        <v>0</v>
      </c>
      <c r="AT35" s="637">
        <f>IF(AT5=MonthFirstUnits,(Absorption*12*LOOKUP(MONTH(AT6),'General Inputs'!$W$46:$W$57,'General Inputs'!$Y$46:$Y$57))*FirstMonthAbsorption,(IF(AT5&gt;MonthFirstUnits,IF(SUM($G35:AS35)+(Absorption*12*LOOKUP(MONTH(AT6),'General Inputs'!$W$46:$W$57,'General Inputs'!$Y$46:$Y$57))&gt;Units*(1-Vacancy),
(Units*(1-Vacancy))-SUM($G35:AS35),
Absorption*12*
LOOKUP(MONTH(AT6),'General Inputs'!$W$46:$W$57,'General Inputs'!$Y$46:$Y$57)),0)))</f>
        <v>0</v>
      </c>
      <c r="AU35" s="637">
        <f>IF(AU5=MonthFirstUnits,(Absorption*12*LOOKUP(MONTH(AU6),'General Inputs'!$W$46:$W$57,'General Inputs'!$Y$46:$Y$57))*FirstMonthAbsorption,(IF(AU5&gt;MonthFirstUnits,IF(SUM($G35:AT35)+(Absorption*12*LOOKUP(MONTH(AU6),'General Inputs'!$W$46:$W$57,'General Inputs'!$Y$46:$Y$57))&gt;Units*(1-Vacancy),
(Units*(1-Vacancy))-SUM($G35:AT35),
Absorption*12*
LOOKUP(MONTH(AU6),'General Inputs'!$W$46:$W$57,'General Inputs'!$Y$46:$Y$57)),0)))</f>
        <v>0</v>
      </c>
      <c r="AV35" s="637">
        <f>IF(AV5=MonthFirstUnits,(Absorption*12*LOOKUP(MONTH(AV6),'General Inputs'!$W$46:$W$57,'General Inputs'!$Y$46:$Y$57))*FirstMonthAbsorption,(IF(AV5&gt;MonthFirstUnits,IF(SUM($G35:AU35)+(Absorption*12*LOOKUP(MONTH(AV6),'General Inputs'!$W$46:$W$57,'General Inputs'!$Y$46:$Y$57))&gt;Units*(1-Vacancy),
(Units*(1-Vacancy))-SUM($G35:AU35),
Absorption*12*
LOOKUP(MONTH(AV6),'General Inputs'!$W$46:$W$57,'General Inputs'!$Y$46:$Y$57)),0)))</f>
        <v>0</v>
      </c>
      <c r="AW35" s="637">
        <f>IF(AW5=MonthFirstUnits,(Absorption*12*LOOKUP(MONTH(AW6),'General Inputs'!$W$46:$W$57,'General Inputs'!$Y$46:$Y$57))*FirstMonthAbsorption,(IF(AW5&gt;MonthFirstUnits,IF(SUM($G35:AV35)+(Absorption*12*LOOKUP(MONTH(AW6),'General Inputs'!$W$46:$W$57,'General Inputs'!$Y$46:$Y$57))&gt;Units*(1-Vacancy),
(Units*(1-Vacancy))-SUM($G35:AV35),
Absorption*12*
LOOKUP(MONTH(AW6),'General Inputs'!$W$46:$W$57,'General Inputs'!$Y$46:$Y$57)),0)))</f>
        <v>0</v>
      </c>
      <c r="AX35" s="637">
        <f>IF(AX5=MonthFirstUnits,(Absorption*12*LOOKUP(MONTH(AX6),'General Inputs'!$W$46:$W$57,'General Inputs'!$Y$46:$Y$57))*FirstMonthAbsorption,(IF(AX5&gt;MonthFirstUnits,IF(SUM($G35:AW35)+(Absorption*12*LOOKUP(MONTH(AX6),'General Inputs'!$W$46:$W$57,'General Inputs'!$Y$46:$Y$57))&gt;Units*(1-Vacancy),
(Units*(1-Vacancy))-SUM($G35:AW35),
Absorption*12*
LOOKUP(MONTH(AX6),'General Inputs'!$W$46:$W$57,'General Inputs'!$Y$46:$Y$57)),0)))</f>
        <v>0</v>
      </c>
      <c r="AY35" s="637">
        <f>IF(AY5=MonthFirstUnits,(Absorption*12*LOOKUP(MONTH(AY6),'General Inputs'!$W$46:$W$57,'General Inputs'!$Y$46:$Y$57))*FirstMonthAbsorption,(IF(AY5&gt;MonthFirstUnits,IF(SUM($G35:AX35)+(Absorption*12*LOOKUP(MONTH(AY6),'General Inputs'!$W$46:$W$57,'General Inputs'!$Y$46:$Y$57))&gt;Units*(1-Vacancy),
(Units*(1-Vacancy))-SUM($G35:AX35),
Absorption*12*
LOOKUP(MONTH(AY6),'General Inputs'!$W$46:$W$57,'General Inputs'!$Y$46:$Y$57)),0)))</f>
        <v>0</v>
      </c>
      <c r="AZ35" s="637">
        <f>IF(AZ5=MonthFirstUnits,(Absorption*12*LOOKUP(MONTH(AZ6),'General Inputs'!$W$46:$W$57,'General Inputs'!$Y$46:$Y$57))*FirstMonthAbsorption,(IF(AZ5&gt;MonthFirstUnits,IF(SUM($G35:AY35)+(Absorption*12*LOOKUP(MONTH(AZ6),'General Inputs'!$W$46:$W$57,'General Inputs'!$Y$46:$Y$57))&gt;Units*(1-Vacancy),
(Units*(1-Vacancy))-SUM($G35:AY35),
Absorption*12*
LOOKUP(MONTH(AZ6),'General Inputs'!$W$46:$W$57,'General Inputs'!$Y$46:$Y$57)),0)))</f>
        <v>0</v>
      </c>
      <c r="BA35" s="637">
        <f>IF(BA5=MonthFirstUnits,(Absorption*12*LOOKUP(MONTH(BA6),'General Inputs'!$W$46:$W$57,'General Inputs'!$Y$46:$Y$57))*FirstMonthAbsorption,(IF(BA5&gt;MonthFirstUnits,IF(SUM($G35:AZ35)+(Absorption*12*LOOKUP(MONTH(BA6),'General Inputs'!$W$46:$W$57,'General Inputs'!$Y$46:$Y$57))&gt;Units*(1-Vacancy),
(Units*(1-Vacancy))-SUM($G35:AZ35),
Absorption*12*
LOOKUP(MONTH(BA6),'General Inputs'!$W$46:$W$57,'General Inputs'!$Y$46:$Y$57)),0)))</f>
        <v>0</v>
      </c>
      <c r="BB35" s="637">
        <f>IF(BB5=MonthFirstUnits,(Absorption*12*LOOKUP(MONTH(BB6),'General Inputs'!$W$46:$W$57,'General Inputs'!$Y$46:$Y$57))*FirstMonthAbsorption,(IF(BB5&gt;MonthFirstUnits,IF(SUM($G35:BA35)+(Absorption*12*LOOKUP(MONTH(BB6),'General Inputs'!$W$46:$W$57,'General Inputs'!$Y$46:$Y$57))&gt;Units*(1-Vacancy),
(Units*(1-Vacancy))-SUM($G35:BA35),
Absorption*12*
LOOKUP(MONTH(BB6),'General Inputs'!$W$46:$W$57,'General Inputs'!$Y$46:$Y$57)),0)))</f>
        <v>0</v>
      </c>
      <c r="BC35" s="637">
        <f>IF(BC5=MonthFirstUnits,(Absorption*12*LOOKUP(MONTH(BC6),'General Inputs'!$W$46:$W$57,'General Inputs'!$Y$46:$Y$57))*FirstMonthAbsorption,(IF(BC5&gt;MonthFirstUnits,IF(SUM($G35:BB35)+(Absorption*12*LOOKUP(MONTH(BC6),'General Inputs'!$W$46:$W$57,'General Inputs'!$Y$46:$Y$57))&gt;Units*(1-Vacancy),
(Units*(1-Vacancy))-SUM($G35:BB35),
Absorption*12*
LOOKUP(MONTH(BC6),'General Inputs'!$W$46:$W$57,'General Inputs'!$Y$46:$Y$57)),0)))</f>
        <v>0</v>
      </c>
      <c r="BD35" s="637">
        <f>IF(BD5=MonthFirstUnits,(Absorption*12*LOOKUP(MONTH(BD6),'General Inputs'!$W$46:$W$57,'General Inputs'!$Y$46:$Y$57))*FirstMonthAbsorption,(IF(BD5&gt;MonthFirstUnits,IF(SUM($G35:BC35)+(Absorption*12*LOOKUP(MONTH(BD6),'General Inputs'!$W$46:$W$57,'General Inputs'!$Y$46:$Y$57))&gt;Units*(1-Vacancy),
(Units*(1-Vacancy))-SUM($G35:BC35),
Absorption*12*
LOOKUP(MONTH(BD6),'General Inputs'!$W$46:$W$57,'General Inputs'!$Y$46:$Y$57)),0)))</f>
        <v>0</v>
      </c>
      <c r="BE35" s="637">
        <f>IF(BE5=MonthFirstUnits,(Absorption*12*LOOKUP(MONTH(BE6),'General Inputs'!$W$46:$W$57,'General Inputs'!$Y$46:$Y$57))*FirstMonthAbsorption,(IF(BE5&gt;MonthFirstUnits,IF(SUM($G35:BD35)+(Absorption*12*LOOKUP(MONTH(BE6),'General Inputs'!$W$46:$W$57,'General Inputs'!$Y$46:$Y$57))&gt;Units*(1-Vacancy),
(Units*(1-Vacancy))-SUM($G35:BD35),
Absorption*12*
LOOKUP(MONTH(BE6),'General Inputs'!$W$46:$W$57,'General Inputs'!$Y$46:$Y$57)),0)))</f>
        <v>0</v>
      </c>
      <c r="BF35" s="637">
        <f>IF(BF5=MonthFirstUnits,(Absorption*12*LOOKUP(MONTH(BF6),'General Inputs'!$W$46:$W$57,'General Inputs'!$Y$46:$Y$57))*FirstMonthAbsorption,(IF(BF5&gt;MonthFirstUnits,IF(SUM($G35:BE35)+(Absorption*12*LOOKUP(MONTH(BF6),'General Inputs'!$W$46:$W$57,'General Inputs'!$Y$46:$Y$57))&gt;Units*(1-Vacancy),
(Units*(1-Vacancy))-SUM($G35:BE35),
Absorption*12*
LOOKUP(MONTH(BF6),'General Inputs'!$W$46:$W$57,'General Inputs'!$Y$46:$Y$57)),0)))</f>
        <v>0</v>
      </c>
      <c r="BG35" s="637">
        <f>IF(BG5=MonthFirstUnits,(Absorption*12*LOOKUP(MONTH(BG6),'General Inputs'!$W$46:$W$57,'General Inputs'!$Y$46:$Y$57))*FirstMonthAbsorption,(IF(BG5&gt;MonthFirstUnits,IF(SUM($G35:BF35)+(Absorption*12*LOOKUP(MONTH(BG6),'General Inputs'!$W$46:$W$57,'General Inputs'!$Y$46:$Y$57))&gt;Units*(1-Vacancy),
(Units*(1-Vacancy))-SUM($G35:BF35),
Absorption*12*
LOOKUP(MONTH(BG6),'General Inputs'!$W$46:$W$57,'General Inputs'!$Y$46:$Y$57)),0)))</f>
        <v>0</v>
      </c>
      <c r="BH35" s="637">
        <f>IF(BH5=MonthFirstUnits,(Absorption*12*LOOKUP(MONTH(BH6),'General Inputs'!$W$46:$W$57,'General Inputs'!$Y$46:$Y$57))*FirstMonthAbsorption,(IF(BH5&gt;MonthFirstUnits,IF(SUM($G35:BG35)+(Absorption*12*LOOKUP(MONTH(BH6),'General Inputs'!$W$46:$W$57,'General Inputs'!$Y$46:$Y$57))&gt;Units*(1-Vacancy),
(Units*(1-Vacancy))-SUM($G35:BG35),
Absorption*12*
LOOKUP(MONTH(BH6),'General Inputs'!$W$46:$W$57,'General Inputs'!$Y$46:$Y$57)),0)))</f>
        <v>0</v>
      </c>
      <c r="BI35" s="637">
        <f>IF(BI5=MonthFirstUnits,(Absorption*12*LOOKUP(MONTH(BI6),'General Inputs'!$W$46:$W$57,'General Inputs'!$Y$46:$Y$57))*FirstMonthAbsorption,(IF(BI5&gt;MonthFirstUnits,IF(SUM($G35:BH35)+(Absorption*12*LOOKUP(MONTH(BI6),'General Inputs'!$W$46:$W$57,'General Inputs'!$Y$46:$Y$57))&gt;Units*(1-Vacancy),
(Units*(1-Vacancy))-SUM($G35:BH35),
Absorption*12*
LOOKUP(MONTH(BI6),'General Inputs'!$W$46:$W$57,'General Inputs'!$Y$46:$Y$57)),0)))</f>
        <v>0</v>
      </c>
      <c r="BJ35" s="637">
        <f>IF(BJ5=MonthFirstUnits,(Absorption*12*LOOKUP(MONTH(BJ6),'General Inputs'!$W$46:$W$57,'General Inputs'!$Y$46:$Y$57))*FirstMonthAbsorption,(IF(BJ5&gt;MonthFirstUnits,IF(SUM($G35:BI35)+(Absorption*12*LOOKUP(MONTH(BJ6),'General Inputs'!$W$46:$W$57,'General Inputs'!$Y$46:$Y$57))&gt;Units*(1-Vacancy),
(Units*(1-Vacancy))-SUM($G35:BI35),
Absorption*12*
LOOKUP(MONTH(BJ6),'General Inputs'!$W$46:$W$57,'General Inputs'!$Y$46:$Y$57)),0)))</f>
        <v>0</v>
      </c>
      <c r="BK35" s="637">
        <f>IF(BK5=MonthFirstUnits,(Absorption*12*LOOKUP(MONTH(BK6),'General Inputs'!$W$46:$W$57,'General Inputs'!$Y$46:$Y$57))*FirstMonthAbsorption,(IF(BK5&gt;MonthFirstUnits,IF(SUM($G35:BJ35)+(Absorption*12*LOOKUP(MONTH(BK6),'General Inputs'!$W$46:$W$57,'General Inputs'!$Y$46:$Y$57))&gt;Units*(1-Vacancy),
(Units*(1-Vacancy))-SUM($G35:BJ35),
Absorption*12*
LOOKUP(MONTH(BK6),'General Inputs'!$W$46:$W$57,'General Inputs'!$Y$46:$Y$57)),0)))</f>
        <v>0</v>
      </c>
      <c r="BL35" s="637">
        <f>IF(BL5=MonthFirstUnits,(Absorption*12*LOOKUP(MONTH(BL6),'General Inputs'!$W$46:$W$57,'General Inputs'!$Y$46:$Y$57))*FirstMonthAbsorption,(IF(BL5&gt;MonthFirstUnits,IF(SUM($G35:BK35)+(Absorption*12*LOOKUP(MONTH(BL6),'General Inputs'!$W$46:$W$57,'General Inputs'!$Y$46:$Y$57))&gt;Units*(1-Vacancy),
(Units*(1-Vacancy))-SUM($G35:BK35),
Absorption*12*
LOOKUP(MONTH(BL6),'General Inputs'!$W$46:$W$57,'General Inputs'!$Y$46:$Y$57)),0)))</f>
        <v>0</v>
      </c>
      <c r="BM35" s="637">
        <f>IF(BM5=MonthFirstUnits,(Absorption*12*LOOKUP(MONTH(BM6),'General Inputs'!$W$46:$W$57,'General Inputs'!$Y$46:$Y$57))*FirstMonthAbsorption,(IF(BM5&gt;MonthFirstUnits,IF(SUM($G35:BL35)+(Absorption*12*LOOKUP(MONTH(BM6),'General Inputs'!$W$46:$W$57,'General Inputs'!$Y$46:$Y$57))&gt;Units*(1-Vacancy),
(Units*(1-Vacancy))-SUM($G35:BL35),
Absorption*12*
LOOKUP(MONTH(BM6),'General Inputs'!$W$46:$W$57,'General Inputs'!$Y$46:$Y$57)),0)))</f>
        <v>0</v>
      </c>
      <c r="BN35" s="637">
        <f>IF(BN5=MonthFirstUnits,(Absorption*12*LOOKUP(MONTH(BN6),'General Inputs'!$W$46:$W$57,'General Inputs'!$Y$46:$Y$57))*FirstMonthAbsorption,(IF(BN5&gt;MonthFirstUnits,IF(SUM($G35:BM35)+(Absorption*12*LOOKUP(MONTH(BN6),'General Inputs'!$W$46:$W$57,'General Inputs'!$Y$46:$Y$57))&gt;Units*(1-Vacancy),
(Units*(1-Vacancy))-SUM($G35:BM35),
Absorption*12*
LOOKUP(MONTH(BN6),'General Inputs'!$W$46:$W$57,'General Inputs'!$Y$46:$Y$57)),0)))</f>
        <v>0</v>
      </c>
      <c r="BO35" s="637">
        <f>IF(BO5=MonthFirstUnits,(Absorption*12*LOOKUP(MONTH(BO6),'General Inputs'!$W$46:$W$57,'General Inputs'!$Y$46:$Y$57))*FirstMonthAbsorption,(IF(BO5&gt;MonthFirstUnits,IF(SUM($G35:BN35)+(Absorption*12*LOOKUP(MONTH(BO6),'General Inputs'!$W$46:$W$57,'General Inputs'!$Y$46:$Y$57))&gt;Units*(1-Vacancy),
(Units*(1-Vacancy))-SUM($G35:BN35),
Absorption*12*
LOOKUP(MONTH(BO6),'General Inputs'!$W$46:$W$57,'General Inputs'!$Y$46:$Y$57)),0)))</f>
        <v>0</v>
      </c>
      <c r="BP35" s="637">
        <f>IF(BP5=MonthFirstUnits,(Absorption*12*LOOKUP(MONTH(BP6),'General Inputs'!$W$46:$W$57,'General Inputs'!$Y$46:$Y$57))*FirstMonthAbsorption,(IF(BP5&gt;MonthFirstUnits,IF(SUM($G35:BO35)+(Absorption*12*LOOKUP(MONTH(BP6),'General Inputs'!$W$46:$W$57,'General Inputs'!$Y$46:$Y$57))&gt;Units*(1-Vacancy),
(Units*(1-Vacancy))-SUM($G35:BO35),
Absorption*12*
LOOKUP(MONTH(BP6),'General Inputs'!$W$46:$W$57,'General Inputs'!$Y$46:$Y$57)),0)))</f>
        <v>0</v>
      </c>
      <c r="BQ35" s="637">
        <f>IF(BQ5=MonthFirstUnits,(Absorption*12*LOOKUP(MONTH(BQ6),'General Inputs'!$W$46:$W$57,'General Inputs'!$Y$46:$Y$57))*FirstMonthAbsorption,(IF(BQ5&gt;MonthFirstUnits,IF(SUM($G35:BP35)+(Absorption*12*LOOKUP(MONTH(BQ6),'General Inputs'!$W$46:$W$57,'General Inputs'!$Y$46:$Y$57))&gt;Units*(1-Vacancy),
(Units*(1-Vacancy))-SUM($G35:BP35),
Absorption*12*
LOOKUP(MONTH(BQ6),'General Inputs'!$W$46:$W$57,'General Inputs'!$Y$46:$Y$57)),0)))</f>
        <v>0</v>
      </c>
      <c r="BR35" s="637">
        <f>IF(BR5=MonthFirstUnits,(Absorption*12*LOOKUP(MONTH(BR6),'General Inputs'!$W$46:$W$57,'General Inputs'!$Y$46:$Y$57))*FirstMonthAbsorption,(IF(BR5&gt;MonthFirstUnits,IF(SUM($G35:BQ35)+(Absorption*12*LOOKUP(MONTH(BR6),'General Inputs'!$W$46:$W$57,'General Inputs'!$Y$46:$Y$57))&gt;Units*(1-Vacancy),
(Units*(1-Vacancy))-SUM($G35:BQ35),
Absorption*12*
LOOKUP(MONTH(BR6),'General Inputs'!$W$46:$W$57,'General Inputs'!$Y$46:$Y$57)),0)))</f>
        <v>0</v>
      </c>
      <c r="BS35" s="637">
        <f>IF(BS5=MonthFirstUnits,(Absorption*12*LOOKUP(MONTH(BS6),'General Inputs'!$W$46:$W$57,'General Inputs'!$Y$46:$Y$57))*FirstMonthAbsorption,(IF(BS5&gt;MonthFirstUnits,IF(SUM($G35:BR35)+(Absorption*12*LOOKUP(MONTH(BS6),'General Inputs'!$W$46:$W$57,'General Inputs'!$Y$46:$Y$57))&gt;Units*(1-Vacancy),
(Units*(1-Vacancy))-SUM($G35:BR35),
Absorption*12*
LOOKUP(MONTH(BS6),'General Inputs'!$W$46:$W$57,'General Inputs'!$Y$46:$Y$57)),0)))</f>
        <v>0</v>
      </c>
      <c r="BT35" s="637">
        <f>IF(BT5=MonthFirstUnits,(Absorption*12*LOOKUP(MONTH(BT6),'General Inputs'!$W$46:$W$57,'General Inputs'!$Y$46:$Y$57))*FirstMonthAbsorption,(IF(BT5&gt;MonthFirstUnits,IF(SUM($G35:BS35)+(Absorption*12*LOOKUP(MONTH(BT6),'General Inputs'!$W$46:$W$57,'General Inputs'!$Y$46:$Y$57))&gt;Units*(1-Vacancy),
(Units*(1-Vacancy))-SUM($G35:BS35),
Absorption*12*
LOOKUP(MONTH(BT6),'General Inputs'!$W$46:$W$57,'General Inputs'!$Y$46:$Y$57)),0)))</f>
        <v>0</v>
      </c>
      <c r="BU35" s="637">
        <f>IF(BU5=MonthFirstUnits,(Absorption*12*LOOKUP(MONTH(BU6),'General Inputs'!$W$46:$W$57,'General Inputs'!$Y$46:$Y$57))*FirstMonthAbsorption,(IF(BU5&gt;MonthFirstUnits,IF(SUM($G35:BT35)+(Absorption*12*LOOKUP(MONTH(BU6),'General Inputs'!$W$46:$W$57,'General Inputs'!$Y$46:$Y$57))&gt;Units*(1-Vacancy),
(Units*(1-Vacancy))-SUM($G35:BT35),
Absorption*12*
LOOKUP(MONTH(BU6),'General Inputs'!$W$46:$W$57,'General Inputs'!$Y$46:$Y$57)),0)))</f>
        <v>0</v>
      </c>
      <c r="BV35" s="637">
        <f>IF(BV5=MonthFirstUnits,(Absorption*12*LOOKUP(MONTH(BV6),'General Inputs'!$W$46:$W$57,'General Inputs'!$Y$46:$Y$57))*FirstMonthAbsorption,(IF(BV5&gt;MonthFirstUnits,IF(SUM($G35:BU35)+(Absorption*12*LOOKUP(MONTH(BV6),'General Inputs'!$W$46:$W$57,'General Inputs'!$Y$46:$Y$57))&gt;Units*(1-Vacancy),
(Units*(1-Vacancy))-SUM($G35:BU35),
Absorption*12*
LOOKUP(MONTH(BV6),'General Inputs'!$W$46:$W$57,'General Inputs'!$Y$46:$Y$57)),0)))</f>
        <v>0</v>
      </c>
      <c r="BW35" s="637">
        <f>IF(BW5=MonthFirstUnits,(Absorption*12*LOOKUP(MONTH(BW6),'General Inputs'!$W$46:$W$57,'General Inputs'!$Y$46:$Y$57))*FirstMonthAbsorption,(IF(BW5&gt;MonthFirstUnits,IF(SUM($G35:BV35)+(Absorption*12*LOOKUP(MONTH(BW6),'General Inputs'!$W$46:$W$57,'General Inputs'!$Y$46:$Y$57))&gt;Units*(1-Vacancy),
(Units*(1-Vacancy))-SUM($G35:BV35),
Absorption*12*
LOOKUP(MONTH(BW6),'General Inputs'!$W$46:$W$57,'General Inputs'!$Y$46:$Y$57)),0)))</f>
        <v>0</v>
      </c>
      <c r="BX35" s="637">
        <f>IF(BX5=MonthFirstUnits,(Absorption*12*LOOKUP(MONTH(BX6),'General Inputs'!$W$46:$W$57,'General Inputs'!$Y$46:$Y$57))*FirstMonthAbsorption,(IF(BX5&gt;MonthFirstUnits,IF(SUM($G35:BW35)+(Absorption*12*LOOKUP(MONTH(BX6),'General Inputs'!$W$46:$W$57,'General Inputs'!$Y$46:$Y$57))&gt;Units*(1-Vacancy),
(Units*(1-Vacancy))-SUM($G35:BW35),
Absorption*12*
LOOKUP(MONTH(BX6),'General Inputs'!$W$46:$W$57,'General Inputs'!$Y$46:$Y$57)),0)))</f>
        <v>0</v>
      </c>
      <c r="BY35" s="637">
        <f>IF(BY5=MonthFirstUnits,(Absorption*12*LOOKUP(MONTH(BY6),'General Inputs'!$W$46:$W$57,'General Inputs'!$Y$46:$Y$57))*FirstMonthAbsorption,(IF(BY5&gt;MonthFirstUnits,IF(SUM($G35:BX35)+(Absorption*12*LOOKUP(MONTH(BY6),'General Inputs'!$W$46:$W$57,'General Inputs'!$Y$46:$Y$57))&gt;Units*(1-Vacancy),
(Units*(1-Vacancy))-SUM($G35:BX35),
Absorption*12*
LOOKUP(MONTH(BY6),'General Inputs'!$W$46:$W$57,'General Inputs'!$Y$46:$Y$57)),0)))</f>
        <v>0</v>
      </c>
      <c r="BZ35" s="637">
        <f>IF(BZ5=MonthFirstUnits,(Absorption*12*LOOKUP(MONTH(BZ6),'General Inputs'!$W$46:$W$57,'General Inputs'!$Y$46:$Y$57))*FirstMonthAbsorption,(IF(BZ5&gt;MonthFirstUnits,IF(SUM($G35:BY35)+(Absorption*12*LOOKUP(MONTH(BZ6),'General Inputs'!$W$46:$W$57,'General Inputs'!$Y$46:$Y$57))&gt;Units*(1-Vacancy),
(Units*(1-Vacancy))-SUM($G35:BY35),
Absorption*12*
LOOKUP(MONTH(BZ6),'General Inputs'!$W$46:$W$57,'General Inputs'!$Y$46:$Y$57)),0)))</f>
        <v>0</v>
      </c>
      <c r="CA35" s="637">
        <f>IF(CA5=MonthFirstUnits,(Absorption*12*LOOKUP(MONTH(CA6),'General Inputs'!$W$46:$W$57,'General Inputs'!$Y$46:$Y$57))*FirstMonthAbsorption,(IF(CA5&gt;MonthFirstUnits,IF(SUM($G35:BZ35)+(Absorption*12*LOOKUP(MONTH(CA6),'General Inputs'!$W$46:$W$57,'General Inputs'!$Y$46:$Y$57))&gt;Units*(1-Vacancy),
(Units*(1-Vacancy))-SUM($G35:BZ35),
Absorption*12*
LOOKUP(MONTH(CA6),'General Inputs'!$W$46:$W$57,'General Inputs'!$Y$46:$Y$57)),0)))</f>
        <v>0</v>
      </c>
      <c r="CB35" s="637">
        <f>IF(CB5=MonthFirstUnits,(Absorption*12*LOOKUP(MONTH(CB6),'General Inputs'!$W$46:$W$57,'General Inputs'!$Y$46:$Y$57))*FirstMonthAbsorption,(IF(CB5&gt;MonthFirstUnits,IF(SUM($G35:CA35)+(Absorption*12*LOOKUP(MONTH(CB6),'General Inputs'!$W$46:$W$57,'General Inputs'!$Y$46:$Y$57))&gt;Units*(1-Vacancy),
(Units*(1-Vacancy))-SUM($G35:CA35),
Absorption*12*
LOOKUP(MONTH(CB6),'General Inputs'!$W$46:$W$57,'General Inputs'!$Y$46:$Y$57)),0)))</f>
        <v>0</v>
      </c>
      <c r="CC35" s="637">
        <f>IF(CC5=MonthFirstUnits,(Absorption*12*LOOKUP(MONTH(CC6),'General Inputs'!$W$46:$W$57,'General Inputs'!$Y$46:$Y$57))*FirstMonthAbsorption,(IF(CC5&gt;MonthFirstUnits,IF(SUM($G35:CB35)+(Absorption*12*LOOKUP(MONTH(CC6),'General Inputs'!$W$46:$W$57,'General Inputs'!$Y$46:$Y$57))&gt;Units*(1-Vacancy),
(Units*(1-Vacancy))-SUM($G35:CB35),
Absorption*12*
LOOKUP(MONTH(CC6),'General Inputs'!$W$46:$W$57,'General Inputs'!$Y$46:$Y$57)),0)))</f>
        <v>0</v>
      </c>
      <c r="CD35" s="637">
        <f>IF(CD5=MonthFirstUnits,(Absorption*12*LOOKUP(MONTH(CD6),'General Inputs'!$W$46:$W$57,'General Inputs'!$Y$46:$Y$57))*FirstMonthAbsorption,(IF(CD5&gt;MonthFirstUnits,IF(SUM($G35:CC35)+(Absorption*12*LOOKUP(MONTH(CD6),'General Inputs'!$W$46:$W$57,'General Inputs'!$Y$46:$Y$57))&gt;Units*(1-Vacancy),
(Units*(1-Vacancy))-SUM($G35:CC35),
Absorption*12*
LOOKUP(MONTH(CD6),'General Inputs'!$W$46:$W$57,'General Inputs'!$Y$46:$Y$57)),0)))</f>
        <v>0</v>
      </c>
      <c r="CE35" s="637">
        <f>IF(CE5=MonthFirstUnits,(Absorption*12*LOOKUP(MONTH(CE6),'General Inputs'!$W$46:$W$57,'General Inputs'!$Y$46:$Y$57))*FirstMonthAbsorption,(IF(CE5&gt;MonthFirstUnits,IF(SUM($G35:CD35)+(Absorption*12*LOOKUP(MONTH(CE6),'General Inputs'!$W$46:$W$57,'General Inputs'!$Y$46:$Y$57))&gt;Units*(1-Vacancy),
(Units*(1-Vacancy))-SUM($G35:CD35),
Absorption*12*
LOOKUP(MONTH(CE6),'General Inputs'!$W$46:$W$57,'General Inputs'!$Y$46:$Y$57)),0)))</f>
        <v>0</v>
      </c>
      <c r="CF35" s="637">
        <f>IF(CF5=MonthFirstUnits,(Absorption*12*LOOKUP(MONTH(CF6),'General Inputs'!$W$46:$W$57,'General Inputs'!$Y$46:$Y$57))*FirstMonthAbsorption,(IF(CF5&gt;MonthFirstUnits,IF(SUM($G35:CE35)+(Absorption*12*LOOKUP(MONTH(CF6),'General Inputs'!$W$46:$W$57,'General Inputs'!$Y$46:$Y$57))&gt;Units*(1-Vacancy),
(Units*(1-Vacancy))-SUM($G35:CE35),
Absorption*12*
LOOKUP(MONTH(CF6),'General Inputs'!$W$46:$W$57,'General Inputs'!$Y$46:$Y$57)),0)))</f>
        <v>0</v>
      </c>
      <c r="CG35" s="637">
        <f>IF(CG5=MonthFirstUnits,(Absorption*12*LOOKUP(MONTH(CG6),'General Inputs'!$W$46:$W$57,'General Inputs'!$Y$46:$Y$57))*FirstMonthAbsorption,(IF(CG5&gt;MonthFirstUnits,IF(SUM($G35:CF35)+(Absorption*12*LOOKUP(MONTH(CG6),'General Inputs'!$W$46:$W$57,'General Inputs'!$Y$46:$Y$57))&gt;Units*(1-Vacancy),
(Units*(1-Vacancy))-SUM($G35:CF35),
Absorption*12*
LOOKUP(MONTH(CG6),'General Inputs'!$W$46:$W$57,'General Inputs'!$Y$46:$Y$57)),0)))</f>
        <v>0</v>
      </c>
      <c r="CH35" s="637">
        <f>IF(CH5=MonthFirstUnits,(Absorption*12*LOOKUP(MONTH(CH6),'General Inputs'!$W$46:$W$57,'General Inputs'!$Y$46:$Y$57))*FirstMonthAbsorption,(IF(CH5&gt;MonthFirstUnits,IF(SUM($G35:CG35)+(Absorption*12*LOOKUP(MONTH(CH6),'General Inputs'!$W$46:$W$57,'General Inputs'!$Y$46:$Y$57))&gt;Units*(1-Vacancy),
(Units*(1-Vacancy))-SUM($G35:CG35),
Absorption*12*
LOOKUP(MONTH(CH6),'General Inputs'!$W$46:$W$57,'General Inputs'!$Y$46:$Y$57)),0)))</f>
        <v>0</v>
      </c>
      <c r="CI35" s="637">
        <f>IF(CI5=MonthFirstUnits,(Absorption*12*LOOKUP(MONTH(CI6),'General Inputs'!$W$46:$W$57,'General Inputs'!$Y$46:$Y$57))*FirstMonthAbsorption,(IF(CI5&gt;MonthFirstUnits,IF(SUM($G35:CH35)+(Absorption*12*LOOKUP(MONTH(CI6),'General Inputs'!$W$46:$W$57,'General Inputs'!$Y$46:$Y$57))&gt;Units*(1-Vacancy),
(Units*(1-Vacancy))-SUM($G35:CH35),
Absorption*12*
LOOKUP(MONTH(CI6),'General Inputs'!$W$46:$W$57,'General Inputs'!$Y$46:$Y$57)),0)))</f>
        <v>0</v>
      </c>
      <c r="CJ35" s="637">
        <f>IF(CJ5=MonthFirstUnits,(Absorption*12*LOOKUP(MONTH(CJ6),'General Inputs'!$W$46:$W$57,'General Inputs'!$Y$46:$Y$57))*FirstMonthAbsorption,(IF(CJ5&gt;MonthFirstUnits,IF(SUM($G35:CI35)+(Absorption*12*LOOKUP(MONTH(CJ6),'General Inputs'!$W$46:$W$57,'General Inputs'!$Y$46:$Y$57))&gt;Units*(1-Vacancy),
(Units*(1-Vacancy))-SUM($G35:CI35),
Absorption*12*
LOOKUP(MONTH(CJ6),'General Inputs'!$W$46:$W$57,'General Inputs'!$Y$46:$Y$57)),0)))</f>
        <v>0</v>
      </c>
      <c r="CK35" s="637">
        <f>IF(CK5=MonthFirstUnits,(Absorption*12*LOOKUP(MONTH(CK6),'General Inputs'!$W$46:$W$57,'General Inputs'!$Y$46:$Y$57))*FirstMonthAbsorption,(IF(CK5&gt;MonthFirstUnits,IF(SUM($G35:CJ35)+(Absorption*12*LOOKUP(MONTH(CK6),'General Inputs'!$W$46:$W$57,'General Inputs'!$Y$46:$Y$57))&gt;Units*(1-Vacancy),
(Units*(1-Vacancy))-SUM($G35:CJ35),
Absorption*12*
LOOKUP(MONTH(CK6),'General Inputs'!$W$46:$W$57,'General Inputs'!$Y$46:$Y$57)),0)))</f>
        <v>0</v>
      </c>
      <c r="CL35" s="637">
        <f>IF(CL5=MonthFirstUnits,(Absorption*12*LOOKUP(MONTH(CL6),'General Inputs'!$W$46:$W$57,'General Inputs'!$Y$46:$Y$57))*FirstMonthAbsorption,(IF(CL5&gt;MonthFirstUnits,IF(SUM($G35:CK35)+(Absorption*12*LOOKUP(MONTH(CL6),'General Inputs'!$W$46:$W$57,'General Inputs'!$Y$46:$Y$57))&gt;Units*(1-Vacancy),
(Units*(1-Vacancy))-SUM($G35:CK35),
Absorption*12*
LOOKUP(MONTH(CL6),'General Inputs'!$W$46:$W$57,'General Inputs'!$Y$46:$Y$57)),0)))</f>
        <v>0</v>
      </c>
      <c r="CM35" s="637">
        <f>IF(CM5=MonthFirstUnits,(Absorption*12*LOOKUP(MONTH(CM6),'General Inputs'!$W$46:$W$57,'General Inputs'!$Y$46:$Y$57))*FirstMonthAbsorption,(IF(CM5&gt;MonthFirstUnits,IF(SUM($G35:CL35)+(Absorption*12*LOOKUP(MONTH(CM6),'General Inputs'!$W$46:$W$57,'General Inputs'!$Y$46:$Y$57))&gt;Units*(1-Vacancy),
(Units*(1-Vacancy))-SUM($G35:CL35),
Absorption*12*
LOOKUP(MONTH(CM6),'General Inputs'!$W$46:$W$57,'General Inputs'!$Y$46:$Y$57)),0)))</f>
        <v>0</v>
      </c>
      <c r="CN35" s="637">
        <f>IF(CN5=MonthFirstUnits,(Absorption*12*LOOKUP(MONTH(CN6),'General Inputs'!$W$46:$W$57,'General Inputs'!$Y$46:$Y$57))*FirstMonthAbsorption,(IF(CN5&gt;MonthFirstUnits,IF(SUM($G35:CM35)+(Absorption*12*LOOKUP(MONTH(CN6),'General Inputs'!$W$46:$W$57,'General Inputs'!$Y$46:$Y$57))&gt;Units*(1-Vacancy),
(Units*(1-Vacancy))-SUM($G35:CM35),
Absorption*12*
LOOKUP(MONTH(CN6),'General Inputs'!$W$46:$W$57,'General Inputs'!$Y$46:$Y$57)),0)))</f>
        <v>0</v>
      </c>
      <c r="CO35" s="637">
        <f>IF(CO5=MonthFirstUnits,(Absorption*12*LOOKUP(MONTH(CO6),'General Inputs'!$W$46:$W$57,'General Inputs'!$Y$46:$Y$57))*FirstMonthAbsorption,(IF(CO5&gt;MonthFirstUnits,IF(SUM($G35:CN35)+(Absorption*12*LOOKUP(MONTH(CO6),'General Inputs'!$W$46:$W$57,'General Inputs'!$Y$46:$Y$57))&gt;Units*(1-Vacancy),
(Units*(1-Vacancy))-SUM($G35:CN35),
Absorption*12*
LOOKUP(MONTH(CO6),'General Inputs'!$W$46:$W$57,'General Inputs'!$Y$46:$Y$57)),0)))</f>
        <v>0</v>
      </c>
      <c r="CP35" s="637">
        <f>IF(CP5=MonthFirstUnits,(Absorption*12*LOOKUP(MONTH(CP6),'General Inputs'!$W$46:$W$57,'General Inputs'!$Y$46:$Y$57))*FirstMonthAbsorption,(IF(CP5&gt;MonthFirstUnits,IF(SUM($G35:CO35)+(Absorption*12*LOOKUP(MONTH(CP6),'General Inputs'!$W$46:$W$57,'General Inputs'!$Y$46:$Y$57))&gt;Units*(1-Vacancy),
(Units*(1-Vacancy))-SUM($G35:CO35),
Absorption*12*
LOOKUP(MONTH(CP6),'General Inputs'!$W$46:$W$57,'General Inputs'!$Y$46:$Y$57)),0)))</f>
        <v>0</v>
      </c>
      <c r="CQ35" s="637">
        <f>IF(CQ5=MonthFirstUnits,(Absorption*12*LOOKUP(MONTH(CQ6),'General Inputs'!$W$46:$W$57,'General Inputs'!$Y$46:$Y$57))*FirstMonthAbsorption,(IF(CQ5&gt;MonthFirstUnits,IF(SUM($G35:CP35)+(Absorption*12*LOOKUP(MONTH(CQ6),'General Inputs'!$W$46:$W$57,'General Inputs'!$Y$46:$Y$57))&gt;Units*(1-Vacancy),
(Units*(1-Vacancy))-SUM($G35:CP35),
Absorption*12*
LOOKUP(MONTH(CQ6),'General Inputs'!$W$46:$W$57,'General Inputs'!$Y$46:$Y$57)),0)))</f>
        <v>0</v>
      </c>
      <c r="CR35" s="637">
        <f>IF(CR5=MonthFirstUnits,(Absorption*12*LOOKUP(MONTH(CR6),'General Inputs'!$W$46:$W$57,'General Inputs'!$Y$46:$Y$57))*FirstMonthAbsorption,(IF(CR5&gt;MonthFirstUnits,IF(SUM($G35:CQ35)+(Absorption*12*LOOKUP(MONTH(CR6),'General Inputs'!$W$46:$W$57,'General Inputs'!$Y$46:$Y$57))&gt;Units*(1-Vacancy),
(Units*(1-Vacancy))-SUM($G35:CQ35),
Absorption*12*
LOOKUP(MONTH(CR6),'General Inputs'!$W$46:$W$57,'General Inputs'!$Y$46:$Y$57)),0)))</f>
        <v>0</v>
      </c>
      <c r="CS35" s="637">
        <f>IF(CS5=MonthFirstUnits,(Absorption*12*LOOKUP(MONTH(CS6),'General Inputs'!$W$46:$W$57,'General Inputs'!$Y$46:$Y$57))*FirstMonthAbsorption,(IF(CS5&gt;MonthFirstUnits,IF(SUM($G35:CR35)+(Absorption*12*LOOKUP(MONTH(CS6),'General Inputs'!$W$46:$W$57,'General Inputs'!$Y$46:$Y$57))&gt;Units*(1-Vacancy),
(Units*(1-Vacancy))-SUM($G35:CR35),
Absorption*12*
LOOKUP(MONTH(CS6),'General Inputs'!$W$46:$W$57,'General Inputs'!$Y$46:$Y$57)),0)))</f>
        <v>0</v>
      </c>
      <c r="CT35" s="637">
        <f>IF(CT5=MonthFirstUnits,(Absorption*12*LOOKUP(MONTH(CT6),'General Inputs'!$W$46:$W$57,'General Inputs'!$Y$46:$Y$57))*FirstMonthAbsorption,(IF(CT5&gt;MonthFirstUnits,IF(SUM($G35:CS35)+(Absorption*12*LOOKUP(MONTH(CT6),'General Inputs'!$W$46:$W$57,'General Inputs'!$Y$46:$Y$57))&gt;Units*(1-Vacancy),
(Units*(1-Vacancy))-SUM($G35:CS35),
Absorption*12*
LOOKUP(MONTH(CT6),'General Inputs'!$W$46:$W$57,'General Inputs'!$Y$46:$Y$57)),0)))</f>
        <v>0</v>
      </c>
      <c r="CU35" s="637">
        <f>IF(CU5=MonthFirstUnits,(Absorption*12*LOOKUP(MONTH(CU6),'General Inputs'!$W$46:$W$57,'General Inputs'!$Y$46:$Y$57))*FirstMonthAbsorption,(IF(CU5&gt;MonthFirstUnits,IF(SUM($G35:CT35)+(Absorption*12*LOOKUP(MONTH(CU6),'General Inputs'!$W$46:$W$57,'General Inputs'!$Y$46:$Y$57))&gt;Units*(1-Vacancy),
(Units*(1-Vacancy))-SUM($G35:CT35),
Absorption*12*
LOOKUP(MONTH(CU6),'General Inputs'!$W$46:$W$57,'General Inputs'!$Y$46:$Y$57)),0)))</f>
        <v>0</v>
      </c>
      <c r="CV35" s="637">
        <f>IF(CV5=MonthFirstUnits,(Absorption*12*LOOKUP(MONTH(CV6),'General Inputs'!$W$46:$W$57,'General Inputs'!$Y$46:$Y$57))*FirstMonthAbsorption,(IF(CV5&gt;MonthFirstUnits,IF(SUM($G35:CU35)+(Absorption*12*LOOKUP(MONTH(CV6),'General Inputs'!$W$46:$W$57,'General Inputs'!$Y$46:$Y$57))&gt;Units*(1-Vacancy),
(Units*(1-Vacancy))-SUM($G35:CU35),
Absorption*12*
LOOKUP(MONTH(CV6),'General Inputs'!$W$46:$W$57,'General Inputs'!$Y$46:$Y$57)),0)))</f>
        <v>0</v>
      </c>
      <c r="CW35" s="637">
        <f>IF(CW5=MonthFirstUnits,(Absorption*12*LOOKUP(MONTH(CW6),'General Inputs'!$W$46:$W$57,'General Inputs'!$Y$46:$Y$57))*FirstMonthAbsorption,(IF(CW5&gt;MonthFirstUnits,IF(SUM($G35:CV35)+(Absorption*12*LOOKUP(MONTH(CW6),'General Inputs'!$W$46:$W$57,'General Inputs'!$Y$46:$Y$57))&gt;Units*(1-Vacancy),
(Units*(1-Vacancy))-SUM($G35:CV35),
Absorption*12*
LOOKUP(MONTH(CW6),'General Inputs'!$W$46:$W$57,'General Inputs'!$Y$46:$Y$57)),0)))</f>
        <v>0</v>
      </c>
      <c r="CX35" s="637">
        <f>IF(CX5=MonthFirstUnits,(Absorption*12*LOOKUP(MONTH(CX6),'General Inputs'!$W$46:$W$57,'General Inputs'!$Y$46:$Y$57))*FirstMonthAbsorption,(IF(CX5&gt;MonthFirstUnits,IF(SUM($G35:CW35)+(Absorption*12*LOOKUP(MONTH(CX6),'General Inputs'!$W$46:$W$57,'General Inputs'!$Y$46:$Y$57))&gt;Units*(1-Vacancy),
(Units*(1-Vacancy))-SUM($G35:CW35),
Absorption*12*
LOOKUP(MONTH(CX6),'General Inputs'!$W$46:$W$57,'General Inputs'!$Y$46:$Y$57)),0)))</f>
        <v>0</v>
      </c>
      <c r="CY35" s="637">
        <f>IF(CY5=MonthFirstUnits,(Absorption*12*LOOKUP(MONTH(CY6),'General Inputs'!$W$46:$W$57,'General Inputs'!$Y$46:$Y$57))*FirstMonthAbsorption,(IF(CY5&gt;MonthFirstUnits,IF(SUM($G35:CX35)+(Absorption*12*LOOKUP(MONTH(CY6),'General Inputs'!$W$46:$W$57,'General Inputs'!$Y$46:$Y$57))&gt;Units*(1-Vacancy),
(Units*(1-Vacancy))-SUM($G35:CX35),
Absorption*12*
LOOKUP(MONTH(CY6),'General Inputs'!$W$46:$W$57,'General Inputs'!$Y$46:$Y$57)),0)))</f>
        <v>0</v>
      </c>
      <c r="CZ35" s="637">
        <f>IF(CZ5=MonthFirstUnits,(Absorption*12*LOOKUP(MONTH(CZ6),'General Inputs'!$W$46:$W$57,'General Inputs'!$Y$46:$Y$57))*FirstMonthAbsorption,(IF(CZ5&gt;MonthFirstUnits,IF(SUM($G35:CY35)+(Absorption*12*LOOKUP(MONTH(CZ6),'General Inputs'!$W$46:$W$57,'General Inputs'!$Y$46:$Y$57))&gt;Units*(1-Vacancy),
(Units*(1-Vacancy))-SUM($G35:CY35),
Absorption*12*
LOOKUP(MONTH(CZ6),'General Inputs'!$W$46:$W$57,'General Inputs'!$Y$46:$Y$57)),0)))</f>
        <v>0</v>
      </c>
      <c r="DA35" s="637">
        <f>IF(DA5=MonthFirstUnits,(Absorption*12*LOOKUP(MONTH(DA6),'General Inputs'!$W$46:$W$57,'General Inputs'!$Y$46:$Y$57))*FirstMonthAbsorption,(IF(DA5&gt;MonthFirstUnits,IF(SUM($G35:CZ35)+(Absorption*12*LOOKUP(MONTH(DA6),'General Inputs'!$W$46:$W$57,'General Inputs'!$Y$46:$Y$57))&gt;Units*(1-Vacancy),
(Units*(1-Vacancy))-SUM($G35:CZ35),
Absorption*12*
LOOKUP(MONTH(DA6),'General Inputs'!$W$46:$W$57,'General Inputs'!$Y$46:$Y$57)),0)))</f>
        <v>0</v>
      </c>
      <c r="DB35" s="637">
        <f>IF(DB5=MonthFirstUnits,(Absorption*12*LOOKUP(MONTH(DB6),'General Inputs'!$W$46:$W$57,'General Inputs'!$Y$46:$Y$57))*FirstMonthAbsorption,(IF(DB5&gt;MonthFirstUnits,IF(SUM($G35:DA35)+(Absorption*12*LOOKUP(MONTH(DB6),'General Inputs'!$W$46:$W$57,'General Inputs'!$Y$46:$Y$57))&gt;Units*(1-Vacancy),
(Units*(1-Vacancy))-SUM($G35:DA35),
Absorption*12*
LOOKUP(MONTH(DB6),'General Inputs'!$W$46:$W$57,'General Inputs'!$Y$46:$Y$57)),0)))</f>
        <v>0</v>
      </c>
      <c r="DC35" s="637">
        <f>IF(DC5=MonthFirstUnits,(Absorption*12*LOOKUP(MONTH(DC6),'General Inputs'!$W$46:$W$57,'General Inputs'!$Y$46:$Y$57))*FirstMonthAbsorption,(IF(DC5&gt;MonthFirstUnits,IF(SUM($G35:DB35)+(Absorption*12*LOOKUP(MONTH(DC6),'General Inputs'!$W$46:$W$57,'General Inputs'!$Y$46:$Y$57))&gt;Units*(1-Vacancy),
(Units*(1-Vacancy))-SUM($G35:DB35),
Absorption*12*
LOOKUP(MONTH(DC6),'General Inputs'!$W$46:$W$57,'General Inputs'!$Y$46:$Y$57)),0)))</f>
        <v>0</v>
      </c>
      <c r="DD35" s="637">
        <f>IF(DD5=MonthFirstUnits,(Absorption*12*LOOKUP(MONTH(DD6),'General Inputs'!$W$46:$W$57,'General Inputs'!$Y$46:$Y$57))*FirstMonthAbsorption,(IF(DD5&gt;MonthFirstUnits,IF(SUM($G35:DC35)+(Absorption*12*LOOKUP(MONTH(DD6),'General Inputs'!$W$46:$W$57,'General Inputs'!$Y$46:$Y$57))&gt;Units*(1-Vacancy),
(Units*(1-Vacancy))-SUM($G35:DC35),
Absorption*12*
LOOKUP(MONTH(DD6),'General Inputs'!$W$46:$W$57,'General Inputs'!$Y$46:$Y$57)),0)))</f>
        <v>0</v>
      </c>
      <c r="DE35" s="637">
        <f>IF(DE5=MonthFirstUnits,(Absorption*12*LOOKUP(MONTH(DE6),'General Inputs'!$W$46:$W$57,'General Inputs'!$Y$46:$Y$57))*FirstMonthAbsorption,(IF(DE5&gt;MonthFirstUnits,IF(SUM($G35:DD35)+(Absorption*12*LOOKUP(MONTH(DE6),'General Inputs'!$W$46:$W$57,'General Inputs'!$Y$46:$Y$57))&gt;Units*(1-Vacancy),
(Units*(1-Vacancy))-SUM($G35:DD35),
Absorption*12*
LOOKUP(MONTH(DE6),'General Inputs'!$W$46:$W$57,'General Inputs'!$Y$46:$Y$57)),0)))</f>
        <v>0</v>
      </c>
      <c r="DF35" s="637">
        <f>IF(DF5=MonthFirstUnits,(Absorption*12*LOOKUP(MONTH(DF6),'General Inputs'!$W$46:$W$57,'General Inputs'!$Y$46:$Y$57))*FirstMonthAbsorption,(IF(DF5&gt;MonthFirstUnits,IF(SUM($G35:DE35)+(Absorption*12*LOOKUP(MONTH(DF6),'General Inputs'!$W$46:$W$57,'General Inputs'!$Y$46:$Y$57))&gt;Units*(1-Vacancy),
(Units*(1-Vacancy))-SUM($G35:DE35),
Absorption*12*
LOOKUP(MONTH(DF6),'General Inputs'!$W$46:$W$57,'General Inputs'!$Y$46:$Y$57)),0)))</f>
        <v>0</v>
      </c>
      <c r="DG35" s="637">
        <f>IF(DG5=MonthFirstUnits,(Absorption*12*LOOKUP(MONTH(DG6),'General Inputs'!$W$46:$W$57,'General Inputs'!$Y$46:$Y$57))*FirstMonthAbsorption,(IF(DG5&gt;MonthFirstUnits,IF(SUM($G35:DF35)+(Absorption*12*LOOKUP(MONTH(DG6),'General Inputs'!$W$46:$W$57,'General Inputs'!$Y$46:$Y$57))&gt;Units*(1-Vacancy),
(Units*(1-Vacancy))-SUM($G35:DF35),
Absorption*12*
LOOKUP(MONTH(DG6),'General Inputs'!$W$46:$W$57,'General Inputs'!$Y$46:$Y$57)),0)))</f>
        <v>0</v>
      </c>
      <c r="DH35" s="637">
        <f>IF(DH5=MonthFirstUnits,(Absorption*12*LOOKUP(MONTH(DH6),'General Inputs'!$W$46:$W$57,'General Inputs'!$Y$46:$Y$57))*FirstMonthAbsorption,(IF(DH5&gt;MonthFirstUnits,IF(SUM($G35:DG35)+(Absorption*12*LOOKUP(MONTH(DH6),'General Inputs'!$W$46:$W$57,'General Inputs'!$Y$46:$Y$57))&gt;Units*(1-Vacancy),
(Units*(1-Vacancy))-SUM($G35:DG35),
Absorption*12*
LOOKUP(MONTH(DH6),'General Inputs'!$W$46:$W$57,'General Inputs'!$Y$46:$Y$57)),0)))</f>
        <v>0</v>
      </c>
      <c r="DI35" s="637">
        <f>IF(DI5=MonthFirstUnits,(Absorption*12*LOOKUP(MONTH(DI6),'General Inputs'!$W$46:$W$57,'General Inputs'!$Y$46:$Y$57))*FirstMonthAbsorption,(IF(DI5&gt;MonthFirstUnits,IF(SUM($G35:DH35)+(Absorption*12*LOOKUP(MONTH(DI6),'General Inputs'!$W$46:$W$57,'General Inputs'!$Y$46:$Y$57))&gt;Units*(1-Vacancy),
(Units*(1-Vacancy))-SUM($G35:DH35),
Absorption*12*
LOOKUP(MONTH(DI6),'General Inputs'!$W$46:$W$57,'General Inputs'!$Y$46:$Y$57)),0)))</f>
        <v>0</v>
      </c>
      <c r="DJ35" s="637">
        <f>IF(DJ5=MonthFirstUnits,(Absorption*12*LOOKUP(MONTH(DJ6),'General Inputs'!$W$46:$W$57,'General Inputs'!$Y$46:$Y$57))*FirstMonthAbsorption,(IF(DJ5&gt;MonthFirstUnits,IF(SUM($G35:DI35)+(Absorption*12*LOOKUP(MONTH(DJ6),'General Inputs'!$W$46:$W$57,'General Inputs'!$Y$46:$Y$57))&gt;Units*(1-Vacancy),
(Units*(1-Vacancy))-SUM($G35:DI35),
Absorption*12*
LOOKUP(MONTH(DJ6),'General Inputs'!$W$46:$W$57,'General Inputs'!$Y$46:$Y$57)),0)))</f>
        <v>0</v>
      </c>
      <c r="DK35" s="637">
        <f>IF(DK5=MonthFirstUnits,(Absorption*12*LOOKUP(MONTH(DK6),'General Inputs'!$W$46:$W$57,'General Inputs'!$Y$46:$Y$57))*FirstMonthAbsorption,(IF(DK5&gt;MonthFirstUnits,IF(SUM($G35:DJ35)+(Absorption*12*LOOKUP(MONTH(DK6),'General Inputs'!$W$46:$W$57,'General Inputs'!$Y$46:$Y$57))&gt;Units*(1-Vacancy),
(Units*(1-Vacancy))-SUM($G35:DJ35),
Absorption*12*
LOOKUP(MONTH(DK6),'General Inputs'!$W$46:$W$57,'General Inputs'!$Y$46:$Y$57)),0)))</f>
        <v>0</v>
      </c>
      <c r="DL35" s="637">
        <f>IF(DL5=MonthFirstUnits,(Absorption*12*LOOKUP(MONTH(DL6),'General Inputs'!$W$46:$W$57,'General Inputs'!$Y$46:$Y$57))*FirstMonthAbsorption,(IF(DL5&gt;MonthFirstUnits,IF(SUM($G35:DK35)+(Absorption*12*LOOKUP(MONTH(DL6),'General Inputs'!$W$46:$W$57,'General Inputs'!$Y$46:$Y$57))&gt;Units*(1-Vacancy),
(Units*(1-Vacancy))-SUM($G35:DK35),
Absorption*12*
LOOKUP(MONTH(DL6),'General Inputs'!$W$46:$W$57,'General Inputs'!$Y$46:$Y$57)),0)))</f>
        <v>0</v>
      </c>
      <c r="DM35" s="637">
        <f>IF(DM5=MonthFirstUnits,(Absorption*12*LOOKUP(MONTH(DM6),'General Inputs'!$W$46:$W$57,'General Inputs'!$Y$46:$Y$57))*FirstMonthAbsorption,(IF(DM5&gt;MonthFirstUnits,IF(SUM($G35:DL35)+(Absorption*12*LOOKUP(MONTH(DM6),'General Inputs'!$W$46:$W$57,'General Inputs'!$Y$46:$Y$57))&gt;Units*(1-Vacancy),
(Units*(1-Vacancy))-SUM($G35:DL35),
Absorption*12*
LOOKUP(MONTH(DM6),'General Inputs'!$W$46:$W$57,'General Inputs'!$Y$46:$Y$57)),0)))</f>
        <v>0</v>
      </c>
      <c r="DN35" s="637">
        <f>IF(DN5=MonthFirstUnits,(Absorption*12*LOOKUP(MONTH(DN6),'General Inputs'!$W$46:$W$57,'General Inputs'!$Y$46:$Y$57))*FirstMonthAbsorption,(IF(DN5&gt;MonthFirstUnits,IF(SUM($G35:DM35)+(Absorption*12*LOOKUP(MONTH(DN6),'General Inputs'!$W$46:$W$57,'General Inputs'!$Y$46:$Y$57))&gt;Units*(1-Vacancy),
(Units*(1-Vacancy))-SUM($G35:DM35),
Absorption*12*
LOOKUP(MONTH(DN6),'General Inputs'!$W$46:$W$57,'General Inputs'!$Y$46:$Y$57)),0)))</f>
        <v>0</v>
      </c>
      <c r="DO35" s="637">
        <f>IF(DO5=MonthFirstUnits,(Absorption*12*LOOKUP(MONTH(DO6),'General Inputs'!$W$46:$W$57,'General Inputs'!$Y$46:$Y$57))*FirstMonthAbsorption,(IF(DO5&gt;MonthFirstUnits,IF(SUM($G35:DN35)+(Absorption*12*LOOKUP(MONTH(DO6),'General Inputs'!$W$46:$W$57,'General Inputs'!$Y$46:$Y$57))&gt;Units*(1-Vacancy),
(Units*(1-Vacancy))-SUM($G35:DN35),
Absorption*12*
LOOKUP(MONTH(DO6),'General Inputs'!$W$46:$W$57,'General Inputs'!$Y$46:$Y$57)),0)))</f>
        <v>0</v>
      </c>
      <c r="DP35" s="637">
        <f>IF(DP5=MonthFirstUnits,(Absorption*12*LOOKUP(MONTH(DP6),'General Inputs'!$W$46:$W$57,'General Inputs'!$Y$46:$Y$57))*FirstMonthAbsorption,(IF(DP5&gt;MonthFirstUnits,IF(SUM($G35:DO35)+(Absorption*12*LOOKUP(MONTH(DP6),'General Inputs'!$W$46:$W$57,'General Inputs'!$Y$46:$Y$57))&gt;Units*(1-Vacancy),
(Units*(1-Vacancy))-SUM($G35:DO35),
Absorption*12*
LOOKUP(MONTH(DP6),'General Inputs'!$W$46:$W$57,'General Inputs'!$Y$46:$Y$57)),0)))</f>
        <v>0</v>
      </c>
      <c r="DQ35" s="637">
        <f>IF(DQ5=MonthFirstUnits,(Absorption*12*LOOKUP(MONTH(DQ6),'General Inputs'!$W$46:$W$57,'General Inputs'!$Y$46:$Y$57))*FirstMonthAbsorption,(IF(DQ5&gt;MonthFirstUnits,IF(SUM($G35:DP35)+(Absorption*12*LOOKUP(MONTH(DQ6),'General Inputs'!$W$46:$W$57,'General Inputs'!$Y$46:$Y$57))&gt;Units*(1-Vacancy),
(Units*(1-Vacancy))-SUM($G35:DP35),
Absorption*12*
LOOKUP(MONTH(DQ6),'General Inputs'!$W$46:$W$57,'General Inputs'!$Y$46:$Y$57)),0)))</f>
        <v>0</v>
      </c>
      <c r="DR35" s="637">
        <f>IF(DR5=MonthFirstUnits,(Absorption*12*LOOKUP(MONTH(DR6),'General Inputs'!$W$46:$W$57,'General Inputs'!$Y$46:$Y$57))*FirstMonthAbsorption,(IF(DR5&gt;MonthFirstUnits,IF(SUM($G35:DQ35)+(Absorption*12*LOOKUP(MONTH(DR6),'General Inputs'!$W$46:$W$57,'General Inputs'!$Y$46:$Y$57))&gt;Units*(1-Vacancy),
(Units*(1-Vacancy))-SUM($G35:DQ35),
Absorption*12*
LOOKUP(MONTH(DR6),'General Inputs'!$W$46:$W$57,'General Inputs'!$Y$46:$Y$57)),0)))</f>
        <v>0</v>
      </c>
      <c r="DS35" s="637">
        <f>IF(DS5=MonthFirstUnits,(Absorption*12*LOOKUP(MONTH(DS6),'General Inputs'!$W$46:$W$57,'General Inputs'!$Y$46:$Y$57))*FirstMonthAbsorption,(IF(DS5&gt;MonthFirstUnits,IF(SUM($G35:DR35)+(Absorption*12*LOOKUP(MONTH(DS6),'General Inputs'!$W$46:$W$57,'General Inputs'!$Y$46:$Y$57))&gt;Units*(1-Vacancy),
(Units*(1-Vacancy))-SUM($G35:DR35),
Absorption*12*
LOOKUP(MONTH(DS6),'General Inputs'!$W$46:$W$57,'General Inputs'!$Y$46:$Y$57)),0)))</f>
        <v>0</v>
      </c>
      <c r="DT35" s="637">
        <f>IF(DT5=MonthFirstUnits,(Absorption*12*LOOKUP(MONTH(DT6),'General Inputs'!$W$46:$W$57,'General Inputs'!$Y$46:$Y$57))*FirstMonthAbsorption,(IF(DT5&gt;MonthFirstUnits,IF(SUM($G35:DS35)+(Absorption*12*LOOKUP(MONTH(DT6),'General Inputs'!$W$46:$W$57,'General Inputs'!$Y$46:$Y$57))&gt;Units*(1-Vacancy),
(Units*(1-Vacancy))-SUM($G35:DS35),
Absorption*12*
LOOKUP(MONTH(DT6),'General Inputs'!$W$46:$W$57,'General Inputs'!$Y$46:$Y$57)),0)))</f>
        <v>0</v>
      </c>
      <c r="DU35" s="637">
        <f>IF(DU5=MonthFirstUnits,(Absorption*12*LOOKUP(MONTH(DU6),'General Inputs'!$W$46:$W$57,'General Inputs'!$Y$46:$Y$57))*FirstMonthAbsorption,(IF(DU5&gt;MonthFirstUnits,IF(SUM($G35:DT35)+(Absorption*12*LOOKUP(MONTH(DU6),'General Inputs'!$W$46:$W$57,'General Inputs'!$Y$46:$Y$57))&gt;Units*(1-Vacancy),
(Units*(1-Vacancy))-SUM($G35:DT35),
Absorption*12*
LOOKUP(MONTH(DU6),'General Inputs'!$W$46:$W$57,'General Inputs'!$Y$46:$Y$57)),0)))</f>
        <v>0</v>
      </c>
      <c r="DV35" s="637">
        <f>IF(DV5=MonthFirstUnits,(Absorption*12*LOOKUP(MONTH(DV6),'General Inputs'!$W$46:$W$57,'General Inputs'!$Y$46:$Y$57))*FirstMonthAbsorption,(IF(DV5&gt;MonthFirstUnits,IF(SUM($G35:DU35)+(Absorption*12*LOOKUP(MONTH(DV6),'General Inputs'!$W$46:$W$57,'General Inputs'!$Y$46:$Y$57))&gt;Units*(1-Vacancy),
(Units*(1-Vacancy))-SUM($G35:DU35),
Absorption*12*
LOOKUP(MONTH(DV6),'General Inputs'!$W$46:$W$57,'General Inputs'!$Y$46:$Y$57)),0)))</f>
        <v>0</v>
      </c>
      <c r="DW35" s="637">
        <f>IF(DW5=MonthFirstUnits,(Absorption*12*LOOKUP(MONTH(DW6),'General Inputs'!$W$46:$W$57,'General Inputs'!$Y$46:$Y$57))*FirstMonthAbsorption,(IF(DW5&gt;MonthFirstUnits,IF(SUM($G35:DV35)+(Absorption*12*LOOKUP(MONTH(DW6),'General Inputs'!$W$46:$W$57,'General Inputs'!$Y$46:$Y$57))&gt;Units*(1-Vacancy),
(Units*(1-Vacancy))-SUM($G35:DV35),
Absorption*12*
LOOKUP(MONTH(DW6),'General Inputs'!$W$46:$W$57,'General Inputs'!$Y$46:$Y$57)),0)))</f>
        <v>0</v>
      </c>
      <c r="DX35" s="637">
        <f>IF(DX5=MonthFirstUnits,(Absorption*12*LOOKUP(MONTH(DX6),'General Inputs'!$W$46:$W$57,'General Inputs'!$Y$46:$Y$57))*FirstMonthAbsorption,(IF(DX5&gt;MonthFirstUnits,IF(SUM($G35:DW35)+(Absorption*12*LOOKUP(MONTH(DX6),'General Inputs'!$W$46:$W$57,'General Inputs'!$Y$46:$Y$57))&gt;Units*(1-Vacancy),
(Units*(1-Vacancy))-SUM($G35:DW35),
Absorption*12*
LOOKUP(MONTH(DX6),'General Inputs'!$W$46:$W$57,'General Inputs'!$Y$46:$Y$57)),0)))</f>
        <v>0</v>
      </c>
      <c r="DY35" s="637">
        <f>IF(DY5=MonthFirstUnits,(Absorption*12*LOOKUP(MONTH(DY6),'General Inputs'!$W$46:$W$57,'General Inputs'!$Y$46:$Y$57))*FirstMonthAbsorption,(IF(DY5&gt;MonthFirstUnits,IF(SUM($G35:DX35)+(Absorption*12*LOOKUP(MONTH(DY6),'General Inputs'!$W$46:$W$57,'General Inputs'!$Y$46:$Y$57))&gt;Units*(1-Vacancy),
(Units*(1-Vacancy))-SUM($G35:DX35),
Absorption*12*
LOOKUP(MONTH(DY6),'General Inputs'!$W$46:$W$57,'General Inputs'!$Y$46:$Y$57)),0)))</f>
        <v>0</v>
      </c>
      <c r="DZ35" s="637">
        <f>IF(DZ5=MonthFirstUnits,(Absorption*12*LOOKUP(MONTH(DZ6),'General Inputs'!$W$46:$W$57,'General Inputs'!$Y$46:$Y$57))*FirstMonthAbsorption,(IF(DZ5&gt;MonthFirstUnits,IF(SUM($G35:DY35)+(Absorption*12*LOOKUP(MONTH(DZ6),'General Inputs'!$W$46:$W$57,'General Inputs'!$Y$46:$Y$57))&gt;Units*(1-Vacancy),
(Units*(1-Vacancy))-SUM($G35:DY35),
Absorption*12*
LOOKUP(MONTH(DZ6),'General Inputs'!$W$46:$W$57,'General Inputs'!$Y$46:$Y$57)),0)))</f>
        <v>0</v>
      </c>
      <c r="EA35" s="637">
        <f>IF(EA5=MonthFirstUnits,(Absorption*12*LOOKUP(MONTH(EA6),'General Inputs'!$W$46:$W$57,'General Inputs'!$Y$46:$Y$57))*FirstMonthAbsorption,(IF(EA5&gt;MonthFirstUnits,IF(SUM($G35:DZ35)+(Absorption*12*LOOKUP(MONTH(EA6),'General Inputs'!$W$46:$W$57,'General Inputs'!$Y$46:$Y$57))&gt;Units*(1-Vacancy),
(Units*(1-Vacancy))-SUM($G35:DZ35),
Absorption*12*
LOOKUP(MONTH(EA6),'General Inputs'!$W$46:$W$57,'General Inputs'!$Y$46:$Y$57)),0)))</f>
        <v>0</v>
      </c>
      <c r="EB35" s="637">
        <f>IF(EB5=MonthFirstUnits,(Absorption*12*LOOKUP(MONTH(EB6),'General Inputs'!$W$46:$W$57,'General Inputs'!$Y$46:$Y$57))*FirstMonthAbsorption,(IF(EB5&gt;MonthFirstUnits,IF(SUM($G35:EA35)+(Absorption*12*LOOKUP(MONTH(EB6),'General Inputs'!$W$46:$W$57,'General Inputs'!$Y$46:$Y$57))&gt;Units*(1-Vacancy),
(Units*(1-Vacancy))-SUM($G35:EA35),
Absorption*12*
LOOKUP(MONTH(EB6),'General Inputs'!$W$46:$W$57,'General Inputs'!$Y$46:$Y$57)),0)))</f>
        <v>0</v>
      </c>
      <c r="EC35" s="637">
        <f>IF(EC5=MonthFirstUnits,(Absorption*12*LOOKUP(MONTH(EC6),'General Inputs'!$W$46:$W$57,'General Inputs'!$Y$46:$Y$57))*FirstMonthAbsorption,(IF(EC5&gt;MonthFirstUnits,IF(SUM($G35:EB35)+(Absorption*12*LOOKUP(MONTH(EC6),'General Inputs'!$W$46:$W$57,'General Inputs'!$Y$46:$Y$57))&gt;Units*(1-Vacancy),
(Units*(1-Vacancy))-SUM($G35:EB35),
Absorption*12*
LOOKUP(MONTH(EC6),'General Inputs'!$W$46:$W$57,'General Inputs'!$Y$46:$Y$57)),0)))</f>
        <v>0</v>
      </c>
      <c r="ED35" s="637">
        <f>IF(ED5=MonthFirstUnits,(Absorption*12*LOOKUP(MONTH(ED6),'General Inputs'!$W$46:$W$57,'General Inputs'!$Y$46:$Y$57))*FirstMonthAbsorption,(IF(ED5&gt;MonthFirstUnits,IF(SUM($G35:EC35)+(Absorption*12*LOOKUP(MONTH(ED6),'General Inputs'!$W$46:$W$57,'General Inputs'!$Y$46:$Y$57))&gt;Units*(1-Vacancy),
(Units*(1-Vacancy))-SUM($G35:EC35),
Absorption*12*
LOOKUP(MONTH(ED6),'General Inputs'!$W$46:$W$57,'General Inputs'!$Y$46:$Y$57)),0)))</f>
        <v>0</v>
      </c>
      <c r="EE35" s="637">
        <f>IF(EE5=MonthFirstUnits,(Absorption*12*LOOKUP(MONTH(EE6),'General Inputs'!$W$46:$W$57,'General Inputs'!$Y$46:$Y$57))*FirstMonthAbsorption,(IF(EE5&gt;MonthFirstUnits,IF(SUM($G35:ED35)+(Absorption*12*LOOKUP(MONTH(EE6),'General Inputs'!$W$46:$W$57,'General Inputs'!$Y$46:$Y$57))&gt;Units*(1-Vacancy),
(Units*(1-Vacancy))-SUM($G35:ED35),
Absorption*12*
LOOKUP(MONTH(EE6),'General Inputs'!$W$46:$W$57,'General Inputs'!$Y$46:$Y$57)),0)))</f>
        <v>0</v>
      </c>
      <c r="EF35" s="637">
        <f>IF(EF5=MonthFirstUnits,(Absorption*12*LOOKUP(MONTH(EF6),'General Inputs'!$W$46:$W$57,'General Inputs'!$Y$46:$Y$57))*FirstMonthAbsorption,(IF(EF5&gt;MonthFirstUnits,IF(SUM($G35:EE35)+(Absorption*12*LOOKUP(MONTH(EF6),'General Inputs'!$W$46:$W$57,'General Inputs'!$Y$46:$Y$57))&gt;Units*(1-Vacancy),
(Units*(1-Vacancy))-SUM($G35:EE35),
Absorption*12*
LOOKUP(MONTH(EF6),'General Inputs'!$W$46:$W$57,'General Inputs'!$Y$46:$Y$57)),0)))</f>
        <v>0</v>
      </c>
      <c r="EG35" s="637">
        <f>IF(EG5=MonthFirstUnits,(Absorption*12*LOOKUP(MONTH(EG6),'General Inputs'!$W$46:$W$57,'General Inputs'!$Y$46:$Y$57))*FirstMonthAbsorption,(IF(EG5&gt;MonthFirstUnits,IF(SUM($G35:EF35)+(Absorption*12*LOOKUP(MONTH(EG6),'General Inputs'!$W$46:$W$57,'General Inputs'!$Y$46:$Y$57))&gt;Units*(1-Vacancy),
(Units*(1-Vacancy))-SUM($G35:EF35),
Absorption*12*
LOOKUP(MONTH(EG6),'General Inputs'!$W$46:$W$57,'General Inputs'!$Y$46:$Y$57)),0)))</f>
        <v>0</v>
      </c>
      <c r="EH35" s="637">
        <f>IF(EH5=MonthFirstUnits,(Absorption*12*LOOKUP(MONTH(EH6),'General Inputs'!$W$46:$W$57,'General Inputs'!$Y$46:$Y$57))*FirstMonthAbsorption,(IF(EH5&gt;MonthFirstUnits,IF(SUM($G35:EG35)+(Absorption*12*LOOKUP(MONTH(EH6),'General Inputs'!$W$46:$W$57,'General Inputs'!$Y$46:$Y$57))&gt;Units*(1-Vacancy),
(Units*(1-Vacancy))-SUM($G35:EG35),
Absorption*12*
LOOKUP(MONTH(EH6),'General Inputs'!$W$46:$W$57,'General Inputs'!$Y$46:$Y$57)),0)))</f>
        <v>0</v>
      </c>
      <c r="EI35"/>
      <c r="EK35" s="280"/>
    </row>
    <row r="36" spans="1:141" x14ac:dyDescent="0.3">
      <c r="A36" s="639" t="s">
        <v>2381</v>
      </c>
      <c r="E36" s="678"/>
      <c r="F36" s="678"/>
      <c r="G36" s="229">
        <f t="shared" ref="G36:BR36" si="33">G31+G35</f>
        <v>0</v>
      </c>
      <c r="H36" s="229">
        <f t="shared" si="33"/>
        <v>0</v>
      </c>
      <c r="I36" s="229">
        <f t="shared" si="33"/>
        <v>0</v>
      </c>
      <c r="J36" s="229">
        <f t="shared" si="33"/>
        <v>0</v>
      </c>
      <c r="K36" s="229">
        <f t="shared" si="33"/>
        <v>0</v>
      </c>
      <c r="L36" s="229">
        <f t="shared" si="33"/>
        <v>0</v>
      </c>
      <c r="M36" s="229">
        <f t="shared" si="33"/>
        <v>0</v>
      </c>
      <c r="N36" s="229">
        <f t="shared" si="33"/>
        <v>0</v>
      </c>
      <c r="O36" s="229">
        <f t="shared" si="33"/>
        <v>0</v>
      </c>
      <c r="P36" s="229">
        <f t="shared" si="33"/>
        <v>0</v>
      </c>
      <c r="Q36" s="229">
        <f t="shared" si="33"/>
        <v>0</v>
      </c>
      <c r="R36" s="229">
        <f t="shared" si="33"/>
        <v>0</v>
      </c>
      <c r="S36" s="229">
        <f t="shared" si="33"/>
        <v>0</v>
      </c>
      <c r="T36" s="229">
        <f t="shared" si="33"/>
        <v>14.4</v>
      </c>
      <c r="U36" s="229">
        <f t="shared" si="33"/>
        <v>28.8</v>
      </c>
      <c r="V36" s="229">
        <f t="shared" si="33"/>
        <v>43.2</v>
      </c>
      <c r="W36" s="229">
        <f t="shared" si="33"/>
        <v>57.6</v>
      </c>
      <c r="X36" s="229">
        <f t="shared" si="33"/>
        <v>72</v>
      </c>
      <c r="Y36" s="229">
        <f t="shared" si="33"/>
        <v>93.6</v>
      </c>
      <c r="Z36" s="229">
        <f t="shared" si="33"/>
        <v>115.19999999999999</v>
      </c>
      <c r="AA36" s="229">
        <f t="shared" si="33"/>
        <v>136.79999999999998</v>
      </c>
      <c r="AB36" s="229">
        <f t="shared" si="33"/>
        <v>158.39999999999998</v>
      </c>
      <c r="AC36" s="229">
        <f t="shared" si="33"/>
        <v>179.99999999999997</v>
      </c>
      <c r="AD36" s="229">
        <f t="shared" si="33"/>
        <v>201.59999999999997</v>
      </c>
      <c r="AE36" s="229">
        <f t="shared" si="33"/>
        <v>215.99999999999997</v>
      </c>
      <c r="AF36" s="229">
        <f t="shared" si="33"/>
        <v>230.39999999999998</v>
      </c>
      <c r="AG36" s="229">
        <f t="shared" si="33"/>
        <v>240.98</v>
      </c>
      <c r="AH36" s="229">
        <f t="shared" si="33"/>
        <v>240.98</v>
      </c>
      <c r="AI36" s="229">
        <f t="shared" si="33"/>
        <v>240.98</v>
      </c>
      <c r="AJ36" s="229">
        <f t="shared" si="33"/>
        <v>240.98</v>
      </c>
      <c r="AK36" s="229">
        <f t="shared" si="33"/>
        <v>240.98</v>
      </c>
      <c r="AL36" s="229">
        <f t="shared" si="33"/>
        <v>240.98</v>
      </c>
      <c r="AM36" s="229">
        <f t="shared" si="33"/>
        <v>240.98</v>
      </c>
      <c r="AN36" s="229">
        <f t="shared" si="33"/>
        <v>240.98</v>
      </c>
      <c r="AO36" s="229">
        <f t="shared" si="33"/>
        <v>240.98</v>
      </c>
      <c r="AP36" s="229">
        <f t="shared" si="33"/>
        <v>240.98</v>
      </c>
      <c r="AQ36" s="229">
        <f t="shared" si="33"/>
        <v>240.98</v>
      </c>
      <c r="AR36" s="229">
        <f t="shared" si="33"/>
        <v>240.98</v>
      </c>
      <c r="AS36" s="229">
        <f t="shared" si="33"/>
        <v>240.98</v>
      </c>
      <c r="AT36" s="229">
        <f t="shared" si="33"/>
        <v>240.98</v>
      </c>
      <c r="AU36" s="229">
        <f t="shared" si="33"/>
        <v>240.98</v>
      </c>
      <c r="AV36" s="229">
        <f t="shared" si="33"/>
        <v>240.98</v>
      </c>
      <c r="AW36" s="229">
        <f t="shared" si="33"/>
        <v>240.98</v>
      </c>
      <c r="AX36" s="229">
        <f t="shared" si="33"/>
        <v>240.98</v>
      </c>
      <c r="AY36" s="229">
        <f t="shared" si="33"/>
        <v>240.98</v>
      </c>
      <c r="AZ36" s="229">
        <f t="shared" si="33"/>
        <v>240.98</v>
      </c>
      <c r="BA36" s="229">
        <f t="shared" si="33"/>
        <v>240.98</v>
      </c>
      <c r="BB36" s="229">
        <f t="shared" si="33"/>
        <v>240.98</v>
      </c>
      <c r="BC36" s="229">
        <f t="shared" si="33"/>
        <v>240.98</v>
      </c>
      <c r="BD36" s="229">
        <f t="shared" si="33"/>
        <v>240.98</v>
      </c>
      <c r="BE36" s="229">
        <f t="shared" si="33"/>
        <v>240.98</v>
      </c>
      <c r="BF36" s="229">
        <f t="shared" si="33"/>
        <v>240.98</v>
      </c>
      <c r="BG36" s="229">
        <f t="shared" si="33"/>
        <v>240.98</v>
      </c>
      <c r="BH36" s="229">
        <f t="shared" si="33"/>
        <v>240.98</v>
      </c>
      <c r="BI36" s="229">
        <f t="shared" si="33"/>
        <v>240.98</v>
      </c>
      <c r="BJ36" s="229">
        <f t="shared" si="33"/>
        <v>240.98</v>
      </c>
      <c r="BK36" s="229">
        <f t="shared" si="33"/>
        <v>240.98</v>
      </c>
      <c r="BL36" s="229">
        <f t="shared" si="33"/>
        <v>240.98</v>
      </c>
      <c r="BM36" s="229">
        <f t="shared" si="33"/>
        <v>240.98</v>
      </c>
      <c r="BN36" s="229">
        <f t="shared" si="33"/>
        <v>240.98</v>
      </c>
      <c r="BO36" s="229">
        <f t="shared" si="33"/>
        <v>240.98</v>
      </c>
      <c r="BP36" s="229">
        <f t="shared" si="33"/>
        <v>240.98</v>
      </c>
      <c r="BQ36" s="229">
        <f t="shared" si="33"/>
        <v>240.98</v>
      </c>
      <c r="BR36" s="229">
        <f t="shared" si="33"/>
        <v>240.98</v>
      </c>
      <c r="BS36" s="229">
        <f t="shared" ref="BS36:ED36" si="34">BS31+BS35</f>
        <v>240.98</v>
      </c>
      <c r="BT36" s="229">
        <f t="shared" si="34"/>
        <v>240.98</v>
      </c>
      <c r="BU36" s="229">
        <f t="shared" si="34"/>
        <v>240.98</v>
      </c>
      <c r="BV36" s="229">
        <f t="shared" si="34"/>
        <v>240.98</v>
      </c>
      <c r="BW36" s="229">
        <f t="shared" si="34"/>
        <v>240.98</v>
      </c>
      <c r="BX36" s="229">
        <f t="shared" si="34"/>
        <v>240.98</v>
      </c>
      <c r="BY36" s="229">
        <f t="shared" si="34"/>
        <v>240.98</v>
      </c>
      <c r="BZ36" s="229">
        <f t="shared" si="34"/>
        <v>240.98</v>
      </c>
      <c r="CA36" s="229">
        <f t="shared" si="34"/>
        <v>240.98</v>
      </c>
      <c r="CB36" s="229">
        <f t="shared" si="34"/>
        <v>240.98</v>
      </c>
      <c r="CC36" s="229">
        <f t="shared" si="34"/>
        <v>240.98</v>
      </c>
      <c r="CD36" s="229">
        <f t="shared" si="34"/>
        <v>240.98</v>
      </c>
      <c r="CE36" s="229">
        <f t="shared" si="34"/>
        <v>240.98</v>
      </c>
      <c r="CF36" s="229">
        <f t="shared" si="34"/>
        <v>240.98</v>
      </c>
      <c r="CG36" s="229">
        <f t="shared" si="34"/>
        <v>240.98</v>
      </c>
      <c r="CH36" s="229">
        <f t="shared" si="34"/>
        <v>240.98</v>
      </c>
      <c r="CI36" s="229">
        <f t="shared" si="34"/>
        <v>240.98</v>
      </c>
      <c r="CJ36" s="229">
        <f t="shared" si="34"/>
        <v>240.98</v>
      </c>
      <c r="CK36" s="229">
        <f t="shared" si="34"/>
        <v>240.98</v>
      </c>
      <c r="CL36" s="229">
        <f t="shared" si="34"/>
        <v>240.98</v>
      </c>
      <c r="CM36" s="229">
        <f t="shared" si="34"/>
        <v>240.98</v>
      </c>
      <c r="CN36" s="229">
        <f t="shared" si="34"/>
        <v>240.98</v>
      </c>
      <c r="CO36" s="229">
        <f t="shared" si="34"/>
        <v>240.98</v>
      </c>
      <c r="CP36" s="229">
        <f t="shared" si="34"/>
        <v>240.98</v>
      </c>
      <c r="CQ36" s="229">
        <f t="shared" si="34"/>
        <v>240.98</v>
      </c>
      <c r="CR36" s="229">
        <f t="shared" si="34"/>
        <v>240.98</v>
      </c>
      <c r="CS36" s="229">
        <f t="shared" si="34"/>
        <v>240.98</v>
      </c>
      <c r="CT36" s="229">
        <f t="shared" si="34"/>
        <v>240.98</v>
      </c>
      <c r="CU36" s="229">
        <f t="shared" si="34"/>
        <v>240.98</v>
      </c>
      <c r="CV36" s="229">
        <f t="shared" si="34"/>
        <v>240.98</v>
      </c>
      <c r="CW36" s="229">
        <f t="shared" si="34"/>
        <v>240.98</v>
      </c>
      <c r="CX36" s="229">
        <f t="shared" si="34"/>
        <v>240.98</v>
      </c>
      <c r="CY36" s="229">
        <f t="shared" si="34"/>
        <v>240.98</v>
      </c>
      <c r="CZ36" s="229">
        <f t="shared" si="34"/>
        <v>240.98</v>
      </c>
      <c r="DA36" s="229">
        <f t="shared" si="34"/>
        <v>240.98</v>
      </c>
      <c r="DB36" s="229">
        <f t="shared" si="34"/>
        <v>240.98</v>
      </c>
      <c r="DC36" s="229">
        <f t="shared" si="34"/>
        <v>240.98</v>
      </c>
      <c r="DD36" s="229">
        <f t="shared" si="34"/>
        <v>240.98</v>
      </c>
      <c r="DE36" s="229">
        <f t="shared" si="34"/>
        <v>240.98</v>
      </c>
      <c r="DF36" s="229">
        <f t="shared" si="34"/>
        <v>240.98</v>
      </c>
      <c r="DG36" s="229">
        <f t="shared" si="34"/>
        <v>240.98</v>
      </c>
      <c r="DH36" s="229">
        <f t="shared" si="34"/>
        <v>240.98</v>
      </c>
      <c r="DI36" s="229">
        <f t="shared" si="34"/>
        <v>240.98</v>
      </c>
      <c r="DJ36" s="229">
        <f t="shared" si="34"/>
        <v>240.98</v>
      </c>
      <c r="DK36" s="229">
        <f t="shared" si="34"/>
        <v>240.98</v>
      </c>
      <c r="DL36" s="229">
        <f t="shared" si="34"/>
        <v>240.98</v>
      </c>
      <c r="DM36" s="229">
        <f t="shared" si="34"/>
        <v>240.98</v>
      </c>
      <c r="DN36" s="229">
        <f t="shared" si="34"/>
        <v>240.98</v>
      </c>
      <c r="DO36" s="229">
        <f t="shared" si="34"/>
        <v>240.98</v>
      </c>
      <c r="DP36" s="229">
        <f t="shared" si="34"/>
        <v>240.98</v>
      </c>
      <c r="DQ36" s="229">
        <f t="shared" si="34"/>
        <v>240.98</v>
      </c>
      <c r="DR36" s="229">
        <f t="shared" si="34"/>
        <v>240.98</v>
      </c>
      <c r="DS36" s="229">
        <f t="shared" si="34"/>
        <v>240.98</v>
      </c>
      <c r="DT36" s="229">
        <f t="shared" si="34"/>
        <v>240.98</v>
      </c>
      <c r="DU36" s="229">
        <f t="shared" si="34"/>
        <v>240.98</v>
      </c>
      <c r="DV36" s="229">
        <f t="shared" si="34"/>
        <v>240.98</v>
      </c>
      <c r="DW36" s="229">
        <f t="shared" si="34"/>
        <v>240.98</v>
      </c>
      <c r="DX36" s="229">
        <f t="shared" si="34"/>
        <v>240.98</v>
      </c>
      <c r="DY36" s="229">
        <f t="shared" si="34"/>
        <v>240.98</v>
      </c>
      <c r="DZ36" s="229">
        <f t="shared" si="34"/>
        <v>240.98</v>
      </c>
      <c r="EA36" s="229">
        <f t="shared" si="34"/>
        <v>240.98</v>
      </c>
      <c r="EB36" s="229">
        <f t="shared" si="34"/>
        <v>240.98</v>
      </c>
      <c r="EC36" s="229">
        <f t="shared" si="34"/>
        <v>240.98</v>
      </c>
      <c r="ED36" s="229">
        <f t="shared" si="34"/>
        <v>240.98</v>
      </c>
      <c r="EE36" s="229">
        <f>EE31+EE35</f>
        <v>240.98</v>
      </c>
      <c r="EF36" s="229">
        <f>EF31+EF35</f>
        <v>240.98</v>
      </c>
      <c r="EG36" s="229">
        <f>EG31+EG35</f>
        <v>240.98</v>
      </c>
      <c r="EH36" s="229">
        <f>EH31+EH35</f>
        <v>240.98</v>
      </c>
      <c r="EK36" s="672"/>
    </row>
    <row r="37" spans="1:141" s="337" customFormat="1" x14ac:dyDescent="0.3">
      <c r="A37" s="658" t="s">
        <v>2382</v>
      </c>
      <c r="E37" s="674"/>
      <c r="F37" s="674"/>
      <c r="G37" s="681">
        <f t="shared" ref="G37:BR37" si="35">IF(G19=0,0,G36/G19)</f>
        <v>0</v>
      </c>
      <c r="H37" s="681">
        <f t="shared" si="35"/>
        <v>0</v>
      </c>
      <c r="I37" s="681">
        <f t="shared" si="35"/>
        <v>0</v>
      </c>
      <c r="J37" s="681">
        <f t="shared" si="35"/>
        <v>0</v>
      </c>
      <c r="K37" s="681">
        <f t="shared" si="35"/>
        <v>0</v>
      </c>
      <c r="L37" s="681">
        <f t="shared" si="35"/>
        <v>0</v>
      </c>
      <c r="M37" s="681">
        <f t="shared" si="35"/>
        <v>0</v>
      </c>
      <c r="N37" s="681">
        <f t="shared" si="35"/>
        <v>0</v>
      </c>
      <c r="O37" s="681">
        <f t="shared" si="35"/>
        <v>0</v>
      </c>
      <c r="P37" s="681">
        <f t="shared" si="35"/>
        <v>0</v>
      </c>
      <c r="Q37" s="681">
        <f t="shared" si="35"/>
        <v>0</v>
      </c>
      <c r="R37" s="681">
        <f t="shared" si="35"/>
        <v>0</v>
      </c>
      <c r="S37" s="681">
        <f t="shared" si="35"/>
        <v>0</v>
      </c>
      <c r="T37" s="681">
        <f t="shared" si="35"/>
        <v>0.67500000000000004</v>
      </c>
      <c r="U37" s="681">
        <f t="shared" si="35"/>
        <v>0.67500000000000004</v>
      </c>
      <c r="V37" s="681">
        <f t="shared" si="35"/>
        <v>0.67500000000000004</v>
      </c>
      <c r="W37" s="681">
        <f t="shared" si="35"/>
        <v>0.67500000000000004</v>
      </c>
      <c r="X37" s="681">
        <f t="shared" si="35"/>
        <v>0.67500000000000004</v>
      </c>
      <c r="Y37" s="681">
        <f t="shared" si="35"/>
        <v>0.73125000000000007</v>
      </c>
      <c r="Z37" s="681">
        <f t="shared" si="35"/>
        <v>0.77142857142857146</v>
      </c>
      <c r="AA37" s="681">
        <f t="shared" si="35"/>
        <v>0.80156249999999996</v>
      </c>
      <c r="AB37" s="681">
        <f t="shared" si="35"/>
        <v>0.82499999999999984</v>
      </c>
      <c r="AC37" s="681">
        <f t="shared" si="35"/>
        <v>0.84374999999999978</v>
      </c>
      <c r="AD37" s="681">
        <f t="shared" si="35"/>
        <v>0.85909090909090891</v>
      </c>
      <c r="AE37" s="681">
        <f t="shared" si="35"/>
        <v>0.84374999999999989</v>
      </c>
      <c r="AF37" s="681">
        <f t="shared" si="35"/>
        <v>0.89999999999999991</v>
      </c>
      <c r="AG37" s="681">
        <f t="shared" si="35"/>
        <v>0.94132812499999996</v>
      </c>
      <c r="AH37" s="681">
        <f t="shared" si="35"/>
        <v>0.94132812499999996</v>
      </c>
      <c r="AI37" s="681">
        <f t="shared" si="35"/>
        <v>0.94132812499999996</v>
      </c>
      <c r="AJ37" s="681">
        <f t="shared" si="35"/>
        <v>0.94132812499999996</v>
      </c>
      <c r="AK37" s="681">
        <f t="shared" si="35"/>
        <v>0.94132812499999996</v>
      </c>
      <c r="AL37" s="681">
        <f t="shared" si="35"/>
        <v>0.94132812499999996</v>
      </c>
      <c r="AM37" s="681">
        <f t="shared" si="35"/>
        <v>0.94132812499999996</v>
      </c>
      <c r="AN37" s="681">
        <f t="shared" si="35"/>
        <v>0.94132812499999996</v>
      </c>
      <c r="AO37" s="681">
        <f t="shared" si="35"/>
        <v>0.94132812499999996</v>
      </c>
      <c r="AP37" s="681">
        <f t="shared" si="35"/>
        <v>0.94132812499999996</v>
      </c>
      <c r="AQ37" s="681">
        <f t="shared" si="35"/>
        <v>0.94132812499999996</v>
      </c>
      <c r="AR37" s="681">
        <f t="shared" si="35"/>
        <v>0.94132812499999996</v>
      </c>
      <c r="AS37" s="681">
        <f t="shared" si="35"/>
        <v>0.94132812499999996</v>
      </c>
      <c r="AT37" s="681">
        <f t="shared" si="35"/>
        <v>0.94132812499999996</v>
      </c>
      <c r="AU37" s="681">
        <f t="shared" si="35"/>
        <v>0.94132812499999996</v>
      </c>
      <c r="AV37" s="681">
        <f t="shared" si="35"/>
        <v>0.94132812499999996</v>
      </c>
      <c r="AW37" s="681">
        <f t="shared" si="35"/>
        <v>0.94132812499999996</v>
      </c>
      <c r="AX37" s="681">
        <f t="shared" si="35"/>
        <v>0.94132812499999996</v>
      </c>
      <c r="AY37" s="681">
        <f t="shared" si="35"/>
        <v>0.94132812499999996</v>
      </c>
      <c r="AZ37" s="681">
        <f t="shared" si="35"/>
        <v>0.94132812499999996</v>
      </c>
      <c r="BA37" s="681">
        <f t="shared" si="35"/>
        <v>0.94132812499999996</v>
      </c>
      <c r="BB37" s="681">
        <f t="shared" si="35"/>
        <v>0.94132812499999996</v>
      </c>
      <c r="BC37" s="681">
        <f t="shared" si="35"/>
        <v>0.94132812499999996</v>
      </c>
      <c r="BD37" s="681">
        <f t="shared" si="35"/>
        <v>0.94132812499999996</v>
      </c>
      <c r="BE37" s="681">
        <f t="shared" si="35"/>
        <v>0.94132812499999996</v>
      </c>
      <c r="BF37" s="681">
        <f t="shared" si="35"/>
        <v>0.94132812499999996</v>
      </c>
      <c r="BG37" s="681">
        <f t="shared" si="35"/>
        <v>0.94132812499999996</v>
      </c>
      <c r="BH37" s="681">
        <f t="shared" si="35"/>
        <v>0.94132812499999996</v>
      </c>
      <c r="BI37" s="681">
        <f t="shared" si="35"/>
        <v>0.94132812499999996</v>
      </c>
      <c r="BJ37" s="681">
        <f t="shared" si="35"/>
        <v>0.94132812499999996</v>
      </c>
      <c r="BK37" s="681">
        <f t="shared" si="35"/>
        <v>0.94132812499999996</v>
      </c>
      <c r="BL37" s="681">
        <f t="shared" si="35"/>
        <v>0.94132812499999996</v>
      </c>
      <c r="BM37" s="681">
        <f t="shared" si="35"/>
        <v>0.94132812499999996</v>
      </c>
      <c r="BN37" s="681">
        <f t="shared" si="35"/>
        <v>0.94132812499999996</v>
      </c>
      <c r="BO37" s="681">
        <f t="shared" si="35"/>
        <v>0.94132812499999996</v>
      </c>
      <c r="BP37" s="681">
        <f t="shared" si="35"/>
        <v>0.94132812499999996</v>
      </c>
      <c r="BQ37" s="681">
        <f t="shared" si="35"/>
        <v>0.94132812499999996</v>
      </c>
      <c r="BR37" s="681">
        <f t="shared" si="35"/>
        <v>0.94132812499999996</v>
      </c>
      <c r="BS37" s="681">
        <f t="shared" ref="BS37:ED37" si="36">IF(BS19=0,0,BS36/BS19)</f>
        <v>0.94132812499999996</v>
      </c>
      <c r="BT37" s="681">
        <f t="shared" si="36"/>
        <v>0.94132812499999996</v>
      </c>
      <c r="BU37" s="681">
        <f t="shared" si="36"/>
        <v>0.94132812499999996</v>
      </c>
      <c r="BV37" s="681">
        <f t="shared" si="36"/>
        <v>0.94132812499999996</v>
      </c>
      <c r="BW37" s="681">
        <f t="shared" si="36"/>
        <v>0.94132812499999996</v>
      </c>
      <c r="BX37" s="681">
        <f t="shared" si="36"/>
        <v>0.94132812499999996</v>
      </c>
      <c r="BY37" s="681">
        <f t="shared" si="36"/>
        <v>0.94132812499999996</v>
      </c>
      <c r="BZ37" s="681">
        <f t="shared" si="36"/>
        <v>0.94132812499999996</v>
      </c>
      <c r="CA37" s="681">
        <f t="shared" si="36"/>
        <v>0.94132812499999996</v>
      </c>
      <c r="CB37" s="681">
        <f t="shared" si="36"/>
        <v>0.94132812499999996</v>
      </c>
      <c r="CC37" s="681">
        <f t="shared" si="36"/>
        <v>0.94132812499999996</v>
      </c>
      <c r="CD37" s="681">
        <f t="shared" si="36"/>
        <v>0.94132812499999996</v>
      </c>
      <c r="CE37" s="681">
        <f t="shared" si="36"/>
        <v>0.94132812499999996</v>
      </c>
      <c r="CF37" s="681">
        <f t="shared" si="36"/>
        <v>0.94132812499999996</v>
      </c>
      <c r="CG37" s="681">
        <f t="shared" si="36"/>
        <v>0.94132812499999996</v>
      </c>
      <c r="CH37" s="681">
        <f t="shared" si="36"/>
        <v>0.94132812499999996</v>
      </c>
      <c r="CI37" s="681">
        <f t="shared" si="36"/>
        <v>0.94132812499999996</v>
      </c>
      <c r="CJ37" s="681">
        <f t="shared" si="36"/>
        <v>0.94132812499999996</v>
      </c>
      <c r="CK37" s="681">
        <f t="shared" si="36"/>
        <v>0.94132812499999996</v>
      </c>
      <c r="CL37" s="681">
        <f t="shared" si="36"/>
        <v>0.94132812499999996</v>
      </c>
      <c r="CM37" s="681">
        <f t="shared" si="36"/>
        <v>0.94132812499999996</v>
      </c>
      <c r="CN37" s="681">
        <f t="shared" si="36"/>
        <v>0.94132812499999996</v>
      </c>
      <c r="CO37" s="681">
        <f t="shared" si="36"/>
        <v>0.94132812499999996</v>
      </c>
      <c r="CP37" s="681">
        <f t="shared" si="36"/>
        <v>0.94132812499999996</v>
      </c>
      <c r="CQ37" s="681">
        <f t="shared" si="36"/>
        <v>0.94132812499999996</v>
      </c>
      <c r="CR37" s="681">
        <f t="shared" si="36"/>
        <v>0.94132812499999996</v>
      </c>
      <c r="CS37" s="681">
        <f t="shared" si="36"/>
        <v>0.94132812499999996</v>
      </c>
      <c r="CT37" s="681">
        <f t="shared" si="36"/>
        <v>0.94132812499999996</v>
      </c>
      <c r="CU37" s="681">
        <f t="shared" si="36"/>
        <v>0.94132812499999996</v>
      </c>
      <c r="CV37" s="681">
        <f t="shared" si="36"/>
        <v>0.94132812499999996</v>
      </c>
      <c r="CW37" s="681">
        <f t="shared" si="36"/>
        <v>0.94132812499999996</v>
      </c>
      <c r="CX37" s="681">
        <f t="shared" si="36"/>
        <v>0.94132812499999996</v>
      </c>
      <c r="CY37" s="681">
        <f t="shared" si="36"/>
        <v>0.94132812499999996</v>
      </c>
      <c r="CZ37" s="681">
        <f t="shared" si="36"/>
        <v>0.94132812499999996</v>
      </c>
      <c r="DA37" s="681">
        <f t="shared" si="36"/>
        <v>0.94132812499999996</v>
      </c>
      <c r="DB37" s="681">
        <f t="shared" si="36"/>
        <v>0.94132812499999996</v>
      </c>
      <c r="DC37" s="681">
        <f t="shared" si="36"/>
        <v>0.94132812499999996</v>
      </c>
      <c r="DD37" s="681">
        <f t="shared" si="36"/>
        <v>0.94132812499999996</v>
      </c>
      <c r="DE37" s="681">
        <f t="shared" si="36"/>
        <v>0.94132812499999996</v>
      </c>
      <c r="DF37" s="681">
        <f t="shared" si="36"/>
        <v>0.94132812499999996</v>
      </c>
      <c r="DG37" s="681">
        <f t="shared" si="36"/>
        <v>0.94132812499999996</v>
      </c>
      <c r="DH37" s="681">
        <f t="shared" si="36"/>
        <v>0.94132812499999996</v>
      </c>
      <c r="DI37" s="681">
        <f t="shared" si="36"/>
        <v>0.94132812499999996</v>
      </c>
      <c r="DJ37" s="681">
        <f t="shared" si="36"/>
        <v>0.94132812499999996</v>
      </c>
      <c r="DK37" s="681">
        <f t="shared" si="36"/>
        <v>0.94132812499999996</v>
      </c>
      <c r="DL37" s="681">
        <f t="shared" si="36"/>
        <v>0.94132812499999996</v>
      </c>
      <c r="DM37" s="681">
        <f t="shared" si="36"/>
        <v>0.94132812499999996</v>
      </c>
      <c r="DN37" s="681">
        <f t="shared" si="36"/>
        <v>0.94132812499999996</v>
      </c>
      <c r="DO37" s="681">
        <f t="shared" si="36"/>
        <v>0.94132812499999996</v>
      </c>
      <c r="DP37" s="681">
        <f t="shared" si="36"/>
        <v>0.94132812499999996</v>
      </c>
      <c r="DQ37" s="681">
        <f t="shared" si="36"/>
        <v>0.94132812499999996</v>
      </c>
      <c r="DR37" s="681">
        <f t="shared" si="36"/>
        <v>0.94132812499999996</v>
      </c>
      <c r="DS37" s="681">
        <f t="shared" si="36"/>
        <v>0.94132812499999996</v>
      </c>
      <c r="DT37" s="681">
        <f t="shared" si="36"/>
        <v>0.94132812499999996</v>
      </c>
      <c r="DU37" s="681">
        <f t="shared" si="36"/>
        <v>0.94132812499999996</v>
      </c>
      <c r="DV37" s="681">
        <f t="shared" si="36"/>
        <v>0.94132812499999996</v>
      </c>
      <c r="DW37" s="681">
        <f t="shared" si="36"/>
        <v>0.94132812499999996</v>
      </c>
      <c r="DX37" s="681">
        <f t="shared" si="36"/>
        <v>0.94132812499999996</v>
      </c>
      <c r="DY37" s="681">
        <f t="shared" si="36"/>
        <v>0.94132812499999996</v>
      </c>
      <c r="DZ37" s="681">
        <f t="shared" si="36"/>
        <v>0.94132812499999996</v>
      </c>
      <c r="EA37" s="681">
        <f t="shared" si="36"/>
        <v>0.94132812499999996</v>
      </c>
      <c r="EB37" s="681">
        <f t="shared" si="36"/>
        <v>0.94132812499999996</v>
      </c>
      <c r="EC37" s="681">
        <f t="shared" si="36"/>
        <v>0.94132812499999996</v>
      </c>
      <c r="ED37" s="681">
        <f t="shared" si="36"/>
        <v>0.94132812499999996</v>
      </c>
      <c r="EE37" s="681">
        <f>IF(EE19=0,0,EE36/EE19)</f>
        <v>0.94132812499999996</v>
      </c>
      <c r="EF37" s="681">
        <f>IF(EF19=0,0,EF36/EF19)</f>
        <v>0.94132812499999996</v>
      </c>
      <c r="EG37" s="681">
        <f>IF(EG19=0,0,EG36/EG19)</f>
        <v>0.94132812499999996</v>
      </c>
      <c r="EH37" s="681">
        <f>IF(EH19=0,0,EH36/EH19)</f>
        <v>0.94132812499999996</v>
      </c>
      <c r="EI37" s="675"/>
      <c r="EJ37"/>
      <c r="EK37" s="280"/>
    </row>
    <row r="38" spans="1:141" x14ac:dyDescent="0.3">
      <c r="A38" s="658" t="s">
        <v>2383</v>
      </c>
      <c r="E38" s="674"/>
      <c r="F38" s="674"/>
      <c r="G38" s="681">
        <f t="shared" ref="G38:AL38" si="37">IF(G36=0,0,G36/Units)</f>
        <v>0</v>
      </c>
      <c r="H38" s="681">
        <f t="shared" si="37"/>
        <v>0</v>
      </c>
      <c r="I38" s="681">
        <f t="shared" si="37"/>
        <v>0</v>
      </c>
      <c r="J38" s="681">
        <f t="shared" si="37"/>
        <v>0</v>
      </c>
      <c r="K38" s="681">
        <f t="shared" si="37"/>
        <v>0</v>
      </c>
      <c r="L38" s="681">
        <f t="shared" si="37"/>
        <v>0</v>
      </c>
      <c r="M38" s="681">
        <f t="shared" si="37"/>
        <v>0</v>
      </c>
      <c r="N38" s="681">
        <f t="shared" si="37"/>
        <v>0</v>
      </c>
      <c r="O38" s="681">
        <f t="shared" si="37"/>
        <v>0</v>
      </c>
      <c r="P38" s="681">
        <f t="shared" si="37"/>
        <v>0</v>
      </c>
      <c r="Q38" s="681">
        <f t="shared" si="37"/>
        <v>0</v>
      </c>
      <c r="R38" s="681">
        <f t="shared" si="37"/>
        <v>0</v>
      </c>
      <c r="S38" s="681">
        <f t="shared" si="37"/>
        <v>0</v>
      </c>
      <c r="T38" s="681">
        <f t="shared" si="37"/>
        <v>5.6250000000000001E-2</v>
      </c>
      <c r="U38" s="681">
        <f t="shared" si="37"/>
        <v>0.1125</v>
      </c>
      <c r="V38" s="681">
        <f>IF(V36=0,0,V36/Units)</f>
        <v>0.16875000000000001</v>
      </c>
      <c r="W38" s="681">
        <f>IF(W36=0,0,W36/Units)</f>
        <v>0.22500000000000001</v>
      </c>
      <c r="X38" s="681">
        <f>IF(X36=0,0,X36/Units)</f>
        <v>0.28125</v>
      </c>
      <c r="Y38" s="681">
        <f>IF(Y36=0,0,Y36/Units)</f>
        <v>0.36562499999999998</v>
      </c>
      <c r="Z38" s="681">
        <f t="shared" si="37"/>
        <v>0.44999999999999996</v>
      </c>
      <c r="AA38" s="681">
        <f t="shared" si="37"/>
        <v>0.53437499999999993</v>
      </c>
      <c r="AB38" s="681">
        <f t="shared" si="37"/>
        <v>0.61874999999999991</v>
      </c>
      <c r="AC38" s="681">
        <f t="shared" si="37"/>
        <v>0.70312499999999989</v>
      </c>
      <c r="AD38" s="681">
        <f t="shared" si="37"/>
        <v>0.78749999999999987</v>
      </c>
      <c r="AE38" s="681">
        <f t="shared" si="37"/>
        <v>0.84374999999999989</v>
      </c>
      <c r="AF38" s="681">
        <f t="shared" si="37"/>
        <v>0.89999999999999991</v>
      </c>
      <c r="AG38" s="681">
        <f t="shared" si="37"/>
        <v>0.94132812499999996</v>
      </c>
      <c r="AH38" s="681">
        <f t="shared" si="37"/>
        <v>0.94132812499999996</v>
      </c>
      <c r="AI38" s="681">
        <f t="shared" si="37"/>
        <v>0.94132812499999996</v>
      </c>
      <c r="AJ38" s="681">
        <f t="shared" si="37"/>
        <v>0.94132812499999996</v>
      </c>
      <c r="AK38" s="681">
        <f t="shared" si="37"/>
        <v>0.94132812499999996</v>
      </c>
      <c r="AL38" s="681">
        <f t="shared" si="37"/>
        <v>0.94132812499999996</v>
      </c>
      <c r="AM38" s="681">
        <f t="shared" ref="AM38:BR38" si="38">IF(AM36=0,0,AM36/Units)</f>
        <v>0.94132812499999996</v>
      </c>
      <c r="AN38" s="681">
        <f t="shared" si="38"/>
        <v>0.94132812499999996</v>
      </c>
      <c r="AO38" s="681">
        <f t="shared" si="38"/>
        <v>0.94132812499999996</v>
      </c>
      <c r="AP38" s="681">
        <f t="shared" si="38"/>
        <v>0.94132812499999996</v>
      </c>
      <c r="AQ38" s="681">
        <f t="shared" si="38"/>
        <v>0.94132812499999996</v>
      </c>
      <c r="AR38" s="681">
        <f t="shared" si="38"/>
        <v>0.94132812499999996</v>
      </c>
      <c r="AS38" s="681">
        <f t="shared" si="38"/>
        <v>0.94132812499999996</v>
      </c>
      <c r="AT38" s="681">
        <f t="shared" si="38"/>
        <v>0.94132812499999996</v>
      </c>
      <c r="AU38" s="681">
        <f t="shared" si="38"/>
        <v>0.94132812499999996</v>
      </c>
      <c r="AV38" s="681">
        <f t="shared" si="38"/>
        <v>0.94132812499999996</v>
      </c>
      <c r="AW38" s="681">
        <f t="shared" si="38"/>
        <v>0.94132812499999996</v>
      </c>
      <c r="AX38" s="681">
        <f t="shared" si="38"/>
        <v>0.94132812499999996</v>
      </c>
      <c r="AY38" s="681">
        <f t="shared" si="38"/>
        <v>0.94132812499999996</v>
      </c>
      <c r="AZ38" s="681">
        <f t="shared" si="38"/>
        <v>0.94132812499999996</v>
      </c>
      <c r="BA38" s="681">
        <f t="shared" si="38"/>
        <v>0.94132812499999996</v>
      </c>
      <c r="BB38" s="681">
        <f t="shared" si="38"/>
        <v>0.94132812499999996</v>
      </c>
      <c r="BC38" s="681">
        <f t="shared" si="38"/>
        <v>0.94132812499999996</v>
      </c>
      <c r="BD38" s="681">
        <f t="shared" si="38"/>
        <v>0.94132812499999996</v>
      </c>
      <c r="BE38" s="681">
        <f t="shared" si="38"/>
        <v>0.94132812499999996</v>
      </c>
      <c r="BF38" s="681">
        <f t="shared" si="38"/>
        <v>0.94132812499999996</v>
      </c>
      <c r="BG38" s="681">
        <f t="shared" si="38"/>
        <v>0.94132812499999996</v>
      </c>
      <c r="BH38" s="681">
        <f t="shared" si="38"/>
        <v>0.94132812499999996</v>
      </c>
      <c r="BI38" s="681">
        <f t="shared" si="38"/>
        <v>0.94132812499999996</v>
      </c>
      <c r="BJ38" s="681">
        <f t="shared" si="38"/>
        <v>0.94132812499999996</v>
      </c>
      <c r="BK38" s="681">
        <f t="shared" si="38"/>
        <v>0.94132812499999996</v>
      </c>
      <c r="BL38" s="681">
        <f t="shared" si="38"/>
        <v>0.94132812499999996</v>
      </c>
      <c r="BM38" s="681">
        <f t="shared" si="38"/>
        <v>0.94132812499999996</v>
      </c>
      <c r="BN38" s="681">
        <f t="shared" si="38"/>
        <v>0.94132812499999996</v>
      </c>
      <c r="BO38" s="681">
        <f t="shared" si="38"/>
        <v>0.94132812499999996</v>
      </c>
      <c r="BP38" s="681">
        <f t="shared" si="38"/>
        <v>0.94132812499999996</v>
      </c>
      <c r="BQ38" s="681">
        <f t="shared" si="38"/>
        <v>0.94132812499999996</v>
      </c>
      <c r="BR38" s="681">
        <f t="shared" si="38"/>
        <v>0.94132812499999996</v>
      </c>
      <c r="BS38" s="681">
        <f t="shared" ref="BS38:CX38" si="39">IF(BS36=0,0,BS36/Units)</f>
        <v>0.94132812499999996</v>
      </c>
      <c r="BT38" s="681">
        <f t="shared" si="39"/>
        <v>0.94132812499999996</v>
      </c>
      <c r="BU38" s="681">
        <f t="shared" si="39"/>
        <v>0.94132812499999996</v>
      </c>
      <c r="BV38" s="681">
        <f t="shared" si="39"/>
        <v>0.94132812499999996</v>
      </c>
      <c r="BW38" s="681">
        <f t="shared" si="39"/>
        <v>0.94132812499999996</v>
      </c>
      <c r="BX38" s="681">
        <f t="shared" si="39"/>
        <v>0.94132812499999996</v>
      </c>
      <c r="BY38" s="681">
        <f t="shared" si="39"/>
        <v>0.94132812499999996</v>
      </c>
      <c r="BZ38" s="681">
        <f t="shared" si="39"/>
        <v>0.94132812499999996</v>
      </c>
      <c r="CA38" s="681">
        <f t="shared" si="39"/>
        <v>0.94132812499999996</v>
      </c>
      <c r="CB38" s="681">
        <f t="shared" si="39"/>
        <v>0.94132812499999996</v>
      </c>
      <c r="CC38" s="681">
        <f t="shared" si="39"/>
        <v>0.94132812499999996</v>
      </c>
      <c r="CD38" s="681">
        <f t="shared" si="39"/>
        <v>0.94132812499999996</v>
      </c>
      <c r="CE38" s="681">
        <f t="shared" si="39"/>
        <v>0.94132812499999996</v>
      </c>
      <c r="CF38" s="681">
        <f t="shared" si="39"/>
        <v>0.94132812499999996</v>
      </c>
      <c r="CG38" s="681">
        <f t="shared" si="39"/>
        <v>0.94132812499999996</v>
      </c>
      <c r="CH38" s="681">
        <f t="shared" si="39"/>
        <v>0.94132812499999996</v>
      </c>
      <c r="CI38" s="681">
        <f t="shared" si="39"/>
        <v>0.94132812499999996</v>
      </c>
      <c r="CJ38" s="681">
        <f t="shared" si="39"/>
        <v>0.94132812499999996</v>
      </c>
      <c r="CK38" s="681">
        <f t="shared" si="39"/>
        <v>0.94132812499999996</v>
      </c>
      <c r="CL38" s="681">
        <f t="shared" si="39"/>
        <v>0.94132812499999996</v>
      </c>
      <c r="CM38" s="681">
        <f t="shared" si="39"/>
        <v>0.94132812499999996</v>
      </c>
      <c r="CN38" s="681">
        <f t="shared" si="39"/>
        <v>0.94132812499999996</v>
      </c>
      <c r="CO38" s="681">
        <f t="shared" si="39"/>
        <v>0.94132812499999996</v>
      </c>
      <c r="CP38" s="681">
        <f t="shared" si="39"/>
        <v>0.94132812499999996</v>
      </c>
      <c r="CQ38" s="681">
        <f t="shared" si="39"/>
        <v>0.94132812499999996</v>
      </c>
      <c r="CR38" s="681">
        <f t="shared" si="39"/>
        <v>0.94132812499999996</v>
      </c>
      <c r="CS38" s="681">
        <f t="shared" si="39"/>
        <v>0.94132812499999996</v>
      </c>
      <c r="CT38" s="681">
        <f t="shared" si="39"/>
        <v>0.94132812499999996</v>
      </c>
      <c r="CU38" s="681">
        <f t="shared" si="39"/>
        <v>0.94132812499999996</v>
      </c>
      <c r="CV38" s="681">
        <f t="shared" si="39"/>
        <v>0.94132812499999996</v>
      </c>
      <c r="CW38" s="681">
        <f t="shared" si="39"/>
        <v>0.94132812499999996</v>
      </c>
      <c r="CX38" s="681">
        <f t="shared" si="39"/>
        <v>0.94132812499999996</v>
      </c>
      <c r="CY38" s="681">
        <f t="shared" ref="CY38:EH38" si="40">IF(CY36=0,0,CY36/Units)</f>
        <v>0.94132812499999996</v>
      </c>
      <c r="CZ38" s="681">
        <f t="shared" si="40"/>
        <v>0.94132812499999996</v>
      </c>
      <c r="DA38" s="681">
        <f t="shared" si="40"/>
        <v>0.94132812499999996</v>
      </c>
      <c r="DB38" s="681">
        <f t="shared" si="40"/>
        <v>0.94132812499999996</v>
      </c>
      <c r="DC38" s="681">
        <f t="shared" si="40"/>
        <v>0.94132812499999996</v>
      </c>
      <c r="DD38" s="681">
        <f t="shared" si="40"/>
        <v>0.94132812499999996</v>
      </c>
      <c r="DE38" s="681">
        <f t="shared" si="40"/>
        <v>0.94132812499999996</v>
      </c>
      <c r="DF38" s="681">
        <f t="shared" si="40"/>
        <v>0.94132812499999996</v>
      </c>
      <c r="DG38" s="681">
        <f t="shared" si="40"/>
        <v>0.94132812499999996</v>
      </c>
      <c r="DH38" s="681">
        <f t="shared" si="40"/>
        <v>0.94132812499999996</v>
      </c>
      <c r="DI38" s="681">
        <f t="shared" si="40"/>
        <v>0.94132812499999996</v>
      </c>
      <c r="DJ38" s="681">
        <f t="shared" si="40"/>
        <v>0.94132812499999996</v>
      </c>
      <c r="DK38" s="681">
        <f t="shared" si="40"/>
        <v>0.94132812499999996</v>
      </c>
      <c r="DL38" s="681">
        <f t="shared" si="40"/>
        <v>0.94132812499999996</v>
      </c>
      <c r="DM38" s="681">
        <f t="shared" si="40"/>
        <v>0.94132812499999996</v>
      </c>
      <c r="DN38" s="681">
        <f t="shared" si="40"/>
        <v>0.94132812499999996</v>
      </c>
      <c r="DO38" s="681">
        <f t="shared" si="40"/>
        <v>0.94132812499999996</v>
      </c>
      <c r="DP38" s="681">
        <f t="shared" si="40"/>
        <v>0.94132812499999996</v>
      </c>
      <c r="DQ38" s="681">
        <f t="shared" si="40"/>
        <v>0.94132812499999996</v>
      </c>
      <c r="DR38" s="681">
        <f t="shared" si="40"/>
        <v>0.94132812499999996</v>
      </c>
      <c r="DS38" s="681">
        <f t="shared" si="40"/>
        <v>0.94132812499999996</v>
      </c>
      <c r="DT38" s="681">
        <f t="shared" si="40"/>
        <v>0.94132812499999996</v>
      </c>
      <c r="DU38" s="681">
        <f t="shared" si="40"/>
        <v>0.94132812499999996</v>
      </c>
      <c r="DV38" s="681">
        <f t="shared" si="40"/>
        <v>0.94132812499999996</v>
      </c>
      <c r="DW38" s="681">
        <f t="shared" si="40"/>
        <v>0.94132812499999996</v>
      </c>
      <c r="DX38" s="681">
        <f t="shared" si="40"/>
        <v>0.94132812499999996</v>
      </c>
      <c r="DY38" s="681">
        <f t="shared" si="40"/>
        <v>0.94132812499999996</v>
      </c>
      <c r="DZ38" s="681">
        <f t="shared" si="40"/>
        <v>0.94132812499999996</v>
      </c>
      <c r="EA38" s="681">
        <f t="shared" si="40"/>
        <v>0.94132812499999996</v>
      </c>
      <c r="EB38" s="681">
        <f t="shared" si="40"/>
        <v>0.94132812499999996</v>
      </c>
      <c r="EC38" s="681">
        <f t="shared" si="40"/>
        <v>0.94132812499999996</v>
      </c>
      <c r="ED38" s="681">
        <f t="shared" si="40"/>
        <v>0.94132812499999996</v>
      </c>
      <c r="EE38" s="681">
        <f t="shared" si="40"/>
        <v>0.94132812499999996</v>
      </c>
      <c r="EF38" s="681">
        <f t="shared" si="40"/>
        <v>0.94132812499999996</v>
      </c>
      <c r="EG38" s="681">
        <f t="shared" si="40"/>
        <v>0.94132812499999996</v>
      </c>
      <c r="EH38" s="681">
        <f t="shared" si="40"/>
        <v>0.94132812499999996</v>
      </c>
      <c r="EK38" s="672"/>
    </row>
    <row r="39" spans="1:141" x14ac:dyDescent="0.3">
      <c r="A39" s="658" t="s">
        <v>2384</v>
      </c>
      <c r="E39" s="674"/>
      <c r="F39" s="674"/>
      <c r="G39" s="1511">
        <f t="shared" ref="G39:V39" si="41">SUM(F36:G36)/2</f>
        <v>0</v>
      </c>
      <c r="H39" s="1511">
        <f t="shared" si="41"/>
        <v>0</v>
      </c>
      <c r="I39" s="1511">
        <f t="shared" si="41"/>
        <v>0</v>
      </c>
      <c r="J39" s="1511">
        <f t="shared" si="41"/>
        <v>0</v>
      </c>
      <c r="K39" s="1511">
        <f t="shared" si="41"/>
        <v>0</v>
      </c>
      <c r="L39" s="1511">
        <f t="shared" si="41"/>
        <v>0</v>
      </c>
      <c r="M39" s="1511">
        <f t="shared" si="41"/>
        <v>0</v>
      </c>
      <c r="N39" s="1511">
        <f t="shared" si="41"/>
        <v>0</v>
      </c>
      <c r="O39" s="1511">
        <f t="shared" si="41"/>
        <v>0</v>
      </c>
      <c r="P39" s="1511">
        <f t="shared" si="41"/>
        <v>0</v>
      </c>
      <c r="Q39" s="1511">
        <f t="shared" si="41"/>
        <v>0</v>
      </c>
      <c r="R39" s="1511">
        <f t="shared" si="41"/>
        <v>0</v>
      </c>
      <c r="S39" s="1511">
        <f t="shared" si="41"/>
        <v>0</v>
      </c>
      <c r="T39" s="1511">
        <f t="shared" si="41"/>
        <v>7.2</v>
      </c>
      <c r="U39" s="1511">
        <f t="shared" si="41"/>
        <v>21.6</v>
      </c>
      <c r="V39" s="1511">
        <f t="shared" si="41"/>
        <v>36</v>
      </c>
      <c r="W39" s="1511">
        <f>SUM(V36:W36)/2</f>
        <v>50.400000000000006</v>
      </c>
      <c r="X39" s="1511">
        <f t="shared" ref="X39:CI39" si="42">SUM(W36:X36)/2</f>
        <v>64.8</v>
      </c>
      <c r="Y39" s="1511">
        <f t="shared" si="42"/>
        <v>82.8</v>
      </c>
      <c r="Z39" s="1511">
        <f t="shared" si="42"/>
        <v>104.39999999999999</v>
      </c>
      <c r="AA39" s="1511">
        <f t="shared" si="42"/>
        <v>125.99999999999999</v>
      </c>
      <c r="AB39" s="1511">
        <f t="shared" si="42"/>
        <v>147.59999999999997</v>
      </c>
      <c r="AC39" s="1511">
        <f t="shared" si="42"/>
        <v>169.2</v>
      </c>
      <c r="AD39" s="1511">
        <f t="shared" si="42"/>
        <v>190.79999999999995</v>
      </c>
      <c r="AE39" s="1511">
        <f t="shared" si="42"/>
        <v>208.79999999999995</v>
      </c>
      <c r="AF39" s="1511">
        <f t="shared" si="42"/>
        <v>223.2</v>
      </c>
      <c r="AG39" s="1511">
        <f t="shared" si="42"/>
        <v>235.69</v>
      </c>
      <c r="AH39" s="1511">
        <f t="shared" si="42"/>
        <v>240.98</v>
      </c>
      <c r="AI39" s="1511">
        <f t="shared" si="42"/>
        <v>240.98</v>
      </c>
      <c r="AJ39" s="1511">
        <f t="shared" si="42"/>
        <v>240.98</v>
      </c>
      <c r="AK39" s="1511">
        <f t="shared" si="42"/>
        <v>240.98</v>
      </c>
      <c r="AL39" s="1511">
        <f t="shared" si="42"/>
        <v>240.98</v>
      </c>
      <c r="AM39" s="1511">
        <f t="shared" si="42"/>
        <v>240.98</v>
      </c>
      <c r="AN39" s="1511">
        <f t="shared" si="42"/>
        <v>240.98</v>
      </c>
      <c r="AO39" s="1511">
        <f t="shared" si="42"/>
        <v>240.98</v>
      </c>
      <c r="AP39" s="1511">
        <f t="shared" si="42"/>
        <v>240.98</v>
      </c>
      <c r="AQ39" s="1511">
        <f t="shared" si="42"/>
        <v>240.98</v>
      </c>
      <c r="AR39" s="1511">
        <f t="shared" si="42"/>
        <v>240.98</v>
      </c>
      <c r="AS39" s="1511">
        <f t="shared" si="42"/>
        <v>240.98</v>
      </c>
      <c r="AT39" s="1511">
        <f t="shared" si="42"/>
        <v>240.98</v>
      </c>
      <c r="AU39" s="1511">
        <f t="shared" si="42"/>
        <v>240.98</v>
      </c>
      <c r="AV39" s="1511">
        <f t="shared" si="42"/>
        <v>240.98</v>
      </c>
      <c r="AW39" s="1511">
        <f t="shared" si="42"/>
        <v>240.98</v>
      </c>
      <c r="AX39" s="1511">
        <f t="shared" si="42"/>
        <v>240.98</v>
      </c>
      <c r="AY39" s="1511">
        <f t="shared" si="42"/>
        <v>240.98</v>
      </c>
      <c r="AZ39" s="1511">
        <f t="shared" si="42"/>
        <v>240.98</v>
      </c>
      <c r="BA39" s="1511">
        <f t="shared" si="42"/>
        <v>240.98</v>
      </c>
      <c r="BB39" s="1511">
        <f t="shared" si="42"/>
        <v>240.98</v>
      </c>
      <c r="BC39" s="1511">
        <f t="shared" si="42"/>
        <v>240.98</v>
      </c>
      <c r="BD39" s="1511">
        <f t="shared" si="42"/>
        <v>240.98</v>
      </c>
      <c r="BE39" s="1511">
        <f t="shared" si="42"/>
        <v>240.98</v>
      </c>
      <c r="BF39" s="1511">
        <f t="shared" si="42"/>
        <v>240.98</v>
      </c>
      <c r="BG39" s="1511">
        <f t="shared" si="42"/>
        <v>240.98</v>
      </c>
      <c r="BH39" s="1511">
        <f t="shared" si="42"/>
        <v>240.98</v>
      </c>
      <c r="BI39" s="1511">
        <f t="shared" si="42"/>
        <v>240.98</v>
      </c>
      <c r="BJ39" s="1511">
        <f t="shared" si="42"/>
        <v>240.98</v>
      </c>
      <c r="BK39" s="1511">
        <f t="shared" si="42"/>
        <v>240.98</v>
      </c>
      <c r="BL39" s="1511">
        <f t="shared" si="42"/>
        <v>240.98</v>
      </c>
      <c r="BM39" s="1511">
        <f t="shared" si="42"/>
        <v>240.98</v>
      </c>
      <c r="BN39" s="1511">
        <f t="shared" si="42"/>
        <v>240.98</v>
      </c>
      <c r="BO39" s="1511">
        <f t="shared" si="42"/>
        <v>240.98</v>
      </c>
      <c r="BP39" s="1511">
        <f t="shared" si="42"/>
        <v>240.98</v>
      </c>
      <c r="BQ39" s="1511">
        <f t="shared" si="42"/>
        <v>240.98</v>
      </c>
      <c r="BR39" s="1511">
        <f t="shared" si="42"/>
        <v>240.98</v>
      </c>
      <c r="BS39" s="1511">
        <f t="shared" si="42"/>
        <v>240.98</v>
      </c>
      <c r="BT39" s="1511">
        <f t="shared" si="42"/>
        <v>240.98</v>
      </c>
      <c r="BU39" s="1511">
        <f t="shared" si="42"/>
        <v>240.98</v>
      </c>
      <c r="BV39" s="1511">
        <f t="shared" si="42"/>
        <v>240.98</v>
      </c>
      <c r="BW39" s="1511">
        <f t="shared" si="42"/>
        <v>240.98</v>
      </c>
      <c r="BX39" s="1511">
        <f t="shared" si="42"/>
        <v>240.98</v>
      </c>
      <c r="BY39" s="1511">
        <f t="shared" si="42"/>
        <v>240.98</v>
      </c>
      <c r="BZ39" s="1511">
        <f t="shared" si="42"/>
        <v>240.98</v>
      </c>
      <c r="CA39" s="1511">
        <f t="shared" si="42"/>
        <v>240.98</v>
      </c>
      <c r="CB39" s="1511">
        <f t="shared" si="42"/>
        <v>240.98</v>
      </c>
      <c r="CC39" s="1511">
        <f t="shared" si="42"/>
        <v>240.98</v>
      </c>
      <c r="CD39" s="1511">
        <f t="shared" si="42"/>
        <v>240.98</v>
      </c>
      <c r="CE39" s="1511">
        <f t="shared" si="42"/>
        <v>240.98</v>
      </c>
      <c r="CF39" s="1511">
        <f t="shared" si="42"/>
        <v>240.98</v>
      </c>
      <c r="CG39" s="1511">
        <f t="shared" si="42"/>
        <v>240.98</v>
      </c>
      <c r="CH39" s="1511">
        <f t="shared" si="42"/>
        <v>240.98</v>
      </c>
      <c r="CI39" s="1511">
        <f t="shared" si="42"/>
        <v>240.98</v>
      </c>
      <c r="CJ39" s="1511">
        <f t="shared" ref="CJ39:EH39" si="43">SUM(CI36:CJ36)/2</f>
        <v>240.98</v>
      </c>
      <c r="CK39" s="1511">
        <f t="shared" si="43"/>
        <v>240.98</v>
      </c>
      <c r="CL39" s="1511">
        <f t="shared" si="43"/>
        <v>240.98</v>
      </c>
      <c r="CM39" s="1511">
        <f t="shared" si="43"/>
        <v>240.98</v>
      </c>
      <c r="CN39" s="1511">
        <f t="shared" si="43"/>
        <v>240.98</v>
      </c>
      <c r="CO39" s="1511">
        <f t="shared" si="43"/>
        <v>240.98</v>
      </c>
      <c r="CP39" s="1511">
        <f t="shared" si="43"/>
        <v>240.98</v>
      </c>
      <c r="CQ39" s="1511">
        <f t="shared" si="43"/>
        <v>240.98</v>
      </c>
      <c r="CR39" s="1511">
        <f t="shared" si="43"/>
        <v>240.98</v>
      </c>
      <c r="CS39" s="1511">
        <f t="shared" si="43"/>
        <v>240.98</v>
      </c>
      <c r="CT39" s="1511">
        <f t="shared" si="43"/>
        <v>240.98</v>
      </c>
      <c r="CU39" s="1511">
        <f t="shared" si="43"/>
        <v>240.98</v>
      </c>
      <c r="CV39" s="1511">
        <f t="shared" si="43"/>
        <v>240.98</v>
      </c>
      <c r="CW39" s="1511">
        <f t="shared" si="43"/>
        <v>240.98</v>
      </c>
      <c r="CX39" s="1511">
        <f t="shared" si="43"/>
        <v>240.98</v>
      </c>
      <c r="CY39" s="1511">
        <f t="shared" si="43"/>
        <v>240.98</v>
      </c>
      <c r="CZ39" s="1511">
        <f t="shared" si="43"/>
        <v>240.98</v>
      </c>
      <c r="DA39" s="1511">
        <f t="shared" si="43"/>
        <v>240.98</v>
      </c>
      <c r="DB39" s="1511">
        <f t="shared" si="43"/>
        <v>240.98</v>
      </c>
      <c r="DC39" s="1511">
        <f t="shared" si="43"/>
        <v>240.98</v>
      </c>
      <c r="DD39" s="1511">
        <f t="shared" si="43"/>
        <v>240.98</v>
      </c>
      <c r="DE39" s="1511">
        <f t="shared" si="43"/>
        <v>240.98</v>
      </c>
      <c r="DF39" s="1511">
        <f t="shared" si="43"/>
        <v>240.98</v>
      </c>
      <c r="DG39" s="1511">
        <f t="shared" si="43"/>
        <v>240.98</v>
      </c>
      <c r="DH39" s="1511">
        <f t="shared" si="43"/>
        <v>240.98</v>
      </c>
      <c r="DI39" s="1511">
        <f t="shared" si="43"/>
        <v>240.98</v>
      </c>
      <c r="DJ39" s="1511">
        <f t="shared" si="43"/>
        <v>240.98</v>
      </c>
      <c r="DK39" s="1511">
        <f t="shared" si="43"/>
        <v>240.98</v>
      </c>
      <c r="DL39" s="1511">
        <f t="shared" si="43"/>
        <v>240.98</v>
      </c>
      <c r="DM39" s="1511">
        <f t="shared" si="43"/>
        <v>240.98</v>
      </c>
      <c r="DN39" s="1511">
        <f t="shared" si="43"/>
        <v>240.98</v>
      </c>
      <c r="DO39" s="1511">
        <f t="shared" si="43"/>
        <v>240.98</v>
      </c>
      <c r="DP39" s="1511">
        <f t="shared" si="43"/>
        <v>240.98</v>
      </c>
      <c r="DQ39" s="1511">
        <f t="shared" si="43"/>
        <v>240.98</v>
      </c>
      <c r="DR39" s="1511">
        <f t="shared" si="43"/>
        <v>240.98</v>
      </c>
      <c r="DS39" s="1511">
        <f t="shared" si="43"/>
        <v>240.98</v>
      </c>
      <c r="DT39" s="1511">
        <f t="shared" si="43"/>
        <v>240.98</v>
      </c>
      <c r="DU39" s="1511">
        <f t="shared" si="43"/>
        <v>240.98</v>
      </c>
      <c r="DV39" s="1511">
        <f t="shared" si="43"/>
        <v>240.98</v>
      </c>
      <c r="DW39" s="1511">
        <f t="shared" si="43"/>
        <v>240.98</v>
      </c>
      <c r="DX39" s="1511">
        <f t="shared" si="43"/>
        <v>240.98</v>
      </c>
      <c r="DY39" s="1511">
        <f t="shared" si="43"/>
        <v>240.98</v>
      </c>
      <c r="DZ39" s="1511">
        <f t="shared" si="43"/>
        <v>240.98</v>
      </c>
      <c r="EA39" s="1511">
        <f t="shared" si="43"/>
        <v>240.98</v>
      </c>
      <c r="EB39" s="1511">
        <f t="shared" si="43"/>
        <v>240.98</v>
      </c>
      <c r="EC39" s="1511">
        <f t="shared" si="43"/>
        <v>240.98</v>
      </c>
      <c r="ED39" s="1511">
        <f t="shared" si="43"/>
        <v>240.98</v>
      </c>
      <c r="EE39" s="1511">
        <f t="shared" si="43"/>
        <v>240.98</v>
      </c>
      <c r="EF39" s="1511">
        <f t="shared" si="43"/>
        <v>240.98</v>
      </c>
      <c r="EG39" s="1511">
        <f t="shared" si="43"/>
        <v>240.98</v>
      </c>
      <c r="EH39" s="1511">
        <f t="shared" si="43"/>
        <v>240.98</v>
      </c>
      <c r="EK39" s="672"/>
    </row>
    <row r="40" spans="1:141" x14ac:dyDescent="0.3">
      <c r="A40" s="658" t="s">
        <v>2385</v>
      </c>
      <c r="E40" s="674"/>
      <c r="F40" s="674"/>
      <c r="G40" s="681">
        <f t="shared" ref="G40:AL40" si="44">IF(G39=0,0,G39/Units)</f>
        <v>0</v>
      </c>
      <c r="H40" s="681">
        <f t="shared" si="44"/>
        <v>0</v>
      </c>
      <c r="I40" s="681">
        <f t="shared" si="44"/>
        <v>0</v>
      </c>
      <c r="J40" s="681">
        <f t="shared" si="44"/>
        <v>0</v>
      </c>
      <c r="K40" s="681">
        <f t="shared" si="44"/>
        <v>0</v>
      </c>
      <c r="L40" s="681">
        <f t="shared" si="44"/>
        <v>0</v>
      </c>
      <c r="M40" s="681">
        <f t="shared" si="44"/>
        <v>0</v>
      </c>
      <c r="N40" s="681">
        <f t="shared" si="44"/>
        <v>0</v>
      </c>
      <c r="O40" s="681">
        <f t="shared" si="44"/>
        <v>0</v>
      </c>
      <c r="P40" s="681">
        <f t="shared" si="44"/>
        <v>0</v>
      </c>
      <c r="Q40" s="681">
        <f t="shared" si="44"/>
        <v>0</v>
      </c>
      <c r="R40" s="681">
        <f t="shared" si="44"/>
        <v>0</v>
      </c>
      <c r="S40" s="681">
        <f t="shared" si="44"/>
        <v>0</v>
      </c>
      <c r="T40" s="681">
        <f t="shared" si="44"/>
        <v>2.8125000000000001E-2</v>
      </c>
      <c r="U40" s="681">
        <f t="shared" si="44"/>
        <v>8.4375000000000006E-2</v>
      </c>
      <c r="V40" s="681">
        <f t="shared" si="44"/>
        <v>0.140625</v>
      </c>
      <c r="W40" s="681">
        <f t="shared" si="44"/>
        <v>0.19687500000000002</v>
      </c>
      <c r="X40" s="681">
        <f t="shared" si="44"/>
        <v>0.25312499999999999</v>
      </c>
      <c r="Y40" s="681">
        <f t="shared" si="44"/>
        <v>0.32343749999999999</v>
      </c>
      <c r="Z40" s="681">
        <f t="shared" si="44"/>
        <v>0.40781249999999997</v>
      </c>
      <c r="AA40" s="681">
        <f t="shared" si="44"/>
        <v>0.49218749999999994</v>
      </c>
      <c r="AB40" s="681">
        <f t="shared" si="44"/>
        <v>0.57656249999999987</v>
      </c>
      <c r="AC40" s="681">
        <f t="shared" si="44"/>
        <v>0.66093749999999996</v>
      </c>
      <c r="AD40" s="681">
        <f t="shared" si="44"/>
        <v>0.74531249999999982</v>
      </c>
      <c r="AE40" s="681">
        <f t="shared" si="44"/>
        <v>0.81562499999999982</v>
      </c>
      <c r="AF40" s="681">
        <f t="shared" si="44"/>
        <v>0.87187499999999996</v>
      </c>
      <c r="AG40" s="681">
        <f t="shared" si="44"/>
        <v>0.92066406249999999</v>
      </c>
      <c r="AH40" s="681">
        <f t="shared" si="44"/>
        <v>0.94132812499999996</v>
      </c>
      <c r="AI40" s="681">
        <f t="shared" si="44"/>
        <v>0.94132812499999996</v>
      </c>
      <c r="AJ40" s="681">
        <f t="shared" si="44"/>
        <v>0.94132812499999996</v>
      </c>
      <c r="AK40" s="681">
        <f t="shared" si="44"/>
        <v>0.94132812499999996</v>
      </c>
      <c r="AL40" s="681">
        <f t="shared" si="44"/>
        <v>0.94132812499999996</v>
      </c>
      <c r="AM40" s="681">
        <f t="shared" ref="AM40:BR40" si="45">IF(AM39=0,0,AM39/Units)</f>
        <v>0.94132812499999996</v>
      </c>
      <c r="AN40" s="681">
        <f t="shared" si="45"/>
        <v>0.94132812499999996</v>
      </c>
      <c r="AO40" s="681">
        <f t="shared" si="45"/>
        <v>0.94132812499999996</v>
      </c>
      <c r="AP40" s="681">
        <f t="shared" si="45"/>
        <v>0.94132812499999996</v>
      </c>
      <c r="AQ40" s="681">
        <f t="shared" si="45"/>
        <v>0.94132812499999996</v>
      </c>
      <c r="AR40" s="681">
        <f t="shared" si="45"/>
        <v>0.94132812499999996</v>
      </c>
      <c r="AS40" s="681">
        <f t="shared" si="45"/>
        <v>0.94132812499999996</v>
      </c>
      <c r="AT40" s="681">
        <f t="shared" si="45"/>
        <v>0.94132812499999996</v>
      </c>
      <c r="AU40" s="681">
        <f t="shared" si="45"/>
        <v>0.94132812499999996</v>
      </c>
      <c r="AV40" s="681">
        <f t="shared" si="45"/>
        <v>0.94132812499999996</v>
      </c>
      <c r="AW40" s="681">
        <f t="shared" si="45"/>
        <v>0.94132812499999996</v>
      </c>
      <c r="AX40" s="681">
        <f t="shared" si="45"/>
        <v>0.94132812499999996</v>
      </c>
      <c r="AY40" s="681">
        <f t="shared" si="45"/>
        <v>0.94132812499999996</v>
      </c>
      <c r="AZ40" s="681">
        <f t="shared" si="45"/>
        <v>0.94132812499999996</v>
      </c>
      <c r="BA40" s="681">
        <f t="shared" si="45"/>
        <v>0.94132812499999996</v>
      </c>
      <c r="BB40" s="681">
        <f t="shared" si="45"/>
        <v>0.94132812499999996</v>
      </c>
      <c r="BC40" s="681">
        <f t="shared" si="45"/>
        <v>0.94132812499999996</v>
      </c>
      <c r="BD40" s="681">
        <f t="shared" si="45"/>
        <v>0.94132812499999996</v>
      </c>
      <c r="BE40" s="681">
        <f t="shared" si="45"/>
        <v>0.94132812499999996</v>
      </c>
      <c r="BF40" s="681">
        <f t="shared" si="45"/>
        <v>0.94132812499999996</v>
      </c>
      <c r="BG40" s="681">
        <f t="shared" si="45"/>
        <v>0.94132812499999996</v>
      </c>
      <c r="BH40" s="681">
        <f t="shared" si="45"/>
        <v>0.94132812499999996</v>
      </c>
      <c r="BI40" s="681">
        <f t="shared" si="45"/>
        <v>0.94132812499999996</v>
      </c>
      <c r="BJ40" s="681">
        <f t="shared" si="45"/>
        <v>0.94132812499999996</v>
      </c>
      <c r="BK40" s="681">
        <f t="shared" si="45"/>
        <v>0.94132812499999996</v>
      </c>
      <c r="BL40" s="681">
        <f t="shared" si="45"/>
        <v>0.94132812499999996</v>
      </c>
      <c r="BM40" s="681">
        <f t="shared" si="45"/>
        <v>0.94132812499999996</v>
      </c>
      <c r="BN40" s="681">
        <f t="shared" si="45"/>
        <v>0.94132812499999996</v>
      </c>
      <c r="BO40" s="681">
        <f t="shared" si="45"/>
        <v>0.94132812499999996</v>
      </c>
      <c r="BP40" s="681">
        <f t="shared" si="45"/>
        <v>0.94132812499999996</v>
      </c>
      <c r="BQ40" s="681">
        <f t="shared" si="45"/>
        <v>0.94132812499999996</v>
      </c>
      <c r="BR40" s="681">
        <f t="shared" si="45"/>
        <v>0.94132812499999996</v>
      </c>
      <c r="BS40" s="681">
        <f t="shared" ref="BS40:CX40" si="46">IF(BS39=0,0,BS39/Units)</f>
        <v>0.94132812499999996</v>
      </c>
      <c r="BT40" s="681">
        <f t="shared" si="46"/>
        <v>0.94132812499999996</v>
      </c>
      <c r="BU40" s="681">
        <f t="shared" si="46"/>
        <v>0.94132812499999996</v>
      </c>
      <c r="BV40" s="681">
        <f t="shared" si="46"/>
        <v>0.94132812499999996</v>
      </c>
      <c r="BW40" s="681">
        <f t="shared" si="46"/>
        <v>0.94132812499999996</v>
      </c>
      <c r="BX40" s="681">
        <f t="shared" si="46"/>
        <v>0.94132812499999996</v>
      </c>
      <c r="BY40" s="681">
        <f t="shared" si="46"/>
        <v>0.94132812499999996</v>
      </c>
      <c r="BZ40" s="681">
        <f t="shared" si="46"/>
        <v>0.94132812499999996</v>
      </c>
      <c r="CA40" s="681">
        <f t="shared" si="46"/>
        <v>0.94132812499999996</v>
      </c>
      <c r="CB40" s="681">
        <f t="shared" si="46"/>
        <v>0.94132812499999996</v>
      </c>
      <c r="CC40" s="681">
        <f t="shared" si="46"/>
        <v>0.94132812499999996</v>
      </c>
      <c r="CD40" s="681">
        <f t="shared" si="46"/>
        <v>0.94132812499999996</v>
      </c>
      <c r="CE40" s="681">
        <f t="shared" si="46"/>
        <v>0.94132812499999996</v>
      </c>
      <c r="CF40" s="681">
        <f t="shared" si="46"/>
        <v>0.94132812499999996</v>
      </c>
      <c r="CG40" s="681">
        <f t="shared" si="46"/>
        <v>0.94132812499999996</v>
      </c>
      <c r="CH40" s="681">
        <f t="shared" si="46"/>
        <v>0.94132812499999996</v>
      </c>
      <c r="CI40" s="681">
        <f t="shared" si="46"/>
        <v>0.94132812499999996</v>
      </c>
      <c r="CJ40" s="681">
        <f t="shared" si="46"/>
        <v>0.94132812499999996</v>
      </c>
      <c r="CK40" s="681">
        <f t="shared" si="46"/>
        <v>0.94132812499999996</v>
      </c>
      <c r="CL40" s="681">
        <f t="shared" si="46"/>
        <v>0.94132812499999996</v>
      </c>
      <c r="CM40" s="681">
        <f t="shared" si="46"/>
        <v>0.94132812499999996</v>
      </c>
      <c r="CN40" s="681">
        <f t="shared" si="46"/>
        <v>0.94132812499999996</v>
      </c>
      <c r="CO40" s="681">
        <f t="shared" si="46"/>
        <v>0.94132812499999996</v>
      </c>
      <c r="CP40" s="681">
        <f t="shared" si="46"/>
        <v>0.94132812499999996</v>
      </c>
      <c r="CQ40" s="681">
        <f t="shared" si="46"/>
        <v>0.94132812499999996</v>
      </c>
      <c r="CR40" s="681">
        <f t="shared" si="46"/>
        <v>0.94132812499999996</v>
      </c>
      <c r="CS40" s="681">
        <f t="shared" si="46"/>
        <v>0.94132812499999996</v>
      </c>
      <c r="CT40" s="681">
        <f t="shared" si="46"/>
        <v>0.94132812499999996</v>
      </c>
      <c r="CU40" s="681">
        <f t="shared" si="46"/>
        <v>0.94132812499999996</v>
      </c>
      <c r="CV40" s="681">
        <f t="shared" si="46"/>
        <v>0.94132812499999996</v>
      </c>
      <c r="CW40" s="681">
        <f t="shared" si="46"/>
        <v>0.94132812499999996</v>
      </c>
      <c r="CX40" s="681">
        <f t="shared" si="46"/>
        <v>0.94132812499999996</v>
      </c>
      <c r="CY40" s="681">
        <f t="shared" ref="CY40:ED40" si="47">IF(CY39=0,0,CY39/Units)</f>
        <v>0.94132812499999996</v>
      </c>
      <c r="CZ40" s="681">
        <f t="shared" si="47"/>
        <v>0.94132812499999996</v>
      </c>
      <c r="DA40" s="681">
        <f t="shared" si="47"/>
        <v>0.94132812499999996</v>
      </c>
      <c r="DB40" s="681">
        <f t="shared" si="47"/>
        <v>0.94132812499999996</v>
      </c>
      <c r="DC40" s="681">
        <f t="shared" si="47"/>
        <v>0.94132812499999996</v>
      </c>
      <c r="DD40" s="681">
        <f t="shared" si="47"/>
        <v>0.94132812499999996</v>
      </c>
      <c r="DE40" s="681">
        <f t="shared" si="47"/>
        <v>0.94132812499999996</v>
      </c>
      <c r="DF40" s="681">
        <f t="shared" si="47"/>
        <v>0.94132812499999996</v>
      </c>
      <c r="DG40" s="681">
        <f t="shared" si="47"/>
        <v>0.94132812499999996</v>
      </c>
      <c r="DH40" s="681">
        <f t="shared" si="47"/>
        <v>0.94132812499999996</v>
      </c>
      <c r="DI40" s="681">
        <f t="shared" si="47"/>
        <v>0.94132812499999996</v>
      </c>
      <c r="DJ40" s="681">
        <f t="shared" si="47"/>
        <v>0.94132812499999996</v>
      </c>
      <c r="DK40" s="681">
        <f t="shared" si="47"/>
        <v>0.94132812499999996</v>
      </c>
      <c r="DL40" s="681">
        <f t="shared" si="47"/>
        <v>0.94132812499999996</v>
      </c>
      <c r="DM40" s="681">
        <f t="shared" si="47"/>
        <v>0.94132812499999996</v>
      </c>
      <c r="DN40" s="681">
        <f t="shared" si="47"/>
        <v>0.94132812499999996</v>
      </c>
      <c r="DO40" s="681">
        <f t="shared" si="47"/>
        <v>0.94132812499999996</v>
      </c>
      <c r="DP40" s="681">
        <f t="shared" si="47"/>
        <v>0.94132812499999996</v>
      </c>
      <c r="DQ40" s="681">
        <f t="shared" si="47"/>
        <v>0.94132812499999996</v>
      </c>
      <c r="DR40" s="681">
        <f t="shared" si="47"/>
        <v>0.94132812499999996</v>
      </c>
      <c r="DS40" s="681">
        <f t="shared" si="47"/>
        <v>0.94132812499999996</v>
      </c>
      <c r="DT40" s="681">
        <f t="shared" si="47"/>
        <v>0.94132812499999996</v>
      </c>
      <c r="DU40" s="681">
        <f t="shared" si="47"/>
        <v>0.94132812499999996</v>
      </c>
      <c r="DV40" s="681">
        <f t="shared" si="47"/>
        <v>0.94132812499999996</v>
      </c>
      <c r="DW40" s="681">
        <f t="shared" si="47"/>
        <v>0.94132812499999996</v>
      </c>
      <c r="DX40" s="681">
        <f t="shared" si="47"/>
        <v>0.94132812499999996</v>
      </c>
      <c r="DY40" s="681">
        <f t="shared" si="47"/>
        <v>0.94132812499999996</v>
      </c>
      <c r="DZ40" s="681">
        <f t="shared" si="47"/>
        <v>0.94132812499999996</v>
      </c>
      <c r="EA40" s="681">
        <f t="shared" si="47"/>
        <v>0.94132812499999996</v>
      </c>
      <c r="EB40" s="681">
        <f t="shared" si="47"/>
        <v>0.94132812499999996</v>
      </c>
      <c r="EC40" s="681">
        <f t="shared" si="47"/>
        <v>0.94132812499999996</v>
      </c>
      <c r="ED40" s="681">
        <f t="shared" si="47"/>
        <v>0.94132812499999996</v>
      </c>
      <c r="EE40" s="681">
        <f>IF(EE39=0,0,EE39/Units)</f>
        <v>0.94132812499999996</v>
      </c>
      <c r="EF40" s="681">
        <f>IF(EF39=0,0,EF39/Units)</f>
        <v>0.94132812499999996</v>
      </c>
      <c r="EG40" s="681">
        <f>IF(EG39=0,0,EG39/Units)</f>
        <v>0.94132812499999996</v>
      </c>
      <c r="EH40" s="681">
        <f>IF(EH39=0,0,EH39/Units)</f>
        <v>0.94132812499999996</v>
      </c>
      <c r="EK40" s="672"/>
    </row>
    <row r="41" spans="1:141" ht="8.25" customHeight="1" x14ac:dyDescent="0.3">
      <c r="A41" s="658"/>
      <c r="E41" s="674"/>
      <c r="F41" s="674"/>
      <c r="G41" s="681"/>
      <c r="H41" s="681"/>
      <c r="I41" s="681"/>
      <c r="J41" s="681"/>
      <c r="K41" s="681"/>
      <c r="L41" s="681"/>
      <c r="M41" s="681"/>
      <c r="N41" s="681"/>
      <c r="O41" s="681"/>
      <c r="P41" s="681"/>
      <c r="Q41" s="681"/>
      <c r="R41" s="681"/>
      <c r="S41" s="681"/>
      <c r="T41" s="681"/>
      <c r="U41" s="681"/>
      <c r="V41" s="681"/>
      <c r="W41" s="681"/>
      <c r="X41" s="681"/>
      <c r="Y41" s="681"/>
      <c r="Z41" s="681"/>
      <c r="AA41" s="681"/>
      <c r="AB41" s="681"/>
      <c r="AC41" s="681"/>
      <c r="AD41" s="681"/>
      <c r="AE41" s="681"/>
      <c r="AF41" s="681"/>
      <c r="AG41" s="681"/>
      <c r="AH41" s="681"/>
      <c r="AI41" s="681"/>
      <c r="AJ41" s="681"/>
      <c r="AK41" s="681"/>
      <c r="AL41" s="681"/>
      <c r="AM41" s="681"/>
      <c r="AN41" s="681"/>
      <c r="AO41" s="681"/>
      <c r="AP41" s="681"/>
      <c r="AQ41" s="681"/>
      <c r="AR41" s="681"/>
      <c r="AS41" s="681"/>
      <c r="AT41" s="681"/>
      <c r="AU41" s="681"/>
      <c r="AV41" s="681"/>
      <c r="AW41" s="681"/>
      <c r="AX41" s="681"/>
      <c r="AY41" s="681"/>
      <c r="AZ41" s="681"/>
      <c r="BA41" s="681"/>
      <c r="BB41" s="681"/>
      <c r="BC41" s="681"/>
      <c r="BD41" s="681"/>
      <c r="BE41" s="681"/>
      <c r="BF41" s="681"/>
      <c r="BG41" s="681"/>
      <c r="BH41" s="681"/>
      <c r="BI41" s="681"/>
      <c r="BJ41" s="681"/>
      <c r="BK41" s="681"/>
      <c r="BL41" s="681"/>
      <c r="BM41" s="681"/>
      <c r="BN41" s="681"/>
      <c r="BO41" s="681"/>
      <c r="BP41" s="681"/>
      <c r="BQ41" s="681"/>
      <c r="BR41" s="681"/>
      <c r="BS41" s="681"/>
      <c r="BT41" s="681"/>
      <c r="BU41" s="681"/>
      <c r="BV41" s="681"/>
      <c r="BW41" s="681"/>
      <c r="BX41" s="681"/>
      <c r="BY41" s="681"/>
      <c r="BZ41" s="681"/>
      <c r="CA41" s="681"/>
      <c r="CB41" s="681"/>
      <c r="CC41" s="681"/>
      <c r="CD41" s="681"/>
      <c r="CE41" s="681"/>
      <c r="CF41" s="681"/>
      <c r="CG41" s="681"/>
      <c r="CH41" s="681"/>
      <c r="CI41" s="681"/>
      <c r="CJ41" s="681"/>
      <c r="CK41" s="681"/>
      <c r="CL41" s="681"/>
      <c r="CM41" s="681"/>
      <c r="CN41" s="681"/>
      <c r="CO41" s="681"/>
      <c r="CP41" s="681"/>
      <c r="CQ41" s="681"/>
      <c r="CR41" s="681"/>
      <c r="CS41" s="681"/>
      <c r="CT41" s="681"/>
      <c r="CU41" s="681"/>
      <c r="CV41" s="681"/>
      <c r="CW41" s="681"/>
      <c r="CX41" s="681"/>
      <c r="CY41" s="681"/>
      <c r="CZ41" s="681"/>
      <c r="DA41" s="681"/>
      <c r="DB41" s="681"/>
      <c r="DC41" s="681"/>
      <c r="DD41" s="681"/>
      <c r="DE41" s="681"/>
      <c r="DF41" s="681"/>
      <c r="DG41" s="681"/>
      <c r="DH41" s="681"/>
      <c r="DI41" s="681"/>
      <c r="DJ41" s="681"/>
      <c r="DK41" s="681"/>
      <c r="DL41" s="681"/>
      <c r="DM41" s="681"/>
      <c r="DN41" s="681"/>
      <c r="DO41" s="681"/>
      <c r="DP41" s="681"/>
      <c r="DQ41" s="681"/>
      <c r="DR41" s="681"/>
      <c r="DS41" s="681"/>
      <c r="DT41" s="681"/>
      <c r="DU41" s="681"/>
      <c r="DV41" s="681"/>
      <c r="DW41" s="681"/>
      <c r="DX41" s="681"/>
      <c r="DY41" s="681"/>
      <c r="DZ41" s="681"/>
      <c r="EA41" s="681"/>
      <c r="EB41" s="681"/>
      <c r="EC41" s="681"/>
      <c r="ED41" s="681"/>
      <c r="EE41" s="681"/>
      <c r="EF41" s="681"/>
      <c r="EG41" s="681"/>
      <c r="EH41" s="681"/>
      <c r="EK41" s="672"/>
    </row>
    <row r="42" spans="1:141" ht="15.75" hidden="1" customHeight="1" outlineLevel="1" thickTop="1" x14ac:dyDescent="0.3">
      <c r="A42" s="2779" t="s">
        <v>2386</v>
      </c>
      <c r="B42" s="2780"/>
      <c r="C42" s="2781"/>
      <c r="D42" s="682"/>
      <c r="E42" s="645" t="s">
        <v>254</v>
      </c>
      <c r="F42" s="645" t="s">
        <v>2387</v>
      </c>
      <c r="G42" s="683"/>
      <c r="H42" s="683"/>
      <c r="I42" s="683"/>
      <c r="J42" s="683"/>
      <c r="K42" s="683"/>
      <c r="L42" s="683"/>
      <c r="M42" s="683"/>
      <c r="N42" s="683"/>
      <c r="O42" s="683"/>
      <c r="P42" s="683"/>
      <c r="Q42" s="683"/>
      <c r="R42" s="683"/>
      <c r="S42" s="683"/>
      <c r="T42" s="683"/>
      <c r="U42" s="683"/>
      <c r="V42" s="683"/>
      <c r="W42" s="683"/>
      <c r="X42" s="683"/>
      <c r="Y42" s="683"/>
      <c r="Z42" s="683"/>
      <c r="AA42" s="683"/>
      <c r="AB42" s="683"/>
      <c r="AC42" s="683"/>
      <c r="AD42" s="683"/>
      <c r="AE42" s="683"/>
      <c r="AF42" s="683"/>
      <c r="AG42" s="683"/>
      <c r="AH42" s="683"/>
      <c r="AI42" s="683"/>
      <c r="AJ42" s="683"/>
      <c r="AK42" s="683"/>
      <c r="AL42" s="683"/>
      <c r="AM42" s="683"/>
      <c r="AN42" s="683"/>
      <c r="AO42" s="683"/>
      <c r="AP42" s="683"/>
      <c r="AQ42" s="683"/>
      <c r="AR42" s="683"/>
      <c r="AS42" s="683"/>
      <c r="AT42" s="683"/>
      <c r="AU42" s="683"/>
      <c r="AV42" s="683"/>
      <c r="AW42" s="683"/>
      <c r="AX42" s="683"/>
      <c r="AY42" s="683"/>
      <c r="AZ42" s="683"/>
      <c r="BA42" s="683"/>
      <c r="BB42" s="683"/>
      <c r="BC42" s="683"/>
      <c r="BD42" s="683"/>
      <c r="BE42" s="683"/>
      <c r="BF42" s="683"/>
      <c r="BG42" s="683"/>
      <c r="BH42" s="683"/>
      <c r="BI42" s="683"/>
      <c r="BJ42" s="683"/>
      <c r="BK42" s="683"/>
      <c r="BL42" s="683"/>
      <c r="BM42" s="683"/>
      <c r="BN42" s="683"/>
      <c r="BO42" s="683"/>
      <c r="BP42" s="683"/>
      <c r="BQ42" s="683"/>
      <c r="BR42" s="683"/>
      <c r="BS42" s="683"/>
      <c r="BT42" s="683"/>
      <c r="BU42" s="683"/>
      <c r="BV42" s="683"/>
      <c r="BW42" s="683"/>
      <c r="BX42" s="683"/>
      <c r="BY42" s="683"/>
      <c r="BZ42" s="683">
        <f>(BZ46-BN46)/BN46</f>
        <v>4.2269600440006529E-2</v>
      </c>
      <c r="CA42" s="683"/>
      <c r="CB42" s="683"/>
      <c r="CC42" s="683"/>
      <c r="CD42" s="683"/>
      <c r="CE42" s="683"/>
      <c r="CF42" s="683"/>
      <c r="CG42" s="683"/>
      <c r="CH42" s="683"/>
      <c r="CI42" s="683"/>
      <c r="CJ42" s="683"/>
      <c r="CK42" s="683"/>
      <c r="CL42" s="683"/>
      <c r="CM42" s="683"/>
      <c r="CN42" s="683"/>
      <c r="CO42" s="683"/>
      <c r="CP42" s="683"/>
      <c r="CQ42" s="683"/>
      <c r="CR42" s="683"/>
      <c r="CS42" s="683"/>
      <c r="CT42" s="683"/>
      <c r="CU42" s="683"/>
      <c r="CV42" s="683"/>
      <c r="CW42" s="683"/>
      <c r="CX42" s="683"/>
      <c r="CY42" s="683"/>
      <c r="CZ42" s="683"/>
      <c r="DA42" s="683"/>
      <c r="DB42" s="683"/>
      <c r="DC42" s="683"/>
      <c r="DD42" s="683"/>
      <c r="DE42" s="683"/>
      <c r="DF42" s="683"/>
      <c r="DG42" s="683"/>
      <c r="DH42" s="683"/>
      <c r="DI42" s="683"/>
      <c r="DJ42" s="683"/>
      <c r="DK42" s="683"/>
      <c r="DL42" s="683"/>
      <c r="DM42" s="683"/>
      <c r="DN42" s="683"/>
      <c r="DO42" s="683"/>
      <c r="DP42" s="683"/>
      <c r="DQ42" s="683"/>
      <c r="DR42" s="683"/>
      <c r="DS42" s="683"/>
      <c r="DT42" s="683"/>
      <c r="DU42" s="683"/>
      <c r="DV42" s="683"/>
      <c r="DW42" s="683"/>
      <c r="DX42" s="683"/>
      <c r="DY42" s="683"/>
      <c r="DZ42" s="683"/>
      <c r="EA42" s="683"/>
      <c r="EB42" s="683"/>
      <c r="EC42" s="683"/>
      <c r="ED42" s="683"/>
      <c r="EE42" s="683"/>
      <c r="EF42" s="683"/>
      <c r="EG42" s="683"/>
      <c r="EH42" s="683"/>
      <c r="EK42" s="672"/>
    </row>
    <row r="43" spans="1:141" s="198" customFormat="1" hidden="1" collapsed="1" x14ac:dyDescent="0.3">
      <c r="A43" s="684" t="s">
        <v>2388</v>
      </c>
      <c r="B43" s="684"/>
      <c r="C43" s="684"/>
      <c r="D43" s="684"/>
      <c r="E43" s="685"/>
      <c r="F43" s="685"/>
      <c r="G43" s="684">
        <f>IF(G6=F6,0,VLOOKUP(IF(G$5&gt;60,$BN$5,G$5),'Development Inputs'!$A$171:$D$230,4,FALSE))</f>
        <v>1.6515813019202241E-3</v>
      </c>
      <c r="H43" s="684">
        <f>IF(H6=G6,0,VLOOKUP(IF(H$5&gt;60,$BN$5,H$5),'Development Inputs'!$A$171:$D$230,4,FALSE))</f>
        <v>1.6515813019202241E-3</v>
      </c>
      <c r="I43" s="684">
        <f>IF(I6=H6,0,VLOOKUP(IF(I$5&gt;60,$BN$5,I$5),'Development Inputs'!$A$171:$D$230,4,FALSE))</f>
        <v>1.6515813019202241E-3</v>
      </c>
      <c r="J43" s="684">
        <f>IF(J6=I6,0,VLOOKUP(IF(J$5&gt;60,$BN$5,J$5),'Development Inputs'!$A$171:$D$230,4,FALSE))</f>
        <v>1.6515813019202241E-3</v>
      </c>
      <c r="K43" s="684">
        <f>IF(K6=J6,0,VLOOKUP(IF(K$5&gt;60,$BN$5,K$5),'Development Inputs'!$A$171:$D$230,4,FALSE))</f>
        <v>1.6515813019202241E-3</v>
      </c>
      <c r="L43" s="684">
        <f>IF(L6=K6,0,VLOOKUP(IF(L$5&gt;60,$BN$5,L$5),'Development Inputs'!$A$171:$D$230,4,FALSE))</f>
        <v>1.6515813019202241E-3</v>
      </c>
      <c r="M43" s="684">
        <f>IF(M6=L6,0,VLOOKUP(IF(M$5&gt;60,$BN$5,M$5),'Development Inputs'!$A$171:$D$230,4,FALSE))</f>
        <v>1.6515813019202241E-3</v>
      </c>
      <c r="N43" s="684">
        <f>IF(N6=M6,0,VLOOKUP(IF(N$5&gt;60,$BN$5,N$5),'Development Inputs'!$A$171:$D$230,4,FALSE))</f>
        <v>1.6515813019202241E-3</v>
      </c>
      <c r="O43" s="684">
        <f>IF(O6=N6,0,VLOOKUP(IF(O$5&gt;60,$BN$5,O$5),'Development Inputs'!$A$171:$D$230,4,FALSE))</f>
        <v>1.6515813019202241E-3</v>
      </c>
      <c r="P43" s="684">
        <f>IF(P6=O6,0,VLOOKUP(IF(P$5&gt;60,$BN$5,P$5),'Development Inputs'!$A$171:$D$230,4,FALSE))</f>
        <v>1.6515813019202241E-3</v>
      </c>
      <c r="Q43" s="684">
        <f>IF(Q6=P6,0,VLOOKUP(IF(Q$5&gt;60,$BN$5,Q$5),'Development Inputs'!$A$171:$D$230,4,FALSE))</f>
        <v>1.6515813019202241E-3</v>
      </c>
      <c r="R43" s="684">
        <f>IF(R6=Q6,0,VLOOKUP(IF(R$5&gt;60,$BN$5,R$5),'Development Inputs'!$A$171:$D$230,4,FALSE))</f>
        <v>1.6515813019202241E-3</v>
      </c>
      <c r="S43" s="684">
        <f>IF(S6=R6,0,VLOOKUP(IF(S$5&gt;60,$BN$5,S$5),'Development Inputs'!$A$171:$D$230,4,FALSE))</f>
        <v>1.6515813019202241E-3</v>
      </c>
      <c r="T43" s="684">
        <f>IF(T6=S6,0,VLOOKUP(IF(T$5&gt;60,$BN$5,T$5),'Development Inputs'!$A$171:$D$230,4,FALSE))</f>
        <v>1.6515813019202241E-3</v>
      </c>
      <c r="U43" s="684">
        <f>IF(U6=T6,0,VLOOKUP(IF(U$5&gt;60,$BN$5,U$5),'Development Inputs'!$A$171:$D$230,4,FALSE))</f>
        <v>1.6515813019202241E-3</v>
      </c>
      <c r="V43" s="684">
        <f>IF(V6=U6,0,VLOOKUP(IF(V$5&gt;60,$BN$5,V$5),'Development Inputs'!$A$171:$D$230,4,FALSE))</f>
        <v>1.6515813019202241E-3</v>
      </c>
      <c r="W43" s="684">
        <f>IF(W6=V6,0,VLOOKUP(IF(W$5&gt;60,$BN$5,W$5),'Development Inputs'!$A$171:$D$230,4,FALSE))</f>
        <v>1.6515813019202241E-3</v>
      </c>
      <c r="X43" s="684">
        <f>IF(X6=W6,0,VLOOKUP(IF(X$5&gt;60,$BN$5,X$5),'Development Inputs'!$A$171:$D$230,4,FALSE))</f>
        <v>1.6515813019202241E-3</v>
      </c>
      <c r="Y43" s="684">
        <f>IF(Y6=X6,0,VLOOKUP(IF(Y$5&gt;60,$BN$5,Y$5),'Development Inputs'!$A$171:$D$230,4,FALSE))</f>
        <v>1.6515813019202241E-3</v>
      </c>
      <c r="Z43" s="684">
        <f>IF(Z6=Y6,0,VLOOKUP(IF(Z$5&gt;60,$BN$5,Z$5),'Development Inputs'!$A$171:$D$230,4,FALSE))</f>
        <v>1.6515813019202241E-3</v>
      </c>
      <c r="AA43" s="684">
        <f>IF(AA6=Z6,0,VLOOKUP(IF(AA$5&gt;60,$BN$5,AA$5),'Development Inputs'!$A$171:$D$230,4,FALSE))</f>
        <v>1.6515813019202241E-3</v>
      </c>
      <c r="AB43" s="684">
        <f>IF(AB6=AA6,0,VLOOKUP(IF(AB$5&gt;60,$BN$5,AB$5),'Development Inputs'!$A$171:$D$230,4,FALSE))</f>
        <v>1.6515813019202241E-3</v>
      </c>
      <c r="AC43" s="684">
        <f>IF(AC6=AB6,0,VLOOKUP(IF(AC$5&gt;60,$BN$5,AC$5),'Development Inputs'!$A$171:$D$230,4,FALSE))</f>
        <v>1.6515813019202241E-3</v>
      </c>
      <c r="AD43" s="684">
        <f>IF(AD6=AC6,0,VLOOKUP(IF(AD$5&gt;60,$BN$5,AD$5),'Development Inputs'!$A$171:$D$230,4,FALSE))</f>
        <v>1.6515813019202241E-3</v>
      </c>
      <c r="AE43" s="684">
        <f>IF(AE6=AD6,0,VLOOKUP(IF(AE$5&gt;60,$BN$5,AE$5),'Development Inputs'!$A$171:$D$230,4,FALSE))</f>
        <v>1.6515813019202241E-3</v>
      </c>
      <c r="AF43" s="684">
        <f>IF(AF6=AE6,0,VLOOKUP(IF(AF$5&gt;60,$BN$5,AF$5),'Development Inputs'!$A$171:$D$230,4,FALSE))</f>
        <v>1.6515813019202241E-3</v>
      </c>
      <c r="AG43" s="684">
        <f>IF(AG6=AF6,0,VLOOKUP(IF(AG$5&gt;60,$BN$5,AG$5),'Development Inputs'!$A$171:$D$230,4,FALSE))</f>
        <v>1.6515813019202241E-3</v>
      </c>
      <c r="AH43" s="684">
        <f>IF(AH6=AG6,0,VLOOKUP(IF(AH$5&gt;60,$BN$5,AH$5),'Development Inputs'!$A$171:$D$230,4,FALSE))</f>
        <v>1.6515813019202241E-3</v>
      </c>
      <c r="AI43" s="684">
        <f>IF(AI6=AH6,0,VLOOKUP(IF(AI$5&gt;60,$BN$5,AI$5),'Development Inputs'!$A$171:$D$230,4,FALSE))</f>
        <v>1.6515813019202241E-3</v>
      </c>
      <c r="AJ43" s="684">
        <f>IF(AJ6=AI6,0,VLOOKUP(IF(AJ$5&gt;60,$BN$5,AJ$5),'Development Inputs'!$A$171:$D$230,4,FALSE))</f>
        <v>1.6515813019202241E-3</v>
      </c>
      <c r="AK43" s="684">
        <f>IF(AK6=AJ6,0,VLOOKUP(IF(AK$5&gt;60,$BN$5,AK$5),'Development Inputs'!$A$171:$D$230,4,FALSE))</f>
        <v>1.6515813019202241E-3</v>
      </c>
      <c r="AL43" s="684">
        <f>IF(AL6=AK6,0,VLOOKUP(IF(AL$5&gt;60,$BN$5,AL$5),'Development Inputs'!$A$171:$D$230,4,FALSE))</f>
        <v>1.6515813019202241E-3</v>
      </c>
      <c r="AM43" s="684">
        <f>IF(AM6=AL6,0,VLOOKUP(IF(AM$5&gt;60,$BN$5,AM$5),'Development Inputs'!$A$171:$D$230,4,FALSE))</f>
        <v>1.6515813019202241E-3</v>
      </c>
      <c r="AN43" s="684">
        <f>IF(AN6=AM6,0,VLOOKUP(IF(AN$5&gt;60,$BN$5,AN$5),'Development Inputs'!$A$171:$D$230,4,FALSE))</f>
        <v>1.6515813019202241E-3</v>
      </c>
      <c r="AO43" s="684">
        <f>IF(AO6=AN6,0,VLOOKUP(IF(AO$5&gt;60,$BN$5,AO$5),'Development Inputs'!$A$171:$D$230,4,FALSE))</f>
        <v>1.6515813019202241E-3</v>
      </c>
      <c r="AP43" s="684">
        <f>IF(AP6=AO6,0,VLOOKUP(IF(AP$5&gt;60,$BN$5,AP$5),'Development Inputs'!$A$171:$D$230,4,FALSE))</f>
        <v>1.6515813019202241E-3</v>
      </c>
      <c r="AQ43" s="684">
        <f>IF(AQ6=AP6,0,VLOOKUP(IF(AQ$5&gt;60,$BN$5,AQ$5),'Development Inputs'!$A$171:$D$230,4,FALSE))</f>
        <v>1.6515813019202241E-3</v>
      </c>
      <c r="AR43" s="684">
        <f>IF(AR6=AQ6,0,VLOOKUP(IF(AR$5&gt;60,$BN$5,AR$5),'Development Inputs'!$A$171:$D$230,4,FALSE))</f>
        <v>1.6515813019202241E-3</v>
      </c>
      <c r="AS43" s="684">
        <f>IF(AS6=AR6,0,VLOOKUP(IF(AS$5&gt;60,$BN$5,AS$5),'Development Inputs'!$A$171:$D$230,4,FALSE))</f>
        <v>1.6515813019202241E-3</v>
      </c>
      <c r="AT43" s="684">
        <f>IF(AT6=AS6,0,VLOOKUP(IF(AT$5&gt;60,$BN$5,AT$5),'Development Inputs'!$A$171:$D$230,4,FALSE))</f>
        <v>1.6515813019202241E-3</v>
      </c>
      <c r="AU43" s="684">
        <f>IF(AU6=AT6,0,VLOOKUP(IF(AU$5&gt;60,$BN$5,AU$5),'Development Inputs'!$A$171:$D$230,4,FALSE))</f>
        <v>1.6515813019202241E-3</v>
      </c>
      <c r="AV43" s="684">
        <f>IF(AV6=AU6,0,VLOOKUP(IF(AV$5&gt;60,$BN$5,AV$5),'Development Inputs'!$A$171:$D$230,4,FALSE))</f>
        <v>1.6515813019202241E-3</v>
      </c>
      <c r="AW43" s="684">
        <f>IF(AW6=AV6,0,VLOOKUP(IF(AW$5&gt;60,$BN$5,AW$5),'Development Inputs'!$A$171:$D$230,4,FALSE))</f>
        <v>1.6515813019202241E-3</v>
      </c>
      <c r="AX43" s="684">
        <f>IF(AX6=AW6,0,VLOOKUP(IF(AX$5&gt;60,$BN$5,AX$5),'Development Inputs'!$A$171:$D$230,4,FALSE))</f>
        <v>1.6515813019202241E-3</v>
      </c>
      <c r="AY43" s="684">
        <f>IF(AY6=AX6,0,VLOOKUP(IF(AY$5&gt;60,$BN$5,AY$5),'Development Inputs'!$A$171:$D$230,4,FALSE))</f>
        <v>1.6515813019202241E-3</v>
      </c>
      <c r="AZ43" s="684">
        <f>IF(AZ6=AY6,0,VLOOKUP(IF(AZ$5&gt;60,$BN$5,AZ$5),'Development Inputs'!$A$171:$D$230,4,FALSE))</f>
        <v>1.6515813019202241E-3</v>
      </c>
      <c r="BA43" s="684">
        <f>IF(BA6=AZ6,0,VLOOKUP(IF(BA$5&gt;60,$BN$5,BA$5),'Development Inputs'!$A$171:$D$230,4,FALSE))</f>
        <v>1.6515813019202241E-3</v>
      </c>
      <c r="BB43" s="684">
        <f>IF(BB6=BA6,0,VLOOKUP(IF(BB$5&gt;60,$BN$5,BB$5),'Development Inputs'!$A$171:$D$230,4,FALSE))</f>
        <v>1.6515813019202241E-3</v>
      </c>
      <c r="BC43" s="684">
        <f>IF(BC6=BB6,0,VLOOKUP(IF(BC$5&gt;60,$BN$5,BC$5),'Development Inputs'!$A$171:$D$230,4,FALSE))</f>
        <v>1.6515813019202241E-3</v>
      </c>
      <c r="BD43" s="684">
        <f>IF(BD6=BC6,0,VLOOKUP(IF(BD$5&gt;60,$BN$5,BD$5),'Development Inputs'!$A$171:$D$230,4,FALSE))</f>
        <v>1.6515813019202241E-3</v>
      </c>
      <c r="BE43" s="684">
        <f>IF(BE6=BD6,0,VLOOKUP(IF(BE$5&gt;60,$BN$5,BE$5),'Development Inputs'!$A$171:$D$230,4,FALSE))</f>
        <v>1.6515813019202241E-3</v>
      </c>
      <c r="BF43" s="684">
        <f>IF(BF6=BE6,0,VLOOKUP(IF(BF$5&gt;60,$BN$5,BF$5),'Development Inputs'!$A$171:$D$230,4,FALSE))</f>
        <v>1.6515813019202241E-3</v>
      </c>
      <c r="BG43" s="684">
        <f>IF(BG6=BF6,0,VLOOKUP(IF(BG$5&gt;60,$BN$5,BG$5),'Development Inputs'!$A$171:$D$230,4,FALSE))</f>
        <v>1.6515813019202241E-3</v>
      </c>
      <c r="BH43" s="684">
        <f>IF(BH6=BG6,0,VLOOKUP(IF(BH$5&gt;60,$BN$5,BH$5),'Development Inputs'!$A$171:$D$230,4,FALSE))</f>
        <v>1.6515813019202241E-3</v>
      </c>
      <c r="BI43" s="684">
        <f>IF(BI6=BH6,0,VLOOKUP(IF(BI$5&gt;60,$BN$5,BI$5),'Development Inputs'!$A$171:$D$230,4,FALSE))</f>
        <v>1.6515813019202241E-3</v>
      </c>
      <c r="BJ43" s="684">
        <f>IF(BJ6=BI6,0,VLOOKUP(IF(BJ$5&gt;60,$BN$5,BJ$5),'Development Inputs'!$A$171:$D$230,4,FALSE))</f>
        <v>1.6515813019202241E-3</v>
      </c>
      <c r="BK43" s="684">
        <f>IF(BK6=BJ6,0,VLOOKUP(IF(BK$5&gt;60,$BN$5,BK$5),'Development Inputs'!$A$171:$D$230,4,FALSE))</f>
        <v>1.6515813019202241E-3</v>
      </c>
      <c r="BL43" s="684">
        <f>IF(BL6=BK6,0,VLOOKUP(IF(BL$5&gt;60,$BN$5,BL$5),'Development Inputs'!$A$171:$D$230,4,FALSE))</f>
        <v>1.6515813019202241E-3</v>
      </c>
      <c r="BM43" s="684">
        <f>IF(BM6=BL6,0,VLOOKUP(IF(BM$5&gt;60,$BN$5,BM$5),'Development Inputs'!$A$171:$D$230,4,FALSE))</f>
        <v>1.6515813019202241E-3</v>
      </c>
      <c r="BN43" s="684">
        <f>IF(BN6=BM6,0,VLOOKUP(IF(BN$5&gt;60,$BN$5,BN$5),'Development Inputs'!$A$171:$D$230,4,FALSE))</f>
        <v>1.6515813019202241E-3</v>
      </c>
      <c r="BO43" s="684">
        <f>IF(BO6=BN6,0,VLOOKUP(IF(BO$5&gt;60,$BN$5,BO$5),'Development Inputs'!$A$171:$D$230,4,FALSE))</f>
        <v>1.6515813019202241E-3</v>
      </c>
      <c r="BP43" s="684">
        <f>IF(BP6=BO6,0,VLOOKUP(IF(BP$5&gt;60,$BN$5,BP$5),'Development Inputs'!$A$171:$D$230,4,FALSE))</f>
        <v>1.6515813019202241E-3</v>
      </c>
      <c r="BQ43" s="684">
        <f>IF(BQ6=BP6,0,VLOOKUP(IF(BQ$5&gt;60,$BN$5,BQ$5),'Development Inputs'!$A$171:$D$230,4,FALSE))</f>
        <v>1.6515813019202241E-3</v>
      </c>
      <c r="BR43" s="684">
        <f>IF(BR6=BQ6,0,VLOOKUP(IF(BR$5&gt;60,$BN$5,BR$5),'Development Inputs'!$A$171:$D$230,4,FALSE))</f>
        <v>1.6515813019202241E-3</v>
      </c>
      <c r="BS43" s="684">
        <f>IF(BS6=BR6,0,VLOOKUP(IF(BS$5&gt;60,$BN$5,BS$5),'Development Inputs'!$A$171:$D$230,4,FALSE))</f>
        <v>1.6515813019202241E-3</v>
      </c>
      <c r="BT43" s="684">
        <f>IF(BT6=BS6,0,VLOOKUP(IF(BT$5&gt;60,$BN$5,BT$5),'Development Inputs'!$A$171:$D$230,4,FALSE))</f>
        <v>1.6515813019202241E-3</v>
      </c>
      <c r="BU43" s="684">
        <f>IF(BU6=BT6,0,VLOOKUP(IF(BU$5&gt;60,$BN$5,BU$5),'Development Inputs'!$A$171:$D$230,4,FALSE))</f>
        <v>1.6515813019202241E-3</v>
      </c>
      <c r="BV43" s="684">
        <f>IF(BV6=BU6,0,VLOOKUP(IF(BV$5&gt;60,$BN$5,BV$5),'Development Inputs'!$A$171:$D$230,4,FALSE))</f>
        <v>1.6515813019202241E-3</v>
      </c>
      <c r="BW43" s="684">
        <f>IF(BW6=BV6,0,VLOOKUP(IF(BW$5&gt;60,$BN$5,BW$5),'Development Inputs'!$A$171:$D$230,4,FALSE))</f>
        <v>1.6515813019202241E-3</v>
      </c>
      <c r="BX43" s="684">
        <f>IF(BX6=BW6,0,VLOOKUP(IF(BX$5&gt;60,$BN$5,BX$5),'Development Inputs'!$A$171:$D$230,4,FALSE))</f>
        <v>1.6515813019202241E-3</v>
      </c>
      <c r="BY43" s="684">
        <f>IF(BY6=BX6,0,VLOOKUP(IF(BY$5&gt;60,$BN$5,BY$5),'Development Inputs'!$A$171:$D$230,4,FALSE))</f>
        <v>1.6515813019202241E-3</v>
      </c>
      <c r="BZ43" s="684">
        <f>IF(BZ6=BY6,0,VLOOKUP(IF(BZ$5&gt;60,$BN$5,BZ$5),'Development Inputs'!$A$171:$D$230,4,FALSE))</f>
        <v>1.6515813019202241E-3</v>
      </c>
      <c r="CA43" s="684">
        <f>IF(CA6=BZ6,0,VLOOKUP(IF(CA$5&gt;60,$BN$5,CA$5),'Development Inputs'!$A$171:$D$230,4,FALSE))</f>
        <v>1.6515813019202241E-3</v>
      </c>
      <c r="CB43" s="684">
        <f>IF(CB6=CA6,0,VLOOKUP(IF(CB$5&gt;60,$BN$5,CB$5),'Development Inputs'!$A$171:$D$230,4,FALSE))</f>
        <v>1.6515813019202241E-3</v>
      </c>
      <c r="CC43" s="684">
        <f>IF(CC6=CB6,0,VLOOKUP(IF(CC$5&gt;60,$BN$5,CC$5),'Development Inputs'!$A$171:$D$230,4,FALSE))</f>
        <v>1.6515813019202241E-3</v>
      </c>
      <c r="CD43" s="684">
        <f>IF(CD6=CC6,0,VLOOKUP(IF(CD$5&gt;60,$BN$5,CD$5),'Development Inputs'!$A$171:$D$230,4,FALSE))</f>
        <v>1.6515813019202241E-3</v>
      </c>
      <c r="CE43" s="684">
        <f>IF(CE6=CD6,0,VLOOKUP(IF(CE$5&gt;60,$BN$5,CE$5),'Development Inputs'!$A$171:$D$230,4,FALSE))</f>
        <v>1.6515813019202241E-3</v>
      </c>
      <c r="CF43" s="684">
        <f>IF(CF6=CE6,0,VLOOKUP(IF(CF$5&gt;60,$BN$5,CF$5),'Development Inputs'!$A$171:$D$230,4,FALSE))</f>
        <v>1.6515813019202241E-3</v>
      </c>
      <c r="CG43" s="684">
        <f>IF(CG6=CF6,0,VLOOKUP(IF(CG$5&gt;60,$BN$5,CG$5),'Development Inputs'!$A$171:$D$230,4,FALSE))</f>
        <v>1.6515813019202241E-3</v>
      </c>
      <c r="CH43" s="684">
        <f>IF(CH6=CG6,0,VLOOKUP(IF(CH$5&gt;60,$BN$5,CH$5),'Development Inputs'!$A$171:$D$230,4,FALSE))</f>
        <v>1.6515813019202241E-3</v>
      </c>
      <c r="CI43" s="684">
        <f>IF(CI6=CH6,0,VLOOKUP(IF(CI$5&gt;60,$BN$5,CI$5),'Development Inputs'!$A$171:$D$230,4,FALSE))</f>
        <v>1.6515813019202241E-3</v>
      </c>
      <c r="CJ43" s="684">
        <f>IF(CJ6=CI6,0,VLOOKUP(IF(CJ$5&gt;60,$BN$5,CJ$5),'Development Inputs'!$A$171:$D$230,4,FALSE))</f>
        <v>1.6515813019202241E-3</v>
      </c>
      <c r="CK43" s="684">
        <f>IF(CK6=CJ6,0,VLOOKUP(IF(CK$5&gt;60,$BN$5,CK$5),'Development Inputs'!$A$171:$D$230,4,FALSE))</f>
        <v>1.6515813019202241E-3</v>
      </c>
      <c r="CL43" s="684">
        <f>IF(CL6=CK6,0,VLOOKUP(IF(CL$5&gt;60,$BN$5,CL$5),'Development Inputs'!$A$171:$D$230,4,FALSE))</f>
        <v>1.6515813019202241E-3</v>
      </c>
      <c r="CM43" s="684">
        <f>IF(CM6=CL6,0,VLOOKUP(IF(CM$5&gt;60,$BN$5,CM$5),'Development Inputs'!$A$171:$D$230,4,FALSE))</f>
        <v>1.6515813019202241E-3</v>
      </c>
      <c r="CN43" s="684">
        <f>IF(CN6=CM6,0,VLOOKUP(IF(CN$5&gt;60,$BN$5,CN$5),'Development Inputs'!$A$171:$D$230,4,FALSE))</f>
        <v>1.6515813019202241E-3</v>
      </c>
      <c r="CO43" s="684">
        <f>IF(CO6=CN6,0,VLOOKUP(IF(CO$5&gt;60,$BN$5,CO$5),'Development Inputs'!$A$171:$D$230,4,FALSE))</f>
        <v>1.6515813019202241E-3</v>
      </c>
      <c r="CP43" s="684">
        <f>IF(CP6=CO6,0,VLOOKUP(IF(CP$5&gt;60,$BN$5,CP$5),'Development Inputs'!$A$171:$D$230,4,FALSE))</f>
        <v>1.6515813019202241E-3</v>
      </c>
      <c r="CQ43" s="684">
        <f>IF(CQ6=CP6,0,VLOOKUP(IF(CQ$5&gt;60,$BN$5,CQ$5),'Development Inputs'!$A$171:$D$230,4,FALSE))</f>
        <v>1.6515813019202241E-3</v>
      </c>
      <c r="CR43" s="684">
        <f>IF(CR6=CQ6,0,VLOOKUP(IF(CR$5&gt;60,$BN$5,CR$5),'Development Inputs'!$A$171:$D$230,4,FALSE))</f>
        <v>1.6515813019202241E-3</v>
      </c>
      <c r="CS43" s="684">
        <f>IF(CS6=CR6,0,VLOOKUP(IF(CS$5&gt;60,$BN$5,CS$5),'Development Inputs'!$A$171:$D$230,4,FALSE))</f>
        <v>1.6515813019202241E-3</v>
      </c>
      <c r="CT43" s="684">
        <f>IF(CT6=CS6,0,VLOOKUP(IF(CT$5&gt;60,$BN$5,CT$5),'Development Inputs'!$A$171:$D$230,4,FALSE))</f>
        <v>1.6515813019202241E-3</v>
      </c>
      <c r="CU43" s="684">
        <f>IF(CU6=CT6,0,VLOOKUP(IF(CU$5&gt;60,$BN$5,CU$5),'Development Inputs'!$A$171:$D$230,4,FALSE))</f>
        <v>1.6515813019202241E-3</v>
      </c>
      <c r="CV43" s="684">
        <f>IF(CV6=CU6,0,VLOOKUP(IF(CV$5&gt;60,$BN$5,CV$5),'Development Inputs'!$A$171:$D$230,4,FALSE))</f>
        <v>1.6515813019202241E-3</v>
      </c>
      <c r="CW43" s="684">
        <f>IF(CW6=CV6,0,VLOOKUP(IF(CW$5&gt;60,$BN$5,CW$5),'Development Inputs'!$A$171:$D$230,4,FALSE))</f>
        <v>1.6515813019202241E-3</v>
      </c>
      <c r="CX43" s="684">
        <f>IF(CX6=CW6,0,VLOOKUP(IF(CX$5&gt;60,$BN$5,CX$5),'Development Inputs'!$A$171:$D$230,4,FALSE))</f>
        <v>1.6515813019202241E-3</v>
      </c>
      <c r="CY43" s="684">
        <f>IF(CY6=CX6,0,VLOOKUP(IF(CY$5&gt;60,$BN$5,CY$5),'Development Inputs'!$A$171:$D$230,4,FALSE))</f>
        <v>1.6515813019202241E-3</v>
      </c>
      <c r="CZ43" s="684">
        <f>IF(CZ6=CY6,0,VLOOKUP(IF(CZ$5&gt;60,$BN$5,CZ$5),'Development Inputs'!$A$171:$D$230,4,FALSE))</f>
        <v>1.6515813019202241E-3</v>
      </c>
      <c r="DA43" s="684">
        <f>IF(DA6=CZ6,0,VLOOKUP(IF(DA$5&gt;60,$BN$5,DA$5),'Development Inputs'!$A$171:$D$230,4,FALSE))</f>
        <v>1.6515813019202241E-3</v>
      </c>
      <c r="DB43" s="684">
        <f>IF(DB6=DA6,0,VLOOKUP(IF(DB$5&gt;60,$BN$5,DB$5),'Development Inputs'!$A$171:$D$230,4,FALSE))</f>
        <v>1.6515813019202241E-3</v>
      </c>
      <c r="DC43" s="684">
        <f>IF(DC6=DB6,0,VLOOKUP(IF(DC$5&gt;60,$BN$5,DC$5),'Development Inputs'!$A$171:$D$230,4,FALSE))</f>
        <v>1.6515813019202241E-3</v>
      </c>
      <c r="DD43" s="684">
        <f>IF(DD6=DC6,0,VLOOKUP(IF(DD$5&gt;60,$BN$5,DD$5),'Development Inputs'!$A$171:$D$230,4,FALSE))</f>
        <v>1.6515813019202241E-3</v>
      </c>
      <c r="DE43" s="684">
        <f>IF(DE6=DD6,0,VLOOKUP(IF(DE$5&gt;60,$BN$5,DE$5),'Development Inputs'!$A$171:$D$230,4,FALSE))</f>
        <v>1.6515813019202241E-3</v>
      </c>
      <c r="DF43" s="684">
        <f>IF(DF6=DE6,0,VLOOKUP(IF(DF$5&gt;60,$BN$5,DF$5),'Development Inputs'!$A$171:$D$230,4,FALSE))</f>
        <v>1.6515813019202241E-3</v>
      </c>
      <c r="DG43" s="684">
        <f>IF(DG6=DF6,0,VLOOKUP(IF(DG$5&gt;60,$BN$5,DG$5),'Development Inputs'!$A$171:$D$230,4,FALSE))</f>
        <v>1.6515813019202241E-3</v>
      </c>
      <c r="DH43" s="684">
        <f>IF(DH6=DG6,0,VLOOKUP(IF(DH$5&gt;60,$BN$5,DH$5),'Development Inputs'!$A$171:$D$230,4,FALSE))</f>
        <v>1.6515813019202241E-3</v>
      </c>
      <c r="DI43" s="684">
        <f>IF(DI6=DH6,0,VLOOKUP(IF(DI$5&gt;60,$BN$5,DI$5),'Development Inputs'!$A$171:$D$230,4,FALSE))</f>
        <v>1.6515813019202241E-3</v>
      </c>
      <c r="DJ43" s="684">
        <f>IF(DJ6=DI6,0,VLOOKUP(IF(DJ$5&gt;60,$BN$5,DJ$5),'Development Inputs'!$A$171:$D$230,4,FALSE))</f>
        <v>1.6515813019202241E-3</v>
      </c>
      <c r="DK43" s="684">
        <f>IF(DK6=DJ6,0,VLOOKUP(IF(DK$5&gt;60,$BN$5,DK$5),'Development Inputs'!$A$171:$D$230,4,FALSE))</f>
        <v>1.6515813019202241E-3</v>
      </c>
      <c r="DL43" s="684">
        <f>IF(DL6=DK6,0,VLOOKUP(IF(DL$5&gt;60,$BN$5,DL$5),'Development Inputs'!$A$171:$D$230,4,FALSE))</f>
        <v>1.6515813019202241E-3</v>
      </c>
      <c r="DM43" s="684">
        <f>IF(DM6=DL6,0,VLOOKUP(IF(DM$5&gt;60,$BN$5,DM$5),'Development Inputs'!$A$171:$D$230,4,FALSE))</f>
        <v>1.6515813019202241E-3</v>
      </c>
      <c r="DN43" s="684">
        <f>IF(DN6=DM6,0,VLOOKUP(IF(DN$5&gt;60,$BN$5,DN$5),'Development Inputs'!$A$171:$D$230,4,FALSE))</f>
        <v>1.6515813019202241E-3</v>
      </c>
      <c r="DO43" s="684">
        <f>IF(DO6=DN6,0,VLOOKUP(IF(DO$5&gt;60,$BN$5,DO$5),'Development Inputs'!$A$171:$D$230,4,FALSE))</f>
        <v>1.6515813019202241E-3</v>
      </c>
      <c r="DP43" s="684">
        <f>IF(DP6=DO6,0,VLOOKUP(IF(DP$5&gt;60,$BN$5,DP$5),'Development Inputs'!$A$171:$D$230,4,FALSE))</f>
        <v>1.6515813019202241E-3</v>
      </c>
      <c r="DQ43" s="684">
        <f>IF(DQ6=DP6,0,VLOOKUP(IF(DQ$5&gt;60,$BN$5,DQ$5),'Development Inputs'!$A$171:$D$230,4,FALSE))</f>
        <v>1.6515813019202241E-3</v>
      </c>
      <c r="DR43" s="684">
        <f>IF(DR6=DQ6,0,VLOOKUP(IF(DR$5&gt;60,$BN$5,DR$5),'Development Inputs'!$A$171:$D$230,4,FALSE))</f>
        <v>1.6515813019202241E-3</v>
      </c>
      <c r="DS43" s="684">
        <f>IF(DS6=DR6,0,VLOOKUP(IF(DS$5&gt;60,$BN$5,DS$5),'Development Inputs'!$A$171:$D$230,4,FALSE))</f>
        <v>1.6515813019202241E-3</v>
      </c>
      <c r="DT43" s="684">
        <f>IF(DT6=DS6,0,VLOOKUP(IF(DT$5&gt;60,$BN$5,DT$5),'Development Inputs'!$A$171:$D$230,4,FALSE))</f>
        <v>1.6515813019202241E-3</v>
      </c>
      <c r="DU43" s="684">
        <f>IF(DU6=DT6,0,VLOOKUP(IF(DU$5&gt;60,$BN$5,DU$5),'Development Inputs'!$A$171:$D$230,4,FALSE))</f>
        <v>1.6515813019202241E-3</v>
      </c>
      <c r="DV43" s="684">
        <f>IF(DV6=DU6,0,VLOOKUP(IF(DV$5&gt;60,$BN$5,DV$5),'Development Inputs'!$A$171:$D$230,4,FALSE))</f>
        <v>1.6515813019202241E-3</v>
      </c>
      <c r="DW43" s="684">
        <f>IF(DW6=DV6,0,VLOOKUP(IF(DW$5&gt;60,$BN$5,DW$5),'Development Inputs'!$A$171:$D$230,4,FALSE))</f>
        <v>1.6515813019202241E-3</v>
      </c>
      <c r="DX43" s="684">
        <f>IF(DX6=DW6,0,VLOOKUP(IF(DX$5&gt;60,$BN$5,DX$5),'Development Inputs'!$A$171:$D$230,4,FALSE))</f>
        <v>1.6515813019202241E-3</v>
      </c>
      <c r="DY43" s="684">
        <f>IF(DY6=DX6,0,VLOOKUP(IF(DY$5&gt;60,$BN$5,DY$5),'Development Inputs'!$A$171:$D$230,4,FALSE))</f>
        <v>1.6515813019202241E-3</v>
      </c>
      <c r="DZ43" s="684">
        <f>IF(DZ6=DY6,0,VLOOKUP(IF(DZ$5&gt;60,$BN$5,DZ$5),'Development Inputs'!$A$171:$D$230,4,FALSE))</f>
        <v>1.6515813019202241E-3</v>
      </c>
      <c r="EA43" s="684">
        <f>IF(EA6=DZ6,0,VLOOKUP(IF(EA$5&gt;60,$BN$5,EA$5),'Development Inputs'!$A$171:$D$230,4,FALSE))</f>
        <v>1.6515813019202241E-3</v>
      </c>
      <c r="EB43" s="684">
        <f>IF(EB6=EA6,0,VLOOKUP(IF(EB$5&gt;60,$BN$5,EB$5),'Development Inputs'!$A$171:$D$230,4,FALSE))</f>
        <v>1.6515813019202241E-3</v>
      </c>
      <c r="EC43" s="684">
        <f>IF(EC6=EB6,0,VLOOKUP(IF(EC$5&gt;60,$BN$5,EC$5),'Development Inputs'!$A$171:$D$230,4,FALSE))</f>
        <v>1.6515813019202241E-3</v>
      </c>
      <c r="ED43" s="684">
        <f>IF(ED6=EC6,0,VLOOKUP(IF(ED$5&gt;60,$BN$5,ED$5),'Development Inputs'!$A$171:$D$230,4,FALSE))</f>
        <v>1.6515813019202241E-3</v>
      </c>
      <c r="EE43" s="684">
        <f>IF(EE6=ED6,0,VLOOKUP(IF(EE$5&gt;60,$BN$5,EE$5),'Development Inputs'!$A$171:$D$230,4,FALSE))</f>
        <v>1.6515813019202241E-3</v>
      </c>
      <c r="EF43" s="684">
        <f>IF(EF6=EE6,0,VLOOKUP(IF(EF$5&gt;60,$BN$5,EF$5),'Development Inputs'!$A$171:$D$230,4,FALSE))</f>
        <v>1.6515813019202241E-3</v>
      </c>
      <c r="EG43" s="684">
        <f>IF(EG6=EF6,0,VLOOKUP(IF(EG$5&gt;60,$BN$5,EG$5),'Development Inputs'!$A$171:$D$230,4,FALSE))</f>
        <v>1.6515813019202241E-3</v>
      </c>
      <c r="EH43" s="684">
        <f>IF(EH6=EG6,0,VLOOKUP(IF(EH$5&gt;60,$BN$5,EH$5),'Development Inputs'!$A$171:$D$230,4,FALSE))</f>
        <v>1.6515813019202241E-3</v>
      </c>
      <c r="EI43" s="684"/>
      <c r="EK43" s="280"/>
    </row>
    <row r="44" spans="1:141" ht="15" hidden="1" customHeight="1" outlineLevel="1" x14ac:dyDescent="0.3">
      <c r="A44" t="s">
        <v>2389</v>
      </c>
      <c r="E44" s="647">
        <f>BMRBaseRent</f>
        <v>0</v>
      </c>
      <c r="F44" s="647">
        <f>(1+PrestartBMRGrwth)*E44</f>
        <v>0</v>
      </c>
      <c r="G44" s="227">
        <f>IF(G$6&lt;='General Inputs'!$C$37,BMRBaseRent,(1+G$43)*F44)</f>
        <v>0</v>
      </c>
      <c r="H44" s="227">
        <f>IF(H$6&lt;='General Inputs'!$C$37,BMRBaseRent,(1+H$43)*G44)</f>
        <v>0</v>
      </c>
      <c r="I44" s="227">
        <f>IF(I$6&lt;='General Inputs'!$C$37,BMRBaseRent,(1+I$43)*H44)</f>
        <v>0</v>
      </c>
      <c r="J44" s="227">
        <f>IF(J$6&lt;='General Inputs'!$C$37,BMRBaseRent,(1+J$43)*I44)</f>
        <v>0</v>
      </c>
      <c r="K44" s="227">
        <f>IF(K$6&lt;='General Inputs'!$C$37,BMRBaseRent,(1+K$43)*J44)</f>
        <v>0</v>
      </c>
      <c r="L44" s="227">
        <f>IF(L$6&lt;='General Inputs'!$C$37,BMRBaseRent,(1+L$43)*K44)</f>
        <v>0</v>
      </c>
      <c r="M44" s="227">
        <f>IF(M$6&lt;='General Inputs'!$C$37,BMRBaseRent,(1+M$43)*L44)</f>
        <v>0</v>
      </c>
      <c r="N44" s="227">
        <f>IF(N$6&lt;='General Inputs'!$C$37,BMRBaseRent,(1+N$43)*M44)</f>
        <v>0</v>
      </c>
      <c r="O44" s="227">
        <f>IF(O$6&lt;='General Inputs'!$C$37,BMRBaseRent,(1+O$43)*N44)</f>
        <v>0</v>
      </c>
      <c r="P44" s="227">
        <f>IF(P$6&lt;='General Inputs'!$C$37,BMRBaseRent,(1+P$43)*O44)</f>
        <v>0</v>
      </c>
      <c r="Q44" s="227">
        <f>IF(Q$6&lt;='General Inputs'!$C$37,BMRBaseRent,(1+Q$43)*P44)</f>
        <v>0</v>
      </c>
      <c r="R44" s="227">
        <f>IF(R$6&lt;='General Inputs'!$C$37,BMRBaseRent,(1+R$43)*Q44)</f>
        <v>0</v>
      </c>
      <c r="S44" s="227">
        <f>IF(S$6&lt;='General Inputs'!$C$37,BMRBaseRent,(1+S$43)*R44)</f>
        <v>0</v>
      </c>
      <c r="T44" s="227">
        <f>IF(T$6&lt;='General Inputs'!$C$37,BMRBaseRent,(1+T$43)*S44)</f>
        <v>0</v>
      </c>
      <c r="U44" s="227">
        <f>IF(U$6&lt;='General Inputs'!$C$37,BMRBaseRent,(1+U$43)*T44)</f>
        <v>0</v>
      </c>
      <c r="V44" s="227">
        <f>IF(V$6&lt;='General Inputs'!$C$37,BMRBaseRent,(1+V$43)*U44)</f>
        <v>0</v>
      </c>
      <c r="W44" s="227">
        <f>IF(W$6&lt;='General Inputs'!$C$37,BMRBaseRent,(1+W$43)*V44)</f>
        <v>0</v>
      </c>
      <c r="X44" s="227">
        <f>IF(X$6&lt;='General Inputs'!$C$37,BMRBaseRent,(1+X$43)*W44)</f>
        <v>0</v>
      </c>
      <c r="Y44" s="227">
        <f>IF(Y$6&lt;='General Inputs'!$C$37,BMRBaseRent,(1+Y$43)*X44)</f>
        <v>0</v>
      </c>
      <c r="Z44" s="227">
        <f>IF(Z$6&lt;='General Inputs'!$C$37,BMRBaseRent,(1+Z$43)*Y44)</f>
        <v>0</v>
      </c>
      <c r="AA44" s="227">
        <f>IF(AA$6&lt;='General Inputs'!$C$37,BMRBaseRent,(1+AA$43)*Z44)</f>
        <v>0</v>
      </c>
      <c r="AB44" s="227">
        <f>IF(AB$6&lt;='General Inputs'!$C$37,BMRBaseRent,(1+AB$43)*AA44)</f>
        <v>0</v>
      </c>
      <c r="AC44" s="227">
        <f>IF(AC$6&lt;='General Inputs'!$C$37,BMRBaseRent,(1+AC$43)*AB44)</f>
        <v>0</v>
      </c>
      <c r="AD44" s="227">
        <f>IF(AD$6&lt;='General Inputs'!$C$37,BMRBaseRent,(1+AD$43)*AC44)</f>
        <v>0</v>
      </c>
      <c r="AE44" s="227">
        <f>IF(AE$6&lt;='General Inputs'!$C$37,BMRBaseRent,(1+AE$43)*AD44)</f>
        <v>0</v>
      </c>
      <c r="AF44" s="227">
        <f>IF(AF$6&lt;='General Inputs'!$C$37,BMRBaseRent,(1+AF$43)*AE44)</f>
        <v>0</v>
      </c>
      <c r="AG44" s="227">
        <f>IF(AG$6&lt;='General Inputs'!$C$37,BMRBaseRent,(1+AG$43)*AF44)</f>
        <v>0</v>
      </c>
      <c r="AH44" s="227">
        <f>IF(AH$6&lt;='General Inputs'!$C$37,BMRBaseRent,(1+AH$43)*AG44)</f>
        <v>0</v>
      </c>
      <c r="AI44" s="227">
        <f>IF(AI$6&lt;='General Inputs'!$C$37,BMRBaseRent,(1+AI$43)*AH44)</f>
        <v>0</v>
      </c>
      <c r="AJ44" s="227">
        <f>IF(AJ$6&lt;='General Inputs'!$C$37,BMRBaseRent,(1+AJ$43)*AI44)</f>
        <v>0</v>
      </c>
      <c r="AK44" s="227">
        <f>IF(AK$6&lt;='General Inputs'!$C$37,BMRBaseRent,(1+AK$43)*AJ44)</f>
        <v>0</v>
      </c>
      <c r="AL44" s="227">
        <f>IF(AL$6&lt;='General Inputs'!$C$37,BMRBaseRent,(1+AL$43)*AK44)</f>
        <v>0</v>
      </c>
      <c r="AM44" s="227">
        <f>IF(AM$6&lt;='General Inputs'!$C$37,BMRBaseRent,(1+AM$43)*AL44)</f>
        <v>0</v>
      </c>
      <c r="AN44" s="227">
        <f>IF(AN$6&lt;='General Inputs'!$C$37,BMRBaseRent,(1+AN$43)*AM44)</f>
        <v>0</v>
      </c>
      <c r="AO44" s="227">
        <f>IF(AO$6&lt;='General Inputs'!$C$37,BMRBaseRent,(1+AO$43)*AN44)</f>
        <v>0</v>
      </c>
      <c r="AP44" s="227">
        <f>IF(AP$6&lt;='General Inputs'!$C$37,BMRBaseRent,(1+AP$43)*AO44)</f>
        <v>0</v>
      </c>
      <c r="AQ44" s="227">
        <f>IF(AQ$6&lt;='General Inputs'!$C$37,BMRBaseRent,(1+AQ$43)*AP44)</f>
        <v>0</v>
      </c>
      <c r="AR44" s="227">
        <f>IF(AR$6&lt;='General Inputs'!$C$37,BMRBaseRent,(1+AR$43)*AQ44)</f>
        <v>0</v>
      </c>
      <c r="AS44" s="227">
        <f>IF(AS$6&lt;='General Inputs'!$C$37,BMRBaseRent,(1+AS$43)*AR44)</f>
        <v>0</v>
      </c>
      <c r="AT44" s="227">
        <f>IF(AT$6&lt;='General Inputs'!$C$37,BMRBaseRent,(1+AT$43)*AS44)</f>
        <v>0</v>
      </c>
      <c r="AU44" s="227">
        <f>IF(AU$6&lt;='General Inputs'!$C$37,BMRBaseRent,(1+AU$43)*AT44)</f>
        <v>0</v>
      </c>
      <c r="AV44" s="227">
        <f>IF(AV$6&lt;='General Inputs'!$C$37,BMRBaseRent,(1+AV$43)*AU44)</f>
        <v>0</v>
      </c>
      <c r="AW44" s="227">
        <f>IF(AW$6&lt;='General Inputs'!$C$37,BMRBaseRent,(1+AW$43)*AV44)</f>
        <v>0</v>
      </c>
      <c r="AX44" s="227">
        <f>IF(AX$6&lt;='General Inputs'!$C$37,BMRBaseRent,(1+AX$43)*AW44)</f>
        <v>0</v>
      </c>
      <c r="AY44" s="227">
        <f>IF(AY$6&lt;='General Inputs'!$C$37,BMRBaseRent,(1+AY$43)*AX44)</f>
        <v>0</v>
      </c>
      <c r="AZ44" s="227">
        <f>IF(AZ$6&lt;='General Inputs'!$C$37,BMRBaseRent,(1+AZ$43)*AY44)</f>
        <v>0</v>
      </c>
      <c r="BA44" s="227">
        <f>IF(BA$6&lt;='General Inputs'!$C$37,BMRBaseRent,(1+BA$43)*AZ44)</f>
        <v>0</v>
      </c>
      <c r="BB44" s="227">
        <f>IF(BB$6&lt;='General Inputs'!$C$37,BMRBaseRent,(1+BB$43)*BA44)</f>
        <v>0</v>
      </c>
      <c r="BC44" s="227">
        <f>IF(BC$6&lt;='General Inputs'!$C$37,BMRBaseRent,(1+BC$43)*BB44)</f>
        <v>0</v>
      </c>
      <c r="BD44" s="227">
        <f>IF(BD$6&lt;='General Inputs'!$C$37,BMRBaseRent,(1+BD$43)*BC44)</f>
        <v>0</v>
      </c>
      <c r="BE44" s="227">
        <f>IF(BE$6&lt;='General Inputs'!$C$37,BMRBaseRent,(1+BE$43)*BD44)</f>
        <v>0</v>
      </c>
      <c r="BF44" s="227">
        <f>IF(BF$6&lt;='General Inputs'!$C$37,BMRBaseRent,(1+BF$43)*BE44)</f>
        <v>0</v>
      </c>
      <c r="BG44" s="227">
        <f>IF(BG$6&lt;='General Inputs'!$C$37,BMRBaseRent,(1+BG$43)*BF44)</f>
        <v>0</v>
      </c>
      <c r="BH44" s="227">
        <f>IF(BH$6&lt;='General Inputs'!$C$37,BMRBaseRent,(1+BH$43)*BG44)</f>
        <v>0</v>
      </c>
      <c r="BI44" s="227">
        <f>IF(BI$6&lt;='General Inputs'!$C$37,BMRBaseRent,(1+BI$43)*BH44)</f>
        <v>0</v>
      </c>
      <c r="BJ44" s="227">
        <f>IF(BJ$6&lt;='General Inputs'!$C$37,BMRBaseRent,(1+BJ$43)*BI44)</f>
        <v>0</v>
      </c>
      <c r="BK44" s="227">
        <f>IF(BK$6&lt;='General Inputs'!$C$37,BMRBaseRent,(1+BK$43)*BJ44)</f>
        <v>0</v>
      </c>
      <c r="BL44" s="227">
        <f>IF(BL$6&lt;='General Inputs'!$C$37,BMRBaseRent,(1+BL$43)*BK44)</f>
        <v>0</v>
      </c>
      <c r="BM44" s="227">
        <f>IF(BM$6&lt;='General Inputs'!$C$37,BMRBaseRent,(1+BM$43)*BL44)</f>
        <v>0</v>
      </c>
      <c r="BN44" s="227">
        <f>IF(BN$6&lt;='General Inputs'!$C$37,BMRBaseRent,(1+BN$43)*BM44)</f>
        <v>0</v>
      </c>
      <c r="BO44" s="227">
        <f>IF(BO$6&lt;='General Inputs'!$C$37,BMRBaseRent,(1+BO$43)*BN44)</f>
        <v>0</v>
      </c>
      <c r="BP44" s="227">
        <f>IF(BP$6&lt;='General Inputs'!$C$37,BMRBaseRent,(1+BP$43)*BO44)</f>
        <v>0</v>
      </c>
      <c r="BQ44" s="227">
        <f>IF(BQ$6&lt;='General Inputs'!$C$37,BMRBaseRent,(1+BQ$43)*BP44)</f>
        <v>0</v>
      </c>
      <c r="BR44" s="227">
        <f>IF(BR$6&lt;='General Inputs'!$C$37,BMRBaseRent,(1+BR$43)*BQ44)</f>
        <v>0</v>
      </c>
      <c r="BS44" s="227">
        <f>IF(BS$6&lt;='General Inputs'!$C$37,BMRBaseRent,(1+BS$43)*BR44)</f>
        <v>0</v>
      </c>
      <c r="BT44" s="227">
        <f>IF(BT$6&lt;='General Inputs'!$C$37,BMRBaseRent,(1+BT$43)*BS44)</f>
        <v>0</v>
      </c>
      <c r="BU44" s="227">
        <f>IF(BU$6&lt;='General Inputs'!$C$37,BMRBaseRent,(1+BU$43)*BT44)</f>
        <v>0</v>
      </c>
      <c r="BV44" s="227">
        <f>IF(BV$6&lt;='General Inputs'!$C$37,BMRBaseRent,(1+BV$43)*BU44)</f>
        <v>0</v>
      </c>
      <c r="BW44" s="227">
        <f>IF(BW$6&lt;='General Inputs'!$C$37,BMRBaseRent,(1+BW$43)*BV44)</f>
        <v>0</v>
      </c>
      <c r="BX44" s="227">
        <f>IF(BX$6&lt;='General Inputs'!$C$37,BMRBaseRent,(1+BX$43)*BW44)</f>
        <v>0</v>
      </c>
      <c r="BY44" s="227">
        <f>IF(BY$6&lt;='General Inputs'!$C$37,BMRBaseRent,(1+BY$43)*BX44)</f>
        <v>0</v>
      </c>
      <c r="BZ44" s="227">
        <f>IF(BZ$6&lt;='General Inputs'!$C$37,BMRBaseRent,(1+BZ$43)*BY44)</f>
        <v>0</v>
      </c>
      <c r="CA44" s="227">
        <f>IF(CA$6&lt;='General Inputs'!$C$37,BMRBaseRent,(1+CA$43)*BZ44)</f>
        <v>0</v>
      </c>
      <c r="CB44" s="227">
        <f>IF(CB$6&lt;='General Inputs'!$C$37,BMRBaseRent,(1+CB$43)*CA44)</f>
        <v>0</v>
      </c>
      <c r="CC44" s="227">
        <f>IF(CC$6&lt;='General Inputs'!$C$37,BMRBaseRent,(1+CC$43)*CB44)</f>
        <v>0</v>
      </c>
      <c r="CD44" s="227">
        <f>IF(CD$6&lt;='General Inputs'!$C$37,BMRBaseRent,(1+CD$43)*CC44)</f>
        <v>0</v>
      </c>
      <c r="CE44" s="227">
        <f>IF(CE$6&lt;='General Inputs'!$C$37,BMRBaseRent,(1+CE$43)*CD44)</f>
        <v>0</v>
      </c>
      <c r="CF44" s="227">
        <f>IF(CF$6&lt;='General Inputs'!$C$37,BMRBaseRent,(1+CF$43)*CE44)</f>
        <v>0</v>
      </c>
      <c r="CG44" s="227">
        <f>IF(CG$6&lt;='General Inputs'!$C$37,BMRBaseRent,(1+CG$43)*CF44)</f>
        <v>0</v>
      </c>
      <c r="CH44" s="227">
        <f>IF(CH$6&lt;='General Inputs'!$C$37,BMRBaseRent,(1+CH$43)*CG44)</f>
        <v>0</v>
      </c>
      <c r="CI44" s="227">
        <f>IF(CI$6&lt;='General Inputs'!$C$37,BMRBaseRent,(1+CI$43)*CH44)</f>
        <v>0</v>
      </c>
      <c r="CJ44" s="227">
        <f>IF(CJ$6&lt;='General Inputs'!$C$37,BMRBaseRent,(1+CJ$43)*CI44)</f>
        <v>0</v>
      </c>
      <c r="CK44" s="227">
        <f>IF(CK$6&lt;='General Inputs'!$C$37,BMRBaseRent,(1+CK$43)*CJ44)</f>
        <v>0</v>
      </c>
      <c r="CL44" s="227">
        <f>IF(CL$6&lt;='General Inputs'!$C$37,BMRBaseRent,(1+CL$43)*CK44)</f>
        <v>0</v>
      </c>
      <c r="CM44" s="227">
        <f>IF(CM$6&lt;='General Inputs'!$C$37,BMRBaseRent,(1+CM$43)*CL44)</f>
        <v>0</v>
      </c>
      <c r="CN44" s="227">
        <f>IF(CN$6&lt;='General Inputs'!$C$37,BMRBaseRent,(1+CN$43)*CM44)</f>
        <v>0</v>
      </c>
      <c r="CO44" s="227">
        <f>IF(CO$6&lt;='General Inputs'!$C$37,BMRBaseRent,(1+CO$43)*CN44)</f>
        <v>0</v>
      </c>
      <c r="CP44" s="227">
        <f>IF(CP$6&lt;='General Inputs'!$C$37,BMRBaseRent,(1+CP$43)*CO44)</f>
        <v>0</v>
      </c>
      <c r="CQ44" s="227">
        <f>IF(CQ$6&lt;='General Inputs'!$C$37,BMRBaseRent,(1+CQ$43)*CP44)</f>
        <v>0</v>
      </c>
      <c r="CR44" s="227">
        <f>IF(CR$6&lt;='General Inputs'!$C$37,BMRBaseRent,(1+CR$43)*CQ44)</f>
        <v>0</v>
      </c>
      <c r="CS44" s="227">
        <f>IF(CS$6&lt;='General Inputs'!$C$37,BMRBaseRent,(1+CS$43)*CR44)</f>
        <v>0</v>
      </c>
      <c r="CT44" s="227">
        <f>IF(CT$6&lt;='General Inputs'!$C$37,BMRBaseRent,(1+CT$43)*CS44)</f>
        <v>0</v>
      </c>
      <c r="CU44" s="227">
        <f>IF(CU$6&lt;='General Inputs'!$C$37,BMRBaseRent,(1+CU$43)*CT44)</f>
        <v>0</v>
      </c>
      <c r="CV44" s="227">
        <f>IF(CV$6&lt;='General Inputs'!$C$37,BMRBaseRent,(1+CV$43)*CU44)</f>
        <v>0</v>
      </c>
      <c r="CW44" s="227">
        <f>IF(CW$6&lt;='General Inputs'!$C$37,BMRBaseRent,(1+CW$43)*CV44)</f>
        <v>0</v>
      </c>
      <c r="CX44" s="227">
        <f>IF(CX$6&lt;='General Inputs'!$C$37,BMRBaseRent,(1+CX$43)*CW44)</f>
        <v>0</v>
      </c>
      <c r="CY44" s="227">
        <f>IF(CY$6&lt;='General Inputs'!$C$37,BMRBaseRent,(1+CY$43)*CX44)</f>
        <v>0</v>
      </c>
      <c r="CZ44" s="227">
        <f>IF(CZ$6&lt;='General Inputs'!$C$37,BMRBaseRent,(1+CZ$43)*CY44)</f>
        <v>0</v>
      </c>
      <c r="DA44" s="227">
        <f>IF(DA$6&lt;='General Inputs'!$C$37,BMRBaseRent,(1+DA$43)*CZ44)</f>
        <v>0</v>
      </c>
      <c r="DB44" s="227">
        <f>IF(DB$6&lt;='General Inputs'!$C$37,BMRBaseRent,(1+DB$43)*DA44)</f>
        <v>0</v>
      </c>
      <c r="DC44" s="227">
        <f>IF(DC$6&lt;='General Inputs'!$C$37,BMRBaseRent,(1+DC$43)*DB44)</f>
        <v>0</v>
      </c>
      <c r="DD44" s="227">
        <f>IF(DD$6&lt;='General Inputs'!$C$37,BMRBaseRent,(1+DD$43)*DC44)</f>
        <v>0</v>
      </c>
      <c r="DE44" s="227">
        <f>IF(DE$6&lt;='General Inputs'!$C$37,BMRBaseRent,(1+DE$43)*DD44)</f>
        <v>0</v>
      </c>
      <c r="DF44" s="227">
        <f>IF(DF$6&lt;='General Inputs'!$C$37,BMRBaseRent,(1+DF$43)*DE44)</f>
        <v>0</v>
      </c>
      <c r="DG44" s="227">
        <f>IF(DG$6&lt;='General Inputs'!$C$37,BMRBaseRent,(1+DG$43)*DF44)</f>
        <v>0</v>
      </c>
      <c r="DH44" s="227">
        <f>IF(DH$6&lt;='General Inputs'!$C$37,BMRBaseRent,(1+DH$43)*DG44)</f>
        <v>0</v>
      </c>
      <c r="DI44" s="227">
        <f>IF(DI$6&lt;='General Inputs'!$C$37,BMRBaseRent,(1+DI$43)*DH44)</f>
        <v>0</v>
      </c>
      <c r="DJ44" s="227">
        <f>IF(DJ$6&lt;='General Inputs'!$C$37,BMRBaseRent,(1+DJ$43)*DI44)</f>
        <v>0</v>
      </c>
      <c r="DK44" s="227">
        <f>IF(DK$6&lt;='General Inputs'!$C$37,BMRBaseRent,(1+DK$43)*DJ44)</f>
        <v>0</v>
      </c>
      <c r="DL44" s="227">
        <f>IF(DL$6&lt;='General Inputs'!$C$37,BMRBaseRent,(1+DL$43)*DK44)</f>
        <v>0</v>
      </c>
      <c r="DM44" s="227">
        <f>IF(DM$6&lt;='General Inputs'!$C$37,BMRBaseRent,(1+DM$43)*DL44)</f>
        <v>0</v>
      </c>
      <c r="DN44" s="227">
        <f>IF(DN$6&lt;='General Inputs'!$C$37,BMRBaseRent,(1+DN$43)*DM44)</f>
        <v>0</v>
      </c>
      <c r="DO44" s="227">
        <f>IF(DO$6&lt;='General Inputs'!$C$37,BMRBaseRent,(1+DO$43)*DN44)</f>
        <v>0</v>
      </c>
      <c r="DP44" s="227">
        <f>IF(DP$6&lt;='General Inputs'!$C$37,BMRBaseRent,(1+DP$43)*DO44)</f>
        <v>0</v>
      </c>
      <c r="DQ44" s="227">
        <f>IF(DQ$6&lt;='General Inputs'!$C$37,BMRBaseRent,(1+DQ$43)*DP44)</f>
        <v>0</v>
      </c>
      <c r="DR44" s="227">
        <f>IF(DR$6&lt;='General Inputs'!$C$37,BMRBaseRent,(1+DR$43)*DQ44)</f>
        <v>0</v>
      </c>
      <c r="DS44" s="227">
        <f>IF(DS$6&lt;='General Inputs'!$C$37,BMRBaseRent,(1+DS$43)*DR44)</f>
        <v>0</v>
      </c>
      <c r="DT44" s="227">
        <f>IF(DT$6&lt;='General Inputs'!$C$37,BMRBaseRent,(1+DT$43)*DS44)</f>
        <v>0</v>
      </c>
      <c r="DU44" s="227">
        <f>IF(DU$6&lt;='General Inputs'!$C$37,BMRBaseRent,(1+DU$43)*DT44)</f>
        <v>0</v>
      </c>
      <c r="DV44" s="227">
        <f>IF(DV$6&lt;='General Inputs'!$C$37,BMRBaseRent,(1+DV$43)*DU44)</f>
        <v>0</v>
      </c>
      <c r="DW44" s="227">
        <f>IF(DW$6&lt;='General Inputs'!$C$37,BMRBaseRent,(1+DW$43)*DV44)</f>
        <v>0</v>
      </c>
      <c r="DX44" s="227">
        <f>IF(DX$6&lt;='General Inputs'!$C$37,BMRBaseRent,(1+DX$43)*DW44)</f>
        <v>0</v>
      </c>
      <c r="DY44" s="227">
        <f>IF(DY$6&lt;='General Inputs'!$C$37,BMRBaseRent,(1+DY$43)*DX44)</f>
        <v>0</v>
      </c>
      <c r="DZ44" s="227">
        <f>IF(DZ$6&lt;='General Inputs'!$C$37,BMRBaseRent,(1+DZ$43)*DY44)</f>
        <v>0</v>
      </c>
      <c r="EA44" s="227">
        <f>IF(EA$6&lt;='General Inputs'!$C$37,BMRBaseRent,(1+EA$43)*DZ44)</f>
        <v>0</v>
      </c>
      <c r="EB44" s="227">
        <f>IF(EB$6&lt;='General Inputs'!$C$37,BMRBaseRent,(1+EB$43)*EA44)</f>
        <v>0</v>
      </c>
      <c r="EC44" s="227">
        <f>IF(EC$6&lt;='General Inputs'!$C$37,BMRBaseRent,(1+EC$43)*EB44)</f>
        <v>0</v>
      </c>
      <c r="ED44" s="227">
        <f>IF(ED$6&lt;='General Inputs'!$C$37,BMRBaseRent,(1+ED$43)*EC44)</f>
        <v>0</v>
      </c>
      <c r="EE44" s="227">
        <f>IF(EE$6&lt;='General Inputs'!$C$37,BMRBaseRent,(1+EE$43)*ED44)</f>
        <v>0</v>
      </c>
      <c r="EF44" s="227">
        <f>IF(EF$6&lt;='General Inputs'!$C$37,BMRBaseRent,(1+EF$43)*EE44)</f>
        <v>0</v>
      </c>
      <c r="EG44" s="227">
        <f>IF(EG$6&lt;='General Inputs'!$C$37,BMRBaseRent,(1+EG$43)*EF44)</f>
        <v>0</v>
      </c>
      <c r="EH44" s="227">
        <f>IF(EH$6&lt;='General Inputs'!$C$37,BMRBaseRent,(1+EH$43)*EG44)</f>
        <v>0</v>
      </c>
      <c r="EK44" s="672"/>
    </row>
    <row r="45" spans="1:141" s="198" customFormat="1" hidden="1" collapsed="1" x14ac:dyDescent="0.3">
      <c r="A45" s="684" t="s">
        <v>2390</v>
      </c>
      <c r="B45" s="684"/>
      <c r="C45" s="684"/>
      <c r="D45" s="684"/>
      <c r="E45" s="685"/>
      <c r="F45" s="685"/>
      <c r="G45" s="684">
        <f>IF(G6=F6,0,IF(G$5&gt;60,VLOOKUP(MONTH(G$6),'General Inputs'!$W$29:$Z$40,3,0)*IFERROR(VLOOKUP(YEAR(G$6),'General Inputs'!$G$36:$H$42,2,0),'General Inputs'!$H$42),VLOOKUP(G$5,'Development Inputs'!$A$171:$C$230,3,FALSE)))</f>
        <v>1.4400000000001079E-3</v>
      </c>
      <c r="H45" s="684">
        <f>IF(H6=G6,0,IF(H$5&gt;60,VLOOKUP(MONTH(H$6),'General Inputs'!$W$29:$Z$40,3,0)*IFERROR(VLOOKUP(YEAR(H$6),'General Inputs'!$G$36:$H$42,2,0),'General Inputs'!$H$42),VLOOKUP(H$5,'Development Inputs'!$A$171:$C$230,3,FALSE)))</f>
        <v>1.4400000000001079E-3</v>
      </c>
      <c r="I45" s="684">
        <f>IF(I6=H6,0,IF(I$5&gt;60,VLOOKUP(MONTH(I$6),'General Inputs'!$W$29:$Z$40,3,0)*IFERROR(VLOOKUP(YEAR(I$6),'General Inputs'!$G$36:$H$42,2,0),'General Inputs'!$H$42),VLOOKUP(I$5,'Development Inputs'!$A$171:$C$230,3,FALSE)))</f>
        <v>1.4400000000001079E-3</v>
      </c>
      <c r="J45" s="684">
        <f>IF(J6=I6,0,IF(J$5&gt;60,VLOOKUP(MONTH(J$6),'General Inputs'!$W$29:$Z$40,3,0)*IFERROR(VLOOKUP(YEAR(J$6),'General Inputs'!$G$36:$H$42,2,0),'General Inputs'!$H$42),VLOOKUP(J$5,'Development Inputs'!$A$171:$C$230,3,FALSE)))</f>
        <v>1.62333333333331E-3</v>
      </c>
      <c r="K45" s="684">
        <f>IF(K6=J6,0,IF(K$5&gt;60,VLOOKUP(MONTH(K$6),'General Inputs'!$W$29:$Z$40,3,0)*IFERROR(VLOOKUP(YEAR(K$6),'General Inputs'!$G$36:$H$42,2,0),'General Inputs'!$H$42),VLOOKUP(K$5,'Development Inputs'!$A$171:$C$230,3,FALSE)))</f>
        <v>1.62333333333331E-3</v>
      </c>
      <c r="L45" s="684">
        <f>IF(L6=K6,0,IF(L$5&gt;60,VLOOKUP(MONTH(L$6),'General Inputs'!$W$29:$Z$40,3,0)*IFERROR(VLOOKUP(YEAR(L$6),'General Inputs'!$G$36:$H$42,2,0),'General Inputs'!$H$42),VLOOKUP(L$5,'Development Inputs'!$A$171:$C$230,3,FALSE)))</f>
        <v>1.62333333333331E-3</v>
      </c>
      <c r="M45" s="684">
        <f>IF(M6=L6,0,IF(M$5&gt;60,VLOOKUP(MONTH(M$6),'General Inputs'!$W$29:$Z$40,3,0)*IFERROR(VLOOKUP(YEAR(M$6),'General Inputs'!$G$36:$H$42,2,0),'General Inputs'!$H$42),VLOOKUP(M$5,'Development Inputs'!$A$171:$C$230,3,FALSE)))</f>
        <v>2.434999999999965E-3</v>
      </c>
      <c r="N45" s="684">
        <f>IF(N6=M6,0,IF(N$5&gt;60,VLOOKUP(MONTH(N$6),'General Inputs'!$W$29:$Z$40,3,0)*IFERROR(VLOOKUP(YEAR(N$6),'General Inputs'!$G$36:$H$42,2,0),'General Inputs'!$H$42),VLOOKUP(N$5,'Development Inputs'!$A$171:$C$230,3,FALSE)))</f>
        <v>2.434999999999965E-3</v>
      </c>
      <c r="O45" s="684">
        <f>IF(O6=N6,0,IF(O$5&gt;60,VLOOKUP(MONTH(O$6),'General Inputs'!$W$29:$Z$40,3,0)*IFERROR(VLOOKUP(YEAR(O$6),'General Inputs'!$G$36:$H$42,2,0),'General Inputs'!$H$42),VLOOKUP(O$5,'Development Inputs'!$A$171:$C$230,3,FALSE)))</f>
        <v>2.434999999999965E-3</v>
      </c>
      <c r="P45" s="684">
        <f>IF(P6=O6,0,IF(P$5&gt;60,VLOOKUP(MONTH(P$6),'General Inputs'!$W$29:$Z$40,3,0)*IFERROR(VLOOKUP(YEAR(P$6),'General Inputs'!$G$36:$H$42,2,0),'General Inputs'!$H$42),VLOOKUP(P$5,'Development Inputs'!$A$171:$C$230,3,FALSE)))</f>
        <v>2.434999999999965E-3</v>
      </c>
      <c r="Q45" s="684">
        <f>IF(Q6=P6,0,IF(Q$5&gt;60,VLOOKUP(MONTH(Q$6),'General Inputs'!$W$29:$Z$40,3,0)*IFERROR(VLOOKUP(YEAR(Q$6),'General Inputs'!$G$36:$H$42,2,0),'General Inputs'!$H$42),VLOOKUP(Q$5,'Development Inputs'!$A$171:$C$230,3,FALSE)))</f>
        <v>2.434999999999965E-3</v>
      </c>
      <c r="R45" s="684">
        <f>IF(R6=Q6,0,IF(R$5&gt;60,VLOOKUP(MONTH(R$6),'General Inputs'!$W$29:$Z$40,3,0)*IFERROR(VLOOKUP(YEAR(R$6),'General Inputs'!$G$36:$H$42,2,0),'General Inputs'!$H$42),VLOOKUP(R$5,'Development Inputs'!$A$171:$C$230,3,FALSE)))</f>
        <v>2.434999999999965E-3</v>
      </c>
      <c r="S45" s="684">
        <f>IF(S6=R6,0,IF(S$5&gt;60,VLOOKUP(MONTH(S$6),'General Inputs'!$W$29:$Z$40,3,0)*IFERROR(VLOOKUP(YEAR(S$6),'General Inputs'!$G$36:$H$42,2,0),'General Inputs'!$H$42),VLOOKUP(S$5,'Development Inputs'!$A$171:$C$230,3,FALSE)))</f>
        <v>1.62333333333331E-3</v>
      </c>
      <c r="T45" s="684">
        <f>IF(T6=S6,0,IF(T$5&gt;60,VLOOKUP(MONTH(T$6),'General Inputs'!$W$29:$Z$40,3,0)*IFERROR(VLOOKUP(YEAR(T$6),'General Inputs'!$G$36:$H$42,2,0),'General Inputs'!$H$42),VLOOKUP(T$5,'Development Inputs'!$A$171:$C$230,3,FALSE)))</f>
        <v>1.62333333333331E-3</v>
      </c>
      <c r="U45" s="684">
        <f>IF(U6=T6,0,IF(U$5&gt;60,VLOOKUP(MONTH(U$6),'General Inputs'!$W$29:$Z$40,3,0)*IFERROR(VLOOKUP(YEAR(U$6),'General Inputs'!$G$36:$H$42,2,0),'General Inputs'!$H$42),VLOOKUP(U$5,'Development Inputs'!$A$171:$C$230,3,FALSE)))</f>
        <v>1.62333333333331E-3</v>
      </c>
      <c r="V45" s="684">
        <f>IF(V6=U6,0,IF(V$5&gt;60,VLOOKUP(MONTH(V$6),'General Inputs'!$W$29:$Z$40,3,0)*IFERROR(VLOOKUP(YEAR(V$6),'General Inputs'!$G$36:$H$42,2,0),'General Inputs'!$H$42),VLOOKUP(V$5,'Development Inputs'!$A$171:$C$230,3,FALSE)))</f>
        <v>3.7066666666667469E-3</v>
      </c>
      <c r="W45" s="684">
        <f>IF(W6=V6,0,IF(W$5&gt;60,VLOOKUP(MONTH(W$6),'General Inputs'!$W$29:$Z$40,3,0)*IFERROR(VLOOKUP(YEAR(W$6),'General Inputs'!$G$36:$H$42,2,0),'General Inputs'!$H$42),VLOOKUP(W$5,'Development Inputs'!$A$171:$C$230,3,FALSE)))</f>
        <v>3.7066666666667469E-3</v>
      </c>
      <c r="X45" s="684">
        <f>IF(X6=W6,0,IF(X$5&gt;60,VLOOKUP(MONTH(X$6),'General Inputs'!$W$29:$Z$40,3,0)*IFERROR(VLOOKUP(YEAR(X$6),'General Inputs'!$G$36:$H$42,2,0),'General Inputs'!$H$42),VLOOKUP(X$5,'Development Inputs'!$A$171:$C$230,3,FALSE)))</f>
        <v>3.7066666666667469E-3</v>
      </c>
      <c r="Y45" s="684">
        <f>IF(Y6=X6,0,IF(Y$5&gt;60,VLOOKUP(MONTH(Y$6),'General Inputs'!$W$29:$Z$40,3,0)*IFERROR(VLOOKUP(YEAR(Y$6),'General Inputs'!$G$36:$H$42,2,0),'General Inputs'!$H$42),VLOOKUP(Y$5,'Development Inputs'!$A$171:$C$230,3,FALSE)))</f>
        <v>5.5600000000000094E-3</v>
      </c>
      <c r="Z45" s="684">
        <f>IF(Z6=Y6,0,IF(Z$5&gt;60,VLOOKUP(MONTH(Z$6),'General Inputs'!$W$29:$Z$40,3,0)*IFERROR(VLOOKUP(YEAR(Z$6),'General Inputs'!$G$36:$H$42,2,0),'General Inputs'!$H$42),VLOOKUP(Z$5,'Development Inputs'!$A$171:$C$230,3,FALSE)))</f>
        <v>5.5600000000000094E-3</v>
      </c>
      <c r="AA45" s="684">
        <f>IF(AA6=Z6,0,IF(AA$5&gt;60,VLOOKUP(MONTH(AA$6),'General Inputs'!$W$29:$Z$40,3,0)*IFERROR(VLOOKUP(YEAR(AA$6),'General Inputs'!$G$36:$H$42,2,0),'General Inputs'!$H$42),VLOOKUP(AA$5,'Development Inputs'!$A$171:$C$230,3,FALSE)))</f>
        <v>5.5600000000000094E-3</v>
      </c>
      <c r="AB45" s="684">
        <f>IF(AB6=AA6,0,IF(AB$5&gt;60,VLOOKUP(MONTH(AB$6),'General Inputs'!$W$29:$Z$40,3,0)*IFERROR(VLOOKUP(YEAR(AB$6),'General Inputs'!$G$36:$H$42,2,0),'General Inputs'!$H$42),VLOOKUP(AB$5,'Development Inputs'!$A$171:$C$230,3,FALSE)))</f>
        <v>5.5600000000000094E-3</v>
      </c>
      <c r="AC45" s="684">
        <f>IF(AC6=AB6,0,IF(AC$5&gt;60,VLOOKUP(MONTH(AC$6),'General Inputs'!$W$29:$Z$40,3,0)*IFERROR(VLOOKUP(YEAR(AC$6),'General Inputs'!$G$36:$H$42,2,0),'General Inputs'!$H$42),VLOOKUP(AC$5,'Development Inputs'!$A$171:$C$230,3,FALSE)))</f>
        <v>5.5600000000000094E-3</v>
      </c>
      <c r="AD45" s="684">
        <f>IF(AD6=AC6,0,IF(AD$5&gt;60,VLOOKUP(MONTH(AD$6),'General Inputs'!$W$29:$Z$40,3,0)*IFERROR(VLOOKUP(YEAR(AD$6),'General Inputs'!$G$36:$H$42,2,0),'General Inputs'!$H$42),VLOOKUP(AD$5,'Development Inputs'!$A$171:$C$230,3,FALSE)))</f>
        <v>5.5600000000000094E-3</v>
      </c>
      <c r="AE45" s="684">
        <f>IF(AE6=AD6,0,IF(AE$5&gt;60,VLOOKUP(MONTH(AE$6),'General Inputs'!$W$29:$Z$40,3,0)*IFERROR(VLOOKUP(YEAR(AE$6),'General Inputs'!$G$36:$H$42,2,0),'General Inputs'!$H$42),VLOOKUP(AE$5,'Development Inputs'!$A$171:$C$230,3,FALSE)))</f>
        <v>3.7066666666667469E-3</v>
      </c>
      <c r="AF45" s="684">
        <f>IF(AF6=AE6,0,IF(AF$5&gt;60,VLOOKUP(MONTH(AF$6),'General Inputs'!$W$29:$Z$40,3,0)*IFERROR(VLOOKUP(YEAR(AF$6),'General Inputs'!$G$36:$H$42,2,0),'General Inputs'!$H$42),VLOOKUP(AF$5,'Development Inputs'!$A$171:$C$230,3,FALSE)))</f>
        <v>3.7066666666667469E-3</v>
      </c>
      <c r="AG45" s="684">
        <f>IF(AG6=AF6,0,IF(AG$5&gt;60,VLOOKUP(MONTH(AG$6),'General Inputs'!$W$29:$Z$40,3,0)*IFERROR(VLOOKUP(YEAR(AG$6),'General Inputs'!$G$36:$H$42,2,0),'General Inputs'!$H$42),VLOOKUP(AG$5,'Development Inputs'!$A$171:$C$230,3,FALSE)))</f>
        <v>3.7066666666667469E-3</v>
      </c>
      <c r="AH45" s="684">
        <f>IF(AH6=AG6,0,IF(AH$5&gt;60,VLOOKUP(MONTH(AH$6),'General Inputs'!$W$29:$Z$40,3,0)*IFERROR(VLOOKUP(YEAR(AH$6),'General Inputs'!$G$36:$H$42,2,0),'General Inputs'!$H$42),VLOOKUP(AH$5,'Development Inputs'!$A$171:$C$230,3,FALSE)))</f>
        <v>3.3600000000000296E-3</v>
      </c>
      <c r="AI45" s="684">
        <f>IF(AI6=AH6,0,IF(AI$5&gt;60,VLOOKUP(MONTH(AI$6),'General Inputs'!$W$29:$Z$40,3,0)*IFERROR(VLOOKUP(YEAR(AI$6),'General Inputs'!$G$36:$H$42,2,0),'General Inputs'!$H$42),VLOOKUP(AI$5,'Development Inputs'!$A$171:$C$230,3,FALSE)))</f>
        <v>3.3600000000000296E-3</v>
      </c>
      <c r="AJ45" s="684">
        <f>IF(AJ6=AI6,0,IF(AJ$5&gt;60,VLOOKUP(MONTH(AJ$6),'General Inputs'!$W$29:$Z$40,3,0)*IFERROR(VLOOKUP(YEAR(AJ$6),'General Inputs'!$G$36:$H$42,2,0),'General Inputs'!$H$42),VLOOKUP(AJ$5,'Development Inputs'!$A$171:$C$230,3,FALSE)))</f>
        <v>3.3600000000000296E-3</v>
      </c>
      <c r="AK45" s="684">
        <f>IF(AK6=AJ6,0,IF(AK$5&gt;60,VLOOKUP(MONTH(AK$6),'General Inputs'!$W$29:$Z$40,3,0)*IFERROR(VLOOKUP(YEAR(AK$6),'General Inputs'!$G$36:$H$42,2,0),'General Inputs'!$H$42),VLOOKUP(AK$5,'Development Inputs'!$A$171:$C$230,3,FALSE)))</f>
        <v>5.0399999999999334E-3</v>
      </c>
      <c r="AL45" s="684">
        <f>IF(AL6=AK6,0,IF(AL$5&gt;60,VLOOKUP(MONTH(AL$6),'General Inputs'!$W$29:$Z$40,3,0)*IFERROR(VLOOKUP(YEAR(AL$6),'General Inputs'!$G$36:$H$42,2,0),'General Inputs'!$H$42),VLOOKUP(AL$5,'Development Inputs'!$A$171:$C$230,3,FALSE)))</f>
        <v>5.0399999999999334E-3</v>
      </c>
      <c r="AM45" s="684">
        <f>IF(AM6=AL6,0,IF(AM$5&gt;60,VLOOKUP(MONTH(AM$6),'General Inputs'!$W$29:$Z$40,3,0)*IFERROR(VLOOKUP(YEAR(AM$6),'General Inputs'!$G$36:$H$42,2,0),'General Inputs'!$H$42),VLOOKUP(AM$5,'Development Inputs'!$A$171:$C$230,3,FALSE)))</f>
        <v>5.0399999999999334E-3</v>
      </c>
      <c r="AN45" s="684">
        <f>IF(AN6=AM6,0,IF(AN$5&gt;60,VLOOKUP(MONTH(AN$6),'General Inputs'!$W$29:$Z$40,3,0)*IFERROR(VLOOKUP(YEAR(AN$6),'General Inputs'!$G$36:$H$42,2,0),'General Inputs'!$H$42),VLOOKUP(AN$5,'Development Inputs'!$A$171:$C$230,3,FALSE)))</f>
        <v>5.0399999999999334E-3</v>
      </c>
      <c r="AO45" s="684">
        <f>IF(AO6=AN6,0,IF(AO$5&gt;60,VLOOKUP(MONTH(AO$6),'General Inputs'!$W$29:$Z$40,3,0)*IFERROR(VLOOKUP(YEAR(AO$6),'General Inputs'!$G$36:$H$42,2,0),'General Inputs'!$H$42),VLOOKUP(AO$5,'Development Inputs'!$A$171:$C$230,3,FALSE)))</f>
        <v>5.0399999999999334E-3</v>
      </c>
      <c r="AP45" s="684">
        <f>IF(AP6=AO6,0,IF(AP$5&gt;60,VLOOKUP(MONTH(AP$6),'General Inputs'!$W$29:$Z$40,3,0)*IFERROR(VLOOKUP(YEAR(AP$6),'General Inputs'!$G$36:$H$42,2,0),'General Inputs'!$H$42),VLOOKUP(AP$5,'Development Inputs'!$A$171:$C$230,3,FALSE)))</f>
        <v>5.0399999999999334E-3</v>
      </c>
      <c r="AQ45" s="684">
        <f>IF(AQ6=AP6,0,IF(AQ$5&gt;60,VLOOKUP(MONTH(AQ$6),'General Inputs'!$W$29:$Z$40,3,0)*IFERROR(VLOOKUP(YEAR(AQ$6),'General Inputs'!$G$36:$H$42,2,0),'General Inputs'!$H$42),VLOOKUP(AQ$5,'Development Inputs'!$A$171:$C$230,3,FALSE)))</f>
        <v>3.3600000000000296E-3</v>
      </c>
      <c r="AR45" s="684">
        <f>IF(AR6=AQ6,0,IF(AR$5&gt;60,VLOOKUP(MONTH(AR$6),'General Inputs'!$W$29:$Z$40,3,0)*IFERROR(VLOOKUP(YEAR(AR$6),'General Inputs'!$G$36:$H$42,2,0),'General Inputs'!$H$42),VLOOKUP(AR$5,'Development Inputs'!$A$171:$C$230,3,FALSE)))</f>
        <v>3.3600000000000296E-3</v>
      </c>
      <c r="AS45" s="684">
        <f>IF(AS6=AR6,0,IF(AS$5&gt;60,VLOOKUP(MONTH(AS$6),'General Inputs'!$W$29:$Z$40,3,0)*IFERROR(VLOOKUP(YEAR(AS$6),'General Inputs'!$G$36:$H$42,2,0),'General Inputs'!$H$42),VLOOKUP(AS$5,'Development Inputs'!$A$171:$C$230,3,FALSE)))</f>
        <v>3.3600000000000296E-3</v>
      </c>
      <c r="AT45" s="684">
        <f>IF(AT6=AS6,0,IF(AT$5&gt;60,VLOOKUP(MONTH(AT$6),'General Inputs'!$W$29:$Z$40,3,0)*IFERROR(VLOOKUP(YEAR(AT$6),'General Inputs'!$G$36:$H$42,2,0),'General Inputs'!$H$42),VLOOKUP(AT$5,'Development Inputs'!$A$171:$C$230,3,FALSE)))</f>
        <v>2.1700000000000053E-3</v>
      </c>
      <c r="AU45" s="684">
        <f>IF(AU6=AT6,0,IF(AU$5&gt;60,VLOOKUP(MONTH(AU$6),'General Inputs'!$W$29:$Z$40,3,0)*IFERROR(VLOOKUP(YEAR(AU$6),'General Inputs'!$G$36:$H$42,2,0),'General Inputs'!$H$42),VLOOKUP(AU$5,'Development Inputs'!$A$171:$C$230,3,FALSE)))</f>
        <v>2.1700000000000053E-3</v>
      </c>
      <c r="AV45" s="684">
        <f>IF(AV6=AU6,0,IF(AV$5&gt;60,VLOOKUP(MONTH(AV$6),'General Inputs'!$W$29:$Z$40,3,0)*IFERROR(VLOOKUP(YEAR(AV$6),'General Inputs'!$G$36:$H$42,2,0),'General Inputs'!$H$42),VLOOKUP(AV$5,'Development Inputs'!$A$171:$C$230,3,FALSE)))</f>
        <v>2.1700000000000053E-3</v>
      </c>
      <c r="AW45" s="684">
        <f>IF(AW6=AV6,0,IF(AW$5&gt;60,VLOOKUP(MONTH(AW$6),'General Inputs'!$W$29:$Z$40,3,0)*IFERROR(VLOOKUP(YEAR(AW$6),'General Inputs'!$G$36:$H$42,2,0),'General Inputs'!$H$42),VLOOKUP(AW$5,'Development Inputs'!$A$171:$C$230,3,FALSE)))</f>
        <v>3.2550000000000079E-3</v>
      </c>
      <c r="AX45" s="684">
        <f>IF(AX6=AW6,0,IF(AX$5&gt;60,VLOOKUP(MONTH(AX$6),'General Inputs'!$W$29:$Z$40,3,0)*IFERROR(VLOOKUP(YEAR(AX$6),'General Inputs'!$G$36:$H$42,2,0),'General Inputs'!$H$42),VLOOKUP(AX$5,'Development Inputs'!$A$171:$C$230,3,FALSE)))</f>
        <v>3.2550000000000079E-3</v>
      </c>
      <c r="AY45" s="684">
        <f>IF(AY6=AX6,0,IF(AY$5&gt;60,VLOOKUP(MONTH(AY$6),'General Inputs'!$W$29:$Z$40,3,0)*IFERROR(VLOOKUP(YEAR(AY$6),'General Inputs'!$G$36:$H$42,2,0),'General Inputs'!$H$42),VLOOKUP(AY$5,'Development Inputs'!$A$171:$C$230,3,FALSE)))</f>
        <v>3.2550000000000079E-3</v>
      </c>
      <c r="AZ45" s="684">
        <f>IF(AZ6=AY6,0,IF(AZ$5&gt;60,VLOOKUP(MONTH(AZ$6),'General Inputs'!$W$29:$Z$40,3,0)*IFERROR(VLOOKUP(YEAR(AZ$6),'General Inputs'!$G$36:$H$42,2,0),'General Inputs'!$H$42),VLOOKUP(AZ$5,'Development Inputs'!$A$171:$C$230,3,FALSE)))</f>
        <v>3.2550000000000079E-3</v>
      </c>
      <c r="BA45" s="684">
        <f>IF(BA6=AZ6,0,IF(BA$5&gt;60,VLOOKUP(MONTH(BA$6),'General Inputs'!$W$29:$Z$40,3,0)*IFERROR(VLOOKUP(YEAR(BA$6),'General Inputs'!$G$36:$H$42,2,0),'General Inputs'!$H$42),VLOOKUP(BA$5,'Development Inputs'!$A$171:$C$230,3,FALSE)))</f>
        <v>3.2550000000000079E-3</v>
      </c>
      <c r="BB45" s="684">
        <f>IF(BB6=BA6,0,IF(BB$5&gt;60,VLOOKUP(MONTH(BB$6),'General Inputs'!$W$29:$Z$40,3,0)*IFERROR(VLOOKUP(YEAR(BB$6),'General Inputs'!$G$36:$H$42,2,0),'General Inputs'!$H$42),VLOOKUP(BB$5,'Development Inputs'!$A$171:$C$230,3,FALSE)))</f>
        <v>3.2550000000000079E-3</v>
      </c>
      <c r="BC45" s="684">
        <f>IF(BC6=BB6,0,IF(BC$5&gt;60,VLOOKUP(MONTH(BC$6),'General Inputs'!$W$29:$Z$40,3,0)*IFERROR(VLOOKUP(YEAR(BC$6),'General Inputs'!$G$36:$H$42,2,0),'General Inputs'!$H$42),VLOOKUP(BC$5,'Development Inputs'!$A$171:$C$230,3,FALSE)))</f>
        <v>2.1700000000000053E-3</v>
      </c>
      <c r="BD45" s="684">
        <f>IF(BD6=BC6,0,IF(BD$5&gt;60,VLOOKUP(MONTH(BD$6),'General Inputs'!$W$29:$Z$40,3,0)*IFERROR(VLOOKUP(YEAR(BD$6),'General Inputs'!$G$36:$H$42,2,0),'General Inputs'!$H$42),VLOOKUP(BD$5,'Development Inputs'!$A$171:$C$230,3,FALSE)))</f>
        <v>2.1700000000000053E-3</v>
      </c>
      <c r="BE45" s="684">
        <f>IF(BE6=BD6,0,IF(BE$5&gt;60,VLOOKUP(MONTH(BE$6),'General Inputs'!$W$29:$Z$40,3,0)*IFERROR(VLOOKUP(YEAR(BE$6),'General Inputs'!$G$36:$H$42,2,0),'General Inputs'!$H$42),VLOOKUP(BE$5,'Development Inputs'!$A$171:$C$230,3,FALSE)))</f>
        <v>2.1700000000000053E-3</v>
      </c>
      <c r="BF45" s="684">
        <f>IF(BF6=BE6,0,IF(BF$5&gt;60,VLOOKUP(MONTH(BF$6),'General Inputs'!$W$29:$Z$40,3,0)*IFERROR(VLOOKUP(YEAR(BF$6),'General Inputs'!$G$36:$H$42,2,0),'General Inputs'!$H$42),VLOOKUP(BF$5,'Development Inputs'!$A$171:$C$230,3,FALSE)))</f>
        <v>2.7649999999999064E-3</v>
      </c>
      <c r="BG45" s="684">
        <f>IF(BG6=BF6,0,IF(BG$5&gt;60,VLOOKUP(MONTH(BG$6),'General Inputs'!$W$29:$Z$40,3,0)*IFERROR(VLOOKUP(YEAR(BG$6),'General Inputs'!$G$36:$H$42,2,0),'General Inputs'!$H$42),VLOOKUP(BG$5,'Development Inputs'!$A$171:$C$230,3,FALSE)))</f>
        <v>2.7649999999999064E-3</v>
      </c>
      <c r="BH45" s="684">
        <f>IF(BH6=BG6,0,IF(BH$5&gt;60,VLOOKUP(MONTH(BH$6),'General Inputs'!$W$29:$Z$40,3,0)*IFERROR(VLOOKUP(YEAR(BH$6),'General Inputs'!$G$36:$H$42,2,0),'General Inputs'!$H$42),VLOOKUP(BH$5,'Development Inputs'!$A$171:$C$230,3,FALSE)))</f>
        <v>2.7649999999999064E-3</v>
      </c>
      <c r="BI45" s="684">
        <f>IF(BI6=BH6,0,IF(BI$5&gt;60,VLOOKUP(MONTH(BI$6),'General Inputs'!$W$29:$Z$40,3,0)*IFERROR(VLOOKUP(YEAR(BI$6),'General Inputs'!$G$36:$H$42,2,0),'General Inputs'!$H$42),VLOOKUP(BI$5,'Development Inputs'!$A$171:$C$230,3,FALSE)))</f>
        <v>4.1474999999999707E-3</v>
      </c>
      <c r="BJ45" s="684">
        <f>IF(BJ6=BI6,0,IF(BJ$5&gt;60,VLOOKUP(MONTH(BJ$6),'General Inputs'!$W$29:$Z$40,3,0)*IFERROR(VLOOKUP(YEAR(BJ$6),'General Inputs'!$G$36:$H$42,2,0),'General Inputs'!$H$42),VLOOKUP(BJ$5,'Development Inputs'!$A$171:$C$230,3,FALSE)))</f>
        <v>4.1474999999999707E-3</v>
      </c>
      <c r="BK45" s="684">
        <f>IF(BK6=BJ6,0,IF(BK$5&gt;60,VLOOKUP(MONTH(BK$6),'General Inputs'!$W$29:$Z$40,3,0)*IFERROR(VLOOKUP(YEAR(BK$6),'General Inputs'!$G$36:$H$42,2,0),'General Inputs'!$H$42),VLOOKUP(BK$5,'Development Inputs'!$A$171:$C$230,3,FALSE)))</f>
        <v>4.1474999999999707E-3</v>
      </c>
      <c r="BL45" s="684">
        <f>IF(BL6=BK6,0,IF(BL$5&gt;60,VLOOKUP(MONTH(BL$6),'General Inputs'!$W$29:$Z$40,3,0)*IFERROR(VLOOKUP(YEAR(BL$6),'General Inputs'!$G$36:$H$42,2,0),'General Inputs'!$H$42),VLOOKUP(BL$5,'Development Inputs'!$A$171:$C$230,3,FALSE)))</f>
        <v>4.1474999999999707E-3</v>
      </c>
      <c r="BM45" s="684">
        <f>IF(BM6=BL6,0,IF(BM$5&gt;60,VLOOKUP(MONTH(BM$6),'General Inputs'!$W$29:$Z$40,3,0)*IFERROR(VLOOKUP(YEAR(BM$6),'General Inputs'!$G$36:$H$42,2,0),'General Inputs'!$H$42),VLOOKUP(BM$5,'Development Inputs'!$A$171:$C$230,3,FALSE)))</f>
        <v>4.1474999999999707E-3</v>
      </c>
      <c r="BN45" s="684">
        <f>IF(BN6=BM6,0,IF(BN$5&gt;60,VLOOKUP(MONTH(BN$6),'General Inputs'!$W$29:$Z$40,3,0)*IFERROR(VLOOKUP(YEAR(BN$6),'General Inputs'!$G$36:$H$42,2,0),'General Inputs'!$H$42),VLOOKUP(BN$5,'Development Inputs'!$A$171:$C$230,3,FALSE)))</f>
        <v>4.1474999999999707E-3</v>
      </c>
      <c r="BO45" s="684">
        <f>IF(BO6=BN6,0,IF(BO$5&gt;60,VLOOKUP(MONTH(BO$6),'General Inputs'!$W$29:$Z$40,3,0)*IFERROR(VLOOKUP(YEAR(BO$6),'General Inputs'!$G$36:$H$42,2,0),'General Inputs'!$H$42),VLOOKUP(BO$5,'Development Inputs'!$A$171:$C$230,3,FALSE)))</f>
        <v>2.7649999999999997E-3</v>
      </c>
      <c r="BP45" s="684">
        <f>IF(BP6=BO6,0,IF(BP$5&gt;60,VLOOKUP(MONTH(BP$6),'General Inputs'!$W$29:$Z$40,3,0)*IFERROR(VLOOKUP(YEAR(BP$6),'General Inputs'!$G$36:$H$42,2,0),'General Inputs'!$H$42),VLOOKUP(BP$5,'Development Inputs'!$A$171:$C$230,3,FALSE)))</f>
        <v>2.7649999999999997E-3</v>
      </c>
      <c r="BQ45" s="684">
        <f>IF(BQ6=BP6,0,IF(BQ$5&gt;60,VLOOKUP(MONTH(BQ$6),'General Inputs'!$W$29:$Z$40,3,0)*IFERROR(VLOOKUP(YEAR(BQ$6),'General Inputs'!$G$36:$H$42,2,0),'General Inputs'!$H$42),VLOOKUP(BQ$5,'Development Inputs'!$A$171:$C$230,3,FALSE)))</f>
        <v>2.7649999999999997E-3</v>
      </c>
      <c r="BR45" s="684">
        <f>IF(BR6=BQ6,0,IF(BR$5&gt;60,VLOOKUP(MONTH(BR$6),'General Inputs'!$W$29:$Z$40,3,0)*IFERROR(VLOOKUP(YEAR(BR$6),'General Inputs'!$G$36:$H$42,2,0),'General Inputs'!$H$42),VLOOKUP(BR$5,'Development Inputs'!$A$171:$C$230,3,FALSE)))</f>
        <v>2.7649999999999997E-3</v>
      </c>
      <c r="BS45" s="684">
        <f>IF(BS6=BR6,0,IF(BS$5&gt;60,VLOOKUP(MONTH(BS$6),'General Inputs'!$W$29:$Z$40,3,0)*IFERROR(VLOOKUP(YEAR(BS$6),'General Inputs'!$G$36:$H$42,2,0),'General Inputs'!$H$42),VLOOKUP(BS$5,'Development Inputs'!$A$171:$C$230,3,FALSE)))</f>
        <v>2.7649999999999997E-3</v>
      </c>
      <c r="BT45" s="684">
        <f>IF(BT6=BS6,0,IF(BT$5&gt;60,VLOOKUP(MONTH(BT$6),'General Inputs'!$W$29:$Z$40,3,0)*IFERROR(VLOOKUP(YEAR(BT$6),'General Inputs'!$G$36:$H$42,2,0),'General Inputs'!$H$42),VLOOKUP(BT$5,'Development Inputs'!$A$171:$C$230,3,FALSE)))</f>
        <v>2.7649999999999997E-3</v>
      </c>
      <c r="BU45" s="684">
        <f>IF(BU6=BT6,0,IF(BU$5&gt;60,VLOOKUP(MONTH(BU$6),'General Inputs'!$W$29:$Z$40,3,0)*IFERROR(VLOOKUP(YEAR(BU$6),'General Inputs'!$G$36:$H$42,2,0),'General Inputs'!$H$42),VLOOKUP(BU$5,'Development Inputs'!$A$171:$C$230,3,FALSE)))</f>
        <v>4.1474999999999993E-3</v>
      </c>
      <c r="BV45" s="684">
        <f>IF(BV6=BU6,0,IF(BV$5&gt;60,VLOOKUP(MONTH(BV$6),'General Inputs'!$W$29:$Z$40,3,0)*IFERROR(VLOOKUP(YEAR(BV$6),'General Inputs'!$G$36:$H$42,2,0),'General Inputs'!$H$42),VLOOKUP(BV$5,'Development Inputs'!$A$171:$C$230,3,FALSE)))</f>
        <v>4.1474999999999993E-3</v>
      </c>
      <c r="BW45" s="684">
        <f>IF(BW6=BV6,0,IF(BW$5&gt;60,VLOOKUP(MONTH(BW$6),'General Inputs'!$W$29:$Z$40,3,0)*IFERROR(VLOOKUP(YEAR(BW$6),'General Inputs'!$G$36:$H$42,2,0),'General Inputs'!$H$42),VLOOKUP(BW$5,'Development Inputs'!$A$171:$C$230,3,FALSE)))</f>
        <v>4.1474999999999993E-3</v>
      </c>
      <c r="BX45" s="684">
        <f>IF(BX6=BW6,0,IF(BX$5&gt;60,VLOOKUP(MONTH(BX$6),'General Inputs'!$W$29:$Z$40,3,0)*IFERROR(VLOOKUP(YEAR(BX$6),'General Inputs'!$G$36:$H$42,2,0),'General Inputs'!$H$42),VLOOKUP(BX$5,'Development Inputs'!$A$171:$C$230,3,FALSE)))</f>
        <v>4.1474999999999993E-3</v>
      </c>
      <c r="BY45" s="684">
        <f>IF(BY6=BX6,0,IF(BY$5&gt;60,VLOOKUP(MONTH(BY$6),'General Inputs'!$W$29:$Z$40,3,0)*IFERROR(VLOOKUP(YEAR(BY$6),'General Inputs'!$G$36:$H$42,2,0),'General Inputs'!$H$42),VLOOKUP(BY$5,'Development Inputs'!$A$171:$C$230,3,FALSE)))</f>
        <v>4.1474999999999993E-3</v>
      </c>
      <c r="BZ45" s="684">
        <f>IF(BZ6=BY6,0,IF(BZ$5&gt;60,VLOOKUP(MONTH(BZ$6),'General Inputs'!$W$29:$Z$40,3,0)*IFERROR(VLOOKUP(YEAR(BZ$6),'General Inputs'!$G$36:$H$42,2,0),'General Inputs'!$H$42),VLOOKUP(BZ$5,'Development Inputs'!$A$171:$C$230,3,FALSE)))</f>
        <v>4.1474999999999993E-3</v>
      </c>
      <c r="CA45" s="684">
        <f>IF(CA6=BZ6,0,IF(CA$5&gt;60,VLOOKUP(MONTH(CA$6),'General Inputs'!$W$29:$Z$40,3,0)*IFERROR(VLOOKUP(YEAR(CA$6),'General Inputs'!$G$36:$H$42,2,0),'General Inputs'!$H$42),VLOOKUP(CA$5,'Development Inputs'!$A$171:$C$230,3,FALSE)))</f>
        <v>2.7649999999999997E-3</v>
      </c>
      <c r="CB45" s="684">
        <f>IF(CB6=CA6,0,IF(CB$5&gt;60,VLOOKUP(MONTH(CB$6),'General Inputs'!$W$29:$Z$40,3,0)*IFERROR(VLOOKUP(YEAR(CB$6),'General Inputs'!$G$36:$H$42,2,0),'General Inputs'!$H$42),VLOOKUP(CB$5,'Development Inputs'!$A$171:$C$230,3,FALSE)))</f>
        <v>2.7649999999999997E-3</v>
      </c>
      <c r="CC45" s="684">
        <f>IF(CC6=CB6,0,IF(CC$5&gt;60,VLOOKUP(MONTH(CC$6),'General Inputs'!$W$29:$Z$40,3,0)*IFERROR(VLOOKUP(YEAR(CC$6),'General Inputs'!$G$36:$H$42,2,0),'General Inputs'!$H$42),VLOOKUP(CC$5,'Development Inputs'!$A$171:$C$230,3,FALSE)))</f>
        <v>2.7649999999999997E-3</v>
      </c>
      <c r="CD45" s="684">
        <f>IF(CD6=CC6,0,IF(CD$5&gt;60,VLOOKUP(MONTH(CD$6),'General Inputs'!$W$29:$Z$40,3,0)*IFERROR(VLOOKUP(YEAR(CD$6),'General Inputs'!$G$36:$H$42,2,0),'General Inputs'!$H$42),VLOOKUP(CD$5,'Development Inputs'!$A$171:$C$230,3,FALSE)))</f>
        <v>2.7649999999999997E-3</v>
      </c>
      <c r="CE45" s="684">
        <f>IF(CE6=CD6,0,IF(CE$5&gt;60,VLOOKUP(MONTH(CE$6),'General Inputs'!$W$29:$Z$40,3,0)*IFERROR(VLOOKUP(YEAR(CE$6),'General Inputs'!$G$36:$H$42,2,0),'General Inputs'!$H$42),VLOOKUP(CE$5,'Development Inputs'!$A$171:$C$230,3,FALSE)))</f>
        <v>2.7649999999999997E-3</v>
      </c>
      <c r="CF45" s="684">
        <f>IF(CF6=CE6,0,IF(CF$5&gt;60,VLOOKUP(MONTH(CF$6),'General Inputs'!$W$29:$Z$40,3,0)*IFERROR(VLOOKUP(YEAR(CF$6),'General Inputs'!$G$36:$H$42,2,0),'General Inputs'!$H$42),VLOOKUP(CF$5,'Development Inputs'!$A$171:$C$230,3,FALSE)))</f>
        <v>2.7649999999999997E-3</v>
      </c>
      <c r="CG45" s="684">
        <f>IF(CG6=CF6,0,IF(CG$5&gt;60,VLOOKUP(MONTH(CG$6),'General Inputs'!$W$29:$Z$40,3,0)*IFERROR(VLOOKUP(YEAR(CG$6),'General Inputs'!$G$36:$H$42,2,0),'General Inputs'!$H$42),VLOOKUP(CG$5,'Development Inputs'!$A$171:$C$230,3,FALSE)))</f>
        <v>4.1474999999999993E-3</v>
      </c>
      <c r="CH45" s="684">
        <f>IF(CH6=CG6,0,IF(CH$5&gt;60,VLOOKUP(MONTH(CH$6),'General Inputs'!$W$29:$Z$40,3,0)*IFERROR(VLOOKUP(YEAR(CH$6),'General Inputs'!$G$36:$H$42,2,0),'General Inputs'!$H$42),VLOOKUP(CH$5,'Development Inputs'!$A$171:$C$230,3,FALSE)))</f>
        <v>4.1474999999999993E-3</v>
      </c>
      <c r="CI45" s="684">
        <f>IF(CI6=CH6,0,IF(CI$5&gt;60,VLOOKUP(MONTH(CI$6),'General Inputs'!$W$29:$Z$40,3,0)*IFERROR(VLOOKUP(YEAR(CI$6),'General Inputs'!$G$36:$H$42,2,0),'General Inputs'!$H$42),VLOOKUP(CI$5,'Development Inputs'!$A$171:$C$230,3,FALSE)))</f>
        <v>4.1474999999999993E-3</v>
      </c>
      <c r="CJ45" s="684">
        <f>IF(CJ6=CI6,0,IF(CJ$5&gt;60,VLOOKUP(MONTH(CJ$6),'General Inputs'!$W$29:$Z$40,3,0)*IFERROR(VLOOKUP(YEAR(CJ$6),'General Inputs'!$G$36:$H$42,2,0),'General Inputs'!$H$42),VLOOKUP(CJ$5,'Development Inputs'!$A$171:$C$230,3,FALSE)))</f>
        <v>4.1474999999999993E-3</v>
      </c>
      <c r="CK45" s="684">
        <f>IF(CK6=CJ6,0,IF(CK$5&gt;60,VLOOKUP(MONTH(CK$6),'General Inputs'!$W$29:$Z$40,3,0)*IFERROR(VLOOKUP(YEAR(CK$6),'General Inputs'!$G$36:$H$42,2,0),'General Inputs'!$H$42),VLOOKUP(CK$5,'Development Inputs'!$A$171:$C$230,3,FALSE)))</f>
        <v>4.1474999999999993E-3</v>
      </c>
      <c r="CL45" s="684">
        <f>IF(CL6=CK6,0,IF(CL$5&gt;60,VLOOKUP(MONTH(CL$6),'General Inputs'!$W$29:$Z$40,3,0)*IFERROR(VLOOKUP(YEAR(CL$6),'General Inputs'!$G$36:$H$42,2,0),'General Inputs'!$H$42),VLOOKUP(CL$5,'Development Inputs'!$A$171:$C$230,3,FALSE)))</f>
        <v>4.1474999999999993E-3</v>
      </c>
      <c r="CM45" s="684">
        <f>IF(CM6=CL6,0,IF(CM$5&gt;60,VLOOKUP(MONTH(CM$6),'General Inputs'!$W$29:$Z$40,3,0)*IFERROR(VLOOKUP(YEAR(CM$6),'General Inputs'!$G$36:$H$42,2,0),'General Inputs'!$H$42),VLOOKUP(CM$5,'Development Inputs'!$A$171:$C$230,3,FALSE)))</f>
        <v>2.7649999999999997E-3</v>
      </c>
      <c r="CN45" s="684">
        <f>IF(CN6=CM6,0,IF(CN$5&gt;60,VLOOKUP(MONTH(CN$6),'General Inputs'!$W$29:$Z$40,3,0)*IFERROR(VLOOKUP(YEAR(CN$6),'General Inputs'!$G$36:$H$42,2,0),'General Inputs'!$H$42),VLOOKUP(CN$5,'Development Inputs'!$A$171:$C$230,3,FALSE)))</f>
        <v>2.7649999999999997E-3</v>
      </c>
      <c r="CO45" s="684">
        <f>IF(CO6=CN6,0,IF(CO$5&gt;60,VLOOKUP(MONTH(CO$6),'General Inputs'!$W$29:$Z$40,3,0)*IFERROR(VLOOKUP(YEAR(CO$6),'General Inputs'!$G$36:$H$42,2,0),'General Inputs'!$H$42),VLOOKUP(CO$5,'Development Inputs'!$A$171:$C$230,3,FALSE)))</f>
        <v>2.7649999999999997E-3</v>
      </c>
      <c r="CP45" s="684">
        <f>IF(CP6=CO6,0,IF(CP$5&gt;60,VLOOKUP(MONTH(CP$6),'General Inputs'!$W$29:$Z$40,3,0)*IFERROR(VLOOKUP(YEAR(CP$6),'General Inputs'!$G$36:$H$42,2,0),'General Inputs'!$H$42),VLOOKUP(CP$5,'Development Inputs'!$A$171:$C$230,3,FALSE)))</f>
        <v>2.7649999999999997E-3</v>
      </c>
      <c r="CQ45" s="684">
        <f>IF(CQ6=CP6,0,IF(CQ$5&gt;60,VLOOKUP(MONTH(CQ$6),'General Inputs'!$W$29:$Z$40,3,0)*IFERROR(VLOOKUP(YEAR(CQ$6),'General Inputs'!$G$36:$H$42,2,0),'General Inputs'!$H$42),VLOOKUP(CQ$5,'Development Inputs'!$A$171:$C$230,3,FALSE)))</f>
        <v>2.7649999999999997E-3</v>
      </c>
      <c r="CR45" s="684">
        <f>IF(CR6=CQ6,0,IF(CR$5&gt;60,VLOOKUP(MONTH(CR$6),'General Inputs'!$W$29:$Z$40,3,0)*IFERROR(VLOOKUP(YEAR(CR$6),'General Inputs'!$G$36:$H$42,2,0),'General Inputs'!$H$42),VLOOKUP(CR$5,'Development Inputs'!$A$171:$C$230,3,FALSE)))</f>
        <v>2.7649999999999997E-3</v>
      </c>
      <c r="CS45" s="684">
        <f>IF(CS6=CR6,0,IF(CS$5&gt;60,VLOOKUP(MONTH(CS$6),'General Inputs'!$W$29:$Z$40,3,0)*IFERROR(VLOOKUP(YEAR(CS$6),'General Inputs'!$G$36:$H$42,2,0),'General Inputs'!$H$42),VLOOKUP(CS$5,'Development Inputs'!$A$171:$C$230,3,FALSE)))</f>
        <v>4.1474999999999993E-3</v>
      </c>
      <c r="CT45" s="684">
        <f>IF(CT6=CS6,0,IF(CT$5&gt;60,VLOOKUP(MONTH(CT$6),'General Inputs'!$W$29:$Z$40,3,0)*IFERROR(VLOOKUP(YEAR(CT$6),'General Inputs'!$G$36:$H$42,2,0),'General Inputs'!$H$42),VLOOKUP(CT$5,'Development Inputs'!$A$171:$C$230,3,FALSE)))</f>
        <v>4.1474999999999993E-3</v>
      </c>
      <c r="CU45" s="684">
        <f>IF(CU6=CT6,0,IF(CU$5&gt;60,VLOOKUP(MONTH(CU$6),'General Inputs'!$W$29:$Z$40,3,0)*IFERROR(VLOOKUP(YEAR(CU$6),'General Inputs'!$G$36:$H$42,2,0),'General Inputs'!$H$42),VLOOKUP(CU$5,'Development Inputs'!$A$171:$C$230,3,FALSE)))</f>
        <v>4.1474999999999993E-3</v>
      </c>
      <c r="CV45" s="684">
        <f>IF(CV6=CU6,0,IF(CV$5&gt;60,VLOOKUP(MONTH(CV$6),'General Inputs'!$W$29:$Z$40,3,0)*IFERROR(VLOOKUP(YEAR(CV$6),'General Inputs'!$G$36:$H$42,2,0),'General Inputs'!$H$42),VLOOKUP(CV$5,'Development Inputs'!$A$171:$C$230,3,FALSE)))</f>
        <v>4.1474999999999993E-3</v>
      </c>
      <c r="CW45" s="684">
        <f>IF(CW6=CV6,0,IF(CW$5&gt;60,VLOOKUP(MONTH(CW$6),'General Inputs'!$W$29:$Z$40,3,0)*IFERROR(VLOOKUP(YEAR(CW$6),'General Inputs'!$G$36:$H$42,2,0),'General Inputs'!$H$42),VLOOKUP(CW$5,'Development Inputs'!$A$171:$C$230,3,FALSE)))</f>
        <v>4.1474999999999993E-3</v>
      </c>
      <c r="CX45" s="684">
        <f>IF(CX6=CW6,0,IF(CX$5&gt;60,VLOOKUP(MONTH(CX$6),'General Inputs'!$W$29:$Z$40,3,0)*IFERROR(VLOOKUP(YEAR(CX$6),'General Inputs'!$G$36:$H$42,2,0),'General Inputs'!$H$42),VLOOKUP(CX$5,'Development Inputs'!$A$171:$C$230,3,FALSE)))</f>
        <v>4.1474999999999993E-3</v>
      </c>
      <c r="CY45" s="684">
        <f>IF(CY6=CX6,0,IF(CY$5&gt;60,VLOOKUP(MONTH(CY$6),'General Inputs'!$W$29:$Z$40,3,0)*IFERROR(VLOOKUP(YEAR(CY$6),'General Inputs'!$G$36:$H$42,2,0),'General Inputs'!$H$42),VLOOKUP(CY$5,'Development Inputs'!$A$171:$C$230,3,FALSE)))</f>
        <v>2.7649999999999997E-3</v>
      </c>
      <c r="CZ45" s="684">
        <f>IF(CZ6=CY6,0,IF(CZ$5&gt;60,VLOOKUP(MONTH(CZ$6),'General Inputs'!$W$29:$Z$40,3,0)*IFERROR(VLOOKUP(YEAR(CZ$6),'General Inputs'!$G$36:$H$42,2,0),'General Inputs'!$H$42),VLOOKUP(CZ$5,'Development Inputs'!$A$171:$C$230,3,FALSE)))</f>
        <v>2.7649999999999997E-3</v>
      </c>
      <c r="DA45" s="684">
        <f>IF(DA6=CZ6,0,IF(DA$5&gt;60,VLOOKUP(MONTH(DA$6),'General Inputs'!$W$29:$Z$40,3,0)*IFERROR(VLOOKUP(YEAR(DA$6),'General Inputs'!$G$36:$H$42,2,0),'General Inputs'!$H$42),VLOOKUP(DA$5,'Development Inputs'!$A$171:$C$230,3,FALSE)))</f>
        <v>2.7649999999999997E-3</v>
      </c>
      <c r="DB45" s="684">
        <f>IF(DB6=DA6,0,IF(DB$5&gt;60,VLOOKUP(MONTH(DB$6),'General Inputs'!$W$29:$Z$40,3,0)*IFERROR(VLOOKUP(YEAR(DB$6),'General Inputs'!$G$36:$H$42,2,0),'General Inputs'!$H$42),VLOOKUP(DB$5,'Development Inputs'!$A$171:$C$230,3,FALSE)))</f>
        <v>2.7649999999999997E-3</v>
      </c>
      <c r="DC45" s="684">
        <f>IF(DC6=DB6,0,IF(DC$5&gt;60,VLOOKUP(MONTH(DC$6),'General Inputs'!$W$29:$Z$40,3,0)*IFERROR(VLOOKUP(YEAR(DC$6),'General Inputs'!$G$36:$H$42,2,0),'General Inputs'!$H$42),VLOOKUP(DC$5,'Development Inputs'!$A$171:$C$230,3,FALSE)))</f>
        <v>2.7649999999999997E-3</v>
      </c>
      <c r="DD45" s="684">
        <f>IF(DD6=DC6,0,IF(DD$5&gt;60,VLOOKUP(MONTH(DD$6),'General Inputs'!$W$29:$Z$40,3,0)*IFERROR(VLOOKUP(YEAR(DD$6),'General Inputs'!$G$36:$H$42,2,0),'General Inputs'!$H$42),VLOOKUP(DD$5,'Development Inputs'!$A$171:$C$230,3,FALSE)))</f>
        <v>2.7649999999999997E-3</v>
      </c>
      <c r="DE45" s="684">
        <f>IF(DE6=DD6,0,IF(DE$5&gt;60,VLOOKUP(MONTH(DE$6),'General Inputs'!$W$29:$Z$40,3,0)*IFERROR(VLOOKUP(YEAR(DE$6),'General Inputs'!$G$36:$H$42,2,0),'General Inputs'!$H$42),VLOOKUP(DE$5,'Development Inputs'!$A$171:$C$230,3,FALSE)))</f>
        <v>4.1474999999999993E-3</v>
      </c>
      <c r="DF45" s="684">
        <f>IF(DF6=DE6,0,IF(DF$5&gt;60,VLOOKUP(MONTH(DF$6),'General Inputs'!$W$29:$Z$40,3,0)*IFERROR(VLOOKUP(YEAR(DF$6),'General Inputs'!$G$36:$H$42,2,0),'General Inputs'!$H$42),VLOOKUP(DF$5,'Development Inputs'!$A$171:$C$230,3,FALSE)))</f>
        <v>4.1474999999999993E-3</v>
      </c>
      <c r="DG45" s="684">
        <f>IF(DG6=DF6,0,IF(DG$5&gt;60,VLOOKUP(MONTH(DG$6),'General Inputs'!$W$29:$Z$40,3,0)*IFERROR(VLOOKUP(YEAR(DG$6),'General Inputs'!$G$36:$H$42,2,0),'General Inputs'!$H$42),VLOOKUP(DG$5,'Development Inputs'!$A$171:$C$230,3,FALSE)))</f>
        <v>4.1474999999999993E-3</v>
      </c>
      <c r="DH45" s="684">
        <f>IF(DH6=DG6,0,IF(DH$5&gt;60,VLOOKUP(MONTH(DH$6),'General Inputs'!$W$29:$Z$40,3,0)*IFERROR(VLOOKUP(YEAR(DH$6),'General Inputs'!$G$36:$H$42,2,0),'General Inputs'!$H$42),VLOOKUP(DH$5,'Development Inputs'!$A$171:$C$230,3,FALSE)))</f>
        <v>4.1474999999999993E-3</v>
      </c>
      <c r="DI45" s="684">
        <f>IF(DI6=DH6,0,IF(DI$5&gt;60,VLOOKUP(MONTH(DI$6),'General Inputs'!$W$29:$Z$40,3,0)*IFERROR(VLOOKUP(YEAR(DI$6),'General Inputs'!$G$36:$H$42,2,0),'General Inputs'!$H$42),VLOOKUP(DI$5,'Development Inputs'!$A$171:$C$230,3,FALSE)))</f>
        <v>4.1474999999999993E-3</v>
      </c>
      <c r="DJ45" s="684">
        <f>IF(DJ6=DI6,0,IF(DJ$5&gt;60,VLOOKUP(MONTH(DJ$6),'General Inputs'!$W$29:$Z$40,3,0)*IFERROR(VLOOKUP(YEAR(DJ$6),'General Inputs'!$G$36:$H$42,2,0),'General Inputs'!$H$42),VLOOKUP(DJ$5,'Development Inputs'!$A$171:$C$230,3,FALSE)))</f>
        <v>4.1474999999999993E-3</v>
      </c>
      <c r="DK45" s="684">
        <f>IF(DK6=DJ6,0,IF(DK$5&gt;60,VLOOKUP(MONTH(DK$6),'General Inputs'!$W$29:$Z$40,3,0)*IFERROR(VLOOKUP(YEAR(DK$6),'General Inputs'!$G$36:$H$42,2,0),'General Inputs'!$H$42),VLOOKUP(DK$5,'Development Inputs'!$A$171:$C$230,3,FALSE)))</f>
        <v>2.7649999999999997E-3</v>
      </c>
      <c r="DL45" s="684">
        <f>IF(DL6=DK6,0,IF(DL$5&gt;60,VLOOKUP(MONTH(DL$6),'General Inputs'!$W$29:$Z$40,3,0)*IFERROR(VLOOKUP(YEAR(DL$6),'General Inputs'!$G$36:$H$42,2,0),'General Inputs'!$H$42),VLOOKUP(DL$5,'Development Inputs'!$A$171:$C$230,3,FALSE)))</f>
        <v>2.7649999999999997E-3</v>
      </c>
      <c r="DM45" s="684">
        <f>IF(DM6=DL6,0,IF(DM$5&gt;60,VLOOKUP(MONTH(DM$6),'General Inputs'!$W$29:$Z$40,3,0)*IFERROR(VLOOKUP(YEAR(DM$6),'General Inputs'!$G$36:$H$42,2,0),'General Inputs'!$H$42),VLOOKUP(DM$5,'Development Inputs'!$A$171:$C$230,3,FALSE)))</f>
        <v>2.7649999999999997E-3</v>
      </c>
      <c r="DN45" s="684">
        <f>IF(DN6=DM6,0,IF(DN$5&gt;60,VLOOKUP(MONTH(DN$6),'General Inputs'!$W$29:$Z$40,3,0)*IFERROR(VLOOKUP(YEAR(DN$6),'General Inputs'!$G$36:$H$42,2,0),'General Inputs'!$H$42),VLOOKUP(DN$5,'Development Inputs'!$A$171:$C$230,3,FALSE)))</f>
        <v>2.7649999999999997E-3</v>
      </c>
      <c r="DO45" s="684">
        <f>IF(DO6=DN6,0,IF(DO$5&gt;60,VLOOKUP(MONTH(DO$6),'General Inputs'!$W$29:$Z$40,3,0)*IFERROR(VLOOKUP(YEAR(DO$6),'General Inputs'!$G$36:$H$42,2,0),'General Inputs'!$H$42),VLOOKUP(DO$5,'Development Inputs'!$A$171:$C$230,3,FALSE)))</f>
        <v>2.7649999999999997E-3</v>
      </c>
      <c r="DP45" s="684">
        <f>IF(DP6=DO6,0,IF(DP$5&gt;60,VLOOKUP(MONTH(DP$6),'General Inputs'!$W$29:$Z$40,3,0)*IFERROR(VLOOKUP(YEAR(DP$6),'General Inputs'!$G$36:$H$42,2,0),'General Inputs'!$H$42),VLOOKUP(DP$5,'Development Inputs'!$A$171:$C$230,3,FALSE)))</f>
        <v>2.7649999999999997E-3</v>
      </c>
      <c r="DQ45" s="684">
        <f>IF(DQ6=DP6,0,IF(DQ$5&gt;60,VLOOKUP(MONTH(DQ$6),'General Inputs'!$W$29:$Z$40,3,0)*IFERROR(VLOOKUP(YEAR(DQ$6),'General Inputs'!$G$36:$H$42,2,0),'General Inputs'!$H$42),VLOOKUP(DQ$5,'Development Inputs'!$A$171:$C$230,3,FALSE)))</f>
        <v>4.1474999999999993E-3</v>
      </c>
      <c r="DR45" s="684">
        <f>IF(DR6=DQ6,0,IF(DR$5&gt;60,VLOOKUP(MONTH(DR$6),'General Inputs'!$W$29:$Z$40,3,0)*IFERROR(VLOOKUP(YEAR(DR$6),'General Inputs'!$G$36:$H$42,2,0),'General Inputs'!$H$42),VLOOKUP(DR$5,'Development Inputs'!$A$171:$C$230,3,FALSE)))</f>
        <v>4.1474999999999993E-3</v>
      </c>
      <c r="DS45" s="684">
        <f>IF(DS6=DR6,0,IF(DS$5&gt;60,VLOOKUP(MONTH(DS$6),'General Inputs'!$W$29:$Z$40,3,0)*IFERROR(VLOOKUP(YEAR(DS$6),'General Inputs'!$G$36:$H$42,2,0),'General Inputs'!$H$42),VLOOKUP(DS$5,'Development Inputs'!$A$171:$C$230,3,FALSE)))</f>
        <v>4.1474999999999993E-3</v>
      </c>
      <c r="DT45" s="684">
        <f>IF(DT6=DS6,0,IF(DT$5&gt;60,VLOOKUP(MONTH(DT$6),'General Inputs'!$W$29:$Z$40,3,0)*IFERROR(VLOOKUP(YEAR(DT$6),'General Inputs'!$G$36:$H$42,2,0),'General Inputs'!$H$42),VLOOKUP(DT$5,'Development Inputs'!$A$171:$C$230,3,FALSE)))</f>
        <v>4.1474999999999993E-3</v>
      </c>
      <c r="DU45" s="684">
        <f>IF(DU6=DT6,0,IF(DU$5&gt;60,VLOOKUP(MONTH(DU$6),'General Inputs'!$W$29:$Z$40,3,0)*IFERROR(VLOOKUP(YEAR(DU$6),'General Inputs'!$G$36:$H$42,2,0),'General Inputs'!$H$42),VLOOKUP(DU$5,'Development Inputs'!$A$171:$C$230,3,FALSE)))</f>
        <v>4.1474999999999993E-3</v>
      </c>
      <c r="DV45" s="684">
        <f>IF(DV6=DU6,0,IF(DV$5&gt;60,VLOOKUP(MONTH(DV$6),'General Inputs'!$W$29:$Z$40,3,0)*IFERROR(VLOOKUP(YEAR(DV$6),'General Inputs'!$G$36:$H$42,2,0),'General Inputs'!$H$42),VLOOKUP(DV$5,'Development Inputs'!$A$171:$C$230,3,FALSE)))</f>
        <v>4.1474999999999993E-3</v>
      </c>
      <c r="DW45" s="684">
        <f>IF(DW6=DV6,0,IF(DW$5&gt;60,VLOOKUP(MONTH(DW$6),'General Inputs'!$W$29:$Z$40,3,0)*IFERROR(VLOOKUP(YEAR(DW$6),'General Inputs'!$G$36:$H$42,2,0),'General Inputs'!$H$42),VLOOKUP(DW$5,'Development Inputs'!$A$171:$C$230,3,FALSE)))</f>
        <v>2.7649999999999997E-3</v>
      </c>
      <c r="DX45" s="684">
        <f>IF(DX6=DW6,0,IF(DX$5&gt;60,VLOOKUP(MONTH(DX$6),'General Inputs'!$W$29:$Z$40,3,0)*IFERROR(VLOOKUP(YEAR(DX$6),'General Inputs'!$G$36:$H$42,2,0),'General Inputs'!$H$42),VLOOKUP(DX$5,'Development Inputs'!$A$171:$C$230,3,FALSE)))</f>
        <v>2.7649999999999997E-3</v>
      </c>
      <c r="DY45" s="684">
        <f>IF(DY6=DX6,0,IF(DY$5&gt;60,VLOOKUP(MONTH(DY$6),'General Inputs'!$W$29:$Z$40,3,0)*IFERROR(VLOOKUP(YEAR(DY$6),'General Inputs'!$G$36:$H$42,2,0),'General Inputs'!$H$42),VLOOKUP(DY$5,'Development Inputs'!$A$171:$C$230,3,FALSE)))</f>
        <v>2.7649999999999997E-3</v>
      </c>
      <c r="DZ45" s="684">
        <f>IF(DZ6=DY6,0,IF(DZ$5&gt;60,VLOOKUP(MONTH(DZ$6),'General Inputs'!$W$29:$Z$40,3,0)*IFERROR(VLOOKUP(YEAR(DZ$6),'General Inputs'!$G$36:$H$42,2,0),'General Inputs'!$H$42),VLOOKUP(DZ$5,'Development Inputs'!$A$171:$C$230,3,FALSE)))</f>
        <v>2.7649999999999997E-3</v>
      </c>
      <c r="EA45" s="684">
        <f>IF(EA6=DZ6,0,IF(EA$5&gt;60,VLOOKUP(MONTH(EA$6),'General Inputs'!$W$29:$Z$40,3,0)*IFERROR(VLOOKUP(YEAR(EA$6),'General Inputs'!$G$36:$H$42,2,0),'General Inputs'!$H$42),VLOOKUP(EA$5,'Development Inputs'!$A$171:$C$230,3,FALSE)))</f>
        <v>2.7649999999999997E-3</v>
      </c>
      <c r="EB45" s="684">
        <f>IF(EB6=EA6,0,IF(EB$5&gt;60,VLOOKUP(MONTH(EB$6),'General Inputs'!$W$29:$Z$40,3,0)*IFERROR(VLOOKUP(YEAR(EB$6),'General Inputs'!$G$36:$H$42,2,0),'General Inputs'!$H$42),VLOOKUP(EB$5,'Development Inputs'!$A$171:$C$230,3,FALSE)))</f>
        <v>2.7649999999999997E-3</v>
      </c>
      <c r="EC45" s="684">
        <f>IF(EC6=EB6,0,IF(EC$5&gt;60,VLOOKUP(MONTH(EC$6),'General Inputs'!$W$29:$Z$40,3,0)*IFERROR(VLOOKUP(YEAR(EC$6),'General Inputs'!$G$36:$H$42,2,0),'General Inputs'!$H$42),VLOOKUP(EC$5,'Development Inputs'!$A$171:$C$230,3,FALSE)))</f>
        <v>4.1474999999999993E-3</v>
      </c>
      <c r="ED45" s="684">
        <f>IF(ED6=EC6,0,IF(ED$5&gt;60,VLOOKUP(MONTH(ED$6),'General Inputs'!$W$29:$Z$40,3,0)*IFERROR(VLOOKUP(YEAR(ED$6),'General Inputs'!$G$36:$H$42,2,0),'General Inputs'!$H$42),VLOOKUP(ED$5,'Development Inputs'!$A$171:$C$230,3,FALSE)))</f>
        <v>4.1474999999999993E-3</v>
      </c>
      <c r="EE45" s="684">
        <f>IF(EE6=ED6,0,IF(EE$5&gt;60,VLOOKUP(MONTH(EE$6),'General Inputs'!$W$29:$Z$40,3,0)*IFERROR(VLOOKUP(YEAR(EE$6),'General Inputs'!$G$36:$H$42,2,0),'General Inputs'!$H$42),VLOOKUP(EE$5,'Development Inputs'!$A$171:$C$230,3,FALSE)))</f>
        <v>4.1474999999999993E-3</v>
      </c>
      <c r="EF45" s="684">
        <f>IF(EF6=EE6,0,IF(EF$5&gt;60,VLOOKUP(MONTH(EF$6),'General Inputs'!$W$29:$Z$40,3,0)*IFERROR(VLOOKUP(YEAR(EF$6),'General Inputs'!$G$36:$H$42,2,0),'General Inputs'!$H$42),VLOOKUP(EF$5,'Development Inputs'!$A$171:$C$230,3,FALSE)))</f>
        <v>4.1474999999999993E-3</v>
      </c>
      <c r="EG45" s="684">
        <f>IF(EG6=EF6,0,IF(EG$5&gt;60,VLOOKUP(MONTH(EG$6),'General Inputs'!$W$29:$Z$40,3,0)*IFERROR(VLOOKUP(YEAR(EG$6),'General Inputs'!$G$36:$H$42,2,0),'General Inputs'!$H$42),VLOOKUP(EG$5,'Development Inputs'!$A$171:$C$230,3,FALSE)))</f>
        <v>4.1474999999999993E-3</v>
      </c>
      <c r="EH45" s="684">
        <f>IF(EH6=EG6,0,IF(EH$5&gt;60,VLOOKUP(MONTH(EH$6),'General Inputs'!$W$29:$Z$40,3,0)*IFERROR(VLOOKUP(YEAR(EH$6),'General Inputs'!$G$36:$H$42,2,0),'General Inputs'!$H$42),VLOOKUP(EH$5,'Development Inputs'!$A$171:$C$230,3,FALSE)))</f>
        <v>4.1474999999999993E-3</v>
      </c>
      <c r="EI45" s="684"/>
      <c r="EK45" s="280"/>
    </row>
    <row r="46" spans="1:141" ht="15" hidden="1" customHeight="1" outlineLevel="1" x14ac:dyDescent="0.3">
      <c r="A46" t="s">
        <v>2391</v>
      </c>
      <c r="E46" s="647">
        <f>MarketBaseRent</f>
        <v>2068.8063802083334</v>
      </c>
      <c r="F46" s="647">
        <f>(1+PrestartMktGrwth)*E46</f>
        <v>2115.7458739338786</v>
      </c>
      <c r="G46" s="229">
        <f>IF(G$6&lt;='General Inputs'!$C$37,MarketBaseRent,(1+G$45)*F46)</f>
        <v>2118.7925479923438</v>
      </c>
      <c r="H46" s="229">
        <f>IF(H$6&lt;='General Inputs'!$C$37,MarketBaseRent,(1+H$45)*G46)</f>
        <v>2121.8436092614529</v>
      </c>
      <c r="I46" s="229">
        <f>IF(I$6&lt;='General Inputs'!$C$37,MarketBaseRent,(1+I$45)*H46)</f>
        <v>2124.8990640587895</v>
      </c>
      <c r="J46" s="229">
        <f>IF(J$6&lt;='General Inputs'!$C$37,MarketBaseRent,(1+J$45)*I46)</f>
        <v>2128.3484835394447</v>
      </c>
      <c r="K46" s="229">
        <f>IF(K$6&lt;='General Inputs'!$C$37,MarketBaseRent,(1+K$45)*J46)</f>
        <v>2131.8035025777235</v>
      </c>
      <c r="L46" s="229">
        <f>IF(L$6&lt;='General Inputs'!$C$37,MarketBaseRent,(1+L$45)*K46)</f>
        <v>2135.2641302635748</v>
      </c>
      <c r="M46" s="229">
        <f>IF(M$6&lt;='General Inputs'!$C$37,MarketBaseRent,(1+M$45)*L46)</f>
        <v>2140.4634984207664</v>
      </c>
      <c r="N46" s="229">
        <f>IF(N$6&lt;='General Inputs'!$C$37,MarketBaseRent,(1+N$45)*M46)</f>
        <v>2145.675527039421</v>
      </c>
      <c r="O46" s="229">
        <f>IF(O$6&lt;='General Inputs'!$C$37,MarketBaseRent,(1+O$45)*N46)</f>
        <v>2150.9002469477618</v>
      </c>
      <c r="P46" s="229">
        <f>IF(P$6&lt;='General Inputs'!$C$37,MarketBaseRent,(1+P$45)*O46)</f>
        <v>2156.1376890490797</v>
      </c>
      <c r="Q46" s="229">
        <f>IF(Q$6&lt;='General Inputs'!$C$37,MarketBaseRent,(1+Q$45)*P46)</f>
        <v>2161.387884321914</v>
      </c>
      <c r="R46" s="229">
        <f>IF(R$6&lt;='General Inputs'!$C$37,MarketBaseRent,(1+R$45)*Q46)</f>
        <v>2166.6508638202376</v>
      </c>
      <c r="S46" s="229">
        <f>IF(S$6&lt;='General Inputs'!$C$37,MarketBaseRent,(1+S$45)*R46)</f>
        <v>2170.1680603891723</v>
      </c>
      <c r="T46" s="229">
        <f>IF(T$6&lt;='General Inputs'!$C$37,MarketBaseRent,(1+T$45)*S46)</f>
        <v>2173.6909665405374</v>
      </c>
      <c r="U46" s="229">
        <f>IF(U$6&lt;='General Inputs'!$C$37,MarketBaseRent,(1+U$45)*T46)</f>
        <v>2177.2195915428883</v>
      </c>
      <c r="V46" s="229">
        <f>IF(V$6&lt;='General Inputs'!$C$37,MarketBaseRent,(1+V$45)*U46)</f>
        <v>2185.2898188288741</v>
      </c>
      <c r="W46" s="229">
        <f>IF(W$6&lt;='General Inputs'!$C$37,MarketBaseRent,(1+W$45)*V46)</f>
        <v>2193.3899597573331</v>
      </c>
      <c r="X46" s="229">
        <f>IF(X$6&lt;='General Inputs'!$C$37,MarketBaseRent,(1+X$45)*W46)</f>
        <v>2201.520125208167</v>
      </c>
      <c r="Y46" s="229">
        <f>IF(Y$6&lt;='General Inputs'!$C$37,MarketBaseRent,(1+Y$45)*X46)</f>
        <v>2213.7605771043245</v>
      </c>
      <c r="Z46" s="229">
        <f>IF(Z$6&lt;='General Inputs'!$C$37,MarketBaseRent,(1+Z$45)*Y46)</f>
        <v>2226.0690859130245</v>
      </c>
      <c r="AA46" s="229">
        <f>IF(AA$6&lt;='General Inputs'!$C$37,MarketBaseRent,(1+AA$45)*Z46)</f>
        <v>2238.446030030701</v>
      </c>
      <c r="AB46" s="229">
        <f>IF(AB$6&lt;='General Inputs'!$C$37,MarketBaseRent,(1+AB$45)*AA46)</f>
        <v>2250.8917899576718</v>
      </c>
      <c r="AC46" s="229">
        <f>IF(AC$6&lt;='General Inputs'!$C$37,MarketBaseRent,(1+AC$45)*AB46)</f>
        <v>2263.4067483098365</v>
      </c>
      <c r="AD46" s="229">
        <f>IF(AD$6&lt;='General Inputs'!$C$37,MarketBaseRent,(1+AD$45)*AC46)</f>
        <v>2275.9912898304392</v>
      </c>
      <c r="AE46" s="229">
        <f>IF(AE$6&lt;='General Inputs'!$C$37,MarketBaseRent,(1+AE$45)*AD46)</f>
        <v>2284.4276308780777</v>
      </c>
      <c r="AF46" s="229">
        <f>IF(AF$6&lt;='General Inputs'!$C$37,MarketBaseRent,(1+AF$45)*AE46)</f>
        <v>2292.8952426298661</v>
      </c>
      <c r="AG46" s="229">
        <f>IF(AG$6&lt;='General Inputs'!$C$37,MarketBaseRent,(1+AG$45)*AF46)</f>
        <v>2301.3942409958809</v>
      </c>
      <c r="AH46" s="229">
        <f>IF(AH$6&lt;='General Inputs'!$C$37,MarketBaseRent,(1+AH$45)*AG46)</f>
        <v>2309.1269256456271</v>
      </c>
      <c r="AI46" s="229">
        <f>IF(AI$6&lt;='General Inputs'!$C$37,MarketBaseRent,(1+AI$45)*AH46)</f>
        <v>2316.8855921157965</v>
      </c>
      <c r="AJ46" s="229">
        <f>IF(AJ$6&lt;='General Inputs'!$C$37,MarketBaseRent,(1+AJ$45)*AI46)</f>
        <v>2324.6703277053057</v>
      </c>
      <c r="AK46" s="229">
        <f>IF(AK$6&lt;='General Inputs'!$C$37,MarketBaseRent,(1+AK$45)*AJ46)</f>
        <v>2336.3866661569405</v>
      </c>
      <c r="AL46" s="229">
        <f>IF(AL$6&lt;='General Inputs'!$C$37,MarketBaseRent,(1+AL$45)*AK46)</f>
        <v>2348.1620549543713</v>
      </c>
      <c r="AM46" s="229">
        <f>IF(AM$6&lt;='General Inputs'!$C$37,MarketBaseRent,(1+AM$45)*AL46)</f>
        <v>2359.9967917113413</v>
      </c>
      <c r="AN46" s="229">
        <f>IF(AN$6&lt;='General Inputs'!$C$37,MarketBaseRent,(1+AN$45)*AM46)</f>
        <v>2371.8911755415661</v>
      </c>
      <c r="AO46" s="229">
        <f>IF(AO$6&lt;='General Inputs'!$C$37,MarketBaseRent,(1+AO$45)*AN46)</f>
        <v>2383.8455070662953</v>
      </c>
      <c r="AP46" s="229">
        <f>IF(AP$6&lt;='General Inputs'!$C$37,MarketBaseRent,(1+AP$45)*AO46)</f>
        <v>2395.8600884219095</v>
      </c>
      <c r="AQ46" s="229">
        <f>IF(AQ$6&lt;='General Inputs'!$C$37,MarketBaseRent,(1+AQ$45)*AP46)</f>
        <v>2403.9101783190072</v>
      </c>
      <c r="AR46" s="229">
        <f>IF(AR$6&lt;='General Inputs'!$C$37,MarketBaseRent,(1+AR$45)*AQ46)</f>
        <v>2411.9873165181593</v>
      </c>
      <c r="AS46" s="229">
        <f>IF(AS$6&lt;='General Inputs'!$C$37,MarketBaseRent,(1+AS$45)*AR46)</f>
        <v>2420.0915939016604</v>
      </c>
      <c r="AT46" s="229">
        <f>IF(AT$6&lt;='General Inputs'!$C$37,MarketBaseRent,(1+AT$45)*AS46)</f>
        <v>2425.3431926604271</v>
      </c>
      <c r="AU46" s="229">
        <f>IF(AU$6&lt;='General Inputs'!$C$37,MarketBaseRent,(1+AU$45)*AT46)</f>
        <v>2430.6061873885001</v>
      </c>
      <c r="AV46" s="229">
        <f>IF(AV$6&lt;='General Inputs'!$C$37,MarketBaseRent,(1+AV$45)*AU46)</f>
        <v>2435.880602815133</v>
      </c>
      <c r="AW46" s="229">
        <f>IF(AW$6&lt;='General Inputs'!$C$37,MarketBaseRent,(1+AW$45)*AV46)</f>
        <v>2443.8093941772963</v>
      </c>
      <c r="AX46" s="229">
        <f>IF(AX$6&lt;='General Inputs'!$C$37,MarketBaseRent,(1+AX$45)*AW46)</f>
        <v>2451.7639937553436</v>
      </c>
      <c r="AY46" s="229">
        <f>IF(AY$6&lt;='General Inputs'!$C$37,MarketBaseRent,(1+AY$45)*AX46)</f>
        <v>2459.744485555017</v>
      </c>
      <c r="AZ46" s="229">
        <f>IF(AZ$6&lt;='General Inputs'!$C$37,MarketBaseRent,(1+AZ$45)*AY46)</f>
        <v>2467.7509538554987</v>
      </c>
      <c r="BA46" s="229">
        <f>IF(BA$6&lt;='General Inputs'!$C$37,MarketBaseRent,(1+BA$45)*AZ46)</f>
        <v>2475.7834832102985</v>
      </c>
      <c r="BB46" s="229">
        <f>IF(BB$6&lt;='General Inputs'!$C$37,MarketBaseRent,(1+BB$45)*BA46)</f>
        <v>2483.842158448148</v>
      </c>
      <c r="BC46" s="229">
        <f>IF(BC$6&lt;='General Inputs'!$C$37,MarketBaseRent,(1+BC$45)*BB46)</f>
        <v>2489.2320959319804</v>
      </c>
      <c r="BD46" s="229">
        <f>IF(BD$6&lt;='General Inputs'!$C$37,MarketBaseRent,(1+BD$45)*BC46)</f>
        <v>2494.6337295801527</v>
      </c>
      <c r="BE46" s="229">
        <f>IF(BE$6&lt;='General Inputs'!$C$37,MarketBaseRent,(1+BE$45)*BD46)</f>
        <v>2500.0470847733418</v>
      </c>
      <c r="BF46" s="229">
        <f>IF(BF$6&lt;='General Inputs'!$C$37,MarketBaseRent,(1+BF$45)*BE46)</f>
        <v>2506.9597149627398</v>
      </c>
      <c r="BG46" s="229">
        <f>IF(BG$6&lt;='General Inputs'!$C$37,MarketBaseRent,(1+BG$45)*BF46)</f>
        <v>2513.8914585746115</v>
      </c>
      <c r="BH46" s="229">
        <f>IF(BH$6&lt;='General Inputs'!$C$37,MarketBaseRent,(1+BH$45)*BG46)</f>
        <v>2520.84236845757</v>
      </c>
      <c r="BI46" s="229">
        <f>IF(BI$6&lt;='General Inputs'!$C$37,MarketBaseRent,(1+BI$45)*BH46)</f>
        <v>2531.2975621807477</v>
      </c>
      <c r="BJ46" s="229">
        <f>IF(BJ$6&lt;='General Inputs'!$C$37,MarketBaseRent,(1+BJ$45)*BI46)</f>
        <v>2541.7961188198924</v>
      </c>
      <c r="BK46" s="229">
        <f>IF(BK$6&lt;='General Inputs'!$C$37,MarketBaseRent,(1+BK$45)*BJ46)</f>
        <v>2552.3382182226978</v>
      </c>
      <c r="BL46" s="229">
        <f>IF(BL$6&lt;='General Inputs'!$C$37,MarketBaseRent,(1+BL$45)*BK46)</f>
        <v>2562.9240409827762</v>
      </c>
      <c r="BM46" s="229">
        <f>IF(BM$6&lt;='General Inputs'!$C$37,MarketBaseRent,(1+BM$45)*BL46)</f>
        <v>2573.5537684427522</v>
      </c>
      <c r="BN46" s="229">
        <f>IF(BN$6&lt;='General Inputs'!$C$37,MarketBaseRent,(1+BN$45)*BM46)</f>
        <v>2584.2275826973687</v>
      </c>
      <c r="BO46" s="229">
        <f>IF(BO$6&lt;='General Inputs'!$C$37,MarketBaseRent,(1+BO$45)*BN46)</f>
        <v>2591.3729719635267</v>
      </c>
      <c r="BP46" s="229">
        <f>IF(BP$6&lt;='General Inputs'!$C$37,MarketBaseRent,(1+BP$45)*BO46)</f>
        <v>2598.5381182310057</v>
      </c>
      <c r="BQ46" s="229">
        <f>IF(BQ$6&lt;='General Inputs'!$C$37,MarketBaseRent,(1+BQ$45)*BP46)</f>
        <v>2605.7230761279143</v>
      </c>
      <c r="BR46" s="229">
        <f>IF(BR$6&lt;='General Inputs'!$C$37,MarketBaseRent,(1+BR$45)*BQ46)</f>
        <v>2612.9279004334076</v>
      </c>
      <c r="BS46" s="229">
        <f>IF(BS$6&lt;='General Inputs'!$C$37,MarketBaseRent,(1+BS$45)*BR46)</f>
        <v>2620.1526460781056</v>
      </c>
      <c r="BT46" s="229">
        <f>IF(BT$6&lt;='General Inputs'!$C$37,MarketBaseRent,(1+BT$45)*BS46)</f>
        <v>2627.3973681445113</v>
      </c>
      <c r="BU46" s="229">
        <f>IF(BU$6&lt;='General Inputs'!$C$37,MarketBaseRent,(1+BU$45)*BT46)</f>
        <v>2638.2944987288906</v>
      </c>
      <c r="BV46" s="229">
        <f>IF(BV$6&lt;='General Inputs'!$C$37,MarketBaseRent,(1+BV$45)*BU46)</f>
        <v>2649.2368251623684</v>
      </c>
      <c r="BW46" s="229">
        <f>IF(BW$6&lt;='General Inputs'!$C$37,MarketBaseRent,(1+BW$45)*BV46)</f>
        <v>2660.2245348947295</v>
      </c>
      <c r="BX46" s="229">
        <f>IF(BX$6&lt;='General Inputs'!$C$37,MarketBaseRent,(1+BX$45)*BW46)</f>
        <v>2671.2578161532051</v>
      </c>
      <c r="BY46" s="229">
        <f>IF(BY$6&lt;='General Inputs'!$C$37,MarketBaseRent,(1+BY$45)*BX46)</f>
        <v>2682.3368579457006</v>
      </c>
      <c r="BZ46" s="229">
        <f>IF(BZ$6&lt;='General Inputs'!$C$37,MarketBaseRent,(1+BZ$45)*BY46)</f>
        <v>2693.4618500640304</v>
      </c>
      <c r="CA46" s="229">
        <f>IF(CA$6&lt;='General Inputs'!$C$37,MarketBaseRent,(1+CA$45)*BZ46)</f>
        <v>2700.909272079457</v>
      </c>
      <c r="CB46" s="229">
        <f>IF(CB$6&lt;='General Inputs'!$C$37,MarketBaseRent,(1+CB$45)*CA46)</f>
        <v>2708.3772862167566</v>
      </c>
      <c r="CC46" s="229">
        <f>IF(CC$6&lt;='General Inputs'!$C$37,MarketBaseRent,(1+CC$45)*CB46)</f>
        <v>2715.8659494131457</v>
      </c>
      <c r="CD46" s="229">
        <f>IF(CD$6&lt;='General Inputs'!$C$37,MarketBaseRent,(1+CD$45)*CC46)</f>
        <v>2723.3753187632728</v>
      </c>
      <c r="CE46" s="229">
        <f>IF(CE$6&lt;='General Inputs'!$C$37,MarketBaseRent,(1+CE$45)*CD46)</f>
        <v>2730.9054515196531</v>
      </c>
      <c r="CF46" s="229">
        <f>IF(CF$6&lt;='General Inputs'!$C$37,MarketBaseRent,(1+CF$45)*CE46)</f>
        <v>2738.4564050931049</v>
      </c>
      <c r="CG46" s="229">
        <f>IF(CG$6&lt;='General Inputs'!$C$37,MarketBaseRent,(1+CG$45)*CF46)</f>
        <v>2749.8141530332286</v>
      </c>
      <c r="CH46" s="229">
        <f>IF(CH$6&lt;='General Inputs'!$C$37,MarketBaseRent,(1+CH$45)*CG46)</f>
        <v>2761.219007232934</v>
      </c>
      <c r="CI46" s="229">
        <f>IF(CI$6&lt;='General Inputs'!$C$37,MarketBaseRent,(1+CI$45)*CH46)</f>
        <v>2772.6711630654327</v>
      </c>
      <c r="CJ46" s="229">
        <f>IF(CJ$6&lt;='General Inputs'!$C$37,MarketBaseRent,(1+CJ$45)*CI46)</f>
        <v>2784.1708167142465</v>
      </c>
      <c r="CK46" s="229">
        <f>IF(CK$6&lt;='General Inputs'!$C$37,MarketBaseRent,(1+CK$45)*CJ46)</f>
        <v>2795.7181651765686</v>
      </c>
      <c r="CL46" s="229">
        <f>IF(CL$6&lt;='General Inputs'!$C$37,MarketBaseRent,(1+CL$45)*CK46)</f>
        <v>2807.3134062666381</v>
      </c>
      <c r="CM46" s="229">
        <f>IF(CM$6&lt;='General Inputs'!$C$37,MarketBaseRent,(1+CM$45)*CL46)</f>
        <v>2815.075627834965</v>
      </c>
      <c r="CN46" s="229">
        <f>IF(CN$6&lt;='General Inputs'!$C$37,MarketBaseRent,(1+CN$45)*CM46)</f>
        <v>2822.8593119459283</v>
      </c>
      <c r="CO46" s="229">
        <f>IF(CO$6&lt;='General Inputs'!$C$37,MarketBaseRent,(1+CO$45)*CN46)</f>
        <v>2830.6645179434586</v>
      </c>
      <c r="CP46" s="229">
        <f>IF(CP$6&lt;='General Inputs'!$C$37,MarketBaseRent,(1+CP$45)*CO46)</f>
        <v>2838.4913053355722</v>
      </c>
      <c r="CQ46" s="229">
        <f>IF(CQ$6&lt;='General Inputs'!$C$37,MarketBaseRent,(1+CQ$45)*CP46)</f>
        <v>2846.339733794825</v>
      </c>
      <c r="CR46" s="229">
        <f>IF(CR$6&lt;='General Inputs'!$C$37,MarketBaseRent,(1+CR$45)*CQ46)</f>
        <v>2854.2098631587673</v>
      </c>
      <c r="CS46" s="229">
        <f>IF(CS$6&lt;='General Inputs'!$C$37,MarketBaseRent,(1+CS$45)*CR46)</f>
        <v>2866.0476985662181</v>
      </c>
      <c r="CT46" s="229">
        <f>IF(CT$6&lt;='General Inputs'!$C$37,MarketBaseRent,(1+CT$45)*CS46)</f>
        <v>2877.9346313960214</v>
      </c>
      <c r="CU46" s="229">
        <f>IF(CU$6&lt;='General Inputs'!$C$37,MarketBaseRent,(1+CU$45)*CT46)</f>
        <v>2889.8708652797363</v>
      </c>
      <c r="CV46" s="229">
        <f>IF(CV$6&lt;='General Inputs'!$C$37,MarketBaseRent,(1+CV$45)*CU46)</f>
        <v>2901.8566046934839</v>
      </c>
      <c r="CW46" s="229">
        <f>IF(CW$6&lt;='General Inputs'!$C$37,MarketBaseRent,(1+CW$45)*CV46)</f>
        <v>2913.89205496145</v>
      </c>
      <c r="CX46" s="229">
        <f>IF(CX$6&lt;='General Inputs'!$C$37,MarketBaseRent,(1+CX$45)*CW46)</f>
        <v>2925.9774222594024</v>
      </c>
      <c r="CY46" s="229">
        <f>IF(CY$6&lt;='General Inputs'!$C$37,MarketBaseRent,(1+CY$45)*CX46)</f>
        <v>2934.0677498319492</v>
      </c>
      <c r="CZ46" s="229">
        <f>IF(CZ$6&lt;='General Inputs'!$C$37,MarketBaseRent,(1+CZ$45)*CY46)</f>
        <v>2942.1804471602341</v>
      </c>
      <c r="DA46" s="229">
        <f>IF(DA$6&lt;='General Inputs'!$C$37,MarketBaseRent,(1+DA$45)*CZ46)</f>
        <v>2950.315576096632</v>
      </c>
      <c r="DB46" s="229">
        <f>IF(DB$6&lt;='General Inputs'!$C$37,MarketBaseRent,(1+DB$45)*DA46)</f>
        <v>2958.4731986645388</v>
      </c>
      <c r="DC46" s="229">
        <f>IF(DC$6&lt;='General Inputs'!$C$37,MarketBaseRent,(1+DC$45)*DB46)</f>
        <v>2966.6533770588458</v>
      </c>
      <c r="DD46" s="229">
        <f>IF(DD$6&lt;='General Inputs'!$C$37,MarketBaseRent,(1+DD$45)*DC46)</f>
        <v>2974.856173646413</v>
      </c>
      <c r="DE46" s="229">
        <f>IF(DE$6&lt;='General Inputs'!$C$37,MarketBaseRent,(1+DE$45)*DD46)</f>
        <v>2987.1943896266116</v>
      </c>
      <c r="DF46" s="229">
        <f>IF(DF$6&lt;='General Inputs'!$C$37,MarketBaseRent,(1+DF$45)*DE46)</f>
        <v>2999.583778357588</v>
      </c>
      <c r="DG46" s="229">
        <f>IF(DG$6&lt;='General Inputs'!$C$37,MarketBaseRent,(1+DG$45)*DF46)</f>
        <v>3012.024552078326</v>
      </c>
      <c r="DH46" s="229">
        <f>IF(DH$6&lt;='General Inputs'!$C$37,MarketBaseRent,(1+DH$45)*DG46)</f>
        <v>3024.5169239080706</v>
      </c>
      <c r="DI46" s="229">
        <f>IF(DI$6&lt;='General Inputs'!$C$37,MarketBaseRent,(1+DI$45)*DH46)</f>
        <v>3037.0611078499792</v>
      </c>
      <c r="DJ46" s="229">
        <f>IF(DJ$6&lt;='General Inputs'!$C$37,MarketBaseRent,(1+DJ$45)*DI46)</f>
        <v>3049.657318794787</v>
      </c>
      <c r="DK46" s="229">
        <f>IF(DK$6&lt;='General Inputs'!$C$37,MarketBaseRent,(1+DK$45)*DJ46)</f>
        <v>3058.0896212812545</v>
      </c>
      <c r="DL46" s="229">
        <f>IF(DL$6&lt;='General Inputs'!$C$37,MarketBaseRent,(1+DL$45)*DK46)</f>
        <v>3066.5452390840969</v>
      </c>
      <c r="DM46" s="229">
        <f>IF(DM$6&lt;='General Inputs'!$C$37,MarketBaseRent,(1+DM$45)*DL46)</f>
        <v>3075.0242366701641</v>
      </c>
      <c r="DN46" s="229">
        <f>IF(DN$6&lt;='General Inputs'!$C$37,MarketBaseRent,(1+DN$45)*DM46)</f>
        <v>3083.5266786845568</v>
      </c>
      <c r="DO46" s="229">
        <f>IF(DO$6&lt;='General Inputs'!$C$37,MarketBaseRent,(1+DO$45)*DN46)</f>
        <v>3092.0526299511193</v>
      </c>
      <c r="DP46" s="229">
        <f>IF(DP$6&lt;='General Inputs'!$C$37,MarketBaseRent,(1+DP$45)*DO46)</f>
        <v>3100.6021554729341</v>
      </c>
      <c r="DQ46" s="229">
        <f>IF(DQ$6&lt;='General Inputs'!$C$37,MarketBaseRent,(1+DQ$45)*DP46)</f>
        <v>3113.461902912758</v>
      </c>
      <c r="DR46" s="229">
        <f>IF(DR$6&lt;='General Inputs'!$C$37,MarketBaseRent,(1+DR$45)*DQ46)</f>
        <v>3126.3749861550887</v>
      </c>
      <c r="DS46" s="229">
        <f>IF(DS$6&lt;='General Inputs'!$C$37,MarketBaseRent,(1+DS$45)*DR46)</f>
        <v>3139.341626410167</v>
      </c>
      <c r="DT46" s="229">
        <f>IF(DT$6&lt;='General Inputs'!$C$37,MarketBaseRent,(1+DT$45)*DS46)</f>
        <v>3152.362045805703</v>
      </c>
      <c r="DU46" s="229">
        <f>IF(DU$6&lt;='General Inputs'!$C$37,MarketBaseRent,(1+DU$45)*DT46)</f>
        <v>3165.4364673906821</v>
      </c>
      <c r="DV46" s="229">
        <f>IF(DV$6&lt;='General Inputs'!$C$37,MarketBaseRent,(1+DV$45)*DU46)</f>
        <v>3178.5651151391849</v>
      </c>
      <c r="DW46" s="229">
        <f>IF(DW$6&lt;='General Inputs'!$C$37,MarketBaseRent,(1+DW$45)*DV46)</f>
        <v>3187.3538476825443</v>
      </c>
      <c r="DX46" s="229">
        <f>IF(DX$6&lt;='General Inputs'!$C$37,MarketBaseRent,(1+DX$45)*DW46)</f>
        <v>3196.1668810713863</v>
      </c>
      <c r="DY46" s="229">
        <f>IF(DY$6&lt;='General Inputs'!$C$37,MarketBaseRent,(1+DY$45)*DX46)</f>
        <v>3205.0042824975485</v>
      </c>
      <c r="DZ46" s="229">
        <f>IF(DZ$6&lt;='General Inputs'!$C$37,MarketBaseRent,(1+DZ$45)*DY46)</f>
        <v>3213.8661193386538</v>
      </c>
      <c r="EA46" s="229">
        <f>IF(EA$6&lt;='General Inputs'!$C$37,MarketBaseRent,(1+EA$45)*DZ46)</f>
        <v>3222.7524591586248</v>
      </c>
      <c r="EB46" s="229">
        <f>IF(EB$6&lt;='General Inputs'!$C$37,MarketBaseRent,(1+EB$45)*EA46)</f>
        <v>3231.6633697081979</v>
      </c>
      <c r="EC46" s="229">
        <f>IF(EC$6&lt;='General Inputs'!$C$37,MarketBaseRent,(1+EC$45)*EB46)</f>
        <v>3245.0666935340628</v>
      </c>
      <c r="ED46" s="229">
        <f>IF(ED$6&lt;='General Inputs'!$C$37,MarketBaseRent,(1+ED$45)*EC46)</f>
        <v>3258.5256076454953</v>
      </c>
      <c r="EE46" s="229">
        <f>IF(EE$6&lt;='General Inputs'!$C$37,MarketBaseRent,(1+EE$45)*ED46)</f>
        <v>3272.0403426032049</v>
      </c>
      <c r="EF46" s="229">
        <f>IF(EF$6&lt;='General Inputs'!$C$37,MarketBaseRent,(1+EF$45)*EE46)</f>
        <v>3285.6111299241516</v>
      </c>
      <c r="EG46" s="229">
        <f>IF(EG$6&lt;='General Inputs'!$C$37,MarketBaseRent,(1+EG$45)*EF46)</f>
        <v>3299.2382020855121</v>
      </c>
      <c r="EH46" s="229">
        <f>IF(EH$6&lt;='General Inputs'!$C$37,MarketBaseRent,(1+EH$45)*EG46)</f>
        <v>3312.9217925286616</v>
      </c>
      <c r="EK46" s="672"/>
    </row>
    <row r="47" spans="1:141" ht="15" hidden="1" customHeight="1" outlineLevel="1" x14ac:dyDescent="0.3">
      <c r="A47" t="s">
        <v>2392</v>
      </c>
      <c r="E47" s="647">
        <f>AmenityPremiums</f>
        <v>0</v>
      </c>
      <c r="F47" s="647">
        <f>(1+PrestartMktGrwth)*E47</f>
        <v>0</v>
      </c>
      <c r="G47" s="229">
        <f>IF(G$6&lt;='General Inputs'!$C$37,AmenityPremiums,(1+G$45)*F47)</f>
        <v>0</v>
      </c>
      <c r="H47" s="229">
        <f>IF(H$6&lt;='General Inputs'!$C$37,AmenityPremiums,(1+H$45)*G47)</f>
        <v>0</v>
      </c>
      <c r="I47" s="229">
        <f>IF(I$6&lt;='General Inputs'!$C$37,AmenityPremiums,(1+I$45)*H47)</f>
        <v>0</v>
      </c>
      <c r="J47" s="229">
        <f>IF(J$6&lt;='General Inputs'!$C$37,AmenityPremiums,(1+J$45)*I47)</f>
        <v>0</v>
      </c>
      <c r="K47" s="229">
        <f>IF(K$6&lt;='General Inputs'!$C$37,AmenityPremiums,(1+K$45)*J47)</f>
        <v>0</v>
      </c>
      <c r="L47" s="229">
        <f>IF(L$6&lt;='General Inputs'!$C$37,AmenityPremiums,(1+L$45)*K47)</f>
        <v>0</v>
      </c>
      <c r="M47" s="229">
        <f>IF(M$6&lt;='General Inputs'!$C$37,AmenityPremiums,(1+M$45)*L47)</f>
        <v>0</v>
      </c>
      <c r="N47" s="229">
        <f>IF(N$6&lt;='General Inputs'!$C$37,AmenityPremiums,(1+N$45)*M47)</f>
        <v>0</v>
      </c>
      <c r="O47" s="229">
        <f>IF(O$6&lt;='General Inputs'!$C$37,AmenityPremiums,(1+O$45)*N47)</f>
        <v>0</v>
      </c>
      <c r="P47" s="229">
        <f>IF(P$6&lt;='General Inputs'!$C$37,AmenityPremiums,(1+P$45)*O47)</f>
        <v>0</v>
      </c>
      <c r="Q47" s="229">
        <f>IF(Q$6&lt;='General Inputs'!$C$37,AmenityPremiums,(1+Q$45)*P47)</f>
        <v>0</v>
      </c>
      <c r="R47" s="229">
        <f>IF(R$6&lt;='General Inputs'!$C$37,AmenityPremiums,(1+R$45)*Q47)</f>
        <v>0</v>
      </c>
      <c r="S47" s="229">
        <f>IF(S$6&lt;='General Inputs'!$C$37,AmenityPremiums,(1+S$45)*R47)</f>
        <v>0</v>
      </c>
      <c r="T47" s="229">
        <f>IF(T$6&lt;='General Inputs'!$C$37,AmenityPremiums,(1+T$45)*S47)</f>
        <v>0</v>
      </c>
      <c r="U47" s="229">
        <f>IF(U$6&lt;='General Inputs'!$C$37,AmenityPremiums,(1+U$45)*T47)</f>
        <v>0</v>
      </c>
      <c r="V47" s="229">
        <f>IF(V$6&lt;='General Inputs'!$C$37,AmenityPremiums,(1+V$45)*U47)</f>
        <v>0</v>
      </c>
      <c r="W47" s="229">
        <f>IF(W$6&lt;='General Inputs'!$C$37,AmenityPremiums,(1+W$45)*V47)</f>
        <v>0</v>
      </c>
      <c r="X47" s="229">
        <f>IF(X$6&lt;='General Inputs'!$C$37,AmenityPremiums,(1+X$45)*W47)</f>
        <v>0</v>
      </c>
      <c r="Y47" s="229">
        <f>IF(Y$6&lt;='General Inputs'!$C$37,AmenityPremiums,(1+Y$45)*X47)</f>
        <v>0</v>
      </c>
      <c r="Z47" s="229">
        <f>IF(Z$6&lt;='General Inputs'!$C$37,AmenityPremiums,(1+Z$45)*Y47)</f>
        <v>0</v>
      </c>
      <c r="AA47" s="229">
        <f>IF(AA$6&lt;='General Inputs'!$C$37,AmenityPremiums,(1+AA$45)*Z47)</f>
        <v>0</v>
      </c>
      <c r="AB47" s="229">
        <f>IF(AB$6&lt;='General Inputs'!$C$37,AmenityPremiums,(1+AB$45)*AA47)</f>
        <v>0</v>
      </c>
      <c r="AC47" s="229">
        <f>IF(AC$6&lt;='General Inputs'!$C$37,AmenityPremiums,(1+AC$45)*AB47)</f>
        <v>0</v>
      </c>
      <c r="AD47" s="229">
        <f>IF(AD$6&lt;='General Inputs'!$C$37,AmenityPremiums,(1+AD$45)*AC47)</f>
        <v>0</v>
      </c>
      <c r="AE47" s="229">
        <f>IF(AE$6&lt;='General Inputs'!$C$37,AmenityPremiums,(1+AE$45)*AD47)</f>
        <v>0</v>
      </c>
      <c r="AF47" s="229">
        <f>IF(AF$6&lt;='General Inputs'!$C$37,AmenityPremiums,(1+AF$45)*AE47)</f>
        <v>0</v>
      </c>
      <c r="AG47" s="229">
        <f>IF(AG$6&lt;='General Inputs'!$C$37,AmenityPremiums,(1+AG$45)*AF47)</f>
        <v>0</v>
      </c>
      <c r="AH47" s="229">
        <f>IF(AH$6&lt;='General Inputs'!$C$37,AmenityPremiums,(1+AH$45)*AG47)</f>
        <v>0</v>
      </c>
      <c r="AI47" s="229">
        <f>IF(AI$6&lt;='General Inputs'!$C$37,AmenityPremiums,(1+AI$45)*AH47)</f>
        <v>0</v>
      </c>
      <c r="AJ47" s="229">
        <f>IF(AJ$6&lt;='General Inputs'!$C$37,AmenityPremiums,(1+AJ$45)*AI47)</f>
        <v>0</v>
      </c>
      <c r="AK47" s="229">
        <f>IF(AK$6&lt;='General Inputs'!$C$37,AmenityPremiums,(1+AK$45)*AJ47)</f>
        <v>0</v>
      </c>
      <c r="AL47" s="229">
        <f>IF(AL$6&lt;='General Inputs'!$C$37,AmenityPremiums,(1+AL$45)*AK47)</f>
        <v>0</v>
      </c>
      <c r="AM47" s="229">
        <f>IF(AM$6&lt;='General Inputs'!$C$37,AmenityPremiums,(1+AM$45)*AL47)</f>
        <v>0</v>
      </c>
      <c r="AN47" s="229">
        <f>IF(AN$6&lt;='General Inputs'!$C$37,AmenityPremiums,(1+AN$45)*AM47)</f>
        <v>0</v>
      </c>
      <c r="AO47" s="229">
        <f>IF(AO$6&lt;='General Inputs'!$C$37,AmenityPremiums,(1+AO$45)*AN47)</f>
        <v>0</v>
      </c>
      <c r="AP47" s="229">
        <f>IF(AP$6&lt;='General Inputs'!$C$37,AmenityPremiums,(1+AP$45)*AO47)</f>
        <v>0</v>
      </c>
      <c r="AQ47" s="229">
        <f>IF(AQ$6&lt;='General Inputs'!$C$37,AmenityPremiums,(1+AQ$45)*AP47)</f>
        <v>0</v>
      </c>
      <c r="AR47" s="229">
        <f>IF(AR$6&lt;='General Inputs'!$C$37,AmenityPremiums,(1+AR$45)*AQ47)</f>
        <v>0</v>
      </c>
      <c r="AS47" s="229">
        <f>IF(AS$6&lt;='General Inputs'!$C$37,AmenityPremiums,(1+AS$45)*AR47)</f>
        <v>0</v>
      </c>
      <c r="AT47" s="229">
        <f>IF(AT$6&lt;='General Inputs'!$C$37,AmenityPremiums,(1+AT$45)*AS47)</f>
        <v>0</v>
      </c>
      <c r="AU47" s="229">
        <f>IF(AU$6&lt;='General Inputs'!$C$37,AmenityPremiums,(1+AU$45)*AT47)</f>
        <v>0</v>
      </c>
      <c r="AV47" s="229">
        <f>IF(AV$6&lt;='General Inputs'!$C$37,AmenityPremiums,(1+AV$45)*AU47)</f>
        <v>0</v>
      </c>
      <c r="AW47" s="229">
        <f>IF(AW$6&lt;='General Inputs'!$C$37,AmenityPremiums,(1+AW$45)*AV47)</f>
        <v>0</v>
      </c>
      <c r="AX47" s="229">
        <f>IF(AX$6&lt;='General Inputs'!$C$37,AmenityPremiums,(1+AX$45)*AW47)</f>
        <v>0</v>
      </c>
      <c r="AY47" s="229">
        <f>IF(AY$6&lt;='General Inputs'!$C$37,AmenityPremiums,(1+AY$45)*AX47)</f>
        <v>0</v>
      </c>
      <c r="AZ47" s="229">
        <f>IF(AZ$6&lt;='General Inputs'!$C$37,AmenityPremiums,(1+AZ$45)*AY47)</f>
        <v>0</v>
      </c>
      <c r="BA47" s="229">
        <f>IF(BA$6&lt;='General Inputs'!$C$37,AmenityPremiums,(1+BA$45)*AZ47)</f>
        <v>0</v>
      </c>
      <c r="BB47" s="229">
        <f>IF(BB$6&lt;='General Inputs'!$C$37,AmenityPremiums,(1+BB$45)*BA47)</f>
        <v>0</v>
      </c>
      <c r="BC47" s="229">
        <f>IF(BC$6&lt;='General Inputs'!$C$37,AmenityPremiums,(1+BC$45)*BB47)</f>
        <v>0</v>
      </c>
      <c r="BD47" s="229">
        <f>IF(BD$6&lt;='General Inputs'!$C$37,AmenityPremiums,(1+BD$45)*BC47)</f>
        <v>0</v>
      </c>
      <c r="BE47" s="229">
        <f>IF(BE$6&lt;='General Inputs'!$C$37,AmenityPremiums,(1+BE$45)*BD47)</f>
        <v>0</v>
      </c>
      <c r="BF47" s="229">
        <f>IF(BF$6&lt;='General Inputs'!$C$37,AmenityPremiums,(1+BF$45)*BE47)</f>
        <v>0</v>
      </c>
      <c r="BG47" s="229">
        <f>IF(BG$6&lt;='General Inputs'!$C$37,AmenityPremiums,(1+BG$45)*BF47)</f>
        <v>0</v>
      </c>
      <c r="BH47" s="229">
        <f>IF(BH$6&lt;='General Inputs'!$C$37,AmenityPremiums,(1+BH$45)*BG47)</f>
        <v>0</v>
      </c>
      <c r="BI47" s="229">
        <f>IF(BI$6&lt;='General Inputs'!$C$37,AmenityPremiums,(1+BI$45)*BH47)</f>
        <v>0</v>
      </c>
      <c r="BJ47" s="229">
        <f>IF(BJ$6&lt;='General Inputs'!$C$37,AmenityPremiums,(1+BJ$45)*BI47)</f>
        <v>0</v>
      </c>
      <c r="BK47" s="229">
        <f>IF(BK$6&lt;='General Inputs'!$C$37,AmenityPremiums,(1+BK$45)*BJ47)</f>
        <v>0</v>
      </c>
      <c r="BL47" s="229">
        <f>IF(BL$6&lt;='General Inputs'!$C$37,AmenityPremiums,(1+BL$45)*BK47)</f>
        <v>0</v>
      </c>
      <c r="BM47" s="229">
        <f>IF(BM$6&lt;='General Inputs'!$C$37,AmenityPremiums,(1+BM$45)*BL47)</f>
        <v>0</v>
      </c>
      <c r="BN47" s="229">
        <f>IF(BN$6&lt;='General Inputs'!$C$37,AmenityPremiums,(1+BN$45)*BM47)</f>
        <v>0</v>
      </c>
      <c r="BO47" s="229">
        <f>IF(BO$6&lt;='General Inputs'!$C$37,AmenityPremiums,(1+BO$45)*BN47)</f>
        <v>0</v>
      </c>
      <c r="BP47" s="229">
        <f>IF(BP$6&lt;='General Inputs'!$C$37,AmenityPremiums,(1+BP$45)*BO47)</f>
        <v>0</v>
      </c>
      <c r="BQ47" s="229">
        <f>IF(BQ$6&lt;='General Inputs'!$C$37,AmenityPremiums,(1+BQ$45)*BP47)</f>
        <v>0</v>
      </c>
      <c r="BR47" s="229">
        <f>IF(BR$6&lt;='General Inputs'!$C$37,AmenityPremiums,(1+BR$45)*BQ47)</f>
        <v>0</v>
      </c>
      <c r="BS47" s="229">
        <f>IF(BS$6&lt;='General Inputs'!$C$37,AmenityPremiums,(1+BS$45)*BR47)</f>
        <v>0</v>
      </c>
      <c r="BT47" s="229">
        <f>IF(BT$6&lt;='General Inputs'!$C$37,AmenityPremiums,(1+BT$45)*BS47)</f>
        <v>0</v>
      </c>
      <c r="BU47" s="229">
        <f>IF(BU$6&lt;='General Inputs'!$C$37,AmenityPremiums,(1+BU$45)*BT47)</f>
        <v>0</v>
      </c>
      <c r="BV47" s="229">
        <f>IF(BV$6&lt;='General Inputs'!$C$37,AmenityPremiums,(1+BV$45)*BU47)</f>
        <v>0</v>
      </c>
      <c r="BW47" s="229">
        <f>IF(BW$6&lt;='General Inputs'!$C$37,AmenityPremiums,(1+BW$45)*BV47)</f>
        <v>0</v>
      </c>
      <c r="BX47" s="229">
        <f>IF(BX$6&lt;='General Inputs'!$C$37,AmenityPremiums,(1+BX$45)*BW47)</f>
        <v>0</v>
      </c>
      <c r="BY47" s="229">
        <f>IF(BY$6&lt;='General Inputs'!$C$37,AmenityPremiums,(1+BY$45)*BX47)</f>
        <v>0</v>
      </c>
      <c r="BZ47" s="229">
        <f>IF(BZ$6&lt;='General Inputs'!$C$37,AmenityPremiums,(1+BZ$45)*BY47)</f>
        <v>0</v>
      </c>
      <c r="CA47" s="229">
        <f>IF(CA$6&lt;='General Inputs'!$C$37,AmenityPremiums,(1+CA$45)*BZ47)</f>
        <v>0</v>
      </c>
      <c r="CB47" s="229">
        <f>IF(CB$6&lt;='General Inputs'!$C$37,AmenityPremiums,(1+CB$45)*CA47)</f>
        <v>0</v>
      </c>
      <c r="CC47" s="229">
        <f>IF(CC$6&lt;='General Inputs'!$C$37,AmenityPremiums,(1+CC$45)*CB47)</f>
        <v>0</v>
      </c>
      <c r="CD47" s="229">
        <f>IF(CD$6&lt;='General Inputs'!$C$37,AmenityPremiums,(1+CD$45)*CC47)</f>
        <v>0</v>
      </c>
      <c r="CE47" s="229">
        <f>IF(CE$6&lt;='General Inputs'!$C$37,AmenityPremiums,(1+CE$45)*CD47)</f>
        <v>0</v>
      </c>
      <c r="CF47" s="229">
        <f>IF(CF$6&lt;='General Inputs'!$C$37,AmenityPremiums,(1+CF$45)*CE47)</f>
        <v>0</v>
      </c>
      <c r="CG47" s="229">
        <f>IF(CG$6&lt;='General Inputs'!$C$37,AmenityPremiums,(1+CG$45)*CF47)</f>
        <v>0</v>
      </c>
      <c r="CH47" s="229">
        <f>IF(CH$6&lt;='General Inputs'!$C$37,AmenityPremiums,(1+CH$45)*CG47)</f>
        <v>0</v>
      </c>
      <c r="CI47" s="229">
        <f>IF(CI$6&lt;='General Inputs'!$C$37,AmenityPremiums,(1+CI$45)*CH47)</f>
        <v>0</v>
      </c>
      <c r="CJ47" s="229">
        <f>IF(CJ$6&lt;='General Inputs'!$C$37,AmenityPremiums,(1+CJ$45)*CI47)</f>
        <v>0</v>
      </c>
      <c r="CK47" s="229">
        <f>IF(CK$6&lt;='General Inputs'!$C$37,AmenityPremiums,(1+CK$45)*CJ47)</f>
        <v>0</v>
      </c>
      <c r="CL47" s="229">
        <f>IF(CL$6&lt;='General Inputs'!$C$37,AmenityPremiums,(1+CL$45)*CK47)</f>
        <v>0</v>
      </c>
      <c r="CM47" s="229">
        <f>IF(CM$6&lt;='General Inputs'!$C$37,AmenityPremiums,(1+CM$45)*CL47)</f>
        <v>0</v>
      </c>
      <c r="CN47" s="229">
        <f>IF(CN$6&lt;='General Inputs'!$C$37,AmenityPremiums,(1+CN$45)*CM47)</f>
        <v>0</v>
      </c>
      <c r="CO47" s="229">
        <f>IF(CO$6&lt;='General Inputs'!$C$37,AmenityPremiums,(1+CO$45)*CN47)</f>
        <v>0</v>
      </c>
      <c r="CP47" s="229">
        <f>IF(CP$6&lt;='General Inputs'!$C$37,AmenityPremiums,(1+CP$45)*CO47)</f>
        <v>0</v>
      </c>
      <c r="CQ47" s="229">
        <f>IF(CQ$6&lt;='General Inputs'!$C$37,AmenityPremiums,(1+CQ$45)*CP47)</f>
        <v>0</v>
      </c>
      <c r="CR47" s="229">
        <f>IF(CR$6&lt;='General Inputs'!$C$37,AmenityPremiums,(1+CR$45)*CQ47)</f>
        <v>0</v>
      </c>
      <c r="CS47" s="229">
        <f>IF(CS$6&lt;='General Inputs'!$C$37,AmenityPremiums,(1+CS$45)*CR47)</f>
        <v>0</v>
      </c>
      <c r="CT47" s="229">
        <f>IF(CT$6&lt;='General Inputs'!$C$37,AmenityPremiums,(1+CT$45)*CS47)</f>
        <v>0</v>
      </c>
      <c r="CU47" s="229">
        <f>IF(CU$6&lt;='General Inputs'!$C$37,AmenityPremiums,(1+CU$45)*CT47)</f>
        <v>0</v>
      </c>
      <c r="CV47" s="229">
        <f>IF(CV$6&lt;='General Inputs'!$C$37,AmenityPremiums,(1+CV$45)*CU47)</f>
        <v>0</v>
      </c>
      <c r="CW47" s="229">
        <f>IF(CW$6&lt;='General Inputs'!$C$37,AmenityPremiums,(1+CW$45)*CV47)</f>
        <v>0</v>
      </c>
      <c r="CX47" s="229">
        <f>IF(CX$6&lt;='General Inputs'!$C$37,AmenityPremiums,(1+CX$45)*CW47)</f>
        <v>0</v>
      </c>
      <c r="CY47" s="229">
        <f>IF(CY$6&lt;='General Inputs'!$C$37,AmenityPremiums,(1+CY$45)*CX47)</f>
        <v>0</v>
      </c>
      <c r="CZ47" s="229">
        <f>IF(CZ$6&lt;='General Inputs'!$C$37,AmenityPremiums,(1+CZ$45)*CY47)</f>
        <v>0</v>
      </c>
      <c r="DA47" s="229">
        <f>IF(DA$6&lt;='General Inputs'!$C$37,AmenityPremiums,(1+DA$45)*CZ47)</f>
        <v>0</v>
      </c>
      <c r="DB47" s="229">
        <f>IF(DB$6&lt;='General Inputs'!$C$37,AmenityPremiums,(1+DB$45)*DA47)</f>
        <v>0</v>
      </c>
      <c r="DC47" s="229">
        <f>IF(DC$6&lt;='General Inputs'!$C$37,AmenityPremiums,(1+DC$45)*DB47)</f>
        <v>0</v>
      </c>
      <c r="DD47" s="229">
        <f>IF(DD$6&lt;='General Inputs'!$C$37,AmenityPremiums,(1+DD$45)*DC47)</f>
        <v>0</v>
      </c>
      <c r="DE47" s="229">
        <f>IF(DE$6&lt;='General Inputs'!$C$37,AmenityPremiums,(1+DE$45)*DD47)</f>
        <v>0</v>
      </c>
      <c r="DF47" s="229">
        <f>IF(DF$6&lt;='General Inputs'!$C$37,AmenityPremiums,(1+DF$45)*DE47)</f>
        <v>0</v>
      </c>
      <c r="DG47" s="229">
        <f>IF(DG$6&lt;='General Inputs'!$C$37,AmenityPremiums,(1+DG$45)*DF47)</f>
        <v>0</v>
      </c>
      <c r="DH47" s="229">
        <f>IF(DH$6&lt;='General Inputs'!$C$37,AmenityPremiums,(1+DH$45)*DG47)</f>
        <v>0</v>
      </c>
      <c r="DI47" s="229">
        <f>IF(DI$6&lt;='General Inputs'!$C$37,AmenityPremiums,(1+DI$45)*DH47)</f>
        <v>0</v>
      </c>
      <c r="DJ47" s="229">
        <f>IF(DJ$6&lt;='General Inputs'!$C$37,AmenityPremiums,(1+DJ$45)*DI47)</f>
        <v>0</v>
      </c>
      <c r="DK47" s="229">
        <f>IF(DK$6&lt;='General Inputs'!$C$37,AmenityPremiums,(1+DK$45)*DJ47)</f>
        <v>0</v>
      </c>
      <c r="DL47" s="229">
        <f>IF(DL$6&lt;='General Inputs'!$C$37,AmenityPremiums,(1+DL$45)*DK47)</f>
        <v>0</v>
      </c>
      <c r="DM47" s="229">
        <f>IF(DM$6&lt;='General Inputs'!$C$37,AmenityPremiums,(1+DM$45)*DL47)</f>
        <v>0</v>
      </c>
      <c r="DN47" s="229">
        <f>IF(DN$6&lt;='General Inputs'!$C$37,AmenityPremiums,(1+DN$45)*DM47)</f>
        <v>0</v>
      </c>
      <c r="DO47" s="229">
        <f>IF(DO$6&lt;='General Inputs'!$C$37,AmenityPremiums,(1+DO$45)*DN47)</f>
        <v>0</v>
      </c>
      <c r="DP47" s="229">
        <f>IF(DP$6&lt;='General Inputs'!$C$37,AmenityPremiums,(1+DP$45)*DO47)</f>
        <v>0</v>
      </c>
      <c r="DQ47" s="229">
        <f>IF(DQ$6&lt;='General Inputs'!$C$37,AmenityPremiums,(1+DQ$45)*DP47)</f>
        <v>0</v>
      </c>
      <c r="DR47" s="229">
        <f>IF(DR$6&lt;='General Inputs'!$C$37,AmenityPremiums,(1+DR$45)*DQ47)</f>
        <v>0</v>
      </c>
      <c r="DS47" s="229">
        <f>IF(DS$6&lt;='General Inputs'!$C$37,AmenityPremiums,(1+DS$45)*DR47)</f>
        <v>0</v>
      </c>
      <c r="DT47" s="229">
        <f>IF(DT$6&lt;='General Inputs'!$C$37,AmenityPremiums,(1+DT$45)*DS47)</f>
        <v>0</v>
      </c>
      <c r="DU47" s="229">
        <f>IF(DU$6&lt;='General Inputs'!$C$37,AmenityPremiums,(1+DU$45)*DT47)</f>
        <v>0</v>
      </c>
      <c r="DV47" s="229">
        <f>IF(DV$6&lt;='General Inputs'!$C$37,AmenityPremiums,(1+DV$45)*DU47)</f>
        <v>0</v>
      </c>
      <c r="DW47" s="229">
        <f>IF(DW$6&lt;='General Inputs'!$C$37,AmenityPremiums,(1+DW$45)*DV47)</f>
        <v>0</v>
      </c>
      <c r="DX47" s="229">
        <f>IF(DX$6&lt;='General Inputs'!$C$37,AmenityPremiums,(1+DX$45)*DW47)</f>
        <v>0</v>
      </c>
      <c r="DY47" s="229">
        <f>IF(DY$6&lt;='General Inputs'!$C$37,AmenityPremiums,(1+DY$45)*DX47)</f>
        <v>0</v>
      </c>
      <c r="DZ47" s="229">
        <f>IF(DZ$6&lt;='General Inputs'!$C$37,AmenityPremiums,(1+DZ$45)*DY47)</f>
        <v>0</v>
      </c>
      <c r="EA47" s="229">
        <f>IF(EA$6&lt;='General Inputs'!$C$37,AmenityPremiums,(1+EA$45)*DZ47)</f>
        <v>0</v>
      </c>
      <c r="EB47" s="229">
        <f>IF(EB$6&lt;='General Inputs'!$C$37,AmenityPremiums,(1+EB$45)*EA47)</f>
        <v>0</v>
      </c>
      <c r="EC47" s="229">
        <f>IF(EC$6&lt;='General Inputs'!$C$37,AmenityPremiums,(1+EC$45)*EB47)</f>
        <v>0</v>
      </c>
      <c r="ED47" s="229">
        <f>IF(ED$6&lt;='General Inputs'!$C$37,AmenityPremiums,(1+ED$45)*EC47)</f>
        <v>0</v>
      </c>
      <c r="EE47" s="229">
        <f>IF(EE$6&lt;='General Inputs'!$C$37,AmenityPremiums,(1+EE$45)*ED47)</f>
        <v>0</v>
      </c>
      <c r="EF47" s="229">
        <f>IF(EF$6&lt;='General Inputs'!$C$37,AmenityPremiums,(1+EF$45)*EE47)</f>
        <v>0</v>
      </c>
      <c r="EG47" s="229">
        <f>IF(EG$6&lt;='General Inputs'!$C$37,AmenityPremiums,(1+EG$45)*EF47)</f>
        <v>0</v>
      </c>
      <c r="EH47" s="229">
        <f>IF(EH$6&lt;='General Inputs'!$C$37,AmenityPremiums,(1+EH$45)*EG47)</f>
        <v>0</v>
      </c>
      <c r="EK47" s="280"/>
    </row>
    <row r="48" spans="1:141" ht="15" hidden="1" customHeight="1" outlineLevel="1" x14ac:dyDescent="0.3">
      <c r="A48" s="1033" t="s">
        <v>2393</v>
      </c>
      <c r="B48" s="701"/>
      <c r="C48" s="701"/>
      <c r="D48" s="701"/>
      <c r="E48" s="1034">
        <f>SUM(E46:E47)</f>
        <v>2068.8063802083334</v>
      </c>
      <c r="F48" s="1034">
        <f>SUM(F46:F47)</f>
        <v>2115.7458739338786</v>
      </c>
      <c r="G48" s="702">
        <f>SUM(G46:G47)</f>
        <v>2118.7925479923438</v>
      </c>
      <c r="H48" s="702">
        <f t="shared" ref="H48:BS48" si="48">SUM(H46:H47)</f>
        <v>2121.8436092614529</v>
      </c>
      <c r="I48" s="702">
        <f t="shared" si="48"/>
        <v>2124.8990640587895</v>
      </c>
      <c r="J48" s="702">
        <f t="shared" si="48"/>
        <v>2128.3484835394447</v>
      </c>
      <c r="K48" s="702">
        <f t="shared" si="48"/>
        <v>2131.8035025777235</v>
      </c>
      <c r="L48" s="702">
        <f t="shared" si="48"/>
        <v>2135.2641302635748</v>
      </c>
      <c r="M48" s="702">
        <f t="shared" si="48"/>
        <v>2140.4634984207664</v>
      </c>
      <c r="N48" s="702">
        <f t="shared" si="48"/>
        <v>2145.675527039421</v>
      </c>
      <c r="O48" s="702">
        <f t="shared" si="48"/>
        <v>2150.9002469477618</v>
      </c>
      <c r="P48" s="702">
        <f t="shared" si="48"/>
        <v>2156.1376890490797</v>
      </c>
      <c r="Q48" s="702">
        <f t="shared" si="48"/>
        <v>2161.387884321914</v>
      </c>
      <c r="R48" s="702">
        <f t="shared" si="48"/>
        <v>2166.6508638202376</v>
      </c>
      <c r="S48" s="702">
        <f t="shared" si="48"/>
        <v>2170.1680603891723</v>
      </c>
      <c r="T48" s="702">
        <f t="shared" si="48"/>
        <v>2173.6909665405374</v>
      </c>
      <c r="U48" s="702">
        <f t="shared" si="48"/>
        <v>2177.2195915428883</v>
      </c>
      <c r="V48" s="702">
        <f t="shared" si="48"/>
        <v>2185.2898188288741</v>
      </c>
      <c r="W48" s="702">
        <f t="shared" si="48"/>
        <v>2193.3899597573331</v>
      </c>
      <c r="X48" s="702">
        <f t="shared" si="48"/>
        <v>2201.520125208167</v>
      </c>
      <c r="Y48" s="702">
        <f t="shared" si="48"/>
        <v>2213.7605771043245</v>
      </c>
      <c r="Z48" s="702">
        <f t="shared" si="48"/>
        <v>2226.0690859130245</v>
      </c>
      <c r="AA48" s="702">
        <f t="shared" si="48"/>
        <v>2238.446030030701</v>
      </c>
      <c r="AB48" s="702">
        <f t="shared" si="48"/>
        <v>2250.8917899576718</v>
      </c>
      <c r="AC48" s="702">
        <f t="shared" si="48"/>
        <v>2263.4067483098365</v>
      </c>
      <c r="AD48" s="702">
        <f t="shared" si="48"/>
        <v>2275.9912898304392</v>
      </c>
      <c r="AE48" s="702">
        <f t="shared" si="48"/>
        <v>2284.4276308780777</v>
      </c>
      <c r="AF48" s="702">
        <f t="shared" si="48"/>
        <v>2292.8952426298661</v>
      </c>
      <c r="AG48" s="702">
        <f t="shared" si="48"/>
        <v>2301.3942409958809</v>
      </c>
      <c r="AH48" s="702">
        <f t="shared" si="48"/>
        <v>2309.1269256456271</v>
      </c>
      <c r="AI48" s="702">
        <f t="shared" si="48"/>
        <v>2316.8855921157965</v>
      </c>
      <c r="AJ48" s="702">
        <f t="shared" si="48"/>
        <v>2324.6703277053057</v>
      </c>
      <c r="AK48" s="702">
        <f t="shared" si="48"/>
        <v>2336.3866661569405</v>
      </c>
      <c r="AL48" s="702">
        <f t="shared" si="48"/>
        <v>2348.1620549543713</v>
      </c>
      <c r="AM48" s="702">
        <f t="shared" si="48"/>
        <v>2359.9967917113413</v>
      </c>
      <c r="AN48" s="702">
        <f t="shared" si="48"/>
        <v>2371.8911755415661</v>
      </c>
      <c r="AO48" s="702">
        <f t="shared" si="48"/>
        <v>2383.8455070662953</v>
      </c>
      <c r="AP48" s="702">
        <f t="shared" si="48"/>
        <v>2395.8600884219095</v>
      </c>
      <c r="AQ48" s="702">
        <f t="shared" si="48"/>
        <v>2403.9101783190072</v>
      </c>
      <c r="AR48" s="702">
        <f t="shared" si="48"/>
        <v>2411.9873165181593</v>
      </c>
      <c r="AS48" s="702">
        <f t="shared" si="48"/>
        <v>2420.0915939016604</v>
      </c>
      <c r="AT48" s="702">
        <f t="shared" si="48"/>
        <v>2425.3431926604271</v>
      </c>
      <c r="AU48" s="702">
        <f t="shared" si="48"/>
        <v>2430.6061873885001</v>
      </c>
      <c r="AV48" s="702">
        <f t="shared" si="48"/>
        <v>2435.880602815133</v>
      </c>
      <c r="AW48" s="702">
        <f t="shared" si="48"/>
        <v>2443.8093941772963</v>
      </c>
      <c r="AX48" s="702">
        <f t="shared" si="48"/>
        <v>2451.7639937553436</v>
      </c>
      <c r="AY48" s="702">
        <f t="shared" si="48"/>
        <v>2459.744485555017</v>
      </c>
      <c r="AZ48" s="702">
        <f t="shared" si="48"/>
        <v>2467.7509538554987</v>
      </c>
      <c r="BA48" s="702">
        <f t="shared" si="48"/>
        <v>2475.7834832102985</v>
      </c>
      <c r="BB48" s="702">
        <f t="shared" si="48"/>
        <v>2483.842158448148</v>
      </c>
      <c r="BC48" s="702">
        <f t="shared" si="48"/>
        <v>2489.2320959319804</v>
      </c>
      <c r="BD48" s="702">
        <f t="shared" si="48"/>
        <v>2494.6337295801527</v>
      </c>
      <c r="BE48" s="702">
        <f t="shared" si="48"/>
        <v>2500.0470847733418</v>
      </c>
      <c r="BF48" s="702">
        <f t="shared" si="48"/>
        <v>2506.9597149627398</v>
      </c>
      <c r="BG48" s="702">
        <f t="shared" si="48"/>
        <v>2513.8914585746115</v>
      </c>
      <c r="BH48" s="702">
        <f t="shared" si="48"/>
        <v>2520.84236845757</v>
      </c>
      <c r="BI48" s="702">
        <f t="shared" si="48"/>
        <v>2531.2975621807477</v>
      </c>
      <c r="BJ48" s="702">
        <f t="shared" si="48"/>
        <v>2541.7961188198924</v>
      </c>
      <c r="BK48" s="702">
        <f t="shared" si="48"/>
        <v>2552.3382182226978</v>
      </c>
      <c r="BL48" s="702">
        <f t="shared" si="48"/>
        <v>2562.9240409827762</v>
      </c>
      <c r="BM48" s="702">
        <f t="shared" si="48"/>
        <v>2573.5537684427522</v>
      </c>
      <c r="BN48" s="702">
        <f t="shared" si="48"/>
        <v>2584.2275826973687</v>
      </c>
      <c r="BO48" s="702">
        <f t="shared" si="48"/>
        <v>2591.3729719635267</v>
      </c>
      <c r="BP48" s="702">
        <f t="shared" si="48"/>
        <v>2598.5381182310057</v>
      </c>
      <c r="BQ48" s="702">
        <f t="shared" si="48"/>
        <v>2605.7230761279143</v>
      </c>
      <c r="BR48" s="702">
        <f t="shared" si="48"/>
        <v>2612.9279004334076</v>
      </c>
      <c r="BS48" s="702">
        <f t="shared" si="48"/>
        <v>2620.1526460781056</v>
      </c>
      <c r="BT48" s="702">
        <f t="shared" ref="BT48:EE48" si="49">SUM(BT46:BT47)</f>
        <v>2627.3973681445113</v>
      </c>
      <c r="BU48" s="702">
        <f t="shared" si="49"/>
        <v>2638.2944987288906</v>
      </c>
      <c r="BV48" s="702">
        <f t="shared" si="49"/>
        <v>2649.2368251623684</v>
      </c>
      <c r="BW48" s="702">
        <f t="shared" si="49"/>
        <v>2660.2245348947295</v>
      </c>
      <c r="BX48" s="702">
        <f t="shared" si="49"/>
        <v>2671.2578161532051</v>
      </c>
      <c r="BY48" s="702">
        <f t="shared" si="49"/>
        <v>2682.3368579457006</v>
      </c>
      <c r="BZ48" s="702">
        <f t="shared" si="49"/>
        <v>2693.4618500640304</v>
      </c>
      <c r="CA48" s="702">
        <f t="shared" si="49"/>
        <v>2700.909272079457</v>
      </c>
      <c r="CB48" s="702">
        <f t="shared" si="49"/>
        <v>2708.3772862167566</v>
      </c>
      <c r="CC48" s="702">
        <f t="shared" si="49"/>
        <v>2715.8659494131457</v>
      </c>
      <c r="CD48" s="702">
        <f t="shared" si="49"/>
        <v>2723.3753187632728</v>
      </c>
      <c r="CE48" s="702">
        <f t="shared" si="49"/>
        <v>2730.9054515196531</v>
      </c>
      <c r="CF48" s="702">
        <f t="shared" si="49"/>
        <v>2738.4564050931049</v>
      </c>
      <c r="CG48" s="702">
        <f t="shared" si="49"/>
        <v>2749.8141530332286</v>
      </c>
      <c r="CH48" s="702">
        <f t="shared" si="49"/>
        <v>2761.219007232934</v>
      </c>
      <c r="CI48" s="702">
        <f t="shared" si="49"/>
        <v>2772.6711630654327</v>
      </c>
      <c r="CJ48" s="702">
        <f t="shared" si="49"/>
        <v>2784.1708167142465</v>
      </c>
      <c r="CK48" s="702">
        <f t="shared" si="49"/>
        <v>2795.7181651765686</v>
      </c>
      <c r="CL48" s="702">
        <f t="shared" si="49"/>
        <v>2807.3134062666381</v>
      </c>
      <c r="CM48" s="702">
        <f t="shared" si="49"/>
        <v>2815.075627834965</v>
      </c>
      <c r="CN48" s="702">
        <f t="shared" si="49"/>
        <v>2822.8593119459283</v>
      </c>
      <c r="CO48" s="702">
        <f t="shared" si="49"/>
        <v>2830.6645179434586</v>
      </c>
      <c r="CP48" s="702">
        <f t="shared" si="49"/>
        <v>2838.4913053355722</v>
      </c>
      <c r="CQ48" s="702">
        <f t="shared" si="49"/>
        <v>2846.339733794825</v>
      </c>
      <c r="CR48" s="702">
        <f t="shared" si="49"/>
        <v>2854.2098631587673</v>
      </c>
      <c r="CS48" s="702">
        <f t="shared" si="49"/>
        <v>2866.0476985662181</v>
      </c>
      <c r="CT48" s="702">
        <f t="shared" si="49"/>
        <v>2877.9346313960214</v>
      </c>
      <c r="CU48" s="702">
        <f t="shared" si="49"/>
        <v>2889.8708652797363</v>
      </c>
      <c r="CV48" s="702">
        <f t="shared" si="49"/>
        <v>2901.8566046934839</v>
      </c>
      <c r="CW48" s="702">
        <f t="shared" si="49"/>
        <v>2913.89205496145</v>
      </c>
      <c r="CX48" s="702">
        <f t="shared" si="49"/>
        <v>2925.9774222594024</v>
      </c>
      <c r="CY48" s="702">
        <f t="shared" si="49"/>
        <v>2934.0677498319492</v>
      </c>
      <c r="CZ48" s="702">
        <f t="shared" si="49"/>
        <v>2942.1804471602341</v>
      </c>
      <c r="DA48" s="702">
        <f t="shared" si="49"/>
        <v>2950.315576096632</v>
      </c>
      <c r="DB48" s="702">
        <f t="shared" si="49"/>
        <v>2958.4731986645388</v>
      </c>
      <c r="DC48" s="702">
        <f t="shared" si="49"/>
        <v>2966.6533770588458</v>
      </c>
      <c r="DD48" s="702">
        <f t="shared" si="49"/>
        <v>2974.856173646413</v>
      </c>
      <c r="DE48" s="702">
        <f t="shared" si="49"/>
        <v>2987.1943896266116</v>
      </c>
      <c r="DF48" s="702">
        <f t="shared" si="49"/>
        <v>2999.583778357588</v>
      </c>
      <c r="DG48" s="702">
        <f t="shared" si="49"/>
        <v>3012.024552078326</v>
      </c>
      <c r="DH48" s="702">
        <f t="shared" si="49"/>
        <v>3024.5169239080706</v>
      </c>
      <c r="DI48" s="702">
        <f t="shared" si="49"/>
        <v>3037.0611078499792</v>
      </c>
      <c r="DJ48" s="702">
        <f t="shared" si="49"/>
        <v>3049.657318794787</v>
      </c>
      <c r="DK48" s="702">
        <f t="shared" si="49"/>
        <v>3058.0896212812545</v>
      </c>
      <c r="DL48" s="702">
        <f t="shared" si="49"/>
        <v>3066.5452390840969</v>
      </c>
      <c r="DM48" s="702">
        <f t="shared" si="49"/>
        <v>3075.0242366701641</v>
      </c>
      <c r="DN48" s="702">
        <f t="shared" si="49"/>
        <v>3083.5266786845568</v>
      </c>
      <c r="DO48" s="702">
        <f t="shared" si="49"/>
        <v>3092.0526299511193</v>
      </c>
      <c r="DP48" s="702">
        <f t="shared" si="49"/>
        <v>3100.6021554729341</v>
      </c>
      <c r="DQ48" s="702">
        <f t="shared" si="49"/>
        <v>3113.461902912758</v>
      </c>
      <c r="DR48" s="702">
        <f t="shared" si="49"/>
        <v>3126.3749861550887</v>
      </c>
      <c r="DS48" s="702">
        <f t="shared" si="49"/>
        <v>3139.341626410167</v>
      </c>
      <c r="DT48" s="702">
        <f t="shared" si="49"/>
        <v>3152.362045805703</v>
      </c>
      <c r="DU48" s="702">
        <f t="shared" si="49"/>
        <v>3165.4364673906821</v>
      </c>
      <c r="DV48" s="702">
        <f t="shared" si="49"/>
        <v>3178.5651151391849</v>
      </c>
      <c r="DW48" s="702">
        <f t="shared" si="49"/>
        <v>3187.3538476825443</v>
      </c>
      <c r="DX48" s="702">
        <f t="shared" si="49"/>
        <v>3196.1668810713863</v>
      </c>
      <c r="DY48" s="702">
        <f t="shared" si="49"/>
        <v>3205.0042824975485</v>
      </c>
      <c r="DZ48" s="702">
        <f t="shared" si="49"/>
        <v>3213.8661193386538</v>
      </c>
      <c r="EA48" s="702">
        <f t="shared" si="49"/>
        <v>3222.7524591586248</v>
      </c>
      <c r="EB48" s="702">
        <f t="shared" si="49"/>
        <v>3231.6633697081979</v>
      </c>
      <c r="EC48" s="702">
        <f t="shared" si="49"/>
        <v>3245.0666935340628</v>
      </c>
      <c r="ED48" s="702">
        <f t="shared" si="49"/>
        <v>3258.5256076454953</v>
      </c>
      <c r="EE48" s="702">
        <f t="shared" si="49"/>
        <v>3272.0403426032049</v>
      </c>
      <c r="EF48" s="702">
        <f>SUM(EF46:EF47)</f>
        <v>3285.6111299241516</v>
      </c>
      <c r="EG48" s="702">
        <f>SUM(EG46:EG47)</f>
        <v>3299.2382020855121</v>
      </c>
      <c r="EH48" s="702">
        <f>SUM(EH46:EH47)</f>
        <v>3312.9217925286616</v>
      </c>
      <c r="EK48" s="280"/>
    </row>
    <row r="49" spans="1:141" s="198" customFormat="1" hidden="1" collapsed="1" x14ac:dyDescent="0.3">
      <c r="A49" s="684" t="s">
        <v>2394</v>
      </c>
      <c r="B49" s="684"/>
      <c r="C49" s="684"/>
      <c r="D49" s="684"/>
      <c r="E49" s="685"/>
      <c r="F49" s="685"/>
      <c r="G49" s="684">
        <f>IF(G6=F6,0,VLOOKUP(IF(G$5&gt;60,$BN$5,G$5),'Development Inputs'!$A$171:$E$230,5,FALSE))</f>
        <v>2.4662697723036864E-3</v>
      </c>
      <c r="H49" s="684">
        <f>IF(H6=G6,0,VLOOKUP(IF(H$5&gt;60,$BN$5,H$5),'Development Inputs'!$A$171:$E$230,5,FALSE))</f>
        <v>2.4662697723036864E-3</v>
      </c>
      <c r="I49" s="684">
        <f>IF(I6=H6,0,VLOOKUP(IF(I$5&gt;60,$BN$5,I$5),'Development Inputs'!$A$171:$E$230,5,FALSE))</f>
        <v>2.4662697723036864E-3</v>
      </c>
      <c r="J49" s="684">
        <f>IF(J6=I6,0,VLOOKUP(IF(J$5&gt;60,$BN$5,J$5),'Development Inputs'!$A$171:$E$230,5,FALSE))</f>
        <v>2.4662697723036864E-3</v>
      </c>
      <c r="K49" s="684">
        <f>IF(K6=J6,0,VLOOKUP(IF(K$5&gt;60,$BN$5,K$5),'Development Inputs'!$A$171:$E$230,5,FALSE))</f>
        <v>2.4662697723036864E-3</v>
      </c>
      <c r="L49" s="684">
        <f>IF(L6=K6,0,VLOOKUP(IF(L$5&gt;60,$BN$5,L$5),'Development Inputs'!$A$171:$E$230,5,FALSE))</f>
        <v>2.4662697723036864E-3</v>
      </c>
      <c r="M49" s="684">
        <f>IF(M6=L6,0,VLOOKUP(IF(M$5&gt;60,$BN$5,M$5),'Development Inputs'!$A$171:$E$230,5,FALSE))</f>
        <v>2.4662697723036864E-3</v>
      </c>
      <c r="N49" s="684">
        <f>IF(N6=M6,0,VLOOKUP(IF(N$5&gt;60,$BN$5,N$5),'Development Inputs'!$A$171:$E$230,5,FALSE))</f>
        <v>2.4662697723036864E-3</v>
      </c>
      <c r="O49" s="684">
        <f>IF(O6=N6,0,VLOOKUP(IF(O$5&gt;60,$BN$5,O$5),'Development Inputs'!$A$171:$E$230,5,FALSE))</f>
        <v>2.4662697723036864E-3</v>
      </c>
      <c r="P49" s="684">
        <f>IF(P6=O6,0,VLOOKUP(IF(P$5&gt;60,$BN$5,P$5),'Development Inputs'!$A$171:$E$230,5,FALSE))</f>
        <v>2.4662697723036864E-3</v>
      </c>
      <c r="Q49" s="684">
        <f>IF(Q6=P6,0,VLOOKUP(IF(Q$5&gt;60,$BN$5,Q$5),'Development Inputs'!$A$171:$E$230,5,FALSE))</f>
        <v>2.4662697723036864E-3</v>
      </c>
      <c r="R49" s="684">
        <f>IF(R6=Q6,0,VLOOKUP(IF(R$5&gt;60,$BN$5,R$5),'Development Inputs'!$A$171:$E$230,5,FALSE))</f>
        <v>2.4662697723036864E-3</v>
      </c>
      <c r="S49" s="684">
        <f>IF(S6=R6,0,VLOOKUP(IF(S$5&gt;60,$BN$5,S$5),'Development Inputs'!$A$171:$E$230,5,FALSE))</f>
        <v>2.4662697723036864E-3</v>
      </c>
      <c r="T49" s="684">
        <f>IF(T6=S6,0,VLOOKUP(IF(T$5&gt;60,$BN$5,T$5),'Development Inputs'!$A$171:$E$230,5,FALSE))</f>
        <v>2.4662697723036864E-3</v>
      </c>
      <c r="U49" s="684">
        <f>IF(U6=T6,0,VLOOKUP(IF(U$5&gt;60,$BN$5,U$5),'Development Inputs'!$A$171:$E$230,5,FALSE))</f>
        <v>2.4662697723036864E-3</v>
      </c>
      <c r="V49" s="684">
        <f>IF(V6=U6,0,VLOOKUP(IF(V$5&gt;60,$BN$5,V$5),'Development Inputs'!$A$171:$E$230,5,FALSE))</f>
        <v>2.4662697723036864E-3</v>
      </c>
      <c r="W49" s="684">
        <f>IF(W6=V6,0,VLOOKUP(IF(W$5&gt;60,$BN$5,W$5),'Development Inputs'!$A$171:$E$230,5,FALSE))</f>
        <v>2.4662697723036864E-3</v>
      </c>
      <c r="X49" s="684">
        <f>IF(X6=W6,0,VLOOKUP(IF(X$5&gt;60,$BN$5,X$5),'Development Inputs'!$A$171:$E$230,5,FALSE))</f>
        <v>2.4662697723036864E-3</v>
      </c>
      <c r="Y49" s="684">
        <f>IF(Y6=X6,0,VLOOKUP(IF(Y$5&gt;60,$BN$5,Y$5),'Development Inputs'!$A$171:$E$230,5,FALSE))</f>
        <v>2.4662697723036864E-3</v>
      </c>
      <c r="Z49" s="684">
        <f>IF(Z6=Y6,0,VLOOKUP(IF(Z$5&gt;60,$BN$5,Z$5),'Development Inputs'!$A$171:$E$230,5,FALSE))</f>
        <v>2.4662697723036864E-3</v>
      </c>
      <c r="AA49" s="684">
        <f>IF(AA6=Z6,0,VLOOKUP(IF(AA$5&gt;60,$BN$5,AA$5),'Development Inputs'!$A$171:$E$230,5,FALSE))</f>
        <v>2.4662697723036864E-3</v>
      </c>
      <c r="AB49" s="684">
        <f>IF(AB6=AA6,0,VLOOKUP(IF(AB$5&gt;60,$BN$5,AB$5),'Development Inputs'!$A$171:$E$230,5,FALSE))</f>
        <v>2.4662697723036864E-3</v>
      </c>
      <c r="AC49" s="684">
        <f>IF(AC6=AB6,0,VLOOKUP(IF(AC$5&gt;60,$BN$5,AC$5),'Development Inputs'!$A$171:$E$230,5,FALSE))</f>
        <v>2.4662697723036864E-3</v>
      </c>
      <c r="AD49" s="684">
        <f>IF(AD6=AC6,0,VLOOKUP(IF(AD$5&gt;60,$BN$5,AD$5),'Development Inputs'!$A$171:$E$230,5,FALSE))</f>
        <v>2.4662697723036864E-3</v>
      </c>
      <c r="AE49" s="684">
        <f>IF(AE6=AD6,0,VLOOKUP(IF(AE$5&gt;60,$BN$5,AE$5),'Development Inputs'!$A$171:$E$230,5,FALSE))</f>
        <v>2.4662697723036864E-3</v>
      </c>
      <c r="AF49" s="684">
        <f>IF(AF6=AE6,0,VLOOKUP(IF(AF$5&gt;60,$BN$5,AF$5),'Development Inputs'!$A$171:$E$230,5,FALSE))</f>
        <v>2.4662697723036864E-3</v>
      </c>
      <c r="AG49" s="684">
        <f>IF(AG6=AF6,0,VLOOKUP(IF(AG$5&gt;60,$BN$5,AG$5),'Development Inputs'!$A$171:$E$230,5,FALSE))</f>
        <v>2.4662697723036864E-3</v>
      </c>
      <c r="AH49" s="684">
        <f>IF(AH6=AG6,0,VLOOKUP(IF(AH$5&gt;60,$BN$5,AH$5),'Development Inputs'!$A$171:$E$230,5,FALSE))</f>
        <v>2.4662697723036864E-3</v>
      </c>
      <c r="AI49" s="684">
        <f>IF(AI6=AH6,0,VLOOKUP(IF(AI$5&gt;60,$BN$5,AI$5),'Development Inputs'!$A$171:$E$230,5,FALSE))</f>
        <v>2.4662697723036864E-3</v>
      </c>
      <c r="AJ49" s="684">
        <f>IF(AJ6=AI6,0,VLOOKUP(IF(AJ$5&gt;60,$BN$5,AJ$5),'Development Inputs'!$A$171:$E$230,5,FALSE))</f>
        <v>2.4662697723036864E-3</v>
      </c>
      <c r="AK49" s="684">
        <f>IF(AK6=AJ6,0,VLOOKUP(IF(AK$5&gt;60,$BN$5,AK$5),'Development Inputs'!$A$171:$E$230,5,FALSE))</f>
        <v>2.4662697723036864E-3</v>
      </c>
      <c r="AL49" s="684">
        <f>IF(AL6=AK6,0,VLOOKUP(IF(AL$5&gt;60,$BN$5,AL$5),'Development Inputs'!$A$171:$E$230,5,FALSE))</f>
        <v>2.4662697723036864E-3</v>
      </c>
      <c r="AM49" s="684">
        <f>IF(AM6=AL6,0,VLOOKUP(IF(AM$5&gt;60,$BN$5,AM$5),'Development Inputs'!$A$171:$E$230,5,FALSE))</f>
        <v>2.4662697723036864E-3</v>
      </c>
      <c r="AN49" s="684">
        <f>IF(AN6=AM6,0,VLOOKUP(IF(AN$5&gt;60,$BN$5,AN$5),'Development Inputs'!$A$171:$E$230,5,FALSE))</f>
        <v>2.4662697723036864E-3</v>
      </c>
      <c r="AO49" s="684">
        <f>IF(AO6=AN6,0,VLOOKUP(IF(AO$5&gt;60,$BN$5,AO$5),'Development Inputs'!$A$171:$E$230,5,FALSE))</f>
        <v>2.4662697723036864E-3</v>
      </c>
      <c r="AP49" s="684">
        <f>IF(AP6=AO6,0,VLOOKUP(IF(AP$5&gt;60,$BN$5,AP$5),'Development Inputs'!$A$171:$E$230,5,FALSE))</f>
        <v>2.4662697723036864E-3</v>
      </c>
      <c r="AQ49" s="684">
        <f>IF(AQ6=AP6,0,VLOOKUP(IF(AQ$5&gt;60,$BN$5,AQ$5),'Development Inputs'!$A$171:$E$230,5,FALSE))</f>
        <v>2.4662697723036864E-3</v>
      </c>
      <c r="AR49" s="684">
        <f>IF(AR6=AQ6,0,VLOOKUP(IF(AR$5&gt;60,$BN$5,AR$5),'Development Inputs'!$A$171:$E$230,5,FALSE))</f>
        <v>2.4662697723036864E-3</v>
      </c>
      <c r="AS49" s="684">
        <f>IF(AS6=AR6,0,VLOOKUP(IF(AS$5&gt;60,$BN$5,AS$5),'Development Inputs'!$A$171:$E$230,5,FALSE))</f>
        <v>2.4662697723036864E-3</v>
      </c>
      <c r="AT49" s="684">
        <f>IF(AT6=AS6,0,VLOOKUP(IF(AT$5&gt;60,$BN$5,AT$5),'Development Inputs'!$A$171:$E$230,5,FALSE))</f>
        <v>2.4662697723036864E-3</v>
      </c>
      <c r="AU49" s="684">
        <f>IF(AU6=AT6,0,VLOOKUP(IF(AU$5&gt;60,$BN$5,AU$5),'Development Inputs'!$A$171:$E$230,5,FALSE))</f>
        <v>2.4662697723036864E-3</v>
      </c>
      <c r="AV49" s="684">
        <f>IF(AV6=AU6,0,VLOOKUP(IF(AV$5&gt;60,$BN$5,AV$5),'Development Inputs'!$A$171:$E$230,5,FALSE))</f>
        <v>2.4662697723036864E-3</v>
      </c>
      <c r="AW49" s="684">
        <f>IF(AW6=AV6,0,VLOOKUP(IF(AW$5&gt;60,$BN$5,AW$5),'Development Inputs'!$A$171:$E$230,5,FALSE))</f>
        <v>2.4662697723036864E-3</v>
      </c>
      <c r="AX49" s="684">
        <f>IF(AX6=AW6,0,VLOOKUP(IF(AX$5&gt;60,$BN$5,AX$5),'Development Inputs'!$A$171:$E$230,5,FALSE))</f>
        <v>2.4662697723036864E-3</v>
      </c>
      <c r="AY49" s="684">
        <f>IF(AY6=AX6,0,VLOOKUP(IF(AY$5&gt;60,$BN$5,AY$5),'Development Inputs'!$A$171:$E$230,5,FALSE))</f>
        <v>2.4662697723036864E-3</v>
      </c>
      <c r="AZ49" s="684">
        <f>IF(AZ6=AY6,0,VLOOKUP(IF(AZ$5&gt;60,$BN$5,AZ$5),'Development Inputs'!$A$171:$E$230,5,FALSE))</f>
        <v>2.4662697723036864E-3</v>
      </c>
      <c r="BA49" s="684">
        <f>IF(BA6=AZ6,0,VLOOKUP(IF(BA$5&gt;60,$BN$5,BA$5),'Development Inputs'!$A$171:$E$230,5,FALSE))</f>
        <v>2.4662697723036864E-3</v>
      </c>
      <c r="BB49" s="684">
        <f>IF(BB6=BA6,0,VLOOKUP(IF(BB$5&gt;60,$BN$5,BB$5),'Development Inputs'!$A$171:$E$230,5,FALSE))</f>
        <v>2.4662697723036864E-3</v>
      </c>
      <c r="BC49" s="684">
        <f>IF(BC6=BB6,0,VLOOKUP(IF(BC$5&gt;60,$BN$5,BC$5),'Development Inputs'!$A$171:$E$230,5,FALSE))</f>
        <v>2.4662697723036864E-3</v>
      </c>
      <c r="BD49" s="684">
        <f>IF(BD6=BC6,0,VLOOKUP(IF(BD$5&gt;60,$BN$5,BD$5),'Development Inputs'!$A$171:$E$230,5,FALSE))</f>
        <v>2.4662697723036864E-3</v>
      </c>
      <c r="BE49" s="684">
        <f>IF(BE6=BD6,0,VLOOKUP(IF(BE$5&gt;60,$BN$5,BE$5),'Development Inputs'!$A$171:$E$230,5,FALSE))</f>
        <v>2.4662697723036864E-3</v>
      </c>
      <c r="BF49" s="684">
        <f>IF(BF6=BE6,0,VLOOKUP(IF(BF$5&gt;60,$BN$5,BF$5),'Development Inputs'!$A$171:$E$230,5,FALSE))</f>
        <v>2.4662697723036864E-3</v>
      </c>
      <c r="BG49" s="684">
        <f>IF(BG6=BF6,0,VLOOKUP(IF(BG$5&gt;60,$BN$5,BG$5),'Development Inputs'!$A$171:$E$230,5,FALSE))</f>
        <v>2.4662697723036864E-3</v>
      </c>
      <c r="BH49" s="684">
        <f>IF(BH6=BG6,0,VLOOKUP(IF(BH$5&gt;60,$BN$5,BH$5),'Development Inputs'!$A$171:$E$230,5,FALSE))</f>
        <v>2.4662697723036864E-3</v>
      </c>
      <c r="BI49" s="684">
        <f>IF(BI6=BH6,0,VLOOKUP(IF(BI$5&gt;60,$BN$5,BI$5),'Development Inputs'!$A$171:$E$230,5,FALSE))</f>
        <v>2.4662697723036864E-3</v>
      </c>
      <c r="BJ49" s="684">
        <f>IF(BJ6=BI6,0,VLOOKUP(IF(BJ$5&gt;60,$BN$5,BJ$5),'Development Inputs'!$A$171:$E$230,5,FALSE))</f>
        <v>2.4662697723036864E-3</v>
      </c>
      <c r="BK49" s="684">
        <f>IF(BK6=BJ6,0,VLOOKUP(IF(BK$5&gt;60,$BN$5,BK$5),'Development Inputs'!$A$171:$E$230,5,FALSE))</f>
        <v>2.4662697723036864E-3</v>
      </c>
      <c r="BL49" s="684">
        <f>IF(BL6=BK6,0,VLOOKUP(IF(BL$5&gt;60,$BN$5,BL$5),'Development Inputs'!$A$171:$E$230,5,FALSE))</f>
        <v>2.4662697723036864E-3</v>
      </c>
      <c r="BM49" s="684">
        <f>IF(BM6=BL6,0,VLOOKUP(IF(BM$5&gt;60,$BN$5,BM$5),'Development Inputs'!$A$171:$E$230,5,FALSE))</f>
        <v>2.4662697723036864E-3</v>
      </c>
      <c r="BN49" s="684">
        <f>IF(BN6=BM6,0,VLOOKUP(IF(BN$5&gt;60,$BN$5,BN$5),'Development Inputs'!$A$171:$E$230,5,FALSE))</f>
        <v>2.4662697723036864E-3</v>
      </c>
      <c r="BO49" s="684">
        <f>IF(BO6=BN6,0,VLOOKUP(IF(BO$5&gt;60,$BN$5,BO$5),'Development Inputs'!$A$171:$E$230,5,FALSE))</f>
        <v>2.4662697723036864E-3</v>
      </c>
      <c r="BP49" s="684">
        <f>IF(BP6=BO6,0,VLOOKUP(IF(BP$5&gt;60,$BN$5,BP$5),'Development Inputs'!$A$171:$E$230,5,FALSE))</f>
        <v>2.4662697723036864E-3</v>
      </c>
      <c r="BQ49" s="684">
        <f>IF(BQ6=BP6,0,VLOOKUP(IF(BQ$5&gt;60,$BN$5,BQ$5),'Development Inputs'!$A$171:$E$230,5,FALSE))</f>
        <v>2.4662697723036864E-3</v>
      </c>
      <c r="BR49" s="684">
        <f>IF(BR6=BQ6,0,VLOOKUP(IF(BR$5&gt;60,$BN$5,BR$5),'Development Inputs'!$A$171:$E$230,5,FALSE))</f>
        <v>2.4662697723036864E-3</v>
      </c>
      <c r="BS49" s="684">
        <f>IF(BS6=BR6,0,VLOOKUP(IF(BS$5&gt;60,$BN$5,BS$5),'Development Inputs'!$A$171:$E$230,5,FALSE))</f>
        <v>2.4662697723036864E-3</v>
      </c>
      <c r="BT49" s="684">
        <f>IF(BT6=BS6,0,VLOOKUP(IF(BT$5&gt;60,$BN$5,BT$5),'Development Inputs'!$A$171:$E$230,5,FALSE))</f>
        <v>2.4662697723036864E-3</v>
      </c>
      <c r="BU49" s="684">
        <f>IF(BU6=BT6,0,VLOOKUP(IF(BU$5&gt;60,$BN$5,BU$5),'Development Inputs'!$A$171:$E$230,5,FALSE))</f>
        <v>2.4662697723036864E-3</v>
      </c>
      <c r="BV49" s="684">
        <f>IF(BV6=BU6,0,VLOOKUP(IF(BV$5&gt;60,$BN$5,BV$5),'Development Inputs'!$A$171:$E$230,5,FALSE))</f>
        <v>2.4662697723036864E-3</v>
      </c>
      <c r="BW49" s="684">
        <f>IF(BW6=BV6,0,VLOOKUP(IF(BW$5&gt;60,$BN$5,BW$5),'Development Inputs'!$A$171:$E$230,5,FALSE))</f>
        <v>2.4662697723036864E-3</v>
      </c>
      <c r="BX49" s="684">
        <f>IF(BX6=BW6,0,VLOOKUP(IF(BX$5&gt;60,$BN$5,BX$5),'Development Inputs'!$A$171:$E$230,5,FALSE))</f>
        <v>2.4662697723036864E-3</v>
      </c>
      <c r="BY49" s="684">
        <f>IF(BY6=BX6,0,VLOOKUP(IF(BY$5&gt;60,$BN$5,BY$5),'Development Inputs'!$A$171:$E$230,5,FALSE))</f>
        <v>2.4662697723036864E-3</v>
      </c>
      <c r="BZ49" s="684">
        <f>IF(BZ6=BY6,0,VLOOKUP(IF(BZ$5&gt;60,$BN$5,BZ$5),'Development Inputs'!$A$171:$E$230,5,FALSE))</f>
        <v>2.4662697723036864E-3</v>
      </c>
      <c r="CA49" s="684">
        <f>IF(CA6=BZ6,0,VLOOKUP(IF(CA$5&gt;60,$BN$5,CA$5),'Development Inputs'!$A$171:$E$230,5,FALSE))</f>
        <v>2.4662697723036864E-3</v>
      </c>
      <c r="CB49" s="684">
        <f>IF(CB6=CA6,0,VLOOKUP(IF(CB$5&gt;60,$BN$5,CB$5),'Development Inputs'!$A$171:$E$230,5,FALSE))</f>
        <v>2.4662697723036864E-3</v>
      </c>
      <c r="CC49" s="684">
        <f>IF(CC6=CB6,0,VLOOKUP(IF(CC$5&gt;60,$BN$5,CC$5),'Development Inputs'!$A$171:$E$230,5,FALSE))</f>
        <v>2.4662697723036864E-3</v>
      </c>
      <c r="CD49" s="684">
        <f>IF(CD6=CC6,0,VLOOKUP(IF(CD$5&gt;60,$BN$5,CD$5),'Development Inputs'!$A$171:$E$230,5,FALSE))</f>
        <v>2.4662697723036864E-3</v>
      </c>
      <c r="CE49" s="684">
        <f>IF(CE6=CD6,0,VLOOKUP(IF(CE$5&gt;60,$BN$5,CE$5),'Development Inputs'!$A$171:$E$230,5,FALSE))</f>
        <v>2.4662697723036864E-3</v>
      </c>
      <c r="CF49" s="684">
        <f>IF(CF6=CE6,0,VLOOKUP(IF(CF$5&gt;60,$BN$5,CF$5),'Development Inputs'!$A$171:$E$230,5,FALSE))</f>
        <v>2.4662697723036864E-3</v>
      </c>
      <c r="CG49" s="684">
        <f>IF(CG6=CF6,0,VLOOKUP(IF(CG$5&gt;60,$BN$5,CG$5),'Development Inputs'!$A$171:$E$230,5,FALSE))</f>
        <v>2.4662697723036864E-3</v>
      </c>
      <c r="CH49" s="684">
        <f>IF(CH6=CG6,0,VLOOKUP(IF(CH$5&gt;60,$BN$5,CH$5),'Development Inputs'!$A$171:$E$230,5,FALSE))</f>
        <v>2.4662697723036864E-3</v>
      </c>
      <c r="CI49" s="684">
        <f>IF(CI6=CH6,0,VLOOKUP(IF(CI$5&gt;60,$BN$5,CI$5),'Development Inputs'!$A$171:$E$230,5,FALSE))</f>
        <v>2.4662697723036864E-3</v>
      </c>
      <c r="CJ49" s="684">
        <f>IF(CJ6=CI6,0,VLOOKUP(IF(CJ$5&gt;60,$BN$5,CJ$5),'Development Inputs'!$A$171:$E$230,5,FALSE))</f>
        <v>2.4662697723036864E-3</v>
      </c>
      <c r="CK49" s="684">
        <f>IF(CK6=CJ6,0,VLOOKUP(IF(CK$5&gt;60,$BN$5,CK$5),'Development Inputs'!$A$171:$E$230,5,FALSE))</f>
        <v>2.4662697723036864E-3</v>
      </c>
      <c r="CL49" s="684">
        <f>IF(CL6=CK6,0,VLOOKUP(IF(CL$5&gt;60,$BN$5,CL$5),'Development Inputs'!$A$171:$E$230,5,FALSE))</f>
        <v>2.4662697723036864E-3</v>
      </c>
      <c r="CM49" s="684">
        <f>IF(CM6=CL6,0,VLOOKUP(IF(CM$5&gt;60,$BN$5,CM$5),'Development Inputs'!$A$171:$E$230,5,FALSE))</f>
        <v>2.4662697723036864E-3</v>
      </c>
      <c r="CN49" s="684">
        <f>IF(CN6=CM6,0,VLOOKUP(IF(CN$5&gt;60,$BN$5,CN$5),'Development Inputs'!$A$171:$E$230,5,FALSE))</f>
        <v>2.4662697723036864E-3</v>
      </c>
      <c r="CO49" s="684">
        <f>IF(CO6=CN6,0,VLOOKUP(IF(CO$5&gt;60,$BN$5,CO$5),'Development Inputs'!$A$171:$E$230,5,FALSE))</f>
        <v>2.4662697723036864E-3</v>
      </c>
      <c r="CP49" s="684">
        <f>IF(CP6=CO6,0,VLOOKUP(IF(CP$5&gt;60,$BN$5,CP$5),'Development Inputs'!$A$171:$E$230,5,FALSE))</f>
        <v>2.4662697723036864E-3</v>
      </c>
      <c r="CQ49" s="684">
        <f>IF(CQ6=CP6,0,VLOOKUP(IF(CQ$5&gt;60,$BN$5,CQ$5),'Development Inputs'!$A$171:$E$230,5,FALSE))</f>
        <v>2.4662697723036864E-3</v>
      </c>
      <c r="CR49" s="684">
        <f>IF(CR6=CQ6,0,VLOOKUP(IF(CR$5&gt;60,$BN$5,CR$5),'Development Inputs'!$A$171:$E$230,5,FALSE))</f>
        <v>2.4662697723036864E-3</v>
      </c>
      <c r="CS49" s="684">
        <f>IF(CS6=CR6,0,VLOOKUP(IF(CS$5&gt;60,$BN$5,CS$5),'Development Inputs'!$A$171:$E$230,5,FALSE))</f>
        <v>2.4662697723036864E-3</v>
      </c>
      <c r="CT49" s="684">
        <f>IF(CT6=CS6,0,VLOOKUP(IF(CT$5&gt;60,$BN$5,CT$5),'Development Inputs'!$A$171:$E$230,5,FALSE))</f>
        <v>2.4662697723036864E-3</v>
      </c>
      <c r="CU49" s="684">
        <f>IF(CU6=CT6,0,VLOOKUP(IF(CU$5&gt;60,$BN$5,CU$5),'Development Inputs'!$A$171:$E$230,5,FALSE))</f>
        <v>2.4662697723036864E-3</v>
      </c>
      <c r="CV49" s="684">
        <f>IF(CV6=CU6,0,VLOOKUP(IF(CV$5&gt;60,$BN$5,CV$5),'Development Inputs'!$A$171:$E$230,5,FALSE))</f>
        <v>2.4662697723036864E-3</v>
      </c>
      <c r="CW49" s="684">
        <f>IF(CW6=CV6,0,VLOOKUP(IF(CW$5&gt;60,$BN$5,CW$5),'Development Inputs'!$A$171:$E$230,5,FALSE))</f>
        <v>2.4662697723036864E-3</v>
      </c>
      <c r="CX49" s="684">
        <f>IF(CX6=CW6,0,VLOOKUP(IF(CX$5&gt;60,$BN$5,CX$5),'Development Inputs'!$A$171:$E$230,5,FALSE))</f>
        <v>2.4662697723036864E-3</v>
      </c>
      <c r="CY49" s="684">
        <f>IF(CY6=CX6,0,VLOOKUP(IF(CY$5&gt;60,$BN$5,CY$5),'Development Inputs'!$A$171:$E$230,5,FALSE))</f>
        <v>2.4662697723036864E-3</v>
      </c>
      <c r="CZ49" s="684">
        <f>IF(CZ6=CY6,0,VLOOKUP(IF(CZ$5&gt;60,$BN$5,CZ$5),'Development Inputs'!$A$171:$E$230,5,FALSE))</f>
        <v>2.4662697723036864E-3</v>
      </c>
      <c r="DA49" s="684">
        <f>IF(DA6=CZ6,0,VLOOKUP(IF(DA$5&gt;60,$BN$5,DA$5),'Development Inputs'!$A$171:$E$230,5,FALSE))</f>
        <v>2.4662697723036864E-3</v>
      </c>
      <c r="DB49" s="684">
        <f>IF(DB6=DA6,0,VLOOKUP(IF(DB$5&gt;60,$BN$5,DB$5),'Development Inputs'!$A$171:$E$230,5,FALSE))</f>
        <v>2.4662697723036864E-3</v>
      </c>
      <c r="DC49" s="684">
        <f>IF(DC6=DB6,0,VLOOKUP(IF(DC$5&gt;60,$BN$5,DC$5),'Development Inputs'!$A$171:$E$230,5,FALSE))</f>
        <v>2.4662697723036864E-3</v>
      </c>
      <c r="DD49" s="684">
        <f>IF(DD6=DC6,0,VLOOKUP(IF(DD$5&gt;60,$BN$5,DD$5),'Development Inputs'!$A$171:$E$230,5,FALSE))</f>
        <v>2.4662697723036864E-3</v>
      </c>
      <c r="DE49" s="684">
        <f>IF(DE6=DD6,0,VLOOKUP(IF(DE$5&gt;60,$BN$5,DE$5),'Development Inputs'!$A$171:$E$230,5,FALSE))</f>
        <v>2.4662697723036864E-3</v>
      </c>
      <c r="DF49" s="684">
        <f>IF(DF6=DE6,0,VLOOKUP(IF(DF$5&gt;60,$BN$5,DF$5),'Development Inputs'!$A$171:$E$230,5,FALSE))</f>
        <v>2.4662697723036864E-3</v>
      </c>
      <c r="DG49" s="684">
        <f>IF(DG6=DF6,0,VLOOKUP(IF(DG$5&gt;60,$BN$5,DG$5),'Development Inputs'!$A$171:$E$230,5,FALSE))</f>
        <v>2.4662697723036864E-3</v>
      </c>
      <c r="DH49" s="684">
        <f>IF(DH6=DG6,0,VLOOKUP(IF(DH$5&gt;60,$BN$5,DH$5),'Development Inputs'!$A$171:$E$230,5,FALSE))</f>
        <v>2.4662697723036864E-3</v>
      </c>
      <c r="DI49" s="684">
        <f>IF(DI6=DH6,0,VLOOKUP(IF(DI$5&gt;60,$BN$5,DI$5),'Development Inputs'!$A$171:$E$230,5,FALSE))</f>
        <v>2.4662697723036864E-3</v>
      </c>
      <c r="DJ49" s="684">
        <f>IF(DJ6=DI6,0,VLOOKUP(IF(DJ$5&gt;60,$BN$5,DJ$5),'Development Inputs'!$A$171:$E$230,5,FALSE))</f>
        <v>2.4662697723036864E-3</v>
      </c>
      <c r="DK49" s="684">
        <f>IF(DK6=DJ6,0,VLOOKUP(IF(DK$5&gt;60,$BN$5,DK$5),'Development Inputs'!$A$171:$E$230,5,FALSE))</f>
        <v>2.4662697723036864E-3</v>
      </c>
      <c r="DL49" s="684">
        <f>IF(DL6=DK6,0,VLOOKUP(IF(DL$5&gt;60,$BN$5,DL$5),'Development Inputs'!$A$171:$E$230,5,FALSE))</f>
        <v>2.4662697723036864E-3</v>
      </c>
      <c r="DM49" s="684">
        <f>IF(DM6=DL6,0,VLOOKUP(IF(DM$5&gt;60,$BN$5,DM$5),'Development Inputs'!$A$171:$E$230,5,FALSE))</f>
        <v>2.4662697723036864E-3</v>
      </c>
      <c r="DN49" s="684">
        <f>IF(DN6=DM6,0,VLOOKUP(IF(DN$5&gt;60,$BN$5,DN$5),'Development Inputs'!$A$171:$E$230,5,FALSE))</f>
        <v>2.4662697723036864E-3</v>
      </c>
      <c r="DO49" s="684">
        <f>IF(DO6=DN6,0,VLOOKUP(IF(DO$5&gt;60,$BN$5,DO$5),'Development Inputs'!$A$171:$E$230,5,FALSE))</f>
        <v>2.4662697723036864E-3</v>
      </c>
      <c r="DP49" s="684">
        <f>IF(DP6=DO6,0,VLOOKUP(IF(DP$5&gt;60,$BN$5,DP$5),'Development Inputs'!$A$171:$E$230,5,FALSE))</f>
        <v>2.4662697723036864E-3</v>
      </c>
      <c r="DQ49" s="684">
        <f>IF(DQ6=DP6,0,VLOOKUP(IF(DQ$5&gt;60,$BN$5,DQ$5),'Development Inputs'!$A$171:$E$230,5,FALSE))</f>
        <v>2.4662697723036864E-3</v>
      </c>
      <c r="DR49" s="684">
        <f>IF(DR6=DQ6,0,VLOOKUP(IF(DR$5&gt;60,$BN$5,DR$5),'Development Inputs'!$A$171:$E$230,5,FALSE))</f>
        <v>2.4662697723036864E-3</v>
      </c>
      <c r="DS49" s="684">
        <f>IF(DS6=DR6,0,VLOOKUP(IF(DS$5&gt;60,$BN$5,DS$5),'Development Inputs'!$A$171:$E$230,5,FALSE))</f>
        <v>2.4662697723036864E-3</v>
      </c>
      <c r="DT49" s="684">
        <f>IF(DT6=DS6,0,VLOOKUP(IF(DT$5&gt;60,$BN$5,DT$5),'Development Inputs'!$A$171:$E$230,5,FALSE))</f>
        <v>2.4662697723036864E-3</v>
      </c>
      <c r="DU49" s="684">
        <f>IF(DU6=DT6,0,VLOOKUP(IF(DU$5&gt;60,$BN$5,DU$5),'Development Inputs'!$A$171:$E$230,5,FALSE))</f>
        <v>2.4662697723036864E-3</v>
      </c>
      <c r="DV49" s="684">
        <f>IF(DV6=DU6,0,VLOOKUP(IF(DV$5&gt;60,$BN$5,DV$5),'Development Inputs'!$A$171:$E$230,5,FALSE))</f>
        <v>2.4662697723036864E-3</v>
      </c>
      <c r="DW49" s="684">
        <f>IF(DW6=DV6,0,VLOOKUP(IF(DW$5&gt;60,$BN$5,DW$5),'Development Inputs'!$A$171:$E$230,5,FALSE))</f>
        <v>2.4662697723036864E-3</v>
      </c>
      <c r="DX49" s="684">
        <f>IF(DX6=DW6,0,VLOOKUP(IF(DX$5&gt;60,$BN$5,DX$5),'Development Inputs'!$A$171:$E$230,5,FALSE))</f>
        <v>2.4662697723036864E-3</v>
      </c>
      <c r="DY49" s="684">
        <f>IF(DY6=DX6,0,VLOOKUP(IF(DY$5&gt;60,$BN$5,DY$5),'Development Inputs'!$A$171:$E$230,5,FALSE))</f>
        <v>2.4662697723036864E-3</v>
      </c>
      <c r="DZ49" s="684">
        <f>IF(DZ6=DY6,0,VLOOKUP(IF(DZ$5&gt;60,$BN$5,DZ$5),'Development Inputs'!$A$171:$E$230,5,FALSE))</f>
        <v>2.4662697723036864E-3</v>
      </c>
      <c r="EA49" s="684">
        <f>IF(EA6=DZ6,0,VLOOKUP(IF(EA$5&gt;60,$BN$5,EA$5),'Development Inputs'!$A$171:$E$230,5,FALSE))</f>
        <v>2.4662697723036864E-3</v>
      </c>
      <c r="EB49" s="684">
        <f>IF(EB6=EA6,0,VLOOKUP(IF(EB$5&gt;60,$BN$5,EB$5),'Development Inputs'!$A$171:$E$230,5,FALSE))</f>
        <v>2.4662697723036864E-3</v>
      </c>
      <c r="EC49" s="684">
        <f>IF(EC6=EB6,0,VLOOKUP(IF(EC$5&gt;60,$BN$5,EC$5),'Development Inputs'!$A$171:$E$230,5,FALSE))</f>
        <v>2.4662697723036864E-3</v>
      </c>
      <c r="ED49" s="684">
        <f>IF(ED6=EC6,0,VLOOKUP(IF(ED$5&gt;60,$BN$5,ED$5),'Development Inputs'!$A$171:$E$230,5,FALSE))</f>
        <v>2.4662697723036864E-3</v>
      </c>
      <c r="EE49" s="684">
        <f>IF(EE6=ED6,0,VLOOKUP(IF(EE$5&gt;60,$BN$5,EE$5),'Development Inputs'!$A$171:$E$230,5,FALSE))</f>
        <v>2.4662697723036864E-3</v>
      </c>
      <c r="EF49" s="684">
        <f>IF(EF6=EE6,0,VLOOKUP(IF(EF$5&gt;60,$BN$5,EF$5),'Development Inputs'!$A$171:$E$230,5,FALSE))</f>
        <v>2.4662697723036864E-3</v>
      </c>
      <c r="EG49" s="684">
        <f>IF(EG6=EF6,0,VLOOKUP(IF(EG$5&gt;60,$BN$5,EG$5),'Development Inputs'!$A$171:$E$230,5,FALSE))</f>
        <v>2.4662697723036864E-3</v>
      </c>
      <c r="EH49" s="684">
        <f>IF(EH6=EG6,0,VLOOKUP(IF(EH$5&gt;60,$BN$5,EH$5),'Development Inputs'!$A$171:$E$230,5,FALSE))</f>
        <v>2.4662697723036864E-3</v>
      </c>
      <c r="EI49" s="684"/>
      <c r="EK49" s="672"/>
    </row>
    <row r="50" spans="1:141" ht="15" hidden="1" customHeight="1" outlineLevel="1" x14ac:dyDescent="0.3">
      <c r="A50" t="s">
        <v>2395</v>
      </c>
      <c r="E50" s="647">
        <f>ParkingandStorage</f>
        <v>301.00875000000002</v>
      </c>
      <c r="F50" s="647">
        <f>(1+PrestartOIGrwth)*E50</f>
        <v>312.33859410961031</v>
      </c>
      <c r="G50" s="229">
        <f>IF(G$6&lt;='General Inputs'!$C$37,ParkingandStorage,(1+G$49)*F50)</f>
        <v>313.1089053429867</v>
      </c>
      <c r="H50" s="229">
        <f>IF(H$6&lt;='General Inputs'!$C$37,ParkingandStorage,(1+H$49)*G50)</f>
        <v>313.88111637167322</v>
      </c>
      <c r="I50" s="229">
        <f>IF(I$6&lt;='General Inputs'!$C$37,ParkingandStorage,(1+I$49)*H50)</f>
        <v>314.65523188107761</v>
      </c>
      <c r="J50" s="229">
        <f>IF(J$6&lt;='General Inputs'!$C$37,ParkingandStorage,(1+J$49)*I50)</f>
        <v>315.43125656816312</v>
      </c>
      <c r="K50" s="229">
        <f>IF(K$6&lt;='General Inputs'!$C$37,ParkingandStorage,(1+K$49)*J50)</f>
        <v>316.20919514147693</v>
      </c>
      <c r="L50" s="229">
        <f>IF(L$6&lt;='General Inputs'!$C$37,ParkingandStorage,(1+L$49)*K50)</f>
        <v>316.9890523211788</v>
      </c>
      <c r="M50" s="229">
        <f>IF(M$6&lt;='General Inputs'!$C$37,ParkingandStorage,(1+M$49)*L50)</f>
        <v>317.77083283906973</v>
      </c>
      <c r="N50" s="229">
        <f>IF(N$6&lt;='General Inputs'!$C$37,ParkingandStorage,(1+N$49)*M50)</f>
        <v>318.5545414386205</v>
      </c>
      <c r="O50" s="229">
        <f>IF(O$6&lt;='General Inputs'!$C$37,ParkingandStorage,(1+O$49)*N50)</f>
        <v>319.34018287500061</v>
      </c>
      <c r="P50" s="229">
        <f>IF(P$6&lt;='General Inputs'!$C$37,ParkingandStorage,(1+P$49)*O50)</f>
        <v>320.12776191510716</v>
      </c>
      <c r="Q50" s="229">
        <f>IF(Q$6&lt;='General Inputs'!$C$37,ParkingandStorage,(1+Q$49)*P50)</f>
        <v>320.91728333759363</v>
      </c>
      <c r="R50" s="229">
        <f>IF(R$6&lt;='General Inputs'!$C$37,ParkingandStorage,(1+R$49)*Q50)</f>
        <v>321.70875193289896</v>
      </c>
      <c r="S50" s="229">
        <f>IF(S$6&lt;='General Inputs'!$C$37,ParkingandStorage,(1+S$49)*R50)</f>
        <v>322.5021725032766</v>
      </c>
      <c r="T50" s="229">
        <f>IF(T$6&lt;='General Inputs'!$C$37,ParkingandStorage,(1+T$49)*S50)</f>
        <v>323.2975498628237</v>
      </c>
      <c r="U50" s="229">
        <f>IF(U$6&lt;='General Inputs'!$C$37,ParkingandStorage,(1+U$49)*T50)</f>
        <v>324.09488883751021</v>
      </c>
      <c r="V50" s="229">
        <f>IF(V$6&lt;='General Inputs'!$C$37,ParkingandStorage,(1+V$49)*U50)</f>
        <v>324.89419426520828</v>
      </c>
      <c r="W50" s="229">
        <f>IF(W$6&lt;='General Inputs'!$C$37,ParkingandStorage,(1+W$49)*V50)</f>
        <v>325.69547099572151</v>
      </c>
      <c r="X50" s="229">
        <f>IF(X$6&lt;='General Inputs'!$C$37,ParkingandStorage,(1+X$49)*W50)</f>
        <v>326.49872389081446</v>
      </c>
      <c r="Y50" s="229">
        <f>IF(Y$6&lt;='General Inputs'!$C$37,ParkingandStorage,(1+Y$49)*X50)</f>
        <v>327.3039578242421</v>
      </c>
      <c r="Z50" s="229">
        <f>IF(Z$6&lt;='General Inputs'!$C$37,ParkingandStorage,(1+Z$49)*Y50)</f>
        <v>328.1111776817794</v>
      </c>
      <c r="AA50" s="229">
        <f>IF(AA$6&lt;='General Inputs'!$C$37,ParkingandStorage,(1+AA$49)*Z50)</f>
        <v>328.92038836125096</v>
      </c>
      <c r="AB50" s="229">
        <f>IF(AB$6&lt;='General Inputs'!$C$37,ParkingandStorage,(1+AB$49)*AA50)</f>
        <v>329.7315947725607</v>
      </c>
      <c r="AC50" s="229">
        <f>IF(AC$6&lt;='General Inputs'!$C$37,ParkingandStorage,(1+AC$49)*AB50)</f>
        <v>330.54480183772176</v>
      </c>
      <c r="AD50" s="229">
        <f>IF(AD$6&lt;='General Inputs'!$C$37,ParkingandStorage,(1+AD$49)*AC50)</f>
        <v>331.36001449088627</v>
      </c>
      <c r="AE50" s="229">
        <f>IF(AE$6&lt;='General Inputs'!$C$37,ParkingandStorage,(1+AE$49)*AD50)</f>
        <v>332.17723767837526</v>
      </c>
      <c r="AF50" s="229">
        <f>IF(AF$6&lt;='General Inputs'!$C$37,ParkingandStorage,(1+AF$49)*AE50)</f>
        <v>332.99647635870878</v>
      </c>
      <c r="AG50" s="229">
        <f>IF(AG$6&lt;='General Inputs'!$C$37,ParkingandStorage,(1+AG$49)*AF50)</f>
        <v>333.81773550263591</v>
      </c>
      <c r="AH50" s="229">
        <f>IF(AH$6&lt;='General Inputs'!$C$37,ParkingandStorage,(1+AH$49)*AG50)</f>
        <v>334.64102009316491</v>
      </c>
      <c r="AI50" s="229">
        <f>IF(AI$6&lt;='General Inputs'!$C$37,ParkingandStorage,(1+AI$49)*AH50)</f>
        <v>335.46633512559356</v>
      </c>
      <c r="AJ50" s="229">
        <f>IF(AJ$6&lt;='General Inputs'!$C$37,ParkingandStorage,(1+AJ$49)*AI50)</f>
        <v>336.29368560753932</v>
      </c>
      <c r="AK50" s="229">
        <f>IF(AK$6&lt;='General Inputs'!$C$37,ParkingandStorage,(1+AK$49)*AJ50)</f>
        <v>337.12307655896979</v>
      </c>
      <c r="AL50" s="229">
        <f>IF(AL$6&lt;='General Inputs'!$C$37,ParkingandStorage,(1+AL$49)*AK50)</f>
        <v>337.95451301223318</v>
      </c>
      <c r="AM50" s="229">
        <f>IF(AM$6&lt;='General Inputs'!$C$37,ParkingandStorage,(1+AM$49)*AL50)</f>
        <v>338.78800001208884</v>
      </c>
      <c r="AN50" s="229">
        <f>IF(AN$6&lt;='General Inputs'!$C$37,ParkingandStorage,(1+AN$49)*AM50)</f>
        <v>339.6235426157379</v>
      </c>
      <c r="AO50" s="229">
        <f>IF(AO$6&lt;='General Inputs'!$C$37,ParkingandStorage,(1+AO$49)*AN50)</f>
        <v>340.46114589285378</v>
      </c>
      <c r="AP50" s="229">
        <f>IF(AP$6&lt;='General Inputs'!$C$37,ParkingandStorage,(1+AP$49)*AO50)</f>
        <v>341.30081492561322</v>
      </c>
      <c r="AQ50" s="229">
        <f>IF(AQ$6&lt;='General Inputs'!$C$37,ParkingandStorage,(1+AQ$49)*AP50)</f>
        <v>342.14255480872686</v>
      </c>
      <c r="AR50" s="229">
        <f>IF(AR$6&lt;='General Inputs'!$C$37,ParkingandStorage,(1+AR$49)*AQ50)</f>
        <v>342.98637064947036</v>
      </c>
      <c r="AS50" s="229">
        <f>IF(AS$6&lt;='General Inputs'!$C$37,ParkingandStorage,(1+AS$49)*AR50)</f>
        <v>343.83226756771529</v>
      </c>
      <c r="AT50" s="229">
        <f>IF(AT$6&lt;='General Inputs'!$C$37,ParkingandStorage,(1+AT$49)*AS50)</f>
        <v>344.68025069596018</v>
      </c>
      <c r="AU50" s="229">
        <f>IF(AU$6&lt;='General Inputs'!$C$37,ParkingandStorage,(1+AU$49)*AT50)</f>
        <v>345.53032517936168</v>
      </c>
      <c r="AV50" s="229">
        <f>IF(AV$6&lt;='General Inputs'!$C$37,ParkingandStorage,(1+AV$49)*AU50)</f>
        <v>346.38249617576582</v>
      </c>
      <c r="AW50" s="229">
        <f>IF(AW$6&lt;='General Inputs'!$C$37,ParkingandStorage,(1+AW$49)*AV50)</f>
        <v>347.23676885573923</v>
      </c>
      <c r="AX50" s="229">
        <f>IF(AX$6&lt;='General Inputs'!$C$37,ParkingandStorage,(1+AX$49)*AW50)</f>
        <v>348.09314840260055</v>
      </c>
      <c r="AY50" s="229">
        <f>IF(AY$6&lt;='General Inputs'!$C$37,ParkingandStorage,(1+AY$49)*AX50)</f>
        <v>348.95164001245189</v>
      </c>
      <c r="AZ50" s="229">
        <f>IF(AZ$6&lt;='General Inputs'!$C$37,ParkingandStorage,(1+AZ$49)*AY50)</f>
        <v>349.81224889421037</v>
      </c>
      <c r="BA50" s="229">
        <f>IF(BA$6&lt;='General Inputs'!$C$37,ParkingandStorage,(1+BA$49)*AZ50)</f>
        <v>350.67498026963972</v>
      </c>
      <c r="BB50" s="229">
        <f>IF(BB$6&lt;='General Inputs'!$C$37,ParkingandStorage,(1+BB$49)*BA50)</f>
        <v>351.53983937338194</v>
      </c>
      <c r="BC50" s="229">
        <f>IF(BC$6&lt;='General Inputs'!$C$37,ParkingandStorage,(1+BC$49)*BB50)</f>
        <v>352.40683145298902</v>
      </c>
      <c r="BD50" s="229">
        <f>IF(BD$6&lt;='General Inputs'!$C$37,ParkingandStorage,(1+BD$49)*BC50)</f>
        <v>353.27596176895486</v>
      </c>
      <c r="BE50" s="229">
        <f>IF(BE$6&lt;='General Inputs'!$C$37,ParkingandStorage,(1+BE$49)*BD50)</f>
        <v>354.14723559474714</v>
      </c>
      <c r="BF50" s="229">
        <f>IF(BF$6&lt;='General Inputs'!$C$37,ParkingandStorage,(1+BF$49)*BE50)</f>
        <v>355.02065821683937</v>
      </c>
      <c r="BG50" s="229">
        <f>IF(BG$6&lt;='General Inputs'!$C$37,ParkingandStorage,(1+BG$49)*BF50)</f>
        <v>355.89623493474289</v>
      </c>
      <c r="BH50" s="229">
        <f>IF(BH$6&lt;='General Inputs'!$C$37,ParkingandStorage,(1+BH$49)*BG50)</f>
        <v>356.77397106103916</v>
      </c>
      <c r="BI50" s="229">
        <f>IF(BI$6&lt;='General Inputs'!$C$37,ParkingandStorage,(1+BI$49)*BH50)</f>
        <v>357.65387192141174</v>
      </c>
      <c r="BJ50" s="229">
        <f>IF(BJ$6&lt;='General Inputs'!$C$37,ParkingandStorage,(1+BJ$49)*BI50)</f>
        <v>358.53594285467886</v>
      </c>
      <c r="BK50" s="229">
        <f>IF(BK$6&lt;='General Inputs'!$C$37,ParkingandStorage,(1+BK$49)*BJ50)</f>
        <v>359.42018921282579</v>
      </c>
      <c r="BL50" s="229">
        <f>IF(BL$6&lt;='General Inputs'!$C$37,ParkingandStorage,(1+BL$49)*BK50)</f>
        <v>360.30661636103707</v>
      </c>
      <c r="BM50" s="229">
        <f>IF(BM$6&lt;='General Inputs'!$C$37,ParkingandStorage,(1+BM$49)*BL50)</f>
        <v>361.19522967772934</v>
      </c>
      <c r="BN50" s="229">
        <f>IF(BN$6&lt;='General Inputs'!$C$37,ParkingandStorage,(1+BN$49)*BM50)</f>
        <v>362.08603455458382</v>
      </c>
      <c r="BO50" s="229">
        <f>IF(BO$6&lt;='General Inputs'!$C$37,ParkingandStorage,(1+BO$49)*BN50)</f>
        <v>362.97903639657909</v>
      </c>
      <c r="BP50" s="229">
        <f>IF(BP$6&lt;='General Inputs'!$C$37,ParkingandStorage,(1+BP$49)*BO50)</f>
        <v>363.87424062202388</v>
      </c>
      <c r="BQ50" s="229">
        <f>IF(BQ$6&lt;='General Inputs'!$C$37,ParkingandStorage,(1+BQ$49)*BP50)</f>
        <v>364.77165266258993</v>
      </c>
      <c r="BR50" s="229">
        <f>IF(BR$6&lt;='General Inputs'!$C$37,ParkingandStorage,(1+BR$49)*BQ50)</f>
        <v>365.67127796334495</v>
      </c>
      <c r="BS50" s="229">
        <f>IF(BS$6&lt;='General Inputs'!$C$37,ParkingandStorage,(1+BS$49)*BR50)</f>
        <v>366.57312198278561</v>
      </c>
      <c r="BT50" s="229">
        <f>IF(BT$6&lt;='General Inputs'!$C$37,ParkingandStorage,(1+BT$49)*BS50)</f>
        <v>367.47719019287075</v>
      </c>
      <c r="BU50" s="229">
        <f>IF(BU$6&lt;='General Inputs'!$C$37,ParkingandStorage,(1+BU$49)*BT50)</f>
        <v>368.38348807905453</v>
      </c>
      <c r="BV50" s="229">
        <f>IF(BV$6&lt;='General Inputs'!$C$37,ParkingandStorage,(1+BV$49)*BU50)</f>
        <v>369.29202114031972</v>
      </c>
      <c r="BW50" s="229">
        <f>IF(BW$6&lt;='General Inputs'!$C$37,ParkingandStorage,(1+BW$49)*BV50)</f>
        <v>370.20279488921102</v>
      </c>
      <c r="BX50" s="229">
        <f>IF(BX$6&lt;='General Inputs'!$C$37,ParkingandStorage,(1+BX$49)*BW50)</f>
        <v>371.11581485186861</v>
      </c>
      <c r="BY50" s="229">
        <f>IF(BY$6&lt;='General Inputs'!$C$37,ParkingandStorage,(1+BY$49)*BX50)</f>
        <v>372.0310865680616</v>
      </c>
      <c r="BZ50" s="229">
        <f>IF(BZ$6&lt;='General Inputs'!$C$37,ParkingandStorage,(1+BZ$49)*BY50)</f>
        <v>372.94861559122171</v>
      </c>
      <c r="CA50" s="229">
        <f>IF(CA$6&lt;='General Inputs'!$C$37,ParkingandStorage,(1+CA$49)*BZ50)</f>
        <v>373.86840748847686</v>
      </c>
      <c r="CB50" s="229">
        <f>IF(CB$6&lt;='General Inputs'!$C$37,ParkingandStorage,(1+CB$49)*CA50)</f>
        <v>374.79046784068498</v>
      </c>
      <c r="CC50" s="229">
        <f>IF(CC$6&lt;='General Inputs'!$C$37,ParkingandStorage,(1+CC$49)*CB50)</f>
        <v>375.71480224246801</v>
      </c>
      <c r="CD50" s="229">
        <f>IF(CD$6&lt;='General Inputs'!$C$37,ParkingandStorage,(1+CD$49)*CC50)</f>
        <v>376.64141630224566</v>
      </c>
      <c r="CE50" s="229">
        <f>IF(CE$6&lt;='General Inputs'!$C$37,ParkingandStorage,(1+CE$49)*CD50)</f>
        <v>377.57031564226952</v>
      </c>
      <c r="CF50" s="229">
        <f>IF(CF$6&lt;='General Inputs'!$C$37,ParkingandStorage,(1+CF$49)*CE50)</f>
        <v>378.50150589865723</v>
      </c>
      <c r="CG50" s="229">
        <f>IF(CG$6&lt;='General Inputs'!$C$37,ParkingandStorage,(1+CG$49)*CF50)</f>
        <v>379.43499272142651</v>
      </c>
      <c r="CH50" s="229">
        <f>IF(CH$6&lt;='General Inputs'!$C$37,ParkingandStorage,(1+CH$49)*CG50)</f>
        <v>380.37078177452963</v>
      </c>
      <c r="CI50" s="229">
        <f>IF(CI$6&lt;='General Inputs'!$C$37,ParkingandStorage,(1+CI$49)*CH50)</f>
        <v>381.30887873588767</v>
      </c>
      <c r="CJ50" s="229">
        <f>IF(CJ$6&lt;='General Inputs'!$C$37,ParkingandStorage,(1+CJ$49)*CI50)</f>
        <v>382.24928929742498</v>
      </c>
      <c r="CK50" s="229">
        <f>IF(CK$6&lt;='General Inputs'!$C$37,ParkingandStorage,(1+CK$49)*CJ50)</f>
        <v>383.19201916510377</v>
      </c>
      <c r="CL50" s="229">
        <f>IF(CL$6&lt;='General Inputs'!$C$37,ParkingandStorage,(1+CL$49)*CK50)</f>
        <v>384.13707405895866</v>
      </c>
      <c r="CM50" s="229">
        <f>IF(CM$6&lt;='General Inputs'!$C$37,ParkingandStorage,(1+CM$49)*CL50)</f>
        <v>385.08445971313148</v>
      </c>
      <c r="CN50" s="229">
        <f>IF(CN$6&lt;='General Inputs'!$C$37,ParkingandStorage,(1+CN$49)*CM50)</f>
        <v>386.03418187590586</v>
      </c>
      <c r="CO50" s="229">
        <f>IF(CO$6&lt;='General Inputs'!$C$37,ParkingandStorage,(1+CO$49)*CN50)</f>
        <v>386.9862463097424</v>
      </c>
      <c r="CP50" s="229">
        <f>IF(CP$6&lt;='General Inputs'!$C$37,ParkingandStorage,(1+CP$49)*CO50)</f>
        <v>387.94065879131341</v>
      </c>
      <c r="CQ50" s="229">
        <f>IF(CQ$6&lt;='General Inputs'!$C$37,ParkingandStorage,(1+CQ$49)*CP50)</f>
        <v>388.89742511153798</v>
      </c>
      <c r="CR50" s="229">
        <f>IF(CR$6&lt;='General Inputs'!$C$37,ParkingandStorage,(1+CR$49)*CQ50)</f>
        <v>389.85655107561729</v>
      </c>
      <c r="CS50" s="229">
        <f>IF(CS$6&lt;='General Inputs'!$C$37,ParkingandStorage,(1+CS$49)*CR50)</f>
        <v>390.81804250306965</v>
      </c>
      <c r="CT50" s="229">
        <f>IF(CT$6&lt;='General Inputs'!$C$37,ParkingandStorage,(1+CT$49)*CS50)</f>
        <v>391.78190522776589</v>
      </c>
      <c r="CU50" s="229">
        <f>IF(CU$6&lt;='General Inputs'!$C$37,ParkingandStorage,(1+CU$49)*CT50)</f>
        <v>392.74814509796465</v>
      </c>
      <c r="CV50" s="229">
        <f>IF(CV$6&lt;='General Inputs'!$C$37,ParkingandStorage,(1+CV$49)*CU50)</f>
        <v>393.71676797634808</v>
      </c>
      <c r="CW50" s="229">
        <f>IF(CW$6&lt;='General Inputs'!$C$37,ParkingandStorage,(1+CW$49)*CV50)</f>
        <v>394.68777974005724</v>
      </c>
      <c r="CX50" s="229">
        <f>IF(CX$6&lt;='General Inputs'!$C$37,ParkingandStorage,(1+CX$49)*CW50)</f>
        <v>395.6611862807278</v>
      </c>
      <c r="CY50" s="229">
        <f>IF(CY$6&lt;='General Inputs'!$C$37,ParkingandStorage,(1+CY$49)*CX50)</f>
        <v>396.63699350452578</v>
      </c>
      <c r="CZ50" s="229">
        <f>IF(CZ$6&lt;='General Inputs'!$C$37,ParkingandStorage,(1+CZ$49)*CY50)</f>
        <v>397.61520733218339</v>
      </c>
      <c r="DA50" s="229">
        <f>IF(DA$6&lt;='General Inputs'!$C$37,ParkingandStorage,(1+DA$49)*CZ50)</f>
        <v>398.59583369903504</v>
      </c>
      <c r="DB50" s="229">
        <f>IF(DB$6&lt;='General Inputs'!$C$37,ParkingandStorage,(1+DB$49)*DA50)</f>
        <v>399.57887855505317</v>
      </c>
      <c r="DC50" s="229">
        <f>IF(DC$6&lt;='General Inputs'!$C$37,ParkingandStorage,(1+DC$49)*DB50)</f>
        <v>400.5643478648845</v>
      </c>
      <c r="DD50" s="229">
        <f>IF(DD$6&lt;='General Inputs'!$C$37,ParkingandStorage,(1+DD$49)*DC50)</f>
        <v>401.55224760788622</v>
      </c>
      <c r="DE50" s="229">
        <f>IF(DE$6&lt;='General Inputs'!$C$37,ParkingandStorage,(1+DE$49)*DD50)</f>
        <v>402.54258377816217</v>
      </c>
      <c r="DF50" s="229">
        <f>IF(DF$6&lt;='General Inputs'!$C$37,ParkingandStorage,(1+DF$49)*DE50)</f>
        <v>403.5353623845993</v>
      </c>
      <c r="DG50" s="229">
        <f>IF(DG$6&lt;='General Inputs'!$C$37,ParkingandStorage,(1+DG$49)*DF50)</f>
        <v>404.53058945090407</v>
      </c>
      <c r="DH50" s="229">
        <f>IF(DH$6&lt;='General Inputs'!$C$37,ParkingandStorage,(1+DH$49)*DG50)</f>
        <v>405.52827101563901</v>
      </c>
      <c r="DI50" s="229">
        <f>IF(DI$6&lt;='General Inputs'!$C$37,ParkingandStorage,(1+DI$49)*DH50)</f>
        <v>406.52841313225946</v>
      </c>
      <c r="DJ50" s="229">
        <f>IF(DJ$6&lt;='General Inputs'!$C$37,ParkingandStorage,(1+DJ$49)*DI50)</f>
        <v>407.53102186915015</v>
      </c>
      <c r="DK50" s="229">
        <f>IF(DK$6&lt;='General Inputs'!$C$37,ParkingandStorage,(1+DK$49)*DJ50)</f>
        <v>408.53610330966205</v>
      </c>
      <c r="DL50" s="229">
        <f>IF(DL$6&lt;='General Inputs'!$C$37,ParkingandStorage,(1+DL$49)*DK50)</f>
        <v>409.54366355214938</v>
      </c>
      <c r="DM50" s="229">
        <f>IF(DM$6&lt;='General Inputs'!$C$37,ParkingandStorage,(1+DM$49)*DL50)</f>
        <v>410.55370871000656</v>
      </c>
      <c r="DN50" s="229">
        <f>IF(DN$6&lt;='General Inputs'!$C$37,ParkingandStorage,(1+DN$49)*DM50)</f>
        <v>411.56624491170521</v>
      </c>
      <c r="DO50" s="229">
        <f>IF(DO$6&lt;='General Inputs'!$C$37,ParkingandStorage,(1+DO$49)*DN50)</f>
        <v>412.58127830083151</v>
      </c>
      <c r="DP50" s="229">
        <f>IF(DP$6&lt;='General Inputs'!$C$37,ParkingandStorage,(1+DP$49)*DO50)</f>
        <v>413.59881503612326</v>
      </c>
      <c r="DQ50" s="229">
        <f>IF(DQ$6&lt;='General Inputs'!$C$37,ParkingandStorage,(1+DQ$49)*DP50)</f>
        <v>414.61886129150747</v>
      </c>
      <c r="DR50" s="229">
        <f>IF(DR$6&lt;='General Inputs'!$C$37,ParkingandStorage,(1+DR$49)*DQ50)</f>
        <v>415.64142325613767</v>
      </c>
      <c r="DS50" s="229">
        <f>IF(DS$6&lt;='General Inputs'!$C$37,ParkingandStorage,(1+DS$49)*DR50)</f>
        <v>416.66650713443158</v>
      </c>
      <c r="DT50" s="229">
        <f>IF(DT$6&lt;='General Inputs'!$C$37,ParkingandStorage,(1+DT$49)*DS50)</f>
        <v>417.69411914610856</v>
      </c>
      <c r="DU50" s="229">
        <f>IF(DU$6&lt;='General Inputs'!$C$37,ParkingandStorage,(1+DU$49)*DT50)</f>
        <v>418.72426552622761</v>
      </c>
      <c r="DV50" s="229">
        <f>IF(DV$6&lt;='General Inputs'!$C$37,ParkingandStorage,(1+DV$49)*DU50)</f>
        <v>419.75695252522502</v>
      </c>
      <c r="DW50" s="229">
        <f>IF(DW$6&lt;='General Inputs'!$C$37,ParkingandStorage,(1+DW$49)*DV50)</f>
        <v>420.79218640895232</v>
      </c>
      <c r="DX50" s="229">
        <f>IF(DX$6&lt;='General Inputs'!$C$37,ParkingandStorage,(1+DX$49)*DW50)</f>
        <v>421.82997345871428</v>
      </c>
      <c r="DY50" s="229">
        <f>IF(DY$6&lt;='General Inputs'!$C$37,ParkingandStorage,(1+DY$49)*DX50)</f>
        <v>422.8703199713072</v>
      </c>
      <c r="DZ50" s="229">
        <f>IF(DZ$6&lt;='General Inputs'!$C$37,ParkingandStorage,(1+DZ$49)*DY50)</f>
        <v>423.91323225905683</v>
      </c>
      <c r="EA50" s="229">
        <f>IF(EA$6&lt;='General Inputs'!$C$37,ParkingandStorage,(1+EA$49)*DZ50)</f>
        <v>424.95871664985691</v>
      </c>
      <c r="EB50" s="229">
        <f>IF(EB$6&lt;='General Inputs'!$C$37,ParkingandStorage,(1+EB$49)*EA50)</f>
        <v>426.00677948720744</v>
      </c>
      <c r="EC50" s="229">
        <f>IF(EC$6&lt;='General Inputs'!$C$37,ParkingandStorage,(1+EC$49)*EB50)</f>
        <v>427.05742713025319</v>
      </c>
      <c r="ED50" s="229">
        <f>IF(ED$6&lt;='General Inputs'!$C$37,ParkingandStorage,(1+ED$49)*EC50)</f>
        <v>428.11066595382232</v>
      </c>
      <c r="EE50" s="229">
        <f>IF(EE$6&lt;='General Inputs'!$C$37,ParkingandStorage,(1+EE$49)*ED50)</f>
        <v>429.16650234846503</v>
      </c>
      <c r="EF50" s="229">
        <f>IF(EF$6&lt;='General Inputs'!$C$37,ParkingandStorage,(1+EF$49)*EE50)</f>
        <v>430.22494272049232</v>
      </c>
      <c r="EG50" s="229">
        <f>IF(EG$6&lt;='General Inputs'!$C$37,ParkingandStorage,(1+EG$49)*EF50)</f>
        <v>431.28599349201494</v>
      </c>
      <c r="EH50" s="229">
        <f>IF(EH$6&lt;='General Inputs'!$C$37,ParkingandStorage,(1+EH$49)*EG50)</f>
        <v>432.34966110098225</v>
      </c>
      <c r="EK50" s="672"/>
    </row>
    <row r="51" spans="1:141" ht="15" hidden="1" customHeight="1" outlineLevel="1" x14ac:dyDescent="0.3">
      <c r="A51" t="s">
        <v>2396</v>
      </c>
      <c r="E51" s="647">
        <f>OtherIncome</f>
        <v>49.583333333333336</v>
      </c>
      <c r="F51" s="647">
        <f>E51*(1+PrestartOIGrwth)</f>
        <v>51.449629369915364</v>
      </c>
      <c r="G51" s="229">
        <f>IF(G$6&lt;='General Inputs'!$C$37,OtherIncome,(1+G$49)*F51)</f>
        <v>51.576518035626613</v>
      </c>
      <c r="H51" s="229">
        <f>IF(H$6&lt;='General Inputs'!$C$37,OtherIncome,(1+H$49)*G51)</f>
        <v>51.703719643018552</v>
      </c>
      <c r="I51" s="229">
        <f>IF(I$6&lt;='General Inputs'!$C$37,OtherIncome,(1+I$49)*H51)</f>
        <v>51.831234963889791</v>
      </c>
      <c r="J51" s="229">
        <f>IF(J$6&lt;='General Inputs'!$C$37,OtherIncome,(1+J$49)*I51)</f>
        <v>51.959064771942401</v>
      </c>
      <c r="K51" s="229">
        <f>IF(K$6&lt;='General Inputs'!$C$37,OtherIncome,(1+K$49)*J51)</f>
        <v>52.087209842786613</v>
      </c>
      <c r="L51" s="229">
        <f>IF(L$6&lt;='General Inputs'!$C$37,OtherIncome,(1+L$49)*K51)</f>
        <v>52.215670953945519</v>
      </c>
      <c r="M51" s="229">
        <f>IF(M$6&lt;='General Inputs'!$C$37,OtherIncome,(1+M$49)*L51)</f>
        <v>52.344448884859794</v>
      </c>
      <c r="N51" s="229">
        <f>IF(N$6&lt;='General Inputs'!$C$37,OtherIncome,(1+N$49)*M51)</f>
        <v>52.473544416892416</v>
      </c>
      <c r="O51" s="229">
        <f>IF(O$6&lt;='General Inputs'!$C$37,OtherIncome,(1+O$49)*N51)</f>
        <v>52.602958333333433</v>
      </c>
      <c r="P51" s="229">
        <f>IF(P$6&lt;='General Inputs'!$C$37,OtherIncome,(1+P$49)*O51)</f>
        <v>52.732691419404681</v>
      </c>
      <c r="Q51" s="229">
        <f>IF(Q$6&lt;='General Inputs'!$C$37,OtherIncome,(1+Q$49)*P51)</f>
        <v>52.86274446226458</v>
      </c>
      <c r="R51" s="229">
        <f>IF(R$6&lt;='General Inputs'!$C$37,OtherIncome,(1+R$49)*Q51)</f>
        <v>52.993118251012874</v>
      </c>
      <c r="S51" s="229">
        <f>IF(S$6&lt;='General Inputs'!$C$37,OtherIncome,(1+S$49)*R51)</f>
        <v>53.123813576695461</v>
      </c>
      <c r="T51" s="229">
        <f>IF(T$6&lt;='General Inputs'!$C$37,OtherIncome,(1+T$49)*S51)</f>
        <v>53.254831232309165</v>
      </c>
      <c r="U51" s="229">
        <f>IF(U$6&lt;='General Inputs'!$C$37,OtherIncome,(1+U$49)*T51)</f>
        <v>53.38617201280654</v>
      </c>
      <c r="V51" s="229">
        <f>IF(V$6&lt;='General Inputs'!$C$37,OtherIncome,(1+V$49)*U51)</f>
        <v>53.517836715100728</v>
      </c>
      <c r="W51" s="229">
        <f>IF(W$6&lt;='General Inputs'!$C$37,OtherIncome,(1+W$49)*V51)</f>
        <v>53.649826138070267</v>
      </c>
      <c r="X51" s="229">
        <f>IF(X$6&lt;='General Inputs'!$C$37,OtherIncome,(1+X$49)*W51)</f>
        <v>53.782141082563939</v>
      </c>
      <c r="Y51" s="229">
        <f>IF(Y$6&lt;='General Inputs'!$C$37,OtherIncome,(1+Y$49)*X51)</f>
        <v>53.914782351405641</v>
      </c>
      <c r="Z51" s="229">
        <f>IF(Z$6&lt;='General Inputs'!$C$37,OtherIncome,(1+Z$49)*Y51)</f>
        <v>54.047750749399242</v>
      </c>
      <c r="AA51" s="229">
        <f>IF(AA$6&lt;='General Inputs'!$C$37,OtherIncome,(1+AA$49)*Z51)</f>
        <v>54.181047083333489</v>
      </c>
      <c r="AB51" s="229">
        <f>IF(AB$6&lt;='General Inputs'!$C$37,OtherIncome,(1+AB$49)*AA51)</f>
        <v>54.314672161986877</v>
      </c>
      <c r="AC51" s="229">
        <f>IF(AC$6&lt;='General Inputs'!$C$37,OtherIncome,(1+AC$49)*AB51)</f>
        <v>54.448626796132572</v>
      </c>
      <c r="AD51" s="229">
        <f>IF(AD$6&lt;='General Inputs'!$C$37,OtherIncome,(1+AD$49)*AC51)</f>
        <v>54.582911798543321</v>
      </c>
      <c r="AE51" s="229">
        <f>IF(AE$6&lt;='General Inputs'!$C$37,OtherIncome,(1+AE$49)*AD51)</f>
        <v>54.717527983996384</v>
      </c>
      <c r="AF51" s="229">
        <f>IF(AF$6&lt;='General Inputs'!$C$37,OtherIncome,(1+AF$49)*AE51)</f>
        <v>54.852476169278496</v>
      </c>
      <c r="AG51" s="229">
        <f>IF(AG$6&lt;='General Inputs'!$C$37,OtherIncome,(1+AG$49)*AF51)</f>
        <v>54.987757173190793</v>
      </c>
      <c r="AH51" s="229">
        <f>IF(AH$6&lt;='General Inputs'!$C$37,OtherIncome,(1+AH$49)*AG51)</f>
        <v>55.123371816553806</v>
      </c>
      <c r="AI51" s="229">
        <f>IF(AI$6&lt;='General Inputs'!$C$37,OtherIncome,(1+AI$49)*AH51)</f>
        <v>55.259320922212432</v>
      </c>
      <c r="AJ51" s="229">
        <f>IF(AJ$6&lt;='General Inputs'!$C$37,OtherIncome,(1+AJ$49)*AI51)</f>
        <v>55.39560531504091</v>
      </c>
      <c r="AK51" s="229">
        <f>IF(AK$6&lt;='General Inputs'!$C$37,OtherIncome,(1+AK$49)*AJ51)</f>
        <v>55.532225821947861</v>
      </c>
      <c r="AL51" s="229">
        <f>IF(AL$6&lt;='General Inputs'!$C$37,OtherIncome,(1+AL$49)*AK51)</f>
        <v>55.669183271881273</v>
      </c>
      <c r="AM51" s="229">
        <f>IF(AM$6&lt;='General Inputs'!$C$37,OtherIncome,(1+AM$49)*AL51)</f>
        <v>55.806478495833545</v>
      </c>
      <c r="AN51" s="229">
        <f>IF(AN$6&lt;='General Inputs'!$C$37,OtherIncome,(1+AN$49)*AM51)</f>
        <v>55.944112326846536</v>
      </c>
      <c r="AO51" s="229">
        <f>IF(AO$6&lt;='General Inputs'!$C$37,OtherIncome,(1+AO$49)*AN51)</f>
        <v>56.082085600016597</v>
      </c>
      <c r="AP51" s="229">
        <f>IF(AP$6&lt;='General Inputs'!$C$37,OtherIncome,(1+AP$49)*AO51)</f>
        <v>56.220399152499667</v>
      </c>
      <c r="AQ51" s="229">
        <f>IF(AQ$6&lt;='General Inputs'!$C$37,OtherIncome,(1+AQ$49)*AP51)</f>
        <v>56.359053823516327</v>
      </c>
      <c r="AR51" s="229">
        <f>IF(AR$6&lt;='General Inputs'!$C$37,OtherIncome,(1+AR$49)*AQ51)</f>
        <v>56.4980504543569</v>
      </c>
      <c r="AS51" s="229">
        <f>IF(AS$6&lt;='General Inputs'!$C$37,OtherIncome,(1+AS$49)*AR51)</f>
        <v>56.637389888386572</v>
      </c>
      <c r="AT51" s="229">
        <f>IF(AT$6&lt;='General Inputs'!$C$37,OtherIncome,(1+AT$49)*AS51)</f>
        <v>56.77707297105048</v>
      </c>
      <c r="AU51" s="229">
        <f>IF(AU$6&lt;='General Inputs'!$C$37,OtherIncome,(1+AU$49)*AT51)</f>
        <v>56.91710054987886</v>
      </c>
      <c r="AV51" s="229">
        <f>IF(AV$6&lt;='General Inputs'!$C$37,OtherIncome,(1+AV$49)*AU51)</f>
        <v>57.057473474492198</v>
      </c>
      <c r="AW51" s="229">
        <f>IF(AW$6&lt;='General Inputs'!$C$37,OtherIncome,(1+AW$49)*AV51)</f>
        <v>57.198192596606361</v>
      </c>
      <c r="AX51" s="229">
        <f>IF(AX$6&lt;='General Inputs'!$C$37,OtherIncome,(1+AX$49)*AW51)</f>
        <v>57.339258770037773</v>
      </c>
      <c r="AY51" s="229">
        <f>IF(AY$6&lt;='General Inputs'!$C$37,OtherIncome,(1+AY$49)*AX51)</f>
        <v>57.480672850708615</v>
      </c>
      <c r="AZ51" s="229">
        <f>IF(AZ$6&lt;='General Inputs'!$C$37,OtherIncome,(1+AZ$49)*AY51)</f>
        <v>57.622435696651998</v>
      </c>
      <c r="BA51" s="229">
        <f>IF(BA$6&lt;='General Inputs'!$C$37,OtherIncome,(1+BA$49)*AZ51)</f>
        <v>57.764548168017164</v>
      </c>
      <c r="BB51" s="229">
        <f>IF(BB$6&lt;='General Inputs'!$C$37,OtherIncome,(1+BB$49)*BA51)</f>
        <v>57.907011127074725</v>
      </c>
      <c r="BC51" s="229">
        <f>IF(BC$6&lt;='General Inputs'!$C$37,OtherIncome,(1+BC$49)*BB51)</f>
        <v>58.04982543822188</v>
      </c>
      <c r="BD51" s="229">
        <f>IF(BD$6&lt;='General Inputs'!$C$37,OtherIncome,(1+BD$49)*BC51)</f>
        <v>58.192991967987673</v>
      </c>
      <c r="BE51" s="229">
        <f>IF(BE$6&lt;='General Inputs'!$C$37,OtherIncome,(1+BE$49)*BD51)</f>
        <v>58.336511585038231</v>
      </c>
      <c r="BF51" s="229">
        <f>IF(BF$6&lt;='General Inputs'!$C$37,OtherIncome,(1+BF$49)*BE51)</f>
        <v>58.480385160182053</v>
      </c>
      <c r="BG51" s="229">
        <f>IF(BG$6&lt;='General Inputs'!$C$37,OtherIncome,(1+BG$49)*BF51)</f>
        <v>58.624613566375288</v>
      </c>
      <c r="BH51" s="229">
        <f>IF(BH$6&lt;='General Inputs'!$C$37,OtherIncome,(1+BH$49)*BG51)</f>
        <v>58.769197678727025</v>
      </c>
      <c r="BI51" s="229">
        <f>IF(BI$6&lt;='General Inputs'!$C$37,OtherIncome,(1+BI$49)*BH51)</f>
        <v>58.91413837450461</v>
      </c>
      <c r="BJ51" s="229">
        <f>IF(BJ$6&lt;='General Inputs'!$C$37,OtherIncome,(1+BJ$49)*BI51)</f>
        <v>59.059436533138964</v>
      </c>
      <c r="BK51" s="229">
        <f>IF(BK$6&lt;='General Inputs'!$C$37,OtherIncome,(1+BK$49)*BJ51)</f>
        <v>59.205093036229933</v>
      </c>
      <c r="BL51" s="229">
        <f>IF(BL$6&lt;='General Inputs'!$C$37,OtherIncome,(1+BL$49)*BK51)</f>
        <v>59.351108767551615</v>
      </c>
      <c r="BM51" s="229">
        <f>IF(BM$6&lt;='General Inputs'!$C$37,OtherIncome,(1+BM$49)*BL51)</f>
        <v>59.497484613057736</v>
      </c>
      <c r="BN51" s="229">
        <f>IF(BN$6&lt;='General Inputs'!$C$37,OtherIncome,(1+BN$49)*BM51)</f>
        <v>59.644221460887024</v>
      </c>
      <c r="BO51" s="229">
        <f>IF(BO$6&lt;='General Inputs'!$C$37,OtherIncome,(1+BO$49)*BN51)</f>
        <v>59.791320201368599</v>
      </c>
      <c r="BP51" s="229">
        <f>IF(BP$6&lt;='General Inputs'!$C$37,OtherIncome,(1+BP$49)*BO51)</f>
        <v>59.938781727027369</v>
      </c>
      <c r="BQ51" s="229">
        <f>IF(BQ$6&lt;='General Inputs'!$C$37,OtherIncome,(1+BQ$49)*BP51)</f>
        <v>60.086606932589447</v>
      </c>
      <c r="BR51" s="229">
        <f>IF(BR$6&lt;='General Inputs'!$C$37,OtherIncome,(1+BR$49)*BQ51)</f>
        <v>60.234796714987588</v>
      </c>
      <c r="BS51" s="229">
        <f>IF(BS$6&lt;='General Inputs'!$C$37,OtherIncome,(1+BS$49)*BR51)</f>
        <v>60.383351973366622</v>
      </c>
      <c r="BT51" s="229">
        <f>IF(BT$6&lt;='General Inputs'!$C$37,OtherIncome,(1+BT$49)*BS51)</f>
        <v>60.532273609088911</v>
      </c>
      <c r="BU51" s="229">
        <f>IF(BU$6&lt;='General Inputs'!$C$37,OtherIncome,(1+BU$49)*BT51)</f>
        <v>60.681562525739821</v>
      </c>
      <c r="BV51" s="229">
        <f>IF(BV$6&lt;='General Inputs'!$C$37,OtherIncome,(1+BV$49)*BU51)</f>
        <v>60.831219629133209</v>
      </c>
      <c r="BW51" s="229">
        <f>IF(BW$6&lt;='General Inputs'!$C$37,OtherIncome,(1+BW$49)*BV51)</f>
        <v>60.981245827316904</v>
      </c>
      <c r="BX51" s="229">
        <f>IF(BX$6&lt;='General Inputs'!$C$37,OtherIncome,(1+BX$49)*BW51)</f>
        <v>61.131642030578234</v>
      </c>
      <c r="BY51" s="229">
        <f>IF(BY$6&lt;='General Inputs'!$C$37,OtherIncome,(1+BY$49)*BX51)</f>
        <v>61.282409151449542</v>
      </c>
      <c r="BZ51" s="229">
        <f>IF(BZ$6&lt;='General Inputs'!$C$37,OtherIncome,(1+BZ$49)*BY51)</f>
        <v>61.433548104713708</v>
      </c>
      <c r="CA51" s="229">
        <f>IF(CA$6&lt;='General Inputs'!$C$37,OtherIncome,(1+CA$49)*BZ51)</f>
        <v>61.585059807409728</v>
      </c>
      <c r="CB51" s="229">
        <f>IF(CB$6&lt;='General Inputs'!$C$37,OtherIncome,(1+CB$49)*CA51)</f>
        <v>61.736945178838255</v>
      </c>
      <c r="CC51" s="229">
        <f>IF(CC$6&lt;='General Inputs'!$C$37,OtherIncome,(1+CC$49)*CB51)</f>
        <v>61.889205140567192</v>
      </c>
      <c r="CD51" s="229">
        <f>IF(CD$6&lt;='General Inputs'!$C$37,OtherIncome,(1+CD$49)*CC51)</f>
        <v>62.041840616437277</v>
      </c>
      <c r="CE51" s="229">
        <f>IF(CE$6&lt;='General Inputs'!$C$37,OtherIncome,(1+CE$49)*CD51)</f>
        <v>62.19485253256768</v>
      </c>
      <c r="CF51" s="229">
        <f>IF(CF$6&lt;='General Inputs'!$C$37,OtherIncome,(1+CF$49)*CE51)</f>
        <v>62.34824181736164</v>
      </c>
      <c r="CG51" s="229">
        <f>IF(CG$6&lt;='General Inputs'!$C$37,OtherIncome,(1+CG$49)*CF51)</f>
        <v>62.502009401512076</v>
      </c>
      <c r="CH51" s="229">
        <f>IF(CH$6&lt;='General Inputs'!$C$37,OtherIncome,(1+CH$49)*CG51)</f>
        <v>62.656156218007268</v>
      </c>
      <c r="CI51" s="229">
        <f>IF(CI$6&lt;='General Inputs'!$C$37,OtherIncome,(1+CI$49)*CH51)</f>
        <v>62.810683202136481</v>
      </c>
      <c r="CJ51" s="229">
        <f>IF(CJ$6&lt;='General Inputs'!$C$37,OtherIncome,(1+CJ$49)*CI51)</f>
        <v>62.965591291495656</v>
      </c>
      <c r="CK51" s="229">
        <f>IF(CK$6&lt;='General Inputs'!$C$37,OtherIncome,(1+CK$49)*CJ51)</f>
        <v>63.120881425993097</v>
      </c>
      <c r="CL51" s="229">
        <f>IF(CL$6&lt;='General Inputs'!$C$37,OtherIncome,(1+CL$49)*CK51)</f>
        <v>63.276554547855191</v>
      </c>
      <c r="CM51" s="229">
        <f>IF(CM$6&lt;='General Inputs'!$C$37,OtherIncome,(1+CM$49)*CL51)</f>
        <v>63.43261160163209</v>
      </c>
      <c r="CN51" s="229">
        <f>IF(CN$6&lt;='General Inputs'!$C$37,OtherIncome,(1+CN$49)*CM51)</f>
        <v>63.589053534203472</v>
      </c>
      <c r="CO51" s="229">
        <f>IF(CO$6&lt;='General Inputs'!$C$37,OtherIncome,(1+CO$49)*CN51)</f>
        <v>63.745881294784276</v>
      </c>
      <c r="CP51" s="229">
        <f>IF(CP$6&lt;='General Inputs'!$C$37,OtherIncome,(1+CP$49)*CO51)</f>
        <v>63.903095834930461</v>
      </c>
      <c r="CQ51" s="229">
        <f>IF(CQ$6&lt;='General Inputs'!$C$37,OtherIncome,(1+CQ$49)*CP51)</f>
        <v>64.06069810854477</v>
      </c>
      <c r="CR51" s="229">
        <f>IF(CR$6&lt;='General Inputs'!$C$37,OtherIncome,(1+CR$49)*CQ51)</f>
        <v>64.218689071882551</v>
      </c>
      <c r="CS51" s="229">
        <f>IF(CS$6&lt;='General Inputs'!$C$37,OtherIncome,(1+CS$49)*CR51)</f>
        <v>64.377069683557508</v>
      </c>
      <c r="CT51" s="229">
        <f>IF(CT$6&lt;='General Inputs'!$C$37,OtherIncome,(1+CT$49)*CS51)</f>
        <v>64.535840904547555</v>
      </c>
      <c r="CU51" s="229">
        <f>IF(CU$6&lt;='General Inputs'!$C$37,OtherIncome,(1+CU$49)*CT51)</f>
        <v>64.695003698200637</v>
      </c>
      <c r="CV51" s="229">
        <f>IF(CV$6&lt;='General Inputs'!$C$37,OtherIncome,(1+CV$49)*CU51)</f>
        <v>64.85455903024058</v>
      </c>
      <c r="CW51" s="229">
        <f>IF(CW$6&lt;='General Inputs'!$C$37,OtherIncome,(1+CW$49)*CV51)</f>
        <v>65.014507868772952</v>
      </c>
      <c r="CX51" s="229">
        <f>IF(CX$6&lt;='General Inputs'!$C$37,OtherIncome,(1+CX$49)*CW51)</f>
        <v>65.174851184290901</v>
      </c>
      <c r="CY51" s="229">
        <f>IF(CY$6&lt;='General Inputs'!$C$37,OtherIncome,(1+CY$49)*CX51)</f>
        <v>65.335589949681108</v>
      </c>
      <c r="CZ51" s="229">
        <f>IF(CZ$6&lt;='General Inputs'!$C$37,OtherIncome,(1+CZ$49)*CY51)</f>
        <v>65.496725140229628</v>
      </c>
      <c r="DA51" s="229">
        <f>IF(DA$6&lt;='General Inputs'!$C$37,OtherIncome,(1+DA$49)*CZ51)</f>
        <v>65.658257733627863</v>
      </c>
      <c r="DB51" s="229">
        <f>IF(DB$6&lt;='General Inputs'!$C$37,OtherIncome,(1+DB$49)*DA51)</f>
        <v>65.820188709978439</v>
      </c>
      <c r="DC51" s="229">
        <f>IF(DC$6&lt;='General Inputs'!$C$37,OtherIncome,(1+DC$49)*DB51)</f>
        <v>65.982519051801177</v>
      </c>
      <c r="DD51" s="229">
        <f>IF(DD$6&lt;='General Inputs'!$C$37,OtherIncome,(1+DD$49)*DC51)</f>
        <v>66.145249744039091</v>
      </c>
      <c r="DE51" s="229">
        <f>IF(DE$6&lt;='General Inputs'!$C$37,OtherIncome,(1+DE$49)*DD51)</f>
        <v>66.308381774064287</v>
      </c>
      <c r="DF51" s="229">
        <f>IF(DF$6&lt;='General Inputs'!$C$37,OtherIncome,(1+DF$49)*DE51)</f>
        <v>66.47191613168404</v>
      </c>
      <c r="DG51" s="229">
        <f>IF(DG$6&lt;='General Inputs'!$C$37,OtherIncome,(1+DG$49)*DF51)</f>
        <v>66.635853809146724</v>
      </c>
      <c r="DH51" s="229">
        <f>IF(DH$6&lt;='General Inputs'!$C$37,OtherIncome,(1+DH$49)*DG51)</f>
        <v>66.800195801147865</v>
      </c>
      <c r="DI51" s="229">
        <f>IF(DI$6&lt;='General Inputs'!$C$37,OtherIncome,(1+DI$49)*DH51)</f>
        <v>66.964943104836209</v>
      </c>
      <c r="DJ51" s="229">
        <f>IF(DJ$6&lt;='General Inputs'!$C$37,OtherIncome,(1+DJ$49)*DI51)</f>
        <v>67.130096719819704</v>
      </c>
      <c r="DK51" s="229">
        <f>IF(DK$6&lt;='General Inputs'!$C$37,OtherIncome,(1+DK$49)*DJ51)</f>
        <v>67.295657648171613</v>
      </c>
      <c r="DL51" s="229">
        <f>IF(DL$6&lt;='General Inputs'!$C$37,OtherIncome,(1+DL$49)*DK51)</f>
        <v>67.461626894436591</v>
      </c>
      <c r="DM51" s="229">
        <f>IF(DM$6&lt;='General Inputs'!$C$37,OtherIncome,(1+DM$49)*DL51)</f>
        <v>67.628005465636775</v>
      </c>
      <c r="DN51" s="229">
        <f>IF(DN$6&lt;='General Inputs'!$C$37,OtherIncome,(1+DN$49)*DM51)</f>
        <v>67.79479437127786</v>
      </c>
      <c r="DO51" s="229">
        <f>IF(DO$6&lt;='General Inputs'!$C$37,OtherIncome,(1+DO$49)*DN51)</f>
        <v>67.961994623355281</v>
      </c>
      <c r="DP51" s="229">
        <f>IF(DP$6&lt;='General Inputs'!$C$37,OtherIncome,(1+DP$49)*DO51)</f>
        <v>68.129607236360329</v>
      </c>
      <c r="DQ51" s="229">
        <f>IF(DQ$6&lt;='General Inputs'!$C$37,OtherIncome,(1+DQ$49)*DP51)</f>
        <v>68.297633227286283</v>
      </c>
      <c r="DR51" s="229">
        <f>IF(DR$6&lt;='General Inputs'!$C$37,OtherIncome,(1+DR$49)*DQ51)</f>
        <v>68.466073615634627</v>
      </c>
      <c r="DS51" s="229">
        <f>IF(DS$6&lt;='General Inputs'!$C$37,OtherIncome,(1+DS$49)*DR51)</f>
        <v>68.634929423421184</v>
      </c>
      <c r="DT51" s="229">
        <f>IF(DT$6&lt;='General Inputs'!$C$37,OtherIncome,(1+DT$49)*DS51)</f>
        <v>68.80420167518237</v>
      </c>
      <c r="DU51" s="229">
        <f>IF(DU$6&lt;='General Inputs'!$C$37,OtherIncome,(1+DU$49)*DT51)</f>
        <v>68.973891397981362</v>
      </c>
      <c r="DV51" s="229">
        <f>IF(DV$6&lt;='General Inputs'!$C$37,OtherIncome,(1+DV$49)*DU51)</f>
        <v>69.143999621414366</v>
      </c>
      <c r="DW51" s="229">
        <f>IF(DW$6&lt;='General Inputs'!$C$37,OtherIncome,(1+DW$49)*DV51)</f>
        <v>69.314527377616841</v>
      </c>
      <c r="DX51" s="229">
        <f>IF(DX$6&lt;='General Inputs'!$C$37,OtherIncome,(1+DX$49)*DW51)</f>
        <v>69.485475701269777</v>
      </c>
      <c r="DY51" s="229">
        <f>IF(DY$6&lt;='General Inputs'!$C$37,OtherIncome,(1+DY$49)*DX51)</f>
        <v>69.656845629605968</v>
      </c>
      <c r="DZ51" s="229">
        <f>IF(DZ$6&lt;='General Inputs'!$C$37,OtherIncome,(1+DZ$49)*DY51)</f>
        <v>69.828638202416286</v>
      </c>
      <c r="EA51" s="229">
        <f>IF(EA$6&lt;='General Inputs'!$C$37,OtherIncome,(1+EA$49)*DZ51)</f>
        <v>70.00085446205604</v>
      </c>
      <c r="EB51" s="229">
        <f>IF(EB$6&lt;='General Inputs'!$C$37,OtherIncome,(1+EB$49)*EA51)</f>
        <v>70.173495453451238</v>
      </c>
      <c r="EC51" s="229">
        <f>IF(EC$6&lt;='General Inputs'!$C$37,OtherIncome,(1+EC$49)*EB51)</f>
        <v>70.346562224104972</v>
      </c>
      <c r="ED51" s="229">
        <f>IF(ED$6&lt;='General Inputs'!$C$37,OtherIncome,(1+ED$49)*EC51)</f>
        <v>70.520055824103764</v>
      </c>
      <c r="EE51" s="229">
        <f>IF(EE$6&lt;='General Inputs'!$C$37,OtherIncome,(1+EE$49)*ED51)</f>
        <v>70.693977306123926</v>
      </c>
      <c r="EF51" s="229">
        <f>IF(EF$6&lt;='General Inputs'!$C$37,OtherIncome,(1+EF$49)*EE51)</f>
        <v>70.868327725437936</v>
      </c>
      <c r="EG51" s="229">
        <f>IF(EG$6&lt;='General Inputs'!$C$37,OtherIncome,(1+EG$49)*EF51)</f>
        <v>71.043108139920889</v>
      </c>
      <c r="EH51" s="229">
        <f>IF(EH$6&lt;='General Inputs'!$C$37,OtherIncome,(1+EH$49)*EG51)</f>
        <v>71.218319610056881</v>
      </c>
      <c r="EK51" s="280"/>
    </row>
    <row r="52" spans="1:141" ht="7.5" customHeight="1" collapsed="1" thickBot="1" x14ac:dyDescent="0.35">
      <c r="G52" s="229"/>
      <c r="H52" s="229"/>
      <c r="I52" s="229"/>
      <c r="J52" s="229"/>
      <c r="K52" s="229"/>
      <c r="L52" s="229"/>
      <c r="M52" s="229"/>
      <c r="N52" s="229"/>
      <c r="O52" s="229"/>
      <c r="P52" s="229"/>
      <c r="Q52" s="229"/>
      <c r="R52" s="229"/>
      <c r="S52" s="229"/>
      <c r="T52" s="229"/>
      <c r="U52" s="229"/>
      <c r="V52" s="233"/>
      <c r="W52" s="233"/>
      <c r="X52" s="233"/>
      <c r="Y52" s="233"/>
      <c r="Z52" s="233"/>
      <c r="AA52" s="233"/>
      <c r="AB52" s="233"/>
      <c r="AC52" s="233"/>
      <c r="AD52" s="233"/>
      <c r="AE52" s="233"/>
      <c r="AF52" s="233"/>
      <c r="AG52" s="233"/>
      <c r="AH52" s="233"/>
      <c r="AI52" s="233"/>
      <c r="AJ52" s="233"/>
      <c r="AK52" s="233"/>
      <c r="AL52" s="229"/>
      <c r="AM52" s="229"/>
      <c r="AN52" s="229"/>
      <c r="AO52" s="229"/>
      <c r="AP52" s="229"/>
      <c r="AQ52" s="229"/>
      <c r="AR52" s="229"/>
      <c r="AS52" s="229"/>
      <c r="AT52" s="229"/>
      <c r="AU52" s="229"/>
      <c r="AV52" s="229"/>
      <c r="AW52" s="229"/>
      <c r="AX52" s="229"/>
      <c r="AY52" s="229"/>
      <c r="AZ52" s="229"/>
      <c r="BA52" s="229"/>
      <c r="BB52" s="229"/>
      <c r="BC52" s="229"/>
      <c r="BD52" s="229"/>
      <c r="BE52" s="229"/>
      <c r="BF52" s="229"/>
      <c r="BG52" s="229"/>
      <c r="BH52" s="229"/>
      <c r="BI52" s="229"/>
      <c r="BJ52" s="229"/>
      <c r="BK52" s="229"/>
      <c r="BL52" s="229"/>
      <c r="BM52" s="229"/>
      <c r="BN52" s="229"/>
      <c r="BO52" s="229"/>
      <c r="BP52" s="229"/>
      <c r="BQ52" s="229"/>
      <c r="BR52" s="229"/>
      <c r="BS52" s="229"/>
      <c r="BT52" s="229"/>
      <c r="BU52" s="229"/>
      <c r="BV52" s="229"/>
      <c r="BW52" s="229"/>
      <c r="BX52" s="229"/>
      <c r="BY52" s="229"/>
      <c r="BZ52" s="229"/>
      <c r="CA52" s="229"/>
      <c r="CB52" s="229"/>
      <c r="CC52" s="229"/>
      <c r="CD52" s="229"/>
      <c r="CE52" s="229"/>
      <c r="CF52" s="229"/>
      <c r="CG52" s="229"/>
      <c r="CH52" s="229"/>
      <c r="CI52" s="229"/>
      <c r="CJ52" s="229"/>
      <c r="CK52" s="229"/>
      <c r="CL52" s="229"/>
      <c r="CM52" s="229"/>
      <c r="CN52" s="229"/>
      <c r="CO52" s="229"/>
      <c r="CP52" s="229"/>
      <c r="CQ52" s="229"/>
      <c r="CR52" s="229"/>
      <c r="CS52" s="229"/>
      <c r="CT52" s="229"/>
      <c r="CU52" s="229"/>
      <c r="CV52" s="229"/>
      <c r="CW52" s="229"/>
      <c r="CX52" s="229"/>
      <c r="CY52" s="229"/>
      <c r="CZ52" s="229"/>
      <c r="DA52" s="229"/>
      <c r="DB52" s="229"/>
      <c r="DC52" s="229"/>
      <c r="DD52" s="229"/>
      <c r="DE52" s="229"/>
      <c r="DF52" s="229"/>
      <c r="DG52" s="229"/>
      <c r="DH52" s="229"/>
      <c r="DI52" s="229"/>
      <c r="DJ52" s="229"/>
      <c r="DK52" s="229"/>
      <c r="DL52" s="229"/>
      <c r="DM52" s="229"/>
      <c r="DN52" s="229"/>
      <c r="DO52" s="229"/>
      <c r="DP52" s="229"/>
      <c r="DQ52" s="229"/>
      <c r="DR52" s="229"/>
      <c r="DS52" s="229"/>
      <c r="DT52" s="229"/>
      <c r="DU52" s="229"/>
      <c r="DV52" s="229"/>
      <c r="DW52" s="229"/>
      <c r="DX52" s="229"/>
      <c r="DY52" s="229"/>
      <c r="DZ52" s="229"/>
      <c r="EA52" s="229"/>
      <c r="EB52" s="229"/>
      <c r="EC52" s="229"/>
      <c r="ED52" s="229"/>
      <c r="EE52" s="229"/>
      <c r="EF52" s="229"/>
      <c r="EG52" s="229"/>
      <c r="EH52" s="229"/>
      <c r="EK52" s="672"/>
    </row>
    <row r="53" spans="1:141" ht="15" thickTop="1" x14ac:dyDescent="0.3">
      <c r="A53" s="2779" t="s">
        <v>2397</v>
      </c>
      <c r="B53" s="2780"/>
      <c r="C53" s="2781"/>
      <c r="D53" s="657"/>
      <c r="E53" s="673"/>
      <c r="F53" s="673"/>
      <c r="G53" s="322"/>
      <c r="H53" s="322"/>
      <c r="I53" s="322"/>
      <c r="J53" s="322"/>
      <c r="K53" s="322"/>
      <c r="L53" s="322"/>
      <c r="M53" s="322"/>
      <c r="N53" s="322"/>
      <c r="O53" s="322"/>
      <c r="P53" s="322"/>
      <c r="Q53" s="322"/>
      <c r="R53" s="322"/>
      <c r="S53" s="322"/>
      <c r="T53" s="2557"/>
      <c r="U53" s="2557"/>
      <c r="V53" s="2557"/>
      <c r="W53" s="2557"/>
      <c r="X53" s="2557"/>
      <c r="Y53" s="2557"/>
      <c r="Z53" s="2557"/>
      <c r="AA53" s="2557"/>
      <c r="AB53" s="2557"/>
      <c r="AC53" s="2557"/>
      <c r="AD53" s="2557"/>
      <c r="AE53" s="2557"/>
      <c r="AF53" s="2557"/>
      <c r="AG53" s="2557"/>
      <c r="AH53" s="2557"/>
      <c r="AI53" s="2557"/>
      <c r="AJ53" s="2557"/>
      <c r="AK53" s="2557"/>
      <c r="AL53" s="2557"/>
      <c r="AM53" s="322"/>
      <c r="AN53" s="322"/>
      <c r="AO53" s="322"/>
      <c r="AP53" s="322"/>
      <c r="AQ53" s="322"/>
      <c r="AR53" s="322"/>
      <c r="AS53" s="322"/>
      <c r="AT53" s="322"/>
      <c r="AU53" s="322"/>
      <c r="AV53" s="322"/>
      <c r="AW53" s="322"/>
      <c r="AX53" s="322"/>
      <c r="AY53" s="322"/>
      <c r="AZ53" s="322"/>
      <c r="BA53" s="322"/>
      <c r="BB53" s="322"/>
      <c r="BC53" s="322"/>
      <c r="BD53" s="322"/>
      <c r="BE53" s="322"/>
      <c r="BF53" s="322"/>
      <c r="BG53" s="322"/>
      <c r="BH53" s="322"/>
      <c r="BI53" s="322"/>
      <c r="BJ53" s="322"/>
      <c r="BK53" s="322"/>
      <c r="BL53" s="322"/>
      <c r="BM53" s="322"/>
      <c r="BN53" s="322"/>
      <c r="BO53" s="322"/>
      <c r="BP53" s="322"/>
      <c r="BQ53" s="322"/>
      <c r="BR53" s="322"/>
      <c r="BS53" s="322"/>
      <c r="BT53" s="322"/>
      <c r="BU53" s="322"/>
      <c r="BV53" s="322"/>
      <c r="BW53" s="322"/>
      <c r="BX53" s="322"/>
      <c r="BY53" s="322"/>
      <c r="BZ53" s="322"/>
      <c r="CA53" s="322"/>
      <c r="CB53" s="322"/>
      <c r="CC53" s="322"/>
      <c r="CD53" s="322"/>
      <c r="CE53" s="322"/>
      <c r="CF53" s="322"/>
      <c r="CG53" s="322"/>
      <c r="CH53" s="322"/>
      <c r="CI53" s="322"/>
      <c r="CJ53" s="322"/>
      <c r="CK53" s="322"/>
      <c r="CL53" s="322"/>
      <c r="CM53" s="322"/>
      <c r="CN53" s="322"/>
      <c r="CO53" s="322"/>
      <c r="CP53" s="322"/>
      <c r="CQ53" s="322"/>
      <c r="CR53" s="322"/>
      <c r="CS53" s="322"/>
      <c r="CT53" s="322"/>
      <c r="CU53" s="322"/>
      <c r="CV53" s="322"/>
      <c r="CW53" s="322"/>
      <c r="CX53" s="322"/>
      <c r="CY53" s="322"/>
      <c r="CZ53" s="322"/>
      <c r="DA53" s="322"/>
      <c r="DB53" s="322"/>
      <c r="DC53" s="322"/>
      <c r="DD53" s="322"/>
      <c r="DE53" s="322"/>
      <c r="DF53" s="322"/>
      <c r="DG53" s="322"/>
      <c r="DH53" s="322"/>
      <c r="DI53" s="322"/>
      <c r="DJ53" s="322"/>
      <c r="DK53" s="322"/>
      <c r="DL53" s="322"/>
      <c r="DM53" s="322"/>
      <c r="DN53" s="322"/>
      <c r="DO53" s="322"/>
      <c r="DP53" s="322"/>
      <c r="DQ53" s="322"/>
      <c r="DR53" s="322"/>
      <c r="DS53" s="322"/>
      <c r="DT53" s="322"/>
      <c r="DU53" s="322"/>
      <c r="DV53" s="322"/>
      <c r="DW53" s="322"/>
      <c r="DX53" s="322"/>
      <c r="DY53" s="322"/>
      <c r="DZ53" s="322"/>
      <c r="EA53" s="322"/>
      <c r="EB53" s="322"/>
      <c r="EC53" s="322"/>
      <c r="ED53" s="322"/>
      <c r="EE53" s="322"/>
      <c r="EF53" s="322"/>
      <c r="EG53" s="322"/>
      <c r="EH53" s="322"/>
      <c r="EK53" s="672"/>
    </row>
    <row r="54" spans="1:141" x14ac:dyDescent="0.3">
      <c r="A54" t="s">
        <v>2398</v>
      </c>
      <c r="E54" s="652">
        <f t="shared" ref="E54:AJ54" si="50">(E44*BMRUnits)</f>
        <v>0</v>
      </c>
      <c r="F54" s="652">
        <f t="shared" si="50"/>
        <v>0</v>
      </c>
      <c r="G54" s="227">
        <f t="shared" si="50"/>
        <v>0</v>
      </c>
      <c r="H54" s="227">
        <f t="shared" si="50"/>
        <v>0</v>
      </c>
      <c r="I54" s="227">
        <f t="shared" si="50"/>
        <v>0</v>
      </c>
      <c r="J54" s="227">
        <f t="shared" si="50"/>
        <v>0</v>
      </c>
      <c r="K54" s="227">
        <f t="shared" si="50"/>
        <v>0</v>
      </c>
      <c r="L54" s="227">
        <f t="shared" si="50"/>
        <v>0</v>
      </c>
      <c r="M54" s="227">
        <f t="shared" si="50"/>
        <v>0</v>
      </c>
      <c r="N54" s="227">
        <f t="shared" si="50"/>
        <v>0</v>
      </c>
      <c r="O54" s="227">
        <f t="shared" si="50"/>
        <v>0</v>
      </c>
      <c r="P54" s="227">
        <f t="shared" si="50"/>
        <v>0</v>
      </c>
      <c r="Q54" s="227">
        <f t="shared" si="50"/>
        <v>0</v>
      </c>
      <c r="R54" s="227">
        <f t="shared" si="50"/>
        <v>0</v>
      </c>
      <c r="S54" s="227">
        <f t="shared" si="50"/>
        <v>0</v>
      </c>
      <c r="T54" s="227">
        <f t="shared" si="50"/>
        <v>0</v>
      </c>
      <c r="U54" s="227">
        <f t="shared" si="50"/>
        <v>0</v>
      </c>
      <c r="V54" s="227">
        <f t="shared" si="50"/>
        <v>0</v>
      </c>
      <c r="W54" s="227">
        <f t="shared" si="50"/>
        <v>0</v>
      </c>
      <c r="X54" s="227">
        <f t="shared" si="50"/>
        <v>0</v>
      </c>
      <c r="Y54" s="227">
        <f t="shared" si="50"/>
        <v>0</v>
      </c>
      <c r="Z54" s="227">
        <f t="shared" si="50"/>
        <v>0</v>
      </c>
      <c r="AA54" s="227">
        <f t="shared" si="50"/>
        <v>0</v>
      </c>
      <c r="AB54" s="227">
        <f t="shared" si="50"/>
        <v>0</v>
      </c>
      <c r="AC54" s="227">
        <f t="shared" si="50"/>
        <v>0</v>
      </c>
      <c r="AD54" s="227">
        <f t="shared" si="50"/>
        <v>0</v>
      </c>
      <c r="AE54" s="227">
        <f t="shared" si="50"/>
        <v>0</v>
      </c>
      <c r="AF54" s="227">
        <f t="shared" si="50"/>
        <v>0</v>
      </c>
      <c r="AG54" s="227">
        <f t="shared" si="50"/>
        <v>0</v>
      </c>
      <c r="AH54" s="227">
        <f t="shared" si="50"/>
        <v>0</v>
      </c>
      <c r="AI54" s="227">
        <f t="shared" si="50"/>
        <v>0</v>
      </c>
      <c r="AJ54" s="227">
        <f t="shared" si="50"/>
        <v>0</v>
      </c>
      <c r="AK54" s="227">
        <f t="shared" ref="AK54:BP54" si="51">(AK44*BMRUnits)</f>
        <v>0</v>
      </c>
      <c r="AL54" s="227">
        <f t="shared" si="51"/>
        <v>0</v>
      </c>
      <c r="AM54" s="227">
        <f t="shared" si="51"/>
        <v>0</v>
      </c>
      <c r="AN54" s="227">
        <f t="shared" si="51"/>
        <v>0</v>
      </c>
      <c r="AO54" s="227">
        <f t="shared" si="51"/>
        <v>0</v>
      </c>
      <c r="AP54" s="227">
        <f t="shared" si="51"/>
        <v>0</v>
      </c>
      <c r="AQ54" s="227">
        <f t="shared" si="51"/>
        <v>0</v>
      </c>
      <c r="AR54" s="227">
        <f t="shared" si="51"/>
        <v>0</v>
      </c>
      <c r="AS54" s="227">
        <f t="shared" si="51"/>
        <v>0</v>
      </c>
      <c r="AT54" s="227">
        <f t="shared" si="51"/>
        <v>0</v>
      </c>
      <c r="AU54" s="227">
        <f t="shared" si="51"/>
        <v>0</v>
      </c>
      <c r="AV54" s="227">
        <f t="shared" si="51"/>
        <v>0</v>
      </c>
      <c r="AW54" s="227">
        <f t="shared" si="51"/>
        <v>0</v>
      </c>
      <c r="AX54" s="227">
        <f t="shared" si="51"/>
        <v>0</v>
      </c>
      <c r="AY54" s="227">
        <f t="shared" si="51"/>
        <v>0</v>
      </c>
      <c r="AZ54" s="227">
        <f t="shared" si="51"/>
        <v>0</v>
      </c>
      <c r="BA54" s="227">
        <f t="shared" si="51"/>
        <v>0</v>
      </c>
      <c r="BB54" s="227">
        <f t="shared" si="51"/>
        <v>0</v>
      </c>
      <c r="BC54" s="227">
        <f t="shared" si="51"/>
        <v>0</v>
      </c>
      <c r="BD54" s="227">
        <f t="shared" si="51"/>
        <v>0</v>
      </c>
      <c r="BE54" s="227">
        <f t="shared" si="51"/>
        <v>0</v>
      </c>
      <c r="BF54" s="227">
        <f t="shared" si="51"/>
        <v>0</v>
      </c>
      <c r="BG54" s="227">
        <f t="shared" si="51"/>
        <v>0</v>
      </c>
      <c r="BH54" s="227">
        <f t="shared" si="51"/>
        <v>0</v>
      </c>
      <c r="BI54" s="227">
        <f t="shared" si="51"/>
        <v>0</v>
      </c>
      <c r="BJ54" s="227">
        <f t="shared" si="51"/>
        <v>0</v>
      </c>
      <c r="BK54" s="227">
        <f t="shared" si="51"/>
        <v>0</v>
      </c>
      <c r="BL54" s="227">
        <f t="shared" si="51"/>
        <v>0</v>
      </c>
      <c r="BM54" s="227">
        <f t="shared" si="51"/>
        <v>0</v>
      </c>
      <c r="BN54" s="227">
        <f t="shared" si="51"/>
        <v>0</v>
      </c>
      <c r="BO54" s="227">
        <f t="shared" si="51"/>
        <v>0</v>
      </c>
      <c r="BP54" s="227">
        <f t="shared" si="51"/>
        <v>0</v>
      </c>
      <c r="BQ54" s="227">
        <f t="shared" ref="BQ54:CV54" si="52">(BQ44*BMRUnits)</f>
        <v>0</v>
      </c>
      <c r="BR54" s="227">
        <f t="shared" si="52"/>
        <v>0</v>
      </c>
      <c r="BS54" s="227">
        <f t="shared" si="52"/>
        <v>0</v>
      </c>
      <c r="BT54" s="227">
        <f t="shared" si="52"/>
        <v>0</v>
      </c>
      <c r="BU54" s="227">
        <f t="shared" si="52"/>
        <v>0</v>
      </c>
      <c r="BV54" s="227">
        <f t="shared" si="52"/>
        <v>0</v>
      </c>
      <c r="BW54" s="227">
        <f t="shared" si="52"/>
        <v>0</v>
      </c>
      <c r="BX54" s="227">
        <f t="shared" si="52"/>
        <v>0</v>
      </c>
      <c r="BY54" s="227">
        <f t="shared" si="52"/>
        <v>0</v>
      </c>
      <c r="BZ54" s="227">
        <f t="shared" si="52"/>
        <v>0</v>
      </c>
      <c r="CA54" s="227">
        <f t="shared" si="52"/>
        <v>0</v>
      </c>
      <c r="CB54" s="227">
        <f t="shared" si="52"/>
        <v>0</v>
      </c>
      <c r="CC54" s="227">
        <f t="shared" si="52"/>
        <v>0</v>
      </c>
      <c r="CD54" s="227">
        <f t="shared" si="52"/>
        <v>0</v>
      </c>
      <c r="CE54" s="227">
        <f t="shared" si="52"/>
        <v>0</v>
      </c>
      <c r="CF54" s="227">
        <f t="shared" si="52"/>
        <v>0</v>
      </c>
      <c r="CG54" s="227">
        <f t="shared" si="52"/>
        <v>0</v>
      </c>
      <c r="CH54" s="227">
        <f t="shared" si="52"/>
        <v>0</v>
      </c>
      <c r="CI54" s="227">
        <f t="shared" si="52"/>
        <v>0</v>
      </c>
      <c r="CJ54" s="227">
        <f t="shared" si="52"/>
        <v>0</v>
      </c>
      <c r="CK54" s="227">
        <f t="shared" si="52"/>
        <v>0</v>
      </c>
      <c r="CL54" s="227">
        <f t="shared" si="52"/>
        <v>0</v>
      </c>
      <c r="CM54" s="227">
        <f t="shared" si="52"/>
        <v>0</v>
      </c>
      <c r="CN54" s="227">
        <f t="shared" si="52"/>
        <v>0</v>
      </c>
      <c r="CO54" s="227">
        <f t="shared" si="52"/>
        <v>0</v>
      </c>
      <c r="CP54" s="227">
        <f t="shared" si="52"/>
        <v>0</v>
      </c>
      <c r="CQ54" s="227">
        <f t="shared" si="52"/>
        <v>0</v>
      </c>
      <c r="CR54" s="227">
        <f t="shared" si="52"/>
        <v>0</v>
      </c>
      <c r="CS54" s="227">
        <f t="shared" si="52"/>
        <v>0</v>
      </c>
      <c r="CT54" s="227">
        <f t="shared" si="52"/>
        <v>0</v>
      </c>
      <c r="CU54" s="227">
        <f t="shared" si="52"/>
        <v>0</v>
      </c>
      <c r="CV54" s="227">
        <f t="shared" si="52"/>
        <v>0</v>
      </c>
      <c r="CW54" s="227">
        <f t="shared" ref="CW54:EB54" si="53">(CW44*BMRUnits)</f>
        <v>0</v>
      </c>
      <c r="CX54" s="227">
        <f t="shared" si="53"/>
        <v>0</v>
      </c>
      <c r="CY54" s="227">
        <f t="shared" si="53"/>
        <v>0</v>
      </c>
      <c r="CZ54" s="227">
        <f t="shared" si="53"/>
        <v>0</v>
      </c>
      <c r="DA54" s="227">
        <f t="shared" si="53"/>
        <v>0</v>
      </c>
      <c r="DB54" s="227">
        <f t="shared" si="53"/>
        <v>0</v>
      </c>
      <c r="DC54" s="227">
        <f t="shared" si="53"/>
        <v>0</v>
      </c>
      <c r="DD54" s="227">
        <f t="shared" si="53"/>
        <v>0</v>
      </c>
      <c r="DE54" s="227">
        <f t="shared" si="53"/>
        <v>0</v>
      </c>
      <c r="DF54" s="227">
        <f t="shared" si="53"/>
        <v>0</v>
      </c>
      <c r="DG54" s="227">
        <f t="shared" si="53"/>
        <v>0</v>
      </c>
      <c r="DH54" s="227">
        <f t="shared" si="53"/>
        <v>0</v>
      </c>
      <c r="DI54" s="227">
        <f t="shared" si="53"/>
        <v>0</v>
      </c>
      <c r="DJ54" s="227">
        <f t="shared" si="53"/>
        <v>0</v>
      </c>
      <c r="DK54" s="227">
        <f t="shared" si="53"/>
        <v>0</v>
      </c>
      <c r="DL54" s="227">
        <f t="shared" si="53"/>
        <v>0</v>
      </c>
      <c r="DM54" s="227">
        <f t="shared" si="53"/>
        <v>0</v>
      </c>
      <c r="DN54" s="227">
        <f t="shared" si="53"/>
        <v>0</v>
      </c>
      <c r="DO54" s="227">
        <f t="shared" si="53"/>
        <v>0</v>
      </c>
      <c r="DP54" s="227">
        <f t="shared" si="53"/>
        <v>0</v>
      </c>
      <c r="DQ54" s="227">
        <f t="shared" si="53"/>
        <v>0</v>
      </c>
      <c r="DR54" s="227">
        <f t="shared" si="53"/>
        <v>0</v>
      </c>
      <c r="DS54" s="227">
        <f t="shared" si="53"/>
        <v>0</v>
      </c>
      <c r="DT54" s="227">
        <f t="shared" si="53"/>
        <v>0</v>
      </c>
      <c r="DU54" s="227">
        <f t="shared" si="53"/>
        <v>0</v>
      </c>
      <c r="DV54" s="227">
        <f t="shared" si="53"/>
        <v>0</v>
      </c>
      <c r="DW54" s="227">
        <f t="shared" si="53"/>
        <v>0</v>
      </c>
      <c r="DX54" s="227">
        <f t="shared" si="53"/>
        <v>0</v>
      </c>
      <c r="DY54" s="227">
        <f t="shared" si="53"/>
        <v>0</v>
      </c>
      <c r="DZ54" s="227">
        <f t="shared" si="53"/>
        <v>0</v>
      </c>
      <c r="EA54" s="227">
        <f t="shared" si="53"/>
        <v>0</v>
      </c>
      <c r="EB54" s="227">
        <f t="shared" si="53"/>
        <v>0</v>
      </c>
      <c r="EC54" s="227">
        <f t="shared" ref="EC54:EH54" si="54">(EC44*BMRUnits)</f>
        <v>0</v>
      </c>
      <c r="ED54" s="227">
        <f t="shared" si="54"/>
        <v>0</v>
      </c>
      <c r="EE54" s="227">
        <f t="shared" si="54"/>
        <v>0</v>
      </c>
      <c r="EF54" s="227">
        <f t="shared" si="54"/>
        <v>0</v>
      </c>
      <c r="EG54" s="227">
        <f t="shared" si="54"/>
        <v>0</v>
      </c>
      <c r="EH54" s="227">
        <f t="shared" si="54"/>
        <v>0</v>
      </c>
      <c r="EK54" s="672"/>
    </row>
    <row r="55" spans="1:141" s="198" customFormat="1" x14ac:dyDescent="0.3">
      <c r="A55" s="198" t="s">
        <v>2399</v>
      </c>
      <c r="E55" s="230">
        <f t="shared" ref="E55:AJ55" si="55">E46*MarketRateUnits</f>
        <v>529614.43333333335</v>
      </c>
      <c r="F55" s="230">
        <f t="shared" si="55"/>
        <v>541630.94372707291</v>
      </c>
      <c r="G55" s="229">
        <f t="shared" si="55"/>
        <v>542410.89228604001</v>
      </c>
      <c r="H55" s="229">
        <f t="shared" si="55"/>
        <v>543191.96397093195</v>
      </c>
      <c r="I55" s="229">
        <f t="shared" si="55"/>
        <v>543974.1603990501</v>
      </c>
      <c r="J55" s="229">
        <f t="shared" si="55"/>
        <v>544857.21178609785</v>
      </c>
      <c r="K55" s="229">
        <f t="shared" si="55"/>
        <v>545741.69665989722</v>
      </c>
      <c r="L55" s="229">
        <f t="shared" si="55"/>
        <v>546627.61734747514</v>
      </c>
      <c r="M55" s="229">
        <f t="shared" si="55"/>
        <v>547958.65559571621</v>
      </c>
      <c r="N55" s="229">
        <f t="shared" si="55"/>
        <v>549292.93492209178</v>
      </c>
      <c r="O55" s="229">
        <f t="shared" si="55"/>
        <v>550630.46321862703</v>
      </c>
      <c r="P55" s="229">
        <f t="shared" si="55"/>
        <v>551971.24839656439</v>
      </c>
      <c r="Q55" s="229">
        <f t="shared" si="55"/>
        <v>553315.29838641</v>
      </c>
      <c r="R55" s="229">
        <f t="shared" si="55"/>
        <v>554662.62113798084</v>
      </c>
      <c r="S55" s="229">
        <f t="shared" si="55"/>
        <v>555563.02345962811</v>
      </c>
      <c r="T55" s="229">
        <f t="shared" si="55"/>
        <v>556464.88743437757</v>
      </c>
      <c r="U55" s="229">
        <f t="shared" si="55"/>
        <v>557368.21543497941</v>
      </c>
      <c r="V55" s="229">
        <f t="shared" si="55"/>
        <v>559434.19362019177</v>
      </c>
      <c r="W55" s="229">
        <f t="shared" si="55"/>
        <v>561507.82969787729</v>
      </c>
      <c r="X55" s="229">
        <f t="shared" si="55"/>
        <v>563589.15205329075</v>
      </c>
      <c r="Y55" s="229">
        <f t="shared" si="55"/>
        <v>566722.70773870707</v>
      </c>
      <c r="Z55" s="229">
        <f t="shared" si="55"/>
        <v>569873.68599373428</v>
      </c>
      <c r="AA55" s="229">
        <f t="shared" si="55"/>
        <v>573042.18368785945</v>
      </c>
      <c r="AB55" s="229">
        <f t="shared" si="55"/>
        <v>576228.29822916398</v>
      </c>
      <c r="AC55" s="229">
        <f t="shared" si="55"/>
        <v>579432.12756731815</v>
      </c>
      <c r="AD55" s="229">
        <f t="shared" si="55"/>
        <v>582653.77019659244</v>
      </c>
      <c r="AE55" s="229">
        <f t="shared" si="55"/>
        <v>584813.47350478789</v>
      </c>
      <c r="AF55" s="229">
        <f t="shared" si="55"/>
        <v>586981.18211324571</v>
      </c>
      <c r="AG55" s="229">
        <f t="shared" si="55"/>
        <v>589156.9256949455</v>
      </c>
      <c r="AH55" s="229">
        <f t="shared" si="55"/>
        <v>591136.49296528054</v>
      </c>
      <c r="AI55" s="229">
        <f t="shared" si="55"/>
        <v>593122.7115816439</v>
      </c>
      <c r="AJ55" s="229">
        <f t="shared" si="55"/>
        <v>595115.60389255825</v>
      </c>
      <c r="AK55" s="229">
        <f t="shared" ref="AK55:BP55" si="56">AK46*MarketRateUnits</f>
        <v>598114.98653617676</v>
      </c>
      <c r="AL55" s="229">
        <f t="shared" si="56"/>
        <v>601129.48606831906</v>
      </c>
      <c r="AM55" s="229">
        <f t="shared" si="56"/>
        <v>604159.17867810337</v>
      </c>
      <c r="AN55" s="229">
        <f>AN46*MarketRateUnits</f>
        <v>607204.14093864092</v>
      </c>
      <c r="AO55" s="229">
        <f t="shared" si="56"/>
        <v>610264.44980897161</v>
      </c>
      <c r="AP55" s="229">
        <f t="shared" si="56"/>
        <v>613340.18263600883</v>
      </c>
      <c r="AQ55" s="229">
        <f t="shared" si="56"/>
        <v>615401.00564966584</v>
      </c>
      <c r="AR55" s="229">
        <f t="shared" si="56"/>
        <v>617468.75302864879</v>
      </c>
      <c r="AS55" s="229">
        <f t="shared" si="56"/>
        <v>619543.44803882507</v>
      </c>
      <c r="AT55" s="229">
        <f t="shared" si="56"/>
        <v>620887.85732106934</v>
      </c>
      <c r="AU55" s="229">
        <f t="shared" si="56"/>
        <v>622235.18397145602</v>
      </c>
      <c r="AV55" s="229">
        <f t="shared" si="56"/>
        <v>623585.43432067405</v>
      </c>
      <c r="AW55" s="229">
        <f t="shared" si="56"/>
        <v>625615.20490938786</v>
      </c>
      <c r="AX55" s="229">
        <f t="shared" si="56"/>
        <v>627651.58240136795</v>
      </c>
      <c r="AY55" s="229">
        <f t="shared" si="56"/>
        <v>629694.58830208436</v>
      </c>
      <c r="AZ55" s="229">
        <f t="shared" si="56"/>
        <v>631744.24418700766</v>
      </c>
      <c r="BA55" s="229">
        <f t="shared" si="56"/>
        <v>633800.57170183642</v>
      </c>
      <c r="BB55" s="229">
        <f t="shared" si="56"/>
        <v>635863.59256272588</v>
      </c>
      <c r="BC55" s="229">
        <f t="shared" si="56"/>
        <v>637243.41655858699</v>
      </c>
      <c r="BD55" s="229">
        <f t="shared" si="56"/>
        <v>638626.23477251909</v>
      </c>
      <c r="BE55" s="229">
        <f t="shared" si="56"/>
        <v>640012.0537019755</v>
      </c>
      <c r="BF55" s="229">
        <f t="shared" si="56"/>
        <v>641781.68703046138</v>
      </c>
      <c r="BG55" s="229">
        <f t="shared" si="56"/>
        <v>643556.21339510055</v>
      </c>
      <c r="BH55" s="229">
        <f t="shared" si="56"/>
        <v>645335.64632513793</v>
      </c>
      <c r="BI55" s="229">
        <f t="shared" si="56"/>
        <v>648012.17591827142</v>
      </c>
      <c r="BJ55" s="229">
        <f t="shared" si="56"/>
        <v>650699.80641789245</v>
      </c>
      <c r="BK55" s="229">
        <f t="shared" si="56"/>
        <v>653398.58386501065</v>
      </c>
      <c r="BL55" s="229">
        <f t="shared" si="56"/>
        <v>656108.55449159071</v>
      </c>
      <c r="BM55" s="229">
        <f t="shared" si="56"/>
        <v>658829.76472134457</v>
      </c>
      <c r="BN55" s="229">
        <f t="shared" si="56"/>
        <v>661562.26117052638</v>
      </c>
      <c r="BO55" s="229">
        <f t="shared" si="56"/>
        <v>663391.48082266282</v>
      </c>
      <c r="BP55" s="229">
        <f t="shared" si="56"/>
        <v>665225.75826713745</v>
      </c>
      <c r="BQ55" s="229">
        <f t="shared" ref="BQ55:CV55" si="57">BQ46*MarketRateUnits</f>
        <v>667065.10748874606</v>
      </c>
      <c r="BR55" s="229">
        <f t="shared" si="57"/>
        <v>668909.54251095233</v>
      </c>
      <c r="BS55" s="229">
        <f t="shared" si="57"/>
        <v>670759.07739599503</v>
      </c>
      <c r="BT55" s="229">
        <f t="shared" si="57"/>
        <v>672613.7262449949</v>
      </c>
      <c r="BU55" s="229">
        <f t="shared" si="57"/>
        <v>675403.391674596</v>
      </c>
      <c r="BV55" s="229">
        <f t="shared" si="57"/>
        <v>678204.62724156631</v>
      </c>
      <c r="BW55" s="229">
        <f t="shared" si="57"/>
        <v>681017.48093305074</v>
      </c>
      <c r="BX55" s="229">
        <f t="shared" si="57"/>
        <v>683842.00093522051</v>
      </c>
      <c r="BY55" s="229">
        <f t="shared" si="57"/>
        <v>686678.23563409934</v>
      </c>
      <c r="BZ55" s="229">
        <f t="shared" si="57"/>
        <v>689526.23361639178</v>
      </c>
      <c r="CA55" s="229">
        <f t="shared" si="57"/>
        <v>691432.77365234098</v>
      </c>
      <c r="CB55" s="229">
        <f t="shared" si="57"/>
        <v>693344.58527148969</v>
      </c>
      <c r="CC55" s="229">
        <f t="shared" si="57"/>
        <v>695261.6830497653</v>
      </c>
      <c r="CD55" s="229">
        <f t="shared" si="57"/>
        <v>697184.08160339785</v>
      </c>
      <c r="CE55" s="229">
        <f t="shared" si="57"/>
        <v>699111.79558903119</v>
      </c>
      <c r="CF55" s="229">
        <f t="shared" si="57"/>
        <v>701044.83970383485</v>
      </c>
      <c r="CG55" s="229">
        <f t="shared" si="57"/>
        <v>703952.42317650653</v>
      </c>
      <c r="CH55" s="229">
        <f t="shared" si="57"/>
        <v>706872.06585163111</v>
      </c>
      <c r="CI55" s="229">
        <f t="shared" si="57"/>
        <v>709803.81774475076</v>
      </c>
      <c r="CJ55" s="229">
        <f t="shared" si="57"/>
        <v>712747.7290788471</v>
      </c>
      <c r="CK55" s="229">
        <f t="shared" si="57"/>
        <v>715703.85028520157</v>
      </c>
      <c r="CL55" s="229">
        <f t="shared" si="57"/>
        <v>718672.23200425936</v>
      </c>
      <c r="CM55" s="229">
        <f t="shared" si="57"/>
        <v>720659.36072575103</v>
      </c>
      <c r="CN55" s="229">
        <f t="shared" si="57"/>
        <v>722651.98385815765</v>
      </c>
      <c r="CO55" s="229">
        <f t="shared" si="57"/>
        <v>724650.1165935254</v>
      </c>
      <c r="CP55" s="229">
        <f t="shared" si="57"/>
        <v>726653.77416590648</v>
      </c>
      <c r="CQ55" s="229">
        <f t="shared" si="57"/>
        <v>728662.97185147519</v>
      </c>
      <c r="CR55" s="229">
        <f t="shared" si="57"/>
        <v>730677.72496864444</v>
      </c>
      <c r="CS55" s="229">
        <f t="shared" si="57"/>
        <v>733708.21083295182</v>
      </c>
      <c r="CT55" s="229">
        <f t="shared" si="57"/>
        <v>736751.26563738147</v>
      </c>
      <c r="CU55" s="229">
        <f t="shared" si="57"/>
        <v>739806.9415116125</v>
      </c>
      <c r="CV55" s="229">
        <f t="shared" si="57"/>
        <v>742875.29080153187</v>
      </c>
      <c r="CW55" s="229">
        <f t="shared" ref="CW55:EB55" si="58">CW46*MarketRateUnits</f>
        <v>745956.36607013119</v>
      </c>
      <c r="CX55" s="229">
        <f t="shared" si="58"/>
        <v>749050.22009840701</v>
      </c>
      <c r="CY55" s="229">
        <f t="shared" si="58"/>
        <v>751121.34395697899</v>
      </c>
      <c r="CZ55" s="229">
        <f t="shared" si="58"/>
        <v>753198.19447301992</v>
      </c>
      <c r="DA55" s="229">
        <f t="shared" si="58"/>
        <v>755280.78748073778</v>
      </c>
      <c r="DB55" s="229">
        <f t="shared" si="58"/>
        <v>757369.13885812194</v>
      </c>
      <c r="DC55" s="229">
        <f t="shared" si="58"/>
        <v>759463.26452706452</v>
      </c>
      <c r="DD55" s="229">
        <f t="shared" si="58"/>
        <v>761563.18045348173</v>
      </c>
      <c r="DE55" s="229">
        <f t="shared" si="58"/>
        <v>764721.76374441257</v>
      </c>
      <c r="DF55" s="229">
        <f t="shared" si="58"/>
        <v>767893.44725954253</v>
      </c>
      <c r="DG55" s="229">
        <f t="shared" si="58"/>
        <v>771078.28533205146</v>
      </c>
      <c r="DH55" s="229">
        <f t="shared" si="58"/>
        <v>774276.33252046607</v>
      </c>
      <c r="DI55" s="229">
        <f t="shared" si="58"/>
        <v>777487.64360959467</v>
      </c>
      <c r="DJ55" s="229">
        <f t="shared" si="58"/>
        <v>780712.27361146547</v>
      </c>
      <c r="DK55" s="229">
        <f t="shared" si="58"/>
        <v>782870.94304800115</v>
      </c>
      <c r="DL55" s="229">
        <f t="shared" si="58"/>
        <v>785035.58120552881</v>
      </c>
      <c r="DM55" s="229">
        <f t="shared" si="58"/>
        <v>787206.20458756201</v>
      </c>
      <c r="DN55" s="229">
        <f t="shared" si="58"/>
        <v>789382.82974324655</v>
      </c>
      <c r="DO55" s="229">
        <f t="shared" si="58"/>
        <v>791565.47326748655</v>
      </c>
      <c r="DP55" s="229">
        <f t="shared" si="58"/>
        <v>793754.15180107113</v>
      </c>
      <c r="DQ55" s="229">
        <f t="shared" si="58"/>
        <v>797046.24714566604</v>
      </c>
      <c r="DR55" s="229">
        <f t="shared" si="58"/>
        <v>800351.9964557027</v>
      </c>
      <c r="DS55" s="229">
        <f t="shared" si="58"/>
        <v>803671.45636100275</v>
      </c>
      <c r="DT55" s="229">
        <f t="shared" si="58"/>
        <v>807004.68372625997</v>
      </c>
      <c r="DU55" s="229">
        <f t="shared" si="58"/>
        <v>810351.73565201461</v>
      </c>
      <c r="DV55" s="229">
        <f t="shared" si="58"/>
        <v>813712.66947563132</v>
      </c>
      <c r="DW55" s="229">
        <f t="shared" si="58"/>
        <v>815962.58500673133</v>
      </c>
      <c r="DX55" s="229">
        <f t="shared" si="58"/>
        <v>818218.7215542749</v>
      </c>
      <c r="DY55" s="229">
        <f t="shared" si="58"/>
        <v>820481.09631937242</v>
      </c>
      <c r="DZ55" s="229">
        <f t="shared" si="58"/>
        <v>822749.72655069537</v>
      </c>
      <c r="EA55" s="229">
        <f t="shared" si="58"/>
        <v>825024.62954460795</v>
      </c>
      <c r="EB55" s="229">
        <f t="shared" si="58"/>
        <v>827305.82264529867</v>
      </c>
      <c r="EC55" s="229">
        <f t="shared" ref="EC55:EH55" si="59">EC46*MarketRateUnits</f>
        <v>830737.07354472007</v>
      </c>
      <c r="ED55" s="229">
        <f t="shared" si="59"/>
        <v>834182.55555724679</v>
      </c>
      <c r="EE55" s="229">
        <f t="shared" si="59"/>
        <v>837642.32770642044</v>
      </c>
      <c r="EF55" s="229">
        <f t="shared" si="59"/>
        <v>841116.4492605828</v>
      </c>
      <c r="EG55" s="229">
        <f t="shared" si="59"/>
        <v>844604.97973389109</v>
      </c>
      <c r="EH55" s="229">
        <f t="shared" si="59"/>
        <v>848107.97888733738</v>
      </c>
      <c r="EI55" s="684"/>
      <c r="EJ55"/>
      <c r="EK55" s="280"/>
    </row>
    <row r="56" spans="1:141" s="198" customFormat="1" x14ac:dyDescent="0.3">
      <c r="A56" s="198" t="s">
        <v>816</v>
      </c>
      <c r="E56" s="230">
        <f t="shared" ref="E56:AJ56" si="60">E47*MarketRateUnits</f>
        <v>0</v>
      </c>
      <c r="F56" s="230">
        <f t="shared" si="60"/>
        <v>0</v>
      </c>
      <c r="G56" s="229">
        <f t="shared" si="60"/>
        <v>0</v>
      </c>
      <c r="H56" s="229">
        <f t="shared" si="60"/>
        <v>0</v>
      </c>
      <c r="I56" s="229">
        <f t="shared" si="60"/>
        <v>0</v>
      </c>
      <c r="J56" s="229">
        <f t="shared" si="60"/>
        <v>0</v>
      </c>
      <c r="K56" s="229">
        <f t="shared" si="60"/>
        <v>0</v>
      </c>
      <c r="L56" s="229">
        <f t="shared" si="60"/>
        <v>0</v>
      </c>
      <c r="M56" s="229">
        <f t="shared" si="60"/>
        <v>0</v>
      </c>
      <c r="N56" s="229">
        <f t="shared" si="60"/>
        <v>0</v>
      </c>
      <c r="O56" s="229">
        <f t="shared" si="60"/>
        <v>0</v>
      </c>
      <c r="P56" s="229">
        <f t="shared" si="60"/>
        <v>0</v>
      </c>
      <c r="Q56" s="229">
        <f t="shared" si="60"/>
        <v>0</v>
      </c>
      <c r="R56" s="229">
        <f t="shared" si="60"/>
        <v>0</v>
      </c>
      <c r="S56" s="229">
        <f t="shared" si="60"/>
        <v>0</v>
      </c>
      <c r="T56" s="229">
        <f t="shared" si="60"/>
        <v>0</v>
      </c>
      <c r="U56" s="229">
        <f t="shared" si="60"/>
        <v>0</v>
      </c>
      <c r="V56" s="229">
        <f t="shared" si="60"/>
        <v>0</v>
      </c>
      <c r="W56" s="229">
        <f t="shared" si="60"/>
        <v>0</v>
      </c>
      <c r="X56" s="229">
        <f t="shared" si="60"/>
        <v>0</v>
      </c>
      <c r="Y56" s="229">
        <f t="shared" si="60"/>
        <v>0</v>
      </c>
      <c r="Z56" s="229">
        <f t="shared" si="60"/>
        <v>0</v>
      </c>
      <c r="AA56" s="229">
        <f t="shared" si="60"/>
        <v>0</v>
      </c>
      <c r="AB56" s="229">
        <f t="shared" si="60"/>
        <v>0</v>
      </c>
      <c r="AC56" s="229">
        <f t="shared" si="60"/>
        <v>0</v>
      </c>
      <c r="AD56" s="229">
        <f t="shared" si="60"/>
        <v>0</v>
      </c>
      <c r="AE56" s="229">
        <f t="shared" si="60"/>
        <v>0</v>
      </c>
      <c r="AF56" s="229">
        <f t="shared" si="60"/>
        <v>0</v>
      </c>
      <c r="AG56" s="229">
        <f t="shared" si="60"/>
        <v>0</v>
      </c>
      <c r="AH56" s="229">
        <f t="shared" si="60"/>
        <v>0</v>
      </c>
      <c r="AI56" s="229">
        <f t="shared" si="60"/>
        <v>0</v>
      </c>
      <c r="AJ56" s="229">
        <f t="shared" si="60"/>
        <v>0</v>
      </c>
      <c r="AK56" s="229">
        <f t="shared" ref="AK56:BP56" si="61">AK47*MarketRateUnits</f>
        <v>0</v>
      </c>
      <c r="AL56" s="229">
        <f t="shared" si="61"/>
        <v>0</v>
      </c>
      <c r="AM56" s="229">
        <f t="shared" si="61"/>
        <v>0</v>
      </c>
      <c r="AN56" s="229">
        <f>AN47*MarketRateUnits</f>
        <v>0</v>
      </c>
      <c r="AO56" s="229">
        <f t="shared" si="61"/>
        <v>0</v>
      </c>
      <c r="AP56" s="229">
        <f t="shared" si="61"/>
        <v>0</v>
      </c>
      <c r="AQ56" s="229">
        <f t="shared" si="61"/>
        <v>0</v>
      </c>
      <c r="AR56" s="229">
        <f t="shared" si="61"/>
        <v>0</v>
      </c>
      <c r="AS56" s="229">
        <f t="shared" si="61"/>
        <v>0</v>
      </c>
      <c r="AT56" s="229">
        <f t="shared" si="61"/>
        <v>0</v>
      </c>
      <c r="AU56" s="229">
        <f t="shared" si="61"/>
        <v>0</v>
      </c>
      <c r="AV56" s="229">
        <f t="shared" si="61"/>
        <v>0</v>
      </c>
      <c r="AW56" s="229">
        <f t="shared" si="61"/>
        <v>0</v>
      </c>
      <c r="AX56" s="229">
        <f t="shared" si="61"/>
        <v>0</v>
      </c>
      <c r="AY56" s="229">
        <f t="shared" si="61"/>
        <v>0</v>
      </c>
      <c r="AZ56" s="229">
        <f t="shared" si="61"/>
        <v>0</v>
      </c>
      <c r="BA56" s="229">
        <f t="shared" si="61"/>
        <v>0</v>
      </c>
      <c r="BB56" s="229">
        <f t="shared" si="61"/>
        <v>0</v>
      </c>
      <c r="BC56" s="229">
        <f t="shared" si="61"/>
        <v>0</v>
      </c>
      <c r="BD56" s="229">
        <f t="shared" si="61"/>
        <v>0</v>
      </c>
      <c r="BE56" s="229">
        <f t="shared" si="61"/>
        <v>0</v>
      </c>
      <c r="BF56" s="229">
        <f t="shared" si="61"/>
        <v>0</v>
      </c>
      <c r="BG56" s="229">
        <f t="shared" si="61"/>
        <v>0</v>
      </c>
      <c r="BH56" s="229">
        <f t="shared" si="61"/>
        <v>0</v>
      </c>
      <c r="BI56" s="229">
        <f t="shared" si="61"/>
        <v>0</v>
      </c>
      <c r="BJ56" s="229">
        <f t="shared" si="61"/>
        <v>0</v>
      </c>
      <c r="BK56" s="229">
        <f t="shared" si="61"/>
        <v>0</v>
      </c>
      <c r="BL56" s="229">
        <f t="shared" si="61"/>
        <v>0</v>
      </c>
      <c r="BM56" s="229">
        <f t="shared" si="61"/>
        <v>0</v>
      </c>
      <c r="BN56" s="229">
        <f t="shared" si="61"/>
        <v>0</v>
      </c>
      <c r="BO56" s="229">
        <f t="shared" si="61"/>
        <v>0</v>
      </c>
      <c r="BP56" s="229">
        <f t="shared" si="61"/>
        <v>0</v>
      </c>
      <c r="BQ56" s="229">
        <f t="shared" ref="BQ56:CV56" si="62">BQ47*MarketRateUnits</f>
        <v>0</v>
      </c>
      <c r="BR56" s="229">
        <f t="shared" si="62"/>
        <v>0</v>
      </c>
      <c r="BS56" s="229">
        <f t="shared" si="62"/>
        <v>0</v>
      </c>
      <c r="BT56" s="229">
        <f t="shared" si="62"/>
        <v>0</v>
      </c>
      <c r="BU56" s="229">
        <f t="shared" si="62"/>
        <v>0</v>
      </c>
      <c r="BV56" s="229">
        <f t="shared" si="62"/>
        <v>0</v>
      </c>
      <c r="BW56" s="229">
        <f t="shared" si="62"/>
        <v>0</v>
      </c>
      <c r="BX56" s="229">
        <f t="shared" si="62"/>
        <v>0</v>
      </c>
      <c r="BY56" s="229">
        <f t="shared" si="62"/>
        <v>0</v>
      </c>
      <c r="BZ56" s="229">
        <f t="shared" si="62"/>
        <v>0</v>
      </c>
      <c r="CA56" s="229">
        <f t="shared" si="62"/>
        <v>0</v>
      </c>
      <c r="CB56" s="229">
        <f t="shared" si="62"/>
        <v>0</v>
      </c>
      <c r="CC56" s="229">
        <f t="shared" si="62"/>
        <v>0</v>
      </c>
      <c r="CD56" s="229">
        <f t="shared" si="62"/>
        <v>0</v>
      </c>
      <c r="CE56" s="229">
        <f t="shared" si="62"/>
        <v>0</v>
      </c>
      <c r="CF56" s="229">
        <f t="shared" si="62"/>
        <v>0</v>
      </c>
      <c r="CG56" s="229">
        <f t="shared" si="62"/>
        <v>0</v>
      </c>
      <c r="CH56" s="229">
        <f t="shared" si="62"/>
        <v>0</v>
      </c>
      <c r="CI56" s="229">
        <f t="shared" si="62"/>
        <v>0</v>
      </c>
      <c r="CJ56" s="229">
        <f t="shared" si="62"/>
        <v>0</v>
      </c>
      <c r="CK56" s="229">
        <f t="shared" si="62"/>
        <v>0</v>
      </c>
      <c r="CL56" s="229">
        <f t="shared" si="62"/>
        <v>0</v>
      </c>
      <c r="CM56" s="229">
        <f t="shared" si="62"/>
        <v>0</v>
      </c>
      <c r="CN56" s="229">
        <f t="shared" si="62"/>
        <v>0</v>
      </c>
      <c r="CO56" s="229">
        <f t="shared" si="62"/>
        <v>0</v>
      </c>
      <c r="CP56" s="229">
        <f t="shared" si="62"/>
        <v>0</v>
      </c>
      <c r="CQ56" s="229">
        <f t="shared" si="62"/>
        <v>0</v>
      </c>
      <c r="CR56" s="229">
        <f t="shared" si="62"/>
        <v>0</v>
      </c>
      <c r="CS56" s="229">
        <f t="shared" si="62"/>
        <v>0</v>
      </c>
      <c r="CT56" s="229">
        <f t="shared" si="62"/>
        <v>0</v>
      </c>
      <c r="CU56" s="229">
        <f t="shared" si="62"/>
        <v>0</v>
      </c>
      <c r="CV56" s="229">
        <f t="shared" si="62"/>
        <v>0</v>
      </c>
      <c r="CW56" s="229">
        <f t="shared" ref="CW56:EB56" si="63">CW47*MarketRateUnits</f>
        <v>0</v>
      </c>
      <c r="CX56" s="229">
        <f t="shared" si="63"/>
        <v>0</v>
      </c>
      <c r="CY56" s="229">
        <f t="shared" si="63"/>
        <v>0</v>
      </c>
      <c r="CZ56" s="229">
        <f t="shared" si="63"/>
        <v>0</v>
      </c>
      <c r="DA56" s="229">
        <f t="shared" si="63"/>
        <v>0</v>
      </c>
      <c r="DB56" s="229">
        <f t="shared" si="63"/>
        <v>0</v>
      </c>
      <c r="DC56" s="229">
        <f t="shared" si="63"/>
        <v>0</v>
      </c>
      <c r="DD56" s="229">
        <f t="shared" si="63"/>
        <v>0</v>
      </c>
      <c r="DE56" s="229">
        <f t="shared" si="63"/>
        <v>0</v>
      </c>
      <c r="DF56" s="229">
        <f t="shared" si="63"/>
        <v>0</v>
      </c>
      <c r="DG56" s="229">
        <f t="shared" si="63"/>
        <v>0</v>
      </c>
      <c r="DH56" s="229">
        <f t="shared" si="63"/>
        <v>0</v>
      </c>
      <c r="DI56" s="229">
        <f t="shared" si="63"/>
        <v>0</v>
      </c>
      <c r="DJ56" s="229">
        <f t="shared" si="63"/>
        <v>0</v>
      </c>
      <c r="DK56" s="229">
        <f t="shared" si="63"/>
        <v>0</v>
      </c>
      <c r="DL56" s="229">
        <f t="shared" si="63"/>
        <v>0</v>
      </c>
      <c r="DM56" s="229">
        <f t="shared" si="63"/>
        <v>0</v>
      </c>
      <c r="DN56" s="229">
        <f t="shared" si="63"/>
        <v>0</v>
      </c>
      <c r="DO56" s="229">
        <f t="shared" si="63"/>
        <v>0</v>
      </c>
      <c r="DP56" s="229">
        <f t="shared" si="63"/>
        <v>0</v>
      </c>
      <c r="DQ56" s="229">
        <f t="shared" si="63"/>
        <v>0</v>
      </c>
      <c r="DR56" s="229">
        <f t="shared" si="63"/>
        <v>0</v>
      </c>
      <c r="DS56" s="229">
        <f t="shared" si="63"/>
        <v>0</v>
      </c>
      <c r="DT56" s="229">
        <f t="shared" si="63"/>
        <v>0</v>
      </c>
      <c r="DU56" s="229">
        <f t="shared" si="63"/>
        <v>0</v>
      </c>
      <c r="DV56" s="229">
        <f t="shared" si="63"/>
        <v>0</v>
      </c>
      <c r="DW56" s="229">
        <f t="shared" si="63"/>
        <v>0</v>
      </c>
      <c r="DX56" s="229">
        <f t="shared" si="63"/>
        <v>0</v>
      </c>
      <c r="DY56" s="229">
        <f t="shared" si="63"/>
        <v>0</v>
      </c>
      <c r="DZ56" s="229">
        <f t="shared" si="63"/>
        <v>0</v>
      </c>
      <c r="EA56" s="229">
        <f t="shared" si="63"/>
        <v>0</v>
      </c>
      <c r="EB56" s="229">
        <f t="shared" si="63"/>
        <v>0</v>
      </c>
      <c r="EC56" s="229">
        <f t="shared" ref="EC56:EH56" si="64">EC47*MarketRateUnits</f>
        <v>0</v>
      </c>
      <c r="ED56" s="229">
        <f t="shared" si="64"/>
        <v>0</v>
      </c>
      <c r="EE56" s="229">
        <f t="shared" si="64"/>
        <v>0</v>
      </c>
      <c r="EF56" s="229">
        <f t="shared" si="64"/>
        <v>0</v>
      </c>
      <c r="EG56" s="229">
        <f t="shared" si="64"/>
        <v>0</v>
      </c>
      <c r="EH56" s="229">
        <f t="shared" si="64"/>
        <v>0</v>
      </c>
      <c r="EI56" s="684"/>
      <c r="EJ56"/>
      <c r="EK56" s="672"/>
    </row>
    <row r="57" spans="1:141" s="273" customFormat="1" x14ac:dyDescent="0.3">
      <c r="A57" s="198" t="s">
        <v>696</v>
      </c>
      <c r="E57" s="230">
        <f>ParkingandStorage*Units</f>
        <v>77058.240000000005</v>
      </c>
      <c r="F57" s="230">
        <f>F50*Units</f>
        <v>79958.68009206024</v>
      </c>
      <c r="G57" s="229">
        <f t="shared" ref="G57:AL57" si="65">G50*Units</f>
        <v>80155.879767804596</v>
      </c>
      <c r="H57" s="229">
        <f t="shared" si="65"/>
        <v>80353.565791148343</v>
      </c>
      <c r="I57" s="229">
        <f t="shared" si="65"/>
        <v>80551.739361555869</v>
      </c>
      <c r="J57" s="229">
        <f t="shared" si="65"/>
        <v>80750.401681449759</v>
      </c>
      <c r="K57" s="229">
        <f t="shared" si="65"/>
        <v>80949.553956218093</v>
      </c>
      <c r="L57" s="229">
        <f t="shared" si="65"/>
        <v>81149.197394221774</v>
      </c>
      <c r="M57" s="229">
        <f t="shared" si="65"/>
        <v>81349.33320680185</v>
      </c>
      <c r="N57" s="229">
        <f t="shared" si="65"/>
        <v>81549.962608286849</v>
      </c>
      <c r="O57" s="229">
        <f t="shared" si="65"/>
        <v>81751.086816000156</v>
      </c>
      <c r="P57" s="229">
        <f t="shared" si="65"/>
        <v>81952.707050267432</v>
      </c>
      <c r="Q57" s="229">
        <f t="shared" si="65"/>
        <v>82154.824534423969</v>
      </c>
      <c r="R57" s="229">
        <f t="shared" si="65"/>
        <v>82357.440494822134</v>
      </c>
      <c r="S57" s="229">
        <f t="shared" si="65"/>
        <v>82560.556160838809</v>
      </c>
      <c r="T57" s="229">
        <f t="shared" si="65"/>
        <v>82764.172764882867</v>
      </c>
      <c r="U57" s="229">
        <f t="shared" si="65"/>
        <v>82968.291542402614</v>
      </c>
      <c r="V57" s="229">
        <f t="shared" si="65"/>
        <v>83172.913731893321</v>
      </c>
      <c r="W57" s="229">
        <f t="shared" si="65"/>
        <v>83378.040574904706</v>
      </c>
      <c r="X57" s="229">
        <f t="shared" si="65"/>
        <v>83583.673316048502</v>
      </c>
      <c r="Y57" s="229">
        <f t="shared" si="65"/>
        <v>83789.813203005979</v>
      </c>
      <c r="Z57" s="229">
        <f t="shared" si="65"/>
        <v>83996.461486535525</v>
      </c>
      <c r="AA57" s="229">
        <f t="shared" si="65"/>
        <v>84203.619420480245</v>
      </c>
      <c r="AB57" s="229">
        <f t="shared" si="65"/>
        <v>84411.288261775539</v>
      </c>
      <c r="AC57" s="229">
        <f t="shared" si="65"/>
        <v>84619.469270456771</v>
      </c>
      <c r="AD57" s="229">
        <f t="shared" si="65"/>
        <v>84828.163709666886</v>
      </c>
      <c r="AE57" s="229">
        <f t="shared" si="65"/>
        <v>85037.372845664067</v>
      </c>
      <c r="AF57" s="229">
        <f t="shared" si="65"/>
        <v>85247.097947829447</v>
      </c>
      <c r="AG57" s="229">
        <f t="shared" si="65"/>
        <v>85457.340288674794</v>
      </c>
      <c r="AH57" s="229">
        <f t="shared" si="65"/>
        <v>85668.101143850217</v>
      </c>
      <c r="AI57" s="229">
        <f t="shared" si="65"/>
        <v>85879.381792151951</v>
      </c>
      <c r="AJ57" s="229">
        <f t="shared" si="65"/>
        <v>86091.183515530065</v>
      </c>
      <c r="AK57" s="229">
        <f t="shared" si="65"/>
        <v>86303.507599096265</v>
      </c>
      <c r="AL57" s="229">
        <f t="shared" si="65"/>
        <v>86516.355331131694</v>
      </c>
      <c r="AM57" s="229">
        <f t="shared" ref="AM57:BR57" si="66">AM50*Units</f>
        <v>86729.728003094744</v>
      </c>
      <c r="AN57" s="229">
        <f t="shared" si="66"/>
        <v>86943.626909628903</v>
      </c>
      <c r="AO57" s="229">
        <f t="shared" si="66"/>
        <v>87158.053348570567</v>
      </c>
      <c r="AP57" s="229">
        <f t="shared" si="66"/>
        <v>87373.008620956985</v>
      </c>
      <c r="AQ57" s="229">
        <f t="shared" si="66"/>
        <v>87588.494031034075</v>
      </c>
      <c r="AR57" s="229">
        <f t="shared" si="66"/>
        <v>87804.510886264412</v>
      </c>
      <c r="AS57" s="229">
        <f t="shared" si="66"/>
        <v>88021.060497335115</v>
      </c>
      <c r="AT57" s="229">
        <f t="shared" si="66"/>
        <v>88238.144178165807</v>
      </c>
      <c r="AU57" s="229">
        <f t="shared" si="66"/>
        <v>88455.763245916591</v>
      </c>
      <c r="AV57" s="229">
        <f t="shared" si="66"/>
        <v>88673.919020996051</v>
      </c>
      <c r="AW57" s="229">
        <f t="shared" si="66"/>
        <v>88892.612827069242</v>
      </c>
      <c r="AX57" s="229">
        <f t="shared" si="66"/>
        <v>89111.84599106574</v>
      </c>
      <c r="AY57" s="229">
        <f t="shared" si="66"/>
        <v>89331.619843187684</v>
      </c>
      <c r="AZ57" s="229">
        <f t="shared" si="66"/>
        <v>89551.935716917855</v>
      </c>
      <c r="BA57" s="229">
        <f t="shared" si="66"/>
        <v>89772.794949027768</v>
      </c>
      <c r="BB57" s="229">
        <f t="shared" si="66"/>
        <v>89994.198879585776</v>
      </c>
      <c r="BC57" s="229">
        <f t="shared" si="66"/>
        <v>90216.14885196519</v>
      </c>
      <c r="BD57" s="229">
        <f t="shared" si="66"/>
        <v>90438.646212852444</v>
      </c>
      <c r="BE57" s="229">
        <f t="shared" si="66"/>
        <v>90661.692312255269</v>
      </c>
      <c r="BF57" s="229">
        <f t="shared" si="66"/>
        <v>90885.288503510877</v>
      </c>
      <c r="BG57" s="229">
        <f t="shared" si="66"/>
        <v>91109.436143294181</v>
      </c>
      <c r="BH57" s="229">
        <f t="shared" si="66"/>
        <v>91334.136591626026</v>
      </c>
      <c r="BI57" s="229">
        <f t="shared" si="66"/>
        <v>91559.391211881404</v>
      </c>
      <c r="BJ57" s="229">
        <f t="shared" si="66"/>
        <v>91785.201370797789</v>
      </c>
      <c r="BK57" s="229">
        <f t="shared" si="66"/>
        <v>92011.568438483402</v>
      </c>
      <c r="BL57" s="229">
        <f t="shared" si="66"/>
        <v>92238.49378842549</v>
      </c>
      <c r="BM57" s="229">
        <f t="shared" si="66"/>
        <v>92465.978797498712</v>
      </c>
      <c r="BN57" s="229">
        <f t="shared" si="66"/>
        <v>92694.024845973458</v>
      </c>
      <c r="BO57" s="229">
        <f t="shared" si="66"/>
        <v>92922.633317524247</v>
      </c>
      <c r="BP57" s="229">
        <f t="shared" si="66"/>
        <v>93151.805599238112</v>
      </c>
      <c r="BQ57" s="229">
        <f t="shared" si="66"/>
        <v>93381.543081623022</v>
      </c>
      <c r="BR57" s="229">
        <f t="shared" si="66"/>
        <v>93611.847158616307</v>
      </c>
      <c r="BS57" s="229">
        <f t="shared" ref="BS57:CX57" si="67">BS50*Units</f>
        <v>93842.719227593116</v>
      </c>
      <c r="BT57" s="229">
        <f t="shared" si="67"/>
        <v>94074.160689374912</v>
      </c>
      <c r="BU57" s="229">
        <f t="shared" si="67"/>
        <v>94306.17294823796</v>
      </c>
      <c r="BV57" s="229">
        <f t="shared" si="67"/>
        <v>94538.757411921848</v>
      </c>
      <c r="BW57" s="229">
        <f t="shared" si="67"/>
        <v>94771.915491638021</v>
      </c>
      <c r="BX57" s="229">
        <f t="shared" si="67"/>
        <v>95005.648602078363</v>
      </c>
      <c r="BY57" s="229">
        <f t="shared" si="67"/>
        <v>95239.958161423769</v>
      </c>
      <c r="BZ57" s="229">
        <f t="shared" si="67"/>
        <v>95474.845591352758</v>
      </c>
      <c r="CA57" s="229">
        <f t="shared" si="67"/>
        <v>95710.312317050077</v>
      </c>
      <c r="CB57" s="229">
        <f t="shared" si="67"/>
        <v>95946.359767215356</v>
      </c>
      <c r="CC57" s="229">
        <f t="shared" si="67"/>
        <v>96182.989374071811</v>
      </c>
      <c r="CD57" s="229">
        <f t="shared" si="67"/>
        <v>96420.202573374889</v>
      </c>
      <c r="CE57" s="229">
        <f t="shared" si="67"/>
        <v>96658.000804420997</v>
      </c>
      <c r="CF57" s="229">
        <f t="shared" si="67"/>
        <v>96896.38551005625</v>
      </c>
      <c r="CG57" s="229">
        <f t="shared" si="67"/>
        <v>97135.358136685187</v>
      </c>
      <c r="CH57" s="229">
        <f t="shared" si="67"/>
        <v>97374.920134279586</v>
      </c>
      <c r="CI57" s="229">
        <f t="shared" si="67"/>
        <v>97615.072956387245</v>
      </c>
      <c r="CJ57" s="229">
        <f t="shared" si="67"/>
        <v>97855.818060140795</v>
      </c>
      <c r="CK57" s="229">
        <f t="shared" si="67"/>
        <v>98097.156906266566</v>
      </c>
      <c r="CL57" s="229">
        <f t="shared" si="67"/>
        <v>98339.090959093417</v>
      </c>
      <c r="CM57" s="229">
        <f t="shared" si="67"/>
        <v>98581.621686561659</v>
      </c>
      <c r="CN57" s="229">
        <f t="shared" si="67"/>
        <v>98824.7505602319</v>
      </c>
      <c r="CO57" s="229">
        <f t="shared" si="67"/>
        <v>99068.479055294054</v>
      </c>
      <c r="CP57" s="229">
        <f t="shared" si="67"/>
        <v>99312.808650576233</v>
      </c>
      <c r="CQ57" s="229">
        <f t="shared" si="67"/>
        <v>99557.740828553724</v>
      </c>
      <c r="CR57" s="229">
        <f t="shared" si="67"/>
        <v>99803.277075358026</v>
      </c>
      <c r="CS57" s="229">
        <f t="shared" si="67"/>
        <v>100049.41888078583</v>
      </c>
      <c r="CT57" s="229">
        <f t="shared" si="67"/>
        <v>100296.16773830807</v>
      </c>
      <c r="CU57" s="229">
        <f t="shared" si="67"/>
        <v>100543.52514507895</v>
      </c>
      <c r="CV57" s="229">
        <f t="shared" si="67"/>
        <v>100791.49260194511</v>
      </c>
      <c r="CW57" s="229">
        <f t="shared" si="67"/>
        <v>101040.07161345465</v>
      </c>
      <c r="CX57" s="229">
        <f t="shared" si="67"/>
        <v>101289.26368786632</v>
      </c>
      <c r="CY57" s="229">
        <f t="shared" ref="CY57:EH57" si="68">CY50*Units</f>
        <v>101539.0703371586</v>
      </c>
      <c r="CZ57" s="229">
        <f t="shared" si="68"/>
        <v>101789.49307703895</v>
      </c>
      <c r="DA57" s="229">
        <f t="shared" si="68"/>
        <v>102040.53342695297</v>
      </c>
      <c r="DB57" s="229">
        <f t="shared" si="68"/>
        <v>102292.19291009361</v>
      </c>
      <c r="DC57" s="229">
        <f t="shared" si="68"/>
        <v>102544.47305341043</v>
      </c>
      <c r="DD57" s="229">
        <f t="shared" si="68"/>
        <v>102797.37538761887</v>
      </c>
      <c r="DE57" s="229">
        <f t="shared" si="68"/>
        <v>103050.90144720952</v>
      </c>
      <c r="DF57" s="229">
        <f t="shared" si="68"/>
        <v>103305.05277045742</v>
      </c>
      <c r="DG57" s="229">
        <f t="shared" si="68"/>
        <v>103559.83089943144</v>
      </c>
      <c r="DH57" s="229">
        <f t="shared" si="68"/>
        <v>103815.23738000359</v>
      </c>
      <c r="DI57" s="229">
        <f t="shared" si="68"/>
        <v>104071.27376185842</v>
      </c>
      <c r="DJ57" s="229">
        <f t="shared" si="68"/>
        <v>104327.94159850244</v>
      </c>
      <c r="DK57" s="229">
        <f t="shared" si="68"/>
        <v>104585.24244727349</v>
      </c>
      <c r="DL57" s="229">
        <f t="shared" si="68"/>
        <v>104843.17786935024</v>
      </c>
      <c r="DM57" s="229">
        <f t="shared" si="68"/>
        <v>105101.74942976168</v>
      </c>
      <c r="DN57" s="229">
        <f t="shared" si="68"/>
        <v>105360.95869739653</v>
      </c>
      <c r="DO57" s="229">
        <f t="shared" si="68"/>
        <v>105620.80724501287</v>
      </c>
      <c r="DP57" s="229">
        <f t="shared" si="68"/>
        <v>105881.29664924755</v>
      </c>
      <c r="DQ57" s="229">
        <f t="shared" si="68"/>
        <v>106142.42849062591</v>
      </c>
      <c r="DR57" s="229">
        <f t="shared" si="68"/>
        <v>106404.20435357124</v>
      </c>
      <c r="DS57" s="229">
        <f t="shared" si="68"/>
        <v>106666.62582641449</v>
      </c>
      <c r="DT57" s="229">
        <f t="shared" si="68"/>
        <v>106929.69450140379</v>
      </c>
      <c r="DU57" s="229">
        <f t="shared" si="68"/>
        <v>107193.41197471427</v>
      </c>
      <c r="DV57" s="229">
        <f t="shared" si="68"/>
        <v>107457.7798464576</v>
      </c>
      <c r="DW57" s="229">
        <f t="shared" si="68"/>
        <v>107722.79972069179</v>
      </c>
      <c r="DX57" s="229">
        <f t="shared" si="68"/>
        <v>107988.47320543086</v>
      </c>
      <c r="DY57" s="229">
        <f t="shared" si="68"/>
        <v>108254.80191265464</v>
      </c>
      <c r="DZ57" s="229">
        <f t="shared" si="68"/>
        <v>108521.78745831855</v>
      </c>
      <c r="EA57" s="229">
        <f t="shared" si="68"/>
        <v>108789.43146236337</v>
      </c>
      <c r="EB57" s="229">
        <f t="shared" si="68"/>
        <v>109057.7355487251</v>
      </c>
      <c r="EC57" s="229">
        <f t="shared" si="68"/>
        <v>109326.70134534482</v>
      </c>
      <c r="ED57" s="229">
        <f t="shared" si="68"/>
        <v>109596.33048417851</v>
      </c>
      <c r="EE57" s="229">
        <f t="shared" si="68"/>
        <v>109866.62460120705</v>
      </c>
      <c r="EF57" s="229">
        <f t="shared" si="68"/>
        <v>110137.58533644603</v>
      </c>
      <c r="EG57" s="229">
        <f t="shared" si="68"/>
        <v>110409.21433395582</v>
      </c>
      <c r="EH57" s="229">
        <f t="shared" si="68"/>
        <v>110681.51324185145</v>
      </c>
      <c r="EI57" s="272"/>
      <c r="EJ57"/>
      <c r="EK57" s="280"/>
    </row>
    <row r="58" spans="1:141" s="198" customFormat="1" x14ac:dyDescent="0.3">
      <c r="A58" s="198" t="s">
        <v>694</v>
      </c>
      <c r="E58" s="230">
        <f>Units*E51</f>
        <v>12693.333333333334</v>
      </c>
      <c r="F58" s="230">
        <f>Units*F51</f>
        <v>13171.105118698333</v>
      </c>
      <c r="G58" s="229">
        <f t="shared" ref="G58:AL58" si="69">G51*Units</f>
        <v>13203.588617120413</v>
      </c>
      <c r="H58" s="229">
        <f t="shared" si="69"/>
        <v>13236.152228612749</v>
      </c>
      <c r="I58" s="229">
        <f t="shared" si="69"/>
        <v>13268.796150755787</v>
      </c>
      <c r="J58" s="229">
        <f t="shared" si="69"/>
        <v>13301.520581617255</v>
      </c>
      <c r="K58" s="229">
        <f t="shared" si="69"/>
        <v>13334.325719753373</v>
      </c>
      <c r="L58" s="229">
        <f t="shared" si="69"/>
        <v>13367.211764210053</v>
      </c>
      <c r="M58" s="229">
        <f t="shared" si="69"/>
        <v>13400.178914524107</v>
      </c>
      <c r="N58" s="229">
        <f t="shared" si="69"/>
        <v>13433.227370724459</v>
      </c>
      <c r="O58" s="229">
        <f t="shared" si="69"/>
        <v>13466.357333333359</v>
      </c>
      <c r="P58" s="229">
        <f t="shared" si="69"/>
        <v>13499.569003367598</v>
      </c>
      <c r="Q58" s="229">
        <f t="shared" si="69"/>
        <v>13532.862582339732</v>
      </c>
      <c r="R58" s="229">
        <f t="shared" si="69"/>
        <v>13566.238272259296</v>
      </c>
      <c r="S58" s="229">
        <f t="shared" si="69"/>
        <v>13599.696275634038</v>
      </c>
      <c r="T58" s="229">
        <f t="shared" si="69"/>
        <v>13633.236795471146</v>
      </c>
      <c r="U58" s="229">
        <f t="shared" si="69"/>
        <v>13666.860035278474</v>
      </c>
      <c r="V58" s="229">
        <f t="shared" si="69"/>
        <v>13700.566199065786</v>
      </c>
      <c r="W58" s="229">
        <f t="shared" si="69"/>
        <v>13734.355491345988</v>
      </c>
      <c r="X58" s="229">
        <f t="shared" si="69"/>
        <v>13768.228117136368</v>
      </c>
      <c r="Y58" s="229">
        <f t="shared" si="69"/>
        <v>13802.184281959844</v>
      </c>
      <c r="Z58" s="229">
        <f t="shared" si="69"/>
        <v>13836.224191846206</v>
      </c>
      <c r="AA58" s="229">
        <f t="shared" si="69"/>
        <v>13870.348053333373</v>
      </c>
      <c r="AB58" s="229">
        <f t="shared" si="69"/>
        <v>13904.556073468641</v>
      </c>
      <c r="AC58" s="229">
        <f t="shared" si="69"/>
        <v>13938.848459809939</v>
      </c>
      <c r="AD58" s="229">
        <f t="shared" si="69"/>
        <v>13973.22542042709</v>
      </c>
      <c r="AE58" s="229">
        <f t="shared" si="69"/>
        <v>14007.687163903074</v>
      </c>
      <c r="AF58" s="229">
        <f t="shared" si="69"/>
        <v>14042.233899335295</v>
      </c>
      <c r="AG58" s="229">
        <f t="shared" si="69"/>
        <v>14076.865836336843</v>
      </c>
      <c r="AH58" s="229">
        <f t="shared" si="69"/>
        <v>14111.583185037774</v>
      </c>
      <c r="AI58" s="229">
        <f t="shared" si="69"/>
        <v>14146.386156086382</v>
      </c>
      <c r="AJ58" s="229">
        <f t="shared" si="69"/>
        <v>14181.274960650473</v>
      </c>
      <c r="AK58" s="229">
        <f t="shared" si="69"/>
        <v>14216.249810418652</v>
      </c>
      <c r="AL58" s="229">
        <f t="shared" si="69"/>
        <v>14251.310917601606</v>
      </c>
      <c r="AM58" s="229">
        <f t="shared" ref="AM58:BR58" si="70">AM51*Units</f>
        <v>14286.458494933388</v>
      </c>
      <c r="AN58" s="229">
        <f t="shared" si="70"/>
        <v>14321.692755672713</v>
      </c>
      <c r="AO58" s="229">
        <f t="shared" si="70"/>
        <v>14357.013913604249</v>
      </c>
      <c r="AP58" s="229">
        <f t="shared" si="70"/>
        <v>14392.422183039915</v>
      </c>
      <c r="AQ58" s="229">
        <f t="shared" si="70"/>
        <v>14427.91777882018</v>
      </c>
      <c r="AR58" s="229">
        <f t="shared" si="70"/>
        <v>14463.500916315366</v>
      </c>
      <c r="AS58" s="229">
        <f t="shared" si="70"/>
        <v>14499.171811426962</v>
      </c>
      <c r="AT58" s="229">
        <f t="shared" si="70"/>
        <v>14534.930680588923</v>
      </c>
      <c r="AU58" s="229">
        <f t="shared" si="70"/>
        <v>14570.777740768988</v>
      </c>
      <c r="AV58" s="229">
        <f t="shared" si="70"/>
        <v>14606.713209470003</v>
      </c>
      <c r="AW58" s="229">
        <f t="shared" si="70"/>
        <v>14642.737304731229</v>
      </c>
      <c r="AX58" s="229">
        <f t="shared" si="70"/>
        <v>14678.85024512967</v>
      </c>
      <c r="AY58" s="229">
        <f t="shared" si="70"/>
        <v>14715.052249781405</v>
      </c>
      <c r="AZ58" s="229">
        <f t="shared" si="70"/>
        <v>14751.343538342911</v>
      </c>
      <c r="BA58" s="229">
        <f t="shared" si="70"/>
        <v>14787.724331012394</v>
      </c>
      <c r="BB58" s="229">
        <f t="shared" si="70"/>
        <v>14824.19484853113</v>
      </c>
      <c r="BC58" s="229">
        <f t="shared" si="70"/>
        <v>14860.755312184801</v>
      </c>
      <c r="BD58" s="229">
        <f t="shared" si="70"/>
        <v>14897.405943804844</v>
      </c>
      <c r="BE58" s="229">
        <f t="shared" si="70"/>
        <v>14934.146965769787</v>
      </c>
      <c r="BF58" s="229">
        <f t="shared" si="70"/>
        <v>14970.978601006605</v>
      </c>
      <c r="BG58" s="229">
        <f t="shared" si="70"/>
        <v>15007.901072992074</v>
      </c>
      <c r="BH58" s="229">
        <f t="shared" si="70"/>
        <v>15044.914605754118</v>
      </c>
      <c r="BI58" s="229">
        <f t="shared" si="70"/>
        <v>15082.01942387318</v>
      </c>
      <c r="BJ58" s="229">
        <f t="shared" si="70"/>
        <v>15119.215752483575</v>
      </c>
      <c r="BK58" s="229">
        <f t="shared" si="70"/>
        <v>15156.503817274863</v>
      </c>
      <c r="BL58" s="229">
        <f t="shared" si="70"/>
        <v>15193.883844493213</v>
      </c>
      <c r="BM58" s="229">
        <f t="shared" si="70"/>
        <v>15231.35606094278</v>
      </c>
      <c r="BN58" s="229">
        <f t="shared" si="70"/>
        <v>15268.920693987078</v>
      </c>
      <c r="BO58" s="229">
        <f t="shared" si="70"/>
        <v>15306.577971550361</v>
      </c>
      <c r="BP58" s="229">
        <f t="shared" si="70"/>
        <v>15344.328122119006</v>
      </c>
      <c r="BQ58" s="229">
        <f t="shared" si="70"/>
        <v>15382.171374742898</v>
      </c>
      <c r="BR58" s="229">
        <f t="shared" si="70"/>
        <v>15420.107959036823</v>
      </c>
      <c r="BS58" s="229">
        <f t="shared" ref="BS58:CX58" si="71">BS51*Units</f>
        <v>15458.138105181855</v>
      </c>
      <c r="BT58" s="229">
        <f t="shared" si="71"/>
        <v>15496.262043926761</v>
      </c>
      <c r="BU58" s="229">
        <f t="shared" si="71"/>
        <v>15534.480006589394</v>
      </c>
      <c r="BV58" s="229">
        <f t="shared" si="71"/>
        <v>15572.792225058101</v>
      </c>
      <c r="BW58" s="229">
        <f t="shared" si="71"/>
        <v>15611.198931793127</v>
      </c>
      <c r="BX58" s="229">
        <f t="shared" si="71"/>
        <v>15649.700359828028</v>
      </c>
      <c r="BY58" s="229">
        <f t="shared" si="71"/>
        <v>15688.296742771083</v>
      </c>
      <c r="BZ58" s="229">
        <f t="shared" si="71"/>
        <v>15726.988314806709</v>
      </c>
      <c r="CA58" s="229">
        <f t="shared" si="71"/>
        <v>15765.77531069689</v>
      </c>
      <c r="CB58" s="229">
        <f t="shared" si="71"/>
        <v>15804.657965782593</v>
      </c>
      <c r="CC58" s="229">
        <f t="shared" si="71"/>
        <v>15843.636515985201</v>
      </c>
      <c r="CD58" s="229">
        <f t="shared" si="71"/>
        <v>15882.711197807943</v>
      </c>
      <c r="CE58" s="229">
        <f t="shared" si="71"/>
        <v>15921.882248337326</v>
      </c>
      <c r="CF58" s="229">
        <f t="shared" si="71"/>
        <v>15961.14990524458</v>
      </c>
      <c r="CG58" s="229">
        <f t="shared" si="71"/>
        <v>16000.514406787092</v>
      </c>
      <c r="CH58" s="229">
        <f t="shared" si="71"/>
        <v>16039.975991809861</v>
      </c>
      <c r="CI58" s="229">
        <f t="shared" si="71"/>
        <v>16079.534899746939</v>
      </c>
      <c r="CJ58" s="229">
        <f t="shared" si="71"/>
        <v>16119.191370622888</v>
      </c>
      <c r="CK58" s="229">
        <f t="shared" si="71"/>
        <v>16158.945645054233</v>
      </c>
      <c r="CL58" s="229">
        <f t="shared" si="71"/>
        <v>16198.797964250929</v>
      </c>
      <c r="CM58" s="229">
        <f t="shared" si="71"/>
        <v>16238.748570017815</v>
      </c>
      <c r="CN58" s="229">
        <f t="shared" si="71"/>
        <v>16278.797704756089</v>
      </c>
      <c r="CO58" s="229">
        <f t="shared" si="71"/>
        <v>16318.945611464775</v>
      </c>
      <c r="CP58" s="229">
        <f t="shared" si="71"/>
        <v>16359.192533742198</v>
      </c>
      <c r="CQ58" s="229">
        <f t="shared" si="71"/>
        <v>16399.538715787461</v>
      </c>
      <c r="CR58" s="229">
        <f t="shared" si="71"/>
        <v>16439.984402401933</v>
      </c>
      <c r="CS58" s="229">
        <f t="shared" si="71"/>
        <v>16480.529838990722</v>
      </c>
      <c r="CT58" s="229">
        <f t="shared" si="71"/>
        <v>16521.175271564174</v>
      </c>
      <c r="CU58" s="229">
        <f t="shared" si="71"/>
        <v>16561.920946739363</v>
      </c>
      <c r="CV58" s="229">
        <f t="shared" si="71"/>
        <v>16602.767111741588</v>
      </c>
      <c r="CW58" s="229">
        <f t="shared" si="71"/>
        <v>16643.714014405876</v>
      </c>
      <c r="CX58" s="229">
        <f t="shared" si="71"/>
        <v>16684.761903178471</v>
      </c>
      <c r="CY58" s="229">
        <f t="shared" ref="CY58:EH58" si="72">CY51*Units</f>
        <v>16725.911027118364</v>
      </c>
      <c r="CZ58" s="229">
        <f t="shared" si="72"/>
        <v>16767.161635898785</v>
      </c>
      <c r="DA58" s="229">
        <f t="shared" si="72"/>
        <v>16808.513979808733</v>
      </c>
      <c r="DB58" s="229">
        <f t="shared" si="72"/>
        <v>16849.96830975448</v>
      </c>
      <c r="DC58" s="229">
        <f t="shared" si="72"/>
        <v>16891.524877261101</v>
      </c>
      <c r="DD58" s="229">
        <f t="shared" si="72"/>
        <v>16933.183934474007</v>
      </c>
      <c r="DE58" s="229">
        <f t="shared" si="72"/>
        <v>16974.945734160458</v>
      </c>
      <c r="DF58" s="229">
        <f t="shared" si="72"/>
        <v>17016.810529711114</v>
      </c>
      <c r="DG58" s="229">
        <f t="shared" si="72"/>
        <v>17058.778575141561</v>
      </c>
      <c r="DH58" s="229">
        <f t="shared" si="72"/>
        <v>17100.850125093853</v>
      </c>
      <c r="DI58" s="229">
        <f t="shared" si="72"/>
        <v>17143.025434838069</v>
      </c>
      <c r="DJ58" s="229">
        <f t="shared" si="72"/>
        <v>17185.304760273844</v>
      </c>
      <c r="DK58" s="229">
        <f t="shared" si="72"/>
        <v>17227.688357931933</v>
      </c>
      <c r="DL58" s="229">
        <f t="shared" si="72"/>
        <v>17270.176484975767</v>
      </c>
      <c r="DM58" s="229">
        <f t="shared" si="72"/>
        <v>17312.769399203014</v>
      </c>
      <c r="DN58" s="229">
        <f t="shared" si="72"/>
        <v>17355.467359047132</v>
      </c>
      <c r="DO58" s="229">
        <f t="shared" si="72"/>
        <v>17398.270623578952</v>
      </c>
      <c r="DP58" s="229">
        <f t="shared" si="72"/>
        <v>17441.179452508244</v>
      </c>
      <c r="DQ58" s="229">
        <f t="shared" si="72"/>
        <v>17484.194106185289</v>
      </c>
      <c r="DR58" s="229">
        <f t="shared" si="72"/>
        <v>17527.314845602465</v>
      </c>
      <c r="DS58" s="229">
        <f t="shared" si="72"/>
        <v>17570.541932395823</v>
      </c>
      <c r="DT58" s="229">
        <f t="shared" si="72"/>
        <v>17613.875628846687</v>
      </c>
      <c r="DU58" s="229">
        <f t="shared" si="72"/>
        <v>17657.316197883229</v>
      </c>
      <c r="DV58" s="229">
        <f t="shared" si="72"/>
        <v>17700.863903082078</v>
      </c>
      <c r="DW58" s="229">
        <f t="shared" si="72"/>
        <v>17744.519008669911</v>
      </c>
      <c r="DX58" s="229">
        <f t="shared" si="72"/>
        <v>17788.281779525063</v>
      </c>
      <c r="DY58" s="229">
        <f t="shared" si="72"/>
        <v>17832.152481179128</v>
      </c>
      <c r="DZ58" s="229">
        <f t="shared" si="72"/>
        <v>17876.131379818569</v>
      </c>
      <c r="EA58" s="229">
        <f t="shared" si="72"/>
        <v>17920.218742286346</v>
      </c>
      <c r="EB58" s="229">
        <f t="shared" si="72"/>
        <v>17964.414836083517</v>
      </c>
      <c r="EC58" s="229">
        <f t="shared" si="72"/>
        <v>18008.719929370873</v>
      </c>
      <c r="ED58" s="229">
        <f t="shared" si="72"/>
        <v>18053.134290970564</v>
      </c>
      <c r="EE58" s="229">
        <f t="shared" si="72"/>
        <v>18097.658190367725</v>
      </c>
      <c r="EF58" s="229">
        <f t="shared" si="72"/>
        <v>18142.291897712112</v>
      </c>
      <c r="EG58" s="229">
        <f t="shared" si="72"/>
        <v>18187.035683819748</v>
      </c>
      <c r="EH58" s="229">
        <f t="shared" si="72"/>
        <v>18231.889820174561</v>
      </c>
      <c r="EI58" s="684"/>
      <c r="EJ58"/>
      <c r="EK58" s="672"/>
    </row>
    <row r="59" spans="1:141" s="198" customFormat="1" x14ac:dyDescent="0.3">
      <c r="A59" s="1031" t="s">
        <v>2400</v>
      </c>
      <c r="B59" s="1031"/>
      <c r="C59" s="1031"/>
      <c r="D59" s="1031"/>
      <c r="E59" s="1032">
        <f>SUM(E54:E58)</f>
        <v>619366.00666666671</v>
      </c>
      <c r="F59" s="1032">
        <f>SUM(F54:F58)</f>
        <v>634760.72893783147</v>
      </c>
      <c r="G59" s="702">
        <f>SUM(G54:G58)</f>
        <v>635770.36067096505</v>
      </c>
      <c r="H59" s="702">
        <f t="shared" ref="H59:BS59" si="73">SUM(H54:H58)</f>
        <v>636781.68199069309</v>
      </c>
      <c r="I59" s="702">
        <f t="shared" si="73"/>
        <v>637794.69591136184</v>
      </c>
      <c r="J59" s="702">
        <f t="shared" si="73"/>
        <v>638909.13404916483</v>
      </c>
      <c r="K59" s="702">
        <f t="shared" si="73"/>
        <v>640025.57633586868</v>
      </c>
      <c r="L59" s="702">
        <f t="shared" si="73"/>
        <v>641144.02650590695</v>
      </c>
      <c r="M59" s="702">
        <f t="shared" si="73"/>
        <v>642708.16771704215</v>
      </c>
      <c r="N59" s="702">
        <f t="shared" si="73"/>
        <v>644276.12490110309</v>
      </c>
      <c r="O59" s="702">
        <f t="shared" si="73"/>
        <v>645847.90736796055</v>
      </c>
      <c r="P59" s="702">
        <f t="shared" si="73"/>
        <v>647423.52445019945</v>
      </c>
      <c r="Q59" s="702">
        <f t="shared" si="73"/>
        <v>649002.98550317378</v>
      </c>
      <c r="R59" s="702">
        <f t="shared" si="73"/>
        <v>650586.29990506219</v>
      </c>
      <c r="S59" s="702">
        <f t="shared" si="73"/>
        <v>651723.27589610091</v>
      </c>
      <c r="T59" s="702">
        <f t="shared" si="73"/>
        <v>652862.29699473165</v>
      </c>
      <c r="U59" s="702">
        <f t="shared" si="73"/>
        <v>654003.36701266048</v>
      </c>
      <c r="V59" s="702">
        <f t="shared" si="73"/>
        <v>656307.67355115083</v>
      </c>
      <c r="W59" s="702">
        <f t="shared" si="73"/>
        <v>658620.22576412791</v>
      </c>
      <c r="X59" s="702">
        <f t="shared" si="73"/>
        <v>660941.0534864756</v>
      </c>
      <c r="Y59" s="702">
        <f t="shared" si="73"/>
        <v>664314.70522367291</v>
      </c>
      <c r="Z59" s="702">
        <f t="shared" si="73"/>
        <v>667706.37167211599</v>
      </c>
      <c r="AA59" s="702">
        <f t="shared" si="73"/>
        <v>671116.15116167301</v>
      </c>
      <c r="AB59" s="702">
        <f t="shared" si="73"/>
        <v>674544.14256440813</v>
      </c>
      <c r="AC59" s="702">
        <f t="shared" si="73"/>
        <v>677990.44529758487</v>
      </c>
      <c r="AD59" s="702">
        <f t="shared" si="73"/>
        <v>681455.15932668641</v>
      </c>
      <c r="AE59" s="702">
        <f t="shared" si="73"/>
        <v>683858.53351435496</v>
      </c>
      <c r="AF59" s="702">
        <f t="shared" si="73"/>
        <v>686270.51396041038</v>
      </c>
      <c r="AG59" s="702">
        <f t="shared" si="73"/>
        <v>688691.13181995717</v>
      </c>
      <c r="AH59" s="702">
        <f t="shared" si="73"/>
        <v>690916.17729416862</v>
      </c>
      <c r="AI59" s="702">
        <f t="shared" si="73"/>
        <v>693148.4795298822</v>
      </c>
      <c r="AJ59" s="702">
        <f t="shared" si="73"/>
        <v>695388.06236873881</v>
      </c>
      <c r="AK59" s="702">
        <f t="shared" si="73"/>
        <v>698634.74394569173</v>
      </c>
      <c r="AL59" s="702">
        <f t="shared" si="73"/>
        <v>701897.15231705236</v>
      </c>
      <c r="AM59" s="702">
        <f t="shared" si="73"/>
        <v>705175.3651761316</v>
      </c>
      <c r="AN59" s="702">
        <f t="shared" si="73"/>
        <v>708469.46060394251</v>
      </c>
      <c r="AO59" s="702">
        <f t="shared" si="73"/>
        <v>711779.5170711464</v>
      </c>
      <c r="AP59" s="702">
        <f t="shared" si="73"/>
        <v>715105.61344000581</v>
      </c>
      <c r="AQ59" s="702">
        <f t="shared" si="73"/>
        <v>717417.41745952005</v>
      </c>
      <c r="AR59" s="702">
        <f t="shared" si="73"/>
        <v>719736.76483122853</v>
      </c>
      <c r="AS59" s="702">
        <f t="shared" si="73"/>
        <v>722063.68034758721</v>
      </c>
      <c r="AT59" s="702">
        <f t="shared" si="73"/>
        <v>723660.9321798241</v>
      </c>
      <c r="AU59" s="702">
        <f t="shared" si="73"/>
        <v>725261.72495814157</v>
      </c>
      <c r="AV59" s="702">
        <f t="shared" si="73"/>
        <v>726866.06655114016</v>
      </c>
      <c r="AW59" s="702">
        <f t="shared" si="73"/>
        <v>729150.55504118837</v>
      </c>
      <c r="AX59" s="702">
        <f t="shared" si="73"/>
        <v>731442.27863756334</v>
      </c>
      <c r="AY59" s="702">
        <f t="shared" si="73"/>
        <v>733741.26039505342</v>
      </c>
      <c r="AZ59" s="702">
        <f t="shared" si="73"/>
        <v>736047.52344226837</v>
      </c>
      <c r="BA59" s="702">
        <f t="shared" si="73"/>
        <v>738361.09098187659</v>
      </c>
      <c r="BB59" s="702">
        <f t="shared" si="73"/>
        <v>740681.98629084276</v>
      </c>
      <c r="BC59" s="702">
        <f t="shared" si="73"/>
        <v>742320.320722737</v>
      </c>
      <c r="BD59" s="702">
        <f t="shared" si="73"/>
        <v>743962.28692917642</v>
      </c>
      <c r="BE59" s="702">
        <f t="shared" si="73"/>
        <v>745607.89298000059</v>
      </c>
      <c r="BF59" s="702">
        <f t="shared" si="73"/>
        <v>747637.95413497882</v>
      </c>
      <c r="BG59" s="702">
        <f t="shared" si="73"/>
        <v>749673.55061138689</v>
      </c>
      <c r="BH59" s="702">
        <f t="shared" si="73"/>
        <v>751714.69752251799</v>
      </c>
      <c r="BI59" s="702">
        <f t="shared" si="73"/>
        <v>754653.586554026</v>
      </c>
      <c r="BJ59" s="702">
        <f t="shared" si="73"/>
        <v>757604.22354117385</v>
      </c>
      <c r="BK59" s="702">
        <f t="shared" si="73"/>
        <v>760566.65612076886</v>
      </c>
      <c r="BL59" s="702">
        <f t="shared" si="73"/>
        <v>763540.93212450936</v>
      </c>
      <c r="BM59" s="702">
        <f t="shared" si="73"/>
        <v>766527.09957978607</v>
      </c>
      <c r="BN59" s="702">
        <f t="shared" si="73"/>
        <v>769525.20671048691</v>
      </c>
      <c r="BO59" s="702">
        <f t="shared" si="73"/>
        <v>771620.69211173744</v>
      </c>
      <c r="BP59" s="702">
        <f t="shared" si="73"/>
        <v>773721.89198849455</v>
      </c>
      <c r="BQ59" s="702">
        <f t="shared" si="73"/>
        <v>775828.82194511197</v>
      </c>
      <c r="BR59" s="702">
        <f t="shared" si="73"/>
        <v>777941.49762860546</v>
      </c>
      <c r="BS59" s="702">
        <f t="shared" si="73"/>
        <v>780059.93472877005</v>
      </c>
      <c r="BT59" s="702">
        <f t="shared" ref="BT59:EE59" si="74">SUM(BT54:BT58)</f>
        <v>782184.14897829655</v>
      </c>
      <c r="BU59" s="702">
        <f t="shared" si="74"/>
        <v>785244.04462942341</v>
      </c>
      <c r="BV59" s="702">
        <f t="shared" si="74"/>
        <v>788316.17687854625</v>
      </c>
      <c r="BW59" s="702">
        <f t="shared" si="74"/>
        <v>791400.59535648185</v>
      </c>
      <c r="BX59" s="702">
        <f t="shared" si="74"/>
        <v>794497.3498971269</v>
      </c>
      <c r="BY59" s="702">
        <f t="shared" si="74"/>
        <v>797606.49053829419</v>
      </c>
      <c r="BZ59" s="702">
        <f t="shared" si="74"/>
        <v>800728.06752255128</v>
      </c>
      <c r="CA59" s="702">
        <f t="shared" si="74"/>
        <v>802908.86128008796</v>
      </c>
      <c r="CB59" s="702">
        <f t="shared" si="74"/>
        <v>805095.60300448758</v>
      </c>
      <c r="CC59" s="702">
        <f t="shared" si="74"/>
        <v>807288.30893982237</v>
      </c>
      <c r="CD59" s="702">
        <f t="shared" si="74"/>
        <v>809486.99537458061</v>
      </c>
      <c r="CE59" s="702">
        <f t="shared" si="74"/>
        <v>811691.67864178959</v>
      </c>
      <c r="CF59" s="702">
        <f t="shared" si="74"/>
        <v>813902.37511913572</v>
      </c>
      <c r="CG59" s="702">
        <f t="shared" si="74"/>
        <v>817088.29571997887</v>
      </c>
      <c r="CH59" s="702">
        <f t="shared" si="74"/>
        <v>820286.96197772061</v>
      </c>
      <c r="CI59" s="702">
        <f t="shared" si="74"/>
        <v>823498.42560088483</v>
      </c>
      <c r="CJ59" s="702">
        <f t="shared" si="74"/>
        <v>826722.73850961076</v>
      </c>
      <c r="CK59" s="702">
        <f t="shared" si="74"/>
        <v>829959.95283652237</v>
      </c>
      <c r="CL59" s="702">
        <f t="shared" si="74"/>
        <v>833210.12092760368</v>
      </c>
      <c r="CM59" s="702">
        <f t="shared" si="74"/>
        <v>835479.73098233051</v>
      </c>
      <c r="CN59" s="702">
        <f t="shared" si="74"/>
        <v>837755.53212314565</v>
      </c>
      <c r="CO59" s="702">
        <f t="shared" si="74"/>
        <v>840037.54126028426</v>
      </c>
      <c r="CP59" s="702">
        <f t="shared" si="74"/>
        <v>842325.77535022493</v>
      </c>
      <c r="CQ59" s="702">
        <f t="shared" si="74"/>
        <v>844620.25139581633</v>
      </c>
      <c r="CR59" s="702">
        <f t="shared" si="74"/>
        <v>846920.98644640448</v>
      </c>
      <c r="CS59" s="702">
        <f t="shared" si="74"/>
        <v>850238.15955272841</v>
      </c>
      <c r="CT59" s="702">
        <f t="shared" si="74"/>
        <v>853568.60864725371</v>
      </c>
      <c r="CU59" s="702">
        <f t="shared" si="74"/>
        <v>856912.38760343078</v>
      </c>
      <c r="CV59" s="702">
        <f t="shared" si="74"/>
        <v>860269.55051521852</v>
      </c>
      <c r="CW59" s="702">
        <f t="shared" si="74"/>
        <v>863640.15169799165</v>
      </c>
      <c r="CX59" s="702">
        <f t="shared" si="74"/>
        <v>867024.24568945169</v>
      </c>
      <c r="CY59" s="702">
        <f t="shared" si="74"/>
        <v>869386.32532125595</v>
      </c>
      <c r="CZ59" s="702">
        <f t="shared" si="74"/>
        <v>871754.84918595757</v>
      </c>
      <c r="DA59" s="702">
        <f t="shared" si="74"/>
        <v>874129.83488749957</v>
      </c>
      <c r="DB59" s="702">
        <f t="shared" si="74"/>
        <v>876511.30007797002</v>
      </c>
      <c r="DC59" s="702">
        <f t="shared" si="74"/>
        <v>878899.26245773607</v>
      </c>
      <c r="DD59" s="702">
        <f t="shared" si="74"/>
        <v>881293.73977557465</v>
      </c>
      <c r="DE59" s="702">
        <f t="shared" si="74"/>
        <v>884747.61092578259</v>
      </c>
      <c r="DF59" s="702">
        <f t="shared" si="74"/>
        <v>888215.31055971107</v>
      </c>
      <c r="DG59" s="702">
        <f t="shared" si="74"/>
        <v>891696.89480662451</v>
      </c>
      <c r="DH59" s="702">
        <f t="shared" si="74"/>
        <v>895192.42002556345</v>
      </c>
      <c r="DI59" s="702">
        <f t="shared" si="74"/>
        <v>898701.94280629116</v>
      </c>
      <c r="DJ59" s="702">
        <f t="shared" si="74"/>
        <v>902225.51997024182</v>
      </c>
      <c r="DK59" s="702">
        <f t="shared" si="74"/>
        <v>904683.87385320652</v>
      </c>
      <c r="DL59" s="702">
        <f t="shared" si="74"/>
        <v>907148.93555985484</v>
      </c>
      <c r="DM59" s="702">
        <f t="shared" si="74"/>
        <v>909620.72341652669</v>
      </c>
      <c r="DN59" s="702">
        <f t="shared" si="74"/>
        <v>912099.25579969026</v>
      </c>
      <c r="DO59" s="702">
        <f t="shared" si="74"/>
        <v>914584.55113607831</v>
      </c>
      <c r="DP59" s="702">
        <f t="shared" si="74"/>
        <v>917076.62790282688</v>
      </c>
      <c r="DQ59" s="702">
        <f t="shared" si="74"/>
        <v>920672.86974247731</v>
      </c>
      <c r="DR59" s="702">
        <f t="shared" si="74"/>
        <v>924283.51565487648</v>
      </c>
      <c r="DS59" s="702">
        <f t="shared" si="74"/>
        <v>927908.62411981297</v>
      </c>
      <c r="DT59" s="702">
        <f t="shared" si="74"/>
        <v>931548.25385651051</v>
      </c>
      <c r="DU59" s="702">
        <f t="shared" si="74"/>
        <v>935202.46382461209</v>
      </c>
      <c r="DV59" s="702">
        <f t="shared" si="74"/>
        <v>938871.31322517106</v>
      </c>
      <c r="DW59" s="702">
        <f t="shared" si="74"/>
        <v>941429.90373609297</v>
      </c>
      <c r="DX59" s="702">
        <f t="shared" si="74"/>
        <v>943995.47653923091</v>
      </c>
      <c r="DY59" s="702">
        <f t="shared" si="74"/>
        <v>946568.05071320618</v>
      </c>
      <c r="DZ59" s="702">
        <f t="shared" si="74"/>
        <v>949147.64538883243</v>
      </c>
      <c r="EA59" s="702">
        <f t="shared" si="74"/>
        <v>951734.27974925761</v>
      </c>
      <c r="EB59" s="702">
        <f t="shared" si="74"/>
        <v>954327.97303010733</v>
      </c>
      <c r="EC59" s="702">
        <f t="shared" si="74"/>
        <v>958072.49481943576</v>
      </c>
      <c r="ED59" s="702">
        <f t="shared" si="74"/>
        <v>961832.0203323958</v>
      </c>
      <c r="EE59" s="702">
        <f t="shared" si="74"/>
        <v>965606.61049799528</v>
      </c>
      <c r="EF59" s="702">
        <f>SUM(EF54:EF58)</f>
        <v>969396.32649474102</v>
      </c>
      <c r="EG59" s="702">
        <f>SUM(EG54:EG58)</f>
        <v>973201.22975166666</v>
      </c>
      <c r="EH59" s="702">
        <f>SUM(EH54:EH58)</f>
        <v>977021.38194936339</v>
      </c>
      <c r="EI59" s="684"/>
      <c r="EJ59"/>
      <c r="EK59" s="672"/>
    </row>
    <row r="60" spans="1:141" s="198" customFormat="1" x14ac:dyDescent="0.3">
      <c r="A60" s="661" t="s">
        <v>2401</v>
      </c>
      <c r="B60" s="661"/>
      <c r="C60" s="661"/>
      <c r="D60" s="661"/>
      <c r="E60" s="676">
        <v>0</v>
      </c>
      <c r="F60" s="676">
        <v>0</v>
      </c>
      <c r="G60" s="242">
        <f t="shared" ref="G60:BR60" si="75">-G105-G128</f>
        <v>0</v>
      </c>
      <c r="H60" s="242">
        <f t="shared" si="75"/>
        <v>0</v>
      </c>
      <c r="I60" s="242">
        <f t="shared" si="75"/>
        <v>0</v>
      </c>
      <c r="J60" s="242">
        <f t="shared" si="75"/>
        <v>0</v>
      </c>
      <c r="K60" s="242">
        <f t="shared" si="75"/>
        <v>0</v>
      </c>
      <c r="L60" s="242">
        <f t="shared" si="75"/>
        <v>0</v>
      </c>
      <c r="M60" s="242">
        <f t="shared" si="75"/>
        <v>0</v>
      </c>
      <c r="N60" s="242">
        <f t="shared" si="75"/>
        <v>0</v>
      </c>
      <c r="O60" s="242">
        <f t="shared" si="75"/>
        <v>0</v>
      </c>
      <c r="P60" s="242">
        <f t="shared" si="75"/>
        <v>0</v>
      </c>
      <c r="Q60" s="242">
        <f t="shared" si="75"/>
        <v>0</v>
      </c>
      <c r="R60" s="242">
        <f t="shared" si="75"/>
        <v>0</v>
      </c>
      <c r="S60" s="242">
        <f t="shared" si="75"/>
        <v>0</v>
      </c>
      <c r="T60" s="242">
        <f t="shared" si="75"/>
        <v>-50.729848579657123</v>
      </c>
      <c r="U60" s="242">
        <f t="shared" si="75"/>
        <v>-152.35424864736487</v>
      </c>
      <c r="V60" s="242">
        <f t="shared" si="75"/>
        <v>-500.98806740194999</v>
      </c>
      <c r="W60" s="242">
        <f t="shared" si="75"/>
        <v>-967.5561848811908</v>
      </c>
      <c r="X60" s="242">
        <f t="shared" si="75"/>
        <v>-1552.9280973412265</v>
      </c>
      <c r="Y60" s="242">
        <f t="shared" si="75"/>
        <v>-2698.6343948215722</v>
      </c>
      <c r="Z60" s="242">
        <f t="shared" si="75"/>
        <v>-4116.5746095838149</v>
      </c>
      <c r="AA60" s="242">
        <f t="shared" si="75"/>
        <v>-5809.7405648819504</v>
      </c>
      <c r="AB60" s="242">
        <f t="shared" si="75"/>
        <v>-7781.1489373141294</v>
      </c>
      <c r="AC60" s="242">
        <f t="shared" si="75"/>
        <v>-10033.841440703782</v>
      </c>
      <c r="AD60" s="242">
        <f t="shared" si="75"/>
        <v>-12570.88501125728</v>
      </c>
      <c r="AE60" s="242">
        <f t="shared" si="75"/>
        <v>-14393.134677547197</v>
      </c>
      <c r="AF60" s="242">
        <f t="shared" si="75"/>
        <v>-14698.734610118996</v>
      </c>
      <c r="AG60" s="242">
        <f t="shared" si="75"/>
        <v>-15030.281660674909</v>
      </c>
      <c r="AH60" s="242">
        <f t="shared" si="75"/>
        <v>-15105.589055447672</v>
      </c>
      <c r="AI60" s="242">
        <f t="shared" si="75"/>
        <v>-15192.018163267845</v>
      </c>
      <c r="AJ60" s="242">
        <f t="shared" si="75"/>
        <v>-15289.646639665894</v>
      </c>
      <c r="AK60" s="242">
        <f t="shared" si="75"/>
        <v>-15453.00550580265</v>
      </c>
      <c r="AL60" s="242">
        <f t="shared" si="75"/>
        <v>-15641.915174671039</v>
      </c>
      <c r="AM60" s="242">
        <f t="shared" si="75"/>
        <v>-15856.641907072568</v>
      </c>
      <c r="AN60" s="242">
        <f t="shared" si="75"/>
        <v>-16097.454070178308</v>
      </c>
      <c r="AO60" s="242">
        <f t="shared" si="75"/>
        <v>-16364.622152395445</v>
      </c>
      <c r="AP60" s="242">
        <f t="shared" si="75"/>
        <v>-16658.418778331834</v>
      </c>
      <c r="AQ60" s="242">
        <f t="shared" si="75"/>
        <v>-16872.218742017256</v>
      </c>
      <c r="AR60" s="242">
        <f t="shared" si="75"/>
        <v>-15377.550138950175</v>
      </c>
      <c r="AS60" s="242">
        <f t="shared" si="75"/>
        <v>-14355.598897096701</v>
      </c>
      <c r="AT60" s="242">
        <f t="shared" si="75"/>
        <v>-13911.887284141076</v>
      </c>
      <c r="AU60" s="242">
        <f t="shared" si="75"/>
        <v>-13506.649508698976</v>
      </c>
      <c r="AV60" s="242">
        <f t="shared" si="75"/>
        <v>-13140.101566282043</v>
      </c>
      <c r="AW60" s="242">
        <f t="shared" si="75"/>
        <v>-12648.639766363896</v>
      </c>
      <c r="AX60" s="242">
        <f t="shared" si="75"/>
        <v>-12245.208247442033</v>
      </c>
      <c r="AY60" s="242">
        <f t="shared" si="75"/>
        <v>-11930.545283226347</v>
      </c>
      <c r="AZ60" s="242">
        <f t="shared" si="75"/>
        <v>-11705.393827253014</v>
      </c>
      <c r="BA60" s="242">
        <f t="shared" si="75"/>
        <v>-11570.501539591742</v>
      </c>
      <c r="BB60" s="242">
        <f t="shared" si="75"/>
        <v>-11526.620813698235</v>
      </c>
      <c r="BC60" s="242">
        <f t="shared" si="75"/>
        <v>-11558.546140174347</v>
      </c>
      <c r="BD60" s="242">
        <f t="shared" si="75"/>
        <v>-10402.960589457267</v>
      </c>
      <c r="BE60" s="242">
        <f t="shared" si="75"/>
        <v>-9642.9635256233796</v>
      </c>
      <c r="BF60" s="242">
        <f t="shared" si="75"/>
        <v>-10157.410080112295</v>
      </c>
      <c r="BG60" s="242">
        <f t="shared" si="75"/>
        <v>-10652.543734547846</v>
      </c>
      <c r="BH60" s="242">
        <f t="shared" si="75"/>
        <v>-11128.266093063186</v>
      </c>
      <c r="BI60" s="242">
        <f t="shared" si="75"/>
        <v>-11812.584538597899</v>
      </c>
      <c r="BJ60" s="242">
        <f t="shared" si="75"/>
        <v>-12452.782288624436</v>
      </c>
      <c r="BK60" s="242">
        <f t="shared" si="75"/>
        <v>-13048.523501318234</v>
      </c>
      <c r="BL60" s="242">
        <f t="shared" si="75"/>
        <v>-13599.470444420014</v>
      </c>
      <c r="BM60" s="242">
        <f t="shared" si="75"/>
        <v>-14105.283485775848</v>
      </c>
      <c r="BN60" s="242">
        <f t="shared" si="75"/>
        <v>-14565.621083832317</v>
      </c>
      <c r="BO60" s="242">
        <f t="shared" si="75"/>
        <v>-14841.966880002285</v>
      </c>
      <c r="BP60" s="242">
        <f t="shared" si="75"/>
        <v>-13626.966597830853</v>
      </c>
      <c r="BQ60" s="242">
        <f t="shared" si="75"/>
        <v>-12762.866123329577</v>
      </c>
      <c r="BR60" s="242">
        <f t="shared" si="75"/>
        <v>-12977.350408961505</v>
      </c>
      <c r="BS60" s="242">
        <f t="shared" ref="BS60:ED60" si="76">-BS105-BS128</f>
        <v>-13192.427743643218</v>
      </c>
      <c r="BT60" s="242">
        <f t="shared" si="76"/>
        <v>-13408.099767155363</v>
      </c>
      <c r="BU60" s="242">
        <f t="shared" si="76"/>
        <v>-13732.502302141149</v>
      </c>
      <c r="BV60" s="242">
        <f t="shared" si="76"/>
        <v>-14058.250296640737</v>
      </c>
      <c r="BW60" s="242">
        <f t="shared" si="76"/>
        <v>-14385.349330947623</v>
      </c>
      <c r="BX60" s="242">
        <f t="shared" si="76"/>
        <v>-14713.805008499203</v>
      </c>
      <c r="BY60" s="242">
        <f t="shared" si="76"/>
        <v>-15043.622955973491</v>
      </c>
      <c r="BZ60" s="242">
        <f t="shared" si="76"/>
        <v>-15374.80882338493</v>
      </c>
      <c r="CA60" s="242">
        <f t="shared" si="76"/>
        <v>-15596.5151305825</v>
      </c>
      <c r="CB60" s="242">
        <f t="shared" si="76"/>
        <v>-14241.511734050171</v>
      </c>
      <c r="CC60" s="242">
        <f t="shared" si="76"/>
        <v>-13302.347374831959</v>
      </c>
      <c r="CD60" s="242">
        <f t="shared" si="76"/>
        <v>-13525.897825518263</v>
      </c>
      <c r="CE60" s="242">
        <f t="shared" si="76"/>
        <v>-13750.066393200712</v>
      </c>
      <c r="CF60" s="242">
        <f t="shared" si="76"/>
        <v>-13974.854786972843</v>
      </c>
      <c r="CG60" s="242">
        <f t="shared" si="76"/>
        <v>-14312.969687494253</v>
      </c>
      <c r="CH60" s="242">
        <f t="shared" si="76"/>
        <v>-14652.48691956555</v>
      </c>
      <c r="CI60" s="242">
        <f t="shared" si="76"/>
        <v>-14993.412299356856</v>
      </c>
      <c r="CJ60" s="242">
        <f t="shared" si="76"/>
        <v>-15335.751667160821</v>
      </c>
      <c r="CK60" s="242">
        <f t="shared" si="76"/>
        <v>-15679.510887492715</v>
      </c>
      <c r="CL60" s="242">
        <f t="shared" si="76"/>
        <v>-16024.695849190921</v>
      </c>
      <c r="CM60" s="242">
        <f t="shared" si="76"/>
        <v>-16255.773593408767</v>
      </c>
      <c r="CN60" s="242">
        <f t="shared" si="76"/>
        <v>-14843.494744710084</v>
      </c>
      <c r="CO60" s="242">
        <f t="shared" si="76"/>
        <v>-13864.632283280214</v>
      </c>
      <c r="CP60" s="242">
        <f t="shared" si="76"/>
        <v>-14097.632122195246</v>
      </c>
      <c r="CQ60" s="242">
        <f t="shared" si="76"/>
        <v>-14331.276205664868</v>
      </c>
      <c r="CR60" s="242">
        <f t="shared" si="76"/>
        <v>-14565.566315025233</v>
      </c>
      <c r="CS60" s="242">
        <f t="shared" si="76"/>
        <v>-14917.973197294396</v>
      </c>
      <c r="CT60" s="242">
        <f t="shared" si="76"/>
        <v>-15271.841687107823</v>
      </c>
      <c r="CU60" s="242">
        <f t="shared" si="76"/>
        <v>-15627.177846482771</v>
      </c>
      <c r="CV60" s="242">
        <f t="shared" si="76"/>
        <v>-15983.987762578692</v>
      </c>
      <c r="CW60" s="242">
        <f t="shared" si="76"/>
        <v>-16342.277547801636</v>
      </c>
      <c r="CX60" s="242">
        <f t="shared" si="76"/>
        <v>-16702.053339908769</v>
      </c>
      <c r="CY60" s="242">
        <f t="shared" si="76"/>
        <v>-16942.898648045295</v>
      </c>
      <c r="CZ60" s="242">
        <f t="shared" si="76"/>
        <v>-15470.923336702241</v>
      </c>
      <c r="DA60" s="242">
        <f t="shared" si="76"/>
        <v>-14450.684750142047</v>
      </c>
      <c r="DB60" s="242">
        <f t="shared" si="76"/>
        <v>-14693.533399150545</v>
      </c>
      <c r="DC60" s="242">
        <f t="shared" si="76"/>
        <v>-14937.053524673513</v>
      </c>
      <c r="DD60" s="242">
        <f t="shared" si="76"/>
        <v>-15181.246983343575</v>
      </c>
      <c r="DE60" s="242">
        <f t="shared" si="76"/>
        <v>-15548.549963718684</v>
      </c>
      <c r="DF60" s="242">
        <f t="shared" si="76"/>
        <v>-15917.376333204877</v>
      </c>
      <c r="DG60" s="242">
        <f t="shared" si="76"/>
        <v>-16287.732410058474</v>
      </c>
      <c r="DH60" s="242">
        <f t="shared" si="76"/>
        <v>-16659.624538740783</v>
      </c>
      <c r="DI60" s="242">
        <f t="shared" si="76"/>
        <v>-17033.059090026847</v>
      </c>
      <c r="DJ60" s="242">
        <f t="shared" si="76"/>
        <v>-17408.042461114404</v>
      </c>
      <c r="DK60" s="242">
        <f t="shared" si="76"/>
        <v>-17659.068204193805</v>
      </c>
      <c r="DL60" s="242">
        <f t="shared" si="76"/>
        <v>-16124.873084582778</v>
      </c>
      <c r="DM60" s="242">
        <f t="shared" si="76"/>
        <v>-15061.509420615155</v>
      </c>
      <c r="DN60" s="242">
        <f t="shared" si="76"/>
        <v>-15314.623184984648</v>
      </c>
      <c r="DO60" s="242">
        <f t="shared" si="76"/>
        <v>-15568.436808912626</v>
      </c>
      <c r="DP60" s="242">
        <f t="shared" si="76"/>
        <v>-15822.952227510807</v>
      </c>
      <c r="DQ60" s="242">
        <f t="shared" si="76"/>
        <v>-16205.78095810671</v>
      </c>
      <c r="DR60" s="242">
        <f t="shared" si="76"/>
        <v>-16590.197470862797</v>
      </c>
      <c r="DS60" s="242">
        <f t="shared" si="76"/>
        <v>-16976.208351105564</v>
      </c>
      <c r="DT60" s="242">
        <f t="shared" si="76"/>
        <v>-17363.820211474063</v>
      </c>
      <c r="DU60" s="242">
        <f t="shared" si="76"/>
        <v>-17753.039692033457</v>
      </c>
      <c r="DV60" s="242">
        <f t="shared" si="76"/>
        <v>-18143.873460388473</v>
      </c>
      <c r="DW60" s="242">
        <f t="shared" si="76"/>
        <v>-18405.509961327894</v>
      </c>
      <c r="DX60" s="242">
        <f t="shared" si="76"/>
        <v>-16806.465027013914</v>
      </c>
      <c r="DY60" s="242">
        <f t="shared" si="76"/>
        <v>-15698.153405847981</v>
      </c>
      <c r="DZ60" s="242">
        <f t="shared" si="76"/>
        <v>-15961.966187903196</v>
      </c>
      <c r="EA60" s="242">
        <f t="shared" si="76"/>
        <v>-16226.508412300811</v>
      </c>
      <c r="EB60" s="242">
        <f t="shared" si="76"/>
        <v>-16491.782095948871</v>
      </c>
      <c r="EC60" s="242">
        <f t="shared" si="76"/>
        <v>-16890.792844024083</v>
      </c>
      <c r="ED60" s="242">
        <f t="shared" si="76"/>
        <v>-17291.458489176897</v>
      </c>
      <c r="EE60" s="242">
        <f t="shared" ref="EE60:EH60" si="77">-EE105-EE128</f>
        <v>-17693.785895092977</v>
      </c>
      <c r="EF60" s="242">
        <f t="shared" si="77"/>
        <v>-18097.781953925092</v>
      </c>
      <c r="EG60" s="242">
        <f t="shared" si="77"/>
        <v>-18503.453586411259</v>
      </c>
      <c r="EH60" s="242">
        <f t="shared" si="77"/>
        <v>-18910.807741993114</v>
      </c>
      <c r="EI60" s="688"/>
      <c r="EJ60"/>
      <c r="EK60" s="280"/>
    </row>
    <row r="61" spans="1:141" s="279" customFormat="1" x14ac:dyDescent="0.3">
      <c r="A61" s="662" t="s">
        <v>841</v>
      </c>
      <c r="E61" s="689">
        <f>SUM(E59:E60)</f>
        <v>619366.00666666671</v>
      </c>
      <c r="F61" s="689">
        <f>SUM(F59:F60)</f>
        <v>634760.72893783147</v>
      </c>
      <c r="G61" s="277">
        <f>SUM(G59:G60)</f>
        <v>635770.36067096505</v>
      </c>
      <c r="H61" s="277">
        <f>SUM(H59:H60)</f>
        <v>636781.68199069309</v>
      </c>
      <c r="I61" s="277">
        <f>SUM(I59:I60)</f>
        <v>637794.69591136184</v>
      </c>
      <c r="J61" s="277">
        <f t="shared" ref="J61:BU61" si="78">SUM(J59:J60)</f>
        <v>638909.13404916483</v>
      </c>
      <c r="K61" s="277">
        <f t="shared" si="78"/>
        <v>640025.57633586868</v>
      </c>
      <c r="L61" s="277">
        <f t="shared" si="78"/>
        <v>641144.02650590695</v>
      </c>
      <c r="M61" s="277">
        <f t="shared" si="78"/>
        <v>642708.16771704215</v>
      </c>
      <c r="N61" s="277">
        <f t="shared" si="78"/>
        <v>644276.12490110309</v>
      </c>
      <c r="O61" s="277">
        <f t="shared" si="78"/>
        <v>645847.90736796055</v>
      </c>
      <c r="P61" s="277">
        <f t="shared" si="78"/>
        <v>647423.52445019945</v>
      </c>
      <c r="Q61" s="277">
        <f>SUM(Q59:Q60)</f>
        <v>649002.98550317378</v>
      </c>
      <c r="R61" s="277">
        <f t="shared" si="78"/>
        <v>650586.29990506219</v>
      </c>
      <c r="S61" s="277">
        <f t="shared" si="78"/>
        <v>651723.27589610091</v>
      </c>
      <c r="T61" s="277">
        <f t="shared" si="78"/>
        <v>652811.56714615203</v>
      </c>
      <c r="U61" s="277">
        <f t="shared" si="78"/>
        <v>653851.01276401314</v>
      </c>
      <c r="V61" s="277">
        <f t="shared" si="78"/>
        <v>655806.68548374891</v>
      </c>
      <c r="W61" s="277">
        <f t="shared" si="78"/>
        <v>657652.66957924678</v>
      </c>
      <c r="X61" s="277">
        <f t="shared" si="78"/>
        <v>659388.12538913439</v>
      </c>
      <c r="Y61" s="277">
        <f t="shared" si="78"/>
        <v>661616.07082885131</v>
      </c>
      <c r="Z61" s="277">
        <f t="shared" si="78"/>
        <v>663589.79706253216</v>
      </c>
      <c r="AA61" s="277">
        <f t="shared" si="78"/>
        <v>665306.41059679107</v>
      </c>
      <c r="AB61" s="277">
        <f t="shared" si="78"/>
        <v>666762.99362709397</v>
      </c>
      <c r="AC61" s="277">
        <f t="shared" si="78"/>
        <v>667956.60385688103</v>
      </c>
      <c r="AD61" s="277">
        <f t="shared" si="78"/>
        <v>668884.27431542915</v>
      </c>
      <c r="AE61" s="277">
        <f t="shared" si="78"/>
        <v>669465.39883680781</v>
      </c>
      <c r="AF61" s="277">
        <f t="shared" si="78"/>
        <v>671571.77935029136</v>
      </c>
      <c r="AG61" s="277">
        <f t="shared" si="78"/>
        <v>673660.85015928221</v>
      </c>
      <c r="AH61" s="277">
        <f t="shared" si="78"/>
        <v>675810.5882387209</v>
      </c>
      <c r="AI61" s="277">
        <f t="shared" si="78"/>
        <v>677956.46136661433</v>
      </c>
      <c r="AJ61" s="277">
        <f t="shared" si="78"/>
        <v>680098.41572907288</v>
      </c>
      <c r="AK61" s="277">
        <f t="shared" si="78"/>
        <v>683181.73843988904</v>
      </c>
      <c r="AL61" s="277">
        <f t="shared" si="78"/>
        <v>686255.23714238137</v>
      </c>
      <c r="AM61" s="277">
        <f t="shared" si="78"/>
        <v>689318.72326905909</v>
      </c>
      <c r="AN61" s="277">
        <f t="shared" si="78"/>
        <v>692372.00653376419</v>
      </c>
      <c r="AO61" s="277">
        <f t="shared" si="78"/>
        <v>695414.89491875097</v>
      </c>
      <c r="AP61" s="277">
        <f t="shared" si="78"/>
        <v>698447.19466167397</v>
      </c>
      <c r="AQ61" s="277">
        <f t="shared" si="78"/>
        <v>700545.19871750276</v>
      </c>
      <c r="AR61" s="277">
        <f t="shared" si="78"/>
        <v>704359.2146922783</v>
      </c>
      <c r="AS61" s="277">
        <f t="shared" si="78"/>
        <v>707708.08145049051</v>
      </c>
      <c r="AT61" s="277">
        <f t="shared" si="78"/>
        <v>709749.04489568307</v>
      </c>
      <c r="AU61" s="277">
        <f t="shared" si="78"/>
        <v>711755.07544944261</v>
      </c>
      <c r="AV61" s="277">
        <f t="shared" si="78"/>
        <v>713725.96498485818</v>
      </c>
      <c r="AW61" s="277">
        <f t="shared" si="78"/>
        <v>716501.91527482448</v>
      </c>
      <c r="AX61" s="277">
        <f t="shared" si="78"/>
        <v>719197.07039012131</v>
      </c>
      <c r="AY61" s="277">
        <f t="shared" si="78"/>
        <v>721810.71511182713</v>
      </c>
      <c r="AZ61" s="277">
        <f t="shared" si="78"/>
        <v>724342.12961501535</v>
      </c>
      <c r="BA61" s="277">
        <f t="shared" si="78"/>
        <v>726790.58944228489</v>
      </c>
      <c r="BB61" s="277">
        <f t="shared" si="78"/>
        <v>729155.36547714449</v>
      </c>
      <c r="BC61" s="277">
        <f t="shared" si="78"/>
        <v>730761.77458256262</v>
      </c>
      <c r="BD61" s="277">
        <f t="shared" si="78"/>
        <v>733559.32633971912</v>
      </c>
      <c r="BE61" s="277">
        <f t="shared" si="78"/>
        <v>735964.92945437715</v>
      </c>
      <c r="BF61" s="277">
        <f t="shared" si="78"/>
        <v>737480.54405486654</v>
      </c>
      <c r="BG61" s="277">
        <f t="shared" si="78"/>
        <v>739021.00687683909</v>
      </c>
      <c r="BH61" s="277">
        <f t="shared" si="78"/>
        <v>740586.43142945482</v>
      </c>
      <c r="BI61" s="277">
        <f t="shared" si="78"/>
        <v>742841.00201542815</v>
      </c>
      <c r="BJ61" s="277">
        <f t="shared" si="78"/>
        <v>745151.44125254941</v>
      </c>
      <c r="BK61" s="277">
        <f t="shared" si="78"/>
        <v>747518.13261945068</v>
      </c>
      <c r="BL61" s="277">
        <f t="shared" si="78"/>
        <v>749941.46168008936</v>
      </c>
      <c r="BM61" s="277">
        <f t="shared" si="78"/>
        <v>752421.81609401025</v>
      </c>
      <c r="BN61" s="277">
        <f t="shared" si="78"/>
        <v>754959.58562665456</v>
      </c>
      <c r="BO61" s="277">
        <f t="shared" si="78"/>
        <v>756778.72523173515</v>
      </c>
      <c r="BP61" s="277">
        <f t="shared" si="78"/>
        <v>760094.92539066367</v>
      </c>
      <c r="BQ61" s="277">
        <f t="shared" si="78"/>
        <v>763065.95582178235</v>
      </c>
      <c r="BR61" s="277">
        <f t="shared" si="78"/>
        <v>764964.14721964393</v>
      </c>
      <c r="BS61" s="277">
        <f t="shared" si="78"/>
        <v>766867.50698512688</v>
      </c>
      <c r="BT61" s="277">
        <f t="shared" si="78"/>
        <v>768776.04921114119</v>
      </c>
      <c r="BU61" s="277">
        <f t="shared" si="78"/>
        <v>771511.54232728225</v>
      </c>
      <c r="BV61" s="277">
        <f t="shared" ref="BV61:EG61" si="79">SUM(BV59:BV60)</f>
        <v>774257.92658190546</v>
      </c>
      <c r="BW61" s="277">
        <f t="shared" si="79"/>
        <v>777015.24602553423</v>
      </c>
      <c r="BX61" s="277">
        <f t="shared" si="79"/>
        <v>779783.54488862772</v>
      </c>
      <c r="BY61" s="277">
        <f t="shared" si="79"/>
        <v>782562.8675823207</v>
      </c>
      <c r="BZ61" s="277">
        <f t="shared" si="79"/>
        <v>785353.25869916636</v>
      </c>
      <c r="CA61" s="277">
        <f t="shared" si="79"/>
        <v>787312.34614950547</v>
      </c>
      <c r="CB61" s="277">
        <f t="shared" si="79"/>
        <v>790854.09127043746</v>
      </c>
      <c r="CC61" s="277">
        <f t="shared" si="79"/>
        <v>793985.96156499046</v>
      </c>
      <c r="CD61" s="277">
        <f t="shared" si="79"/>
        <v>795961.09754906234</v>
      </c>
      <c r="CE61" s="277">
        <f t="shared" si="79"/>
        <v>797941.61224858894</v>
      </c>
      <c r="CF61" s="277">
        <f t="shared" si="79"/>
        <v>799927.52033216285</v>
      </c>
      <c r="CG61" s="277">
        <f t="shared" si="79"/>
        <v>802775.32603248465</v>
      </c>
      <c r="CH61" s="277">
        <f t="shared" si="79"/>
        <v>805634.47505815502</v>
      </c>
      <c r="CI61" s="277">
        <f t="shared" si="79"/>
        <v>808505.01330152794</v>
      </c>
      <c r="CJ61" s="277">
        <f t="shared" si="79"/>
        <v>811386.98684244999</v>
      </c>
      <c r="CK61" s="277">
        <f t="shared" si="79"/>
        <v>814280.44194902969</v>
      </c>
      <c r="CL61" s="277">
        <f t="shared" si="79"/>
        <v>817185.42507841275</v>
      </c>
      <c r="CM61" s="277">
        <f t="shared" si="79"/>
        <v>819223.95738892176</v>
      </c>
      <c r="CN61" s="277">
        <f t="shared" si="79"/>
        <v>822912.03737843561</v>
      </c>
      <c r="CO61" s="277">
        <f t="shared" si="79"/>
        <v>826172.908977004</v>
      </c>
      <c r="CP61" s="277">
        <f t="shared" si="79"/>
        <v>828228.14322802972</v>
      </c>
      <c r="CQ61" s="277">
        <f t="shared" si="79"/>
        <v>830288.97519015148</v>
      </c>
      <c r="CR61" s="277">
        <f t="shared" si="79"/>
        <v>832355.42013137927</v>
      </c>
      <c r="CS61" s="277">
        <f t="shared" si="79"/>
        <v>835320.18635543401</v>
      </c>
      <c r="CT61" s="277">
        <f t="shared" si="79"/>
        <v>838296.76696014591</v>
      </c>
      <c r="CU61" s="277">
        <f t="shared" si="79"/>
        <v>841285.20975694805</v>
      </c>
      <c r="CV61" s="277">
        <f t="shared" si="79"/>
        <v>844285.56275263987</v>
      </c>
      <c r="CW61" s="277">
        <f t="shared" si="79"/>
        <v>847297.87415019004</v>
      </c>
      <c r="CX61" s="277">
        <f t="shared" si="79"/>
        <v>850322.19234954298</v>
      </c>
      <c r="CY61" s="277">
        <f t="shared" si="79"/>
        <v>852443.42667321069</v>
      </c>
      <c r="CZ61" s="277">
        <f t="shared" si="79"/>
        <v>856283.92584925529</v>
      </c>
      <c r="DA61" s="277">
        <f t="shared" si="79"/>
        <v>859679.15013735753</v>
      </c>
      <c r="DB61" s="277">
        <f t="shared" si="79"/>
        <v>861817.76667881943</v>
      </c>
      <c r="DC61" s="277">
        <f t="shared" si="79"/>
        <v>863962.2089330625</v>
      </c>
      <c r="DD61" s="277">
        <f t="shared" si="79"/>
        <v>866112.49279223103</v>
      </c>
      <c r="DE61" s="277">
        <f t="shared" si="79"/>
        <v>869199.06096206396</v>
      </c>
      <c r="DF61" s="277">
        <f t="shared" si="79"/>
        <v>872297.93422650616</v>
      </c>
      <c r="DG61" s="277">
        <f t="shared" si="79"/>
        <v>875409.16239656601</v>
      </c>
      <c r="DH61" s="277">
        <f t="shared" si="79"/>
        <v>878532.79548682272</v>
      </c>
      <c r="DI61" s="277">
        <f t="shared" si="79"/>
        <v>881668.88371626427</v>
      </c>
      <c r="DJ61" s="277">
        <f t="shared" si="79"/>
        <v>884817.47750912746</v>
      </c>
      <c r="DK61" s="277">
        <f t="shared" si="79"/>
        <v>887024.80564901268</v>
      </c>
      <c r="DL61" s="277">
        <f t="shared" si="79"/>
        <v>891024.06247527211</v>
      </c>
      <c r="DM61" s="277">
        <f t="shared" si="79"/>
        <v>894559.21399591153</v>
      </c>
      <c r="DN61" s="277">
        <f t="shared" si="79"/>
        <v>896784.6326147056</v>
      </c>
      <c r="DO61" s="277">
        <f t="shared" si="79"/>
        <v>899016.11432716565</v>
      </c>
      <c r="DP61" s="277">
        <f t="shared" si="79"/>
        <v>901253.67567531602</v>
      </c>
      <c r="DQ61" s="277">
        <f t="shared" si="79"/>
        <v>904467.08878437057</v>
      </c>
      <c r="DR61" s="277">
        <f t="shared" si="79"/>
        <v>907693.31818401371</v>
      </c>
      <c r="DS61" s="277">
        <f t="shared" si="79"/>
        <v>910932.4157687074</v>
      </c>
      <c r="DT61" s="277">
        <f t="shared" si="79"/>
        <v>914184.43364503642</v>
      </c>
      <c r="DU61" s="277">
        <f t="shared" si="79"/>
        <v>917449.42413257866</v>
      </c>
      <c r="DV61" s="277">
        <f t="shared" si="79"/>
        <v>920727.43976478255</v>
      </c>
      <c r="DW61" s="277">
        <f t="shared" si="79"/>
        <v>923024.39377476508</v>
      </c>
      <c r="DX61" s="277">
        <f t="shared" si="79"/>
        <v>927189.011512217</v>
      </c>
      <c r="DY61" s="277">
        <f t="shared" si="79"/>
        <v>930869.89730735822</v>
      </c>
      <c r="DZ61" s="277">
        <f t="shared" si="79"/>
        <v>933185.67920092924</v>
      </c>
      <c r="EA61" s="277">
        <f t="shared" si="79"/>
        <v>935507.77133695676</v>
      </c>
      <c r="EB61" s="277">
        <f t="shared" si="79"/>
        <v>937836.19093415851</v>
      </c>
      <c r="EC61" s="277">
        <f t="shared" si="79"/>
        <v>941181.70197541162</v>
      </c>
      <c r="ED61" s="277">
        <f t="shared" si="79"/>
        <v>944540.56184321886</v>
      </c>
      <c r="EE61" s="277">
        <f t="shared" si="79"/>
        <v>947912.82460290228</v>
      </c>
      <c r="EF61" s="277">
        <f t="shared" si="79"/>
        <v>951298.54454081599</v>
      </c>
      <c r="EG61" s="277">
        <f t="shared" si="79"/>
        <v>954697.77616525535</v>
      </c>
      <c r="EH61" s="277">
        <f t="shared" ref="EH61" si="80">SUM(EH59:EH60)</f>
        <v>958110.57420737029</v>
      </c>
      <c r="EI61" s="690"/>
      <c r="EJ61"/>
      <c r="EK61" s="672"/>
    </row>
    <row r="62" spans="1:141" s="198" customFormat="1" x14ac:dyDescent="0.3">
      <c r="A62" s="198" t="s">
        <v>2402</v>
      </c>
      <c r="E62" s="230">
        <f>-E59*Vacancy</f>
        <v>-36339.364922395835</v>
      </c>
      <c r="F62" s="230">
        <f>-F59*Vacancy</f>
        <v>-37242.602143149328</v>
      </c>
      <c r="G62" s="229">
        <f>-G59*(1-G40)</f>
        <v>-635770.36067096505</v>
      </c>
      <c r="H62" s="229">
        <f t="shared" ref="H62:BS62" si="81">-H59*(1-H40)</f>
        <v>-636781.68199069309</v>
      </c>
      <c r="I62" s="229">
        <f t="shared" si="81"/>
        <v>-637794.69591136184</v>
      </c>
      <c r="J62" s="229">
        <f t="shared" si="81"/>
        <v>-638909.13404916483</v>
      </c>
      <c r="K62" s="229">
        <f t="shared" si="81"/>
        <v>-640025.57633586868</v>
      </c>
      <c r="L62" s="229">
        <f t="shared" si="81"/>
        <v>-641144.02650590695</v>
      </c>
      <c r="M62" s="229">
        <f t="shared" si="81"/>
        <v>-642708.16771704215</v>
      </c>
      <c r="N62" s="229">
        <f t="shared" si="81"/>
        <v>-644276.12490110309</v>
      </c>
      <c r="O62" s="229">
        <f t="shared" si="81"/>
        <v>-645847.90736796055</v>
      </c>
      <c r="P62" s="229">
        <f t="shared" si="81"/>
        <v>-647423.52445019945</v>
      </c>
      <c r="Q62" s="229">
        <f t="shared" si="81"/>
        <v>-649002.98550317378</v>
      </c>
      <c r="R62" s="229">
        <f t="shared" si="81"/>
        <v>-650586.29990506219</v>
      </c>
      <c r="S62" s="229">
        <f>-S59*(1-S40)</f>
        <v>-651723.27589610091</v>
      </c>
      <c r="T62" s="229">
        <f t="shared" si="81"/>
        <v>-634500.54489175486</v>
      </c>
      <c r="U62" s="229">
        <f t="shared" si="81"/>
        <v>-598821.83292096725</v>
      </c>
      <c r="V62" s="229">
        <f t="shared" si="81"/>
        <v>-564014.40695802029</v>
      </c>
      <c r="W62" s="229">
        <f t="shared" si="81"/>
        <v>-528954.3688168152</v>
      </c>
      <c r="X62" s="229">
        <f t="shared" si="81"/>
        <v>-493640.34932271147</v>
      </c>
      <c r="Y62" s="229">
        <f t="shared" si="81"/>
        <v>-449450.4177528912</v>
      </c>
      <c r="Z62" s="229">
        <f t="shared" si="81"/>
        <v>-395407.36697458127</v>
      </c>
      <c r="AA62" s="229">
        <f t="shared" si="81"/>
        <v>-340801.17051178706</v>
      </c>
      <c r="AB62" s="229">
        <f t="shared" si="81"/>
        <v>-285627.28536711668</v>
      </c>
      <c r="AC62" s="229">
        <f t="shared" si="81"/>
        <v>-229881.1353587124</v>
      </c>
      <c r="AD62" s="229">
        <f t="shared" si="81"/>
        <v>-173558.11089101556</v>
      </c>
      <c r="AE62" s="229">
        <f t="shared" si="81"/>
        <v>-126086.41711670932</v>
      </c>
      <c r="AF62" s="229">
        <f t="shared" si="81"/>
        <v>-87928.409601177613</v>
      </c>
      <c r="AG62" s="229">
        <f t="shared" si="81"/>
        <v>-54637.956590872389</v>
      </c>
      <c r="AH62" s="229">
        <f t="shared" si="81"/>
        <v>-40537.347589681325</v>
      </c>
      <c r="AI62" s="229">
        <f t="shared" si="81"/>
        <v>-40668.320947417335</v>
      </c>
      <c r="AJ62" s="229">
        <f t="shared" si="81"/>
        <v>-40799.721471790872</v>
      </c>
      <c r="AK62" s="229">
        <f t="shared" si="81"/>
        <v>-40990.21036743866</v>
      </c>
      <c r="AL62" s="229">
        <f t="shared" si="81"/>
        <v>-41181.621983602083</v>
      </c>
      <c r="AM62" s="229">
        <f t="shared" si="81"/>
        <v>-41373.960878693375</v>
      </c>
      <c r="AN62" s="229">
        <f t="shared" si="81"/>
        <v>-41567.231633871968</v>
      </c>
      <c r="AO62" s="229">
        <f t="shared" si="81"/>
        <v>-41761.438853158696</v>
      </c>
      <c r="AP62" s="229">
        <f t="shared" si="81"/>
        <v>-41956.587163550372</v>
      </c>
      <c r="AQ62" s="229">
        <f t="shared" si="81"/>
        <v>-42092.225040007805</v>
      </c>
      <c r="AR62" s="229">
        <f t="shared" si="81"/>
        <v>-42228.305499082264</v>
      </c>
      <c r="AS62" s="229">
        <f t="shared" si="81"/>
        <v>-42364.829995393622</v>
      </c>
      <c r="AT62" s="229">
        <f t="shared" si="81"/>
        <v>-42458.543755238148</v>
      </c>
      <c r="AU62" s="229">
        <f t="shared" si="81"/>
        <v>-42552.465269028493</v>
      </c>
      <c r="AV62" s="229">
        <f t="shared" si="81"/>
        <v>-42646.594998430206</v>
      </c>
      <c r="AW62" s="229">
        <f t="shared" si="81"/>
        <v>-42780.63022155725</v>
      </c>
      <c r="AX62" s="229">
        <f t="shared" si="81"/>
        <v>-42915.089941938313</v>
      </c>
      <c r="AY62" s="229">
        <f t="shared" si="81"/>
        <v>-43049.975512241057</v>
      </c>
      <c r="AZ62" s="229">
        <f t="shared" si="81"/>
        <v>-43185.28828946437</v>
      </c>
      <c r="BA62" s="229">
        <f t="shared" si="81"/>
        <v>-43321.02963495232</v>
      </c>
      <c r="BB62" s="229">
        <f t="shared" si="81"/>
        <v>-43457.200914408073</v>
      </c>
      <c r="BC62" s="229">
        <f t="shared" si="81"/>
        <v>-43553.325067404367</v>
      </c>
      <c r="BD62" s="229">
        <f t="shared" si="81"/>
        <v>-43649.662303422803</v>
      </c>
      <c r="BE62" s="229">
        <f t="shared" si="81"/>
        <v>-43746.213095936</v>
      </c>
      <c r="BF62" s="229">
        <f t="shared" si="81"/>
        <v>-43865.32059026324</v>
      </c>
      <c r="BG62" s="229">
        <f t="shared" si="81"/>
        <v>-43984.752852277496</v>
      </c>
      <c r="BH62" s="229">
        <f t="shared" si="81"/>
        <v>-44104.510768704014</v>
      </c>
      <c r="BI62" s="229">
        <f t="shared" si="81"/>
        <v>-44276.940898599525</v>
      </c>
      <c r="BJ62" s="229">
        <f t="shared" si="81"/>
        <v>-44450.060303079837</v>
      </c>
      <c r="BK62" s="229">
        <f t="shared" si="81"/>
        <v>-44623.871777085769</v>
      </c>
      <c r="BL62" s="229">
        <f t="shared" si="81"/>
        <v>-44798.378126992728</v>
      </c>
      <c r="BM62" s="229">
        <f t="shared" si="81"/>
        <v>-44973.582170657792</v>
      </c>
      <c r="BN62" s="229">
        <f t="shared" si="81"/>
        <v>-45149.486737466883</v>
      </c>
      <c r="BO62" s="229">
        <f t="shared" si="81"/>
        <v>-45272.43279499338</v>
      </c>
      <c r="BP62" s="229">
        <f t="shared" si="81"/>
        <v>-45395.714131512483</v>
      </c>
      <c r="BQ62" s="229">
        <f t="shared" si="81"/>
        <v>-45519.3316625609</v>
      </c>
      <c r="BR62" s="229">
        <f t="shared" si="81"/>
        <v>-45643.286306178365</v>
      </c>
      <c r="BS62" s="229">
        <f t="shared" si="81"/>
        <v>-45767.578982914587</v>
      </c>
      <c r="BT62" s="229">
        <f t="shared" ref="BT62:EE62" si="82">-BT59*(1-BT40)</f>
        <v>-45892.210615836026</v>
      </c>
      <c r="BU62" s="229">
        <f t="shared" si="82"/>
        <v>-46071.74043099198</v>
      </c>
      <c r="BV62" s="229">
        <f t="shared" si="82"/>
        <v>-46251.98819029599</v>
      </c>
      <c r="BW62" s="229">
        <f t="shared" si="82"/>
        <v>-46432.956805681119</v>
      </c>
      <c r="BX62" s="229">
        <f t="shared" si="82"/>
        <v>-46614.649200995525</v>
      </c>
      <c r="BY62" s="229">
        <f t="shared" si="82"/>
        <v>-46797.06831205151</v>
      </c>
      <c r="BZ62" s="229">
        <f t="shared" si="82"/>
        <v>-46980.217086674718</v>
      </c>
      <c r="CA62" s="229">
        <f t="shared" si="82"/>
        <v>-47108.168345417696</v>
      </c>
      <c r="CB62" s="229">
        <f t="shared" si="82"/>
        <v>-47236.468582528949</v>
      </c>
      <c r="CC62" s="229">
        <f t="shared" si="82"/>
        <v>-47365.118751078669</v>
      </c>
      <c r="CD62" s="229">
        <f t="shared" si="82"/>
        <v>-47494.119806743001</v>
      </c>
      <c r="CE62" s="229">
        <f t="shared" si="82"/>
        <v>-47623.472707811285</v>
      </c>
      <c r="CF62" s="229">
        <f t="shared" si="82"/>
        <v>-47753.178415193077</v>
      </c>
      <c r="CG62" s="229">
        <f t="shared" si="82"/>
        <v>-47940.102350445668</v>
      </c>
      <c r="CH62" s="229">
        <f t="shared" si="82"/>
        <v>-48127.774097286609</v>
      </c>
      <c r="CI62" s="229">
        <f t="shared" si="82"/>
        <v>-48316.196689551951</v>
      </c>
      <c r="CJ62" s="229">
        <f t="shared" si="82"/>
        <v>-48505.373173493601</v>
      </c>
      <c r="CK62" s="229">
        <f t="shared" si="82"/>
        <v>-48695.306607830367</v>
      </c>
      <c r="CL62" s="229">
        <f t="shared" si="82"/>
        <v>-48886.000063799278</v>
      </c>
      <c r="CM62" s="229">
        <f t="shared" si="82"/>
        <v>-49019.162341228955</v>
      </c>
      <c r="CN62" s="229">
        <f t="shared" si="82"/>
        <v>-49152.687861287719</v>
      </c>
      <c r="CO62" s="229">
        <f t="shared" si="82"/>
        <v>-49286.577616130773</v>
      </c>
      <c r="CP62" s="229">
        <f t="shared" si="82"/>
        <v>-49420.832600626512</v>
      </c>
      <c r="CQ62" s="229">
        <f t="shared" si="82"/>
        <v>-49555.453812363943</v>
      </c>
      <c r="CR62" s="229">
        <f t="shared" si="82"/>
        <v>-49690.44225166017</v>
      </c>
      <c r="CS62" s="229">
        <f t="shared" si="82"/>
        <v>-49885.067017507768</v>
      </c>
      <c r="CT62" s="229">
        <f t="shared" si="82"/>
        <v>-50080.470710475623</v>
      </c>
      <c r="CU62" s="229">
        <f t="shared" si="82"/>
        <v>-50276.656491420072</v>
      </c>
      <c r="CV62" s="229">
        <f t="shared" si="82"/>
        <v>-50473.627534135121</v>
      </c>
      <c r="CW62" s="229">
        <f t="shared" si="82"/>
        <v>-50671.387025405638</v>
      </c>
      <c r="CX62" s="229">
        <f t="shared" si="82"/>
        <v>-50869.938165060834</v>
      </c>
      <c r="CY62" s="229">
        <f t="shared" si="82"/>
        <v>-51008.525805958096</v>
      </c>
      <c r="CZ62" s="229">
        <f t="shared" si="82"/>
        <v>-51147.491542082389</v>
      </c>
      <c r="DA62" s="229">
        <f t="shared" si="82"/>
        <v>-51286.836406290051</v>
      </c>
      <c r="DB62" s="229">
        <f t="shared" si="82"/>
        <v>-51426.561434262185</v>
      </c>
      <c r="DC62" s="229">
        <f t="shared" si="82"/>
        <v>-51566.667664512519</v>
      </c>
      <c r="DD62" s="229">
        <f t="shared" si="82"/>
        <v>-51707.156138395076</v>
      </c>
      <c r="DE62" s="229">
        <f t="shared" si="82"/>
        <v>-51909.801234786188</v>
      </c>
      <c r="DF62" s="229">
        <f t="shared" si="82"/>
        <v>-52113.257674245586</v>
      </c>
      <c r="DG62" s="229">
        <f t="shared" si="82"/>
        <v>-52317.528749982455</v>
      </c>
      <c r="DH62" s="229">
        <f t="shared" si="82"/>
        <v>-52522.617768687393</v>
      </c>
      <c r="DI62" s="229">
        <f t="shared" si="82"/>
        <v>-52728.528050587898</v>
      </c>
      <c r="DJ62" s="229">
        <f t="shared" si="82"/>
        <v>-52935.262929504068</v>
      </c>
      <c r="DK62" s="229">
        <f t="shared" si="82"/>
        <v>-53079.499161231135</v>
      </c>
      <c r="DL62" s="229">
        <f t="shared" si="82"/>
        <v>-53224.128953550891</v>
      </c>
      <c r="DM62" s="229">
        <f t="shared" si="82"/>
        <v>-53369.153381704062</v>
      </c>
      <c r="DN62" s="229">
        <f t="shared" si="82"/>
        <v>-53514.573523872488</v>
      </c>
      <c r="DO62" s="229">
        <f t="shared" si="82"/>
        <v>-53660.390461187133</v>
      </c>
      <c r="DP62" s="229">
        <f t="shared" si="82"/>
        <v>-53806.605277736206</v>
      </c>
      <c r="DQ62" s="229">
        <f t="shared" si="82"/>
        <v>-54017.603529421947</v>
      </c>
      <c r="DR62" s="229">
        <f t="shared" si="82"/>
        <v>-54229.446895063491</v>
      </c>
      <c r="DS62" s="229">
        <f t="shared" si="82"/>
        <v>-54442.138805779687</v>
      </c>
      <c r="DT62" s="229">
        <f t="shared" si="82"/>
        <v>-54655.682706737491</v>
      </c>
      <c r="DU62" s="229">
        <f t="shared" si="82"/>
        <v>-54870.0820572097</v>
      </c>
      <c r="DV62" s="229">
        <f t="shared" si="82"/>
        <v>-55085.340330633124</v>
      </c>
      <c r="DW62" s="229">
        <f t="shared" si="82"/>
        <v>-55235.457633266116</v>
      </c>
      <c r="DX62" s="229">
        <f t="shared" si="82"/>
        <v>-55385.98460007523</v>
      </c>
      <c r="DY62" s="229">
        <f t="shared" si="82"/>
        <v>-55536.92235043893</v>
      </c>
      <c r="DZ62" s="229">
        <f t="shared" si="82"/>
        <v>-55688.272006797939</v>
      </c>
      <c r="EA62" s="229">
        <f t="shared" si="82"/>
        <v>-55840.034694663511</v>
      </c>
      <c r="EB62" s="229">
        <f t="shared" si="82"/>
        <v>-55992.211542625868</v>
      </c>
      <c r="EC62" s="229">
        <f t="shared" si="82"/>
        <v>-56211.90965698412</v>
      </c>
      <c r="ED62" s="229">
        <f t="shared" si="82"/>
        <v>-56432.488067939827</v>
      </c>
      <c r="EE62" s="229">
        <f t="shared" si="82"/>
        <v>-56653.950350312109</v>
      </c>
      <c r="EF62" s="229">
        <f>-EF59*(1-EF40)</f>
        <v>-56876.300093558675</v>
      </c>
      <c r="EG62" s="229">
        <f>-EG59*(1-EG40)</f>
        <v>-57099.54090183611</v>
      </c>
      <c r="EH62" s="229">
        <f>-EH59*(1-EH40)</f>
        <v>-57323.676394060341</v>
      </c>
      <c r="EI62" s="684"/>
      <c r="EJ62"/>
      <c r="EK62" s="280"/>
    </row>
    <row r="63" spans="1:141" x14ac:dyDescent="0.3">
      <c r="A63" s="661" t="s">
        <v>2403</v>
      </c>
      <c r="B63" s="241"/>
      <c r="C63" s="241"/>
      <c r="D63" s="241"/>
      <c r="E63" s="676">
        <v>0</v>
      </c>
      <c r="F63" s="676">
        <v>0</v>
      </c>
      <c r="G63" s="1602">
        <f>N("Lease-up concession if greater than 2 months")
-IF('Operating Inputs'!$K$8&gt;2,(D$38&lt;'Operating Inputs'!$K$9)*MAX('Operating Inputs'!$K$8-2,0)*D$48*D$35+(OperBgt!E$38&lt;'Operating Inputs'!$K$9)*MIN('Operating Inputs'!$K$8-1,1)*E$35*E$48+(OperBgt!F$38&lt;'Operating Inputs'!$K$9)*MIN('Operating Inputs'!$K$8,1)*F$35*F$48,0)
+N("Stabilized concession if greater than 1 month")
-IF('Operating Inputs'!$K$10&gt;1,(E$5&lt;=(MonthStabilization+'Operating Inputs'!$K$11))*(OperBgt!E$38&gt;'Operating Inputs'!$K$9)*MIN('Operating Inputs'!$K$10-1,1)*E$109*E$48+(F$5&lt;=(MonthStabilization+'Operating Inputs'!$K$11))*(OperBgt!F$38&gt;'Operating Inputs'!$K$9)*MIN('Operating Inputs'!$K$10,1)*F$109*F$48,0)
+N("Lease-up concession if less than or equal to 2 months")
-IF(AND('Operating Inputs'!$K$8&lt;=2,F$38&lt;'Operating Inputs'!$K$9,G$38&lt;&gt;(1-Vacancy)),MIN('Operating Inputs'!$K$8,1)*(AvgLeaseTermMarket/12)*F48*OperBgt!F35+('Operating Inputs'!$K$8-1)*(AvgLeaseTermMarket/12)*E48*OperBgt!E35,0)
+N("Stabilized concession if less than or equal to 1 month")
-IF(AND('Operating Inputs'!$K$10&lt;=1,G$38=(1-Vacancy),F$5&lt;=(MonthStabilization+'Operating Inputs'!$K$11)),'Operating Inputs'!$K$10*(AvgLeaseTermMarket/12)*F48*OperBgt!F109,0)</f>
        <v>0</v>
      </c>
      <c r="H63" s="1602">
        <f>N("Lease-up concession if greater than 2 months")
-IF('Operating Inputs'!$K$8&gt;2,(E$38&lt;'Operating Inputs'!$K$9)*MAX('Operating Inputs'!$K$8-2,0)*E$48*E$35+(OperBgt!F$38&lt;'Operating Inputs'!$K$9)*MIN('Operating Inputs'!$K$8-1,1)*F$35*F$48+(OperBgt!G$38&lt;'Operating Inputs'!$K$9)*MIN('Operating Inputs'!$K$8,1)*G$35*G$48,0)
+N("Stabilized concession if greater than 1 month")
-IF('Operating Inputs'!$K$10&gt;1,(F$5&lt;=(MonthStabilization+'Operating Inputs'!$K$11))*(OperBgt!F$38&gt;'Operating Inputs'!$K$9)*MIN('Operating Inputs'!$K$10-1,1)*F$109*F$48+(G$5&lt;=(MonthStabilization+'Operating Inputs'!$K$11))*(OperBgt!G$38&gt;'Operating Inputs'!$K$9)*MIN('Operating Inputs'!$K$10,1)*G$109*G$48,0)
+N("Lease-up concession if less than or equal to 2 months")
-IF(AND('Operating Inputs'!$K$8&lt;=2,G$38&lt;'Operating Inputs'!$K$9,H$38&lt;&gt;(1-Vacancy)),MIN('Operating Inputs'!$K$8,1)*(AvgLeaseTermMarket/12)*G48*OperBgt!G35+('Operating Inputs'!$K$8-1)*(AvgLeaseTermMarket/12)*F48*OperBgt!F35,0)
+N("Stabilized concession if less than or equal to 1 month")
-IF(AND('Operating Inputs'!$K$10&lt;=1,H$38=(1-Vacancy),G$5&lt;=(MonthStabilization+'Operating Inputs'!$K$11)),'Operating Inputs'!$K$10*(AvgLeaseTermMarket/12)*G48*OperBgt!G109,0)</f>
        <v>0</v>
      </c>
      <c r="I63" s="1602">
        <f>N("Lease-up concession if greater than 2 months")
-IF('Operating Inputs'!$K$8&gt;2,(F$38&lt;'Operating Inputs'!$K$9)*MAX('Operating Inputs'!$K$8-2,0)*F$48*F$35+(OperBgt!G$38&lt;'Operating Inputs'!$K$9)*MIN('Operating Inputs'!$K$8-1,1)*G$35*G$48+(OperBgt!H$38&lt;'Operating Inputs'!$K$9)*MIN('Operating Inputs'!$K$8,1)*H$35*H$48,0)
+N("Stabilized concession if greater than 1 month")
-IF('Operating Inputs'!$K$10&gt;1,(G$5&lt;=(MonthStabilization+'Operating Inputs'!$K$11))*(OperBgt!G$38&gt;'Operating Inputs'!$K$9)*MIN('Operating Inputs'!$K$10-1,1)*G$109*G$48+(H$5&lt;=(MonthStabilization+'Operating Inputs'!$K$11))*(OperBgt!H$38&gt;'Operating Inputs'!$K$9)*MIN('Operating Inputs'!$K$10,1)*H$109*H$48,0)
+N("Lease-up concession if less than or equal to 2 months")
-IF(AND('Operating Inputs'!$K$8&lt;=2,H$38&lt;'Operating Inputs'!$K$9,I$38&lt;&gt;(1-Vacancy)),MIN('Operating Inputs'!$K$8,1)*(AvgLeaseTermMarket/12)*H48*OperBgt!H35+('Operating Inputs'!$K$8-1)*(AvgLeaseTermMarket/12)*G48*OperBgt!G35,0)
+N("Stabilized concession if less than or equal to 1 month")
-IF(AND('Operating Inputs'!$K$10&lt;=1,I$38=(1-Vacancy),H$5&lt;=(MonthStabilization+'Operating Inputs'!$K$11)),'Operating Inputs'!$K$10*(AvgLeaseTermMarket/12)*H48*OperBgt!H109,0)</f>
        <v>0</v>
      </c>
      <c r="J63" s="1602">
        <f>N("Lease-up concession if greater than 2 months")
-IF('Operating Inputs'!$K$8&gt;2,(G$38&lt;'Operating Inputs'!$K$9)*MAX('Operating Inputs'!$K$8-2,0)*G$48*G$35+(OperBgt!H$38&lt;'Operating Inputs'!$K$9)*MIN('Operating Inputs'!$K$8-1,1)*H$35*H$48+(OperBgt!I$38&lt;'Operating Inputs'!$K$9)*MIN('Operating Inputs'!$K$8,1)*I$35*I$48,0)
+N("Stabilized concession if greater than 1 month")
-IF('Operating Inputs'!$K$10&gt;1,(H$5&lt;=(MonthStabilization+'Operating Inputs'!$K$11))*(OperBgt!H$38&gt;'Operating Inputs'!$K$9)*MIN('Operating Inputs'!$K$10-1,1)*H$109*H$48+(I$5&lt;=(MonthStabilization+'Operating Inputs'!$K$11))*(OperBgt!I$38&gt;'Operating Inputs'!$K$9)*MIN('Operating Inputs'!$K$10,1)*I$109*I$48,0)
+N("Lease-up concession if less than or equal to 2 months")
-IF(AND('Operating Inputs'!$K$8&lt;=2,I$38&lt;'Operating Inputs'!$K$9,J$38&lt;&gt;(1-Vacancy)),MIN('Operating Inputs'!$K$8,1)*(AvgLeaseTermMarket/12)*I48*OperBgt!I35+('Operating Inputs'!$K$8-1)*(AvgLeaseTermMarket/12)*H48*OperBgt!H35,0)
+N("Stabilized concession if less than or equal to 1 month")
-IF(AND('Operating Inputs'!$K$10&lt;=1,J$38=(1-Vacancy),I$5&lt;=(MonthStabilization+'Operating Inputs'!$K$11)),'Operating Inputs'!$K$10*(AvgLeaseTermMarket/12)*I48*OperBgt!I109,0)</f>
        <v>0</v>
      </c>
      <c r="K63" s="1602">
        <f>N("Lease-up concession if greater than 2 months")
-IF('Operating Inputs'!$K$8&gt;2,(H$38&lt;'Operating Inputs'!$K$9)*MAX('Operating Inputs'!$K$8-2,0)*H$48*H$35+(OperBgt!I$38&lt;'Operating Inputs'!$K$9)*MIN('Operating Inputs'!$K$8-1,1)*I$35*I$48+(OperBgt!J$38&lt;'Operating Inputs'!$K$9)*MIN('Operating Inputs'!$K$8,1)*J$35*J$48,0)
+N("Stabilized concession if greater than 1 month")
-IF('Operating Inputs'!$K$10&gt;1,(I$5&lt;=(MonthStabilization+'Operating Inputs'!$K$11))*(OperBgt!I$38&gt;'Operating Inputs'!$K$9)*MIN('Operating Inputs'!$K$10-1,1)*I$109*I$48+(J$5&lt;=(MonthStabilization+'Operating Inputs'!$K$11))*(OperBgt!J$38&gt;'Operating Inputs'!$K$9)*MIN('Operating Inputs'!$K$10,1)*J$109*J$48,0)
+N("Lease-up concession if less than or equal to 2 months")
-IF(AND('Operating Inputs'!$K$8&lt;=2,J$38&lt;'Operating Inputs'!$K$9,K$38&lt;&gt;(1-Vacancy)),MIN('Operating Inputs'!$K$8,1)*(AvgLeaseTermMarket/12)*J48*OperBgt!J35+('Operating Inputs'!$K$8-1)*(AvgLeaseTermMarket/12)*I48*OperBgt!I35,0)
+N("Stabilized concession if less than or equal to 1 month")
-IF(AND('Operating Inputs'!$K$10&lt;=1,K$38=(1-Vacancy),J$5&lt;=(MonthStabilization+'Operating Inputs'!$K$11)),'Operating Inputs'!$K$10*(AvgLeaseTermMarket/12)*J48*OperBgt!J109,0)</f>
        <v>0</v>
      </c>
      <c r="L63" s="1602">
        <f>N("Lease-up concession if greater than 2 months")
-IF('Operating Inputs'!$K$8&gt;2,(I$38&lt;'Operating Inputs'!$K$9)*MAX('Operating Inputs'!$K$8-2,0)*I$48*I$35+(OperBgt!J$38&lt;'Operating Inputs'!$K$9)*MIN('Operating Inputs'!$K$8-1,1)*J$35*J$48+(OperBgt!K$38&lt;'Operating Inputs'!$K$9)*MIN('Operating Inputs'!$K$8,1)*K$35*K$48,0)
+N("Stabilized concession if greater than 1 month")
-IF('Operating Inputs'!$K$10&gt;1,(J$5&lt;=(MonthStabilization+'Operating Inputs'!$K$11))*(OperBgt!J$38&gt;'Operating Inputs'!$K$9)*MIN('Operating Inputs'!$K$10-1,1)*J$109*J$48+(K$5&lt;=(MonthStabilization+'Operating Inputs'!$K$11))*(OperBgt!K$38&gt;'Operating Inputs'!$K$9)*MIN('Operating Inputs'!$K$10,1)*K$109*K$48,0)
+N("Lease-up concession if less than or equal to 2 months")
-IF(AND('Operating Inputs'!$K$8&lt;=2,K$38&lt;'Operating Inputs'!$K$9,L$38&lt;&gt;(1-Vacancy)),MIN('Operating Inputs'!$K$8,1)*(AvgLeaseTermMarket/12)*K48*OperBgt!K35+('Operating Inputs'!$K$8-1)*(AvgLeaseTermMarket/12)*J48*OperBgt!J35,0)
+N("Stabilized concession if less than or equal to 1 month")
-IF(AND('Operating Inputs'!$K$10&lt;=1,L$38=(1-Vacancy),K$5&lt;=(MonthStabilization+'Operating Inputs'!$K$11)),'Operating Inputs'!$K$10*(AvgLeaseTermMarket/12)*K48*OperBgt!K109,0)</f>
        <v>0</v>
      </c>
      <c r="M63" s="1602">
        <f>N("Lease-up concession if greater than 2 months")
-IF('Operating Inputs'!$K$8&gt;2,(J$38&lt;'Operating Inputs'!$K$9)*MAX('Operating Inputs'!$K$8-2,0)*J$48*J$35+(OperBgt!K$38&lt;'Operating Inputs'!$K$9)*MIN('Operating Inputs'!$K$8-1,1)*K$35*K$48+(OperBgt!L$38&lt;'Operating Inputs'!$K$9)*MIN('Operating Inputs'!$K$8,1)*L$35*L$48,0)
+N("Stabilized concession if greater than 1 month")
-IF('Operating Inputs'!$K$10&gt;1,(K$5&lt;=(MonthStabilization+'Operating Inputs'!$K$11))*(OperBgt!K$38&gt;'Operating Inputs'!$K$9)*MIN('Operating Inputs'!$K$10-1,1)*K$109*K$48+(L$5&lt;=(MonthStabilization+'Operating Inputs'!$K$11))*(OperBgt!L$38&gt;'Operating Inputs'!$K$9)*MIN('Operating Inputs'!$K$10,1)*L$109*L$48,0)
+N("Lease-up concession if less than or equal to 2 months")
-IF(AND('Operating Inputs'!$K$8&lt;=2,L$38&lt;'Operating Inputs'!$K$9,M$38&lt;&gt;(1-Vacancy)),MIN('Operating Inputs'!$K$8,1)*(AvgLeaseTermMarket/12)*L48*OperBgt!L35+('Operating Inputs'!$K$8-1)*(AvgLeaseTermMarket/12)*K48*OperBgt!K35,0)
+N("Stabilized concession if less than or equal to 1 month")
-IF(AND('Operating Inputs'!$K$10&lt;=1,M$38=(1-Vacancy),L$5&lt;=(MonthStabilization+'Operating Inputs'!$K$11)),'Operating Inputs'!$K$10*(AvgLeaseTermMarket/12)*L48*OperBgt!L109,0)</f>
        <v>0</v>
      </c>
      <c r="N63" s="1602">
        <f>N("Lease-up concession if greater than 2 months")
-IF('Operating Inputs'!$K$8&gt;2,(K$38&lt;'Operating Inputs'!$K$9)*MAX('Operating Inputs'!$K$8-2,0)*K$48*K$35+(OperBgt!L$38&lt;'Operating Inputs'!$K$9)*MIN('Operating Inputs'!$K$8-1,1)*L$35*L$48+(OperBgt!M$38&lt;'Operating Inputs'!$K$9)*MIN('Operating Inputs'!$K$8,1)*M$35*M$48,0)
+N("Stabilized concession if greater than 1 month")
-IF('Operating Inputs'!$K$10&gt;1,(L$5&lt;=(MonthStabilization+'Operating Inputs'!$K$11))*(OperBgt!L$38&gt;'Operating Inputs'!$K$9)*MIN('Operating Inputs'!$K$10-1,1)*L$109*L$48+(M$5&lt;=(MonthStabilization+'Operating Inputs'!$K$11))*(OperBgt!M$38&gt;'Operating Inputs'!$K$9)*MIN('Operating Inputs'!$K$10,1)*M$109*M$48,0)
+N("Lease-up concession if less than or equal to 2 months")
-IF(AND('Operating Inputs'!$K$8&lt;=2,M$38&lt;'Operating Inputs'!$K$9,N$38&lt;&gt;(1-Vacancy)),MIN('Operating Inputs'!$K$8,1)*(AvgLeaseTermMarket/12)*M48*OperBgt!M35+('Operating Inputs'!$K$8-1)*(AvgLeaseTermMarket/12)*L48*OperBgt!L35,0)
+N("Stabilized concession if less than or equal to 1 month")
-IF(AND('Operating Inputs'!$K$10&lt;=1,N$38=(1-Vacancy),M$5&lt;=(MonthStabilization+'Operating Inputs'!$K$11)),'Operating Inputs'!$K$10*(AvgLeaseTermMarket/12)*M48*OperBgt!M109,0)</f>
        <v>0</v>
      </c>
      <c r="O63" s="1602">
        <f>N("Lease-up concession if greater than 2 months")
-IF('Operating Inputs'!$K$8&gt;2,(L$38&lt;'Operating Inputs'!$K$9)*MAX('Operating Inputs'!$K$8-2,0)*L$48*L$35+(OperBgt!M$38&lt;'Operating Inputs'!$K$9)*MIN('Operating Inputs'!$K$8-1,1)*M$35*M$48+(OperBgt!N$38&lt;'Operating Inputs'!$K$9)*MIN('Operating Inputs'!$K$8,1)*N$35*N$48,0)
+N("Stabilized concession if greater than 1 month")
-IF('Operating Inputs'!$K$10&gt;1,(M$5&lt;=(MonthStabilization+'Operating Inputs'!$K$11))*(OperBgt!M$38&gt;'Operating Inputs'!$K$9)*MIN('Operating Inputs'!$K$10-1,1)*M$109*M$48+(N$5&lt;=(MonthStabilization+'Operating Inputs'!$K$11))*(OperBgt!N$38&gt;'Operating Inputs'!$K$9)*MIN('Operating Inputs'!$K$10,1)*N$109*N$48,0)
+N("Lease-up concession if less than or equal to 2 months")
-IF(AND('Operating Inputs'!$K$8&lt;=2,N$38&lt;'Operating Inputs'!$K$9,O$38&lt;&gt;(1-Vacancy)),MIN('Operating Inputs'!$K$8,1)*(AvgLeaseTermMarket/12)*N48*OperBgt!N35+('Operating Inputs'!$K$8-1)*(AvgLeaseTermMarket/12)*M48*OperBgt!M35,0)
+N("Stabilized concession if less than or equal to 1 month")
-IF(AND('Operating Inputs'!$K$10&lt;=1,O$38=(1-Vacancy),N$5&lt;=(MonthStabilization+'Operating Inputs'!$K$11)),'Operating Inputs'!$K$10*(AvgLeaseTermMarket/12)*N48*OperBgt!N109,0)</f>
        <v>0</v>
      </c>
      <c r="P63" s="1602">
        <f>N("Lease-up concession if greater than 2 months")
-IF('Operating Inputs'!$K$8&gt;2,(M$38&lt;'Operating Inputs'!$K$9)*MAX('Operating Inputs'!$K$8-2,0)*M$48*M$35+(OperBgt!N$38&lt;'Operating Inputs'!$K$9)*MIN('Operating Inputs'!$K$8-1,1)*N$35*N$48+(OperBgt!O$38&lt;'Operating Inputs'!$K$9)*MIN('Operating Inputs'!$K$8,1)*O$35*O$48,0)
+N("Stabilized concession if greater than 1 month")
-IF('Operating Inputs'!$K$10&gt;1,(N$5&lt;=(MonthStabilization+'Operating Inputs'!$K$11))*(OperBgt!N$38&gt;'Operating Inputs'!$K$9)*MIN('Operating Inputs'!$K$10-1,1)*N$109*N$48+(O$5&lt;=(MonthStabilization+'Operating Inputs'!$K$11))*(OperBgt!O$38&gt;'Operating Inputs'!$K$9)*MIN('Operating Inputs'!$K$10,1)*O$109*O$48,0)
+N("Lease-up concession if less than or equal to 2 months")
-IF(AND('Operating Inputs'!$K$8&lt;=2,O$38&lt;'Operating Inputs'!$K$9,P$38&lt;&gt;(1-Vacancy)),MIN('Operating Inputs'!$K$8,1)*(AvgLeaseTermMarket/12)*O48*OperBgt!O35+('Operating Inputs'!$K$8-1)*(AvgLeaseTermMarket/12)*N48*OperBgt!N35,0)
+N("Stabilized concession if less than or equal to 1 month")
-IF(AND('Operating Inputs'!$K$10&lt;=1,P$38=(1-Vacancy),O$5&lt;=(MonthStabilization+'Operating Inputs'!$K$11)),'Operating Inputs'!$K$10*(AvgLeaseTermMarket/12)*O48*OperBgt!O109,0)</f>
        <v>0</v>
      </c>
      <c r="Q63" s="1602">
        <f>N("Lease-up concession if greater than 2 months")
-IF('Operating Inputs'!$K$8&gt;2,(N$38&lt;'Operating Inputs'!$K$9)*MAX('Operating Inputs'!$K$8-2,0)*N$48*N$35+(OperBgt!O$38&lt;'Operating Inputs'!$K$9)*MIN('Operating Inputs'!$K$8-1,1)*O$35*O$48+(OperBgt!P$38&lt;'Operating Inputs'!$K$9)*MIN('Operating Inputs'!$K$8,1)*P$35*P$48,0)
+N("Stabilized concession if greater than 1 month")
-IF('Operating Inputs'!$K$10&gt;1,(O$5&lt;=(MonthStabilization+'Operating Inputs'!$K$11))*(OperBgt!O$38&gt;'Operating Inputs'!$K$9)*MIN('Operating Inputs'!$K$10-1,1)*O$109*O$48+(P$5&lt;=(MonthStabilization+'Operating Inputs'!$K$11))*(OperBgt!P$38&gt;'Operating Inputs'!$K$9)*MIN('Operating Inputs'!$K$10,1)*P$109*P$48,0)
+N("Lease-up concession if less than or equal to 2 months")
-IF(AND('Operating Inputs'!$K$8&lt;=2,P$38&lt;'Operating Inputs'!$K$9,Q$38&lt;&gt;(1-Vacancy)),MIN('Operating Inputs'!$K$8,1)*(AvgLeaseTermMarket/12)*P48*OperBgt!P35+('Operating Inputs'!$K$8-1)*(AvgLeaseTermMarket/12)*O48*OperBgt!O35,0)
+N("Stabilized concession if less than or equal to 1 month")
-IF(AND('Operating Inputs'!$K$10&lt;=1,Q$38=(1-Vacancy),P$5&lt;=(MonthStabilization+'Operating Inputs'!$K$11)),'Operating Inputs'!$K$10*(AvgLeaseTermMarket/12)*P48*OperBgt!P109,0)</f>
        <v>0</v>
      </c>
      <c r="R63" s="1602">
        <f>N("Lease-up concession if greater than 2 months")
-IF('Operating Inputs'!$K$8&gt;2,(O$38&lt;'Operating Inputs'!$K$9)*MAX('Operating Inputs'!$K$8-2,0)*O$48*O$35+(OperBgt!P$38&lt;'Operating Inputs'!$K$9)*MIN('Operating Inputs'!$K$8-1,1)*P$35*P$48+(OperBgt!Q$38&lt;'Operating Inputs'!$K$9)*MIN('Operating Inputs'!$K$8,1)*Q$35*Q$48,0)
+N("Stabilized concession if greater than 1 month")
-IF('Operating Inputs'!$K$10&gt;1,(P$5&lt;=(MonthStabilization+'Operating Inputs'!$K$11))*(OperBgt!P$38&gt;'Operating Inputs'!$K$9)*MIN('Operating Inputs'!$K$10-1,1)*P$109*P$48+(Q$5&lt;=(MonthStabilization+'Operating Inputs'!$K$11))*(OperBgt!Q$38&gt;'Operating Inputs'!$K$9)*MIN('Operating Inputs'!$K$10,1)*Q$109*Q$48,0)
+N("Lease-up concession if less than or equal to 2 months")
-IF(AND('Operating Inputs'!$K$8&lt;=2,Q$38&lt;'Operating Inputs'!$K$9,R$38&lt;&gt;(1-Vacancy)),MIN('Operating Inputs'!$K$8,1)*(AvgLeaseTermMarket/12)*Q48*OperBgt!Q35+('Operating Inputs'!$K$8-1)*(AvgLeaseTermMarket/12)*P48*OperBgt!P35,0)
+N("Stabilized concession if less than or equal to 1 month")
-IF(AND('Operating Inputs'!$K$10&lt;=1,R$38=(1-Vacancy),Q$5&lt;=(MonthStabilization+'Operating Inputs'!$K$11)),'Operating Inputs'!$K$10*(AvgLeaseTermMarket/12)*Q48*OperBgt!Q109,0)</f>
        <v>0</v>
      </c>
      <c r="S63" s="1602">
        <f>N("Lease-up concession if greater than 2 months")
-IF('Operating Inputs'!$K$8&gt;2,(P$38&lt;'Operating Inputs'!$K$9)*MAX('Operating Inputs'!$K$8-2,0)*P$48*P$35+(OperBgt!Q$38&lt;'Operating Inputs'!$K$9)*MIN('Operating Inputs'!$K$8-1,1)*Q$35*Q$48+(OperBgt!R$38&lt;'Operating Inputs'!$K$9)*MIN('Operating Inputs'!$K$8,1)*R$35*R$48,0)
+N("Stabilized concession if greater than 1 month")
-IF('Operating Inputs'!$K$10&gt;1,(Q$5&lt;=(MonthStabilization+'Operating Inputs'!$K$11))*(OperBgt!Q$38&gt;'Operating Inputs'!$K$9)*MIN('Operating Inputs'!$K$10-1,1)*Q$109*Q$48+(R$5&lt;=(MonthStabilization+'Operating Inputs'!$K$11))*(OperBgt!R$38&gt;'Operating Inputs'!$K$9)*MIN('Operating Inputs'!$K$10,1)*R$109*R$48,0)
+N("Lease-up concession if less than or equal to 2 months")
-IF(AND('Operating Inputs'!$K$8&lt;=2,R$38&lt;'Operating Inputs'!$K$9,S$38&lt;&gt;(1-Vacancy)),MIN('Operating Inputs'!$K$8,1)*(AvgLeaseTermMarket/12)*R48*OperBgt!R35+('Operating Inputs'!$K$8-1)*(AvgLeaseTermMarket/12)*Q48*OperBgt!Q35,0)
+N("Stabilized concession if less than or equal to 1 month")
-IF(AND('Operating Inputs'!$K$10&lt;=1,S$38=(1-Vacancy),R$5&lt;=(MonthStabilization+'Operating Inputs'!$K$11)),'Operating Inputs'!$K$10*(AvgLeaseTermMarket/12)*R48*OperBgt!R109,0)</f>
        <v>0</v>
      </c>
      <c r="T63" s="1602">
        <f>N("Lease-up concession if greater than 2 months")
-IF('Operating Inputs'!$K$8&gt;2,(Q$38&lt;'Operating Inputs'!$K$9)*MAX('Operating Inputs'!$K$8-2,0)*Q$48*Q$35+(OperBgt!R$38&lt;'Operating Inputs'!$K$9)*MIN('Operating Inputs'!$K$8-1,1)*R$35*R$48+(OperBgt!S$38&lt;'Operating Inputs'!$K$9)*MIN('Operating Inputs'!$K$8,1)*S$35*S$48,0)
+N("Stabilized concession if greater than 1 month")
-IF('Operating Inputs'!$K$10&gt;1,(R$5&lt;=(MonthStabilization+'Operating Inputs'!$K$11))*(OperBgt!R$38&gt;'Operating Inputs'!$K$9)*MIN('Operating Inputs'!$K$10-1,1)*R$109*R$48+(S$5&lt;=(MonthStabilization+'Operating Inputs'!$K$11))*(OperBgt!S$38&gt;'Operating Inputs'!$K$9)*MIN('Operating Inputs'!$K$10,1)*S$109*S$48,0)
+N("Lease-up concession if less than or equal to 2 months")
-IF(AND('Operating Inputs'!$K$8&lt;=2,S$38&lt;'Operating Inputs'!$K$9,T$38&lt;&gt;(1-Vacancy)),MIN('Operating Inputs'!$K$8,1)*(AvgLeaseTermMarket/12)*S48*OperBgt!S35+('Operating Inputs'!$K$8-1)*(AvgLeaseTermMarket/12)*R48*OperBgt!R35,0)
+N("Stabilized concession if less than or equal to 1 month")
-IF(AND('Operating Inputs'!$K$10&lt;=1,T$38=(1-Vacancy),S$5&lt;=(MonthStabilization+'Operating Inputs'!$K$11)),'Operating Inputs'!$K$10*(AvgLeaseTermMarket/12)*S48*OperBgt!S109,0)</f>
        <v>0</v>
      </c>
      <c r="U63" s="1602">
        <f>N("Lease-up concession if greater than 2 months")
-IF('Operating Inputs'!$K$8&gt;2,(R$38&lt;'Operating Inputs'!$K$9)*MAX('Operating Inputs'!$K$8-2,0)*R$48*R$35+(OperBgt!S$38&lt;'Operating Inputs'!$K$9)*MIN('Operating Inputs'!$K$8-1,1)*S$35*S$48+(OperBgt!T$38&lt;'Operating Inputs'!$K$9)*MIN('Operating Inputs'!$K$8,1)*T$35*T$48,0)
+N("Stabilized concession if greater than 1 month")
-IF('Operating Inputs'!$K$10&gt;1,(S$5&lt;=(MonthStabilization+'Operating Inputs'!$K$11))*(OperBgt!S$38&gt;'Operating Inputs'!$K$9)*MIN('Operating Inputs'!$K$10-1,1)*S$109*S$48+(T$5&lt;=(MonthStabilization+'Operating Inputs'!$K$11))*(OperBgt!T$38&gt;'Operating Inputs'!$K$9)*MIN('Operating Inputs'!$K$10,1)*T$109*T$48,0)
+N("Lease-up concession if less than or equal to 2 months")
-IF(AND('Operating Inputs'!$K$8&lt;=2,T$38&lt;'Operating Inputs'!$K$9,U$38&lt;&gt;(1-Vacancy)),MIN('Operating Inputs'!$K$8,1)*(AvgLeaseTermMarket/12)*T48*OperBgt!T35+('Operating Inputs'!$K$8-1)*(AvgLeaseTermMarket/12)*S48*OperBgt!S35,0)
+N("Stabilized concession if less than or equal to 1 month")
-IF(AND('Operating Inputs'!$K$10&lt;=1,U$38=(1-Vacancy),T$5&lt;=(MonthStabilization+'Operating Inputs'!$K$11)),'Operating Inputs'!$K$10*(AvgLeaseTermMarket/12)*T48*OperBgt!T109,0)</f>
        <v>-31301.149918183739</v>
      </c>
      <c r="V63" s="1602">
        <f>N("Lease-up concession if greater than 2 months")
-IF('Operating Inputs'!$K$8&gt;2,(S$38&lt;'Operating Inputs'!$K$9)*MAX('Operating Inputs'!$K$8-2,0)*S$48*S$35+(OperBgt!T$38&lt;'Operating Inputs'!$K$9)*MIN('Operating Inputs'!$K$8-1,1)*T$35*T$48+(OperBgt!U$38&lt;'Operating Inputs'!$K$9)*MIN('Operating Inputs'!$K$8,1)*U$35*U$48,0)
+N("Stabilized concession if greater than 1 month")
-IF('Operating Inputs'!$K$10&gt;1,(T$5&lt;=(MonthStabilization+'Operating Inputs'!$K$11))*(OperBgt!T$38&gt;'Operating Inputs'!$K$9)*MIN('Operating Inputs'!$K$10-1,1)*T$109*T$48+(U$5&lt;=(MonthStabilization+'Operating Inputs'!$K$11))*(OperBgt!U$38&gt;'Operating Inputs'!$K$9)*MIN('Operating Inputs'!$K$10,1)*U$109*U$48,0)
+N("Lease-up concession if less than or equal to 2 months")
-IF(AND('Operating Inputs'!$K$8&lt;=2,U$38&lt;'Operating Inputs'!$K$9,V$38&lt;&gt;(1-Vacancy)),MIN('Operating Inputs'!$K$8,1)*(AvgLeaseTermMarket/12)*U48*OperBgt!U35+('Operating Inputs'!$K$8-1)*(AvgLeaseTermMarket/12)*T48*OperBgt!T35,0)
+N("Stabilized concession if less than or equal to 1 month")
-IF(AND('Operating Inputs'!$K$10&lt;=1,V$38=(1-Vacancy),U$5&lt;=(MonthStabilization+'Operating Inputs'!$K$11)),'Operating Inputs'!$K$10*(AvgLeaseTermMarket/12)*U48*OperBgt!U109,0)</f>
        <v>-47002.537077309462</v>
      </c>
      <c r="W63" s="1602">
        <f>N("Lease-up concession if greater than 2 months")
-IF('Operating Inputs'!$K$8&gt;2,(T$38&lt;'Operating Inputs'!$K$9)*MAX('Operating Inputs'!$K$8-2,0)*T$48*T$35+(OperBgt!U$38&lt;'Operating Inputs'!$K$9)*MIN('Operating Inputs'!$K$8-1,1)*U$35*U$48+(OperBgt!V$38&lt;'Operating Inputs'!$K$9)*MIN('Operating Inputs'!$K$8,1)*V$35*V$48,0)
+N("Stabilized concession if greater than 1 month")
-IF('Operating Inputs'!$K$10&gt;1,(U$5&lt;=(MonthStabilization+'Operating Inputs'!$K$11))*(OperBgt!U$38&gt;'Operating Inputs'!$K$9)*MIN('Operating Inputs'!$K$10-1,1)*U$109*U$48+(V$5&lt;=(MonthStabilization+'Operating Inputs'!$K$11))*(OperBgt!V$38&gt;'Operating Inputs'!$K$9)*MIN('Operating Inputs'!$K$10,1)*V$109*V$48,0)
+N("Lease-up concession if less than or equal to 2 months")
-IF(AND('Operating Inputs'!$K$8&lt;=2,V$38&lt;'Operating Inputs'!$K$9,W$38&lt;&gt;(1-Vacancy)),MIN('Operating Inputs'!$K$8,1)*(AvgLeaseTermMarket/12)*V48*OperBgt!V35+('Operating Inputs'!$K$8-1)*(AvgLeaseTermMarket/12)*U48*OperBgt!U35,0)
+N("Stabilized concession if less than or equal to 1 month")
-IF(AND('Operating Inputs'!$K$10&lt;=1,W$38=(1-Vacancy),V$5&lt;=(MonthStabilization+'Operating Inputs'!$K$11)),'Operating Inputs'!$K$10*(AvgLeaseTermMarket/12)*V48*OperBgt!V109,0)</f>
        <v>-47144.154450244583</v>
      </c>
      <c r="X63" s="1602">
        <f>N("Lease-up concession if greater than 2 months")
-IF('Operating Inputs'!$K$8&gt;2,(U$38&lt;'Operating Inputs'!$K$9)*MAX('Operating Inputs'!$K$8-2,0)*U$48*U$35+(OperBgt!V$38&lt;'Operating Inputs'!$K$9)*MIN('Operating Inputs'!$K$8-1,1)*V$35*V$48+(OperBgt!W$38&lt;'Operating Inputs'!$K$9)*MIN('Operating Inputs'!$K$8,1)*W$35*W$48,0)
+N("Stabilized concession if greater than 1 month")
-IF('Operating Inputs'!$K$10&gt;1,(V$5&lt;=(MonthStabilization+'Operating Inputs'!$K$11))*(OperBgt!V$38&gt;'Operating Inputs'!$K$9)*MIN('Operating Inputs'!$K$10-1,1)*V$109*V$48+(W$5&lt;=(MonthStabilization+'Operating Inputs'!$K$11))*(OperBgt!W$38&gt;'Operating Inputs'!$K$9)*MIN('Operating Inputs'!$K$10,1)*W$109*W$48,0)
+N("Lease-up concession if less than or equal to 2 months")
-IF(AND('Operating Inputs'!$K$8&lt;=2,W$38&lt;'Operating Inputs'!$K$9,X$38&lt;&gt;(1-Vacancy)),MIN('Operating Inputs'!$K$8,1)*(AvgLeaseTermMarket/12)*W48*OperBgt!W35+('Operating Inputs'!$K$8-1)*(AvgLeaseTermMarket/12)*V48*OperBgt!V35,0)
+N("Stabilized concession if less than or equal to 1 month")
-IF(AND('Operating Inputs'!$K$10&lt;=1,X$38=(1-Vacancy),W$5&lt;=(MonthStabilization+'Operating Inputs'!$K$11)),'Operating Inputs'!$K$10*(AvgLeaseTermMarket/12)*W48*OperBgt!W109,0)</f>
        <v>-47318.902116073492</v>
      </c>
      <c r="Y63" s="1602">
        <f>N("Lease-up concession if greater than 2 months")
-IF('Operating Inputs'!$K$8&gt;2,(V$38&lt;'Operating Inputs'!$K$9)*MAX('Operating Inputs'!$K$8-2,0)*V$48*V$35+(OperBgt!W$38&lt;'Operating Inputs'!$K$9)*MIN('Operating Inputs'!$K$8-1,1)*W$35*W$48+(OperBgt!X$38&lt;'Operating Inputs'!$K$9)*MIN('Operating Inputs'!$K$8,1)*X$35*X$48,0)
+N("Stabilized concession if greater than 1 month")
-IF('Operating Inputs'!$K$10&gt;1,(W$5&lt;=(MonthStabilization+'Operating Inputs'!$K$11))*(OperBgt!W$38&gt;'Operating Inputs'!$K$9)*MIN('Operating Inputs'!$K$10-1,1)*W$109*W$48+(X$5&lt;=(MonthStabilization+'Operating Inputs'!$K$11))*(OperBgt!X$38&gt;'Operating Inputs'!$K$9)*MIN('Operating Inputs'!$K$10,1)*X$109*X$48,0)
+N("Lease-up concession if less than or equal to 2 months")
-IF(AND('Operating Inputs'!$K$8&lt;=2,X$38&lt;'Operating Inputs'!$K$9,Y$38&lt;&gt;(1-Vacancy)),MIN('Operating Inputs'!$K$8,1)*(AvgLeaseTermMarket/12)*X48*OperBgt!X35+('Operating Inputs'!$K$8-1)*(AvgLeaseTermMarket/12)*W48*OperBgt!W35,0)
+N("Stabilized concession if less than or equal to 1 month")
-IF(AND('Operating Inputs'!$K$10&lt;=1,Y$38=(1-Vacancy),X$5&lt;=(MonthStabilization+'Operating Inputs'!$K$11)),'Operating Inputs'!$K$10*(AvgLeaseTermMarket/12)*X48*OperBgt!X109,0)</f>
        <v>-47494.297513250407</v>
      </c>
      <c r="Z63" s="1602">
        <f>N("Lease-up concession if greater than 2 months")
-IF('Operating Inputs'!$K$8&gt;2,(W$38&lt;'Operating Inputs'!$K$9)*MAX('Operating Inputs'!$K$8-2,0)*W$48*W$35+(OperBgt!X$38&lt;'Operating Inputs'!$K$9)*MIN('Operating Inputs'!$K$8-1,1)*X$35*X$48+(OperBgt!Y$38&lt;'Operating Inputs'!$K$9)*MIN('Operating Inputs'!$K$8,1)*Y$35*Y$48,0)
+N("Stabilized concession if greater than 1 month")
-IF('Operating Inputs'!$K$10&gt;1,(X$5&lt;=(MonthStabilization+'Operating Inputs'!$K$11))*(OperBgt!X$38&gt;'Operating Inputs'!$K$9)*MIN('Operating Inputs'!$K$10-1,1)*X$109*X$48+(Y$5&lt;=(MonthStabilization+'Operating Inputs'!$K$11))*(OperBgt!Y$38&gt;'Operating Inputs'!$K$9)*MIN('Operating Inputs'!$K$10,1)*Y$109*Y$48,0)
+N("Lease-up concession if less than or equal to 2 months")
-IF(AND('Operating Inputs'!$K$8&lt;=2,Y$38&lt;'Operating Inputs'!$K$9,Z$38&lt;&gt;(1-Vacancy)),MIN('Operating Inputs'!$K$8,1)*(AvgLeaseTermMarket/12)*Y48*OperBgt!Y35+('Operating Inputs'!$K$8-1)*(AvgLeaseTermMarket/12)*X48*OperBgt!X35,0)
+N("Stabilized concession if less than or equal to 1 month")
-IF(AND('Operating Inputs'!$K$10&lt;=1,Z$38=(1-Vacancy),Y$5&lt;=(MonthStabilization+'Operating Inputs'!$K$11)),'Operating Inputs'!$K$10*(AvgLeaseTermMarket/12)*Y48*OperBgt!Y109,0)</f>
        <v>-63668.173366952207</v>
      </c>
      <c r="AA63" s="1602">
        <f>N("Lease-up concession if greater than 2 months")
-IF('Operating Inputs'!$K$8&gt;2,(X$38&lt;'Operating Inputs'!$K$9)*MAX('Operating Inputs'!$K$8-2,0)*X$48*X$35+(OperBgt!Y$38&lt;'Operating Inputs'!$K$9)*MIN('Operating Inputs'!$K$8-1,1)*Y$35*Y$48+(OperBgt!Z$38&lt;'Operating Inputs'!$K$9)*MIN('Operating Inputs'!$K$8,1)*Z$35*Z$48,0)
+N("Stabilized concession if greater than 1 month")
-IF('Operating Inputs'!$K$10&gt;1,(Y$5&lt;=(MonthStabilization+'Operating Inputs'!$K$11))*(OperBgt!Y$38&gt;'Operating Inputs'!$K$9)*MIN('Operating Inputs'!$K$10-1,1)*Y$109*Y$48+(Z$5&lt;=(MonthStabilization+'Operating Inputs'!$K$11))*(OperBgt!Z$38&gt;'Operating Inputs'!$K$9)*MIN('Operating Inputs'!$K$10,1)*Z$109*Z$48,0)
+N("Lease-up concession if less than or equal to 2 months")
-IF(AND('Operating Inputs'!$K$8&lt;=2,Z$38&lt;'Operating Inputs'!$K$9,AA$38&lt;&gt;(1-Vacancy)),MIN('Operating Inputs'!$K$8,1)*(AvgLeaseTermMarket/12)*Z48*OperBgt!Z35+('Operating Inputs'!$K$8-1)*(AvgLeaseTermMarket/12)*Y48*OperBgt!Y35,0)
+N("Stabilized concession if less than or equal to 1 month")
-IF(AND('Operating Inputs'!$K$10&lt;=1,AA$38=(1-Vacancy),Z$5&lt;=(MonthStabilization+'Operating Inputs'!$K$11)),'Operating Inputs'!$K$10*(AvgLeaseTermMarket/12)*Z48*OperBgt!Z109,0)</f>
        <v>-71991.706488448021</v>
      </c>
      <c r="AB63" s="1602">
        <f>N("Lease-up concession if greater than 2 months")
-IF('Operating Inputs'!$K$8&gt;2,(Y$38&lt;'Operating Inputs'!$K$9)*MAX('Operating Inputs'!$K$8-2,0)*Y$48*Y$35+(OperBgt!Z$38&lt;'Operating Inputs'!$K$9)*MIN('Operating Inputs'!$K$8-1,1)*Z$35*Z$48+(OperBgt!AA$38&lt;'Operating Inputs'!$K$9)*MIN('Operating Inputs'!$K$8,1)*AA$35*AA$48,0)
+N("Stabilized concession if greater than 1 month")
-IF('Operating Inputs'!$K$10&gt;1,(Z$5&lt;=(MonthStabilization+'Operating Inputs'!$K$11))*(OperBgt!Z$38&gt;'Operating Inputs'!$K$9)*MIN('Operating Inputs'!$K$10-1,1)*Z$109*Z$48+(AA$5&lt;=(MonthStabilization+'Operating Inputs'!$K$11))*(OperBgt!AA$38&gt;'Operating Inputs'!$K$9)*MIN('Operating Inputs'!$K$10,1)*AA$109*AA$48,0)
+N("Lease-up concession if less than or equal to 2 months")
-IF(AND('Operating Inputs'!$K$8&lt;=2,AA$38&lt;'Operating Inputs'!$K$9,AB$38&lt;&gt;(1-Vacancy)),MIN('Operating Inputs'!$K$8,1)*(AvgLeaseTermMarket/12)*AA48*OperBgt!AA35+('Operating Inputs'!$K$8-1)*(AvgLeaseTermMarket/12)*Z48*OperBgt!Z35,0)
+N("Stabilized concession if less than or equal to 1 month")
-IF(AND('Operating Inputs'!$K$10&lt;=1,AB$38=(1-Vacancy),AA$5&lt;=(MonthStabilization+'Operating Inputs'!$K$11)),'Operating Inputs'!$K$10*(AvgLeaseTermMarket/12)*AA48*OperBgt!AA109,0)</f>
        <v>-72391.980376523803</v>
      </c>
      <c r="AC63" s="1602">
        <f>N("Lease-up concession if greater than 2 months")
-IF('Operating Inputs'!$K$8&gt;2,(Z$38&lt;'Operating Inputs'!$K$9)*MAX('Operating Inputs'!$K$8-2,0)*Z$48*Z$35+(OperBgt!AA$38&lt;'Operating Inputs'!$K$9)*MIN('Operating Inputs'!$K$8-1,1)*AA$35*AA$48+(OperBgt!AB$38&lt;'Operating Inputs'!$K$9)*MIN('Operating Inputs'!$K$8,1)*AB$35*AB$48,0)
+N("Stabilized concession if greater than 1 month")
-IF('Operating Inputs'!$K$10&gt;1,(AA$5&lt;=(MonthStabilization+'Operating Inputs'!$K$11))*(OperBgt!AA$38&gt;'Operating Inputs'!$K$9)*MIN('Operating Inputs'!$K$10-1,1)*AA$109*AA$48+(AB$5&lt;=(MonthStabilization+'Operating Inputs'!$K$11))*(OperBgt!AB$38&gt;'Operating Inputs'!$K$9)*MIN('Operating Inputs'!$K$10,1)*AB$109*AB$48,0)
+N("Lease-up concession if less than or equal to 2 months")
-IF(AND('Operating Inputs'!$K$8&lt;=2,AB$38&lt;'Operating Inputs'!$K$9,AC$38&lt;&gt;(1-Vacancy)),MIN('Operating Inputs'!$K$8,1)*(AvgLeaseTermMarket/12)*AB48*OperBgt!AB35+('Operating Inputs'!$K$8-1)*(AvgLeaseTermMarket/12)*AA48*OperBgt!AA35,0)
+N("Stabilized concession if less than or equal to 1 month")
-IF(AND('Operating Inputs'!$K$10&lt;=1,AC$38=(1-Vacancy),AB$5&lt;=(MonthStabilization+'Operating Inputs'!$K$11)),'Operating Inputs'!$K$10*(AvgLeaseTermMarket/12)*AB48*OperBgt!AB109,0)</f>
        <v>-72794.47978741728</v>
      </c>
      <c r="AD63" s="1602">
        <f>N("Lease-up concession if greater than 2 months")
-IF('Operating Inputs'!$K$8&gt;2,(AA$38&lt;'Operating Inputs'!$K$9)*MAX('Operating Inputs'!$K$8-2,0)*AA$48*AA$35+(OperBgt!AB$38&lt;'Operating Inputs'!$K$9)*MIN('Operating Inputs'!$K$8-1,1)*AB$35*AB$48+(OperBgt!AC$38&lt;'Operating Inputs'!$K$9)*MIN('Operating Inputs'!$K$8,1)*AC$35*AC$48,0)
+N("Stabilized concession if greater than 1 month")
-IF('Operating Inputs'!$K$10&gt;1,(AB$5&lt;=(MonthStabilization+'Operating Inputs'!$K$11))*(OperBgt!AB$38&gt;'Operating Inputs'!$K$9)*MIN('Operating Inputs'!$K$10-1,1)*AB$109*AB$48+(AC$5&lt;=(MonthStabilization+'Operating Inputs'!$K$11))*(OperBgt!AC$38&gt;'Operating Inputs'!$K$9)*MIN('Operating Inputs'!$K$10,1)*AC$109*AC$48,0)
+N("Lease-up concession if less than or equal to 2 months")
-IF(AND('Operating Inputs'!$K$8&lt;=2,AC$38&lt;'Operating Inputs'!$K$9,AD$38&lt;&gt;(1-Vacancy)),MIN('Operating Inputs'!$K$8,1)*(AvgLeaseTermMarket/12)*AC48*OperBgt!AC35+('Operating Inputs'!$K$8-1)*(AvgLeaseTermMarket/12)*AB48*OperBgt!AB35,0)
+N("Stabilized concession if less than or equal to 1 month")
-IF(AND('Operating Inputs'!$K$10&lt;=1,AD$38=(1-Vacancy),AC$5&lt;=(MonthStabilization+'Operating Inputs'!$K$11)),'Operating Inputs'!$K$10*(AvgLeaseTermMarket/12)*AC48*OperBgt!AC109,0)</f>
        <v>-73199.217095035317</v>
      </c>
      <c r="AE63" s="1602">
        <f>N("Lease-up concession if greater than 2 months")
-IF('Operating Inputs'!$K$8&gt;2,(AB$38&lt;'Operating Inputs'!$K$9)*MAX('Operating Inputs'!$K$8-2,0)*AB$48*AB$35+(OperBgt!AC$38&lt;'Operating Inputs'!$K$9)*MIN('Operating Inputs'!$K$8-1,1)*AC$35*AC$48+(OperBgt!AD$38&lt;'Operating Inputs'!$K$9)*MIN('Operating Inputs'!$K$8,1)*AD$35*AD$48,0)
+N("Stabilized concession if greater than 1 month")
-IF('Operating Inputs'!$K$10&gt;1,(AC$5&lt;=(MonthStabilization+'Operating Inputs'!$K$11))*(OperBgt!AC$38&gt;'Operating Inputs'!$K$9)*MIN('Operating Inputs'!$K$10-1,1)*AC$109*AC$48+(AD$5&lt;=(MonthStabilization+'Operating Inputs'!$K$11))*(OperBgt!AD$38&gt;'Operating Inputs'!$K$9)*MIN('Operating Inputs'!$K$10,1)*AD$109*AD$48,0)
+N("Lease-up concession if less than or equal to 2 months")
-IF(AND('Operating Inputs'!$K$8&lt;=2,AD$38&lt;'Operating Inputs'!$K$9,AE$38&lt;&gt;(1-Vacancy)),MIN('Operating Inputs'!$K$8,1)*(AvgLeaseTermMarket/12)*AD48*OperBgt!AD35+('Operating Inputs'!$K$8-1)*(AvgLeaseTermMarket/12)*AC48*OperBgt!AC35,0)
+N("Stabilized concession if less than or equal to 1 month")
-IF(AND('Operating Inputs'!$K$10&lt;=1,AE$38=(1-Vacancy),AD$5&lt;=(MonthStabilization+'Operating Inputs'!$K$11)),'Operating Inputs'!$K$10*(AvgLeaseTermMarket/12)*AD48*OperBgt!AD109,0)</f>
        <v>-73606.204742083704</v>
      </c>
      <c r="AF63" s="1602">
        <f>N("Lease-up concession if greater than 2 months")
-IF('Operating Inputs'!$K$8&gt;2,(AC$38&lt;'Operating Inputs'!$K$9)*MAX('Operating Inputs'!$K$8-2,0)*AC$48*AC$35+(OperBgt!AD$38&lt;'Operating Inputs'!$K$9)*MIN('Operating Inputs'!$K$8-1,1)*AD$35*AD$48+(OperBgt!AE$38&lt;'Operating Inputs'!$K$9)*MIN('Operating Inputs'!$K$8,1)*AE$35*AE$48,0)
+N("Stabilized concession if greater than 1 month")
-IF('Operating Inputs'!$K$10&gt;1,(AD$5&lt;=(MonthStabilization+'Operating Inputs'!$K$11))*(OperBgt!AD$38&gt;'Operating Inputs'!$K$9)*MIN('Operating Inputs'!$K$10-1,1)*AD$109*AD$48+(AE$5&lt;=(MonthStabilization+'Operating Inputs'!$K$11))*(OperBgt!AE$38&gt;'Operating Inputs'!$K$9)*MIN('Operating Inputs'!$K$10,1)*AE$109*AE$48,0)
+N("Lease-up concession if less than or equal to 2 months")
-IF(AND('Operating Inputs'!$K$8&lt;=2,AE$38&lt;'Operating Inputs'!$K$9,AF$38&lt;&gt;(1-Vacancy)),MIN('Operating Inputs'!$K$8,1)*(AvgLeaseTermMarket/12)*AE48*OperBgt!AE35+('Operating Inputs'!$K$8-1)*(AvgLeaseTermMarket/12)*AD48*OperBgt!AD35,0)
+N("Stabilized concession if less than or equal to 1 month")
-IF(AND('Operating Inputs'!$K$10&lt;=1,AF$38=(1-Vacancy),AE$5&lt;=(MonthStabilization+'Operating Inputs'!$K$11)),'Operating Inputs'!$K$10*(AvgLeaseTermMarket/12)*AE48*OperBgt!AE109,0)</f>
        <v>-57476.463814813062</v>
      </c>
      <c r="AG63" s="1602">
        <f>N("Lease-up concession if greater than 2 months")
-IF('Operating Inputs'!$K$8&gt;2,(AD$38&lt;'Operating Inputs'!$K$9)*MAX('Operating Inputs'!$K$8-2,0)*AD$48*AD$35+(OperBgt!AE$38&lt;'Operating Inputs'!$K$9)*MIN('Operating Inputs'!$K$8-1,1)*AE$35*AE$48+(OperBgt!AF$38&lt;'Operating Inputs'!$K$9)*MIN('Operating Inputs'!$K$8,1)*AF$35*AF$48,0)
+N("Stabilized concession if greater than 1 month")
-IF('Operating Inputs'!$K$10&gt;1,(AE$5&lt;=(MonthStabilization+'Operating Inputs'!$K$11))*(OperBgt!AE$38&gt;'Operating Inputs'!$K$9)*MIN('Operating Inputs'!$K$10-1,1)*AE$109*AE$48+(AF$5&lt;=(MonthStabilization+'Operating Inputs'!$K$11))*(OperBgt!AF$38&gt;'Operating Inputs'!$K$9)*MIN('Operating Inputs'!$K$10,1)*AF$109*AF$48,0)
+N("Lease-up concession if less than or equal to 2 months")
-IF(AND('Operating Inputs'!$K$8&lt;=2,AF$38&lt;'Operating Inputs'!$K$9,AG$38&lt;&gt;(1-Vacancy)),MIN('Operating Inputs'!$K$8,1)*(AvgLeaseTermMarket/12)*AF48*OperBgt!AF35+('Operating Inputs'!$K$8-1)*(AvgLeaseTermMarket/12)*AE48*OperBgt!AE35,0)
+N("Stabilized concession if less than or equal to 1 month")
-IF(AND('Operating Inputs'!$K$10&lt;=1,AG$38=(1-Vacancy),AF$5&lt;=(MonthStabilization+'Operating Inputs'!$K$11)),'Operating Inputs'!$K$10*(AvgLeaseTermMarket/12)*AF48*OperBgt!AF109,0)</f>
        <v>0</v>
      </c>
      <c r="AH63" s="1602">
        <f>N("Lease-up concession if greater than 2 months")
-IF('Operating Inputs'!$K$8&gt;2,(AE$38&lt;'Operating Inputs'!$K$9)*MAX('Operating Inputs'!$K$8-2,0)*AE$48*AE$35+(OperBgt!AF$38&lt;'Operating Inputs'!$K$9)*MIN('Operating Inputs'!$K$8-1,1)*AF$35*AF$48+(OperBgt!AG$38&lt;'Operating Inputs'!$K$9)*MIN('Operating Inputs'!$K$8,1)*AG$35*AG$48,0)
+N("Stabilized concession if greater than 1 month")
-IF('Operating Inputs'!$K$10&gt;1,(AF$5&lt;=(MonthStabilization+'Operating Inputs'!$K$11))*(OperBgt!AF$38&gt;'Operating Inputs'!$K$9)*MIN('Operating Inputs'!$K$10-1,1)*AF$109*AF$48+(AG$5&lt;=(MonthStabilization+'Operating Inputs'!$K$11))*(OperBgt!AG$38&gt;'Operating Inputs'!$K$9)*MIN('Operating Inputs'!$K$10,1)*AG$109*AG$48,0)
+N("Lease-up concession if less than or equal to 2 months")
-IF(AND('Operating Inputs'!$K$8&lt;=2,AG$38&lt;'Operating Inputs'!$K$9,AH$38&lt;&gt;(1-Vacancy)),MIN('Operating Inputs'!$K$8,1)*(AvgLeaseTermMarket/12)*AG48*OperBgt!AG35+('Operating Inputs'!$K$8-1)*(AvgLeaseTermMarket/12)*AF48*OperBgt!AF35,0)
+N("Stabilized concession if less than or equal to 1 month")
-IF(AND('Operating Inputs'!$K$10&lt;=1,AH$38=(1-Vacancy),AG$5&lt;=(MonthStabilization+'Operating Inputs'!$K$11)),'Operating Inputs'!$K$10*(AvgLeaseTermMarket/12)*AG48*OperBgt!AG109,0)</f>
        <v>0</v>
      </c>
      <c r="AI63" s="1602">
        <f>N("Lease-up concession if greater than 2 months")
-IF('Operating Inputs'!$K$8&gt;2,(AF$38&lt;'Operating Inputs'!$K$9)*MAX('Operating Inputs'!$K$8-2,0)*AF$48*AF$35+(OperBgt!AG$38&lt;'Operating Inputs'!$K$9)*MIN('Operating Inputs'!$K$8-1,1)*AG$35*AG$48+(OperBgt!AH$38&lt;'Operating Inputs'!$K$9)*MIN('Operating Inputs'!$K$8,1)*AH$35*AH$48,0)
+N("Stabilized concession if greater than 1 month")
-IF('Operating Inputs'!$K$10&gt;1,(AG$5&lt;=(MonthStabilization+'Operating Inputs'!$K$11))*(OperBgt!AG$38&gt;'Operating Inputs'!$K$9)*MIN('Operating Inputs'!$K$10-1,1)*AG$109*AG$48+(AH$5&lt;=(MonthStabilization+'Operating Inputs'!$K$11))*(OperBgt!AH$38&gt;'Operating Inputs'!$K$9)*MIN('Operating Inputs'!$K$10,1)*AH$109*AH$48,0)
+N("Lease-up concession if less than or equal to 2 months")
-IF(AND('Operating Inputs'!$K$8&lt;=2,AH$38&lt;'Operating Inputs'!$K$9,AI$38&lt;&gt;(1-Vacancy)),MIN('Operating Inputs'!$K$8,1)*(AvgLeaseTermMarket/12)*AH48*OperBgt!AH35+('Operating Inputs'!$K$8-1)*(AvgLeaseTermMarket/12)*AG48*OperBgt!AG35,0)
+N("Stabilized concession if less than or equal to 1 month")
-IF(AND('Operating Inputs'!$K$10&lt;=1,AI$38=(1-Vacancy),AH$5&lt;=(MonthStabilization+'Operating Inputs'!$K$11)),'Operating Inputs'!$K$10*(AvgLeaseTermMarket/12)*AH48*OperBgt!AH109,0)</f>
        <v>0</v>
      </c>
      <c r="AJ63" s="1602">
        <f>N("Lease-up concession if greater than 2 months")
-IF('Operating Inputs'!$K$8&gt;2,(AG$38&lt;'Operating Inputs'!$K$9)*MAX('Operating Inputs'!$K$8-2,0)*AG$48*AG$35+(OperBgt!AH$38&lt;'Operating Inputs'!$K$9)*MIN('Operating Inputs'!$K$8-1,1)*AH$35*AH$48+(OperBgt!AI$38&lt;'Operating Inputs'!$K$9)*MIN('Operating Inputs'!$K$8,1)*AI$35*AI$48,0)
+N("Stabilized concession if greater than 1 month")
-IF('Operating Inputs'!$K$10&gt;1,(AH$5&lt;=(MonthStabilization+'Operating Inputs'!$K$11))*(OperBgt!AH$38&gt;'Operating Inputs'!$K$9)*MIN('Operating Inputs'!$K$10-1,1)*AH$109*AH$48+(AI$5&lt;=(MonthStabilization+'Operating Inputs'!$K$11))*(OperBgt!AI$38&gt;'Operating Inputs'!$K$9)*MIN('Operating Inputs'!$K$10,1)*AI$109*AI$48,0)
+N("Lease-up concession if less than or equal to 2 months")
-IF(AND('Operating Inputs'!$K$8&lt;=2,AI$38&lt;'Operating Inputs'!$K$9,AJ$38&lt;&gt;(1-Vacancy)),MIN('Operating Inputs'!$K$8,1)*(AvgLeaseTermMarket/12)*AI48*OperBgt!AI35+('Operating Inputs'!$K$8-1)*(AvgLeaseTermMarket/12)*AH48*OperBgt!AH35,0)
+N("Stabilized concession if less than or equal to 1 month")
-IF(AND('Operating Inputs'!$K$10&lt;=1,AJ$38=(1-Vacancy),AI$5&lt;=(MonthStabilization+'Operating Inputs'!$K$11)),'Operating Inputs'!$K$10*(AvgLeaseTermMarket/12)*AI48*OperBgt!AI109,0)</f>
        <v>0</v>
      </c>
      <c r="AK63" s="1602">
        <f>N("Lease-up concession if greater than 2 months")
-IF('Operating Inputs'!$K$8&gt;2,(AH$38&lt;'Operating Inputs'!$K$9)*MAX('Operating Inputs'!$K$8-2,0)*AH$48*AH$35+(OperBgt!AI$38&lt;'Operating Inputs'!$K$9)*MIN('Operating Inputs'!$K$8-1,1)*AI$35*AI$48+(OperBgt!AJ$38&lt;'Operating Inputs'!$K$9)*MIN('Operating Inputs'!$K$8,1)*AJ$35*AJ$48,0)
+N("Stabilized concession if greater than 1 month")
-IF('Operating Inputs'!$K$10&gt;1,(AI$5&lt;=(MonthStabilization+'Operating Inputs'!$K$11))*(OperBgt!AI$38&gt;'Operating Inputs'!$K$9)*MIN('Operating Inputs'!$K$10-1,1)*AI$109*AI$48+(AJ$5&lt;=(MonthStabilization+'Operating Inputs'!$K$11))*(OperBgt!AJ$38&gt;'Operating Inputs'!$K$9)*MIN('Operating Inputs'!$K$10,1)*AJ$109*AJ$48,0)
+N("Lease-up concession if less than or equal to 2 months")
-IF(AND('Operating Inputs'!$K$8&lt;=2,AJ$38&lt;'Operating Inputs'!$K$9,AK$38&lt;&gt;(1-Vacancy)),MIN('Operating Inputs'!$K$8,1)*(AvgLeaseTermMarket/12)*AJ48*OperBgt!AJ35+('Operating Inputs'!$K$8-1)*(AvgLeaseTermMarket/12)*AI48*OperBgt!AI35,0)
+N("Stabilized concession if less than or equal to 1 month")
-IF(AND('Operating Inputs'!$K$10&lt;=1,AK$38=(1-Vacancy),AJ$5&lt;=(MonthStabilization+'Operating Inputs'!$K$11)),'Operating Inputs'!$K$10*(AvgLeaseTermMarket/12)*AJ48*OperBgt!AJ109,0)</f>
        <v>0</v>
      </c>
      <c r="AL63" s="1602">
        <f>N("Lease-up concession if greater than 2 months")
-IF('Operating Inputs'!$K$8&gt;2,(AI$38&lt;'Operating Inputs'!$K$9)*MAX('Operating Inputs'!$K$8-2,0)*AI$48*AI$35+(OperBgt!AJ$38&lt;'Operating Inputs'!$K$9)*MIN('Operating Inputs'!$K$8-1,1)*AJ$35*AJ$48+(OperBgt!AK$38&lt;'Operating Inputs'!$K$9)*MIN('Operating Inputs'!$K$8,1)*AK$35*AK$48,0)
+N("Stabilized concession if greater than 1 month")
-IF('Operating Inputs'!$K$10&gt;1,(AJ$5&lt;=(MonthStabilization+'Operating Inputs'!$K$11))*(OperBgt!AJ$38&gt;'Operating Inputs'!$K$9)*MIN('Operating Inputs'!$K$10-1,1)*AJ$109*AJ$48+(AK$5&lt;=(MonthStabilization+'Operating Inputs'!$K$11))*(OperBgt!AK$38&gt;'Operating Inputs'!$K$9)*MIN('Operating Inputs'!$K$10,1)*AK$109*AK$48,0)
+N("Lease-up concession if less than or equal to 2 months")
-IF(AND('Operating Inputs'!$K$8&lt;=2,AK$38&lt;'Operating Inputs'!$K$9,AL$38&lt;&gt;(1-Vacancy)),MIN('Operating Inputs'!$K$8,1)*(AvgLeaseTermMarket/12)*AK48*OperBgt!AK35+('Operating Inputs'!$K$8-1)*(AvgLeaseTermMarket/12)*AJ48*OperBgt!AJ35,0)
+N("Stabilized concession if less than or equal to 1 month")
-IF(AND('Operating Inputs'!$K$10&lt;=1,AL$38=(1-Vacancy),AK$5&lt;=(MonthStabilization+'Operating Inputs'!$K$11)),'Operating Inputs'!$K$10*(AvgLeaseTermMarket/12)*AK48*OperBgt!AK109,0)</f>
        <v>0</v>
      </c>
      <c r="AM63" s="1602">
        <f>N("Lease-up concession if greater than 2 months")
-IF('Operating Inputs'!$K$8&gt;2,(AJ$38&lt;'Operating Inputs'!$K$9)*MAX('Operating Inputs'!$K$8-2,0)*AJ$48*AJ$35+(OperBgt!AK$38&lt;'Operating Inputs'!$K$9)*MIN('Operating Inputs'!$K$8-1,1)*AK$35*AK$48+(OperBgt!AL$38&lt;'Operating Inputs'!$K$9)*MIN('Operating Inputs'!$K$8,1)*AL$35*AL$48,0)
+N("Stabilized concession if greater than 1 month")
-IF('Operating Inputs'!$K$10&gt;1,(AK$5&lt;=(MonthStabilization+'Operating Inputs'!$K$11))*(OperBgt!AK$38&gt;'Operating Inputs'!$K$9)*MIN('Operating Inputs'!$K$10-1,1)*AK$109*AK$48+(AL$5&lt;=(MonthStabilization+'Operating Inputs'!$K$11))*(OperBgt!AL$38&gt;'Operating Inputs'!$K$9)*MIN('Operating Inputs'!$K$10,1)*AL$109*AL$48,0)
+N("Lease-up concession if less than or equal to 2 months")
-IF(AND('Operating Inputs'!$K$8&lt;=2,AL$38&lt;'Operating Inputs'!$K$9,AM$38&lt;&gt;(1-Vacancy)),MIN('Operating Inputs'!$K$8,1)*(AvgLeaseTermMarket/12)*AL48*OperBgt!AL35+('Operating Inputs'!$K$8-1)*(AvgLeaseTermMarket/12)*AK48*OperBgt!AK35,0)
+N("Stabilized concession if less than or equal to 1 month")
-IF(AND('Operating Inputs'!$K$10&lt;=1,AM$38=(1-Vacancy),AL$5&lt;=(MonthStabilization+'Operating Inputs'!$K$11)),'Operating Inputs'!$K$10*(AvgLeaseTermMarket/12)*AL48*OperBgt!AL109,0)</f>
        <v>0</v>
      </c>
      <c r="AN63" s="1602">
        <f>N("Lease-up concession if greater than 2 months")
-IF('Operating Inputs'!$K$8&gt;2,(AK$38&lt;'Operating Inputs'!$K$9)*MAX('Operating Inputs'!$K$8-2,0)*AK$48*AK$35+(OperBgt!AL$38&lt;'Operating Inputs'!$K$9)*MIN('Operating Inputs'!$K$8-1,1)*AL$35*AL$48+(OperBgt!AM$38&lt;'Operating Inputs'!$K$9)*MIN('Operating Inputs'!$K$8,1)*AM$35*AM$48,0)
+N("Stabilized concession if greater than 1 month")
-IF('Operating Inputs'!$K$10&gt;1,(AL$5&lt;=(MonthStabilization+'Operating Inputs'!$K$11))*(OperBgt!AL$38&gt;'Operating Inputs'!$K$9)*MIN('Operating Inputs'!$K$10-1,1)*AL$109*AL$48+(AM$5&lt;=(MonthStabilization+'Operating Inputs'!$K$11))*(OperBgt!AM$38&gt;'Operating Inputs'!$K$9)*MIN('Operating Inputs'!$K$10,1)*AM$109*AM$48,0)
+N("Lease-up concession if less than or equal to 2 months")
-IF(AND('Operating Inputs'!$K$8&lt;=2,AM$38&lt;'Operating Inputs'!$K$9,AN$38&lt;&gt;(1-Vacancy)),MIN('Operating Inputs'!$K$8,1)*(AvgLeaseTermMarket/12)*AM48*OperBgt!AM35+('Operating Inputs'!$K$8-1)*(AvgLeaseTermMarket/12)*AL48*OperBgt!AL35,0)
+N("Stabilized concession if less than or equal to 1 month")
-IF(AND('Operating Inputs'!$K$10&lt;=1,AN$38=(1-Vacancy),AM$5&lt;=(MonthStabilization+'Operating Inputs'!$K$11)),'Operating Inputs'!$K$10*(AvgLeaseTermMarket/12)*AM48*OperBgt!AM109,0)</f>
        <v>0</v>
      </c>
      <c r="AO63" s="1602">
        <f>N("Lease-up concession if greater than 2 months")
-IF('Operating Inputs'!$K$8&gt;2,(AL$38&lt;'Operating Inputs'!$K$9)*MAX('Operating Inputs'!$K$8-2,0)*AL$48*AL$35+(OperBgt!AM$38&lt;'Operating Inputs'!$K$9)*MIN('Operating Inputs'!$K$8-1,1)*AM$35*AM$48+(OperBgt!AN$38&lt;'Operating Inputs'!$K$9)*MIN('Operating Inputs'!$K$8,1)*AN$35*AN$48,0)
+N("Stabilized concession if greater than 1 month")
-IF('Operating Inputs'!$K$10&gt;1,(AM$5&lt;=(MonthStabilization+'Operating Inputs'!$K$11))*(OperBgt!AM$38&gt;'Operating Inputs'!$K$9)*MIN('Operating Inputs'!$K$10-1,1)*AM$109*AM$48+(AN$5&lt;=(MonthStabilization+'Operating Inputs'!$K$11))*(OperBgt!AN$38&gt;'Operating Inputs'!$K$9)*MIN('Operating Inputs'!$K$10,1)*AN$109*AN$48,0)
+N("Lease-up concession if less than or equal to 2 months")
-IF(AND('Operating Inputs'!$K$8&lt;=2,AN$38&lt;'Operating Inputs'!$K$9,AO$38&lt;&gt;(1-Vacancy)),MIN('Operating Inputs'!$K$8,1)*(AvgLeaseTermMarket/12)*AN48*OperBgt!AN35+('Operating Inputs'!$K$8-1)*(AvgLeaseTermMarket/12)*AM48*OperBgt!AM35,0)
+N("Stabilized concession if less than or equal to 1 month")
-IF(AND('Operating Inputs'!$K$10&lt;=1,AO$38=(1-Vacancy),AN$5&lt;=(MonthStabilization+'Operating Inputs'!$K$11)),'Operating Inputs'!$K$10*(AvgLeaseTermMarket/12)*AN48*OperBgt!AN109,0)</f>
        <v>0</v>
      </c>
      <c r="AP63" s="1602">
        <f>N("Lease-up concession if greater than 2 months")
-IF('Operating Inputs'!$K$8&gt;2,(AM$38&lt;'Operating Inputs'!$K$9)*MAX('Operating Inputs'!$K$8-2,0)*AM$48*AM$35+(OperBgt!AN$38&lt;'Operating Inputs'!$K$9)*MIN('Operating Inputs'!$K$8-1,1)*AN$35*AN$48+(OperBgt!AO$38&lt;'Operating Inputs'!$K$9)*MIN('Operating Inputs'!$K$8,1)*AO$35*AO$48,0)
+N("Stabilized concession if greater than 1 month")
-IF('Operating Inputs'!$K$10&gt;1,(AN$5&lt;=(MonthStabilization+'Operating Inputs'!$K$11))*(OperBgt!AN$38&gt;'Operating Inputs'!$K$9)*MIN('Operating Inputs'!$K$10-1,1)*AN$109*AN$48+(AO$5&lt;=(MonthStabilization+'Operating Inputs'!$K$11))*(OperBgt!AO$38&gt;'Operating Inputs'!$K$9)*MIN('Operating Inputs'!$K$10,1)*AO$109*AO$48,0)
+N("Lease-up concession if less than or equal to 2 months")
-IF(AND('Operating Inputs'!$K$8&lt;=2,AO$38&lt;'Operating Inputs'!$K$9,AP$38&lt;&gt;(1-Vacancy)),MIN('Operating Inputs'!$K$8,1)*(AvgLeaseTermMarket/12)*AO48*OperBgt!AO35+('Operating Inputs'!$K$8-1)*(AvgLeaseTermMarket/12)*AN48*OperBgt!AN35,0)
+N("Stabilized concession if less than or equal to 1 month")
-IF(AND('Operating Inputs'!$K$10&lt;=1,AP$38=(1-Vacancy),AO$5&lt;=(MonthStabilization+'Operating Inputs'!$K$11)),'Operating Inputs'!$K$10*(AvgLeaseTermMarket/12)*AO48*OperBgt!AO109,0)</f>
        <v>0</v>
      </c>
      <c r="AQ63" s="1602">
        <f>N("Lease-up concession if greater than 2 months")
-IF('Operating Inputs'!$K$8&gt;2,(AN$38&lt;'Operating Inputs'!$K$9)*MAX('Operating Inputs'!$K$8-2,0)*AN$48*AN$35+(OperBgt!AO$38&lt;'Operating Inputs'!$K$9)*MIN('Operating Inputs'!$K$8-1,1)*AO$35*AO$48+(OperBgt!AP$38&lt;'Operating Inputs'!$K$9)*MIN('Operating Inputs'!$K$8,1)*AP$35*AP$48,0)
+N("Stabilized concession if greater than 1 month")
-IF('Operating Inputs'!$K$10&gt;1,(AO$5&lt;=(MonthStabilization+'Operating Inputs'!$K$11))*(OperBgt!AO$38&gt;'Operating Inputs'!$K$9)*MIN('Operating Inputs'!$K$10-1,1)*AO$109*AO$48+(AP$5&lt;=(MonthStabilization+'Operating Inputs'!$K$11))*(OperBgt!AP$38&gt;'Operating Inputs'!$K$9)*MIN('Operating Inputs'!$K$10,1)*AP$109*AP$48,0)
+N("Lease-up concession if less than or equal to 2 months")
-IF(AND('Operating Inputs'!$K$8&lt;=2,AP$38&lt;'Operating Inputs'!$K$9,AQ$38&lt;&gt;(1-Vacancy)),MIN('Operating Inputs'!$K$8,1)*(AvgLeaseTermMarket/12)*AP48*OperBgt!AP35+('Operating Inputs'!$K$8-1)*(AvgLeaseTermMarket/12)*AO48*OperBgt!AO35,0)
+N("Stabilized concession if less than or equal to 1 month")
-IF(AND('Operating Inputs'!$K$10&lt;=1,AQ$38=(1-Vacancy),AP$5&lt;=(MonthStabilization+'Operating Inputs'!$K$11)),'Operating Inputs'!$K$10*(AvgLeaseTermMarket/12)*AP48*OperBgt!AP109,0)</f>
        <v>0</v>
      </c>
      <c r="AR63" s="1602">
        <f>N("Lease-up concession if greater than 2 months")
-IF('Operating Inputs'!$K$8&gt;2,(AO$38&lt;'Operating Inputs'!$K$9)*MAX('Operating Inputs'!$K$8-2,0)*AO$48*AO$35+(OperBgt!AP$38&lt;'Operating Inputs'!$K$9)*MIN('Operating Inputs'!$K$8-1,1)*AP$35*AP$48+(OperBgt!AQ$38&lt;'Operating Inputs'!$K$9)*MIN('Operating Inputs'!$K$8,1)*AQ$35*AQ$48,0)
+N("Stabilized concession if greater than 1 month")
-IF('Operating Inputs'!$K$10&gt;1,(AP$5&lt;=(MonthStabilization+'Operating Inputs'!$K$11))*(OperBgt!AP$38&gt;'Operating Inputs'!$K$9)*MIN('Operating Inputs'!$K$10-1,1)*AP$109*AP$48+(AQ$5&lt;=(MonthStabilization+'Operating Inputs'!$K$11))*(OperBgt!AQ$38&gt;'Operating Inputs'!$K$9)*MIN('Operating Inputs'!$K$10,1)*AQ$109*AQ$48,0)
+N("Lease-up concession if less than or equal to 2 months")
-IF(AND('Operating Inputs'!$K$8&lt;=2,AQ$38&lt;'Operating Inputs'!$K$9,AR$38&lt;&gt;(1-Vacancy)),MIN('Operating Inputs'!$K$8,1)*(AvgLeaseTermMarket/12)*AQ48*OperBgt!AQ35+('Operating Inputs'!$K$8-1)*(AvgLeaseTermMarket/12)*AP48*OperBgt!AP35,0)
+N("Stabilized concession if less than or equal to 1 month")
-IF(AND('Operating Inputs'!$K$10&lt;=1,AR$38=(1-Vacancy),AQ$5&lt;=(MonthStabilization+'Operating Inputs'!$K$11)),'Operating Inputs'!$K$10*(AvgLeaseTermMarket/12)*AQ48*OperBgt!AQ109,0)</f>
        <v>0</v>
      </c>
      <c r="AS63" s="1602">
        <f>N("Lease-up concession if greater than 2 months")
-IF('Operating Inputs'!$K$8&gt;2,(AP$38&lt;'Operating Inputs'!$K$9)*MAX('Operating Inputs'!$K$8-2,0)*AP$48*AP$35+(OperBgt!AQ$38&lt;'Operating Inputs'!$K$9)*MIN('Operating Inputs'!$K$8-1,1)*AQ$35*AQ$48+(OperBgt!AR$38&lt;'Operating Inputs'!$K$9)*MIN('Operating Inputs'!$K$8,1)*AR$35*AR$48,0)
+N("Stabilized concession if greater than 1 month")
-IF('Operating Inputs'!$K$10&gt;1,(AQ$5&lt;=(MonthStabilization+'Operating Inputs'!$K$11))*(OperBgt!AQ$38&gt;'Operating Inputs'!$K$9)*MIN('Operating Inputs'!$K$10-1,1)*AQ$109*AQ$48+(AR$5&lt;=(MonthStabilization+'Operating Inputs'!$K$11))*(OperBgt!AR$38&gt;'Operating Inputs'!$K$9)*MIN('Operating Inputs'!$K$10,1)*AR$109*AR$48,0)
+N("Lease-up concession if less than or equal to 2 months")
-IF(AND('Operating Inputs'!$K$8&lt;=2,AR$38&lt;'Operating Inputs'!$K$9,AS$38&lt;&gt;(1-Vacancy)),MIN('Operating Inputs'!$K$8,1)*(AvgLeaseTermMarket/12)*AR48*OperBgt!AR35+('Operating Inputs'!$K$8-1)*(AvgLeaseTermMarket/12)*AQ48*OperBgt!AQ35,0)
+N("Stabilized concession if less than or equal to 1 month")
-IF(AND('Operating Inputs'!$K$10&lt;=1,AS$38=(1-Vacancy),AR$5&lt;=(MonthStabilization+'Operating Inputs'!$K$11)),'Operating Inputs'!$K$10*(AvgLeaseTermMarket/12)*AR48*OperBgt!AR109,0)</f>
        <v>0</v>
      </c>
      <c r="AT63" s="1602">
        <f>N("Lease-up concession if greater than 2 months")
-IF('Operating Inputs'!$K$8&gt;2,(AQ$38&lt;'Operating Inputs'!$K$9)*MAX('Operating Inputs'!$K$8-2,0)*AQ$48*AQ$35+(OperBgt!AR$38&lt;'Operating Inputs'!$K$9)*MIN('Operating Inputs'!$K$8-1,1)*AR$35*AR$48+(OperBgt!AS$38&lt;'Operating Inputs'!$K$9)*MIN('Operating Inputs'!$K$8,1)*AS$35*AS$48,0)
+N("Stabilized concession if greater than 1 month")
-IF('Operating Inputs'!$K$10&gt;1,(AR$5&lt;=(MonthStabilization+'Operating Inputs'!$K$11))*(OperBgt!AR$38&gt;'Operating Inputs'!$K$9)*MIN('Operating Inputs'!$K$10-1,1)*AR$109*AR$48+(AS$5&lt;=(MonthStabilization+'Operating Inputs'!$K$11))*(OperBgt!AS$38&gt;'Operating Inputs'!$K$9)*MIN('Operating Inputs'!$K$10,1)*AS$109*AS$48,0)
+N("Lease-up concession if less than or equal to 2 months")
-IF(AND('Operating Inputs'!$K$8&lt;=2,AS$38&lt;'Operating Inputs'!$K$9,AT$38&lt;&gt;(1-Vacancy)),MIN('Operating Inputs'!$K$8,1)*(AvgLeaseTermMarket/12)*AS48*OperBgt!AS35+('Operating Inputs'!$K$8-1)*(AvgLeaseTermMarket/12)*AR48*OperBgt!AR35,0)
+N("Stabilized concession if less than or equal to 1 month")
-IF(AND('Operating Inputs'!$K$10&lt;=1,AT$38=(1-Vacancy),AS$5&lt;=(MonthStabilization+'Operating Inputs'!$K$11)),'Operating Inputs'!$K$10*(AvgLeaseTermMarket/12)*AS48*OperBgt!AS109,0)</f>
        <v>0</v>
      </c>
      <c r="AU63" s="1602">
        <f>N("Lease-up concession if greater than 2 months")
-IF('Operating Inputs'!$K$8&gt;2,(AR$38&lt;'Operating Inputs'!$K$9)*MAX('Operating Inputs'!$K$8-2,0)*AR$48*AR$35+(OperBgt!AS$38&lt;'Operating Inputs'!$K$9)*MIN('Operating Inputs'!$K$8-1,1)*AS$35*AS$48+(OperBgt!AT$38&lt;'Operating Inputs'!$K$9)*MIN('Operating Inputs'!$K$8,1)*AT$35*AT$48,0)
+N("Stabilized concession if greater than 1 month")
-IF('Operating Inputs'!$K$10&gt;1,(AS$5&lt;=(MonthStabilization+'Operating Inputs'!$K$11))*(OperBgt!AS$38&gt;'Operating Inputs'!$K$9)*MIN('Operating Inputs'!$K$10-1,1)*AS$109*AS$48+(AT$5&lt;=(MonthStabilization+'Operating Inputs'!$K$11))*(OperBgt!AT$38&gt;'Operating Inputs'!$K$9)*MIN('Operating Inputs'!$K$10,1)*AT$109*AT$48,0)
+N("Lease-up concession if less than or equal to 2 months")
-IF(AND('Operating Inputs'!$K$8&lt;=2,AT$38&lt;'Operating Inputs'!$K$9,AU$38&lt;&gt;(1-Vacancy)),MIN('Operating Inputs'!$K$8,1)*(AvgLeaseTermMarket/12)*AT48*OperBgt!AT35+('Operating Inputs'!$K$8-1)*(AvgLeaseTermMarket/12)*AS48*OperBgt!AS35,0)
+N("Stabilized concession if less than or equal to 1 month")
-IF(AND('Operating Inputs'!$K$10&lt;=1,AU$38=(1-Vacancy),AT$5&lt;=(MonthStabilization+'Operating Inputs'!$K$11)),'Operating Inputs'!$K$10*(AvgLeaseTermMarket/12)*AT48*OperBgt!AT109,0)</f>
        <v>0</v>
      </c>
      <c r="AV63" s="1602">
        <f>N("Lease-up concession if greater than 2 months")
-IF('Operating Inputs'!$K$8&gt;2,(AS$38&lt;'Operating Inputs'!$K$9)*MAX('Operating Inputs'!$K$8-2,0)*AS$48*AS$35+(OperBgt!AT$38&lt;'Operating Inputs'!$K$9)*MIN('Operating Inputs'!$K$8-1,1)*AT$35*AT$48+(OperBgt!AU$38&lt;'Operating Inputs'!$K$9)*MIN('Operating Inputs'!$K$8,1)*AU$35*AU$48,0)
+N("Stabilized concession if greater than 1 month")
-IF('Operating Inputs'!$K$10&gt;1,(AT$5&lt;=(MonthStabilization+'Operating Inputs'!$K$11))*(OperBgt!AT$38&gt;'Operating Inputs'!$K$9)*MIN('Operating Inputs'!$K$10-1,1)*AT$109*AT$48+(AU$5&lt;=(MonthStabilization+'Operating Inputs'!$K$11))*(OperBgt!AU$38&gt;'Operating Inputs'!$K$9)*MIN('Operating Inputs'!$K$10,1)*AU$109*AU$48,0)
+N("Lease-up concession if less than or equal to 2 months")
-IF(AND('Operating Inputs'!$K$8&lt;=2,AU$38&lt;'Operating Inputs'!$K$9,AV$38&lt;&gt;(1-Vacancy)),MIN('Operating Inputs'!$K$8,1)*(AvgLeaseTermMarket/12)*AU48*OperBgt!AU35+('Operating Inputs'!$K$8-1)*(AvgLeaseTermMarket/12)*AT48*OperBgt!AT35,0)
+N("Stabilized concession if less than or equal to 1 month")
-IF(AND('Operating Inputs'!$K$10&lt;=1,AV$38=(1-Vacancy),AU$5&lt;=(MonthStabilization+'Operating Inputs'!$K$11)),'Operating Inputs'!$K$10*(AvgLeaseTermMarket/12)*AU48*OperBgt!AU109,0)</f>
        <v>0</v>
      </c>
      <c r="AW63" s="1602">
        <f>N("Lease-up concession if greater than 2 months")
-IF('Operating Inputs'!$K$8&gt;2,(AT$38&lt;'Operating Inputs'!$K$9)*MAX('Operating Inputs'!$K$8-2,0)*AT$48*AT$35+(OperBgt!AU$38&lt;'Operating Inputs'!$K$9)*MIN('Operating Inputs'!$K$8-1,1)*AU$35*AU$48+(OperBgt!AV$38&lt;'Operating Inputs'!$K$9)*MIN('Operating Inputs'!$K$8,1)*AV$35*AV$48,0)
+N("Stabilized concession if greater than 1 month")
-IF('Operating Inputs'!$K$10&gt;1,(AU$5&lt;=(MonthStabilization+'Operating Inputs'!$K$11))*(OperBgt!AU$38&gt;'Operating Inputs'!$K$9)*MIN('Operating Inputs'!$K$10-1,1)*AU$109*AU$48+(AV$5&lt;=(MonthStabilization+'Operating Inputs'!$K$11))*(OperBgt!AV$38&gt;'Operating Inputs'!$K$9)*MIN('Operating Inputs'!$K$10,1)*AV$109*AV$48,0)
+N("Lease-up concession if less than or equal to 2 months")
-IF(AND('Operating Inputs'!$K$8&lt;=2,AV$38&lt;'Operating Inputs'!$K$9,AW$38&lt;&gt;(1-Vacancy)),MIN('Operating Inputs'!$K$8,1)*(AvgLeaseTermMarket/12)*AV48*OperBgt!AV35+('Operating Inputs'!$K$8-1)*(AvgLeaseTermMarket/12)*AU48*OperBgt!AU35,0)
+N("Stabilized concession if less than or equal to 1 month")
-IF(AND('Operating Inputs'!$K$10&lt;=1,AW$38=(1-Vacancy),AV$5&lt;=(MonthStabilization+'Operating Inputs'!$K$11)),'Operating Inputs'!$K$10*(AvgLeaseTermMarket/12)*AV48*OperBgt!AV109,0)</f>
        <v>0</v>
      </c>
      <c r="AX63" s="1602">
        <f>N("Lease-up concession if greater than 2 months")
-IF('Operating Inputs'!$K$8&gt;2,(AU$38&lt;'Operating Inputs'!$K$9)*MAX('Operating Inputs'!$K$8-2,0)*AU$48*AU$35+(OperBgt!AV$38&lt;'Operating Inputs'!$K$9)*MIN('Operating Inputs'!$K$8-1,1)*AV$35*AV$48+(OperBgt!AW$38&lt;'Operating Inputs'!$K$9)*MIN('Operating Inputs'!$K$8,1)*AW$35*AW$48,0)
+N("Stabilized concession if greater than 1 month")
-IF('Operating Inputs'!$K$10&gt;1,(AV$5&lt;=(MonthStabilization+'Operating Inputs'!$K$11))*(OperBgt!AV$38&gt;'Operating Inputs'!$K$9)*MIN('Operating Inputs'!$K$10-1,1)*AV$109*AV$48+(AW$5&lt;=(MonthStabilization+'Operating Inputs'!$K$11))*(OperBgt!AW$38&gt;'Operating Inputs'!$K$9)*MIN('Operating Inputs'!$K$10,1)*AW$109*AW$48,0)
+N("Lease-up concession if less than or equal to 2 months")
-IF(AND('Operating Inputs'!$K$8&lt;=2,AW$38&lt;'Operating Inputs'!$K$9,AX$38&lt;&gt;(1-Vacancy)),MIN('Operating Inputs'!$K$8,1)*(AvgLeaseTermMarket/12)*AW48*OperBgt!AW35+('Operating Inputs'!$K$8-1)*(AvgLeaseTermMarket/12)*AV48*OperBgt!AV35,0)
+N("Stabilized concession if less than or equal to 1 month")
-IF(AND('Operating Inputs'!$K$10&lt;=1,AX$38=(1-Vacancy),AW$5&lt;=(MonthStabilization+'Operating Inputs'!$K$11)),'Operating Inputs'!$K$10*(AvgLeaseTermMarket/12)*AW48*OperBgt!AW109,0)</f>
        <v>0</v>
      </c>
      <c r="AY63" s="1602">
        <f>N("Lease-up concession if greater than 2 months")
-IF('Operating Inputs'!$K$8&gt;2,(AV$38&lt;'Operating Inputs'!$K$9)*MAX('Operating Inputs'!$K$8-2,0)*AV$48*AV$35+(OperBgt!AW$38&lt;'Operating Inputs'!$K$9)*MIN('Operating Inputs'!$K$8-1,1)*AW$35*AW$48+(OperBgt!AX$38&lt;'Operating Inputs'!$K$9)*MIN('Operating Inputs'!$K$8,1)*AX$35*AX$48,0)
+N("Stabilized concession if greater than 1 month")
-IF('Operating Inputs'!$K$10&gt;1,(AW$5&lt;=(MonthStabilization+'Operating Inputs'!$K$11))*(OperBgt!AW$38&gt;'Operating Inputs'!$K$9)*MIN('Operating Inputs'!$K$10-1,1)*AW$109*AW$48+(AX$5&lt;=(MonthStabilization+'Operating Inputs'!$K$11))*(OperBgt!AX$38&gt;'Operating Inputs'!$K$9)*MIN('Operating Inputs'!$K$10,1)*AX$109*AX$48,0)
+N("Lease-up concession if less than or equal to 2 months")
-IF(AND('Operating Inputs'!$K$8&lt;=2,AX$38&lt;'Operating Inputs'!$K$9,AY$38&lt;&gt;(1-Vacancy)),MIN('Operating Inputs'!$K$8,1)*(AvgLeaseTermMarket/12)*AX48*OperBgt!AX35+('Operating Inputs'!$K$8-1)*(AvgLeaseTermMarket/12)*AW48*OperBgt!AW35,0)
+N("Stabilized concession if less than or equal to 1 month")
-IF(AND('Operating Inputs'!$K$10&lt;=1,AY$38=(1-Vacancy),AX$5&lt;=(MonthStabilization+'Operating Inputs'!$K$11)),'Operating Inputs'!$K$10*(AvgLeaseTermMarket/12)*AX48*OperBgt!AX109,0)</f>
        <v>0</v>
      </c>
      <c r="AZ63" s="1602">
        <f>N("Lease-up concession if greater than 2 months")
-IF('Operating Inputs'!$K$8&gt;2,(AW$38&lt;'Operating Inputs'!$K$9)*MAX('Operating Inputs'!$K$8-2,0)*AW$48*AW$35+(OperBgt!AX$38&lt;'Operating Inputs'!$K$9)*MIN('Operating Inputs'!$K$8-1,1)*AX$35*AX$48+(OperBgt!AY$38&lt;'Operating Inputs'!$K$9)*MIN('Operating Inputs'!$K$8,1)*AY$35*AY$48,0)
+N("Stabilized concession if greater than 1 month")
-IF('Operating Inputs'!$K$10&gt;1,(AX$5&lt;=(MonthStabilization+'Operating Inputs'!$K$11))*(OperBgt!AX$38&gt;'Operating Inputs'!$K$9)*MIN('Operating Inputs'!$K$10-1,1)*AX$109*AX$48+(AY$5&lt;=(MonthStabilization+'Operating Inputs'!$K$11))*(OperBgt!AY$38&gt;'Operating Inputs'!$K$9)*MIN('Operating Inputs'!$K$10,1)*AY$109*AY$48,0)
+N("Lease-up concession if less than or equal to 2 months")
-IF(AND('Operating Inputs'!$K$8&lt;=2,AY$38&lt;'Operating Inputs'!$K$9,AZ$38&lt;&gt;(1-Vacancy)),MIN('Operating Inputs'!$K$8,1)*(AvgLeaseTermMarket/12)*AY48*OperBgt!AY35+('Operating Inputs'!$K$8-1)*(AvgLeaseTermMarket/12)*AX48*OperBgt!AX35,0)
+N("Stabilized concession if less than or equal to 1 month")
-IF(AND('Operating Inputs'!$K$10&lt;=1,AZ$38=(1-Vacancy),AY$5&lt;=(MonthStabilization+'Operating Inputs'!$K$11)),'Operating Inputs'!$K$10*(AvgLeaseTermMarket/12)*AY48*OperBgt!AY109,0)</f>
        <v>0</v>
      </c>
      <c r="BA63" s="1602">
        <f>N("Lease-up concession if greater than 2 months")
-IF('Operating Inputs'!$K$8&gt;2,(AX$38&lt;'Operating Inputs'!$K$9)*MAX('Operating Inputs'!$K$8-2,0)*AX$48*AX$35+(OperBgt!AY$38&lt;'Operating Inputs'!$K$9)*MIN('Operating Inputs'!$K$8-1,1)*AY$35*AY$48+(OperBgt!AZ$38&lt;'Operating Inputs'!$K$9)*MIN('Operating Inputs'!$K$8,1)*AZ$35*AZ$48,0)
+N("Stabilized concession if greater than 1 month")
-IF('Operating Inputs'!$K$10&gt;1,(AY$5&lt;=(MonthStabilization+'Operating Inputs'!$K$11))*(OperBgt!AY$38&gt;'Operating Inputs'!$K$9)*MIN('Operating Inputs'!$K$10-1,1)*AY$109*AY$48+(AZ$5&lt;=(MonthStabilization+'Operating Inputs'!$K$11))*(OperBgt!AZ$38&gt;'Operating Inputs'!$K$9)*MIN('Operating Inputs'!$K$10,1)*AZ$109*AZ$48,0)
+N("Lease-up concession if less than or equal to 2 months")
-IF(AND('Operating Inputs'!$K$8&lt;=2,AZ$38&lt;'Operating Inputs'!$K$9,BA$38&lt;&gt;(1-Vacancy)),MIN('Operating Inputs'!$K$8,1)*(AvgLeaseTermMarket/12)*AZ48*OperBgt!AZ35+('Operating Inputs'!$K$8-1)*(AvgLeaseTermMarket/12)*AY48*OperBgt!AY35,0)
+N("Stabilized concession if less than or equal to 1 month")
-IF(AND('Operating Inputs'!$K$10&lt;=1,BA$38=(1-Vacancy),AZ$5&lt;=(MonthStabilization+'Operating Inputs'!$K$11)),'Operating Inputs'!$K$10*(AvgLeaseTermMarket/12)*AZ48*OperBgt!AZ109,0)</f>
        <v>0</v>
      </c>
      <c r="BB63" s="1602">
        <f>N("Lease-up concession if greater than 2 months")
-IF('Operating Inputs'!$K$8&gt;2,(AY$38&lt;'Operating Inputs'!$K$9)*MAX('Operating Inputs'!$K$8-2,0)*AY$48*AY$35+(OperBgt!AZ$38&lt;'Operating Inputs'!$K$9)*MIN('Operating Inputs'!$K$8-1,1)*AZ$35*AZ$48+(OperBgt!BA$38&lt;'Operating Inputs'!$K$9)*MIN('Operating Inputs'!$K$8,1)*BA$35*BA$48,0)
+N("Stabilized concession if greater than 1 month")
-IF('Operating Inputs'!$K$10&gt;1,(AZ$5&lt;=(MonthStabilization+'Operating Inputs'!$K$11))*(OperBgt!AZ$38&gt;'Operating Inputs'!$K$9)*MIN('Operating Inputs'!$K$10-1,1)*AZ$109*AZ$48+(BA$5&lt;=(MonthStabilization+'Operating Inputs'!$K$11))*(OperBgt!BA$38&gt;'Operating Inputs'!$K$9)*MIN('Operating Inputs'!$K$10,1)*BA$109*BA$48,0)
+N("Lease-up concession if less than or equal to 2 months")
-IF(AND('Operating Inputs'!$K$8&lt;=2,BA$38&lt;'Operating Inputs'!$K$9,BB$38&lt;&gt;(1-Vacancy)),MIN('Operating Inputs'!$K$8,1)*(AvgLeaseTermMarket/12)*BA48*OperBgt!BA35+('Operating Inputs'!$K$8-1)*(AvgLeaseTermMarket/12)*AZ48*OperBgt!AZ35,0)
+N("Stabilized concession if less than or equal to 1 month")
-IF(AND('Operating Inputs'!$K$10&lt;=1,BB$38=(1-Vacancy),BA$5&lt;=(MonthStabilization+'Operating Inputs'!$K$11)),'Operating Inputs'!$K$10*(AvgLeaseTermMarket/12)*BA48*OperBgt!BA109,0)</f>
        <v>0</v>
      </c>
      <c r="BC63" s="1602">
        <f>N("Lease-up concession if greater than 2 months")
-IF('Operating Inputs'!$K$8&gt;2,(AZ$38&lt;'Operating Inputs'!$K$9)*MAX('Operating Inputs'!$K$8-2,0)*AZ$48*AZ$35+(OperBgt!BA$38&lt;'Operating Inputs'!$K$9)*MIN('Operating Inputs'!$K$8-1,1)*BA$35*BA$48+(OperBgt!BB$38&lt;'Operating Inputs'!$K$9)*MIN('Operating Inputs'!$K$8,1)*BB$35*BB$48,0)
+N("Stabilized concession if greater than 1 month")
-IF('Operating Inputs'!$K$10&gt;1,(BA$5&lt;=(MonthStabilization+'Operating Inputs'!$K$11))*(OperBgt!BA$38&gt;'Operating Inputs'!$K$9)*MIN('Operating Inputs'!$K$10-1,1)*BA$109*BA$48+(BB$5&lt;=(MonthStabilization+'Operating Inputs'!$K$11))*(OperBgt!BB$38&gt;'Operating Inputs'!$K$9)*MIN('Operating Inputs'!$K$10,1)*BB$109*BB$48,0)
+N("Lease-up concession if less than or equal to 2 months")
-IF(AND('Operating Inputs'!$K$8&lt;=2,BB$38&lt;'Operating Inputs'!$K$9,BC$38&lt;&gt;(1-Vacancy)),MIN('Operating Inputs'!$K$8,1)*(AvgLeaseTermMarket/12)*BB48*OperBgt!BB35+('Operating Inputs'!$K$8-1)*(AvgLeaseTermMarket/12)*BA48*OperBgt!BA35,0)
+N("Stabilized concession if less than or equal to 1 month")
-IF(AND('Operating Inputs'!$K$10&lt;=1,BC$38=(1-Vacancy),BB$5&lt;=(MonthStabilization+'Operating Inputs'!$K$11)),'Operating Inputs'!$K$10*(AvgLeaseTermMarket/12)*BB48*OperBgt!BB109,0)</f>
        <v>0</v>
      </c>
      <c r="BD63" s="1602">
        <f>N("Lease-up concession if greater than 2 months")
-IF('Operating Inputs'!$K$8&gt;2,(BA$38&lt;'Operating Inputs'!$K$9)*MAX('Operating Inputs'!$K$8-2,0)*BA$48*BA$35+(OperBgt!BB$38&lt;'Operating Inputs'!$K$9)*MIN('Operating Inputs'!$K$8-1,1)*BB$35*BB$48+(OperBgt!BC$38&lt;'Operating Inputs'!$K$9)*MIN('Operating Inputs'!$K$8,1)*BC$35*BC$48,0)
+N("Stabilized concession if greater than 1 month")
-IF('Operating Inputs'!$K$10&gt;1,(BB$5&lt;=(MonthStabilization+'Operating Inputs'!$K$11))*(OperBgt!BB$38&gt;'Operating Inputs'!$K$9)*MIN('Operating Inputs'!$K$10-1,1)*BB$109*BB$48+(BC$5&lt;=(MonthStabilization+'Operating Inputs'!$K$11))*(OperBgt!BC$38&gt;'Operating Inputs'!$K$9)*MIN('Operating Inputs'!$K$10,1)*BC$109*BC$48,0)
+N("Lease-up concession if less than or equal to 2 months")
-IF(AND('Operating Inputs'!$K$8&lt;=2,BC$38&lt;'Operating Inputs'!$K$9,BD$38&lt;&gt;(1-Vacancy)),MIN('Operating Inputs'!$K$8,1)*(AvgLeaseTermMarket/12)*BC48*OperBgt!BC35+('Operating Inputs'!$K$8-1)*(AvgLeaseTermMarket/12)*BB48*OperBgt!BB35,0)
+N("Stabilized concession if less than or equal to 1 month")
-IF(AND('Operating Inputs'!$K$10&lt;=1,BD$38=(1-Vacancy),BC$5&lt;=(MonthStabilization+'Operating Inputs'!$K$11)),'Operating Inputs'!$K$10*(AvgLeaseTermMarket/12)*BC48*OperBgt!BC109,0)</f>
        <v>0</v>
      </c>
      <c r="BE63" s="1602">
        <f>N("Lease-up concession if greater than 2 months")
-IF('Operating Inputs'!$K$8&gt;2,(BB$38&lt;'Operating Inputs'!$K$9)*MAX('Operating Inputs'!$K$8-2,0)*BB$48*BB$35+(OperBgt!BC$38&lt;'Operating Inputs'!$K$9)*MIN('Operating Inputs'!$K$8-1,1)*BC$35*BC$48+(OperBgt!BD$38&lt;'Operating Inputs'!$K$9)*MIN('Operating Inputs'!$K$8,1)*BD$35*BD$48,0)
+N("Stabilized concession if greater than 1 month")
-IF('Operating Inputs'!$K$10&gt;1,(BC$5&lt;=(MonthStabilization+'Operating Inputs'!$K$11))*(OperBgt!BC$38&gt;'Operating Inputs'!$K$9)*MIN('Operating Inputs'!$K$10-1,1)*BC$109*BC$48+(BD$5&lt;=(MonthStabilization+'Operating Inputs'!$K$11))*(OperBgt!BD$38&gt;'Operating Inputs'!$K$9)*MIN('Operating Inputs'!$K$10,1)*BD$109*BD$48,0)
+N("Lease-up concession if less than or equal to 2 months")
-IF(AND('Operating Inputs'!$K$8&lt;=2,BD$38&lt;'Operating Inputs'!$K$9,BE$38&lt;&gt;(1-Vacancy)),MIN('Operating Inputs'!$K$8,1)*(AvgLeaseTermMarket/12)*BD48*OperBgt!BD35+('Operating Inputs'!$K$8-1)*(AvgLeaseTermMarket/12)*BC48*OperBgt!BC35,0)
+N("Stabilized concession if less than or equal to 1 month")
-IF(AND('Operating Inputs'!$K$10&lt;=1,BE$38=(1-Vacancy),BD$5&lt;=(MonthStabilization+'Operating Inputs'!$K$11)),'Operating Inputs'!$K$10*(AvgLeaseTermMarket/12)*BD48*OperBgt!BD109,0)</f>
        <v>0</v>
      </c>
      <c r="BF63" s="1602">
        <f>N("Lease-up concession if greater than 2 months")
-IF('Operating Inputs'!$K$8&gt;2,(BC$38&lt;'Operating Inputs'!$K$9)*MAX('Operating Inputs'!$K$8-2,0)*BC$48*BC$35+(OperBgt!BD$38&lt;'Operating Inputs'!$K$9)*MIN('Operating Inputs'!$K$8-1,1)*BD$35*BD$48+(OperBgt!BE$38&lt;'Operating Inputs'!$K$9)*MIN('Operating Inputs'!$K$8,1)*BE$35*BE$48,0)
+N("Stabilized concession if greater than 1 month")
-IF('Operating Inputs'!$K$10&gt;1,(BD$5&lt;=(MonthStabilization+'Operating Inputs'!$K$11))*(OperBgt!BD$38&gt;'Operating Inputs'!$K$9)*MIN('Operating Inputs'!$K$10-1,1)*BD$109*BD$48+(BE$5&lt;=(MonthStabilization+'Operating Inputs'!$K$11))*(OperBgt!BE$38&gt;'Operating Inputs'!$K$9)*MIN('Operating Inputs'!$K$10,1)*BE$109*BE$48,0)
+N("Lease-up concession if less than or equal to 2 months")
-IF(AND('Operating Inputs'!$K$8&lt;=2,BE$38&lt;'Operating Inputs'!$K$9,BF$38&lt;&gt;(1-Vacancy)),MIN('Operating Inputs'!$K$8,1)*(AvgLeaseTermMarket/12)*BE48*OperBgt!BE35+('Operating Inputs'!$K$8-1)*(AvgLeaseTermMarket/12)*BD48*OperBgt!BD35,0)
+N("Stabilized concession if less than or equal to 1 month")
-IF(AND('Operating Inputs'!$K$10&lt;=1,BF$38=(1-Vacancy),BE$5&lt;=(MonthStabilization+'Operating Inputs'!$K$11)),'Operating Inputs'!$K$10*(AvgLeaseTermMarket/12)*BE48*OperBgt!BE109,0)</f>
        <v>0</v>
      </c>
      <c r="BG63" s="1602">
        <f>N("Lease-up concession if greater than 2 months")
-IF('Operating Inputs'!$K$8&gt;2,(BD$38&lt;'Operating Inputs'!$K$9)*MAX('Operating Inputs'!$K$8-2,0)*BD$48*BD$35+(OperBgt!BE$38&lt;'Operating Inputs'!$K$9)*MIN('Operating Inputs'!$K$8-1,1)*BE$35*BE$48+(OperBgt!BF$38&lt;'Operating Inputs'!$K$9)*MIN('Operating Inputs'!$K$8,1)*BF$35*BF$48,0)
+N("Stabilized concession if greater than 1 month")
-IF('Operating Inputs'!$K$10&gt;1,(BE$5&lt;=(MonthStabilization+'Operating Inputs'!$K$11))*(OperBgt!BE$38&gt;'Operating Inputs'!$K$9)*MIN('Operating Inputs'!$K$10-1,1)*BE$109*BE$48+(BF$5&lt;=(MonthStabilization+'Operating Inputs'!$K$11))*(OperBgt!BF$38&gt;'Operating Inputs'!$K$9)*MIN('Operating Inputs'!$K$10,1)*BF$109*BF$48,0)
+N("Lease-up concession if less than or equal to 2 months")
-IF(AND('Operating Inputs'!$K$8&lt;=2,BF$38&lt;'Operating Inputs'!$K$9,BG$38&lt;&gt;(1-Vacancy)),MIN('Operating Inputs'!$K$8,1)*(AvgLeaseTermMarket/12)*BF48*OperBgt!BF35+('Operating Inputs'!$K$8-1)*(AvgLeaseTermMarket/12)*BE48*OperBgt!BE35,0)
+N("Stabilized concession if less than or equal to 1 month")
-IF(AND('Operating Inputs'!$K$10&lt;=1,BG$38=(1-Vacancy),BF$5&lt;=(MonthStabilization+'Operating Inputs'!$K$11)),'Operating Inputs'!$K$10*(AvgLeaseTermMarket/12)*BF48*OperBgt!BF109,0)</f>
        <v>0</v>
      </c>
      <c r="BH63" s="1602">
        <f>N("Lease-up concession if greater than 2 months")
-IF('Operating Inputs'!$K$8&gt;2,(BE$38&lt;'Operating Inputs'!$K$9)*MAX('Operating Inputs'!$K$8-2,0)*BE$48*BE$35+(OperBgt!BF$38&lt;'Operating Inputs'!$K$9)*MIN('Operating Inputs'!$K$8-1,1)*BF$35*BF$48+(OperBgt!BG$38&lt;'Operating Inputs'!$K$9)*MIN('Operating Inputs'!$K$8,1)*BG$35*BG$48,0)
+N("Stabilized concession if greater than 1 month")
-IF('Operating Inputs'!$K$10&gt;1,(BF$5&lt;=(MonthStabilization+'Operating Inputs'!$K$11))*(OperBgt!BF$38&gt;'Operating Inputs'!$K$9)*MIN('Operating Inputs'!$K$10-1,1)*BF$109*BF$48+(BG$5&lt;=(MonthStabilization+'Operating Inputs'!$K$11))*(OperBgt!BG$38&gt;'Operating Inputs'!$K$9)*MIN('Operating Inputs'!$K$10,1)*BG$109*BG$48,0)
+N("Lease-up concession if less than or equal to 2 months")
-IF(AND('Operating Inputs'!$K$8&lt;=2,BG$38&lt;'Operating Inputs'!$K$9,BH$38&lt;&gt;(1-Vacancy)),MIN('Operating Inputs'!$K$8,1)*(AvgLeaseTermMarket/12)*BG48*OperBgt!BG35+('Operating Inputs'!$K$8-1)*(AvgLeaseTermMarket/12)*BF48*OperBgt!BF35,0)
+N("Stabilized concession if less than or equal to 1 month")
-IF(AND('Operating Inputs'!$K$10&lt;=1,BH$38=(1-Vacancy),BG$5&lt;=(MonthStabilization+'Operating Inputs'!$K$11)),'Operating Inputs'!$K$10*(AvgLeaseTermMarket/12)*BG48*OperBgt!BG109,0)</f>
        <v>0</v>
      </c>
      <c r="BI63" s="1602">
        <f>N("Lease-up concession if greater than 2 months")
-IF('Operating Inputs'!$K$8&gt;2,(BF$38&lt;'Operating Inputs'!$K$9)*MAX('Operating Inputs'!$K$8-2,0)*BF$48*BF$35+(OperBgt!BG$38&lt;'Operating Inputs'!$K$9)*MIN('Operating Inputs'!$K$8-1,1)*BG$35*BG$48+(OperBgt!BH$38&lt;'Operating Inputs'!$K$9)*MIN('Operating Inputs'!$K$8,1)*BH$35*BH$48,0)
+N("Stabilized concession if greater than 1 month")
-IF('Operating Inputs'!$K$10&gt;1,(BG$5&lt;=(MonthStabilization+'Operating Inputs'!$K$11))*(OperBgt!BG$38&gt;'Operating Inputs'!$K$9)*MIN('Operating Inputs'!$K$10-1,1)*BG$109*BG$48+(BH$5&lt;=(MonthStabilization+'Operating Inputs'!$K$11))*(OperBgt!BH$38&gt;'Operating Inputs'!$K$9)*MIN('Operating Inputs'!$K$10,1)*BH$109*BH$48,0)
+N("Lease-up concession if less than or equal to 2 months")
-IF(AND('Operating Inputs'!$K$8&lt;=2,BH$38&lt;'Operating Inputs'!$K$9,BI$38&lt;&gt;(1-Vacancy)),MIN('Operating Inputs'!$K$8,1)*(AvgLeaseTermMarket/12)*BH48*OperBgt!BH35+('Operating Inputs'!$K$8-1)*(AvgLeaseTermMarket/12)*BG48*OperBgt!BG35,0)
+N("Stabilized concession if less than or equal to 1 month")
-IF(AND('Operating Inputs'!$K$10&lt;=1,BI$38=(1-Vacancy),BH$5&lt;=(MonthStabilization+'Operating Inputs'!$K$11)),'Operating Inputs'!$K$10*(AvgLeaseTermMarket/12)*BH48*OperBgt!BH109,0)</f>
        <v>0</v>
      </c>
      <c r="BJ63" s="1602">
        <f>N("Lease-up concession if greater than 2 months")
-IF('Operating Inputs'!$K$8&gt;2,(BG$38&lt;'Operating Inputs'!$K$9)*MAX('Operating Inputs'!$K$8-2,0)*BG$48*BG$35+(OperBgt!BH$38&lt;'Operating Inputs'!$K$9)*MIN('Operating Inputs'!$K$8-1,1)*BH$35*BH$48+(OperBgt!BI$38&lt;'Operating Inputs'!$K$9)*MIN('Operating Inputs'!$K$8,1)*BI$35*BI$48,0)
+N("Stabilized concession if greater than 1 month")
-IF('Operating Inputs'!$K$10&gt;1,(BH$5&lt;=(MonthStabilization+'Operating Inputs'!$K$11))*(OperBgt!BH$38&gt;'Operating Inputs'!$K$9)*MIN('Operating Inputs'!$K$10-1,1)*BH$109*BH$48+(BI$5&lt;=(MonthStabilization+'Operating Inputs'!$K$11))*(OperBgt!BI$38&gt;'Operating Inputs'!$K$9)*MIN('Operating Inputs'!$K$10,1)*BI$109*BI$48,0)
+N("Lease-up concession if less than or equal to 2 months")
-IF(AND('Operating Inputs'!$K$8&lt;=2,BI$38&lt;'Operating Inputs'!$K$9,BJ$38&lt;&gt;(1-Vacancy)),MIN('Operating Inputs'!$K$8,1)*(AvgLeaseTermMarket/12)*BI48*OperBgt!BI35+('Operating Inputs'!$K$8-1)*(AvgLeaseTermMarket/12)*BH48*OperBgt!BH35,0)
+N("Stabilized concession if less than or equal to 1 month")
-IF(AND('Operating Inputs'!$K$10&lt;=1,BJ$38=(1-Vacancy),BI$5&lt;=(MonthStabilization+'Operating Inputs'!$K$11)),'Operating Inputs'!$K$10*(AvgLeaseTermMarket/12)*BI48*OperBgt!BI109,0)</f>
        <v>0</v>
      </c>
      <c r="BK63" s="1602">
        <f>N("Lease-up concession if greater than 2 months")
-IF('Operating Inputs'!$K$8&gt;2,(BH$38&lt;'Operating Inputs'!$K$9)*MAX('Operating Inputs'!$K$8-2,0)*BH$48*BH$35+(OperBgt!BI$38&lt;'Operating Inputs'!$K$9)*MIN('Operating Inputs'!$K$8-1,1)*BI$35*BI$48+(OperBgt!BJ$38&lt;'Operating Inputs'!$K$9)*MIN('Operating Inputs'!$K$8,1)*BJ$35*BJ$48,0)
+N("Stabilized concession if greater than 1 month")
-IF('Operating Inputs'!$K$10&gt;1,(BI$5&lt;=(MonthStabilization+'Operating Inputs'!$K$11))*(OperBgt!BI$38&gt;'Operating Inputs'!$K$9)*MIN('Operating Inputs'!$K$10-1,1)*BI$109*BI$48+(BJ$5&lt;=(MonthStabilization+'Operating Inputs'!$K$11))*(OperBgt!BJ$38&gt;'Operating Inputs'!$K$9)*MIN('Operating Inputs'!$K$10,1)*BJ$109*BJ$48,0)
+N("Lease-up concession if less than or equal to 2 months")
-IF(AND('Operating Inputs'!$K$8&lt;=2,BJ$38&lt;'Operating Inputs'!$K$9,BK$38&lt;&gt;(1-Vacancy)),MIN('Operating Inputs'!$K$8,1)*(AvgLeaseTermMarket/12)*BJ48*OperBgt!BJ35+('Operating Inputs'!$K$8-1)*(AvgLeaseTermMarket/12)*BI48*OperBgt!BI35,0)
+N("Stabilized concession if less than or equal to 1 month")
-IF(AND('Operating Inputs'!$K$10&lt;=1,BK$38=(1-Vacancy),BJ$5&lt;=(MonthStabilization+'Operating Inputs'!$K$11)),'Operating Inputs'!$K$10*(AvgLeaseTermMarket/12)*BJ48*OperBgt!BJ109,0)</f>
        <v>0</v>
      </c>
      <c r="BL63" s="1602">
        <f>N("Lease-up concession if greater than 2 months")
-IF('Operating Inputs'!$K$8&gt;2,(BI$38&lt;'Operating Inputs'!$K$9)*MAX('Operating Inputs'!$K$8-2,0)*BI$48*BI$35+(OperBgt!BJ$38&lt;'Operating Inputs'!$K$9)*MIN('Operating Inputs'!$K$8-1,1)*BJ$35*BJ$48+(OperBgt!BK$38&lt;'Operating Inputs'!$K$9)*MIN('Operating Inputs'!$K$8,1)*BK$35*BK$48,0)
+N("Stabilized concession if greater than 1 month")
-IF('Operating Inputs'!$K$10&gt;1,(BJ$5&lt;=(MonthStabilization+'Operating Inputs'!$K$11))*(OperBgt!BJ$38&gt;'Operating Inputs'!$K$9)*MIN('Operating Inputs'!$K$10-1,1)*BJ$109*BJ$48+(BK$5&lt;=(MonthStabilization+'Operating Inputs'!$K$11))*(OperBgt!BK$38&gt;'Operating Inputs'!$K$9)*MIN('Operating Inputs'!$K$10,1)*BK$109*BK$48,0)
+N("Lease-up concession if less than or equal to 2 months")
-IF(AND('Operating Inputs'!$K$8&lt;=2,BK$38&lt;'Operating Inputs'!$K$9,BL$38&lt;&gt;(1-Vacancy)),MIN('Operating Inputs'!$K$8,1)*(AvgLeaseTermMarket/12)*BK48*OperBgt!BK35+('Operating Inputs'!$K$8-1)*(AvgLeaseTermMarket/12)*BJ48*OperBgt!BJ35,0)
+N("Stabilized concession if less than or equal to 1 month")
-IF(AND('Operating Inputs'!$K$10&lt;=1,BL$38=(1-Vacancy),BK$5&lt;=(MonthStabilization+'Operating Inputs'!$K$11)),'Operating Inputs'!$K$10*(AvgLeaseTermMarket/12)*BK48*OperBgt!BK109,0)</f>
        <v>0</v>
      </c>
      <c r="BM63" s="1602">
        <f>N("Lease-up concession if greater than 2 months")
-IF('Operating Inputs'!$K$8&gt;2,(BJ$38&lt;'Operating Inputs'!$K$9)*MAX('Operating Inputs'!$K$8-2,0)*BJ$48*BJ$35+(OperBgt!BK$38&lt;'Operating Inputs'!$K$9)*MIN('Operating Inputs'!$K$8-1,1)*BK$35*BK$48+(OperBgt!BL$38&lt;'Operating Inputs'!$K$9)*MIN('Operating Inputs'!$K$8,1)*BL$35*BL$48,0)
+N("Stabilized concession if greater than 1 month")
-IF('Operating Inputs'!$K$10&gt;1,(BK$5&lt;=(MonthStabilization+'Operating Inputs'!$K$11))*(OperBgt!BK$38&gt;'Operating Inputs'!$K$9)*MIN('Operating Inputs'!$K$10-1,1)*BK$109*BK$48+(BL$5&lt;=(MonthStabilization+'Operating Inputs'!$K$11))*(OperBgt!BL$38&gt;'Operating Inputs'!$K$9)*MIN('Operating Inputs'!$K$10,1)*BL$109*BL$48,0)
+N("Lease-up concession if less than or equal to 2 months")
-IF(AND('Operating Inputs'!$K$8&lt;=2,BL$38&lt;'Operating Inputs'!$K$9,BM$38&lt;&gt;(1-Vacancy)),MIN('Operating Inputs'!$K$8,1)*(AvgLeaseTermMarket/12)*BL48*OperBgt!BL35+('Operating Inputs'!$K$8-1)*(AvgLeaseTermMarket/12)*BK48*OperBgt!BK35,0)
+N("Stabilized concession if less than or equal to 1 month")
-IF(AND('Operating Inputs'!$K$10&lt;=1,BM$38=(1-Vacancy),BL$5&lt;=(MonthStabilization+'Operating Inputs'!$K$11)),'Operating Inputs'!$K$10*(AvgLeaseTermMarket/12)*BL48*OperBgt!BL109,0)</f>
        <v>0</v>
      </c>
      <c r="BN63" s="1602">
        <f>N("Lease-up concession if greater than 2 months")
-IF('Operating Inputs'!$K$8&gt;2,(BK$38&lt;'Operating Inputs'!$K$9)*MAX('Operating Inputs'!$K$8-2,0)*BK$48*BK$35+(OperBgt!BL$38&lt;'Operating Inputs'!$K$9)*MIN('Operating Inputs'!$K$8-1,1)*BL$35*BL$48+(OperBgt!BM$38&lt;'Operating Inputs'!$K$9)*MIN('Operating Inputs'!$K$8,1)*BM$35*BM$48,0)
+N("Stabilized concession if greater than 1 month")
-IF('Operating Inputs'!$K$10&gt;1,(BL$5&lt;=(MonthStabilization+'Operating Inputs'!$K$11))*(OperBgt!BL$38&gt;'Operating Inputs'!$K$9)*MIN('Operating Inputs'!$K$10-1,1)*BL$109*BL$48+(BM$5&lt;=(MonthStabilization+'Operating Inputs'!$K$11))*(OperBgt!BM$38&gt;'Operating Inputs'!$K$9)*MIN('Operating Inputs'!$K$10,1)*BM$109*BM$48,0)
+N("Lease-up concession if less than or equal to 2 months")
-IF(AND('Operating Inputs'!$K$8&lt;=2,BM$38&lt;'Operating Inputs'!$K$9,BN$38&lt;&gt;(1-Vacancy)),MIN('Operating Inputs'!$K$8,1)*(AvgLeaseTermMarket/12)*BM48*OperBgt!BM35+('Operating Inputs'!$K$8-1)*(AvgLeaseTermMarket/12)*BL48*OperBgt!BL35,0)
+N("Stabilized concession if less than or equal to 1 month")
-IF(AND('Operating Inputs'!$K$10&lt;=1,BN$38=(1-Vacancy),BM$5&lt;=(MonthStabilization+'Operating Inputs'!$K$11)),'Operating Inputs'!$K$10*(AvgLeaseTermMarket/12)*BM48*OperBgt!BM109,0)</f>
        <v>0</v>
      </c>
      <c r="BO63" s="1602">
        <f>N("Lease-up concession if greater than 2 months")
-IF('Operating Inputs'!$K$8&gt;2,(BL$38&lt;'Operating Inputs'!$K$9)*MAX('Operating Inputs'!$K$8-2,0)*BL$48*BL$35+(OperBgt!BM$38&lt;'Operating Inputs'!$K$9)*MIN('Operating Inputs'!$K$8-1,1)*BM$35*BM$48+(OperBgt!BN$38&lt;'Operating Inputs'!$K$9)*MIN('Operating Inputs'!$K$8,1)*BN$35*BN$48,0)
+N("Stabilized concession if greater than 1 month")
-IF('Operating Inputs'!$K$10&gt;1,(BM$5&lt;=(MonthStabilization+'Operating Inputs'!$K$11))*(OperBgt!BM$38&gt;'Operating Inputs'!$K$9)*MIN('Operating Inputs'!$K$10-1,1)*BM$109*BM$48+(BN$5&lt;=(MonthStabilization+'Operating Inputs'!$K$11))*(OperBgt!BN$38&gt;'Operating Inputs'!$K$9)*MIN('Operating Inputs'!$K$10,1)*BN$109*BN$48,0)
+N("Lease-up concession if less than or equal to 2 months")
-IF(AND('Operating Inputs'!$K$8&lt;=2,BN$38&lt;'Operating Inputs'!$K$9,BO$38&lt;&gt;(1-Vacancy)),MIN('Operating Inputs'!$K$8,1)*(AvgLeaseTermMarket/12)*BN48*OperBgt!BN35+('Operating Inputs'!$K$8-1)*(AvgLeaseTermMarket/12)*BM48*OperBgt!BM35,0)
+N("Stabilized concession if less than or equal to 1 month")
-IF(AND('Operating Inputs'!$K$10&lt;=1,BO$38=(1-Vacancy),BN$5&lt;=(MonthStabilization+'Operating Inputs'!$K$11)),'Operating Inputs'!$K$10*(AvgLeaseTermMarket/12)*BN48*OperBgt!BN109,0)</f>
        <v>0</v>
      </c>
      <c r="BP63" s="1602">
        <f>N("Lease-up concession if greater than 2 months")
-IF('Operating Inputs'!$K$8&gt;2,(BM$38&lt;'Operating Inputs'!$K$9)*MAX('Operating Inputs'!$K$8-2,0)*BM$48*BM$35+(OperBgt!BN$38&lt;'Operating Inputs'!$K$9)*MIN('Operating Inputs'!$K$8-1,1)*BN$35*BN$48+(OperBgt!BO$38&lt;'Operating Inputs'!$K$9)*MIN('Operating Inputs'!$K$8,1)*BO$35*BO$48,0)
+N("Stabilized concession if greater than 1 month")
-IF('Operating Inputs'!$K$10&gt;1,(BN$5&lt;=(MonthStabilization+'Operating Inputs'!$K$11))*(OperBgt!BN$38&gt;'Operating Inputs'!$K$9)*MIN('Operating Inputs'!$K$10-1,1)*BN$109*BN$48+(BO$5&lt;=(MonthStabilization+'Operating Inputs'!$K$11))*(OperBgt!BO$38&gt;'Operating Inputs'!$K$9)*MIN('Operating Inputs'!$K$10,1)*BO$109*BO$48,0)
+N("Lease-up concession if less than or equal to 2 months")
-IF(AND('Operating Inputs'!$K$8&lt;=2,BO$38&lt;'Operating Inputs'!$K$9,BP$38&lt;&gt;(1-Vacancy)),MIN('Operating Inputs'!$K$8,1)*(AvgLeaseTermMarket/12)*BO48*OperBgt!BO35+('Operating Inputs'!$K$8-1)*(AvgLeaseTermMarket/12)*BN48*OperBgt!BN35,0)
+N("Stabilized concession if less than or equal to 1 month")
-IF(AND('Operating Inputs'!$K$10&lt;=1,BP$38=(1-Vacancy),BO$5&lt;=(MonthStabilization+'Operating Inputs'!$K$11)),'Operating Inputs'!$K$10*(AvgLeaseTermMarket/12)*BO48*OperBgt!BO109,0)</f>
        <v>0</v>
      </c>
      <c r="BQ63" s="1602">
        <f>N("Lease-up concession if greater than 2 months")
-IF('Operating Inputs'!$K$8&gt;2,(BN$38&lt;'Operating Inputs'!$K$9)*MAX('Operating Inputs'!$K$8-2,0)*BN$48*BN$35+(OperBgt!BO$38&lt;'Operating Inputs'!$K$9)*MIN('Operating Inputs'!$K$8-1,1)*BO$35*BO$48+(OperBgt!BP$38&lt;'Operating Inputs'!$K$9)*MIN('Operating Inputs'!$K$8,1)*BP$35*BP$48,0)
+N("Stabilized concession if greater than 1 month")
-IF('Operating Inputs'!$K$10&gt;1,(BO$5&lt;=(MonthStabilization+'Operating Inputs'!$K$11))*(OperBgt!BO$38&gt;'Operating Inputs'!$K$9)*MIN('Operating Inputs'!$K$10-1,1)*BO$109*BO$48+(BP$5&lt;=(MonthStabilization+'Operating Inputs'!$K$11))*(OperBgt!BP$38&gt;'Operating Inputs'!$K$9)*MIN('Operating Inputs'!$K$10,1)*BP$109*BP$48,0)
+N("Lease-up concession if less than or equal to 2 months")
-IF(AND('Operating Inputs'!$K$8&lt;=2,BP$38&lt;'Operating Inputs'!$K$9,BQ$38&lt;&gt;(1-Vacancy)),MIN('Operating Inputs'!$K$8,1)*(AvgLeaseTermMarket/12)*BP48*OperBgt!BP35+('Operating Inputs'!$K$8-1)*(AvgLeaseTermMarket/12)*BO48*OperBgt!BO35,0)
+N("Stabilized concession if less than or equal to 1 month")
-IF(AND('Operating Inputs'!$K$10&lt;=1,BQ$38=(1-Vacancy),BP$5&lt;=(MonthStabilization+'Operating Inputs'!$K$11)),'Operating Inputs'!$K$10*(AvgLeaseTermMarket/12)*BP48*OperBgt!BP109,0)</f>
        <v>0</v>
      </c>
      <c r="BR63" s="1602">
        <f>N("Lease-up concession if greater than 2 months")
-IF('Operating Inputs'!$K$8&gt;2,(BO$38&lt;'Operating Inputs'!$K$9)*MAX('Operating Inputs'!$K$8-2,0)*BO$48*BO$35+(OperBgt!BP$38&lt;'Operating Inputs'!$K$9)*MIN('Operating Inputs'!$K$8-1,1)*BP$35*BP$48+(OperBgt!BQ$38&lt;'Operating Inputs'!$K$9)*MIN('Operating Inputs'!$K$8,1)*BQ$35*BQ$48,0)
+N("Stabilized concession if greater than 1 month")
-IF('Operating Inputs'!$K$10&gt;1,(BP$5&lt;=(MonthStabilization+'Operating Inputs'!$K$11))*(OperBgt!BP$38&gt;'Operating Inputs'!$K$9)*MIN('Operating Inputs'!$K$10-1,1)*BP$109*BP$48+(BQ$5&lt;=(MonthStabilization+'Operating Inputs'!$K$11))*(OperBgt!BQ$38&gt;'Operating Inputs'!$K$9)*MIN('Operating Inputs'!$K$10,1)*BQ$109*BQ$48,0)
+N("Lease-up concession if less than or equal to 2 months")
-IF(AND('Operating Inputs'!$K$8&lt;=2,BQ$38&lt;'Operating Inputs'!$K$9,BR$38&lt;&gt;(1-Vacancy)),MIN('Operating Inputs'!$K$8,1)*(AvgLeaseTermMarket/12)*BQ48*OperBgt!BQ35+('Operating Inputs'!$K$8-1)*(AvgLeaseTermMarket/12)*BP48*OperBgt!BP35,0)
+N("Stabilized concession if less than or equal to 1 month")
-IF(AND('Operating Inputs'!$K$10&lt;=1,BR$38=(1-Vacancy),BQ$5&lt;=(MonthStabilization+'Operating Inputs'!$K$11)),'Operating Inputs'!$K$10*(AvgLeaseTermMarket/12)*BQ48*OperBgt!BQ109,0)</f>
        <v>0</v>
      </c>
      <c r="BS63" s="1602">
        <f>N("Lease-up concession if greater than 2 months")
-IF('Operating Inputs'!$K$8&gt;2,(BP$38&lt;'Operating Inputs'!$K$9)*MAX('Operating Inputs'!$K$8-2,0)*BP$48*BP$35+(OperBgt!BQ$38&lt;'Operating Inputs'!$K$9)*MIN('Operating Inputs'!$K$8-1,1)*BQ$35*BQ$48+(OperBgt!BR$38&lt;'Operating Inputs'!$K$9)*MIN('Operating Inputs'!$K$8,1)*BR$35*BR$48,0)
+N("Stabilized concession if greater than 1 month")
-IF('Operating Inputs'!$K$10&gt;1,(BQ$5&lt;=(MonthStabilization+'Operating Inputs'!$K$11))*(OperBgt!BQ$38&gt;'Operating Inputs'!$K$9)*MIN('Operating Inputs'!$K$10-1,1)*BQ$109*BQ$48+(BR$5&lt;=(MonthStabilization+'Operating Inputs'!$K$11))*(OperBgt!BR$38&gt;'Operating Inputs'!$K$9)*MIN('Operating Inputs'!$K$10,1)*BR$109*BR$48,0)
+N("Lease-up concession if less than or equal to 2 months")
-IF(AND('Operating Inputs'!$K$8&lt;=2,BR$38&lt;'Operating Inputs'!$K$9,BS$38&lt;&gt;(1-Vacancy)),MIN('Operating Inputs'!$K$8,1)*(AvgLeaseTermMarket/12)*BR48*OperBgt!BR35+('Operating Inputs'!$K$8-1)*(AvgLeaseTermMarket/12)*BQ48*OperBgt!BQ35,0)
+N("Stabilized concession if less than or equal to 1 month")
-IF(AND('Operating Inputs'!$K$10&lt;=1,BS$38=(1-Vacancy),BR$5&lt;=(MonthStabilization+'Operating Inputs'!$K$11)),'Operating Inputs'!$K$10*(AvgLeaseTermMarket/12)*BR48*OperBgt!BR109,0)</f>
        <v>0</v>
      </c>
      <c r="BT63" s="1602">
        <f>N("Lease-up concession if greater than 2 months")
-IF('Operating Inputs'!$K$8&gt;2,(BQ$38&lt;'Operating Inputs'!$K$9)*MAX('Operating Inputs'!$K$8-2,0)*BQ$48*BQ$35+(OperBgt!BR$38&lt;'Operating Inputs'!$K$9)*MIN('Operating Inputs'!$K$8-1,1)*BR$35*BR$48+(OperBgt!BS$38&lt;'Operating Inputs'!$K$9)*MIN('Operating Inputs'!$K$8,1)*BS$35*BS$48,0)
+N("Stabilized concession if greater than 1 month")
-IF('Operating Inputs'!$K$10&gt;1,(BR$5&lt;=(MonthStabilization+'Operating Inputs'!$K$11))*(OperBgt!BR$38&gt;'Operating Inputs'!$K$9)*MIN('Operating Inputs'!$K$10-1,1)*BR$109*BR$48+(BS$5&lt;=(MonthStabilization+'Operating Inputs'!$K$11))*(OperBgt!BS$38&gt;'Operating Inputs'!$K$9)*MIN('Operating Inputs'!$K$10,1)*BS$109*BS$48,0)
+N("Lease-up concession if less than or equal to 2 months")
-IF(AND('Operating Inputs'!$K$8&lt;=2,BS$38&lt;'Operating Inputs'!$K$9,BT$38&lt;&gt;(1-Vacancy)),MIN('Operating Inputs'!$K$8,1)*(AvgLeaseTermMarket/12)*BS48*OperBgt!BS35+('Operating Inputs'!$K$8-1)*(AvgLeaseTermMarket/12)*BR48*OperBgt!BR35,0)
+N("Stabilized concession if less than or equal to 1 month")
-IF(AND('Operating Inputs'!$K$10&lt;=1,BT$38=(1-Vacancy),BS$5&lt;=(MonthStabilization+'Operating Inputs'!$K$11)),'Operating Inputs'!$K$10*(AvgLeaseTermMarket/12)*BS48*OperBgt!BS109,0)</f>
        <v>0</v>
      </c>
      <c r="BU63" s="1602">
        <f>N("Lease-up concession if greater than 2 months")
-IF('Operating Inputs'!$K$8&gt;2,(BR$38&lt;'Operating Inputs'!$K$9)*MAX('Operating Inputs'!$K$8-2,0)*BR$48*BR$35+(OperBgt!BS$38&lt;'Operating Inputs'!$K$9)*MIN('Operating Inputs'!$K$8-1,1)*BS$35*BS$48+(OperBgt!BT$38&lt;'Operating Inputs'!$K$9)*MIN('Operating Inputs'!$K$8,1)*BT$35*BT$48,0)
+N("Stabilized concession if greater than 1 month")
-IF('Operating Inputs'!$K$10&gt;1,(BS$5&lt;=(MonthStabilization+'Operating Inputs'!$K$11))*(OperBgt!BS$38&gt;'Operating Inputs'!$K$9)*MIN('Operating Inputs'!$K$10-1,1)*BS$109*BS$48+(BT$5&lt;=(MonthStabilization+'Operating Inputs'!$K$11))*(OperBgt!BT$38&gt;'Operating Inputs'!$K$9)*MIN('Operating Inputs'!$K$10,1)*BT$109*BT$48,0)
+N("Lease-up concession if less than or equal to 2 months")
-IF(AND('Operating Inputs'!$K$8&lt;=2,BT$38&lt;'Operating Inputs'!$K$9,BU$38&lt;&gt;(1-Vacancy)),MIN('Operating Inputs'!$K$8,1)*(AvgLeaseTermMarket/12)*BT48*OperBgt!BT35+('Operating Inputs'!$K$8-1)*(AvgLeaseTermMarket/12)*BS48*OperBgt!BS35,0)
+N("Stabilized concession if less than or equal to 1 month")
-IF(AND('Operating Inputs'!$K$10&lt;=1,BU$38=(1-Vacancy),BT$5&lt;=(MonthStabilization+'Operating Inputs'!$K$11)),'Operating Inputs'!$K$10*(AvgLeaseTermMarket/12)*BT48*OperBgt!BT109,0)</f>
        <v>0</v>
      </c>
      <c r="BV63" s="1602">
        <f>N("Lease-up concession if greater than 2 months")
-IF('Operating Inputs'!$K$8&gt;2,(BS$38&lt;'Operating Inputs'!$K$9)*MAX('Operating Inputs'!$K$8-2,0)*BS$48*BS$35+(OperBgt!BT$38&lt;'Operating Inputs'!$K$9)*MIN('Operating Inputs'!$K$8-1,1)*BT$35*BT$48+(OperBgt!BU$38&lt;'Operating Inputs'!$K$9)*MIN('Operating Inputs'!$K$8,1)*BU$35*BU$48,0)
+N("Stabilized concession if greater than 1 month")
-IF('Operating Inputs'!$K$10&gt;1,(BT$5&lt;=(MonthStabilization+'Operating Inputs'!$K$11))*(OperBgt!BT$38&gt;'Operating Inputs'!$K$9)*MIN('Operating Inputs'!$K$10-1,1)*BT$109*BT$48+(BU$5&lt;=(MonthStabilization+'Operating Inputs'!$K$11))*(OperBgt!BU$38&gt;'Operating Inputs'!$K$9)*MIN('Operating Inputs'!$K$10,1)*BU$109*BU$48,0)
+N("Lease-up concession if less than or equal to 2 months")
-IF(AND('Operating Inputs'!$K$8&lt;=2,BU$38&lt;'Operating Inputs'!$K$9,BV$38&lt;&gt;(1-Vacancy)),MIN('Operating Inputs'!$K$8,1)*(AvgLeaseTermMarket/12)*BU48*OperBgt!BU35+('Operating Inputs'!$K$8-1)*(AvgLeaseTermMarket/12)*BT48*OperBgt!BT35,0)
+N("Stabilized concession if less than or equal to 1 month")
-IF(AND('Operating Inputs'!$K$10&lt;=1,BV$38=(1-Vacancy),BU$5&lt;=(MonthStabilization+'Operating Inputs'!$K$11)),'Operating Inputs'!$K$10*(AvgLeaseTermMarket/12)*BU48*OperBgt!BU109,0)</f>
        <v>0</v>
      </c>
      <c r="BW63" s="1602">
        <f>N("Lease-up concession if greater than 2 months")
-IF('Operating Inputs'!$K$8&gt;2,(BT$38&lt;'Operating Inputs'!$K$9)*MAX('Operating Inputs'!$K$8-2,0)*BT$48*BT$35+(OperBgt!BU$38&lt;'Operating Inputs'!$K$9)*MIN('Operating Inputs'!$K$8-1,1)*BU$35*BU$48+(OperBgt!BV$38&lt;'Operating Inputs'!$K$9)*MIN('Operating Inputs'!$K$8,1)*BV$35*BV$48,0)
+N("Stabilized concession if greater than 1 month")
-IF('Operating Inputs'!$K$10&gt;1,(BU$5&lt;=(MonthStabilization+'Operating Inputs'!$K$11))*(OperBgt!BU$38&gt;'Operating Inputs'!$K$9)*MIN('Operating Inputs'!$K$10-1,1)*BU$109*BU$48+(BV$5&lt;=(MonthStabilization+'Operating Inputs'!$K$11))*(OperBgt!BV$38&gt;'Operating Inputs'!$K$9)*MIN('Operating Inputs'!$K$10,1)*BV$109*BV$48,0)
+N("Lease-up concession if less than or equal to 2 months")
-IF(AND('Operating Inputs'!$K$8&lt;=2,BV$38&lt;'Operating Inputs'!$K$9,BW$38&lt;&gt;(1-Vacancy)),MIN('Operating Inputs'!$K$8,1)*(AvgLeaseTermMarket/12)*BV48*OperBgt!BV35+('Operating Inputs'!$K$8-1)*(AvgLeaseTermMarket/12)*BU48*OperBgt!BU35,0)
+N("Stabilized concession if less than or equal to 1 month")
-IF(AND('Operating Inputs'!$K$10&lt;=1,BW$38=(1-Vacancy),BV$5&lt;=(MonthStabilization+'Operating Inputs'!$K$11)),'Operating Inputs'!$K$10*(AvgLeaseTermMarket/12)*BV48*OperBgt!BV109,0)</f>
        <v>0</v>
      </c>
      <c r="BX63" s="1602">
        <f>N("Lease-up concession if greater than 2 months")
-IF('Operating Inputs'!$K$8&gt;2,(BU$38&lt;'Operating Inputs'!$K$9)*MAX('Operating Inputs'!$K$8-2,0)*BU$48*BU$35+(OperBgt!BV$38&lt;'Operating Inputs'!$K$9)*MIN('Operating Inputs'!$K$8-1,1)*BV$35*BV$48+(OperBgt!BW$38&lt;'Operating Inputs'!$K$9)*MIN('Operating Inputs'!$K$8,1)*BW$35*BW$48,0)
+N("Stabilized concession if greater than 1 month")
-IF('Operating Inputs'!$K$10&gt;1,(BV$5&lt;=(MonthStabilization+'Operating Inputs'!$K$11))*(OperBgt!BV$38&gt;'Operating Inputs'!$K$9)*MIN('Operating Inputs'!$K$10-1,1)*BV$109*BV$48+(BW$5&lt;=(MonthStabilization+'Operating Inputs'!$K$11))*(OperBgt!BW$38&gt;'Operating Inputs'!$K$9)*MIN('Operating Inputs'!$K$10,1)*BW$109*BW$48,0)
+N("Lease-up concession if less than or equal to 2 months")
-IF(AND('Operating Inputs'!$K$8&lt;=2,BW$38&lt;'Operating Inputs'!$K$9,BX$38&lt;&gt;(1-Vacancy)),MIN('Operating Inputs'!$K$8,1)*(AvgLeaseTermMarket/12)*BW48*OperBgt!BW35+('Operating Inputs'!$K$8-1)*(AvgLeaseTermMarket/12)*BV48*OperBgt!BV35,0)
+N("Stabilized concession if less than or equal to 1 month")
-IF(AND('Operating Inputs'!$K$10&lt;=1,BX$38=(1-Vacancy),BW$5&lt;=(MonthStabilization+'Operating Inputs'!$K$11)),'Operating Inputs'!$K$10*(AvgLeaseTermMarket/12)*BW48*OperBgt!BW109,0)</f>
        <v>0</v>
      </c>
      <c r="BY63" s="1602">
        <f>N("Lease-up concession if greater than 2 months")
-IF('Operating Inputs'!$K$8&gt;2,(BV$38&lt;'Operating Inputs'!$K$9)*MAX('Operating Inputs'!$K$8-2,0)*BV$48*BV$35+(OperBgt!BW$38&lt;'Operating Inputs'!$K$9)*MIN('Operating Inputs'!$K$8-1,1)*BW$35*BW$48+(OperBgt!BX$38&lt;'Operating Inputs'!$K$9)*MIN('Operating Inputs'!$K$8,1)*BX$35*BX$48,0)
+N("Stabilized concession if greater than 1 month")
-IF('Operating Inputs'!$K$10&gt;1,(BW$5&lt;=(MonthStabilization+'Operating Inputs'!$K$11))*(OperBgt!BW$38&gt;'Operating Inputs'!$K$9)*MIN('Operating Inputs'!$K$10-1,1)*BW$109*BW$48+(BX$5&lt;=(MonthStabilization+'Operating Inputs'!$K$11))*(OperBgt!BX$38&gt;'Operating Inputs'!$K$9)*MIN('Operating Inputs'!$K$10,1)*BX$109*BX$48,0)
+N("Lease-up concession if less than or equal to 2 months")
-IF(AND('Operating Inputs'!$K$8&lt;=2,BX$38&lt;'Operating Inputs'!$K$9,BY$38&lt;&gt;(1-Vacancy)),MIN('Operating Inputs'!$K$8,1)*(AvgLeaseTermMarket/12)*BX48*OperBgt!BX35+('Operating Inputs'!$K$8-1)*(AvgLeaseTermMarket/12)*BW48*OperBgt!BW35,0)
+N("Stabilized concession if less than or equal to 1 month")
-IF(AND('Operating Inputs'!$K$10&lt;=1,BY$38=(1-Vacancy),BX$5&lt;=(MonthStabilization+'Operating Inputs'!$K$11)),'Operating Inputs'!$K$10*(AvgLeaseTermMarket/12)*BX48*OperBgt!BX109,0)</f>
        <v>0</v>
      </c>
      <c r="BZ63" s="1602">
        <f>N("Lease-up concession if greater than 2 months")
-IF('Operating Inputs'!$K$8&gt;2,(BW$38&lt;'Operating Inputs'!$K$9)*MAX('Operating Inputs'!$K$8-2,0)*BW$48*BW$35+(OperBgt!BX$38&lt;'Operating Inputs'!$K$9)*MIN('Operating Inputs'!$K$8-1,1)*BX$35*BX$48+(OperBgt!BY$38&lt;'Operating Inputs'!$K$9)*MIN('Operating Inputs'!$K$8,1)*BY$35*BY$48,0)
+N("Stabilized concession if greater than 1 month")
-IF('Operating Inputs'!$K$10&gt;1,(BX$5&lt;=(MonthStabilization+'Operating Inputs'!$K$11))*(OperBgt!BX$38&gt;'Operating Inputs'!$K$9)*MIN('Operating Inputs'!$K$10-1,1)*BX$109*BX$48+(BY$5&lt;=(MonthStabilization+'Operating Inputs'!$K$11))*(OperBgt!BY$38&gt;'Operating Inputs'!$K$9)*MIN('Operating Inputs'!$K$10,1)*BY$109*BY$48,0)
+N("Lease-up concession if less than or equal to 2 months")
-IF(AND('Operating Inputs'!$K$8&lt;=2,BY$38&lt;'Operating Inputs'!$K$9,BZ$38&lt;&gt;(1-Vacancy)),MIN('Operating Inputs'!$K$8,1)*(AvgLeaseTermMarket/12)*BY48*OperBgt!BY35+('Operating Inputs'!$K$8-1)*(AvgLeaseTermMarket/12)*BX48*OperBgt!BX35,0)
+N("Stabilized concession if less than or equal to 1 month")
-IF(AND('Operating Inputs'!$K$10&lt;=1,BZ$38=(1-Vacancy),BY$5&lt;=(MonthStabilization+'Operating Inputs'!$K$11)),'Operating Inputs'!$K$10*(AvgLeaseTermMarket/12)*BY48*OperBgt!BY109,0)</f>
        <v>0</v>
      </c>
      <c r="CA63" s="1602">
        <f>N("Lease-up concession if greater than 2 months")
-IF('Operating Inputs'!$K$8&gt;2,(BX$38&lt;'Operating Inputs'!$K$9)*MAX('Operating Inputs'!$K$8-2,0)*BX$48*BX$35+(OperBgt!BY$38&lt;'Operating Inputs'!$K$9)*MIN('Operating Inputs'!$K$8-1,1)*BY$35*BY$48+(OperBgt!BZ$38&lt;'Operating Inputs'!$K$9)*MIN('Operating Inputs'!$K$8,1)*BZ$35*BZ$48,0)
+N("Stabilized concession if greater than 1 month")
-IF('Operating Inputs'!$K$10&gt;1,(BY$5&lt;=(MonthStabilization+'Operating Inputs'!$K$11))*(OperBgt!BY$38&gt;'Operating Inputs'!$K$9)*MIN('Operating Inputs'!$K$10-1,1)*BY$109*BY$48+(BZ$5&lt;=(MonthStabilization+'Operating Inputs'!$K$11))*(OperBgt!BZ$38&gt;'Operating Inputs'!$K$9)*MIN('Operating Inputs'!$K$10,1)*BZ$109*BZ$48,0)
+N("Lease-up concession if less than or equal to 2 months")
-IF(AND('Operating Inputs'!$K$8&lt;=2,BZ$38&lt;'Operating Inputs'!$K$9,CA$38&lt;&gt;(1-Vacancy)),MIN('Operating Inputs'!$K$8,1)*(AvgLeaseTermMarket/12)*BZ48*OperBgt!BZ35+('Operating Inputs'!$K$8-1)*(AvgLeaseTermMarket/12)*BY48*OperBgt!BY35,0)
+N("Stabilized concession if less than or equal to 1 month")
-IF(AND('Operating Inputs'!$K$10&lt;=1,CA$38=(1-Vacancy),BZ$5&lt;=(MonthStabilization+'Operating Inputs'!$K$11)),'Operating Inputs'!$K$10*(AvgLeaseTermMarket/12)*BZ48*OperBgt!BZ109,0)</f>
        <v>0</v>
      </c>
      <c r="CB63" s="1602">
        <f>N("Lease-up concession if greater than 2 months")
-IF('Operating Inputs'!$K$8&gt;2,(BY$38&lt;'Operating Inputs'!$K$9)*MAX('Operating Inputs'!$K$8-2,0)*BY$48*BY$35+(OperBgt!BZ$38&lt;'Operating Inputs'!$K$9)*MIN('Operating Inputs'!$K$8-1,1)*BZ$35*BZ$48+(OperBgt!CA$38&lt;'Operating Inputs'!$K$9)*MIN('Operating Inputs'!$K$8,1)*CA$35*CA$48,0)
+N("Stabilized concession if greater than 1 month")
-IF('Operating Inputs'!$K$10&gt;1,(BZ$5&lt;=(MonthStabilization+'Operating Inputs'!$K$11))*(OperBgt!BZ$38&gt;'Operating Inputs'!$K$9)*MIN('Operating Inputs'!$K$10-1,1)*BZ$109*BZ$48+(CA$5&lt;=(MonthStabilization+'Operating Inputs'!$K$11))*(OperBgt!CA$38&gt;'Operating Inputs'!$K$9)*MIN('Operating Inputs'!$K$10,1)*CA$109*CA$48,0)
+N("Lease-up concession if less than or equal to 2 months")
-IF(AND('Operating Inputs'!$K$8&lt;=2,CA$38&lt;'Operating Inputs'!$K$9,CB$38&lt;&gt;(1-Vacancy)),MIN('Operating Inputs'!$K$8,1)*(AvgLeaseTermMarket/12)*CA48*OperBgt!CA35+('Operating Inputs'!$K$8-1)*(AvgLeaseTermMarket/12)*BZ48*OperBgt!BZ35,0)
+N("Stabilized concession if less than or equal to 1 month")
-IF(AND('Operating Inputs'!$K$10&lt;=1,CB$38=(1-Vacancy),CA$5&lt;=(MonthStabilization+'Operating Inputs'!$K$11)),'Operating Inputs'!$K$10*(AvgLeaseTermMarket/12)*CA48*OperBgt!CA109,0)</f>
        <v>0</v>
      </c>
      <c r="CC63" s="1602">
        <f>N("Lease-up concession if greater than 2 months")
-IF('Operating Inputs'!$K$8&gt;2,(BZ$38&lt;'Operating Inputs'!$K$9)*MAX('Operating Inputs'!$K$8-2,0)*BZ$48*BZ$35+(OperBgt!CA$38&lt;'Operating Inputs'!$K$9)*MIN('Operating Inputs'!$K$8-1,1)*CA$35*CA$48+(OperBgt!CB$38&lt;'Operating Inputs'!$K$9)*MIN('Operating Inputs'!$K$8,1)*CB$35*CB$48,0)
+N("Stabilized concession if greater than 1 month")
-IF('Operating Inputs'!$K$10&gt;1,(CA$5&lt;=(MonthStabilization+'Operating Inputs'!$K$11))*(OperBgt!CA$38&gt;'Operating Inputs'!$K$9)*MIN('Operating Inputs'!$K$10-1,1)*CA$109*CA$48+(CB$5&lt;=(MonthStabilization+'Operating Inputs'!$K$11))*(OperBgt!CB$38&gt;'Operating Inputs'!$K$9)*MIN('Operating Inputs'!$K$10,1)*CB$109*CB$48,0)
+N("Lease-up concession if less than or equal to 2 months")
-IF(AND('Operating Inputs'!$K$8&lt;=2,CB$38&lt;'Operating Inputs'!$K$9,CC$38&lt;&gt;(1-Vacancy)),MIN('Operating Inputs'!$K$8,1)*(AvgLeaseTermMarket/12)*CB48*OperBgt!CB35+('Operating Inputs'!$K$8-1)*(AvgLeaseTermMarket/12)*CA48*OperBgt!CA35,0)
+N("Stabilized concession if less than or equal to 1 month")
-IF(AND('Operating Inputs'!$K$10&lt;=1,CC$38=(1-Vacancy),CB$5&lt;=(MonthStabilization+'Operating Inputs'!$K$11)),'Operating Inputs'!$K$10*(AvgLeaseTermMarket/12)*CB48*OperBgt!CB109,0)</f>
        <v>0</v>
      </c>
      <c r="CD63" s="1602">
        <f>N("Lease-up concession if greater than 2 months")
-IF('Operating Inputs'!$K$8&gt;2,(CA$38&lt;'Operating Inputs'!$K$9)*MAX('Operating Inputs'!$K$8-2,0)*CA$48*CA$35+(OperBgt!CB$38&lt;'Operating Inputs'!$K$9)*MIN('Operating Inputs'!$K$8-1,1)*CB$35*CB$48+(OperBgt!CC$38&lt;'Operating Inputs'!$K$9)*MIN('Operating Inputs'!$K$8,1)*CC$35*CC$48,0)
+N("Stabilized concession if greater than 1 month")
-IF('Operating Inputs'!$K$10&gt;1,(CB$5&lt;=(MonthStabilization+'Operating Inputs'!$K$11))*(OperBgt!CB$38&gt;'Operating Inputs'!$K$9)*MIN('Operating Inputs'!$K$10-1,1)*CB$109*CB$48+(CC$5&lt;=(MonthStabilization+'Operating Inputs'!$K$11))*(OperBgt!CC$38&gt;'Operating Inputs'!$K$9)*MIN('Operating Inputs'!$K$10,1)*CC$109*CC$48,0)
+N("Lease-up concession if less than or equal to 2 months")
-IF(AND('Operating Inputs'!$K$8&lt;=2,CC$38&lt;'Operating Inputs'!$K$9,CD$38&lt;&gt;(1-Vacancy)),MIN('Operating Inputs'!$K$8,1)*(AvgLeaseTermMarket/12)*CC48*OperBgt!CC35+('Operating Inputs'!$K$8-1)*(AvgLeaseTermMarket/12)*CB48*OperBgt!CB35,0)
+N("Stabilized concession if less than or equal to 1 month")
-IF(AND('Operating Inputs'!$K$10&lt;=1,CD$38=(1-Vacancy),CC$5&lt;=(MonthStabilization+'Operating Inputs'!$K$11)),'Operating Inputs'!$K$10*(AvgLeaseTermMarket/12)*CC48*OperBgt!CC109,0)</f>
        <v>0</v>
      </c>
      <c r="CE63" s="1602">
        <f>N("Lease-up concession if greater than 2 months")
-IF('Operating Inputs'!$K$8&gt;2,(CB$38&lt;'Operating Inputs'!$K$9)*MAX('Operating Inputs'!$K$8-2,0)*CB$48*CB$35+(OperBgt!CC$38&lt;'Operating Inputs'!$K$9)*MIN('Operating Inputs'!$K$8-1,1)*CC$35*CC$48+(OperBgt!CD$38&lt;'Operating Inputs'!$K$9)*MIN('Operating Inputs'!$K$8,1)*CD$35*CD$48,0)
+N("Stabilized concession if greater than 1 month")
-IF('Operating Inputs'!$K$10&gt;1,(CC$5&lt;=(MonthStabilization+'Operating Inputs'!$K$11))*(OperBgt!CC$38&gt;'Operating Inputs'!$K$9)*MIN('Operating Inputs'!$K$10-1,1)*CC$109*CC$48+(CD$5&lt;=(MonthStabilization+'Operating Inputs'!$K$11))*(OperBgt!CD$38&gt;'Operating Inputs'!$K$9)*MIN('Operating Inputs'!$K$10,1)*CD$109*CD$48,0)
+N("Lease-up concession if less than or equal to 2 months")
-IF(AND('Operating Inputs'!$K$8&lt;=2,CD$38&lt;'Operating Inputs'!$K$9,CE$38&lt;&gt;(1-Vacancy)),MIN('Operating Inputs'!$K$8,1)*(AvgLeaseTermMarket/12)*CD48*OperBgt!CD35+('Operating Inputs'!$K$8-1)*(AvgLeaseTermMarket/12)*CC48*OperBgt!CC35,0)
+N("Stabilized concession if less than or equal to 1 month")
-IF(AND('Operating Inputs'!$K$10&lt;=1,CE$38=(1-Vacancy),CD$5&lt;=(MonthStabilization+'Operating Inputs'!$K$11)),'Operating Inputs'!$K$10*(AvgLeaseTermMarket/12)*CD48*OperBgt!CD109,0)</f>
        <v>0</v>
      </c>
      <c r="CF63" s="1602">
        <f>N("Lease-up concession if greater than 2 months")
-IF('Operating Inputs'!$K$8&gt;2,(CC$38&lt;'Operating Inputs'!$K$9)*MAX('Operating Inputs'!$K$8-2,0)*CC$48*CC$35+(OperBgt!CD$38&lt;'Operating Inputs'!$K$9)*MIN('Operating Inputs'!$K$8-1,1)*CD$35*CD$48+(OperBgt!CE$38&lt;'Operating Inputs'!$K$9)*MIN('Operating Inputs'!$K$8,1)*CE$35*CE$48,0)
+N("Stabilized concession if greater than 1 month")
-IF('Operating Inputs'!$K$10&gt;1,(CD$5&lt;=(MonthStabilization+'Operating Inputs'!$K$11))*(OperBgt!CD$38&gt;'Operating Inputs'!$K$9)*MIN('Operating Inputs'!$K$10-1,1)*CD$109*CD$48+(CE$5&lt;=(MonthStabilization+'Operating Inputs'!$K$11))*(OperBgt!CE$38&gt;'Operating Inputs'!$K$9)*MIN('Operating Inputs'!$K$10,1)*CE$109*CE$48,0)
+N("Lease-up concession if less than or equal to 2 months")
-IF(AND('Operating Inputs'!$K$8&lt;=2,CE$38&lt;'Operating Inputs'!$K$9,CF$38&lt;&gt;(1-Vacancy)),MIN('Operating Inputs'!$K$8,1)*(AvgLeaseTermMarket/12)*CE48*OperBgt!CE35+('Operating Inputs'!$K$8-1)*(AvgLeaseTermMarket/12)*CD48*OperBgt!CD35,0)
+N("Stabilized concession if less than or equal to 1 month")
-IF(AND('Operating Inputs'!$K$10&lt;=1,CF$38=(1-Vacancy),CE$5&lt;=(MonthStabilization+'Operating Inputs'!$K$11)),'Operating Inputs'!$K$10*(AvgLeaseTermMarket/12)*CE48*OperBgt!CE109,0)</f>
        <v>0</v>
      </c>
      <c r="CG63" s="1602">
        <f>N("Lease-up concession if greater than 2 months")
-IF('Operating Inputs'!$K$8&gt;2,(CD$38&lt;'Operating Inputs'!$K$9)*MAX('Operating Inputs'!$K$8-2,0)*CD$48*CD$35+(OperBgt!CE$38&lt;'Operating Inputs'!$K$9)*MIN('Operating Inputs'!$K$8-1,1)*CE$35*CE$48+(OperBgt!CF$38&lt;'Operating Inputs'!$K$9)*MIN('Operating Inputs'!$K$8,1)*CF$35*CF$48,0)
+N("Stabilized concession if greater than 1 month")
-IF('Operating Inputs'!$K$10&gt;1,(CE$5&lt;=(MonthStabilization+'Operating Inputs'!$K$11))*(OperBgt!CE$38&gt;'Operating Inputs'!$K$9)*MIN('Operating Inputs'!$K$10-1,1)*CE$109*CE$48+(CF$5&lt;=(MonthStabilization+'Operating Inputs'!$K$11))*(OperBgt!CF$38&gt;'Operating Inputs'!$K$9)*MIN('Operating Inputs'!$K$10,1)*CF$109*CF$48,0)
+N("Lease-up concession if less than or equal to 2 months")
-IF(AND('Operating Inputs'!$K$8&lt;=2,CF$38&lt;'Operating Inputs'!$K$9,CG$38&lt;&gt;(1-Vacancy)),MIN('Operating Inputs'!$K$8,1)*(AvgLeaseTermMarket/12)*CF48*OperBgt!CF35+('Operating Inputs'!$K$8-1)*(AvgLeaseTermMarket/12)*CE48*OperBgt!CE35,0)
+N("Stabilized concession if less than or equal to 1 month")
-IF(AND('Operating Inputs'!$K$10&lt;=1,CG$38=(1-Vacancy),CF$5&lt;=(MonthStabilization+'Operating Inputs'!$K$11)),'Operating Inputs'!$K$10*(AvgLeaseTermMarket/12)*CF48*OperBgt!CF109,0)</f>
        <v>0</v>
      </c>
      <c r="CH63" s="1602">
        <f>N("Lease-up concession if greater than 2 months")
-IF('Operating Inputs'!$K$8&gt;2,(CE$38&lt;'Operating Inputs'!$K$9)*MAX('Operating Inputs'!$K$8-2,0)*CE$48*CE$35+(OperBgt!CF$38&lt;'Operating Inputs'!$K$9)*MIN('Operating Inputs'!$K$8-1,1)*CF$35*CF$48+(OperBgt!CG$38&lt;'Operating Inputs'!$K$9)*MIN('Operating Inputs'!$K$8,1)*CG$35*CG$48,0)
+N("Stabilized concession if greater than 1 month")
-IF('Operating Inputs'!$K$10&gt;1,(CF$5&lt;=(MonthStabilization+'Operating Inputs'!$K$11))*(OperBgt!CF$38&gt;'Operating Inputs'!$K$9)*MIN('Operating Inputs'!$K$10-1,1)*CF$109*CF$48+(CG$5&lt;=(MonthStabilization+'Operating Inputs'!$K$11))*(OperBgt!CG$38&gt;'Operating Inputs'!$K$9)*MIN('Operating Inputs'!$K$10,1)*CG$109*CG$48,0)
+N("Lease-up concession if less than or equal to 2 months")
-IF(AND('Operating Inputs'!$K$8&lt;=2,CG$38&lt;'Operating Inputs'!$K$9,CH$38&lt;&gt;(1-Vacancy)),MIN('Operating Inputs'!$K$8,1)*(AvgLeaseTermMarket/12)*CG48*OperBgt!CG35+('Operating Inputs'!$K$8-1)*(AvgLeaseTermMarket/12)*CF48*OperBgt!CF35,0)
+N("Stabilized concession if less than or equal to 1 month")
-IF(AND('Operating Inputs'!$K$10&lt;=1,CH$38=(1-Vacancy),CG$5&lt;=(MonthStabilization+'Operating Inputs'!$K$11)),'Operating Inputs'!$K$10*(AvgLeaseTermMarket/12)*CG48*OperBgt!CG109,0)</f>
        <v>0</v>
      </c>
      <c r="CI63" s="1602">
        <f>N("Lease-up concession if greater than 2 months")
-IF('Operating Inputs'!$K$8&gt;2,(CF$38&lt;'Operating Inputs'!$K$9)*MAX('Operating Inputs'!$K$8-2,0)*CF$48*CF$35+(OperBgt!CG$38&lt;'Operating Inputs'!$K$9)*MIN('Operating Inputs'!$K$8-1,1)*CG$35*CG$48+(OperBgt!CH$38&lt;'Operating Inputs'!$K$9)*MIN('Operating Inputs'!$K$8,1)*CH$35*CH$48,0)
+N("Stabilized concession if greater than 1 month")
-IF('Operating Inputs'!$K$10&gt;1,(CG$5&lt;=(MonthStabilization+'Operating Inputs'!$K$11))*(OperBgt!CG$38&gt;'Operating Inputs'!$K$9)*MIN('Operating Inputs'!$K$10-1,1)*CG$109*CG$48+(CH$5&lt;=(MonthStabilization+'Operating Inputs'!$K$11))*(OperBgt!CH$38&gt;'Operating Inputs'!$K$9)*MIN('Operating Inputs'!$K$10,1)*CH$109*CH$48,0)
+N("Lease-up concession if less than or equal to 2 months")
-IF(AND('Operating Inputs'!$K$8&lt;=2,CH$38&lt;'Operating Inputs'!$K$9,CI$38&lt;&gt;(1-Vacancy)),MIN('Operating Inputs'!$K$8,1)*(AvgLeaseTermMarket/12)*CH48*OperBgt!CH35+('Operating Inputs'!$K$8-1)*(AvgLeaseTermMarket/12)*CG48*OperBgt!CG35,0)
+N("Stabilized concession if less than or equal to 1 month")
-IF(AND('Operating Inputs'!$K$10&lt;=1,CI$38=(1-Vacancy),CH$5&lt;=(MonthStabilization+'Operating Inputs'!$K$11)),'Operating Inputs'!$K$10*(AvgLeaseTermMarket/12)*CH48*OperBgt!CH109,0)</f>
        <v>0</v>
      </c>
      <c r="CJ63" s="1602">
        <f>N("Lease-up concession if greater than 2 months")
-IF('Operating Inputs'!$K$8&gt;2,(CG$38&lt;'Operating Inputs'!$K$9)*MAX('Operating Inputs'!$K$8-2,0)*CG$48*CG$35+(OperBgt!CH$38&lt;'Operating Inputs'!$K$9)*MIN('Operating Inputs'!$K$8-1,1)*CH$35*CH$48+(OperBgt!CI$38&lt;'Operating Inputs'!$K$9)*MIN('Operating Inputs'!$K$8,1)*CI$35*CI$48,0)
+N("Stabilized concession if greater than 1 month")
-IF('Operating Inputs'!$K$10&gt;1,(CH$5&lt;=(MonthStabilization+'Operating Inputs'!$K$11))*(OperBgt!CH$38&gt;'Operating Inputs'!$K$9)*MIN('Operating Inputs'!$K$10-1,1)*CH$109*CH$48+(CI$5&lt;=(MonthStabilization+'Operating Inputs'!$K$11))*(OperBgt!CI$38&gt;'Operating Inputs'!$K$9)*MIN('Operating Inputs'!$K$10,1)*CI$109*CI$48,0)
+N("Lease-up concession if less than or equal to 2 months")
-IF(AND('Operating Inputs'!$K$8&lt;=2,CI$38&lt;'Operating Inputs'!$K$9,CJ$38&lt;&gt;(1-Vacancy)),MIN('Operating Inputs'!$K$8,1)*(AvgLeaseTermMarket/12)*CI48*OperBgt!CI35+('Operating Inputs'!$K$8-1)*(AvgLeaseTermMarket/12)*CH48*OperBgt!CH35,0)
+N("Stabilized concession if less than or equal to 1 month")
-IF(AND('Operating Inputs'!$K$10&lt;=1,CJ$38=(1-Vacancy),CI$5&lt;=(MonthStabilization+'Operating Inputs'!$K$11)),'Operating Inputs'!$K$10*(AvgLeaseTermMarket/12)*CI48*OperBgt!CI109,0)</f>
        <v>0</v>
      </c>
      <c r="CK63" s="1602">
        <f>N("Lease-up concession if greater than 2 months")
-IF('Operating Inputs'!$K$8&gt;2,(CH$38&lt;'Operating Inputs'!$K$9)*MAX('Operating Inputs'!$K$8-2,0)*CH$48*CH$35+(OperBgt!CI$38&lt;'Operating Inputs'!$K$9)*MIN('Operating Inputs'!$K$8-1,1)*CI$35*CI$48+(OperBgt!CJ$38&lt;'Operating Inputs'!$K$9)*MIN('Operating Inputs'!$K$8,1)*CJ$35*CJ$48,0)
+N("Stabilized concession if greater than 1 month")
-IF('Operating Inputs'!$K$10&gt;1,(CI$5&lt;=(MonthStabilization+'Operating Inputs'!$K$11))*(OperBgt!CI$38&gt;'Operating Inputs'!$K$9)*MIN('Operating Inputs'!$K$10-1,1)*CI$109*CI$48+(CJ$5&lt;=(MonthStabilization+'Operating Inputs'!$K$11))*(OperBgt!CJ$38&gt;'Operating Inputs'!$K$9)*MIN('Operating Inputs'!$K$10,1)*CJ$109*CJ$48,0)
+N("Lease-up concession if less than or equal to 2 months")
-IF(AND('Operating Inputs'!$K$8&lt;=2,CJ$38&lt;'Operating Inputs'!$K$9,CK$38&lt;&gt;(1-Vacancy)),MIN('Operating Inputs'!$K$8,1)*(AvgLeaseTermMarket/12)*CJ48*OperBgt!CJ35+('Operating Inputs'!$K$8-1)*(AvgLeaseTermMarket/12)*CI48*OperBgt!CI35,0)
+N("Stabilized concession if less than or equal to 1 month")
-IF(AND('Operating Inputs'!$K$10&lt;=1,CK$38=(1-Vacancy),CJ$5&lt;=(MonthStabilization+'Operating Inputs'!$K$11)),'Operating Inputs'!$K$10*(AvgLeaseTermMarket/12)*CJ48*OperBgt!CJ109,0)</f>
        <v>0</v>
      </c>
      <c r="CL63" s="1602">
        <f>N("Lease-up concession if greater than 2 months")
-IF('Operating Inputs'!$K$8&gt;2,(CI$38&lt;'Operating Inputs'!$K$9)*MAX('Operating Inputs'!$K$8-2,0)*CI$48*CI$35+(OperBgt!CJ$38&lt;'Operating Inputs'!$K$9)*MIN('Operating Inputs'!$K$8-1,1)*CJ$35*CJ$48+(OperBgt!CK$38&lt;'Operating Inputs'!$K$9)*MIN('Operating Inputs'!$K$8,1)*CK$35*CK$48,0)
+N("Stabilized concession if greater than 1 month")
-IF('Operating Inputs'!$K$10&gt;1,(CJ$5&lt;=(MonthStabilization+'Operating Inputs'!$K$11))*(OperBgt!CJ$38&gt;'Operating Inputs'!$K$9)*MIN('Operating Inputs'!$K$10-1,1)*CJ$109*CJ$48+(CK$5&lt;=(MonthStabilization+'Operating Inputs'!$K$11))*(OperBgt!CK$38&gt;'Operating Inputs'!$K$9)*MIN('Operating Inputs'!$K$10,1)*CK$109*CK$48,0)
+N("Lease-up concession if less than or equal to 2 months")
-IF(AND('Operating Inputs'!$K$8&lt;=2,CK$38&lt;'Operating Inputs'!$K$9,CL$38&lt;&gt;(1-Vacancy)),MIN('Operating Inputs'!$K$8,1)*(AvgLeaseTermMarket/12)*CK48*OperBgt!CK35+('Operating Inputs'!$K$8-1)*(AvgLeaseTermMarket/12)*CJ48*OperBgt!CJ35,0)
+N("Stabilized concession if less than or equal to 1 month")
-IF(AND('Operating Inputs'!$K$10&lt;=1,CL$38=(1-Vacancy),CK$5&lt;=(MonthStabilization+'Operating Inputs'!$K$11)),'Operating Inputs'!$K$10*(AvgLeaseTermMarket/12)*CK48*OperBgt!CK109,0)</f>
        <v>0</v>
      </c>
      <c r="CM63" s="1602">
        <f>N("Lease-up concession if greater than 2 months")
-IF('Operating Inputs'!$K$8&gt;2,(CJ$38&lt;'Operating Inputs'!$K$9)*MAX('Operating Inputs'!$K$8-2,0)*CJ$48*CJ$35+(OperBgt!CK$38&lt;'Operating Inputs'!$K$9)*MIN('Operating Inputs'!$K$8-1,1)*CK$35*CK$48+(OperBgt!CL$38&lt;'Operating Inputs'!$K$9)*MIN('Operating Inputs'!$K$8,1)*CL$35*CL$48,0)
+N("Stabilized concession if greater than 1 month")
-IF('Operating Inputs'!$K$10&gt;1,(CK$5&lt;=(MonthStabilization+'Operating Inputs'!$K$11))*(OperBgt!CK$38&gt;'Operating Inputs'!$K$9)*MIN('Operating Inputs'!$K$10-1,1)*CK$109*CK$48+(CL$5&lt;=(MonthStabilization+'Operating Inputs'!$K$11))*(OperBgt!CL$38&gt;'Operating Inputs'!$K$9)*MIN('Operating Inputs'!$K$10,1)*CL$109*CL$48,0)
+N("Lease-up concession if less than or equal to 2 months")
-IF(AND('Operating Inputs'!$K$8&lt;=2,CL$38&lt;'Operating Inputs'!$K$9,CM$38&lt;&gt;(1-Vacancy)),MIN('Operating Inputs'!$K$8,1)*(AvgLeaseTermMarket/12)*CL48*OperBgt!CL35+('Operating Inputs'!$K$8-1)*(AvgLeaseTermMarket/12)*CK48*OperBgt!CK35,0)
+N("Stabilized concession if less than or equal to 1 month")
-IF(AND('Operating Inputs'!$K$10&lt;=1,CM$38=(1-Vacancy),CL$5&lt;=(MonthStabilization+'Operating Inputs'!$K$11)),'Operating Inputs'!$K$10*(AvgLeaseTermMarket/12)*CL48*OperBgt!CL109,0)</f>
        <v>0</v>
      </c>
      <c r="CN63" s="1602">
        <f>N("Lease-up concession if greater than 2 months")
-IF('Operating Inputs'!$K$8&gt;2,(CK$38&lt;'Operating Inputs'!$K$9)*MAX('Operating Inputs'!$K$8-2,0)*CK$48*CK$35+(OperBgt!CL$38&lt;'Operating Inputs'!$K$9)*MIN('Operating Inputs'!$K$8-1,1)*CL$35*CL$48+(OperBgt!CM$38&lt;'Operating Inputs'!$K$9)*MIN('Operating Inputs'!$K$8,1)*CM$35*CM$48,0)
+N("Stabilized concession if greater than 1 month")
-IF('Operating Inputs'!$K$10&gt;1,(CL$5&lt;=(MonthStabilization+'Operating Inputs'!$K$11))*(OperBgt!CL$38&gt;'Operating Inputs'!$K$9)*MIN('Operating Inputs'!$K$10-1,1)*CL$109*CL$48+(CM$5&lt;=(MonthStabilization+'Operating Inputs'!$K$11))*(OperBgt!CM$38&gt;'Operating Inputs'!$K$9)*MIN('Operating Inputs'!$K$10,1)*CM$109*CM$48,0)
+N("Lease-up concession if less than or equal to 2 months")
-IF(AND('Operating Inputs'!$K$8&lt;=2,CM$38&lt;'Operating Inputs'!$K$9,CN$38&lt;&gt;(1-Vacancy)),MIN('Operating Inputs'!$K$8,1)*(AvgLeaseTermMarket/12)*CM48*OperBgt!CM35+('Operating Inputs'!$K$8-1)*(AvgLeaseTermMarket/12)*CL48*OperBgt!CL35,0)
+N("Stabilized concession if less than or equal to 1 month")
-IF(AND('Operating Inputs'!$K$10&lt;=1,CN$38=(1-Vacancy),CM$5&lt;=(MonthStabilization+'Operating Inputs'!$K$11)),'Operating Inputs'!$K$10*(AvgLeaseTermMarket/12)*CM48*OperBgt!CM109,0)</f>
        <v>0</v>
      </c>
      <c r="CO63" s="1602">
        <f>N("Lease-up concession if greater than 2 months")
-IF('Operating Inputs'!$K$8&gt;2,(CL$38&lt;'Operating Inputs'!$K$9)*MAX('Operating Inputs'!$K$8-2,0)*CL$48*CL$35+(OperBgt!CM$38&lt;'Operating Inputs'!$K$9)*MIN('Operating Inputs'!$K$8-1,1)*CM$35*CM$48+(OperBgt!CN$38&lt;'Operating Inputs'!$K$9)*MIN('Operating Inputs'!$K$8,1)*CN$35*CN$48,0)
+N("Stabilized concession if greater than 1 month")
-IF('Operating Inputs'!$K$10&gt;1,(CM$5&lt;=(MonthStabilization+'Operating Inputs'!$K$11))*(OperBgt!CM$38&gt;'Operating Inputs'!$K$9)*MIN('Operating Inputs'!$K$10-1,1)*CM$109*CM$48+(CN$5&lt;=(MonthStabilization+'Operating Inputs'!$K$11))*(OperBgt!CN$38&gt;'Operating Inputs'!$K$9)*MIN('Operating Inputs'!$K$10,1)*CN$109*CN$48,0)
+N("Lease-up concession if less than or equal to 2 months")
-IF(AND('Operating Inputs'!$K$8&lt;=2,CN$38&lt;'Operating Inputs'!$K$9,CO$38&lt;&gt;(1-Vacancy)),MIN('Operating Inputs'!$K$8,1)*(AvgLeaseTermMarket/12)*CN48*OperBgt!CN35+('Operating Inputs'!$K$8-1)*(AvgLeaseTermMarket/12)*CM48*OperBgt!CM35,0)
+N("Stabilized concession if less than or equal to 1 month")
-IF(AND('Operating Inputs'!$K$10&lt;=1,CO$38=(1-Vacancy),CN$5&lt;=(MonthStabilization+'Operating Inputs'!$K$11)),'Operating Inputs'!$K$10*(AvgLeaseTermMarket/12)*CN48*OperBgt!CN109,0)</f>
        <v>0</v>
      </c>
      <c r="CP63" s="1602">
        <f>N("Lease-up concession if greater than 2 months")
-IF('Operating Inputs'!$K$8&gt;2,(CM$38&lt;'Operating Inputs'!$K$9)*MAX('Operating Inputs'!$K$8-2,0)*CM$48*CM$35+(OperBgt!CN$38&lt;'Operating Inputs'!$K$9)*MIN('Operating Inputs'!$K$8-1,1)*CN$35*CN$48+(OperBgt!CO$38&lt;'Operating Inputs'!$K$9)*MIN('Operating Inputs'!$K$8,1)*CO$35*CO$48,0)
+N("Stabilized concession if greater than 1 month")
-IF('Operating Inputs'!$K$10&gt;1,(CN$5&lt;=(MonthStabilization+'Operating Inputs'!$K$11))*(OperBgt!CN$38&gt;'Operating Inputs'!$K$9)*MIN('Operating Inputs'!$K$10-1,1)*CN$109*CN$48+(CO$5&lt;=(MonthStabilization+'Operating Inputs'!$K$11))*(OperBgt!CO$38&gt;'Operating Inputs'!$K$9)*MIN('Operating Inputs'!$K$10,1)*CO$109*CO$48,0)
+N("Lease-up concession if less than or equal to 2 months")
-IF(AND('Operating Inputs'!$K$8&lt;=2,CO$38&lt;'Operating Inputs'!$K$9,CP$38&lt;&gt;(1-Vacancy)),MIN('Operating Inputs'!$K$8,1)*(AvgLeaseTermMarket/12)*CO48*OperBgt!CO35+('Operating Inputs'!$K$8-1)*(AvgLeaseTermMarket/12)*CN48*OperBgt!CN35,0)
+N("Stabilized concession if less than or equal to 1 month")
-IF(AND('Operating Inputs'!$K$10&lt;=1,CP$38=(1-Vacancy),CO$5&lt;=(MonthStabilization+'Operating Inputs'!$K$11)),'Operating Inputs'!$K$10*(AvgLeaseTermMarket/12)*CO48*OperBgt!CO109,0)</f>
        <v>0</v>
      </c>
      <c r="CQ63" s="1602">
        <f>N("Lease-up concession if greater than 2 months")
-IF('Operating Inputs'!$K$8&gt;2,(CN$38&lt;'Operating Inputs'!$K$9)*MAX('Operating Inputs'!$K$8-2,0)*CN$48*CN$35+(OperBgt!CO$38&lt;'Operating Inputs'!$K$9)*MIN('Operating Inputs'!$K$8-1,1)*CO$35*CO$48+(OperBgt!CP$38&lt;'Operating Inputs'!$K$9)*MIN('Operating Inputs'!$K$8,1)*CP$35*CP$48,0)
+N("Stabilized concession if greater than 1 month")
-IF('Operating Inputs'!$K$10&gt;1,(CO$5&lt;=(MonthStabilization+'Operating Inputs'!$K$11))*(OperBgt!CO$38&gt;'Operating Inputs'!$K$9)*MIN('Operating Inputs'!$K$10-1,1)*CO$109*CO$48+(CP$5&lt;=(MonthStabilization+'Operating Inputs'!$K$11))*(OperBgt!CP$38&gt;'Operating Inputs'!$K$9)*MIN('Operating Inputs'!$K$10,1)*CP$109*CP$48,0)
+N("Lease-up concession if less than or equal to 2 months")
-IF(AND('Operating Inputs'!$K$8&lt;=2,CP$38&lt;'Operating Inputs'!$K$9,CQ$38&lt;&gt;(1-Vacancy)),MIN('Operating Inputs'!$K$8,1)*(AvgLeaseTermMarket/12)*CP48*OperBgt!CP35+('Operating Inputs'!$K$8-1)*(AvgLeaseTermMarket/12)*CO48*OperBgt!CO35,0)
+N("Stabilized concession if less than or equal to 1 month")
-IF(AND('Operating Inputs'!$K$10&lt;=1,CQ$38=(1-Vacancy),CP$5&lt;=(MonthStabilization+'Operating Inputs'!$K$11)),'Operating Inputs'!$K$10*(AvgLeaseTermMarket/12)*CP48*OperBgt!CP109,0)</f>
        <v>0</v>
      </c>
      <c r="CR63" s="1602">
        <f>N("Lease-up concession if greater than 2 months")
-IF('Operating Inputs'!$K$8&gt;2,(CO$38&lt;'Operating Inputs'!$K$9)*MAX('Operating Inputs'!$K$8-2,0)*CO$48*CO$35+(OperBgt!CP$38&lt;'Operating Inputs'!$K$9)*MIN('Operating Inputs'!$K$8-1,1)*CP$35*CP$48+(OperBgt!CQ$38&lt;'Operating Inputs'!$K$9)*MIN('Operating Inputs'!$K$8,1)*CQ$35*CQ$48,0)
+N("Stabilized concession if greater than 1 month")
-IF('Operating Inputs'!$K$10&gt;1,(CP$5&lt;=(MonthStabilization+'Operating Inputs'!$K$11))*(OperBgt!CP$38&gt;'Operating Inputs'!$K$9)*MIN('Operating Inputs'!$K$10-1,1)*CP$109*CP$48+(CQ$5&lt;=(MonthStabilization+'Operating Inputs'!$K$11))*(OperBgt!CQ$38&gt;'Operating Inputs'!$K$9)*MIN('Operating Inputs'!$K$10,1)*CQ$109*CQ$48,0)
+N("Lease-up concession if less than or equal to 2 months")
-IF(AND('Operating Inputs'!$K$8&lt;=2,CQ$38&lt;'Operating Inputs'!$K$9,CR$38&lt;&gt;(1-Vacancy)),MIN('Operating Inputs'!$K$8,1)*(AvgLeaseTermMarket/12)*CQ48*OperBgt!CQ35+('Operating Inputs'!$K$8-1)*(AvgLeaseTermMarket/12)*CP48*OperBgt!CP35,0)
+N("Stabilized concession if less than or equal to 1 month")
-IF(AND('Operating Inputs'!$K$10&lt;=1,CR$38=(1-Vacancy),CQ$5&lt;=(MonthStabilization+'Operating Inputs'!$K$11)),'Operating Inputs'!$K$10*(AvgLeaseTermMarket/12)*CQ48*OperBgt!CQ109,0)</f>
        <v>0</v>
      </c>
      <c r="CS63" s="1602">
        <f>N("Lease-up concession if greater than 2 months")
-IF('Operating Inputs'!$K$8&gt;2,(CP$38&lt;'Operating Inputs'!$K$9)*MAX('Operating Inputs'!$K$8-2,0)*CP$48*CP$35+(OperBgt!CQ$38&lt;'Operating Inputs'!$K$9)*MIN('Operating Inputs'!$K$8-1,1)*CQ$35*CQ$48+(OperBgt!CR$38&lt;'Operating Inputs'!$K$9)*MIN('Operating Inputs'!$K$8,1)*CR$35*CR$48,0)
+N("Stabilized concession if greater than 1 month")
-IF('Operating Inputs'!$K$10&gt;1,(CQ$5&lt;=(MonthStabilization+'Operating Inputs'!$K$11))*(OperBgt!CQ$38&gt;'Operating Inputs'!$K$9)*MIN('Operating Inputs'!$K$10-1,1)*CQ$109*CQ$48+(CR$5&lt;=(MonthStabilization+'Operating Inputs'!$K$11))*(OperBgt!CR$38&gt;'Operating Inputs'!$K$9)*MIN('Operating Inputs'!$K$10,1)*CR$109*CR$48,0)
+N("Lease-up concession if less than or equal to 2 months")
-IF(AND('Operating Inputs'!$K$8&lt;=2,CR$38&lt;'Operating Inputs'!$K$9,CS$38&lt;&gt;(1-Vacancy)),MIN('Operating Inputs'!$K$8,1)*(AvgLeaseTermMarket/12)*CR48*OperBgt!CR35+('Operating Inputs'!$K$8-1)*(AvgLeaseTermMarket/12)*CQ48*OperBgt!CQ35,0)
+N("Stabilized concession if less than or equal to 1 month")
-IF(AND('Operating Inputs'!$K$10&lt;=1,CS$38=(1-Vacancy),CR$5&lt;=(MonthStabilization+'Operating Inputs'!$K$11)),'Operating Inputs'!$K$10*(AvgLeaseTermMarket/12)*CR48*OperBgt!CR109,0)</f>
        <v>0</v>
      </c>
      <c r="CT63" s="1602">
        <f>N("Lease-up concession if greater than 2 months")
-IF('Operating Inputs'!$K$8&gt;2,(CQ$38&lt;'Operating Inputs'!$K$9)*MAX('Operating Inputs'!$K$8-2,0)*CQ$48*CQ$35+(OperBgt!CR$38&lt;'Operating Inputs'!$K$9)*MIN('Operating Inputs'!$K$8-1,1)*CR$35*CR$48+(OperBgt!CS$38&lt;'Operating Inputs'!$K$9)*MIN('Operating Inputs'!$K$8,1)*CS$35*CS$48,0)
+N("Stabilized concession if greater than 1 month")
-IF('Operating Inputs'!$K$10&gt;1,(CR$5&lt;=(MonthStabilization+'Operating Inputs'!$K$11))*(OperBgt!CR$38&gt;'Operating Inputs'!$K$9)*MIN('Operating Inputs'!$K$10-1,1)*CR$109*CR$48+(CS$5&lt;=(MonthStabilization+'Operating Inputs'!$K$11))*(OperBgt!CS$38&gt;'Operating Inputs'!$K$9)*MIN('Operating Inputs'!$K$10,1)*CS$109*CS$48,0)
+N("Lease-up concession if less than or equal to 2 months")
-IF(AND('Operating Inputs'!$K$8&lt;=2,CS$38&lt;'Operating Inputs'!$K$9,CT$38&lt;&gt;(1-Vacancy)),MIN('Operating Inputs'!$K$8,1)*(AvgLeaseTermMarket/12)*CS48*OperBgt!CS35+('Operating Inputs'!$K$8-1)*(AvgLeaseTermMarket/12)*CR48*OperBgt!CR35,0)
+N("Stabilized concession if less than or equal to 1 month")
-IF(AND('Operating Inputs'!$K$10&lt;=1,CT$38=(1-Vacancy),CS$5&lt;=(MonthStabilization+'Operating Inputs'!$K$11)),'Operating Inputs'!$K$10*(AvgLeaseTermMarket/12)*CS48*OperBgt!CS109,0)</f>
        <v>0</v>
      </c>
      <c r="CU63" s="1602">
        <f>N("Lease-up concession if greater than 2 months")
-IF('Operating Inputs'!$K$8&gt;2,(CR$38&lt;'Operating Inputs'!$K$9)*MAX('Operating Inputs'!$K$8-2,0)*CR$48*CR$35+(OperBgt!CS$38&lt;'Operating Inputs'!$K$9)*MIN('Operating Inputs'!$K$8-1,1)*CS$35*CS$48+(OperBgt!CT$38&lt;'Operating Inputs'!$K$9)*MIN('Operating Inputs'!$K$8,1)*CT$35*CT$48,0)
+N("Stabilized concession if greater than 1 month")
-IF('Operating Inputs'!$K$10&gt;1,(CS$5&lt;=(MonthStabilization+'Operating Inputs'!$K$11))*(OperBgt!CS$38&gt;'Operating Inputs'!$K$9)*MIN('Operating Inputs'!$K$10-1,1)*CS$109*CS$48+(CT$5&lt;=(MonthStabilization+'Operating Inputs'!$K$11))*(OperBgt!CT$38&gt;'Operating Inputs'!$K$9)*MIN('Operating Inputs'!$K$10,1)*CT$109*CT$48,0)
+N("Lease-up concession if less than or equal to 2 months")
-IF(AND('Operating Inputs'!$K$8&lt;=2,CT$38&lt;'Operating Inputs'!$K$9,CU$38&lt;&gt;(1-Vacancy)),MIN('Operating Inputs'!$K$8,1)*(AvgLeaseTermMarket/12)*CT48*OperBgt!CT35+('Operating Inputs'!$K$8-1)*(AvgLeaseTermMarket/12)*CS48*OperBgt!CS35,0)
+N("Stabilized concession if less than or equal to 1 month")
-IF(AND('Operating Inputs'!$K$10&lt;=1,CU$38=(1-Vacancy),CT$5&lt;=(MonthStabilization+'Operating Inputs'!$K$11)),'Operating Inputs'!$K$10*(AvgLeaseTermMarket/12)*CT48*OperBgt!CT109,0)</f>
        <v>0</v>
      </c>
      <c r="CV63" s="1602">
        <f>N("Lease-up concession if greater than 2 months")
-IF('Operating Inputs'!$K$8&gt;2,(CS$38&lt;'Operating Inputs'!$K$9)*MAX('Operating Inputs'!$K$8-2,0)*CS$48*CS$35+(OperBgt!CT$38&lt;'Operating Inputs'!$K$9)*MIN('Operating Inputs'!$K$8-1,1)*CT$35*CT$48+(OperBgt!CU$38&lt;'Operating Inputs'!$K$9)*MIN('Operating Inputs'!$K$8,1)*CU$35*CU$48,0)
+N("Stabilized concession if greater than 1 month")
-IF('Operating Inputs'!$K$10&gt;1,(CT$5&lt;=(MonthStabilization+'Operating Inputs'!$K$11))*(OperBgt!CT$38&gt;'Operating Inputs'!$K$9)*MIN('Operating Inputs'!$K$10-1,1)*CT$109*CT$48+(CU$5&lt;=(MonthStabilization+'Operating Inputs'!$K$11))*(OperBgt!CU$38&gt;'Operating Inputs'!$K$9)*MIN('Operating Inputs'!$K$10,1)*CU$109*CU$48,0)
+N("Lease-up concession if less than or equal to 2 months")
-IF(AND('Operating Inputs'!$K$8&lt;=2,CU$38&lt;'Operating Inputs'!$K$9,CV$38&lt;&gt;(1-Vacancy)),MIN('Operating Inputs'!$K$8,1)*(AvgLeaseTermMarket/12)*CU48*OperBgt!CU35+('Operating Inputs'!$K$8-1)*(AvgLeaseTermMarket/12)*CT48*OperBgt!CT35,0)
+N("Stabilized concession if less than or equal to 1 month")
-IF(AND('Operating Inputs'!$K$10&lt;=1,CV$38=(1-Vacancy),CU$5&lt;=(MonthStabilization+'Operating Inputs'!$K$11)),'Operating Inputs'!$K$10*(AvgLeaseTermMarket/12)*CU48*OperBgt!CU109,0)</f>
        <v>0</v>
      </c>
      <c r="CW63" s="1602">
        <f>N("Lease-up concession if greater than 2 months")
-IF('Operating Inputs'!$K$8&gt;2,(CT$38&lt;'Operating Inputs'!$K$9)*MAX('Operating Inputs'!$K$8-2,0)*CT$48*CT$35+(OperBgt!CU$38&lt;'Operating Inputs'!$K$9)*MIN('Operating Inputs'!$K$8-1,1)*CU$35*CU$48+(OperBgt!CV$38&lt;'Operating Inputs'!$K$9)*MIN('Operating Inputs'!$K$8,1)*CV$35*CV$48,0)
+N("Stabilized concession if greater than 1 month")
-IF('Operating Inputs'!$K$10&gt;1,(CU$5&lt;=(MonthStabilization+'Operating Inputs'!$K$11))*(OperBgt!CU$38&gt;'Operating Inputs'!$K$9)*MIN('Operating Inputs'!$K$10-1,1)*CU$109*CU$48+(CV$5&lt;=(MonthStabilization+'Operating Inputs'!$K$11))*(OperBgt!CV$38&gt;'Operating Inputs'!$K$9)*MIN('Operating Inputs'!$K$10,1)*CV$109*CV$48,0)
+N("Lease-up concession if less than or equal to 2 months")
-IF(AND('Operating Inputs'!$K$8&lt;=2,CV$38&lt;'Operating Inputs'!$K$9,CW$38&lt;&gt;(1-Vacancy)),MIN('Operating Inputs'!$K$8,1)*(AvgLeaseTermMarket/12)*CV48*OperBgt!CV35+('Operating Inputs'!$K$8-1)*(AvgLeaseTermMarket/12)*CU48*OperBgt!CU35,0)
+N("Stabilized concession if less than or equal to 1 month")
-IF(AND('Operating Inputs'!$K$10&lt;=1,CW$38=(1-Vacancy),CV$5&lt;=(MonthStabilization+'Operating Inputs'!$K$11)),'Operating Inputs'!$K$10*(AvgLeaseTermMarket/12)*CV48*OperBgt!CV109,0)</f>
        <v>0</v>
      </c>
      <c r="CX63" s="1602">
        <f>N("Lease-up concession if greater than 2 months")
-IF('Operating Inputs'!$K$8&gt;2,(CU$38&lt;'Operating Inputs'!$K$9)*MAX('Operating Inputs'!$K$8-2,0)*CU$48*CU$35+(OperBgt!CV$38&lt;'Operating Inputs'!$K$9)*MIN('Operating Inputs'!$K$8-1,1)*CV$35*CV$48+(OperBgt!CW$38&lt;'Operating Inputs'!$K$9)*MIN('Operating Inputs'!$K$8,1)*CW$35*CW$48,0)
+N("Stabilized concession if greater than 1 month")
-IF('Operating Inputs'!$K$10&gt;1,(CV$5&lt;=(MonthStabilization+'Operating Inputs'!$K$11))*(OperBgt!CV$38&gt;'Operating Inputs'!$K$9)*MIN('Operating Inputs'!$K$10-1,1)*CV$109*CV$48+(CW$5&lt;=(MonthStabilization+'Operating Inputs'!$K$11))*(OperBgt!CW$38&gt;'Operating Inputs'!$K$9)*MIN('Operating Inputs'!$K$10,1)*CW$109*CW$48,0)
+N("Lease-up concession if less than or equal to 2 months")
-IF(AND('Operating Inputs'!$K$8&lt;=2,CW$38&lt;'Operating Inputs'!$K$9,CX$38&lt;&gt;(1-Vacancy)),MIN('Operating Inputs'!$K$8,1)*(AvgLeaseTermMarket/12)*CW48*OperBgt!CW35+('Operating Inputs'!$K$8-1)*(AvgLeaseTermMarket/12)*CV48*OperBgt!CV35,0)
+N("Stabilized concession if less than or equal to 1 month")
-IF(AND('Operating Inputs'!$K$10&lt;=1,CX$38=(1-Vacancy),CW$5&lt;=(MonthStabilization+'Operating Inputs'!$K$11)),'Operating Inputs'!$K$10*(AvgLeaseTermMarket/12)*CW48*OperBgt!CW109,0)</f>
        <v>0</v>
      </c>
      <c r="CY63" s="1602">
        <f>N("Lease-up concession if greater than 2 months")
-IF('Operating Inputs'!$K$8&gt;2,(CV$38&lt;'Operating Inputs'!$K$9)*MAX('Operating Inputs'!$K$8-2,0)*CV$48*CV$35+(OperBgt!CW$38&lt;'Operating Inputs'!$K$9)*MIN('Operating Inputs'!$K$8-1,1)*CW$35*CW$48+(OperBgt!CX$38&lt;'Operating Inputs'!$K$9)*MIN('Operating Inputs'!$K$8,1)*CX$35*CX$48,0)
+N("Stabilized concession if greater than 1 month")
-IF('Operating Inputs'!$K$10&gt;1,(CW$5&lt;=(MonthStabilization+'Operating Inputs'!$K$11))*(OperBgt!CW$38&gt;'Operating Inputs'!$K$9)*MIN('Operating Inputs'!$K$10-1,1)*CW$109*CW$48+(CX$5&lt;=(MonthStabilization+'Operating Inputs'!$K$11))*(OperBgt!CX$38&gt;'Operating Inputs'!$K$9)*MIN('Operating Inputs'!$K$10,1)*CX$109*CX$48,0)
+N("Lease-up concession if less than or equal to 2 months")
-IF(AND('Operating Inputs'!$K$8&lt;=2,CX$38&lt;'Operating Inputs'!$K$9,CY$38&lt;&gt;(1-Vacancy)),MIN('Operating Inputs'!$K$8,1)*(AvgLeaseTermMarket/12)*CX48*OperBgt!CX35+('Operating Inputs'!$K$8-1)*(AvgLeaseTermMarket/12)*CW48*OperBgt!CW35,0)
+N("Stabilized concession if less than or equal to 1 month")
-IF(AND('Operating Inputs'!$K$10&lt;=1,CY$38=(1-Vacancy),CX$5&lt;=(MonthStabilization+'Operating Inputs'!$K$11)),'Operating Inputs'!$K$10*(AvgLeaseTermMarket/12)*CX48*OperBgt!CX109,0)</f>
        <v>0</v>
      </c>
      <c r="CZ63" s="1602">
        <f>N("Lease-up concession if greater than 2 months")
-IF('Operating Inputs'!$K$8&gt;2,(CW$38&lt;'Operating Inputs'!$K$9)*MAX('Operating Inputs'!$K$8-2,0)*CW$48*CW$35+(OperBgt!CX$38&lt;'Operating Inputs'!$K$9)*MIN('Operating Inputs'!$K$8-1,1)*CX$35*CX$48+(OperBgt!CY$38&lt;'Operating Inputs'!$K$9)*MIN('Operating Inputs'!$K$8,1)*CY$35*CY$48,0)
+N("Stabilized concession if greater than 1 month")
-IF('Operating Inputs'!$K$10&gt;1,(CX$5&lt;=(MonthStabilization+'Operating Inputs'!$K$11))*(OperBgt!CX$38&gt;'Operating Inputs'!$K$9)*MIN('Operating Inputs'!$K$10-1,1)*CX$109*CX$48+(CY$5&lt;=(MonthStabilization+'Operating Inputs'!$K$11))*(OperBgt!CY$38&gt;'Operating Inputs'!$K$9)*MIN('Operating Inputs'!$K$10,1)*CY$109*CY$48,0)
+N("Lease-up concession if less than or equal to 2 months")
-IF(AND('Operating Inputs'!$K$8&lt;=2,CY$38&lt;'Operating Inputs'!$K$9,CZ$38&lt;&gt;(1-Vacancy)),MIN('Operating Inputs'!$K$8,1)*(AvgLeaseTermMarket/12)*CY48*OperBgt!CY35+('Operating Inputs'!$K$8-1)*(AvgLeaseTermMarket/12)*CX48*OperBgt!CX35,0)
+N("Stabilized concession if less than or equal to 1 month")
-IF(AND('Operating Inputs'!$K$10&lt;=1,CZ$38=(1-Vacancy),CY$5&lt;=(MonthStabilization+'Operating Inputs'!$K$11)),'Operating Inputs'!$K$10*(AvgLeaseTermMarket/12)*CY48*OperBgt!CY109,0)</f>
        <v>0</v>
      </c>
      <c r="DA63" s="1602">
        <f>N("Lease-up concession if greater than 2 months")
-IF('Operating Inputs'!$K$8&gt;2,(CX$38&lt;'Operating Inputs'!$K$9)*MAX('Operating Inputs'!$K$8-2,0)*CX$48*CX$35+(OperBgt!CY$38&lt;'Operating Inputs'!$K$9)*MIN('Operating Inputs'!$K$8-1,1)*CY$35*CY$48+(OperBgt!CZ$38&lt;'Operating Inputs'!$K$9)*MIN('Operating Inputs'!$K$8,1)*CZ$35*CZ$48,0)
+N("Stabilized concession if greater than 1 month")
-IF('Operating Inputs'!$K$10&gt;1,(CY$5&lt;=(MonthStabilization+'Operating Inputs'!$K$11))*(OperBgt!CY$38&gt;'Operating Inputs'!$K$9)*MIN('Operating Inputs'!$K$10-1,1)*CY$109*CY$48+(CZ$5&lt;=(MonthStabilization+'Operating Inputs'!$K$11))*(OperBgt!CZ$38&gt;'Operating Inputs'!$K$9)*MIN('Operating Inputs'!$K$10,1)*CZ$109*CZ$48,0)
+N("Lease-up concession if less than or equal to 2 months")
-IF(AND('Operating Inputs'!$K$8&lt;=2,CZ$38&lt;'Operating Inputs'!$K$9,DA$38&lt;&gt;(1-Vacancy)),MIN('Operating Inputs'!$K$8,1)*(AvgLeaseTermMarket/12)*CZ48*OperBgt!CZ35+('Operating Inputs'!$K$8-1)*(AvgLeaseTermMarket/12)*CY48*OperBgt!CY35,0)
+N("Stabilized concession if less than or equal to 1 month")
-IF(AND('Operating Inputs'!$K$10&lt;=1,DA$38=(1-Vacancy),CZ$5&lt;=(MonthStabilization+'Operating Inputs'!$K$11)),'Operating Inputs'!$K$10*(AvgLeaseTermMarket/12)*CZ48*OperBgt!CZ109,0)</f>
        <v>0</v>
      </c>
      <c r="DB63" s="1602">
        <f>N("Lease-up concession if greater than 2 months")
-IF('Operating Inputs'!$K$8&gt;2,(CY$38&lt;'Operating Inputs'!$K$9)*MAX('Operating Inputs'!$K$8-2,0)*CY$48*CY$35+(OperBgt!CZ$38&lt;'Operating Inputs'!$K$9)*MIN('Operating Inputs'!$K$8-1,1)*CZ$35*CZ$48+(OperBgt!DA$38&lt;'Operating Inputs'!$K$9)*MIN('Operating Inputs'!$K$8,1)*DA$35*DA$48,0)
+N("Stabilized concession if greater than 1 month")
-IF('Operating Inputs'!$K$10&gt;1,(CZ$5&lt;=(MonthStabilization+'Operating Inputs'!$K$11))*(OperBgt!CZ$38&gt;'Operating Inputs'!$K$9)*MIN('Operating Inputs'!$K$10-1,1)*CZ$109*CZ$48+(DA$5&lt;=(MonthStabilization+'Operating Inputs'!$K$11))*(OperBgt!DA$38&gt;'Operating Inputs'!$K$9)*MIN('Operating Inputs'!$K$10,1)*DA$109*DA$48,0)
+N("Lease-up concession if less than or equal to 2 months")
-IF(AND('Operating Inputs'!$K$8&lt;=2,DA$38&lt;'Operating Inputs'!$K$9,DB$38&lt;&gt;(1-Vacancy)),MIN('Operating Inputs'!$K$8,1)*(AvgLeaseTermMarket/12)*DA48*OperBgt!DA35+('Operating Inputs'!$K$8-1)*(AvgLeaseTermMarket/12)*CZ48*OperBgt!CZ35,0)
+N("Stabilized concession if less than or equal to 1 month")
-IF(AND('Operating Inputs'!$K$10&lt;=1,DB$38=(1-Vacancy),DA$5&lt;=(MonthStabilization+'Operating Inputs'!$K$11)),'Operating Inputs'!$K$10*(AvgLeaseTermMarket/12)*DA48*OperBgt!DA109,0)</f>
        <v>0</v>
      </c>
      <c r="DC63" s="1602">
        <f>N("Lease-up concession if greater than 2 months")
-IF('Operating Inputs'!$K$8&gt;2,(CZ$38&lt;'Operating Inputs'!$K$9)*MAX('Operating Inputs'!$K$8-2,0)*CZ$48*CZ$35+(OperBgt!DA$38&lt;'Operating Inputs'!$K$9)*MIN('Operating Inputs'!$K$8-1,1)*DA$35*DA$48+(OperBgt!DB$38&lt;'Operating Inputs'!$K$9)*MIN('Operating Inputs'!$K$8,1)*DB$35*DB$48,0)
+N("Stabilized concession if greater than 1 month")
-IF('Operating Inputs'!$K$10&gt;1,(DA$5&lt;=(MonthStabilization+'Operating Inputs'!$K$11))*(OperBgt!DA$38&gt;'Operating Inputs'!$K$9)*MIN('Operating Inputs'!$K$10-1,1)*DA$109*DA$48+(DB$5&lt;=(MonthStabilization+'Operating Inputs'!$K$11))*(OperBgt!DB$38&gt;'Operating Inputs'!$K$9)*MIN('Operating Inputs'!$K$10,1)*DB$109*DB$48,0)
+N("Lease-up concession if less than or equal to 2 months")
-IF(AND('Operating Inputs'!$K$8&lt;=2,DB$38&lt;'Operating Inputs'!$K$9,DC$38&lt;&gt;(1-Vacancy)),MIN('Operating Inputs'!$K$8,1)*(AvgLeaseTermMarket/12)*DB48*OperBgt!DB35+('Operating Inputs'!$K$8-1)*(AvgLeaseTermMarket/12)*DA48*OperBgt!DA35,0)
+N("Stabilized concession if less than or equal to 1 month")
-IF(AND('Operating Inputs'!$K$10&lt;=1,DC$38=(1-Vacancy),DB$5&lt;=(MonthStabilization+'Operating Inputs'!$K$11)),'Operating Inputs'!$K$10*(AvgLeaseTermMarket/12)*DB48*OperBgt!DB109,0)</f>
        <v>0</v>
      </c>
      <c r="DD63" s="1602">
        <f>N("Lease-up concession if greater than 2 months")
-IF('Operating Inputs'!$K$8&gt;2,(DA$38&lt;'Operating Inputs'!$K$9)*MAX('Operating Inputs'!$K$8-2,0)*DA$48*DA$35+(OperBgt!DB$38&lt;'Operating Inputs'!$K$9)*MIN('Operating Inputs'!$K$8-1,1)*DB$35*DB$48+(OperBgt!DC$38&lt;'Operating Inputs'!$K$9)*MIN('Operating Inputs'!$K$8,1)*DC$35*DC$48,0)
+N("Stabilized concession if greater than 1 month")
-IF('Operating Inputs'!$K$10&gt;1,(DB$5&lt;=(MonthStabilization+'Operating Inputs'!$K$11))*(OperBgt!DB$38&gt;'Operating Inputs'!$K$9)*MIN('Operating Inputs'!$K$10-1,1)*DB$109*DB$48+(DC$5&lt;=(MonthStabilization+'Operating Inputs'!$K$11))*(OperBgt!DC$38&gt;'Operating Inputs'!$K$9)*MIN('Operating Inputs'!$K$10,1)*DC$109*DC$48,0)
+N("Lease-up concession if less than or equal to 2 months")
-IF(AND('Operating Inputs'!$K$8&lt;=2,DC$38&lt;'Operating Inputs'!$K$9,DD$38&lt;&gt;(1-Vacancy)),MIN('Operating Inputs'!$K$8,1)*(AvgLeaseTermMarket/12)*DC48*OperBgt!DC35+('Operating Inputs'!$K$8-1)*(AvgLeaseTermMarket/12)*DB48*OperBgt!DB35,0)
+N("Stabilized concession if less than or equal to 1 month")
-IF(AND('Operating Inputs'!$K$10&lt;=1,DD$38=(1-Vacancy),DC$5&lt;=(MonthStabilization+'Operating Inputs'!$K$11)),'Operating Inputs'!$K$10*(AvgLeaseTermMarket/12)*DC48*OperBgt!DC109,0)</f>
        <v>0</v>
      </c>
      <c r="DE63" s="1602">
        <f>N("Lease-up concession if greater than 2 months")
-IF('Operating Inputs'!$K$8&gt;2,(DB$38&lt;'Operating Inputs'!$K$9)*MAX('Operating Inputs'!$K$8-2,0)*DB$48*DB$35+(OperBgt!DC$38&lt;'Operating Inputs'!$K$9)*MIN('Operating Inputs'!$K$8-1,1)*DC$35*DC$48+(OperBgt!DD$38&lt;'Operating Inputs'!$K$9)*MIN('Operating Inputs'!$K$8,1)*DD$35*DD$48,0)
+N("Stabilized concession if greater than 1 month")
-IF('Operating Inputs'!$K$10&gt;1,(DC$5&lt;=(MonthStabilization+'Operating Inputs'!$K$11))*(OperBgt!DC$38&gt;'Operating Inputs'!$K$9)*MIN('Operating Inputs'!$K$10-1,1)*DC$109*DC$48+(DD$5&lt;=(MonthStabilization+'Operating Inputs'!$K$11))*(OperBgt!DD$38&gt;'Operating Inputs'!$K$9)*MIN('Operating Inputs'!$K$10,1)*DD$109*DD$48,0)
+N("Lease-up concession if less than or equal to 2 months")
-IF(AND('Operating Inputs'!$K$8&lt;=2,DD$38&lt;'Operating Inputs'!$K$9,DE$38&lt;&gt;(1-Vacancy)),MIN('Operating Inputs'!$K$8,1)*(AvgLeaseTermMarket/12)*DD48*OperBgt!DD35+('Operating Inputs'!$K$8-1)*(AvgLeaseTermMarket/12)*DC48*OperBgt!DC35,0)
+N("Stabilized concession if less than or equal to 1 month")
-IF(AND('Operating Inputs'!$K$10&lt;=1,DE$38=(1-Vacancy),DD$5&lt;=(MonthStabilization+'Operating Inputs'!$K$11)),'Operating Inputs'!$K$10*(AvgLeaseTermMarket/12)*DD48*OperBgt!DD109,0)</f>
        <v>0</v>
      </c>
      <c r="DF63" s="1602">
        <f>N("Lease-up concession if greater than 2 months")
-IF('Operating Inputs'!$K$8&gt;2,(DC$38&lt;'Operating Inputs'!$K$9)*MAX('Operating Inputs'!$K$8-2,0)*DC$48*DC$35+(OperBgt!DD$38&lt;'Operating Inputs'!$K$9)*MIN('Operating Inputs'!$K$8-1,1)*DD$35*DD$48+(OperBgt!DE$38&lt;'Operating Inputs'!$K$9)*MIN('Operating Inputs'!$K$8,1)*DE$35*DE$48,0)
+N("Stabilized concession if greater than 1 month")
-IF('Operating Inputs'!$K$10&gt;1,(DD$5&lt;=(MonthStabilization+'Operating Inputs'!$K$11))*(OperBgt!DD$38&gt;'Operating Inputs'!$K$9)*MIN('Operating Inputs'!$K$10-1,1)*DD$109*DD$48+(DE$5&lt;=(MonthStabilization+'Operating Inputs'!$K$11))*(OperBgt!DE$38&gt;'Operating Inputs'!$K$9)*MIN('Operating Inputs'!$K$10,1)*DE$109*DE$48,0)
+N("Lease-up concession if less than or equal to 2 months")
-IF(AND('Operating Inputs'!$K$8&lt;=2,DE$38&lt;'Operating Inputs'!$K$9,DF$38&lt;&gt;(1-Vacancy)),MIN('Operating Inputs'!$K$8,1)*(AvgLeaseTermMarket/12)*DE48*OperBgt!DE35+('Operating Inputs'!$K$8-1)*(AvgLeaseTermMarket/12)*DD48*OperBgt!DD35,0)
+N("Stabilized concession if less than or equal to 1 month")
-IF(AND('Operating Inputs'!$K$10&lt;=1,DF$38=(1-Vacancy),DE$5&lt;=(MonthStabilization+'Operating Inputs'!$K$11)),'Operating Inputs'!$K$10*(AvgLeaseTermMarket/12)*DE48*OperBgt!DE109,0)</f>
        <v>0</v>
      </c>
      <c r="DG63" s="1602">
        <f>N("Lease-up concession if greater than 2 months")
-IF('Operating Inputs'!$K$8&gt;2,(DD$38&lt;'Operating Inputs'!$K$9)*MAX('Operating Inputs'!$K$8-2,0)*DD$48*DD$35+(OperBgt!DE$38&lt;'Operating Inputs'!$K$9)*MIN('Operating Inputs'!$K$8-1,1)*DE$35*DE$48+(OperBgt!DF$38&lt;'Operating Inputs'!$K$9)*MIN('Operating Inputs'!$K$8,1)*DF$35*DF$48,0)
+N("Stabilized concession if greater than 1 month")
-IF('Operating Inputs'!$K$10&gt;1,(DE$5&lt;=(MonthStabilization+'Operating Inputs'!$K$11))*(OperBgt!DE$38&gt;'Operating Inputs'!$K$9)*MIN('Operating Inputs'!$K$10-1,1)*DE$109*DE$48+(DF$5&lt;=(MonthStabilization+'Operating Inputs'!$K$11))*(OperBgt!DF$38&gt;'Operating Inputs'!$K$9)*MIN('Operating Inputs'!$K$10,1)*DF$109*DF$48,0)
+N("Lease-up concession if less than or equal to 2 months")
-IF(AND('Operating Inputs'!$K$8&lt;=2,DF$38&lt;'Operating Inputs'!$K$9,DG$38&lt;&gt;(1-Vacancy)),MIN('Operating Inputs'!$K$8,1)*(AvgLeaseTermMarket/12)*DF48*OperBgt!DF35+('Operating Inputs'!$K$8-1)*(AvgLeaseTermMarket/12)*DE48*OperBgt!DE35,0)
+N("Stabilized concession if less than or equal to 1 month")
-IF(AND('Operating Inputs'!$K$10&lt;=1,DG$38=(1-Vacancy),DF$5&lt;=(MonthStabilization+'Operating Inputs'!$K$11)),'Operating Inputs'!$K$10*(AvgLeaseTermMarket/12)*DF48*OperBgt!DF109,0)</f>
        <v>0</v>
      </c>
      <c r="DH63" s="1602">
        <f>N("Lease-up concession if greater than 2 months")
-IF('Operating Inputs'!$K$8&gt;2,(DE$38&lt;'Operating Inputs'!$K$9)*MAX('Operating Inputs'!$K$8-2,0)*DE$48*DE$35+(OperBgt!DF$38&lt;'Operating Inputs'!$K$9)*MIN('Operating Inputs'!$K$8-1,1)*DF$35*DF$48+(OperBgt!DG$38&lt;'Operating Inputs'!$K$9)*MIN('Operating Inputs'!$K$8,1)*DG$35*DG$48,0)
+N("Stabilized concession if greater than 1 month")
-IF('Operating Inputs'!$K$10&gt;1,(DF$5&lt;=(MonthStabilization+'Operating Inputs'!$K$11))*(OperBgt!DF$38&gt;'Operating Inputs'!$K$9)*MIN('Operating Inputs'!$K$10-1,1)*DF$109*DF$48+(DG$5&lt;=(MonthStabilization+'Operating Inputs'!$K$11))*(OperBgt!DG$38&gt;'Operating Inputs'!$K$9)*MIN('Operating Inputs'!$K$10,1)*DG$109*DG$48,0)
+N("Lease-up concession if less than or equal to 2 months")
-IF(AND('Operating Inputs'!$K$8&lt;=2,DG$38&lt;'Operating Inputs'!$K$9,DH$38&lt;&gt;(1-Vacancy)),MIN('Operating Inputs'!$K$8,1)*(AvgLeaseTermMarket/12)*DG48*OperBgt!DG35+('Operating Inputs'!$K$8-1)*(AvgLeaseTermMarket/12)*DF48*OperBgt!DF35,0)
+N("Stabilized concession if less than or equal to 1 month")
-IF(AND('Operating Inputs'!$K$10&lt;=1,DH$38=(1-Vacancy),DG$5&lt;=(MonthStabilization+'Operating Inputs'!$K$11)),'Operating Inputs'!$K$10*(AvgLeaseTermMarket/12)*DG48*OperBgt!DG109,0)</f>
        <v>0</v>
      </c>
      <c r="DI63" s="1602">
        <f>N("Lease-up concession if greater than 2 months")
-IF('Operating Inputs'!$K$8&gt;2,(DF$38&lt;'Operating Inputs'!$K$9)*MAX('Operating Inputs'!$K$8-2,0)*DF$48*DF$35+(OperBgt!DG$38&lt;'Operating Inputs'!$K$9)*MIN('Operating Inputs'!$K$8-1,1)*DG$35*DG$48+(OperBgt!DH$38&lt;'Operating Inputs'!$K$9)*MIN('Operating Inputs'!$K$8,1)*DH$35*DH$48,0)
+N("Stabilized concession if greater than 1 month")
-IF('Operating Inputs'!$K$10&gt;1,(DG$5&lt;=(MonthStabilization+'Operating Inputs'!$K$11))*(OperBgt!DG$38&gt;'Operating Inputs'!$K$9)*MIN('Operating Inputs'!$K$10-1,1)*DG$109*DG$48+(DH$5&lt;=(MonthStabilization+'Operating Inputs'!$K$11))*(OperBgt!DH$38&gt;'Operating Inputs'!$K$9)*MIN('Operating Inputs'!$K$10,1)*DH$109*DH$48,0)
+N("Lease-up concession if less than or equal to 2 months")
-IF(AND('Operating Inputs'!$K$8&lt;=2,DH$38&lt;'Operating Inputs'!$K$9,DI$38&lt;&gt;(1-Vacancy)),MIN('Operating Inputs'!$K$8,1)*(AvgLeaseTermMarket/12)*DH48*OperBgt!DH35+('Operating Inputs'!$K$8-1)*(AvgLeaseTermMarket/12)*DG48*OperBgt!DG35,0)
+N("Stabilized concession if less than or equal to 1 month")
-IF(AND('Operating Inputs'!$K$10&lt;=1,DI$38=(1-Vacancy),DH$5&lt;=(MonthStabilization+'Operating Inputs'!$K$11)),'Operating Inputs'!$K$10*(AvgLeaseTermMarket/12)*DH48*OperBgt!DH109,0)</f>
        <v>0</v>
      </c>
      <c r="DJ63" s="1602">
        <f>N("Lease-up concession if greater than 2 months")
-IF('Operating Inputs'!$K$8&gt;2,(DG$38&lt;'Operating Inputs'!$K$9)*MAX('Operating Inputs'!$K$8-2,0)*DG$48*DG$35+(OperBgt!DH$38&lt;'Operating Inputs'!$K$9)*MIN('Operating Inputs'!$K$8-1,1)*DH$35*DH$48+(OperBgt!DI$38&lt;'Operating Inputs'!$K$9)*MIN('Operating Inputs'!$K$8,1)*DI$35*DI$48,0)
+N("Stabilized concession if greater than 1 month")
-IF('Operating Inputs'!$K$10&gt;1,(DH$5&lt;=(MonthStabilization+'Operating Inputs'!$K$11))*(OperBgt!DH$38&gt;'Operating Inputs'!$K$9)*MIN('Operating Inputs'!$K$10-1,1)*DH$109*DH$48+(DI$5&lt;=(MonthStabilization+'Operating Inputs'!$K$11))*(OperBgt!DI$38&gt;'Operating Inputs'!$K$9)*MIN('Operating Inputs'!$K$10,1)*DI$109*DI$48,0)
+N("Lease-up concession if less than or equal to 2 months")
-IF(AND('Operating Inputs'!$K$8&lt;=2,DI$38&lt;'Operating Inputs'!$K$9,DJ$38&lt;&gt;(1-Vacancy)),MIN('Operating Inputs'!$K$8,1)*(AvgLeaseTermMarket/12)*DI48*OperBgt!DI35+('Operating Inputs'!$K$8-1)*(AvgLeaseTermMarket/12)*DH48*OperBgt!DH35,0)
+N("Stabilized concession if less than or equal to 1 month")
-IF(AND('Operating Inputs'!$K$10&lt;=1,DJ$38=(1-Vacancy),DI$5&lt;=(MonthStabilization+'Operating Inputs'!$K$11)),'Operating Inputs'!$K$10*(AvgLeaseTermMarket/12)*DI48*OperBgt!DI109,0)</f>
        <v>0</v>
      </c>
      <c r="DK63" s="1602">
        <f>N("Lease-up concession if greater than 2 months")
-IF('Operating Inputs'!$K$8&gt;2,(DH$38&lt;'Operating Inputs'!$K$9)*MAX('Operating Inputs'!$K$8-2,0)*DH$48*DH$35+(OperBgt!DI$38&lt;'Operating Inputs'!$K$9)*MIN('Operating Inputs'!$K$8-1,1)*DI$35*DI$48+(OperBgt!DJ$38&lt;'Operating Inputs'!$K$9)*MIN('Operating Inputs'!$K$8,1)*DJ$35*DJ$48,0)
+N("Stabilized concession if greater than 1 month")
-IF('Operating Inputs'!$K$10&gt;1,(DI$5&lt;=(MonthStabilization+'Operating Inputs'!$K$11))*(OperBgt!DI$38&gt;'Operating Inputs'!$K$9)*MIN('Operating Inputs'!$K$10-1,1)*DI$109*DI$48+(DJ$5&lt;=(MonthStabilization+'Operating Inputs'!$K$11))*(OperBgt!DJ$38&gt;'Operating Inputs'!$K$9)*MIN('Operating Inputs'!$K$10,1)*DJ$109*DJ$48,0)
+N("Lease-up concession if less than or equal to 2 months")
-IF(AND('Operating Inputs'!$K$8&lt;=2,DJ$38&lt;'Operating Inputs'!$K$9,DK$38&lt;&gt;(1-Vacancy)),MIN('Operating Inputs'!$K$8,1)*(AvgLeaseTermMarket/12)*DJ48*OperBgt!DJ35+('Operating Inputs'!$K$8-1)*(AvgLeaseTermMarket/12)*DI48*OperBgt!DI35,0)
+N("Stabilized concession if less than or equal to 1 month")
-IF(AND('Operating Inputs'!$K$10&lt;=1,DK$38=(1-Vacancy),DJ$5&lt;=(MonthStabilization+'Operating Inputs'!$K$11)),'Operating Inputs'!$K$10*(AvgLeaseTermMarket/12)*DJ48*OperBgt!DJ109,0)</f>
        <v>0</v>
      </c>
      <c r="DL63" s="1602">
        <f>N("Lease-up concession if greater than 2 months")
-IF('Operating Inputs'!$K$8&gt;2,(DI$38&lt;'Operating Inputs'!$K$9)*MAX('Operating Inputs'!$K$8-2,0)*DI$48*DI$35+(OperBgt!DJ$38&lt;'Operating Inputs'!$K$9)*MIN('Operating Inputs'!$K$8-1,1)*DJ$35*DJ$48+(OperBgt!DK$38&lt;'Operating Inputs'!$K$9)*MIN('Operating Inputs'!$K$8,1)*DK$35*DK$48,0)
+N("Stabilized concession if greater than 1 month")
-IF('Operating Inputs'!$K$10&gt;1,(DJ$5&lt;=(MonthStabilization+'Operating Inputs'!$K$11))*(OperBgt!DJ$38&gt;'Operating Inputs'!$K$9)*MIN('Operating Inputs'!$K$10-1,1)*DJ$109*DJ$48+(DK$5&lt;=(MonthStabilization+'Operating Inputs'!$K$11))*(OperBgt!DK$38&gt;'Operating Inputs'!$K$9)*MIN('Operating Inputs'!$K$10,1)*DK$109*DK$48,0)
+N("Lease-up concession if less than or equal to 2 months")
-IF(AND('Operating Inputs'!$K$8&lt;=2,DK$38&lt;'Operating Inputs'!$K$9,DL$38&lt;&gt;(1-Vacancy)),MIN('Operating Inputs'!$K$8,1)*(AvgLeaseTermMarket/12)*DK48*OperBgt!DK35+('Operating Inputs'!$K$8-1)*(AvgLeaseTermMarket/12)*DJ48*OperBgt!DJ35,0)
+N("Stabilized concession if less than or equal to 1 month")
-IF(AND('Operating Inputs'!$K$10&lt;=1,DL$38=(1-Vacancy),DK$5&lt;=(MonthStabilization+'Operating Inputs'!$K$11)),'Operating Inputs'!$K$10*(AvgLeaseTermMarket/12)*DK48*OperBgt!DK109,0)</f>
        <v>0</v>
      </c>
      <c r="DM63" s="1602">
        <f>N("Lease-up concession if greater than 2 months")
-IF('Operating Inputs'!$K$8&gt;2,(DJ$38&lt;'Operating Inputs'!$K$9)*MAX('Operating Inputs'!$K$8-2,0)*DJ$48*DJ$35+(OperBgt!DK$38&lt;'Operating Inputs'!$K$9)*MIN('Operating Inputs'!$K$8-1,1)*DK$35*DK$48+(OperBgt!DL$38&lt;'Operating Inputs'!$K$9)*MIN('Operating Inputs'!$K$8,1)*DL$35*DL$48,0)
+N("Stabilized concession if greater than 1 month")
-IF('Operating Inputs'!$K$10&gt;1,(DK$5&lt;=(MonthStabilization+'Operating Inputs'!$K$11))*(OperBgt!DK$38&gt;'Operating Inputs'!$K$9)*MIN('Operating Inputs'!$K$10-1,1)*DK$109*DK$48+(DL$5&lt;=(MonthStabilization+'Operating Inputs'!$K$11))*(OperBgt!DL$38&gt;'Operating Inputs'!$K$9)*MIN('Operating Inputs'!$K$10,1)*DL$109*DL$48,0)
+N("Lease-up concession if less than or equal to 2 months")
-IF(AND('Operating Inputs'!$K$8&lt;=2,DL$38&lt;'Operating Inputs'!$K$9,DM$38&lt;&gt;(1-Vacancy)),MIN('Operating Inputs'!$K$8,1)*(AvgLeaseTermMarket/12)*DL48*OperBgt!DL35+('Operating Inputs'!$K$8-1)*(AvgLeaseTermMarket/12)*DK48*OperBgt!DK35,0)
+N("Stabilized concession if less than or equal to 1 month")
-IF(AND('Operating Inputs'!$K$10&lt;=1,DM$38=(1-Vacancy),DL$5&lt;=(MonthStabilization+'Operating Inputs'!$K$11)),'Operating Inputs'!$K$10*(AvgLeaseTermMarket/12)*DL48*OperBgt!DL109,0)</f>
        <v>0</v>
      </c>
      <c r="DN63" s="1602">
        <f>N("Lease-up concession if greater than 2 months")
-IF('Operating Inputs'!$K$8&gt;2,(DK$38&lt;'Operating Inputs'!$K$9)*MAX('Operating Inputs'!$K$8-2,0)*DK$48*DK$35+(OperBgt!DL$38&lt;'Operating Inputs'!$K$9)*MIN('Operating Inputs'!$K$8-1,1)*DL$35*DL$48+(OperBgt!DM$38&lt;'Operating Inputs'!$K$9)*MIN('Operating Inputs'!$K$8,1)*DM$35*DM$48,0)
+N("Stabilized concession if greater than 1 month")
-IF('Operating Inputs'!$K$10&gt;1,(DL$5&lt;=(MonthStabilization+'Operating Inputs'!$K$11))*(OperBgt!DL$38&gt;'Operating Inputs'!$K$9)*MIN('Operating Inputs'!$K$10-1,1)*DL$109*DL$48+(DM$5&lt;=(MonthStabilization+'Operating Inputs'!$K$11))*(OperBgt!DM$38&gt;'Operating Inputs'!$K$9)*MIN('Operating Inputs'!$K$10,1)*DM$109*DM$48,0)
+N("Lease-up concession if less than or equal to 2 months")
-IF(AND('Operating Inputs'!$K$8&lt;=2,DM$38&lt;'Operating Inputs'!$K$9,DN$38&lt;&gt;(1-Vacancy)),MIN('Operating Inputs'!$K$8,1)*(AvgLeaseTermMarket/12)*DM48*OperBgt!DM35+('Operating Inputs'!$K$8-1)*(AvgLeaseTermMarket/12)*DL48*OperBgt!DL35,0)
+N("Stabilized concession if less than or equal to 1 month")
-IF(AND('Operating Inputs'!$K$10&lt;=1,DN$38=(1-Vacancy),DM$5&lt;=(MonthStabilization+'Operating Inputs'!$K$11)),'Operating Inputs'!$K$10*(AvgLeaseTermMarket/12)*DM48*OperBgt!DM109,0)</f>
        <v>0</v>
      </c>
      <c r="DO63" s="1602">
        <f>N("Lease-up concession if greater than 2 months")
-IF('Operating Inputs'!$K$8&gt;2,(DL$38&lt;'Operating Inputs'!$K$9)*MAX('Operating Inputs'!$K$8-2,0)*DL$48*DL$35+(OperBgt!DM$38&lt;'Operating Inputs'!$K$9)*MIN('Operating Inputs'!$K$8-1,1)*DM$35*DM$48+(OperBgt!DN$38&lt;'Operating Inputs'!$K$9)*MIN('Operating Inputs'!$K$8,1)*DN$35*DN$48,0)
+N("Stabilized concession if greater than 1 month")
-IF('Operating Inputs'!$K$10&gt;1,(DM$5&lt;=(MonthStabilization+'Operating Inputs'!$K$11))*(OperBgt!DM$38&gt;'Operating Inputs'!$K$9)*MIN('Operating Inputs'!$K$10-1,1)*DM$109*DM$48+(DN$5&lt;=(MonthStabilization+'Operating Inputs'!$K$11))*(OperBgt!DN$38&gt;'Operating Inputs'!$K$9)*MIN('Operating Inputs'!$K$10,1)*DN$109*DN$48,0)
+N("Lease-up concession if less than or equal to 2 months")
-IF(AND('Operating Inputs'!$K$8&lt;=2,DN$38&lt;'Operating Inputs'!$K$9,DO$38&lt;&gt;(1-Vacancy)),MIN('Operating Inputs'!$K$8,1)*(AvgLeaseTermMarket/12)*DN48*OperBgt!DN35+('Operating Inputs'!$K$8-1)*(AvgLeaseTermMarket/12)*DM48*OperBgt!DM35,0)
+N("Stabilized concession if less than or equal to 1 month")
-IF(AND('Operating Inputs'!$K$10&lt;=1,DO$38=(1-Vacancy),DN$5&lt;=(MonthStabilization+'Operating Inputs'!$K$11)),'Operating Inputs'!$K$10*(AvgLeaseTermMarket/12)*DN48*OperBgt!DN109,0)</f>
        <v>0</v>
      </c>
      <c r="DP63" s="1602">
        <f>N("Lease-up concession if greater than 2 months")
-IF('Operating Inputs'!$K$8&gt;2,(DM$38&lt;'Operating Inputs'!$K$9)*MAX('Operating Inputs'!$K$8-2,0)*DM$48*DM$35+(OperBgt!DN$38&lt;'Operating Inputs'!$K$9)*MIN('Operating Inputs'!$K$8-1,1)*DN$35*DN$48+(OperBgt!DO$38&lt;'Operating Inputs'!$K$9)*MIN('Operating Inputs'!$K$8,1)*DO$35*DO$48,0)
+N("Stabilized concession if greater than 1 month")
-IF('Operating Inputs'!$K$10&gt;1,(DN$5&lt;=(MonthStabilization+'Operating Inputs'!$K$11))*(OperBgt!DN$38&gt;'Operating Inputs'!$K$9)*MIN('Operating Inputs'!$K$10-1,1)*DN$109*DN$48+(DO$5&lt;=(MonthStabilization+'Operating Inputs'!$K$11))*(OperBgt!DO$38&gt;'Operating Inputs'!$K$9)*MIN('Operating Inputs'!$K$10,1)*DO$109*DO$48,0)
+N("Lease-up concession if less than or equal to 2 months")
-IF(AND('Operating Inputs'!$K$8&lt;=2,DO$38&lt;'Operating Inputs'!$K$9,DP$38&lt;&gt;(1-Vacancy)),MIN('Operating Inputs'!$K$8,1)*(AvgLeaseTermMarket/12)*DO48*OperBgt!DO35+('Operating Inputs'!$K$8-1)*(AvgLeaseTermMarket/12)*DN48*OperBgt!DN35,0)
+N("Stabilized concession if less than or equal to 1 month")
-IF(AND('Operating Inputs'!$K$10&lt;=1,DP$38=(1-Vacancy),DO$5&lt;=(MonthStabilization+'Operating Inputs'!$K$11)),'Operating Inputs'!$K$10*(AvgLeaseTermMarket/12)*DO48*OperBgt!DO109,0)</f>
        <v>0</v>
      </c>
      <c r="DQ63" s="1602">
        <f>N("Lease-up concession if greater than 2 months")
-IF('Operating Inputs'!$K$8&gt;2,(DN$38&lt;'Operating Inputs'!$K$9)*MAX('Operating Inputs'!$K$8-2,0)*DN$48*DN$35+(OperBgt!DO$38&lt;'Operating Inputs'!$K$9)*MIN('Operating Inputs'!$K$8-1,1)*DO$35*DO$48+(OperBgt!DP$38&lt;'Operating Inputs'!$K$9)*MIN('Operating Inputs'!$K$8,1)*DP$35*DP$48,0)
+N("Stabilized concession if greater than 1 month")
-IF('Operating Inputs'!$K$10&gt;1,(DO$5&lt;=(MonthStabilization+'Operating Inputs'!$K$11))*(OperBgt!DO$38&gt;'Operating Inputs'!$K$9)*MIN('Operating Inputs'!$K$10-1,1)*DO$109*DO$48+(DP$5&lt;=(MonthStabilization+'Operating Inputs'!$K$11))*(OperBgt!DP$38&gt;'Operating Inputs'!$K$9)*MIN('Operating Inputs'!$K$10,1)*DP$109*DP$48,0)
+N("Lease-up concession if less than or equal to 2 months")
-IF(AND('Operating Inputs'!$K$8&lt;=2,DP$38&lt;'Operating Inputs'!$K$9,DQ$38&lt;&gt;(1-Vacancy)),MIN('Operating Inputs'!$K$8,1)*(AvgLeaseTermMarket/12)*DP48*OperBgt!DP35+('Operating Inputs'!$K$8-1)*(AvgLeaseTermMarket/12)*DO48*OperBgt!DO35,0)
+N("Stabilized concession if less than or equal to 1 month")
-IF(AND('Operating Inputs'!$K$10&lt;=1,DQ$38=(1-Vacancy),DP$5&lt;=(MonthStabilization+'Operating Inputs'!$K$11)),'Operating Inputs'!$K$10*(AvgLeaseTermMarket/12)*DP48*OperBgt!DP109,0)</f>
        <v>0</v>
      </c>
      <c r="DR63" s="1602">
        <f>N("Lease-up concession if greater than 2 months")
-IF('Operating Inputs'!$K$8&gt;2,(DO$38&lt;'Operating Inputs'!$K$9)*MAX('Operating Inputs'!$K$8-2,0)*DO$48*DO$35+(OperBgt!DP$38&lt;'Operating Inputs'!$K$9)*MIN('Operating Inputs'!$K$8-1,1)*DP$35*DP$48+(OperBgt!DQ$38&lt;'Operating Inputs'!$K$9)*MIN('Operating Inputs'!$K$8,1)*DQ$35*DQ$48,0)
+N("Stabilized concession if greater than 1 month")
-IF('Operating Inputs'!$K$10&gt;1,(DP$5&lt;=(MonthStabilization+'Operating Inputs'!$K$11))*(OperBgt!DP$38&gt;'Operating Inputs'!$K$9)*MIN('Operating Inputs'!$K$10-1,1)*DP$109*DP$48+(DQ$5&lt;=(MonthStabilization+'Operating Inputs'!$K$11))*(OperBgt!DQ$38&gt;'Operating Inputs'!$K$9)*MIN('Operating Inputs'!$K$10,1)*DQ$109*DQ$48,0)
+N("Lease-up concession if less than or equal to 2 months")
-IF(AND('Operating Inputs'!$K$8&lt;=2,DQ$38&lt;'Operating Inputs'!$K$9,DR$38&lt;&gt;(1-Vacancy)),MIN('Operating Inputs'!$K$8,1)*(AvgLeaseTermMarket/12)*DQ48*OperBgt!DQ35+('Operating Inputs'!$K$8-1)*(AvgLeaseTermMarket/12)*DP48*OperBgt!DP35,0)
+N("Stabilized concession if less than or equal to 1 month")
-IF(AND('Operating Inputs'!$K$10&lt;=1,DR$38=(1-Vacancy),DQ$5&lt;=(MonthStabilization+'Operating Inputs'!$K$11)),'Operating Inputs'!$K$10*(AvgLeaseTermMarket/12)*DQ48*OperBgt!DQ109,0)</f>
        <v>0</v>
      </c>
      <c r="DS63" s="1602">
        <f>N("Lease-up concession if greater than 2 months")
-IF('Operating Inputs'!$K$8&gt;2,(DP$38&lt;'Operating Inputs'!$K$9)*MAX('Operating Inputs'!$K$8-2,0)*DP$48*DP$35+(OperBgt!DQ$38&lt;'Operating Inputs'!$K$9)*MIN('Operating Inputs'!$K$8-1,1)*DQ$35*DQ$48+(OperBgt!DR$38&lt;'Operating Inputs'!$K$9)*MIN('Operating Inputs'!$K$8,1)*DR$35*DR$48,0)
+N("Stabilized concession if greater than 1 month")
-IF('Operating Inputs'!$K$10&gt;1,(DQ$5&lt;=(MonthStabilization+'Operating Inputs'!$K$11))*(OperBgt!DQ$38&gt;'Operating Inputs'!$K$9)*MIN('Operating Inputs'!$K$10-1,1)*DQ$109*DQ$48+(DR$5&lt;=(MonthStabilization+'Operating Inputs'!$K$11))*(OperBgt!DR$38&gt;'Operating Inputs'!$K$9)*MIN('Operating Inputs'!$K$10,1)*DR$109*DR$48,0)
+N("Lease-up concession if less than or equal to 2 months")
-IF(AND('Operating Inputs'!$K$8&lt;=2,DR$38&lt;'Operating Inputs'!$K$9,DS$38&lt;&gt;(1-Vacancy)),MIN('Operating Inputs'!$K$8,1)*(AvgLeaseTermMarket/12)*DR48*OperBgt!DR35+('Operating Inputs'!$K$8-1)*(AvgLeaseTermMarket/12)*DQ48*OperBgt!DQ35,0)
+N("Stabilized concession if less than or equal to 1 month")
-IF(AND('Operating Inputs'!$K$10&lt;=1,DS$38=(1-Vacancy),DR$5&lt;=(MonthStabilization+'Operating Inputs'!$K$11)),'Operating Inputs'!$K$10*(AvgLeaseTermMarket/12)*DR48*OperBgt!DR109,0)</f>
        <v>0</v>
      </c>
      <c r="DT63" s="1602">
        <f>N("Lease-up concession if greater than 2 months")
-IF('Operating Inputs'!$K$8&gt;2,(DQ$38&lt;'Operating Inputs'!$K$9)*MAX('Operating Inputs'!$K$8-2,0)*DQ$48*DQ$35+(OperBgt!DR$38&lt;'Operating Inputs'!$K$9)*MIN('Operating Inputs'!$K$8-1,1)*DR$35*DR$48+(OperBgt!DS$38&lt;'Operating Inputs'!$K$9)*MIN('Operating Inputs'!$K$8,1)*DS$35*DS$48,0)
+N("Stabilized concession if greater than 1 month")
-IF('Operating Inputs'!$K$10&gt;1,(DR$5&lt;=(MonthStabilization+'Operating Inputs'!$K$11))*(OperBgt!DR$38&gt;'Operating Inputs'!$K$9)*MIN('Operating Inputs'!$K$10-1,1)*DR$109*DR$48+(DS$5&lt;=(MonthStabilization+'Operating Inputs'!$K$11))*(OperBgt!DS$38&gt;'Operating Inputs'!$K$9)*MIN('Operating Inputs'!$K$10,1)*DS$109*DS$48,0)
+N("Lease-up concession if less than or equal to 2 months")
-IF(AND('Operating Inputs'!$K$8&lt;=2,DS$38&lt;'Operating Inputs'!$K$9,DT$38&lt;&gt;(1-Vacancy)),MIN('Operating Inputs'!$K$8,1)*(AvgLeaseTermMarket/12)*DS48*OperBgt!DS35+('Operating Inputs'!$K$8-1)*(AvgLeaseTermMarket/12)*DR48*OperBgt!DR35,0)
+N("Stabilized concession if less than or equal to 1 month")
-IF(AND('Operating Inputs'!$K$10&lt;=1,DT$38=(1-Vacancy),DS$5&lt;=(MonthStabilization+'Operating Inputs'!$K$11)),'Operating Inputs'!$K$10*(AvgLeaseTermMarket/12)*DS48*OperBgt!DS109,0)</f>
        <v>0</v>
      </c>
      <c r="DU63" s="1602">
        <f>N("Lease-up concession if greater than 2 months")
-IF('Operating Inputs'!$K$8&gt;2,(DR$38&lt;'Operating Inputs'!$K$9)*MAX('Operating Inputs'!$K$8-2,0)*DR$48*DR$35+(OperBgt!DS$38&lt;'Operating Inputs'!$K$9)*MIN('Operating Inputs'!$K$8-1,1)*DS$35*DS$48+(OperBgt!DT$38&lt;'Operating Inputs'!$K$9)*MIN('Operating Inputs'!$K$8,1)*DT$35*DT$48,0)
+N("Stabilized concession if greater than 1 month")
-IF('Operating Inputs'!$K$10&gt;1,(DS$5&lt;=(MonthStabilization+'Operating Inputs'!$K$11))*(OperBgt!DS$38&gt;'Operating Inputs'!$K$9)*MIN('Operating Inputs'!$K$10-1,1)*DS$109*DS$48+(DT$5&lt;=(MonthStabilization+'Operating Inputs'!$K$11))*(OperBgt!DT$38&gt;'Operating Inputs'!$K$9)*MIN('Operating Inputs'!$K$10,1)*DT$109*DT$48,0)
+N("Lease-up concession if less than or equal to 2 months")
-IF(AND('Operating Inputs'!$K$8&lt;=2,DT$38&lt;'Operating Inputs'!$K$9,DU$38&lt;&gt;(1-Vacancy)),MIN('Operating Inputs'!$K$8,1)*(AvgLeaseTermMarket/12)*DT48*OperBgt!DT35+('Operating Inputs'!$K$8-1)*(AvgLeaseTermMarket/12)*DS48*OperBgt!DS35,0)
+N("Stabilized concession if less than or equal to 1 month")
-IF(AND('Operating Inputs'!$K$10&lt;=1,DU$38=(1-Vacancy),DT$5&lt;=(MonthStabilization+'Operating Inputs'!$K$11)),'Operating Inputs'!$K$10*(AvgLeaseTermMarket/12)*DT48*OperBgt!DT109,0)</f>
        <v>0</v>
      </c>
      <c r="DV63" s="1602">
        <f>N("Lease-up concession if greater than 2 months")
-IF('Operating Inputs'!$K$8&gt;2,(DS$38&lt;'Operating Inputs'!$K$9)*MAX('Operating Inputs'!$K$8-2,0)*DS$48*DS$35+(OperBgt!DT$38&lt;'Operating Inputs'!$K$9)*MIN('Operating Inputs'!$K$8-1,1)*DT$35*DT$48+(OperBgt!DU$38&lt;'Operating Inputs'!$K$9)*MIN('Operating Inputs'!$K$8,1)*DU$35*DU$48,0)
+N("Stabilized concession if greater than 1 month")
-IF('Operating Inputs'!$K$10&gt;1,(DT$5&lt;=(MonthStabilization+'Operating Inputs'!$K$11))*(OperBgt!DT$38&gt;'Operating Inputs'!$K$9)*MIN('Operating Inputs'!$K$10-1,1)*DT$109*DT$48+(DU$5&lt;=(MonthStabilization+'Operating Inputs'!$K$11))*(OperBgt!DU$38&gt;'Operating Inputs'!$K$9)*MIN('Operating Inputs'!$K$10,1)*DU$109*DU$48,0)
+N("Lease-up concession if less than or equal to 2 months")
-IF(AND('Operating Inputs'!$K$8&lt;=2,DU$38&lt;'Operating Inputs'!$K$9,DV$38&lt;&gt;(1-Vacancy)),MIN('Operating Inputs'!$K$8,1)*(AvgLeaseTermMarket/12)*DU48*OperBgt!DU35+('Operating Inputs'!$K$8-1)*(AvgLeaseTermMarket/12)*DT48*OperBgt!DT35,0)
+N("Stabilized concession if less than or equal to 1 month")
-IF(AND('Operating Inputs'!$K$10&lt;=1,DV$38=(1-Vacancy),DU$5&lt;=(MonthStabilization+'Operating Inputs'!$K$11)),'Operating Inputs'!$K$10*(AvgLeaseTermMarket/12)*DU48*OperBgt!DU109,0)</f>
        <v>0</v>
      </c>
      <c r="DW63" s="1602">
        <f>N("Lease-up concession if greater than 2 months")
-IF('Operating Inputs'!$K$8&gt;2,(DT$38&lt;'Operating Inputs'!$K$9)*MAX('Operating Inputs'!$K$8-2,0)*DT$48*DT$35+(OperBgt!DU$38&lt;'Operating Inputs'!$K$9)*MIN('Operating Inputs'!$K$8-1,1)*DU$35*DU$48+(OperBgt!DV$38&lt;'Operating Inputs'!$K$9)*MIN('Operating Inputs'!$K$8,1)*DV$35*DV$48,0)
+N("Stabilized concession if greater than 1 month")
-IF('Operating Inputs'!$K$10&gt;1,(DU$5&lt;=(MonthStabilization+'Operating Inputs'!$K$11))*(OperBgt!DU$38&gt;'Operating Inputs'!$K$9)*MIN('Operating Inputs'!$K$10-1,1)*DU$109*DU$48+(DV$5&lt;=(MonthStabilization+'Operating Inputs'!$K$11))*(OperBgt!DV$38&gt;'Operating Inputs'!$K$9)*MIN('Operating Inputs'!$K$10,1)*DV$109*DV$48,0)
+N("Lease-up concession if less than or equal to 2 months")
-IF(AND('Operating Inputs'!$K$8&lt;=2,DV$38&lt;'Operating Inputs'!$K$9,DW$38&lt;&gt;(1-Vacancy)),MIN('Operating Inputs'!$K$8,1)*(AvgLeaseTermMarket/12)*DV48*OperBgt!DV35+('Operating Inputs'!$K$8-1)*(AvgLeaseTermMarket/12)*DU48*OperBgt!DU35,0)
+N("Stabilized concession if less than or equal to 1 month")
-IF(AND('Operating Inputs'!$K$10&lt;=1,DW$38=(1-Vacancy),DV$5&lt;=(MonthStabilization+'Operating Inputs'!$K$11)),'Operating Inputs'!$K$10*(AvgLeaseTermMarket/12)*DV48*OperBgt!DV109,0)</f>
        <v>0</v>
      </c>
      <c r="DX63" s="1602">
        <f>N("Lease-up concession if greater than 2 months")
-IF('Operating Inputs'!$K$8&gt;2,(DU$38&lt;'Operating Inputs'!$K$9)*MAX('Operating Inputs'!$K$8-2,0)*DU$48*DU$35+(OperBgt!DV$38&lt;'Operating Inputs'!$K$9)*MIN('Operating Inputs'!$K$8-1,1)*DV$35*DV$48+(OperBgt!DW$38&lt;'Operating Inputs'!$K$9)*MIN('Operating Inputs'!$K$8,1)*DW$35*DW$48,0)
+N("Stabilized concession if greater than 1 month")
-IF('Operating Inputs'!$K$10&gt;1,(DV$5&lt;=(MonthStabilization+'Operating Inputs'!$K$11))*(OperBgt!DV$38&gt;'Operating Inputs'!$K$9)*MIN('Operating Inputs'!$K$10-1,1)*DV$109*DV$48+(DW$5&lt;=(MonthStabilization+'Operating Inputs'!$K$11))*(OperBgt!DW$38&gt;'Operating Inputs'!$K$9)*MIN('Operating Inputs'!$K$10,1)*DW$109*DW$48,0)
+N("Lease-up concession if less than or equal to 2 months")
-IF(AND('Operating Inputs'!$K$8&lt;=2,DW$38&lt;'Operating Inputs'!$K$9,DX$38&lt;&gt;(1-Vacancy)),MIN('Operating Inputs'!$K$8,1)*(AvgLeaseTermMarket/12)*DW48*OperBgt!DW35+('Operating Inputs'!$K$8-1)*(AvgLeaseTermMarket/12)*DV48*OperBgt!DV35,0)
+N("Stabilized concession if less than or equal to 1 month")
-IF(AND('Operating Inputs'!$K$10&lt;=1,DX$38=(1-Vacancy),DW$5&lt;=(MonthStabilization+'Operating Inputs'!$K$11)),'Operating Inputs'!$K$10*(AvgLeaseTermMarket/12)*DW48*OperBgt!DW109,0)</f>
        <v>0</v>
      </c>
      <c r="DY63" s="1602">
        <f>N("Lease-up concession if greater than 2 months")
-IF('Operating Inputs'!$K$8&gt;2,(DV$38&lt;'Operating Inputs'!$K$9)*MAX('Operating Inputs'!$K$8-2,0)*DV$48*DV$35+(OperBgt!DW$38&lt;'Operating Inputs'!$K$9)*MIN('Operating Inputs'!$K$8-1,1)*DW$35*DW$48+(OperBgt!DX$38&lt;'Operating Inputs'!$K$9)*MIN('Operating Inputs'!$K$8,1)*DX$35*DX$48,0)
+N("Stabilized concession if greater than 1 month")
-IF('Operating Inputs'!$K$10&gt;1,(DW$5&lt;=(MonthStabilization+'Operating Inputs'!$K$11))*(OperBgt!DW$38&gt;'Operating Inputs'!$K$9)*MIN('Operating Inputs'!$K$10-1,1)*DW$109*DW$48+(DX$5&lt;=(MonthStabilization+'Operating Inputs'!$K$11))*(OperBgt!DX$38&gt;'Operating Inputs'!$K$9)*MIN('Operating Inputs'!$K$10,1)*DX$109*DX$48,0)
+N("Lease-up concession if less than or equal to 2 months")
-IF(AND('Operating Inputs'!$K$8&lt;=2,DX$38&lt;'Operating Inputs'!$K$9,DY$38&lt;&gt;(1-Vacancy)),MIN('Operating Inputs'!$K$8,1)*(AvgLeaseTermMarket/12)*DX48*OperBgt!DX35+('Operating Inputs'!$K$8-1)*(AvgLeaseTermMarket/12)*DW48*OperBgt!DW35,0)
+N("Stabilized concession if less than or equal to 1 month")
-IF(AND('Operating Inputs'!$K$10&lt;=1,DY$38=(1-Vacancy),DX$5&lt;=(MonthStabilization+'Operating Inputs'!$K$11)),'Operating Inputs'!$K$10*(AvgLeaseTermMarket/12)*DX48*OperBgt!DX109,0)</f>
        <v>0</v>
      </c>
      <c r="DZ63" s="1602">
        <f>N("Lease-up concession if greater than 2 months")
-IF('Operating Inputs'!$K$8&gt;2,(DW$38&lt;'Operating Inputs'!$K$9)*MAX('Operating Inputs'!$K$8-2,0)*DW$48*DW$35+(OperBgt!DX$38&lt;'Operating Inputs'!$K$9)*MIN('Operating Inputs'!$K$8-1,1)*DX$35*DX$48+(OperBgt!DY$38&lt;'Operating Inputs'!$K$9)*MIN('Operating Inputs'!$K$8,1)*DY$35*DY$48,0)
+N("Stabilized concession if greater than 1 month")
-IF('Operating Inputs'!$K$10&gt;1,(DX$5&lt;=(MonthStabilization+'Operating Inputs'!$K$11))*(OperBgt!DX$38&gt;'Operating Inputs'!$K$9)*MIN('Operating Inputs'!$K$10-1,1)*DX$109*DX$48+(DY$5&lt;=(MonthStabilization+'Operating Inputs'!$K$11))*(OperBgt!DY$38&gt;'Operating Inputs'!$K$9)*MIN('Operating Inputs'!$K$10,1)*DY$109*DY$48,0)
+N("Lease-up concession if less than or equal to 2 months")
-IF(AND('Operating Inputs'!$K$8&lt;=2,DY$38&lt;'Operating Inputs'!$K$9,DZ$38&lt;&gt;(1-Vacancy)),MIN('Operating Inputs'!$K$8,1)*(AvgLeaseTermMarket/12)*DY48*OperBgt!DY35+('Operating Inputs'!$K$8-1)*(AvgLeaseTermMarket/12)*DX48*OperBgt!DX35,0)
+N("Stabilized concession if less than or equal to 1 month")
-IF(AND('Operating Inputs'!$K$10&lt;=1,DZ$38=(1-Vacancy),DY$5&lt;=(MonthStabilization+'Operating Inputs'!$K$11)),'Operating Inputs'!$K$10*(AvgLeaseTermMarket/12)*DY48*OperBgt!DY109,0)</f>
        <v>0</v>
      </c>
      <c r="EA63" s="1602">
        <f>N("Lease-up concession if greater than 2 months")
-IF('Operating Inputs'!$K$8&gt;2,(DX$38&lt;'Operating Inputs'!$K$9)*MAX('Operating Inputs'!$K$8-2,0)*DX$48*DX$35+(OperBgt!DY$38&lt;'Operating Inputs'!$K$9)*MIN('Operating Inputs'!$K$8-1,1)*DY$35*DY$48+(OperBgt!DZ$38&lt;'Operating Inputs'!$K$9)*MIN('Operating Inputs'!$K$8,1)*DZ$35*DZ$48,0)
+N("Stabilized concession if greater than 1 month")
-IF('Operating Inputs'!$K$10&gt;1,(DY$5&lt;=(MonthStabilization+'Operating Inputs'!$K$11))*(OperBgt!DY$38&gt;'Operating Inputs'!$K$9)*MIN('Operating Inputs'!$K$10-1,1)*DY$109*DY$48+(DZ$5&lt;=(MonthStabilization+'Operating Inputs'!$K$11))*(OperBgt!DZ$38&gt;'Operating Inputs'!$K$9)*MIN('Operating Inputs'!$K$10,1)*DZ$109*DZ$48,0)
+N("Lease-up concession if less than or equal to 2 months")
-IF(AND('Operating Inputs'!$K$8&lt;=2,DZ$38&lt;'Operating Inputs'!$K$9,EA$38&lt;&gt;(1-Vacancy)),MIN('Operating Inputs'!$K$8,1)*(AvgLeaseTermMarket/12)*DZ48*OperBgt!DZ35+('Operating Inputs'!$K$8-1)*(AvgLeaseTermMarket/12)*DY48*OperBgt!DY35,0)
+N("Stabilized concession if less than or equal to 1 month")
-IF(AND('Operating Inputs'!$K$10&lt;=1,EA$38=(1-Vacancy),DZ$5&lt;=(MonthStabilization+'Operating Inputs'!$K$11)),'Operating Inputs'!$K$10*(AvgLeaseTermMarket/12)*DZ48*OperBgt!DZ109,0)</f>
        <v>0</v>
      </c>
      <c r="EB63" s="1602">
        <f>N("Lease-up concession if greater than 2 months")
-IF('Operating Inputs'!$K$8&gt;2,(DY$38&lt;'Operating Inputs'!$K$9)*MAX('Operating Inputs'!$K$8-2,0)*DY$48*DY$35+(OperBgt!DZ$38&lt;'Operating Inputs'!$K$9)*MIN('Operating Inputs'!$K$8-1,1)*DZ$35*DZ$48+(OperBgt!EA$38&lt;'Operating Inputs'!$K$9)*MIN('Operating Inputs'!$K$8,1)*EA$35*EA$48,0)
+N("Stabilized concession if greater than 1 month")
-IF('Operating Inputs'!$K$10&gt;1,(DZ$5&lt;=(MonthStabilization+'Operating Inputs'!$K$11))*(OperBgt!DZ$38&gt;'Operating Inputs'!$K$9)*MIN('Operating Inputs'!$K$10-1,1)*DZ$109*DZ$48+(EA$5&lt;=(MonthStabilization+'Operating Inputs'!$K$11))*(OperBgt!EA$38&gt;'Operating Inputs'!$K$9)*MIN('Operating Inputs'!$K$10,1)*EA$109*EA$48,0)
+N("Lease-up concession if less than or equal to 2 months")
-IF(AND('Operating Inputs'!$K$8&lt;=2,EA$38&lt;'Operating Inputs'!$K$9,EB$38&lt;&gt;(1-Vacancy)),MIN('Operating Inputs'!$K$8,1)*(AvgLeaseTermMarket/12)*EA48*OperBgt!EA35+('Operating Inputs'!$K$8-1)*(AvgLeaseTermMarket/12)*DZ48*OperBgt!DZ35,0)
+N("Stabilized concession if less than or equal to 1 month")
-IF(AND('Operating Inputs'!$K$10&lt;=1,EB$38=(1-Vacancy),EA$5&lt;=(MonthStabilization+'Operating Inputs'!$K$11)),'Operating Inputs'!$K$10*(AvgLeaseTermMarket/12)*EA48*OperBgt!EA109,0)</f>
        <v>0</v>
      </c>
      <c r="EC63" s="1602">
        <f>N("Lease-up concession if greater than 2 months")
-IF('Operating Inputs'!$K$8&gt;2,(DZ$38&lt;'Operating Inputs'!$K$9)*MAX('Operating Inputs'!$K$8-2,0)*DZ$48*DZ$35+(OperBgt!EA$38&lt;'Operating Inputs'!$K$9)*MIN('Operating Inputs'!$K$8-1,1)*EA$35*EA$48+(OperBgt!EB$38&lt;'Operating Inputs'!$K$9)*MIN('Operating Inputs'!$K$8,1)*EB$35*EB$48,0)
+N("Stabilized concession if greater than 1 month")
-IF('Operating Inputs'!$K$10&gt;1,(EA$5&lt;=(MonthStabilization+'Operating Inputs'!$K$11))*(OperBgt!EA$38&gt;'Operating Inputs'!$K$9)*MIN('Operating Inputs'!$K$10-1,1)*EA$109*EA$48+(EB$5&lt;=(MonthStabilization+'Operating Inputs'!$K$11))*(OperBgt!EB$38&gt;'Operating Inputs'!$K$9)*MIN('Operating Inputs'!$K$10,1)*EB$109*EB$48,0)
+N("Lease-up concession if less than or equal to 2 months")
-IF(AND('Operating Inputs'!$K$8&lt;=2,EB$38&lt;'Operating Inputs'!$K$9,EC$38&lt;&gt;(1-Vacancy)),MIN('Operating Inputs'!$K$8,1)*(AvgLeaseTermMarket/12)*EB48*OperBgt!EB35+('Operating Inputs'!$K$8-1)*(AvgLeaseTermMarket/12)*EA48*OperBgt!EA35,0)
+N("Stabilized concession if less than or equal to 1 month")
-IF(AND('Operating Inputs'!$K$10&lt;=1,EC$38=(1-Vacancy),EB$5&lt;=(MonthStabilization+'Operating Inputs'!$K$11)),'Operating Inputs'!$K$10*(AvgLeaseTermMarket/12)*EB48*OperBgt!EB109,0)</f>
        <v>0</v>
      </c>
      <c r="ED63" s="1602">
        <f>N("Lease-up concession if greater than 2 months")
-IF('Operating Inputs'!$K$8&gt;2,(EA$38&lt;'Operating Inputs'!$K$9)*MAX('Operating Inputs'!$K$8-2,0)*EA$48*EA$35+(OperBgt!EB$38&lt;'Operating Inputs'!$K$9)*MIN('Operating Inputs'!$K$8-1,1)*EB$35*EB$48+(OperBgt!EC$38&lt;'Operating Inputs'!$K$9)*MIN('Operating Inputs'!$K$8,1)*EC$35*EC$48,0)
+N("Stabilized concession if greater than 1 month")
-IF('Operating Inputs'!$K$10&gt;1,(EB$5&lt;=(MonthStabilization+'Operating Inputs'!$K$11))*(OperBgt!EB$38&gt;'Operating Inputs'!$K$9)*MIN('Operating Inputs'!$K$10-1,1)*EB$109*EB$48+(EC$5&lt;=(MonthStabilization+'Operating Inputs'!$K$11))*(OperBgt!EC$38&gt;'Operating Inputs'!$K$9)*MIN('Operating Inputs'!$K$10,1)*EC$109*EC$48,0)
+N("Lease-up concession if less than or equal to 2 months")
-IF(AND('Operating Inputs'!$K$8&lt;=2,EC$38&lt;'Operating Inputs'!$K$9,ED$38&lt;&gt;(1-Vacancy)),MIN('Operating Inputs'!$K$8,1)*(AvgLeaseTermMarket/12)*EC48*OperBgt!EC35+('Operating Inputs'!$K$8-1)*(AvgLeaseTermMarket/12)*EB48*OperBgt!EB35,0)
+N("Stabilized concession if less than or equal to 1 month")
-IF(AND('Operating Inputs'!$K$10&lt;=1,ED$38=(1-Vacancy),EC$5&lt;=(MonthStabilization+'Operating Inputs'!$K$11)),'Operating Inputs'!$K$10*(AvgLeaseTermMarket/12)*EC48*OperBgt!EC109,0)</f>
        <v>0</v>
      </c>
      <c r="EE63" s="1602">
        <f>N("Lease-up concession if greater than 2 months")
-IF('Operating Inputs'!$K$8&gt;2,(EB$38&lt;'Operating Inputs'!$K$9)*MAX('Operating Inputs'!$K$8-2,0)*EB$48*EB$35+(OperBgt!EC$38&lt;'Operating Inputs'!$K$9)*MIN('Operating Inputs'!$K$8-1,1)*EC$35*EC$48+(OperBgt!ED$38&lt;'Operating Inputs'!$K$9)*MIN('Operating Inputs'!$K$8,1)*ED$35*ED$48,0)
+N("Stabilized concession if greater than 1 month")
-IF('Operating Inputs'!$K$10&gt;1,(EC$5&lt;=(MonthStabilization+'Operating Inputs'!$K$11))*(OperBgt!EC$38&gt;'Operating Inputs'!$K$9)*MIN('Operating Inputs'!$K$10-1,1)*EC$109*EC$48+(ED$5&lt;=(MonthStabilization+'Operating Inputs'!$K$11))*(OperBgt!ED$38&gt;'Operating Inputs'!$K$9)*MIN('Operating Inputs'!$K$10,1)*ED$109*ED$48,0)
+N("Lease-up concession if less than or equal to 2 months")
-IF(AND('Operating Inputs'!$K$8&lt;=2,ED$38&lt;'Operating Inputs'!$K$9,EE$38&lt;&gt;(1-Vacancy)),MIN('Operating Inputs'!$K$8,1)*(AvgLeaseTermMarket/12)*ED48*OperBgt!ED35+('Operating Inputs'!$K$8-1)*(AvgLeaseTermMarket/12)*EC48*OperBgt!EC35,0)
+N("Stabilized concession if less than or equal to 1 month")
-IF(AND('Operating Inputs'!$K$10&lt;=1,EE$38=(1-Vacancy),ED$5&lt;=(MonthStabilization+'Operating Inputs'!$K$11)),'Operating Inputs'!$K$10*(AvgLeaseTermMarket/12)*ED48*OperBgt!ED109,0)</f>
        <v>0</v>
      </c>
      <c r="EF63" s="1602">
        <f>N("Lease-up concession if greater than 2 months")
-IF('Operating Inputs'!$K$8&gt;2,(EC$38&lt;'Operating Inputs'!$K$9)*MAX('Operating Inputs'!$K$8-2,0)*EC$48*EC$35+(OperBgt!ED$38&lt;'Operating Inputs'!$K$9)*MIN('Operating Inputs'!$K$8-1,1)*ED$35*ED$48+(OperBgt!EE$38&lt;'Operating Inputs'!$K$9)*MIN('Operating Inputs'!$K$8,1)*EE$35*EE$48,0)
+N("Stabilized concession if greater than 1 month")
-IF('Operating Inputs'!$K$10&gt;1,(ED$5&lt;=(MonthStabilization+'Operating Inputs'!$K$11))*(OperBgt!ED$38&gt;'Operating Inputs'!$K$9)*MIN('Operating Inputs'!$K$10-1,1)*ED$109*ED$48+(EE$5&lt;=(MonthStabilization+'Operating Inputs'!$K$11))*(OperBgt!EE$38&gt;'Operating Inputs'!$K$9)*MIN('Operating Inputs'!$K$10,1)*EE$109*EE$48,0)
+N("Lease-up concession if less than or equal to 2 months")
-IF(AND('Operating Inputs'!$K$8&lt;=2,EE$38&lt;'Operating Inputs'!$K$9,EF$38&lt;&gt;(1-Vacancy)),MIN('Operating Inputs'!$K$8,1)*(AvgLeaseTermMarket/12)*EE48*OperBgt!EE35+('Operating Inputs'!$K$8-1)*(AvgLeaseTermMarket/12)*ED48*OperBgt!ED35,0)
+N("Stabilized concession if less than or equal to 1 month")
-IF(AND('Operating Inputs'!$K$10&lt;=1,EF$38=(1-Vacancy),EE$5&lt;=(MonthStabilization+'Operating Inputs'!$K$11)),'Operating Inputs'!$K$10*(AvgLeaseTermMarket/12)*EE48*OperBgt!EE109,0)</f>
        <v>0</v>
      </c>
      <c r="EG63" s="1602">
        <f>N("Lease-up concession if greater than 2 months")
-IF('Operating Inputs'!$K$8&gt;2,(ED$38&lt;'Operating Inputs'!$K$9)*MAX('Operating Inputs'!$K$8-2,0)*ED$48*ED$35+(OperBgt!EE$38&lt;'Operating Inputs'!$K$9)*MIN('Operating Inputs'!$K$8-1,1)*EE$35*EE$48+(OperBgt!EF$38&lt;'Operating Inputs'!$K$9)*MIN('Operating Inputs'!$K$8,1)*EF$35*EF$48,0)
+N("Stabilized concession if greater than 1 month")
-IF('Operating Inputs'!$K$10&gt;1,(EE$5&lt;=(MonthStabilization+'Operating Inputs'!$K$11))*(OperBgt!EE$38&gt;'Operating Inputs'!$K$9)*MIN('Operating Inputs'!$K$10-1,1)*EE$109*EE$48+(EF$5&lt;=(MonthStabilization+'Operating Inputs'!$K$11))*(OperBgt!EF$38&gt;'Operating Inputs'!$K$9)*MIN('Operating Inputs'!$K$10,1)*EF$109*EF$48,0)
+N("Lease-up concession if less than or equal to 2 months")
-IF(AND('Operating Inputs'!$K$8&lt;=2,EF$38&lt;'Operating Inputs'!$K$9,EG$38&lt;&gt;(1-Vacancy)),MIN('Operating Inputs'!$K$8,1)*(AvgLeaseTermMarket/12)*EF48*OperBgt!EF35+('Operating Inputs'!$K$8-1)*(AvgLeaseTermMarket/12)*EE48*OperBgt!EE35,0)
+N("Stabilized concession if less than or equal to 1 month")
-IF(AND('Operating Inputs'!$K$10&lt;=1,EG$38=(1-Vacancy),EF$5&lt;=(MonthStabilization+'Operating Inputs'!$K$11)),'Operating Inputs'!$K$10*(AvgLeaseTermMarket/12)*EF48*OperBgt!EF109,0)</f>
        <v>0</v>
      </c>
      <c r="EH63" s="1602">
        <f>N("Lease-up concession if greater than 2 months")
-IF('Operating Inputs'!$K$8&gt;2,(EE$38&lt;'Operating Inputs'!$K$9)*MAX('Operating Inputs'!$K$8-2,0)*EE$48*EE$35+(OperBgt!EF$38&lt;'Operating Inputs'!$K$9)*MIN('Operating Inputs'!$K$8-1,1)*EF$35*EF$48+(OperBgt!EG$38&lt;'Operating Inputs'!$K$9)*MIN('Operating Inputs'!$K$8,1)*EG$35*EG$48,0)
+N("Stabilized concession if greater than 1 month")
-IF('Operating Inputs'!$K$10&gt;1,(EF$5&lt;=(MonthStabilization+'Operating Inputs'!$K$11))*(OperBgt!EF$38&gt;'Operating Inputs'!$K$9)*MIN('Operating Inputs'!$K$10-1,1)*EF$109*EF$48+(EG$5&lt;=(MonthStabilization+'Operating Inputs'!$K$11))*(OperBgt!EG$38&gt;'Operating Inputs'!$K$9)*MIN('Operating Inputs'!$K$10,1)*EG$109*EG$48,0)
+N("Lease-up concession if less than or equal to 2 months")
-IF(AND('Operating Inputs'!$K$8&lt;=2,EG$38&lt;'Operating Inputs'!$K$9,EH$38&lt;&gt;(1-Vacancy)),MIN('Operating Inputs'!$K$8,1)*(AvgLeaseTermMarket/12)*EG48*OperBgt!EG35+('Operating Inputs'!$K$8-1)*(AvgLeaseTermMarket/12)*EF48*OperBgt!EF35,0)
+N("Stabilized concession if less than or equal to 1 month")
-IF(AND('Operating Inputs'!$K$10&lt;=1,EH$38=(1-Vacancy),EG$5&lt;=(MonthStabilization+'Operating Inputs'!$K$11)),'Operating Inputs'!$K$10*(AvgLeaseTermMarket/12)*EG48*OperBgt!EG109,0)</f>
        <v>0</v>
      </c>
      <c r="EI63" s="687"/>
      <c r="EK63" s="672"/>
    </row>
    <row r="64" spans="1:141" s="273" customFormat="1" x14ac:dyDescent="0.3">
      <c r="A64" s="279" t="s">
        <v>2404</v>
      </c>
      <c r="E64" s="689">
        <f>SUM(E61:E63)</f>
        <v>583026.64174427092</v>
      </c>
      <c r="F64" s="689">
        <f>SUM(F61:F63)</f>
        <v>597518.12679468212</v>
      </c>
      <c r="G64" s="277">
        <f>SUM(G61:G63)</f>
        <v>0</v>
      </c>
      <c r="H64" s="277">
        <f t="shared" ref="H64:BS64" si="83">SUM(H61:H63)</f>
        <v>0</v>
      </c>
      <c r="I64" s="277">
        <f>SUM(I61:I63)</f>
        <v>0</v>
      </c>
      <c r="J64" s="277">
        <f t="shared" si="83"/>
        <v>0</v>
      </c>
      <c r="K64" s="277">
        <f t="shared" si="83"/>
        <v>0</v>
      </c>
      <c r="L64" s="277">
        <f t="shared" si="83"/>
        <v>0</v>
      </c>
      <c r="M64" s="277">
        <f t="shared" si="83"/>
        <v>0</v>
      </c>
      <c r="N64" s="277">
        <f t="shared" si="83"/>
        <v>0</v>
      </c>
      <c r="O64" s="277">
        <f t="shared" si="83"/>
        <v>0</v>
      </c>
      <c r="P64" s="277">
        <f t="shared" si="83"/>
        <v>0</v>
      </c>
      <c r="Q64" s="277">
        <f t="shared" si="83"/>
        <v>0</v>
      </c>
      <c r="R64" s="277">
        <f t="shared" si="83"/>
        <v>0</v>
      </c>
      <c r="S64" s="277">
        <f>SUM(S61:S63)</f>
        <v>0</v>
      </c>
      <c r="T64" s="277">
        <f>SUM(T61:T63)</f>
        <v>18311.022254397161</v>
      </c>
      <c r="U64" s="277">
        <f t="shared" si="83"/>
        <v>23728.029924862149</v>
      </c>
      <c r="V64" s="277">
        <f t="shared" si="83"/>
        <v>44789.741448419154</v>
      </c>
      <c r="W64" s="277">
        <f t="shared" si="83"/>
        <v>81554.146312186989</v>
      </c>
      <c r="X64" s="277">
        <f t="shared" si="83"/>
        <v>118428.87395034943</v>
      </c>
      <c r="Y64" s="277">
        <f t="shared" si="83"/>
        <v>164671.35556270971</v>
      </c>
      <c r="Z64" s="277">
        <f t="shared" si="83"/>
        <v>204514.25672099867</v>
      </c>
      <c r="AA64" s="277">
        <f t="shared" si="83"/>
        <v>252513.53359655599</v>
      </c>
      <c r="AB64" s="277">
        <f t="shared" si="83"/>
        <v>308743.72788345348</v>
      </c>
      <c r="AC64" s="277">
        <f t="shared" si="83"/>
        <v>365280.98871075135</v>
      </c>
      <c r="AD64" s="277">
        <f t="shared" si="83"/>
        <v>422126.94632937829</v>
      </c>
      <c r="AE64" s="277">
        <f t="shared" si="83"/>
        <v>469772.77697801485</v>
      </c>
      <c r="AF64" s="277">
        <f t="shared" si="83"/>
        <v>526166.90593430062</v>
      </c>
      <c r="AG64" s="277">
        <f t="shared" si="83"/>
        <v>619022.89356840984</v>
      </c>
      <c r="AH64" s="277">
        <f t="shared" si="83"/>
        <v>635273.24064903962</v>
      </c>
      <c r="AI64" s="277">
        <f t="shared" si="83"/>
        <v>637288.14041919704</v>
      </c>
      <c r="AJ64" s="277">
        <f t="shared" si="83"/>
        <v>639298.69425728195</v>
      </c>
      <c r="AK64" s="277">
        <f t="shared" si="83"/>
        <v>642191.52807245043</v>
      </c>
      <c r="AL64" s="277">
        <f t="shared" si="83"/>
        <v>645073.61515877931</v>
      </c>
      <c r="AM64" s="277">
        <f t="shared" si="83"/>
        <v>647944.76239036571</v>
      </c>
      <c r="AN64" s="277">
        <f t="shared" si="83"/>
        <v>650804.77489989228</v>
      </c>
      <c r="AO64" s="277">
        <f t="shared" si="83"/>
        <v>653653.45606559224</v>
      </c>
      <c r="AP64" s="277">
        <f t="shared" si="83"/>
        <v>656490.60749812354</v>
      </c>
      <c r="AQ64" s="277">
        <f t="shared" si="83"/>
        <v>658452.97367749491</v>
      </c>
      <c r="AR64" s="277">
        <f>SUM(AR61:AR63)</f>
        <v>662130.90919319598</v>
      </c>
      <c r="AS64" s="277">
        <f t="shared" si="83"/>
        <v>665343.25145509688</v>
      </c>
      <c r="AT64" s="277">
        <f t="shared" si="83"/>
        <v>667290.50114044489</v>
      </c>
      <c r="AU64" s="277">
        <f t="shared" si="83"/>
        <v>669202.61018041417</v>
      </c>
      <c r="AV64" s="277">
        <f t="shared" si="83"/>
        <v>671079.36998642795</v>
      </c>
      <c r="AW64" s="277">
        <f t="shared" si="83"/>
        <v>673721.28505326726</v>
      </c>
      <c r="AX64" s="277">
        <f t="shared" si="83"/>
        <v>676281.98044818302</v>
      </c>
      <c r="AY64" s="277">
        <f t="shared" si="83"/>
        <v>678760.73959958612</v>
      </c>
      <c r="AZ64" s="277">
        <f t="shared" si="83"/>
        <v>681156.84132555104</v>
      </c>
      <c r="BA64" s="277">
        <f t="shared" si="83"/>
        <v>683469.55980733258</v>
      </c>
      <c r="BB64" s="277">
        <f t="shared" si="83"/>
        <v>685698.16456273641</v>
      </c>
      <c r="BC64" s="277">
        <f t="shared" si="83"/>
        <v>687208.44951515831</v>
      </c>
      <c r="BD64" s="277">
        <f t="shared" si="83"/>
        <v>689909.66403629631</v>
      </c>
      <c r="BE64" s="277">
        <f t="shared" si="83"/>
        <v>692218.71635844116</v>
      </c>
      <c r="BF64" s="277">
        <f t="shared" si="83"/>
        <v>693615.2234646033</v>
      </c>
      <c r="BG64" s="277">
        <f t="shared" si="83"/>
        <v>695036.25402456161</v>
      </c>
      <c r="BH64" s="277">
        <f t="shared" si="83"/>
        <v>696481.92066075082</v>
      </c>
      <c r="BI64" s="277">
        <f t="shared" si="83"/>
        <v>698564.06111682858</v>
      </c>
      <c r="BJ64" s="277">
        <f t="shared" si="83"/>
        <v>700701.38094946952</v>
      </c>
      <c r="BK64" s="277">
        <f t="shared" si="83"/>
        <v>702894.26084236486</v>
      </c>
      <c r="BL64" s="277">
        <f t="shared" si="83"/>
        <v>705143.08355309663</v>
      </c>
      <c r="BM64" s="277">
        <f t="shared" si="83"/>
        <v>707448.23392335244</v>
      </c>
      <c r="BN64" s="277">
        <f t="shared" si="83"/>
        <v>709810.09888918768</v>
      </c>
      <c r="BO64" s="277">
        <f t="shared" si="83"/>
        <v>711506.29243674176</v>
      </c>
      <c r="BP64" s="277">
        <f t="shared" si="83"/>
        <v>714699.21125915123</v>
      </c>
      <c r="BQ64" s="277">
        <f t="shared" si="83"/>
        <v>717546.62415922142</v>
      </c>
      <c r="BR64" s="277">
        <f t="shared" si="83"/>
        <v>719320.86091346561</v>
      </c>
      <c r="BS64" s="277">
        <f t="shared" si="83"/>
        <v>721099.92800221231</v>
      </c>
      <c r="BT64" s="277">
        <f t="shared" ref="BT64:EE64" si="84">SUM(BT61:BT63)</f>
        <v>722883.8385953051</v>
      </c>
      <c r="BU64" s="277">
        <f t="shared" si="84"/>
        <v>725439.80189629027</v>
      </c>
      <c r="BV64" s="277">
        <f t="shared" si="84"/>
        <v>728005.93839160947</v>
      </c>
      <c r="BW64" s="277">
        <f t="shared" si="84"/>
        <v>730582.28921985312</v>
      </c>
      <c r="BX64" s="277">
        <f t="shared" si="84"/>
        <v>733168.89568763215</v>
      </c>
      <c r="BY64" s="277">
        <f t="shared" si="84"/>
        <v>735765.79927026923</v>
      </c>
      <c r="BZ64" s="277">
        <f t="shared" si="84"/>
        <v>738373.04161249159</v>
      </c>
      <c r="CA64" s="277">
        <f t="shared" si="84"/>
        <v>740204.17780408775</v>
      </c>
      <c r="CB64" s="277">
        <f t="shared" si="84"/>
        <v>743617.62268790847</v>
      </c>
      <c r="CC64" s="277">
        <f t="shared" si="84"/>
        <v>746620.84281391185</v>
      </c>
      <c r="CD64" s="277">
        <f t="shared" si="84"/>
        <v>748466.97774231934</v>
      </c>
      <c r="CE64" s="277">
        <f t="shared" si="84"/>
        <v>750318.13954077766</v>
      </c>
      <c r="CF64" s="277">
        <f t="shared" si="84"/>
        <v>752174.34191696974</v>
      </c>
      <c r="CG64" s="277">
        <f t="shared" si="84"/>
        <v>754835.22368203895</v>
      </c>
      <c r="CH64" s="277">
        <f t="shared" si="84"/>
        <v>757506.70096086839</v>
      </c>
      <c r="CI64" s="277">
        <f t="shared" si="84"/>
        <v>760188.81661197601</v>
      </c>
      <c r="CJ64" s="277">
        <f t="shared" si="84"/>
        <v>762881.61366895633</v>
      </c>
      <c r="CK64" s="277">
        <f t="shared" si="84"/>
        <v>765585.13534119935</v>
      </c>
      <c r="CL64" s="277">
        <f t="shared" si="84"/>
        <v>768299.42501461343</v>
      </c>
      <c r="CM64" s="277">
        <f t="shared" si="84"/>
        <v>770204.79504769284</v>
      </c>
      <c r="CN64" s="277">
        <f t="shared" si="84"/>
        <v>773759.34951714787</v>
      </c>
      <c r="CO64" s="277">
        <f t="shared" si="84"/>
        <v>776886.33136087318</v>
      </c>
      <c r="CP64" s="277">
        <f t="shared" si="84"/>
        <v>778807.3106274032</v>
      </c>
      <c r="CQ64" s="277">
        <f t="shared" si="84"/>
        <v>780733.52137778758</v>
      </c>
      <c r="CR64" s="277">
        <f t="shared" si="84"/>
        <v>782664.97787971911</v>
      </c>
      <c r="CS64" s="277">
        <f t="shared" si="84"/>
        <v>785435.11933792627</v>
      </c>
      <c r="CT64" s="277">
        <f t="shared" si="84"/>
        <v>788216.29624967033</v>
      </c>
      <c r="CU64" s="277">
        <f t="shared" si="84"/>
        <v>791008.55326552794</v>
      </c>
      <c r="CV64" s="277">
        <f t="shared" si="84"/>
        <v>793811.93521850475</v>
      </c>
      <c r="CW64" s="277">
        <f t="shared" si="84"/>
        <v>796626.48712478438</v>
      </c>
      <c r="CX64" s="277">
        <f t="shared" si="84"/>
        <v>799452.25418448215</v>
      </c>
      <c r="CY64" s="277">
        <f t="shared" si="84"/>
        <v>801434.90086725261</v>
      </c>
      <c r="CZ64" s="277">
        <f t="shared" si="84"/>
        <v>805136.43430717289</v>
      </c>
      <c r="DA64" s="277">
        <f t="shared" si="84"/>
        <v>808392.31373106746</v>
      </c>
      <c r="DB64" s="277">
        <f t="shared" si="84"/>
        <v>810391.20524455723</v>
      </c>
      <c r="DC64" s="277">
        <f t="shared" si="84"/>
        <v>812395.54126854998</v>
      </c>
      <c r="DD64" s="277">
        <f t="shared" si="84"/>
        <v>814405.33665383596</v>
      </c>
      <c r="DE64" s="277">
        <f t="shared" si="84"/>
        <v>817289.25972727779</v>
      </c>
      <c r="DF64" s="277">
        <f t="shared" si="84"/>
        <v>820184.67655226053</v>
      </c>
      <c r="DG64" s="277">
        <f t="shared" si="84"/>
        <v>823091.63364658353</v>
      </c>
      <c r="DH64" s="277">
        <f t="shared" si="84"/>
        <v>826010.1777181353</v>
      </c>
      <c r="DI64" s="277">
        <f t="shared" si="84"/>
        <v>828940.35566567641</v>
      </c>
      <c r="DJ64" s="277">
        <f t="shared" si="84"/>
        <v>831882.21457962343</v>
      </c>
      <c r="DK64" s="277">
        <f t="shared" si="84"/>
        <v>833945.30648778158</v>
      </c>
      <c r="DL64" s="277">
        <f t="shared" si="84"/>
        <v>837799.93352172116</v>
      </c>
      <c r="DM64" s="277">
        <f t="shared" si="84"/>
        <v>841190.06061420753</v>
      </c>
      <c r="DN64" s="277">
        <f t="shared" si="84"/>
        <v>843270.05909083306</v>
      </c>
      <c r="DO64" s="277">
        <f t="shared" si="84"/>
        <v>845355.72386597854</v>
      </c>
      <c r="DP64" s="277">
        <f t="shared" si="84"/>
        <v>847447.07039757981</v>
      </c>
      <c r="DQ64" s="277">
        <f t="shared" si="84"/>
        <v>850449.48525494861</v>
      </c>
      <c r="DR64" s="277">
        <f t="shared" si="84"/>
        <v>853463.87128895021</v>
      </c>
      <c r="DS64" s="277">
        <f t="shared" si="84"/>
        <v>856490.27696292778</v>
      </c>
      <c r="DT64" s="277">
        <f t="shared" si="84"/>
        <v>859528.75093829888</v>
      </c>
      <c r="DU64" s="277">
        <f t="shared" si="84"/>
        <v>862579.34207536897</v>
      </c>
      <c r="DV64" s="277">
        <f t="shared" si="84"/>
        <v>865642.09943414945</v>
      </c>
      <c r="DW64" s="277">
        <f t="shared" si="84"/>
        <v>867788.93614149897</v>
      </c>
      <c r="DX64" s="277">
        <f t="shared" si="84"/>
        <v>871803.02691214182</v>
      </c>
      <c r="DY64" s="277">
        <f t="shared" si="84"/>
        <v>875332.97495691932</v>
      </c>
      <c r="DZ64" s="277">
        <f t="shared" si="84"/>
        <v>877497.40719413129</v>
      </c>
      <c r="EA64" s="277">
        <f t="shared" si="84"/>
        <v>879667.73664229328</v>
      </c>
      <c r="EB64" s="277">
        <f t="shared" si="84"/>
        <v>881843.9793915326</v>
      </c>
      <c r="EC64" s="277">
        <f t="shared" si="84"/>
        <v>884969.79231842747</v>
      </c>
      <c r="ED64" s="277">
        <f t="shared" si="84"/>
        <v>888108.07377527899</v>
      </c>
      <c r="EE64" s="277">
        <f t="shared" si="84"/>
        <v>891258.87425259012</v>
      </c>
      <c r="EF64" s="277">
        <f t="shared" ref="EF64:EH64" si="85">SUM(EF61:EF63)</f>
        <v>894422.24444725737</v>
      </c>
      <c r="EG64" s="277">
        <f t="shared" si="85"/>
        <v>897598.23526341922</v>
      </c>
      <c r="EH64" s="277">
        <f t="shared" si="85"/>
        <v>900786.89781330992</v>
      </c>
      <c r="EI64" s="272"/>
      <c r="EJ64"/>
      <c r="EK64" s="280"/>
    </row>
    <row r="65" spans="1:141" s="198" customFormat="1" x14ac:dyDescent="0.3">
      <c r="A65" s="661" t="s">
        <v>859</v>
      </c>
      <c r="B65" s="661"/>
      <c r="C65" s="661"/>
      <c r="D65" s="661"/>
      <c r="E65" s="676">
        <f>'Operating Inputs'!F110</f>
        <v>0</v>
      </c>
      <c r="F65" s="676">
        <f>E65</f>
        <v>0</v>
      </c>
      <c r="G65" s="242">
        <f>'Operating Inputs'!Q110</f>
        <v>0</v>
      </c>
      <c r="H65" s="242">
        <f>'Operating Inputs'!R110</f>
        <v>0</v>
      </c>
      <c r="I65" s="242">
        <f>'Operating Inputs'!S110</f>
        <v>0</v>
      </c>
      <c r="J65" s="242">
        <f>'Operating Inputs'!T110</f>
        <v>0</v>
      </c>
      <c r="K65" s="242">
        <f>'Operating Inputs'!U110</f>
        <v>0</v>
      </c>
      <c r="L65" s="242">
        <f>'Operating Inputs'!V110</f>
        <v>0</v>
      </c>
      <c r="M65" s="242">
        <f>'Operating Inputs'!W110</f>
        <v>0</v>
      </c>
      <c r="N65" s="242">
        <f>'Operating Inputs'!X110</f>
        <v>0</v>
      </c>
      <c r="O65" s="242">
        <f>'Operating Inputs'!Y110</f>
        <v>0</v>
      </c>
      <c r="P65" s="242">
        <f>'Operating Inputs'!Z110</f>
        <v>0</v>
      </c>
      <c r="Q65" s="242">
        <f>'Operating Inputs'!AA110</f>
        <v>0</v>
      </c>
      <c r="R65" s="242">
        <f>'Operating Inputs'!AB110</f>
        <v>0</v>
      </c>
      <c r="S65" s="242">
        <f>'Operating Inputs'!AC110</f>
        <v>0</v>
      </c>
      <c r="T65" s="242">
        <f>'Operating Inputs'!AD110</f>
        <v>0</v>
      </c>
      <c r="U65" s="242">
        <f>'Operating Inputs'!AE110</f>
        <v>0</v>
      </c>
      <c r="V65" s="242">
        <f>'Operating Inputs'!AF110</f>
        <v>0</v>
      </c>
      <c r="W65" s="242">
        <f>'Operating Inputs'!AG110</f>
        <v>0</v>
      </c>
      <c r="X65" s="242">
        <f>'Operating Inputs'!AH110</f>
        <v>0</v>
      </c>
      <c r="Y65" s="242">
        <f>'Operating Inputs'!AI110</f>
        <v>0</v>
      </c>
      <c r="Z65" s="242">
        <f>'Operating Inputs'!AJ110</f>
        <v>0</v>
      </c>
      <c r="AA65" s="242">
        <f>'Operating Inputs'!AK110</f>
        <v>0</v>
      </c>
      <c r="AB65" s="242">
        <f>'Operating Inputs'!AL110</f>
        <v>0</v>
      </c>
      <c r="AC65" s="242">
        <f>'Operating Inputs'!AM110</f>
        <v>0</v>
      </c>
      <c r="AD65" s="242">
        <f>'Operating Inputs'!AN110</f>
        <v>0</v>
      </c>
      <c r="AE65" s="242">
        <f>'Operating Inputs'!AO110</f>
        <v>0</v>
      </c>
      <c r="AF65" s="242">
        <f>'Operating Inputs'!AP110</f>
        <v>0</v>
      </c>
      <c r="AG65" s="242">
        <f>'Operating Inputs'!AQ110</f>
        <v>0</v>
      </c>
      <c r="AH65" s="242">
        <f>'Operating Inputs'!AR110</f>
        <v>0</v>
      </c>
      <c r="AI65" s="242">
        <f>'Operating Inputs'!AS110</f>
        <v>0</v>
      </c>
      <c r="AJ65" s="242">
        <f>'Operating Inputs'!AT110</f>
        <v>0</v>
      </c>
      <c r="AK65" s="242">
        <f>'Operating Inputs'!AU110</f>
        <v>0</v>
      </c>
      <c r="AL65" s="242">
        <f>'Operating Inputs'!AV110</f>
        <v>0</v>
      </c>
      <c r="AM65" s="242">
        <f>'Operating Inputs'!AW110</f>
        <v>0</v>
      </c>
      <c r="AN65" s="242">
        <f>'Operating Inputs'!AX110</f>
        <v>0</v>
      </c>
      <c r="AO65" s="242">
        <f>'Operating Inputs'!AY110</f>
        <v>0</v>
      </c>
      <c r="AP65" s="242">
        <f>'Operating Inputs'!AZ110</f>
        <v>0</v>
      </c>
      <c r="AQ65" s="242">
        <f>'Operating Inputs'!BA110</f>
        <v>0</v>
      </c>
      <c r="AR65" s="242">
        <f>'Operating Inputs'!BB110</f>
        <v>0</v>
      </c>
      <c r="AS65" s="242">
        <f>'Operating Inputs'!BC110</f>
        <v>0</v>
      </c>
      <c r="AT65" s="242">
        <f>'Operating Inputs'!BD110</f>
        <v>0</v>
      </c>
      <c r="AU65" s="242">
        <f>'Operating Inputs'!BE110</f>
        <v>0</v>
      </c>
      <c r="AV65" s="242">
        <f>'Operating Inputs'!BF110</f>
        <v>0</v>
      </c>
      <c r="AW65" s="242">
        <f>'Operating Inputs'!BG110</f>
        <v>0</v>
      </c>
      <c r="AX65" s="242">
        <f>'Operating Inputs'!BH110</f>
        <v>0</v>
      </c>
      <c r="AY65" s="242">
        <f>'Operating Inputs'!BI110</f>
        <v>0</v>
      </c>
      <c r="AZ65" s="242">
        <f>'Operating Inputs'!BJ110</f>
        <v>0</v>
      </c>
      <c r="BA65" s="242">
        <f>'Operating Inputs'!BK110</f>
        <v>0</v>
      </c>
      <c r="BB65" s="242">
        <f>'Operating Inputs'!BL110</f>
        <v>0</v>
      </c>
      <c r="BC65" s="242">
        <f>'Operating Inputs'!BM110</f>
        <v>0</v>
      </c>
      <c r="BD65" s="242">
        <f>'Operating Inputs'!BN110</f>
        <v>0</v>
      </c>
      <c r="BE65" s="242">
        <f>'Operating Inputs'!BO110</f>
        <v>0</v>
      </c>
      <c r="BF65" s="242">
        <f>'Operating Inputs'!BP110</f>
        <v>0</v>
      </c>
      <c r="BG65" s="242">
        <f>'Operating Inputs'!BQ110</f>
        <v>0</v>
      </c>
      <c r="BH65" s="242">
        <f>'Operating Inputs'!BR110</f>
        <v>0</v>
      </c>
      <c r="BI65" s="242">
        <f>'Operating Inputs'!BS110</f>
        <v>0</v>
      </c>
      <c r="BJ65" s="242">
        <f>'Operating Inputs'!BT110</f>
        <v>0</v>
      </c>
      <c r="BK65" s="242">
        <f>'Operating Inputs'!BU110</f>
        <v>0</v>
      </c>
      <c r="BL65" s="242">
        <f>'Operating Inputs'!BV110</f>
        <v>0</v>
      </c>
      <c r="BM65" s="242">
        <f>'Operating Inputs'!BW110</f>
        <v>0</v>
      </c>
      <c r="BN65" s="242">
        <f>'Operating Inputs'!BX110</f>
        <v>0</v>
      </c>
      <c r="BO65" s="242">
        <f>'Operating Inputs'!BY110</f>
        <v>0</v>
      </c>
      <c r="BP65" s="242">
        <f>'Operating Inputs'!BZ110</f>
        <v>0</v>
      </c>
      <c r="BQ65" s="242">
        <f>'Operating Inputs'!CA110</f>
        <v>0</v>
      </c>
      <c r="BR65" s="242">
        <f>'Operating Inputs'!CB110</f>
        <v>0</v>
      </c>
      <c r="BS65" s="242">
        <f>'Operating Inputs'!CC110</f>
        <v>0</v>
      </c>
      <c r="BT65" s="242">
        <f>'Operating Inputs'!CD110</f>
        <v>0</v>
      </c>
      <c r="BU65" s="242">
        <f>'Operating Inputs'!CE110</f>
        <v>0</v>
      </c>
      <c r="BV65" s="242">
        <f>'Operating Inputs'!CF110</f>
        <v>0</v>
      </c>
      <c r="BW65" s="242">
        <f>'Operating Inputs'!CG110</f>
        <v>0</v>
      </c>
      <c r="BX65" s="242">
        <f>'Operating Inputs'!CH110</f>
        <v>0</v>
      </c>
      <c r="BY65" s="242">
        <f>'Operating Inputs'!CI110</f>
        <v>0</v>
      </c>
      <c r="BZ65" s="242">
        <f>'Operating Inputs'!CJ110</f>
        <v>0</v>
      </c>
      <c r="CA65" s="242">
        <f>'Operating Inputs'!CK110</f>
        <v>0</v>
      </c>
      <c r="CB65" s="242">
        <f>'Operating Inputs'!CL110</f>
        <v>0</v>
      </c>
      <c r="CC65" s="242">
        <f>'Operating Inputs'!CM110</f>
        <v>0</v>
      </c>
      <c r="CD65" s="242">
        <f>'Operating Inputs'!CN110</f>
        <v>0</v>
      </c>
      <c r="CE65" s="242">
        <f>'Operating Inputs'!CO110</f>
        <v>0</v>
      </c>
      <c r="CF65" s="242">
        <f>'Operating Inputs'!CP110</f>
        <v>0</v>
      </c>
      <c r="CG65" s="242">
        <f>'Operating Inputs'!CQ110</f>
        <v>0</v>
      </c>
      <c r="CH65" s="242">
        <f>'Operating Inputs'!CR110</f>
        <v>0</v>
      </c>
      <c r="CI65" s="242">
        <f>'Operating Inputs'!CS110</f>
        <v>0</v>
      </c>
      <c r="CJ65" s="242">
        <f>'Operating Inputs'!CT110</f>
        <v>0</v>
      </c>
      <c r="CK65" s="242">
        <f>'Operating Inputs'!CU110</f>
        <v>0</v>
      </c>
      <c r="CL65" s="242">
        <f>'Operating Inputs'!CV110</f>
        <v>0</v>
      </c>
      <c r="CM65" s="242">
        <f>'Operating Inputs'!CW110</f>
        <v>0</v>
      </c>
      <c r="CN65" s="242">
        <f>'Operating Inputs'!CX110</f>
        <v>0</v>
      </c>
      <c r="CO65" s="242">
        <f>'Operating Inputs'!CY110</f>
        <v>0</v>
      </c>
      <c r="CP65" s="242">
        <f>'Operating Inputs'!CZ110</f>
        <v>0</v>
      </c>
      <c r="CQ65" s="242">
        <f>'Operating Inputs'!DA110</f>
        <v>0</v>
      </c>
      <c r="CR65" s="242">
        <f>'Operating Inputs'!DB110</f>
        <v>0</v>
      </c>
      <c r="CS65" s="242">
        <f>'Operating Inputs'!DC110</f>
        <v>0</v>
      </c>
      <c r="CT65" s="242">
        <f>'Operating Inputs'!DD110</f>
        <v>0</v>
      </c>
      <c r="CU65" s="242">
        <f>'Operating Inputs'!DE110</f>
        <v>0</v>
      </c>
      <c r="CV65" s="242">
        <f>'Operating Inputs'!DF110</f>
        <v>0</v>
      </c>
      <c r="CW65" s="242">
        <f>'Operating Inputs'!DG110</f>
        <v>0</v>
      </c>
      <c r="CX65" s="242">
        <f>'Operating Inputs'!DH110</f>
        <v>0</v>
      </c>
      <c r="CY65" s="242">
        <f>'Operating Inputs'!DI110</f>
        <v>0</v>
      </c>
      <c r="CZ65" s="242">
        <f>'Operating Inputs'!DJ110</f>
        <v>0</v>
      </c>
      <c r="DA65" s="242">
        <f>'Operating Inputs'!DK110</f>
        <v>0</v>
      </c>
      <c r="DB65" s="242">
        <f>'Operating Inputs'!DL110</f>
        <v>0</v>
      </c>
      <c r="DC65" s="242">
        <f>'Operating Inputs'!DM110</f>
        <v>0</v>
      </c>
      <c r="DD65" s="242">
        <f>'Operating Inputs'!DN110</f>
        <v>0</v>
      </c>
      <c r="DE65" s="242">
        <f>'Operating Inputs'!DO110</f>
        <v>0</v>
      </c>
      <c r="DF65" s="242">
        <f>'Operating Inputs'!DP110</f>
        <v>0</v>
      </c>
      <c r="DG65" s="242">
        <f>'Operating Inputs'!DQ110</f>
        <v>0</v>
      </c>
      <c r="DH65" s="242">
        <f>'Operating Inputs'!DR110</f>
        <v>0</v>
      </c>
      <c r="DI65" s="242">
        <f>'Operating Inputs'!DS110</f>
        <v>0</v>
      </c>
      <c r="DJ65" s="242">
        <f>'Operating Inputs'!DT110</f>
        <v>0</v>
      </c>
      <c r="DK65" s="242">
        <f>'Operating Inputs'!DU110</f>
        <v>0</v>
      </c>
      <c r="DL65" s="242">
        <f>'Operating Inputs'!DV110</f>
        <v>0</v>
      </c>
      <c r="DM65" s="242">
        <f>'Operating Inputs'!DW110</f>
        <v>0</v>
      </c>
      <c r="DN65" s="242">
        <f>'Operating Inputs'!DX110</f>
        <v>0</v>
      </c>
      <c r="DO65" s="242">
        <f>'Operating Inputs'!DY110</f>
        <v>0</v>
      </c>
      <c r="DP65" s="242">
        <f>'Operating Inputs'!DZ110</f>
        <v>0</v>
      </c>
      <c r="DQ65" s="242">
        <f>'Operating Inputs'!EA110</f>
        <v>0</v>
      </c>
      <c r="DR65" s="242">
        <f>'Operating Inputs'!EB110</f>
        <v>0</v>
      </c>
      <c r="DS65" s="242">
        <f>'Operating Inputs'!EC110</f>
        <v>0</v>
      </c>
      <c r="DT65" s="242">
        <f>'Operating Inputs'!ED110</f>
        <v>0</v>
      </c>
      <c r="DU65" s="242">
        <f>'Operating Inputs'!EE110</f>
        <v>0</v>
      </c>
      <c r="DV65" s="242">
        <f>'Operating Inputs'!EF110</f>
        <v>0</v>
      </c>
      <c r="DW65" s="242">
        <f>'Operating Inputs'!EG110</f>
        <v>0</v>
      </c>
      <c r="DX65" s="242">
        <f>'Operating Inputs'!EH110</f>
        <v>0</v>
      </c>
      <c r="DY65" s="242">
        <f>'Operating Inputs'!EI110</f>
        <v>0</v>
      </c>
      <c r="DZ65" s="242">
        <f>'Operating Inputs'!EJ110</f>
        <v>0</v>
      </c>
      <c r="EA65" s="242">
        <f>'Operating Inputs'!EK110</f>
        <v>0</v>
      </c>
      <c r="EB65" s="242">
        <f>'Operating Inputs'!EL110</f>
        <v>0</v>
      </c>
      <c r="EC65" s="242">
        <f>'Operating Inputs'!EM110</f>
        <v>0</v>
      </c>
      <c r="ED65" s="242">
        <f>'Operating Inputs'!EN110</f>
        <v>0</v>
      </c>
      <c r="EE65" s="242">
        <f>'Operating Inputs'!EO110</f>
        <v>0</v>
      </c>
      <c r="EF65" s="242">
        <f>'Operating Inputs'!EP110</f>
        <v>0</v>
      </c>
      <c r="EG65" s="242">
        <f>'Operating Inputs'!EQ110</f>
        <v>0</v>
      </c>
      <c r="EH65" s="242">
        <f>'Operating Inputs'!ER110</f>
        <v>0</v>
      </c>
      <c r="EI65" s="688"/>
      <c r="EJ65"/>
      <c r="EK65" s="280"/>
    </row>
    <row r="66" spans="1:141" s="279" customFormat="1" x14ac:dyDescent="0.3">
      <c r="A66" s="279" t="s">
        <v>2405</v>
      </c>
      <c r="E66" s="689">
        <f t="shared" ref="E66:BP66" si="86">SUM(E64:E65)</f>
        <v>583026.64174427092</v>
      </c>
      <c r="F66" s="689">
        <f t="shared" si="86"/>
        <v>597518.12679468212</v>
      </c>
      <c r="G66" s="277">
        <f t="shared" si="86"/>
        <v>0</v>
      </c>
      <c r="H66" s="277">
        <f t="shared" si="86"/>
        <v>0</v>
      </c>
      <c r="I66" s="277">
        <f t="shared" si="86"/>
        <v>0</v>
      </c>
      <c r="J66" s="277">
        <f t="shared" si="86"/>
        <v>0</v>
      </c>
      <c r="K66" s="277">
        <f t="shared" si="86"/>
        <v>0</v>
      </c>
      <c r="L66" s="277">
        <f t="shared" si="86"/>
        <v>0</v>
      </c>
      <c r="M66" s="277">
        <f t="shared" si="86"/>
        <v>0</v>
      </c>
      <c r="N66" s="277">
        <f t="shared" si="86"/>
        <v>0</v>
      </c>
      <c r="O66" s="277">
        <f t="shared" si="86"/>
        <v>0</v>
      </c>
      <c r="P66" s="277">
        <f t="shared" si="86"/>
        <v>0</v>
      </c>
      <c r="Q66" s="277">
        <f t="shared" si="86"/>
        <v>0</v>
      </c>
      <c r="R66" s="277">
        <f t="shared" si="86"/>
        <v>0</v>
      </c>
      <c r="S66" s="277">
        <f>SUM(S64:S65)</f>
        <v>0</v>
      </c>
      <c r="T66" s="277">
        <f>SUM(T64:T65)</f>
        <v>18311.022254397161</v>
      </c>
      <c r="U66" s="277">
        <f t="shared" si="86"/>
        <v>23728.029924862149</v>
      </c>
      <c r="V66" s="277">
        <f t="shared" si="86"/>
        <v>44789.741448419154</v>
      </c>
      <c r="W66" s="277">
        <f t="shared" si="86"/>
        <v>81554.146312186989</v>
      </c>
      <c r="X66" s="277">
        <f t="shared" si="86"/>
        <v>118428.87395034943</v>
      </c>
      <c r="Y66" s="277">
        <f t="shared" si="86"/>
        <v>164671.35556270971</v>
      </c>
      <c r="Z66" s="277">
        <f t="shared" si="86"/>
        <v>204514.25672099867</v>
      </c>
      <c r="AA66" s="277">
        <f t="shared" si="86"/>
        <v>252513.53359655599</v>
      </c>
      <c r="AB66" s="277">
        <f t="shared" si="86"/>
        <v>308743.72788345348</v>
      </c>
      <c r="AC66" s="277">
        <f t="shared" si="86"/>
        <v>365280.98871075135</v>
      </c>
      <c r="AD66" s="277">
        <f t="shared" si="86"/>
        <v>422126.94632937829</v>
      </c>
      <c r="AE66" s="277">
        <f t="shared" si="86"/>
        <v>469772.77697801485</v>
      </c>
      <c r="AF66" s="277">
        <f t="shared" si="86"/>
        <v>526166.90593430062</v>
      </c>
      <c r="AG66" s="277">
        <f t="shared" si="86"/>
        <v>619022.89356840984</v>
      </c>
      <c r="AH66" s="277">
        <f t="shared" si="86"/>
        <v>635273.24064903962</v>
      </c>
      <c r="AI66" s="277">
        <f t="shared" si="86"/>
        <v>637288.14041919704</v>
      </c>
      <c r="AJ66" s="277">
        <f t="shared" si="86"/>
        <v>639298.69425728195</v>
      </c>
      <c r="AK66" s="277">
        <f t="shared" si="86"/>
        <v>642191.52807245043</v>
      </c>
      <c r="AL66" s="277">
        <f t="shared" si="86"/>
        <v>645073.61515877931</v>
      </c>
      <c r="AM66" s="277">
        <f t="shared" si="86"/>
        <v>647944.76239036571</v>
      </c>
      <c r="AN66" s="277">
        <f t="shared" si="86"/>
        <v>650804.77489989228</v>
      </c>
      <c r="AO66" s="277">
        <f t="shared" si="86"/>
        <v>653653.45606559224</v>
      </c>
      <c r="AP66" s="277">
        <f t="shared" si="86"/>
        <v>656490.60749812354</v>
      </c>
      <c r="AQ66" s="277">
        <f t="shared" si="86"/>
        <v>658452.97367749491</v>
      </c>
      <c r="AR66" s="277">
        <f t="shared" si="86"/>
        <v>662130.90919319598</v>
      </c>
      <c r="AS66" s="277">
        <f t="shared" si="86"/>
        <v>665343.25145509688</v>
      </c>
      <c r="AT66" s="277">
        <f t="shared" si="86"/>
        <v>667290.50114044489</v>
      </c>
      <c r="AU66" s="277">
        <f t="shared" si="86"/>
        <v>669202.61018041417</v>
      </c>
      <c r="AV66" s="277">
        <f t="shared" si="86"/>
        <v>671079.36998642795</v>
      </c>
      <c r="AW66" s="277">
        <f t="shared" si="86"/>
        <v>673721.28505326726</v>
      </c>
      <c r="AX66" s="277">
        <f t="shared" si="86"/>
        <v>676281.98044818302</v>
      </c>
      <c r="AY66" s="277">
        <f t="shared" si="86"/>
        <v>678760.73959958612</v>
      </c>
      <c r="AZ66" s="277">
        <f t="shared" si="86"/>
        <v>681156.84132555104</v>
      </c>
      <c r="BA66" s="277">
        <f t="shared" si="86"/>
        <v>683469.55980733258</v>
      </c>
      <c r="BB66" s="277">
        <f t="shared" si="86"/>
        <v>685698.16456273641</v>
      </c>
      <c r="BC66" s="277">
        <f t="shared" si="86"/>
        <v>687208.44951515831</v>
      </c>
      <c r="BD66" s="277">
        <f t="shared" si="86"/>
        <v>689909.66403629631</v>
      </c>
      <c r="BE66" s="277">
        <f t="shared" si="86"/>
        <v>692218.71635844116</v>
      </c>
      <c r="BF66" s="277">
        <f t="shared" si="86"/>
        <v>693615.2234646033</v>
      </c>
      <c r="BG66" s="277">
        <f t="shared" si="86"/>
        <v>695036.25402456161</v>
      </c>
      <c r="BH66" s="277">
        <f t="shared" si="86"/>
        <v>696481.92066075082</v>
      </c>
      <c r="BI66" s="277">
        <f t="shared" si="86"/>
        <v>698564.06111682858</v>
      </c>
      <c r="BJ66" s="277">
        <f t="shared" si="86"/>
        <v>700701.38094946952</v>
      </c>
      <c r="BK66" s="277">
        <f t="shared" si="86"/>
        <v>702894.26084236486</v>
      </c>
      <c r="BL66" s="277">
        <f t="shared" si="86"/>
        <v>705143.08355309663</v>
      </c>
      <c r="BM66" s="277">
        <f t="shared" si="86"/>
        <v>707448.23392335244</v>
      </c>
      <c r="BN66" s="277">
        <f t="shared" si="86"/>
        <v>709810.09888918768</v>
      </c>
      <c r="BO66" s="277">
        <f t="shared" si="86"/>
        <v>711506.29243674176</v>
      </c>
      <c r="BP66" s="277">
        <f t="shared" si="86"/>
        <v>714699.21125915123</v>
      </c>
      <c r="BQ66" s="277">
        <f t="shared" ref="BQ66:EB66" si="87">SUM(BQ64:BQ65)</f>
        <v>717546.62415922142</v>
      </c>
      <c r="BR66" s="277">
        <f t="shared" si="87"/>
        <v>719320.86091346561</v>
      </c>
      <c r="BS66" s="277">
        <f t="shared" si="87"/>
        <v>721099.92800221231</v>
      </c>
      <c r="BT66" s="277">
        <f t="shared" si="87"/>
        <v>722883.8385953051</v>
      </c>
      <c r="BU66" s="277">
        <f t="shared" si="87"/>
        <v>725439.80189629027</v>
      </c>
      <c r="BV66" s="277">
        <f t="shared" si="87"/>
        <v>728005.93839160947</v>
      </c>
      <c r="BW66" s="277">
        <f t="shared" si="87"/>
        <v>730582.28921985312</v>
      </c>
      <c r="BX66" s="277">
        <f t="shared" si="87"/>
        <v>733168.89568763215</v>
      </c>
      <c r="BY66" s="277">
        <f t="shared" si="87"/>
        <v>735765.79927026923</v>
      </c>
      <c r="BZ66" s="277">
        <f t="shared" si="87"/>
        <v>738373.04161249159</v>
      </c>
      <c r="CA66" s="277">
        <f t="shared" si="87"/>
        <v>740204.17780408775</v>
      </c>
      <c r="CB66" s="277">
        <f t="shared" si="87"/>
        <v>743617.62268790847</v>
      </c>
      <c r="CC66" s="277">
        <f t="shared" si="87"/>
        <v>746620.84281391185</v>
      </c>
      <c r="CD66" s="277">
        <f t="shared" si="87"/>
        <v>748466.97774231934</v>
      </c>
      <c r="CE66" s="277">
        <f t="shared" si="87"/>
        <v>750318.13954077766</v>
      </c>
      <c r="CF66" s="277">
        <f t="shared" si="87"/>
        <v>752174.34191696974</v>
      </c>
      <c r="CG66" s="277">
        <f t="shared" si="87"/>
        <v>754835.22368203895</v>
      </c>
      <c r="CH66" s="277">
        <f t="shared" si="87"/>
        <v>757506.70096086839</v>
      </c>
      <c r="CI66" s="277">
        <f t="shared" si="87"/>
        <v>760188.81661197601</v>
      </c>
      <c r="CJ66" s="277">
        <f t="shared" si="87"/>
        <v>762881.61366895633</v>
      </c>
      <c r="CK66" s="277">
        <f t="shared" si="87"/>
        <v>765585.13534119935</v>
      </c>
      <c r="CL66" s="277">
        <f t="shared" si="87"/>
        <v>768299.42501461343</v>
      </c>
      <c r="CM66" s="277">
        <f t="shared" si="87"/>
        <v>770204.79504769284</v>
      </c>
      <c r="CN66" s="277">
        <f t="shared" si="87"/>
        <v>773759.34951714787</v>
      </c>
      <c r="CO66" s="277">
        <f t="shared" si="87"/>
        <v>776886.33136087318</v>
      </c>
      <c r="CP66" s="277">
        <f t="shared" si="87"/>
        <v>778807.3106274032</v>
      </c>
      <c r="CQ66" s="277">
        <f t="shared" si="87"/>
        <v>780733.52137778758</v>
      </c>
      <c r="CR66" s="277">
        <f t="shared" si="87"/>
        <v>782664.97787971911</v>
      </c>
      <c r="CS66" s="277">
        <f t="shared" si="87"/>
        <v>785435.11933792627</v>
      </c>
      <c r="CT66" s="277">
        <f t="shared" si="87"/>
        <v>788216.29624967033</v>
      </c>
      <c r="CU66" s="277">
        <f t="shared" si="87"/>
        <v>791008.55326552794</v>
      </c>
      <c r="CV66" s="277">
        <f t="shared" si="87"/>
        <v>793811.93521850475</v>
      </c>
      <c r="CW66" s="277">
        <f t="shared" si="87"/>
        <v>796626.48712478438</v>
      </c>
      <c r="CX66" s="277">
        <f t="shared" si="87"/>
        <v>799452.25418448215</v>
      </c>
      <c r="CY66" s="277">
        <f t="shared" si="87"/>
        <v>801434.90086725261</v>
      </c>
      <c r="CZ66" s="277">
        <f t="shared" si="87"/>
        <v>805136.43430717289</v>
      </c>
      <c r="DA66" s="277">
        <f t="shared" si="87"/>
        <v>808392.31373106746</v>
      </c>
      <c r="DB66" s="277">
        <f t="shared" si="87"/>
        <v>810391.20524455723</v>
      </c>
      <c r="DC66" s="277">
        <f t="shared" si="87"/>
        <v>812395.54126854998</v>
      </c>
      <c r="DD66" s="277">
        <f t="shared" si="87"/>
        <v>814405.33665383596</v>
      </c>
      <c r="DE66" s="277">
        <f t="shared" si="87"/>
        <v>817289.25972727779</v>
      </c>
      <c r="DF66" s="277">
        <f t="shared" si="87"/>
        <v>820184.67655226053</v>
      </c>
      <c r="DG66" s="277">
        <f t="shared" si="87"/>
        <v>823091.63364658353</v>
      </c>
      <c r="DH66" s="277">
        <f t="shared" si="87"/>
        <v>826010.1777181353</v>
      </c>
      <c r="DI66" s="277">
        <f t="shared" si="87"/>
        <v>828940.35566567641</v>
      </c>
      <c r="DJ66" s="277">
        <f t="shared" si="87"/>
        <v>831882.21457962343</v>
      </c>
      <c r="DK66" s="277">
        <f t="shared" si="87"/>
        <v>833945.30648778158</v>
      </c>
      <c r="DL66" s="277">
        <f t="shared" si="87"/>
        <v>837799.93352172116</v>
      </c>
      <c r="DM66" s="277">
        <f t="shared" si="87"/>
        <v>841190.06061420753</v>
      </c>
      <c r="DN66" s="277">
        <f t="shared" si="87"/>
        <v>843270.05909083306</v>
      </c>
      <c r="DO66" s="277">
        <f t="shared" si="87"/>
        <v>845355.72386597854</v>
      </c>
      <c r="DP66" s="277">
        <f t="shared" si="87"/>
        <v>847447.07039757981</v>
      </c>
      <c r="DQ66" s="277">
        <f t="shared" si="87"/>
        <v>850449.48525494861</v>
      </c>
      <c r="DR66" s="277">
        <f t="shared" si="87"/>
        <v>853463.87128895021</v>
      </c>
      <c r="DS66" s="277">
        <f t="shared" si="87"/>
        <v>856490.27696292778</v>
      </c>
      <c r="DT66" s="277">
        <f t="shared" si="87"/>
        <v>859528.75093829888</v>
      </c>
      <c r="DU66" s="277">
        <f t="shared" si="87"/>
        <v>862579.34207536897</v>
      </c>
      <c r="DV66" s="277">
        <f t="shared" si="87"/>
        <v>865642.09943414945</v>
      </c>
      <c r="DW66" s="277">
        <f t="shared" si="87"/>
        <v>867788.93614149897</v>
      </c>
      <c r="DX66" s="277">
        <f t="shared" si="87"/>
        <v>871803.02691214182</v>
      </c>
      <c r="DY66" s="277">
        <f t="shared" si="87"/>
        <v>875332.97495691932</v>
      </c>
      <c r="DZ66" s="277">
        <f t="shared" si="87"/>
        <v>877497.40719413129</v>
      </c>
      <c r="EA66" s="277">
        <f t="shared" si="87"/>
        <v>879667.73664229328</v>
      </c>
      <c r="EB66" s="277">
        <f t="shared" si="87"/>
        <v>881843.9793915326</v>
      </c>
      <c r="EC66" s="277">
        <f t="shared" ref="EC66:EH66" si="88">SUM(EC64:EC65)</f>
        <v>884969.79231842747</v>
      </c>
      <c r="ED66" s="277">
        <f t="shared" si="88"/>
        <v>888108.07377527899</v>
      </c>
      <c r="EE66" s="277">
        <f t="shared" si="88"/>
        <v>891258.87425259012</v>
      </c>
      <c r="EF66" s="277">
        <f t="shared" si="88"/>
        <v>894422.24444725737</v>
      </c>
      <c r="EG66" s="277">
        <f t="shared" si="88"/>
        <v>897598.23526341922</v>
      </c>
      <c r="EH66" s="277">
        <f t="shared" si="88"/>
        <v>900786.89781330992</v>
      </c>
      <c r="EI66" s="690"/>
      <c r="EJ66"/>
      <c r="EK66" s="672"/>
    </row>
    <row r="67" spans="1:141" ht="7.5" customHeight="1" thickBot="1" x14ac:dyDescent="0.35">
      <c r="G67" s="229"/>
      <c r="H67" s="229"/>
      <c r="I67" s="229"/>
      <c r="J67" s="229"/>
      <c r="K67" s="229"/>
      <c r="L67" s="229"/>
      <c r="M67" s="229"/>
      <c r="N67" s="229"/>
      <c r="O67" s="229"/>
      <c r="P67" s="229"/>
      <c r="Q67" s="229"/>
      <c r="R67" s="229"/>
      <c r="S67" s="229"/>
      <c r="T67" s="229"/>
      <c r="U67" s="229"/>
      <c r="V67" s="229"/>
      <c r="W67" s="229"/>
      <c r="X67" s="229"/>
      <c r="Y67" s="229"/>
      <c r="Z67" s="229"/>
      <c r="AA67" s="229"/>
      <c r="AB67" s="229"/>
      <c r="AC67" s="229"/>
      <c r="AD67" s="229"/>
      <c r="AE67" s="229"/>
      <c r="AF67" s="229"/>
      <c r="AG67" s="229"/>
      <c r="AH67" s="229"/>
      <c r="AI67" s="229"/>
      <c r="AJ67" s="229"/>
      <c r="AK67" s="229"/>
      <c r="AL67" s="229"/>
      <c r="AM67" s="229"/>
      <c r="AN67" s="229"/>
      <c r="AO67" s="229"/>
      <c r="AP67" s="229"/>
      <c r="AQ67" s="229"/>
      <c r="AR67" s="229"/>
      <c r="AS67" s="229"/>
      <c r="AT67" s="229"/>
      <c r="AU67" s="229"/>
      <c r="AV67" s="229"/>
      <c r="AW67" s="229"/>
      <c r="AX67" s="229"/>
      <c r="AY67" s="229"/>
      <c r="AZ67" s="229"/>
      <c r="BA67" s="229"/>
      <c r="BB67" s="229"/>
      <c r="BC67" s="229"/>
      <c r="BD67" s="229"/>
      <c r="BE67" s="229"/>
      <c r="BF67" s="229"/>
      <c r="BG67" s="229"/>
      <c r="BH67" s="229"/>
      <c r="BI67" s="229"/>
      <c r="BJ67" s="229"/>
      <c r="BK67" s="229"/>
      <c r="BL67" s="229"/>
      <c r="BM67" s="229"/>
      <c r="BN67" s="229"/>
      <c r="BO67" s="229"/>
      <c r="BP67" s="229"/>
      <c r="BQ67" s="229"/>
      <c r="BR67" s="229"/>
      <c r="BS67" s="229"/>
      <c r="BT67" s="229"/>
      <c r="BU67" s="229"/>
      <c r="BV67" s="229"/>
      <c r="BW67" s="229"/>
      <c r="BX67" s="229"/>
      <c r="BY67" s="229"/>
      <c r="BZ67" s="229"/>
      <c r="CA67" s="229"/>
      <c r="CB67" s="229"/>
      <c r="CC67" s="229"/>
      <c r="CD67" s="229"/>
      <c r="CE67" s="229"/>
      <c r="CF67" s="229"/>
      <c r="CG67" s="229"/>
      <c r="CH67" s="229"/>
      <c r="CI67" s="229"/>
      <c r="CJ67" s="229"/>
      <c r="CK67" s="229"/>
      <c r="CL67" s="229"/>
      <c r="CM67" s="229"/>
      <c r="CN67" s="229"/>
      <c r="CO67" s="229"/>
      <c r="CP67" s="229"/>
      <c r="CQ67" s="229"/>
      <c r="CR67" s="229"/>
      <c r="CS67" s="229"/>
      <c r="CT67" s="229"/>
      <c r="CU67" s="229"/>
      <c r="CV67" s="229"/>
      <c r="CW67" s="229"/>
      <c r="CX67" s="229"/>
      <c r="CY67" s="229"/>
      <c r="CZ67" s="229"/>
      <c r="DA67" s="229"/>
      <c r="DB67" s="229"/>
      <c r="DC67" s="229"/>
      <c r="DD67" s="229"/>
      <c r="DE67" s="229"/>
      <c r="DF67" s="229"/>
      <c r="DG67" s="229"/>
      <c r="DH67" s="229"/>
      <c r="DI67" s="229"/>
      <c r="DJ67" s="229"/>
      <c r="DK67" s="229"/>
      <c r="DL67" s="229"/>
      <c r="DM67" s="229"/>
      <c r="DN67" s="229"/>
      <c r="DO67" s="229"/>
      <c r="DP67" s="229"/>
      <c r="DQ67" s="229"/>
      <c r="DR67" s="229"/>
      <c r="DS67" s="229"/>
      <c r="DT67" s="229"/>
      <c r="DU67" s="229"/>
      <c r="DV67" s="229"/>
      <c r="DW67" s="229"/>
      <c r="DX67" s="229"/>
      <c r="DY67" s="229"/>
      <c r="DZ67" s="229"/>
      <c r="EA67" s="229"/>
      <c r="EB67" s="229"/>
      <c r="EC67" s="229"/>
      <c r="ED67" s="229"/>
      <c r="EE67" s="229"/>
      <c r="EF67" s="229"/>
      <c r="EG67" s="229"/>
      <c r="EH67" s="229"/>
      <c r="EK67" s="280"/>
    </row>
    <row r="68" spans="1:141" ht="15" thickTop="1" x14ac:dyDescent="0.3">
      <c r="A68" s="2779" t="s">
        <v>2406</v>
      </c>
      <c r="B68" s="2780"/>
      <c r="C68" s="2781"/>
      <c r="D68" s="657"/>
      <c r="E68" s="1526" t="s">
        <v>2407</v>
      </c>
      <c r="F68" s="1526" t="s">
        <v>2408</v>
      </c>
      <c r="G68" s="322"/>
      <c r="H68" s="322"/>
      <c r="I68" s="322"/>
      <c r="J68" s="322"/>
      <c r="K68" s="322"/>
      <c r="L68" s="322"/>
      <c r="M68" s="322"/>
      <c r="N68" s="322"/>
      <c r="O68" s="322"/>
      <c r="P68" s="1601"/>
      <c r="Q68" s="1601"/>
      <c r="R68" s="1601"/>
      <c r="S68" s="1601"/>
      <c r="T68" s="1601"/>
      <c r="U68" s="1601"/>
      <c r="V68" s="1601"/>
      <c r="W68" s="1601"/>
      <c r="X68" s="1601"/>
      <c r="Y68" s="1601"/>
      <c r="Z68" s="1601"/>
      <c r="AA68" s="1601"/>
      <c r="AB68" s="1601"/>
      <c r="AC68" s="1601"/>
      <c r="AD68" s="1601"/>
      <c r="AE68" s="1601"/>
      <c r="AF68" s="1601"/>
      <c r="AG68" s="1601"/>
      <c r="AH68" s="1601"/>
      <c r="AI68" s="1601"/>
      <c r="AJ68" s="1601"/>
      <c r="AK68" s="1601"/>
      <c r="AL68" s="1601"/>
      <c r="AM68" s="1601"/>
      <c r="AN68" s="1601"/>
      <c r="AO68" s="322"/>
      <c r="AP68" s="322"/>
      <c r="AQ68" s="322"/>
      <c r="AR68" s="322"/>
      <c r="AS68" s="322"/>
      <c r="AT68" s="322"/>
      <c r="AU68" s="322"/>
      <c r="AV68" s="322"/>
      <c r="AW68" s="322"/>
      <c r="AX68" s="322"/>
      <c r="AY68" s="322"/>
      <c r="AZ68" s="322"/>
      <c r="BA68" s="322"/>
      <c r="BB68" s="322"/>
      <c r="BC68" s="322"/>
      <c r="BD68" s="322"/>
      <c r="BE68" s="322"/>
      <c r="BF68" s="322"/>
      <c r="BG68" s="322"/>
      <c r="BH68" s="322"/>
      <c r="BI68" s="322"/>
      <c r="BJ68" s="322"/>
      <c r="BK68" s="322"/>
      <c r="BL68" s="322"/>
      <c r="BM68" s="322"/>
      <c r="BN68" s="322"/>
      <c r="BO68" s="322"/>
      <c r="BP68" s="322"/>
      <c r="BQ68" s="322"/>
      <c r="BR68" s="322"/>
      <c r="BS68" s="322"/>
      <c r="BT68" s="322"/>
      <c r="BU68" s="322"/>
      <c r="BV68" s="322"/>
      <c r="BW68" s="322"/>
      <c r="BX68" s="322"/>
      <c r="BY68" s="322"/>
      <c r="BZ68" s="322"/>
      <c r="CA68" s="322"/>
      <c r="CB68" s="322"/>
      <c r="CC68" s="322"/>
      <c r="CD68" s="322"/>
      <c r="CE68" s="322"/>
      <c r="CF68" s="322"/>
      <c r="CG68" s="322"/>
      <c r="CH68" s="322"/>
      <c r="CI68" s="322"/>
      <c r="CJ68" s="322"/>
      <c r="CK68" s="322"/>
      <c r="CL68" s="322"/>
      <c r="CM68" s="322"/>
      <c r="CN68" s="322"/>
      <c r="CO68" s="322"/>
      <c r="CP68" s="322"/>
      <c r="CQ68" s="322"/>
      <c r="CR68" s="322"/>
      <c r="CS68" s="322"/>
      <c r="CT68" s="322"/>
      <c r="CU68" s="322"/>
      <c r="CV68" s="322"/>
      <c r="CW68" s="322"/>
      <c r="CX68" s="322"/>
      <c r="CY68" s="322"/>
      <c r="CZ68" s="322"/>
      <c r="DA68" s="322"/>
      <c r="DB68" s="322"/>
      <c r="DC68" s="322"/>
      <c r="DD68" s="322"/>
      <c r="DE68" s="322"/>
      <c r="DF68" s="322"/>
      <c r="DG68" s="322"/>
      <c r="DH68" s="322"/>
      <c r="DI68" s="322"/>
      <c r="DJ68" s="322"/>
      <c r="DK68" s="322"/>
      <c r="DL68" s="322"/>
      <c r="DM68" s="322"/>
      <c r="DN68" s="322"/>
      <c r="DO68" s="322"/>
      <c r="DP68" s="322"/>
      <c r="DQ68" s="322"/>
      <c r="DR68" s="322"/>
      <c r="DS68" s="322"/>
      <c r="DT68" s="322"/>
      <c r="DU68" s="322"/>
      <c r="DV68" s="322"/>
      <c r="DW68" s="322"/>
      <c r="DX68" s="322"/>
      <c r="DY68" s="322"/>
      <c r="DZ68" s="322"/>
      <c r="EA68" s="322"/>
      <c r="EB68" s="322"/>
      <c r="EC68" s="322"/>
      <c r="ED68" s="322"/>
      <c r="EE68" s="322"/>
      <c r="EF68" s="322"/>
      <c r="EG68" s="322"/>
      <c r="EH68" s="322"/>
      <c r="EK68" s="672"/>
    </row>
    <row r="69" spans="1:141" x14ac:dyDescent="0.3">
      <c r="A69" s="198" t="s">
        <v>700</v>
      </c>
      <c r="E69" s="1525">
        <v>1</v>
      </c>
      <c r="F69" s="282" t="s">
        <v>1599</v>
      </c>
      <c r="G69" s="229">
        <f>G140*G139</f>
        <v>0</v>
      </c>
      <c r="H69" s="229">
        <f t="shared" ref="H69:BS69" si="89">H140*H139</f>
        <v>0</v>
      </c>
      <c r="I69" s="229">
        <f t="shared" si="89"/>
        <v>0</v>
      </c>
      <c r="J69" s="229">
        <f t="shared" si="89"/>
        <v>0</v>
      </c>
      <c r="K69" s="229">
        <f t="shared" si="89"/>
        <v>0</v>
      </c>
      <c r="L69" s="229">
        <f t="shared" si="89"/>
        <v>0</v>
      </c>
      <c r="M69" s="229">
        <f t="shared" si="89"/>
        <v>0</v>
      </c>
      <c r="N69" s="229">
        <f t="shared" si="89"/>
        <v>0</v>
      </c>
      <c r="O69" s="229">
        <f t="shared" si="89"/>
        <v>0</v>
      </c>
      <c r="P69" s="229">
        <f t="shared" si="89"/>
        <v>0</v>
      </c>
      <c r="Q69" s="229">
        <f t="shared" si="89"/>
        <v>0</v>
      </c>
      <c r="R69" s="229">
        <f t="shared" si="89"/>
        <v>0</v>
      </c>
      <c r="S69" s="229">
        <f t="shared" si="89"/>
        <v>0</v>
      </c>
      <c r="T69" s="229">
        <f t="shared" si="89"/>
        <v>9434.01963939913</v>
      </c>
      <c r="U69" s="229">
        <f t="shared" si="89"/>
        <v>9434.01963939913</v>
      </c>
      <c r="V69" s="229">
        <f t="shared" si="89"/>
        <v>9717.040228581116</v>
      </c>
      <c r="W69" s="229">
        <f t="shared" si="89"/>
        <v>9717.040228581116</v>
      </c>
      <c r="X69" s="229">
        <f t="shared" si="89"/>
        <v>9717.040228581116</v>
      </c>
      <c r="Y69" s="229">
        <f t="shared" si="89"/>
        <v>9717.040228581116</v>
      </c>
      <c r="Z69" s="229">
        <f t="shared" si="89"/>
        <v>9717.040228581116</v>
      </c>
      <c r="AA69" s="229">
        <f t="shared" si="89"/>
        <v>9717.040228581116</v>
      </c>
      <c r="AB69" s="229">
        <f t="shared" si="89"/>
        <v>9717.040228581116</v>
      </c>
      <c r="AC69" s="229">
        <f t="shared" si="89"/>
        <v>9717.040228581116</v>
      </c>
      <c r="AD69" s="229">
        <f t="shared" si="89"/>
        <v>9717.040228581116</v>
      </c>
      <c r="AE69" s="229">
        <f t="shared" si="89"/>
        <v>9717.040228581116</v>
      </c>
      <c r="AF69" s="229">
        <f t="shared" si="89"/>
        <v>9717.040228581116</v>
      </c>
      <c r="AG69" s="229">
        <f t="shared" si="89"/>
        <v>9717.040228581116</v>
      </c>
      <c r="AH69" s="229">
        <f t="shared" si="89"/>
        <v>10008.55143543856</v>
      </c>
      <c r="AI69" s="229">
        <f t="shared" si="89"/>
        <v>10008.55143543856</v>
      </c>
      <c r="AJ69" s="229">
        <f t="shared" si="89"/>
        <v>10008.55143543856</v>
      </c>
      <c r="AK69" s="229">
        <f t="shared" si="89"/>
        <v>10008.55143543856</v>
      </c>
      <c r="AL69" s="229">
        <f t="shared" si="89"/>
        <v>10008.55143543856</v>
      </c>
      <c r="AM69" s="229">
        <f t="shared" si="89"/>
        <v>10008.55143543856</v>
      </c>
      <c r="AN69" s="229">
        <f t="shared" si="89"/>
        <v>10008.55143543856</v>
      </c>
      <c r="AO69" s="229">
        <f t="shared" si="89"/>
        <v>10008.55143543856</v>
      </c>
      <c r="AP69" s="229">
        <f t="shared" si="89"/>
        <v>10008.55143543856</v>
      </c>
      <c r="AQ69" s="229">
        <f t="shared" si="89"/>
        <v>10008.55143543856</v>
      </c>
      <c r="AR69" s="229">
        <f t="shared" si="89"/>
        <v>10008.55143543856</v>
      </c>
      <c r="AS69" s="229">
        <f t="shared" si="89"/>
        <v>10008.55143543856</v>
      </c>
      <c r="AT69" s="229">
        <f t="shared" si="89"/>
        <v>10308.807978501727</v>
      </c>
      <c r="AU69" s="229">
        <f t="shared" si="89"/>
        <v>10308.807978501727</v>
      </c>
      <c r="AV69" s="229">
        <f t="shared" si="89"/>
        <v>10308.807978501727</v>
      </c>
      <c r="AW69" s="229">
        <f t="shared" si="89"/>
        <v>10308.807978501727</v>
      </c>
      <c r="AX69" s="229">
        <f t="shared" si="89"/>
        <v>10308.807978501727</v>
      </c>
      <c r="AY69" s="229">
        <f t="shared" si="89"/>
        <v>10308.807978501727</v>
      </c>
      <c r="AZ69" s="229">
        <f t="shared" si="89"/>
        <v>10308.807978501727</v>
      </c>
      <c r="BA69" s="229">
        <f t="shared" si="89"/>
        <v>10308.807978501727</v>
      </c>
      <c r="BB69" s="229">
        <f t="shared" si="89"/>
        <v>10308.807978501727</v>
      </c>
      <c r="BC69" s="229">
        <f t="shared" si="89"/>
        <v>10308.807978501727</v>
      </c>
      <c r="BD69" s="229">
        <f t="shared" si="89"/>
        <v>10308.807978501727</v>
      </c>
      <c r="BE69" s="229">
        <f t="shared" si="89"/>
        <v>10308.807978501727</v>
      </c>
      <c r="BF69" s="229">
        <f t="shared" si="89"/>
        <v>10618.07221785679</v>
      </c>
      <c r="BG69" s="229">
        <f t="shared" si="89"/>
        <v>10618.07221785679</v>
      </c>
      <c r="BH69" s="229">
        <f t="shared" si="89"/>
        <v>10618.07221785679</v>
      </c>
      <c r="BI69" s="229">
        <f t="shared" si="89"/>
        <v>10618.07221785679</v>
      </c>
      <c r="BJ69" s="229">
        <f t="shared" si="89"/>
        <v>10618.07221785679</v>
      </c>
      <c r="BK69" s="229">
        <f t="shared" si="89"/>
        <v>10618.07221785679</v>
      </c>
      <c r="BL69" s="229">
        <f t="shared" si="89"/>
        <v>10618.07221785679</v>
      </c>
      <c r="BM69" s="229">
        <f t="shared" si="89"/>
        <v>10618.07221785679</v>
      </c>
      <c r="BN69" s="229">
        <f t="shared" si="89"/>
        <v>10618.07221785679</v>
      </c>
      <c r="BO69" s="229">
        <f t="shared" si="89"/>
        <v>10618.07221785679</v>
      </c>
      <c r="BP69" s="229">
        <f t="shared" si="89"/>
        <v>10618.07221785679</v>
      </c>
      <c r="BQ69" s="229">
        <f t="shared" si="89"/>
        <v>10618.07221785679</v>
      </c>
      <c r="BR69" s="229">
        <f t="shared" si="89"/>
        <v>10936.614384392504</v>
      </c>
      <c r="BS69" s="229">
        <f t="shared" si="89"/>
        <v>10936.614384392504</v>
      </c>
      <c r="BT69" s="229">
        <f t="shared" ref="BT69:EE69" si="90">BT140*BT139</f>
        <v>10936.614384392504</v>
      </c>
      <c r="BU69" s="229">
        <f t="shared" si="90"/>
        <v>10936.614384392504</v>
      </c>
      <c r="BV69" s="229">
        <f t="shared" si="90"/>
        <v>10936.614384392504</v>
      </c>
      <c r="BW69" s="229">
        <f t="shared" si="90"/>
        <v>10936.614384392504</v>
      </c>
      <c r="BX69" s="229">
        <f t="shared" si="90"/>
        <v>10936.614384392504</v>
      </c>
      <c r="BY69" s="229">
        <f t="shared" si="90"/>
        <v>10936.614384392504</v>
      </c>
      <c r="BZ69" s="229">
        <f t="shared" si="90"/>
        <v>10936.614384392504</v>
      </c>
      <c r="CA69" s="229">
        <f t="shared" si="90"/>
        <v>10936.614384392504</v>
      </c>
      <c r="CB69" s="229">
        <f t="shared" si="90"/>
        <v>10936.614384392504</v>
      </c>
      <c r="CC69" s="229">
        <f t="shared" si="90"/>
        <v>10936.614384392504</v>
      </c>
      <c r="CD69" s="229">
        <f t="shared" si="90"/>
        <v>11264.712815924287</v>
      </c>
      <c r="CE69" s="229">
        <f t="shared" si="90"/>
        <v>11264.712815924287</v>
      </c>
      <c r="CF69" s="229">
        <f t="shared" si="90"/>
        <v>11264.712815924287</v>
      </c>
      <c r="CG69" s="229">
        <f t="shared" si="90"/>
        <v>11264.712815924287</v>
      </c>
      <c r="CH69" s="229">
        <f t="shared" si="90"/>
        <v>11264.712815924287</v>
      </c>
      <c r="CI69" s="229">
        <f t="shared" si="90"/>
        <v>11264.712815924287</v>
      </c>
      <c r="CJ69" s="229">
        <f t="shared" si="90"/>
        <v>11264.712815924287</v>
      </c>
      <c r="CK69" s="229">
        <f t="shared" si="90"/>
        <v>11264.712815924287</v>
      </c>
      <c r="CL69" s="229">
        <f t="shared" si="90"/>
        <v>11264.712815924287</v>
      </c>
      <c r="CM69" s="229">
        <f t="shared" si="90"/>
        <v>11264.712815924287</v>
      </c>
      <c r="CN69" s="229">
        <f t="shared" si="90"/>
        <v>11264.712815924287</v>
      </c>
      <c r="CO69" s="229">
        <f t="shared" si="90"/>
        <v>11264.712815924287</v>
      </c>
      <c r="CP69" s="229">
        <f t="shared" si="90"/>
        <v>11602.654200402028</v>
      </c>
      <c r="CQ69" s="229">
        <f t="shared" si="90"/>
        <v>11602.654200402028</v>
      </c>
      <c r="CR69" s="229">
        <f t="shared" si="90"/>
        <v>11602.654200402028</v>
      </c>
      <c r="CS69" s="229">
        <f t="shared" si="90"/>
        <v>11602.654200402028</v>
      </c>
      <c r="CT69" s="229">
        <f t="shared" si="90"/>
        <v>11602.654200402028</v>
      </c>
      <c r="CU69" s="229">
        <f t="shared" si="90"/>
        <v>11602.654200402028</v>
      </c>
      <c r="CV69" s="229">
        <f t="shared" si="90"/>
        <v>11602.654200402028</v>
      </c>
      <c r="CW69" s="229">
        <f t="shared" si="90"/>
        <v>11602.654200402028</v>
      </c>
      <c r="CX69" s="229">
        <f t="shared" si="90"/>
        <v>11602.654200402028</v>
      </c>
      <c r="CY69" s="229">
        <f t="shared" si="90"/>
        <v>11602.654200402028</v>
      </c>
      <c r="CZ69" s="229">
        <f t="shared" si="90"/>
        <v>11602.654200402028</v>
      </c>
      <c r="DA69" s="229">
        <f t="shared" si="90"/>
        <v>11602.654200402028</v>
      </c>
      <c r="DB69" s="229">
        <f t="shared" si="90"/>
        <v>11950.733826414102</v>
      </c>
      <c r="DC69" s="229">
        <f t="shared" si="90"/>
        <v>11950.733826414102</v>
      </c>
      <c r="DD69" s="229">
        <f t="shared" si="90"/>
        <v>11950.733826414102</v>
      </c>
      <c r="DE69" s="229">
        <f t="shared" si="90"/>
        <v>11950.733826414102</v>
      </c>
      <c r="DF69" s="229">
        <f t="shared" si="90"/>
        <v>11950.733826414102</v>
      </c>
      <c r="DG69" s="229">
        <f t="shared" si="90"/>
        <v>11950.733826414102</v>
      </c>
      <c r="DH69" s="229">
        <f t="shared" si="90"/>
        <v>11950.733826414102</v>
      </c>
      <c r="DI69" s="229">
        <f t="shared" si="90"/>
        <v>11950.733826414102</v>
      </c>
      <c r="DJ69" s="229">
        <f t="shared" si="90"/>
        <v>11950.733826414102</v>
      </c>
      <c r="DK69" s="229">
        <f t="shared" si="90"/>
        <v>11950.733826414102</v>
      </c>
      <c r="DL69" s="229">
        <f t="shared" si="90"/>
        <v>11950.733826414102</v>
      </c>
      <c r="DM69" s="229">
        <f t="shared" si="90"/>
        <v>11950.733826414102</v>
      </c>
      <c r="DN69" s="229">
        <f t="shared" si="90"/>
        <v>12309.255841206541</v>
      </c>
      <c r="DO69" s="229">
        <f t="shared" si="90"/>
        <v>12309.255841206541</v>
      </c>
      <c r="DP69" s="229">
        <f t="shared" si="90"/>
        <v>12309.255841206541</v>
      </c>
      <c r="DQ69" s="229">
        <f t="shared" si="90"/>
        <v>12309.255841206541</v>
      </c>
      <c r="DR69" s="229">
        <f t="shared" si="90"/>
        <v>12309.255841206541</v>
      </c>
      <c r="DS69" s="229">
        <f t="shared" si="90"/>
        <v>12309.255841206541</v>
      </c>
      <c r="DT69" s="229">
        <f t="shared" si="90"/>
        <v>12309.255841206541</v>
      </c>
      <c r="DU69" s="229">
        <f t="shared" si="90"/>
        <v>12309.255841206541</v>
      </c>
      <c r="DV69" s="229">
        <f t="shared" si="90"/>
        <v>12309.255841206541</v>
      </c>
      <c r="DW69" s="229">
        <f t="shared" si="90"/>
        <v>12309.255841206541</v>
      </c>
      <c r="DX69" s="229">
        <f t="shared" si="90"/>
        <v>12309.255841206541</v>
      </c>
      <c r="DY69" s="229">
        <f t="shared" si="90"/>
        <v>12309.255841206541</v>
      </c>
      <c r="DZ69" s="229">
        <f t="shared" si="90"/>
        <v>12678.533516442752</v>
      </c>
      <c r="EA69" s="229">
        <f t="shared" si="90"/>
        <v>12678.533516442752</v>
      </c>
      <c r="EB69" s="229">
        <f t="shared" si="90"/>
        <v>12678.533516442752</v>
      </c>
      <c r="EC69" s="229">
        <f t="shared" si="90"/>
        <v>12678.533516442752</v>
      </c>
      <c r="ED69" s="229">
        <f t="shared" si="90"/>
        <v>12678.533516442752</v>
      </c>
      <c r="EE69" s="229">
        <f t="shared" si="90"/>
        <v>12678.533516442752</v>
      </c>
      <c r="EF69" s="229">
        <f t="shared" ref="EF69:EH69" si="91">EF140*EF139</f>
        <v>12678.533516442752</v>
      </c>
      <c r="EG69" s="229">
        <f t="shared" si="91"/>
        <v>12678.533516442752</v>
      </c>
      <c r="EH69" s="229">
        <f t="shared" si="91"/>
        <v>12678.533516442752</v>
      </c>
      <c r="EK69" s="280"/>
    </row>
    <row r="70" spans="1:141" x14ac:dyDescent="0.3">
      <c r="A70" s="198" t="s">
        <v>678</v>
      </c>
      <c r="E70" s="1525">
        <v>1</v>
      </c>
      <c r="F70" s="282" t="s">
        <v>1599</v>
      </c>
      <c r="G70" s="229">
        <f t="shared" ref="G70:BR70" si="92">G145*G144</f>
        <v>0</v>
      </c>
      <c r="H70" s="229">
        <f t="shared" si="92"/>
        <v>0</v>
      </c>
      <c r="I70" s="229">
        <f t="shared" si="92"/>
        <v>0</v>
      </c>
      <c r="J70" s="229">
        <f t="shared" si="92"/>
        <v>0</v>
      </c>
      <c r="K70" s="229">
        <f t="shared" si="92"/>
        <v>0</v>
      </c>
      <c r="L70" s="229">
        <f t="shared" si="92"/>
        <v>0</v>
      </c>
      <c r="M70" s="229">
        <f t="shared" si="92"/>
        <v>0</v>
      </c>
      <c r="N70" s="229">
        <f t="shared" si="92"/>
        <v>0</v>
      </c>
      <c r="O70" s="229">
        <f t="shared" si="92"/>
        <v>0</v>
      </c>
      <c r="P70" s="229">
        <f t="shared" si="92"/>
        <v>0</v>
      </c>
      <c r="Q70" s="229">
        <f t="shared" si="92"/>
        <v>0</v>
      </c>
      <c r="R70" s="229">
        <f t="shared" si="92"/>
        <v>0</v>
      </c>
      <c r="S70" s="229">
        <f t="shared" si="92"/>
        <v>0</v>
      </c>
      <c r="T70" s="229">
        <f t="shared" si="92"/>
        <v>7980.9123489703525</v>
      </c>
      <c r="U70" s="229">
        <f t="shared" si="92"/>
        <v>7980.9123489703525</v>
      </c>
      <c r="V70" s="229">
        <f t="shared" si="92"/>
        <v>8220.3397194394729</v>
      </c>
      <c r="W70" s="229">
        <f t="shared" si="92"/>
        <v>8220.3397194394729</v>
      </c>
      <c r="X70" s="229">
        <f t="shared" si="92"/>
        <v>8220.3397194394729</v>
      </c>
      <c r="Y70" s="229">
        <f t="shared" si="92"/>
        <v>8220.3397194394729</v>
      </c>
      <c r="Z70" s="229">
        <f t="shared" si="92"/>
        <v>8220.3397194394729</v>
      </c>
      <c r="AA70" s="229">
        <f t="shared" si="92"/>
        <v>8220.3397194394729</v>
      </c>
      <c r="AB70" s="229">
        <f t="shared" si="92"/>
        <v>8220.3397194394729</v>
      </c>
      <c r="AC70" s="229">
        <f t="shared" si="92"/>
        <v>8220.3397194394729</v>
      </c>
      <c r="AD70" s="229">
        <f t="shared" si="92"/>
        <v>8220.3397194394729</v>
      </c>
      <c r="AE70" s="229">
        <f t="shared" si="92"/>
        <v>8220.3397194394729</v>
      </c>
      <c r="AF70" s="229">
        <f t="shared" si="92"/>
        <v>8220.3397194394729</v>
      </c>
      <c r="AG70" s="229">
        <f t="shared" si="92"/>
        <v>8220.3397194394729</v>
      </c>
      <c r="AH70" s="229">
        <f t="shared" si="92"/>
        <v>8466.9499110226643</v>
      </c>
      <c r="AI70" s="229">
        <f t="shared" si="92"/>
        <v>8466.9499110226643</v>
      </c>
      <c r="AJ70" s="229">
        <f t="shared" si="92"/>
        <v>8466.9499110226643</v>
      </c>
      <c r="AK70" s="229">
        <f t="shared" si="92"/>
        <v>8466.9499110226643</v>
      </c>
      <c r="AL70" s="229">
        <f t="shared" si="92"/>
        <v>8466.9499110226643</v>
      </c>
      <c r="AM70" s="229">
        <f t="shared" si="92"/>
        <v>8466.9499110226643</v>
      </c>
      <c r="AN70" s="229">
        <f t="shared" si="92"/>
        <v>8466.9499110226643</v>
      </c>
      <c r="AO70" s="229">
        <f t="shared" si="92"/>
        <v>8466.9499110226643</v>
      </c>
      <c r="AP70" s="229">
        <f t="shared" si="92"/>
        <v>8466.9499110226643</v>
      </c>
      <c r="AQ70" s="229">
        <f t="shared" si="92"/>
        <v>8466.9499110226643</v>
      </c>
      <c r="AR70" s="229">
        <f t="shared" si="92"/>
        <v>8466.9499110226643</v>
      </c>
      <c r="AS70" s="229">
        <f t="shared" si="92"/>
        <v>8466.9499110226643</v>
      </c>
      <c r="AT70" s="229">
        <f t="shared" si="92"/>
        <v>8720.9584083533537</v>
      </c>
      <c r="AU70" s="229">
        <f t="shared" si="92"/>
        <v>8720.9584083533537</v>
      </c>
      <c r="AV70" s="229">
        <f t="shared" si="92"/>
        <v>8720.9584083533537</v>
      </c>
      <c r="AW70" s="229">
        <f t="shared" si="92"/>
        <v>8720.9584083533537</v>
      </c>
      <c r="AX70" s="229">
        <f t="shared" si="92"/>
        <v>8720.9584083533537</v>
      </c>
      <c r="AY70" s="229">
        <f t="shared" si="92"/>
        <v>8720.9584083533537</v>
      </c>
      <c r="AZ70" s="229">
        <f t="shared" si="92"/>
        <v>8720.9584083533537</v>
      </c>
      <c r="BA70" s="229">
        <f t="shared" si="92"/>
        <v>8720.9584083533537</v>
      </c>
      <c r="BB70" s="229">
        <f t="shared" si="92"/>
        <v>8720.9584083533537</v>
      </c>
      <c r="BC70" s="229">
        <f t="shared" si="92"/>
        <v>8720.9584083533537</v>
      </c>
      <c r="BD70" s="229">
        <f t="shared" si="92"/>
        <v>8720.9584083533537</v>
      </c>
      <c r="BE70" s="229">
        <f t="shared" si="92"/>
        <v>8720.9584083533537</v>
      </c>
      <c r="BF70" s="229">
        <f t="shared" si="92"/>
        <v>8982.5871606039636</v>
      </c>
      <c r="BG70" s="229">
        <f t="shared" si="92"/>
        <v>8982.5871606039636</v>
      </c>
      <c r="BH70" s="229">
        <f t="shared" si="92"/>
        <v>8982.5871606039636</v>
      </c>
      <c r="BI70" s="229">
        <f t="shared" si="92"/>
        <v>8982.5871606039636</v>
      </c>
      <c r="BJ70" s="229">
        <f t="shared" si="92"/>
        <v>8982.5871606039636</v>
      </c>
      <c r="BK70" s="229">
        <f t="shared" si="92"/>
        <v>8982.5871606039636</v>
      </c>
      <c r="BL70" s="229">
        <f t="shared" si="92"/>
        <v>8982.5871606039636</v>
      </c>
      <c r="BM70" s="229">
        <f t="shared" si="92"/>
        <v>8982.5871606039636</v>
      </c>
      <c r="BN70" s="229">
        <f t="shared" si="92"/>
        <v>8982.5871606039636</v>
      </c>
      <c r="BO70" s="229">
        <f t="shared" si="92"/>
        <v>8982.5871606039636</v>
      </c>
      <c r="BP70" s="229">
        <f t="shared" si="92"/>
        <v>8982.5871606039636</v>
      </c>
      <c r="BQ70" s="229">
        <f t="shared" si="92"/>
        <v>8982.5871606039636</v>
      </c>
      <c r="BR70" s="229">
        <f t="shared" si="92"/>
        <v>9252.0647754220936</v>
      </c>
      <c r="BS70" s="229">
        <f t="shared" ref="BS70:ED70" si="93">BS145*BS144</f>
        <v>9252.0647754220936</v>
      </c>
      <c r="BT70" s="229">
        <f t="shared" si="93"/>
        <v>9252.0647754220936</v>
      </c>
      <c r="BU70" s="229">
        <f t="shared" si="93"/>
        <v>9252.0647754220936</v>
      </c>
      <c r="BV70" s="229">
        <f t="shared" si="93"/>
        <v>9252.0647754220936</v>
      </c>
      <c r="BW70" s="229">
        <f t="shared" si="93"/>
        <v>9252.0647754220936</v>
      </c>
      <c r="BX70" s="229">
        <f t="shared" si="93"/>
        <v>9252.0647754220936</v>
      </c>
      <c r="BY70" s="229">
        <f t="shared" si="93"/>
        <v>9252.0647754220936</v>
      </c>
      <c r="BZ70" s="229">
        <f t="shared" si="93"/>
        <v>9252.0647754220936</v>
      </c>
      <c r="CA70" s="229">
        <f t="shared" si="93"/>
        <v>9252.0647754220936</v>
      </c>
      <c r="CB70" s="229">
        <f t="shared" si="93"/>
        <v>9252.0647754220936</v>
      </c>
      <c r="CC70" s="229">
        <f t="shared" si="93"/>
        <v>9252.0647754220936</v>
      </c>
      <c r="CD70" s="229">
        <f t="shared" si="93"/>
        <v>9529.6267186847654</v>
      </c>
      <c r="CE70" s="229">
        <f t="shared" si="93"/>
        <v>9529.6267186847654</v>
      </c>
      <c r="CF70" s="229">
        <f t="shared" si="93"/>
        <v>9529.6267186847654</v>
      </c>
      <c r="CG70" s="229">
        <f t="shared" si="93"/>
        <v>9529.6267186847654</v>
      </c>
      <c r="CH70" s="229">
        <f t="shared" si="93"/>
        <v>9529.6267186847654</v>
      </c>
      <c r="CI70" s="229">
        <f t="shared" si="93"/>
        <v>9529.6267186847654</v>
      </c>
      <c r="CJ70" s="229">
        <f t="shared" si="93"/>
        <v>9529.6267186847654</v>
      </c>
      <c r="CK70" s="229">
        <f t="shared" si="93"/>
        <v>9529.6267186847654</v>
      </c>
      <c r="CL70" s="229">
        <f t="shared" si="93"/>
        <v>9529.6267186847654</v>
      </c>
      <c r="CM70" s="229">
        <f t="shared" si="93"/>
        <v>9529.6267186847654</v>
      </c>
      <c r="CN70" s="229">
        <f t="shared" si="93"/>
        <v>9529.6267186847654</v>
      </c>
      <c r="CO70" s="229">
        <f t="shared" si="93"/>
        <v>9529.6267186847654</v>
      </c>
      <c r="CP70" s="229">
        <f t="shared" si="93"/>
        <v>9815.5155202453152</v>
      </c>
      <c r="CQ70" s="229">
        <f t="shared" si="93"/>
        <v>9815.5155202453152</v>
      </c>
      <c r="CR70" s="229">
        <f t="shared" si="93"/>
        <v>9815.5155202453152</v>
      </c>
      <c r="CS70" s="229">
        <f t="shared" si="93"/>
        <v>9815.5155202453152</v>
      </c>
      <c r="CT70" s="229">
        <f t="shared" si="93"/>
        <v>9815.5155202453152</v>
      </c>
      <c r="CU70" s="229">
        <f t="shared" si="93"/>
        <v>9815.5155202453152</v>
      </c>
      <c r="CV70" s="229">
        <f t="shared" si="93"/>
        <v>9815.5155202453152</v>
      </c>
      <c r="CW70" s="229">
        <f t="shared" si="93"/>
        <v>9815.5155202453152</v>
      </c>
      <c r="CX70" s="229">
        <f t="shared" si="93"/>
        <v>9815.5155202453152</v>
      </c>
      <c r="CY70" s="229">
        <f t="shared" si="93"/>
        <v>9815.5155202453152</v>
      </c>
      <c r="CZ70" s="229">
        <f t="shared" si="93"/>
        <v>9815.5155202453152</v>
      </c>
      <c r="DA70" s="229">
        <f t="shared" si="93"/>
        <v>9815.5155202453152</v>
      </c>
      <c r="DB70" s="229">
        <f t="shared" si="93"/>
        <v>10109.980985852688</v>
      </c>
      <c r="DC70" s="229">
        <f t="shared" si="93"/>
        <v>10109.980985852688</v>
      </c>
      <c r="DD70" s="229">
        <f t="shared" si="93"/>
        <v>10109.980985852688</v>
      </c>
      <c r="DE70" s="229">
        <f t="shared" si="93"/>
        <v>10109.980985852688</v>
      </c>
      <c r="DF70" s="229">
        <f t="shared" si="93"/>
        <v>10109.980985852688</v>
      </c>
      <c r="DG70" s="229">
        <f t="shared" si="93"/>
        <v>10109.980985852688</v>
      </c>
      <c r="DH70" s="229">
        <f t="shared" si="93"/>
        <v>10109.980985852688</v>
      </c>
      <c r="DI70" s="229">
        <f t="shared" si="93"/>
        <v>10109.980985852688</v>
      </c>
      <c r="DJ70" s="229">
        <f t="shared" si="93"/>
        <v>10109.980985852688</v>
      </c>
      <c r="DK70" s="229">
        <f t="shared" si="93"/>
        <v>10109.980985852688</v>
      </c>
      <c r="DL70" s="229">
        <f t="shared" si="93"/>
        <v>10109.980985852688</v>
      </c>
      <c r="DM70" s="229">
        <f t="shared" si="93"/>
        <v>10109.980985852688</v>
      </c>
      <c r="DN70" s="229">
        <f t="shared" si="93"/>
        <v>10413.28041542828</v>
      </c>
      <c r="DO70" s="229">
        <f t="shared" si="93"/>
        <v>10413.28041542828</v>
      </c>
      <c r="DP70" s="229">
        <f t="shared" si="93"/>
        <v>10413.28041542828</v>
      </c>
      <c r="DQ70" s="229">
        <f t="shared" si="93"/>
        <v>10413.28041542828</v>
      </c>
      <c r="DR70" s="229">
        <f t="shared" si="93"/>
        <v>10413.28041542828</v>
      </c>
      <c r="DS70" s="229">
        <f t="shared" si="93"/>
        <v>10413.28041542828</v>
      </c>
      <c r="DT70" s="229">
        <f t="shared" si="93"/>
        <v>10413.28041542828</v>
      </c>
      <c r="DU70" s="229">
        <f t="shared" si="93"/>
        <v>10413.28041542828</v>
      </c>
      <c r="DV70" s="229">
        <f t="shared" si="93"/>
        <v>10413.28041542828</v>
      </c>
      <c r="DW70" s="229">
        <f t="shared" si="93"/>
        <v>10413.28041542828</v>
      </c>
      <c r="DX70" s="229">
        <f t="shared" si="93"/>
        <v>10413.28041542828</v>
      </c>
      <c r="DY70" s="229">
        <f t="shared" si="93"/>
        <v>10413.28041542828</v>
      </c>
      <c r="DZ70" s="229">
        <f t="shared" si="93"/>
        <v>10725.678827891135</v>
      </c>
      <c r="EA70" s="229">
        <f t="shared" si="93"/>
        <v>10725.678827891135</v>
      </c>
      <c r="EB70" s="229">
        <f t="shared" si="93"/>
        <v>10725.678827891135</v>
      </c>
      <c r="EC70" s="229">
        <f t="shared" si="93"/>
        <v>10725.678827891135</v>
      </c>
      <c r="ED70" s="229">
        <f t="shared" si="93"/>
        <v>10725.678827891135</v>
      </c>
      <c r="EE70" s="229">
        <f t="shared" ref="EE70:EH70" si="94">EE145*EE144</f>
        <v>10725.678827891135</v>
      </c>
      <c r="EF70" s="229">
        <f t="shared" si="94"/>
        <v>10725.678827891135</v>
      </c>
      <c r="EG70" s="229">
        <f t="shared" si="94"/>
        <v>10725.678827891135</v>
      </c>
      <c r="EH70" s="229">
        <f t="shared" si="94"/>
        <v>10725.678827891135</v>
      </c>
      <c r="EK70" s="280"/>
    </row>
    <row r="71" spans="1:141" x14ac:dyDescent="0.3">
      <c r="A71" s="198" t="s">
        <v>701</v>
      </c>
      <c r="E71" s="1525">
        <v>0.7</v>
      </c>
      <c r="F71" s="282">
        <v>1</v>
      </c>
      <c r="G71" s="229">
        <f t="shared" ref="G71:AL71" si="95">MIN(G149*G150*$E71+G149*G150*G$19/Units*$F71,G149*G150)</f>
        <v>0</v>
      </c>
      <c r="H71" s="229">
        <f t="shared" si="95"/>
        <v>0</v>
      </c>
      <c r="I71" s="229">
        <f t="shared" si="95"/>
        <v>0</v>
      </c>
      <c r="J71" s="229">
        <f t="shared" si="95"/>
        <v>0</v>
      </c>
      <c r="K71" s="229">
        <f t="shared" si="95"/>
        <v>0</v>
      </c>
      <c r="L71" s="229">
        <f t="shared" si="95"/>
        <v>0</v>
      </c>
      <c r="M71" s="229">
        <f t="shared" si="95"/>
        <v>0</v>
      </c>
      <c r="N71" s="229">
        <f t="shared" si="95"/>
        <v>0</v>
      </c>
      <c r="O71" s="229">
        <f t="shared" si="95"/>
        <v>0</v>
      </c>
      <c r="P71" s="229">
        <f t="shared" si="95"/>
        <v>0</v>
      </c>
      <c r="Q71" s="229">
        <f t="shared" si="95"/>
        <v>0</v>
      </c>
      <c r="R71" s="229">
        <f t="shared" si="95"/>
        <v>0</v>
      </c>
      <c r="S71" s="229">
        <f t="shared" si="95"/>
        <v>0</v>
      </c>
      <c r="T71" s="229">
        <f t="shared" si="95"/>
        <v>27791.235816869736</v>
      </c>
      <c r="U71" s="229">
        <f t="shared" si="95"/>
        <v>30747.750265472896</v>
      </c>
      <c r="V71" s="229">
        <f t="shared" si="95"/>
        <v>34715.392655498377</v>
      </c>
      <c r="W71" s="229">
        <f t="shared" si="95"/>
        <v>36542.518584735139</v>
      </c>
      <c r="X71" s="229">
        <f t="shared" si="95"/>
        <v>36542.518584735139</v>
      </c>
      <c r="Y71" s="229">
        <f t="shared" si="95"/>
        <v>36542.518584735139</v>
      </c>
      <c r="Z71" s="229">
        <f t="shared" si="95"/>
        <v>36542.518584735139</v>
      </c>
      <c r="AA71" s="229">
        <f t="shared" si="95"/>
        <v>36542.518584735139</v>
      </c>
      <c r="AB71" s="229">
        <f t="shared" si="95"/>
        <v>36542.518584735139</v>
      </c>
      <c r="AC71" s="229">
        <f t="shared" si="95"/>
        <v>36542.518584735139</v>
      </c>
      <c r="AD71" s="229">
        <f t="shared" si="95"/>
        <v>36542.518584735139</v>
      </c>
      <c r="AE71" s="229">
        <f t="shared" si="95"/>
        <v>36542.518584735139</v>
      </c>
      <c r="AF71" s="229">
        <f t="shared" si="95"/>
        <v>36542.518584735139</v>
      </c>
      <c r="AG71" s="229">
        <f t="shared" si="95"/>
        <v>36542.518584735139</v>
      </c>
      <c r="AH71" s="229">
        <f t="shared" si="95"/>
        <v>37638.794142277235</v>
      </c>
      <c r="AI71" s="229">
        <f t="shared" si="95"/>
        <v>37638.794142277235</v>
      </c>
      <c r="AJ71" s="229">
        <f t="shared" si="95"/>
        <v>37638.794142277235</v>
      </c>
      <c r="AK71" s="229">
        <f t="shared" si="95"/>
        <v>37638.794142277235</v>
      </c>
      <c r="AL71" s="229">
        <f t="shared" si="95"/>
        <v>37638.794142277235</v>
      </c>
      <c r="AM71" s="229">
        <f t="shared" ref="AM71:BR71" si="96">MIN(AM149*AM150*$E71+AM149*AM150*AM$19/Units*$F71,AM149*AM150)</f>
        <v>37638.794142277235</v>
      </c>
      <c r="AN71" s="229">
        <f t="shared" si="96"/>
        <v>37638.794142277235</v>
      </c>
      <c r="AO71" s="229">
        <f t="shared" si="96"/>
        <v>37638.794142277235</v>
      </c>
      <c r="AP71" s="229">
        <f t="shared" si="96"/>
        <v>37638.794142277235</v>
      </c>
      <c r="AQ71" s="229">
        <f t="shared" si="96"/>
        <v>37638.794142277235</v>
      </c>
      <c r="AR71" s="229">
        <f t="shared" si="96"/>
        <v>37638.794142277235</v>
      </c>
      <c r="AS71" s="229">
        <f t="shared" si="96"/>
        <v>37638.794142277235</v>
      </c>
      <c r="AT71" s="229">
        <f t="shared" si="96"/>
        <v>38767.957966545589</v>
      </c>
      <c r="AU71" s="229">
        <f t="shared" si="96"/>
        <v>38767.957966545589</v>
      </c>
      <c r="AV71" s="229">
        <f t="shared" si="96"/>
        <v>38767.957966545589</v>
      </c>
      <c r="AW71" s="229">
        <f t="shared" si="96"/>
        <v>38767.957966545589</v>
      </c>
      <c r="AX71" s="229">
        <f t="shared" si="96"/>
        <v>38767.957966545589</v>
      </c>
      <c r="AY71" s="229">
        <f t="shared" si="96"/>
        <v>38767.957966545589</v>
      </c>
      <c r="AZ71" s="229">
        <f t="shared" si="96"/>
        <v>38767.957966545589</v>
      </c>
      <c r="BA71" s="229">
        <f t="shared" si="96"/>
        <v>38767.957966545589</v>
      </c>
      <c r="BB71" s="229">
        <f t="shared" si="96"/>
        <v>38767.957966545589</v>
      </c>
      <c r="BC71" s="229">
        <f t="shared" si="96"/>
        <v>38767.957966545589</v>
      </c>
      <c r="BD71" s="229">
        <f t="shared" si="96"/>
        <v>38767.957966545589</v>
      </c>
      <c r="BE71" s="229">
        <f t="shared" si="96"/>
        <v>38767.957966545589</v>
      </c>
      <c r="BF71" s="229">
        <f t="shared" si="96"/>
        <v>39930.996705541998</v>
      </c>
      <c r="BG71" s="229">
        <f t="shared" si="96"/>
        <v>39930.996705541998</v>
      </c>
      <c r="BH71" s="229">
        <f t="shared" si="96"/>
        <v>39930.996705541998</v>
      </c>
      <c r="BI71" s="229">
        <f t="shared" si="96"/>
        <v>39930.996705541998</v>
      </c>
      <c r="BJ71" s="229">
        <f t="shared" si="96"/>
        <v>39930.996705541998</v>
      </c>
      <c r="BK71" s="229">
        <f t="shared" si="96"/>
        <v>39930.996705541998</v>
      </c>
      <c r="BL71" s="229">
        <f t="shared" si="96"/>
        <v>39930.996705541998</v>
      </c>
      <c r="BM71" s="229">
        <f t="shared" si="96"/>
        <v>39930.996705541998</v>
      </c>
      <c r="BN71" s="229">
        <f t="shared" si="96"/>
        <v>39930.996705541998</v>
      </c>
      <c r="BO71" s="229">
        <f t="shared" si="96"/>
        <v>39930.996705541998</v>
      </c>
      <c r="BP71" s="229">
        <f t="shared" si="96"/>
        <v>39930.996705541998</v>
      </c>
      <c r="BQ71" s="229">
        <f t="shared" si="96"/>
        <v>39930.996705541998</v>
      </c>
      <c r="BR71" s="229">
        <f t="shared" si="96"/>
        <v>41128.926606708294</v>
      </c>
      <c r="BS71" s="229">
        <f t="shared" ref="BS71:CX71" si="97">MIN(BS149*BS150*$E71+BS149*BS150*BS$19/Units*$F71,BS149*BS150)</f>
        <v>41128.926606708294</v>
      </c>
      <c r="BT71" s="229">
        <f t="shared" si="97"/>
        <v>41128.926606708294</v>
      </c>
      <c r="BU71" s="229">
        <f t="shared" si="97"/>
        <v>41128.926606708294</v>
      </c>
      <c r="BV71" s="229">
        <f t="shared" si="97"/>
        <v>41128.926606708294</v>
      </c>
      <c r="BW71" s="229">
        <f t="shared" si="97"/>
        <v>41128.926606708294</v>
      </c>
      <c r="BX71" s="229">
        <f t="shared" si="97"/>
        <v>41128.926606708294</v>
      </c>
      <c r="BY71" s="229">
        <f t="shared" si="97"/>
        <v>41128.926606708294</v>
      </c>
      <c r="BZ71" s="229">
        <f t="shared" si="97"/>
        <v>41128.926606708294</v>
      </c>
      <c r="CA71" s="229">
        <f t="shared" si="97"/>
        <v>41128.926606708294</v>
      </c>
      <c r="CB71" s="229">
        <f t="shared" si="97"/>
        <v>41128.926606708294</v>
      </c>
      <c r="CC71" s="229">
        <f t="shared" si="97"/>
        <v>41128.926606708294</v>
      </c>
      <c r="CD71" s="229">
        <f t="shared" si="97"/>
        <v>42362.794404909582</v>
      </c>
      <c r="CE71" s="229">
        <f t="shared" si="97"/>
        <v>42362.794404909582</v>
      </c>
      <c r="CF71" s="229">
        <f t="shared" si="97"/>
        <v>42362.794404909582</v>
      </c>
      <c r="CG71" s="229">
        <f t="shared" si="97"/>
        <v>42362.794404909582</v>
      </c>
      <c r="CH71" s="229">
        <f t="shared" si="97"/>
        <v>42362.794404909582</v>
      </c>
      <c r="CI71" s="229">
        <f t="shared" si="97"/>
        <v>42362.794404909582</v>
      </c>
      <c r="CJ71" s="229">
        <f t="shared" si="97"/>
        <v>42362.794404909582</v>
      </c>
      <c r="CK71" s="229">
        <f t="shared" si="97"/>
        <v>42362.794404909582</v>
      </c>
      <c r="CL71" s="229">
        <f t="shared" si="97"/>
        <v>42362.794404909582</v>
      </c>
      <c r="CM71" s="229">
        <f t="shared" si="97"/>
        <v>42362.794404909582</v>
      </c>
      <c r="CN71" s="229">
        <f t="shared" si="97"/>
        <v>42362.794404909582</v>
      </c>
      <c r="CO71" s="229">
        <f t="shared" si="97"/>
        <v>42362.794404909582</v>
      </c>
      <c r="CP71" s="229">
        <f t="shared" si="97"/>
        <v>43633.67823705692</v>
      </c>
      <c r="CQ71" s="229">
        <f t="shared" si="97"/>
        <v>43633.67823705692</v>
      </c>
      <c r="CR71" s="229">
        <f t="shared" si="97"/>
        <v>43633.67823705692</v>
      </c>
      <c r="CS71" s="229">
        <f t="shared" si="97"/>
        <v>43633.67823705692</v>
      </c>
      <c r="CT71" s="229">
        <f t="shared" si="97"/>
        <v>43633.67823705692</v>
      </c>
      <c r="CU71" s="229">
        <f t="shared" si="97"/>
        <v>43633.67823705692</v>
      </c>
      <c r="CV71" s="229">
        <f t="shared" si="97"/>
        <v>43633.67823705692</v>
      </c>
      <c r="CW71" s="229">
        <f t="shared" si="97"/>
        <v>43633.67823705692</v>
      </c>
      <c r="CX71" s="229">
        <f t="shared" si="97"/>
        <v>43633.67823705692</v>
      </c>
      <c r="CY71" s="229">
        <f t="shared" ref="CY71:EH71" si="98">MIN(CY149*CY150*$E71+CY149*CY150*CY$19/Units*$F71,CY149*CY150)</f>
        <v>43633.67823705692</v>
      </c>
      <c r="CZ71" s="229">
        <f t="shared" si="98"/>
        <v>43633.67823705692</v>
      </c>
      <c r="DA71" s="229">
        <f t="shared" si="98"/>
        <v>43633.67823705692</v>
      </c>
      <c r="DB71" s="229">
        <f t="shared" si="98"/>
        <v>44942.688584168696</v>
      </c>
      <c r="DC71" s="229">
        <f t="shared" si="98"/>
        <v>44942.688584168696</v>
      </c>
      <c r="DD71" s="229">
        <f t="shared" si="98"/>
        <v>44942.688584168696</v>
      </c>
      <c r="DE71" s="229">
        <f t="shared" si="98"/>
        <v>44942.688584168696</v>
      </c>
      <c r="DF71" s="229">
        <f t="shared" si="98"/>
        <v>44942.688584168696</v>
      </c>
      <c r="DG71" s="229">
        <f t="shared" si="98"/>
        <v>44942.688584168696</v>
      </c>
      <c r="DH71" s="229">
        <f t="shared" si="98"/>
        <v>44942.688584168696</v>
      </c>
      <c r="DI71" s="229">
        <f t="shared" si="98"/>
        <v>44942.688584168696</v>
      </c>
      <c r="DJ71" s="229">
        <f t="shared" si="98"/>
        <v>44942.688584168696</v>
      </c>
      <c r="DK71" s="229">
        <f t="shared" si="98"/>
        <v>44942.688584168696</v>
      </c>
      <c r="DL71" s="229">
        <f t="shared" si="98"/>
        <v>44942.688584168696</v>
      </c>
      <c r="DM71" s="229">
        <f t="shared" si="98"/>
        <v>44942.688584168696</v>
      </c>
      <c r="DN71" s="229">
        <f t="shared" si="98"/>
        <v>46290.969241693812</v>
      </c>
      <c r="DO71" s="229">
        <f t="shared" si="98"/>
        <v>46290.969241693812</v>
      </c>
      <c r="DP71" s="229">
        <f t="shared" si="98"/>
        <v>46290.969241693812</v>
      </c>
      <c r="DQ71" s="229">
        <f t="shared" si="98"/>
        <v>46290.969241693812</v>
      </c>
      <c r="DR71" s="229">
        <f t="shared" si="98"/>
        <v>46290.969241693812</v>
      </c>
      <c r="DS71" s="229">
        <f t="shared" si="98"/>
        <v>46290.969241693812</v>
      </c>
      <c r="DT71" s="229">
        <f t="shared" si="98"/>
        <v>46290.969241693812</v>
      </c>
      <c r="DU71" s="229">
        <f t="shared" si="98"/>
        <v>46290.969241693812</v>
      </c>
      <c r="DV71" s="229">
        <f t="shared" si="98"/>
        <v>46290.969241693812</v>
      </c>
      <c r="DW71" s="229">
        <f t="shared" si="98"/>
        <v>46290.969241693812</v>
      </c>
      <c r="DX71" s="229">
        <f t="shared" si="98"/>
        <v>46290.969241693812</v>
      </c>
      <c r="DY71" s="229">
        <f t="shared" si="98"/>
        <v>46290.969241693812</v>
      </c>
      <c r="DZ71" s="229">
        <f t="shared" si="98"/>
        <v>47679.698318944669</v>
      </c>
      <c r="EA71" s="229">
        <f t="shared" si="98"/>
        <v>47679.698318944669</v>
      </c>
      <c r="EB71" s="229">
        <f t="shared" si="98"/>
        <v>47679.698318944669</v>
      </c>
      <c r="EC71" s="229">
        <f t="shared" si="98"/>
        <v>47679.698318944669</v>
      </c>
      <c r="ED71" s="229">
        <f t="shared" si="98"/>
        <v>47679.698318944669</v>
      </c>
      <c r="EE71" s="229">
        <f t="shared" si="98"/>
        <v>47679.698318944669</v>
      </c>
      <c r="EF71" s="229">
        <f t="shared" si="98"/>
        <v>47679.698318944669</v>
      </c>
      <c r="EG71" s="229">
        <f t="shared" si="98"/>
        <v>47679.698318944669</v>
      </c>
      <c r="EH71" s="229">
        <f t="shared" si="98"/>
        <v>47679.698318944669</v>
      </c>
      <c r="EK71" s="672"/>
    </row>
    <row r="72" spans="1:141" x14ac:dyDescent="0.3">
      <c r="A72" s="198" t="s">
        <v>702</v>
      </c>
      <c r="E72" s="1525"/>
      <c r="F72" s="685">
        <f>0.75/13</f>
        <v>5.7692307692307696E-2</v>
      </c>
      <c r="G72" s="1603">
        <f>MIN(IF(G5&lt;(MonthFirstUnits-'Development Inputs'!$N$28),0,(OperBgt!G$5-MonthFirstUnits+1+'Development Inputs'!$N$28)*OperBgt!$F$72*G$154),G$154)</f>
        <v>0</v>
      </c>
      <c r="H72" s="1603">
        <f>MIN(IF(H5&lt;(MonthFirstUnits-'Development Inputs'!$N$28),0,(OperBgt!H$5-MonthFirstUnits+1+'Development Inputs'!$N$28)*OperBgt!$F$72*H$154),H$154)</f>
        <v>0</v>
      </c>
      <c r="I72" s="1603">
        <f>MIN(IF(I5&lt;(MonthFirstUnits-'Development Inputs'!$N$28),0,(OperBgt!I$5-MonthFirstUnits+1+'Development Inputs'!$N$28)*OperBgt!$F$72*I$154),I$154)</f>
        <v>0</v>
      </c>
      <c r="J72" s="1603">
        <f>MIN(IF(J5&lt;(MonthFirstUnits-'Development Inputs'!$N$28),0,(OperBgt!J$5-MonthFirstUnits+1+'Development Inputs'!$N$28)*OperBgt!$F$72*J$154),J$154)</f>
        <v>0</v>
      </c>
      <c r="K72" s="1603">
        <f>MIN(IF(K5&lt;(MonthFirstUnits-'Development Inputs'!$N$28),0,(OperBgt!K$5-MonthFirstUnits+1+'Development Inputs'!$N$28)*OperBgt!$F$72*K$154),K$154)</f>
        <v>0</v>
      </c>
      <c r="L72" s="1603">
        <f>MIN(IF(L5&lt;(MonthFirstUnits-'Development Inputs'!$N$28),0,(OperBgt!L$5-MonthFirstUnits+1+'Development Inputs'!$N$28)*OperBgt!$F$72*L$154),L$154)</f>
        <v>0</v>
      </c>
      <c r="M72" s="1603">
        <f>MIN(IF(M5&lt;(MonthFirstUnits-'Development Inputs'!$N$28),0,(OperBgt!M$5-MonthFirstUnits+1+'Development Inputs'!$N$28)*OperBgt!$F$72*M$154),M$154)</f>
        <v>0</v>
      </c>
      <c r="N72" s="1603">
        <f>MIN(IF(N5&lt;(MonthFirstUnits-'Development Inputs'!$N$28),0,(OperBgt!N$5-MonthFirstUnits+1+'Development Inputs'!$N$28)*OperBgt!$F$72*N$154),N$154)</f>
        <v>0</v>
      </c>
      <c r="O72" s="1603">
        <f>MIN(IF(O5&lt;(MonthFirstUnits-'Development Inputs'!$N$28),0,(OperBgt!O$5-MonthFirstUnits+1+'Development Inputs'!$N$28)*OperBgt!$F$72*O$154),O$154)</f>
        <v>0</v>
      </c>
      <c r="P72" s="1603">
        <f>MIN(IF(P5&lt;(MonthFirstUnits-'Development Inputs'!$N$28),0,(OperBgt!P$5-MonthFirstUnits+1+'Development Inputs'!$N$28)*OperBgt!$F$72*P$154),P$154)</f>
        <v>0</v>
      </c>
      <c r="Q72" s="1603">
        <f>MIN(IF(Q5&lt;(MonthFirstUnits-'Development Inputs'!$N$28),0,(OperBgt!Q$5-MonthFirstUnits+1+'Development Inputs'!$N$28)*OperBgt!$F$72*Q$154),Q$154)</f>
        <v>0</v>
      </c>
      <c r="R72" s="1603">
        <f>MIN(IF(R5&lt;(MonthFirstUnits-'Development Inputs'!$N$28),0,(OperBgt!R$5-MonthFirstUnits+1+'Development Inputs'!$N$28)*OperBgt!$F$72*R$154),R$154)</f>
        <v>0</v>
      </c>
      <c r="S72" s="1603">
        <f>MIN(IF(S5&lt;(MonthFirstUnits-'Development Inputs'!$N$28),0,(OperBgt!S$5-MonthFirstUnits+1+'Development Inputs'!$N$28)*OperBgt!$F$72*S$154),S$154)</f>
        <v>0</v>
      </c>
      <c r="T72" s="1603">
        <f>MIN(IF(T5&lt;(MonthFirstUnits-'Development Inputs'!$N$28),0,(OperBgt!T$5-MonthFirstUnits+1+'Development Inputs'!$N$28)*OperBgt!$F$72*T$154),T$154)</f>
        <v>613.91633453618113</v>
      </c>
      <c r="U72" s="1603">
        <f>MIN(IF(U5&lt;(MonthFirstUnits-'Development Inputs'!$N$28),0,(OperBgt!U$5-MonthFirstUnits+1+'Development Inputs'!$N$28)*OperBgt!$F$72*U$154),U$154)</f>
        <v>1227.8326690723623</v>
      </c>
      <c r="V72" s="1603">
        <f>MIN(IF(V5&lt;(MonthFirstUnits-'Development Inputs'!$N$28),0,(OperBgt!V$5-MonthFirstUnits+1+'Development Inputs'!$N$28)*OperBgt!$F$72*V$154),V$154)</f>
        <v>1897.0014737168017</v>
      </c>
      <c r="W72" s="1603">
        <f>MIN(IF(W5&lt;(MonthFirstUnits-'Development Inputs'!$N$28),0,(OperBgt!W$5-MonthFirstUnits+1+'Development Inputs'!$N$28)*OperBgt!$F$72*W$154),W$154)</f>
        <v>2529.3352982890692</v>
      </c>
      <c r="X72" s="1603">
        <f>MIN(IF(X5&lt;(MonthFirstUnits-'Development Inputs'!$N$28),0,(OperBgt!X$5-MonthFirstUnits+1+'Development Inputs'!$N$28)*OperBgt!$F$72*X$154),X$154)</f>
        <v>3161.6691228613367</v>
      </c>
      <c r="Y72" s="1603">
        <f>MIN(IF(Y5&lt;(MonthFirstUnits-'Development Inputs'!$N$28),0,(OperBgt!Y$5-MonthFirstUnits+1+'Development Inputs'!$N$28)*OperBgt!$F$72*Y$154),Y$154)</f>
        <v>3794.0029474336034</v>
      </c>
      <c r="Z72" s="1603">
        <f>MIN(IF(Z5&lt;(MonthFirstUnits-'Development Inputs'!$N$28),0,(OperBgt!Z$5-MonthFirstUnits+1+'Development Inputs'!$N$28)*OperBgt!$F$72*Z$154),Z$154)</f>
        <v>4426.3367720058704</v>
      </c>
      <c r="AA72" s="1603">
        <f>MIN(IF(AA5&lt;(MonthFirstUnits-'Development Inputs'!$N$28),0,(OperBgt!AA$5-MonthFirstUnits+1+'Development Inputs'!$N$28)*OperBgt!$F$72*AA$154),AA$154)</f>
        <v>5058.6705965781384</v>
      </c>
      <c r="AB72" s="1603">
        <f>MIN(IF(AB5&lt;(MonthFirstUnits-'Development Inputs'!$N$28),0,(OperBgt!AB$5-MonthFirstUnits+1+'Development Inputs'!$N$28)*OperBgt!$F$72*AB$154),AB$154)</f>
        <v>5691.0044211504055</v>
      </c>
      <c r="AC72" s="1603">
        <f>MIN(IF(AC5&lt;(MonthFirstUnits-'Development Inputs'!$N$28),0,(OperBgt!AC$5-MonthFirstUnits+1+'Development Inputs'!$N$28)*OperBgt!$F$72*AC$154),AC$154)</f>
        <v>6323.3382457226735</v>
      </c>
      <c r="AD72" s="1603">
        <f>MIN(IF(AD5&lt;(MonthFirstUnits-'Development Inputs'!$N$28),0,(OperBgt!AD$5-MonthFirstUnits+1+'Development Inputs'!$N$28)*OperBgt!$F$72*AD$154),AD$154)</f>
        <v>6955.6720702949406</v>
      </c>
      <c r="AE72" s="1603">
        <f>MIN(IF(AE5&lt;(MonthFirstUnits-'Development Inputs'!$N$28),0,(OperBgt!AE$5-MonthFirstUnits+1+'Development Inputs'!$N$28)*OperBgt!$F$72*AE$154),AE$154)</f>
        <v>7588.0058948672067</v>
      </c>
      <c r="AF72" s="1603">
        <f>MIN(IF(AF5&lt;(MonthFirstUnits-'Development Inputs'!$N$28),0,(OperBgt!AF$5-MonthFirstUnits+1+'Development Inputs'!$N$28)*OperBgt!$F$72*AF$154),AF$154)</f>
        <v>8220.3397194394747</v>
      </c>
      <c r="AG72" s="1603">
        <f>MIN(IF(AG5&lt;(MonthFirstUnits-'Development Inputs'!$N$28),0,(OperBgt!AG$5-MonthFirstUnits+1+'Development Inputs'!$N$28)*OperBgt!$F$72*AG$154),AG$154)</f>
        <v>8852.6735440117409</v>
      </c>
      <c r="AH72" s="1603">
        <f>MIN(IF(AH5&lt;(MonthFirstUnits-'Development Inputs'!$N$28),0,(OperBgt!AH$5-MonthFirstUnits+1+'Development Inputs'!$N$28)*OperBgt!$F$72*AH$154),AH$154)</f>
        <v>9769.5575896415412</v>
      </c>
      <c r="AI72" s="1603">
        <f>MIN(IF(AI5&lt;(MonthFirstUnits-'Development Inputs'!$N$28),0,(OperBgt!AI$5-MonthFirstUnits+1+'Development Inputs'!$N$28)*OperBgt!$F$72*AI$154),AI$154)</f>
        <v>10420.861428950979</v>
      </c>
      <c r="AJ72" s="1603">
        <f>MIN(IF(AJ5&lt;(MonthFirstUnits-'Development Inputs'!$N$28),0,(OperBgt!AJ$5-MonthFirstUnits+1+'Development Inputs'!$N$28)*OperBgt!$F$72*AJ$154),AJ$154)</f>
        <v>11072.165268260414</v>
      </c>
      <c r="AK72" s="1603">
        <f>MIN(IF(AK5&lt;(MonthFirstUnits-'Development Inputs'!$N$28),0,(OperBgt!AK$5-MonthFirstUnits+1+'Development Inputs'!$N$28)*OperBgt!$F$72*AK$154),AK$154)</f>
        <v>11289.266548030226</v>
      </c>
      <c r="AL72" s="1603">
        <f>MIN(IF(AL5&lt;(MonthFirstUnits-'Development Inputs'!$N$28),0,(OperBgt!AL$5-MonthFirstUnits+1+'Development Inputs'!$N$28)*OperBgt!$F$72*AL$154),AL$154)</f>
        <v>11289.266548030226</v>
      </c>
      <c r="AM72" s="1603">
        <f>MIN(IF(AM5&lt;(MonthFirstUnits-'Development Inputs'!$N$28),0,(OperBgt!AM$5-MonthFirstUnits+1+'Development Inputs'!$N$28)*OperBgt!$F$72*AM$154),AM$154)</f>
        <v>11289.266548030226</v>
      </c>
      <c r="AN72" s="1603">
        <f>MIN(IF(AN5&lt;(MonthFirstUnits-'Development Inputs'!$N$28),0,(OperBgt!AN$5-MonthFirstUnits+1+'Development Inputs'!$N$28)*OperBgt!$F$72*AN$154),AN$154)</f>
        <v>11289.266548030226</v>
      </c>
      <c r="AO72" s="1603">
        <f>MIN(IF(AO5&lt;(MonthFirstUnits-'Development Inputs'!$N$28),0,(OperBgt!AO$5-MonthFirstUnits+1+'Development Inputs'!$N$28)*OperBgt!$F$72*AO$154),AO$154)</f>
        <v>11289.266548030226</v>
      </c>
      <c r="AP72" s="1603">
        <f>MIN(IF(AP5&lt;(MonthFirstUnits-'Development Inputs'!$N$28),0,(OperBgt!AP$5-MonthFirstUnits+1+'Development Inputs'!$N$28)*OperBgt!$F$72*AP$154),AP$154)</f>
        <v>11289.266548030226</v>
      </c>
      <c r="AQ72" s="1603">
        <f>MIN(IF(AQ5&lt;(MonthFirstUnits-'Development Inputs'!$N$28),0,(OperBgt!AQ$5-MonthFirstUnits+1+'Development Inputs'!$N$28)*OperBgt!$F$72*AQ$154),AQ$154)</f>
        <v>11289.266548030226</v>
      </c>
      <c r="AR72" s="1603">
        <f>MIN(IF(AR5&lt;(MonthFirstUnits-'Development Inputs'!$N$28),0,(OperBgt!AR$5-MonthFirstUnits+1+'Development Inputs'!$N$28)*OperBgt!$F$72*AR$154),AR$154)</f>
        <v>11289.266548030226</v>
      </c>
      <c r="AS72" s="1603">
        <f>MIN(IF(AS5&lt;(MonthFirstUnits-'Development Inputs'!$N$28),0,(OperBgt!AS$5-MonthFirstUnits+1+'Development Inputs'!$N$28)*OperBgt!$F$72*AS$154),AS$154)</f>
        <v>11289.266548030226</v>
      </c>
      <c r="AT72" s="1603">
        <f>MIN(IF(AT5&lt;(MonthFirstUnits-'Development Inputs'!$N$28),0,(OperBgt!AT$5-MonthFirstUnits+1+'Development Inputs'!$N$28)*OperBgt!$F$72*AT$154),AT$154)</f>
        <v>11627.944544471145</v>
      </c>
      <c r="AU72" s="1603">
        <f>MIN(IF(AU5&lt;(MonthFirstUnits-'Development Inputs'!$N$28),0,(OperBgt!AU$5-MonthFirstUnits+1+'Development Inputs'!$N$28)*OperBgt!$F$72*AU$154),AU$154)</f>
        <v>11627.944544471145</v>
      </c>
      <c r="AV72" s="1603">
        <f>MIN(IF(AV5&lt;(MonthFirstUnits-'Development Inputs'!$N$28),0,(OperBgt!AV$5-MonthFirstUnits+1+'Development Inputs'!$N$28)*OperBgt!$F$72*AV$154),AV$154)</f>
        <v>11627.944544471145</v>
      </c>
      <c r="AW72" s="1603">
        <f>MIN(IF(AW5&lt;(MonthFirstUnits-'Development Inputs'!$N$28),0,(OperBgt!AW$5-MonthFirstUnits+1+'Development Inputs'!$N$28)*OperBgt!$F$72*AW$154),AW$154)</f>
        <v>11627.944544471145</v>
      </c>
      <c r="AX72" s="1603">
        <f>MIN(IF(AX5&lt;(MonthFirstUnits-'Development Inputs'!$N$28),0,(OperBgt!AX$5-MonthFirstUnits+1+'Development Inputs'!$N$28)*OperBgt!$F$72*AX$154),AX$154)</f>
        <v>11627.944544471145</v>
      </c>
      <c r="AY72" s="1603">
        <f>MIN(IF(AY5&lt;(MonthFirstUnits-'Development Inputs'!$N$28),0,(OperBgt!AY$5-MonthFirstUnits+1+'Development Inputs'!$N$28)*OperBgt!$F$72*AY$154),AY$154)</f>
        <v>11627.944544471145</v>
      </c>
      <c r="AZ72" s="1603">
        <f>MIN(IF(AZ5&lt;(MonthFirstUnits-'Development Inputs'!$N$28),0,(OperBgt!AZ$5-MonthFirstUnits+1+'Development Inputs'!$N$28)*OperBgt!$F$72*AZ$154),AZ$154)</f>
        <v>11627.944544471145</v>
      </c>
      <c r="BA72" s="1603">
        <f>MIN(IF(BA5&lt;(MonthFirstUnits-'Development Inputs'!$N$28),0,(OperBgt!BA$5-MonthFirstUnits+1+'Development Inputs'!$N$28)*OperBgt!$F$72*BA$154),BA$154)</f>
        <v>11627.944544471145</v>
      </c>
      <c r="BB72" s="1603">
        <f>MIN(IF(BB5&lt;(MonthFirstUnits-'Development Inputs'!$N$28),0,(OperBgt!BB$5-MonthFirstUnits+1+'Development Inputs'!$N$28)*OperBgt!$F$72*BB$154),BB$154)</f>
        <v>11627.944544471145</v>
      </c>
      <c r="BC72" s="1603">
        <f>MIN(IF(BC5&lt;(MonthFirstUnits-'Development Inputs'!$N$28),0,(OperBgt!BC$5-MonthFirstUnits+1+'Development Inputs'!$N$28)*OperBgt!$F$72*BC$154),BC$154)</f>
        <v>11627.944544471145</v>
      </c>
      <c r="BD72" s="1603">
        <f>MIN(IF(BD5&lt;(MonthFirstUnits-'Development Inputs'!$N$28),0,(OperBgt!BD$5-MonthFirstUnits+1+'Development Inputs'!$N$28)*OperBgt!$F$72*BD$154),BD$154)</f>
        <v>11627.944544471145</v>
      </c>
      <c r="BE72" s="1603">
        <f>MIN(IF(BE5&lt;(MonthFirstUnits-'Development Inputs'!$N$28),0,(OperBgt!BE$5-MonthFirstUnits+1+'Development Inputs'!$N$28)*OperBgt!$F$72*BE$154),BE$154)</f>
        <v>11627.944544471145</v>
      </c>
      <c r="BF72" s="1603">
        <f>MIN(IF(BF5&lt;(MonthFirstUnits-'Development Inputs'!$N$28),0,(OperBgt!BF$5-MonthFirstUnits+1+'Development Inputs'!$N$28)*OperBgt!$F$72*BF$154),BF$154)</f>
        <v>11976.782880805295</v>
      </c>
      <c r="BG72" s="1603">
        <f>MIN(IF(BG5&lt;(MonthFirstUnits-'Development Inputs'!$N$28),0,(OperBgt!BG$5-MonthFirstUnits+1+'Development Inputs'!$N$28)*OperBgt!$F$72*BG$154),BG$154)</f>
        <v>11976.782880805295</v>
      </c>
      <c r="BH72" s="1603">
        <f>MIN(IF(BH5&lt;(MonthFirstUnits-'Development Inputs'!$N$28),0,(OperBgt!BH$5-MonthFirstUnits+1+'Development Inputs'!$N$28)*OperBgt!$F$72*BH$154),BH$154)</f>
        <v>11976.782880805295</v>
      </c>
      <c r="BI72" s="1603">
        <f>MIN(IF(BI5&lt;(MonthFirstUnits-'Development Inputs'!$N$28),0,(OperBgt!BI$5-MonthFirstUnits+1+'Development Inputs'!$N$28)*OperBgt!$F$72*BI$154),BI$154)</f>
        <v>11976.782880805295</v>
      </c>
      <c r="BJ72" s="1603">
        <f>MIN(IF(BJ5&lt;(MonthFirstUnits-'Development Inputs'!$N$28),0,(OperBgt!BJ$5-MonthFirstUnits+1+'Development Inputs'!$N$28)*OperBgt!$F$72*BJ$154),BJ$154)</f>
        <v>11976.782880805295</v>
      </c>
      <c r="BK72" s="1603">
        <f>MIN(IF(BK5&lt;(MonthFirstUnits-'Development Inputs'!$N$28),0,(OperBgt!BK$5-MonthFirstUnits+1+'Development Inputs'!$N$28)*OperBgt!$F$72*BK$154),BK$154)</f>
        <v>11976.782880805295</v>
      </c>
      <c r="BL72" s="1603">
        <f>MIN(IF(BL5&lt;(MonthFirstUnits-'Development Inputs'!$N$28),0,(OperBgt!BL$5-MonthFirstUnits+1+'Development Inputs'!$N$28)*OperBgt!$F$72*BL$154),BL$154)</f>
        <v>11976.782880805295</v>
      </c>
      <c r="BM72" s="1603">
        <f>MIN(IF(BM5&lt;(MonthFirstUnits-'Development Inputs'!$N$28),0,(OperBgt!BM$5-MonthFirstUnits+1+'Development Inputs'!$N$28)*OperBgt!$F$72*BM$154),BM$154)</f>
        <v>11976.782880805295</v>
      </c>
      <c r="BN72" s="1603">
        <f>MIN(IF(BN5&lt;(MonthFirstUnits-'Development Inputs'!$N$28),0,(OperBgt!BN$5-MonthFirstUnits+1+'Development Inputs'!$N$28)*OperBgt!$F$72*BN$154),BN$154)</f>
        <v>11976.782880805295</v>
      </c>
      <c r="BO72" s="1603">
        <f>MIN(IF(BO5&lt;(MonthFirstUnits-'Development Inputs'!$N$28),0,(OperBgt!BO$5-MonthFirstUnits+1+'Development Inputs'!$N$28)*OperBgt!$F$72*BO$154),BO$154)</f>
        <v>11976.782880805295</v>
      </c>
      <c r="BP72" s="1603">
        <f>MIN(IF(BP5&lt;(MonthFirstUnits-'Development Inputs'!$N$28),0,(OperBgt!BP$5-MonthFirstUnits+1+'Development Inputs'!$N$28)*OperBgt!$F$72*BP$154),BP$154)</f>
        <v>11976.782880805295</v>
      </c>
      <c r="BQ72" s="1603">
        <f>MIN(IF(BQ5&lt;(MonthFirstUnits-'Development Inputs'!$N$28),0,(OperBgt!BQ$5-MonthFirstUnits+1+'Development Inputs'!$N$28)*OperBgt!$F$72*BQ$154),BQ$154)</f>
        <v>11976.782880805295</v>
      </c>
      <c r="BR72" s="1603">
        <f>MIN(IF(BR5&lt;(MonthFirstUnits-'Development Inputs'!$N$28),0,(OperBgt!BR$5-MonthFirstUnits+1+'Development Inputs'!$N$28)*OperBgt!$F$72*BR$154),BR$154)</f>
        <v>12336.086367229467</v>
      </c>
      <c r="BS72" s="1603">
        <f>MIN(IF(BS5&lt;(MonthFirstUnits-'Development Inputs'!$N$28),0,(OperBgt!BS$5-MonthFirstUnits+1+'Development Inputs'!$N$28)*OperBgt!$F$72*BS$154),BS$154)</f>
        <v>12336.086367229467</v>
      </c>
      <c r="BT72" s="1603">
        <f>MIN(IF(BT5&lt;(MonthFirstUnits-'Development Inputs'!$N$28),0,(OperBgt!BT$5-MonthFirstUnits+1+'Development Inputs'!$N$28)*OperBgt!$F$72*BT$154),BT$154)</f>
        <v>12336.086367229467</v>
      </c>
      <c r="BU72" s="1603">
        <f>MIN(IF(BU5&lt;(MonthFirstUnits-'Development Inputs'!$N$28),0,(OperBgt!BU$5-MonthFirstUnits+1+'Development Inputs'!$N$28)*OperBgt!$F$72*BU$154),BU$154)</f>
        <v>12336.086367229467</v>
      </c>
      <c r="BV72" s="1603">
        <f>MIN(IF(BV5&lt;(MonthFirstUnits-'Development Inputs'!$N$28),0,(OperBgt!BV$5-MonthFirstUnits+1+'Development Inputs'!$N$28)*OperBgt!$F$72*BV$154),BV$154)</f>
        <v>12336.086367229467</v>
      </c>
      <c r="BW72" s="1603">
        <f>MIN(IF(BW5&lt;(MonthFirstUnits-'Development Inputs'!$N$28),0,(OperBgt!BW$5-MonthFirstUnits+1+'Development Inputs'!$N$28)*OperBgt!$F$72*BW$154),BW$154)</f>
        <v>12336.086367229467</v>
      </c>
      <c r="BX72" s="1603">
        <f>MIN(IF(BX5&lt;(MonthFirstUnits-'Development Inputs'!$N$28),0,(OperBgt!BX$5-MonthFirstUnits+1+'Development Inputs'!$N$28)*OperBgt!$F$72*BX$154),BX$154)</f>
        <v>12336.086367229467</v>
      </c>
      <c r="BY72" s="1603">
        <f>MIN(IF(BY5&lt;(MonthFirstUnits-'Development Inputs'!$N$28),0,(OperBgt!BY$5-MonthFirstUnits+1+'Development Inputs'!$N$28)*OperBgt!$F$72*BY$154),BY$154)</f>
        <v>12336.086367229467</v>
      </c>
      <c r="BZ72" s="1603">
        <f>MIN(IF(BZ5&lt;(MonthFirstUnits-'Development Inputs'!$N$28),0,(OperBgt!BZ$5-MonthFirstUnits+1+'Development Inputs'!$N$28)*OperBgt!$F$72*BZ$154),BZ$154)</f>
        <v>12336.086367229467</v>
      </c>
      <c r="CA72" s="1603">
        <f>MIN(IF(CA5&lt;(MonthFirstUnits-'Development Inputs'!$N$28),0,(OperBgt!CA$5-MonthFirstUnits+1+'Development Inputs'!$N$28)*OperBgt!$F$72*CA$154),CA$154)</f>
        <v>12336.086367229467</v>
      </c>
      <c r="CB72" s="1603">
        <f>MIN(IF(CB5&lt;(MonthFirstUnits-'Development Inputs'!$N$28),0,(OperBgt!CB$5-MonthFirstUnits+1+'Development Inputs'!$N$28)*OperBgt!$F$72*CB$154),CB$154)</f>
        <v>12336.086367229467</v>
      </c>
      <c r="CC72" s="1603">
        <f>MIN(IF(CC5&lt;(MonthFirstUnits-'Development Inputs'!$N$28),0,(OperBgt!CC$5-MonthFirstUnits+1+'Development Inputs'!$N$28)*OperBgt!$F$72*CC$154),CC$154)</f>
        <v>12336.086367229467</v>
      </c>
      <c r="CD72" s="1603">
        <f>MIN(IF(CD5&lt;(MonthFirstUnits-'Development Inputs'!$N$28),0,(OperBgt!CD$5-MonthFirstUnits+1+'Development Inputs'!$N$28)*OperBgt!$F$72*CD$154),CD$154)</f>
        <v>12706.168958246359</v>
      </c>
      <c r="CE72" s="1603">
        <f>MIN(IF(CE5&lt;(MonthFirstUnits-'Development Inputs'!$N$28),0,(OperBgt!CE$5-MonthFirstUnits+1+'Development Inputs'!$N$28)*OperBgt!$F$72*CE$154),CE$154)</f>
        <v>12706.168958246359</v>
      </c>
      <c r="CF72" s="1603">
        <f>MIN(IF(CF5&lt;(MonthFirstUnits-'Development Inputs'!$N$28),0,(OperBgt!CF$5-MonthFirstUnits+1+'Development Inputs'!$N$28)*OperBgt!$F$72*CF$154),CF$154)</f>
        <v>12706.168958246359</v>
      </c>
      <c r="CG72" s="1603">
        <f>MIN(IF(CG5&lt;(MonthFirstUnits-'Development Inputs'!$N$28),0,(OperBgt!CG$5-MonthFirstUnits+1+'Development Inputs'!$N$28)*OperBgt!$F$72*CG$154),CG$154)</f>
        <v>12706.168958246359</v>
      </c>
      <c r="CH72" s="1603">
        <f>MIN(IF(CH5&lt;(MonthFirstUnits-'Development Inputs'!$N$28),0,(OperBgt!CH$5-MonthFirstUnits+1+'Development Inputs'!$N$28)*OperBgt!$F$72*CH$154),CH$154)</f>
        <v>12706.168958246359</v>
      </c>
      <c r="CI72" s="1603">
        <f>MIN(IF(CI5&lt;(MonthFirstUnits-'Development Inputs'!$N$28),0,(OperBgt!CI$5-MonthFirstUnits+1+'Development Inputs'!$N$28)*OperBgt!$F$72*CI$154),CI$154)</f>
        <v>12706.168958246359</v>
      </c>
      <c r="CJ72" s="1603">
        <f>MIN(IF(CJ5&lt;(MonthFirstUnits-'Development Inputs'!$N$28),0,(OperBgt!CJ$5-MonthFirstUnits+1+'Development Inputs'!$N$28)*OperBgt!$F$72*CJ$154),CJ$154)</f>
        <v>12706.168958246359</v>
      </c>
      <c r="CK72" s="1603">
        <f>MIN(IF(CK5&lt;(MonthFirstUnits-'Development Inputs'!$N$28),0,(OperBgt!CK$5-MonthFirstUnits+1+'Development Inputs'!$N$28)*OperBgt!$F$72*CK$154),CK$154)</f>
        <v>12706.168958246359</v>
      </c>
      <c r="CL72" s="1603">
        <f>MIN(IF(CL5&lt;(MonthFirstUnits-'Development Inputs'!$N$28),0,(OperBgt!CL$5-MonthFirstUnits+1+'Development Inputs'!$N$28)*OperBgt!$F$72*CL$154),CL$154)</f>
        <v>12706.168958246359</v>
      </c>
      <c r="CM72" s="1603">
        <f>MIN(IF(CM5&lt;(MonthFirstUnits-'Development Inputs'!$N$28),0,(OperBgt!CM$5-MonthFirstUnits+1+'Development Inputs'!$N$28)*OperBgt!$F$72*CM$154),CM$154)</f>
        <v>12706.168958246359</v>
      </c>
      <c r="CN72" s="1603">
        <f>MIN(IF(CN5&lt;(MonthFirstUnits-'Development Inputs'!$N$28),0,(OperBgt!CN$5-MonthFirstUnits+1+'Development Inputs'!$N$28)*OperBgt!$F$72*CN$154),CN$154)</f>
        <v>12706.168958246359</v>
      </c>
      <c r="CO72" s="1603">
        <f>MIN(IF(CO5&lt;(MonthFirstUnits-'Development Inputs'!$N$28),0,(OperBgt!CO$5-MonthFirstUnits+1+'Development Inputs'!$N$28)*OperBgt!$F$72*CO$154),CO$154)</f>
        <v>12706.168958246359</v>
      </c>
      <c r="CP72" s="1603">
        <f>MIN(IF(CP5&lt;(MonthFirstUnits-'Development Inputs'!$N$28),0,(OperBgt!CP$5-MonthFirstUnits+1+'Development Inputs'!$N$28)*OperBgt!$F$72*CP$154),CP$154)</f>
        <v>13087.354026993764</v>
      </c>
      <c r="CQ72" s="1603">
        <f>MIN(IF(CQ5&lt;(MonthFirstUnits-'Development Inputs'!$N$28),0,(OperBgt!CQ$5-MonthFirstUnits+1+'Development Inputs'!$N$28)*OperBgt!$F$72*CQ$154),CQ$154)</f>
        <v>13087.354026993764</v>
      </c>
      <c r="CR72" s="1603">
        <f>MIN(IF(CR5&lt;(MonthFirstUnits-'Development Inputs'!$N$28),0,(OperBgt!CR$5-MonthFirstUnits+1+'Development Inputs'!$N$28)*OperBgt!$F$72*CR$154),CR$154)</f>
        <v>13087.354026993764</v>
      </c>
      <c r="CS72" s="1603">
        <f>MIN(IF(CS5&lt;(MonthFirstUnits-'Development Inputs'!$N$28),0,(OperBgt!CS$5-MonthFirstUnits+1+'Development Inputs'!$N$28)*OperBgt!$F$72*CS$154),CS$154)</f>
        <v>13087.354026993764</v>
      </c>
      <c r="CT72" s="1603">
        <f>MIN(IF(CT5&lt;(MonthFirstUnits-'Development Inputs'!$N$28),0,(OperBgt!CT$5-MonthFirstUnits+1+'Development Inputs'!$N$28)*OperBgt!$F$72*CT$154),CT$154)</f>
        <v>13087.354026993764</v>
      </c>
      <c r="CU72" s="1603">
        <f>MIN(IF(CU5&lt;(MonthFirstUnits-'Development Inputs'!$N$28),0,(OperBgt!CU$5-MonthFirstUnits+1+'Development Inputs'!$N$28)*OperBgt!$F$72*CU$154),CU$154)</f>
        <v>13087.354026993764</v>
      </c>
      <c r="CV72" s="1603">
        <f>MIN(IF(CV5&lt;(MonthFirstUnits-'Development Inputs'!$N$28),0,(OperBgt!CV$5-MonthFirstUnits+1+'Development Inputs'!$N$28)*OperBgt!$F$72*CV$154),CV$154)</f>
        <v>13087.354026993764</v>
      </c>
      <c r="CW72" s="1603">
        <f>MIN(IF(CW5&lt;(MonthFirstUnits-'Development Inputs'!$N$28),0,(OperBgt!CW$5-MonthFirstUnits+1+'Development Inputs'!$N$28)*OperBgt!$F$72*CW$154),CW$154)</f>
        <v>13087.354026993764</v>
      </c>
      <c r="CX72" s="1603">
        <f>MIN(IF(CX5&lt;(MonthFirstUnits-'Development Inputs'!$N$28),0,(OperBgt!CX$5-MonthFirstUnits+1+'Development Inputs'!$N$28)*OperBgt!$F$72*CX$154),CX$154)</f>
        <v>13087.354026993764</v>
      </c>
      <c r="CY72" s="1603">
        <f>MIN(IF(CY5&lt;(MonthFirstUnits-'Development Inputs'!$N$28),0,(OperBgt!CY$5-MonthFirstUnits+1+'Development Inputs'!$N$28)*OperBgt!$F$72*CY$154),CY$154)</f>
        <v>13087.354026993764</v>
      </c>
      <c r="CZ72" s="1603">
        <f>MIN(IF(CZ5&lt;(MonthFirstUnits-'Development Inputs'!$N$28),0,(OperBgt!CZ$5-MonthFirstUnits+1+'Development Inputs'!$N$28)*OperBgt!$F$72*CZ$154),CZ$154)</f>
        <v>13087.354026993764</v>
      </c>
      <c r="DA72" s="1603">
        <f>MIN(IF(DA5&lt;(MonthFirstUnits-'Development Inputs'!$N$28),0,(OperBgt!DA$5-MonthFirstUnits+1+'Development Inputs'!$N$28)*OperBgt!$F$72*DA$154),DA$154)</f>
        <v>13087.354026993764</v>
      </c>
      <c r="DB72" s="1603">
        <f>MIN(IF(DB5&lt;(MonthFirstUnits-'Development Inputs'!$N$28),0,(OperBgt!DB$5-MonthFirstUnits+1+'Development Inputs'!$N$28)*OperBgt!$F$72*DB$154),DB$154)</f>
        <v>13479.974647803594</v>
      </c>
      <c r="DC72" s="1603">
        <f>MIN(IF(DC5&lt;(MonthFirstUnits-'Development Inputs'!$N$28),0,(OperBgt!DC$5-MonthFirstUnits+1+'Development Inputs'!$N$28)*OperBgt!$F$72*DC$154),DC$154)</f>
        <v>13479.974647803594</v>
      </c>
      <c r="DD72" s="1603">
        <f>MIN(IF(DD5&lt;(MonthFirstUnits-'Development Inputs'!$N$28),0,(OperBgt!DD$5-MonthFirstUnits+1+'Development Inputs'!$N$28)*OperBgt!$F$72*DD$154),DD$154)</f>
        <v>13479.974647803594</v>
      </c>
      <c r="DE72" s="1603">
        <f>MIN(IF(DE5&lt;(MonthFirstUnits-'Development Inputs'!$N$28),0,(OperBgt!DE$5-MonthFirstUnits+1+'Development Inputs'!$N$28)*OperBgt!$F$72*DE$154),DE$154)</f>
        <v>13479.974647803594</v>
      </c>
      <c r="DF72" s="1603">
        <f>MIN(IF(DF5&lt;(MonthFirstUnits-'Development Inputs'!$N$28),0,(OperBgt!DF$5-MonthFirstUnits+1+'Development Inputs'!$N$28)*OperBgt!$F$72*DF$154),DF$154)</f>
        <v>13479.974647803594</v>
      </c>
      <c r="DG72" s="1603">
        <f>MIN(IF(DG5&lt;(MonthFirstUnits-'Development Inputs'!$N$28),0,(OperBgt!DG$5-MonthFirstUnits+1+'Development Inputs'!$N$28)*OperBgt!$F$72*DG$154),DG$154)</f>
        <v>13479.974647803594</v>
      </c>
      <c r="DH72" s="1603">
        <f>MIN(IF(DH5&lt;(MonthFirstUnits-'Development Inputs'!$N$28),0,(OperBgt!DH$5-MonthFirstUnits+1+'Development Inputs'!$N$28)*OperBgt!$F$72*DH$154),DH$154)</f>
        <v>13479.974647803594</v>
      </c>
      <c r="DI72" s="1603">
        <f>MIN(IF(DI5&lt;(MonthFirstUnits-'Development Inputs'!$N$28),0,(OperBgt!DI$5-MonthFirstUnits+1+'Development Inputs'!$N$28)*OperBgt!$F$72*DI$154),DI$154)</f>
        <v>13479.974647803594</v>
      </c>
      <c r="DJ72" s="1603">
        <f>MIN(IF(DJ5&lt;(MonthFirstUnits-'Development Inputs'!$N$28),0,(OperBgt!DJ$5-MonthFirstUnits+1+'Development Inputs'!$N$28)*OperBgt!$F$72*DJ$154),DJ$154)</f>
        <v>13479.974647803594</v>
      </c>
      <c r="DK72" s="1603">
        <f>MIN(IF(DK5&lt;(MonthFirstUnits-'Development Inputs'!$N$28),0,(OperBgt!DK$5-MonthFirstUnits+1+'Development Inputs'!$N$28)*OperBgt!$F$72*DK$154),DK$154)</f>
        <v>13479.974647803594</v>
      </c>
      <c r="DL72" s="1603">
        <f>MIN(IF(DL5&lt;(MonthFirstUnits-'Development Inputs'!$N$28),0,(OperBgt!DL$5-MonthFirstUnits+1+'Development Inputs'!$N$28)*OperBgt!$F$72*DL$154),DL$154)</f>
        <v>13479.974647803594</v>
      </c>
      <c r="DM72" s="1603">
        <f>MIN(IF(DM5&lt;(MonthFirstUnits-'Development Inputs'!$N$28),0,(OperBgt!DM$5-MonthFirstUnits+1+'Development Inputs'!$N$28)*OperBgt!$F$72*DM$154),DM$154)</f>
        <v>13479.974647803594</v>
      </c>
      <c r="DN72" s="1603">
        <f>MIN(IF(DN5&lt;(MonthFirstUnits-'Development Inputs'!$N$28),0,(OperBgt!DN$5-MonthFirstUnits+1+'Development Inputs'!$N$28)*OperBgt!$F$72*DN$154),DN$154)</f>
        <v>13884.373887237716</v>
      </c>
      <c r="DO72" s="1603">
        <f>MIN(IF(DO5&lt;(MonthFirstUnits-'Development Inputs'!$N$28),0,(OperBgt!DO$5-MonthFirstUnits+1+'Development Inputs'!$N$28)*OperBgt!$F$72*DO$154),DO$154)</f>
        <v>13884.373887237716</v>
      </c>
      <c r="DP72" s="1603">
        <f>MIN(IF(DP5&lt;(MonthFirstUnits-'Development Inputs'!$N$28),0,(OperBgt!DP$5-MonthFirstUnits+1+'Development Inputs'!$N$28)*OperBgt!$F$72*DP$154),DP$154)</f>
        <v>13884.373887237716</v>
      </c>
      <c r="DQ72" s="1603">
        <f>MIN(IF(DQ5&lt;(MonthFirstUnits-'Development Inputs'!$N$28),0,(OperBgt!DQ$5-MonthFirstUnits+1+'Development Inputs'!$N$28)*OperBgt!$F$72*DQ$154),DQ$154)</f>
        <v>13884.373887237716</v>
      </c>
      <c r="DR72" s="1603">
        <f>MIN(IF(DR5&lt;(MonthFirstUnits-'Development Inputs'!$N$28),0,(OperBgt!DR$5-MonthFirstUnits+1+'Development Inputs'!$N$28)*OperBgt!$F$72*DR$154),DR$154)</f>
        <v>13884.373887237716</v>
      </c>
      <c r="DS72" s="1603">
        <f>MIN(IF(DS5&lt;(MonthFirstUnits-'Development Inputs'!$N$28),0,(OperBgt!DS$5-MonthFirstUnits+1+'Development Inputs'!$N$28)*OperBgt!$F$72*DS$154),DS$154)</f>
        <v>13884.373887237716</v>
      </c>
      <c r="DT72" s="1603">
        <f>MIN(IF(DT5&lt;(MonthFirstUnits-'Development Inputs'!$N$28),0,(OperBgt!DT$5-MonthFirstUnits+1+'Development Inputs'!$N$28)*OperBgt!$F$72*DT$154),DT$154)</f>
        <v>13884.373887237716</v>
      </c>
      <c r="DU72" s="1603">
        <f>MIN(IF(DU5&lt;(MonthFirstUnits-'Development Inputs'!$N$28),0,(OperBgt!DU$5-MonthFirstUnits+1+'Development Inputs'!$N$28)*OperBgt!$F$72*DU$154),DU$154)</f>
        <v>13884.373887237716</v>
      </c>
      <c r="DV72" s="1603">
        <f>MIN(IF(DV5&lt;(MonthFirstUnits-'Development Inputs'!$N$28),0,(OperBgt!DV$5-MonthFirstUnits+1+'Development Inputs'!$N$28)*OperBgt!$F$72*DV$154),DV$154)</f>
        <v>13884.373887237716</v>
      </c>
      <c r="DW72" s="1603">
        <f>MIN(IF(DW5&lt;(MonthFirstUnits-'Development Inputs'!$N$28),0,(OperBgt!DW$5-MonthFirstUnits+1+'Development Inputs'!$N$28)*OperBgt!$F$72*DW$154),DW$154)</f>
        <v>13884.373887237716</v>
      </c>
      <c r="DX72" s="1603">
        <f>MIN(IF(DX5&lt;(MonthFirstUnits-'Development Inputs'!$N$28),0,(OperBgt!DX$5-MonthFirstUnits+1+'Development Inputs'!$N$28)*OperBgt!$F$72*DX$154),DX$154)</f>
        <v>13884.373887237716</v>
      </c>
      <c r="DY72" s="1603">
        <f>MIN(IF(DY5&lt;(MonthFirstUnits-'Development Inputs'!$N$28),0,(OperBgt!DY$5-MonthFirstUnits+1+'Development Inputs'!$N$28)*OperBgt!$F$72*DY$154),DY$154)</f>
        <v>13884.373887237716</v>
      </c>
      <c r="DZ72" s="1603">
        <f>MIN(IF(DZ5&lt;(MonthFirstUnits-'Development Inputs'!$N$28),0,(OperBgt!DZ$5-MonthFirstUnits+1+'Development Inputs'!$N$28)*OperBgt!$F$72*DZ$154),DZ$154)</f>
        <v>14300.905103854862</v>
      </c>
      <c r="EA72" s="1603">
        <f>MIN(IF(EA5&lt;(MonthFirstUnits-'Development Inputs'!$N$28),0,(OperBgt!EA$5-MonthFirstUnits+1+'Development Inputs'!$N$28)*OperBgt!$F$72*EA$154),EA$154)</f>
        <v>14300.905103854862</v>
      </c>
      <c r="EB72" s="1603">
        <f>MIN(IF(EB5&lt;(MonthFirstUnits-'Development Inputs'!$N$28),0,(OperBgt!EB$5-MonthFirstUnits+1+'Development Inputs'!$N$28)*OperBgt!$F$72*EB$154),EB$154)</f>
        <v>14300.905103854862</v>
      </c>
      <c r="EC72" s="1603">
        <f>MIN(IF(EC5&lt;(MonthFirstUnits-'Development Inputs'!$N$28),0,(OperBgt!EC$5-MonthFirstUnits+1+'Development Inputs'!$N$28)*OperBgt!$F$72*EC$154),EC$154)</f>
        <v>14300.905103854862</v>
      </c>
      <c r="ED72" s="1603">
        <f>MIN(IF(ED5&lt;(MonthFirstUnits-'Development Inputs'!$N$28),0,(OperBgt!ED$5-MonthFirstUnits+1+'Development Inputs'!$N$28)*OperBgt!$F$72*ED$154),ED$154)</f>
        <v>14300.905103854862</v>
      </c>
      <c r="EE72" s="1603">
        <f>MIN(IF(EE5&lt;(MonthFirstUnits-'Development Inputs'!$N$28),0,(OperBgt!EE$5-MonthFirstUnits+1+'Development Inputs'!$N$28)*OperBgt!$F$72*EE$154),EE$154)</f>
        <v>14300.905103854862</v>
      </c>
      <c r="EF72" s="1603">
        <f>MIN(IF(EF5&lt;(MonthFirstUnits-'Development Inputs'!$N$28),0,(OperBgt!EF$5-MonthFirstUnits+1+'Development Inputs'!$N$28)*OperBgt!$F$72*EF$154),EF$154)</f>
        <v>14300.905103854862</v>
      </c>
      <c r="EG72" s="1603">
        <f>MIN(IF(EG5&lt;(MonthFirstUnits-'Development Inputs'!$N$28),0,(OperBgt!EG$5-MonthFirstUnits+1+'Development Inputs'!$N$28)*OperBgt!$F$72*EG$154),EG$154)</f>
        <v>14300.905103854862</v>
      </c>
      <c r="EH72" s="1603">
        <f>MIN(IF(EH5&lt;(MonthFirstUnits-'Development Inputs'!$N$28),0,(OperBgt!EH$5-MonthFirstUnits+1+'Development Inputs'!$N$28)*OperBgt!$F$72*EH$154),EH$154)</f>
        <v>14300.905103854862</v>
      </c>
      <c r="EK72" s="672"/>
    </row>
    <row r="73" spans="1:141" x14ac:dyDescent="0.3">
      <c r="A73" s="198" t="s">
        <v>704</v>
      </c>
      <c r="E73" s="1525">
        <v>0.5</v>
      </c>
      <c r="F73" s="282">
        <v>1</v>
      </c>
      <c r="G73" s="229">
        <f t="shared" ref="G73:AL73" si="99">MIN(G158*G159*$E73+G158*G159*G$19/Units*$F73,G158*G159)</f>
        <v>0</v>
      </c>
      <c r="H73" s="229">
        <f t="shared" si="99"/>
        <v>0</v>
      </c>
      <c r="I73" s="229">
        <f t="shared" si="99"/>
        <v>0</v>
      </c>
      <c r="J73" s="229">
        <f t="shared" si="99"/>
        <v>0</v>
      </c>
      <c r="K73" s="229">
        <f t="shared" si="99"/>
        <v>0</v>
      </c>
      <c r="L73" s="229">
        <f t="shared" si="99"/>
        <v>0</v>
      </c>
      <c r="M73" s="229">
        <f t="shared" si="99"/>
        <v>0</v>
      </c>
      <c r="N73" s="229">
        <f t="shared" si="99"/>
        <v>0</v>
      </c>
      <c r="O73" s="229">
        <f t="shared" si="99"/>
        <v>0</v>
      </c>
      <c r="P73" s="229">
        <f t="shared" si="99"/>
        <v>0</v>
      </c>
      <c r="Q73" s="229">
        <f t="shared" si="99"/>
        <v>0</v>
      </c>
      <c r="R73" s="229">
        <f t="shared" si="99"/>
        <v>0</v>
      </c>
      <c r="S73" s="229">
        <f t="shared" si="99"/>
        <v>0</v>
      </c>
      <c r="T73" s="229">
        <f t="shared" si="99"/>
        <v>16118.313175371497</v>
      </c>
      <c r="U73" s="229">
        <f t="shared" si="99"/>
        <v>18420.92934328171</v>
      </c>
      <c r="V73" s="229">
        <f t="shared" si="99"/>
        <v>21345.251876527702</v>
      </c>
      <c r="W73" s="229">
        <f t="shared" si="99"/>
        <v>23716.946529475223</v>
      </c>
      <c r="X73" s="229">
        <f t="shared" si="99"/>
        <v>26088.641182422747</v>
      </c>
      <c r="Y73" s="229">
        <f t="shared" si="99"/>
        <v>28460.335835370264</v>
      </c>
      <c r="Z73" s="229">
        <f t="shared" si="99"/>
        <v>28460.335835370268</v>
      </c>
      <c r="AA73" s="229">
        <f t="shared" si="99"/>
        <v>28460.335835370268</v>
      </c>
      <c r="AB73" s="229">
        <f t="shared" si="99"/>
        <v>28460.335835370268</v>
      </c>
      <c r="AC73" s="229">
        <f t="shared" si="99"/>
        <v>28460.335835370268</v>
      </c>
      <c r="AD73" s="229">
        <f t="shared" si="99"/>
        <v>28460.335835370268</v>
      </c>
      <c r="AE73" s="229">
        <f t="shared" si="99"/>
        <v>28460.335835370268</v>
      </c>
      <c r="AF73" s="229">
        <f t="shared" si="99"/>
        <v>28460.335835370268</v>
      </c>
      <c r="AG73" s="229">
        <f t="shared" si="99"/>
        <v>28460.335835370268</v>
      </c>
      <c r="AH73" s="229">
        <f t="shared" si="99"/>
        <v>29314.145910431402</v>
      </c>
      <c r="AI73" s="229">
        <f t="shared" si="99"/>
        <v>29314.145910431402</v>
      </c>
      <c r="AJ73" s="229">
        <f t="shared" si="99"/>
        <v>29314.145910431402</v>
      </c>
      <c r="AK73" s="229">
        <f t="shared" si="99"/>
        <v>29314.145910431402</v>
      </c>
      <c r="AL73" s="229">
        <f t="shared" si="99"/>
        <v>29314.145910431402</v>
      </c>
      <c r="AM73" s="229">
        <f t="shared" ref="AM73:BR73" si="100">MIN(AM158*AM159*$E73+AM158*AM159*AM$19/Units*$F73,AM158*AM159)</f>
        <v>29314.145910431402</v>
      </c>
      <c r="AN73" s="229">
        <f t="shared" si="100"/>
        <v>29314.145910431402</v>
      </c>
      <c r="AO73" s="229">
        <f t="shared" si="100"/>
        <v>29314.145910431402</v>
      </c>
      <c r="AP73" s="229">
        <f t="shared" si="100"/>
        <v>29314.145910431402</v>
      </c>
      <c r="AQ73" s="229">
        <f t="shared" si="100"/>
        <v>29314.145910431402</v>
      </c>
      <c r="AR73" s="229">
        <f t="shared" si="100"/>
        <v>29314.145910431402</v>
      </c>
      <c r="AS73" s="229">
        <f t="shared" si="100"/>
        <v>29314.145910431402</v>
      </c>
      <c r="AT73" s="229">
        <f t="shared" si="100"/>
        <v>30193.570287744373</v>
      </c>
      <c r="AU73" s="229">
        <f t="shared" si="100"/>
        <v>30193.570287744373</v>
      </c>
      <c r="AV73" s="229">
        <f t="shared" si="100"/>
        <v>30193.570287744373</v>
      </c>
      <c r="AW73" s="229">
        <f t="shared" si="100"/>
        <v>30193.570287744373</v>
      </c>
      <c r="AX73" s="229">
        <f t="shared" si="100"/>
        <v>30193.570287744373</v>
      </c>
      <c r="AY73" s="229">
        <f t="shared" si="100"/>
        <v>30193.570287744373</v>
      </c>
      <c r="AZ73" s="229">
        <f t="shared" si="100"/>
        <v>30193.570287744373</v>
      </c>
      <c r="BA73" s="229">
        <f t="shared" si="100"/>
        <v>30193.570287744373</v>
      </c>
      <c r="BB73" s="229">
        <f t="shared" si="100"/>
        <v>30193.570287744373</v>
      </c>
      <c r="BC73" s="229">
        <f t="shared" si="100"/>
        <v>30193.570287744373</v>
      </c>
      <c r="BD73" s="229">
        <f t="shared" si="100"/>
        <v>30193.570287744373</v>
      </c>
      <c r="BE73" s="229">
        <f t="shared" si="100"/>
        <v>30193.570287744373</v>
      </c>
      <c r="BF73" s="229">
        <f t="shared" si="100"/>
        <v>31099.377396376742</v>
      </c>
      <c r="BG73" s="229">
        <f t="shared" si="100"/>
        <v>31099.377396376742</v>
      </c>
      <c r="BH73" s="229">
        <f t="shared" si="100"/>
        <v>31099.377396376742</v>
      </c>
      <c r="BI73" s="229">
        <f t="shared" si="100"/>
        <v>31099.377396376742</v>
      </c>
      <c r="BJ73" s="229">
        <f t="shared" si="100"/>
        <v>31099.377396376742</v>
      </c>
      <c r="BK73" s="229">
        <f t="shared" si="100"/>
        <v>31099.377396376742</v>
      </c>
      <c r="BL73" s="229">
        <f t="shared" si="100"/>
        <v>31099.377396376742</v>
      </c>
      <c r="BM73" s="229">
        <f t="shared" si="100"/>
        <v>31099.377396376742</v>
      </c>
      <c r="BN73" s="229">
        <f t="shared" si="100"/>
        <v>31099.377396376742</v>
      </c>
      <c r="BO73" s="229">
        <f t="shared" si="100"/>
        <v>31099.377396376742</v>
      </c>
      <c r="BP73" s="229">
        <f t="shared" si="100"/>
        <v>31099.377396376742</v>
      </c>
      <c r="BQ73" s="229">
        <f t="shared" si="100"/>
        <v>31099.377396376742</v>
      </c>
      <c r="BR73" s="229">
        <f t="shared" si="100"/>
        <v>32032.358718268075</v>
      </c>
      <c r="BS73" s="229">
        <f t="shared" ref="BS73:CX73" si="101">MIN(BS158*BS159*$E73+BS158*BS159*BS$19/Units*$F73,BS158*BS159)</f>
        <v>32032.358718268075</v>
      </c>
      <c r="BT73" s="229">
        <f t="shared" si="101"/>
        <v>32032.358718268075</v>
      </c>
      <c r="BU73" s="229">
        <f t="shared" si="101"/>
        <v>32032.358718268075</v>
      </c>
      <c r="BV73" s="229">
        <f t="shared" si="101"/>
        <v>32032.358718268075</v>
      </c>
      <c r="BW73" s="229">
        <f t="shared" si="101"/>
        <v>32032.358718268075</v>
      </c>
      <c r="BX73" s="229">
        <f t="shared" si="101"/>
        <v>32032.358718268075</v>
      </c>
      <c r="BY73" s="229">
        <f t="shared" si="101"/>
        <v>32032.358718268075</v>
      </c>
      <c r="BZ73" s="229">
        <f t="shared" si="101"/>
        <v>32032.358718268075</v>
      </c>
      <c r="CA73" s="229">
        <f t="shared" si="101"/>
        <v>32032.358718268075</v>
      </c>
      <c r="CB73" s="229">
        <f t="shared" si="101"/>
        <v>32032.358718268075</v>
      </c>
      <c r="CC73" s="229">
        <f t="shared" si="101"/>
        <v>32032.358718268075</v>
      </c>
      <c r="CD73" s="229">
        <f t="shared" si="101"/>
        <v>32993.329479816144</v>
      </c>
      <c r="CE73" s="229">
        <f t="shared" si="101"/>
        <v>32993.329479816144</v>
      </c>
      <c r="CF73" s="229">
        <f t="shared" si="101"/>
        <v>32993.329479816144</v>
      </c>
      <c r="CG73" s="229">
        <f t="shared" si="101"/>
        <v>32993.329479816144</v>
      </c>
      <c r="CH73" s="229">
        <f t="shared" si="101"/>
        <v>32993.329479816144</v>
      </c>
      <c r="CI73" s="229">
        <f t="shared" si="101"/>
        <v>32993.329479816144</v>
      </c>
      <c r="CJ73" s="229">
        <f t="shared" si="101"/>
        <v>32993.329479816144</v>
      </c>
      <c r="CK73" s="229">
        <f t="shared" si="101"/>
        <v>32993.329479816144</v>
      </c>
      <c r="CL73" s="229">
        <f t="shared" si="101"/>
        <v>32993.329479816144</v>
      </c>
      <c r="CM73" s="229">
        <f t="shared" si="101"/>
        <v>32993.329479816144</v>
      </c>
      <c r="CN73" s="229">
        <f t="shared" si="101"/>
        <v>32993.329479816144</v>
      </c>
      <c r="CO73" s="229">
        <f t="shared" si="101"/>
        <v>32993.329479816144</v>
      </c>
      <c r="CP73" s="229">
        <f t="shared" si="101"/>
        <v>33983.129364210661</v>
      </c>
      <c r="CQ73" s="229">
        <f t="shared" si="101"/>
        <v>33983.129364210661</v>
      </c>
      <c r="CR73" s="229">
        <f t="shared" si="101"/>
        <v>33983.129364210661</v>
      </c>
      <c r="CS73" s="229">
        <f t="shared" si="101"/>
        <v>33983.129364210661</v>
      </c>
      <c r="CT73" s="229">
        <f t="shared" si="101"/>
        <v>33983.129364210661</v>
      </c>
      <c r="CU73" s="229">
        <f t="shared" si="101"/>
        <v>33983.129364210661</v>
      </c>
      <c r="CV73" s="229">
        <f t="shared" si="101"/>
        <v>33983.129364210661</v>
      </c>
      <c r="CW73" s="229">
        <f t="shared" si="101"/>
        <v>33983.129364210661</v>
      </c>
      <c r="CX73" s="229">
        <f t="shared" si="101"/>
        <v>33983.129364210661</v>
      </c>
      <c r="CY73" s="229">
        <f t="shared" ref="CY73:EH73" si="102">MIN(CY158*CY159*$E73+CY158*CY159*CY$19/Units*$F73,CY158*CY159)</f>
        <v>33983.129364210661</v>
      </c>
      <c r="CZ73" s="229">
        <f t="shared" si="102"/>
        <v>33983.129364210661</v>
      </c>
      <c r="DA73" s="229">
        <f t="shared" si="102"/>
        <v>33983.129364210661</v>
      </c>
      <c r="DB73" s="229">
        <f t="shared" si="102"/>
        <v>35002.623245137009</v>
      </c>
      <c r="DC73" s="229">
        <f t="shared" si="102"/>
        <v>35002.623245137009</v>
      </c>
      <c r="DD73" s="229">
        <f t="shared" si="102"/>
        <v>35002.623245137009</v>
      </c>
      <c r="DE73" s="229">
        <f t="shared" si="102"/>
        <v>35002.623245137009</v>
      </c>
      <c r="DF73" s="229">
        <f t="shared" si="102"/>
        <v>35002.623245137009</v>
      </c>
      <c r="DG73" s="229">
        <f t="shared" si="102"/>
        <v>35002.623245137009</v>
      </c>
      <c r="DH73" s="229">
        <f t="shared" si="102"/>
        <v>35002.623245137009</v>
      </c>
      <c r="DI73" s="229">
        <f t="shared" si="102"/>
        <v>35002.623245137009</v>
      </c>
      <c r="DJ73" s="229">
        <f t="shared" si="102"/>
        <v>35002.623245137009</v>
      </c>
      <c r="DK73" s="229">
        <f t="shared" si="102"/>
        <v>35002.623245137009</v>
      </c>
      <c r="DL73" s="229">
        <f t="shared" si="102"/>
        <v>35002.623245137009</v>
      </c>
      <c r="DM73" s="229">
        <f t="shared" si="102"/>
        <v>35002.623245137009</v>
      </c>
      <c r="DN73" s="229">
        <f t="shared" si="102"/>
        <v>36052.701942491149</v>
      </c>
      <c r="DO73" s="229">
        <f t="shared" si="102"/>
        <v>36052.701942491149</v>
      </c>
      <c r="DP73" s="229">
        <f t="shared" si="102"/>
        <v>36052.701942491149</v>
      </c>
      <c r="DQ73" s="229">
        <f t="shared" si="102"/>
        <v>36052.701942491149</v>
      </c>
      <c r="DR73" s="229">
        <f t="shared" si="102"/>
        <v>36052.701942491149</v>
      </c>
      <c r="DS73" s="229">
        <f t="shared" si="102"/>
        <v>36052.701942491149</v>
      </c>
      <c r="DT73" s="229">
        <f t="shared" si="102"/>
        <v>36052.701942491149</v>
      </c>
      <c r="DU73" s="229">
        <f t="shared" si="102"/>
        <v>36052.701942491149</v>
      </c>
      <c r="DV73" s="229">
        <f t="shared" si="102"/>
        <v>36052.701942491149</v>
      </c>
      <c r="DW73" s="229">
        <f t="shared" si="102"/>
        <v>36052.701942491149</v>
      </c>
      <c r="DX73" s="229">
        <f t="shared" si="102"/>
        <v>36052.701942491149</v>
      </c>
      <c r="DY73" s="229">
        <f t="shared" si="102"/>
        <v>36052.701942491149</v>
      </c>
      <c r="DZ73" s="229">
        <f t="shared" si="102"/>
        <v>37134.283000765914</v>
      </c>
      <c r="EA73" s="229">
        <f t="shared" si="102"/>
        <v>37134.283000765914</v>
      </c>
      <c r="EB73" s="229">
        <f t="shared" si="102"/>
        <v>37134.283000765914</v>
      </c>
      <c r="EC73" s="229">
        <f t="shared" si="102"/>
        <v>37134.283000765914</v>
      </c>
      <c r="ED73" s="229">
        <f t="shared" si="102"/>
        <v>37134.283000765914</v>
      </c>
      <c r="EE73" s="229">
        <f t="shared" si="102"/>
        <v>37134.283000765914</v>
      </c>
      <c r="EF73" s="229">
        <f t="shared" si="102"/>
        <v>37134.283000765914</v>
      </c>
      <c r="EG73" s="229">
        <f t="shared" si="102"/>
        <v>37134.283000765914</v>
      </c>
      <c r="EH73" s="229">
        <f t="shared" si="102"/>
        <v>37134.283000765914</v>
      </c>
      <c r="EK73" s="672"/>
    </row>
    <row r="74" spans="1:141" x14ac:dyDescent="0.3">
      <c r="A74" s="198" t="str">
        <f>'Operating Inputs'!A122</f>
        <v>Contracts</v>
      </c>
      <c r="E74" s="1525">
        <v>0.8</v>
      </c>
      <c r="F74" s="282">
        <v>0.5</v>
      </c>
      <c r="G74" s="229">
        <f t="shared" ref="G74:AL74" si="103">MIN(G164*G163*$E74+G164*G163*G$19/Units*$F74,G164*G163)</f>
        <v>0</v>
      </c>
      <c r="H74" s="229">
        <f t="shared" si="103"/>
        <v>0</v>
      </c>
      <c r="I74" s="229">
        <f t="shared" si="103"/>
        <v>0</v>
      </c>
      <c r="J74" s="229">
        <f t="shared" si="103"/>
        <v>0</v>
      </c>
      <c r="K74" s="229">
        <f t="shared" si="103"/>
        <v>0</v>
      </c>
      <c r="L74" s="229">
        <f t="shared" si="103"/>
        <v>0</v>
      </c>
      <c r="M74" s="229">
        <f t="shared" si="103"/>
        <v>0</v>
      </c>
      <c r="N74" s="229">
        <f t="shared" si="103"/>
        <v>0</v>
      </c>
      <c r="O74" s="229">
        <f t="shared" si="103"/>
        <v>0</v>
      </c>
      <c r="P74" s="229">
        <f t="shared" si="103"/>
        <v>0</v>
      </c>
      <c r="Q74" s="229">
        <f t="shared" si="103"/>
        <v>0</v>
      </c>
      <c r="R74" s="229">
        <f t="shared" si="103"/>
        <v>0</v>
      </c>
      <c r="S74" s="229">
        <f t="shared" si="103"/>
        <v>0</v>
      </c>
      <c r="T74" s="229">
        <f t="shared" si="103"/>
        <v>16087.574367304736</v>
      </c>
      <c r="U74" s="229">
        <f t="shared" si="103"/>
        <v>16883.988939943585</v>
      </c>
      <c r="V74" s="229">
        <f t="shared" si="103"/>
        <v>18210.815617959921</v>
      </c>
      <c r="W74" s="229">
        <f t="shared" si="103"/>
        <v>19031.122627777935</v>
      </c>
      <c r="X74" s="229">
        <f t="shared" si="103"/>
        <v>19687.368235632348</v>
      </c>
      <c r="Y74" s="229">
        <f t="shared" si="103"/>
        <v>19687.368235632348</v>
      </c>
      <c r="Z74" s="229">
        <f t="shared" si="103"/>
        <v>19687.368235632348</v>
      </c>
      <c r="AA74" s="229">
        <f t="shared" si="103"/>
        <v>19687.368235632348</v>
      </c>
      <c r="AB74" s="229">
        <f t="shared" si="103"/>
        <v>19687.368235632348</v>
      </c>
      <c r="AC74" s="229">
        <f t="shared" si="103"/>
        <v>19687.368235632348</v>
      </c>
      <c r="AD74" s="229">
        <f t="shared" si="103"/>
        <v>19687.368235632348</v>
      </c>
      <c r="AE74" s="229">
        <f t="shared" si="103"/>
        <v>19687.368235632348</v>
      </c>
      <c r="AF74" s="229">
        <f t="shared" si="103"/>
        <v>19687.368235632348</v>
      </c>
      <c r="AG74" s="229">
        <f t="shared" si="103"/>
        <v>19687.368235632348</v>
      </c>
      <c r="AH74" s="229">
        <f t="shared" si="103"/>
        <v>20277.989282701339</v>
      </c>
      <c r="AI74" s="229">
        <f t="shared" si="103"/>
        <v>20277.989282701339</v>
      </c>
      <c r="AJ74" s="229">
        <f t="shared" si="103"/>
        <v>20277.989282701339</v>
      </c>
      <c r="AK74" s="229">
        <f t="shared" si="103"/>
        <v>20277.989282701339</v>
      </c>
      <c r="AL74" s="229">
        <f t="shared" si="103"/>
        <v>20277.989282701339</v>
      </c>
      <c r="AM74" s="229">
        <f t="shared" ref="AM74:BR74" si="104">MIN(AM164*AM163*$E74+AM164*AM163*AM$19/Units*$F74,AM164*AM163)</f>
        <v>20277.989282701339</v>
      </c>
      <c r="AN74" s="229">
        <f t="shared" si="104"/>
        <v>20277.989282701339</v>
      </c>
      <c r="AO74" s="229">
        <f t="shared" si="104"/>
        <v>20277.989282701339</v>
      </c>
      <c r="AP74" s="229">
        <f t="shared" si="104"/>
        <v>20277.989282701339</v>
      </c>
      <c r="AQ74" s="229">
        <f t="shared" si="104"/>
        <v>20277.989282701339</v>
      </c>
      <c r="AR74" s="229">
        <f t="shared" si="104"/>
        <v>20277.989282701339</v>
      </c>
      <c r="AS74" s="229">
        <f t="shared" si="104"/>
        <v>20277.989282701339</v>
      </c>
      <c r="AT74" s="229">
        <f t="shared" si="104"/>
        <v>20886.3289611824</v>
      </c>
      <c r="AU74" s="229">
        <f t="shared" si="104"/>
        <v>20886.3289611824</v>
      </c>
      <c r="AV74" s="229">
        <f t="shared" si="104"/>
        <v>20886.3289611824</v>
      </c>
      <c r="AW74" s="229">
        <f t="shared" si="104"/>
        <v>20886.3289611824</v>
      </c>
      <c r="AX74" s="229">
        <f t="shared" si="104"/>
        <v>20886.3289611824</v>
      </c>
      <c r="AY74" s="229">
        <f t="shared" si="104"/>
        <v>20886.3289611824</v>
      </c>
      <c r="AZ74" s="229">
        <f t="shared" si="104"/>
        <v>20886.3289611824</v>
      </c>
      <c r="BA74" s="229">
        <f t="shared" si="104"/>
        <v>20886.3289611824</v>
      </c>
      <c r="BB74" s="229">
        <f t="shared" si="104"/>
        <v>20886.3289611824</v>
      </c>
      <c r="BC74" s="229">
        <f t="shared" si="104"/>
        <v>20886.3289611824</v>
      </c>
      <c r="BD74" s="229">
        <f t="shared" si="104"/>
        <v>20886.3289611824</v>
      </c>
      <c r="BE74" s="229">
        <f t="shared" si="104"/>
        <v>20886.3289611824</v>
      </c>
      <c r="BF74" s="229">
        <f t="shared" si="104"/>
        <v>21512.918830017898</v>
      </c>
      <c r="BG74" s="229">
        <f t="shared" si="104"/>
        <v>21512.918830017898</v>
      </c>
      <c r="BH74" s="229">
        <f t="shared" si="104"/>
        <v>21512.918830017898</v>
      </c>
      <c r="BI74" s="229">
        <f t="shared" si="104"/>
        <v>21512.918830017898</v>
      </c>
      <c r="BJ74" s="229">
        <f t="shared" si="104"/>
        <v>21512.918830017898</v>
      </c>
      <c r="BK74" s="229">
        <f t="shared" si="104"/>
        <v>21512.918830017898</v>
      </c>
      <c r="BL74" s="229">
        <f t="shared" si="104"/>
        <v>21512.918830017898</v>
      </c>
      <c r="BM74" s="229">
        <f t="shared" si="104"/>
        <v>21512.918830017898</v>
      </c>
      <c r="BN74" s="229">
        <f t="shared" si="104"/>
        <v>21512.918830017898</v>
      </c>
      <c r="BO74" s="229">
        <f t="shared" si="104"/>
        <v>21512.918830017898</v>
      </c>
      <c r="BP74" s="229">
        <f t="shared" si="104"/>
        <v>21512.918830017898</v>
      </c>
      <c r="BQ74" s="229">
        <f t="shared" si="104"/>
        <v>21512.918830017898</v>
      </c>
      <c r="BR74" s="229">
        <f t="shared" si="104"/>
        <v>22158.306394918469</v>
      </c>
      <c r="BS74" s="229">
        <f t="shared" ref="BS74:CX74" si="105">MIN(BS164*BS163*$E74+BS164*BS163*BS$19/Units*$F74,BS164*BS163)</f>
        <v>22158.306394918469</v>
      </c>
      <c r="BT74" s="229">
        <f t="shared" si="105"/>
        <v>22158.306394918469</v>
      </c>
      <c r="BU74" s="229">
        <f t="shared" si="105"/>
        <v>22158.306394918469</v>
      </c>
      <c r="BV74" s="229">
        <f t="shared" si="105"/>
        <v>22158.306394918469</v>
      </c>
      <c r="BW74" s="229">
        <f t="shared" si="105"/>
        <v>22158.306394918469</v>
      </c>
      <c r="BX74" s="229">
        <f t="shared" si="105"/>
        <v>22158.306394918469</v>
      </c>
      <c r="BY74" s="229">
        <f t="shared" si="105"/>
        <v>22158.306394918469</v>
      </c>
      <c r="BZ74" s="229">
        <f t="shared" si="105"/>
        <v>22158.306394918469</v>
      </c>
      <c r="CA74" s="229">
        <f t="shared" si="105"/>
        <v>22158.306394918469</v>
      </c>
      <c r="CB74" s="229">
        <f t="shared" si="105"/>
        <v>22158.306394918469</v>
      </c>
      <c r="CC74" s="229">
        <f t="shared" si="105"/>
        <v>22158.306394918469</v>
      </c>
      <c r="CD74" s="229">
        <f t="shared" si="105"/>
        <v>22823.055586766044</v>
      </c>
      <c r="CE74" s="229">
        <f t="shared" si="105"/>
        <v>22823.055586766044</v>
      </c>
      <c r="CF74" s="229">
        <f t="shared" si="105"/>
        <v>22823.055586766044</v>
      </c>
      <c r="CG74" s="229">
        <f t="shared" si="105"/>
        <v>22823.055586766044</v>
      </c>
      <c r="CH74" s="229">
        <f t="shared" si="105"/>
        <v>22823.055586766044</v>
      </c>
      <c r="CI74" s="229">
        <f t="shared" si="105"/>
        <v>22823.055586766044</v>
      </c>
      <c r="CJ74" s="229">
        <f t="shared" si="105"/>
        <v>22823.055586766044</v>
      </c>
      <c r="CK74" s="229">
        <f t="shared" si="105"/>
        <v>22823.055586766044</v>
      </c>
      <c r="CL74" s="229">
        <f t="shared" si="105"/>
        <v>22823.055586766044</v>
      </c>
      <c r="CM74" s="229">
        <f t="shared" si="105"/>
        <v>22823.055586766044</v>
      </c>
      <c r="CN74" s="229">
        <f t="shared" si="105"/>
        <v>22823.055586766044</v>
      </c>
      <c r="CO74" s="229">
        <f t="shared" si="105"/>
        <v>22823.055586766044</v>
      </c>
      <c r="CP74" s="229">
        <f t="shared" si="105"/>
        <v>23507.747254369053</v>
      </c>
      <c r="CQ74" s="229">
        <f t="shared" si="105"/>
        <v>23507.747254369053</v>
      </c>
      <c r="CR74" s="229">
        <f t="shared" si="105"/>
        <v>23507.747254369053</v>
      </c>
      <c r="CS74" s="229">
        <f t="shared" si="105"/>
        <v>23507.747254369053</v>
      </c>
      <c r="CT74" s="229">
        <f t="shared" si="105"/>
        <v>23507.747254369053</v>
      </c>
      <c r="CU74" s="229">
        <f t="shared" si="105"/>
        <v>23507.747254369053</v>
      </c>
      <c r="CV74" s="229">
        <f t="shared" si="105"/>
        <v>23507.747254369053</v>
      </c>
      <c r="CW74" s="229">
        <f t="shared" si="105"/>
        <v>23507.747254369053</v>
      </c>
      <c r="CX74" s="229">
        <f t="shared" si="105"/>
        <v>23507.747254369053</v>
      </c>
      <c r="CY74" s="229">
        <f t="shared" ref="CY74:EH74" si="106">MIN(CY164*CY163*$E74+CY164*CY163*CY$19/Units*$F74,CY164*CY163)</f>
        <v>23507.747254369053</v>
      </c>
      <c r="CZ74" s="229">
        <f t="shared" si="106"/>
        <v>23507.747254369053</v>
      </c>
      <c r="DA74" s="229">
        <f t="shared" si="106"/>
        <v>23507.747254369053</v>
      </c>
      <c r="DB74" s="229">
        <f t="shared" si="106"/>
        <v>24212.979672000161</v>
      </c>
      <c r="DC74" s="229">
        <f t="shared" si="106"/>
        <v>24212.979672000161</v>
      </c>
      <c r="DD74" s="229">
        <f t="shared" si="106"/>
        <v>24212.979672000161</v>
      </c>
      <c r="DE74" s="229">
        <f t="shared" si="106"/>
        <v>24212.979672000161</v>
      </c>
      <c r="DF74" s="229">
        <f t="shared" si="106"/>
        <v>24212.979672000161</v>
      </c>
      <c r="DG74" s="229">
        <f t="shared" si="106"/>
        <v>24212.979672000161</v>
      </c>
      <c r="DH74" s="229">
        <f t="shared" si="106"/>
        <v>24212.979672000161</v>
      </c>
      <c r="DI74" s="229">
        <f t="shared" si="106"/>
        <v>24212.979672000161</v>
      </c>
      <c r="DJ74" s="229">
        <f t="shared" si="106"/>
        <v>24212.979672000161</v>
      </c>
      <c r="DK74" s="229">
        <f t="shared" si="106"/>
        <v>24212.979672000161</v>
      </c>
      <c r="DL74" s="229">
        <f t="shared" si="106"/>
        <v>24212.979672000161</v>
      </c>
      <c r="DM74" s="229">
        <f t="shared" si="106"/>
        <v>24212.979672000161</v>
      </c>
      <c r="DN74" s="229">
        <f t="shared" si="106"/>
        <v>24939.369062160196</v>
      </c>
      <c r="DO74" s="229">
        <f t="shared" si="106"/>
        <v>24939.369062160196</v>
      </c>
      <c r="DP74" s="229">
        <f t="shared" si="106"/>
        <v>24939.369062160196</v>
      </c>
      <c r="DQ74" s="229">
        <f t="shared" si="106"/>
        <v>24939.369062160196</v>
      </c>
      <c r="DR74" s="229">
        <f t="shared" si="106"/>
        <v>24939.369062160196</v>
      </c>
      <c r="DS74" s="229">
        <f t="shared" si="106"/>
        <v>24939.369062160196</v>
      </c>
      <c r="DT74" s="229">
        <f t="shared" si="106"/>
        <v>24939.369062160196</v>
      </c>
      <c r="DU74" s="229">
        <f t="shared" si="106"/>
        <v>24939.369062160196</v>
      </c>
      <c r="DV74" s="229">
        <f t="shared" si="106"/>
        <v>24939.369062160196</v>
      </c>
      <c r="DW74" s="229">
        <f t="shared" si="106"/>
        <v>24939.369062160196</v>
      </c>
      <c r="DX74" s="229">
        <f t="shared" si="106"/>
        <v>24939.369062160196</v>
      </c>
      <c r="DY74" s="229">
        <f t="shared" si="106"/>
        <v>24939.369062160196</v>
      </c>
      <c r="DZ74" s="229">
        <f t="shared" si="106"/>
        <v>25687.550134025023</v>
      </c>
      <c r="EA74" s="229">
        <f t="shared" si="106"/>
        <v>25687.550134025023</v>
      </c>
      <c r="EB74" s="229">
        <f t="shared" si="106"/>
        <v>25687.550134025023</v>
      </c>
      <c r="EC74" s="229">
        <f t="shared" si="106"/>
        <v>25687.550134025023</v>
      </c>
      <c r="ED74" s="229">
        <f t="shared" si="106"/>
        <v>25687.550134025023</v>
      </c>
      <c r="EE74" s="229">
        <f t="shared" si="106"/>
        <v>25687.550134025023</v>
      </c>
      <c r="EF74" s="229">
        <f t="shared" si="106"/>
        <v>25687.550134025023</v>
      </c>
      <c r="EG74" s="229">
        <f t="shared" si="106"/>
        <v>25687.550134025023</v>
      </c>
      <c r="EH74" s="229">
        <f t="shared" si="106"/>
        <v>25687.550134025023</v>
      </c>
      <c r="EK74" s="672"/>
    </row>
    <row r="75" spans="1:141" x14ac:dyDescent="0.3">
      <c r="A75" s="198" t="s">
        <v>708</v>
      </c>
      <c r="E75" s="1525">
        <v>1</v>
      </c>
      <c r="F75" s="282" t="s">
        <v>1599</v>
      </c>
      <c r="G75" s="407">
        <f ca="1">IF('General Inputs'!$D$8="oregon",'Tax Calcs'!E24,'Tax Calcs'!E18)</f>
        <v>0</v>
      </c>
      <c r="H75" s="407">
        <f ca="1">IF('General Inputs'!$D$8="oregon",'Tax Calcs'!F24,'Tax Calcs'!F18)</f>
        <v>0</v>
      </c>
      <c r="I75" s="407">
        <f ca="1">IF('General Inputs'!$D$8="oregon",'Tax Calcs'!G24,'Tax Calcs'!G18)</f>
        <v>0</v>
      </c>
      <c r="J75" s="407">
        <f ca="1">IF('General Inputs'!$D$8="oregon",'Tax Calcs'!H24,'Tax Calcs'!H18)</f>
        <v>0</v>
      </c>
      <c r="K75" s="407">
        <f ca="1">IF('General Inputs'!$D$8="oregon",'Tax Calcs'!I24,'Tax Calcs'!I18)</f>
        <v>0</v>
      </c>
      <c r="L75" s="407">
        <f ca="1">IF('General Inputs'!$D$8="oregon",'Tax Calcs'!J24,'Tax Calcs'!J18)</f>
        <v>0</v>
      </c>
      <c r="M75" s="407">
        <f ca="1">IF('General Inputs'!$D$8="oregon",'Tax Calcs'!K24,'Tax Calcs'!K18)</f>
        <v>0</v>
      </c>
      <c r="N75" s="407">
        <f ca="1">IF('General Inputs'!$D$8="oregon",'Tax Calcs'!L24,'Tax Calcs'!L18)</f>
        <v>0</v>
      </c>
      <c r="O75" s="407">
        <f ca="1">IF('General Inputs'!$D$8="oregon",'Tax Calcs'!M24,'Tax Calcs'!M18)</f>
        <v>0</v>
      </c>
      <c r="P75" s="407">
        <f ca="1">IF('General Inputs'!$D$8="oregon",'Tax Calcs'!N24,'Tax Calcs'!N18)</f>
        <v>0</v>
      </c>
      <c r="Q75" s="407">
        <f ca="1">IF('General Inputs'!$D$8="oregon",'Tax Calcs'!O24,'Tax Calcs'!O18)</f>
        <v>0</v>
      </c>
      <c r="R75" s="407">
        <f ca="1">IF('General Inputs'!$D$8="oregon",'Tax Calcs'!P24,'Tax Calcs'!P18)</f>
        <v>0</v>
      </c>
      <c r="S75" s="407">
        <f ca="1">IF('General Inputs'!$D$8="oregon",'Tax Calcs'!Q24,'Tax Calcs'!Q18)</f>
        <v>0</v>
      </c>
      <c r="T75" s="407">
        <f ca="1">IF('General Inputs'!$D$8="oregon",'Tax Calcs'!R24,'Tax Calcs'!R18)</f>
        <v>7334.1378649844455</v>
      </c>
      <c r="U75" s="407">
        <f ca="1">IF('General Inputs'!$D$8="oregon",'Tax Calcs'!S24,'Tax Calcs'!S18)</f>
        <v>7334.1378649844455</v>
      </c>
      <c r="V75" s="407">
        <f ca="1">IF('General Inputs'!$D$8="oregon",'Tax Calcs'!T24,'Tax Calcs'!T18)</f>
        <v>22487.314155334629</v>
      </c>
      <c r="W75" s="407">
        <f ca="1">IF('General Inputs'!$D$8="oregon",'Tax Calcs'!U24,'Tax Calcs'!U18)</f>
        <v>22487.314155334629</v>
      </c>
      <c r="X75" s="407">
        <f ca="1">IF('General Inputs'!$D$8="oregon",'Tax Calcs'!V24,'Tax Calcs'!V18)</f>
        <v>22487.314155334629</v>
      </c>
      <c r="Y75" s="407">
        <f ca="1">IF('General Inputs'!$D$8="oregon",'Tax Calcs'!W24,'Tax Calcs'!W18)</f>
        <v>22487.314155334629</v>
      </c>
      <c r="Z75" s="407">
        <f ca="1">IF('General Inputs'!$D$8="oregon",'Tax Calcs'!X24,'Tax Calcs'!X18)</f>
        <v>22487.314155334629</v>
      </c>
      <c r="AA75" s="407">
        <f ca="1">IF('General Inputs'!$D$8="oregon",'Tax Calcs'!Y24,'Tax Calcs'!Y18)</f>
        <v>22487.314155334629</v>
      </c>
      <c r="AB75" s="407">
        <f ca="1">IF('General Inputs'!$D$8="oregon",'Tax Calcs'!Z24,'Tax Calcs'!Z18)</f>
        <v>22487.314155334629</v>
      </c>
      <c r="AC75" s="407">
        <f ca="1">IF('General Inputs'!$D$8="oregon",'Tax Calcs'!AA24,'Tax Calcs'!AA18)</f>
        <v>22487.314155334629</v>
      </c>
      <c r="AD75" s="407">
        <f ca="1">IF('General Inputs'!$D$8="oregon",'Tax Calcs'!AB24,'Tax Calcs'!AB18)</f>
        <v>22487.314155334629</v>
      </c>
      <c r="AE75" s="407">
        <f ca="1">IF('General Inputs'!$D$8="oregon",'Tax Calcs'!AC24,'Tax Calcs'!AC18)</f>
        <v>22487.314155334629</v>
      </c>
      <c r="AF75" s="407">
        <f ca="1">IF('General Inputs'!$D$8="oregon",'Tax Calcs'!AD24,'Tax Calcs'!AD18)</f>
        <v>22487.314155334629</v>
      </c>
      <c r="AG75" s="407">
        <f ca="1">IF('General Inputs'!$D$8="oregon",'Tax Calcs'!AE24,'Tax Calcs'!AE18)</f>
        <v>22487.314155334629</v>
      </c>
      <c r="AH75" s="407">
        <f ca="1">IF('General Inputs'!$D$8="oregon",'Tax Calcs'!AF24,'Tax Calcs'!AF18)</f>
        <v>30168.067098264961</v>
      </c>
      <c r="AI75" s="407">
        <f ca="1">IF('General Inputs'!$D$8="oregon",'Tax Calcs'!AG24,'Tax Calcs'!AG18)</f>
        <v>30168.067098264961</v>
      </c>
      <c r="AJ75" s="407">
        <f ca="1">IF('General Inputs'!$D$8="oregon",'Tax Calcs'!AH24,'Tax Calcs'!AH18)</f>
        <v>30168.067098264961</v>
      </c>
      <c r="AK75" s="407">
        <f ca="1">IF('General Inputs'!$D$8="oregon",'Tax Calcs'!AI24,'Tax Calcs'!AI18)</f>
        <v>30168.067098264961</v>
      </c>
      <c r="AL75" s="407">
        <f ca="1">IF('General Inputs'!$D$8="oregon",'Tax Calcs'!AJ24,'Tax Calcs'!AJ18)</f>
        <v>30168.067098264961</v>
      </c>
      <c r="AM75" s="407">
        <f ca="1">IF('General Inputs'!$D$8="oregon",'Tax Calcs'!AK24,'Tax Calcs'!AK18)</f>
        <v>30168.067098264961</v>
      </c>
      <c r="AN75" s="407">
        <f ca="1">IF('General Inputs'!$D$8="oregon",'Tax Calcs'!AL24,'Tax Calcs'!AL18)</f>
        <v>30168.067098264961</v>
      </c>
      <c r="AO75" s="407">
        <f ca="1">IF('General Inputs'!$D$8="oregon",'Tax Calcs'!AM24,'Tax Calcs'!AM18)</f>
        <v>30168.067098264961</v>
      </c>
      <c r="AP75" s="407">
        <f ca="1">IF('General Inputs'!$D$8="oregon",'Tax Calcs'!AN24,'Tax Calcs'!AN18)</f>
        <v>30168.067098264961</v>
      </c>
      <c r="AQ75" s="407">
        <f ca="1">IF('General Inputs'!$D$8="oregon",'Tax Calcs'!AO24,'Tax Calcs'!AO18)</f>
        <v>30168.067098264961</v>
      </c>
      <c r="AR75" s="407">
        <f ca="1">IF('General Inputs'!$D$8="oregon",'Tax Calcs'!AP24,'Tax Calcs'!AP18)</f>
        <v>30168.067098264961</v>
      </c>
      <c r="AS75" s="407">
        <f ca="1">IF('General Inputs'!$D$8="oregon",'Tax Calcs'!AQ24,'Tax Calcs'!AQ18)</f>
        <v>30168.067098264961</v>
      </c>
      <c r="AT75" s="407">
        <f ca="1">IF('General Inputs'!$D$8="oregon",'Tax Calcs'!AR24,'Tax Calcs'!AR18)</f>
        <v>32646.142444546247</v>
      </c>
      <c r="AU75" s="407">
        <f ca="1">IF('General Inputs'!$D$8="oregon",'Tax Calcs'!AS24,'Tax Calcs'!AS18)</f>
        <v>32646.142444546247</v>
      </c>
      <c r="AV75" s="407">
        <f ca="1">IF('General Inputs'!$D$8="oregon",'Tax Calcs'!AT24,'Tax Calcs'!AT18)</f>
        <v>32646.142444546247</v>
      </c>
      <c r="AW75" s="407">
        <f ca="1">IF('General Inputs'!$D$8="oregon",'Tax Calcs'!AU24,'Tax Calcs'!AU18)</f>
        <v>32646.142444546247</v>
      </c>
      <c r="AX75" s="407">
        <f ca="1">IF('General Inputs'!$D$8="oregon",'Tax Calcs'!AV24,'Tax Calcs'!AV18)</f>
        <v>32646.142444546247</v>
      </c>
      <c r="AY75" s="407">
        <f ca="1">IF('General Inputs'!$D$8="oregon",'Tax Calcs'!AW24,'Tax Calcs'!AW18)</f>
        <v>32646.142444546247</v>
      </c>
      <c r="AZ75" s="407">
        <f ca="1">IF('General Inputs'!$D$8="oregon",'Tax Calcs'!AX24,'Tax Calcs'!AX18)</f>
        <v>32646.142444546247</v>
      </c>
      <c r="BA75" s="407">
        <f ca="1">IF('General Inputs'!$D$8="oregon",'Tax Calcs'!AY24,'Tax Calcs'!AY18)</f>
        <v>32646.142444546247</v>
      </c>
      <c r="BB75" s="407">
        <f ca="1">IF('General Inputs'!$D$8="oregon",'Tax Calcs'!AZ24,'Tax Calcs'!AZ18)</f>
        <v>32646.142444546247</v>
      </c>
      <c r="BC75" s="407">
        <f ca="1">IF('General Inputs'!$D$8="oregon",'Tax Calcs'!BA24,'Tax Calcs'!BA18)</f>
        <v>32646.142444546247</v>
      </c>
      <c r="BD75" s="407">
        <f ca="1">IF('General Inputs'!$D$8="oregon",'Tax Calcs'!BB24,'Tax Calcs'!BB18)</f>
        <v>32646.142444546247</v>
      </c>
      <c r="BE75" s="407">
        <f ca="1">IF('General Inputs'!$D$8="oregon",'Tax Calcs'!BC24,'Tax Calcs'!BC18)</f>
        <v>32646.142444546247</v>
      </c>
      <c r="BF75" s="407">
        <f ca="1">IF('General Inputs'!$D$8="oregon",'Tax Calcs'!BD24,'Tax Calcs'!BD18)</f>
        <v>33736.360051215968</v>
      </c>
      <c r="BG75" s="407">
        <f ca="1">IF('General Inputs'!$D$8="oregon",'Tax Calcs'!BE24,'Tax Calcs'!BE18)</f>
        <v>33736.360051215968</v>
      </c>
      <c r="BH75" s="407">
        <f ca="1">IF('General Inputs'!$D$8="oregon",'Tax Calcs'!BF24,'Tax Calcs'!BF18)</f>
        <v>33736.360051215968</v>
      </c>
      <c r="BI75" s="407">
        <f ca="1">IF('General Inputs'!$D$8="oregon",'Tax Calcs'!BG24,'Tax Calcs'!BG18)</f>
        <v>33736.360051215968</v>
      </c>
      <c r="BJ75" s="407">
        <f ca="1">IF('General Inputs'!$D$8="oregon",'Tax Calcs'!BH24,'Tax Calcs'!BH18)</f>
        <v>33736.360051215968</v>
      </c>
      <c r="BK75" s="407">
        <f ca="1">IF('General Inputs'!$D$8="oregon",'Tax Calcs'!BI24,'Tax Calcs'!BI18)</f>
        <v>33736.360051215968</v>
      </c>
      <c r="BL75" s="407">
        <f ca="1">IF('General Inputs'!$D$8="oregon",'Tax Calcs'!BJ24,'Tax Calcs'!BJ18)</f>
        <v>33736.360051215968</v>
      </c>
      <c r="BM75" s="407">
        <f ca="1">IF('General Inputs'!$D$8="oregon",'Tax Calcs'!BK24,'Tax Calcs'!BK18)</f>
        <v>33736.360051215968</v>
      </c>
      <c r="BN75" s="407">
        <f ca="1">IF('General Inputs'!$D$8="oregon",'Tax Calcs'!BL24,'Tax Calcs'!BL18)</f>
        <v>33736.360051215968</v>
      </c>
      <c r="BO75" s="407">
        <f ca="1">IF('General Inputs'!$D$8="oregon",'Tax Calcs'!BM24,'Tax Calcs'!BM18)</f>
        <v>33736.360051215968</v>
      </c>
      <c r="BP75" s="407">
        <f ca="1">IF('General Inputs'!$D$8="oregon",'Tax Calcs'!BN24,'Tax Calcs'!BN18)</f>
        <v>33736.360051215968</v>
      </c>
      <c r="BQ75" s="407">
        <f ca="1">IF('General Inputs'!$D$8="oregon",'Tax Calcs'!BO24,'Tax Calcs'!BO18)</f>
        <v>33736.360051215968</v>
      </c>
      <c r="BR75" s="407">
        <f ca="1">IF('General Inputs'!$D$8="oregon",'Tax Calcs'!BP24,'Tax Calcs'!BP18)</f>
        <v>34969.231121977369</v>
      </c>
      <c r="BS75" s="407">
        <f ca="1">IF('General Inputs'!$D$8="oregon",'Tax Calcs'!BQ24,'Tax Calcs'!BQ18)</f>
        <v>34969.231121977369</v>
      </c>
      <c r="BT75" s="407">
        <f ca="1">IF('General Inputs'!$D$8="oregon",'Tax Calcs'!BR24,'Tax Calcs'!BR18)</f>
        <v>34969.231121977369</v>
      </c>
      <c r="BU75" s="407">
        <f ca="1">IF('General Inputs'!$D$8="oregon",'Tax Calcs'!BS24,'Tax Calcs'!BS18)</f>
        <v>34969.231121977369</v>
      </c>
      <c r="BV75" s="407">
        <f ca="1">IF('General Inputs'!$D$8="oregon",'Tax Calcs'!BT24,'Tax Calcs'!BT18)</f>
        <v>34969.231121977369</v>
      </c>
      <c r="BW75" s="407">
        <f ca="1">IF('General Inputs'!$D$8="oregon",'Tax Calcs'!BU24,'Tax Calcs'!BU18)</f>
        <v>34969.231121977369</v>
      </c>
      <c r="BX75" s="407">
        <f ca="1">IF('General Inputs'!$D$8="oregon",'Tax Calcs'!BV24,'Tax Calcs'!BV18)</f>
        <v>34969.231121977369</v>
      </c>
      <c r="BY75" s="407">
        <f ca="1">IF('General Inputs'!$D$8="oregon",'Tax Calcs'!BW24,'Tax Calcs'!BW18)</f>
        <v>34969.231121977369</v>
      </c>
      <c r="BZ75" s="407">
        <f ca="1">IF('General Inputs'!$D$8="oregon",'Tax Calcs'!BX24,'Tax Calcs'!BX18)</f>
        <v>34969.231121977369</v>
      </c>
      <c r="CA75" s="407">
        <f ca="1">IF('General Inputs'!$D$8="oregon",'Tax Calcs'!BY24,'Tax Calcs'!BY18)</f>
        <v>34969.231121977369</v>
      </c>
      <c r="CB75" s="407">
        <f ca="1">IF('General Inputs'!$D$8="oregon",'Tax Calcs'!BZ24,'Tax Calcs'!BZ18)</f>
        <v>34969.231121977369</v>
      </c>
      <c r="CC75" s="407">
        <f ca="1">IF('General Inputs'!$D$8="oregon",'Tax Calcs'!CA24,'Tax Calcs'!CA18)</f>
        <v>34969.231121977369</v>
      </c>
      <c r="CD75" s="407">
        <f ca="1">IF('General Inputs'!$D$8="oregon",'Tax Calcs'!CB24,'Tax Calcs'!CB18)</f>
        <v>36254.551388136926</v>
      </c>
      <c r="CE75" s="407">
        <f ca="1">IF('General Inputs'!$D$8="oregon",'Tax Calcs'!CC24,'Tax Calcs'!CC18)</f>
        <v>36254.551388136926</v>
      </c>
      <c r="CF75" s="407">
        <f ca="1">IF('General Inputs'!$D$8="oregon",'Tax Calcs'!CD24,'Tax Calcs'!CD18)</f>
        <v>36254.551388136926</v>
      </c>
      <c r="CG75" s="407">
        <f ca="1">IF('General Inputs'!$D$8="oregon",'Tax Calcs'!CE24,'Tax Calcs'!CE18)</f>
        <v>36254.551388136926</v>
      </c>
      <c r="CH75" s="407">
        <f ca="1">IF('General Inputs'!$D$8="oregon",'Tax Calcs'!CF24,'Tax Calcs'!CF18)</f>
        <v>36254.551388136926</v>
      </c>
      <c r="CI75" s="407">
        <f ca="1">IF('General Inputs'!$D$8="oregon",'Tax Calcs'!CG24,'Tax Calcs'!CG18)</f>
        <v>36254.551388136926</v>
      </c>
      <c r="CJ75" s="407">
        <f ca="1">IF('General Inputs'!$D$8="oregon",'Tax Calcs'!CH24,'Tax Calcs'!CH18)</f>
        <v>36254.551388136926</v>
      </c>
      <c r="CK75" s="407">
        <f ca="1">IF('General Inputs'!$D$8="oregon",'Tax Calcs'!CI24,'Tax Calcs'!CI18)</f>
        <v>36254.551388136926</v>
      </c>
      <c r="CL75" s="407">
        <f ca="1">IF('General Inputs'!$D$8="oregon",'Tax Calcs'!CJ24,'Tax Calcs'!CJ18)</f>
        <v>36254.551388136926</v>
      </c>
      <c r="CM75" s="407">
        <f ca="1">IF('General Inputs'!$D$8="oregon",'Tax Calcs'!CK24,'Tax Calcs'!CK18)</f>
        <v>36254.551388136926</v>
      </c>
      <c r="CN75" s="407">
        <f ca="1">IF('General Inputs'!$D$8="oregon",'Tax Calcs'!CL24,'Tax Calcs'!CL18)</f>
        <v>36254.551388136926</v>
      </c>
      <c r="CO75" s="407">
        <f ca="1">IF('General Inputs'!$D$8="oregon",'Tax Calcs'!CM24,'Tax Calcs'!CM18)</f>
        <v>36254.551388136926</v>
      </c>
      <c r="CP75" s="407">
        <f ca="1">IF('General Inputs'!$D$8="oregon",'Tax Calcs'!CN24,'Tax Calcs'!CN18)</f>
        <v>37595.221742737049</v>
      </c>
      <c r="CQ75" s="407">
        <f ca="1">IF('General Inputs'!$D$8="oregon",'Tax Calcs'!CO24,'Tax Calcs'!CO18)</f>
        <v>37595.221742737049</v>
      </c>
      <c r="CR75" s="407">
        <f ca="1">IF('General Inputs'!$D$8="oregon",'Tax Calcs'!CP24,'Tax Calcs'!CP18)</f>
        <v>37595.221742737049</v>
      </c>
      <c r="CS75" s="407">
        <f ca="1">IF('General Inputs'!$D$8="oregon",'Tax Calcs'!CQ24,'Tax Calcs'!CQ18)</f>
        <v>37595.221742737049</v>
      </c>
      <c r="CT75" s="407">
        <f ca="1">IF('General Inputs'!$D$8="oregon",'Tax Calcs'!CR24,'Tax Calcs'!CR18)</f>
        <v>37595.221742737049</v>
      </c>
      <c r="CU75" s="407">
        <f ca="1">IF('General Inputs'!$D$8="oregon",'Tax Calcs'!CS24,'Tax Calcs'!CS18)</f>
        <v>37595.221742737049</v>
      </c>
      <c r="CV75" s="407">
        <f ca="1">IF('General Inputs'!$D$8="oregon",'Tax Calcs'!CT24,'Tax Calcs'!CT18)</f>
        <v>37595.221742737049</v>
      </c>
      <c r="CW75" s="407">
        <f ca="1">IF('General Inputs'!$D$8="oregon",'Tax Calcs'!CU24,'Tax Calcs'!CU18)</f>
        <v>37595.221742737049</v>
      </c>
      <c r="CX75" s="407">
        <f ca="1">IF('General Inputs'!$D$8="oregon",'Tax Calcs'!CV24,'Tax Calcs'!CV18)</f>
        <v>37595.221742737049</v>
      </c>
      <c r="CY75" s="407">
        <f ca="1">IF('General Inputs'!$D$8="oregon",'Tax Calcs'!CW24,'Tax Calcs'!CW18)</f>
        <v>37595.221742737049</v>
      </c>
      <c r="CZ75" s="407">
        <f ca="1">IF('General Inputs'!$D$8="oregon",'Tax Calcs'!CX24,'Tax Calcs'!CX18)</f>
        <v>37595.221742737049</v>
      </c>
      <c r="DA75" s="407">
        <f ca="1">IF('General Inputs'!$D$8="oregon",'Tax Calcs'!CY24,'Tax Calcs'!CY18)</f>
        <v>37595.221742737049</v>
      </c>
      <c r="DB75" s="407">
        <f ca="1">IF('General Inputs'!$D$8="oregon",'Tax Calcs'!CZ24,'Tax Calcs'!CZ18)</f>
        <v>38994.35560428755</v>
      </c>
      <c r="DC75" s="407">
        <f ca="1">IF('General Inputs'!$D$8="oregon",'Tax Calcs'!DA24,'Tax Calcs'!DA18)</f>
        <v>38994.35560428755</v>
      </c>
      <c r="DD75" s="407">
        <f ca="1">IF('General Inputs'!$D$8="oregon",'Tax Calcs'!DB24,'Tax Calcs'!DB18)</f>
        <v>38994.35560428755</v>
      </c>
      <c r="DE75" s="407">
        <f ca="1">IF('General Inputs'!$D$8="oregon",'Tax Calcs'!DC24,'Tax Calcs'!DC18)</f>
        <v>38994.35560428755</v>
      </c>
      <c r="DF75" s="407">
        <f ca="1">IF('General Inputs'!$D$8="oregon",'Tax Calcs'!DD24,'Tax Calcs'!DD18)</f>
        <v>38994.35560428755</v>
      </c>
      <c r="DG75" s="407">
        <f ca="1">IF('General Inputs'!$D$8="oregon",'Tax Calcs'!DE24,'Tax Calcs'!DE18)</f>
        <v>38994.35560428755</v>
      </c>
      <c r="DH75" s="407">
        <f ca="1">IF('General Inputs'!$D$8="oregon",'Tax Calcs'!DF24,'Tax Calcs'!DF18)</f>
        <v>38994.35560428755</v>
      </c>
      <c r="DI75" s="407">
        <f ca="1">IF('General Inputs'!$D$8="oregon",'Tax Calcs'!DG24,'Tax Calcs'!DG18)</f>
        <v>38994.35560428755</v>
      </c>
      <c r="DJ75" s="407">
        <f ca="1">IF('General Inputs'!$D$8="oregon",'Tax Calcs'!DH24,'Tax Calcs'!DH18)</f>
        <v>38994.35560428755</v>
      </c>
      <c r="DK75" s="407">
        <f ca="1">IF('General Inputs'!$D$8="oregon",'Tax Calcs'!DI24,'Tax Calcs'!DI18)</f>
        <v>38994.35560428755</v>
      </c>
      <c r="DL75" s="407">
        <f ca="1">IF('General Inputs'!$D$8="oregon",'Tax Calcs'!DJ24,'Tax Calcs'!DJ18)</f>
        <v>38994.35560428755</v>
      </c>
      <c r="DM75" s="407">
        <f ca="1">IF('General Inputs'!$D$8="oregon",'Tax Calcs'!DK24,'Tax Calcs'!DK18)</f>
        <v>38994.35560428755</v>
      </c>
      <c r="DN75" s="407">
        <f ca="1">IF('General Inputs'!$D$8="oregon",'Tax Calcs'!DL24,'Tax Calcs'!DL18)</f>
        <v>40455.297602725092</v>
      </c>
      <c r="DO75" s="407">
        <f ca="1">IF('General Inputs'!$D$8="oregon",'Tax Calcs'!DM24,'Tax Calcs'!DM18)</f>
        <v>40455.297602725092</v>
      </c>
      <c r="DP75" s="407">
        <f ca="1">IF('General Inputs'!$D$8="oregon",'Tax Calcs'!DN24,'Tax Calcs'!DN18)</f>
        <v>40455.297602725092</v>
      </c>
      <c r="DQ75" s="407">
        <f ca="1">IF('General Inputs'!$D$8="oregon",'Tax Calcs'!DO24,'Tax Calcs'!DO18)</f>
        <v>40455.297602725092</v>
      </c>
      <c r="DR75" s="407">
        <f ca="1">IF('General Inputs'!$D$8="oregon",'Tax Calcs'!DP24,'Tax Calcs'!DP18)</f>
        <v>40455.297602725092</v>
      </c>
      <c r="DS75" s="407">
        <f ca="1">IF('General Inputs'!$D$8="oregon",'Tax Calcs'!DQ24,'Tax Calcs'!DQ18)</f>
        <v>40455.297602725092</v>
      </c>
      <c r="DT75" s="407">
        <f ca="1">IF('General Inputs'!$D$8="oregon",'Tax Calcs'!DR24,'Tax Calcs'!DR18)</f>
        <v>40455.297602725092</v>
      </c>
      <c r="DU75" s="407">
        <f ca="1">IF('General Inputs'!$D$8="oregon",'Tax Calcs'!DS24,'Tax Calcs'!DS18)</f>
        <v>40455.297602725092</v>
      </c>
      <c r="DV75" s="407">
        <f ca="1">IF('General Inputs'!$D$8="oregon",'Tax Calcs'!DT24,'Tax Calcs'!DT18)</f>
        <v>40455.297602725092</v>
      </c>
      <c r="DW75" s="407">
        <f ca="1">IF('General Inputs'!$D$8="oregon",'Tax Calcs'!DU24,'Tax Calcs'!DU18)</f>
        <v>40455.297602725092</v>
      </c>
      <c r="DX75" s="407">
        <f ca="1">IF('General Inputs'!$D$8="oregon",'Tax Calcs'!DV24,'Tax Calcs'!DV18)</f>
        <v>40455.297602725092</v>
      </c>
      <c r="DY75" s="407">
        <f ca="1">IF('General Inputs'!$D$8="oregon",'Tax Calcs'!DW24,'Tax Calcs'!DW18)</f>
        <v>40455.297602725092</v>
      </c>
      <c r="DZ75" s="407">
        <f ca="1">IF('General Inputs'!$D$8="oregon",'Tax Calcs'!DX24,'Tax Calcs'!DX18)</f>
        <v>41981.6440490401</v>
      </c>
      <c r="EA75" s="407">
        <f ca="1">IF('General Inputs'!$D$8="oregon",'Tax Calcs'!DY24,'Tax Calcs'!DY18)</f>
        <v>41981.6440490401</v>
      </c>
      <c r="EB75" s="407">
        <f ca="1">IF('General Inputs'!$D$8="oregon",'Tax Calcs'!DZ24,'Tax Calcs'!DZ18)</f>
        <v>41981.6440490401</v>
      </c>
      <c r="EC75" s="407">
        <f ca="1">IF('General Inputs'!$D$8="oregon",'Tax Calcs'!EA24,'Tax Calcs'!EA18)</f>
        <v>41981.6440490401</v>
      </c>
      <c r="ED75" s="407">
        <f ca="1">IF('General Inputs'!$D$8="oregon",'Tax Calcs'!EB24,'Tax Calcs'!EB18)</f>
        <v>41981.6440490401</v>
      </c>
      <c r="EE75" s="407">
        <f ca="1">IF('General Inputs'!$D$8="oregon",'Tax Calcs'!EC24,'Tax Calcs'!EC18)</f>
        <v>41981.6440490401</v>
      </c>
      <c r="EF75" s="407">
        <f ca="1">IF('General Inputs'!$D$8="oregon",'Tax Calcs'!ED24,'Tax Calcs'!ED18)</f>
        <v>41981.6440490401</v>
      </c>
      <c r="EG75" s="407">
        <f ca="1">IF('General Inputs'!$D$8="oregon",'Tax Calcs'!EE24,'Tax Calcs'!EE18)</f>
        <v>41981.6440490401</v>
      </c>
      <c r="EH75" s="407">
        <f ca="1">IF('General Inputs'!$D$8="oregon",'Tax Calcs'!EF24,'Tax Calcs'!EF18)</f>
        <v>41981.6440490401</v>
      </c>
      <c r="EK75" s="672"/>
    </row>
    <row r="76" spans="1:141" x14ac:dyDescent="0.3">
      <c r="A76" s="198" t="s">
        <v>671</v>
      </c>
      <c r="E76" s="1525">
        <v>0.2</v>
      </c>
      <c r="F76" s="282">
        <v>1.1000000000000001</v>
      </c>
      <c r="G76" s="229">
        <f t="shared" ref="G76:AL76" si="107">MIN(G169*G168*$E76+G169*G168*G$19/Units*$F76,G169*G168)</f>
        <v>0</v>
      </c>
      <c r="H76" s="229">
        <f t="shared" si="107"/>
        <v>0</v>
      </c>
      <c r="I76" s="229">
        <f t="shared" si="107"/>
        <v>0</v>
      </c>
      <c r="J76" s="229">
        <f t="shared" si="107"/>
        <v>0</v>
      </c>
      <c r="K76" s="229">
        <f t="shared" si="107"/>
        <v>0</v>
      </c>
      <c r="L76" s="229">
        <f t="shared" si="107"/>
        <v>0</v>
      </c>
      <c r="M76" s="229">
        <f t="shared" si="107"/>
        <v>0</v>
      </c>
      <c r="N76" s="229">
        <f t="shared" si="107"/>
        <v>0</v>
      </c>
      <c r="O76" s="229">
        <f t="shared" si="107"/>
        <v>0</v>
      </c>
      <c r="P76" s="229">
        <f t="shared" si="107"/>
        <v>0</v>
      </c>
      <c r="Q76" s="229">
        <f t="shared" si="107"/>
        <v>0</v>
      </c>
      <c r="R76" s="229">
        <f t="shared" si="107"/>
        <v>0</v>
      </c>
      <c r="S76" s="229">
        <f t="shared" si="107"/>
        <v>0</v>
      </c>
      <c r="T76" s="229">
        <f t="shared" si="107"/>
        <v>2842.874006659375</v>
      </c>
      <c r="U76" s="229">
        <f t="shared" si="107"/>
        <v>3736.3486944666074</v>
      </c>
      <c r="V76" s="229">
        <f t="shared" si="107"/>
        <v>4768.7180837420601</v>
      </c>
      <c r="W76" s="229">
        <f t="shared" si="107"/>
        <v>5688.9970121835104</v>
      </c>
      <c r="X76" s="229">
        <f t="shared" si="107"/>
        <v>6609.2759406249597</v>
      </c>
      <c r="Y76" s="229">
        <f t="shared" si="107"/>
        <v>7529.5548690664091</v>
      </c>
      <c r="Z76" s="229">
        <f t="shared" si="107"/>
        <v>8449.8337975078612</v>
      </c>
      <c r="AA76" s="229">
        <f t="shared" si="107"/>
        <v>9370.1127259493114</v>
      </c>
      <c r="AB76" s="229">
        <f t="shared" si="107"/>
        <v>10039.406492088547</v>
      </c>
      <c r="AC76" s="229">
        <f t="shared" si="107"/>
        <v>10039.406492088547</v>
      </c>
      <c r="AD76" s="229">
        <f t="shared" si="107"/>
        <v>10039.406492088547</v>
      </c>
      <c r="AE76" s="229">
        <f t="shared" si="107"/>
        <v>10039.406492088547</v>
      </c>
      <c r="AF76" s="229">
        <f t="shared" si="107"/>
        <v>10039.406492088547</v>
      </c>
      <c r="AG76" s="229">
        <f t="shared" si="107"/>
        <v>10039.406492088547</v>
      </c>
      <c r="AH76" s="229">
        <f t="shared" si="107"/>
        <v>10340.588686851215</v>
      </c>
      <c r="AI76" s="229">
        <f t="shared" si="107"/>
        <v>10340.588686851215</v>
      </c>
      <c r="AJ76" s="229">
        <f t="shared" si="107"/>
        <v>10340.588686851215</v>
      </c>
      <c r="AK76" s="229">
        <f t="shared" si="107"/>
        <v>10340.588686851215</v>
      </c>
      <c r="AL76" s="229">
        <f t="shared" si="107"/>
        <v>10340.588686851215</v>
      </c>
      <c r="AM76" s="229">
        <f t="shared" ref="AM76:BR76" si="108">MIN(AM169*AM168*$E76+AM169*AM168*AM$19/Units*$F76,AM169*AM168)</f>
        <v>10340.588686851215</v>
      </c>
      <c r="AN76" s="229">
        <f t="shared" si="108"/>
        <v>10340.588686851215</v>
      </c>
      <c r="AO76" s="229">
        <f t="shared" si="108"/>
        <v>10340.588686851215</v>
      </c>
      <c r="AP76" s="229">
        <f t="shared" si="108"/>
        <v>10340.588686851215</v>
      </c>
      <c r="AQ76" s="229">
        <f t="shared" si="108"/>
        <v>10340.588686851215</v>
      </c>
      <c r="AR76" s="229">
        <f t="shared" si="108"/>
        <v>10340.588686851215</v>
      </c>
      <c r="AS76" s="229">
        <f t="shared" si="108"/>
        <v>10340.588686851215</v>
      </c>
      <c r="AT76" s="229">
        <f t="shared" si="108"/>
        <v>10650.806347456763</v>
      </c>
      <c r="AU76" s="229">
        <f t="shared" si="108"/>
        <v>10650.806347456763</v>
      </c>
      <c r="AV76" s="229">
        <f t="shared" si="108"/>
        <v>10650.806347456763</v>
      </c>
      <c r="AW76" s="229">
        <f t="shared" si="108"/>
        <v>10650.806347456763</v>
      </c>
      <c r="AX76" s="229">
        <f t="shared" si="108"/>
        <v>10650.806347456763</v>
      </c>
      <c r="AY76" s="229">
        <f t="shared" si="108"/>
        <v>10650.806347456763</v>
      </c>
      <c r="AZ76" s="229">
        <f t="shared" si="108"/>
        <v>10650.806347456763</v>
      </c>
      <c r="BA76" s="229">
        <f t="shared" si="108"/>
        <v>10650.806347456763</v>
      </c>
      <c r="BB76" s="229">
        <f t="shared" si="108"/>
        <v>10650.806347456763</v>
      </c>
      <c r="BC76" s="229">
        <f t="shared" si="108"/>
        <v>10650.806347456763</v>
      </c>
      <c r="BD76" s="229">
        <f t="shared" si="108"/>
        <v>10650.806347456763</v>
      </c>
      <c r="BE76" s="229">
        <f t="shared" si="108"/>
        <v>10650.806347456763</v>
      </c>
      <c r="BF76" s="229">
        <f t="shared" si="108"/>
        <v>10970.33053788048</v>
      </c>
      <c r="BG76" s="229">
        <f t="shared" si="108"/>
        <v>10970.33053788048</v>
      </c>
      <c r="BH76" s="229">
        <f t="shared" si="108"/>
        <v>10970.33053788048</v>
      </c>
      <c r="BI76" s="229">
        <f t="shared" si="108"/>
        <v>10970.33053788048</v>
      </c>
      <c r="BJ76" s="229">
        <f t="shared" si="108"/>
        <v>10970.33053788048</v>
      </c>
      <c r="BK76" s="229">
        <f t="shared" si="108"/>
        <v>10970.33053788048</v>
      </c>
      <c r="BL76" s="229">
        <f t="shared" si="108"/>
        <v>10970.33053788048</v>
      </c>
      <c r="BM76" s="229">
        <f t="shared" si="108"/>
        <v>10970.33053788048</v>
      </c>
      <c r="BN76" s="229">
        <f t="shared" si="108"/>
        <v>10970.33053788048</v>
      </c>
      <c r="BO76" s="229">
        <f t="shared" si="108"/>
        <v>10970.33053788048</v>
      </c>
      <c r="BP76" s="229">
        <f t="shared" si="108"/>
        <v>10970.33053788048</v>
      </c>
      <c r="BQ76" s="229">
        <f t="shared" si="108"/>
        <v>10970.33053788048</v>
      </c>
      <c r="BR76" s="229">
        <f t="shared" si="108"/>
        <v>11299.440454016905</v>
      </c>
      <c r="BS76" s="229">
        <f t="shared" ref="BS76:CX76" si="109">MIN(BS169*BS168*$E76+BS169*BS168*BS$19/Units*$F76,BS169*BS168)</f>
        <v>11299.440454016905</v>
      </c>
      <c r="BT76" s="229">
        <f t="shared" si="109"/>
        <v>11299.440454016905</v>
      </c>
      <c r="BU76" s="229">
        <f t="shared" si="109"/>
        <v>11299.440454016905</v>
      </c>
      <c r="BV76" s="229">
        <f t="shared" si="109"/>
        <v>11299.440454016905</v>
      </c>
      <c r="BW76" s="229">
        <f t="shared" si="109"/>
        <v>11299.440454016905</v>
      </c>
      <c r="BX76" s="229">
        <f t="shared" si="109"/>
        <v>11299.440454016905</v>
      </c>
      <c r="BY76" s="229">
        <f t="shared" si="109"/>
        <v>11299.440454016905</v>
      </c>
      <c r="BZ76" s="229">
        <f t="shared" si="109"/>
        <v>11299.440454016905</v>
      </c>
      <c r="CA76" s="229">
        <f t="shared" si="109"/>
        <v>11299.440454016905</v>
      </c>
      <c r="CB76" s="229">
        <f t="shared" si="109"/>
        <v>11299.440454016905</v>
      </c>
      <c r="CC76" s="229">
        <f t="shared" si="109"/>
        <v>11299.440454016905</v>
      </c>
      <c r="CD76" s="229">
        <f t="shared" si="109"/>
        <v>11638.423667637426</v>
      </c>
      <c r="CE76" s="229">
        <f t="shared" si="109"/>
        <v>11638.423667637426</v>
      </c>
      <c r="CF76" s="229">
        <f t="shared" si="109"/>
        <v>11638.423667637426</v>
      </c>
      <c r="CG76" s="229">
        <f t="shared" si="109"/>
        <v>11638.423667637426</v>
      </c>
      <c r="CH76" s="229">
        <f t="shared" si="109"/>
        <v>11638.423667637426</v>
      </c>
      <c r="CI76" s="229">
        <f t="shared" si="109"/>
        <v>11638.423667637426</v>
      </c>
      <c r="CJ76" s="229">
        <f t="shared" si="109"/>
        <v>11638.423667637426</v>
      </c>
      <c r="CK76" s="229">
        <f t="shared" si="109"/>
        <v>11638.423667637426</v>
      </c>
      <c r="CL76" s="229">
        <f t="shared" si="109"/>
        <v>11638.423667637426</v>
      </c>
      <c r="CM76" s="229">
        <f t="shared" si="109"/>
        <v>11638.423667637426</v>
      </c>
      <c r="CN76" s="229">
        <f t="shared" si="109"/>
        <v>11638.423667637426</v>
      </c>
      <c r="CO76" s="229">
        <f t="shared" si="109"/>
        <v>11638.423667637426</v>
      </c>
      <c r="CP76" s="229">
        <f t="shared" si="109"/>
        <v>11987.576377666563</v>
      </c>
      <c r="CQ76" s="229">
        <f t="shared" si="109"/>
        <v>11987.576377666563</v>
      </c>
      <c r="CR76" s="229">
        <f t="shared" si="109"/>
        <v>11987.576377666563</v>
      </c>
      <c r="CS76" s="229">
        <f t="shared" si="109"/>
        <v>11987.576377666563</v>
      </c>
      <c r="CT76" s="229">
        <f t="shared" si="109"/>
        <v>11987.576377666563</v>
      </c>
      <c r="CU76" s="229">
        <f t="shared" si="109"/>
        <v>11987.576377666563</v>
      </c>
      <c r="CV76" s="229">
        <f t="shared" si="109"/>
        <v>11987.576377666563</v>
      </c>
      <c r="CW76" s="229">
        <f t="shared" si="109"/>
        <v>11987.576377666563</v>
      </c>
      <c r="CX76" s="229">
        <f t="shared" si="109"/>
        <v>11987.576377666563</v>
      </c>
      <c r="CY76" s="229">
        <f t="shared" ref="CY76:EH76" si="110">MIN(CY169*CY168*$E76+CY169*CY168*CY$19/Units*$F76,CY169*CY168)</f>
        <v>11987.576377666563</v>
      </c>
      <c r="CZ76" s="229">
        <f t="shared" si="110"/>
        <v>11987.576377666563</v>
      </c>
      <c r="DA76" s="229">
        <f t="shared" si="110"/>
        <v>11987.576377666563</v>
      </c>
      <c r="DB76" s="229">
        <f t="shared" si="110"/>
        <v>12347.20366899657</v>
      </c>
      <c r="DC76" s="229">
        <f t="shared" si="110"/>
        <v>12347.20366899657</v>
      </c>
      <c r="DD76" s="229">
        <f t="shared" si="110"/>
        <v>12347.20366899657</v>
      </c>
      <c r="DE76" s="229">
        <f t="shared" si="110"/>
        <v>12347.20366899657</v>
      </c>
      <c r="DF76" s="229">
        <f t="shared" si="110"/>
        <v>12347.20366899657</v>
      </c>
      <c r="DG76" s="229">
        <f t="shared" si="110"/>
        <v>12347.20366899657</v>
      </c>
      <c r="DH76" s="229">
        <f t="shared" si="110"/>
        <v>12347.20366899657</v>
      </c>
      <c r="DI76" s="229">
        <f t="shared" si="110"/>
        <v>12347.20366899657</v>
      </c>
      <c r="DJ76" s="229">
        <f t="shared" si="110"/>
        <v>12347.20366899657</v>
      </c>
      <c r="DK76" s="229">
        <f t="shared" si="110"/>
        <v>12347.20366899657</v>
      </c>
      <c r="DL76" s="229">
        <f t="shared" si="110"/>
        <v>12347.20366899657</v>
      </c>
      <c r="DM76" s="229">
        <f t="shared" si="110"/>
        <v>12347.20366899657</v>
      </c>
      <c r="DN76" s="229">
        <f t="shared" si="110"/>
        <v>12717.619779066481</v>
      </c>
      <c r="DO76" s="229">
        <f t="shared" si="110"/>
        <v>12717.619779066481</v>
      </c>
      <c r="DP76" s="229">
        <f t="shared" si="110"/>
        <v>12717.619779066481</v>
      </c>
      <c r="DQ76" s="229">
        <f t="shared" si="110"/>
        <v>12717.619779066481</v>
      </c>
      <c r="DR76" s="229">
        <f t="shared" si="110"/>
        <v>12717.619779066481</v>
      </c>
      <c r="DS76" s="229">
        <f t="shared" si="110"/>
        <v>12717.619779066481</v>
      </c>
      <c r="DT76" s="229">
        <f t="shared" si="110"/>
        <v>12717.619779066481</v>
      </c>
      <c r="DU76" s="229">
        <f t="shared" si="110"/>
        <v>12717.619779066481</v>
      </c>
      <c r="DV76" s="229">
        <f t="shared" si="110"/>
        <v>12717.619779066481</v>
      </c>
      <c r="DW76" s="229">
        <f t="shared" si="110"/>
        <v>12717.619779066481</v>
      </c>
      <c r="DX76" s="229">
        <f t="shared" si="110"/>
        <v>12717.619779066481</v>
      </c>
      <c r="DY76" s="229">
        <f t="shared" si="110"/>
        <v>12717.619779066481</v>
      </c>
      <c r="DZ76" s="229">
        <f t="shared" si="110"/>
        <v>13099.148372438491</v>
      </c>
      <c r="EA76" s="229">
        <f t="shared" si="110"/>
        <v>13099.148372438491</v>
      </c>
      <c r="EB76" s="229">
        <f t="shared" si="110"/>
        <v>13099.148372438491</v>
      </c>
      <c r="EC76" s="229">
        <f t="shared" si="110"/>
        <v>13099.148372438491</v>
      </c>
      <c r="ED76" s="229">
        <f t="shared" si="110"/>
        <v>13099.148372438491</v>
      </c>
      <c r="EE76" s="229">
        <f t="shared" si="110"/>
        <v>13099.148372438491</v>
      </c>
      <c r="EF76" s="229">
        <f t="shared" si="110"/>
        <v>13099.148372438491</v>
      </c>
      <c r="EG76" s="229">
        <f t="shared" si="110"/>
        <v>13099.148372438491</v>
      </c>
      <c r="EH76" s="229">
        <f t="shared" si="110"/>
        <v>13099.148372438491</v>
      </c>
      <c r="EK76" s="280"/>
    </row>
    <row r="77" spans="1:141" x14ac:dyDescent="0.3">
      <c r="A77" s="198" t="s">
        <v>710</v>
      </c>
      <c r="E77" s="692"/>
      <c r="F77" s="692"/>
      <c r="G77" s="229">
        <f>IF(AND(G$5&gt;=MonthFirstUnits-'Development Inputs'!$N$28,G$5&lt;=DispositionMonth),MAX('Operating Inputs'!$H$182,OperBgt!G$66*ManagmentFeePct),IF(G$5&gt;DispositionMonth,OperBgt!G$66*'Operating Inputs'!$H$185,0))</f>
        <v>0</v>
      </c>
      <c r="H77" s="229">
        <f>IF(AND(H$5&gt;=MonthFirstUnits-'Development Inputs'!$N$28,H$5&lt;=DispositionMonth),MAX('Operating Inputs'!$H$182,OperBgt!H$66*ManagmentFeePct),IF(H$5&gt;DispositionMonth,OperBgt!H$66*'Operating Inputs'!$H$185,0))</f>
        <v>0</v>
      </c>
      <c r="I77" s="229">
        <f>IF(AND(I$5&gt;=MonthFirstUnits-'Development Inputs'!$N$28,I$5&lt;=DispositionMonth),MAX('Operating Inputs'!$H$182,OperBgt!I$66*ManagmentFeePct),IF(I$5&gt;DispositionMonth,OperBgt!I$66*'Operating Inputs'!$H$185,0))</f>
        <v>0</v>
      </c>
      <c r="J77" s="229">
        <f>IF(AND(J$5&gt;=MonthFirstUnits-'Development Inputs'!$N$28,J$5&lt;=DispositionMonth),MAX('Operating Inputs'!$H$182,OperBgt!J$66*ManagmentFeePct),IF(J$5&gt;DispositionMonth,OperBgt!J$66*'Operating Inputs'!$H$185,0))</f>
        <v>0</v>
      </c>
      <c r="K77" s="229">
        <f>IF(AND(K$5&gt;=MonthFirstUnits-'Development Inputs'!$N$28,K$5&lt;=DispositionMonth),MAX('Operating Inputs'!$H$182,OperBgt!K$66*ManagmentFeePct),IF(K$5&gt;DispositionMonth,OperBgt!K$66*'Operating Inputs'!$H$185,0))</f>
        <v>0</v>
      </c>
      <c r="L77" s="229">
        <f>IF(AND(L$5&gt;=MonthFirstUnits-'Development Inputs'!$N$28,L$5&lt;=DispositionMonth),MAX('Operating Inputs'!$H$182,OperBgt!L$66*ManagmentFeePct),IF(L$5&gt;DispositionMonth,OperBgt!L$66*'Operating Inputs'!$H$185,0))</f>
        <v>0</v>
      </c>
      <c r="M77" s="229">
        <f>IF(AND(M$5&gt;=MonthFirstUnits-'Development Inputs'!$N$28,M$5&lt;=DispositionMonth),MAX('Operating Inputs'!$H$182,OperBgt!M$66*ManagmentFeePct),IF(M$5&gt;DispositionMonth,OperBgt!M$66*'Operating Inputs'!$H$185,0))</f>
        <v>0</v>
      </c>
      <c r="N77" s="229">
        <f>IF(AND(N$5&gt;=MonthFirstUnits-'Development Inputs'!$N$28,N$5&lt;=DispositionMonth),MAX('Operating Inputs'!$H$182,OperBgt!N$66*ManagmentFeePct),IF(N$5&gt;DispositionMonth,OperBgt!N$66*'Operating Inputs'!$H$185,0))</f>
        <v>0</v>
      </c>
      <c r="O77" s="229">
        <f>IF(AND(O$5&gt;=MonthFirstUnits-'Development Inputs'!$N$28,O$5&lt;=DispositionMonth),MAX('Operating Inputs'!$H$182,OperBgt!O$66*ManagmentFeePct),IF(O$5&gt;DispositionMonth,OperBgt!O$66*'Operating Inputs'!$H$185,0))</f>
        <v>0</v>
      </c>
      <c r="P77" s="229">
        <f>IF(AND(P$5&gt;=MonthFirstUnits-'Development Inputs'!$N$28,P$5&lt;=DispositionMonth),MAX('Operating Inputs'!$H$182,OperBgt!P$66*ManagmentFeePct),IF(P$5&gt;DispositionMonth,OperBgt!P$66*'Operating Inputs'!$H$185,0))</f>
        <v>0</v>
      </c>
      <c r="Q77" s="229">
        <f>IF(AND(Q$5&gt;=MonthFirstUnits-'Development Inputs'!$N$28,Q$5&lt;=DispositionMonth),MAX('Operating Inputs'!$H$182,OperBgt!Q$66*ManagmentFeePct),IF(Q$5&gt;DispositionMonth,OperBgt!Q$66*'Operating Inputs'!$H$185,0))</f>
        <v>0</v>
      </c>
      <c r="R77" s="229">
        <f>IF(AND(R$5&gt;=MonthFirstUnits-'Development Inputs'!$N$28,R$5&lt;=DispositionMonth),MAX('Operating Inputs'!$H$182,OperBgt!R$66*ManagmentFeePct),IF(R$5&gt;DispositionMonth,OperBgt!R$66*'Operating Inputs'!$H$185,0))</f>
        <v>0</v>
      </c>
      <c r="S77" s="229">
        <f>IF(AND(S$5&gt;=MonthFirstUnits-'Development Inputs'!$N$28,S$5&lt;=DispositionMonth),MAX('Operating Inputs'!$H$182,OperBgt!S$66*ManagmentFeePct),IF(S$5&gt;DispositionMonth,OperBgt!S$66*'Operating Inputs'!$H$185,0))</f>
        <v>0</v>
      </c>
      <c r="T77" s="229">
        <f>IF(AND(T$5&gt;=MonthFirstUnits-'Development Inputs'!$N$28,T$5&lt;=DispositionMonth),MAX('Operating Inputs'!$H$182,OperBgt!T$66*ManagmentFeePct),IF(T$5&gt;DispositionMonth,OperBgt!T$66*'Operating Inputs'!$H$185,0))</f>
        <v>10000</v>
      </c>
      <c r="U77" s="229">
        <f>IF(AND(U$5&gt;=MonthFirstUnits-'Development Inputs'!$N$28,U$5&lt;=DispositionMonth),MAX('Operating Inputs'!$H$182,OperBgt!U$66*ManagmentFeePct),IF(U$5&gt;DispositionMonth,OperBgt!U$66*'Operating Inputs'!$H$185,0))</f>
        <v>10000</v>
      </c>
      <c r="V77" s="229">
        <f>IF(AND(V$5&gt;=MonthFirstUnits-'Development Inputs'!$N$28,V$5&lt;=DispositionMonth),MAX('Operating Inputs'!$H$182,OperBgt!V$66*ManagmentFeePct),IF(V$5&gt;DispositionMonth,OperBgt!V$66*'Operating Inputs'!$H$185,0))</f>
        <v>10000</v>
      </c>
      <c r="W77" s="229">
        <f>IF(AND(W$5&gt;=MonthFirstUnits-'Development Inputs'!$N$28,W$5&lt;=DispositionMonth),MAX('Operating Inputs'!$H$182,OperBgt!W$66*ManagmentFeePct),IF(W$5&gt;DispositionMonth,OperBgt!W$66*'Operating Inputs'!$H$185,0))</f>
        <v>10000</v>
      </c>
      <c r="X77" s="229">
        <f>IF(AND(X$5&gt;=MonthFirstUnits-'Development Inputs'!$N$28,X$5&lt;=DispositionMonth),MAX('Operating Inputs'!$H$182,OperBgt!X$66*ManagmentFeePct),IF(X$5&gt;DispositionMonth,OperBgt!X$66*'Operating Inputs'!$H$185,0))</f>
        <v>10000</v>
      </c>
      <c r="Y77" s="229">
        <f>IF(AND(Y$5&gt;=MonthFirstUnits-'Development Inputs'!$N$28,Y$5&lt;=DispositionMonth),MAX('Operating Inputs'!$H$182,OperBgt!Y$66*ManagmentFeePct),IF(Y$5&gt;DispositionMonth,OperBgt!Y$66*'Operating Inputs'!$H$185,0))</f>
        <v>10000</v>
      </c>
      <c r="Z77" s="229">
        <f>IF(AND(Z$5&gt;=MonthFirstUnits-'Development Inputs'!$N$28,Z$5&lt;=DispositionMonth),MAX('Operating Inputs'!$H$182,OperBgt!Z$66*ManagmentFeePct),IF(Z$5&gt;DispositionMonth,OperBgt!Z$66*'Operating Inputs'!$H$185,0))</f>
        <v>10000</v>
      </c>
      <c r="AA77" s="229">
        <f>IF(AND(AA$5&gt;=MonthFirstUnits-'Development Inputs'!$N$28,AA$5&lt;=DispositionMonth),MAX('Operating Inputs'!$H$182,OperBgt!AA$66*ManagmentFeePct),IF(AA$5&gt;DispositionMonth,OperBgt!AA$66*'Operating Inputs'!$H$185,0))</f>
        <v>10000</v>
      </c>
      <c r="AB77" s="229">
        <f>IF(AND(AB$5&gt;=MonthFirstUnits-'Development Inputs'!$N$28,AB$5&lt;=DispositionMonth),MAX('Operating Inputs'!$H$182,OperBgt!AB$66*ManagmentFeePct),IF(AB$5&gt;DispositionMonth,OperBgt!AB$66*'Operating Inputs'!$H$185,0))</f>
        <v>10000</v>
      </c>
      <c r="AC77" s="229">
        <f>IF(AND(AC$5&gt;=MonthFirstUnits-'Development Inputs'!$N$28,AC$5&lt;=DispositionMonth),MAX('Operating Inputs'!$H$182,OperBgt!AC$66*ManagmentFeePct),IF(AC$5&gt;DispositionMonth,OperBgt!AC$66*'Operating Inputs'!$H$185,0))</f>
        <v>10958.42966132254</v>
      </c>
      <c r="AD77" s="229">
        <f>IF(AND(AD$5&gt;=MonthFirstUnits-'Development Inputs'!$N$28,AD$5&lt;=DispositionMonth),MAX('Operating Inputs'!$H$182,OperBgt!AD$66*ManagmentFeePct),IF(AD$5&gt;DispositionMonth,OperBgt!AD$66*'Operating Inputs'!$H$185,0))</f>
        <v>12663.808389881347</v>
      </c>
      <c r="AE77" s="229">
        <f>IF(AND(AE$5&gt;=MonthFirstUnits-'Development Inputs'!$N$28,AE$5&lt;=DispositionMonth),MAX('Operating Inputs'!$H$182,OperBgt!AE$66*ManagmentFeePct),IF(AE$5&gt;DispositionMonth,OperBgt!AE$66*'Operating Inputs'!$H$185,0))</f>
        <v>14093.183309340446</v>
      </c>
      <c r="AF77" s="229">
        <f>IF(AND(AF$5&gt;=MonthFirstUnits-'Development Inputs'!$N$28,AF$5&lt;=DispositionMonth),MAX('Operating Inputs'!$H$182,OperBgt!AF$66*ManagmentFeePct),IF(AF$5&gt;DispositionMonth,OperBgt!AF$66*'Operating Inputs'!$H$185,0))</f>
        <v>15785.007178029018</v>
      </c>
      <c r="AG77" s="229">
        <f>IF(AND(AG$5&gt;=MonthFirstUnits-'Development Inputs'!$N$28,AG$5&lt;=DispositionMonth),MAX('Operating Inputs'!$H$182,OperBgt!AG$66*ManagmentFeePct),IF(AG$5&gt;DispositionMonth,OperBgt!AG$66*'Operating Inputs'!$H$185,0))</f>
        <v>18570.686807052294</v>
      </c>
      <c r="AH77" s="229">
        <f>IF(AND(AH$5&gt;=MonthFirstUnits-'Development Inputs'!$N$28,AH$5&lt;=DispositionMonth),MAX('Operating Inputs'!$H$182,OperBgt!AH$66*ManagmentFeePct),IF(AH$5&gt;DispositionMonth,OperBgt!AH$66*'Operating Inputs'!$H$185,0))</f>
        <v>19058.197219471189</v>
      </c>
      <c r="AI77" s="229">
        <f>IF(AND(AI$5&gt;=MonthFirstUnits-'Development Inputs'!$N$28,AI$5&lt;=DispositionMonth),MAX('Operating Inputs'!$H$182,OperBgt!AI$66*ManagmentFeePct),IF(AI$5&gt;DispositionMonth,OperBgt!AI$66*'Operating Inputs'!$H$185,0))</f>
        <v>19118.644212575909</v>
      </c>
      <c r="AJ77" s="229">
        <f>IF(AND(AJ$5&gt;=MonthFirstUnits-'Development Inputs'!$N$28,AJ$5&lt;=DispositionMonth),MAX('Operating Inputs'!$H$182,OperBgt!AJ$66*ManagmentFeePct),IF(AJ$5&gt;DispositionMonth,OperBgt!AJ$66*'Operating Inputs'!$H$185,0))</f>
        <v>19178.960827718456</v>
      </c>
      <c r="AK77" s="229">
        <f>IF(AND(AK$5&gt;=MonthFirstUnits-'Development Inputs'!$N$28,AK$5&lt;=DispositionMonth),MAX('Operating Inputs'!$H$182,OperBgt!AK$66*ManagmentFeePct),IF(AK$5&gt;DispositionMonth,OperBgt!AK$66*'Operating Inputs'!$H$185,0))</f>
        <v>19265.745842173514</v>
      </c>
      <c r="AL77" s="229">
        <f>IF(AND(AL$5&gt;=MonthFirstUnits-'Development Inputs'!$N$28,AL$5&lt;=DispositionMonth),MAX('Operating Inputs'!$H$182,OperBgt!AL$66*ManagmentFeePct),IF(AL$5&gt;DispositionMonth,OperBgt!AL$66*'Operating Inputs'!$H$185,0))</f>
        <v>19352.208454763379</v>
      </c>
      <c r="AM77" s="229">
        <f>IF(AND(AM$5&gt;=MonthFirstUnits-'Development Inputs'!$N$28,AM$5&lt;=DispositionMonth),MAX('Operating Inputs'!$H$182,OperBgt!AM$66*ManagmentFeePct),IF(AM$5&gt;DispositionMonth,OperBgt!AM$66*'Operating Inputs'!$H$185,0))</f>
        <v>19438.342871710971</v>
      </c>
      <c r="AN77" s="229">
        <f>IF(AND(AN$5&gt;=MonthFirstUnits-'Development Inputs'!$N$28,AN$5&lt;=DispositionMonth),MAX('Operating Inputs'!$H$182,OperBgt!AN$66*ManagmentFeePct),IF(AN$5&gt;DispositionMonth,OperBgt!AN$66*'Operating Inputs'!$H$185,0))</f>
        <v>19524.143246996766</v>
      </c>
      <c r="AO77" s="229">
        <f>IF(AND(AO$5&gt;=MonthFirstUnits-'Development Inputs'!$N$28,AO$5&lt;=DispositionMonth),MAX('Operating Inputs'!$H$182,OperBgt!AO$66*ManagmentFeePct),IF(AO$5&gt;DispositionMonth,OperBgt!AO$66*'Operating Inputs'!$H$185,0))</f>
        <v>19609.603681967765</v>
      </c>
      <c r="AP77" s="229">
        <f>IF(AND(AP$5&gt;=MonthFirstUnits-'Development Inputs'!$N$28,AP$5&lt;=DispositionMonth),MAX('Operating Inputs'!$H$182,OperBgt!AP$66*ManagmentFeePct),IF(AP$5&gt;DispositionMonth,OperBgt!AP$66*'Operating Inputs'!$H$185,0))</f>
        <v>19694.718224943706</v>
      </c>
      <c r="AQ77" s="229">
        <f>IF(AND(AQ$5&gt;=MonthFirstUnits-'Development Inputs'!$N$28,AQ$5&lt;=DispositionMonth),MAX('Operating Inputs'!$H$182,OperBgt!AQ$66*ManagmentFeePct),IF(AQ$5&gt;DispositionMonth,OperBgt!AQ$66*'Operating Inputs'!$H$185,0))</f>
        <v>19753.589210324848</v>
      </c>
      <c r="AR77" s="229">
        <f>IF(AND(AR$5&gt;=MonthFirstUnits-'Development Inputs'!$N$28,AR$5&lt;=DispositionMonth),MAX('Operating Inputs'!$H$182,OperBgt!AR$66*ManagmentFeePct),IF(AR$5&gt;DispositionMonth,OperBgt!AR$66*'Operating Inputs'!$H$185,0))</f>
        <v>19863.927275795879</v>
      </c>
      <c r="AS77" s="229">
        <f>IF(AND(AS$5&gt;=MonthFirstUnits-'Development Inputs'!$N$28,AS$5&lt;=DispositionMonth),MAX('Operating Inputs'!$H$182,OperBgt!AS$66*ManagmentFeePct),IF(AS$5&gt;DispositionMonth,OperBgt!AS$66*'Operating Inputs'!$H$185,0))</f>
        <v>19960.297543652905</v>
      </c>
      <c r="AT77" s="229">
        <f>IF(AND(AT$5&gt;=MonthFirstUnits-'Development Inputs'!$N$28,AT$5&lt;=DispositionMonth),MAX('Operating Inputs'!$H$182,OperBgt!AT$66*ManagmentFeePct),IF(AT$5&gt;DispositionMonth,OperBgt!AT$66*'Operating Inputs'!$H$185,0))</f>
        <v>20018.715034213346</v>
      </c>
      <c r="AU77" s="229">
        <f>IF(AND(AU$5&gt;=MonthFirstUnits-'Development Inputs'!$N$28,AU$5&lt;=DispositionMonth),MAX('Operating Inputs'!$H$182,OperBgt!AU$66*ManagmentFeePct),IF(AU$5&gt;DispositionMonth,OperBgt!AU$66*'Operating Inputs'!$H$185,0))</f>
        <v>20076.078305412426</v>
      </c>
      <c r="AV77" s="229">
        <f>IF(AND(AV$5&gt;=MonthFirstUnits-'Development Inputs'!$N$28,AV$5&lt;=DispositionMonth),MAX('Operating Inputs'!$H$182,OperBgt!AV$66*ManagmentFeePct),IF(AV$5&gt;DispositionMonth,OperBgt!AV$66*'Operating Inputs'!$H$185,0))</f>
        <v>20132.381099592836</v>
      </c>
      <c r="AW77" s="229">
        <f>IF(AND(AW$5&gt;=MonthFirstUnits-'Development Inputs'!$N$28,AW$5&lt;=DispositionMonth),MAX('Operating Inputs'!$H$182,OperBgt!AW$66*ManagmentFeePct),IF(AW$5&gt;DispositionMonth,OperBgt!AW$66*'Operating Inputs'!$H$185,0))</f>
        <v>20211.638551598018</v>
      </c>
      <c r="AX77" s="229">
        <f>IF(AND(AX$5&gt;=MonthFirstUnits-'Development Inputs'!$N$28,AX$5&lt;=DispositionMonth),MAX('Operating Inputs'!$H$182,OperBgt!AX$66*ManagmentFeePct),IF(AX$5&gt;DispositionMonth,OperBgt!AX$66*'Operating Inputs'!$H$185,0))</f>
        <v>20288.459413445489</v>
      </c>
      <c r="AY77" s="229">
        <f>IF(AND(AY$5&gt;=MonthFirstUnits-'Development Inputs'!$N$28,AY$5&lt;=DispositionMonth),MAX('Operating Inputs'!$H$182,OperBgt!AY$66*ManagmentFeePct),IF(AY$5&gt;DispositionMonth,OperBgt!AY$66*'Operating Inputs'!$H$185,0))</f>
        <v>20362.822187987582</v>
      </c>
      <c r="AZ77" s="229">
        <f>IF(AND(AZ$5&gt;=MonthFirstUnits-'Development Inputs'!$N$28,AZ$5&lt;=DispositionMonth),MAX('Operating Inputs'!$H$182,OperBgt!AZ$66*ManagmentFeePct),IF(AZ$5&gt;DispositionMonth,OperBgt!AZ$66*'Operating Inputs'!$H$185,0))</f>
        <v>20434.705239766532</v>
      </c>
      <c r="BA77" s="229">
        <f>IF(AND(BA$5&gt;=MonthFirstUnits-'Development Inputs'!$N$28,BA$5&lt;=DispositionMonth),MAX('Operating Inputs'!$H$182,OperBgt!BA$66*ManagmentFeePct),IF(BA$5&gt;DispositionMonth,OperBgt!BA$66*'Operating Inputs'!$H$185,0))</f>
        <v>20504.086794219977</v>
      </c>
      <c r="BB77" s="229">
        <f>IF(AND(BB$5&gt;=MonthFirstUnits-'Development Inputs'!$N$28,BB$5&lt;=DispositionMonth),MAX('Operating Inputs'!$H$182,OperBgt!BB$66*ManagmentFeePct),IF(BB$5&gt;DispositionMonth,OperBgt!BB$66*'Operating Inputs'!$H$185,0))</f>
        <v>20570.94493688209</v>
      </c>
      <c r="BC77" s="229">
        <f>IF(AND(BC$5&gt;=MonthFirstUnits-'Development Inputs'!$N$28,BC$5&lt;=DispositionMonth),MAX('Operating Inputs'!$H$182,OperBgt!BC$66*ManagmentFeePct),IF(BC$5&gt;DispositionMonth,OperBgt!BC$66*'Operating Inputs'!$H$185,0))</f>
        <v>20616.253485454748</v>
      </c>
      <c r="BD77" s="229">
        <f>IF(AND(BD$5&gt;=MonthFirstUnits-'Development Inputs'!$N$28,BD$5&lt;=DispositionMonth),MAX('Operating Inputs'!$H$182,OperBgt!BD$66*ManagmentFeePct),IF(BD$5&gt;DispositionMonth,OperBgt!BD$66*'Operating Inputs'!$H$185,0))</f>
        <v>20697.28992108889</v>
      </c>
      <c r="BE77" s="229">
        <f>IF(AND(BE$5&gt;=MonthFirstUnits-'Development Inputs'!$N$28,BE$5&lt;=DispositionMonth),MAX('Operating Inputs'!$H$182,OperBgt!BE$66*ManagmentFeePct),IF(BE$5&gt;DispositionMonth,OperBgt!BE$66*'Operating Inputs'!$H$185,0))</f>
        <v>20766.561490753233</v>
      </c>
      <c r="BF77" s="229">
        <f>IF(AND(BF$5&gt;=MonthFirstUnits-'Development Inputs'!$N$28,BF$5&lt;=DispositionMonth),MAX('Operating Inputs'!$H$182,OperBgt!BF$66*ManagmentFeePct),IF(BF$5&gt;DispositionMonth,OperBgt!BF$66*'Operating Inputs'!$H$185,0))</f>
        <v>20808.4567039381</v>
      </c>
      <c r="BG77" s="229">
        <f>IF(AND(BG$5&gt;=MonthFirstUnits-'Development Inputs'!$N$28,BG$5&lt;=DispositionMonth),MAX('Operating Inputs'!$H$182,OperBgt!BG$66*ManagmentFeePct),IF(BG$5&gt;DispositionMonth,OperBgt!BG$66*'Operating Inputs'!$H$185,0))</f>
        <v>20851.087620736849</v>
      </c>
      <c r="BH77" s="229">
        <f>IF(AND(BH$5&gt;=MonthFirstUnits-'Development Inputs'!$N$28,BH$5&lt;=DispositionMonth),MAX('Operating Inputs'!$H$182,OperBgt!BH$66*ManagmentFeePct),IF(BH$5&gt;DispositionMonth,OperBgt!BH$66*'Operating Inputs'!$H$185,0))</f>
        <v>20894.457619822522</v>
      </c>
      <c r="BI77" s="229">
        <f>IF(AND(BI$5&gt;=MonthFirstUnits-'Development Inputs'!$N$28,BI$5&lt;=DispositionMonth),MAX('Operating Inputs'!$H$182,OperBgt!BI$66*ManagmentFeePct),IF(BI$5&gt;DispositionMonth,OperBgt!BI$66*'Operating Inputs'!$H$185,0))</f>
        <v>20956.921833504857</v>
      </c>
      <c r="BJ77" s="229">
        <f>IF(AND(BJ$5&gt;=MonthFirstUnits-'Development Inputs'!$N$28,BJ$5&lt;=DispositionMonth),MAX('Operating Inputs'!$H$182,OperBgt!BJ$66*ManagmentFeePct),IF(BJ$5&gt;DispositionMonth,OperBgt!BJ$66*'Operating Inputs'!$H$185,0))</f>
        <v>21021.041428484084</v>
      </c>
      <c r="BK77" s="229">
        <f>IF(AND(BK$5&gt;=MonthFirstUnits-'Development Inputs'!$N$28,BK$5&lt;=DispositionMonth),MAX('Operating Inputs'!$H$182,OperBgt!BK$66*ManagmentFeePct),IF(BK$5&gt;DispositionMonth,OperBgt!BK$66*'Operating Inputs'!$H$185,0))</f>
        <v>21086.827825270946</v>
      </c>
      <c r="BL77" s="229">
        <f>IF(AND(BL$5&gt;=MonthFirstUnits-'Development Inputs'!$N$28,BL$5&lt;=DispositionMonth),MAX('Operating Inputs'!$H$182,OperBgt!BL$66*ManagmentFeePct),IF(BL$5&gt;DispositionMonth,OperBgt!BL$66*'Operating Inputs'!$H$185,0))</f>
        <v>21154.292506592898</v>
      </c>
      <c r="BM77" s="229">
        <f>IF(AND(BM$5&gt;=MonthFirstUnits-'Development Inputs'!$N$28,BM$5&lt;=DispositionMonth),MAX('Operating Inputs'!$H$182,OperBgt!BM$66*ManagmentFeePct),IF(BM$5&gt;DispositionMonth,OperBgt!BM$66*'Operating Inputs'!$H$185,0))</f>
        <v>21223.447017700571</v>
      </c>
      <c r="BN77" s="229">
        <f>IF(AND(BN$5&gt;=MonthFirstUnits-'Development Inputs'!$N$28,BN$5&lt;=DispositionMonth),MAX('Operating Inputs'!$H$182,OperBgt!BN$66*ManagmentFeePct),IF(BN$5&gt;DispositionMonth,OperBgt!BN$66*'Operating Inputs'!$H$185,0))</f>
        <v>21294.30296667563</v>
      </c>
      <c r="BO77" s="229">
        <f>IF(AND(BO$5&gt;=MonthFirstUnits-'Development Inputs'!$N$28,BO$5&lt;=DispositionMonth),MAX('Operating Inputs'!$H$182,OperBgt!BO$66*ManagmentFeePct),IF(BO$5&gt;DispositionMonth,OperBgt!BO$66*'Operating Inputs'!$H$185,0))</f>
        <v>21345.188773102251</v>
      </c>
      <c r="BP77" s="229">
        <f>IF(AND(BP$5&gt;=MonthFirstUnits-'Development Inputs'!$N$28,BP$5&lt;=DispositionMonth),MAX('Operating Inputs'!$H$182,OperBgt!BP$66*ManagmentFeePct),IF(BP$5&gt;DispositionMonth,OperBgt!BP$66*'Operating Inputs'!$H$185,0))</f>
        <v>21440.976337774537</v>
      </c>
      <c r="BQ77" s="229">
        <f>IF(AND(BQ$5&gt;=MonthFirstUnits-'Development Inputs'!$N$28,BQ$5&lt;=DispositionMonth),MAX('Operating Inputs'!$H$182,OperBgt!BQ$66*ManagmentFeePct),IF(BQ$5&gt;DispositionMonth,OperBgt!BQ$66*'Operating Inputs'!$H$185,0))</f>
        <v>21526.398724776642</v>
      </c>
      <c r="BR77" s="229">
        <f>IF(AND(BR$5&gt;=MonthFirstUnits-'Development Inputs'!$N$28,BR$5&lt;=DispositionMonth),MAX('Operating Inputs'!$H$182,OperBgt!BR$66*ManagmentFeePct),IF(BR$5&gt;DispositionMonth,OperBgt!BR$66*'Operating Inputs'!$H$185,0))</f>
        <v>21579.625827403968</v>
      </c>
      <c r="BS77" s="229">
        <f>IF(AND(BS$5&gt;=MonthFirstUnits-'Development Inputs'!$N$28,BS$5&lt;=DispositionMonth),MAX('Operating Inputs'!$H$182,OperBgt!BS$66*ManagmentFeePct),IF(BS$5&gt;DispositionMonth,OperBgt!BS$66*'Operating Inputs'!$H$185,0))</f>
        <v>21632.997840066368</v>
      </c>
      <c r="BT77" s="229">
        <f>IF(AND(BT$5&gt;=MonthFirstUnits-'Development Inputs'!$N$28,BT$5&lt;=DispositionMonth),MAX('Operating Inputs'!$H$182,OperBgt!BT$66*ManagmentFeePct),IF(BT$5&gt;DispositionMonth,OperBgt!BT$66*'Operating Inputs'!$H$185,0))</f>
        <v>21686.515157859154</v>
      </c>
      <c r="BU77" s="229">
        <f>IF(AND(BU$5&gt;=MonthFirstUnits-'Development Inputs'!$N$28,BU$5&lt;=DispositionMonth),MAX('Operating Inputs'!$H$182,OperBgt!BU$66*ManagmentFeePct),IF(BU$5&gt;DispositionMonth,OperBgt!BU$66*'Operating Inputs'!$H$185,0))</f>
        <v>21763.194056888708</v>
      </c>
      <c r="BV77" s="229">
        <f>IF(AND(BV$5&gt;=MonthFirstUnits-'Development Inputs'!$N$28,BV$5&lt;=DispositionMonth),MAX('Operating Inputs'!$H$182,OperBgt!BV$66*ManagmentFeePct),IF(BV$5&gt;DispositionMonth,OperBgt!BV$66*'Operating Inputs'!$H$185,0))</f>
        <v>21840.178151748281</v>
      </c>
      <c r="BW77" s="229">
        <f>IF(AND(BW$5&gt;=MonthFirstUnits-'Development Inputs'!$N$28,BW$5&lt;=DispositionMonth),MAX('Operating Inputs'!$H$182,OperBgt!BW$66*ManagmentFeePct),IF(BW$5&gt;DispositionMonth,OperBgt!BW$66*'Operating Inputs'!$H$185,0))</f>
        <v>21917.468676595592</v>
      </c>
      <c r="BX77" s="229">
        <f>IF(AND(BX$5&gt;=MonthFirstUnits-'Development Inputs'!$N$28,BX$5&lt;=DispositionMonth),MAX('Operating Inputs'!$H$182,OperBgt!BX$66*ManagmentFeePct),IF(BX$5&gt;DispositionMonth,OperBgt!BX$66*'Operating Inputs'!$H$185,0))</f>
        <v>21995.066870628965</v>
      </c>
      <c r="BY77" s="229">
        <f>IF(AND(BY$5&gt;=MonthFirstUnits-'Development Inputs'!$N$28,BY$5&lt;=DispositionMonth),MAX('Operating Inputs'!$H$182,OperBgt!BY$66*ManagmentFeePct),IF(BY$5&gt;DispositionMonth,OperBgt!BY$66*'Operating Inputs'!$H$185,0))</f>
        <v>22072.973978108075</v>
      </c>
      <c r="BZ77" s="229">
        <f>IF(AND(BZ$5&gt;=MonthFirstUnits-'Development Inputs'!$N$28,BZ$5&lt;=DispositionMonth),MAX('Operating Inputs'!$H$182,OperBgt!BZ$66*ManagmentFeePct),IF(BZ$5&gt;DispositionMonth,OperBgt!BZ$66*'Operating Inputs'!$H$185,0))</f>
        <v>22151.191248374747</v>
      </c>
      <c r="CA77" s="229">
        <f>IF(AND(CA$5&gt;=MonthFirstUnits-'Development Inputs'!$N$28,CA$5&lt;=DispositionMonth),MAX('Operating Inputs'!$H$182,OperBgt!CA$66*ManagmentFeePct),IF(CA$5&gt;DispositionMonth,OperBgt!CA$66*'Operating Inputs'!$H$185,0))</f>
        <v>22206.125334122633</v>
      </c>
      <c r="CB77" s="229">
        <f>IF(AND(CB$5&gt;=MonthFirstUnits-'Development Inputs'!$N$28,CB$5&lt;=DispositionMonth),MAX('Operating Inputs'!$H$182,OperBgt!CB$66*ManagmentFeePct),IF(CB$5&gt;DispositionMonth,OperBgt!CB$66*'Operating Inputs'!$H$185,0))</f>
        <v>22308.528680637253</v>
      </c>
      <c r="CC77" s="229">
        <f>IF(AND(CC$5&gt;=MonthFirstUnits-'Development Inputs'!$N$28,CC$5&lt;=DispositionMonth),MAX('Operating Inputs'!$H$182,OperBgt!CC$66*ManagmentFeePct),IF(CC$5&gt;DispositionMonth,OperBgt!CC$66*'Operating Inputs'!$H$185,0))</f>
        <v>22398.625284417354</v>
      </c>
      <c r="CD77" s="229">
        <f>IF(AND(CD$5&gt;=MonthFirstUnits-'Development Inputs'!$N$28,CD$5&lt;=DispositionMonth),MAX('Operating Inputs'!$H$182,OperBgt!CD$66*ManagmentFeePct),IF(CD$5&gt;DispositionMonth,OperBgt!CD$66*'Operating Inputs'!$H$185,0))</f>
        <v>22454.009332269579</v>
      </c>
      <c r="CE77" s="229">
        <f>IF(AND(CE$5&gt;=MonthFirstUnits-'Development Inputs'!$N$28,CE$5&lt;=DispositionMonth),MAX('Operating Inputs'!$H$182,OperBgt!CE$66*ManagmentFeePct),IF(CE$5&gt;DispositionMonth,OperBgt!CE$66*'Operating Inputs'!$H$185,0))</f>
        <v>22509.544186223327</v>
      </c>
      <c r="CF77" s="229">
        <f>IF(AND(CF$5&gt;=MonthFirstUnits-'Development Inputs'!$N$28,CF$5&lt;=DispositionMonth),MAX('Operating Inputs'!$H$182,OperBgt!CF$66*ManagmentFeePct),IF(CF$5&gt;DispositionMonth,OperBgt!CF$66*'Operating Inputs'!$H$185,0))</f>
        <v>22565.230257509091</v>
      </c>
      <c r="CG77" s="229">
        <f>IF(AND(CG$5&gt;=MonthFirstUnits-'Development Inputs'!$N$28,CG$5&lt;=DispositionMonth),MAX('Operating Inputs'!$H$182,OperBgt!CG$66*ManagmentFeePct),IF(CG$5&gt;DispositionMonth,OperBgt!CG$66*'Operating Inputs'!$H$185,0))</f>
        <v>22645.056710461169</v>
      </c>
      <c r="CH77" s="229">
        <f>IF(AND(CH$5&gt;=MonthFirstUnits-'Development Inputs'!$N$28,CH$5&lt;=DispositionMonth),MAX('Operating Inputs'!$H$182,OperBgt!CH$66*ManagmentFeePct),IF(CH$5&gt;DispositionMonth,OperBgt!CH$66*'Operating Inputs'!$H$185,0))</f>
        <v>22725.20102882605</v>
      </c>
      <c r="CI77" s="229">
        <f>IF(AND(CI$5&gt;=MonthFirstUnits-'Development Inputs'!$N$28,CI$5&lt;=DispositionMonth),MAX('Operating Inputs'!$H$182,OperBgt!CI$66*ManagmentFeePct),IF(CI$5&gt;DispositionMonth,OperBgt!CI$66*'Operating Inputs'!$H$185,0))</f>
        <v>22805.664498359278</v>
      </c>
      <c r="CJ77" s="229">
        <f>IF(AND(CJ$5&gt;=MonthFirstUnits-'Development Inputs'!$N$28,CJ$5&lt;=DispositionMonth),MAX('Operating Inputs'!$H$182,OperBgt!CJ$66*ManagmentFeePct),IF(CJ$5&gt;DispositionMonth,OperBgt!CJ$66*'Operating Inputs'!$H$185,0))</f>
        <v>22886.44841006869</v>
      </c>
      <c r="CK77" s="229">
        <f>IF(AND(CK$5&gt;=MonthFirstUnits-'Development Inputs'!$N$28,CK$5&lt;=DispositionMonth),MAX('Operating Inputs'!$H$182,OperBgt!CK$66*ManagmentFeePct),IF(CK$5&gt;DispositionMonth,OperBgt!CK$66*'Operating Inputs'!$H$185,0))</f>
        <v>22967.55406023598</v>
      </c>
      <c r="CL77" s="229">
        <f>IF(AND(CL$5&gt;=MonthFirstUnits-'Development Inputs'!$N$28,CL$5&lt;=DispositionMonth),MAX('Operating Inputs'!$H$182,OperBgt!CL$66*ManagmentFeePct),IF(CL$5&gt;DispositionMonth,OperBgt!CL$66*'Operating Inputs'!$H$185,0))</f>
        <v>23048.982750438401</v>
      </c>
      <c r="CM77" s="229">
        <f>IF(AND(CM$5&gt;=MonthFirstUnits-'Development Inputs'!$N$28,CM$5&lt;=DispositionMonth),MAX('Operating Inputs'!$H$182,OperBgt!CM$66*ManagmentFeePct),IF(CM$5&gt;DispositionMonth,OperBgt!CM$66*'Operating Inputs'!$H$185,0))</f>
        <v>23106.143851430785</v>
      </c>
      <c r="CN77" s="229">
        <f>IF(AND(CN$5&gt;=MonthFirstUnits-'Development Inputs'!$N$28,CN$5&lt;=DispositionMonth),MAX('Operating Inputs'!$H$182,OperBgt!CN$66*ManagmentFeePct),IF(CN$5&gt;DispositionMonth,OperBgt!CN$66*'Operating Inputs'!$H$185,0))</f>
        <v>23212.780485514435</v>
      </c>
      <c r="CO77" s="229">
        <f>IF(AND(CO$5&gt;=MonthFirstUnits-'Development Inputs'!$N$28,CO$5&lt;=DispositionMonth),MAX('Operating Inputs'!$H$182,OperBgt!CO$66*ManagmentFeePct),IF(CO$5&gt;DispositionMonth,OperBgt!CO$66*'Operating Inputs'!$H$185,0))</f>
        <v>23306.589940826194</v>
      </c>
      <c r="CP77" s="229">
        <f>IF(AND(CP$5&gt;=MonthFirstUnits-'Development Inputs'!$N$28,CP$5&lt;=DispositionMonth),MAX('Operating Inputs'!$H$182,OperBgt!CP$66*ManagmentFeePct),IF(CP$5&gt;DispositionMonth,OperBgt!CP$66*'Operating Inputs'!$H$185,0))</f>
        <v>23364.219318822095</v>
      </c>
      <c r="CQ77" s="229">
        <f>IF(AND(CQ$5&gt;=MonthFirstUnits-'Development Inputs'!$N$28,CQ$5&lt;=DispositionMonth),MAX('Operating Inputs'!$H$182,OperBgt!CQ$66*ManagmentFeePct),IF(CQ$5&gt;DispositionMonth,OperBgt!CQ$66*'Operating Inputs'!$H$185,0))</f>
        <v>23422.005641333628</v>
      </c>
      <c r="CR77" s="229">
        <f>IF(AND(CR$5&gt;=MonthFirstUnits-'Development Inputs'!$N$28,CR$5&lt;=DispositionMonth),MAX('Operating Inputs'!$H$182,OperBgt!CR$66*ManagmentFeePct),IF(CR$5&gt;DispositionMonth,OperBgt!CR$66*'Operating Inputs'!$H$185,0))</f>
        <v>23479.949336391572</v>
      </c>
      <c r="CS77" s="229">
        <f>IF(AND(CS$5&gt;=MonthFirstUnits-'Development Inputs'!$N$28,CS$5&lt;=DispositionMonth),MAX('Operating Inputs'!$H$182,OperBgt!CS$66*ManagmentFeePct),IF(CS$5&gt;DispositionMonth,OperBgt!CS$66*'Operating Inputs'!$H$185,0))</f>
        <v>23563.053580137788</v>
      </c>
      <c r="CT77" s="229">
        <f>IF(AND(CT$5&gt;=MonthFirstUnits-'Development Inputs'!$N$28,CT$5&lt;=DispositionMonth),MAX('Operating Inputs'!$H$182,OperBgt!CT$66*ManagmentFeePct),IF(CT$5&gt;DispositionMonth,OperBgt!CT$66*'Operating Inputs'!$H$185,0))</f>
        <v>23646.488887490108</v>
      </c>
      <c r="CU77" s="229">
        <f>IF(AND(CU$5&gt;=MonthFirstUnits-'Development Inputs'!$N$28,CU$5&lt;=DispositionMonth),MAX('Operating Inputs'!$H$182,OperBgt!CU$66*ManagmentFeePct),IF(CU$5&gt;DispositionMonth,OperBgt!CU$66*'Operating Inputs'!$H$185,0))</f>
        <v>23730.256597965836</v>
      </c>
      <c r="CV77" s="229">
        <f>IF(AND(CV$5&gt;=MonthFirstUnits-'Development Inputs'!$N$28,CV$5&lt;=DispositionMonth),MAX('Operating Inputs'!$H$182,OperBgt!CV$66*ManagmentFeePct),IF(CV$5&gt;DispositionMonth,OperBgt!CV$66*'Operating Inputs'!$H$185,0))</f>
        <v>23814.358056555142</v>
      </c>
      <c r="CW77" s="229">
        <f>IF(AND(CW$5&gt;=MonthFirstUnits-'Development Inputs'!$N$28,CW$5&lt;=DispositionMonth),MAX('Operating Inputs'!$H$182,OperBgt!CW$66*ManagmentFeePct),IF(CW$5&gt;DispositionMonth,OperBgt!CW$66*'Operating Inputs'!$H$185,0))</f>
        <v>23898.794613743532</v>
      </c>
      <c r="CX77" s="229">
        <f>IF(AND(CX$5&gt;=MonthFirstUnits-'Development Inputs'!$N$28,CX$5&lt;=DispositionMonth),MAX('Operating Inputs'!$H$182,OperBgt!CX$66*ManagmentFeePct),IF(CX$5&gt;DispositionMonth,OperBgt!CX$66*'Operating Inputs'!$H$185,0))</f>
        <v>23983.567625534462</v>
      </c>
      <c r="CY77" s="229">
        <f>IF(AND(CY$5&gt;=MonthFirstUnits-'Development Inputs'!$N$28,CY$5&lt;=DispositionMonth),MAX('Operating Inputs'!$H$182,OperBgt!CY$66*ManagmentFeePct),IF(CY$5&gt;DispositionMonth,OperBgt!CY$66*'Operating Inputs'!$H$185,0))</f>
        <v>24043.047026017579</v>
      </c>
      <c r="CZ77" s="229">
        <f>IF(AND(CZ$5&gt;=MonthFirstUnits-'Development Inputs'!$N$28,CZ$5&lt;=DispositionMonth),MAX('Operating Inputs'!$H$182,OperBgt!CZ$66*ManagmentFeePct),IF(CZ$5&gt;DispositionMonth,OperBgt!CZ$66*'Operating Inputs'!$H$185,0))</f>
        <v>24154.093029215186</v>
      </c>
      <c r="DA77" s="229">
        <f>IF(AND(DA$5&gt;=MonthFirstUnits-'Development Inputs'!$N$28,DA$5&lt;=DispositionMonth),MAX('Operating Inputs'!$H$182,OperBgt!DA$66*ManagmentFeePct),IF(DA$5&gt;DispositionMonth,OperBgt!DA$66*'Operating Inputs'!$H$185,0))</f>
        <v>24251.769411932022</v>
      </c>
      <c r="DB77" s="229">
        <f>IF(AND(DB$5&gt;=MonthFirstUnits-'Development Inputs'!$N$28,DB$5&lt;=DispositionMonth),MAX('Operating Inputs'!$H$182,OperBgt!DB$66*ManagmentFeePct),IF(DB$5&gt;DispositionMonth,OperBgt!DB$66*'Operating Inputs'!$H$185,0))</f>
        <v>24311.736157336716</v>
      </c>
      <c r="DC77" s="229">
        <f>IF(AND(DC$5&gt;=MonthFirstUnits-'Development Inputs'!$N$28,DC$5&lt;=DispositionMonth),MAX('Operating Inputs'!$H$182,OperBgt!DC$66*ManagmentFeePct),IF(DC$5&gt;DispositionMonth,OperBgt!DC$66*'Operating Inputs'!$H$185,0))</f>
        <v>24371.8662380565</v>
      </c>
      <c r="DD77" s="229">
        <f>IF(AND(DD$5&gt;=MonthFirstUnits-'Development Inputs'!$N$28,DD$5&lt;=DispositionMonth),MAX('Operating Inputs'!$H$182,OperBgt!DD$66*ManagmentFeePct),IF(DD$5&gt;DispositionMonth,OperBgt!DD$66*'Operating Inputs'!$H$185,0))</f>
        <v>24432.160099615077</v>
      </c>
      <c r="DE77" s="229">
        <f>IF(AND(DE$5&gt;=MonthFirstUnits-'Development Inputs'!$N$28,DE$5&lt;=DispositionMonth),MAX('Operating Inputs'!$H$182,OperBgt!DE$66*ManagmentFeePct),IF(DE$5&gt;DispositionMonth,OperBgt!DE$66*'Operating Inputs'!$H$185,0))</f>
        <v>24518.677791818332</v>
      </c>
      <c r="DF77" s="229">
        <f>IF(AND(DF$5&gt;=MonthFirstUnits-'Development Inputs'!$N$28,DF$5&lt;=DispositionMonth),MAX('Operating Inputs'!$H$182,OperBgt!DF$66*ManagmentFeePct),IF(DF$5&gt;DispositionMonth,OperBgt!DF$66*'Operating Inputs'!$H$185,0))</f>
        <v>24605.540296567815</v>
      </c>
      <c r="DG77" s="229">
        <f>IF(AND(DG$5&gt;=MonthFirstUnits-'Development Inputs'!$N$28,DG$5&lt;=DispositionMonth),MAX('Operating Inputs'!$H$182,OperBgt!DG$66*ManagmentFeePct),IF(DG$5&gt;DispositionMonth,OperBgt!DG$66*'Operating Inputs'!$H$185,0))</f>
        <v>24692.749009397507</v>
      </c>
      <c r="DH77" s="229">
        <f>IF(AND(DH$5&gt;=MonthFirstUnits-'Development Inputs'!$N$28,DH$5&lt;=DispositionMonth),MAX('Operating Inputs'!$H$182,OperBgt!DH$66*ManagmentFeePct),IF(DH$5&gt;DispositionMonth,OperBgt!DH$66*'Operating Inputs'!$H$185,0))</f>
        <v>24780.305331544059</v>
      </c>
      <c r="DI77" s="229">
        <f>IF(AND(DI$5&gt;=MonthFirstUnits-'Development Inputs'!$N$28,DI$5&lt;=DispositionMonth),MAX('Operating Inputs'!$H$182,OperBgt!DI$66*ManagmentFeePct),IF(DI$5&gt;DispositionMonth,OperBgt!DI$66*'Operating Inputs'!$H$185,0))</f>
        <v>24868.210669970293</v>
      </c>
      <c r="DJ77" s="229">
        <f>IF(AND(DJ$5&gt;=MonthFirstUnits-'Development Inputs'!$N$28,DJ$5&lt;=DispositionMonth),MAX('Operating Inputs'!$H$182,OperBgt!DJ$66*ManagmentFeePct),IF(DJ$5&gt;DispositionMonth,OperBgt!DJ$66*'Operating Inputs'!$H$185,0))</f>
        <v>24956.466437388703</v>
      </c>
      <c r="DK77" s="229">
        <f>IF(AND(DK$5&gt;=MonthFirstUnits-'Development Inputs'!$N$28,DK$5&lt;=DispositionMonth),MAX('Operating Inputs'!$H$182,OperBgt!DK$66*ManagmentFeePct),IF(DK$5&gt;DispositionMonth,OperBgt!DK$66*'Operating Inputs'!$H$185,0))</f>
        <v>25018.359194633445</v>
      </c>
      <c r="DL77" s="229">
        <f>IF(AND(DL$5&gt;=MonthFirstUnits-'Development Inputs'!$N$28,DL$5&lt;=DispositionMonth),MAX('Operating Inputs'!$H$182,OperBgt!DL$66*ManagmentFeePct),IF(DL$5&gt;DispositionMonth,OperBgt!DL$66*'Operating Inputs'!$H$185,0))</f>
        <v>25133.998005651632</v>
      </c>
      <c r="DM77" s="229">
        <f>IF(AND(DM$5&gt;=MonthFirstUnits-'Development Inputs'!$N$28,DM$5&lt;=DispositionMonth),MAX('Operating Inputs'!$H$182,OperBgt!DM$66*ManagmentFeePct),IF(DM$5&gt;DispositionMonth,OperBgt!DM$66*'Operating Inputs'!$H$185,0))</f>
        <v>25235.701818426223</v>
      </c>
      <c r="DN77" s="229">
        <f>IF(AND(DN$5&gt;=MonthFirstUnits-'Development Inputs'!$N$28,DN$5&lt;=DispositionMonth),MAX('Operating Inputs'!$H$182,OperBgt!DN$66*ManagmentFeePct),IF(DN$5&gt;DispositionMonth,OperBgt!DN$66*'Operating Inputs'!$H$185,0))</f>
        <v>25298.101772724993</v>
      </c>
      <c r="DO77" s="229">
        <f>IF(AND(DO$5&gt;=MonthFirstUnits-'Development Inputs'!$N$28,DO$5&lt;=DispositionMonth),MAX('Operating Inputs'!$H$182,OperBgt!DO$66*ManagmentFeePct),IF(DO$5&gt;DispositionMonth,OperBgt!DO$66*'Operating Inputs'!$H$185,0))</f>
        <v>25360.671715979355</v>
      </c>
      <c r="DP77" s="229">
        <f>IF(AND(DP$5&gt;=MonthFirstUnits-'Development Inputs'!$N$28,DP$5&lt;=DispositionMonth),MAX('Operating Inputs'!$H$182,OperBgt!DP$66*ManagmentFeePct),IF(DP$5&gt;DispositionMonth,OperBgt!DP$66*'Operating Inputs'!$H$185,0))</f>
        <v>25423.412111927395</v>
      </c>
      <c r="DQ77" s="229">
        <f>IF(AND(DQ$5&gt;=MonthFirstUnits-'Development Inputs'!$N$28,DQ$5&lt;=DispositionMonth),MAX('Operating Inputs'!$H$182,OperBgt!DQ$66*ManagmentFeePct),IF(DQ$5&gt;DispositionMonth,OperBgt!DQ$66*'Operating Inputs'!$H$185,0))</f>
        <v>25513.484557648459</v>
      </c>
      <c r="DR77" s="229">
        <f>IF(AND(DR$5&gt;=MonthFirstUnits-'Development Inputs'!$N$28,DR$5&lt;=DispositionMonth),MAX('Operating Inputs'!$H$182,OperBgt!DR$66*ManagmentFeePct),IF(DR$5&gt;DispositionMonth,OperBgt!DR$66*'Operating Inputs'!$H$185,0))</f>
        <v>25603.916138668505</v>
      </c>
      <c r="DS77" s="229">
        <f>IF(AND(DS$5&gt;=MonthFirstUnits-'Development Inputs'!$N$28,DS$5&lt;=DispositionMonth),MAX('Operating Inputs'!$H$182,OperBgt!DS$66*ManagmentFeePct),IF(DS$5&gt;DispositionMonth,OperBgt!DS$66*'Operating Inputs'!$H$185,0))</f>
        <v>25694.708308887832</v>
      </c>
      <c r="DT77" s="229">
        <f>IF(AND(DT$5&gt;=MonthFirstUnits-'Development Inputs'!$N$28,DT$5&lt;=DispositionMonth),MAX('Operating Inputs'!$H$182,OperBgt!DT$66*ManagmentFeePct),IF(DT$5&gt;DispositionMonth,OperBgt!DT$66*'Operating Inputs'!$H$185,0))</f>
        <v>25785.862528148966</v>
      </c>
      <c r="DU77" s="229">
        <f>IF(AND(DU$5&gt;=MonthFirstUnits-'Development Inputs'!$N$28,DU$5&lt;=DispositionMonth),MAX('Operating Inputs'!$H$182,OperBgt!DU$66*ManagmentFeePct),IF(DU$5&gt;DispositionMonth,OperBgt!DU$66*'Operating Inputs'!$H$185,0))</f>
        <v>25877.380262261067</v>
      </c>
      <c r="DV77" s="229">
        <f>IF(AND(DV$5&gt;=MonthFirstUnits-'Development Inputs'!$N$28,DV$5&lt;=DispositionMonth),MAX('Operating Inputs'!$H$182,OperBgt!DV$66*ManagmentFeePct),IF(DV$5&gt;DispositionMonth,OperBgt!DV$66*'Operating Inputs'!$H$185,0))</f>
        <v>25969.262983024484</v>
      </c>
      <c r="DW77" s="229">
        <f>IF(AND(DW$5&gt;=MonthFirstUnits-'Development Inputs'!$N$28,DW$5&lt;=DispositionMonth),MAX('Operating Inputs'!$H$182,OperBgt!DW$66*ManagmentFeePct),IF(DW$5&gt;DispositionMonth,OperBgt!DW$66*'Operating Inputs'!$H$185,0))</f>
        <v>26033.668084244968</v>
      </c>
      <c r="DX77" s="229">
        <f>IF(AND(DX$5&gt;=MonthFirstUnits-'Development Inputs'!$N$28,DX$5&lt;=DispositionMonth),MAX('Operating Inputs'!$H$182,OperBgt!DX$66*ManagmentFeePct),IF(DX$5&gt;DispositionMonth,OperBgt!DX$66*'Operating Inputs'!$H$185,0))</f>
        <v>26154.090807364253</v>
      </c>
      <c r="DY77" s="229">
        <f>IF(AND(DY$5&gt;=MonthFirstUnits-'Development Inputs'!$N$28,DY$5&lt;=DispositionMonth),MAX('Operating Inputs'!$H$182,OperBgt!DY$66*ManagmentFeePct),IF(DY$5&gt;DispositionMonth,OperBgt!DY$66*'Operating Inputs'!$H$185,0))</f>
        <v>26259.989248707578</v>
      </c>
      <c r="DZ77" s="229">
        <f>IF(AND(DZ$5&gt;=MonthFirstUnits-'Development Inputs'!$N$28,DZ$5&lt;=DispositionMonth),MAX('Operating Inputs'!$H$182,OperBgt!DZ$66*ManagmentFeePct),IF(DZ$5&gt;DispositionMonth,OperBgt!DZ$66*'Operating Inputs'!$H$185,0))</f>
        <v>26324.922215823939</v>
      </c>
      <c r="EA77" s="229">
        <f>IF(AND(EA$5&gt;=MonthFirstUnits-'Development Inputs'!$N$28,EA$5&lt;=DispositionMonth),MAX('Operating Inputs'!$H$182,OperBgt!EA$66*ManagmentFeePct),IF(EA$5&gt;DispositionMonth,OperBgt!EA$66*'Operating Inputs'!$H$185,0))</f>
        <v>26390.032099268796</v>
      </c>
      <c r="EB77" s="229">
        <f>IF(AND(EB$5&gt;=MonthFirstUnits-'Development Inputs'!$N$28,EB$5&lt;=DispositionMonth),MAX('Operating Inputs'!$H$182,OperBgt!EB$66*ManagmentFeePct),IF(EB$5&gt;DispositionMonth,OperBgt!EB$66*'Operating Inputs'!$H$185,0))</f>
        <v>26455.319381745976</v>
      </c>
      <c r="EC77" s="229">
        <f>IF(AND(EC$5&gt;=MonthFirstUnits-'Development Inputs'!$N$28,EC$5&lt;=DispositionMonth),MAX('Operating Inputs'!$H$182,OperBgt!EC$66*ManagmentFeePct),IF(EC$5&gt;DispositionMonth,OperBgt!EC$66*'Operating Inputs'!$H$185,0))</f>
        <v>26549.093769552823</v>
      </c>
      <c r="ED77" s="229">
        <f>IF(AND(ED$5&gt;=MonthFirstUnits-'Development Inputs'!$N$28,ED$5&lt;=DispositionMonth),MAX('Operating Inputs'!$H$182,OperBgt!ED$66*ManagmentFeePct),IF(ED$5&gt;DispositionMonth,OperBgt!ED$66*'Operating Inputs'!$H$185,0))</f>
        <v>26643.242213258367</v>
      </c>
      <c r="EE77" s="229">
        <f>IF(AND(EE$5&gt;=MonthFirstUnits-'Development Inputs'!$N$28,EE$5&lt;=DispositionMonth),MAX('Operating Inputs'!$H$182,OperBgt!EE$66*ManagmentFeePct),IF(EE$5&gt;DispositionMonth,OperBgt!EE$66*'Operating Inputs'!$H$185,0))</f>
        <v>26737.766227577704</v>
      </c>
      <c r="EF77" s="229">
        <f>IF(AND(EF$5&gt;=MonthFirstUnits-'Development Inputs'!$N$28,EF$5&lt;=DispositionMonth),MAX('Operating Inputs'!$H$182,OperBgt!EF$66*ManagmentFeePct),IF(EF$5&gt;DispositionMonth,OperBgt!EF$66*'Operating Inputs'!$H$185,0))</f>
        <v>26832.667333417721</v>
      </c>
      <c r="EG77" s="229">
        <f>IF(AND(EG$5&gt;=MonthFirstUnits-'Development Inputs'!$N$28,EG$5&lt;=DispositionMonth),MAX('Operating Inputs'!$H$182,OperBgt!EG$66*ManagmentFeePct),IF(EG$5&gt;DispositionMonth,OperBgt!EG$66*'Operating Inputs'!$H$185,0))</f>
        <v>26927.947057902576</v>
      </c>
      <c r="EH77" s="229">
        <f>IF(AND(EH$5&gt;=MonthFirstUnits-'Development Inputs'!$N$28,EH$5&lt;=DispositionMonth),MAX('Operating Inputs'!$H$182,OperBgt!EH$66*ManagmentFeePct),IF(EH$5&gt;DispositionMonth,OperBgt!EH$66*'Operating Inputs'!$H$185,0))</f>
        <v>27023.606934399297</v>
      </c>
      <c r="EK77" s="672"/>
    </row>
    <row r="78" spans="1:141" x14ac:dyDescent="0.3">
      <c r="A78" s="198" t="s">
        <v>706</v>
      </c>
      <c r="G78" s="229">
        <f t="shared" ref="G78:BR78" si="111">G174*G173</f>
        <v>0</v>
      </c>
      <c r="H78" s="229">
        <f t="shared" si="111"/>
        <v>0</v>
      </c>
      <c r="I78" s="229">
        <f t="shared" si="111"/>
        <v>0</v>
      </c>
      <c r="J78" s="229">
        <f t="shared" si="111"/>
        <v>0</v>
      </c>
      <c r="K78" s="229">
        <f t="shared" si="111"/>
        <v>0</v>
      </c>
      <c r="L78" s="229">
        <f t="shared" si="111"/>
        <v>0</v>
      </c>
      <c r="M78" s="229">
        <f t="shared" si="111"/>
        <v>0</v>
      </c>
      <c r="N78" s="229">
        <f t="shared" si="111"/>
        <v>0</v>
      </c>
      <c r="O78" s="229">
        <f t="shared" si="111"/>
        <v>0</v>
      </c>
      <c r="P78" s="229">
        <f t="shared" si="111"/>
        <v>0</v>
      </c>
      <c r="Q78" s="229">
        <f t="shared" si="111"/>
        <v>0</v>
      </c>
      <c r="R78" s="229">
        <f t="shared" si="111"/>
        <v>0</v>
      </c>
      <c r="S78" s="229">
        <f t="shared" si="111"/>
        <v>0</v>
      </c>
      <c r="T78" s="229">
        <f t="shared" si="111"/>
        <v>0</v>
      </c>
      <c r="U78" s="229">
        <f t="shared" si="111"/>
        <v>0</v>
      </c>
      <c r="V78" s="229">
        <f t="shared" si="111"/>
        <v>0</v>
      </c>
      <c r="W78" s="229">
        <f t="shared" si="111"/>
        <v>0</v>
      </c>
      <c r="X78" s="229">
        <f t="shared" si="111"/>
        <v>0</v>
      </c>
      <c r="Y78" s="229">
        <f t="shared" si="111"/>
        <v>0</v>
      </c>
      <c r="Z78" s="229">
        <f t="shared" si="111"/>
        <v>0</v>
      </c>
      <c r="AA78" s="229">
        <f t="shared" si="111"/>
        <v>0</v>
      </c>
      <c r="AB78" s="229">
        <f t="shared" si="111"/>
        <v>0</v>
      </c>
      <c r="AC78" s="229">
        <f t="shared" si="111"/>
        <v>0</v>
      </c>
      <c r="AD78" s="229">
        <f t="shared" si="111"/>
        <v>0</v>
      </c>
      <c r="AE78" s="229">
        <f t="shared" si="111"/>
        <v>0</v>
      </c>
      <c r="AF78" s="229">
        <f t="shared" si="111"/>
        <v>4605.2323358204339</v>
      </c>
      <c r="AG78" s="229">
        <f t="shared" si="111"/>
        <v>4605.2323358204339</v>
      </c>
      <c r="AH78" s="229">
        <f t="shared" si="111"/>
        <v>4743.3893058950525</v>
      </c>
      <c r="AI78" s="229">
        <f t="shared" si="111"/>
        <v>4743.3893058950525</v>
      </c>
      <c r="AJ78" s="229">
        <f t="shared" si="111"/>
        <v>4743.3893058950525</v>
      </c>
      <c r="AK78" s="229">
        <f t="shared" si="111"/>
        <v>4743.3893058950525</v>
      </c>
      <c r="AL78" s="229">
        <f t="shared" si="111"/>
        <v>4743.3893058950525</v>
      </c>
      <c r="AM78" s="229">
        <f t="shared" si="111"/>
        <v>4743.3893058950525</v>
      </c>
      <c r="AN78" s="229">
        <f t="shared" si="111"/>
        <v>4743.3893058950525</v>
      </c>
      <c r="AO78" s="229">
        <f t="shared" si="111"/>
        <v>4743.3893058950525</v>
      </c>
      <c r="AP78" s="229">
        <f t="shared" si="111"/>
        <v>4743.3893058950525</v>
      </c>
      <c r="AQ78" s="229">
        <f t="shared" si="111"/>
        <v>4743.3893058950525</v>
      </c>
      <c r="AR78" s="229">
        <f t="shared" si="111"/>
        <v>4743.3893058950525</v>
      </c>
      <c r="AS78" s="229">
        <f t="shared" si="111"/>
        <v>4743.3893058950525</v>
      </c>
      <c r="AT78" s="229">
        <f t="shared" si="111"/>
        <v>4885.6909850719094</v>
      </c>
      <c r="AU78" s="229">
        <f t="shared" si="111"/>
        <v>4885.6909850719094</v>
      </c>
      <c r="AV78" s="229">
        <f t="shared" si="111"/>
        <v>4885.6909850719094</v>
      </c>
      <c r="AW78" s="229">
        <f t="shared" si="111"/>
        <v>4885.6909850719094</v>
      </c>
      <c r="AX78" s="229">
        <f t="shared" si="111"/>
        <v>4885.6909850719094</v>
      </c>
      <c r="AY78" s="229">
        <f t="shared" si="111"/>
        <v>4885.6909850719094</v>
      </c>
      <c r="AZ78" s="229">
        <f t="shared" si="111"/>
        <v>4885.6909850719094</v>
      </c>
      <c r="BA78" s="229">
        <f t="shared" si="111"/>
        <v>4885.6909850719094</v>
      </c>
      <c r="BB78" s="229">
        <f t="shared" si="111"/>
        <v>4885.6909850719094</v>
      </c>
      <c r="BC78" s="229">
        <f t="shared" si="111"/>
        <v>4885.6909850719094</v>
      </c>
      <c r="BD78" s="229">
        <f t="shared" si="111"/>
        <v>4885.6909850719094</v>
      </c>
      <c r="BE78" s="229">
        <f t="shared" si="111"/>
        <v>4885.6909850719094</v>
      </c>
      <c r="BF78" s="229">
        <f t="shared" si="111"/>
        <v>5032.2617146240718</v>
      </c>
      <c r="BG78" s="229">
        <f t="shared" si="111"/>
        <v>5032.2617146240718</v>
      </c>
      <c r="BH78" s="229">
        <f t="shared" si="111"/>
        <v>5032.2617146240718</v>
      </c>
      <c r="BI78" s="229">
        <f t="shared" si="111"/>
        <v>5032.2617146240718</v>
      </c>
      <c r="BJ78" s="229">
        <f t="shared" si="111"/>
        <v>5032.2617146240718</v>
      </c>
      <c r="BK78" s="229">
        <f t="shared" si="111"/>
        <v>5032.2617146240718</v>
      </c>
      <c r="BL78" s="229">
        <f t="shared" si="111"/>
        <v>5032.2617146240718</v>
      </c>
      <c r="BM78" s="229">
        <f t="shared" si="111"/>
        <v>5032.2617146240718</v>
      </c>
      <c r="BN78" s="229">
        <f t="shared" si="111"/>
        <v>5032.2617146240718</v>
      </c>
      <c r="BO78" s="229">
        <f t="shared" si="111"/>
        <v>5032.2617146240718</v>
      </c>
      <c r="BP78" s="229">
        <f t="shared" si="111"/>
        <v>5032.2617146240718</v>
      </c>
      <c r="BQ78" s="229">
        <f t="shared" si="111"/>
        <v>5032.2617146240718</v>
      </c>
      <c r="BR78" s="229">
        <f t="shared" si="111"/>
        <v>5183.2295660627988</v>
      </c>
      <c r="BS78" s="229">
        <f t="shared" ref="BS78:ED78" si="112">BS174*BS173</f>
        <v>5183.2295660627988</v>
      </c>
      <c r="BT78" s="229">
        <f t="shared" si="112"/>
        <v>5183.2295660627988</v>
      </c>
      <c r="BU78" s="229">
        <f t="shared" si="112"/>
        <v>5183.2295660627988</v>
      </c>
      <c r="BV78" s="229">
        <f t="shared" si="112"/>
        <v>5183.2295660627988</v>
      </c>
      <c r="BW78" s="229">
        <f t="shared" si="112"/>
        <v>5183.2295660627988</v>
      </c>
      <c r="BX78" s="229">
        <f t="shared" si="112"/>
        <v>5183.2295660627988</v>
      </c>
      <c r="BY78" s="229">
        <f t="shared" si="112"/>
        <v>5183.2295660627988</v>
      </c>
      <c r="BZ78" s="229">
        <f t="shared" si="112"/>
        <v>5183.2295660627988</v>
      </c>
      <c r="CA78" s="229">
        <f t="shared" si="112"/>
        <v>5183.2295660627988</v>
      </c>
      <c r="CB78" s="229">
        <f t="shared" si="112"/>
        <v>5183.2295660627988</v>
      </c>
      <c r="CC78" s="229">
        <f t="shared" si="112"/>
        <v>5183.2295660627988</v>
      </c>
      <c r="CD78" s="229">
        <f t="shared" si="112"/>
        <v>5338.7264530446892</v>
      </c>
      <c r="CE78" s="229">
        <f t="shared" si="112"/>
        <v>5338.7264530446892</v>
      </c>
      <c r="CF78" s="229">
        <f t="shared" si="112"/>
        <v>5338.7264530446892</v>
      </c>
      <c r="CG78" s="229">
        <f t="shared" si="112"/>
        <v>5338.7264530446892</v>
      </c>
      <c r="CH78" s="229">
        <f t="shared" si="112"/>
        <v>5338.7264530446892</v>
      </c>
      <c r="CI78" s="229">
        <f t="shared" si="112"/>
        <v>5338.7264530446892</v>
      </c>
      <c r="CJ78" s="229">
        <f t="shared" si="112"/>
        <v>5338.7264530446892</v>
      </c>
      <c r="CK78" s="229">
        <f t="shared" si="112"/>
        <v>5338.7264530446892</v>
      </c>
      <c r="CL78" s="229">
        <f t="shared" si="112"/>
        <v>5338.7264530446892</v>
      </c>
      <c r="CM78" s="229">
        <f t="shared" si="112"/>
        <v>5338.7264530446892</v>
      </c>
      <c r="CN78" s="229">
        <f t="shared" si="112"/>
        <v>5338.7264530446892</v>
      </c>
      <c r="CO78" s="229">
        <f t="shared" si="112"/>
        <v>5338.7264530446892</v>
      </c>
      <c r="CP78" s="229">
        <f t="shared" si="112"/>
        <v>5498.8882466360337</v>
      </c>
      <c r="CQ78" s="229">
        <f t="shared" si="112"/>
        <v>5498.8882466360337</v>
      </c>
      <c r="CR78" s="229">
        <f t="shared" si="112"/>
        <v>5498.8882466360337</v>
      </c>
      <c r="CS78" s="229">
        <f t="shared" si="112"/>
        <v>5498.8882466360337</v>
      </c>
      <c r="CT78" s="229">
        <f t="shared" si="112"/>
        <v>5498.8882466360337</v>
      </c>
      <c r="CU78" s="229">
        <f t="shared" si="112"/>
        <v>5498.8882466360337</v>
      </c>
      <c r="CV78" s="229">
        <f t="shared" si="112"/>
        <v>5498.8882466360337</v>
      </c>
      <c r="CW78" s="229">
        <f t="shared" si="112"/>
        <v>5498.8882466360337</v>
      </c>
      <c r="CX78" s="229">
        <f t="shared" si="112"/>
        <v>5498.8882466360337</v>
      </c>
      <c r="CY78" s="229">
        <f t="shared" si="112"/>
        <v>5498.8882466360337</v>
      </c>
      <c r="CZ78" s="229">
        <f t="shared" si="112"/>
        <v>5498.8882466360337</v>
      </c>
      <c r="DA78" s="229">
        <f t="shared" si="112"/>
        <v>5498.8882466360337</v>
      </c>
      <c r="DB78" s="229">
        <f t="shared" si="112"/>
        <v>5663.8548940351211</v>
      </c>
      <c r="DC78" s="229">
        <f t="shared" si="112"/>
        <v>5663.8548940351211</v>
      </c>
      <c r="DD78" s="229">
        <f t="shared" si="112"/>
        <v>5663.8548940351211</v>
      </c>
      <c r="DE78" s="229">
        <f t="shared" si="112"/>
        <v>5663.8548940351211</v>
      </c>
      <c r="DF78" s="229">
        <f t="shared" si="112"/>
        <v>5663.8548940351211</v>
      </c>
      <c r="DG78" s="229">
        <f t="shared" si="112"/>
        <v>5663.8548940351211</v>
      </c>
      <c r="DH78" s="229">
        <f t="shared" si="112"/>
        <v>5663.8548940351211</v>
      </c>
      <c r="DI78" s="229">
        <f t="shared" si="112"/>
        <v>5663.8548940351211</v>
      </c>
      <c r="DJ78" s="229">
        <f t="shared" si="112"/>
        <v>5663.8548940351211</v>
      </c>
      <c r="DK78" s="229">
        <f t="shared" si="112"/>
        <v>5663.8548940351211</v>
      </c>
      <c r="DL78" s="229">
        <f t="shared" si="112"/>
        <v>5663.8548940351211</v>
      </c>
      <c r="DM78" s="229">
        <f t="shared" si="112"/>
        <v>5663.8548940351211</v>
      </c>
      <c r="DN78" s="229">
        <f t="shared" si="112"/>
        <v>5833.7705408561815</v>
      </c>
      <c r="DO78" s="229">
        <f t="shared" si="112"/>
        <v>5833.7705408561815</v>
      </c>
      <c r="DP78" s="229">
        <f t="shared" si="112"/>
        <v>5833.7705408561815</v>
      </c>
      <c r="DQ78" s="229">
        <f t="shared" si="112"/>
        <v>5833.7705408561815</v>
      </c>
      <c r="DR78" s="229">
        <f t="shared" si="112"/>
        <v>5833.7705408561815</v>
      </c>
      <c r="DS78" s="229">
        <f t="shared" si="112"/>
        <v>5833.7705408561815</v>
      </c>
      <c r="DT78" s="229">
        <f t="shared" si="112"/>
        <v>5833.7705408561815</v>
      </c>
      <c r="DU78" s="229">
        <f t="shared" si="112"/>
        <v>5833.7705408561815</v>
      </c>
      <c r="DV78" s="229">
        <f t="shared" si="112"/>
        <v>5833.7705408561815</v>
      </c>
      <c r="DW78" s="229">
        <f t="shared" si="112"/>
        <v>5833.7705408561815</v>
      </c>
      <c r="DX78" s="229">
        <f t="shared" si="112"/>
        <v>5833.7705408561815</v>
      </c>
      <c r="DY78" s="229">
        <f t="shared" si="112"/>
        <v>5833.7705408561815</v>
      </c>
      <c r="DZ78" s="229">
        <f t="shared" si="112"/>
        <v>6008.7836570818736</v>
      </c>
      <c r="EA78" s="229">
        <f t="shared" si="112"/>
        <v>6008.7836570818736</v>
      </c>
      <c r="EB78" s="229">
        <f t="shared" si="112"/>
        <v>6008.7836570818736</v>
      </c>
      <c r="EC78" s="229">
        <f t="shared" si="112"/>
        <v>6008.7836570818736</v>
      </c>
      <c r="ED78" s="229">
        <f t="shared" si="112"/>
        <v>6008.7836570818736</v>
      </c>
      <c r="EE78" s="229">
        <f t="shared" ref="EE78:EH78" si="113">EE174*EE173</f>
        <v>6008.7836570818736</v>
      </c>
      <c r="EF78" s="229">
        <f t="shared" si="113"/>
        <v>6008.7836570818736</v>
      </c>
      <c r="EG78" s="229">
        <f t="shared" si="113"/>
        <v>6008.7836570818736</v>
      </c>
      <c r="EH78" s="229">
        <f t="shared" si="113"/>
        <v>6008.7836570818736</v>
      </c>
      <c r="EK78" s="280"/>
    </row>
    <row r="79" spans="1:141" x14ac:dyDescent="0.3">
      <c r="A79" s="198" t="str">
        <f>'Operating Inputs'!A129</f>
        <v>Other Non-Controllable Expense</v>
      </c>
      <c r="G79" s="229">
        <f t="shared" ref="G79:BR79" si="114">G179*G178</f>
        <v>0</v>
      </c>
      <c r="H79" s="229">
        <f t="shared" si="114"/>
        <v>0</v>
      </c>
      <c r="I79" s="229">
        <f t="shared" si="114"/>
        <v>0</v>
      </c>
      <c r="J79" s="229">
        <f t="shared" si="114"/>
        <v>0</v>
      </c>
      <c r="K79" s="229">
        <f t="shared" si="114"/>
        <v>0</v>
      </c>
      <c r="L79" s="229">
        <f t="shared" si="114"/>
        <v>0</v>
      </c>
      <c r="M79" s="229">
        <f t="shared" si="114"/>
        <v>0</v>
      </c>
      <c r="N79" s="229">
        <f t="shared" si="114"/>
        <v>0</v>
      </c>
      <c r="O79" s="229">
        <f t="shared" si="114"/>
        <v>0</v>
      </c>
      <c r="P79" s="229">
        <f t="shared" si="114"/>
        <v>0</v>
      </c>
      <c r="Q79" s="229">
        <f t="shared" si="114"/>
        <v>0</v>
      </c>
      <c r="R79" s="229">
        <f t="shared" si="114"/>
        <v>0</v>
      </c>
      <c r="S79" s="229">
        <f t="shared" si="114"/>
        <v>0</v>
      </c>
      <c r="T79" s="229">
        <f t="shared" si="114"/>
        <v>22.355496775827319</v>
      </c>
      <c r="U79" s="229">
        <f t="shared" si="114"/>
        <v>22.355496775827319</v>
      </c>
      <c r="V79" s="229">
        <f t="shared" si="114"/>
        <v>23.026161679102163</v>
      </c>
      <c r="W79" s="229">
        <f t="shared" si="114"/>
        <v>23.026161679102163</v>
      </c>
      <c r="X79" s="229">
        <f t="shared" si="114"/>
        <v>23.026161679102163</v>
      </c>
      <c r="Y79" s="229">
        <f t="shared" si="114"/>
        <v>23.026161679102163</v>
      </c>
      <c r="Z79" s="229">
        <f t="shared" si="114"/>
        <v>23.026161679102163</v>
      </c>
      <c r="AA79" s="229">
        <f t="shared" si="114"/>
        <v>23.026161679102163</v>
      </c>
      <c r="AB79" s="229">
        <f t="shared" si="114"/>
        <v>23.026161679102163</v>
      </c>
      <c r="AC79" s="229">
        <f t="shared" si="114"/>
        <v>23.026161679102163</v>
      </c>
      <c r="AD79" s="229">
        <f t="shared" si="114"/>
        <v>23.026161679102163</v>
      </c>
      <c r="AE79" s="229">
        <f t="shared" si="114"/>
        <v>23.026161679102163</v>
      </c>
      <c r="AF79" s="229">
        <f t="shared" si="114"/>
        <v>23.026161679102163</v>
      </c>
      <c r="AG79" s="229">
        <f t="shared" si="114"/>
        <v>23.026161679102163</v>
      </c>
      <c r="AH79" s="229">
        <f t="shared" si="114"/>
        <v>23.716946529475251</v>
      </c>
      <c r="AI79" s="229">
        <f t="shared" si="114"/>
        <v>23.716946529475251</v>
      </c>
      <c r="AJ79" s="229">
        <f t="shared" si="114"/>
        <v>23.716946529475251</v>
      </c>
      <c r="AK79" s="229">
        <f t="shared" si="114"/>
        <v>23.716946529475251</v>
      </c>
      <c r="AL79" s="229">
        <f t="shared" si="114"/>
        <v>23.716946529475251</v>
      </c>
      <c r="AM79" s="229">
        <f t="shared" si="114"/>
        <v>23.716946529475251</v>
      </c>
      <c r="AN79" s="229">
        <f t="shared" si="114"/>
        <v>23.716946529475251</v>
      </c>
      <c r="AO79" s="229">
        <f t="shared" si="114"/>
        <v>23.716946529475251</v>
      </c>
      <c r="AP79" s="229">
        <f t="shared" si="114"/>
        <v>23.716946529475251</v>
      </c>
      <c r="AQ79" s="229">
        <f t="shared" si="114"/>
        <v>23.716946529475251</v>
      </c>
      <c r="AR79" s="229">
        <f t="shared" si="114"/>
        <v>23.716946529475251</v>
      </c>
      <c r="AS79" s="229">
        <f t="shared" si="114"/>
        <v>23.716946529475251</v>
      </c>
      <c r="AT79" s="229">
        <f t="shared" si="114"/>
        <v>24.428454925359542</v>
      </c>
      <c r="AU79" s="229">
        <f t="shared" si="114"/>
        <v>24.428454925359542</v>
      </c>
      <c r="AV79" s="229">
        <f t="shared" si="114"/>
        <v>24.428454925359542</v>
      </c>
      <c r="AW79" s="229">
        <f t="shared" si="114"/>
        <v>24.428454925359542</v>
      </c>
      <c r="AX79" s="229">
        <f t="shared" si="114"/>
        <v>24.428454925359542</v>
      </c>
      <c r="AY79" s="229">
        <f t="shared" si="114"/>
        <v>24.428454925359542</v>
      </c>
      <c r="AZ79" s="229">
        <f t="shared" si="114"/>
        <v>24.428454925359542</v>
      </c>
      <c r="BA79" s="229">
        <f t="shared" si="114"/>
        <v>24.428454925359542</v>
      </c>
      <c r="BB79" s="229">
        <f t="shared" si="114"/>
        <v>24.428454925359542</v>
      </c>
      <c r="BC79" s="229">
        <f t="shared" si="114"/>
        <v>24.428454925359542</v>
      </c>
      <c r="BD79" s="229">
        <f t="shared" si="114"/>
        <v>24.428454925359542</v>
      </c>
      <c r="BE79" s="229">
        <f t="shared" si="114"/>
        <v>24.428454925359542</v>
      </c>
      <c r="BF79" s="229">
        <f t="shared" si="114"/>
        <v>25.161308573120355</v>
      </c>
      <c r="BG79" s="229">
        <f t="shared" si="114"/>
        <v>25.161308573120355</v>
      </c>
      <c r="BH79" s="229">
        <f t="shared" si="114"/>
        <v>25.161308573120355</v>
      </c>
      <c r="BI79" s="229">
        <f t="shared" si="114"/>
        <v>25.161308573120355</v>
      </c>
      <c r="BJ79" s="229">
        <f t="shared" si="114"/>
        <v>25.161308573120355</v>
      </c>
      <c r="BK79" s="229">
        <f t="shared" si="114"/>
        <v>25.161308573120355</v>
      </c>
      <c r="BL79" s="229">
        <f t="shared" si="114"/>
        <v>25.161308573120355</v>
      </c>
      <c r="BM79" s="229">
        <f t="shared" si="114"/>
        <v>25.161308573120355</v>
      </c>
      <c r="BN79" s="229">
        <f t="shared" si="114"/>
        <v>25.161308573120355</v>
      </c>
      <c r="BO79" s="229">
        <f t="shared" si="114"/>
        <v>25.161308573120355</v>
      </c>
      <c r="BP79" s="229">
        <f t="shared" si="114"/>
        <v>25.161308573120355</v>
      </c>
      <c r="BQ79" s="229">
        <f t="shared" si="114"/>
        <v>25.161308573120355</v>
      </c>
      <c r="BR79" s="229">
        <f t="shared" si="114"/>
        <v>25.916147830313999</v>
      </c>
      <c r="BS79" s="229">
        <f t="shared" ref="BS79:ED79" si="115">BS179*BS178</f>
        <v>25.916147830313999</v>
      </c>
      <c r="BT79" s="229">
        <f t="shared" si="115"/>
        <v>25.916147830313999</v>
      </c>
      <c r="BU79" s="229">
        <f t="shared" si="115"/>
        <v>25.916147830313999</v>
      </c>
      <c r="BV79" s="229">
        <f t="shared" si="115"/>
        <v>25.916147830313999</v>
      </c>
      <c r="BW79" s="229">
        <f t="shared" si="115"/>
        <v>25.916147830313999</v>
      </c>
      <c r="BX79" s="229">
        <f t="shared" si="115"/>
        <v>25.916147830313999</v>
      </c>
      <c r="BY79" s="229">
        <f t="shared" si="115"/>
        <v>25.916147830313999</v>
      </c>
      <c r="BZ79" s="229">
        <f t="shared" si="115"/>
        <v>25.916147830313999</v>
      </c>
      <c r="CA79" s="229">
        <f t="shared" si="115"/>
        <v>25.916147830313999</v>
      </c>
      <c r="CB79" s="229">
        <f t="shared" si="115"/>
        <v>25.916147830313999</v>
      </c>
      <c r="CC79" s="229">
        <f t="shared" si="115"/>
        <v>25.916147830313999</v>
      </c>
      <c r="CD79" s="229">
        <f t="shared" si="115"/>
        <v>26.693632265223442</v>
      </c>
      <c r="CE79" s="229">
        <f t="shared" si="115"/>
        <v>26.693632265223442</v>
      </c>
      <c r="CF79" s="229">
        <f t="shared" si="115"/>
        <v>26.693632265223442</v>
      </c>
      <c r="CG79" s="229">
        <f t="shared" si="115"/>
        <v>26.693632265223442</v>
      </c>
      <c r="CH79" s="229">
        <f t="shared" si="115"/>
        <v>26.693632265223442</v>
      </c>
      <c r="CI79" s="229">
        <f t="shared" si="115"/>
        <v>26.693632265223442</v>
      </c>
      <c r="CJ79" s="229">
        <f t="shared" si="115"/>
        <v>26.693632265223442</v>
      </c>
      <c r="CK79" s="229">
        <f t="shared" si="115"/>
        <v>26.693632265223442</v>
      </c>
      <c r="CL79" s="229">
        <f t="shared" si="115"/>
        <v>26.693632265223442</v>
      </c>
      <c r="CM79" s="229">
        <f t="shared" si="115"/>
        <v>26.693632265223442</v>
      </c>
      <c r="CN79" s="229">
        <f t="shared" si="115"/>
        <v>26.693632265223442</v>
      </c>
      <c r="CO79" s="229">
        <f t="shared" si="115"/>
        <v>26.693632265223442</v>
      </c>
      <c r="CP79" s="229">
        <f t="shared" si="115"/>
        <v>27.494441233180169</v>
      </c>
      <c r="CQ79" s="229">
        <f t="shared" si="115"/>
        <v>27.494441233180169</v>
      </c>
      <c r="CR79" s="229">
        <f t="shared" si="115"/>
        <v>27.494441233180169</v>
      </c>
      <c r="CS79" s="229">
        <f t="shared" si="115"/>
        <v>27.494441233180169</v>
      </c>
      <c r="CT79" s="229">
        <f t="shared" si="115"/>
        <v>27.494441233180169</v>
      </c>
      <c r="CU79" s="229">
        <f t="shared" si="115"/>
        <v>27.494441233180169</v>
      </c>
      <c r="CV79" s="229">
        <f t="shared" si="115"/>
        <v>27.494441233180169</v>
      </c>
      <c r="CW79" s="229">
        <f t="shared" si="115"/>
        <v>27.494441233180169</v>
      </c>
      <c r="CX79" s="229">
        <f t="shared" si="115"/>
        <v>27.494441233180169</v>
      </c>
      <c r="CY79" s="229">
        <f t="shared" si="115"/>
        <v>27.494441233180169</v>
      </c>
      <c r="CZ79" s="229">
        <f t="shared" si="115"/>
        <v>27.494441233180169</v>
      </c>
      <c r="DA79" s="229">
        <f t="shared" si="115"/>
        <v>27.494441233180169</v>
      </c>
      <c r="DB79" s="229">
        <f t="shared" si="115"/>
        <v>28.3192744701756</v>
      </c>
      <c r="DC79" s="229">
        <f t="shared" si="115"/>
        <v>28.3192744701756</v>
      </c>
      <c r="DD79" s="229">
        <f t="shared" si="115"/>
        <v>28.3192744701756</v>
      </c>
      <c r="DE79" s="229">
        <f t="shared" si="115"/>
        <v>28.3192744701756</v>
      </c>
      <c r="DF79" s="229">
        <f t="shared" si="115"/>
        <v>28.3192744701756</v>
      </c>
      <c r="DG79" s="229">
        <f t="shared" si="115"/>
        <v>28.3192744701756</v>
      </c>
      <c r="DH79" s="229">
        <f t="shared" si="115"/>
        <v>28.3192744701756</v>
      </c>
      <c r="DI79" s="229">
        <f t="shared" si="115"/>
        <v>28.3192744701756</v>
      </c>
      <c r="DJ79" s="229">
        <f t="shared" si="115"/>
        <v>28.3192744701756</v>
      </c>
      <c r="DK79" s="229">
        <f t="shared" si="115"/>
        <v>28.3192744701756</v>
      </c>
      <c r="DL79" s="229">
        <f t="shared" si="115"/>
        <v>28.3192744701756</v>
      </c>
      <c r="DM79" s="229">
        <f t="shared" si="115"/>
        <v>28.3192744701756</v>
      </c>
      <c r="DN79" s="229">
        <f t="shared" si="115"/>
        <v>29.168852704280898</v>
      </c>
      <c r="DO79" s="229">
        <f t="shared" si="115"/>
        <v>29.168852704280898</v>
      </c>
      <c r="DP79" s="229">
        <f t="shared" si="115"/>
        <v>29.168852704280898</v>
      </c>
      <c r="DQ79" s="229">
        <f t="shared" si="115"/>
        <v>29.168852704280898</v>
      </c>
      <c r="DR79" s="229">
        <f t="shared" si="115"/>
        <v>29.168852704280898</v>
      </c>
      <c r="DS79" s="229">
        <f t="shared" si="115"/>
        <v>29.168852704280898</v>
      </c>
      <c r="DT79" s="229">
        <f t="shared" si="115"/>
        <v>29.168852704280898</v>
      </c>
      <c r="DU79" s="229">
        <f t="shared" si="115"/>
        <v>29.168852704280898</v>
      </c>
      <c r="DV79" s="229">
        <f t="shared" si="115"/>
        <v>29.168852704280898</v>
      </c>
      <c r="DW79" s="229">
        <f t="shared" si="115"/>
        <v>29.168852704280898</v>
      </c>
      <c r="DX79" s="229">
        <f t="shared" si="115"/>
        <v>29.168852704280898</v>
      </c>
      <c r="DY79" s="229">
        <f t="shared" si="115"/>
        <v>29.168852704280898</v>
      </c>
      <c r="DZ79" s="229">
        <f t="shared" si="115"/>
        <v>30.043918285409358</v>
      </c>
      <c r="EA79" s="229">
        <f t="shared" si="115"/>
        <v>30.043918285409358</v>
      </c>
      <c r="EB79" s="229">
        <f t="shared" si="115"/>
        <v>30.043918285409358</v>
      </c>
      <c r="EC79" s="229">
        <f t="shared" si="115"/>
        <v>30.043918285409358</v>
      </c>
      <c r="ED79" s="229">
        <f t="shared" si="115"/>
        <v>30.043918285409358</v>
      </c>
      <c r="EE79" s="229">
        <f t="shared" ref="EE79:EH79" si="116">EE179*EE178</f>
        <v>30.043918285409358</v>
      </c>
      <c r="EF79" s="229">
        <f t="shared" si="116"/>
        <v>30.043918285409358</v>
      </c>
      <c r="EG79" s="229">
        <f t="shared" si="116"/>
        <v>30.043918285409358</v>
      </c>
      <c r="EH79" s="229">
        <f t="shared" si="116"/>
        <v>30.043918285409358</v>
      </c>
      <c r="EK79" s="280"/>
    </row>
    <row r="80" spans="1:141" x14ac:dyDescent="0.3">
      <c r="A80" s="663" t="s">
        <v>713</v>
      </c>
      <c r="B80" s="246"/>
      <c r="C80" s="246"/>
      <c r="D80" s="246"/>
      <c r="E80" s="653"/>
      <c r="F80" s="653"/>
      <c r="G80" s="247">
        <f t="shared" ref="G80:BR80" ca="1" si="117">G69+G70+G71+G72+G73+G74+G75+G76+G77+G78+G79</f>
        <v>0</v>
      </c>
      <c r="H80" s="247">
        <f t="shared" ca="1" si="117"/>
        <v>0</v>
      </c>
      <c r="I80" s="247">
        <f t="shared" ca="1" si="117"/>
        <v>0</v>
      </c>
      <c r="J80" s="247">
        <f t="shared" ca="1" si="117"/>
        <v>0</v>
      </c>
      <c r="K80" s="247">
        <f t="shared" ca="1" si="117"/>
        <v>0</v>
      </c>
      <c r="L80" s="247">
        <f t="shared" ca="1" si="117"/>
        <v>0</v>
      </c>
      <c r="M80" s="247">
        <f t="shared" ca="1" si="117"/>
        <v>0</v>
      </c>
      <c r="N80" s="247">
        <f t="shared" ca="1" si="117"/>
        <v>0</v>
      </c>
      <c r="O80" s="247">
        <f t="shared" ca="1" si="117"/>
        <v>0</v>
      </c>
      <c r="P80" s="247">
        <f t="shared" ca="1" si="117"/>
        <v>0</v>
      </c>
      <c r="Q80" s="247">
        <f t="shared" ca="1" si="117"/>
        <v>0</v>
      </c>
      <c r="R80" s="247">
        <f t="shared" ca="1" si="117"/>
        <v>0</v>
      </c>
      <c r="S80" s="247">
        <f t="shared" ca="1" si="117"/>
        <v>0</v>
      </c>
      <c r="T80" s="247">
        <f t="shared" ca="1" si="117"/>
        <v>98225.339050871276</v>
      </c>
      <c r="U80" s="247">
        <f t="shared" ca="1" si="117"/>
        <v>105788.27526236691</v>
      </c>
      <c r="V80" s="247">
        <f t="shared" ca="1" si="117"/>
        <v>131384.89997247918</v>
      </c>
      <c r="W80" s="247">
        <f t="shared" ca="1" si="117"/>
        <v>137956.64031749518</v>
      </c>
      <c r="X80" s="247">
        <f t="shared" ca="1" si="117"/>
        <v>142537.19333131085</v>
      </c>
      <c r="Y80" s="247">
        <f t="shared" ca="1" si="117"/>
        <v>146461.50073727209</v>
      </c>
      <c r="Z80" s="247">
        <f t="shared" ca="1" si="117"/>
        <v>148014.11349028582</v>
      </c>
      <c r="AA80" s="247">
        <f t="shared" ca="1" si="117"/>
        <v>149566.72624329955</v>
      </c>
      <c r="AB80" s="247">
        <f t="shared" ca="1" si="117"/>
        <v>150868.35383401104</v>
      </c>
      <c r="AC80" s="247">
        <f t="shared" ca="1" si="117"/>
        <v>152459.11731990584</v>
      </c>
      <c r="AD80" s="247">
        <f t="shared" ca="1" si="117"/>
        <v>154796.82987303688</v>
      </c>
      <c r="AE80" s="247">
        <f t="shared" ca="1" si="117"/>
        <v>156858.53861706826</v>
      </c>
      <c r="AF80" s="247">
        <f t="shared" ca="1" si="117"/>
        <v>163787.92864614955</v>
      </c>
      <c r="AG80" s="247">
        <f t="shared" ca="1" si="117"/>
        <v>167205.94209974509</v>
      </c>
      <c r="AH80" s="247">
        <f t="shared" ca="1" si="117"/>
        <v>179809.94752852462</v>
      </c>
      <c r="AI80" s="247">
        <f t="shared" ca="1" si="117"/>
        <v>180521.69836093878</v>
      </c>
      <c r="AJ80" s="247">
        <f t="shared" ca="1" si="117"/>
        <v>181233.31881539078</v>
      </c>
      <c r="AK80" s="247">
        <f t="shared" ca="1" si="117"/>
        <v>181537.20510961564</v>
      </c>
      <c r="AL80" s="247">
        <f t="shared" ca="1" si="117"/>
        <v>181623.66772220549</v>
      </c>
      <c r="AM80" s="247">
        <f t="shared" ca="1" si="117"/>
        <v>181709.80213915309</v>
      </c>
      <c r="AN80" s="247">
        <f t="shared" ca="1" si="117"/>
        <v>181795.60251443888</v>
      </c>
      <c r="AO80" s="247">
        <f t="shared" ca="1" si="117"/>
        <v>181881.06294940988</v>
      </c>
      <c r="AP80" s="247">
        <f t="shared" ca="1" si="117"/>
        <v>181966.17749238582</v>
      </c>
      <c r="AQ80" s="247">
        <f t="shared" ca="1" si="117"/>
        <v>182025.04847776698</v>
      </c>
      <c r="AR80" s="247">
        <f t="shared" ca="1" si="117"/>
        <v>182135.38654323798</v>
      </c>
      <c r="AS80" s="247">
        <f t="shared" ca="1" si="117"/>
        <v>182231.75681109502</v>
      </c>
      <c r="AT80" s="247">
        <f t="shared" ca="1" si="117"/>
        <v>188731.35141301222</v>
      </c>
      <c r="AU80" s="247">
        <f t="shared" ca="1" si="117"/>
        <v>188788.7146842113</v>
      </c>
      <c r="AV80" s="247">
        <f t="shared" ca="1" si="117"/>
        <v>188845.0174783917</v>
      </c>
      <c r="AW80" s="247">
        <f t="shared" ca="1" si="117"/>
        <v>188924.27493039687</v>
      </c>
      <c r="AX80" s="247">
        <f t="shared" ca="1" si="117"/>
        <v>189001.09579224436</v>
      </c>
      <c r="AY80" s="247">
        <f t="shared" ca="1" si="117"/>
        <v>189075.45856678646</v>
      </c>
      <c r="AZ80" s="247">
        <f t="shared" ca="1" si="117"/>
        <v>189147.34161856541</v>
      </c>
      <c r="BA80" s="247">
        <f t="shared" ca="1" si="117"/>
        <v>189216.72317301884</v>
      </c>
      <c r="BB80" s="247">
        <f t="shared" ca="1" si="117"/>
        <v>189283.58131568096</v>
      </c>
      <c r="BC80" s="247">
        <f t="shared" ca="1" si="117"/>
        <v>189328.88986425361</v>
      </c>
      <c r="BD80" s="247">
        <f t="shared" ca="1" si="117"/>
        <v>189409.92629988777</v>
      </c>
      <c r="BE80" s="247">
        <f t="shared" ca="1" si="117"/>
        <v>189479.1978695521</v>
      </c>
      <c r="BF80" s="247">
        <f t="shared" ca="1" si="117"/>
        <v>194693.30550743442</v>
      </c>
      <c r="BG80" s="247">
        <f t="shared" ca="1" si="117"/>
        <v>194735.93642423316</v>
      </c>
      <c r="BH80" s="247">
        <f t="shared" ca="1" si="117"/>
        <v>194779.30642331883</v>
      </c>
      <c r="BI80" s="247">
        <f t="shared" ca="1" si="117"/>
        <v>194841.77063700117</v>
      </c>
      <c r="BJ80" s="247">
        <f t="shared" ca="1" si="117"/>
        <v>194905.89023198039</v>
      </c>
      <c r="BK80" s="247">
        <f t="shared" ca="1" si="117"/>
        <v>194971.67662876725</v>
      </c>
      <c r="BL80" s="247">
        <f t="shared" ca="1" si="117"/>
        <v>195039.14131008921</v>
      </c>
      <c r="BM80" s="247">
        <f t="shared" ca="1" si="117"/>
        <v>195108.29582119689</v>
      </c>
      <c r="BN80" s="247">
        <f t="shared" ca="1" si="117"/>
        <v>195179.15177017194</v>
      </c>
      <c r="BO80" s="247">
        <f t="shared" ca="1" si="117"/>
        <v>195230.03757659855</v>
      </c>
      <c r="BP80" s="247">
        <f t="shared" ca="1" si="117"/>
        <v>195325.82514127085</v>
      </c>
      <c r="BQ80" s="247">
        <f t="shared" ca="1" si="117"/>
        <v>195411.24752827294</v>
      </c>
      <c r="BR80" s="247">
        <f t="shared" ca="1" si="117"/>
        <v>200901.80036423026</v>
      </c>
      <c r="BS80" s="247">
        <f t="shared" ref="BS80:ED80" ca="1" si="118">BS69+BS70+BS71+BS72+BS73+BS74+BS75+BS76+BS77+BS78+BS79</f>
        <v>200955.17237689265</v>
      </c>
      <c r="BT80" s="247">
        <f t="shared" ca="1" si="118"/>
        <v>201008.68969468545</v>
      </c>
      <c r="BU80" s="247">
        <f t="shared" ca="1" si="118"/>
        <v>201085.36859371501</v>
      </c>
      <c r="BV80" s="247">
        <f t="shared" ca="1" si="118"/>
        <v>201162.35268857458</v>
      </c>
      <c r="BW80" s="247">
        <f t="shared" ca="1" si="118"/>
        <v>201239.64321342189</v>
      </c>
      <c r="BX80" s="247">
        <f t="shared" ca="1" si="118"/>
        <v>201317.24140745527</v>
      </c>
      <c r="BY80" s="247">
        <f t="shared" ca="1" si="118"/>
        <v>201395.14851493438</v>
      </c>
      <c r="BZ80" s="247">
        <f t="shared" ca="1" si="118"/>
        <v>201473.36578520105</v>
      </c>
      <c r="CA80" s="247">
        <f t="shared" ca="1" si="118"/>
        <v>201528.29987094892</v>
      </c>
      <c r="CB80" s="247">
        <f t="shared" ca="1" si="118"/>
        <v>201630.70321746354</v>
      </c>
      <c r="CC80" s="247">
        <f t="shared" ca="1" si="118"/>
        <v>201720.79982124365</v>
      </c>
      <c r="CD80" s="247">
        <f t="shared" ca="1" si="118"/>
        <v>207392.09243770104</v>
      </c>
      <c r="CE80" s="247">
        <f t="shared" ca="1" si="118"/>
        <v>207447.62729165479</v>
      </c>
      <c r="CF80" s="247">
        <f t="shared" ca="1" si="118"/>
        <v>207503.31336294056</v>
      </c>
      <c r="CG80" s="247">
        <f t="shared" ca="1" si="118"/>
        <v>207583.13981589265</v>
      </c>
      <c r="CH80" s="247">
        <f t="shared" ca="1" si="118"/>
        <v>207663.2841342575</v>
      </c>
      <c r="CI80" s="247">
        <f t="shared" ca="1" si="118"/>
        <v>207743.74760379075</v>
      </c>
      <c r="CJ80" s="247">
        <f t="shared" ca="1" si="118"/>
        <v>207824.53151550016</v>
      </c>
      <c r="CK80" s="247">
        <f t="shared" ca="1" si="118"/>
        <v>207905.63716566743</v>
      </c>
      <c r="CL80" s="247">
        <f t="shared" ca="1" si="118"/>
        <v>207987.06585586988</v>
      </c>
      <c r="CM80" s="247">
        <f t="shared" ca="1" si="118"/>
        <v>208044.22695686226</v>
      </c>
      <c r="CN80" s="247">
        <f t="shared" ca="1" si="118"/>
        <v>208150.8635909459</v>
      </c>
      <c r="CO80" s="247">
        <f t="shared" ca="1" si="118"/>
        <v>208244.67304625767</v>
      </c>
      <c r="CP80" s="247">
        <f t="shared" ca="1" si="118"/>
        <v>214103.47873037262</v>
      </c>
      <c r="CQ80" s="247">
        <f t="shared" ca="1" si="118"/>
        <v>214161.26505288418</v>
      </c>
      <c r="CR80" s="247">
        <f t="shared" ca="1" si="118"/>
        <v>214219.20874794212</v>
      </c>
      <c r="CS80" s="247">
        <f t="shared" ca="1" si="118"/>
        <v>214302.31299168832</v>
      </c>
      <c r="CT80" s="247">
        <f t="shared" ca="1" si="118"/>
        <v>214385.74829904066</v>
      </c>
      <c r="CU80" s="247">
        <f t="shared" ca="1" si="118"/>
        <v>214469.51600951637</v>
      </c>
      <c r="CV80" s="247">
        <f t="shared" ca="1" si="118"/>
        <v>214553.61746810569</v>
      </c>
      <c r="CW80" s="247">
        <f t="shared" ca="1" si="118"/>
        <v>214638.05402529406</v>
      </c>
      <c r="CX80" s="247">
        <f t="shared" ca="1" si="118"/>
        <v>214722.82703708499</v>
      </c>
      <c r="CY80" s="247">
        <f t="shared" ca="1" si="118"/>
        <v>214782.3064375681</v>
      </c>
      <c r="CZ80" s="247">
        <f t="shared" ca="1" si="118"/>
        <v>214893.35244076571</v>
      </c>
      <c r="DA80" s="247">
        <f t="shared" ca="1" si="118"/>
        <v>214991.02882348257</v>
      </c>
      <c r="DB80" s="247">
        <f t="shared" ca="1" si="118"/>
        <v>221044.45056050239</v>
      </c>
      <c r="DC80" s="247">
        <f t="shared" ca="1" si="118"/>
        <v>221104.58064122219</v>
      </c>
      <c r="DD80" s="247">
        <f t="shared" ca="1" si="118"/>
        <v>221164.87450278076</v>
      </c>
      <c r="DE80" s="247">
        <f t="shared" ca="1" si="118"/>
        <v>221251.39219498402</v>
      </c>
      <c r="DF80" s="247">
        <f t="shared" ca="1" si="118"/>
        <v>221338.25469973349</v>
      </c>
      <c r="DG80" s="247">
        <f t="shared" ca="1" si="118"/>
        <v>221425.4634125632</v>
      </c>
      <c r="DH80" s="247">
        <f t="shared" ca="1" si="118"/>
        <v>221513.01973470973</v>
      </c>
      <c r="DI80" s="247">
        <f t="shared" ca="1" si="118"/>
        <v>221600.92507313596</v>
      </c>
      <c r="DJ80" s="247">
        <f t="shared" ca="1" si="118"/>
        <v>221689.18084055439</v>
      </c>
      <c r="DK80" s="247">
        <f t="shared" ca="1" si="118"/>
        <v>221751.07359779911</v>
      </c>
      <c r="DL80" s="247">
        <f t="shared" ca="1" si="118"/>
        <v>221866.71240881732</v>
      </c>
      <c r="DM80" s="247">
        <f t="shared" ca="1" si="118"/>
        <v>221968.41622159191</v>
      </c>
      <c r="DN80" s="247">
        <f t="shared" ca="1" si="118"/>
        <v>228223.90893829471</v>
      </c>
      <c r="DO80" s="247">
        <f t="shared" ca="1" si="118"/>
        <v>228286.47888154906</v>
      </c>
      <c r="DP80" s="247">
        <f t="shared" ca="1" si="118"/>
        <v>228349.21927749712</v>
      </c>
      <c r="DQ80" s="247">
        <f t="shared" ca="1" si="118"/>
        <v>228439.29172321816</v>
      </c>
      <c r="DR80" s="247">
        <f t="shared" ca="1" si="118"/>
        <v>228529.72330423823</v>
      </c>
      <c r="DS80" s="247">
        <f t="shared" ca="1" si="118"/>
        <v>228620.51547445756</v>
      </c>
      <c r="DT80" s="247">
        <f t="shared" ca="1" si="118"/>
        <v>228711.66969371866</v>
      </c>
      <c r="DU80" s="247">
        <f t="shared" ca="1" si="118"/>
        <v>228803.18742783077</v>
      </c>
      <c r="DV80" s="247">
        <f t="shared" ca="1" si="118"/>
        <v>228895.07014859421</v>
      </c>
      <c r="DW80" s="247">
        <f t="shared" ca="1" si="118"/>
        <v>228959.47524981468</v>
      </c>
      <c r="DX80" s="247">
        <f t="shared" ca="1" si="118"/>
        <v>229079.89797293398</v>
      </c>
      <c r="DY80" s="247">
        <f t="shared" ca="1" si="118"/>
        <v>229185.79641427728</v>
      </c>
      <c r="DZ80" s="247">
        <f t="shared" ca="1" si="118"/>
        <v>235651.19111459414</v>
      </c>
      <c r="EA80" s="247">
        <f t="shared" ca="1" si="118"/>
        <v>235716.30099803902</v>
      </c>
      <c r="EB80" s="247">
        <f t="shared" ca="1" si="118"/>
        <v>235781.58828051618</v>
      </c>
      <c r="EC80" s="247">
        <f t="shared" ca="1" si="118"/>
        <v>235875.36266832304</v>
      </c>
      <c r="ED80" s="247">
        <f t="shared" ca="1" si="118"/>
        <v>235969.51111202859</v>
      </c>
      <c r="EE80" s="247">
        <f ca="1">EE69+EE70+EE71+EE72+EE73+EE74+EE75+EE76+EE77+EE78+EE79</f>
        <v>236064.03512634791</v>
      </c>
      <c r="EF80" s="247">
        <f ca="1">EF69+EF70+EF71+EF72+EF73+EF74+EF75+EF76+EF77+EF78+EF79</f>
        <v>236158.93623218793</v>
      </c>
      <c r="EG80" s="247">
        <f ca="1">EG69+EG70+EG71+EG72+EG73+EG74+EG75+EG76+EG77+EG78+EG79</f>
        <v>236254.21595667279</v>
      </c>
      <c r="EH80" s="247">
        <f ca="1">EH69+EH70+EH71+EH72+EH73+EH74+EH75+EH76+EH77+EH78+EH79</f>
        <v>236349.8758331695</v>
      </c>
      <c r="EK80" s="280"/>
    </row>
    <row r="81" spans="1:141" s="273" customFormat="1" ht="15" thickBot="1" x14ac:dyDescent="0.35">
      <c r="A81" s="271" t="s">
        <v>856</v>
      </c>
      <c r="B81" s="256"/>
      <c r="C81" s="256"/>
      <c r="D81" s="256"/>
      <c r="E81" s="693">
        <f ca="1">(E66*12)-'Operating Inputs'!C130</f>
        <v>5036490.0228410577</v>
      </c>
      <c r="F81" s="693">
        <f ca="1">(F66*12)-'Operating Inputs'!F130</f>
        <v>5151499.8733088579</v>
      </c>
      <c r="G81" s="258">
        <f t="shared" ref="G81:BR81" ca="1" si="119">G66-G80</f>
        <v>0</v>
      </c>
      <c r="H81" s="258">
        <f t="shared" ca="1" si="119"/>
        <v>0</v>
      </c>
      <c r="I81" s="258">
        <f t="shared" ca="1" si="119"/>
        <v>0</v>
      </c>
      <c r="J81" s="258">
        <f t="shared" ca="1" si="119"/>
        <v>0</v>
      </c>
      <c r="K81" s="258">
        <f t="shared" ca="1" si="119"/>
        <v>0</v>
      </c>
      <c r="L81" s="258">
        <f t="shared" ca="1" si="119"/>
        <v>0</v>
      </c>
      <c r="M81" s="258">
        <f t="shared" ca="1" si="119"/>
        <v>0</v>
      </c>
      <c r="N81" s="258">
        <f t="shared" ca="1" si="119"/>
        <v>0</v>
      </c>
      <c r="O81" s="258">
        <f t="shared" ca="1" si="119"/>
        <v>0</v>
      </c>
      <c r="P81" s="258">
        <f t="shared" ca="1" si="119"/>
        <v>0</v>
      </c>
      <c r="Q81" s="258">
        <f t="shared" ca="1" si="119"/>
        <v>0</v>
      </c>
      <c r="R81" s="258">
        <f t="shared" ca="1" si="119"/>
        <v>0</v>
      </c>
      <c r="S81" s="258">
        <f t="shared" ca="1" si="119"/>
        <v>0</v>
      </c>
      <c r="T81" s="258">
        <f t="shared" ca="1" si="119"/>
        <v>-79914.316796474115</v>
      </c>
      <c r="U81" s="258">
        <f t="shared" ca="1" si="119"/>
        <v>-82060.245337504763</v>
      </c>
      <c r="V81" s="258">
        <f t="shared" ca="1" si="119"/>
        <v>-86595.158524060025</v>
      </c>
      <c r="W81" s="258">
        <f t="shared" ca="1" si="119"/>
        <v>-56402.494005308195</v>
      </c>
      <c r="X81" s="258">
        <f t="shared" ca="1" si="119"/>
        <v>-24108.319380961417</v>
      </c>
      <c r="Y81" s="258">
        <f t="shared" ca="1" si="119"/>
        <v>18209.854825437622</v>
      </c>
      <c r="Z81" s="258">
        <f t="shared" ca="1" si="119"/>
        <v>56500.143230712856</v>
      </c>
      <c r="AA81" s="258">
        <f t="shared" ca="1" si="119"/>
        <v>102946.80735325644</v>
      </c>
      <c r="AB81" s="258">
        <f t="shared" ca="1" si="119"/>
        <v>157875.37404944244</v>
      </c>
      <c r="AC81" s="258">
        <f t="shared" ca="1" si="119"/>
        <v>212821.87139084551</v>
      </c>
      <c r="AD81" s="258">
        <f t="shared" ca="1" si="119"/>
        <v>267330.11645634141</v>
      </c>
      <c r="AE81" s="258">
        <f t="shared" ca="1" si="119"/>
        <v>312914.23836094659</v>
      </c>
      <c r="AF81" s="258">
        <f t="shared" ca="1" si="119"/>
        <v>362378.97728815104</v>
      </c>
      <c r="AG81" s="258">
        <f t="shared" ca="1" si="119"/>
        <v>451816.95146866475</v>
      </c>
      <c r="AH81" s="258">
        <f t="shared" ca="1" si="119"/>
        <v>455463.29312051501</v>
      </c>
      <c r="AI81" s="258">
        <f t="shared" ca="1" si="119"/>
        <v>456766.44205825822</v>
      </c>
      <c r="AJ81" s="258">
        <f t="shared" ca="1" si="119"/>
        <v>458065.37544189114</v>
      </c>
      <c r="AK81" s="258">
        <f t="shared" ca="1" si="119"/>
        <v>460654.32296283479</v>
      </c>
      <c r="AL81" s="258">
        <f t="shared" ca="1" si="119"/>
        <v>463449.9474365738</v>
      </c>
      <c r="AM81" s="258">
        <f t="shared" ca="1" si="119"/>
        <v>466234.96025121259</v>
      </c>
      <c r="AN81" s="258">
        <f t="shared" ca="1" si="119"/>
        <v>469009.17238545336</v>
      </c>
      <c r="AO81" s="258">
        <f t="shared" ca="1" si="119"/>
        <v>471772.39311618236</v>
      </c>
      <c r="AP81" s="258">
        <f t="shared" ca="1" si="119"/>
        <v>474524.4300057377</v>
      </c>
      <c r="AQ81" s="258">
        <f t="shared" ca="1" si="119"/>
        <v>476427.92519972794</v>
      </c>
      <c r="AR81" s="258">
        <f t="shared" ca="1" si="119"/>
        <v>479995.52264995803</v>
      </c>
      <c r="AS81" s="258">
        <f t="shared" ca="1" si="119"/>
        <v>483111.49464400182</v>
      </c>
      <c r="AT81" s="258">
        <f t="shared" ca="1" si="119"/>
        <v>478559.14972743264</v>
      </c>
      <c r="AU81" s="258">
        <f t="shared" ca="1" si="119"/>
        <v>480413.89549620287</v>
      </c>
      <c r="AV81" s="258">
        <f t="shared" ca="1" si="119"/>
        <v>482234.35250803625</v>
      </c>
      <c r="AW81" s="258">
        <f t="shared" ca="1" si="119"/>
        <v>484797.01012287039</v>
      </c>
      <c r="AX81" s="258">
        <f t="shared" ca="1" si="119"/>
        <v>487280.88465593866</v>
      </c>
      <c r="AY81" s="258">
        <f t="shared" ca="1" si="119"/>
        <v>489685.28103279963</v>
      </c>
      <c r="AZ81" s="258">
        <f t="shared" ca="1" si="119"/>
        <v>492009.49970698566</v>
      </c>
      <c r="BA81" s="258">
        <f t="shared" ca="1" si="119"/>
        <v>494252.83663431375</v>
      </c>
      <c r="BB81" s="258">
        <f t="shared" ca="1" si="119"/>
        <v>496414.58324705542</v>
      </c>
      <c r="BC81" s="258">
        <f t="shared" ca="1" si="119"/>
        <v>497879.55965090473</v>
      </c>
      <c r="BD81" s="258">
        <f t="shared" ca="1" si="119"/>
        <v>500499.73773640854</v>
      </c>
      <c r="BE81" s="258">
        <f t="shared" ca="1" si="119"/>
        <v>502739.51848888909</v>
      </c>
      <c r="BF81" s="258">
        <f t="shared" ca="1" si="119"/>
        <v>498921.91795716889</v>
      </c>
      <c r="BG81" s="258">
        <f t="shared" ca="1" si="119"/>
        <v>500300.31760032848</v>
      </c>
      <c r="BH81" s="258">
        <f t="shared" ca="1" si="119"/>
        <v>501702.61423743202</v>
      </c>
      <c r="BI81" s="258">
        <f t="shared" ca="1" si="119"/>
        <v>503722.29047982744</v>
      </c>
      <c r="BJ81" s="258">
        <f t="shared" ca="1" si="119"/>
        <v>505795.49071748916</v>
      </c>
      <c r="BK81" s="258">
        <f t="shared" ca="1" si="119"/>
        <v>507922.58421359758</v>
      </c>
      <c r="BL81" s="258">
        <f t="shared" ca="1" si="119"/>
        <v>510103.94224300742</v>
      </c>
      <c r="BM81" s="258">
        <f t="shared" ca="1" si="119"/>
        <v>512339.93810215557</v>
      </c>
      <c r="BN81" s="258">
        <f t="shared" ca="1" si="119"/>
        <v>514630.94711901573</v>
      </c>
      <c r="BO81" s="258">
        <f t="shared" ca="1" si="119"/>
        <v>516276.25486014318</v>
      </c>
      <c r="BP81" s="258">
        <f t="shared" ca="1" si="119"/>
        <v>519373.38611788035</v>
      </c>
      <c r="BQ81" s="258">
        <f t="shared" ca="1" si="119"/>
        <v>522135.37663094851</v>
      </c>
      <c r="BR81" s="258">
        <f t="shared" ca="1" si="119"/>
        <v>518419.06054923532</v>
      </c>
      <c r="BS81" s="258">
        <f t="shared" ref="BS81:ED81" ca="1" si="120">BS66-BS80</f>
        <v>520144.75562531967</v>
      </c>
      <c r="BT81" s="258">
        <f t="shared" ca="1" si="120"/>
        <v>521875.14890061965</v>
      </c>
      <c r="BU81" s="258">
        <f t="shared" ca="1" si="120"/>
        <v>524354.43330257526</v>
      </c>
      <c r="BV81" s="258">
        <f t="shared" ca="1" si="120"/>
        <v>526843.58570303489</v>
      </c>
      <c r="BW81" s="258">
        <f t="shared" ca="1" si="120"/>
        <v>529342.6460064312</v>
      </c>
      <c r="BX81" s="258">
        <f t="shared" ca="1" si="120"/>
        <v>531851.65428017685</v>
      </c>
      <c r="BY81" s="258">
        <f t="shared" ca="1" si="120"/>
        <v>534370.65075533488</v>
      </c>
      <c r="BZ81" s="258">
        <f t="shared" ca="1" si="120"/>
        <v>536899.67582729051</v>
      </c>
      <c r="CA81" s="258">
        <f t="shared" ca="1" si="120"/>
        <v>538675.87793313887</v>
      </c>
      <c r="CB81" s="258">
        <f t="shared" ca="1" si="120"/>
        <v>541986.9194704449</v>
      </c>
      <c r="CC81" s="258">
        <f t="shared" ca="1" si="120"/>
        <v>544900.04299266823</v>
      </c>
      <c r="CD81" s="258">
        <f t="shared" ca="1" si="120"/>
        <v>541074.88530461828</v>
      </c>
      <c r="CE81" s="258">
        <f t="shared" ca="1" si="120"/>
        <v>542870.51224912284</v>
      </c>
      <c r="CF81" s="258">
        <f t="shared" ca="1" si="120"/>
        <v>544671.02855402918</v>
      </c>
      <c r="CG81" s="258">
        <f t="shared" ca="1" si="120"/>
        <v>547252.08386614628</v>
      </c>
      <c r="CH81" s="258">
        <f t="shared" ca="1" si="120"/>
        <v>549843.41682661092</v>
      </c>
      <c r="CI81" s="258">
        <f t="shared" ca="1" si="120"/>
        <v>552445.0690081853</v>
      </c>
      <c r="CJ81" s="258">
        <f t="shared" ca="1" si="120"/>
        <v>555057.08215345617</v>
      </c>
      <c r="CK81" s="258">
        <f t="shared" ca="1" si="120"/>
        <v>557679.49817553186</v>
      </c>
      <c r="CL81" s="258">
        <f t="shared" ca="1" si="120"/>
        <v>560312.35915874352</v>
      </c>
      <c r="CM81" s="258">
        <f t="shared" ca="1" si="120"/>
        <v>562160.56809083058</v>
      </c>
      <c r="CN81" s="258">
        <f t="shared" ca="1" si="120"/>
        <v>565608.48592620203</v>
      </c>
      <c r="CO81" s="258">
        <f t="shared" ca="1" si="120"/>
        <v>568641.65831461549</v>
      </c>
      <c r="CP81" s="258">
        <f t="shared" ca="1" si="120"/>
        <v>564703.83189703058</v>
      </c>
      <c r="CQ81" s="258">
        <f t="shared" ca="1" si="120"/>
        <v>566572.25632490334</v>
      </c>
      <c r="CR81" s="258">
        <f t="shared" ca="1" si="120"/>
        <v>568445.76913177699</v>
      </c>
      <c r="CS81" s="258">
        <f t="shared" ca="1" si="120"/>
        <v>571132.80634623789</v>
      </c>
      <c r="CT81" s="258">
        <f t="shared" ca="1" si="120"/>
        <v>573830.54795062961</v>
      </c>
      <c r="CU81" s="258">
        <f t="shared" ca="1" si="120"/>
        <v>576539.03725601151</v>
      </c>
      <c r="CV81" s="258">
        <f t="shared" ca="1" si="120"/>
        <v>579258.317750399</v>
      </c>
      <c r="CW81" s="258">
        <f t="shared" ca="1" si="120"/>
        <v>581988.43309949036</v>
      </c>
      <c r="CX81" s="258">
        <f t="shared" ca="1" si="120"/>
        <v>584729.42714739719</v>
      </c>
      <c r="CY81" s="258">
        <f t="shared" ca="1" si="120"/>
        <v>586652.59442968457</v>
      </c>
      <c r="CZ81" s="258">
        <f t="shared" ca="1" si="120"/>
        <v>590243.08186640718</v>
      </c>
      <c r="DA81" s="258">
        <f t="shared" ca="1" si="120"/>
        <v>593401.28490758489</v>
      </c>
      <c r="DB81" s="258">
        <f t="shared" ca="1" si="120"/>
        <v>589346.75468405487</v>
      </c>
      <c r="DC81" s="258">
        <f t="shared" ca="1" si="120"/>
        <v>591290.96062732779</v>
      </c>
      <c r="DD81" s="258">
        <f t="shared" ca="1" si="120"/>
        <v>593240.46215105522</v>
      </c>
      <c r="DE81" s="258">
        <f t="shared" ca="1" si="120"/>
        <v>596037.86753229378</v>
      </c>
      <c r="DF81" s="258">
        <f t="shared" ca="1" si="120"/>
        <v>598846.42185252707</v>
      </c>
      <c r="DG81" s="258">
        <f t="shared" ca="1" si="120"/>
        <v>601666.17023402033</v>
      </c>
      <c r="DH81" s="258">
        <f t="shared" ca="1" si="120"/>
        <v>604497.15798342554</v>
      </c>
      <c r="DI81" s="258">
        <f t="shared" ca="1" si="120"/>
        <v>607339.43059254042</v>
      </c>
      <c r="DJ81" s="258">
        <f t="shared" ca="1" si="120"/>
        <v>610193.03373906901</v>
      </c>
      <c r="DK81" s="258">
        <f t="shared" ca="1" si="120"/>
        <v>612194.23288998241</v>
      </c>
      <c r="DL81" s="258">
        <f t="shared" ca="1" si="120"/>
        <v>615933.22111290391</v>
      </c>
      <c r="DM81" s="258">
        <f t="shared" ca="1" si="120"/>
        <v>619221.64439261565</v>
      </c>
      <c r="DN81" s="258">
        <f t="shared" ca="1" si="120"/>
        <v>615046.15015253832</v>
      </c>
      <c r="DO81" s="258">
        <f t="shared" ca="1" si="120"/>
        <v>617069.24498442945</v>
      </c>
      <c r="DP81" s="258">
        <f t="shared" ca="1" si="120"/>
        <v>619097.85112008266</v>
      </c>
      <c r="DQ81" s="258">
        <f t="shared" ca="1" si="120"/>
        <v>622010.19353173045</v>
      </c>
      <c r="DR81" s="258">
        <f t="shared" ca="1" si="120"/>
        <v>624934.14798471192</v>
      </c>
      <c r="DS81" s="258">
        <f t="shared" ca="1" si="120"/>
        <v>627869.76148847025</v>
      </c>
      <c r="DT81" s="258">
        <f t="shared" ca="1" si="120"/>
        <v>630817.08124458021</v>
      </c>
      <c r="DU81" s="258">
        <f t="shared" ca="1" si="120"/>
        <v>633776.15464753821</v>
      </c>
      <c r="DV81" s="258">
        <f t="shared" ca="1" si="120"/>
        <v>636747.02928555524</v>
      </c>
      <c r="DW81" s="258">
        <f t="shared" ca="1" si="120"/>
        <v>638829.46089168428</v>
      </c>
      <c r="DX81" s="258">
        <f t="shared" ca="1" si="120"/>
        <v>642723.12893920788</v>
      </c>
      <c r="DY81" s="258">
        <f t="shared" ca="1" si="120"/>
        <v>646147.17854264204</v>
      </c>
      <c r="DZ81" s="258">
        <f t="shared" ca="1" si="120"/>
        <v>641846.21607953717</v>
      </c>
      <c r="EA81" s="258">
        <f t="shared" ca="1" si="120"/>
        <v>643951.43564425432</v>
      </c>
      <c r="EB81" s="258">
        <f t="shared" ca="1" si="120"/>
        <v>646062.39111101639</v>
      </c>
      <c r="EC81" s="258">
        <f t="shared" ca="1" si="120"/>
        <v>649094.42965010437</v>
      </c>
      <c r="ED81" s="258">
        <f t="shared" ca="1" si="120"/>
        <v>652138.56266325037</v>
      </c>
      <c r="EE81" s="258">
        <f ca="1">EE66-EE80</f>
        <v>655194.83912624221</v>
      </c>
      <c r="EF81" s="258">
        <f ca="1">EF66-EF80</f>
        <v>658263.30821506947</v>
      </c>
      <c r="EG81" s="258">
        <f ca="1">EG66-EG80</f>
        <v>661344.01930674643</v>
      </c>
      <c r="EH81" s="258">
        <f ca="1">EH66-EH80</f>
        <v>664437.02198014036</v>
      </c>
      <c r="EI81" s="272"/>
      <c r="EJ81"/>
      <c r="EK81" s="672"/>
    </row>
    <row r="82" spans="1:141" s="273" customFormat="1" ht="15" thickTop="1" x14ac:dyDescent="0.3">
      <c r="A82" s="279" t="s">
        <v>2409</v>
      </c>
      <c r="E82" s="694"/>
      <c r="F82" s="694"/>
      <c r="G82" s="279"/>
      <c r="H82" s="279"/>
      <c r="I82" s="279"/>
      <c r="J82" s="279"/>
      <c r="K82" s="279"/>
      <c r="L82" s="279"/>
      <c r="M82" s="279"/>
      <c r="N82" s="279"/>
      <c r="O82" s="279"/>
      <c r="P82" s="279"/>
      <c r="Q82" s="279"/>
      <c r="R82" s="279">
        <f t="shared" ref="R82:AW82" si="121">IF(R6&gt;=DateFinalUnits,SUM(G81:R81)/TotalProjectCost,0)</f>
        <v>0</v>
      </c>
      <c r="S82" s="279">
        <f t="shared" si="121"/>
        <v>0</v>
      </c>
      <c r="T82" s="279">
        <f t="shared" si="121"/>
        <v>0</v>
      </c>
      <c r="U82" s="279">
        <f t="shared" si="121"/>
        <v>0</v>
      </c>
      <c r="V82" s="279">
        <f t="shared" si="121"/>
        <v>0</v>
      </c>
      <c r="W82" s="279">
        <f t="shared" si="121"/>
        <v>0</v>
      </c>
      <c r="X82" s="279">
        <f t="shared" si="121"/>
        <v>0</v>
      </c>
      <c r="Y82" s="279">
        <f t="shared" si="121"/>
        <v>0</v>
      </c>
      <c r="Z82" s="279">
        <f t="shared" si="121"/>
        <v>0</v>
      </c>
      <c r="AA82" s="279">
        <f t="shared" si="121"/>
        <v>0</v>
      </c>
      <c r="AB82" s="279">
        <f t="shared" si="121"/>
        <v>0</v>
      </c>
      <c r="AC82" s="279">
        <f t="shared" si="121"/>
        <v>0</v>
      </c>
      <c r="AD82" s="279">
        <f t="shared" si="121"/>
        <v>0</v>
      </c>
      <c r="AE82" s="279">
        <f t="shared" ca="1" si="121"/>
        <v>1.025553776546498E-2</v>
      </c>
      <c r="AF82" s="279">
        <f t="shared" ca="1" si="121"/>
        <v>1.5928901353561842E-2</v>
      </c>
      <c r="AG82" s="279">
        <f t="shared" ca="1" si="121"/>
        <v>2.2777025639831985E-2</v>
      </c>
      <c r="AH82" s="279">
        <f t="shared" ca="1" si="121"/>
        <v>2.9730092130575772E-2</v>
      </c>
      <c r="AI82" s="279">
        <f t="shared" ca="1" si="121"/>
        <v>3.6312588395708841E-2</v>
      </c>
      <c r="AJ82" s="279">
        <f t="shared" ca="1" si="121"/>
        <v>4.2497503970808426E-2</v>
      </c>
      <c r="AK82" s="279">
        <f t="shared" ca="1" si="121"/>
        <v>4.8172806691553091E-2</v>
      </c>
      <c r="AL82" s="279">
        <f t="shared" ca="1" si="121"/>
        <v>5.3392813940686137E-2</v>
      </c>
      <c r="AM82" s="279">
        <f t="shared" ca="1" si="121"/>
        <v>5.8052766524647047E-2</v>
      </c>
      <c r="AN82" s="279">
        <f t="shared" ca="1" si="121"/>
        <v>6.2043727242600093E-2</v>
      </c>
      <c r="AO82" s="279">
        <f t="shared" ca="1" si="121"/>
        <v>6.536532510701204E-2</v>
      </c>
      <c r="AP82" s="279">
        <f t="shared" ca="1" si="121"/>
        <v>6.8023038189876359E-2</v>
      </c>
      <c r="AQ82" s="279">
        <f t="shared" ca="1" si="121"/>
        <v>7.0120453207181868E-2</v>
      </c>
      <c r="AR82" s="279">
        <f t="shared" ca="1" si="121"/>
        <v>7.1629138585725602E-2</v>
      </c>
      <c r="AS82" s="279">
        <f t="shared" ca="1" si="121"/>
        <v>7.2030558467355343E-2</v>
      </c>
      <c r="AT82" s="279">
        <f t="shared" ca="1" si="121"/>
        <v>7.2326812545050051E-2</v>
      </c>
      <c r="AU82" s="279">
        <f t="shared" ca="1" si="121"/>
        <v>7.2630142039483633E-2</v>
      </c>
      <c r="AV82" s="279">
        <f t="shared" ca="1" si="121"/>
        <v>7.2940161197093525E-2</v>
      </c>
      <c r="AW82" s="279">
        <f t="shared" ca="1" si="121"/>
        <v>7.3249843130065245E-2</v>
      </c>
      <c r="AX82" s="279">
        <f t="shared" ref="AX82:CC82" ca="1" si="122">IF(AX6&gt;=DateFinalUnits,SUM(AM81:AX81)/TotalProjectCost,0)</f>
        <v>7.3555526198967255E-2</v>
      </c>
      <c r="AY82" s="279">
        <f t="shared" ca="1" si="122"/>
        <v>7.385632704273043E-2</v>
      </c>
      <c r="AZ82" s="279">
        <f t="shared" ca="1" si="122"/>
        <v>7.4151355751701356E-2</v>
      </c>
      <c r="BA82" s="279">
        <f t="shared" ca="1" si="122"/>
        <v>7.4439715831778983E-2</v>
      </c>
      <c r="BB82" s="279">
        <f t="shared" ca="1" si="122"/>
        <v>7.4720504168383037E-2</v>
      </c>
      <c r="BC82" s="279">
        <f t="shared" ca="1" si="122"/>
        <v>7.4995667557537171E-2</v>
      </c>
      <c r="BD82" s="279">
        <f t="shared" ca="1" si="122"/>
        <v>7.5258678253900382E-2</v>
      </c>
      <c r="BE82" s="279">
        <f t="shared" ca="1" si="122"/>
        <v>7.5510449911479635E-2</v>
      </c>
      <c r="BF82" s="279">
        <f t="shared" ca="1" si="122"/>
        <v>7.5771646247423496E-2</v>
      </c>
      <c r="BG82" s="279">
        <f t="shared" ca="1" si="122"/>
        <v>7.6026732418911974E-2</v>
      </c>
      <c r="BH82" s="279">
        <f t="shared" ca="1" si="122"/>
        <v>7.6276454783452186E-2</v>
      </c>
      <c r="BI82" s="279">
        <f t="shared" ca="1" si="122"/>
        <v>7.6519212243055773E-2</v>
      </c>
      <c r="BJ82" s="279">
        <f t="shared" ca="1" si="122"/>
        <v>7.6756701920793161E-2</v>
      </c>
      <c r="BK82" s="279">
        <f t="shared" ca="1" si="122"/>
        <v>7.6990634592155854E-2</v>
      </c>
      <c r="BL82" s="279">
        <f t="shared" ca="1" si="122"/>
        <v>7.722273476822393E-2</v>
      </c>
      <c r="BM82" s="279">
        <f t="shared" ca="1" si="122"/>
        <v>7.7454740779290043E-2</v>
      </c>
      <c r="BN82" s="279">
        <f t="shared" ca="1" si="122"/>
        <v>7.7688404858942434E-2</v>
      </c>
      <c r="BO82" s="279">
        <f t="shared" ca="1" si="122"/>
        <v>7.792438207618109E-2</v>
      </c>
      <c r="BP82" s="279">
        <f t="shared" ca="1" si="122"/>
        <v>7.8166477244554819E-2</v>
      </c>
      <c r="BQ82" s="279">
        <f t="shared" ca="1" si="122"/>
        <v>7.8415270877229687E-2</v>
      </c>
      <c r="BR82" s="279">
        <f t="shared" ca="1" si="122"/>
        <v>7.8665363701003313E-2</v>
      </c>
      <c r="BS82" s="279">
        <f t="shared" ca="1" si="122"/>
        <v>7.8919911336300913E-2</v>
      </c>
      <c r="BT82" s="279">
        <f t="shared" ca="1" si="122"/>
        <v>7.9178667517252305E-2</v>
      </c>
      <c r="BU82" s="279">
        <f t="shared" ca="1" si="122"/>
        <v>7.9443319162213935E-2</v>
      </c>
      <c r="BV82" s="279">
        <f t="shared" ca="1" si="122"/>
        <v>7.9713306289052335E-2</v>
      </c>
      <c r="BW82" s="279">
        <f t="shared" ca="1" si="122"/>
        <v>7.9988064690899127E-2</v>
      </c>
      <c r="BX82" s="279">
        <f t="shared" ca="1" si="122"/>
        <v>8.0267025912437534E-2</v>
      </c>
      <c r="BY82" s="279">
        <f t="shared" ca="1" si="122"/>
        <v>8.0549617226070375E-2</v>
      </c>
      <c r="BZ82" s="279">
        <f t="shared" ca="1" si="122"/>
        <v>8.0835261607969056E-2</v>
      </c>
      <c r="CA82" s="279">
        <f t="shared" ca="1" si="122"/>
        <v>8.1122584991861729E-2</v>
      </c>
      <c r="CB82" s="279">
        <f t="shared" ca="1" si="122"/>
        <v>8.1412652235558408E-2</v>
      </c>
      <c r="CC82" s="279">
        <f t="shared" ca="1" si="122"/>
        <v>8.1704658085430176E-2</v>
      </c>
      <c r="CD82" s="279">
        <f t="shared" ref="CD82:DI82" ca="1" si="123">IF(CD6&gt;=DateFinalUnits,SUM(BS81:CD81)/TotalProjectCost,0)</f>
        <v>8.1995267807405514E-2</v>
      </c>
      <c r="CE82" s="279">
        <f t="shared" ca="1" si="123"/>
        <v>8.2286774556130413E-2</v>
      </c>
      <c r="CF82" s="279">
        <f t="shared" ca="1" si="123"/>
        <v>8.2579180783658557E-2</v>
      </c>
      <c r="CG82" s="279">
        <f t="shared" ca="1" si="123"/>
        <v>8.287289244218414E-2</v>
      </c>
      <c r="CH82" s="279">
        <f t="shared" ca="1" si="123"/>
        <v>8.3167914786348163E-2</v>
      </c>
      <c r="CI82" s="279">
        <f t="shared" ca="1" si="123"/>
        <v>8.3464253092191618E-2</v>
      </c>
      <c r="CJ82" s="279">
        <f t="shared" ca="1" si="123"/>
        <v>8.376191265724324E-2</v>
      </c>
      <c r="CK82" s="279">
        <f t="shared" ca="1" si="123"/>
        <v>8.4060898800607506E-2</v>
      </c>
      <c r="CL82" s="279">
        <f t="shared" ca="1" si="123"/>
        <v>8.4361216863053423E-2</v>
      </c>
      <c r="CM82" s="279">
        <f t="shared" ca="1" si="123"/>
        <v>8.4662458568049492E-2</v>
      </c>
      <c r="CN82" s="279">
        <f t="shared" ca="1" si="123"/>
        <v>8.4965456006211568E-2</v>
      </c>
      <c r="CO82" s="279">
        <f t="shared" ca="1" si="123"/>
        <v>8.5269993329502677E-2</v>
      </c>
      <c r="CP82" s="279">
        <f t="shared" ca="1" si="123"/>
        <v>8.5573085433804E-2</v>
      </c>
      <c r="CQ82" s="279">
        <f t="shared" ca="1" si="123"/>
        <v>8.5877111322535185E-2</v>
      </c>
      <c r="CR82" s="279">
        <f t="shared" ca="1" si="123"/>
        <v>8.6182073548538171E-2</v>
      </c>
      <c r="CS82" s="279">
        <f t="shared" ca="1" si="123"/>
        <v>8.6488395220577982E-2</v>
      </c>
      <c r="CT82" s="279">
        <f t="shared" ca="1" si="123"/>
        <v>8.6796081812534037E-2</v>
      </c>
      <c r="CU82" s="279">
        <f t="shared" ca="1" si="123"/>
        <v>8.7105138820583156E-2</v>
      </c>
      <c r="CV82" s="279">
        <f t="shared" ca="1" si="123"/>
        <v>8.7415571763291025E-2</v>
      </c>
      <c r="CW82" s="279">
        <f t="shared" ca="1" si="123"/>
        <v>8.7727386181704115E-2</v>
      </c>
      <c r="CX82" s="279">
        <f t="shared" ca="1" si="123"/>
        <v>8.8040587639441781E-2</v>
      </c>
      <c r="CY82" s="279">
        <f t="shared" ca="1" si="123"/>
        <v>8.8354750599378015E-2</v>
      </c>
      <c r="CZ82" s="279">
        <f t="shared" ca="1" si="123"/>
        <v>8.8670742321350388E-2</v>
      </c>
      <c r="DA82" s="279">
        <f t="shared" ca="1" si="123"/>
        <v>8.8988337830588543E-2</v>
      </c>
      <c r="DB82" s="279">
        <f t="shared" ca="1" si="123"/>
        <v>8.9304436362295972E-2</v>
      </c>
      <c r="DC82" s="279">
        <f t="shared" ca="1" si="123"/>
        <v>8.9621506955067556E-2</v>
      </c>
      <c r="DD82" s="279">
        <f t="shared" ca="1" si="123"/>
        <v>8.9939552266707967E-2</v>
      </c>
      <c r="DE82" s="279">
        <f t="shared" ca="1" si="123"/>
        <v>9.0259013287668555E-2</v>
      </c>
      <c r="DF82" s="279">
        <f t="shared" ca="1" si="123"/>
        <v>9.0579895720248008E-2</v>
      </c>
      <c r="DG82" s="279">
        <f t="shared" ca="1" si="123"/>
        <v>9.0902205289977611E-2</v>
      </c>
      <c r="DH82" s="279">
        <f t="shared" ca="1" si="123"/>
        <v>9.1225947745716601E-2</v>
      </c>
      <c r="DI82" s="279">
        <f t="shared" ca="1" si="123"/>
        <v>9.1551128859747893E-2</v>
      </c>
      <c r="DJ82" s="279">
        <f t="shared" ref="DJ82:EH82" ca="1" si="124">IF(DJ6&gt;=DateFinalUnits,SUM(CY81:DJ81)/TotalProjectCost,0)</f>
        <v>9.1877754427874131E-2</v>
      </c>
      <c r="DK82" s="279">
        <f t="shared" ca="1" si="124"/>
        <v>9.2205380922688804E-2</v>
      </c>
      <c r="DL82" s="279">
        <f t="shared" ca="1" si="124"/>
        <v>9.2534912259752952E-2</v>
      </c>
      <c r="DM82" s="279">
        <f t="shared" ca="1" si="124"/>
        <v>9.2866113951691601E-2</v>
      </c>
      <c r="DN82" s="279">
        <f t="shared" ca="1" si="124"/>
        <v>9.3195764019727886E-2</v>
      </c>
      <c r="DO82" s="279">
        <f t="shared" ca="1" si="124"/>
        <v>9.3526426007578878E-2</v>
      </c>
      <c r="DP82" s="279">
        <f t="shared" ca="1" si="124"/>
        <v>9.3858102682360375E-2</v>
      </c>
      <c r="DQ82" s="279">
        <f t="shared" ca="1" si="124"/>
        <v>9.4191253671973132E-2</v>
      </c>
      <c r="DR82" s="279">
        <f t="shared" ca="1" si="124"/>
        <v>9.452588491670158E-2</v>
      </c>
      <c r="DS82" s="279">
        <f t="shared" ca="1" si="124"/>
        <v>9.4862002381037189E-2</v>
      </c>
      <c r="DT82" s="279">
        <f t="shared" ca="1" si="124"/>
        <v>9.5199612053777957E-2</v>
      </c>
      <c r="DU82" s="279">
        <f t="shared" ca="1" si="124"/>
        <v>9.5538719948128015E-2</v>
      </c>
      <c r="DV82" s="279">
        <f t="shared" ca="1" si="124"/>
        <v>9.5879332101797915E-2</v>
      </c>
      <c r="DW82" s="279">
        <f t="shared" ca="1" si="124"/>
        <v>9.6220986236568953E-2</v>
      </c>
      <c r="DX82" s="279">
        <f t="shared" ca="1" si="124"/>
        <v>9.6564624473058122E-2</v>
      </c>
      <c r="DY82" s="279">
        <f t="shared" ca="1" si="124"/>
        <v>9.6910002409101581E-2</v>
      </c>
      <c r="DZ82" s="279">
        <f t="shared" ca="1" si="124"/>
        <v>9.7253770945098739E-2</v>
      </c>
      <c r="EA82" s="279">
        <f t="shared" ca="1" si="124"/>
        <v>9.7598592907578108E-2</v>
      </c>
      <c r="EB82" s="279">
        <f t="shared" ca="1" si="124"/>
        <v>9.7944471177496148E-2</v>
      </c>
      <c r="EC82" s="279">
        <f t="shared" ca="1" si="124"/>
        <v>9.8291884807909458E-2</v>
      </c>
      <c r="ED82" s="279">
        <f t="shared" ca="1" si="124"/>
        <v>9.8640839987056222E-2</v>
      </c>
      <c r="EE82" s="279">
        <f t="shared" ca="1" si="124"/>
        <v>9.8991342928397202E-2</v>
      </c>
      <c r="EF82" s="279">
        <f t="shared" ca="1" si="124"/>
        <v>9.9343399870719343E-2</v>
      </c>
      <c r="EG82" s="279">
        <f t="shared" ca="1" si="124"/>
        <v>9.969701707823958E-2</v>
      </c>
      <c r="EH82" s="279">
        <f t="shared" ca="1" si="124"/>
        <v>0.10005220084070937</v>
      </c>
      <c r="EI82" s="272"/>
      <c r="EJ82"/>
      <c r="EK82" s="280"/>
    </row>
    <row r="83" spans="1:141" ht="7.5" customHeight="1" thickBot="1" x14ac:dyDescent="0.35">
      <c r="G83" s="229"/>
      <c r="H83" s="229"/>
      <c r="I83" s="229"/>
      <c r="J83" s="229"/>
      <c r="K83" s="229"/>
      <c r="L83" s="229"/>
      <c r="M83" s="229"/>
      <c r="N83" s="229"/>
      <c r="O83" s="229"/>
      <c r="P83" s="229"/>
      <c r="Q83" s="229"/>
      <c r="R83" s="229"/>
      <c r="S83" s="229"/>
      <c r="T83" s="280"/>
      <c r="U83" s="280"/>
      <c r="V83" s="280"/>
      <c r="W83" s="280"/>
      <c r="X83" s="280"/>
      <c r="Y83" s="280"/>
      <c r="Z83" s="280"/>
      <c r="AA83" s="280"/>
      <c r="AB83" s="280"/>
      <c r="AC83" s="280"/>
      <c r="AD83" s="280"/>
      <c r="AE83" s="280"/>
      <c r="AF83" s="280"/>
      <c r="AG83" s="280"/>
      <c r="AH83" s="280"/>
      <c r="AI83" s="280"/>
      <c r="AJ83" s="280"/>
      <c r="AK83" s="280"/>
      <c r="AL83" s="280"/>
      <c r="AM83" s="280"/>
      <c r="AN83" s="280"/>
      <c r="AO83" s="280"/>
      <c r="AP83" s="280"/>
      <c r="AQ83" s="280"/>
      <c r="AR83" s="280"/>
      <c r="AS83" s="280"/>
      <c r="AT83" s="280"/>
      <c r="AU83" s="280"/>
      <c r="AV83" s="280"/>
      <c r="AW83" s="280"/>
      <c r="AX83" s="280"/>
      <c r="AY83" s="280"/>
      <c r="AZ83" s="280"/>
      <c r="BA83" s="280"/>
      <c r="BB83" s="280"/>
      <c r="BC83" s="280"/>
      <c r="BD83" s="280"/>
      <c r="BE83" s="280"/>
      <c r="BF83" s="280"/>
      <c r="BG83" s="280"/>
      <c r="BH83" s="280"/>
      <c r="BI83" s="280"/>
      <c r="BJ83" s="280"/>
      <c r="BK83" s="280"/>
      <c r="BL83" s="280"/>
      <c r="BM83" s="280"/>
      <c r="BN83" s="280"/>
      <c r="BO83" s="280"/>
      <c r="BP83" s="280"/>
      <c r="BQ83" s="280"/>
      <c r="BR83" s="280"/>
      <c r="BS83" s="280"/>
      <c r="BT83" s="280"/>
      <c r="BU83" s="280"/>
      <c r="BV83" s="280"/>
      <c r="BW83" s="280"/>
      <c r="BX83" s="280"/>
      <c r="BY83" s="280"/>
      <c r="BZ83" s="280"/>
      <c r="CA83" s="280"/>
      <c r="CB83" s="280"/>
      <c r="CC83" s="280"/>
      <c r="CD83" s="280"/>
      <c r="CE83" s="280"/>
      <c r="CF83" s="280"/>
      <c r="CG83" s="280"/>
      <c r="CH83" s="280"/>
      <c r="CI83" s="280"/>
      <c r="CJ83" s="280"/>
      <c r="CK83" s="280"/>
      <c r="CL83" s="280"/>
      <c r="CM83" s="280"/>
      <c r="CN83" s="280"/>
      <c r="CO83" s="280"/>
      <c r="CP83" s="280"/>
      <c r="CQ83" s="280"/>
      <c r="CR83" s="280"/>
      <c r="CS83" s="280"/>
      <c r="CT83" s="280"/>
      <c r="CU83" s="280"/>
      <c r="CV83" s="280"/>
      <c r="CW83" s="280"/>
      <c r="CX83" s="280"/>
      <c r="CY83" s="280"/>
      <c r="CZ83" s="280"/>
      <c r="DA83" s="280"/>
      <c r="DB83" s="280"/>
      <c r="DC83" s="280"/>
      <c r="DD83" s="280"/>
      <c r="DE83" s="280"/>
      <c r="DF83" s="280"/>
      <c r="DG83" s="280"/>
      <c r="DH83" s="280"/>
      <c r="DI83" s="280"/>
      <c r="DJ83" s="280"/>
      <c r="DK83" s="280"/>
      <c r="DL83" s="280"/>
      <c r="DM83" s="280"/>
      <c r="DN83" s="280"/>
      <c r="DO83" s="280"/>
      <c r="DP83" s="280"/>
      <c r="DQ83" s="280"/>
      <c r="DR83" s="280"/>
      <c r="DS83" s="280"/>
      <c r="DT83" s="280"/>
      <c r="DU83" s="280"/>
      <c r="DV83" s="280"/>
      <c r="DW83" s="280"/>
      <c r="DX83" s="280"/>
      <c r="DY83" s="280"/>
      <c r="DZ83" s="280"/>
      <c r="EA83" s="280"/>
      <c r="EB83" s="280"/>
      <c r="EC83" s="280"/>
      <c r="ED83" s="280"/>
      <c r="EE83" s="280"/>
      <c r="EF83" s="280"/>
      <c r="EG83" s="280"/>
      <c r="EH83" s="280"/>
      <c r="EI83" s="272"/>
      <c r="EK83" s="672"/>
    </row>
    <row r="84" spans="1:141" ht="15" thickTop="1" x14ac:dyDescent="0.3">
      <c r="A84" s="2779" t="s">
        <v>2410</v>
      </c>
      <c r="B84" s="2780"/>
      <c r="C84" s="2781"/>
      <c r="D84" s="695"/>
      <c r="E84" s="696"/>
      <c r="F84" s="696"/>
      <c r="G84" s="695">
        <f t="shared" ref="G84:BR84" si="125">G5</f>
        <v>1</v>
      </c>
      <c r="H84" s="695">
        <f t="shared" si="125"/>
        <v>2</v>
      </c>
      <c r="I84" s="695">
        <f t="shared" si="125"/>
        <v>3</v>
      </c>
      <c r="J84" s="695">
        <f t="shared" si="125"/>
        <v>4</v>
      </c>
      <c r="K84" s="695">
        <f t="shared" si="125"/>
        <v>5</v>
      </c>
      <c r="L84" s="695">
        <f t="shared" si="125"/>
        <v>6</v>
      </c>
      <c r="M84" s="695">
        <f t="shared" si="125"/>
        <v>7</v>
      </c>
      <c r="N84" s="695">
        <f t="shared" si="125"/>
        <v>8</v>
      </c>
      <c r="O84" s="695">
        <f t="shared" si="125"/>
        <v>9</v>
      </c>
      <c r="P84" s="695">
        <f t="shared" si="125"/>
        <v>10</v>
      </c>
      <c r="Q84" s="695">
        <f t="shared" si="125"/>
        <v>11</v>
      </c>
      <c r="R84" s="695">
        <f t="shared" si="125"/>
        <v>12</v>
      </c>
      <c r="S84" s="695">
        <f t="shared" si="125"/>
        <v>13</v>
      </c>
      <c r="T84" s="695">
        <f t="shared" si="125"/>
        <v>14</v>
      </c>
      <c r="U84" s="695">
        <f t="shared" si="125"/>
        <v>15</v>
      </c>
      <c r="V84" s="695">
        <f t="shared" si="125"/>
        <v>16</v>
      </c>
      <c r="W84" s="695">
        <f t="shared" si="125"/>
        <v>17</v>
      </c>
      <c r="X84" s="695">
        <f t="shared" si="125"/>
        <v>18</v>
      </c>
      <c r="Y84" s="695">
        <f t="shared" si="125"/>
        <v>19</v>
      </c>
      <c r="Z84" s="695">
        <f t="shared" si="125"/>
        <v>20</v>
      </c>
      <c r="AA84" s="695">
        <f t="shared" si="125"/>
        <v>21</v>
      </c>
      <c r="AB84" s="695">
        <f t="shared" si="125"/>
        <v>22</v>
      </c>
      <c r="AC84" s="695">
        <f t="shared" si="125"/>
        <v>23</v>
      </c>
      <c r="AD84" s="695">
        <f t="shared" si="125"/>
        <v>24</v>
      </c>
      <c r="AE84" s="695">
        <f t="shared" si="125"/>
        <v>25</v>
      </c>
      <c r="AF84" s="695">
        <f t="shared" si="125"/>
        <v>26</v>
      </c>
      <c r="AG84" s="695">
        <f t="shared" si="125"/>
        <v>27</v>
      </c>
      <c r="AH84" s="695">
        <f t="shared" si="125"/>
        <v>28</v>
      </c>
      <c r="AI84" s="695">
        <f t="shared" si="125"/>
        <v>29</v>
      </c>
      <c r="AJ84" s="695">
        <f t="shared" si="125"/>
        <v>30</v>
      </c>
      <c r="AK84" s="695">
        <f t="shared" si="125"/>
        <v>31</v>
      </c>
      <c r="AL84" s="695">
        <f t="shared" si="125"/>
        <v>32</v>
      </c>
      <c r="AM84" s="695">
        <f t="shared" si="125"/>
        <v>33</v>
      </c>
      <c r="AN84" s="695">
        <f t="shared" si="125"/>
        <v>34</v>
      </c>
      <c r="AO84" s="695">
        <f t="shared" si="125"/>
        <v>35</v>
      </c>
      <c r="AP84" s="695">
        <f t="shared" si="125"/>
        <v>36</v>
      </c>
      <c r="AQ84" s="695">
        <f t="shared" si="125"/>
        <v>37</v>
      </c>
      <c r="AR84" s="695">
        <f t="shared" si="125"/>
        <v>38</v>
      </c>
      <c r="AS84" s="695">
        <f t="shared" si="125"/>
        <v>39</v>
      </c>
      <c r="AT84" s="695">
        <f t="shared" si="125"/>
        <v>40</v>
      </c>
      <c r="AU84" s="695">
        <f t="shared" si="125"/>
        <v>41</v>
      </c>
      <c r="AV84" s="695">
        <f t="shared" si="125"/>
        <v>42</v>
      </c>
      <c r="AW84" s="695">
        <f t="shared" si="125"/>
        <v>43</v>
      </c>
      <c r="AX84" s="695">
        <f t="shared" si="125"/>
        <v>44</v>
      </c>
      <c r="AY84" s="695">
        <f t="shared" si="125"/>
        <v>45</v>
      </c>
      <c r="AZ84" s="695">
        <f t="shared" si="125"/>
        <v>46</v>
      </c>
      <c r="BA84" s="695">
        <f t="shared" si="125"/>
        <v>47</v>
      </c>
      <c r="BB84" s="695">
        <f t="shared" si="125"/>
        <v>48</v>
      </c>
      <c r="BC84" s="695">
        <f t="shared" si="125"/>
        <v>49</v>
      </c>
      <c r="BD84" s="695">
        <f t="shared" si="125"/>
        <v>50</v>
      </c>
      <c r="BE84" s="695">
        <f t="shared" si="125"/>
        <v>51</v>
      </c>
      <c r="BF84" s="695">
        <f t="shared" si="125"/>
        <v>52</v>
      </c>
      <c r="BG84" s="695">
        <f t="shared" si="125"/>
        <v>53</v>
      </c>
      <c r="BH84" s="695">
        <f t="shared" si="125"/>
        <v>54</v>
      </c>
      <c r="BI84" s="695">
        <f t="shared" si="125"/>
        <v>55</v>
      </c>
      <c r="BJ84" s="695">
        <f t="shared" si="125"/>
        <v>56</v>
      </c>
      <c r="BK84" s="695">
        <f t="shared" si="125"/>
        <v>57</v>
      </c>
      <c r="BL84" s="695">
        <f t="shared" si="125"/>
        <v>58</v>
      </c>
      <c r="BM84" s="695">
        <f t="shared" si="125"/>
        <v>59</v>
      </c>
      <c r="BN84" s="695">
        <f t="shared" si="125"/>
        <v>60</v>
      </c>
      <c r="BO84" s="695">
        <f t="shared" si="125"/>
        <v>61</v>
      </c>
      <c r="BP84" s="695">
        <f t="shared" si="125"/>
        <v>62</v>
      </c>
      <c r="BQ84" s="695">
        <f t="shared" si="125"/>
        <v>63</v>
      </c>
      <c r="BR84" s="695">
        <f t="shared" si="125"/>
        <v>64</v>
      </c>
      <c r="BS84" s="695">
        <f t="shared" ref="BS84:ED84" si="126">BS5</f>
        <v>65</v>
      </c>
      <c r="BT84" s="695">
        <f t="shared" si="126"/>
        <v>66</v>
      </c>
      <c r="BU84" s="695">
        <f t="shared" si="126"/>
        <v>67</v>
      </c>
      <c r="BV84" s="695">
        <f t="shared" si="126"/>
        <v>68</v>
      </c>
      <c r="BW84" s="695">
        <f t="shared" si="126"/>
        <v>69</v>
      </c>
      <c r="BX84" s="695">
        <f t="shared" si="126"/>
        <v>70</v>
      </c>
      <c r="BY84" s="695">
        <f t="shared" si="126"/>
        <v>71</v>
      </c>
      <c r="BZ84" s="695">
        <f t="shared" si="126"/>
        <v>72</v>
      </c>
      <c r="CA84" s="695">
        <f t="shared" si="126"/>
        <v>73</v>
      </c>
      <c r="CB84" s="695">
        <f t="shared" si="126"/>
        <v>74</v>
      </c>
      <c r="CC84" s="695">
        <f t="shared" si="126"/>
        <v>75</v>
      </c>
      <c r="CD84" s="695">
        <f t="shared" si="126"/>
        <v>76</v>
      </c>
      <c r="CE84" s="695">
        <f t="shared" si="126"/>
        <v>77</v>
      </c>
      <c r="CF84" s="695">
        <f t="shared" si="126"/>
        <v>78</v>
      </c>
      <c r="CG84" s="695">
        <f t="shared" si="126"/>
        <v>79</v>
      </c>
      <c r="CH84" s="695">
        <f t="shared" si="126"/>
        <v>80</v>
      </c>
      <c r="CI84" s="695">
        <f t="shared" si="126"/>
        <v>81</v>
      </c>
      <c r="CJ84" s="695">
        <f t="shared" si="126"/>
        <v>82</v>
      </c>
      <c r="CK84" s="695">
        <f t="shared" si="126"/>
        <v>83</v>
      </c>
      <c r="CL84" s="695">
        <f t="shared" si="126"/>
        <v>84</v>
      </c>
      <c r="CM84" s="695">
        <f t="shared" si="126"/>
        <v>85</v>
      </c>
      <c r="CN84" s="695">
        <f t="shared" si="126"/>
        <v>86</v>
      </c>
      <c r="CO84" s="695">
        <f t="shared" si="126"/>
        <v>87</v>
      </c>
      <c r="CP84" s="695">
        <f t="shared" si="126"/>
        <v>88</v>
      </c>
      <c r="CQ84" s="695">
        <f t="shared" si="126"/>
        <v>89</v>
      </c>
      <c r="CR84" s="695">
        <f t="shared" si="126"/>
        <v>90</v>
      </c>
      <c r="CS84" s="695">
        <f t="shared" si="126"/>
        <v>91</v>
      </c>
      <c r="CT84" s="695">
        <f t="shared" si="126"/>
        <v>92</v>
      </c>
      <c r="CU84" s="695">
        <f t="shared" si="126"/>
        <v>93</v>
      </c>
      <c r="CV84" s="695">
        <f t="shared" si="126"/>
        <v>94</v>
      </c>
      <c r="CW84" s="695">
        <f t="shared" si="126"/>
        <v>95</v>
      </c>
      <c r="CX84" s="695">
        <f t="shared" si="126"/>
        <v>96</v>
      </c>
      <c r="CY84" s="695">
        <f t="shared" si="126"/>
        <v>97</v>
      </c>
      <c r="CZ84" s="695">
        <f t="shared" si="126"/>
        <v>98</v>
      </c>
      <c r="DA84" s="695">
        <f t="shared" si="126"/>
        <v>99</v>
      </c>
      <c r="DB84" s="695">
        <f t="shared" si="126"/>
        <v>100</v>
      </c>
      <c r="DC84" s="695">
        <f t="shared" si="126"/>
        <v>101</v>
      </c>
      <c r="DD84" s="695">
        <f t="shared" si="126"/>
        <v>102</v>
      </c>
      <c r="DE84" s="695">
        <f t="shared" si="126"/>
        <v>103</v>
      </c>
      <c r="DF84" s="695">
        <f t="shared" si="126"/>
        <v>104</v>
      </c>
      <c r="DG84" s="695">
        <f t="shared" si="126"/>
        <v>105</v>
      </c>
      <c r="DH84" s="695">
        <f t="shared" si="126"/>
        <v>106</v>
      </c>
      <c r="DI84" s="695">
        <f t="shared" si="126"/>
        <v>107</v>
      </c>
      <c r="DJ84" s="695">
        <f t="shared" si="126"/>
        <v>108</v>
      </c>
      <c r="DK84" s="695">
        <f t="shared" si="126"/>
        <v>109</v>
      </c>
      <c r="DL84" s="695">
        <f t="shared" si="126"/>
        <v>110</v>
      </c>
      <c r="DM84" s="695">
        <f t="shared" si="126"/>
        <v>111</v>
      </c>
      <c r="DN84" s="695">
        <f t="shared" si="126"/>
        <v>112</v>
      </c>
      <c r="DO84" s="695">
        <f t="shared" si="126"/>
        <v>113</v>
      </c>
      <c r="DP84" s="695">
        <f t="shared" si="126"/>
        <v>114</v>
      </c>
      <c r="DQ84" s="695">
        <f t="shared" si="126"/>
        <v>115</v>
      </c>
      <c r="DR84" s="695">
        <f t="shared" si="126"/>
        <v>116</v>
      </c>
      <c r="DS84" s="695">
        <f t="shared" si="126"/>
        <v>117</v>
      </c>
      <c r="DT84" s="695">
        <f t="shared" si="126"/>
        <v>118</v>
      </c>
      <c r="DU84" s="695">
        <f t="shared" si="126"/>
        <v>119</v>
      </c>
      <c r="DV84" s="695">
        <f t="shared" si="126"/>
        <v>120</v>
      </c>
      <c r="DW84" s="695">
        <f t="shared" si="126"/>
        <v>121</v>
      </c>
      <c r="DX84" s="695">
        <f t="shared" si="126"/>
        <v>122</v>
      </c>
      <c r="DY84" s="695">
        <f t="shared" si="126"/>
        <v>123</v>
      </c>
      <c r="DZ84" s="695">
        <f t="shared" si="126"/>
        <v>124</v>
      </c>
      <c r="EA84" s="695">
        <f t="shared" si="126"/>
        <v>125</v>
      </c>
      <c r="EB84" s="695">
        <f t="shared" si="126"/>
        <v>126</v>
      </c>
      <c r="EC84" s="695">
        <f t="shared" si="126"/>
        <v>127</v>
      </c>
      <c r="ED84" s="695">
        <f t="shared" si="126"/>
        <v>128</v>
      </c>
      <c r="EE84" s="695">
        <f t="shared" ref="EE84:EH84" si="127">EE5</f>
        <v>129</v>
      </c>
      <c r="EF84" s="695">
        <f t="shared" si="127"/>
        <v>130</v>
      </c>
      <c r="EG84" s="695">
        <f t="shared" si="127"/>
        <v>131</v>
      </c>
      <c r="EH84" s="695">
        <f t="shared" si="127"/>
        <v>132</v>
      </c>
      <c r="EI84" s="272"/>
      <c r="EK84" s="280"/>
    </row>
    <row r="85" spans="1:141" x14ac:dyDescent="0.3">
      <c r="A85" t="s">
        <v>2411</v>
      </c>
      <c r="G85" s="229">
        <f t="shared" ref="G85:BR85" si="128">F90</f>
        <v>0</v>
      </c>
      <c r="H85" s="229">
        <f t="shared" si="128"/>
        <v>0</v>
      </c>
      <c r="I85" s="229">
        <f t="shared" si="128"/>
        <v>0</v>
      </c>
      <c r="J85" s="229">
        <f t="shared" si="128"/>
        <v>0</v>
      </c>
      <c r="K85" s="229">
        <f t="shared" si="128"/>
        <v>0</v>
      </c>
      <c r="L85" s="229">
        <f t="shared" si="128"/>
        <v>0</v>
      </c>
      <c r="M85" s="229">
        <f t="shared" si="128"/>
        <v>0</v>
      </c>
      <c r="N85" s="229">
        <f t="shared" si="128"/>
        <v>0</v>
      </c>
      <c r="O85" s="229">
        <f t="shared" si="128"/>
        <v>0</v>
      </c>
      <c r="P85" s="229">
        <f t="shared" si="128"/>
        <v>0</v>
      </c>
      <c r="Q85" s="229">
        <f t="shared" si="128"/>
        <v>0</v>
      </c>
      <c r="R85" s="229">
        <f t="shared" si="128"/>
        <v>0</v>
      </c>
      <c r="S85" s="229">
        <f t="shared" si="128"/>
        <v>0</v>
      </c>
      <c r="T85" s="229">
        <f t="shared" si="128"/>
        <v>0</v>
      </c>
      <c r="U85" s="229">
        <f t="shared" si="128"/>
        <v>0</v>
      </c>
      <c r="V85" s="229">
        <f t="shared" si="128"/>
        <v>0</v>
      </c>
      <c r="W85" s="229">
        <f t="shared" si="128"/>
        <v>0</v>
      </c>
      <c r="X85" s="229">
        <f t="shared" si="128"/>
        <v>0</v>
      </c>
      <c r="Y85" s="229">
        <f t="shared" si="128"/>
        <v>0</v>
      </c>
      <c r="Z85" s="229">
        <f t="shared" si="128"/>
        <v>0</v>
      </c>
      <c r="AA85" s="229">
        <f t="shared" si="128"/>
        <v>0</v>
      </c>
      <c r="AB85" s="229">
        <f t="shared" si="128"/>
        <v>0</v>
      </c>
      <c r="AC85" s="229">
        <f t="shared" si="128"/>
        <v>0</v>
      </c>
      <c r="AD85" s="229">
        <f t="shared" si="128"/>
        <v>0</v>
      </c>
      <c r="AE85" s="229">
        <f t="shared" si="128"/>
        <v>0</v>
      </c>
      <c r="AF85" s="229">
        <f t="shared" si="128"/>
        <v>0</v>
      </c>
      <c r="AG85" s="229">
        <f t="shared" si="128"/>
        <v>0</v>
      </c>
      <c r="AH85" s="229">
        <f t="shared" si="128"/>
        <v>0</v>
      </c>
      <c r="AI85" s="229">
        <f t="shared" si="128"/>
        <v>0</v>
      </c>
      <c r="AJ85" s="229">
        <f t="shared" si="128"/>
        <v>0</v>
      </c>
      <c r="AK85" s="229">
        <f t="shared" si="128"/>
        <v>0</v>
      </c>
      <c r="AL85" s="229">
        <f t="shared" si="128"/>
        <v>0</v>
      </c>
      <c r="AM85" s="229">
        <f t="shared" si="128"/>
        <v>0</v>
      </c>
      <c r="AN85" s="229">
        <f t="shared" si="128"/>
        <v>0</v>
      </c>
      <c r="AO85" s="229">
        <f t="shared" si="128"/>
        <v>0</v>
      </c>
      <c r="AP85" s="229">
        <f t="shared" si="128"/>
        <v>0</v>
      </c>
      <c r="AQ85" s="229">
        <f t="shared" si="128"/>
        <v>0</v>
      </c>
      <c r="AR85" s="229">
        <f t="shared" si="128"/>
        <v>0</v>
      </c>
      <c r="AS85" s="229">
        <f t="shared" si="128"/>
        <v>0</v>
      </c>
      <c r="AT85" s="229">
        <f t="shared" si="128"/>
        <v>0</v>
      </c>
      <c r="AU85" s="229">
        <f t="shared" si="128"/>
        <v>0</v>
      </c>
      <c r="AV85" s="229">
        <f t="shared" si="128"/>
        <v>0</v>
      </c>
      <c r="AW85" s="229">
        <f t="shared" si="128"/>
        <v>0</v>
      </c>
      <c r="AX85" s="229">
        <f t="shared" si="128"/>
        <v>0</v>
      </c>
      <c r="AY85" s="229">
        <f t="shared" si="128"/>
        <v>0</v>
      </c>
      <c r="AZ85" s="229">
        <f t="shared" si="128"/>
        <v>0</v>
      </c>
      <c r="BA85" s="229">
        <f t="shared" si="128"/>
        <v>0</v>
      </c>
      <c r="BB85" s="229">
        <f t="shared" si="128"/>
        <v>0</v>
      </c>
      <c r="BC85" s="229">
        <f t="shared" si="128"/>
        <v>0</v>
      </c>
      <c r="BD85" s="229">
        <f t="shared" si="128"/>
        <v>0</v>
      </c>
      <c r="BE85" s="229">
        <f t="shared" si="128"/>
        <v>0</v>
      </c>
      <c r="BF85" s="229">
        <f t="shared" si="128"/>
        <v>0</v>
      </c>
      <c r="BG85" s="229">
        <f t="shared" si="128"/>
        <v>0</v>
      </c>
      <c r="BH85" s="229">
        <f t="shared" si="128"/>
        <v>0</v>
      </c>
      <c r="BI85" s="229">
        <f t="shared" si="128"/>
        <v>0</v>
      </c>
      <c r="BJ85" s="229">
        <f t="shared" si="128"/>
        <v>0</v>
      </c>
      <c r="BK85" s="229">
        <f t="shared" si="128"/>
        <v>0</v>
      </c>
      <c r="BL85" s="229">
        <f t="shared" si="128"/>
        <v>0</v>
      </c>
      <c r="BM85" s="229">
        <f t="shared" si="128"/>
        <v>0</v>
      </c>
      <c r="BN85" s="229">
        <f t="shared" si="128"/>
        <v>0</v>
      </c>
      <c r="BO85" s="229">
        <f t="shared" si="128"/>
        <v>0</v>
      </c>
      <c r="BP85" s="229">
        <f t="shared" si="128"/>
        <v>0</v>
      </c>
      <c r="BQ85" s="229">
        <f t="shared" si="128"/>
        <v>0</v>
      </c>
      <c r="BR85" s="229">
        <f t="shared" si="128"/>
        <v>0</v>
      </c>
      <c r="BS85" s="229">
        <f t="shared" ref="BS85:ED85" si="129">BR90</f>
        <v>0</v>
      </c>
      <c r="BT85" s="229">
        <f t="shared" si="129"/>
        <v>0</v>
      </c>
      <c r="BU85" s="229">
        <f t="shared" si="129"/>
        <v>0</v>
      </c>
      <c r="BV85" s="229">
        <f t="shared" si="129"/>
        <v>0</v>
      </c>
      <c r="BW85" s="229">
        <f t="shared" si="129"/>
        <v>0</v>
      </c>
      <c r="BX85" s="229">
        <f t="shared" si="129"/>
        <v>0</v>
      </c>
      <c r="BY85" s="229">
        <f t="shared" si="129"/>
        <v>0</v>
      </c>
      <c r="BZ85" s="229">
        <f t="shared" si="129"/>
        <v>0</v>
      </c>
      <c r="CA85" s="229">
        <f t="shared" si="129"/>
        <v>0</v>
      </c>
      <c r="CB85" s="229">
        <f t="shared" si="129"/>
        <v>0</v>
      </c>
      <c r="CC85" s="229">
        <f t="shared" si="129"/>
        <v>0</v>
      </c>
      <c r="CD85" s="229">
        <f t="shared" si="129"/>
        <v>0</v>
      </c>
      <c r="CE85" s="229">
        <f t="shared" si="129"/>
        <v>0</v>
      </c>
      <c r="CF85" s="229">
        <f t="shared" si="129"/>
        <v>0</v>
      </c>
      <c r="CG85" s="229">
        <f t="shared" si="129"/>
        <v>0</v>
      </c>
      <c r="CH85" s="229">
        <f t="shared" si="129"/>
        <v>0</v>
      </c>
      <c r="CI85" s="229">
        <f t="shared" si="129"/>
        <v>0</v>
      </c>
      <c r="CJ85" s="229">
        <f t="shared" si="129"/>
        <v>0</v>
      </c>
      <c r="CK85" s="229">
        <f t="shared" si="129"/>
        <v>0</v>
      </c>
      <c r="CL85" s="229">
        <f t="shared" si="129"/>
        <v>0</v>
      </c>
      <c r="CM85" s="229">
        <f t="shared" si="129"/>
        <v>0</v>
      </c>
      <c r="CN85" s="229">
        <f t="shared" si="129"/>
        <v>0</v>
      </c>
      <c r="CO85" s="229">
        <f t="shared" si="129"/>
        <v>0</v>
      </c>
      <c r="CP85" s="229">
        <f t="shared" si="129"/>
        <v>0</v>
      </c>
      <c r="CQ85" s="229">
        <f t="shared" si="129"/>
        <v>0</v>
      </c>
      <c r="CR85" s="229">
        <f t="shared" si="129"/>
        <v>0</v>
      </c>
      <c r="CS85" s="229">
        <f t="shared" si="129"/>
        <v>0</v>
      </c>
      <c r="CT85" s="229">
        <f t="shared" si="129"/>
        <v>0</v>
      </c>
      <c r="CU85" s="229">
        <f t="shared" si="129"/>
        <v>0</v>
      </c>
      <c r="CV85" s="229">
        <f t="shared" si="129"/>
        <v>0</v>
      </c>
      <c r="CW85" s="229">
        <f t="shared" si="129"/>
        <v>0</v>
      </c>
      <c r="CX85" s="229">
        <f t="shared" si="129"/>
        <v>0</v>
      </c>
      <c r="CY85" s="229">
        <f t="shared" si="129"/>
        <v>0</v>
      </c>
      <c r="CZ85" s="229">
        <f t="shared" si="129"/>
        <v>0</v>
      </c>
      <c r="DA85" s="229">
        <f t="shared" si="129"/>
        <v>0</v>
      </c>
      <c r="DB85" s="229">
        <f t="shared" si="129"/>
        <v>0</v>
      </c>
      <c r="DC85" s="229">
        <f t="shared" si="129"/>
        <v>0</v>
      </c>
      <c r="DD85" s="229">
        <f t="shared" si="129"/>
        <v>0</v>
      </c>
      <c r="DE85" s="229">
        <f t="shared" si="129"/>
        <v>0</v>
      </c>
      <c r="DF85" s="229">
        <f t="shared" si="129"/>
        <v>0</v>
      </c>
      <c r="DG85" s="229">
        <f t="shared" si="129"/>
        <v>0</v>
      </c>
      <c r="DH85" s="229">
        <f t="shared" si="129"/>
        <v>0</v>
      </c>
      <c r="DI85" s="229">
        <f t="shared" si="129"/>
        <v>0</v>
      </c>
      <c r="DJ85" s="229">
        <f t="shared" si="129"/>
        <v>0</v>
      </c>
      <c r="DK85" s="229">
        <f t="shared" si="129"/>
        <v>0</v>
      </c>
      <c r="DL85" s="229">
        <f t="shared" si="129"/>
        <v>0</v>
      </c>
      <c r="DM85" s="229">
        <f t="shared" si="129"/>
        <v>0</v>
      </c>
      <c r="DN85" s="229">
        <f t="shared" si="129"/>
        <v>0</v>
      </c>
      <c r="DO85" s="229">
        <f t="shared" si="129"/>
        <v>0</v>
      </c>
      <c r="DP85" s="229">
        <f t="shared" si="129"/>
        <v>0</v>
      </c>
      <c r="DQ85" s="229">
        <f t="shared" si="129"/>
        <v>0</v>
      </c>
      <c r="DR85" s="229">
        <f t="shared" si="129"/>
        <v>0</v>
      </c>
      <c r="DS85" s="229">
        <f t="shared" si="129"/>
        <v>0</v>
      </c>
      <c r="DT85" s="229">
        <f t="shared" si="129"/>
        <v>0</v>
      </c>
      <c r="DU85" s="229">
        <f t="shared" si="129"/>
        <v>0</v>
      </c>
      <c r="DV85" s="229">
        <f t="shared" si="129"/>
        <v>0</v>
      </c>
      <c r="DW85" s="229">
        <f t="shared" si="129"/>
        <v>0</v>
      </c>
      <c r="DX85" s="229">
        <f t="shared" si="129"/>
        <v>0</v>
      </c>
      <c r="DY85" s="229">
        <f t="shared" si="129"/>
        <v>0</v>
      </c>
      <c r="DZ85" s="229">
        <f t="shared" si="129"/>
        <v>0</v>
      </c>
      <c r="EA85" s="229">
        <f t="shared" si="129"/>
        <v>0</v>
      </c>
      <c r="EB85" s="229">
        <f t="shared" si="129"/>
        <v>0</v>
      </c>
      <c r="EC85" s="229">
        <f t="shared" si="129"/>
        <v>0</v>
      </c>
      <c r="ED85" s="229">
        <f t="shared" si="129"/>
        <v>0</v>
      </c>
      <c r="EE85" s="229">
        <f t="shared" ref="EE85:EH85" si="130">ED90</f>
        <v>0</v>
      </c>
      <c r="EF85" s="229">
        <f t="shared" si="130"/>
        <v>0</v>
      </c>
      <c r="EG85" s="229">
        <f t="shared" si="130"/>
        <v>0</v>
      </c>
      <c r="EH85" s="229">
        <f t="shared" si="130"/>
        <v>0</v>
      </c>
      <c r="EK85" s="672"/>
    </row>
    <row r="86" spans="1:141" x14ac:dyDescent="0.3">
      <c r="A86" t="s">
        <v>2412</v>
      </c>
      <c r="G86" s="229">
        <f t="shared" ref="G86:BR86" si="131">G89+G87</f>
        <v>0</v>
      </c>
      <c r="H86" s="229">
        <f t="shared" si="131"/>
        <v>0</v>
      </c>
      <c r="I86" s="229">
        <f t="shared" si="131"/>
        <v>0</v>
      </c>
      <c r="J86" s="229">
        <f t="shared" si="131"/>
        <v>0</v>
      </c>
      <c r="K86" s="229">
        <f t="shared" si="131"/>
        <v>0</v>
      </c>
      <c r="L86" s="229">
        <f t="shared" si="131"/>
        <v>0</v>
      </c>
      <c r="M86" s="229">
        <f t="shared" si="131"/>
        <v>0</v>
      </c>
      <c r="N86" s="229">
        <f t="shared" si="131"/>
        <v>0</v>
      </c>
      <c r="O86" s="229">
        <f t="shared" si="131"/>
        <v>0</v>
      </c>
      <c r="P86" s="229">
        <f t="shared" si="131"/>
        <v>0</v>
      </c>
      <c r="Q86" s="229">
        <f t="shared" si="131"/>
        <v>0</v>
      </c>
      <c r="R86" s="229">
        <f t="shared" si="131"/>
        <v>0</v>
      </c>
      <c r="S86" s="229">
        <f t="shared" si="131"/>
        <v>0</v>
      </c>
      <c r="T86" s="229">
        <f t="shared" si="131"/>
        <v>0</v>
      </c>
      <c r="U86" s="229">
        <f t="shared" si="131"/>
        <v>0</v>
      </c>
      <c r="V86" s="229">
        <f t="shared" si="131"/>
        <v>0</v>
      </c>
      <c r="W86" s="229">
        <f t="shared" si="131"/>
        <v>0</v>
      </c>
      <c r="X86" s="229">
        <f t="shared" si="131"/>
        <v>0</v>
      </c>
      <c r="Y86" s="229">
        <f t="shared" si="131"/>
        <v>0</v>
      </c>
      <c r="Z86" s="229">
        <f t="shared" si="131"/>
        <v>0</v>
      </c>
      <c r="AA86" s="229">
        <f t="shared" si="131"/>
        <v>0</v>
      </c>
      <c r="AB86" s="229">
        <f t="shared" si="131"/>
        <v>0</v>
      </c>
      <c r="AC86" s="229">
        <f t="shared" si="131"/>
        <v>0</v>
      </c>
      <c r="AD86" s="229">
        <f t="shared" si="131"/>
        <v>0</v>
      </c>
      <c r="AE86" s="229">
        <f t="shared" si="131"/>
        <v>0</v>
      </c>
      <c r="AF86" s="229">
        <f t="shared" si="131"/>
        <v>0</v>
      </c>
      <c r="AG86" s="229">
        <f t="shared" si="131"/>
        <v>0</v>
      </c>
      <c r="AH86" s="229">
        <f t="shared" si="131"/>
        <v>0</v>
      </c>
      <c r="AI86" s="229">
        <f t="shared" si="131"/>
        <v>0</v>
      </c>
      <c r="AJ86" s="229">
        <f t="shared" si="131"/>
        <v>0</v>
      </c>
      <c r="AK86" s="229">
        <f t="shared" si="131"/>
        <v>0</v>
      </c>
      <c r="AL86" s="229">
        <f t="shared" si="131"/>
        <v>0</v>
      </c>
      <c r="AM86" s="229">
        <f t="shared" si="131"/>
        <v>0</v>
      </c>
      <c r="AN86" s="229">
        <f t="shared" si="131"/>
        <v>0</v>
      </c>
      <c r="AO86" s="229">
        <f t="shared" si="131"/>
        <v>0</v>
      </c>
      <c r="AP86" s="229">
        <f t="shared" si="131"/>
        <v>0</v>
      </c>
      <c r="AQ86" s="229">
        <f t="shared" si="131"/>
        <v>0</v>
      </c>
      <c r="AR86" s="229">
        <f t="shared" si="131"/>
        <v>0</v>
      </c>
      <c r="AS86" s="229">
        <f t="shared" si="131"/>
        <v>0</v>
      </c>
      <c r="AT86" s="229">
        <f t="shared" si="131"/>
        <v>0</v>
      </c>
      <c r="AU86" s="229">
        <f t="shared" si="131"/>
        <v>0</v>
      </c>
      <c r="AV86" s="229">
        <f t="shared" si="131"/>
        <v>0</v>
      </c>
      <c r="AW86" s="229">
        <f t="shared" si="131"/>
        <v>0</v>
      </c>
      <c r="AX86" s="229">
        <f t="shared" si="131"/>
        <v>0</v>
      </c>
      <c r="AY86" s="229">
        <f t="shared" si="131"/>
        <v>0</v>
      </c>
      <c r="AZ86" s="229">
        <f t="shared" si="131"/>
        <v>0</v>
      </c>
      <c r="BA86" s="229">
        <f t="shared" si="131"/>
        <v>0</v>
      </c>
      <c r="BB86" s="229">
        <f t="shared" si="131"/>
        <v>0</v>
      </c>
      <c r="BC86" s="229">
        <f t="shared" si="131"/>
        <v>0</v>
      </c>
      <c r="BD86" s="229">
        <f t="shared" si="131"/>
        <v>0</v>
      </c>
      <c r="BE86" s="229">
        <f t="shared" si="131"/>
        <v>0</v>
      </c>
      <c r="BF86" s="229">
        <f t="shared" si="131"/>
        <v>0</v>
      </c>
      <c r="BG86" s="229">
        <f t="shared" si="131"/>
        <v>0</v>
      </c>
      <c r="BH86" s="229">
        <f t="shared" si="131"/>
        <v>0</v>
      </c>
      <c r="BI86" s="229">
        <f t="shared" si="131"/>
        <v>0</v>
      </c>
      <c r="BJ86" s="229">
        <f t="shared" si="131"/>
        <v>0</v>
      </c>
      <c r="BK86" s="229">
        <f t="shared" si="131"/>
        <v>0</v>
      </c>
      <c r="BL86" s="229">
        <f t="shared" si="131"/>
        <v>0</v>
      </c>
      <c r="BM86" s="229">
        <f t="shared" si="131"/>
        <v>0</v>
      </c>
      <c r="BN86" s="229">
        <f t="shared" si="131"/>
        <v>0</v>
      </c>
      <c r="BO86" s="229">
        <f t="shared" si="131"/>
        <v>0</v>
      </c>
      <c r="BP86" s="229">
        <f t="shared" si="131"/>
        <v>0</v>
      </c>
      <c r="BQ86" s="229">
        <f t="shared" si="131"/>
        <v>0</v>
      </c>
      <c r="BR86" s="229">
        <f t="shared" si="131"/>
        <v>0</v>
      </c>
      <c r="BS86" s="229">
        <f t="shared" ref="BS86:ED86" si="132">BS89+BS87</f>
        <v>0</v>
      </c>
      <c r="BT86" s="229">
        <f t="shared" si="132"/>
        <v>0</v>
      </c>
      <c r="BU86" s="229">
        <f t="shared" si="132"/>
        <v>0</v>
      </c>
      <c r="BV86" s="229">
        <f t="shared" si="132"/>
        <v>0</v>
      </c>
      <c r="BW86" s="229">
        <f t="shared" si="132"/>
        <v>0</v>
      </c>
      <c r="BX86" s="229">
        <f t="shared" si="132"/>
        <v>0</v>
      </c>
      <c r="BY86" s="229">
        <f t="shared" si="132"/>
        <v>0</v>
      </c>
      <c r="BZ86" s="229">
        <f t="shared" si="132"/>
        <v>0</v>
      </c>
      <c r="CA86" s="229">
        <f t="shared" si="132"/>
        <v>0</v>
      </c>
      <c r="CB86" s="229">
        <f t="shared" si="132"/>
        <v>0</v>
      </c>
      <c r="CC86" s="229">
        <f t="shared" si="132"/>
        <v>0</v>
      </c>
      <c r="CD86" s="229">
        <f t="shared" si="132"/>
        <v>0</v>
      </c>
      <c r="CE86" s="229">
        <f t="shared" si="132"/>
        <v>0</v>
      </c>
      <c r="CF86" s="229">
        <f t="shared" si="132"/>
        <v>0</v>
      </c>
      <c r="CG86" s="229">
        <f t="shared" si="132"/>
        <v>0</v>
      </c>
      <c r="CH86" s="229">
        <f t="shared" si="132"/>
        <v>0</v>
      </c>
      <c r="CI86" s="229">
        <f t="shared" si="132"/>
        <v>0</v>
      </c>
      <c r="CJ86" s="229">
        <f t="shared" si="132"/>
        <v>0</v>
      </c>
      <c r="CK86" s="229">
        <f t="shared" si="132"/>
        <v>0</v>
      </c>
      <c r="CL86" s="229">
        <f t="shared" si="132"/>
        <v>0</v>
      </c>
      <c r="CM86" s="229">
        <f t="shared" si="132"/>
        <v>0</v>
      </c>
      <c r="CN86" s="229">
        <f t="shared" si="132"/>
        <v>0</v>
      </c>
      <c r="CO86" s="229">
        <f t="shared" si="132"/>
        <v>0</v>
      </c>
      <c r="CP86" s="229">
        <f t="shared" si="132"/>
        <v>0</v>
      </c>
      <c r="CQ86" s="229">
        <f t="shared" si="132"/>
        <v>0</v>
      </c>
      <c r="CR86" s="229">
        <f t="shared" si="132"/>
        <v>0</v>
      </c>
      <c r="CS86" s="229">
        <f t="shared" si="132"/>
        <v>0</v>
      </c>
      <c r="CT86" s="229">
        <f t="shared" si="132"/>
        <v>0</v>
      </c>
      <c r="CU86" s="229">
        <f t="shared" si="132"/>
        <v>0</v>
      </c>
      <c r="CV86" s="229">
        <f t="shared" si="132"/>
        <v>0</v>
      </c>
      <c r="CW86" s="229">
        <f t="shared" si="132"/>
        <v>0</v>
      </c>
      <c r="CX86" s="229">
        <f t="shared" si="132"/>
        <v>0</v>
      </c>
      <c r="CY86" s="229">
        <f t="shared" si="132"/>
        <v>0</v>
      </c>
      <c r="CZ86" s="229">
        <f t="shared" si="132"/>
        <v>0</v>
      </c>
      <c r="DA86" s="229">
        <f t="shared" si="132"/>
        <v>0</v>
      </c>
      <c r="DB86" s="229">
        <f t="shared" si="132"/>
        <v>0</v>
      </c>
      <c r="DC86" s="229">
        <f t="shared" si="132"/>
        <v>0</v>
      </c>
      <c r="DD86" s="229">
        <f t="shared" si="132"/>
        <v>0</v>
      </c>
      <c r="DE86" s="229">
        <f t="shared" si="132"/>
        <v>0</v>
      </c>
      <c r="DF86" s="229">
        <f t="shared" si="132"/>
        <v>0</v>
      </c>
      <c r="DG86" s="229">
        <f t="shared" si="132"/>
        <v>0</v>
      </c>
      <c r="DH86" s="229">
        <f t="shared" si="132"/>
        <v>0</v>
      </c>
      <c r="DI86" s="229">
        <f t="shared" si="132"/>
        <v>0</v>
      </c>
      <c r="DJ86" s="229">
        <f t="shared" si="132"/>
        <v>0</v>
      </c>
      <c r="DK86" s="229">
        <f t="shared" si="132"/>
        <v>0</v>
      </c>
      <c r="DL86" s="229">
        <f t="shared" si="132"/>
        <v>0</v>
      </c>
      <c r="DM86" s="229">
        <f t="shared" si="132"/>
        <v>0</v>
      </c>
      <c r="DN86" s="229">
        <f t="shared" si="132"/>
        <v>0</v>
      </c>
      <c r="DO86" s="229">
        <f t="shared" si="132"/>
        <v>0</v>
      </c>
      <c r="DP86" s="229">
        <f t="shared" si="132"/>
        <v>0</v>
      </c>
      <c r="DQ86" s="229">
        <f t="shared" si="132"/>
        <v>0</v>
      </c>
      <c r="DR86" s="229">
        <f t="shared" si="132"/>
        <v>0</v>
      </c>
      <c r="DS86" s="229">
        <f t="shared" si="132"/>
        <v>0</v>
      </c>
      <c r="DT86" s="229">
        <f t="shared" si="132"/>
        <v>0</v>
      </c>
      <c r="DU86" s="229">
        <f t="shared" si="132"/>
        <v>0</v>
      </c>
      <c r="DV86" s="229">
        <f t="shared" si="132"/>
        <v>0</v>
      </c>
      <c r="DW86" s="229">
        <f t="shared" si="132"/>
        <v>0</v>
      </c>
      <c r="DX86" s="229">
        <f t="shared" si="132"/>
        <v>0</v>
      </c>
      <c r="DY86" s="229">
        <f t="shared" si="132"/>
        <v>0</v>
      </c>
      <c r="DZ86" s="229">
        <f t="shared" si="132"/>
        <v>0</v>
      </c>
      <c r="EA86" s="229">
        <f t="shared" si="132"/>
        <v>0</v>
      </c>
      <c r="EB86" s="229">
        <f t="shared" si="132"/>
        <v>0</v>
      </c>
      <c r="EC86" s="229">
        <f t="shared" si="132"/>
        <v>0</v>
      </c>
      <c r="ED86" s="229">
        <f t="shared" si="132"/>
        <v>0</v>
      </c>
      <c r="EE86" s="229">
        <f>EE89+EE87</f>
        <v>0</v>
      </c>
      <c r="EF86" s="229">
        <f>EF89+EF87</f>
        <v>0</v>
      </c>
      <c r="EG86" s="229">
        <f>EG89+EG87</f>
        <v>0</v>
      </c>
      <c r="EH86" s="229">
        <f>EH89+EH87</f>
        <v>0</v>
      </c>
      <c r="EK86" s="280"/>
    </row>
    <row r="87" spans="1:141" x14ac:dyDescent="0.3">
      <c r="A87" t="s">
        <v>2413</v>
      </c>
      <c r="G87" s="229">
        <f>IF(G84-AvgLeaseTermMarket&gt;0,HLOOKUP(G84-AvgLeaseTermMarket,$G$84:G$86,3,FALSE),0)</f>
        <v>0</v>
      </c>
      <c r="H87" s="229">
        <f>IF(H84-AvgLeaseTermMarket&gt;0,HLOOKUP(H84-AvgLeaseTermMarket,$G$84:H$86,3,FALSE),0)</f>
        <v>0</v>
      </c>
      <c r="I87" s="229">
        <f>IF(I84-AvgLeaseTermMarket&gt;0,HLOOKUP(I84-AvgLeaseTermMarket,$G$84:I$86,3,FALSE),0)</f>
        <v>0</v>
      </c>
      <c r="J87" s="229">
        <f>IF(J84-AvgLeaseTermMarket&gt;0,HLOOKUP(J84-AvgLeaseTermMarket,$G$84:J$86,3,FALSE),0)</f>
        <v>0</v>
      </c>
      <c r="K87" s="229">
        <f>IF(K84-AvgLeaseTermMarket&gt;0,HLOOKUP(K84-AvgLeaseTermMarket,$G$84:K$86,3,FALSE),0)</f>
        <v>0</v>
      </c>
      <c r="L87" s="229">
        <f>IF(L84-AvgLeaseTermMarket&gt;0,HLOOKUP(L84-AvgLeaseTermMarket,$G$84:L$86,3,FALSE),0)</f>
        <v>0</v>
      </c>
      <c r="M87" s="229">
        <f>IF(M84-AvgLeaseTermMarket&gt;0,HLOOKUP(M84-AvgLeaseTermMarket,$G$84:M$86,3,FALSE),0)</f>
        <v>0</v>
      </c>
      <c r="N87" s="229">
        <f>IF(N84-AvgLeaseTermMarket&gt;0,HLOOKUP(N84-AvgLeaseTermMarket,$G$84:N$86,3,FALSE),0)</f>
        <v>0</v>
      </c>
      <c r="O87" s="229">
        <f>IF(O84-AvgLeaseTermMarket&gt;0,HLOOKUP(O84-AvgLeaseTermMarket,$G$84:O$86,3,FALSE),0)</f>
        <v>0</v>
      </c>
      <c r="P87" s="229">
        <f>IF(P84-AvgLeaseTermMarket&gt;0,HLOOKUP(P84-AvgLeaseTermMarket,$G$84:P$86,3,FALSE),0)</f>
        <v>0</v>
      </c>
      <c r="Q87" s="229">
        <f>IF(Q84-AvgLeaseTermMarket&gt;0,HLOOKUP(Q84-AvgLeaseTermMarket,$G$84:Q$86,3,FALSE),0)</f>
        <v>0</v>
      </c>
      <c r="R87" s="229">
        <f>IF(R84-AvgLeaseTermMarket&gt;0,HLOOKUP(R84-AvgLeaseTermMarket,$G$84:R$86,3,FALSE),0)</f>
        <v>0</v>
      </c>
      <c r="S87" s="229">
        <f>IF(S84-AvgLeaseTermMarket&gt;0,HLOOKUP(S84-AvgLeaseTermMarket,$G$84:S$86,3,FALSE),0)</f>
        <v>0</v>
      </c>
      <c r="T87" s="229">
        <f>IF(T84-AvgLeaseTermMarket&gt;0,HLOOKUP(T84-AvgLeaseTermMarket,$G$84:T$86,3,FALSE),0)</f>
        <v>0</v>
      </c>
      <c r="U87" s="229">
        <f>IF(U84-AvgLeaseTermMarket&gt;0,HLOOKUP(U84-AvgLeaseTermMarket,$G$84:U$86,3,FALSE),0)</f>
        <v>0</v>
      </c>
      <c r="V87" s="229">
        <f>IF(V84-AvgLeaseTermMarket&gt;0,HLOOKUP(V84-AvgLeaseTermMarket,$G$84:V$86,3,FALSE),0)</f>
        <v>0</v>
      </c>
      <c r="W87" s="229">
        <f>IF(W84-AvgLeaseTermMarket&gt;0,HLOOKUP(W84-AvgLeaseTermMarket,$G$84:W$86,3,FALSE),0)</f>
        <v>0</v>
      </c>
      <c r="X87" s="229">
        <f>IF(X84-AvgLeaseTermMarket&gt;0,HLOOKUP(X84-AvgLeaseTermMarket,$G$84:X$86,3,FALSE),0)</f>
        <v>0</v>
      </c>
      <c r="Y87" s="229">
        <f>IF(Y84-AvgLeaseTermMarket&gt;0,HLOOKUP(Y84-AvgLeaseTermMarket,$G$84:Y$86,3,FALSE),0)</f>
        <v>0</v>
      </c>
      <c r="Z87" s="229">
        <f>IF(Z84-AvgLeaseTermMarket&gt;0,HLOOKUP(Z84-AvgLeaseTermMarket,$G$84:Z$86,3,FALSE),0)</f>
        <v>0</v>
      </c>
      <c r="AA87" s="229">
        <f>IF(AA84-AvgLeaseTermMarket&gt;0,HLOOKUP(AA84-AvgLeaseTermMarket,$G$84:AA$86,3,FALSE),0)</f>
        <v>0</v>
      </c>
      <c r="AB87" s="229">
        <f>IF(AB84-AvgLeaseTermMarket&gt;0,HLOOKUP(AB84-AvgLeaseTermMarket,$G$84:AB$86,3,FALSE),0)</f>
        <v>0</v>
      </c>
      <c r="AC87" s="229">
        <f>IF(AC84-AvgLeaseTermMarket&gt;0,HLOOKUP(AC84-AvgLeaseTermMarket,$G$84:AC$86,3,FALSE),0)</f>
        <v>0</v>
      </c>
      <c r="AD87" s="229">
        <f>IF(AD84-AvgLeaseTermMarket&gt;0,HLOOKUP(AD84-AvgLeaseTermMarket,$G$84:AD$86,3,FALSE),0)</f>
        <v>0</v>
      </c>
      <c r="AE87" s="229">
        <f>IF(AE84-AvgLeaseTermMarket&gt;0,HLOOKUP(AE84-AvgLeaseTermMarket,$G$84:AE$86,3,FALSE),0)</f>
        <v>0</v>
      </c>
      <c r="AF87" s="229">
        <f>IF(AF84-AvgLeaseTermMarket&gt;0,HLOOKUP(AF84-AvgLeaseTermMarket,$G$84:AF$86,3,FALSE),0)</f>
        <v>0</v>
      </c>
      <c r="AG87" s="229">
        <f>IF(AG84-AvgLeaseTermMarket&gt;0,HLOOKUP(AG84-AvgLeaseTermMarket,$G$84:AG$86,3,FALSE),0)</f>
        <v>0</v>
      </c>
      <c r="AH87" s="229">
        <f>IF(AH84-AvgLeaseTermMarket&gt;0,HLOOKUP(AH84-AvgLeaseTermMarket,$G$84:AH$86,3,FALSE),0)</f>
        <v>0</v>
      </c>
      <c r="AI87" s="229">
        <f>IF(AI84-AvgLeaseTermMarket&gt;0,HLOOKUP(AI84-AvgLeaseTermMarket,$G$84:AI$86,3,FALSE),0)</f>
        <v>0</v>
      </c>
      <c r="AJ87" s="229">
        <f>IF(AJ84-AvgLeaseTermMarket&gt;0,HLOOKUP(AJ84-AvgLeaseTermMarket,$G$84:AJ$86,3,FALSE),0)</f>
        <v>0</v>
      </c>
      <c r="AK87" s="229">
        <f>IF(AK84-AvgLeaseTermMarket&gt;0,HLOOKUP(AK84-AvgLeaseTermMarket,$G$84:AK$86,3,FALSE),0)</f>
        <v>0</v>
      </c>
      <c r="AL87" s="229">
        <f>IF(AL84-AvgLeaseTermMarket&gt;0,HLOOKUP(AL84-AvgLeaseTermMarket,$G$84:AL$86,3,FALSE),0)</f>
        <v>0</v>
      </c>
      <c r="AM87" s="229">
        <f>IF(AM84-AvgLeaseTermMarket&gt;0,HLOOKUP(AM84-AvgLeaseTermMarket,$G$84:AM$86,3,FALSE),0)</f>
        <v>0</v>
      </c>
      <c r="AN87" s="229">
        <f>IF(AN84-AvgLeaseTermMarket&gt;0,HLOOKUP(AN84-AvgLeaseTermMarket,$G$84:AN$86,3,FALSE),0)</f>
        <v>0</v>
      </c>
      <c r="AO87" s="229">
        <f>IF(AO84-AvgLeaseTermMarket&gt;0,HLOOKUP(AO84-AvgLeaseTermMarket,$G$84:AO$86,3,FALSE),0)</f>
        <v>0</v>
      </c>
      <c r="AP87" s="229">
        <f>IF(AP84-AvgLeaseTermMarket&gt;0,HLOOKUP(AP84-AvgLeaseTermMarket,$G$84:AP$86,3,FALSE),0)</f>
        <v>0</v>
      </c>
      <c r="AQ87" s="229">
        <f>IF(AQ84-AvgLeaseTermMarket&gt;0,HLOOKUP(AQ84-AvgLeaseTermMarket,$G$84:AQ$86,3,FALSE),0)</f>
        <v>0</v>
      </c>
      <c r="AR87" s="229">
        <f>IF(AR84-AvgLeaseTermMarket&gt;0,HLOOKUP(AR84-AvgLeaseTermMarket,$G$84:AR$86,3,FALSE),0)</f>
        <v>0</v>
      </c>
      <c r="AS87" s="229">
        <f>IF(AS84-AvgLeaseTermMarket&gt;0,HLOOKUP(AS84-AvgLeaseTermMarket,$G$84:AS$86,3,FALSE),0)</f>
        <v>0</v>
      </c>
      <c r="AT87" s="229">
        <f>IF(AT84-AvgLeaseTermMarket&gt;0,HLOOKUP(AT84-AvgLeaseTermMarket,$G$84:AT$86,3,FALSE),0)</f>
        <v>0</v>
      </c>
      <c r="AU87" s="229">
        <f>IF(AU84-AvgLeaseTermMarket&gt;0,HLOOKUP(AU84-AvgLeaseTermMarket,$G$84:AU$86,3,FALSE),0)</f>
        <v>0</v>
      </c>
      <c r="AV87" s="229">
        <f>IF(AV84-AvgLeaseTermMarket&gt;0,HLOOKUP(AV84-AvgLeaseTermMarket,$G$84:AV$86,3,FALSE),0)</f>
        <v>0</v>
      </c>
      <c r="AW87" s="229">
        <f>IF(AW84-AvgLeaseTermMarket&gt;0,HLOOKUP(AW84-AvgLeaseTermMarket,$G$84:AW$86,3,FALSE),0)</f>
        <v>0</v>
      </c>
      <c r="AX87" s="229">
        <f>IF(AX84-AvgLeaseTermMarket&gt;0,HLOOKUP(AX84-AvgLeaseTermMarket,$G$84:AX$86,3,FALSE),0)</f>
        <v>0</v>
      </c>
      <c r="AY87" s="229">
        <f>IF(AY84-AvgLeaseTermMarket&gt;0,HLOOKUP(AY84-AvgLeaseTermMarket,$G$84:AY$86,3,FALSE),0)</f>
        <v>0</v>
      </c>
      <c r="AZ87" s="229">
        <f>IF(AZ84-AvgLeaseTermMarket&gt;0,HLOOKUP(AZ84-AvgLeaseTermMarket,$G$84:AZ$86,3,FALSE),0)</f>
        <v>0</v>
      </c>
      <c r="BA87" s="229">
        <f>IF(BA84-AvgLeaseTermMarket&gt;0,HLOOKUP(BA84-AvgLeaseTermMarket,$G$84:BA$86,3,FALSE),0)</f>
        <v>0</v>
      </c>
      <c r="BB87" s="229">
        <f>IF(BB84-AvgLeaseTermMarket&gt;0,HLOOKUP(BB84-AvgLeaseTermMarket,$G$84:BB$86,3,FALSE),0)</f>
        <v>0</v>
      </c>
      <c r="BC87" s="229">
        <f>IF(BC84-AvgLeaseTermMarket&gt;0,HLOOKUP(BC84-AvgLeaseTermMarket,$G$84:BC$86,3,FALSE),0)</f>
        <v>0</v>
      </c>
      <c r="BD87" s="229">
        <f>IF(BD84-AvgLeaseTermMarket&gt;0,HLOOKUP(BD84-AvgLeaseTermMarket,$G$84:BD$86,3,FALSE),0)</f>
        <v>0</v>
      </c>
      <c r="BE87" s="229">
        <f>IF(BE84-AvgLeaseTermMarket&gt;0,HLOOKUP(BE84-AvgLeaseTermMarket,$G$84:BE$86,3,FALSE),0)</f>
        <v>0</v>
      </c>
      <c r="BF87" s="229">
        <f>IF(BF84-AvgLeaseTermMarket&gt;0,HLOOKUP(BF84-AvgLeaseTermMarket,$G$84:BF$86,3,FALSE),0)</f>
        <v>0</v>
      </c>
      <c r="BG87" s="229">
        <f>IF(BG84-AvgLeaseTermMarket&gt;0,HLOOKUP(BG84-AvgLeaseTermMarket,$G$84:BG$86,3,FALSE),0)</f>
        <v>0</v>
      </c>
      <c r="BH87" s="229">
        <f>IF(BH84-AvgLeaseTermMarket&gt;0,HLOOKUP(BH84-AvgLeaseTermMarket,$G$84:BH$86,3,FALSE),0)</f>
        <v>0</v>
      </c>
      <c r="BI87" s="229">
        <f>IF(BI84-AvgLeaseTermMarket&gt;0,HLOOKUP(BI84-AvgLeaseTermMarket,$G$84:BI$86,3,FALSE),0)</f>
        <v>0</v>
      </c>
      <c r="BJ87" s="229">
        <f>IF(BJ84-AvgLeaseTermMarket&gt;0,HLOOKUP(BJ84-AvgLeaseTermMarket,$G$84:BJ$86,3,FALSE),0)</f>
        <v>0</v>
      </c>
      <c r="BK87" s="229">
        <f>IF(BK84-AvgLeaseTermMarket&gt;0,HLOOKUP(BK84-AvgLeaseTermMarket,$G$84:BK$86,3,FALSE),0)</f>
        <v>0</v>
      </c>
      <c r="BL87" s="229">
        <f>IF(BL84-AvgLeaseTermMarket&gt;0,HLOOKUP(BL84-AvgLeaseTermMarket,$G$84:BL$86,3,FALSE),0)</f>
        <v>0</v>
      </c>
      <c r="BM87" s="229">
        <f>IF(BM84-AvgLeaseTermMarket&gt;0,HLOOKUP(BM84-AvgLeaseTermMarket,$G$84:BM$86,3,FALSE),0)</f>
        <v>0</v>
      </c>
      <c r="BN87" s="229">
        <f>IF(BN84-AvgLeaseTermMarket&gt;0,HLOOKUP(BN84-AvgLeaseTermMarket,$G$84:BN$86,3,FALSE),0)</f>
        <v>0</v>
      </c>
      <c r="BO87" s="229">
        <f>IF(BO84-AvgLeaseTermMarket&gt;0,HLOOKUP(BO84-AvgLeaseTermMarket,$G$84:BO$86,3,FALSE),0)</f>
        <v>0</v>
      </c>
      <c r="BP87" s="229">
        <f>IF(BP84-AvgLeaseTermMarket&gt;0,HLOOKUP(BP84-AvgLeaseTermMarket,$G$84:BP$86,3,FALSE),0)</f>
        <v>0</v>
      </c>
      <c r="BQ87" s="229">
        <f>IF(BQ84-AvgLeaseTermMarket&gt;0,HLOOKUP(BQ84-AvgLeaseTermMarket,$G$84:BQ$86,3,FALSE),0)</f>
        <v>0</v>
      </c>
      <c r="BR87" s="229">
        <f>IF(BR84-AvgLeaseTermMarket&gt;0,HLOOKUP(BR84-AvgLeaseTermMarket,$G$84:BR$86,3,FALSE),0)</f>
        <v>0</v>
      </c>
      <c r="BS87" s="229">
        <f>IF(BS84-AvgLeaseTermMarket&gt;0,HLOOKUP(BS84-AvgLeaseTermMarket,$G$84:BS$86,3,FALSE),0)</f>
        <v>0</v>
      </c>
      <c r="BT87" s="229">
        <f>IF(BT84-AvgLeaseTermMarket&gt;0,HLOOKUP(BT84-AvgLeaseTermMarket,$G$84:BT$86,3,FALSE),0)</f>
        <v>0</v>
      </c>
      <c r="BU87" s="229">
        <f>IF(BU84-AvgLeaseTermMarket&gt;0,HLOOKUP(BU84-AvgLeaseTermMarket,$G$84:BU$86,3,FALSE),0)</f>
        <v>0</v>
      </c>
      <c r="BV87" s="229">
        <f>IF(BV84-AvgLeaseTermMarket&gt;0,HLOOKUP(BV84-AvgLeaseTermMarket,$G$84:BV$86,3,FALSE),0)</f>
        <v>0</v>
      </c>
      <c r="BW87" s="229">
        <f>IF(BW84-AvgLeaseTermMarket&gt;0,HLOOKUP(BW84-AvgLeaseTermMarket,$G$84:BW$86,3,FALSE),0)</f>
        <v>0</v>
      </c>
      <c r="BX87" s="229">
        <f>IF(BX84-AvgLeaseTermMarket&gt;0,HLOOKUP(BX84-AvgLeaseTermMarket,$G$84:BX$86,3,FALSE),0)</f>
        <v>0</v>
      </c>
      <c r="BY87" s="229">
        <f>IF(BY84-AvgLeaseTermMarket&gt;0,HLOOKUP(BY84-AvgLeaseTermMarket,$G$84:BY$86,3,FALSE),0)</f>
        <v>0</v>
      </c>
      <c r="BZ87" s="229">
        <f>IF(BZ84-AvgLeaseTermMarket&gt;0,HLOOKUP(BZ84-AvgLeaseTermMarket,$G$84:BZ$86,3,FALSE),0)</f>
        <v>0</v>
      </c>
      <c r="CA87" s="229">
        <f>IF(CA84-AvgLeaseTermMarket&gt;0,HLOOKUP(CA84-AvgLeaseTermMarket,$G$84:CA$86,3,FALSE),0)</f>
        <v>0</v>
      </c>
      <c r="CB87" s="229">
        <f>IF(CB84-AvgLeaseTermMarket&gt;0,HLOOKUP(CB84-AvgLeaseTermMarket,$G$84:CB$86,3,FALSE),0)</f>
        <v>0</v>
      </c>
      <c r="CC87" s="229">
        <f>IF(CC84-AvgLeaseTermMarket&gt;0,HLOOKUP(CC84-AvgLeaseTermMarket,$G$84:CC$86,3,FALSE),0)</f>
        <v>0</v>
      </c>
      <c r="CD87" s="229">
        <f>IF(CD84-AvgLeaseTermMarket&gt;0,HLOOKUP(CD84-AvgLeaseTermMarket,$G$84:CD$86,3,FALSE),0)</f>
        <v>0</v>
      </c>
      <c r="CE87" s="229">
        <f>IF(CE84-AvgLeaseTermMarket&gt;0,HLOOKUP(CE84-AvgLeaseTermMarket,$G$84:CE$86,3,FALSE),0)</f>
        <v>0</v>
      </c>
      <c r="CF87" s="229">
        <f>IF(CF84-AvgLeaseTermMarket&gt;0,HLOOKUP(CF84-AvgLeaseTermMarket,$G$84:CF$86,3,FALSE),0)</f>
        <v>0</v>
      </c>
      <c r="CG87" s="229">
        <f>IF(CG84-AvgLeaseTermMarket&gt;0,HLOOKUP(CG84-AvgLeaseTermMarket,$G$84:CG$86,3,FALSE),0)</f>
        <v>0</v>
      </c>
      <c r="CH87" s="229">
        <f>IF(CH84-AvgLeaseTermMarket&gt;0,HLOOKUP(CH84-AvgLeaseTermMarket,$G$84:CH$86,3,FALSE),0)</f>
        <v>0</v>
      </c>
      <c r="CI87" s="229">
        <f>IF(CI84-AvgLeaseTermMarket&gt;0,HLOOKUP(CI84-AvgLeaseTermMarket,$G$84:CI$86,3,FALSE),0)</f>
        <v>0</v>
      </c>
      <c r="CJ87" s="229">
        <f>IF(CJ84-AvgLeaseTermMarket&gt;0,HLOOKUP(CJ84-AvgLeaseTermMarket,$G$84:CJ$86,3,FALSE),0)</f>
        <v>0</v>
      </c>
      <c r="CK87" s="229">
        <f>IF(CK84-AvgLeaseTermMarket&gt;0,HLOOKUP(CK84-AvgLeaseTermMarket,$G$84:CK$86,3,FALSE),0)</f>
        <v>0</v>
      </c>
      <c r="CL87" s="229">
        <f>IF(CL84-AvgLeaseTermMarket&gt;0,HLOOKUP(CL84-AvgLeaseTermMarket,$G$84:CL$86,3,FALSE),0)</f>
        <v>0</v>
      </c>
      <c r="CM87" s="229">
        <f>IF(CM84-AvgLeaseTermMarket&gt;0,HLOOKUP(CM84-AvgLeaseTermMarket,$G$84:CM$86,3,FALSE),0)</f>
        <v>0</v>
      </c>
      <c r="CN87" s="229">
        <f>IF(CN84-AvgLeaseTermMarket&gt;0,HLOOKUP(CN84-AvgLeaseTermMarket,$G$84:CN$86,3,FALSE),0)</f>
        <v>0</v>
      </c>
      <c r="CO87" s="229">
        <f>IF(CO84-AvgLeaseTermMarket&gt;0,HLOOKUP(CO84-AvgLeaseTermMarket,$G$84:CO$86,3,FALSE),0)</f>
        <v>0</v>
      </c>
      <c r="CP87" s="229">
        <f>IF(CP84-AvgLeaseTermMarket&gt;0,HLOOKUP(CP84-AvgLeaseTermMarket,$G$84:CP$86,3,FALSE),0)</f>
        <v>0</v>
      </c>
      <c r="CQ87" s="229">
        <f>IF(CQ84-AvgLeaseTermMarket&gt;0,HLOOKUP(CQ84-AvgLeaseTermMarket,$G$84:CQ$86,3,FALSE),0)</f>
        <v>0</v>
      </c>
      <c r="CR87" s="229">
        <f>IF(CR84-AvgLeaseTermMarket&gt;0,HLOOKUP(CR84-AvgLeaseTermMarket,$G$84:CR$86,3,FALSE),0)</f>
        <v>0</v>
      </c>
      <c r="CS87" s="229">
        <f>IF(CS84-AvgLeaseTermMarket&gt;0,HLOOKUP(CS84-AvgLeaseTermMarket,$G$84:CS$86,3,FALSE),0)</f>
        <v>0</v>
      </c>
      <c r="CT87" s="229">
        <f>IF(CT84-AvgLeaseTermMarket&gt;0,HLOOKUP(CT84-AvgLeaseTermMarket,$G$84:CT$86,3,FALSE),0)</f>
        <v>0</v>
      </c>
      <c r="CU87" s="229">
        <f>IF(CU84-AvgLeaseTermMarket&gt;0,HLOOKUP(CU84-AvgLeaseTermMarket,$G$84:CU$86,3,FALSE),0)</f>
        <v>0</v>
      </c>
      <c r="CV87" s="229">
        <f>IF(CV84-AvgLeaseTermMarket&gt;0,HLOOKUP(CV84-AvgLeaseTermMarket,$G$84:CV$86,3,FALSE),0)</f>
        <v>0</v>
      </c>
      <c r="CW87" s="229">
        <f>IF(CW84-AvgLeaseTermMarket&gt;0,HLOOKUP(CW84-AvgLeaseTermMarket,$G$84:CW$86,3,FALSE),0)</f>
        <v>0</v>
      </c>
      <c r="CX87" s="229">
        <f>IF(CX84-AvgLeaseTermMarket&gt;0,HLOOKUP(CX84-AvgLeaseTermMarket,$G$84:CX$86,3,FALSE),0)</f>
        <v>0</v>
      </c>
      <c r="CY87" s="229">
        <f>IF(CY84-AvgLeaseTermMarket&gt;0,HLOOKUP(CY84-AvgLeaseTermMarket,$G$84:CY$86,3,FALSE),0)</f>
        <v>0</v>
      </c>
      <c r="CZ87" s="229">
        <f>IF(CZ84-AvgLeaseTermMarket&gt;0,HLOOKUP(CZ84-AvgLeaseTermMarket,$G$84:CZ$86,3,FALSE),0)</f>
        <v>0</v>
      </c>
      <c r="DA87" s="229">
        <f>IF(DA84-AvgLeaseTermMarket&gt;0,HLOOKUP(DA84-AvgLeaseTermMarket,$G$84:DA$86,3,FALSE),0)</f>
        <v>0</v>
      </c>
      <c r="DB87" s="229">
        <f>IF(DB84-AvgLeaseTermMarket&gt;0,HLOOKUP(DB84-AvgLeaseTermMarket,$G$84:DB$86,3,FALSE),0)</f>
        <v>0</v>
      </c>
      <c r="DC87" s="229">
        <f>IF(DC84-AvgLeaseTermMarket&gt;0,HLOOKUP(DC84-AvgLeaseTermMarket,$G$84:DC$86,3,FALSE),0)</f>
        <v>0</v>
      </c>
      <c r="DD87" s="229">
        <f>IF(DD84-AvgLeaseTermMarket&gt;0,HLOOKUP(DD84-AvgLeaseTermMarket,$G$84:DD$86,3,FALSE),0)</f>
        <v>0</v>
      </c>
      <c r="DE87" s="229">
        <f>IF(DE84-AvgLeaseTermMarket&gt;0,HLOOKUP(DE84-AvgLeaseTermMarket,$G$84:DE$86,3,FALSE),0)</f>
        <v>0</v>
      </c>
      <c r="DF87" s="229">
        <f>IF(DF84-AvgLeaseTermMarket&gt;0,HLOOKUP(DF84-AvgLeaseTermMarket,$G$84:DF$86,3,FALSE),0)</f>
        <v>0</v>
      </c>
      <c r="DG87" s="229">
        <f>IF(DG84-AvgLeaseTermMarket&gt;0,HLOOKUP(DG84-AvgLeaseTermMarket,$G$84:DG$86,3,FALSE),0)</f>
        <v>0</v>
      </c>
      <c r="DH87" s="229">
        <f>IF(DH84-AvgLeaseTermMarket&gt;0,HLOOKUP(DH84-AvgLeaseTermMarket,$G$84:DH$86,3,FALSE),0)</f>
        <v>0</v>
      </c>
      <c r="DI87" s="229">
        <f>IF(DI84-AvgLeaseTermMarket&gt;0,HLOOKUP(DI84-AvgLeaseTermMarket,$G$84:DI$86,3,FALSE),0)</f>
        <v>0</v>
      </c>
      <c r="DJ87" s="229">
        <f>IF(DJ84-AvgLeaseTermMarket&gt;0,HLOOKUP(DJ84-AvgLeaseTermMarket,$G$84:DJ$86,3,FALSE),0)</f>
        <v>0</v>
      </c>
      <c r="DK87" s="229">
        <f>IF(DK84-AvgLeaseTermMarket&gt;0,HLOOKUP(DK84-AvgLeaseTermMarket,$G$84:DK$86,3,FALSE),0)</f>
        <v>0</v>
      </c>
      <c r="DL87" s="229">
        <f>IF(DL84-AvgLeaseTermMarket&gt;0,HLOOKUP(DL84-AvgLeaseTermMarket,$G$84:DL$86,3,FALSE),0)</f>
        <v>0</v>
      </c>
      <c r="DM87" s="229">
        <f>IF(DM84-AvgLeaseTermMarket&gt;0,HLOOKUP(DM84-AvgLeaseTermMarket,$G$84:DM$86,3,FALSE),0)</f>
        <v>0</v>
      </c>
      <c r="DN87" s="229">
        <f>IF(DN84-AvgLeaseTermMarket&gt;0,HLOOKUP(DN84-AvgLeaseTermMarket,$G$84:DN$86,3,FALSE),0)</f>
        <v>0</v>
      </c>
      <c r="DO87" s="229">
        <f>IF(DO84-AvgLeaseTermMarket&gt;0,HLOOKUP(DO84-AvgLeaseTermMarket,$G$84:DO$86,3,FALSE),0)</f>
        <v>0</v>
      </c>
      <c r="DP87" s="229">
        <f>IF(DP84-AvgLeaseTermMarket&gt;0,HLOOKUP(DP84-AvgLeaseTermMarket,$G$84:DP$86,3,FALSE),0)</f>
        <v>0</v>
      </c>
      <c r="DQ87" s="229">
        <f>IF(DQ84-AvgLeaseTermMarket&gt;0,HLOOKUP(DQ84-AvgLeaseTermMarket,$G$84:DQ$86,3,FALSE),0)</f>
        <v>0</v>
      </c>
      <c r="DR87" s="229">
        <f>IF(DR84-AvgLeaseTermMarket&gt;0,HLOOKUP(DR84-AvgLeaseTermMarket,$G$84:DR$86,3,FALSE),0)</f>
        <v>0</v>
      </c>
      <c r="DS87" s="229">
        <f>IF(DS84-AvgLeaseTermMarket&gt;0,HLOOKUP(DS84-AvgLeaseTermMarket,$G$84:DS$86,3,FALSE),0)</f>
        <v>0</v>
      </c>
      <c r="DT87" s="229">
        <f>IF(DT84-AvgLeaseTermMarket&gt;0,HLOOKUP(DT84-AvgLeaseTermMarket,$G$84:DT$86,3,FALSE),0)</f>
        <v>0</v>
      </c>
      <c r="DU87" s="229">
        <f>IF(DU84-AvgLeaseTermMarket&gt;0,HLOOKUP(DU84-AvgLeaseTermMarket,$G$84:DU$86,3,FALSE),0)</f>
        <v>0</v>
      </c>
      <c r="DV87" s="229">
        <f>IF(DV84-AvgLeaseTermMarket&gt;0,HLOOKUP(DV84-AvgLeaseTermMarket,$G$84:DV$86,3,FALSE),0)</f>
        <v>0</v>
      </c>
      <c r="DW87" s="229">
        <f>IF(DW84-AvgLeaseTermMarket&gt;0,HLOOKUP(DW84-AvgLeaseTermMarket,$G$84:DW$86,3,FALSE),0)</f>
        <v>0</v>
      </c>
      <c r="DX87" s="229">
        <f>IF(DX84-AvgLeaseTermMarket&gt;0,HLOOKUP(DX84-AvgLeaseTermMarket,$G$84:DX$86,3,FALSE),0)</f>
        <v>0</v>
      </c>
      <c r="DY87" s="229">
        <f>IF(DY84-AvgLeaseTermMarket&gt;0,HLOOKUP(DY84-AvgLeaseTermMarket,$G$84:DY$86,3,FALSE),0)</f>
        <v>0</v>
      </c>
      <c r="DZ87" s="229">
        <f>IF(DZ84-AvgLeaseTermMarket&gt;0,HLOOKUP(DZ84-AvgLeaseTermMarket,$G$84:DZ$86,3,FALSE),0)</f>
        <v>0</v>
      </c>
      <c r="EA87" s="229">
        <f>IF(EA84-AvgLeaseTermMarket&gt;0,HLOOKUP(EA84-AvgLeaseTermMarket,$G$84:EA$86,3,FALSE),0)</f>
        <v>0</v>
      </c>
      <c r="EB87" s="229">
        <f>IF(EB84-AvgLeaseTermMarket&gt;0,HLOOKUP(EB84-AvgLeaseTermMarket,$G$84:EB$86,3,FALSE),0)</f>
        <v>0</v>
      </c>
      <c r="EC87" s="229">
        <f>IF(EC84-AvgLeaseTermMarket&gt;0,HLOOKUP(EC84-AvgLeaseTermMarket,$G$84:EC$86,3,FALSE),0)</f>
        <v>0</v>
      </c>
      <c r="ED87" s="229">
        <f>IF(ED84-AvgLeaseTermMarket&gt;0,HLOOKUP(ED84-AvgLeaseTermMarket,$G$84:ED$86,3,FALSE),0)</f>
        <v>0</v>
      </c>
      <c r="EE87" s="229">
        <f>IF(EE84-AvgLeaseTermMarket&gt;0,HLOOKUP(EE84-AvgLeaseTermMarket,$G$84:EE$86,3,FALSE),0)</f>
        <v>0</v>
      </c>
      <c r="EF87" s="229">
        <f>IF(EF84-AvgLeaseTermMarket&gt;0,HLOOKUP(EF84-AvgLeaseTermMarket,$G$84:EF$86,3,FALSE),0)</f>
        <v>0</v>
      </c>
      <c r="EG87" s="229">
        <f>IF(EG84-AvgLeaseTermMarket&gt;0,HLOOKUP(EG84-AvgLeaseTermMarket,$G$84:EG$86,3,FALSE),0)</f>
        <v>0</v>
      </c>
      <c r="EH87" s="229">
        <f>IF(EH84-AvgLeaseTermMarket&gt;0,HLOOKUP(EH84-AvgLeaseTermMarket,$G$84:EH$86,3,FALSE),0)</f>
        <v>0</v>
      </c>
      <c r="EK87" s="672"/>
    </row>
    <row r="88" spans="1:141" x14ac:dyDescent="0.3">
      <c r="A88" t="s">
        <v>2414</v>
      </c>
      <c r="G88" s="229">
        <f t="shared" ref="G88:AL88" si="133">G87*TurnoverPct</f>
        <v>0</v>
      </c>
      <c r="H88" s="229">
        <f t="shared" si="133"/>
        <v>0</v>
      </c>
      <c r="I88" s="229">
        <f t="shared" si="133"/>
        <v>0</v>
      </c>
      <c r="J88" s="229">
        <f t="shared" si="133"/>
        <v>0</v>
      </c>
      <c r="K88" s="229">
        <f t="shared" si="133"/>
        <v>0</v>
      </c>
      <c r="L88" s="229">
        <f t="shared" si="133"/>
        <v>0</v>
      </c>
      <c r="M88" s="229">
        <f t="shared" si="133"/>
        <v>0</v>
      </c>
      <c r="N88" s="229">
        <f t="shared" si="133"/>
        <v>0</v>
      </c>
      <c r="O88" s="229">
        <f t="shared" si="133"/>
        <v>0</v>
      </c>
      <c r="P88" s="229">
        <f t="shared" si="133"/>
        <v>0</v>
      </c>
      <c r="Q88" s="229">
        <f t="shared" si="133"/>
        <v>0</v>
      </c>
      <c r="R88" s="229">
        <f t="shared" si="133"/>
        <v>0</v>
      </c>
      <c r="S88" s="229">
        <f t="shared" si="133"/>
        <v>0</v>
      </c>
      <c r="T88" s="229">
        <f t="shared" si="133"/>
        <v>0</v>
      </c>
      <c r="U88" s="229">
        <f t="shared" si="133"/>
        <v>0</v>
      </c>
      <c r="V88" s="229">
        <f t="shared" si="133"/>
        <v>0</v>
      </c>
      <c r="W88" s="229">
        <f t="shared" si="133"/>
        <v>0</v>
      </c>
      <c r="X88" s="229">
        <f t="shared" si="133"/>
        <v>0</v>
      </c>
      <c r="Y88" s="229">
        <f t="shared" si="133"/>
        <v>0</v>
      </c>
      <c r="Z88" s="229">
        <f t="shared" si="133"/>
        <v>0</v>
      </c>
      <c r="AA88" s="229">
        <f t="shared" si="133"/>
        <v>0</v>
      </c>
      <c r="AB88" s="229">
        <f t="shared" si="133"/>
        <v>0</v>
      </c>
      <c r="AC88" s="229">
        <f t="shared" si="133"/>
        <v>0</v>
      </c>
      <c r="AD88" s="229">
        <f t="shared" si="133"/>
        <v>0</v>
      </c>
      <c r="AE88" s="229">
        <f t="shared" si="133"/>
        <v>0</v>
      </c>
      <c r="AF88" s="229">
        <f t="shared" si="133"/>
        <v>0</v>
      </c>
      <c r="AG88" s="229">
        <f t="shared" si="133"/>
        <v>0</v>
      </c>
      <c r="AH88" s="229">
        <f t="shared" si="133"/>
        <v>0</v>
      </c>
      <c r="AI88" s="229">
        <f t="shared" si="133"/>
        <v>0</v>
      </c>
      <c r="AJ88" s="229">
        <f t="shared" si="133"/>
        <v>0</v>
      </c>
      <c r="AK88" s="229">
        <f t="shared" si="133"/>
        <v>0</v>
      </c>
      <c r="AL88" s="229">
        <f t="shared" si="133"/>
        <v>0</v>
      </c>
      <c r="AM88" s="229">
        <f t="shared" ref="AM88:BR88" si="134">AM87*TurnoverPct</f>
        <v>0</v>
      </c>
      <c r="AN88" s="229">
        <f t="shared" si="134"/>
        <v>0</v>
      </c>
      <c r="AO88" s="229">
        <f t="shared" si="134"/>
        <v>0</v>
      </c>
      <c r="AP88" s="229">
        <f t="shared" si="134"/>
        <v>0</v>
      </c>
      <c r="AQ88" s="229">
        <f t="shared" si="134"/>
        <v>0</v>
      </c>
      <c r="AR88" s="229">
        <f t="shared" si="134"/>
        <v>0</v>
      </c>
      <c r="AS88" s="229">
        <f t="shared" si="134"/>
        <v>0</v>
      </c>
      <c r="AT88" s="229">
        <f t="shared" si="134"/>
        <v>0</v>
      </c>
      <c r="AU88" s="229">
        <f t="shared" si="134"/>
        <v>0</v>
      </c>
      <c r="AV88" s="229">
        <f t="shared" si="134"/>
        <v>0</v>
      </c>
      <c r="AW88" s="229">
        <f t="shared" si="134"/>
        <v>0</v>
      </c>
      <c r="AX88" s="229">
        <f t="shared" si="134"/>
        <v>0</v>
      </c>
      <c r="AY88" s="229">
        <f t="shared" si="134"/>
        <v>0</v>
      </c>
      <c r="AZ88" s="229">
        <f t="shared" si="134"/>
        <v>0</v>
      </c>
      <c r="BA88" s="229">
        <f t="shared" si="134"/>
        <v>0</v>
      </c>
      <c r="BB88" s="229">
        <f t="shared" si="134"/>
        <v>0</v>
      </c>
      <c r="BC88" s="229">
        <f t="shared" si="134"/>
        <v>0</v>
      </c>
      <c r="BD88" s="229">
        <f t="shared" si="134"/>
        <v>0</v>
      </c>
      <c r="BE88" s="229">
        <f t="shared" si="134"/>
        <v>0</v>
      </c>
      <c r="BF88" s="229">
        <f t="shared" si="134"/>
        <v>0</v>
      </c>
      <c r="BG88" s="229">
        <f t="shared" si="134"/>
        <v>0</v>
      </c>
      <c r="BH88" s="229">
        <f t="shared" si="134"/>
        <v>0</v>
      </c>
      <c r="BI88" s="229">
        <f t="shared" si="134"/>
        <v>0</v>
      </c>
      <c r="BJ88" s="229">
        <f t="shared" si="134"/>
        <v>0</v>
      </c>
      <c r="BK88" s="229">
        <f t="shared" si="134"/>
        <v>0</v>
      </c>
      <c r="BL88" s="229">
        <f t="shared" si="134"/>
        <v>0</v>
      </c>
      <c r="BM88" s="229">
        <f t="shared" si="134"/>
        <v>0</v>
      </c>
      <c r="BN88" s="229">
        <f t="shared" si="134"/>
        <v>0</v>
      </c>
      <c r="BO88" s="229">
        <f t="shared" si="134"/>
        <v>0</v>
      </c>
      <c r="BP88" s="229">
        <f t="shared" si="134"/>
        <v>0</v>
      </c>
      <c r="BQ88" s="229">
        <f t="shared" si="134"/>
        <v>0</v>
      </c>
      <c r="BR88" s="229">
        <f t="shared" si="134"/>
        <v>0</v>
      </c>
      <c r="BS88" s="229">
        <f t="shared" ref="BS88:CX88" si="135">BS87*TurnoverPct</f>
        <v>0</v>
      </c>
      <c r="BT88" s="229">
        <f t="shared" si="135"/>
        <v>0</v>
      </c>
      <c r="BU88" s="229">
        <f t="shared" si="135"/>
        <v>0</v>
      </c>
      <c r="BV88" s="229">
        <f t="shared" si="135"/>
        <v>0</v>
      </c>
      <c r="BW88" s="229">
        <f t="shared" si="135"/>
        <v>0</v>
      </c>
      <c r="BX88" s="229">
        <f t="shared" si="135"/>
        <v>0</v>
      </c>
      <c r="BY88" s="229">
        <f t="shared" si="135"/>
        <v>0</v>
      </c>
      <c r="BZ88" s="229">
        <f t="shared" si="135"/>
        <v>0</v>
      </c>
      <c r="CA88" s="229">
        <f t="shared" si="135"/>
        <v>0</v>
      </c>
      <c r="CB88" s="229">
        <f t="shared" si="135"/>
        <v>0</v>
      </c>
      <c r="CC88" s="229">
        <f t="shared" si="135"/>
        <v>0</v>
      </c>
      <c r="CD88" s="229">
        <f t="shared" si="135"/>
        <v>0</v>
      </c>
      <c r="CE88" s="229">
        <f t="shared" si="135"/>
        <v>0</v>
      </c>
      <c r="CF88" s="229">
        <f t="shared" si="135"/>
        <v>0</v>
      </c>
      <c r="CG88" s="229">
        <f t="shared" si="135"/>
        <v>0</v>
      </c>
      <c r="CH88" s="229">
        <f t="shared" si="135"/>
        <v>0</v>
      </c>
      <c r="CI88" s="229">
        <f t="shared" si="135"/>
        <v>0</v>
      </c>
      <c r="CJ88" s="229">
        <f t="shared" si="135"/>
        <v>0</v>
      </c>
      <c r="CK88" s="229">
        <f t="shared" si="135"/>
        <v>0</v>
      </c>
      <c r="CL88" s="229">
        <f t="shared" si="135"/>
        <v>0</v>
      </c>
      <c r="CM88" s="229">
        <f t="shared" si="135"/>
        <v>0</v>
      </c>
      <c r="CN88" s="229">
        <f t="shared" si="135"/>
        <v>0</v>
      </c>
      <c r="CO88" s="229">
        <f t="shared" si="135"/>
        <v>0</v>
      </c>
      <c r="CP88" s="229">
        <f t="shared" si="135"/>
        <v>0</v>
      </c>
      <c r="CQ88" s="229">
        <f t="shared" si="135"/>
        <v>0</v>
      </c>
      <c r="CR88" s="229">
        <f t="shared" si="135"/>
        <v>0</v>
      </c>
      <c r="CS88" s="229">
        <f t="shared" si="135"/>
        <v>0</v>
      </c>
      <c r="CT88" s="229">
        <f t="shared" si="135"/>
        <v>0</v>
      </c>
      <c r="CU88" s="229">
        <f t="shared" si="135"/>
        <v>0</v>
      </c>
      <c r="CV88" s="229">
        <f t="shared" si="135"/>
        <v>0</v>
      </c>
      <c r="CW88" s="229">
        <f t="shared" si="135"/>
        <v>0</v>
      </c>
      <c r="CX88" s="229">
        <f t="shared" si="135"/>
        <v>0</v>
      </c>
      <c r="CY88" s="229">
        <f t="shared" ref="CY88:ED88" si="136">CY87*TurnoverPct</f>
        <v>0</v>
      </c>
      <c r="CZ88" s="229">
        <f t="shared" si="136"/>
        <v>0</v>
      </c>
      <c r="DA88" s="229">
        <f t="shared" si="136"/>
        <v>0</v>
      </c>
      <c r="DB88" s="229">
        <f t="shared" si="136"/>
        <v>0</v>
      </c>
      <c r="DC88" s="229">
        <f t="shared" si="136"/>
        <v>0</v>
      </c>
      <c r="DD88" s="229">
        <f t="shared" si="136"/>
        <v>0</v>
      </c>
      <c r="DE88" s="229">
        <f t="shared" si="136"/>
        <v>0</v>
      </c>
      <c r="DF88" s="229">
        <f t="shared" si="136"/>
        <v>0</v>
      </c>
      <c r="DG88" s="229">
        <f t="shared" si="136"/>
        <v>0</v>
      </c>
      <c r="DH88" s="229">
        <f t="shared" si="136"/>
        <v>0</v>
      </c>
      <c r="DI88" s="229">
        <f t="shared" si="136"/>
        <v>0</v>
      </c>
      <c r="DJ88" s="229">
        <f t="shared" si="136"/>
        <v>0</v>
      </c>
      <c r="DK88" s="229">
        <f t="shared" si="136"/>
        <v>0</v>
      </c>
      <c r="DL88" s="229">
        <f t="shared" si="136"/>
        <v>0</v>
      </c>
      <c r="DM88" s="229">
        <f t="shared" si="136"/>
        <v>0</v>
      </c>
      <c r="DN88" s="229">
        <f t="shared" si="136"/>
        <v>0</v>
      </c>
      <c r="DO88" s="229">
        <f t="shared" si="136"/>
        <v>0</v>
      </c>
      <c r="DP88" s="229">
        <f t="shared" si="136"/>
        <v>0</v>
      </c>
      <c r="DQ88" s="229">
        <f t="shared" si="136"/>
        <v>0</v>
      </c>
      <c r="DR88" s="229">
        <f t="shared" si="136"/>
        <v>0</v>
      </c>
      <c r="DS88" s="229">
        <f t="shared" si="136"/>
        <v>0</v>
      </c>
      <c r="DT88" s="229">
        <f t="shared" si="136"/>
        <v>0</v>
      </c>
      <c r="DU88" s="229">
        <f t="shared" si="136"/>
        <v>0</v>
      </c>
      <c r="DV88" s="229">
        <f t="shared" si="136"/>
        <v>0</v>
      </c>
      <c r="DW88" s="229">
        <f t="shared" si="136"/>
        <v>0</v>
      </c>
      <c r="DX88" s="229">
        <f t="shared" si="136"/>
        <v>0</v>
      </c>
      <c r="DY88" s="229">
        <f t="shared" si="136"/>
        <v>0</v>
      </c>
      <c r="DZ88" s="229">
        <f t="shared" si="136"/>
        <v>0</v>
      </c>
      <c r="EA88" s="229">
        <f t="shared" si="136"/>
        <v>0</v>
      </c>
      <c r="EB88" s="229">
        <f t="shared" si="136"/>
        <v>0</v>
      </c>
      <c r="EC88" s="229">
        <f t="shared" si="136"/>
        <v>0</v>
      </c>
      <c r="ED88" s="229">
        <f t="shared" si="136"/>
        <v>0</v>
      </c>
      <c r="EE88" s="229">
        <f>EE87*TurnoverPct</f>
        <v>0</v>
      </c>
      <c r="EF88" s="229">
        <f>EF87*TurnoverPct</f>
        <v>0</v>
      </c>
      <c r="EG88" s="229">
        <f>EG87*TurnoverPct</f>
        <v>0</v>
      </c>
      <c r="EH88" s="229">
        <f>EH87*TurnoverPct</f>
        <v>0</v>
      </c>
      <c r="EK88" s="280"/>
    </row>
    <row r="89" spans="1:141" x14ac:dyDescent="0.3">
      <c r="A89" t="s">
        <v>2415</v>
      </c>
      <c r="G89" s="229">
        <f t="shared" ref="G89:BR89" si="137">H24</f>
        <v>0</v>
      </c>
      <c r="H89" s="229">
        <f t="shared" si="137"/>
        <v>0</v>
      </c>
      <c r="I89" s="229">
        <f t="shared" si="137"/>
        <v>0</v>
      </c>
      <c r="J89" s="229">
        <f t="shared" si="137"/>
        <v>0</v>
      </c>
      <c r="K89" s="229">
        <f t="shared" si="137"/>
        <v>0</v>
      </c>
      <c r="L89" s="229">
        <f t="shared" si="137"/>
        <v>0</v>
      </c>
      <c r="M89" s="229">
        <f t="shared" si="137"/>
        <v>0</v>
      </c>
      <c r="N89" s="229">
        <f t="shared" si="137"/>
        <v>0</v>
      </c>
      <c r="O89" s="229">
        <f t="shared" si="137"/>
        <v>0</v>
      </c>
      <c r="P89" s="229">
        <f t="shared" si="137"/>
        <v>0</v>
      </c>
      <c r="Q89" s="229">
        <f t="shared" si="137"/>
        <v>0</v>
      </c>
      <c r="R89" s="229">
        <f t="shared" si="137"/>
        <v>0</v>
      </c>
      <c r="S89" s="229">
        <f t="shared" si="137"/>
        <v>0</v>
      </c>
      <c r="T89" s="229">
        <f t="shared" si="137"/>
        <v>0</v>
      </c>
      <c r="U89" s="229">
        <f t="shared" si="137"/>
        <v>0</v>
      </c>
      <c r="V89" s="229">
        <f t="shared" si="137"/>
        <v>0</v>
      </c>
      <c r="W89" s="229">
        <f t="shared" si="137"/>
        <v>0</v>
      </c>
      <c r="X89" s="229">
        <f t="shared" si="137"/>
        <v>0</v>
      </c>
      <c r="Y89" s="229">
        <f t="shared" si="137"/>
        <v>0</v>
      </c>
      <c r="Z89" s="229">
        <f t="shared" si="137"/>
        <v>0</v>
      </c>
      <c r="AA89" s="229">
        <f t="shared" si="137"/>
        <v>0</v>
      </c>
      <c r="AB89" s="229">
        <f t="shared" si="137"/>
        <v>0</v>
      </c>
      <c r="AC89" s="229">
        <f t="shared" si="137"/>
        <v>0</v>
      </c>
      <c r="AD89" s="229">
        <f t="shared" si="137"/>
        <v>0</v>
      </c>
      <c r="AE89" s="229">
        <f t="shared" si="137"/>
        <v>0</v>
      </c>
      <c r="AF89" s="229">
        <f t="shared" si="137"/>
        <v>0</v>
      </c>
      <c r="AG89" s="229">
        <f t="shared" si="137"/>
        <v>0</v>
      </c>
      <c r="AH89" s="229">
        <f t="shared" si="137"/>
        <v>0</v>
      </c>
      <c r="AI89" s="229">
        <f t="shared" si="137"/>
        <v>0</v>
      </c>
      <c r="AJ89" s="229">
        <f t="shared" si="137"/>
        <v>0</v>
      </c>
      <c r="AK89" s="229">
        <f t="shared" si="137"/>
        <v>0</v>
      </c>
      <c r="AL89" s="229">
        <f t="shared" si="137"/>
        <v>0</v>
      </c>
      <c r="AM89" s="229">
        <f t="shared" si="137"/>
        <v>0</v>
      </c>
      <c r="AN89" s="229">
        <f t="shared" si="137"/>
        <v>0</v>
      </c>
      <c r="AO89" s="229">
        <f t="shared" si="137"/>
        <v>0</v>
      </c>
      <c r="AP89" s="229">
        <f t="shared" si="137"/>
        <v>0</v>
      </c>
      <c r="AQ89" s="229">
        <f t="shared" si="137"/>
        <v>0</v>
      </c>
      <c r="AR89" s="229">
        <f t="shared" si="137"/>
        <v>0</v>
      </c>
      <c r="AS89" s="229">
        <f t="shared" si="137"/>
        <v>0</v>
      </c>
      <c r="AT89" s="229">
        <f t="shared" si="137"/>
        <v>0</v>
      </c>
      <c r="AU89" s="229">
        <f t="shared" si="137"/>
        <v>0</v>
      </c>
      <c r="AV89" s="229">
        <f t="shared" si="137"/>
        <v>0</v>
      </c>
      <c r="AW89" s="229">
        <f t="shared" si="137"/>
        <v>0</v>
      </c>
      <c r="AX89" s="229">
        <f t="shared" si="137"/>
        <v>0</v>
      </c>
      <c r="AY89" s="229">
        <f t="shared" si="137"/>
        <v>0</v>
      </c>
      <c r="AZ89" s="229">
        <f t="shared" si="137"/>
        <v>0</v>
      </c>
      <c r="BA89" s="229">
        <f t="shared" si="137"/>
        <v>0</v>
      </c>
      <c r="BB89" s="229">
        <f t="shared" si="137"/>
        <v>0</v>
      </c>
      <c r="BC89" s="229">
        <f t="shared" si="137"/>
        <v>0</v>
      </c>
      <c r="BD89" s="229">
        <f t="shared" si="137"/>
        <v>0</v>
      </c>
      <c r="BE89" s="229">
        <f t="shared" si="137"/>
        <v>0</v>
      </c>
      <c r="BF89" s="229">
        <f t="shared" si="137"/>
        <v>0</v>
      </c>
      <c r="BG89" s="229">
        <f t="shared" si="137"/>
        <v>0</v>
      </c>
      <c r="BH89" s="229">
        <f t="shared" si="137"/>
        <v>0</v>
      </c>
      <c r="BI89" s="229">
        <f t="shared" si="137"/>
        <v>0</v>
      </c>
      <c r="BJ89" s="229">
        <f t="shared" si="137"/>
        <v>0</v>
      </c>
      <c r="BK89" s="229">
        <f t="shared" si="137"/>
        <v>0</v>
      </c>
      <c r="BL89" s="229">
        <f t="shared" si="137"/>
        <v>0</v>
      </c>
      <c r="BM89" s="229">
        <f t="shared" si="137"/>
        <v>0</v>
      </c>
      <c r="BN89" s="229">
        <f t="shared" si="137"/>
        <v>0</v>
      </c>
      <c r="BO89" s="229">
        <f t="shared" si="137"/>
        <v>0</v>
      </c>
      <c r="BP89" s="229">
        <f t="shared" si="137"/>
        <v>0</v>
      </c>
      <c r="BQ89" s="229">
        <f t="shared" si="137"/>
        <v>0</v>
      </c>
      <c r="BR89" s="229">
        <f t="shared" si="137"/>
        <v>0</v>
      </c>
      <c r="BS89" s="229">
        <f t="shared" ref="BS89:ED89" si="138">BT24</f>
        <v>0</v>
      </c>
      <c r="BT89" s="229">
        <f t="shared" si="138"/>
        <v>0</v>
      </c>
      <c r="BU89" s="229">
        <f t="shared" si="138"/>
        <v>0</v>
      </c>
      <c r="BV89" s="229">
        <f t="shared" si="138"/>
        <v>0</v>
      </c>
      <c r="BW89" s="229">
        <f t="shared" si="138"/>
        <v>0</v>
      </c>
      <c r="BX89" s="229">
        <f t="shared" si="138"/>
        <v>0</v>
      </c>
      <c r="BY89" s="229">
        <f t="shared" si="138"/>
        <v>0</v>
      </c>
      <c r="BZ89" s="229">
        <f t="shared" si="138"/>
        <v>0</v>
      </c>
      <c r="CA89" s="229">
        <f t="shared" si="138"/>
        <v>0</v>
      </c>
      <c r="CB89" s="229">
        <f t="shared" si="138"/>
        <v>0</v>
      </c>
      <c r="CC89" s="229">
        <f t="shared" si="138"/>
        <v>0</v>
      </c>
      <c r="CD89" s="229">
        <f t="shared" si="138"/>
        <v>0</v>
      </c>
      <c r="CE89" s="229">
        <f t="shared" si="138"/>
        <v>0</v>
      </c>
      <c r="CF89" s="229">
        <f t="shared" si="138"/>
        <v>0</v>
      </c>
      <c r="CG89" s="229">
        <f t="shared" si="138"/>
        <v>0</v>
      </c>
      <c r="CH89" s="229">
        <f t="shared" si="138"/>
        <v>0</v>
      </c>
      <c r="CI89" s="229">
        <f t="shared" si="138"/>
        <v>0</v>
      </c>
      <c r="CJ89" s="229">
        <f t="shared" si="138"/>
        <v>0</v>
      </c>
      <c r="CK89" s="229">
        <f t="shared" si="138"/>
        <v>0</v>
      </c>
      <c r="CL89" s="229">
        <f t="shared" si="138"/>
        <v>0</v>
      </c>
      <c r="CM89" s="229">
        <f t="shared" si="138"/>
        <v>0</v>
      </c>
      <c r="CN89" s="229">
        <f t="shared" si="138"/>
        <v>0</v>
      </c>
      <c r="CO89" s="229">
        <f t="shared" si="138"/>
        <v>0</v>
      </c>
      <c r="CP89" s="229">
        <f t="shared" si="138"/>
        <v>0</v>
      </c>
      <c r="CQ89" s="229">
        <f t="shared" si="138"/>
        <v>0</v>
      </c>
      <c r="CR89" s="229">
        <f t="shared" si="138"/>
        <v>0</v>
      </c>
      <c r="CS89" s="229">
        <f t="shared" si="138"/>
        <v>0</v>
      </c>
      <c r="CT89" s="229">
        <f t="shared" si="138"/>
        <v>0</v>
      </c>
      <c r="CU89" s="229">
        <f t="shared" si="138"/>
        <v>0</v>
      </c>
      <c r="CV89" s="229">
        <f t="shared" si="138"/>
        <v>0</v>
      </c>
      <c r="CW89" s="229">
        <f t="shared" si="138"/>
        <v>0</v>
      </c>
      <c r="CX89" s="229">
        <f t="shared" si="138"/>
        <v>0</v>
      </c>
      <c r="CY89" s="229">
        <f t="shared" si="138"/>
        <v>0</v>
      </c>
      <c r="CZ89" s="229">
        <f t="shared" si="138"/>
        <v>0</v>
      </c>
      <c r="DA89" s="229">
        <f t="shared" si="138"/>
        <v>0</v>
      </c>
      <c r="DB89" s="229">
        <f t="shared" si="138"/>
        <v>0</v>
      </c>
      <c r="DC89" s="229">
        <f t="shared" si="138"/>
        <v>0</v>
      </c>
      <c r="DD89" s="229">
        <f t="shared" si="138"/>
        <v>0</v>
      </c>
      <c r="DE89" s="229">
        <f t="shared" si="138"/>
        <v>0</v>
      </c>
      <c r="DF89" s="229">
        <f t="shared" si="138"/>
        <v>0</v>
      </c>
      <c r="DG89" s="229">
        <f t="shared" si="138"/>
        <v>0</v>
      </c>
      <c r="DH89" s="229">
        <f t="shared" si="138"/>
        <v>0</v>
      </c>
      <c r="DI89" s="229">
        <f t="shared" si="138"/>
        <v>0</v>
      </c>
      <c r="DJ89" s="229">
        <f t="shared" si="138"/>
        <v>0</v>
      </c>
      <c r="DK89" s="229">
        <f t="shared" si="138"/>
        <v>0</v>
      </c>
      <c r="DL89" s="229">
        <f t="shared" si="138"/>
        <v>0</v>
      </c>
      <c r="DM89" s="229">
        <f t="shared" si="138"/>
        <v>0</v>
      </c>
      <c r="DN89" s="229">
        <f t="shared" si="138"/>
        <v>0</v>
      </c>
      <c r="DO89" s="229">
        <f t="shared" si="138"/>
        <v>0</v>
      </c>
      <c r="DP89" s="229">
        <f t="shared" si="138"/>
        <v>0</v>
      </c>
      <c r="DQ89" s="229">
        <f t="shared" si="138"/>
        <v>0</v>
      </c>
      <c r="DR89" s="229">
        <f t="shared" si="138"/>
        <v>0</v>
      </c>
      <c r="DS89" s="229">
        <f t="shared" si="138"/>
        <v>0</v>
      </c>
      <c r="DT89" s="229">
        <f t="shared" si="138"/>
        <v>0</v>
      </c>
      <c r="DU89" s="229">
        <f t="shared" si="138"/>
        <v>0</v>
      </c>
      <c r="DV89" s="229">
        <f t="shared" si="138"/>
        <v>0</v>
      </c>
      <c r="DW89" s="229">
        <f t="shared" si="138"/>
        <v>0</v>
      </c>
      <c r="DX89" s="229">
        <f t="shared" si="138"/>
        <v>0</v>
      </c>
      <c r="DY89" s="229">
        <f t="shared" si="138"/>
        <v>0</v>
      </c>
      <c r="DZ89" s="229">
        <f t="shared" si="138"/>
        <v>0</v>
      </c>
      <c r="EA89" s="229">
        <f t="shared" si="138"/>
        <v>0</v>
      </c>
      <c r="EB89" s="229">
        <f t="shared" si="138"/>
        <v>0</v>
      </c>
      <c r="EC89" s="229">
        <f t="shared" si="138"/>
        <v>0</v>
      </c>
      <c r="ED89" s="229">
        <f t="shared" si="138"/>
        <v>0</v>
      </c>
      <c r="EE89" s="229">
        <f t="shared" ref="EE89:EH89" si="139">EF24</f>
        <v>0</v>
      </c>
      <c r="EF89" s="229">
        <f t="shared" si="139"/>
        <v>0</v>
      </c>
      <c r="EG89" s="229">
        <f t="shared" si="139"/>
        <v>0</v>
      </c>
      <c r="EH89" s="229">
        <f t="shared" si="139"/>
        <v>0</v>
      </c>
      <c r="EK89" s="672"/>
    </row>
    <row r="90" spans="1:141" ht="15" thickBot="1" x14ac:dyDescent="0.35">
      <c r="A90" s="248" t="s">
        <v>2416</v>
      </c>
      <c r="B90" s="248"/>
      <c r="C90" s="248"/>
      <c r="D90" s="248"/>
      <c r="E90" s="654"/>
      <c r="F90" s="654"/>
      <c r="G90" s="249">
        <f t="shared" ref="G90:BR90" si="140">G85+G89</f>
        <v>0</v>
      </c>
      <c r="H90" s="249">
        <f t="shared" si="140"/>
        <v>0</v>
      </c>
      <c r="I90" s="249">
        <f t="shared" si="140"/>
        <v>0</v>
      </c>
      <c r="J90" s="249">
        <f t="shared" si="140"/>
        <v>0</v>
      </c>
      <c r="K90" s="249">
        <f t="shared" si="140"/>
        <v>0</v>
      </c>
      <c r="L90" s="249">
        <f t="shared" si="140"/>
        <v>0</v>
      </c>
      <c r="M90" s="249">
        <f t="shared" si="140"/>
        <v>0</v>
      </c>
      <c r="N90" s="249">
        <f t="shared" si="140"/>
        <v>0</v>
      </c>
      <c r="O90" s="249">
        <f t="shared" si="140"/>
        <v>0</v>
      </c>
      <c r="P90" s="249">
        <f t="shared" si="140"/>
        <v>0</v>
      </c>
      <c r="Q90" s="249">
        <f t="shared" si="140"/>
        <v>0</v>
      </c>
      <c r="R90" s="249">
        <f t="shared" si="140"/>
        <v>0</v>
      </c>
      <c r="S90" s="249">
        <f t="shared" si="140"/>
        <v>0</v>
      </c>
      <c r="T90" s="249">
        <f t="shared" si="140"/>
        <v>0</v>
      </c>
      <c r="U90" s="249">
        <f t="shared" si="140"/>
        <v>0</v>
      </c>
      <c r="V90" s="249">
        <f t="shared" si="140"/>
        <v>0</v>
      </c>
      <c r="W90" s="249">
        <f t="shared" si="140"/>
        <v>0</v>
      </c>
      <c r="X90" s="249">
        <f t="shared" si="140"/>
        <v>0</v>
      </c>
      <c r="Y90" s="249">
        <f t="shared" si="140"/>
        <v>0</v>
      </c>
      <c r="Z90" s="249">
        <f t="shared" si="140"/>
        <v>0</v>
      </c>
      <c r="AA90" s="249">
        <f t="shared" si="140"/>
        <v>0</v>
      </c>
      <c r="AB90" s="249">
        <f t="shared" si="140"/>
        <v>0</v>
      </c>
      <c r="AC90" s="249">
        <f t="shared" si="140"/>
        <v>0</v>
      </c>
      <c r="AD90" s="249">
        <f t="shared" si="140"/>
        <v>0</v>
      </c>
      <c r="AE90" s="249">
        <f t="shared" si="140"/>
        <v>0</v>
      </c>
      <c r="AF90" s="249">
        <f t="shared" si="140"/>
        <v>0</v>
      </c>
      <c r="AG90" s="249">
        <f t="shared" si="140"/>
        <v>0</v>
      </c>
      <c r="AH90" s="249">
        <f t="shared" si="140"/>
        <v>0</v>
      </c>
      <c r="AI90" s="249">
        <f t="shared" si="140"/>
        <v>0</v>
      </c>
      <c r="AJ90" s="249">
        <f t="shared" si="140"/>
        <v>0</v>
      </c>
      <c r="AK90" s="249">
        <f t="shared" si="140"/>
        <v>0</v>
      </c>
      <c r="AL90" s="249">
        <f t="shared" si="140"/>
        <v>0</v>
      </c>
      <c r="AM90" s="249">
        <f t="shared" si="140"/>
        <v>0</v>
      </c>
      <c r="AN90" s="249">
        <f t="shared" si="140"/>
        <v>0</v>
      </c>
      <c r="AO90" s="249">
        <f t="shared" si="140"/>
        <v>0</v>
      </c>
      <c r="AP90" s="249">
        <f t="shared" si="140"/>
        <v>0</v>
      </c>
      <c r="AQ90" s="249">
        <f t="shared" si="140"/>
        <v>0</v>
      </c>
      <c r="AR90" s="249">
        <f t="shared" si="140"/>
        <v>0</v>
      </c>
      <c r="AS90" s="249">
        <f t="shared" si="140"/>
        <v>0</v>
      </c>
      <c r="AT90" s="249">
        <f t="shared" si="140"/>
        <v>0</v>
      </c>
      <c r="AU90" s="249">
        <f t="shared" si="140"/>
        <v>0</v>
      </c>
      <c r="AV90" s="249">
        <f t="shared" si="140"/>
        <v>0</v>
      </c>
      <c r="AW90" s="249">
        <f t="shared" si="140"/>
        <v>0</v>
      </c>
      <c r="AX90" s="249">
        <f t="shared" si="140"/>
        <v>0</v>
      </c>
      <c r="AY90" s="249">
        <f t="shared" si="140"/>
        <v>0</v>
      </c>
      <c r="AZ90" s="249">
        <f t="shared" si="140"/>
        <v>0</v>
      </c>
      <c r="BA90" s="249">
        <f t="shared" si="140"/>
        <v>0</v>
      </c>
      <c r="BB90" s="249">
        <f t="shared" si="140"/>
        <v>0</v>
      </c>
      <c r="BC90" s="249">
        <f t="shared" si="140"/>
        <v>0</v>
      </c>
      <c r="BD90" s="249">
        <f t="shared" si="140"/>
        <v>0</v>
      </c>
      <c r="BE90" s="249">
        <f t="shared" si="140"/>
        <v>0</v>
      </c>
      <c r="BF90" s="249">
        <f t="shared" si="140"/>
        <v>0</v>
      </c>
      <c r="BG90" s="249">
        <f t="shared" si="140"/>
        <v>0</v>
      </c>
      <c r="BH90" s="249">
        <f t="shared" si="140"/>
        <v>0</v>
      </c>
      <c r="BI90" s="249">
        <f t="shared" si="140"/>
        <v>0</v>
      </c>
      <c r="BJ90" s="249">
        <f t="shared" si="140"/>
        <v>0</v>
      </c>
      <c r="BK90" s="249">
        <f t="shared" si="140"/>
        <v>0</v>
      </c>
      <c r="BL90" s="249">
        <f t="shared" si="140"/>
        <v>0</v>
      </c>
      <c r="BM90" s="249">
        <f t="shared" si="140"/>
        <v>0</v>
      </c>
      <c r="BN90" s="249">
        <f t="shared" si="140"/>
        <v>0</v>
      </c>
      <c r="BO90" s="249">
        <f t="shared" si="140"/>
        <v>0</v>
      </c>
      <c r="BP90" s="249">
        <f t="shared" si="140"/>
        <v>0</v>
      </c>
      <c r="BQ90" s="249">
        <f t="shared" si="140"/>
        <v>0</v>
      </c>
      <c r="BR90" s="249">
        <f t="shared" si="140"/>
        <v>0</v>
      </c>
      <c r="BS90" s="249">
        <f t="shared" ref="BS90:ED90" si="141">BS85+BS89</f>
        <v>0</v>
      </c>
      <c r="BT90" s="249">
        <f t="shared" si="141"/>
        <v>0</v>
      </c>
      <c r="BU90" s="249">
        <f t="shared" si="141"/>
        <v>0</v>
      </c>
      <c r="BV90" s="249">
        <f t="shared" si="141"/>
        <v>0</v>
      </c>
      <c r="BW90" s="249">
        <f t="shared" si="141"/>
        <v>0</v>
      </c>
      <c r="BX90" s="249">
        <f t="shared" si="141"/>
        <v>0</v>
      </c>
      <c r="BY90" s="249">
        <f t="shared" si="141"/>
        <v>0</v>
      </c>
      <c r="BZ90" s="249">
        <f t="shared" si="141"/>
        <v>0</v>
      </c>
      <c r="CA90" s="249">
        <f t="shared" si="141"/>
        <v>0</v>
      </c>
      <c r="CB90" s="249">
        <f t="shared" si="141"/>
        <v>0</v>
      </c>
      <c r="CC90" s="249">
        <f t="shared" si="141"/>
        <v>0</v>
      </c>
      <c r="CD90" s="249">
        <f t="shared" si="141"/>
        <v>0</v>
      </c>
      <c r="CE90" s="249">
        <f t="shared" si="141"/>
        <v>0</v>
      </c>
      <c r="CF90" s="249">
        <f t="shared" si="141"/>
        <v>0</v>
      </c>
      <c r="CG90" s="249">
        <f t="shared" si="141"/>
        <v>0</v>
      </c>
      <c r="CH90" s="249">
        <f t="shared" si="141"/>
        <v>0</v>
      </c>
      <c r="CI90" s="249">
        <f t="shared" si="141"/>
        <v>0</v>
      </c>
      <c r="CJ90" s="249">
        <f t="shared" si="141"/>
        <v>0</v>
      </c>
      <c r="CK90" s="249">
        <f t="shared" si="141"/>
        <v>0</v>
      </c>
      <c r="CL90" s="249">
        <f t="shared" si="141"/>
        <v>0</v>
      </c>
      <c r="CM90" s="249">
        <f t="shared" si="141"/>
        <v>0</v>
      </c>
      <c r="CN90" s="249">
        <f t="shared" si="141"/>
        <v>0</v>
      </c>
      <c r="CO90" s="249">
        <f t="shared" si="141"/>
        <v>0</v>
      </c>
      <c r="CP90" s="249">
        <f t="shared" si="141"/>
        <v>0</v>
      </c>
      <c r="CQ90" s="249">
        <f t="shared" si="141"/>
        <v>0</v>
      </c>
      <c r="CR90" s="249">
        <f t="shared" si="141"/>
        <v>0</v>
      </c>
      <c r="CS90" s="249">
        <f t="shared" si="141"/>
        <v>0</v>
      </c>
      <c r="CT90" s="249">
        <f t="shared" si="141"/>
        <v>0</v>
      </c>
      <c r="CU90" s="249">
        <f t="shared" si="141"/>
        <v>0</v>
      </c>
      <c r="CV90" s="249">
        <f t="shared" si="141"/>
        <v>0</v>
      </c>
      <c r="CW90" s="249">
        <f t="shared" si="141"/>
        <v>0</v>
      </c>
      <c r="CX90" s="249">
        <f t="shared" si="141"/>
        <v>0</v>
      </c>
      <c r="CY90" s="249">
        <f t="shared" si="141"/>
        <v>0</v>
      </c>
      <c r="CZ90" s="249">
        <f t="shared" si="141"/>
        <v>0</v>
      </c>
      <c r="DA90" s="249">
        <f t="shared" si="141"/>
        <v>0</v>
      </c>
      <c r="DB90" s="249">
        <f t="shared" si="141"/>
        <v>0</v>
      </c>
      <c r="DC90" s="249">
        <f t="shared" si="141"/>
        <v>0</v>
      </c>
      <c r="DD90" s="249">
        <f t="shared" si="141"/>
        <v>0</v>
      </c>
      <c r="DE90" s="249">
        <f t="shared" si="141"/>
        <v>0</v>
      </c>
      <c r="DF90" s="249">
        <f t="shared" si="141"/>
        <v>0</v>
      </c>
      <c r="DG90" s="249">
        <f t="shared" si="141"/>
        <v>0</v>
      </c>
      <c r="DH90" s="249">
        <f t="shared" si="141"/>
        <v>0</v>
      </c>
      <c r="DI90" s="249">
        <f t="shared" si="141"/>
        <v>0</v>
      </c>
      <c r="DJ90" s="249">
        <f t="shared" si="141"/>
        <v>0</v>
      </c>
      <c r="DK90" s="249">
        <f t="shared" si="141"/>
        <v>0</v>
      </c>
      <c r="DL90" s="249">
        <f t="shared" si="141"/>
        <v>0</v>
      </c>
      <c r="DM90" s="249">
        <f t="shared" si="141"/>
        <v>0</v>
      </c>
      <c r="DN90" s="249">
        <f t="shared" si="141"/>
        <v>0</v>
      </c>
      <c r="DO90" s="249">
        <f t="shared" si="141"/>
        <v>0</v>
      </c>
      <c r="DP90" s="249">
        <f t="shared" si="141"/>
        <v>0</v>
      </c>
      <c r="DQ90" s="249">
        <f t="shared" si="141"/>
        <v>0</v>
      </c>
      <c r="DR90" s="249">
        <f t="shared" si="141"/>
        <v>0</v>
      </c>
      <c r="DS90" s="249">
        <f t="shared" si="141"/>
        <v>0</v>
      </c>
      <c r="DT90" s="249">
        <f t="shared" si="141"/>
        <v>0</v>
      </c>
      <c r="DU90" s="249">
        <f t="shared" si="141"/>
        <v>0</v>
      </c>
      <c r="DV90" s="249">
        <f t="shared" si="141"/>
        <v>0</v>
      </c>
      <c r="DW90" s="249">
        <f t="shared" si="141"/>
        <v>0</v>
      </c>
      <c r="DX90" s="249">
        <f t="shared" si="141"/>
        <v>0</v>
      </c>
      <c r="DY90" s="249">
        <f t="shared" si="141"/>
        <v>0</v>
      </c>
      <c r="DZ90" s="249">
        <f t="shared" si="141"/>
        <v>0</v>
      </c>
      <c r="EA90" s="249">
        <f t="shared" si="141"/>
        <v>0</v>
      </c>
      <c r="EB90" s="249">
        <f t="shared" si="141"/>
        <v>0</v>
      </c>
      <c r="EC90" s="249">
        <f t="shared" si="141"/>
        <v>0</v>
      </c>
      <c r="ED90" s="249">
        <f t="shared" si="141"/>
        <v>0</v>
      </c>
      <c r="EE90" s="249">
        <f>EE85+EE89</f>
        <v>0</v>
      </c>
      <c r="EF90" s="249">
        <f>EF85+EF89</f>
        <v>0</v>
      </c>
      <c r="EG90" s="249">
        <f>EG85+EG89</f>
        <v>0</v>
      </c>
      <c r="EH90" s="249">
        <f>EH85+EH89</f>
        <v>0</v>
      </c>
      <c r="EK90" s="280"/>
    </row>
    <row r="91" spans="1:141" ht="7.5" customHeight="1" thickTop="1" thickBot="1" x14ac:dyDescent="0.35">
      <c r="G91" s="229"/>
      <c r="H91" s="229"/>
      <c r="I91" s="229"/>
      <c r="J91" s="229"/>
      <c r="K91" s="229"/>
      <c r="L91" s="229"/>
      <c r="M91" s="229"/>
      <c r="N91" s="229"/>
      <c r="O91" s="229"/>
      <c r="P91" s="229"/>
      <c r="Q91" s="229"/>
      <c r="R91" s="229"/>
      <c r="S91" s="229"/>
      <c r="T91" s="229"/>
      <c r="U91" s="229"/>
      <c r="V91" s="229"/>
      <c r="W91" s="229"/>
      <c r="X91" s="229"/>
      <c r="Y91" s="229"/>
      <c r="Z91" s="229"/>
      <c r="AA91" s="229"/>
      <c r="AB91" s="229"/>
      <c r="AC91" s="229"/>
      <c r="AD91" s="229"/>
      <c r="AE91" s="229"/>
      <c r="AF91" s="229"/>
      <c r="AG91" s="229"/>
      <c r="AH91" s="229"/>
      <c r="AI91" s="229"/>
      <c r="AJ91" s="229"/>
      <c r="AK91" s="229"/>
      <c r="AL91" s="229"/>
      <c r="AM91" s="229"/>
      <c r="AN91" s="229"/>
      <c r="AO91" s="229"/>
      <c r="AP91" s="229"/>
      <c r="AQ91" s="229"/>
      <c r="AR91" s="229"/>
      <c r="AS91" s="229"/>
      <c r="AT91" s="229"/>
      <c r="AU91" s="229"/>
      <c r="AV91" s="229"/>
      <c r="AW91" s="229"/>
      <c r="AX91" s="229"/>
      <c r="AY91" s="229"/>
      <c r="AZ91" s="229"/>
      <c r="BA91" s="229"/>
      <c r="BB91" s="229"/>
      <c r="BC91" s="229"/>
      <c r="BD91" s="229"/>
      <c r="BE91" s="229"/>
      <c r="BF91" s="229"/>
      <c r="BG91" s="229"/>
      <c r="BH91" s="229"/>
      <c r="BI91" s="229"/>
      <c r="BJ91" s="229"/>
      <c r="BK91" s="229"/>
      <c r="BL91" s="229"/>
      <c r="BM91" s="229"/>
      <c r="BN91" s="229"/>
      <c r="BO91" s="229"/>
      <c r="BP91" s="229"/>
      <c r="BQ91" s="229"/>
      <c r="BR91" s="229"/>
      <c r="BS91" s="229"/>
      <c r="BT91" s="229"/>
      <c r="BU91" s="229"/>
      <c r="BV91" s="229"/>
      <c r="BW91" s="229"/>
      <c r="BX91" s="229"/>
      <c r="BY91" s="229"/>
      <c r="BZ91" s="229"/>
      <c r="CA91" s="229"/>
      <c r="CB91" s="229"/>
      <c r="CC91" s="229"/>
      <c r="CD91" s="229"/>
      <c r="CE91" s="229"/>
      <c r="CF91" s="229"/>
      <c r="CG91" s="229"/>
      <c r="CH91" s="229"/>
      <c r="CI91" s="229"/>
      <c r="CJ91" s="229"/>
      <c r="CK91" s="229"/>
      <c r="CL91" s="229"/>
      <c r="CM91" s="229"/>
      <c r="CN91" s="229"/>
      <c r="CO91" s="229"/>
      <c r="CP91" s="229"/>
      <c r="CQ91" s="229"/>
      <c r="CR91" s="229"/>
      <c r="CS91" s="229"/>
      <c r="CT91" s="229"/>
      <c r="CU91" s="229"/>
      <c r="CV91" s="229"/>
      <c r="CW91" s="229"/>
      <c r="CX91" s="229"/>
      <c r="CY91" s="229"/>
      <c r="CZ91" s="229"/>
      <c r="DA91" s="229"/>
      <c r="DB91" s="229"/>
      <c r="DC91" s="229"/>
      <c r="DD91" s="229"/>
      <c r="DE91" s="229"/>
      <c r="DF91" s="229"/>
      <c r="DG91" s="229"/>
      <c r="DH91" s="229"/>
      <c r="DI91" s="229"/>
      <c r="DJ91" s="229"/>
      <c r="DK91" s="229"/>
      <c r="DL91" s="229"/>
      <c r="DM91" s="229"/>
      <c r="DN91" s="229"/>
      <c r="DO91" s="229"/>
      <c r="DP91" s="229"/>
      <c r="DQ91" s="229"/>
      <c r="DR91" s="229"/>
      <c r="DS91" s="229"/>
      <c r="DT91" s="229"/>
      <c r="DU91" s="229"/>
      <c r="DV91" s="229"/>
      <c r="DW91" s="229"/>
      <c r="DX91" s="229"/>
      <c r="DY91" s="229"/>
      <c r="DZ91" s="229"/>
      <c r="EA91" s="229"/>
      <c r="EB91" s="229"/>
      <c r="EC91" s="229"/>
      <c r="ED91" s="229"/>
      <c r="EE91" s="229"/>
      <c r="EF91" s="229"/>
      <c r="EG91" s="229"/>
      <c r="EH91" s="229"/>
      <c r="EK91" s="672"/>
    </row>
    <row r="92" spans="1:141" ht="15" thickTop="1" x14ac:dyDescent="0.3">
      <c r="A92" s="2779" t="s">
        <v>2417</v>
      </c>
      <c r="B92" s="2780"/>
      <c r="C92" s="2781"/>
      <c r="D92" s="695"/>
      <c r="E92" s="696"/>
      <c r="F92" s="696"/>
      <c r="G92" s="695">
        <f t="shared" ref="G92:BR92" si="142">G5</f>
        <v>1</v>
      </c>
      <c r="H92" s="695">
        <f t="shared" si="142"/>
        <v>2</v>
      </c>
      <c r="I92" s="695">
        <f t="shared" si="142"/>
        <v>3</v>
      </c>
      <c r="J92" s="695">
        <f t="shared" si="142"/>
        <v>4</v>
      </c>
      <c r="K92" s="695">
        <f t="shared" si="142"/>
        <v>5</v>
      </c>
      <c r="L92" s="695">
        <f t="shared" si="142"/>
        <v>6</v>
      </c>
      <c r="M92" s="695">
        <f t="shared" si="142"/>
        <v>7</v>
      </c>
      <c r="N92" s="695">
        <f t="shared" si="142"/>
        <v>8</v>
      </c>
      <c r="O92" s="695">
        <f t="shared" si="142"/>
        <v>9</v>
      </c>
      <c r="P92" s="695">
        <f t="shared" si="142"/>
        <v>10</v>
      </c>
      <c r="Q92" s="695">
        <f t="shared" si="142"/>
        <v>11</v>
      </c>
      <c r="R92" s="695">
        <f t="shared" si="142"/>
        <v>12</v>
      </c>
      <c r="S92" s="695">
        <f t="shared" si="142"/>
        <v>13</v>
      </c>
      <c r="T92" s="695">
        <f t="shared" si="142"/>
        <v>14</v>
      </c>
      <c r="U92" s="695">
        <f t="shared" si="142"/>
        <v>15</v>
      </c>
      <c r="V92" s="695">
        <f t="shared" si="142"/>
        <v>16</v>
      </c>
      <c r="W92" s="695">
        <f t="shared" si="142"/>
        <v>17</v>
      </c>
      <c r="X92" s="695">
        <f t="shared" si="142"/>
        <v>18</v>
      </c>
      <c r="Y92" s="695">
        <f t="shared" si="142"/>
        <v>19</v>
      </c>
      <c r="Z92" s="695">
        <f t="shared" si="142"/>
        <v>20</v>
      </c>
      <c r="AA92" s="695">
        <f t="shared" si="142"/>
        <v>21</v>
      </c>
      <c r="AB92" s="695">
        <f t="shared" si="142"/>
        <v>22</v>
      </c>
      <c r="AC92" s="695">
        <f t="shared" si="142"/>
        <v>23</v>
      </c>
      <c r="AD92" s="695">
        <f t="shared" si="142"/>
        <v>24</v>
      </c>
      <c r="AE92" s="695">
        <f t="shared" si="142"/>
        <v>25</v>
      </c>
      <c r="AF92" s="695">
        <f t="shared" si="142"/>
        <v>26</v>
      </c>
      <c r="AG92" s="695">
        <f t="shared" si="142"/>
        <v>27</v>
      </c>
      <c r="AH92" s="695">
        <f t="shared" si="142"/>
        <v>28</v>
      </c>
      <c r="AI92" s="695">
        <f t="shared" si="142"/>
        <v>29</v>
      </c>
      <c r="AJ92" s="695">
        <f t="shared" si="142"/>
        <v>30</v>
      </c>
      <c r="AK92" s="695">
        <f t="shared" si="142"/>
        <v>31</v>
      </c>
      <c r="AL92" s="695">
        <f t="shared" si="142"/>
        <v>32</v>
      </c>
      <c r="AM92" s="695">
        <f t="shared" si="142"/>
        <v>33</v>
      </c>
      <c r="AN92" s="695">
        <f t="shared" si="142"/>
        <v>34</v>
      </c>
      <c r="AO92" s="695">
        <f t="shared" si="142"/>
        <v>35</v>
      </c>
      <c r="AP92" s="695">
        <f t="shared" si="142"/>
        <v>36</v>
      </c>
      <c r="AQ92" s="695">
        <f t="shared" si="142"/>
        <v>37</v>
      </c>
      <c r="AR92" s="695">
        <f t="shared" si="142"/>
        <v>38</v>
      </c>
      <c r="AS92" s="695">
        <f t="shared" si="142"/>
        <v>39</v>
      </c>
      <c r="AT92" s="695">
        <f t="shared" si="142"/>
        <v>40</v>
      </c>
      <c r="AU92" s="695">
        <f t="shared" si="142"/>
        <v>41</v>
      </c>
      <c r="AV92" s="695">
        <f t="shared" si="142"/>
        <v>42</v>
      </c>
      <c r="AW92" s="695">
        <f t="shared" si="142"/>
        <v>43</v>
      </c>
      <c r="AX92" s="695">
        <f t="shared" si="142"/>
        <v>44</v>
      </c>
      <c r="AY92" s="695">
        <f t="shared" si="142"/>
        <v>45</v>
      </c>
      <c r="AZ92" s="695">
        <f t="shared" si="142"/>
        <v>46</v>
      </c>
      <c r="BA92" s="695">
        <f t="shared" si="142"/>
        <v>47</v>
      </c>
      <c r="BB92" s="695">
        <f t="shared" si="142"/>
        <v>48</v>
      </c>
      <c r="BC92" s="695">
        <f t="shared" si="142"/>
        <v>49</v>
      </c>
      <c r="BD92" s="695">
        <f t="shared" si="142"/>
        <v>50</v>
      </c>
      <c r="BE92" s="695">
        <f t="shared" si="142"/>
        <v>51</v>
      </c>
      <c r="BF92" s="695">
        <f t="shared" si="142"/>
        <v>52</v>
      </c>
      <c r="BG92" s="695">
        <f t="shared" si="142"/>
        <v>53</v>
      </c>
      <c r="BH92" s="695">
        <f t="shared" si="142"/>
        <v>54</v>
      </c>
      <c r="BI92" s="695">
        <f t="shared" si="142"/>
        <v>55</v>
      </c>
      <c r="BJ92" s="695">
        <f t="shared" si="142"/>
        <v>56</v>
      </c>
      <c r="BK92" s="695">
        <f t="shared" si="142"/>
        <v>57</v>
      </c>
      <c r="BL92" s="695">
        <f t="shared" si="142"/>
        <v>58</v>
      </c>
      <c r="BM92" s="695">
        <f t="shared" si="142"/>
        <v>59</v>
      </c>
      <c r="BN92" s="695">
        <f t="shared" si="142"/>
        <v>60</v>
      </c>
      <c r="BO92" s="695">
        <f t="shared" si="142"/>
        <v>61</v>
      </c>
      <c r="BP92" s="695">
        <f t="shared" si="142"/>
        <v>62</v>
      </c>
      <c r="BQ92" s="695">
        <f t="shared" si="142"/>
        <v>63</v>
      </c>
      <c r="BR92" s="695">
        <f t="shared" si="142"/>
        <v>64</v>
      </c>
      <c r="BS92" s="695">
        <f t="shared" ref="BS92:ED92" si="143">BS5</f>
        <v>65</v>
      </c>
      <c r="BT92" s="695">
        <f t="shared" si="143"/>
        <v>66</v>
      </c>
      <c r="BU92" s="695">
        <f t="shared" si="143"/>
        <v>67</v>
      </c>
      <c r="BV92" s="695">
        <f t="shared" si="143"/>
        <v>68</v>
      </c>
      <c r="BW92" s="695">
        <f t="shared" si="143"/>
        <v>69</v>
      </c>
      <c r="BX92" s="695">
        <f t="shared" si="143"/>
        <v>70</v>
      </c>
      <c r="BY92" s="695">
        <f t="shared" si="143"/>
        <v>71</v>
      </c>
      <c r="BZ92" s="695">
        <f t="shared" si="143"/>
        <v>72</v>
      </c>
      <c r="CA92" s="695">
        <f t="shared" si="143"/>
        <v>73</v>
      </c>
      <c r="CB92" s="695">
        <f t="shared" si="143"/>
        <v>74</v>
      </c>
      <c r="CC92" s="695">
        <f t="shared" si="143"/>
        <v>75</v>
      </c>
      <c r="CD92" s="695">
        <f t="shared" si="143"/>
        <v>76</v>
      </c>
      <c r="CE92" s="695">
        <f t="shared" si="143"/>
        <v>77</v>
      </c>
      <c r="CF92" s="695">
        <f t="shared" si="143"/>
        <v>78</v>
      </c>
      <c r="CG92" s="695">
        <f t="shared" si="143"/>
        <v>79</v>
      </c>
      <c r="CH92" s="695">
        <f t="shared" si="143"/>
        <v>80</v>
      </c>
      <c r="CI92" s="695">
        <f t="shared" si="143"/>
        <v>81</v>
      </c>
      <c r="CJ92" s="695">
        <f t="shared" si="143"/>
        <v>82</v>
      </c>
      <c r="CK92" s="695">
        <f t="shared" si="143"/>
        <v>83</v>
      </c>
      <c r="CL92" s="695">
        <f t="shared" si="143"/>
        <v>84</v>
      </c>
      <c r="CM92" s="695">
        <f t="shared" si="143"/>
        <v>85</v>
      </c>
      <c r="CN92" s="695">
        <f t="shared" si="143"/>
        <v>86</v>
      </c>
      <c r="CO92" s="695">
        <f t="shared" si="143"/>
        <v>87</v>
      </c>
      <c r="CP92" s="695">
        <f t="shared" si="143"/>
        <v>88</v>
      </c>
      <c r="CQ92" s="695">
        <f t="shared" si="143"/>
        <v>89</v>
      </c>
      <c r="CR92" s="695">
        <f t="shared" si="143"/>
        <v>90</v>
      </c>
      <c r="CS92" s="695">
        <f t="shared" si="143"/>
        <v>91</v>
      </c>
      <c r="CT92" s="695">
        <f t="shared" si="143"/>
        <v>92</v>
      </c>
      <c r="CU92" s="695">
        <f t="shared" si="143"/>
        <v>93</v>
      </c>
      <c r="CV92" s="695">
        <f t="shared" si="143"/>
        <v>94</v>
      </c>
      <c r="CW92" s="695">
        <f t="shared" si="143"/>
        <v>95</v>
      </c>
      <c r="CX92" s="695">
        <f t="shared" si="143"/>
        <v>96</v>
      </c>
      <c r="CY92" s="695">
        <f t="shared" si="143"/>
        <v>97</v>
      </c>
      <c r="CZ92" s="695">
        <f t="shared" si="143"/>
        <v>98</v>
      </c>
      <c r="DA92" s="695">
        <f t="shared" si="143"/>
        <v>99</v>
      </c>
      <c r="DB92" s="695">
        <f t="shared" si="143"/>
        <v>100</v>
      </c>
      <c r="DC92" s="695">
        <f t="shared" si="143"/>
        <v>101</v>
      </c>
      <c r="DD92" s="695">
        <f t="shared" si="143"/>
        <v>102</v>
      </c>
      <c r="DE92" s="695">
        <f t="shared" si="143"/>
        <v>103</v>
      </c>
      <c r="DF92" s="695">
        <f t="shared" si="143"/>
        <v>104</v>
      </c>
      <c r="DG92" s="695">
        <f t="shared" si="143"/>
        <v>105</v>
      </c>
      <c r="DH92" s="695">
        <f t="shared" si="143"/>
        <v>106</v>
      </c>
      <c r="DI92" s="695">
        <f t="shared" si="143"/>
        <v>107</v>
      </c>
      <c r="DJ92" s="695">
        <f t="shared" si="143"/>
        <v>108</v>
      </c>
      <c r="DK92" s="695">
        <f t="shared" si="143"/>
        <v>109</v>
      </c>
      <c r="DL92" s="695">
        <f t="shared" si="143"/>
        <v>110</v>
      </c>
      <c r="DM92" s="695">
        <f t="shared" si="143"/>
        <v>111</v>
      </c>
      <c r="DN92" s="695">
        <f t="shared" si="143"/>
        <v>112</v>
      </c>
      <c r="DO92" s="695">
        <f t="shared" si="143"/>
        <v>113</v>
      </c>
      <c r="DP92" s="695">
        <f t="shared" si="143"/>
        <v>114</v>
      </c>
      <c r="DQ92" s="695">
        <f t="shared" si="143"/>
        <v>115</v>
      </c>
      <c r="DR92" s="695">
        <f t="shared" si="143"/>
        <v>116</v>
      </c>
      <c r="DS92" s="695">
        <f t="shared" si="143"/>
        <v>117</v>
      </c>
      <c r="DT92" s="695">
        <f t="shared" si="143"/>
        <v>118</v>
      </c>
      <c r="DU92" s="695">
        <f t="shared" si="143"/>
        <v>119</v>
      </c>
      <c r="DV92" s="695">
        <f t="shared" si="143"/>
        <v>120</v>
      </c>
      <c r="DW92" s="695">
        <f t="shared" si="143"/>
        <v>121</v>
      </c>
      <c r="DX92" s="695">
        <f t="shared" si="143"/>
        <v>122</v>
      </c>
      <c r="DY92" s="695">
        <f t="shared" si="143"/>
        <v>123</v>
      </c>
      <c r="DZ92" s="695">
        <f t="shared" si="143"/>
        <v>124</v>
      </c>
      <c r="EA92" s="695">
        <f t="shared" si="143"/>
        <v>125</v>
      </c>
      <c r="EB92" s="695">
        <f t="shared" si="143"/>
        <v>126</v>
      </c>
      <c r="EC92" s="695">
        <f t="shared" si="143"/>
        <v>127</v>
      </c>
      <c r="ED92" s="695">
        <f t="shared" si="143"/>
        <v>128</v>
      </c>
      <c r="EE92" s="695">
        <f t="shared" ref="EE92:EH92" si="144">EE5</f>
        <v>129</v>
      </c>
      <c r="EF92" s="695">
        <f t="shared" si="144"/>
        <v>130</v>
      </c>
      <c r="EG92" s="695">
        <f t="shared" si="144"/>
        <v>131</v>
      </c>
      <c r="EH92" s="695">
        <f t="shared" si="144"/>
        <v>132</v>
      </c>
      <c r="EK92" s="280"/>
    </row>
    <row r="93" spans="1:141" x14ac:dyDescent="0.3">
      <c r="A93">
        <v>1</v>
      </c>
      <c r="E93" s="200"/>
      <c r="F93" s="200"/>
      <c r="G93" s="227"/>
      <c r="H93" s="227">
        <f t="shared" ref="H93:AM93" si="145">IF(AvgLeaseTermBMR&lt;$A93,0,(H$44-G$44)*G$86)</f>
        <v>0</v>
      </c>
      <c r="I93" s="227">
        <f t="shared" si="145"/>
        <v>0</v>
      </c>
      <c r="J93" s="227">
        <f t="shared" si="145"/>
        <v>0</v>
      </c>
      <c r="K93" s="227">
        <f t="shared" si="145"/>
        <v>0</v>
      </c>
      <c r="L93" s="227">
        <f t="shared" si="145"/>
        <v>0</v>
      </c>
      <c r="M93" s="227">
        <f t="shared" si="145"/>
        <v>0</v>
      </c>
      <c r="N93" s="227">
        <f t="shared" si="145"/>
        <v>0</v>
      </c>
      <c r="O93" s="227">
        <f t="shared" si="145"/>
        <v>0</v>
      </c>
      <c r="P93" s="227">
        <f t="shared" si="145"/>
        <v>0</v>
      </c>
      <c r="Q93" s="227">
        <f t="shared" si="145"/>
        <v>0</v>
      </c>
      <c r="R93" s="227">
        <f t="shared" si="145"/>
        <v>0</v>
      </c>
      <c r="S93" s="227">
        <f t="shared" si="145"/>
        <v>0</v>
      </c>
      <c r="T93" s="227">
        <f t="shared" si="145"/>
        <v>0</v>
      </c>
      <c r="U93" s="227">
        <f t="shared" si="145"/>
        <v>0</v>
      </c>
      <c r="V93" s="227">
        <f t="shared" si="145"/>
        <v>0</v>
      </c>
      <c r="W93" s="227">
        <f t="shared" si="145"/>
        <v>0</v>
      </c>
      <c r="X93" s="227">
        <f t="shared" si="145"/>
        <v>0</v>
      </c>
      <c r="Y93" s="227">
        <f t="shared" si="145"/>
        <v>0</v>
      </c>
      <c r="Z93" s="227">
        <f t="shared" si="145"/>
        <v>0</v>
      </c>
      <c r="AA93" s="227">
        <f t="shared" si="145"/>
        <v>0</v>
      </c>
      <c r="AB93" s="227">
        <f t="shared" si="145"/>
        <v>0</v>
      </c>
      <c r="AC93" s="227">
        <f t="shared" si="145"/>
        <v>0</v>
      </c>
      <c r="AD93" s="227">
        <f t="shared" si="145"/>
        <v>0</v>
      </c>
      <c r="AE93" s="227">
        <f t="shared" si="145"/>
        <v>0</v>
      </c>
      <c r="AF93" s="227">
        <f t="shared" si="145"/>
        <v>0</v>
      </c>
      <c r="AG93" s="227">
        <f t="shared" si="145"/>
        <v>0</v>
      </c>
      <c r="AH93" s="227">
        <f t="shared" si="145"/>
        <v>0</v>
      </c>
      <c r="AI93" s="227">
        <f t="shared" si="145"/>
        <v>0</v>
      </c>
      <c r="AJ93" s="227">
        <f t="shared" si="145"/>
        <v>0</v>
      </c>
      <c r="AK93" s="227">
        <f t="shared" si="145"/>
        <v>0</v>
      </c>
      <c r="AL93" s="227">
        <f t="shared" si="145"/>
        <v>0</v>
      </c>
      <c r="AM93" s="227">
        <f t="shared" si="145"/>
        <v>0</v>
      </c>
      <c r="AN93" s="227">
        <f t="shared" ref="AN93:BS93" si="146">IF(AvgLeaseTermBMR&lt;$A93,0,(AN$44-AM$44)*AM$86)</f>
        <v>0</v>
      </c>
      <c r="AO93" s="227">
        <f t="shared" si="146"/>
        <v>0</v>
      </c>
      <c r="AP93" s="227">
        <f t="shared" si="146"/>
        <v>0</v>
      </c>
      <c r="AQ93" s="227">
        <f t="shared" si="146"/>
        <v>0</v>
      </c>
      <c r="AR93" s="227">
        <f t="shared" si="146"/>
        <v>0</v>
      </c>
      <c r="AS93" s="227">
        <f t="shared" si="146"/>
        <v>0</v>
      </c>
      <c r="AT93" s="227">
        <f t="shared" si="146"/>
        <v>0</v>
      </c>
      <c r="AU93" s="227">
        <f t="shared" si="146"/>
        <v>0</v>
      </c>
      <c r="AV93" s="227">
        <f t="shared" si="146"/>
        <v>0</v>
      </c>
      <c r="AW93" s="227">
        <f t="shared" si="146"/>
        <v>0</v>
      </c>
      <c r="AX93" s="227">
        <f t="shared" si="146"/>
        <v>0</v>
      </c>
      <c r="AY93" s="227">
        <f t="shared" si="146"/>
        <v>0</v>
      </c>
      <c r="AZ93" s="227">
        <f t="shared" si="146"/>
        <v>0</v>
      </c>
      <c r="BA93" s="227">
        <f t="shared" si="146"/>
        <v>0</v>
      </c>
      <c r="BB93" s="227">
        <f t="shared" si="146"/>
        <v>0</v>
      </c>
      <c r="BC93" s="227">
        <f t="shared" si="146"/>
        <v>0</v>
      </c>
      <c r="BD93" s="227">
        <f t="shared" si="146"/>
        <v>0</v>
      </c>
      <c r="BE93" s="227">
        <f t="shared" si="146"/>
        <v>0</v>
      </c>
      <c r="BF93" s="227">
        <f t="shared" si="146"/>
        <v>0</v>
      </c>
      <c r="BG93" s="227">
        <f t="shared" si="146"/>
        <v>0</v>
      </c>
      <c r="BH93" s="227">
        <f t="shared" si="146"/>
        <v>0</v>
      </c>
      <c r="BI93" s="227">
        <f t="shared" si="146"/>
        <v>0</v>
      </c>
      <c r="BJ93" s="227">
        <f t="shared" si="146"/>
        <v>0</v>
      </c>
      <c r="BK93" s="227">
        <f t="shared" si="146"/>
        <v>0</v>
      </c>
      <c r="BL93" s="227">
        <f t="shared" si="146"/>
        <v>0</v>
      </c>
      <c r="BM93" s="227">
        <f t="shared" si="146"/>
        <v>0</v>
      </c>
      <c r="BN93" s="227">
        <f t="shared" si="146"/>
        <v>0</v>
      </c>
      <c r="BO93" s="227">
        <f t="shared" si="146"/>
        <v>0</v>
      </c>
      <c r="BP93" s="227">
        <f t="shared" si="146"/>
        <v>0</v>
      </c>
      <c r="BQ93" s="227">
        <f t="shared" si="146"/>
        <v>0</v>
      </c>
      <c r="BR93" s="227">
        <f t="shared" si="146"/>
        <v>0</v>
      </c>
      <c r="BS93" s="227">
        <f t="shared" si="146"/>
        <v>0</v>
      </c>
      <c r="BT93" s="227">
        <f t="shared" ref="BT93:CY93" si="147">IF(AvgLeaseTermBMR&lt;$A93,0,(BT$44-BS$44)*BS$86)</f>
        <v>0</v>
      </c>
      <c r="BU93" s="227">
        <f t="shared" si="147"/>
        <v>0</v>
      </c>
      <c r="BV93" s="227">
        <f t="shared" si="147"/>
        <v>0</v>
      </c>
      <c r="BW93" s="227">
        <f t="shared" si="147"/>
        <v>0</v>
      </c>
      <c r="BX93" s="227">
        <f t="shared" si="147"/>
        <v>0</v>
      </c>
      <c r="BY93" s="227">
        <f t="shared" si="147"/>
        <v>0</v>
      </c>
      <c r="BZ93" s="227">
        <f t="shared" si="147"/>
        <v>0</v>
      </c>
      <c r="CA93" s="227">
        <f t="shared" si="147"/>
        <v>0</v>
      </c>
      <c r="CB93" s="227">
        <f t="shared" si="147"/>
        <v>0</v>
      </c>
      <c r="CC93" s="227">
        <f t="shared" si="147"/>
        <v>0</v>
      </c>
      <c r="CD93" s="227">
        <f t="shared" si="147"/>
        <v>0</v>
      </c>
      <c r="CE93" s="227">
        <f t="shared" si="147"/>
        <v>0</v>
      </c>
      <c r="CF93" s="227">
        <f t="shared" si="147"/>
        <v>0</v>
      </c>
      <c r="CG93" s="227">
        <f t="shared" si="147"/>
        <v>0</v>
      </c>
      <c r="CH93" s="227">
        <f t="shared" si="147"/>
        <v>0</v>
      </c>
      <c r="CI93" s="227">
        <f t="shared" si="147"/>
        <v>0</v>
      </c>
      <c r="CJ93" s="227">
        <f t="shared" si="147"/>
        <v>0</v>
      </c>
      <c r="CK93" s="227">
        <f t="shared" si="147"/>
        <v>0</v>
      </c>
      <c r="CL93" s="227">
        <f t="shared" si="147"/>
        <v>0</v>
      </c>
      <c r="CM93" s="227">
        <f t="shared" si="147"/>
        <v>0</v>
      </c>
      <c r="CN93" s="227">
        <f t="shared" si="147"/>
        <v>0</v>
      </c>
      <c r="CO93" s="227">
        <f t="shared" si="147"/>
        <v>0</v>
      </c>
      <c r="CP93" s="227">
        <f t="shared" si="147"/>
        <v>0</v>
      </c>
      <c r="CQ93" s="227">
        <f t="shared" si="147"/>
        <v>0</v>
      </c>
      <c r="CR93" s="227">
        <f t="shared" si="147"/>
        <v>0</v>
      </c>
      <c r="CS93" s="227">
        <f t="shared" si="147"/>
        <v>0</v>
      </c>
      <c r="CT93" s="227">
        <f t="shared" si="147"/>
        <v>0</v>
      </c>
      <c r="CU93" s="227">
        <f t="shared" si="147"/>
        <v>0</v>
      </c>
      <c r="CV93" s="227">
        <f t="shared" si="147"/>
        <v>0</v>
      </c>
      <c r="CW93" s="227">
        <f t="shared" si="147"/>
        <v>0</v>
      </c>
      <c r="CX93" s="227">
        <f t="shared" si="147"/>
        <v>0</v>
      </c>
      <c r="CY93" s="227">
        <f t="shared" si="147"/>
        <v>0</v>
      </c>
      <c r="CZ93" s="227">
        <f t="shared" ref="CZ93:EH93" si="148">IF(AvgLeaseTermBMR&lt;$A93,0,(CZ$44-CY$44)*CY$86)</f>
        <v>0</v>
      </c>
      <c r="DA93" s="227">
        <f t="shared" si="148"/>
        <v>0</v>
      </c>
      <c r="DB93" s="227">
        <f t="shared" si="148"/>
        <v>0</v>
      </c>
      <c r="DC93" s="227">
        <f t="shared" si="148"/>
        <v>0</v>
      </c>
      <c r="DD93" s="227">
        <f t="shared" si="148"/>
        <v>0</v>
      </c>
      <c r="DE93" s="227">
        <f t="shared" si="148"/>
        <v>0</v>
      </c>
      <c r="DF93" s="227">
        <f t="shared" si="148"/>
        <v>0</v>
      </c>
      <c r="DG93" s="227">
        <f t="shared" si="148"/>
        <v>0</v>
      </c>
      <c r="DH93" s="227">
        <f t="shared" si="148"/>
        <v>0</v>
      </c>
      <c r="DI93" s="227">
        <f t="shared" si="148"/>
        <v>0</v>
      </c>
      <c r="DJ93" s="227">
        <f t="shared" si="148"/>
        <v>0</v>
      </c>
      <c r="DK93" s="227">
        <f t="shared" si="148"/>
        <v>0</v>
      </c>
      <c r="DL93" s="227">
        <f t="shared" si="148"/>
        <v>0</v>
      </c>
      <c r="DM93" s="227">
        <f t="shared" si="148"/>
        <v>0</v>
      </c>
      <c r="DN93" s="227">
        <f t="shared" si="148"/>
        <v>0</v>
      </c>
      <c r="DO93" s="227">
        <f t="shared" si="148"/>
        <v>0</v>
      </c>
      <c r="DP93" s="227">
        <f t="shared" si="148"/>
        <v>0</v>
      </c>
      <c r="DQ93" s="227">
        <f t="shared" si="148"/>
        <v>0</v>
      </c>
      <c r="DR93" s="227">
        <f t="shared" si="148"/>
        <v>0</v>
      </c>
      <c r="DS93" s="227">
        <f t="shared" si="148"/>
        <v>0</v>
      </c>
      <c r="DT93" s="227">
        <f t="shared" si="148"/>
        <v>0</v>
      </c>
      <c r="DU93" s="227">
        <f t="shared" si="148"/>
        <v>0</v>
      </c>
      <c r="DV93" s="227">
        <f t="shared" si="148"/>
        <v>0</v>
      </c>
      <c r="DW93" s="227">
        <f t="shared" si="148"/>
        <v>0</v>
      </c>
      <c r="DX93" s="227">
        <f t="shared" si="148"/>
        <v>0</v>
      </c>
      <c r="DY93" s="227">
        <f t="shared" si="148"/>
        <v>0</v>
      </c>
      <c r="DZ93" s="227">
        <f t="shared" si="148"/>
        <v>0</v>
      </c>
      <c r="EA93" s="227">
        <f t="shared" si="148"/>
        <v>0</v>
      </c>
      <c r="EB93" s="227">
        <f t="shared" si="148"/>
        <v>0</v>
      </c>
      <c r="EC93" s="227">
        <f t="shared" si="148"/>
        <v>0</v>
      </c>
      <c r="ED93" s="227">
        <f t="shared" si="148"/>
        <v>0</v>
      </c>
      <c r="EE93" s="227">
        <f t="shared" si="148"/>
        <v>0</v>
      </c>
      <c r="EF93" s="227">
        <f t="shared" si="148"/>
        <v>0</v>
      </c>
      <c r="EG93" s="227">
        <f t="shared" si="148"/>
        <v>0</v>
      </c>
      <c r="EH93" s="227">
        <f t="shared" si="148"/>
        <v>0</v>
      </c>
      <c r="EK93" s="672"/>
    </row>
    <row r="94" spans="1:141" x14ac:dyDescent="0.3">
      <c r="A94">
        <v>2</v>
      </c>
      <c r="E94" s="200"/>
      <c r="F94" s="200"/>
      <c r="G94" s="229"/>
      <c r="H94" s="229"/>
      <c r="I94" s="229">
        <f t="shared" ref="I94:AN94" si="149">IF(AvgLeaseTermBMR&lt;$A94,0,(I$44-G$44)*G$86)</f>
        <v>0</v>
      </c>
      <c r="J94" s="229">
        <f t="shared" si="149"/>
        <v>0</v>
      </c>
      <c r="K94" s="229">
        <f t="shared" si="149"/>
        <v>0</v>
      </c>
      <c r="L94" s="229">
        <f t="shared" si="149"/>
        <v>0</v>
      </c>
      <c r="M94" s="229">
        <f t="shared" si="149"/>
        <v>0</v>
      </c>
      <c r="N94" s="229">
        <f t="shared" si="149"/>
        <v>0</v>
      </c>
      <c r="O94" s="229">
        <f t="shared" si="149"/>
        <v>0</v>
      </c>
      <c r="P94" s="229">
        <f t="shared" si="149"/>
        <v>0</v>
      </c>
      <c r="Q94" s="229">
        <f t="shared" si="149"/>
        <v>0</v>
      </c>
      <c r="R94" s="229">
        <f t="shared" si="149"/>
        <v>0</v>
      </c>
      <c r="S94" s="229">
        <f t="shared" si="149"/>
        <v>0</v>
      </c>
      <c r="T94" s="229">
        <f t="shared" si="149"/>
        <v>0</v>
      </c>
      <c r="U94" s="229">
        <f t="shared" si="149"/>
        <v>0</v>
      </c>
      <c r="V94" s="229">
        <f t="shared" si="149"/>
        <v>0</v>
      </c>
      <c r="W94" s="229">
        <f t="shared" si="149"/>
        <v>0</v>
      </c>
      <c r="X94" s="229">
        <f t="shared" si="149"/>
        <v>0</v>
      </c>
      <c r="Y94" s="229">
        <f t="shared" si="149"/>
        <v>0</v>
      </c>
      <c r="Z94" s="229">
        <f t="shared" si="149"/>
        <v>0</v>
      </c>
      <c r="AA94" s="229">
        <f t="shared" si="149"/>
        <v>0</v>
      </c>
      <c r="AB94" s="229">
        <f t="shared" si="149"/>
        <v>0</v>
      </c>
      <c r="AC94" s="229">
        <f t="shared" si="149"/>
        <v>0</v>
      </c>
      <c r="AD94" s="229">
        <f t="shared" si="149"/>
        <v>0</v>
      </c>
      <c r="AE94" s="229">
        <f t="shared" si="149"/>
        <v>0</v>
      </c>
      <c r="AF94" s="229">
        <f t="shared" si="149"/>
        <v>0</v>
      </c>
      <c r="AG94" s="229">
        <f t="shared" si="149"/>
        <v>0</v>
      </c>
      <c r="AH94" s="229">
        <f t="shared" si="149"/>
        <v>0</v>
      </c>
      <c r="AI94" s="229">
        <f t="shared" si="149"/>
        <v>0</v>
      </c>
      <c r="AJ94" s="229">
        <f t="shared" si="149"/>
        <v>0</v>
      </c>
      <c r="AK94" s="229">
        <f t="shared" si="149"/>
        <v>0</v>
      </c>
      <c r="AL94" s="229">
        <f t="shared" si="149"/>
        <v>0</v>
      </c>
      <c r="AM94" s="229">
        <f t="shared" si="149"/>
        <v>0</v>
      </c>
      <c r="AN94" s="229">
        <f t="shared" si="149"/>
        <v>0</v>
      </c>
      <c r="AO94" s="229">
        <f t="shared" ref="AO94:BT94" si="150">IF(AvgLeaseTermBMR&lt;$A94,0,(AO$44-AM$44)*AM$86)</f>
        <v>0</v>
      </c>
      <c r="AP94" s="229">
        <f t="shared" si="150"/>
        <v>0</v>
      </c>
      <c r="AQ94" s="229">
        <f t="shared" si="150"/>
        <v>0</v>
      </c>
      <c r="AR94" s="229">
        <f t="shared" si="150"/>
        <v>0</v>
      </c>
      <c r="AS94" s="229">
        <f t="shared" si="150"/>
        <v>0</v>
      </c>
      <c r="AT94" s="229">
        <f t="shared" si="150"/>
        <v>0</v>
      </c>
      <c r="AU94" s="229">
        <f t="shared" si="150"/>
        <v>0</v>
      </c>
      <c r="AV94" s="229">
        <f t="shared" si="150"/>
        <v>0</v>
      </c>
      <c r="AW94" s="229">
        <f t="shared" si="150"/>
        <v>0</v>
      </c>
      <c r="AX94" s="229">
        <f t="shared" si="150"/>
        <v>0</v>
      </c>
      <c r="AY94" s="229">
        <f t="shared" si="150"/>
        <v>0</v>
      </c>
      <c r="AZ94" s="229">
        <f t="shared" si="150"/>
        <v>0</v>
      </c>
      <c r="BA94" s="229">
        <f t="shared" si="150"/>
        <v>0</v>
      </c>
      <c r="BB94" s="229">
        <f t="shared" si="150"/>
        <v>0</v>
      </c>
      <c r="BC94" s="229">
        <f t="shared" si="150"/>
        <v>0</v>
      </c>
      <c r="BD94" s="229">
        <f t="shared" si="150"/>
        <v>0</v>
      </c>
      <c r="BE94" s="229">
        <f t="shared" si="150"/>
        <v>0</v>
      </c>
      <c r="BF94" s="229">
        <f t="shared" si="150"/>
        <v>0</v>
      </c>
      <c r="BG94" s="229">
        <f t="shared" si="150"/>
        <v>0</v>
      </c>
      <c r="BH94" s="229">
        <f t="shared" si="150"/>
        <v>0</v>
      </c>
      <c r="BI94" s="229">
        <f t="shared" si="150"/>
        <v>0</v>
      </c>
      <c r="BJ94" s="229">
        <f t="shared" si="150"/>
        <v>0</v>
      </c>
      <c r="BK94" s="229">
        <f t="shared" si="150"/>
        <v>0</v>
      </c>
      <c r="BL94" s="229">
        <f t="shared" si="150"/>
        <v>0</v>
      </c>
      <c r="BM94" s="229">
        <f t="shared" si="150"/>
        <v>0</v>
      </c>
      <c r="BN94" s="229">
        <f t="shared" si="150"/>
        <v>0</v>
      </c>
      <c r="BO94" s="229">
        <f t="shared" si="150"/>
        <v>0</v>
      </c>
      <c r="BP94" s="229">
        <f t="shared" si="150"/>
        <v>0</v>
      </c>
      <c r="BQ94" s="229">
        <f t="shared" si="150"/>
        <v>0</v>
      </c>
      <c r="BR94" s="229">
        <f t="shared" si="150"/>
        <v>0</v>
      </c>
      <c r="BS94" s="229">
        <f t="shared" si="150"/>
        <v>0</v>
      </c>
      <c r="BT94" s="229">
        <f t="shared" si="150"/>
        <v>0</v>
      </c>
      <c r="BU94" s="229">
        <f t="shared" ref="BU94:CZ94" si="151">IF(AvgLeaseTermBMR&lt;$A94,0,(BU$44-BS$44)*BS$86)</f>
        <v>0</v>
      </c>
      <c r="BV94" s="229">
        <f t="shared" si="151"/>
        <v>0</v>
      </c>
      <c r="BW94" s="229">
        <f t="shared" si="151"/>
        <v>0</v>
      </c>
      <c r="BX94" s="229">
        <f t="shared" si="151"/>
        <v>0</v>
      </c>
      <c r="BY94" s="229">
        <f t="shared" si="151"/>
        <v>0</v>
      </c>
      <c r="BZ94" s="229">
        <f t="shared" si="151"/>
        <v>0</v>
      </c>
      <c r="CA94" s="229">
        <f t="shared" si="151"/>
        <v>0</v>
      </c>
      <c r="CB94" s="229">
        <f t="shared" si="151"/>
        <v>0</v>
      </c>
      <c r="CC94" s="229">
        <f t="shared" si="151"/>
        <v>0</v>
      </c>
      <c r="CD94" s="229">
        <f t="shared" si="151"/>
        <v>0</v>
      </c>
      <c r="CE94" s="229">
        <f t="shared" si="151"/>
        <v>0</v>
      </c>
      <c r="CF94" s="229">
        <f t="shared" si="151"/>
        <v>0</v>
      </c>
      <c r="CG94" s="229">
        <f t="shared" si="151"/>
        <v>0</v>
      </c>
      <c r="CH94" s="229">
        <f t="shared" si="151"/>
        <v>0</v>
      </c>
      <c r="CI94" s="229">
        <f t="shared" si="151"/>
        <v>0</v>
      </c>
      <c r="CJ94" s="229">
        <f t="shared" si="151"/>
        <v>0</v>
      </c>
      <c r="CK94" s="229">
        <f t="shared" si="151"/>
        <v>0</v>
      </c>
      <c r="CL94" s="229">
        <f t="shared" si="151"/>
        <v>0</v>
      </c>
      <c r="CM94" s="229">
        <f t="shared" si="151"/>
        <v>0</v>
      </c>
      <c r="CN94" s="229">
        <f t="shared" si="151"/>
        <v>0</v>
      </c>
      <c r="CO94" s="229">
        <f t="shared" si="151"/>
        <v>0</v>
      </c>
      <c r="CP94" s="229">
        <f t="shared" si="151"/>
        <v>0</v>
      </c>
      <c r="CQ94" s="229">
        <f t="shared" si="151"/>
        <v>0</v>
      </c>
      <c r="CR94" s="229">
        <f t="shared" si="151"/>
        <v>0</v>
      </c>
      <c r="CS94" s="229">
        <f t="shared" si="151"/>
        <v>0</v>
      </c>
      <c r="CT94" s="229">
        <f t="shared" si="151"/>
        <v>0</v>
      </c>
      <c r="CU94" s="229">
        <f t="shared" si="151"/>
        <v>0</v>
      </c>
      <c r="CV94" s="229">
        <f t="shared" si="151"/>
        <v>0</v>
      </c>
      <c r="CW94" s="229">
        <f t="shared" si="151"/>
        <v>0</v>
      </c>
      <c r="CX94" s="229">
        <f t="shared" si="151"/>
        <v>0</v>
      </c>
      <c r="CY94" s="229">
        <f t="shared" si="151"/>
        <v>0</v>
      </c>
      <c r="CZ94" s="229">
        <f t="shared" si="151"/>
        <v>0</v>
      </c>
      <c r="DA94" s="229">
        <f t="shared" ref="DA94:EF94" si="152">IF(AvgLeaseTermBMR&lt;$A94,0,(DA$44-CY$44)*CY$86)</f>
        <v>0</v>
      </c>
      <c r="DB94" s="229">
        <f t="shared" si="152"/>
        <v>0</v>
      </c>
      <c r="DC94" s="229">
        <f t="shared" si="152"/>
        <v>0</v>
      </c>
      <c r="DD94" s="229">
        <f t="shared" si="152"/>
        <v>0</v>
      </c>
      <c r="DE94" s="229">
        <f t="shared" si="152"/>
        <v>0</v>
      </c>
      <c r="DF94" s="229">
        <f t="shared" si="152"/>
        <v>0</v>
      </c>
      <c r="DG94" s="229">
        <f t="shared" si="152"/>
        <v>0</v>
      </c>
      <c r="DH94" s="229">
        <f t="shared" si="152"/>
        <v>0</v>
      </c>
      <c r="DI94" s="229">
        <f t="shared" si="152"/>
        <v>0</v>
      </c>
      <c r="DJ94" s="229">
        <f t="shared" si="152"/>
        <v>0</v>
      </c>
      <c r="DK94" s="229">
        <f t="shared" si="152"/>
        <v>0</v>
      </c>
      <c r="DL94" s="229">
        <f t="shared" si="152"/>
        <v>0</v>
      </c>
      <c r="DM94" s="229">
        <f t="shared" si="152"/>
        <v>0</v>
      </c>
      <c r="DN94" s="229">
        <f t="shared" si="152"/>
        <v>0</v>
      </c>
      <c r="DO94" s="229">
        <f t="shared" si="152"/>
        <v>0</v>
      </c>
      <c r="DP94" s="229">
        <f t="shared" si="152"/>
        <v>0</v>
      </c>
      <c r="DQ94" s="229">
        <f t="shared" si="152"/>
        <v>0</v>
      </c>
      <c r="DR94" s="229">
        <f t="shared" si="152"/>
        <v>0</v>
      </c>
      <c r="DS94" s="229">
        <f t="shared" si="152"/>
        <v>0</v>
      </c>
      <c r="DT94" s="229">
        <f t="shared" si="152"/>
        <v>0</v>
      </c>
      <c r="DU94" s="229">
        <f t="shared" si="152"/>
        <v>0</v>
      </c>
      <c r="DV94" s="229">
        <f t="shared" si="152"/>
        <v>0</v>
      </c>
      <c r="DW94" s="229">
        <f t="shared" si="152"/>
        <v>0</v>
      </c>
      <c r="DX94" s="229">
        <f t="shared" si="152"/>
        <v>0</v>
      </c>
      <c r="DY94" s="229">
        <f t="shared" si="152"/>
        <v>0</v>
      </c>
      <c r="DZ94" s="229">
        <f t="shared" si="152"/>
        <v>0</v>
      </c>
      <c r="EA94" s="229">
        <f t="shared" si="152"/>
        <v>0</v>
      </c>
      <c r="EB94" s="229">
        <f t="shared" si="152"/>
        <v>0</v>
      </c>
      <c r="EC94" s="229">
        <f t="shared" si="152"/>
        <v>0</v>
      </c>
      <c r="ED94" s="229">
        <f t="shared" si="152"/>
        <v>0</v>
      </c>
      <c r="EE94" s="229">
        <f t="shared" si="152"/>
        <v>0</v>
      </c>
      <c r="EF94" s="229">
        <f t="shared" si="152"/>
        <v>0</v>
      </c>
      <c r="EG94" s="229">
        <f>IF(AvgLeaseTermBMR&lt;$A94,0,(EG$44-EE$44)*EE$86)</f>
        <v>0</v>
      </c>
      <c r="EH94" s="229">
        <f>IF(AvgLeaseTermBMR&lt;$A94,0,(EH$44-EF$44)*EF$86)</f>
        <v>0</v>
      </c>
      <c r="EK94" s="280"/>
    </row>
    <row r="95" spans="1:141" x14ac:dyDescent="0.3">
      <c r="A95">
        <v>3</v>
      </c>
      <c r="E95" s="200"/>
      <c r="F95" s="200"/>
      <c r="G95" s="229"/>
      <c r="H95" s="229"/>
      <c r="I95" s="229"/>
      <c r="J95" s="229">
        <f t="shared" ref="J95:AO95" si="153">IF(AvgLeaseTermBMR&lt;$A95,0,(J$44-G$44)*G$86)</f>
        <v>0</v>
      </c>
      <c r="K95" s="229">
        <f t="shared" si="153"/>
        <v>0</v>
      </c>
      <c r="L95" s="229">
        <f t="shared" si="153"/>
        <v>0</v>
      </c>
      <c r="M95" s="229">
        <f t="shared" si="153"/>
        <v>0</v>
      </c>
      <c r="N95" s="229">
        <f t="shared" si="153"/>
        <v>0</v>
      </c>
      <c r="O95" s="229">
        <f t="shared" si="153"/>
        <v>0</v>
      </c>
      <c r="P95" s="229">
        <f t="shared" si="153"/>
        <v>0</v>
      </c>
      <c r="Q95" s="229">
        <f t="shared" si="153"/>
        <v>0</v>
      </c>
      <c r="R95" s="229">
        <f t="shared" si="153"/>
        <v>0</v>
      </c>
      <c r="S95" s="229">
        <f t="shared" si="153"/>
        <v>0</v>
      </c>
      <c r="T95" s="229">
        <f t="shared" si="153"/>
        <v>0</v>
      </c>
      <c r="U95" s="229">
        <f t="shared" si="153"/>
        <v>0</v>
      </c>
      <c r="V95" s="229">
        <f t="shared" si="153"/>
        <v>0</v>
      </c>
      <c r="W95" s="229">
        <f t="shared" si="153"/>
        <v>0</v>
      </c>
      <c r="X95" s="229">
        <f t="shared" si="153"/>
        <v>0</v>
      </c>
      <c r="Y95" s="229">
        <f t="shared" si="153"/>
        <v>0</v>
      </c>
      <c r="Z95" s="229">
        <f t="shared" si="153"/>
        <v>0</v>
      </c>
      <c r="AA95" s="229">
        <f t="shared" si="153"/>
        <v>0</v>
      </c>
      <c r="AB95" s="229">
        <f t="shared" si="153"/>
        <v>0</v>
      </c>
      <c r="AC95" s="229">
        <f t="shared" si="153"/>
        <v>0</v>
      </c>
      <c r="AD95" s="229">
        <f t="shared" si="153"/>
        <v>0</v>
      </c>
      <c r="AE95" s="229">
        <f t="shared" si="153"/>
        <v>0</v>
      </c>
      <c r="AF95" s="229">
        <f t="shared" si="153"/>
        <v>0</v>
      </c>
      <c r="AG95" s="229">
        <f t="shared" si="153"/>
        <v>0</v>
      </c>
      <c r="AH95" s="229">
        <f t="shared" si="153"/>
        <v>0</v>
      </c>
      <c r="AI95" s="229">
        <f t="shared" si="153"/>
        <v>0</v>
      </c>
      <c r="AJ95" s="229">
        <f t="shared" si="153"/>
        <v>0</v>
      </c>
      <c r="AK95" s="229">
        <f t="shared" si="153"/>
        <v>0</v>
      </c>
      <c r="AL95" s="229">
        <f t="shared" si="153"/>
        <v>0</v>
      </c>
      <c r="AM95" s="229">
        <f t="shared" si="153"/>
        <v>0</v>
      </c>
      <c r="AN95" s="229">
        <f t="shared" si="153"/>
        <v>0</v>
      </c>
      <c r="AO95" s="229">
        <f t="shared" si="153"/>
        <v>0</v>
      </c>
      <c r="AP95" s="229">
        <f t="shared" ref="AP95:BU95" si="154">IF(AvgLeaseTermBMR&lt;$A95,0,(AP$44-AM$44)*AM$86)</f>
        <v>0</v>
      </c>
      <c r="AQ95" s="229">
        <f t="shared" si="154"/>
        <v>0</v>
      </c>
      <c r="AR95" s="229">
        <f t="shared" si="154"/>
        <v>0</v>
      </c>
      <c r="AS95" s="229">
        <f t="shared" si="154"/>
        <v>0</v>
      </c>
      <c r="AT95" s="229">
        <f t="shared" si="154"/>
        <v>0</v>
      </c>
      <c r="AU95" s="229">
        <f t="shared" si="154"/>
        <v>0</v>
      </c>
      <c r="AV95" s="229">
        <f t="shared" si="154"/>
        <v>0</v>
      </c>
      <c r="AW95" s="229">
        <f t="shared" si="154"/>
        <v>0</v>
      </c>
      <c r="AX95" s="229">
        <f t="shared" si="154"/>
        <v>0</v>
      </c>
      <c r="AY95" s="229">
        <f t="shared" si="154"/>
        <v>0</v>
      </c>
      <c r="AZ95" s="229">
        <f t="shared" si="154"/>
        <v>0</v>
      </c>
      <c r="BA95" s="229">
        <f t="shared" si="154"/>
        <v>0</v>
      </c>
      <c r="BB95" s="229">
        <f t="shared" si="154"/>
        <v>0</v>
      </c>
      <c r="BC95" s="229">
        <f t="shared" si="154"/>
        <v>0</v>
      </c>
      <c r="BD95" s="229">
        <f t="shared" si="154"/>
        <v>0</v>
      </c>
      <c r="BE95" s="229">
        <f t="shared" si="154"/>
        <v>0</v>
      </c>
      <c r="BF95" s="229">
        <f t="shared" si="154"/>
        <v>0</v>
      </c>
      <c r="BG95" s="229">
        <f t="shared" si="154"/>
        <v>0</v>
      </c>
      <c r="BH95" s="229">
        <f t="shared" si="154"/>
        <v>0</v>
      </c>
      <c r="BI95" s="229">
        <f t="shared" si="154"/>
        <v>0</v>
      </c>
      <c r="BJ95" s="229">
        <f t="shared" si="154"/>
        <v>0</v>
      </c>
      <c r="BK95" s="229">
        <f t="shared" si="154"/>
        <v>0</v>
      </c>
      <c r="BL95" s="229">
        <f t="shared" si="154"/>
        <v>0</v>
      </c>
      <c r="BM95" s="229">
        <f t="shared" si="154"/>
        <v>0</v>
      </c>
      <c r="BN95" s="229">
        <f t="shared" si="154"/>
        <v>0</v>
      </c>
      <c r="BO95" s="229">
        <f t="shared" si="154"/>
        <v>0</v>
      </c>
      <c r="BP95" s="229">
        <f t="shared" si="154"/>
        <v>0</v>
      </c>
      <c r="BQ95" s="229">
        <f t="shared" si="154"/>
        <v>0</v>
      </c>
      <c r="BR95" s="229">
        <f t="shared" si="154"/>
        <v>0</v>
      </c>
      <c r="BS95" s="229">
        <f t="shared" si="154"/>
        <v>0</v>
      </c>
      <c r="BT95" s="229">
        <f t="shared" si="154"/>
        <v>0</v>
      </c>
      <c r="BU95" s="229">
        <f t="shared" si="154"/>
        <v>0</v>
      </c>
      <c r="BV95" s="229">
        <f t="shared" ref="BV95:DA95" si="155">IF(AvgLeaseTermBMR&lt;$A95,0,(BV$44-BS$44)*BS$86)</f>
        <v>0</v>
      </c>
      <c r="BW95" s="229">
        <f t="shared" si="155"/>
        <v>0</v>
      </c>
      <c r="BX95" s="229">
        <f t="shared" si="155"/>
        <v>0</v>
      </c>
      <c r="BY95" s="229">
        <f t="shared" si="155"/>
        <v>0</v>
      </c>
      <c r="BZ95" s="229">
        <f t="shared" si="155"/>
        <v>0</v>
      </c>
      <c r="CA95" s="229">
        <f t="shared" si="155"/>
        <v>0</v>
      </c>
      <c r="CB95" s="229">
        <f t="shared" si="155"/>
        <v>0</v>
      </c>
      <c r="CC95" s="229">
        <f t="shared" si="155"/>
        <v>0</v>
      </c>
      <c r="CD95" s="229">
        <f t="shared" si="155"/>
        <v>0</v>
      </c>
      <c r="CE95" s="229">
        <f t="shared" si="155"/>
        <v>0</v>
      </c>
      <c r="CF95" s="229">
        <f t="shared" si="155"/>
        <v>0</v>
      </c>
      <c r="CG95" s="229">
        <f t="shared" si="155"/>
        <v>0</v>
      </c>
      <c r="CH95" s="229">
        <f t="shared" si="155"/>
        <v>0</v>
      </c>
      <c r="CI95" s="229">
        <f t="shared" si="155"/>
        <v>0</v>
      </c>
      <c r="CJ95" s="229">
        <f t="shared" si="155"/>
        <v>0</v>
      </c>
      <c r="CK95" s="229">
        <f t="shared" si="155"/>
        <v>0</v>
      </c>
      <c r="CL95" s="229">
        <f t="shared" si="155"/>
        <v>0</v>
      </c>
      <c r="CM95" s="229">
        <f t="shared" si="155"/>
        <v>0</v>
      </c>
      <c r="CN95" s="229">
        <f t="shared" si="155"/>
        <v>0</v>
      </c>
      <c r="CO95" s="229">
        <f t="shared" si="155"/>
        <v>0</v>
      </c>
      <c r="CP95" s="229">
        <f t="shared" si="155"/>
        <v>0</v>
      </c>
      <c r="CQ95" s="229">
        <f t="shared" si="155"/>
        <v>0</v>
      </c>
      <c r="CR95" s="229">
        <f t="shared" si="155"/>
        <v>0</v>
      </c>
      <c r="CS95" s="229">
        <f t="shared" si="155"/>
        <v>0</v>
      </c>
      <c r="CT95" s="229">
        <f t="shared" si="155"/>
        <v>0</v>
      </c>
      <c r="CU95" s="229">
        <f t="shared" si="155"/>
        <v>0</v>
      </c>
      <c r="CV95" s="229">
        <f t="shared" si="155"/>
        <v>0</v>
      </c>
      <c r="CW95" s="229">
        <f t="shared" si="155"/>
        <v>0</v>
      </c>
      <c r="CX95" s="229">
        <f t="shared" si="155"/>
        <v>0</v>
      </c>
      <c r="CY95" s="229">
        <f t="shared" si="155"/>
        <v>0</v>
      </c>
      <c r="CZ95" s="229">
        <f t="shared" si="155"/>
        <v>0</v>
      </c>
      <c r="DA95" s="229">
        <f t="shared" si="155"/>
        <v>0</v>
      </c>
      <c r="DB95" s="229">
        <f t="shared" ref="DB95:EG95" si="156">IF(AvgLeaseTermBMR&lt;$A95,0,(DB$44-CY$44)*CY$86)</f>
        <v>0</v>
      </c>
      <c r="DC95" s="229">
        <f t="shared" si="156"/>
        <v>0</v>
      </c>
      <c r="DD95" s="229">
        <f t="shared" si="156"/>
        <v>0</v>
      </c>
      <c r="DE95" s="229">
        <f t="shared" si="156"/>
        <v>0</v>
      </c>
      <c r="DF95" s="229">
        <f t="shared" si="156"/>
        <v>0</v>
      </c>
      <c r="DG95" s="229">
        <f t="shared" si="156"/>
        <v>0</v>
      </c>
      <c r="DH95" s="229">
        <f t="shared" si="156"/>
        <v>0</v>
      </c>
      <c r="DI95" s="229">
        <f t="shared" si="156"/>
        <v>0</v>
      </c>
      <c r="DJ95" s="229">
        <f t="shared" si="156"/>
        <v>0</v>
      </c>
      <c r="DK95" s="229">
        <f t="shared" si="156"/>
        <v>0</v>
      </c>
      <c r="DL95" s="229">
        <f t="shared" si="156"/>
        <v>0</v>
      </c>
      <c r="DM95" s="229">
        <f t="shared" si="156"/>
        <v>0</v>
      </c>
      <c r="DN95" s="229">
        <f t="shared" si="156"/>
        <v>0</v>
      </c>
      <c r="DO95" s="229">
        <f t="shared" si="156"/>
        <v>0</v>
      </c>
      <c r="DP95" s="229">
        <f t="shared" si="156"/>
        <v>0</v>
      </c>
      <c r="DQ95" s="229">
        <f t="shared" si="156"/>
        <v>0</v>
      </c>
      <c r="DR95" s="229">
        <f t="shared" si="156"/>
        <v>0</v>
      </c>
      <c r="DS95" s="229">
        <f t="shared" si="156"/>
        <v>0</v>
      </c>
      <c r="DT95" s="229">
        <f t="shared" si="156"/>
        <v>0</v>
      </c>
      <c r="DU95" s="229">
        <f t="shared" si="156"/>
        <v>0</v>
      </c>
      <c r="DV95" s="229">
        <f t="shared" si="156"/>
        <v>0</v>
      </c>
      <c r="DW95" s="229">
        <f t="shared" si="156"/>
        <v>0</v>
      </c>
      <c r="DX95" s="229">
        <f t="shared" si="156"/>
        <v>0</v>
      </c>
      <c r="DY95" s="229">
        <f t="shared" si="156"/>
        <v>0</v>
      </c>
      <c r="DZ95" s="229">
        <f t="shared" si="156"/>
        <v>0</v>
      </c>
      <c r="EA95" s="229">
        <f t="shared" si="156"/>
        <v>0</v>
      </c>
      <c r="EB95" s="229">
        <f t="shared" si="156"/>
        <v>0</v>
      </c>
      <c r="EC95" s="229">
        <f t="shared" si="156"/>
        <v>0</v>
      </c>
      <c r="ED95" s="229">
        <f t="shared" si="156"/>
        <v>0</v>
      </c>
      <c r="EE95" s="229">
        <f t="shared" si="156"/>
        <v>0</v>
      </c>
      <c r="EF95" s="229">
        <f t="shared" si="156"/>
        <v>0</v>
      </c>
      <c r="EG95" s="229">
        <f t="shared" si="156"/>
        <v>0</v>
      </c>
      <c r="EH95" s="229">
        <f>IF(AvgLeaseTermBMR&lt;$A95,0,(EH$44-EE$44)*EE$86)</f>
        <v>0</v>
      </c>
      <c r="EK95" s="672"/>
    </row>
    <row r="96" spans="1:141" x14ac:dyDescent="0.3">
      <c r="A96">
        <v>4</v>
      </c>
      <c r="E96" s="200"/>
      <c r="F96" s="200"/>
      <c r="G96" s="229"/>
      <c r="H96" s="229"/>
      <c r="I96" s="229"/>
      <c r="J96" s="229"/>
      <c r="K96" s="229">
        <f t="shared" ref="K96:AP96" si="157">IF(AvgLeaseTermBMR&lt;$A96,0,(K$44-G$44)*G$86)</f>
        <v>0</v>
      </c>
      <c r="L96" s="229">
        <f t="shared" si="157"/>
        <v>0</v>
      </c>
      <c r="M96" s="229">
        <f t="shared" si="157"/>
        <v>0</v>
      </c>
      <c r="N96" s="229">
        <f t="shared" si="157"/>
        <v>0</v>
      </c>
      <c r="O96" s="229">
        <f t="shared" si="157"/>
        <v>0</v>
      </c>
      <c r="P96" s="229">
        <f t="shared" si="157"/>
        <v>0</v>
      </c>
      <c r="Q96" s="229">
        <f t="shared" si="157"/>
        <v>0</v>
      </c>
      <c r="R96" s="229">
        <f t="shared" si="157"/>
        <v>0</v>
      </c>
      <c r="S96" s="229">
        <f t="shared" si="157"/>
        <v>0</v>
      </c>
      <c r="T96" s="229">
        <f t="shared" si="157"/>
        <v>0</v>
      </c>
      <c r="U96" s="229">
        <f t="shared" si="157"/>
        <v>0</v>
      </c>
      <c r="V96" s="229">
        <f t="shared" si="157"/>
        <v>0</v>
      </c>
      <c r="W96" s="229">
        <f t="shared" si="157"/>
        <v>0</v>
      </c>
      <c r="X96" s="229">
        <f t="shared" si="157"/>
        <v>0</v>
      </c>
      <c r="Y96" s="229">
        <f t="shared" si="157"/>
        <v>0</v>
      </c>
      <c r="Z96" s="229">
        <f t="shared" si="157"/>
        <v>0</v>
      </c>
      <c r="AA96" s="229">
        <f t="shared" si="157"/>
        <v>0</v>
      </c>
      <c r="AB96" s="229">
        <f t="shared" si="157"/>
        <v>0</v>
      </c>
      <c r="AC96" s="229">
        <f t="shared" si="157"/>
        <v>0</v>
      </c>
      <c r="AD96" s="229">
        <f t="shared" si="157"/>
        <v>0</v>
      </c>
      <c r="AE96" s="229">
        <f t="shared" si="157"/>
        <v>0</v>
      </c>
      <c r="AF96" s="229">
        <f t="shared" si="157"/>
        <v>0</v>
      </c>
      <c r="AG96" s="229">
        <f t="shared" si="157"/>
        <v>0</v>
      </c>
      <c r="AH96" s="229">
        <f t="shared" si="157"/>
        <v>0</v>
      </c>
      <c r="AI96" s="229">
        <f t="shared" si="157"/>
        <v>0</v>
      </c>
      <c r="AJ96" s="229">
        <f t="shared" si="157"/>
        <v>0</v>
      </c>
      <c r="AK96" s="229">
        <f t="shared" si="157"/>
        <v>0</v>
      </c>
      <c r="AL96" s="229">
        <f t="shared" si="157"/>
        <v>0</v>
      </c>
      <c r="AM96" s="229">
        <f t="shared" si="157"/>
        <v>0</v>
      </c>
      <c r="AN96" s="229">
        <f t="shared" si="157"/>
        <v>0</v>
      </c>
      <c r="AO96" s="229">
        <f t="shared" si="157"/>
        <v>0</v>
      </c>
      <c r="AP96" s="229">
        <f t="shared" si="157"/>
        <v>0</v>
      </c>
      <c r="AQ96" s="229">
        <f t="shared" ref="AQ96:BV96" si="158">IF(AvgLeaseTermBMR&lt;$A96,0,(AQ$44-AM$44)*AM$86)</f>
        <v>0</v>
      </c>
      <c r="AR96" s="229">
        <f t="shared" si="158"/>
        <v>0</v>
      </c>
      <c r="AS96" s="229">
        <f t="shared" si="158"/>
        <v>0</v>
      </c>
      <c r="AT96" s="229">
        <f t="shared" si="158"/>
        <v>0</v>
      </c>
      <c r="AU96" s="229">
        <f t="shared" si="158"/>
        <v>0</v>
      </c>
      <c r="AV96" s="229">
        <f t="shared" si="158"/>
        <v>0</v>
      </c>
      <c r="AW96" s="229">
        <f t="shared" si="158"/>
        <v>0</v>
      </c>
      <c r="AX96" s="229">
        <f t="shared" si="158"/>
        <v>0</v>
      </c>
      <c r="AY96" s="229">
        <f t="shared" si="158"/>
        <v>0</v>
      </c>
      <c r="AZ96" s="229">
        <f t="shared" si="158"/>
        <v>0</v>
      </c>
      <c r="BA96" s="229">
        <f t="shared" si="158"/>
        <v>0</v>
      </c>
      <c r="BB96" s="229">
        <f t="shared" si="158"/>
        <v>0</v>
      </c>
      <c r="BC96" s="229">
        <f t="shared" si="158"/>
        <v>0</v>
      </c>
      <c r="BD96" s="229">
        <f t="shared" si="158"/>
        <v>0</v>
      </c>
      <c r="BE96" s="229">
        <f t="shared" si="158"/>
        <v>0</v>
      </c>
      <c r="BF96" s="229">
        <f t="shared" si="158"/>
        <v>0</v>
      </c>
      <c r="BG96" s="229">
        <f t="shared" si="158"/>
        <v>0</v>
      </c>
      <c r="BH96" s="229">
        <f t="shared" si="158"/>
        <v>0</v>
      </c>
      <c r="BI96" s="229">
        <f t="shared" si="158"/>
        <v>0</v>
      </c>
      <c r="BJ96" s="229">
        <f t="shared" si="158"/>
        <v>0</v>
      </c>
      <c r="BK96" s="229">
        <f t="shared" si="158"/>
        <v>0</v>
      </c>
      <c r="BL96" s="229">
        <f t="shared" si="158"/>
        <v>0</v>
      </c>
      <c r="BM96" s="229">
        <f t="shared" si="158"/>
        <v>0</v>
      </c>
      <c r="BN96" s="229">
        <f t="shared" si="158"/>
        <v>0</v>
      </c>
      <c r="BO96" s="229">
        <f t="shared" si="158"/>
        <v>0</v>
      </c>
      <c r="BP96" s="229">
        <f t="shared" si="158"/>
        <v>0</v>
      </c>
      <c r="BQ96" s="229">
        <f t="shared" si="158"/>
        <v>0</v>
      </c>
      <c r="BR96" s="229">
        <f t="shared" si="158"/>
        <v>0</v>
      </c>
      <c r="BS96" s="229">
        <f t="shared" si="158"/>
        <v>0</v>
      </c>
      <c r="BT96" s="229">
        <f t="shared" si="158"/>
        <v>0</v>
      </c>
      <c r="BU96" s="229">
        <f t="shared" si="158"/>
        <v>0</v>
      </c>
      <c r="BV96" s="229">
        <f t="shared" si="158"/>
        <v>0</v>
      </c>
      <c r="BW96" s="229">
        <f t="shared" ref="BW96:DB96" si="159">IF(AvgLeaseTermBMR&lt;$A96,0,(BW$44-BS$44)*BS$86)</f>
        <v>0</v>
      </c>
      <c r="BX96" s="229">
        <f t="shared" si="159"/>
        <v>0</v>
      </c>
      <c r="BY96" s="229">
        <f t="shared" si="159"/>
        <v>0</v>
      </c>
      <c r="BZ96" s="229">
        <f t="shared" si="159"/>
        <v>0</v>
      </c>
      <c r="CA96" s="229">
        <f t="shared" si="159"/>
        <v>0</v>
      </c>
      <c r="CB96" s="229">
        <f t="shared" si="159"/>
        <v>0</v>
      </c>
      <c r="CC96" s="229">
        <f t="shared" si="159"/>
        <v>0</v>
      </c>
      <c r="CD96" s="229">
        <f t="shared" si="159"/>
        <v>0</v>
      </c>
      <c r="CE96" s="229">
        <f t="shared" si="159"/>
        <v>0</v>
      </c>
      <c r="CF96" s="229">
        <f t="shared" si="159"/>
        <v>0</v>
      </c>
      <c r="CG96" s="229">
        <f t="shared" si="159"/>
        <v>0</v>
      </c>
      <c r="CH96" s="229">
        <f t="shared" si="159"/>
        <v>0</v>
      </c>
      <c r="CI96" s="229">
        <f t="shared" si="159"/>
        <v>0</v>
      </c>
      <c r="CJ96" s="229">
        <f t="shared" si="159"/>
        <v>0</v>
      </c>
      <c r="CK96" s="229">
        <f t="shared" si="159"/>
        <v>0</v>
      </c>
      <c r="CL96" s="229">
        <f t="shared" si="159"/>
        <v>0</v>
      </c>
      <c r="CM96" s="229">
        <f t="shared" si="159"/>
        <v>0</v>
      </c>
      <c r="CN96" s="229">
        <f t="shared" si="159"/>
        <v>0</v>
      </c>
      <c r="CO96" s="229">
        <f t="shared" si="159"/>
        <v>0</v>
      </c>
      <c r="CP96" s="229">
        <f t="shared" si="159"/>
        <v>0</v>
      </c>
      <c r="CQ96" s="229">
        <f t="shared" si="159"/>
        <v>0</v>
      </c>
      <c r="CR96" s="229">
        <f t="shared" si="159"/>
        <v>0</v>
      </c>
      <c r="CS96" s="229">
        <f t="shared" si="159"/>
        <v>0</v>
      </c>
      <c r="CT96" s="229">
        <f t="shared" si="159"/>
        <v>0</v>
      </c>
      <c r="CU96" s="229">
        <f t="shared" si="159"/>
        <v>0</v>
      </c>
      <c r="CV96" s="229">
        <f t="shared" si="159"/>
        <v>0</v>
      </c>
      <c r="CW96" s="229">
        <f t="shared" si="159"/>
        <v>0</v>
      </c>
      <c r="CX96" s="229">
        <f t="shared" si="159"/>
        <v>0</v>
      </c>
      <c r="CY96" s="229">
        <f t="shared" si="159"/>
        <v>0</v>
      </c>
      <c r="CZ96" s="229">
        <f t="shared" si="159"/>
        <v>0</v>
      </c>
      <c r="DA96" s="229">
        <f t="shared" si="159"/>
        <v>0</v>
      </c>
      <c r="DB96" s="229">
        <f t="shared" si="159"/>
        <v>0</v>
      </c>
      <c r="DC96" s="229">
        <f t="shared" ref="DC96:EH96" si="160">IF(AvgLeaseTermBMR&lt;$A96,0,(DC$44-CY$44)*CY$86)</f>
        <v>0</v>
      </c>
      <c r="DD96" s="229">
        <f t="shared" si="160"/>
        <v>0</v>
      </c>
      <c r="DE96" s="229">
        <f t="shared" si="160"/>
        <v>0</v>
      </c>
      <c r="DF96" s="229">
        <f t="shared" si="160"/>
        <v>0</v>
      </c>
      <c r="DG96" s="229">
        <f t="shared" si="160"/>
        <v>0</v>
      </c>
      <c r="DH96" s="229">
        <f t="shared" si="160"/>
        <v>0</v>
      </c>
      <c r="DI96" s="229">
        <f t="shared" si="160"/>
        <v>0</v>
      </c>
      <c r="DJ96" s="229">
        <f t="shared" si="160"/>
        <v>0</v>
      </c>
      <c r="DK96" s="229">
        <f t="shared" si="160"/>
        <v>0</v>
      </c>
      <c r="DL96" s="229">
        <f t="shared" si="160"/>
        <v>0</v>
      </c>
      <c r="DM96" s="229">
        <f t="shared" si="160"/>
        <v>0</v>
      </c>
      <c r="DN96" s="229">
        <f t="shared" si="160"/>
        <v>0</v>
      </c>
      <c r="DO96" s="229">
        <f t="shared" si="160"/>
        <v>0</v>
      </c>
      <c r="DP96" s="229">
        <f t="shared" si="160"/>
        <v>0</v>
      </c>
      <c r="DQ96" s="229">
        <f t="shared" si="160"/>
        <v>0</v>
      </c>
      <c r="DR96" s="229">
        <f t="shared" si="160"/>
        <v>0</v>
      </c>
      <c r="DS96" s="229">
        <f t="shared" si="160"/>
        <v>0</v>
      </c>
      <c r="DT96" s="229">
        <f t="shared" si="160"/>
        <v>0</v>
      </c>
      <c r="DU96" s="229">
        <f t="shared" si="160"/>
        <v>0</v>
      </c>
      <c r="DV96" s="229">
        <f t="shared" si="160"/>
        <v>0</v>
      </c>
      <c r="DW96" s="229">
        <f t="shared" si="160"/>
        <v>0</v>
      </c>
      <c r="DX96" s="229">
        <f t="shared" si="160"/>
        <v>0</v>
      </c>
      <c r="DY96" s="229">
        <f t="shared" si="160"/>
        <v>0</v>
      </c>
      <c r="DZ96" s="229">
        <f t="shared" si="160"/>
        <v>0</v>
      </c>
      <c r="EA96" s="229">
        <f t="shared" si="160"/>
        <v>0</v>
      </c>
      <c r="EB96" s="229">
        <f t="shared" si="160"/>
        <v>0</v>
      </c>
      <c r="EC96" s="229">
        <f t="shared" si="160"/>
        <v>0</v>
      </c>
      <c r="ED96" s="229">
        <f t="shared" si="160"/>
        <v>0</v>
      </c>
      <c r="EE96" s="229">
        <f t="shared" si="160"/>
        <v>0</v>
      </c>
      <c r="EF96" s="229">
        <f t="shared" si="160"/>
        <v>0</v>
      </c>
      <c r="EG96" s="229">
        <f t="shared" si="160"/>
        <v>0</v>
      </c>
      <c r="EH96" s="229">
        <f t="shared" si="160"/>
        <v>0</v>
      </c>
      <c r="EK96" s="280"/>
    </row>
    <row r="97" spans="1:141" x14ac:dyDescent="0.3">
      <c r="A97">
        <v>5</v>
      </c>
      <c r="E97" s="200"/>
      <c r="F97" s="200"/>
      <c r="G97" s="229"/>
      <c r="H97" s="229"/>
      <c r="I97" s="229"/>
      <c r="J97" s="229"/>
      <c r="K97" s="229"/>
      <c r="L97" s="229">
        <f t="shared" ref="L97:AQ97" si="161">IF(AvgLeaseTermBMR&lt;$A97,0,(L$44-G$44)*G$86)</f>
        <v>0</v>
      </c>
      <c r="M97" s="229">
        <f t="shared" si="161"/>
        <v>0</v>
      </c>
      <c r="N97" s="229">
        <f t="shared" si="161"/>
        <v>0</v>
      </c>
      <c r="O97" s="229">
        <f t="shared" si="161"/>
        <v>0</v>
      </c>
      <c r="P97" s="229">
        <f t="shared" si="161"/>
        <v>0</v>
      </c>
      <c r="Q97" s="229">
        <f t="shared" si="161"/>
        <v>0</v>
      </c>
      <c r="R97" s="229">
        <f t="shared" si="161"/>
        <v>0</v>
      </c>
      <c r="S97" s="229">
        <f t="shared" si="161"/>
        <v>0</v>
      </c>
      <c r="T97" s="229">
        <f t="shared" si="161"/>
        <v>0</v>
      </c>
      <c r="U97" s="229">
        <f t="shared" si="161"/>
        <v>0</v>
      </c>
      <c r="V97" s="229">
        <f t="shared" si="161"/>
        <v>0</v>
      </c>
      <c r="W97" s="229">
        <f t="shared" si="161"/>
        <v>0</v>
      </c>
      <c r="X97" s="229">
        <f t="shared" si="161"/>
        <v>0</v>
      </c>
      <c r="Y97" s="229">
        <f t="shared" si="161"/>
        <v>0</v>
      </c>
      <c r="Z97" s="229">
        <f t="shared" si="161"/>
        <v>0</v>
      </c>
      <c r="AA97" s="229">
        <f t="shared" si="161"/>
        <v>0</v>
      </c>
      <c r="AB97" s="229">
        <f t="shared" si="161"/>
        <v>0</v>
      </c>
      <c r="AC97" s="229">
        <f t="shared" si="161"/>
        <v>0</v>
      </c>
      <c r="AD97" s="229">
        <f t="shared" si="161"/>
        <v>0</v>
      </c>
      <c r="AE97" s="229">
        <f t="shared" si="161"/>
        <v>0</v>
      </c>
      <c r="AF97" s="229">
        <f t="shared" si="161"/>
        <v>0</v>
      </c>
      <c r="AG97" s="229">
        <f t="shared" si="161"/>
        <v>0</v>
      </c>
      <c r="AH97" s="229">
        <f t="shared" si="161"/>
        <v>0</v>
      </c>
      <c r="AI97" s="229">
        <f t="shared" si="161"/>
        <v>0</v>
      </c>
      <c r="AJ97" s="229">
        <f t="shared" si="161"/>
        <v>0</v>
      </c>
      <c r="AK97" s="229">
        <f t="shared" si="161"/>
        <v>0</v>
      </c>
      <c r="AL97" s="229">
        <f t="shared" si="161"/>
        <v>0</v>
      </c>
      <c r="AM97" s="229">
        <f t="shared" si="161"/>
        <v>0</v>
      </c>
      <c r="AN97" s="229">
        <f t="shared" si="161"/>
        <v>0</v>
      </c>
      <c r="AO97" s="229">
        <f t="shared" si="161"/>
        <v>0</v>
      </c>
      <c r="AP97" s="229">
        <f t="shared" si="161"/>
        <v>0</v>
      </c>
      <c r="AQ97" s="229">
        <f t="shared" si="161"/>
        <v>0</v>
      </c>
      <c r="AR97" s="229">
        <f t="shared" ref="AR97:BW97" si="162">IF(AvgLeaseTermBMR&lt;$A97,0,(AR$44-AM$44)*AM$86)</f>
        <v>0</v>
      </c>
      <c r="AS97" s="229">
        <f t="shared" si="162"/>
        <v>0</v>
      </c>
      <c r="AT97" s="229">
        <f t="shared" si="162"/>
        <v>0</v>
      </c>
      <c r="AU97" s="229">
        <f t="shared" si="162"/>
        <v>0</v>
      </c>
      <c r="AV97" s="229">
        <f t="shared" si="162"/>
        <v>0</v>
      </c>
      <c r="AW97" s="229">
        <f t="shared" si="162"/>
        <v>0</v>
      </c>
      <c r="AX97" s="229">
        <f t="shared" si="162"/>
        <v>0</v>
      </c>
      <c r="AY97" s="229">
        <f t="shared" si="162"/>
        <v>0</v>
      </c>
      <c r="AZ97" s="229">
        <f t="shared" si="162"/>
        <v>0</v>
      </c>
      <c r="BA97" s="229">
        <f t="shared" si="162"/>
        <v>0</v>
      </c>
      <c r="BB97" s="229">
        <f t="shared" si="162"/>
        <v>0</v>
      </c>
      <c r="BC97" s="229">
        <f t="shared" si="162"/>
        <v>0</v>
      </c>
      <c r="BD97" s="229">
        <f t="shared" si="162"/>
        <v>0</v>
      </c>
      <c r="BE97" s="229">
        <f t="shared" si="162"/>
        <v>0</v>
      </c>
      <c r="BF97" s="229">
        <f t="shared" si="162"/>
        <v>0</v>
      </c>
      <c r="BG97" s="229">
        <f t="shared" si="162"/>
        <v>0</v>
      </c>
      <c r="BH97" s="229">
        <f t="shared" si="162"/>
        <v>0</v>
      </c>
      <c r="BI97" s="229">
        <f t="shared" si="162"/>
        <v>0</v>
      </c>
      <c r="BJ97" s="229">
        <f t="shared" si="162"/>
        <v>0</v>
      </c>
      <c r="BK97" s="229">
        <f t="shared" si="162"/>
        <v>0</v>
      </c>
      <c r="BL97" s="229">
        <f t="shared" si="162"/>
        <v>0</v>
      </c>
      <c r="BM97" s="229">
        <f t="shared" si="162"/>
        <v>0</v>
      </c>
      <c r="BN97" s="229">
        <f t="shared" si="162"/>
        <v>0</v>
      </c>
      <c r="BO97" s="229">
        <f t="shared" si="162"/>
        <v>0</v>
      </c>
      <c r="BP97" s="229">
        <f t="shared" si="162"/>
        <v>0</v>
      </c>
      <c r="BQ97" s="229">
        <f t="shared" si="162"/>
        <v>0</v>
      </c>
      <c r="BR97" s="229">
        <f t="shared" si="162"/>
        <v>0</v>
      </c>
      <c r="BS97" s="229">
        <f t="shared" si="162"/>
        <v>0</v>
      </c>
      <c r="BT97" s="229">
        <f t="shared" si="162"/>
        <v>0</v>
      </c>
      <c r="BU97" s="229">
        <f t="shared" si="162"/>
        <v>0</v>
      </c>
      <c r="BV97" s="229">
        <f t="shared" si="162"/>
        <v>0</v>
      </c>
      <c r="BW97" s="229">
        <f t="shared" si="162"/>
        <v>0</v>
      </c>
      <c r="BX97" s="229">
        <f t="shared" ref="BX97:DC97" si="163">IF(AvgLeaseTermBMR&lt;$A97,0,(BX$44-BS$44)*BS$86)</f>
        <v>0</v>
      </c>
      <c r="BY97" s="229">
        <f t="shared" si="163"/>
        <v>0</v>
      </c>
      <c r="BZ97" s="229">
        <f t="shared" si="163"/>
        <v>0</v>
      </c>
      <c r="CA97" s="229">
        <f t="shared" si="163"/>
        <v>0</v>
      </c>
      <c r="CB97" s="229">
        <f t="shared" si="163"/>
        <v>0</v>
      </c>
      <c r="CC97" s="229">
        <f t="shared" si="163"/>
        <v>0</v>
      </c>
      <c r="CD97" s="229">
        <f t="shared" si="163"/>
        <v>0</v>
      </c>
      <c r="CE97" s="229">
        <f t="shared" si="163"/>
        <v>0</v>
      </c>
      <c r="CF97" s="229">
        <f t="shared" si="163"/>
        <v>0</v>
      </c>
      <c r="CG97" s="229">
        <f t="shared" si="163"/>
        <v>0</v>
      </c>
      <c r="CH97" s="229">
        <f t="shared" si="163"/>
        <v>0</v>
      </c>
      <c r="CI97" s="229">
        <f t="shared" si="163"/>
        <v>0</v>
      </c>
      <c r="CJ97" s="229">
        <f t="shared" si="163"/>
        <v>0</v>
      </c>
      <c r="CK97" s="229">
        <f t="shared" si="163"/>
        <v>0</v>
      </c>
      <c r="CL97" s="229">
        <f t="shared" si="163"/>
        <v>0</v>
      </c>
      <c r="CM97" s="229">
        <f t="shared" si="163"/>
        <v>0</v>
      </c>
      <c r="CN97" s="229">
        <f t="shared" si="163"/>
        <v>0</v>
      </c>
      <c r="CO97" s="229">
        <f t="shared" si="163"/>
        <v>0</v>
      </c>
      <c r="CP97" s="229">
        <f t="shared" si="163"/>
        <v>0</v>
      </c>
      <c r="CQ97" s="229">
        <f t="shared" si="163"/>
        <v>0</v>
      </c>
      <c r="CR97" s="229">
        <f t="shared" si="163"/>
        <v>0</v>
      </c>
      <c r="CS97" s="229">
        <f t="shared" si="163"/>
        <v>0</v>
      </c>
      <c r="CT97" s="229">
        <f t="shared" si="163"/>
        <v>0</v>
      </c>
      <c r="CU97" s="229">
        <f t="shared" si="163"/>
        <v>0</v>
      </c>
      <c r="CV97" s="229">
        <f t="shared" si="163"/>
        <v>0</v>
      </c>
      <c r="CW97" s="229">
        <f t="shared" si="163"/>
        <v>0</v>
      </c>
      <c r="CX97" s="229">
        <f t="shared" si="163"/>
        <v>0</v>
      </c>
      <c r="CY97" s="229">
        <f t="shared" si="163"/>
        <v>0</v>
      </c>
      <c r="CZ97" s="229">
        <f t="shared" si="163"/>
        <v>0</v>
      </c>
      <c r="DA97" s="229">
        <f t="shared" si="163"/>
        <v>0</v>
      </c>
      <c r="DB97" s="229">
        <f t="shared" si="163"/>
        <v>0</v>
      </c>
      <c r="DC97" s="229">
        <f t="shared" si="163"/>
        <v>0</v>
      </c>
      <c r="DD97" s="229">
        <f t="shared" ref="DD97:EH97" si="164">IF(AvgLeaseTermBMR&lt;$A97,0,(DD$44-CY$44)*CY$86)</f>
        <v>0</v>
      </c>
      <c r="DE97" s="229">
        <f t="shared" si="164"/>
        <v>0</v>
      </c>
      <c r="DF97" s="229">
        <f t="shared" si="164"/>
        <v>0</v>
      </c>
      <c r="DG97" s="229">
        <f t="shared" si="164"/>
        <v>0</v>
      </c>
      <c r="DH97" s="229">
        <f t="shared" si="164"/>
        <v>0</v>
      </c>
      <c r="DI97" s="229">
        <f t="shared" si="164"/>
        <v>0</v>
      </c>
      <c r="DJ97" s="229">
        <f t="shared" si="164"/>
        <v>0</v>
      </c>
      <c r="DK97" s="229">
        <f t="shared" si="164"/>
        <v>0</v>
      </c>
      <c r="DL97" s="229">
        <f t="shared" si="164"/>
        <v>0</v>
      </c>
      <c r="DM97" s="229">
        <f t="shared" si="164"/>
        <v>0</v>
      </c>
      <c r="DN97" s="229">
        <f t="shared" si="164"/>
        <v>0</v>
      </c>
      <c r="DO97" s="229">
        <f t="shared" si="164"/>
        <v>0</v>
      </c>
      <c r="DP97" s="229">
        <f t="shared" si="164"/>
        <v>0</v>
      </c>
      <c r="DQ97" s="229">
        <f t="shared" si="164"/>
        <v>0</v>
      </c>
      <c r="DR97" s="229">
        <f t="shared" si="164"/>
        <v>0</v>
      </c>
      <c r="DS97" s="229">
        <f t="shared" si="164"/>
        <v>0</v>
      </c>
      <c r="DT97" s="229">
        <f t="shared" si="164"/>
        <v>0</v>
      </c>
      <c r="DU97" s="229">
        <f t="shared" si="164"/>
        <v>0</v>
      </c>
      <c r="DV97" s="229">
        <f t="shared" si="164"/>
        <v>0</v>
      </c>
      <c r="DW97" s="229">
        <f t="shared" si="164"/>
        <v>0</v>
      </c>
      <c r="DX97" s="229">
        <f t="shared" si="164"/>
        <v>0</v>
      </c>
      <c r="DY97" s="229">
        <f t="shared" si="164"/>
        <v>0</v>
      </c>
      <c r="DZ97" s="229">
        <f t="shared" si="164"/>
        <v>0</v>
      </c>
      <c r="EA97" s="229">
        <f t="shared" si="164"/>
        <v>0</v>
      </c>
      <c r="EB97" s="229">
        <f t="shared" si="164"/>
        <v>0</v>
      </c>
      <c r="EC97" s="229">
        <f t="shared" si="164"/>
        <v>0</v>
      </c>
      <c r="ED97" s="229">
        <f t="shared" si="164"/>
        <v>0</v>
      </c>
      <c r="EE97" s="229">
        <f t="shared" si="164"/>
        <v>0</v>
      </c>
      <c r="EF97" s="229">
        <f t="shared" si="164"/>
        <v>0</v>
      </c>
      <c r="EG97" s="229">
        <f t="shared" si="164"/>
        <v>0</v>
      </c>
      <c r="EH97" s="229">
        <f t="shared" si="164"/>
        <v>0</v>
      </c>
      <c r="EK97" s="672"/>
    </row>
    <row r="98" spans="1:141" x14ac:dyDescent="0.3">
      <c r="A98">
        <v>6</v>
      </c>
      <c r="E98" s="200"/>
      <c r="F98" s="200"/>
      <c r="G98" s="229"/>
      <c r="H98" s="229"/>
      <c r="I98" s="229"/>
      <c r="J98" s="229"/>
      <c r="K98" s="229"/>
      <c r="L98" s="229"/>
      <c r="M98" s="229">
        <f t="shared" ref="M98:AR98" si="165">IF(AvgLeaseTermBMR&lt;$A98,0,(M$44-G$44)*G$86)</f>
        <v>0</v>
      </c>
      <c r="N98" s="229">
        <f t="shared" si="165"/>
        <v>0</v>
      </c>
      <c r="O98" s="229">
        <f t="shared" si="165"/>
        <v>0</v>
      </c>
      <c r="P98" s="229">
        <f t="shared" si="165"/>
        <v>0</v>
      </c>
      <c r="Q98" s="229">
        <f t="shared" si="165"/>
        <v>0</v>
      </c>
      <c r="R98" s="229">
        <f t="shared" si="165"/>
        <v>0</v>
      </c>
      <c r="S98" s="229">
        <f t="shared" si="165"/>
        <v>0</v>
      </c>
      <c r="T98" s="229">
        <f t="shared" si="165"/>
        <v>0</v>
      </c>
      <c r="U98" s="229">
        <f t="shared" si="165"/>
        <v>0</v>
      </c>
      <c r="V98" s="229">
        <f t="shared" si="165"/>
        <v>0</v>
      </c>
      <c r="W98" s="229">
        <f t="shared" si="165"/>
        <v>0</v>
      </c>
      <c r="X98" s="229">
        <f t="shared" si="165"/>
        <v>0</v>
      </c>
      <c r="Y98" s="229">
        <f t="shared" si="165"/>
        <v>0</v>
      </c>
      <c r="Z98" s="229">
        <f t="shared" si="165"/>
        <v>0</v>
      </c>
      <c r="AA98" s="229">
        <f t="shared" si="165"/>
        <v>0</v>
      </c>
      <c r="AB98" s="229">
        <f t="shared" si="165"/>
        <v>0</v>
      </c>
      <c r="AC98" s="229">
        <f t="shared" si="165"/>
        <v>0</v>
      </c>
      <c r="AD98" s="229">
        <f t="shared" si="165"/>
        <v>0</v>
      </c>
      <c r="AE98" s="229">
        <f t="shared" si="165"/>
        <v>0</v>
      </c>
      <c r="AF98" s="229">
        <f t="shared" si="165"/>
        <v>0</v>
      </c>
      <c r="AG98" s="229">
        <f t="shared" si="165"/>
        <v>0</v>
      </c>
      <c r="AH98" s="229">
        <f t="shared" si="165"/>
        <v>0</v>
      </c>
      <c r="AI98" s="229">
        <f t="shared" si="165"/>
        <v>0</v>
      </c>
      <c r="AJ98" s="229">
        <f t="shared" si="165"/>
        <v>0</v>
      </c>
      <c r="AK98" s="229">
        <f t="shared" si="165"/>
        <v>0</v>
      </c>
      <c r="AL98" s="229">
        <f t="shared" si="165"/>
        <v>0</v>
      </c>
      <c r="AM98" s="229">
        <f t="shared" si="165"/>
        <v>0</v>
      </c>
      <c r="AN98" s="229">
        <f t="shared" si="165"/>
        <v>0</v>
      </c>
      <c r="AO98" s="229">
        <f t="shared" si="165"/>
        <v>0</v>
      </c>
      <c r="AP98" s="229">
        <f t="shared" si="165"/>
        <v>0</v>
      </c>
      <c r="AQ98" s="229">
        <f t="shared" si="165"/>
        <v>0</v>
      </c>
      <c r="AR98" s="229">
        <f t="shared" si="165"/>
        <v>0</v>
      </c>
      <c r="AS98" s="229">
        <f t="shared" ref="AS98:BX98" si="166">IF(AvgLeaseTermBMR&lt;$A98,0,(AS$44-AM$44)*AM$86)</f>
        <v>0</v>
      </c>
      <c r="AT98" s="229">
        <f t="shared" si="166"/>
        <v>0</v>
      </c>
      <c r="AU98" s="229">
        <f t="shared" si="166"/>
        <v>0</v>
      </c>
      <c r="AV98" s="229">
        <f t="shared" si="166"/>
        <v>0</v>
      </c>
      <c r="AW98" s="229">
        <f t="shared" si="166"/>
        <v>0</v>
      </c>
      <c r="AX98" s="229">
        <f t="shared" si="166"/>
        <v>0</v>
      </c>
      <c r="AY98" s="229">
        <f t="shared" si="166"/>
        <v>0</v>
      </c>
      <c r="AZ98" s="229">
        <f t="shared" si="166"/>
        <v>0</v>
      </c>
      <c r="BA98" s="229">
        <f t="shared" si="166"/>
        <v>0</v>
      </c>
      <c r="BB98" s="229">
        <f t="shared" si="166"/>
        <v>0</v>
      </c>
      <c r="BC98" s="229">
        <f t="shared" si="166"/>
        <v>0</v>
      </c>
      <c r="BD98" s="229">
        <f t="shared" si="166"/>
        <v>0</v>
      </c>
      <c r="BE98" s="229">
        <f t="shared" si="166"/>
        <v>0</v>
      </c>
      <c r="BF98" s="229">
        <f t="shared" si="166"/>
        <v>0</v>
      </c>
      <c r="BG98" s="229">
        <f t="shared" si="166"/>
        <v>0</v>
      </c>
      <c r="BH98" s="229">
        <f t="shared" si="166"/>
        <v>0</v>
      </c>
      <c r="BI98" s="229">
        <f t="shared" si="166"/>
        <v>0</v>
      </c>
      <c r="BJ98" s="229">
        <f t="shared" si="166"/>
        <v>0</v>
      </c>
      <c r="BK98" s="229">
        <f t="shared" si="166"/>
        <v>0</v>
      </c>
      <c r="BL98" s="229">
        <f t="shared" si="166"/>
        <v>0</v>
      </c>
      <c r="BM98" s="229">
        <f t="shared" si="166"/>
        <v>0</v>
      </c>
      <c r="BN98" s="229">
        <f t="shared" si="166"/>
        <v>0</v>
      </c>
      <c r="BO98" s="229">
        <f t="shared" si="166"/>
        <v>0</v>
      </c>
      <c r="BP98" s="229">
        <f t="shared" si="166"/>
        <v>0</v>
      </c>
      <c r="BQ98" s="229">
        <f t="shared" si="166"/>
        <v>0</v>
      </c>
      <c r="BR98" s="229">
        <f t="shared" si="166"/>
        <v>0</v>
      </c>
      <c r="BS98" s="229">
        <f t="shared" si="166"/>
        <v>0</v>
      </c>
      <c r="BT98" s="229">
        <f t="shared" si="166"/>
        <v>0</v>
      </c>
      <c r="BU98" s="229">
        <f t="shared" si="166"/>
        <v>0</v>
      </c>
      <c r="BV98" s="229">
        <f t="shared" si="166"/>
        <v>0</v>
      </c>
      <c r="BW98" s="229">
        <f t="shared" si="166"/>
        <v>0</v>
      </c>
      <c r="BX98" s="229">
        <f t="shared" si="166"/>
        <v>0</v>
      </c>
      <c r="BY98" s="229">
        <f t="shared" ref="BY98:DD98" si="167">IF(AvgLeaseTermBMR&lt;$A98,0,(BY$44-BS$44)*BS$86)</f>
        <v>0</v>
      </c>
      <c r="BZ98" s="229">
        <f t="shared" si="167"/>
        <v>0</v>
      </c>
      <c r="CA98" s="229">
        <f t="shared" si="167"/>
        <v>0</v>
      </c>
      <c r="CB98" s="229">
        <f t="shared" si="167"/>
        <v>0</v>
      </c>
      <c r="CC98" s="229">
        <f t="shared" si="167"/>
        <v>0</v>
      </c>
      <c r="CD98" s="229">
        <f t="shared" si="167"/>
        <v>0</v>
      </c>
      <c r="CE98" s="229">
        <f t="shared" si="167"/>
        <v>0</v>
      </c>
      <c r="CF98" s="229">
        <f t="shared" si="167"/>
        <v>0</v>
      </c>
      <c r="CG98" s="229">
        <f t="shared" si="167"/>
        <v>0</v>
      </c>
      <c r="CH98" s="229">
        <f t="shared" si="167"/>
        <v>0</v>
      </c>
      <c r="CI98" s="229">
        <f t="shared" si="167"/>
        <v>0</v>
      </c>
      <c r="CJ98" s="229">
        <f t="shared" si="167"/>
        <v>0</v>
      </c>
      <c r="CK98" s="229">
        <f t="shared" si="167"/>
        <v>0</v>
      </c>
      <c r="CL98" s="229">
        <f t="shared" si="167"/>
        <v>0</v>
      </c>
      <c r="CM98" s="229">
        <f t="shared" si="167"/>
        <v>0</v>
      </c>
      <c r="CN98" s="229">
        <f t="shared" si="167"/>
        <v>0</v>
      </c>
      <c r="CO98" s="229">
        <f t="shared" si="167"/>
        <v>0</v>
      </c>
      <c r="CP98" s="229">
        <f t="shared" si="167"/>
        <v>0</v>
      </c>
      <c r="CQ98" s="229">
        <f t="shared" si="167"/>
        <v>0</v>
      </c>
      <c r="CR98" s="229">
        <f t="shared" si="167"/>
        <v>0</v>
      </c>
      <c r="CS98" s="229">
        <f t="shared" si="167"/>
        <v>0</v>
      </c>
      <c r="CT98" s="229">
        <f t="shared" si="167"/>
        <v>0</v>
      </c>
      <c r="CU98" s="229">
        <f t="shared" si="167"/>
        <v>0</v>
      </c>
      <c r="CV98" s="229">
        <f t="shared" si="167"/>
        <v>0</v>
      </c>
      <c r="CW98" s="229">
        <f t="shared" si="167"/>
        <v>0</v>
      </c>
      <c r="CX98" s="229">
        <f t="shared" si="167"/>
        <v>0</v>
      </c>
      <c r="CY98" s="229">
        <f t="shared" si="167"/>
        <v>0</v>
      </c>
      <c r="CZ98" s="229">
        <f t="shared" si="167"/>
        <v>0</v>
      </c>
      <c r="DA98" s="229">
        <f t="shared" si="167"/>
        <v>0</v>
      </c>
      <c r="DB98" s="229">
        <f t="shared" si="167"/>
        <v>0</v>
      </c>
      <c r="DC98" s="229">
        <f t="shared" si="167"/>
        <v>0</v>
      </c>
      <c r="DD98" s="229">
        <f t="shared" si="167"/>
        <v>0</v>
      </c>
      <c r="DE98" s="229">
        <f t="shared" ref="DE98:EH98" si="168">IF(AvgLeaseTermBMR&lt;$A98,0,(DE$44-CY$44)*CY$86)</f>
        <v>0</v>
      </c>
      <c r="DF98" s="229">
        <f t="shared" si="168"/>
        <v>0</v>
      </c>
      <c r="DG98" s="229">
        <f t="shared" si="168"/>
        <v>0</v>
      </c>
      <c r="DH98" s="229">
        <f t="shared" si="168"/>
        <v>0</v>
      </c>
      <c r="DI98" s="229">
        <f t="shared" si="168"/>
        <v>0</v>
      </c>
      <c r="DJ98" s="229">
        <f t="shared" si="168"/>
        <v>0</v>
      </c>
      <c r="DK98" s="229">
        <f t="shared" si="168"/>
        <v>0</v>
      </c>
      <c r="DL98" s="229">
        <f t="shared" si="168"/>
        <v>0</v>
      </c>
      <c r="DM98" s="229">
        <f t="shared" si="168"/>
        <v>0</v>
      </c>
      <c r="DN98" s="229">
        <f t="shared" si="168"/>
        <v>0</v>
      </c>
      <c r="DO98" s="229">
        <f t="shared" si="168"/>
        <v>0</v>
      </c>
      <c r="DP98" s="229">
        <f t="shared" si="168"/>
        <v>0</v>
      </c>
      <c r="DQ98" s="229">
        <f t="shared" si="168"/>
        <v>0</v>
      </c>
      <c r="DR98" s="229">
        <f t="shared" si="168"/>
        <v>0</v>
      </c>
      <c r="DS98" s="229">
        <f t="shared" si="168"/>
        <v>0</v>
      </c>
      <c r="DT98" s="229">
        <f t="shared" si="168"/>
        <v>0</v>
      </c>
      <c r="DU98" s="229">
        <f t="shared" si="168"/>
        <v>0</v>
      </c>
      <c r="DV98" s="229">
        <f t="shared" si="168"/>
        <v>0</v>
      </c>
      <c r="DW98" s="229">
        <f t="shared" si="168"/>
        <v>0</v>
      </c>
      <c r="DX98" s="229">
        <f t="shared" si="168"/>
        <v>0</v>
      </c>
      <c r="DY98" s="229">
        <f t="shared" si="168"/>
        <v>0</v>
      </c>
      <c r="DZ98" s="229">
        <f t="shared" si="168"/>
        <v>0</v>
      </c>
      <c r="EA98" s="229">
        <f t="shared" si="168"/>
        <v>0</v>
      </c>
      <c r="EB98" s="229">
        <f t="shared" si="168"/>
        <v>0</v>
      </c>
      <c r="EC98" s="229">
        <f t="shared" si="168"/>
        <v>0</v>
      </c>
      <c r="ED98" s="229">
        <f t="shared" si="168"/>
        <v>0</v>
      </c>
      <c r="EE98" s="229">
        <f t="shared" si="168"/>
        <v>0</v>
      </c>
      <c r="EF98" s="229">
        <f t="shared" si="168"/>
        <v>0</v>
      </c>
      <c r="EG98" s="229">
        <f t="shared" si="168"/>
        <v>0</v>
      </c>
      <c r="EH98" s="229">
        <f t="shared" si="168"/>
        <v>0</v>
      </c>
      <c r="EK98" s="280"/>
    </row>
    <row r="99" spans="1:141" x14ac:dyDescent="0.3">
      <c r="A99">
        <v>7</v>
      </c>
      <c r="E99" s="200"/>
      <c r="F99" s="200"/>
      <c r="G99" s="229"/>
      <c r="H99" s="229"/>
      <c r="I99" s="229"/>
      <c r="J99" s="229"/>
      <c r="K99" s="229"/>
      <c r="L99" s="229"/>
      <c r="M99" s="229"/>
      <c r="N99" s="229">
        <f t="shared" ref="N99:AS99" si="169">IF(AvgLeaseTermBMR&lt;$A99,0,(N$44-G$44)*G$86)</f>
        <v>0</v>
      </c>
      <c r="O99" s="229">
        <f t="shared" si="169"/>
        <v>0</v>
      </c>
      <c r="P99" s="229">
        <f t="shared" si="169"/>
        <v>0</v>
      </c>
      <c r="Q99" s="229">
        <f t="shared" si="169"/>
        <v>0</v>
      </c>
      <c r="R99" s="229">
        <f t="shared" si="169"/>
        <v>0</v>
      </c>
      <c r="S99" s="229">
        <f t="shared" si="169"/>
        <v>0</v>
      </c>
      <c r="T99" s="229">
        <f t="shared" si="169"/>
        <v>0</v>
      </c>
      <c r="U99" s="229">
        <f t="shared" si="169"/>
        <v>0</v>
      </c>
      <c r="V99" s="229">
        <f t="shared" si="169"/>
        <v>0</v>
      </c>
      <c r="W99" s="229">
        <f t="shared" si="169"/>
        <v>0</v>
      </c>
      <c r="X99" s="229">
        <f t="shared" si="169"/>
        <v>0</v>
      </c>
      <c r="Y99" s="229">
        <f t="shared" si="169"/>
        <v>0</v>
      </c>
      <c r="Z99" s="229">
        <f t="shared" si="169"/>
        <v>0</v>
      </c>
      <c r="AA99" s="229">
        <f t="shared" si="169"/>
        <v>0</v>
      </c>
      <c r="AB99" s="229">
        <f t="shared" si="169"/>
        <v>0</v>
      </c>
      <c r="AC99" s="229">
        <f t="shared" si="169"/>
        <v>0</v>
      </c>
      <c r="AD99" s="229">
        <f t="shared" si="169"/>
        <v>0</v>
      </c>
      <c r="AE99" s="229">
        <f t="shared" si="169"/>
        <v>0</v>
      </c>
      <c r="AF99" s="229">
        <f t="shared" si="169"/>
        <v>0</v>
      </c>
      <c r="AG99" s="229">
        <f t="shared" si="169"/>
        <v>0</v>
      </c>
      <c r="AH99" s="229">
        <f t="shared" si="169"/>
        <v>0</v>
      </c>
      <c r="AI99" s="229">
        <f t="shared" si="169"/>
        <v>0</v>
      </c>
      <c r="AJ99" s="229">
        <f t="shared" si="169"/>
        <v>0</v>
      </c>
      <c r="AK99" s="229">
        <f t="shared" si="169"/>
        <v>0</v>
      </c>
      <c r="AL99" s="229">
        <f t="shared" si="169"/>
        <v>0</v>
      </c>
      <c r="AM99" s="229">
        <f t="shared" si="169"/>
        <v>0</v>
      </c>
      <c r="AN99" s="229">
        <f t="shared" si="169"/>
        <v>0</v>
      </c>
      <c r="AO99" s="229">
        <f t="shared" si="169"/>
        <v>0</v>
      </c>
      <c r="AP99" s="229">
        <f t="shared" si="169"/>
        <v>0</v>
      </c>
      <c r="AQ99" s="229">
        <f t="shared" si="169"/>
        <v>0</v>
      </c>
      <c r="AR99" s="229">
        <f t="shared" si="169"/>
        <v>0</v>
      </c>
      <c r="AS99" s="229">
        <f t="shared" si="169"/>
        <v>0</v>
      </c>
      <c r="AT99" s="229">
        <f t="shared" ref="AT99:BY99" si="170">IF(AvgLeaseTermBMR&lt;$A99,0,(AT$44-AM$44)*AM$86)</f>
        <v>0</v>
      </c>
      <c r="AU99" s="229">
        <f t="shared" si="170"/>
        <v>0</v>
      </c>
      <c r="AV99" s="229">
        <f t="shared" si="170"/>
        <v>0</v>
      </c>
      <c r="AW99" s="229">
        <f t="shared" si="170"/>
        <v>0</v>
      </c>
      <c r="AX99" s="229">
        <f t="shared" si="170"/>
        <v>0</v>
      </c>
      <c r="AY99" s="229">
        <f t="shared" si="170"/>
        <v>0</v>
      </c>
      <c r="AZ99" s="229">
        <f t="shared" si="170"/>
        <v>0</v>
      </c>
      <c r="BA99" s="229">
        <f t="shared" si="170"/>
        <v>0</v>
      </c>
      <c r="BB99" s="229">
        <f t="shared" si="170"/>
        <v>0</v>
      </c>
      <c r="BC99" s="229">
        <f t="shared" si="170"/>
        <v>0</v>
      </c>
      <c r="BD99" s="229">
        <f t="shared" si="170"/>
        <v>0</v>
      </c>
      <c r="BE99" s="229">
        <f t="shared" si="170"/>
        <v>0</v>
      </c>
      <c r="BF99" s="229">
        <f t="shared" si="170"/>
        <v>0</v>
      </c>
      <c r="BG99" s="229">
        <f t="shared" si="170"/>
        <v>0</v>
      </c>
      <c r="BH99" s="229">
        <f t="shared" si="170"/>
        <v>0</v>
      </c>
      <c r="BI99" s="229">
        <f t="shared" si="170"/>
        <v>0</v>
      </c>
      <c r="BJ99" s="229">
        <f t="shared" si="170"/>
        <v>0</v>
      </c>
      <c r="BK99" s="229">
        <f t="shared" si="170"/>
        <v>0</v>
      </c>
      <c r="BL99" s="229">
        <f t="shared" si="170"/>
        <v>0</v>
      </c>
      <c r="BM99" s="229">
        <f t="shared" si="170"/>
        <v>0</v>
      </c>
      <c r="BN99" s="229">
        <f t="shared" si="170"/>
        <v>0</v>
      </c>
      <c r="BO99" s="229">
        <f t="shared" si="170"/>
        <v>0</v>
      </c>
      <c r="BP99" s="229">
        <f t="shared" si="170"/>
        <v>0</v>
      </c>
      <c r="BQ99" s="229">
        <f t="shared" si="170"/>
        <v>0</v>
      </c>
      <c r="BR99" s="229">
        <f t="shared" si="170"/>
        <v>0</v>
      </c>
      <c r="BS99" s="229">
        <f t="shared" si="170"/>
        <v>0</v>
      </c>
      <c r="BT99" s="229">
        <f t="shared" si="170"/>
        <v>0</v>
      </c>
      <c r="BU99" s="229">
        <f t="shared" si="170"/>
        <v>0</v>
      </c>
      <c r="BV99" s="229">
        <f t="shared" si="170"/>
        <v>0</v>
      </c>
      <c r="BW99" s="229">
        <f t="shared" si="170"/>
        <v>0</v>
      </c>
      <c r="BX99" s="229">
        <f t="shared" si="170"/>
        <v>0</v>
      </c>
      <c r="BY99" s="229">
        <f t="shared" si="170"/>
        <v>0</v>
      </c>
      <c r="BZ99" s="229">
        <f t="shared" ref="BZ99:DE99" si="171">IF(AvgLeaseTermBMR&lt;$A99,0,(BZ$44-BS$44)*BS$86)</f>
        <v>0</v>
      </c>
      <c r="CA99" s="229">
        <f t="shared" si="171"/>
        <v>0</v>
      </c>
      <c r="CB99" s="229">
        <f t="shared" si="171"/>
        <v>0</v>
      </c>
      <c r="CC99" s="229">
        <f t="shared" si="171"/>
        <v>0</v>
      </c>
      <c r="CD99" s="229">
        <f t="shared" si="171"/>
        <v>0</v>
      </c>
      <c r="CE99" s="229">
        <f t="shared" si="171"/>
        <v>0</v>
      </c>
      <c r="CF99" s="229">
        <f t="shared" si="171"/>
        <v>0</v>
      </c>
      <c r="CG99" s="229">
        <f t="shared" si="171"/>
        <v>0</v>
      </c>
      <c r="CH99" s="229">
        <f t="shared" si="171"/>
        <v>0</v>
      </c>
      <c r="CI99" s="229">
        <f t="shared" si="171"/>
        <v>0</v>
      </c>
      <c r="CJ99" s="229">
        <f t="shared" si="171"/>
        <v>0</v>
      </c>
      <c r="CK99" s="229">
        <f t="shared" si="171"/>
        <v>0</v>
      </c>
      <c r="CL99" s="229">
        <f t="shared" si="171"/>
        <v>0</v>
      </c>
      <c r="CM99" s="229">
        <f t="shared" si="171"/>
        <v>0</v>
      </c>
      <c r="CN99" s="229">
        <f t="shared" si="171"/>
        <v>0</v>
      </c>
      <c r="CO99" s="229">
        <f t="shared" si="171"/>
        <v>0</v>
      </c>
      <c r="CP99" s="229">
        <f t="shared" si="171"/>
        <v>0</v>
      </c>
      <c r="CQ99" s="229">
        <f t="shared" si="171"/>
        <v>0</v>
      </c>
      <c r="CR99" s="229">
        <f t="shared" si="171"/>
        <v>0</v>
      </c>
      <c r="CS99" s="229">
        <f t="shared" si="171"/>
        <v>0</v>
      </c>
      <c r="CT99" s="229">
        <f t="shared" si="171"/>
        <v>0</v>
      </c>
      <c r="CU99" s="229">
        <f t="shared" si="171"/>
        <v>0</v>
      </c>
      <c r="CV99" s="229">
        <f t="shared" si="171"/>
        <v>0</v>
      </c>
      <c r="CW99" s="229">
        <f t="shared" si="171"/>
        <v>0</v>
      </c>
      <c r="CX99" s="229">
        <f t="shared" si="171"/>
        <v>0</v>
      </c>
      <c r="CY99" s="229">
        <f t="shared" si="171"/>
        <v>0</v>
      </c>
      <c r="CZ99" s="229">
        <f t="shared" si="171"/>
        <v>0</v>
      </c>
      <c r="DA99" s="229">
        <f t="shared" si="171"/>
        <v>0</v>
      </c>
      <c r="DB99" s="229">
        <f t="shared" si="171"/>
        <v>0</v>
      </c>
      <c r="DC99" s="229">
        <f t="shared" si="171"/>
        <v>0</v>
      </c>
      <c r="DD99" s="229">
        <f t="shared" si="171"/>
        <v>0</v>
      </c>
      <c r="DE99" s="229">
        <f t="shared" si="171"/>
        <v>0</v>
      </c>
      <c r="DF99" s="229">
        <f t="shared" ref="DF99:EH99" si="172">IF(AvgLeaseTermBMR&lt;$A99,0,(DF$44-CY$44)*CY$86)</f>
        <v>0</v>
      </c>
      <c r="DG99" s="229">
        <f t="shared" si="172"/>
        <v>0</v>
      </c>
      <c r="DH99" s="229">
        <f t="shared" si="172"/>
        <v>0</v>
      </c>
      <c r="DI99" s="229">
        <f t="shared" si="172"/>
        <v>0</v>
      </c>
      <c r="DJ99" s="229">
        <f t="shared" si="172"/>
        <v>0</v>
      </c>
      <c r="DK99" s="229">
        <f t="shared" si="172"/>
        <v>0</v>
      </c>
      <c r="DL99" s="229">
        <f t="shared" si="172"/>
        <v>0</v>
      </c>
      <c r="DM99" s="229">
        <f t="shared" si="172"/>
        <v>0</v>
      </c>
      <c r="DN99" s="229">
        <f t="shared" si="172"/>
        <v>0</v>
      </c>
      <c r="DO99" s="229">
        <f t="shared" si="172"/>
        <v>0</v>
      </c>
      <c r="DP99" s="229">
        <f t="shared" si="172"/>
        <v>0</v>
      </c>
      <c r="DQ99" s="229">
        <f t="shared" si="172"/>
        <v>0</v>
      </c>
      <c r="DR99" s="229">
        <f t="shared" si="172"/>
        <v>0</v>
      </c>
      <c r="DS99" s="229">
        <f t="shared" si="172"/>
        <v>0</v>
      </c>
      <c r="DT99" s="229">
        <f t="shared" si="172"/>
        <v>0</v>
      </c>
      <c r="DU99" s="229">
        <f t="shared" si="172"/>
        <v>0</v>
      </c>
      <c r="DV99" s="229">
        <f t="shared" si="172"/>
        <v>0</v>
      </c>
      <c r="DW99" s="229">
        <f t="shared" si="172"/>
        <v>0</v>
      </c>
      <c r="DX99" s="229">
        <f t="shared" si="172"/>
        <v>0</v>
      </c>
      <c r="DY99" s="229">
        <f t="shared" si="172"/>
        <v>0</v>
      </c>
      <c r="DZ99" s="229">
        <f t="shared" si="172"/>
        <v>0</v>
      </c>
      <c r="EA99" s="229">
        <f t="shared" si="172"/>
        <v>0</v>
      </c>
      <c r="EB99" s="229">
        <f t="shared" si="172"/>
        <v>0</v>
      </c>
      <c r="EC99" s="229">
        <f t="shared" si="172"/>
        <v>0</v>
      </c>
      <c r="ED99" s="229">
        <f t="shared" si="172"/>
        <v>0</v>
      </c>
      <c r="EE99" s="229">
        <f t="shared" si="172"/>
        <v>0</v>
      </c>
      <c r="EF99" s="229">
        <f t="shared" si="172"/>
        <v>0</v>
      </c>
      <c r="EG99" s="229">
        <f t="shared" si="172"/>
        <v>0</v>
      </c>
      <c r="EH99" s="229">
        <f t="shared" si="172"/>
        <v>0</v>
      </c>
      <c r="EK99" s="672"/>
    </row>
    <row r="100" spans="1:141" x14ac:dyDescent="0.3">
      <c r="A100">
        <v>8</v>
      </c>
      <c r="E100" s="200"/>
      <c r="F100" s="200"/>
      <c r="G100" s="229"/>
      <c r="H100" s="229"/>
      <c r="I100" s="229"/>
      <c r="J100" s="229"/>
      <c r="K100" s="229"/>
      <c r="L100" s="229"/>
      <c r="M100" s="229"/>
      <c r="N100" s="229"/>
      <c r="O100" s="229">
        <f t="shared" ref="O100:AT100" si="173">IF(AvgLeaseTermBMR&lt;$A100,0,(O$44-G$44)*G$86)</f>
        <v>0</v>
      </c>
      <c r="P100" s="229">
        <f t="shared" si="173"/>
        <v>0</v>
      </c>
      <c r="Q100" s="229">
        <f t="shared" si="173"/>
        <v>0</v>
      </c>
      <c r="R100" s="229">
        <f t="shared" si="173"/>
        <v>0</v>
      </c>
      <c r="S100" s="229">
        <f t="shared" si="173"/>
        <v>0</v>
      </c>
      <c r="T100" s="229">
        <f t="shared" si="173"/>
        <v>0</v>
      </c>
      <c r="U100" s="229">
        <f t="shared" si="173"/>
        <v>0</v>
      </c>
      <c r="V100" s="229">
        <f t="shared" si="173"/>
        <v>0</v>
      </c>
      <c r="W100" s="229">
        <f t="shared" si="173"/>
        <v>0</v>
      </c>
      <c r="X100" s="229">
        <f t="shared" si="173"/>
        <v>0</v>
      </c>
      <c r="Y100" s="229">
        <f t="shared" si="173"/>
        <v>0</v>
      </c>
      <c r="Z100" s="229">
        <f t="shared" si="173"/>
        <v>0</v>
      </c>
      <c r="AA100" s="229">
        <f t="shared" si="173"/>
        <v>0</v>
      </c>
      <c r="AB100" s="229">
        <f t="shared" si="173"/>
        <v>0</v>
      </c>
      <c r="AC100" s="229">
        <f t="shared" si="173"/>
        <v>0</v>
      </c>
      <c r="AD100" s="229">
        <f t="shared" si="173"/>
        <v>0</v>
      </c>
      <c r="AE100" s="229">
        <f t="shared" si="173"/>
        <v>0</v>
      </c>
      <c r="AF100" s="229">
        <f t="shared" si="173"/>
        <v>0</v>
      </c>
      <c r="AG100" s="229">
        <f t="shared" si="173"/>
        <v>0</v>
      </c>
      <c r="AH100" s="229">
        <f t="shared" si="173"/>
        <v>0</v>
      </c>
      <c r="AI100" s="229">
        <f t="shared" si="173"/>
        <v>0</v>
      </c>
      <c r="AJ100" s="229">
        <f t="shared" si="173"/>
        <v>0</v>
      </c>
      <c r="AK100" s="229">
        <f t="shared" si="173"/>
        <v>0</v>
      </c>
      <c r="AL100" s="229">
        <f t="shared" si="173"/>
        <v>0</v>
      </c>
      <c r="AM100" s="229">
        <f t="shared" si="173"/>
        <v>0</v>
      </c>
      <c r="AN100" s="229">
        <f t="shared" si="173"/>
        <v>0</v>
      </c>
      <c r="AO100" s="229">
        <f t="shared" si="173"/>
        <v>0</v>
      </c>
      <c r="AP100" s="229">
        <f t="shared" si="173"/>
        <v>0</v>
      </c>
      <c r="AQ100" s="229">
        <f t="shared" si="173"/>
        <v>0</v>
      </c>
      <c r="AR100" s="229">
        <f t="shared" si="173"/>
        <v>0</v>
      </c>
      <c r="AS100" s="229">
        <f t="shared" si="173"/>
        <v>0</v>
      </c>
      <c r="AT100" s="229">
        <f t="shared" si="173"/>
        <v>0</v>
      </c>
      <c r="AU100" s="229">
        <f t="shared" ref="AU100:BZ100" si="174">IF(AvgLeaseTermBMR&lt;$A100,0,(AU$44-AM$44)*AM$86)</f>
        <v>0</v>
      </c>
      <c r="AV100" s="229">
        <f t="shared" si="174"/>
        <v>0</v>
      </c>
      <c r="AW100" s="229">
        <f t="shared" si="174"/>
        <v>0</v>
      </c>
      <c r="AX100" s="229">
        <f t="shared" si="174"/>
        <v>0</v>
      </c>
      <c r="AY100" s="229">
        <f t="shared" si="174"/>
        <v>0</v>
      </c>
      <c r="AZ100" s="229">
        <f t="shared" si="174"/>
        <v>0</v>
      </c>
      <c r="BA100" s="229">
        <f t="shared" si="174"/>
        <v>0</v>
      </c>
      <c r="BB100" s="229">
        <f t="shared" si="174"/>
        <v>0</v>
      </c>
      <c r="BC100" s="229">
        <f t="shared" si="174"/>
        <v>0</v>
      </c>
      <c r="BD100" s="229">
        <f t="shared" si="174"/>
        <v>0</v>
      </c>
      <c r="BE100" s="229">
        <f t="shared" si="174"/>
        <v>0</v>
      </c>
      <c r="BF100" s="229">
        <f t="shared" si="174"/>
        <v>0</v>
      </c>
      <c r="BG100" s="229">
        <f t="shared" si="174"/>
        <v>0</v>
      </c>
      <c r="BH100" s="229">
        <f t="shared" si="174"/>
        <v>0</v>
      </c>
      <c r="BI100" s="229">
        <f t="shared" si="174"/>
        <v>0</v>
      </c>
      <c r="BJ100" s="229">
        <f t="shared" si="174"/>
        <v>0</v>
      </c>
      <c r="BK100" s="229">
        <f t="shared" si="174"/>
        <v>0</v>
      </c>
      <c r="BL100" s="229">
        <f t="shared" si="174"/>
        <v>0</v>
      </c>
      <c r="BM100" s="229">
        <f t="shared" si="174"/>
        <v>0</v>
      </c>
      <c r="BN100" s="229">
        <f t="shared" si="174"/>
        <v>0</v>
      </c>
      <c r="BO100" s="229">
        <f t="shared" si="174"/>
        <v>0</v>
      </c>
      <c r="BP100" s="229">
        <f t="shared" si="174"/>
        <v>0</v>
      </c>
      <c r="BQ100" s="229">
        <f t="shared" si="174"/>
        <v>0</v>
      </c>
      <c r="BR100" s="229">
        <f t="shared" si="174"/>
        <v>0</v>
      </c>
      <c r="BS100" s="229">
        <f t="shared" si="174"/>
        <v>0</v>
      </c>
      <c r="BT100" s="229">
        <f t="shared" si="174"/>
        <v>0</v>
      </c>
      <c r="BU100" s="229">
        <f t="shared" si="174"/>
        <v>0</v>
      </c>
      <c r="BV100" s="229">
        <f t="shared" si="174"/>
        <v>0</v>
      </c>
      <c r="BW100" s="229">
        <f t="shared" si="174"/>
        <v>0</v>
      </c>
      <c r="BX100" s="229">
        <f t="shared" si="174"/>
        <v>0</v>
      </c>
      <c r="BY100" s="229">
        <f t="shared" si="174"/>
        <v>0</v>
      </c>
      <c r="BZ100" s="229">
        <f t="shared" si="174"/>
        <v>0</v>
      </c>
      <c r="CA100" s="229">
        <f t="shared" ref="CA100:DF100" si="175">IF(AvgLeaseTermBMR&lt;$A100,0,(CA$44-BS$44)*BS$86)</f>
        <v>0</v>
      </c>
      <c r="CB100" s="229">
        <f t="shared" si="175"/>
        <v>0</v>
      </c>
      <c r="CC100" s="229">
        <f t="shared" si="175"/>
        <v>0</v>
      </c>
      <c r="CD100" s="229">
        <f t="shared" si="175"/>
        <v>0</v>
      </c>
      <c r="CE100" s="229">
        <f t="shared" si="175"/>
        <v>0</v>
      </c>
      <c r="CF100" s="229">
        <f t="shared" si="175"/>
        <v>0</v>
      </c>
      <c r="CG100" s="229">
        <f t="shared" si="175"/>
        <v>0</v>
      </c>
      <c r="CH100" s="229">
        <f t="shared" si="175"/>
        <v>0</v>
      </c>
      <c r="CI100" s="229">
        <f t="shared" si="175"/>
        <v>0</v>
      </c>
      <c r="CJ100" s="229">
        <f t="shared" si="175"/>
        <v>0</v>
      </c>
      <c r="CK100" s="229">
        <f t="shared" si="175"/>
        <v>0</v>
      </c>
      <c r="CL100" s="229">
        <f t="shared" si="175"/>
        <v>0</v>
      </c>
      <c r="CM100" s="229">
        <f t="shared" si="175"/>
        <v>0</v>
      </c>
      <c r="CN100" s="229">
        <f t="shared" si="175"/>
        <v>0</v>
      </c>
      <c r="CO100" s="229">
        <f t="shared" si="175"/>
        <v>0</v>
      </c>
      <c r="CP100" s="229">
        <f t="shared" si="175"/>
        <v>0</v>
      </c>
      <c r="CQ100" s="229">
        <f t="shared" si="175"/>
        <v>0</v>
      </c>
      <c r="CR100" s="229">
        <f t="shared" si="175"/>
        <v>0</v>
      </c>
      <c r="CS100" s="229">
        <f t="shared" si="175"/>
        <v>0</v>
      </c>
      <c r="CT100" s="229">
        <f t="shared" si="175"/>
        <v>0</v>
      </c>
      <c r="CU100" s="229">
        <f t="shared" si="175"/>
        <v>0</v>
      </c>
      <c r="CV100" s="229">
        <f t="shared" si="175"/>
        <v>0</v>
      </c>
      <c r="CW100" s="229">
        <f t="shared" si="175"/>
        <v>0</v>
      </c>
      <c r="CX100" s="229">
        <f t="shared" si="175"/>
        <v>0</v>
      </c>
      <c r="CY100" s="229">
        <f t="shared" si="175"/>
        <v>0</v>
      </c>
      <c r="CZ100" s="229">
        <f t="shared" si="175"/>
        <v>0</v>
      </c>
      <c r="DA100" s="229">
        <f t="shared" si="175"/>
        <v>0</v>
      </c>
      <c r="DB100" s="229">
        <f t="shared" si="175"/>
        <v>0</v>
      </c>
      <c r="DC100" s="229">
        <f t="shared" si="175"/>
        <v>0</v>
      </c>
      <c r="DD100" s="229">
        <f t="shared" si="175"/>
        <v>0</v>
      </c>
      <c r="DE100" s="229">
        <f t="shared" si="175"/>
        <v>0</v>
      </c>
      <c r="DF100" s="229">
        <f t="shared" si="175"/>
        <v>0</v>
      </c>
      <c r="DG100" s="229">
        <f t="shared" ref="DG100:EH100" si="176">IF(AvgLeaseTermBMR&lt;$A100,0,(DG$44-CY$44)*CY$86)</f>
        <v>0</v>
      </c>
      <c r="DH100" s="229">
        <f t="shared" si="176"/>
        <v>0</v>
      </c>
      <c r="DI100" s="229">
        <f t="shared" si="176"/>
        <v>0</v>
      </c>
      <c r="DJ100" s="229">
        <f t="shared" si="176"/>
        <v>0</v>
      </c>
      <c r="DK100" s="229">
        <f t="shared" si="176"/>
        <v>0</v>
      </c>
      <c r="DL100" s="229">
        <f t="shared" si="176"/>
        <v>0</v>
      </c>
      <c r="DM100" s="229">
        <f t="shared" si="176"/>
        <v>0</v>
      </c>
      <c r="DN100" s="229">
        <f t="shared" si="176"/>
        <v>0</v>
      </c>
      <c r="DO100" s="229">
        <f t="shared" si="176"/>
        <v>0</v>
      </c>
      <c r="DP100" s="229">
        <f t="shared" si="176"/>
        <v>0</v>
      </c>
      <c r="DQ100" s="229">
        <f t="shared" si="176"/>
        <v>0</v>
      </c>
      <c r="DR100" s="229">
        <f t="shared" si="176"/>
        <v>0</v>
      </c>
      <c r="DS100" s="229">
        <f t="shared" si="176"/>
        <v>0</v>
      </c>
      <c r="DT100" s="229">
        <f t="shared" si="176"/>
        <v>0</v>
      </c>
      <c r="DU100" s="229">
        <f t="shared" si="176"/>
        <v>0</v>
      </c>
      <c r="DV100" s="229">
        <f t="shared" si="176"/>
        <v>0</v>
      </c>
      <c r="DW100" s="229">
        <f t="shared" si="176"/>
        <v>0</v>
      </c>
      <c r="DX100" s="229">
        <f t="shared" si="176"/>
        <v>0</v>
      </c>
      <c r="DY100" s="229">
        <f t="shared" si="176"/>
        <v>0</v>
      </c>
      <c r="DZ100" s="229">
        <f t="shared" si="176"/>
        <v>0</v>
      </c>
      <c r="EA100" s="229">
        <f t="shared" si="176"/>
        <v>0</v>
      </c>
      <c r="EB100" s="229">
        <f t="shared" si="176"/>
        <v>0</v>
      </c>
      <c r="EC100" s="229">
        <f t="shared" si="176"/>
        <v>0</v>
      </c>
      <c r="ED100" s="229">
        <f t="shared" si="176"/>
        <v>0</v>
      </c>
      <c r="EE100" s="229">
        <f t="shared" si="176"/>
        <v>0</v>
      </c>
      <c r="EF100" s="229">
        <f t="shared" si="176"/>
        <v>0</v>
      </c>
      <c r="EG100" s="229">
        <f t="shared" si="176"/>
        <v>0</v>
      </c>
      <c r="EH100" s="229">
        <f t="shared" si="176"/>
        <v>0</v>
      </c>
      <c r="EK100" s="280"/>
    </row>
    <row r="101" spans="1:141" x14ac:dyDescent="0.3">
      <c r="A101">
        <v>9</v>
      </c>
      <c r="E101" s="200"/>
      <c r="F101" s="200"/>
      <c r="G101" s="229"/>
      <c r="H101" s="229"/>
      <c r="I101" s="229"/>
      <c r="J101" s="229"/>
      <c r="K101" s="229"/>
      <c r="L101" s="229"/>
      <c r="M101" s="229"/>
      <c r="N101" s="229"/>
      <c r="O101" s="229"/>
      <c r="P101" s="229">
        <f t="shared" ref="P101:AU101" si="177">IF(AvgLeaseTermBMR&lt;$A101,0,(P$44-G$44)*G$86)</f>
        <v>0</v>
      </c>
      <c r="Q101" s="229">
        <f t="shared" si="177"/>
        <v>0</v>
      </c>
      <c r="R101" s="229">
        <f t="shared" si="177"/>
        <v>0</v>
      </c>
      <c r="S101" s="229">
        <f t="shared" si="177"/>
        <v>0</v>
      </c>
      <c r="T101" s="229">
        <f t="shared" si="177"/>
        <v>0</v>
      </c>
      <c r="U101" s="229">
        <f t="shared" si="177"/>
        <v>0</v>
      </c>
      <c r="V101" s="229">
        <f t="shared" si="177"/>
        <v>0</v>
      </c>
      <c r="W101" s="229">
        <f t="shared" si="177"/>
        <v>0</v>
      </c>
      <c r="X101" s="229">
        <f t="shared" si="177"/>
        <v>0</v>
      </c>
      <c r="Y101" s="229">
        <f t="shared" si="177"/>
        <v>0</v>
      </c>
      <c r="Z101" s="229">
        <f t="shared" si="177"/>
        <v>0</v>
      </c>
      <c r="AA101" s="229">
        <f t="shared" si="177"/>
        <v>0</v>
      </c>
      <c r="AB101" s="229">
        <f t="shared" si="177"/>
        <v>0</v>
      </c>
      <c r="AC101" s="229">
        <f t="shared" si="177"/>
        <v>0</v>
      </c>
      <c r="AD101" s="229">
        <f t="shared" si="177"/>
        <v>0</v>
      </c>
      <c r="AE101" s="229">
        <f t="shared" si="177"/>
        <v>0</v>
      </c>
      <c r="AF101" s="229">
        <f t="shared" si="177"/>
        <v>0</v>
      </c>
      <c r="AG101" s="229">
        <f t="shared" si="177"/>
        <v>0</v>
      </c>
      <c r="AH101" s="229">
        <f t="shared" si="177"/>
        <v>0</v>
      </c>
      <c r="AI101" s="229">
        <f t="shared" si="177"/>
        <v>0</v>
      </c>
      <c r="AJ101" s="229">
        <f t="shared" si="177"/>
        <v>0</v>
      </c>
      <c r="AK101" s="229">
        <f t="shared" si="177"/>
        <v>0</v>
      </c>
      <c r="AL101" s="229">
        <f t="shared" si="177"/>
        <v>0</v>
      </c>
      <c r="AM101" s="229">
        <f t="shared" si="177"/>
        <v>0</v>
      </c>
      <c r="AN101" s="229">
        <f t="shared" si="177"/>
        <v>0</v>
      </c>
      <c r="AO101" s="229">
        <f t="shared" si="177"/>
        <v>0</v>
      </c>
      <c r="AP101" s="229">
        <f t="shared" si="177"/>
        <v>0</v>
      </c>
      <c r="AQ101" s="229">
        <f t="shared" si="177"/>
        <v>0</v>
      </c>
      <c r="AR101" s="229">
        <f t="shared" si="177"/>
        <v>0</v>
      </c>
      <c r="AS101" s="229">
        <f t="shared" si="177"/>
        <v>0</v>
      </c>
      <c r="AT101" s="229">
        <f t="shared" si="177"/>
        <v>0</v>
      </c>
      <c r="AU101" s="229">
        <f t="shared" si="177"/>
        <v>0</v>
      </c>
      <c r="AV101" s="229">
        <f t="shared" ref="AV101:CA101" si="178">IF(AvgLeaseTermBMR&lt;$A101,0,(AV$44-AM$44)*AM$86)</f>
        <v>0</v>
      </c>
      <c r="AW101" s="229">
        <f t="shared" si="178"/>
        <v>0</v>
      </c>
      <c r="AX101" s="229">
        <f t="shared" si="178"/>
        <v>0</v>
      </c>
      <c r="AY101" s="229">
        <f t="shared" si="178"/>
        <v>0</v>
      </c>
      <c r="AZ101" s="229">
        <f t="shared" si="178"/>
        <v>0</v>
      </c>
      <c r="BA101" s="229">
        <f t="shared" si="178"/>
        <v>0</v>
      </c>
      <c r="BB101" s="229">
        <f t="shared" si="178"/>
        <v>0</v>
      </c>
      <c r="BC101" s="229">
        <f t="shared" si="178"/>
        <v>0</v>
      </c>
      <c r="BD101" s="229">
        <f t="shared" si="178"/>
        <v>0</v>
      </c>
      <c r="BE101" s="229">
        <f t="shared" si="178"/>
        <v>0</v>
      </c>
      <c r="BF101" s="229">
        <f t="shared" si="178"/>
        <v>0</v>
      </c>
      <c r="BG101" s="229">
        <f t="shared" si="178"/>
        <v>0</v>
      </c>
      <c r="BH101" s="229">
        <f t="shared" si="178"/>
        <v>0</v>
      </c>
      <c r="BI101" s="229">
        <f t="shared" si="178"/>
        <v>0</v>
      </c>
      <c r="BJ101" s="229">
        <f t="shared" si="178"/>
        <v>0</v>
      </c>
      <c r="BK101" s="229">
        <f t="shared" si="178"/>
        <v>0</v>
      </c>
      <c r="BL101" s="229">
        <f t="shared" si="178"/>
        <v>0</v>
      </c>
      <c r="BM101" s="229">
        <f t="shared" si="178"/>
        <v>0</v>
      </c>
      <c r="BN101" s="229">
        <f t="shared" si="178"/>
        <v>0</v>
      </c>
      <c r="BO101" s="229">
        <f t="shared" si="178"/>
        <v>0</v>
      </c>
      <c r="BP101" s="229">
        <f t="shared" si="178"/>
        <v>0</v>
      </c>
      <c r="BQ101" s="229">
        <f t="shared" si="178"/>
        <v>0</v>
      </c>
      <c r="BR101" s="229">
        <f t="shared" si="178"/>
        <v>0</v>
      </c>
      <c r="BS101" s="229">
        <f t="shared" si="178"/>
        <v>0</v>
      </c>
      <c r="BT101" s="229">
        <f t="shared" si="178"/>
        <v>0</v>
      </c>
      <c r="BU101" s="229">
        <f t="shared" si="178"/>
        <v>0</v>
      </c>
      <c r="BV101" s="229">
        <f t="shared" si="178"/>
        <v>0</v>
      </c>
      <c r="BW101" s="229">
        <f t="shared" si="178"/>
        <v>0</v>
      </c>
      <c r="BX101" s="229">
        <f t="shared" si="178"/>
        <v>0</v>
      </c>
      <c r="BY101" s="229">
        <f t="shared" si="178"/>
        <v>0</v>
      </c>
      <c r="BZ101" s="229">
        <f t="shared" si="178"/>
        <v>0</v>
      </c>
      <c r="CA101" s="229">
        <f t="shared" si="178"/>
        <v>0</v>
      </c>
      <c r="CB101" s="229">
        <f t="shared" ref="CB101:DG101" si="179">IF(AvgLeaseTermBMR&lt;$A101,0,(CB$44-BS$44)*BS$86)</f>
        <v>0</v>
      </c>
      <c r="CC101" s="229">
        <f t="shared" si="179"/>
        <v>0</v>
      </c>
      <c r="CD101" s="229">
        <f t="shared" si="179"/>
        <v>0</v>
      </c>
      <c r="CE101" s="229">
        <f t="shared" si="179"/>
        <v>0</v>
      </c>
      <c r="CF101" s="229">
        <f t="shared" si="179"/>
        <v>0</v>
      </c>
      <c r="CG101" s="229">
        <f t="shared" si="179"/>
        <v>0</v>
      </c>
      <c r="CH101" s="229">
        <f t="shared" si="179"/>
        <v>0</v>
      </c>
      <c r="CI101" s="229">
        <f t="shared" si="179"/>
        <v>0</v>
      </c>
      <c r="CJ101" s="229">
        <f t="shared" si="179"/>
        <v>0</v>
      </c>
      <c r="CK101" s="229">
        <f t="shared" si="179"/>
        <v>0</v>
      </c>
      <c r="CL101" s="229">
        <f t="shared" si="179"/>
        <v>0</v>
      </c>
      <c r="CM101" s="229">
        <f t="shared" si="179"/>
        <v>0</v>
      </c>
      <c r="CN101" s="229">
        <f t="shared" si="179"/>
        <v>0</v>
      </c>
      <c r="CO101" s="229">
        <f t="shared" si="179"/>
        <v>0</v>
      </c>
      <c r="CP101" s="229">
        <f t="shared" si="179"/>
        <v>0</v>
      </c>
      <c r="CQ101" s="229">
        <f t="shared" si="179"/>
        <v>0</v>
      </c>
      <c r="CR101" s="229">
        <f t="shared" si="179"/>
        <v>0</v>
      </c>
      <c r="CS101" s="229">
        <f t="shared" si="179"/>
        <v>0</v>
      </c>
      <c r="CT101" s="229">
        <f t="shared" si="179"/>
        <v>0</v>
      </c>
      <c r="CU101" s="229">
        <f t="shared" si="179"/>
        <v>0</v>
      </c>
      <c r="CV101" s="229">
        <f t="shared" si="179"/>
        <v>0</v>
      </c>
      <c r="CW101" s="229">
        <f t="shared" si="179"/>
        <v>0</v>
      </c>
      <c r="CX101" s="229">
        <f t="shared" si="179"/>
        <v>0</v>
      </c>
      <c r="CY101" s="229">
        <f t="shared" si="179"/>
        <v>0</v>
      </c>
      <c r="CZ101" s="229">
        <f t="shared" si="179"/>
        <v>0</v>
      </c>
      <c r="DA101" s="229">
        <f t="shared" si="179"/>
        <v>0</v>
      </c>
      <c r="DB101" s="229">
        <f t="shared" si="179"/>
        <v>0</v>
      </c>
      <c r="DC101" s="229">
        <f t="shared" si="179"/>
        <v>0</v>
      </c>
      <c r="DD101" s="229">
        <f t="shared" si="179"/>
        <v>0</v>
      </c>
      <c r="DE101" s="229">
        <f t="shared" si="179"/>
        <v>0</v>
      </c>
      <c r="DF101" s="229">
        <f t="shared" si="179"/>
        <v>0</v>
      </c>
      <c r="DG101" s="229">
        <f t="shared" si="179"/>
        <v>0</v>
      </c>
      <c r="DH101" s="229">
        <f t="shared" ref="DH101:EH101" si="180">IF(AvgLeaseTermBMR&lt;$A101,0,(DH$44-CY$44)*CY$86)</f>
        <v>0</v>
      </c>
      <c r="DI101" s="229">
        <f t="shared" si="180"/>
        <v>0</v>
      </c>
      <c r="DJ101" s="229">
        <f t="shared" si="180"/>
        <v>0</v>
      </c>
      <c r="DK101" s="229">
        <f t="shared" si="180"/>
        <v>0</v>
      </c>
      <c r="DL101" s="229">
        <f t="shared" si="180"/>
        <v>0</v>
      </c>
      <c r="DM101" s="229">
        <f t="shared" si="180"/>
        <v>0</v>
      </c>
      <c r="DN101" s="229">
        <f t="shared" si="180"/>
        <v>0</v>
      </c>
      <c r="DO101" s="229">
        <f t="shared" si="180"/>
        <v>0</v>
      </c>
      <c r="DP101" s="229">
        <f t="shared" si="180"/>
        <v>0</v>
      </c>
      <c r="DQ101" s="229">
        <f t="shared" si="180"/>
        <v>0</v>
      </c>
      <c r="DR101" s="229">
        <f t="shared" si="180"/>
        <v>0</v>
      </c>
      <c r="DS101" s="229">
        <f t="shared" si="180"/>
        <v>0</v>
      </c>
      <c r="DT101" s="229">
        <f t="shared" si="180"/>
        <v>0</v>
      </c>
      <c r="DU101" s="229">
        <f t="shared" si="180"/>
        <v>0</v>
      </c>
      <c r="DV101" s="229">
        <f t="shared" si="180"/>
        <v>0</v>
      </c>
      <c r="DW101" s="229">
        <f t="shared" si="180"/>
        <v>0</v>
      </c>
      <c r="DX101" s="229">
        <f t="shared" si="180"/>
        <v>0</v>
      </c>
      <c r="DY101" s="229">
        <f t="shared" si="180"/>
        <v>0</v>
      </c>
      <c r="DZ101" s="229">
        <f t="shared" si="180"/>
        <v>0</v>
      </c>
      <c r="EA101" s="229">
        <f t="shared" si="180"/>
        <v>0</v>
      </c>
      <c r="EB101" s="229">
        <f t="shared" si="180"/>
        <v>0</v>
      </c>
      <c r="EC101" s="229">
        <f t="shared" si="180"/>
        <v>0</v>
      </c>
      <c r="ED101" s="229">
        <f t="shared" si="180"/>
        <v>0</v>
      </c>
      <c r="EE101" s="229">
        <f t="shared" si="180"/>
        <v>0</v>
      </c>
      <c r="EF101" s="229">
        <f t="shared" si="180"/>
        <v>0</v>
      </c>
      <c r="EG101" s="229">
        <f t="shared" si="180"/>
        <v>0</v>
      </c>
      <c r="EH101" s="229">
        <f t="shared" si="180"/>
        <v>0</v>
      </c>
      <c r="EK101" s="672"/>
    </row>
    <row r="102" spans="1:141" x14ac:dyDescent="0.3">
      <c r="A102">
        <v>10</v>
      </c>
      <c r="E102" s="200"/>
      <c r="F102" s="200"/>
      <c r="G102" s="229"/>
      <c r="H102" s="229"/>
      <c r="I102" s="229"/>
      <c r="J102" s="229"/>
      <c r="K102" s="229"/>
      <c r="L102" s="229"/>
      <c r="M102" s="229"/>
      <c r="N102" s="229"/>
      <c r="O102" s="229"/>
      <c r="P102" s="229"/>
      <c r="Q102" s="229">
        <f t="shared" ref="Q102:AV102" si="181">IF(AvgLeaseTermBMR&lt;$A102,0,(Q$44-G$44)*G$86)</f>
        <v>0</v>
      </c>
      <c r="R102" s="229">
        <f t="shared" si="181"/>
        <v>0</v>
      </c>
      <c r="S102" s="229">
        <f t="shared" si="181"/>
        <v>0</v>
      </c>
      <c r="T102" s="229">
        <f t="shared" si="181"/>
        <v>0</v>
      </c>
      <c r="U102" s="229">
        <f t="shared" si="181"/>
        <v>0</v>
      </c>
      <c r="V102" s="229">
        <f t="shared" si="181"/>
        <v>0</v>
      </c>
      <c r="W102" s="229">
        <f t="shared" si="181"/>
        <v>0</v>
      </c>
      <c r="X102" s="229">
        <f t="shared" si="181"/>
        <v>0</v>
      </c>
      <c r="Y102" s="229">
        <f t="shared" si="181"/>
        <v>0</v>
      </c>
      <c r="Z102" s="229">
        <f t="shared" si="181"/>
        <v>0</v>
      </c>
      <c r="AA102" s="229">
        <f t="shared" si="181"/>
        <v>0</v>
      </c>
      <c r="AB102" s="229">
        <f t="shared" si="181"/>
        <v>0</v>
      </c>
      <c r="AC102" s="229">
        <f t="shared" si="181"/>
        <v>0</v>
      </c>
      <c r="AD102" s="229">
        <f t="shared" si="181"/>
        <v>0</v>
      </c>
      <c r="AE102" s="229">
        <f t="shared" si="181"/>
        <v>0</v>
      </c>
      <c r="AF102" s="229">
        <f t="shared" si="181"/>
        <v>0</v>
      </c>
      <c r="AG102" s="229">
        <f t="shared" si="181"/>
        <v>0</v>
      </c>
      <c r="AH102" s="229">
        <f t="shared" si="181"/>
        <v>0</v>
      </c>
      <c r="AI102" s="229">
        <f t="shared" si="181"/>
        <v>0</v>
      </c>
      <c r="AJ102" s="229">
        <f t="shared" si="181"/>
        <v>0</v>
      </c>
      <c r="AK102" s="229">
        <f t="shared" si="181"/>
        <v>0</v>
      </c>
      <c r="AL102" s="229">
        <f t="shared" si="181"/>
        <v>0</v>
      </c>
      <c r="AM102" s="229">
        <f t="shared" si="181"/>
        <v>0</v>
      </c>
      <c r="AN102" s="229">
        <f t="shared" si="181"/>
        <v>0</v>
      </c>
      <c r="AO102" s="229">
        <f t="shared" si="181"/>
        <v>0</v>
      </c>
      <c r="AP102" s="229">
        <f t="shared" si="181"/>
        <v>0</v>
      </c>
      <c r="AQ102" s="229">
        <f t="shared" si="181"/>
        <v>0</v>
      </c>
      <c r="AR102" s="229">
        <f t="shared" si="181"/>
        <v>0</v>
      </c>
      <c r="AS102" s="229">
        <f t="shared" si="181"/>
        <v>0</v>
      </c>
      <c r="AT102" s="229">
        <f t="shared" si="181"/>
        <v>0</v>
      </c>
      <c r="AU102" s="229">
        <f t="shared" si="181"/>
        <v>0</v>
      </c>
      <c r="AV102" s="229">
        <f t="shared" si="181"/>
        <v>0</v>
      </c>
      <c r="AW102" s="229">
        <f t="shared" ref="AW102:CB102" si="182">IF(AvgLeaseTermBMR&lt;$A102,0,(AW$44-AM$44)*AM$86)</f>
        <v>0</v>
      </c>
      <c r="AX102" s="229">
        <f t="shared" si="182"/>
        <v>0</v>
      </c>
      <c r="AY102" s="229">
        <f t="shared" si="182"/>
        <v>0</v>
      </c>
      <c r="AZ102" s="229">
        <f t="shared" si="182"/>
        <v>0</v>
      </c>
      <c r="BA102" s="229">
        <f t="shared" si="182"/>
        <v>0</v>
      </c>
      <c r="BB102" s="229">
        <f t="shared" si="182"/>
        <v>0</v>
      </c>
      <c r="BC102" s="229">
        <f t="shared" si="182"/>
        <v>0</v>
      </c>
      <c r="BD102" s="229">
        <f t="shared" si="182"/>
        <v>0</v>
      </c>
      <c r="BE102" s="229">
        <f t="shared" si="182"/>
        <v>0</v>
      </c>
      <c r="BF102" s="229">
        <f t="shared" si="182"/>
        <v>0</v>
      </c>
      <c r="BG102" s="229">
        <f t="shared" si="182"/>
        <v>0</v>
      </c>
      <c r="BH102" s="229">
        <f t="shared" si="182"/>
        <v>0</v>
      </c>
      <c r="BI102" s="229">
        <f t="shared" si="182"/>
        <v>0</v>
      </c>
      <c r="BJ102" s="229">
        <f t="shared" si="182"/>
        <v>0</v>
      </c>
      <c r="BK102" s="229">
        <f t="shared" si="182"/>
        <v>0</v>
      </c>
      <c r="BL102" s="229">
        <f t="shared" si="182"/>
        <v>0</v>
      </c>
      <c r="BM102" s="229">
        <f t="shared" si="182"/>
        <v>0</v>
      </c>
      <c r="BN102" s="229">
        <f t="shared" si="182"/>
        <v>0</v>
      </c>
      <c r="BO102" s="229">
        <f t="shared" si="182"/>
        <v>0</v>
      </c>
      <c r="BP102" s="229">
        <f t="shared" si="182"/>
        <v>0</v>
      </c>
      <c r="BQ102" s="229">
        <f t="shared" si="182"/>
        <v>0</v>
      </c>
      <c r="BR102" s="229">
        <f t="shared" si="182"/>
        <v>0</v>
      </c>
      <c r="BS102" s="229">
        <f t="shared" si="182"/>
        <v>0</v>
      </c>
      <c r="BT102" s="229">
        <f t="shared" si="182"/>
        <v>0</v>
      </c>
      <c r="BU102" s="229">
        <f t="shared" si="182"/>
        <v>0</v>
      </c>
      <c r="BV102" s="229">
        <f t="shared" si="182"/>
        <v>0</v>
      </c>
      <c r="BW102" s="229">
        <f t="shared" si="182"/>
        <v>0</v>
      </c>
      <c r="BX102" s="229">
        <f t="shared" si="182"/>
        <v>0</v>
      </c>
      <c r="BY102" s="229">
        <f t="shared" si="182"/>
        <v>0</v>
      </c>
      <c r="BZ102" s="229">
        <f t="shared" si="182"/>
        <v>0</v>
      </c>
      <c r="CA102" s="229">
        <f t="shared" si="182"/>
        <v>0</v>
      </c>
      <c r="CB102" s="229">
        <f t="shared" si="182"/>
        <v>0</v>
      </c>
      <c r="CC102" s="229">
        <f t="shared" ref="CC102:DH102" si="183">IF(AvgLeaseTermBMR&lt;$A102,0,(CC$44-BS$44)*BS$86)</f>
        <v>0</v>
      </c>
      <c r="CD102" s="229">
        <f t="shared" si="183"/>
        <v>0</v>
      </c>
      <c r="CE102" s="229">
        <f t="shared" si="183"/>
        <v>0</v>
      </c>
      <c r="CF102" s="229">
        <f t="shared" si="183"/>
        <v>0</v>
      </c>
      <c r="CG102" s="229">
        <f t="shared" si="183"/>
        <v>0</v>
      </c>
      <c r="CH102" s="229">
        <f t="shared" si="183"/>
        <v>0</v>
      </c>
      <c r="CI102" s="229">
        <f t="shared" si="183"/>
        <v>0</v>
      </c>
      <c r="CJ102" s="229">
        <f t="shared" si="183"/>
        <v>0</v>
      </c>
      <c r="CK102" s="229">
        <f t="shared" si="183"/>
        <v>0</v>
      </c>
      <c r="CL102" s="229">
        <f t="shared" si="183"/>
        <v>0</v>
      </c>
      <c r="CM102" s="229">
        <f t="shared" si="183"/>
        <v>0</v>
      </c>
      <c r="CN102" s="229">
        <f t="shared" si="183"/>
        <v>0</v>
      </c>
      <c r="CO102" s="229">
        <f t="shared" si="183"/>
        <v>0</v>
      </c>
      <c r="CP102" s="229">
        <f t="shared" si="183"/>
        <v>0</v>
      </c>
      <c r="CQ102" s="229">
        <f t="shared" si="183"/>
        <v>0</v>
      </c>
      <c r="CR102" s="229">
        <f t="shared" si="183"/>
        <v>0</v>
      </c>
      <c r="CS102" s="229">
        <f t="shared" si="183"/>
        <v>0</v>
      </c>
      <c r="CT102" s="229">
        <f t="shared" si="183"/>
        <v>0</v>
      </c>
      <c r="CU102" s="229">
        <f t="shared" si="183"/>
        <v>0</v>
      </c>
      <c r="CV102" s="229">
        <f t="shared" si="183"/>
        <v>0</v>
      </c>
      <c r="CW102" s="229">
        <f t="shared" si="183"/>
        <v>0</v>
      </c>
      <c r="CX102" s="229">
        <f t="shared" si="183"/>
        <v>0</v>
      </c>
      <c r="CY102" s="229">
        <f t="shared" si="183"/>
        <v>0</v>
      </c>
      <c r="CZ102" s="229">
        <f t="shared" si="183"/>
        <v>0</v>
      </c>
      <c r="DA102" s="229">
        <f t="shared" si="183"/>
        <v>0</v>
      </c>
      <c r="DB102" s="229">
        <f t="shared" si="183"/>
        <v>0</v>
      </c>
      <c r="DC102" s="229">
        <f t="shared" si="183"/>
        <v>0</v>
      </c>
      <c r="DD102" s="229">
        <f t="shared" si="183"/>
        <v>0</v>
      </c>
      <c r="DE102" s="229">
        <f t="shared" si="183"/>
        <v>0</v>
      </c>
      <c r="DF102" s="229">
        <f t="shared" si="183"/>
        <v>0</v>
      </c>
      <c r="DG102" s="229">
        <f t="shared" si="183"/>
        <v>0</v>
      </c>
      <c r="DH102" s="229">
        <f t="shared" si="183"/>
        <v>0</v>
      </c>
      <c r="DI102" s="229">
        <f t="shared" ref="DI102:EH102" si="184">IF(AvgLeaseTermBMR&lt;$A102,0,(DI$44-CY$44)*CY$86)</f>
        <v>0</v>
      </c>
      <c r="DJ102" s="229">
        <f t="shared" si="184"/>
        <v>0</v>
      </c>
      <c r="DK102" s="229">
        <f t="shared" si="184"/>
        <v>0</v>
      </c>
      <c r="DL102" s="229">
        <f t="shared" si="184"/>
        <v>0</v>
      </c>
      <c r="DM102" s="229">
        <f t="shared" si="184"/>
        <v>0</v>
      </c>
      <c r="DN102" s="229">
        <f t="shared" si="184"/>
        <v>0</v>
      </c>
      <c r="DO102" s="229">
        <f t="shared" si="184"/>
        <v>0</v>
      </c>
      <c r="DP102" s="229">
        <f t="shared" si="184"/>
        <v>0</v>
      </c>
      <c r="DQ102" s="229">
        <f t="shared" si="184"/>
        <v>0</v>
      </c>
      <c r="DR102" s="229">
        <f t="shared" si="184"/>
        <v>0</v>
      </c>
      <c r="DS102" s="229">
        <f t="shared" si="184"/>
        <v>0</v>
      </c>
      <c r="DT102" s="229">
        <f t="shared" si="184"/>
        <v>0</v>
      </c>
      <c r="DU102" s="229">
        <f t="shared" si="184"/>
        <v>0</v>
      </c>
      <c r="DV102" s="229">
        <f t="shared" si="184"/>
        <v>0</v>
      </c>
      <c r="DW102" s="229">
        <f t="shared" si="184"/>
        <v>0</v>
      </c>
      <c r="DX102" s="229">
        <f t="shared" si="184"/>
        <v>0</v>
      </c>
      <c r="DY102" s="229">
        <f t="shared" si="184"/>
        <v>0</v>
      </c>
      <c r="DZ102" s="229">
        <f t="shared" si="184"/>
        <v>0</v>
      </c>
      <c r="EA102" s="229">
        <f t="shared" si="184"/>
        <v>0</v>
      </c>
      <c r="EB102" s="229">
        <f t="shared" si="184"/>
        <v>0</v>
      </c>
      <c r="EC102" s="229">
        <f t="shared" si="184"/>
        <v>0</v>
      </c>
      <c r="ED102" s="229">
        <f t="shared" si="184"/>
        <v>0</v>
      </c>
      <c r="EE102" s="229">
        <f t="shared" si="184"/>
        <v>0</v>
      </c>
      <c r="EF102" s="229">
        <f t="shared" si="184"/>
        <v>0</v>
      </c>
      <c r="EG102" s="229">
        <f t="shared" si="184"/>
        <v>0</v>
      </c>
      <c r="EH102" s="229">
        <f t="shared" si="184"/>
        <v>0</v>
      </c>
      <c r="EK102" s="280"/>
    </row>
    <row r="103" spans="1:141" x14ac:dyDescent="0.3">
      <c r="A103">
        <v>11</v>
      </c>
      <c r="E103" s="200"/>
      <c r="F103" s="200"/>
      <c r="G103" s="229"/>
      <c r="H103" s="229"/>
      <c r="I103" s="229"/>
      <c r="J103" s="229"/>
      <c r="K103" s="229"/>
      <c r="L103" s="229"/>
      <c r="M103" s="229"/>
      <c r="N103" s="229"/>
      <c r="O103" s="229"/>
      <c r="P103" s="229"/>
      <c r="Q103" s="229"/>
      <c r="R103" s="229">
        <f t="shared" ref="R103:AW103" si="185">IF(AvgLeaseTermBMR&lt;$A103,0,(R$44-G$44)*G$86)</f>
        <v>0</v>
      </c>
      <c r="S103" s="229">
        <f t="shared" si="185"/>
        <v>0</v>
      </c>
      <c r="T103" s="229">
        <f t="shared" si="185"/>
        <v>0</v>
      </c>
      <c r="U103" s="229">
        <f t="shared" si="185"/>
        <v>0</v>
      </c>
      <c r="V103" s="229">
        <f t="shared" si="185"/>
        <v>0</v>
      </c>
      <c r="W103" s="229">
        <f t="shared" si="185"/>
        <v>0</v>
      </c>
      <c r="X103" s="229">
        <f t="shared" si="185"/>
        <v>0</v>
      </c>
      <c r="Y103" s="229">
        <f t="shared" si="185"/>
        <v>0</v>
      </c>
      <c r="Z103" s="229">
        <f t="shared" si="185"/>
        <v>0</v>
      </c>
      <c r="AA103" s="229">
        <f t="shared" si="185"/>
        <v>0</v>
      </c>
      <c r="AB103" s="229">
        <f t="shared" si="185"/>
        <v>0</v>
      </c>
      <c r="AC103" s="229">
        <f t="shared" si="185"/>
        <v>0</v>
      </c>
      <c r="AD103" s="229">
        <f t="shared" si="185"/>
        <v>0</v>
      </c>
      <c r="AE103" s="229">
        <f t="shared" si="185"/>
        <v>0</v>
      </c>
      <c r="AF103" s="229">
        <f t="shared" si="185"/>
        <v>0</v>
      </c>
      <c r="AG103" s="229">
        <f t="shared" si="185"/>
        <v>0</v>
      </c>
      <c r="AH103" s="229">
        <f t="shared" si="185"/>
        <v>0</v>
      </c>
      <c r="AI103" s="229">
        <f t="shared" si="185"/>
        <v>0</v>
      </c>
      <c r="AJ103" s="229">
        <f t="shared" si="185"/>
        <v>0</v>
      </c>
      <c r="AK103" s="229">
        <f t="shared" si="185"/>
        <v>0</v>
      </c>
      <c r="AL103" s="229">
        <f t="shared" si="185"/>
        <v>0</v>
      </c>
      <c r="AM103" s="229">
        <f t="shared" si="185"/>
        <v>0</v>
      </c>
      <c r="AN103" s="229">
        <f t="shared" si="185"/>
        <v>0</v>
      </c>
      <c r="AO103" s="229">
        <f t="shared" si="185"/>
        <v>0</v>
      </c>
      <c r="AP103" s="229">
        <f t="shared" si="185"/>
        <v>0</v>
      </c>
      <c r="AQ103" s="229">
        <f t="shared" si="185"/>
        <v>0</v>
      </c>
      <c r="AR103" s="229">
        <f t="shared" si="185"/>
        <v>0</v>
      </c>
      <c r="AS103" s="229">
        <f t="shared" si="185"/>
        <v>0</v>
      </c>
      <c r="AT103" s="229">
        <f t="shared" si="185"/>
        <v>0</v>
      </c>
      <c r="AU103" s="229">
        <f t="shared" si="185"/>
        <v>0</v>
      </c>
      <c r="AV103" s="229">
        <f t="shared" si="185"/>
        <v>0</v>
      </c>
      <c r="AW103" s="229">
        <f t="shared" si="185"/>
        <v>0</v>
      </c>
      <c r="AX103" s="229">
        <f t="shared" ref="AX103:CC103" si="186">IF(AvgLeaseTermBMR&lt;$A103,0,(AX$44-AM$44)*AM$86)</f>
        <v>0</v>
      </c>
      <c r="AY103" s="229">
        <f t="shared" si="186"/>
        <v>0</v>
      </c>
      <c r="AZ103" s="229">
        <f t="shared" si="186"/>
        <v>0</v>
      </c>
      <c r="BA103" s="229">
        <f t="shared" si="186"/>
        <v>0</v>
      </c>
      <c r="BB103" s="229">
        <f t="shared" si="186"/>
        <v>0</v>
      </c>
      <c r="BC103" s="229">
        <f t="shared" si="186"/>
        <v>0</v>
      </c>
      <c r="BD103" s="229">
        <f t="shared" si="186"/>
        <v>0</v>
      </c>
      <c r="BE103" s="229">
        <f t="shared" si="186"/>
        <v>0</v>
      </c>
      <c r="BF103" s="229">
        <f t="shared" si="186"/>
        <v>0</v>
      </c>
      <c r="BG103" s="229">
        <f t="shared" si="186"/>
        <v>0</v>
      </c>
      <c r="BH103" s="229">
        <f t="shared" si="186"/>
        <v>0</v>
      </c>
      <c r="BI103" s="229">
        <f t="shared" si="186"/>
        <v>0</v>
      </c>
      <c r="BJ103" s="229">
        <f t="shared" si="186"/>
        <v>0</v>
      </c>
      <c r="BK103" s="229">
        <f t="shared" si="186"/>
        <v>0</v>
      </c>
      <c r="BL103" s="229">
        <f t="shared" si="186"/>
        <v>0</v>
      </c>
      <c r="BM103" s="229">
        <f t="shared" si="186"/>
        <v>0</v>
      </c>
      <c r="BN103" s="229">
        <f t="shared" si="186"/>
        <v>0</v>
      </c>
      <c r="BO103" s="229">
        <f t="shared" si="186"/>
        <v>0</v>
      </c>
      <c r="BP103" s="229">
        <f t="shared" si="186"/>
        <v>0</v>
      </c>
      <c r="BQ103" s="229">
        <f t="shared" si="186"/>
        <v>0</v>
      </c>
      <c r="BR103" s="229">
        <f t="shared" si="186"/>
        <v>0</v>
      </c>
      <c r="BS103" s="229">
        <f t="shared" si="186"/>
        <v>0</v>
      </c>
      <c r="BT103" s="229">
        <f t="shared" si="186"/>
        <v>0</v>
      </c>
      <c r="BU103" s="229">
        <f t="shared" si="186"/>
        <v>0</v>
      </c>
      <c r="BV103" s="229">
        <f t="shared" si="186"/>
        <v>0</v>
      </c>
      <c r="BW103" s="229">
        <f t="shared" si="186"/>
        <v>0</v>
      </c>
      <c r="BX103" s="229">
        <f t="shared" si="186"/>
        <v>0</v>
      </c>
      <c r="BY103" s="229">
        <f t="shared" si="186"/>
        <v>0</v>
      </c>
      <c r="BZ103" s="229">
        <f t="shared" si="186"/>
        <v>0</v>
      </c>
      <c r="CA103" s="229">
        <f t="shared" si="186"/>
        <v>0</v>
      </c>
      <c r="CB103" s="229">
        <f t="shared" si="186"/>
        <v>0</v>
      </c>
      <c r="CC103" s="229">
        <f t="shared" si="186"/>
        <v>0</v>
      </c>
      <c r="CD103" s="229">
        <f t="shared" ref="CD103:DI103" si="187">IF(AvgLeaseTermBMR&lt;$A103,0,(CD$44-BS$44)*BS$86)</f>
        <v>0</v>
      </c>
      <c r="CE103" s="229">
        <f t="shared" si="187"/>
        <v>0</v>
      </c>
      <c r="CF103" s="229">
        <f t="shared" si="187"/>
        <v>0</v>
      </c>
      <c r="CG103" s="229">
        <f t="shared" si="187"/>
        <v>0</v>
      </c>
      <c r="CH103" s="229">
        <f t="shared" si="187"/>
        <v>0</v>
      </c>
      <c r="CI103" s="229">
        <f t="shared" si="187"/>
        <v>0</v>
      </c>
      <c r="CJ103" s="229">
        <f t="shared" si="187"/>
        <v>0</v>
      </c>
      <c r="CK103" s="229">
        <f t="shared" si="187"/>
        <v>0</v>
      </c>
      <c r="CL103" s="229">
        <f t="shared" si="187"/>
        <v>0</v>
      </c>
      <c r="CM103" s="229">
        <f t="shared" si="187"/>
        <v>0</v>
      </c>
      <c r="CN103" s="229">
        <f t="shared" si="187"/>
        <v>0</v>
      </c>
      <c r="CO103" s="229">
        <f t="shared" si="187"/>
        <v>0</v>
      </c>
      <c r="CP103" s="229">
        <f t="shared" si="187"/>
        <v>0</v>
      </c>
      <c r="CQ103" s="229">
        <f t="shared" si="187"/>
        <v>0</v>
      </c>
      <c r="CR103" s="229">
        <f t="shared" si="187"/>
        <v>0</v>
      </c>
      <c r="CS103" s="229">
        <f t="shared" si="187"/>
        <v>0</v>
      </c>
      <c r="CT103" s="229">
        <f t="shared" si="187"/>
        <v>0</v>
      </c>
      <c r="CU103" s="229">
        <f t="shared" si="187"/>
        <v>0</v>
      </c>
      <c r="CV103" s="229">
        <f t="shared" si="187"/>
        <v>0</v>
      </c>
      <c r="CW103" s="229">
        <f t="shared" si="187"/>
        <v>0</v>
      </c>
      <c r="CX103" s="229">
        <f t="shared" si="187"/>
        <v>0</v>
      </c>
      <c r="CY103" s="229">
        <f t="shared" si="187"/>
        <v>0</v>
      </c>
      <c r="CZ103" s="229">
        <f t="shared" si="187"/>
        <v>0</v>
      </c>
      <c r="DA103" s="229">
        <f t="shared" si="187"/>
        <v>0</v>
      </c>
      <c r="DB103" s="229">
        <f t="shared" si="187"/>
        <v>0</v>
      </c>
      <c r="DC103" s="229">
        <f t="shared" si="187"/>
        <v>0</v>
      </c>
      <c r="DD103" s="229">
        <f t="shared" si="187"/>
        <v>0</v>
      </c>
      <c r="DE103" s="229">
        <f t="shared" si="187"/>
        <v>0</v>
      </c>
      <c r="DF103" s="229">
        <f t="shared" si="187"/>
        <v>0</v>
      </c>
      <c r="DG103" s="229">
        <f t="shared" si="187"/>
        <v>0</v>
      </c>
      <c r="DH103" s="229">
        <f t="shared" si="187"/>
        <v>0</v>
      </c>
      <c r="DI103" s="229">
        <f t="shared" si="187"/>
        <v>0</v>
      </c>
      <c r="DJ103" s="229">
        <f t="shared" ref="DJ103:EH103" si="188">IF(AvgLeaseTermBMR&lt;$A103,0,(DJ$44-CY$44)*CY$86)</f>
        <v>0</v>
      </c>
      <c r="DK103" s="229">
        <f t="shared" si="188"/>
        <v>0</v>
      </c>
      <c r="DL103" s="229">
        <f t="shared" si="188"/>
        <v>0</v>
      </c>
      <c r="DM103" s="229">
        <f t="shared" si="188"/>
        <v>0</v>
      </c>
      <c r="DN103" s="229">
        <f t="shared" si="188"/>
        <v>0</v>
      </c>
      <c r="DO103" s="229">
        <f t="shared" si="188"/>
        <v>0</v>
      </c>
      <c r="DP103" s="229">
        <f t="shared" si="188"/>
        <v>0</v>
      </c>
      <c r="DQ103" s="229">
        <f t="shared" si="188"/>
        <v>0</v>
      </c>
      <c r="DR103" s="229">
        <f t="shared" si="188"/>
        <v>0</v>
      </c>
      <c r="DS103" s="229">
        <f t="shared" si="188"/>
        <v>0</v>
      </c>
      <c r="DT103" s="229">
        <f t="shared" si="188"/>
        <v>0</v>
      </c>
      <c r="DU103" s="229">
        <f t="shared" si="188"/>
        <v>0</v>
      </c>
      <c r="DV103" s="229">
        <f t="shared" si="188"/>
        <v>0</v>
      </c>
      <c r="DW103" s="229">
        <f t="shared" si="188"/>
        <v>0</v>
      </c>
      <c r="DX103" s="229">
        <f t="shared" si="188"/>
        <v>0</v>
      </c>
      <c r="DY103" s="229">
        <f t="shared" si="188"/>
        <v>0</v>
      </c>
      <c r="DZ103" s="229">
        <f t="shared" si="188"/>
        <v>0</v>
      </c>
      <c r="EA103" s="229">
        <f t="shared" si="188"/>
        <v>0</v>
      </c>
      <c r="EB103" s="229">
        <f t="shared" si="188"/>
        <v>0</v>
      </c>
      <c r="EC103" s="229">
        <f t="shared" si="188"/>
        <v>0</v>
      </c>
      <c r="ED103" s="229">
        <f t="shared" si="188"/>
        <v>0</v>
      </c>
      <c r="EE103" s="229">
        <f t="shared" si="188"/>
        <v>0</v>
      </c>
      <c r="EF103" s="229">
        <f t="shared" si="188"/>
        <v>0</v>
      </c>
      <c r="EG103" s="229">
        <f t="shared" si="188"/>
        <v>0</v>
      </c>
      <c r="EH103" s="229">
        <f t="shared" si="188"/>
        <v>0</v>
      </c>
      <c r="EK103" s="672"/>
    </row>
    <row r="104" spans="1:141" x14ac:dyDescent="0.3">
      <c r="A104">
        <v>12</v>
      </c>
      <c r="E104" s="200"/>
      <c r="F104" s="200"/>
      <c r="G104" s="229"/>
      <c r="H104" s="229"/>
      <c r="I104" s="229"/>
      <c r="J104" s="229"/>
      <c r="K104" s="229"/>
      <c r="L104" s="229"/>
      <c r="M104" s="229"/>
      <c r="N104" s="229"/>
      <c r="O104" s="229"/>
      <c r="P104" s="229"/>
      <c r="Q104" s="229"/>
      <c r="R104" s="229"/>
      <c r="S104" s="229">
        <f t="shared" ref="S104:AX104" si="189">IF(AvgLeaseTermBMR&lt;$A104,0,(S$44-G$44)*G$86)</f>
        <v>0</v>
      </c>
      <c r="T104" s="229">
        <f t="shared" si="189"/>
        <v>0</v>
      </c>
      <c r="U104" s="229">
        <f t="shared" si="189"/>
        <v>0</v>
      </c>
      <c r="V104" s="229">
        <f t="shared" si="189"/>
        <v>0</v>
      </c>
      <c r="W104" s="229">
        <f t="shared" si="189"/>
        <v>0</v>
      </c>
      <c r="X104" s="229">
        <f t="shared" si="189"/>
        <v>0</v>
      </c>
      <c r="Y104" s="229">
        <f t="shared" si="189"/>
        <v>0</v>
      </c>
      <c r="Z104" s="229">
        <f t="shared" si="189"/>
        <v>0</v>
      </c>
      <c r="AA104" s="229">
        <f t="shared" si="189"/>
        <v>0</v>
      </c>
      <c r="AB104" s="229">
        <f t="shared" si="189"/>
        <v>0</v>
      </c>
      <c r="AC104" s="229">
        <f t="shared" si="189"/>
        <v>0</v>
      </c>
      <c r="AD104" s="229">
        <f t="shared" si="189"/>
        <v>0</v>
      </c>
      <c r="AE104" s="229">
        <f t="shared" si="189"/>
        <v>0</v>
      </c>
      <c r="AF104" s="229">
        <f t="shared" si="189"/>
        <v>0</v>
      </c>
      <c r="AG104" s="229">
        <f t="shared" si="189"/>
        <v>0</v>
      </c>
      <c r="AH104" s="229">
        <f t="shared" si="189"/>
        <v>0</v>
      </c>
      <c r="AI104" s="229">
        <f t="shared" si="189"/>
        <v>0</v>
      </c>
      <c r="AJ104" s="229">
        <f t="shared" si="189"/>
        <v>0</v>
      </c>
      <c r="AK104" s="229">
        <f t="shared" si="189"/>
        <v>0</v>
      </c>
      <c r="AL104" s="229">
        <f t="shared" si="189"/>
        <v>0</v>
      </c>
      <c r="AM104" s="229">
        <f t="shared" si="189"/>
        <v>0</v>
      </c>
      <c r="AN104" s="229">
        <f t="shared" si="189"/>
        <v>0</v>
      </c>
      <c r="AO104" s="229">
        <f t="shared" si="189"/>
        <v>0</v>
      </c>
      <c r="AP104" s="229">
        <f t="shared" si="189"/>
        <v>0</v>
      </c>
      <c r="AQ104" s="229">
        <f t="shared" si="189"/>
        <v>0</v>
      </c>
      <c r="AR104" s="229">
        <f t="shared" si="189"/>
        <v>0</v>
      </c>
      <c r="AS104" s="229">
        <f t="shared" si="189"/>
        <v>0</v>
      </c>
      <c r="AT104" s="229">
        <f t="shared" si="189"/>
        <v>0</v>
      </c>
      <c r="AU104" s="229">
        <f t="shared" si="189"/>
        <v>0</v>
      </c>
      <c r="AV104" s="229">
        <f t="shared" si="189"/>
        <v>0</v>
      </c>
      <c r="AW104" s="229">
        <f t="shared" si="189"/>
        <v>0</v>
      </c>
      <c r="AX104" s="229">
        <f t="shared" si="189"/>
        <v>0</v>
      </c>
      <c r="AY104" s="229">
        <f t="shared" ref="AY104:CD104" si="190">IF(AvgLeaseTermBMR&lt;$A104,0,(AY$44-AM$44)*AM$86)</f>
        <v>0</v>
      </c>
      <c r="AZ104" s="229">
        <f t="shared" si="190"/>
        <v>0</v>
      </c>
      <c r="BA104" s="229">
        <f t="shared" si="190"/>
        <v>0</v>
      </c>
      <c r="BB104" s="229">
        <f t="shared" si="190"/>
        <v>0</v>
      </c>
      <c r="BC104" s="229">
        <f t="shared" si="190"/>
        <v>0</v>
      </c>
      <c r="BD104" s="229">
        <f t="shared" si="190"/>
        <v>0</v>
      </c>
      <c r="BE104" s="229">
        <f t="shared" si="190"/>
        <v>0</v>
      </c>
      <c r="BF104" s="229">
        <f t="shared" si="190"/>
        <v>0</v>
      </c>
      <c r="BG104" s="229">
        <f t="shared" si="190"/>
        <v>0</v>
      </c>
      <c r="BH104" s="229">
        <f t="shared" si="190"/>
        <v>0</v>
      </c>
      <c r="BI104" s="229">
        <f t="shared" si="190"/>
        <v>0</v>
      </c>
      <c r="BJ104" s="229">
        <f t="shared" si="190"/>
        <v>0</v>
      </c>
      <c r="BK104" s="229">
        <f t="shared" si="190"/>
        <v>0</v>
      </c>
      <c r="BL104" s="229">
        <f t="shared" si="190"/>
        <v>0</v>
      </c>
      <c r="BM104" s="229">
        <f t="shared" si="190"/>
        <v>0</v>
      </c>
      <c r="BN104" s="229">
        <f t="shared" si="190"/>
        <v>0</v>
      </c>
      <c r="BO104" s="229">
        <f t="shared" si="190"/>
        <v>0</v>
      </c>
      <c r="BP104" s="229">
        <f t="shared" si="190"/>
        <v>0</v>
      </c>
      <c r="BQ104" s="229">
        <f t="shared" si="190"/>
        <v>0</v>
      </c>
      <c r="BR104" s="229">
        <f t="shared" si="190"/>
        <v>0</v>
      </c>
      <c r="BS104" s="229">
        <f t="shared" si="190"/>
        <v>0</v>
      </c>
      <c r="BT104" s="229">
        <f t="shared" si="190"/>
        <v>0</v>
      </c>
      <c r="BU104" s="229">
        <f t="shared" si="190"/>
        <v>0</v>
      </c>
      <c r="BV104" s="229">
        <f t="shared" si="190"/>
        <v>0</v>
      </c>
      <c r="BW104" s="229">
        <f t="shared" si="190"/>
        <v>0</v>
      </c>
      <c r="BX104" s="229">
        <f t="shared" si="190"/>
        <v>0</v>
      </c>
      <c r="BY104" s="229">
        <f t="shared" si="190"/>
        <v>0</v>
      </c>
      <c r="BZ104" s="229">
        <f t="shared" si="190"/>
        <v>0</v>
      </c>
      <c r="CA104" s="229">
        <f t="shared" si="190"/>
        <v>0</v>
      </c>
      <c r="CB104" s="229">
        <f t="shared" si="190"/>
        <v>0</v>
      </c>
      <c r="CC104" s="229">
        <f t="shared" si="190"/>
        <v>0</v>
      </c>
      <c r="CD104" s="229">
        <f t="shared" si="190"/>
        <v>0</v>
      </c>
      <c r="CE104" s="229">
        <f t="shared" ref="CE104:DJ104" si="191">IF(AvgLeaseTermBMR&lt;$A104,0,(CE$44-BS$44)*BS$86)</f>
        <v>0</v>
      </c>
      <c r="CF104" s="229">
        <f t="shared" si="191"/>
        <v>0</v>
      </c>
      <c r="CG104" s="229">
        <f t="shared" si="191"/>
        <v>0</v>
      </c>
      <c r="CH104" s="229">
        <f t="shared" si="191"/>
        <v>0</v>
      </c>
      <c r="CI104" s="229">
        <f t="shared" si="191"/>
        <v>0</v>
      </c>
      <c r="CJ104" s="229">
        <f t="shared" si="191"/>
        <v>0</v>
      </c>
      <c r="CK104" s="229">
        <f t="shared" si="191"/>
        <v>0</v>
      </c>
      <c r="CL104" s="229">
        <f t="shared" si="191"/>
        <v>0</v>
      </c>
      <c r="CM104" s="229">
        <f t="shared" si="191"/>
        <v>0</v>
      </c>
      <c r="CN104" s="229">
        <f t="shared" si="191"/>
        <v>0</v>
      </c>
      <c r="CO104" s="229">
        <f t="shared" si="191"/>
        <v>0</v>
      </c>
      <c r="CP104" s="229">
        <f t="shared" si="191"/>
        <v>0</v>
      </c>
      <c r="CQ104" s="229">
        <f t="shared" si="191"/>
        <v>0</v>
      </c>
      <c r="CR104" s="229">
        <f t="shared" si="191"/>
        <v>0</v>
      </c>
      <c r="CS104" s="229">
        <f t="shared" si="191"/>
        <v>0</v>
      </c>
      <c r="CT104" s="229">
        <f t="shared" si="191"/>
        <v>0</v>
      </c>
      <c r="CU104" s="229">
        <f t="shared" si="191"/>
        <v>0</v>
      </c>
      <c r="CV104" s="229">
        <f t="shared" si="191"/>
        <v>0</v>
      </c>
      <c r="CW104" s="229">
        <f t="shared" si="191"/>
        <v>0</v>
      </c>
      <c r="CX104" s="229">
        <f t="shared" si="191"/>
        <v>0</v>
      </c>
      <c r="CY104" s="229">
        <f t="shared" si="191"/>
        <v>0</v>
      </c>
      <c r="CZ104" s="229">
        <f t="shared" si="191"/>
        <v>0</v>
      </c>
      <c r="DA104" s="229">
        <f t="shared" si="191"/>
        <v>0</v>
      </c>
      <c r="DB104" s="229">
        <f t="shared" si="191"/>
        <v>0</v>
      </c>
      <c r="DC104" s="229">
        <f t="shared" si="191"/>
        <v>0</v>
      </c>
      <c r="DD104" s="229">
        <f t="shared" si="191"/>
        <v>0</v>
      </c>
      <c r="DE104" s="229">
        <f t="shared" si="191"/>
        <v>0</v>
      </c>
      <c r="DF104" s="229">
        <f t="shared" si="191"/>
        <v>0</v>
      </c>
      <c r="DG104" s="229">
        <f t="shared" si="191"/>
        <v>0</v>
      </c>
      <c r="DH104" s="229">
        <f t="shared" si="191"/>
        <v>0</v>
      </c>
      <c r="DI104" s="229">
        <f t="shared" si="191"/>
        <v>0</v>
      </c>
      <c r="DJ104" s="229">
        <f t="shared" si="191"/>
        <v>0</v>
      </c>
      <c r="DK104" s="229">
        <f t="shared" ref="DK104:EH104" si="192">IF(AvgLeaseTermBMR&lt;$A104,0,(DK$44-CY$44)*CY$86)</f>
        <v>0</v>
      </c>
      <c r="DL104" s="229">
        <f t="shared" si="192"/>
        <v>0</v>
      </c>
      <c r="DM104" s="229">
        <f t="shared" si="192"/>
        <v>0</v>
      </c>
      <c r="DN104" s="229">
        <f t="shared" si="192"/>
        <v>0</v>
      </c>
      <c r="DO104" s="229">
        <f t="shared" si="192"/>
        <v>0</v>
      </c>
      <c r="DP104" s="229">
        <f t="shared" si="192"/>
        <v>0</v>
      </c>
      <c r="DQ104" s="229">
        <f t="shared" si="192"/>
        <v>0</v>
      </c>
      <c r="DR104" s="229">
        <f t="shared" si="192"/>
        <v>0</v>
      </c>
      <c r="DS104" s="229">
        <f t="shared" si="192"/>
        <v>0</v>
      </c>
      <c r="DT104" s="229">
        <f t="shared" si="192"/>
        <v>0</v>
      </c>
      <c r="DU104" s="229">
        <f t="shared" si="192"/>
        <v>0</v>
      </c>
      <c r="DV104" s="229">
        <f t="shared" si="192"/>
        <v>0</v>
      </c>
      <c r="DW104" s="229">
        <f t="shared" si="192"/>
        <v>0</v>
      </c>
      <c r="DX104" s="229">
        <f t="shared" si="192"/>
        <v>0</v>
      </c>
      <c r="DY104" s="229">
        <f t="shared" si="192"/>
        <v>0</v>
      </c>
      <c r="DZ104" s="229">
        <f t="shared" si="192"/>
        <v>0</v>
      </c>
      <c r="EA104" s="229">
        <f t="shared" si="192"/>
        <v>0</v>
      </c>
      <c r="EB104" s="229">
        <f t="shared" si="192"/>
        <v>0</v>
      </c>
      <c r="EC104" s="229">
        <f t="shared" si="192"/>
        <v>0</v>
      </c>
      <c r="ED104" s="229">
        <f t="shared" si="192"/>
        <v>0</v>
      </c>
      <c r="EE104" s="229">
        <f t="shared" si="192"/>
        <v>0</v>
      </c>
      <c r="EF104" s="229">
        <f t="shared" si="192"/>
        <v>0</v>
      </c>
      <c r="EG104" s="229">
        <f t="shared" si="192"/>
        <v>0</v>
      </c>
      <c r="EH104" s="229">
        <f t="shared" si="192"/>
        <v>0</v>
      </c>
      <c r="EK104" s="280"/>
    </row>
    <row r="105" spans="1:141" ht="15" thickBot="1" x14ac:dyDescent="0.35">
      <c r="A105" s="248" t="s">
        <v>2418</v>
      </c>
      <c r="B105" s="248"/>
      <c r="C105" s="248"/>
      <c r="D105" s="248"/>
      <c r="E105" s="697"/>
      <c r="F105" s="697"/>
      <c r="G105" s="250">
        <f t="shared" ref="G105:BR105" si="193">SUM(G93:G104)</f>
        <v>0</v>
      </c>
      <c r="H105" s="250">
        <f t="shared" si="193"/>
        <v>0</v>
      </c>
      <c r="I105" s="250">
        <f t="shared" si="193"/>
        <v>0</v>
      </c>
      <c r="J105" s="250">
        <f t="shared" si="193"/>
        <v>0</v>
      </c>
      <c r="K105" s="250">
        <f t="shared" si="193"/>
        <v>0</v>
      </c>
      <c r="L105" s="250">
        <f t="shared" si="193"/>
        <v>0</v>
      </c>
      <c r="M105" s="250">
        <f t="shared" si="193"/>
        <v>0</v>
      </c>
      <c r="N105" s="250">
        <f t="shared" si="193"/>
        <v>0</v>
      </c>
      <c r="O105" s="250">
        <f t="shared" si="193"/>
        <v>0</v>
      </c>
      <c r="P105" s="250">
        <f t="shared" si="193"/>
        <v>0</v>
      </c>
      <c r="Q105" s="250">
        <f t="shared" si="193"/>
        <v>0</v>
      </c>
      <c r="R105" s="250">
        <f t="shared" si="193"/>
        <v>0</v>
      </c>
      <c r="S105" s="250">
        <f t="shared" si="193"/>
        <v>0</v>
      </c>
      <c r="T105" s="250">
        <f t="shared" si="193"/>
        <v>0</v>
      </c>
      <c r="U105" s="250">
        <f t="shared" si="193"/>
        <v>0</v>
      </c>
      <c r="V105" s="250">
        <f t="shared" si="193"/>
        <v>0</v>
      </c>
      <c r="W105" s="250">
        <f t="shared" si="193"/>
        <v>0</v>
      </c>
      <c r="X105" s="250">
        <f t="shared" si="193"/>
        <v>0</v>
      </c>
      <c r="Y105" s="250">
        <f t="shared" si="193"/>
        <v>0</v>
      </c>
      <c r="Z105" s="250">
        <f t="shared" si="193"/>
        <v>0</v>
      </c>
      <c r="AA105" s="250">
        <f t="shared" si="193"/>
        <v>0</v>
      </c>
      <c r="AB105" s="250">
        <f t="shared" si="193"/>
        <v>0</v>
      </c>
      <c r="AC105" s="250">
        <f t="shared" si="193"/>
        <v>0</v>
      </c>
      <c r="AD105" s="250">
        <f t="shared" si="193"/>
        <v>0</v>
      </c>
      <c r="AE105" s="250">
        <f t="shared" si="193"/>
        <v>0</v>
      </c>
      <c r="AF105" s="250">
        <f t="shared" si="193"/>
        <v>0</v>
      </c>
      <c r="AG105" s="250">
        <f t="shared" si="193"/>
        <v>0</v>
      </c>
      <c r="AH105" s="250">
        <f t="shared" si="193"/>
        <v>0</v>
      </c>
      <c r="AI105" s="250">
        <f t="shared" si="193"/>
        <v>0</v>
      </c>
      <c r="AJ105" s="250">
        <f t="shared" si="193"/>
        <v>0</v>
      </c>
      <c r="AK105" s="250">
        <f t="shared" si="193"/>
        <v>0</v>
      </c>
      <c r="AL105" s="250">
        <f t="shared" si="193"/>
        <v>0</v>
      </c>
      <c r="AM105" s="250">
        <f t="shared" si="193"/>
        <v>0</v>
      </c>
      <c r="AN105" s="250">
        <f t="shared" si="193"/>
        <v>0</v>
      </c>
      <c r="AO105" s="250">
        <f t="shared" si="193"/>
        <v>0</v>
      </c>
      <c r="AP105" s="250">
        <f t="shared" si="193"/>
        <v>0</v>
      </c>
      <c r="AQ105" s="250">
        <f t="shared" si="193"/>
        <v>0</v>
      </c>
      <c r="AR105" s="250">
        <f t="shared" si="193"/>
        <v>0</v>
      </c>
      <c r="AS105" s="250">
        <f t="shared" si="193"/>
        <v>0</v>
      </c>
      <c r="AT105" s="250">
        <f t="shared" si="193"/>
        <v>0</v>
      </c>
      <c r="AU105" s="250">
        <f t="shared" si="193"/>
        <v>0</v>
      </c>
      <c r="AV105" s="250">
        <f t="shared" si="193"/>
        <v>0</v>
      </c>
      <c r="AW105" s="250">
        <f t="shared" si="193"/>
        <v>0</v>
      </c>
      <c r="AX105" s="250">
        <f t="shared" si="193"/>
        <v>0</v>
      </c>
      <c r="AY105" s="250">
        <f t="shared" si="193"/>
        <v>0</v>
      </c>
      <c r="AZ105" s="250">
        <f t="shared" si="193"/>
        <v>0</v>
      </c>
      <c r="BA105" s="250">
        <f t="shared" si="193"/>
        <v>0</v>
      </c>
      <c r="BB105" s="250">
        <f t="shared" si="193"/>
        <v>0</v>
      </c>
      <c r="BC105" s="250">
        <f t="shared" si="193"/>
        <v>0</v>
      </c>
      <c r="BD105" s="250">
        <f t="shared" si="193"/>
        <v>0</v>
      </c>
      <c r="BE105" s="250">
        <f t="shared" si="193"/>
        <v>0</v>
      </c>
      <c r="BF105" s="250">
        <f t="shared" si="193"/>
        <v>0</v>
      </c>
      <c r="BG105" s="250">
        <f t="shared" si="193"/>
        <v>0</v>
      </c>
      <c r="BH105" s="250">
        <f t="shared" si="193"/>
        <v>0</v>
      </c>
      <c r="BI105" s="250">
        <f t="shared" si="193"/>
        <v>0</v>
      </c>
      <c r="BJ105" s="250">
        <f t="shared" si="193"/>
        <v>0</v>
      </c>
      <c r="BK105" s="250">
        <f t="shared" si="193"/>
        <v>0</v>
      </c>
      <c r="BL105" s="250">
        <f t="shared" si="193"/>
        <v>0</v>
      </c>
      <c r="BM105" s="250">
        <f t="shared" si="193"/>
        <v>0</v>
      </c>
      <c r="BN105" s="250">
        <f t="shared" si="193"/>
        <v>0</v>
      </c>
      <c r="BO105" s="250">
        <f t="shared" si="193"/>
        <v>0</v>
      </c>
      <c r="BP105" s="250">
        <f t="shared" si="193"/>
        <v>0</v>
      </c>
      <c r="BQ105" s="250">
        <f t="shared" si="193"/>
        <v>0</v>
      </c>
      <c r="BR105" s="250">
        <f t="shared" si="193"/>
        <v>0</v>
      </c>
      <c r="BS105" s="250">
        <f t="shared" ref="BS105:ED105" si="194">SUM(BS93:BS104)</f>
        <v>0</v>
      </c>
      <c r="BT105" s="250">
        <f t="shared" si="194"/>
        <v>0</v>
      </c>
      <c r="BU105" s="250">
        <f t="shared" si="194"/>
        <v>0</v>
      </c>
      <c r="BV105" s="250">
        <f t="shared" si="194"/>
        <v>0</v>
      </c>
      <c r="BW105" s="250">
        <f t="shared" si="194"/>
        <v>0</v>
      </c>
      <c r="BX105" s="250">
        <f t="shared" si="194"/>
        <v>0</v>
      </c>
      <c r="BY105" s="250">
        <f t="shared" si="194"/>
        <v>0</v>
      </c>
      <c r="BZ105" s="250">
        <f t="shared" si="194"/>
        <v>0</v>
      </c>
      <c r="CA105" s="250">
        <f t="shared" si="194"/>
        <v>0</v>
      </c>
      <c r="CB105" s="250">
        <f t="shared" si="194"/>
        <v>0</v>
      </c>
      <c r="CC105" s="250">
        <f t="shared" si="194"/>
        <v>0</v>
      </c>
      <c r="CD105" s="250">
        <f t="shared" si="194"/>
        <v>0</v>
      </c>
      <c r="CE105" s="250">
        <f t="shared" si="194"/>
        <v>0</v>
      </c>
      <c r="CF105" s="250">
        <f t="shared" si="194"/>
        <v>0</v>
      </c>
      <c r="CG105" s="250">
        <f t="shared" si="194"/>
        <v>0</v>
      </c>
      <c r="CH105" s="250">
        <f t="shared" si="194"/>
        <v>0</v>
      </c>
      <c r="CI105" s="250">
        <f t="shared" si="194"/>
        <v>0</v>
      </c>
      <c r="CJ105" s="250">
        <f t="shared" si="194"/>
        <v>0</v>
      </c>
      <c r="CK105" s="250">
        <f t="shared" si="194"/>
        <v>0</v>
      </c>
      <c r="CL105" s="250">
        <f t="shared" si="194"/>
        <v>0</v>
      </c>
      <c r="CM105" s="250">
        <f t="shared" si="194"/>
        <v>0</v>
      </c>
      <c r="CN105" s="250">
        <f t="shared" si="194"/>
        <v>0</v>
      </c>
      <c r="CO105" s="250">
        <f t="shared" si="194"/>
        <v>0</v>
      </c>
      <c r="CP105" s="250">
        <f t="shared" si="194"/>
        <v>0</v>
      </c>
      <c r="CQ105" s="250">
        <f t="shared" si="194"/>
        <v>0</v>
      </c>
      <c r="CR105" s="250">
        <f t="shared" si="194"/>
        <v>0</v>
      </c>
      <c r="CS105" s="250">
        <f t="shared" si="194"/>
        <v>0</v>
      </c>
      <c r="CT105" s="250">
        <f t="shared" si="194"/>
        <v>0</v>
      </c>
      <c r="CU105" s="250">
        <f t="shared" si="194"/>
        <v>0</v>
      </c>
      <c r="CV105" s="250">
        <f t="shared" si="194"/>
        <v>0</v>
      </c>
      <c r="CW105" s="250">
        <f t="shared" si="194"/>
        <v>0</v>
      </c>
      <c r="CX105" s="250">
        <f t="shared" si="194"/>
        <v>0</v>
      </c>
      <c r="CY105" s="250">
        <f t="shared" si="194"/>
        <v>0</v>
      </c>
      <c r="CZ105" s="250">
        <f t="shared" si="194"/>
        <v>0</v>
      </c>
      <c r="DA105" s="250">
        <f t="shared" si="194"/>
        <v>0</v>
      </c>
      <c r="DB105" s="250">
        <f t="shared" si="194"/>
        <v>0</v>
      </c>
      <c r="DC105" s="250">
        <f t="shared" si="194"/>
        <v>0</v>
      </c>
      <c r="DD105" s="250">
        <f t="shared" si="194"/>
        <v>0</v>
      </c>
      <c r="DE105" s="250">
        <f t="shared" si="194"/>
        <v>0</v>
      </c>
      <c r="DF105" s="250">
        <f t="shared" si="194"/>
        <v>0</v>
      </c>
      <c r="DG105" s="250">
        <f t="shared" si="194"/>
        <v>0</v>
      </c>
      <c r="DH105" s="250">
        <f t="shared" si="194"/>
        <v>0</v>
      </c>
      <c r="DI105" s="250">
        <f t="shared" si="194"/>
        <v>0</v>
      </c>
      <c r="DJ105" s="250">
        <f t="shared" si="194"/>
        <v>0</v>
      </c>
      <c r="DK105" s="250">
        <f t="shared" si="194"/>
        <v>0</v>
      </c>
      <c r="DL105" s="250">
        <f t="shared" si="194"/>
        <v>0</v>
      </c>
      <c r="DM105" s="250">
        <f t="shared" si="194"/>
        <v>0</v>
      </c>
      <c r="DN105" s="250">
        <f t="shared" si="194"/>
        <v>0</v>
      </c>
      <c r="DO105" s="250">
        <f t="shared" si="194"/>
        <v>0</v>
      </c>
      <c r="DP105" s="250">
        <f t="shared" si="194"/>
        <v>0</v>
      </c>
      <c r="DQ105" s="250">
        <f t="shared" si="194"/>
        <v>0</v>
      </c>
      <c r="DR105" s="250">
        <f t="shared" si="194"/>
        <v>0</v>
      </c>
      <c r="DS105" s="250">
        <f t="shared" si="194"/>
        <v>0</v>
      </c>
      <c r="DT105" s="250">
        <f t="shared" si="194"/>
        <v>0</v>
      </c>
      <c r="DU105" s="250">
        <f t="shared" si="194"/>
        <v>0</v>
      </c>
      <c r="DV105" s="250">
        <f t="shared" si="194"/>
        <v>0</v>
      </c>
      <c r="DW105" s="250">
        <f t="shared" si="194"/>
        <v>0</v>
      </c>
      <c r="DX105" s="250">
        <f t="shared" si="194"/>
        <v>0</v>
      </c>
      <c r="DY105" s="250">
        <f t="shared" si="194"/>
        <v>0</v>
      </c>
      <c r="DZ105" s="250">
        <f t="shared" si="194"/>
        <v>0</v>
      </c>
      <c r="EA105" s="250">
        <f t="shared" si="194"/>
        <v>0</v>
      </c>
      <c r="EB105" s="250">
        <f t="shared" si="194"/>
        <v>0</v>
      </c>
      <c r="EC105" s="250">
        <f t="shared" si="194"/>
        <v>0</v>
      </c>
      <c r="ED105" s="250">
        <f t="shared" si="194"/>
        <v>0</v>
      </c>
      <c r="EE105" s="250">
        <f>SUM(EE93:EE104)</f>
        <v>0</v>
      </c>
      <c r="EF105" s="250">
        <f>SUM(EF93:EF104)</f>
        <v>0</v>
      </c>
      <c r="EG105" s="250">
        <f>SUM(EG93:EG104)</f>
        <v>0</v>
      </c>
      <c r="EH105" s="250">
        <f>SUM(EH93:EH104)</f>
        <v>0</v>
      </c>
      <c r="EK105" s="672"/>
    </row>
    <row r="106" spans="1:141" ht="7.5" customHeight="1" thickTop="1" thickBot="1" x14ac:dyDescent="0.35">
      <c r="G106" s="229"/>
      <c r="H106" s="229"/>
      <c r="I106" s="229"/>
      <c r="J106" s="229"/>
      <c r="K106" s="229"/>
      <c r="L106" s="229"/>
      <c r="M106" s="229"/>
      <c r="N106" s="229"/>
      <c r="O106" s="229"/>
      <c r="P106" s="229"/>
      <c r="Q106" s="229"/>
      <c r="R106" s="229"/>
      <c r="S106" s="229"/>
      <c r="T106" s="229"/>
      <c r="U106" s="229"/>
      <c r="V106" s="229"/>
      <c r="W106" s="229"/>
      <c r="X106" s="229"/>
      <c r="Y106" s="229"/>
      <c r="Z106" s="229"/>
      <c r="AA106" s="229"/>
      <c r="AB106" s="229"/>
      <c r="AC106" s="229"/>
      <c r="AD106" s="229"/>
      <c r="AE106" s="229"/>
      <c r="AF106" s="229"/>
      <c r="AG106" s="229"/>
      <c r="AH106" s="229"/>
      <c r="AI106" s="229"/>
      <c r="AJ106" s="229"/>
      <c r="AK106" s="229"/>
      <c r="AL106" s="229"/>
      <c r="AM106" s="229"/>
      <c r="AN106" s="229"/>
      <c r="AO106" s="229"/>
      <c r="AP106" s="229"/>
      <c r="AQ106" s="229"/>
      <c r="AR106" s="229"/>
      <c r="AS106" s="229"/>
      <c r="AT106" s="229"/>
      <c r="AU106" s="229"/>
      <c r="AV106" s="229"/>
      <c r="AW106" s="229"/>
      <c r="AX106" s="229"/>
      <c r="AY106" s="229"/>
      <c r="AZ106" s="229"/>
      <c r="BA106" s="229"/>
      <c r="BB106" s="229"/>
      <c r="BC106" s="229"/>
      <c r="BD106" s="229"/>
      <c r="BE106" s="229"/>
      <c r="BF106" s="229"/>
      <c r="BG106" s="229"/>
      <c r="BH106" s="229"/>
      <c r="BI106" s="229"/>
      <c r="BJ106" s="229"/>
      <c r="BK106" s="229"/>
      <c r="BL106" s="229"/>
      <c r="BM106" s="229"/>
      <c r="BN106" s="229"/>
      <c r="BO106" s="229"/>
      <c r="BP106" s="229"/>
      <c r="BQ106" s="229"/>
      <c r="BR106" s="229"/>
      <c r="BS106" s="229"/>
      <c r="BT106" s="229"/>
      <c r="BU106" s="229"/>
      <c r="BV106" s="229"/>
      <c r="BW106" s="229"/>
      <c r="BX106" s="229"/>
      <c r="BY106" s="229"/>
      <c r="BZ106" s="229"/>
      <c r="CA106" s="229"/>
      <c r="CB106" s="229"/>
      <c r="CC106" s="229"/>
      <c r="CD106" s="229"/>
      <c r="CE106" s="229"/>
      <c r="CF106" s="229"/>
      <c r="CG106" s="229"/>
      <c r="CH106" s="229"/>
      <c r="CI106" s="229"/>
      <c r="CJ106" s="229"/>
      <c r="CK106" s="229"/>
      <c r="CL106" s="229"/>
      <c r="CM106" s="229"/>
      <c r="CN106" s="229"/>
      <c r="CO106" s="229"/>
      <c r="CP106" s="229"/>
      <c r="CQ106" s="229"/>
      <c r="CR106" s="229"/>
      <c r="CS106" s="229"/>
      <c r="CT106" s="229"/>
      <c r="CU106" s="229"/>
      <c r="CV106" s="229"/>
      <c r="CW106" s="229"/>
      <c r="CX106" s="229"/>
      <c r="CY106" s="229"/>
      <c r="CZ106" s="229"/>
      <c r="DA106" s="229"/>
      <c r="DB106" s="229"/>
      <c r="DC106" s="229"/>
      <c r="DD106" s="229"/>
      <c r="DE106" s="229"/>
      <c r="DF106" s="229"/>
      <c r="DG106" s="229"/>
      <c r="DH106" s="229"/>
      <c r="DI106" s="229"/>
      <c r="DJ106" s="229"/>
      <c r="DK106" s="229"/>
      <c r="DL106" s="229"/>
      <c r="DM106" s="229"/>
      <c r="DN106" s="229"/>
      <c r="DO106" s="229"/>
      <c r="DP106" s="229"/>
      <c r="DQ106" s="229"/>
      <c r="DR106" s="229"/>
      <c r="DS106" s="229"/>
      <c r="DT106" s="229"/>
      <c r="DU106" s="229"/>
      <c r="DV106" s="229"/>
      <c r="DW106" s="229"/>
      <c r="DX106" s="229"/>
      <c r="DY106" s="229"/>
      <c r="DZ106" s="229"/>
      <c r="EA106" s="229"/>
      <c r="EB106" s="229"/>
      <c r="EC106" s="229"/>
      <c r="ED106" s="229"/>
      <c r="EE106" s="229"/>
      <c r="EF106" s="229"/>
      <c r="EG106" s="229"/>
      <c r="EH106" s="229"/>
      <c r="EK106" s="280"/>
    </row>
    <row r="107" spans="1:141" ht="15" thickTop="1" x14ac:dyDescent="0.3">
      <c r="A107" s="2779" t="s">
        <v>2419</v>
      </c>
      <c r="B107" s="2780"/>
      <c r="C107" s="2781"/>
      <c r="D107" s="695"/>
      <c r="E107" s="696"/>
      <c r="F107" s="696"/>
      <c r="G107" s="695">
        <f t="shared" ref="G107:BR107" si="195">G5</f>
        <v>1</v>
      </c>
      <c r="H107" s="695">
        <f t="shared" si="195"/>
        <v>2</v>
      </c>
      <c r="I107" s="695">
        <f t="shared" si="195"/>
        <v>3</v>
      </c>
      <c r="J107" s="695">
        <f t="shared" si="195"/>
        <v>4</v>
      </c>
      <c r="K107" s="695">
        <f t="shared" si="195"/>
        <v>5</v>
      </c>
      <c r="L107" s="695">
        <f t="shared" si="195"/>
        <v>6</v>
      </c>
      <c r="M107" s="695">
        <f t="shared" si="195"/>
        <v>7</v>
      </c>
      <c r="N107" s="695">
        <f t="shared" si="195"/>
        <v>8</v>
      </c>
      <c r="O107" s="695">
        <f t="shared" si="195"/>
        <v>9</v>
      </c>
      <c r="P107" s="695">
        <f t="shared" si="195"/>
        <v>10</v>
      </c>
      <c r="Q107" s="695">
        <f t="shared" si="195"/>
        <v>11</v>
      </c>
      <c r="R107" s="695">
        <f t="shared" si="195"/>
        <v>12</v>
      </c>
      <c r="S107" s="695">
        <f t="shared" si="195"/>
        <v>13</v>
      </c>
      <c r="T107" s="695">
        <f t="shared" si="195"/>
        <v>14</v>
      </c>
      <c r="U107" s="695">
        <f t="shared" si="195"/>
        <v>15</v>
      </c>
      <c r="V107" s="695">
        <f t="shared" si="195"/>
        <v>16</v>
      </c>
      <c r="W107" s="695">
        <f t="shared" si="195"/>
        <v>17</v>
      </c>
      <c r="X107" s="695">
        <f t="shared" si="195"/>
        <v>18</v>
      </c>
      <c r="Y107" s="695">
        <f t="shared" si="195"/>
        <v>19</v>
      </c>
      <c r="Z107" s="695">
        <f t="shared" si="195"/>
        <v>20</v>
      </c>
      <c r="AA107" s="695">
        <f t="shared" si="195"/>
        <v>21</v>
      </c>
      <c r="AB107" s="695">
        <f t="shared" si="195"/>
        <v>22</v>
      </c>
      <c r="AC107" s="695">
        <f t="shared" si="195"/>
        <v>23</v>
      </c>
      <c r="AD107" s="695">
        <f t="shared" si="195"/>
        <v>24</v>
      </c>
      <c r="AE107" s="695">
        <f t="shared" si="195"/>
        <v>25</v>
      </c>
      <c r="AF107" s="695">
        <f t="shared" si="195"/>
        <v>26</v>
      </c>
      <c r="AG107" s="695">
        <f t="shared" si="195"/>
        <v>27</v>
      </c>
      <c r="AH107" s="695">
        <f t="shared" si="195"/>
        <v>28</v>
      </c>
      <c r="AI107" s="695">
        <f t="shared" si="195"/>
        <v>29</v>
      </c>
      <c r="AJ107" s="695">
        <f t="shared" si="195"/>
        <v>30</v>
      </c>
      <c r="AK107" s="695">
        <f t="shared" si="195"/>
        <v>31</v>
      </c>
      <c r="AL107" s="695">
        <f t="shared" si="195"/>
        <v>32</v>
      </c>
      <c r="AM107" s="695">
        <f t="shared" si="195"/>
        <v>33</v>
      </c>
      <c r="AN107" s="695">
        <f t="shared" si="195"/>
        <v>34</v>
      </c>
      <c r="AO107" s="695">
        <f t="shared" si="195"/>
        <v>35</v>
      </c>
      <c r="AP107" s="695">
        <f t="shared" si="195"/>
        <v>36</v>
      </c>
      <c r="AQ107" s="695">
        <f t="shared" si="195"/>
        <v>37</v>
      </c>
      <c r="AR107" s="695">
        <f t="shared" si="195"/>
        <v>38</v>
      </c>
      <c r="AS107" s="695">
        <f t="shared" si="195"/>
        <v>39</v>
      </c>
      <c r="AT107" s="695">
        <f t="shared" si="195"/>
        <v>40</v>
      </c>
      <c r="AU107" s="695">
        <f t="shared" si="195"/>
        <v>41</v>
      </c>
      <c r="AV107" s="695">
        <f t="shared" si="195"/>
        <v>42</v>
      </c>
      <c r="AW107" s="695">
        <f t="shared" si="195"/>
        <v>43</v>
      </c>
      <c r="AX107" s="695">
        <f t="shared" si="195"/>
        <v>44</v>
      </c>
      <c r="AY107" s="695">
        <f t="shared" si="195"/>
        <v>45</v>
      </c>
      <c r="AZ107" s="695">
        <f t="shared" si="195"/>
        <v>46</v>
      </c>
      <c r="BA107" s="695">
        <f t="shared" si="195"/>
        <v>47</v>
      </c>
      <c r="BB107" s="695">
        <f t="shared" si="195"/>
        <v>48</v>
      </c>
      <c r="BC107" s="695">
        <f t="shared" si="195"/>
        <v>49</v>
      </c>
      <c r="BD107" s="695">
        <f t="shared" si="195"/>
        <v>50</v>
      </c>
      <c r="BE107" s="695">
        <f t="shared" si="195"/>
        <v>51</v>
      </c>
      <c r="BF107" s="695">
        <f t="shared" si="195"/>
        <v>52</v>
      </c>
      <c r="BG107" s="695">
        <f t="shared" si="195"/>
        <v>53</v>
      </c>
      <c r="BH107" s="695">
        <f t="shared" si="195"/>
        <v>54</v>
      </c>
      <c r="BI107" s="695">
        <f t="shared" si="195"/>
        <v>55</v>
      </c>
      <c r="BJ107" s="695">
        <f t="shared" si="195"/>
        <v>56</v>
      </c>
      <c r="BK107" s="695">
        <f t="shared" si="195"/>
        <v>57</v>
      </c>
      <c r="BL107" s="695">
        <f t="shared" si="195"/>
        <v>58</v>
      </c>
      <c r="BM107" s="695">
        <f t="shared" si="195"/>
        <v>59</v>
      </c>
      <c r="BN107" s="695">
        <f t="shared" si="195"/>
        <v>60</v>
      </c>
      <c r="BO107" s="695">
        <f t="shared" si="195"/>
        <v>61</v>
      </c>
      <c r="BP107" s="695">
        <f t="shared" si="195"/>
        <v>62</v>
      </c>
      <c r="BQ107" s="695">
        <f t="shared" si="195"/>
        <v>63</v>
      </c>
      <c r="BR107" s="695">
        <f t="shared" si="195"/>
        <v>64</v>
      </c>
      <c r="BS107" s="695">
        <f t="shared" ref="BS107:ED107" si="196">BS5</f>
        <v>65</v>
      </c>
      <c r="BT107" s="695">
        <f t="shared" si="196"/>
        <v>66</v>
      </c>
      <c r="BU107" s="695">
        <f t="shared" si="196"/>
        <v>67</v>
      </c>
      <c r="BV107" s="695">
        <f t="shared" si="196"/>
        <v>68</v>
      </c>
      <c r="BW107" s="695">
        <f t="shared" si="196"/>
        <v>69</v>
      </c>
      <c r="BX107" s="695">
        <f t="shared" si="196"/>
        <v>70</v>
      </c>
      <c r="BY107" s="695">
        <f t="shared" si="196"/>
        <v>71</v>
      </c>
      <c r="BZ107" s="695">
        <f t="shared" si="196"/>
        <v>72</v>
      </c>
      <c r="CA107" s="695">
        <f t="shared" si="196"/>
        <v>73</v>
      </c>
      <c r="CB107" s="695">
        <f t="shared" si="196"/>
        <v>74</v>
      </c>
      <c r="CC107" s="695">
        <f t="shared" si="196"/>
        <v>75</v>
      </c>
      <c r="CD107" s="695">
        <f t="shared" si="196"/>
        <v>76</v>
      </c>
      <c r="CE107" s="695">
        <f t="shared" si="196"/>
        <v>77</v>
      </c>
      <c r="CF107" s="695">
        <f t="shared" si="196"/>
        <v>78</v>
      </c>
      <c r="CG107" s="695">
        <f t="shared" si="196"/>
        <v>79</v>
      </c>
      <c r="CH107" s="695">
        <f t="shared" si="196"/>
        <v>80</v>
      </c>
      <c r="CI107" s="695">
        <f t="shared" si="196"/>
        <v>81</v>
      </c>
      <c r="CJ107" s="695">
        <f t="shared" si="196"/>
        <v>82</v>
      </c>
      <c r="CK107" s="695">
        <f t="shared" si="196"/>
        <v>83</v>
      </c>
      <c r="CL107" s="695">
        <f t="shared" si="196"/>
        <v>84</v>
      </c>
      <c r="CM107" s="695">
        <f t="shared" si="196"/>
        <v>85</v>
      </c>
      <c r="CN107" s="695">
        <f t="shared" si="196"/>
        <v>86</v>
      </c>
      <c r="CO107" s="695">
        <f t="shared" si="196"/>
        <v>87</v>
      </c>
      <c r="CP107" s="695">
        <f t="shared" si="196"/>
        <v>88</v>
      </c>
      <c r="CQ107" s="695">
        <f t="shared" si="196"/>
        <v>89</v>
      </c>
      <c r="CR107" s="695">
        <f t="shared" si="196"/>
        <v>90</v>
      </c>
      <c r="CS107" s="695">
        <f t="shared" si="196"/>
        <v>91</v>
      </c>
      <c r="CT107" s="695">
        <f t="shared" si="196"/>
        <v>92</v>
      </c>
      <c r="CU107" s="695">
        <f t="shared" si="196"/>
        <v>93</v>
      </c>
      <c r="CV107" s="695">
        <f t="shared" si="196"/>
        <v>94</v>
      </c>
      <c r="CW107" s="695">
        <f t="shared" si="196"/>
        <v>95</v>
      </c>
      <c r="CX107" s="695">
        <f t="shared" si="196"/>
        <v>96</v>
      </c>
      <c r="CY107" s="695">
        <f t="shared" si="196"/>
        <v>97</v>
      </c>
      <c r="CZ107" s="695">
        <f t="shared" si="196"/>
        <v>98</v>
      </c>
      <c r="DA107" s="695">
        <f t="shared" si="196"/>
        <v>99</v>
      </c>
      <c r="DB107" s="695">
        <f t="shared" si="196"/>
        <v>100</v>
      </c>
      <c r="DC107" s="695">
        <f t="shared" si="196"/>
        <v>101</v>
      </c>
      <c r="DD107" s="695">
        <f t="shared" si="196"/>
        <v>102</v>
      </c>
      <c r="DE107" s="695">
        <f t="shared" si="196"/>
        <v>103</v>
      </c>
      <c r="DF107" s="695">
        <f t="shared" si="196"/>
        <v>104</v>
      </c>
      <c r="DG107" s="695">
        <f t="shared" si="196"/>
        <v>105</v>
      </c>
      <c r="DH107" s="695">
        <f t="shared" si="196"/>
        <v>106</v>
      </c>
      <c r="DI107" s="695">
        <f t="shared" si="196"/>
        <v>107</v>
      </c>
      <c r="DJ107" s="695">
        <f t="shared" si="196"/>
        <v>108</v>
      </c>
      <c r="DK107" s="695">
        <f t="shared" si="196"/>
        <v>109</v>
      </c>
      <c r="DL107" s="695">
        <f t="shared" si="196"/>
        <v>110</v>
      </c>
      <c r="DM107" s="695">
        <f t="shared" si="196"/>
        <v>111</v>
      </c>
      <c r="DN107" s="695">
        <f t="shared" si="196"/>
        <v>112</v>
      </c>
      <c r="DO107" s="695">
        <f t="shared" si="196"/>
        <v>113</v>
      </c>
      <c r="DP107" s="695">
        <f t="shared" si="196"/>
        <v>114</v>
      </c>
      <c r="DQ107" s="695">
        <f t="shared" si="196"/>
        <v>115</v>
      </c>
      <c r="DR107" s="695">
        <f t="shared" si="196"/>
        <v>116</v>
      </c>
      <c r="DS107" s="695">
        <f t="shared" si="196"/>
        <v>117</v>
      </c>
      <c r="DT107" s="695">
        <f t="shared" si="196"/>
        <v>118</v>
      </c>
      <c r="DU107" s="695">
        <f t="shared" si="196"/>
        <v>119</v>
      </c>
      <c r="DV107" s="695">
        <f t="shared" si="196"/>
        <v>120</v>
      </c>
      <c r="DW107" s="695">
        <f t="shared" si="196"/>
        <v>121</v>
      </c>
      <c r="DX107" s="695">
        <f t="shared" si="196"/>
        <v>122</v>
      </c>
      <c r="DY107" s="695">
        <f t="shared" si="196"/>
        <v>123</v>
      </c>
      <c r="DZ107" s="695">
        <f t="shared" si="196"/>
        <v>124</v>
      </c>
      <c r="EA107" s="695">
        <f t="shared" si="196"/>
        <v>125</v>
      </c>
      <c r="EB107" s="695">
        <f t="shared" si="196"/>
        <v>126</v>
      </c>
      <c r="EC107" s="695">
        <f t="shared" si="196"/>
        <v>127</v>
      </c>
      <c r="ED107" s="695">
        <f t="shared" si="196"/>
        <v>128</v>
      </c>
      <c r="EE107" s="695">
        <f t="shared" ref="EE107:EH107" si="197">EE5</f>
        <v>129</v>
      </c>
      <c r="EF107" s="695">
        <f t="shared" si="197"/>
        <v>130</v>
      </c>
      <c r="EG107" s="695">
        <f t="shared" si="197"/>
        <v>131</v>
      </c>
      <c r="EH107" s="695">
        <f t="shared" si="197"/>
        <v>132</v>
      </c>
      <c r="EK107" s="280"/>
    </row>
    <row r="108" spans="1:141" x14ac:dyDescent="0.3">
      <c r="A108" t="s">
        <v>2411</v>
      </c>
      <c r="G108" s="229">
        <f t="shared" ref="G108:BR108" si="198">F113</f>
        <v>0</v>
      </c>
      <c r="H108" s="229">
        <f t="shared" si="198"/>
        <v>0</v>
      </c>
      <c r="I108" s="229">
        <f t="shared" si="198"/>
        <v>0</v>
      </c>
      <c r="J108" s="229">
        <f t="shared" si="198"/>
        <v>0</v>
      </c>
      <c r="K108" s="229">
        <f t="shared" si="198"/>
        <v>0</v>
      </c>
      <c r="L108" s="229">
        <f t="shared" si="198"/>
        <v>0</v>
      </c>
      <c r="M108" s="229">
        <f t="shared" si="198"/>
        <v>0</v>
      </c>
      <c r="N108" s="229">
        <f t="shared" si="198"/>
        <v>0</v>
      </c>
      <c r="O108" s="229">
        <f t="shared" si="198"/>
        <v>0</v>
      </c>
      <c r="P108" s="229">
        <f t="shared" si="198"/>
        <v>0</v>
      </c>
      <c r="Q108" s="229">
        <f t="shared" si="198"/>
        <v>0</v>
      </c>
      <c r="R108" s="229">
        <f t="shared" si="198"/>
        <v>0</v>
      </c>
      <c r="S108" s="229">
        <f t="shared" si="198"/>
        <v>0</v>
      </c>
      <c r="T108" s="229">
        <f t="shared" si="198"/>
        <v>14.4</v>
      </c>
      <c r="U108" s="229">
        <f t="shared" si="198"/>
        <v>28.8</v>
      </c>
      <c r="V108" s="229">
        <f t="shared" si="198"/>
        <v>43.2</v>
      </c>
      <c r="W108" s="229">
        <f t="shared" si="198"/>
        <v>57.6</v>
      </c>
      <c r="X108" s="229">
        <f t="shared" si="198"/>
        <v>72</v>
      </c>
      <c r="Y108" s="229">
        <f t="shared" si="198"/>
        <v>93.6</v>
      </c>
      <c r="Z108" s="229">
        <f t="shared" si="198"/>
        <v>115.19999999999999</v>
      </c>
      <c r="AA108" s="229">
        <f t="shared" si="198"/>
        <v>136.79999999999998</v>
      </c>
      <c r="AB108" s="229">
        <f t="shared" si="198"/>
        <v>158.39999999999998</v>
      </c>
      <c r="AC108" s="229">
        <f t="shared" si="198"/>
        <v>179.99999999999997</v>
      </c>
      <c r="AD108" s="229">
        <f t="shared" si="198"/>
        <v>201.59999999999997</v>
      </c>
      <c r="AE108" s="229">
        <f t="shared" si="198"/>
        <v>215.99999999999997</v>
      </c>
      <c r="AF108" s="229">
        <f t="shared" si="198"/>
        <v>230.39999999999998</v>
      </c>
      <c r="AG108" s="229">
        <f t="shared" si="198"/>
        <v>240.98</v>
      </c>
      <c r="AH108" s="229">
        <f t="shared" si="198"/>
        <v>240.98</v>
      </c>
      <c r="AI108" s="229">
        <f t="shared" si="198"/>
        <v>240.98</v>
      </c>
      <c r="AJ108" s="229">
        <f t="shared" si="198"/>
        <v>240.98</v>
      </c>
      <c r="AK108" s="229">
        <f t="shared" si="198"/>
        <v>240.98</v>
      </c>
      <c r="AL108" s="229">
        <f t="shared" si="198"/>
        <v>240.98</v>
      </c>
      <c r="AM108" s="229">
        <f t="shared" si="198"/>
        <v>240.98</v>
      </c>
      <c r="AN108" s="229">
        <f t="shared" si="198"/>
        <v>240.98</v>
      </c>
      <c r="AO108" s="229">
        <f t="shared" si="198"/>
        <v>240.98</v>
      </c>
      <c r="AP108" s="229">
        <f t="shared" si="198"/>
        <v>240.98</v>
      </c>
      <c r="AQ108" s="229">
        <f t="shared" si="198"/>
        <v>240.98</v>
      </c>
      <c r="AR108" s="229">
        <f t="shared" si="198"/>
        <v>240.98</v>
      </c>
      <c r="AS108" s="229">
        <f t="shared" si="198"/>
        <v>240.98</v>
      </c>
      <c r="AT108" s="229">
        <f t="shared" si="198"/>
        <v>240.98</v>
      </c>
      <c r="AU108" s="229">
        <f t="shared" si="198"/>
        <v>240.98</v>
      </c>
      <c r="AV108" s="229">
        <f t="shared" si="198"/>
        <v>240.98</v>
      </c>
      <c r="AW108" s="229">
        <f t="shared" si="198"/>
        <v>240.98</v>
      </c>
      <c r="AX108" s="229">
        <f t="shared" si="198"/>
        <v>240.98</v>
      </c>
      <c r="AY108" s="229">
        <f t="shared" si="198"/>
        <v>240.98</v>
      </c>
      <c r="AZ108" s="229">
        <f t="shared" si="198"/>
        <v>240.98</v>
      </c>
      <c r="BA108" s="229">
        <f t="shared" si="198"/>
        <v>240.98</v>
      </c>
      <c r="BB108" s="229">
        <f t="shared" si="198"/>
        <v>240.98</v>
      </c>
      <c r="BC108" s="229">
        <f t="shared" si="198"/>
        <v>240.98</v>
      </c>
      <c r="BD108" s="229">
        <f t="shared" si="198"/>
        <v>240.98</v>
      </c>
      <c r="BE108" s="229">
        <f t="shared" si="198"/>
        <v>240.98</v>
      </c>
      <c r="BF108" s="229">
        <f t="shared" si="198"/>
        <v>240.98</v>
      </c>
      <c r="BG108" s="229">
        <f t="shared" si="198"/>
        <v>240.98</v>
      </c>
      <c r="BH108" s="229">
        <f t="shared" si="198"/>
        <v>240.98</v>
      </c>
      <c r="BI108" s="229">
        <f t="shared" si="198"/>
        <v>240.98</v>
      </c>
      <c r="BJ108" s="229">
        <f t="shared" si="198"/>
        <v>240.98</v>
      </c>
      <c r="BK108" s="229">
        <f t="shared" si="198"/>
        <v>240.98</v>
      </c>
      <c r="BL108" s="229">
        <f t="shared" si="198"/>
        <v>240.98</v>
      </c>
      <c r="BM108" s="229">
        <f t="shared" si="198"/>
        <v>240.98</v>
      </c>
      <c r="BN108" s="229">
        <f t="shared" si="198"/>
        <v>240.98</v>
      </c>
      <c r="BO108" s="229">
        <f t="shared" si="198"/>
        <v>240.98</v>
      </c>
      <c r="BP108" s="229">
        <f t="shared" si="198"/>
        <v>240.98</v>
      </c>
      <c r="BQ108" s="229">
        <f t="shared" si="198"/>
        <v>240.98</v>
      </c>
      <c r="BR108" s="229">
        <f t="shared" si="198"/>
        <v>240.98</v>
      </c>
      <c r="BS108" s="229">
        <f t="shared" ref="BS108:ED108" si="199">BR113</f>
        <v>240.98</v>
      </c>
      <c r="BT108" s="229">
        <f t="shared" si="199"/>
        <v>240.98</v>
      </c>
      <c r="BU108" s="229">
        <f t="shared" si="199"/>
        <v>240.98</v>
      </c>
      <c r="BV108" s="229">
        <f t="shared" si="199"/>
        <v>240.98</v>
      </c>
      <c r="BW108" s="229">
        <f t="shared" si="199"/>
        <v>240.98</v>
      </c>
      <c r="BX108" s="229">
        <f t="shared" si="199"/>
        <v>240.98</v>
      </c>
      <c r="BY108" s="229">
        <f t="shared" si="199"/>
        <v>240.98</v>
      </c>
      <c r="BZ108" s="229">
        <f t="shared" si="199"/>
        <v>240.98</v>
      </c>
      <c r="CA108" s="229">
        <f t="shared" si="199"/>
        <v>240.98</v>
      </c>
      <c r="CB108" s="229">
        <f t="shared" si="199"/>
        <v>240.98</v>
      </c>
      <c r="CC108" s="229">
        <f t="shared" si="199"/>
        <v>240.98</v>
      </c>
      <c r="CD108" s="229">
        <f t="shared" si="199"/>
        <v>240.98</v>
      </c>
      <c r="CE108" s="229">
        <f t="shared" si="199"/>
        <v>240.98</v>
      </c>
      <c r="CF108" s="229">
        <f t="shared" si="199"/>
        <v>240.98</v>
      </c>
      <c r="CG108" s="229">
        <f t="shared" si="199"/>
        <v>240.98</v>
      </c>
      <c r="CH108" s="229">
        <f t="shared" si="199"/>
        <v>240.98</v>
      </c>
      <c r="CI108" s="229">
        <f t="shared" si="199"/>
        <v>240.98</v>
      </c>
      <c r="CJ108" s="229">
        <f t="shared" si="199"/>
        <v>240.98</v>
      </c>
      <c r="CK108" s="229">
        <f t="shared" si="199"/>
        <v>240.98</v>
      </c>
      <c r="CL108" s="229">
        <f t="shared" si="199"/>
        <v>240.98</v>
      </c>
      <c r="CM108" s="229">
        <f t="shared" si="199"/>
        <v>240.98</v>
      </c>
      <c r="CN108" s="229">
        <f t="shared" si="199"/>
        <v>240.98</v>
      </c>
      <c r="CO108" s="229">
        <f t="shared" si="199"/>
        <v>240.98</v>
      </c>
      <c r="CP108" s="229">
        <f t="shared" si="199"/>
        <v>240.98</v>
      </c>
      <c r="CQ108" s="229">
        <f t="shared" si="199"/>
        <v>240.98</v>
      </c>
      <c r="CR108" s="229">
        <f t="shared" si="199"/>
        <v>240.98</v>
      </c>
      <c r="CS108" s="229">
        <f t="shared" si="199"/>
        <v>240.98</v>
      </c>
      <c r="CT108" s="229">
        <f t="shared" si="199"/>
        <v>240.98</v>
      </c>
      <c r="CU108" s="229">
        <f t="shared" si="199"/>
        <v>240.98</v>
      </c>
      <c r="CV108" s="229">
        <f t="shared" si="199"/>
        <v>240.98</v>
      </c>
      <c r="CW108" s="229">
        <f t="shared" si="199"/>
        <v>240.98</v>
      </c>
      <c r="CX108" s="229">
        <f t="shared" si="199"/>
        <v>240.98</v>
      </c>
      <c r="CY108" s="229">
        <f t="shared" si="199"/>
        <v>240.98</v>
      </c>
      <c r="CZ108" s="229">
        <f t="shared" si="199"/>
        <v>240.98</v>
      </c>
      <c r="DA108" s="229">
        <f t="shared" si="199"/>
        <v>240.98</v>
      </c>
      <c r="DB108" s="229">
        <f t="shared" si="199"/>
        <v>240.98</v>
      </c>
      <c r="DC108" s="229">
        <f t="shared" si="199"/>
        <v>240.98</v>
      </c>
      <c r="DD108" s="229">
        <f t="shared" si="199"/>
        <v>240.98</v>
      </c>
      <c r="DE108" s="229">
        <f t="shared" si="199"/>
        <v>240.98</v>
      </c>
      <c r="DF108" s="229">
        <f t="shared" si="199"/>
        <v>240.98</v>
      </c>
      <c r="DG108" s="229">
        <f t="shared" si="199"/>
        <v>240.98</v>
      </c>
      <c r="DH108" s="229">
        <f t="shared" si="199"/>
        <v>240.98</v>
      </c>
      <c r="DI108" s="229">
        <f t="shared" si="199"/>
        <v>240.98</v>
      </c>
      <c r="DJ108" s="229">
        <f t="shared" si="199"/>
        <v>240.98</v>
      </c>
      <c r="DK108" s="229">
        <f t="shared" si="199"/>
        <v>240.98</v>
      </c>
      <c r="DL108" s="229">
        <f t="shared" si="199"/>
        <v>240.98</v>
      </c>
      <c r="DM108" s="229">
        <f t="shared" si="199"/>
        <v>240.98</v>
      </c>
      <c r="DN108" s="229">
        <f t="shared" si="199"/>
        <v>240.98</v>
      </c>
      <c r="DO108" s="229">
        <f t="shared" si="199"/>
        <v>240.98</v>
      </c>
      <c r="DP108" s="229">
        <f t="shared" si="199"/>
        <v>240.98</v>
      </c>
      <c r="DQ108" s="229">
        <f t="shared" si="199"/>
        <v>240.98</v>
      </c>
      <c r="DR108" s="229">
        <f t="shared" si="199"/>
        <v>240.98</v>
      </c>
      <c r="DS108" s="229">
        <f t="shared" si="199"/>
        <v>240.98</v>
      </c>
      <c r="DT108" s="229">
        <f t="shared" si="199"/>
        <v>240.98</v>
      </c>
      <c r="DU108" s="229">
        <f t="shared" si="199"/>
        <v>240.98</v>
      </c>
      <c r="DV108" s="229">
        <f t="shared" si="199"/>
        <v>240.98</v>
      </c>
      <c r="DW108" s="229">
        <f t="shared" si="199"/>
        <v>240.98</v>
      </c>
      <c r="DX108" s="229">
        <f t="shared" si="199"/>
        <v>240.98</v>
      </c>
      <c r="DY108" s="229">
        <f t="shared" si="199"/>
        <v>240.98</v>
      </c>
      <c r="DZ108" s="229">
        <f t="shared" si="199"/>
        <v>240.98</v>
      </c>
      <c r="EA108" s="229">
        <f t="shared" si="199"/>
        <v>240.98</v>
      </c>
      <c r="EB108" s="229">
        <f t="shared" si="199"/>
        <v>240.98</v>
      </c>
      <c r="EC108" s="229">
        <f t="shared" si="199"/>
        <v>240.98</v>
      </c>
      <c r="ED108" s="229">
        <f t="shared" si="199"/>
        <v>240.98</v>
      </c>
      <c r="EE108" s="229">
        <f t="shared" ref="EE108:EH108" si="200">ED113</f>
        <v>240.98</v>
      </c>
      <c r="EF108" s="229">
        <f t="shared" si="200"/>
        <v>240.98</v>
      </c>
      <c r="EG108" s="229">
        <f t="shared" si="200"/>
        <v>240.98</v>
      </c>
      <c r="EH108" s="229">
        <f t="shared" si="200"/>
        <v>240.98</v>
      </c>
      <c r="EK108" s="280"/>
    </row>
    <row r="109" spans="1:141" x14ac:dyDescent="0.3">
      <c r="A109" t="s">
        <v>2412</v>
      </c>
      <c r="G109" s="229">
        <f t="shared" ref="G109:BR109" si="201">G112+G110</f>
        <v>0</v>
      </c>
      <c r="H109" s="229">
        <f t="shared" si="201"/>
        <v>0</v>
      </c>
      <c r="I109" s="229">
        <f t="shared" si="201"/>
        <v>0</v>
      </c>
      <c r="J109" s="229">
        <f t="shared" si="201"/>
        <v>0</v>
      </c>
      <c r="K109" s="229">
        <f t="shared" si="201"/>
        <v>0</v>
      </c>
      <c r="L109" s="229">
        <f t="shared" si="201"/>
        <v>0</v>
      </c>
      <c r="M109" s="229">
        <f t="shared" si="201"/>
        <v>0</v>
      </c>
      <c r="N109" s="229">
        <f t="shared" si="201"/>
        <v>0</v>
      </c>
      <c r="O109" s="229">
        <f t="shared" si="201"/>
        <v>0</v>
      </c>
      <c r="P109" s="229">
        <f t="shared" si="201"/>
        <v>0</v>
      </c>
      <c r="Q109" s="229">
        <f t="shared" si="201"/>
        <v>0</v>
      </c>
      <c r="R109" s="229">
        <f t="shared" si="201"/>
        <v>0</v>
      </c>
      <c r="S109" s="229">
        <f t="shared" si="201"/>
        <v>14.4</v>
      </c>
      <c r="T109" s="229">
        <f t="shared" si="201"/>
        <v>14.4</v>
      </c>
      <c r="U109" s="229">
        <f t="shared" si="201"/>
        <v>14.4</v>
      </c>
      <c r="V109" s="229">
        <f t="shared" si="201"/>
        <v>14.4</v>
      </c>
      <c r="W109" s="229">
        <f t="shared" si="201"/>
        <v>14.4</v>
      </c>
      <c r="X109" s="229">
        <f t="shared" si="201"/>
        <v>21.599999999999998</v>
      </c>
      <c r="Y109" s="229">
        <f t="shared" si="201"/>
        <v>21.599999999999998</v>
      </c>
      <c r="Z109" s="229">
        <f t="shared" si="201"/>
        <v>21.599999999999998</v>
      </c>
      <c r="AA109" s="229">
        <f t="shared" si="201"/>
        <v>21.599999999999998</v>
      </c>
      <c r="AB109" s="229">
        <f t="shared" si="201"/>
        <v>21.599999999999998</v>
      </c>
      <c r="AC109" s="229">
        <f t="shared" si="201"/>
        <v>21.599999999999998</v>
      </c>
      <c r="AD109" s="229">
        <f t="shared" si="201"/>
        <v>14.4</v>
      </c>
      <c r="AE109" s="229">
        <f t="shared" si="201"/>
        <v>28.8</v>
      </c>
      <c r="AF109" s="229">
        <f t="shared" si="201"/>
        <v>24.980000000000011</v>
      </c>
      <c r="AG109" s="229">
        <f t="shared" si="201"/>
        <v>14.4</v>
      </c>
      <c r="AH109" s="229">
        <f t="shared" si="201"/>
        <v>14.4</v>
      </c>
      <c r="AI109" s="229">
        <f t="shared" si="201"/>
        <v>14.4</v>
      </c>
      <c r="AJ109" s="229">
        <f t="shared" si="201"/>
        <v>21.599999999999998</v>
      </c>
      <c r="AK109" s="229">
        <f t="shared" si="201"/>
        <v>21.599999999999998</v>
      </c>
      <c r="AL109" s="229">
        <f t="shared" si="201"/>
        <v>21.599999999999998</v>
      </c>
      <c r="AM109" s="229">
        <f t="shared" si="201"/>
        <v>21.599999999999998</v>
      </c>
      <c r="AN109" s="229">
        <f t="shared" si="201"/>
        <v>21.599999999999998</v>
      </c>
      <c r="AO109" s="229">
        <f t="shared" si="201"/>
        <v>21.599999999999998</v>
      </c>
      <c r="AP109" s="229">
        <f t="shared" si="201"/>
        <v>14.4</v>
      </c>
      <c r="AQ109" s="229">
        <f t="shared" si="201"/>
        <v>28.8</v>
      </c>
      <c r="AR109" s="229">
        <f t="shared" si="201"/>
        <v>24.980000000000011</v>
      </c>
      <c r="AS109" s="229">
        <f t="shared" si="201"/>
        <v>14.4</v>
      </c>
      <c r="AT109" s="229">
        <f t="shared" si="201"/>
        <v>14.4</v>
      </c>
      <c r="AU109" s="229">
        <f t="shared" si="201"/>
        <v>14.4</v>
      </c>
      <c r="AV109" s="229">
        <f t="shared" si="201"/>
        <v>21.599999999999998</v>
      </c>
      <c r="AW109" s="229">
        <f t="shared" si="201"/>
        <v>21.599999999999998</v>
      </c>
      <c r="AX109" s="229">
        <f t="shared" si="201"/>
        <v>21.599999999999998</v>
      </c>
      <c r="AY109" s="229">
        <f t="shared" si="201"/>
        <v>21.599999999999998</v>
      </c>
      <c r="AZ109" s="229">
        <f t="shared" si="201"/>
        <v>21.599999999999998</v>
      </c>
      <c r="BA109" s="229">
        <f t="shared" si="201"/>
        <v>21.599999999999998</v>
      </c>
      <c r="BB109" s="229">
        <f t="shared" si="201"/>
        <v>14.4</v>
      </c>
      <c r="BC109" s="229">
        <f t="shared" si="201"/>
        <v>28.8</v>
      </c>
      <c r="BD109" s="229">
        <f t="shared" si="201"/>
        <v>24.980000000000011</v>
      </c>
      <c r="BE109" s="229">
        <f t="shared" si="201"/>
        <v>14.4</v>
      </c>
      <c r="BF109" s="229">
        <f t="shared" si="201"/>
        <v>14.4</v>
      </c>
      <c r="BG109" s="229">
        <f t="shared" si="201"/>
        <v>14.4</v>
      </c>
      <c r="BH109" s="229">
        <f t="shared" si="201"/>
        <v>21.599999999999998</v>
      </c>
      <c r="BI109" s="229">
        <f t="shared" si="201"/>
        <v>21.599999999999998</v>
      </c>
      <c r="BJ109" s="229">
        <f t="shared" si="201"/>
        <v>21.599999999999998</v>
      </c>
      <c r="BK109" s="229">
        <f t="shared" si="201"/>
        <v>21.599999999999998</v>
      </c>
      <c r="BL109" s="229">
        <f t="shared" si="201"/>
        <v>21.599999999999998</v>
      </c>
      <c r="BM109" s="229">
        <f t="shared" si="201"/>
        <v>21.599999999999998</v>
      </c>
      <c r="BN109" s="229">
        <f t="shared" si="201"/>
        <v>14.4</v>
      </c>
      <c r="BO109" s="229">
        <f t="shared" si="201"/>
        <v>28.8</v>
      </c>
      <c r="BP109" s="229">
        <f t="shared" si="201"/>
        <v>24.980000000000011</v>
      </c>
      <c r="BQ109" s="229">
        <f t="shared" si="201"/>
        <v>14.4</v>
      </c>
      <c r="BR109" s="229">
        <f t="shared" si="201"/>
        <v>14.4</v>
      </c>
      <c r="BS109" s="229">
        <f t="shared" ref="BS109:ED109" si="202">BS112+BS110</f>
        <v>14.4</v>
      </c>
      <c r="BT109" s="229">
        <f t="shared" si="202"/>
        <v>21.599999999999998</v>
      </c>
      <c r="BU109" s="229">
        <f t="shared" si="202"/>
        <v>21.599999999999998</v>
      </c>
      <c r="BV109" s="229">
        <f t="shared" si="202"/>
        <v>21.599999999999998</v>
      </c>
      <c r="BW109" s="229">
        <f t="shared" si="202"/>
        <v>21.599999999999998</v>
      </c>
      <c r="BX109" s="229">
        <f t="shared" si="202"/>
        <v>21.599999999999998</v>
      </c>
      <c r="BY109" s="229">
        <f t="shared" si="202"/>
        <v>21.599999999999998</v>
      </c>
      <c r="BZ109" s="229">
        <f t="shared" si="202"/>
        <v>14.4</v>
      </c>
      <c r="CA109" s="229">
        <f t="shared" si="202"/>
        <v>28.8</v>
      </c>
      <c r="CB109" s="229">
        <f t="shared" si="202"/>
        <v>24.980000000000011</v>
      </c>
      <c r="CC109" s="229">
        <f t="shared" si="202"/>
        <v>14.4</v>
      </c>
      <c r="CD109" s="229">
        <f t="shared" si="202"/>
        <v>14.4</v>
      </c>
      <c r="CE109" s="229">
        <f t="shared" si="202"/>
        <v>14.4</v>
      </c>
      <c r="CF109" s="229">
        <f t="shared" si="202"/>
        <v>21.599999999999998</v>
      </c>
      <c r="CG109" s="229">
        <f t="shared" si="202"/>
        <v>21.599999999999998</v>
      </c>
      <c r="CH109" s="229">
        <f t="shared" si="202"/>
        <v>21.599999999999998</v>
      </c>
      <c r="CI109" s="229">
        <f t="shared" si="202"/>
        <v>21.599999999999998</v>
      </c>
      <c r="CJ109" s="229">
        <f t="shared" si="202"/>
        <v>21.599999999999998</v>
      </c>
      <c r="CK109" s="229">
        <f t="shared" si="202"/>
        <v>21.599999999999998</v>
      </c>
      <c r="CL109" s="229">
        <f t="shared" si="202"/>
        <v>14.4</v>
      </c>
      <c r="CM109" s="229">
        <f t="shared" si="202"/>
        <v>28.8</v>
      </c>
      <c r="CN109" s="229">
        <f t="shared" si="202"/>
        <v>24.980000000000011</v>
      </c>
      <c r="CO109" s="229">
        <f t="shared" si="202"/>
        <v>14.4</v>
      </c>
      <c r="CP109" s="229">
        <f t="shared" si="202"/>
        <v>14.4</v>
      </c>
      <c r="CQ109" s="229">
        <f t="shared" si="202"/>
        <v>14.4</v>
      </c>
      <c r="CR109" s="229">
        <f t="shared" si="202"/>
        <v>21.599999999999998</v>
      </c>
      <c r="CS109" s="229">
        <f t="shared" si="202"/>
        <v>21.599999999999998</v>
      </c>
      <c r="CT109" s="229">
        <f t="shared" si="202"/>
        <v>21.599999999999998</v>
      </c>
      <c r="CU109" s="229">
        <f t="shared" si="202"/>
        <v>21.599999999999998</v>
      </c>
      <c r="CV109" s="229">
        <f t="shared" si="202"/>
        <v>21.599999999999998</v>
      </c>
      <c r="CW109" s="229">
        <f t="shared" si="202"/>
        <v>21.599999999999998</v>
      </c>
      <c r="CX109" s="229">
        <f t="shared" si="202"/>
        <v>14.4</v>
      </c>
      <c r="CY109" s="229">
        <f t="shared" si="202"/>
        <v>28.8</v>
      </c>
      <c r="CZ109" s="229">
        <f t="shared" si="202"/>
        <v>24.980000000000011</v>
      </c>
      <c r="DA109" s="229">
        <f t="shared" si="202"/>
        <v>14.4</v>
      </c>
      <c r="DB109" s="229">
        <f t="shared" si="202"/>
        <v>14.4</v>
      </c>
      <c r="DC109" s="229">
        <f t="shared" si="202"/>
        <v>14.4</v>
      </c>
      <c r="DD109" s="229">
        <f t="shared" si="202"/>
        <v>21.599999999999998</v>
      </c>
      <c r="DE109" s="229">
        <f t="shared" si="202"/>
        <v>21.599999999999998</v>
      </c>
      <c r="DF109" s="229">
        <f t="shared" si="202"/>
        <v>21.599999999999998</v>
      </c>
      <c r="DG109" s="229">
        <f t="shared" si="202"/>
        <v>21.599999999999998</v>
      </c>
      <c r="DH109" s="229">
        <f t="shared" si="202"/>
        <v>21.599999999999998</v>
      </c>
      <c r="DI109" s="229">
        <f t="shared" si="202"/>
        <v>21.599999999999998</v>
      </c>
      <c r="DJ109" s="229">
        <f t="shared" si="202"/>
        <v>14.4</v>
      </c>
      <c r="DK109" s="229">
        <f t="shared" si="202"/>
        <v>28.8</v>
      </c>
      <c r="DL109" s="229">
        <f t="shared" si="202"/>
        <v>24.980000000000011</v>
      </c>
      <c r="DM109" s="229">
        <f t="shared" si="202"/>
        <v>14.4</v>
      </c>
      <c r="DN109" s="229">
        <f t="shared" si="202"/>
        <v>14.4</v>
      </c>
      <c r="DO109" s="229">
        <f t="shared" si="202"/>
        <v>14.4</v>
      </c>
      <c r="DP109" s="229">
        <f t="shared" si="202"/>
        <v>21.599999999999998</v>
      </c>
      <c r="DQ109" s="229">
        <f t="shared" si="202"/>
        <v>21.599999999999998</v>
      </c>
      <c r="DR109" s="229">
        <f t="shared" si="202"/>
        <v>21.599999999999998</v>
      </c>
      <c r="DS109" s="229">
        <f t="shared" si="202"/>
        <v>21.599999999999998</v>
      </c>
      <c r="DT109" s="229">
        <f t="shared" si="202"/>
        <v>21.599999999999998</v>
      </c>
      <c r="DU109" s="229">
        <f t="shared" si="202"/>
        <v>21.599999999999998</v>
      </c>
      <c r="DV109" s="229">
        <f t="shared" si="202"/>
        <v>14.4</v>
      </c>
      <c r="DW109" s="229">
        <f t="shared" si="202"/>
        <v>28.8</v>
      </c>
      <c r="DX109" s="229">
        <f t="shared" si="202"/>
        <v>24.980000000000011</v>
      </c>
      <c r="DY109" s="229">
        <f t="shared" si="202"/>
        <v>14.4</v>
      </c>
      <c r="DZ109" s="229">
        <f t="shared" si="202"/>
        <v>14.4</v>
      </c>
      <c r="EA109" s="229">
        <f t="shared" si="202"/>
        <v>14.4</v>
      </c>
      <c r="EB109" s="229">
        <f t="shared" si="202"/>
        <v>21.599999999999998</v>
      </c>
      <c r="EC109" s="229">
        <f t="shared" si="202"/>
        <v>21.599999999999998</v>
      </c>
      <c r="ED109" s="229">
        <f t="shared" si="202"/>
        <v>21.599999999999998</v>
      </c>
      <c r="EE109" s="229">
        <f>EE112+EE110</f>
        <v>21.599999999999998</v>
      </c>
      <c r="EF109" s="229">
        <f>EF112+EF110</f>
        <v>21.599999999999998</v>
      </c>
      <c r="EG109" s="229">
        <f>EG112+EG110</f>
        <v>21.599999999999998</v>
      </c>
      <c r="EH109" s="229">
        <f>EH112+EH110</f>
        <v>14.4</v>
      </c>
      <c r="EK109" s="672"/>
    </row>
    <row r="110" spans="1:141" x14ac:dyDescent="0.3">
      <c r="A110" t="s">
        <v>2413</v>
      </c>
      <c r="G110" s="229">
        <f>IF(G107-AvgLeaseTermMarket&gt;0,HLOOKUP(G107-AvgLeaseTermMarket,$G$107:G$109,3,FALSE),0)</f>
        <v>0</v>
      </c>
      <c r="H110" s="229">
        <f>IF(H107-AvgLeaseTermMarket&gt;0,HLOOKUP(H107-AvgLeaseTermMarket,$G$107:H$109,3,FALSE),0)</f>
        <v>0</v>
      </c>
      <c r="I110" s="229">
        <f>IF(I107-AvgLeaseTermMarket&gt;0,HLOOKUP(I107-AvgLeaseTermMarket,$G$107:I$109,3,FALSE),0)</f>
        <v>0</v>
      </c>
      <c r="J110" s="229">
        <f>IF(J107-AvgLeaseTermMarket&gt;0,HLOOKUP(J107-AvgLeaseTermMarket,$G$107:J$109,3,FALSE),0)</f>
        <v>0</v>
      </c>
      <c r="K110" s="229">
        <f>IF(K107-AvgLeaseTermMarket&gt;0,HLOOKUP(K107-AvgLeaseTermMarket,$G$107:K$109,3,FALSE),0)</f>
        <v>0</v>
      </c>
      <c r="L110" s="229">
        <f>IF(L107-AvgLeaseTermMarket&gt;0,HLOOKUP(L107-AvgLeaseTermMarket,$G$107:L$109,3,FALSE),0)</f>
        <v>0</v>
      </c>
      <c r="M110" s="229">
        <f>IF(M107-AvgLeaseTermMarket&gt;0,HLOOKUP(M107-AvgLeaseTermMarket,$G$107:M$109,3,FALSE),0)</f>
        <v>0</v>
      </c>
      <c r="N110" s="229">
        <f>IF(N107-AvgLeaseTermMarket&gt;0,HLOOKUP(N107-AvgLeaseTermMarket,$G$107:N$109,3,FALSE),0)</f>
        <v>0</v>
      </c>
      <c r="O110" s="229">
        <f>IF(O107-AvgLeaseTermMarket&gt;0,HLOOKUP(O107-AvgLeaseTermMarket,$G$107:O$109,3,FALSE),0)</f>
        <v>0</v>
      </c>
      <c r="P110" s="229">
        <f>IF(P107-AvgLeaseTermMarket&gt;0,HLOOKUP(P107-AvgLeaseTermMarket,$G$107:P$109,3,FALSE),0)</f>
        <v>0</v>
      </c>
      <c r="Q110" s="229">
        <f>IF(Q107-AvgLeaseTermMarket&gt;0,HLOOKUP(Q107-AvgLeaseTermMarket,$G$107:Q$109,3,FALSE),0)</f>
        <v>0</v>
      </c>
      <c r="R110" s="229">
        <f>IF(R107-AvgLeaseTermMarket&gt;0,HLOOKUP(R107-AvgLeaseTermMarket,$G$107:R$109,3,FALSE),0)</f>
        <v>0</v>
      </c>
      <c r="S110" s="229">
        <f>IF(S107-AvgLeaseTermMarket&gt;0,HLOOKUP(S107-AvgLeaseTermMarket,$G$107:S$109,3,FALSE),0)</f>
        <v>0</v>
      </c>
      <c r="T110" s="229">
        <f>IF(T107-AvgLeaseTermMarket&gt;0,HLOOKUP(T107-AvgLeaseTermMarket,$G$107:T$109,3,FALSE),0)</f>
        <v>0</v>
      </c>
      <c r="U110" s="229">
        <f>IF(U107-AvgLeaseTermMarket&gt;0,HLOOKUP(U107-AvgLeaseTermMarket,$G$107:U$109,3,FALSE),0)</f>
        <v>0</v>
      </c>
      <c r="V110" s="229">
        <f>IF(V107-AvgLeaseTermMarket&gt;0,HLOOKUP(V107-AvgLeaseTermMarket,$G$107:V$109,3,FALSE),0)</f>
        <v>0</v>
      </c>
      <c r="W110" s="229">
        <f>IF(W107-AvgLeaseTermMarket&gt;0,HLOOKUP(W107-AvgLeaseTermMarket,$G$107:W$109,3,FALSE),0)</f>
        <v>0</v>
      </c>
      <c r="X110" s="229">
        <f>IF(X107-AvgLeaseTermMarket&gt;0,HLOOKUP(X107-AvgLeaseTermMarket,$G$107:X$109,3,FALSE),0)</f>
        <v>0</v>
      </c>
      <c r="Y110" s="229">
        <f>IF(Y107-AvgLeaseTermMarket&gt;0,HLOOKUP(Y107-AvgLeaseTermMarket,$G$107:Y$109,3,FALSE),0)</f>
        <v>0</v>
      </c>
      <c r="Z110" s="229">
        <f>IF(Z107-AvgLeaseTermMarket&gt;0,HLOOKUP(Z107-AvgLeaseTermMarket,$G$107:Z$109,3,FALSE),0)</f>
        <v>0</v>
      </c>
      <c r="AA110" s="229">
        <f>IF(AA107-AvgLeaseTermMarket&gt;0,HLOOKUP(AA107-AvgLeaseTermMarket,$G$107:AA$109,3,FALSE),0)</f>
        <v>0</v>
      </c>
      <c r="AB110" s="229">
        <f>IF(AB107-AvgLeaseTermMarket&gt;0,HLOOKUP(AB107-AvgLeaseTermMarket,$G$107:AB$109,3,FALSE),0)</f>
        <v>0</v>
      </c>
      <c r="AC110" s="229">
        <f>IF(AC107-AvgLeaseTermMarket&gt;0,HLOOKUP(AC107-AvgLeaseTermMarket,$G$107:AC$109,3,FALSE),0)</f>
        <v>0</v>
      </c>
      <c r="AD110" s="229">
        <f>IF(AD107-AvgLeaseTermMarket&gt;0,HLOOKUP(AD107-AvgLeaseTermMarket,$G$107:AD$109,3,FALSE),0)</f>
        <v>0</v>
      </c>
      <c r="AE110" s="229">
        <f>IF(AE107-AvgLeaseTermMarket&gt;0,HLOOKUP(AE107-AvgLeaseTermMarket,$G$107:AE$109,3,FALSE),0)</f>
        <v>14.4</v>
      </c>
      <c r="AF110" s="229">
        <f>IF(AF107-AvgLeaseTermMarket&gt;0,HLOOKUP(AF107-AvgLeaseTermMarket,$G$107:AF$109,3,FALSE),0)</f>
        <v>14.4</v>
      </c>
      <c r="AG110" s="229">
        <f>IF(AG107-AvgLeaseTermMarket&gt;0,HLOOKUP(AG107-AvgLeaseTermMarket,$G$107:AG$109,3,FALSE),0)</f>
        <v>14.4</v>
      </c>
      <c r="AH110" s="229">
        <f>IF(AH107-AvgLeaseTermMarket&gt;0,HLOOKUP(AH107-AvgLeaseTermMarket,$G$107:AH$109,3,FALSE),0)</f>
        <v>14.4</v>
      </c>
      <c r="AI110" s="229">
        <f>IF(AI107-AvgLeaseTermMarket&gt;0,HLOOKUP(AI107-AvgLeaseTermMarket,$G$107:AI$109,3,FALSE),0)</f>
        <v>14.4</v>
      </c>
      <c r="AJ110" s="229">
        <f>IF(AJ107-AvgLeaseTermMarket&gt;0,HLOOKUP(AJ107-AvgLeaseTermMarket,$G$107:AJ$109,3,FALSE),0)</f>
        <v>21.599999999999998</v>
      </c>
      <c r="AK110" s="229">
        <f>IF(AK107-AvgLeaseTermMarket&gt;0,HLOOKUP(AK107-AvgLeaseTermMarket,$G$107:AK$109,3,FALSE),0)</f>
        <v>21.599999999999998</v>
      </c>
      <c r="AL110" s="229">
        <f>IF(AL107-AvgLeaseTermMarket&gt;0,HLOOKUP(AL107-AvgLeaseTermMarket,$G$107:AL$109,3,FALSE),0)</f>
        <v>21.599999999999998</v>
      </c>
      <c r="AM110" s="229">
        <f>IF(AM107-AvgLeaseTermMarket&gt;0,HLOOKUP(AM107-AvgLeaseTermMarket,$G$107:AM$109,3,FALSE),0)</f>
        <v>21.599999999999998</v>
      </c>
      <c r="AN110" s="229">
        <f>IF(AN107-AvgLeaseTermMarket&gt;0,HLOOKUP(AN107-AvgLeaseTermMarket,$G$107:AN$109,3,FALSE),0)</f>
        <v>21.599999999999998</v>
      </c>
      <c r="AO110" s="229">
        <f>IF(AO107-AvgLeaseTermMarket&gt;0,HLOOKUP(AO107-AvgLeaseTermMarket,$G$107:AO$109,3,FALSE),0)</f>
        <v>21.599999999999998</v>
      </c>
      <c r="AP110" s="229">
        <f>IF(AP107-AvgLeaseTermMarket&gt;0,HLOOKUP(AP107-AvgLeaseTermMarket,$G$107:AP$109,3,FALSE),0)</f>
        <v>14.4</v>
      </c>
      <c r="AQ110" s="229">
        <f>IF(AQ107-AvgLeaseTermMarket&gt;0,HLOOKUP(AQ107-AvgLeaseTermMarket,$G$107:AQ$109,3,FALSE),0)</f>
        <v>28.8</v>
      </c>
      <c r="AR110" s="229">
        <f>IF(AR107-AvgLeaseTermMarket&gt;0,HLOOKUP(AR107-AvgLeaseTermMarket,$G$107:AR$109,3,FALSE),0)</f>
        <v>24.980000000000011</v>
      </c>
      <c r="AS110" s="229">
        <f>IF(AS107-AvgLeaseTermMarket&gt;0,HLOOKUP(AS107-AvgLeaseTermMarket,$G$107:AS$109,3,FALSE),0)</f>
        <v>14.4</v>
      </c>
      <c r="AT110" s="229">
        <f>IF(AT107-AvgLeaseTermMarket&gt;0,HLOOKUP(AT107-AvgLeaseTermMarket,$G$107:AT$109,3,FALSE),0)</f>
        <v>14.4</v>
      </c>
      <c r="AU110" s="229">
        <f>IF(AU107-AvgLeaseTermMarket&gt;0,HLOOKUP(AU107-AvgLeaseTermMarket,$G$107:AU$109,3,FALSE),0)</f>
        <v>14.4</v>
      </c>
      <c r="AV110" s="229">
        <f>IF(AV107-AvgLeaseTermMarket&gt;0,HLOOKUP(AV107-AvgLeaseTermMarket,$G$107:AV$109,3,FALSE),0)</f>
        <v>21.599999999999998</v>
      </c>
      <c r="AW110" s="229">
        <f>IF(AW107-AvgLeaseTermMarket&gt;0,HLOOKUP(AW107-AvgLeaseTermMarket,$G$107:AW$109,3,FALSE),0)</f>
        <v>21.599999999999998</v>
      </c>
      <c r="AX110" s="229">
        <f>IF(AX107-AvgLeaseTermMarket&gt;0,HLOOKUP(AX107-AvgLeaseTermMarket,$G$107:AX$109,3,FALSE),0)</f>
        <v>21.599999999999998</v>
      </c>
      <c r="AY110" s="229">
        <f>IF(AY107-AvgLeaseTermMarket&gt;0,HLOOKUP(AY107-AvgLeaseTermMarket,$G$107:AY$109,3,FALSE),0)</f>
        <v>21.599999999999998</v>
      </c>
      <c r="AZ110" s="229">
        <f>IF(AZ107-AvgLeaseTermMarket&gt;0,HLOOKUP(AZ107-AvgLeaseTermMarket,$G$107:AZ$109,3,FALSE),0)</f>
        <v>21.599999999999998</v>
      </c>
      <c r="BA110" s="229">
        <f>IF(BA107-AvgLeaseTermMarket&gt;0,HLOOKUP(BA107-AvgLeaseTermMarket,$G$107:BA$109,3,FALSE),0)</f>
        <v>21.599999999999998</v>
      </c>
      <c r="BB110" s="229">
        <f>IF(BB107-AvgLeaseTermMarket&gt;0,HLOOKUP(BB107-AvgLeaseTermMarket,$G$107:BB$109,3,FALSE),0)</f>
        <v>14.4</v>
      </c>
      <c r="BC110" s="229">
        <f>IF(BC107-AvgLeaseTermMarket&gt;0,HLOOKUP(BC107-AvgLeaseTermMarket,$G$107:BC$109,3,FALSE),0)</f>
        <v>28.8</v>
      </c>
      <c r="BD110" s="229">
        <f>IF(BD107-AvgLeaseTermMarket&gt;0,HLOOKUP(BD107-AvgLeaseTermMarket,$G$107:BD$109,3,FALSE),0)</f>
        <v>24.980000000000011</v>
      </c>
      <c r="BE110" s="229">
        <f>IF(BE107-AvgLeaseTermMarket&gt;0,HLOOKUP(BE107-AvgLeaseTermMarket,$G$107:BE$109,3,FALSE),0)</f>
        <v>14.4</v>
      </c>
      <c r="BF110" s="229">
        <f>IF(BF107-AvgLeaseTermMarket&gt;0,HLOOKUP(BF107-AvgLeaseTermMarket,$G$107:BF$109,3,FALSE),0)</f>
        <v>14.4</v>
      </c>
      <c r="BG110" s="229">
        <f>IF(BG107-AvgLeaseTermMarket&gt;0,HLOOKUP(BG107-AvgLeaseTermMarket,$G$107:BG$109,3,FALSE),0)</f>
        <v>14.4</v>
      </c>
      <c r="BH110" s="229">
        <f>IF(BH107-AvgLeaseTermMarket&gt;0,HLOOKUP(BH107-AvgLeaseTermMarket,$G$107:BH$109,3,FALSE),0)</f>
        <v>21.599999999999998</v>
      </c>
      <c r="BI110" s="229">
        <f>IF(BI107-AvgLeaseTermMarket&gt;0,HLOOKUP(BI107-AvgLeaseTermMarket,$G$107:BI$109,3,FALSE),0)</f>
        <v>21.599999999999998</v>
      </c>
      <c r="BJ110" s="229">
        <f>IF(BJ107-AvgLeaseTermMarket&gt;0,HLOOKUP(BJ107-AvgLeaseTermMarket,$G$107:BJ$109,3,FALSE),0)</f>
        <v>21.599999999999998</v>
      </c>
      <c r="BK110" s="229">
        <f>IF(BK107-AvgLeaseTermMarket&gt;0,HLOOKUP(BK107-AvgLeaseTermMarket,$G$107:BK$109,3,FALSE),0)</f>
        <v>21.599999999999998</v>
      </c>
      <c r="BL110" s="229">
        <f>IF(BL107-AvgLeaseTermMarket&gt;0,HLOOKUP(BL107-AvgLeaseTermMarket,$G$107:BL$109,3,FALSE),0)</f>
        <v>21.599999999999998</v>
      </c>
      <c r="BM110" s="229">
        <f>IF(BM107-AvgLeaseTermMarket&gt;0,HLOOKUP(BM107-AvgLeaseTermMarket,$G$107:BM$109,3,FALSE),0)</f>
        <v>21.599999999999998</v>
      </c>
      <c r="BN110" s="229">
        <f>IF(BN107-AvgLeaseTermMarket&gt;0,HLOOKUP(BN107-AvgLeaseTermMarket,$G$107:BN$109,3,FALSE),0)</f>
        <v>14.4</v>
      </c>
      <c r="BO110" s="229">
        <f>IF(BO107-AvgLeaseTermMarket&gt;0,HLOOKUP(BO107-AvgLeaseTermMarket,$G$107:BO$109,3,FALSE),0)</f>
        <v>28.8</v>
      </c>
      <c r="BP110" s="229">
        <f>IF(BP107-AvgLeaseTermMarket&gt;0,HLOOKUP(BP107-AvgLeaseTermMarket,$G$107:BP$109,3,FALSE),0)</f>
        <v>24.980000000000011</v>
      </c>
      <c r="BQ110" s="229">
        <f>IF(BQ107-AvgLeaseTermMarket&gt;0,HLOOKUP(BQ107-AvgLeaseTermMarket,$G$107:BQ$109,3,FALSE),0)</f>
        <v>14.4</v>
      </c>
      <c r="BR110" s="229">
        <f>IF(BR107-AvgLeaseTermMarket&gt;0,HLOOKUP(BR107-AvgLeaseTermMarket,$G$107:BR$109,3,FALSE),0)</f>
        <v>14.4</v>
      </c>
      <c r="BS110" s="229">
        <f>IF(BS107-AvgLeaseTermMarket&gt;0,HLOOKUP(BS107-AvgLeaseTermMarket,$G$107:BS$109,3,FALSE),0)</f>
        <v>14.4</v>
      </c>
      <c r="BT110" s="229">
        <f>IF(BT107-AvgLeaseTermMarket&gt;0,HLOOKUP(BT107-AvgLeaseTermMarket,$G$107:BT$109,3,FALSE),0)</f>
        <v>21.599999999999998</v>
      </c>
      <c r="BU110" s="229">
        <f>IF(BU107-AvgLeaseTermMarket&gt;0,HLOOKUP(BU107-AvgLeaseTermMarket,$G$107:BU$109,3,FALSE),0)</f>
        <v>21.599999999999998</v>
      </c>
      <c r="BV110" s="229">
        <f>IF(BV107-AvgLeaseTermMarket&gt;0,HLOOKUP(BV107-AvgLeaseTermMarket,$G$107:BV$109,3,FALSE),0)</f>
        <v>21.599999999999998</v>
      </c>
      <c r="BW110" s="229">
        <f>IF(BW107-AvgLeaseTermMarket&gt;0,HLOOKUP(BW107-AvgLeaseTermMarket,$G$107:BW$109,3,FALSE),0)</f>
        <v>21.599999999999998</v>
      </c>
      <c r="BX110" s="229">
        <f>IF(BX107-AvgLeaseTermMarket&gt;0,HLOOKUP(BX107-AvgLeaseTermMarket,$G$107:BX$109,3,FALSE),0)</f>
        <v>21.599999999999998</v>
      </c>
      <c r="BY110" s="229">
        <f>IF(BY107-AvgLeaseTermMarket&gt;0,HLOOKUP(BY107-AvgLeaseTermMarket,$G$107:BY$109,3,FALSE),0)</f>
        <v>21.599999999999998</v>
      </c>
      <c r="BZ110" s="229">
        <f>IF(BZ107-AvgLeaseTermMarket&gt;0,HLOOKUP(BZ107-AvgLeaseTermMarket,$G$107:BZ$109,3,FALSE),0)</f>
        <v>14.4</v>
      </c>
      <c r="CA110" s="229">
        <f>IF(CA107-AvgLeaseTermMarket&gt;0,HLOOKUP(CA107-AvgLeaseTermMarket,$G$107:CA$109,3,FALSE),0)</f>
        <v>28.8</v>
      </c>
      <c r="CB110" s="229">
        <f>IF(CB107-AvgLeaseTermMarket&gt;0,HLOOKUP(CB107-AvgLeaseTermMarket,$G$107:CB$109,3,FALSE),0)</f>
        <v>24.980000000000011</v>
      </c>
      <c r="CC110" s="229">
        <f>IF(CC107-AvgLeaseTermMarket&gt;0,HLOOKUP(CC107-AvgLeaseTermMarket,$G$107:CC$109,3,FALSE),0)</f>
        <v>14.4</v>
      </c>
      <c r="CD110" s="229">
        <f>IF(CD107-AvgLeaseTermMarket&gt;0,HLOOKUP(CD107-AvgLeaseTermMarket,$G$107:CD$109,3,FALSE),0)</f>
        <v>14.4</v>
      </c>
      <c r="CE110" s="229">
        <f>IF(CE107-AvgLeaseTermMarket&gt;0,HLOOKUP(CE107-AvgLeaseTermMarket,$G$107:CE$109,3,FALSE),0)</f>
        <v>14.4</v>
      </c>
      <c r="CF110" s="229">
        <f>IF(CF107-AvgLeaseTermMarket&gt;0,HLOOKUP(CF107-AvgLeaseTermMarket,$G$107:CF$109,3,FALSE),0)</f>
        <v>21.599999999999998</v>
      </c>
      <c r="CG110" s="229">
        <f>IF(CG107-AvgLeaseTermMarket&gt;0,HLOOKUP(CG107-AvgLeaseTermMarket,$G$107:CG$109,3,FALSE),0)</f>
        <v>21.599999999999998</v>
      </c>
      <c r="CH110" s="229">
        <f>IF(CH107-AvgLeaseTermMarket&gt;0,HLOOKUP(CH107-AvgLeaseTermMarket,$G$107:CH$109,3,FALSE),0)</f>
        <v>21.599999999999998</v>
      </c>
      <c r="CI110" s="229">
        <f>IF(CI107-AvgLeaseTermMarket&gt;0,HLOOKUP(CI107-AvgLeaseTermMarket,$G$107:CI$109,3,FALSE),0)</f>
        <v>21.599999999999998</v>
      </c>
      <c r="CJ110" s="229">
        <f>IF(CJ107-AvgLeaseTermMarket&gt;0,HLOOKUP(CJ107-AvgLeaseTermMarket,$G$107:CJ$109,3,FALSE),0)</f>
        <v>21.599999999999998</v>
      </c>
      <c r="CK110" s="229">
        <f>IF(CK107-AvgLeaseTermMarket&gt;0,HLOOKUP(CK107-AvgLeaseTermMarket,$G$107:CK$109,3,FALSE),0)</f>
        <v>21.599999999999998</v>
      </c>
      <c r="CL110" s="229">
        <f>IF(CL107-AvgLeaseTermMarket&gt;0,HLOOKUP(CL107-AvgLeaseTermMarket,$G$107:CL$109,3,FALSE),0)</f>
        <v>14.4</v>
      </c>
      <c r="CM110" s="229">
        <f>IF(CM107-AvgLeaseTermMarket&gt;0,HLOOKUP(CM107-AvgLeaseTermMarket,$G$107:CM$109,3,FALSE),0)</f>
        <v>28.8</v>
      </c>
      <c r="CN110" s="229">
        <f>IF(CN107-AvgLeaseTermMarket&gt;0,HLOOKUP(CN107-AvgLeaseTermMarket,$G$107:CN$109,3,FALSE),0)</f>
        <v>24.980000000000011</v>
      </c>
      <c r="CO110" s="229">
        <f>IF(CO107-AvgLeaseTermMarket&gt;0,HLOOKUP(CO107-AvgLeaseTermMarket,$G$107:CO$109,3,FALSE),0)</f>
        <v>14.4</v>
      </c>
      <c r="CP110" s="229">
        <f>IF(CP107-AvgLeaseTermMarket&gt;0,HLOOKUP(CP107-AvgLeaseTermMarket,$G$107:CP$109,3,FALSE),0)</f>
        <v>14.4</v>
      </c>
      <c r="CQ110" s="229">
        <f>IF(CQ107-AvgLeaseTermMarket&gt;0,HLOOKUP(CQ107-AvgLeaseTermMarket,$G$107:CQ$109,3,FALSE),0)</f>
        <v>14.4</v>
      </c>
      <c r="CR110" s="229">
        <f>IF(CR107-AvgLeaseTermMarket&gt;0,HLOOKUP(CR107-AvgLeaseTermMarket,$G$107:CR$109,3,FALSE),0)</f>
        <v>21.599999999999998</v>
      </c>
      <c r="CS110" s="229">
        <f>IF(CS107-AvgLeaseTermMarket&gt;0,HLOOKUP(CS107-AvgLeaseTermMarket,$G$107:CS$109,3,FALSE),0)</f>
        <v>21.599999999999998</v>
      </c>
      <c r="CT110" s="229">
        <f>IF(CT107-AvgLeaseTermMarket&gt;0,HLOOKUP(CT107-AvgLeaseTermMarket,$G$107:CT$109,3,FALSE),0)</f>
        <v>21.599999999999998</v>
      </c>
      <c r="CU110" s="229">
        <f>IF(CU107-AvgLeaseTermMarket&gt;0,HLOOKUP(CU107-AvgLeaseTermMarket,$G$107:CU$109,3,FALSE),0)</f>
        <v>21.599999999999998</v>
      </c>
      <c r="CV110" s="229">
        <f>IF(CV107-AvgLeaseTermMarket&gt;0,HLOOKUP(CV107-AvgLeaseTermMarket,$G$107:CV$109,3,FALSE),0)</f>
        <v>21.599999999999998</v>
      </c>
      <c r="CW110" s="229">
        <f>IF(CW107-AvgLeaseTermMarket&gt;0,HLOOKUP(CW107-AvgLeaseTermMarket,$G$107:CW$109,3,FALSE),0)</f>
        <v>21.599999999999998</v>
      </c>
      <c r="CX110" s="229">
        <f>IF(CX107-AvgLeaseTermMarket&gt;0,HLOOKUP(CX107-AvgLeaseTermMarket,$G$107:CX$109,3,FALSE),0)</f>
        <v>14.4</v>
      </c>
      <c r="CY110" s="229">
        <f>IF(CY107-AvgLeaseTermMarket&gt;0,HLOOKUP(CY107-AvgLeaseTermMarket,$G$107:CY$109,3,FALSE),0)</f>
        <v>28.8</v>
      </c>
      <c r="CZ110" s="229">
        <f>IF(CZ107-AvgLeaseTermMarket&gt;0,HLOOKUP(CZ107-AvgLeaseTermMarket,$G$107:CZ$109,3,FALSE),0)</f>
        <v>24.980000000000011</v>
      </c>
      <c r="DA110" s="229">
        <f>IF(DA107-AvgLeaseTermMarket&gt;0,HLOOKUP(DA107-AvgLeaseTermMarket,$G$107:DA$109,3,FALSE),0)</f>
        <v>14.4</v>
      </c>
      <c r="DB110" s="229">
        <f>IF(DB107-AvgLeaseTermMarket&gt;0,HLOOKUP(DB107-AvgLeaseTermMarket,$G$107:DB$109,3,FALSE),0)</f>
        <v>14.4</v>
      </c>
      <c r="DC110" s="229">
        <f>IF(DC107-AvgLeaseTermMarket&gt;0,HLOOKUP(DC107-AvgLeaseTermMarket,$G$107:DC$109,3,FALSE),0)</f>
        <v>14.4</v>
      </c>
      <c r="DD110" s="229">
        <f>IF(DD107-AvgLeaseTermMarket&gt;0,HLOOKUP(DD107-AvgLeaseTermMarket,$G$107:DD$109,3,FALSE),0)</f>
        <v>21.599999999999998</v>
      </c>
      <c r="DE110" s="229">
        <f>IF(DE107-AvgLeaseTermMarket&gt;0,HLOOKUP(DE107-AvgLeaseTermMarket,$G$107:DE$109,3,FALSE),0)</f>
        <v>21.599999999999998</v>
      </c>
      <c r="DF110" s="229">
        <f>IF(DF107-AvgLeaseTermMarket&gt;0,HLOOKUP(DF107-AvgLeaseTermMarket,$G$107:DF$109,3,FALSE),0)</f>
        <v>21.599999999999998</v>
      </c>
      <c r="DG110" s="229">
        <f>IF(DG107-AvgLeaseTermMarket&gt;0,HLOOKUP(DG107-AvgLeaseTermMarket,$G$107:DG$109,3,FALSE),0)</f>
        <v>21.599999999999998</v>
      </c>
      <c r="DH110" s="229">
        <f>IF(DH107-AvgLeaseTermMarket&gt;0,HLOOKUP(DH107-AvgLeaseTermMarket,$G$107:DH$109,3,FALSE),0)</f>
        <v>21.599999999999998</v>
      </c>
      <c r="DI110" s="229">
        <f>IF(DI107-AvgLeaseTermMarket&gt;0,HLOOKUP(DI107-AvgLeaseTermMarket,$G$107:DI$109,3,FALSE),0)</f>
        <v>21.599999999999998</v>
      </c>
      <c r="DJ110" s="229">
        <f>IF(DJ107-AvgLeaseTermMarket&gt;0,HLOOKUP(DJ107-AvgLeaseTermMarket,$G$107:DJ$109,3,FALSE),0)</f>
        <v>14.4</v>
      </c>
      <c r="DK110" s="229">
        <f>IF(DK107-AvgLeaseTermMarket&gt;0,HLOOKUP(DK107-AvgLeaseTermMarket,$G$107:DK$109,3,FALSE),0)</f>
        <v>28.8</v>
      </c>
      <c r="DL110" s="229">
        <f>IF(DL107-AvgLeaseTermMarket&gt;0,HLOOKUP(DL107-AvgLeaseTermMarket,$G$107:DL$109,3,FALSE),0)</f>
        <v>24.980000000000011</v>
      </c>
      <c r="DM110" s="229">
        <f>IF(DM107-AvgLeaseTermMarket&gt;0,HLOOKUP(DM107-AvgLeaseTermMarket,$G$107:DM$109,3,FALSE),0)</f>
        <v>14.4</v>
      </c>
      <c r="DN110" s="229">
        <f>IF(DN107-AvgLeaseTermMarket&gt;0,HLOOKUP(DN107-AvgLeaseTermMarket,$G$107:DN$109,3,FALSE),0)</f>
        <v>14.4</v>
      </c>
      <c r="DO110" s="229">
        <f>IF(DO107-AvgLeaseTermMarket&gt;0,HLOOKUP(DO107-AvgLeaseTermMarket,$G$107:DO$109,3,FALSE),0)</f>
        <v>14.4</v>
      </c>
      <c r="DP110" s="229">
        <f>IF(DP107-AvgLeaseTermMarket&gt;0,HLOOKUP(DP107-AvgLeaseTermMarket,$G$107:DP$109,3,FALSE),0)</f>
        <v>21.599999999999998</v>
      </c>
      <c r="DQ110" s="229">
        <f>IF(DQ107-AvgLeaseTermMarket&gt;0,HLOOKUP(DQ107-AvgLeaseTermMarket,$G$107:DQ$109,3,FALSE),0)</f>
        <v>21.599999999999998</v>
      </c>
      <c r="DR110" s="229">
        <f>IF(DR107-AvgLeaseTermMarket&gt;0,HLOOKUP(DR107-AvgLeaseTermMarket,$G$107:DR$109,3,FALSE),0)</f>
        <v>21.599999999999998</v>
      </c>
      <c r="DS110" s="229">
        <f>IF(DS107-AvgLeaseTermMarket&gt;0,HLOOKUP(DS107-AvgLeaseTermMarket,$G$107:DS$109,3,FALSE),0)</f>
        <v>21.599999999999998</v>
      </c>
      <c r="DT110" s="229">
        <f>IF(DT107-AvgLeaseTermMarket&gt;0,HLOOKUP(DT107-AvgLeaseTermMarket,$G$107:DT$109,3,FALSE),0)</f>
        <v>21.599999999999998</v>
      </c>
      <c r="DU110" s="229">
        <f>IF(DU107-AvgLeaseTermMarket&gt;0,HLOOKUP(DU107-AvgLeaseTermMarket,$G$107:DU$109,3,FALSE),0)</f>
        <v>21.599999999999998</v>
      </c>
      <c r="DV110" s="229">
        <f>IF(DV107-AvgLeaseTermMarket&gt;0,HLOOKUP(DV107-AvgLeaseTermMarket,$G$107:DV$109,3,FALSE),0)</f>
        <v>14.4</v>
      </c>
      <c r="DW110" s="229">
        <f>IF(DW107-AvgLeaseTermMarket&gt;0,HLOOKUP(DW107-AvgLeaseTermMarket,$G$107:DW$109,3,FALSE),0)</f>
        <v>28.8</v>
      </c>
      <c r="DX110" s="229">
        <f>IF(DX107-AvgLeaseTermMarket&gt;0,HLOOKUP(DX107-AvgLeaseTermMarket,$G$107:DX$109,3,FALSE),0)</f>
        <v>24.980000000000011</v>
      </c>
      <c r="DY110" s="229">
        <f>IF(DY107-AvgLeaseTermMarket&gt;0,HLOOKUP(DY107-AvgLeaseTermMarket,$G$107:DY$109,3,FALSE),0)</f>
        <v>14.4</v>
      </c>
      <c r="DZ110" s="229">
        <f>IF(DZ107-AvgLeaseTermMarket&gt;0,HLOOKUP(DZ107-AvgLeaseTermMarket,$G$107:DZ$109,3,FALSE),0)</f>
        <v>14.4</v>
      </c>
      <c r="EA110" s="229">
        <f>IF(EA107-AvgLeaseTermMarket&gt;0,HLOOKUP(EA107-AvgLeaseTermMarket,$G$107:EA$109,3,FALSE),0)</f>
        <v>14.4</v>
      </c>
      <c r="EB110" s="229">
        <f>IF(EB107-AvgLeaseTermMarket&gt;0,HLOOKUP(EB107-AvgLeaseTermMarket,$G$107:EB$109,3,FALSE),0)</f>
        <v>21.599999999999998</v>
      </c>
      <c r="EC110" s="229">
        <f>IF(EC107-AvgLeaseTermMarket&gt;0,HLOOKUP(EC107-AvgLeaseTermMarket,$G$107:EC$109,3,FALSE),0)</f>
        <v>21.599999999999998</v>
      </c>
      <c r="ED110" s="229">
        <f>IF(ED107-AvgLeaseTermMarket&gt;0,HLOOKUP(ED107-AvgLeaseTermMarket,$G$107:ED$109,3,FALSE),0)</f>
        <v>21.599999999999998</v>
      </c>
      <c r="EE110" s="229">
        <f>IF(EE107-AvgLeaseTermMarket&gt;0,HLOOKUP(EE107-AvgLeaseTermMarket,$G$107:EE$109,3,FALSE),0)</f>
        <v>21.599999999999998</v>
      </c>
      <c r="EF110" s="229">
        <f>IF(EF107-AvgLeaseTermMarket&gt;0,HLOOKUP(EF107-AvgLeaseTermMarket,$G$107:EF$109,3,FALSE),0)</f>
        <v>21.599999999999998</v>
      </c>
      <c r="EG110" s="229">
        <f>IF(EG107-AvgLeaseTermMarket&gt;0,HLOOKUP(EG107-AvgLeaseTermMarket,$G$107:EG$109,3,FALSE),0)</f>
        <v>21.599999999999998</v>
      </c>
      <c r="EH110" s="229">
        <f>IF(EH107-AvgLeaseTermMarket&gt;0,HLOOKUP(EH107-AvgLeaseTermMarket,$G$107:EH$109,3,FALSE),0)</f>
        <v>14.4</v>
      </c>
      <c r="EK110" s="280"/>
    </row>
    <row r="111" spans="1:141" x14ac:dyDescent="0.3">
      <c r="A111" t="s">
        <v>2414</v>
      </c>
      <c r="G111" s="229">
        <f t="shared" ref="G111:AL111" si="203">G110*TurnoverPct</f>
        <v>0</v>
      </c>
      <c r="H111" s="229">
        <f t="shared" si="203"/>
        <v>0</v>
      </c>
      <c r="I111" s="229">
        <f t="shared" si="203"/>
        <v>0</v>
      </c>
      <c r="J111" s="229">
        <f t="shared" si="203"/>
        <v>0</v>
      </c>
      <c r="K111" s="229">
        <f t="shared" si="203"/>
        <v>0</v>
      </c>
      <c r="L111" s="229">
        <f t="shared" si="203"/>
        <v>0</v>
      </c>
      <c r="M111" s="229">
        <f t="shared" si="203"/>
        <v>0</v>
      </c>
      <c r="N111" s="229">
        <f t="shared" si="203"/>
        <v>0</v>
      </c>
      <c r="O111" s="229">
        <f t="shared" si="203"/>
        <v>0</v>
      </c>
      <c r="P111" s="229">
        <f t="shared" si="203"/>
        <v>0</v>
      </c>
      <c r="Q111" s="229">
        <f t="shared" si="203"/>
        <v>0</v>
      </c>
      <c r="R111" s="229">
        <f t="shared" si="203"/>
        <v>0</v>
      </c>
      <c r="S111" s="229">
        <f t="shared" si="203"/>
        <v>0</v>
      </c>
      <c r="T111" s="229">
        <f t="shared" si="203"/>
        <v>0</v>
      </c>
      <c r="U111" s="229">
        <f t="shared" si="203"/>
        <v>0</v>
      </c>
      <c r="V111" s="229">
        <f t="shared" si="203"/>
        <v>0</v>
      </c>
      <c r="W111" s="229">
        <f t="shared" si="203"/>
        <v>0</v>
      </c>
      <c r="X111" s="229">
        <f t="shared" si="203"/>
        <v>0</v>
      </c>
      <c r="Y111" s="229">
        <f t="shared" si="203"/>
        <v>0</v>
      </c>
      <c r="Z111" s="229">
        <f t="shared" si="203"/>
        <v>0</v>
      </c>
      <c r="AA111" s="229">
        <f t="shared" si="203"/>
        <v>0</v>
      </c>
      <c r="AB111" s="229">
        <f t="shared" si="203"/>
        <v>0</v>
      </c>
      <c r="AC111" s="229">
        <f t="shared" si="203"/>
        <v>0</v>
      </c>
      <c r="AD111" s="229">
        <f t="shared" si="203"/>
        <v>0</v>
      </c>
      <c r="AE111" s="229">
        <f t="shared" si="203"/>
        <v>8.64</v>
      </c>
      <c r="AF111" s="229">
        <f t="shared" si="203"/>
        <v>8.64</v>
      </c>
      <c r="AG111" s="229">
        <f t="shared" si="203"/>
        <v>8.64</v>
      </c>
      <c r="AH111" s="229">
        <f t="shared" si="203"/>
        <v>8.64</v>
      </c>
      <c r="AI111" s="229">
        <f t="shared" si="203"/>
        <v>8.64</v>
      </c>
      <c r="AJ111" s="229">
        <f t="shared" si="203"/>
        <v>12.959999999999999</v>
      </c>
      <c r="AK111" s="229">
        <f t="shared" si="203"/>
        <v>12.959999999999999</v>
      </c>
      <c r="AL111" s="229">
        <f t="shared" si="203"/>
        <v>12.959999999999999</v>
      </c>
      <c r="AM111" s="229">
        <f t="shared" ref="AM111:BR111" si="204">AM110*TurnoverPct</f>
        <v>12.959999999999999</v>
      </c>
      <c r="AN111" s="229">
        <f t="shared" si="204"/>
        <v>12.959999999999999</v>
      </c>
      <c r="AO111" s="229">
        <f t="shared" si="204"/>
        <v>12.959999999999999</v>
      </c>
      <c r="AP111" s="229">
        <f t="shared" si="204"/>
        <v>8.64</v>
      </c>
      <c r="AQ111" s="229">
        <f t="shared" si="204"/>
        <v>17.28</v>
      </c>
      <c r="AR111" s="229">
        <f t="shared" si="204"/>
        <v>14.988000000000007</v>
      </c>
      <c r="AS111" s="229">
        <f t="shared" si="204"/>
        <v>8.64</v>
      </c>
      <c r="AT111" s="229">
        <f t="shared" si="204"/>
        <v>8.64</v>
      </c>
      <c r="AU111" s="229">
        <f t="shared" si="204"/>
        <v>8.64</v>
      </c>
      <c r="AV111" s="229">
        <f t="shared" si="204"/>
        <v>12.959999999999999</v>
      </c>
      <c r="AW111" s="229">
        <f t="shared" si="204"/>
        <v>12.959999999999999</v>
      </c>
      <c r="AX111" s="229">
        <f t="shared" si="204"/>
        <v>12.959999999999999</v>
      </c>
      <c r="AY111" s="229">
        <f t="shared" si="204"/>
        <v>12.959999999999999</v>
      </c>
      <c r="AZ111" s="229">
        <f t="shared" si="204"/>
        <v>12.959999999999999</v>
      </c>
      <c r="BA111" s="229">
        <f t="shared" si="204"/>
        <v>12.959999999999999</v>
      </c>
      <c r="BB111" s="229">
        <f t="shared" si="204"/>
        <v>8.64</v>
      </c>
      <c r="BC111" s="229">
        <f t="shared" si="204"/>
        <v>17.28</v>
      </c>
      <c r="BD111" s="229">
        <f t="shared" si="204"/>
        <v>14.988000000000007</v>
      </c>
      <c r="BE111" s="229">
        <f t="shared" si="204"/>
        <v>8.64</v>
      </c>
      <c r="BF111" s="229">
        <f t="shared" si="204"/>
        <v>8.64</v>
      </c>
      <c r="BG111" s="229">
        <f t="shared" si="204"/>
        <v>8.64</v>
      </c>
      <c r="BH111" s="229">
        <f t="shared" si="204"/>
        <v>12.959999999999999</v>
      </c>
      <c r="BI111" s="229">
        <f t="shared" si="204"/>
        <v>12.959999999999999</v>
      </c>
      <c r="BJ111" s="229">
        <f t="shared" si="204"/>
        <v>12.959999999999999</v>
      </c>
      <c r="BK111" s="229">
        <f t="shared" si="204"/>
        <v>12.959999999999999</v>
      </c>
      <c r="BL111" s="229">
        <f t="shared" si="204"/>
        <v>12.959999999999999</v>
      </c>
      <c r="BM111" s="229">
        <f t="shared" si="204"/>
        <v>12.959999999999999</v>
      </c>
      <c r="BN111" s="229">
        <f t="shared" si="204"/>
        <v>8.64</v>
      </c>
      <c r="BO111" s="229">
        <f t="shared" si="204"/>
        <v>17.28</v>
      </c>
      <c r="BP111" s="229">
        <f t="shared" si="204"/>
        <v>14.988000000000007</v>
      </c>
      <c r="BQ111" s="229">
        <f t="shared" si="204"/>
        <v>8.64</v>
      </c>
      <c r="BR111" s="229">
        <f t="shared" si="204"/>
        <v>8.64</v>
      </c>
      <c r="BS111" s="229">
        <f t="shared" ref="BS111:CX111" si="205">BS110*TurnoverPct</f>
        <v>8.64</v>
      </c>
      <c r="BT111" s="229">
        <f t="shared" si="205"/>
        <v>12.959999999999999</v>
      </c>
      <c r="BU111" s="229">
        <f t="shared" si="205"/>
        <v>12.959999999999999</v>
      </c>
      <c r="BV111" s="229">
        <f t="shared" si="205"/>
        <v>12.959999999999999</v>
      </c>
      <c r="BW111" s="229">
        <f t="shared" si="205"/>
        <v>12.959999999999999</v>
      </c>
      <c r="BX111" s="229">
        <f t="shared" si="205"/>
        <v>12.959999999999999</v>
      </c>
      <c r="BY111" s="229">
        <f t="shared" si="205"/>
        <v>12.959999999999999</v>
      </c>
      <c r="BZ111" s="229">
        <f t="shared" si="205"/>
        <v>8.64</v>
      </c>
      <c r="CA111" s="229">
        <f t="shared" si="205"/>
        <v>17.28</v>
      </c>
      <c r="CB111" s="229">
        <f t="shared" si="205"/>
        <v>14.988000000000007</v>
      </c>
      <c r="CC111" s="229">
        <f t="shared" si="205"/>
        <v>8.64</v>
      </c>
      <c r="CD111" s="229">
        <f t="shared" si="205"/>
        <v>8.64</v>
      </c>
      <c r="CE111" s="229">
        <f t="shared" si="205"/>
        <v>8.64</v>
      </c>
      <c r="CF111" s="229">
        <f t="shared" si="205"/>
        <v>12.959999999999999</v>
      </c>
      <c r="CG111" s="229">
        <f t="shared" si="205"/>
        <v>12.959999999999999</v>
      </c>
      <c r="CH111" s="229">
        <f t="shared" si="205"/>
        <v>12.959999999999999</v>
      </c>
      <c r="CI111" s="229">
        <f t="shared" si="205"/>
        <v>12.959999999999999</v>
      </c>
      <c r="CJ111" s="229">
        <f t="shared" si="205"/>
        <v>12.959999999999999</v>
      </c>
      <c r="CK111" s="229">
        <f t="shared" si="205"/>
        <v>12.959999999999999</v>
      </c>
      <c r="CL111" s="229">
        <f t="shared" si="205"/>
        <v>8.64</v>
      </c>
      <c r="CM111" s="229">
        <f t="shared" si="205"/>
        <v>17.28</v>
      </c>
      <c r="CN111" s="229">
        <f t="shared" si="205"/>
        <v>14.988000000000007</v>
      </c>
      <c r="CO111" s="229">
        <f t="shared" si="205"/>
        <v>8.64</v>
      </c>
      <c r="CP111" s="229">
        <f t="shared" si="205"/>
        <v>8.64</v>
      </c>
      <c r="CQ111" s="229">
        <f t="shared" si="205"/>
        <v>8.64</v>
      </c>
      <c r="CR111" s="229">
        <f t="shared" si="205"/>
        <v>12.959999999999999</v>
      </c>
      <c r="CS111" s="229">
        <f t="shared" si="205"/>
        <v>12.959999999999999</v>
      </c>
      <c r="CT111" s="229">
        <f t="shared" si="205"/>
        <v>12.959999999999999</v>
      </c>
      <c r="CU111" s="229">
        <f t="shared" si="205"/>
        <v>12.959999999999999</v>
      </c>
      <c r="CV111" s="229">
        <f t="shared" si="205"/>
        <v>12.959999999999999</v>
      </c>
      <c r="CW111" s="229">
        <f t="shared" si="205"/>
        <v>12.959999999999999</v>
      </c>
      <c r="CX111" s="229">
        <f t="shared" si="205"/>
        <v>8.64</v>
      </c>
      <c r="CY111" s="229">
        <f t="shared" ref="CY111:ED111" si="206">CY110*TurnoverPct</f>
        <v>17.28</v>
      </c>
      <c r="CZ111" s="229">
        <f t="shared" si="206"/>
        <v>14.988000000000007</v>
      </c>
      <c r="DA111" s="229">
        <f t="shared" si="206"/>
        <v>8.64</v>
      </c>
      <c r="DB111" s="229">
        <f t="shared" si="206"/>
        <v>8.64</v>
      </c>
      <c r="DC111" s="229">
        <f t="shared" si="206"/>
        <v>8.64</v>
      </c>
      <c r="DD111" s="229">
        <f t="shared" si="206"/>
        <v>12.959999999999999</v>
      </c>
      <c r="DE111" s="229">
        <f t="shared" si="206"/>
        <v>12.959999999999999</v>
      </c>
      <c r="DF111" s="229">
        <f t="shared" si="206"/>
        <v>12.959999999999999</v>
      </c>
      <c r="DG111" s="229">
        <f t="shared" si="206"/>
        <v>12.959999999999999</v>
      </c>
      <c r="DH111" s="229">
        <f t="shared" si="206"/>
        <v>12.959999999999999</v>
      </c>
      <c r="DI111" s="229">
        <f t="shared" si="206"/>
        <v>12.959999999999999</v>
      </c>
      <c r="DJ111" s="229">
        <f t="shared" si="206"/>
        <v>8.64</v>
      </c>
      <c r="DK111" s="229">
        <f t="shared" si="206"/>
        <v>17.28</v>
      </c>
      <c r="DL111" s="229">
        <f t="shared" si="206"/>
        <v>14.988000000000007</v>
      </c>
      <c r="DM111" s="229">
        <f t="shared" si="206"/>
        <v>8.64</v>
      </c>
      <c r="DN111" s="229">
        <f t="shared" si="206"/>
        <v>8.64</v>
      </c>
      <c r="DO111" s="229">
        <f t="shared" si="206"/>
        <v>8.64</v>
      </c>
      <c r="DP111" s="229">
        <f t="shared" si="206"/>
        <v>12.959999999999999</v>
      </c>
      <c r="DQ111" s="229">
        <f t="shared" si="206"/>
        <v>12.959999999999999</v>
      </c>
      <c r="DR111" s="229">
        <f t="shared" si="206"/>
        <v>12.959999999999999</v>
      </c>
      <c r="DS111" s="229">
        <f t="shared" si="206"/>
        <v>12.959999999999999</v>
      </c>
      <c r="DT111" s="229">
        <f t="shared" si="206"/>
        <v>12.959999999999999</v>
      </c>
      <c r="DU111" s="229">
        <f t="shared" si="206"/>
        <v>12.959999999999999</v>
      </c>
      <c r="DV111" s="229">
        <f t="shared" si="206"/>
        <v>8.64</v>
      </c>
      <c r="DW111" s="229">
        <f t="shared" si="206"/>
        <v>17.28</v>
      </c>
      <c r="DX111" s="229">
        <f t="shared" si="206"/>
        <v>14.988000000000007</v>
      </c>
      <c r="DY111" s="229">
        <f t="shared" si="206"/>
        <v>8.64</v>
      </c>
      <c r="DZ111" s="229">
        <f t="shared" si="206"/>
        <v>8.64</v>
      </c>
      <c r="EA111" s="229">
        <f t="shared" si="206"/>
        <v>8.64</v>
      </c>
      <c r="EB111" s="229">
        <f t="shared" si="206"/>
        <v>12.959999999999999</v>
      </c>
      <c r="EC111" s="229">
        <f t="shared" si="206"/>
        <v>12.959999999999999</v>
      </c>
      <c r="ED111" s="229">
        <f t="shared" si="206"/>
        <v>12.959999999999999</v>
      </c>
      <c r="EE111" s="229">
        <f>EE110*TurnoverPct</f>
        <v>12.959999999999999</v>
      </c>
      <c r="EF111" s="229">
        <f>EF110*TurnoverPct</f>
        <v>12.959999999999999</v>
      </c>
      <c r="EG111" s="229">
        <f>EG110*TurnoverPct</f>
        <v>12.959999999999999</v>
      </c>
      <c r="EH111" s="229">
        <f>EH110*TurnoverPct</f>
        <v>8.64</v>
      </c>
      <c r="EK111" s="672"/>
    </row>
    <row r="112" spans="1:141" x14ac:dyDescent="0.3">
      <c r="A112" t="s">
        <v>2415</v>
      </c>
      <c r="G112" s="229">
        <f t="shared" ref="G112:BR112" si="207">H28</f>
        <v>0</v>
      </c>
      <c r="H112" s="229">
        <f t="shared" si="207"/>
        <v>0</v>
      </c>
      <c r="I112" s="229">
        <f t="shared" si="207"/>
        <v>0</v>
      </c>
      <c r="J112" s="229">
        <f t="shared" si="207"/>
        <v>0</v>
      </c>
      <c r="K112" s="229">
        <f t="shared" si="207"/>
        <v>0</v>
      </c>
      <c r="L112" s="229">
        <f t="shared" si="207"/>
        <v>0</v>
      </c>
      <c r="M112" s="229">
        <f t="shared" si="207"/>
        <v>0</v>
      </c>
      <c r="N112" s="229">
        <f t="shared" si="207"/>
        <v>0</v>
      </c>
      <c r="O112" s="229">
        <f t="shared" si="207"/>
        <v>0</v>
      </c>
      <c r="P112" s="229">
        <f t="shared" si="207"/>
        <v>0</v>
      </c>
      <c r="Q112" s="229">
        <f t="shared" si="207"/>
        <v>0</v>
      </c>
      <c r="R112" s="229">
        <f t="shared" si="207"/>
        <v>0</v>
      </c>
      <c r="S112" s="229">
        <f t="shared" si="207"/>
        <v>14.4</v>
      </c>
      <c r="T112" s="229">
        <f t="shared" si="207"/>
        <v>14.4</v>
      </c>
      <c r="U112" s="229">
        <f t="shared" si="207"/>
        <v>14.4</v>
      </c>
      <c r="V112" s="229">
        <f t="shared" si="207"/>
        <v>14.4</v>
      </c>
      <c r="W112" s="229">
        <f t="shared" si="207"/>
        <v>14.4</v>
      </c>
      <c r="X112" s="229">
        <f t="shared" si="207"/>
        <v>21.599999999999998</v>
      </c>
      <c r="Y112" s="229">
        <f t="shared" si="207"/>
        <v>21.599999999999998</v>
      </c>
      <c r="Z112" s="229">
        <f t="shared" si="207"/>
        <v>21.599999999999998</v>
      </c>
      <c r="AA112" s="229">
        <f t="shared" si="207"/>
        <v>21.599999999999998</v>
      </c>
      <c r="AB112" s="229">
        <f t="shared" si="207"/>
        <v>21.599999999999998</v>
      </c>
      <c r="AC112" s="229">
        <f t="shared" si="207"/>
        <v>21.599999999999998</v>
      </c>
      <c r="AD112" s="229">
        <f t="shared" si="207"/>
        <v>14.4</v>
      </c>
      <c r="AE112" s="229">
        <f t="shared" si="207"/>
        <v>14.4</v>
      </c>
      <c r="AF112" s="229">
        <f t="shared" si="207"/>
        <v>10.580000000000013</v>
      </c>
      <c r="AG112" s="229">
        <f t="shared" si="207"/>
        <v>0</v>
      </c>
      <c r="AH112" s="229">
        <f t="shared" si="207"/>
        <v>0</v>
      </c>
      <c r="AI112" s="229">
        <f t="shared" si="207"/>
        <v>0</v>
      </c>
      <c r="AJ112" s="229">
        <f t="shared" si="207"/>
        <v>0</v>
      </c>
      <c r="AK112" s="229">
        <f t="shared" si="207"/>
        <v>0</v>
      </c>
      <c r="AL112" s="229">
        <f t="shared" si="207"/>
        <v>0</v>
      </c>
      <c r="AM112" s="229">
        <f t="shared" si="207"/>
        <v>0</v>
      </c>
      <c r="AN112" s="229">
        <f t="shared" si="207"/>
        <v>0</v>
      </c>
      <c r="AO112" s="229">
        <f t="shared" si="207"/>
        <v>0</v>
      </c>
      <c r="AP112" s="229">
        <f t="shared" si="207"/>
        <v>0</v>
      </c>
      <c r="AQ112" s="229">
        <f t="shared" si="207"/>
        <v>0</v>
      </c>
      <c r="AR112" s="229">
        <f t="shared" si="207"/>
        <v>0</v>
      </c>
      <c r="AS112" s="229">
        <f t="shared" si="207"/>
        <v>0</v>
      </c>
      <c r="AT112" s="229">
        <f t="shared" si="207"/>
        <v>0</v>
      </c>
      <c r="AU112" s="229">
        <f t="shared" si="207"/>
        <v>0</v>
      </c>
      <c r="AV112" s="229">
        <f t="shared" si="207"/>
        <v>0</v>
      </c>
      <c r="AW112" s="229">
        <f t="shared" si="207"/>
        <v>0</v>
      </c>
      <c r="AX112" s="229">
        <f t="shared" si="207"/>
        <v>0</v>
      </c>
      <c r="AY112" s="229">
        <f t="shared" si="207"/>
        <v>0</v>
      </c>
      <c r="AZ112" s="229">
        <f t="shared" si="207"/>
        <v>0</v>
      </c>
      <c r="BA112" s="229">
        <f t="shared" si="207"/>
        <v>0</v>
      </c>
      <c r="BB112" s="229">
        <f t="shared" si="207"/>
        <v>0</v>
      </c>
      <c r="BC112" s="229">
        <f t="shared" si="207"/>
        <v>0</v>
      </c>
      <c r="BD112" s="229">
        <f t="shared" si="207"/>
        <v>0</v>
      </c>
      <c r="BE112" s="229">
        <f t="shared" si="207"/>
        <v>0</v>
      </c>
      <c r="BF112" s="229">
        <f t="shared" si="207"/>
        <v>0</v>
      </c>
      <c r="BG112" s="229">
        <f t="shared" si="207"/>
        <v>0</v>
      </c>
      <c r="BH112" s="229">
        <f t="shared" si="207"/>
        <v>0</v>
      </c>
      <c r="BI112" s="229">
        <f t="shared" si="207"/>
        <v>0</v>
      </c>
      <c r="BJ112" s="229">
        <f t="shared" si="207"/>
        <v>0</v>
      </c>
      <c r="BK112" s="229">
        <f t="shared" si="207"/>
        <v>0</v>
      </c>
      <c r="BL112" s="229">
        <f t="shared" si="207"/>
        <v>0</v>
      </c>
      <c r="BM112" s="229">
        <f t="shared" si="207"/>
        <v>0</v>
      </c>
      <c r="BN112" s="229">
        <f t="shared" si="207"/>
        <v>0</v>
      </c>
      <c r="BO112" s="229">
        <f t="shared" si="207"/>
        <v>0</v>
      </c>
      <c r="BP112" s="229">
        <f t="shared" si="207"/>
        <v>0</v>
      </c>
      <c r="BQ112" s="229">
        <f t="shared" si="207"/>
        <v>0</v>
      </c>
      <c r="BR112" s="229">
        <f t="shared" si="207"/>
        <v>0</v>
      </c>
      <c r="BS112" s="229">
        <f t="shared" ref="BS112:ED112" si="208">BT28</f>
        <v>0</v>
      </c>
      <c r="BT112" s="229">
        <f t="shared" si="208"/>
        <v>0</v>
      </c>
      <c r="BU112" s="229">
        <f t="shared" si="208"/>
        <v>0</v>
      </c>
      <c r="BV112" s="229">
        <f t="shared" si="208"/>
        <v>0</v>
      </c>
      <c r="BW112" s="229">
        <f t="shared" si="208"/>
        <v>0</v>
      </c>
      <c r="BX112" s="229">
        <f t="shared" si="208"/>
        <v>0</v>
      </c>
      <c r="BY112" s="229">
        <f t="shared" si="208"/>
        <v>0</v>
      </c>
      <c r="BZ112" s="229">
        <f t="shared" si="208"/>
        <v>0</v>
      </c>
      <c r="CA112" s="229">
        <f t="shared" si="208"/>
        <v>0</v>
      </c>
      <c r="CB112" s="229">
        <f t="shared" si="208"/>
        <v>0</v>
      </c>
      <c r="CC112" s="229">
        <f t="shared" si="208"/>
        <v>0</v>
      </c>
      <c r="CD112" s="229">
        <f t="shared" si="208"/>
        <v>0</v>
      </c>
      <c r="CE112" s="229">
        <f t="shared" si="208"/>
        <v>0</v>
      </c>
      <c r="CF112" s="229">
        <f t="shared" si="208"/>
        <v>0</v>
      </c>
      <c r="CG112" s="229">
        <f t="shared" si="208"/>
        <v>0</v>
      </c>
      <c r="CH112" s="229">
        <f t="shared" si="208"/>
        <v>0</v>
      </c>
      <c r="CI112" s="229">
        <f t="shared" si="208"/>
        <v>0</v>
      </c>
      <c r="CJ112" s="229">
        <f t="shared" si="208"/>
        <v>0</v>
      </c>
      <c r="CK112" s="229">
        <f t="shared" si="208"/>
        <v>0</v>
      </c>
      <c r="CL112" s="229">
        <f t="shared" si="208"/>
        <v>0</v>
      </c>
      <c r="CM112" s="229">
        <f t="shared" si="208"/>
        <v>0</v>
      </c>
      <c r="CN112" s="229">
        <f t="shared" si="208"/>
        <v>0</v>
      </c>
      <c r="CO112" s="229">
        <f t="shared" si="208"/>
        <v>0</v>
      </c>
      <c r="CP112" s="229">
        <f t="shared" si="208"/>
        <v>0</v>
      </c>
      <c r="CQ112" s="229">
        <f t="shared" si="208"/>
        <v>0</v>
      </c>
      <c r="CR112" s="229">
        <f t="shared" si="208"/>
        <v>0</v>
      </c>
      <c r="CS112" s="229">
        <f t="shared" si="208"/>
        <v>0</v>
      </c>
      <c r="CT112" s="229">
        <f t="shared" si="208"/>
        <v>0</v>
      </c>
      <c r="CU112" s="229">
        <f t="shared" si="208"/>
        <v>0</v>
      </c>
      <c r="CV112" s="229">
        <f t="shared" si="208"/>
        <v>0</v>
      </c>
      <c r="CW112" s="229">
        <f t="shared" si="208"/>
        <v>0</v>
      </c>
      <c r="CX112" s="229">
        <f t="shared" si="208"/>
        <v>0</v>
      </c>
      <c r="CY112" s="229">
        <f t="shared" si="208"/>
        <v>0</v>
      </c>
      <c r="CZ112" s="229">
        <f t="shared" si="208"/>
        <v>0</v>
      </c>
      <c r="DA112" s="229">
        <f t="shared" si="208"/>
        <v>0</v>
      </c>
      <c r="DB112" s="229">
        <f t="shared" si="208"/>
        <v>0</v>
      </c>
      <c r="DC112" s="229">
        <f t="shared" si="208"/>
        <v>0</v>
      </c>
      <c r="DD112" s="229">
        <f t="shared" si="208"/>
        <v>0</v>
      </c>
      <c r="DE112" s="229">
        <f t="shared" si="208"/>
        <v>0</v>
      </c>
      <c r="DF112" s="229">
        <f t="shared" si="208"/>
        <v>0</v>
      </c>
      <c r="DG112" s="229">
        <f t="shared" si="208"/>
        <v>0</v>
      </c>
      <c r="DH112" s="229">
        <f t="shared" si="208"/>
        <v>0</v>
      </c>
      <c r="DI112" s="229">
        <f t="shared" si="208"/>
        <v>0</v>
      </c>
      <c r="DJ112" s="229">
        <f t="shared" si="208"/>
        <v>0</v>
      </c>
      <c r="DK112" s="229">
        <f t="shared" si="208"/>
        <v>0</v>
      </c>
      <c r="DL112" s="229">
        <f t="shared" si="208"/>
        <v>0</v>
      </c>
      <c r="DM112" s="229">
        <f t="shared" si="208"/>
        <v>0</v>
      </c>
      <c r="DN112" s="229">
        <f t="shared" si="208"/>
        <v>0</v>
      </c>
      <c r="DO112" s="229">
        <f t="shared" si="208"/>
        <v>0</v>
      </c>
      <c r="DP112" s="229">
        <f t="shared" si="208"/>
        <v>0</v>
      </c>
      <c r="DQ112" s="229">
        <f t="shared" si="208"/>
        <v>0</v>
      </c>
      <c r="DR112" s="229">
        <f t="shared" si="208"/>
        <v>0</v>
      </c>
      <c r="DS112" s="229">
        <f t="shared" si="208"/>
        <v>0</v>
      </c>
      <c r="DT112" s="229">
        <f t="shared" si="208"/>
        <v>0</v>
      </c>
      <c r="DU112" s="229">
        <f t="shared" si="208"/>
        <v>0</v>
      </c>
      <c r="DV112" s="229">
        <f t="shared" si="208"/>
        <v>0</v>
      </c>
      <c r="DW112" s="229">
        <f t="shared" si="208"/>
        <v>0</v>
      </c>
      <c r="DX112" s="229">
        <f t="shared" si="208"/>
        <v>0</v>
      </c>
      <c r="DY112" s="229">
        <f t="shared" si="208"/>
        <v>0</v>
      </c>
      <c r="DZ112" s="229">
        <f t="shared" si="208"/>
        <v>0</v>
      </c>
      <c r="EA112" s="229">
        <f t="shared" si="208"/>
        <v>0</v>
      </c>
      <c r="EB112" s="229">
        <f t="shared" si="208"/>
        <v>0</v>
      </c>
      <c r="EC112" s="229">
        <f t="shared" si="208"/>
        <v>0</v>
      </c>
      <c r="ED112" s="229">
        <f t="shared" si="208"/>
        <v>0</v>
      </c>
      <c r="EE112" s="229">
        <f t="shared" ref="EE112:EH112" si="209">EF28</f>
        <v>0</v>
      </c>
      <c r="EF112" s="229">
        <f t="shared" si="209"/>
        <v>0</v>
      </c>
      <c r="EG112" s="229">
        <f t="shared" si="209"/>
        <v>0</v>
      </c>
      <c r="EH112" s="229">
        <f t="shared" si="209"/>
        <v>0</v>
      </c>
      <c r="EK112" s="280"/>
    </row>
    <row r="113" spans="1:141" ht="15" thickBot="1" x14ac:dyDescent="0.35">
      <c r="A113" s="248" t="s">
        <v>2416</v>
      </c>
      <c r="B113" s="248"/>
      <c r="C113" s="248"/>
      <c r="D113" s="248"/>
      <c r="E113" s="654"/>
      <c r="F113" s="654"/>
      <c r="G113" s="249">
        <f t="shared" ref="G113:BR113" si="210">G108+G112</f>
        <v>0</v>
      </c>
      <c r="H113" s="249">
        <f t="shared" si="210"/>
        <v>0</v>
      </c>
      <c r="I113" s="249">
        <f t="shared" si="210"/>
        <v>0</v>
      </c>
      <c r="J113" s="249">
        <f t="shared" si="210"/>
        <v>0</v>
      </c>
      <c r="K113" s="249">
        <f t="shared" si="210"/>
        <v>0</v>
      </c>
      <c r="L113" s="249">
        <f t="shared" si="210"/>
        <v>0</v>
      </c>
      <c r="M113" s="249">
        <f t="shared" si="210"/>
        <v>0</v>
      </c>
      <c r="N113" s="249">
        <f t="shared" si="210"/>
        <v>0</v>
      </c>
      <c r="O113" s="249">
        <f t="shared" si="210"/>
        <v>0</v>
      </c>
      <c r="P113" s="249">
        <f t="shared" si="210"/>
        <v>0</v>
      </c>
      <c r="Q113" s="249">
        <f t="shared" si="210"/>
        <v>0</v>
      </c>
      <c r="R113" s="249">
        <f t="shared" si="210"/>
        <v>0</v>
      </c>
      <c r="S113" s="249">
        <f t="shared" si="210"/>
        <v>14.4</v>
      </c>
      <c r="T113" s="249">
        <f t="shared" si="210"/>
        <v>28.8</v>
      </c>
      <c r="U113" s="249">
        <f t="shared" si="210"/>
        <v>43.2</v>
      </c>
      <c r="V113" s="249">
        <f t="shared" si="210"/>
        <v>57.6</v>
      </c>
      <c r="W113" s="249">
        <f t="shared" si="210"/>
        <v>72</v>
      </c>
      <c r="X113" s="249">
        <f t="shared" si="210"/>
        <v>93.6</v>
      </c>
      <c r="Y113" s="249">
        <f t="shared" si="210"/>
        <v>115.19999999999999</v>
      </c>
      <c r="Z113" s="249">
        <f t="shared" si="210"/>
        <v>136.79999999999998</v>
      </c>
      <c r="AA113" s="249">
        <f t="shared" si="210"/>
        <v>158.39999999999998</v>
      </c>
      <c r="AB113" s="249">
        <f t="shared" si="210"/>
        <v>179.99999999999997</v>
      </c>
      <c r="AC113" s="249">
        <f t="shared" si="210"/>
        <v>201.59999999999997</v>
      </c>
      <c r="AD113" s="249">
        <f t="shared" si="210"/>
        <v>215.99999999999997</v>
      </c>
      <c r="AE113" s="249">
        <f t="shared" si="210"/>
        <v>230.39999999999998</v>
      </c>
      <c r="AF113" s="249">
        <f t="shared" si="210"/>
        <v>240.98</v>
      </c>
      <c r="AG113" s="249">
        <f t="shared" si="210"/>
        <v>240.98</v>
      </c>
      <c r="AH113" s="249">
        <f t="shared" si="210"/>
        <v>240.98</v>
      </c>
      <c r="AI113" s="249">
        <f t="shared" si="210"/>
        <v>240.98</v>
      </c>
      <c r="AJ113" s="249">
        <f t="shared" si="210"/>
        <v>240.98</v>
      </c>
      <c r="AK113" s="249">
        <f t="shared" si="210"/>
        <v>240.98</v>
      </c>
      <c r="AL113" s="249">
        <f t="shared" si="210"/>
        <v>240.98</v>
      </c>
      <c r="AM113" s="249">
        <f t="shared" si="210"/>
        <v>240.98</v>
      </c>
      <c r="AN113" s="249">
        <f t="shared" si="210"/>
        <v>240.98</v>
      </c>
      <c r="AO113" s="249">
        <f t="shared" si="210"/>
        <v>240.98</v>
      </c>
      <c r="AP113" s="249">
        <f t="shared" si="210"/>
        <v>240.98</v>
      </c>
      <c r="AQ113" s="249">
        <f t="shared" si="210"/>
        <v>240.98</v>
      </c>
      <c r="AR113" s="249">
        <f t="shared" si="210"/>
        <v>240.98</v>
      </c>
      <c r="AS113" s="249">
        <f t="shared" si="210"/>
        <v>240.98</v>
      </c>
      <c r="AT113" s="249">
        <f t="shared" si="210"/>
        <v>240.98</v>
      </c>
      <c r="AU113" s="249">
        <f t="shared" si="210"/>
        <v>240.98</v>
      </c>
      <c r="AV113" s="249">
        <f t="shared" si="210"/>
        <v>240.98</v>
      </c>
      <c r="AW113" s="249">
        <f t="shared" si="210"/>
        <v>240.98</v>
      </c>
      <c r="AX113" s="249">
        <f t="shared" si="210"/>
        <v>240.98</v>
      </c>
      <c r="AY113" s="249">
        <f t="shared" si="210"/>
        <v>240.98</v>
      </c>
      <c r="AZ113" s="249">
        <f t="shared" si="210"/>
        <v>240.98</v>
      </c>
      <c r="BA113" s="249">
        <f t="shared" si="210"/>
        <v>240.98</v>
      </c>
      <c r="BB113" s="249">
        <f t="shared" si="210"/>
        <v>240.98</v>
      </c>
      <c r="BC113" s="249">
        <f t="shared" si="210"/>
        <v>240.98</v>
      </c>
      <c r="BD113" s="249">
        <f t="shared" si="210"/>
        <v>240.98</v>
      </c>
      <c r="BE113" s="249">
        <f t="shared" si="210"/>
        <v>240.98</v>
      </c>
      <c r="BF113" s="249">
        <f t="shared" si="210"/>
        <v>240.98</v>
      </c>
      <c r="BG113" s="249">
        <f t="shared" si="210"/>
        <v>240.98</v>
      </c>
      <c r="BH113" s="249">
        <f t="shared" si="210"/>
        <v>240.98</v>
      </c>
      <c r="BI113" s="249">
        <f t="shared" si="210"/>
        <v>240.98</v>
      </c>
      <c r="BJ113" s="249">
        <f t="shared" si="210"/>
        <v>240.98</v>
      </c>
      <c r="BK113" s="249">
        <f t="shared" si="210"/>
        <v>240.98</v>
      </c>
      <c r="BL113" s="249">
        <f t="shared" si="210"/>
        <v>240.98</v>
      </c>
      <c r="BM113" s="249">
        <f t="shared" si="210"/>
        <v>240.98</v>
      </c>
      <c r="BN113" s="249">
        <f t="shared" si="210"/>
        <v>240.98</v>
      </c>
      <c r="BO113" s="249">
        <f t="shared" si="210"/>
        <v>240.98</v>
      </c>
      <c r="BP113" s="249">
        <f t="shared" si="210"/>
        <v>240.98</v>
      </c>
      <c r="BQ113" s="249">
        <f t="shared" si="210"/>
        <v>240.98</v>
      </c>
      <c r="BR113" s="249">
        <f t="shared" si="210"/>
        <v>240.98</v>
      </c>
      <c r="BS113" s="249">
        <f t="shared" ref="BS113:ED113" si="211">BS108+BS112</f>
        <v>240.98</v>
      </c>
      <c r="BT113" s="249">
        <f t="shared" si="211"/>
        <v>240.98</v>
      </c>
      <c r="BU113" s="249">
        <f t="shared" si="211"/>
        <v>240.98</v>
      </c>
      <c r="BV113" s="249">
        <f t="shared" si="211"/>
        <v>240.98</v>
      </c>
      <c r="BW113" s="249">
        <f t="shared" si="211"/>
        <v>240.98</v>
      </c>
      <c r="BX113" s="249">
        <f t="shared" si="211"/>
        <v>240.98</v>
      </c>
      <c r="BY113" s="249">
        <f t="shared" si="211"/>
        <v>240.98</v>
      </c>
      <c r="BZ113" s="249">
        <f t="shared" si="211"/>
        <v>240.98</v>
      </c>
      <c r="CA113" s="249">
        <f t="shared" si="211"/>
        <v>240.98</v>
      </c>
      <c r="CB113" s="249">
        <f t="shared" si="211"/>
        <v>240.98</v>
      </c>
      <c r="CC113" s="249">
        <f t="shared" si="211"/>
        <v>240.98</v>
      </c>
      <c r="CD113" s="249">
        <f t="shared" si="211"/>
        <v>240.98</v>
      </c>
      <c r="CE113" s="249">
        <f t="shared" si="211"/>
        <v>240.98</v>
      </c>
      <c r="CF113" s="249">
        <f t="shared" si="211"/>
        <v>240.98</v>
      </c>
      <c r="CG113" s="249">
        <f t="shared" si="211"/>
        <v>240.98</v>
      </c>
      <c r="CH113" s="249">
        <f t="shared" si="211"/>
        <v>240.98</v>
      </c>
      <c r="CI113" s="249">
        <f t="shared" si="211"/>
        <v>240.98</v>
      </c>
      <c r="CJ113" s="249">
        <f t="shared" si="211"/>
        <v>240.98</v>
      </c>
      <c r="CK113" s="249">
        <f t="shared" si="211"/>
        <v>240.98</v>
      </c>
      <c r="CL113" s="249">
        <f t="shared" si="211"/>
        <v>240.98</v>
      </c>
      <c r="CM113" s="249">
        <f t="shared" si="211"/>
        <v>240.98</v>
      </c>
      <c r="CN113" s="249">
        <f t="shared" si="211"/>
        <v>240.98</v>
      </c>
      <c r="CO113" s="249">
        <f t="shared" si="211"/>
        <v>240.98</v>
      </c>
      <c r="CP113" s="249">
        <f t="shared" si="211"/>
        <v>240.98</v>
      </c>
      <c r="CQ113" s="249">
        <f t="shared" si="211"/>
        <v>240.98</v>
      </c>
      <c r="CR113" s="249">
        <f t="shared" si="211"/>
        <v>240.98</v>
      </c>
      <c r="CS113" s="249">
        <f t="shared" si="211"/>
        <v>240.98</v>
      </c>
      <c r="CT113" s="249">
        <f t="shared" si="211"/>
        <v>240.98</v>
      </c>
      <c r="CU113" s="249">
        <f t="shared" si="211"/>
        <v>240.98</v>
      </c>
      <c r="CV113" s="249">
        <f t="shared" si="211"/>
        <v>240.98</v>
      </c>
      <c r="CW113" s="249">
        <f t="shared" si="211"/>
        <v>240.98</v>
      </c>
      <c r="CX113" s="249">
        <f t="shared" si="211"/>
        <v>240.98</v>
      </c>
      <c r="CY113" s="249">
        <f t="shared" si="211"/>
        <v>240.98</v>
      </c>
      <c r="CZ113" s="249">
        <f t="shared" si="211"/>
        <v>240.98</v>
      </c>
      <c r="DA113" s="249">
        <f t="shared" si="211"/>
        <v>240.98</v>
      </c>
      <c r="DB113" s="249">
        <f t="shared" si="211"/>
        <v>240.98</v>
      </c>
      <c r="DC113" s="249">
        <f t="shared" si="211"/>
        <v>240.98</v>
      </c>
      <c r="DD113" s="249">
        <f t="shared" si="211"/>
        <v>240.98</v>
      </c>
      <c r="DE113" s="249">
        <f t="shared" si="211"/>
        <v>240.98</v>
      </c>
      <c r="DF113" s="249">
        <f t="shared" si="211"/>
        <v>240.98</v>
      </c>
      <c r="DG113" s="249">
        <f t="shared" si="211"/>
        <v>240.98</v>
      </c>
      <c r="DH113" s="249">
        <f t="shared" si="211"/>
        <v>240.98</v>
      </c>
      <c r="DI113" s="249">
        <f t="shared" si="211"/>
        <v>240.98</v>
      </c>
      <c r="DJ113" s="249">
        <f t="shared" si="211"/>
        <v>240.98</v>
      </c>
      <c r="DK113" s="249">
        <f t="shared" si="211"/>
        <v>240.98</v>
      </c>
      <c r="DL113" s="249">
        <f t="shared" si="211"/>
        <v>240.98</v>
      </c>
      <c r="DM113" s="249">
        <f t="shared" si="211"/>
        <v>240.98</v>
      </c>
      <c r="DN113" s="249">
        <f t="shared" si="211"/>
        <v>240.98</v>
      </c>
      <c r="DO113" s="249">
        <f t="shared" si="211"/>
        <v>240.98</v>
      </c>
      <c r="DP113" s="249">
        <f t="shared" si="211"/>
        <v>240.98</v>
      </c>
      <c r="DQ113" s="249">
        <f t="shared" si="211"/>
        <v>240.98</v>
      </c>
      <c r="DR113" s="249">
        <f t="shared" si="211"/>
        <v>240.98</v>
      </c>
      <c r="DS113" s="249">
        <f t="shared" si="211"/>
        <v>240.98</v>
      </c>
      <c r="DT113" s="249">
        <f t="shared" si="211"/>
        <v>240.98</v>
      </c>
      <c r="DU113" s="249">
        <f t="shared" si="211"/>
        <v>240.98</v>
      </c>
      <c r="DV113" s="249">
        <f t="shared" si="211"/>
        <v>240.98</v>
      </c>
      <c r="DW113" s="249">
        <f t="shared" si="211"/>
        <v>240.98</v>
      </c>
      <c r="DX113" s="249">
        <f t="shared" si="211"/>
        <v>240.98</v>
      </c>
      <c r="DY113" s="249">
        <f t="shared" si="211"/>
        <v>240.98</v>
      </c>
      <c r="DZ113" s="249">
        <f t="shared" si="211"/>
        <v>240.98</v>
      </c>
      <c r="EA113" s="249">
        <f t="shared" si="211"/>
        <v>240.98</v>
      </c>
      <c r="EB113" s="249">
        <f t="shared" si="211"/>
        <v>240.98</v>
      </c>
      <c r="EC113" s="249">
        <f t="shared" si="211"/>
        <v>240.98</v>
      </c>
      <c r="ED113" s="249">
        <f t="shared" si="211"/>
        <v>240.98</v>
      </c>
      <c r="EE113" s="249">
        <f>EE108+EE112</f>
        <v>240.98</v>
      </c>
      <c r="EF113" s="249">
        <f>EF108+EF112</f>
        <v>240.98</v>
      </c>
      <c r="EG113" s="249">
        <f>EG108+EG112</f>
        <v>240.98</v>
      </c>
      <c r="EH113" s="249">
        <f>EH108+EH112</f>
        <v>240.98</v>
      </c>
      <c r="EK113" s="672"/>
    </row>
    <row r="114" spans="1:141" ht="7.5" customHeight="1" thickTop="1" thickBot="1" x14ac:dyDescent="0.35">
      <c r="G114" s="229"/>
      <c r="H114" s="229"/>
      <c r="I114" s="229"/>
      <c r="J114" s="229"/>
      <c r="K114" s="229"/>
      <c r="L114" s="229"/>
      <c r="M114" s="229"/>
      <c r="N114" s="229"/>
      <c r="O114" s="229"/>
      <c r="P114" s="229"/>
      <c r="Q114" s="229"/>
      <c r="R114" s="229"/>
      <c r="S114" s="229"/>
      <c r="T114" s="229"/>
      <c r="U114" s="229"/>
      <c r="V114" s="229"/>
      <c r="W114" s="229"/>
      <c r="X114" s="229"/>
      <c r="Y114" s="229"/>
      <c r="Z114" s="229"/>
      <c r="AA114" s="229"/>
      <c r="AB114" s="229"/>
      <c r="AC114" s="229"/>
      <c r="AD114" s="229"/>
      <c r="AE114" s="229"/>
      <c r="AF114" s="229"/>
      <c r="AG114" s="229"/>
      <c r="AH114" s="229"/>
      <c r="AI114" s="229"/>
      <c r="AJ114" s="229"/>
      <c r="AK114" s="229"/>
      <c r="AL114" s="229"/>
      <c r="AM114" s="229"/>
      <c r="AN114" s="229"/>
      <c r="AO114" s="229"/>
      <c r="AP114" s="229"/>
      <c r="AQ114" s="229"/>
      <c r="AR114" s="229"/>
      <c r="AS114" s="229"/>
      <c r="AT114" s="229"/>
      <c r="AU114" s="229"/>
      <c r="AV114" s="229"/>
      <c r="AW114" s="229"/>
      <c r="AX114" s="229"/>
      <c r="AY114" s="229"/>
      <c r="AZ114" s="229"/>
      <c r="BA114" s="229"/>
      <c r="BB114" s="229"/>
      <c r="BC114" s="229"/>
      <c r="BD114" s="229"/>
      <c r="BE114" s="229"/>
      <c r="BF114" s="229"/>
      <c r="BG114" s="229"/>
      <c r="BH114" s="229"/>
      <c r="BI114" s="229"/>
      <c r="BJ114" s="229"/>
      <c r="BK114" s="229"/>
      <c r="BL114" s="229"/>
      <c r="BM114" s="229"/>
      <c r="BN114" s="229"/>
      <c r="BO114" s="229"/>
      <c r="BP114" s="229"/>
      <c r="BQ114" s="229"/>
      <c r="BR114" s="229"/>
      <c r="BS114" s="229"/>
      <c r="BT114" s="229"/>
      <c r="BU114" s="229"/>
      <c r="BV114" s="229"/>
      <c r="BW114" s="229"/>
      <c r="BX114" s="229"/>
      <c r="BY114" s="229"/>
      <c r="BZ114" s="229"/>
      <c r="CA114" s="229"/>
      <c r="CB114" s="229"/>
      <c r="CC114" s="229"/>
      <c r="CD114" s="229"/>
      <c r="CE114" s="229"/>
      <c r="CF114" s="229"/>
      <c r="CG114" s="229"/>
      <c r="CH114" s="229"/>
      <c r="CI114" s="229"/>
      <c r="CJ114" s="229"/>
      <c r="CK114" s="229"/>
      <c r="CL114" s="229"/>
      <c r="CM114" s="229"/>
      <c r="CN114" s="229"/>
      <c r="CO114" s="229"/>
      <c r="CP114" s="229"/>
      <c r="CQ114" s="229"/>
      <c r="CR114" s="229"/>
      <c r="CS114" s="229"/>
      <c r="CT114" s="229"/>
      <c r="CU114" s="229"/>
      <c r="CV114" s="229"/>
      <c r="CW114" s="229"/>
      <c r="CX114" s="229"/>
      <c r="CY114" s="229"/>
      <c r="CZ114" s="229"/>
      <c r="DA114" s="229"/>
      <c r="DB114" s="229"/>
      <c r="DC114" s="229"/>
      <c r="DD114" s="229"/>
      <c r="DE114" s="229"/>
      <c r="DF114" s="229"/>
      <c r="DG114" s="229"/>
      <c r="DH114" s="229"/>
      <c r="DI114" s="229"/>
      <c r="DJ114" s="229"/>
      <c r="DK114" s="229"/>
      <c r="DL114" s="229"/>
      <c r="DM114" s="229"/>
      <c r="DN114" s="229"/>
      <c r="DO114" s="229"/>
      <c r="DP114" s="229"/>
      <c r="DQ114" s="229"/>
      <c r="DR114" s="229"/>
      <c r="DS114" s="229"/>
      <c r="DT114" s="229"/>
      <c r="DU114" s="229"/>
      <c r="DV114" s="229"/>
      <c r="DW114" s="229"/>
      <c r="DX114" s="229"/>
      <c r="DY114" s="229"/>
      <c r="DZ114" s="229"/>
      <c r="EA114" s="229"/>
      <c r="EB114" s="229"/>
      <c r="EC114" s="229"/>
      <c r="ED114" s="229"/>
      <c r="EE114" s="229"/>
      <c r="EF114" s="229"/>
      <c r="EG114" s="229"/>
      <c r="EH114" s="229"/>
      <c r="EK114" s="280"/>
    </row>
    <row r="115" spans="1:141" ht="15" thickTop="1" x14ac:dyDescent="0.3">
      <c r="A115" s="2779" t="s">
        <v>2420</v>
      </c>
      <c r="B115" s="2780"/>
      <c r="C115" s="2781"/>
      <c r="D115" s="695"/>
      <c r="E115" s="696"/>
      <c r="F115" s="696"/>
      <c r="G115" s="695">
        <f t="shared" ref="G115:BR115" si="212">G5</f>
        <v>1</v>
      </c>
      <c r="H115" s="695">
        <f t="shared" si="212"/>
        <v>2</v>
      </c>
      <c r="I115" s="695">
        <f t="shared" si="212"/>
        <v>3</v>
      </c>
      <c r="J115" s="695">
        <f t="shared" si="212"/>
        <v>4</v>
      </c>
      <c r="K115" s="695">
        <f t="shared" si="212"/>
        <v>5</v>
      </c>
      <c r="L115" s="695">
        <f t="shared" si="212"/>
        <v>6</v>
      </c>
      <c r="M115" s="695">
        <f t="shared" si="212"/>
        <v>7</v>
      </c>
      <c r="N115" s="695">
        <f t="shared" si="212"/>
        <v>8</v>
      </c>
      <c r="O115" s="695">
        <f t="shared" si="212"/>
        <v>9</v>
      </c>
      <c r="P115" s="695">
        <f t="shared" si="212"/>
        <v>10</v>
      </c>
      <c r="Q115" s="695">
        <f t="shared" si="212"/>
        <v>11</v>
      </c>
      <c r="R115" s="695">
        <f t="shared" si="212"/>
        <v>12</v>
      </c>
      <c r="S115" s="695">
        <f t="shared" si="212"/>
        <v>13</v>
      </c>
      <c r="T115" s="695">
        <f t="shared" si="212"/>
        <v>14</v>
      </c>
      <c r="U115" s="695">
        <f t="shared" si="212"/>
        <v>15</v>
      </c>
      <c r="V115" s="695">
        <f t="shared" si="212"/>
        <v>16</v>
      </c>
      <c r="W115" s="695">
        <f t="shared" si="212"/>
        <v>17</v>
      </c>
      <c r="X115" s="695">
        <f t="shared" si="212"/>
        <v>18</v>
      </c>
      <c r="Y115" s="695">
        <f t="shared" si="212"/>
        <v>19</v>
      </c>
      <c r="Z115" s="695">
        <f t="shared" si="212"/>
        <v>20</v>
      </c>
      <c r="AA115" s="695">
        <f t="shared" si="212"/>
        <v>21</v>
      </c>
      <c r="AB115" s="695">
        <f t="shared" si="212"/>
        <v>22</v>
      </c>
      <c r="AC115" s="695">
        <f t="shared" si="212"/>
        <v>23</v>
      </c>
      <c r="AD115" s="695">
        <f t="shared" si="212"/>
        <v>24</v>
      </c>
      <c r="AE115" s="695">
        <f t="shared" si="212"/>
        <v>25</v>
      </c>
      <c r="AF115" s="695">
        <f t="shared" si="212"/>
        <v>26</v>
      </c>
      <c r="AG115" s="695">
        <f t="shared" si="212"/>
        <v>27</v>
      </c>
      <c r="AH115" s="695">
        <f t="shared" si="212"/>
        <v>28</v>
      </c>
      <c r="AI115" s="695">
        <f t="shared" si="212"/>
        <v>29</v>
      </c>
      <c r="AJ115" s="695">
        <f t="shared" si="212"/>
        <v>30</v>
      </c>
      <c r="AK115" s="695">
        <f t="shared" si="212"/>
        <v>31</v>
      </c>
      <c r="AL115" s="695">
        <f t="shared" si="212"/>
        <v>32</v>
      </c>
      <c r="AM115" s="695">
        <f t="shared" si="212"/>
        <v>33</v>
      </c>
      <c r="AN115" s="695">
        <f t="shared" si="212"/>
        <v>34</v>
      </c>
      <c r="AO115" s="695">
        <f t="shared" si="212"/>
        <v>35</v>
      </c>
      <c r="AP115" s="695">
        <f t="shared" si="212"/>
        <v>36</v>
      </c>
      <c r="AQ115" s="695">
        <f t="shared" si="212"/>
        <v>37</v>
      </c>
      <c r="AR115" s="695">
        <f t="shared" si="212"/>
        <v>38</v>
      </c>
      <c r="AS115" s="695">
        <f t="shared" si="212"/>
        <v>39</v>
      </c>
      <c r="AT115" s="695">
        <f t="shared" si="212"/>
        <v>40</v>
      </c>
      <c r="AU115" s="695">
        <f t="shared" si="212"/>
        <v>41</v>
      </c>
      <c r="AV115" s="695">
        <f t="shared" si="212"/>
        <v>42</v>
      </c>
      <c r="AW115" s="695">
        <f t="shared" si="212"/>
        <v>43</v>
      </c>
      <c r="AX115" s="695">
        <f t="shared" si="212"/>
        <v>44</v>
      </c>
      <c r="AY115" s="695">
        <f t="shared" si="212"/>
        <v>45</v>
      </c>
      <c r="AZ115" s="695">
        <f t="shared" si="212"/>
        <v>46</v>
      </c>
      <c r="BA115" s="695">
        <f t="shared" si="212"/>
        <v>47</v>
      </c>
      <c r="BB115" s="695">
        <f t="shared" si="212"/>
        <v>48</v>
      </c>
      <c r="BC115" s="695">
        <f t="shared" si="212"/>
        <v>49</v>
      </c>
      <c r="BD115" s="695">
        <f t="shared" si="212"/>
        <v>50</v>
      </c>
      <c r="BE115" s="695">
        <f t="shared" si="212"/>
        <v>51</v>
      </c>
      <c r="BF115" s="695">
        <f t="shared" si="212"/>
        <v>52</v>
      </c>
      <c r="BG115" s="695">
        <f t="shared" si="212"/>
        <v>53</v>
      </c>
      <c r="BH115" s="695">
        <f t="shared" si="212"/>
        <v>54</v>
      </c>
      <c r="BI115" s="695">
        <f t="shared" si="212"/>
        <v>55</v>
      </c>
      <c r="BJ115" s="695">
        <f t="shared" si="212"/>
        <v>56</v>
      </c>
      <c r="BK115" s="695">
        <f t="shared" si="212"/>
        <v>57</v>
      </c>
      <c r="BL115" s="695">
        <f t="shared" si="212"/>
        <v>58</v>
      </c>
      <c r="BM115" s="695">
        <f t="shared" si="212"/>
        <v>59</v>
      </c>
      <c r="BN115" s="695">
        <f t="shared" si="212"/>
        <v>60</v>
      </c>
      <c r="BO115" s="695">
        <f t="shared" si="212"/>
        <v>61</v>
      </c>
      <c r="BP115" s="695">
        <f t="shared" si="212"/>
        <v>62</v>
      </c>
      <c r="BQ115" s="695">
        <f t="shared" si="212"/>
        <v>63</v>
      </c>
      <c r="BR115" s="695">
        <f t="shared" si="212"/>
        <v>64</v>
      </c>
      <c r="BS115" s="695">
        <f t="shared" ref="BS115:ED115" si="213">BS5</f>
        <v>65</v>
      </c>
      <c r="BT115" s="695">
        <f t="shared" si="213"/>
        <v>66</v>
      </c>
      <c r="BU115" s="695">
        <f t="shared" si="213"/>
        <v>67</v>
      </c>
      <c r="BV115" s="695">
        <f t="shared" si="213"/>
        <v>68</v>
      </c>
      <c r="BW115" s="695">
        <f t="shared" si="213"/>
        <v>69</v>
      </c>
      <c r="BX115" s="695">
        <f t="shared" si="213"/>
        <v>70</v>
      </c>
      <c r="BY115" s="695">
        <f t="shared" si="213"/>
        <v>71</v>
      </c>
      <c r="BZ115" s="695">
        <f t="shared" si="213"/>
        <v>72</v>
      </c>
      <c r="CA115" s="695">
        <f t="shared" si="213"/>
        <v>73</v>
      </c>
      <c r="CB115" s="695">
        <f t="shared" si="213"/>
        <v>74</v>
      </c>
      <c r="CC115" s="695">
        <f t="shared" si="213"/>
        <v>75</v>
      </c>
      <c r="CD115" s="695">
        <f t="shared" si="213"/>
        <v>76</v>
      </c>
      <c r="CE115" s="695">
        <f t="shared" si="213"/>
        <v>77</v>
      </c>
      <c r="CF115" s="695">
        <f t="shared" si="213"/>
        <v>78</v>
      </c>
      <c r="CG115" s="695">
        <f t="shared" si="213"/>
        <v>79</v>
      </c>
      <c r="CH115" s="695">
        <f t="shared" si="213"/>
        <v>80</v>
      </c>
      <c r="CI115" s="695">
        <f t="shared" si="213"/>
        <v>81</v>
      </c>
      <c r="CJ115" s="695">
        <f t="shared" si="213"/>
        <v>82</v>
      </c>
      <c r="CK115" s="695">
        <f t="shared" si="213"/>
        <v>83</v>
      </c>
      <c r="CL115" s="695">
        <f t="shared" si="213"/>
        <v>84</v>
      </c>
      <c r="CM115" s="695">
        <f t="shared" si="213"/>
        <v>85</v>
      </c>
      <c r="CN115" s="695">
        <f t="shared" si="213"/>
        <v>86</v>
      </c>
      <c r="CO115" s="695">
        <f t="shared" si="213"/>
        <v>87</v>
      </c>
      <c r="CP115" s="695">
        <f t="shared" si="213"/>
        <v>88</v>
      </c>
      <c r="CQ115" s="695">
        <f t="shared" si="213"/>
        <v>89</v>
      </c>
      <c r="CR115" s="695">
        <f t="shared" si="213"/>
        <v>90</v>
      </c>
      <c r="CS115" s="695">
        <f t="shared" si="213"/>
        <v>91</v>
      </c>
      <c r="CT115" s="695">
        <f t="shared" si="213"/>
        <v>92</v>
      </c>
      <c r="CU115" s="695">
        <f t="shared" si="213"/>
        <v>93</v>
      </c>
      <c r="CV115" s="695">
        <f t="shared" si="213"/>
        <v>94</v>
      </c>
      <c r="CW115" s="695">
        <f t="shared" si="213"/>
        <v>95</v>
      </c>
      <c r="CX115" s="695">
        <f t="shared" si="213"/>
        <v>96</v>
      </c>
      <c r="CY115" s="695">
        <f t="shared" si="213"/>
        <v>97</v>
      </c>
      <c r="CZ115" s="695">
        <f t="shared" si="213"/>
        <v>98</v>
      </c>
      <c r="DA115" s="695">
        <f t="shared" si="213"/>
        <v>99</v>
      </c>
      <c r="DB115" s="695">
        <f t="shared" si="213"/>
        <v>100</v>
      </c>
      <c r="DC115" s="695">
        <f t="shared" si="213"/>
        <v>101</v>
      </c>
      <c r="DD115" s="695">
        <f t="shared" si="213"/>
        <v>102</v>
      </c>
      <c r="DE115" s="695">
        <f t="shared" si="213"/>
        <v>103</v>
      </c>
      <c r="DF115" s="695">
        <f t="shared" si="213"/>
        <v>104</v>
      </c>
      <c r="DG115" s="695">
        <f t="shared" si="213"/>
        <v>105</v>
      </c>
      <c r="DH115" s="695">
        <f t="shared" si="213"/>
        <v>106</v>
      </c>
      <c r="DI115" s="695">
        <f t="shared" si="213"/>
        <v>107</v>
      </c>
      <c r="DJ115" s="695">
        <f t="shared" si="213"/>
        <v>108</v>
      </c>
      <c r="DK115" s="695">
        <f t="shared" si="213"/>
        <v>109</v>
      </c>
      <c r="DL115" s="695">
        <f t="shared" si="213"/>
        <v>110</v>
      </c>
      <c r="DM115" s="695">
        <f t="shared" si="213"/>
        <v>111</v>
      </c>
      <c r="DN115" s="695">
        <f t="shared" si="213"/>
        <v>112</v>
      </c>
      <c r="DO115" s="695">
        <f t="shared" si="213"/>
        <v>113</v>
      </c>
      <c r="DP115" s="695">
        <f t="shared" si="213"/>
        <v>114</v>
      </c>
      <c r="DQ115" s="695">
        <f t="shared" si="213"/>
        <v>115</v>
      </c>
      <c r="DR115" s="695">
        <f t="shared" si="213"/>
        <v>116</v>
      </c>
      <c r="DS115" s="695">
        <f t="shared" si="213"/>
        <v>117</v>
      </c>
      <c r="DT115" s="695">
        <f t="shared" si="213"/>
        <v>118</v>
      </c>
      <c r="DU115" s="695">
        <f t="shared" si="213"/>
        <v>119</v>
      </c>
      <c r="DV115" s="695">
        <f t="shared" si="213"/>
        <v>120</v>
      </c>
      <c r="DW115" s="695">
        <f t="shared" si="213"/>
        <v>121</v>
      </c>
      <c r="DX115" s="695">
        <f t="shared" si="213"/>
        <v>122</v>
      </c>
      <c r="DY115" s="695">
        <f t="shared" si="213"/>
        <v>123</v>
      </c>
      <c r="DZ115" s="695">
        <f t="shared" si="213"/>
        <v>124</v>
      </c>
      <c r="EA115" s="695">
        <f t="shared" si="213"/>
        <v>125</v>
      </c>
      <c r="EB115" s="695">
        <f t="shared" si="213"/>
        <v>126</v>
      </c>
      <c r="EC115" s="695">
        <f t="shared" si="213"/>
        <v>127</v>
      </c>
      <c r="ED115" s="695">
        <f t="shared" si="213"/>
        <v>128</v>
      </c>
      <c r="EE115" s="695">
        <f t="shared" ref="EE115:EH115" si="214">EE5</f>
        <v>129</v>
      </c>
      <c r="EF115" s="695">
        <f t="shared" si="214"/>
        <v>130</v>
      </c>
      <c r="EG115" s="695">
        <f t="shared" si="214"/>
        <v>131</v>
      </c>
      <c r="EH115" s="695">
        <f t="shared" si="214"/>
        <v>132</v>
      </c>
      <c r="EK115" s="280"/>
    </row>
    <row r="116" spans="1:141" x14ac:dyDescent="0.3">
      <c r="A116">
        <v>1</v>
      </c>
      <c r="E116" s="200"/>
      <c r="F116" s="200"/>
      <c r="G116" s="227"/>
      <c r="H116" s="227">
        <f t="shared" ref="H116:AM116" si="215">IF(AvgLeaseTermMarket&lt;$A116,0,(H$48-G$48)*G$109)</f>
        <v>0</v>
      </c>
      <c r="I116" s="227">
        <f t="shared" si="215"/>
        <v>0</v>
      </c>
      <c r="J116" s="227">
        <f t="shared" si="215"/>
        <v>0</v>
      </c>
      <c r="K116" s="227">
        <f t="shared" si="215"/>
        <v>0</v>
      </c>
      <c r="L116" s="227">
        <f t="shared" si="215"/>
        <v>0</v>
      </c>
      <c r="M116" s="227">
        <f t="shared" si="215"/>
        <v>0</v>
      </c>
      <c r="N116" s="227">
        <f t="shared" si="215"/>
        <v>0</v>
      </c>
      <c r="O116" s="227">
        <f t="shared" si="215"/>
        <v>0</v>
      </c>
      <c r="P116" s="227">
        <f t="shared" si="215"/>
        <v>0</v>
      </c>
      <c r="Q116" s="227">
        <f t="shared" si="215"/>
        <v>0</v>
      </c>
      <c r="R116" s="227">
        <f t="shared" si="215"/>
        <v>0</v>
      </c>
      <c r="S116" s="227">
        <f t="shared" si="215"/>
        <v>0</v>
      </c>
      <c r="T116" s="227">
        <f t="shared" si="215"/>
        <v>50.729848579657123</v>
      </c>
      <c r="U116" s="227">
        <f t="shared" si="215"/>
        <v>50.812200033853877</v>
      </c>
      <c r="V116" s="227">
        <f t="shared" si="215"/>
        <v>116.21127291819504</v>
      </c>
      <c r="W116" s="227">
        <f t="shared" si="215"/>
        <v>116.64202936981019</v>
      </c>
      <c r="X116" s="227">
        <f t="shared" si="215"/>
        <v>117.07438249200713</v>
      </c>
      <c r="Y116" s="227">
        <f t="shared" si="215"/>
        <v>264.39376095700277</v>
      </c>
      <c r="Z116" s="227">
        <f t="shared" si="215"/>
        <v>265.86379026792054</v>
      </c>
      <c r="AA116" s="227">
        <f t="shared" si="215"/>
        <v>267.34199294181087</v>
      </c>
      <c r="AB116" s="227">
        <f t="shared" si="215"/>
        <v>268.82841442256972</v>
      </c>
      <c r="AC116" s="227">
        <f t="shared" si="215"/>
        <v>270.32310040675839</v>
      </c>
      <c r="AD116" s="227">
        <f t="shared" si="215"/>
        <v>271.82609684501767</v>
      </c>
      <c r="AE116" s="227">
        <f t="shared" si="215"/>
        <v>121.4833110859945</v>
      </c>
      <c r="AF116" s="227">
        <f t="shared" si="215"/>
        <v>243.86721845150461</v>
      </c>
      <c r="AG116" s="227">
        <f t="shared" si="215"/>
        <v>212.30497918304988</v>
      </c>
      <c r="AH116" s="227">
        <f t="shared" si="215"/>
        <v>111.35065895634617</v>
      </c>
      <c r="AI116" s="227">
        <f t="shared" si="215"/>
        <v>111.72479717043898</v>
      </c>
      <c r="AJ116" s="227">
        <f t="shared" si="215"/>
        <v>112.10019248893222</v>
      </c>
      <c r="AK116" s="227">
        <f t="shared" si="215"/>
        <v>253.0729105553113</v>
      </c>
      <c r="AL116" s="227">
        <f t="shared" si="215"/>
        <v>254.34839802450693</v>
      </c>
      <c r="AM116" s="227">
        <f t="shared" si="215"/>
        <v>255.63031395055111</v>
      </c>
      <c r="AN116" s="227">
        <f t="shared" ref="AN116:BS116" si="216">IF(AvgLeaseTermMarket&lt;$A116,0,(AN$48-AM$48)*AM$109)</f>
        <v>256.91869073285557</v>
      </c>
      <c r="AO116" s="227">
        <f t="shared" si="216"/>
        <v>258.21356093415159</v>
      </c>
      <c r="AP116" s="227">
        <f t="shared" si="216"/>
        <v>259.51495728126571</v>
      </c>
      <c r="AQ116" s="227">
        <f t="shared" si="216"/>
        <v>115.92129451820657</v>
      </c>
      <c r="AR116" s="227">
        <f t="shared" si="216"/>
        <v>232.62158013558221</v>
      </c>
      <c r="AS116" s="227">
        <f t="shared" si="216"/>
        <v>202.44484903985719</v>
      </c>
      <c r="AT116" s="227">
        <f t="shared" si="216"/>
        <v>75.623022126240542</v>
      </c>
      <c r="AU116" s="227">
        <f t="shared" si="216"/>
        <v>75.787124084250536</v>
      </c>
      <c r="AV116" s="227">
        <f t="shared" si="216"/>
        <v>75.95158214351396</v>
      </c>
      <c r="AW116" s="227">
        <f t="shared" si="216"/>
        <v>171.26189342272809</v>
      </c>
      <c r="AX116" s="227">
        <f t="shared" si="216"/>
        <v>171.81935088582028</v>
      </c>
      <c r="AY116" s="227">
        <f t="shared" si="216"/>
        <v>172.37862287294701</v>
      </c>
      <c r="AZ116" s="227">
        <f t="shared" si="216"/>
        <v>172.93971529040317</v>
      </c>
      <c r="BA116" s="227">
        <f t="shared" si="216"/>
        <v>173.50263406367702</v>
      </c>
      <c r="BB116" s="227">
        <f t="shared" si="216"/>
        <v>174.06738513754826</v>
      </c>
      <c r="BC116" s="227">
        <f t="shared" si="216"/>
        <v>77.615099767187345</v>
      </c>
      <c r="BD116" s="227">
        <f t="shared" si="216"/>
        <v>155.56704906736124</v>
      </c>
      <c r="BE116" s="227">
        <f t="shared" si="216"/>
        <v>135.22561272586356</v>
      </c>
      <c r="BF116" s="227">
        <f t="shared" si="216"/>
        <v>99.54187472733102</v>
      </c>
      <c r="BG116" s="227">
        <f t="shared" si="216"/>
        <v>99.817108010953234</v>
      </c>
      <c r="BH116" s="227">
        <f t="shared" si="216"/>
        <v>100.09310231460259</v>
      </c>
      <c r="BI116" s="227">
        <f t="shared" si="216"/>
        <v>225.8321844206377</v>
      </c>
      <c r="BJ116" s="227">
        <f t="shared" si="216"/>
        <v>226.7688234055251</v>
      </c>
      <c r="BK116" s="227">
        <f t="shared" si="216"/>
        <v>227.70934710059734</v>
      </c>
      <c r="BL116" s="227">
        <f t="shared" si="216"/>
        <v>228.65377161769283</v>
      </c>
      <c r="BM116" s="227">
        <f t="shared" si="216"/>
        <v>229.6021131354824</v>
      </c>
      <c r="BN116" s="227">
        <f t="shared" si="216"/>
        <v>230.55438789971521</v>
      </c>
      <c r="BO116" s="227">
        <f t="shared" si="216"/>
        <v>102.89360543267468</v>
      </c>
      <c r="BP116" s="227">
        <f t="shared" si="216"/>
        <v>206.35621250339611</v>
      </c>
      <c r="BQ116" s="227">
        <f t="shared" si="216"/>
        <v>179.48024826477689</v>
      </c>
      <c r="BR116" s="227">
        <f t="shared" si="216"/>
        <v>103.74946999910317</v>
      </c>
      <c r="BS116" s="227">
        <f t="shared" si="216"/>
        <v>104.03633728365166</v>
      </c>
      <c r="BT116" s="227">
        <f t="shared" ref="BT116:CY116" si="217">IF(AvgLeaseTermMarket&lt;$A116,0,(BT$48-BS$48)*BS$109)</f>
        <v>104.3239977562429</v>
      </c>
      <c r="BU116" s="227">
        <f t="shared" si="217"/>
        <v>235.37802062259249</v>
      </c>
      <c r="BV116" s="227">
        <f t="shared" si="217"/>
        <v>236.35425096311991</v>
      </c>
      <c r="BW116" s="227">
        <f t="shared" si="217"/>
        <v>237.33453021899874</v>
      </c>
      <c r="BX116" s="227">
        <f t="shared" si="217"/>
        <v>238.31887518307411</v>
      </c>
      <c r="BY116" s="227">
        <f t="shared" si="217"/>
        <v>239.30730271790159</v>
      </c>
      <c r="BZ116" s="227">
        <f t="shared" si="217"/>
        <v>240.29982975592426</v>
      </c>
      <c r="CA116" s="227">
        <f t="shared" si="217"/>
        <v>107.24287702214279</v>
      </c>
      <c r="CB116" s="227">
        <f t="shared" si="217"/>
        <v>215.07880715422945</v>
      </c>
      <c r="CC116" s="227">
        <f t="shared" si="217"/>
        <v>187.06680664579974</v>
      </c>
      <c r="CD116" s="227">
        <f t="shared" si="217"/>
        <v>108.13491864183088</v>
      </c>
      <c r="CE116" s="227">
        <f t="shared" si="217"/>
        <v>108.43391169187525</v>
      </c>
      <c r="CF116" s="227">
        <f t="shared" si="217"/>
        <v>108.73373145770601</v>
      </c>
      <c r="CG116" s="227">
        <f t="shared" si="217"/>
        <v>245.32735550667346</v>
      </c>
      <c r="CH116" s="227">
        <f t="shared" si="217"/>
        <v>246.34485071363594</v>
      </c>
      <c r="CI116" s="227">
        <f t="shared" si="217"/>
        <v>247.36656598197075</v>
      </c>
      <c r="CJ116" s="227">
        <f t="shared" si="217"/>
        <v>248.39251881437846</v>
      </c>
      <c r="CK116" s="227">
        <f t="shared" si="217"/>
        <v>249.42272678615808</v>
      </c>
      <c r="CL116" s="227">
        <f t="shared" si="217"/>
        <v>250.45720754550163</v>
      </c>
      <c r="CM116" s="227">
        <f t="shared" si="217"/>
        <v>111.77599058390625</v>
      </c>
      <c r="CN116" s="227">
        <f t="shared" si="217"/>
        <v>224.17010239574446</v>
      </c>
      <c r="CO116" s="227">
        <f t="shared" si="217"/>
        <v>194.97404581830611</v>
      </c>
      <c r="CP116" s="227">
        <f t="shared" si="217"/>
        <v>112.70573844643586</v>
      </c>
      <c r="CQ116" s="227">
        <f t="shared" si="217"/>
        <v>113.01736981323994</v>
      </c>
      <c r="CR116" s="227">
        <f t="shared" si="217"/>
        <v>113.32986284077052</v>
      </c>
      <c r="CS116" s="227">
        <f t="shared" si="217"/>
        <v>255.69724480093535</v>
      </c>
      <c r="CT116" s="227">
        <f t="shared" si="217"/>
        <v>256.75774912375124</v>
      </c>
      <c r="CU116" s="227">
        <f t="shared" si="217"/>
        <v>257.82265188824346</v>
      </c>
      <c r="CV116" s="227">
        <f t="shared" si="217"/>
        <v>258.89197133694648</v>
      </c>
      <c r="CW116" s="227">
        <f t="shared" si="217"/>
        <v>259.96572578806769</v>
      </c>
      <c r="CX116" s="227">
        <f t="shared" si="217"/>
        <v>261.04393363577219</v>
      </c>
      <c r="CY116" s="227">
        <f t="shared" si="217"/>
        <v>116.50071704467409</v>
      </c>
      <c r="CZ116" s="227">
        <f t="shared" ref="CZ116:EH116" si="218">IF(AvgLeaseTermMarket&lt;$A116,0,(CZ$48-CY$48)*CY$109)</f>
        <v>233.64568305460418</v>
      </c>
      <c r="DA116" s="227">
        <f t="shared" si="218"/>
        <v>203.21552083121975</v>
      </c>
      <c r="DB116" s="227">
        <f t="shared" si="218"/>
        <v>117.46976497785873</v>
      </c>
      <c r="DC116" s="227">
        <f t="shared" si="218"/>
        <v>117.79456887802007</v>
      </c>
      <c r="DD116" s="227">
        <f t="shared" si="218"/>
        <v>118.1202708609686</v>
      </c>
      <c r="DE116" s="227">
        <f t="shared" si="218"/>
        <v>266.50546517228941</v>
      </c>
      <c r="DF116" s="227">
        <f t="shared" si="218"/>
        <v>267.61079658909034</v>
      </c>
      <c r="DG116" s="227">
        <f t="shared" si="218"/>
        <v>268.72071236794034</v>
      </c>
      <c r="DH116" s="227">
        <f t="shared" si="218"/>
        <v>269.83523152248267</v>
      </c>
      <c r="DI116" s="227">
        <f t="shared" si="218"/>
        <v>270.95437314522604</v>
      </c>
      <c r="DJ116" s="227">
        <f t="shared" si="218"/>
        <v>272.07815640784861</v>
      </c>
      <c r="DK116" s="227">
        <f t="shared" si="218"/>
        <v>121.42515580513209</v>
      </c>
      <c r="DL116" s="227">
        <f t="shared" si="218"/>
        <v>243.52179272186186</v>
      </c>
      <c r="DM116" s="227">
        <f t="shared" si="218"/>
        <v>211.80535969995825</v>
      </c>
      <c r="DN116" s="227">
        <f t="shared" si="218"/>
        <v>122.43516500725528</v>
      </c>
      <c r="DO116" s="227">
        <f t="shared" si="218"/>
        <v>122.77369823850022</v>
      </c>
      <c r="DP116" s="227">
        <f t="shared" si="218"/>
        <v>123.11316751413251</v>
      </c>
      <c r="DQ116" s="227">
        <f t="shared" si="218"/>
        <v>277.77054470019573</v>
      </c>
      <c r="DR116" s="227">
        <f t="shared" si="218"/>
        <v>278.9225980343428</v>
      </c>
      <c r="DS116" s="227">
        <f t="shared" si="218"/>
        <v>280.07942950969226</v>
      </c>
      <c r="DT116" s="227">
        <f t="shared" si="218"/>
        <v>281.2410589435778</v>
      </c>
      <c r="DU116" s="227">
        <f t="shared" si="218"/>
        <v>282.40750623554777</v>
      </c>
      <c r="DV116" s="227">
        <f t="shared" si="218"/>
        <v>283.57879136765985</v>
      </c>
      <c r="DW116" s="227">
        <f t="shared" si="218"/>
        <v>126.55774862437538</v>
      </c>
      <c r="DX116" s="227">
        <f t="shared" si="218"/>
        <v>253.81536159865209</v>
      </c>
      <c r="DY116" s="227">
        <f t="shared" si="218"/>
        <v>220.75828762553084</v>
      </c>
      <c r="DZ116" s="227">
        <f t="shared" si="218"/>
        <v>127.61045051191614</v>
      </c>
      <c r="EA116" s="227">
        <f t="shared" si="218"/>
        <v>127.96329340758238</v>
      </c>
      <c r="EB116" s="227">
        <f t="shared" si="218"/>
        <v>128.3171119138533</v>
      </c>
      <c r="EC116" s="227">
        <f t="shared" si="218"/>
        <v>289.51179463868061</v>
      </c>
      <c r="ED116" s="227">
        <f t="shared" si="218"/>
        <v>290.71254480694148</v>
      </c>
      <c r="EE116" s="227">
        <f t="shared" si="218"/>
        <v>291.91827508652744</v>
      </c>
      <c r="EF116" s="227">
        <f t="shared" si="218"/>
        <v>293.12900613244852</v>
      </c>
      <c r="EG116" s="227">
        <f t="shared" si="218"/>
        <v>294.34475868538681</v>
      </c>
      <c r="EH116" s="227">
        <f t="shared" si="218"/>
        <v>295.56555357203064</v>
      </c>
      <c r="EK116" s="280"/>
    </row>
    <row r="117" spans="1:141" x14ac:dyDescent="0.3">
      <c r="A117">
        <v>2</v>
      </c>
      <c r="E117" s="200"/>
      <c r="F117" s="200"/>
      <c r="G117" s="229"/>
      <c r="H117" s="229"/>
      <c r="I117" s="227">
        <f t="shared" ref="I117:AN117" si="219">IF(AvgLeaseTermMarket&lt;$A117,0,(I$48-G$48)*G$109)</f>
        <v>0</v>
      </c>
      <c r="J117" s="227">
        <f t="shared" si="219"/>
        <v>0</v>
      </c>
      <c r="K117" s="227">
        <f t="shared" si="219"/>
        <v>0</v>
      </c>
      <c r="L117" s="227">
        <f t="shared" si="219"/>
        <v>0</v>
      </c>
      <c r="M117" s="227">
        <f t="shared" si="219"/>
        <v>0</v>
      </c>
      <c r="N117" s="227">
        <f t="shared" si="219"/>
        <v>0</v>
      </c>
      <c r="O117" s="227">
        <f t="shared" si="219"/>
        <v>0</v>
      </c>
      <c r="P117" s="227">
        <f t="shared" si="219"/>
        <v>0</v>
      </c>
      <c r="Q117" s="227">
        <f t="shared" si="219"/>
        <v>0</v>
      </c>
      <c r="R117" s="227">
        <f t="shared" si="219"/>
        <v>0</v>
      </c>
      <c r="S117" s="227">
        <f t="shared" si="219"/>
        <v>0</v>
      </c>
      <c r="T117" s="227">
        <f t="shared" si="219"/>
        <v>0</v>
      </c>
      <c r="U117" s="227">
        <f t="shared" si="219"/>
        <v>101.542048613511</v>
      </c>
      <c r="V117" s="227">
        <f t="shared" si="219"/>
        <v>167.02347295204891</v>
      </c>
      <c r="W117" s="227">
        <f t="shared" si="219"/>
        <v>232.85330228800521</v>
      </c>
      <c r="X117" s="227">
        <f t="shared" si="219"/>
        <v>233.71641186181733</v>
      </c>
      <c r="Y117" s="227">
        <f t="shared" si="219"/>
        <v>293.33688979667568</v>
      </c>
      <c r="Z117" s="227">
        <f t="shared" si="219"/>
        <v>530.2575512249233</v>
      </c>
      <c r="AA117" s="227">
        <f t="shared" si="219"/>
        <v>533.20578320973141</v>
      </c>
      <c r="AB117" s="227">
        <f t="shared" si="219"/>
        <v>536.17040736438059</v>
      </c>
      <c r="AC117" s="227">
        <f t="shared" si="219"/>
        <v>539.15151482932811</v>
      </c>
      <c r="AD117" s="227">
        <f t="shared" si="219"/>
        <v>542.14919725177606</v>
      </c>
      <c r="AE117" s="227">
        <f t="shared" si="219"/>
        <v>454.05106347400937</v>
      </c>
      <c r="AF117" s="227">
        <f t="shared" si="219"/>
        <v>243.41692031174679</v>
      </c>
      <c r="AG117" s="227">
        <f t="shared" si="219"/>
        <v>488.6383713927309</v>
      </c>
      <c r="AH117" s="227">
        <f t="shared" si="219"/>
        <v>405.46744173371155</v>
      </c>
      <c r="AI117" s="227">
        <f t="shared" si="219"/>
        <v>223.07545612678516</v>
      </c>
      <c r="AJ117" s="227">
        <f t="shared" si="219"/>
        <v>223.8249896593712</v>
      </c>
      <c r="AK117" s="227">
        <f t="shared" si="219"/>
        <v>280.81546619247314</v>
      </c>
      <c r="AL117" s="227">
        <f t="shared" si="219"/>
        <v>507.42130857981823</v>
      </c>
      <c r="AM117" s="227">
        <f t="shared" si="219"/>
        <v>509.97871197505805</v>
      </c>
      <c r="AN117" s="227">
        <f t="shared" si="219"/>
        <v>512.54900468340668</v>
      </c>
      <c r="AO117" s="227">
        <f t="shared" ref="AO117:BT117" si="220">IF(AvgLeaseTermMarket&lt;$A117,0,(AO$48-AM$48)*AM$109)</f>
        <v>515.13225166700715</v>
      </c>
      <c r="AP117" s="227">
        <f t="shared" si="220"/>
        <v>517.72851821541735</v>
      </c>
      <c r="AQ117" s="227">
        <f t="shared" si="220"/>
        <v>433.39689905857551</v>
      </c>
      <c r="AR117" s="227">
        <f t="shared" si="220"/>
        <v>232.23208458599765</v>
      </c>
      <c r="AS117" s="227">
        <f t="shared" si="220"/>
        <v>466.02476878041347</v>
      </c>
      <c r="AT117" s="227">
        <f t="shared" si="220"/>
        <v>333.62978603384954</v>
      </c>
      <c r="AU117" s="227">
        <f t="shared" si="220"/>
        <v>151.41014621049109</v>
      </c>
      <c r="AV117" s="227">
        <f t="shared" si="220"/>
        <v>151.73870622776448</v>
      </c>
      <c r="AW117" s="227">
        <f t="shared" si="220"/>
        <v>190.12617775866602</v>
      </c>
      <c r="AX117" s="227">
        <f t="shared" si="220"/>
        <v>343.08124430854838</v>
      </c>
      <c r="AY117" s="227">
        <f t="shared" si="220"/>
        <v>344.19797375876732</v>
      </c>
      <c r="AZ117" s="227">
        <f t="shared" si="220"/>
        <v>345.31833816335018</v>
      </c>
      <c r="BA117" s="227">
        <f t="shared" si="220"/>
        <v>346.44234935408019</v>
      </c>
      <c r="BB117" s="227">
        <f t="shared" si="220"/>
        <v>347.57001920122525</v>
      </c>
      <c r="BC117" s="227">
        <f t="shared" si="220"/>
        <v>290.49003478832924</v>
      </c>
      <c r="BD117" s="227">
        <f t="shared" si="220"/>
        <v>155.39862430086797</v>
      </c>
      <c r="BE117" s="227">
        <f t="shared" si="220"/>
        <v>311.47167863120706</v>
      </c>
      <c r="BF117" s="227">
        <f t="shared" si="220"/>
        <v>307.90311485702534</v>
      </c>
      <c r="BG117" s="227">
        <f t="shared" si="220"/>
        <v>199.35898273828425</v>
      </c>
      <c r="BH117" s="227">
        <f t="shared" si="220"/>
        <v>199.91021032555582</v>
      </c>
      <c r="BI117" s="227">
        <f t="shared" si="220"/>
        <v>250.64789192836108</v>
      </c>
      <c r="BJ117" s="227">
        <f t="shared" si="220"/>
        <v>452.6010078261628</v>
      </c>
      <c r="BK117" s="227">
        <f t="shared" si="220"/>
        <v>454.47817050612241</v>
      </c>
      <c r="BL117" s="227">
        <f t="shared" si="220"/>
        <v>456.36311871829014</v>
      </c>
      <c r="BM117" s="227">
        <f t="shared" si="220"/>
        <v>458.25588475317522</v>
      </c>
      <c r="BN117" s="227">
        <f t="shared" si="220"/>
        <v>460.15650103519761</v>
      </c>
      <c r="BO117" s="227">
        <f t="shared" si="220"/>
        <v>384.89479604872719</v>
      </c>
      <c r="BP117" s="227">
        <f t="shared" si="220"/>
        <v>206.07171168437273</v>
      </c>
      <c r="BQ117" s="227">
        <f t="shared" si="220"/>
        <v>413.28299993436377</v>
      </c>
      <c r="BR117" s="227">
        <f t="shared" si="220"/>
        <v>359.45675941599899</v>
      </c>
      <c r="BS117" s="227">
        <f t="shared" si="220"/>
        <v>207.78580728275483</v>
      </c>
      <c r="BT117" s="227">
        <f t="shared" si="220"/>
        <v>208.36033503989458</v>
      </c>
      <c r="BU117" s="227">
        <f t="shared" ref="BU117:CZ117" si="221">IF(AvgLeaseTermMarket&lt;$A117,0,(BU$48-BS$48)*BS$109)</f>
        <v>261.24267817130459</v>
      </c>
      <c r="BV117" s="227">
        <f t="shared" si="221"/>
        <v>471.7322715857124</v>
      </c>
      <c r="BW117" s="227">
        <f t="shared" si="221"/>
        <v>473.68878118211865</v>
      </c>
      <c r="BX117" s="227">
        <f t="shared" si="221"/>
        <v>475.65340540207285</v>
      </c>
      <c r="BY117" s="227">
        <f t="shared" si="221"/>
        <v>477.62617790097568</v>
      </c>
      <c r="BZ117" s="227">
        <f t="shared" si="221"/>
        <v>479.60713247382586</v>
      </c>
      <c r="CA117" s="227">
        <f t="shared" si="221"/>
        <v>401.16414528913845</v>
      </c>
      <c r="CB117" s="227">
        <f t="shared" si="221"/>
        <v>214.78228059925752</v>
      </c>
      <c r="CC117" s="227">
        <f t="shared" si="221"/>
        <v>430.75230721023547</v>
      </c>
      <c r="CD117" s="227">
        <f t="shared" si="221"/>
        <v>374.65085301197593</v>
      </c>
      <c r="CE117" s="227">
        <f t="shared" si="221"/>
        <v>216.56883033370613</v>
      </c>
      <c r="CF117" s="227">
        <f t="shared" si="221"/>
        <v>217.16764314958127</v>
      </c>
      <c r="CG117" s="227">
        <f t="shared" si="221"/>
        <v>272.28530179548835</v>
      </c>
      <c r="CH117" s="227">
        <f t="shared" si="221"/>
        <v>491.67220622030942</v>
      </c>
      <c r="CI117" s="227">
        <f t="shared" si="221"/>
        <v>493.71141669560672</v>
      </c>
      <c r="CJ117" s="227">
        <f t="shared" si="221"/>
        <v>495.75908479634921</v>
      </c>
      <c r="CK117" s="227">
        <f t="shared" si="221"/>
        <v>497.81524560053651</v>
      </c>
      <c r="CL117" s="227">
        <f t="shared" si="221"/>
        <v>499.87993433165968</v>
      </c>
      <c r="CM117" s="227">
        <f t="shared" si="221"/>
        <v>418.121193421361</v>
      </c>
      <c r="CN117" s="227">
        <f t="shared" si="221"/>
        <v>223.86104178177848</v>
      </c>
      <c r="CO117" s="227">
        <f t="shared" si="221"/>
        <v>448.96003512461613</v>
      </c>
      <c r="CP117" s="227">
        <f t="shared" si="221"/>
        <v>390.48719487330396</v>
      </c>
      <c r="CQ117" s="227">
        <f t="shared" si="221"/>
        <v>225.7231082596758</v>
      </c>
      <c r="CR117" s="227">
        <f t="shared" si="221"/>
        <v>226.34723265401044</v>
      </c>
      <c r="CS117" s="227">
        <f t="shared" si="221"/>
        <v>283.79469270806078</v>
      </c>
      <c r="CT117" s="227">
        <f t="shared" si="221"/>
        <v>512.45499392468662</v>
      </c>
      <c r="CU117" s="227">
        <f t="shared" si="221"/>
        <v>514.5804010119947</v>
      </c>
      <c r="CV117" s="227">
        <f t="shared" si="221"/>
        <v>516.71462322518994</v>
      </c>
      <c r="CW117" s="227">
        <f t="shared" si="221"/>
        <v>518.85769712501417</v>
      </c>
      <c r="CX117" s="227">
        <f t="shared" si="221"/>
        <v>521.00965942383982</v>
      </c>
      <c r="CY117" s="227">
        <f t="shared" si="221"/>
        <v>435.79500920278326</v>
      </c>
      <c r="CZ117" s="227">
        <f t="shared" si="221"/>
        <v>233.32355857197618</v>
      </c>
      <c r="DA117" s="227">
        <f t="shared" ref="DA117:EF117" si="222">IF(AvgLeaseTermMarket&lt;$A117,0,(DA$48-CY$48)*CY$109)</f>
        <v>467.93739642286386</v>
      </c>
      <c r="DB117" s="227">
        <f t="shared" si="222"/>
        <v>406.99293257753311</v>
      </c>
      <c r="DC117" s="227">
        <f t="shared" si="222"/>
        <v>235.26433385587879</v>
      </c>
      <c r="DD117" s="227">
        <f t="shared" si="222"/>
        <v>235.91483973898866</v>
      </c>
      <c r="DE117" s="227">
        <f t="shared" si="222"/>
        <v>295.79058097582822</v>
      </c>
      <c r="DF117" s="227">
        <f t="shared" si="222"/>
        <v>534.11626176137975</v>
      </c>
      <c r="DG117" s="227">
        <f t="shared" si="222"/>
        <v>536.33150895703068</v>
      </c>
      <c r="DH117" s="227">
        <f t="shared" si="222"/>
        <v>538.55594389042301</v>
      </c>
      <c r="DI117" s="227">
        <f t="shared" si="222"/>
        <v>540.78960466770877</v>
      </c>
      <c r="DJ117" s="227">
        <f t="shared" si="222"/>
        <v>543.03252955307471</v>
      </c>
      <c r="DK117" s="227">
        <f t="shared" si="222"/>
        <v>454.21589011554676</v>
      </c>
      <c r="DL117" s="227">
        <f t="shared" si="222"/>
        <v>243.18605216606304</v>
      </c>
      <c r="DM117" s="227">
        <f t="shared" si="222"/>
        <v>487.71692320059668</v>
      </c>
      <c r="DN117" s="227">
        <f t="shared" si="222"/>
        <v>424.19636121948867</v>
      </c>
      <c r="DO117" s="227">
        <f t="shared" si="222"/>
        <v>245.20886324575551</v>
      </c>
      <c r="DP117" s="227">
        <f t="shared" si="222"/>
        <v>245.88686575263273</v>
      </c>
      <c r="DQ117" s="227">
        <f t="shared" si="222"/>
        <v>308.29353064759636</v>
      </c>
      <c r="DR117" s="227">
        <f t="shared" si="222"/>
        <v>556.69314273453847</v>
      </c>
      <c r="DS117" s="227">
        <f t="shared" si="222"/>
        <v>559.00202754403506</v>
      </c>
      <c r="DT117" s="227">
        <f t="shared" si="222"/>
        <v>561.32048845327006</v>
      </c>
      <c r="DU117" s="227">
        <f t="shared" si="222"/>
        <v>563.64856517912551</v>
      </c>
      <c r="DV117" s="227">
        <f t="shared" si="222"/>
        <v>565.98629760320762</v>
      </c>
      <c r="DW117" s="227">
        <f t="shared" si="222"/>
        <v>473.41541430422291</v>
      </c>
      <c r="DX117" s="227">
        <f t="shared" si="222"/>
        <v>253.46542942370144</v>
      </c>
      <c r="DY117" s="227">
        <f t="shared" si="222"/>
        <v>508.33252267212231</v>
      </c>
      <c r="DZ117" s="227">
        <f t="shared" si="222"/>
        <v>442.12697191634101</v>
      </c>
      <c r="EA117" s="227">
        <f t="shared" si="222"/>
        <v>255.57374391949853</v>
      </c>
      <c r="EB117" s="227">
        <f t="shared" si="222"/>
        <v>256.28040532143569</v>
      </c>
      <c r="EC117" s="227">
        <f t="shared" si="222"/>
        <v>321.32497500630706</v>
      </c>
      <c r="ED117" s="227">
        <f t="shared" si="222"/>
        <v>580.22433944562215</v>
      </c>
      <c r="EE117" s="227">
        <f t="shared" si="222"/>
        <v>582.63081989346892</v>
      </c>
      <c r="EF117" s="227">
        <f t="shared" si="222"/>
        <v>585.04728121897597</v>
      </c>
      <c r="EG117" s="227">
        <f>IF(AvgLeaseTermMarket&lt;$A117,0,(EG$48-EE$48)*EE$109)</f>
        <v>587.47376481783533</v>
      </c>
      <c r="EH117" s="227">
        <f>IF(AvgLeaseTermMarket&lt;$A117,0,(EH$48-EF$48)*EF$109)</f>
        <v>589.91031225741744</v>
      </c>
      <c r="EK117" s="672"/>
    </row>
    <row r="118" spans="1:141" x14ac:dyDescent="0.3">
      <c r="A118">
        <v>3</v>
      </c>
      <c r="E118" s="200"/>
      <c r="F118" s="200"/>
      <c r="G118" s="229"/>
      <c r="H118" s="229"/>
      <c r="I118" s="229"/>
      <c r="J118" s="227">
        <f t="shared" ref="J118:AO118" si="223">IF(AvgLeaseTermMarket&lt;$A118,0,(J$48-G$48)*G$109)</f>
        <v>0</v>
      </c>
      <c r="K118" s="227">
        <f t="shared" si="223"/>
        <v>0</v>
      </c>
      <c r="L118" s="227">
        <f t="shared" si="223"/>
        <v>0</v>
      </c>
      <c r="M118" s="227">
        <f t="shared" si="223"/>
        <v>0</v>
      </c>
      <c r="N118" s="227">
        <f t="shared" si="223"/>
        <v>0</v>
      </c>
      <c r="O118" s="227">
        <f t="shared" si="223"/>
        <v>0</v>
      </c>
      <c r="P118" s="227">
        <f t="shared" si="223"/>
        <v>0</v>
      </c>
      <c r="Q118" s="227">
        <f t="shared" si="223"/>
        <v>0</v>
      </c>
      <c r="R118" s="227">
        <f t="shared" si="223"/>
        <v>0</v>
      </c>
      <c r="S118" s="227">
        <f t="shared" si="223"/>
        <v>0</v>
      </c>
      <c r="T118" s="227">
        <f t="shared" si="223"/>
        <v>0</v>
      </c>
      <c r="U118" s="227">
        <f t="shared" si="223"/>
        <v>0</v>
      </c>
      <c r="V118" s="227">
        <f t="shared" si="223"/>
        <v>217.75332153170604</v>
      </c>
      <c r="W118" s="227">
        <f t="shared" si="223"/>
        <v>283.66550232185909</v>
      </c>
      <c r="X118" s="227">
        <f t="shared" si="223"/>
        <v>349.92768478001238</v>
      </c>
      <c r="Y118" s="227">
        <f t="shared" si="223"/>
        <v>409.97891916648587</v>
      </c>
      <c r="Z118" s="227">
        <f t="shared" si="223"/>
        <v>470.57941664195607</v>
      </c>
      <c r="AA118" s="227">
        <f t="shared" si="223"/>
        <v>797.59954416673418</v>
      </c>
      <c r="AB118" s="227">
        <f t="shared" si="223"/>
        <v>802.03419763230113</v>
      </c>
      <c r="AC118" s="227">
        <f t="shared" si="223"/>
        <v>806.49350777113898</v>
      </c>
      <c r="AD118" s="227">
        <f t="shared" si="223"/>
        <v>810.97761167434578</v>
      </c>
      <c r="AE118" s="227">
        <f t="shared" si="223"/>
        <v>724.3741638807677</v>
      </c>
      <c r="AF118" s="227">
        <f t="shared" si="223"/>
        <v>636.95147731263785</v>
      </c>
      <c r="AG118" s="227">
        <f t="shared" si="223"/>
        <v>365.80249678235998</v>
      </c>
      <c r="AH118" s="227">
        <f t="shared" si="223"/>
        <v>711.33968930542324</v>
      </c>
      <c r="AI118" s="227">
        <f t="shared" si="223"/>
        <v>599.27893015854261</v>
      </c>
      <c r="AJ118" s="227">
        <f t="shared" si="223"/>
        <v>335.17564861571736</v>
      </c>
      <c r="AK118" s="227">
        <f t="shared" si="223"/>
        <v>392.54026336291207</v>
      </c>
      <c r="AL118" s="227">
        <f t="shared" si="223"/>
        <v>450.38106487547776</v>
      </c>
      <c r="AM118" s="227">
        <f t="shared" si="223"/>
        <v>763.0516225303694</v>
      </c>
      <c r="AN118" s="227">
        <f t="shared" si="223"/>
        <v>766.89740270791367</v>
      </c>
      <c r="AO118" s="227">
        <f t="shared" si="223"/>
        <v>770.76256561755827</v>
      </c>
      <c r="AP118" s="227">
        <f t="shared" ref="AP118:BU118" si="224">IF(AvgLeaseTermMarket&lt;$A118,0,(AP$48-AM$48)*AM$109)</f>
        <v>774.64720894827292</v>
      </c>
      <c r="AQ118" s="227">
        <f t="shared" si="224"/>
        <v>691.6104599927271</v>
      </c>
      <c r="AR118" s="227">
        <f t="shared" si="224"/>
        <v>607.86308416026213</v>
      </c>
      <c r="AS118" s="227">
        <f t="shared" si="224"/>
        <v>348.9336789084133</v>
      </c>
      <c r="AT118" s="227">
        <f t="shared" si="224"/>
        <v>617.27081303289458</v>
      </c>
      <c r="AU118" s="227">
        <f t="shared" si="224"/>
        <v>465.09939434111197</v>
      </c>
      <c r="AV118" s="227">
        <f t="shared" si="224"/>
        <v>227.36172835400504</v>
      </c>
      <c r="AW118" s="227">
        <f t="shared" si="224"/>
        <v>265.91330184291655</v>
      </c>
      <c r="AX118" s="227">
        <f t="shared" si="224"/>
        <v>304.67241168254623</v>
      </c>
      <c r="AY118" s="227">
        <f t="shared" si="224"/>
        <v>515.45986718149538</v>
      </c>
      <c r="AZ118" s="227">
        <f t="shared" si="224"/>
        <v>517.13768904917049</v>
      </c>
      <c r="BA118" s="227">
        <f t="shared" si="224"/>
        <v>518.82097222702714</v>
      </c>
      <c r="BB118" s="227">
        <f t="shared" si="224"/>
        <v>520.50973449162848</v>
      </c>
      <c r="BC118" s="227">
        <f t="shared" si="224"/>
        <v>463.99266885200626</v>
      </c>
      <c r="BD118" s="227">
        <f t="shared" si="224"/>
        <v>407.16532158885013</v>
      </c>
      <c r="BE118" s="227">
        <f t="shared" si="224"/>
        <v>233.35093908279086</v>
      </c>
      <c r="BF118" s="227">
        <f t="shared" si="224"/>
        <v>510.5554280858691</v>
      </c>
      <c r="BG118" s="227">
        <f t="shared" si="224"/>
        <v>481.05807028158176</v>
      </c>
      <c r="BH118" s="227">
        <f t="shared" si="224"/>
        <v>299.45208505288684</v>
      </c>
      <c r="BI118" s="227">
        <f t="shared" si="224"/>
        <v>350.46499993931428</v>
      </c>
      <c r="BJ118" s="227">
        <f t="shared" si="224"/>
        <v>401.82710753204447</v>
      </c>
      <c r="BK118" s="227">
        <f t="shared" si="224"/>
        <v>680.31035492676017</v>
      </c>
      <c r="BL118" s="227">
        <f t="shared" si="224"/>
        <v>683.13194212381529</v>
      </c>
      <c r="BM118" s="227">
        <f t="shared" si="224"/>
        <v>685.96523185377259</v>
      </c>
      <c r="BN118" s="227">
        <f t="shared" si="224"/>
        <v>688.81027265289038</v>
      </c>
      <c r="BO118" s="227">
        <f t="shared" si="224"/>
        <v>614.49690918420958</v>
      </c>
      <c r="BP118" s="227">
        <f t="shared" si="224"/>
        <v>539.66195542627429</v>
      </c>
      <c r="BQ118" s="227">
        <f t="shared" si="224"/>
        <v>309.53510539985655</v>
      </c>
      <c r="BR118" s="227">
        <f t="shared" si="224"/>
        <v>620.78193993257014</v>
      </c>
      <c r="BS118" s="227">
        <f t="shared" si="224"/>
        <v>539.9309056205559</v>
      </c>
      <c r="BT118" s="227">
        <f t="shared" si="224"/>
        <v>312.10980503899776</v>
      </c>
      <c r="BU118" s="227">
        <f t="shared" si="224"/>
        <v>365.27901545495627</v>
      </c>
      <c r="BV118" s="227">
        <f t="shared" ref="BV118:DA118" si="225">IF(AvgLeaseTermMarket&lt;$A118,0,(BV$48-BS$48)*BS$109)</f>
        <v>418.81217881338455</v>
      </c>
      <c r="BW118" s="227">
        <f t="shared" si="225"/>
        <v>709.06680180471119</v>
      </c>
      <c r="BX118" s="227">
        <f t="shared" si="225"/>
        <v>712.0076563651927</v>
      </c>
      <c r="BY118" s="227">
        <f t="shared" si="225"/>
        <v>714.96070811997447</v>
      </c>
      <c r="BZ118" s="227">
        <f t="shared" si="225"/>
        <v>717.92600765689997</v>
      </c>
      <c r="CA118" s="227">
        <f t="shared" si="225"/>
        <v>640.47144800704007</v>
      </c>
      <c r="CB118" s="227">
        <f t="shared" si="225"/>
        <v>562.4732506548105</v>
      </c>
      <c r="CC118" s="227">
        <f t="shared" si="225"/>
        <v>322.61903062726054</v>
      </c>
      <c r="CD118" s="227">
        <f t="shared" si="225"/>
        <v>647.02214449389726</v>
      </c>
      <c r="CE118" s="227">
        <f t="shared" si="225"/>
        <v>562.75356926635402</v>
      </c>
      <c r="CF118" s="227">
        <f t="shared" si="225"/>
        <v>325.30256179141219</v>
      </c>
      <c r="CG118" s="227">
        <f t="shared" si="225"/>
        <v>380.71921348736362</v>
      </c>
      <c r="CH118" s="227">
        <f t="shared" si="225"/>
        <v>436.51520227124564</v>
      </c>
      <c r="CI118" s="227">
        <f t="shared" si="225"/>
        <v>739.03877220228014</v>
      </c>
      <c r="CJ118" s="227">
        <f t="shared" si="225"/>
        <v>742.10393550998515</v>
      </c>
      <c r="CK118" s="227">
        <f t="shared" si="225"/>
        <v>745.18181158250729</v>
      </c>
      <c r="CL118" s="227">
        <f t="shared" si="225"/>
        <v>748.27245314603817</v>
      </c>
      <c r="CM118" s="227">
        <f t="shared" si="225"/>
        <v>667.54392020751902</v>
      </c>
      <c r="CN118" s="227">
        <f t="shared" si="225"/>
        <v>586.24877021816928</v>
      </c>
      <c r="CO118" s="227">
        <f t="shared" si="225"/>
        <v>336.2560081462143</v>
      </c>
      <c r="CP118" s="227">
        <f t="shared" si="225"/>
        <v>674.37151201748782</v>
      </c>
      <c r="CQ118" s="227">
        <f t="shared" si="225"/>
        <v>586.54093778543836</v>
      </c>
      <c r="CR118" s="227">
        <f t="shared" si="225"/>
        <v>339.05297110044631</v>
      </c>
      <c r="CS118" s="227">
        <f t="shared" si="225"/>
        <v>396.81206252130067</v>
      </c>
      <c r="CT118" s="227">
        <f t="shared" si="225"/>
        <v>454.96652545722827</v>
      </c>
      <c r="CU118" s="227">
        <f t="shared" si="225"/>
        <v>770.27764581293002</v>
      </c>
      <c r="CV118" s="227">
        <f t="shared" si="225"/>
        <v>773.47237234894124</v>
      </c>
      <c r="CW118" s="227">
        <f t="shared" si="225"/>
        <v>776.68034901325768</v>
      </c>
      <c r="CX118" s="227">
        <f t="shared" si="225"/>
        <v>779.90163076078636</v>
      </c>
      <c r="CY118" s="227">
        <f t="shared" si="225"/>
        <v>695.76073499085101</v>
      </c>
      <c r="CZ118" s="227">
        <f t="shared" si="225"/>
        <v>611.02927149373636</v>
      </c>
      <c r="DA118" s="227">
        <f t="shared" si="225"/>
        <v>350.469415256106</v>
      </c>
      <c r="DB118" s="227">
        <f t="shared" ref="DB118:EG118" si="226">IF(AvgLeaseTermMarket&lt;$A118,0,(DB$48-CY$48)*CY$109)</f>
        <v>702.87692637858129</v>
      </c>
      <c r="DC118" s="227">
        <f t="shared" si="226"/>
        <v>611.33378886732078</v>
      </c>
      <c r="DD118" s="227">
        <f t="shared" si="226"/>
        <v>353.38460471684738</v>
      </c>
      <c r="DE118" s="227">
        <f t="shared" si="226"/>
        <v>413.58514985384829</v>
      </c>
      <c r="DF118" s="227">
        <f t="shared" si="226"/>
        <v>474.19777870188847</v>
      </c>
      <c r="DG118" s="227">
        <f t="shared" si="226"/>
        <v>802.83697412932008</v>
      </c>
      <c r="DH118" s="227">
        <f t="shared" si="226"/>
        <v>806.16674047951335</v>
      </c>
      <c r="DI118" s="227">
        <f t="shared" si="226"/>
        <v>809.510317035649</v>
      </c>
      <c r="DJ118" s="227">
        <f t="shared" si="226"/>
        <v>812.86776107555738</v>
      </c>
      <c r="DK118" s="227">
        <f t="shared" si="226"/>
        <v>725.1702632607728</v>
      </c>
      <c r="DL118" s="227">
        <f t="shared" si="226"/>
        <v>636.85723465694309</v>
      </c>
      <c r="DM118" s="227">
        <f t="shared" si="226"/>
        <v>365.28361740543045</v>
      </c>
      <c r="DN118" s="227">
        <f t="shared" si="226"/>
        <v>732.58725321510724</v>
      </c>
      <c r="DO118" s="227">
        <f t="shared" si="226"/>
        <v>637.17462385822046</v>
      </c>
      <c r="DP118" s="227">
        <f t="shared" si="226"/>
        <v>368.32203075988804</v>
      </c>
      <c r="DQ118" s="227">
        <f t="shared" si="226"/>
        <v>431.06722888609659</v>
      </c>
      <c r="DR118" s="227">
        <f t="shared" si="226"/>
        <v>494.24192933715824</v>
      </c>
      <c r="DS118" s="227">
        <f t="shared" si="226"/>
        <v>836.77257224423079</v>
      </c>
      <c r="DT118" s="227">
        <f t="shared" si="226"/>
        <v>840.2430864876128</v>
      </c>
      <c r="DU118" s="227">
        <f t="shared" si="226"/>
        <v>843.72799468881772</v>
      </c>
      <c r="DV118" s="227">
        <f t="shared" si="226"/>
        <v>847.22735654678536</v>
      </c>
      <c r="DW118" s="227">
        <f t="shared" si="226"/>
        <v>755.82292053977062</v>
      </c>
      <c r="DX118" s="227">
        <f t="shared" si="226"/>
        <v>663.77693550321192</v>
      </c>
      <c r="DY118" s="227">
        <f t="shared" si="226"/>
        <v>380.72400996043655</v>
      </c>
      <c r="DZ118" s="227">
        <f t="shared" si="226"/>
        <v>763.55342369595462</v>
      </c>
      <c r="EA118" s="227">
        <f t="shared" si="226"/>
        <v>664.10774061921666</v>
      </c>
      <c r="EB118" s="227">
        <f t="shared" si="226"/>
        <v>383.89085583335185</v>
      </c>
      <c r="EC118" s="227">
        <f t="shared" si="226"/>
        <v>449.28826841388945</v>
      </c>
      <c r="ED118" s="227">
        <f t="shared" si="226"/>
        <v>515.13333821093477</v>
      </c>
      <c r="EE118" s="227">
        <f t="shared" si="226"/>
        <v>872.14261453214954</v>
      </c>
      <c r="EF118" s="227">
        <f t="shared" si="226"/>
        <v>875.7598260259175</v>
      </c>
      <c r="EG118" s="227">
        <f t="shared" si="226"/>
        <v>879.39203990436283</v>
      </c>
      <c r="EH118" s="227">
        <f>IF(AvgLeaseTermMarket&lt;$A118,0,(EH$48-EE$48)*EE$109)</f>
        <v>883.03931838986603</v>
      </c>
      <c r="EK118" s="280"/>
    </row>
    <row r="119" spans="1:141" x14ac:dyDescent="0.3">
      <c r="A119">
        <v>4</v>
      </c>
      <c r="E119" s="200"/>
      <c r="F119" s="200"/>
      <c r="G119" s="229"/>
      <c r="H119" s="229"/>
      <c r="I119" s="229"/>
      <c r="J119" s="229"/>
      <c r="K119" s="227">
        <f t="shared" ref="K119:AP119" si="227">IF(AvgLeaseTermMarket&lt;$A119,0,(K$48-G$48)*G$109)</f>
        <v>0</v>
      </c>
      <c r="L119" s="227">
        <f t="shared" si="227"/>
        <v>0</v>
      </c>
      <c r="M119" s="227">
        <f t="shared" si="227"/>
        <v>0</v>
      </c>
      <c r="N119" s="227">
        <f t="shared" si="227"/>
        <v>0</v>
      </c>
      <c r="O119" s="227">
        <f t="shared" si="227"/>
        <v>0</v>
      </c>
      <c r="P119" s="227">
        <f t="shared" si="227"/>
        <v>0</v>
      </c>
      <c r="Q119" s="227">
        <f t="shared" si="227"/>
        <v>0</v>
      </c>
      <c r="R119" s="227">
        <f t="shared" si="227"/>
        <v>0</v>
      </c>
      <c r="S119" s="227">
        <f t="shared" si="227"/>
        <v>0</v>
      </c>
      <c r="T119" s="227">
        <f t="shared" si="227"/>
        <v>0</v>
      </c>
      <c r="U119" s="227">
        <f t="shared" si="227"/>
        <v>0</v>
      </c>
      <c r="V119" s="227">
        <f t="shared" si="227"/>
        <v>0</v>
      </c>
      <c r="W119" s="227">
        <f t="shared" si="227"/>
        <v>334.39535090151622</v>
      </c>
      <c r="X119" s="227">
        <f t="shared" si="227"/>
        <v>400.73988481386624</v>
      </c>
      <c r="Y119" s="227">
        <f t="shared" si="227"/>
        <v>526.19019208468092</v>
      </c>
      <c r="Z119" s="227">
        <f t="shared" si="227"/>
        <v>587.22144601176626</v>
      </c>
      <c r="AA119" s="227">
        <f t="shared" si="227"/>
        <v>648.80741193649669</v>
      </c>
      <c r="AB119" s="227">
        <f t="shared" si="227"/>
        <v>1066.4279585893039</v>
      </c>
      <c r="AC119" s="227">
        <f t="shared" si="227"/>
        <v>1072.3572980390595</v>
      </c>
      <c r="AD119" s="227">
        <f t="shared" si="227"/>
        <v>1078.3196046161565</v>
      </c>
      <c r="AE119" s="227">
        <f t="shared" si="227"/>
        <v>993.20257830333753</v>
      </c>
      <c r="AF119" s="227">
        <f t="shared" si="227"/>
        <v>907.27457771939612</v>
      </c>
      <c r="AG119" s="227">
        <f t="shared" si="227"/>
        <v>820.52984201855747</v>
      </c>
      <c r="AH119" s="227">
        <f t="shared" si="227"/>
        <v>477.15315573870612</v>
      </c>
      <c r="AI119" s="227">
        <f t="shared" si="227"/>
        <v>934.78928364630121</v>
      </c>
      <c r="AJ119" s="227">
        <f t="shared" si="227"/>
        <v>793.74162518448202</v>
      </c>
      <c r="AK119" s="227">
        <f t="shared" si="227"/>
        <v>503.89092231925827</v>
      </c>
      <c r="AL119" s="227">
        <f t="shared" si="227"/>
        <v>562.10586204591675</v>
      </c>
      <c r="AM119" s="227">
        <f t="shared" si="227"/>
        <v>620.80127417584515</v>
      </c>
      <c r="AN119" s="227">
        <f t="shared" si="227"/>
        <v>1019.970313263225</v>
      </c>
      <c r="AO119" s="227">
        <f t="shared" si="227"/>
        <v>1025.1109636420651</v>
      </c>
      <c r="AP119" s="227">
        <f t="shared" si="227"/>
        <v>1030.2775228988239</v>
      </c>
      <c r="AQ119" s="227">
        <f t="shared" ref="AQ119:BV119" si="228">IF(AvgLeaseTermMarket&lt;$A119,0,(AQ$48-AM$48)*AM$109)</f>
        <v>948.52915072558267</v>
      </c>
      <c r="AR119" s="227">
        <f t="shared" si="228"/>
        <v>866.07664509441372</v>
      </c>
      <c r="AS119" s="227">
        <f t="shared" si="228"/>
        <v>782.91547564388554</v>
      </c>
      <c r="AT119" s="227">
        <f t="shared" si="228"/>
        <v>424.55670103465383</v>
      </c>
      <c r="AU119" s="227">
        <f t="shared" si="228"/>
        <v>768.84506120139565</v>
      </c>
      <c r="AV119" s="227">
        <f t="shared" si="228"/>
        <v>596.85429169840222</v>
      </c>
      <c r="AW119" s="227">
        <f t="shared" si="228"/>
        <v>341.53632396915708</v>
      </c>
      <c r="AX119" s="227">
        <f t="shared" si="228"/>
        <v>380.45953576679676</v>
      </c>
      <c r="AY119" s="227">
        <f t="shared" si="228"/>
        <v>419.59149359784425</v>
      </c>
      <c r="AZ119" s="227">
        <f t="shared" si="228"/>
        <v>688.3995824718985</v>
      </c>
      <c r="BA119" s="227">
        <f t="shared" si="228"/>
        <v>690.64032311284745</v>
      </c>
      <c r="BB119" s="227">
        <f t="shared" si="228"/>
        <v>692.88835736457543</v>
      </c>
      <c r="BC119" s="227">
        <f t="shared" si="228"/>
        <v>636.93238414240943</v>
      </c>
      <c r="BD119" s="227">
        <f t="shared" si="228"/>
        <v>580.66795565252721</v>
      </c>
      <c r="BE119" s="227">
        <f t="shared" si="228"/>
        <v>524.09379376173456</v>
      </c>
      <c r="BF119" s="227">
        <f t="shared" si="228"/>
        <v>332.89281381012188</v>
      </c>
      <c r="BG119" s="227">
        <f t="shared" si="228"/>
        <v>710.18964410777551</v>
      </c>
      <c r="BH119" s="227">
        <f t="shared" si="228"/>
        <v>654.6917991578855</v>
      </c>
      <c r="BI119" s="227">
        <f t="shared" si="228"/>
        <v>450.00687466664533</v>
      </c>
      <c r="BJ119" s="227">
        <f t="shared" si="228"/>
        <v>501.6442155429977</v>
      </c>
      <c r="BK119" s="227">
        <f t="shared" si="228"/>
        <v>553.63333893244271</v>
      </c>
      <c r="BL119" s="227">
        <f t="shared" si="228"/>
        <v>908.96412654445294</v>
      </c>
      <c r="BM119" s="227">
        <f t="shared" si="228"/>
        <v>912.73405525929763</v>
      </c>
      <c r="BN119" s="227">
        <f t="shared" si="228"/>
        <v>916.51961975348775</v>
      </c>
      <c r="BO119" s="227">
        <f t="shared" si="228"/>
        <v>843.15068080190235</v>
      </c>
      <c r="BP119" s="227">
        <f t="shared" si="228"/>
        <v>769.26406856175663</v>
      </c>
      <c r="BQ119" s="227">
        <f t="shared" si="228"/>
        <v>694.85704599949997</v>
      </c>
      <c r="BR119" s="227">
        <f t="shared" si="228"/>
        <v>413.2845753989597</v>
      </c>
      <c r="BS119" s="227">
        <f t="shared" si="228"/>
        <v>828.85461449987349</v>
      </c>
      <c r="BT119" s="227">
        <f t="shared" si="228"/>
        <v>720.90406283937182</v>
      </c>
      <c r="BU119" s="227">
        <f t="shared" si="228"/>
        <v>469.02848545405942</v>
      </c>
      <c r="BV119" s="227">
        <f t="shared" si="228"/>
        <v>522.84851609703617</v>
      </c>
      <c r="BW119" s="227">
        <f t="shared" ref="BW119:DB119" si="229">IF(AvgLeaseTermMarket&lt;$A119,0,(BW$48-BS$48)*BS$109)</f>
        <v>577.03519895938371</v>
      </c>
      <c r="BX119" s="227">
        <f t="shared" si="229"/>
        <v>947.38567698778525</v>
      </c>
      <c r="BY119" s="227">
        <f t="shared" si="229"/>
        <v>951.31495908309432</v>
      </c>
      <c r="BZ119" s="227">
        <f t="shared" si="229"/>
        <v>955.26053787589876</v>
      </c>
      <c r="CA119" s="227">
        <f t="shared" si="229"/>
        <v>878.79032319011412</v>
      </c>
      <c r="CB119" s="227">
        <f t="shared" si="229"/>
        <v>801.78055337271212</v>
      </c>
      <c r="CC119" s="227">
        <f t="shared" si="229"/>
        <v>724.22837569681496</v>
      </c>
      <c r="CD119" s="227">
        <f t="shared" si="229"/>
        <v>430.75394926909138</v>
      </c>
      <c r="CE119" s="227">
        <f t="shared" si="229"/>
        <v>863.88996787764779</v>
      </c>
      <c r="CF119" s="227">
        <f t="shared" si="229"/>
        <v>751.37638953118028</v>
      </c>
      <c r="CG119" s="227">
        <f t="shared" si="229"/>
        <v>488.85413212919451</v>
      </c>
      <c r="CH119" s="227">
        <f t="shared" si="229"/>
        <v>544.94911396312091</v>
      </c>
      <c r="CI119" s="227">
        <f t="shared" si="229"/>
        <v>601.42624625922622</v>
      </c>
      <c r="CJ119" s="227">
        <f t="shared" si="229"/>
        <v>987.43129101665863</v>
      </c>
      <c r="CK119" s="227">
        <f t="shared" si="229"/>
        <v>991.52666229614329</v>
      </c>
      <c r="CL119" s="227">
        <f t="shared" si="229"/>
        <v>995.63901912800895</v>
      </c>
      <c r="CM119" s="227">
        <f t="shared" si="229"/>
        <v>915.93643902189751</v>
      </c>
      <c r="CN119" s="227">
        <f t="shared" si="229"/>
        <v>835.67149700432742</v>
      </c>
      <c r="CO119" s="227">
        <f t="shared" si="229"/>
        <v>754.84121976482299</v>
      </c>
      <c r="CP119" s="227">
        <f t="shared" si="229"/>
        <v>448.96174659265017</v>
      </c>
      <c r="CQ119" s="227">
        <f t="shared" si="229"/>
        <v>900.40625164396772</v>
      </c>
      <c r="CR119" s="227">
        <f t="shared" si="229"/>
        <v>783.13676929671942</v>
      </c>
      <c r="CS119" s="227">
        <f t="shared" si="229"/>
        <v>509.51780096773655</v>
      </c>
      <c r="CT119" s="227">
        <f t="shared" si="229"/>
        <v>567.98389527046822</v>
      </c>
      <c r="CU119" s="227">
        <f t="shared" si="229"/>
        <v>626.84829338272391</v>
      </c>
      <c r="CV119" s="227">
        <f t="shared" si="229"/>
        <v>1029.1696171498766</v>
      </c>
      <c r="CW119" s="227">
        <f t="shared" si="229"/>
        <v>1033.4380981370089</v>
      </c>
      <c r="CX119" s="227">
        <f t="shared" si="229"/>
        <v>1037.7242826490299</v>
      </c>
      <c r="CY119" s="227">
        <f t="shared" si="229"/>
        <v>954.65270632779743</v>
      </c>
      <c r="CZ119" s="227">
        <f t="shared" si="229"/>
        <v>870.9949972818041</v>
      </c>
      <c r="DA119" s="227">
        <f t="shared" si="229"/>
        <v>786.74805651993108</v>
      </c>
      <c r="DB119" s="227">
        <f t="shared" si="229"/>
        <v>467.93918023396475</v>
      </c>
      <c r="DC119" s="227">
        <f t="shared" ref="DC119:EH119" si="230">IF(AvgLeaseTermMarket&lt;$A119,0,(DC$48-CY$48)*CY$109)</f>
        <v>938.46606413462143</v>
      </c>
      <c r="DD119" s="227">
        <f t="shared" si="230"/>
        <v>816.23964762475111</v>
      </c>
      <c r="DE119" s="227">
        <f t="shared" si="230"/>
        <v>531.05491483170704</v>
      </c>
      <c r="DF119" s="227">
        <f t="shared" si="230"/>
        <v>591.9923475799086</v>
      </c>
      <c r="DG119" s="227">
        <f t="shared" si="230"/>
        <v>653.34492028051534</v>
      </c>
      <c r="DH119" s="227">
        <f t="shared" si="230"/>
        <v>1072.6722056518029</v>
      </c>
      <c r="DI119" s="227">
        <f t="shared" si="230"/>
        <v>1077.1211136247393</v>
      </c>
      <c r="DJ119" s="227">
        <f t="shared" si="230"/>
        <v>1081.5884734434976</v>
      </c>
      <c r="DK119" s="227">
        <f t="shared" si="230"/>
        <v>995.00549478325547</v>
      </c>
      <c r="DL119" s="227">
        <f t="shared" si="230"/>
        <v>907.81160780216919</v>
      </c>
      <c r="DM119" s="227">
        <f t="shared" si="230"/>
        <v>820.00358251599414</v>
      </c>
      <c r="DN119" s="227">
        <f t="shared" si="230"/>
        <v>487.7187824126857</v>
      </c>
      <c r="DO119" s="227">
        <f t="shared" si="230"/>
        <v>978.1346496921077</v>
      </c>
      <c r="DP119" s="227">
        <f t="shared" si="230"/>
        <v>850.74177139315316</v>
      </c>
      <c r="DQ119" s="227">
        <f t="shared" si="230"/>
        <v>553.50239389335184</v>
      </c>
      <c r="DR119" s="227">
        <f t="shared" si="230"/>
        <v>617.01562757565841</v>
      </c>
      <c r="DS119" s="227">
        <f t="shared" si="230"/>
        <v>680.96154901028638</v>
      </c>
      <c r="DT119" s="227">
        <f t="shared" si="230"/>
        <v>1118.0136311878086</v>
      </c>
      <c r="DU119" s="227">
        <f t="shared" si="230"/>
        <v>1122.6505927231606</v>
      </c>
      <c r="DV119" s="227">
        <f t="shared" si="230"/>
        <v>1127.3067860564777</v>
      </c>
      <c r="DW119" s="227">
        <f t="shared" si="230"/>
        <v>1037.0639794833485</v>
      </c>
      <c r="DX119" s="227">
        <f t="shared" si="230"/>
        <v>946.18444173875969</v>
      </c>
      <c r="DY119" s="227">
        <f t="shared" si="230"/>
        <v>854.66480630831461</v>
      </c>
      <c r="DZ119" s="227">
        <f t="shared" si="230"/>
        <v>508.33446047235265</v>
      </c>
      <c r="EA119" s="227">
        <f t="shared" si="230"/>
        <v>1019.4800105111193</v>
      </c>
      <c r="EB119" s="227">
        <f t="shared" si="230"/>
        <v>886.70228614755399</v>
      </c>
      <c r="EC119" s="227">
        <f t="shared" si="230"/>
        <v>576.89871892580561</v>
      </c>
      <c r="ED119" s="227">
        <f t="shared" si="230"/>
        <v>643.09663161851711</v>
      </c>
      <c r="EE119" s="227">
        <f t="shared" si="230"/>
        <v>709.7455216019531</v>
      </c>
      <c r="EF119" s="227">
        <f t="shared" si="230"/>
        <v>1165.271620664598</v>
      </c>
      <c r="EG119" s="227">
        <f t="shared" si="230"/>
        <v>1170.1045847113044</v>
      </c>
      <c r="EH119" s="227">
        <f t="shared" si="230"/>
        <v>1174.9575934763934</v>
      </c>
      <c r="EK119" s="672"/>
    </row>
    <row r="120" spans="1:141" x14ac:dyDescent="0.3">
      <c r="A120">
        <v>5</v>
      </c>
      <c r="E120" s="200"/>
      <c r="F120" s="200"/>
      <c r="G120" s="229"/>
      <c r="H120" s="229"/>
      <c r="I120" s="229"/>
      <c r="J120" s="229"/>
      <c r="K120" s="229"/>
      <c r="L120" s="227">
        <f t="shared" ref="L120:AQ120" si="231">IF(AvgLeaseTermMarket&lt;$A120,0,(L$48-G$48)*G$109)</f>
        <v>0</v>
      </c>
      <c r="M120" s="227">
        <f t="shared" si="231"/>
        <v>0</v>
      </c>
      <c r="N120" s="227">
        <f t="shared" si="231"/>
        <v>0</v>
      </c>
      <c r="O120" s="227">
        <f t="shared" si="231"/>
        <v>0</v>
      </c>
      <c r="P120" s="227">
        <f t="shared" si="231"/>
        <v>0</v>
      </c>
      <c r="Q120" s="227">
        <f t="shared" si="231"/>
        <v>0</v>
      </c>
      <c r="R120" s="227">
        <f t="shared" si="231"/>
        <v>0</v>
      </c>
      <c r="S120" s="227">
        <f t="shared" si="231"/>
        <v>0</v>
      </c>
      <c r="T120" s="227">
        <f t="shared" si="231"/>
        <v>0</v>
      </c>
      <c r="U120" s="227">
        <f t="shared" si="231"/>
        <v>0</v>
      </c>
      <c r="V120" s="227">
        <f t="shared" si="231"/>
        <v>0</v>
      </c>
      <c r="W120" s="227">
        <f t="shared" si="231"/>
        <v>0</v>
      </c>
      <c r="X120" s="227">
        <f t="shared" si="231"/>
        <v>451.46973339352337</v>
      </c>
      <c r="Y120" s="227">
        <f t="shared" si="231"/>
        <v>577.00239211853477</v>
      </c>
      <c r="Z120" s="227">
        <f t="shared" si="231"/>
        <v>703.43271892996131</v>
      </c>
      <c r="AA120" s="227">
        <f t="shared" si="231"/>
        <v>765.44944130630688</v>
      </c>
      <c r="AB120" s="227">
        <f t="shared" si="231"/>
        <v>828.02635488487647</v>
      </c>
      <c r="AC120" s="227">
        <f t="shared" si="231"/>
        <v>1336.7510589960623</v>
      </c>
      <c r="AD120" s="227">
        <f t="shared" si="231"/>
        <v>1344.1833948840772</v>
      </c>
      <c r="AE120" s="227">
        <f t="shared" si="231"/>
        <v>1260.5445712451483</v>
      </c>
      <c r="AF120" s="227">
        <f t="shared" si="231"/>
        <v>1176.1029921419658</v>
      </c>
      <c r="AG120" s="227">
        <f t="shared" si="231"/>
        <v>1090.8529424253159</v>
      </c>
      <c r="AH120" s="227">
        <f t="shared" si="231"/>
        <v>987.55583045307674</v>
      </c>
      <c r="AI120" s="227">
        <f t="shared" si="231"/>
        <v>588.87795290914516</v>
      </c>
      <c r="AJ120" s="227">
        <f t="shared" si="231"/>
        <v>1158.9896686241657</v>
      </c>
      <c r="AK120" s="227">
        <f t="shared" si="231"/>
        <v>1086.415759706319</v>
      </c>
      <c r="AL120" s="227">
        <f t="shared" si="231"/>
        <v>673.45652100226289</v>
      </c>
      <c r="AM120" s="227">
        <f t="shared" si="231"/>
        <v>732.5260713462842</v>
      </c>
      <c r="AN120" s="227">
        <f t="shared" si="231"/>
        <v>792.08040133108227</v>
      </c>
      <c r="AO120" s="227">
        <f t="shared" si="231"/>
        <v>1278.1838741973766</v>
      </c>
      <c r="AP120" s="227">
        <f t="shared" si="231"/>
        <v>1284.625920923331</v>
      </c>
      <c r="AQ120" s="227">
        <f t="shared" si="231"/>
        <v>1204.1594646761339</v>
      </c>
      <c r="AR120" s="227">
        <f t="shared" ref="AR120:BW120" si="232">IF(AvgLeaseTermMarket&lt;$A120,0,(AR$48-AM$48)*AM$109)</f>
        <v>1122.9953358272694</v>
      </c>
      <c r="AS120" s="227">
        <f t="shared" si="232"/>
        <v>1041.1290365780371</v>
      </c>
      <c r="AT120" s="227">
        <f t="shared" si="232"/>
        <v>896.35000883324642</v>
      </c>
      <c r="AU120" s="227">
        <f t="shared" si="232"/>
        <v>500.34382511890436</v>
      </c>
      <c r="AV120" s="227">
        <f t="shared" si="232"/>
        <v>920.74822548842349</v>
      </c>
      <c r="AW120" s="227">
        <f t="shared" si="232"/>
        <v>794.91549992524244</v>
      </c>
      <c r="AX120" s="227">
        <f t="shared" si="232"/>
        <v>456.08255789303729</v>
      </c>
      <c r="AY120" s="227">
        <f t="shared" si="232"/>
        <v>495.37861768209478</v>
      </c>
      <c r="AZ120" s="227">
        <f t="shared" si="232"/>
        <v>534.88463712477972</v>
      </c>
      <c r="BA120" s="227">
        <f t="shared" si="232"/>
        <v>861.90221653557558</v>
      </c>
      <c r="BB120" s="227">
        <f t="shared" si="232"/>
        <v>864.70770825039574</v>
      </c>
      <c r="BC120" s="227">
        <f t="shared" si="232"/>
        <v>809.31100701535638</v>
      </c>
      <c r="BD120" s="227">
        <f t="shared" si="232"/>
        <v>753.60767094293033</v>
      </c>
      <c r="BE120" s="227">
        <f t="shared" si="232"/>
        <v>697.59642782541152</v>
      </c>
      <c r="BF120" s="227">
        <f t="shared" si="232"/>
        <v>673.40660585273099</v>
      </c>
      <c r="BG120" s="227">
        <f t="shared" si="232"/>
        <v>432.70992182107511</v>
      </c>
      <c r="BH120" s="227">
        <f t="shared" si="232"/>
        <v>910.37584873698074</v>
      </c>
      <c r="BI120" s="227">
        <f t="shared" si="232"/>
        <v>915.86253836286392</v>
      </c>
      <c r="BJ120" s="227">
        <f t="shared" si="232"/>
        <v>601.18609027032869</v>
      </c>
      <c r="BK120" s="227">
        <f t="shared" si="232"/>
        <v>653.45044694339595</v>
      </c>
      <c r="BL120" s="227">
        <f t="shared" si="232"/>
        <v>706.06918667757134</v>
      </c>
      <c r="BM120" s="227">
        <f t="shared" si="232"/>
        <v>1138.5662396799353</v>
      </c>
      <c r="BN120" s="227">
        <f t="shared" si="232"/>
        <v>1143.2884431590128</v>
      </c>
      <c r="BO120" s="227">
        <f t="shared" si="232"/>
        <v>1070.8600279024997</v>
      </c>
      <c r="BP120" s="227">
        <f t="shared" si="232"/>
        <v>997.91784017944951</v>
      </c>
      <c r="BQ120" s="227">
        <f t="shared" si="232"/>
        <v>924.45915913498243</v>
      </c>
      <c r="BR120" s="227">
        <f t="shared" si="232"/>
        <v>850.48125099815468</v>
      </c>
      <c r="BS120" s="227">
        <f t="shared" si="232"/>
        <v>517.32091268261138</v>
      </c>
      <c r="BT120" s="227">
        <f t="shared" si="232"/>
        <v>1037.5026100123594</v>
      </c>
      <c r="BU120" s="227">
        <f t="shared" si="232"/>
        <v>993.11438483716643</v>
      </c>
      <c r="BV120" s="227">
        <f t="shared" si="232"/>
        <v>626.59798609613938</v>
      </c>
      <c r="BW120" s="227">
        <f t="shared" si="232"/>
        <v>681.07153624303544</v>
      </c>
      <c r="BX120" s="227">
        <f t="shared" ref="BX120:DC120" si="233">IF(AvgLeaseTermMarket&lt;$A120,0,(BX$48-BS$48)*BS$109)</f>
        <v>735.91444908143319</v>
      </c>
      <c r="BY120" s="227">
        <f t="shared" si="233"/>
        <v>1186.6929797056869</v>
      </c>
      <c r="BZ120" s="227">
        <f t="shared" si="233"/>
        <v>1191.6147888390185</v>
      </c>
      <c r="CA120" s="227">
        <f t="shared" si="233"/>
        <v>1116.1248534091128</v>
      </c>
      <c r="CB120" s="227">
        <f t="shared" si="233"/>
        <v>1040.0994285557863</v>
      </c>
      <c r="CC120" s="227">
        <f t="shared" si="233"/>
        <v>963.53567841471659</v>
      </c>
      <c r="CD120" s="227">
        <f t="shared" si="233"/>
        <v>886.43075365956133</v>
      </c>
      <c r="CE120" s="227">
        <f t="shared" si="233"/>
        <v>539.18786096096665</v>
      </c>
      <c r="CF120" s="227">
        <f t="shared" si="233"/>
        <v>1081.3574307930598</v>
      </c>
      <c r="CG120" s="227">
        <f t="shared" si="233"/>
        <v>1035.0929330754723</v>
      </c>
      <c r="CH120" s="227">
        <f t="shared" si="233"/>
        <v>653.08403260495186</v>
      </c>
      <c r="CI120" s="227">
        <f t="shared" si="233"/>
        <v>709.86015795110143</v>
      </c>
      <c r="CJ120" s="227">
        <f t="shared" si="233"/>
        <v>767.02125880214521</v>
      </c>
      <c r="CK120" s="227">
        <f t="shared" si="233"/>
        <v>1236.8540178028168</v>
      </c>
      <c r="CL120" s="227">
        <f t="shared" si="233"/>
        <v>1241.9838698416449</v>
      </c>
      <c r="CM120" s="227">
        <f t="shared" si="233"/>
        <v>1163.3030050038683</v>
      </c>
      <c r="CN120" s="227">
        <f t="shared" si="233"/>
        <v>1084.0640158187059</v>
      </c>
      <c r="CO120" s="227">
        <f t="shared" si="233"/>
        <v>1004.2639465509811</v>
      </c>
      <c r="CP120" s="227">
        <f t="shared" si="233"/>
        <v>923.89982743447683</v>
      </c>
      <c r="CQ120" s="227">
        <f t="shared" si="233"/>
        <v>561.97911640589007</v>
      </c>
      <c r="CR120" s="227">
        <f t="shared" si="233"/>
        <v>1127.0659773255088</v>
      </c>
      <c r="CS120" s="227">
        <f t="shared" si="233"/>
        <v>1078.8458977748385</v>
      </c>
      <c r="CT120" s="227">
        <f t="shared" si="233"/>
        <v>680.68963371690404</v>
      </c>
      <c r="CU120" s="227">
        <f t="shared" si="233"/>
        <v>739.86566319596386</v>
      </c>
      <c r="CV120" s="227">
        <f t="shared" si="233"/>
        <v>799.44294094068835</v>
      </c>
      <c r="CW120" s="227">
        <f t="shared" si="233"/>
        <v>1289.1353429379442</v>
      </c>
      <c r="CX120" s="227">
        <f t="shared" si="233"/>
        <v>1294.4820317727811</v>
      </c>
      <c r="CY120" s="227">
        <f t="shared" si="233"/>
        <v>1212.4753582160408</v>
      </c>
      <c r="CZ120" s="227">
        <f t="shared" si="233"/>
        <v>1129.8869686187506</v>
      </c>
      <c r="DA120" s="227">
        <f t="shared" si="233"/>
        <v>1046.7137823079988</v>
      </c>
      <c r="DB120" s="227">
        <f t="shared" si="233"/>
        <v>962.95270398671914</v>
      </c>
      <c r="DC120" s="227">
        <f t="shared" si="233"/>
        <v>585.73374911198482</v>
      </c>
      <c r="DD120" s="227">
        <f t="shared" ref="DD120:EH120" si="234">IF(AvgLeaseTermMarket&lt;$A120,0,(DD$48-CY$48)*CY$109)</f>
        <v>1174.7066058565586</v>
      </c>
      <c r="DE120" s="227">
        <f t="shared" si="234"/>
        <v>1124.4482828101118</v>
      </c>
      <c r="DF120" s="227">
        <f t="shared" si="234"/>
        <v>709.46211255776723</v>
      </c>
      <c r="DG120" s="227">
        <f t="shared" si="234"/>
        <v>771.13948915853541</v>
      </c>
      <c r="DH120" s="227">
        <f t="shared" si="234"/>
        <v>833.2350746288372</v>
      </c>
      <c r="DI120" s="227">
        <f t="shared" si="234"/>
        <v>1343.6265787970287</v>
      </c>
      <c r="DJ120" s="227">
        <f t="shared" si="234"/>
        <v>1349.1992700325879</v>
      </c>
      <c r="DK120" s="227">
        <f t="shared" si="234"/>
        <v>1263.7262071511957</v>
      </c>
      <c r="DL120" s="227">
        <f t="shared" si="234"/>
        <v>1177.6468393246519</v>
      </c>
      <c r="DM120" s="227">
        <f t="shared" si="234"/>
        <v>1090.9579556612202</v>
      </c>
      <c r="DN120" s="227">
        <f t="shared" si="234"/>
        <v>1003.6563300268771</v>
      </c>
      <c r="DO120" s="227">
        <f t="shared" si="234"/>
        <v>610.49248065118593</v>
      </c>
      <c r="DP120" s="227">
        <f t="shared" si="234"/>
        <v>1224.3609847203727</v>
      </c>
      <c r="DQ120" s="227">
        <f t="shared" si="234"/>
        <v>1171.9782624399538</v>
      </c>
      <c r="DR120" s="227">
        <f t="shared" si="234"/>
        <v>739.45079258291378</v>
      </c>
      <c r="DS120" s="227">
        <f t="shared" si="234"/>
        <v>803.73524724878666</v>
      </c>
      <c r="DT120" s="227">
        <f t="shared" si="234"/>
        <v>868.45558830600498</v>
      </c>
      <c r="DU120" s="227">
        <f t="shared" si="234"/>
        <v>1400.4211374233562</v>
      </c>
      <c r="DV120" s="227">
        <f t="shared" si="234"/>
        <v>1406.2293840908203</v>
      </c>
      <c r="DW120" s="227">
        <f t="shared" si="234"/>
        <v>1317.1434089930406</v>
      </c>
      <c r="DX120" s="227">
        <f t="shared" si="234"/>
        <v>1227.4255006823375</v>
      </c>
      <c r="DY120" s="227">
        <f t="shared" si="234"/>
        <v>1137.0723125438624</v>
      </c>
      <c r="DZ120" s="227">
        <f t="shared" si="234"/>
        <v>1046.0804820761887</v>
      </c>
      <c r="EA120" s="227">
        <f t="shared" si="234"/>
        <v>636.29775387993504</v>
      </c>
      <c r="EB120" s="227">
        <f t="shared" si="234"/>
        <v>1276.114234338826</v>
      </c>
      <c r="EC120" s="227">
        <f t="shared" si="234"/>
        <v>1221.5173153176579</v>
      </c>
      <c r="ED120" s="227">
        <f t="shared" si="234"/>
        <v>770.70708213043326</v>
      </c>
      <c r="EE120" s="227">
        <f t="shared" si="234"/>
        <v>837.70881500953544</v>
      </c>
      <c r="EF120" s="227">
        <f t="shared" si="234"/>
        <v>905.16485902358545</v>
      </c>
      <c r="EG120" s="227">
        <f t="shared" si="234"/>
        <v>1459.616379349985</v>
      </c>
      <c r="EH120" s="227">
        <f t="shared" si="234"/>
        <v>1465.6701382833351</v>
      </c>
      <c r="EK120" s="280"/>
    </row>
    <row r="121" spans="1:141" x14ac:dyDescent="0.3">
      <c r="A121">
        <v>6</v>
      </c>
      <c r="E121" s="200"/>
      <c r="F121" s="200"/>
      <c r="G121" s="229"/>
      <c r="H121" s="229"/>
      <c r="I121" s="229"/>
      <c r="J121" s="229"/>
      <c r="K121" s="229"/>
      <c r="L121" s="229"/>
      <c r="M121" s="227">
        <f t="shared" ref="M121:AR121" si="235">IF(AvgLeaseTermMarket&lt;$A121,0,(M$48-G$48)*G$109)</f>
        <v>0</v>
      </c>
      <c r="N121" s="227">
        <f t="shared" si="235"/>
        <v>0</v>
      </c>
      <c r="O121" s="227">
        <f t="shared" si="235"/>
        <v>0</v>
      </c>
      <c r="P121" s="227">
        <f t="shared" si="235"/>
        <v>0</v>
      </c>
      <c r="Q121" s="227">
        <f t="shared" si="235"/>
        <v>0</v>
      </c>
      <c r="R121" s="227">
        <f t="shared" si="235"/>
        <v>0</v>
      </c>
      <c r="S121" s="227">
        <f t="shared" si="235"/>
        <v>0</v>
      </c>
      <c r="T121" s="227">
        <f t="shared" si="235"/>
        <v>0</v>
      </c>
      <c r="U121" s="227">
        <f t="shared" si="235"/>
        <v>0</v>
      </c>
      <c r="V121" s="227">
        <f t="shared" si="235"/>
        <v>0</v>
      </c>
      <c r="W121" s="227">
        <f t="shared" si="235"/>
        <v>0</v>
      </c>
      <c r="X121" s="227">
        <f t="shared" si="235"/>
        <v>0</v>
      </c>
      <c r="Y121" s="227">
        <f t="shared" si="235"/>
        <v>627.73224069819196</v>
      </c>
      <c r="Z121" s="227">
        <f t="shared" si="235"/>
        <v>754.24491896381517</v>
      </c>
      <c r="AA121" s="227">
        <f t="shared" si="235"/>
        <v>881.66071422450193</v>
      </c>
      <c r="AB121" s="227">
        <f t="shared" si="235"/>
        <v>944.66838425468666</v>
      </c>
      <c r="AC121" s="227">
        <f t="shared" si="235"/>
        <v>1008.2417551560487</v>
      </c>
      <c r="AD121" s="227">
        <f t="shared" si="235"/>
        <v>1608.57715584108</v>
      </c>
      <c r="AE121" s="227">
        <f t="shared" si="235"/>
        <v>1526.4083615130689</v>
      </c>
      <c r="AF121" s="227">
        <f t="shared" si="235"/>
        <v>1443.4449850837768</v>
      </c>
      <c r="AG121" s="227">
        <f t="shared" si="235"/>
        <v>1359.6813568478856</v>
      </c>
      <c r="AH121" s="227">
        <f t="shared" si="235"/>
        <v>1257.878930859835</v>
      </c>
      <c r="AI121" s="227">
        <f t="shared" si="235"/>
        <v>1155.1430262087351</v>
      </c>
      <c r="AJ121" s="227">
        <f t="shared" si="235"/>
        <v>700.97814539807734</v>
      </c>
      <c r="AK121" s="227">
        <f t="shared" si="235"/>
        <v>1496.4202160312475</v>
      </c>
      <c r="AL121" s="227">
        <f t="shared" si="235"/>
        <v>1380.5649718661425</v>
      </c>
      <c r="AM121" s="227">
        <f t="shared" si="235"/>
        <v>843.87673030263034</v>
      </c>
      <c r="AN121" s="227">
        <f t="shared" si="235"/>
        <v>903.8051985015212</v>
      </c>
      <c r="AO121" s="227">
        <f t="shared" si="235"/>
        <v>964.22277528718337</v>
      </c>
      <c r="AP121" s="227">
        <f t="shared" si="235"/>
        <v>1537.6988314786422</v>
      </c>
      <c r="AQ121" s="227">
        <f t="shared" si="235"/>
        <v>1458.5078627006408</v>
      </c>
      <c r="AR121" s="227">
        <f t="shared" si="235"/>
        <v>1378.6256497778204</v>
      </c>
      <c r="AS121" s="227">
        <f t="shared" ref="AS121:BX121" si="236">IF(AvgLeaseTermMarket&lt;$A121,0,(AS$48-AM$48)*AM$109)</f>
        <v>1298.0477273108927</v>
      </c>
      <c r="AT121" s="227">
        <f t="shared" si="236"/>
        <v>1154.5635697673979</v>
      </c>
      <c r="AU121" s="227">
        <f t="shared" si="236"/>
        <v>1010.0306949596222</v>
      </c>
      <c r="AV121" s="227">
        <f t="shared" si="236"/>
        <v>576.29540726241828</v>
      </c>
      <c r="AW121" s="227">
        <f t="shared" si="236"/>
        <v>1149.0974167187276</v>
      </c>
      <c r="AX121" s="227">
        <f t="shared" si="236"/>
        <v>993.62139738486258</v>
      </c>
      <c r="AY121" s="227">
        <f t="shared" si="236"/>
        <v>571.00163980833531</v>
      </c>
      <c r="AZ121" s="227">
        <f t="shared" si="236"/>
        <v>610.67176120903025</v>
      </c>
      <c r="BA121" s="227">
        <f t="shared" si="236"/>
        <v>650.55305983389769</v>
      </c>
      <c r="BB121" s="227">
        <f t="shared" si="236"/>
        <v>1035.9696016731239</v>
      </c>
      <c r="BC121" s="227">
        <f t="shared" si="236"/>
        <v>981.13035790117669</v>
      </c>
      <c r="BD121" s="227">
        <f t="shared" si="236"/>
        <v>925.98629381587739</v>
      </c>
      <c r="BE121" s="227">
        <f t="shared" si="236"/>
        <v>870.53614311581464</v>
      </c>
      <c r="BF121" s="227">
        <f t="shared" si="236"/>
        <v>846.90923991640807</v>
      </c>
      <c r="BG121" s="227">
        <f t="shared" si="236"/>
        <v>823.13226786916084</v>
      </c>
      <c r="BH121" s="227">
        <f t="shared" si="236"/>
        <v>532.80302413567767</v>
      </c>
      <c r="BI121" s="227">
        <f t="shared" si="236"/>
        <v>1211.4854279644976</v>
      </c>
      <c r="BJ121" s="227">
        <f t="shared" si="236"/>
        <v>1178.1164832086981</v>
      </c>
      <c r="BK121" s="227">
        <f t="shared" si="236"/>
        <v>752.99232167072694</v>
      </c>
      <c r="BL121" s="227">
        <f t="shared" si="236"/>
        <v>805.88629468852457</v>
      </c>
      <c r="BM121" s="227">
        <f t="shared" si="236"/>
        <v>859.13726210122627</v>
      </c>
      <c r="BN121" s="227">
        <f t="shared" si="236"/>
        <v>1369.1206275796505</v>
      </c>
      <c r="BO121" s="227">
        <f t="shared" si="236"/>
        <v>1297.6288513080249</v>
      </c>
      <c r="BP121" s="227">
        <f t="shared" si="236"/>
        <v>1225.6271872800469</v>
      </c>
      <c r="BQ121" s="227">
        <f t="shared" si="236"/>
        <v>1153.1129307526751</v>
      </c>
      <c r="BR121" s="227">
        <f t="shared" si="236"/>
        <v>1080.0833641336371</v>
      </c>
      <c r="BS121" s="227">
        <f t="shared" si="236"/>
        <v>1006.5357569236322</v>
      </c>
      <c r="BT121" s="227">
        <f t="shared" si="236"/>
        <v>621.64491043885425</v>
      </c>
      <c r="BU121" s="227">
        <f t="shared" si="236"/>
        <v>1351.3399708424827</v>
      </c>
      <c r="BV121" s="227">
        <f t="shared" si="236"/>
        <v>1266.4536991454413</v>
      </c>
      <c r="BW121" s="227">
        <f t="shared" si="236"/>
        <v>784.82100624213854</v>
      </c>
      <c r="BX121" s="227">
        <f t="shared" si="236"/>
        <v>839.95078636508481</v>
      </c>
      <c r="BY121" s="227">
        <f t="shared" ref="BY121:DD121" si="237">IF(AvgLeaseTermMarket&lt;$A121,0,(BY$48-BS$48)*BS$109)</f>
        <v>895.4526508933676</v>
      </c>
      <c r="BZ121" s="227">
        <f t="shared" si="237"/>
        <v>1426.9928094616112</v>
      </c>
      <c r="CA121" s="227">
        <f t="shared" si="237"/>
        <v>1352.4791043722328</v>
      </c>
      <c r="CB121" s="227">
        <f t="shared" si="237"/>
        <v>1277.433958774785</v>
      </c>
      <c r="CC121" s="227">
        <f t="shared" si="237"/>
        <v>1201.8545535977908</v>
      </c>
      <c r="CD121" s="227">
        <f t="shared" si="237"/>
        <v>1125.738056377463</v>
      </c>
      <c r="CE121" s="227">
        <f t="shared" si="237"/>
        <v>1049.0816211973743</v>
      </c>
      <c r="CF121" s="227">
        <f t="shared" si="237"/>
        <v>647.92159241867273</v>
      </c>
      <c r="CG121" s="227">
        <f t="shared" si="237"/>
        <v>1408.4605714686245</v>
      </c>
      <c r="CH121" s="227">
        <f t="shared" si="237"/>
        <v>1319.9861909841125</v>
      </c>
      <c r="CI121" s="227">
        <f t="shared" si="237"/>
        <v>817.99507659293238</v>
      </c>
      <c r="CJ121" s="227">
        <f t="shared" si="237"/>
        <v>875.45517049402042</v>
      </c>
      <c r="CK121" s="227">
        <f t="shared" si="237"/>
        <v>933.30307665958389</v>
      </c>
      <c r="CL121" s="227">
        <f t="shared" si="237"/>
        <v>1487.3112253483184</v>
      </c>
      <c r="CM121" s="227">
        <f t="shared" si="237"/>
        <v>1409.6478557175042</v>
      </c>
      <c r="CN121" s="227">
        <f t="shared" si="237"/>
        <v>1331.4305818006767</v>
      </c>
      <c r="CO121" s="227">
        <f t="shared" si="237"/>
        <v>1252.6564653653595</v>
      </c>
      <c r="CP121" s="227">
        <f t="shared" si="237"/>
        <v>1173.3225542206349</v>
      </c>
      <c r="CQ121" s="227">
        <f t="shared" si="237"/>
        <v>1093.4258821543367</v>
      </c>
      <c r="CR121" s="227">
        <f t="shared" si="237"/>
        <v>675.30897924666067</v>
      </c>
      <c r="CS121" s="227">
        <f t="shared" si="237"/>
        <v>1467.9956370600892</v>
      </c>
      <c r="CT121" s="227">
        <f t="shared" si="237"/>
        <v>1375.7814798633249</v>
      </c>
      <c r="CU121" s="227">
        <f t="shared" si="237"/>
        <v>852.57140164239979</v>
      </c>
      <c r="CV121" s="227">
        <f t="shared" si="237"/>
        <v>912.46031075392818</v>
      </c>
      <c r="CW121" s="227">
        <f t="shared" si="237"/>
        <v>972.75342479940014</v>
      </c>
      <c r="CX121" s="227">
        <f t="shared" si="237"/>
        <v>1550.1792765737164</v>
      </c>
      <c r="CY121" s="227">
        <f t="shared" si="237"/>
        <v>1469.2331073397922</v>
      </c>
      <c r="CZ121" s="227">
        <f t="shared" si="237"/>
        <v>1387.709620506994</v>
      </c>
      <c r="DA121" s="227">
        <f t="shared" si="237"/>
        <v>1305.6057536449453</v>
      </c>
      <c r="DB121" s="227">
        <f t="shared" si="237"/>
        <v>1222.9184297747868</v>
      </c>
      <c r="DC121" s="227">
        <f t="shared" si="237"/>
        <v>1139.6445573037493</v>
      </c>
      <c r="DD121" s="227">
        <f t="shared" si="237"/>
        <v>703.85401997295344</v>
      </c>
      <c r="DE121" s="227">
        <f t="shared" ref="DE121:EH121" si="238">IF(AvgLeaseTermMarket&lt;$A121,0,(DE$48-CY$48)*CY$109)</f>
        <v>1530.0472260862778</v>
      </c>
      <c r="DF121" s="227">
        <f t="shared" si="238"/>
        <v>1433.9352133099026</v>
      </c>
      <c r="DG121" s="227">
        <f t="shared" si="238"/>
        <v>888.60925413639416</v>
      </c>
      <c r="DH121" s="227">
        <f t="shared" si="238"/>
        <v>951.02964350685727</v>
      </c>
      <c r="DI121" s="227">
        <f t="shared" si="238"/>
        <v>1013.8713233923212</v>
      </c>
      <c r="DJ121" s="227">
        <f t="shared" si="238"/>
        <v>1615.7047352048774</v>
      </c>
      <c r="DK121" s="227">
        <f t="shared" si="238"/>
        <v>1531.3370037402863</v>
      </c>
      <c r="DL121" s="227">
        <f t="shared" si="238"/>
        <v>1446.3675516925921</v>
      </c>
      <c r="DM121" s="227">
        <f t="shared" si="238"/>
        <v>1360.7931871837029</v>
      </c>
      <c r="DN121" s="227">
        <f t="shared" si="238"/>
        <v>1274.6107031721031</v>
      </c>
      <c r="DO121" s="227">
        <f t="shared" si="238"/>
        <v>1187.8168773846273</v>
      </c>
      <c r="DP121" s="227">
        <f t="shared" si="238"/>
        <v>733.60564816531848</v>
      </c>
      <c r="DQ121" s="227">
        <f t="shared" si="238"/>
        <v>1594.7217109873004</v>
      </c>
      <c r="DR121" s="227">
        <f t="shared" si="238"/>
        <v>1494.5470818333745</v>
      </c>
      <c r="DS121" s="227">
        <f t="shared" si="238"/>
        <v>926.17041225604191</v>
      </c>
      <c r="DT121" s="227">
        <f t="shared" si="238"/>
        <v>991.22928654450516</v>
      </c>
      <c r="DU121" s="227">
        <f t="shared" si="238"/>
        <v>1056.7272591297035</v>
      </c>
      <c r="DV121" s="227">
        <f t="shared" si="238"/>
        <v>1683.9999287910161</v>
      </c>
      <c r="DW121" s="227">
        <f t="shared" si="238"/>
        <v>1596.0660070273834</v>
      </c>
      <c r="DX121" s="227">
        <f t="shared" si="238"/>
        <v>1507.5049301920296</v>
      </c>
      <c r="DY121" s="227">
        <f t="shared" si="238"/>
        <v>1418.31337148744</v>
      </c>
      <c r="DZ121" s="227">
        <f t="shared" si="238"/>
        <v>1328.4879883117364</v>
      </c>
      <c r="EA121" s="227">
        <f t="shared" si="238"/>
        <v>1238.0254221875623</v>
      </c>
      <c r="EB121" s="227">
        <f t="shared" si="238"/>
        <v>764.61486579378834</v>
      </c>
      <c r="EC121" s="227">
        <f t="shared" si="238"/>
        <v>1662.1299605237334</v>
      </c>
      <c r="ED121" s="227">
        <f t="shared" si="238"/>
        <v>1557.7209898212413</v>
      </c>
      <c r="EE121" s="227">
        <f t="shared" si="238"/>
        <v>965.3192655214516</v>
      </c>
      <c r="EF121" s="227">
        <f t="shared" si="238"/>
        <v>1033.1281524311678</v>
      </c>
      <c r="EG121" s="227">
        <f t="shared" si="238"/>
        <v>1101.3946981471768</v>
      </c>
      <c r="EH121" s="227">
        <f t="shared" si="238"/>
        <v>1755.1819329220157</v>
      </c>
      <c r="EK121" s="672"/>
    </row>
    <row r="122" spans="1:141" x14ac:dyDescent="0.3">
      <c r="A122">
        <v>7</v>
      </c>
      <c r="E122" s="200"/>
      <c r="F122" s="200"/>
      <c r="G122" s="229"/>
      <c r="H122" s="229"/>
      <c r="I122" s="229"/>
      <c r="J122" s="229"/>
      <c r="K122" s="229"/>
      <c r="L122" s="229"/>
      <c r="M122" s="229"/>
      <c r="N122" s="227">
        <f t="shared" ref="N122:AS122" si="239">IF(AvgLeaseTermMarket&lt;$A122,0,(N$48-G$48)*G$109)</f>
        <v>0</v>
      </c>
      <c r="O122" s="227">
        <f t="shared" si="239"/>
        <v>0</v>
      </c>
      <c r="P122" s="227">
        <f t="shared" si="239"/>
        <v>0</v>
      </c>
      <c r="Q122" s="227">
        <f t="shared" si="239"/>
        <v>0</v>
      </c>
      <c r="R122" s="227">
        <f t="shared" si="239"/>
        <v>0</v>
      </c>
      <c r="S122" s="227">
        <f t="shared" si="239"/>
        <v>0</v>
      </c>
      <c r="T122" s="227">
        <f t="shared" si="239"/>
        <v>0</v>
      </c>
      <c r="U122" s="227">
        <f t="shared" si="239"/>
        <v>0</v>
      </c>
      <c r="V122" s="227">
        <f t="shared" si="239"/>
        <v>0</v>
      </c>
      <c r="W122" s="227">
        <f t="shared" si="239"/>
        <v>0</v>
      </c>
      <c r="X122" s="227">
        <f t="shared" si="239"/>
        <v>0</v>
      </c>
      <c r="Y122" s="227">
        <f t="shared" si="239"/>
        <v>0</v>
      </c>
      <c r="Z122" s="227">
        <f t="shared" si="239"/>
        <v>804.97476754347224</v>
      </c>
      <c r="AA122" s="227">
        <f t="shared" si="239"/>
        <v>932.47291425835579</v>
      </c>
      <c r="AB122" s="227">
        <f t="shared" si="239"/>
        <v>1060.8796571728817</v>
      </c>
      <c r="AC122" s="227">
        <f t="shared" si="239"/>
        <v>1124.883784525859</v>
      </c>
      <c r="AD122" s="227">
        <f t="shared" si="239"/>
        <v>1189.4591530527273</v>
      </c>
      <c r="AE122" s="227">
        <f t="shared" si="239"/>
        <v>1790.8021224700717</v>
      </c>
      <c r="AF122" s="227">
        <f t="shared" si="239"/>
        <v>1709.3087753516972</v>
      </c>
      <c r="AG122" s="227">
        <f t="shared" si="239"/>
        <v>1627.0233497896966</v>
      </c>
      <c r="AH122" s="227">
        <f t="shared" si="239"/>
        <v>1526.707345282405</v>
      </c>
      <c r="AI122" s="227">
        <f t="shared" si="239"/>
        <v>1425.4661266154935</v>
      </c>
      <c r="AJ122" s="227">
        <f t="shared" si="239"/>
        <v>1323.2933149421335</v>
      </c>
      <c r="AK122" s="227">
        <f t="shared" si="239"/>
        <v>869.69341910161825</v>
      </c>
      <c r="AL122" s="227">
        <f t="shared" si="239"/>
        <v>1835.5514133972567</v>
      </c>
      <c r="AM122" s="227">
        <f t="shared" si="239"/>
        <v>1676.1966960552522</v>
      </c>
      <c r="AN122" s="227">
        <f t="shared" si="239"/>
        <v>1015.1558574578675</v>
      </c>
      <c r="AO122" s="227">
        <f t="shared" si="239"/>
        <v>1075.9475724576223</v>
      </c>
      <c r="AP122" s="227">
        <f t="shared" si="239"/>
        <v>1137.2327468080273</v>
      </c>
      <c r="AQ122" s="227">
        <f t="shared" si="239"/>
        <v>1711.580773255952</v>
      </c>
      <c r="AR122" s="227">
        <f t="shared" si="239"/>
        <v>1632.9740478023273</v>
      </c>
      <c r="AS122" s="227">
        <f t="shared" si="239"/>
        <v>1553.6780412614439</v>
      </c>
      <c r="AT122" s="227">
        <f t="shared" ref="AT122:BY122" si="240">IF(AvgLeaseTermMarket&lt;$A122,0,(AT$48-AM$48)*AM$109)</f>
        <v>1411.4822605002535</v>
      </c>
      <c r="AU122" s="227">
        <f t="shared" si="240"/>
        <v>1268.2442558937737</v>
      </c>
      <c r="AV122" s="227">
        <f t="shared" si="240"/>
        <v>1123.958068174893</v>
      </c>
      <c r="AW122" s="227">
        <f t="shared" si="240"/>
        <v>690.47000287757044</v>
      </c>
      <c r="AX122" s="227">
        <f t="shared" si="240"/>
        <v>1378.189884566488</v>
      </c>
      <c r="AY122" s="227">
        <f t="shared" si="240"/>
        <v>1192.9740825407059</v>
      </c>
      <c r="AZ122" s="227">
        <f t="shared" si="240"/>
        <v>686.29478333527084</v>
      </c>
      <c r="BA122" s="227">
        <f t="shared" si="240"/>
        <v>726.34018391814823</v>
      </c>
      <c r="BB122" s="227">
        <f t="shared" si="240"/>
        <v>766.59798325892996</v>
      </c>
      <c r="BC122" s="227">
        <f t="shared" si="240"/>
        <v>1152.3922513239049</v>
      </c>
      <c r="BD122" s="227">
        <f t="shared" si="240"/>
        <v>1097.8056447016977</v>
      </c>
      <c r="BE122" s="227">
        <f t="shared" si="240"/>
        <v>1042.9147659887617</v>
      </c>
      <c r="BF122" s="227">
        <f t="shared" si="240"/>
        <v>1019.8489552068112</v>
      </c>
      <c r="BG122" s="227">
        <f t="shared" si="240"/>
        <v>996.63490193283792</v>
      </c>
      <c r="BH122" s="227">
        <f t="shared" si="240"/>
        <v>973.27192134106474</v>
      </c>
      <c r="BI122" s="227">
        <f t="shared" si="240"/>
        <v>683.35781374943622</v>
      </c>
      <c r="BJ122" s="227">
        <f t="shared" si="240"/>
        <v>1513.8438591718646</v>
      </c>
      <c r="BK122" s="227">
        <f t="shared" si="240"/>
        <v>1441.458126290778</v>
      </c>
      <c r="BL122" s="227">
        <f t="shared" si="240"/>
        <v>905.42816941585556</v>
      </c>
      <c r="BM122" s="227">
        <f t="shared" si="240"/>
        <v>958.9543701121795</v>
      </c>
      <c r="BN122" s="227">
        <f t="shared" si="240"/>
        <v>1012.840187367703</v>
      </c>
      <c r="BO122" s="227">
        <f t="shared" si="240"/>
        <v>1523.4610357286626</v>
      </c>
      <c r="BP122" s="227">
        <f t="shared" si="240"/>
        <v>1452.3960106855718</v>
      </c>
      <c r="BQ122" s="227">
        <f t="shared" si="240"/>
        <v>1380.8222778532725</v>
      </c>
      <c r="BR122" s="227">
        <f t="shared" si="240"/>
        <v>1308.73713575133</v>
      </c>
      <c r="BS122" s="227">
        <f t="shared" si="240"/>
        <v>1236.1378700591147</v>
      </c>
      <c r="BT122" s="227">
        <f t="shared" si="240"/>
        <v>1163.0217535579966</v>
      </c>
      <c r="BU122" s="227">
        <f t="shared" si="240"/>
        <v>778.56359085391603</v>
      </c>
      <c r="BV122" s="227">
        <f t="shared" si="240"/>
        <v>1666.4789721266425</v>
      </c>
      <c r="BW122" s="227">
        <f t="shared" si="240"/>
        <v>1540.9266882598206</v>
      </c>
      <c r="BX122" s="227">
        <f t="shared" si="240"/>
        <v>943.70025636418802</v>
      </c>
      <c r="BY122" s="227">
        <f t="shared" si="240"/>
        <v>999.48898817701922</v>
      </c>
      <c r="BZ122" s="227">
        <f t="shared" ref="BZ122:DE122" si="241">IF(AvgLeaseTermMarket&lt;$A122,0,(BZ$48-BS$48)*BS$109)</f>
        <v>1055.652537397317</v>
      </c>
      <c r="CA122" s="227">
        <f t="shared" si="241"/>
        <v>1587.8571249948252</v>
      </c>
      <c r="CB122" s="227">
        <f t="shared" si="241"/>
        <v>1513.7882097379049</v>
      </c>
      <c r="CC122" s="227">
        <f t="shared" si="241"/>
        <v>1439.1890838167894</v>
      </c>
      <c r="CD122" s="227">
        <f t="shared" si="241"/>
        <v>1364.0569315605369</v>
      </c>
      <c r="CE122" s="227">
        <f t="shared" si="241"/>
        <v>1288.3889239152757</v>
      </c>
      <c r="CF122" s="227">
        <f t="shared" si="241"/>
        <v>1212.1822183839331</v>
      </c>
      <c r="CG122" s="227">
        <f t="shared" si="241"/>
        <v>811.47316275645505</v>
      </c>
      <c r="CH122" s="227">
        <f t="shared" si="241"/>
        <v>1736.9203724201391</v>
      </c>
      <c r="CI122" s="227">
        <f t="shared" si="241"/>
        <v>1606.0610436799288</v>
      </c>
      <c r="CJ122" s="227">
        <f t="shared" si="241"/>
        <v>983.59008913585137</v>
      </c>
      <c r="CK122" s="227">
        <f t="shared" si="241"/>
        <v>1041.7369883514591</v>
      </c>
      <c r="CL122" s="227">
        <f t="shared" si="241"/>
        <v>1100.274548356585</v>
      </c>
      <c r="CM122" s="227">
        <f t="shared" si="241"/>
        <v>1654.9752112241777</v>
      </c>
      <c r="CN122" s="227">
        <f t="shared" si="241"/>
        <v>1577.7754325143126</v>
      </c>
      <c r="CO122" s="227">
        <f t="shared" si="241"/>
        <v>1500.0230313473303</v>
      </c>
      <c r="CP122" s="227">
        <f t="shared" si="241"/>
        <v>1421.7150730350133</v>
      </c>
      <c r="CQ122" s="227">
        <f t="shared" si="241"/>
        <v>1342.8486089404948</v>
      </c>
      <c r="CR122" s="227">
        <f t="shared" si="241"/>
        <v>1263.4206764154924</v>
      </c>
      <c r="CS122" s="227">
        <f t="shared" si="241"/>
        <v>845.77380911395085</v>
      </c>
      <c r="CT122" s="227">
        <f t="shared" si="241"/>
        <v>1810.3393025584244</v>
      </c>
      <c r="CU122" s="227">
        <f t="shared" si="241"/>
        <v>1673.9486022785252</v>
      </c>
      <c r="CV122" s="227">
        <f t="shared" si="241"/>
        <v>1025.1660492003641</v>
      </c>
      <c r="CW122" s="227">
        <f t="shared" si="241"/>
        <v>1085.77079461264</v>
      </c>
      <c r="CX122" s="227">
        <f t="shared" si="241"/>
        <v>1146.7827138899149</v>
      </c>
      <c r="CY122" s="227">
        <f t="shared" si="241"/>
        <v>1724.9303521407276</v>
      </c>
      <c r="CZ122" s="227">
        <f t="shared" si="241"/>
        <v>1644.4673696307452</v>
      </c>
      <c r="DA122" s="227">
        <f t="shared" si="241"/>
        <v>1563.4284055331889</v>
      </c>
      <c r="DB122" s="227">
        <f t="shared" si="241"/>
        <v>1481.8104011117334</v>
      </c>
      <c r="DC122" s="227">
        <f t="shared" si="241"/>
        <v>1399.6102830918169</v>
      </c>
      <c r="DD122" s="227">
        <f t="shared" si="241"/>
        <v>1316.8249635952022</v>
      </c>
      <c r="DE122" s="227">
        <f t="shared" si="241"/>
        <v>881.52433008781304</v>
      </c>
      <c r="DF122" s="227">
        <f t="shared" ref="DF122:EH122" si="242">IF(AvgLeaseTermMarket&lt;$A122,0,(DF$48-CY$48)*CY$109)</f>
        <v>1886.8616215383984</v>
      </c>
      <c r="DG122" s="227">
        <f t="shared" si="242"/>
        <v>1744.7057408539374</v>
      </c>
      <c r="DH122" s="227">
        <f t="shared" si="242"/>
        <v>1068.499408484716</v>
      </c>
      <c r="DI122" s="227">
        <f t="shared" si="242"/>
        <v>1131.6658922703414</v>
      </c>
      <c r="DJ122" s="227">
        <f t="shared" si="242"/>
        <v>1195.2567609975538</v>
      </c>
      <c r="DK122" s="227">
        <f t="shared" si="242"/>
        <v>1797.8424689125754</v>
      </c>
      <c r="DL122" s="227">
        <f t="shared" si="242"/>
        <v>1713.9783482816824</v>
      </c>
      <c r="DM122" s="227">
        <f t="shared" si="242"/>
        <v>1629.5138995516431</v>
      </c>
      <c r="DN122" s="227">
        <f t="shared" si="242"/>
        <v>1544.4459346945857</v>
      </c>
      <c r="DO122" s="227">
        <f t="shared" si="242"/>
        <v>1458.7712505298534</v>
      </c>
      <c r="DP122" s="227">
        <f t="shared" si="242"/>
        <v>1372.4866286558261</v>
      </c>
      <c r="DQ122" s="227">
        <f t="shared" si="242"/>
        <v>918.78601129878223</v>
      </c>
      <c r="DR122" s="227">
        <f t="shared" si="242"/>
        <v>1966.6185083664241</v>
      </c>
      <c r="DS122" s="227">
        <f t="shared" si="242"/>
        <v>1818.4537554052317</v>
      </c>
      <c r="DT122" s="227">
        <f t="shared" si="242"/>
        <v>1113.6644515517605</v>
      </c>
      <c r="DU122" s="227">
        <f t="shared" si="242"/>
        <v>1179.5009573682037</v>
      </c>
      <c r="DV122" s="227">
        <f t="shared" si="242"/>
        <v>1245.7797867081433</v>
      </c>
      <c r="DW122" s="227">
        <f t="shared" si="242"/>
        <v>1873.8365517275793</v>
      </c>
      <c r="DX122" s="227">
        <f t="shared" si="242"/>
        <v>1786.4275282263725</v>
      </c>
      <c r="DY122" s="227">
        <f t="shared" si="242"/>
        <v>1698.3928009971323</v>
      </c>
      <c r="DZ122" s="227">
        <f t="shared" si="242"/>
        <v>1609.7290472553143</v>
      </c>
      <c r="EA122" s="227">
        <f t="shared" si="242"/>
        <v>1520.4329284231101</v>
      </c>
      <c r="EB122" s="227">
        <f t="shared" si="242"/>
        <v>1430.5010900583422</v>
      </c>
      <c r="EC122" s="227">
        <f t="shared" si="242"/>
        <v>957.62272888624216</v>
      </c>
      <c r="ED122" s="227">
        <f t="shared" si="242"/>
        <v>2049.7466869329887</v>
      </c>
      <c r="EE122" s="227">
        <f t="shared" si="242"/>
        <v>1895.3190690648275</v>
      </c>
      <c r="EF122" s="227">
        <f t="shared" si="242"/>
        <v>1160.7386029430841</v>
      </c>
      <c r="EG122" s="227">
        <f t="shared" si="242"/>
        <v>1229.3579915547591</v>
      </c>
      <c r="EH122" s="227">
        <f t="shared" si="242"/>
        <v>1298.4384005285306</v>
      </c>
      <c r="EK122" s="280"/>
    </row>
    <row r="123" spans="1:141" x14ac:dyDescent="0.3">
      <c r="A123">
        <v>8</v>
      </c>
      <c r="E123" s="200"/>
      <c r="F123" s="200"/>
      <c r="G123" s="229"/>
      <c r="H123" s="229"/>
      <c r="I123" s="229"/>
      <c r="J123" s="229"/>
      <c r="K123" s="229"/>
      <c r="L123" s="229"/>
      <c r="M123" s="229"/>
      <c r="N123" s="229"/>
      <c r="O123" s="227">
        <f t="shared" ref="O123:AT123" si="243">IF(AvgLeaseTermMarket&lt;$A123,0,(O$48-G$48)*G$109)</f>
        <v>0</v>
      </c>
      <c r="P123" s="227">
        <f t="shared" si="243"/>
        <v>0</v>
      </c>
      <c r="Q123" s="227">
        <f t="shared" si="243"/>
        <v>0</v>
      </c>
      <c r="R123" s="227">
        <f t="shared" si="243"/>
        <v>0</v>
      </c>
      <c r="S123" s="227">
        <f t="shared" si="243"/>
        <v>0</v>
      </c>
      <c r="T123" s="227">
        <f t="shared" si="243"/>
        <v>0</v>
      </c>
      <c r="U123" s="227">
        <f t="shared" si="243"/>
        <v>0</v>
      </c>
      <c r="V123" s="227">
        <f t="shared" si="243"/>
        <v>0</v>
      </c>
      <c r="W123" s="227">
        <f t="shared" si="243"/>
        <v>0</v>
      </c>
      <c r="X123" s="227">
        <f t="shared" si="243"/>
        <v>0</v>
      </c>
      <c r="Y123" s="227">
        <f t="shared" si="243"/>
        <v>0</v>
      </c>
      <c r="Z123" s="227">
        <f t="shared" si="243"/>
        <v>0</v>
      </c>
      <c r="AA123" s="227">
        <f t="shared" si="243"/>
        <v>983.20276283801286</v>
      </c>
      <c r="AB123" s="227">
        <f t="shared" si="243"/>
        <v>1111.6918572067357</v>
      </c>
      <c r="AC123" s="227">
        <f t="shared" si="243"/>
        <v>1241.095057444054</v>
      </c>
      <c r="AD123" s="227">
        <f t="shared" si="243"/>
        <v>1306.1011824225375</v>
      </c>
      <c r="AE123" s="227">
        <f t="shared" si="243"/>
        <v>1310.9424641387218</v>
      </c>
      <c r="AF123" s="227">
        <f t="shared" si="243"/>
        <v>1973.7025363087</v>
      </c>
      <c r="AG123" s="227">
        <f t="shared" si="243"/>
        <v>1892.887140057617</v>
      </c>
      <c r="AH123" s="227">
        <f t="shared" si="243"/>
        <v>1794.0493382242157</v>
      </c>
      <c r="AI123" s="227">
        <f t="shared" si="243"/>
        <v>1694.2945410380632</v>
      </c>
      <c r="AJ123" s="227">
        <f t="shared" si="243"/>
        <v>1593.6164153488919</v>
      </c>
      <c r="AK123" s="227">
        <f t="shared" si="243"/>
        <v>1576.3662254974449</v>
      </c>
      <c r="AL123" s="227">
        <f t="shared" si="243"/>
        <v>1039.259017784623</v>
      </c>
      <c r="AM123" s="227">
        <f t="shared" si="243"/>
        <v>2176.3918319979916</v>
      </c>
      <c r="AN123" s="227">
        <f t="shared" si="243"/>
        <v>1973.3184041342679</v>
      </c>
      <c r="AO123" s="227">
        <f t="shared" si="243"/>
        <v>1187.2982314139686</v>
      </c>
      <c r="AP123" s="227">
        <f t="shared" si="243"/>
        <v>1248.9575439784662</v>
      </c>
      <c r="AQ123" s="227">
        <f t="shared" si="243"/>
        <v>1253.1540413262337</v>
      </c>
      <c r="AR123" s="227">
        <f t="shared" si="243"/>
        <v>1886.0469583576387</v>
      </c>
      <c r="AS123" s="227">
        <f t="shared" si="243"/>
        <v>1808.0264392859508</v>
      </c>
      <c r="AT123" s="227">
        <f t="shared" si="243"/>
        <v>1667.1125744508047</v>
      </c>
      <c r="AU123" s="227">
        <f t="shared" ref="AU123:BZ123" si="244">IF(AvgLeaseTermMarket&lt;$A123,0,(AU$48-AM$48)*AM$109)</f>
        <v>1525.1629466266293</v>
      </c>
      <c r="AV123" s="227">
        <f t="shared" si="244"/>
        <v>1382.1716291090447</v>
      </c>
      <c r="AW123" s="227">
        <f t="shared" si="244"/>
        <v>1295.2199615976212</v>
      </c>
      <c r="AX123" s="227">
        <f t="shared" si="244"/>
        <v>805.01623680145065</v>
      </c>
      <c r="AY123" s="227">
        <f t="shared" si="244"/>
        <v>1608.0280483970841</v>
      </c>
      <c r="AZ123" s="227">
        <f t="shared" si="244"/>
        <v>1392.9756606867372</v>
      </c>
      <c r="BA123" s="227">
        <f t="shared" si="244"/>
        <v>801.96320604438881</v>
      </c>
      <c r="BB123" s="227">
        <f t="shared" si="244"/>
        <v>842.38510734318049</v>
      </c>
      <c r="BC123" s="227">
        <f t="shared" si="244"/>
        <v>844.21308302611726</v>
      </c>
      <c r="BD123" s="227">
        <f t="shared" si="244"/>
        <v>1269.0675381244257</v>
      </c>
      <c r="BE123" s="227">
        <f t="shared" si="244"/>
        <v>1214.734116874582</v>
      </c>
      <c r="BF123" s="227">
        <f t="shared" si="244"/>
        <v>1192.2275780797581</v>
      </c>
      <c r="BG123" s="227">
        <f t="shared" si="244"/>
        <v>1169.5746172232409</v>
      </c>
      <c r="BH123" s="227">
        <f t="shared" si="244"/>
        <v>1146.7745554047417</v>
      </c>
      <c r="BI123" s="227">
        <f t="shared" si="244"/>
        <v>1199.1041057617024</v>
      </c>
      <c r="BJ123" s="227">
        <f t="shared" si="244"/>
        <v>834.53702935311958</v>
      </c>
      <c r="BK123" s="227">
        <f t="shared" si="244"/>
        <v>1817.456321972661</v>
      </c>
      <c r="BL123" s="227">
        <f t="shared" si="244"/>
        <v>1705.8919788375358</v>
      </c>
      <c r="BM123" s="227">
        <f t="shared" si="244"/>
        <v>1058.4962448395106</v>
      </c>
      <c r="BN123" s="227">
        <f t="shared" si="244"/>
        <v>1112.6572953786563</v>
      </c>
      <c r="BO123" s="227">
        <f t="shared" si="244"/>
        <v>1115.7337928003778</v>
      </c>
      <c r="BP123" s="227">
        <f t="shared" si="244"/>
        <v>1678.2281951062096</v>
      </c>
      <c r="BQ123" s="227">
        <f t="shared" si="244"/>
        <v>1607.5911012587976</v>
      </c>
      <c r="BR123" s="227">
        <f t="shared" si="244"/>
        <v>1536.4464828519274</v>
      </c>
      <c r="BS123" s="227">
        <f t="shared" si="244"/>
        <v>1464.7916416768073</v>
      </c>
      <c r="BT123" s="227">
        <f t="shared" si="244"/>
        <v>1392.6238666934789</v>
      </c>
      <c r="BU123" s="227">
        <f t="shared" si="244"/>
        <v>1398.399774180589</v>
      </c>
      <c r="BV123" s="227">
        <f t="shared" si="244"/>
        <v>936.13309149599593</v>
      </c>
      <c r="BW123" s="227">
        <f t="shared" si="244"/>
        <v>1982.9250124186408</v>
      </c>
      <c r="BX123" s="227">
        <f t="shared" si="244"/>
        <v>1816.5380540965425</v>
      </c>
      <c r="BY123" s="227">
        <f t="shared" si="244"/>
        <v>1103.2384581761223</v>
      </c>
      <c r="BZ123" s="227">
        <f t="shared" si="244"/>
        <v>1159.6888746809689</v>
      </c>
      <c r="CA123" s="227">
        <f t="shared" ref="CA123:DF123" si="245">IF(AvgLeaseTermMarket&lt;$A123,0,(CA$48-BS$48)*BS$109)</f>
        <v>1162.8954144194599</v>
      </c>
      <c r="CB123" s="227">
        <f t="shared" si="245"/>
        <v>1749.1662303604974</v>
      </c>
      <c r="CC123" s="227">
        <f t="shared" si="245"/>
        <v>1675.5433347799094</v>
      </c>
      <c r="CD123" s="227">
        <f t="shared" si="245"/>
        <v>1601.3914617795358</v>
      </c>
      <c r="CE123" s="227">
        <f t="shared" si="245"/>
        <v>1526.7077990983498</v>
      </c>
      <c r="CF123" s="227">
        <f t="shared" si="245"/>
        <v>1451.4895211018347</v>
      </c>
      <c r="CG123" s="227">
        <f t="shared" si="245"/>
        <v>1457.5095738906066</v>
      </c>
      <c r="CH123" s="227">
        <f t="shared" si="245"/>
        <v>975.70306323221234</v>
      </c>
      <c r="CI123" s="227">
        <f t="shared" si="245"/>
        <v>2066.7424603961003</v>
      </c>
      <c r="CJ123" s="227">
        <f t="shared" si="245"/>
        <v>1893.3223918272981</v>
      </c>
      <c r="CK123" s="227">
        <f t="shared" si="245"/>
        <v>1149.8719069932902</v>
      </c>
      <c r="CL123" s="227">
        <f t="shared" si="245"/>
        <v>1208.7084600484602</v>
      </c>
      <c r="CM123" s="227">
        <f t="shared" si="245"/>
        <v>1212.0505389404914</v>
      </c>
      <c r="CN123" s="227">
        <f t="shared" si="245"/>
        <v>1823.1027880209861</v>
      </c>
      <c r="CO123" s="227">
        <f t="shared" si="245"/>
        <v>1746.3678820609662</v>
      </c>
      <c r="CP123" s="227">
        <f t="shared" si="245"/>
        <v>1669.0816390169841</v>
      </c>
      <c r="CQ123" s="227">
        <f t="shared" si="245"/>
        <v>1591.2411277548733</v>
      </c>
      <c r="CR123" s="227">
        <f t="shared" si="245"/>
        <v>1512.8434032016505</v>
      </c>
      <c r="CS123" s="227">
        <f t="shared" si="245"/>
        <v>1519.1179212164277</v>
      </c>
      <c r="CT123" s="227">
        <f t="shared" si="245"/>
        <v>1016.9456418631183</v>
      </c>
      <c r="CU123" s="227">
        <f t="shared" si="245"/>
        <v>2154.1028384094157</v>
      </c>
      <c r="CV123" s="227">
        <f t="shared" si="245"/>
        <v>1973.3523728339385</v>
      </c>
      <c r="CW123" s="227">
        <f t="shared" si="245"/>
        <v>1198.476533059076</v>
      </c>
      <c r="CX123" s="227">
        <f t="shared" si="245"/>
        <v>1259.8000837031548</v>
      </c>
      <c r="CY123" s="227">
        <f t="shared" si="245"/>
        <v>1263.283430934589</v>
      </c>
      <c r="CZ123" s="227">
        <f t="shared" si="245"/>
        <v>1900.1646144316805</v>
      </c>
      <c r="DA123" s="227">
        <f t="shared" si="245"/>
        <v>1820.1861546569401</v>
      </c>
      <c r="DB123" s="227">
        <f t="shared" si="245"/>
        <v>1739.6330529999768</v>
      </c>
      <c r="DC123" s="227">
        <f t="shared" si="245"/>
        <v>1658.5022544287635</v>
      </c>
      <c r="DD123" s="227">
        <f t="shared" si="245"/>
        <v>1576.7906893832699</v>
      </c>
      <c r="DE123" s="227">
        <f t="shared" si="245"/>
        <v>1583.3304287674916</v>
      </c>
      <c r="DF123" s="227">
        <f t="shared" si="245"/>
        <v>1059.9315278138733</v>
      </c>
      <c r="DG123" s="227">
        <f t="shared" ref="DG123:EH123" si="246">IF(AvgLeaseTermMarket&lt;$A123,0,(DG$48-CY$48)*CY$109)</f>
        <v>2245.1559046956522</v>
      </c>
      <c r="DH123" s="227">
        <f t="shared" si="246"/>
        <v>2056.7651891609571</v>
      </c>
      <c r="DI123" s="227">
        <f t="shared" si="246"/>
        <v>1249.1356572482</v>
      </c>
      <c r="DJ123" s="227">
        <f t="shared" si="246"/>
        <v>1313.0513298755739</v>
      </c>
      <c r="DK123" s="227">
        <f t="shared" si="246"/>
        <v>1316.6819168026857</v>
      </c>
      <c r="DL123" s="227">
        <f t="shared" si="246"/>
        <v>1980.4838134539718</v>
      </c>
      <c r="DM123" s="227">
        <f t="shared" si="246"/>
        <v>1897.1246961407337</v>
      </c>
      <c r="DN123" s="227">
        <f t="shared" si="246"/>
        <v>1813.1666470625262</v>
      </c>
      <c r="DO123" s="227">
        <f t="shared" si="246"/>
        <v>1728.6064820523361</v>
      </c>
      <c r="DP123" s="227">
        <f t="shared" si="246"/>
        <v>1643.4410018010522</v>
      </c>
      <c r="DQ123" s="227">
        <f t="shared" si="246"/>
        <v>1650.2571733560219</v>
      </c>
      <c r="DR123" s="227">
        <f t="shared" si="246"/>
        <v>1104.7344099883442</v>
      </c>
      <c r="DS123" s="227">
        <f t="shared" si="246"/>
        <v>2340.0577477126803</v>
      </c>
      <c r="DT123" s="227">
        <f t="shared" si="246"/>
        <v>2143.7038319057215</v>
      </c>
      <c r="DU123" s="227">
        <f t="shared" si="246"/>
        <v>1301.936122375459</v>
      </c>
      <c r="DV123" s="227">
        <f t="shared" si="246"/>
        <v>1368.5534849466437</v>
      </c>
      <c r="DW123" s="227">
        <f t="shared" si="246"/>
        <v>1372.3375353325189</v>
      </c>
      <c r="DX123" s="227">
        <f t="shared" si="246"/>
        <v>2064.1980729265683</v>
      </c>
      <c r="DY123" s="227">
        <f t="shared" si="246"/>
        <v>1977.3153990314752</v>
      </c>
      <c r="DZ123" s="227">
        <f t="shared" si="246"/>
        <v>1889.8084767650066</v>
      </c>
      <c r="EA123" s="227">
        <f t="shared" si="246"/>
        <v>1801.6739873666879</v>
      </c>
      <c r="EB123" s="227">
        <f t="shared" si="246"/>
        <v>1712.90859629389</v>
      </c>
      <c r="EC123" s="227">
        <f t="shared" si="246"/>
        <v>1720.0128846970229</v>
      </c>
      <c r="ED123" s="227">
        <f t="shared" si="246"/>
        <v>1151.4310920908699</v>
      </c>
      <c r="EE123" s="227">
        <f t="shared" si="246"/>
        <v>2438.9710537150254</v>
      </c>
      <c r="EF123" s="227">
        <f t="shared" si="246"/>
        <v>2234.317336342076</v>
      </c>
      <c r="EG123" s="227">
        <f t="shared" si="246"/>
        <v>1356.9684420666752</v>
      </c>
      <c r="EH123" s="227">
        <f t="shared" si="246"/>
        <v>1426.4016939361129</v>
      </c>
      <c r="EK123" s="672"/>
    </row>
    <row r="124" spans="1:141" x14ac:dyDescent="0.3">
      <c r="A124">
        <v>9</v>
      </c>
      <c r="E124" s="200"/>
      <c r="F124" s="200"/>
      <c r="G124" s="229"/>
      <c r="H124" s="229"/>
      <c r="I124" s="229"/>
      <c r="J124" s="229"/>
      <c r="K124" s="229"/>
      <c r="L124" s="229"/>
      <c r="M124" s="229"/>
      <c r="N124" s="229"/>
      <c r="O124" s="229"/>
      <c r="P124" s="227">
        <f t="shared" ref="P124:AU124" si="247">IF(AvgLeaseTermMarket&lt;$A124,0,(P$48-G$48)*G$109)</f>
        <v>0</v>
      </c>
      <c r="Q124" s="227">
        <f t="shared" si="247"/>
        <v>0</v>
      </c>
      <c r="R124" s="227">
        <f t="shared" si="247"/>
        <v>0</v>
      </c>
      <c r="S124" s="227">
        <f t="shared" si="247"/>
        <v>0</v>
      </c>
      <c r="T124" s="227">
        <f t="shared" si="247"/>
        <v>0</v>
      </c>
      <c r="U124" s="227">
        <f t="shared" si="247"/>
        <v>0</v>
      </c>
      <c r="V124" s="227">
        <f t="shared" si="247"/>
        <v>0</v>
      </c>
      <c r="W124" s="227">
        <f t="shared" si="247"/>
        <v>0</v>
      </c>
      <c r="X124" s="227">
        <f t="shared" si="247"/>
        <v>0</v>
      </c>
      <c r="Y124" s="227">
        <f t="shared" si="247"/>
        <v>0</v>
      </c>
      <c r="Z124" s="227">
        <f t="shared" si="247"/>
        <v>0</v>
      </c>
      <c r="AA124" s="227">
        <f t="shared" si="247"/>
        <v>0</v>
      </c>
      <c r="AB124" s="227">
        <f t="shared" si="247"/>
        <v>1162.4217057863927</v>
      </c>
      <c r="AC124" s="227">
        <f t="shared" si="247"/>
        <v>1291.9072574779079</v>
      </c>
      <c r="AD124" s="227">
        <f t="shared" si="247"/>
        <v>1422.3124553407324</v>
      </c>
      <c r="AE124" s="227">
        <f t="shared" si="247"/>
        <v>1427.584493508532</v>
      </c>
      <c r="AF124" s="227">
        <f t="shared" si="247"/>
        <v>1432.876073364474</v>
      </c>
      <c r="AG124" s="227">
        <f t="shared" si="247"/>
        <v>2157.2809010146198</v>
      </c>
      <c r="AH124" s="227">
        <f t="shared" si="247"/>
        <v>2059.9131284921364</v>
      </c>
      <c r="AI124" s="227">
        <f t="shared" si="247"/>
        <v>1961.6365339798742</v>
      </c>
      <c r="AJ124" s="227">
        <f t="shared" si="247"/>
        <v>1862.4448297714616</v>
      </c>
      <c r="AK124" s="227">
        <f t="shared" si="247"/>
        <v>1846.6893259042031</v>
      </c>
      <c r="AL124" s="227">
        <f t="shared" si="247"/>
        <v>1830.7146235219518</v>
      </c>
      <c r="AM124" s="227">
        <f t="shared" si="247"/>
        <v>1209.6792270849903</v>
      </c>
      <c r="AN124" s="227">
        <f t="shared" si="247"/>
        <v>2518.9500863084659</v>
      </c>
      <c r="AO124" s="227">
        <f t="shared" si="247"/>
        <v>2271.9376056220044</v>
      </c>
      <c r="AP124" s="227">
        <f t="shared" si="247"/>
        <v>1360.3082029348122</v>
      </c>
      <c r="AQ124" s="227">
        <f t="shared" si="247"/>
        <v>1364.8788384966726</v>
      </c>
      <c r="AR124" s="227">
        <f t="shared" si="247"/>
        <v>1369.4648313940249</v>
      </c>
      <c r="AS124" s="227">
        <f t="shared" si="247"/>
        <v>2061.0993498412622</v>
      </c>
      <c r="AT124" s="227">
        <f t="shared" si="247"/>
        <v>1921.4609724753116</v>
      </c>
      <c r="AU124" s="227">
        <f t="shared" si="247"/>
        <v>1780.7932605771805</v>
      </c>
      <c r="AV124" s="227">
        <f t="shared" ref="AV124:CA124" si="248">IF(AvgLeaseTermMarket&lt;$A124,0,(AV$48-AM$48)*AM$109)</f>
        <v>1639.0903198419003</v>
      </c>
      <c r="AW124" s="227">
        <f t="shared" si="248"/>
        <v>1553.4335225317727</v>
      </c>
      <c r="AX124" s="227">
        <f t="shared" si="248"/>
        <v>1467.0393124834416</v>
      </c>
      <c r="AY124" s="227">
        <f t="shared" si="248"/>
        <v>919.93531871674861</v>
      </c>
      <c r="AZ124" s="227">
        <f t="shared" si="248"/>
        <v>1838.614335450955</v>
      </c>
      <c r="BA124" s="227">
        <f t="shared" si="248"/>
        <v>1593.6282439696379</v>
      </c>
      <c r="BB124" s="227">
        <f t="shared" si="248"/>
        <v>918.00812946942096</v>
      </c>
      <c r="BC124" s="227">
        <f t="shared" si="248"/>
        <v>920.0002071103678</v>
      </c>
      <c r="BD124" s="227">
        <f t="shared" si="248"/>
        <v>921.99660755979789</v>
      </c>
      <c r="BE124" s="227">
        <f t="shared" si="248"/>
        <v>1385.99601029731</v>
      </c>
      <c r="BF124" s="227">
        <f t="shared" si="248"/>
        <v>1364.0469289655784</v>
      </c>
      <c r="BG124" s="227">
        <f t="shared" si="248"/>
        <v>1341.953240096188</v>
      </c>
      <c r="BH124" s="227">
        <f t="shared" si="248"/>
        <v>1319.7142706951449</v>
      </c>
      <c r="BI124" s="227">
        <f t="shared" si="248"/>
        <v>1372.6067398253795</v>
      </c>
      <c r="BJ124" s="227">
        <f t="shared" si="248"/>
        <v>1425.8729291672275</v>
      </c>
      <c r="BK124" s="227">
        <f t="shared" si="248"/>
        <v>986.34326075351782</v>
      </c>
      <c r="BL124" s="227">
        <f t="shared" si="248"/>
        <v>2122.3280174629181</v>
      </c>
      <c r="BM124" s="227">
        <f t="shared" si="248"/>
        <v>1971.4225707877374</v>
      </c>
      <c r="BN124" s="227">
        <f t="shared" si="248"/>
        <v>1212.1991701059874</v>
      </c>
      <c r="BO124" s="227">
        <f t="shared" si="248"/>
        <v>1215.5509008113311</v>
      </c>
      <c r="BP124" s="227">
        <f t="shared" si="248"/>
        <v>1218.9118990520758</v>
      </c>
      <c r="BQ124" s="227">
        <f t="shared" si="248"/>
        <v>1833.4232856794354</v>
      </c>
      <c r="BR124" s="227">
        <f t="shared" si="248"/>
        <v>1763.2153062574523</v>
      </c>
      <c r="BS124" s="227">
        <f t="shared" si="248"/>
        <v>1692.5009887774047</v>
      </c>
      <c r="BT124" s="227">
        <f t="shared" si="248"/>
        <v>1621.2776383111718</v>
      </c>
      <c r="BU124" s="227">
        <f t="shared" si="248"/>
        <v>1628.0018873160714</v>
      </c>
      <c r="BV124" s="227">
        <f t="shared" si="248"/>
        <v>1634.754025143709</v>
      </c>
      <c r="BW124" s="227">
        <f t="shared" si="248"/>
        <v>1094.3561116419951</v>
      </c>
      <c r="BX124" s="227">
        <f t="shared" si="248"/>
        <v>2300.6835126627398</v>
      </c>
      <c r="BY124" s="227">
        <f t="shared" si="248"/>
        <v>2093.292518073079</v>
      </c>
      <c r="BZ124" s="227">
        <f t="shared" si="248"/>
        <v>1263.4383446800719</v>
      </c>
      <c r="CA124" s="227">
        <f t="shared" si="248"/>
        <v>1266.9317517031116</v>
      </c>
      <c r="CB124" s="227">
        <f t="shared" ref="CB124:DG124" si="249">IF(AvgLeaseTermMarket&lt;$A124,0,(CB$48-BS$48)*BS$109)</f>
        <v>1270.4348179965746</v>
      </c>
      <c r="CC124" s="227">
        <f t="shared" si="249"/>
        <v>1910.9213554025018</v>
      </c>
      <c r="CD124" s="227">
        <f t="shared" si="249"/>
        <v>1837.7457127426555</v>
      </c>
      <c r="CE124" s="227">
        <f t="shared" si="249"/>
        <v>1764.0423293173485</v>
      </c>
      <c r="CF124" s="227">
        <f t="shared" si="249"/>
        <v>1689.8083962849089</v>
      </c>
      <c r="CG124" s="227">
        <f t="shared" si="249"/>
        <v>1696.8168766085082</v>
      </c>
      <c r="CH124" s="227">
        <f t="shared" si="249"/>
        <v>1703.8544246042425</v>
      </c>
      <c r="CI124" s="227">
        <f t="shared" si="249"/>
        <v>1140.6141072201929</v>
      </c>
      <c r="CJ124" s="227">
        <f t="shared" si="249"/>
        <v>2397.9324854819383</v>
      </c>
      <c r="CK124" s="227">
        <f t="shared" si="249"/>
        <v>2181.7751564161053</v>
      </c>
      <c r="CL124" s="227">
        <f t="shared" si="249"/>
        <v>1316.8433786902913</v>
      </c>
      <c r="CM124" s="227">
        <f t="shared" si="249"/>
        <v>1320.4844506323666</v>
      </c>
      <c r="CN124" s="227">
        <f t="shared" si="249"/>
        <v>1324.1355901383636</v>
      </c>
      <c r="CO124" s="227">
        <f t="shared" si="249"/>
        <v>1991.6952375676397</v>
      </c>
      <c r="CP124" s="227">
        <f t="shared" si="249"/>
        <v>1915.42648973062</v>
      </c>
      <c r="CQ124" s="227">
        <f t="shared" si="249"/>
        <v>1838.6076937368439</v>
      </c>
      <c r="CR124" s="227">
        <f t="shared" si="249"/>
        <v>1761.235922016029</v>
      </c>
      <c r="CS124" s="227">
        <f t="shared" si="249"/>
        <v>1768.5406480025858</v>
      </c>
      <c r="CT124" s="227">
        <f t="shared" si="249"/>
        <v>1775.8756703401791</v>
      </c>
      <c r="CU124" s="227">
        <f t="shared" si="249"/>
        <v>1188.827409788614</v>
      </c>
      <c r="CV124" s="227">
        <f t="shared" si="249"/>
        <v>2499.2921335253445</v>
      </c>
      <c r="CW124" s="227">
        <f t="shared" si="249"/>
        <v>2273.9979205277318</v>
      </c>
      <c r="CX124" s="227">
        <f t="shared" si="249"/>
        <v>1372.5058221495908</v>
      </c>
      <c r="CY124" s="227">
        <f t="shared" si="249"/>
        <v>1376.300800747829</v>
      </c>
      <c r="CZ124" s="227">
        <f t="shared" si="249"/>
        <v>1380.1062724618912</v>
      </c>
      <c r="DA124" s="227">
        <f t="shared" si="249"/>
        <v>2075.8833994578754</v>
      </c>
      <c r="DB124" s="227">
        <f t="shared" si="249"/>
        <v>1996.390802123728</v>
      </c>
      <c r="DC124" s="227">
        <f t="shared" si="249"/>
        <v>1916.3249063170069</v>
      </c>
      <c r="DD124" s="227">
        <f t="shared" si="249"/>
        <v>1835.6826607202163</v>
      </c>
      <c r="DE124" s="227">
        <f t="shared" si="249"/>
        <v>1843.2961545555593</v>
      </c>
      <c r="DF124" s="227">
        <f t="shared" si="249"/>
        <v>1850.941225356582</v>
      </c>
      <c r="DG124" s="227">
        <f t="shared" si="249"/>
        <v>1239.0786693925002</v>
      </c>
      <c r="DH124" s="227">
        <f t="shared" ref="DH124:EH124" si="250">IF(AvgLeaseTermMarket&lt;$A124,0,(DH$48-CY$48)*CY$109)</f>
        <v>2604.9362133922959</v>
      </c>
      <c r="DI124" s="227">
        <f t="shared" si="250"/>
        <v>2370.1189040298345</v>
      </c>
      <c r="DJ124" s="227">
        <f t="shared" si="250"/>
        <v>1430.5210948534325</v>
      </c>
      <c r="DK124" s="227">
        <f t="shared" si="250"/>
        <v>1434.4764856807058</v>
      </c>
      <c r="DL124" s="227">
        <f t="shared" si="250"/>
        <v>1438.4428131636166</v>
      </c>
      <c r="DM124" s="227">
        <f t="shared" si="250"/>
        <v>2163.6301613130231</v>
      </c>
      <c r="DN124" s="227">
        <f t="shared" si="250"/>
        <v>2080.7774436516165</v>
      </c>
      <c r="DO124" s="227">
        <f t="shared" si="250"/>
        <v>1997.3271944202766</v>
      </c>
      <c r="DP124" s="227">
        <f t="shared" si="250"/>
        <v>1913.2762333235348</v>
      </c>
      <c r="DQ124" s="227">
        <f t="shared" si="250"/>
        <v>1921.211546501248</v>
      </c>
      <c r="DR124" s="227">
        <f t="shared" si="250"/>
        <v>1929.1797713903647</v>
      </c>
      <c r="DS124" s="227">
        <f t="shared" si="250"/>
        <v>1291.4540296614723</v>
      </c>
      <c r="DT124" s="227">
        <f t="shared" si="250"/>
        <v>2715.0458263041178</v>
      </c>
      <c r="DU124" s="227">
        <f t="shared" si="250"/>
        <v>2470.3028830984986</v>
      </c>
      <c r="DV124" s="227">
        <f t="shared" si="250"/>
        <v>1490.9886499538989</v>
      </c>
      <c r="DW124" s="227">
        <f t="shared" si="250"/>
        <v>1495.1112335710191</v>
      </c>
      <c r="DX124" s="227">
        <f t="shared" si="250"/>
        <v>1499.2452161318449</v>
      </c>
      <c r="DY124" s="227">
        <f t="shared" si="250"/>
        <v>2255.0859437316708</v>
      </c>
      <c r="DZ124" s="227">
        <f t="shared" si="250"/>
        <v>2168.7310747993492</v>
      </c>
      <c r="EA124" s="227">
        <f t="shared" si="250"/>
        <v>2081.75341687638</v>
      </c>
      <c r="EB124" s="227">
        <f t="shared" si="250"/>
        <v>1994.1496552374679</v>
      </c>
      <c r="EC124" s="227">
        <f t="shared" si="250"/>
        <v>2002.4203909325706</v>
      </c>
      <c r="ED124" s="227">
        <f t="shared" si="250"/>
        <v>2010.7254295039643</v>
      </c>
      <c r="EE124" s="227">
        <f t="shared" si="250"/>
        <v>1346.0432754818883</v>
      </c>
      <c r="EF124" s="227">
        <f t="shared" si="250"/>
        <v>2829.8097285582903</v>
      </c>
      <c r="EG124" s="227">
        <f t="shared" si="250"/>
        <v>2574.7215989328615</v>
      </c>
      <c r="EH124" s="227">
        <f t="shared" si="250"/>
        <v>1554.0121444480289</v>
      </c>
      <c r="EK124" s="280"/>
    </row>
    <row r="125" spans="1:141" x14ac:dyDescent="0.3">
      <c r="A125">
        <v>10</v>
      </c>
      <c r="E125" s="200"/>
      <c r="F125" s="200"/>
      <c r="G125" s="229"/>
      <c r="H125" s="229"/>
      <c r="I125" s="229"/>
      <c r="J125" s="229"/>
      <c r="K125" s="229"/>
      <c r="L125" s="229"/>
      <c r="M125" s="229"/>
      <c r="N125" s="229"/>
      <c r="O125" s="229"/>
      <c r="P125" s="229"/>
      <c r="Q125" s="227">
        <f t="shared" ref="Q125:AV125" si="251">IF(AvgLeaseTermMarket&lt;$A125,0,(Q$48-G$48)*G$109)</f>
        <v>0</v>
      </c>
      <c r="R125" s="227">
        <f t="shared" si="251"/>
        <v>0</v>
      </c>
      <c r="S125" s="227">
        <f t="shared" si="251"/>
        <v>0</v>
      </c>
      <c r="T125" s="227">
        <f t="shared" si="251"/>
        <v>0</v>
      </c>
      <c r="U125" s="227">
        <f t="shared" si="251"/>
        <v>0</v>
      </c>
      <c r="V125" s="227">
        <f t="shared" si="251"/>
        <v>0</v>
      </c>
      <c r="W125" s="227">
        <f t="shared" si="251"/>
        <v>0</v>
      </c>
      <c r="X125" s="227">
        <f t="shared" si="251"/>
        <v>0</v>
      </c>
      <c r="Y125" s="227">
        <f t="shared" si="251"/>
        <v>0</v>
      </c>
      <c r="Z125" s="227">
        <f t="shared" si="251"/>
        <v>0</v>
      </c>
      <c r="AA125" s="227">
        <f t="shared" si="251"/>
        <v>0</v>
      </c>
      <c r="AB125" s="227">
        <f t="shared" si="251"/>
        <v>0</v>
      </c>
      <c r="AC125" s="227">
        <f t="shared" si="251"/>
        <v>1342.637106057565</v>
      </c>
      <c r="AD125" s="227">
        <f t="shared" si="251"/>
        <v>1473.1246553745864</v>
      </c>
      <c r="AE125" s="227">
        <f t="shared" si="251"/>
        <v>1543.7957664267269</v>
      </c>
      <c r="AF125" s="227">
        <f t="shared" si="251"/>
        <v>1549.5181027342842</v>
      </c>
      <c r="AG125" s="227">
        <f t="shared" si="251"/>
        <v>1555.2616498350872</v>
      </c>
      <c r="AH125" s="227">
        <f t="shared" si="251"/>
        <v>2324.3068894491389</v>
      </c>
      <c r="AI125" s="227">
        <f t="shared" si="251"/>
        <v>2227.5003242477947</v>
      </c>
      <c r="AJ125" s="227">
        <f t="shared" si="251"/>
        <v>2129.7868227132726</v>
      </c>
      <c r="AK125" s="227">
        <f t="shared" si="251"/>
        <v>2115.517740326773</v>
      </c>
      <c r="AL125" s="227">
        <f t="shared" si="251"/>
        <v>2101.03772392871</v>
      </c>
      <c r="AM125" s="227">
        <f t="shared" si="251"/>
        <v>2086.3449374725028</v>
      </c>
      <c r="AN125" s="227">
        <f t="shared" si="251"/>
        <v>1380.9583542402274</v>
      </c>
      <c r="AO125" s="227">
        <f t="shared" si="251"/>
        <v>2863.2348342206678</v>
      </c>
      <c r="AP125" s="227">
        <f t="shared" si="251"/>
        <v>2572.0618478852462</v>
      </c>
      <c r="AQ125" s="227">
        <f t="shared" si="251"/>
        <v>1476.2294974530189</v>
      </c>
      <c r="AR125" s="227">
        <f t="shared" si="251"/>
        <v>1481.1896285644639</v>
      </c>
      <c r="AS125" s="227">
        <f t="shared" si="251"/>
        <v>1486.1664257164405</v>
      </c>
      <c r="AT125" s="227">
        <f t="shared" si="251"/>
        <v>2174.5338830306227</v>
      </c>
      <c r="AU125" s="227">
        <f t="shared" si="251"/>
        <v>2035.1416586016874</v>
      </c>
      <c r="AV125" s="227">
        <f t="shared" si="251"/>
        <v>1894.7206337924513</v>
      </c>
      <c r="AW125" s="227">
        <f t="shared" ref="AW125:CB125" si="252">IF(AvgLeaseTermMarket&lt;$A125,0,(AW$48-AM$48)*AM$109)</f>
        <v>1810.3522132646283</v>
      </c>
      <c r="AX125" s="227">
        <f t="shared" si="252"/>
        <v>1725.252873417593</v>
      </c>
      <c r="AY125" s="227">
        <f t="shared" si="252"/>
        <v>1639.4179353563884</v>
      </c>
      <c r="AZ125" s="227">
        <f t="shared" si="252"/>
        <v>1035.2284622436841</v>
      </c>
      <c r="BA125" s="227">
        <f t="shared" si="252"/>
        <v>2069.9511808691909</v>
      </c>
      <c r="BB125" s="227">
        <f t="shared" si="252"/>
        <v>1794.9339514111173</v>
      </c>
      <c r="BC125" s="227">
        <f t="shared" si="252"/>
        <v>995.62322923660838</v>
      </c>
      <c r="BD125" s="227">
        <f t="shared" si="252"/>
        <v>997.78373164404843</v>
      </c>
      <c r="BE125" s="227">
        <f t="shared" si="252"/>
        <v>999.94892234172073</v>
      </c>
      <c r="BF125" s="227">
        <f t="shared" si="252"/>
        <v>1535.3088223883067</v>
      </c>
      <c r="BG125" s="227">
        <f t="shared" si="252"/>
        <v>1513.7725909820083</v>
      </c>
      <c r="BH125" s="227">
        <f t="shared" si="252"/>
        <v>1492.092893568092</v>
      </c>
      <c r="BI125" s="227">
        <f t="shared" si="252"/>
        <v>1545.5464551157827</v>
      </c>
      <c r="BJ125" s="227">
        <f t="shared" si="252"/>
        <v>1599.3755632309046</v>
      </c>
      <c r="BK125" s="227">
        <f t="shared" si="252"/>
        <v>1653.5822762678249</v>
      </c>
      <c r="BL125" s="227">
        <f t="shared" si="252"/>
        <v>1138.7791084986463</v>
      </c>
      <c r="BM125" s="227">
        <f t="shared" si="252"/>
        <v>2428.4641683102282</v>
      </c>
      <c r="BN125" s="227">
        <f t="shared" si="252"/>
        <v>2238.0544508680564</v>
      </c>
      <c r="BO125" s="227">
        <f t="shared" si="252"/>
        <v>1315.092775538662</v>
      </c>
      <c r="BP125" s="227">
        <f t="shared" si="252"/>
        <v>1318.729007063029</v>
      </c>
      <c r="BQ125" s="227">
        <f t="shared" si="252"/>
        <v>1322.3752927675596</v>
      </c>
      <c r="BR125" s="227">
        <f t="shared" si="252"/>
        <v>1989.0474906780901</v>
      </c>
      <c r="BS125" s="227">
        <f t="shared" si="252"/>
        <v>1919.2698121829299</v>
      </c>
      <c r="BT125" s="227">
        <f t="shared" si="252"/>
        <v>1848.9869854117692</v>
      </c>
      <c r="BU125" s="227">
        <f t="shared" si="252"/>
        <v>1856.6556589337642</v>
      </c>
      <c r="BV125" s="227">
        <f t="shared" si="252"/>
        <v>1864.3561382791913</v>
      </c>
      <c r="BW125" s="227">
        <f t="shared" si="252"/>
        <v>1872.0885553627077</v>
      </c>
      <c r="BX125" s="227">
        <f t="shared" si="252"/>
        <v>1253.2353617640445</v>
      </c>
      <c r="BY125" s="227">
        <f t="shared" si="252"/>
        <v>2619.7599162866086</v>
      </c>
      <c r="BZ125" s="227">
        <f t="shared" si="252"/>
        <v>2371.194821188958</v>
      </c>
      <c r="CA125" s="227">
        <f t="shared" si="252"/>
        <v>1370.6812217022148</v>
      </c>
      <c r="CB125" s="227">
        <f t="shared" si="252"/>
        <v>1374.4711552802262</v>
      </c>
      <c r="CC125" s="227">
        <f t="shared" ref="CC125:DH125" si="253">IF(AvgLeaseTermMarket&lt;$A125,0,(CC$48-BS$48)*BS$109)</f>
        <v>1378.2715680245776</v>
      </c>
      <c r="CD125" s="227">
        <f t="shared" si="253"/>
        <v>2073.123733365248</v>
      </c>
      <c r="CE125" s="227">
        <f t="shared" si="253"/>
        <v>2000.3965802804685</v>
      </c>
      <c r="CF125" s="227">
        <f t="shared" si="253"/>
        <v>1927.1429265039076</v>
      </c>
      <c r="CG125" s="227">
        <f t="shared" si="253"/>
        <v>1935.1357517915824</v>
      </c>
      <c r="CH125" s="227">
        <f t="shared" si="253"/>
        <v>1943.1617273221441</v>
      </c>
      <c r="CI125" s="227">
        <f t="shared" si="253"/>
        <v>1951.2209905862132</v>
      </c>
      <c r="CJ125" s="227">
        <f t="shared" si="253"/>
        <v>1306.2091197631119</v>
      </c>
      <c r="CK125" s="227">
        <f t="shared" si="253"/>
        <v>2730.4961211968157</v>
      </c>
      <c r="CL125" s="227">
        <f t="shared" si="253"/>
        <v>2471.4242788460419</v>
      </c>
      <c r="CM125" s="227">
        <f t="shared" si="253"/>
        <v>1428.6193692741974</v>
      </c>
      <c r="CN125" s="227">
        <f t="shared" si="253"/>
        <v>1432.5695018302388</v>
      </c>
      <c r="CO125" s="227">
        <f t="shared" si="253"/>
        <v>1436.5305565027993</v>
      </c>
      <c r="CP125" s="227">
        <f t="shared" si="253"/>
        <v>2160.7538452372937</v>
      </c>
      <c r="CQ125" s="227">
        <f t="shared" si="253"/>
        <v>2084.9525444504798</v>
      </c>
      <c r="CR125" s="227">
        <f t="shared" si="253"/>
        <v>2008.6024879979998</v>
      </c>
      <c r="CS125" s="227">
        <f t="shared" si="253"/>
        <v>2016.9331668169643</v>
      </c>
      <c r="CT125" s="227">
        <f t="shared" si="253"/>
        <v>2025.298397126337</v>
      </c>
      <c r="CU125" s="227">
        <f t="shared" si="253"/>
        <v>2033.6983222284225</v>
      </c>
      <c r="CV125" s="227">
        <f t="shared" si="253"/>
        <v>1361.4220573465784</v>
      </c>
      <c r="CW125" s="227">
        <f t="shared" si="253"/>
        <v>2845.9131012427679</v>
      </c>
      <c r="CX125" s="227">
        <f t="shared" si="253"/>
        <v>2575.890395630583</v>
      </c>
      <c r="CY125" s="227">
        <f t="shared" si="253"/>
        <v>1489.0065391942649</v>
      </c>
      <c r="CZ125" s="227">
        <f t="shared" si="253"/>
        <v>1493.123642275131</v>
      </c>
      <c r="DA125" s="227">
        <f t="shared" si="253"/>
        <v>1497.2521291460209</v>
      </c>
      <c r="DB125" s="227">
        <f t="shared" si="253"/>
        <v>2252.0880469246636</v>
      </c>
      <c r="DC125" s="227">
        <f t="shared" si="253"/>
        <v>2173.0826554407581</v>
      </c>
      <c r="DD125" s="227">
        <f t="shared" si="253"/>
        <v>2093.5053126084599</v>
      </c>
      <c r="DE125" s="227">
        <f t="shared" si="253"/>
        <v>2102.1881258925059</v>
      </c>
      <c r="DF125" s="227">
        <f t="shared" si="253"/>
        <v>2110.9069511446496</v>
      </c>
      <c r="DG125" s="227">
        <f t="shared" si="253"/>
        <v>2119.6619377245224</v>
      </c>
      <c r="DH125" s="227">
        <f t="shared" si="253"/>
        <v>1418.968823740822</v>
      </c>
      <c r="DI125" s="227">
        <f t="shared" ref="DI125:EH125" si="254">IF(AvgLeaseTermMarket&lt;$A125,0,(DI$48-CY$48)*CY$109)</f>
        <v>2966.2087109192639</v>
      </c>
      <c r="DJ125" s="227">
        <f t="shared" si="254"/>
        <v>2684.7722534311333</v>
      </c>
      <c r="DK125" s="227">
        <f t="shared" si="254"/>
        <v>1551.9462506585646</v>
      </c>
      <c r="DL125" s="227">
        <f t="shared" si="254"/>
        <v>1556.2373820416367</v>
      </c>
      <c r="DM125" s="227">
        <f t="shared" si="254"/>
        <v>1560.5403784029841</v>
      </c>
      <c r="DN125" s="227">
        <f t="shared" si="254"/>
        <v>2347.2829088239059</v>
      </c>
      <c r="DO125" s="227">
        <f t="shared" si="254"/>
        <v>2264.9379910093667</v>
      </c>
      <c r="DP125" s="227">
        <f t="shared" si="254"/>
        <v>2181.996945691475</v>
      </c>
      <c r="DQ125" s="227">
        <f t="shared" si="254"/>
        <v>2191.0467780237304</v>
      </c>
      <c r="DR125" s="227">
        <f t="shared" si="254"/>
        <v>2200.1341445355906</v>
      </c>
      <c r="DS125" s="227">
        <f t="shared" si="254"/>
        <v>2209.2592009000568</v>
      </c>
      <c r="DT125" s="227">
        <f t="shared" si="254"/>
        <v>1478.9480689571908</v>
      </c>
      <c r="DU125" s="227">
        <f t="shared" si="254"/>
        <v>3091.5891679515148</v>
      </c>
      <c r="DV125" s="227">
        <f t="shared" si="254"/>
        <v>2798.2565038560979</v>
      </c>
      <c r="DW125" s="227">
        <f t="shared" si="254"/>
        <v>1617.5463985782742</v>
      </c>
      <c r="DX125" s="227">
        <f t="shared" si="254"/>
        <v>1622.0189143703451</v>
      </c>
      <c r="DY125" s="227">
        <f t="shared" si="254"/>
        <v>1626.50379666858</v>
      </c>
      <c r="DZ125" s="227">
        <f t="shared" si="254"/>
        <v>2446.5016194995451</v>
      </c>
      <c r="EA125" s="227">
        <f t="shared" si="254"/>
        <v>2360.6760149107226</v>
      </c>
      <c r="EB125" s="227">
        <f t="shared" si="254"/>
        <v>2274.22908474716</v>
      </c>
      <c r="EC125" s="227">
        <f t="shared" si="254"/>
        <v>2283.6614498761483</v>
      </c>
      <c r="ED125" s="227">
        <f t="shared" si="254"/>
        <v>2293.132935739512</v>
      </c>
      <c r="EE125" s="227">
        <f t="shared" si="254"/>
        <v>2302.6437045904918</v>
      </c>
      <c r="EF125" s="227">
        <f t="shared" si="254"/>
        <v>1541.4626129035205</v>
      </c>
      <c r="EG125" s="227">
        <f t="shared" si="254"/>
        <v>3222.269406805473</v>
      </c>
      <c r="EH125" s="227">
        <f t="shared" si="254"/>
        <v>2916.5376882027381</v>
      </c>
      <c r="EK125" s="672"/>
    </row>
    <row r="126" spans="1:141" x14ac:dyDescent="0.3">
      <c r="A126">
        <v>11</v>
      </c>
      <c r="E126" s="200"/>
      <c r="F126" s="200"/>
      <c r="G126" s="229"/>
      <c r="H126" s="229"/>
      <c r="I126" s="229"/>
      <c r="J126" s="229"/>
      <c r="K126" s="229"/>
      <c r="L126" s="229"/>
      <c r="M126" s="229"/>
      <c r="N126" s="229"/>
      <c r="O126" s="229"/>
      <c r="P126" s="229"/>
      <c r="Q126" s="229"/>
      <c r="R126" s="227">
        <f t="shared" ref="R126:AW126" si="255">IF(AvgLeaseTermMarket&lt;$A126,0,(R$48-G$48)*G$109)</f>
        <v>0</v>
      </c>
      <c r="S126" s="227">
        <f t="shared" si="255"/>
        <v>0</v>
      </c>
      <c r="T126" s="227">
        <f t="shared" si="255"/>
        <v>0</v>
      </c>
      <c r="U126" s="227">
        <f t="shared" si="255"/>
        <v>0</v>
      </c>
      <c r="V126" s="227">
        <f t="shared" si="255"/>
        <v>0</v>
      </c>
      <c r="W126" s="227">
        <f t="shared" si="255"/>
        <v>0</v>
      </c>
      <c r="X126" s="227">
        <f t="shared" si="255"/>
        <v>0</v>
      </c>
      <c r="Y126" s="227">
        <f t="shared" si="255"/>
        <v>0</v>
      </c>
      <c r="Z126" s="227">
        <f t="shared" si="255"/>
        <v>0</v>
      </c>
      <c r="AA126" s="227">
        <f t="shared" si="255"/>
        <v>0</v>
      </c>
      <c r="AB126" s="227">
        <f t="shared" si="255"/>
        <v>0</v>
      </c>
      <c r="AC126" s="227">
        <f t="shared" si="255"/>
        <v>0</v>
      </c>
      <c r="AD126" s="227">
        <f t="shared" si="255"/>
        <v>1523.8545039542435</v>
      </c>
      <c r="AE126" s="227">
        <f t="shared" si="255"/>
        <v>1594.6079664605809</v>
      </c>
      <c r="AF126" s="227">
        <f t="shared" si="255"/>
        <v>1665.7293756524793</v>
      </c>
      <c r="AG126" s="227">
        <f t="shared" si="255"/>
        <v>1671.9036792048973</v>
      </c>
      <c r="AH126" s="227">
        <f t="shared" si="255"/>
        <v>1666.6123087914334</v>
      </c>
      <c r="AI126" s="227">
        <f t="shared" si="255"/>
        <v>2491.8940852047976</v>
      </c>
      <c r="AJ126" s="227">
        <f t="shared" si="255"/>
        <v>2395.6506129811928</v>
      </c>
      <c r="AK126" s="227">
        <f t="shared" si="255"/>
        <v>2382.8597332685836</v>
      </c>
      <c r="AL126" s="227">
        <f t="shared" si="255"/>
        <v>2369.8661383512799</v>
      </c>
      <c r="AM126" s="227">
        <f t="shared" si="255"/>
        <v>2356.6680378792612</v>
      </c>
      <c r="AN126" s="227">
        <f t="shared" si="255"/>
        <v>2343.2636282053586</v>
      </c>
      <c r="AO126" s="227">
        <f t="shared" si="255"/>
        <v>1553.1007281963284</v>
      </c>
      <c r="AP126" s="227">
        <f t="shared" si="255"/>
        <v>3209.2547772623557</v>
      </c>
      <c r="AQ126" s="227">
        <f t="shared" si="255"/>
        <v>2773.1530935147462</v>
      </c>
      <c r="AR126" s="227">
        <f t="shared" si="255"/>
        <v>1592.5402875208099</v>
      </c>
      <c r="AS126" s="227">
        <f t="shared" si="255"/>
        <v>1597.8912228868794</v>
      </c>
      <c r="AT126" s="227">
        <f t="shared" si="255"/>
        <v>1561.7894478426811</v>
      </c>
      <c r="AU126" s="227">
        <f t="shared" si="255"/>
        <v>2288.2145691569986</v>
      </c>
      <c r="AV126" s="227">
        <f t="shared" si="255"/>
        <v>2149.0690318169582</v>
      </c>
      <c r="AW126" s="227">
        <f t="shared" si="255"/>
        <v>2065.9825272151793</v>
      </c>
      <c r="AX126" s="227">
        <f t="shared" ref="AX126:CC126" si="256">IF(AvgLeaseTermMarket&lt;$A126,0,(AX$48-AM$48)*AM$109)</f>
        <v>1982.1715641504486</v>
      </c>
      <c r="AY126" s="227">
        <f t="shared" si="256"/>
        <v>1897.6314962905401</v>
      </c>
      <c r="AZ126" s="227">
        <f t="shared" si="256"/>
        <v>1812.3576506467916</v>
      </c>
      <c r="BA126" s="227">
        <f t="shared" si="256"/>
        <v>1150.8968849528021</v>
      </c>
      <c r="BB126" s="227">
        <f t="shared" si="256"/>
        <v>2302.0410277192555</v>
      </c>
      <c r="BC126" s="227">
        <f t="shared" si="256"/>
        <v>1929.5745897572522</v>
      </c>
      <c r="BD126" s="227">
        <f t="shared" si="256"/>
        <v>1073.406753770289</v>
      </c>
      <c r="BE126" s="227">
        <f t="shared" si="256"/>
        <v>1075.7360464259714</v>
      </c>
      <c r="BF126" s="227">
        <f t="shared" si="256"/>
        <v>1099.4907970690517</v>
      </c>
      <c r="BG126" s="227">
        <f t="shared" si="256"/>
        <v>1685.0344844047363</v>
      </c>
      <c r="BH126" s="227">
        <f t="shared" si="256"/>
        <v>1663.9122444539121</v>
      </c>
      <c r="BI126" s="227">
        <f t="shared" si="256"/>
        <v>1717.9250779887295</v>
      </c>
      <c r="BJ126" s="227">
        <f t="shared" si="256"/>
        <v>1772.3152785213076</v>
      </c>
      <c r="BK126" s="227">
        <f t="shared" si="256"/>
        <v>1827.0849103315018</v>
      </c>
      <c r="BL126" s="227">
        <f t="shared" si="256"/>
        <v>1882.2360478855176</v>
      </c>
      <c r="BM126" s="227">
        <f t="shared" si="256"/>
        <v>1291.8471839223014</v>
      </c>
      <c r="BN126" s="227">
        <f t="shared" si="256"/>
        <v>2735.8700188431817</v>
      </c>
      <c r="BO126" s="227">
        <f t="shared" si="256"/>
        <v>2416.5462747366823</v>
      </c>
      <c r="BP126" s="227">
        <f t="shared" si="256"/>
        <v>1418.2708817903601</v>
      </c>
      <c r="BQ126" s="227">
        <f t="shared" si="256"/>
        <v>1422.1924007785128</v>
      </c>
      <c r="BR126" s="227">
        <f t="shared" si="256"/>
        <v>1426.1247627666628</v>
      </c>
      <c r="BS126" s="227">
        <f t="shared" si="256"/>
        <v>2145.1019966035674</v>
      </c>
      <c r="BT126" s="227">
        <f t="shared" si="256"/>
        <v>2075.7558088172941</v>
      </c>
      <c r="BU126" s="227">
        <f t="shared" si="256"/>
        <v>2084.3650060343616</v>
      </c>
      <c r="BV126" s="227">
        <f t="shared" si="256"/>
        <v>2093.009909896884</v>
      </c>
      <c r="BW126" s="227">
        <f t="shared" si="256"/>
        <v>2101.69066849819</v>
      </c>
      <c r="BX126" s="227">
        <f t="shared" si="256"/>
        <v>2110.4074305457816</v>
      </c>
      <c r="BY126" s="227">
        <f t="shared" si="256"/>
        <v>1412.7735635759789</v>
      </c>
      <c r="BZ126" s="227">
        <f t="shared" si="256"/>
        <v>2940.1596892945076</v>
      </c>
      <c r="CA126" s="227">
        <f t="shared" si="256"/>
        <v>2557.2314231343144</v>
      </c>
      <c r="CB126" s="227">
        <f t="shared" si="256"/>
        <v>1478.2206252793294</v>
      </c>
      <c r="CC126" s="227">
        <f t="shared" si="256"/>
        <v>1482.3079053082292</v>
      </c>
      <c r="CD126" s="227">
        <f t="shared" ref="CD126:DI126" si="257">IF(AvgLeaseTermMarket&lt;$A126,0,(CD$48-BS$48)*BS$109)</f>
        <v>1486.4064866664085</v>
      </c>
      <c r="CE126" s="227">
        <f t="shared" si="257"/>
        <v>2235.7746009030611</v>
      </c>
      <c r="CF126" s="227">
        <f t="shared" si="257"/>
        <v>2163.4971774670275</v>
      </c>
      <c r="CG126" s="227">
        <f t="shared" si="257"/>
        <v>2172.4702820105813</v>
      </c>
      <c r="CH126" s="227">
        <f t="shared" si="257"/>
        <v>2181.4806025052185</v>
      </c>
      <c r="CI126" s="227">
        <f t="shared" si="257"/>
        <v>2190.5282933041149</v>
      </c>
      <c r="CJ126" s="227">
        <f t="shared" si="257"/>
        <v>2199.6135094005917</v>
      </c>
      <c r="CK126" s="227">
        <f t="shared" si="257"/>
        <v>1472.4909376205505</v>
      </c>
      <c r="CL126" s="227">
        <f t="shared" si="257"/>
        <v>3064.4390645908179</v>
      </c>
      <c r="CM126" s="227">
        <f t="shared" si="257"/>
        <v>2665.3245736228459</v>
      </c>
      <c r="CN126" s="227">
        <f t="shared" si="257"/>
        <v>1540.7044204720696</v>
      </c>
      <c r="CO126" s="227">
        <f t="shared" si="257"/>
        <v>1544.9644681946745</v>
      </c>
      <c r="CP126" s="227">
        <f t="shared" si="257"/>
        <v>1549.2362949492351</v>
      </c>
      <c r="CQ126" s="227">
        <f t="shared" si="257"/>
        <v>2330.2798999571532</v>
      </c>
      <c r="CR126" s="227">
        <f t="shared" si="257"/>
        <v>2254.9473387116359</v>
      </c>
      <c r="CS126" s="227">
        <f t="shared" si="257"/>
        <v>2264.2997327989351</v>
      </c>
      <c r="CT126" s="227">
        <f t="shared" si="257"/>
        <v>2273.6909159407155</v>
      </c>
      <c r="CU126" s="227">
        <f t="shared" si="257"/>
        <v>2283.1210490145804</v>
      </c>
      <c r="CV126" s="227">
        <f t="shared" si="257"/>
        <v>2292.5902935653689</v>
      </c>
      <c r="CW126" s="227">
        <f t="shared" si="257"/>
        <v>1534.7325412052903</v>
      </c>
      <c r="CX126" s="227">
        <f t="shared" si="257"/>
        <v>3193.9716794237975</v>
      </c>
      <c r="CY126" s="227">
        <f t="shared" si="257"/>
        <v>2777.9867783928025</v>
      </c>
      <c r="CZ126" s="227">
        <f t="shared" si="257"/>
        <v>1605.8293807215668</v>
      </c>
      <c r="DA126" s="227">
        <f t="shared" si="257"/>
        <v>1610.2694989592608</v>
      </c>
      <c r="DB126" s="227">
        <f t="shared" si="257"/>
        <v>1614.7218941238796</v>
      </c>
      <c r="DC126" s="227">
        <f t="shared" si="257"/>
        <v>2428.7799002416937</v>
      </c>
      <c r="DD126" s="227">
        <f t="shared" si="257"/>
        <v>2350.2630617322111</v>
      </c>
      <c r="DE126" s="227">
        <f t="shared" si="257"/>
        <v>2360.0107777807493</v>
      </c>
      <c r="DF126" s="227">
        <f t="shared" si="257"/>
        <v>2369.798922481596</v>
      </c>
      <c r="DG126" s="227">
        <f t="shared" si="257"/>
        <v>2379.6276635125901</v>
      </c>
      <c r="DH126" s="227">
        <f t="shared" si="257"/>
        <v>2389.4971692470049</v>
      </c>
      <c r="DI126" s="227">
        <f t="shared" si="257"/>
        <v>1599.605072504306</v>
      </c>
      <c r="DJ126" s="227">
        <f t="shared" ref="DJ126:EH126" si="258">IF(AvgLeaseTermMarket&lt;$A126,0,(DJ$48-CY$48)*CY$109)</f>
        <v>3328.9795861297289</v>
      </c>
      <c r="DK126" s="227">
        <f t="shared" si="258"/>
        <v>2895.411169543092</v>
      </c>
      <c r="DL126" s="227">
        <f t="shared" si="258"/>
        <v>1673.7071470194956</v>
      </c>
      <c r="DM126" s="227">
        <f t="shared" si="258"/>
        <v>1678.3349472810041</v>
      </c>
      <c r="DN126" s="227">
        <f t="shared" si="258"/>
        <v>1682.9755434102394</v>
      </c>
      <c r="DO126" s="227">
        <f t="shared" si="258"/>
        <v>2531.4434561816561</v>
      </c>
      <c r="DP126" s="227">
        <f t="shared" si="258"/>
        <v>2449.6077422805656</v>
      </c>
      <c r="DQ126" s="227">
        <f t="shared" si="258"/>
        <v>2459.7674903916709</v>
      </c>
      <c r="DR126" s="227">
        <f t="shared" si="258"/>
        <v>2469.9693760580735</v>
      </c>
      <c r="DS126" s="227">
        <f t="shared" si="258"/>
        <v>2480.2135740452827</v>
      </c>
      <c r="DT126" s="227">
        <f t="shared" si="258"/>
        <v>2490.5002598436345</v>
      </c>
      <c r="DU126" s="227">
        <f t="shared" si="258"/>
        <v>1667.2197397808893</v>
      </c>
      <c r="DV126" s="227">
        <f t="shared" si="258"/>
        <v>3469.6942231083945</v>
      </c>
      <c r="DW126" s="227">
        <f t="shared" si="258"/>
        <v>3017.7990427892159</v>
      </c>
      <c r="DX126" s="227">
        <f t="shared" si="258"/>
        <v>1744.4540793776002</v>
      </c>
      <c r="DY126" s="227">
        <f t="shared" si="258"/>
        <v>1749.2774949070802</v>
      </c>
      <c r="DZ126" s="227">
        <f t="shared" si="258"/>
        <v>1754.114247180496</v>
      </c>
      <c r="EA126" s="227">
        <f t="shared" si="258"/>
        <v>2638.4465596109185</v>
      </c>
      <c r="EB126" s="227">
        <f t="shared" si="258"/>
        <v>2553.1516827815026</v>
      </c>
      <c r="EC126" s="227">
        <f t="shared" si="258"/>
        <v>2563.7408793858408</v>
      </c>
      <c r="ED126" s="227">
        <f t="shared" si="258"/>
        <v>2574.3739946830897</v>
      </c>
      <c r="EE126" s="227">
        <f t="shared" si="258"/>
        <v>2585.0512108260396</v>
      </c>
      <c r="EF126" s="227">
        <f t="shared" si="258"/>
        <v>2595.7727107229402</v>
      </c>
      <c r="EG126" s="227">
        <f t="shared" si="258"/>
        <v>1737.6924520271118</v>
      </c>
      <c r="EH126" s="227">
        <f t="shared" si="258"/>
        <v>3616.3568115681805</v>
      </c>
      <c r="EK126" s="280"/>
    </row>
    <row r="127" spans="1:141" x14ac:dyDescent="0.3">
      <c r="A127">
        <v>12</v>
      </c>
      <c r="E127" s="200"/>
      <c r="F127" s="200"/>
      <c r="G127" s="229"/>
      <c r="H127" s="229"/>
      <c r="I127" s="229"/>
      <c r="J127" s="229"/>
      <c r="K127" s="229"/>
      <c r="L127" s="229"/>
      <c r="M127" s="229"/>
      <c r="N127" s="229"/>
      <c r="O127" s="229"/>
      <c r="P127" s="229"/>
      <c r="Q127" s="229"/>
      <c r="R127" s="229"/>
      <c r="S127" s="227">
        <f t="shared" ref="S127:AX127" si="259">IF(AvgLeaseTermMarket&lt;$A127,0,(S$48-G$48)*G$109)</f>
        <v>0</v>
      </c>
      <c r="T127" s="227">
        <f t="shared" si="259"/>
        <v>0</v>
      </c>
      <c r="U127" s="227">
        <f t="shared" si="259"/>
        <v>0</v>
      </c>
      <c r="V127" s="227">
        <f t="shared" si="259"/>
        <v>0</v>
      </c>
      <c r="W127" s="227">
        <f t="shared" si="259"/>
        <v>0</v>
      </c>
      <c r="X127" s="227">
        <f t="shared" si="259"/>
        <v>0</v>
      </c>
      <c r="Y127" s="227">
        <f t="shared" si="259"/>
        <v>0</v>
      </c>
      <c r="Z127" s="227">
        <f t="shared" si="259"/>
        <v>0</v>
      </c>
      <c r="AA127" s="227">
        <f t="shared" si="259"/>
        <v>0</v>
      </c>
      <c r="AB127" s="227">
        <f t="shared" si="259"/>
        <v>0</v>
      </c>
      <c r="AC127" s="227">
        <f t="shared" si="259"/>
        <v>0</v>
      </c>
      <c r="AD127" s="227">
        <f t="shared" si="259"/>
        <v>0</v>
      </c>
      <c r="AE127" s="227">
        <f t="shared" si="259"/>
        <v>1645.337815040238</v>
      </c>
      <c r="AF127" s="227">
        <f t="shared" si="259"/>
        <v>1716.5415756863331</v>
      </c>
      <c r="AG127" s="227">
        <f t="shared" si="259"/>
        <v>1788.1149521230925</v>
      </c>
      <c r="AH127" s="227">
        <f t="shared" si="259"/>
        <v>1783.2543381612436</v>
      </c>
      <c r="AI127" s="227">
        <f t="shared" si="259"/>
        <v>1778.3371059618723</v>
      </c>
      <c r="AJ127" s="227">
        <f t="shared" si="259"/>
        <v>2660.0443739381958</v>
      </c>
      <c r="AK127" s="227">
        <f t="shared" si="259"/>
        <v>2648.7235235365042</v>
      </c>
      <c r="AL127" s="227">
        <f t="shared" si="259"/>
        <v>2637.2081312930909</v>
      </c>
      <c r="AM127" s="227">
        <f t="shared" si="259"/>
        <v>2625.4964523018311</v>
      </c>
      <c r="AN127" s="227">
        <f t="shared" si="259"/>
        <v>2613.586728612117</v>
      </c>
      <c r="AO127" s="227">
        <f t="shared" si="259"/>
        <v>2601.4771891395098</v>
      </c>
      <c r="AP127" s="227">
        <f t="shared" si="259"/>
        <v>1726.1106997171723</v>
      </c>
      <c r="AQ127" s="227">
        <f t="shared" si="259"/>
        <v>3441.0973662987685</v>
      </c>
      <c r="AR127" s="227">
        <f t="shared" si="259"/>
        <v>2974.920005729567</v>
      </c>
      <c r="AS127" s="227">
        <f t="shared" si="259"/>
        <v>1709.2418818432257</v>
      </c>
      <c r="AT127" s="227">
        <f t="shared" si="259"/>
        <v>1673.51424501312</v>
      </c>
      <c r="AU127" s="227">
        <f t="shared" si="259"/>
        <v>1637.5765719269316</v>
      </c>
      <c r="AV127" s="227">
        <f t="shared" si="259"/>
        <v>2402.1419423722696</v>
      </c>
      <c r="AW127" s="227">
        <f t="shared" si="259"/>
        <v>2320.3309252396862</v>
      </c>
      <c r="AX127" s="227">
        <f t="shared" si="259"/>
        <v>2237.8018781009996</v>
      </c>
      <c r="AY127" s="227">
        <f t="shared" ref="AY127:CD127" si="260">IF(AvgLeaseTermMarket&lt;$A127,0,(AY$48-AM$48)*AM$109)</f>
        <v>2154.5501870233957</v>
      </c>
      <c r="AZ127" s="227">
        <f t="shared" si="260"/>
        <v>2070.5712115809433</v>
      </c>
      <c r="BA127" s="227">
        <f t="shared" si="260"/>
        <v>1985.8602847104687</v>
      </c>
      <c r="BB127" s="227">
        <f t="shared" si="260"/>
        <v>1266.9418083778344</v>
      </c>
      <c r="BC127" s="227">
        <f t="shared" si="260"/>
        <v>2457.2712272536301</v>
      </c>
      <c r="BD127" s="227">
        <f t="shared" si="260"/>
        <v>2064.5073982885951</v>
      </c>
      <c r="BE127" s="227">
        <f t="shared" si="260"/>
        <v>1151.359068552212</v>
      </c>
      <c r="BF127" s="227">
        <f t="shared" si="260"/>
        <v>1175.2779211533023</v>
      </c>
      <c r="BG127" s="227">
        <f t="shared" si="260"/>
        <v>1199.307905080005</v>
      </c>
      <c r="BH127" s="227">
        <f t="shared" si="260"/>
        <v>1835.1741378766403</v>
      </c>
      <c r="BI127" s="227">
        <f t="shared" si="260"/>
        <v>1889.7444288745498</v>
      </c>
      <c r="BJ127" s="227">
        <f t="shared" si="260"/>
        <v>1944.6939013942547</v>
      </c>
      <c r="BK127" s="227">
        <f t="shared" si="260"/>
        <v>2000.024625621905</v>
      </c>
      <c r="BL127" s="227">
        <f t="shared" si="260"/>
        <v>2055.7386819491949</v>
      </c>
      <c r="BM127" s="227">
        <f t="shared" si="260"/>
        <v>2111.8381610209999</v>
      </c>
      <c r="BN127" s="227">
        <f t="shared" si="260"/>
        <v>1445.5501091887782</v>
      </c>
      <c r="BO127" s="227">
        <f t="shared" si="260"/>
        <v>2941.6572297085308</v>
      </c>
      <c r="BP127" s="227">
        <f t="shared" si="260"/>
        <v>2595.5316284983087</v>
      </c>
      <c r="BQ127" s="227">
        <f t="shared" si="260"/>
        <v>1521.7342755058439</v>
      </c>
      <c r="BR127" s="227">
        <f t="shared" si="260"/>
        <v>1525.941870777616</v>
      </c>
      <c r="BS127" s="227">
        <f t="shared" si="260"/>
        <v>1530.1611000503144</v>
      </c>
      <c r="BT127" s="227">
        <f t="shared" si="260"/>
        <v>2301.5879932379321</v>
      </c>
      <c r="BU127" s="227">
        <f t="shared" si="260"/>
        <v>2311.1338294398865</v>
      </c>
      <c r="BV127" s="227">
        <f t="shared" si="260"/>
        <v>2320.7192569974814</v>
      </c>
      <c r="BW127" s="227">
        <f t="shared" si="260"/>
        <v>2330.3444401158827</v>
      </c>
      <c r="BX127" s="227">
        <f t="shared" si="260"/>
        <v>2340.0095436812639</v>
      </c>
      <c r="BY127" s="227">
        <f t="shared" si="260"/>
        <v>2349.7147332636832</v>
      </c>
      <c r="BZ127" s="227">
        <f t="shared" si="260"/>
        <v>1572.9734500799284</v>
      </c>
      <c r="CA127" s="227">
        <f t="shared" si="260"/>
        <v>3154.645443338793</v>
      </c>
      <c r="CB127" s="227">
        <f t="shared" si="260"/>
        <v>2743.7824162840593</v>
      </c>
      <c r="CC127" s="227">
        <f t="shared" si="260"/>
        <v>1586.0573753073324</v>
      </c>
      <c r="CD127" s="227">
        <f t="shared" si="260"/>
        <v>1590.4428239500601</v>
      </c>
      <c r="CE127" s="227">
        <f t="shared" ref="CE127:DJ127" si="261">IF(AvgLeaseTermMarket&lt;$A127,0,(CE$48-BS$48)*BS$109)</f>
        <v>1594.8403983582837</v>
      </c>
      <c r="CF127" s="227">
        <f t="shared" si="261"/>
        <v>2398.87519808962</v>
      </c>
      <c r="CG127" s="227">
        <f t="shared" si="261"/>
        <v>2408.824532973701</v>
      </c>
      <c r="CH127" s="227">
        <f t="shared" si="261"/>
        <v>2418.8151327242172</v>
      </c>
      <c r="CI127" s="227">
        <f t="shared" si="261"/>
        <v>2428.8471684871888</v>
      </c>
      <c r="CJ127" s="227">
        <f t="shared" si="261"/>
        <v>2438.9208121184934</v>
      </c>
      <c r="CK127" s="227">
        <f t="shared" si="261"/>
        <v>2449.0362361867496</v>
      </c>
      <c r="CL127" s="227">
        <f t="shared" si="261"/>
        <v>1639.4624093175516</v>
      </c>
      <c r="CM127" s="227">
        <f t="shared" si="261"/>
        <v>3287.9910457586302</v>
      </c>
      <c r="CN127" s="227">
        <f t="shared" si="261"/>
        <v>2859.7610027147107</v>
      </c>
      <c r="CO127" s="227">
        <f t="shared" si="261"/>
        <v>1653.0993868365056</v>
      </c>
      <c r="CP127" s="227">
        <f t="shared" si="261"/>
        <v>1657.6702066411106</v>
      </c>
      <c r="CQ127" s="227">
        <f t="shared" si="261"/>
        <v>1662.2536647624752</v>
      </c>
      <c r="CR127" s="227">
        <f t="shared" si="261"/>
        <v>2500.2746942183089</v>
      </c>
      <c r="CS127" s="227">
        <f t="shared" si="261"/>
        <v>2510.644583512571</v>
      </c>
      <c r="CT127" s="227">
        <f t="shared" si="261"/>
        <v>2521.0574819226863</v>
      </c>
      <c r="CU127" s="227">
        <f t="shared" si="261"/>
        <v>2531.5135678289589</v>
      </c>
      <c r="CV127" s="227">
        <f t="shared" si="261"/>
        <v>2542.0130203515268</v>
      </c>
      <c r="CW127" s="227">
        <f t="shared" si="261"/>
        <v>2552.5560193534366</v>
      </c>
      <c r="CX127" s="227">
        <f t="shared" si="261"/>
        <v>1708.7618302958051</v>
      </c>
      <c r="CY127" s="227">
        <f t="shared" si="261"/>
        <v>3426.9731135131456</v>
      </c>
      <c r="CZ127" s="227">
        <f t="shared" si="261"/>
        <v>2980.6419576533585</v>
      </c>
      <c r="DA127" s="227">
        <f t="shared" si="261"/>
        <v>1722.9752374056968</v>
      </c>
      <c r="DB127" s="227">
        <f t="shared" si="261"/>
        <v>1727.7392639371196</v>
      </c>
      <c r="DC127" s="227">
        <f t="shared" si="261"/>
        <v>1732.5164630018996</v>
      </c>
      <c r="DD127" s="227">
        <f t="shared" si="261"/>
        <v>2605.9603065331462</v>
      </c>
      <c r="DE127" s="227">
        <f t="shared" si="261"/>
        <v>2616.7685269045005</v>
      </c>
      <c r="DF127" s="227">
        <f t="shared" si="261"/>
        <v>2627.6215743698394</v>
      </c>
      <c r="DG127" s="227">
        <f t="shared" si="261"/>
        <v>2638.5196348495365</v>
      </c>
      <c r="DH127" s="227">
        <f t="shared" si="261"/>
        <v>2649.4628950350725</v>
      </c>
      <c r="DI127" s="227">
        <f t="shared" si="261"/>
        <v>2660.4515423922307</v>
      </c>
      <c r="DJ127" s="227">
        <f t="shared" si="261"/>
        <v>1780.9905101095385</v>
      </c>
      <c r="DK127" s="227">
        <f t="shared" ref="DK127:EH127" si="262">IF(AvgLeaseTermMarket&lt;$A127,0,(DK$48-CY$48)*CY$109)</f>
        <v>3571.8298977399932</v>
      </c>
      <c r="DL127" s="227">
        <f t="shared" si="262"/>
        <v>3106.6325022580959</v>
      </c>
      <c r="DM127" s="227">
        <f t="shared" si="262"/>
        <v>1795.804712258863</v>
      </c>
      <c r="DN127" s="227">
        <f t="shared" si="262"/>
        <v>1800.7701122882595</v>
      </c>
      <c r="DO127" s="227">
        <f t="shared" si="262"/>
        <v>1805.7492416487396</v>
      </c>
      <c r="DP127" s="227">
        <f t="shared" si="262"/>
        <v>2716.113207452855</v>
      </c>
      <c r="DQ127" s="227">
        <f t="shared" si="262"/>
        <v>2727.3782869807615</v>
      </c>
      <c r="DR127" s="227">
        <f t="shared" si="262"/>
        <v>2738.6900884260135</v>
      </c>
      <c r="DS127" s="227">
        <f t="shared" si="262"/>
        <v>2750.0488055677656</v>
      </c>
      <c r="DT127" s="227">
        <f t="shared" si="262"/>
        <v>2761.4546329888608</v>
      </c>
      <c r="DU127" s="227">
        <f t="shared" si="262"/>
        <v>2772.9077660791822</v>
      </c>
      <c r="DV127" s="227">
        <f t="shared" si="262"/>
        <v>1856.2722673593294</v>
      </c>
      <c r="DW127" s="227">
        <f t="shared" si="262"/>
        <v>3722.8097203571451</v>
      </c>
      <c r="DX127" s="227">
        <f t="shared" si="262"/>
        <v>3237.948616842491</v>
      </c>
      <c r="DY127" s="227">
        <f t="shared" si="262"/>
        <v>1871.7126599143355</v>
      </c>
      <c r="DZ127" s="227">
        <f t="shared" si="262"/>
        <v>1876.8879454189962</v>
      </c>
      <c r="EA127" s="227">
        <f t="shared" si="262"/>
        <v>1882.0775405880784</v>
      </c>
      <c r="EB127" s="227">
        <f t="shared" si="262"/>
        <v>2830.9222274816984</v>
      </c>
      <c r="EC127" s="227">
        <f t="shared" si="262"/>
        <v>2842.6634774201834</v>
      </c>
      <c r="ED127" s="227">
        <f t="shared" si="262"/>
        <v>2854.4534241927822</v>
      </c>
      <c r="EE127" s="227">
        <f t="shared" si="262"/>
        <v>2866.2922697696172</v>
      </c>
      <c r="EF127" s="227">
        <f t="shared" si="262"/>
        <v>2878.180216958488</v>
      </c>
      <c r="EG127" s="227">
        <f t="shared" si="262"/>
        <v>2890.117469408327</v>
      </c>
      <c r="EH127" s="227">
        <f t="shared" si="262"/>
        <v>1934.7361544084656</v>
      </c>
      <c r="EK127" s="672"/>
    </row>
    <row r="128" spans="1:141" ht="15" thickBot="1" x14ac:dyDescent="0.35">
      <c r="A128" s="248" t="s">
        <v>2421</v>
      </c>
      <c r="B128" s="248"/>
      <c r="C128" s="248"/>
      <c r="D128" s="248"/>
      <c r="E128" s="697"/>
      <c r="F128" s="697"/>
      <c r="G128" s="250">
        <f t="shared" ref="G128:BR128" si="263">SUM(G116:G127)</f>
        <v>0</v>
      </c>
      <c r="H128" s="250">
        <f t="shared" si="263"/>
        <v>0</v>
      </c>
      <c r="I128" s="250">
        <f t="shared" si="263"/>
        <v>0</v>
      </c>
      <c r="J128" s="250">
        <f t="shared" si="263"/>
        <v>0</v>
      </c>
      <c r="K128" s="250">
        <f t="shared" si="263"/>
        <v>0</v>
      </c>
      <c r="L128" s="250">
        <f t="shared" si="263"/>
        <v>0</v>
      </c>
      <c r="M128" s="250">
        <f t="shared" si="263"/>
        <v>0</v>
      </c>
      <c r="N128" s="250">
        <f t="shared" si="263"/>
        <v>0</v>
      </c>
      <c r="O128" s="250">
        <f t="shared" si="263"/>
        <v>0</v>
      </c>
      <c r="P128" s="250">
        <f t="shared" si="263"/>
        <v>0</v>
      </c>
      <c r="Q128" s="250">
        <f t="shared" si="263"/>
        <v>0</v>
      </c>
      <c r="R128" s="250">
        <f t="shared" si="263"/>
        <v>0</v>
      </c>
      <c r="S128" s="250">
        <f t="shared" si="263"/>
        <v>0</v>
      </c>
      <c r="T128" s="250">
        <f t="shared" si="263"/>
        <v>50.729848579657123</v>
      </c>
      <c r="U128" s="250">
        <f t="shared" si="263"/>
        <v>152.35424864736487</v>
      </c>
      <c r="V128" s="250">
        <f t="shared" si="263"/>
        <v>500.98806740194999</v>
      </c>
      <c r="W128" s="250">
        <f t="shared" si="263"/>
        <v>967.5561848811908</v>
      </c>
      <c r="X128" s="250">
        <f t="shared" si="263"/>
        <v>1552.9280973412265</v>
      </c>
      <c r="Y128" s="250">
        <f t="shared" si="263"/>
        <v>2698.6343948215722</v>
      </c>
      <c r="Z128" s="250">
        <f t="shared" si="263"/>
        <v>4116.5746095838149</v>
      </c>
      <c r="AA128" s="250">
        <f t="shared" si="263"/>
        <v>5809.7405648819504</v>
      </c>
      <c r="AB128" s="250">
        <f t="shared" si="263"/>
        <v>7781.1489373141294</v>
      </c>
      <c r="AC128" s="250">
        <f t="shared" si="263"/>
        <v>10033.841440703782</v>
      </c>
      <c r="AD128" s="250">
        <f t="shared" si="263"/>
        <v>12570.88501125728</v>
      </c>
      <c r="AE128" s="250">
        <f t="shared" si="263"/>
        <v>14393.134677547197</v>
      </c>
      <c r="AF128" s="250">
        <f t="shared" si="263"/>
        <v>14698.734610118996</v>
      </c>
      <c r="AG128" s="250">
        <f t="shared" si="263"/>
        <v>15030.281660674909</v>
      </c>
      <c r="AH128" s="250">
        <f t="shared" si="263"/>
        <v>15105.589055447672</v>
      </c>
      <c r="AI128" s="250">
        <f t="shared" si="263"/>
        <v>15192.018163267845</v>
      </c>
      <c r="AJ128" s="250">
        <f t="shared" si="263"/>
        <v>15289.646639665894</v>
      </c>
      <c r="AK128" s="250">
        <f t="shared" si="263"/>
        <v>15453.00550580265</v>
      </c>
      <c r="AL128" s="250">
        <f t="shared" si="263"/>
        <v>15641.915174671039</v>
      </c>
      <c r="AM128" s="250">
        <f t="shared" si="263"/>
        <v>15856.641907072568</v>
      </c>
      <c r="AN128" s="250">
        <f t="shared" si="263"/>
        <v>16097.454070178308</v>
      </c>
      <c r="AO128" s="250">
        <f t="shared" si="263"/>
        <v>16364.622152395445</v>
      </c>
      <c r="AP128" s="250">
        <f t="shared" si="263"/>
        <v>16658.418778331834</v>
      </c>
      <c r="AQ128" s="250">
        <f t="shared" si="263"/>
        <v>16872.218742017256</v>
      </c>
      <c r="AR128" s="250">
        <f t="shared" si="263"/>
        <v>15377.550138950175</v>
      </c>
      <c r="AS128" s="250">
        <f t="shared" si="263"/>
        <v>14355.598897096701</v>
      </c>
      <c r="AT128" s="250">
        <f t="shared" si="263"/>
        <v>13911.887284141076</v>
      </c>
      <c r="AU128" s="250">
        <f t="shared" si="263"/>
        <v>13506.649508698976</v>
      </c>
      <c r="AV128" s="250">
        <f t="shared" si="263"/>
        <v>13140.101566282043</v>
      </c>
      <c r="AW128" s="250">
        <f t="shared" si="263"/>
        <v>12648.639766363896</v>
      </c>
      <c r="AX128" s="250">
        <f t="shared" si="263"/>
        <v>12245.208247442033</v>
      </c>
      <c r="AY128" s="250">
        <f t="shared" si="263"/>
        <v>11930.545283226347</v>
      </c>
      <c r="AZ128" s="250">
        <f t="shared" si="263"/>
        <v>11705.393827253014</v>
      </c>
      <c r="BA128" s="250">
        <f t="shared" si="263"/>
        <v>11570.501539591742</v>
      </c>
      <c r="BB128" s="250">
        <f t="shared" si="263"/>
        <v>11526.620813698235</v>
      </c>
      <c r="BC128" s="250">
        <f t="shared" si="263"/>
        <v>11558.546140174347</v>
      </c>
      <c r="BD128" s="250">
        <f t="shared" si="263"/>
        <v>10402.960589457267</v>
      </c>
      <c r="BE128" s="250">
        <f t="shared" si="263"/>
        <v>9642.9635256233796</v>
      </c>
      <c r="BF128" s="250">
        <f t="shared" si="263"/>
        <v>10157.410080112295</v>
      </c>
      <c r="BG128" s="250">
        <f t="shared" si="263"/>
        <v>10652.543734547846</v>
      </c>
      <c r="BH128" s="250">
        <f t="shared" si="263"/>
        <v>11128.266093063186</v>
      </c>
      <c r="BI128" s="250">
        <f t="shared" si="263"/>
        <v>11812.584538597899</v>
      </c>
      <c r="BJ128" s="250">
        <f t="shared" si="263"/>
        <v>12452.782288624436</v>
      </c>
      <c r="BK128" s="250">
        <f t="shared" si="263"/>
        <v>13048.523501318234</v>
      </c>
      <c r="BL128" s="250">
        <f t="shared" si="263"/>
        <v>13599.470444420014</v>
      </c>
      <c r="BM128" s="250">
        <f t="shared" si="263"/>
        <v>14105.283485775848</v>
      </c>
      <c r="BN128" s="250">
        <f t="shared" si="263"/>
        <v>14565.621083832317</v>
      </c>
      <c r="BO128" s="250">
        <f t="shared" si="263"/>
        <v>14841.966880002285</v>
      </c>
      <c r="BP128" s="250">
        <f t="shared" si="263"/>
        <v>13626.966597830853</v>
      </c>
      <c r="BQ128" s="250">
        <f t="shared" si="263"/>
        <v>12762.866123329577</v>
      </c>
      <c r="BR128" s="250">
        <f t="shared" si="263"/>
        <v>12977.350408961505</v>
      </c>
      <c r="BS128" s="250">
        <f t="shared" ref="BS128:ED128" si="264">SUM(BS116:BS127)</f>
        <v>13192.427743643218</v>
      </c>
      <c r="BT128" s="250">
        <f t="shared" si="264"/>
        <v>13408.099767155363</v>
      </c>
      <c r="BU128" s="250">
        <f t="shared" si="264"/>
        <v>13732.502302141149</v>
      </c>
      <c r="BV128" s="250">
        <f t="shared" si="264"/>
        <v>14058.250296640737</v>
      </c>
      <c r="BW128" s="250">
        <f t="shared" si="264"/>
        <v>14385.349330947623</v>
      </c>
      <c r="BX128" s="250">
        <f t="shared" si="264"/>
        <v>14713.805008499203</v>
      </c>
      <c r="BY128" s="250">
        <f t="shared" si="264"/>
        <v>15043.622955973491</v>
      </c>
      <c r="BZ128" s="250">
        <f t="shared" si="264"/>
        <v>15374.80882338493</v>
      </c>
      <c r="CA128" s="250">
        <f t="shared" si="264"/>
        <v>15596.5151305825</v>
      </c>
      <c r="CB128" s="250">
        <f t="shared" si="264"/>
        <v>14241.511734050171</v>
      </c>
      <c r="CC128" s="250">
        <f t="shared" si="264"/>
        <v>13302.347374831959</v>
      </c>
      <c r="CD128" s="250">
        <f t="shared" si="264"/>
        <v>13525.897825518263</v>
      </c>
      <c r="CE128" s="250">
        <f t="shared" si="264"/>
        <v>13750.066393200712</v>
      </c>
      <c r="CF128" s="250">
        <f t="shared" si="264"/>
        <v>13974.854786972843</v>
      </c>
      <c r="CG128" s="250">
        <f t="shared" si="264"/>
        <v>14312.969687494253</v>
      </c>
      <c r="CH128" s="250">
        <f t="shared" si="264"/>
        <v>14652.48691956555</v>
      </c>
      <c r="CI128" s="250">
        <f t="shared" si="264"/>
        <v>14993.412299356856</v>
      </c>
      <c r="CJ128" s="250">
        <f t="shared" si="264"/>
        <v>15335.751667160821</v>
      </c>
      <c r="CK128" s="250">
        <f t="shared" si="264"/>
        <v>15679.510887492715</v>
      </c>
      <c r="CL128" s="250">
        <f t="shared" si="264"/>
        <v>16024.695849190921</v>
      </c>
      <c r="CM128" s="250">
        <f t="shared" si="264"/>
        <v>16255.773593408767</v>
      </c>
      <c r="CN128" s="250">
        <f t="shared" si="264"/>
        <v>14843.494744710084</v>
      </c>
      <c r="CO128" s="250">
        <f t="shared" si="264"/>
        <v>13864.632283280214</v>
      </c>
      <c r="CP128" s="250">
        <f t="shared" si="264"/>
        <v>14097.632122195246</v>
      </c>
      <c r="CQ128" s="250">
        <f t="shared" si="264"/>
        <v>14331.276205664868</v>
      </c>
      <c r="CR128" s="250">
        <f t="shared" si="264"/>
        <v>14565.566315025233</v>
      </c>
      <c r="CS128" s="250">
        <f t="shared" si="264"/>
        <v>14917.973197294396</v>
      </c>
      <c r="CT128" s="250">
        <f t="shared" si="264"/>
        <v>15271.841687107823</v>
      </c>
      <c r="CU128" s="250">
        <f t="shared" si="264"/>
        <v>15627.177846482771</v>
      </c>
      <c r="CV128" s="250">
        <f t="shared" si="264"/>
        <v>15983.987762578692</v>
      </c>
      <c r="CW128" s="250">
        <f t="shared" si="264"/>
        <v>16342.277547801636</v>
      </c>
      <c r="CX128" s="250">
        <f t="shared" si="264"/>
        <v>16702.053339908769</v>
      </c>
      <c r="CY128" s="250">
        <f t="shared" si="264"/>
        <v>16942.898648045295</v>
      </c>
      <c r="CZ128" s="250">
        <f t="shared" si="264"/>
        <v>15470.923336702241</v>
      </c>
      <c r="DA128" s="250">
        <f t="shared" si="264"/>
        <v>14450.684750142047</v>
      </c>
      <c r="DB128" s="250">
        <f t="shared" si="264"/>
        <v>14693.533399150545</v>
      </c>
      <c r="DC128" s="250">
        <f t="shared" si="264"/>
        <v>14937.053524673513</v>
      </c>
      <c r="DD128" s="250">
        <f t="shared" si="264"/>
        <v>15181.246983343575</v>
      </c>
      <c r="DE128" s="250">
        <f t="shared" si="264"/>
        <v>15548.549963718684</v>
      </c>
      <c r="DF128" s="250">
        <f t="shared" si="264"/>
        <v>15917.376333204877</v>
      </c>
      <c r="DG128" s="250">
        <f t="shared" si="264"/>
        <v>16287.732410058474</v>
      </c>
      <c r="DH128" s="250">
        <f t="shared" si="264"/>
        <v>16659.624538740783</v>
      </c>
      <c r="DI128" s="250">
        <f t="shared" si="264"/>
        <v>17033.059090026847</v>
      </c>
      <c r="DJ128" s="250">
        <f t="shared" si="264"/>
        <v>17408.042461114404</v>
      </c>
      <c r="DK128" s="250">
        <f t="shared" si="264"/>
        <v>17659.068204193805</v>
      </c>
      <c r="DL128" s="250">
        <f t="shared" si="264"/>
        <v>16124.873084582778</v>
      </c>
      <c r="DM128" s="250">
        <f t="shared" si="264"/>
        <v>15061.509420615155</v>
      </c>
      <c r="DN128" s="250">
        <f t="shared" si="264"/>
        <v>15314.623184984648</v>
      </c>
      <c r="DO128" s="250">
        <f t="shared" si="264"/>
        <v>15568.436808912626</v>
      </c>
      <c r="DP128" s="250">
        <f t="shared" si="264"/>
        <v>15822.952227510807</v>
      </c>
      <c r="DQ128" s="250">
        <f t="shared" si="264"/>
        <v>16205.78095810671</v>
      </c>
      <c r="DR128" s="250">
        <f t="shared" si="264"/>
        <v>16590.197470862797</v>
      </c>
      <c r="DS128" s="250">
        <f t="shared" si="264"/>
        <v>16976.208351105564</v>
      </c>
      <c r="DT128" s="250">
        <f t="shared" si="264"/>
        <v>17363.820211474063</v>
      </c>
      <c r="DU128" s="250">
        <f t="shared" si="264"/>
        <v>17753.039692033457</v>
      </c>
      <c r="DV128" s="250">
        <f t="shared" si="264"/>
        <v>18143.873460388473</v>
      </c>
      <c r="DW128" s="250">
        <f t="shared" si="264"/>
        <v>18405.509961327894</v>
      </c>
      <c r="DX128" s="250">
        <f t="shared" si="264"/>
        <v>16806.465027013914</v>
      </c>
      <c r="DY128" s="250">
        <f t="shared" si="264"/>
        <v>15698.153405847981</v>
      </c>
      <c r="DZ128" s="250">
        <f t="shared" si="264"/>
        <v>15961.966187903196</v>
      </c>
      <c r="EA128" s="250">
        <f t="shared" si="264"/>
        <v>16226.508412300811</v>
      </c>
      <c r="EB128" s="250">
        <f t="shared" si="264"/>
        <v>16491.782095948871</v>
      </c>
      <c r="EC128" s="250">
        <f t="shared" si="264"/>
        <v>16890.792844024083</v>
      </c>
      <c r="ED128" s="250">
        <f t="shared" si="264"/>
        <v>17291.458489176897</v>
      </c>
      <c r="EE128" s="250">
        <f>SUM(EE116:EE127)</f>
        <v>17693.785895092977</v>
      </c>
      <c r="EF128" s="250">
        <f>SUM(EF116:EF127)</f>
        <v>18097.781953925092</v>
      </c>
      <c r="EG128" s="250">
        <f>SUM(EG116:EG127)</f>
        <v>18503.453586411259</v>
      </c>
      <c r="EH128" s="250">
        <f>SUM(EH116:EH127)</f>
        <v>18910.807741993114</v>
      </c>
      <c r="EK128" s="280"/>
    </row>
    <row r="129" spans="1:141" s="200" customFormat="1" ht="15" hidden="1" thickTop="1" x14ac:dyDescent="0.3">
      <c r="G129" s="698" t="str">
        <f>'General Inputs'!$H$48</f>
        <v>Next Year</v>
      </c>
      <c r="H129" s="698" t="str">
        <f>'General Inputs'!$H$48</f>
        <v>Next Year</v>
      </c>
      <c r="I129" s="698" t="str">
        <f>'General Inputs'!$H$48</f>
        <v>Next Year</v>
      </c>
      <c r="J129" s="698" t="str">
        <f>'General Inputs'!$H$48</f>
        <v>Next Year</v>
      </c>
      <c r="K129" s="698" t="str">
        <f>'General Inputs'!$H$48</f>
        <v>Next Year</v>
      </c>
      <c r="L129" s="698" t="str">
        <f>'General Inputs'!$H$48</f>
        <v>Next Year</v>
      </c>
      <c r="M129" s="698" t="str">
        <f>'General Inputs'!$H$48</f>
        <v>Next Year</v>
      </c>
      <c r="N129" s="698" t="str">
        <f>'General Inputs'!$H$48</f>
        <v>Next Year</v>
      </c>
      <c r="O129" s="698" t="str">
        <f>'General Inputs'!$H$48</f>
        <v>Next Year</v>
      </c>
      <c r="P129" s="698" t="str">
        <f>'General Inputs'!$H$48</f>
        <v>Next Year</v>
      </c>
      <c r="Q129" s="698" t="str">
        <f>'General Inputs'!$H$48</f>
        <v>Next Year</v>
      </c>
      <c r="R129" s="698" t="str">
        <f>'General Inputs'!$H$48</f>
        <v>Next Year</v>
      </c>
      <c r="S129" s="698" t="str">
        <f>'General Inputs'!$H$48</f>
        <v>Next Year</v>
      </c>
      <c r="T129" s="698" t="str">
        <f>'General Inputs'!$H$48</f>
        <v>Next Year</v>
      </c>
      <c r="U129" s="698" t="str">
        <f>'General Inputs'!$H$48</f>
        <v>Next Year</v>
      </c>
      <c r="V129" s="698" t="str">
        <f>'General Inputs'!$H$48</f>
        <v>Next Year</v>
      </c>
      <c r="W129" s="698" t="str">
        <f>'General Inputs'!$H$48</f>
        <v>Next Year</v>
      </c>
      <c r="X129" s="698" t="str">
        <f>'General Inputs'!$H$48</f>
        <v>Next Year</v>
      </c>
      <c r="Y129" s="698" t="str">
        <f>'General Inputs'!$H$48</f>
        <v>Next Year</v>
      </c>
      <c r="Z129" s="698" t="str">
        <f>'General Inputs'!$H$48</f>
        <v>Next Year</v>
      </c>
      <c r="AA129" s="698" t="str">
        <f>'General Inputs'!$H$48</f>
        <v>Next Year</v>
      </c>
      <c r="AB129" s="698" t="str">
        <f>'General Inputs'!$H$48</f>
        <v>Next Year</v>
      </c>
      <c r="AC129" s="698" t="str">
        <f>'General Inputs'!$H$48</f>
        <v>Next Year</v>
      </c>
      <c r="AD129" s="698" t="str">
        <f>'General Inputs'!$H$48</f>
        <v>Next Year</v>
      </c>
      <c r="AE129" s="698" t="str">
        <f>'General Inputs'!$H$48</f>
        <v>Next Year</v>
      </c>
      <c r="AF129" s="698" t="str">
        <f>'General Inputs'!$H$48</f>
        <v>Next Year</v>
      </c>
      <c r="AG129" s="698" t="str">
        <f>'General Inputs'!$H$48</f>
        <v>Next Year</v>
      </c>
      <c r="AH129" s="698" t="str">
        <f>'General Inputs'!$H$48</f>
        <v>Next Year</v>
      </c>
      <c r="AI129" s="698" t="str">
        <f>'General Inputs'!$H$48</f>
        <v>Next Year</v>
      </c>
      <c r="AJ129" s="698" t="str">
        <f>'General Inputs'!$H$48</f>
        <v>Next Year</v>
      </c>
      <c r="AK129" s="698" t="str">
        <f>'General Inputs'!$H$48</f>
        <v>Next Year</v>
      </c>
      <c r="AL129" s="698" t="str">
        <f>'General Inputs'!$H$48</f>
        <v>Next Year</v>
      </c>
      <c r="AM129" s="698" t="str">
        <f>'General Inputs'!$H$48</f>
        <v>Next Year</v>
      </c>
      <c r="AN129" s="698" t="str">
        <f>'General Inputs'!$H$48</f>
        <v>Next Year</v>
      </c>
      <c r="AO129" s="698" t="str">
        <f>'General Inputs'!$H$48</f>
        <v>Next Year</v>
      </c>
      <c r="AP129" s="698" t="str">
        <f>'General Inputs'!$H$48</f>
        <v>Next Year</v>
      </c>
      <c r="AQ129" s="698" t="str">
        <f>'General Inputs'!$H$48</f>
        <v>Next Year</v>
      </c>
      <c r="AR129" s="698" t="str">
        <f>'General Inputs'!$H$48</f>
        <v>Next Year</v>
      </c>
      <c r="AS129" s="698" t="str">
        <f>'General Inputs'!$H$48</f>
        <v>Next Year</v>
      </c>
      <c r="AT129" s="698" t="str">
        <f>'General Inputs'!$H$48</f>
        <v>Next Year</v>
      </c>
      <c r="AU129" s="698" t="str">
        <f>'General Inputs'!$H$48</f>
        <v>Next Year</v>
      </c>
      <c r="AV129" s="698" t="str">
        <f>'General Inputs'!$H$48</f>
        <v>Next Year</v>
      </c>
      <c r="AW129" s="698" t="str">
        <f>'General Inputs'!$H$48</f>
        <v>Next Year</v>
      </c>
      <c r="AX129" s="698" t="str">
        <f>'General Inputs'!$H$48</f>
        <v>Next Year</v>
      </c>
      <c r="AY129" s="698" t="str">
        <f>'General Inputs'!$H$48</f>
        <v>Next Year</v>
      </c>
      <c r="AZ129" s="698" t="str">
        <f>'General Inputs'!$H$48</f>
        <v>Next Year</v>
      </c>
      <c r="BA129" s="698" t="str">
        <f>'General Inputs'!$H$48</f>
        <v>Next Year</v>
      </c>
      <c r="BB129" s="698" t="str">
        <f>'General Inputs'!$H$48</f>
        <v>Next Year</v>
      </c>
      <c r="BC129" s="698" t="str">
        <f>'General Inputs'!$H$48</f>
        <v>Next Year</v>
      </c>
      <c r="BD129" s="698" t="str">
        <f>'General Inputs'!$H$48</f>
        <v>Next Year</v>
      </c>
      <c r="BE129" s="698" t="str">
        <f>'General Inputs'!$H$48</f>
        <v>Next Year</v>
      </c>
      <c r="BF129" s="698" t="str">
        <f>'General Inputs'!$H$48</f>
        <v>Next Year</v>
      </c>
      <c r="BG129" s="698" t="str">
        <f>'General Inputs'!$H$48</f>
        <v>Next Year</v>
      </c>
      <c r="BH129" s="698" t="str">
        <f>'General Inputs'!$H$48</f>
        <v>Next Year</v>
      </c>
      <c r="BI129" s="698" t="str">
        <f>'General Inputs'!$H$48</f>
        <v>Next Year</v>
      </c>
      <c r="BJ129" s="698" t="str">
        <f>'General Inputs'!$H$48</f>
        <v>Next Year</v>
      </c>
      <c r="BK129" s="698" t="str">
        <f>'General Inputs'!$H$48</f>
        <v>Next Year</v>
      </c>
      <c r="BL129" s="698" t="str">
        <f>'General Inputs'!$H$48</f>
        <v>Next Year</v>
      </c>
      <c r="BM129" s="698" t="str">
        <f>'General Inputs'!$H$48</f>
        <v>Next Year</v>
      </c>
      <c r="BN129" s="698" t="str">
        <f>'General Inputs'!$H$48</f>
        <v>Next Year</v>
      </c>
      <c r="BO129" s="698" t="str">
        <f>'General Inputs'!$H$48</f>
        <v>Next Year</v>
      </c>
      <c r="BP129" s="698" t="str">
        <f>'General Inputs'!$H$48</f>
        <v>Next Year</v>
      </c>
      <c r="BQ129" s="698" t="str">
        <f>'General Inputs'!$H$48</f>
        <v>Next Year</v>
      </c>
      <c r="BR129" s="698" t="str">
        <f>'General Inputs'!$H$48</f>
        <v>Next Year</v>
      </c>
      <c r="BS129" s="698" t="str">
        <f>'General Inputs'!$H$48</f>
        <v>Next Year</v>
      </c>
      <c r="BT129" s="698" t="str">
        <f>'General Inputs'!$H$48</f>
        <v>Next Year</v>
      </c>
      <c r="BU129" s="698" t="str">
        <f>'General Inputs'!$H$48</f>
        <v>Next Year</v>
      </c>
      <c r="BV129" s="698" t="str">
        <f>'General Inputs'!$H$48</f>
        <v>Next Year</v>
      </c>
      <c r="BW129" s="698" t="str">
        <f>'General Inputs'!$H$48</f>
        <v>Next Year</v>
      </c>
      <c r="BX129" s="698" t="str">
        <f>'General Inputs'!$H$48</f>
        <v>Next Year</v>
      </c>
      <c r="BY129" s="698" t="str">
        <f>'General Inputs'!$H$48</f>
        <v>Next Year</v>
      </c>
      <c r="BZ129" s="698" t="str">
        <f>'General Inputs'!$H$48</f>
        <v>Next Year</v>
      </c>
      <c r="CA129" s="698" t="str">
        <f>'General Inputs'!$H$48</f>
        <v>Next Year</v>
      </c>
      <c r="CB129" s="698" t="str">
        <f>'General Inputs'!$H$48</f>
        <v>Next Year</v>
      </c>
      <c r="CC129" s="698" t="str">
        <f>'General Inputs'!$H$48</f>
        <v>Next Year</v>
      </c>
      <c r="CD129" s="698" t="str">
        <f>'General Inputs'!$H$48</f>
        <v>Next Year</v>
      </c>
      <c r="CE129" s="698" t="str">
        <f>'General Inputs'!$H$48</f>
        <v>Next Year</v>
      </c>
      <c r="CF129" s="698" t="str">
        <f>'General Inputs'!$H$48</f>
        <v>Next Year</v>
      </c>
      <c r="CG129" s="698" t="str">
        <f>'General Inputs'!$H$48</f>
        <v>Next Year</v>
      </c>
      <c r="CH129" s="698" t="str">
        <f>'General Inputs'!$H$48</f>
        <v>Next Year</v>
      </c>
      <c r="CI129" s="698" t="str">
        <f>'General Inputs'!$H$48</f>
        <v>Next Year</v>
      </c>
      <c r="CJ129" s="698" t="str">
        <f>'General Inputs'!$H$48</f>
        <v>Next Year</v>
      </c>
      <c r="CK129" s="698" t="str">
        <f>'General Inputs'!$H$48</f>
        <v>Next Year</v>
      </c>
      <c r="CL129" s="698" t="str">
        <f>'General Inputs'!$H$48</f>
        <v>Next Year</v>
      </c>
      <c r="CM129" s="698" t="str">
        <f>'General Inputs'!$H$48</f>
        <v>Next Year</v>
      </c>
      <c r="CN129" s="698" t="str">
        <f>'General Inputs'!$H$48</f>
        <v>Next Year</v>
      </c>
      <c r="CO129" s="698" t="str">
        <f>'General Inputs'!$H$48</f>
        <v>Next Year</v>
      </c>
      <c r="CP129" s="698" t="str">
        <f>'General Inputs'!$H$48</f>
        <v>Next Year</v>
      </c>
      <c r="CQ129" s="698" t="str">
        <f>'General Inputs'!$H$48</f>
        <v>Next Year</v>
      </c>
      <c r="CR129" s="698" t="str">
        <f>'General Inputs'!$H$48</f>
        <v>Next Year</v>
      </c>
      <c r="CS129" s="698" t="str">
        <f>'General Inputs'!$H$48</f>
        <v>Next Year</v>
      </c>
      <c r="CT129" s="698" t="str">
        <f>'General Inputs'!$H$48</f>
        <v>Next Year</v>
      </c>
      <c r="CU129" s="698" t="str">
        <f>'General Inputs'!$H$48</f>
        <v>Next Year</v>
      </c>
      <c r="CV129" s="698" t="str">
        <f>'General Inputs'!$H$48</f>
        <v>Next Year</v>
      </c>
      <c r="CW129" s="698" t="str">
        <f>'General Inputs'!$H$48</f>
        <v>Next Year</v>
      </c>
      <c r="CX129" s="698" t="str">
        <f>'General Inputs'!$H$48</f>
        <v>Next Year</v>
      </c>
      <c r="CY129" s="698" t="str">
        <f>'General Inputs'!$H$48</f>
        <v>Next Year</v>
      </c>
      <c r="CZ129" s="698" t="str">
        <f>'General Inputs'!$H$48</f>
        <v>Next Year</v>
      </c>
      <c r="DA129" s="698" t="str">
        <f>'General Inputs'!$H$48</f>
        <v>Next Year</v>
      </c>
      <c r="DB129" s="698" t="str">
        <f>'General Inputs'!$H$48</f>
        <v>Next Year</v>
      </c>
      <c r="DC129" s="698" t="str">
        <f>'General Inputs'!$H$48</f>
        <v>Next Year</v>
      </c>
      <c r="DD129" s="698" t="str">
        <f>'General Inputs'!$H$48</f>
        <v>Next Year</v>
      </c>
      <c r="DE129" s="698" t="str">
        <f>'General Inputs'!$H$48</f>
        <v>Next Year</v>
      </c>
      <c r="DF129" s="698" t="str">
        <f>'General Inputs'!$H$48</f>
        <v>Next Year</v>
      </c>
      <c r="DG129" s="698" t="str">
        <f>'General Inputs'!$H$48</f>
        <v>Next Year</v>
      </c>
      <c r="DH129" s="698" t="str">
        <f>'General Inputs'!$H$48</f>
        <v>Next Year</v>
      </c>
      <c r="DI129" s="698" t="str">
        <f>'General Inputs'!$H$48</f>
        <v>Next Year</v>
      </c>
      <c r="DJ129" s="698" t="str">
        <f>'General Inputs'!$H$48</f>
        <v>Next Year</v>
      </c>
      <c r="DK129" s="698" t="str">
        <f>'General Inputs'!$H$48</f>
        <v>Next Year</v>
      </c>
      <c r="DL129" s="698" t="str">
        <f>'General Inputs'!$H$48</f>
        <v>Next Year</v>
      </c>
      <c r="DM129" s="698" t="str">
        <f>'General Inputs'!$H$48</f>
        <v>Next Year</v>
      </c>
      <c r="DN129" s="698" t="str">
        <f>'General Inputs'!$H$48</f>
        <v>Next Year</v>
      </c>
      <c r="DO129" s="698" t="str">
        <f>'General Inputs'!$H$48</f>
        <v>Next Year</v>
      </c>
      <c r="DP129" s="698" t="str">
        <f>'General Inputs'!$H$48</f>
        <v>Next Year</v>
      </c>
      <c r="DQ129" s="698" t="str">
        <f>'General Inputs'!$H$48</f>
        <v>Next Year</v>
      </c>
      <c r="DR129" s="698" t="str">
        <f>'General Inputs'!$H$48</f>
        <v>Next Year</v>
      </c>
      <c r="DS129" s="698" t="str">
        <f>'General Inputs'!$H$48</f>
        <v>Next Year</v>
      </c>
      <c r="DT129" s="698" t="str">
        <f>'General Inputs'!$H$48</f>
        <v>Next Year</v>
      </c>
      <c r="DU129" s="698" t="str">
        <f>'General Inputs'!$H$48</f>
        <v>Next Year</v>
      </c>
      <c r="DV129" s="698" t="str">
        <f>'General Inputs'!$H$48</f>
        <v>Next Year</v>
      </c>
      <c r="DW129" s="698" t="str">
        <f>'General Inputs'!$H$48</f>
        <v>Next Year</v>
      </c>
      <c r="DX129" s="698" t="str">
        <f>'General Inputs'!$H$48</f>
        <v>Next Year</v>
      </c>
      <c r="DY129" s="698" t="str">
        <f>'General Inputs'!$H$48</f>
        <v>Next Year</v>
      </c>
      <c r="DZ129" s="698" t="str">
        <f>'General Inputs'!$H$48</f>
        <v>Next Year</v>
      </c>
      <c r="EA129" s="698" t="str">
        <f>'General Inputs'!$H$48</f>
        <v>Next Year</v>
      </c>
      <c r="EB129" s="698" t="str">
        <f>'General Inputs'!$H$48</f>
        <v>Next Year</v>
      </c>
      <c r="EC129" s="698" t="str">
        <f>'General Inputs'!$H$48</f>
        <v>Next Year</v>
      </c>
      <c r="ED129" s="698" t="str">
        <f>'General Inputs'!$H$48</f>
        <v>Next Year</v>
      </c>
      <c r="EE129" s="698" t="str">
        <f>'General Inputs'!$H$48</f>
        <v>Next Year</v>
      </c>
      <c r="EF129" s="698" t="str">
        <f>'General Inputs'!$H$48</f>
        <v>Next Year</v>
      </c>
      <c r="EG129" s="698" t="str">
        <f>'General Inputs'!$H$48</f>
        <v>Next Year</v>
      </c>
      <c r="EH129" s="698" t="str">
        <f>'General Inputs'!$H$48</f>
        <v>Next Year</v>
      </c>
      <c r="EK129" s="680"/>
    </row>
    <row r="130" spans="1:141" s="200" customFormat="1" ht="15" hidden="1" thickTop="1" x14ac:dyDescent="0.3">
      <c r="E130" s="282"/>
      <c r="F130" s="282"/>
      <c r="G130" s="230">
        <f>IF(AND('General Inputs'!$H$48="Next Year",OperBgt!G5&gt;DispositionMonth,OperBgt!G5&lt;=DispositionMonth+12),SUM(G80),
IF(AND('General Inputs'!$H$48="Blend",OperBgt!G5&gt;DispositionMonth-6,OperBgt!G5&lt;=DispositionMonth+6),SUM(G80),
IF(AND('General Inputs'!$H$48="Current Year",OperBgt!G5&lt;=DispositionMonth,OperBgt!G5&gt;DispositionMonth-12),SUM(G80),0)))</f>
        <v>0</v>
      </c>
      <c r="H130" s="230">
        <f>IF(AND('General Inputs'!$H$48="Next Year",OperBgt!H5&gt;DispositionMonth,OperBgt!H5&lt;=DispositionMonth+12),SUM(H80),
IF(AND('General Inputs'!$H$48="Blend",OperBgt!H5&gt;DispositionMonth-6,OperBgt!H5&lt;=DispositionMonth+6),SUM(H80),
IF(AND('General Inputs'!$H$48="Current Year",OperBgt!H5&lt;=DispositionMonth,OperBgt!H5&gt;DispositionMonth-12),SUM(H80),0)))</f>
        <v>0</v>
      </c>
      <c r="I130" s="230">
        <f>IF(AND('General Inputs'!$H$48="Next Year",OperBgt!I5&gt;DispositionMonth,OperBgt!I5&lt;=DispositionMonth+12),SUM(I80),
IF(AND('General Inputs'!$H$48="Blend",OperBgt!I5&gt;DispositionMonth-6,OperBgt!I5&lt;=DispositionMonth+6),SUM(I80),
IF(AND('General Inputs'!$H$48="Current Year",OperBgt!I5&lt;=DispositionMonth,OperBgt!I5&gt;DispositionMonth-12),SUM(I80),0)))</f>
        <v>0</v>
      </c>
      <c r="J130" s="230">
        <f>IF(AND('General Inputs'!$H$48="Next Year",OperBgt!J5&gt;DispositionMonth,OperBgt!J5&lt;=DispositionMonth+12),SUM(J80),
IF(AND('General Inputs'!$H$48="Blend",OperBgt!J5&gt;DispositionMonth-6,OperBgt!J5&lt;=DispositionMonth+6),SUM(J80),
IF(AND('General Inputs'!$H$48="Current Year",OperBgt!J5&lt;=DispositionMonth,OperBgt!J5&gt;DispositionMonth-12),SUM(J80),0)))</f>
        <v>0</v>
      </c>
      <c r="K130" s="230">
        <f>IF(AND('General Inputs'!$H$48="Next Year",OperBgt!K5&gt;DispositionMonth,OperBgt!K5&lt;=DispositionMonth+12),SUM(K80),
IF(AND('General Inputs'!$H$48="Blend",OperBgt!K5&gt;DispositionMonth-6,OperBgt!K5&lt;=DispositionMonth+6),SUM(K80),
IF(AND('General Inputs'!$H$48="Current Year",OperBgt!K5&lt;=DispositionMonth,OperBgt!K5&gt;DispositionMonth-12),SUM(K80),0)))</f>
        <v>0</v>
      </c>
      <c r="L130" s="230">
        <f>IF(AND('General Inputs'!$H$48="Next Year",OperBgt!L5&gt;DispositionMonth,OperBgt!L5&lt;=DispositionMonth+12),SUM(L80),
IF(AND('General Inputs'!$H$48="Blend",OperBgt!L5&gt;DispositionMonth-6,OperBgt!L5&lt;=DispositionMonth+6),SUM(L80),
IF(AND('General Inputs'!$H$48="Current Year",OperBgt!L5&lt;=DispositionMonth,OperBgt!L5&gt;DispositionMonth-12),SUM(L80),0)))</f>
        <v>0</v>
      </c>
      <c r="M130" s="230">
        <f>IF(AND('General Inputs'!$H$48="Next Year",OperBgt!M5&gt;DispositionMonth,OperBgt!M5&lt;=DispositionMonth+12),SUM(M80),
IF(AND('General Inputs'!$H$48="Blend",OperBgt!M5&gt;DispositionMonth-6,OperBgt!M5&lt;=DispositionMonth+6),SUM(M80),
IF(AND('General Inputs'!$H$48="Current Year",OperBgt!M5&lt;=DispositionMonth,OperBgt!M5&gt;DispositionMonth-12),SUM(M80),0)))</f>
        <v>0</v>
      </c>
      <c r="N130" s="230">
        <f>IF(AND('General Inputs'!$H$48="Next Year",OperBgt!N5&gt;DispositionMonth,OperBgt!N5&lt;=DispositionMonth+12),SUM(N80),
IF(AND('General Inputs'!$H$48="Blend",OperBgt!N5&gt;DispositionMonth-6,OperBgt!N5&lt;=DispositionMonth+6),SUM(N80),
IF(AND('General Inputs'!$H$48="Current Year",OperBgt!N5&lt;=DispositionMonth,OperBgt!N5&gt;DispositionMonth-12),SUM(N80),0)))</f>
        <v>0</v>
      </c>
      <c r="O130" s="230">
        <f>IF(AND('General Inputs'!$H$48="Next Year",OperBgt!O5&gt;DispositionMonth,OperBgt!O5&lt;=DispositionMonth+12),SUM(O80),
IF(AND('General Inputs'!$H$48="Blend",OperBgt!O5&gt;DispositionMonth-6,OperBgt!O5&lt;=DispositionMonth+6),SUM(O80),
IF(AND('General Inputs'!$H$48="Current Year",OperBgt!O5&lt;=DispositionMonth,OperBgt!O5&gt;DispositionMonth-12),SUM(O80),0)))</f>
        <v>0</v>
      </c>
      <c r="P130" s="230">
        <f>IF(AND('General Inputs'!$H$48="Next Year",OperBgt!P5&gt;DispositionMonth,OperBgt!P5&lt;=DispositionMonth+12),SUM(P80),
IF(AND('General Inputs'!$H$48="Blend",OperBgt!P5&gt;DispositionMonth-6,OperBgt!P5&lt;=DispositionMonth+6),SUM(P80),
IF(AND('General Inputs'!$H$48="Current Year",OperBgt!P5&lt;=DispositionMonth,OperBgt!P5&gt;DispositionMonth-12),SUM(P80),0)))</f>
        <v>0</v>
      </c>
      <c r="Q130" s="230">
        <f>IF(AND('General Inputs'!$H$48="Next Year",OperBgt!Q5&gt;DispositionMonth,OperBgt!Q5&lt;=DispositionMonth+12),SUM(Q80),
IF(AND('General Inputs'!$H$48="Blend",OperBgt!Q5&gt;DispositionMonth-6,OperBgt!Q5&lt;=DispositionMonth+6),SUM(Q80),
IF(AND('General Inputs'!$H$48="Current Year",OperBgt!Q5&lt;=DispositionMonth,OperBgt!Q5&gt;DispositionMonth-12),SUM(Q80),0)))</f>
        <v>0</v>
      </c>
      <c r="R130" s="230">
        <f>IF(AND('General Inputs'!$H$48="Next Year",OperBgt!R5&gt;DispositionMonth,OperBgt!R5&lt;=DispositionMonth+12),SUM(R80),
IF(AND('General Inputs'!$H$48="Blend",OperBgt!R5&gt;DispositionMonth-6,OperBgt!R5&lt;=DispositionMonth+6),SUM(R80),
IF(AND('General Inputs'!$H$48="Current Year",OperBgt!R5&lt;=DispositionMonth,OperBgt!R5&gt;DispositionMonth-12),SUM(R80),0)))</f>
        <v>0</v>
      </c>
      <c r="S130" s="230">
        <f>IF(AND('General Inputs'!$H$48="Next Year",OperBgt!S5&gt;DispositionMonth,OperBgt!S5&lt;=DispositionMonth+12),SUM(S80),
IF(AND('General Inputs'!$H$48="Blend",OperBgt!S5&gt;DispositionMonth-6,OperBgt!S5&lt;=DispositionMonth+6),SUM(S80),
IF(AND('General Inputs'!$H$48="Current Year",OperBgt!S5&lt;=DispositionMonth,OperBgt!S5&gt;DispositionMonth-12),SUM(S80),0)))</f>
        <v>0</v>
      </c>
      <c r="T130" s="230">
        <f>IF(AND('General Inputs'!$H$48="Next Year",OperBgt!T5&gt;DispositionMonth,OperBgt!T5&lt;=DispositionMonth+12),SUM(T80),
IF(AND('General Inputs'!$H$48="Blend",OperBgt!T5&gt;DispositionMonth-6,OperBgt!T5&lt;=DispositionMonth+6),SUM(T80),
IF(AND('General Inputs'!$H$48="Current Year",OperBgt!T5&lt;=DispositionMonth,OperBgt!T5&gt;DispositionMonth-12),SUM(T80),0)))</f>
        <v>0</v>
      </c>
      <c r="U130" s="230">
        <f>IF(AND('General Inputs'!$H$48="Next Year",OperBgt!U5&gt;DispositionMonth,OperBgt!U5&lt;=DispositionMonth+12),SUM(U80),
IF(AND('General Inputs'!$H$48="Blend",OperBgt!U5&gt;DispositionMonth-6,OperBgt!U5&lt;=DispositionMonth+6),SUM(U80),
IF(AND('General Inputs'!$H$48="Current Year",OperBgt!U5&lt;=DispositionMonth,OperBgt!U5&gt;DispositionMonth-12),SUM(U80),0)))</f>
        <v>0</v>
      </c>
      <c r="V130" s="230">
        <f>IF(AND('General Inputs'!$H$48="Next Year",OperBgt!V5&gt;DispositionMonth,OperBgt!V5&lt;=DispositionMonth+12),SUM(V80),
IF(AND('General Inputs'!$H$48="Blend",OperBgt!V5&gt;DispositionMonth-6,OperBgt!V5&lt;=DispositionMonth+6),SUM(V80),
IF(AND('General Inputs'!$H$48="Current Year",OperBgt!V5&lt;=DispositionMonth,OperBgt!V5&gt;DispositionMonth-12),SUM(V80),0)))</f>
        <v>0</v>
      </c>
      <c r="W130" s="230">
        <f>IF(AND('General Inputs'!$H$48="Next Year",OperBgt!W5&gt;DispositionMonth,OperBgt!W5&lt;=DispositionMonth+12),SUM(W80),
IF(AND('General Inputs'!$H$48="Blend",OperBgt!W5&gt;DispositionMonth-6,OperBgt!W5&lt;=DispositionMonth+6),SUM(W80),
IF(AND('General Inputs'!$H$48="Current Year",OperBgt!W5&lt;=DispositionMonth,OperBgt!W5&gt;DispositionMonth-12),SUM(W80),0)))</f>
        <v>0</v>
      </c>
      <c r="X130" s="230">
        <f>IF(AND('General Inputs'!$H$48="Next Year",OperBgt!X5&gt;DispositionMonth,OperBgt!X5&lt;=DispositionMonth+12),SUM(X80),
IF(AND('General Inputs'!$H$48="Blend",OperBgt!X5&gt;DispositionMonth-6,OperBgt!X5&lt;=DispositionMonth+6),SUM(X80),
IF(AND('General Inputs'!$H$48="Current Year",OperBgt!X5&lt;=DispositionMonth,OperBgt!X5&gt;DispositionMonth-12),SUM(X80),0)))</f>
        <v>0</v>
      </c>
      <c r="Y130" s="230">
        <f>IF(AND('General Inputs'!$H$48="Next Year",OperBgt!Y5&gt;DispositionMonth,OperBgt!Y5&lt;=DispositionMonth+12),SUM(Y80),
IF(AND('General Inputs'!$H$48="Blend",OperBgt!Y5&gt;DispositionMonth-6,OperBgt!Y5&lt;=DispositionMonth+6),SUM(Y80),
IF(AND('General Inputs'!$H$48="Current Year",OperBgt!Y5&lt;=DispositionMonth,OperBgt!Y5&gt;DispositionMonth-12),SUM(Y80),0)))</f>
        <v>0</v>
      </c>
      <c r="Z130" s="230">
        <f>IF(AND('General Inputs'!$H$48="Next Year",OperBgt!Z5&gt;DispositionMonth,OperBgt!Z5&lt;=DispositionMonth+12),SUM(Z80),
IF(AND('General Inputs'!$H$48="Blend",OperBgt!Z5&gt;DispositionMonth-6,OperBgt!Z5&lt;=DispositionMonth+6),SUM(Z80),
IF(AND('General Inputs'!$H$48="Current Year",OperBgt!Z5&lt;=DispositionMonth,OperBgt!Z5&gt;DispositionMonth-12),SUM(Z80),0)))</f>
        <v>0</v>
      </c>
      <c r="AA130" s="230">
        <f>IF(AND('General Inputs'!$H$48="Next Year",OperBgt!AA5&gt;DispositionMonth,OperBgt!AA5&lt;=DispositionMonth+12),SUM(AA80),
IF(AND('General Inputs'!$H$48="Blend",OperBgt!AA5&gt;DispositionMonth-6,OperBgt!AA5&lt;=DispositionMonth+6),SUM(AA80),
IF(AND('General Inputs'!$H$48="Current Year",OperBgt!AA5&lt;=DispositionMonth,OperBgt!AA5&gt;DispositionMonth-12),SUM(AA80),0)))</f>
        <v>0</v>
      </c>
      <c r="AB130" s="230">
        <f>IF(AND('General Inputs'!$H$48="Next Year",OperBgt!AB5&gt;DispositionMonth,OperBgt!AB5&lt;=DispositionMonth+12),SUM(AB80),
IF(AND('General Inputs'!$H$48="Blend",OperBgt!AB5&gt;DispositionMonth-6,OperBgt!AB5&lt;=DispositionMonth+6),SUM(AB80),
IF(AND('General Inputs'!$H$48="Current Year",OperBgt!AB5&lt;=DispositionMonth,OperBgt!AB5&gt;DispositionMonth-12),SUM(AB80),0)))</f>
        <v>0</v>
      </c>
      <c r="AC130" s="230">
        <f>IF(AND('General Inputs'!$H$48="Next Year",OperBgt!AC5&gt;DispositionMonth,OperBgt!AC5&lt;=DispositionMonth+12),SUM(AC80),
IF(AND('General Inputs'!$H$48="Blend",OperBgt!AC5&gt;DispositionMonth-6,OperBgt!AC5&lt;=DispositionMonth+6),SUM(AC80),
IF(AND('General Inputs'!$H$48="Current Year",OperBgt!AC5&lt;=DispositionMonth,OperBgt!AC5&gt;DispositionMonth-12),SUM(AC80),0)))</f>
        <v>0</v>
      </c>
      <c r="AD130" s="230">
        <f>IF(AND('General Inputs'!$H$48="Next Year",OperBgt!AD5&gt;DispositionMonth,OperBgt!AD5&lt;=DispositionMonth+12),SUM(AD80),
IF(AND('General Inputs'!$H$48="Blend",OperBgt!AD5&gt;DispositionMonth-6,OperBgt!AD5&lt;=DispositionMonth+6),SUM(AD80),
IF(AND('General Inputs'!$H$48="Current Year",OperBgt!AD5&lt;=DispositionMonth,OperBgt!AD5&gt;DispositionMonth-12),SUM(AD80),0)))</f>
        <v>0</v>
      </c>
      <c r="AE130" s="230">
        <f>IF(AND('General Inputs'!$H$48="Next Year",OperBgt!AE5&gt;DispositionMonth,OperBgt!AE5&lt;=DispositionMonth+12),SUM(AE80),
IF(AND('General Inputs'!$H$48="Blend",OperBgt!AE5&gt;DispositionMonth-6,OperBgt!AE5&lt;=DispositionMonth+6),SUM(AE80),
IF(AND('General Inputs'!$H$48="Current Year",OperBgt!AE5&lt;=DispositionMonth,OperBgt!AE5&gt;DispositionMonth-12),SUM(AE80),0)))</f>
        <v>0</v>
      </c>
      <c r="AF130" s="230">
        <f>IF(AND('General Inputs'!$H$48="Next Year",OperBgt!AF5&gt;DispositionMonth,OperBgt!AF5&lt;=DispositionMonth+12),SUM(AF80),
IF(AND('General Inputs'!$H$48="Blend",OperBgt!AF5&gt;DispositionMonth-6,OperBgt!AF5&lt;=DispositionMonth+6),SUM(AF80),
IF(AND('General Inputs'!$H$48="Current Year",OperBgt!AF5&lt;=DispositionMonth,OperBgt!AF5&gt;DispositionMonth-12),SUM(AF80),0)))</f>
        <v>0</v>
      </c>
      <c r="AG130" s="230">
        <f>IF(AND('General Inputs'!$H$48="Next Year",OperBgt!AG5&gt;DispositionMonth,OperBgt!AG5&lt;=DispositionMonth+12),SUM(AG80),
IF(AND('General Inputs'!$H$48="Blend",OperBgt!AG5&gt;DispositionMonth-6,OperBgt!AG5&lt;=DispositionMonth+6),SUM(AG80),
IF(AND('General Inputs'!$H$48="Current Year",OperBgt!AG5&lt;=DispositionMonth,OperBgt!AG5&gt;DispositionMonth-12),SUM(AG80),0)))</f>
        <v>0</v>
      </c>
      <c r="AH130" s="230">
        <f>IF(AND('General Inputs'!$H$48="Next Year",OperBgt!AH5&gt;DispositionMonth,OperBgt!AH5&lt;=DispositionMonth+12),SUM(AH80),
IF(AND('General Inputs'!$H$48="Blend",OperBgt!AH5&gt;DispositionMonth-6,OperBgt!AH5&lt;=DispositionMonth+6),SUM(AH80),
IF(AND('General Inputs'!$H$48="Current Year",OperBgt!AH5&lt;=DispositionMonth,OperBgt!AH5&gt;DispositionMonth-12),SUM(AH80),0)))</f>
        <v>0</v>
      </c>
      <c r="AI130" s="230">
        <f ca="1">IF(AND('General Inputs'!$H$48="Next Year",OperBgt!AI5&gt;DispositionMonth,OperBgt!AI5&lt;=DispositionMonth+12),SUM(AI80),
IF(AND('General Inputs'!$H$48="Blend",OperBgt!AI5&gt;DispositionMonth-6,OperBgt!AI5&lt;=DispositionMonth+6),SUM(AI80),
IF(AND('General Inputs'!$H$48="Current Year",OperBgt!AI5&lt;=DispositionMonth,OperBgt!AI5&gt;DispositionMonth-12),SUM(AI80),0)))</f>
        <v>180521.69836093878</v>
      </c>
      <c r="AJ130" s="230">
        <f ca="1">IF(AND('General Inputs'!$H$48="Next Year",OperBgt!AJ5&gt;DispositionMonth,OperBgt!AJ5&lt;=DispositionMonth+12),SUM(AJ80),
IF(AND('General Inputs'!$H$48="Blend",OperBgt!AJ5&gt;DispositionMonth-6,OperBgt!AJ5&lt;=DispositionMonth+6),SUM(AJ80),
IF(AND('General Inputs'!$H$48="Current Year",OperBgt!AJ5&lt;=DispositionMonth,OperBgt!AJ5&gt;DispositionMonth-12),SUM(AJ80),0)))</f>
        <v>181233.31881539078</v>
      </c>
      <c r="AK130" s="230">
        <f ca="1">IF(AND('General Inputs'!$H$48="Next Year",OperBgt!AK5&gt;DispositionMonth,OperBgt!AK5&lt;=DispositionMonth+12),SUM(AK80),
IF(AND('General Inputs'!$H$48="Blend",OperBgt!AK5&gt;DispositionMonth-6,OperBgt!AK5&lt;=DispositionMonth+6),SUM(AK80),
IF(AND('General Inputs'!$H$48="Current Year",OperBgt!AK5&lt;=DispositionMonth,OperBgt!AK5&gt;DispositionMonth-12),SUM(AK80),0)))</f>
        <v>181537.20510961564</v>
      </c>
      <c r="AL130" s="230">
        <f ca="1">IF(AND('General Inputs'!$H$48="Next Year",OperBgt!AL5&gt;DispositionMonth,OperBgt!AL5&lt;=DispositionMonth+12),SUM(AL80),
IF(AND('General Inputs'!$H$48="Blend",OperBgt!AL5&gt;DispositionMonth-6,OperBgt!AL5&lt;=DispositionMonth+6),SUM(AL80),
IF(AND('General Inputs'!$H$48="Current Year",OperBgt!AL5&lt;=DispositionMonth,OperBgt!AL5&gt;DispositionMonth-12),SUM(AL80),0)))</f>
        <v>181623.66772220549</v>
      </c>
      <c r="AM130" s="230">
        <f ca="1">IF(AND('General Inputs'!$H$48="Next Year",OperBgt!AM5&gt;DispositionMonth,OperBgt!AM5&lt;=DispositionMonth+12),SUM(AM80),
IF(AND('General Inputs'!$H$48="Blend",OperBgt!AM5&gt;DispositionMonth-6,OperBgt!AM5&lt;=DispositionMonth+6),SUM(AM80),
IF(AND('General Inputs'!$H$48="Current Year",OperBgt!AM5&lt;=DispositionMonth,OperBgt!AM5&gt;DispositionMonth-12),SUM(AM80),0)))</f>
        <v>181709.80213915309</v>
      </c>
      <c r="AN130" s="230">
        <f ca="1">IF(AND('General Inputs'!$H$48="Next Year",OperBgt!AN5&gt;DispositionMonth,OperBgt!AN5&lt;=DispositionMonth+12),SUM(AN80),
IF(AND('General Inputs'!$H$48="Blend",OperBgt!AN5&gt;DispositionMonth-6,OperBgt!AN5&lt;=DispositionMonth+6),SUM(AN80),
IF(AND('General Inputs'!$H$48="Current Year",OperBgt!AN5&lt;=DispositionMonth,OperBgt!AN5&gt;DispositionMonth-12),SUM(AN80),0)))</f>
        <v>181795.60251443888</v>
      </c>
      <c r="AO130" s="230">
        <f ca="1">IF(AND('General Inputs'!$H$48="Next Year",OperBgt!AO5&gt;DispositionMonth,OperBgt!AO5&lt;=DispositionMonth+12),SUM(AO80),
IF(AND('General Inputs'!$H$48="Blend",OperBgt!AO5&gt;DispositionMonth-6,OperBgt!AO5&lt;=DispositionMonth+6),SUM(AO80),
IF(AND('General Inputs'!$H$48="Current Year",OperBgt!AO5&lt;=DispositionMonth,OperBgt!AO5&gt;DispositionMonth-12),SUM(AO80),0)))</f>
        <v>181881.06294940988</v>
      </c>
      <c r="AP130" s="230">
        <f ca="1">IF(AND('General Inputs'!$H$48="Next Year",OperBgt!AP5&gt;DispositionMonth,OperBgt!AP5&lt;=DispositionMonth+12),SUM(AP80),
IF(AND('General Inputs'!$H$48="Blend",OperBgt!AP5&gt;DispositionMonth-6,OperBgt!AP5&lt;=DispositionMonth+6),SUM(AP80),
IF(AND('General Inputs'!$H$48="Current Year",OperBgt!AP5&lt;=DispositionMonth,OperBgt!AP5&gt;DispositionMonth-12),SUM(AP80),0)))</f>
        <v>181966.17749238582</v>
      </c>
      <c r="AQ130" s="230">
        <f ca="1">IF(AND('General Inputs'!$H$48="Next Year",OperBgt!AQ5&gt;DispositionMonth,OperBgt!AQ5&lt;=DispositionMonth+12),SUM(AQ80),
IF(AND('General Inputs'!$H$48="Blend",OperBgt!AQ5&gt;DispositionMonth-6,OperBgt!AQ5&lt;=DispositionMonth+6),SUM(AQ80),
IF(AND('General Inputs'!$H$48="Current Year",OperBgt!AQ5&lt;=DispositionMonth,OperBgt!AQ5&gt;DispositionMonth-12),SUM(AQ80),0)))</f>
        <v>182025.04847776698</v>
      </c>
      <c r="AR130" s="230">
        <f ca="1">IF(AND('General Inputs'!$H$48="Next Year",OperBgt!AR5&gt;DispositionMonth,OperBgt!AR5&lt;=DispositionMonth+12),SUM(AR80),
IF(AND('General Inputs'!$H$48="Blend",OperBgt!AR5&gt;DispositionMonth-6,OperBgt!AR5&lt;=DispositionMonth+6),SUM(AR80),
IF(AND('General Inputs'!$H$48="Current Year",OperBgt!AR5&lt;=DispositionMonth,OperBgt!AR5&gt;DispositionMonth-12),SUM(AR80),0)))</f>
        <v>182135.38654323798</v>
      </c>
      <c r="AS130" s="230">
        <f ca="1">IF(AND('General Inputs'!$H$48="Next Year",OperBgt!AS5&gt;DispositionMonth,OperBgt!AS5&lt;=DispositionMonth+12),SUM(AS80),
IF(AND('General Inputs'!$H$48="Blend",OperBgt!AS5&gt;DispositionMonth-6,OperBgt!AS5&lt;=DispositionMonth+6),SUM(AS80),
IF(AND('General Inputs'!$H$48="Current Year",OperBgt!AS5&lt;=DispositionMonth,OperBgt!AS5&gt;DispositionMonth-12),SUM(AS80),0)))</f>
        <v>182231.75681109502</v>
      </c>
      <c r="AT130" s="230">
        <f ca="1">IF(AND('General Inputs'!$H$48="Next Year",OperBgt!AT5&gt;DispositionMonth,OperBgt!AT5&lt;=DispositionMonth+12),SUM(AT80),
IF(AND('General Inputs'!$H$48="Blend",OperBgt!AT5&gt;DispositionMonth-6,OperBgt!AT5&lt;=DispositionMonth+6),SUM(AT80),
IF(AND('General Inputs'!$H$48="Current Year",OperBgt!AT5&lt;=DispositionMonth,OperBgt!AT5&gt;DispositionMonth-12),SUM(AT80),0)))</f>
        <v>188731.35141301222</v>
      </c>
      <c r="AU130" s="230">
        <f>IF(AND('General Inputs'!$H$48="Next Year",OperBgt!AU5&gt;DispositionMonth,OperBgt!AU5&lt;=DispositionMonth+12),SUM(AU80),
IF(AND('General Inputs'!$H$48="Blend",OperBgt!AU5&gt;DispositionMonth-6,OperBgt!AU5&lt;=DispositionMonth+6),SUM(AU80),
IF(AND('General Inputs'!$H$48="Current Year",OperBgt!AU5&lt;=DispositionMonth,OperBgt!AU5&gt;DispositionMonth-12),SUM(AU80),0)))</f>
        <v>0</v>
      </c>
      <c r="AV130" s="230">
        <f>IF(AND('General Inputs'!$H$48="Next Year",OperBgt!AV5&gt;DispositionMonth,OperBgt!AV5&lt;=DispositionMonth+12),SUM(AV80),
IF(AND('General Inputs'!$H$48="Blend",OperBgt!AV5&gt;DispositionMonth-6,OperBgt!AV5&lt;=DispositionMonth+6),SUM(AV80),
IF(AND('General Inputs'!$H$48="Current Year",OperBgt!AV5&lt;=DispositionMonth,OperBgt!AV5&gt;DispositionMonth-12),SUM(AV80),0)))</f>
        <v>0</v>
      </c>
      <c r="AW130" s="230">
        <f>IF(AND('General Inputs'!$H$48="Next Year",OperBgt!AW5&gt;DispositionMonth,OperBgt!AW5&lt;=DispositionMonth+12),SUM(AW80),
IF(AND('General Inputs'!$H$48="Blend",OperBgt!AW5&gt;DispositionMonth-6,OperBgt!AW5&lt;=DispositionMonth+6),SUM(AW80),
IF(AND('General Inputs'!$H$48="Current Year",OperBgt!AW5&lt;=DispositionMonth,OperBgt!AW5&gt;DispositionMonth-12),SUM(AW80),0)))</f>
        <v>0</v>
      </c>
      <c r="AX130" s="230">
        <f>IF(AND('General Inputs'!$H$48="Next Year",OperBgt!AX5&gt;DispositionMonth,OperBgt!AX5&lt;=DispositionMonth+12),SUM(AX80),
IF(AND('General Inputs'!$H$48="Blend",OperBgt!AX5&gt;DispositionMonth-6,OperBgt!AX5&lt;=DispositionMonth+6),SUM(AX80),
IF(AND('General Inputs'!$H$48="Current Year",OperBgt!AX5&lt;=DispositionMonth,OperBgt!AX5&gt;DispositionMonth-12),SUM(AX80),0)))</f>
        <v>0</v>
      </c>
      <c r="AY130" s="230">
        <f>IF(AND('General Inputs'!$H$48="Next Year",OperBgt!AY5&gt;DispositionMonth,OperBgt!AY5&lt;=DispositionMonth+12),SUM(AY80),
IF(AND('General Inputs'!$H$48="Blend",OperBgt!AY5&gt;DispositionMonth-6,OperBgt!AY5&lt;=DispositionMonth+6),SUM(AY80),
IF(AND('General Inputs'!$H$48="Current Year",OperBgt!AY5&lt;=DispositionMonth,OperBgt!AY5&gt;DispositionMonth-12),SUM(AY80),0)))</f>
        <v>0</v>
      </c>
      <c r="AZ130" s="230">
        <f>IF(AND('General Inputs'!$H$48="Next Year",OperBgt!AZ5&gt;DispositionMonth,OperBgt!AZ5&lt;=DispositionMonth+12),SUM(AZ80),
IF(AND('General Inputs'!$H$48="Blend",OperBgt!AZ5&gt;DispositionMonth-6,OperBgt!AZ5&lt;=DispositionMonth+6),SUM(AZ80),
IF(AND('General Inputs'!$H$48="Current Year",OperBgt!AZ5&lt;=DispositionMonth,OperBgt!AZ5&gt;DispositionMonth-12),SUM(AZ80),0)))</f>
        <v>0</v>
      </c>
      <c r="BA130" s="230">
        <f>IF(AND('General Inputs'!$H$48="Next Year",OperBgt!BA5&gt;DispositionMonth,OperBgt!BA5&lt;=DispositionMonth+12),SUM(BA80),
IF(AND('General Inputs'!$H$48="Blend",OperBgt!BA5&gt;DispositionMonth-6,OperBgt!BA5&lt;=DispositionMonth+6),SUM(BA80),
IF(AND('General Inputs'!$H$48="Current Year",OperBgt!BA5&lt;=DispositionMonth,OperBgt!BA5&gt;DispositionMonth-12),SUM(BA80),0)))</f>
        <v>0</v>
      </c>
      <c r="BB130" s="230">
        <f>IF(AND('General Inputs'!$H$48="Next Year",OperBgt!BB5&gt;DispositionMonth,OperBgt!BB5&lt;=DispositionMonth+12),SUM(BB80),
IF(AND('General Inputs'!$H$48="Blend",OperBgt!BB5&gt;DispositionMonth-6,OperBgt!BB5&lt;=DispositionMonth+6),SUM(BB80),
IF(AND('General Inputs'!$H$48="Current Year",OperBgt!BB5&lt;=DispositionMonth,OperBgt!BB5&gt;DispositionMonth-12),SUM(BB80),0)))</f>
        <v>0</v>
      </c>
      <c r="BC130" s="230">
        <f>IF(AND('General Inputs'!$H$48="Next Year",OperBgt!BC5&gt;DispositionMonth,OperBgt!BC5&lt;=DispositionMonth+12),SUM(BC80),
IF(AND('General Inputs'!$H$48="Blend",OperBgt!BC5&gt;DispositionMonth-6,OperBgt!BC5&lt;=DispositionMonth+6),SUM(BC80),
IF(AND('General Inputs'!$H$48="Current Year",OperBgt!BC5&lt;=DispositionMonth,OperBgt!BC5&gt;DispositionMonth-12),SUM(BC80),0)))</f>
        <v>0</v>
      </c>
      <c r="BD130" s="230">
        <f>IF(AND('General Inputs'!$H$48="Next Year",OperBgt!BD5&gt;DispositionMonth,OperBgt!BD5&lt;=DispositionMonth+12),SUM(BD80),
IF(AND('General Inputs'!$H$48="Blend",OperBgt!BD5&gt;DispositionMonth-6,OperBgt!BD5&lt;=DispositionMonth+6),SUM(BD80),
IF(AND('General Inputs'!$H$48="Current Year",OperBgt!BD5&lt;=DispositionMonth,OperBgt!BD5&gt;DispositionMonth-12),SUM(BD80),0)))</f>
        <v>0</v>
      </c>
      <c r="BE130" s="230">
        <f>IF(AND('General Inputs'!$H$48="Next Year",OperBgt!BE5&gt;DispositionMonth,OperBgt!BE5&lt;=DispositionMonth+12),SUM(BE80),
IF(AND('General Inputs'!$H$48="Blend",OperBgt!BE5&gt;DispositionMonth-6,OperBgt!BE5&lt;=DispositionMonth+6),SUM(BE80),
IF(AND('General Inputs'!$H$48="Current Year",OperBgt!BE5&lt;=DispositionMonth,OperBgt!BE5&gt;DispositionMonth-12),SUM(BE80),0)))</f>
        <v>0</v>
      </c>
      <c r="BF130" s="230">
        <f>IF(AND('General Inputs'!$H$48="Next Year",OperBgt!BF5&gt;DispositionMonth,OperBgt!BF5&lt;=DispositionMonth+12),SUM(BF80),
IF(AND('General Inputs'!$H$48="Blend",OperBgt!BF5&gt;DispositionMonth-6,OperBgt!BF5&lt;=DispositionMonth+6),SUM(BF80),
IF(AND('General Inputs'!$H$48="Current Year",OperBgt!BF5&lt;=DispositionMonth,OperBgt!BF5&gt;DispositionMonth-12),SUM(BF80),0)))</f>
        <v>0</v>
      </c>
      <c r="BG130" s="230">
        <f>IF(AND('General Inputs'!$H$48="Next Year",OperBgt!BG5&gt;DispositionMonth,OperBgt!BG5&lt;=DispositionMonth+12),SUM(BG80),
IF(AND('General Inputs'!$H$48="Blend",OperBgt!BG5&gt;DispositionMonth-6,OperBgt!BG5&lt;=DispositionMonth+6),SUM(BG80),
IF(AND('General Inputs'!$H$48="Current Year",OperBgt!BG5&lt;=DispositionMonth,OperBgt!BG5&gt;DispositionMonth-12),SUM(BG80),0)))</f>
        <v>0</v>
      </c>
      <c r="BH130" s="230">
        <f>IF(AND('General Inputs'!$H$48="Next Year",OperBgt!BH5&gt;DispositionMonth,OperBgt!BH5&lt;=DispositionMonth+12),SUM(BH80),
IF(AND('General Inputs'!$H$48="Blend",OperBgt!BH5&gt;DispositionMonth-6,OperBgt!BH5&lt;=DispositionMonth+6),SUM(BH80),
IF(AND('General Inputs'!$H$48="Current Year",OperBgt!BH5&lt;=DispositionMonth,OperBgt!BH5&gt;DispositionMonth-12),SUM(BH80),0)))</f>
        <v>0</v>
      </c>
      <c r="BI130" s="230">
        <f>IF(AND('General Inputs'!$H$48="Next Year",OperBgt!BI5&gt;DispositionMonth,OperBgt!BI5&lt;=DispositionMonth+12),SUM(BI80),
IF(AND('General Inputs'!$H$48="Blend",OperBgt!BI5&gt;DispositionMonth-6,OperBgt!BI5&lt;=DispositionMonth+6),SUM(BI80),
IF(AND('General Inputs'!$H$48="Current Year",OperBgt!BI5&lt;=DispositionMonth,OperBgt!BI5&gt;DispositionMonth-12),SUM(BI80),0)))</f>
        <v>0</v>
      </c>
      <c r="BJ130" s="230">
        <f>IF(AND('General Inputs'!$H$48="Next Year",OperBgt!BJ5&gt;DispositionMonth,OperBgt!BJ5&lt;=DispositionMonth+12),SUM(BJ80),
IF(AND('General Inputs'!$H$48="Blend",OperBgt!BJ5&gt;DispositionMonth-6,OperBgt!BJ5&lt;=DispositionMonth+6),SUM(BJ80),
IF(AND('General Inputs'!$H$48="Current Year",OperBgt!BJ5&lt;=DispositionMonth,OperBgt!BJ5&gt;DispositionMonth-12),SUM(BJ80),0)))</f>
        <v>0</v>
      </c>
      <c r="BK130" s="230">
        <f>IF(AND('General Inputs'!$H$48="Next Year",OperBgt!BK5&gt;DispositionMonth,OperBgt!BK5&lt;=DispositionMonth+12),SUM(BK80),
IF(AND('General Inputs'!$H$48="Blend",OperBgt!BK5&gt;DispositionMonth-6,OperBgt!BK5&lt;=DispositionMonth+6),SUM(BK80),
IF(AND('General Inputs'!$H$48="Current Year",OperBgt!BK5&lt;=DispositionMonth,OperBgt!BK5&gt;DispositionMonth-12),SUM(BK80),0)))</f>
        <v>0</v>
      </c>
      <c r="BL130" s="230">
        <f>IF(AND('General Inputs'!$H$48="Next Year",OperBgt!BL5&gt;DispositionMonth,OperBgt!BL5&lt;=DispositionMonth+12),SUM(BL80),
IF(AND('General Inputs'!$H$48="Blend",OperBgt!BL5&gt;DispositionMonth-6,OperBgt!BL5&lt;=DispositionMonth+6),SUM(BL80),
IF(AND('General Inputs'!$H$48="Current Year",OperBgt!BL5&lt;=DispositionMonth,OperBgt!BL5&gt;DispositionMonth-12),SUM(BL80),0)))</f>
        <v>0</v>
      </c>
      <c r="BM130" s="230">
        <f>IF(AND('General Inputs'!$H$48="Next Year",OperBgt!BM5&gt;DispositionMonth,OperBgt!BM5&lt;=DispositionMonth+12),SUM(BM80),
IF(AND('General Inputs'!$H$48="Blend",OperBgt!BM5&gt;DispositionMonth-6,OperBgt!BM5&lt;=DispositionMonth+6),SUM(BM80),
IF(AND('General Inputs'!$H$48="Current Year",OperBgt!BM5&lt;=DispositionMonth,OperBgt!BM5&gt;DispositionMonth-12),SUM(BM80),0)))</f>
        <v>0</v>
      </c>
      <c r="BN130" s="230">
        <f>IF(AND('General Inputs'!$H$48="Next Year",OperBgt!BN5&gt;DispositionMonth,OperBgt!BN5&lt;=DispositionMonth+12),SUM(BN80),
IF(AND('General Inputs'!$H$48="Blend",OperBgt!BN5&gt;DispositionMonth-6,OperBgt!BN5&lt;=DispositionMonth+6),SUM(BN80),
IF(AND('General Inputs'!$H$48="Current Year",OperBgt!BN5&lt;=DispositionMonth,OperBgt!BN5&gt;DispositionMonth-12),SUM(BN80),0)))</f>
        <v>0</v>
      </c>
      <c r="BO130" s="230">
        <f>IF(AND('General Inputs'!$H$48="Next Year",OperBgt!BO5&gt;DispositionMonth,OperBgt!BO5&lt;=DispositionMonth+12),SUM(BO80),
IF(AND('General Inputs'!$H$48="Blend",OperBgt!BO5&gt;DispositionMonth-6,OperBgt!BO5&lt;=DispositionMonth+6),SUM(BO80),
IF(AND('General Inputs'!$H$48="Current Year",OperBgt!BO5&lt;=DispositionMonth,OperBgt!BO5&gt;DispositionMonth-12),SUM(BO80),0)))</f>
        <v>0</v>
      </c>
      <c r="BP130" s="230">
        <f>IF(AND('General Inputs'!$H$48="Next Year",OperBgt!BP5&gt;DispositionMonth,OperBgt!BP5&lt;=DispositionMonth+12),SUM(BP80),
IF(AND('General Inputs'!$H$48="Blend",OperBgt!BP5&gt;DispositionMonth-6,OperBgt!BP5&lt;=DispositionMonth+6),SUM(BP80),
IF(AND('General Inputs'!$H$48="Current Year",OperBgt!BP5&lt;=DispositionMonth,OperBgt!BP5&gt;DispositionMonth-12),SUM(BP80),0)))</f>
        <v>0</v>
      </c>
      <c r="BQ130" s="230">
        <f>IF(AND('General Inputs'!$H$48="Next Year",OperBgt!BQ5&gt;DispositionMonth,OperBgt!BQ5&lt;=DispositionMonth+12),SUM(BQ80),
IF(AND('General Inputs'!$H$48="Blend",OperBgt!BQ5&gt;DispositionMonth-6,OperBgt!BQ5&lt;=DispositionMonth+6),SUM(BQ80),
IF(AND('General Inputs'!$H$48="Current Year",OperBgt!BQ5&lt;=DispositionMonth,OperBgt!BQ5&gt;DispositionMonth-12),SUM(BQ80),0)))</f>
        <v>0</v>
      </c>
      <c r="BR130" s="230">
        <f>IF(AND('General Inputs'!$H$48="Next Year",OperBgt!BR5&gt;DispositionMonth,OperBgt!BR5&lt;=DispositionMonth+12),SUM(BR80),
IF(AND('General Inputs'!$H$48="Blend",OperBgt!BR5&gt;DispositionMonth-6,OperBgt!BR5&lt;=DispositionMonth+6),SUM(BR80),
IF(AND('General Inputs'!$H$48="Current Year",OperBgt!BR5&lt;=DispositionMonth,OperBgt!BR5&gt;DispositionMonth-12),SUM(BR80),0)))</f>
        <v>0</v>
      </c>
      <c r="BS130" s="230">
        <f>IF(AND('General Inputs'!$H$48="Next Year",OperBgt!BS5&gt;DispositionMonth,OperBgt!BS5&lt;=DispositionMonth+12),SUM(BS80),
IF(AND('General Inputs'!$H$48="Blend",OperBgt!BS5&gt;DispositionMonth-6,OperBgt!BS5&lt;=DispositionMonth+6),SUM(BS80),
IF(AND('General Inputs'!$H$48="Current Year",OperBgt!BS5&lt;=DispositionMonth,OperBgt!BS5&gt;DispositionMonth-12),SUM(BS80),0)))</f>
        <v>0</v>
      </c>
      <c r="BT130" s="230">
        <f>IF(AND('General Inputs'!$H$48="Next Year",OperBgt!BT5&gt;DispositionMonth,OperBgt!BT5&lt;=DispositionMonth+12),SUM(BT80),
IF(AND('General Inputs'!$H$48="Blend",OperBgt!BT5&gt;DispositionMonth-6,OperBgt!BT5&lt;=DispositionMonth+6),SUM(BT80),
IF(AND('General Inputs'!$H$48="Current Year",OperBgt!BT5&lt;=DispositionMonth,OperBgt!BT5&gt;DispositionMonth-12),SUM(BT80),0)))</f>
        <v>0</v>
      </c>
      <c r="BU130" s="230">
        <f>IF(AND('General Inputs'!$H$48="Next Year",OperBgt!BU5&gt;DispositionMonth,OperBgt!BU5&lt;=DispositionMonth+12),SUM(BU80),
IF(AND('General Inputs'!$H$48="Blend",OperBgt!BU5&gt;DispositionMonth-6,OperBgt!BU5&lt;=DispositionMonth+6),SUM(BU80),
IF(AND('General Inputs'!$H$48="Current Year",OperBgt!BU5&lt;=DispositionMonth,OperBgt!BU5&gt;DispositionMonth-12),SUM(BU80),0)))</f>
        <v>0</v>
      </c>
      <c r="BV130" s="230">
        <f>IF(AND('General Inputs'!$H$48="Next Year",OperBgt!BV5&gt;DispositionMonth,OperBgt!BV5&lt;=DispositionMonth+12),SUM(BV80),
IF(AND('General Inputs'!$H$48="Blend",OperBgt!BV5&gt;DispositionMonth-6,OperBgt!BV5&lt;=DispositionMonth+6),SUM(BV80),
IF(AND('General Inputs'!$H$48="Current Year",OperBgt!BV5&lt;=DispositionMonth,OperBgt!BV5&gt;DispositionMonth-12),SUM(BV80),0)))</f>
        <v>0</v>
      </c>
      <c r="BW130" s="230">
        <f>IF(AND('General Inputs'!$H$48="Next Year",OperBgt!BW5&gt;DispositionMonth,OperBgt!BW5&lt;=DispositionMonth+12),SUM(BW80),
IF(AND('General Inputs'!$H$48="Blend",OperBgt!BW5&gt;DispositionMonth-6,OperBgt!BW5&lt;=DispositionMonth+6),SUM(BW80),
IF(AND('General Inputs'!$H$48="Current Year",OperBgt!BW5&lt;=DispositionMonth,OperBgt!BW5&gt;DispositionMonth-12),SUM(BW80),0)))</f>
        <v>0</v>
      </c>
      <c r="BX130" s="230">
        <f>IF(AND('General Inputs'!$H$48="Next Year",OperBgt!BX5&gt;DispositionMonth,OperBgt!BX5&lt;=DispositionMonth+12),SUM(BX80),
IF(AND('General Inputs'!$H$48="Blend",OperBgt!BX5&gt;DispositionMonth-6,OperBgt!BX5&lt;=DispositionMonth+6),SUM(BX80),
IF(AND('General Inputs'!$H$48="Current Year",OperBgt!BX5&lt;=DispositionMonth,OperBgt!BX5&gt;DispositionMonth-12),SUM(BX80),0)))</f>
        <v>0</v>
      </c>
      <c r="BY130" s="230">
        <f>IF(AND('General Inputs'!$H$48="Next Year",OperBgt!BY5&gt;DispositionMonth,OperBgt!BY5&lt;=DispositionMonth+12),SUM(BY80),
IF(AND('General Inputs'!$H$48="Blend",OperBgt!BY5&gt;DispositionMonth-6,OperBgt!BY5&lt;=DispositionMonth+6),SUM(BY80),
IF(AND('General Inputs'!$H$48="Current Year",OperBgt!BY5&lt;=DispositionMonth,OperBgt!BY5&gt;DispositionMonth-12),SUM(BY80),0)))</f>
        <v>0</v>
      </c>
      <c r="BZ130" s="230">
        <f>IF(AND('General Inputs'!$H$48="Next Year",OperBgt!BZ5&gt;DispositionMonth,OperBgt!BZ5&lt;=DispositionMonth+12),SUM(BZ80),
IF(AND('General Inputs'!$H$48="Blend",OperBgt!BZ5&gt;DispositionMonth-6,OperBgt!BZ5&lt;=DispositionMonth+6),SUM(BZ80),
IF(AND('General Inputs'!$H$48="Current Year",OperBgt!BZ5&lt;=DispositionMonth,OperBgt!BZ5&gt;DispositionMonth-12),SUM(BZ80),0)))</f>
        <v>0</v>
      </c>
      <c r="CA130" s="230">
        <f>IF(AND('General Inputs'!$H$48="Next Year",OperBgt!CA5&gt;DispositionMonth,OperBgt!CA5&lt;=DispositionMonth+12),SUM(CA80),
IF(AND('General Inputs'!$H$48="Blend",OperBgt!CA5&gt;DispositionMonth-6,OperBgt!CA5&lt;=DispositionMonth+6),SUM(CA80),
IF(AND('General Inputs'!$H$48="Current Year",OperBgt!CA5&lt;=DispositionMonth,OperBgt!CA5&gt;DispositionMonth-12),SUM(CA80),0)))</f>
        <v>0</v>
      </c>
      <c r="CB130" s="230">
        <f>IF(AND('General Inputs'!$H$48="Next Year",OperBgt!CB5&gt;DispositionMonth,OperBgt!CB5&lt;=DispositionMonth+12),SUM(CB80),
IF(AND('General Inputs'!$H$48="Blend",OperBgt!CB5&gt;DispositionMonth-6,OperBgt!CB5&lt;=DispositionMonth+6),SUM(CB80),
IF(AND('General Inputs'!$H$48="Current Year",OperBgt!CB5&lt;=DispositionMonth,OperBgt!CB5&gt;DispositionMonth-12),SUM(CB80),0)))</f>
        <v>0</v>
      </c>
      <c r="CC130" s="230">
        <f>IF(AND('General Inputs'!$H$48="Next Year",OperBgt!CC5&gt;DispositionMonth,OperBgt!CC5&lt;=DispositionMonth+12),SUM(CC80),
IF(AND('General Inputs'!$H$48="Blend",OperBgt!CC5&gt;DispositionMonth-6,OperBgt!CC5&lt;=DispositionMonth+6),SUM(CC80),
IF(AND('General Inputs'!$H$48="Current Year",OperBgt!CC5&lt;=DispositionMonth,OperBgt!CC5&gt;DispositionMonth-12),SUM(CC80),0)))</f>
        <v>0</v>
      </c>
      <c r="CD130" s="230">
        <f>IF(AND('General Inputs'!$H$48="Next Year",OperBgt!CD5&gt;DispositionMonth,OperBgt!CD5&lt;=DispositionMonth+12),SUM(CD80),
IF(AND('General Inputs'!$H$48="Blend",OperBgt!CD5&gt;DispositionMonth-6,OperBgt!CD5&lt;=DispositionMonth+6),SUM(CD80),
IF(AND('General Inputs'!$H$48="Current Year",OperBgt!CD5&lt;=DispositionMonth,OperBgt!CD5&gt;DispositionMonth-12),SUM(CD80),0)))</f>
        <v>0</v>
      </c>
      <c r="CE130" s="230">
        <f>IF(AND('General Inputs'!$H$48="Next Year",OperBgt!CE5&gt;DispositionMonth,OperBgt!CE5&lt;=DispositionMonth+12),SUM(CE80),
IF(AND('General Inputs'!$H$48="Blend",OperBgt!CE5&gt;DispositionMonth-6,OperBgt!CE5&lt;=DispositionMonth+6),SUM(CE80),
IF(AND('General Inputs'!$H$48="Current Year",OperBgt!CE5&lt;=DispositionMonth,OperBgt!CE5&gt;DispositionMonth-12),SUM(CE80),0)))</f>
        <v>0</v>
      </c>
      <c r="CF130" s="230">
        <f>IF(AND('General Inputs'!$H$48="Next Year",OperBgt!CF5&gt;DispositionMonth,OperBgt!CF5&lt;=DispositionMonth+12),SUM(CF80),
IF(AND('General Inputs'!$H$48="Blend",OperBgt!CF5&gt;DispositionMonth-6,OperBgt!CF5&lt;=DispositionMonth+6),SUM(CF80),
IF(AND('General Inputs'!$H$48="Current Year",OperBgt!CF5&lt;=DispositionMonth,OperBgt!CF5&gt;DispositionMonth-12),SUM(CF80),0)))</f>
        <v>0</v>
      </c>
      <c r="CG130" s="230">
        <f>IF(AND('General Inputs'!$H$48="Next Year",OperBgt!CG5&gt;DispositionMonth,OperBgt!CG5&lt;=DispositionMonth+12),SUM(CG80),
IF(AND('General Inputs'!$H$48="Blend",OperBgt!CG5&gt;DispositionMonth-6,OperBgt!CG5&lt;=DispositionMonth+6),SUM(CG80),
IF(AND('General Inputs'!$H$48="Current Year",OperBgt!CG5&lt;=DispositionMonth,OperBgt!CG5&gt;DispositionMonth-12),SUM(CG80),0)))</f>
        <v>0</v>
      </c>
      <c r="CH130" s="230">
        <f>IF(AND('General Inputs'!$H$48="Next Year",OperBgt!CH5&gt;DispositionMonth,OperBgt!CH5&lt;=DispositionMonth+12),SUM(CH80),
IF(AND('General Inputs'!$H$48="Blend",OperBgt!CH5&gt;DispositionMonth-6,OperBgt!CH5&lt;=DispositionMonth+6),SUM(CH80),
IF(AND('General Inputs'!$H$48="Current Year",OperBgt!CH5&lt;=DispositionMonth,OperBgt!CH5&gt;DispositionMonth-12),SUM(CH80),0)))</f>
        <v>0</v>
      </c>
      <c r="CI130" s="230">
        <f>IF(AND('General Inputs'!$H$48="Next Year",OperBgt!CI5&gt;DispositionMonth,OperBgt!CI5&lt;=DispositionMonth+12),SUM(CI80),
IF(AND('General Inputs'!$H$48="Blend",OperBgt!CI5&gt;DispositionMonth-6,OperBgt!CI5&lt;=DispositionMonth+6),SUM(CI80),
IF(AND('General Inputs'!$H$48="Current Year",OperBgt!CI5&lt;=DispositionMonth,OperBgt!CI5&gt;DispositionMonth-12),SUM(CI80),0)))</f>
        <v>0</v>
      </c>
      <c r="CJ130" s="230">
        <f>IF(AND('General Inputs'!$H$48="Next Year",OperBgt!CJ5&gt;DispositionMonth,OperBgt!CJ5&lt;=DispositionMonth+12),SUM(CJ80),
IF(AND('General Inputs'!$H$48="Blend",OperBgt!CJ5&gt;DispositionMonth-6,OperBgt!CJ5&lt;=DispositionMonth+6),SUM(CJ80),
IF(AND('General Inputs'!$H$48="Current Year",OperBgt!CJ5&lt;=DispositionMonth,OperBgt!CJ5&gt;DispositionMonth-12),SUM(CJ80),0)))</f>
        <v>0</v>
      </c>
      <c r="CK130" s="230">
        <f>IF(AND('General Inputs'!$H$48="Next Year",OperBgt!CK5&gt;DispositionMonth,OperBgt!CK5&lt;=DispositionMonth+12),SUM(CK80),
IF(AND('General Inputs'!$H$48="Blend",OperBgt!CK5&gt;DispositionMonth-6,OperBgt!CK5&lt;=DispositionMonth+6),SUM(CK80),
IF(AND('General Inputs'!$H$48="Current Year",OperBgt!CK5&lt;=DispositionMonth,OperBgt!CK5&gt;DispositionMonth-12),SUM(CK80),0)))</f>
        <v>0</v>
      </c>
      <c r="CL130" s="230">
        <f>IF(AND('General Inputs'!$H$48="Next Year",OperBgt!CL5&gt;DispositionMonth,OperBgt!CL5&lt;=DispositionMonth+12),SUM(CL80),
IF(AND('General Inputs'!$H$48="Blend",OperBgt!CL5&gt;DispositionMonth-6,OperBgt!CL5&lt;=DispositionMonth+6),SUM(CL80),
IF(AND('General Inputs'!$H$48="Current Year",OperBgt!CL5&lt;=DispositionMonth,OperBgt!CL5&gt;DispositionMonth-12),SUM(CL80),0)))</f>
        <v>0</v>
      </c>
      <c r="CM130" s="230">
        <f>IF(AND('General Inputs'!$H$48="Next Year",OperBgt!CM5&gt;DispositionMonth,OperBgt!CM5&lt;=DispositionMonth+12),SUM(CM80),
IF(AND('General Inputs'!$H$48="Blend",OperBgt!CM5&gt;DispositionMonth-6,OperBgt!CM5&lt;=DispositionMonth+6),SUM(CM80),
IF(AND('General Inputs'!$H$48="Current Year",OperBgt!CM5&lt;=DispositionMonth,OperBgt!CM5&gt;DispositionMonth-12),SUM(CM80),0)))</f>
        <v>0</v>
      </c>
      <c r="CN130" s="230">
        <f>IF(AND('General Inputs'!$H$48="Next Year",OperBgt!CN5&gt;DispositionMonth,OperBgt!CN5&lt;=DispositionMonth+12),SUM(CN80),
IF(AND('General Inputs'!$H$48="Blend",OperBgt!CN5&gt;DispositionMonth-6,OperBgt!CN5&lt;=DispositionMonth+6),SUM(CN80),
IF(AND('General Inputs'!$H$48="Current Year",OperBgt!CN5&lt;=DispositionMonth,OperBgt!CN5&gt;DispositionMonth-12),SUM(CN80),0)))</f>
        <v>0</v>
      </c>
      <c r="CO130" s="230">
        <f>IF(AND('General Inputs'!$H$48="Next Year",OperBgt!CO5&gt;DispositionMonth,OperBgt!CO5&lt;=DispositionMonth+12),SUM(CO80),
IF(AND('General Inputs'!$H$48="Blend",OperBgt!CO5&gt;DispositionMonth-6,OperBgt!CO5&lt;=DispositionMonth+6),SUM(CO80),
IF(AND('General Inputs'!$H$48="Current Year",OperBgt!CO5&lt;=DispositionMonth,OperBgt!CO5&gt;DispositionMonth-12),SUM(CO80),0)))</f>
        <v>0</v>
      </c>
      <c r="CP130" s="230">
        <f>IF(AND('General Inputs'!$H$48="Next Year",OperBgt!CP5&gt;DispositionMonth,OperBgt!CP5&lt;=DispositionMonth+12),SUM(CP80),
IF(AND('General Inputs'!$H$48="Blend",OperBgt!CP5&gt;DispositionMonth-6,OperBgt!CP5&lt;=DispositionMonth+6),SUM(CP80),
IF(AND('General Inputs'!$H$48="Current Year",OperBgt!CP5&lt;=DispositionMonth,OperBgt!CP5&gt;DispositionMonth-12),SUM(CP80),0)))</f>
        <v>0</v>
      </c>
      <c r="CQ130" s="230">
        <f>IF(AND('General Inputs'!$H$48="Next Year",OperBgt!CQ5&gt;DispositionMonth,OperBgt!CQ5&lt;=DispositionMonth+12),SUM(CQ80),
IF(AND('General Inputs'!$H$48="Blend",OperBgt!CQ5&gt;DispositionMonth-6,OperBgt!CQ5&lt;=DispositionMonth+6),SUM(CQ80),
IF(AND('General Inputs'!$H$48="Current Year",OperBgt!CQ5&lt;=DispositionMonth,OperBgt!CQ5&gt;DispositionMonth-12),SUM(CQ80),0)))</f>
        <v>0</v>
      </c>
      <c r="CR130" s="230">
        <f>IF(AND('General Inputs'!$H$48="Next Year",OperBgt!CR5&gt;DispositionMonth,OperBgt!CR5&lt;=DispositionMonth+12),SUM(CR80),
IF(AND('General Inputs'!$H$48="Blend",OperBgt!CR5&gt;DispositionMonth-6,OperBgt!CR5&lt;=DispositionMonth+6),SUM(CR80),
IF(AND('General Inputs'!$H$48="Current Year",OperBgt!CR5&lt;=DispositionMonth,OperBgt!CR5&gt;DispositionMonth-12),SUM(CR80),0)))</f>
        <v>0</v>
      </c>
      <c r="CS130" s="230">
        <f>IF(AND('General Inputs'!$H$48="Next Year",OperBgt!CS5&gt;DispositionMonth,OperBgt!CS5&lt;=DispositionMonth+12),SUM(CS80),
IF(AND('General Inputs'!$H$48="Blend",OperBgt!CS5&gt;DispositionMonth-6,OperBgt!CS5&lt;=DispositionMonth+6),SUM(CS80),
IF(AND('General Inputs'!$H$48="Current Year",OperBgt!CS5&lt;=DispositionMonth,OperBgt!CS5&gt;DispositionMonth-12),SUM(CS80),0)))</f>
        <v>0</v>
      </c>
      <c r="CT130" s="230">
        <f>IF(AND('General Inputs'!$H$48="Next Year",OperBgt!CT5&gt;DispositionMonth,OperBgt!CT5&lt;=DispositionMonth+12),SUM(CT80),
IF(AND('General Inputs'!$H$48="Blend",OperBgt!CT5&gt;DispositionMonth-6,OperBgt!CT5&lt;=DispositionMonth+6),SUM(CT80),
IF(AND('General Inputs'!$H$48="Current Year",OperBgt!CT5&lt;=DispositionMonth,OperBgt!CT5&gt;DispositionMonth-12),SUM(CT80),0)))</f>
        <v>0</v>
      </c>
      <c r="CU130" s="230">
        <f>IF(AND('General Inputs'!$H$48="Next Year",OperBgt!CU5&gt;DispositionMonth,OperBgt!CU5&lt;=DispositionMonth+12),SUM(CU80),
IF(AND('General Inputs'!$H$48="Blend",OperBgt!CU5&gt;DispositionMonth-6,OperBgt!CU5&lt;=DispositionMonth+6),SUM(CU80),
IF(AND('General Inputs'!$H$48="Current Year",OperBgt!CU5&lt;=DispositionMonth,OperBgt!CU5&gt;DispositionMonth-12),SUM(CU80),0)))</f>
        <v>0</v>
      </c>
      <c r="CV130" s="230">
        <f>IF(AND('General Inputs'!$H$48="Next Year",OperBgt!CV5&gt;DispositionMonth,OperBgt!CV5&lt;=DispositionMonth+12),SUM(CV80),
IF(AND('General Inputs'!$H$48="Blend",OperBgt!CV5&gt;DispositionMonth-6,OperBgt!CV5&lt;=DispositionMonth+6),SUM(CV80),
IF(AND('General Inputs'!$H$48="Current Year",OperBgt!CV5&lt;=DispositionMonth,OperBgt!CV5&gt;DispositionMonth-12),SUM(CV80),0)))</f>
        <v>0</v>
      </c>
      <c r="CW130" s="230">
        <f>IF(AND('General Inputs'!$H$48="Next Year",OperBgt!CW5&gt;DispositionMonth,OperBgt!CW5&lt;=DispositionMonth+12),SUM(CW80),
IF(AND('General Inputs'!$H$48="Blend",OperBgt!CW5&gt;DispositionMonth-6,OperBgt!CW5&lt;=DispositionMonth+6),SUM(CW80),
IF(AND('General Inputs'!$H$48="Current Year",OperBgt!CW5&lt;=DispositionMonth,OperBgt!CW5&gt;DispositionMonth-12),SUM(CW80),0)))</f>
        <v>0</v>
      </c>
      <c r="CX130" s="230">
        <f>IF(AND('General Inputs'!$H$48="Next Year",OperBgt!CX5&gt;DispositionMonth,OperBgt!CX5&lt;=DispositionMonth+12),SUM(CX80),
IF(AND('General Inputs'!$H$48="Blend",OperBgt!CX5&gt;DispositionMonth-6,OperBgt!CX5&lt;=DispositionMonth+6),SUM(CX80),
IF(AND('General Inputs'!$H$48="Current Year",OperBgt!CX5&lt;=DispositionMonth,OperBgt!CX5&gt;DispositionMonth-12),SUM(CX80),0)))</f>
        <v>0</v>
      </c>
      <c r="CY130" s="230">
        <f>IF(AND('General Inputs'!$H$48="Next Year",OperBgt!CY5&gt;DispositionMonth,OperBgt!CY5&lt;=DispositionMonth+12),SUM(CY80),
IF(AND('General Inputs'!$H$48="Blend",OperBgt!CY5&gt;DispositionMonth-6,OperBgt!CY5&lt;=DispositionMonth+6),SUM(CY80),
IF(AND('General Inputs'!$H$48="Current Year",OperBgt!CY5&lt;=DispositionMonth,OperBgt!CY5&gt;DispositionMonth-12),SUM(CY80),0)))</f>
        <v>0</v>
      </c>
      <c r="CZ130" s="230">
        <f>IF(AND('General Inputs'!$H$48="Next Year",OperBgt!CZ5&gt;DispositionMonth,OperBgt!CZ5&lt;=DispositionMonth+12),SUM(CZ80),
IF(AND('General Inputs'!$H$48="Blend",OperBgt!CZ5&gt;DispositionMonth-6,OperBgt!CZ5&lt;=DispositionMonth+6),SUM(CZ80),
IF(AND('General Inputs'!$H$48="Current Year",OperBgt!CZ5&lt;=DispositionMonth,OperBgt!CZ5&gt;DispositionMonth-12),SUM(CZ80),0)))</f>
        <v>0</v>
      </c>
      <c r="DA130" s="230">
        <f>IF(AND('General Inputs'!$H$48="Next Year",OperBgt!DA5&gt;DispositionMonth,OperBgt!DA5&lt;=DispositionMonth+12),SUM(DA80),
IF(AND('General Inputs'!$H$48="Blend",OperBgt!DA5&gt;DispositionMonth-6,OperBgt!DA5&lt;=DispositionMonth+6),SUM(DA80),
IF(AND('General Inputs'!$H$48="Current Year",OperBgt!DA5&lt;=DispositionMonth,OperBgt!DA5&gt;DispositionMonth-12),SUM(DA80),0)))</f>
        <v>0</v>
      </c>
      <c r="DB130" s="230">
        <f>IF(AND('General Inputs'!$H$48="Next Year",OperBgt!DB5&gt;DispositionMonth,OperBgt!DB5&lt;=DispositionMonth+12),SUM(DB80),
IF(AND('General Inputs'!$H$48="Blend",OperBgt!DB5&gt;DispositionMonth-6,OperBgt!DB5&lt;=DispositionMonth+6),SUM(DB80),
IF(AND('General Inputs'!$H$48="Current Year",OperBgt!DB5&lt;=DispositionMonth,OperBgt!DB5&gt;DispositionMonth-12),SUM(DB80),0)))</f>
        <v>0</v>
      </c>
      <c r="DC130" s="230">
        <f>IF(AND('General Inputs'!$H$48="Next Year",OperBgt!DC5&gt;DispositionMonth,OperBgt!DC5&lt;=DispositionMonth+12),SUM(DC80),
IF(AND('General Inputs'!$H$48="Blend",OperBgt!DC5&gt;DispositionMonth-6,OperBgt!DC5&lt;=DispositionMonth+6),SUM(DC80),
IF(AND('General Inputs'!$H$48="Current Year",OperBgt!DC5&lt;=DispositionMonth,OperBgt!DC5&gt;DispositionMonth-12),SUM(DC80),0)))</f>
        <v>0</v>
      </c>
      <c r="DD130" s="230">
        <f>IF(AND('General Inputs'!$H$48="Next Year",OperBgt!DD5&gt;DispositionMonth,OperBgt!DD5&lt;=DispositionMonth+12),SUM(DD80),
IF(AND('General Inputs'!$H$48="Blend",OperBgt!DD5&gt;DispositionMonth-6,OperBgt!DD5&lt;=DispositionMonth+6),SUM(DD80),
IF(AND('General Inputs'!$H$48="Current Year",OperBgt!DD5&lt;=DispositionMonth,OperBgt!DD5&gt;DispositionMonth-12),SUM(DD80),0)))</f>
        <v>0</v>
      </c>
      <c r="DE130" s="230">
        <f>IF(AND('General Inputs'!$H$48="Next Year",OperBgt!DE5&gt;DispositionMonth,OperBgt!DE5&lt;=DispositionMonth+12),SUM(DE80),
IF(AND('General Inputs'!$H$48="Blend",OperBgt!DE5&gt;DispositionMonth-6,OperBgt!DE5&lt;=DispositionMonth+6),SUM(DE80),
IF(AND('General Inputs'!$H$48="Current Year",OperBgt!DE5&lt;=DispositionMonth,OperBgt!DE5&gt;DispositionMonth-12),SUM(DE80),0)))</f>
        <v>0</v>
      </c>
      <c r="DF130" s="230">
        <f>IF(AND('General Inputs'!$H$48="Next Year",OperBgt!DF5&gt;DispositionMonth,OperBgt!DF5&lt;=DispositionMonth+12),SUM(DF80),
IF(AND('General Inputs'!$H$48="Blend",OperBgt!DF5&gt;DispositionMonth-6,OperBgt!DF5&lt;=DispositionMonth+6),SUM(DF80),
IF(AND('General Inputs'!$H$48="Current Year",OperBgt!DF5&lt;=DispositionMonth,OperBgt!DF5&gt;DispositionMonth-12),SUM(DF80),0)))</f>
        <v>0</v>
      </c>
      <c r="DG130" s="230">
        <f>IF(AND('General Inputs'!$H$48="Next Year",OperBgt!DG5&gt;DispositionMonth,OperBgt!DG5&lt;=DispositionMonth+12),SUM(DG80),
IF(AND('General Inputs'!$H$48="Blend",OperBgt!DG5&gt;DispositionMonth-6,OperBgt!DG5&lt;=DispositionMonth+6),SUM(DG80),
IF(AND('General Inputs'!$H$48="Current Year",OperBgt!DG5&lt;=DispositionMonth,OperBgt!DG5&gt;DispositionMonth-12),SUM(DG80),0)))</f>
        <v>0</v>
      </c>
      <c r="DH130" s="230">
        <f>IF(AND('General Inputs'!$H$48="Next Year",OperBgt!DH5&gt;DispositionMonth,OperBgt!DH5&lt;=DispositionMonth+12),SUM(DH80),
IF(AND('General Inputs'!$H$48="Blend",OperBgt!DH5&gt;DispositionMonth-6,OperBgt!DH5&lt;=DispositionMonth+6),SUM(DH80),
IF(AND('General Inputs'!$H$48="Current Year",OperBgt!DH5&lt;=DispositionMonth,OperBgt!DH5&gt;DispositionMonth-12),SUM(DH80),0)))</f>
        <v>0</v>
      </c>
      <c r="DI130" s="230">
        <f>IF(AND('General Inputs'!$H$48="Next Year",OperBgt!DI5&gt;DispositionMonth,OperBgt!DI5&lt;=DispositionMonth+12),SUM(DI80),
IF(AND('General Inputs'!$H$48="Blend",OperBgt!DI5&gt;DispositionMonth-6,OperBgt!DI5&lt;=DispositionMonth+6),SUM(DI80),
IF(AND('General Inputs'!$H$48="Current Year",OperBgt!DI5&lt;=DispositionMonth,OperBgt!DI5&gt;DispositionMonth-12),SUM(DI80),0)))</f>
        <v>0</v>
      </c>
      <c r="DJ130" s="230">
        <f>IF(AND('General Inputs'!$H$48="Next Year",OperBgt!DJ5&gt;DispositionMonth,OperBgt!DJ5&lt;=DispositionMonth+12),SUM(DJ80),
IF(AND('General Inputs'!$H$48="Blend",OperBgt!DJ5&gt;DispositionMonth-6,OperBgt!DJ5&lt;=DispositionMonth+6),SUM(DJ80),
IF(AND('General Inputs'!$H$48="Current Year",OperBgt!DJ5&lt;=DispositionMonth,OperBgt!DJ5&gt;DispositionMonth-12),SUM(DJ80),0)))</f>
        <v>0</v>
      </c>
      <c r="DK130" s="230">
        <f>IF(AND('General Inputs'!$H$48="Next Year",OperBgt!DK5&gt;DispositionMonth,OperBgt!DK5&lt;=DispositionMonth+12),SUM(DK80),
IF(AND('General Inputs'!$H$48="Blend",OperBgt!DK5&gt;DispositionMonth-6,OperBgt!DK5&lt;=DispositionMonth+6),SUM(DK80),
IF(AND('General Inputs'!$H$48="Current Year",OperBgt!DK5&lt;=DispositionMonth,OperBgt!DK5&gt;DispositionMonth-12),SUM(DK80),0)))</f>
        <v>0</v>
      </c>
      <c r="DL130" s="230">
        <f>IF(AND('General Inputs'!$H$48="Next Year",OperBgt!DL5&gt;DispositionMonth,OperBgt!DL5&lt;=DispositionMonth+12),SUM(DL80),
IF(AND('General Inputs'!$H$48="Blend",OperBgt!DL5&gt;DispositionMonth-6,OperBgt!DL5&lt;=DispositionMonth+6),SUM(DL80),
IF(AND('General Inputs'!$H$48="Current Year",OperBgt!DL5&lt;=DispositionMonth,OperBgt!DL5&gt;DispositionMonth-12),SUM(DL80),0)))</f>
        <v>0</v>
      </c>
      <c r="DM130" s="230">
        <f>IF(AND('General Inputs'!$H$48="Next Year",OperBgt!DM5&gt;DispositionMonth,OperBgt!DM5&lt;=DispositionMonth+12),SUM(DM80),
IF(AND('General Inputs'!$H$48="Blend",OperBgt!DM5&gt;DispositionMonth-6,OperBgt!DM5&lt;=DispositionMonth+6),SUM(DM80),
IF(AND('General Inputs'!$H$48="Current Year",OperBgt!DM5&lt;=DispositionMonth,OperBgt!DM5&gt;DispositionMonth-12),SUM(DM80),0)))</f>
        <v>0</v>
      </c>
      <c r="DN130" s="230">
        <f>IF(AND('General Inputs'!$H$48="Next Year",OperBgt!DN5&gt;DispositionMonth,OperBgt!DN5&lt;=DispositionMonth+12),SUM(DN80),
IF(AND('General Inputs'!$H$48="Blend",OperBgt!DN5&gt;DispositionMonth-6,OperBgt!DN5&lt;=DispositionMonth+6),SUM(DN80),
IF(AND('General Inputs'!$H$48="Current Year",OperBgt!DN5&lt;=DispositionMonth,OperBgt!DN5&gt;DispositionMonth-12),SUM(DN80),0)))</f>
        <v>0</v>
      </c>
      <c r="DO130" s="230">
        <f>IF(AND('General Inputs'!$H$48="Next Year",OperBgt!DO5&gt;DispositionMonth,OperBgt!DO5&lt;=DispositionMonth+12),SUM(DO80),
IF(AND('General Inputs'!$H$48="Blend",OperBgt!DO5&gt;DispositionMonth-6,OperBgt!DO5&lt;=DispositionMonth+6),SUM(DO80),
IF(AND('General Inputs'!$H$48="Current Year",OperBgt!DO5&lt;=DispositionMonth,OperBgt!DO5&gt;DispositionMonth-12),SUM(DO80),0)))</f>
        <v>0</v>
      </c>
      <c r="DP130" s="230">
        <f>IF(AND('General Inputs'!$H$48="Next Year",OperBgt!DP5&gt;DispositionMonth,OperBgt!DP5&lt;=DispositionMonth+12),SUM(DP80),
IF(AND('General Inputs'!$H$48="Blend",OperBgt!DP5&gt;DispositionMonth-6,OperBgt!DP5&lt;=DispositionMonth+6),SUM(DP80),
IF(AND('General Inputs'!$H$48="Current Year",OperBgt!DP5&lt;=DispositionMonth,OperBgt!DP5&gt;DispositionMonth-12),SUM(DP80),0)))</f>
        <v>0</v>
      </c>
      <c r="DQ130" s="230">
        <f>IF(AND('General Inputs'!$H$48="Next Year",OperBgt!DQ5&gt;DispositionMonth,OperBgt!DQ5&lt;=DispositionMonth+12),SUM(DQ80),
IF(AND('General Inputs'!$H$48="Blend",OperBgt!DQ5&gt;DispositionMonth-6,OperBgt!DQ5&lt;=DispositionMonth+6),SUM(DQ80),
IF(AND('General Inputs'!$H$48="Current Year",OperBgt!DQ5&lt;=DispositionMonth,OperBgt!DQ5&gt;DispositionMonth-12),SUM(DQ80),0)))</f>
        <v>0</v>
      </c>
      <c r="DR130" s="230">
        <f>IF(AND('General Inputs'!$H$48="Next Year",OperBgt!DR5&gt;DispositionMonth,OperBgt!DR5&lt;=DispositionMonth+12),SUM(DR80),
IF(AND('General Inputs'!$H$48="Blend",OperBgt!DR5&gt;DispositionMonth-6,OperBgt!DR5&lt;=DispositionMonth+6),SUM(DR80),
IF(AND('General Inputs'!$H$48="Current Year",OperBgt!DR5&lt;=DispositionMonth,OperBgt!DR5&gt;DispositionMonth-12),SUM(DR80),0)))</f>
        <v>0</v>
      </c>
      <c r="DS130" s="230">
        <f>IF(AND('General Inputs'!$H$48="Next Year",OperBgt!DS5&gt;DispositionMonth,OperBgt!DS5&lt;=DispositionMonth+12),SUM(DS80),
IF(AND('General Inputs'!$H$48="Blend",OperBgt!DS5&gt;DispositionMonth-6,OperBgt!DS5&lt;=DispositionMonth+6),SUM(DS80),
IF(AND('General Inputs'!$H$48="Current Year",OperBgt!DS5&lt;=DispositionMonth,OperBgt!DS5&gt;DispositionMonth-12),SUM(DS80),0)))</f>
        <v>0</v>
      </c>
      <c r="DT130" s="230">
        <f>IF(AND('General Inputs'!$H$48="Next Year",OperBgt!DT5&gt;DispositionMonth,OperBgt!DT5&lt;=DispositionMonth+12),SUM(DT80),
IF(AND('General Inputs'!$H$48="Blend",OperBgt!DT5&gt;DispositionMonth-6,OperBgt!DT5&lt;=DispositionMonth+6),SUM(DT80),
IF(AND('General Inputs'!$H$48="Current Year",OperBgt!DT5&lt;=DispositionMonth,OperBgt!DT5&gt;DispositionMonth-12),SUM(DT80),0)))</f>
        <v>0</v>
      </c>
      <c r="DU130" s="230">
        <f>IF(AND('General Inputs'!$H$48="Next Year",OperBgt!DU5&gt;DispositionMonth,OperBgt!DU5&lt;=DispositionMonth+12),SUM(DU80),
IF(AND('General Inputs'!$H$48="Blend",OperBgt!DU5&gt;DispositionMonth-6,OperBgt!DU5&lt;=DispositionMonth+6),SUM(DU80),
IF(AND('General Inputs'!$H$48="Current Year",OperBgt!DU5&lt;=DispositionMonth,OperBgt!DU5&gt;DispositionMonth-12),SUM(DU80),0)))</f>
        <v>0</v>
      </c>
      <c r="DV130" s="230">
        <f>IF(AND('General Inputs'!$H$48="Next Year",OperBgt!DV5&gt;DispositionMonth,OperBgt!DV5&lt;=DispositionMonth+12),SUM(DV80),
IF(AND('General Inputs'!$H$48="Blend",OperBgt!DV5&gt;DispositionMonth-6,OperBgt!DV5&lt;=DispositionMonth+6),SUM(DV80),
IF(AND('General Inputs'!$H$48="Current Year",OperBgt!DV5&lt;=DispositionMonth,OperBgt!DV5&gt;DispositionMonth-12),SUM(DV80),0)))</f>
        <v>0</v>
      </c>
      <c r="DW130" s="230">
        <f>IF(AND('General Inputs'!$H$48="Next Year",OperBgt!DW5&gt;DispositionMonth,OperBgt!DW5&lt;=DispositionMonth+12),SUM(DW80),
IF(AND('General Inputs'!$H$48="Blend",OperBgt!DW5&gt;DispositionMonth-6,OperBgt!DW5&lt;=DispositionMonth+6),SUM(DW80),
IF(AND('General Inputs'!$H$48="Current Year",OperBgt!DW5&lt;=DispositionMonth,OperBgt!DW5&gt;DispositionMonth-12),SUM(DW80),0)))</f>
        <v>0</v>
      </c>
      <c r="DX130" s="230">
        <f>IF(AND('General Inputs'!$H$48="Next Year",OperBgt!DX5&gt;DispositionMonth,OperBgt!DX5&lt;=DispositionMonth+12),SUM(DX80),
IF(AND('General Inputs'!$H$48="Blend",OperBgt!DX5&gt;DispositionMonth-6,OperBgt!DX5&lt;=DispositionMonth+6),SUM(DX80),
IF(AND('General Inputs'!$H$48="Current Year",OperBgt!DX5&lt;=DispositionMonth,OperBgt!DX5&gt;DispositionMonth-12),SUM(DX80),0)))</f>
        <v>0</v>
      </c>
      <c r="DY130" s="230">
        <f>IF(AND('General Inputs'!$H$48="Next Year",OperBgt!DY5&gt;DispositionMonth,OperBgt!DY5&lt;=DispositionMonth+12),SUM(DY80),
IF(AND('General Inputs'!$H$48="Blend",OperBgt!DY5&gt;DispositionMonth-6,OperBgt!DY5&lt;=DispositionMonth+6),SUM(DY80),
IF(AND('General Inputs'!$H$48="Current Year",OperBgt!DY5&lt;=DispositionMonth,OperBgt!DY5&gt;DispositionMonth-12),SUM(DY80),0)))</f>
        <v>0</v>
      </c>
      <c r="DZ130" s="230">
        <f>IF(AND('General Inputs'!$H$48="Next Year",OperBgt!DZ5&gt;DispositionMonth,OperBgt!DZ5&lt;=DispositionMonth+12),SUM(DZ80),
IF(AND('General Inputs'!$H$48="Blend",OperBgt!DZ5&gt;DispositionMonth-6,OperBgt!DZ5&lt;=DispositionMonth+6),SUM(DZ80),
IF(AND('General Inputs'!$H$48="Current Year",OperBgt!DZ5&lt;=DispositionMonth,OperBgt!DZ5&gt;DispositionMonth-12),SUM(DZ80),0)))</f>
        <v>0</v>
      </c>
      <c r="EA130" s="230">
        <f>IF(AND('General Inputs'!$H$48="Next Year",OperBgt!EA5&gt;DispositionMonth,OperBgt!EA5&lt;=DispositionMonth+12),SUM(EA80),
IF(AND('General Inputs'!$H$48="Blend",OperBgt!EA5&gt;DispositionMonth-6,OperBgt!EA5&lt;=DispositionMonth+6),SUM(EA80),
IF(AND('General Inputs'!$H$48="Current Year",OperBgt!EA5&lt;=DispositionMonth,OperBgt!EA5&gt;DispositionMonth-12),SUM(EA80),0)))</f>
        <v>0</v>
      </c>
      <c r="EB130" s="230">
        <f>IF(AND('General Inputs'!$H$48="Next Year",OperBgt!EB5&gt;DispositionMonth,OperBgt!EB5&lt;=DispositionMonth+12),SUM(EB80),
IF(AND('General Inputs'!$H$48="Blend",OperBgt!EB5&gt;DispositionMonth-6,OperBgt!EB5&lt;=DispositionMonth+6),SUM(EB80),
IF(AND('General Inputs'!$H$48="Current Year",OperBgt!EB5&lt;=DispositionMonth,OperBgt!EB5&gt;DispositionMonth-12),SUM(EB80),0)))</f>
        <v>0</v>
      </c>
      <c r="EC130" s="230">
        <f>IF(AND('General Inputs'!$H$48="Next Year",OperBgt!EC5&gt;DispositionMonth,OperBgt!EC5&lt;=DispositionMonth+12),SUM(EC80),
IF(AND('General Inputs'!$H$48="Blend",OperBgt!EC5&gt;DispositionMonth-6,OperBgt!EC5&lt;=DispositionMonth+6),SUM(EC80),
IF(AND('General Inputs'!$H$48="Current Year",OperBgt!EC5&lt;=DispositionMonth,OperBgt!EC5&gt;DispositionMonth-12),SUM(EC80),0)))</f>
        <v>0</v>
      </c>
      <c r="ED130" s="230">
        <f>IF(AND('General Inputs'!$H$48="Next Year",OperBgt!ED5&gt;DispositionMonth,OperBgt!ED5&lt;=DispositionMonth+12),SUM(ED80),
IF(AND('General Inputs'!$H$48="Blend",OperBgt!ED5&gt;DispositionMonth-6,OperBgt!ED5&lt;=DispositionMonth+6),SUM(ED80),
IF(AND('General Inputs'!$H$48="Current Year",OperBgt!ED5&lt;=DispositionMonth,OperBgt!ED5&gt;DispositionMonth-12),SUM(ED80),0)))</f>
        <v>0</v>
      </c>
      <c r="EE130" s="230">
        <f>IF(AND('General Inputs'!$H$48="Next Year",OperBgt!EE5&gt;DispositionMonth,OperBgt!EE5&lt;=DispositionMonth+12),SUM(EE80),
IF(AND('General Inputs'!$H$48="Blend",OperBgt!EE5&gt;DispositionMonth-6,OperBgt!EE5&lt;=DispositionMonth+6),SUM(EE80),
IF(AND('General Inputs'!$H$48="Current Year",OperBgt!EE5&lt;=DispositionMonth,OperBgt!EE5&gt;DispositionMonth-12),SUM(EE80),0)))</f>
        <v>0</v>
      </c>
      <c r="EF130" s="230">
        <f>IF(AND('General Inputs'!$H$48="Next Year",OperBgt!EF5&gt;DispositionMonth,OperBgt!EF5&lt;=DispositionMonth+12),SUM(EF80),
IF(AND('General Inputs'!$H$48="Blend",OperBgt!EF5&gt;DispositionMonth-6,OperBgt!EF5&lt;=DispositionMonth+6),SUM(EF80),
IF(AND('General Inputs'!$H$48="Current Year",OperBgt!EF5&lt;=DispositionMonth,OperBgt!EF5&gt;DispositionMonth-12),SUM(EF80),0)))</f>
        <v>0</v>
      </c>
      <c r="EG130" s="230">
        <f>IF(AND('General Inputs'!$H$48="Next Year",OperBgt!EG5&gt;DispositionMonth,OperBgt!EG5&lt;=DispositionMonth+12),SUM(EG80),
IF(AND('General Inputs'!$H$48="Blend",OperBgt!EG5&gt;DispositionMonth-6,OperBgt!EG5&lt;=DispositionMonth+6),SUM(EG80),
IF(AND('General Inputs'!$H$48="Current Year",OperBgt!EG5&lt;=DispositionMonth,OperBgt!EG5&gt;DispositionMonth-12),SUM(EG80),0)))</f>
        <v>0</v>
      </c>
      <c r="EH130" s="230">
        <f>IF(AND('General Inputs'!$H$48="Next Year",OperBgt!EH5&gt;DispositionMonth,OperBgt!EH5&lt;=DispositionMonth+12),SUM(EH80),
IF(AND('General Inputs'!$H$48="Blend",OperBgt!EH5&gt;DispositionMonth-6,OperBgt!EH5&lt;=DispositionMonth+6),SUM(EH80),
IF(AND('General Inputs'!$H$48="Current Year",OperBgt!EH5&lt;=DispositionMonth,OperBgt!EH5&gt;DispositionMonth-12),SUM(EH80),0)))</f>
        <v>0</v>
      </c>
    </row>
    <row r="131" spans="1:141" ht="15" hidden="1" thickTop="1" x14ac:dyDescent="0.3"/>
    <row r="132" spans="1:141" ht="15" hidden="1" thickTop="1" x14ac:dyDescent="0.3"/>
    <row r="133" spans="1:141" ht="15" hidden="1" thickTop="1" x14ac:dyDescent="0.3"/>
    <row r="134" spans="1:141" ht="15" hidden="1" thickTop="1" x14ac:dyDescent="0.3">
      <c r="A134" s="1107" t="s">
        <v>2422</v>
      </c>
    </row>
    <row r="135" spans="1:141" ht="15" hidden="1" thickTop="1" x14ac:dyDescent="0.3">
      <c r="A135" s="684" t="s">
        <v>2423</v>
      </c>
      <c r="B135" s="200"/>
      <c r="C135" s="200"/>
      <c r="D135" s="200"/>
      <c r="G135" s="684">
        <f>IF(G6=F6,1,1+VLOOKUP(IF(G6&gt;'Development Inputs'!$B$230,'Development Inputs'!$B$230,G6),'Development Inputs'!$B$171:$F$230,5,FALSE))</f>
        <v>1.0024662697723037</v>
      </c>
      <c r="H135" s="684">
        <f>IF(H6=G6,1,1+VLOOKUP(IF(H6&gt;'Development Inputs'!$B$230,'Development Inputs'!$B$230,H6),'Development Inputs'!$B$171:$F$230,5,FALSE))</f>
        <v>1.0024662697723037</v>
      </c>
      <c r="I135" s="684">
        <f>IF(I6=H6,1,1+VLOOKUP(IF(I6&gt;'Development Inputs'!$B$230,'Development Inputs'!$B$230,I6),'Development Inputs'!$B$171:$F$230,5,FALSE))</f>
        <v>1.0024662697723037</v>
      </c>
      <c r="J135" s="684">
        <f>IF(J6=I6,1,1+VLOOKUP(IF(J6&gt;'Development Inputs'!$B$230,'Development Inputs'!$B$230,J6),'Development Inputs'!$B$171:$F$230,5,FALSE))</f>
        <v>1.0024662697723037</v>
      </c>
      <c r="K135" s="684">
        <f>IF(K6=J6,1,1+VLOOKUP(IF(K6&gt;'Development Inputs'!$B$230,'Development Inputs'!$B$230,K6),'Development Inputs'!$B$171:$F$230,5,FALSE))</f>
        <v>1.0024662697723037</v>
      </c>
      <c r="L135" s="684">
        <f>IF(L6=K6,1,1+VLOOKUP(IF(L6&gt;'Development Inputs'!$B$230,'Development Inputs'!$B$230,L6),'Development Inputs'!$B$171:$F$230,5,FALSE))</f>
        <v>1.0024662697723037</v>
      </c>
      <c r="M135" s="684">
        <f>IF(M6=L6,1,1+VLOOKUP(IF(M6&gt;'Development Inputs'!$B$230,'Development Inputs'!$B$230,M6),'Development Inputs'!$B$171:$F$230,5,FALSE))</f>
        <v>1.0024662697723037</v>
      </c>
      <c r="N135" s="684">
        <f>IF(N6=M6,1,1+VLOOKUP(IF(N6&gt;'Development Inputs'!$B$230,'Development Inputs'!$B$230,N6),'Development Inputs'!$B$171:$F$230,5,FALSE))</f>
        <v>1.0024662697723037</v>
      </c>
      <c r="O135" s="684">
        <f>IF(O6=N6,1,1+VLOOKUP(IF(O6&gt;'Development Inputs'!$B$230,'Development Inputs'!$B$230,O6),'Development Inputs'!$B$171:$F$230,5,FALSE))</f>
        <v>1.0024662697723037</v>
      </c>
      <c r="P135" s="684">
        <f>IF(P6=O6,1,1+VLOOKUP(IF(P6&gt;'Development Inputs'!$B$230,'Development Inputs'!$B$230,P6),'Development Inputs'!$B$171:$F$230,5,FALSE))</f>
        <v>1.0024662697723037</v>
      </c>
      <c r="Q135" s="684">
        <f>IF(Q6=P6,1,1+VLOOKUP(IF(Q6&gt;'Development Inputs'!$B$230,'Development Inputs'!$B$230,Q6),'Development Inputs'!$B$171:$F$230,5,FALSE))</f>
        <v>1.0024662697723037</v>
      </c>
      <c r="R135" s="684">
        <f>IF(R6=Q6,1,1+VLOOKUP(IF(R6&gt;'Development Inputs'!$B$230,'Development Inputs'!$B$230,R6),'Development Inputs'!$B$171:$F$230,5,FALSE))</f>
        <v>1.0024662697723037</v>
      </c>
      <c r="S135" s="684">
        <f>IF(S6=R6,1,1+VLOOKUP(IF(S6&gt;'Development Inputs'!$B$230,'Development Inputs'!$B$230,S6),'Development Inputs'!$B$171:$F$230,5,FALSE))</f>
        <v>1.0024662697723037</v>
      </c>
      <c r="T135" s="684">
        <f>IF(T6=S6,1,1+VLOOKUP(IF(T6&gt;'Development Inputs'!$B$230,'Development Inputs'!$B$230,T6),'Development Inputs'!$B$171:$F$230,5,FALSE))</f>
        <v>1.0024662697723037</v>
      </c>
      <c r="U135" s="684">
        <f>IF(U6=T6,1,1+VLOOKUP(IF(U6&gt;'Development Inputs'!$B$230,'Development Inputs'!$B$230,U6),'Development Inputs'!$B$171:$F$230,5,FALSE))</f>
        <v>1.0024662697723037</v>
      </c>
      <c r="V135" s="684">
        <f>IF(V6=U6,1,1+VLOOKUP(IF(V6&gt;'Development Inputs'!$B$230,'Development Inputs'!$B$230,V6),'Development Inputs'!$B$171:$F$230,5,FALSE))</f>
        <v>1.0024662697723037</v>
      </c>
      <c r="W135" s="684">
        <f>IF(W6=V6,1,1+VLOOKUP(IF(W6&gt;'Development Inputs'!$B$230,'Development Inputs'!$B$230,W6),'Development Inputs'!$B$171:$F$230,5,FALSE))</f>
        <v>1.0024662697723037</v>
      </c>
      <c r="X135" s="684">
        <f>IF(X6=W6,1,1+VLOOKUP(IF(X6&gt;'Development Inputs'!$B$230,'Development Inputs'!$B$230,X6),'Development Inputs'!$B$171:$F$230,5,FALSE))</f>
        <v>1.0024662697723037</v>
      </c>
      <c r="Y135" s="684">
        <f>IF(Y6=X6,1,1+VLOOKUP(IF(Y6&gt;'Development Inputs'!$B$230,'Development Inputs'!$B$230,Y6),'Development Inputs'!$B$171:$F$230,5,FALSE))</f>
        <v>1.0024662697723037</v>
      </c>
      <c r="Z135" s="684">
        <f>IF(Z6=Y6,1,1+VLOOKUP(IF(Z6&gt;'Development Inputs'!$B$230,'Development Inputs'!$B$230,Z6),'Development Inputs'!$B$171:$F$230,5,FALSE))</f>
        <v>1.0024662697723037</v>
      </c>
      <c r="AA135" s="684">
        <f>IF(AA6=Z6,1,1+VLOOKUP(IF(AA6&gt;'Development Inputs'!$B$230,'Development Inputs'!$B$230,AA6),'Development Inputs'!$B$171:$F$230,5,FALSE))</f>
        <v>1.0024662697723037</v>
      </c>
      <c r="AB135" s="684">
        <f>IF(AB6=AA6,1,1+VLOOKUP(IF(AB6&gt;'Development Inputs'!$B$230,'Development Inputs'!$B$230,AB6),'Development Inputs'!$B$171:$F$230,5,FALSE))</f>
        <v>1.0024662697723037</v>
      </c>
      <c r="AC135" s="684">
        <f>IF(AC6=AB6,1,1+VLOOKUP(IF(AC6&gt;'Development Inputs'!$B$230,'Development Inputs'!$B$230,AC6),'Development Inputs'!$B$171:$F$230,5,FALSE))</f>
        <v>1.0024662697723037</v>
      </c>
      <c r="AD135" s="684">
        <f>IF(AD6=AC6,1,1+VLOOKUP(IF(AD6&gt;'Development Inputs'!$B$230,'Development Inputs'!$B$230,AD6),'Development Inputs'!$B$171:$F$230,5,FALSE))</f>
        <v>1.0024662697723037</v>
      </c>
      <c r="AE135" s="684">
        <f>IF(AE6=AD6,1,1+VLOOKUP(IF(AE6&gt;'Development Inputs'!$B$230,'Development Inputs'!$B$230,AE6),'Development Inputs'!$B$171:$F$230,5,FALSE))</f>
        <v>1.0024662697723037</v>
      </c>
      <c r="AF135" s="684">
        <f>IF(AF6=AE6,1,1+VLOOKUP(IF(AF6&gt;'Development Inputs'!$B$230,'Development Inputs'!$B$230,AF6),'Development Inputs'!$B$171:$F$230,5,FALSE))</f>
        <v>1.0024662697723037</v>
      </c>
      <c r="AG135" s="684">
        <f>IF(AG6=AF6,1,1+VLOOKUP(IF(AG6&gt;'Development Inputs'!$B$230,'Development Inputs'!$B$230,AG6),'Development Inputs'!$B$171:$F$230,5,FALSE))</f>
        <v>1.0024662697723037</v>
      </c>
      <c r="AH135" s="684">
        <f>IF(AH6=AG6,1,1+VLOOKUP(IF(AH6&gt;'Development Inputs'!$B$230,'Development Inputs'!$B$230,AH6),'Development Inputs'!$B$171:$F$230,5,FALSE))</f>
        <v>1.0024662697723037</v>
      </c>
      <c r="AI135" s="684">
        <f>IF(AI6=AH6,1,1+VLOOKUP(IF(AI6&gt;'Development Inputs'!$B$230,'Development Inputs'!$B$230,AI6),'Development Inputs'!$B$171:$F$230,5,FALSE))</f>
        <v>1.0024662697723037</v>
      </c>
      <c r="AJ135" s="684">
        <f>IF(AJ6=AI6,1,1+VLOOKUP(IF(AJ6&gt;'Development Inputs'!$B$230,'Development Inputs'!$B$230,AJ6),'Development Inputs'!$B$171:$F$230,5,FALSE))</f>
        <v>1.0024662697723037</v>
      </c>
      <c r="AK135" s="684">
        <f>IF(AK6=AJ6,1,1+VLOOKUP(IF(AK6&gt;'Development Inputs'!$B$230,'Development Inputs'!$B$230,AK6),'Development Inputs'!$B$171:$F$230,5,FALSE))</f>
        <v>1.0024662697723037</v>
      </c>
      <c r="AL135" s="684">
        <f>IF(AL6=AK6,1,1+VLOOKUP(IF(AL6&gt;'Development Inputs'!$B$230,'Development Inputs'!$B$230,AL6),'Development Inputs'!$B$171:$F$230,5,FALSE))</f>
        <v>1.0024662697723037</v>
      </c>
      <c r="AM135" s="684">
        <f>IF(AM6=AL6,1,1+VLOOKUP(IF(AM6&gt;'Development Inputs'!$B$230,'Development Inputs'!$B$230,AM6),'Development Inputs'!$B$171:$F$230,5,FALSE))</f>
        <v>1.0024662697723037</v>
      </c>
      <c r="AN135" s="684">
        <f>IF(AN6=AM6,1,1+VLOOKUP(IF(AN6&gt;'Development Inputs'!$B$230,'Development Inputs'!$B$230,AN6),'Development Inputs'!$B$171:$F$230,5,FALSE))</f>
        <v>1.0024662697723037</v>
      </c>
      <c r="AO135" s="684">
        <f>IF(AO6=AN6,1,1+VLOOKUP(IF(AO6&gt;'Development Inputs'!$B$230,'Development Inputs'!$B$230,AO6),'Development Inputs'!$B$171:$F$230,5,FALSE))</f>
        <v>1.0024662697723037</v>
      </c>
      <c r="AP135" s="684">
        <f>IF(AP6=AO6,1,1+VLOOKUP(IF(AP6&gt;'Development Inputs'!$B$230,'Development Inputs'!$B$230,AP6),'Development Inputs'!$B$171:$F$230,5,FALSE))</f>
        <v>1.0024662697723037</v>
      </c>
      <c r="AQ135" s="684">
        <f>IF(AQ6=AP6,1,1+VLOOKUP(IF(AQ6&gt;'Development Inputs'!$B$230,'Development Inputs'!$B$230,AQ6),'Development Inputs'!$B$171:$F$230,5,FALSE))</f>
        <v>1.0024662697723037</v>
      </c>
      <c r="AR135" s="684">
        <f>IF(AR6=AQ6,1,1+VLOOKUP(IF(AR6&gt;'Development Inputs'!$B$230,'Development Inputs'!$B$230,AR6),'Development Inputs'!$B$171:$F$230,5,FALSE))</f>
        <v>1.0024662697723037</v>
      </c>
      <c r="AS135" s="684">
        <f>IF(AS6=AR6,1,1+VLOOKUP(IF(AS6&gt;'Development Inputs'!$B$230,'Development Inputs'!$B$230,AS6),'Development Inputs'!$B$171:$F$230,5,FALSE))</f>
        <v>1.0024662697723037</v>
      </c>
      <c r="AT135" s="684">
        <f>IF(AT6=AS6,1,1+VLOOKUP(IF(AT6&gt;'Development Inputs'!$B$230,'Development Inputs'!$B$230,AT6),'Development Inputs'!$B$171:$F$230,5,FALSE))</f>
        <v>1.0024662697723037</v>
      </c>
      <c r="AU135" s="684">
        <f>IF(AU6=AT6,1,1+VLOOKUP(IF(AU6&gt;'Development Inputs'!$B$230,'Development Inputs'!$B$230,AU6),'Development Inputs'!$B$171:$F$230,5,FALSE))</f>
        <v>1.0024662697723037</v>
      </c>
      <c r="AV135" s="684">
        <f>IF(AV6=AU6,1,1+VLOOKUP(IF(AV6&gt;'Development Inputs'!$B$230,'Development Inputs'!$B$230,AV6),'Development Inputs'!$B$171:$F$230,5,FALSE))</f>
        <v>1.0024662697723037</v>
      </c>
      <c r="AW135" s="684">
        <f>IF(AW6=AV6,1,1+VLOOKUP(IF(AW6&gt;'Development Inputs'!$B$230,'Development Inputs'!$B$230,AW6),'Development Inputs'!$B$171:$F$230,5,FALSE))</f>
        <v>1.0024662697723037</v>
      </c>
      <c r="AX135" s="684">
        <f>IF(AX6=AW6,1,1+VLOOKUP(IF(AX6&gt;'Development Inputs'!$B$230,'Development Inputs'!$B$230,AX6),'Development Inputs'!$B$171:$F$230,5,FALSE))</f>
        <v>1.0024662697723037</v>
      </c>
      <c r="AY135" s="684">
        <f>IF(AY6=AX6,1,1+VLOOKUP(IF(AY6&gt;'Development Inputs'!$B$230,'Development Inputs'!$B$230,AY6),'Development Inputs'!$B$171:$F$230,5,FALSE))</f>
        <v>1.0024662697723037</v>
      </c>
      <c r="AZ135" s="684">
        <f>IF(AZ6=AY6,1,1+VLOOKUP(IF(AZ6&gt;'Development Inputs'!$B$230,'Development Inputs'!$B$230,AZ6),'Development Inputs'!$B$171:$F$230,5,FALSE))</f>
        <v>1.0024662697723037</v>
      </c>
      <c r="BA135" s="684">
        <f>IF(BA6=AZ6,1,1+VLOOKUP(IF(BA6&gt;'Development Inputs'!$B$230,'Development Inputs'!$B$230,BA6),'Development Inputs'!$B$171:$F$230,5,FALSE))</f>
        <v>1.0024662697723037</v>
      </c>
      <c r="BB135" s="684">
        <f>IF(BB6=BA6,1,1+VLOOKUP(IF(BB6&gt;'Development Inputs'!$B$230,'Development Inputs'!$B$230,BB6),'Development Inputs'!$B$171:$F$230,5,FALSE))</f>
        <v>1.0024662697723037</v>
      </c>
      <c r="BC135" s="684">
        <f>IF(BC6=BB6,1,1+VLOOKUP(IF(BC6&gt;'Development Inputs'!$B$230,'Development Inputs'!$B$230,BC6),'Development Inputs'!$B$171:$F$230,5,FALSE))</f>
        <v>1.0024662697723037</v>
      </c>
      <c r="BD135" s="684">
        <f>IF(BD6=BC6,1,1+VLOOKUP(IF(BD6&gt;'Development Inputs'!$B$230,'Development Inputs'!$B$230,BD6),'Development Inputs'!$B$171:$F$230,5,FALSE))</f>
        <v>1.0024662697723037</v>
      </c>
      <c r="BE135" s="684">
        <f>IF(BE6=BD6,1,1+VLOOKUP(IF(BE6&gt;'Development Inputs'!$B$230,'Development Inputs'!$B$230,BE6),'Development Inputs'!$B$171:$F$230,5,FALSE))</f>
        <v>1.0024662697723037</v>
      </c>
      <c r="BF135" s="684">
        <f>IF(BF6=BE6,1,1+VLOOKUP(IF(BF6&gt;'Development Inputs'!$B$230,'Development Inputs'!$B$230,BF6),'Development Inputs'!$B$171:$F$230,5,FALSE))</f>
        <v>1.0024662697723037</v>
      </c>
      <c r="BG135" s="684">
        <f>IF(BG6=BF6,1,1+VLOOKUP(IF(BG6&gt;'Development Inputs'!$B$230,'Development Inputs'!$B$230,BG6),'Development Inputs'!$B$171:$F$230,5,FALSE))</f>
        <v>1.0024662697723037</v>
      </c>
      <c r="BH135" s="684">
        <f>IF(BH6=BG6,1,1+VLOOKUP(IF(BH6&gt;'Development Inputs'!$B$230,'Development Inputs'!$B$230,BH6),'Development Inputs'!$B$171:$F$230,5,FALSE))</f>
        <v>1.0024662697723037</v>
      </c>
      <c r="BI135" s="684">
        <f>IF(BI6=BH6,1,1+VLOOKUP(IF(BI6&gt;'Development Inputs'!$B$230,'Development Inputs'!$B$230,BI6),'Development Inputs'!$B$171:$F$230,5,FALSE))</f>
        <v>1.0024662697723037</v>
      </c>
      <c r="BJ135" s="684">
        <f>IF(BJ6=BI6,1,1+VLOOKUP(IF(BJ6&gt;'Development Inputs'!$B$230,'Development Inputs'!$B$230,BJ6),'Development Inputs'!$B$171:$F$230,5,FALSE))</f>
        <v>1.0024662697723037</v>
      </c>
      <c r="BK135" s="684">
        <f>IF(BK6=BJ6,1,1+VLOOKUP(IF(BK6&gt;'Development Inputs'!$B$230,'Development Inputs'!$B$230,BK6),'Development Inputs'!$B$171:$F$230,5,FALSE))</f>
        <v>1.0024662697723037</v>
      </c>
      <c r="BL135" s="684">
        <f>IF(BL6=BK6,1,1+VLOOKUP(IF(BL6&gt;'Development Inputs'!$B$230,'Development Inputs'!$B$230,BL6),'Development Inputs'!$B$171:$F$230,5,FALSE))</f>
        <v>1.0024662697723037</v>
      </c>
      <c r="BM135" s="684">
        <f>IF(BM6=BL6,1,1+VLOOKUP(IF(BM6&gt;'Development Inputs'!$B$230,'Development Inputs'!$B$230,BM6),'Development Inputs'!$B$171:$F$230,5,FALSE))</f>
        <v>1.0024662697723037</v>
      </c>
      <c r="BN135" s="684">
        <f>IF(BN6=BM6,1,1+VLOOKUP(IF(BN6&gt;'Development Inputs'!$B$230,'Development Inputs'!$B$230,BN6),'Development Inputs'!$B$171:$F$230,5,FALSE))</f>
        <v>1.0024662697723037</v>
      </c>
      <c r="BO135" s="684">
        <f>IF(BO6=BN6,1,1+VLOOKUP(IF(BO6&gt;'Development Inputs'!$B$230,'Development Inputs'!$B$230,BO6),'Development Inputs'!$B$171:$F$230,5,FALSE))</f>
        <v>1.0024662697723037</v>
      </c>
      <c r="BP135" s="684">
        <f>IF(BP6=BO6,1,1+VLOOKUP(IF(BP6&gt;'Development Inputs'!$B$230,'Development Inputs'!$B$230,BP6),'Development Inputs'!$B$171:$F$230,5,FALSE))</f>
        <v>1.0024662697723037</v>
      </c>
      <c r="BQ135" s="684">
        <f>IF(BQ6=BP6,1,1+VLOOKUP(IF(BQ6&gt;'Development Inputs'!$B$230,'Development Inputs'!$B$230,BQ6),'Development Inputs'!$B$171:$F$230,5,FALSE))</f>
        <v>1.0024662697723037</v>
      </c>
      <c r="BR135" s="684">
        <f>IF(BR6=BQ6,1,1+VLOOKUP(IF(BR6&gt;'Development Inputs'!$B$230,'Development Inputs'!$B$230,BR6),'Development Inputs'!$B$171:$F$230,5,FALSE))</f>
        <v>1.0024662697723037</v>
      </c>
      <c r="BS135" s="684">
        <f>IF(BS6=BR6,1,1+VLOOKUP(IF(BS6&gt;'Development Inputs'!$B$230,'Development Inputs'!$B$230,BS6),'Development Inputs'!$B$171:$F$230,5,FALSE))</f>
        <v>1.0024662697723037</v>
      </c>
      <c r="BT135" s="684">
        <f>IF(BT6=BS6,1,1+VLOOKUP(IF(BT6&gt;'Development Inputs'!$B$230,'Development Inputs'!$B$230,BT6),'Development Inputs'!$B$171:$F$230,5,FALSE))</f>
        <v>1.0024662697723037</v>
      </c>
      <c r="BU135" s="684">
        <f>IF(BU6=BT6,1,1+VLOOKUP(IF(BU6&gt;'Development Inputs'!$B$230,'Development Inputs'!$B$230,BU6),'Development Inputs'!$B$171:$F$230,5,FALSE))</f>
        <v>1.0024662697723037</v>
      </c>
      <c r="BV135" s="684">
        <f>IF(BV6=BU6,1,1+VLOOKUP(IF(BV6&gt;'Development Inputs'!$B$230,'Development Inputs'!$B$230,BV6),'Development Inputs'!$B$171:$F$230,5,FALSE))</f>
        <v>1.0024662697723037</v>
      </c>
      <c r="BW135" s="684">
        <f>IF(BW6=BV6,1,1+VLOOKUP(IF(BW6&gt;'Development Inputs'!$B$230,'Development Inputs'!$B$230,BW6),'Development Inputs'!$B$171:$F$230,5,FALSE))</f>
        <v>1.0024662697723037</v>
      </c>
      <c r="BX135" s="684">
        <f>IF(BX6=BW6,1,1+VLOOKUP(IF(BX6&gt;'Development Inputs'!$B$230,'Development Inputs'!$B$230,BX6),'Development Inputs'!$B$171:$F$230,5,FALSE))</f>
        <v>1.0024662697723037</v>
      </c>
      <c r="BY135" s="684">
        <f>IF(BY6=BX6,1,1+VLOOKUP(IF(BY6&gt;'Development Inputs'!$B$230,'Development Inputs'!$B$230,BY6),'Development Inputs'!$B$171:$F$230,5,FALSE))</f>
        <v>1.0024662697723037</v>
      </c>
      <c r="BZ135" s="684">
        <f>IF(BZ6=BY6,1,1+VLOOKUP(IF(BZ6&gt;'Development Inputs'!$B$230,'Development Inputs'!$B$230,BZ6),'Development Inputs'!$B$171:$F$230,5,FALSE))</f>
        <v>1.0024662697723037</v>
      </c>
      <c r="CA135" s="684">
        <f>IF(CA6=BZ6,1,1+VLOOKUP(IF(CA6&gt;'Development Inputs'!$B$230,'Development Inputs'!$B$230,CA6),'Development Inputs'!$B$171:$F$230,5,FALSE))</f>
        <v>1.0024662697723037</v>
      </c>
      <c r="CB135" s="684">
        <f>IF(CB6=CA6,1,1+VLOOKUP(IF(CB6&gt;'Development Inputs'!$B$230,'Development Inputs'!$B$230,CB6),'Development Inputs'!$B$171:$F$230,5,FALSE))</f>
        <v>1.0024662697723037</v>
      </c>
      <c r="CC135" s="684">
        <f>IF(CC6=CB6,1,1+VLOOKUP(IF(CC6&gt;'Development Inputs'!$B$230,'Development Inputs'!$B$230,CC6),'Development Inputs'!$B$171:$F$230,5,FALSE))</f>
        <v>1.0024662697723037</v>
      </c>
      <c r="CD135" s="684">
        <f>IF(CD6=CC6,1,1+VLOOKUP(IF(CD6&gt;'Development Inputs'!$B$230,'Development Inputs'!$B$230,CD6),'Development Inputs'!$B$171:$F$230,5,FALSE))</f>
        <v>1.0024662697723037</v>
      </c>
      <c r="CE135" s="684">
        <f>IF(CE6=CD6,1,1+VLOOKUP(IF(CE6&gt;'Development Inputs'!$B$230,'Development Inputs'!$B$230,CE6),'Development Inputs'!$B$171:$F$230,5,FALSE))</f>
        <v>1.0024662697723037</v>
      </c>
      <c r="CF135" s="684">
        <f>IF(CF6=CE6,1,1+VLOOKUP(IF(CF6&gt;'Development Inputs'!$B$230,'Development Inputs'!$B$230,CF6),'Development Inputs'!$B$171:$F$230,5,FALSE))</f>
        <v>1.0024662697723037</v>
      </c>
      <c r="CG135" s="684">
        <f>IF(CG6=CF6,1,1+VLOOKUP(IF(CG6&gt;'Development Inputs'!$B$230,'Development Inputs'!$B$230,CG6),'Development Inputs'!$B$171:$F$230,5,FALSE))</f>
        <v>1.0024662697723037</v>
      </c>
      <c r="CH135" s="684">
        <f>IF(CH6=CG6,1,1+VLOOKUP(IF(CH6&gt;'Development Inputs'!$B$230,'Development Inputs'!$B$230,CH6),'Development Inputs'!$B$171:$F$230,5,FALSE))</f>
        <v>1.0024662697723037</v>
      </c>
      <c r="CI135" s="684">
        <f>IF(CI6=CH6,1,1+VLOOKUP(IF(CI6&gt;'Development Inputs'!$B$230,'Development Inputs'!$B$230,CI6),'Development Inputs'!$B$171:$F$230,5,FALSE))</f>
        <v>1.0024662697723037</v>
      </c>
      <c r="CJ135" s="684">
        <f>IF(CJ6=CI6,1,1+VLOOKUP(IF(CJ6&gt;'Development Inputs'!$B$230,'Development Inputs'!$B$230,CJ6),'Development Inputs'!$B$171:$F$230,5,FALSE))</f>
        <v>1.0024662697723037</v>
      </c>
      <c r="CK135" s="684">
        <f>IF(CK6=CJ6,1,1+VLOOKUP(IF(CK6&gt;'Development Inputs'!$B$230,'Development Inputs'!$B$230,CK6),'Development Inputs'!$B$171:$F$230,5,FALSE))</f>
        <v>1.0024662697723037</v>
      </c>
      <c r="CL135" s="684">
        <f>IF(CL6=CK6,1,1+VLOOKUP(IF(CL6&gt;'Development Inputs'!$B$230,'Development Inputs'!$B$230,CL6),'Development Inputs'!$B$171:$F$230,5,FALSE))</f>
        <v>1.0024662697723037</v>
      </c>
      <c r="CM135" s="684">
        <f>IF(CM6=CL6,1,1+VLOOKUP(IF(CM6&gt;'Development Inputs'!$B$230,'Development Inputs'!$B$230,CM6),'Development Inputs'!$B$171:$F$230,5,FALSE))</f>
        <v>1.0024662697723037</v>
      </c>
      <c r="CN135" s="684">
        <f>IF(CN6=CM6,1,1+VLOOKUP(IF(CN6&gt;'Development Inputs'!$B$230,'Development Inputs'!$B$230,CN6),'Development Inputs'!$B$171:$F$230,5,FALSE))</f>
        <v>1.0024662697723037</v>
      </c>
      <c r="CO135" s="684">
        <f>IF(CO6=CN6,1,1+VLOOKUP(IF(CO6&gt;'Development Inputs'!$B$230,'Development Inputs'!$B$230,CO6),'Development Inputs'!$B$171:$F$230,5,FALSE))</f>
        <v>1.0024662697723037</v>
      </c>
      <c r="CP135" s="684">
        <f>IF(CP6=CO6,1,1+VLOOKUP(IF(CP6&gt;'Development Inputs'!$B$230,'Development Inputs'!$B$230,CP6),'Development Inputs'!$B$171:$F$230,5,FALSE))</f>
        <v>1.0024662697723037</v>
      </c>
      <c r="CQ135" s="684">
        <f>IF(CQ6=CP6,1,1+VLOOKUP(IF(CQ6&gt;'Development Inputs'!$B$230,'Development Inputs'!$B$230,CQ6),'Development Inputs'!$B$171:$F$230,5,FALSE))</f>
        <v>1.0024662697723037</v>
      </c>
      <c r="CR135" s="684">
        <f>IF(CR6=CQ6,1,1+VLOOKUP(IF(CR6&gt;'Development Inputs'!$B$230,'Development Inputs'!$B$230,CR6),'Development Inputs'!$B$171:$F$230,5,FALSE))</f>
        <v>1.0024662697723037</v>
      </c>
      <c r="CS135" s="684">
        <f>IF(CS6=CR6,1,1+VLOOKUP(IF(CS6&gt;'Development Inputs'!$B$230,'Development Inputs'!$B$230,CS6),'Development Inputs'!$B$171:$F$230,5,FALSE))</f>
        <v>1.0024662697723037</v>
      </c>
      <c r="CT135" s="684">
        <f>IF(CT6=CS6,1,1+VLOOKUP(IF(CT6&gt;'Development Inputs'!$B$230,'Development Inputs'!$B$230,CT6),'Development Inputs'!$B$171:$F$230,5,FALSE))</f>
        <v>1.0024662697723037</v>
      </c>
      <c r="CU135" s="684">
        <f>IF(CU6=CT6,1,1+VLOOKUP(IF(CU6&gt;'Development Inputs'!$B$230,'Development Inputs'!$B$230,CU6),'Development Inputs'!$B$171:$F$230,5,FALSE))</f>
        <v>1.0024662697723037</v>
      </c>
      <c r="CV135" s="684">
        <f>IF(CV6=CU6,1,1+VLOOKUP(IF(CV6&gt;'Development Inputs'!$B$230,'Development Inputs'!$B$230,CV6),'Development Inputs'!$B$171:$F$230,5,FALSE))</f>
        <v>1.0024662697723037</v>
      </c>
      <c r="CW135" s="684">
        <f>IF(CW6=CV6,1,1+VLOOKUP(IF(CW6&gt;'Development Inputs'!$B$230,'Development Inputs'!$B$230,CW6),'Development Inputs'!$B$171:$F$230,5,FALSE))</f>
        <v>1.0024662697723037</v>
      </c>
      <c r="CX135" s="684">
        <f>IF(CX6=CW6,1,1+VLOOKUP(IF(CX6&gt;'Development Inputs'!$B$230,'Development Inputs'!$B$230,CX6),'Development Inputs'!$B$171:$F$230,5,FALSE))</f>
        <v>1.0024662697723037</v>
      </c>
      <c r="CY135" s="684">
        <f>IF(CY6=CX6,1,1+VLOOKUP(IF(CY6&gt;'Development Inputs'!$B$230,'Development Inputs'!$B$230,CY6),'Development Inputs'!$B$171:$F$230,5,FALSE))</f>
        <v>1.0024662697723037</v>
      </c>
      <c r="CZ135" s="684">
        <f>IF(CZ6=CY6,1,1+VLOOKUP(IF(CZ6&gt;'Development Inputs'!$B$230,'Development Inputs'!$B$230,CZ6),'Development Inputs'!$B$171:$F$230,5,FALSE))</f>
        <v>1.0024662697723037</v>
      </c>
      <c r="DA135" s="684">
        <f>IF(DA6=CZ6,1,1+VLOOKUP(IF(DA6&gt;'Development Inputs'!$B$230,'Development Inputs'!$B$230,DA6),'Development Inputs'!$B$171:$F$230,5,FALSE))</f>
        <v>1.0024662697723037</v>
      </c>
      <c r="DB135" s="684">
        <f>IF(DB6=DA6,1,1+VLOOKUP(IF(DB6&gt;'Development Inputs'!$B$230,'Development Inputs'!$B$230,DB6),'Development Inputs'!$B$171:$F$230,5,FALSE))</f>
        <v>1.0024662697723037</v>
      </c>
      <c r="DC135" s="684">
        <f>IF(DC6=DB6,1,1+VLOOKUP(IF(DC6&gt;'Development Inputs'!$B$230,'Development Inputs'!$B$230,DC6),'Development Inputs'!$B$171:$F$230,5,FALSE))</f>
        <v>1.0024662697723037</v>
      </c>
      <c r="DD135" s="684">
        <f>IF(DD6=DC6,1,1+VLOOKUP(IF(DD6&gt;'Development Inputs'!$B$230,'Development Inputs'!$B$230,DD6),'Development Inputs'!$B$171:$F$230,5,FALSE))</f>
        <v>1.0024662697723037</v>
      </c>
      <c r="DE135" s="684">
        <f>IF(DE6=DD6,1,1+VLOOKUP(IF(DE6&gt;'Development Inputs'!$B$230,'Development Inputs'!$B$230,DE6),'Development Inputs'!$B$171:$F$230,5,FALSE))</f>
        <v>1.0024662697723037</v>
      </c>
      <c r="DF135" s="684">
        <f>IF(DF6=DE6,1,1+VLOOKUP(IF(DF6&gt;'Development Inputs'!$B$230,'Development Inputs'!$B$230,DF6),'Development Inputs'!$B$171:$F$230,5,FALSE))</f>
        <v>1.0024662697723037</v>
      </c>
      <c r="DG135" s="684">
        <f>IF(DG6=DF6,1,1+VLOOKUP(IF(DG6&gt;'Development Inputs'!$B$230,'Development Inputs'!$B$230,DG6),'Development Inputs'!$B$171:$F$230,5,FALSE))</f>
        <v>1.0024662697723037</v>
      </c>
      <c r="DH135" s="684">
        <f>IF(DH6=DG6,1,1+VLOOKUP(IF(DH6&gt;'Development Inputs'!$B$230,'Development Inputs'!$B$230,DH6),'Development Inputs'!$B$171:$F$230,5,FALSE))</f>
        <v>1.0024662697723037</v>
      </c>
      <c r="DI135" s="684">
        <f>IF(DI6=DH6,1,1+VLOOKUP(IF(DI6&gt;'Development Inputs'!$B$230,'Development Inputs'!$B$230,DI6),'Development Inputs'!$B$171:$F$230,5,FALSE))</f>
        <v>1.0024662697723037</v>
      </c>
      <c r="DJ135" s="684">
        <f>IF(DJ6=DI6,1,1+VLOOKUP(IF(DJ6&gt;'Development Inputs'!$B$230,'Development Inputs'!$B$230,DJ6),'Development Inputs'!$B$171:$F$230,5,FALSE))</f>
        <v>1.0024662697723037</v>
      </c>
      <c r="DK135" s="684">
        <f>IF(DK6=DJ6,1,1+VLOOKUP(IF(DK6&gt;'Development Inputs'!$B$230,'Development Inputs'!$B$230,DK6),'Development Inputs'!$B$171:$F$230,5,FALSE))</f>
        <v>1.0024662697723037</v>
      </c>
      <c r="DL135" s="684">
        <f>IF(DL6=DK6,1,1+VLOOKUP(IF(DL6&gt;'Development Inputs'!$B$230,'Development Inputs'!$B$230,DL6),'Development Inputs'!$B$171:$F$230,5,FALSE))</f>
        <v>1.0024662697723037</v>
      </c>
      <c r="DM135" s="684">
        <f>IF(DM6=DL6,1,1+VLOOKUP(IF(DM6&gt;'Development Inputs'!$B$230,'Development Inputs'!$B$230,DM6),'Development Inputs'!$B$171:$F$230,5,FALSE))</f>
        <v>1.0024662697723037</v>
      </c>
      <c r="DN135" s="684">
        <f>IF(DN6=DM6,1,1+VLOOKUP(IF(DN6&gt;'Development Inputs'!$B$230,'Development Inputs'!$B$230,DN6),'Development Inputs'!$B$171:$F$230,5,FALSE))</f>
        <v>1.0024662697723037</v>
      </c>
      <c r="DO135" s="684">
        <f>IF(DO6=DN6,1,1+VLOOKUP(IF(DO6&gt;'Development Inputs'!$B$230,'Development Inputs'!$B$230,DO6),'Development Inputs'!$B$171:$F$230,5,FALSE))</f>
        <v>1.0024662697723037</v>
      </c>
      <c r="DP135" s="684">
        <f>IF(DP6=DO6,1,1+VLOOKUP(IF(DP6&gt;'Development Inputs'!$B$230,'Development Inputs'!$B$230,DP6),'Development Inputs'!$B$171:$F$230,5,FALSE))</f>
        <v>1.0024662697723037</v>
      </c>
      <c r="DQ135" s="684">
        <f>IF(DQ6=DP6,1,1+VLOOKUP(IF(DQ6&gt;'Development Inputs'!$B$230,'Development Inputs'!$B$230,DQ6),'Development Inputs'!$B$171:$F$230,5,FALSE))</f>
        <v>1.0024662697723037</v>
      </c>
      <c r="DR135" s="684">
        <f>IF(DR6=DQ6,1,1+VLOOKUP(IF(DR6&gt;'Development Inputs'!$B$230,'Development Inputs'!$B$230,DR6),'Development Inputs'!$B$171:$F$230,5,FALSE))</f>
        <v>1.0024662697723037</v>
      </c>
      <c r="DS135" s="684">
        <f>IF(DS6=DR6,1,1+VLOOKUP(IF(DS6&gt;'Development Inputs'!$B$230,'Development Inputs'!$B$230,DS6),'Development Inputs'!$B$171:$F$230,5,FALSE))</f>
        <v>1.0024662697723037</v>
      </c>
      <c r="DT135" s="684">
        <f>IF(DT6=DS6,1,1+VLOOKUP(IF(DT6&gt;'Development Inputs'!$B$230,'Development Inputs'!$B$230,DT6),'Development Inputs'!$B$171:$F$230,5,FALSE))</f>
        <v>1.0024662697723037</v>
      </c>
      <c r="DU135" s="684">
        <f>IF(DU6=DT6,1,1+VLOOKUP(IF(DU6&gt;'Development Inputs'!$B$230,'Development Inputs'!$B$230,DU6),'Development Inputs'!$B$171:$F$230,5,FALSE))</f>
        <v>1.0024662697723037</v>
      </c>
      <c r="DV135" s="684">
        <f>IF(DV6=DU6,1,1+VLOOKUP(IF(DV6&gt;'Development Inputs'!$B$230,'Development Inputs'!$B$230,DV6),'Development Inputs'!$B$171:$F$230,5,FALSE))</f>
        <v>1.0024662697723037</v>
      </c>
      <c r="DW135" s="684">
        <f>IF(DW6=DV6,1,1+VLOOKUP(IF(DW6&gt;'Development Inputs'!$B$230,'Development Inputs'!$B$230,DW6),'Development Inputs'!$B$171:$F$230,5,FALSE))</f>
        <v>1.0024662697723037</v>
      </c>
      <c r="DX135" s="684">
        <f>IF(DX6=DW6,1,1+VLOOKUP(IF(DX6&gt;'Development Inputs'!$B$230,'Development Inputs'!$B$230,DX6),'Development Inputs'!$B$171:$F$230,5,FALSE))</f>
        <v>1.0024662697723037</v>
      </c>
      <c r="DY135" s="684">
        <f>IF(DY6=DX6,1,1+VLOOKUP(IF(DY6&gt;'Development Inputs'!$B$230,'Development Inputs'!$B$230,DY6),'Development Inputs'!$B$171:$F$230,5,FALSE))</f>
        <v>1.0024662697723037</v>
      </c>
      <c r="DZ135" s="684">
        <f>IF(DZ6=DY6,1,1+VLOOKUP(IF(DZ6&gt;'Development Inputs'!$B$230,'Development Inputs'!$B$230,DZ6),'Development Inputs'!$B$171:$F$230,5,FALSE))</f>
        <v>1.0024662697723037</v>
      </c>
      <c r="EA135" s="684">
        <f>IF(EA6=DZ6,1,1+VLOOKUP(IF(EA6&gt;'Development Inputs'!$B$230,'Development Inputs'!$B$230,EA6),'Development Inputs'!$B$171:$F$230,5,FALSE))</f>
        <v>1.0024662697723037</v>
      </c>
      <c r="EB135" s="684">
        <f>IF(EB6=EA6,1,1+VLOOKUP(IF(EB6&gt;'Development Inputs'!$B$230,'Development Inputs'!$B$230,EB6),'Development Inputs'!$B$171:$F$230,5,FALSE))</f>
        <v>1.0024662697723037</v>
      </c>
      <c r="EC135" s="684">
        <f>IF(EC6=EB6,1,1+VLOOKUP(IF(EC6&gt;'Development Inputs'!$B$230,'Development Inputs'!$B$230,EC6),'Development Inputs'!$B$171:$F$230,5,FALSE))</f>
        <v>1.0024662697723037</v>
      </c>
      <c r="ED135" s="684">
        <f>IF(ED6=EC6,1,1+VLOOKUP(IF(ED6&gt;'Development Inputs'!$B$230,'Development Inputs'!$B$230,ED6),'Development Inputs'!$B$171:$F$230,5,FALSE))</f>
        <v>1.0024662697723037</v>
      </c>
      <c r="EE135" s="684">
        <f>IF(EE6=ED6,1,1+VLOOKUP(IF(EE6&gt;'Development Inputs'!$B$230,'Development Inputs'!$B$230,EE6),'Development Inputs'!$B$171:$F$230,5,FALSE))</f>
        <v>1.0024662697723037</v>
      </c>
      <c r="EF135" s="684">
        <f>IF(EF6=EE6,1,1+VLOOKUP(IF(EF6&gt;'Development Inputs'!$B$230,'Development Inputs'!$B$230,EF6),'Development Inputs'!$B$171:$F$230,5,FALSE))</f>
        <v>1.0024662697723037</v>
      </c>
      <c r="EG135" s="684">
        <f>IF(EG6=EF6,1,1+VLOOKUP(IF(EG6&gt;'Development Inputs'!$B$230,'Development Inputs'!$B$230,EG6),'Development Inputs'!$B$171:$F$230,5,FALSE))</f>
        <v>1.0024662697723037</v>
      </c>
      <c r="EH135" s="684">
        <f>IF(EH6=EG6,1,1+VLOOKUP(IF(EH6&gt;'Development Inputs'!$B$230,'Development Inputs'!$B$230,EH6),'Development Inputs'!$B$171:$F$230,5,FALSE))</f>
        <v>1.0024662697723037</v>
      </c>
      <c r="EK135" s="280"/>
    </row>
    <row r="136" spans="1:141" ht="15" hidden="1" thickTop="1" x14ac:dyDescent="0.3">
      <c r="A136" s="691" t="s">
        <v>2424</v>
      </c>
      <c r="B136" s="200"/>
      <c r="C136" s="200"/>
      <c r="D136" s="200"/>
      <c r="G136" s="684"/>
      <c r="H136" s="684"/>
      <c r="I136" s="684"/>
      <c r="J136" s="684"/>
      <c r="K136" s="684"/>
      <c r="L136" s="684"/>
      <c r="M136" s="684"/>
      <c r="N136" s="684"/>
      <c r="O136" s="684"/>
      <c r="P136" s="684"/>
      <c r="Q136" s="684"/>
      <c r="R136" s="684"/>
      <c r="S136" s="684"/>
      <c r="T136" s="684"/>
      <c r="U136" s="684"/>
      <c r="V136" s="684"/>
      <c r="W136" s="684"/>
      <c r="X136" s="684"/>
      <c r="Y136" s="684"/>
      <c r="Z136" s="684"/>
      <c r="AA136" s="684"/>
      <c r="AB136" s="684"/>
      <c r="AC136" s="684"/>
      <c r="AD136" s="684"/>
      <c r="AE136" s="684"/>
      <c r="AF136" s="684"/>
      <c r="AG136" s="684"/>
      <c r="AH136" s="684"/>
      <c r="AI136" s="684"/>
      <c r="AJ136" s="684"/>
      <c r="AK136" s="684"/>
      <c r="AL136" s="684"/>
      <c r="AM136" s="684"/>
      <c r="AN136" s="684"/>
      <c r="AO136" s="684"/>
      <c r="AP136" s="684"/>
      <c r="AQ136" s="684"/>
      <c r="AR136" s="684"/>
      <c r="AS136" s="684"/>
      <c r="AT136" s="684"/>
      <c r="AU136" s="684"/>
      <c r="AV136" s="684"/>
      <c r="AW136" s="684"/>
      <c r="AX136" s="684"/>
      <c r="AY136" s="684"/>
      <c r="AZ136" s="684"/>
      <c r="BA136" s="684"/>
      <c r="BB136" s="684"/>
      <c r="BC136" s="684"/>
      <c r="BD136" s="684"/>
      <c r="BE136" s="684"/>
      <c r="BF136" s="684"/>
      <c r="BG136" s="684"/>
      <c r="BH136" s="684"/>
      <c r="BI136" s="684"/>
      <c r="BJ136" s="684"/>
      <c r="BK136" s="684"/>
      <c r="BL136" s="684"/>
      <c r="BM136" s="684"/>
      <c r="BN136" s="684"/>
      <c r="BO136" s="684"/>
      <c r="BP136" s="684"/>
      <c r="BQ136" s="684"/>
      <c r="BR136" s="684"/>
      <c r="BS136" s="684"/>
      <c r="BT136" s="684"/>
      <c r="BU136" s="684"/>
      <c r="BV136" s="684"/>
      <c r="BW136" s="684"/>
      <c r="BX136" s="684"/>
      <c r="BY136" s="684"/>
      <c r="BZ136" s="684"/>
      <c r="CA136" s="684"/>
      <c r="CB136" s="684"/>
      <c r="CC136" s="684"/>
      <c r="CD136" s="684"/>
      <c r="CE136" s="684"/>
      <c r="CF136" s="684"/>
      <c r="CG136" s="684"/>
      <c r="CH136" s="684"/>
      <c r="CI136" s="684"/>
      <c r="CJ136" s="684"/>
      <c r="CK136" s="684"/>
      <c r="CL136" s="684"/>
      <c r="CM136" s="684"/>
      <c r="CN136" s="684"/>
      <c r="CO136" s="684"/>
      <c r="CP136" s="684"/>
      <c r="CQ136" s="684"/>
      <c r="CR136" s="684"/>
      <c r="CS136" s="684"/>
      <c r="CT136" s="684"/>
      <c r="CU136" s="684"/>
      <c r="CV136" s="684"/>
      <c r="CW136" s="684"/>
      <c r="CX136" s="684"/>
      <c r="CY136" s="684"/>
      <c r="CZ136" s="684"/>
      <c r="DA136" s="684"/>
      <c r="DB136" s="684"/>
      <c r="DC136" s="684"/>
      <c r="DD136" s="684"/>
      <c r="DE136" s="684"/>
      <c r="DF136" s="684"/>
      <c r="DG136" s="684"/>
      <c r="DH136" s="684"/>
      <c r="DI136" s="684"/>
      <c r="DJ136" s="684"/>
      <c r="DK136" s="684"/>
      <c r="DL136" s="684"/>
      <c r="DM136" s="684"/>
      <c r="DN136" s="684"/>
      <c r="DO136" s="684"/>
      <c r="DP136" s="684"/>
      <c r="DQ136" s="684"/>
      <c r="DR136" s="684"/>
      <c r="DS136" s="684"/>
      <c r="DT136" s="684"/>
      <c r="DU136" s="684"/>
      <c r="DV136" s="684"/>
      <c r="DW136" s="684"/>
      <c r="DX136" s="684"/>
      <c r="DY136" s="684"/>
      <c r="DZ136" s="684"/>
      <c r="EA136" s="684"/>
      <c r="EB136" s="684"/>
      <c r="EC136" s="684"/>
      <c r="ED136" s="684"/>
      <c r="EE136" s="684"/>
      <c r="EF136" s="684"/>
      <c r="EG136" s="684"/>
      <c r="EH136" s="684"/>
      <c r="EK136" s="280"/>
    </row>
    <row r="137" spans="1:141" ht="15" hidden="1" thickTop="1" x14ac:dyDescent="0.3">
      <c r="A137" s="684" t="s">
        <v>2425</v>
      </c>
      <c r="B137" s="200"/>
      <c r="C137" s="200"/>
      <c r="D137" s="200"/>
      <c r="E137" s="647"/>
      <c r="F137" s="647">
        <f>Admin</f>
        <v>112098.27953124094</v>
      </c>
      <c r="G137" s="230">
        <f t="shared" ref="G137:BR138" si="265">G$135*F137</f>
        <v>112374.74412957609</v>
      </c>
      <c r="H137" s="230">
        <f t="shared" si="265"/>
        <v>112651.89056419324</v>
      </c>
      <c r="I137" s="230">
        <f t="shared" si="265"/>
        <v>112929.72051668457</v>
      </c>
      <c r="J137" s="230">
        <f t="shared" si="265"/>
        <v>113208.23567278957</v>
      </c>
      <c r="K137" s="230">
        <f t="shared" si="265"/>
        <v>113487.4377224052</v>
      </c>
      <c r="L137" s="230">
        <f t="shared" si="265"/>
        <v>113767.32835959617</v>
      </c>
      <c r="M137" s="230">
        <f t="shared" si="265"/>
        <v>114047.90928260519</v>
      </c>
      <c r="N137" s="230">
        <f t="shared" si="265"/>
        <v>114329.18219386332</v>
      </c>
      <c r="O137" s="230">
        <f t="shared" si="265"/>
        <v>114611.14880000024</v>
      </c>
      <c r="P137" s="230">
        <f t="shared" si="265"/>
        <v>114893.81081185468</v>
      </c>
      <c r="Q137" s="230">
        <f t="shared" si="265"/>
        <v>115177.16994448473</v>
      </c>
      <c r="R137" s="230">
        <f t="shared" si="265"/>
        <v>115461.2279171783</v>
      </c>
      <c r="S137" s="230">
        <f t="shared" si="265"/>
        <v>115745.9864534635</v>
      </c>
      <c r="T137" s="230">
        <f t="shared" si="265"/>
        <v>116031.44728111915</v>
      </c>
      <c r="U137" s="230">
        <f t="shared" si="265"/>
        <v>116317.61213218523</v>
      </c>
      <c r="V137" s="230">
        <f t="shared" si="265"/>
        <v>116604.48274297339</v>
      </c>
      <c r="W137" s="230">
        <f t="shared" si="265"/>
        <v>116892.06085407748</v>
      </c>
      <c r="X137" s="230">
        <f t="shared" si="265"/>
        <v>117180.34821038418</v>
      </c>
      <c r="Y137" s="230">
        <f t="shared" si="265"/>
        <v>117469.34656108347</v>
      </c>
      <c r="Z137" s="230">
        <f t="shared" si="265"/>
        <v>117759.05765967934</v>
      </c>
      <c r="AA137" s="230">
        <f t="shared" si="265"/>
        <v>118049.48326400037</v>
      </c>
      <c r="AB137" s="230">
        <f t="shared" si="265"/>
        <v>118340.62513621045</v>
      </c>
      <c r="AC137" s="230">
        <f t="shared" si="265"/>
        <v>118632.4850428194</v>
      </c>
      <c r="AD137" s="230">
        <f t="shared" si="265"/>
        <v>118925.06475469378</v>
      </c>
      <c r="AE137" s="230">
        <f t="shared" si="265"/>
        <v>119218.36604706754</v>
      </c>
      <c r="AF137" s="230">
        <f t="shared" si="265"/>
        <v>119512.39069955285</v>
      </c>
      <c r="AG137" s="230">
        <f t="shared" si="265"/>
        <v>119807.14049615091</v>
      </c>
      <c r="AH137" s="230">
        <f t="shared" si="265"/>
        <v>120102.61722526271</v>
      </c>
      <c r="AI137" s="230">
        <f t="shared" si="265"/>
        <v>120398.82267969994</v>
      </c>
      <c r="AJ137" s="230">
        <f t="shared" si="265"/>
        <v>120695.75865669583</v>
      </c>
      <c r="AK137" s="230">
        <f t="shared" si="265"/>
        <v>120993.4269579161</v>
      </c>
      <c r="AL137" s="230">
        <f t="shared" si="265"/>
        <v>121291.82938946984</v>
      </c>
      <c r="AM137" s="230">
        <f t="shared" si="265"/>
        <v>121590.9677619205</v>
      </c>
      <c r="AN137" s="230">
        <f t="shared" si="265"/>
        <v>121890.84389029688</v>
      </c>
      <c r="AO137" s="230">
        <f t="shared" si="265"/>
        <v>122191.4595941041</v>
      </c>
      <c r="AP137" s="230">
        <f t="shared" si="265"/>
        <v>122492.81669733471</v>
      </c>
      <c r="AQ137" s="230">
        <f t="shared" si="265"/>
        <v>122794.91702847969</v>
      </c>
      <c r="AR137" s="230">
        <f t="shared" si="265"/>
        <v>123097.76242053957</v>
      </c>
      <c r="AS137" s="230">
        <f t="shared" si="265"/>
        <v>123401.35471103557</v>
      </c>
      <c r="AT137" s="230">
        <f t="shared" si="265"/>
        <v>123705.69574202072</v>
      </c>
      <c r="AU137" s="230">
        <f t="shared" si="265"/>
        <v>124010.78736009107</v>
      </c>
      <c r="AV137" s="230">
        <f t="shared" si="265"/>
        <v>124316.63141639683</v>
      </c>
      <c r="AW137" s="230">
        <f t="shared" si="265"/>
        <v>124623.22976665372</v>
      </c>
      <c r="AX137" s="230">
        <f t="shared" si="265"/>
        <v>124930.58427115408</v>
      </c>
      <c r="AY137" s="230">
        <f t="shared" si="265"/>
        <v>125238.69679477825</v>
      </c>
      <c r="AZ137" s="230">
        <f t="shared" si="265"/>
        <v>125547.56920700592</v>
      </c>
      <c r="BA137" s="230">
        <f t="shared" si="265"/>
        <v>125857.20338192736</v>
      </c>
      <c r="BB137" s="230">
        <f t="shared" si="265"/>
        <v>126167.6011982549</v>
      </c>
      <c r="BC137" s="230">
        <f t="shared" si="265"/>
        <v>126478.76453933422</v>
      </c>
      <c r="BD137" s="230">
        <f t="shared" si="265"/>
        <v>126790.69529315591</v>
      </c>
      <c r="BE137" s="230">
        <f t="shared" si="265"/>
        <v>127103.39535236679</v>
      </c>
      <c r="BF137" s="230">
        <f t="shared" si="265"/>
        <v>127416.86661428149</v>
      </c>
      <c r="BG137" s="230">
        <f t="shared" si="265"/>
        <v>127731.11098089395</v>
      </c>
      <c r="BH137" s="230">
        <f t="shared" si="265"/>
        <v>128046.1303588889</v>
      </c>
      <c r="BI137" s="230">
        <f t="shared" si="265"/>
        <v>128361.92665965349</v>
      </c>
      <c r="BJ137" s="230">
        <f t="shared" si="265"/>
        <v>128678.50179928885</v>
      </c>
      <c r="BK137" s="230">
        <f t="shared" si="265"/>
        <v>128995.85769862175</v>
      </c>
      <c r="BL137" s="230">
        <f t="shared" si="265"/>
        <v>129313.99628321626</v>
      </c>
      <c r="BM137" s="230">
        <f t="shared" si="265"/>
        <v>129632.91948338534</v>
      </c>
      <c r="BN137" s="230">
        <f t="shared" si="265"/>
        <v>129952.62923420269</v>
      </c>
      <c r="BO137" s="230">
        <f t="shared" si="265"/>
        <v>130273.12747551438</v>
      </c>
      <c r="BP137" s="230">
        <f t="shared" si="265"/>
        <v>130594.4161519507</v>
      </c>
      <c r="BQ137" s="230">
        <f t="shared" si="265"/>
        <v>130916.4972129379</v>
      </c>
      <c r="BR137" s="230">
        <f t="shared" si="265"/>
        <v>131239.37261271005</v>
      </c>
      <c r="BS137" s="230">
        <f t="shared" ref="BS137:ED138" si="266">BS$135*BR137</f>
        <v>131563.04431032087</v>
      </c>
      <c r="BT137" s="230">
        <f t="shared" si="266"/>
        <v>131887.51426965566</v>
      </c>
      <c r="BU137" s="230">
        <f t="shared" si="266"/>
        <v>132212.78445944318</v>
      </c>
      <c r="BV137" s="230">
        <f t="shared" si="266"/>
        <v>132538.85685326761</v>
      </c>
      <c r="BW137" s="230">
        <f t="shared" si="266"/>
        <v>132865.73342958052</v>
      </c>
      <c r="BX137" s="230">
        <f t="shared" si="266"/>
        <v>133193.41617171286</v>
      </c>
      <c r="BY137" s="230">
        <f t="shared" si="266"/>
        <v>133521.90706788702</v>
      </c>
      <c r="BZ137" s="230">
        <f t="shared" si="266"/>
        <v>133851.20811122889</v>
      </c>
      <c r="CA137" s="230">
        <f t="shared" si="266"/>
        <v>134181.32129977993</v>
      </c>
      <c r="CB137" s="230">
        <f t="shared" si="266"/>
        <v>134512.24863650935</v>
      </c>
      <c r="CC137" s="230">
        <f t="shared" si="266"/>
        <v>134843.99212932616</v>
      </c>
      <c r="CD137" s="230">
        <f t="shared" si="266"/>
        <v>135176.55379109146</v>
      </c>
      <c r="CE137" s="230">
        <f t="shared" si="266"/>
        <v>135509.9356396306</v>
      </c>
      <c r="CF137" s="230">
        <f t="shared" si="266"/>
        <v>135844.13969774544</v>
      </c>
      <c r="CG137" s="230">
        <f t="shared" si="266"/>
        <v>136179.16799322658</v>
      </c>
      <c r="CH137" s="230">
        <f t="shared" si="266"/>
        <v>136515.02255886575</v>
      </c>
      <c r="CI137" s="230">
        <f t="shared" si="266"/>
        <v>136851.70543246804</v>
      </c>
      <c r="CJ137" s="230">
        <f t="shared" si="266"/>
        <v>137189.21865686434</v>
      </c>
      <c r="CK137" s="230">
        <f t="shared" si="266"/>
        <v>137527.56427992371</v>
      </c>
      <c r="CL137" s="230">
        <f t="shared" si="266"/>
        <v>137866.74435456583</v>
      </c>
      <c r="CM137" s="230">
        <f t="shared" si="266"/>
        <v>138206.76093877343</v>
      </c>
      <c r="CN137" s="230">
        <f t="shared" si="266"/>
        <v>138547.61609560472</v>
      </c>
      <c r="CO137" s="230">
        <f t="shared" si="266"/>
        <v>138889.31189320606</v>
      </c>
      <c r="CP137" s="230">
        <f t="shared" si="266"/>
        <v>139231.85040482433</v>
      </c>
      <c r="CQ137" s="230">
        <f t="shared" si="266"/>
        <v>139575.23370881967</v>
      </c>
      <c r="CR137" s="230">
        <f t="shared" si="266"/>
        <v>139919.46388867794</v>
      </c>
      <c r="CS137" s="230">
        <f t="shared" si="266"/>
        <v>140264.54303302354</v>
      </c>
      <c r="CT137" s="230">
        <f t="shared" si="266"/>
        <v>140610.47323563189</v>
      </c>
      <c r="CU137" s="230">
        <f t="shared" si="266"/>
        <v>140957.25659544225</v>
      </c>
      <c r="CV137" s="230">
        <f t="shared" si="266"/>
        <v>141304.89521657044</v>
      </c>
      <c r="CW137" s="230">
        <f t="shared" si="266"/>
        <v>141653.39120832161</v>
      </c>
      <c r="CX137" s="230">
        <f t="shared" si="266"/>
        <v>142002.74668520302</v>
      </c>
      <c r="CY137" s="230">
        <f t="shared" si="266"/>
        <v>142352.96376693682</v>
      </c>
      <c r="CZ137" s="230">
        <f t="shared" si="266"/>
        <v>142704.04457847305</v>
      </c>
      <c r="DA137" s="230">
        <f t="shared" si="266"/>
        <v>143055.99125000241</v>
      </c>
      <c r="DB137" s="230">
        <f t="shared" si="266"/>
        <v>143408.80591696923</v>
      </c>
      <c r="DC137" s="230">
        <f t="shared" si="266"/>
        <v>143762.4907200844</v>
      </c>
      <c r="DD137" s="230">
        <f t="shared" si="266"/>
        <v>144117.04780533843</v>
      </c>
      <c r="DE137" s="230">
        <f t="shared" si="266"/>
        <v>144472.47932401439</v>
      </c>
      <c r="DF137" s="230">
        <f t="shared" si="266"/>
        <v>144828.78743270098</v>
      </c>
      <c r="DG137" s="230">
        <f t="shared" si="266"/>
        <v>145185.97429330566</v>
      </c>
      <c r="DH137" s="230">
        <f t="shared" si="266"/>
        <v>145544.04207306769</v>
      </c>
      <c r="DI137" s="230">
        <f t="shared" si="266"/>
        <v>145902.99294457139</v>
      </c>
      <c r="DJ137" s="230">
        <f t="shared" si="266"/>
        <v>146262.82908575924</v>
      </c>
      <c r="DK137" s="230">
        <f t="shared" si="266"/>
        <v>146623.55267994507</v>
      </c>
      <c r="DL137" s="230">
        <f t="shared" si="266"/>
        <v>146985.16591582741</v>
      </c>
      <c r="DM137" s="230">
        <f t="shared" si="266"/>
        <v>147347.67098750267</v>
      </c>
      <c r="DN137" s="230">
        <f t="shared" si="266"/>
        <v>147711.07009447849</v>
      </c>
      <c r="DO137" s="230">
        <f t="shared" si="266"/>
        <v>148075.36544168714</v>
      </c>
      <c r="DP137" s="230">
        <f t="shared" si="266"/>
        <v>148440.55923949881</v>
      </c>
      <c r="DQ137" s="230">
        <f t="shared" si="266"/>
        <v>148806.65370373504</v>
      </c>
      <c r="DR137" s="230">
        <f t="shared" si="266"/>
        <v>149173.65105568222</v>
      </c>
      <c r="DS137" s="230">
        <f t="shared" si="266"/>
        <v>149541.55352210504</v>
      </c>
      <c r="DT137" s="230">
        <f t="shared" si="266"/>
        <v>149910.36333525993</v>
      </c>
      <c r="DU137" s="230">
        <f t="shared" si="266"/>
        <v>150280.08273290875</v>
      </c>
      <c r="DV137" s="230">
        <f t="shared" si="266"/>
        <v>150650.71395833223</v>
      </c>
      <c r="DW137" s="230">
        <f t="shared" si="266"/>
        <v>151022.25926034362</v>
      </c>
      <c r="DX137" s="230">
        <f t="shared" si="266"/>
        <v>151394.72089330241</v>
      </c>
      <c r="DY137" s="230">
        <f t="shared" si="266"/>
        <v>151768.10111712792</v>
      </c>
      <c r="DZ137" s="230">
        <f t="shared" si="266"/>
        <v>152142.40219731303</v>
      </c>
      <c r="EA137" s="230">
        <f t="shared" si="266"/>
        <v>152517.62640493794</v>
      </c>
      <c r="EB137" s="230">
        <f t="shared" si="266"/>
        <v>152893.77601668396</v>
      </c>
      <c r="EC137" s="230">
        <f t="shared" si="266"/>
        <v>153270.85331484728</v>
      </c>
      <c r="ED137" s="230">
        <f t="shared" si="266"/>
        <v>153648.86058735289</v>
      </c>
      <c r="EE137" s="230">
        <f t="shared" ref="EE137:EH138" si="267">EE$135*ED137</f>
        <v>154027.80012776837</v>
      </c>
      <c r="EF137" s="230">
        <f t="shared" si="267"/>
        <v>154407.67423531791</v>
      </c>
      <c r="EG137" s="230">
        <f t="shared" si="267"/>
        <v>154788.48521489618</v>
      </c>
      <c r="EH137" s="230">
        <f t="shared" si="267"/>
        <v>155170.23537708237</v>
      </c>
      <c r="EK137" s="672"/>
    </row>
    <row r="138" spans="1:141" ht="15" hidden="1" thickTop="1" x14ac:dyDescent="0.3">
      <c r="A138" s="684" t="s">
        <v>2426</v>
      </c>
      <c r="B138" s="200"/>
      <c r="C138" s="200"/>
      <c r="D138" s="200"/>
      <c r="E138" s="647"/>
      <c r="F138" s="647">
        <f>'Operating Inputs'!$M$117*Units*(1+PrestartExpGwth)</f>
        <v>112098.27953124094</v>
      </c>
      <c r="G138" s="230">
        <f>G$135*F138</f>
        <v>112374.74412957609</v>
      </c>
      <c r="H138" s="230">
        <f t="shared" si="265"/>
        <v>112651.89056419324</v>
      </c>
      <c r="I138" s="230">
        <f t="shared" si="265"/>
        <v>112929.72051668457</v>
      </c>
      <c r="J138" s="230">
        <f t="shared" si="265"/>
        <v>113208.23567278957</v>
      </c>
      <c r="K138" s="230">
        <f t="shared" si="265"/>
        <v>113487.4377224052</v>
      </c>
      <c r="L138" s="230">
        <f t="shared" si="265"/>
        <v>113767.32835959617</v>
      </c>
      <c r="M138" s="230">
        <f t="shared" si="265"/>
        <v>114047.90928260519</v>
      </c>
      <c r="N138" s="230">
        <f t="shared" si="265"/>
        <v>114329.18219386332</v>
      </c>
      <c r="O138" s="230">
        <f t="shared" si="265"/>
        <v>114611.14880000024</v>
      </c>
      <c r="P138" s="230">
        <f t="shared" si="265"/>
        <v>114893.81081185468</v>
      </c>
      <c r="Q138" s="230">
        <f t="shared" si="265"/>
        <v>115177.16994448473</v>
      </c>
      <c r="R138" s="230">
        <f t="shared" si="265"/>
        <v>115461.2279171783</v>
      </c>
      <c r="S138" s="230">
        <f t="shared" si="265"/>
        <v>115745.9864534635</v>
      </c>
      <c r="T138" s="230">
        <f t="shared" si="265"/>
        <v>116031.44728111915</v>
      </c>
      <c r="U138" s="230">
        <f t="shared" si="265"/>
        <v>116317.61213218523</v>
      </c>
      <c r="V138" s="230">
        <f t="shared" si="265"/>
        <v>116604.48274297339</v>
      </c>
      <c r="W138" s="230">
        <f t="shared" si="265"/>
        <v>116892.06085407748</v>
      </c>
      <c r="X138" s="230">
        <f t="shared" si="265"/>
        <v>117180.34821038418</v>
      </c>
      <c r="Y138" s="230">
        <f t="shared" si="265"/>
        <v>117469.34656108347</v>
      </c>
      <c r="Z138" s="230">
        <f t="shared" si="265"/>
        <v>117759.05765967934</v>
      </c>
      <c r="AA138" s="230">
        <f t="shared" si="265"/>
        <v>118049.48326400037</v>
      </c>
      <c r="AB138" s="230">
        <f t="shared" si="265"/>
        <v>118340.62513621045</v>
      </c>
      <c r="AC138" s="230">
        <f t="shared" si="265"/>
        <v>118632.4850428194</v>
      </c>
      <c r="AD138" s="230">
        <f t="shared" si="265"/>
        <v>118925.06475469378</v>
      </c>
      <c r="AE138" s="230">
        <f t="shared" si="265"/>
        <v>119218.36604706754</v>
      </c>
      <c r="AF138" s="230">
        <f t="shared" si="265"/>
        <v>119512.39069955285</v>
      </c>
      <c r="AG138" s="230">
        <f t="shared" si="265"/>
        <v>119807.14049615091</v>
      </c>
      <c r="AH138" s="230">
        <f t="shared" si="265"/>
        <v>120102.61722526271</v>
      </c>
      <c r="AI138" s="230">
        <f t="shared" si="265"/>
        <v>120398.82267969994</v>
      </c>
      <c r="AJ138" s="230">
        <f t="shared" si="265"/>
        <v>120695.75865669583</v>
      </c>
      <c r="AK138" s="230">
        <f t="shared" si="265"/>
        <v>120993.4269579161</v>
      </c>
      <c r="AL138" s="230">
        <f t="shared" si="265"/>
        <v>121291.82938946984</v>
      </c>
      <c r="AM138" s="230">
        <f t="shared" si="265"/>
        <v>121590.9677619205</v>
      </c>
      <c r="AN138" s="230">
        <f t="shared" si="265"/>
        <v>121890.84389029688</v>
      </c>
      <c r="AO138" s="230">
        <f t="shared" si="265"/>
        <v>122191.4595941041</v>
      </c>
      <c r="AP138" s="230">
        <f t="shared" si="265"/>
        <v>122492.81669733471</v>
      </c>
      <c r="AQ138" s="230">
        <f t="shared" si="265"/>
        <v>122794.91702847969</v>
      </c>
      <c r="AR138" s="230">
        <f t="shared" si="265"/>
        <v>123097.76242053957</v>
      </c>
      <c r="AS138" s="230">
        <f t="shared" si="265"/>
        <v>123401.35471103557</v>
      </c>
      <c r="AT138" s="230">
        <f t="shared" si="265"/>
        <v>123705.69574202072</v>
      </c>
      <c r="AU138" s="230">
        <f t="shared" si="265"/>
        <v>124010.78736009107</v>
      </c>
      <c r="AV138" s="230">
        <f t="shared" si="265"/>
        <v>124316.63141639683</v>
      </c>
      <c r="AW138" s="230">
        <f t="shared" si="265"/>
        <v>124623.22976665372</v>
      </c>
      <c r="AX138" s="230">
        <f t="shared" si="265"/>
        <v>124930.58427115408</v>
      </c>
      <c r="AY138" s="230">
        <f t="shared" si="265"/>
        <v>125238.69679477825</v>
      </c>
      <c r="AZ138" s="230">
        <f t="shared" si="265"/>
        <v>125547.56920700592</v>
      </c>
      <c r="BA138" s="230">
        <f t="shared" si="265"/>
        <v>125857.20338192736</v>
      </c>
      <c r="BB138" s="230">
        <f t="shared" si="265"/>
        <v>126167.6011982549</v>
      </c>
      <c r="BC138" s="230">
        <f t="shared" si="265"/>
        <v>126478.76453933422</v>
      </c>
      <c r="BD138" s="230">
        <f t="shared" si="265"/>
        <v>126790.69529315591</v>
      </c>
      <c r="BE138" s="230">
        <f t="shared" si="265"/>
        <v>127103.39535236679</v>
      </c>
      <c r="BF138" s="230">
        <f t="shared" si="265"/>
        <v>127416.86661428149</v>
      </c>
      <c r="BG138" s="230">
        <f t="shared" si="265"/>
        <v>127731.11098089395</v>
      </c>
      <c r="BH138" s="230">
        <f t="shared" si="265"/>
        <v>128046.1303588889</v>
      </c>
      <c r="BI138" s="230">
        <f t="shared" si="265"/>
        <v>128361.92665965349</v>
      </c>
      <c r="BJ138" s="230">
        <f t="shared" si="265"/>
        <v>128678.50179928885</v>
      </c>
      <c r="BK138" s="230">
        <f t="shared" si="265"/>
        <v>128995.85769862175</v>
      </c>
      <c r="BL138" s="230">
        <f t="shared" si="265"/>
        <v>129313.99628321626</v>
      </c>
      <c r="BM138" s="230">
        <f t="shared" si="265"/>
        <v>129632.91948338534</v>
      </c>
      <c r="BN138" s="230">
        <f t="shared" si="265"/>
        <v>129952.62923420269</v>
      </c>
      <c r="BO138" s="230">
        <f t="shared" si="265"/>
        <v>130273.12747551438</v>
      </c>
      <c r="BP138" s="230">
        <f t="shared" si="265"/>
        <v>130594.4161519507</v>
      </c>
      <c r="BQ138" s="230">
        <f t="shared" si="265"/>
        <v>130916.4972129379</v>
      </c>
      <c r="BR138" s="230">
        <f t="shared" si="265"/>
        <v>131239.37261271005</v>
      </c>
      <c r="BS138" s="230">
        <f t="shared" si="266"/>
        <v>131563.04431032087</v>
      </c>
      <c r="BT138" s="230">
        <f t="shared" si="266"/>
        <v>131887.51426965566</v>
      </c>
      <c r="BU138" s="230">
        <f t="shared" si="266"/>
        <v>132212.78445944318</v>
      </c>
      <c r="BV138" s="230">
        <f t="shared" si="266"/>
        <v>132538.85685326761</v>
      </c>
      <c r="BW138" s="230">
        <f t="shared" si="266"/>
        <v>132865.73342958052</v>
      </c>
      <c r="BX138" s="230">
        <f t="shared" si="266"/>
        <v>133193.41617171286</v>
      </c>
      <c r="BY138" s="230">
        <f t="shared" si="266"/>
        <v>133521.90706788702</v>
      </c>
      <c r="BZ138" s="230">
        <f t="shared" si="266"/>
        <v>133851.20811122889</v>
      </c>
      <c r="CA138" s="230">
        <f t="shared" si="266"/>
        <v>134181.32129977993</v>
      </c>
      <c r="CB138" s="230">
        <f t="shared" si="266"/>
        <v>134512.24863650935</v>
      </c>
      <c r="CC138" s="230">
        <f t="shared" si="266"/>
        <v>134843.99212932616</v>
      </c>
      <c r="CD138" s="230">
        <f t="shared" si="266"/>
        <v>135176.55379109146</v>
      </c>
      <c r="CE138" s="230">
        <f t="shared" si="266"/>
        <v>135509.9356396306</v>
      </c>
      <c r="CF138" s="230">
        <f t="shared" si="266"/>
        <v>135844.13969774544</v>
      </c>
      <c r="CG138" s="230">
        <f t="shared" si="266"/>
        <v>136179.16799322658</v>
      </c>
      <c r="CH138" s="230">
        <f t="shared" si="266"/>
        <v>136515.02255886575</v>
      </c>
      <c r="CI138" s="230">
        <f t="shared" si="266"/>
        <v>136851.70543246804</v>
      </c>
      <c r="CJ138" s="230">
        <f t="shared" si="266"/>
        <v>137189.21865686434</v>
      </c>
      <c r="CK138" s="230">
        <f t="shared" si="266"/>
        <v>137527.56427992371</v>
      </c>
      <c r="CL138" s="230">
        <f t="shared" si="266"/>
        <v>137866.74435456583</v>
      </c>
      <c r="CM138" s="230">
        <f t="shared" si="266"/>
        <v>138206.76093877343</v>
      </c>
      <c r="CN138" s="230">
        <f t="shared" si="266"/>
        <v>138547.61609560472</v>
      </c>
      <c r="CO138" s="230">
        <f t="shared" si="266"/>
        <v>138889.31189320606</v>
      </c>
      <c r="CP138" s="230">
        <f t="shared" si="266"/>
        <v>139231.85040482433</v>
      </c>
      <c r="CQ138" s="230">
        <f t="shared" si="266"/>
        <v>139575.23370881967</v>
      </c>
      <c r="CR138" s="230">
        <f t="shared" si="266"/>
        <v>139919.46388867794</v>
      </c>
      <c r="CS138" s="230">
        <f t="shared" si="266"/>
        <v>140264.54303302354</v>
      </c>
      <c r="CT138" s="230">
        <f t="shared" si="266"/>
        <v>140610.47323563189</v>
      </c>
      <c r="CU138" s="230">
        <f t="shared" si="266"/>
        <v>140957.25659544225</v>
      </c>
      <c r="CV138" s="230">
        <f t="shared" si="266"/>
        <v>141304.89521657044</v>
      </c>
      <c r="CW138" s="230">
        <f t="shared" si="266"/>
        <v>141653.39120832161</v>
      </c>
      <c r="CX138" s="230">
        <f t="shared" si="266"/>
        <v>142002.74668520302</v>
      </c>
      <c r="CY138" s="230">
        <f t="shared" si="266"/>
        <v>142352.96376693682</v>
      </c>
      <c r="CZ138" s="230">
        <f t="shared" si="266"/>
        <v>142704.04457847305</v>
      </c>
      <c r="DA138" s="230">
        <f t="shared" si="266"/>
        <v>143055.99125000241</v>
      </c>
      <c r="DB138" s="230">
        <f t="shared" si="266"/>
        <v>143408.80591696923</v>
      </c>
      <c r="DC138" s="230">
        <f t="shared" si="266"/>
        <v>143762.4907200844</v>
      </c>
      <c r="DD138" s="230">
        <f t="shared" si="266"/>
        <v>144117.04780533843</v>
      </c>
      <c r="DE138" s="230">
        <f t="shared" si="266"/>
        <v>144472.47932401439</v>
      </c>
      <c r="DF138" s="230">
        <f t="shared" si="266"/>
        <v>144828.78743270098</v>
      </c>
      <c r="DG138" s="230">
        <f t="shared" si="266"/>
        <v>145185.97429330566</v>
      </c>
      <c r="DH138" s="230">
        <f t="shared" si="266"/>
        <v>145544.04207306769</v>
      </c>
      <c r="DI138" s="230">
        <f t="shared" si="266"/>
        <v>145902.99294457139</v>
      </c>
      <c r="DJ138" s="230">
        <f t="shared" si="266"/>
        <v>146262.82908575924</v>
      </c>
      <c r="DK138" s="230">
        <f t="shared" si="266"/>
        <v>146623.55267994507</v>
      </c>
      <c r="DL138" s="230">
        <f t="shared" si="266"/>
        <v>146985.16591582741</v>
      </c>
      <c r="DM138" s="230">
        <f t="shared" si="266"/>
        <v>147347.67098750267</v>
      </c>
      <c r="DN138" s="230">
        <f t="shared" si="266"/>
        <v>147711.07009447849</v>
      </c>
      <c r="DO138" s="230">
        <f t="shared" si="266"/>
        <v>148075.36544168714</v>
      </c>
      <c r="DP138" s="230">
        <f t="shared" si="266"/>
        <v>148440.55923949881</v>
      </c>
      <c r="DQ138" s="230">
        <f t="shared" si="266"/>
        <v>148806.65370373504</v>
      </c>
      <c r="DR138" s="230">
        <f t="shared" si="266"/>
        <v>149173.65105568222</v>
      </c>
      <c r="DS138" s="230">
        <f t="shared" si="266"/>
        <v>149541.55352210504</v>
      </c>
      <c r="DT138" s="230">
        <f t="shared" si="266"/>
        <v>149910.36333525993</v>
      </c>
      <c r="DU138" s="230">
        <f t="shared" si="266"/>
        <v>150280.08273290875</v>
      </c>
      <c r="DV138" s="230">
        <f t="shared" si="266"/>
        <v>150650.71395833223</v>
      </c>
      <c r="DW138" s="230">
        <f t="shared" si="266"/>
        <v>151022.25926034362</v>
      </c>
      <c r="DX138" s="230">
        <f t="shared" si="266"/>
        <v>151394.72089330241</v>
      </c>
      <c r="DY138" s="230">
        <f t="shared" si="266"/>
        <v>151768.10111712792</v>
      </c>
      <c r="DZ138" s="230">
        <f t="shared" si="266"/>
        <v>152142.40219731303</v>
      </c>
      <c r="EA138" s="230">
        <f t="shared" si="266"/>
        <v>152517.62640493794</v>
      </c>
      <c r="EB138" s="230">
        <f t="shared" si="266"/>
        <v>152893.77601668396</v>
      </c>
      <c r="EC138" s="230">
        <f t="shared" si="266"/>
        <v>153270.85331484728</v>
      </c>
      <c r="ED138" s="230">
        <f t="shared" si="266"/>
        <v>153648.86058735289</v>
      </c>
      <c r="EE138" s="230">
        <f t="shared" si="267"/>
        <v>154027.80012776837</v>
      </c>
      <c r="EF138" s="230">
        <f>EF$135*EE138</f>
        <v>154407.67423531791</v>
      </c>
      <c r="EG138" s="230">
        <f>EG$135*EF138</f>
        <v>154788.48521489618</v>
      </c>
      <c r="EH138" s="230">
        <f>EH$135*EG138</f>
        <v>155170.23537708237</v>
      </c>
      <c r="EK138" s="672"/>
    </row>
    <row r="139" spans="1:141" ht="15" hidden="1" thickTop="1" x14ac:dyDescent="0.3">
      <c r="A139" s="684" t="s">
        <v>2427</v>
      </c>
      <c r="B139" s="200"/>
      <c r="C139" s="200"/>
      <c r="D139" s="200"/>
      <c r="E139" s="647"/>
      <c r="F139" s="647"/>
      <c r="G139" s="230">
        <f>IF(G$5&gt;=MonthFirstUnits-'Development Inputs'!$N$28,1,0)</f>
        <v>0</v>
      </c>
      <c r="H139" s="230">
        <f>IF(H$5&gt;=MonthFirstUnits-'Development Inputs'!$N$28,1,0)</f>
        <v>0</v>
      </c>
      <c r="I139" s="230">
        <f>IF(I$5&gt;=MonthFirstUnits-'Development Inputs'!$N$28,1,0)</f>
        <v>0</v>
      </c>
      <c r="J139" s="230">
        <f>IF(J$5&gt;=MonthFirstUnits-'Development Inputs'!$N$28,1,0)</f>
        <v>0</v>
      </c>
      <c r="K139" s="230">
        <f>IF(K$5&gt;=MonthFirstUnits-'Development Inputs'!$N$28,1,0)</f>
        <v>0</v>
      </c>
      <c r="L139" s="230">
        <f>IF(L$5&gt;=MonthFirstUnits-'Development Inputs'!$N$28,1,0)</f>
        <v>0</v>
      </c>
      <c r="M139" s="230">
        <f>IF(M$5&gt;=MonthFirstUnits-'Development Inputs'!$N$28,1,0)</f>
        <v>0</v>
      </c>
      <c r="N139" s="230">
        <f>IF(N$5&gt;=MonthFirstUnits-'Development Inputs'!$N$28,1,0)</f>
        <v>0</v>
      </c>
      <c r="O139" s="230">
        <f>IF(O$5&gt;=MonthFirstUnits-'Development Inputs'!$N$28,1,0)</f>
        <v>0</v>
      </c>
      <c r="P139" s="230">
        <f>IF(P$5&gt;=MonthFirstUnits-'Development Inputs'!$N$28,1,0)</f>
        <v>0</v>
      </c>
      <c r="Q139" s="230">
        <f>IF(Q$5&gt;=MonthFirstUnits-'Development Inputs'!$N$28,1,0)</f>
        <v>0</v>
      </c>
      <c r="R139" s="230">
        <f>IF(R$5&gt;=MonthFirstUnits-'Development Inputs'!$N$28,1,0)</f>
        <v>0</v>
      </c>
      <c r="S139" s="230">
        <f>IF(S$5&gt;=MonthFirstUnits-'Development Inputs'!$N$28,1,0)</f>
        <v>0</v>
      </c>
      <c r="T139" s="230">
        <f>IF(T$5&gt;=MonthFirstUnits-'Development Inputs'!$N$28,1,0)</f>
        <v>1</v>
      </c>
      <c r="U139" s="230">
        <f>IF(U$5&gt;=MonthFirstUnits-'Development Inputs'!$N$28,1,0)</f>
        <v>1</v>
      </c>
      <c r="V139" s="230">
        <f>IF(V$5&gt;=MonthFirstUnits-'Development Inputs'!$N$28,1,0)</f>
        <v>1</v>
      </c>
      <c r="W139" s="230">
        <f>IF(W$5&gt;=MonthFirstUnits-'Development Inputs'!$N$28,1,0)</f>
        <v>1</v>
      </c>
      <c r="X139" s="230">
        <f>IF(X$5&gt;=MonthFirstUnits-'Development Inputs'!$N$28,1,0)</f>
        <v>1</v>
      </c>
      <c r="Y139" s="230">
        <f>IF(Y$5&gt;=MonthFirstUnits-'Development Inputs'!$N$28,1,0)</f>
        <v>1</v>
      </c>
      <c r="Z139" s="230">
        <f>IF(Z$5&gt;=MonthFirstUnits-'Development Inputs'!$N$28,1,0)</f>
        <v>1</v>
      </c>
      <c r="AA139" s="230">
        <f>IF(AA$5&gt;=MonthFirstUnits-'Development Inputs'!$N$28,1,0)</f>
        <v>1</v>
      </c>
      <c r="AB139" s="230">
        <f>IF(AB$5&gt;=MonthFirstUnits-'Development Inputs'!$N$28,1,0)</f>
        <v>1</v>
      </c>
      <c r="AC139" s="230">
        <f>IF(AC$5&gt;=MonthFirstUnits-'Development Inputs'!$N$28,1,0)</f>
        <v>1</v>
      </c>
      <c r="AD139" s="230">
        <f>IF(AD$5&gt;=MonthFirstUnits-'Development Inputs'!$N$28,1,0)</f>
        <v>1</v>
      </c>
      <c r="AE139" s="230">
        <f>IF(AE$5&gt;=MonthFirstUnits-'Development Inputs'!$N$28,1,0)</f>
        <v>1</v>
      </c>
      <c r="AF139" s="230">
        <f>IF(AF$5&gt;=MonthFirstUnits-'Development Inputs'!$N$28,1,0)</f>
        <v>1</v>
      </c>
      <c r="AG139" s="230">
        <f>IF(AG$5&gt;=MonthFirstUnits-'Development Inputs'!$N$28,1,0)</f>
        <v>1</v>
      </c>
      <c r="AH139" s="230">
        <f>IF(AH$5&gt;=MonthFirstUnits-'Development Inputs'!$N$28,1,0)</f>
        <v>1</v>
      </c>
      <c r="AI139" s="230">
        <f>IF(AI$5&gt;=MonthFirstUnits-'Development Inputs'!$N$28,1,0)</f>
        <v>1</v>
      </c>
      <c r="AJ139" s="230">
        <f>IF(AJ$5&gt;=MonthFirstUnits-'Development Inputs'!$N$28,1,0)</f>
        <v>1</v>
      </c>
      <c r="AK139" s="230">
        <f>IF(AK$5&gt;=MonthFirstUnits-'Development Inputs'!$N$28,1,0)</f>
        <v>1</v>
      </c>
      <c r="AL139" s="230">
        <f>IF(AL$5&gt;=MonthFirstUnits-'Development Inputs'!$N$28,1,0)</f>
        <v>1</v>
      </c>
      <c r="AM139" s="230">
        <f>IF(AM$5&gt;=MonthFirstUnits-'Development Inputs'!$N$28,1,0)</f>
        <v>1</v>
      </c>
      <c r="AN139" s="230">
        <f>IF(AN$5&gt;=MonthFirstUnits-'Development Inputs'!$N$28,1,0)</f>
        <v>1</v>
      </c>
      <c r="AO139" s="230">
        <f>IF(AO$5&gt;=MonthFirstUnits-'Development Inputs'!$N$28,1,0)</f>
        <v>1</v>
      </c>
      <c r="AP139" s="230">
        <f>IF(AP$5&gt;=MonthFirstUnits-'Development Inputs'!$N$28,1,0)</f>
        <v>1</v>
      </c>
      <c r="AQ139" s="230">
        <f>IF(AQ$5&gt;=MonthFirstUnits-'Development Inputs'!$N$28,1,0)</f>
        <v>1</v>
      </c>
      <c r="AR139" s="230">
        <f>IF(AR$5&gt;=MonthFirstUnits-'Development Inputs'!$N$28,1,0)</f>
        <v>1</v>
      </c>
      <c r="AS139" s="230">
        <f>IF(AS$5&gt;=MonthFirstUnits-'Development Inputs'!$N$28,1,0)</f>
        <v>1</v>
      </c>
      <c r="AT139" s="230">
        <f>IF(AT$5&gt;=MonthFirstUnits-'Development Inputs'!$N$28,1,0)</f>
        <v>1</v>
      </c>
      <c r="AU139" s="230">
        <f>IF(AU$5&gt;=MonthFirstUnits-'Development Inputs'!$N$28,1,0)</f>
        <v>1</v>
      </c>
      <c r="AV139" s="230">
        <f>IF(AV$5&gt;=MonthFirstUnits-'Development Inputs'!$N$28,1,0)</f>
        <v>1</v>
      </c>
      <c r="AW139" s="230">
        <f>IF(AW$5&gt;=MonthFirstUnits-'Development Inputs'!$N$28,1,0)</f>
        <v>1</v>
      </c>
      <c r="AX139" s="230">
        <f>IF(AX$5&gt;=MonthFirstUnits-'Development Inputs'!$N$28,1,0)</f>
        <v>1</v>
      </c>
      <c r="AY139" s="230">
        <f>IF(AY$5&gt;=MonthFirstUnits-'Development Inputs'!$N$28,1,0)</f>
        <v>1</v>
      </c>
      <c r="AZ139" s="230">
        <f>IF(AZ$5&gt;=MonthFirstUnits-'Development Inputs'!$N$28,1,0)</f>
        <v>1</v>
      </c>
      <c r="BA139" s="230">
        <f>IF(BA$5&gt;=MonthFirstUnits-'Development Inputs'!$N$28,1,0)</f>
        <v>1</v>
      </c>
      <c r="BB139" s="230">
        <f>IF(BB$5&gt;=MonthFirstUnits-'Development Inputs'!$N$28,1,0)</f>
        <v>1</v>
      </c>
      <c r="BC139" s="230">
        <f>IF(BC$5&gt;=MonthFirstUnits-'Development Inputs'!$N$28,1,0)</f>
        <v>1</v>
      </c>
      <c r="BD139" s="230">
        <f>IF(BD$5&gt;=MonthFirstUnits-'Development Inputs'!$N$28,1,0)</f>
        <v>1</v>
      </c>
      <c r="BE139" s="230">
        <f>IF(BE$5&gt;=MonthFirstUnits-'Development Inputs'!$N$28,1,0)</f>
        <v>1</v>
      </c>
      <c r="BF139" s="230">
        <f>IF(BF$5&gt;=MonthFirstUnits-'Development Inputs'!$N$28,1,0)</f>
        <v>1</v>
      </c>
      <c r="BG139" s="230">
        <f>IF(BG$5&gt;=MonthFirstUnits-'Development Inputs'!$N$28,1,0)</f>
        <v>1</v>
      </c>
      <c r="BH139" s="230">
        <f>IF(BH$5&gt;=MonthFirstUnits-'Development Inputs'!$N$28,1,0)</f>
        <v>1</v>
      </c>
      <c r="BI139" s="230">
        <f>IF(BI$5&gt;=MonthFirstUnits-'Development Inputs'!$N$28,1,0)</f>
        <v>1</v>
      </c>
      <c r="BJ139" s="230">
        <f>IF(BJ$5&gt;=MonthFirstUnits-'Development Inputs'!$N$28,1,0)</f>
        <v>1</v>
      </c>
      <c r="BK139" s="230">
        <f>IF(BK$5&gt;=MonthFirstUnits-'Development Inputs'!$N$28,1,0)</f>
        <v>1</v>
      </c>
      <c r="BL139" s="230">
        <f>IF(BL$5&gt;=MonthFirstUnits-'Development Inputs'!$N$28,1,0)</f>
        <v>1</v>
      </c>
      <c r="BM139" s="230">
        <f>IF(BM$5&gt;=MonthFirstUnits-'Development Inputs'!$N$28,1,0)</f>
        <v>1</v>
      </c>
      <c r="BN139" s="230">
        <f>IF(BN$5&gt;=MonthFirstUnits-'Development Inputs'!$N$28,1,0)</f>
        <v>1</v>
      </c>
      <c r="BO139" s="230">
        <f>IF(BO$5&gt;=MonthFirstUnits-'Development Inputs'!$N$28,1,0)</f>
        <v>1</v>
      </c>
      <c r="BP139" s="230">
        <f>IF(BP$5&gt;=MonthFirstUnits-'Development Inputs'!$N$28,1,0)</f>
        <v>1</v>
      </c>
      <c r="BQ139" s="230">
        <f>IF(BQ$5&gt;=MonthFirstUnits-'Development Inputs'!$N$28,1,0)</f>
        <v>1</v>
      </c>
      <c r="BR139" s="230">
        <f>IF(BR$5&gt;=MonthFirstUnits-'Development Inputs'!$N$28,1,0)</f>
        <v>1</v>
      </c>
      <c r="BS139" s="230">
        <f>IF(BS$5&gt;=MonthFirstUnits-'Development Inputs'!$N$28,1,0)</f>
        <v>1</v>
      </c>
      <c r="BT139" s="230">
        <f>IF(BT$5&gt;=MonthFirstUnits-'Development Inputs'!$N$28,1,0)</f>
        <v>1</v>
      </c>
      <c r="BU139" s="230">
        <f>IF(BU$5&gt;=MonthFirstUnits-'Development Inputs'!$N$28,1,0)</f>
        <v>1</v>
      </c>
      <c r="BV139" s="230">
        <f>IF(BV$5&gt;=MonthFirstUnits-'Development Inputs'!$N$28,1,0)</f>
        <v>1</v>
      </c>
      <c r="BW139" s="230">
        <f>IF(BW$5&gt;=MonthFirstUnits-'Development Inputs'!$N$28,1,0)</f>
        <v>1</v>
      </c>
      <c r="BX139" s="230">
        <f>IF(BX$5&gt;=MonthFirstUnits-'Development Inputs'!$N$28,1,0)</f>
        <v>1</v>
      </c>
      <c r="BY139" s="230">
        <f>IF(BY$5&gt;=MonthFirstUnits-'Development Inputs'!$N$28,1,0)</f>
        <v>1</v>
      </c>
      <c r="BZ139" s="230">
        <f>IF(BZ$5&gt;=MonthFirstUnits-'Development Inputs'!$N$28,1,0)</f>
        <v>1</v>
      </c>
      <c r="CA139" s="230">
        <f>IF(CA$5&gt;=MonthFirstUnits-'Development Inputs'!$N$28,1,0)</f>
        <v>1</v>
      </c>
      <c r="CB139" s="230">
        <f>IF(CB$5&gt;=MonthFirstUnits-'Development Inputs'!$N$28,1,0)</f>
        <v>1</v>
      </c>
      <c r="CC139" s="230">
        <f>IF(CC$5&gt;=MonthFirstUnits-'Development Inputs'!$N$28,1,0)</f>
        <v>1</v>
      </c>
      <c r="CD139" s="230">
        <f>IF(CD$5&gt;=MonthFirstUnits-'Development Inputs'!$N$28,1,0)</f>
        <v>1</v>
      </c>
      <c r="CE139" s="230">
        <f>IF(CE$5&gt;=MonthFirstUnits-'Development Inputs'!$N$28,1,0)</f>
        <v>1</v>
      </c>
      <c r="CF139" s="230">
        <f>IF(CF$5&gt;=MonthFirstUnits-'Development Inputs'!$N$28,1,0)</f>
        <v>1</v>
      </c>
      <c r="CG139" s="230">
        <f>IF(CG$5&gt;=MonthFirstUnits-'Development Inputs'!$N$28,1,0)</f>
        <v>1</v>
      </c>
      <c r="CH139" s="230">
        <f>IF(CH$5&gt;=MonthFirstUnits-'Development Inputs'!$N$28,1,0)</f>
        <v>1</v>
      </c>
      <c r="CI139" s="230">
        <f>IF(CI$5&gt;=MonthFirstUnits-'Development Inputs'!$N$28,1,0)</f>
        <v>1</v>
      </c>
      <c r="CJ139" s="230">
        <f>IF(CJ$5&gt;=MonthFirstUnits-'Development Inputs'!$N$28,1,0)</f>
        <v>1</v>
      </c>
      <c r="CK139" s="230">
        <f>IF(CK$5&gt;=MonthFirstUnits-'Development Inputs'!$N$28,1,0)</f>
        <v>1</v>
      </c>
      <c r="CL139" s="230">
        <f>IF(CL$5&gt;=MonthFirstUnits-'Development Inputs'!$N$28,1,0)</f>
        <v>1</v>
      </c>
      <c r="CM139" s="230">
        <f>IF(CM$5&gt;=MonthFirstUnits-'Development Inputs'!$N$28,1,0)</f>
        <v>1</v>
      </c>
      <c r="CN139" s="230">
        <f>IF(CN$5&gt;=MonthFirstUnits-'Development Inputs'!$N$28,1,0)</f>
        <v>1</v>
      </c>
      <c r="CO139" s="230">
        <f>IF(CO$5&gt;=MonthFirstUnits-'Development Inputs'!$N$28,1,0)</f>
        <v>1</v>
      </c>
      <c r="CP139" s="230">
        <f>IF(CP$5&gt;=MonthFirstUnits-'Development Inputs'!$N$28,1,0)</f>
        <v>1</v>
      </c>
      <c r="CQ139" s="230">
        <f>IF(CQ$5&gt;=MonthFirstUnits-'Development Inputs'!$N$28,1,0)</f>
        <v>1</v>
      </c>
      <c r="CR139" s="230">
        <f>IF(CR$5&gt;=MonthFirstUnits-'Development Inputs'!$N$28,1,0)</f>
        <v>1</v>
      </c>
      <c r="CS139" s="230">
        <f>IF(CS$5&gt;=MonthFirstUnits-'Development Inputs'!$N$28,1,0)</f>
        <v>1</v>
      </c>
      <c r="CT139" s="230">
        <f>IF(CT$5&gt;=MonthFirstUnits-'Development Inputs'!$N$28,1,0)</f>
        <v>1</v>
      </c>
      <c r="CU139" s="230">
        <f>IF(CU$5&gt;=MonthFirstUnits-'Development Inputs'!$N$28,1,0)</f>
        <v>1</v>
      </c>
      <c r="CV139" s="230">
        <f>IF(CV$5&gt;=MonthFirstUnits-'Development Inputs'!$N$28,1,0)</f>
        <v>1</v>
      </c>
      <c r="CW139" s="230">
        <f>IF(CW$5&gt;=MonthFirstUnits-'Development Inputs'!$N$28,1,0)</f>
        <v>1</v>
      </c>
      <c r="CX139" s="230">
        <f>IF(CX$5&gt;=MonthFirstUnits-'Development Inputs'!$N$28,1,0)</f>
        <v>1</v>
      </c>
      <c r="CY139" s="230">
        <f>IF(CY$5&gt;=MonthFirstUnits-'Development Inputs'!$N$28,1,0)</f>
        <v>1</v>
      </c>
      <c r="CZ139" s="230">
        <f>IF(CZ$5&gt;=MonthFirstUnits-'Development Inputs'!$N$28,1,0)</f>
        <v>1</v>
      </c>
      <c r="DA139" s="230">
        <f>IF(DA$5&gt;=MonthFirstUnits-'Development Inputs'!$N$28,1,0)</f>
        <v>1</v>
      </c>
      <c r="DB139" s="230">
        <f>IF(DB$5&gt;=MonthFirstUnits-'Development Inputs'!$N$28,1,0)</f>
        <v>1</v>
      </c>
      <c r="DC139" s="230">
        <f>IF(DC$5&gt;=MonthFirstUnits-'Development Inputs'!$N$28,1,0)</f>
        <v>1</v>
      </c>
      <c r="DD139" s="230">
        <f>IF(DD$5&gt;=MonthFirstUnits-'Development Inputs'!$N$28,1,0)</f>
        <v>1</v>
      </c>
      <c r="DE139" s="230">
        <f>IF(DE$5&gt;=MonthFirstUnits-'Development Inputs'!$N$28,1,0)</f>
        <v>1</v>
      </c>
      <c r="DF139" s="230">
        <f>IF(DF$5&gt;=MonthFirstUnits-'Development Inputs'!$N$28,1,0)</f>
        <v>1</v>
      </c>
      <c r="DG139" s="230">
        <f>IF(DG$5&gt;=MonthFirstUnits-'Development Inputs'!$N$28,1,0)</f>
        <v>1</v>
      </c>
      <c r="DH139" s="230">
        <f>IF(DH$5&gt;=MonthFirstUnits-'Development Inputs'!$N$28,1,0)</f>
        <v>1</v>
      </c>
      <c r="DI139" s="230">
        <f>IF(DI$5&gt;=MonthFirstUnits-'Development Inputs'!$N$28,1,0)</f>
        <v>1</v>
      </c>
      <c r="DJ139" s="230">
        <f>IF(DJ$5&gt;=MonthFirstUnits-'Development Inputs'!$N$28,1,0)</f>
        <v>1</v>
      </c>
      <c r="DK139" s="230">
        <f>IF(DK$5&gt;=MonthFirstUnits-'Development Inputs'!$N$28,1,0)</f>
        <v>1</v>
      </c>
      <c r="DL139" s="230">
        <f>IF(DL$5&gt;=MonthFirstUnits-'Development Inputs'!$N$28,1,0)</f>
        <v>1</v>
      </c>
      <c r="DM139" s="230">
        <f>IF(DM$5&gt;=MonthFirstUnits-'Development Inputs'!$N$28,1,0)</f>
        <v>1</v>
      </c>
      <c r="DN139" s="230">
        <f>IF(DN$5&gt;=MonthFirstUnits-'Development Inputs'!$N$28,1,0)</f>
        <v>1</v>
      </c>
      <c r="DO139" s="230">
        <f>IF(DO$5&gt;=MonthFirstUnits-'Development Inputs'!$N$28,1,0)</f>
        <v>1</v>
      </c>
      <c r="DP139" s="230">
        <f>IF(DP$5&gt;=MonthFirstUnits-'Development Inputs'!$N$28,1,0)</f>
        <v>1</v>
      </c>
      <c r="DQ139" s="230">
        <f>IF(DQ$5&gt;=MonthFirstUnits-'Development Inputs'!$N$28,1,0)</f>
        <v>1</v>
      </c>
      <c r="DR139" s="230">
        <f>IF(DR$5&gt;=MonthFirstUnits-'Development Inputs'!$N$28,1,0)</f>
        <v>1</v>
      </c>
      <c r="DS139" s="230">
        <f>IF(DS$5&gt;=MonthFirstUnits-'Development Inputs'!$N$28,1,0)</f>
        <v>1</v>
      </c>
      <c r="DT139" s="230">
        <f>IF(DT$5&gt;=MonthFirstUnits-'Development Inputs'!$N$28,1,0)</f>
        <v>1</v>
      </c>
      <c r="DU139" s="230">
        <f>IF(DU$5&gt;=MonthFirstUnits-'Development Inputs'!$N$28,1,0)</f>
        <v>1</v>
      </c>
      <c r="DV139" s="230">
        <f>IF(DV$5&gt;=MonthFirstUnits-'Development Inputs'!$N$28,1,0)</f>
        <v>1</v>
      </c>
      <c r="DW139" s="230">
        <f>IF(DW$5&gt;=MonthFirstUnits-'Development Inputs'!$N$28,1,0)</f>
        <v>1</v>
      </c>
      <c r="DX139" s="230">
        <f>IF(DX$5&gt;=MonthFirstUnits-'Development Inputs'!$N$28,1,0)</f>
        <v>1</v>
      </c>
      <c r="DY139" s="230">
        <f>IF(DY$5&gt;=MonthFirstUnits-'Development Inputs'!$N$28,1,0)</f>
        <v>1</v>
      </c>
      <c r="DZ139" s="230">
        <f>IF(DZ$5&gt;=MonthFirstUnits-'Development Inputs'!$N$28,1,0)</f>
        <v>1</v>
      </c>
      <c r="EA139" s="230">
        <f>IF(EA$5&gt;=MonthFirstUnits-'Development Inputs'!$N$28,1,0)</f>
        <v>1</v>
      </c>
      <c r="EB139" s="230">
        <f>IF(EB$5&gt;=MonthFirstUnits-'Development Inputs'!$N$28,1,0)</f>
        <v>1</v>
      </c>
      <c r="EC139" s="230">
        <f>IF(EC$5&gt;=MonthFirstUnits-'Development Inputs'!$N$28,1,0)</f>
        <v>1</v>
      </c>
      <c r="ED139" s="230">
        <f>IF(ED$5&gt;=MonthFirstUnits-'Development Inputs'!$N$28,1,0)</f>
        <v>1</v>
      </c>
      <c r="EE139" s="230">
        <f>IF(EE$5&gt;=MonthFirstUnits-'Development Inputs'!$N$28,1,0)</f>
        <v>1</v>
      </c>
      <c r="EF139" s="230">
        <f>IF(EF$5&gt;=MonthFirstUnits-'Development Inputs'!$N$28,1,0)</f>
        <v>1</v>
      </c>
      <c r="EG139" s="230">
        <f>IF(EG$5&gt;=MonthFirstUnits-'Development Inputs'!$N$28,1,0)</f>
        <v>1</v>
      </c>
      <c r="EH139" s="230">
        <f>IF(EH$5&gt;=MonthFirstUnits-'Development Inputs'!$N$28,1,0)</f>
        <v>1</v>
      </c>
      <c r="EK139" s="280"/>
    </row>
    <row r="140" spans="1:141" ht="15" hidden="1" thickTop="1" x14ac:dyDescent="0.3">
      <c r="A140" s="684" t="s">
        <v>2428</v>
      </c>
      <c r="B140" s="200"/>
      <c r="C140" s="200"/>
      <c r="D140" s="200"/>
      <c r="E140" s="647"/>
      <c r="F140" s="647">
        <f>F137/12</f>
        <v>9341.5232942700786</v>
      </c>
      <c r="G140" s="647">
        <f t="shared" ref="G140:AL140" si="268">IF(AND(MONTH(G$6)=1,G$6&lt;=DateDisposition),G137/12,
IF(AND(G$5=MonthDisposition+1,MONTH(G$6)&lt;&gt;1),LOOKUP(EDATE(G$6,-(MONTH(G6)-1)),$6:$6,138:138)/12,
IF(AND(MONTH(G$6)=1,G$5&gt;=MonthDisposition+1),G138/12,F140)))</f>
        <v>9341.5232942700786</v>
      </c>
      <c r="H140" s="647">
        <f t="shared" si="268"/>
        <v>9341.5232942700786</v>
      </c>
      <c r="I140" s="647">
        <f t="shared" si="268"/>
        <v>9341.5232942700786</v>
      </c>
      <c r="J140" s="647">
        <f t="shared" si="268"/>
        <v>9434.01963939913</v>
      </c>
      <c r="K140" s="647">
        <f t="shared" si="268"/>
        <v>9434.01963939913</v>
      </c>
      <c r="L140" s="647">
        <f t="shared" si="268"/>
        <v>9434.01963939913</v>
      </c>
      <c r="M140" s="647">
        <f t="shared" si="268"/>
        <v>9434.01963939913</v>
      </c>
      <c r="N140" s="647">
        <f t="shared" si="268"/>
        <v>9434.01963939913</v>
      </c>
      <c r="O140" s="647">
        <f t="shared" si="268"/>
        <v>9434.01963939913</v>
      </c>
      <c r="P140" s="647">
        <f t="shared" si="268"/>
        <v>9434.01963939913</v>
      </c>
      <c r="Q140" s="647">
        <f t="shared" si="268"/>
        <v>9434.01963939913</v>
      </c>
      <c r="R140" s="647">
        <f t="shared" si="268"/>
        <v>9434.01963939913</v>
      </c>
      <c r="S140" s="647">
        <f t="shared" si="268"/>
        <v>9434.01963939913</v>
      </c>
      <c r="T140" s="647">
        <f t="shared" si="268"/>
        <v>9434.01963939913</v>
      </c>
      <c r="U140" s="647">
        <f t="shared" si="268"/>
        <v>9434.01963939913</v>
      </c>
      <c r="V140" s="647">
        <f t="shared" si="268"/>
        <v>9717.040228581116</v>
      </c>
      <c r="W140" s="647">
        <f t="shared" si="268"/>
        <v>9717.040228581116</v>
      </c>
      <c r="X140" s="647">
        <f t="shared" si="268"/>
        <v>9717.040228581116</v>
      </c>
      <c r="Y140" s="647">
        <f t="shared" si="268"/>
        <v>9717.040228581116</v>
      </c>
      <c r="Z140" s="647">
        <f t="shared" si="268"/>
        <v>9717.040228581116</v>
      </c>
      <c r="AA140" s="647">
        <f t="shared" si="268"/>
        <v>9717.040228581116</v>
      </c>
      <c r="AB140" s="647">
        <f t="shared" si="268"/>
        <v>9717.040228581116</v>
      </c>
      <c r="AC140" s="647">
        <f t="shared" si="268"/>
        <v>9717.040228581116</v>
      </c>
      <c r="AD140" s="647">
        <f t="shared" si="268"/>
        <v>9717.040228581116</v>
      </c>
      <c r="AE140" s="647">
        <f t="shared" si="268"/>
        <v>9717.040228581116</v>
      </c>
      <c r="AF140" s="647">
        <f t="shared" si="268"/>
        <v>9717.040228581116</v>
      </c>
      <c r="AG140" s="647">
        <f t="shared" si="268"/>
        <v>9717.040228581116</v>
      </c>
      <c r="AH140" s="647">
        <f t="shared" si="268"/>
        <v>10008.55143543856</v>
      </c>
      <c r="AI140" s="647">
        <f t="shared" si="268"/>
        <v>10008.55143543856</v>
      </c>
      <c r="AJ140" s="647">
        <f t="shared" si="268"/>
        <v>10008.55143543856</v>
      </c>
      <c r="AK140" s="647">
        <f t="shared" si="268"/>
        <v>10008.55143543856</v>
      </c>
      <c r="AL140" s="647">
        <f t="shared" si="268"/>
        <v>10008.55143543856</v>
      </c>
      <c r="AM140" s="647">
        <f t="shared" ref="AM140:BR140" si="269">IF(AND(MONTH(AM$6)=1,AM$6&lt;=DateDisposition),AM137/12,
IF(AND(AM$5=MonthDisposition+1,MONTH(AM$6)&lt;&gt;1),LOOKUP(EDATE(AM$6,-(MONTH(AM6)-1)),$6:$6,138:138)/12,
IF(AND(MONTH(AM$6)=1,AM$5&gt;=MonthDisposition+1),AM138/12,AL140)))</f>
        <v>10008.55143543856</v>
      </c>
      <c r="AN140" s="647">
        <f t="shared" si="269"/>
        <v>10008.55143543856</v>
      </c>
      <c r="AO140" s="647">
        <f t="shared" si="269"/>
        <v>10008.55143543856</v>
      </c>
      <c r="AP140" s="647">
        <f t="shared" si="269"/>
        <v>10008.55143543856</v>
      </c>
      <c r="AQ140" s="647">
        <f t="shared" si="269"/>
        <v>10008.55143543856</v>
      </c>
      <c r="AR140" s="647">
        <f t="shared" si="269"/>
        <v>10008.55143543856</v>
      </c>
      <c r="AS140" s="647">
        <f t="shared" si="269"/>
        <v>10008.55143543856</v>
      </c>
      <c r="AT140" s="647">
        <f t="shared" si="269"/>
        <v>10308.807978501727</v>
      </c>
      <c r="AU140" s="647">
        <f t="shared" si="269"/>
        <v>10308.807978501727</v>
      </c>
      <c r="AV140" s="647">
        <f t="shared" si="269"/>
        <v>10308.807978501727</v>
      </c>
      <c r="AW140" s="647">
        <f t="shared" si="269"/>
        <v>10308.807978501727</v>
      </c>
      <c r="AX140" s="647">
        <f t="shared" si="269"/>
        <v>10308.807978501727</v>
      </c>
      <c r="AY140" s="647">
        <f t="shared" si="269"/>
        <v>10308.807978501727</v>
      </c>
      <c r="AZ140" s="647">
        <f t="shared" si="269"/>
        <v>10308.807978501727</v>
      </c>
      <c r="BA140" s="647">
        <f t="shared" si="269"/>
        <v>10308.807978501727</v>
      </c>
      <c r="BB140" s="647">
        <f t="shared" si="269"/>
        <v>10308.807978501727</v>
      </c>
      <c r="BC140" s="647">
        <f t="shared" si="269"/>
        <v>10308.807978501727</v>
      </c>
      <c r="BD140" s="647">
        <f t="shared" si="269"/>
        <v>10308.807978501727</v>
      </c>
      <c r="BE140" s="647">
        <f t="shared" si="269"/>
        <v>10308.807978501727</v>
      </c>
      <c r="BF140" s="647">
        <f t="shared" si="269"/>
        <v>10618.07221785679</v>
      </c>
      <c r="BG140" s="647">
        <f t="shared" si="269"/>
        <v>10618.07221785679</v>
      </c>
      <c r="BH140" s="647">
        <f t="shared" si="269"/>
        <v>10618.07221785679</v>
      </c>
      <c r="BI140" s="647">
        <f t="shared" si="269"/>
        <v>10618.07221785679</v>
      </c>
      <c r="BJ140" s="647">
        <f t="shared" si="269"/>
        <v>10618.07221785679</v>
      </c>
      <c r="BK140" s="647">
        <f t="shared" si="269"/>
        <v>10618.07221785679</v>
      </c>
      <c r="BL140" s="647">
        <f t="shared" si="269"/>
        <v>10618.07221785679</v>
      </c>
      <c r="BM140" s="647">
        <f t="shared" si="269"/>
        <v>10618.07221785679</v>
      </c>
      <c r="BN140" s="647">
        <f t="shared" si="269"/>
        <v>10618.07221785679</v>
      </c>
      <c r="BO140" s="647">
        <f t="shared" si="269"/>
        <v>10618.07221785679</v>
      </c>
      <c r="BP140" s="647">
        <f t="shared" si="269"/>
        <v>10618.07221785679</v>
      </c>
      <c r="BQ140" s="647">
        <f t="shared" si="269"/>
        <v>10618.07221785679</v>
      </c>
      <c r="BR140" s="647">
        <f t="shared" si="269"/>
        <v>10936.614384392504</v>
      </c>
      <c r="BS140" s="647">
        <f t="shared" ref="BS140:CX140" si="270">IF(AND(MONTH(BS$6)=1,BS$6&lt;=DateDisposition),BS137/12,
IF(AND(BS$5=MonthDisposition+1,MONTH(BS$6)&lt;&gt;1),LOOKUP(EDATE(BS$6,-(MONTH(BS6)-1)),$6:$6,138:138)/12,
IF(AND(MONTH(BS$6)=1,BS$5&gt;=MonthDisposition+1),BS138/12,BR140)))</f>
        <v>10936.614384392504</v>
      </c>
      <c r="BT140" s="647">
        <f t="shared" si="270"/>
        <v>10936.614384392504</v>
      </c>
      <c r="BU140" s="647">
        <f t="shared" si="270"/>
        <v>10936.614384392504</v>
      </c>
      <c r="BV140" s="647">
        <f t="shared" si="270"/>
        <v>10936.614384392504</v>
      </c>
      <c r="BW140" s="647">
        <f t="shared" si="270"/>
        <v>10936.614384392504</v>
      </c>
      <c r="BX140" s="647">
        <f t="shared" si="270"/>
        <v>10936.614384392504</v>
      </c>
      <c r="BY140" s="647">
        <f t="shared" si="270"/>
        <v>10936.614384392504</v>
      </c>
      <c r="BZ140" s="647">
        <f t="shared" si="270"/>
        <v>10936.614384392504</v>
      </c>
      <c r="CA140" s="647">
        <f t="shared" si="270"/>
        <v>10936.614384392504</v>
      </c>
      <c r="CB140" s="647">
        <f t="shared" si="270"/>
        <v>10936.614384392504</v>
      </c>
      <c r="CC140" s="647">
        <f t="shared" si="270"/>
        <v>10936.614384392504</v>
      </c>
      <c r="CD140" s="647">
        <f t="shared" si="270"/>
        <v>11264.712815924287</v>
      </c>
      <c r="CE140" s="647">
        <f t="shared" si="270"/>
        <v>11264.712815924287</v>
      </c>
      <c r="CF140" s="647">
        <f t="shared" si="270"/>
        <v>11264.712815924287</v>
      </c>
      <c r="CG140" s="647">
        <f t="shared" si="270"/>
        <v>11264.712815924287</v>
      </c>
      <c r="CH140" s="647">
        <f t="shared" si="270"/>
        <v>11264.712815924287</v>
      </c>
      <c r="CI140" s="647">
        <f t="shared" si="270"/>
        <v>11264.712815924287</v>
      </c>
      <c r="CJ140" s="647">
        <f t="shared" si="270"/>
        <v>11264.712815924287</v>
      </c>
      <c r="CK140" s="647">
        <f t="shared" si="270"/>
        <v>11264.712815924287</v>
      </c>
      <c r="CL140" s="647">
        <f t="shared" si="270"/>
        <v>11264.712815924287</v>
      </c>
      <c r="CM140" s="647">
        <f t="shared" si="270"/>
        <v>11264.712815924287</v>
      </c>
      <c r="CN140" s="647">
        <f t="shared" si="270"/>
        <v>11264.712815924287</v>
      </c>
      <c r="CO140" s="647">
        <f t="shared" si="270"/>
        <v>11264.712815924287</v>
      </c>
      <c r="CP140" s="647">
        <f t="shared" si="270"/>
        <v>11602.654200402028</v>
      </c>
      <c r="CQ140" s="647">
        <f t="shared" si="270"/>
        <v>11602.654200402028</v>
      </c>
      <c r="CR140" s="647">
        <f t="shared" si="270"/>
        <v>11602.654200402028</v>
      </c>
      <c r="CS140" s="647">
        <f t="shared" si="270"/>
        <v>11602.654200402028</v>
      </c>
      <c r="CT140" s="647">
        <f t="shared" si="270"/>
        <v>11602.654200402028</v>
      </c>
      <c r="CU140" s="647">
        <f t="shared" si="270"/>
        <v>11602.654200402028</v>
      </c>
      <c r="CV140" s="647">
        <f t="shared" si="270"/>
        <v>11602.654200402028</v>
      </c>
      <c r="CW140" s="647">
        <f t="shared" si="270"/>
        <v>11602.654200402028</v>
      </c>
      <c r="CX140" s="647">
        <f t="shared" si="270"/>
        <v>11602.654200402028</v>
      </c>
      <c r="CY140" s="647">
        <f t="shared" ref="CY140:EH140" si="271">IF(AND(MONTH(CY$6)=1,CY$6&lt;=DateDisposition),CY137/12,
IF(AND(CY$5=MonthDisposition+1,MONTH(CY$6)&lt;&gt;1),LOOKUP(EDATE(CY$6,-(MONTH(CY6)-1)),$6:$6,138:138)/12,
IF(AND(MONTH(CY$6)=1,CY$5&gt;=MonthDisposition+1),CY138/12,CX140)))</f>
        <v>11602.654200402028</v>
      </c>
      <c r="CZ140" s="647">
        <f t="shared" si="271"/>
        <v>11602.654200402028</v>
      </c>
      <c r="DA140" s="647">
        <f t="shared" si="271"/>
        <v>11602.654200402028</v>
      </c>
      <c r="DB140" s="647">
        <f t="shared" si="271"/>
        <v>11950.733826414102</v>
      </c>
      <c r="DC140" s="647">
        <f t="shared" si="271"/>
        <v>11950.733826414102</v>
      </c>
      <c r="DD140" s="647">
        <f t="shared" si="271"/>
        <v>11950.733826414102</v>
      </c>
      <c r="DE140" s="647">
        <f t="shared" si="271"/>
        <v>11950.733826414102</v>
      </c>
      <c r="DF140" s="647">
        <f t="shared" si="271"/>
        <v>11950.733826414102</v>
      </c>
      <c r="DG140" s="647">
        <f t="shared" si="271"/>
        <v>11950.733826414102</v>
      </c>
      <c r="DH140" s="647">
        <f t="shared" si="271"/>
        <v>11950.733826414102</v>
      </c>
      <c r="DI140" s="647">
        <f t="shared" si="271"/>
        <v>11950.733826414102</v>
      </c>
      <c r="DJ140" s="647">
        <f t="shared" si="271"/>
        <v>11950.733826414102</v>
      </c>
      <c r="DK140" s="647">
        <f t="shared" si="271"/>
        <v>11950.733826414102</v>
      </c>
      <c r="DL140" s="647">
        <f t="shared" si="271"/>
        <v>11950.733826414102</v>
      </c>
      <c r="DM140" s="647">
        <f t="shared" si="271"/>
        <v>11950.733826414102</v>
      </c>
      <c r="DN140" s="647">
        <f t="shared" si="271"/>
        <v>12309.255841206541</v>
      </c>
      <c r="DO140" s="647">
        <f t="shared" si="271"/>
        <v>12309.255841206541</v>
      </c>
      <c r="DP140" s="647">
        <f t="shared" si="271"/>
        <v>12309.255841206541</v>
      </c>
      <c r="DQ140" s="647">
        <f t="shared" si="271"/>
        <v>12309.255841206541</v>
      </c>
      <c r="DR140" s="647">
        <f t="shared" si="271"/>
        <v>12309.255841206541</v>
      </c>
      <c r="DS140" s="647">
        <f t="shared" si="271"/>
        <v>12309.255841206541</v>
      </c>
      <c r="DT140" s="647">
        <f t="shared" si="271"/>
        <v>12309.255841206541</v>
      </c>
      <c r="DU140" s="647">
        <f t="shared" si="271"/>
        <v>12309.255841206541</v>
      </c>
      <c r="DV140" s="647">
        <f t="shared" si="271"/>
        <v>12309.255841206541</v>
      </c>
      <c r="DW140" s="647">
        <f t="shared" si="271"/>
        <v>12309.255841206541</v>
      </c>
      <c r="DX140" s="647">
        <f t="shared" si="271"/>
        <v>12309.255841206541</v>
      </c>
      <c r="DY140" s="647">
        <f t="shared" si="271"/>
        <v>12309.255841206541</v>
      </c>
      <c r="DZ140" s="647">
        <f t="shared" si="271"/>
        <v>12678.533516442752</v>
      </c>
      <c r="EA140" s="647">
        <f t="shared" si="271"/>
        <v>12678.533516442752</v>
      </c>
      <c r="EB140" s="647">
        <f t="shared" si="271"/>
        <v>12678.533516442752</v>
      </c>
      <c r="EC140" s="647">
        <f t="shared" si="271"/>
        <v>12678.533516442752</v>
      </c>
      <c r="ED140" s="647">
        <f t="shared" si="271"/>
        <v>12678.533516442752</v>
      </c>
      <c r="EE140" s="647">
        <f t="shared" si="271"/>
        <v>12678.533516442752</v>
      </c>
      <c r="EF140" s="647">
        <f t="shared" si="271"/>
        <v>12678.533516442752</v>
      </c>
      <c r="EG140" s="647">
        <f t="shared" si="271"/>
        <v>12678.533516442752</v>
      </c>
      <c r="EH140" s="647">
        <f t="shared" si="271"/>
        <v>12678.533516442752</v>
      </c>
      <c r="EK140" s="672"/>
    </row>
    <row r="141" spans="1:141" ht="15" hidden="1" thickTop="1" x14ac:dyDescent="0.3">
      <c r="A141" s="691" t="s">
        <v>2429</v>
      </c>
      <c r="B141" s="200"/>
      <c r="C141" s="200"/>
      <c r="D141" s="200"/>
      <c r="E141" s="230"/>
      <c r="F141" s="230"/>
      <c r="G141" s="230"/>
      <c r="H141" s="230"/>
      <c r="I141" s="230"/>
      <c r="J141" s="230"/>
      <c r="K141" s="230"/>
      <c r="L141" s="230"/>
      <c r="M141" s="230"/>
      <c r="N141" s="230"/>
      <c r="O141" s="230"/>
      <c r="P141" s="230"/>
      <c r="Q141" s="230"/>
      <c r="R141" s="230"/>
      <c r="S141" s="230"/>
      <c r="T141" s="230"/>
      <c r="U141" s="230"/>
      <c r="V141" s="230"/>
      <c r="W141" s="230"/>
      <c r="X141" s="230"/>
      <c r="Y141" s="230"/>
      <c r="Z141" s="230"/>
      <c r="AA141" s="230"/>
      <c r="AB141" s="230"/>
      <c r="AC141" s="230"/>
      <c r="AD141" s="230"/>
      <c r="AE141" s="230"/>
      <c r="AF141" s="230"/>
      <c r="AG141" s="230"/>
      <c r="AH141" s="230"/>
      <c r="AI141" s="230"/>
      <c r="AJ141" s="230"/>
      <c r="AK141" s="230"/>
      <c r="AL141" s="230"/>
      <c r="AM141" s="230"/>
      <c r="AN141" s="230"/>
      <c r="AO141" s="230"/>
      <c r="AP141" s="230"/>
      <c r="AQ141" s="230"/>
      <c r="AR141" s="230"/>
      <c r="AS141" s="230"/>
      <c r="AT141" s="230"/>
      <c r="AU141" s="230"/>
      <c r="AV141" s="230"/>
      <c r="AW141" s="230"/>
      <c r="AX141" s="230"/>
      <c r="AY141" s="230"/>
      <c r="AZ141" s="230"/>
      <c r="BA141" s="230"/>
      <c r="BB141" s="230"/>
      <c r="BC141" s="230"/>
      <c r="BD141" s="230"/>
      <c r="BE141" s="230"/>
      <c r="BF141" s="230"/>
      <c r="BG141" s="230"/>
      <c r="BH141" s="230"/>
      <c r="BI141" s="230"/>
      <c r="BJ141" s="230"/>
      <c r="BK141" s="230"/>
      <c r="BL141" s="230"/>
      <c r="BM141" s="230"/>
      <c r="BN141" s="230"/>
      <c r="BO141" s="230"/>
      <c r="BP141" s="230"/>
      <c r="BQ141" s="230"/>
      <c r="BR141" s="230"/>
      <c r="BS141" s="230"/>
      <c r="BT141" s="230"/>
      <c r="BU141" s="230"/>
      <c r="BV141" s="230"/>
      <c r="BW141" s="230"/>
      <c r="BX141" s="230"/>
      <c r="BY141" s="230"/>
      <c r="BZ141" s="230"/>
      <c r="CA141" s="230"/>
      <c r="CB141" s="230"/>
      <c r="CC141" s="230"/>
      <c r="CD141" s="230"/>
      <c r="CE141" s="230"/>
      <c r="CF141" s="230"/>
      <c r="CG141" s="230"/>
      <c r="CH141" s="230"/>
      <c r="CI141" s="230"/>
      <c r="CJ141" s="230"/>
      <c r="CK141" s="230"/>
      <c r="CL141" s="230"/>
      <c r="CM141" s="230"/>
      <c r="CN141" s="230"/>
      <c r="CO141" s="230"/>
      <c r="CP141" s="230"/>
      <c r="CQ141" s="230"/>
      <c r="CR141" s="230"/>
      <c r="CS141" s="230"/>
      <c r="CT141" s="230"/>
      <c r="CU141" s="230"/>
      <c r="CV141" s="230"/>
      <c r="CW141" s="230"/>
      <c r="CX141" s="230"/>
      <c r="CY141" s="230"/>
      <c r="CZ141" s="230"/>
      <c r="DA141" s="230"/>
      <c r="DB141" s="230"/>
      <c r="DC141" s="230"/>
      <c r="DD141" s="230"/>
      <c r="DE141" s="230"/>
      <c r="DF141" s="230"/>
      <c r="DG141" s="230"/>
      <c r="DH141" s="230"/>
      <c r="DI141" s="230"/>
      <c r="DJ141" s="230"/>
      <c r="DK141" s="230"/>
      <c r="DL141" s="230"/>
      <c r="DM141" s="230"/>
      <c r="DN141" s="230"/>
      <c r="DO141" s="230"/>
      <c r="DP141" s="230"/>
      <c r="DQ141" s="230"/>
      <c r="DR141" s="230"/>
      <c r="DS141" s="230"/>
      <c r="DT141" s="230"/>
      <c r="DU141" s="230"/>
      <c r="DV141" s="230"/>
      <c r="DW141" s="230"/>
      <c r="DX141" s="230"/>
      <c r="DY141" s="230"/>
      <c r="DZ141" s="230"/>
      <c r="EA141" s="230"/>
      <c r="EB141" s="230"/>
      <c r="EC141" s="230"/>
      <c r="ED141" s="230"/>
      <c r="EE141" s="230"/>
      <c r="EF141" s="230"/>
      <c r="EG141" s="230"/>
      <c r="EH141" s="230"/>
      <c r="EK141" s="280"/>
    </row>
    <row r="142" spans="1:141" ht="15" hidden="1" thickTop="1" x14ac:dyDescent="0.3">
      <c r="A142" s="684" t="s">
        <v>2430</v>
      </c>
      <c r="B142" s="200"/>
      <c r="C142" s="200"/>
      <c r="D142" s="200"/>
      <c r="E142" s="230"/>
      <c r="F142" s="230">
        <f>Marketing</f>
        <v>94831.956854627992</v>
      </c>
      <c r="G142" s="230">
        <f t="shared" ref="G142:BR143" si="272">G$135*F142</f>
        <v>95065.838043266966</v>
      </c>
      <c r="H142" s="230">
        <f t="shared" si="272"/>
        <v>95300.29604601179</v>
      </c>
      <c r="I142" s="230">
        <f t="shared" si="272"/>
        <v>95535.332285441662</v>
      </c>
      <c r="J142" s="230">
        <f t="shared" si="272"/>
        <v>95770.94818764423</v>
      </c>
      <c r="K142" s="230">
        <f t="shared" si="272"/>
        <v>96007.145182224282</v>
      </c>
      <c r="L142" s="230">
        <f t="shared" si="272"/>
        <v>96243.924702312375</v>
      </c>
      <c r="M142" s="230">
        <f t="shared" si="272"/>
        <v>96481.288184573554</v>
      </c>
      <c r="N142" s="230">
        <f t="shared" si="272"/>
        <v>96719.237069216091</v>
      </c>
      <c r="O142" s="230">
        <f t="shared" si="272"/>
        <v>96957.772800000166</v>
      </c>
      <c r="P142" s="230">
        <f t="shared" si="272"/>
        <v>97196.896824246694</v>
      </c>
      <c r="Q142" s="230">
        <f t="shared" si="272"/>
        <v>97436.61059284606</v>
      </c>
      <c r="R142" s="230">
        <f t="shared" si="272"/>
        <v>97676.91556026692</v>
      </c>
      <c r="S142" s="230">
        <f t="shared" si="272"/>
        <v>97917.813184565064</v>
      </c>
      <c r="T142" s="230">
        <f t="shared" si="272"/>
        <v>98159.304927392237</v>
      </c>
      <c r="U142" s="230">
        <f t="shared" si="272"/>
        <v>98401.392254005012</v>
      </c>
      <c r="V142" s="230">
        <f t="shared" si="272"/>
        <v>98644.076633273668</v>
      </c>
      <c r="W142" s="230">
        <f t="shared" si="272"/>
        <v>98887.359537691125</v>
      </c>
      <c r="X142" s="230">
        <f t="shared" si="272"/>
        <v>99131.242443381852</v>
      </c>
      <c r="Y142" s="230">
        <f t="shared" si="272"/>
        <v>99375.726830110871</v>
      </c>
      <c r="Z142" s="230">
        <f t="shared" si="272"/>
        <v>99620.814181292677</v>
      </c>
      <c r="AA142" s="230">
        <f t="shared" si="272"/>
        <v>99866.50598400028</v>
      </c>
      <c r="AB142" s="230">
        <f t="shared" si="272"/>
        <v>100112.80372897421</v>
      </c>
      <c r="AC142" s="230">
        <f t="shared" si="272"/>
        <v>100359.70891063154</v>
      </c>
      <c r="AD142" s="230">
        <f t="shared" si="272"/>
        <v>100607.22302707503</v>
      </c>
      <c r="AE142" s="230">
        <f t="shared" si="272"/>
        <v>100855.34758010213</v>
      </c>
      <c r="AF142" s="230">
        <f t="shared" si="272"/>
        <v>101104.08407521411</v>
      </c>
      <c r="AG142" s="230">
        <f t="shared" si="272"/>
        <v>101353.43402162526</v>
      </c>
      <c r="AH142" s="230">
        <f t="shared" si="272"/>
        <v>101603.39893227197</v>
      </c>
      <c r="AI142" s="230">
        <f t="shared" si="272"/>
        <v>101853.98032382195</v>
      </c>
      <c r="AJ142" s="230">
        <f t="shared" si="272"/>
        <v>102105.1797166834</v>
      </c>
      <c r="AK142" s="230">
        <f t="shared" si="272"/>
        <v>102356.99863501429</v>
      </c>
      <c r="AL142" s="230">
        <f t="shared" si="272"/>
        <v>102609.43860673155</v>
      </c>
      <c r="AM142" s="230">
        <f t="shared" si="272"/>
        <v>102862.50116352038</v>
      </c>
      <c r="AN142" s="230">
        <f t="shared" si="272"/>
        <v>103116.18784084353</v>
      </c>
      <c r="AO142" s="230">
        <f t="shared" si="272"/>
        <v>103370.50017795058</v>
      </c>
      <c r="AP142" s="230">
        <f t="shared" si="272"/>
        <v>103625.43971788738</v>
      </c>
      <c r="AQ142" s="230">
        <f t="shared" si="272"/>
        <v>103881.00800750528</v>
      </c>
      <c r="AR142" s="230">
        <f t="shared" si="272"/>
        <v>104137.20659747063</v>
      </c>
      <c r="AS142" s="230">
        <f t="shared" si="272"/>
        <v>104394.03704227413</v>
      </c>
      <c r="AT142" s="230">
        <f t="shared" si="272"/>
        <v>104651.50090024024</v>
      </c>
      <c r="AU142" s="230">
        <f t="shared" si="272"/>
        <v>104909.59973353671</v>
      </c>
      <c r="AV142" s="230">
        <f t="shared" si="272"/>
        <v>105168.33510818401</v>
      </c>
      <c r="AW142" s="230">
        <f t="shared" si="272"/>
        <v>105427.70859406482</v>
      </c>
      <c r="AX142" s="230">
        <f t="shared" si="272"/>
        <v>105687.72176493361</v>
      </c>
      <c r="AY142" s="230">
        <f t="shared" si="272"/>
        <v>105948.37619842611</v>
      </c>
      <c r="AZ142" s="230">
        <f t="shared" si="272"/>
        <v>106209.67347606894</v>
      </c>
      <c r="BA142" s="230">
        <f t="shared" si="272"/>
        <v>106471.61518328922</v>
      </c>
      <c r="BB142" s="230">
        <f t="shared" si="272"/>
        <v>106734.20290942412</v>
      </c>
      <c r="BC142" s="230">
        <f t="shared" si="272"/>
        <v>106997.43824773056</v>
      </c>
      <c r="BD142" s="230">
        <f t="shared" si="272"/>
        <v>107261.32279539487</v>
      </c>
      <c r="BE142" s="230">
        <f t="shared" si="272"/>
        <v>107525.85815354246</v>
      </c>
      <c r="BF142" s="230">
        <f t="shared" si="272"/>
        <v>107791.04592724756</v>
      </c>
      <c r="BG142" s="230">
        <f t="shared" si="272"/>
        <v>108056.88772554293</v>
      </c>
      <c r="BH142" s="230">
        <f t="shared" si="272"/>
        <v>108323.38516142964</v>
      </c>
      <c r="BI142" s="230">
        <f t="shared" si="272"/>
        <v>108590.53985188689</v>
      </c>
      <c r="BJ142" s="230">
        <f t="shared" si="272"/>
        <v>108858.35341788174</v>
      </c>
      <c r="BK142" s="230">
        <f t="shared" si="272"/>
        <v>109126.82748437901</v>
      </c>
      <c r="BL142" s="230">
        <f t="shared" si="272"/>
        <v>109395.96368035114</v>
      </c>
      <c r="BM142" s="230">
        <f t="shared" si="272"/>
        <v>109665.76363878802</v>
      </c>
      <c r="BN142" s="230">
        <f t="shared" si="272"/>
        <v>109936.22899670697</v>
      </c>
      <c r="BO142" s="230">
        <f t="shared" si="272"/>
        <v>110207.3613951626</v>
      </c>
      <c r="BP142" s="230">
        <f t="shared" si="272"/>
        <v>110479.16247925685</v>
      </c>
      <c r="BQ142" s="230">
        <f t="shared" si="272"/>
        <v>110751.63389814887</v>
      </c>
      <c r="BR142" s="230">
        <f t="shared" si="272"/>
        <v>111024.77730506512</v>
      </c>
      <c r="BS142" s="230">
        <f t="shared" ref="BS142:ED143" si="273">BS$135*BR142</f>
        <v>111298.59435730934</v>
      </c>
      <c r="BT142" s="230">
        <f t="shared" si="273"/>
        <v>111573.08671627266</v>
      </c>
      <c r="BU142" s="230">
        <f t="shared" si="273"/>
        <v>111848.25604744363</v>
      </c>
      <c r="BV142" s="230">
        <f t="shared" si="273"/>
        <v>112124.10402041832</v>
      </c>
      <c r="BW142" s="230">
        <f t="shared" si="273"/>
        <v>112400.63230891051</v>
      </c>
      <c r="BX142" s="230">
        <f t="shared" si="273"/>
        <v>112677.84259076181</v>
      </c>
      <c r="BY142" s="230">
        <f t="shared" si="273"/>
        <v>112955.73654795179</v>
      </c>
      <c r="BZ142" s="230">
        <f t="shared" si="273"/>
        <v>113234.3158666083</v>
      </c>
      <c r="CA142" s="230">
        <f t="shared" si="273"/>
        <v>113513.5822370176</v>
      </c>
      <c r="CB142" s="230">
        <f t="shared" si="273"/>
        <v>113793.53735363467</v>
      </c>
      <c r="CC142" s="230">
        <f t="shared" si="273"/>
        <v>114074.18291509345</v>
      </c>
      <c r="CD142" s="230">
        <f t="shared" si="273"/>
        <v>114355.52062421718</v>
      </c>
      <c r="CE142" s="230">
        <f t="shared" si="273"/>
        <v>114637.55218802874</v>
      </c>
      <c r="CF142" s="230">
        <f t="shared" si="273"/>
        <v>114920.27931776096</v>
      </c>
      <c r="CG142" s="230">
        <f t="shared" si="273"/>
        <v>115203.70372886704</v>
      </c>
      <c r="CH142" s="230">
        <f t="shared" si="273"/>
        <v>115487.82714103097</v>
      </c>
      <c r="CI142" s="230">
        <f t="shared" si="273"/>
        <v>115772.65127817793</v>
      </c>
      <c r="CJ142" s="230">
        <f t="shared" si="273"/>
        <v>116058.17786848475</v>
      </c>
      <c r="CK142" s="230">
        <f t="shared" si="273"/>
        <v>116344.40864439044</v>
      </c>
      <c r="CL142" s="230">
        <f t="shared" si="273"/>
        <v>116631.34534260664</v>
      </c>
      <c r="CM142" s="230">
        <f t="shared" si="273"/>
        <v>116918.98970412822</v>
      </c>
      <c r="CN142" s="230">
        <f t="shared" si="273"/>
        <v>117207.3434742438</v>
      </c>
      <c r="CO142" s="230">
        <f t="shared" si="273"/>
        <v>117496.40840254634</v>
      </c>
      <c r="CP142" s="230">
        <f t="shared" si="273"/>
        <v>117786.18624294379</v>
      </c>
      <c r="CQ142" s="230">
        <f t="shared" si="273"/>
        <v>118076.67875366969</v>
      </c>
      <c r="CR142" s="230">
        <f t="shared" si="273"/>
        <v>118367.88769729389</v>
      </c>
      <c r="CS142" s="230">
        <f t="shared" si="273"/>
        <v>118659.81484073316</v>
      </c>
      <c r="CT142" s="230">
        <f t="shared" si="273"/>
        <v>118952.46195526201</v>
      </c>
      <c r="CU142" s="230">
        <f t="shared" si="273"/>
        <v>119245.83081652338</v>
      </c>
      <c r="CV142" s="230">
        <f t="shared" si="273"/>
        <v>119539.9232045394</v>
      </c>
      <c r="CW142" s="230">
        <f t="shared" si="273"/>
        <v>119834.74090372227</v>
      </c>
      <c r="CX142" s="230">
        <f t="shared" si="273"/>
        <v>120130.28570288497</v>
      </c>
      <c r="CY142" s="230">
        <f t="shared" si="273"/>
        <v>120426.5593952522</v>
      </c>
      <c r="CZ142" s="230">
        <f t="shared" si="273"/>
        <v>120723.56377847125</v>
      </c>
      <c r="DA142" s="230">
        <f t="shared" si="273"/>
        <v>121021.30065462287</v>
      </c>
      <c r="DB142" s="230">
        <f t="shared" si="273"/>
        <v>121319.77183023225</v>
      </c>
      <c r="DC142" s="230">
        <f t="shared" si="273"/>
        <v>121618.97911627992</v>
      </c>
      <c r="DD142" s="230">
        <f t="shared" si="273"/>
        <v>121918.92432821284</v>
      </c>
      <c r="DE142" s="230">
        <f t="shared" si="273"/>
        <v>122219.6092859553</v>
      </c>
      <c r="DF142" s="230">
        <f t="shared" si="273"/>
        <v>122521.03581392003</v>
      </c>
      <c r="DG142" s="230">
        <f t="shared" si="273"/>
        <v>122823.20574101924</v>
      </c>
      <c r="DH142" s="230">
        <f t="shared" si="273"/>
        <v>123126.12090067574</v>
      </c>
      <c r="DI142" s="230">
        <f t="shared" si="273"/>
        <v>123429.78313083408</v>
      </c>
      <c r="DJ142" s="230">
        <f t="shared" si="273"/>
        <v>123734.19427397166</v>
      </c>
      <c r="DK142" s="230">
        <f t="shared" si="273"/>
        <v>124039.3561771099</v>
      </c>
      <c r="DL142" s="230">
        <f t="shared" si="273"/>
        <v>124345.27069182553</v>
      </c>
      <c r="DM142" s="230">
        <f t="shared" si="273"/>
        <v>124651.9396742617</v>
      </c>
      <c r="DN142" s="230">
        <f t="shared" si="273"/>
        <v>124959.36498513936</v>
      </c>
      <c r="DO142" s="230">
        <f t="shared" si="273"/>
        <v>125267.54848976847</v>
      </c>
      <c r="DP142" s="230">
        <f t="shared" si="273"/>
        <v>125576.49205805936</v>
      </c>
      <c r="DQ142" s="230">
        <f t="shared" si="273"/>
        <v>125886.19756453409</v>
      </c>
      <c r="DR142" s="230">
        <f t="shared" si="273"/>
        <v>126196.66688833774</v>
      </c>
      <c r="DS142" s="230">
        <f t="shared" si="273"/>
        <v>126507.90191324992</v>
      </c>
      <c r="DT142" s="230">
        <f t="shared" si="273"/>
        <v>126819.90452769613</v>
      </c>
      <c r="DU142" s="230">
        <f t="shared" si="273"/>
        <v>127132.67662475922</v>
      </c>
      <c r="DV142" s="230">
        <f t="shared" si="273"/>
        <v>127446.22010219091</v>
      </c>
      <c r="DW142" s="230">
        <f t="shared" si="273"/>
        <v>127760.53686242331</v>
      </c>
      <c r="DX142" s="230">
        <f t="shared" si="273"/>
        <v>128075.6288125804</v>
      </c>
      <c r="DY142" s="230">
        <f t="shared" si="273"/>
        <v>128391.49786448965</v>
      </c>
      <c r="DZ142" s="230">
        <f t="shared" si="273"/>
        <v>128708.14593469363</v>
      </c>
      <c r="EA142" s="230">
        <f t="shared" si="273"/>
        <v>129025.57494446162</v>
      </c>
      <c r="EB142" s="230">
        <f t="shared" si="273"/>
        <v>129343.78681980126</v>
      </c>
      <c r="EC142" s="230">
        <f t="shared" si="273"/>
        <v>129662.78349147023</v>
      </c>
      <c r="ED142" s="230">
        <f t="shared" si="273"/>
        <v>129982.56689498799</v>
      </c>
      <c r="EE142" s="230">
        <f t="shared" ref="EE142:EH143" si="274">EE$135*ED142</f>
        <v>130303.13897064755</v>
      </c>
      <c r="EF142" s="230">
        <f t="shared" si="274"/>
        <v>130624.50166352715</v>
      </c>
      <c r="EG142" s="230">
        <f t="shared" si="274"/>
        <v>130946.65692350213</v>
      </c>
      <c r="EH142" s="230">
        <f t="shared" si="274"/>
        <v>131269.6067052568</v>
      </c>
      <c r="EK142" s="672"/>
    </row>
    <row r="143" spans="1:141" ht="15" hidden="1" thickTop="1" x14ac:dyDescent="0.3">
      <c r="A143" s="684" t="s">
        <v>2431</v>
      </c>
      <c r="B143" s="200"/>
      <c r="C143" s="200"/>
      <c r="D143" s="200"/>
      <c r="E143" s="230"/>
      <c r="F143" s="230">
        <f>'Operating Inputs'!$M$118*Units*(1+PrestartExpGwth)</f>
        <v>94831.956854627992</v>
      </c>
      <c r="G143" s="230">
        <f>G$135*F143</f>
        <v>95065.838043266966</v>
      </c>
      <c r="H143" s="230">
        <f t="shared" si="272"/>
        <v>95300.29604601179</v>
      </c>
      <c r="I143" s="230">
        <f t="shared" si="272"/>
        <v>95535.332285441662</v>
      </c>
      <c r="J143" s="230">
        <f t="shared" si="272"/>
        <v>95770.94818764423</v>
      </c>
      <c r="K143" s="230">
        <f t="shared" si="272"/>
        <v>96007.145182224282</v>
      </c>
      <c r="L143" s="230">
        <f t="shared" si="272"/>
        <v>96243.924702312375</v>
      </c>
      <c r="M143" s="230">
        <f t="shared" si="272"/>
        <v>96481.288184573554</v>
      </c>
      <c r="N143" s="230">
        <f t="shared" si="272"/>
        <v>96719.237069216091</v>
      </c>
      <c r="O143" s="230">
        <f t="shared" si="272"/>
        <v>96957.772800000166</v>
      </c>
      <c r="P143" s="230">
        <f t="shared" si="272"/>
        <v>97196.896824246694</v>
      </c>
      <c r="Q143" s="230">
        <f t="shared" si="272"/>
        <v>97436.61059284606</v>
      </c>
      <c r="R143" s="230">
        <f t="shared" si="272"/>
        <v>97676.91556026692</v>
      </c>
      <c r="S143" s="230">
        <f t="shared" si="272"/>
        <v>97917.813184565064</v>
      </c>
      <c r="T143" s="230">
        <f t="shared" si="272"/>
        <v>98159.304927392237</v>
      </c>
      <c r="U143" s="230">
        <f t="shared" si="272"/>
        <v>98401.392254005012</v>
      </c>
      <c r="V143" s="230">
        <f t="shared" si="272"/>
        <v>98644.076633273668</v>
      </c>
      <c r="W143" s="230">
        <f t="shared" si="272"/>
        <v>98887.359537691125</v>
      </c>
      <c r="X143" s="230">
        <f t="shared" si="272"/>
        <v>99131.242443381852</v>
      </c>
      <c r="Y143" s="230">
        <f t="shared" si="272"/>
        <v>99375.726830110871</v>
      </c>
      <c r="Z143" s="230">
        <f t="shared" si="272"/>
        <v>99620.814181292677</v>
      </c>
      <c r="AA143" s="230">
        <f t="shared" si="272"/>
        <v>99866.50598400028</v>
      </c>
      <c r="AB143" s="230">
        <f t="shared" si="272"/>
        <v>100112.80372897421</v>
      </c>
      <c r="AC143" s="230">
        <f t="shared" si="272"/>
        <v>100359.70891063154</v>
      </c>
      <c r="AD143" s="230">
        <f t="shared" si="272"/>
        <v>100607.22302707503</v>
      </c>
      <c r="AE143" s="230">
        <f t="shared" si="272"/>
        <v>100855.34758010213</v>
      </c>
      <c r="AF143" s="230">
        <f t="shared" si="272"/>
        <v>101104.08407521411</v>
      </c>
      <c r="AG143" s="230">
        <f t="shared" si="272"/>
        <v>101353.43402162526</v>
      </c>
      <c r="AH143" s="230">
        <f t="shared" si="272"/>
        <v>101603.39893227197</v>
      </c>
      <c r="AI143" s="230">
        <f t="shared" si="272"/>
        <v>101853.98032382195</v>
      </c>
      <c r="AJ143" s="230">
        <f t="shared" si="272"/>
        <v>102105.1797166834</v>
      </c>
      <c r="AK143" s="230">
        <f t="shared" si="272"/>
        <v>102356.99863501429</v>
      </c>
      <c r="AL143" s="230">
        <f t="shared" si="272"/>
        <v>102609.43860673155</v>
      </c>
      <c r="AM143" s="230">
        <f t="shared" si="272"/>
        <v>102862.50116352038</v>
      </c>
      <c r="AN143" s="230">
        <f t="shared" si="272"/>
        <v>103116.18784084353</v>
      </c>
      <c r="AO143" s="230">
        <f t="shared" si="272"/>
        <v>103370.50017795058</v>
      </c>
      <c r="AP143" s="230">
        <f t="shared" si="272"/>
        <v>103625.43971788738</v>
      </c>
      <c r="AQ143" s="230">
        <f t="shared" si="272"/>
        <v>103881.00800750528</v>
      </c>
      <c r="AR143" s="230">
        <f t="shared" si="272"/>
        <v>104137.20659747063</v>
      </c>
      <c r="AS143" s="230">
        <f t="shared" si="272"/>
        <v>104394.03704227413</v>
      </c>
      <c r="AT143" s="230">
        <f t="shared" si="272"/>
        <v>104651.50090024024</v>
      </c>
      <c r="AU143" s="230">
        <f t="shared" si="272"/>
        <v>104909.59973353671</v>
      </c>
      <c r="AV143" s="230">
        <f t="shared" si="272"/>
        <v>105168.33510818401</v>
      </c>
      <c r="AW143" s="230">
        <f t="shared" si="272"/>
        <v>105427.70859406482</v>
      </c>
      <c r="AX143" s="230">
        <f t="shared" si="272"/>
        <v>105687.72176493361</v>
      </c>
      <c r="AY143" s="230">
        <f t="shared" si="272"/>
        <v>105948.37619842611</v>
      </c>
      <c r="AZ143" s="230">
        <f t="shared" si="272"/>
        <v>106209.67347606894</v>
      </c>
      <c r="BA143" s="230">
        <f t="shared" si="272"/>
        <v>106471.61518328922</v>
      </c>
      <c r="BB143" s="230">
        <f t="shared" si="272"/>
        <v>106734.20290942412</v>
      </c>
      <c r="BC143" s="230">
        <f t="shared" si="272"/>
        <v>106997.43824773056</v>
      </c>
      <c r="BD143" s="230">
        <f t="shared" si="272"/>
        <v>107261.32279539487</v>
      </c>
      <c r="BE143" s="230">
        <f t="shared" si="272"/>
        <v>107525.85815354246</v>
      </c>
      <c r="BF143" s="230">
        <f t="shared" si="272"/>
        <v>107791.04592724756</v>
      </c>
      <c r="BG143" s="230">
        <f t="shared" si="272"/>
        <v>108056.88772554293</v>
      </c>
      <c r="BH143" s="230">
        <f t="shared" si="272"/>
        <v>108323.38516142964</v>
      </c>
      <c r="BI143" s="230">
        <f t="shared" si="272"/>
        <v>108590.53985188689</v>
      </c>
      <c r="BJ143" s="230">
        <f t="shared" si="272"/>
        <v>108858.35341788174</v>
      </c>
      <c r="BK143" s="230">
        <f t="shared" si="272"/>
        <v>109126.82748437901</v>
      </c>
      <c r="BL143" s="230">
        <f t="shared" si="272"/>
        <v>109395.96368035114</v>
      </c>
      <c r="BM143" s="230">
        <f t="shared" si="272"/>
        <v>109665.76363878802</v>
      </c>
      <c r="BN143" s="230">
        <f t="shared" si="272"/>
        <v>109936.22899670697</v>
      </c>
      <c r="BO143" s="230">
        <f t="shared" si="272"/>
        <v>110207.3613951626</v>
      </c>
      <c r="BP143" s="230">
        <f t="shared" si="272"/>
        <v>110479.16247925685</v>
      </c>
      <c r="BQ143" s="230">
        <f t="shared" si="272"/>
        <v>110751.63389814887</v>
      </c>
      <c r="BR143" s="230">
        <f t="shared" si="272"/>
        <v>111024.77730506512</v>
      </c>
      <c r="BS143" s="230">
        <f t="shared" si="273"/>
        <v>111298.59435730934</v>
      </c>
      <c r="BT143" s="230">
        <f t="shared" si="273"/>
        <v>111573.08671627266</v>
      </c>
      <c r="BU143" s="230">
        <f t="shared" si="273"/>
        <v>111848.25604744363</v>
      </c>
      <c r="BV143" s="230">
        <f t="shared" si="273"/>
        <v>112124.10402041832</v>
      </c>
      <c r="BW143" s="230">
        <f t="shared" si="273"/>
        <v>112400.63230891051</v>
      </c>
      <c r="BX143" s="230">
        <f t="shared" si="273"/>
        <v>112677.84259076181</v>
      </c>
      <c r="BY143" s="230">
        <f t="shared" si="273"/>
        <v>112955.73654795179</v>
      </c>
      <c r="BZ143" s="230">
        <f t="shared" si="273"/>
        <v>113234.3158666083</v>
      </c>
      <c r="CA143" s="230">
        <f t="shared" si="273"/>
        <v>113513.5822370176</v>
      </c>
      <c r="CB143" s="230">
        <f t="shared" si="273"/>
        <v>113793.53735363467</v>
      </c>
      <c r="CC143" s="230">
        <f t="shared" si="273"/>
        <v>114074.18291509345</v>
      </c>
      <c r="CD143" s="230">
        <f t="shared" si="273"/>
        <v>114355.52062421718</v>
      </c>
      <c r="CE143" s="230">
        <f t="shared" si="273"/>
        <v>114637.55218802874</v>
      </c>
      <c r="CF143" s="230">
        <f t="shared" si="273"/>
        <v>114920.27931776096</v>
      </c>
      <c r="CG143" s="230">
        <f t="shared" si="273"/>
        <v>115203.70372886704</v>
      </c>
      <c r="CH143" s="230">
        <f t="shared" si="273"/>
        <v>115487.82714103097</v>
      </c>
      <c r="CI143" s="230">
        <f t="shared" si="273"/>
        <v>115772.65127817793</v>
      </c>
      <c r="CJ143" s="230">
        <f t="shared" si="273"/>
        <v>116058.17786848475</v>
      </c>
      <c r="CK143" s="230">
        <f t="shared" si="273"/>
        <v>116344.40864439044</v>
      </c>
      <c r="CL143" s="230">
        <f t="shared" si="273"/>
        <v>116631.34534260664</v>
      </c>
      <c r="CM143" s="230">
        <f t="shared" si="273"/>
        <v>116918.98970412822</v>
      </c>
      <c r="CN143" s="230">
        <f t="shared" si="273"/>
        <v>117207.3434742438</v>
      </c>
      <c r="CO143" s="230">
        <f t="shared" si="273"/>
        <v>117496.40840254634</v>
      </c>
      <c r="CP143" s="230">
        <f t="shared" si="273"/>
        <v>117786.18624294379</v>
      </c>
      <c r="CQ143" s="230">
        <f t="shared" si="273"/>
        <v>118076.67875366969</v>
      </c>
      <c r="CR143" s="230">
        <f t="shared" si="273"/>
        <v>118367.88769729389</v>
      </c>
      <c r="CS143" s="230">
        <f t="shared" si="273"/>
        <v>118659.81484073316</v>
      </c>
      <c r="CT143" s="230">
        <f t="shared" si="273"/>
        <v>118952.46195526201</v>
      </c>
      <c r="CU143" s="230">
        <f t="shared" si="273"/>
        <v>119245.83081652338</v>
      </c>
      <c r="CV143" s="230">
        <f t="shared" si="273"/>
        <v>119539.9232045394</v>
      </c>
      <c r="CW143" s="230">
        <f t="shared" si="273"/>
        <v>119834.74090372227</v>
      </c>
      <c r="CX143" s="230">
        <f t="shared" si="273"/>
        <v>120130.28570288497</v>
      </c>
      <c r="CY143" s="230">
        <f t="shared" si="273"/>
        <v>120426.5593952522</v>
      </c>
      <c r="CZ143" s="230">
        <f t="shared" si="273"/>
        <v>120723.56377847125</v>
      </c>
      <c r="DA143" s="230">
        <f t="shared" si="273"/>
        <v>121021.30065462287</v>
      </c>
      <c r="DB143" s="230">
        <f t="shared" si="273"/>
        <v>121319.77183023225</v>
      </c>
      <c r="DC143" s="230">
        <f t="shared" si="273"/>
        <v>121618.97911627992</v>
      </c>
      <c r="DD143" s="230">
        <f t="shared" si="273"/>
        <v>121918.92432821284</v>
      </c>
      <c r="DE143" s="230">
        <f t="shared" si="273"/>
        <v>122219.6092859553</v>
      </c>
      <c r="DF143" s="230">
        <f t="shared" si="273"/>
        <v>122521.03581392003</v>
      </c>
      <c r="DG143" s="230">
        <f t="shared" si="273"/>
        <v>122823.20574101924</v>
      </c>
      <c r="DH143" s="230">
        <f t="shared" si="273"/>
        <v>123126.12090067574</v>
      </c>
      <c r="DI143" s="230">
        <f t="shared" si="273"/>
        <v>123429.78313083408</v>
      </c>
      <c r="DJ143" s="230">
        <f t="shared" si="273"/>
        <v>123734.19427397166</v>
      </c>
      <c r="DK143" s="230">
        <f t="shared" si="273"/>
        <v>124039.3561771099</v>
      </c>
      <c r="DL143" s="230">
        <f t="shared" si="273"/>
        <v>124345.27069182553</v>
      </c>
      <c r="DM143" s="230">
        <f t="shared" si="273"/>
        <v>124651.9396742617</v>
      </c>
      <c r="DN143" s="230">
        <f t="shared" si="273"/>
        <v>124959.36498513936</v>
      </c>
      <c r="DO143" s="230">
        <f t="shared" si="273"/>
        <v>125267.54848976847</v>
      </c>
      <c r="DP143" s="230">
        <f t="shared" si="273"/>
        <v>125576.49205805936</v>
      </c>
      <c r="DQ143" s="230">
        <f t="shared" si="273"/>
        <v>125886.19756453409</v>
      </c>
      <c r="DR143" s="230">
        <f t="shared" si="273"/>
        <v>126196.66688833774</v>
      </c>
      <c r="DS143" s="230">
        <f t="shared" si="273"/>
        <v>126507.90191324992</v>
      </c>
      <c r="DT143" s="230">
        <f t="shared" si="273"/>
        <v>126819.90452769613</v>
      </c>
      <c r="DU143" s="230">
        <f t="shared" si="273"/>
        <v>127132.67662475922</v>
      </c>
      <c r="DV143" s="230">
        <f t="shared" si="273"/>
        <v>127446.22010219091</v>
      </c>
      <c r="DW143" s="230">
        <f t="shared" si="273"/>
        <v>127760.53686242331</v>
      </c>
      <c r="DX143" s="230">
        <f t="shared" si="273"/>
        <v>128075.6288125804</v>
      </c>
      <c r="DY143" s="230">
        <f t="shared" si="273"/>
        <v>128391.49786448965</v>
      </c>
      <c r="DZ143" s="230">
        <f t="shared" si="273"/>
        <v>128708.14593469363</v>
      </c>
      <c r="EA143" s="230">
        <f t="shared" si="273"/>
        <v>129025.57494446162</v>
      </c>
      <c r="EB143" s="230">
        <f t="shared" si="273"/>
        <v>129343.78681980126</v>
      </c>
      <c r="EC143" s="230">
        <f t="shared" si="273"/>
        <v>129662.78349147023</v>
      </c>
      <c r="ED143" s="230">
        <f t="shared" si="273"/>
        <v>129982.56689498799</v>
      </c>
      <c r="EE143" s="230">
        <f t="shared" si="274"/>
        <v>130303.13897064755</v>
      </c>
      <c r="EF143" s="230">
        <f>EF$135*EE143</f>
        <v>130624.50166352715</v>
      </c>
      <c r="EG143" s="230">
        <f>EG$135*EF143</f>
        <v>130946.65692350213</v>
      </c>
      <c r="EH143" s="230">
        <f>EH$135*EG143</f>
        <v>131269.6067052568</v>
      </c>
      <c r="EK143" s="672"/>
    </row>
    <row r="144" spans="1:141" ht="15" hidden="1" thickTop="1" x14ac:dyDescent="0.3">
      <c r="A144" s="684" t="s">
        <v>2427</v>
      </c>
      <c r="B144" s="200"/>
      <c r="C144" s="200"/>
      <c r="D144" s="200"/>
      <c r="E144" s="230"/>
      <c r="F144" s="230"/>
      <c r="G144" s="230">
        <f>IF(G$5&gt;=MonthFirstUnits-'Development Inputs'!$N$28,1,0)</f>
        <v>0</v>
      </c>
      <c r="H144" s="230">
        <f>IF(H$5&gt;=MonthFirstUnits-'Development Inputs'!$N$28,1,0)</f>
        <v>0</v>
      </c>
      <c r="I144" s="230">
        <f>IF(I$5&gt;=MonthFirstUnits-'Development Inputs'!$N$28,1,0)</f>
        <v>0</v>
      </c>
      <c r="J144" s="230">
        <f>IF(J$5&gt;=MonthFirstUnits-'Development Inputs'!$N$28,1,0)</f>
        <v>0</v>
      </c>
      <c r="K144" s="230">
        <f>IF(K$5&gt;=MonthFirstUnits-'Development Inputs'!$N$28,1,0)</f>
        <v>0</v>
      </c>
      <c r="L144" s="230">
        <f>IF(L$5&gt;=MonthFirstUnits-'Development Inputs'!$N$28,1,0)</f>
        <v>0</v>
      </c>
      <c r="M144" s="230">
        <f>IF(M$5&gt;=MonthFirstUnits-'Development Inputs'!$N$28,1,0)</f>
        <v>0</v>
      </c>
      <c r="N144" s="230">
        <f>IF(N$5&gt;=MonthFirstUnits-'Development Inputs'!$N$28,1,0)</f>
        <v>0</v>
      </c>
      <c r="O144" s="230">
        <f>IF(O$5&gt;=MonthFirstUnits-'Development Inputs'!$N$28,1,0)</f>
        <v>0</v>
      </c>
      <c r="P144" s="230">
        <f>IF(P$5&gt;=MonthFirstUnits-'Development Inputs'!$N$28,1,0)</f>
        <v>0</v>
      </c>
      <c r="Q144" s="230">
        <f>IF(Q$5&gt;=MonthFirstUnits-'Development Inputs'!$N$28,1,0)</f>
        <v>0</v>
      </c>
      <c r="R144" s="230">
        <f>IF(R$5&gt;=MonthFirstUnits-'Development Inputs'!$N$28,1,0)</f>
        <v>0</v>
      </c>
      <c r="S144" s="230">
        <f>IF(S$5&gt;=MonthFirstUnits-'Development Inputs'!$N$28,1,0)</f>
        <v>0</v>
      </c>
      <c r="T144" s="230">
        <f>IF(T$5&gt;=MonthFirstUnits-'Development Inputs'!$N$28,1,0)</f>
        <v>1</v>
      </c>
      <c r="U144" s="230">
        <f>IF(U$5&gt;=MonthFirstUnits-'Development Inputs'!$N$28,1,0)</f>
        <v>1</v>
      </c>
      <c r="V144" s="230">
        <f>IF(V$5&gt;=MonthFirstUnits-'Development Inputs'!$N$28,1,0)</f>
        <v>1</v>
      </c>
      <c r="W144" s="230">
        <f>IF(W$5&gt;=MonthFirstUnits-'Development Inputs'!$N$28,1,0)</f>
        <v>1</v>
      </c>
      <c r="X144" s="230">
        <f>IF(X$5&gt;=MonthFirstUnits-'Development Inputs'!$N$28,1,0)</f>
        <v>1</v>
      </c>
      <c r="Y144" s="230">
        <f>IF(Y$5&gt;=MonthFirstUnits-'Development Inputs'!$N$28,1,0)</f>
        <v>1</v>
      </c>
      <c r="Z144" s="230">
        <f>IF(Z$5&gt;=MonthFirstUnits-'Development Inputs'!$N$28,1,0)</f>
        <v>1</v>
      </c>
      <c r="AA144" s="230">
        <f>IF(AA$5&gt;=MonthFirstUnits-'Development Inputs'!$N$28,1,0)</f>
        <v>1</v>
      </c>
      <c r="AB144" s="230">
        <f>IF(AB$5&gt;=MonthFirstUnits-'Development Inputs'!$N$28,1,0)</f>
        <v>1</v>
      </c>
      <c r="AC144" s="230">
        <f>IF(AC$5&gt;=MonthFirstUnits-'Development Inputs'!$N$28,1,0)</f>
        <v>1</v>
      </c>
      <c r="AD144" s="230">
        <f>IF(AD$5&gt;=MonthFirstUnits-'Development Inputs'!$N$28,1,0)</f>
        <v>1</v>
      </c>
      <c r="AE144" s="230">
        <f>IF(AE$5&gt;=MonthFirstUnits-'Development Inputs'!$N$28,1,0)</f>
        <v>1</v>
      </c>
      <c r="AF144" s="230">
        <f>IF(AF$5&gt;=MonthFirstUnits-'Development Inputs'!$N$28,1,0)</f>
        <v>1</v>
      </c>
      <c r="AG144" s="230">
        <f>IF(AG$5&gt;=MonthFirstUnits-'Development Inputs'!$N$28,1,0)</f>
        <v>1</v>
      </c>
      <c r="AH144" s="230">
        <f>IF(AH$5&gt;=MonthFirstUnits-'Development Inputs'!$N$28,1,0)</f>
        <v>1</v>
      </c>
      <c r="AI144" s="230">
        <f>IF(AI$5&gt;=MonthFirstUnits-'Development Inputs'!$N$28,1,0)</f>
        <v>1</v>
      </c>
      <c r="AJ144" s="230">
        <f>IF(AJ$5&gt;=MonthFirstUnits-'Development Inputs'!$N$28,1,0)</f>
        <v>1</v>
      </c>
      <c r="AK144" s="230">
        <f>IF(AK$5&gt;=MonthFirstUnits-'Development Inputs'!$N$28,1,0)</f>
        <v>1</v>
      </c>
      <c r="AL144" s="230">
        <f>IF(AL$5&gt;=MonthFirstUnits-'Development Inputs'!$N$28,1,0)</f>
        <v>1</v>
      </c>
      <c r="AM144" s="230">
        <f>IF(AM$5&gt;=MonthFirstUnits-'Development Inputs'!$N$28,1,0)</f>
        <v>1</v>
      </c>
      <c r="AN144" s="230">
        <f>IF(AN$5&gt;=MonthFirstUnits-'Development Inputs'!$N$28,1,0)</f>
        <v>1</v>
      </c>
      <c r="AO144" s="230">
        <f>IF(AO$5&gt;=MonthFirstUnits-'Development Inputs'!$N$28,1,0)</f>
        <v>1</v>
      </c>
      <c r="AP144" s="230">
        <f>IF(AP$5&gt;=MonthFirstUnits-'Development Inputs'!$N$28,1,0)</f>
        <v>1</v>
      </c>
      <c r="AQ144" s="230">
        <f>IF(AQ$5&gt;=MonthFirstUnits-'Development Inputs'!$N$28,1,0)</f>
        <v>1</v>
      </c>
      <c r="AR144" s="230">
        <f>IF(AR$5&gt;=MonthFirstUnits-'Development Inputs'!$N$28,1,0)</f>
        <v>1</v>
      </c>
      <c r="AS144" s="230">
        <f>IF(AS$5&gt;=MonthFirstUnits-'Development Inputs'!$N$28,1,0)</f>
        <v>1</v>
      </c>
      <c r="AT144" s="230">
        <f>IF(AT$5&gt;=MonthFirstUnits-'Development Inputs'!$N$28,1,0)</f>
        <v>1</v>
      </c>
      <c r="AU144" s="230">
        <f>IF(AU$5&gt;=MonthFirstUnits-'Development Inputs'!$N$28,1,0)</f>
        <v>1</v>
      </c>
      <c r="AV144" s="230">
        <f>IF(AV$5&gt;=MonthFirstUnits-'Development Inputs'!$N$28,1,0)</f>
        <v>1</v>
      </c>
      <c r="AW144" s="230">
        <f>IF(AW$5&gt;=MonthFirstUnits-'Development Inputs'!$N$28,1,0)</f>
        <v>1</v>
      </c>
      <c r="AX144" s="230">
        <f>IF(AX$5&gt;=MonthFirstUnits-'Development Inputs'!$N$28,1,0)</f>
        <v>1</v>
      </c>
      <c r="AY144" s="230">
        <f>IF(AY$5&gt;=MonthFirstUnits-'Development Inputs'!$N$28,1,0)</f>
        <v>1</v>
      </c>
      <c r="AZ144" s="230">
        <f>IF(AZ$5&gt;=MonthFirstUnits-'Development Inputs'!$N$28,1,0)</f>
        <v>1</v>
      </c>
      <c r="BA144" s="230">
        <f>IF(BA$5&gt;=MonthFirstUnits-'Development Inputs'!$N$28,1,0)</f>
        <v>1</v>
      </c>
      <c r="BB144" s="230">
        <f>IF(BB$5&gt;=MonthFirstUnits-'Development Inputs'!$N$28,1,0)</f>
        <v>1</v>
      </c>
      <c r="BC144" s="230">
        <f>IF(BC$5&gt;=MonthFirstUnits-'Development Inputs'!$N$28,1,0)</f>
        <v>1</v>
      </c>
      <c r="BD144" s="230">
        <f>IF(BD$5&gt;=MonthFirstUnits-'Development Inputs'!$N$28,1,0)</f>
        <v>1</v>
      </c>
      <c r="BE144" s="230">
        <f>IF(BE$5&gt;=MonthFirstUnits-'Development Inputs'!$N$28,1,0)</f>
        <v>1</v>
      </c>
      <c r="BF144" s="230">
        <f>IF(BF$5&gt;=MonthFirstUnits-'Development Inputs'!$N$28,1,0)</f>
        <v>1</v>
      </c>
      <c r="BG144" s="230">
        <f>IF(BG$5&gt;=MonthFirstUnits-'Development Inputs'!$N$28,1,0)</f>
        <v>1</v>
      </c>
      <c r="BH144" s="230">
        <f>IF(BH$5&gt;=MonthFirstUnits-'Development Inputs'!$N$28,1,0)</f>
        <v>1</v>
      </c>
      <c r="BI144" s="230">
        <f>IF(BI$5&gt;=MonthFirstUnits-'Development Inputs'!$N$28,1,0)</f>
        <v>1</v>
      </c>
      <c r="BJ144" s="230">
        <f>IF(BJ$5&gt;=MonthFirstUnits-'Development Inputs'!$N$28,1,0)</f>
        <v>1</v>
      </c>
      <c r="BK144" s="230">
        <f>IF(BK$5&gt;=MonthFirstUnits-'Development Inputs'!$N$28,1,0)</f>
        <v>1</v>
      </c>
      <c r="BL144" s="230">
        <f>IF(BL$5&gt;=MonthFirstUnits-'Development Inputs'!$N$28,1,0)</f>
        <v>1</v>
      </c>
      <c r="BM144" s="230">
        <f>IF(BM$5&gt;=MonthFirstUnits-'Development Inputs'!$N$28,1,0)</f>
        <v>1</v>
      </c>
      <c r="BN144" s="230">
        <f>IF(BN$5&gt;=MonthFirstUnits-'Development Inputs'!$N$28,1,0)</f>
        <v>1</v>
      </c>
      <c r="BO144" s="230">
        <f>IF(BO$5&gt;=MonthFirstUnits-'Development Inputs'!$N$28,1,0)</f>
        <v>1</v>
      </c>
      <c r="BP144" s="230">
        <f>IF(BP$5&gt;=MonthFirstUnits-'Development Inputs'!$N$28,1,0)</f>
        <v>1</v>
      </c>
      <c r="BQ144" s="230">
        <f>IF(BQ$5&gt;=MonthFirstUnits-'Development Inputs'!$N$28,1,0)</f>
        <v>1</v>
      </c>
      <c r="BR144" s="230">
        <f>IF(BR$5&gt;=MonthFirstUnits-'Development Inputs'!$N$28,1,0)</f>
        <v>1</v>
      </c>
      <c r="BS144" s="230">
        <f>IF(BS$5&gt;=MonthFirstUnits-'Development Inputs'!$N$28,1,0)</f>
        <v>1</v>
      </c>
      <c r="BT144" s="230">
        <f>IF(BT$5&gt;=MonthFirstUnits-'Development Inputs'!$N$28,1,0)</f>
        <v>1</v>
      </c>
      <c r="BU144" s="230">
        <f>IF(BU$5&gt;=MonthFirstUnits-'Development Inputs'!$N$28,1,0)</f>
        <v>1</v>
      </c>
      <c r="BV144" s="230">
        <f>IF(BV$5&gt;=MonthFirstUnits-'Development Inputs'!$N$28,1,0)</f>
        <v>1</v>
      </c>
      <c r="BW144" s="230">
        <f>IF(BW$5&gt;=MonthFirstUnits-'Development Inputs'!$N$28,1,0)</f>
        <v>1</v>
      </c>
      <c r="BX144" s="230">
        <f>IF(BX$5&gt;=MonthFirstUnits-'Development Inputs'!$N$28,1,0)</f>
        <v>1</v>
      </c>
      <c r="BY144" s="230">
        <f>IF(BY$5&gt;=MonthFirstUnits-'Development Inputs'!$N$28,1,0)</f>
        <v>1</v>
      </c>
      <c r="BZ144" s="230">
        <f>IF(BZ$5&gt;=MonthFirstUnits-'Development Inputs'!$N$28,1,0)</f>
        <v>1</v>
      </c>
      <c r="CA144" s="230">
        <f>IF(CA$5&gt;=MonthFirstUnits-'Development Inputs'!$N$28,1,0)</f>
        <v>1</v>
      </c>
      <c r="CB144" s="230">
        <f>IF(CB$5&gt;=MonthFirstUnits-'Development Inputs'!$N$28,1,0)</f>
        <v>1</v>
      </c>
      <c r="CC144" s="230">
        <f>IF(CC$5&gt;=MonthFirstUnits-'Development Inputs'!$N$28,1,0)</f>
        <v>1</v>
      </c>
      <c r="CD144" s="230">
        <f>IF(CD$5&gt;=MonthFirstUnits-'Development Inputs'!$N$28,1,0)</f>
        <v>1</v>
      </c>
      <c r="CE144" s="230">
        <f>IF(CE$5&gt;=MonthFirstUnits-'Development Inputs'!$N$28,1,0)</f>
        <v>1</v>
      </c>
      <c r="CF144" s="230">
        <f>IF(CF$5&gt;=MonthFirstUnits-'Development Inputs'!$N$28,1,0)</f>
        <v>1</v>
      </c>
      <c r="CG144" s="230">
        <f>IF(CG$5&gt;=MonthFirstUnits-'Development Inputs'!$N$28,1,0)</f>
        <v>1</v>
      </c>
      <c r="CH144" s="230">
        <f>IF(CH$5&gt;=MonthFirstUnits-'Development Inputs'!$N$28,1,0)</f>
        <v>1</v>
      </c>
      <c r="CI144" s="230">
        <f>IF(CI$5&gt;=MonthFirstUnits-'Development Inputs'!$N$28,1,0)</f>
        <v>1</v>
      </c>
      <c r="CJ144" s="230">
        <f>IF(CJ$5&gt;=MonthFirstUnits-'Development Inputs'!$N$28,1,0)</f>
        <v>1</v>
      </c>
      <c r="CK144" s="230">
        <f>IF(CK$5&gt;=MonthFirstUnits-'Development Inputs'!$N$28,1,0)</f>
        <v>1</v>
      </c>
      <c r="CL144" s="230">
        <f>IF(CL$5&gt;=MonthFirstUnits-'Development Inputs'!$N$28,1,0)</f>
        <v>1</v>
      </c>
      <c r="CM144" s="230">
        <f>IF(CM$5&gt;=MonthFirstUnits-'Development Inputs'!$N$28,1,0)</f>
        <v>1</v>
      </c>
      <c r="CN144" s="230">
        <f>IF(CN$5&gt;=MonthFirstUnits-'Development Inputs'!$N$28,1,0)</f>
        <v>1</v>
      </c>
      <c r="CO144" s="230">
        <f>IF(CO$5&gt;=MonthFirstUnits-'Development Inputs'!$N$28,1,0)</f>
        <v>1</v>
      </c>
      <c r="CP144" s="230">
        <f>IF(CP$5&gt;=MonthFirstUnits-'Development Inputs'!$N$28,1,0)</f>
        <v>1</v>
      </c>
      <c r="CQ144" s="230">
        <f>IF(CQ$5&gt;=MonthFirstUnits-'Development Inputs'!$N$28,1,0)</f>
        <v>1</v>
      </c>
      <c r="CR144" s="230">
        <f>IF(CR$5&gt;=MonthFirstUnits-'Development Inputs'!$N$28,1,0)</f>
        <v>1</v>
      </c>
      <c r="CS144" s="230">
        <f>IF(CS$5&gt;=MonthFirstUnits-'Development Inputs'!$N$28,1,0)</f>
        <v>1</v>
      </c>
      <c r="CT144" s="230">
        <f>IF(CT$5&gt;=MonthFirstUnits-'Development Inputs'!$N$28,1,0)</f>
        <v>1</v>
      </c>
      <c r="CU144" s="230">
        <f>IF(CU$5&gt;=MonthFirstUnits-'Development Inputs'!$N$28,1,0)</f>
        <v>1</v>
      </c>
      <c r="CV144" s="230">
        <f>IF(CV$5&gt;=MonthFirstUnits-'Development Inputs'!$N$28,1,0)</f>
        <v>1</v>
      </c>
      <c r="CW144" s="230">
        <f>IF(CW$5&gt;=MonthFirstUnits-'Development Inputs'!$N$28,1,0)</f>
        <v>1</v>
      </c>
      <c r="CX144" s="230">
        <f>IF(CX$5&gt;=MonthFirstUnits-'Development Inputs'!$N$28,1,0)</f>
        <v>1</v>
      </c>
      <c r="CY144" s="230">
        <f>IF(CY$5&gt;=MonthFirstUnits-'Development Inputs'!$N$28,1,0)</f>
        <v>1</v>
      </c>
      <c r="CZ144" s="230">
        <f>IF(CZ$5&gt;=MonthFirstUnits-'Development Inputs'!$N$28,1,0)</f>
        <v>1</v>
      </c>
      <c r="DA144" s="230">
        <f>IF(DA$5&gt;=MonthFirstUnits-'Development Inputs'!$N$28,1,0)</f>
        <v>1</v>
      </c>
      <c r="DB144" s="230">
        <f>IF(DB$5&gt;=MonthFirstUnits-'Development Inputs'!$N$28,1,0)</f>
        <v>1</v>
      </c>
      <c r="DC144" s="230">
        <f>IF(DC$5&gt;=MonthFirstUnits-'Development Inputs'!$N$28,1,0)</f>
        <v>1</v>
      </c>
      <c r="DD144" s="230">
        <f>IF(DD$5&gt;=MonthFirstUnits-'Development Inputs'!$N$28,1,0)</f>
        <v>1</v>
      </c>
      <c r="DE144" s="230">
        <f>IF(DE$5&gt;=MonthFirstUnits-'Development Inputs'!$N$28,1,0)</f>
        <v>1</v>
      </c>
      <c r="DF144" s="230">
        <f>IF(DF$5&gt;=MonthFirstUnits-'Development Inputs'!$N$28,1,0)</f>
        <v>1</v>
      </c>
      <c r="DG144" s="230">
        <f>IF(DG$5&gt;=MonthFirstUnits-'Development Inputs'!$N$28,1,0)</f>
        <v>1</v>
      </c>
      <c r="DH144" s="230">
        <f>IF(DH$5&gt;=MonthFirstUnits-'Development Inputs'!$N$28,1,0)</f>
        <v>1</v>
      </c>
      <c r="DI144" s="230">
        <f>IF(DI$5&gt;=MonthFirstUnits-'Development Inputs'!$N$28,1,0)</f>
        <v>1</v>
      </c>
      <c r="DJ144" s="230">
        <f>IF(DJ$5&gt;=MonthFirstUnits-'Development Inputs'!$N$28,1,0)</f>
        <v>1</v>
      </c>
      <c r="DK144" s="230">
        <f>IF(DK$5&gt;=MonthFirstUnits-'Development Inputs'!$N$28,1,0)</f>
        <v>1</v>
      </c>
      <c r="DL144" s="230">
        <f>IF(DL$5&gt;=MonthFirstUnits-'Development Inputs'!$N$28,1,0)</f>
        <v>1</v>
      </c>
      <c r="DM144" s="230">
        <f>IF(DM$5&gt;=MonthFirstUnits-'Development Inputs'!$N$28,1,0)</f>
        <v>1</v>
      </c>
      <c r="DN144" s="230">
        <f>IF(DN$5&gt;=MonthFirstUnits-'Development Inputs'!$N$28,1,0)</f>
        <v>1</v>
      </c>
      <c r="DO144" s="230">
        <f>IF(DO$5&gt;=MonthFirstUnits-'Development Inputs'!$N$28,1,0)</f>
        <v>1</v>
      </c>
      <c r="DP144" s="230">
        <f>IF(DP$5&gt;=MonthFirstUnits-'Development Inputs'!$N$28,1,0)</f>
        <v>1</v>
      </c>
      <c r="DQ144" s="230">
        <f>IF(DQ$5&gt;=MonthFirstUnits-'Development Inputs'!$N$28,1,0)</f>
        <v>1</v>
      </c>
      <c r="DR144" s="230">
        <f>IF(DR$5&gt;=MonthFirstUnits-'Development Inputs'!$N$28,1,0)</f>
        <v>1</v>
      </c>
      <c r="DS144" s="230">
        <f>IF(DS$5&gt;=MonthFirstUnits-'Development Inputs'!$N$28,1,0)</f>
        <v>1</v>
      </c>
      <c r="DT144" s="230">
        <f>IF(DT$5&gt;=MonthFirstUnits-'Development Inputs'!$N$28,1,0)</f>
        <v>1</v>
      </c>
      <c r="DU144" s="230">
        <f>IF(DU$5&gt;=MonthFirstUnits-'Development Inputs'!$N$28,1,0)</f>
        <v>1</v>
      </c>
      <c r="DV144" s="230">
        <f>IF(DV$5&gt;=MonthFirstUnits-'Development Inputs'!$N$28,1,0)</f>
        <v>1</v>
      </c>
      <c r="DW144" s="230">
        <f>IF(DW$5&gt;=MonthFirstUnits-'Development Inputs'!$N$28,1,0)</f>
        <v>1</v>
      </c>
      <c r="DX144" s="230">
        <f>IF(DX$5&gt;=MonthFirstUnits-'Development Inputs'!$N$28,1,0)</f>
        <v>1</v>
      </c>
      <c r="DY144" s="230">
        <f>IF(DY$5&gt;=MonthFirstUnits-'Development Inputs'!$N$28,1,0)</f>
        <v>1</v>
      </c>
      <c r="DZ144" s="230">
        <f>IF(DZ$5&gt;=MonthFirstUnits-'Development Inputs'!$N$28,1,0)</f>
        <v>1</v>
      </c>
      <c r="EA144" s="230">
        <f>IF(EA$5&gt;=MonthFirstUnits-'Development Inputs'!$N$28,1,0)</f>
        <v>1</v>
      </c>
      <c r="EB144" s="230">
        <f>IF(EB$5&gt;=MonthFirstUnits-'Development Inputs'!$N$28,1,0)</f>
        <v>1</v>
      </c>
      <c r="EC144" s="230">
        <f>IF(EC$5&gt;=MonthFirstUnits-'Development Inputs'!$N$28,1,0)</f>
        <v>1</v>
      </c>
      <c r="ED144" s="230">
        <f>IF(ED$5&gt;=MonthFirstUnits-'Development Inputs'!$N$28,1,0)</f>
        <v>1</v>
      </c>
      <c r="EE144" s="230">
        <f>IF(EE$5&gt;=MonthFirstUnits-'Development Inputs'!$N$28,1,0)</f>
        <v>1</v>
      </c>
      <c r="EF144" s="230">
        <f>IF(EF$5&gt;=MonthFirstUnits-'Development Inputs'!$N$28,1,0)</f>
        <v>1</v>
      </c>
      <c r="EG144" s="230">
        <f>IF(EG$5&gt;=MonthFirstUnits-'Development Inputs'!$N$28,1,0)</f>
        <v>1</v>
      </c>
      <c r="EH144" s="230">
        <f>IF(EH$5&gt;=MonthFirstUnits-'Development Inputs'!$N$28,1,0)</f>
        <v>1</v>
      </c>
      <c r="EK144" s="280"/>
    </row>
    <row r="145" spans="1:141" ht="15" hidden="1" thickTop="1" x14ac:dyDescent="0.3">
      <c r="A145" s="684" t="s">
        <v>2432</v>
      </c>
      <c r="B145" s="200"/>
      <c r="C145" s="200"/>
      <c r="D145" s="200"/>
      <c r="E145" s="230"/>
      <c r="F145" s="230">
        <f>F142/12</f>
        <v>7902.663071218999</v>
      </c>
      <c r="G145" s="647">
        <f t="shared" ref="G145:AL145" si="275">IF(AND(MONTH(G$6)=1,G$6&lt;=DateDisposition),G142/12,
IF(AND(G$5=MonthDisposition+1,MONTH(G$6)&lt;&gt;1),LOOKUP(EDATE(G$6,-(MONTH(G$6)-1)),$6:$6,143:143)/12,
IF(AND(MONTH(G$6)=1,G$5&gt;=MonthDisposition+1),G143/12,F145)))</f>
        <v>7902.663071218999</v>
      </c>
      <c r="H145" s="647">
        <f t="shared" si="275"/>
        <v>7902.663071218999</v>
      </c>
      <c r="I145" s="647">
        <f t="shared" si="275"/>
        <v>7902.663071218999</v>
      </c>
      <c r="J145" s="647">
        <f t="shared" si="275"/>
        <v>7980.9123489703525</v>
      </c>
      <c r="K145" s="647">
        <f t="shared" si="275"/>
        <v>7980.9123489703525</v>
      </c>
      <c r="L145" s="647">
        <f t="shared" si="275"/>
        <v>7980.9123489703525</v>
      </c>
      <c r="M145" s="647">
        <f t="shared" si="275"/>
        <v>7980.9123489703525</v>
      </c>
      <c r="N145" s="647">
        <f t="shared" si="275"/>
        <v>7980.9123489703525</v>
      </c>
      <c r="O145" s="647">
        <f t="shared" si="275"/>
        <v>7980.9123489703525</v>
      </c>
      <c r="P145" s="647">
        <f t="shared" si="275"/>
        <v>7980.9123489703525</v>
      </c>
      <c r="Q145" s="647">
        <f t="shared" si="275"/>
        <v>7980.9123489703525</v>
      </c>
      <c r="R145" s="647">
        <f t="shared" si="275"/>
        <v>7980.9123489703525</v>
      </c>
      <c r="S145" s="647">
        <f t="shared" si="275"/>
        <v>7980.9123489703525</v>
      </c>
      <c r="T145" s="647">
        <f t="shared" si="275"/>
        <v>7980.9123489703525</v>
      </c>
      <c r="U145" s="647">
        <f t="shared" si="275"/>
        <v>7980.9123489703525</v>
      </c>
      <c r="V145" s="647">
        <f t="shared" si="275"/>
        <v>8220.3397194394729</v>
      </c>
      <c r="W145" s="647">
        <f t="shared" si="275"/>
        <v>8220.3397194394729</v>
      </c>
      <c r="X145" s="647">
        <f t="shared" si="275"/>
        <v>8220.3397194394729</v>
      </c>
      <c r="Y145" s="647">
        <f t="shared" si="275"/>
        <v>8220.3397194394729</v>
      </c>
      <c r="Z145" s="647">
        <f t="shared" si="275"/>
        <v>8220.3397194394729</v>
      </c>
      <c r="AA145" s="647">
        <f t="shared" si="275"/>
        <v>8220.3397194394729</v>
      </c>
      <c r="AB145" s="647">
        <f t="shared" si="275"/>
        <v>8220.3397194394729</v>
      </c>
      <c r="AC145" s="647">
        <f t="shared" si="275"/>
        <v>8220.3397194394729</v>
      </c>
      <c r="AD145" s="647">
        <f t="shared" si="275"/>
        <v>8220.3397194394729</v>
      </c>
      <c r="AE145" s="647">
        <f t="shared" si="275"/>
        <v>8220.3397194394729</v>
      </c>
      <c r="AF145" s="647">
        <f t="shared" si="275"/>
        <v>8220.3397194394729</v>
      </c>
      <c r="AG145" s="647">
        <f t="shared" si="275"/>
        <v>8220.3397194394729</v>
      </c>
      <c r="AH145" s="647">
        <f t="shared" si="275"/>
        <v>8466.9499110226643</v>
      </c>
      <c r="AI145" s="647">
        <f t="shared" si="275"/>
        <v>8466.9499110226643</v>
      </c>
      <c r="AJ145" s="647">
        <f t="shared" si="275"/>
        <v>8466.9499110226643</v>
      </c>
      <c r="AK145" s="647">
        <f t="shared" si="275"/>
        <v>8466.9499110226643</v>
      </c>
      <c r="AL145" s="647">
        <f t="shared" si="275"/>
        <v>8466.9499110226643</v>
      </c>
      <c r="AM145" s="647">
        <f t="shared" ref="AM145:BR145" si="276">IF(AND(MONTH(AM$6)=1,AM$6&lt;=DateDisposition),AM142/12,
IF(AND(AM$5=MonthDisposition+1,MONTH(AM$6)&lt;&gt;1),LOOKUP(EDATE(AM$6,-(MONTH(AM$6)-1)),$6:$6,143:143)/12,
IF(AND(MONTH(AM$6)=1,AM$5&gt;=MonthDisposition+1),AM143/12,AL145)))</f>
        <v>8466.9499110226643</v>
      </c>
      <c r="AN145" s="647">
        <f t="shared" si="276"/>
        <v>8466.9499110226643</v>
      </c>
      <c r="AO145" s="647">
        <f t="shared" si="276"/>
        <v>8466.9499110226643</v>
      </c>
      <c r="AP145" s="647">
        <f t="shared" si="276"/>
        <v>8466.9499110226643</v>
      </c>
      <c r="AQ145" s="647">
        <f t="shared" si="276"/>
        <v>8466.9499110226643</v>
      </c>
      <c r="AR145" s="647">
        <f t="shared" si="276"/>
        <v>8466.9499110226643</v>
      </c>
      <c r="AS145" s="647">
        <f t="shared" si="276"/>
        <v>8466.9499110226643</v>
      </c>
      <c r="AT145" s="647">
        <f t="shared" si="276"/>
        <v>8720.9584083533537</v>
      </c>
      <c r="AU145" s="647">
        <f t="shared" si="276"/>
        <v>8720.9584083533537</v>
      </c>
      <c r="AV145" s="647">
        <f t="shared" si="276"/>
        <v>8720.9584083533537</v>
      </c>
      <c r="AW145" s="647">
        <f t="shared" si="276"/>
        <v>8720.9584083533537</v>
      </c>
      <c r="AX145" s="647">
        <f t="shared" si="276"/>
        <v>8720.9584083533537</v>
      </c>
      <c r="AY145" s="647">
        <f t="shared" si="276"/>
        <v>8720.9584083533537</v>
      </c>
      <c r="AZ145" s="647">
        <f t="shared" si="276"/>
        <v>8720.9584083533537</v>
      </c>
      <c r="BA145" s="647">
        <f t="shared" si="276"/>
        <v>8720.9584083533537</v>
      </c>
      <c r="BB145" s="647">
        <f t="shared" si="276"/>
        <v>8720.9584083533537</v>
      </c>
      <c r="BC145" s="647">
        <f t="shared" si="276"/>
        <v>8720.9584083533537</v>
      </c>
      <c r="BD145" s="647">
        <f t="shared" si="276"/>
        <v>8720.9584083533537</v>
      </c>
      <c r="BE145" s="647">
        <f t="shared" si="276"/>
        <v>8720.9584083533537</v>
      </c>
      <c r="BF145" s="647">
        <f t="shared" si="276"/>
        <v>8982.5871606039636</v>
      </c>
      <c r="BG145" s="647">
        <f t="shared" si="276"/>
        <v>8982.5871606039636</v>
      </c>
      <c r="BH145" s="647">
        <f t="shared" si="276"/>
        <v>8982.5871606039636</v>
      </c>
      <c r="BI145" s="647">
        <f t="shared" si="276"/>
        <v>8982.5871606039636</v>
      </c>
      <c r="BJ145" s="647">
        <f t="shared" si="276"/>
        <v>8982.5871606039636</v>
      </c>
      <c r="BK145" s="647">
        <f t="shared" si="276"/>
        <v>8982.5871606039636</v>
      </c>
      <c r="BL145" s="647">
        <f t="shared" si="276"/>
        <v>8982.5871606039636</v>
      </c>
      <c r="BM145" s="647">
        <f t="shared" si="276"/>
        <v>8982.5871606039636</v>
      </c>
      <c r="BN145" s="647">
        <f t="shared" si="276"/>
        <v>8982.5871606039636</v>
      </c>
      <c r="BO145" s="647">
        <f t="shared" si="276"/>
        <v>8982.5871606039636</v>
      </c>
      <c r="BP145" s="647">
        <f t="shared" si="276"/>
        <v>8982.5871606039636</v>
      </c>
      <c r="BQ145" s="647">
        <f t="shared" si="276"/>
        <v>8982.5871606039636</v>
      </c>
      <c r="BR145" s="647">
        <f t="shared" si="276"/>
        <v>9252.0647754220936</v>
      </c>
      <c r="BS145" s="647">
        <f t="shared" ref="BS145:CX145" si="277">IF(AND(MONTH(BS$6)=1,BS$6&lt;=DateDisposition),BS142/12,
IF(AND(BS$5=MonthDisposition+1,MONTH(BS$6)&lt;&gt;1),LOOKUP(EDATE(BS$6,-(MONTH(BS$6)-1)),$6:$6,143:143)/12,
IF(AND(MONTH(BS$6)=1,BS$5&gt;=MonthDisposition+1),BS143/12,BR145)))</f>
        <v>9252.0647754220936</v>
      </c>
      <c r="BT145" s="647">
        <f t="shared" si="277"/>
        <v>9252.0647754220936</v>
      </c>
      <c r="BU145" s="647">
        <f t="shared" si="277"/>
        <v>9252.0647754220936</v>
      </c>
      <c r="BV145" s="647">
        <f t="shared" si="277"/>
        <v>9252.0647754220936</v>
      </c>
      <c r="BW145" s="647">
        <f t="shared" si="277"/>
        <v>9252.0647754220936</v>
      </c>
      <c r="BX145" s="647">
        <f t="shared" si="277"/>
        <v>9252.0647754220936</v>
      </c>
      <c r="BY145" s="647">
        <f t="shared" si="277"/>
        <v>9252.0647754220936</v>
      </c>
      <c r="BZ145" s="647">
        <f t="shared" si="277"/>
        <v>9252.0647754220936</v>
      </c>
      <c r="CA145" s="647">
        <f t="shared" si="277"/>
        <v>9252.0647754220936</v>
      </c>
      <c r="CB145" s="647">
        <f t="shared" si="277"/>
        <v>9252.0647754220936</v>
      </c>
      <c r="CC145" s="647">
        <f t="shared" si="277"/>
        <v>9252.0647754220936</v>
      </c>
      <c r="CD145" s="647">
        <f t="shared" si="277"/>
        <v>9529.6267186847654</v>
      </c>
      <c r="CE145" s="647">
        <f t="shared" si="277"/>
        <v>9529.6267186847654</v>
      </c>
      <c r="CF145" s="647">
        <f t="shared" si="277"/>
        <v>9529.6267186847654</v>
      </c>
      <c r="CG145" s="647">
        <f t="shared" si="277"/>
        <v>9529.6267186847654</v>
      </c>
      <c r="CH145" s="647">
        <f t="shared" si="277"/>
        <v>9529.6267186847654</v>
      </c>
      <c r="CI145" s="647">
        <f t="shared" si="277"/>
        <v>9529.6267186847654</v>
      </c>
      <c r="CJ145" s="647">
        <f t="shared" si="277"/>
        <v>9529.6267186847654</v>
      </c>
      <c r="CK145" s="647">
        <f t="shared" si="277"/>
        <v>9529.6267186847654</v>
      </c>
      <c r="CL145" s="647">
        <f t="shared" si="277"/>
        <v>9529.6267186847654</v>
      </c>
      <c r="CM145" s="647">
        <f t="shared" si="277"/>
        <v>9529.6267186847654</v>
      </c>
      <c r="CN145" s="647">
        <f t="shared" si="277"/>
        <v>9529.6267186847654</v>
      </c>
      <c r="CO145" s="647">
        <f t="shared" si="277"/>
        <v>9529.6267186847654</v>
      </c>
      <c r="CP145" s="647">
        <f t="shared" si="277"/>
        <v>9815.5155202453152</v>
      </c>
      <c r="CQ145" s="647">
        <f t="shared" si="277"/>
        <v>9815.5155202453152</v>
      </c>
      <c r="CR145" s="647">
        <f t="shared" si="277"/>
        <v>9815.5155202453152</v>
      </c>
      <c r="CS145" s="647">
        <f t="shared" si="277"/>
        <v>9815.5155202453152</v>
      </c>
      <c r="CT145" s="647">
        <f t="shared" si="277"/>
        <v>9815.5155202453152</v>
      </c>
      <c r="CU145" s="647">
        <f t="shared" si="277"/>
        <v>9815.5155202453152</v>
      </c>
      <c r="CV145" s="647">
        <f t="shared" si="277"/>
        <v>9815.5155202453152</v>
      </c>
      <c r="CW145" s="647">
        <f t="shared" si="277"/>
        <v>9815.5155202453152</v>
      </c>
      <c r="CX145" s="647">
        <f t="shared" si="277"/>
        <v>9815.5155202453152</v>
      </c>
      <c r="CY145" s="647">
        <f t="shared" ref="CY145:EH145" si="278">IF(AND(MONTH(CY$6)=1,CY$6&lt;=DateDisposition),CY142/12,
IF(AND(CY$5=MonthDisposition+1,MONTH(CY$6)&lt;&gt;1),LOOKUP(EDATE(CY$6,-(MONTH(CY$6)-1)),$6:$6,143:143)/12,
IF(AND(MONTH(CY$6)=1,CY$5&gt;=MonthDisposition+1),CY143/12,CX145)))</f>
        <v>9815.5155202453152</v>
      </c>
      <c r="CZ145" s="647">
        <f t="shared" si="278"/>
        <v>9815.5155202453152</v>
      </c>
      <c r="DA145" s="647">
        <f t="shared" si="278"/>
        <v>9815.5155202453152</v>
      </c>
      <c r="DB145" s="647">
        <f t="shared" si="278"/>
        <v>10109.980985852688</v>
      </c>
      <c r="DC145" s="647">
        <f t="shared" si="278"/>
        <v>10109.980985852688</v>
      </c>
      <c r="DD145" s="647">
        <f t="shared" si="278"/>
        <v>10109.980985852688</v>
      </c>
      <c r="DE145" s="647">
        <f t="shared" si="278"/>
        <v>10109.980985852688</v>
      </c>
      <c r="DF145" s="647">
        <f t="shared" si="278"/>
        <v>10109.980985852688</v>
      </c>
      <c r="DG145" s="647">
        <f t="shared" si="278"/>
        <v>10109.980985852688</v>
      </c>
      <c r="DH145" s="647">
        <f t="shared" si="278"/>
        <v>10109.980985852688</v>
      </c>
      <c r="DI145" s="647">
        <f t="shared" si="278"/>
        <v>10109.980985852688</v>
      </c>
      <c r="DJ145" s="647">
        <f t="shared" si="278"/>
        <v>10109.980985852688</v>
      </c>
      <c r="DK145" s="647">
        <f t="shared" si="278"/>
        <v>10109.980985852688</v>
      </c>
      <c r="DL145" s="647">
        <f t="shared" si="278"/>
        <v>10109.980985852688</v>
      </c>
      <c r="DM145" s="647">
        <f t="shared" si="278"/>
        <v>10109.980985852688</v>
      </c>
      <c r="DN145" s="647">
        <f t="shared" si="278"/>
        <v>10413.28041542828</v>
      </c>
      <c r="DO145" s="647">
        <f t="shared" si="278"/>
        <v>10413.28041542828</v>
      </c>
      <c r="DP145" s="647">
        <f t="shared" si="278"/>
        <v>10413.28041542828</v>
      </c>
      <c r="DQ145" s="647">
        <f t="shared" si="278"/>
        <v>10413.28041542828</v>
      </c>
      <c r="DR145" s="647">
        <f t="shared" si="278"/>
        <v>10413.28041542828</v>
      </c>
      <c r="DS145" s="647">
        <f t="shared" si="278"/>
        <v>10413.28041542828</v>
      </c>
      <c r="DT145" s="647">
        <f t="shared" si="278"/>
        <v>10413.28041542828</v>
      </c>
      <c r="DU145" s="647">
        <f t="shared" si="278"/>
        <v>10413.28041542828</v>
      </c>
      <c r="DV145" s="647">
        <f t="shared" si="278"/>
        <v>10413.28041542828</v>
      </c>
      <c r="DW145" s="647">
        <f t="shared" si="278"/>
        <v>10413.28041542828</v>
      </c>
      <c r="DX145" s="647">
        <f t="shared" si="278"/>
        <v>10413.28041542828</v>
      </c>
      <c r="DY145" s="647">
        <f t="shared" si="278"/>
        <v>10413.28041542828</v>
      </c>
      <c r="DZ145" s="647">
        <f t="shared" si="278"/>
        <v>10725.678827891135</v>
      </c>
      <c r="EA145" s="647">
        <f t="shared" si="278"/>
        <v>10725.678827891135</v>
      </c>
      <c r="EB145" s="647">
        <f t="shared" si="278"/>
        <v>10725.678827891135</v>
      </c>
      <c r="EC145" s="647">
        <f t="shared" si="278"/>
        <v>10725.678827891135</v>
      </c>
      <c r="ED145" s="647">
        <f t="shared" si="278"/>
        <v>10725.678827891135</v>
      </c>
      <c r="EE145" s="647">
        <f t="shared" si="278"/>
        <v>10725.678827891135</v>
      </c>
      <c r="EF145" s="647">
        <f t="shared" si="278"/>
        <v>10725.678827891135</v>
      </c>
      <c r="EG145" s="647">
        <f t="shared" si="278"/>
        <v>10725.678827891135</v>
      </c>
      <c r="EH145" s="647">
        <f t="shared" si="278"/>
        <v>10725.678827891135</v>
      </c>
      <c r="EK145" s="672"/>
    </row>
    <row r="146" spans="1:141" ht="12.75" hidden="1" customHeight="1" x14ac:dyDescent="0.3">
      <c r="A146" s="691" t="s">
        <v>2433</v>
      </c>
      <c r="B146" s="200"/>
      <c r="C146" s="200"/>
      <c r="D146" s="200"/>
      <c r="E146" s="230"/>
      <c r="F146" s="230"/>
      <c r="G146" s="230"/>
      <c r="H146" s="230"/>
      <c r="I146" s="230"/>
      <c r="J146" s="230"/>
      <c r="K146" s="230"/>
      <c r="L146" s="230"/>
      <c r="M146" s="230"/>
      <c r="N146" s="230"/>
      <c r="O146" s="230"/>
      <c r="P146" s="230"/>
      <c r="Q146" s="230"/>
      <c r="R146" s="230"/>
      <c r="S146" s="230"/>
      <c r="T146" s="230"/>
      <c r="U146" s="230"/>
      <c r="V146" s="230"/>
      <c r="W146" s="230"/>
      <c r="X146" s="230"/>
      <c r="Y146" s="230"/>
      <c r="Z146" s="230"/>
      <c r="AA146" s="230"/>
      <c r="AB146" s="230"/>
      <c r="AC146" s="230"/>
      <c r="AD146" s="230"/>
      <c r="AE146" s="230"/>
      <c r="AF146" s="230"/>
      <c r="AG146" s="230"/>
      <c r="AH146" s="230"/>
      <c r="AI146" s="230"/>
      <c r="AJ146" s="230"/>
      <c r="AK146" s="230"/>
      <c r="AL146" s="230"/>
      <c r="AM146" s="230"/>
      <c r="AN146" s="230"/>
      <c r="AO146" s="230"/>
      <c r="AP146" s="230"/>
      <c r="AQ146" s="230"/>
      <c r="AR146" s="230"/>
      <c r="AS146" s="230"/>
      <c r="AT146" s="230"/>
      <c r="AU146" s="230"/>
      <c r="AV146" s="230"/>
      <c r="AW146" s="230"/>
      <c r="AX146" s="230"/>
      <c r="AY146" s="230"/>
      <c r="AZ146" s="230"/>
      <c r="BA146" s="230"/>
      <c r="BB146" s="230"/>
      <c r="BC146" s="230"/>
      <c r="BD146" s="230"/>
      <c r="BE146" s="230"/>
      <c r="BF146" s="230"/>
      <c r="BG146" s="230"/>
      <c r="BH146" s="230"/>
      <c r="BI146" s="230"/>
      <c r="BJ146" s="230"/>
      <c r="BK146" s="230"/>
      <c r="BL146" s="230"/>
      <c r="BM146" s="230"/>
      <c r="BN146" s="230"/>
      <c r="BO146" s="230"/>
      <c r="BP146" s="230"/>
      <c r="BQ146" s="230"/>
      <c r="BR146" s="230"/>
      <c r="BS146" s="230"/>
      <c r="BT146" s="230"/>
      <c r="BU146" s="230"/>
      <c r="BV146" s="230"/>
      <c r="BW146" s="230"/>
      <c r="BX146" s="230"/>
      <c r="BY146" s="230"/>
      <c r="BZ146" s="230"/>
      <c r="CA146" s="230"/>
      <c r="CB146" s="230"/>
      <c r="CC146" s="230"/>
      <c r="CD146" s="230"/>
      <c r="CE146" s="230"/>
      <c r="CF146" s="230"/>
      <c r="CG146" s="230"/>
      <c r="CH146" s="230"/>
      <c r="CI146" s="230"/>
      <c r="CJ146" s="230"/>
      <c r="CK146" s="230"/>
      <c r="CL146" s="230"/>
      <c r="CM146" s="230"/>
      <c r="CN146" s="230"/>
      <c r="CO146" s="230"/>
      <c r="CP146" s="230"/>
      <c r="CQ146" s="230"/>
      <c r="CR146" s="230"/>
      <c r="CS146" s="230"/>
      <c r="CT146" s="230"/>
      <c r="CU146" s="230"/>
      <c r="CV146" s="230"/>
      <c r="CW146" s="230"/>
      <c r="CX146" s="230"/>
      <c r="CY146" s="230"/>
      <c r="CZ146" s="230"/>
      <c r="DA146" s="230"/>
      <c r="DB146" s="230"/>
      <c r="DC146" s="230"/>
      <c r="DD146" s="230"/>
      <c r="DE146" s="230"/>
      <c r="DF146" s="230"/>
      <c r="DG146" s="230"/>
      <c r="DH146" s="230"/>
      <c r="DI146" s="230"/>
      <c r="DJ146" s="230"/>
      <c r="DK146" s="230"/>
      <c r="DL146" s="230"/>
      <c r="DM146" s="230"/>
      <c r="DN146" s="230"/>
      <c r="DO146" s="230"/>
      <c r="DP146" s="230"/>
      <c r="DQ146" s="230"/>
      <c r="DR146" s="230"/>
      <c r="DS146" s="230"/>
      <c r="DT146" s="230"/>
      <c r="DU146" s="230"/>
      <c r="DV146" s="230"/>
      <c r="DW146" s="230"/>
      <c r="DX146" s="230"/>
      <c r="DY146" s="230"/>
      <c r="DZ146" s="230"/>
      <c r="EA146" s="230"/>
      <c r="EB146" s="230"/>
      <c r="EC146" s="230"/>
      <c r="ED146" s="230"/>
      <c r="EE146" s="230"/>
      <c r="EF146" s="230"/>
      <c r="EG146" s="230"/>
      <c r="EH146" s="230"/>
      <c r="EK146" s="672"/>
    </row>
    <row r="147" spans="1:141" ht="12.75" hidden="1" customHeight="1" x14ac:dyDescent="0.3">
      <c r="A147" s="684" t="s">
        <v>2434</v>
      </c>
      <c r="B147" s="200"/>
      <c r="C147" s="200"/>
      <c r="D147" s="200"/>
      <c r="E147" s="230"/>
      <c r="F147" s="230">
        <f>Personnel</f>
        <v>421563.9090428421</v>
      </c>
      <c r="G147" s="230">
        <f t="shared" ref="G147:BR148" si="279">G$135*F147</f>
        <v>422603.59936880867</v>
      </c>
      <c r="H147" s="230">
        <f t="shared" si="279"/>
        <v>423645.85385159869</v>
      </c>
      <c r="I147" s="230">
        <f t="shared" si="279"/>
        <v>424690.67881511466</v>
      </c>
      <c r="J147" s="230">
        <f t="shared" si="279"/>
        <v>425738.08059885551</v>
      </c>
      <c r="K147" s="230">
        <f t="shared" si="279"/>
        <v>426788.06555795507</v>
      </c>
      <c r="L147" s="230">
        <f t="shared" si="279"/>
        <v>427840.64006322064</v>
      </c>
      <c r="M147" s="230">
        <f t="shared" si="279"/>
        <v>428895.81050117163</v>
      </c>
      <c r="N147" s="230">
        <f t="shared" si="279"/>
        <v>429953.58327407838</v>
      </c>
      <c r="O147" s="230">
        <f t="shared" si="279"/>
        <v>431013.96480000089</v>
      </c>
      <c r="P147" s="230">
        <f t="shared" si="279"/>
        <v>432076.9615128279</v>
      </c>
      <c r="Q147" s="230">
        <f t="shared" si="279"/>
        <v>433142.57986231579</v>
      </c>
      <c r="R147" s="230">
        <f t="shared" si="279"/>
        <v>434210.82631412783</v>
      </c>
      <c r="S147" s="230">
        <f t="shared" si="279"/>
        <v>435281.70734987338</v>
      </c>
      <c r="T147" s="230">
        <f t="shared" si="279"/>
        <v>436355.22946714709</v>
      </c>
      <c r="U147" s="230">
        <f t="shared" si="279"/>
        <v>437431.39917956857</v>
      </c>
      <c r="V147" s="230">
        <f t="shared" si="279"/>
        <v>438510.22301682166</v>
      </c>
      <c r="W147" s="230">
        <f t="shared" si="279"/>
        <v>439591.70752469421</v>
      </c>
      <c r="X147" s="230">
        <f t="shared" si="279"/>
        <v>440675.85926511773</v>
      </c>
      <c r="Y147" s="230">
        <f t="shared" si="279"/>
        <v>441762.68481620727</v>
      </c>
      <c r="Z147" s="230">
        <f t="shared" si="279"/>
        <v>442852.19077230123</v>
      </c>
      <c r="AA147" s="230">
        <f t="shared" si="279"/>
        <v>443944.38374400145</v>
      </c>
      <c r="AB147" s="230">
        <f t="shared" si="279"/>
        <v>445039.27035821328</v>
      </c>
      <c r="AC147" s="230">
        <f t="shared" si="279"/>
        <v>446136.8572581858</v>
      </c>
      <c r="AD147" s="230">
        <f t="shared" si="279"/>
        <v>447237.15110355226</v>
      </c>
      <c r="AE147" s="230">
        <f t="shared" si="279"/>
        <v>448340.15857037017</v>
      </c>
      <c r="AF147" s="230">
        <f t="shared" si="279"/>
        <v>449445.8863511621</v>
      </c>
      <c r="AG147" s="230">
        <f t="shared" si="279"/>
        <v>450554.3411549562</v>
      </c>
      <c r="AH147" s="230">
        <f t="shared" si="279"/>
        <v>451665.52970732684</v>
      </c>
      <c r="AI147" s="230">
        <f t="shared" si="279"/>
        <v>452779.45875043556</v>
      </c>
      <c r="AJ147" s="230">
        <f t="shared" si="279"/>
        <v>453896.13504307176</v>
      </c>
      <c r="AK147" s="230">
        <f t="shared" si="279"/>
        <v>455015.56536069396</v>
      </c>
      <c r="AL147" s="230">
        <f t="shared" si="279"/>
        <v>456137.7564954707</v>
      </c>
      <c r="AM147" s="230">
        <f t="shared" si="279"/>
        <v>457262.71525632188</v>
      </c>
      <c r="AN147" s="230">
        <f t="shared" si="279"/>
        <v>458390.44846896006</v>
      </c>
      <c r="AO147" s="230">
        <f t="shared" si="279"/>
        <v>459520.96297593182</v>
      </c>
      <c r="AP147" s="230">
        <f t="shared" si="279"/>
        <v>460654.26563665923</v>
      </c>
      <c r="AQ147" s="230">
        <f t="shared" si="279"/>
        <v>461790.36332748167</v>
      </c>
      <c r="AR147" s="230">
        <f t="shared" si="279"/>
        <v>462929.26294169738</v>
      </c>
      <c r="AS147" s="230">
        <f t="shared" si="279"/>
        <v>464070.97138960531</v>
      </c>
      <c r="AT147" s="230">
        <f t="shared" si="279"/>
        <v>465215.4955985471</v>
      </c>
      <c r="AU147" s="230">
        <f t="shared" si="279"/>
        <v>466362.84251294908</v>
      </c>
      <c r="AV147" s="230">
        <f t="shared" si="279"/>
        <v>467513.01909436437</v>
      </c>
      <c r="AW147" s="230">
        <f t="shared" si="279"/>
        <v>468666.03232151526</v>
      </c>
      <c r="AX147" s="230">
        <f t="shared" si="279"/>
        <v>469821.88919033529</v>
      </c>
      <c r="AY147" s="230">
        <f t="shared" si="279"/>
        <v>470980.59671401203</v>
      </c>
      <c r="AZ147" s="230">
        <f t="shared" si="279"/>
        <v>472142.16192302934</v>
      </c>
      <c r="BA147" s="230">
        <f t="shared" si="279"/>
        <v>473306.59186521021</v>
      </c>
      <c r="BB147" s="230">
        <f t="shared" si="279"/>
        <v>474473.89360575948</v>
      </c>
      <c r="BC147" s="230">
        <f t="shared" si="279"/>
        <v>475644.07422730658</v>
      </c>
      <c r="BD147" s="230">
        <f t="shared" si="279"/>
        <v>476817.14082994877</v>
      </c>
      <c r="BE147" s="230">
        <f t="shared" si="279"/>
        <v>477993.10053129395</v>
      </c>
      <c r="BF147" s="230">
        <f t="shared" si="279"/>
        <v>479171.96046650398</v>
      </c>
      <c r="BG147" s="230">
        <f t="shared" si="279"/>
        <v>480353.72778833803</v>
      </c>
      <c r="BH147" s="230">
        <f t="shared" si="279"/>
        <v>481538.40966719581</v>
      </c>
      <c r="BI147" s="230">
        <f t="shared" si="279"/>
        <v>482726.01329116122</v>
      </c>
      <c r="BJ147" s="230">
        <f t="shared" si="279"/>
        <v>483916.54586604587</v>
      </c>
      <c r="BK147" s="230">
        <f t="shared" si="279"/>
        <v>485110.01461543288</v>
      </c>
      <c r="BL147" s="230">
        <f t="shared" si="279"/>
        <v>486306.42678072071</v>
      </c>
      <c r="BM147" s="230">
        <f t="shared" si="279"/>
        <v>487505.789621167</v>
      </c>
      <c r="BN147" s="230">
        <f t="shared" si="279"/>
        <v>488708.11041393271</v>
      </c>
      <c r="BO147" s="230">
        <f t="shared" si="279"/>
        <v>489913.39645412622</v>
      </c>
      <c r="BP147" s="230">
        <f t="shared" si="279"/>
        <v>491121.65505484765</v>
      </c>
      <c r="BQ147" s="230">
        <f t="shared" si="279"/>
        <v>492332.89354723319</v>
      </c>
      <c r="BR147" s="230">
        <f t="shared" si="279"/>
        <v>493547.11928049952</v>
      </c>
      <c r="BS147" s="230">
        <f t="shared" ref="BS147:ED148" si="280">BS$135*BR147</f>
        <v>494764.33962198859</v>
      </c>
      <c r="BT147" s="230">
        <f t="shared" si="280"/>
        <v>495984.56195721211</v>
      </c>
      <c r="BU147" s="230">
        <f t="shared" si="280"/>
        <v>497207.79368989647</v>
      </c>
      <c r="BV147" s="230">
        <f t="shared" si="280"/>
        <v>498434.04224202764</v>
      </c>
      <c r="BW147" s="230">
        <f t="shared" si="280"/>
        <v>499663.31505389628</v>
      </c>
      <c r="BX147" s="230">
        <f t="shared" si="280"/>
        <v>500895.61958414275</v>
      </c>
      <c r="BY147" s="230">
        <f t="shared" si="280"/>
        <v>502130.96330980246</v>
      </c>
      <c r="BZ147" s="230">
        <f t="shared" si="280"/>
        <v>503369.35372635117</v>
      </c>
      <c r="CA147" s="230">
        <f t="shared" si="280"/>
        <v>504610.7983477505</v>
      </c>
      <c r="CB147" s="230">
        <f t="shared" si="280"/>
        <v>505855.30470649357</v>
      </c>
      <c r="CC147" s="230">
        <f t="shared" si="280"/>
        <v>507102.88035365066</v>
      </c>
      <c r="CD147" s="230">
        <f t="shared" si="280"/>
        <v>508353.53285891499</v>
      </c>
      <c r="CE147" s="230">
        <f t="shared" si="280"/>
        <v>509607.26981064869</v>
      </c>
      <c r="CF147" s="230">
        <f t="shared" si="280"/>
        <v>510864.09881592891</v>
      </c>
      <c r="CG147" s="230">
        <f t="shared" si="280"/>
        <v>512124.0275005938</v>
      </c>
      <c r="CH147" s="230">
        <f t="shared" si="280"/>
        <v>513387.06350928894</v>
      </c>
      <c r="CI147" s="230">
        <f t="shared" si="280"/>
        <v>514653.21450551366</v>
      </c>
      <c r="CJ147" s="230">
        <f t="shared" si="280"/>
        <v>515922.48817166756</v>
      </c>
      <c r="CK147" s="230">
        <f t="shared" si="280"/>
        <v>517194.89220909704</v>
      </c>
      <c r="CL147" s="230">
        <f t="shared" si="280"/>
        <v>518470.43433814222</v>
      </c>
      <c r="CM147" s="230">
        <f t="shared" si="280"/>
        <v>519749.12229818356</v>
      </c>
      <c r="CN147" s="230">
        <f t="shared" si="280"/>
        <v>521030.96384768892</v>
      </c>
      <c r="CO147" s="230">
        <f t="shared" si="280"/>
        <v>522315.96676426072</v>
      </c>
      <c r="CP147" s="230">
        <f t="shared" si="280"/>
        <v>523604.13884468301</v>
      </c>
      <c r="CQ147" s="230">
        <f t="shared" si="280"/>
        <v>524895.48790496879</v>
      </c>
      <c r="CR147" s="230">
        <f t="shared" si="280"/>
        <v>526190.02178040741</v>
      </c>
      <c r="CS147" s="230">
        <f t="shared" si="280"/>
        <v>527487.74832561228</v>
      </c>
      <c r="CT147" s="230">
        <f t="shared" si="280"/>
        <v>528788.67541456828</v>
      </c>
      <c r="CU147" s="230">
        <f t="shared" si="280"/>
        <v>530092.81094067974</v>
      </c>
      <c r="CV147" s="230">
        <f t="shared" si="280"/>
        <v>531400.16281681822</v>
      </c>
      <c r="CW147" s="230">
        <f t="shared" si="280"/>
        <v>532710.73897537065</v>
      </c>
      <c r="CX147" s="230">
        <f t="shared" si="280"/>
        <v>534024.54736828723</v>
      </c>
      <c r="CY147" s="230">
        <f t="shared" si="280"/>
        <v>535341.5959671298</v>
      </c>
      <c r="CZ147" s="230">
        <f t="shared" si="280"/>
        <v>536661.89276312036</v>
      </c>
      <c r="DA147" s="230">
        <f t="shared" si="280"/>
        <v>537985.44576718938</v>
      </c>
      <c r="DB147" s="230">
        <f t="shared" si="280"/>
        <v>539312.26301002433</v>
      </c>
      <c r="DC147" s="230">
        <f t="shared" si="280"/>
        <v>540642.35254211864</v>
      </c>
      <c r="DD147" s="230">
        <f t="shared" si="280"/>
        <v>541975.72243382037</v>
      </c>
      <c r="DE147" s="230">
        <f t="shared" si="280"/>
        <v>543312.38077538135</v>
      </c>
      <c r="DF147" s="230">
        <f t="shared" si="280"/>
        <v>544652.33567700605</v>
      </c>
      <c r="DG147" s="230">
        <f t="shared" si="280"/>
        <v>545995.59526890086</v>
      </c>
      <c r="DH147" s="230">
        <f t="shared" si="280"/>
        <v>547342.16770132352</v>
      </c>
      <c r="DI147" s="230">
        <f t="shared" si="280"/>
        <v>548692.06114463252</v>
      </c>
      <c r="DJ147" s="230">
        <f t="shared" si="280"/>
        <v>550045.28378933656</v>
      </c>
      <c r="DK147" s="230">
        <f t="shared" si="280"/>
        <v>551401.84384614439</v>
      </c>
      <c r="DL147" s="230">
        <f t="shared" si="280"/>
        <v>552761.7495460147</v>
      </c>
      <c r="DM147" s="230">
        <f t="shared" si="280"/>
        <v>554125.00914020569</v>
      </c>
      <c r="DN147" s="230">
        <f t="shared" si="280"/>
        <v>555491.63090032572</v>
      </c>
      <c r="DO147" s="230">
        <f t="shared" si="280"/>
        <v>556861.62311838288</v>
      </c>
      <c r="DP147" s="230">
        <f t="shared" si="280"/>
        <v>558234.99410683569</v>
      </c>
      <c r="DQ147" s="230">
        <f t="shared" si="280"/>
        <v>559611.75219864352</v>
      </c>
      <c r="DR147" s="230">
        <f t="shared" si="280"/>
        <v>560991.90574731689</v>
      </c>
      <c r="DS147" s="230">
        <f t="shared" si="280"/>
        <v>562375.46312696859</v>
      </c>
      <c r="DT147" s="230">
        <f t="shared" si="280"/>
        <v>563762.43273236393</v>
      </c>
      <c r="DU147" s="230">
        <f t="shared" si="280"/>
        <v>565152.82297897211</v>
      </c>
      <c r="DV147" s="230">
        <f t="shared" si="280"/>
        <v>566546.6423030172</v>
      </c>
      <c r="DW147" s="230">
        <f t="shared" si="280"/>
        <v>567943.89916152926</v>
      </c>
      <c r="DX147" s="230">
        <f t="shared" si="280"/>
        <v>569344.60203239566</v>
      </c>
      <c r="DY147" s="230">
        <f t="shared" si="280"/>
        <v>570748.75941441243</v>
      </c>
      <c r="DZ147" s="230">
        <f t="shared" si="280"/>
        <v>572156.37982733606</v>
      </c>
      <c r="EA147" s="230">
        <f t="shared" si="280"/>
        <v>573567.47181193496</v>
      </c>
      <c r="EB147" s="230">
        <f t="shared" si="280"/>
        <v>574982.04393004137</v>
      </c>
      <c r="EC147" s="230">
        <f t="shared" si="280"/>
        <v>576400.10476460343</v>
      </c>
      <c r="ED147" s="230">
        <f t="shared" si="280"/>
        <v>577821.66291973705</v>
      </c>
      <c r="EE147" s="230">
        <f t="shared" ref="EE147:EH148" si="281">EE$135*ED147</f>
        <v>579246.72702077823</v>
      </c>
      <c r="EF147" s="230">
        <f t="shared" si="281"/>
        <v>580675.30571433541</v>
      </c>
      <c r="EG147" s="230">
        <f t="shared" si="281"/>
        <v>582107.40766834188</v>
      </c>
      <c r="EH147" s="230">
        <f t="shared" si="281"/>
        <v>583543.0415721084</v>
      </c>
      <c r="EK147" s="280"/>
    </row>
    <row r="148" spans="1:141" ht="12.75" hidden="1" customHeight="1" x14ac:dyDescent="0.3">
      <c r="A148" s="684" t="s">
        <v>2435</v>
      </c>
      <c r="B148" s="200"/>
      <c r="C148" s="200"/>
      <c r="D148" s="200"/>
      <c r="E148" s="230"/>
      <c r="F148" s="230">
        <f>'Operating Inputs'!$M$119*Units*(1+PrestartExpGwth)</f>
        <v>421563.9090428421</v>
      </c>
      <c r="G148" s="230">
        <f>G$135*F148</f>
        <v>422603.59936880867</v>
      </c>
      <c r="H148" s="230">
        <f t="shared" si="279"/>
        <v>423645.85385159869</v>
      </c>
      <c r="I148" s="230">
        <f t="shared" si="279"/>
        <v>424690.67881511466</v>
      </c>
      <c r="J148" s="230">
        <f t="shared" si="279"/>
        <v>425738.08059885551</v>
      </c>
      <c r="K148" s="230">
        <f t="shared" si="279"/>
        <v>426788.06555795507</v>
      </c>
      <c r="L148" s="230">
        <f t="shared" si="279"/>
        <v>427840.64006322064</v>
      </c>
      <c r="M148" s="230">
        <f t="shared" si="279"/>
        <v>428895.81050117163</v>
      </c>
      <c r="N148" s="230">
        <f t="shared" si="279"/>
        <v>429953.58327407838</v>
      </c>
      <c r="O148" s="230">
        <f t="shared" si="279"/>
        <v>431013.96480000089</v>
      </c>
      <c r="P148" s="230">
        <f t="shared" si="279"/>
        <v>432076.9615128279</v>
      </c>
      <c r="Q148" s="230">
        <f t="shared" si="279"/>
        <v>433142.57986231579</v>
      </c>
      <c r="R148" s="230">
        <f t="shared" si="279"/>
        <v>434210.82631412783</v>
      </c>
      <c r="S148" s="230">
        <f t="shared" si="279"/>
        <v>435281.70734987338</v>
      </c>
      <c r="T148" s="230">
        <f t="shared" si="279"/>
        <v>436355.22946714709</v>
      </c>
      <c r="U148" s="230">
        <f t="shared" si="279"/>
        <v>437431.39917956857</v>
      </c>
      <c r="V148" s="230">
        <f t="shared" si="279"/>
        <v>438510.22301682166</v>
      </c>
      <c r="W148" s="230">
        <f t="shared" si="279"/>
        <v>439591.70752469421</v>
      </c>
      <c r="X148" s="230">
        <f t="shared" si="279"/>
        <v>440675.85926511773</v>
      </c>
      <c r="Y148" s="230">
        <f t="shared" si="279"/>
        <v>441762.68481620727</v>
      </c>
      <c r="Z148" s="230">
        <f t="shared" si="279"/>
        <v>442852.19077230123</v>
      </c>
      <c r="AA148" s="230">
        <f t="shared" si="279"/>
        <v>443944.38374400145</v>
      </c>
      <c r="AB148" s="230">
        <f t="shared" si="279"/>
        <v>445039.27035821328</v>
      </c>
      <c r="AC148" s="230">
        <f t="shared" si="279"/>
        <v>446136.8572581858</v>
      </c>
      <c r="AD148" s="230">
        <f t="shared" si="279"/>
        <v>447237.15110355226</v>
      </c>
      <c r="AE148" s="230">
        <f t="shared" si="279"/>
        <v>448340.15857037017</v>
      </c>
      <c r="AF148" s="230">
        <f t="shared" si="279"/>
        <v>449445.8863511621</v>
      </c>
      <c r="AG148" s="230">
        <f t="shared" si="279"/>
        <v>450554.3411549562</v>
      </c>
      <c r="AH148" s="230">
        <f t="shared" si="279"/>
        <v>451665.52970732684</v>
      </c>
      <c r="AI148" s="230">
        <f t="shared" si="279"/>
        <v>452779.45875043556</v>
      </c>
      <c r="AJ148" s="230">
        <f t="shared" si="279"/>
        <v>453896.13504307176</v>
      </c>
      <c r="AK148" s="230">
        <f t="shared" si="279"/>
        <v>455015.56536069396</v>
      </c>
      <c r="AL148" s="230">
        <f t="shared" si="279"/>
        <v>456137.7564954707</v>
      </c>
      <c r="AM148" s="230">
        <f t="shared" si="279"/>
        <v>457262.71525632188</v>
      </c>
      <c r="AN148" s="230">
        <f t="shared" si="279"/>
        <v>458390.44846896006</v>
      </c>
      <c r="AO148" s="230">
        <f t="shared" si="279"/>
        <v>459520.96297593182</v>
      </c>
      <c r="AP148" s="230">
        <f t="shared" si="279"/>
        <v>460654.26563665923</v>
      </c>
      <c r="AQ148" s="230">
        <f t="shared" si="279"/>
        <v>461790.36332748167</v>
      </c>
      <c r="AR148" s="230">
        <f t="shared" si="279"/>
        <v>462929.26294169738</v>
      </c>
      <c r="AS148" s="230">
        <f t="shared" si="279"/>
        <v>464070.97138960531</v>
      </c>
      <c r="AT148" s="230">
        <f t="shared" si="279"/>
        <v>465215.4955985471</v>
      </c>
      <c r="AU148" s="230">
        <f t="shared" si="279"/>
        <v>466362.84251294908</v>
      </c>
      <c r="AV148" s="230">
        <f t="shared" si="279"/>
        <v>467513.01909436437</v>
      </c>
      <c r="AW148" s="230">
        <f t="shared" si="279"/>
        <v>468666.03232151526</v>
      </c>
      <c r="AX148" s="230">
        <f t="shared" si="279"/>
        <v>469821.88919033529</v>
      </c>
      <c r="AY148" s="230">
        <f t="shared" si="279"/>
        <v>470980.59671401203</v>
      </c>
      <c r="AZ148" s="230">
        <f t="shared" si="279"/>
        <v>472142.16192302934</v>
      </c>
      <c r="BA148" s="230">
        <f t="shared" si="279"/>
        <v>473306.59186521021</v>
      </c>
      <c r="BB148" s="230">
        <f t="shared" si="279"/>
        <v>474473.89360575948</v>
      </c>
      <c r="BC148" s="230">
        <f t="shared" si="279"/>
        <v>475644.07422730658</v>
      </c>
      <c r="BD148" s="230">
        <f t="shared" si="279"/>
        <v>476817.14082994877</v>
      </c>
      <c r="BE148" s="230">
        <f t="shared" si="279"/>
        <v>477993.10053129395</v>
      </c>
      <c r="BF148" s="230">
        <f t="shared" si="279"/>
        <v>479171.96046650398</v>
      </c>
      <c r="BG148" s="230">
        <f t="shared" si="279"/>
        <v>480353.72778833803</v>
      </c>
      <c r="BH148" s="230">
        <f t="shared" si="279"/>
        <v>481538.40966719581</v>
      </c>
      <c r="BI148" s="230">
        <f t="shared" si="279"/>
        <v>482726.01329116122</v>
      </c>
      <c r="BJ148" s="230">
        <f t="shared" si="279"/>
        <v>483916.54586604587</v>
      </c>
      <c r="BK148" s="230">
        <f t="shared" si="279"/>
        <v>485110.01461543288</v>
      </c>
      <c r="BL148" s="230">
        <f t="shared" si="279"/>
        <v>486306.42678072071</v>
      </c>
      <c r="BM148" s="230">
        <f t="shared" si="279"/>
        <v>487505.789621167</v>
      </c>
      <c r="BN148" s="230">
        <f t="shared" si="279"/>
        <v>488708.11041393271</v>
      </c>
      <c r="BO148" s="230">
        <f t="shared" si="279"/>
        <v>489913.39645412622</v>
      </c>
      <c r="BP148" s="230">
        <f t="shared" si="279"/>
        <v>491121.65505484765</v>
      </c>
      <c r="BQ148" s="230">
        <f t="shared" si="279"/>
        <v>492332.89354723319</v>
      </c>
      <c r="BR148" s="230">
        <f t="shared" si="279"/>
        <v>493547.11928049952</v>
      </c>
      <c r="BS148" s="230">
        <f t="shared" si="280"/>
        <v>494764.33962198859</v>
      </c>
      <c r="BT148" s="230">
        <f t="shared" si="280"/>
        <v>495984.56195721211</v>
      </c>
      <c r="BU148" s="230">
        <f t="shared" si="280"/>
        <v>497207.79368989647</v>
      </c>
      <c r="BV148" s="230">
        <f t="shared" si="280"/>
        <v>498434.04224202764</v>
      </c>
      <c r="BW148" s="230">
        <f t="shared" si="280"/>
        <v>499663.31505389628</v>
      </c>
      <c r="BX148" s="230">
        <f t="shared" si="280"/>
        <v>500895.61958414275</v>
      </c>
      <c r="BY148" s="230">
        <f t="shared" si="280"/>
        <v>502130.96330980246</v>
      </c>
      <c r="BZ148" s="230">
        <f t="shared" si="280"/>
        <v>503369.35372635117</v>
      </c>
      <c r="CA148" s="230">
        <f t="shared" si="280"/>
        <v>504610.7983477505</v>
      </c>
      <c r="CB148" s="230">
        <f t="shared" si="280"/>
        <v>505855.30470649357</v>
      </c>
      <c r="CC148" s="230">
        <f t="shared" si="280"/>
        <v>507102.88035365066</v>
      </c>
      <c r="CD148" s="230">
        <f t="shared" si="280"/>
        <v>508353.53285891499</v>
      </c>
      <c r="CE148" s="230">
        <f t="shared" si="280"/>
        <v>509607.26981064869</v>
      </c>
      <c r="CF148" s="230">
        <f t="shared" si="280"/>
        <v>510864.09881592891</v>
      </c>
      <c r="CG148" s="230">
        <f t="shared" si="280"/>
        <v>512124.0275005938</v>
      </c>
      <c r="CH148" s="230">
        <f t="shared" si="280"/>
        <v>513387.06350928894</v>
      </c>
      <c r="CI148" s="230">
        <f t="shared" si="280"/>
        <v>514653.21450551366</v>
      </c>
      <c r="CJ148" s="230">
        <f t="shared" si="280"/>
        <v>515922.48817166756</v>
      </c>
      <c r="CK148" s="230">
        <f t="shared" si="280"/>
        <v>517194.89220909704</v>
      </c>
      <c r="CL148" s="230">
        <f t="shared" si="280"/>
        <v>518470.43433814222</v>
      </c>
      <c r="CM148" s="230">
        <f t="shared" si="280"/>
        <v>519749.12229818356</v>
      </c>
      <c r="CN148" s="230">
        <f t="shared" si="280"/>
        <v>521030.96384768892</v>
      </c>
      <c r="CO148" s="230">
        <f t="shared" si="280"/>
        <v>522315.96676426072</v>
      </c>
      <c r="CP148" s="230">
        <f t="shared" si="280"/>
        <v>523604.13884468301</v>
      </c>
      <c r="CQ148" s="230">
        <f t="shared" si="280"/>
        <v>524895.48790496879</v>
      </c>
      <c r="CR148" s="230">
        <f t="shared" si="280"/>
        <v>526190.02178040741</v>
      </c>
      <c r="CS148" s="230">
        <f t="shared" si="280"/>
        <v>527487.74832561228</v>
      </c>
      <c r="CT148" s="230">
        <f t="shared" si="280"/>
        <v>528788.67541456828</v>
      </c>
      <c r="CU148" s="230">
        <f t="shared" si="280"/>
        <v>530092.81094067974</v>
      </c>
      <c r="CV148" s="230">
        <f t="shared" si="280"/>
        <v>531400.16281681822</v>
      </c>
      <c r="CW148" s="230">
        <f t="shared" si="280"/>
        <v>532710.73897537065</v>
      </c>
      <c r="CX148" s="230">
        <f t="shared" si="280"/>
        <v>534024.54736828723</v>
      </c>
      <c r="CY148" s="230">
        <f t="shared" si="280"/>
        <v>535341.5959671298</v>
      </c>
      <c r="CZ148" s="230">
        <f t="shared" si="280"/>
        <v>536661.89276312036</v>
      </c>
      <c r="DA148" s="230">
        <f t="shared" si="280"/>
        <v>537985.44576718938</v>
      </c>
      <c r="DB148" s="230">
        <f t="shared" si="280"/>
        <v>539312.26301002433</v>
      </c>
      <c r="DC148" s="230">
        <f t="shared" si="280"/>
        <v>540642.35254211864</v>
      </c>
      <c r="DD148" s="230">
        <f t="shared" si="280"/>
        <v>541975.72243382037</v>
      </c>
      <c r="DE148" s="230">
        <f t="shared" si="280"/>
        <v>543312.38077538135</v>
      </c>
      <c r="DF148" s="230">
        <f t="shared" si="280"/>
        <v>544652.33567700605</v>
      </c>
      <c r="DG148" s="230">
        <f t="shared" si="280"/>
        <v>545995.59526890086</v>
      </c>
      <c r="DH148" s="230">
        <f t="shared" si="280"/>
        <v>547342.16770132352</v>
      </c>
      <c r="DI148" s="230">
        <f t="shared" si="280"/>
        <v>548692.06114463252</v>
      </c>
      <c r="DJ148" s="230">
        <f t="shared" si="280"/>
        <v>550045.28378933656</v>
      </c>
      <c r="DK148" s="230">
        <f t="shared" si="280"/>
        <v>551401.84384614439</v>
      </c>
      <c r="DL148" s="230">
        <f t="shared" si="280"/>
        <v>552761.7495460147</v>
      </c>
      <c r="DM148" s="230">
        <f t="shared" si="280"/>
        <v>554125.00914020569</v>
      </c>
      <c r="DN148" s="230">
        <f t="shared" si="280"/>
        <v>555491.63090032572</v>
      </c>
      <c r="DO148" s="230">
        <f t="shared" si="280"/>
        <v>556861.62311838288</v>
      </c>
      <c r="DP148" s="230">
        <f t="shared" si="280"/>
        <v>558234.99410683569</v>
      </c>
      <c r="DQ148" s="230">
        <f t="shared" si="280"/>
        <v>559611.75219864352</v>
      </c>
      <c r="DR148" s="230">
        <f t="shared" si="280"/>
        <v>560991.90574731689</v>
      </c>
      <c r="DS148" s="230">
        <f t="shared" si="280"/>
        <v>562375.46312696859</v>
      </c>
      <c r="DT148" s="230">
        <f t="shared" si="280"/>
        <v>563762.43273236393</v>
      </c>
      <c r="DU148" s="230">
        <f t="shared" si="280"/>
        <v>565152.82297897211</v>
      </c>
      <c r="DV148" s="230">
        <f t="shared" si="280"/>
        <v>566546.6423030172</v>
      </c>
      <c r="DW148" s="230">
        <f t="shared" si="280"/>
        <v>567943.89916152926</v>
      </c>
      <c r="DX148" s="230">
        <f t="shared" si="280"/>
        <v>569344.60203239566</v>
      </c>
      <c r="DY148" s="230">
        <f t="shared" si="280"/>
        <v>570748.75941441243</v>
      </c>
      <c r="DZ148" s="230">
        <f t="shared" si="280"/>
        <v>572156.37982733606</v>
      </c>
      <c r="EA148" s="230">
        <f t="shared" si="280"/>
        <v>573567.47181193496</v>
      </c>
      <c r="EB148" s="230">
        <f t="shared" si="280"/>
        <v>574982.04393004137</v>
      </c>
      <c r="EC148" s="230">
        <f t="shared" si="280"/>
        <v>576400.10476460343</v>
      </c>
      <c r="ED148" s="230">
        <f t="shared" si="280"/>
        <v>577821.66291973705</v>
      </c>
      <c r="EE148" s="230">
        <f t="shared" si="281"/>
        <v>579246.72702077823</v>
      </c>
      <c r="EF148" s="230">
        <f>EF$135*EE148</f>
        <v>580675.30571433541</v>
      </c>
      <c r="EG148" s="230">
        <f>EG$135*EF148</f>
        <v>582107.40766834188</v>
      </c>
      <c r="EH148" s="230">
        <f>EH$135*EG148</f>
        <v>583543.0415721084</v>
      </c>
      <c r="EK148" s="280"/>
    </row>
    <row r="149" spans="1:141" ht="12.75" hidden="1" customHeight="1" x14ac:dyDescent="0.3">
      <c r="A149" s="684" t="s">
        <v>2427</v>
      </c>
      <c r="B149" s="200"/>
      <c r="C149" s="200"/>
      <c r="D149" s="200"/>
      <c r="E149" s="230"/>
      <c r="F149" s="230"/>
      <c r="G149" s="230">
        <f>IF(G$5&gt;=MonthFirstUnits-'Development Inputs'!$N$28,1,0)</f>
        <v>0</v>
      </c>
      <c r="H149" s="230">
        <f>IF(H$5&gt;=MonthFirstUnits-'Development Inputs'!$N$28,1,0)</f>
        <v>0</v>
      </c>
      <c r="I149" s="230">
        <f>IF(I$5&gt;=MonthFirstUnits-'Development Inputs'!$N$28,1,0)</f>
        <v>0</v>
      </c>
      <c r="J149" s="230">
        <f>IF(J$5&gt;=MonthFirstUnits-'Development Inputs'!$N$28,1,0)</f>
        <v>0</v>
      </c>
      <c r="K149" s="230">
        <f>IF(K$5&gt;=MonthFirstUnits-'Development Inputs'!$N$28,1,0)</f>
        <v>0</v>
      </c>
      <c r="L149" s="230">
        <f>IF(L$5&gt;=MonthFirstUnits-'Development Inputs'!$N$28,1,0)</f>
        <v>0</v>
      </c>
      <c r="M149" s="230">
        <f>IF(M$5&gt;=MonthFirstUnits-'Development Inputs'!$N$28,1,0)</f>
        <v>0</v>
      </c>
      <c r="N149" s="230">
        <f>IF(N$5&gt;=MonthFirstUnits-'Development Inputs'!$N$28,1,0)</f>
        <v>0</v>
      </c>
      <c r="O149" s="230">
        <f>IF(O$5&gt;=MonthFirstUnits-'Development Inputs'!$N$28,1,0)</f>
        <v>0</v>
      </c>
      <c r="P149" s="230">
        <f>IF(P$5&gt;=MonthFirstUnits-'Development Inputs'!$N$28,1,0)</f>
        <v>0</v>
      </c>
      <c r="Q149" s="230">
        <f>IF(Q$5&gt;=MonthFirstUnits-'Development Inputs'!$N$28,1,0)</f>
        <v>0</v>
      </c>
      <c r="R149" s="230">
        <f>IF(R$5&gt;=MonthFirstUnits-'Development Inputs'!$N$28,1,0)</f>
        <v>0</v>
      </c>
      <c r="S149" s="230">
        <f>IF(S$5&gt;=MonthFirstUnits-'Development Inputs'!$N$28,1,0)</f>
        <v>0</v>
      </c>
      <c r="T149" s="230">
        <f>IF(T$5&gt;=MonthFirstUnits-'Development Inputs'!$N$28,1,0)</f>
        <v>1</v>
      </c>
      <c r="U149" s="230">
        <f>IF(U$5&gt;=MonthFirstUnits-'Development Inputs'!$N$28,1,0)</f>
        <v>1</v>
      </c>
      <c r="V149" s="230">
        <f>IF(V$5&gt;=MonthFirstUnits-'Development Inputs'!$N$28,1,0)</f>
        <v>1</v>
      </c>
      <c r="W149" s="230">
        <f>IF(W$5&gt;=MonthFirstUnits-'Development Inputs'!$N$28,1,0)</f>
        <v>1</v>
      </c>
      <c r="X149" s="230">
        <f>IF(X$5&gt;=MonthFirstUnits-'Development Inputs'!$N$28,1,0)</f>
        <v>1</v>
      </c>
      <c r="Y149" s="230">
        <f>IF(Y$5&gt;=MonthFirstUnits-'Development Inputs'!$N$28,1,0)</f>
        <v>1</v>
      </c>
      <c r="Z149" s="230">
        <f>IF(Z$5&gt;=MonthFirstUnits-'Development Inputs'!$N$28,1,0)</f>
        <v>1</v>
      </c>
      <c r="AA149" s="230">
        <f>IF(AA$5&gt;=MonthFirstUnits-'Development Inputs'!$N$28,1,0)</f>
        <v>1</v>
      </c>
      <c r="AB149" s="230">
        <f>IF(AB$5&gt;=MonthFirstUnits-'Development Inputs'!$N$28,1,0)</f>
        <v>1</v>
      </c>
      <c r="AC149" s="230">
        <f>IF(AC$5&gt;=MonthFirstUnits-'Development Inputs'!$N$28,1,0)</f>
        <v>1</v>
      </c>
      <c r="AD149" s="230">
        <f>IF(AD$5&gt;=MonthFirstUnits-'Development Inputs'!$N$28,1,0)</f>
        <v>1</v>
      </c>
      <c r="AE149" s="230">
        <f>IF(AE$5&gt;=MonthFirstUnits-'Development Inputs'!$N$28,1,0)</f>
        <v>1</v>
      </c>
      <c r="AF149" s="230">
        <f>IF(AF$5&gt;=MonthFirstUnits-'Development Inputs'!$N$28,1,0)</f>
        <v>1</v>
      </c>
      <c r="AG149" s="230">
        <f>IF(AG$5&gt;=MonthFirstUnits-'Development Inputs'!$N$28,1,0)</f>
        <v>1</v>
      </c>
      <c r="AH149" s="230">
        <f>IF(AH$5&gt;=MonthFirstUnits-'Development Inputs'!$N$28,1,0)</f>
        <v>1</v>
      </c>
      <c r="AI149" s="230">
        <f>IF(AI$5&gt;=MonthFirstUnits-'Development Inputs'!$N$28,1,0)</f>
        <v>1</v>
      </c>
      <c r="AJ149" s="230">
        <f>IF(AJ$5&gt;=MonthFirstUnits-'Development Inputs'!$N$28,1,0)</f>
        <v>1</v>
      </c>
      <c r="AK149" s="230">
        <f>IF(AK$5&gt;=MonthFirstUnits-'Development Inputs'!$N$28,1,0)</f>
        <v>1</v>
      </c>
      <c r="AL149" s="230">
        <f>IF(AL$5&gt;=MonthFirstUnits-'Development Inputs'!$N$28,1,0)</f>
        <v>1</v>
      </c>
      <c r="AM149" s="230">
        <f>IF(AM$5&gt;=MonthFirstUnits-'Development Inputs'!$N$28,1,0)</f>
        <v>1</v>
      </c>
      <c r="AN149" s="230">
        <f>IF(AN$5&gt;=MonthFirstUnits-'Development Inputs'!$N$28,1,0)</f>
        <v>1</v>
      </c>
      <c r="AO149" s="230">
        <f>IF(AO$5&gt;=MonthFirstUnits-'Development Inputs'!$N$28,1,0)</f>
        <v>1</v>
      </c>
      <c r="AP149" s="230">
        <f>IF(AP$5&gt;=MonthFirstUnits-'Development Inputs'!$N$28,1,0)</f>
        <v>1</v>
      </c>
      <c r="AQ149" s="230">
        <f>IF(AQ$5&gt;=MonthFirstUnits-'Development Inputs'!$N$28,1,0)</f>
        <v>1</v>
      </c>
      <c r="AR149" s="230">
        <f>IF(AR$5&gt;=MonthFirstUnits-'Development Inputs'!$N$28,1,0)</f>
        <v>1</v>
      </c>
      <c r="AS149" s="230">
        <f>IF(AS$5&gt;=MonthFirstUnits-'Development Inputs'!$N$28,1,0)</f>
        <v>1</v>
      </c>
      <c r="AT149" s="230">
        <f>IF(AT$5&gt;=MonthFirstUnits-'Development Inputs'!$N$28,1,0)</f>
        <v>1</v>
      </c>
      <c r="AU149" s="230">
        <f>IF(AU$5&gt;=MonthFirstUnits-'Development Inputs'!$N$28,1,0)</f>
        <v>1</v>
      </c>
      <c r="AV149" s="230">
        <f>IF(AV$5&gt;=MonthFirstUnits-'Development Inputs'!$N$28,1,0)</f>
        <v>1</v>
      </c>
      <c r="AW149" s="230">
        <f>IF(AW$5&gt;=MonthFirstUnits-'Development Inputs'!$N$28,1,0)</f>
        <v>1</v>
      </c>
      <c r="AX149" s="230">
        <f>IF(AX$5&gt;=MonthFirstUnits-'Development Inputs'!$N$28,1,0)</f>
        <v>1</v>
      </c>
      <c r="AY149" s="230">
        <f>IF(AY$5&gt;=MonthFirstUnits-'Development Inputs'!$N$28,1,0)</f>
        <v>1</v>
      </c>
      <c r="AZ149" s="230">
        <f>IF(AZ$5&gt;=MonthFirstUnits-'Development Inputs'!$N$28,1,0)</f>
        <v>1</v>
      </c>
      <c r="BA149" s="230">
        <f>IF(BA$5&gt;=MonthFirstUnits-'Development Inputs'!$N$28,1,0)</f>
        <v>1</v>
      </c>
      <c r="BB149" s="230">
        <f>IF(BB$5&gt;=MonthFirstUnits-'Development Inputs'!$N$28,1,0)</f>
        <v>1</v>
      </c>
      <c r="BC149" s="230">
        <f>IF(BC$5&gt;=MonthFirstUnits-'Development Inputs'!$N$28,1,0)</f>
        <v>1</v>
      </c>
      <c r="BD149" s="230">
        <f>IF(BD$5&gt;=MonthFirstUnits-'Development Inputs'!$N$28,1,0)</f>
        <v>1</v>
      </c>
      <c r="BE149" s="230">
        <f>IF(BE$5&gt;=MonthFirstUnits-'Development Inputs'!$N$28,1,0)</f>
        <v>1</v>
      </c>
      <c r="BF149" s="230">
        <f>IF(BF$5&gt;=MonthFirstUnits-'Development Inputs'!$N$28,1,0)</f>
        <v>1</v>
      </c>
      <c r="BG149" s="230">
        <f>IF(BG$5&gt;=MonthFirstUnits-'Development Inputs'!$N$28,1,0)</f>
        <v>1</v>
      </c>
      <c r="BH149" s="230">
        <f>IF(BH$5&gt;=MonthFirstUnits-'Development Inputs'!$N$28,1,0)</f>
        <v>1</v>
      </c>
      <c r="BI149" s="230">
        <f>IF(BI$5&gt;=MonthFirstUnits-'Development Inputs'!$N$28,1,0)</f>
        <v>1</v>
      </c>
      <c r="BJ149" s="230">
        <f>IF(BJ$5&gt;=MonthFirstUnits-'Development Inputs'!$N$28,1,0)</f>
        <v>1</v>
      </c>
      <c r="BK149" s="230">
        <f>IF(BK$5&gt;=MonthFirstUnits-'Development Inputs'!$N$28,1,0)</f>
        <v>1</v>
      </c>
      <c r="BL149" s="230">
        <f>IF(BL$5&gt;=MonthFirstUnits-'Development Inputs'!$N$28,1,0)</f>
        <v>1</v>
      </c>
      <c r="BM149" s="230">
        <f>IF(BM$5&gt;=MonthFirstUnits-'Development Inputs'!$N$28,1,0)</f>
        <v>1</v>
      </c>
      <c r="BN149" s="230">
        <f>IF(BN$5&gt;=MonthFirstUnits-'Development Inputs'!$N$28,1,0)</f>
        <v>1</v>
      </c>
      <c r="BO149" s="230">
        <f>IF(BO$5&gt;=MonthFirstUnits-'Development Inputs'!$N$28,1,0)</f>
        <v>1</v>
      </c>
      <c r="BP149" s="230">
        <f>IF(BP$5&gt;=MonthFirstUnits-'Development Inputs'!$N$28,1,0)</f>
        <v>1</v>
      </c>
      <c r="BQ149" s="230">
        <f>IF(BQ$5&gt;=MonthFirstUnits-'Development Inputs'!$N$28,1,0)</f>
        <v>1</v>
      </c>
      <c r="BR149" s="230">
        <f>IF(BR$5&gt;=MonthFirstUnits-'Development Inputs'!$N$28,1,0)</f>
        <v>1</v>
      </c>
      <c r="BS149" s="230">
        <f>IF(BS$5&gt;=MonthFirstUnits-'Development Inputs'!$N$28,1,0)</f>
        <v>1</v>
      </c>
      <c r="BT149" s="230">
        <f>IF(BT$5&gt;=MonthFirstUnits-'Development Inputs'!$N$28,1,0)</f>
        <v>1</v>
      </c>
      <c r="BU149" s="230">
        <f>IF(BU$5&gt;=MonthFirstUnits-'Development Inputs'!$N$28,1,0)</f>
        <v>1</v>
      </c>
      <c r="BV149" s="230">
        <f>IF(BV$5&gt;=MonthFirstUnits-'Development Inputs'!$N$28,1,0)</f>
        <v>1</v>
      </c>
      <c r="BW149" s="230">
        <f>IF(BW$5&gt;=MonthFirstUnits-'Development Inputs'!$N$28,1,0)</f>
        <v>1</v>
      </c>
      <c r="BX149" s="230">
        <f>IF(BX$5&gt;=MonthFirstUnits-'Development Inputs'!$N$28,1,0)</f>
        <v>1</v>
      </c>
      <c r="BY149" s="230">
        <f>IF(BY$5&gt;=MonthFirstUnits-'Development Inputs'!$N$28,1,0)</f>
        <v>1</v>
      </c>
      <c r="BZ149" s="230">
        <f>IF(BZ$5&gt;=MonthFirstUnits-'Development Inputs'!$N$28,1,0)</f>
        <v>1</v>
      </c>
      <c r="CA149" s="230">
        <f>IF(CA$5&gt;=MonthFirstUnits-'Development Inputs'!$N$28,1,0)</f>
        <v>1</v>
      </c>
      <c r="CB149" s="230">
        <f>IF(CB$5&gt;=MonthFirstUnits-'Development Inputs'!$N$28,1,0)</f>
        <v>1</v>
      </c>
      <c r="CC149" s="230">
        <f>IF(CC$5&gt;=MonthFirstUnits-'Development Inputs'!$N$28,1,0)</f>
        <v>1</v>
      </c>
      <c r="CD149" s="230">
        <f>IF(CD$5&gt;=MonthFirstUnits-'Development Inputs'!$N$28,1,0)</f>
        <v>1</v>
      </c>
      <c r="CE149" s="230">
        <f>IF(CE$5&gt;=MonthFirstUnits-'Development Inputs'!$N$28,1,0)</f>
        <v>1</v>
      </c>
      <c r="CF149" s="230">
        <f>IF(CF$5&gt;=MonthFirstUnits-'Development Inputs'!$N$28,1,0)</f>
        <v>1</v>
      </c>
      <c r="CG149" s="230">
        <f>IF(CG$5&gt;=MonthFirstUnits-'Development Inputs'!$N$28,1,0)</f>
        <v>1</v>
      </c>
      <c r="CH149" s="230">
        <f>IF(CH$5&gt;=MonthFirstUnits-'Development Inputs'!$N$28,1,0)</f>
        <v>1</v>
      </c>
      <c r="CI149" s="230">
        <f>IF(CI$5&gt;=MonthFirstUnits-'Development Inputs'!$N$28,1,0)</f>
        <v>1</v>
      </c>
      <c r="CJ149" s="230">
        <f>IF(CJ$5&gt;=MonthFirstUnits-'Development Inputs'!$N$28,1,0)</f>
        <v>1</v>
      </c>
      <c r="CK149" s="230">
        <f>IF(CK$5&gt;=MonthFirstUnits-'Development Inputs'!$N$28,1,0)</f>
        <v>1</v>
      </c>
      <c r="CL149" s="230">
        <f>IF(CL$5&gt;=MonthFirstUnits-'Development Inputs'!$N$28,1,0)</f>
        <v>1</v>
      </c>
      <c r="CM149" s="230">
        <f>IF(CM$5&gt;=MonthFirstUnits-'Development Inputs'!$N$28,1,0)</f>
        <v>1</v>
      </c>
      <c r="CN149" s="230">
        <f>IF(CN$5&gt;=MonthFirstUnits-'Development Inputs'!$N$28,1,0)</f>
        <v>1</v>
      </c>
      <c r="CO149" s="230">
        <f>IF(CO$5&gt;=MonthFirstUnits-'Development Inputs'!$N$28,1,0)</f>
        <v>1</v>
      </c>
      <c r="CP149" s="230">
        <f>IF(CP$5&gt;=MonthFirstUnits-'Development Inputs'!$N$28,1,0)</f>
        <v>1</v>
      </c>
      <c r="CQ149" s="230">
        <f>IF(CQ$5&gt;=MonthFirstUnits-'Development Inputs'!$N$28,1,0)</f>
        <v>1</v>
      </c>
      <c r="CR149" s="230">
        <f>IF(CR$5&gt;=MonthFirstUnits-'Development Inputs'!$N$28,1,0)</f>
        <v>1</v>
      </c>
      <c r="CS149" s="230">
        <f>IF(CS$5&gt;=MonthFirstUnits-'Development Inputs'!$N$28,1,0)</f>
        <v>1</v>
      </c>
      <c r="CT149" s="230">
        <f>IF(CT$5&gt;=MonthFirstUnits-'Development Inputs'!$N$28,1,0)</f>
        <v>1</v>
      </c>
      <c r="CU149" s="230">
        <f>IF(CU$5&gt;=MonthFirstUnits-'Development Inputs'!$N$28,1,0)</f>
        <v>1</v>
      </c>
      <c r="CV149" s="230">
        <f>IF(CV$5&gt;=MonthFirstUnits-'Development Inputs'!$N$28,1,0)</f>
        <v>1</v>
      </c>
      <c r="CW149" s="230">
        <f>IF(CW$5&gt;=MonthFirstUnits-'Development Inputs'!$N$28,1,0)</f>
        <v>1</v>
      </c>
      <c r="CX149" s="230">
        <f>IF(CX$5&gt;=MonthFirstUnits-'Development Inputs'!$N$28,1,0)</f>
        <v>1</v>
      </c>
      <c r="CY149" s="230">
        <f>IF(CY$5&gt;=MonthFirstUnits-'Development Inputs'!$N$28,1,0)</f>
        <v>1</v>
      </c>
      <c r="CZ149" s="230">
        <f>IF(CZ$5&gt;=MonthFirstUnits-'Development Inputs'!$N$28,1,0)</f>
        <v>1</v>
      </c>
      <c r="DA149" s="230">
        <f>IF(DA$5&gt;=MonthFirstUnits-'Development Inputs'!$N$28,1,0)</f>
        <v>1</v>
      </c>
      <c r="DB149" s="230">
        <f>IF(DB$5&gt;=MonthFirstUnits-'Development Inputs'!$N$28,1,0)</f>
        <v>1</v>
      </c>
      <c r="DC149" s="230">
        <f>IF(DC$5&gt;=MonthFirstUnits-'Development Inputs'!$N$28,1,0)</f>
        <v>1</v>
      </c>
      <c r="DD149" s="230">
        <f>IF(DD$5&gt;=MonthFirstUnits-'Development Inputs'!$N$28,1,0)</f>
        <v>1</v>
      </c>
      <c r="DE149" s="230">
        <f>IF(DE$5&gt;=MonthFirstUnits-'Development Inputs'!$N$28,1,0)</f>
        <v>1</v>
      </c>
      <c r="DF149" s="230">
        <f>IF(DF$5&gt;=MonthFirstUnits-'Development Inputs'!$N$28,1,0)</f>
        <v>1</v>
      </c>
      <c r="DG149" s="230">
        <f>IF(DG$5&gt;=MonthFirstUnits-'Development Inputs'!$N$28,1,0)</f>
        <v>1</v>
      </c>
      <c r="DH149" s="230">
        <f>IF(DH$5&gt;=MonthFirstUnits-'Development Inputs'!$N$28,1,0)</f>
        <v>1</v>
      </c>
      <c r="DI149" s="230">
        <f>IF(DI$5&gt;=MonthFirstUnits-'Development Inputs'!$N$28,1,0)</f>
        <v>1</v>
      </c>
      <c r="DJ149" s="230">
        <f>IF(DJ$5&gt;=MonthFirstUnits-'Development Inputs'!$N$28,1,0)</f>
        <v>1</v>
      </c>
      <c r="DK149" s="230">
        <f>IF(DK$5&gt;=MonthFirstUnits-'Development Inputs'!$N$28,1,0)</f>
        <v>1</v>
      </c>
      <c r="DL149" s="230">
        <f>IF(DL$5&gt;=MonthFirstUnits-'Development Inputs'!$N$28,1,0)</f>
        <v>1</v>
      </c>
      <c r="DM149" s="230">
        <f>IF(DM$5&gt;=MonthFirstUnits-'Development Inputs'!$N$28,1,0)</f>
        <v>1</v>
      </c>
      <c r="DN149" s="230">
        <f>IF(DN$5&gt;=MonthFirstUnits-'Development Inputs'!$N$28,1,0)</f>
        <v>1</v>
      </c>
      <c r="DO149" s="230">
        <f>IF(DO$5&gt;=MonthFirstUnits-'Development Inputs'!$N$28,1,0)</f>
        <v>1</v>
      </c>
      <c r="DP149" s="230">
        <f>IF(DP$5&gt;=MonthFirstUnits-'Development Inputs'!$N$28,1,0)</f>
        <v>1</v>
      </c>
      <c r="DQ149" s="230">
        <f>IF(DQ$5&gt;=MonthFirstUnits-'Development Inputs'!$N$28,1,0)</f>
        <v>1</v>
      </c>
      <c r="DR149" s="230">
        <f>IF(DR$5&gt;=MonthFirstUnits-'Development Inputs'!$N$28,1,0)</f>
        <v>1</v>
      </c>
      <c r="DS149" s="230">
        <f>IF(DS$5&gt;=MonthFirstUnits-'Development Inputs'!$N$28,1,0)</f>
        <v>1</v>
      </c>
      <c r="DT149" s="230">
        <f>IF(DT$5&gt;=MonthFirstUnits-'Development Inputs'!$N$28,1,0)</f>
        <v>1</v>
      </c>
      <c r="DU149" s="230">
        <f>IF(DU$5&gt;=MonthFirstUnits-'Development Inputs'!$N$28,1,0)</f>
        <v>1</v>
      </c>
      <c r="DV149" s="230">
        <f>IF(DV$5&gt;=MonthFirstUnits-'Development Inputs'!$N$28,1,0)</f>
        <v>1</v>
      </c>
      <c r="DW149" s="230">
        <f>IF(DW$5&gt;=MonthFirstUnits-'Development Inputs'!$N$28,1,0)</f>
        <v>1</v>
      </c>
      <c r="DX149" s="230">
        <f>IF(DX$5&gt;=MonthFirstUnits-'Development Inputs'!$N$28,1,0)</f>
        <v>1</v>
      </c>
      <c r="DY149" s="230">
        <f>IF(DY$5&gt;=MonthFirstUnits-'Development Inputs'!$N$28,1,0)</f>
        <v>1</v>
      </c>
      <c r="DZ149" s="230">
        <f>IF(DZ$5&gt;=MonthFirstUnits-'Development Inputs'!$N$28,1,0)</f>
        <v>1</v>
      </c>
      <c r="EA149" s="230">
        <f>IF(EA$5&gt;=MonthFirstUnits-'Development Inputs'!$N$28,1,0)</f>
        <v>1</v>
      </c>
      <c r="EB149" s="230">
        <f>IF(EB$5&gt;=MonthFirstUnits-'Development Inputs'!$N$28,1,0)</f>
        <v>1</v>
      </c>
      <c r="EC149" s="230">
        <f>IF(EC$5&gt;=MonthFirstUnits-'Development Inputs'!$N$28,1,0)</f>
        <v>1</v>
      </c>
      <c r="ED149" s="230">
        <f>IF(ED$5&gt;=MonthFirstUnits-'Development Inputs'!$N$28,1,0)</f>
        <v>1</v>
      </c>
      <c r="EE149" s="230">
        <f>IF(EE$5&gt;=MonthFirstUnits-'Development Inputs'!$N$28,1,0)</f>
        <v>1</v>
      </c>
      <c r="EF149" s="230">
        <f>IF(EF$5&gt;=MonthFirstUnits-'Development Inputs'!$N$28,1,0)</f>
        <v>1</v>
      </c>
      <c r="EG149" s="230">
        <f>IF(EG$5&gt;=MonthFirstUnits-'Development Inputs'!$N$28,1,0)</f>
        <v>1</v>
      </c>
      <c r="EH149" s="230">
        <f>IF(EH$5&gt;=MonthFirstUnits-'Development Inputs'!$N$28,1,0)</f>
        <v>1</v>
      </c>
      <c r="EK149" s="672"/>
    </row>
    <row r="150" spans="1:141" ht="12.75" hidden="1" customHeight="1" x14ac:dyDescent="0.3">
      <c r="A150" s="684" t="s">
        <v>2436</v>
      </c>
      <c r="B150" s="200"/>
      <c r="C150" s="200"/>
      <c r="D150" s="200"/>
      <c r="E150" s="230"/>
      <c r="F150" s="230">
        <f>F147/12</f>
        <v>35130.325753570178</v>
      </c>
      <c r="G150" s="647">
        <f t="shared" ref="G150:AL150" si="282">IF(AND(MONTH(G$6)=1,G$6&lt;=DateDisposition),G147/12,
IF(AND(G$5=MonthDisposition+1,MONTH(G$6)&lt;&gt;1),LOOKUP(EDATE(G$6,-(MONTH(G$6)-1)),$6:$6,148:148)/12,
IF(AND(MONTH(G$6)=1,G$5&gt;=MonthDisposition+1),G148/12,F150)))</f>
        <v>35130.325753570178</v>
      </c>
      <c r="H150" s="647">
        <f t="shared" si="282"/>
        <v>35130.325753570178</v>
      </c>
      <c r="I150" s="647">
        <f t="shared" si="282"/>
        <v>35130.325753570178</v>
      </c>
      <c r="J150" s="647">
        <f t="shared" si="282"/>
        <v>35478.173383237961</v>
      </c>
      <c r="K150" s="647">
        <f t="shared" si="282"/>
        <v>35478.173383237961</v>
      </c>
      <c r="L150" s="647">
        <f t="shared" si="282"/>
        <v>35478.173383237961</v>
      </c>
      <c r="M150" s="647">
        <f t="shared" si="282"/>
        <v>35478.173383237961</v>
      </c>
      <c r="N150" s="647">
        <f t="shared" si="282"/>
        <v>35478.173383237961</v>
      </c>
      <c r="O150" s="647">
        <f t="shared" si="282"/>
        <v>35478.173383237961</v>
      </c>
      <c r="P150" s="647">
        <f t="shared" si="282"/>
        <v>35478.173383237961</v>
      </c>
      <c r="Q150" s="647">
        <f t="shared" si="282"/>
        <v>35478.173383237961</v>
      </c>
      <c r="R150" s="647">
        <f t="shared" si="282"/>
        <v>35478.173383237961</v>
      </c>
      <c r="S150" s="647">
        <f t="shared" si="282"/>
        <v>35478.173383237961</v>
      </c>
      <c r="T150" s="647">
        <f t="shared" si="282"/>
        <v>35478.173383237961</v>
      </c>
      <c r="U150" s="647">
        <f t="shared" si="282"/>
        <v>35478.173383237961</v>
      </c>
      <c r="V150" s="647">
        <f t="shared" si="282"/>
        <v>36542.518584735139</v>
      </c>
      <c r="W150" s="647">
        <f t="shared" si="282"/>
        <v>36542.518584735139</v>
      </c>
      <c r="X150" s="647">
        <f t="shared" si="282"/>
        <v>36542.518584735139</v>
      </c>
      <c r="Y150" s="647">
        <f t="shared" si="282"/>
        <v>36542.518584735139</v>
      </c>
      <c r="Z150" s="647">
        <f t="shared" si="282"/>
        <v>36542.518584735139</v>
      </c>
      <c r="AA150" s="647">
        <f t="shared" si="282"/>
        <v>36542.518584735139</v>
      </c>
      <c r="AB150" s="647">
        <f t="shared" si="282"/>
        <v>36542.518584735139</v>
      </c>
      <c r="AC150" s="647">
        <f t="shared" si="282"/>
        <v>36542.518584735139</v>
      </c>
      <c r="AD150" s="647">
        <f t="shared" si="282"/>
        <v>36542.518584735139</v>
      </c>
      <c r="AE150" s="647">
        <f t="shared" si="282"/>
        <v>36542.518584735139</v>
      </c>
      <c r="AF150" s="647">
        <f t="shared" si="282"/>
        <v>36542.518584735139</v>
      </c>
      <c r="AG150" s="647">
        <f t="shared" si="282"/>
        <v>36542.518584735139</v>
      </c>
      <c r="AH150" s="647">
        <f t="shared" si="282"/>
        <v>37638.794142277235</v>
      </c>
      <c r="AI150" s="647">
        <f t="shared" si="282"/>
        <v>37638.794142277235</v>
      </c>
      <c r="AJ150" s="647">
        <f t="shared" si="282"/>
        <v>37638.794142277235</v>
      </c>
      <c r="AK150" s="647">
        <f t="shared" si="282"/>
        <v>37638.794142277235</v>
      </c>
      <c r="AL150" s="647">
        <f t="shared" si="282"/>
        <v>37638.794142277235</v>
      </c>
      <c r="AM150" s="647">
        <f t="shared" ref="AM150:BR150" si="283">IF(AND(MONTH(AM$6)=1,AM$6&lt;=DateDisposition),AM147/12,
IF(AND(AM$5=MonthDisposition+1,MONTH(AM$6)&lt;&gt;1),LOOKUP(EDATE(AM$6,-(MONTH(AM$6)-1)),$6:$6,148:148)/12,
IF(AND(MONTH(AM$6)=1,AM$5&gt;=MonthDisposition+1),AM148/12,AL150)))</f>
        <v>37638.794142277235</v>
      </c>
      <c r="AN150" s="647">
        <f t="shared" si="283"/>
        <v>37638.794142277235</v>
      </c>
      <c r="AO150" s="647">
        <f t="shared" si="283"/>
        <v>37638.794142277235</v>
      </c>
      <c r="AP150" s="647">
        <f t="shared" si="283"/>
        <v>37638.794142277235</v>
      </c>
      <c r="AQ150" s="647">
        <f t="shared" si="283"/>
        <v>37638.794142277235</v>
      </c>
      <c r="AR150" s="647">
        <f t="shared" si="283"/>
        <v>37638.794142277235</v>
      </c>
      <c r="AS150" s="647">
        <f t="shared" si="283"/>
        <v>37638.794142277235</v>
      </c>
      <c r="AT150" s="647">
        <f t="shared" si="283"/>
        <v>38767.957966545589</v>
      </c>
      <c r="AU150" s="647">
        <f t="shared" si="283"/>
        <v>38767.957966545589</v>
      </c>
      <c r="AV150" s="647">
        <f t="shared" si="283"/>
        <v>38767.957966545589</v>
      </c>
      <c r="AW150" s="647">
        <f t="shared" si="283"/>
        <v>38767.957966545589</v>
      </c>
      <c r="AX150" s="647">
        <f t="shared" si="283"/>
        <v>38767.957966545589</v>
      </c>
      <c r="AY150" s="647">
        <f t="shared" si="283"/>
        <v>38767.957966545589</v>
      </c>
      <c r="AZ150" s="647">
        <f t="shared" si="283"/>
        <v>38767.957966545589</v>
      </c>
      <c r="BA150" s="647">
        <f t="shared" si="283"/>
        <v>38767.957966545589</v>
      </c>
      <c r="BB150" s="647">
        <f t="shared" si="283"/>
        <v>38767.957966545589</v>
      </c>
      <c r="BC150" s="647">
        <f t="shared" si="283"/>
        <v>38767.957966545589</v>
      </c>
      <c r="BD150" s="647">
        <f t="shared" si="283"/>
        <v>38767.957966545589</v>
      </c>
      <c r="BE150" s="647">
        <f t="shared" si="283"/>
        <v>38767.957966545589</v>
      </c>
      <c r="BF150" s="647">
        <f t="shared" si="283"/>
        <v>39930.996705541998</v>
      </c>
      <c r="BG150" s="647">
        <f t="shared" si="283"/>
        <v>39930.996705541998</v>
      </c>
      <c r="BH150" s="647">
        <f t="shared" si="283"/>
        <v>39930.996705541998</v>
      </c>
      <c r="BI150" s="647">
        <f t="shared" si="283"/>
        <v>39930.996705541998</v>
      </c>
      <c r="BJ150" s="647">
        <f t="shared" si="283"/>
        <v>39930.996705541998</v>
      </c>
      <c r="BK150" s="647">
        <f t="shared" si="283"/>
        <v>39930.996705541998</v>
      </c>
      <c r="BL150" s="647">
        <f t="shared" si="283"/>
        <v>39930.996705541998</v>
      </c>
      <c r="BM150" s="647">
        <f t="shared" si="283"/>
        <v>39930.996705541998</v>
      </c>
      <c r="BN150" s="647">
        <f t="shared" si="283"/>
        <v>39930.996705541998</v>
      </c>
      <c r="BO150" s="647">
        <f t="shared" si="283"/>
        <v>39930.996705541998</v>
      </c>
      <c r="BP150" s="647">
        <f t="shared" si="283"/>
        <v>39930.996705541998</v>
      </c>
      <c r="BQ150" s="647">
        <f t="shared" si="283"/>
        <v>39930.996705541998</v>
      </c>
      <c r="BR150" s="647">
        <f t="shared" si="283"/>
        <v>41128.926606708294</v>
      </c>
      <c r="BS150" s="647">
        <f t="shared" ref="BS150:CX150" si="284">IF(AND(MONTH(BS$6)=1,BS$6&lt;=DateDisposition),BS147/12,
IF(AND(BS$5=MonthDisposition+1,MONTH(BS$6)&lt;&gt;1),LOOKUP(EDATE(BS$6,-(MONTH(BS$6)-1)),$6:$6,148:148)/12,
IF(AND(MONTH(BS$6)=1,BS$5&gt;=MonthDisposition+1),BS148/12,BR150)))</f>
        <v>41128.926606708294</v>
      </c>
      <c r="BT150" s="647">
        <f t="shared" si="284"/>
        <v>41128.926606708294</v>
      </c>
      <c r="BU150" s="647">
        <f t="shared" si="284"/>
        <v>41128.926606708294</v>
      </c>
      <c r="BV150" s="647">
        <f t="shared" si="284"/>
        <v>41128.926606708294</v>
      </c>
      <c r="BW150" s="647">
        <f t="shared" si="284"/>
        <v>41128.926606708294</v>
      </c>
      <c r="BX150" s="647">
        <f t="shared" si="284"/>
        <v>41128.926606708294</v>
      </c>
      <c r="BY150" s="647">
        <f t="shared" si="284"/>
        <v>41128.926606708294</v>
      </c>
      <c r="BZ150" s="647">
        <f t="shared" si="284"/>
        <v>41128.926606708294</v>
      </c>
      <c r="CA150" s="647">
        <f t="shared" si="284"/>
        <v>41128.926606708294</v>
      </c>
      <c r="CB150" s="647">
        <f t="shared" si="284"/>
        <v>41128.926606708294</v>
      </c>
      <c r="CC150" s="647">
        <f t="shared" si="284"/>
        <v>41128.926606708294</v>
      </c>
      <c r="CD150" s="647">
        <f t="shared" si="284"/>
        <v>42362.794404909582</v>
      </c>
      <c r="CE150" s="647">
        <f t="shared" si="284"/>
        <v>42362.794404909582</v>
      </c>
      <c r="CF150" s="647">
        <f t="shared" si="284"/>
        <v>42362.794404909582</v>
      </c>
      <c r="CG150" s="647">
        <f t="shared" si="284"/>
        <v>42362.794404909582</v>
      </c>
      <c r="CH150" s="647">
        <f t="shared" si="284"/>
        <v>42362.794404909582</v>
      </c>
      <c r="CI150" s="647">
        <f t="shared" si="284"/>
        <v>42362.794404909582</v>
      </c>
      <c r="CJ150" s="647">
        <f t="shared" si="284"/>
        <v>42362.794404909582</v>
      </c>
      <c r="CK150" s="647">
        <f t="shared" si="284"/>
        <v>42362.794404909582</v>
      </c>
      <c r="CL150" s="647">
        <f t="shared" si="284"/>
        <v>42362.794404909582</v>
      </c>
      <c r="CM150" s="647">
        <f t="shared" si="284"/>
        <v>42362.794404909582</v>
      </c>
      <c r="CN150" s="647">
        <f t="shared" si="284"/>
        <v>42362.794404909582</v>
      </c>
      <c r="CO150" s="647">
        <f t="shared" si="284"/>
        <v>42362.794404909582</v>
      </c>
      <c r="CP150" s="647">
        <f t="shared" si="284"/>
        <v>43633.67823705692</v>
      </c>
      <c r="CQ150" s="647">
        <f t="shared" si="284"/>
        <v>43633.67823705692</v>
      </c>
      <c r="CR150" s="647">
        <f t="shared" si="284"/>
        <v>43633.67823705692</v>
      </c>
      <c r="CS150" s="647">
        <f t="shared" si="284"/>
        <v>43633.67823705692</v>
      </c>
      <c r="CT150" s="647">
        <f t="shared" si="284"/>
        <v>43633.67823705692</v>
      </c>
      <c r="CU150" s="647">
        <f t="shared" si="284"/>
        <v>43633.67823705692</v>
      </c>
      <c r="CV150" s="647">
        <f t="shared" si="284"/>
        <v>43633.67823705692</v>
      </c>
      <c r="CW150" s="647">
        <f t="shared" si="284"/>
        <v>43633.67823705692</v>
      </c>
      <c r="CX150" s="647">
        <f t="shared" si="284"/>
        <v>43633.67823705692</v>
      </c>
      <c r="CY150" s="647">
        <f t="shared" ref="CY150:EH150" si="285">IF(AND(MONTH(CY$6)=1,CY$6&lt;=DateDisposition),CY147/12,
IF(AND(CY$5=MonthDisposition+1,MONTH(CY$6)&lt;&gt;1),LOOKUP(EDATE(CY$6,-(MONTH(CY$6)-1)),$6:$6,148:148)/12,
IF(AND(MONTH(CY$6)=1,CY$5&gt;=MonthDisposition+1),CY148/12,CX150)))</f>
        <v>43633.67823705692</v>
      </c>
      <c r="CZ150" s="647">
        <f t="shared" si="285"/>
        <v>43633.67823705692</v>
      </c>
      <c r="DA150" s="647">
        <f t="shared" si="285"/>
        <v>43633.67823705692</v>
      </c>
      <c r="DB150" s="647">
        <f t="shared" si="285"/>
        <v>44942.688584168696</v>
      </c>
      <c r="DC150" s="647">
        <f t="shared" si="285"/>
        <v>44942.688584168696</v>
      </c>
      <c r="DD150" s="647">
        <f t="shared" si="285"/>
        <v>44942.688584168696</v>
      </c>
      <c r="DE150" s="647">
        <f t="shared" si="285"/>
        <v>44942.688584168696</v>
      </c>
      <c r="DF150" s="647">
        <f t="shared" si="285"/>
        <v>44942.688584168696</v>
      </c>
      <c r="DG150" s="647">
        <f t="shared" si="285"/>
        <v>44942.688584168696</v>
      </c>
      <c r="DH150" s="647">
        <f t="shared" si="285"/>
        <v>44942.688584168696</v>
      </c>
      <c r="DI150" s="647">
        <f t="shared" si="285"/>
        <v>44942.688584168696</v>
      </c>
      <c r="DJ150" s="647">
        <f t="shared" si="285"/>
        <v>44942.688584168696</v>
      </c>
      <c r="DK150" s="647">
        <f t="shared" si="285"/>
        <v>44942.688584168696</v>
      </c>
      <c r="DL150" s="647">
        <f t="shared" si="285"/>
        <v>44942.688584168696</v>
      </c>
      <c r="DM150" s="647">
        <f t="shared" si="285"/>
        <v>44942.688584168696</v>
      </c>
      <c r="DN150" s="647">
        <f t="shared" si="285"/>
        <v>46290.969241693812</v>
      </c>
      <c r="DO150" s="647">
        <f t="shared" si="285"/>
        <v>46290.969241693812</v>
      </c>
      <c r="DP150" s="647">
        <f t="shared" si="285"/>
        <v>46290.969241693812</v>
      </c>
      <c r="DQ150" s="647">
        <f t="shared" si="285"/>
        <v>46290.969241693812</v>
      </c>
      <c r="DR150" s="647">
        <f t="shared" si="285"/>
        <v>46290.969241693812</v>
      </c>
      <c r="DS150" s="647">
        <f t="shared" si="285"/>
        <v>46290.969241693812</v>
      </c>
      <c r="DT150" s="647">
        <f t="shared" si="285"/>
        <v>46290.969241693812</v>
      </c>
      <c r="DU150" s="647">
        <f t="shared" si="285"/>
        <v>46290.969241693812</v>
      </c>
      <c r="DV150" s="647">
        <f t="shared" si="285"/>
        <v>46290.969241693812</v>
      </c>
      <c r="DW150" s="647">
        <f t="shared" si="285"/>
        <v>46290.969241693812</v>
      </c>
      <c r="DX150" s="647">
        <f t="shared" si="285"/>
        <v>46290.969241693812</v>
      </c>
      <c r="DY150" s="647">
        <f t="shared" si="285"/>
        <v>46290.969241693812</v>
      </c>
      <c r="DZ150" s="647">
        <f t="shared" si="285"/>
        <v>47679.698318944669</v>
      </c>
      <c r="EA150" s="647">
        <f t="shared" si="285"/>
        <v>47679.698318944669</v>
      </c>
      <c r="EB150" s="647">
        <f t="shared" si="285"/>
        <v>47679.698318944669</v>
      </c>
      <c r="EC150" s="647">
        <f t="shared" si="285"/>
        <v>47679.698318944669</v>
      </c>
      <c r="ED150" s="647">
        <f t="shared" si="285"/>
        <v>47679.698318944669</v>
      </c>
      <c r="EE150" s="647">
        <f t="shared" si="285"/>
        <v>47679.698318944669</v>
      </c>
      <c r="EF150" s="647">
        <f t="shared" si="285"/>
        <v>47679.698318944669</v>
      </c>
      <c r="EG150" s="647">
        <f t="shared" si="285"/>
        <v>47679.698318944669</v>
      </c>
      <c r="EH150" s="647">
        <f t="shared" si="285"/>
        <v>47679.698318944669</v>
      </c>
      <c r="EK150" s="280"/>
    </row>
    <row r="151" spans="1:141" ht="15" hidden="1" thickTop="1" x14ac:dyDescent="0.3">
      <c r="A151" s="691" t="s">
        <v>2437</v>
      </c>
      <c r="B151" s="200"/>
      <c r="C151" s="200"/>
      <c r="D151" s="200"/>
      <c r="E151" s="230"/>
      <c r="F151" s="230"/>
      <c r="G151" s="230"/>
      <c r="H151" s="230"/>
      <c r="I151" s="230"/>
      <c r="J151" s="230"/>
      <c r="K151" s="230"/>
      <c r="L151" s="230"/>
      <c r="M151" s="230"/>
      <c r="N151" s="230"/>
      <c r="O151" s="230"/>
      <c r="P151" s="230"/>
      <c r="Q151" s="230"/>
      <c r="R151" s="230"/>
      <c r="S151" s="230"/>
      <c r="T151" s="230"/>
      <c r="U151" s="230"/>
      <c r="V151" s="230"/>
      <c r="W151" s="230"/>
      <c r="X151" s="230"/>
      <c r="Y151" s="230"/>
      <c r="Z151" s="230"/>
      <c r="AA151" s="230"/>
      <c r="AB151" s="230"/>
      <c r="AC151" s="230"/>
      <c r="AD151" s="230"/>
      <c r="AE151" s="230"/>
      <c r="AF151" s="230"/>
      <c r="AG151" s="230"/>
      <c r="AH151" s="230"/>
      <c r="AI151" s="230"/>
      <c r="AJ151" s="230"/>
      <c r="AK151" s="230"/>
      <c r="AL151" s="230"/>
      <c r="AM151" s="230"/>
      <c r="AN151" s="230"/>
      <c r="AO151" s="230"/>
      <c r="AP151" s="230"/>
      <c r="AQ151" s="230"/>
      <c r="AR151" s="230"/>
      <c r="AS151" s="230"/>
      <c r="AT151" s="230"/>
      <c r="AU151" s="230"/>
      <c r="AV151" s="230"/>
      <c r="AW151" s="230"/>
      <c r="AX151" s="230"/>
      <c r="AY151" s="230"/>
      <c r="AZ151" s="230"/>
      <c r="BA151" s="230"/>
      <c r="BB151" s="230"/>
      <c r="BC151" s="230"/>
      <c r="BD151" s="230"/>
      <c r="BE151" s="230"/>
      <c r="BF151" s="230"/>
      <c r="BG151" s="230"/>
      <c r="BH151" s="230"/>
      <c r="BI151" s="230"/>
      <c r="BJ151" s="230"/>
      <c r="BK151" s="230"/>
      <c r="BL151" s="230"/>
      <c r="BM151" s="230"/>
      <c r="BN151" s="230"/>
      <c r="BO151" s="230"/>
      <c r="BP151" s="230"/>
      <c r="BQ151" s="230"/>
      <c r="BR151" s="230"/>
      <c r="BS151" s="230"/>
      <c r="BT151" s="230"/>
      <c r="BU151" s="230"/>
      <c r="BV151" s="230"/>
      <c r="BW151" s="230"/>
      <c r="BX151" s="230"/>
      <c r="BY151" s="230"/>
      <c r="BZ151" s="230"/>
      <c r="CA151" s="230"/>
      <c r="CB151" s="230"/>
      <c r="CC151" s="230"/>
      <c r="CD151" s="230"/>
      <c r="CE151" s="230"/>
      <c r="CF151" s="230"/>
      <c r="CG151" s="230"/>
      <c r="CH151" s="230"/>
      <c r="CI151" s="230"/>
      <c r="CJ151" s="230"/>
      <c r="CK151" s="230"/>
      <c r="CL151" s="230"/>
      <c r="CM151" s="230"/>
      <c r="CN151" s="230"/>
      <c r="CO151" s="230"/>
      <c r="CP151" s="230"/>
      <c r="CQ151" s="230"/>
      <c r="CR151" s="230"/>
      <c r="CS151" s="230"/>
      <c r="CT151" s="230"/>
      <c r="CU151" s="230"/>
      <c r="CV151" s="230"/>
      <c r="CW151" s="230"/>
      <c r="CX151" s="230"/>
      <c r="CY151" s="230"/>
      <c r="CZ151" s="230"/>
      <c r="DA151" s="230"/>
      <c r="DB151" s="230"/>
      <c r="DC151" s="230"/>
      <c r="DD151" s="230"/>
      <c r="DE151" s="230"/>
      <c r="DF151" s="230"/>
      <c r="DG151" s="230"/>
      <c r="DH151" s="230"/>
      <c r="DI151" s="230"/>
      <c r="DJ151" s="230"/>
      <c r="DK151" s="230"/>
      <c r="DL151" s="230"/>
      <c r="DM151" s="230"/>
      <c r="DN151" s="230"/>
      <c r="DO151" s="230"/>
      <c r="DP151" s="230"/>
      <c r="DQ151" s="230"/>
      <c r="DR151" s="230"/>
      <c r="DS151" s="230"/>
      <c r="DT151" s="230"/>
      <c r="DU151" s="230"/>
      <c r="DV151" s="230"/>
      <c r="DW151" s="230"/>
      <c r="DX151" s="230"/>
      <c r="DY151" s="230"/>
      <c r="DZ151" s="230"/>
      <c r="EA151" s="230"/>
      <c r="EB151" s="230"/>
      <c r="EC151" s="230"/>
      <c r="ED151" s="230"/>
      <c r="EE151" s="230"/>
      <c r="EF151" s="230"/>
      <c r="EG151" s="230"/>
      <c r="EH151" s="230"/>
      <c r="EK151" s="280"/>
    </row>
    <row r="152" spans="1:141" ht="15" hidden="1" thickTop="1" x14ac:dyDescent="0.3">
      <c r="A152" s="684" t="s">
        <v>2438</v>
      </c>
      <c r="B152" s="200"/>
      <c r="C152" s="200"/>
      <c r="D152" s="200"/>
      <c r="E152" s="230"/>
      <c r="F152" s="230">
        <f>RepairsandMaintenance</f>
        <v>126442.609139504</v>
      </c>
      <c r="G152" s="230">
        <f t="shared" ref="G152:BR153" si="286">G$135*F152</f>
        <v>126754.45072435596</v>
      </c>
      <c r="H152" s="230">
        <f t="shared" si="286"/>
        <v>127067.0613946824</v>
      </c>
      <c r="I152" s="230">
        <f t="shared" si="286"/>
        <v>127380.44304725557</v>
      </c>
      <c r="J152" s="230">
        <f t="shared" si="286"/>
        <v>127694.59758352567</v>
      </c>
      <c r="K152" s="230">
        <f t="shared" si="286"/>
        <v>128009.5269096324</v>
      </c>
      <c r="L152" s="230">
        <f t="shared" si="286"/>
        <v>128325.23293641652</v>
      </c>
      <c r="M152" s="230">
        <f t="shared" si="286"/>
        <v>128641.71757943144</v>
      </c>
      <c r="N152" s="230">
        <f t="shared" si="286"/>
        <v>128958.98275895482</v>
      </c>
      <c r="O152" s="230">
        <f t="shared" si="286"/>
        <v>129277.03040000027</v>
      </c>
      <c r="P152" s="230">
        <f t="shared" si="286"/>
        <v>129595.86243232897</v>
      </c>
      <c r="Q152" s="230">
        <f t="shared" si="286"/>
        <v>129915.48079046144</v>
      </c>
      <c r="R152" s="230">
        <f t="shared" si="286"/>
        <v>130235.88741368926</v>
      </c>
      <c r="S152" s="230">
        <f t="shared" si="286"/>
        <v>130557.08424608679</v>
      </c>
      <c r="T152" s="230">
        <f t="shared" si="286"/>
        <v>130879.07323652302</v>
      </c>
      <c r="U152" s="230">
        <f t="shared" si="286"/>
        <v>131201.85633867339</v>
      </c>
      <c r="V152" s="230">
        <f t="shared" si="286"/>
        <v>131525.4355110316</v>
      </c>
      <c r="W152" s="230">
        <f t="shared" si="286"/>
        <v>131849.81271692153</v>
      </c>
      <c r="X152" s="230">
        <f t="shared" si="286"/>
        <v>132174.98992450917</v>
      </c>
      <c r="Y152" s="230">
        <f t="shared" si="286"/>
        <v>132500.96910681453</v>
      </c>
      <c r="Z152" s="230">
        <f t="shared" si="286"/>
        <v>132827.75224172362</v>
      </c>
      <c r="AA152" s="230">
        <f t="shared" si="286"/>
        <v>133155.34131200041</v>
      </c>
      <c r="AB152" s="230">
        <f t="shared" si="286"/>
        <v>133483.73830529899</v>
      </c>
      <c r="AC152" s="230">
        <f t="shared" si="286"/>
        <v>133812.94521417544</v>
      </c>
      <c r="AD152" s="230">
        <f t="shared" si="286"/>
        <v>134142.96403610011</v>
      </c>
      <c r="AE152" s="230">
        <f t="shared" si="286"/>
        <v>134473.79677346957</v>
      </c>
      <c r="AF152" s="230">
        <f t="shared" si="286"/>
        <v>134805.44543361888</v>
      </c>
      <c r="AG152" s="230">
        <f t="shared" si="286"/>
        <v>135137.91202883376</v>
      </c>
      <c r="AH152" s="230">
        <f t="shared" si="286"/>
        <v>135471.19857636272</v>
      </c>
      <c r="AI152" s="230">
        <f t="shared" si="286"/>
        <v>135805.30709842936</v>
      </c>
      <c r="AJ152" s="230">
        <f t="shared" si="286"/>
        <v>136140.23962224464</v>
      </c>
      <c r="AK152" s="230">
        <f t="shared" si="286"/>
        <v>136475.99818001917</v>
      </c>
      <c r="AL152" s="230">
        <f t="shared" si="286"/>
        <v>136812.58480897552</v>
      </c>
      <c r="AM152" s="230">
        <f t="shared" si="286"/>
        <v>137150.00155136062</v>
      </c>
      <c r="AN152" s="230">
        <f t="shared" si="286"/>
        <v>137488.25045445815</v>
      </c>
      <c r="AO152" s="230">
        <f t="shared" si="286"/>
        <v>137827.33357060089</v>
      </c>
      <c r="AP152" s="230">
        <f t="shared" si="286"/>
        <v>138167.25295718329</v>
      </c>
      <c r="AQ152" s="230">
        <f t="shared" si="286"/>
        <v>138508.01067667382</v>
      </c>
      <c r="AR152" s="230">
        <f t="shared" si="286"/>
        <v>138849.60879662761</v>
      </c>
      <c r="AS152" s="230">
        <f t="shared" si="286"/>
        <v>139192.04938969892</v>
      </c>
      <c r="AT152" s="230">
        <f t="shared" si="286"/>
        <v>139535.33453365375</v>
      </c>
      <c r="AU152" s="230">
        <f t="shared" si="286"/>
        <v>139879.46631138239</v>
      </c>
      <c r="AV152" s="230">
        <f t="shared" si="286"/>
        <v>140224.44681091214</v>
      </c>
      <c r="AW152" s="230">
        <f t="shared" si="286"/>
        <v>140570.27812541989</v>
      </c>
      <c r="AX152" s="230">
        <f t="shared" si="286"/>
        <v>140916.96235324495</v>
      </c>
      <c r="AY152" s="230">
        <f t="shared" si="286"/>
        <v>141264.5015979016</v>
      </c>
      <c r="AZ152" s="230">
        <f t="shared" si="286"/>
        <v>141612.89796809206</v>
      </c>
      <c r="BA152" s="230">
        <f t="shared" si="286"/>
        <v>141962.15357771909</v>
      </c>
      <c r="BB152" s="230">
        <f t="shared" si="286"/>
        <v>142312.27054589894</v>
      </c>
      <c r="BC152" s="230">
        <f t="shared" si="286"/>
        <v>142663.25099697418</v>
      </c>
      <c r="BD152" s="230">
        <f t="shared" si="286"/>
        <v>143015.0970605266</v>
      </c>
      <c r="BE152" s="230">
        <f t="shared" si="286"/>
        <v>143367.81087139007</v>
      </c>
      <c r="BF152" s="230">
        <f t="shared" si="286"/>
        <v>143721.39456966353</v>
      </c>
      <c r="BG152" s="230">
        <f t="shared" si="286"/>
        <v>144075.85030072404</v>
      </c>
      <c r="BH152" s="230">
        <f t="shared" si="286"/>
        <v>144431.18021523967</v>
      </c>
      <c r="BI152" s="230">
        <f t="shared" si="286"/>
        <v>144787.38646918267</v>
      </c>
      <c r="BJ152" s="230">
        <f t="shared" si="286"/>
        <v>145144.47122384247</v>
      </c>
      <c r="BK152" s="230">
        <f t="shared" si="286"/>
        <v>145502.43664583884</v>
      </c>
      <c r="BL152" s="230">
        <f t="shared" si="286"/>
        <v>145861.28490713501</v>
      </c>
      <c r="BM152" s="230">
        <f t="shared" si="286"/>
        <v>146221.01818505084</v>
      </c>
      <c r="BN152" s="230">
        <f t="shared" si="286"/>
        <v>146581.63866227609</v>
      </c>
      <c r="BO152" s="230">
        <f t="shared" si="286"/>
        <v>146943.1485268836</v>
      </c>
      <c r="BP152" s="230">
        <f t="shared" si="286"/>
        <v>147305.54997234259</v>
      </c>
      <c r="BQ152" s="230">
        <f t="shared" si="286"/>
        <v>147668.84519753195</v>
      </c>
      <c r="BR152" s="230">
        <f t="shared" si="286"/>
        <v>148033.03640675361</v>
      </c>
      <c r="BS152" s="230">
        <f t="shared" ref="BS152:ED153" si="287">BS$135*BR152</f>
        <v>148398.12580974592</v>
      </c>
      <c r="BT152" s="230">
        <f t="shared" si="287"/>
        <v>148764.11562169701</v>
      </c>
      <c r="BU152" s="230">
        <f t="shared" si="287"/>
        <v>149131.00806325828</v>
      </c>
      <c r="BV152" s="230">
        <f t="shared" si="287"/>
        <v>149498.80536055786</v>
      </c>
      <c r="BW152" s="230">
        <f t="shared" si="287"/>
        <v>149867.50974521411</v>
      </c>
      <c r="BX152" s="230">
        <f t="shared" si="287"/>
        <v>150237.12345434914</v>
      </c>
      <c r="BY152" s="230">
        <f t="shared" si="287"/>
        <v>150607.64873060246</v>
      </c>
      <c r="BZ152" s="230">
        <f t="shared" si="287"/>
        <v>150979.08782214447</v>
      </c>
      <c r="CA152" s="230">
        <f t="shared" si="287"/>
        <v>151351.44298269021</v>
      </c>
      <c r="CB152" s="230">
        <f t="shared" si="287"/>
        <v>151724.71647151295</v>
      </c>
      <c r="CC152" s="230">
        <f t="shared" si="287"/>
        <v>152098.910553458</v>
      </c>
      <c r="CD152" s="230">
        <f t="shared" si="287"/>
        <v>152474.0274989563</v>
      </c>
      <c r="CE152" s="230">
        <f t="shared" si="287"/>
        <v>152850.06958403837</v>
      </c>
      <c r="CF152" s="230">
        <f t="shared" si="287"/>
        <v>153227.039090348</v>
      </c>
      <c r="CG152" s="230">
        <f t="shared" si="287"/>
        <v>153604.93830515613</v>
      </c>
      <c r="CH152" s="230">
        <f t="shared" si="287"/>
        <v>153983.76952137472</v>
      </c>
      <c r="CI152" s="230">
        <f t="shared" si="287"/>
        <v>154363.53503757066</v>
      </c>
      <c r="CJ152" s="230">
        <f t="shared" si="287"/>
        <v>154744.23715797978</v>
      </c>
      <c r="CK152" s="230">
        <f t="shared" si="287"/>
        <v>155125.8781925207</v>
      </c>
      <c r="CL152" s="230">
        <f t="shared" si="287"/>
        <v>155508.46045680897</v>
      </c>
      <c r="CM152" s="230">
        <f t="shared" si="287"/>
        <v>155891.98627217108</v>
      </c>
      <c r="CN152" s="230">
        <f t="shared" si="287"/>
        <v>156276.45796565851</v>
      </c>
      <c r="CO152" s="230">
        <f t="shared" si="287"/>
        <v>156661.8778700619</v>
      </c>
      <c r="CP152" s="230">
        <f t="shared" si="287"/>
        <v>157048.24832392516</v>
      </c>
      <c r="CQ152" s="230">
        <f t="shared" si="287"/>
        <v>157435.57167155971</v>
      </c>
      <c r="CR152" s="230">
        <f t="shared" si="287"/>
        <v>157823.85026305862</v>
      </c>
      <c r="CS152" s="230">
        <f t="shared" si="287"/>
        <v>158213.08645431098</v>
      </c>
      <c r="CT152" s="230">
        <f t="shared" si="287"/>
        <v>158603.28260701612</v>
      </c>
      <c r="CU152" s="230">
        <f t="shared" si="287"/>
        <v>158994.44108869796</v>
      </c>
      <c r="CV152" s="230">
        <f t="shared" si="287"/>
        <v>159386.56427271935</v>
      </c>
      <c r="CW152" s="230">
        <f t="shared" si="287"/>
        <v>159779.65453829648</v>
      </c>
      <c r="CX152" s="230">
        <f t="shared" si="287"/>
        <v>160173.71427051342</v>
      </c>
      <c r="CY152" s="230">
        <f t="shared" si="287"/>
        <v>160568.74586033641</v>
      </c>
      <c r="CZ152" s="230">
        <f t="shared" si="287"/>
        <v>160964.75170462846</v>
      </c>
      <c r="DA152" s="230">
        <f t="shared" si="287"/>
        <v>161361.73420616396</v>
      </c>
      <c r="DB152" s="230">
        <f t="shared" si="287"/>
        <v>161759.69577364312</v>
      </c>
      <c r="DC152" s="230">
        <f t="shared" si="287"/>
        <v>162158.6388217067</v>
      </c>
      <c r="DD152" s="230">
        <f t="shared" si="287"/>
        <v>162558.56577095058</v>
      </c>
      <c r="DE152" s="230">
        <f t="shared" si="287"/>
        <v>162959.47904794052</v>
      </c>
      <c r="DF152" s="230">
        <f t="shared" si="287"/>
        <v>163361.38108522681</v>
      </c>
      <c r="DG152" s="230">
        <f t="shared" si="287"/>
        <v>163764.27432135909</v>
      </c>
      <c r="DH152" s="230">
        <f t="shared" si="287"/>
        <v>164168.16120090112</v>
      </c>
      <c r="DI152" s="230">
        <f t="shared" si="287"/>
        <v>164573.04417444559</v>
      </c>
      <c r="DJ152" s="230">
        <f t="shared" si="287"/>
        <v>164978.92569862903</v>
      </c>
      <c r="DK152" s="230">
        <f t="shared" si="287"/>
        <v>165385.80823614669</v>
      </c>
      <c r="DL152" s="230">
        <f t="shared" si="287"/>
        <v>165793.69425576751</v>
      </c>
      <c r="DM152" s="230">
        <f t="shared" si="287"/>
        <v>166202.58623234907</v>
      </c>
      <c r="DN152" s="230">
        <f t="shared" si="287"/>
        <v>166612.4866468526</v>
      </c>
      <c r="DO152" s="230">
        <f t="shared" si="287"/>
        <v>167023.39798635809</v>
      </c>
      <c r="DP152" s="230">
        <f t="shared" si="287"/>
        <v>167435.32274407928</v>
      </c>
      <c r="DQ152" s="230">
        <f t="shared" si="287"/>
        <v>167848.26341937893</v>
      </c>
      <c r="DR152" s="230">
        <f t="shared" si="287"/>
        <v>168262.22251778381</v>
      </c>
      <c r="DS152" s="230">
        <f t="shared" si="287"/>
        <v>168677.20255100005</v>
      </c>
      <c r="DT152" s="230">
        <f t="shared" si="287"/>
        <v>169093.20603692834</v>
      </c>
      <c r="DU152" s="230">
        <f t="shared" si="287"/>
        <v>169510.23549967914</v>
      </c>
      <c r="DV152" s="230">
        <f t="shared" si="287"/>
        <v>169928.29346958807</v>
      </c>
      <c r="DW152" s="230">
        <f t="shared" si="287"/>
        <v>170347.38248323125</v>
      </c>
      <c r="DX152" s="230">
        <f t="shared" si="287"/>
        <v>170767.50508344069</v>
      </c>
      <c r="DY152" s="230">
        <f t="shared" si="287"/>
        <v>171188.66381931968</v>
      </c>
      <c r="DZ152" s="230">
        <f t="shared" si="287"/>
        <v>171610.86124625834</v>
      </c>
      <c r="EA152" s="230">
        <f t="shared" si="287"/>
        <v>172034.09992594898</v>
      </c>
      <c r="EB152" s="230">
        <f t="shared" si="287"/>
        <v>172458.3824264018</v>
      </c>
      <c r="EC152" s="230">
        <f t="shared" si="287"/>
        <v>172883.71132196044</v>
      </c>
      <c r="ED152" s="230">
        <f t="shared" si="287"/>
        <v>173310.08919331746</v>
      </c>
      <c r="EE152" s="230">
        <f t="shared" ref="EE152:EH153" si="288">EE$135*ED152</f>
        <v>173737.5186275302</v>
      </c>
      <c r="EF152" s="230">
        <f t="shared" si="288"/>
        <v>174166.00221803633</v>
      </c>
      <c r="EG152" s="230">
        <f t="shared" si="288"/>
        <v>174595.54256466965</v>
      </c>
      <c r="EH152" s="230">
        <f t="shared" si="288"/>
        <v>175026.14227367585</v>
      </c>
      <c r="EK152" s="672"/>
    </row>
    <row r="153" spans="1:141" ht="15" hidden="1" thickTop="1" x14ac:dyDescent="0.3">
      <c r="A153" s="684" t="s">
        <v>2439</v>
      </c>
      <c r="B153" s="200"/>
      <c r="C153" s="200"/>
      <c r="D153" s="200"/>
      <c r="E153" s="230"/>
      <c r="F153" s="230">
        <f>'Operating Inputs'!$M$120*Units*(1+PrestartExpGwth)</f>
        <v>126442.609139504</v>
      </c>
      <c r="G153" s="230">
        <f>G$135*F153</f>
        <v>126754.45072435596</v>
      </c>
      <c r="H153" s="230">
        <f t="shared" si="286"/>
        <v>127067.0613946824</v>
      </c>
      <c r="I153" s="230">
        <f t="shared" si="286"/>
        <v>127380.44304725557</v>
      </c>
      <c r="J153" s="230">
        <f t="shared" si="286"/>
        <v>127694.59758352567</v>
      </c>
      <c r="K153" s="230">
        <f t="shared" si="286"/>
        <v>128009.5269096324</v>
      </c>
      <c r="L153" s="230">
        <f t="shared" si="286"/>
        <v>128325.23293641652</v>
      </c>
      <c r="M153" s="230">
        <f t="shared" si="286"/>
        <v>128641.71757943144</v>
      </c>
      <c r="N153" s="230">
        <f t="shared" si="286"/>
        <v>128958.98275895482</v>
      </c>
      <c r="O153" s="230">
        <f t="shared" si="286"/>
        <v>129277.03040000027</v>
      </c>
      <c r="P153" s="230">
        <f t="shared" si="286"/>
        <v>129595.86243232897</v>
      </c>
      <c r="Q153" s="230">
        <f t="shared" si="286"/>
        <v>129915.48079046144</v>
      </c>
      <c r="R153" s="230">
        <f t="shared" si="286"/>
        <v>130235.88741368926</v>
      </c>
      <c r="S153" s="230">
        <f t="shared" si="286"/>
        <v>130557.08424608679</v>
      </c>
      <c r="T153" s="230">
        <f t="shared" si="286"/>
        <v>130879.07323652302</v>
      </c>
      <c r="U153" s="230">
        <f t="shared" si="286"/>
        <v>131201.85633867339</v>
      </c>
      <c r="V153" s="230">
        <f t="shared" si="286"/>
        <v>131525.4355110316</v>
      </c>
      <c r="W153" s="230">
        <f t="shared" si="286"/>
        <v>131849.81271692153</v>
      </c>
      <c r="X153" s="230">
        <f t="shared" si="286"/>
        <v>132174.98992450917</v>
      </c>
      <c r="Y153" s="230">
        <f t="shared" si="286"/>
        <v>132500.96910681453</v>
      </c>
      <c r="Z153" s="230">
        <f t="shared" si="286"/>
        <v>132827.75224172362</v>
      </c>
      <c r="AA153" s="230">
        <f t="shared" si="286"/>
        <v>133155.34131200041</v>
      </c>
      <c r="AB153" s="230">
        <f t="shared" si="286"/>
        <v>133483.73830529899</v>
      </c>
      <c r="AC153" s="230">
        <f t="shared" si="286"/>
        <v>133812.94521417544</v>
      </c>
      <c r="AD153" s="230">
        <f t="shared" si="286"/>
        <v>134142.96403610011</v>
      </c>
      <c r="AE153" s="230">
        <f t="shared" si="286"/>
        <v>134473.79677346957</v>
      </c>
      <c r="AF153" s="230">
        <f t="shared" si="286"/>
        <v>134805.44543361888</v>
      </c>
      <c r="AG153" s="230">
        <f t="shared" si="286"/>
        <v>135137.91202883376</v>
      </c>
      <c r="AH153" s="230">
        <f t="shared" si="286"/>
        <v>135471.19857636272</v>
      </c>
      <c r="AI153" s="230">
        <f t="shared" si="286"/>
        <v>135805.30709842936</v>
      </c>
      <c r="AJ153" s="230">
        <f t="shared" si="286"/>
        <v>136140.23962224464</v>
      </c>
      <c r="AK153" s="230">
        <f t="shared" si="286"/>
        <v>136475.99818001917</v>
      </c>
      <c r="AL153" s="230">
        <f t="shared" si="286"/>
        <v>136812.58480897552</v>
      </c>
      <c r="AM153" s="230">
        <f t="shared" si="286"/>
        <v>137150.00155136062</v>
      </c>
      <c r="AN153" s="230">
        <f t="shared" si="286"/>
        <v>137488.25045445815</v>
      </c>
      <c r="AO153" s="230">
        <f t="shared" si="286"/>
        <v>137827.33357060089</v>
      </c>
      <c r="AP153" s="230">
        <f t="shared" si="286"/>
        <v>138167.25295718329</v>
      </c>
      <c r="AQ153" s="230">
        <f t="shared" si="286"/>
        <v>138508.01067667382</v>
      </c>
      <c r="AR153" s="230">
        <f t="shared" si="286"/>
        <v>138849.60879662761</v>
      </c>
      <c r="AS153" s="230">
        <f t="shared" si="286"/>
        <v>139192.04938969892</v>
      </c>
      <c r="AT153" s="230">
        <f t="shared" si="286"/>
        <v>139535.33453365375</v>
      </c>
      <c r="AU153" s="230">
        <f t="shared" si="286"/>
        <v>139879.46631138239</v>
      </c>
      <c r="AV153" s="230">
        <f t="shared" si="286"/>
        <v>140224.44681091214</v>
      </c>
      <c r="AW153" s="230">
        <f t="shared" si="286"/>
        <v>140570.27812541989</v>
      </c>
      <c r="AX153" s="230">
        <f t="shared" si="286"/>
        <v>140916.96235324495</v>
      </c>
      <c r="AY153" s="230">
        <f t="shared" si="286"/>
        <v>141264.5015979016</v>
      </c>
      <c r="AZ153" s="230">
        <f t="shared" si="286"/>
        <v>141612.89796809206</v>
      </c>
      <c r="BA153" s="230">
        <f t="shared" si="286"/>
        <v>141962.15357771909</v>
      </c>
      <c r="BB153" s="230">
        <f t="shared" si="286"/>
        <v>142312.27054589894</v>
      </c>
      <c r="BC153" s="230">
        <f t="shared" si="286"/>
        <v>142663.25099697418</v>
      </c>
      <c r="BD153" s="230">
        <f t="shared" si="286"/>
        <v>143015.0970605266</v>
      </c>
      <c r="BE153" s="230">
        <f t="shared" si="286"/>
        <v>143367.81087139007</v>
      </c>
      <c r="BF153" s="230">
        <f t="shared" si="286"/>
        <v>143721.39456966353</v>
      </c>
      <c r="BG153" s="230">
        <f t="shared" si="286"/>
        <v>144075.85030072404</v>
      </c>
      <c r="BH153" s="230">
        <f t="shared" si="286"/>
        <v>144431.18021523967</v>
      </c>
      <c r="BI153" s="230">
        <f t="shared" si="286"/>
        <v>144787.38646918267</v>
      </c>
      <c r="BJ153" s="230">
        <f t="shared" si="286"/>
        <v>145144.47122384247</v>
      </c>
      <c r="BK153" s="230">
        <f t="shared" si="286"/>
        <v>145502.43664583884</v>
      </c>
      <c r="BL153" s="230">
        <f t="shared" si="286"/>
        <v>145861.28490713501</v>
      </c>
      <c r="BM153" s="230">
        <f t="shared" si="286"/>
        <v>146221.01818505084</v>
      </c>
      <c r="BN153" s="230">
        <f t="shared" si="286"/>
        <v>146581.63866227609</v>
      </c>
      <c r="BO153" s="230">
        <f t="shared" si="286"/>
        <v>146943.1485268836</v>
      </c>
      <c r="BP153" s="230">
        <f t="shared" si="286"/>
        <v>147305.54997234259</v>
      </c>
      <c r="BQ153" s="230">
        <f t="shared" si="286"/>
        <v>147668.84519753195</v>
      </c>
      <c r="BR153" s="230">
        <f t="shared" si="286"/>
        <v>148033.03640675361</v>
      </c>
      <c r="BS153" s="230">
        <f t="shared" si="287"/>
        <v>148398.12580974592</v>
      </c>
      <c r="BT153" s="230">
        <f t="shared" si="287"/>
        <v>148764.11562169701</v>
      </c>
      <c r="BU153" s="230">
        <f t="shared" si="287"/>
        <v>149131.00806325828</v>
      </c>
      <c r="BV153" s="230">
        <f t="shared" si="287"/>
        <v>149498.80536055786</v>
      </c>
      <c r="BW153" s="230">
        <f t="shared" si="287"/>
        <v>149867.50974521411</v>
      </c>
      <c r="BX153" s="230">
        <f t="shared" si="287"/>
        <v>150237.12345434914</v>
      </c>
      <c r="BY153" s="230">
        <f t="shared" si="287"/>
        <v>150607.64873060246</v>
      </c>
      <c r="BZ153" s="230">
        <f t="shared" si="287"/>
        <v>150979.08782214447</v>
      </c>
      <c r="CA153" s="230">
        <f t="shared" si="287"/>
        <v>151351.44298269021</v>
      </c>
      <c r="CB153" s="230">
        <f t="shared" si="287"/>
        <v>151724.71647151295</v>
      </c>
      <c r="CC153" s="230">
        <f t="shared" si="287"/>
        <v>152098.910553458</v>
      </c>
      <c r="CD153" s="230">
        <f t="shared" si="287"/>
        <v>152474.0274989563</v>
      </c>
      <c r="CE153" s="230">
        <f t="shared" si="287"/>
        <v>152850.06958403837</v>
      </c>
      <c r="CF153" s="230">
        <f t="shared" si="287"/>
        <v>153227.039090348</v>
      </c>
      <c r="CG153" s="230">
        <f t="shared" si="287"/>
        <v>153604.93830515613</v>
      </c>
      <c r="CH153" s="230">
        <f t="shared" si="287"/>
        <v>153983.76952137472</v>
      </c>
      <c r="CI153" s="230">
        <f t="shared" si="287"/>
        <v>154363.53503757066</v>
      </c>
      <c r="CJ153" s="230">
        <f t="shared" si="287"/>
        <v>154744.23715797978</v>
      </c>
      <c r="CK153" s="230">
        <f t="shared" si="287"/>
        <v>155125.8781925207</v>
      </c>
      <c r="CL153" s="230">
        <f t="shared" si="287"/>
        <v>155508.46045680897</v>
      </c>
      <c r="CM153" s="230">
        <f t="shared" si="287"/>
        <v>155891.98627217108</v>
      </c>
      <c r="CN153" s="230">
        <f t="shared" si="287"/>
        <v>156276.45796565851</v>
      </c>
      <c r="CO153" s="230">
        <f t="shared" si="287"/>
        <v>156661.8778700619</v>
      </c>
      <c r="CP153" s="230">
        <f t="shared" si="287"/>
        <v>157048.24832392516</v>
      </c>
      <c r="CQ153" s="230">
        <f t="shared" si="287"/>
        <v>157435.57167155971</v>
      </c>
      <c r="CR153" s="230">
        <f t="shared" si="287"/>
        <v>157823.85026305862</v>
      </c>
      <c r="CS153" s="230">
        <f t="shared" si="287"/>
        <v>158213.08645431098</v>
      </c>
      <c r="CT153" s="230">
        <f t="shared" si="287"/>
        <v>158603.28260701612</v>
      </c>
      <c r="CU153" s="230">
        <f t="shared" si="287"/>
        <v>158994.44108869796</v>
      </c>
      <c r="CV153" s="230">
        <f t="shared" si="287"/>
        <v>159386.56427271935</v>
      </c>
      <c r="CW153" s="230">
        <f t="shared" si="287"/>
        <v>159779.65453829648</v>
      </c>
      <c r="CX153" s="230">
        <f t="shared" si="287"/>
        <v>160173.71427051342</v>
      </c>
      <c r="CY153" s="230">
        <f t="shared" si="287"/>
        <v>160568.74586033641</v>
      </c>
      <c r="CZ153" s="230">
        <f t="shared" si="287"/>
        <v>160964.75170462846</v>
      </c>
      <c r="DA153" s="230">
        <f t="shared" si="287"/>
        <v>161361.73420616396</v>
      </c>
      <c r="DB153" s="230">
        <f t="shared" si="287"/>
        <v>161759.69577364312</v>
      </c>
      <c r="DC153" s="230">
        <f t="shared" si="287"/>
        <v>162158.6388217067</v>
      </c>
      <c r="DD153" s="230">
        <f t="shared" si="287"/>
        <v>162558.56577095058</v>
      </c>
      <c r="DE153" s="230">
        <f t="shared" si="287"/>
        <v>162959.47904794052</v>
      </c>
      <c r="DF153" s="230">
        <f t="shared" si="287"/>
        <v>163361.38108522681</v>
      </c>
      <c r="DG153" s="230">
        <f t="shared" si="287"/>
        <v>163764.27432135909</v>
      </c>
      <c r="DH153" s="230">
        <f t="shared" si="287"/>
        <v>164168.16120090112</v>
      </c>
      <c r="DI153" s="230">
        <f t="shared" si="287"/>
        <v>164573.04417444559</v>
      </c>
      <c r="DJ153" s="230">
        <f t="shared" si="287"/>
        <v>164978.92569862903</v>
      </c>
      <c r="DK153" s="230">
        <f t="shared" si="287"/>
        <v>165385.80823614669</v>
      </c>
      <c r="DL153" s="230">
        <f t="shared" si="287"/>
        <v>165793.69425576751</v>
      </c>
      <c r="DM153" s="230">
        <f t="shared" si="287"/>
        <v>166202.58623234907</v>
      </c>
      <c r="DN153" s="230">
        <f t="shared" si="287"/>
        <v>166612.4866468526</v>
      </c>
      <c r="DO153" s="230">
        <f t="shared" si="287"/>
        <v>167023.39798635809</v>
      </c>
      <c r="DP153" s="230">
        <f t="shared" si="287"/>
        <v>167435.32274407928</v>
      </c>
      <c r="DQ153" s="230">
        <f t="shared" si="287"/>
        <v>167848.26341937893</v>
      </c>
      <c r="DR153" s="230">
        <f t="shared" si="287"/>
        <v>168262.22251778381</v>
      </c>
      <c r="DS153" s="230">
        <f t="shared" si="287"/>
        <v>168677.20255100005</v>
      </c>
      <c r="DT153" s="230">
        <f t="shared" si="287"/>
        <v>169093.20603692834</v>
      </c>
      <c r="DU153" s="230">
        <f t="shared" si="287"/>
        <v>169510.23549967914</v>
      </c>
      <c r="DV153" s="230">
        <f t="shared" si="287"/>
        <v>169928.29346958807</v>
      </c>
      <c r="DW153" s="230">
        <f t="shared" si="287"/>
        <v>170347.38248323125</v>
      </c>
      <c r="DX153" s="230">
        <f t="shared" si="287"/>
        <v>170767.50508344069</v>
      </c>
      <c r="DY153" s="230">
        <f t="shared" si="287"/>
        <v>171188.66381931968</v>
      </c>
      <c r="DZ153" s="230">
        <f t="shared" si="287"/>
        <v>171610.86124625834</v>
      </c>
      <c r="EA153" s="230">
        <f t="shared" si="287"/>
        <v>172034.09992594898</v>
      </c>
      <c r="EB153" s="230">
        <f t="shared" si="287"/>
        <v>172458.3824264018</v>
      </c>
      <c r="EC153" s="230">
        <f t="shared" si="287"/>
        <v>172883.71132196044</v>
      </c>
      <c r="ED153" s="230">
        <f t="shared" si="287"/>
        <v>173310.08919331746</v>
      </c>
      <c r="EE153" s="230">
        <f t="shared" si="288"/>
        <v>173737.5186275302</v>
      </c>
      <c r="EF153" s="230">
        <f>EF$135*EE153</f>
        <v>174166.00221803633</v>
      </c>
      <c r="EG153" s="230">
        <f>EG$135*EF153</f>
        <v>174595.54256466965</v>
      </c>
      <c r="EH153" s="230">
        <f>EH$135*EG153</f>
        <v>175026.14227367585</v>
      </c>
      <c r="EK153" s="672"/>
    </row>
    <row r="154" spans="1:141" ht="15" hidden="1" thickTop="1" x14ac:dyDescent="0.3">
      <c r="A154" s="684" t="s">
        <v>2440</v>
      </c>
      <c r="B154" s="200"/>
      <c r="C154" s="200"/>
      <c r="D154" s="200"/>
      <c r="E154" s="230"/>
      <c r="F154" s="230">
        <f>F152/12</f>
        <v>10536.884094958667</v>
      </c>
      <c r="G154" s="647">
        <f t="shared" ref="G154:AL154" si="289">IF(AND(MONTH(G$6)=1,G$6&lt;=DateDisposition),G152/12,
IF(AND(G$5=MonthDisposition+1,MONTH(G$6)&lt;&gt;1),LOOKUP(EDATE(G$6,-(MONTH(G$6)-1)),$6:$6,153:153)/12,
IF(AND(MONTH(G$6)=1,G$5&gt;=MonthDisposition+1),G153/12,F154)))</f>
        <v>10536.884094958667</v>
      </c>
      <c r="H154" s="647">
        <f t="shared" si="289"/>
        <v>10536.884094958667</v>
      </c>
      <c r="I154" s="647">
        <f t="shared" si="289"/>
        <v>10536.884094958667</v>
      </c>
      <c r="J154" s="647">
        <f t="shared" si="289"/>
        <v>10641.216465293806</v>
      </c>
      <c r="K154" s="647">
        <f t="shared" si="289"/>
        <v>10641.216465293806</v>
      </c>
      <c r="L154" s="647">
        <f t="shared" si="289"/>
        <v>10641.216465293806</v>
      </c>
      <c r="M154" s="647">
        <f t="shared" si="289"/>
        <v>10641.216465293806</v>
      </c>
      <c r="N154" s="647">
        <f t="shared" si="289"/>
        <v>10641.216465293806</v>
      </c>
      <c r="O154" s="647">
        <f t="shared" si="289"/>
        <v>10641.216465293806</v>
      </c>
      <c r="P154" s="647">
        <f t="shared" si="289"/>
        <v>10641.216465293806</v>
      </c>
      <c r="Q154" s="647">
        <f t="shared" si="289"/>
        <v>10641.216465293806</v>
      </c>
      <c r="R154" s="647">
        <f t="shared" si="289"/>
        <v>10641.216465293806</v>
      </c>
      <c r="S154" s="647">
        <f t="shared" si="289"/>
        <v>10641.216465293806</v>
      </c>
      <c r="T154" s="647">
        <f t="shared" si="289"/>
        <v>10641.216465293806</v>
      </c>
      <c r="U154" s="647">
        <f t="shared" si="289"/>
        <v>10641.216465293806</v>
      </c>
      <c r="V154" s="647">
        <f t="shared" si="289"/>
        <v>10960.452959252632</v>
      </c>
      <c r="W154" s="647">
        <f t="shared" si="289"/>
        <v>10960.452959252632</v>
      </c>
      <c r="X154" s="647">
        <f t="shared" si="289"/>
        <v>10960.452959252632</v>
      </c>
      <c r="Y154" s="647">
        <f t="shared" si="289"/>
        <v>10960.452959252632</v>
      </c>
      <c r="Z154" s="647">
        <f t="shared" si="289"/>
        <v>10960.452959252632</v>
      </c>
      <c r="AA154" s="647">
        <f t="shared" si="289"/>
        <v>10960.452959252632</v>
      </c>
      <c r="AB154" s="647">
        <f t="shared" si="289"/>
        <v>10960.452959252632</v>
      </c>
      <c r="AC154" s="647">
        <f t="shared" si="289"/>
        <v>10960.452959252632</v>
      </c>
      <c r="AD154" s="647">
        <f t="shared" si="289"/>
        <v>10960.452959252632</v>
      </c>
      <c r="AE154" s="647">
        <f t="shared" si="289"/>
        <v>10960.452959252632</v>
      </c>
      <c r="AF154" s="647">
        <f t="shared" si="289"/>
        <v>10960.452959252632</v>
      </c>
      <c r="AG154" s="647">
        <f t="shared" si="289"/>
        <v>10960.452959252632</v>
      </c>
      <c r="AH154" s="647">
        <f t="shared" si="289"/>
        <v>11289.266548030226</v>
      </c>
      <c r="AI154" s="647">
        <f t="shared" si="289"/>
        <v>11289.266548030226</v>
      </c>
      <c r="AJ154" s="647">
        <f t="shared" si="289"/>
        <v>11289.266548030226</v>
      </c>
      <c r="AK154" s="647">
        <f t="shared" si="289"/>
        <v>11289.266548030226</v>
      </c>
      <c r="AL154" s="647">
        <f t="shared" si="289"/>
        <v>11289.266548030226</v>
      </c>
      <c r="AM154" s="647">
        <f t="shared" ref="AM154:BR154" si="290">IF(AND(MONTH(AM$6)=1,AM$6&lt;=DateDisposition),AM152/12,
IF(AND(AM$5=MonthDisposition+1,MONTH(AM$6)&lt;&gt;1),LOOKUP(EDATE(AM$6,-(MONTH(AM$6)-1)),$6:$6,153:153)/12,
IF(AND(MONTH(AM$6)=1,AM$5&gt;=MonthDisposition+1),AM153/12,AL154)))</f>
        <v>11289.266548030226</v>
      </c>
      <c r="AN154" s="647">
        <f t="shared" si="290"/>
        <v>11289.266548030226</v>
      </c>
      <c r="AO154" s="647">
        <f t="shared" si="290"/>
        <v>11289.266548030226</v>
      </c>
      <c r="AP154" s="647">
        <f t="shared" si="290"/>
        <v>11289.266548030226</v>
      </c>
      <c r="AQ154" s="647">
        <f t="shared" si="290"/>
        <v>11289.266548030226</v>
      </c>
      <c r="AR154" s="647">
        <f t="shared" si="290"/>
        <v>11289.266548030226</v>
      </c>
      <c r="AS154" s="647">
        <f t="shared" si="290"/>
        <v>11289.266548030226</v>
      </c>
      <c r="AT154" s="647">
        <f t="shared" si="290"/>
        <v>11627.944544471145</v>
      </c>
      <c r="AU154" s="647">
        <f t="shared" si="290"/>
        <v>11627.944544471145</v>
      </c>
      <c r="AV154" s="647">
        <f t="shared" si="290"/>
        <v>11627.944544471145</v>
      </c>
      <c r="AW154" s="647">
        <f t="shared" si="290"/>
        <v>11627.944544471145</v>
      </c>
      <c r="AX154" s="647">
        <f t="shared" si="290"/>
        <v>11627.944544471145</v>
      </c>
      <c r="AY154" s="647">
        <f t="shared" si="290"/>
        <v>11627.944544471145</v>
      </c>
      <c r="AZ154" s="647">
        <f t="shared" si="290"/>
        <v>11627.944544471145</v>
      </c>
      <c r="BA154" s="647">
        <f t="shared" si="290"/>
        <v>11627.944544471145</v>
      </c>
      <c r="BB154" s="647">
        <f t="shared" si="290"/>
        <v>11627.944544471145</v>
      </c>
      <c r="BC154" s="647">
        <f t="shared" si="290"/>
        <v>11627.944544471145</v>
      </c>
      <c r="BD154" s="647">
        <f t="shared" si="290"/>
        <v>11627.944544471145</v>
      </c>
      <c r="BE154" s="647">
        <f t="shared" si="290"/>
        <v>11627.944544471145</v>
      </c>
      <c r="BF154" s="647">
        <f t="shared" si="290"/>
        <v>11976.782880805295</v>
      </c>
      <c r="BG154" s="647">
        <f t="shared" si="290"/>
        <v>11976.782880805295</v>
      </c>
      <c r="BH154" s="647">
        <f t="shared" si="290"/>
        <v>11976.782880805295</v>
      </c>
      <c r="BI154" s="647">
        <f t="shared" si="290"/>
        <v>11976.782880805295</v>
      </c>
      <c r="BJ154" s="647">
        <f t="shared" si="290"/>
        <v>11976.782880805295</v>
      </c>
      <c r="BK154" s="647">
        <f t="shared" si="290"/>
        <v>11976.782880805295</v>
      </c>
      <c r="BL154" s="647">
        <f t="shared" si="290"/>
        <v>11976.782880805295</v>
      </c>
      <c r="BM154" s="647">
        <f t="shared" si="290"/>
        <v>11976.782880805295</v>
      </c>
      <c r="BN154" s="647">
        <f t="shared" si="290"/>
        <v>11976.782880805295</v>
      </c>
      <c r="BO154" s="647">
        <f t="shared" si="290"/>
        <v>11976.782880805295</v>
      </c>
      <c r="BP154" s="647">
        <f t="shared" si="290"/>
        <v>11976.782880805295</v>
      </c>
      <c r="BQ154" s="647">
        <f t="shared" si="290"/>
        <v>11976.782880805295</v>
      </c>
      <c r="BR154" s="647">
        <f t="shared" si="290"/>
        <v>12336.086367229467</v>
      </c>
      <c r="BS154" s="647">
        <f t="shared" ref="BS154:CX154" si="291">IF(AND(MONTH(BS$6)=1,BS$6&lt;=DateDisposition),BS152/12,
IF(AND(BS$5=MonthDisposition+1,MONTH(BS$6)&lt;&gt;1),LOOKUP(EDATE(BS$6,-(MONTH(BS$6)-1)),$6:$6,153:153)/12,
IF(AND(MONTH(BS$6)=1,BS$5&gt;=MonthDisposition+1),BS153/12,BR154)))</f>
        <v>12336.086367229467</v>
      </c>
      <c r="BT154" s="647">
        <f t="shared" si="291"/>
        <v>12336.086367229467</v>
      </c>
      <c r="BU154" s="647">
        <f t="shared" si="291"/>
        <v>12336.086367229467</v>
      </c>
      <c r="BV154" s="647">
        <f t="shared" si="291"/>
        <v>12336.086367229467</v>
      </c>
      <c r="BW154" s="647">
        <f t="shared" si="291"/>
        <v>12336.086367229467</v>
      </c>
      <c r="BX154" s="647">
        <f t="shared" si="291"/>
        <v>12336.086367229467</v>
      </c>
      <c r="BY154" s="647">
        <f t="shared" si="291"/>
        <v>12336.086367229467</v>
      </c>
      <c r="BZ154" s="647">
        <f t="shared" si="291"/>
        <v>12336.086367229467</v>
      </c>
      <c r="CA154" s="647">
        <f t="shared" si="291"/>
        <v>12336.086367229467</v>
      </c>
      <c r="CB154" s="647">
        <f t="shared" si="291"/>
        <v>12336.086367229467</v>
      </c>
      <c r="CC154" s="647">
        <f t="shared" si="291"/>
        <v>12336.086367229467</v>
      </c>
      <c r="CD154" s="647">
        <f t="shared" si="291"/>
        <v>12706.168958246359</v>
      </c>
      <c r="CE154" s="647">
        <f t="shared" si="291"/>
        <v>12706.168958246359</v>
      </c>
      <c r="CF154" s="647">
        <f t="shared" si="291"/>
        <v>12706.168958246359</v>
      </c>
      <c r="CG154" s="647">
        <f t="shared" si="291"/>
        <v>12706.168958246359</v>
      </c>
      <c r="CH154" s="647">
        <f t="shared" si="291"/>
        <v>12706.168958246359</v>
      </c>
      <c r="CI154" s="647">
        <f t="shared" si="291"/>
        <v>12706.168958246359</v>
      </c>
      <c r="CJ154" s="647">
        <f t="shared" si="291"/>
        <v>12706.168958246359</v>
      </c>
      <c r="CK154" s="647">
        <f t="shared" si="291"/>
        <v>12706.168958246359</v>
      </c>
      <c r="CL154" s="647">
        <f t="shared" si="291"/>
        <v>12706.168958246359</v>
      </c>
      <c r="CM154" s="647">
        <f t="shared" si="291"/>
        <v>12706.168958246359</v>
      </c>
      <c r="CN154" s="647">
        <f t="shared" si="291"/>
        <v>12706.168958246359</v>
      </c>
      <c r="CO154" s="647">
        <f t="shared" si="291"/>
        <v>12706.168958246359</v>
      </c>
      <c r="CP154" s="647">
        <f t="shared" si="291"/>
        <v>13087.354026993764</v>
      </c>
      <c r="CQ154" s="647">
        <f t="shared" si="291"/>
        <v>13087.354026993764</v>
      </c>
      <c r="CR154" s="647">
        <f t="shared" si="291"/>
        <v>13087.354026993764</v>
      </c>
      <c r="CS154" s="647">
        <f t="shared" si="291"/>
        <v>13087.354026993764</v>
      </c>
      <c r="CT154" s="647">
        <f t="shared" si="291"/>
        <v>13087.354026993764</v>
      </c>
      <c r="CU154" s="647">
        <f t="shared" si="291"/>
        <v>13087.354026993764</v>
      </c>
      <c r="CV154" s="647">
        <f t="shared" si="291"/>
        <v>13087.354026993764</v>
      </c>
      <c r="CW154" s="647">
        <f t="shared" si="291"/>
        <v>13087.354026993764</v>
      </c>
      <c r="CX154" s="647">
        <f t="shared" si="291"/>
        <v>13087.354026993764</v>
      </c>
      <c r="CY154" s="647">
        <f t="shared" ref="CY154:ED154" si="292">IF(AND(MONTH(CY$6)=1,CY$6&lt;=DateDisposition),CY152/12,
IF(AND(CY$5=MonthDisposition+1,MONTH(CY$6)&lt;&gt;1),LOOKUP(EDATE(CY$6,-(MONTH(CY$6)-1)),$6:$6,153:153)/12,
IF(AND(MONTH(CY$6)=1,CY$5&gt;=MonthDisposition+1),CY153/12,CX154)))</f>
        <v>13087.354026993764</v>
      </c>
      <c r="CZ154" s="647">
        <f t="shared" si="292"/>
        <v>13087.354026993764</v>
      </c>
      <c r="DA154" s="647">
        <f t="shared" si="292"/>
        <v>13087.354026993764</v>
      </c>
      <c r="DB154" s="647">
        <f t="shared" si="292"/>
        <v>13479.974647803594</v>
      </c>
      <c r="DC154" s="647">
        <f t="shared" si="292"/>
        <v>13479.974647803594</v>
      </c>
      <c r="DD154" s="647">
        <f t="shared" si="292"/>
        <v>13479.974647803594</v>
      </c>
      <c r="DE154" s="647">
        <f t="shared" si="292"/>
        <v>13479.974647803594</v>
      </c>
      <c r="DF154" s="647">
        <f t="shared" si="292"/>
        <v>13479.974647803594</v>
      </c>
      <c r="DG154" s="647">
        <f t="shared" si="292"/>
        <v>13479.974647803594</v>
      </c>
      <c r="DH154" s="647">
        <f t="shared" si="292"/>
        <v>13479.974647803594</v>
      </c>
      <c r="DI154" s="647">
        <f t="shared" si="292"/>
        <v>13479.974647803594</v>
      </c>
      <c r="DJ154" s="647">
        <f t="shared" si="292"/>
        <v>13479.974647803594</v>
      </c>
      <c r="DK154" s="647">
        <f t="shared" si="292"/>
        <v>13479.974647803594</v>
      </c>
      <c r="DL154" s="647">
        <f t="shared" si="292"/>
        <v>13479.974647803594</v>
      </c>
      <c r="DM154" s="647">
        <f t="shared" si="292"/>
        <v>13479.974647803594</v>
      </c>
      <c r="DN154" s="647">
        <f t="shared" si="292"/>
        <v>13884.373887237716</v>
      </c>
      <c r="DO154" s="647">
        <f t="shared" si="292"/>
        <v>13884.373887237716</v>
      </c>
      <c r="DP154" s="647">
        <f t="shared" si="292"/>
        <v>13884.373887237716</v>
      </c>
      <c r="DQ154" s="647">
        <f t="shared" si="292"/>
        <v>13884.373887237716</v>
      </c>
      <c r="DR154" s="647">
        <f t="shared" si="292"/>
        <v>13884.373887237716</v>
      </c>
      <c r="DS154" s="647">
        <f t="shared" si="292"/>
        <v>13884.373887237716</v>
      </c>
      <c r="DT154" s="647">
        <f t="shared" si="292"/>
        <v>13884.373887237716</v>
      </c>
      <c r="DU154" s="647">
        <f t="shared" si="292"/>
        <v>13884.373887237716</v>
      </c>
      <c r="DV154" s="647">
        <f t="shared" si="292"/>
        <v>13884.373887237716</v>
      </c>
      <c r="DW154" s="647">
        <f t="shared" si="292"/>
        <v>13884.373887237716</v>
      </c>
      <c r="DX154" s="647">
        <f t="shared" si="292"/>
        <v>13884.373887237716</v>
      </c>
      <c r="DY154" s="647">
        <f t="shared" si="292"/>
        <v>13884.373887237716</v>
      </c>
      <c r="DZ154" s="647">
        <f t="shared" si="292"/>
        <v>14300.905103854862</v>
      </c>
      <c r="EA154" s="647">
        <f t="shared" si="292"/>
        <v>14300.905103854862</v>
      </c>
      <c r="EB154" s="647">
        <f t="shared" si="292"/>
        <v>14300.905103854862</v>
      </c>
      <c r="EC154" s="647">
        <f t="shared" si="292"/>
        <v>14300.905103854862</v>
      </c>
      <c r="ED154" s="647">
        <f t="shared" si="292"/>
        <v>14300.905103854862</v>
      </c>
      <c r="EE154" s="647">
        <f>IF(AND(MONTH(EE$6)=1,EE$6&lt;=DateDisposition),EE152/12,
IF(AND(EE$5=MonthDisposition+1,MONTH(EE$6)&lt;&gt;1),LOOKUP(EDATE(EE$6,-(MONTH(EE$6)-1)),$6:$6,153:153)/12,
IF(AND(MONTH(EE$6)=1,EE$5&gt;=MonthDisposition+1),EE153/12,ED154)))</f>
        <v>14300.905103854862</v>
      </c>
      <c r="EF154" s="647">
        <f>IF(AND(MONTH(EF$6)=1,EF$6&lt;=DateDisposition),EF152/12,
IF(AND(EF$5=MonthDisposition+1,MONTH(EF$6)&lt;&gt;1),LOOKUP(EDATE(EF$6,-(MONTH(EF$6)-1)),$6:$6,153:153)/12,
IF(AND(MONTH(EF$6)=1,EF$5&gt;=MonthDisposition+1),EF153/12,EE154)))</f>
        <v>14300.905103854862</v>
      </c>
      <c r="EG154" s="647">
        <f>IF(AND(MONTH(EG$6)=1,EG$6&lt;=DateDisposition),EG152/12,
IF(AND(EG$5=MonthDisposition+1,MONTH(EG$6)&lt;&gt;1),LOOKUP(EDATE(EG$6,-(MONTH(EG$6)-1)),$6:$6,153:153)/12,
IF(AND(MONTH(EG$6)=1,EG$5&gt;=MonthDisposition+1),EG153/12,EF154)))</f>
        <v>14300.905103854862</v>
      </c>
      <c r="EH154" s="647">
        <f>IF(AND(MONTH(EH$6)=1,EH$6&lt;=DateDisposition),EH152/12,
IF(AND(EH$5=MonthDisposition+1,MONTH(EH$6)&lt;&gt;1),LOOKUP(EDATE(EH$6,-(MONTH(EH$6)-1)),$6:$6,153:153)/12,
IF(AND(MONTH(EH$6)=1,EH$5&gt;=MonthDisposition+1),EH153/12,EG154)))</f>
        <v>14300.905103854862</v>
      </c>
      <c r="EK154" s="280"/>
    </row>
    <row r="155" spans="1:141" ht="15" hidden="1" thickTop="1" x14ac:dyDescent="0.3">
      <c r="A155" s="691" t="s">
        <v>2441</v>
      </c>
      <c r="B155" s="200"/>
      <c r="C155" s="200"/>
      <c r="D155" s="200"/>
      <c r="E155" s="230"/>
      <c r="F155" s="230"/>
      <c r="G155" s="230"/>
      <c r="H155" s="230"/>
      <c r="I155" s="230"/>
      <c r="J155" s="230"/>
      <c r="K155" s="230"/>
      <c r="L155" s="230"/>
      <c r="M155" s="230"/>
      <c r="N155" s="230"/>
      <c r="O155" s="230"/>
      <c r="P155" s="230"/>
      <c r="Q155" s="230"/>
      <c r="R155" s="230"/>
      <c r="S155" s="230"/>
      <c r="T155" s="230"/>
      <c r="U155" s="230"/>
      <c r="V155" s="230"/>
      <c r="W155" s="230"/>
      <c r="X155" s="230"/>
      <c r="Y155" s="230"/>
      <c r="Z155" s="230"/>
      <c r="AA155" s="230"/>
      <c r="AB155" s="230"/>
      <c r="AC155" s="230"/>
      <c r="AD155" s="230"/>
      <c r="AE155" s="230"/>
      <c r="AF155" s="230"/>
      <c r="AG155" s="230"/>
      <c r="AH155" s="230"/>
      <c r="AI155" s="230"/>
      <c r="AJ155" s="230"/>
      <c r="AK155" s="230"/>
      <c r="AL155" s="230"/>
      <c r="AM155" s="230"/>
      <c r="AN155" s="230"/>
      <c r="AO155" s="230"/>
      <c r="AP155" s="230"/>
      <c r="AQ155" s="230"/>
      <c r="AR155" s="230"/>
      <c r="AS155" s="230"/>
      <c r="AT155" s="230"/>
      <c r="AU155" s="230"/>
      <c r="AV155" s="230"/>
      <c r="AW155" s="230"/>
      <c r="AX155" s="230"/>
      <c r="AY155" s="230"/>
      <c r="AZ155" s="230"/>
      <c r="BA155" s="230"/>
      <c r="BB155" s="230"/>
      <c r="BC155" s="230"/>
      <c r="BD155" s="230"/>
      <c r="BE155" s="230"/>
      <c r="BF155" s="230"/>
      <c r="BG155" s="230"/>
      <c r="BH155" s="230"/>
      <c r="BI155" s="230"/>
      <c r="BJ155" s="230"/>
      <c r="BK155" s="230"/>
      <c r="BL155" s="230"/>
      <c r="BM155" s="230"/>
      <c r="BN155" s="230"/>
      <c r="BO155" s="230"/>
      <c r="BP155" s="230"/>
      <c r="BQ155" s="230"/>
      <c r="BR155" s="230"/>
      <c r="BS155" s="230"/>
      <c r="BT155" s="230"/>
      <c r="BU155" s="230"/>
      <c r="BV155" s="230"/>
      <c r="BW155" s="230"/>
      <c r="BX155" s="230"/>
      <c r="BY155" s="230"/>
      <c r="BZ155" s="230"/>
      <c r="CA155" s="230"/>
      <c r="CB155" s="230"/>
      <c r="CC155" s="230"/>
      <c r="CD155" s="230"/>
      <c r="CE155" s="230"/>
      <c r="CF155" s="230"/>
      <c r="CG155" s="230"/>
      <c r="CH155" s="230"/>
      <c r="CI155" s="230"/>
      <c r="CJ155" s="230"/>
      <c r="CK155" s="230"/>
      <c r="CL155" s="230"/>
      <c r="CM155" s="230"/>
      <c r="CN155" s="230"/>
      <c r="CO155" s="230"/>
      <c r="CP155" s="230"/>
      <c r="CQ155" s="230"/>
      <c r="CR155" s="230"/>
      <c r="CS155" s="230"/>
      <c r="CT155" s="230"/>
      <c r="CU155" s="230"/>
      <c r="CV155" s="230"/>
      <c r="CW155" s="230"/>
      <c r="CX155" s="230"/>
      <c r="CY155" s="230"/>
      <c r="CZ155" s="230"/>
      <c r="DA155" s="230"/>
      <c r="DB155" s="230"/>
      <c r="DC155" s="230"/>
      <c r="DD155" s="230"/>
      <c r="DE155" s="230"/>
      <c r="DF155" s="230"/>
      <c r="DG155" s="230"/>
      <c r="DH155" s="230"/>
      <c r="DI155" s="230"/>
      <c r="DJ155" s="230"/>
      <c r="DK155" s="230"/>
      <c r="DL155" s="230"/>
      <c r="DM155" s="230"/>
      <c r="DN155" s="230"/>
      <c r="DO155" s="230"/>
      <c r="DP155" s="230"/>
      <c r="DQ155" s="230"/>
      <c r="DR155" s="230"/>
      <c r="DS155" s="230"/>
      <c r="DT155" s="230"/>
      <c r="DU155" s="230"/>
      <c r="DV155" s="230"/>
      <c r="DW155" s="230"/>
      <c r="DX155" s="230"/>
      <c r="DY155" s="230"/>
      <c r="DZ155" s="230"/>
      <c r="EA155" s="230"/>
      <c r="EB155" s="230"/>
      <c r="EC155" s="230"/>
      <c r="ED155" s="230"/>
      <c r="EE155" s="230"/>
      <c r="EF155" s="230"/>
      <c r="EG155" s="230"/>
      <c r="EH155" s="230"/>
      <c r="EK155" s="672"/>
    </row>
    <row r="156" spans="1:141" ht="15" hidden="1" thickTop="1" x14ac:dyDescent="0.3">
      <c r="A156" s="684" t="s">
        <v>2442</v>
      </c>
      <c r="B156" s="200"/>
      <c r="C156" s="200"/>
      <c r="D156" s="200"/>
      <c r="E156" s="230"/>
      <c r="F156" s="230">
        <f>Utilities</f>
        <v>328325.76658913225</v>
      </c>
      <c r="G156" s="230">
        <f t="shared" ref="G156:BR157" si="293">G$135*F156</f>
        <v>329135.50650273944</v>
      </c>
      <c r="H156" s="230">
        <f t="shared" si="293"/>
        <v>329947.24345341901</v>
      </c>
      <c r="I156" s="230">
        <f t="shared" si="293"/>
        <v>330760.9823664031</v>
      </c>
      <c r="J156" s="230">
        <f t="shared" si="293"/>
        <v>331576.72817907081</v>
      </c>
      <c r="K156" s="230">
        <f t="shared" si="293"/>
        <v>332394.48584097822</v>
      </c>
      <c r="L156" s="230">
        <f t="shared" si="293"/>
        <v>333214.26031388826</v>
      </c>
      <c r="M156" s="230">
        <f t="shared" si="293"/>
        <v>334036.0565718009</v>
      </c>
      <c r="N156" s="230">
        <f t="shared" si="293"/>
        <v>334859.87960098346</v>
      </c>
      <c r="O156" s="230">
        <f t="shared" si="293"/>
        <v>335685.7344000006</v>
      </c>
      <c r="P156" s="230">
        <f t="shared" si="293"/>
        <v>336513.62597974489</v>
      </c>
      <c r="Q156" s="230">
        <f t="shared" si="293"/>
        <v>337343.55936346704</v>
      </c>
      <c r="R156" s="230">
        <f t="shared" si="293"/>
        <v>338175.5395868065</v>
      </c>
      <c r="S156" s="230">
        <f t="shared" si="293"/>
        <v>339009.5716978219</v>
      </c>
      <c r="T156" s="230">
        <f t="shared" si="293"/>
        <v>339845.66075702186</v>
      </c>
      <c r="U156" s="230">
        <f t="shared" si="293"/>
        <v>340683.81183739548</v>
      </c>
      <c r="V156" s="230">
        <f t="shared" si="293"/>
        <v>341524.03002444323</v>
      </c>
      <c r="W156" s="230">
        <f t="shared" si="293"/>
        <v>342366.32041620783</v>
      </c>
      <c r="X156" s="230">
        <f t="shared" si="293"/>
        <v>343210.68812330515</v>
      </c>
      <c r="Y156" s="230">
        <f t="shared" si="293"/>
        <v>344057.13826895523</v>
      </c>
      <c r="Z156" s="230">
        <f t="shared" si="293"/>
        <v>344905.67598901328</v>
      </c>
      <c r="AA156" s="230">
        <f t="shared" si="293"/>
        <v>345756.30643200094</v>
      </c>
      <c r="AB156" s="230">
        <f t="shared" si="293"/>
        <v>346609.03475913755</v>
      </c>
      <c r="AC156" s="230">
        <f t="shared" si="293"/>
        <v>347463.86614437139</v>
      </c>
      <c r="AD156" s="230">
        <f t="shared" si="293"/>
        <v>348320.80577441101</v>
      </c>
      <c r="AE156" s="230">
        <f t="shared" si="293"/>
        <v>349179.85884875688</v>
      </c>
      <c r="AF156" s="230">
        <f t="shared" si="293"/>
        <v>350041.03057973285</v>
      </c>
      <c r="AG156" s="230">
        <f t="shared" si="293"/>
        <v>350904.32619251765</v>
      </c>
      <c r="AH156" s="230">
        <f t="shared" si="293"/>
        <v>351769.75092517684</v>
      </c>
      <c r="AI156" s="230">
        <f t="shared" si="293"/>
        <v>352637.3100286944</v>
      </c>
      <c r="AJ156" s="230">
        <f t="shared" si="293"/>
        <v>353507.00876700465</v>
      </c>
      <c r="AK156" s="230">
        <f t="shared" si="293"/>
        <v>354378.8524170242</v>
      </c>
      <c r="AL156" s="230">
        <f t="shared" si="293"/>
        <v>355252.84626868396</v>
      </c>
      <c r="AM156" s="230">
        <f t="shared" si="293"/>
        <v>356128.99562496127</v>
      </c>
      <c r="AN156" s="230">
        <f t="shared" si="293"/>
        <v>357007.30580191198</v>
      </c>
      <c r="AO156" s="230">
        <f t="shared" si="293"/>
        <v>357887.78212870279</v>
      </c>
      <c r="AP156" s="230">
        <f t="shared" si="293"/>
        <v>358770.4299476436</v>
      </c>
      <c r="AQ156" s="230">
        <f t="shared" si="293"/>
        <v>359655.25461421988</v>
      </c>
      <c r="AR156" s="230">
        <f t="shared" si="293"/>
        <v>360542.26149712515</v>
      </c>
      <c r="AS156" s="230">
        <f t="shared" si="293"/>
        <v>361431.4559782935</v>
      </c>
      <c r="AT156" s="230">
        <f t="shared" si="293"/>
        <v>362322.84345293249</v>
      </c>
      <c r="AU156" s="230">
        <f t="shared" si="293"/>
        <v>363216.4293295556</v>
      </c>
      <c r="AV156" s="230">
        <f t="shared" si="293"/>
        <v>364112.21903001517</v>
      </c>
      <c r="AW156" s="230">
        <f t="shared" si="293"/>
        <v>365010.2179895353</v>
      </c>
      <c r="AX156" s="230">
        <f t="shared" si="293"/>
        <v>365910.43165674485</v>
      </c>
      <c r="AY156" s="230">
        <f t="shared" si="293"/>
        <v>366812.8654937105</v>
      </c>
      <c r="AZ156" s="230">
        <f t="shared" si="293"/>
        <v>367717.52497596975</v>
      </c>
      <c r="BA156" s="230">
        <f t="shared" si="293"/>
        <v>368624.41559256433</v>
      </c>
      <c r="BB156" s="230">
        <f t="shared" si="293"/>
        <v>369533.5428460734</v>
      </c>
      <c r="BC156" s="230">
        <f t="shared" si="293"/>
        <v>370444.91225264693</v>
      </c>
      <c r="BD156" s="230">
        <f t="shared" si="293"/>
        <v>371358.52934203931</v>
      </c>
      <c r="BE156" s="230">
        <f t="shared" si="293"/>
        <v>372274.39965764276</v>
      </c>
      <c r="BF156" s="230">
        <f t="shared" si="293"/>
        <v>373192.52875652089</v>
      </c>
      <c r="BG156" s="230">
        <f t="shared" si="293"/>
        <v>374112.92220944265</v>
      </c>
      <c r="BH156" s="230">
        <f t="shared" si="293"/>
        <v>375035.58560091601</v>
      </c>
      <c r="BI156" s="230">
        <f t="shared" si="293"/>
        <v>375960.52452922176</v>
      </c>
      <c r="BJ156" s="230">
        <f t="shared" si="293"/>
        <v>376887.74460644764</v>
      </c>
      <c r="BK156" s="230">
        <f t="shared" si="293"/>
        <v>377817.25145852222</v>
      </c>
      <c r="BL156" s="230">
        <f t="shared" si="293"/>
        <v>378749.05072524922</v>
      </c>
      <c r="BM156" s="230">
        <f t="shared" si="293"/>
        <v>379683.1480603416</v>
      </c>
      <c r="BN156" s="230">
        <f t="shared" si="293"/>
        <v>380619.54913145595</v>
      </c>
      <c r="BO156" s="230">
        <f t="shared" si="293"/>
        <v>381558.25962022669</v>
      </c>
      <c r="BP156" s="230">
        <f t="shared" si="293"/>
        <v>382499.28522230085</v>
      </c>
      <c r="BQ156" s="230">
        <f t="shared" si="293"/>
        <v>383442.63164737239</v>
      </c>
      <c r="BR156" s="230">
        <f t="shared" si="293"/>
        <v>384388.30461921688</v>
      </c>
      <c r="BS156" s="230">
        <f t="shared" ref="BS156:ED157" si="294">BS$135*BR156</f>
        <v>385336.30987572629</v>
      </c>
      <c r="BT156" s="230">
        <f t="shared" si="294"/>
        <v>386286.65316894383</v>
      </c>
      <c r="BU156" s="230">
        <f t="shared" si="294"/>
        <v>387239.34026509873</v>
      </c>
      <c r="BV156" s="230">
        <f t="shared" si="294"/>
        <v>388194.37694464135</v>
      </c>
      <c r="BW156" s="230">
        <f t="shared" si="294"/>
        <v>389151.76900227816</v>
      </c>
      <c r="BX156" s="230">
        <f t="shared" si="294"/>
        <v>390111.522247007</v>
      </c>
      <c r="BY156" s="230">
        <f t="shared" si="294"/>
        <v>391073.64250215219</v>
      </c>
      <c r="BZ156" s="230">
        <f t="shared" si="294"/>
        <v>392038.13560539996</v>
      </c>
      <c r="CA156" s="230">
        <f t="shared" si="294"/>
        <v>393005.00740883383</v>
      </c>
      <c r="CB156" s="230">
        <f t="shared" si="294"/>
        <v>393974.26377897023</v>
      </c>
      <c r="CC156" s="230">
        <f t="shared" si="294"/>
        <v>394945.91059679392</v>
      </c>
      <c r="CD156" s="230">
        <f t="shared" si="294"/>
        <v>395919.95375779376</v>
      </c>
      <c r="CE156" s="230">
        <f t="shared" si="294"/>
        <v>396896.39917199849</v>
      </c>
      <c r="CF156" s="230">
        <f t="shared" si="294"/>
        <v>397875.25276401255</v>
      </c>
      <c r="CG156" s="230">
        <f t="shared" si="294"/>
        <v>398856.52047305211</v>
      </c>
      <c r="CH156" s="230">
        <f t="shared" si="294"/>
        <v>399840.20825298101</v>
      </c>
      <c r="CI156" s="230">
        <f t="shared" si="294"/>
        <v>400826.32207234693</v>
      </c>
      <c r="CJ156" s="230">
        <f t="shared" si="294"/>
        <v>401814.86791441764</v>
      </c>
      <c r="CK156" s="230">
        <f t="shared" si="294"/>
        <v>402805.85177721718</v>
      </c>
      <c r="CL156" s="230">
        <f t="shared" si="294"/>
        <v>403799.27967356239</v>
      </c>
      <c r="CM156" s="230">
        <f t="shared" si="294"/>
        <v>404795.15763109928</v>
      </c>
      <c r="CN156" s="230">
        <f t="shared" si="294"/>
        <v>405793.49169233977</v>
      </c>
      <c r="CO156" s="230">
        <f t="shared" si="294"/>
        <v>406794.28791469813</v>
      </c>
      <c r="CP156" s="230">
        <f t="shared" si="294"/>
        <v>407797.55237052793</v>
      </c>
      <c r="CQ156" s="230">
        <f t="shared" si="294"/>
        <v>408803.29114715877</v>
      </c>
      <c r="CR156" s="230">
        <f t="shared" si="294"/>
        <v>409811.51034693327</v>
      </c>
      <c r="CS156" s="230">
        <f t="shared" si="294"/>
        <v>410822.21608724404</v>
      </c>
      <c r="CT156" s="230">
        <f t="shared" si="294"/>
        <v>411835.4145005708</v>
      </c>
      <c r="CU156" s="230">
        <f t="shared" si="294"/>
        <v>412851.11173451773</v>
      </c>
      <c r="CV156" s="230">
        <f t="shared" si="294"/>
        <v>413869.31395185052</v>
      </c>
      <c r="CW156" s="230">
        <f t="shared" si="294"/>
        <v>414890.02733053401</v>
      </c>
      <c r="CX156" s="230">
        <f t="shared" si="294"/>
        <v>415913.25806376955</v>
      </c>
      <c r="CY156" s="230">
        <f t="shared" si="294"/>
        <v>416939.01236003259</v>
      </c>
      <c r="CZ156" s="230">
        <f t="shared" si="294"/>
        <v>417967.29644311027</v>
      </c>
      <c r="DA156" s="230">
        <f t="shared" si="294"/>
        <v>418998.1165521394</v>
      </c>
      <c r="DB156" s="230">
        <f t="shared" si="294"/>
        <v>420031.47894164413</v>
      </c>
      <c r="DC156" s="230">
        <f t="shared" si="294"/>
        <v>421067.38988157391</v>
      </c>
      <c r="DD156" s="230">
        <f t="shared" si="294"/>
        <v>422105.85565734166</v>
      </c>
      <c r="DE156" s="230">
        <f t="shared" si="294"/>
        <v>423146.88256986171</v>
      </c>
      <c r="DF156" s="230">
        <f t="shared" si="294"/>
        <v>424190.47693558829</v>
      </c>
      <c r="DG156" s="230">
        <f t="shared" si="294"/>
        <v>425236.64508655359</v>
      </c>
      <c r="DH156" s="230">
        <f t="shared" si="294"/>
        <v>426285.39337040641</v>
      </c>
      <c r="DI156" s="230">
        <f t="shared" si="294"/>
        <v>427336.72815045045</v>
      </c>
      <c r="DJ156" s="230">
        <f t="shared" si="294"/>
        <v>428390.65580568305</v>
      </c>
      <c r="DK156" s="230">
        <f t="shared" si="294"/>
        <v>429447.18273083394</v>
      </c>
      <c r="DL156" s="230">
        <f t="shared" si="294"/>
        <v>430506.31533640396</v>
      </c>
      <c r="DM156" s="230">
        <f t="shared" si="294"/>
        <v>431568.06004870398</v>
      </c>
      <c r="DN156" s="230">
        <f t="shared" si="294"/>
        <v>432632.42330989381</v>
      </c>
      <c r="DO156" s="230">
        <f t="shared" si="294"/>
        <v>433699.41157802148</v>
      </c>
      <c r="DP156" s="230">
        <f t="shared" si="294"/>
        <v>434769.03132706223</v>
      </c>
      <c r="DQ156" s="230">
        <f t="shared" si="294"/>
        <v>435841.28904695791</v>
      </c>
      <c r="DR156" s="230">
        <f t="shared" si="294"/>
        <v>436916.19124365633</v>
      </c>
      <c r="DS156" s="230">
        <f t="shared" si="294"/>
        <v>437993.74443915061</v>
      </c>
      <c r="DT156" s="230">
        <f t="shared" si="294"/>
        <v>439073.95517151902</v>
      </c>
      <c r="DU156" s="230">
        <f t="shared" si="294"/>
        <v>440156.82999496436</v>
      </c>
      <c r="DV156" s="230">
        <f t="shared" si="294"/>
        <v>441242.37547985394</v>
      </c>
      <c r="DW156" s="230">
        <f t="shared" si="294"/>
        <v>442330.59821275936</v>
      </c>
      <c r="DX156" s="230">
        <f t="shared" si="294"/>
        <v>443421.50479649648</v>
      </c>
      <c r="DY156" s="230">
        <f t="shared" si="294"/>
        <v>444515.10185016546</v>
      </c>
      <c r="DZ156" s="230">
        <f t="shared" si="294"/>
        <v>445611.396009191</v>
      </c>
      <c r="EA156" s="230">
        <f t="shared" si="294"/>
        <v>446710.3939253625</v>
      </c>
      <c r="EB156" s="230">
        <f t="shared" si="294"/>
        <v>447812.10226687451</v>
      </c>
      <c r="EC156" s="230">
        <f t="shared" si="294"/>
        <v>448916.52771836706</v>
      </c>
      <c r="ED156" s="230">
        <f t="shared" si="294"/>
        <v>450023.67698096641</v>
      </c>
      <c r="EE156" s="230">
        <f t="shared" ref="EE156:EH157" si="295">EE$135*ED156</f>
        <v>451133.55677232554</v>
      </c>
      <c r="EF156" s="230">
        <f t="shared" si="295"/>
        <v>452246.17382666498</v>
      </c>
      <c r="EG156" s="230">
        <f t="shared" si="295"/>
        <v>453361.53489481367</v>
      </c>
      <c r="EH156" s="230">
        <f t="shared" si="295"/>
        <v>454479.64674424997</v>
      </c>
      <c r="EK156" s="280"/>
    </row>
    <row r="157" spans="1:141" ht="15" hidden="1" thickTop="1" x14ac:dyDescent="0.3">
      <c r="A157" s="684" t="s">
        <v>2443</v>
      </c>
      <c r="B157" s="200"/>
      <c r="C157" s="200"/>
      <c r="D157" s="200"/>
      <c r="E157" s="230"/>
      <c r="F157" s="230">
        <f>'Operating Inputs'!$M$121*Units*(1+PrestartExpGwth)</f>
        <v>328325.76658913225</v>
      </c>
      <c r="G157" s="230">
        <f>G$135*F157</f>
        <v>329135.50650273944</v>
      </c>
      <c r="H157" s="230">
        <f t="shared" si="293"/>
        <v>329947.24345341901</v>
      </c>
      <c r="I157" s="230">
        <f t="shared" si="293"/>
        <v>330760.9823664031</v>
      </c>
      <c r="J157" s="230">
        <f t="shared" si="293"/>
        <v>331576.72817907081</v>
      </c>
      <c r="K157" s="230">
        <f t="shared" si="293"/>
        <v>332394.48584097822</v>
      </c>
      <c r="L157" s="230">
        <f t="shared" si="293"/>
        <v>333214.26031388826</v>
      </c>
      <c r="M157" s="230">
        <f t="shared" si="293"/>
        <v>334036.0565718009</v>
      </c>
      <c r="N157" s="230">
        <f t="shared" si="293"/>
        <v>334859.87960098346</v>
      </c>
      <c r="O157" s="230">
        <f t="shared" si="293"/>
        <v>335685.7344000006</v>
      </c>
      <c r="P157" s="230">
        <f t="shared" si="293"/>
        <v>336513.62597974489</v>
      </c>
      <c r="Q157" s="230">
        <f t="shared" si="293"/>
        <v>337343.55936346704</v>
      </c>
      <c r="R157" s="230">
        <f t="shared" si="293"/>
        <v>338175.5395868065</v>
      </c>
      <c r="S157" s="230">
        <f t="shared" si="293"/>
        <v>339009.5716978219</v>
      </c>
      <c r="T157" s="230">
        <f t="shared" si="293"/>
        <v>339845.66075702186</v>
      </c>
      <c r="U157" s="230">
        <f t="shared" si="293"/>
        <v>340683.81183739548</v>
      </c>
      <c r="V157" s="230">
        <f t="shared" si="293"/>
        <v>341524.03002444323</v>
      </c>
      <c r="W157" s="230">
        <f t="shared" si="293"/>
        <v>342366.32041620783</v>
      </c>
      <c r="X157" s="230">
        <f t="shared" si="293"/>
        <v>343210.68812330515</v>
      </c>
      <c r="Y157" s="230">
        <f t="shared" si="293"/>
        <v>344057.13826895523</v>
      </c>
      <c r="Z157" s="230">
        <f t="shared" si="293"/>
        <v>344905.67598901328</v>
      </c>
      <c r="AA157" s="230">
        <f t="shared" si="293"/>
        <v>345756.30643200094</v>
      </c>
      <c r="AB157" s="230">
        <f t="shared" si="293"/>
        <v>346609.03475913755</v>
      </c>
      <c r="AC157" s="230">
        <f t="shared" si="293"/>
        <v>347463.86614437139</v>
      </c>
      <c r="AD157" s="230">
        <f t="shared" si="293"/>
        <v>348320.80577441101</v>
      </c>
      <c r="AE157" s="230">
        <f t="shared" si="293"/>
        <v>349179.85884875688</v>
      </c>
      <c r="AF157" s="230">
        <f t="shared" si="293"/>
        <v>350041.03057973285</v>
      </c>
      <c r="AG157" s="230">
        <f t="shared" si="293"/>
        <v>350904.32619251765</v>
      </c>
      <c r="AH157" s="230">
        <f t="shared" si="293"/>
        <v>351769.75092517684</v>
      </c>
      <c r="AI157" s="230">
        <f t="shared" si="293"/>
        <v>352637.3100286944</v>
      </c>
      <c r="AJ157" s="230">
        <f t="shared" si="293"/>
        <v>353507.00876700465</v>
      </c>
      <c r="AK157" s="230">
        <f t="shared" si="293"/>
        <v>354378.8524170242</v>
      </c>
      <c r="AL157" s="230">
        <f t="shared" si="293"/>
        <v>355252.84626868396</v>
      </c>
      <c r="AM157" s="230">
        <f t="shared" si="293"/>
        <v>356128.99562496127</v>
      </c>
      <c r="AN157" s="230">
        <f t="shared" si="293"/>
        <v>357007.30580191198</v>
      </c>
      <c r="AO157" s="230">
        <f t="shared" si="293"/>
        <v>357887.78212870279</v>
      </c>
      <c r="AP157" s="230">
        <f t="shared" si="293"/>
        <v>358770.4299476436</v>
      </c>
      <c r="AQ157" s="230">
        <f t="shared" si="293"/>
        <v>359655.25461421988</v>
      </c>
      <c r="AR157" s="230">
        <f t="shared" si="293"/>
        <v>360542.26149712515</v>
      </c>
      <c r="AS157" s="230">
        <f t="shared" si="293"/>
        <v>361431.4559782935</v>
      </c>
      <c r="AT157" s="230">
        <f t="shared" si="293"/>
        <v>362322.84345293249</v>
      </c>
      <c r="AU157" s="230">
        <f t="shared" si="293"/>
        <v>363216.4293295556</v>
      </c>
      <c r="AV157" s="230">
        <f t="shared" si="293"/>
        <v>364112.21903001517</v>
      </c>
      <c r="AW157" s="230">
        <f t="shared" si="293"/>
        <v>365010.2179895353</v>
      </c>
      <c r="AX157" s="230">
        <f t="shared" si="293"/>
        <v>365910.43165674485</v>
      </c>
      <c r="AY157" s="230">
        <f t="shared" si="293"/>
        <v>366812.8654937105</v>
      </c>
      <c r="AZ157" s="230">
        <f t="shared" si="293"/>
        <v>367717.52497596975</v>
      </c>
      <c r="BA157" s="230">
        <f t="shared" si="293"/>
        <v>368624.41559256433</v>
      </c>
      <c r="BB157" s="230">
        <f t="shared" si="293"/>
        <v>369533.5428460734</v>
      </c>
      <c r="BC157" s="230">
        <f t="shared" si="293"/>
        <v>370444.91225264693</v>
      </c>
      <c r="BD157" s="230">
        <f t="shared" si="293"/>
        <v>371358.52934203931</v>
      </c>
      <c r="BE157" s="230">
        <f t="shared" si="293"/>
        <v>372274.39965764276</v>
      </c>
      <c r="BF157" s="230">
        <f t="shared" si="293"/>
        <v>373192.52875652089</v>
      </c>
      <c r="BG157" s="230">
        <f t="shared" si="293"/>
        <v>374112.92220944265</v>
      </c>
      <c r="BH157" s="230">
        <f t="shared" si="293"/>
        <v>375035.58560091601</v>
      </c>
      <c r="BI157" s="230">
        <f t="shared" si="293"/>
        <v>375960.52452922176</v>
      </c>
      <c r="BJ157" s="230">
        <f t="shared" si="293"/>
        <v>376887.74460644764</v>
      </c>
      <c r="BK157" s="230">
        <f t="shared" si="293"/>
        <v>377817.25145852222</v>
      </c>
      <c r="BL157" s="230">
        <f t="shared" si="293"/>
        <v>378749.05072524922</v>
      </c>
      <c r="BM157" s="230">
        <f t="shared" si="293"/>
        <v>379683.1480603416</v>
      </c>
      <c r="BN157" s="230">
        <f t="shared" si="293"/>
        <v>380619.54913145595</v>
      </c>
      <c r="BO157" s="230">
        <f t="shared" si="293"/>
        <v>381558.25962022669</v>
      </c>
      <c r="BP157" s="230">
        <f t="shared" si="293"/>
        <v>382499.28522230085</v>
      </c>
      <c r="BQ157" s="230">
        <f t="shared" si="293"/>
        <v>383442.63164737239</v>
      </c>
      <c r="BR157" s="230">
        <f t="shared" si="293"/>
        <v>384388.30461921688</v>
      </c>
      <c r="BS157" s="230">
        <f t="shared" si="294"/>
        <v>385336.30987572629</v>
      </c>
      <c r="BT157" s="230">
        <f t="shared" si="294"/>
        <v>386286.65316894383</v>
      </c>
      <c r="BU157" s="230">
        <f t="shared" si="294"/>
        <v>387239.34026509873</v>
      </c>
      <c r="BV157" s="230">
        <f t="shared" si="294"/>
        <v>388194.37694464135</v>
      </c>
      <c r="BW157" s="230">
        <f t="shared" si="294"/>
        <v>389151.76900227816</v>
      </c>
      <c r="BX157" s="230">
        <f t="shared" si="294"/>
        <v>390111.522247007</v>
      </c>
      <c r="BY157" s="230">
        <f t="shared" si="294"/>
        <v>391073.64250215219</v>
      </c>
      <c r="BZ157" s="230">
        <f t="shared" si="294"/>
        <v>392038.13560539996</v>
      </c>
      <c r="CA157" s="230">
        <f t="shared" si="294"/>
        <v>393005.00740883383</v>
      </c>
      <c r="CB157" s="230">
        <f t="shared" si="294"/>
        <v>393974.26377897023</v>
      </c>
      <c r="CC157" s="230">
        <f t="shared" si="294"/>
        <v>394945.91059679392</v>
      </c>
      <c r="CD157" s="230">
        <f t="shared" si="294"/>
        <v>395919.95375779376</v>
      </c>
      <c r="CE157" s="230">
        <f t="shared" si="294"/>
        <v>396896.39917199849</v>
      </c>
      <c r="CF157" s="230">
        <f t="shared" si="294"/>
        <v>397875.25276401255</v>
      </c>
      <c r="CG157" s="230">
        <f t="shared" si="294"/>
        <v>398856.52047305211</v>
      </c>
      <c r="CH157" s="230">
        <f t="shared" si="294"/>
        <v>399840.20825298101</v>
      </c>
      <c r="CI157" s="230">
        <f t="shared" si="294"/>
        <v>400826.32207234693</v>
      </c>
      <c r="CJ157" s="230">
        <f t="shared" si="294"/>
        <v>401814.86791441764</v>
      </c>
      <c r="CK157" s="230">
        <f t="shared" si="294"/>
        <v>402805.85177721718</v>
      </c>
      <c r="CL157" s="230">
        <f t="shared" si="294"/>
        <v>403799.27967356239</v>
      </c>
      <c r="CM157" s="230">
        <f t="shared" si="294"/>
        <v>404795.15763109928</v>
      </c>
      <c r="CN157" s="230">
        <f t="shared" si="294"/>
        <v>405793.49169233977</v>
      </c>
      <c r="CO157" s="230">
        <f t="shared" si="294"/>
        <v>406794.28791469813</v>
      </c>
      <c r="CP157" s="230">
        <f t="shared" si="294"/>
        <v>407797.55237052793</v>
      </c>
      <c r="CQ157" s="230">
        <f t="shared" si="294"/>
        <v>408803.29114715877</v>
      </c>
      <c r="CR157" s="230">
        <f t="shared" si="294"/>
        <v>409811.51034693327</v>
      </c>
      <c r="CS157" s="230">
        <f t="shared" si="294"/>
        <v>410822.21608724404</v>
      </c>
      <c r="CT157" s="230">
        <f t="shared" si="294"/>
        <v>411835.4145005708</v>
      </c>
      <c r="CU157" s="230">
        <f t="shared" si="294"/>
        <v>412851.11173451773</v>
      </c>
      <c r="CV157" s="230">
        <f t="shared" si="294"/>
        <v>413869.31395185052</v>
      </c>
      <c r="CW157" s="230">
        <f t="shared" si="294"/>
        <v>414890.02733053401</v>
      </c>
      <c r="CX157" s="230">
        <f t="shared" si="294"/>
        <v>415913.25806376955</v>
      </c>
      <c r="CY157" s="230">
        <f t="shared" si="294"/>
        <v>416939.01236003259</v>
      </c>
      <c r="CZ157" s="230">
        <f t="shared" si="294"/>
        <v>417967.29644311027</v>
      </c>
      <c r="DA157" s="230">
        <f t="shared" si="294"/>
        <v>418998.1165521394</v>
      </c>
      <c r="DB157" s="230">
        <f t="shared" si="294"/>
        <v>420031.47894164413</v>
      </c>
      <c r="DC157" s="230">
        <f t="shared" si="294"/>
        <v>421067.38988157391</v>
      </c>
      <c r="DD157" s="230">
        <f t="shared" si="294"/>
        <v>422105.85565734166</v>
      </c>
      <c r="DE157" s="230">
        <f t="shared" si="294"/>
        <v>423146.88256986171</v>
      </c>
      <c r="DF157" s="230">
        <f t="shared" si="294"/>
        <v>424190.47693558829</v>
      </c>
      <c r="DG157" s="230">
        <f t="shared" si="294"/>
        <v>425236.64508655359</v>
      </c>
      <c r="DH157" s="230">
        <f t="shared" si="294"/>
        <v>426285.39337040641</v>
      </c>
      <c r="DI157" s="230">
        <f t="shared" si="294"/>
        <v>427336.72815045045</v>
      </c>
      <c r="DJ157" s="230">
        <f t="shared" si="294"/>
        <v>428390.65580568305</v>
      </c>
      <c r="DK157" s="230">
        <f t="shared" si="294"/>
        <v>429447.18273083394</v>
      </c>
      <c r="DL157" s="230">
        <f t="shared" si="294"/>
        <v>430506.31533640396</v>
      </c>
      <c r="DM157" s="230">
        <f t="shared" si="294"/>
        <v>431568.06004870398</v>
      </c>
      <c r="DN157" s="230">
        <f t="shared" si="294"/>
        <v>432632.42330989381</v>
      </c>
      <c r="DO157" s="230">
        <f t="shared" si="294"/>
        <v>433699.41157802148</v>
      </c>
      <c r="DP157" s="230">
        <f t="shared" si="294"/>
        <v>434769.03132706223</v>
      </c>
      <c r="DQ157" s="230">
        <f t="shared" si="294"/>
        <v>435841.28904695791</v>
      </c>
      <c r="DR157" s="230">
        <f t="shared" si="294"/>
        <v>436916.19124365633</v>
      </c>
      <c r="DS157" s="230">
        <f t="shared" si="294"/>
        <v>437993.74443915061</v>
      </c>
      <c r="DT157" s="230">
        <f t="shared" si="294"/>
        <v>439073.95517151902</v>
      </c>
      <c r="DU157" s="230">
        <f t="shared" si="294"/>
        <v>440156.82999496436</v>
      </c>
      <c r="DV157" s="230">
        <f t="shared" si="294"/>
        <v>441242.37547985394</v>
      </c>
      <c r="DW157" s="230">
        <f t="shared" si="294"/>
        <v>442330.59821275936</v>
      </c>
      <c r="DX157" s="230">
        <f t="shared" si="294"/>
        <v>443421.50479649648</v>
      </c>
      <c r="DY157" s="230">
        <f t="shared" si="294"/>
        <v>444515.10185016546</v>
      </c>
      <c r="DZ157" s="230">
        <f t="shared" si="294"/>
        <v>445611.396009191</v>
      </c>
      <c r="EA157" s="230">
        <f t="shared" si="294"/>
        <v>446710.3939253625</v>
      </c>
      <c r="EB157" s="230">
        <f t="shared" si="294"/>
        <v>447812.10226687451</v>
      </c>
      <c r="EC157" s="230">
        <f t="shared" si="294"/>
        <v>448916.52771836706</v>
      </c>
      <c r="ED157" s="230">
        <f t="shared" si="294"/>
        <v>450023.67698096641</v>
      </c>
      <c r="EE157" s="230">
        <f t="shared" si="295"/>
        <v>451133.55677232554</v>
      </c>
      <c r="EF157" s="230">
        <f>EF$135*EE157</f>
        <v>452246.17382666498</v>
      </c>
      <c r="EG157" s="230">
        <f>EG$135*EF157</f>
        <v>453361.53489481367</v>
      </c>
      <c r="EH157" s="230">
        <f>EH$135*EG157</f>
        <v>454479.64674424997</v>
      </c>
      <c r="EK157" s="280"/>
    </row>
    <row r="158" spans="1:141" ht="15" hidden="1" thickTop="1" x14ac:dyDescent="0.3">
      <c r="A158" s="684" t="s">
        <v>2427</v>
      </c>
      <c r="B158" s="200"/>
      <c r="C158" s="200"/>
      <c r="D158" s="200"/>
      <c r="E158" s="230"/>
      <c r="F158" s="230"/>
      <c r="G158" s="230">
        <f>IF(G$5&gt;=MonthFirstUnits-'Development Inputs'!$N$28,1,0)</f>
        <v>0</v>
      </c>
      <c r="H158" s="230">
        <f>IF(H$5&gt;=MonthFirstUnits-'Development Inputs'!$N$28,1,0)</f>
        <v>0</v>
      </c>
      <c r="I158" s="230">
        <f>IF(I$5&gt;=MonthFirstUnits-'Development Inputs'!$N$28,1,0)</f>
        <v>0</v>
      </c>
      <c r="J158" s="230">
        <f>IF(J$5&gt;=MonthFirstUnits-'Development Inputs'!$N$28,1,0)</f>
        <v>0</v>
      </c>
      <c r="K158" s="230">
        <f>IF(K$5&gt;=MonthFirstUnits-'Development Inputs'!$N$28,1,0)</f>
        <v>0</v>
      </c>
      <c r="L158" s="230">
        <f>IF(L$5&gt;=MonthFirstUnits-'Development Inputs'!$N$28,1,0)</f>
        <v>0</v>
      </c>
      <c r="M158" s="230">
        <f>IF(M$5&gt;=MonthFirstUnits-'Development Inputs'!$N$28,1,0)</f>
        <v>0</v>
      </c>
      <c r="N158" s="230">
        <f>IF(N$5&gt;=MonthFirstUnits-'Development Inputs'!$N$28,1,0)</f>
        <v>0</v>
      </c>
      <c r="O158" s="230">
        <f>IF(O$5&gt;=MonthFirstUnits-'Development Inputs'!$N$28,1,0)</f>
        <v>0</v>
      </c>
      <c r="P158" s="230">
        <f>IF(P$5&gt;=MonthFirstUnits-'Development Inputs'!$N$28,1,0)</f>
        <v>0</v>
      </c>
      <c r="Q158" s="230">
        <f>IF(Q$5&gt;=MonthFirstUnits-'Development Inputs'!$N$28,1,0)</f>
        <v>0</v>
      </c>
      <c r="R158" s="230">
        <f>IF(R$5&gt;=MonthFirstUnits-'Development Inputs'!$N$28,1,0)</f>
        <v>0</v>
      </c>
      <c r="S158" s="230">
        <f>IF(S$5&gt;=MonthFirstUnits-'Development Inputs'!$N$28,1,0)</f>
        <v>0</v>
      </c>
      <c r="T158" s="230">
        <f>IF(T$5&gt;=MonthFirstUnits-'Development Inputs'!$N$28,1,0)</f>
        <v>1</v>
      </c>
      <c r="U158" s="230">
        <f>IF(U$5&gt;=MonthFirstUnits-'Development Inputs'!$N$28,1,0)</f>
        <v>1</v>
      </c>
      <c r="V158" s="230">
        <f>IF(V$5&gt;=MonthFirstUnits-'Development Inputs'!$N$28,1,0)</f>
        <v>1</v>
      </c>
      <c r="W158" s="230">
        <f>IF(W$5&gt;=MonthFirstUnits-'Development Inputs'!$N$28,1,0)</f>
        <v>1</v>
      </c>
      <c r="X158" s="230">
        <f>IF(X$5&gt;=MonthFirstUnits-'Development Inputs'!$N$28,1,0)</f>
        <v>1</v>
      </c>
      <c r="Y158" s="230">
        <f>IF(Y$5&gt;=MonthFirstUnits-'Development Inputs'!$N$28,1,0)</f>
        <v>1</v>
      </c>
      <c r="Z158" s="230">
        <f>IF(Z$5&gt;=MonthFirstUnits-'Development Inputs'!$N$28,1,0)</f>
        <v>1</v>
      </c>
      <c r="AA158" s="230">
        <f>IF(AA$5&gt;=MonthFirstUnits-'Development Inputs'!$N$28,1,0)</f>
        <v>1</v>
      </c>
      <c r="AB158" s="230">
        <f>IF(AB$5&gt;=MonthFirstUnits-'Development Inputs'!$N$28,1,0)</f>
        <v>1</v>
      </c>
      <c r="AC158" s="230">
        <f>IF(AC$5&gt;=MonthFirstUnits-'Development Inputs'!$N$28,1,0)</f>
        <v>1</v>
      </c>
      <c r="AD158" s="230">
        <f>IF(AD$5&gt;=MonthFirstUnits-'Development Inputs'!$N$28,1,0)</f>
        <v>1</v>
      </c>
      <c r="AE158" s="230">
        <f>IF(AE$5&gt;=MonthFirstUnits-'Development Inputs'!$N$28,1,0)</f>
        <v>1</v>
      </c>
      <c r="AF158" s="230">
        <f>IF(AF$5&gt;=MonthFirstUnits-'Development Inputs'!$N$28,1,0)</f>
        <v>1</v>
      </c>
      <c r="AG158" s="230">
        <f>IF(AG$5&gt;=MonthFirstUnits-'Development Inputs'!$N$28,1,0)</f>
        <v>1</v>
      </c>
      <c r="AH158" s="230">
        <f>IF(AH$5&gt;=MonthFirstUnits-'Development Inputs'!$N$28,1,0)</f>
        <v>1</v>
      </c>
      <c r="AI158" s="230">
        <f>IF(AI$5&gt;=MonthFirstUnits-'Development Inputs'!$N$28,1,0)</f>
        <v>1</v>
      </c>
      <c r="AJ158" s="230">
        <f>IF(AJ$5&gt;=MonthFirstUnits-'Development Inputs'!$N$28,1,0)</f>
        <v>1</v>
      </c>
      <c r="AK158" s="230">
        <f>IF(AK$5&gt;=MonthFirstUnits-'Development Inputs'!$N$28,1,0)</f>
        <v>1</v>
      </c>
      <c r="AL158" s="230">
        <f>IF(AL$5&gt;=MonthFirstUnits-'Development Inputs'!$N$28,1,0)</f>
        <v>1</v>
      </c>
      <c r="AM158" s="230">
        <f>IF(AM$5&gt;=MonthFirstUnits-'Development Inputs'!$N$28,1,0)</f>
        <v>1</v>
      </c>
      <c r="AN158" s="230">
        <f>IF(AN$5&gt;=MonthFirstUnits-'Development Inputs'!$N$28,1,0)</f>
        <v>1</v>
      </c>
      <c r="AO158" s="230">
        <f>IF(AO$5&gt;=MonthFirstUnits-'Development Inputs'!$N$28,1,0)</f>
        <v>1</v>
      </c>
      <c r="AP158" s="230">
        <f>IF(AP$5&gt;=MonthFirstUnits-'Development Inputs'!$N$28,1,0)</f>
        <v>1</v>
      </c>
      <c r="AQ158" s="230">
        <f>IF(AQ$5&gt;=MonthFirstUnits-'Development Inputs'!$N$28,1,0)</f>
        <v>1</v>
      </c>
      <c r="AR158" s="230">
        <f>IF(AR$5&gt;=MonthFirstUnits-'Development Inputs'!$N$28,1,0)</f>
        <v>1</v>
      </c>
      <c r="AS158" s="230">
        <f>IF(AS$5&gt;=MonthFirstUnits-'Development Inputs'!$N$28,1,0)</f>
        <v>1</v>
      </c>
      <c r="AT158" s="230">
        <f>IF(AT$5&gt;=MonthFirstUnits-'Development Inputs'!$N$28,1,0)</f>
        <v>1</v>
      </c>
      <c r="AU158" s="230">
        <f>IF(AU$5&gt;=MonthFirstUnits-'Development Inputs'!$N$28,1,0)</f>
        <v>1</v>
      </c>
      <c r="AV158" s="230">
        <f>IF(AV$5&gt;=MonthFirstUnits-'Development Inputs'!$N$28,1,0)</f>
        <v>1</v>
      </c>
      <c r="AW158" s="230">
        <f>IF(AW$5&gt;=MonthFirstUnits-'Development Inputs'!$N$28,1,0)</f>
        <v>1</v>
      </c>
      <c r="AX158" s="230">
        <f>IF(AX$5&gt;=MonthFirstUnits-'Development Inputs'!$N$28,1,0)</f>
        <v>1</v>
      </c>
      <c r="AY158" s="230">
        <f>IF(AY$5&gt;=MonthFirstUnits-'Development Inputs'!$N$28,1,0)</f>
        <v>1</v>
      </c>
      <c r="AZ158" s="230">
        <f>IF(AZ$5&gt;=MonthFirstUnits-'Development Inputs'!$N$28,1,0)</f>
        <v>1</v>
      </c>
      <c r="BA158" s="230">
        <f>IF(BA$5&gt;=MonthFirstUnits-'Development Inputs'!$N$28,1,0)</f>
        <v>1</v>
      </c>
      <c r="BB158" s="230">
        <f>IF(BB$5&gt;=MonthFirstUnits-'Development Inputs'!$N$28,1,0)</f>
        <v>1</v>
      </c>
      <c r="BC158" s="230">
        <f>IF(BC$5&gt;=MonthFirstUnits-'Development Inputs'!$N$28,1,0)</f>
        <v>1</v>
      </c>
      <c r="BD158" s="230">
        <f>IF(BD$5&gt;=MonthFirstUnits-'Development Inputs'!$N$28,1,0)</f>
        <v>1</v>
      </c>
      <c r="BE158" s="230">
        <f>IF(BE$5&gt;=MonthFirstUnits-'Development Inputs'!$N$28,1,0)</f>
        <v>1</v>
      </c>
      <c r="BF158" s="230">
        <f>IF(BF$5&gt;=MonthFirstUnits-'Development Inputs'!$N$28,1,0)</f>
        <v>1</v>
      </c>
      <c r="BG158" s="230">
        <f>IF(BG$5&gt;=MonthFirstUnits-'Development Inputs'!$N$28,1,0)</f>
        <v>1</v>
      </c>
      <c r="BH158" s="230">
        <f>IF(BH$5&gt;=MonthFirstUnits-'Development Inputs'!$N$28,1,0)</f>
        <v>1</v>
      </c>
      <c r="BI158" s="230">
        <f>IF(BI$5&gt;=MonthFirstUnits-'Development Inputs'!$N$28,1,0)</f>
        <v>1</v>
      </c>
      <c r="BJ158" s="230">
        <f>IF(BJ$5&gt;=MonthFirstUnits-'Development Inputs'!$N$28,1,0)</f>
        <v>1</v>
      </c>
      <c r="BK158" s="230">
        <f>IF(BK$5&gt;=MonthFirstUnits-'Development Inputs'!$N$28,1,0)</f>
        <v>1</v>
      </c>
      <c r="BL158" s="230">
        <f>IF(BL$5&gt;=MonthFirstUnits-'Development Inputs'!$N$28,1,0)</f>
        <v>1</v>
      </c>
      <c r="BM158" s="230">
        <f>IF(BM$5&gt;=MonthFirstUnits-'Development Inputs'!$N$28,1,0)</f>
        <v>1</v>
      </c>
      <c r="BN158" s="230">
        <f>IF(BN$5&gt;=MonthFirstUnits-'Development Inputs'!$N$28,1,0)</f>
        <v>1</v>
      </c>
      <c r="BO158" s="230">
        <f>IF(BO$5&gt;=MonthFirstUnits-'Development Inputs'!$N$28,1,0)</f>
        <v>1</v>
      </c>
      <c r="BP158" s="230">
        <f>IF(BP$5&gt;=MonthFirstUnits-'Development Inputs'!$N$28,1,0)</f>
        <v>1</v>
      </c>
      <c r="BQ158" s="230">
        <f>IF(BQ$5&gt;=MonthFirstUnits-'Development Inputs'!$N$28,1,0)</f>
        <v>1</v>
      </c>
      <c r="BR158" s="230">
        <f>IF(BR$5&gt;=MonthFirstUnits-'Development Inputs'!$N$28,1,0)</f>
        <v>1</v>
      </c>
      <c r="BS158" s="230">
        <f>IF(BS$5&gt;=MonthFirstUnits-'Development Inputs'!$N$28,1,0)</f>
        <v>1</v>
      </c>
      <c r="BT158" s="230">
        <f>IF(BT$5&gt;=MonthFirstUnits-'Development Inputs'!$N$28,1,0)</f>
        <v>1</v>
      </c>
      <c r="BU158" s="230">
        <f>IF(BU$5&gt;=MonthFirstUnits-'Development Inputs'!$N$28,1,0)</f>
        <v>1</v>
      </c>
      <c r="BV158" s="230">
        <f>IF(BV$5&gt;=MonthFirstUnits-'Development Inputs'!$N$28,1,0)</f>
        <v>1</v>
      </c>
      <c r="BW158" s="230">
        <f>IF(BW$5&gt;=MonthFirstUnits-'Development Inputs'!$N$28,1,0)</f>
        <v>1</v>
      </c>
      <c r="BX158" s="230">
        <f>IF(BX$5&gt;=MonthFirstUnits-'Development Inputs'!$N$28,1,0)</f>
        <v>1</v>
      </c>
      <c r="BY158" s="230">
        <f>IF(BY$5&gt;=MonthFirstUnits-'Development Inputs'!$N$28,1,0)</f>
        <v>1</v>
      </c>
      <c r="BZ158" s="230">
        <f>IF(BZ$5&gt;=MonthFirstUnits-'Development Inputs'!$N$28,1,0)</f>
        <v>1</v>
      </c>
      <c r="CA158" s="230">
        <f>IF(CA$5&gt;=MonthFirstUnits-'Development Inputs'!$N$28,1,0)</f>
        <v>1</v>
      </c>
      <c r="CB158" s="230">
        <f>IF(CB$5&gt;=MonthFirstUnits-'Development Inputs'!$N$28,1,0)</f>
        <v>1</v>
      </c>
      <c r="CC158" s="230">
        <f>IF(CC$5&gt;=MonthFirstUnits-'Development Inputs'!$N$28,1,0)</f>
        <v>1</v>
      </c>
      <c r="CD158" s="230">
        <f>IF(CD$5&gt;=MonthFirstUnits-'Development Inputs'!$N$28,1,0)</f>
        <v>1</v>
      </c>
      <c r="CE158" s="230">
        <f>IF(CE$5&gt;=MonthFirstUnits-'Development Inputs'!$N$28,1,0)</f>
        <v>1</v>
      </c>
      <c r="CF158" s="230">
        <f>IF(CF$5&gt;=MonthFirstUnits-'Development Inputs'!$N$28,1,0)</f>
        <v>1</v>
      </c>
      <c r="CG158" s="230">
        <f>IF(CG$5&gt;=MonthFirstUnits-'Development Inputs'!$N$28,1,0)</f>
        <v>1</v>
      </c>
      <c r="CH158" s="230">
        <f>IF(CH$5&gt;=MonthFirstUnits-'Development Inputs'!$N$28,1,0)</f>
        <v>1</v>
      </c>
      <c r="CI158" s="230">
        <f>IF(CI$5&gt;=MonthFirstUnits-'Development Inputs'!$N$28,1,0)</f>
        <v>1</v>
      </c>
      <c r="CJ158" s="230">
        <f>IF(CJ$5&gt;=MonthFirstUnits-'Development Inputs'!$N$28,1,0)</f>
        <v>1</v>
      </c>
      <c r="CK158" s="230">
        <f>IF(CK$5&gt;=MonthFirstUnits-'Development Inputs'!$N$28,1,0)</f>
        <v>1</v>
      </c>
      <c r="CL158" s="230">
        <f>IF(CL$5&gt;=MonthFirstUnits-'Development Inputs'!$N$28,1,0)</f>
        <v>1</v>
      </c>
      <c r="CM158" s="230">
        <f>IF(CM$5&gt;=MonthFirstUnits-'Development Inputs'!$N$28,1,0)</f>
        <v>1</v>
      </c>
      <c r="CN158" s="230">
        <f>IF(CN$5&gt;=MonthFirstUnits-'Development Inputs'!$N$28,1,0)</f>
        <v>1</v>
      </c>
      <c r="CO158" s="230">
        <f>IF(CO$5&gt;=MonthFirstUnits-'Development Inputs'!$N$28,1,0)</f>
        <v>1</v>
      </c>
      <c r="CP158" s="230">
        <f>IF(CP$5&gt;=MonthFirstUnits-'Development Inputs'!$N$28,1,0)</f>
        <v>1</v>
      </c>
      <c r="CQ158" s="230">
        <f>IF(CQ$5&gt;=MonthFirstUnits-'Development Inputs'!$N$28,1,0)</f>
        <v>1</v>
      </c>
      <c r="CR158" s="230">
        <f>IF(CR$5&gt;=MonthFirstUnits-'Development Inputs'!$N$28,1,0)</f>
        <v>1</v>
      </c>
      <c r="CS158" s="230">
        <f>IF(CS$5&gt;=MonthFirstUnits-'Development Inputs'!$N$28,1,0)</f>
        <v>1</v>
      </c>
      <c r="CT158" s="230">
        <f>IF(CT$5&gt;=MonthFirstUnits-'Development Inputs'!$N$28,1,0)</f>
        <v>1</v>
      </c>
      <c r="CU158" s="230">
        <f>IF(CU$5&gt;=MonthFirstUnits-'Development Inputs'!$N$28,1,0)</f>
        <v>1</v>
      </c>
      <c r="CV158" s="230">
        <f>IF(CV$5&gt;=MonthFirstUnits-'Development Inputs'!$N$28,1,0)</f>
        <v>1</v>
      </c>
      <c r="CW158" s="230">
        <f>IF(CW$5&gt;=MonthFirstUnits-'Development Inputs'!$N$28,1,0)</f>
        <v>1</v>
      </c>
      <c r="CX158" s="230">
        <f>IF(CX$5&gt;=MonthFirstUnits-'Development Inputs'!$N$28,1,0)</f>
        <v>1</v>
      </c>
      <c r="CY158" s="230">
        <f>IF(CY$5&gt;=MonthFirstUnits-'Development Inputs'!$N$28,1,0)</f>
        <v>1</v>
      </c>
      <c r="CZ158" s="230">
        <f>IF(CZ$5&gt;=MonthFirstUnits-'Development Inputs'!$N$28,1,0)</f>
        <v>1</v>
      </c>
      <c r="DA158" s="230">
        <f>IF(DA$5&gt;=MonthFirstUnits-'Development Inputs'!$N$28,1,0)</f>
        <v>1</v>
      </c>
      <c r="DB158" s="230">
        <f>IF(DB$5&gt;=MonthFirstUnits-'Development Inputs'!$N$28,1,0)</f>
        <v>1</v>
      </c>
      <c r="DC158" s="230">
        <f>IF(DC$5&gt;=MonthFirstUnits-'Development Inputs'!$N$28,1,0)</f>
        <v>1</v>
      </c>
      <c r="DD158" s="230">
        <f>IF(DD$5&gt;=MonthFirstUnits-'Development Inputs'!$N$28,1,0)</f>
        <v>1</v>
      </c>
      <c r="DE158" s="230">
        <f>IF(DE$5&gt;=MonthFirstUnits-'Development Inputs'!$N$28,1,0)</f>
        <v>1</v>
      </c>
      <c r="DF158" s="230">
        <f>IF(DF$5&gt;=MonthFirstUnits-'Development Inputs'!$N$28,1,0)</f>
        <v>1</v>
      </c>
      <c r="DG158" s="230">
        <f>IF(DG$5&gt;=MonthFirstUnits-'Development Inputs'!$N$28,1,0)</f>
        <v>1</v>
      </c>
      <c r="DH158" s="230">
        <f>IF(DH$5&gt;=MonthFirstUnits-'Development Inputs'!$N$28,1,0)</f>
        <v>1</v>
      </c>
      <c r="DI158" s="230">
        <f>IF(DI$5&gt;=MonthFirstUnits-'Development Inputs'!$N$28,1,0)</f>
        <v>1</v>
      </c>
      <c r="DJ158" s="230">
        <f>IF(DJ$5&gt;=MonthFirstUnits-'Development Inputs'!$N$28,1,0)</f>
        <v>1</v>
      </c>
      <c r="DK158" s="230">
        <f>IF(DK$5&gt;=MonthFirstUnits-'Development Inputs'!$N$28,1,0)</f>
        <v>1</v>
      </c>
      <c r="DL158" s="230">
        <f>IF(DL$5&gt;=MonthFirstUnits-'Development Inputs'!$N$28,1,0)</f>
        <v>1</v>
      </c>
      <c r="DM158" s="230">
        <f>IF(DM$5&gt;=MonthFirstUnits-'Development Inputs'!$N$28,1,0)</f>
        <v>1</v>
      </c>
      <c r="DN158" s="230">
        <f>IF(DN$5&gt;=MonthFirstUnits-'Development Inputs'!$N$28,1,0)</f>
        <v>1</v>
      </c>
      <c r="DO158" s="230">
        <f>IF(DO$5&gt;=MonthFirstUnits-'Development Inputs'!$N$28,1,0)</f>
        <v>1</v>
      </c>
      <c r="DP158" s="230">
        <f>IF(DP$5&gt;=MonthFirstUnits-'Development Inputs'!$N$28,1,0)</f>
        <v>1</v>
      </c>
      <c r="DQ158" s="230">
        <f>IF(DQ$5&gt;=MonthFirstUnits-'Development Inputs'!$N$28,1,0)</f>
        <v>1</v>
      </c>
      <c r="DR158" s="230">
        <f>IF(DR$5&gt;=MonthFirstUnits-'Development Inputs'!$N$28,1,0)</f>
        <v>1</v>
      </c>
      <c r="DS158" s="230">
        <f>IF(DS$5&gt;=MonthFirstUnits-'Development Inputs'!$N$28,1,0)</f>
        <v>1</v>
      </c>
      <c r="DT158" s="230">
        <f>IF(DT$5&gt;=MonthFirstUnits-'Development Inputs'!$N$28,1,0)</f>
        <v>1</v>
      </c>
      <c r="DU158" s="230">
        <f>IF(DU$5&gt;=MonthFirstUnits-'Development Inputs'!$N$28,1,0)</f>
        <v>1</v>
      </c>
      <c r="DV158" s="230">
        <f>IF(DV$5&gt;=MonthFirstUnits-'Development Inputs'!$N$28,1,0)</f>
        <v>1</v>
      </c>
      <c r="DW158" s="230">
        <f>IF(DW$5&gt;=MonthFirstUnits-'Development Inputs'!$N$28,1,0)</f>
        <v>1</v>
      </c>
      <c r="DX158" s="230">
        <f>IF(DX$5&gt;=MonthFirstUnits-'Development Inputs'!$N$28,1,0)</f>
        <v>1</v>
      </c>
      <c r="DY158" s="230">
        <f>IF(DY$5&gt;=MonthFirstUnits-'Development Inputs'!$N$28,1,0)</f>
        <v>1</v>
      </c>
      <c r="DZ158" s="230">
        <f>IF(DZ$5&gt;=MonthFirstUnits-'Development Inputs'!$N$28,1,0)</f>
        <v>1</v>
      </c>
      <c r="EA158" s="230">
        <f>IF(EA$5&gt;=MonthFirstUnits-'Development Inputs'!$N$28,1,0)</f>
        <v>1</v>
      </c>
      <c r="EB158" s="230">
        <f>IF(EB$5&gt;=MonthFirstUnits-'Development Inputs'!$N$28,1,0)</f>
        <v>1</v>
      </c>
      <c r="EC158" s="230">
        <f>IF(EC$5&gt;=MonthFirstUnits-'Development Inputs'!$N$28,1,0)</f>
        <v>1</v>
      </c>
      <c r="ED158" s="230">
        <f>IF(ED$5&gt;=MonthFirstUnits-'Development Inputs'!$N$28,1,0)</f>
        <v>1</v>
      </c>
      <c r="EE158" s="230">
        <f>IF(EE$5&gt;=MonthFirstUnits-'Development Inputs'!$N$28,1,0)</f>
        <v>1</v>
      </c>
      <c r="EF158" s="230">
        <f>IF(EF$5&gt;=MonthFirstUnits-'Development Inputs'!$N$28,1,0)</f>
        <v>1</v>
      </c>
      <c r="EG158" s="230">
        <f>IF(EG$5&gt;=MonthFirstUnits-'Development Inputs'!$N$28,1,0)</f>
        <v>1</v>
      </c>
      <c r="EH158" s="230">
        <f>IF(EH$5&gt;=MonthFirstUnits-'Development Inputs'!$N$28,1,0)</f>
        <v>1</v>
      </c>
      <c r="EK158" s="672"/>
    </row>
    <row r="159" spans="1:141" ht="15" hidden="1" thickTop="1" x14ac:dyDescent="0.3">
      <c r="A159" s="684" t="s">
        <v>2444</v>
      </c>
      <c r="B159" s="200"/>
      <c r="C159" s="200"/>
      <c r="D159" s="200"/>
      <c r="E159" s="230"/>
      <c r="F159" s="230">
        <f>F156/12</f>
        <v>27360.480549094355</v>
      </c>
      <c r="G159" s="647">
        <f t="shared" ref="G159:AL159" si="296">IF(AND(MONTH(G$6)=1,G$6&lt;=DateDisposition),G156/12,
IF(AND(G$5=MonthDisposition+1,MONTH(G$6)&lt;&gt;1),LOOKUP(EDATE(G$6,-(MONTH(G$6)-1)),$6:$6,157:157)/12,
IF(AND(MONTH(G$6)=1,G$5&gt;=MonthDisposition+1),G157/12,F159)))</f>
        <v>27360.480549094355</v>
      </c>
      <c r="H159" s="647">
        <f t="shared" si="296"/>
        <v>27360.480549094355</v>
      </c>
      <c r="I159" s="647">
        <f t="shared" si="296"/>
        <v>27360.480549094355</v>
      </c>
      <c r="J159" s="647">
        <f t="shared" si="296"/>
        <v>27631.394014922567</v>
      </c>
      <c r="K159" s="647">
        <f t="shared" si="296"/>
        <v>27631.394014922567</v>
      </c>
      <c r="L159" s="647">
        <f t="shared" si="296"/>
        <v>27631.394014922567</v>
      </c>
      <c r="M159" s="647">
        <f t="shared" si="296"/>
        <v>27631.394014922567</v>
      </c>
      <c r="N159" s="647">
        <f t="shared" si="296"/>
        <v>27631.394014922567</v>
      </c>
      <c r="O159" s="647">
        <f t="shared" si="296"/>
        <v>27631.394014922567</v>
      </c>
      <c r="P159" s="647">
        <f t="shared" si="296"/>
        <v>27631.394014922567</v>
      </c>
      <c r="Q159" s="647">
        <f t="shared" si="296"/>
        <v>27631.394014922567</v>
      </c>
      <c r="R159" s="647">
        <f t="shared" si="296"/>
        <v>27631.394014922567</v>
      </c>
      <c r="S159" s="647">
        <f t="shared" si="296"/>
        <v>27631.394014922567</v>
      </c>
      <c r="T159" s="647">
        <f t="shared" si="296"/>
        <v>27631.394014922567</v>
      </c>
      <c r="U159" s="647">
        <f t="shared" si="296"/>
        <v>27631.394014922567</v>
      </c>
      <c r="V159" s="647">
        <f t="shared" si="296"/>
        <v>28460.335835370268</v>
      </c>
      <c r="W159" s="647">
        <f t="shared" si="296"/>
        <v>28460.335835370268</v>
      </c>
      <c r="X159" s="647">
        <f t="shared" si="296"/>
        <v>28460.335835370268</v>
      </c>
      <c r="Y159" s="647">
        <f t="shared" si="296"/>
        <v>28460.335835370268</v>
      </c>
      <c r="Z159" s="647">
        <f t="shared" si="296"/>
        <v>28460.335835370268</v>
      </c>
      <c r="AA159" s="647">
        <f t="shared" si="296"/>
        <v>28460.335835370268</v>
      </c>
      <c r="AB159" s="647">
        <f t="shared" si="296"/>
        <v>28460.335835370268</v>
      </c>
      <c r="AC159" s="647">
        <f t="shared" si="296"/>
        <v>28460.335835370268</v>
      </c>
      <c r="AD159" s="647">
        <f t="shared" si="296"/>
        <v>28460.335835370268</v>
      </c>
      <c r="AE159" s="647">
        <f t="shared" si="296"/>
        <v>28460.335835370268</v>
      </c>
      <c r="AF159" s="647">
        <f t="shared" si="296"/>
        <v>28460.335835370268</v>
      </c>
      <c r="AG159" s="647">
        <f t="shared" si="296"/>
        <v>28460.335835370268</v>
      </c>
      <c r="AH159" s="647">
        <f t="shared" si="296"/>
        <v>29314.145910431402</v>
      </c>
      <c r="AI159" s="647">
        <f t="shared" si="296"/>
        <v>29314.145910431402</v>
      </c>
      <c r="AJ159" s="647">
        <f t="shared" si="296"/>
        <v>29314.145910431402</v>
      </c>
      <c r="AK159" s="647">
        <f t="shared" si="296"/>
        <v>29314.145910431402</v>
      </c>
      <c r="AL159" s="647">
        <f t="shared" si="296"/>
        <v>29314.145910431402</v>
      </c>
      <c r="AM159" s="647">
        <f t="shared" ref="AM159:BR159" si="297">IF(AND(MONTH(AM$6)=1,AM$6&lt;=DateDisposition),AM156/12,
IF(AND(AM$5=MonthDisposition+1,MONTH(AM$6)&lt;&gt;1),LOOKUP(EDATE(AM$6,-(MONTH(AM$6)-1)),$6:$6,157:157)/12,
IF(AND(MONTH(AM$6)=1,AM$5&gt;=MonthDisposition+1),AM157/12,AL159)))</f>
        <v>29314.145910431402</v>
      </c>
      <c r="AN159" s="647">
        <f t="shared" si="297"/>
        <v>29314.145910431402</v>
      </c>
      <c r="AO159" s="647">
        <f t="shared" si="297"/>
        <v>29314.145910431402</v>
      </c>
      <c r="AP159" s="647">
        <f t="shared" si="297"/>
        <v>29314.145910431402</v>
      </c>
      <c r="AQ159" s="647">
        <f t="shared" si="297"/>
        <v>29314.145910431402</v>
      </c>
      <c r="AR159" s="647">
        <f t="shared" si="297"/>
        <v>29314.145910431402</v>
      </c>
      <c r="AS159" s="647">
        <f t="shared" si="297"/>
        <v>29314.145910431402</v>
      </c>
      <c r="AT159" s="647">
        <f t="shared" si="297"/>
        <v>30193.570287744373</v>
      </c>
      <c r="AU159" s="647">
        <f t="shared" si="297"/>
        <v>30193.570287744373</v>
      </c>
      <c r="AV159" s="647">
        <f t="shared" si="297"/>
        <v>30193.570287744373</v>
      </c>
      <c r="AW159" s="647">
        <f t="shared" si="297"/>
        <v>30193.570287744373</v>
      </c>
      <c r="AX159" s="647">
        <f t="shared" si="297"/>
        <v>30193.570287744373</v>
      </c>
      <c r="AY159" s="647">
        <f t="shared" si="297"/>
        <v>30193.570287744373</v>
      </c>
      <c r="AZ159" s="647">
        <f t="shared" si="297"/>
        <v>30193.570287744373</v>
      </c>
      <c r="BA159" s="647">
        <f t="shared" si="297"/>
        <v>30193.570287744373</v>
      </c>
      <c r="BB159" s="647">
        <f t="shared" si="297"/>
        <v>30193.570287744373</v>
      </c>
      <c r="BC159" s="647">
        <f t="shared" si="297"/>
        <v>30193.570287744373</v>
      </c>
      <c r="BD159" s="647">
        <f t="shared" si="297"/>
        <v>30193.570287744373</v>
      </c>
      <c r="BE159" s="647">
        <f t="shared" si="297"/>
        <v>30193.570287744373</v>
      </c>
      <c r="BF159" s="647">
        <f t="shared" si="297"/>
        <v>31099.377396376742</v>
      </c>
      <c r="BG159" s="647">
        <f t="shared" si="297"/>
        <v>31099.377396376742</v>
      </c>
      <c r="BH159" s="647">
        <f t="shared" si="297"/>
        <v>31099.377396376742</v>
      </c>
      <c r="BI159" s="647">
        <f t="shared" si="297"/>
        <v>31099.377396376742</v>
      </c>
      <c r="BJ159" s="647">
        <f t="shared" si="297"/>
        <v>31099.377396376742</v>
      </c>
      <c r="BK159" s="647">
        <f t="shared" si="297"/>
        <v>31099.377396376742</v>
      </c>
      <c r="BL159" s="647">
        <f t="shared" si="297"/>
        <v>31099.377396376742</v>
      </c>
      <c r="BM159" s="647">
        <f t="shared" si="297"/>
        <v>31099.377396376742</v>
      </c>
      <c r="BN159" s="647">
        <f t="shared" si="297"/>
        <v>31099.377396376742</v>
      </c>
      <c r="BO159" s="647">
        <f t="shared" si="297"/>
        <v>31099.377396376742</v>
      </c>
      <c r="BP159" s="647">
        <f t="shared" si="297"/>
        <v>31099.377396376742</v>
      </c>
      <c r="BQ159" s="647">
        <f t="shared" si="297"/>
        <v>31099.377396376742</v>
      </c>
      <c r="BR159" s="647">
        <f t="shared" si="297"/>
        <v>32032.358718268075</v>
      </c>
      <c r="BS159" s="647">
        <f t="shared" ref="BS159:CX159" si="298">IF(AND(MONTH(BS$6)=1,BS$6&lt;=DateDisposition),BS156/12,
IF(AND(BS$5=MonthDisposition+1,MONTH(BS$6)&lt;&gt;1),LOOKUP(EDATE(BS$6,-(MONTH(BS$6)-1)),$6:$6,157:157)/12,
IF(AND(MONTH(BS$6)=1,BS$5&gt;=MonthDisposition+1),BS157/12,BR159)))</f>
        <v>32032.358718268075</v>
      </c>
      <c r="BT159" s="647">
        <f t="shared" si="298"/>
        <v>32032.358718268075</v>
      </c>
      <c r="BU159" s="647">
        <f t="shared" si="298"/>
        <v>32032.358718268075</v>
      </c>
      <c r="BV159" s="647">
        <f t="shared" si="298"/>
        <v>32032.358718268075</v>
      </c>
      <c r="BW159" s="647">
        <f t="shared" si="298"/>
        <v>32032.358718268075</v>
      </c>
      <c r="BX159" s="647">
        <f t="shared" si="298"/>
        <v>32032.358718268075</v>
      </c>
      <c r="BY159" s="647">
        <f t="shared" si="298"/>
        <v>32032.358718268075</v>
      </c>
      <c r="BZ159" s="647">
        <f t="shared" si="298"/>
        <v>32032.358718268075</v>
      </c>
      <c r="CA159" s="647">
        <f t="shared" si="298"/>
        <v>32032.358718268075</v>
      </c>
      <c r="CB159" s="647">
        <f t="shared" si="298"/>
        <v>32032.358718268075</v>
      </c>
      <c r="CC159" s="647">
        <f t="shared" si="298"/>
        <v>32032.358718268075</v>
      </c>
      <c r="CD159" s="647">
        <f t="shared" si="298"/>
        <v>32993.329479816144</v>
      </c>
      <c r="CE159" s="647">
        <f t="shared" si="298"/>
        <v>32993.329479816144</v>
      </c>
      <c r="CF159" s="647">
        <f t="shared" si="298"/>
        <v>32993.329479816144</v>
      </c>
      <c r="CG159" s="647">
        <f t="shared" si="298"/>
        <v>32993.329479816144</v>
      </c>
      <c r="CH159" s="647">
        <f t="shared" si="298"/>
        <v>32993.329479816144</v>
      </c>
      <c r="CI159" s="647">
        <f t="shared" si="298"/>
        <v>32993.329479816144</v>
      </c>
      <c r="CJ159" s="647">
        <f t="shared" si="298"/>
        <v>32993.329479816144</v>
      </c>
      <c r="CK159" s="647">
        <f t="shared" si="298"/>
        <v>32993.329479816144</v>
      </c>
      <c r="CL159" s="647">
        <f t="shared" si="298"/>
        <v>32993.329479816144</v>
      </c>
      <c r="CM159" s="647">
        <f t="shared" si="298"/>
        <v>32993.329479816144</v>
      </c>
      <c r="CN159" s="647">
        <f t="shared" si="298"/>
        <v>32993.329479816144</v>
      </c>
      <c r="CO159" s="647">
        <f t="shared" si="298"/>
        <v>32993.329479816144</v>
      </c>
      <c r="CP159" s="647">
        <f t="shared" si="298"/>
        <v>33983.129364210661</v>
      </c>
      <c r="CQ159" s="647">
        <f t="shared" si="298"/>
        <v>33983.129364210661</v>
      </c>
      <c r="CR159" s="647">
        <f t="shared" si="298"/>
        <v>33983.129364210661</v>
      </c>
      <c r="CS159" s="647">
        <f t="shared" si="298"/>
        <v>33983.129364210661</v>
      </c>
      <c r="CT159" s="647">
        <f t="shared" si="298"/>
        <v>33983.129364210661</v>
      </c>
      <c r="CU159" s="647">
        <f t="shared" si="298"/>
        <v>33983.129364210661</v>
      </c>
      <c r="CV159" s="647">
        <f t="shared" si="298"/>
        <v>33983.129364210661</v>
      </c>
      <c r="CW159" s="647">
        <f t="shared" si="298"/>
        <v>33983.129364210661</v>
      </c>
      <c r="CX159" s="647">
        <f t="shared" si="298"/>
        <v>33983.129364210661</v>
      </c>
      <c r="CY159" s="647">
        <f t="shared" ref="CY159:EH159" si="299">IF(AND(MONTH(CY$6)=1,CY$6&lt;=DateDisposition),CY156/12,
IF(AND(CY$5=MonthDisposition+1,MONTH(CY$6)&lt;&gt;1),LOOKUP(EDATE(CY$6,-(MONTH(CY$6)-1)),$6:$6,157:157)/12,
IF(AND(MONTH(CY$6)=1,CY$5&gt;=MonthDisposition+1),CY157/12,CX159)))</f>
        <v>33983.129364210661</v>
      </c>
      <c r="CZ159" s="647">
        <f t="shared" si="299"/>
        <v>33983.129364210661</v>
      </c>
      <c r="DA159" s="647">
        <f t="shared" si="299"/>
        <v>33983.129364210661</v>
      </c>
      <c r="DB159" s="647">
        <f t="shared" si="299"/>
        <v>35002.623245137009</v>
      </c>
      <c r="DC159" s="647">
        <f t="shared" si="299"/>
        <v>35002.623245137009</v>
      </c>
      <c r="DD159" s="647">
        <f t="shared" si="299"/>
        <v>35002.623245137009</v>
      </c>
      <c r="DE159" s="647">
        <f t="shared" si="299"/>
        <v>35002.623245137009</v>
      </c>
      <c r="DF159" s="647">
        <f t="shared" si="299"/>
        <v>35002.623245137009</v>
      </c>
      <c r="DG159" s="647">
        <f t="shared" si="299"/>
        <v>35002.623245137009</v>
      </c>
      <c r="DH159" s="647">
        <f t="shared" si="299"/>
        <v>35002.623245137009</v>
      </c>
      <c r="DI159" s="647">
        <f t="shared" si="299"/>
        <v>35002.623245137009</v>
      </c>
      <c r="DJ159" s="647">
        <f t="shared" si="299"/>
        <v>35002.623245137009</v>
      </c>
      <c r="DK159" s="647">
        <f t="shared" si="299"/>
        <v>35002.623245137009</v>
      </c>
      <c r="DL159" s="647">
        <f t="shared" si="299"/>
        <v>35002.623245137009</v>
      </c>
      <c r="DM159" s="647">
        <f t="shared" si="299"/>
        <v>35002.623245137009</v>
      </c>
      <c r="DN159" s="647">
        <f t="shared" si="299"/>
        <v>36052.701942491149</v>
      </c>
      <c r="DO159" s="647">
        <f t="shared" si="299"/>
        <v>36052.701942491149</v>
      </c>
      <c r="DP159" s="647">
        <f t="shared" si="299"/>
        <v>36052.701942491149</v>
      </c>
      <c r="DQ159" s="647">
        <f t="shared" si="299"/>
        <v>36052.701942491149</v>
      </c>
      <c r="DR159" s="647">
        <f t="shared" si="299"/>
        <v>36052.701942491149</v>
      </c>
      <c r="DS159" s="647">
        <f t="shared" si="299"/>
        <v>36052.701942491149</v>
      </c>
      <c r="DT159" s="647">
        <f t="shared" si="299"/>
        <v>36052.701942491149</v>
      </c>
      <c r="DU159" s="647">
        <f t="shared" si="299"/>
        <v>36052.701942491149</v>
      </c>
      <c r="DV159" s="647">
        <f t="shared" si="299"/>
        <v>36052.701942491149</v>
      </c>
      <c r="DW159" s="647">
        <f t="shared" si="299"/>
        <v>36052.701942491149</v>
      </c>
      <c r="DX159" s="647">
        <f t="shared" si="299"/>
        <v>36052.701942491149</v>
      </c>
      <c r="DY159" s="647">
        <f t="shared" si="299"/>
        <v>36052.701942491149</v>
      </c>
      <c r="DZ159" s="647">
        <f t="shared" si="299"/>
        <v>37134.283000765914</v>
      </c>
      <c r="EA159" s="647">
        <f t="shared" si="299"/>
        <v>37134.283000765914</v>
      </c>
      <c r="EB159" s="647">
        <f t="shared" si="299"/>
        <v>37134.283000765914</v>
      </c>
      <c r="EC159" s="647">
        <f t="shared" si="299"/>
        <v>37134.283000765914</v>
      </c>
      <c r="ED159" s="647">
        <f t="shared" si="299"/>
        <v>37134.283000765914</v>
      </c>
      <c r="EE159" s="647">
        <f t="shared" si="299"/>
        <v>37134.283000765914</v>
      </c>
      <c r="EF159" s="647">
        <f t="shared" si="299"/>
        <v>37134.283000765914</v>
      </c>
      <c r="EG159" s="647">
        <f t="shared" si="299"/>
        <v>37134.283000765914</v>
      </c>
      <c r="EH159" s="647">
        <f t="shared" si="299"/>
        <v>37134.283000765914</v>
      </c>
      <c r="EK159" s="280"/>
    </row>
    <row r="160" spans="1:141" ht="15" hidden="1" thickTop="1" x14ac:dyDescent="0.3">
      <c r="A160" s="691" t="str">
        <f>'Operating Inputs'!A122</f>
        <v>Contracts</v>
      </c>
      <c r="B160" s="200"/>
      <c r="C160" s="200"/>
      <c r="D160" s="200"/>
      <c r="E160" s="230"/>
      <c r="F160" s="230"/>
      <c r="G160" s="230"/>
      <c r="H160" s="230"/>
      <c r="I160" s="230"/>
      <c r="J160" s="230"/>
      <c r="K160" s="230"/>
      <c r="L160" s="230"/>
      <c r="M160" s="230"/>
      <c r="N160" s="230"/>
      <c r="O160" s="230"/>
      <c r="P160" s="230"/>
      <c r="Q160" s="230"/>
      <c r="R160" s="230"/>
      <c r="S160" s="230"/>
      <c r="T160" s="230"/>
      <c r="U160" s="230"/>
      <c r="V160" s="230"/>
      <c r="W160" s="230"/>
      <c r="X160" s="230"/>
      <c r="Y160" s="230"/>
      <c r="Z160" s="230"/>
      <c r="AA160" s="230"/>
      <c r="AB160" s="230"/>
      <c r="AC160" s="230"/>
      <c r="AD160" s="230"/>
      <c r="AE160" s="230"/>
      <c r="AF160" s="230"/>
      <c r="AG160" s="230"/>
      <c r="AH160" s="230"/>
      <c r="AI160" s="230"/>
      <c r="AJ160" s="230"/>
      <c r="AK160" s="230"/>
      <c r="AL160" s="230"/>
      <c r="AM160" s="230"/>
      <c r="AN160" s="230"/>
      <c r="AO160" s="230"/>
      <c r="AP160" s="230"/>
      <c r="AQ160" s="230"/>
      <c r="AR160" s="230"/>
      <c r="AS160" s="230"/>
      <c r="AT160" s="230"/>
      <c r="AU160" s="230"/>
      <c r="AV160" s="230"/>
      <c r="AW160" s="230"/>
      <c r="AX160" s="230"/>
      <c r="AY160" s="230"/>
      <c r="AZ160" s="230"/>
      <c r="BA160" s="230"/>
      <c r="BB160" s="230"/>
      <c r="BC160" s="230"/>
      <c r="BD160" s="230"/>
      <c r="BE160" s="230"/>
      <c r="BF160" s="230"/>
      <c r="BG160" s="230"/>
      <c r="BH160" s="230"/>
      <c r="BI160" s="230"/>
      <c r="BJ160" s="230"/>
      <c r="BK160" s="230"/>
      <c r="BL160" s="230"/>
      <c r="BM160" s="230"/>
      <c r="BN160" s="230"/>
      <c r="BO160" s="230"/>
      <c r="BP160" s="230"/>
      <c r="BQ160" s="230"/>
      <c r="BR160" s="230"/>
      <c r="BS160" s="230"/>
      <c r="BT160" s="230"/>
      <c r="BU160" s="230"/>
      <c r="BV160" s="230"/>
      <c r="BW160" s="230"/>
      <c r="BX160" s="230"/>
      <c r="BY160" s="230"/>
      <c r="BZ160" s="230"/>
      <c r="CA160" s="230"/>
      <c r="CB160" s="230"/>
      <c r="CC160" s="230"/>
      <c r="CD160" s="230"/>
      <c r="CE160" s="230"/>
      <c r="CF160" s="230"/>
      <c r="CG160" s="230"/>
      <c r="CH160" s="230"/>
      <c r="CI160" s="230"/>
      <c r="CJ160" s="230"/>
      <c r="CK160" s="230"/>
      <c r="CL160" s="230"/>
      <c r="CM160" s="230"/>
      <c r="CN160" s="230"/>
      <c r="CO160" s="230"/>
      <c r="CP160" s="230"/>
      <c r="CQ160" s="230"/>
      <c r="CR160" s="230"/>
      <c r="CS160" s="230"/>
      <c r="CT160" s="230"/>
      <c r="CU160" s="230"/>
      <c r="CV160" s="230"/>
      <c r="CW160" s="230"/>
      <c r="CX160" s="230"/>
      <c r="CY160" s="230"/>
      <c r="CZ160" s="230"/>
      <c r="DA160" s="230"/>
      <c r="DB160" s="230"/>
      <c r="DC160" s="230"/>
      <c r="DD160" s="230"/>
      <c r="DE160" s="230"/>
      <c r="DF160" s="230"/>
      <c r="DG160" s="230"/>
      <c r="DH160" s="230"/>
      <c r="DI160" s="230"/>
      <c r="DJ160" s="230"/>
      <c r="DK160" s="230"/>
      <c r="DL160" s="230"/>
      <c r="DM160" s="230"/>
      <c r="DN160" s="230"/>
      <c r="DO160" s="230"/>
      <c r="DP160" s="230"/>
      <c r="DQ160" s="230"/>
      <c r="DR160" s="230"/>
      <c r="DS160" s="230"/>
      <c r="DT160" s="230"/>
      <c r="DU160" s="230"/>
      <c r="DV160" s="230"/>
      <c r="DW160" s="230"/>
      <c r="DX160" s="230"/>
      <c r="DY160" s="230"/>
      <c r="DZ160" s="230"/>
      <c r="EA160" s="230"/>
      <c r="EB160" s="230"/>
      <c r="EC160" s="230"/>
      <c r="ED160" s="230"/>
      <c r="EE160" s="230"/>
      <c r="EF160" s="230"/>
      <c r="EG160" s="230"/>
      <c r="EH160" s="230"/>
      <c r="EK160" s="672"/>
    </row>
    <row r="161" spans="1:141" ht="15" hidden="1" thickTop="1" x14ac:dyDescent="0.3">
      <c r="A161" s="684" t="s">
        <v>2445</v>
      </c>
      <c r="B161" s="200"/>
      <c r="C161" s="200"/>
      <c r="D161" s="200"/>
      <c r="E161" s="230"/>
      <c r="F161" s="230">
        <f>OtherControllable</f>
        <v>227118.55213083175</v>
      </c>
      <c r="G161" s="230">
        <f t="shared" ref="G161:BR162" si="300">G$135*F161</f>
        <v>227678.68775068139</v>
      </c>
      <c r="H161" s="230">
        <f t="shared" si="300"/>
        <v>228240.20481607868</v>
      </c>
      <c r="I161" s="230">
        <f t="shared" si="300"/>
        <v>228803.10673404098</v>
      </c>
      <c r="J161" s="230">
        <f t="shared" si="300"/>
        <v>229367.39691998833</v>
      </c>
      <c r="K161" s="230">
        <f t="shared" si="300"/>
        <v>229933.07879776409</v>
      </c>
      <c r="L161" s="230">
        <f t="shared" si="300"/>
        <v>230500.15579965574</v>
      </c>
      <c r="M161" s="230">
        <f t="shared" si="300"/>
        <v>231068.63136641571</v>
      </c>
      <c r="N161" s="230">
        <f t="shared" si="300"/>
        <v>231638.50894728227</v>
      </c>
      <c r="O161" s="230">
        <f t="shared" si="300"/>
        <v>232209.79200000045</v>
      </c>
      <c r="P161" s="230">
        <f t="shared" si="300"/>
        <v>232782.48399084297</v>
      </c>
      <c r="Q161" s="230">
        <f t="shared" si="300"/>
        <v>233356.58839463134</v>
      </c>
      <c r="R161" s="230">
        <f t="shared" si="300"/>
        <v>233932.10869475693</v>
      </c>
      <c r="S161" s="230">
        <f t="shared" si="300"/>
        <v>234509.04838320205</v>
      </c>
      <c r="T161" s="230">
        <f t="shared" si="300"/>
        <v>235087.41096056125</v>
      </c>
      <c r="U161" s="230">
        <f t="shared" si="300"/>
        <v>235667.19993606242</v>
      </c>
      <c r="V161" s="230">
        <f t="shared" si="300"/>
        <v>236248.41882758818</v>
      </c>
      <c r="W161" s="230">
        <f t="shared" si="300"/>
        <v>236831.07116169721</v>
      </c>
      <c r="X161" s="230">
        <f t="shared" si="300"/>
        <v>237415.16047364561</v>
      </c>
      <c r="Y161" s="230">
        <f t="shared" si="300"/>
        <v>238000.6903074084</v>
      </c>
      <c r="Z161" s="230">
        <f t="shared" si="300"/>
        <v>238587.66421570096</v>
      </c>
      <c r="AA161" s="230">
        <f t="shared" si="300"/>
        <v>239176.08576000069</v>
      </c>
      <c r="AB161" s="230">
        <f t="shared" si="300"/>
        <v>239765.95851056848</v>
      </c>
      <c r="AC161" s="230">
        <f t="shared" si="300"/>
        <v>240357.28604647052</v>
      </c>
      <c r="AD161" s="230">
        <f t="shared" si="300"/>
        <v>240950.07195559988</v>
      </c>
      <c r="AE161" s="230">
        <f t="shared" si="300"/>
        <v>241544.31983469837</v>
      </c>
      <c r="AF161" s="230">
        <f t="shared" si="300"/>
        <v>242140.03328937833</v>
      </c>
      <c r="AG161" s="230">
        <f t="shared" si="300"/>
        <v>242737.21593414454</v>
      </c>
      <c r="AH161" s="230">
        <f t="shared" si="300"/>
        <v>243335.87139241607</v>
      </c>
      <c r="AI161" s="230">
        <f t="shared" si="300"/>
        <v>243936.00329654836</v>
      </c>
      <c r="AJ161" s="230">
        <f t="shared" si="300"/>
        <v>244537.61528785521</v>
      </c>
      <c r="AK161" s="230">
        <f t="shared" si="300"/>
        <v>245140.71101663087</v>
      </c>
      <c r="AL161" s="230">
        <f t="shared" si="300"/>
        <v>245745.29414217221</v>
      </c>
      <c r="AM161" s="230">
        <f t="shared" si="300"/>
        <v>246351.36833280092</v>
      </c>
      <c r="AN161" s="230">
        <f t="shared" si="300"/>
        <v>246958.93726588576</v>
      </c>
      <c r="AO161" s="230">
        <f t="shared" si="300"/>
        <v>247568.00462786487</v>
      </c>
      <c r="AP161" s="230">
        <f t="shared" si="300"/>
        <v>248178.57411426812</v>
      </c>
      <c r="AQ161" s="230">
        <f t="shared" si="300"/>
        <v>248790.64942973957</v>
      </c>
      <c r="AR161" s="230">
        <f t="shared" si="300"/>
        <v>249404.23428805993</v>
      </c>
      <c r="AS161" s="230">
        <f t="shared" si="300"/>
        <v>250019.33241216911</v>
      </c>
      <c r="AT161" s="230">
        <f t="shared" si="300"/>
        <v>250635.9475341888</v>
      </c>
      <c r="AU161" s="230">
        <f t="shared" si="300"/>
        <v>251254.08339544508</v>
      </c>
      <c r="AV161" s="230">
        <f t="shared" si="300"/>
        <v>251873.74374649115</v>
      </c>
      <c r="AW161" s="230">
        <f t="shared" si="300"/>
        <v>252494.93234713009</v>
      </c>
      <c r="AX161" s="230">
        <f t="shared" si="300"/>
        <v>253117.65296643769</v>
      </c>
      <c r="AY161" s="230">
        <f t="shared" si="300"/>
        <v>253741.90938278526</v>
      </c>
      <c r="AZ161" s="230">
        <f t="shared" si="300"/>
        <v>254367.70538386266</v>
      </c>
      <c r="BA161" s="230">
        <f t="shared" si="300"/>
        <v>254995.04476670112</v>
      </c>
      <c r="BB161" s="230">
        <f t="shared" si="300"/>
        <v>255623.93133769647</v>
      </c>
      <c r="BC161" s="230">
        <f t="shared" si="300"/>
        <v>256254.36891263205</v>
      </c>
      <c r="BD161" s="230">
        <f t="shared" si="300"/>
        <v>256886.36131670204</v>
      </c>
      <c r="BE161" s="230">
        <f t="shared" si="300"/>
        <v>257519.91238453452</v>
      </c>
      <c r="BF161" s="230">
        <f t="shared" si="300"/>
        <v>258155.02596021479</v>
      </c>
      <c r="BG161" s="230">
        <f t="shared" si="300"/>
        <v>258791.70589730874</v>
      </c>
      <c r="BH161" s="230">
        <f t="shared" si="300"/>
        <v>259429.95605888619</v>
      </c>
      <c r="BI161" s="230">
        <f t="shared" si="300"/>
        <v>260069.7803175443</v>
      </c>
      <c r="BJ161" s="230">
        <f t="shared" si="300"/>
        <v>260711.18255543112</v>
      </c>
      <c r="BK161" s="230">
        <f t="shared" si="300"/>
        <v>261354.16666426914</v>
      </c>
      <c r="BL161" s="230">
        <f t="shared" si="300"/>
        <v>261998.73654537884</v>
      </c>
      <c r="BM161" s="230">
        <f t="shared" si="300"/>
        <v>262644.89610970247</v>
      </c>
      <c r="BN161" s="230">
        <f t="shared" si="300"/>
        <v>263292.6492778277</v>
      </c>
      <c r="BO161" s="230">
        <f t="shared" si="300"/>
        <v>263941.99998001137</v>
      </c>
      <c r="BP161" s="230">
        <f t="shared" si="300"/>
        <v>264592.95215620345</v>
      </c>
      <c r="BQ161" s="230">
        <f t="shared" si="300"/>
        <v>265245.50975607091</v>
      </c>
      <c r="BR161" s="230">
        <f t="shared" si="300"/>
        <v>265899.67673902161</v>
      </c>
      <c r="BS161" s="230">
        <f t="shared" ref="BS161:ED162" si="301">BS$135*BR161</f>
        <v>266555.45707422838</v>
      </c>
      <c r="BT161" s="230">
        <f t="shared" si="301"/>
        <v>267212.85474065313</v>
      </c>
      <c r="BU161" s="230">
        <f t="shared" si="301"/>
        <v>267871.87372707098</v>
      </c>
      <c r="BV161" s="230">
        <f t="shared" si="301"/>
        <v>268532.51803209441</v>
      </c>
      <c r="BW161" s="230">
        <f t="shared" si="301"/>
        <v>269194.79166419758</v>
      </c>
      <c r="BX161" s="230">
        <f t="shared" si="301"/>
        <v>269858.6986417406</v>
      </c>
      <c r="BY161" s="230">
        <f t="shared" si="301"/>
        <v>270524.24299299391</v>
      </c>
      <c r="BZ161" s="230">
        <f t="shared" si="301"/>
        <v>271191.42875616287</v>
      </c>
      <c r="CA161" s="230">
        <f t="shared" si="301"/>
        <v>271860.25997941202</v>
      </c>
      <c r="CB161" s="230">
        <f t="shared" si="301"/>
        <v>272530.74072088988</v>
      </c>
      <c r="CC161" s="230">
        <f t="shared" si="301"/>
        <v>273202.87504875334</v>
      </c>
      <c r="CD161" s="230">
        <f t="shared" si="301"/>
        <v>273876.66704119253</v>
      </c>
      <c r="CE161" s="230">
        <f t="shared" si="301"/>
        <v>274552.12078645552</v>
      </c>
      <c r="CF161" s="230">
        <f t="shared" si="301"/>
        <v>275229.24038287305</v>
      </c>
      <c r="CG161" s="230">
        <f t="shared" si="301"/>
        <v>275908.02993888344</v>
      </c>
      <c r="CH161" s="230">
        <f t="shared" si="301"/>
        <v>276588.49357305758</v>
      </c>
      <c r="CI161" s="230">
        <f t="shared" si="301"/>
        <v>277270.63541412383</v>
      </c>
      <c r="CJ161" s="230">
        <f t="shared" si="301"/>
        <v>277954.45960099314</v>
      </c>
      <c r="CK161" s="230">
        <f t="shared" si="301"/>
        <v>278639.97028278408</v>
      </c>
      <c r="CL161" s="230">
        <f t="shared" si="301"/>
        <v>279327.17161884811</v>
      </c>
      <c r="CM161" s="230">
        <f t="shared" si="301"/>
        <v>280016.06777879474</v>
      </c>
      <c r="CN161" s="230">
        <f t="shared" si="301"/>
        <v>280706.66294251691</v>
      </c>
      <c r="CO161" s="230">
        <f t="shared" si="301"/>
        <v>281398.96130021627</v>
      </c>
      <c r="CP161" s="230">
        <f t="shared" si="301"/>
        <v>282092.96705242863</v>
      </c>
      <c r="CQ161" s="230">
        <f t="shared" si="301"/>
        <v>282788.68441004952</v>
      </c>
      <c r="CR161" s="230">
        <f t="shared" si="301"/>
        <v>283486.11759435956</v>
      </c>
      <c r="CS161" s="230">
        <f t="shared" si="301"/>
        <v>284185.27083705028</v>
      </c>
      <c r="CT161" s="230">
        <f t="shared" si="301"/>
        <v>284886.14838024962</v>
      </c>
      <c r="CU161" s="230">
        <f t="shared" si="301"/>
        <v>285588.75447654788</v>
      </c>
      <c r="CV161" s="230">
        <f t="shared" si="301"/>
        <v>286293.09338902327</v>
      </c>
      <c r="CW161" s="230">
        <f t="shared" si="301"/>
        <v>286999.16939126793</v>
      </c>
      <c r="CX161" s="230">
        <f t="shared" si="301"/>
        <v>287706.98676741391</v>
      </c>
      <c r="CY161" s="230">
        <f t="shared" si="301"/>
        <v>288416.54981215898</v>
      </c>
      <c r="CZ161" s="230">
        <f t="shared" si="301"/>
        <v>289127.86283079284</v>
      </c>
      <c r="DA161" s="230">
        <f t="shared" si="301"/>
        <v>289840.93013922317</v>
      </c>
      <c r="DB161" s="230">
        <f t="shared" si="301"/>
        <v>290555.75606400194</v>
      </c>
      <c r="DC161" s="230">
        <f t="shared" si="301"/>
        <v>291272.34494235145</v>
      </c>
      <c r="DD161" s="230">
        <f t="shared" si="301"/>
        <v>291990.7011221908</v>
      </c>
      <c r="DE161" s="230">
        <f t="shared" si="301"/>
        <v>292710.8289621622</v>
      </c>
      <c r="DF161" s="230">
        <f t="shared" si="301"/>
        <v>293432.73283165751</v>
      </c>
      <c r="DG161" s="230">
        <f t="shared" si="301"/>
        <v>294156.41711084469</v>
      </c>
      <c r="DH161" s="230">
        <f t="shared" si="301"/>
        <v>294881.88619069435</v>
      </c>
      <c r="DI161" s="230">
        <f t="shared" si="301"/>
        <v>295609.14447300637</v>
      </c>
      <c r="DJ161" s="230">
        <f t="shared" si="301"/>
        <v>296338.19637043669</v>
      </c>
      <c r="DK161" s="230">
        <f t="shared" si="301"/>
        <v>297069.04630652408</v>
      </c>
      <c r="DL161" s="230">
        <f t="shared" si="301"/>
        <v>297801.69871571695</v>
      </c>
      <c r="DM161" s="230">
        <f t="shared" si="301"/>
        <v>298536.15804340021</v>
      </c>
      <c r="DN161" s="230">
        <f t="shared" si="301"/>
        <v>299272.42874592234</v>
      </c>
      <c r="DO161" s="230">
        <f t="shared" si="301"/>
        <v>300010.51529062231</v>
      </c>
      <c r="DP161" s="230">
        <f t="shared" si="301"/>
        <v>300750.4221558568</v>
      </c>
      <c r="DQ161" s="230">
        <f t="shared" si="301"/>
        <v>301492.15383102733</v>
      </c>
      <c r="DR161" s="230">
        <f t="shared" si="301"/>
        <v>302235.71481660753</v>
      </c>
      <c r="DS161" s="230">
        <f t="shared" si="301"/>
        <v>302981.10962417035</v>
      </c>
      <c r="DT161" s="230">
        <f t="shared" si="301"/>
        <v>303728.34277641546</v>
      </c>
      <c r="DU161" s="230">
        <f t="shared" si="301"/>
        <v>304477.41880719684</v>
      </c>
      <c r="DV161" s="230">
        <f t="shared" si="301"/>
        <v>305228.34226155007</v>
      </c>
      <c r="DW161" s="230">
        <f t="shared" si="301"/>
        <v>305981.11769572011</v>
      </c>
      <c r="DX161" s="230">
        <f t="shared" si="301"/>
        <v>306735.74967718875</v>
      </c>
      <c r="DY161" s="230">
        <f t="shared" si="301"/>
        <v>307492.24278470251</v>
      </c>
      <c r="DZ161" s="230">
        <f t="shared" si="301"/>
        <v>308250.60160830029</v>
      </c>
      <c r="EA161" s="230">
        <f t="shared" si="301"/>
        <v>309010.83074934129</v>
      </c>
      <c r="EB161" s="230">
        <f t="shared" si="301"/>
        <v>309772.93482053286</v>
      </c>
      <c r="EC161" s="230">
        <f t="shared" si="301"/>
        <v>310536.91844595852</v>
      </c>
      <c r="ED161" s="230">
        <f t="shared" si="301"/>
        <v>311302.78626110614</v>
      </c>
      <c r="EE161" s="230">
        <f t="shared" ref="EE161:EH162" si="302">EE$135*ED161</f>
        <v>312070.54291289585</v>
      </c>
      <c r="EF161" s="230">
        <f t="shared" si="302"/>
        <v>312840.19305970834</v>
      </c>
      <c r="EG161" s="230">
        <f t="shared" si="302"/>
        <v>313611.74137141317</v>
      </c>
      <c r="EH161" s="230">
        <f t="shared" si="302"/>
        <v>314385.19252939703</v>
      </c>
      <c r="EK161" s="280"/>
    </row>
    <row r="162" spans="1:141" ht="15" hidden="1" thickTop="1" x14ac:dyDescent="0.3">
      <c r="A162" s="684" t="s">
        <v>2446</v>
      </c>
      <c r="B162" s="200"/>
      <c r="C162" s="200"/>
      <c r="D162" s="200"/>
      <c r="E162" s="230"/>
      <c r="F162" s="230">
        <f>'Operating Inputs'!$M$122*Units*(1+PrestartExpGwth)</f>
        <v>227118.55213083175</v>
      </c>
      <c r="G162" s="230">
        <f>G$135*F162</f>
        <v>227678.68775068139</v>
      </c>
      <c r="H162" s="230">
        <f t="shared" si="300"/>
        <v>228240.20481607868</v>
      </c>
      <c r="I162" s="230">
        <f t="shared" si="300"/>
        <v>228803.10673404098</v>
      </c>
      <c r="J162" s="230">
        <f t="shared" si="300"/>
        <v>229367.39691998833</v>
      </c>
      <c r="K162" s="230">
        <f t="shared" si="300"/>
        <v>229933.07879776409</v>
      </c>
      <c r="L162" s="230">
        <f t="shared" si="300"/>
        <v>230500.15579965574</v>
      </c>
      <c r="M162" s="230">
        <f t="shared" si="300"/>
        <v>231068.63136641571</v>
      </c>
      <c r="N162" s="230">
        <f t="shared" si="300"/>
        <v>231638.50894728227</v>
      </c>
      <c r="O162" s="230">
        <f t="shared" si="300"/>
        <v>232209.79200000045</v>
      </c>
      <c r="P162" s="230">
        <f t="shared" si="300"/>
        <v>232782.48399084297</v>
      </c>
      <c r="Q162" s="230">
        <f t="shared" si="300"/>
        <v>233356.58839463134</v>
      </c>
      <c r="R162" s="230">
        <f t="shared" si="300"/>
        <v>233932.10869475693</v>
      </c>
      <c r="S162" s="230">
        <f t="shared" si="300"/>
        <v>234509.04838320205</v>
      </c>
      <c r="T162" s="230">
        <f t="shared" si="300"/>
        <v>235087.41096056125</v>
      </c>
      <c r="U162" s="230">
        <f t="shared" si="300"/>
        <v>235667.19993606242</v>
      </c>
      <c r="V162" s="230">
        <f t="shared" si="300"/>
        <v>236248.41882758818</v>
      </c>
      <c r="W162" s="230">
        <f t="shared" si="300"/>
        <v>236831.07116169721</v>
      </c>
      <c r="X162" s="230">
        <f t="shared" si="300"/>
        <v>237415.16047364561</v>
      </c>
      <c r="Y162" s="230">
        <f t="shared" si="300"/>
        <v>238000.6903074084</v>
      </c>
      <c r="Z162" s="230">
        <f t="shared" si="300"/>
        <v>238587.66421570096</v>
      </c>
      <c r="AA162" s="230">
        <f t="shared" si="300"/>
        <v>239176.08576000069</v>
      </c>
      <c r="AB162" s="230">
        <f t="shared" si="300"/>
        <v>239765.95851056848</v>
      </c>
      <c r="AC162" s="230">
        <f t="shared" si="300"/>
        <v>240357.28604647052</v>
      </c>
      <c r="AD162" s="230">
        <f t="shared" si="300"/>
        <v>240950.07195559988</v>
      </c>
      <c r="AE162" s="230">
        <f t="shared" si="300"/>
        <v>241544.31983469837</v>
      </c>
      <c r="AF162" s="230">
        <f t="shared" si="300"/>
        <v>242140.03328937833</v>
      </c>
      <c r="AG162" s="230">
        <f t="shared" si="300"/>
        <v>242737.21593414454</v>
      </c>
      <c r="AH162" s="230">
        <f t="shared" si="300"/>
        <v>243335.87139241607</v>
      </c>
      <c r="AI162" s="230">
        <f t="shared" si="300"/>
        <v>243936.00329654836</v>
      </c>
      <c r="AJ162" s="230">
        <f t="shared" si="300"/>
        <v>244537.61528785521</v>
      </c>
      <c r="AK162" s="230">
        <f t="shared" si="300"/>
        <v>245140.71101663087</v>
      </c>
      <c r="AL162" s="230">
        <f t="shared" si="300"/>
        <v>245745.29414217221</v>
      </c>
      <c r="AM162" s="230">
        <f t="shared" si="300"/>
        <v>246351.36833280092</v>
      </c>
      <c r="AN162" s="230">
        <f t="shared" si="300"/>
        <v>246958.93726588576</v>
      </c>
      <c r="AO162" s="230">
        <f t="shared" si="300"/>
        <v>247568.00462786487</v>
      </c>
      <c r="AP162" s="230">
        <f t="shared" si="300"/>
        <v>248178.57411426812</v>
      </c>
      <c r="AQ162" s="230">
        <f t="shared" si="300"/>
        <v>248790.64942973957</v>
      </c>
      <c r="AR162" s="230">
        <f t="shared" si="300"/>
        <v>249404.23428805993</v>
      </c>
      <c r="AS162" s="230">
        <f t="shared" si="300"/>
        <v>250019.33241216911</v>
      </c>
      <c r="AT162" s="230">
        <f t="shared" si="300"/>
        <v>250635.9475341888</v>
      </c>
      <c r="AU162" s="230">
        <f t="shared" si="300"/>
        <v>251254.08339544508</v>
      </c>
      <c r="AV162" s="230">
        <f t="shared" si="300"/>
        <v>251873.74374649115</v>
      </c>
      <c r="AW162" s="230">
        <f t="shared" si="300"/>
        <v>252494.93234713009</v>
      </c>
      <c r="AX162" s="230">
        <f t="shared" si="300"/>
        <v>253117.65296643769</v>
      </c>
      <c r="AY162" s="230">
        <f t="shared" si="300"/>
        <v>253741.90938278526</v>
      </c>
      <c r="AZ162" s="230">
        <f t="shared" si="300"/>
        <v>254367.70538386266</v>
      </c>
      <c r="BA162" s="230">
        <f t="shared" si="300"/>
        <v>254995.04476670112</v>
      </c>
      <c r="BB162" s="230">
        <f t="shared" si="300"/>
        <v>255623.93133769647</v>
      </c>
      <c r="BC162" s="230">
        <f t="shared" si="300"/>
        <v>256254.36891263205</v>
      </c>
      <c r="BD162" s="230">
        <f t="shared" si="300"/>
        <v>256886.36131670204</v>
      </c>
      <c r="BE162" s="230">
        <f t="shared" si="300"/>
        <v>257519.91238453452</v>
      </c>
      <c r="BF162" s="230">
        <f t="shared" si="300"/>
        <v>258155.02596021479</v>
      </c>
      <c r="BG162" s="230">
        <f t="shared" si="300"/>
        <v>258791.70589730874</v>
      </c>
      <c r="BH162" s="230">
        <f t="shared" si="300"/>
        <v>259429.95605888619</v>
      </c>
      <c r="BI162" s="230">
        <f t="shared" si="300"/>
        <v>260069.7803175443</v>
      </c>
      <c r="BJ162" s="230">
        <f t="shared" si="300"/>
        <v>260711.18255543112</v>
      </c>
      <c r="BK162" s="230">
        <f t="shared" si="300"/>
        <v>261354.16666426914</v>
      </c>
      <c r="BL162" s="230">
        <f t="shared" si="300"/>
        <v>261998.73654537884</v>
      </c>
      <c r="BM162" s="230">
        <f t="shared" si="300"/>
        <v>262644.89610970247</v>
      </c>
      <c r="BN162" s="230">
        <f t="shared" si="300"/>
        <v>263292.6492778277</v>
      </c>
      <c r="BO162" s="230">
        <f t="shared" si="300"/>
        <v>263941.99998001137</v>
      </c>
      <c r="BP162" s="230">
        <f t="shared" si="300"/>
        <v>264592.95215620345</v>
      </c>
      <c r="BQ162" s="230">
        <f t="shared" si="300"/>
        <v>265245.50975607091</v>
      </c>
      <c r="BR162" s="230">
        <f t="shared" si="300"/>
        <v>265899.67673902161</v>
      </c>
      <c r="BS162" s="230">
        <f t="shared" si="301"/>
        <v>266555.45707422838</v>
      </c>
      <c r="BT162" s="230">
        <f t="shared" si="301"/>
        <v>267212.85474065313</v>
      </c>
      <c r="BU162" s="230">
        <f t="shared" si="301"/>
        <v>267871.87372707098</v>
      </c>
      <c r="BV162" s="230">
        <f t="shared" si="301"/>
        <v>268532.51803209441</v>
      </c>
      <c r="BW162" s="230">
        <f t="shared" si="301"/>
        <v>269194.79166419758</v>
      </c>
      <c r="BX162" s="230">
        <f t="shared" si="301"/>
        <v>269858.6986417406</v>
      </c>
      <c r="BY162" s="230">
        <f t="shared" si="301"/>
        <v>270524.24299299391</v>
      </c>
      <c r="BZ162" s="230">
        <f t="shared" si="301"/>
        <v>271191.42875616287</v>
      </c>
      <c r="CA162" s="230">
        <f t="shared" si="301"/>
        <v>271860.25997941202</v>
      </c>
      <c r="CB162" s="230">
        <f t="shared" si="301"/>
        <v>272530.74072088988</v>
      </c>
      <c r="CC162" s="230">
        <f t="shared" si="301"/>
        <v>273202.87504875334</v>
      </c>
      <c r="CD162" s="230">
        <f t="shared" si="301"/>
        <v>273876.66704119253</v>
      </c>
      <c r="CE162" s="230">
        <f t="shared" si="301"/>
        <v>274552.12078645552</v>
      </c>
      <c r="CF162" s="230">
        <f t="shared" si="301"/>
        <v>275229.24038287305</v>
      </c>
      <c r="CG162" s="230">
        <f t="shared" si="301"/>
        <v>275908.02993888344</v>
      </c>
      <c r="CH162" s="230">
        <f t="shared" si="301"/>
        <v>276588.49357305758</v>
      </c>
      <c r="CI162" s="230">
        <f t="shared" si="301"/>
        <v>277270.63541412383</v>
      </c>
      <c r="CJ162" s="230">
        <f t="shared" si="301"/>
        <v>277954.45960099314</v>
      </c>
      <c r="CK162" s="230">
        <f t="shared" si="301"/>
        <v>278639.97028278408</v>
      </c>
      <c r="CL162" s="230">
        <f t="shared" si="301"/>
        <v>279327.17161884811</v>
      </c>
      <c r="CM162" s="230">
        <f t="shared" si="301"/>
        <v>280016.06777879474</v>
      </c>
      <c r="CN162" s="230">
        <f t="shared" si="301"/>
        <v>280706.66294251691</v>
      </c>
      <c r="CO162" s="230">
        <f t="shared" si="301"/>
        <v>281398.96130021627</v>
      </c>
      <c r="CP162" s="230">
        <f t="shared" si="301"/>
        <v>282092.96705242863</v>
      </c>
      <c r="CQ162" s="230">
        <f t="shared" si="301"/>
        <v>282788.68441004952</v>
      </c>
      <c r="CR162" s="230">
        <f t="shared" si="301"/>
        <v>283486.11759435956</v>
      </c>
      <c r="CS162" s="230">
        <f t="shared" si="301"/>
        <v>284185.27083705028</v>
      </c>
      <c r="CT162" s="230">
        <f t="shared" si="301"/>
        <v>284886.14838024962</v>
      </c>
      <c r="CU162" s="230">
        <f t="shared" si="301"/>
        <v>285588.75447654788</v>
      </c>
      <c r="CV162" s="230">
        <f t="shared" si="301"/>
        <v>286293.09338902327</v>
      </c>
      <c r="CW162" s="230">
        <f t="shared" si="301"/>
        <v>286999.16939126793</v>
      </c>
      <c r="CX162" s="230">
        <f t="shared" si="301"/>
        <v>287706.98676741391</v>
      </c>
      <c r="CY162" s="230">
        <f t="shared" si="301"/>
        <v>288416.54981215898</v>
      </c>
      <c r="CZ162" s="230">
        <f t="shared" si="301"/>
        <v>289127.86283079284</v>
      </c>
      <c r="DA162" s="230">
        <f t="shared" si="301"/>
        <v>289840.93013922317</v>
      </c>
      <c r="DB162" s="230">
        <f t="shared" si="301"/>
        <v>290555.75606400194</v>
      </c>
      <c r="DC162" s="230">
        <f t="shared" si="301"/>
        <v>291272.34494235145</v>
      </c>
      <c r="DD162" s="230">
        <f t="shared" si="301"/>
        <v>291990.7011221908</v>
      </c>
      <c r="DE162" s="230">
        <f t="shared" si="301"/>
        <v>292710.8289621622</v>
      </c>
      <c r="DF162" s="230">
        <f t="shared" si="301"/>
        <v>293432.73283165751</v>
      </c>
      <c r="DG162" s="230">
        <f t="shared" si="301"/>
        <v>294156.41711084469</v>
      </c>
      <c r="DH162" s="230">
        <f t="shared" si="301"/>
        <v>294881.88619069435</v>
      </c>
      <c r="DI162" s="230">
        <f t="shared" si="301"/>
        <v>295609.14447300637</v>
      </c>
      <c r="DJ162" s="230">
        <f t="shared" si="301"/>
        <v>296338.19637043669</v>
      </c>
      <c r="DK162" s="230">
        <f t="shared" si="301"/>
        <v>297069.04630652408</v>
      </c>
      <c r="DL162" s="230">
        <f t="shared" si="301"/>
        <v>297801.69871571695</v>
      </c>
      <c r="DM162" s="230">
        <f t="shared" si="301"/>
        <v>298536.15804340021</v>
      </c>
      <c r="DN162" s="230">
        <f t="shared" si="301"/>
        <v>299272.42874592234</v>
      </c>
      <c r="DO162" s="230">
        <f t="shared" si="301"/>
        <v>300010.51529062231</v>
      </c>
      <c r="DP162" s="230">
        <f t="shared" si="301"/>
        <v>300750.4221558568</v>
      </c>
      <c r="DQ162" s="230">
        <f t="shared" si="301"/>
        <v>301492.15383102733</v>
      </c>
      <c r="DR162" s="230">
        <f t="shared" si="301"/>
        <v>302235.71481660753</v>
      </c>
      <c r="DS162" s="230">
        <f t="shared" si="301"/>
        <v>302981.10962417035</v>
      </c>
      <c r="DT162" s="230">
        <f t="shared" si="301"/>
        <v>303728.34277641546</v>
      </c>
      <c r="DU162" s="230">
        <f t="shared" si="301"/>
        <v>304477.41880719684</v>
      </c>
      <c r="DV162" s="230">
        <f t="shared" si="301"/>
        <v>305228.34226155007</v>
      </c>
      <c r="DW162" s="230">
        <f t="shared" si="301"/>
        <v>305981.11769572011</v>
      </c>
      <c r="DX162" s="230">
        <f t="shared" si="301"/>
        <v>306735.74967718875</v>
      </c>
      <c r="DY162" s="230">
        <f t="shared" si="301"/>
        <v>307492.24278470251</v>
      </c>
      <c r="DZ162" s="230">
        <f t="shared" si="301"/>
        <v>308250.60160830029</v>
      </c>
      <c r="EA162" s="230">
        <f t="shared" si="301"/>
        <v>309010.83074934129</v>
      </c>
      <c r="EB162" s="230">
        <f t="shared" si="301"/>
        <v>309772.93482053286</v>
      </c>
      <c r="EC162" s="230">
        <f t="shared" si="301"/>
        <v>310536.91844595852</v>
      </c>
      <c r="ED162" s="230">
        <f t="shared" si="301"/>
        <v>311302.78626110614</v>
      </c>
      <c r="EE162" s="230">
        <f t="shared" si="302"/>
        <v>312070.54291289585</v>
      </c>
      <c r="EF162" s="230">
        <f>EF$135*EE162</f>
        <v>312840.19305970834</v>
      </c>
      <c r="EG162" s="230">
        <f>EG$135*EF162</f>
        <v>313611.74137141317</v>
      </c>
      <c r="EH162" s="230">
        <f>EH$135*EG162</f>
        <v>314385.19252939703</v>
      </c>
      <c r="EK162" s="280"/>
    </row>
    <row r="163" spans="1:141" ht="15" hidden="1" thickTop="1" x14ac:dyDescent="0.3">
      <c r="A163" s="684" t="s">
        <v>2427</v>
      </c>
      <c r="B163" s="200"/>
      <c r="C163" s="200"/>
      <c r="D163" s="200"/>
      <c r="E163" s="230"/>
      <c r="F163" s="230"/>
      <c r="G163" s="230">
        <f>IF(G$5&gt;=MonthFirstUnits-'Development Inputs'!$N$28,1,0)</f>
        <v>0</v>
      </c>
      <c r="H163" s="230">
        <f>IF(H$5&gt;=MonthFirstUnits-'Development Inputs'!$N$28,1,0)</f>
        <v>0</v>
      </c>
      <c r="I163" s="230">
        <f>IF(I$5&gt;=MonthFirstUnits-'Development Inputs'!$N$28,1,0)</f>
        <v>0</v>
      </c>
      <c r="J163" s="230">
        <f>IF(J$5&gt;=MonthFirstUnits-'Development Inputs'!$N$28,1,0)</f>
        <v>0</v>
      </c>
      <c r="K163" s="230">
        <f>IF(K$5&gt;=MonthFirstUnits-'Development Inputs'!$N$28,1,0)</f>
        <v>0</v>
      </c>
      <c r="L163" s="230">
        <f>IF(L$5&gt;=MonthFirstUnits-'Development Inputs'!$N$28,1,0)</f>
        <v>0</v>
      </c>
      <c r="M163" s="230">
        <f>IF(M$5&gt;=MonthFirstUnits-'Development Inputs'!$N$28,1,0)</f>
        <v>0</v>
      </c>
      <c r="N163" s="230">
        <f>IF(N$5&gt;=MonthFirstUnits-'Development Inputs'!$N$28,1,0)</f>
        <v>0</v>
      </c>
      <c r="O163" s="230">
        <f>IF(O$5&gt;=MonthFirstUnits-'Development Inputs'!$N$28,1,0)</f>
        <v>0</v>
      </c>
      <c r="P163" s="230">
        <f>IF(P$5&gt;=MonthFirstUnits-'Development Inputs'!$N$28,1,0)</f>
        <v>0</v>
      </c>
      <c r="Q163" s="230">
        <f>IF(Q$5&gt;=MonthFirstUnits-'Development Inputs'!$N$28,1,0)</f>
        <v>0</v>
      </c>
      <c r="R163" s="230">
        <f>IF(R$5&gt;=MonthFirstUnits-'Development Inputs'!$N$28,1,0)</f>
        <v>0</v>
      </c>
      <c r="S163" s="230">
        <f>IF(S$5&gt;=MonthFirstUnits-'Development Inputs'!$N$28,1,0)</f>
        <v>0</v>
      </c>
      <c r="T163" s="230">
        <f>IF(T$5&gt;=MonthFirstUnits-'Development Inputs'!$N$28,1,0)</f>
        <v>1</v>
      </c>
      <c r="U163" s="230">
        <f>IF(U$5&gt;=MonthFirstUnits-'Development Inputs'!$N$28,1,0)</f>
        <v>1</v>
      </c>
      <c r="V163" s="230">
        <f>IF(V$5&gt;=MonthFirstUnits-'Development Inputs'!$N$28,1,0)</f>
        <v>1</v>
      </c>
      <c r="W163" s="230">
        <f>IF(W$5&gt;=MonthFirstUnits-'Development Inputs'!$N$28,1,0)</f>
        <v>1</v>
      </c>
      <c r="X163" s="230">
        <f>IF(X$5&gt;=MonthFirstUnits-'Development Inputs'!$N$28,1,0)</f>
        <v>1</v>
      </c>
      <c r="Y163" s="230">
        <f>IF(Y$5&gt;=MonthFirstUnits-'Development Inputs'!$N$28,1,0)</f>
        <v>1</v>
      </c>
      <c r="Z163" s="230">
        <f>IF(Z$5&gt;=MonthFirstUnits-'Development Inputs'!$N$28,1,0)</f>
        <v>1</v>
      </c>
      <c r="AA163" s="230">
        <f>IF(AA$5&gt;=MonthFirstUnits-'Development Inputs'!$N$28,1,0)</f>
        <v>1</v>
      </c>
      <c r="AB163" s="230">
        <f>IF(AB$5&gt;=MonthFirstUnits-'Development Inputs'!$N$28,1,0)</f>
        <v>1</v>
      </c>
      <c r="AC163" s="230">
        <f>IF(AC$5&gt;=MonthFirstUnits-'Development Inputs'!$N$28,1,0)</f>
        <v>1</v>
      </c>
      <c r="AD163" s="230">
        <f>IF(AD$5&gt;=MonthFirstUnits-'Development Inputs'!$N$28,1,0)</f>
        <v>1</v>
      </c>
      <c r="AE163" s="230">
        <f>IF(AE$5&gt;=MonthFirstUnits-'Development Inputs'!$N$28,1,0)</f>
        <v>1</v>
      </c>
      <c r="AF163" s="230">
        <f>IF(AF$5&gt;=MonthFirstUnits-'Development Inputs'!$N$28,1,0)</f>
        <v>1</v>
      </c>
      <c r="AG163" s="230">
        <f>IF(AG$5&gt;=MonthFirstUnits-'Development Inputs'!$N$28,1,0)</f>
        <v>1</v>
      </c>
      <c r="AH163" s="230">
        <f>IF(AH$5&gt;=MonthFirstUnits-'Development Inputs'!$N$28,1,0)</f>
        <v>1</v>
      </c>
      <c r="AI163" s="230">
        <f>IF(AI$5&gt;=MonthFirstUnits-'Development Inputs'!$N$28,1,0)</f>
        <v>1</v>
      </c>
      <c r="AJ163" s="230">
        <f>IF(AJ$5&gt;=MonthFirstUnits-'Development Inputs'!$N$28,1,0)</f>
        <v>1</v>
      </c>
      <c r="AK163" s="230">
        <f>IF(AK$5&gt;=MonthFirstUnits-'Development Inputs'!$N$28,1,0)</f>
        <v>1</v>
      </c>
      <c r="AL163" s="230">
        <f>IF(AL$5&gt;=MonthFirstUnits-'Development Inputs'!$N$28,1,0)</f>
        <v>1</v>
      </c>
      <c r="AM163" s="230">
        <f>IF(AM$5&gt;=MonthFirstUnits-'Development Inputs'!$N$28,1,0)</f>
        <v>1</v>
      </c>
      <c r="AN163" s="230">
        <f>IF(AN$5&gt;=MonthFirstUnits-'Development Inputs'!$N$28,1,0)</f>
        <v>1</v>
      </c>
      <c r="AO163" s="230">
        <f>IF(AO$5&gt;=MonthFirstUnits-'Development Inputs'!$N$28,1,0)</f>
        <v>1</v>
      </c>
      <c r="AP163" s="230">
        <f>IF(AP$5&gt;=MonthFirstUnits-'Development Inputs'!$N$28,1,0)</f>
        <v>1</v>
      </c>
      <c r="AQ163" s="230">
        <f>IF(AQ$5&gt;=MonthFirstUnits-'Development Inputs'!$N$28,1,0)</f>
        <v>1</v>
      </c>
      <c r="AR163" s="230">
        <f>IF(AR$5&gt;=MonthFirstUnits-'Development Inputs'!$N$28,1,0)</f>
        <v>1</v>
      </c>
      <c r="AS163" s="230">
        <f>IF(AS$5&gt;=MonthFirstUnits-'Development Inputs'!$N$28,1,0)</f>
        <v>1</v>
      </c>
      <c r="AT163" s="230">
        <f>IF(AT$5&gt;=MonthFirstUnits-'Development Inputs'!$N$28,1,0)</f>
        <v>1</v>
      </c>
      <c r="AU163" s="230">
        <f>IF(AU$5&gt;=MonthFirstUnits-'Development Inputs'!$N$28,1,0)</f>
        <v>1</v>
      </c>
      <c r="AV163" s="230">
        <f>IF(AV$5&gt;=MonthFirstUnits-'Development Inputs'!$N$28,1,0)</f>
        <v>1</v>
      </c>
      <c r="AW163" s="230">
        <f>IF(AW$5&gt;=MonthFirstUnits-'Development Inputs'!$N$28,1,0)</f>
        <v>1</v>
      </c>
      <c r="AX163" s="230">
        <f>IF(AX$5&gt;=MonthFirstUnits-'Development Inputs'!$N$28,1,0)</f>
        <v>1</v>
      </c>
      <c r="AY163" s="230">
        <f>IF(AY$5&gt;=MonthFirstUnits-'Development Inputs'!$N$28,1,0)</f>
        <v>1</v>
      </c>
      <c r="AZ163" s="230">
        <f>IF(AZ$5&gt;=MonthFirstUnits-'Development Inputs'!$N$28,1,0)</f>
        <v>1</v>
      </c>
      <c r="BA163" s="230">
        <f>IF(BA$5&gt;=MonthFirstUnits-'Development Inputs'!$N$28,1,0)</f>
        <v>1</v>
      </c>
      <c r="BB163" s="230">
        <f>IF(BB$5&gt;=MonthFirstUnits-'Development Inputs'!$N$28,1,0)</f>
        <v>1</v>
      </c>
      <c r="BC163" s="230">
        <f>IF(BC$5&gt;=MonthFirstUnits-'Development Inputs'!$N$28,1,0)</f>
        <v>1</v>
      </c>
      <c r="BD163" s="230">
        <f>IF(BD$5&gt;=MonthFirstUnits-'Development Inputs'!$N$28,1,0)</f>
        <v>1</v>
      </c>
      <c r="BE163" s="230">
        <f>IF(BE$5&gt;=MonthFirstUnits-'Development Inputs'!$N$28,1,0)</f>
        <v>1</v>
      </c>
      <c r="BF163" s="230">
        <f>IF(BF$5&gt;=MonthFirstUnits-'Development Inputs'!$N$28,1,0)</f>
        <v>1</v>
      </c>
      <c r="BG163" s="230">
        <f>IF(BG$5&gt;=MonthFirstUnits-'Development Inputs'!$N$28,1,0)</f>
        <v>1</v>
      </c>
      <c r="BH163" s="230">
        <f>IF(BH$5&gt;=MonthFirstUnits-'Development Inputs'!$N$28,1,0)</f>
        <v>1</v>
      </c>
      <c r="BI163" s="230">
        <f>IF(BI$5&gt;=MonthFirstUnits-'Development Inputs'!$N$28,1,0)</f>
        <v>1</v>
      </c>
      <c r="BJ163" s="230">
        <f>IF(BJ$5&gt;=MonthFirstUnits-'Development Inputs'!$N$28,1,0)</f>
        <v>1</v>
      </c>
      <c r="BK163" s="230">
        <f>IF(BK$5&gt;=MonthFirstUnits-'Development Inputs'!$N$28,1,0)</f>
        <v>1</v>
      </c>
      <c r="BL163" s="230">
        <f>IF(BL$5&gt;=MonthFirstUnits-'Development Inputs'!$N$28,1,0)</f>
        <v>1</v>
      </c>
      <c r="BM163" s="230">
        <f>IF(BM$5&gt;=MonthFirstUnits-'Development Inputs'!$N$28,1,0)</f>
        <v>1</v>
      </c>
      <c r="BN163" s="230">
        <f>IF(BN$5&gt;=MonthFirstUnits-'Development Inputs'!$N$28,1,0)</f>
        <v>1</v>
      </c>
      <c r="BO163" s="230">
        <f>IF(BO$5&gt;=MonthFirstUnits-'Development Inputs'!$N$28,1,0)</f>
        <v>1</v>
      </c>
      <c r="BP163" s="230">
        <f>IF(BP$5&gt;=MonthFirstUnits-'Development Inputs'!$N$28,1,0)</f>
        <v>1</v>
      </c>
      <c r="BQ163" s="230">
        <f>IF(BQ$5&gt;=MonthFirstUnits-'Development Inputs'!$N$28,1,0)</f>
        <v>1</v>
      </c>
      <c r="BR163" s="230">
        <f>IF(BR$5&gt;=MonthFirstUnits-'Development Inputs'!$N$28,1,0)</f>
        <v>1</v>
      </c>
      <c r="BS163" s="230">
        <f>IF(BS$5&gt;=MonthFirstUnits-'Development Inputs'!$N$28,1,0)</f>
        <v>1</v>
      </c>
      <c r="BT163" s="230">
        <f>IF(BT$5&gt;=MonthFirstUnits-'Development Inputs'!$N$28,1,0)</f>
        <v>1</v>
      </c>
      <c r="BU163" s="230">
        <f>IF(BU$5&gt;=MonthFirstUnits-'Development Inputs'!$N$28,1,0)</f>
        <v>1</v>
      </c>
      <c r="BV163" s="230">
        <f>IF(BV$5&gt;=MonthFirstUnits-'Development Inputs'!$N$28,1,0)</f>
        <v>1</v>
      </c>
      <c r="BW163" s="230">
        <f>IF(BW$5&gt;=MonthFirstUnits-'Development Inputs'!$N$28,1,0)</f>
        <v>1</v>
      </c>
      <c r="BX163" s="230">
        <f>IF(BX$5&gt;=MonthFirstUnits-'Development Inputs'!$N$28,1,0)</f>
        <v>1</v>
      </c>
      <c r="BY163" s="230">
        <f>IF(BY$5&gt;=MonthFirstUnits-'Development Inputs'!$N$28,1,0)</f>
        <v>1</v>
      </c>
      <c r="BZ163" s="230">
        <f>IF(BZ$5&gt;=MonthFirstUnits-'Development Inputs'!$N$28,1,0)</f>
        <v>1</v>
      </c>
      <c r="CA163" s="230">
        <f>IF(CA$5&gt;=MonthFirstUnits-'Development Inputs'!$N$28,1,0)</f>
        <v>1</v>
      </c>
      <c r="CB163" s="230">
        <f>IF(CB$5&gt;=MonthFirstUnits-'Development Inputs'!$N$28,1,0)</f>
        <v>1</v>
      </c>
      <c r="CC163" s="230">
        <f>IF(CC$5&gt;=MonthFirstUnits-'Development Inputs'!$N$28,1,0)</f>
        <v>1</v>
      </c>
      <c r="CD163" s="230">
        <f>IF(CD$5&gt;=MonthFirstUnits-'Development Inputs'!$N$28,1,0)</f>
        <v>1</v>
      </c>
      <c r="CE163" s="230">
        <f>IF(CE$5&gt;=MonthFirstUnits-'Development Inputs'!$N$28,1,0)</f>
        <v>1</v>
      </c>
      <c r="CF163" s="230">
        <f>IF(CF$5&gt;=MonthFirstUnits-'Development Inputs'!$N$28,1,0)</f>
        <v>1</v>
      </c>
      <c r="CG163" s="230">
        <f>IF(CG$5&gt;=MonthFirstUnits-'Development Inputs'!$N$28,1,0)</f>
        <v>1</v>
      </c>
      <c r="CH163" s="230">
        <f>IF(CH$5&gt;=MonthFirstUnits-'Development Inputs'!$N$28,1,0)</f>
        <v>1</v>
      </c>
      <c r="CI163" s="230">
        <f>IF(CI$5&gt;=MonthFirstUnits-'Development Inputs'!$N$28,1,0)</f>
        <v>1</v>
      </c>
      <c r="CJ163" s="230">
        <f>IF(CJ$5&gt;=MonthFirstUnits-'Development Inputs'!$N$28,1,0)</f>
        <v>1</v>
      </c>
      <c r="CK163" s="230">
        <f>IF(CK$5&gt;=MonthFirstUnits-'Development Inputs'!$N$28,1,0)</f>
        <v>1</v>
      </c>
      <c r="CL163" s="230">
        <f>IF(CL$5&gt;=MonthFirstUnits-'Development Inputs'!$N$28,1,0)</f>
        <v>1</v>
      </c>
      <c r="CM163" s="230">
        <f>IF(CM$5&gt;=MonthFirstUnits-'Development Inputs'!$N$28,1,0)</f>
        <v>1</v>
      </c>
      <c r="CN163" s="230">
        <f>IF(CN$5&gt;=MonthFirstUnits-'Development Inputs'!$N$28,1,0)</f>
        <v>1</v>
      </c>
      <c r="CO163" s="230">
        <f>IF(CO$5&gt;=MonthFirstUnits-'Development Inputs'!$N$28,1,0)</f>
        <v>1</v>
      </c>
      <c r="CP163" s="230">
        <f>IF(CP$5&gt;=MonthFirstUnits-'Development Inputs'!$N$28,1,0)</f>
        <v>1</v>
      </c>
      <c r="CQ163" s="230">
        <f>IF(CQ$5&gt;=MonthFirstUnits-'Development Inputs'!$N$28,1,0)</f>
        <v>1</v>
      </c>
      <c r="CR163" s="230">
        <f>IF(CR$5&gt;=MonthFirstUnits-'Development Inputs'!$N$28,1,0)</f>
        <v>1</v>
      </c>
      <c r="CS163" s="230">
        <f>IF(CS$5&gt;=MonthFirstUnits-'Development Inputs'!$N$28,1,0)</f>
        <v>1</v>
      </c>
      <c r="CT163" s="230">
        <f>IF(CT$5&gt;=MonthFirstUnits-'Development Inputs'!$N$28,1,0)</f>
        <v>1</v>
      </c>
      <c r="CU163" s="230">
        <f>IF(CU$5&gt;=MonthFirstUnits-'Development Inputs'!$N$28,1,0)</f>
        <v>1</v>
      </c>
      <c r="CV163" s="230">
        <f>IF(CV$5&gt;=MonthFirstUnits-'Development Inputs'!$N$28,1,0)</f>
        <v>1</v>
      </c>
      <c r="CW163" s="230">
        <f>IF(CW$5&gt;=MonthFirstUnits-'Development Inputs'!$N$28,1,0)</f>
        <v>1</v>
      </c>
      <c r="CX163" s="230">
        <f>IF(CX$5&gt;=MonthFirstUnits-'Development Inputs'!$N$28,1,0)</f>
        <v>1</v>
      </c>
      <c r="CY163" s="230">
        <f>IF(CY$5&gt;=MonthFirstUnits-'Development Inputs'!$N$28,1,0)</f>
        <v>1</v>
      </c>
      <c r="CZ163" s="230">
        <f>IF(CZ$5&gt;=MonthFirstUnits-'Development Inputs'!$N$28,1,0)</f>
        <v>1</v>
      </c>
      <c r="DA163" s="230">
        <f>IF(DA$5&gt;=MonthFirstUnits-'Development Inputs'!$N$28,1,0)</f>
        <v>1</v>
      </c>
      <c r="DB163" s="230">
        <f>IF(DB$5&gt;=MonthFirstUnits-'Development Inputs'!$N$28,1,0)</f>
        <v>1</v>
      </c>
      <c r="DC163" s="230">
        <f>IF(DC$5&gt;=MonthFirstUnits-'Development Inputs'!$N$28,1,0)</f>
        <v>1</v>
      </c>
      <c r="DD163" s="230">
        <f>IF(DD$5&gt;=MonthFirstUnits-'Development Inputs'!$N$28,1,0)</f>
        <v>1</v>
      </c>
      <c r="DE163" s="230">
        <f>IF(DE$5&gt;=MonthFirstUnits-'Development Inputs'!$N$28,1,0)</f>
        <v>1</v>
      </c>
      <c r="DF163" s="230">
        <f>IF(DF$5&gt;=MonthFirstUnits-'Development Inputs'!$N$28,1,0)</f>
        <v>1</v>
      </c>
      <c r="DG163" s="230">
        <f>IF(DG$5&gt;=MonthFirstUnits-'Development Inputs'!$N$28,1,0)</f>
        <v>1</v>
      </c>
      <c r="DH163" s="230">
        <f>IF(DH$5&gt;=MonthFirstUnits-'Development Inputs'!$N$28,1,0)</f>
        <v>1</v>
      </c>
      <c r="DI163" s="230">
        <f>IF(DI$5&gt;=MonthFirstUnits-'Development Inputs'!$N$28,1,0)</f>
        <v>1</v>
      </c>
      <c r="DJ163" s="230">
        <f>IF(DJ$5&gt;=MonthFirstUnits-'Development Inputs'!$N$28,1,0)</f>
        <v>1</v>
      </c>
      <c r="DK163" s="230">
        <f>IF(DK$5&gt;=MonthFirstUnits-'Development Inputs'!$N$28,1,0)</f>
        <v>1</v>
      </c>
      <c r="DL163" s="230">
        <f>IF(DL$5&gt;=MonthFirstUnits-'Development Inputs'!$N$28,1,0)</f>
        <v>1</v>
      </c>
      <c r="DM163" s="230">
        <f>IF(DM$5&gt;=MonthFirstUnits-'Development Inputs'!$N$28,1,0)</f>
        <v>1</v>
      </c>
      <c r="DN163" s="230">
        <f>IF(DN$5&gt;=MonthFirstUnits-'Development Inputs'!$N$28,1,0)</f>
        <v>1</v>
      </c>
      <c r="DO163" s="230">
        <f>IF(DO$5&gt;=MonthFirstUnits-'Development Inputs'!$N$28,1,0)</f>
        <v>1</v>
      </c>
      <c r="DP163" s="230">
        <f>IF(DP$5&gt;=MonthFirstUnits-'Development Inputs'!$N$28,1,0)</f>
        <v>1</v>
      </c>
      <c r="DQ163" s="230">
        <f>IF(DQ$5&gt;=MonthFirstUnits-'Development Inputs'!$N$28,1,0)</f>
        <v>1</v>
      </c>
      <c r="DR163" s="230">
        <f>IF(DR$5&gt;=MonthFirstUnits-'Development Inputs'!$N$28,1,0)</f>
        <v>1</v>
      </c>
      <c r="DS163" s="230">
        <f>IF(DS$5&gt;=MonthFirstUnits-'Development Inputs'!$N$28,1,0)</f>
        <v>1</v>
      </c>
      <c r="DT163" s="230">
        <f>IF(DT$5&gt;=MonthFirstUnits-'Development Inputs'!$N$28,1,0)</f>
        <v>1</v>
      </c>
      <c r="DU163" s="230">
        <f>IF(DU$5&gt;=MonthFirstUnits-'Development Inputs'!$N$28,1,0)</f>
        <v>1</v>
      </c>
      <c r="DV163" s="230">
        <f>IF(DV$5&gt;=MonthFirstUnits-'Development Inputs'!$N$28,1,0)</f>
        <v>1</v>
      </c>
      <c r="DW163" s="230">
        <f>IF(DW$5&gt;=MonthFirstUnits-'Development Inputs'!$N$28,1,0)</f>
        <v>1</v>
      </c>
      <c r="DX163" s="230">
        <f>IF(DX$5&gt;=MonthFirstUnits-'Development Inputs'!$N$28,1,0)</f>
        <v>1</v>
      </c>
      <c r="DY163" s="230">
        <f>IF(DY$5&gt;=MonthFirstUnits-'Development Inputs'!$N$28,1,0)</f>
        <v>1</v>
      </c>
      <c r="DZ163" s="230">
        <f>IF(DZ$5&gt;=MonthFirstUnits-'Development Inputs'!$N$28,1,0)</f>
        <v>1</v>
      </c>
      <c r="EA163" s="230">
        <f>IF(EA$5&gt;=MonthFirstUnits-'Development Inputs'!$N$28,1,0)</f>
        <v>1</v>
      </c>
      <c r="EB163" s="230">
        <f>IF(EB$5&gt;=MonthFirstUnits-'Development Inputs'!$N$28,1,0)</f>
        <v>1</v>
      </c>
      <c r="EC163" s="230">
        <f>IF(EC$5&gt;=MonthFirstUnits-'Development Inputs'!$N$28,1,0)</f>
        <v>1</v>
      </c>
      <c r="ED163" s="230">
        <f>IF(ED$5&gt;=MonthFirstUnits-'Development Inputs'!$N$28,1,0)</f>
        <v>1</v>
      </c>
      <c r="EE163" s="230">
        <f>IF(EE$5&gt;=MonthFirstUnits-'Development Inputs'!$N$28,1,0)</f>
        <v>1</v>
      </c>
      <c r="EF163" s="230">
        <f>IF(EF$5&gt;=MonthFirstUnits-'Development Inputs'!$N$28,1,0)</f>
        <v>1</v>
      </c>
      <c r="EG163" s="230">
        <f>IF(EG$5&gt;=MonthFirstUnits-'Development Inputs'!$N$28,1,0)</f>
        <v>1</v>
      </c>
      <c r="EH163" s="230">
        <f>IF(EH$5&gt;=MonthFirstUnits-'Development Inputs'!$N$28,1,0)</f>
        <v>1</v>
      </c>
      <c r="EK163" s="672"/>
    </row>
    <row r="164" spans="1:141" ht="15" hidden="1" thickTop="1" x14ac:dyDescent="0.3">
      <c r="A164" s="684" t="s">
        <v>2447</v>
      </c>
      <c r="B164" s="200"/>
      <c r="C164" s="200"/>
      <c r="D164" s="200"/>
      <c r="E164" s="230"/>
      <c r="F164" s="230">
        <f>F161/12</f>
        <v>18926.546010902646</v>
      </c>
      <c r="G164" s="647">
        <f t="shared" ref="G164:AL164" si="303">IF(AND(MONTH(G$6)=1,G$6&lt;=DateDisposition),G161/12,
IF(AND(G$5=MonthDisposition+1,MONTH(G$6)&lt;&gt;1),LOOKUP(EDATE(G$6,-(MONTH(G$6)-1)),$6:$6,162:162)/12,
IF(AND(MONTH(G$6)=1,G$5&gt;=MonthDisposition+1),G162/12,F164)))</f>
        <v>18926.546010902646</v>
      </c>
      <c r="H164" s="647">
        <f t="shared" si="303"/>
        <v>18926.546010902646</v>
      </c>
      <c r="I164" s="647">
        <f t="shared" si="303"/>
        <v>18926.546010902646</v>
      </c>
      <c r="J164" s="647">
        <f t="shared" si="303"/>
        <v>19113.94974333236</v>
      </c>
      <c r="K164" s="647">
        <f t="shared" si="303"/>
        <v>19113.94974333236</v>
      </c>
      <c r="L164" s="647">
        <f t="shared" si="303"/>
        <v>19113.94974333236</v>
      </c>
      <c r="M164" s="647">
        <f t="shared" si="303"/>
        <v>19113.94974333236</v>
      </c>
      <c r="N164" s="647">
        <f t="shared" si="303"/>
        <v>19113.94974333236</v>
      </c>
      <c r="O164" s="647">
        <f t="shared" si="303"/>
        <v>19113.94974333236</v>
      </c>
      <c r="P164" s="647">
        <f t="shared" si="303"/>
        <v>19113.94974333236</v>
      </c>
      <c r="Q164" s="647">
        <f t="shared" si="303"/>
        <v>19113.94974333236</v>
      </c>
      <c r="R164" s="647">
        <f t="shared" si="303"/>
        <v>19113.94974333236</v>
      </c>
      <c r="S164" s="647">
        <f t="shared" si="303"/>
        <v>19113.94974333236</v>
      </c>
      <c r="T164" s="647">
        <f t="shared" si="303"/>
        <v>19113.94974333236</v>
      </c>
      <c r="U164" s="647">
        <f t="shared" si="303"/>
        <v>19113.94974333236</v>
      </c>
      <c r="V164" s="647">
        <f t="shared" si="303"/>
        <v>19687.368235632348</v>
      </c>
      <c r="W164" s="647">
        <f t="shared" si="303"/>
        <v>19687.368235632348</v>
      </c>
      <c r="X164" s="647">
        <f t="shared" si="303"/>
        <v>19687.368235632348</v>
      </c>
      <c r="Y164" s="647">
        <f t="shared" si="303"/>
        <v>19687.368235632348</v>
      </c>
      <c r="Z164" s="647">
        <f t="shared" si="303"/>
        <v>19687.368235632348</v>
      </c>
      <c r="AA164" s="647">
        <f t="shared" si="303"/>
        <v>19687.368235632348</v>
      </c>
      <c r="AB164" s="647">
        <f t="shared" si="303"/>
        <v>19687.368235632348</v>
      </c>
      <c r="AC164" s="647">
        <f t="shared" si="303"/>
        <v>19687.368235632348</v>
      </c>
      <c r="AD164" s="647">
        <f t="shared" si="303"/>
        <v>19687.368235632348</v>
      </c>
      <c r="AE164" s="647">
        <f t="shared" si="303"/>
        <v>19687.368235632348</v>
      </c>
      <c r="AF164" s="647">
        <f t="shared" si="303"/>
        <v>19687.368235632348</v>
      </c>
      <c r="AG164" s="647">
        <f t="shared" si="303"/>
        <v>19687.368235632348</v>
      </c>
      <c r="AH164" s="647">
        <f t="shared" si="303"/>
        <v>20277.989282701339</v>
      </c>
      <c r="AI164" s="647">
        <f t="shared" si="303"/>
        <v>20277.989282701339</v>
      </c>
      <c r="AJ164" s="647">
        <f t="shared" si="303"/>
        <v>20277.989282701339</v>
      </c>
      <c r="AK164" s="647">
        <f t="shared" si="303"/>
        <v>20277.989282701339</v>
      </c>
      <c r="AL164" s="647">
        <f t="shared" si="303"/>
        <v>20277.989282701339</v>
      </c>
      <c r="AM164" s="647">
        <f t="shared" ref="AM164:BR164" si="304">IF(AND(MONTH(AM$6)=1,AM$6&lt;=DateDisposition),AM161/12,
IF(AND(AM$5=MonthDisposition+1,MONTH(AM$6)&lt;&gt;1),LOOKUP(EDATE(AM$6,-(MONTH(AM$6)-1)),$6:$6,162:162)/12,
IF(AND(MONTH(AM$6)=1,AM$5&gt;=MonthDisposition+1),AM162/12,AL164)))</f>
        <v>20277.989282701339</v>
      </c>
      <c r="AN164" s="647">
        <f t="shared" si="304"/>
        <v>20277.989282701339</v>
      </c>
      <c r="AO164" s="647">
        <f t="shared" si="304"/>
        <v>20277.989282701339</v>
      </c>
      <c r="AP164" s="647">
        <f t="shared" si="304"/>
        <v>20277.989282701339</v>
      </c>
      <c r="AQ164" s="647">
        <f t="shared" si="304"/>
        <v>20277.989282701339</v>
      </c>
      <c r="AR164" s="647">
        <f t="shared" si="304"/>
        <v>20277.989282701339</v>
      </c>
      <c r="AS164" s="647">
        <f t="shared" si="304"/>
        <v>20277.989282701339</v>
      </c>
      <c r="AT164" s="647">
        <f t="shared" si="304"/>
        <v>20886.3289611824</v>
      </c>
      <c r="AU164" s="647">
        <f t="shared" si="304"/>
        <v>20886.3289611824</v>
      </c>
      <c r="AV164" s="647">
        <f t="shared" si="304"/>
        <v>20886.3289611824</v>
      </c>
      <c r="AW164" s="647">
        <f t="shared" si="304"/>
        <v>20886.3289611824</v>
      </c>
      <c r="AX164" s="647">
        <f t="shared" si="304"/>
        <v>20886.3289611824</v>
      </c>
      <c r="AY164" s="647">
        <f t="shared" si="304"/>
        <v>20886.3289611824</v>
      </c>
      <c r="AZ164" s="647">
        <f t="shared" si="304"/>
        <v>20886.3289611824</v>
      </c>
      <c r="BA164" s="647">
        <f t="shared" si="304"/>
        <v>20886.3289611824</v>
      </c>
      <c r="BB164" s="647">
        <f t="shared" si="304"/>
        <v>20886.3289611824</v>
      </c>
      <c r="BC164" s="647">
        <f t="shared" si="304"/>
        <v>20886.3289611824</v>
      </c>
      <c r="BD164" s="647">
        <f t="shared" si="304"/>
        <v>20886.3289611824</v>
      </c>
      <c r="BE164" s="647">
        <f t="shared" si="304"/>
        <v>20886.3289611824</v>
      </c>
      <c r="BF164" s="647">
        <f t="shared" si="304"/>
        <v>21512.918830017898</v>
      </c>
      <c r="BG164" s="647">
        <f t="shared" si="304"/>
        <v>21512.918830017898</v>
      </c>
      <c r="BH164" s="647">
        <f t="shared" si="304"/>
        <v>21512.918830017898</v>
      </c>
      <c r="BI164" s="647">
        <f t="shared" si="304"/>
        <v>21512.918830017898</v>
      </c>
      <c r="BJ164" s="647">
        <f t="shared" si="304"/>
        <v>21512.918830017898</v>
      </c>
      <c r="BK164" s="647">
        <f t="shared" si="304"/>
        <v>21512.918830017898</v>
      </c>
      <c r="BL164" s="647">
        <f t="shared" si="304"/>
        <v>21512.918830017898</v>
      </c>
      <c r="BM164" s="647">
        <f t="shared" si="304"/>
        <v>21512.918830017898</v>
      </c>
      <c r="BN164" s="647">
        <f t="shared" si="304"/>
        <v>21512.918830017898</v>
      </c>
      <c r="BO164" s="647">
        <f t="shared" si="304"/>
        <v>21512.918830017898</v>
      </c>
      <c r="BP164" s="647">
        <f t="shared" si="304"/>
        <v>21512.918830017898</v>
      </c>
      <c r="BQ164" s="647">
        <f t="shared" si="304"/>
        <v>21512.918830017898</v>
      </c>
      <c r="BR164" s="647">
        <f t="shared" si="304"/>
        <v>22158.306394918469</v>
      </c>
      <c r="BS164" s="647">
        <f t="shared" ref="BS164:CX164" si="305">IF(AND(MONTH(BS$6)=1,BS$6&lt;=DateDisposition),BS161/12,
IF(AND(BS$5=MonthDisposition+1,MONTH(BS$6)&lt;&gt;1),LOOKUP(EDATE(BS$6,-(MONTH(BS$6)-1)),$6:$6,162:162)/12,
IF(AND(MONTH(BS$6)=1,BS$5&gt;=MonthDisposition+1),BS162/12,BR164)))</f>
        <v>22158.306394918469</v>
      </c>
      <c r="BT164" s="647">
        <f t="shared" si="305"/>
        <v>22158.306394918469</v>
      </c>
      <c r="BU164" s="647">
        <f t="shared" si="305"/>
        <v>22158.306394918469</v>
      </c>
      <c r="BV164" s="647">
        <f t="shared" si="305"/>
        <v>22158.306394918469</v>
      </c>
      <c r="BW164" s="647">
        <f t="shared" si="305"/>
        <v>22158.306394918469</v>
      </c>
      <c r="BX164" s="647">
        <f t="shared" si="305"/>
        <v>22158.306394918469</v>
      </c>
      <c r="BY164" s="647">
        <f t="shared" si="305"/>
        <v>22158.306394918469</v>
      </c>
      <c r="BZ164" s="647">
        <f t="shared" si="305"/>
        <v>22158.306394918469</v>
      </c>
      <c r="CA164" s="647">
        <f t="shared" si="305"/>
        <v>22158.306394918469</v>
      </c>
      <c r="CB164" s="647">
        <f t="shared" si="305"/>
        <v>22158.306394918469</v>
      </c>
      <c r="CC164" s="647">
        <f t="shared" si="305"/>
        <v>22158.306394918469</v>
      </c>
      <c r="CD164" s="647">
        <f t="shared" si="305"/>
        <v>22823.055586766044</v>
      </c>
      <c r="CE164" s="647">
        <f t="shared" si="305"/>
        <v>22823.055586766044</v>
      </c>
      <c r="CF164" s="647">
        <f t="shared" si="305"/>
        <v>22823.055586766044</v>
      </c>
      <c r="CG164" s="647">
        <f t="shared" si="305"/>
        <v>22823.055586766044</v>
      </c>
      <c r="CH164" s="647">
        <f t="shared" si="305"/>
        <v>22823.055586766044</v>
      </c>
      <c r="CI164" s="647">
        <f t="shared" si="305"/>
        <v>22823.055586766044</v>
      </c>
      <c r="CJ164" s="647">
        <f t="shared" si="305"/>
        <v>22823.055586766044</v>
      </c>
      <c r="CK164" s="647">
        <f t="shared" si="305"/>
        <v>22823.055586766044</v>
      </c>
      <c r="CL164" s="647">
        <f t="shared" si="305"/>
        <v>22823.055586766044</v>
      </c>
      <c r="CM164" s="647">
        <f t="shared" si="305"/>
        <v>22823.055586766044</v>
      </c>
      <c r="CN164" s="647">
        <f t="shared" si="305"/>
        <v>22823.055586766044</v>
      </c>
      <c r="CO164" s="647">
        <f t="shared" si="305"/>
        <v>22823.055586766044</v>
      </c>
      <c r="CP164" s="647">
        <f t="shared" si="305"/>
        <v>23507.747254369053</v>
      </c>
      <c r="CQ164" s="647">
        <f t="shared" si="305"/>
        <v>23507.747254369053</v>
      </c>
      <c r="CR164" s="647">
        <f t="shared" si="305"/>
        <v>23507.747254369053</v>
      </c>
      <c r="CS164" s="647">
        <f t="shared" si="305"/>
        <v>23507.747254369053</v>
      </c>
      <c r="CT164" s="647">
        <f t="shared" si="305"/>
        <v>23507.747254369053</v>
      </c>
      <c r="CU164" s="647">
        <f t="shared" si="305"/>
        <v>23507.747254369053</v>
      </c>
      <c r="CV164" s="647">
        <f t="shared" si="305"/>
        <v>23507.747254369053</v>
      </c>
      <c r="CW164" s="647">
        <f t="shared" si="305"/>
        <v>23507.747254369053</v>
      </c>
      <c r="CX164" s="647">
        <f t="shared" si="305"/>
        <v>23507.747254369053</v>
      </c>
      <c r="CY164" s="647">
        <f t="shared" ref="CY164:EH164" si="306">IF(AND(MONTH(CY$6)=1,CY$6&lt;=DateDisposition),CY161/12,
IF(AND(CY$5=MonthDisposition+1,MONTH(CY$6)&lt;&gt;1),LOOKUP(EDATE(CY$6,-(MONTH(CY$6)-1)),$6:$6,162:162)/12,
IF(AND(MONTH(CY$6)=1,CY$5&gt;=MonthDisposition+1),CY162/12,CX164)))</f>
        <v>23507.747254369053</v>
      </c>
      <c r="CZ164" s="647">
        <f t="shared" si="306"/>
        <v>23507.747254369053</v>
      </c>
      <c r="DA164" s="647">
        <f t="shared" si="306"/>
        <v>23507.747254369053</v>
      </c>
      <c r="DB164" s="647">
        <f t="shared" si="306"/>
        <v>24212.979672000161</v>
      </c>
      <c r="DC164" s="647">
        <f t="shared" si="306"/>
        <v>24212.979672000161</v>
      </c>
      <c r="DD164" s="647">
        <f t="shared" si="306"/>
        <v>24212.979672000161</v>
      </c>
      <c r="DE164" s="647">
        <f t="shared" si="306"/>
        <v>24212.979672000161</v>
      </c>
      <c r="DF164" s="647">
        <f t="shared" si="306"/>
        <v>24212.979672000161</v>
      </c>
      <c r="DG164" s="647">
        <f t="shared" si="306"/>
        <v>24212.979672000161</v>
      </c>
      <c r="DH164" s="647">
        <f t="shared" si="306"/>
        <v>24212.979672000161</v>
      </c>
      <c r="DI164" s="647">
        <f t="shared" si="306"/>
        <v>24212.979672000161</v>
      </c>
      <c r="DJ164" s="647">
        <f t="shared" si="306"/>
        <v>24212.979672000161</v>
      </c>
      <c r="DK164" s="647">
        <f t="shared" si="306"/>
        <v>24212.979672000161</v>
      </c>
      <c r="DL164" s="647">
        <f t="shared" si="306"/>
        <v>24212.979672000161</v>
      </c>
      <c r="DM164" s="647">
        <f t="shared" si="306"/>
        <v>24212.979672000161</v>
      </c>
      <c r="DN164" s="647">
        <f t="shared" si="306"/>
        <v>24939.369062160196</v>
      </c>
      <c r="DO164" s="647">
        <f t="shared" si="306"/>
        <v>24939.369062160196</v>
      </c>
      <c r="DP164" s="647">
        <f t="shared" si="306"/>
        <v>24939.369062160196</v>
      </c>
      <c r="DQ164" s="647">
        <f t="shared" si="306"/>
        <v>24939.369062160196</v>
      </c>
      <c r="DR164" s="647">
        <f t="shared" si="306"/>
        <v>24939.369062160196</v>
      </c>
      <c r="DS164" s="647">
        <f t="shared" si="306"/>
        <v>24939.369062160196</v>
      </c>
      <c r="DT164" s="647">
        <f t="shared" si="306"/>
        <v>24939.369062160196</v>
      </c>
      <c r="DU164" s="647">
        <f t="shared" si="306"/>
        <v>24939.369062160196</v>
      </c>
      <c r="DV164" s="647">
        <f t="shared" si="306"/>
        <v>24939.369062160196</v>
      </c>
      <c r="DW164" s="647">
        <f t="shared" si="306"/>
        <v>24939.369062160196</v>
      </c>
      <c r="DX164" s="647">
        <f t="shared" si="306"/>
        <v>24939.369062160196</v>
      </c>
      <c r="DY164" s="647">
        <f t="shared" si="306"/>
        <v>24939.369062160196</v>
      </c>
      <c r="DZ164" s="647">
        <f t="shared" si="306"/>
        <v>25687.550134025023</v>
      </c>
      <c r="EA164" s="647">
        <f t="shared" si="306"/>
        <v>25687.550134025023</v>
      </c>
      <c r="EB164" s="647">
        <f t="shared" si="306"/>
        <v>25687.550134025023</v>
      </c>
      <c r="EC164" s="647">
        <f t="shared" si="306"/>
        <v>25687.550134025023</v>
      </c>
      <c r="ED164" s="647">
        <f t="shared" si="306"/>
        <v>25687.550134025023</v>
      </c>
      <c r="EE164" s="647">
        <f t="shared" si="306"/>
        <v>25687.550134025023</v>
      </c>
      <c r="EF164" s="647">
        <f t="shared" si="306"/>
        <v>25687.550134025023</v>
      </c>
      <c r="EG164" s="647">
        <f t="shared" si="306"/>
        <v>25687.550134025023</v>
      </c>
      <c r="EH164" s="647">
        <f t="shared" si="306"/>
        <v>25687.550134025023</v>
      </c>
      <c r="EK164" s="280"/>
    </row>
    <row r="165" spans="1:141" ht="15" hidden="1" thickTop="1" x14ac:dyDescent="0.3">
      <c r="A165" s="691" t="s">
        <v>2448</v>
      </c>
      <c r="B165" s="200"/>
      <c r="C165" s="200"/>
      <c r="D165" s="200"/>
      <c r="E165" s="230"/>
      <c r="F165" s="230"/>
      <c r="G165" s="230"/>
      <c r="H165" s="230"/>
      <c r="I165" s="230"/>
      <c r="J165" s="230"/>
      <c r="K165" s="230"/>
      <c r="L165" s="230"/>
      <c r="M165" s="230"/>
      <c r="N165" s="230"/>
      <c r="O165" s="230"/>
      <c r="P165" s="230"/>
      <c r="Q165" s="230"/>
      <c r="R165" s="230"/>
      <c r="S165" s="230"/>
      <c r="T165" s="230"/>
      <c r="U165" s="230"/>
      <c r="V165" s="230"/>
      <c r="W165" s="230"/>
      <c r="X165" s="230"/>
      <c r="Y165" s="230"/>
      <c r="Z165" s="230"/>
      <c r="AA165" s="230"/>
      <c r="AB165" s="230"/>
      <c r="AC165" s="230"/>
      <c r="AD165" s="230"/>
      <c r="AE165" s="230"/>
      <c r="AF165" s="230"/>
      <c r="AG165" s="230"/>
      <c r="AH165" s="230"/>
      <c r="AI165" s="230"/>
      <c r="AJ165" s="230"/>
      <c r="AK165" s="230"/>
      <c r="AL165" s="230"/>
      <c r="AM165" s="230"/>
      <c r="AN165" s="230"/>
      <c r="AO165" s="230"/>
      <c r="AP165" s="230"/>
      <c r="AQ165" s="230"/>
      <c r="AR165" s="230"/>
      <c r="AS165" s="230"/>
      <c r="AT165" s="230"/>
      <c r="AU165" s="230"/>
      <c r="AV165" s="230"/>
      <c r="AW165" s="230"/>
      <c r="AX165" s="230"/>
      <c r="AY165" s="230"/>
      <c r="AZ165" s="230"/>
      <c r="BA165" s="230"/>
      <c r="BB165" s="230"/>
      <c r="BC165" s="230"/>
      <c r="BD165" s="230"/>
      <c r="BE165" s="230"/>
      <c r="BF165" s="230"/>
      <c r="BG165" s="230"/>
      <c r="BH165" s="230"/>
      <c r="BI165" s="230"/>
      <c r="BJ165" s="230"/>
      <c r="BK165" s="230"/>
      <c r="BL165" s="230"/>
      <c r="BM165" s="230"/>
      <c r="BN165" s="230"/>
      <c r="BO165" s="230"/>
      <c r="BP165" s="230"/>
      <c r="BQ165" s="230"/>
      <c r="BR165" s="230"/>
      <c r="BS165" s="230"/>
      <c r="BT165" s="230"/>
      <c r="BU165" s="230"/>
      <c r="BV165" s="230"/>
      <c r="BW165" s="230"/>
      <c r="BX165" s="230"/>
      <c r="BY165" s="230"/>
      <c r="BZ165" s="230"/>
      <c r="CA165" s="230"/>
      <c r="CB165" s="230"/>
      <c r="CC165" s="230"/>
      <c r="CD165" s="230"/>
      <c r="CE165" s="230"/>
      <c r="CF165" s="230"/>
      <c r="CG165" s="230"/>
      <c r="CH165" s="230"/>
      <c r="CI165" s="230"/>
      <c r="CJ165" s="230"/>
      <c r="CK165" s="230"/>
      <c r="CL165" s="230"/>
      <c r="CM165" s="230"/>
      <c r="CN165" s="230"/>
      <c r="CO165" s="230"/>
      <c r="CP165" s="230"/>
      <c r="CQ165" s="230"/>
      <c r="CR165" s="230"/>
      <c r="CS165" s="230"/>
      <c r="CT165" s="230"/>
      <c r="CU165" s="230"/>
      <c r="CV165" s="230"/>
      <c r="CW165" s="230"/>
      <c r="CX165" s="230"/>
      <c r="CY165" s="230"/>
      <c r="CZ165" s="230"/>
      <c r="DA165" s="230"/>
      <c r="DB165" s="230"/>
      <c r="DC165" s="230"/>
      <c r="DD165" s="230"/>
      <c r="DE165" s="230"/>
      <c r="DF165" s="230"/>
      <c r="DG165" s="230"/>
      <c r="DH165" s="230"/>
      <c r="DI165" s="230"/>
      <c r="DJ165" s="230"/>
      <c r="DK165" s="230"/>
      <c r="DL165" s="230"/>
      <c r="DM165" s="230"/>
      <c r="DN165" s="230"/>
      <c r="DO165" s="230"/>
      <c r="DP165" s="230"/>
      <c r="DQ165" s="230"/>
      <c r="DR165" s="230"/>
      <c r="DS165" s="230"/>
      <c r="DT165" s="230"/>
      <c r="DU165" s="230"/>
      <c r="DV165" s="230"/>
      <c r="DW165" s="230"/>
      <c r="DX165" s="230"/>
      <c r="DY165" s="230"/>
      <c r="DZ165" s="230"/>
      <c r="EA165" s="230"/>
      <c r="EB165" s="230"/>
      <c r="EC165" s="230"/>
      <c r="ED165" s="230"/>
      <c r="EE165" s="230"/>
      <c r="EF165" s="230"/>
      <c r="EG165" s="230"/>
      <c r="EH165" s="230"/>
      <c r="EK165" s="672"/>
    </row>
    <row r="166" spans="1:141" ht="15" hidden="1" thickTop="1" x14ac:dyDescent="0.3">
      <c r="A166" s="684" t="s">
        <v>2449</v>
      </c>
      <c r="B166" s="200"/>
      <c r="C166" s="200"/>
      <c r="D166" s="200"/>
      <c r="E166" s="230"/>
      <c r="F166" s="230">
        <f>Insurance</f>
        <v>115817.17980004988</v>
      </c>
      <c r="G166" s="230">
        <f t="shared" ref="G166:BR167" si="307">G$135*F166</f>
        <v>116102.81620970421</v>
      </c>
      <c r="H166" s="230">
        <f t="shared" si="307"/>
        <v>116389.15707580153</v>
      </c>
      <c r="I166" s="230">
        <f t="shared" si="307"/>
        <v>116676.20413572149</v>
      </c>
      <c r="J166" s="230">
        <f t="shared" si="307"/>
        <v>116963.95913112856</v>
      </c>
      <c r="K166" s="230">
        <f t="shared" si="307"/>
        <v>117252.42380798263</v>
      </c>
      <c r="L166" s="230">
        <f t="shared" si="307"/>
        <v>117541.5999165496</v>
      </c>
      <c r="M166" s="230">
        <f t="shared" si="307"/>
        <v>117831.489211412</v>
      </c>
      <c r="N166" s="230">
        <f t="shared" si="307"/>
        <v>118122.09345147964</v>
      </c>
      <c r="O166" s="230">
        <f t="shared" si="307"/>
        <v>118413.41440000026</v>
      </c>
      <c r="P166" s="230">
        <f t="shared" si="307"/>
        <v>118705.45382457024</v>
      </c>
      <c r="Q166" s="230">
        <f t="shared" si="307"/>
        <v>118998.21349714538</v>
      </c>
      <c r="R166" s="230">
        <f t="shared" si="307"/>
        <v>119291.69519405153</v>
      </c>
      <c r="S166" s="230">
        <f t="shared" si="307"/>
        <v>119585.90069599549</v>
      </c>
      <c r="T166" s="230">
        <f t="shared" si="307"/>
        <v>119880.83178807572</v>
      </c>
      <c r="U166" s="230">
        <f t="shared" si="307"/>
        <v>120176.49025979328</v>
      </c>
      <c r="V166" s="230">
        <f t="shared" si="307"/>
        <v>120472.87790506256</v>
      </c>
      <c r="W166" s="230">
        <f t="shared" si="307"/>
        <v>120769.99652222225</v>
      </c>
      <c r="X166" s="230">
        <f t="shared" si="307"/>
        <v>121067.84791404623</v>
      </c>
      <c r="Y166" s="230">
        <f t="shared" si="307"/>
        <v>121366.43388775451</v>
      </c>
      <c r="Z166" s="230">
        <f t="shared" si="307"/>
        <v>121665.75625502417</v>
      </c>
      <c r="AA166" s="230">
        <f t="shared" si="307"/>
        <v>121965.8168320004</v>
      </c>
      <c r="AB166" s="230">
        <f t="shared" si="307"/>
        <v>122266.61743930749</v>
      </c>
      <c r="AC166" s="230">
        <f t="shared" si="307"/>
        <v>122568.15990205988</v>
      </c>
      <c r="AD166" s="230">
        <f t="shared" si="307"/>
        <v>122870.44604987322</v>
      </c>
      <c r="AE166" s="230">
        <f t="shared" si="307"/>
        <v>123173.4777168755</v>
      </c>
      <c r="AF166" s="230">
        <f t="shared" si="307"/>
        <v>123477.25674171814</v>
      </c>
      <c r="AG166" s="230">
        <f t="shared" si="307"/>
        <v>123781.78496758723</v>
      </c>
      <c r="AH166" s="230">
        <f t="shared" si="307"/>
        <v>124087.06424221458</v>
      </c>
      <c r="AI166" s="230">
        <f t="shared" si="307"/>
        <v>124393.09641788906</v>
      </c>
      <c r="AJ166" s="230">
        <f t="shared" si="307"/>
        <v>124699.88335146775</v>
      </c>
      <c r="AK166" s="230">
        <f t="shared" si="307"/>
        <v>125007.42690438728</v>
      </c>
      <c r="AL166" s="230">
        <f t="shared" si="307"/>
        <v>125315.72894267504</v>
      </c>
      <c r="AM166" s="230">
        <f t="shared" si="307"/>
        <v>125624.79133696055</v>
      </c>
      <c r="AN166" s="230">
        <f t="shared" si="307"/>
        <v>125934.61596248686</v>
      </c>
      <c r="AO166" s="230">
        <f t="shared" si="307"/>
        <v>126245.20469912181</v>
      </c>
      <c r="AP166" s="230">
        <f t="shared" si="307"/>
        <v>126556.55943136955</v>
      </c>
      <c r="AQ166" s="230">
        <f t="shared" si="307"/>
        <v>126868.68204838189</v>
      </c>
      <c r="AR166" s="230">
        <f t="shared" si="307"/>
        <v>127181.57444396982</v>
      </c>
      <c r="AS166" s="230">
        <f t="shared" si="307"/>
        <v>127495.23851661498</v>
      </c>
      <c r="AT166" s="230">
        <f t="shared" si="307"/>
        <v>127809.67616948116</v>
      </c>
      <c r="AU166" s="230">
        <f t="shared" si="307"/>
        <v>128124.88931042588</v>
      </c>
      <c r="AV166" s="230">
        <f t="shared" si="307"/>
        <v>128440.87985201193</v>
      </c>
      <c r="AW166" s="230">
        <f t="shared" si="307"/>
        <v>128757.64971151904</v>
      </c>
      <c r="AX166" s="230">
        <f t="shared" si="307"/>
        <v>129075.20081095543</v>
      </c>
      <c r="AY166" s="230">
        <f t="shared" si="307"/>
        <v>129393.53507706952</v>
      </c>
      <c r="AZ166" s="230">
        <f t="shared" si="307"/>
        <v>129712.65444136162</v>
      </c>
      <c r="BA166" s="230">
        <f t="shared" si="307"/>
        <v>130032.56084009563</v>
      </c>
      <c r="BB166" s="230">
        <f t="shared" si="307"/>
        <v>130353.25621431079</v>
      </c>
      <c r="BC166" s="230">
        <f t="shared" si="307"/>
        <v>130674.74250983351</v>
      </c>
      <c r="BD166" s="230">
        <f t="shared" si="307"/>
        <v>130997.02167728907</v>
      </c>
      <c r="BE166" s="230">
        <f t="shared" si="307"/>
        <v>131320.09567211359</v>
      </c>
      <c r="BF166" s="230">
        <f t="shared" si="307"/>
        <v>131643.96645456576</v>
      </c>
      <c r="BG166" s="230">
        <f t="shared" si="307"/>
        <v>131968.6359897388</v>
      </c>
      <c r="BH166" s="230">
        <f t="shared" si="307"/>
        <v>132294.10624757243</v>
      </c>
      <c r="BI166" s="230">
        <f t="shared" si="307"/>
        <v>132620.37920286474</v>
      </c>
      <c r="BJ166" s="230">
        <f t="shared" si="307"/>
        <v>132947.45683528422</v>
      </c>
      <c r="BK166" s="230">
        <f t="shared" si="307"/>
        <v>133275.34112938173</v>
      </c>
      <c r="BL166" s="230">
        <f t="shared" si="307"/>
        <v>133604.03407460259</v>
      </c>
      <c r="BM166" s="230">
        <f t="shared" si="307"/>
        <v>133933.53766529862</v>
      </c>
      <c r="BN166" s="230">
        <f t="shared" si="307"/>
        <v>134263.85390074024</v>
      </c>
      <c r="BO166" s="230">
        <f t="shared" si="307"/>
        <v>134594.98478512865</v>
      </c>
      <c r="BP166" s="230">
        <f t="shared" si="307"/>
        <v>134926.93232760788</v>
      </c>
      <c r="BQ166" s="230">
        <f t="shared" si="307"/>
        <v>135259.69854227712</v>
      </c>
      <c r="BR166" s="230">
        <f t="shared" si="307"/>
        <v>135593.28544820286</v>
      </c>
      <c r="BS166" s="230">
        <f t="shared" ref="BS166:ED167" si="308">BS$135*BR166</f>
        <v>135927.69506943112</v>
      </c>
      <c r="BT166" s="230">
        <f t="shared" si="308"/>
        <v>136262.92943499977</v>
      </c>
      <c r="BU166" s="230">
        <f t="shared" si="308"/>
        <v>136598.99057895085</v>
      </c>
      <c r="BV166" s="230">
        <f t="shared" si="308"/>
        <v>136935.88054034291</v>
      </c>
      <c r="BW166" s="230">
        <f t="shared" si="308"/>
        <v>137273.60136326335</v>
      </c>
      <c r="BX166" s="230">
        <f t="shared" si="308"/>
        <v>137612.15509684084</v>
      </c>
      <c r="BY166" s="230">
        <f t="shared" si="308"/>
        <v>137951.54379525775</v>
      </c>
      <c r="BZ166" s="230">
        <f t="shared" si="308"/>
        <v>138291.76951776262</v>
      </c>
      <c r="CA166" s="230">
        <f t="shared" si="308"/>
        <v>138632.83432868266</v>
      </c>
      <c r="CB166" s="230">
        <f t="shared" si="308"/>
        <v>138974.74029743628</v>
      </c>
      <c r="CC166" s="230">
        <f t="shared" si="308"/>
        <v>139317.48949854559</v>
      </c>
      <c r="CD166" s="230">
        <f t="shared" si="308"/>
        <v>139661.0840116491</v>
      </c>
      <c r="CE166" s="230">
        <f t="shared" si="308"/>
        <v>140005.5259215142</v>
      </c>
      <c r="CF166" s="230">
        <f t="shared" si="308"/>
        <v>140350.8173180499</v>
      </c>
      <c r="CG166" s="230">
        <f t="shared" si="308"/>
        <v>140696.96029631954</v>
      </c>
      <c r="CH166" s="230">
        <f t="shared" si="308"/>
        <v>141043.95695655336</v>
      </c>
      <c r="CI166" s="230">
        <f t="shared" si="308"/>
        <v>141391.80940416141</v>
      </c>
      <c r="CJ166" s="230">
        <f t="shared" si="308"/>
        <v>141740.51974974622</v>
      </c>
      <c r="CK166" s="230">
        <f t="shared" si="308"/>
        <v>142090.09010911564</v>
      </c>
      <c r="CL166" s="230">
        <f t="shared" si="308"/>
        <v>142440.52260329566</v>
      </c>
      <c r="CM166" s="230">
        <f t="shared" si="308"/>
        <v>142791.81935854332</v>
      </c>
      <c r="CN166" s="230">
        <f t="shared" si="308"/>
        <v>143143.98250635955</v>
      </c>
      <c r="CO166" s="230">
        <f t="shared" si="308"/>
        <v>143497.01418350215</v>
      </c>
      <c r="CP166" s="230">
        <f t="shared" si="308"/>
        <v>143850.91653199875</v>
      </c>
      <c r="CQ166" s="230">
        <f t="shared" si="308"/>
        <v>144205.6916991598</v>
      </c>
      <c r="CR166" s="230">
        <f t="shared" si="308"/>
        <v>144561.34183759158</v>
      </c>
      <c r="CS166" s="230">
        <f t="shared" si="308"/>
        <v>144917.86910520931</v>
      </c>
      <c r="CT166" s="230">
        <f t="shared" si="308"/>
        <v>145275.27566525014</v>
      </c>
      <c r="CU166" s="230">
        <f t="shared" si="308"/>
        <v>145633.56368628642</v>
      </c>
      <c r="CV166" s="230">
        <f t="shared" si="308"/>
        <v>145992.73534223877</v>
      </c>
      <c r="CW166" s="230">
        <f t="shared" si="308"/>
        <v>146352.79281238926</v>
      </c>
      <c r="CX166" s="230">
        <f t="shared" si="308"/>
        <v>146713.73828139468</v>
      </c>
      <c r="CY166" s="230">
        <f t="shared" si="308"/>
        <v>147075.57393929976</v>
      </c>
      <c r="CZ166" s="230">
        <f t="shared" si="308"/>
        <v>147438.30198155047</v>
      </c>
      <c r="DA166" s="230">
        <f t="shared" si="308"/>
        <v>147801.92460900734</v>
      </c>
      <c r="DB166" s="230">
        <f t="shared" si="308"/>
        <v>148166.44402795885</v>
      </c>
      <c r="DC166" s="230">
        <f t="shared" si="308"/>
        <v>148531.86245013474</v>
      </c>
      <c r="DD166" s="230">
        <f t="shared" si="308"/>
        <v>148898.18209271948</v>
      </c>
      <c r="DE166" s="230">
        <f t="shared" si="308"/>
        <v>149265.40517836573</v>
      </c>
      <c r="DF166" s="230">
        <f t="shared" si="308"/>
        <v>149633.53393520779</v>
      </c>
      <c r="DG166" s="230">
        <f t="shared" si="308"/>
        <v>150002.57059687516</v>
      </c>
      <c r="DH166" s="230">
        <f t="shared" si="308"/>
        <v>150372.51740250608</v>
      </c>
      <c r="DI166" s="230">
        <f t="shared" si="308"/>
        <v>150743.37659676108</v>
      </c>
      <c r="DJ166" s="230">
        <f t="shared" si="308"/>
        <v>151115.15042983668</v>
      </c>
      <c r="DK166" s="230">
        <f t="shared" si="308"/>
        <v>151487.84115747892</v>
      </c>
      <c r="DL166" s="230">
        <f t="shared" si="308"/>
        <v>151861.45104099714</v>
      </c>
      <c r="DM166" s="230">
        <f t="shared" si="308"/>
        <v>152235.98234727772</v>
      </c>
      <c r="DN166" s="230">
        <f t="shared" si="308"/>
        <v>152611.43734879777</v>
      </c>
      <c r="DO166" s="230">
        <f t="shared" si="308"/>
        <v>152987.81832363893</v>
      </c>
      <c r="DP166" s="230">
        <f t="shared" si="308"/>
        <v>153365.12755550121</v>
      </c>
      <c r="DQ166" s="230">
        <f t="shared" si="308"/>
        <v>153743.36733371683</v>
      </c>
      <c r="DR166" s="230">
        <f t="shared" si="308"/>
        <v>154122.53995326415</v>
      </c>
      <c r="DS166" s="230">
        <f t="shared" si="308"/>
        <v>154502.64771478155</v>
      </c>
      <c r="DT166" s="230">
        <f t="shared" si="308"/>
        <v>154883.69292458141</v>
      </c>
      <c r="DU166" s="230">
        <f t="shared" si="308"/>
        <v>155265.67789466408</v>
      </c>
      <c r="DV166" s="230">
        <f t="shared" si="308"/>
        <v>155648.60494273194</v>
      </c>
      <c r="DW166" s="230">
        <f t="shared" si="308"/>
        <v>156032.47639220345</v>
      </c>
      <c r="DX166" s="230">
        <f t="shared" si="308"/>
        <v>156417.29457222723</v>
      </c>
      <c r="DY166" s="230">
        <f t="shared" si="308"/>
        <v>156803.06181769623</v>
      </c>
      <c r="DZ166" s="230">
        <f t="shared" si="308"/>
        <v>157189.7804692619</v>
      </c>
      <c r="EA166" s="230">
        <f t="shared" si="308"/>
        <v>157577.45287334829</v>
      </c>
      <c r="EB166" s="230">
        <f t="shared" si="308"/>
        <v>157966.08138216645</v>
      </c>
      <c r="EC166" s="230">
        <f t="shared" si="308"/>
        <v>158355.66835372854</v>
      </c>
      <c r="ED166" s="230">
        <f t="shared" si="308"/>
        <v>158746.21615186229</v>
      </c>
      <c r="EE166" s="230">
        <f t="shared" ref="EE166:EH167" si="309">EE$135*ED166</f>
        <v>159137.72714622522</v>
      </c>
      <c r="EF166" s="230">
        <f t="shared" si="309"/>
        <v>159530.20371231908</v>
      </c>
      <c r="EG166" s="230">
        <f t="shared" si="309"/>
        <v>159923.64823150422</v>
      </c>
      <c r="EH166" s="230">
        <f t="shared" si="309"/>
        <v>160318.0630910141</v>
      </c>
      <c r="EK166" s="280"/>
    </row>
    <row r="167" spans="1:141" ht="15" hidden="1" thickTop="1" x14ac:dyDescent="0.3">
      <c r="A167" s="684" t="s">
        <v>2450</v>
      </c>
      <c r="B167" s="200"/>
      <c r="C167" s="200"/>
      <c r="D167" s="200"/>
      <c r="E167" s="230"/>
      <c r="F167" s="230">
        <f>'Operating Inputs'!$M$126*Units*(1+PrestartExpGwth)</f>
        <v>115817.17980004988</v>
      </c>
      <c r="G167" s="230">
        <f>G$135*F167</f>
        <v>116102.81620970421</v>
      </c>
      <c r="H167" s="230">
        <f t="shared" si="307"/>
        <v>116389.15707580153</v>
      </c>
      <c r="I167" s="230">
        <f t="shared" si="307"/>
        <v>116676.20413572149</v>
      </c>
      <c r="J167" s="230">
        <f t="shared" si="307"/>
        <v>116963.95913112856</v>
      </c>
      <c r="K167" s="230">
        <f t="shared" si="307"/>
        <v>117252.42380798263</v>
      </c>
      <c r="L167" s="230">
        <f t="shared" si="307"/>
        <v>117541.5999165496</v>
      </c>
      <c r="M167" s="230">
        <f t="shared" si="307"/>
        <v>117831.489211412</v>
      </c>
      <c r="N167" s="230">
        <f t="shared" si="307"/>
        <v>118122.09345147964</v>
      </c>
      <c r="O167" s="230">
        <f t="shared" si="307"/>
        <v>118413.41440000026</v>
      </c>
      <c r="P167" s="230">
        <f t="shared" si="307"/>
        <v>118705.45382457024</v>
      </c>
      <c r="Q167" s="230">
        <f t="shared" si="307"/>
        <v>118998.21349714538</v>
      </c>
      <c r="R167" s="230">
        <f t="shared" si="307"/>
        <v>119291.69519405153</v>
      </c>
      <c r="S167" s="230">
        <f t="shared" si="307"/>
        <v>119585.90069599549</v>
      </c>
      <c r="T167" s="230">
        <f t="shared" si="307"/>
        <v>119880.83178807572</v>
      </c>
      <c r="U167" s="230">
        <f t="shared" si="307"/>
        <v>120176.49025979328</v>
      </c>
      <c r="V167" s="230">
        <f t="shared" si="307"/>
        <v>120472.87790506256</v>
      </c>
      <c r="W167" s="230">
        <f t="shared" si="307"/>
        <v>120769.99652222225</v>
      </c>
      <c r="X167" s="230">
        <f t="shared" si="307"/>
        <v>121067.84791404623</v>
      </c>
      <c r="Y167" s="230">
        <f t="shared" si="307"/>
        <v>121366.43388775451</v>
      </c>
      <c r="Z167" s="230">
        <f t="shared" si="307"/>
        <v>121665.75625502417</v>
      </c>
      <c r="AA167" s="230">
        <f t="shared" si="307"/>
        <v>121965.8168320004</v>
      </c>
      <c r="AB167" s="230">
        <f t="shared" si="307"/>
        <v>122266.61743930749</v>
      </c>
      <c r="AC167" s="230">
        <f t="shared" si="307"/>
        <v>122568.15990205988</v>
      </c>
      <c r="AD167" s="230">
        <f t="shared" si="307"/>
        <v>122870.44604987322</v>
      </c>
      <c r="AE167" s="230">
        <f t="shared" si="307"/>
        <v>123173.4777168755</v>
      </c>
      <c r="AF167" s="230">
        <f t="shared" si="307"/>
        <v>123477.25674171814</v>
      </c>
      <c r="AG167" s="230">
        <f t="shared" si="307"/>
        <v>123781.78496758723</v>
      </c>
      <c r="AH167" s="230">
        <f t="shared" si="307"/>
        <v>124087.06424221458</v>
      </c>
      <c r="AI167" s="230">
        <f t="shared" si="307"/>
        <v>124393.09641788906</v>
      </c>
      <c r="AJ167" s="230">
        <f t="shared" si="307"/>
        <v>124699.88335146775</v>
      </c>
      <c r="AK167" s="230">
        <f t="shared" si="307"/>
        <v>125007.42690438728</v>
      </c>
      <c r="AL167" s="230">
        <f t="shared" si="307"/>
        <v>125315.72894267504</v>
      </c>
      <c r="AM167" s="230">
        <f t="shared" si="307"/>
        <v>125624.79133696055</v>
      </c>
      <c r="AN167" s="230">
        <f t="shared" si="307"/>
        <v>125934.61596248686</v>
      </c>
      <c r="AO167" s="230">
        <f t="shared" si="307"/>
        <v>126245.20469912181</v>
      </c>
      <c r="AP167" s="230">
        <f t="shared" si="307"/>
        <v>126556.55943136955</v>
      </c>
      <c r="AQ167" s="230">
        <f t="shared" si="307"/>
        <v>126868.68204838189</v>
      </c>
      <c r="AR167" s="230">
        <f t="shared" si="307"/>
        <v>127181.57444396982</v>
      </c>
      <c r="AS167" s="230">
        <f t="shared" si="307"/>
        <v>127495.23851661498</v>
      </c>
      <c r="AT167" s="230">
        <f t="shared" si="307"/>
        <v>127809.67616948116</v>
      </c>
      <c r="AU167" s="230">
        <f t="shared" si="307"/>
        <v>128124.88931042588</v>
      </c>
      <c r="AV167" s="230">
        <f t="shared" si="307"/>
        <v>128440.87985201193</v>
      </c>
      <c r="AW167" s="230">
        <f t="shared" si="307"/>
        <v>128757.64971151904</v>
      </c>
      <c r="AX167" s="230">
        <f t="shared" si="307"/>
        <v>129075.20081095543</v>
      </c>
      <c r="AY167" s="230">
        <f t="shared" si="307"/>
        <v>129393.53507706952</v>
      </c>
      <c r="AZ167" s="230">
        <f t="shared" si="307"/>
        <v>129712.65444136162</v>
      </c>
      <c r="BA167" s="230">
        <f t="shared" si="307"/>
        <v>130032.56084009563</v>
      </c>
      <c r="BB167" s="230">
        <f t="shared" si="307"/>
        <v>130353.25621431079</v>
      </c>
      <c r="BC167" s="230">
        <f t="shared" si="307"/>
        <v>130674.74250983351</v>
      </c>
      <c r="BD167" s="230">
        <f t="shared" si="307"/>
        <v>130997.02167728907</v>
      </c>
      <c r="BE167" s="230">
        <f t="shared" si="307"/>
        <v>131320.09567211359</v>
      </c>
      <c r="BF167" s="230">
        <f t="shared" si="307"/>
        <v>131643.96645456576</v>
      </c>
      <c r="BG167" s="230">
        <f t="shared" si="307"/>
        <v>131968.6359897388</v>
      </c>
      <c r="BH167" s="230">
        <f t="shared" si="307"/>
        <v>132294.10624757243</v>
      </c>
      <c r="BI167" s="230">
        <f t="shared" si="307"/>
        <v>132620.37920286474</v>
      </c>
      <c r="BJ167" s="230">
        <f t="shared" si="307"/>
        <v>132947.45683528422</v>
      </c>
      <c r="BK167" s="230">
        <f t="shared" si="307"/>
        <v>133275.34112938173</v>
      </c>
      <c r="BL167" s="230">
        <f t="shared" si="307"/>
        <v>133604.03407460259</v>
      </c>
      <c r="BM167" s="230">
        <f t="shared" si="307"/>
        <v>133933.53766529862</v>
      </c>
      <c r="BN167" s="230">
        <f t="shared" si="307"/>
        <v>134263.85390074024</v>
      </c>
      <c r="BO167" s="230">
        <f t="shared" si="307"/>
        <v>134594.98478512865</v>
      </c>
      <c r="BP167" s="230">
        <f t="shared" si="307"/>
        <v>134926.93232760788</v>
      </c>
      <c r="BQ167" s="230">
        <f t="shared" si="307"/>
        <v>135259.69854227712</v>
      </c>
      <c r="BR167" s="230">
        <f t="shared" si="307"/>
        <v>135593.28544820286</v>
      </c>
      <c r="BS167" s="230">
        <f t="shared" si="308"/>
        <v>135927.69506943112</v>
      </c>
      <c r="BT167" s="230">
        <f t="shared" si="308"/>
        <v>136262.92943499977</v>
      </c>
      <c r="BU167" s="230">
        <f t="shared" si="308"/>
        <v>136598.99057895085</v>
      </c>
      <c r="BV167" s="230">
        <f t="shared" si="308"/>
        <v>136935.88054034291</v>
      </c>
      <c r="BW167" s="230">
        <f t="shared" si="308"/>
        <v>137273.60136326335</v>
      </c>
      <c r="BX167" s="230">
        <f t="shared" si="308"/>
        <v>137612.15509684084</v>
      </c>
      <c r="BY167" s="230">
        <f t="shared" si="308"/>
        <v>137951.54379525775</v>
      </c>
      <c r="BZ167" s="230">
        <f t="shared" si="308"/>
        <v>138291.76951776262</v>
      </c>
      <c r="CA167" s="230">
        <f t="shared" si="308"/>
        <v>138632.83432868266</v>
      </c>
      <c r="CB167" s="230">
        <f t="shared" si="308"/>
        <v>138974.74029743628</v>
      </c>
      <c r="CC167" s="230">
        <f t="shared" si="308"/>
        <v>139317.48949854559</v>
      </c>
      <c r="CD167" s="230">
        <f t="shared" si="308"/>
        <v>139661.0840116491</v>
      </c>
      <c r="CE167" s="230">
        <f t="shared" si="308"/>
        <v>140005.5259215142</v>
      </c>
      <c r="CF167" s="230">
        <f t="shared" si="308"/>
        <v>140350.8173180499</v>
      </c>
      <c r="CG167" s="230">
        <f t="shared" si="308"/>
        <v>140696.96029631954</v>
      </c>
      <c r="CH167" s="230">
        <f t="shared" si="308"/>
        <v>141043.95695655336</v>
      </c>
      <c r="CI167" s="230">
        <f t="shared" si="308"/>
        <v>141391.80940416141</v>
      </c>
      <c r="CJ167" s="230">
        <f t="shared" si="308"/>
        <v>141740.51974974622</v>
      </c>
      <c r="CK167" s="230">
        <f t="shared" si="308"/>
        <v>142090.09010911564</v>
      </c>
      <c r="CL167" s="230">
        <f t="shared" si="308"/>
        <v>142440.52260329566</v>
      </c>
      <c r="CM167" s="230">
        <f t="shared" si="308"/>
        <v>142791.81935854332</v>
      </c>
      <c r="CN167" s="230">
        <f t="shared" si="308"/>
        <v>143143.98250635955</v>
      </c>
      <c r="CO167" s="230">
        <f t="shared" si="308"/>
        <v>143497.01418350215</v>
      </c>
      <c r="CP167" s="230">
        <f t="shared" si="308"/>
        <v>143850.91653199875</v>
      </c>
      <c r="CQ167" s="230">
        <f t="shared" si="308"/>
        <v>144205.6916991598</v>
      </c>
      <c r="CR167" s="230">
        <f t="shared" si="308"/>
        <v>144561.34183759158</v>
      </c>
      <c r="CS167" s="230">
        <f t="shared" si="308"/>
        <v>144917.86910520931</v>
      </c>
      <c r="CT167" s="230">
        <f t="shared" si="308"/>
        <v>145275.27566525014</v>
      </c>
      <c r="CU167" s="230">
        <f t="shared" si="308"/>
        <v>145633.56368628642</v>
      </c>
      <c r="CV167" s="230">
        <f t="shared" si="308"/>
        <v>145992.73534223877</v>
      </c>
      <c r="CW167" s="230">
        <f t="shared" si="308"/>
        <v>146352.79281238926</v>
      </c>
      <c r="CX167" s="230">
        <f t="shared" si="308"/>
        <v>146713.73828139468</v>
      </c>
      <c r="CY167" s="230">
        <f t="shared" si="308"/>
        <v>147075.57393929976</v>
      </c>
      <c r="CZ167" s="230">
        <f t="shared" si="308"/>
        <v>147438.30198155047</v>
      </c>
      <c r="DA167" s="230">
        <f t="shared" si="308"/>
        <v>147801.92460900734</v>
      </c>
      <c r="DB167" s="230">
        <f t="shared" si="308"/>
        <v>148166.44402795885</v>
      </c>
      <c r="DC167" s="230">
        <f t="shared" si="308"/>
        <v>148531.86245013474</v>
      </c>
      <c r="DD167" s="230">
        <f t="shared" si="308"/>
        <v>148898.18209271948</v>
      </c>
      <c r="DE167" s="230">
        <f t="shared" si="308"/>
        <v>149265.40517836573</v>
      </c>
      <c r="DF167" s="230">
        <f t="shared" si="308"/>
        <v>149633.53393520779</v>
      </c>
      <c r="DG167" s="230">
        <f t="shared" si="308"/>
        <v>150002.57059687516</v>
      </c>
      <c r="DH167" s="230">
        <f t="shared" si="308"/>
        <v>150372.51740250608</v>
      </c>
      <c r="DI167" s="230">
        <f t="shared" si="308"/>
        <v>150743.37659676108</v>
      </c>
      <c r="DJ167" s="230">
        <f t="shared" si="308"/>
        <v>151115.15042983668</v>
      </c>
      <c r="DK167" s="230">
        <f t="shared" si="308"/>
        <v>151487.84115747892</v>
      </c>
      <c r="DL167" s="230">
        <f t="shared" si="308"/>
        <v>151861.45104099714</v>
      </c>
      <c r="DM167" s="230">
        <f t="shared" si="308"/>
        <v>152235.98234727772</v>
      </c>
      <c r="DN167" s="230">
        <f t="shared" si="308"/>
        <v>152611.43734879777</v>
      </c>
      <c r="DO167" s="230">
        <f t="shared" si="308"/>
        <v>152987.81832363893</v>
      </c>
      <c r="DP167" s="230">
        <f t="shared" si="308"/>
        <v>153365.12755550121</v>
      </c>
      <c r="DQ167" s="230">
        <f t="shared" si="308"/>
        <v>153743.36733371683</v>
      </c>
      <c r="DR167" s="230">
        <f t="shared" si="308"/>
        <v>154122.53995326415</v>
      </c>
      <c r="DS167" s="230">
        <f t="shared" si="308"/>
        <v>154502.64771478155</v>
      </c>
      <c r="DT167" s="230">
        <f t="shared" si="308"/>
        <v>154883.69292458141</v>
      </c>
      <c r="DU167" s="230">
        <f t="shared" si="308"/>
        <v>155265.67789466408</v>
      </c>
      <c r="DV167" s="230">
        <f t="shared" si="308"/>
        <v>155648.60494273194</v>
      </c>
      <c r="DW167" s="230">
        <f t="shared" si="308"/>
        <v>156032.47639220345</v>
      </c>
      <c r="DX167" s="230">
        <f t="shared" si="308"/>
        <v>156417.29457222723</v>
      </c>
      <c r="DY167" s="230">
        <f t="shared" si="308"/>
        <v>156803.06181769623</v>
      </c>
      <c r="DZ167" s="230">
        <f t="shared" si="308"/>
        <v>157189.7804692619</v>
      </c>
      <c r="EA167" s="230">
        <f t="shared" si="308"/>
        <v>157577.45287334829</v>
      </c>
      <c r="EB167" s="230">
        <f t="shared" si="308"/>
        <v>157966.08138216645</v>
      </c>
      <c r="EC167" s="230">
        <f t="shared" si="308"/>
        <v>158355.66835372854</v>
      </c>
      <c r="ED167" s="230">
        <f t="shared" si="308"/>
        <v>158746.21615186229</v>
      </c>
      <c r="EE167" s="230">
        <f t="shared" si="309"/>
        <v>159137.72714622522</v>
      </c>
      <c r="EF167" s="230">
        <f>EF$135*EE167</f>
        <v>159530.20371231908</v>
      </c>
      <c r="EG167" s="230">
        <f>EG$135*EF167</f>
        <v>159923.64823150422</v>
      </c>
      <c r="EH167" s="230">
        <f>EH$135*EG167</f>
        <v>160318.0630910141</v>
      </c>
      <c r="EK167" s="280"/>
    </row>
    <row r="168" spans="1:141" ht="15" hidden="1" thickTop="1" x14ac:dyDescent="0.3">
      <c r="A168" s="684" t="s">
        <v>2427</v>
      </c>
      <c r="B168" s="200"/>
      <c r="C168" s="200"/>
      <c r="D168" s="200"/>
      <c r="E168" s="230"/>
      <c r="F168" s="230"/>
      <c r="G168" s="230">
        <f t="shared" ref="G168:BR168" si="310">IF(G20&gt;0,1,0)</f>
        <v>0</v>
      </c>
      <c r="H168" s="230">
        <f t="shared" si="310"/>
        <v>0</v>
      </c>
      <c r="I168" s="230">
        <f t="shared" si="310"/>
        <v>0</v>
      </c>
      <c r="J168" s="230">
        <f t="shared" si="310"/>
        <v>0</v>
      </c>
      <c r="K168" s="230">
        <f t="shared" si="310"/>
        <v>0</v>
      </c>
      <c r="L168" s="230">
        <f t="shared" si="310"/>
        <v>0</v>
      </c>
      <c r="M168" s="230">
        <f t="shared" si="310"/>
        <v>0</v>
      </c>
      <c r="N168" s="230">
        <f t="shared" si="310"/>
        <v>0</v>
      </c>
      <c r="O168" s="230">
        <f t="shared" si="310"/>
        <v>0</v>
      </c>
      <c r="P168" s="230">
        <f t="shared" si="310"/>
        <v>0</v>
      </c>
      <c r="Q168" s="230">
        <f t="shared" si="310"/>
        <v>0</v>
      </c>
      <c r="R168" s="230">
        <f t="shared" si="310"/>
        <v>0</v>
      </c>
      <c r="S168" s="230">
        <f t="shared" si="310"/>
        <v>0</v>
      </c>
      <c r="T168" s="230">
        <f t="shared" si="310"/>
        <v>1</v>
      </c>
      <c r="U168" s="230">
        <f t="shared" si="310"/>
        <v>1</v>
      </c>
      <c r="V168" s="230">
        <f t="shared" si="310"/>
        <v>1</v>
      </c>
      <c r="W168" s="230">
        <f t="shared" si="310"/>
        <v>1</v>
      </c>
      <c r="X168" s="230">
        <f t="shared" si="310"/>
        <v>1</v>
      </c>
      <c r="Y168" s="230">
        <f t="shared" si="310"/>
        <v>1</v>
      </c>
      <c r="Z168" s="230">
        <f t="shared" si="310"/>
        <v>1</v>
      </c>
      <c r="AA168" s="230">
        <f t="shared" si="310"/>
        <v>1</v>
      </c>
      <c r="AB168" s="230">
        <f t="shared" si="310"/>
        <v>1</v>
      </c>
      <c r="AC168" s="230">
        <f t="shared" si="310"/>
        <v>1</v>
      </c>
      <c r="AD168" s="230">
        <f t="shared" si="310"/>
        <v>1</v>
      </c>
      <c r="AE168" s="230">
        <f t="shared" si="310"/>
        <v>1</v>
      </c>
      <c r="AF168" s="230">
        <f t="shared" si="310"/>
        <v>1</v>
      </c>
      <c r="AG168" s="230">
        <f t="shared" si="310"/>
        <v>1</v>
      </c>
      <c r="AH168" s="230">
        <f t="shared" si="310"/>
        <v>1</v>
      </c>
      <c r="AI168" s="230">
        <f t="shared" si="310"/>
        <v>1</v>
      </c>
      <c r="AJ168" s="230">
        <f t="shared" si="310"/>
        <v>1</v>
      </c>
      <c r="AK168" s="230">
        <f t="shared" si="310"/>
        <v>1</v>
      </c>
      <c r="AL168" s="230">
        <f t="shared" si="310"/>
        <v>1</v>
      </c>
      <c r="AM168" s="230">
        <f t="shared" si="310"/>
        <v>1</v>
      </c>
      <c r="AN168" s="230">
        <f t="shared" si="310"/>
        <v>1</v>
      </c>
      <c r="AO168" s="230">
        <f t="shared" si="310"/>
        <v>1</v>
      </c>
      <c r="AP168" s="230">
        <f t="shared" si="310"/>
        <v>1</v>
      </c>
      <c r="AQ168" s="230">
        <f t="shared" si="310"/>
        <v>1</v>
      </c>
      <c r="AR168" s="230">
        <f t="shared" si="310"/>
        <v>1</v>
      </c>
      <c r="AS168" s="230">
        <f t="shared" si="310"/>
        <v>1</v>
      </c>
      <c r="AT168" s="230">
        <f t="shared" si="310"/>
        <v>1</v>
      </c>
      <c r="AU168" s="230">
        <f t="shared" si="310"/>
        <v>1</v>
      </c>
      <c r="AV168" s="230">
        <f t="shared" si="310"/>
        <v>1</v>
      </c>
      <c r="AW168" s="230">
        <f t="shared" si="310"/>
        <v>1</v>
      </c>
      <c r="AX168" s="230">
        <f t="shared" si="310"/>
        <v>1</v>
      </c>
      <c r="AY168" s="230">
        <f t="shared" si="310"/>
        <v>1</v>
      </c>
      <c r="AZ168" s="230">
        <f t="shared" si="310"/>
        <v>1</v>
      </c>
      <c r="BA168" s="230">
        <f t="shared" si="310"/>
        <v>1</v>
      </c>
      <c r="BB168" s="230">
        <f t="shared" si="310"/>
        <v>1</v>
      </c>
      <c r="BC168" s="230">
        <f t="shared" si="310"/>
        <v>1</v>
      </c>
      <c r="BD168" s="230">
        <f t="shared" si="310"/>
        <v>1</v>
      </c>
      <c r="BE168" s="230">
        <f t="shared" si="310"/>
        <v>1</v>
      </c>
      <c r="BF168" s="230">
        <f t="shared" si="310"/>
        <v>1</v>
      </c>
      <c r="BG168" s="230">
        <f t="shared" si="310"/>
        <v>1</v>
      </c>
      <c r="BH168" s="230">
        <f t="shared" si="310"/>
        <v>1</v>
      </c>
      <c r="BI168" s="230">
        <f t="shared" si="310"/>
        <v>1</v>
      </c>
      <c r="BJ168" s="230">
        <f t="shared" si="310"/>
        <v>1</v>
      </c>
      <c r="BK168" s="230">
        <f t="shared" si="310"/>
        <v>1</v>
      </c>
      <c r="BL168" s="230">
        <f t="shared" si="310"/>
        <v>1</v>
      </c>
      <c r="BM168" s="230">
        <f t="shared" si="310"/>
        <v>1</v>
      </c>
      <c r="BN168" s="230">
        <f t="shared" si="310"/>
        <v>1</v>
      </c>
      <c r="BO168" s="230">
        <f t="shared" si="310"/>
        <v>1</v>
      </c>
      <c r="BP168" s="230">
        <f t="shared" si="310"/>
        <v>1</v>
      </c>
      <c r="BQ168" s="230">
        <f t="shared" si="310"/>
        <v>1</v>
      </c>
      <c r="BR168" s="230">
        <f t="shared" si="310"/>
        <v>1</v>
      </c>
      <c r="BS168" s="230">
        <f t="shared" ref="BS168:ED168" si="311">IF(BS20&gt;0,1,0)</f>
        <v>1</v>
      </c>
      <c r="BT168" s="230">
        <f t="shared" si="311"/>
        <v>1</v>
      </c>
      <c r="BU168" s="230">
        <f t="shared" si="311"/>
        <v>1</v>
      </c>
      <c r="BV168" s="230">
        <f t="shared" si="311"/>
        <v>1</v>
      </c>
      <c r="BW168" s="230">
        <f t="shared" si="311"/>
        <v>1</v>
      </c>
      <c r="BX168" s="230">
        <f t="shared" si="311"/>
        <v>1</v>
      </c>
      <c r="BY168" s="230">
        <f t="shared" si="311"/>
        <v>1</v>
      </c>
      <c r="BZ168" s="230">
        <f t="shared" si="311"/>
        <v>1</v>
      </c>
      <c r="CA168" s="230">
        <f t="shared" si="311"/>
        <v>1</v>
      </c>
      <c r="CB168" s="230">
        <f t="shared" si="311"/>
        <v>1</v>
      </c>
      <c r="CC168" s="230">
        <f t="shared" si="311"/>
        <v>1</v>
      </c>
      <c r="CD168" s="230">
        <f t="shared" si="311"/>
        <v>1</v>
      </c>
      <c r="CE168" s="230">
        <f t="shared" si="311"/>
        <v>1</v>
      </c>
      <c r="CF168" s="230">
        <f t="shared" si="311"/>
        <v>1</v>
      </c>
      <c r="CG168" s="230">
        <f t="shared" si="311"/>
        <v>1</v>
      </c>
      <c r="CH168" s="230">
        <f t="shared" si="311"/>
        <v>1</v>
      </c>
      <c r="CI168" s="230">
        <f t="shared" si="311"/>
        <v>1</v>
      </c>
      <c r="CJ168" s="230">
        <f t="shared" si="311"/>
        <v>1</v>
      </c>
      <c r="CK168" s="230">
        <f t="shared" si="311"/>
        <v>1</v>
      </c>
      <c r="CL168" s="230">
        <f t="shared" si="311"/>
        <v>1</v>
      </c>
      <c r="CM168" s="230">
        <f t="shared" si="311"/>
        <v>1</v>
      </c>
      <c r="CN168" s="230">
        <f t="shared" si="311"/>
        <v>1</v>
      </c>
      <c r="CO168" s="230">
        <f t="shared" si="311"/>
        <v>1</v>
      </c>
      <c r="CP168" s="230">
        <f t="shared" si="311"/>
        <v>1</v>
      </c>
      <c r="CQ168" s="230">
        <f t="shared" si="311"/>
        <v>1</v>
      </c>
      <c r="CR168" s="230">
        <f t="shared" si="311"/>
        <v>1</v>
      </c>
      <c r="CS168" s="230">
        <f t="shared" si="311"/>
        <v>1</v>
      </c>
      <c r="CT168" s="230">
        <f t="shared" si="311"/>
        <v>1</v>
      </c>
      <c r="CU168" s="230">
        <f t="shared" si="311"/>
        <v>1</v>
      </c>
      <c r="CV168" s="230">
        <f t="shared" si="311"/>
        <v>1</v>
      </c>
      <c r="CW168" s="230">
        <f t="shared" si="311"/>
        <v>1</v>
      </c>
      <c r="CX168" s="230">
        <f t="shared" si="311"/>
        <v>1</v>
      </c>
      <c r="CY168" s="230">
        <f t="shared" si="311"/>
        <v>1</v>
      </c>
      <c r="CZ168" s="230">
        <f t="shared" si="311"/>
        <v>1</v>
      </c>
      <c r="DA168" s="230">
        <f t="shared" si="311"/>
        <v>1</v>
      </c>
      <c r="DB168" s="230">
        <f t="shared" si="311"/>
        <v>1</v>
      </c>
      <c r="DC168" s="230">
        <f t="shared" si="311"/>
        <v>1</v>
      </c>
      <c r="DD168" s="230">
        <f t="shared" si="311"/>
        <v>1</v>
      </c>
      <c r="DE168" s="230">
        <f t="shared" si="311"/>
        <v>1</v>
      </c>
      <c r="DF168" s="230">
        <f t="shared" si="311"/>
        <v>1</v>
      </c>
      <c r="DG168" s="230">
        <f t="shared" si="311"/>
        <v>1</v>
      </c>
      <c r="DH168" s="230">
        <f t="shared" si="311"/>
        <v>1</v>
      </c>
      <c r="DI168" s="230">
        <f t="shared" si="311"/>
        <v>1</v>
      </c>
      <c r="DJ168" s="230">
        <f t="shared" si="311"/>
        <v>1</v>
      </c>
      <c r="DK168" s="230">
        <f t="shared" si="311"/>
        <v>1</v>
      </c>
      <c r="DL168" s="230">
        <f t="shared" si="311"/>
        <v>1</v>
      </c>
      <c r="DM168" s="230">
        <f t="shared" si="311"/>
        <v>1</v>
      </c>
      <c r="DN168" s="230">
        <f t="shared" si="311"/>
        <v>1</v>
      </c>
      <c r="DO168" s="230">
        <f t="shared" si="311"/>
        <v>1</v>
      </c>
      <c r="DP168" s="230">
        <f t="shared" si="311"/>
        <v>1</v>
      </c>
      <c r="DQ168" s="230">
        <f t="shared" si="311"/>
        <v>1</v>
      </c>
      <c r="DR168" s="230">
        <f t="shared" si="311"/>
        <v>1</v>
      </c>
      <c r="DS168" s="230">
        <f t="shared" si="311"/>
        <v>1</v>
      </c>
      <c r="DT168" s="230">
        <f t="shared" si="311"/>
        <v>1</v>
      </c>
      <c r="DU168" s="230">
        <f t="shared" si="311"/>
        <v>1</v>
      </c>
      <c r="DV168" s="230">
        <f t="shared" si="311"/>
        <v>1</v>
      </c>
      <c r="DW168" s="230">
        <f t="shared" si="311"/>
        <v>1</v>
      </c>
      <c r="DX168" s="230">
        <f t="shared" si="311"/>
        <v>1</v>
      </c>
      <c r="DY168" s="230">
        <f t="shared" si="311"/>
        <v>1</v>
      </c>
      <c r="DZ168" s="230">
        <f t="shared" si="311"/>
        <v>1</v>
      </c>
      <c r="EA168" s="230">
        <f t="shared" si="311"/>
        <v>1</v>
      </c>
      <c r="EB168" s="230">
        <f t="shared" si="311"/>
        <v>1</v>
      </c>
      <c r="EC168" s="230">
        <f t="shared" si="311"/>
        <v>1</v>
      </c>
      <c r="ED168" s="230">
        <f t="shared" si="311"/>
        <v>1</v>
      </c>
      <c r="EE168" s="230">
        <f t="shared" ref="EE168:EH168" si="312">IF(EE20&gt;0,1,0)</f>
        <v>1</v>
      </c>
      <c r="EF168" s="230">
        <f t="shared" si="312"/>
        <v>1</v>
      </c>
      <c r="EG168" s="230">
        <f t="shared" si="312"/>
        <v>1</v>
      </c>
      <c r="EH168" s="230">
        <f t="shared" si="312"/>
        <v>1</v>
      </c>
      <c r="EK168" s="672"/>
    </row>
    <row r="169" spans="1:141" ht="15" hidden="1" thickTop="1" x14ac:dyDescent="0.3">
      <c r="A169" s="684" t="s">
        <v>2451</v>
      </c>
      <c r="B169" s="200"/>
      <c r="C169" s="200"/>
      <c r="D169" s="200"/>
      <c r="E169" s="230"/>
      <c r="F169" s="230">
        <f>F166/12</f>
        <v>9651.4316500041568</v>
      </c>
      <c r="G169" s="647">
        <f t="shared" ref="G169:AL169" si="313">IF(AND(MONTH(G$6)=1,G$6&lt;=DateDisposition),G166/12,
IF(AND(G$5=MonthDisposition+1,MONTH(G$6)&lt;&gt;1),LOOKUP(EDATE(G$6,-(MONTH(G$6)-1)),$6:$6,167:167)/12,
IF(AND(MONTH(G$6)=1,G$5&gt;=MonthDisposition+1),G167/12,F169)))</f>
        <v>9651.4316500041568</v>
      </c>
      <c r="H169" s="647">
        <f t="shared" si="313"/>
        <v>9651.4316500041568</v>
      </c>
      <c r="I169" s="647">
        <f t="shared" si="313"/>
        <v>9651.4316500041568</v>
      </c>
      <c r="J169" s="647">
        <f t="shared" si="313"/>
        <v>9746.9965942607141</v>
      </c>
      <c r="K169" s="647">
        <f t="shared" si="313"/>
        <v>9746.9965942607141</v>
      </c>
      <c r="L169" s="647">
        <f t="shared" si="313"/>
        <v>9746.9965942607141</v>
      </c>
      <c r="M169" s="647">
        <f t="shared" si="313"/>
        <v>9746.9965942607141</v>
      </c>
      <c r="N169" s="647">
        <f t="shared" si="313"/>
        <v>9746.9965942607141</v>
      </c>
      <c r="O169" s="647">
        <f t="shared" si="313"/>
        <v>9746.9965942607141</v>
      </c>
      <c r="P169" s="647">
        <f t="shared" si="313"/>
        <v>9746.9965942607141</v>
      </c>
      <c r="Q169" s="647">
        <f t="shared" si="313"/>
        <v>9746.9965942607141</v>
      </c>
      <c r="R169" s="647">
        <f t="shared" si="313"/>
        <v>9746.9965942607141</v>
      </c>
      <c r="S169" s="647">
        <f t="shared" si="313"/>
        <v>9746.9965942607141</v>
      </c>
      <c r="T169" s="647">
        <f t="shared" si="313"/>
        <v>9746.9965942607141</v>
      </c>
      <c r="U169" s="647">
        <f t="shared" si="313"/>
        <v>9746.9965942607141</v>
      </c>
      <c r="V169" s="647">
        <f t="shared" si="313"/>
        <v>10039.406492088547</v>
      </c>
      <c r="W169" s="647">
        <f t="shared" si="313"/>
        <v>10039.406492088547</v>
      </c>
      <c r="X169" s="647">
        <f t="shared" si="313"/>
        <v>10039.406492088547</v>
      </c>
      <c r="Y169" s="647">
        <f t="shared" si="313"/>
        <v>10039.406492088547</v>
      </c>
      <c r="Z169" s="647">
        <f t="shared" si="313"/>
        <v>10039.406492088547</v>
      </c>
      <c r="AA169" s="647">
        <f t="shared" si="313"/>
        <v>10039.406492088547</v>
      </c>
      <c r="AB169" s="647">
        <f t="shared" si="313"/>
        <v>10039.406492088547</v>
      </c>
      <c r="AC169" s="647">
        <f t="shared" si="313"/>
        <v>10039.406492088547</v>
      </c>
      <c r="AD169" s="647">
        <f t="shared" si="313"/>
        <v>10039.406492088547</v>
      </c>
      <c r="AE169" s="647">
        <f t="shared" si="313"/>
        <v>10039.406492088547</v>
      </c>
      <c r="AF169" s="647">
        <f t="shared" si="313"/>
        <v>10039.406492088547</v>
      </c>
      <c r="AG169" s="647">
        <f t="shared" si="313"/>
        <v>10039.406492088547</v>
      </c>
      <c r="AH169" s="647">
        <f t="shared" si="313"/>
        <v>10340.588686851215</v>
      </c>
      <c r="AI169" s="647">
        <f t="shared" si="313"/>
        <v>10340.588686851215</v>
      </c>
      <c r="AJ169" s="647">
        <f t="shared" si="313"/>
        <v>10340.588686851215</v>
      </c>
      <c r="AK169" s="647">
        <f t="shared" si="313"/>
        <v>10340.588686851215</v>
      </c>
      <c r="AL169" s="647">
        <f t="shared" si="313"/>
        <v>10340.588686851215</v>
      </c>
      <c r="AM169" s="647">
        <f t="shared" ref="AM169:BR169" si="314">IF(AND(MONTH(AM$6)=1,AM$6&lt;=DateDisposition),AM166/12,
IF(AND(AM$5=MonthDisposition+1,MONTH(AM$6)&lt;&gt;1),LOOKUP(EDATE(AM$6,-(MONTH(AM$6)-1)),$6:$6,167:167)/12,
IF(AND(MONTH(AM$6)=1,AM$5&gt;=MonthDisposition+1),AM167/12,AL169)))</f>
        <v>10340.588686851215</v>
      </c>
      <c r="AN169" s="647">
        <f t="shared" si="314"/>
        <v>10340.588686851215</v>
      </c>
      <c r="AO169" s="647">
        <f t="shared" si="314"/>
        <v>10340.588686851215</v>
      </c>
      <c r="AP169" s="647">
        <f t="shared" si="314"/>
        <v>10340.588686851215</v>
      </c>
      <c r="AQ169" s="647">
        <f t="shared" si="314"/>
        <v>10340.588686851215</v>
      </c>
      <c r="AR169" s="647">
        <f t="shared" si="314"/>
        <v>10340.588686851215</v>
      </c>
      <c r="AS169" s="647">
        <f t="shared" si="314"/>
        <v>10340.588686851215</v>
      </c>
      <c r="AT169" s="647">
        <f t="shared" si="314"/>
        <v>10650.806347456763</v>
      </c>
      <c r="AU169" s="647">
        <f t="shared" si="314"/>
        <v>10650.806347456763</v>
      </c>
      <c r="AV169" s="647">
        <f t="shared" si="314"/>
        <v>10650.806347456763</v>
      </c>
      <c r="AW169" s="647">
        <f t="shared" si="314"/>
        <v>10650.806347456763</v>
      </c>
      <c r="AX169" s="647">
        <f t="shared" si="314"/>
        <v>10650.806347456763</v>
      </c>
      <c r="AY169" s="647">
        <f t="shared" si="314"/>
        <v>10650.806347456763</v>
      </c>
      <c r="AZ169" s="647">
        <f t="shared" si="314"/>
        <v>10650.806347456763</v>
      </c>
      <c r="BA169" s="647">
        <f t="shared" si="314"/>
        <v>10650.806347456763</v>
      </c>
      <c r="BB169" s="647">
        <f t="shared" si="314"/>
        <v>10650.806347456763</v>
      </c>
      <c r="BC169" s="647">
        <f t="shared" si="314"/>
        <v>10650.806347456763</v>
      </c>
      <c r="BD169" s="647">
        <f t="shared" si="314"/>
        <v>10650.806347456763</v>
      </c>
      <c r="BE169" s="647">
        <f t="shared" si="314"/>
        <v>10650.806347456763</v>
      </c>
      <c r="BF169" s="647">
        <f t="shared" si="314"/>
        <v>10970.33053788048</v>
      </c>
      <c r="BG169" s="647">
        <f t="shared" si="314"/>
        <v>10970.33053788048</v>
      </c>
      <c r="BH169" s="647">
        <f t="shared" si="314"/>
        <v>10970.33053788048</v>
      </c>
      <c r="BI169" s="647">
        <f t="shared" si="314"/>
        <v>10970.33053788048</v>
      </c>
      <c r="BJ169" s="647">
        <f t="shared" si="314"/>
        <v>10970.33053788048</v>
      </c>
      <c r="BK169" s="647">
        <f t="shared" si="314"/>
        <v>10970.33053788048</v>
      </c>
      <c r="BL169" s="647">
        <f t="shared" si="314"/>
        <v>10970.33053788048</v>
      </c>
      <c r="BM169" s="647">
        <f t="shared" si="314"/>
        <v>10970.33053788048</v>
      </c>
      <c r="BN169" s="647">
        <f t="shared" si="314"/>
        <v>10970.33053788048</v>
      </c>
      <c r="BO169" s="647">
        <f t="shared" si="314"/>
        <v>10970.33053788048</v>
      </c>
      <c r="BP169" s="647">
        <f t="shared" si="314"/>
        <v>10970.33053788048</v>
      </c>
      <c r="BQ169" s="647">
        <f t="shared" si="314"/>
        <v>10970.33053788048</v>
      </c>
      <c r="BR169" s="647">
        <f t="shared" si="314"/>
        <v>11299.440454016905</v>
      </c>
      <c r="BS169" s="647">
        <f t="shared" ref="BS169:CX169" si="315">IF(AND(MONTH(BS$6)=1,BS$6&lt;=DateDisposition),BS166/12,
IF(AND(BS$5=MonthDisposition+1,MONTH(BS$6)&lt;&gt;1),LOOKUP(EDATE(BS$6,-(MONTH(BS$6)-1)),$6:$6,167:167)/12,
IF(AND(MONTH(BS$6)=1,BS$5&gt;=MonthDisposition+1),BS167/12,BR169)))</f>
        <v>11299.440454016905</v>
      </c>
      <c r="BT169" s="647">
        <f t="shared" si="315"/>
        <v>11299.440454016905</v>
      </c>
      <c r="BU169" s="647">
        <f t="shared" si="315"/>
        <v>11299.440454016905</v>
      </c>
      <c r="BV169" s="647">
        <f t="shared" si="315"/>
        <v>11299.440454016905</v>
      </c>
      <c r="BW169" s="647">
        <f t="shared" si="315"/>
        <v>11299.440454016905</v>
      </c>
      <c r="BX169" s="647">
        <f t="shared" si="315"/>
        <v>11299.440454016905</v>
      </c>
      <c r="BY169" s="647">
        <f t="shared" si="315"/>
        <v>11299.440454016905</v>
      </c>
      <c r="BZ169" s="647">
        <f t="shared" si="315"/>
        <v>11299.440454016905</v>
      </c>
      <c r="CA169" s="647">
        <f t="shared" si="315"/>
        <v>11299.440454016905</v>
      </c>
      <c r="CB169" s="647">
        <f t="shared" si="315"/>
        <v>11299.440454016905</v>
      </c>
      <c r="CC169" s="647">
        <f t="shared" si="315"/>
        <v>11299.440454016905</v>
      </c>
      <c r="CD169" s="647">
        <f t="shared" si="315"/>
        <v>11638.423667637426</v>
      </c>
      <c r="CE169" s="647">
        <f t="shared" si="315"/>
        <v>11638.423667637426</v>
      </c>
      <c r="CF169" s="647">
        <f t="shared" si="315"/>
        <v>11638.423667637426</v>
      </c>
      <c r="CG169" s="647">
        <f t="shared" si="315"/>
        <v>11638.423667637426</v>
      </c>
      <c r="CH169" s="647">
        <f t="shared" si="315"/>
        <v>11638.423667637426</v>
      </c>
      <c r="CI169" s="647">
        <f t="shared" si="315"/>
        <v>11638.423667637426</v>
      </c>
      <c r="CJ169" s="647">
        <f t="shared" si="315"/>
        <v>11638.423667637426</v>
      </c>
      <c r="CK169" s="647">
        <f t="shared" si="315"/>
        <v>11638.423667637426</v>
      </c>
      <c r="CL169" s="647">
        <f t="shared" si="315"/>
        <v>11638.423667637426</v>
      </c>
      <c r="CM169" s="647">
        <f t="shared" si="315"/>
        <v>11638.423667637426</v>
      </c>
      <c r="CN169" s="647">
        <f t="shared" si="315"/>
        <v>11638.423667637426</v>
      </c>
      <c r="CO169" s="647">
        <f t="shared" si="315"/>
        <v>11638.423667637426</v>
      </c>
      <c r="CP169" s="647">
        <f t="shared" si="315"/>
        <v>11987.576377666563</v>
      </c>
      <c r="CQ169" s="647">
        <f t="shared" si="315"/>
        <v>11987.576377666563</v>
      </c>
      <c r="CR169" s="647">
        <f t="shared" si="315"/>
        <v>11987.576377666563</v>
      </c>
      <c r="CS169" s="647">
        <f t="shared" si="315"/>
        <v>11987.576377666563</v>
      </c>
      <c r="CT169" s="647">
        <f t="shared" si="315"/>
        <v>11987.576377666563</v>
      </c>
      <c r="CU169" s="647">
        <f t="shared" si="315"/>
        <v>11987.576377666563</v>
      </c>
      <c r="CV169" s="647">
        <f t="shared" si="315"/>
        <v>11987.576377666563</v>
      </c>
      <c r="CW169" s="647">
        <f t="shared" si="315"/>
        <v>11987.576377666563</v>
      </c>
      <c r="CX169" s="647">
        <f t="shared" si="315"/>
        <v>11987.576377666563</v>
      </c>
      <c r="CY169" s="647">
        <f t="shared" ref="CY169:EH169" si="316">IF(AND(MONTH(CY$6)=1,CY$6&lt;=DateDisposition),CY166/12,
IF(AND(CY$5=MonthDisposition+1,MONTH(CY$6)&lt;&gt;1),LOOKUP(EDATE(CY$6,-(MONTH(CY$6)-1)),$6:$6,167:167)/12,
IF(AND(MONTH(CY$6)=1,CY$5&gt;=MonthDisposition+1),CY167/12,CX169)))</f>
        <v>11987.576377666563</v>
      </c>
      <c r="CZ169" s="647">
        <f t="shared" si="316"/>
        <v>11987.576377666563</v>
      </c>
      <c r="DA169" s="647">
        <f t="shared" si="316"/>
        <v>11987.576377666563</v>
      </c>
      <c r="DB169" s="647">
        <f t="shared" si="316"/>
        <v>12347.20366899657</v>
      </c>
      <c r="DC169" s="647">
        <f t="shared" si="316"/>
        <v>12347.20366899657</v>
      </c>
      <c r="DD169" s="647">
        <f t="shared" si="316"/>
        <v>12347.20366899657</v>
      </c>
      <c r="DE169" s="647">
        <f t="shared" si="316"/>
        <v>12347.20366899657</v>
      </c>
      <c r="DF169" s="647">
        <f t="shared" si="316"/>
        <v>12347.20366899657</v>
      </c>
      <c r="DG169" s="647">
        <f t="shared" si="316"/>
        <v>12347.20366899657</v>
      </c>
      <c r="DH169" s="647">
        <f t="shared" si="316"/>
        <v>12347.20366899657</v>
      </c>
      <c r="DI169" s="647">
        <f t="shared" si="316"/>
        <v>12347.20366899657</v>
      </c>
      <c r="DJ169" s="647">
        <f t="shared" si="316"/>
        <v>12347.20366899657</v>
      </c>
      <c r="DK169" s="647">
        <f t="shared" si="316"/>
        <v>12347.20366899657</v>
      </c>
      <c r="DL169" s="647">
        <f t="shared" si="316"/>
        <v>12347.20366899657</v>
      </c>
      <c r="DM169" s="647">
        <f t="shared" si="316"/>
        <v>12347.20366899657</v>
      </c>
      <c r="DN169" s="647">
        <f t="shared" si="316"/>
        <v>12717.619779066481</v>
      </c>
      <c r="DO169" s="647">
        <f t="shared" si="316"/>
        <v>12717.619779066481</v>
      </c>
      <c r="DP169" s="647">
        <f t="shared" si="316"/>
        <v>12717.619779066481</v>
      </c>
      <c r="DQ169" s="647">
        <f t="shared" si="316"/>
        <v>12717.619779066481</v>
      </c>
      <c r="DR169" s="647">
        <f t="shared" si="316"/>
        <v>12717.619779066481</v>
      </c>
      <c r="DS169" s="647">
        <f t="shared" si="316"/>
        <v>12717.619779066481</v>
      </c>
      <c r="DT169" s="647">
        <f t="shared" si="316"/>
        <v>12717.619779066481</v>
      </c>
      <c r="DU169" s="647">
        <f t="shared" si="316"/>
        <v>12717.619779066481</v>
      </c>
      <c r="DV169" s="647">
        <f t="shared" si="316"/>
        <v>12717.619779066481</v>
      </c>
      <c r="DW169" s="647">
        <f t="shared" si="316"/>
        <v>12717.619779066481</v>
      </c>
      <c r="DX169" s="647">
        <f t="shared" si="316"/>
        <v>12717.619779066481</v>
      </c>
      <c r="DY169" s="647">
        <f t="shared" si="316"/>
        <v>12717.619779066481</v>
      </c>
      <c r="DZ169" s="647">
        <f t="shared" si="316"/>
        <v>13099.148372438491</v>
      </c>
      <c r="EA169" s="647">
        <f t="shared" si="316"/>
        <v>13099.148372438491</v>
      </c>
      <c r="EB169" s="647">
        <f t="shared" si="316"/>
        <v>13099.148372438491</v>
      </c>
      <c r="EC169" s="647">
        <f t="shared" si="316"/>
        <v>13099.148372438491</v>
      </c>
      <c r="ED169" s="647">
        <f t="shared" si="316"/>
        <v>13099.148372438491</v>
      </c>
      <c r="EE169" s="647">
        <f t="shared" si="316"/>
        <v>13099.148372438491</v>
      </c>
      <c r="EF169" s="647">
        <f t="shared" si="316"/>
        <v>13099.148372438491</v>
      </c>
      <c r="EG169" s="647">
        <f t="shared" si="316"/>
        <v>13099.148372438491</v>
      </c>
      <c r="EH169" s="647">
        <f t="shared" si="316"/>
        <v>13099.148372438491</v>
      </c>
      <c r="EK169" s="280"/>
    </row>
    <row r="170" spans="1:141" ht="15" hidden="1" thickTop="1" x14ac:dyDescent="0.3">
      <c r="A170" s="691" t="s">
        <v>2452</v>
      </c>
      <c r="B170" s="200"/>
      <c r="C170" s="200"/>
      <c r="D170" s="200"/>
      <c r="E170" s="230"/>
      <c r="F170" s="230"/>
      <c r="G170" s="230"/>
      <c r="H170" s="230"/>
      <c r="I170" s="230"/>
      <c r="J170" s="230"/>
      <c r="K170" s="230"/>
      <c r="L170" s="230"/>
      <c r="M170" s="230"/>
      <c r="N170" s="230"/>
      <c r="O170" s="230"/>
      <c r="P170" s="230"/>
      <c r="Q170" s="230"/>
      <c r="R170" s="230"/>
      <c r="S170" s="230"/>
      <c r="T170" s="230"/>
      <c r="U170" s="230"/>
      <c r="V170" s="230"/>
      <c r="W170" s="230"/>
      <c r="X170" s="230"/>
      <c r="Y170" s="230"/>
      <c r="Z170" s="230"/>
      <c r="AA170" s="230"/>
      <c r="AB170" s="230"/>
      <c r="AC170" s="230"/>
      <c r="AD170" s="230"/>
      <c r="AE170" s="230"/>
      <c r="AF170" s="230"/>
      <c r="AG170" s="230"/>
      <c r="AH170" s="230"/>
      <c r="AI170" s="230"/>
      <c r="AJ170" s="230"/>
      <c r="AK170" s="230"/>
      <c r="AL170" s="230"/>
      <c r="AM170" s="230"/>
      <c r="AN170" s="230"/>
      <c r="AO170" s="230"/>
      <c r="AP170" s="230"/>
      <c r="AQ170" s="230"/>
      <c r="AR170" s="230"/>
      <c r="AS170" s="230"/>
      <c r="AT170" s="230"/>
      <c r="AU170" s="230"/>
      <c r="AV170" s="230"/>
      <c r="AW170" s="230"/>
      <c r="AX170" s="230"/>
      <c r="AY170" s="230"/>
      <c r="AZ170" s="230"/>
      <c r="BA170" s="230"/>
      <c r="BB170" s="230"/>
      <c r="BC170" s="230"/>
      <c r="BD170" s="230"/>
      <c r="BE170" s="230"/>
      <c r="BF170" s="230"/>
      <c r="BG170" s="230"/>
      <c r="BH170" s="230"/>
      <c r="BI170" s="230"/>
      <c r="BJ170" s="230"/>
      <c r="BK170" s="230"/>
      <c r="BL170" s="230"/>
      <c r="BM170" s="230"/>
      <c r="BN170" s="230"/>
      <c r="BO170" s="230"/>
      <c r="BP170" s="230"/>
      <c r="BQ170" s="230"/>
      <c r="BR170" s="230"/>
      <c r="BS170" s="230"/>
      <c r="BT170" s="230"/>
      <c r="BU170" s="230"/>
      <c r="BV170" s="230"/>
      <c r="BW170" s="230"/>
      <c r="BX170" s="230"/>
      <c r="BY170" s="230"/>
      <c r="BZ170" s="230"/>
      <c r="CA170" s="230"/>
      <c r="CB170" s="230"/>
      <c r="CC170" s="230"/>
      <c r="CD170" s="230"/>
      <c r="CE170" s="230"/>
      <c r="CF170" s="230"/>
      <c r="CG170" s="230"/>
      <c r="CH170" s="230"/>
      <c r="CI170" s="230"/>
      <c r="CJ170" s="230"/>
      <c r="CK170" s="230"/>
      <c r="CL170" s="230"/>
      <c r="CM170" s="230"/>
      <c r="CN170" s="230"/>
      <c r="CO170" s="230"/>
      <c r="CP170" s="230"/>
      <c r="CQ170" s="230"/>
      <c r="CR170" s="230"/>
      <c r="CS170" s="230"/>
      <c r="CT170" s="230"/>
      <c r="CU170" s="230"/>
      <c r="CV170" s="230"/>
      <c r="CW170" s="230"/>
      <c r="CX170" s="230"/>
      <c r="CY170" s="230"/>
      <c r="CZ170" s="230"/>
      <c r="DA170" s="230"/>
      <c r="DB170" s="230"/>
      <c r="DC170" s="230"/>
      <c r="DD170" s="230"/>
      <c r="DE170" s="230"/>
      <c r="DF170" s="230"/>
      <c r="DG170" s="230"/>
      <c r="DH170" s="230"/>
      <c r="DI170" s="230"/>
      <c r="DJ170" s="230"/>
      <c r="DK170" s="230"/>
      <c r="DL170" s="230"/>
      <c r="DM170" s="230"/>
      <c r="DN170" s="230"/>
      <c r="DO170" s="230"/>
      <c r="DP170" s="230"/>
      <c r="DQ170" s="230"/>
      <c r="DR170" s="230"/>
      <c r="DS170" s="230"/>
      <c r="DT170" s="230"/>
      <c r="DU170" s="230"/>
      <c r="DV170" s="230"/>
      <c r="DW170" s="230"/>
      <c r="DX170" s="230"/>
      <c r="DY170" s="230"/>
      <c r="DZ170" s="230"/>
      <c r="EA170" s="230"/>
      <c r="EB170" s="230"/>
      <c r="EC170" s="230"/>
      <c r="ED170" s="230"/>
      <c r="EE170" s="230"/>
      <c r="EF170" s="230"/>
      <c r="EG170" s="230"/>
      <c r="EH170" s="230"/>
      <c r="EK170" s="280"/>
    </row>
    <row r="171" spans="1:141" ht="15" hidden="1" thickTop="1" x14ac:dyDescent="0.3">
      <c r="A171" s="684" t="s">
        <v>2453</v>
      </c>
      <c r="B171" s="200"/>
      <c r="C171" s="200"/>
      <c r="D171" s="200"/>
      <c r="E171" s="230"/>
      <c r="F171" s="230">
        <f>ReplacementReserves</f>
        <v>53127.146697270589</v>
      </c>
      <c r="G171" s="230">
        <f t="shared" ref="G171:BR171" si="317">F171*G135</f>
        <v>53258.172573258809</v>
      </c>
      <c r="H171" s="230">
        <f t="shared" si="317"/>
        <v>53389.521594404374</v>
      </c>
      <c r="I171" s="230">
        <f t="shared" si="317"/>
        <v>53521.194557670409</v>
      </c>
      <c r="J171" s="230">
        <f t="shared" si="317"/>
        <v>53653.192261985576</v>
      </c>
      <c r="K171" s="230">
        <f t="shared" si="317"/>
        <v>53785.515508248907</v>
      </c>
      <c r="L171" s="230">
        <f t="shared" si="317"/>
        <v>53918.16509933467</v>
      </c>
      <c r="M171" s="230">
        <f t="shared" si="317"/>
        <v>54051.14184009724</v>
      </c>
      <c r="N171" s="230">
        <f t="shared" si="317"/>
        <v>54184.446537375974</v>
      </c>
      <c r="O171" s="230">
        <f t="shared" si="317"/>
        <v>54318.080000000111</v>
      </c>
      <c r="P171" s="230">
        <f t="shared" si="317"/>
        <v>54452.043038793687</v>
      </c>
      <c r="Q171" s="230">
        <f t="shared" si="317"/>
        <v>54586.33646658044</v>
      </c>
      <c r="R171" s="230">
        <f t="shared" si="317"/>
        <v>54720.961098188767</v>
      </c>
      <c r="S171" s="230">
        <f t="shared" si="317"/>
        <v>54855.91775045664</v>
      </c>
      <c r="T171" s="230">
        <f t="shared" si="317"/>
        <v>54991.207242236567</v>
      </c>
      <c r="U171" s="230">
        <f t="shared" si="317"/>
        <v>55126.830394400582</v>
      </c>
      <c r="V171" s="230">
        <f t="shared" si="317"/>
        <v>55262.788029845207</v>
      </c>
      <c r="W171" s="230">
        <f t="shared" si="317"/>
        <v>55399.080973496442</v>
      </c>
      <c r="X171" s="230">
        <f t="shared" si="317"/>
        <v>55535.710052314782</v>
      </c>
      <c r="Y171" s="230">
        <f t="shared" si="317"/>
        <v>55672.67609530023</v>
      </c>
      <c r="Z171" s="230">
        <f t="shared" si="317"/>
        <v>55809.979933497321</v>
      </c>
      <c r="AA171" s="230">
        <f t="shared" si="317"/>
        <v>55947.622400000182</v>
      </c>
      <c r="AB171" s="230">
        <f t="shared" si="317"/>
        <v>56085.604329957561</v>
      </c>
      <c r="AC171" s="230">
        <f t="shared" si="317"/>
        <v>56223.926560577922</v>
      </c>
      <c r="AD171" s="230">
        <f t="shared" si="317"/>
        <v>56362.589931134498</v>
      </c>
      <c r="AE171" s="230">
        <f t="shared" si="317"/>
        <v>56501.595282970404</v>
      </c>
      <c r="AF171" s="230">
        <f t="shared" si="317"/>
        <v>56640.943459503731</v>
      </c>
      <c r="AG171" s="230">
        <f t="shared" si="317"/>
        <v>56780.635306232667</v>
      </c>
      <c r="AH171" s="230">
        <f t="shared" si="317"/>
        <v>56920.67167074063</v>
      </c>
      <c r="AI171" s="230">
        <f t="shared" si="317"/>
        <v>57061.0534027014</v>
      </c>
      <c r="AJ171" s="230">
        <f t="shared" si="317"/>
        <v>57201.781353884289</v>
      </c>
      <c r="AK171" s="230">
        <f t="shared" si="317"/>
        <v>57342.856378159297</v>
      </c>
      <c r="AL171" s="230">
        <f t="shared" si="317"/>
        <v>57484.279331502301</v>
      </c>
      <c r="AM171" s="230">
        <f t="shared" si="317"/>
        <v>57626.051072000249</v>
      </c>
      <c r="AN171" s="230">
        <f t="shared" si="317"/>
        <v>57768.172459856352</v>
      </c>
      <c r="AO171" s="230">
        <f t="shared" si="317"/>
        <v>57910.644357395322</v>
      </c>
      <c r="AP171" s="230">
        <f t="shared" si="317"/>
        <v>58053.467629068597</v>
      </c>
      <c r="AQ171" s="230">
        <f t="shared" si="317"/>
        <v>58196.643141459579</v>
      </c>
      <c r="AR171" s="230">
        <f t="shared" si="317"/>
        <v>58340.171763288905</v>
      </c>
      <c r="AS171" s="230">
        <f t="shared" si="317"/>
        <v>58484.05436541971</v>
      </c>
      <c r="AT171" s="230">
        <f t="shared" si="317"/>
        <v>58628.291820862913</v>
      </c>
      <c r="AU171" s="230">
        <f t="shared" si="317"/>
        <v>58772.885004782504</v>
      </c>
      <c r="AV171" s="230">
        <f t="shared" si="317"/>
        <v>58917.834794500879</v>
      </c>
      <c r="AW171" s="230">
        <f t="shared" si="317"/>
        <v>59063.142069504138</v>
      </c>
      <c r="AX171" s="230">
        <f t="shared" si="317"/>
        <v>59208.807711447436</v>
      </c>
      <c r="AY171" s="230">
        <f t="shared" si="317"/>
        <v>59354.832604160321</v>
      </c>
      <c r="AZ171" s="230">
        <f t="shared" si="317"/>
        <v>59501.217633652108</v>
      </c>
      <c r="BA171" s="230">
        <f t="shared" si="317"/>
        <v>59647.963688117248</v>
      </c>
      <c r="BB171" s="230">
        <f t="shared" si="317"/>
        <v>59795.071657940716</v>
      </c>
      <c r="BC171" s="230">
        <f t="shared" si="317"/>
        <v>59942.542435703428</v>
      </c>
      <c r="BD171" s="230">
        <f t="shared" si="317"/>
        <v>60090.376916187633</v>
      </c>
      <c r="BE171" s="230">
        <f t="shared" si="317"/>
        <v>60238.575996382366</v>
      </c>
      <c r="BF171" s="230">
        <f t="shared" si="317"/>
        <v>60387.140575488862</v>
      </c>
      <c r="BG171" s="230">
        <f t="shared" si="317"/>
        <v>60536.071554926042</v>
      </c>
      <c r="BH171" s="230">
        <f t="shared" si="317"/>
        <v>60685.369838335966</v>
      </c>
      <c r="BI171" s="230">
        <f t="shared" si="317"/>
        <v>60835.036331589326</v>
      </c>
      <c r="BJ171" s="230">
        <f t="shared" si="317"/>
        <v>60985.071942790921</v>
      </c>
      <c r="BK171" s="230">
        <f t="shared" si="317"/>
        <v>61135.477582285195</v>
      </c>
      <c r="BL171" s="230">
        <f t="shared" si="317"/>
        <v>61286.254162661731</v>
      </c>
      <c r="BM171" s="230">
        <f t="shared" si="317"/>
        <v>61437.402598760826</v>
      </c>
      <c r="BN171" s="230">
        <f t="shared" si="317"/>
        <v>61588.923807678999</v>
      </c>
      <c r="BO171" s="230">
        <f t="shared" si="317"/>
        <v>61740.81870877459</v>
      </c>
      <c r="BP171" s="230">
        <f t="shared" si="317"/>
        <v>61893.088223673323</v>
      </c>
      <c r="BQ171" s="230">
        <f t="shared" si="317"/>
        <v>62045.733276273895</v>
      </c>
      <c r="BR171" s="230">
        <f t="shared" si="317"/>
        <v>62198.754792753585</v>
      </c>
      <c r="BS171" s="230">
        <f t="shared" ref="BS171:ED171" si="318">BR171*BS135</f>
        <v>62352.15370157388</v>
      </c>
      <c r="BT171" s="230">
        <f t="shared" si="318"/>
        <v>62505.930933486103</v>
      </c>
      <c r="BU171" s="230">
        <f t="shared" si="318"/>
        <v>62660.087421537064</v>
      </c>
      <c r="BV171" s="230">
        <f t="shared" si="318"/>
        <v>62814.624101074711</v>
      </c>
      <c r="BW171" s="230">
        <f t="shared" si="318"/>
        <v>62969.541909753811</v>
      </c>
      <c r="BX171" s="230">
        <f t="shared" si="318"/>
        <v>63124.841787541649</v>
      </c>
      <c r="BY171" s="230">
        <f t="shared" si="318"/>
        <v>63280.524676723719</v>
      </c>
      <c r="BZ171" s="230">
        <f t="shared" si="318"/>
        <v>63436.591521909439</v>
      </c>
      <c r="CA171" s="230">
        <f t="shared" si="318"/>
        <v>63593.043270037902</v>
      </c>
      <c r="CB171" s="230">
        <f t="shared" si="318"/>
        <v>63749.880870383597</v>
      </c>
      <c r="CC171" s="230">
        <f t="shared" si="318"/>
        <v>63907.105274562186</v>
      </c>
      <c r="CD171" s="230">
        <f t="shared" si="318"/>
        <v>64064.717436536266</v>
      </c>
      <c r="CE171" s="230">
        <f t="shared" si="318"/>
        <v>64222.718312621175</v>
      </c>
      <c r="CF171" s="230">
        <f t="shared" si="318"/>
        <v>64381.108861490764</v>
      </c>
      <c r="CG171" s="230">
        <f t="shared" si="318"/>
        <v>64539.890044183252</v>
      </c>
      <c r="CH171" s="230">
        <f t="shared" si="318"/>
        <v>64699.062824107023</v>
      </c>
      <c r="CI171" s="230">
        <f t="shared" si="318"/>
        <v>64858.628167046496</v>
      </c>
      <c r="CJ171" s="230">
        <f t="shared" si="318"/>
        <v>65018.587041167964</v>
      </c>
      <c r="CK171" s="230">
        <f t="shared" si="318"/>
        <v>65178.940417025493</v>
      </c>
      <c r="CL171" s="230">
        <f t="shared" si="318"/>
        <v>65339.689267566784</v>
      </c>
      <c r="CM171" s="230">
        <f t="shared" si="318"/>
        <v>65500.8345681391</v>
      </c>
      <c r="CN171" s="230">
        <f t="shared" si="318"/>
        <v>65662.377296495164</v>
      </c>
      <c r="CO171" s="230">
        <f t="shared" si="318"/>
        <v>65824.318432799104</v>
      </c>
      <c r="CP171" s="230">
        <f t="shared" si="318"/>
        <v>65986.658959632405</v>
      </c>
      <c r="CQ171" s="230">
        <f t="shared" si="318"/>
        <v>66149.39986199986</v>
      </c>
      <c r="CR171" s="230">
        <f t="shared" si="318"/>
        <v>66312.542127335546</v>
      </c>
      <c r="CS171" s="230">
        <f t="shared" si="318"/>
        <v>66476.086745508816</v>
      </c>
      <c r="CT171" s="230">
        <f t="shared" si="318"/>
        <v>66640.034708830295</v>
      </c>
      <c r="CU171" s="230">
        <f t="shared" si="318"/>
        <v>66804.387012057952</v>
      </c>
      <c r="CV171" s="230">
        <f t="shared" si="318"/>
        <v>66969.144652403062</v>
      </c>
      <c r="CW171" s="230">
        <f t="shared" si="318"/>
        <v>67134.308629536317</v>
      </c>
      <c r="CX171" s="230">
        <f t="shared" si="318"/>
        <v>67299.879945593842</v>
      </c>
      <c r="CY171" s="230">
        <f t="shared" si="318"/>
        <v>67465.85960518333</v>
      </c>
      <c r="CZ171" s="230">
        <f t="shared" si="318"/>
        <v>67632.248615390083</v>
      </c>
      <c r="DA171" s="230">
        <f t="shared" si="318"/>
        <v>67799.047985783152</v>
      </c>
      <c r="DB171" s="230">
        <f t="shared" si="318"/>
        <v>67966.258728421453</v>
      </c>
      <c r="DC171" s="230">
        <f t="shared" si="318"/>
        <v>68133.881857859931</v>
      </c>
      <c r="DD171" s="230">
        <f t="shared" si="318"/>
        <v>68301.918391155676</v>
      </c>
      <c r="DE171" s="230">
        <f t="shared" si="318"/>
        <v>68470.369347874133</v>
      </c>
      <c r="DF171" s="230">
        <f t="shared" si="318"/>
        <v>68639.235750095264</v>
      </c>
      <c r="DG171" s="230">
        <f t="shared" si="318"/>
        <v>68808.518622419753</v>
      </c>
      <c r="DH171" s="230">
        <f t="shared" si="318"/>
        <v>68978.218991975227</v>
      </c>
      <c r="DI171" s="230">
        <f t="shared" si="318"/>
        <v>69148.33788842248</v>
      </c>
      <c r="DJ171" s="230">
        <f t="shared" si="318"/>
        <v>69318.876343961732</v>
      </c>
      <c r="DK171" s="230">
        <f t="shared" si="318"/>
        <v>69489.835393338901</v>
      </c>
      <c r="DL171" s="230">
        <f t="shared" si="318"/>
        <v>69661.216073851858</v>
      </c>
      <c r="DM171" s="230">
        <f t="shared" si="318"/>
        <v>69833.019425356717</v>
      </c>
      <c r="DN171" s="230">
        <f t="shared" si="318"/>
        <v>70005.246490274178</v>
      </c>
      <c r="DO171" s="230">
        <f t="shared" si="318"/>
        <v>70177.898313595811</v>
      </c>
      <c r="DP171" s="230">
        <f t="shared" si="318"/>
        <v>70350.975942890436</v>
      </c>
      <c r="DQ171" s="230">
        <f t="shared" si="318"/>
        <v>70524.480428310446</v>
      </c>
      <c r="DR171" s="230">
        <f t="shared" si="318"/>
        <v>70698.412822598213</v>
      </c>
      <c r="DS171" s="230">
        <f t="shared" si="318"/>
        <v>70872.774181092434</v>
      </c>
      <c r="DT171" s="230">
        <f t="shared" si="318"/>
        <v>71047.565561734562</v>
      </c>
      <c r="DU171" s="230">
        <f t="shared" si="318"/>
        <v>71222.788025075235</v>
      </c>
      <c r="DV171" s="230">
        <f t="shared" si="318"/>
        <v>71398.442634280669</v>
      </c>
      <c r="DW171" s="230">
        <f t="shared" si="318"/>
        <v>71574.53045513916</v>
      </c>
      <c r="DX171" s="230">
        <f t="shared" si="318"/>
        <v>71751.052556067501</v>
      </c>
      <c r="DY171" s="230">
        <f t="shared" si="318"/>
        <v>71928.010008117504</v>
      </c>
      <c r="DZ171" s="230">
        <f t="shared" si="318"/>
        <v>72105.403884982486</v>
      </c>
      <c r="EA171" s="230">
        <f t="shared" si="318"/>
        <v>72283.235263003764</v>
      </c>
      <c r="EB171" s="230">
        <f t="shared" si="318"/>
        <v>72461.505221177227</v>
      </c>
      <c r="EC171" s="230">
        <f t="shared" si="318"/>
        <v>72640.214841159846</v>
      </c>
      <c r="ED171" s="230">
        <f t="shared" si="318"/>
        <v>72819.365207276249</v>
      </c>
      <c r="EE171" s="230">
        <f t="shared" ref="EE171:EH171" si="319">ED171*EE135</f>
        <v>72998.957406525296</v>
      </c>
      <c r="EF171" s="230">
        <f t="shared" si="319"/>
        <v>73178.992528586692</v>
      </c>
      <c r="EG171" s="230">
        <f t="shared" si="319"/>
        <v>73359.471665827587</v>
      </c>
      <c r="EH171" s="230">
        <f t="shared" si="319"/>
        <v>73540.395913309185</v>
      </c>
      <c r="EK171" s="672"/>
    </row>
    <row r="172" spans="1:141" ht="15" hidden="1" thickTop="1" x14ac:dyDescent="0.3">
      <c r="A172" s="684" t="s">
        <v>2454</v>
      </c>
      <c r="B172" s="200"/>
      <c r="C172" s="200"/>
      <c r="D172" s="200"/>
      <c r="E172" s="230"/>
      <c r="F172" s="230">
        <f>'Operating Inputs'!$M$128*Units*(1+PrestartExpGwth)</f>
        <v>53127.146697270589</v>
      </c>
      <c r="G172" s="230">
        <f>G$135*F172</f>
        <v>53258.172573258809</v>
      </c>
      <c r="H172" s="230">
        <f t="shared" ref="H172:BS172" si="320">H$135*G172</f>
        <v>53389.521594404374</v>
      </c>
      <c r="I172" s="230">
        <f t="shared" si="320"/>
        <v>53521.194557670409</v>
      </c>
      <c r="J172" s="230">
        <f t="shared" si="320"/>
        <v>53653.192261985576</v>
      </c>
      <c r="K172" s="230">
        <f t="shared" si="320"/>
        <v>53785.515508248907</v>
      </c>
      <c r="L172" s="230">
        <f t="shared" si="320"/>
        <v>53918.16509933467</v>
      </c>
      <c r="M172" s="230">
        <f t="shared" si="320"/>
        <v>54051.14184009724</v>
      </c>
      <c r="N172" s="230">
        <f t="shared" si="320"/>
        <v>54184.446537375974</v>
      </c>
      <c r="O172" s="230">
        <f t="shared" si="320"/>
        <v>54318.080000000111</v>
      </c>
      <c r="P172" s="230">
        <f t="shared" si="320"/>
        <v>54452.043038793687</v>
      </c>
      <c r="Q172" s="230">
        <f t="shared" si="320"/>
        <v>54586.33646658044</v>
      </c>
      <c r="R172" s="230">
        <f t="shared" si="320"/>
        <v>54720.961098188767</v>
      </c>
      <c r="S172" s="230">
        <f t="shared" si="320"/>
        <v>54855.91775045664</v>
      </c>
      <c r="T172" s="230">
        <f t="shared" si="320"/>
        <v>54991.207242236567</v>
      </c>
      <c r="U172" s="230">
        <f t="shared" si="320"/>
        <v>55126.830394400582</v>
      </c>
      <c r="V172" s="230">
        <f t="shared" si="320"/>
        <v>55262.788029845207</v>
      </c>
      <c r="W172" s="230">
        <f t="shared" si="320"/>
        <v>55399.080973496442</v>
      </c>
      <c r="X172" s="230">
        <f t="shared" si="320"/>
        <v>55535.710052314782</v>
      </c>
      <c r="Y172" s="230">
        <f t="shared" si="320"/>
        <v>55672.67609530023</v>
      </c>
      <c r="Z172" s="230">
        <f t="shared" si="320"/>
        <v>55809.979933497321</v>
      </c>
      <c r="AA172" s="230">
        <f t="shared" si="320"/>
        <v>55947.622400000182</v>
      </c>
      <c r="AB172" s="230">
        <f t="shared" si="320"/>
        <v>56085.604329957561</v>
      </c>
      <c r="AC172" s="230">
        <f t="shared" si="320"/>
        <v>56223.926560577922</v>
      </c>
      <c r="AD172" s="230">
        <f t="shared" si="320"/>
        <v>56362.589931134498</v>
      </c>
      <c r="AE172" s="230">
        <f t="shared" si="320"/>
        <v>56501.595282970404</v>
      </c>
      <c r="AF172" s="230">
        <f t="shared" si="320"/>
        <v>56640.943459503731</v>
      </c>
      <c r="AG172" s="230">
        <f t="shared" si="320"/>
        <v>56780.635306232667</v>
      </c>
      <c r="AH172" s="230">
        <f t="shared" si="320"/>
        <v>56920.67167074063</v>
      </c>
      <c r="AI172" s="230">
        <f t="shared" si="320"/>
        <v>57061.0534027014</v>
      </c>
      <c r="AJ172" s="230">
        <f t="shared" si="320"/>
        <v>57201.781353884289</v>
      </c>
      <c r="AK172" s="230">
        <f t="shared" si="320"/>
        <v>57342.856378159297</v>
      </c>
      <c r="AL172" s="230">
        <f t="shared" si="320"/>
        <v>57484.279331502301</v>
      </c>
      <c r="AM172" s="230">
        <f t="shared" si="320"/>
        <v>57626.051072000249</v>
      </c>
      <c r="AN172" s="230">
        <f t="shared" si="320"/>
        <v>57768.172459856352</v>
      </c>
      <c r="AO172" s="230">
        <f t="shared" si="320"/>
        <v>57910.644357395322</v>
      </c>
      <c r="AP172" s="230">
        <f t="shared" si="320"/>
        <v>58053.467629068597</v>
      </c>
      <c r="AQ172" s="230">
        <f t="shared" si="320"/>
        <v>58196.643141459579</v>
      </c>
      <c r="AR172" s="230">
        <f t="shared" si="320"/>
        <v>58340.171763288905</v>
      </c>
      <c r="AS172" s="230">
        <f t="shared" si="320"/>
        <v>58484.05436541971</v>
      </c>
      <c r="AT172" s="230">
        <f t="shared" si="320"/>
        <v>58628.291820862913</v>
      </c>
      <c r="AU172" s="230">
        <f t="shared" si="320"/>
        <v>58772.885004782504</v>
      </c>
      <c r="AV172" s="230">
        <f t="shared" si="320"/>
        <v>58917.834794500879</v>
      </c>
      <c r="AW172" s="230">
        <f t="shared" si="320"/>
        <v>59063.142069504138</v>
      </c>
      <c r="AX172" s="230">
        <f t="shared" si="320"/>
        <v>59208.807711447436</v>
      </c>
      <c r="AY172" s="230">
        <f t="shared" si="320"/>
        <v>59354.832604160321</v>
      </c>
      <c r="AZ172" s="230">
        <f t="shared" si="320"/>
        <v>59501.217633652108</v>
      </c>
      <c r="BA172" s="230">
        <f t="shared" si="320"/>
        <v>59647.963688117248</v>
      </c>
      <c r="BB172" s="230">
        <f t="shared" si="320"/>
        <v>59795.071657940716</v>
      </c>
      <c r="BC172" s="230">
        <f t="shared" si="320"/>
        <v>59942.542435703428</v>
      </c>
      <c r="BD172" s="230">
        <f t="shared" si="320"/>
        <v>60090.376916187633</v>
      </c>
      <c r="BE172" s="230">
        <f t="shared" si="320"/>
        <v>60238.575996382366</v>
      </c>
      <c r="BF172" s="230">
        <f t="shared" si="320"/>
        <v>60387.140575488862</v>
      </c>
      <c r="BG172" s="230">
        <f t="shared" si="320"/>
        <v>60536.071554926042</v>
      </c>
      <c r="BH172" s="230">
        <f t="shared" si="320"/>
        <v>60685.369838335966</v>
      </c>
      <c r="BI172" s="230">
        <f t="shared" si="320"/>
        <v>60835.036331589326</v>
      </c>
      <c r="BJ172" s="230">
        <f t="shared" si="320"/>
        <v>60985.071942790921</v>
      </c>
      <c r="BK172" s="230">
        <f t="shared" si="320"/>
        <v>61135.477582285195</v>
      </c>
      <c r="BL172" s="230">
        <f t="shared" si="320"/>
        <v>61286.254162661731</v>
      </c>
      <c r="BM172" s="230">
        <f t="shared" si="320"/>
        <v>61437.402598760826</v>
      </c>
      <c r="BN172" s="230">
        <f t="shared" si="320"/>
        <v>61588.923807678999</v>
      </c>
      <c r="BO172" s="230">
        <f t="shared" si="320"/>
        <v>61740.81870877459</v>
      </c>
      <c r="BP172" s="230">
        <f t="shared" si="320"/>
        <v>61893.088223673323</v>
      </c>
      <c r="BQ172" s="230">
        <f t="shared" si="320"/>
        <v>62045.733276273895</v>
      </c>
      <c r="BR172" s="230">
        <f t="shared" si="320"/>
        <v>62198.754792753585</v>
      </c>
      <c r="BS172" s="230">
        <f t="shared" si="320"/>
        <v>62352.15370157388</v>
      </c>
      <c r="BT172" s="230">
        <f t="shared" ref="BT172:EE172" si="321">BT$135*BS172</f>
        <v>62505.930933486103</v>
      </c>
      <c r="BU172" s="230">
        <f t="shared" si="321"/>
        <v>62660.087421537064</v>
      </c>
      <c r="BV172" s="230">
        <f t="shared" si="321"/>
        <v>62814.624101074711</v>
      </c>
      <c r="BW172" s="230">
        <f t="shared" si="321"/>
        <v>62969.541909753811</v>
      </c>
      <c r="BX172" s="230">
        <f t="shared" si="321"/>
        <v>63124.841787541649</v>
      </c>
      <c r="BY172" s="230">
        <f t="shared" si="321"/>
        <v>63280.524676723719</v>
      </c>
      <c r="BZ172" s="230">
        <f t="shared" si="321"/>
        <v>63436.591521909439</v>
      </c>
      <c r="CA172" s="230">
        <f t="shared" si="321"/>
        <v>63593.043270037902</v>
      </c>
      <c r="CB172" s="230">
        <f t="shared" si="321"/>
        <v>63749.880870383597</v>
      </c>
      <c r="CC172" s="230">
        <f t="shared" si="321"/>
        <v>63907.105274562186</v>
      </c>
      <c r="CD172" s="230">
        <f t="shared" si="321"/>
        <v>64064.717436536266</v>
      </c>
      <c r="CE172" s="230">
        <f t="shared" si="321"/>
        <v>64222.718312621175</v>
      </c>
      <c r="CF172" s="230">
        <f t="shared" si="321"/>
        <v>64381.108861490764</v>
      </c>
      <c r="CG172" s="230">
        <f t="shared" si="321"/>
        <v>64539.890044183252</v>
      </c>
      <c r="CH172" s="230">
        <f t="shared" si="321"/>
        <v>64699.062824107023</v>
      </c>
      <c r="CI172" s="230">
        <f t="shared" si="321"/>
        <v>64858.628167046496</v>
      </c>
      <c r="CJ172" s="230">
        <f t="shared" si="321"/>
        <v>65018.587041167964</v>
      </c>
      <c r="CK172" s="230">
        <f t="shared" si="321"/>
        <v>65178.940417025493</v>
      </c>
      <c r="CL172" s="230">
        <f t="shared" si="321"/>
        <v>65339.689267566784</v>
      </c>
      <c r="CM172" s="230">
        <f t="shared" si="321"/>
        <v>65500.8345681391</v>
      </c>
      <c r="CN172" s="230">
        <f t="shared" si="321"/>
        <v>65662.377296495164</v>
      </c>
      <c r="CO172" s="230">
        <f t="shared" si="321"/>
        <v>65824.318432799104</v>
      </c>
      <c r="CP172" s="230">
        <f t="shared" si="321"/>
        <v>65986.658959632405</v>
      </c>
      <c r="CQ172" s="230">
        <f t="shared" si="321"/>
        <v>66149.39986199986</v>
      </c>
      <c r="CR172" s="230">
        <f t="shared" si="321"/>
        <v>66312.542127335546</v>
      </c>
      <c r="CS172" s="230">
        <f t="shared" si="321"/>
        <v>66476.086745508816</v>
      </c>
      <c r="CT172" s="230">
        <f t="shared" si="321"/>
        <v>66640.034708830295</v>
      </c>
      <c r="CU172" s="230">
        <f t="shared" si="321"/>
        <v>66804.387012057952</v>
      </c>
      <c r="CV172" s="230">
        <f t="shared" si="321"/>
        <v>66969.144652403062</v>
      </c>
      <c r="CW172" s="230">
        <f t="shared" si="321"/>
        <v>67134.308629536317</v>
      </c>
      <c r="CX172" s="230">
        <f t="shared" si="321"/>
        <v>67299.879945593842</v>
      </c>
      <c r="CY172" s="230">
        <f t="shared" si="321"/>
        <v>67465.85960518333</v>
      </c>
      <c r="CZ172" s="230">
        <f t="shared" si="321"/>
        <v>67632.248615390083</v>
      </c>
      <c r="DA172" s="230">
        <f t="shared" si="321"/>
        <v>67799.047985783152</v>
      </c>
      <c r="DB172" s="230">
        <f t="shared" si="321"/>
        <v>67966.258728421453</v>
      </c>
      <c r="DC172" s="230">
        <f t="shared" si="321"/>
        <v>68133.881857859931</v>
      </c>
      <c r="DD172" s="230">
        <f t="shared" si="321"/>
        <v>68301.918391155676</v>
      </c>
      <c r="DE172" s="230">
        <f t="shared" si="321"/>
        <v>68470.369347874133</v>
      </c>
      <c r="DF172" s="230">
        <f t="shared" si="321"/>
        <v>68639.235750095264</v>
      </c>
      <c r="DG172" s="230">
        <f t="shared" si="321"/>
        <v>68808.518622419753</v>
      </c>
      <c r="DH172" s="230">
        <f t="shared" si="321"/>
        <v>68978.218991975227</v>
      </c>
      <c r="DI172" s="230">
        <f t="shared" si="321"/>
        <v>69148.33788842248</v>
      </c>
      <c r="DJ172" s="230">
        <f t="shared" si="321"/>
        <v>69318.876343961732</v>
      </c>
      <c r="DK172" s="230">
        <f t="shared" si="321"/>
        <v>69489.835393338901</v>
      </c>
      <c r="DL172" s="230">
        <f t="shared" si="321"/>
        <v>69661.216073851858</v>
      </c>
      <c r="DM172" s="230">
        <f t="shared" si="321"/>
        <v>69833.019425356717</v>
      </c>
      <c r="DN172" s="230">
        <f t="shared" si="321"/>
        <v>70005.246490274178</v>
      </c>
      <c r="DO172" s="230">
        <f t="shared" si="321"/>
        <v>70177.898313595811</v>
      </c>
      <c r="DP172" s="230">
        <f t="shared" si="321"/>
        <v>70350.975942890436</v>
      </c>
      <c r="DQ172" s="230">
        <f t="shared" si="321"/>
        <v>70524.480428310446</v>
      </c>
      <c r="DR172" s="230">
        <f t="shared" si="321"/>
        <v>70698.412822598213</v>
      </c>
      <c r="DS172" s="230">
        <f t="shared" si="321"/>
        <v>70872.774181092434</v>
      </c>
      <c r="DT172" s="230">
        <f t="shared" si="321"/>
        <v>71047.565561734562</v>
      </c>
      <c r="DU172" s="230">
        <f t="shared" si="321"/>
        <v>71222.788025075235</v>
      </c>
      <c r="DV172" s="230">
        <f t="shared" si="321"/>
        <v>71398.442634280669</v>
      </c>
      <c r="DW172" s="230">
        <f t="shared" si="321"/>
        <v>71574.53045513916</v>
      </c>
      <c r="DX172" s="230">
        <f t="shared" si="321"/>
        <v>71751.052556067501</v>
      </c>
      <c r="DY172" s="230">
        <f t="shared" si="321"/>
        <v>71928.010008117504</v>
      </c>
      <c r="DZ172" s="230">
        <f t="shared" si="321"/>
        <v>72105.403884982486</v>
      </c>
      <c r="EA172" s="230">
        <f t="shared" si="321"/>
        <v>72283.235263003764</v>
      </c>
      <c r="EB172" s="230">
        <f t="shared" si="321"/>
        <v>72461.505221177227</v>
      </c>
      <c r="EC172" s="230">
        <f t="shared" si="321"/>
        <v>72640.214841159846</v>
      </c>
      <c r="ED172" s="230">
        <f t="shared" si="321"/>
        <v>72819.365207276249</v>
      </c>
      <c r="EE172" s="230">
        <f t="shared" si="321"/>
        <v>72998.957406525296</v>
      </c>
      <c r="EF172" s="230">
        <f>EF$135*EE172</f>
        <v>73178.992528586692</v>
      </c>
      <c r="EG172" s="230">
        <f>EG$135*EF172</f>
        <v>73359.471665827587</v>
      </c>
      <c r="EH172" s="230">
        <f>EH$135*EG172</f>
        <v>73540.395913309185</v>
      </c>
      <c r="EK172" s="672"/>
    </row>
    <row r="173" spans="1:141" ht="15" hidden="1" thickTop="1" x14ac:dyDescent="0.3">
      <c r="A173" s="684" t="s">
        <v>2427</v>
      </c>
      <c r="B173" s="200"/>
      <c r="C173" s="200"/>
      <c r="D173" s="200"/>
      <c r="E173" s="230"/>
      <c r="F173" s="230"/>
      <c r="G173" s="230">
        <f t="shared" ref="G173:BR173" si="322">IF(F20=1,1,0)</f>
        <v>0</v>
      </c>
      <c r="H173" s="230">
        <f t="shared" si="322"/>
        <v>0</v>
      </c>
      <c r="I173" s="230">
        <f t="shared" si="322"/>
        <v>0</v>
      </c>
      <c r="J173" s="230">
        <f t="shared" si="322"/>
        <v>0</v>
      </c>
      <c r="K173" s="230">
        <f t="shared" si="322"/>
        <v>0</v>
      </c>
      <c r="L173" s="230">
        <f t="shared" si="322"/>
        <v>0</v>
      </c>
      <c r="M173" s="230">
        <f t="shared" si="322"/>
        <v>0</v>
      </c>
      <c r="N173" s="230">
        <f t="shared" si="322"/>
        <v>0</v>
      </c>
      <c r="O173" s="230">
        <f t="shared" si="322"/>
        <v>0</v>
      </c>
      <c r="P173" s="230">
        <f t="shared" si="322"/>
        <v>0</v>
      </c>
      <c r="Q173" s="230">
        <f t="shared" si="322"/>
        <v>0</v>
      </c>
      <c r="R173" s="230">
        <f t="shared" si="322"/>
        <v>0</v>
      </c>
      <c r="S173" s="230">
        <f t="shared" si="322"/>
        <v>0</v>
      </c>
      <c r="T173" s="230">
        <f t="shared" si="322"/>
        <v>0</v>
      </c>
      <c r="U173" s="230">
        <f t="shared" si="322"/>
        <v>0</v>
      </c>
      <c r="V173" s="230">
        <f t="shared" si="322"/>
        <v>0</v>
      </c>
      <c r="W173" s="230">
        <f t="shared" si="322"/>
        <v>0</v>
      </c>
      <c r="X173" s="230">
        <f t="shared" si="322"/>
        <v>0</v>
      </c>
      <c r="Y173" s="230">
        <f t="shared" si="322"/>
        <v>0</v>
      </c>
      <c r="Z173" s="230">
        <f t="shared" si="322"/>
        <v>0</v>
      </c>
      <c r="AA173" s="230">
        <f t="shared" si="322"/>
        <v>0</v>
      </c>
      <c r="AB173" s="230">
        <f t="shared" si="322"/>
        <v>0</v>
      </c>
      <c r="AC173" s="230">
        <f t="shared" si="322"/>
        <v>0</v>
      </c>
      <c r="AD173" s="230">
        <f t="shared" si="322"/>
        <v>0</v>
      </c>
      <c r="AE173" s="230">
        <f t="shared" si="322"/>
        <v>0</v>
      </c>
      <c r="AF173" s="230">
        <f t="shared" si="322"/>
        <v>1</v>
      </c>
      <c r="AG173" s="230">
        <f t="shared" si="322"/>
        <v>1</v>
      </c>
      <c r="AH173" s="230">
        <f t="shared" si="322"/>
        <v>1</v>
      </c>
      <c r="AI173" s="230">
        <f t="shared" si="322"/>
        <v>1</v>
      </c>
      <c r="AJ173" s="230">
        <f t="shared" si="322"/>
        <v>1</v>
      </c>
      <c r="AK173" s="230">
        <f t="shared" si="322"/>
        <v>1</v>
      </c>
      <c r="AL173" s="230">
        <f t="shared" si="322"/>
        <v>1</v>
      </c>
      <c r="AM173" s="230">
        <f t="shared" si="322"/>
        <v>1</v>
      </c>
      <c r="AN173" s="230">
        <f t="shared" si="322"/>
        <v>1</v>
      </c>
      <c r="AO173" s="230">
        <f t="shared" si="322"/>
        <v>1</v>
      </c>
      <c r="AP173" s="230">
        <f t="shared" si="322"/>
        <v>1</v>
      </c>
      <c r="AQ173" s="230">
        <f t="shared" si="322"/>
        <v>1</v>
      </c>
      <c r="AR173" s="230">
        <f t="shared" si="322"/>
        <v>1</v>
      </c>
      <c r="AS173" s="230">
        <f t="shared" si="322"/>
        <v>1</v>
      </c>
      <c r="AT173" s="230">
        <f t="shared" si="322"/>
        <v>1</v>
      </c>
      <c r="AU173" s="230">
        <f t="shared" si="322"/>
        <v>1</v>
      </c>
      <c r="AV173" s="230">
        <f t="shared" si="322"/>
        <v>1</v>
      </c>
      <c r="AW173" s="230">
        <f t="shared" si="322"/>
        <v>1</v>
      </c>
      <c r="AX173" s="230">
        <f t="shared" si="322"/>
        <v>1</v>
      </c>
      <c r="AY173" s="230">
        <f t="shared" si="322"/>
        <v>1</v>
      </c>
      <c r="AZ173" s="230">
        <f t="shared" si="322"/>
        <v>1</v>
      </c>
      <c r="BA173" s="230">
        <f t="shared" si="322"/>
        <v>1</v>
      </c>
      <c r="BB173" s="230">
        <f t="shared" si="322"/>
        <v>1</v>
      </c>
      <c r="BC173" s="230">
        <f t="shared" si="322"/>
        <v>1</v>
      </c>
      <c r="BD173" s="230">
        <f t="shared" si="322"/>
        <v>1</v>
      </c>
      <c r="BE173" s="230">
        <f t="shared" si="322"/>
        <v>1</v>
      </c>
      <c r="BF173" s="230">
        <f t="shared" si="322"/>
        <v>1</v>
      </c>
      <c r="BG173" s="230">
        <f t="shared" si="322"/>
        <v>1</v>
      </c>
      <c r="BH173" s="230">
        <f t="shared" si="322"/>
        <v>1</v>
      </c>
      <c r="BI173" s="230">
        <f t="shared" si="322"/>
        <v>1</v>
      </c>
      <c r="BJ173" s="230">
        <f t="shared" si="322"/>
        <v>1</v>
      </c>
      <c r="BK173" s="230">
        <f t="shared" si="322"/>
        <v>1</v>
      </c>
      <c r="BL173" s="230">
        <f t="shared" si="322"/>
        <v>1</v>
      </c>
      <c r="BM173" s="230">
        <f t="shared" si="322"/>
        <v>1</v>
      </c>
      <c r="BN173" s="230">
        <f t="shared" si="322"/>
        <v>1</v>
      </c>
      <c r="BO173" s="230">
        <f t="shared" si="322"/>
        <v>1</v>
      </c>
      <c r="BP173" s="230">
        <f t="shared" si="322"/>
        <v>1</v>
      </c>
      <c r="BQ173" s="230">
        <f t="shared" si="322"/>
        <v>1</v>
      </c>
      <c r="BR173" s="230">
        <f t="shared" si="322"/>
        <v>1</v>
      </c>
      <c r="BS173" s="230">
        <f t="shared" ref="BS173:ED173" si="323">IF(BR20=1,1,0)</f>
        <v>1</v>
      </c>
      <c r="BT173" s="230">
        <f t="shared" si="323"/>
        <v>1</v>
      </c>
      <c r="BU173" s="230">
        <f t="shared" si="323"/>
        <v>1</v>
      </c>
      <c r="BV173" s="230">
        <f t="shared" si="323"/>
        <v>1</v>
      </c>
      <c r="BW173" s="230">
        <f t="shared" si="323"/>
        <v>1</v>
      </c>
      <c r="BX173" s="230">
        <f t="shared" si="323"/>
        <v>1</v>
      </c>
      <c r="BY173" s="230">
        <f t="shared" si="323"/>
        <v>1</v>
      </c>
      <c r="BZ173" s="230">
        <f t="shared" si="323"/>
        <v>1</v>
      </c>
      <c r="CA173" s="230">
        <f t="shared" si="323"/>
        <v>1</v>
      </c>
      <c r="CB173" s="230">
        <f t="shared" si="323"/>
        <v>1</v>
      </c>
      <c r="CC173" s="230">
        <f t="shared" si="323"/>
        <v>1</v>
      </c>
      <c r="CD173" s="230">
        <f t="shared" si="323"/>
        <v>1</v>
      </c>
      <c r="CE173" s="230">
        <f t="shared" si="323"/>
        <v>1</v>
      </c>
      <c r="CF173" s="230">
        <f t="shared" si="323"/>
        <v>1</v>
      </c>
      <c r="CG173" s="230">
        <f t="shared" si="323"/>
        <v>1</v>
      </c>
      <c r="CH173" s="230">
        <f t="shared" si="323"/>
        <v>1</v>
      </c>
      <c r="CI173" s="230">
        <f t="shared" si="323"/>
        <v>1</v>
      </c>
      <c r="CJ173" s="230">
        <f t="shared" si="323"/>
        <v>1</v>
      </c>
      <c r="CK173" s="230">
        <f t="shared" si="323"/>
        <v>1</v>
      </c>
      <c r="CL173" s="230">
        <f t="shared" si="323"/>
        <v>1</v>
      </c>
      <c r="CM173" s="230">
        <f t="shared" si="323"/>
        <v>1</v>
      </c>
      <c r="CN173" s="230">
        <f t="shared" si="323"/>
        <v>1</v>
      </c>
      <c r="CO173" s="230">
        <f t="shared" si="323"/>
        <v>1</v>
      </c>
      <c r="CP173" s="230">
        <f t="shared" si="323"/>
        <v>1</v>
      </c>
      <c r="CQ173" s="230">
        <f t="shared" si="323"/>
        <v>1</v>
      </c>
      <c r="CR173" s="230">
        <f t="shared" si="323"/>
        <v>1</v>
      </c>
      <c r="CS173" s="230">
        <f t="shared" si="323"/>
        <v>1</v>
      </c>
      <c r="CT173" s="230">
        <f t="shared" si="323"/>
        <v>1</v>
      </c>
      <c r="CU173" s="230">
        <f t="shared" si="323"/>
        <v>1</v>
      </c>
      <c r="CV173" s="230">
        <f t="shared" si="323"/>
        <v>1</v>
      </c>
      <c r="CW173" s="230">
        <f t="shared" si="323"/>
        <v>1</v>
      </c>
      <c r="CX173" s="230">
        <f t="shared" si="323"/>
        <v>1</v>
      </c>
      <c r="CY173" s="230">
        <f t="shared" si="323"/>
        <v>1</v>
      </c>
      <c r="CZ173" s="230">
        <f t="shared" si="323"/>
        <v>1</v>
      </c>
      <c r="DA173" s="230">
        <f t="shared" si="323"/>
        <v>1</v>
      </c>
      <c r="DB173" s="230">
        <f t="shared" si="323"/>
        <v>1</v>
      </c>
      <c r="DC173" s="230">
        <f t="shared" si="323"/>
        <v>1</v>
      </c>
      <c r="DD173" s="230">
        <f t="shared" si="323"/>
        <v>1</v>
      </c>
      <c r="DE173" s="230">
        <f t="shared" si="323"/>
        <v>1</v>
      </c>
      <c r="DF173" s="230">
        <f t="shared" si="323"/>
        <v>1</v>
      </c>
      <c r="DG173" s="230">
        <f t="shared" si="323"/>
        <v>1</v>
      </c>
      <c r="DH173" s="230">
        <f t="shared" si="323"/>
        <v>1</v>
      </c>
      <c r="DI173" s="230">
        <f t="shared" si="323"/>
        <v>1</v>
      </c>
      <c r="DJ173" s="230">
        <f t="shared" si="323"/>
        <v>1</v>
      </c>
      <c r="DK173" s="230">
        <f t="shared" si="323"/>
        <v>1</v>
      </c>
      <c r="DL173" s="230">
        <f t="shared" si="323"/>
        <v>1</v>
      </c>
      <c r="DM173" s="230">
        <f t="shared" si="323"/>
        <v>1</v>
      </c>
      <c r="DN173" s="230">
        <f t="shared" si="323"/>
        <v>1</v>
      </c>
      <c r="DO173" s="230">
        <f t="shared" si="323"/>
        <v>1</v>
      </c>
      <c r="DP173" s="230">
        <f t="shared" si="323"/>
        <v>1</v>
      </c>
      <c r="DQ173" s="230">
        <f t="shared" si="323"/>
        <v>1</v>
      </c>
      <c r="DR173" s="230">
        <f t="shared" si="323"/>
        <v>1</v>
      </c>
      <c r="DS173" s="230">
        <f t="shared" si="323"/>
        <v>1</v>
      </c>
      <c r="DT173" s="230">
        <f t="shared" si="323"/>
        <v>1</v>
      </c>
      <c r="DU173" s="230">
        <f t="shared" si="323"/>
        <v>1</v>
      </c>
      <c r="DV173" s="230">
        <f t="shared" si="323"/>
        <v>1</v>
      </c>
      <c r="DW173" s="230">
        <f t="shared" si="323"/>
        <v>1</v>
      </c>
      <c r="DX173" s="230">
        <f t="shared" si="323"/>
        <v>1</v>
      </c>
      <c r="DY173" s="230">
        <f t="shared" si="323"/>
        <v>1</v>
      </c>
      <c r="DZ173" s="230">
        <f t="shared" si="323"/>
        <v>1</v>
      </c>
      <c r="EA173" s="230">
        <f t="shared" si="323"/>
        <v>1</v>
      </c>
      <c r="EB173" s="230">
        <f t="shared" si="323"/>
        <v>1</v>
      </c>
      <c r="EC173" s="230">
        <f t="shared" si="323"/>
        <v>1</v>
      </c>
      <c r="ED173" s="230">
        <f t="shared" si="323"/>
        <v>1</v>
      </c>
      <c r="EE173" s="230">
        <f t="shared" ref="EE173:EH173" si="324">IF(ED20=1,1,0)</f>
        <v>1</v>
      </c>
      <c r="EF173" s="230">
        <f t="shared" si="324"/>
        <v>1</v>
      </c>
      <c r="EG173" s="230">
        <f t="shared" si="324"/>
        <v>1</v>
      </c>
      <c r="EH173" s="230">
        <f t="shared" si="324"/>
        <v>1</v>
      </c>
      <c r="EK173" s="280"/>
    </row>
    <row r="174" spans="1:141" ht="15" hidden="1" thickTop="1" x14ac:dyDescent="0.3">
      <c r="A174" s="684" t="s">
        <v>2455</v>
      </c>
      <c r="B174" s="200"/>
      <c r="C174" s="200"/>
      <c r="D174" s="200"/>
      <c r="E174" s="230"/>
      <c r="F174" s="230">
        <f>F171/12</f>
        <v>4427.2622247725494</v>
      </c>
      <c r="G174" s="647">
        <f t="shared" ref="G174:AL174" si="325">IF(AND(MONTH(G$6)=1,G$6&lt;=DateDisposition),G171/12,
IF(AND(G$5=MonthDisposition+1,MONTH(G$6)&lt;&gt;1),LOOKUP(EDATE(G$6,-(MONTH(G$6)-1)),$6:$6,172:172)/12,
IF(AND(MONTH(G$6)=1,G$5&gt;=MonthDisposition+1),G172/12,F174)))</f>
        <v>4427.2622247725494</v>
      </c>
      <c r="H174" s="647">
        <f t="shared" si="325"/>
        <v>4427.2622247725494</v>
      </c>
      <c r="I174" s="647">
        <f t="shared" si="325"/>
        <v>4427.2622247725494</v>
      </c>
      <c r="J174" s="647">
        <f t="shared" si="325"/>
        <v>4471.0993551654647</v>
      </c>
      <c r="K174" s="647">
        <f t="shared" si="325"/>
        <v>4471.0993551654647</v>
      </c>
      <c r="L174" s="647">
        <f t="shared" si="325"/>
        <v>4471.0993551654647</v>
      </c>
      <c r="M174" s="647">
        <f t="shared" si="325"/>
        <v>4471.0993551654647</v>
      </c>
      <c r="N174" s="647">
        <f t="shared" si="325"/>
        <v>4471.0993551654647</v>
      </c>
      <c r="O174" s="647">
        <f t="shared" si="325"/>
        <v>4471.0993551654647</v>
      </c>
      <c r="P174" s="647">
        <f t="shared" si="325"/>
        <v>4471.0993551654647</v>
      </c>
      <c r="Q174" s="647">
        <f t="shared" si="325"/>
        <v>4471.0993551654647</v>
      </c>
      <c r="R174" s="647">
        <f t="shared" si="325"/>
        <v>4471.0993551654647</v>
      </c>
      <c r="S174" s="647">
        <f t="shared" si="325"/>
        <v>4471.0993551654647</v>
      </c>
      <c r="T174" s="647">
        <f t="shared" si="325"/>
        <v>4471.0993551654647</v>
      </c>
      <c r="U174" s="647">
        <f t="shared" si="325"/>
        <v>4471.0993551654647</v>
      </c>
      <c r="V174" s="647">
        <f t="shared" si="325"/>
        <v>4605.2323358204339</v>
      </c>
      <c r="W174" s="647">
        <f t="shared" si="325"/>
        <v>4605.2323358204339</v>
      </c>
      <c r="X174" s="647">
        <f t="shared" si="325"/>
        <v>4605.2323358204339</v>
      </c>
      <c r="Y174" s="647">
        <f t="shared" si="325"/>
        <v>4605.2323358204339</v>
      </c>
      <c r="Z174" s="647">
        <f t="shared" si="325"/>
        <v>4605.2323358204339</v>
      </c>
      <c r="AA174" s="647">
        <f t="shared" si="325"/>
        <v>4605.2323358204339</v>
      </c>
      <c r="AB174" s="647">
        <f t="shared" si="325"/>
        <v>4605.2323358204339</v>
      </c>
      <c r="AC174" s="647">
        <f t="shared" si="325"/>
        <v>4605.2323358204339</v>
      </c>
      <c r="AD174" s="647">
        <f t="shared" si="325"/>
        <v>4605.2323358204339</v>
      </c>
      <c r="AE174" s="647">
        <f t="shared" si="325"/>
        <v>4605.2323358204339</v>
      </c>
      <c r="AF174" s="647">
        <f t="shared" si="325"/>
        <v>4605.2323358204339</v>
      </c>
      <c r="AG174" s="647">
        <f t="shared" si="325"/>
        <v>4605.2323358204339</v>
      </c>
      <c r="AH174" s="647">
        <f t="shared" si="325"/>
        <v>4743.3893058950525</v>
      </c>
      <c r="AI174" s="647">
        <f t="shared" si="325"/>
        <v>4743.3893058950525</v>
      </c>
      <c r="AJ174" s="647">
        <f t="shared" si="325"/>
        <v>4743.3893058950525</v>
      </c>
      <c r="AK174" s="647">
        <f t="shared" si="325"/>
        <v>4743.3893058950525</v>
      </c>
      <c r="AL174" s="647">
        <f t="shared" si="325"/>
        <v>4743.3893058950525</v>
      </c>
      <c r="AM174" s="647">
        <f t="shared" ref="AM174:BR174" si="326">IF(AND(MONTH(AM$6)=1,AM$6&lt;=DateDisposition),AM171/12,
IF(AND(AM$5=MonthDisposition+1,MONTH(AM$6)&lt;&gt;1),LOOKUP(EDATE(AM$6,-(MONTH(AM$6)-1)),$6:$6,172:172)/12,
IF(AND(MONTH(AM$6)=1,AM$5&gt;=MonthDisposition+1),AM172/12,AL174)))</f>
        <v>4743.3893058950525</v>
      </c>
      <c r="AN174" s="647">
        <f t="shared" si="326"/>
        <v>4743.3893058950525</v>
      </c>
      <c r="AO174" s="647">
        <f t="shared" si="326"/>
        <v>4743.3893058950525</v>
      </c>
      <c r="AP174" s="647">
        <f t="shared" si="326"/>
        <v>4743.3893058950525</v>
      </c>
      <c r="AQ174" s="647">
        <f t="shared" si="326"/>
        <v>4743.3893058950525</v>
      </c>
      <c r="AR174" s="647">
        <f t="shared" si="326"/>
        <v>4743.3893058950525</v>
      </c>
      <c r="AS174" s="647">
        <f t="shared" si="326"/>
        <v>4743.3893058950525</v>
      </c>
      <c r="AT174" s="647">
        <f t="shared" si="326"/>
        <v>4885.6909850719094</v>
      </c>
      <c r="AU174" s="647">
        <f t="shared" si="326"/>
        <v>4885.6909850719094</v>
      </c>
      <c r="AV174" s="647">
        <f t="shared" si="326"/>
        <v>4885.6909850719094</v>
      </c>
      <c r="AW174" s="647">
        <f t="shared" si="326"/>
        <v>4885.6909850719094</v>
      </c>
      <c r="AX174" s="647">
        <f t="shared" si="326"/>
        <v>4885.6909850719094</v>
      </c>
      <c r="AY174" s="647">
        <f t="shared" si="326"/>
        <v>4885.6909850719094</v>
      </c>
      <c r="AZ174" s="647">
        <f t="shared" si="326"/>
        <v>4885.6909850719094</v>
      </c>
      <c r="BA174" s="647">
        <f t="shared" si="326"/>
        <v>4885.6909850719094</v>
      </c>
      <c r="BB174" s="647">
        <f t="shared" si="326"/>
        <v>4885.6909850719094</v>
      </c>
      <c r="BC174" s="647">
        <f t="shared" si="326"/>
        <v>4885.6909850719094</v>
      </c>
      <c r="BD174" s="647">
        <f t="shared" si="326"/>
        <v>4885.6909850719094</v>
      </c>
      <c r="BE174" s="647">
        <f t="shared" si="326"/>
        <v>4885.6909850719094</v>
      </c>
      <c r="BF174" s="647">
        <f t="shared" si="326"/>
        <v>5032.2617146240718</v>
      </c>
      <c r="BG174" s="647">
        <f t="shared" si="326"/>
        <v>5032.2617146240718</v>
      </c>
      <c r="BH174" s="647">
        <f t="shared" si="326"/>
        <v>5032.2617146240718</v>
      </c>
      <c r="BI174" s="647">
        <f t="shared" si="326"/>
        <v>5032.2617146240718</v>
      </c>
      <c r="BJ174" s="647">
        <f t="shared" si="326"/>
        <v>5032.2617146240718</v>
      </c>
      <c r="BK174" s="647">
        <f t="shared" si="326"/>
        <v>5032.2617146240718</v>
      </c>
      <c r="BL174" s="647">
        <f t="shared" si="326"/>
        <v>5032.2617146240718</v>
      </c>
      <c r="BM174" s="647">
        <f t="shared" si="326"/>
        <v>5032.2617146240718</v>
      </c>
      <c r="BN174" s="647">
        <f t="shared" si="326"/>
        <v>5032.2617146240718</v>
      </c>
      <c r="BO174" s="647">
        <f t="shared" si="326"/>
        <v>5032.2617146240718</v>
      </c>
      <c r="BP174" s="647">
        <f t="shared" si="326"/>
        <v>5032.2617146240718</v>
      </c>
      <c r="BQ174" s="647">
        <f t="shared" si="326"/>
        <v>5032.2617146240718</v>
      </c>
      <c r="BR174" s="647">
        <f t="shared" si="326"/>
        <v>5183.2295660627988</v>
      </c>
      <c r="BS174" s="647">
        <f t="shared" ref="BS174:CX174" si="327">IF(AND(MONTH(BS$6)=1,BS$6&lt;=DateDisposition),BS171/12,
IF(AND(BS$5=MonthDisposition+1,MONTH(BS$6)&lt;&gt;1),LOOKUP(EDATE(BS$6,-(MONTH(BS$6)-1)),$6:$6,172:172)/12,
IF(AND(MONTH(BS$6)=1,BS$5&gt;=MonthDisposition+1),BS172/12,BR174)))</f>
        <v>5183.2295660627988</v>
      </c>
      <c r="BT174" s="647">
        <f t="shared" si="327"/>
        <v>5183.2295660627988</v>
      </c>
      <c r="BU174" s="647">
        <f t="shared" si="327"/>
        <v>5183.2295660627988</v>
      </c>
      <c r="BV174" s="647">
        <f t="shared" si="327"/>
        <v>5183.2295660627988</v>
      </c>
      <c r="BW174" s="647">
        <f t="shared" si="327"/>
        <v>5183.2295660627988</v>
      </c>
      <c r="BX174" s="647">
        <f t="shared" si="327"/>
        <v>5183.2295660627988</v>
      </c>
      <c r="BY174" s="647">
        <f t="shared" si="327"/>
        <v>5183.2295660627988</v>
      </c>
      <c r="BZ174" s="647">
        <f t="shared" si="327"/>
        <v>5183.2295660627988</v>
      </c>
      <c r="CA174" s="647">
        <f t="shared" si="327"/>
        <v>5183.2295660627988</v>
      </c>
      <c r="CB174" s="647">
        <f t="shared" si="327"/>
        <v>5183.2295660627988</v>
      </c>
      <c r="CC174" s="647">
        <f t="shared" si="327"/>
        <v>5183.2295660627988</v>
      </c>
      <c r="CD174" s="647">
        <f t="shared" si="327"/>
        <v>5338.7264530446892</v>
      </c>
      <c r="CE174" s="647">
        <f t="shared" si="327"/>
        <v>5338.7264530446892</v>
      </c>
      <c r="CF174" s="647">
        <f t="shared" si="327"/>
        <v>5338.7264530446892</v>
      </c>
      <c r="CG174" s="647">
        <f t="shared" si="327"/>
        <v>5338.7264530446892</v>
      </c>
      <c r="CH174" s="647">
        <f t="shared" si="327"/>
        <v>5338.7264530446892</v>
      </c>
      <c r="CI174" s="647">
        <f t="shared" si="327"/>
        <v>5338.7264530446892</v>
      </c>
      <c r="CJ174" s="647">
        <f t="shared" si="327"/>
        <v>5338.7264530446892</v>
      </c>
      <c r="CK174" s="647">
        <f t="shared" si="327"/>
        <v>5338.7264530446892</v>
      </c>
      <c r="CL174" s="647">
        <f t="shared" si="327"/>
        <v>5338.7264530446892</v>
      </c>
      <c r="CM174" s="647">
        <f t="shared" si="327"/>
        <v>5338.7264530446892</v>
      </c>
      <c r="CN174" s="647">
        <f t="shared" si="327"/>
        <v>5338.7264530446892</v>
      </c>
      <c r="CO174" s="647">
        <f t="shared" si="327"/>
        <v>5338.7264530446892</v>
      </c>
      <c r="CP174" s="647">
        <f t="shared" si="327"/>
        <v>5498.8882466360337</v>
      </c>
      <c r="CQ174" s="647">
        <f t="shared" si="327"/>
        <v>5498.8882466360337</v>
      </c>
      <c r="CR174" s="647">
        <f t="shared" si="327"/>
        <v>5498.8882466360337</v>
      </c>
      <c r="CS174" s="647">
        <f t="shared" si="327"/>
        <v>5498.8882466360337</v>
      </c>
      <c r="CT174" s="647">
        <f t="shared" si="327"/>
        <v>5498.8882466360337</v>
      </c>
      <c r="CU174" s="647">
        <f t="shared" si="327"/>
        <v>5498.8882466360337</v>
      </c>
      <c r="CV174" s="647">
        <f t="shared" si="327"/>
        <v>5498.8882466360337</v>
      </c>
      <c r="CW174" s="647">
        <f t="shared" si="327"/>
        <v>5498.8882466360337</v>
      </c>
      <c r="CX174" s="647">
        <f t="shared" si="327"/>
        <v>5498.8882466360337</v>
      </c>
      <c r="CY174" s="647">
        <f t="shared" ref="CY174:EH174" si="328">IF(AND(MONTH(CY$6)=1,CY$6&lt;=DateDisposition),CY171/12,
IF(AND(CY$5=MonthDisposition+1,MONTH(CY$6)&lt;&gt;1),LOOKUP(EDATE(CY$6,-(MONTH(CY$6)-1)),$6:$6,172:172)/12,
IF(AND(MONTH(CY$6)=1,CY$5&gt;=MonthDisposition+1),CY172/12,CX174)))</f>
        <v>5498.8882466360337</v>
      </c>
      <c r="CZ174" s="647">
        <f t="shared" si="328"/>
        <v>5498.8882466360337</v>
      </c>
      <c r="DA174" s="647">
        <f t="shared" si="328"/>
        <v>5498.8882466360337</v>
      </c>
      <c r="DB174" s="647">
        <f t="shared" si="328"/>
        <v>5663.8548940351211</v>
      </c>
      <c r="DC174" s="647">
        <f t="shared" si="328"/>
        <v>5663.8548940351211</v>
      </c>
      <c r="DD174" s="647">
        <f t="shared" si="328"/>
        <v>5663.8548940351211</v>
      </c>
      <c r="DE174" s="647">
        <f t="shared" si="328"/>
        <v>5663.8548940351211</v>
      </c>
      <c r="DF174" s="647">
        <f t="shared" si="328"/>
        <v>5663.8548940351211</v>
      </c>
      <c r="DG174" s="647">
        <f t="shared" si="328"/>
        <v>5663.8548940351211</v>
      </c>
      <c r="DH174" s="647">
        <f t="shared" si="328"/>
        <v>5663.8548940351211</v>
      </c>
      <c r="DI174" s="647">
        <f t="shared" si="328"/>
        <v>5663.8548940351211</v>
      </c>
      <c r="DJ174" s="647">
        <f t="shared" si="328"/>
        <v>5663.8548940351211</v>
      </c>
      <c r="DK174" s="647">
        <f t="shared" si="328"/>
        <v>5663.8548940351211</v>
      </c>
      <c r="DL174" s="647">
        <f t="shared" si="328"/>
        <v>5663.8548940351211</v>
      </c>
      <c r="DM174" s="647">
        <f t="shared" si="328"/>
        <v>5663.8548940351211</v>
      </c>
      <c r="DN174" s="647">
        <f t="shared" si="328"/>
        <v>5833.7705408561815</v>
      </c>
      <c r="DO174" s="647">
        <f t="shared" si="328"/>
        <v>5833.7705408561815</v>
      </c>
      <c r="DP174" s="647">
        <f t="shared" si="328"/>
        <v>5833.7705408561815</v>
      </c>
      <c r="DQ174" s="647">
        <f t="shared" si="328"/>
        <v>5833.7705408561815</v>
      </c>
      <c r="DR174" s="647">
        <f t="shared" si="328"/>
        <v>5833.7705408561815</v>
      </c>
      <c r="DS174" s="647">
        <f t="shared" si="328"/>
        <v>5833.7705408561815</v>
      </c>
      <c r="DT174" s="647">
        <f t="shared" si="328"/>
        <v>5833.7705408561815</v>
      </c>
      <c r="DU174" s="647">
        <f t="shared" si="328"/>
        <v>5833.7705408561815</v>
      </c>
      <c r="DV174" s="647">
        <f t="shared" si="328"/>
        <v>5833.7705408561815</v>
      </c>
      <c r="DW174" s="647">
        <f t="shared" si="328"/>
        <v>5833.7705408561815</v>
      </c>
      <c r="DX174" s="647">
        <f t="shared" si="328"/>
        <v>5833.7705408561815</v>
      </c>
      <c r="DY174" s="647">
        <f t="shared" si="328"/>
        <v>5833.7705408561815</v>
      </c>
      <c r="DZ174" s="647">
        <f t="shared" si="328"/>
        <v>6008.7836570818736</v>
      </c>
      <c r="EA174" s="647">
        <f t="shared" si="328"/>
        <v>6008.7836570818736</v>
      </c>
      <c r="EB174" s="647">
        <f t="shared" si="328"/>
        <v>6008.7836570818736</v>
      </c>
      <c r="EC174" s="647">
        <f t="shared" si="328"/>
        <v>6008.7836570818736</v>
      </c>
      <c r="ED174" s="647">
        <f t="shared" si="328"/>
        <v>6008.7836570818736</v>
      </c>
      <c r="EE174" s="647">
        <f t="shared" si="328"/>
        <v>6008.7836570818736</v>
      </c>
      <c r="EF174" s="647">
        <f t="shared" si="328"/>
        <v>6008.7836570818736</v>
      </c>
      <c r="EG174" s="647">
        <f t="shared" si="328"/>
        <v>6008.7836570818736</v>
      </c>
      <c r="EH174" s="647">
        <f t="shared" si="328"/>
        <v>6008.7836570818736</v>
      </c>
      <c r="EK174" s="672"/>
    </row>
    <row r="175" spans="1:141" ht="15" hidden="1" thickTop="1" x14ac:dyDescent="0.3">
      <c r="A175" s="691" t="str">
        <f>'Operating Inputs'!A129</f>
        <v>Other Non-Controllable Expense</v>
      </c>
      <c r="B175" s="200"/>
      <c r="C175" s="200"/>
      <c r="D175" s="200"/>
      <c r="E175" s="230"/>
      <c r="F175" s="230"/>
      <c r="G175" s="684">
        <f>IF(G6=F6,1,IF(AND(MOD(G5,12)=0,'Operating Inputs'!$H$230="Annual"),(1+'Operating Inputs'!$H$229),IF(AND(MOD(G5,12)&lt;&gt;0,'Operating Inputs'!$H$230="Annual"),1,(1+'Operating Inputs'!$H$229)^(1/12))))</f>
        <v>1.0024662697723037</v>
      </c>
      <c r="H175" s="684">
        <f>IF(H6=G6,1,IF(AND(MOD(H5,12)=0,'Operating Inputs'!$H$230="Annual"),(1+'Operating Inputs'!$H$229),IF(AND(MOD(H5,12)&lt;&gt;0,'Operating Inputs'!$H$230="Annual"),1,(1+'Operating Inputs'!$H$229)^(1/12))))</f>
        <v>1.0024662697723037</v>
      </c>
      <c r="I175" s="684">
        <f>IF(I6=H6,1,IF(AND(MOD(I5,12)=0,'Operating Inputs'!$H$230="Annual"),(1+'Operating Inputs'!$H$229),IF(AND(MOD(I5,12)&lt;&gt;0,'Operating Inputs'!$H$230="Annual"),1,(1+'Operating Inputs'!$H$229)^(1/12))))</f>
        <v>1.0024662697723037</v>
      </c>
      <c r="J175" s="684">
        <f>IF(J6=I6,1,IF(AND(MOD(J5,12)=0,'Operating Inputs'!$H$230="Annual"),(1+'Operating Inputs'!$H$229),IF(AND(MOD(J5,12)&lt;&gt;0,'Operating Inputs'!$H$230="Annual"),1,(1+'Operating Inputs'!$H$229)^(1/12))))</f>
        <v>1.0024662697723037</v>
      </c>
      <c r="K175" s="684">
        <f>IF(K6=J6,1,IF(AND(MOD(K5,12)=0,'Operating Inputs'!$H$230="Annual"),(1+'Operating Inputs'!$H$229),IF(AND(MOD(K5,12)&lt;&gt;0,'Operating Inputs'!$H$230="Annual"),1,(1+'Operating Inputs'!$H$229)^(1/12))))</f>
        <v>1.0024662697723037</v>
      </c>
      <c r="L175" s="684">
        <f>IF(L6=K6,1,IF(AND(MOD(L5,12)=0,'Operating Inputs'!$H$230="Annual"),(1+'Operating Inputs'!$H$229),IF(AND(MOD(L5,12)&lt;&gt;0,'Operating Inputs'!$H$230="Annual"),1,(1+'Operating Inputs'!$H$229)^(1/12))))</f>
        <v>1.0024662697723037</v>
      </c>
      <c r="M175" s="684">
        <f>IF(M6=L6,1,IF(AND(MOD(M5,12)=0,'Operating Inputs'!$H$230="Annual"),(1+'Operating Inputs'!$H$229),IF(AND(MOD(M5,12)&lt;&gt;0,'Operating Inputs'!$H$230="Annual"),1,(1+'Operating Inputs'!$H$229)^(1/12))))</f>
        <v>1.0024662697723037</v>
      </c>
      <c r="N175" s="684">
        <f>IF(N6=M6,1,IF(AND(MOD(N5,12)=0,'Operating Inputs'!$H$230="Annual"),(1+'Operating Inputs'!$H$229),IF(AND(MOD(N5,12)&lt;&gt;0,'Operating Inputs'!$H$230="Annual"),1,(1+'Operating Inputs'!$H$229)^(1/12))))</f>
        <v>1.0024662697723037</v>
      </c>
      <c r="O175" s="684">
        <f>IF(O6=N6,1,IF(AND(MOD(O5,12)=0,'Operating Inputs'!$H$230="Annual"),(1+'Operating Inputs'!$H$229),IF(AND(MOD(O5,12)&lt;&gt;0,'Operating Inputs'!$H$230="Annual"),1,(1+'Operating Inputs'!$H$229)^(1/12))))</f>
        <v>1.0024662697723037</v>
      </c>
      <c r="P175" s="684">
        <f>IF(P6=O6,1,IF(AND(MOD(P5,12)=0,'Operating Inputs'!$H$230="Annual"),(1+'Operating Inputs'!$H$229),IF(AND(MOD(P5,12)&lt;&gt;0,'Operating Inputs'!$H$230="Annual"),1,(1+'Operating Inputs'!$H$229)^(1/12))))</f>
        <v>1.0024662697723037</v>
      </c>
      <c r="Q175" s="684">
        <f>IF(Q6=P6,1,IF(AND(MOD(Q5,12)=0,'Operating Inputs'!$H$230="Annual"),(1+'Operating Inputs'!$H$229),IF(AND(MOD(Q5,12)&lt;&gt;0,'Operating Inputs'!$H$230="Annual"),1,(1+'Operating Inputs'!$H$229)^(1/12))))</f>
        <v>1.0024662697723037</v>
      </c>
      <c r="R175" s="684">
        <f>IF(R6=Q6,1,IF(AND(MOD(R5,12)=0,'Operating Inputs'!$H$230="Annual"),(1+'Operating Inputs'!$H$229),IF(AND(MOD(R5,12)&lt;&gt;0,'Operating Inputs'!$H$230="Annual"),1,(1+'Operating Inputs'!$H$229)^(1/12))))</f>
        <v>1.0024662697723037</v>
      </c>
      <c r="S175" s="684">
        <f>IF(S6=R6,1,IF(AND(MOD(S5,12)=0,'Operating Inputs'!$H$230="Annual"),(1+'Operating Inputs'!$H$229),IF(AND(MOD(S5,12)&lt;&gt;0,'Operating Inputs'!$H$230="Annual"),1,(1+'Operating Inputs'!$H$229)^(1/12))))</f>
        <v>1.0024662697723037</v>
      </c>
      <c r="T175" s="684">
        <f>IF(T6=S6,1,IF(AND(MOD(T5,12)=0,'Operating Inputs'!$H$230="Annual"),(1+'Operating Inputs'!$H$229),IF(AND(MOD(T5,12)&lt;&gt;0,'Operating Inputs'!$H$230="Annual"),1,(1+'Operating Inputs'!$H$229)^(1/12))))</f>
        <v>1.0024662697723037</v>
      </c>
      <c r="U175" s="684">
        <f>IF(U6=T6,1,IF(AND(MOD(U5,12)=0,'Operating Inputs'!$H$230="Annual"),(1+'Operating Inputs'!$H$229),IF(AND(MOD(U5,12)&lt;&gt;0,'Operating Inputs'!$H$230="Annual"),1,(1+'Operating Inputs'!$H$229)^(1/12))))</f>
        <v>1.0024662697723037</v>
      </c>
      <c r="V175" s="684">
        <f>IF(V6=U6,1,IF(AND(MOD(V5,12)=0,'Operating Inputs'!$H$230="Annual"),(1+'Operating Inputs'!$H$229),IF(AND(MOD(V5,12)&lt;&gt;0,'Operating Inputs'!$H$230="Annual"),1,(1+'Operating Inputs'!$H$229)^(1/12))))</f>
        <v>1.0024662697723037</v>
      </c>
      <c r="W175" s="684">
        <f>IF(W6=V6,1,IF(AND(MOD(W5,12)=0,'Operating Inputs'!$H$230="Annual"),(1+'Operating Inputs'!$H$229),IF(AND(MOD(W5,12)&lt;&gt;0,'Operating Inputs'!$H$230="Annual"),1,(1+'Operating Inputs'!$H$229)^(1/12))))</f>
        <v>1.0024662697723037</v>
      </c>
      <c r="X175" s="684">
        <f>IF(X6=W6,1,IF(AND(MOD(X5,12)=0,'Operating Inputs'!$H$230="Annual"),(1+'Operating Inputs'!$H$229),IF(AND(MOD(X5,12)&lt;&gt;0,'Operating Inputs'!$H$230="Annual"),1,(1+'Operating Inputs'!$H$229)^(1/12))))</f>
        <v>1.0024662697723037</v>
      </c>
      <c r="Y175" s="684">
        <f>IF(Y6=X6,1,IF(AND(MOD(Y5,12)=0,'Operating Inputs'!$H$230="Annual"),(1+'Operating Inputs'!$H$229),IF(AND(MOD(Y5,12)&lt;&gt;0,'Operating Inputs'!$H$230="Annual"),1,(1+'Operating Inputs'!$H$229)^(1/12))))</f>
        <v>1.0024662697723037</v>
      </c>
      <c r="Z175" s="684">
        <f>IF(Z6=Y6,1,IF(AND(MOD(Z5,12)=0,'Operating Inputs'!$H$230="Annual"),(1+'Operating Inputs'!$H$229),IF(AND(MOD(Z5,12)&lt;&gt;0,'Operating Inputs'!$H$230="Annual"),1,(1+'Operating Inputs'!$H$229)^(1/12))))</f>
        <v>1.0024662697723037</v>
      </c>
      <c r="AA175" s="684">
        <f>IF(AA6=Z6,1,IF(AND(MOD(AA5,12)=0,'Operating Inputs'!$H$230="Annual"),(1+'Operating Inputs'!$H$229),IF(AND(MOD(AA5,12)&lt;&gt;0,'Operating Inputs'!$H$230="Annual"),1,(1+'Operating Inputs'!$H$229)^(1/12))))</f>
        <v>1.0024662697723037</v>
      </c>
      <c r="AB175" s="684">
        <f>IF(AB6=AA6,1,IF(AND(MOD(AB5,12)=0,'Operating Inputs'!$H$230="Annual"),(1+'Operating Inputs'!$H$229),IF(AND(MOD(AB5,12)&lt;&gt;0,'Operating Inputs'!$H$230="Annual"),1,(1+'Operating Inputs'!$H$229)^(1/12))))</f>
        <v>1.0024662697723037</v>
      </c>
      <c r="AC175" s="684">
        <f>IF(AC6=AB6,1,IF(AND(MOD(AC5,12)=0,'Operating Inputs'!$H$230="Annual"),(1+'Operating Inputs'!$H$229),IF(AND(MOD(AC5,12)&lt;&gt;0,'Operating Inputs'!$H$230="Annual"),1,(1+'Operating Inputs'!$H$229)^(1/12))))</f>
        <v>1.0024662697723037</v>
      </c>
      <c r="AD175" s="684">
        <f>IF(AD6=AC6,1,IF(AND(MOD(AD5,12)=0,'Operating Inputs'!$H$230="Annual"),(1+'Operating Inputs'!$H$229),IF(AND(MOD(AD5,12)&lt;&gt;0,'Operating Inputs'!$H$230="Annual"),1,(1+'Operating Inputs'!$H$229)^(1/12))))</f>
        <v>1.0024662697723037</v>
      </c>
      <c r="AE175" s="684">
        <f>IF(AE6=AD6,1,IF(AND(MOD(AE5,12)=0,'Operating Inputs'!$H$230="Annual"),(1+'Operating Inputs'!$H$229),IF(AND(MOD(AE5,12)&lt;&gt;0,'Operating Inputs'!$H$230="Annual"),1,(1+'Operating Inputs'!$H$229)^(1/12))))</f>
        <v>1.0024662697723037</v>
      </c>
      <c r="AF175" s="684">
        <f>IF(AF6=AE6,1,IF(AND(MOD(AF5,12)=0,'Operating Inputs'!$H$230="Annual"),(1+'Operating Inputs'!$H$229),IF(AND(MOD(AF5,12)&lt;&gt;0,'Operating Inputs'!$H$230="Annual"),1,(1+'Operating Inputs'!$H$229)^(1/12))))</f>
        <v>1.0024662697723037</v>
      </c>
      <c r="AG175" s="684">
        <f>IF(AG6=AF6,1,IF(AND(MOD(AG5,12)=0,'Operating Inputs'!$H$230="Annual"),(1+'Operating Inputs'!$H$229),IF(AND(MOD(AG5,12)&lt;&gt;0,'Operating Inputs'!$H$230="Annual"),1,(1+'Operating Inputs'!$H$229)^(1/12))))</f>
        <v>1.0024662697723037</v>
      </c>
      <c r="AH175" s="684">
        <f>IF(AH6=AG6,1,IF(AND(MOD(AH5,12)=0,'Operating Inputs'!$H$230="Annual"),(1+'Operating Inputs'!$H$229),IF(AND(MOD(AH5,12)&lt;&gt;0,'Operating Inputs'!$H$230="Annual"),1,(1+'Operating Inputs'!$H$229)^(1/12))))</f>
        <v>1.0024662697723037</v>
      </c>
      <c r="AI175" s="684">
        <f>IF(AI6=AH6,1,IF(AND(MOD(AI5,12)=0,'Operating Inputs'!$H$230="Annual"),(1+'Operating Inputs'!$H$229),IF(AND(MOD(AI5,12)&lt;&gt;0,'Operating Inputs'!$H$230="Annual"),1,(1+'Operating Inputs'!$H$229)^(1/12))))</f>
        <v>1.0024662697723037</v>
      </c>
      <c r="AJ175" s="684">
        <f>IF(AJ6=AI6,1,IF(AND(MOD(AJ5,12)=0,'Operating Inputs'!$H$230="Annual"),(1+'Operating Inputs'!$H$229),IF(AND(MOD(AJ5,12)&lt;&gt;0,'Operating Inputs'!$H$230="Annual"),1,(1+'Operating Inputs'!$H$229)^(1/12))))</f>
        <v>1.0024662697723037</v>
      </c>
      <c r="AK175" s="684">
        <f>IF(AK6=AJ6,1,IF(AND(MOD(AK5,12)=0,'Operating Inputs'!$H$230="Annual"),(1+'Operating Inputs'!$H$229),IF(AND(MOD(AK5,12)&lt;&gt;0,'Operating Inputs'!$H$230="Annual"),1,(1+'Operating Inputs'!$H$229)^(1/12))))</f>
        <v>1.0024662697723037</v>
      </c>
      <c r="AL175" s="684">
        <f>IF(AL6=AK6,1,IF(AND(MOD(AL5,12)=0,'Operating Inputs'!$H$230="Annual"),(1+'Operating Inputs'!$H$229),IF(AND(MOD(AL5,12)&lt;&gt;0,'Operating Inputs'!$H$230="Annual"),1,(1+'Operating Inputs'!$H$229)^(1/12))))</f>
        <v>1.0024662697723037</v>
      </c>
      <c r="AM175" s="684">
        <f>IF(AM6=AL6,1,IF(AND(MOD(AM5,12)=0,'Operating Inputs'!$H$230="Annual"),(1+'Operating Inputs'!$H$229),IF(AND(MOD(AM5,12)&lt;&gt;0,'Operating Inputs'!$H$230="Annual"),1,(1+'Operating Inputs'!$H$229)^(1/12))))</f>
        <v>1.0024662697723037</v>
      </c>
      <c r="AN175" s="684">
        <f>IF(AN6=AM6,1,IF(AND(MOD(AN5,12)=0,'Operating Inputs'!$H$230="Annual"),(1+'Operating Inputs'!$H$229),IF(AND(MOD(AN5,12)&lt;&gt;0,'Operating Inputs'!$H$230="Annual"),1,(1+'Operating Inputs'!$H$229)^(1/12))))</f>
        <v>1.0024662697723037</v>
      </c>
      <c r="AO175" s="684">
        <f>IF(AO6=AN6,1,IF(AND(MOD(AO5,12)=0,'Operating Inputs'!$H$230="Annual"),(1+'Operating Inputs'!$H$229),IF(AND(MOD(AO5,12)&lt;&gt;0,'Operating Inputs'!$H$230="Annual"),1,(1+'Operating Inputs'!$H$229)^(1/12))))</f>
        <v>1.0024662697723037</v>
      </c>
      <c r="AP175" s="684">
        <f>IF(AP6=AO6,1,IF(AND(MOD(AP5,12)=0,'Operating Inputs'!$H$230="Annual"),(1+'Operating Inputs'!$H$229),IF(AND(MOD(AP5,12)&lt;&gt;0,'Operating Inputs'!$H$230="Annual"),1,(1+'Operating Inputs'!$H$229)^(1/12))))</f>
        <v>1.0024662697723037</v>
      </c>
      <c r="AQ175" s="684">
        <f>IF(AQ6=AP6,1,IF(AND(MOD(AQ5,12)=0,'Operating Inputs'!$H$230="Annual"),(1+'Operating Inputs'!$H$229),IF(AND(MOD(AQ5,12)&lt;&gt;0,'Operating Inputs'!$H$230="Annual"),1,(1+'Operating Inputs'!$H$229)^(1/12))))</f>
        <v>1.0024662697723037</v>
      </c>
      <c r="AR175" s="684">
        <f>IF(AR6=AQ6,1,IF(AND(MOD(AR5,12)=0,'Operating Inputs'!$H$230="Annual"),(1+'Operating Inputs'!$H$229),IF(AND(MOD(AR5,12)&lt;&gt;0,'Operating Inputs'!$H$230="Annual"),1,(1+'Operating Inputs'!$H$229)^(1/12))))</f>
        <v>1.0024662697723037</v>
      </c>
      <c r="AS175" s="684">
        <f>IF(AS6=AR6,1,IF(AND(MOD(AS5,12)=0,'Operating Inputs'!$H$230="Annual"),(1+'Operating Inputs'!$H$229),IF(AND(MOD(AS5,12)&lt;&gt;0,'Operating Inputs'!$H$230="Annual"),1,(1+'Operating Inputs'!$H$229)^(1/12))))</f>
        <v>1.0024662697723037</v>
      </c>
      <c r="AT175" s="684">
        <f>IF(AT6=AS6,1,IF(AND(MOD(AT5,12)=0,'Operating Inputs'!$H$230="Annual"),(1+'Operating Inputs'!$H$229),IF(AND(MOD(AT5,12)&lt;&gt;0,'Operating Inputs'!$H$230="Annual"),1,(1+'Operating Inputs'!$H$229)^(1/12))))</f>
        <v>1.0024662697723037</v>
      </c>
      <c r="AU175" s="684">
        <f>IF(AU6=AT6,1,IF(AND(MOD(AU5,12)=0,'Operating Inputs'!$H$230="Annual"),(1+'Operating Inputs'!$H$229),IF(AND(MOD(AU5,12)&lt;&gt;0,'Operating Inputs'!$H$230="Annual"),1,(1+'Operating Inputs'!$H$229)^(1/12))))</f>
        <v>1.0024662697723037</v>
      </c>
      <c r="AV175" s="684">
        <f>IF(AV6=AU6,1,IF(AND(MOD(AV5,12)=0,'Operating Inputs'!$H$230="Annual"),(1+'Operating Inputs'!$H$229),IF(AND(MOD(AV5,12)&lt;&gt;0,'Operating Inputs'!$H$230="Annual"),1,(1+'Operating Inputs'!$H$229)^(1/12))))</f>
        <v>1.0024662697723037</v>
      </c>
      <c r="AW175" s="684">
        <f>IF(AW6=AV6,1,IF(AND(MOD(AW5,12)=0,'Operating Inputs'!$H$230="Annual"),(1+'Operating Inputs'!$H$229),IF(AND(MOD(AW5,12)&lt;&gt;0,'Operating Inputs'!$H$230="Annual"),1,(1+'Operating Inputs'!$H$229)^(1/12))))</f>
        <v>1.0024662697723037</v>
      </c>
      <c r="AX175" s="684">
        <f>IF(AX6=AW6,1,IF(AND(MOD(AX5,12)=0,'Operating Inputs'!$H$230="Annual"),(1+'Operating Inputs'!$H$229),IF(AND(MOD(AX5,12)&lt;&gt;0,'Operating Inputs'!$H$230="Annual"),1,(1+'Operating Inputs'!$H$229)^(1/12))))</f>
        <v>1.0024662697723037</v>
      </c>
      <c r="AY175" s="684">
        <f>IF(AY6=AX6,1,IF(AND(MOD(AY5,12)=0,'Operating Inputs'!$H$230="Annual"),(1+'Operating Inputs'!$H$229),IF(AND(MOD(AY5,12)&lt;&gt;0,'Operating Inputs'!$H$230="Annual"),1,(1+'Operating Inputs'!$H$229)^(1/12))))</f>
        <v>1.0024662697723037</v>
      </c>
      <c r="AZ175" s="684">
        <f>IF(AZ6=AY6,1,IF(AND(MOD(AZ5,12)=0,'Operating Inputs'!$H$230="Annual"),(1+'Operating Inputs'!$H$229),IF(AND(MOD(AZ5,12)&lt;&gt;0,'Operating Inputs'!$H$230="Annual"),1,(1+'Operating Inputs'!$H$229)^(1/12))))</f>
        <v>1.0024662697723037</v>
      </c>
      <c r="BA175" s="684">
        <f>IF(BA6=AZ6,1,IF(AND(MOD(BA5,12)=0,'Operating Inputs'!$H$230="Annual"),(1+'Operating Inputs'!$H$229),IF(AND(MOD(BA5,12)&lt;&gt;0,'Operating Inputs'!$H$230="Annual"),1,(1+'Operating Inputs'!$H$229)^(1/12))))</f>
        <v>1.0024662697723037</v>
      </c>
      <c r="BB175" s="684">
        <f>IF(BB6=BA6,1,IF(AND(MOD(BB5,12)=0,'Operating Inputs'!$H$230="Annual"),(1+'Operating Inputs'!$H$229),IF(AND(MOD(BB5,12)&lt;&gt;0,'Operating Inputs'!$H$230="Annual"),1,(1+'Operating Inputs'!$H$229)^(1/12))))</f>
        <v>1.0024662697723037</v>
      </c>
      <c r="BC175" s="684">
        <f>IF(BC6=BB6,1,IF(AND(MOD(BC5,12)=0,'Operating Inputs'!$H$230="Annual"),(1+'Operating Inputs'!$H$229),IF(AND(MOD(BC5,12)&lt;&gt;0,'Operating Inputs'!$H$230="Annual"),1,(1+'Operating Inputs'!$H$229)^(1/12))))</f>
        <v>1.0024662697723037</v>
      </c>
      <c r="BD175" s="684">
        <f>IF(BD6=BC6,1,IF(AND(MOD(BD5,12)=0,'Operating Inputs'!$H$230="Annual"),(1+'Operating Inputs'!$H$229),IF(AND(MOD(BD5,12)&lt;&gt;0,'Operating Inputs'!$H$230="Annual"),1,(1+'Operating Inputs'!$H$229)^(1/12))))</f>
        <v>1.0024662697723037</v>
      </c>
      <c r="BE175" s="684">
        <f>IF(BE6=BD6,1,IF(AND(MOD(BE5,12)=0,'Operating Inputs'!$H$230="Annual"),(1+'Operating Inputs'!$H$229),IF(AND(MOD(BE5,12)&lt;&gt;0,'Operating Inputs'!$H$230="Annual"),1,(1+'Operating Inputs'!$H$229)^(1/12))))</f>
        <v>1.0024662697723037</v>
      </c>
      <c r="BF175" s="684">
        <f>IF(BF6=BE6,1,IF(AND(MOD(BF5,12)=0,'Operating Inputs'!$H$230="Annual"),(1+'Operating Inputs'!$H$229),IF(AND(MOD(BF5,12)&lt;&gt;0,'Operating Inputs'!$H$230="Annual"),1,(1+'Operating Inputs'!$H$229)^(1/12))))</f>
        <v>1.0024662697723037</v>
      </c>
      <c r="BG175" s="684">
        <f>IF(BG6=BF6,1,IF(AND(MOD(BG5,12)=0,'Operating Inputs'!$H$230="Annual"),(1+'Operating Inputs'!$H$229),IF(AND(MOD(BG5,12)&lt;&gt;0,'Operating Inputs'!$H$230="Annual"),1,(1+'Operating Inputs'!$H$229)^(1/12))))</f>
        <v>1.0024662697723037</v>
      </c>
      <c r="BH175" s="684">
        <f>IF(BH6=BG6,1,IF(AND(MOD(BH5,12)=0,'Operating Inputs'!$H$230="Annual"),(1+'Operating Inputs'!$H$229),IF(AND(MOD(BH5,12)&lt;&gt;0,'Operating Inputs'!$H$230="Annual"),1,(1+'Operating Inputs'!$H$229)^(1/12))))</f>
        <v>1.0024662697723037</v>
      </c>
      <c r="BI175" s="684">
        <f>IF(BI6=BH6,1,IF(AND(MOD(BI5,12)=0,'Operating Inputs'!$H$230="Annual"),(1+'Operating Inputs'!$H$229),IF(AND(MOD(BI5,12)&lt;&gt;0,'Operating Inputs'!$H$230="Annual"),1,(1+'Operating Inputs'!$H$229)^(1/12))))</f>
        <v>1.0024662697723037</v>
      </c>
      <c r="BJ175" s="684">
        <f>IF(BJ6=BI6,1,IF(AND(MOD(BJ5,12)=0,'Operating Inputs'!$H$230="Annual"),(1+'Operating Inputs'!$H$229),IF(AND(MOD(BJ5,12)&lt;&gt;0,'Operating Inputs'!$H$230="Annual"),1,(1+'Operating Inputs'!$H$229)^(1/12))))</f>
        <v>1.0024662697723037</v>
      </c>
      <c r="BK175" s="684">
        <f>IF(BK6=BJ6,1,IF(AND(MOD(BK5,12)=0,'Operating Inputs'!$H$230="Annual"),(1+'Operating Inputs'!$H$229),IF(AND(MOD(BK5,12)&lt;&gt;0,'Operating Inputs'!$H$230="Annual"),1,(1+'Operating Inputs'!$H$229)^(1/12))))</f>
        <v>1.0024662697723037</v>
      </c>
      <c r="BL175" s="684">
        <f>IF(BL6=BK6,1,IF(AND(MOD(BL5,12)=0,'Operating Inputs'!$H$230="Annual"),(1+'Operating Inputs'!$H$229),IF(AND(MOD(BL5,12)&lt;&gt;0,'Operating Inputs'!$H$230="Annual"),1,(1+'Operating Inputs'!$H$229)^(1/12))))</f>
        <v>1.0024662697723037</v>
      </c>
      <c r="BM175" s="684">
        <f>IF(BM6=BL6,1,IF(AND(MOD(BM5,12)=0,'Operating Inputs'!$H$230="Annual"),(1+'Operating Inputs'!$H$229),IF(AND(MOD(BM5,12)&lt;&gt;0,'Operating Inputs'!$H$230="Annual"),1,(1+'Operating Inputs'!$H$229)^(1/12))))</f>
        <v>1.0024662697723037</v>
      </c>
      <c r="BN175" s="684">
        <f>IF(BN6=BM6,1,IF(AND(MOD(BN5,12)=0,'Operating Inputs'!$H$230="Annual"),(1+'Operating Inputs'!$H$229),IF(AND(MOD(BN5,12)&lt;&gt;0,'Operating Inputs'!$H$230="Annual"),1,(1+'Operating Inputs'!$H$229)^(1/12))))</f>
        <v>1.0024662697723037</v>
      </c>
      <c r="BO175" s="684">
        <f>IF(BO6=BN6,1,IF(AND(MOD(BO5,12)=0,'Operating Inputs'!$H$230="Annual"),(1+'Operating Inputs'!$H$229),IF(AND(MOD(BO5,12)&lt;&gt;0,'Operating Inputs'!$H$230="Annual"),1,(1+'Operating Inputs'!$H$229)^(1/12))))</f>
        <v>1.0024662697723037</v>
      </c>
      <c r="BP175" s="684">
        <f>IF(BP6=BO6,1,IF(AND(MOD(BP5,12)=0,'Operating Inputs'!$H$230="Annual"),(1+'Operating Inputs'!$H$229),IF(AND(MOD(BP5,12)&lt;&gt;0,'Operating Inputs'!$H$230="Annual"),1,(1+'Operating Inputs'!$H$229)^(1/12))))</f>
        <v>1.0024662697723037</v>
      </c>
      <c r="BQ175" s="684">
        <f>IF(BQ6=BP6,1,IF(AND(MOD(BQ5,12)=0,'Operating Inputs'!$H$230="Annual"),(1+'Operating Inputs'!$H$229),IF(AND(MOD(BQ5,12)&lt;&gt;0,'Operating Inputs'!$H$230="Annual"),1,(1+'Operating Inputs'!$H$229)^(1/12))))</f>
        <v>1.0024662697723037</v>
      </c>
      <c r="BR175" s="684">
        <f>IF(BR6=BQ6,1,IF(AND(MOD(BR5,12)=0,'Operating Inputs'!$H$230="Annual"),(1+'Operating Inputs'!$H$229),IF(AND(MOD(BR5,12)&lt;&gt;0,'Operating Inputs'!$H$230="Annual"),1,(1+'Operating Inputs'!$H$229)^(1/12))))</f>
        <v>1.0024662697723037</v>
      </c>
      <c r="BS175" s="684">
        <f>IF(BS6=BR6,1,IF(AND(MOD(BS5,12)=0,'Operating Inputs'!$H$230="Annual"),(1+'Operating Inputs'!$H$229),IF(AND(MOD(BS5,12)&lt;&gt;0,'Operating Inputs'!$H$230="Annual"),1,(1+'Operating Inputs'!$H$229)^(1/12))))</f>
        <v>1.0024662697723037</v>
      </c>
      <c r="BT175" s="684">
        <f>IF(BT6=BS6,1,IF(AND(MOD(BT5,12)=0,'Operating Inputs'!$H$230="Annual"),(1+'Operating Inputs'!$H$229),IF(AND(MOD(BT5,12)&lt;&gt;0,'Operating Inputs'!$H$230="Annual"),1,(1+'Operating Inputs'!$H$229)^(1/12))))</f>
        <v>1.0024662697723037</v>
      </c>
      <c r="BU175" s="684">
        <f>IF(BU6=BT6,1,IF(AND(MOD(BU5,12)=0,'Operating Inputs'!$H$230="Annual"),(1+'Operating Inputs'!$H$229),IF(AND(MOD(BU5,12)&lt;&gt;0,'Operating Inputs'!$H$230="Annual"),1,(1+'Operating Inputs'!$H$229)^(1/12))))</f>
        <v>1.0024662697723037</v>
      </c>
      <c r="BV175" s="684">
        <f>IF(BV6=BU6,1,IF(AND(MOD(BV5,12)=0,'Operating Inputs'!$H$230="Annual"),(1+'Operating Inputs'!$H$229),IF(AND(MOD(BV5,12)&lt;&gt;0,'Operating Inputs'!$H$230="Annual"),1,(1+'Operating Inputs'!$H$229)^(1/12))))</f>
        <v>1.0024662697723037</v>
      </c>
      <c r="BW175" s="684">
        <f>IF(BW6=BV6,1,IF(AND(MOD(BW5,12)=0,'Operating Inputs'!$H$230="Annual"),(1+'Operating Inputs'!$H$229),IF(AND(MOD(BW5,12)&lt;&gt;0,'Operating Inputs'!$H$230="Annual"),1,(1+'Operating Inputs'!$H$229)^(1/12))))</f>
        <v>1.0024662697723037</v>
      </c>
      <c r="BX175" s="684">
        <f>IF(BX6=BW6,1,IF(AND(MOD(BX5,12)=0,'Operating Inputs'!$H$230="Annual"),(1+'Operating Inputs'!$H$229),IF(AND(MOD(BX5,12)&lt;&gt;0,'Operating Inputs'!$H$230="Annual"),1,(1+'Operating Inputs'!$H$229)^(1/12))))</f>
        <v>1.0024662697723037</v>
      </c>
      <c r="BY175" s="684">
        <f>IF(BY6=BX6,1,IF(AND(MOD(BY5,12)=0,'Operating Inputs'!$H$230="Annual"),(1+'Operating Inputs'!$H$229),IF(AND(MOD(BY5,12)&lt;&gt;0,'Operating Inputs'!$H$230="Annual"),1,(1+'Operating Inputs'!$H$229)^(1/12))))</f>
        <v>1.0024662697723037</v>
      </c>
      <c r="BZ175" s="684">
        <f>IF(BZ6=BY6,1,IF(AND(MOD(BZ5,12)=0,'Operating Inputs'!$H$230="Annual"),(1+'Operating Inputs'!$H$229),IF(AND(MOD(BZ5,12)&lt;&gt;0,'Operating Inputs'!$H$230="Annual"),1,(1+'Operating Inputs'!$H$229)^(1/12))))</f>
        <v>1.0024662697723037</v>
      </c>
      <c r="CA175" s="684">
        <f>IF(CA6=BZ6,1,IF(AND(MOD(CA5,12)=0,'Operating Inputs'!$H$230="Annual"),(1+'Operating Inputs'!$H$229),IF(AND(MOD(CA5,12)&lt;&gt;0,'Operating Inputs'!$H$230="Annual"),1,(1+'Operating Inputs'!$H$229)^(1/12))))</f>
        <v>1.0024662697723037</v>
      </c>
      <c r="CB175" s="684">
        <f>IF(CB6=CA6,1,IF(AND(MOD(CB5,12)=0,'Operating Inputs'!$H$230="Annual"),(1+'Operating Inputs'!$H$229),IF(AND(MOD(CB5,12)&lt;&gt;0,'Operating Inputs'!$H$230="Annual"),1,(1+'Operating Inputs'!$H$229)^(1/12))))</f>
        <v>1.0024662697723037</v>
      </c>
      <c r="CC175" s="684">
        <f>IF(CC6=CB6,1,IF(AND(MOD(CC5,12)=0,'Operating Inputs'!$H$230="Annual"),(1+'Operating Inputs'!$H$229),IF(AND(MOD(CC5,12)&lt;&gt;0,'Operating Inputs'!$H$230="Annual"),1,(1+'Operating Inputs'!$H$229)^(1/12))))</f>
        <v>1.0024662697723037</v>
      </c>
      <c r="CD175" s="684">
        <f>IF(CD6=CC6,1,IF(AND(MOD(CD5,12)=0,'Operating Inputs'!$H$230="Annual"),(1+'Operating Inputs'!$H$229),IF(AND(MOD(CD5,12)&lt;&gt;0,'Operating Inputs'!$H$230="Annual"),1,(1+'Operating Inputs'!$H$229)^(1/12))))</f>
        <v>1.0024662697723037</v>
      </c>
      <c r="CE175" s="684">
        <f>IF(CE6=CD6,1,IF(AND(MOD(CE5,12)=0,'Operating Inputs'!$H$230="Annual"),(1+'Operating Inputs'!$H$229),IF(AND(MOD(CE5,12)&lt;&gt;0,'Operating Inputs'!$H$230="Annual"),1,(1+'Operating Inputs'!$H$229)^(1/12))))</f>
        <v>1.0024662697723037</v>
      </c>
      <c r="CF175" s="684">
        <f>IF(CF6=CE6,1,IF(AND(MOD(CF5,12)=0,'Operating Inputs'!$H$230="Annual"),(1+'Operating Inputs'!$H$229),IF(AND(MOD(CF5,12)&lt;&gt;0,'Operating Inputs'!$H$230="Annual"),1,(1+'Operating Inputs'!$H$229)^(1/12))))</f>
        <v>1.0024662697723037</v>
      </c>
      <c r="CG175" s="684">
        <f>IF(CG6=CF6,1,IF(AND(MOD(CG5,12)=0,'Operating Inputs'!$H$230="Annual"),(1+'Operating Inputs'!$H$229),IF(AND(MOD(CG5,12)&lt;&gt;0,'Operating Inputs'!$H$230="Annual"),1,(1+'Operating Inputs'!$H$229)^(1/12))))</f>
        <v>1.0024662697723037</v>
      </c>
      <c r="CH175" s="684">
        <f>IF(CH6=CG6,1,IF(AND(MOD(CH5,12)=0,'Operating Inputs'!$H$230="Annual"),(1+'Operating Inputs'!$H$229),IF(AND(MOD(CH5,12)&lt;&gt;0,'Operating Inputs'!$H$230="Annual"),1,(1+'Operating Inputs'!$H$229)^(1/12))))</f>
        <v>1.0024662697723037</v>
      </c>
      <c r="CI175" s="684">
        <f>IF(CI6=CH6,1,IF(AND(MOD(CI5,12)=0,'Operating Inputs'!$H$230="Annual"),(1+'Operating Inputs'!$H$229),IF(AND(MOD(CI5,12)&lt;&gt;0,'Operating Inputs'!$H$230="Annual"),1,(1+'Operating Inputs'!$H$229)^(1/12))))</f>
        <v>1.0024662697723037</v>
      </c>
      <c r="CJ175" s="684">
        <f>IF(CJ6=CI6,1,IF(AND(MOD(CJ5,12)=0,'Operating Inputs'!$H$230="Annual"),(1+'Operating Inputs'!$H$229),IF(AND(MOD(CJ5,12)&lt;&gt;0,'Operating Inputs'!$H$230="Annual"),1,(1+'Operating Inputs'!$H$229)^(1/12))))</f>
        <v>1.0024662697723037</v>
      </c>
      <c r="CK175" s="684">
        <f>IF(CK6=CJ6,1,IF(AND(MOD(CK5,12)=0,'Operating Inputs'!$H$230="Annual"),(1+'Operating Inputs'!$H$229),IF(AND(MOD(CK5,12)&lt;&gt;0,'Operating Inputs'!$H$230="Annual"),1,(1+'Operating Inputs'!$H$229)^(1/12))))</f>
        <v>1.0024662697723037</v>
      </c>
      <c r="CL175" s="684">
        <f>IF(CL6=CK6,1,IF(AND(MOD(CL5,12)=0,'Operating Inputs'!$H$230="Annual"),(1+'Operating Inputs'!$H$229),IF(AND(MOD(CL5,12)&lt;&gt;0,'Operating Inputs'!$H$230="Annual"),1,(1+'Operating Inputs'!$H$229)^(1/12))))</f>
        <v>1.0024662697723037</v>
      </c>
      <c r="CM175" s="684">
        <f>IF(CM6=CL6,1,IF(AND(MOD(CM5,12)=0,'Operating Inputs'!$H$230="Annual"),(1+'Operating Inputs'!$H$229),IF(AND(MOD(CM5,12)&lt;&gt;0,'Operating Inputs'!$H$230="Annual"),1,(1+'Operating Inputs'!$H$229)^(1/12))))</f>
        <v>1.0024662697723037</v>
      </c>
      <c r="CN175" s="684">
        <f>IF(CN6=CM6,1,IF(AND(MOD(CN5,12)=0,'Operating Inputs'!$H$230="Annual"),(1+'Operating Inputs'!$H$229),IF(AND(MOD(CN5,12)&lt;&gt;0,'Operating Inputs'!$H$230="Annual"),1,(1+'Operating Inputs'!$H$229)^(1/12))))</f>
        <v>1.0024662697723037</v>
      </c>
      <c r="CO175" s="684">
        <f>IF(CO6=CN6,1,IF(AND(MOD(CO5,12)=0,'Operating Inputs'!$H$230="Annual"),(1+'Operating Inputs'!$H$229),IF(AND(MOD(CO5,12)&lt;&gt;0,'Operating Inputs'!$H$230="Annual"),1,(1+'Operating Inputs'!$H$229)^(1/12))))</f>
        <v>1.0024662697723037</v>
      </c>
      <c r="CP175" s="684">
        <f>IF(CP6=CO6,1,IF(AND(MOD(CP5,12)=0,'Operating Inputs'!$H$230="Annual"),(1+'Operating Inputs'!$H$229),IF(AND(MOD(CP5,12)&lt;&gt;0,'Operating Inputs'!$H$230="Annual"),1,(1+'Operating Inputs'!$H$229)^(1/12))))</f>
        <v>1.0024662697723037</v>
      </c>
      <c r="CQ175" s="684">
        <f>IF(CQ6=CP6,1,IF(AND(MOD(CQ5,12)=0,'Operating Inputs'!$H$230="Annual"),(1+'Operating Inputs'!$H$229),IF(AND(MOD(CQ5,12)&lt;&gt;0,'Operating Inputs'!$H$230="Annual"),1,(1+'Operating Inputs'!$H$229)^(1/12))))</f>
        <v>1.0024662697723037</v>
      </c>
      <c r="CR175" s="684">
        <f>IF(CR6=CQ6,1,IF(AND(MOD(CR5,12)=0,'Operating Inputs'!$H$230="Annual"),(1+'Operating Inputs'!$H$229),IF(AND(MOD(CR5,12)&lt;&gt;0,'Operating Inputs'!$H$230="Annual"),1,(1+'Operating Inputs'!$H$229)^(1/12))))</f>
        <v>1.0024662697723037</v>
      </c>
      <c r="CS175" s="684">
        <f>IF(CS6=CR6,1,IF(AND(MOD(CS5,12)=0,'Operating Inputs'!$H$230="Annual"),(1+'Operating Inputs'!$H$229),IF(AND(MOD(CS5,12)&lt;&gt;0,'Operating Inputs'!$H$230="Annual"),1,(1+'Operating Inputs'!$H$229)^(1/12))))</f>
        <v>1.0024662697723037</v>
      </c>
      <c r="CT175" s="684">
        <f>IF(CT6=CS6,1,IF(AND(MOD(CT5,12)=0,'Operating Inputs'!$H$230="Annual"),(1+'Operating Inputs'!$H$229),IF(AND(MOD(CT5,12)&lt;&gt;0,'Operating Inputs'!$H$230="Annual"),1,(1+'Operating Inputs'!$H$229)^(1/12))))</f>
        <v>1.0024662697723037</v>
      </c>
      <c r="CU175" s="684">
        <f>IF(CU6=CT6,1,IF(AND(MOD(CU5,12)=0,'Operating Inputs'!$H$230="Annual"),(1+'Operating Inputs'!$H$229),IF(AND(MOD(CU5,12)&lt;&gt;0,'Operating Inputs'!$H$230="Annual"),1,(1+'Operating Inputs'!$H$229)^(1/12))))</f>
        <v>1.0024662697723037</v>
      </c>
      <c r="CV175" s="684">
        <f>IF(CV6=CU6,1,IF(AND(MOD(CV5,12)=0,'Operating Inputs'!$H$230="Annual"),(1+'Operating Inputs'!$H$229),IF(AND(MOD(CV5,12)&lt;&gt;0,'Operating Inputs'!$H$230="Annual"),1,(1+'Operating Inputs'!$H$229)^(1/12))))</f>
        <v>1.0024662697723037</v>
      </c>
      <c r="CW175" s="684">
        <f>IF(CW6=CV6,1,IF(AND(MOD(CW5,12)=0,'Operating Inputs'!$H$230="Annual"),(1+'Operating Inputs'!$H$229),IF(AND(MOD(CW5,12)&lt;&gt;0,'Operating Inputs'!$H$230="Annual"),1,(1+'Operating Inputs'!$H$229)^(1/12))))</f>
        <v>1.0024662697723037</v>
      </c>
      <c r="CX175" s="684">
        <f>IF(CX6=CW6,1,IF(AND(MOD(CX5,12)=0,'Operating Inputs'!$H$230="Annual"),(1+'Operating Inputs'!$H$229),IF(AND(MOD(CX5,12)&lt;&gt;0,'Operating Inputs'!$H$230="Annual"),1,(1+'Operating Inputs'!$H$229)^(1/12))))</f>
        <v>1.0024662697723037</v>
      </c>
      <c r="CY175" s="684">
        <f>IF(CY6=CX6,1,IF(AND(MOD(CY5,12)=0,'Operating Inputs'!$H$230="Annual"),(1+'Operating Inputs'!$H$229),IF(AND(MOD(CY5,12)&lt;&gt;0,'Operating Inputs'!$H$230="Annual"),1,(1+'Operating Inputs'!$H$229)^(1/12))))</f>
        <v>1.0024662697723037</v>
      </c>
      <c r="CZ175" s="684">
        <f>IF(CZ6=CY6,1,IF(AND(MOD(CZ5,12)=0,'Operating Inputs'!$H$230="Annual"),(1+'Operating Inputs'!$H$229),IF(AND(MOD(CZ5,12)&lt;&gt;0,'Operating Inputs'!$H$230="Annual"),1,(1+'Operating Inputs'!$H$229)^(1/12))))</f>
        <v>1.0024662697723037</v>
      </c>
      <c r="DA175" s="684">
        <f>IF(DA6=CZ6,1,IF(AND(MOD(DA5,12)=0,'Operating Inputs'!$H$230="Annual"),(1+'Operating Inputs'!$H$229),IF(AND(MOD(DA5,12)&lt;&gt;0,'Operating Inputs'!$H$230="Annual"),1,(1+'Operating Inputs'!$H$229)^(1/12))))</f>
        <v>1.0024662697723037</v>
      </c>
      <c r="DB175" s="684">
        <f>IF(DB6=DA6,1,IF(AND(MOD(DB5,12)=0,'Operating Inputs'!$H$230="Annual"),(1+'Operating Inputs'!$H$229),IF(AND(MOD(DB5,12)&lt;&gt;0,'Operating Inputs'!$H$230="Annual"),1,(1+'Operating Inputs'!$H$229)^(1/12))))</f>
        <v>1.0024662697723037</v>
      </c>
      <c r="DC175" s="684">
        <f>IF(DC6=DB6,1,IF(AND(MOD(DC5,12)=0,'Operating Inputs'!$H$230="Annual"),(1+'Operating Inputs'!$H$229),IF(AND(MOD(DC5,12)&lt;&gt;0,'Operating Inputs'!$H$230="Annual"),1,(1+'Operating Inputs'!$H$229)^(1/12))))</f>
        <v>1.0024662697723037</v>
      </c>
      <c r="DD175" s="684">
        <f>IF(DD6=DC6,1,IF(AND(MOD(DD5,12)=0,'Operating Inputs'!$H$230="Annual"),(1+'Operating Inputs'!$H$229),IF(AND(MOD(DD5,12)&lt;&gt;0,'Operating Inputs'!$H$230="Annual"),1,(1+'Operating Inputs'!$H$229)^(1/12))))</f>
        <v>1.0024662697723037</v>
      </c>
      <c r="DE175" s="684">
        <f>IF(DE6=DD6,1,IF(AND(MOD(DE5,12)=0,'Operating Inputs'!$H$230="Annual"),(1+'Operating Inputs'!$H$229),IF(AND(MOD(DE5,12)&lt;&gt;0,'Operating Inputs'!$H$230="Annual"),1,(1+'Operating Inputs'!$H$229)^(1/12))))</f>
        <v>1.0024662697723037</v>
      </c>
      <c r="DF175" s="684">
        <f>IF(DF6=DE6,1,IF(AND(MOD(DF5,12)=0,'Operating Inputs'!$H$230="Annual"),(1+'Operating Inputs'!$H$229),IF(AND(MOD(DF5,12)&lt;&gt;0,'Operating Inputs'!$H$230="Annual"),1,(1+'Operating Inputs'!$H$229)^(1/12))))</f>
        <v>1.0024662697723037</v>
      </c>
      <c r="DG175" s="684">
        <f>IF(DG6=DF6,1,IF(AND(MOD(DG5,12)=0,'Operating Inputs'!$H$230="Annual"),(1+'Operating Inputs'!$H$229),IF(AND(MOD(DG5,12)&lt;&gt;0,'Operating Inputs'!$H$230="Annual"),1,(1+'Operating Inputs'!$H$229)^(1/12))))</f>
        <v>1.0024662697723037</v>
      </c>
      <c r="DH175" s="684">
        <f>IF(DH6=DG6,1,IF(AND(MOD(DH5,12)=0,'Operating Inputs'!$H$230="Annual"),(1+'Operating Inputs'!$H$229),IF(AND(MOD(DH5,12)&lt;&gt;0,'Operating Inputs'!$H$230="Annual"),1,(1+'Operating Inputs'!$H$229)^(1/12))))</f>
        <v>1.0024662697723037</v>
      </c>
      <c r="DI175" s="684">
        <f>IF(DI6=DH6,1,IF(AND(MOD(DI5,12)=0,'Operating Inputs'!$H$230="Annual"),(1+'Operating Inputs'!$H$229),IF(AND(MOD(DI5,12)&lt;&gt;0,'Operating Inputs'!$H$230="Annual"),1,(1+'Operating Inputs'!$H$229)^(1/12))))</f>
        <v>1.0024662697723037</v>
      </c>
      <c r="DJ175" s="684">
        <f>IF(DJ6=DI6,1,IF(AND(MOD(DJ5,12)=0,'Operating Inputs'!$H$230="Annual"),(1+'Operating Inputs'!$H$229),IF(AND(MOD(DJ5,12)&lt;&gt;0,'Operating Inputs'!$H$230="Annual"),1,(1+'Operating Inputs'!$H$229)^(1/12))))</f>
        <v>1.0024662697723037</v>
      </c>
      <c r="DK175" s="684">
        <f>IF(DK6=DJ6,1,IF(AND(MOD(DK5,12)=0,'Operating Inputs'!$H$230="Annual"),(1+'Operating Inputs'!$H$229),IF(AND(MOD(DK5,12)&lt;&gt;0,'Operating Inputs'!$H$230="Annual"),1,(1+'Operating Inputs'!$H$229)^(1/12))))</f>
        <v>1.0024662697723037</v>
      </c>
      <c r="DL175" s="684">
        <f>IF(DL6=DK6,1,IF(AND(MOD(DL5,12)=0,'Operating Inputs'!$H$230="Annual"),(1+'Operating Inputs'!$H$229),IF(AND(MOD(DL5,12)&lt;&gt;0,'Operating Inputs'!$H$230="Annual"),1,(1+'Operating Inputs'!$H$229)^(1/12))))</f>
        <v>1.0024662697723037</v>
      </c>
      <c r="DM175" s="684">
        <f>IF(DM6=DL6,1,IF(AND(MOD(DM5,12)=0,'Operating Inputs'!$H$230="Annual"),(1+'Operating Inputs'!$H$229),IF(AND(MOD(DM5,12)&lt;&gt;0,'Operating Inputs'!$H$230="Annual"),1,(1+'Operating Inputs'!$H$229)^(1/12))))</f>
        <v>1.0024662697723037</v>
      </c>
      <c r="DN175" s="684">
        <f>IF(DN6=DM6,1,IF(AND(MOD(DN5,12)=0,'Operating Inputs'!$H$230="Annual"),(1+'Operating Inputs'!$H$229),IF(AND(MOD(DN5,12)&lt;&gt;0,'Operating Inputs'!$H$230="Annual"),1,(1+'Operating Inputs'!$H$229)^(1/12))))</f>
        <v>1.0024662697723037</v>
      </c>
      <c r="DO175" s="684">
        <f>IF(DO6=DN6,1,IF(AND(MOD(DO5,12)=0,'Operating Inputs'!$H$230="Annual"),(1+'Operating Inputs'!$H$229),IF(AND(MOD(DO5,12)&lt;&gt;0,'Operating Inputs'!$H$230="Annual"),1,(1+'Operating Inputs'!$H$229)^(1/12))))</f>
        <v>1.0024662697723037</v>
      </c>
      <c r="DP175" s="684">
        <f>IF(DP6=DO6,1,IF(AND(MOD(DP5,12)=0,'Operating Inputs'!$H$230="Annual"),(1+'Operating Inputs'!$H$229),IF(AND(MOD(DP5,12)&lt;&gt;0,'Operating Inputs'!$H$230="Annual"),1,(1+'Operating Inputs'!$H$229)^(1/12))))</f>
        <v>1.0024662697723037</v>
      </c>
      <c r="DQ175" s="684">
        <f>IF(DQ6=DP6,1,IF(AND(MOD(DQ5,12)=0,'Operating Inputs'!$H$230="Annual"),(1+'Operating Inputs'!$H$229),IF(AND(MOD(DQ5,12)&lt;&gt;0,'Operating Inputs'!$H$230="Annual"),1,(1+'Operating Inputs'!$H$229)^(1/12))))</f>
        <v>1.0024662697723037</v>
      </c>
      <c r="DR175" s="684">
        <f>IF(DR6=DQ6,1,IF(AND(MOD(DR5,12)=0,'Operating Inputs'!$H$230="Annual"),(1+'Operating Inputs'!$H$229),IF(AND(MOD(DR5,12)&lt;&gt;0,'Operating Inputs'!$H$230="Annual"),1,(1+'Operating Inputs'!$H$229)^(1/12))))</f>
        <v>1.0024662697723037</v>
      </c>
      <c r="DS175" s="684">
        <f>IF(DS6=DR6,1,IF(AND(MOD(DS5,12)=0,'Operating Inputs'!$H$230="Annual"),(1+'Operating Inputs'!$H$229),IF(AND(MOD(DS5,12)&lt;&gt;0,'Operating Inputs'!$H$230="Annual"),1,(1+'Operating Inputs'!$H$229)^(1/12))))</f>
        <v>1.0024662697723037</v>
      </c>
      <c r="DT175" s="684">
        <f>IF(DT6=DS6,1,IF(AND(MOD(DT5,12)=0,'Operating Inputs'!$H$230="Annual"),(1+'Operating Inputs'!$H$229),IF(AND(MOD(DT5,12)&lt;&gt;0,'Operating Inputs'!$H$230="Annual"),1,(1+'Operating Inputs'!$H$229)^(1/12))))</f>
        <v>1.0024662697723037</v>
      </c>
      <c r="DU175" s="684">
        <f>IF(DU6=DT6,1,IF(AND(MOD(DU5,12)=0,'Operating Inputs'!$H$230="Annual"),(1+'Operating Inputs'!$H$229),IF(AND(MOD(DU5,12)&lt;&gt;0,'Operating Inputs'!$H$230="Annual"),1,(1+'Operating Inputs'!$H$229)^(1/12))))</f>
        <v>1.0024662697723037</v>
      </c>
      <c r="DV175" s="684">
        <f>IF(DV6=DU6,1,IF(AND(MOD(DV5,12)=0,'Operating Inputs'!$H$230="Annual"),(1+'Operating Inputs'!$H$229),IF(AND(MOD(DV5,12)&lt;&gt;0,'Operating Inputs'!$H$230="Annual"),1,(1+'Operating Inputs'!$H$229)^(1/12))))</f>
        <v>1.0024662697723037</v>
      </c>
      <c r="DW175" s="684">
        <f>IF(DW6=DV6,1,IF(AND(MOD(DW5,12)=0,'Operating Inputs'!$H$230="Annual"),(1+'Operating Inputs'!$H$229),IF(AND(MOD(DW5,12)&lt;&gt;0,'Operating Inputs'!$H$230="Annual"),1,(1+'Operating Inputs'!$H$229)^(1/12))))</f>
        <v>1.0024662697723037</v>
      </c>
      <c r="DX175" s="684">
        <f>IF(DX6=DW6,1,IF(AND(MOD(DX5,12)=0,'Operating Inputs'!$H$230="Annual"),(1+'Operating Inputs'!$H$229),IF(AND(MOD(DX5,12)&lt;&gt;0,'Operating Inputs'!$H$230="Annual"),1,(1+'Operating Inputs'!$H$229)^(1/12))))</f>
        <v>1.0024662697723037</v>
      </c>
      <c r="DY175" s="684">
        <f>IF(DY6=DX6,1,IF(AND(MOD(DY5,12)=0,'Operating Inputs'!$H$230="Annual"),(1+'Operating Inputs'!$H$229),IF(AND(MOD(DY5,12)&lt;&gt;0,'Operating Inputs'!$H$230="Annual"),1,(1+'Operating Inputs'!$H$229)^(1/12))))</f>
        <v>1.0024662697723037</v>
      </c>
      <c r="DZ175" s="684">
        <f>IF(DZ6=DY6,1,IF(AND(MOD(DZ5,12)=0,'Operating Inputs'!$H$230="Annual"),(1+'Operating Inputs'!$H$229),IF(AND(MOD(DZ5,12)&lt;&gt;0,'Operating Inputs'!$H$230="Annual"),1,(1+'Operating Inputs'!$H$229)^(1/12))))</f>
        <v>1.0024662697723037</v>
      </c>
      <c r="EA175" s="684">
        <f>IF(EA6=DZ6,1,IF(AND(MOD(EA5,12)=0,'Operating Inputs'!$H$230="Annual"),(1+'Operating Inputs'!$H$229),IF(AND(MOD(EA5,12)&lt;&gt;0,'Operating Inputs'!$H$230="Annual"),1,(1+'Operating Inputs'!$H$229)^(1/12))))</f>
        <v>1.0024662697723037</v>
      </c>
      <c r="EB175" s="684">
        <f>IF(EB6=EA6,1,IF(AND(MOD(EB5,12)=0,'Operating Inputs'!$H$230="Annual"),(1+'Operating Inputs'!$H$229),IF(AND(MOD(EB5,12)&lt;&gt;0,'Operating Inputs'!$H$230="Annual"),1,(1+'Operating Inputs'!$H$229)^(1/12))))</f>
        <v>1.0024662697723037</v>
      </c>
      <c r="EC175" s="684">
        <f>IF(EC6=EB6,1,IF(AND(MOD(EC5,12)=0,'Operating Inputs'!$H$230="Annual"),(1+'Operating Inputs'!$H$229),IF(AND(MOD(EC5,12)&lt;&gt;0,'Operating Inputs'!$H$230="Annual"),1,(1+'Operating Inputs'!$H$229)^(1/12))))</f>
        <v>1.0024662697723037</v>
      </c>
      <c r="ED175" s="684">
        <f>IF(ED6=EC6,1,IF(AND(MOD(ED5,12)=0,'Operating Inputs'!$H$230="Annual"),(1+'Operating Inputs'!$H$229),IF(AND(MOD(ED5,12)&lt;&gt;0,'Operating Inputs'!$H$230="Annual"),1,(1+'Operating Inputs'!$H$229)^(1/12))))</f>
        <v>1.0024662697723037</v>
      </c>
      <c r="EE175" s="684">
        <f>IF(EE6=ED6,1,IF(AND(MOD(EE5,12)=0,'Operating Inputs'!$H$230="Annual"),(1+'Operating Inputs'!$H$229),IF(AND(MOD(EE5,12)&lt;&gt;0,'Operating Inputs'!$H$230="Annual"),1,(1+'Operating Inputs'!$H$229)^(1/12))))</f>
        <v>1.0024662697723037</v>
      </c>
      <c r="EF175" s="684">
        <f>IF(EF6=EE6,1,IF(AND(MOD(EF5,12)=0,'Operating Inputs'!$H$230="Annual"),(1+'Operating Inputs'!$H$229),IF(AND(MOD(EF5,12)&lt;&gt;0,'Operating Inputs'!$H$230="Annual"),1,(1+'Operating Inputs'!$H$229)^(1/12))))</f>
        <v>1.0024662697723037</v>
      </c>
      <c r="EG175" s="684">
        <f>IF(EG6=EF6,1,IF(AND(MOD(EG5,12)=0,'Operating Inputs'!$H$230="Annual"),(1+'Operating Inputs'!$H$229),IF(AND(MOD(EG5,12)&lt;&gt;0,'Operating Inputs'!$H$230="Annual"),1,(1+'Operating Inputs'!$H$229)^(1/12))))</f>
        <v>1.0024662697723037</v>
      </c>
      <c r="EH175" s="684">
        <f>IF(EH6=EG6,1,IF(AND(MOD(EH5,12)=0,'Operating Inputs'!$H$230="Annual"),(1+'Operating Inputs'!$H$229),IF(AND(MOD(EH5,12)&lt;&gt;0,'Operating Inputs'!$H$230="Annual"),1,(1+'Operating Inputs'!$H$229)^(1/12))))</f>
        <v>1.0024662697723037</v>
      </c>
      <c r="EK175" s="280"/>
    </row>
    <row r="176" spans="1:141" ht="15" hidden="1" thickTop="1" x14ac:dyDescent="0.3">
      <c r="A176" s="684" t="s">
        <v>2456</v>
      </c>
      <c r="B176" s="200"/>
      <c r="C176" s="200"/>
      <c r="D176" s="200"/>
      <c r="E176" s="230"/>
      <c r="F176" s="230">
        <f>IF('Operating Inputs'!$H$227="No",'Operating Inputs'!$C$129,OtherNonControllable)</f>
        <v>265.63573348635293</v>
      </c>
      <c r="G176" s="230">
        <f>IF('Operating Inputs'!$H$228="Yes",OperBgt!F176*OperBgt!G175,G$135*F176)</f>
        <v>266.29086286629405</v>
      </c>
      <c r="H176" s="230">
        <f>IF('Operating Inputs'!$H$228="Yes",OperBgt!G176*OperBgt!H175,H$135*G176)</f>
        <v>266.94760797202184</v>
      </c>
      <c r="I176" s="230">
        <f>IF('Operating Inputs'!$H$228="Yes",OperBgt!H176*OperBgt!I175,I$135*H176)</f>
        <v>267.60597278835201</v>
      </c>
      <c r="J176" s="230">
        <f>IF('Operating Inputs'!$H$228="Yes",OperBgt!I176*OperBgt!J175,J$135*I176)</f>
        <v>268.26596130992783</v>
      </c>
      <c r="K176" s="230">
        <f>IF('Operating Inputs'!$H$228="Yes",OperBgt!J176*OperBgt!K175,K$135*J176)</f>
        <v>268.92757754124449</v>
      </c>
      <c r="L176" s="230">
        <f>IF('Operating Inputs'!$H$228="Yes",OperBgt!K176*OperBgt!L175,L$135*K176)</f>
        <v>269.59082549667329</v>
      </c>
      <c r="M176" s="230">
        <f>IF('Operating Inputs'!$H$228="Yes",OperBgt!L176*OperBgt!M175,M$135*L176)</f>
        <v>270.25570920048614</v>
      </c>
      <c r="N176" s="230">
        <f>IF('Operating Inputs'!$H$228="Yes",OperBgt!M176*OperBgt!N175,N$135*M176)</f>
        <v>270.92223268687979</v>
      </c>
      <c r="O176" s="230">
        <f>IF('Operating Inputs'!$H$228="Yes",OperBgt!N176*OperBgt!O175,O$135*N176)</f>
        <v>271.5904000000005</v>
      </c>
      <c r="P176" s="230">
        <f>IF('Operating Inputs'!$H$228="Yes",OperBgt!O176*OperBgt!P175,P$135*O176)</f>
        <v>272.26021519396835</v>
      </c>
      <c r="Q176" s="230">
        <f>IF('Operating Inputs'!$H$228="Yes",OperBgt!P176*OperBgt!Q175,Q$135*P176)</f>
        <v>272.93168233290214</v>
      </c>
      <c r="R176" s="230">
        <f>IF('Operating Inputs'!$H$228="Yes",OperBgt!Q176*OperBgt!R175,R$135*Q176)</f>
        <v>273.60480549094376</v>
      </c>
      <c r="S176" s="230">
        <f>IF('Operating Inputs'!$H$228="Yes",OperBgt!R176*OperBgt!S175,S$135*R176)</f>
        <v>274.27958875228313</v>
      </c>
      <c r="T176" s="230">
        <f>IF('Operating Inputs'!$H$228="Yes",OperBgt!S176*OperBgt!T175,T$135*S176)</f>
        <v>274.95603621118278</v>
      </c>
      <c r="U176" s="230">
        <f>IF('Operating Inputs'!$H$228="Yes",OperBgt!T176*OperBgt!U175,U$135*T176)</f>
        <v>275.63415197200288</v>
      </c>
      <c r="V176" s="230">
        <f>IF('Operating Inputs'!$H$228="Yes",OperBgt!U176*OperBgt!V175,V$135*U176)</f>
        <v>276.31394014922597</v>
      </c>
      <c r="W176" s="230">
        <f>IF('Operating Inputs'!$H$228="Yes",OperBgt!V176*OperBgt!W175,W$135*V176)</f>
        <v>276.99540486748214</v>
      </c>
      <c r="X176" s="230">
        <f>IF('Operating Inputs'!$H$228="Yes",OperBgt!W176*OperBgt!X175,X$135*W176)</f>
        <v>277.67855026157383</v>
      </c>
      <c r="Y176" s="230">
        <f>IF('Operating Inputs'!$H$228="Yes",OperBgt!X176*OperBgt!Y175,Y$135*X176)</f>
        <v>278.36338047650105</v>
      </c>
      <c r="Z176" s="230">
        <f>IF('Operating Inputs'!$H$228="Yes",OperBgt!Y176*OperBgt!Z175,Z$135*Y176)</f>
        <v>279.0498996674865</v>
      </c>
      <c r="AA176" s="230">
        <f>IF('Operating Inputs'!$H$228="Yes",OperBgt!Z176*OperBgt!AA175,AA$135*Z176)</f>
        <v>279.7381120000008</v>
      </c>
      <c r="AB176" s="230">
        <f>IF('Operating Inputs'!$H$228="Yes",OperBgt!AA176*OperBgt!AB175,AB$135*AA176)</f>
        <v>280.42802164978769</v>
      </c>
      <c r="AC176" s="230">
        <f>IF('Operating Inputs'!$H$228="Yes",OperBgt!AB176*OperBgt!AC175,AC$135*AB176)</f>
        <v>281.1196328028895</v>
      </c>
      <c r="AD176" s="230">
        <f>IF('Operating Inputs'!$H$228="Yes",OperBgt!AC176*OperBgt!AD175,AD$135*AC176)</f>
        <v>281.81294965567236</v>
      </c>
      <c r="AE176" s="230">
        <f>IF('Operating Inputs'!$H$228="Yes",OperBgt!AD176*OperBgt!AE175,AE$135*AD176)</f>
        <v>282.5079764148519</v>
      </c>
      <c r="AF176" s="230">
        <f>IF('Operating Inputs'!$H$228="Yes",OperBgt!AE176*OperBgt!AF175,AF$135*AE176)</f>
        <v>283.20471729751853</v>
      </c>
      <c r="AG176" s="230">
        <f>IF('Operating Inputs'!$H$228="Yes",OperBgt!AF176*OperBgt!AG175,AG$135*AF176)</f>
        <v>283.90317653116318</v>
      </c>
      <c r="AH176" s="230">
        <f>IF('Operating Inputs'!$H$228="Yes",OperBgt!AG176*OperBgt!AH175,AH$135*AG176)</f>
        <v>284.60335835370302</v>
      </c>
      <c r="AI176" s="230">
        <f>IF('Operating Inputs'!$H$228="Yes",OperBgt!AH176*OperBgt!AI175,AI$135*AH176)</f>
        <v>285.30526701350686</v>
      </c>
      <c r="AJ176" s="230">
        <f>IF('Operating Inputs'!$H$228="Yes",OperBgt!AI176*OperBgt!AJ175,AJ$135*AI176)</f>
        <v>286.00890676942129</v>
      </c>
      <c r="AK176" s="230">
        <f>IF('Operating Inputs'!$H$228="Yes",OperBgt!AJ176*OperBgt!AK175,AK$135*AJ176)</f>
        <v>286.71428189079631</v>
      </c>
      <c r="AL176" s="230">
        <f>IF('Operating Inputs'!$H$228="Yes",OperBgt!AK176*OperBgt!AL175,AL$135*AK176)</f>
        <v>287.42139665751137</v>
      </c>
      <c r="AM176" s="230">
        <f>IF('Operating Inputs'!$H$228="Yes",OperBgt!AL176*OperBgt!AM175,AM$135*AL176)</f>
        <v>288.13025536000112</v>
      </c>
      <c r="AN176" s="230">
        <f>IF('Operating Inputs'!$H$228="Yes",OperBgt!AM176*OperBgt!AN175,AN$135*AM176)</f>
        <v>288.84086229928164</v>
      </c>
      <c r="AO176" s="230">
        <f>IF('Operating Inputs'!$H$228="Yes",OperBgt!AN176*OperBgt!AO175,AO$135*AN176)</f>
        <v>289.55322178697651</v>
      </c>
      <c r="AP176" s="230">
        <f>IF('Operating Inputs'!$H$228="Yes",OperBgt!AO176*OperBgt!AP175,AP$135*AO176)</f>
        <v>290.26733814534288</v>
      </c>
      <c r="AQ176" s="230">
        <f>IF('Operating Inputs'!$H$228="Yes",OperBgt!AP176*OperBgt!AQ175,AQ$135*AP176)</f>
        <v>290.9832157072978</v>
      </c>
      <c r="AR176" s="230">
        <f>IF('Operating Inputs'!$H$228="Yes",OperBgt!AQ176*OperBgt!AR175,AR$135*AQ176)</f>
        <v>291.70085881644445</v>
      </c>
      <c r="AS176" s="230">
        <f>IF('Operating Inputs'!$H$228="Yes",OperBgt!AR176*OperBgt!AS175,AS$135*AR176)</f>
        <v>292.42027182709847</v>
      </c>
      <c r="AT176" s="230">
        <f>IF('Operating Inputs'!$H$228="Yes",OperBgt!AS176*OperBgt!AT175,AT$135*AS176)</f>
        <v>293.14145910431449</v>
      </c>
      <c r="AU176" s="230">
        <f>IF('Operating Inputs'!$H$228="Yes",OperBgt!AT176*OperBgt!AU175,AU$135*AT176)</f>
        <v>293.86442502391247</v>
      </c>
      <c r="AV176" s="230">
        <f>IF('Operating Inputs'!$H$228="Yes",OperBgt!AU176*OperBgt!AV175,AV$135*AU176)</f>
        <v>294.58917397250434</v>
      </c>
      <c r="AW176" s="230">
        <f>IF('Operating Inputs'!$H$228="Yes",OperBgt!AV176*OperBgt!AW175,AW$135*AV176)</f>
        <v>295.31571034752062</v>
      </c>
      <c r="AX176" s="230">
        <f>IF('Operating Inputs'!$H$228="Yes",OperBgt!AW176*OperBgt!AX175,AX$135*AW176)</f>
        <v>296.04403855723712</v>
      </c>
      <c r="AY176" s="230">
        <f>IF('Operating Inputs'!$H$228="Yes",OperBgt!AX176*OperBgt!AY175,AY$135*AX176)</f>
        <v>296.77416302080155</v>
      </c>
      <c r="AZ176" s="230">
        <f>IF('Operating Inputs'!$H$228="Yes",OperBgt!AY176*OperBgt!AZ175,AZ$135*AY176)</f>
        <v>297.50608816826048</v>
      </c>
      <c r="BA176" s="230">
        <f>IF('Operating Inputs'!$H$228="Yes",OperBgt!AZ176*OperBgt!BA175,BA$135*AZ176)</f>
        <v>298.23981844058619</v>
      </c>
      <c r="BB176" s="230">
        <f>IF('Operating Inputs'!$H$228="Yes",OperBgt!BA176*OperBgt!BB175,BB$135*BA176)</f>
        <v>298.97535828970354</v>
      </c>
      <c r="BC176" s="230">
        <f>IF('Operating Inputs'!$H$228="Yes",OperBgt!BB176*OperBgt!BC175,BC$135*BB176)</f>
        <v>299.71271217851711</v>
      </c>
      <c r="BD176" s="230">
        <f>IF('Operating Inputs'!$H$228="Yes",OperBgt!BC176*OperBgt!BD175,BD$135*BC176)</f>
        <v>300.45188458093816</v>
      </c>
      <c r="BE176" s="230">
        <f>IF('Operating Inputs'!$H$228="Yes",OperBgt!BD176*OperBgt!BE175,BE$135*BD176)</f>
        <v>301.1928799819118</v>
      </c>
      <c r="BF176" s="230">
        <f>IF('Operating Inputs'!$H$228="Yes",OperBgt!BE176*OperBgt!BF175,BF$135*BE176)</f>
        <v>301.93570287744427</v>
      </c>
      <c r="BG176" s="230">
        <f>IF('Operating Inputs'!$H$228="Yes",OperBgt!BF176*OperBgt!BG175,BG$135*BF176)</f>
        <v>302.68035777463018</v>
      </c>
      <c r="BH176" s="230">
        <f>IF('Operating Inputs'!$H$228="Yes",OperBgt!BG176*OperBgt!BH175,BH$135*BG176)</f>
        <v>303.42684919167982</v>
      </c>
      <c r="BI176" s="230">
        <f>IF('Operating Inputs'!$H$228="Yes",OperBgt!BH176*OperBgt!BI175,BI$135*BH176)</f>
        <v>304.17518165794661</v>
      </c>
      <c r="BJ176" s="230">
        <f>IF('Operating Inputs'!$H$228="Yes",OperBgt!BI176*OperBgt!BJ175,BJ$135*BI176)</f>
        <v>304.92535971395461</v>
      </c>
      <c r="BK176" s="230">
        <f>IF('Operating Inputs'!$H$228="Yes",OperBgt!BJ176*OperBgt!BK175,BK$135*BJ176)</f>
        <v>305.67738791142597</v>
      </c>
      <c r="BL176" s="230">
        <f>IF('Operating Inputs'!$H$228="Yes",OperBgt!BK176*OperBgt!BL175,BL$135*BK176)</f>
        <v>306.43127081330869</v>
      </c>
      <c r="BM176" s="230">
        <f>IF('Operating Inputs'!$H$228="Yes",OperBgt!BL176*OperBgt!BM175,BM$135*BL176)</f>
        <v>307.18701299380416</v>
      </c>
      <c r="BN176" s="230">
        <f>IF('Operating Inputs'!$H$228="Yes",OperBgt!BM176*OperBgt!BN175,BN$135*BM176)</f>
        <v>307.94461903839505</v>
      </c>
      <c r="BO176" s="230">
        <f>IF('Operating Inputs'!$H$228="Yes",OperBgt!BN176*OperBgt!BO175,BO$135*BN176)</f>
        <v>308.704093543873</v>
      </c>
      <c r="BP176" s="230">
        <f>IF('Operating Inputs'!$H$228="Yes",OperBgt!BO176*OperBgt!BP175,BP$135*BO176)</f>
        <v>309.46544111836664</v>
      </c>
      <c r="BQ176" s="230">
        <f>IF('Operating Inputs'!$H$228="Yes",OperBgt!BP176*OperBgt!BQ175,BQ$135*BP176)</f>
        <v>310.22866638136952</v>
      </c>
      <c r="BR176" s="230">
        <f>IF('Operating Inputs'!$H$228="Yes",OperBgt!BQ176*OperBgt!BR175,BR$135*BQ176)</f>
        <v>310.99377396376798</v>
      </c>
      <c r="BS176" s="230">
        <f>IF('Operating Inputs'!$H$228="Yes",OperBgt!BR176*OperBgt!BS175,BS$135*BR176)</f>
        <v>311.76076850786944</v>
      </c>
      <c r="BT176" s="230">
        <f>IF('Operating Inputs'!$H$228="Yes",OperBgt!BS176*OperBgt!BT175,BT$135*BS176)</f>
        <v>312.52965466743058</v>
      </c>
      <c r="BU176" s="230">
        <f>IF('Operating Inputs'!$H$228="Yes",OperBgt!BT176*OperBgt!BU175,BU$135*BT176)</f>
        <v>313.30043710768535</v>
      </c>
      <c r="BV176" s="230">
        <f>IF('Operating Inputs'!$H$228="Yes",OperBgt!BU176*OperBgt!BV175,BV$135*BU176)</f>
        <v>314.07312050537359</v>
      </c>
      <c r="BW176" s="230">
        <f>IF('Operating Inputs'!$H$228="Yes",OperBgt!BV176*OperBgt!BW175,BW$135*BV176)</f>
        <v>314.8477095487691</v>
      </c>
      <c r="BX176" s="230">
        <f>IF('Operating Inputs'!$H$228="Yes",OperBgt!BW176*OperBgt!BX175,BX$135*BW176)</f>
        <v>315.62420893770826</v>
      </c>
      <c r="BY176" s="230">
        <f>IF('Operating Inputs'!$H$228="Yes",OperBgt!BX176*OperBgt!BY175,BY$135*BX176)</f>
        <v>316.40262338361862</v>
      </c>
      <c r="BZ176" s="230">
        <f>IF('Operating Inputs'!$H$228="Yes",OperBgt!BY176*OperBgt!BZ175,BZ$135*BY176)</f>
        <v>317.1829576095472</v>
      </c>
      <c r="CA176" s="230">
        <f>IF('Operating Inputs'!$H$228="Yes",OperBgt!BZ176*OperBgt!CA175,CA$135*BZ176)</f>
        <v>317.96521635018951</v>
      </c>
      <c r="CB176" s="230">
        <f>IF('Operating Inputs'!$H$228="Yes",OperBgt!CA176*OperBgt!CB175,CB$135*CA176)</f>
        <v>318.74940435191797</v>
      </c>
      <c r="CC176" s="230">
        <f>IF('Operating Inputs'!$H$228="Yes",OperBgt!CB176*OperBgt!CC175,CC$135*CB176)</f>
        <v>319.53552637281092</v>
      </c>
      <c r="CD176" s="230">
        <f>IF('Operating Inputs'!$H$228="Yes",OperBgt!CC176*OperBgt!CD175,CD$135*CC176)</f>
        <v>320.32358718268131</v>
      </c>
      <c r="CE176" s="230">
        <f>IF('Operating Inputs'!$H$228="Yes",OperBgt!CD176*OperBgt!CE175,CE$135*CD176)</f>
        <v>321.11359156310584</v>
      </c>
      <c r="CF176" s="230">
        <f>IF('Operating Inputs'!$H$228="Yes",OperBgt!CE176*OperBgt!CF175,CF$135*CE176)</f>
        <v>321.90554430745379</v>
      </c>
      <c r="CG176" s="230">
        <f>IF('Operating Inputs'!$H$228="Yes",OperBgt!CF176*OperBgt!CG175,CG$135*CF176)</f>
        <v>322.69945022091622</v>
      </c>
      <c r="CH176" s="230">
        <f>IF('Operating Inputs'!$H$228="Yes",OperBgt!CG176*OperBgt!CH175,CH$135*CG176)</f>
        <v>323.49531412053506</v>
      </c>
      <c r="CI176" s="230">
        <f>IF('Operating Inputs'!$H$228="Yes",OperBgt!CH176*OperBgt!CI175,CI$135*CH176)</f>
        <v>324.29314083523241</v>
      </c>
      <c r="CJ176" s="230">
        <f>IF('Operating Inputs'!$H$228="Yes",OperBgt!CI176*OperBgt!CJ175,CJ$135*CI176)</f>
        <v>325.09293520583975</v>
      </c>
      <c r="CK176" s="230">
        <f>IF('Operating Inputs'!$H$228="Yes",OperBgt!CJ176*OperBgt!CK175,CK$135*CJ176)</f>
        <v>325.89470208512739</v>
      </c>
      <c r="CL176" s="230">
        <f>IF('Operating Inputs'!$H$228="Yes",OperBgt!CK176*OperBgt!CL175,CL$135*CK176)</f>
        <v>326.69844633783384</v>
      </c>
      <c r="CM176" s="230">
        <f>IF('Operating Inputs'!$H$228="Yes",OperBgt!CL176*OperBgt!CM175,CM$135*CL176)</f>
        <v>327.50417284069545</v>
      </c>
      <c r="CN176" s="230">
        <f>IF('Operating Inputs'!$H$228="Yes",OperBgt!CM176*OperBgt!CN175,CN$135*CM176)</f>
        <v>328.31188648247576</v>
      </c>
      <c r="CO176" s="230">
        <f>IF('Operating Inputs'!$H$228="Yes",OperBgt!CN176*OperBgt!CO175,CO$135*CN176)</f>
        <v>329.1215921639955</v>
      </c>
      <c r="CP176" s="230">
        <f>IF('Operating Inputs'!$H$228="Yes",OperBgt!CO176*OperBgt!CP175,CP$135*CO176)</f>
        <v>329.93329479816202</v>
      </c>
      <c r="CQ176" s="230">
        <f>IF('Operating Inputs'!$H$228="Yes",OperBgt!CP176*OperBgt!CQ175,CQ$135*CP176)</f>
        <v>330.7469993099993</v>
      </c>
      <c r="CR176" s="230">
        <f>IF('Operating Inputs'!$H$228="Yes",OperBgt!CQ176*OperBgt!CR175,CR$135*CQ176)</f>
        <v>331.56271063667771</v>
      </c>
      <c r="CS176" s="230">
        <f>IF('Operating Inputs'!$H$228="Yes",OperBgt!CR176*OperBgt!CS175,CS$135*CR176)</f>
        <v>332.38043372754402</v>
      </c>
      <c r="CT176" s="230">
        <f>IF('Operating Inputs'!$H$228="Yes",OperBgt!CS176*OperBgt!CT175,CT$135*CS176)</f>
        <v>333.20017354415143</v>
      </c>
      <c r="CU176" s="230">
        <f>IF('Operating Inputs'!$H$228="Yes",OperBgt!CT176*OperBgt!CU175,CU$135*CT176)</f>
        <v>334.02193506028971</v>
      </c>
      <c r="CV176" s="230">
        <f>IF('Operating Inputs'!$H$228="Yes",OperBgt!CU176*OperBgt!CV175,CV$135*CU176)</f>
        <v>334.84572326201527</v>
      </c>
      <c r="CW176" s="230">
        <f>IF('Operating Inputs'!$H$228="Yes",OperBgt!CV176*OperBgt!CW175,CW$135*CV176)</f>
        <v>335.67154314768152</v>
      </c>
      <c r="CX176" s="230">
        <f>IF('Operating Inputs'!$H$228="Yes",OperBgt!CW176*OperBgt!CX175,CX$135*CW176)</f>
        <v>336.49939972796921</v>
      </c>
      <c r="CY176" s="230">
        <f>IF('Operating Inputs'!$H$228="Yes",OperBgt!CX176*OperBgt!CY175,CY$135*CX176)</f>
        <v>337.32929802591661</v>
      </c>
      <c r="CZ176" s="230">
        <f>IF('Operating Inputs'!$H$228="Yes",OperBgt!CY176*OperBgt!CZ175,CZ$135*CY176)</f>
        <v>338.16124307695037</v>
      </c>
      <c r="DA176" s="230">
        <f>IF('Operating Inputs'!$H$228="Yes",OperBgt!CZ176*OperBgt!DA175,DA$135*CZ176)</f>
        <v>338.99523992891568</v>
      </c>
      <c r="DB176" s="230">
        <f>IF('Operating Inputs'!$H$228="Yes",OperBgt!DA176*OperBgt!DB175,DB$135*DA176)</f>
        <v>339.8312936421072</v>
      </c>
      <c r="DC176" s="230">
        <f>IF('Operating Inputs'!$H$228="Yes",OperBgt!DB176*OperBgt!DC175,DC$135*DB176)</f>
        <v>340.66940928929961</v>
      </c>
      <c r="DD176" s="230">
        <f>IF('Operating Inputs'!$H$228="Yes",OperBgt!DC176*OperBgt!DD175,DD$135*DC176)</f>
        <v>341.50959195577838</v>
      </c>
      <c r="DE176" s="230">
        <f>IF('Operating Inputs'!$H$228="Yes",OperBgt!DD176*OperBgt!DE175,DE$135*DD176)</f>
        <v>342.35184673937067</v>
      </c>
      <c r="DF176" s="230">
        <f>IF('Operating Inputs'!$H$228="Yes",OperBgt!DE176*OperBgt!DF175,DF$135*DE176)</f>
        <v>343.19617875047635</v>
      </c>
      <c r="DG176" s="230">
        <f>IF('Operating Inputs'!$H$228="Yes",OperBgt!DF176*OperBgt!DG175,DG$135*DF176)</f>
        <v>344.04259311209876</v>
      </c>
      <c r="DH176" s="230">
        <f>IF('Operating Inputs'!$H$228="Yes",OperBgt!DG176*OperBgt!DH175,DH$135*DG176)</f>
        <v>344.89109495987611</v>
      </c>
      <c r="DI176" s="230">
        <f>IF('Operating Inputs'!$H$228="Yes",OperBgt!DH176*OperBgt!DI175,DI$135*DH176)</f>
        <v>345.74168944211237</v>
      </c>
      <c r="DJ176" s="230">
        <f>IF('Operating Inputs'!$H$228="Yes",OperBgt!DI176*OperBgt!DJ175,DJ$135*DI176)</f>
        <v>346.59438171980867</v>
      </c>
      <c r="DK176" s="230">
        <f>IF('Operating Inputs'!$H$228="Yes",OperBgt!DJ176*OperBgt!DK175,DK$135*DJ176)</f>
        <v>347.44917696669449</v>
      </c>
      <c r="DL176" s="230">
        <f>IF('Operating Inputs'!$H$228="Yes",OperBgt!DK176*OperBgt!DL175,DL$135*DK176)</f>
        <v>348.30608036925923</v>
      </c>
      <c r="DM176" s="230">
        <f>IF('Operating Inputs'!$H$228="Yes",OperBgt!DL176*OperBgt!DM175,DM$135*DL176)</f>
        <v>349.16509712678351</v>
      </c>
      <c r="DN176" s="230">
        <f>IF('Operating Inputs'!$H$228="Yes",OperBgt!DM176*OperBgt!DN175,DN$135*DM176)</f>
        <v>350.02623245137079</v>
      </c>
      <c r="DO176" s="230">
        <f>IF('Operating Inputs'!$H$228="Yes",OperBgt!DN176*OperBgt!DO175,DO$135*DN176)</f>
        <v>350.88949156797895</v>
      </c>
      <c r="DP176" s="230">
        <f>IF('Operating Inputs'!$H$228="Yes",OperBgt!DO176*OperBgt!DP175,DP$135*DO176)</f>
        <v>351.75487971445204</v>
      </c>
      <c r="DQ176" s="230">
        <f>IF('Operating Inputs'!$H$228="Yes",OperBgt!DP176*OperBgt!DQ175,DQ$135*DP176)</f>
        <v>352.62240214155213</v>
      </c>
      <c r="DR176" s="230">
        <f>IF('Operating Inputs'!$H$228="Yes",OperBgt!DQ176*OperBgt!DR175,DR$135*DQ176)</f>
        <v>353.49206411299093</v>
      </c>
      <c r="DS176" s="230">
        <f>IF('Operating Inputs'!$H$228="Yes",OperBgt!DR176*OperBgt!DS175,DS$135*DR176)</f>
        <v>354.36387090546202</v>
      </c>
      <c r="DT176" s="230">
        <f>IF('Operating Inputs'!$H$228="Yes",OperBgt!DS176*OperBgt!DT175,DT$135*DS176)</f>
        <v>355.23782780867271</v>
      </c>
      <c r="DU176" s="230">
        <f>IF('Operating Inputs'!$H$228="Yes",OperBgt!DT176*OperBgt!DU175,DU$135*DT176)</f>
        <v>356.11394012537608</v>
      </c>
      <c r="DV176" s="230">
        <f>IF('Operating Inputs'!$H$228="Yes",OperBgt!DU176*OperBgt!DV175,DV$135*DU176)</f>
        <v>356.99221317140325</v>
      </c>
      <c r="DW176" s="230">
        <f>IF('Operating Inputs'!$H$228="Yes",OperBgt!DV176*OperBgt!DW175,DW$135*DV176)</f>
        <v>357.87265227569566</v>
      </c>
      <c r="DX176" s="230">
        <f>IF('Operating Inputs'!$H$228="Yes",OperBgt!DW176*OperBgt!DX175,DX$135*DW176)</f>
        <v>358.75526278033738</v>
      </c>
      <c r="DY176" s="230">
        <f>IF('Operating Inputs'!$H$228="Yes",OperBgt!DX176*OperBgt!DY175,DY$135*DX176)</f>
        <v>359.64005004058737</v>
      </c>
      <c r="DZ176" s="230">
        <f>IF('Operating Inputs'!$H$228="Yes",OperBgt!DY176*OperBgt!DZ175,DZ$135*DY176)</f>
        <v>360.52701942491228</v>
      </c>
      <c r="EA176" s="230">
        <f>IF('Operating Inputs'!$H$228="Yes",OperBgt!DZ176*OperBgt!EA175,EA$135*DZ176)</f>
        <v>361.41617631501867</v>
      </c>
      <c r="EB176" s="230">
        <f>IF('Operating Inputs'!$H$228="Yes",OperBgt!EA176*OperBgt!EB175,EB$135*EA176)</f>
        <v>362.30752610588598</v>
      </c>
      <c r="EC176" s="230">
        <f>IF('Operating Inputs'!$H$228="Yes",OperBgt!EB176*OperBgt!EC175,EC$135*EB176)</f>
        <v>363.20107420579905</v>
      </c>
      <c r="ED176" s="230">
        <f>IF('Operating Inputs'!$H$228="Yes",OperBgt!EC176*OperBgt!ED175,ED$135*EC176)</f>
        <v>364.09682603638106</v>
      </c>
      <c r="EE176" s="230">
        <f>IF('Operating Inputs'!$H$228="Yes",OperBgt!ED176*OperBgt!EE175,EE$135*ED176)</f>
        <v>364.99478703262628</v>
      </c>
      <c r="EF176" s="230">
        <f>IF('Operating Inputs'!$H$228="Yes",OperBgt!EE176*OperBgt!EF175,EF$135*EE176)</f>
        <v>365.89496264293325</v>
      </c>
      <c r="EG176" s="230">
        <f>IF('Operating Inputs'!$H$228="Yes",OperBgt!EF176*OperBgt!EG175,EG$135*EF176)</f>
        <v>366.79735832913769</v>
      </c>
      <c r="EH176" s="230">
        <f>IF('Operating Inputs'!$H$228="Yes",OperBgt!EG176*OperBgt!EH175,EH$135*EG176)</f>
        <v>367.70197956654567</v>
      </c>
      <c r="EK176" s="672"/>
    </row>
    <row r="177" spans="1:141" ht="15" hidden="1" thickTop="1" x14ac:dyDescent="0.3">
      <c r="A177" s="684" t="s">
        <v>2457</v>
      </c>
      <c r="B177" s="200"/>
      <c r="C177" s="200"/>
      <c r="D177" s="200"/>
      <c r="E177" s="230"/>
      <c r="F177" s="230">
        <f>IF('Operating Inputs'!$H$227="No",'Operating Inputs'!$M$129*Units,'Operating Inputs'!$M$129*Units*(1+PrestartExpGwth))</f>
        <v>265.63573348635293</v>
      </c>
      <c r="G177" s="230">
        <f>IF('Operating Inputs'!$H$228="Yes",OperBgt!F177*OperBgt!G175,G$135*F177)</f>
        <v>266.29086286629405</v>
      </c>
      <c r="H177" s="230">
        <f>IF('Operating Inputs'!$H$228="Yes",OperBgt!G177*OperBgt!H175,H$135*G177)</f>
        <v>266.94760797202184</v>
      </c>
      <c r="I177" s="230">
        <f>IF('Operating Inputs'!$H$228="Yes",OperBgt!H177*OperBgt!I175,I$135*H177)</f>
        <v>267.60597278835201</v>
      </c>
      <c r="J177" s="230">
        <f>IF('Operating Inputs'!$H$228="Yes",OperBgt!I177*OperBgt!J175,J$135*I177)</f>
        <v>268.26596130992783</v>
      </c>
      <c r="K177" s="230">
        <f>IF('Operating Inputs'!$H$228="Yes",OperBgt!J177*OperBgt!K175,K$135*J177)</f>
        <v>268.92757754124449</v>
      </c>
      <c r="L177" s="230">
        <f>IF('Operating Inputs'!$H$228="Yes",OperBgt!K177*OperBgt!L175,L$135*K177)</f>
        <v>269.59082549667329</v>
      </c>
      <c r="M177" s="230">
        <f>IF('Operating Inputs'!$H$228="Yes",OperBgt!L177*OperBgt!M175,M$135*L177)</f>
        <v>270.25570920048614</v>
      </c>
      <c r="N177" s="230">
        <f>IF('Operating Inputs'!$H$228="Yes",OperBgt!M177*OperBgt!N175,N$135*M177)</f>
        <v>270.92223268687979</v>
      </c>
      <c r="O177" s="230">
        <f>IF('Operating Inputs'!$H$228="Yes",OperBgt!N177*OperBgt!O175,O$135*N177)</f>
        <v>271.5904000000005</v>
      </c>
      <c r="P177" s="230">
        <f>IF('Operating Inputs'!$H$228="Yes",OperBgt!O177*OperBgt!P175,P$135*O177)</f>
        <v>272.26021519396835</v>
      </c>
      <c r="Q177" s="230">
        <f>IF('Operating Inputs'!$H$228="Yes",OperBgt!P177*OperBgt!Q175,Q$135*P177)</f>
        <v>272.93168233290214</v>
      </c>
      <c r="R177" s="230">
        <f>IF('Operating Inputs'!$H$228="Yes",OperBgt!Q177*OperBgt!R175,R$135*Q177)</f>
        <v>273.60480549094376</v>
      </c>
      <c r="S177" s="230">
        <f>IF('Operating Inputs'!$H$228="Yes",OperBgt!R177*OperBgt!S175,S$135*R177)</f>
        <v>274.27958875228313</v>
      </c>
      <c r="T177" s="230">
        <f>IF('Operating Inputs'!$H$228="Yes",OperBgt!S177*OperBgt!T175,T$135*S177)</f>
        <v>274.95603621118278</v>
      </c>
      <c r="U177" s="230">
        <f>IF('Operating Inputs'!$H$228="Yes",OperBgt!T177*OperBgt!U175,U$135*T177)</f>
        <v>275.63415197200288</v>
      </c>
      <c r="V177" s="230">
        <f>IF('Operating Inputs'!$H$228="Yes",OperBgt!U177*OperBgt!V175,V$135*U177)</f>
        <v>276.31394014922597</v>
      </c>
      <c r="W177" s="230">
        <f>IF('Operating Inputs'!$H$228="Yes",OperBgt!V177*OperBgt!W175,W$135*V177)</f>
        <v>276.99540486748214</v>
      </c>
      <c r="X177" s="230">
        <f>IF('Operating Inputs'!$H$228="Yes",OperBgt!W177*OperBgt!X175,X$135*W177)</f>
        <v>277.67855026157383</v>
      </c>
      <c r="Y177" s="230">
        <f>IF('Operating Inputs'!$H$228="Yes",OperBgt!X177*OperBgt!Y175,Y$135*X177)</f>
        <v>278.36338047650105</v>
      </c>
      <c r="Z177" s="230">
        <f>IF('Operating Inputs'!$H$228="Yes",OperBgt!Y177*OperBgt!Z175,Z$135*Y177)</f>
        <v>279.0498996674865</v>
      </c>
      <c r="AA177" s="230">
        <f>IF('Operating Inputs'!$H$228="Yes",OperBgt!Z177*OperBgt!AA175,AA$135*Z177)</f>
        <v>279.7381120000008</v>
      </c>
      <c r="AB177" s="230">
        <f>IF('Operating Inputs'!$H$228="Yes",OperBgt!AA177*OperBgt!AB175,AB$135*AA177)</f>
        <v>280.42802164978769</v>
      </c>
      <c r="AC177" s="230">
        <f>IF('Operating Inputs'!$H$228="Yes",OperBgt!AB177*OperBgt!AC175,AC$135*AB177)</f>
        <v>281.1196328028895</v>
      </c>
      <c r="AD177" s="230">
        <f>IF('Operating Inputs'!$H$228="Yes",OperBgt!AC177*OperBgt!AD175,AD$135*AC177)</f>
        <v>281.81294965567236</v>
      </c>
      <c r="AE177" s="230">
        <f>IF('Operating Inputs'!$H$228="Yes",OperBgt!AD177*OperBgt!AE175,AE$135*AD177)</f>
        <v>282.5079764148519</v>
      </c>
      <c r="AF177" s="230">
        <f>IF('Operating Inputs'!$H$228="Yes",OperBgt!AE177*OperBgt!AF175,AF$135*AE177)</f>
        <v>283.20471729751853</v>
      </c>
      <c r="AG177" s="230">
        <f>IF('Operating Inputs'!$H$228="Yes",OperBgt!AF177*OperBgt!AG175,AG$135*AF177)</f>
        <v>283.90317653116318</v>
      </c>
      <c r="AH177" s="230">
        <f>IF('Operating Inputs'!$H$228="Yes",OperBgt!AG177*OperBgt!AH175,AH$135*AG177)</f>
        <v>284.60335835370302</v>
      </c>
      <c r="AI177" s="230">
        <f>IF('Operating Inputs'!$H$228="Yes",OperBgt!AH177*OperBgt!AI175,AI$135*AH177)</f>
        <v>285.30526701350686</v>
      </c>
      <c r="AJ177" s="230">
        <f>IF('Operating Inputs'!$H$228="Yes",OperBgt!AI177*OperBgt!AJ175,AJ$135*AI177)</f>
        <v>286.00890676942129</v>
      </c>
      <c r="AK177" s="230">
        <f>IF('Operating Inputs'!$H$228="Yes",OperBgt!AJ177*OperBgt!AK175,AK$135*AJ177)</f>
        <v>286.71428189079631</v>
      </c>
      <c r="AL177" s="230">
        <f>IF('Operating Inputs'!$H$228="Yes",OperBgt!AK177*OperBgt!AL175,AL$135*AK177)</f>
        <v>287.42139665751137</v>
      </c>
      <c r="AM177" s="230">
        <f>IF('Operating Inputs'!$H$228="Yes",OperBgt!AL177*OperBgt!AM175,AM$135*AL177)</f>
        <v>288.13025536000112</v>
      </c>
      <c r="AN177" s="230">
        <f>IF('Operating Inputs'!$H$228="Yes",OperBgt!AM177*OperBgt!AN175,AN$135*AM177)</f>
        <v>288.84086229928164</v>
      </c>
      <c r="AO177" s="230">
        <f>IF('Operating Inputs'!$H$228="Yes",OperBgt!AN177*OperBgt!AO175,AO$135*AN177)</f>
        <v>289.55322178697651</v>
      </c>
      <c r="AP177" s="230">
        <f>IF('Operating Inputs'!$H$228="Yes",OperBgt!AO177*OperBgt!AP175,AP$135*AO177)</f>
        <v>290.26733814534288</v>
      </c>
      <c r="AQ177" s="230">
        <f>IF('Operating Inputs'!$H$228="Yes",OperBgt!AP177*OperBgt!AQ175,AQ$135*AP177)</f>
        <v>290.9832157072978</v>
      </c>
      <c r="AR177" s="230">
        <f>IF('Operating Inputs'!$H$228="Yes",OperBgt!AQ177*OperBgt!AR175,AR$135*AQ177)</f>
        <v>291.70085881644445</v>
      </c>
      <c r="AS177" s="230">
        <f>IF('Operating Inputs'!$H$228="Yes",OperBgt!AR177*OperBgt!AS175,AS$135*AR177)</f>
        <v>292.42027182709847</v>
      </c>
      <c r="AT177" s="230">
        <f>IF('Operating Inputs'!$H$228="Yes",OperBgt!AS177*OperBgt!AT175,AT$135*AS177)</f>
        <v>293.14145910431449</v>
      </c>
      <c r="AU177" s="230">
        <f>IF('Operating Inputs'!$H$228="Yes",OperBgt!AT177*OperBgt!AU175,AU$135*AT177)</f>
        <v>293.86442502391247</v>
      </c>
      <c r="AV177" s="230">
        <f>IF('Operating Inputs'!$H$228="Yes",OperBgt!AU177*OperBgt!AV175,AV$135*AU177)</f>
        <v>294.58917397250434</v>
      </c>
      <c r="AW177" s="230">
        <f>IF('Operating Inputs'!$H$228="Yes",OperBgt!AV177*OperBgt!AW175,AW$135*AV177)</f>
        <v>295.31571034752062</v>
      </c>
      <c r="AX177" s="230">
        <f>IF('Operating Inputs'!$H$228="Yes",OperBgt!AW177*OperBgt!AX175,AX$135*AW177)</f>
        <v>296.04403855723712</v>
      </c>
      <c r="AY177" s="230">
        <f>IF('Operating Inputs'!$H$228="Yes",OperBgt!AX177*OperBgt!AY175,AY$135*AX177)</f>
        <v>296.77416302080155</v>
      </c>
      <c r="AZ177" s="230">
        <f>IF('Operating Inputs'!$H$228="Yes",OperBgt!AY177*OperBgt!AZ175,AZ$135*AY177)</f>
        <v>297.50608816826048</v>
      </c>
      <c r="BA177" s="230">
        <f>IF('Operating Inputs'!$H$228="Yes",OperBgt!AZ177*OperBgt!BA175,BA$135*AZ177)</f>
        <v>298.23981844058619</v>
      </c>
      <c r="BB177" s="230">
        <f>IF('Operating Inputs'!$H$228="Yes",OperBgt!BA177*OperBgt!BB175,BB$135*BA177)</f>
        <v>298.97535828970354</v>
      </c>
      <c r="BC177" s="230">
        <f>IF('Operating Inputs'!$H$228="Yes",OperBgt!BB177*OperBgt!BC175,BC$135*BB177)</f>
        <v>299.71271217851711</v>
      </c>
      <c r="BD177" s="230">
        <f>IF('Operating Inputs'!$H$228="Yes",OperBgt!BC177*OperBgt!BD175,BD$135*BC177)</f>
        <v>300.45188458093816</v>
      </c>
      <c r="BE177" s="230">
        <f>IF('Operating Inputs'!$H$228="Yes",OperBgt!BD177*OperBgt!BE175,BE$135*BD177)</f>
        <v>301.1928799819118</v>
      </c>
      <c r="BF177" s="230">
        <f>IF('Operating Inputs'!$H$228="Yes",OperBgt!BE177*OperBgt!BF175,BF$135*BE177)</f>
        <v>301.93570287744427</v>
      </c>
      <c r="BG177" s="230">
        <f>IF('Operating Inputs'!$H$228="Yes",OperBgt!BF177*OperBgt!BG175,BG$135*BF177)</f>
        <v>302.68035777463018</v>
      </c>
      <c r="BH177" s="230">
        <f>IF('Operating Inputs'!$H$228="Yes",OperBgt!BG177*OperBgt!BH175,BH$135*BG177)</f>
        <v>303.42684919167982</v>
      </c>
      <c r="BI177" s="230">
        <f>IF('Operating Inputs'!$H$228="Yes",OperBgt!BH177*OperBgt!BI175,BI$135*BH177)</f>
        <v>304.17518165794661</v>
      </c>
      <c r="BJ177" s="230">
        <f>IF('Operating Inputs'!$H$228="Yes",OperBgt!BI177*OperBgt!BJ175,BJ$135*BI177)</f>
        <v>304.92535971395461</v>
      </c>
      <c r="BK177" s="230">
        <f>IF('Operating Inputs'!$H$228="Yes",OperBgt!BJ177*OperBgt!BK175,BK$135*BJ177)</f>
        <v>305.67738791142597</v>
      </c>
      <c r="BL177" s="230">
        <f>IF('Operating Inputs'!$H$228="Yes",OperBgt!BK177*OperBgt!BL175,BL$135*BK177)</f>
        <v>306.43127081330869</v>
      </c>
      <c r="BM177" s="230">
        <f>IF('Operating Inputs'!$H$228="Yes",OperBgt!BL177*OperBgt!BM175,BM$135*BL177)</f>
        <v>307.18701299380416</v>
      </c>
      <c r="BN177" s="230">
        <f>IF('Operating Inputs'!$H$228="Yes",OperBgt!BM177*OperBgt!BN175,BN$135*BM177)</f>
        <v>307.94461903839505</v>
      </c>
      <c r="BO177" s="230">
        <f>IF('Operating Inputs'!$H$228="Yes",OperBgt!BN177*OperBgt!BO175,BO$135*BN177)</f>
        <v>308.704093543873</v>
      </c>
      <c r="BP177" s="230">
        <f>IF('Operating Inputs'!$H$228="Yes",OperBgt!BO177*OperBgt!BP175,BP$135*BO177)</f>
        <v>309.46544111836664</v>
      </c>
      <c r="BQ177" s="230">
        <f>IF('Operating Inputs'!$H$228="Yes",OperBgt!BP177*OperBgt!BQ175,BQ$135*BP177)</f>
        <v>310.22866638136952</v>
      </c>
      <c r="BR177" s="230">
        <f>IF('Operating Inputs'!$H$228="Yes",OperBgt!BQ177*OperBgt!BR175,BR$135*BQ177)</f>
        <v>310.99377396376798</v>
      </c>
      <c r="BS177" s="230">
        <f>IF('Operating Inputs'!$H$228="Yes",OperBgt!BR177*OperBgt!BS175,BS$135*BR177)</f>
        <v>311.76076850786944</v>
      </c>
      <c r="BT177" s="230">
        <f>IF('Operating Inputs'!$H$228="Yes",OperBgt!BS177*OperBgt!BT175,BT$135*BS177)</f>
        <v>312.52965466743058</v>
      </c>
      <c r="BU177" s="230">
        <f>IF('Operating Inputs'!$H$228="Yes",OperBgt!BT177*OperBgt!BU175,BU$135*BT177)</f>
        <v>313.30043710768535</v>
      </c>
      <c r="BV177" s="230">
        <f>IF('Operating Inputs'!$H$228="Yes",OperBgt!BU177*OperBgt!BV175,BV$135*BU177)</f>
        <v>314.07312050537359</v>
      </c>
      <c r="BW177" s="230">
        <f>IF('Operating Inputs'!$H$228="Yes",OperBgt!BV177*OperBgt!BW175,BW$135*BV177)</f>
        <v>314.8477095487691</v>
      </c>
      <c r="BX177" s="230">
        <f>IF('Operating Inputs'!$H$228="Yes",OperBgt!BW177*OperBgt!BX175,BX$135*BW177)</f>
        <v>315.62420893770826</v>
      </c>
      <c r="BY177" s="230">
        <f>IF('Operating Inputs'!$H$228="Yes",OperBgt!BX177*OperBgt!BY175,BY$135*BX177)</f>
        <v>316.40262338361862</v>
      </c>
      <c r="BZ177" s="230">
        <f>IF('Operating Inputs'!$H$228="Yes",OperBgt!BY177*OperBgt!BZ175,BZ$135*BY177)</f>
        <v>317.1829576095472</v>
      </c>
      <c r="CA177" s="230">
        <f>IF('Operating Inputs'!$H$228="Yes",OperBgt!BZ177*OperBgt!CA175,CA$135*BZ177)</f>
        <v>317.96521635018951</v>
      </c>
      <c r="CB177" s="230">
        <f>IF('Operating Inputs'!$H$228="Yes",OperBgt!CA177*OperBgt!CB175,CB$135*CA177)</f>
        <v>318.74940435191797</v>
      </c>
      <c r="CC177" s="230">
        <f>IF('Operating Inputs'!$H$228="Yes",OperBgt!CB177*OperBgt!CC175,CC$135*CB177)</f>
        <v>319.53552637281092</v>
      </c>
      <c r="CD177" s="230">
        <f>IF('Operating Inputs'!$H$228="Yes",OperBgt!CC177*OperBgt!CD175,CD$135*CC177)</f>
        <v>320.32358718268131</v>
      </c>
      <c r="CE177" s="230">
        <f>IF('Operating Inputs'!$H$228="Yes",OperBgt!CD177*OperBgt!CE175,CE$135*CD177)</f>
        <v>321.11359156310584</v>
      </c>
      <c r="CF177" s="230">
        <f>IF('Operating Inputs'!$H$228="Yes",OperBgt!CE177*OperBgt!CF175,CF$135*CE177)</f>
        <v>321.90554430745379</v>
      </c>
      <c r="CG177" s="230">
        <f>IF('Operating Inputs'!$H$228="Yes",OperBgt!CF177*OperBgt!CG175,CG$135*CF177)</f>
        <v>322.69945022091622</v>
      </c>
      <c r="CH177" s="230">
        <f>IF('Operating Inputs'!$H$228="Yes",OperBgt!CG177*OperBgt!CH175,CH$135*CG177)</f>
        <v>323.49531412053506</v>
      </c>
      <c r="CI177" s="230">
        <f>IF('Operating Inputs'!$H$228="Yes",OperBgt!CH177*OperBgt!CI175,CI$135*CH177)</f>
        <v>324.29314083523241</v>
      </c>
      <c r="CJ177" s="230">
        <f>IF('Operating Inputs'!$H$228="Yes",OperBgt!CI177*OperBgt!CJ175,CJ$135*CI177)</f>
        <v>325.09293520583975</v>
      </c>
      <c r="CK177" s="230">
        <f>IF('Operating Inputs'!$H$228="Yes",OperBgt!CJ177*OperBgt!CK175,CK$135*CJ177)</f>
        <v>325.89470208512739</v>
      </c>
      <c r="CL177" s="230">
        <f>IF('Operating Inputs'!$H$228="Yes",OperBgt!CK177*OperBgt!CL175,CL$135*CK177)</f>
        <v>326.69844633783384</v>
      </c>
      <c r="CM177" s="230">
        <f>IF('Operating Inputs'!$H$228="Yes",OperBgt!CL177*OperBgt!CM175,CM$135*CL177)</f>
        <v>327.50417284069545</v>
      </c>
      <c r="CN177" s="230">
        <f>IF('Operating Inputs'!$H$228="Yes",OperBgt!CM177*OperBgt!CN175,CN$135*CM177)</f>
        <v>328.31188648247576</v>
      </c>
      <c r="CO177" s="230">
        <f>IF('Operating Inputs'!$H$228="Yes",OperBgt!CN177*OperBgt!CO175,CO$135*CN177)</f>
        <v>329.1215921639955</v>
      </c>
      <c r="CP177" s="230">
        <f>IF('Operating Inputs'!$H$228="Yes",OperBgt!CO177*OperBgt!CP175,CP$135*CO177)</f>
        <v>329.93329479816202</v>
      </c>
      <c r="CQ177" s="230">
        <f>IF('Operating Inputs'!$H$228="Yes",OperBgt!CP177*OperBgt!CQ175,CQ$135*CP177)</f>
        <v>330.7469993099993</v>
      </c>
      <c r="CR177" s="230">
        <f>IF('Operating Inputs'!$H$228="Yes",OperBgt!CQ177*OperBgt!CR175,CR$135*CQ177)</f>
        <v>331.56271063667771</v>
      </c>
      <c r="CS177" s="230">
        <f>IF('Operating Inputs'!$H$228="Yes",OperBgt!CR177*OperBgt!CS175,CS$135*CR177)</f>
        <v>332.38043372754402</v>
      </c>
      <c r="CT177" s="230">
        <f>IF('Operating Inputs'!$H$228="Yes",OperBgt!CS177*OperBgt!CT175,CT$135*CS177)</f>
        <v>333.20017354415143</v>
      </c>
      <c r="CU177" s="230">
        <f>IF('Operating Inputs'!$H$228="Yes",OperBgt!CT177*OperBgt!CU175,CU$135*CT177)</f>
        <v>334.02193506028971</v>
      </c>
      <c r="CV177" s="230">
        <f>IF('Operating Inputs'!$H$228="Yes",OperBgt!CU177*OperBgt!CV175,CV$135*CU177)</f>
        <v>334.84572326201527</v>
      </c>
      <c r="CW177" s="230">
        <f>IF('Operating Inputs'!$H$228="Yes",OperBgt!CV177*OperBgt!CW175,CW$135*CV177)</f>
        <v>335.67154314768152</v>
      </c>
      <c r="CX177" s="230">
        <f>IF('Operating Inputs'!$H$228="Yes",OperBgt!CW177*OperBgt!CX175,CX$135*CW177)</f>
        <v>336.49939972796921</v>
      </c>
      <c r="CY177" s="230">
        <f>IF('Operating Inputs'!$H$228="Yes",OperBgt!CX177*OperBgt!CY175,CY$135*CX177)</f>
        <v>337.32929802591661</v>
      </c>
      <c r="CZ177" s="230">
        <f>IF('Operating Inputs'!$H$228="Yes",OperBgt!CY177*OperBgt!CZ175,CZ$135*CY177)</f>
        <v>338.16124307695037</v>
      </c>
      <c r="DA177" s="230">
        <f>IF('Operating Inputs'!$H$228="Yes",OperBgt!CZ177*OperBgt!DA175,DA$135*CZ177)</f>
        <v>338.99523992891568</v>
      </c>
      <c r="DB177" s="230">
        <f>IF('Operating Inputs'!$H$228="Yes",OperBgt!DA177*OperBgt!DB175,DB$135*DA177)</f>
        <v>339.8312936421072</v>
      </c>
      <c r="DC177" s="230">
        <f>IF('Operating Inputs'!$H$228="Yes",OperBgt!DB177*OperBgt!DC175,DC$135*DB177)</f>
        <v>340.66940928929961</v>
      </c>
      <c r="DD177" s="230">
        <f>IF('Operating Inputs'!$H$228="Yes",OperBgt!DC177*OperBgt!DD175,DD$135*DC177)</f>
        <v>341.50959195577838</v>
      </c>
      <c r="DE177" s="230">
        <f>IF('Operating Inputs'!$H$228="Yes",OperBgt!DD177*OperBgt!DE175,DE$135*DD177)</f>
        <v>342.35184673937067</v>
      </c>
      <c r="DF177" s="230">
        <f>IF('Operating Inputs'!$H$228="Yes",OperBgt!DE177*OperBgt!DF175,DF$135*DE177)</f>
        <v>343.19617875047635</v>
      </c>
      <c r="DG177" s="230">
        <f>IF('Operating Inputs'!$H$228="Yes",OperBgt!DF177*OperBgt!DG175,DG$135*DF177)</f>
        <v>344.04259311209876</v>
      </c>
      <c r="DH177" s="230">
        <f>IF('Operating Inputs'!$H$228="Yes",OperBgt!DG177*OperBgt!DH175,DH$135*DG177)</f>
        <v>344.89109495987611</v>
      </c>
      <c r="DI177" s="230">
        <f>IF('Operating Inputs'!$H$228="Yes",OperBgt!DH177*OperBgt!DI175,DI$135*DH177)</f>
        <v>345.74168944211237</v>
      </c>
      <c r="DJ177" s="230">
        <f>IF('Operating Inputs'!$H$228="Yes",OperBgt!DI177*OperBgt!DJ175,DJ$135*DI177)</f>
        <v>346.59438171980867</v>
      </c>
      <c r="DK177" s="230">
        <f>IF('Operating Inputs'!$H$228="Yes",OperBgt!DJ177*OperBgt!DK175,DK$135*DJ177)</f>
        <v>347.44917696669449</v>
      </c>
      <c r="DL177" s="230">
        <f>IF('Operating Inputs'!$H$228="Yes",OperBgt!DK177*OperBgt!DL175,DL$135*DK177)</f>
        <v>348.30608036925923</v>
      </c>
      <c r="DM177" s="230">
        <f>IF('Operating Inputs'!$H$228="Yes",OperBgt!DL177*OperBgt!DM175,DM$135*DL177)</f>
        <v>349.16509712678351</v>
      </c>
      <c r="DN177" s="230">
        <f>IF('Operating Inputs'!$H$228="Yes",OperBgt!DM177*OperBgt!DN175,DN$135*DM177)</f>
        <v>350.02623245137079</v>
      </c>
      <c r="DO177" s="230">
        <f>IF('Operating Inputs'!$H$228="Yes",OperBgt!DN177*OperBgt!DO175,DO$135*DN177)</f>
        <v>350.88949156797895</v>
      </c>
      <c r="DP177" s="230">
        <f>IF('Operating Inputs'!$H$228="Yes",OperBgt!DO177*OperBgt!DP175,DP$135*DO177)</f>
        <v>351.75487971445204</v>
      </c>
      <c r="DQ177" s="230">
        <f>IF('Operating Inputs'!$H$228="Yes",OperBgt!DP177*OperBgt!DQ175,DQ$135*DP177)</f>
        <v>352.62240214155213</v>
      </c>
      <c r="DR177" s="230">
        <f>IF('Operating Inputs'!$H$228="Yes",OperBgt!DQ177*OperBgt!DR175,DR$135*DQ177)</f>
        <v>353.49206411299093</v>
      </c>
      <c r="DS177" s="230">
        <f>IF('Operating Inputs'!$H$228="Yes",OperBgt!DR177*OperBgt!DS175,DS$135*DR177)</f>
        <v>354.36387090546202</v>
      </c>
      <c r="DT177" s="230">
        <f>IF('Operating Inputs'!$H$228="Yes",OperBgt!DS177*OperBgt!DT175,DT$135*DS177)</f>
        <v>355.23782780867271</v>
      </c>
      <c r="DU177" s="230">
        <f>IF('Operating Inputs'!$H$228="Yes",OperBgt!DT177*OperBgt!DU175,DU$135*DT177)</f>
        <v>356.11394012537608</v>
      </c>
      <c r="DV177" s="230">
        <f>IF('Operating Inputs'!$H$228="Yes",OperBgt!DU177*OperBgt!DV175,DV$135*DU177)</f>
        <v>356.99221317140325</v>
      </c>
      <c r="DW177" s="230">
        <f>IF('Operating Inputs'!$H$228="Yes",OperBgt!DV177*OperBgt!DW175,DW$135*DV177)</f>
        <v>357.87265227569566</v>
      </c>
      <c r="DX177" s="230">
        <f>IF('Operating Inputs'!$H$228="Yes",OperBgt!DW177*OperBgt!DX175,DX$135*DW177)</f>
        <v>358.75526278033738</v>
      </c>
      <c r="DY177" s="230">
        <f>IF('Operating Inputs'!$H$228="Yes",OperBgt!DX177*OperBgt!DY175,DY$135*DX177)</f>
        <v>359.64005004058737</v>
      </c>
      <c r="DZ177" s="230">
        <f>IF('Operating Inputs'!$H$228="Yes",OperBgt!DY177*OperBgt!DZ175,DZ$135*DY177)</f>
        <v>360.52701942491228</v>
      </c>
      <c r="EA177" s="230">
        <f>IF('Operating Inputs'!$H$228="Yes",OperBgt!DZ177*OperBgt!EA175,EA$135*DZ177)</f>
        <v>361.41617631501867</v>
      </c>
      <c r="EB177" s="230">
        <f>IF('Operating Inputs'!$H$228="Yes",OperBgt!EA177*OperBgt!EB175,EB$135*EA177)</f>
        <v>362.30752610588598</v>
      </c>
      <c r="EC177" s="230">
        <f>IF('Operating Inputs'!$H$228="Yes",OperBgt!EB177*OperBgt!EC175,EC$135*EB177)</f>
        <v>363.20107420579905</v>
      </c>
      <c r="ED177" s="230">
        <f>IF('Operating Inputs'!$H$228="Yes",OperBgt!EC177*OperBgt!ED175,ED$135*EC177)</f>
        <v>364.09682603638106</v>
      </c>
      <c r="EE177" s="230">
        <f>IF('Operating Inputs'!$H$228="Yes",OperBgt!ED177*OperBgt!EE175,EE$135*ED177)</f>
        <v>364.99478703262628</v>
      </c>
      <c r="EF177" s="230">
        <f>IF('Operating Inputs'!$H$228="Yes",OperBgt!EE177*OperBgt!EF175,EF$135*EE177)</f>
        <v>365.89496264293325</v>
      </c>
      <c r="EG177" s="230">
        <f>IF('Operating Inputs'!$H$228="Yes",OperBgt!EF177*OperBgt!EG175,EG$135*EF177)</f>
        <v>366.79735832913769</v>
      </c>
      <c r="EH177" s="230">
        <f>IF('Operating Inputs'!$H$228="Yes",OperBgt!EG177*OperBgt!EH175,EH$135*EG177)</f>
        <v>367.70197956654567</v>
      </c>
      <c r="EK177" s="672"/>
    </row>
    <row r="178" spans="1:141" ht="15" hidden="1" thickTop="1" x14ac:dyDescent="0.3">
      <c r="A178" s="684" t="s">
        <v>2427</v>
      </c>
      <c r="B178" s="200"/>
      <c r="C178" s="200"/>
      <c r="D178" s="200"/>
      <c r="E178" s="230"/>
      <c r="F178" s="230"/>
      <c r="G178" s="230">
        <f>IF(AND('Operating Inputs'!$H$225="Yes",G$5&gt;='Operating Inputs'!$H$226),1,IF(G$5&gt;=MonthFirstUnits-'Development Inputs'!$N$28,1,0))</f>
        <v>0</v>
      </c>
      <c r="H178" s="230">
        <f>IF(AND('Operating Inputs'!$H$225="Yes",H$5&gt;='Operating Inputs'!$H$226),1,IF(H$5&gt;=MonthFirstUnits-'Development Inputs'!$N$28,1,0))</f>
        <v>0</v>
      </c>
      <c r="I178" s="230">
        <f>IF(AND('Operating Inputs'!$H$225="Yes",I$5&gt;='Operating Inputs'!$H$226),1,IF(I$5&gt;=MonthFirstUnits-'Development Inputs'!$N$28,1,0))</f>
        <v>0</v>
      </c>
      <c r="J178" s="230">
        <f>IF(AND('Operating Inputs'!$H$225="Yes",J$5&gt;='Operating Inputs'!$H$226),1,IF(J$5&gt;=MonthFirstUnits-'Development Inputs'!$N$28,1,0))</f>
        <v>0</v>
      </c>
      <c r="K178" s="230">
        <f>IF(AND('Operating Inputs'!$H$225="Yes",K$5&gt;='Operating Inputs'!$H$226),1,IF(K$5&gt;=MonthFirstUnits-'Development Inputs'!$N$28,1,0))</f>
        <v>0</v>
      </c>
      <c r="L178" s="230">
        <f>IF(AND('Operating Inputs'!$H$225="Yes",L$5&gt;='Operating Inputs'!$H$226),1,IF(L$5&gt;=MonthFirstUnits-'Development Inputs'!$N$28,1,0))</f>
        <v>0</v>
      </c>
      <c r="M178" s="230">
        <f>IF(AND('Operating Inputs'!$H$225="Yes",M$5&gt;='Operating Inputs'!$H$226),1,IF(M$5&gt;=MonthFirstUnits-'Development Inputs'!$N$28,1,0))</f>
        <v>0</v>
      </c>
      <c r="N178" s="230">
        <f>IF(AND('Operating Inputs'!$H$225="Yes",N$5&gt;='Operating Inputs'!$H$226),1,IF(N$5&gt;=MonthFirstUnits-'Development Inputs'!$N$28,1,0))</f>
        <v>0</v>
      </c>
      <c r="O178" s="230">
        <f>IF(AND('Operating Inputs'!$H$225="Yes",O$5&gt;='Operating Inputs'!$H$226),1,IF(O$5&gt;=MonthFirstUnits-'Development Inputs'!$N$28,1,0))</f>
        <v>0</v>
      </c>
      <c r="P178" s="230">
        <f>IF(AND('Operating Inputs'!$H$225="Yes",P$5&gt;='Operating Inputs'!$H$226),1,IF(P$5&gt;=MonthFirstUnits-'Development Inputs'!$N$28,1,0))</f>
        <v>0</v>
      </c>
      <c r="Q178" s="230">
        <f>IF(AND('Operating Inputs'!$H$225="Yes",Q$5&gt;='Operating Inputs'!$H$226),1,IF(Q$5&gt;=MonthFirstUnits-'Development Inputs'!$N$28,1,0))</f>
        <v>0</v>
      </c>
      <c r="R178" s="230">
        <f>IF(AND('Operating Inputs'!$H$225="Yes",R$5&gt;='Operating Inputs'!$H$226),1,IF(R$5&gt;=MonthFirstUnits-'Development Inputs'!$N$28,1,0))</f>
        <v>0</v>
      </c>
      <c r="S178" s="230">
        <f>IF(AND('Operating Inputs'!$H$225="Yes",S$5&gt;='Operating Inputs'!$H$226),1,IF(S$5&gt;=MonthFirstUnits-'Development Inputs'!$N$28,1,0))</f>
        <v>0</v>
      </c>
      <c r="T178" s="230">
        <f>IF(AND('Operating Inputs'!$H$225="Yes",T$5&gt;='Operating Inputs'!$H$226),1,IF(T$5&gt;=MonthFirstUnits-'Development Inputs'!$N$28,1,0))</f>
        <v>1</v>
      </c>
      <c r="U178" s="230">
        <f>IF(AND('Operating Inputs'!$H$225="Yes",U$5&gt;='Operating Inputs'!$H$226),1,IF(U$5&gt;=MonthFirstUnits-'Development Inputs'!$N$28,1,0))</f>
        <v>1</v>
      </c>
      <c r="V178" s="230">
        <f>IF(AND('Operating Inputs'!$H$225="Yes",V$5&gt;='Operating Inputs'!$H$226),1,IF(V$5&gt;=MonthFirstUnits-'Development Inputs'!$N$28,1,0))</f>
        <v>1</v>
      </c>
      <c r="W178" s="230">
        <f>IF(AND('Operating Inputs'!$H$225="Yes",W$5&gt;='Operating Inputs'!$H$226),1,IF(W$5&gt;=MonthFirstUnits-'Development Inputs'!$N$28,1,0))</f>
        <v>1</v>
      </c>
      <c r="X178" s="230">
        <f>IF(AND('Operating Inputs'!$H$225="Yes",X$5&gt;='Operating Inputs'!$H$226),1,IF(X$5&gt;=MonthFirstUnits-'Development Inputs'!$N$28,1,0))</f>
        <v>1</v>
      </c>
      <c r="Y178" s="230">
        <f>IF(AND('Operating Inputs'!$H$225="Yes",Y$5&gt;='Operating Inputs'!$H$226),1,IF(Y$5&gt;=MonthFirstUnits-'Development Inputs'!$N$28,1,0))</f>
        <v>1</v>
      </c>
      <c r="Z178" s="230">
        <f>IF(AND('Operating Inputs'!$H$225="Yes",Z$5&gt;='Operating Inputs'!$H$226),1,IF(Z$5&gt;=MonthFirstUnits-'Development Inputs'!$N$28,1,0))</f>
        <v>1</v>
      </c>
      <c r="AA178" s="230">
        <f>IF(AND('Operating Inputs'!$H$225="Yes",AA$5&gt;='Operating Inputs'!$H$226),1,IF(AA$5&gt;=MonthFirstUnits-'Development Inputs'!$N$28,1,0))</f>
        <v>1</v>
      </c>
      <c r="AB178" s="230">
        <f>IF(AND('Operating Inputs'!$H$225="Yes",AB$5&gt;='Operating Inputs'!$H$226),1,IF(AB$5&gt;=MonthFirstUnits-'Development Inputs'!$N$28,1,0))</f>
        <v>1</v>
      </c>
      <c r="AC178" s="230">
        <f>IF(AND('Operating Inputs'!$H$225="Yes",AC$5&gt;='Operating Inputs'!$H$226),1,IF(AC$5&gt;=MonthFirstUnits-'Development Inputs'!$N$28,1,0))</f>
        <v>1</v>
      </c>
      <c r="AD178" s="230">
        <f>IF(AND('Operating Inputs'!$H$225="Yes",AD$5&gt;='Operating Inputs'!$H$226),1,IF(AD$5&gt;=MonthFirstUnits-'Development Inputs'!$N$28,1,0))</f>
        <v>1</v>
      </c>
      <c r="AE178" s="230">
        <f>IF(AND('Operating Inputs'!$H$225="Yes",AE$5&gt;='Operating Inputs'!$H$226),1,IF(AE$5&gt;=MonthFirstUnits-'Development Inputs'!$N$28,1,0))</f>
        <v>1</v>
      </c>
      <c r="AF178" s="230">
        <f>IF(AND('Operating Inputs'!$H$225="Yes",AF$5&gt;='Operating Inputs'!$H$226),1,IF(AF$5&gt;=MonthFirstUnits-'Development Inputs'!$N$28,1,0))</f>
        <v>1</v>
      </c>
      <c r="AG178" s="230">
        <f>IF(AND('Operating Inputs'!$H$225="Yes",AG$5&gt;='Operating Inputs'!$H$226),1,IF(AG$5&gt;=MonthFirstUnits-'Development Inputs'!$N$28,1,0))</f>
        <v>1</v>
      </c>
      <c r="AH178" s="230">
        <f>IF(AND('Operating Inputs'!$H$225="Yes",AH$5&gt;='Operating Inputs'!$H$226),1,IF(AH$5&gt;=MonthFirstUnits-'Development Inputs'!$N$28,1,0))</f>
        <v>1</v>
      </c>
      <c r="AI178" s="230">
        <f>IF(AND('Operating Inputs'!$H$225="Yes",AI$5&gt;='Operating Inputs'!$H$226),1,IF(AI$5&gt;=MonthFirstUnits-'Development Inputs'!$N$28,1,0))</f>
        <v>1</v>
      </c>
      <c r="AJ178" s="230">
        <f>IF(AND('Operating Inputs'!$H$225="Yes",AJ$5&gt;='Operating Inputs'!$H$226),1,IF(AJ$5&gt;=MonthFirstUnits-'Development Inputs'!$N$28,1,0))</f>
        <v>1</v>
      </c>
      <c r="AK178" s="230">
        <f>IF(AND('Operating Inputs'!$H$225="Yes",AK$5&gt;='Operating Inputs'!$H$226),1,IF(AK$5&gt;=MonthFirstUnits-'Development Inputs'!$N$28,1,0))</f>
        <v>1</v>
      </c>
      <c r="AL178" s="230">
        <f>IF(AND('Operating Inputs'!$H$225="Yes",AL$5&gt;='Operating Inputs'!$H$226),1,IF(AL$5&gt;=MonthFirstUnits-'Development Inputs'!$N$28,1,0))</f>
        <v>1</v>
      </c>
      <c r="AM178" s="230">
        <f>IF(AND('Operating Inputs'!$H$225="Yes",AM$5&gt;='Operating Inputs'!$H$226),1,IF(AM$5&gt;=MonthFirstUnits-'Development Inputs'!$N$28,1,0))</f>
        <v>1</v>
      </c>
      <c r="AN178" s="230">
        <f>IF(AND('Operating Inputs'!$H$225="Yes",AN$5&gt;='Operating Inputs'!$H$226),1,IF(AN$5&gt;=MonthFirstUnits-'Development Inputs'!$N$28,1,0))</f>
        <v>1</v>
      </c>
      <c r="AO178" s="230">
        <f>IF(AND('Operating Inputs'!$H$225="Yes",AO$5&gt;='Operating Inputs'!$H$226),1,IF(AO$5&gt;=MonthFirstUnits-'Development Inputs'!$N$28,1,0))</f>
        <v>1</v>
      </c>
      <c r="AP178" s="230">
        <f>IF(AND('Operating Inputs'!$H$225="Yes",AP$5&gt;='Operating Inputs'!$H$226),1,IF(AP$5&gt;=MonthFirstUnits-'Development Inputs'!$N$28,1,0))</f>
        <v>1</v>
      </c>
      <c r="AQ178" s="230">
        <f>IF(AND('Operating Inputs'!$H$225="Yes",AQ$5&gt;='Operating Inputs'!$H$226),1,IF(AQ$5&gt;=MonthFirstUnits-'Development Inputs'!$N$28,1,0))</f>
        <v>1</v>
      </c>
      <c r="AR178" s="230">
        <f>IF(AND('Operating Inputs'!$H$225="Yes",AR$5&gt;='Operating Inputs'!$H$226),1,IF(AR$5&gt;=MonthFirstUnits-'Development Inputs'!$N$28,1,0))</f>
        <v>1</v>
      </c>
      <c r="AS178" s="230">
        <f>IF(AND('Operating Inputs'!$H$225="Yes",AS$5&gt;='Operating Inputs'!$H$226),1,IF(AS$5&gt;=MonthFirstUnits-'Development Inputs'!$N$28,1,0))</f>
        <v>1</v>
      </c>
      <c r="AT178" s="230">
        <f>IF(AND('Operating Inputs'!$H$225="Yes",AT$5&gt;='Operating Inputs'!$H$226),1,IF(AT$5&gt;=MonthFirstUnits-'Development Inputs'!$N$28,1,0))</f>
        <v>1</v>
      </c>
      <c r="AU178" s="230">
        <f>IF(AND('Operating Inputs'!$H$225="Yes",AU$5&gt;='Operating Inputs'!$H$226),1,IF(AU$5&gt;=MonthFirstUnits-'Development Inputs'!$N$28,1,0))</f>
        <v>1</v>
      </c>
      <c r="AV178" s="230">
        <f>IF(AND('Operating Inputs'!$H$225="Yes",AV$5&gt;='Operating Inputs'!$H$226),1,IF(AV$5&gt;=MonthFirstUnits-'Development Inputs'!$N$28,1,0))</f>
        <v>1</v>
      </c>
      <c r="AW178" s="230">
        <f>IF(AND('Operating Inputs'!$H$225="Yes",AW$5&gt;='Operating Inputs'!$H$226),1,IF(AW$5&gt;=MonthFirstUnits-'Development Inputs'!$N$28,1,0))</f>
        <v>1</v>
      </c>
      <c r="AX178" s="230">
        <f>IF(AND('Operating Inputs'!$H$225="Yes",AX$5&gt;='Operating Inputs'!$H$226),1,IF(AX$5&gt;=MonthFirstUnits-'Development Inputs'!$N$28,1,0))</f>
        <v>1</v>
      </c>
      <c r="AY178" s="230">
        <f>IF(AND('Operating Inputs'!$H$225="Yes",AY$5&gt;='Operating Inputs'!$H$226),1,IF(AY$5&gt;=MonthFirstUnits-'Development Inputs'!$N$28,1,0))</f>
        <v>1</v>
      </c>
      <c r="AZ178" s="230">
        <f>IF(AND('Operating Inputs'!$H$225="Yes",AZ$5&gt;='Operating Inputs'!$H$226),1,IF(AZ$5&gt;=MonthFirstUnits-'Development Inputs'!$N$28,1,0))</f>
        <v>1</v>
      </c>
      <c r="BA178" s="230">
        <f>IF(AND('Operating Inputs'!$H$225="Yes",BA$5&gt;='Operating Inputs'!$H$226),1,IF(BA$5&gt;=MonthFirstUnits-'Development Inputs'!$N$28,1,0))</f>
        <v>1</v>
      </c>
      <c r="BB178" s="230">
        <f>IF(AND('Operating Inputs'!$H$225="Yes",BB$5&gt;='Operating Inputs'!$H$226),1,IF(BB$5&gt;=MonthFirstUnits-'Development Inputs'!$N$28,1,0))</f>
        <v>1</v>
      </c>
      <c r="BC178" s="230">
        <f>IF(AND('Operating Inputs'!$H$225="Yes",BC$5&gt;='Operating Inputs'!$H$226),1,IF(BC$5&gt;=MonthFirstUnits-'Development Inputs'!$N$28,1,0))</f>
        <v>1</v>
      </c>
      <c r="BD178" s="230">
        <f>IF(AND('Operating Inputs'!$H$225="Yes",BD$5&gt;='Operating Inputs'!$H$226),1,IF(BD$5&gt;=MonthFirstUnits-'Development Inputs'!$N$28,1,0))</f>
        <v>1</v>
      </c>
      <c r="BE178" s="230">
        <f>IF(AND('Operating Inputs'!$H$225="Yes",BE$5&gt;='Operating Inputs'!$H$226),1,IF(BE$5&gt;=MonthFirstUnits-'Development Inputs'!$N$28,1,0))</f>
        <v>1</v>
      </c>
      <c r="BF178" s="230">
        <f>IF(AND('Operating Inputs'!$H$225="Yes",BF$5&gt;='Operating Inputs'!$H$226),1,IF(BF$5&gt;=MonthFirstUnits-'Development Inputs'!$N$28,1,0))</f>
        <v>1</v>
      </c>
      <c r="BG178" s="230">
        <f>IF(AND('Operating Inputs'!$H$225="Yes",BG$5&gt;='Operating Inputs'!$H$226),1,IF(BG$5&gt;=MonthFirstUnits-'Development Inputs'!$N$28,1,0))</f>
        <v>1</v>
      </c>
      <c r="BH178" s="230">
        <f>IF(AND('Operating Inputs'!$H$225="Yes",BH$5&gt;='Operating Inputs'!$H$226),1,IF(BH$5&gt;=MonthFirstUnits-'Development Inputs'!$N$28,1,0))</f>
        <v>1</v>
      </c>
      <c r="BI178" s="230">
        <f>IF(AND('Operating Inputs'!$H$225="Yes",BI$5&gt;='Operating Inputs'!$H$226),1,IF(BI$5&gt;=MonthFirstUnits-'Development Inputs'!$N$28,1,0))</f>
        <v>1</v>
      </c>
      <c r="BJ178" s="230">
        <f>IF(AND('Operating Inputs'!$H$225="Yes",BJ$5&gt;='Operating Inputs'!$H$226),1,IF(BJ$5&gt;=MonthFirstUnits-'Development Inputs'!$N$28,1,0))</f>
        <v>1</v>
      </c>
      <c r="BK178" s="230">
        <f>IF(AND('Operating Inputs'!$H$225="Yes",BK$5&gt;='Operating Inputs'!$H$226),1,IF(BK$5&gt;=MonthFirstUnits-'Development Inputs'!$N$28,1,0))</f>
        <v>1</v>
      </c>
      <c r="BL178" s="230">
        <f>IF(AND('Operating Inputs'!$H$225="Yes",BL$5&gt;='Operating Inputs'!$H$226),1,IF(BL$5&gt;=MonthFirstUnits-'Development Inputs'!$N$28,1,0))</f>
        <v>1</v>
      </c>
      <c r="BM178" s="230">
        <f>IF(AND('Operating Inputs'!$H$225="Yes",BM$5&gt;='Operating Inputs'!$H$226),1,IF(BM$5&gt;=MonthFirstUnits-'Development Inputs'!$N$28,1,0))</f>
        <v>1</v>
      </c>
      <c r="BN178" s="230">
        <f>IF(AND('Operating Inputs'!$H$225="Yes",BN$5&gt;='Operating Inputs'!$H$226),1,IF(BN$5&gt;=MonthFirstUnits-'Development Inputs'!$N$28,1,0))</f>
        <v>1</v>
      </c>
      <c r="BO178" s="230">
        <f>IF(AND('Operating Inputs'!$H$225="Yes",BO$5&gt;='Operating Inputs'!$H$226),1,IF(BO$5&gt;=MonthFirstUnits-'Development Inputs'!$N$28,1,0))</f>
        <v>1</v>
      </c>
      <c r="BP178" s="230">
        <f>IF(AND('Operating Inputs'!$H$225="Yes",BP$5&gt;='Operating Inputs'!$H$226),1,IF(BP$5&gt;=MonthFirstUnits-'Development Inputs'!$N$28,1,0))</f>
        <v>1</v>
      </c>
      <c r="BQ178" s="230">
        <f>IF(AND('Operating Inputs'!$H$225="Yes",BQ$5&gt;='Operating Inputs'!$H$226),1,IF(BQ$5&gt;=MonthFirstUnits-'Development Inputs'!$N$28,1,0))</f>
        <v>1</v>
      </c>
      <c r="BR178" s="230">
        <f>IF(AND('Operating Inputs'!$H$225="Yes",BR$5&gt;='Operating Inputs'!$H$226),1,IF(BR$5&gt;=MonthFirstUnits-'Development Inputs'!$N$28,1,0))</f>
        <v>1</v>
      </c>
      <c r="BS178" s="230">
        <f>IF(AND('Operating Inputs'!$H$225="Yes",BS$5&gt;='Operating Inputs'!$H$226),1,IF(BS$5&gt;=MonthFirstUnits-'Development Inputs'!$N$28,1,0))</f>
        <v>1</v>
      </c>
      <c r="BT178" s="230">
        <f>IF(AND('Operating Inputs'!$H$225="Yes",BT$5&gt;='Operating Inputs'!$H$226),1,IF(BT$5&gt;=MonthFirstUnits-'Development Inputs'!$N$28,1,0))</f>
        <v>1</v>
      </c>
      <c r="BU178" s="230">
        <f>IF(AND('Operating Inputs'!$H$225="Yes",BU$5&gt;='Operating Inputs'!$H$226),1,IF(BU$5&gt;=MonthFirstUnits-'Development Inputs'!$N$28,1,0))</f>
        <v>1</v>
      </c>
      <c r="BV178" s="230">
        <f>IF(AND('Operating Inputs'!$H$225="Yes",BV$5&gt;='Operating Inputs'!$H$226),1,IF(BV$5&gt;=MonthFirstUnits-'Development Inputs'!$N$28,1,0))</f>
        <v>1</v>
      </c>
      <c r="BW178" s="230">
        <f>IF(AND('Operating Inputs'!$H$225="Yes",BW$5&gt;='Operating Inputs'!$H$226),1,IF(BW$5&gt;=MonthFirstUnits-'Development Inputs'!$N$28,1,0))</f>
        <v>1</v>
      </c>
      <c r="BX178" s="230">
        <f>IF(AND('Operating Inputs'!$H$225="Yes",BX$5&gt;='Operating Inputs'!$H$226),1,IF(BX$5&gt;=MonthFirstUnits-'Development Inputs'!$N$28,1,0))</f>
        <v>1</v>
      </c>
      <c r="BY178" s="230">
        <f>IF(AND('Operating Inputs'!$H$225="Yes",BY$5&gt;='Operating Inputs'!$H$226),1,IF(BY$5&gt;=MonthFirstUnits-'Development Inputs'!$N$28,1,0))</f>
        <v>1</v>
      </c>
      <c r="BZ178" s="230">
        <f>IF(AND('Operating Inputs'!$H$225="Yes",BZ$5&gt;='Operating Inputs'!$H$226),1,IF(BZ$5&gt;=MonthFirstUnits-'Development Inputs'!$N$28,1,0))</f>
        <v>1</v>
      </c>
      <c r="CA178" s="230">
        <f>IF(AND('Operating Inputs'!$H$225="Yes",CA$5&gt;='Operating Inputs'!$H$226),1,IF(CA$5&gt;=MonthFirstUnits-'Development Inputs'!$N$28,1,0))</f>
        <v>1</v>
      </c>
      <c r="CB178" s="230">
        <f>IF(AND('Operating Inputs'!$H$225="Yes",CB$5&gt;='Operating Inputs'!$H$226),1,IF(CB$5&gt;=MonthFirstUnits-'Development Inputs'!$N$28,1,0))</f>
        <v>1</v>
      </c>
      <c r="CC178" s="230">
        <f>IF(AND('Operating Inputs'!$H$225="Yes",CC$5&gt;='Operating Inputs'!$H$226),1,IF(CC$5&gt;=MonthFirstUnits-'Development Inputs'!$N$28,1,0))</f>
        <v>1</v>
      </c>
      <c r="CD178" s="230">
        <f>IF(AND('Operating Inputs'!$H$225="Yes",CD$5&gt;='Operating Inputs'!$H$226),1,IF(CD$5&gt;=MonthFirstUnits-'Development Inputs'!$N$28,1,0))</f>
        <v>1</v>
      </c>
      <c r="CE178" s="230">
        <f>IF(AND('Operating Inputs'!$H$225="Yes",CE$5&gt;='Operating Inputs'!$H$226),1,IF(CE$5&gt;=MonthFirstUnits-'Development Inputs'!$N$28,1,0))</f>
        <v>1</v>
      </c>
      <c r="CF178" s="230">
        <f>IF(AND('Operating Inputs'!$H$225="Yes",CF$5&gt;='Operating Inputs'!$H$226),1,IF(CF$5&gt;=MonthFirstUnits-'Development Inputs'!$N$28,1,0))</f>
        <v>1</v>
      </c>
      <c r="CG178" s="230">
        <f>IF(AND('Operating Inputs'!$H$225="Yes",CG$5&gt;='Operating Inputs'!$H$226),1,IF(CG$5&gt;=MonthFirstUnits-'Development Inputs'!$N$28,1,0))</f>
        <v>1</v>
      </c>
      <c r="CH178" s="230">
        <f>IF(AND('Operating Inputs'!$H$225="Yes",CH$5&gt;='Operating Inputs'!$H$226),1,IF(CH$5&gt;=MonthFirstUnits-'Development Inputs'!$N$28,1,0))</f>
        <v>1</v>
      </c>
      <c r="CI178" s="230">
        <f>IF(AND('Operating Inputs'!$H$225="Yes",CI$5&gt;='Operating Inputs'!$H$226),1,IF(CI$5&gt;=MonthFirstUnits-'Development Inputs'!$N$28,1,0))</f>
        <v>1</v>
      </c>
      <c r="CJ178" s="230">
        <f>IF(AND('Operating Inputs'!$H$225="Yes",CJ$5&gt;='Operating Inputs'!$H$226),1,IF(CJ$5&gt;=MonthFirstUnits-'Development Inputs'!$N$28,1,0))</f>
        <v>1</v>
      </c>
      <c r="CK178" s="230">
        <f>IF(AND('Operating Inputs'!$H$225="Yes",CK$5&gt;='Operating Inputs'!$H$226),1,IF(CK$5&gt;=MonthFirstUnits-'Development Inputs'!$N$28,1,0))</f>
        <v>1</v>
      </c>
      <c r="CL178" s="230">
        <f>IF(AND('Operating Inputs'!$H$225="Yes",CL$5&gt;='Operating Inputs'!$H$226),1,IF(CL$5&gt;=MonthFirstUnits-'Development Inputs'!$N$28,1,0))</f>
        <v>1</v>
      </c>
      <c r="CM178" s="230">
        <f>IF(AND('Operating Inputs'!$H$225="Yes",CM$5&gt;='Operating Inputs'!$H$226),1,IF(CM$5&gt;=MonthFirstUnits-'Development Inputs'!$N$28,1,0))</f>
        <v>1</v>
      </c>
      <c r="CN178" s="230">
        <f>IF(AND('Operating Inputs'!$H$225="Yes",CN$5&gt;='Operating Inputs'!$H$226),1,IF(CN$5&gt;=MonthFirstUnits-'Development Inputs'!$N$28,1,0))</f>
        <v>1</v>
      </c>
      <c r="CO178" s="230">
        <f>IF(AND('Operating Inputs'!$H$225="Yes",CO$5&gt;='Operating Inputs'!$H$226),1,IF(CO$5&gt;=MonthFirstUnits-'Development Inputs'!$N$28,1,0))</f>
        <v>1</v>
      </c>
      <c r="CP178" s="230">
        <f>IF(AND('Operating Inputs'!$H$225="Yes",CP$5&gt;='Operating Inputs'!$H$226),1,IF(CP$5&gt;=MonthFirstUnits-'Development Inputs'!$N$28,1,0))</f>
        <v>1</v>
      </c>
      <c r="CQ178" s="230">
        <f>IF(AND('Operating Inputs'!$H$225="Yes",CQ$5&gt;='Operating Inputs'!$H$226),1,IF(CQ$5&gt;=MonthFirstUnits-'Development Inputs'!$N$28,1,0))</f>
        <v>1</v>
      </c>
      <c r="CR178" s="230">
        <f>IF(AND('Operating Inputs'!$H$225="Yes",CR$5&gt;='Operating Inputs'!$H$226),1,IF(CR$5&gt;=MonthFirstUnits-'Development Inputs'!$N$28,1,0))</f>
        <v>1</v>
      </c>
      <c r="CS178" s="230">
        <f>IF(AND('Operating Inputs'!$H$225="Yes",CS$5&gt;='Operating Inputs'!$H$226),1,IF(CS$5&gt;=MonthFirstUnits-'Development Inputs'!$N$28,1,0))</f>
        <v>1</v>
      </c>
      <c r="CT178" s="230">
        <f>IF(AND('Operating Inputs'!$H$225="Yes",CT$5&gt;='Operating Inputs'!$H$226),1,IF(CT$5&gt;=MonthFirstUnits-'Development Inputs'!$N$28,1,0))</f>
        <v>1</v>
      </c>
      <c r="CU178" s="230">
        <f>IF(AND('Operating Inputs'!$H$225="Yes",CU$5&gt;='Operating Inputs'!$H$226),1,IF(CU$5&gt;=MonthFirstUnits-'Development Inputs'!$N$28,1,0))</f>
        <v>1</v>
      </c>
      <c r="CV178" s="230">
        <f>IF(AND('Operating Inputs'!$H$225="Yes",CV$5&gt;='Operating Inputs'!$H$226),1,IF(CV$5&gt;=MonthFirstUnits-'Development Inputs'!$N$28,1,0))</f>
        <v>1</v>
      </c>
      <c r="CW178" s="230">
        <f>IF(AND('Operating Inputs'!$H$225="Yes",CW$5&gt;='Operating Inputs'!$H$226),1,IF(CW$5&gt;=MonthFirstUnits-'Development Inputs'!$N$28,1,0))</f>
        <v>1</v>
      </c>
      <c r="CX178" s="230">
        <f>IF(AND('Operating Inputs'!$H$225="Yes",CX$5&gt;='Operating Inputs'!$H$226),1,IF(CX$5&gt;=MonthFirstUnits-'Development Inputs'!$N$28,1,0))</f>
        <v>1</v>
      </c>
      <c r="CY178" s="230">
        <f>IF(AND('Operating Inputs'!$H$225="Yes",CY$5&gt;='Operating Inputs'!$H$226),1,IF(CY$5&gt;=MonthFirstUnits-'Development Inputs'!$N$28,1,0))</f>
        <v>1</v>
      </c>
      <c r="CZ178" s="230">
        <f>IF(AND('Operating Inputs'!$H$225="Yes",CZ$5&gt;='Operating Inputs'!$H$226),1,IF(CZ$5&gt;=MonthFirstUnits-'Development Inputs'!$N$28,1,0))</f>
        <v>1</v>
      </c>
      <c r="DA178" s="230">
        <f>IF(AND('Operating Inputs'!$H$225="Yes",DA$5&gt;='Operating Inputs'!$H$226),1,IF(DA$5&gt;=MonthFirstUnits-'Development Inputs'!$N$28,1,0))</f>
        <v>1</v>
      </c>
      <c r="DB178" s="230">
        <f>IF(AND('Operating Inputs'!$H$225="Yes",DB$5&gt;='Operating Inputs'!$H$226),1,IF(DB$5&gt;=MonthFirstUnits-'Development Inputs'!$N$28,1,0))</f>
        <v>1</v>
      </c>
      <c r="DC178" s="230">
        <f>IF(AND('Operating Inputs'!$H$225="Yes",DC$5&gt;='Operating Inputs'!$H$226),1,IF(DC$5&gt;=MonthFirstUnits-'Development Inputs'!$N$28,1,0))</f>
        <v>1</v>
      </c>
      <c r="DD178" s="230">
        <f>IF(AND('Operating Inputs'!$H$225="Yes",DD$5&gt;='Operating Inputs'!$H$226),1,IF(DD$5&gt;=MonthFirstUnits-'Development Inputs'!$N$28,1,0))</f>
        <v>1</v>
      </c>
      <c r="DE178" s="230">
        <f>IF(AND('Operating Inputs'!$H$225="Yes",DE$5&gt;='Operating Inputs'!$H$226),1,IF(DE$5&gt;=MonthFirstUnits-'Development Inputs'!$N$28,1,0))</f>
        <v>1</v>
      </c>
      <c r="DF178" s="230">
        <f>IF(AND('Operating Inputs'!$H$225="Yes",DF$5&gt;='Operating Inputs'!$H$226),1,IF(DF$5&gt;=MonthFirstUnits-'Development Inputs'!$N$28,1,0))</f>
        <v>1</v>
      </c>
      <c r="DG178" s="230">
        <f>IF(AND('Operating Inputs'!$H$225="Yes",DG$5&gt;='Operating Inputs'!$H$226),1,IF(DG$5&gt;=MonthFirstUnits-'Development Inputs'!$N$28,1,0))</f>
        <v>1</v>
      </c>
      <c r="DH178" s="230">
        <f>IF(AND('Operating Inputs'!$H$225="Yes",DH$5&gt;='Operating Inputs'!$H$226),1,IF(DH$5&gt;=MonthFirstUnits-'Development Inputs'!$N$28,1,0))</f>
        <v>1</v>
      </c>
      <c r="DI178" s="230">
        <f>IF(AND('Operating Inputs'!$H$225="Yes",DI$5&gt;='Operating Inputs'!$H$226),1,IF(DI$5&gt;=MonthFirstUnits-'Development Inputs'!$N$28,1,0))</f>
        <v>1</v>
      </c>
      <c r="DJ178" s="230">
        <f>IF(AND('Operating Inputs'!$H$225="Yes",DJ$5&gt;='Operating Inputs'!$H$226),1,IF(DJ$5&gt;=MonthFirstUnits-'Development Inputs'!$N$28,1,0))</f>
        <v>1</v>
      </c>
      <c r="DK178" s="230">
        <f>IF(AND('Operating Inputs'!$H$225="Yes",DK$5&gt;='Operating Inputs'!$H$226),1,IF(DK$5&gt;=MonthFirstUnits-'Development Inputs'!$N$28,1,0))</f>
        <v>1</v>
      </c>
      <c r="DL178" s="230">
        <f>IF(AND('Operating Inputs'!$H$225="Yes",DL$5&gt;='Operating Inputs'!$H$226),1,IF(DL$5&gt;=MonthFirstUnits-'Development Inputs'!$N$28,1,0))</f>
        <v>1</v>
      </c>
      <c r="DM178" s="230">
        <f>IF(AND('Operating Inputs'!$H$225="Yes",DM$5&gt;='Operating Inputs'!$H$226),1,IF(DM$5&gt;=MonthFirstUnits-'Development Inputs'!$N$28,1,0))</f>
        <v>1</v>
      </c>
      <c r="DN178" s="230">
        <f>IF(AND('Operating Inputs'!$H$225="Yes",DN$5&gt;='Operating Inputs'!$H$226),1,IF(DN$5&gt;=MonthFirstUnits-'Development Inputs'!$N$28,1,0))</f>
        <v>1</v>
      </c>
      <c r="DO178" s="230">
        <f>IF(AND('Operating Inputs'!$H$225="Yes",DO$5&gt;='Operating Inputs'!$H$226),1,IF(DO$5&gt;=MonthFirstUnits-'Development Inputs'!$N$28,1,0))</f>
        <v>1</v>
      </c>
      <c r="DP178" s="230">
        <f>IF(AND('Operating Inputs'!$H$225="Yes",DP$5&gt;='Operating Inputs'!$H$226),1,IF(DP$5&gt;=MonthFirstUnits-'Development Inputs'!$N$28,1,0))</f>
        <v>1</v>
      </c>
      <c r="DQ178" s="230">
        <f>IF(AND('Operating Inputs'!$H$225="Yes",DQ$5&gt;='Operating Inputs'!$H$226),1,IF(DQ$5&gt;=MonthFirstUnits-'Development Inputs'!$N$28,1,0))</f>
        <v>1</v>
      </c>
      <c r="DR178" s="230">
        <f>IF(AND('Operating Inputs'!$H$225="Yes",DR$5&gt;='Operating Inputs'!$H$226),1,IF(DR$5&gt;=MonthFirstUnits-'Development Inputs'!$N$28,1,0))</f>
        <v>1</v>
      </c>
      <c r="DS178" s="230">
        <f>IF(AND('Operating Inputs'!$H$225="Yes",DS$5&gt;='Operating Inputs'!$H$226),1,IF(DS$5&gt;=MonthFirstUnits-'Development Inputs'!$N$28,1,0))</f>
        <v>1</v>
      </c>
      <c r="DT178" s="230">
        <f>IF(AND('Operating Inputs'!$H$225="Yes",DT$5&gt;='Operating Inputs'!$H$226),1,IF(DT$5&gt;=MonthFirstUnits-'Development Inputs'!$N$28,1,0))</f>
        <v>1</v>
      </c>
      <c r="DU178" s="230">
        <f>IF(AND('Operating Inputs'!$H$225="Yes",DU$5&gt;='Operating Inputs'!$H$226),1,IF(DU$5&gt;=MonthFirstUnits-'Development Inputs'!$N$28,1,0))</f>
        <v>1</v>
      </c>
      <c r="DV178" s="230">
        <f>IF(AND('Operating Inputs'!$H$225="Yes",DV$5&gt;='Operating Inputs'!$H$226),1,IF(DV$5&gt;=MonthFirstUnits-'Development Inputs'!$N$28,1,0))</f>
        <v>1</v>
      </c>
      <c r="DW178" s="230">
        <f>IF(AND('Operating Inputs'!$H$225="Yes",DW$5&gt;='Operating Inputs'!$H$226),1,IF(DW$5&gt;=MonthFirstUnits-'Development Inputs'!$N$28,1,0))</f>
        <v>1</v>
      </c>
      <c r="DX178" s="230">
        <f>IF(AND('Operating Inputs'!$H$225="Yes",DX$5&gt;='Operating Inputs'!$H$226),1,IF(DX$5&gt;=MonthFirstUnits-'Development Inputs'!$N$28,1,0))</f>
        <v>1</v>
      </c>
      <c r="DY178" s="230">
        <f>IF(AND('Operating Inputs'!$H$225="Yes",DY$5&gt;='Operating Inputs'!$H$226),1,IF(DY$5&gt;=MonthFirstUnits-'Development Inputs'!$N$28,1,0))</f>
        <v>1</v>
      </c>
      <c r="DZ178" s="230">
        <f>IF(AND('Operating Inputs'!$H$225="Yes",DZ$5&gt;='Operating Inputs'!$H$226),1,IF(DZ$5&gt;=MonthFirstUnits-'Development Inputs'!$N$28,1,0))</f>
        <v>1</v>
      </c>
      <c r="EA178" s="230">
        <f>IF(AND('Operating Inputs'!$H$225="Yes",EA$5&gt;='Operating Inputs'!$H$226),1,IF(EA$5&gt;=MonthFirstUnits-'Development Inputs'!$N$28,1,0))</f>
        <v>1</v>
      </c>
      <c r="EB178" s="230">
        <f>IF(AND('Operating Inputs'!$H$225="Yes",EB$5&gt;='Operating Inputs'!$H$226),1,IF(EB$5&gt;=MonthFirstUnits-'Development Inputs'!$N$28,1,0))</f>
        <v>1</v>
      </c>
      <c r="EC178" s="230">
        <f>IF(AND('Operating Inputs'!$H$225="Yes",EC$5&gt;='Operating Inputs'!$H$226),1,IF(EC$5&gt;=MonthFirstUnits-'Development Inputs'!$N$28,1,0))</f>
        <v>1</v>
      </c>
      <c r="ED178" s="230">
        <f>IF(AND('Operating Inputs'!$H$225="Yes",ED$5&gt;='Operating Inputs'!$H$226),1,IF(ED$5&gt;=MonthFirstUnits-'Development Inputs'!$N$28,1,0))</f>
        <v>1</v>
      </c>
      <c r="EE178" s="230">
        <f>IF(AND('Operating Inputs'!$H$225="Yes",EE$5&gt;='Operating Inputs'!$H$226),1,IF(EE$5&gt;=MonthFirstUnits-'Development Inputs'!$N$28,1,0))</f>
        <v>1</v>
      </c>
      <c r="EF178" s="230">
        <f>IF(AND('Operating Inputs'!$H$225="Yes",EF$5&gt;='Operating Inputs'!$H$226),1,IF(EF$5&gt;=MonthFirstUnits-'Development Inputs'!$N$28,1,0))</f>
        <v>1</v>
      </c>
      <c r="EG178" s="230">
        <f>IF(AND('Operating Inputs'!$H$225="Yes",EG$5&gt;='Operating Inputs'!$H$226),1,IF(EG$5&gt;=MonthFirstUnits-'Development Inputs'!$N$28,1,0))</f>
        <v>1</v>
      </c>
      <c r="EH178" s="230">
        <f>IF(AND('Operating Inputs'!$H$225="Yes",EH$5&gt;='Operating Inputs'!$H$226),1,IF(EH$5&gt;=MonthFirstUnits-'Development Inputs'!$N$28,1,0))</f>
        <v>1</v>
      </c>
      <c r="EK178" s="280"/>
    </row>
    <row r="179" spans="1:141" ht="15" hidden="1" thickTop="1" x14ac:dyDescent="0.3">
      <c r="A179" s="684" t="s">
        <v>2458</v>
      </c>
      <c r="B179" s="200"/>
      <c r="C179" s="200"/>
      <c r="D179" s="200"/>
      <c r="E179" s="230"/>
      <c r="F179" s="230">
        <f>F176/12</f>
        <v>22.136311123862743</v>
      </c>
      <c r="G179" s="647">
        <f t="shared" ref="G179:AL179" si="329">IF(AND(MONTH(G$6)=1,G$6&lt;=DateDisposition),G176/12,
IF(AND(G$5=MonthDisposition+1,MONTH(G$6)&lt;&gt;1),LOOKUP(EDATE(G$6,-(MONTH(G$6)-1)),$6:$6,177:177)/12,
IF(AND(MONTH(G$6)=1,G$5&gt;=MonthDisposition+1),G177/12,F179)))</f>
        <v>22.136311123862743</v>
      </c>
      <c r="H179" s="647">
        <f t="shared" si="329"/>
        <v>22.136311123862743</v>
      </c>
      <c r="I179" s="647">
        <f t="shared" si="329"/>
        <v>22.136311123862743</v>
      </c>
      <c r="J179" s="647">
        <f t="shared" si="329"/>
        <v>22.355496775827319</v>
      </c>
      <c r="K179" s="647">
        <f t="shared" si="329"/>
        <v>22.355496775827319</v>
      </c>
      <c r="L179" s="647">
        <f t="shared" si="329"/>
        <v>22.355496775827319</v>
      </c>
      <c r="M179" s="647">
        <f t="shared" si="329"/>
        <v>22.355496775827319</v>
      </c>
      <c r="N179" s="647">
        <f t="shared" si="329"/>
        <v>22.355496775827319</v>
      </c>
      <c r="O179" s="647">
        <f t="shared" si="329"/>
        <v>22.355496775827319</v>
      </c>
      <c r="P179" s="647">
        <f t="shared" si="329"/>
        <v>22.355496775827319</v>
      </c>
      <c r="Q179" s="647">
        <f t="shared" si="329"/>
        <v>22.355496775827319</v>
      </c>
      <c r="R179" s="647">
        <f t="shared" si="329"/>
        <v>22.355496775827319</v>
      </c>
      <c r="S179" s="647">
        <f t="shared" si="329"/>
        <v>22.355496775827319</v>
      </c>
      <c r="T179" s="647">
        <f t="shared" si="329"/>
        <v>22.355496775827319</v>
      </c>
      <c r="U179" s="647">
        <f t="shared" si="329"/>
        <v>22.355496775827319</v>
      </c>
      <c r="V179" s="647">
        <f t="shared" si="329"/>
        <v>23.026161679102163</v>
      </c>
      <c r="W179" s="647">
        <f t="shared" si="329"/>
        <v>23.026161679102163</v>
      </c>
      <c r="X179" s="647">
        <f t="shared" si="329"/>
        <v>23.026161679102163</v>
      </c>
      <c r="Y179" s="647">
        <f t="shared" si="329"/>
        <v>23.026161679102163</v>
      </c>
      <c r="Z179" s="647">
        <f t="shared" si="329"/>
        <v>23.026161679102163</v>
      </c>
      <c r="AA179" s="647">
        <f t="shared" si="329"/>
        <v>23.026161679102163</v>
      </c>
      <c r="AB179" s="647">
        <f t="shared" si="329"/>
        <v>23.026161679102163</v>
      </c>
      <c r="AC179" s="647">
        <f t="shared" si="329"/>
        <v>23.026161679102163</v>
      </c>
      <c r="AD179" s="647">
        <f t="shared" si="329"/>
        <v>23.026161679102163</v>
      </c>
      <c r="AE179" s="647">
        <f t="shared" si="329"/>
        <v>23.026161679102163</v>
      </c>
      <c r="AF179" s="647">
        <f t="shared" si="329"/>
        <v>23.026161679102163</v>
      </c>
      <c r="AG179" s="647">
        <f t="shared" si="329"/>
        <v>23.026161679102163</v>
      </c>
      <c r="AH179" s="647">
        <f t="shared" si="329"/>
        <v>23.716946529475251</v>
      </c>
      <c r="AI179" s="647">
        <f t="shared" si="329"/>
        <v>23.716946529475251</v>
      </c>
      <c r="AJ179" s="647">
        <f t="shared" si="329"/>
        <v>23.716946529475251</v>
      </c>
      <c r="AK179" s="647">
        <f t="shared" si="329"/>
        <v>23.716946529475251</v>
      </c>
      <c r="AL179" s="647">
        <f t="shared" si="329"/>
        <v>23.716946529475251</v>
      </c>
      <c r="AM179" s="647">
        <f t="shared" ref="AM179:BR179" si="330">IF(AND(MONTH(AM$6)=1,AM$6&lt;=DateDisposition),AM176/12,
IF(AND(AM$5=MonthDisposition+1,MONTH(AM$6)&lt;&gt;1),LOOKUP(EDATE(AM$6,-(MONTH(AM$6)-1)),$6:$6,177:177)/12,
IF(AND(MONTH(AM$6)=1,AM$5&gt;=MonthDisposition+1),AM177/12,AL179)))</f>
        <v>23.716946529475251</v>
      </c>
      <c r="AN179" s="647">
        <f t="shared" si="330"/>
        <v>23.716946529475251</v>
      </c>
      <c r="AO179" s="647">
        <f t="shared" si="330"/>
        <v>23.716946529475251</v>
      </c>
      <c r="AP179" s="647">
        <f t="shared" si="330"/>
        <v>23.716946529475251</v>
      </c>
      <c r="AQ179" s="647">
        <f t="shared" si="330"/>
        <v>23.716946529475251</v>
      </c>
      <c r="AR179" s="647">
        <f t="shared" si="330"/>
        <v>23.716946529475251</v>
      </c>
      <c r="AS179" s="647">
        <f t="shared" si="330"/>
        <v>23.716946529475251</v>
      </c>
      <c r="AT179" s="647">
        <f t="shared" si="330"/>
        <v>24.428454925359542</v>
      </c>
      <c r="AU179" s="647">
        <f t="shared" si="330"/>
        <v>24.428454925359542</v>
      </c>
      <c r="AV179" s="647">
        <f t="shared" si="330"/>
        <v>24.428454925359542</v>
      </c>
      <c r="AW179" s="647">
        <f t="shared" si="330"/>
        <v>24.428454925359542</v>
      </c>
      <c r="AX179" s="647">
        <f t="shared" si="330"/>
        <v>24.428454925359542</v>
      </c>
      <c r="AY179" s="647">
        <f t="shared" si="330"/>
        <v>24.428454925359542</v>
      </c>
      <c r="AZ179" s="647">
        <f t="shared" si="330"/>
        <v>24.428454925359542</v>
      </c>
      <c r="BA179" s="647">
        <f t="shared" si="330"/>
        <v>24.428454925359542</v>
      </c>
      <c r="BB179" s="647">
        <f t="shared" si="330"/>
        <v>24.428454925359542</v>
      </c>
      <c r="BC179" s="647">
        <f t="shared" si="330"/>
        <v>24.428454925359542</v>
      </c>
      <c r="BD179" s="647">
        <f t="shared" si="330"/>
        <v>24.428454925359542</v>
      </c>
      <c r="BE179" s="647">
        <f t="shared" si="330"/>
        <v>24.428454925359542</v>
      </c>
      <c r="BF179" s="647">
        <f t="shared" si="330"/>
        <v>25.161308573120355</v>
      </c>
      <c r="BG179" s="647">
        <f t="shared" si="330"/>
        <v>25.161308573120355</v>
      </c>
      <c r="BH179" s="647">
        <f t="shared" si="330"/>
        <v>25.161308573120355</v>
      </c>
      <c r="BI179" s="647">
        <f t="shared" si="330"/>
        <v>25.161308573120355</v>
      </c>
      <c r="BJ179" s="647">
        <f t="shared" si="330"/>
        <v>25.161308573120355</v>
      </c>
      <c r="BK179" s="647">
        <f t="shared" si="330"/>
        <v>25.161308573120355</v>
      </c>
      <c r="BL179" s="647">
        <f t="shared" si="330"/>
        <v>25.161308573120355</v>
      </c>
      <c r="BM179" s="647">
        <f t="shared" si="330"/>
        <v>25.161308573120355</v>
      </c>
      <c r="BN179" s="647">
        <f t="shared" si="330"/>
        <v>25.161308573120355</v>
      </c>
      <c r="BO179" s="647">
        <f t="shared" si="330"/>
        <v>25.161308573120355</v>
      </c>
      <c r="BP179" s="647">
        <f t="shared" si="330"/>
        <v>25.161308573120355</v>
      </c>
      <c r="BQ179" s="647">
        <f t="shared" si="330"/>
        <v>25.161308573120355</v>
      </c>
      <c r="BR179" s="647">
        <f t="shared" si="330"/>
        <v>25.916147830313999</v>
      </c>
      <c r="BS179" s="647">
        <f t="shared" ref="BS179:CX179" si="331">IF(AND(MONTH(BS$6)=1,BS$6&lt;=DateDisposition),BS176/12,
IF(AND(BS$5=MonthDisposition+1,MONTH(BS$6)&lt;&gt;1),LOOKUP(EDATE(BS$6,-(MONTH(BS$6)-1)),$6:$6,177:177)/12,
IF(AND(MONTH(BS$6)=1,BS$5&gt;=MonthDisposition+1),BS177/12,BR179)))</f>
        <v>25.916147830313999</v>
      </c>
      <c r="BT179" s="647">
        <f t="shared" si="331"/>
        <v>25.916147830313999</v>
      </c>
      <c r="BU179" s="647">
        <f t="shared" si="331"/>
        <v>25.916147830313999</v>
      </c>
      <c r="BV179" s="647">
        <f t="shared" si="331"/>
        <v>25.916147830313999</v>
      </c>
      <c r="BW179" s="647">
        <f t="shared" si="331"/>
        <v>25.916147830313999</v>
      </c>
      <c r="BX179" s="647">
        <f t="shared" si="331"/>
        <v>25.916147830313999</v>
      </c>
      <c r="BY179" s="647">
        <f t="shared" si="331"/>
        <v>25.916147830313999</v>
      </c>
      <c r="BZ179" s="647">
        <f t="shared" si="331"/>
        <v>25.916147830313999</v>
      </c>
      <c r="CA179" s="647">
        <f t="shared" si="331"/>
        <v>25.916147830313999</v>
      </c>
      <c r="CB179" s="647">
        <f t="shared" si="331"/>
        <v>25.916147830313999</v>
      </c>
      <c r="CC179" s="647">
        <f t="shared" si="331"/>
        <v>25.916147830313999</v>
      </c>
      <c r="CD179" s="647">
        <f t="shared" si="331"/>
        <v>26.693632265223442</v>
      </c>
      <c r="CE179" s="647">
        <f t="shared" si="331"/>
        <v>26.693632265223442</v>
      </c>
      <c r="CF179" s="647">
        <f t="shared" si="331"/>
        <v>26.693632265223442</v>
      </c>
      <c r="CG179" s="647">
        <f t="shared" si="331"/>
        <v>26.693632265223442</v>
      </c>
      <c r="CH179" s="647">
        <f t="shared" si="331"/>
        <v>26.693632265223442</v>
      </c>
      <c r="CI179" s="647">
        <f t="shared" si="331"/>
        <v>26.693632265223442</v>
      </c>
      <c r="CJ179" s="647">
        <f t="shared" si="331"/>
        <v>26.693632265223442</v>
      </c>
      <c r="CK179" s="647">
        <f t="shared" si="331"/>
        <v>26.693632265223442</v>
      </c>
      <c r="CL179" s="647">
        <f t="shared" si="331"/>
        <v>26.693632265223442</v>
      </c>
      <c r="CM179" s="647">
        <f t="shared" si="331"/>
        <v>26.693632265223442</v>
      </c>
      <c r="CN179" s="647">
        <f t="shared" si="331"/>
        <v>26.693632265223442</v>
      </c>
      <c r="CO179" s="647">
        <f t="shared" si="331"/>
        <v>26.693632265223442</v>
      </c>
      <c r="CP179" s="647">
        <f t="shared" si="331"/>
        <v>27.494441233180169</v>
      </c>
      <c r="CQ179" s="647">
        <f t="shared" si="331"/>
        <v>27.494441233180169</v>
      </c>
      <c r="CR179" s="647">
        <f t="shared" si="331"/>
        <v>27.494441233180169</v>
      </c>
      <c r="CS179" s="647">
        <f t="shared" si="331"/>
        <v>27.494441233180169</v>
      </c>
      <c r="CT179" s="647">
        <f t="shared" si="331"/>
        <v>27.494441233180169</v>
      </c>
      <c r="CU179" s="647">
        <f t="shared" si="331"/>
        <v>27.494441233180169</v>
      </c>
      <c r="CV179" s="647">
        <f t="shared" si="331"/>
        <v>27.494441233180169</v>
      </c>
      <c r="CW179" s="647">
        <f t="shared" si="331"/>
        <v>27.494441233180169</v>
      </c>
      <c r="CX179" s="647">
        <f t="shared" si="331"/>
        <v>27.494441233180169</v>
      </c>
      <c r="CY179" s="647">
        <f t="shared" ref="CY179:EH179" si="332">IF(AND(MONTH(CY$6)=1,CY$6&lt;=DateDisposition),CY176/12,
IF(AND(CY$5=MonthDisposition+1,MONTH(CY$6)&lt;&gt;1),LOOKUP(EDATE(CY$6,-(MONTH(CY$6)-1)),$6:$6,177:177)/12,
IF(AND(MONTH(CY$6)=1,CY$5&gt;=MonthDisposition+1),CY177/12,CX179)))</f>
        <v>27.494441233180169</v>
      </c>
      <c r="CZ179" s="647">
        <f t="shared" si="332"/>
        <v>27.494441233180169</v>
      </c>
      <c r="DA179" s="647">
        <f t="shared" si="332"/>
        <v>27.494441233180169</v>
      </c>
      <c r="DB179" s="647">
        <f t="shared" si="332"/>
        <v>28.3192744701756</v>
      </c>
      <c r="DC179" s="647">
        <f t="shared" si="332"/>
        <v>28.3192744701756</v>
      </c>
      <c r="DD179" s="647">
        <f t="shared" si="332"/>
        <v>28.3192744701756</v>
      </c>
      <c r="DE179" s="647">
        <f t="shared" si="332"/>
        <v>28.3192744701756</v>
      </c>
      <c r="DF179" s="647">
        <f t="shared" si="332"/>
        <v>28.3192744701756</v>
      </c>
      <c r="DG179" s="647">
        <f t="shared" si="332"/>
        <v>28.3192744701756</v>
      </c>
      <c r="DH179" s="647">
        <f t="shared" si="332"/>
        <v>28.3192744701756</v>
      </c>
      <c r="DI179" s="647">
        <f t="shared" si="332"/>
        <v>28.3192744701756</v>
      </c>
      <c r="DJ179" s="647">
        <f t="shared" si="332"/>
        <v>28.3192744701756</v>
      </c>
      <c r="DK179" s="647">
        <f t="shared" si="332"/>
        <v>28.3192744701756</v>
      </c>
      <c r="DL179" s="647">
        <f t="shared" si="332"/>
        <v>28.3192744701756</v>
      </c>
      <c r="DM179" s="647">
        <f t="shared" si="332"/>
        <v>28.3192744701756</v>
      </c>
      <c r="DN179" s="647">
        <f t="shared" si="332"/>
        <v>29.168852704280898</v>
      </c>
      <c r="DO179" s="647">
        <f t="shared" si="332"/>
        <v>29.168852704280898</v>
      </c>
      <c r="DP179" s="647">
        <f t="shared" si="332"/>
        <v>29.168852704280898</v>
      </c>
      <c r="DQ179" s="647">
        <f t="shared" si="332"/>
        <v>29.168852704280898</v>
      </c>
      <c r="DR179" s="647">
        <f t="shared" si="332"/>
        <v>29.168852704280898</v>
      </c>
      <c r="DS179" s="647">
        <f t="shared" si="332"/>
        <v>29.168852704280898</v>
      </c>
      <c r="DT179" s="647">
        <f t="shared" si="332"/>
        <v>29.168852704280898</v>
      </c>
      <c r="DU179" s="647">
        <f t="shared" si="332"/>
        <v>29.168852704280898</v>
      </c>
      <c r="DV179" s="647">
        <f t="shared" si="332"/>
        <v>29.168852704280898</v>
      </c>
      <c r="DW179" s="647">
        <f t="shared" si="332"/>
        <v>29.168852704280898</v>
      </c>
      <c r="DX179" s="647">
        <f t="shared" si="332"/>
        <v>29.168852704280898</v>
      </c>
      <c r="DY179" s="647">
        <f t="shared" si="332"/>
        <v>29.168852704280898</v>
      </c>
      <c r="DZ179" s="647">
        <f t="shared" si="332"/>
        <v>30.043918285409358</v>
      </c>
      <c r="EA179" s="647">
        <f t="shared" si="332"/>
        <v>30.043918285409358</v>
      </c>
      <c r="EB179" s="647">
        <f t="shared" si="332"/>
        <v>30.043918285409358</v>
      </c>
      <c r="EC179" s="647">
        <f t="shared" si="332"/>
        <v>30.043918285409358</v>
      </c>
      <c r="ED179" s="647">
        <f t="shared" si="332"/>
        <v>30.043918285409358</v>
      </c>
      <c r="EE179" s="647">
        <f t="shared" si="332"/>
        <v>30.043918285409358</v>
      </c>
      <c r="EF179" s="647">
        <f t="shared" si="332"/>
        <v>30.043918285409358</v>
      </c>
      <c r="EG179" s="647">
        <f t="shared" si="332"/>
        <v>30.043918285409358</v>
      </c>
      <c r="EH179" s="647">
        <f t="shared" si="332"/>
        <v>30.043918285409358</v>
      </c>
      <c r="EK179" s="672"/>
    </row>
    <row r="180" spans="1:141" ht="15" thickTop="1" x14ac:dyDescent="0.3">
      <c r="AN180" s="228"/>
    </row>
    <row r="181" spans="1:141" x14ac:dyDescent="0.3">
      <c r="R181" s="351"/>
    </row>
    <row r="182" spans="1:141" x14ac:dyDescent="0.3">
      <c r="R182" s="351"/>
      <c r="S182" s="227"/>
      <c r="T182" s="227"/>
      <c r="U182" s="227"/>
      <c r="V182" s="227"/>
      <c r="W182" s="227"/>
      <c r="X182" s="227"/>
      <c r="Y182" s="227"/>
      <c r="Z182" s="227"/>
      <c r="AA182" s="227"/>
      <c r="AB182" s="227"/>
      <c r="AC182" s="227"/>
      <c r="AD182" s="227"/>
      <c r="AE182" s="227"/>
      <c r="AF182" s="227"/>
      <c r="AG182" s="227"/>
      <c r="AH182" s="227"/>
      <c r="AI182" s="227"/>
      <c r="AJ182" s="227"/>
      <c r="AK182" s="227"/>
      <c r="AL182" s="227"/>
    </row>
    <row r="184" spans="1:141" x14ac:dyDescent="0.3">
      <c r="R184" s="351"/>
      <c r="AM184">
        <f>IF('Operating Inputs'!$K$10&gt;1,(AK$5&lt;=(MonthStabilization+'Operating Inputs'!$K$11))*(OperBgt!AK$38&gt;'Operating Inputs'!$K$9)*MIN('Operating Inputs'!$K$10-1,1)+(AL$5&lt;=(MonthStabilization+'Operating Inputs'!$K$11))*(OperBgt!AL$38&gt;'Operating Inputs'!$K$9)*MIN('Operating Inputs'!$K$10,1),0)</f>
        <v>0</v>
      </c>
      <c r="AN184">
        <f>IF('Operating Inputs'!$K$10&gt;1,(AL$5&lt;=(MonthStabilization+'Operating Inputs'!$K$11))*(OperBgt!AL$38&gt;'Operating Inputs'!$K$9)*MIN('Operating Inputs'!$K$10-1,1)+(AM$5&lt;=(MonthStabilization+'Operating Inputs'!$K$11))*(OperBgt!AM$38&gt;'Operating Inputs'!$K$9)*MIN('Operating Inputs'!$K$10,1),0)</f>
        <v>0</v>
      </c>
      <c r="AO184">
        <f>IF('Operating Inputs'!$K$10&gt;1,(AM$5&lt;=(MonthStabilization+'Operating Inputs'!$K$11))*(OperBgt!AM$38&gt;'Operating Inputs'!$K$9)*MIN('Operating Inputs'!$K$10-1,1)+(AN$5&lt;=(MonthStabilization+'Operating Inputs'!$K$11))*(OperBgt!AN$38&gt;'Operating Inputs'!$K$9)*MIN('Operating Inputs'!$K$10,1),0)</f>
        <v>0</v>
      </c>
      <c r="AP184">
        <f>IF('Operating Inputs'!$K$10&gt;1,(AN$5&lt;=(MonthStabilization+'Operating Inputs'!$K$11))*(OperBgt!AN$38&gt;'Operating Inputs'!$K$9)*MIN('Operating Inputs'!$K$10-1,1)+(AO$5&lt;=(MonthStabilization+'Operating Inputs'!$K$11))*(OperBgt!AO$38&gt;'Operating Inputs'!$K$9)*MIN('Operating Inputs'!$K$10,1),0)</f>
        <v>0</v>
      </c>
      <c r="AQ184">
        <f>IF('Operating Inputs'!$K$10&gt;1,(AO$5&lt;=(MonthStabilization+'Operating Inputs'!$K$11))*(OperBgt!AO$38&gt;'Operating Inputs'!$K$9)*MIN('Operating Inputs'!$K$10-1,1)+(AP$5&lt;=(MonthStabilization+'Operating Inputs'!$K$11))*(OperBgt!AP$38&gt;'Operating Inputs'!$K$9)*MIN('Operating Inputs'!$K$10,1),0)</f>
        <v>0</v>
      </c>
      <c r="AR184">
        <f>IF('Operating Inputs'!$K$10&gt;1,(AP$5&lt;=(MonthStabilization+'Operating Inputs'!$K$11))*(OperBgt!AP$38&gt;'Operating Inputs'!$K$9)*MIN('Operating Inputs'!$K$10-1,1)+(AQ$5&lt;=(MonthStabilization+'Operating Inputs'!$K$11))*(OperBgt!AQ$38&gt;'Operating Inputs'!$K$9)*MIN('Operating Inputs'!$K$10,1),0)</f>
        <v>0</v>
      </c>
      <c r="AS184">
        <f>IF('Operating Inputs'!$K$10&gt;1,(AQ$5&lt;=(MonthStabilization+'Operating Inputs'!$K$11))*(OperBgt!AQ$38&gt;'Operating Inputs'!$K$9)*MIN('Operating Inputs'!$K$10-1,1)+(AR$5&lt;=(MonthStabilization+'Operating Inputs'!$K$11))*(OperBgt!AR$38&gt;'Operating Inputs'!$K$9)*MIN('Operating Inputs'!$K$10,1),0)</f>
        <v>0</v>
      </c>
      <c r="AT184">
        <f>IF('Operating Inputs'!$K$10&gt;1,(AR$5&lt;=(MonthStabilization+'Operating Inputs'!$K$11))*(OperBgt!AR$38&gt;'Operating Inputs'!$K$9)*MIN('Operating Inputs'!$K$10-1,1)+(AS$5&lt;=(MonthStabilization+'Operating Inputs'!$K$11))*(OperBgt!AS$38&gt;'Operating Inputs'!$K$9)*MIN('Operating Inputs'!$K$10,1),0)</f>
        <v>0</v>
      </c>
      <c r="AU184">
        <f>IF('Operating Inputs'!$K$10&gt;1,(AS$5&lt;=(MonthStabilization+'Operating Inputs'!$K$11))*(OperBgt!AS$38&gt;'Operating Inputs'!$K$9)*MIN('Operating Inputs'!$K$10-1,1)+(AT$5&lt;=(MonthStabilization+'Operating Inputs'!$K$11))*(OperBgt!AT$38&gt;'Operating Inputs'!$K$9)*MIN('Operating Inputs'!$K$10,1),0)</f>
        <v>0</v>
      </c>
      <c r="AV184">
        <f>IF('Operating Inputs'!$K$10&gt;1,(AT$5&lt;=(MonthStabilization+'Operating Inputs'!$K$11))*(OperBgt!AT$38&gt;'Operating Inputs'!$K$9)*MIN('Operating Inputs'!$K$10-1,1)+(AU$5&lt;=(MonthStabilization+'Operating Inputs'!$K$11))*(OperBgt!AU$38&gt;'Operating Inputs'!$K$9)*MIN('Operating Inputs'!$K$10,1),0)</f>
        <v>0</v>
      </c>
      <c r="AW184">
        <f>IF('Operating Inputs'!$K$10&gt;1,(AU$5&lt;=(MonthStabilization+'Operating Inputs'!$K$11))*(OperBgt!AU$38&gt;'Operating Inputs'!$K$9)*MIN('Operating Inputs'!$K$10-1,1)+(AV$5&lt;=(MonthStabilization+'Operating Inputs'!$K$11))*(OperBgt!AV$38&gt;'Operating Inputs'!$K$9)*MIN('Operating Inputs'!$K$10,1),0)</f>
        <v>0</v>
      </c>
      <c r="AX184">
        <f>IF('Operating Inputs'!$K$10&gt;1,(AV$5&lt;=(MonthStabilization+'Operating Inputs'!$K$11))*(OperBgt!AV$38&gt;'Operating Inputs'!$K$9)*MIN('Operating Inputs'!$K$10-1,1)+(AW$5&lt;=(MonthStabilization+'Operating Inputs'!$K$11))*(OperBgt!AW$38&gt;'Operating Inputs'!$K$9)*MIN('Operating Inputs'!$K$10,1),0)</f>
        <v>0</v>
      </c>
      <c r="AY184">
        <f>IF('Operating Inputs'!$K$10&gt;1,(AW$5&lt;=(MonthStabilization+'Operating Inputs'!$K$11))*(OperBgt!AW$38&gt;'Operating Inputs'!$K$9)*MIN('Operating Inputs'!$K$10-1,1)+(AX$5&lt;=(MonthStabilization+'Operating Inputs'!$K$11))*(OperBgt!AX$38&gt;'Operating Inputs'!$K$9)*MIN('Operating Inputs'!$K$10,1),0)</f>
        <v>0</v>
      </c>
      <c r="AZ184">
        <f>IF('Operating Inputs'!$K$10&gt;1,(AX$5&lt;=(MonthStabilization+'Operating Inputs'!$K$11))*(OperBgt!AX$38&gt;'Operating Inputs'!$K$9)*MIN('Operating Inputs'!$K$10-1,1)+(AY$5&lt;=(MonthStabilization+'Operating Inputs'!$K$11))*(OperBgt!AY$38&gt;'Operating Inputs'!$K$9)*MIN('Operating Inputs'!$K$10,1),0)</f>
        <v>0</v>
      </c>
      <c r="BA184">
        <f>IF('Operating Inputs'!$K$10&gt;1,(AY$5&lt;=(MonthStabilization+'Operating Inputs'!$K$11))*(OperBgt!AY$38&gt;'Operating Inputs'!$K$9)*MIN('Operating Inputs'!$K$10-1,1)+(AZ$5&lt;=(MonthStabilization+'Operating Inputs'!$K$11))*(OperBgt!AZ$38&gt;'Operating Inputs'!$K$9)*MIN('Operating Inputs'!$K$10,1),0)</f>
        <v>0</v>
      </c>
      <c r="BB184">
        <f>IF('Operating Inputs'!$K$10&gt;1,(AZ$5&lt;=(MonthStabilization+'Operating Inputs'!$K$11))*(OperBgt!AZ$38&gt;'Operating Inputs'!$K$9)*MIN('Operating Inputs'!$K$10-1,1)+(BA$5&lt;=(MonthStabilization+'Operating Inputs'!$K$11))*(OperBgt!BA$38&gt;'Operating Inputs'!$K$9)*MIN('Operating Inputs'!$K$10,1),0)</f>
        <v>0</v>
      </c>
      <c r="BC184">
        <f>IF('Operating Inputs'!$K$10&gt;1,(BA$5&lt;=(MonthStabilization+'Operating Inputs'!$K$11))*(OperBgt!BA$38&gt;'Operating Inputs'!$K$9)*MIN('Operating Inputs'!$K$10-1,1)+(BB$5&lt;=(MonthStabilization+'Operating Inputs'!$K$11))*(OperBgt!BB$38&gt;'Operating Inputs'!$K$9)*MIN('Operating Inputs'!$K$10,1),0)</f>
        <v>0</v>
      </c>
      <c r="BD184">
        <f>IF('Operating Inputs'!$K$10&gt;1,(BB$5&lt;=(MonthStabilization+'Operating Inputs'!$K$11))*(OperBgt!BB$38&gt;'Operating Inputs'!$K$9)*MIN('Operating Inputs'!$K$10-1,1)+(BC$5&lt;=(MonthStabilization+'Operating Inputs'!$K$11))*(OperBgt!BC$38&gt;'Operating Inputs'!$K$9)*MIN('Operating Inputs'!$K$10,1),0)</f>
        <v>0</v>
      </c>
      <c r="BE184">
        <f>IF('Operating Inputs'!$K$10&gt;1,(BC$5&lt;=(MonthStabilization+'Operating Inputs'!$K$11))*(OperBgt!BC$38&gt;'Operating Inputs'!$K$9)*MIN('Operating Inputs'!$K$10-1,1)+(BD$5&lt;=(MonthStabilization+'Operating Inputs'!$K$11))*(OperBgt!BD$38&gt;'Operating Inputs'!$K$9)*MIN('Operating Inputs'!$K$10,1),0)</f>
        <v>0</v>
      </c>
      <c r="BF184">
        <f>IF('Operating Inputs'!$K$10&gt;1,(BD$5&lt;=(MonthStabilization+'Operating Inputs'!$K$11))*(OperBgt!BD$38&gt;'Operating Inputs'!$K$9)*MIN('Operating Inputs'!$K$10-1,1)+(BE$5&lt;=(MonthStabilization+'Operating Inputs'!$K$11))*(OperBgt!BE$38&gt;'Operating Inputs'!$K$9)*MIN('Operating Inputs'!$K$10,1),0)</f>
        <v>0</v>
      </c>
      <c r="BG184">
        <f>IF('Operating Inputs'!$K$10&gt;1,(BE$5&lt;=(MonthStabilization+'Operating Inputs'!$K$11))*(OperBgt!BE$38&gt;'Operating Inputs'!$K$9)*MIN('Operating Inputs'!$K$10-1,1)+(BF$5&lt;=(MonthStabilization+'Operating Inputs'!$K$11))*(OperBgt!BF$38&gt;'Operating Inputs'!$K$9)*MIN('Operating Inputs'!$K$10,1),0)</f>
        <v>0</v>
      </c>
      <c r="BH184">
        <f>IF('Operating Inputs'!$K$10&gt;1,(BF$5&lt;=(MonthStabilization+'Operating Inputs'!$K$11))*(OperBgt!BF$38&gt;'Operating Inputs'!$K$9)*MIN('Operating Inputs'!$K$10-1,1)+(BG$5&lt;=(MonthStabilization+'Operating Inputs'!$K$11))*(OperBgt!BG$38&gt;'Operating Inputs'!$K$9)*MIN('Operating Inputs'!$K$10,1),0)</f>
        <v>0</v>
      </c>
      <c r="BI184">
        <f>IF('Operating Inputs'!$K$10&gt;1,(BG$5&lt;=(MonthStabilization+'Operating Inputs'!$K$11))*(OperBgt!BG$38&gt;'Operating Inputs'!$K$9)*MIN('Operating Inputs'!$K$10-1,1)+(BH$5&lt;=(MonthStabilization+'Operating Inputs'!$K$11))*(OperBgt!BH$38&gt;'Operating Inputs'!$K$9)*MIN('Operating Inputs'!$K$10,1),0)</f>
        <v>0</v>
      </c>
      <c r="BJ184">
        <f>IF('Operating Inputs'!$K$10&gt;1,(BH$5&lt;=(MonthStabilization+'Operating Inputs'!$K$11))*(OperBgt!BH$38&gt;'Operating Inputs'!$K$9)*MIN('Operating Inputs'!$K$10-1,1)+(BI$5&lt;=(MonthStabilization+'Operating Inputs'!$K$11))*(OperBgt!BI$38&gt;'Operating Inputs'!$K$9)*MIN('Operating Inputs'!$K$10,1),0)</f>
        <v>0</v>
      </c>
      <c r="BK184">
        <f>IF('Operating Inputs'!$K$10&gt;1,(BI$5&lt;=(MonthStabilization+'Operating Inputs'!$K$11))*(OperBgt!BI$38&gt;'Operating Inputs'!$K$9)*MIN('Operating Inputs'!$K$10-1,1)+(BJ$5&lt;=(MonthStabilization+'Operating Inputs'!$K$11))*(OperBgt!BJ$38&gt;'Operating Inputs'!$K$9)*MIN('Operating Inputs'!$K$10,1),0)</f>
        <v>0</v>
      </c>
      <c r="BL184">
        <f>IF('Operating Inputs'!$K$10&gt;1,(BJ$5&lt;=(MonthStabilization+'Operating Inputs'!$K$11))*(OperBgt!BJ$38&gt;'Operating Inputs'!$K$9)*MIN('Operating Inputs'!$K$10-1,1)+(BK$5&lt;=(MonthStabilization+'Operating Inputs'!$K$11))*(OperBgt!BK$38&gt;'Operating Inputs'!$K$9)*MIN('Operating Inputs'!$K$10,1),0)</f>
        <v>0</v>
      </c>
      <c r="BM184">
        <f>IF('Operating Inputs'!$K$10&gt;1,(BK$5&lt;=(MonthStabilization+'Operating Inputs'!$K$11))*(OperBgt!BK$38&gt;'Operating Inputs'!$K$9)*MIN('Operating Inputs'!$K$10-1,1)+(BL$5&lt;=(MonthStabilization+'Operating Inputs'!$K$11))*(OperBgt!BL$38&gt;'Operating Inputs'!$K$9)*MIN('Operating Inputs'!$K$10,1),0)</f>
        <v>0</v>
      </c>
      <c r="BN184">
        <f>IF('Operating Inputs'!$K$10&gt;1,(BL$5&lt;=(MonthStabilization+'Operating Inputs'!$K$11))*(OperBgt!BL$38&gt;'Operating Inputs'!$K$9)*MIN('Operating Inputs'!$K$10-1,1)+(BM$5&lt;=(MonthStabilization+'Operating Inputs'!$K$11))*(OperBgt!BM$38&gt;'Operating Inputs'!$K$9)*MIN('Operating Inputs'!$K$10,1),0)</f>
        <v>0</v>
      </c>
      <c r="BO184">
        <f>IF('Operating Inputs'!$K$10&gt;1,(BM$5&lt;=(MonthStabilization+'Operating Inputs'!$K$11))*(OperBgt!BM$38&gt;'Operating Inputs'!$K$9)*MIN('Operating Inputs'!$K$10-1,1)+(BN$5&lt;=(MonthStabilization+'Operating Inputs'!$K$11))*(OperBgt!BN$38&gt;'Operating Inputs'!$K$9)*MIN('Operating Inputs'!$K$10,1),0)</f>
        <v>0</v>
      </c>
      <c r="BP184">
        <f>IF('Operating Inputs'!$K$10&gt;1,(BN$5&lt;=(MonthStabilization+'Operating Inputs'!$K$11))*(OperBgt!BN$38&gt;'Operating Inputs'!$K$9)*MIN('Operating Inputs'!$K$10-1,1)+(BO$5&lt;=(MonthStabilization+'Operating Inputs'!$K$11))*(OperBgt!BO$38&gt;'Operating Inputs'!$K$9)*MIN('Operating Inputs'!$K$10,1),0)</f>
        <v>0</v>
      </c>
      <c r="BQ184">
        <f>IF('Operating Inputs'!$K$10&gt;1,(BO$5&lt;=(MonthStabilization+'Operating Inputs'!$K$11))*(OperBgt!BO$38&gt;'Operating Inputs'!$K$9)*MIN('Operating Inputs'!$K$10-1,1)+(BP$5&lt;=(MonthStabilization+'Operating Inputs'!$K$11))*(OperBgt!BP$38&gt;'Operating Inputs'!$K$9)*MIN('Operating Inputs'!$K$10,1),0)</f>
        <v>0</v>
      </c>
      <c r="BR184">
        <f>IF('Operating Inputs'!$K$10&gt;1,(BP$5&lt;=(MonthStabilization+'Operating Inputs'!$K$11))*(OperBgt!BP$38&gt;'Operating Inputs'!$K$9)*MIN('Operating Inputs'!$K$10-1,1)+(BQ$5&lt;=(MonthStabilization+'Operating Inputs'!$K$11))*(OperBgt!BQ$38&gt;'Operating Inputs'!$K$9)*MIN('Operating Inputs'!$K$10,1),0)</f>
        <v>0</v>
      </c>
    </row>
    <row r="185" spans="1:141" x14ac:dyDescent="0.3">
      <c r="R185" s="351"/>
      <c r="S185" s="227"/>
      <c r="T185" s="227"/>
      <c r="U185" s="227"/>
      <c r="V185" s="227"/>
      <c r="W185" s="227"/>
      <c r="X185" s="227"/>
      <c r="Y185" s="227"/>
      <c r="Z185" s="227"/>
      <c r="AA185" s="227"/>
      <c r="AB185" s="227"/>
      <c r="AC185" s="227"/>
      <c r="AD185" s="227"/>
      <c r="AE185" s="227"/>
      <c r="AF185" s="227"/>
      <c r="AG185" s="227"/>
      <c r="AH185" s="227"/>
      <c r="AI185" s="227"/>
      <c r="AJ185" s="227"/>
      <c r="AK185" s="227"/>
      <c r="AL185" s="227"/>
      <c r="AM185" s="227">
        <f>IF('Operating Inputs'!$K$10&gt;1,(AK$5&lt;=(MonthStabilization+'Operating Inputs'!$K$11))*(OperBgt!AK$38&gt;'Operating Inputs'!$K$9)*MIN('Operating Inputs'!$K$10-1,1)*AK$109*AK$48+(AL$5&lt;=(MonthStabilization+'Operating Inputs'!$K$11))*(OperBgt!AL$38&gt;'Operating Inputs'!$K$9)*MIN('Operating Inputs'!$K$10,1)*AL$109*AL$48,0)</f>
        <v>0</v>
      </c>
      <c r="AN185" s="227">
        <f>IF('Operating Inputs'!$K$10&gt;1,(AL$5&lt;=(MonthStabilization+'Operating Inputs'!$K$11))*(OperBgt!AL$38&gt;'Operating Inputs'!$K$9)*MIN('Operating Inputs'!$K$10-1,1)*AL$109*AL$48+(AM$5&lt;=(MonthStabilization+'Operating Inputs'!$K$11))*(OperBgt!AM$38&gt;'Operating Inputs'!$K$9)*MIN('Operating Inputs'!$K$10,1)*AM$109*AM$48,0)</f>
        <v>0</v>
      </c>
      <c r="AO185" s="227">
        <f>IF('Operating Inputs'!$K$10&gt;1,(AM$5&lt;=(MonthStabilization+'Operating Inputs'!$K$11))*(OperBgt!AM$38&gt;'Operating Inputs'!$K$9)*MIN('Operating Inputs'!$K$10-1,1)*AM$109*AM$48+(AN$5&lt;=(MonthStabilization+'Operating Inputs'!$K$11))*(OperBgt!AN$38&gt;'Operating Inputs'!$K$9)*MIN('Operating Inputs'!$K$10,1)*AN$109*AN$48,0)</f>
        <v>0</v>
      </c>
      <c r="AP185" s="227">
        <f>IF('Operating Inputs'!$K$10&gt;1,(AN$5&lt;=(MonthStabilization+'Operating Inputs'!$K$11))*(OperBgt!AN$38&gt;'Operating Inputs'!$K$9)*MIN('Operating Inputs'!$K$10-1,1)*AN$109*AN$48+(AO$5&lt;=(MonthStabilization+'Operating Inputs'!$K$11))*(OperBgt!AO$38&gt;'Operating Inputs'!$K$9)*MIN('Operating Inputs'!$K$10,1)*AO$109*AO$48,0)</f>
        <v>0</v>
      </c>
      <c r="AQ185" s="227">
        <f>IF('Operating Inputs'!$K$10&gt;1,(AO$5&lt;=(MonthStabilization+'Operating Inputs'!$K$11))*(OperBgt!AO$38&gt;'Operating Inputs'!$K$9)*MIN('Operating Inputs'!$K$10-1,1)*AO$109*AO$48+(AP$5&lt;=(MonthStabilization+'Operating Inputs'!$K$11))*(OperBgt!AP$38&gt;'Operating Inputs'!$K$9)*MIN('Operating Inputs'!$K$10,1)*AP$109*AP$48,0)</f>
        <v>0</v>
      </c>
      <c r="AR185" s="227">
        <f>IF('Operating Inputs'!$K$10&gt;1,(AP$5&lt;=(MonthStabilization+'Operating Inputs'!$K$11))*(OperBgt!AP$38&gt;'Operating Inputs'!$K$9)*MIN('Operating Inputs'!$K$10-1,1)*AP$109*AP$48+(AQ$5&lt;=(MonthStabilization+'Operating Inputs'!$K$11))*(OperBgt!AQ$38&gt;'Operating Inputs'!$K$9)*MIN('Operating Inputs'!$K$10,1)*AQ$109*AQ$48,0)</f>
        <v>0</v>
      </c>
      <c r="AS185" s="227">
        <f>IF('Operating Inputs'!$K$10&gt;1,(AQ$5&lt;=(MonthStabilization+'Operating Inputs'!$K$11))*(OperBgt!AQ$38&gt;'Operating Inputs'!$K$9)*MIN('Operating Inputs'!$K$10-1,1)*AQ$109*AQ$48+(AR$5&lt;=(MonthStabilization+'Operating Inputs'!$K$11))*(OperBgt!AR$38&gt;'Operating Inputs'!$K$9)*MIN('Operating Inputs'!$K$10,1)*AR$109*AR$48,0)</f>
        <v>0</v>
      </c>
      <c r="AT185" s="227">
        <f>IF('Operating Inputs'!$K$10&gt;1,(AR$5&lt;=(MonthStabilization+'Operating Inputs'!$K$11))*(OperBgt!AR$38&gt;'Operating Inputs'!$K$9)*MIN('Operating Inputs'!$K$10-1,1)*AR$109*AR$48+(AS$5&lt;=(MonthStabilization+'Operating Inputs'!$K$11))*(OperBgt!AS$38&gt;'Operating Inputs'!$K$9)*MIN('Operating Inputs'!$K$10,1)*AS$109*AS$48,0)</f>
        <v>0</v>
      </c>
      <c r="AU185" s="227">
        <f>IF('Operating Inputs'!$K$10&gt;1,(AS$5&lt;=(MonthStabilization+'Operating Inputs'!$K$11))*(OperBgt!AS$38&gt;'Operating Inputs'!$K$9)*MIN('Operating Inputs'!$K$10-1,1)*AS$109*AS$48+(AT$5&lt;=(MonthStabilization+'Operating Inputs'!$K$11))*(OperBgt!AT$38&gt;'Operating Inputs'!$K$9)*MIN('Operating Inputs'!$K$10,1)*AT$109*AT$48,0)</f>
        <v>0</v>
      </c>
      <c r="AV185" s="227">
        <f>IF('Operating Inputs'!$K$10&gt;1,(AT$5&lt;=(MonthStabilization+'Operating Inputs'!$K$11))*(OperBgt!AT$38&gt;'Operating Inputs'!$K$9)*MIN('Operating Inputs'!$K$10-1,1)*AT$109*AT$48+(AU$5&lt;=(MonthStabilization+'Operating Inputs'!$K$11))*(OperBgt!AU$38&gt;'Operating Inputs'!$K$9)*MIN('Operating Inputs'!$K$10,1)*AU$109*AU$48,0)</f>
        <v>0</v>
      </c>
      <c r="AW185" s="227">
        <f>IF('Operating Inputs'!$K$10&gt;1,(AU$5&lt;=(MonthStabilization+'Operating Inputs'!$K$11))*(OperBgt!AU$38&gt;'Operating Inputs'!$K$9)*MIN('Operating Inputs'!$K$10-1,1)*AU$109*AU$48+(AV$5&lt;=(MonthStabilization+'Operating Inputs'!$K$11))*(OperBgt!AV$38&gt;'Operating Inputs'!$K$9)*MIN('Operating Inputs'!$K$10,1)*AV$109*AV$48,0)</f>
        <v>0</v>
      </c>
      <c r="AX185" s="227">
        <f>IF('Operating Inputs'!$K$10&gt;1,(AV$5&lt;=(MonthStabilization+'Operating Inputs'!$K$11))*(OperBgt!AV$38&gt;'Operating Inputs'!$K$9)*MIN('Operating Inputs'!$K$10-1,1)*AV$109*AV$48+(AW$5&lt;=(MonthStabilization+'Operating Inputs'!$K$11))*(OperBgt!AW$38&gt;'Operating Inputs'!$K$9)*MIN('Operating Inputs'!$K$10,1)*AW$109*AW$48,0)</f>
        <v>0</v>
      </c>
      <c r="AY185" s="227">
        <f>IF('Operating Inputs'!$K$10&gt;1,(AW$5&lt;=(MonthStabilization+'Operating Inputs'!$K$11))*(OperBgt!AW$38&gt;'Operating Inputs'!$K$9)*MIN('Operating Inputs'!$K$10-1,1)*AW$109*AW$48+(AX$5&lt;=(MonthStabilization+'Operating Inputs'!$K$11))*(OperBgt!AX$38&gt;'Operating Inputs'!$K$9)*MIN('Operating Inputs'!$K$10,1)*AX$109*AX$48,0)</f>
        <v>0</v>
      </c>
      <c r="AZ185" s="227">
        <f>IF('Operating Inputs'!$K$10&gt;1,(AX$5&lt;=(MonthStabilization+'Operating Inputs'!$K$11))*(OperBgt!AX$38&gt;'Operating Inputs'!$K$9)*MIN('Operating Inputs'!$K$10-1,1)*AX$109*AX$48+(AY$5&lt;=(MonthStabilization+'Operating Inputs'!$K$11))*(OperBgt!AY$38&gt;'Operating Inputs'!$K$9)*MIN('Operating Inputs'!$K$10,1)*AY$109*AY$48,0)</f>
        <v>0</v>
      </c>
      <c r="BA185" s="227">
        <f>IF('Operating Inputs'!$K$10&gt;1,(AY$5&lt;=(MonthStabilization+'Operating Inputs'!$K$11))*(OperBgt!AY$38&gt;'Operating Inputs'!$K$9)*MIN('Operating Inputs'!$K$10-1,1)*AY$109*AY$48+(AZ$5&lt;=(MonthStabilization+'Operating Inputs'!$K$11))*(OperBgt!AZ$38&gt;'Operating Inputs'!$K$9)*MIN('Operating Inputs'!$K$10,1)*AZ$109*AZ$48,0)</f>
        <v>0</v>
      </c>
      <c r="BB185" s="227">
        <f>IF('Operating Inputs'!$K$10&gt;1,(AZ$5&lt;=(MonthStabilization+'Operating Inputs'!$K$11))*(OperBgt!AZ$38&gt;'Operating Inputs'!$K$9)*MIN('Operating Inputs'!$K$10-1,1)*AZ$109*AZ$48+(BA$5&lt;=(MonthStabilization+'Operating Inputs'!$K$11))*(OperBgt!BA$38&gt;'Operating Inputs'!$K$9)*MIN('Operating Inputs'!$K$10,1)*BA$109*BA$48,0)</f>
        <v>0</v>
      </c>
      <c r="BC185" s="227">
        <f>IF('Operating Inputs'!$K$10&gt;1,(BA$5&lt;=(MonthStabilization+'Operating Inputs'!$K$11))*(OperBgt!BA$38&gt;'Operating Inputs'!$K$9)*MIN('Operating Inputs'!$K$10-1,1)*BA$109*BA$48+(BB$5&lt;=(MonthStabilization+'Operating Inputs'!$K$11))*(OperBgt!BB$38&gt;'Operating Inputs'!$K$9)*MIN('Operating Inputs'!$K$10,1)*BB$109*BB$48,0)</f>
        <v>0</v>
      </c>
      <c r="BD185" s="227">
        <f>IF('Operating Inputs'!$K$10&gt;1,(BB$5&lt;=(MonthStabilization+'Operating Inputs'!$K$11))*(OperBgt!BB$38&gt;'Operating Inputs'!$K$9)*MIN('Operating Inputs'!$K$10-1,1)*BB$109*BB$48+(BC$5&lt;=(MonthStabilization+'Operating Inputs'!$K$11))*(OperBgt!BC$38&gt;'Operating Inputs'!$K$9)*MIN('Operating Inputs'!$K$10,1)*BC$109*BC$48,0)</f>
        <v>0</v>
      </c>
      <c r="BE185" s="227">
        <f>IF('Operating Inputs'!$K$10&gt;1,(BC$5&lt;=(MonthStabilization+'Operating Inputs'!$K$11))*(OperBgt!BC$38&gt;'Operating Inputs'!$K$9)*MIN('Operating Inputs'!$K$10-1,1)*BC$109*BC$48+(BD$5&lt;=(MonthStabilization+'Operating Inputs'!$K$11))*(OperBgt!BD$38&gt;'Operating Inputs'!$K$9)*MIN('Operating Inputs'!$K$10,1)*BD$109*BD$48,0)</f>
        <v>0</v>
      </c>
      <c r="BF185" s="227">
        <f>IF('Operating Inputs'!$K$10&gt;1,(BD$5&lt;=(MonthStabilization+'Operating Inputs'!$K$11))*(OperBgt!BD$38&gt;'Operating Inputs'!$K$9)*MIN('Operating Inputs'!$K$10-1,1)*BD$109*BD$48+(BE$5&lt;=(MonthStabilization+'Operating Inputs'!$K$11))*(OperBgt!BE$38&gt;'Operating Inputs'!$K$9)*MIN('Operating Inputs'!$K$10,1)*BE$109*BE$48,0)</f>
        <v>0</v>
      </c>
      <c r="BG185" s="227">
        <f>IF('Operating Inputs'!$K$10&gt;1,(BE$5&lt;=(MonthStabilization+'Operating Inputs'!$K$11))*(OperBgt!BE$38&gt;'Operating Inputs'!$K$9)*MIN('Operating Inputs'!$K$10-1,1)*BE$109*BE$48+(BF$5&lt;=(MonthStabilization+'Operating Inputs'!$K$11))*(OperBgt!BF$38&gt;'Operating Inputs'!$K$9)*MIN('Operating Inputs'!$K$10,1)*BF$109*BF$48,0)</f>
        <v>0</v>
      </c>
      <c r="BH185" s="227">
        <f>IF('Operating Inputs'!$K$10&gt;1,(BF$5&lt;=(MonthStabilization+'Operating Inputs'!$K$11))*(OperBgt!BF$38&gt;'Operating Inputs'!$K$9)*MIN('Operating Inputs'!$K$10-1,1)*BF$109*BF$48+(BG$5&lt;=(MonthStabilization+'Operating Inputs'!$K$11))*(OperBgt!BG$38&gt;'Operating Inputs'!$K$9)*MIN('Operating Inputs'!$K$10,1)*BG$109*BG$48,0)</f>
        <v>0</v>
      </c>
      <c r="BI185" s="227">
        <f>IF('Operating Inputs'!$K$10&gt;1,(BG$5&lt;=(MonthStabilization+'Operating Inputs'!$K$11))*(OperBgt!BG$38&gt;'Operating Inputs'!$K$9)*MIN('Operating Inputs'!$K$10-1,1)*BG$109*BG$48+(BH$5&lt;=(MonthStabilization+'Operating Inputs'!$K$11))*(OperBgt!BH$38&gt;'Operating Inputs'!$K$9)*MIN('Operating Inputs'!$K$10,1)*BH$109*BH$48,0)</f>
        <v>0</v>
      </c>
      <c r="BJ185" s="227">
        <f>IF('Operating Inputs'!$K$10&gt;1,(BH$5&lt;=(MonthStabilization+'Operating Inputs'!$K$11))*(OperBgt!BH$38&gt;'Operating Inputs'!$K$9)*MIN('Operating Inputs'!$K$10-1,1)*BH$109*BH$48+(BI$5&lt;=(MonthStabilization+'Operating Inputs'!$K$11))*(OperBgt!BI$38&gt;'Operating Inputs'!$K$9)*MIN('Operating Inputs'!$K$10,1)*BI$109*BI$48,0)</f>
        <v>0</v>
      </c>
      <c r="BK185" s="227">
        <f>IF('Operating Inputs'!$K$10&gt;1,(BI$5&lt;=(MonthStabilization+'Operating Inputs'!$K$11))*(OperBgt!BI$38&gt;'Operating Inputs'!$K$9)*MIN('Operating Inputs'!$K$10-1,1)*BI$109*BI$48+(BJ$5&lt;=(MonthStabilization+'Operating Inputs'!$K$11))*(OperBgt!BJ$38&gt;'Operating Inputs'!$K$9)*MIN('Operating Inputs'!$K$10,1)*BJ$109*BJ$48,0)</f>
        <v>0</v>
      </c>
      <c r="BL185" s="227">
        <f>IF('Operating Inputs'!$K$10&gt;1,(BJ$5&lt;=(MonthStabilization+'Operating Inputs'!$K$11))*(OperBgt!BJ$38&gt;'Operating Inputs'!$K$9)*MIN('Operating Inputs'!$K$10-1,1)*BJ$109*BJ$48+(BK$5&lt;=(MonthStabilization+'Operating Inputs'!$K$11))*(OperBgt!BK$38&gt;'Operating Inputs'!$K$9)*MIN('Operating Inputs'!$K$10,1)*BK$109*BK$48,0)</f>
        <v>0</v>
      </c>
      <c r="BM185" s="227">
        <f>IF('Operating Inputs'!$K$10&gt;1,(BK$5&lt;=(MonthStabilization+'Operating Inputs'!$K$11))*(OperBgt!BK$38&gt;'Operating Inputs'!$K$9)*MIN('Operating Inputs'!$K$10-1,1)*BK$109*BK$48+(BL$5&lt;=(MonthStabilization+'Operating Inputs'!$K$11))*(OperBgt!BL$38&gt;'Operating Inputs'!$K$9)*MIN('Operating Inputs'!$K$10,1)*BL$109*BL$48,0)</f>
        <v>0</v>
      </c>
      <c r="BN185" s="227">
        <f>IF('Operating Inputs'!$K$10&gt;1,(BL$5&lt;=(MonthStabilization+'Operating Inputs'!$K$11))*(OperBgt!BL$38&gt;'Operating Inputs'!$K$9)*MIN('Operating Inputs'!$K$10-1,1)*BL$109*BL$48+(BM$5&lt;=(MonthStabilization+'Operating Inputs'!$K$11))*(OperBgt!BM$38&gt;'Operating Inputs'!$K$9)*MIN('Operating Inputs'!$K$10,1)*BM$109*BM$48,0)</f>
        <v>0</v>
      </c>
      <c r="BO185" s="227">
        <f>IF('Operating Inputs'!$K$10&gt;1,(BM$5&lt;=(MonthStabilization+'Operating Inputs'!$K$11))*(OperBgt!BM$38&gt;'Operating Inputs'!$K$9)*MIN('Operating Inputs'!$K$10-1,1)*BM$109*BM$48+(BN$5&lt;=(MonthStabilization+'Operating Inputs'!$K$11))*(OperBgt!BN$38&gt;'Operating Inputs'!$K$9)*MIN('Operating Inputs'!$K$10,1)*BN$109*BN$48,0)</f>
        <v>0</v>
      </c>
      <c r="BP185" s="227">
        <f>IF('Operating Inputs'!$K$10&gt;1,(BN$5&lt;=(MonthStabilization+'Operating Inputs'!$K$11))*(OperBgt!BN$38&gt;'Operating Inputs'!$K$9)*MIN('Operating Inputs'!$K$10-1,1)*BN$109*BN$48+(BO$5&lt;=(MonthStabilization+'Operating Inputs'!$K$11))*(OperBgt!BO$38&gt;'Operating Inputs'!$K$9)*MIN('Operating Inputs'!$K$10,1)*BO$109*BO$48,0)</f>
        <v>0</v>
      </c>
      <c r="BQ185" s="227">
        <f>IF('Operating Inputs'!$K$10&gt;1,(BO$5&lt;=(MonthStabilization+'Operating Inputs'!$K$11))*(OperBgt!BO$38&gt;'Operating Inputs'!$K$9)*MIN('Operating Inputs'!$K$10-1,1)*BO$109*BO$48+(BP$5&lt;=(MonthStabilization+'Operating Inputs'!$K$11))*(OperBgt!BP$38&gt;'Operating Inputs'!$K$9)*MIN('Operating Inputs'!$K$10,1)*BP$109*BP$48,0)</f>
        <v>0</v>
      </c>
      <c r="BR185" s="227">
        <f>IF('Operating Inputs'!$K$10&gt;1,(BP$5&lt;=(MonthStabilization+'Operating Inputs'!$K$11))*(OperBgt!BP$38&gt;'Operating Inputs'!$K$9)*MIN('Operating Inputs'!$K$10-1,1)*BP$109*BP$48+(BQ$5&lt;=(MonthStabilization+'Operating Inputs'!$K$11))*(OperBgt!BQ$38&gt;'Operating Inputs'!$K$9)*MIN('Operating Inputs'!$K$10,1)*BQ$109*BQ$48,0)</f>
        <v>0</v>
      </c>
    </row>
    <row r="190" spans="1:141" x14ac:dyDescent="0.3">
      <c r="T190" s="227"/>
      <c r="U190" s="227"/>
      <c r="V190" s="227"/>
      <c r="W190" s="227"/>
      <c r="X190" s="227"/>
      <c r="Y190" s="227"/>
      <c r="Z190" s="227"/>
      <c r="AA190" s="227"/>
      <c r="AB190" s="227"/>
      <c r="AC190" s="227"/>
      <c r="AD190" s="227"/>
      <c r="AE190" s="227"/>
      <c r="AF190" s="227"/>
      <c r="AG190" s="227"/>
      <c r="AH190" s="227"/>
      <c r="AI190" s="227"/>
      <c r="AJ190" s="227"/>
      <c r="AK190" s="227"/>
      <c r="AL190" s="227"/>
      <c r="AM190" s="227">
        <f>IF('Operating Inputs'!$K$8&gt;2,(AJ$38&lt;'Operating Inputs'!$K$9)*MAX('Operating Inputs'!$K$8-2,0)*AJ$48*AJ$35+(OperBgt!AK$38&lt;'Operating Inputs'!$K$9)*MIN('Operating Inputs'!$K$8-1,1)*AK$35*AK$48+(OperBgt!AL$38&lt;'Operating Inputs'!$K$9)*MIN('Operating Inputs'!$K$8,1)*AL$35*AL$48,0)
+IF('Operating Inputs'!$K$10&gt;1,(AK$5&lt;=(MonthStabilization+'Operating Inputs'!$K$11))*(OperBgt!AK$38&gt;'Operating Inputs'!$K$9)*MIN('Operating Inputs'!$K$10-1,1)*AK$109*AK$48+(AL$5&lt;=(MonthStabilization+'Operating Inputs'!$K$11))*(OperBgt!AL$38&gt;'Operating Inputs'!$K$9)*MIN('Operating Inputs'!$K$10,1)*AL$109*AL$48,0)</f>
        <v>0</v>
      </c>
      <c r="AN190" s="227">
        <f>IF('Operating Inputs'!$K$8&gt;2,(AK$38&lt;'Operating Inputs'!$K$9)*MAX('Operating Inputs'!$K$8-2,0)*AK$48*AK$35+(OperBgt!AL$38&lt;'Operating Inputs'!$K$9)*MIN('Operating Inputs'!$K$8-1,1)*AL$35*AL$48+(OperBgt!AM$38&lt;'Operating Inputs'!$K$9)*MIN('Operating Inputs'!$K$8,1)*AM$35*AM$48,0)
+IF('Operating Inputs'!$K$10&gt;1,(AL$5&lt;=(MonthStabilization+'Operating Inputs'!$K$11))*(OperBgt!AL$38&gt;'Operating Inputs'!$K$9)*MIN('Operating Inputs'!$K$10-1,1)*AL$109*AL$48+(AM$5&lt;=(MonthStabilization+'Operating Inputs'!$K$11))*(OperBgt!AM$38&gt;'Operating Inputs'!$K$9)*MIN('Operating Inputs'!$K$10,1)*AM$109*AM$48,0)</f>
        <v>0</v>
      </c>
      <c r="AO190" s="227">
        <f>IF('Operating Inputs'!$K$8&gt;2,(AL$38&lt;'Operating Inputs'!$K$9)*MAX('Operating Inputs'!$K$8-2,0)*AL$48*AL$35+(OperBgt!AM$38&lt;'Operating Inputs'!$K$9)*MIN('Operating Inputs'!$K$8-1,1)*AM$35*AM$48+(OperBgt!AN$38&lt;'Operating Inputs'!$K$9)*MIN('Operating Inputs'!$K$8,1)*AN$35*AN$48,0)
+IF('Operating Inputs'!$K$10&gt;1,(AM$5&lt;=(MonthStabilization+'Operating Inputs'!$K$11))*(OperBgt!AM$38&gt;'Operating Inputs'!$K$9)*MIN('Operating Inputs'!$K$10-1,1)*AM$109*AM$48+(AN$5&lt;=(MonthStabilization+'Operating Inputs'!$K$11))*(OperBgt!AN$38&gt;'Operating Inputs'!$K$9)*MIN('Operating Inputs'!$K$10,1)*AN$109*AN$48,0)</f>
        <v>0</v>
      </c>
      <c r="AP190" s="227">
        <f>IF('Operating Inputs'!$K$8&gt;2,(AM$38&lt;'Operating Inputs'!$K$9)*MAX('Operating Inputs'!$K$8-2,0)*AM$48*AM$35+(OperBgt!AN$38&lt;'Operating Inputs'!$K$9)*MIN('Operating Inputs'!$K$8-1,1)*AN$35*AN$48+(OperBgt!AO$38&lt;'Operating Inputs'!$K$9)*MIN('Operating Inputs'!$K$8,1)*AO$35*AO$48,0)
+IF('Operating Inputs'!$K$10&gt;1,(AN$5&lt;=(MonthStabilization+'Operating Inputs'!$K$11))*(OperBgt!AN$38&gt;'Operating Inputs'!$K$9)*MIN('Operating Inputs'!$K$10-1,1)*AN$109*AN$48+(AO$5&lt;=(MonthStabilization+'Operating Inputs'!$K$11))*(OperBgt!AO$38&gt;'Operating Inputs'!$K$9)*MIN('Operating Inputs'!$K$10,1)*AO$109*AO$48,0)</f>
        <v>0</v>
      </c>
      <c r="AQ190" s="227">
        <f>IF('Operating Inputs'!$K$8&gt;2,(AN$38&lt;'Operating Inputs'!$K$9)*MAX('Operating Inputs'!$K$8-2,0)*AN$48*AN$35+(OperBgt!AO$38&lt;'Operating Inputs'!$K$9)*MIN('Operating Inputs'!$K$8-1,1)*AO$35*AO$48+(OperBgt!AP$38&lt;'Operating Inputs'!$K$9)*MIN('Operating Inputs'!$K$8,1)*AP$35*AP$48,0)
+IF('Operating Inputs'!$K$10&gt;1,(AO$5&lt;=(MonthStabilization+'Operating Inputs'!$K$11))*(OperBgt!AO$38&gt;'Operating Inputs'!$K$9)*MIN('Operating Inputs'!$K$10-1,1)*AO$109*AO$48+(AP$5&lt;=(MonthStabilization+'Operating Inputs'!$K$11))*(OperBgt!AP$38&gt;'Operating Inputs'!$K$9)*MIN('Operating Inputs'!$K$10,1)*AP$109*AP$48,0)</f>
        <v>0</v>
      </c>
      <c r="AR190" s="227">
        <f>IF('Operating Inputs'!$K$8&gt;2,(AO$38&lt;'Operating Inputs'!$K$9)*MAX('Operating Inputs'!$K$8-2,0)*AO$48*AO$35+(OperBgt!AP$38&lt;'Operating Inputs'!$K$9)*MIN('Operating Inputs'!$K$8-1,1)*AP$35*AP$48+(OperBgt!AQ$38&lt;'Operating Inputs'!$K$9)*MIN('Operating Inputs'!$K$8,1)*AQ$35*AQ$48,0)
+IF('Operating Inputs'!$K$10&gt;1,(AP$5&lt;=(MonthStabilization+'Operating Inputs'!$K$11))*(OperBgt!AP$38&gt;'Operating Inputs'!$K$9)*MIN('Operating Inputs'!$K$10-1,1)*AP$109*AP$48+(AQ$5&lt;=(MonthStabilization+'Operating Inputs'!$K$11))*(OperBgt!AQ$38&gt;'Operating Inputs'!$K$9)*MIN('Operating Inputs'!$K$10,1)*AQ$109*AQ$48,0)</f>
        <v>0</v>
      </c>
      <c r="AS190" s="227">
        <f>IF('Operating Inputs'!$K$8&gt;2,(AP$38&lt;'Operating Inputs'!$K$9)*MAX('Operating Inputs'!$K$8-2,0)*AP$48*AP$35+(OperBgt!AQ$38&lt;'Operating Inputs'!$K$9)*MIN('Operating Inputs'!$K$8-1,1)*AQ$35*AQ$48+(OperBgt!AR$38&lt;'Operating Inputs'!$K$9)*MIN('Operating Inputs'!$K$8,1)*AR$35*AR$48,0)
+IF('Operating Inputs'!$K$10&gt;1,(AQ$5&lt;=(MonthStabilization+'Operating Inputs'!$K$11))*(OperBgt!AQ$38&gt;'Operating Inputs'!$K$9)*MIN('Operating Inputs'!$K$10-1,1)*AQ$109*AQ$48+(AR$5&lt;=(MonthStabilization+'Operating Inputs'!$K$11))*(OperBgt!AR$38&gt;'Operating Inputs'!$K$9)*MIN('Operating Inputs'!$K$10,1)*AR$109*AR$48,0)</f>
        <v>0</v>
      </c>
    </row>
    <row r="192" spans="1:141" x14ac:dyDescent="0.3">
      <c r="T192" s="227"/>
      <c r="U192" s="227"/>
      <c r="V192" s="227"/>
      <c r="W192" s="227"/>
      <c r="X192" s="227"/>
      <c r="Y192" s="227"/>
      <c r="Z192" s="227"/>
      <c r="AA192" s="227"/>
      <c r="AB192" s="227"/>
      <c r="AC192" s="227"/>
      <c r="AD192" s="227"/>
      <c r="AE192" s="227"/>
      <c r="AF192" s="227"/>
      <c r="AG192" s="227"/>
      <c r="AH192" s="227"/>
      <c r="AI192" s="227"/>
      <c r="AJ192" s="227"/>
      <c r="AK192" s="227"/>
      <c r="AL192" s="227"/>
      <c r="AM192" s="227">
        <f>N("Lease-up concession if greater than 2 months")
-IF('Operating Inputs'!$K$8&gt;2,(AJ$38&lt;'Operating Inputs'!$K$9)*MAX('Operating Inputs'!$K$8-2,0)*AJ$48*AJ$35+(OperBgt!AK$38&lt;'Operating Inputs'!$K$9)*MIN('Operating Inputs'!$K$8-1,1)*AK$35*AK$48+(OperBgt!AL$38&lt;'Operating Inputs'!$K$9)*MIN('Operating Inputs'!$K$8,1)*AL$35*AL$48,0)
+N("Stabilized concession if greater than 1 month")
-IF('Operating Inputs'!$K$10&gt;1,(AK$5&lt;=(MonthStabilization+'Operating Inputs'!$K$11))*(OperBgt!AK$38&gt;'Operating Inputs'!$K$9)*MIN('Operating Inputs'!$K$10-1,1)*AK$109*AK$48+(AL$5&lt;=(MonthStabilization+'Operating Inputs'!$K$11))*(OperBgt!AL$38&gt;'Operating Inputs'!$K$9)*MIN('Operating Inputs'!$K$10,1)*AL$109*AL$48,0)
+N("Lease-up concession if less than or equal to 2 months")
-IF(AND('Operating Inputs'!$K$8&lt;=2,AL$38&lt;'Operating Inputs'!$K$9,AM$38&lt;&gt;(1-Vacancy)),MIN('Operating Inputs'!$K$8,1)*(AvgLeaseTermMarket/12)*AL48*OperBgt!AL35+('Operating Inputs'!$K$8-1)*(AvgLeaseTermMarket/12)*AK48*OperBgt!AK35,0)
+N("Stabilized concession if less than or equal to 1 month")
-IF(AND('Operating Inputs'!$K$10&lt;=1,AM$38=(1-Vacancy),AL$5&lt;=(MonthStabilization+'Operating Inputs'!$K$11)),'Operating Inputs'!$K$10*(AvgLeaseTermMarket/12)*AL48*OperBgt!AL109,0)</f>
        <v>0</v>
      </c>
      <c r="AN192" s="227">
        <f>N("Lease-up concession if greater than 2 months")
-IF('Operating Inputs'!$K$8&gt;2,(AK$38&lt;'Operating Inputs'!$K$9)*MAX('Operating Inputs'!$K$8-2,0)*AK$48*AK$35+(OperBgt!AL$38&lt;'Operating Inputs'!$K$9)*MIN('Operating Inputs'!$K$8-1,1)*AL$35*AL$48+(OperBgt!AM$38&lt;'Operating Inputs'!$K$9)*MIN('Operating Inputs'!$K$8,1)*AM$35*AM$48,0)
+N("Stabilized concession if greater than 1 month")
-IF('Operating Inputs'!$K$10&gt;1,(AL$5&lt;=(MonthStabilization+'Operating Inputs'!$K$11))*(OperBgt!AL$38&gt;'Operating Inputs'!$K$9)*MIN('Operating Inputs'!$K$10-1,1)*AL$109*AL$48+(AM$5&lt;=(MonthStabilization+'Operating Inputs'!$K$11))*(OperBgt!AM$38&gt;'Operating Inputs'!$K$9)*MIN('Operating Inputs'!$K$10,1)*AM$109*AM$48,0)
+N("Lease-up concession if less than or equal to 2 months")
-IF(AND('Operating Inputs'!$K$8&lt;=2,AM$38&lt;'Operating Inputs'!$K$9,AN$38&lt;&gt;(1-Vacancy)),MIN('Operating Inputs'!$K$8,1)*(AvgLeaseTermMarket/12)*AM48*OperBgt!AM35+('Operating Inputs'!$K$8-1)*(AvgLeaseTermMarket/12)*AL48*OperBgt!AL35,0)
+N("Stabilized concession if less than or equal to 1 month")
-IF(AND('Operating Inputs'!$K$10&lt;=1,AN$38=(1-Vacancy),AM$5&lt;=(MonthStabilization+'Operating Inputs'!$K$11)),'Operating Inputs'!$K$10*(AvgLeaseTermMarket/12)*AM48*OperBgt!AM109,0)</f>
        <v>0</v>
      </c>
      <c r="AO192" s="227">
        <f>N("Lease-up concession if greater than 2 months")
-IF('Operating Inputs'!$K$8&gt;2,(AL$38&lt;'Operating Inputs'!$K$9)*MAX('Operating Inputs'!$K$8-2,0)*AL$48*AL$35+(OperBgt!AM$38&lt;'Operating Inputs'!$K$9)*MIN('Operating Inputs'!$K$8-1,1)*AM$35*AM$48+(OperBgt!AN$38&lt;'Operating Inputs'!$K$9)*MIN('Operating Inputs'!$K$8,1)*AN$35*AN$48,0)
+N("Stabilized concession if greater than 1 month")
-IF('Operating Inputs'!$K$10&gt;1,(AM$5&lt;=(MonthStabilization+'Operating Inputs'!$K$11))*(OperBgt!AM$38&gt;'Operating Inputs'!$K$9)*MIN('Operating Inputs'!$K$10-1,1)*AM$109*AM$48+(AN$5&lt;=(MonthStabilization+'Operating Inputs'!$K$11))*(OperBgt!AN$38&gt;'Operating Inputs'!$K$9)*MIN('Operating Inputs'!$K$10,1)*AN$109*AN$48,0)
+N("Lease-up concession if less than or equal to 2 months")
-IF(AND('Operating Inputs'!$K$8&lt;=2,AN$38&lt;'Operating Inputs'!$K$9,AO$38&lt;&gt;(1-Vacancy)),MIN('Operating Inputs'!$K$8,1)*(AvgLeaseTermMarket/12)*AN48*OperBgt!AN35+('Operating Inputs'!$K$8-1)*(AvgLeaseTermMarket/12)*AM48*OperBgt!AM35,0)
+N("Stabilized concession if less than or equal to 1 month")
-IF(AND('Operating Inputs'!$K$10&lt;=1,AO$38=(1-Vacancy),AN$5&lt;=(MonthStabilization+'Operating Inputs'!$K$11)),'Operating Inputs'!$K$10*(AvgLeaseTermMarket/12)*AN48*OperBgt!AN109,0)</f>
        <v>0</v>
      </c>
      <c r="AP192" s="227">
        <f>N("Lease-up concession if greater than 2 months")
-IF('Operating Inputs'!$K$8&gt;2,(AM$38&lt;'Operating Inputs'!$K$9)*MAX('Operating Inputs'!$K$8-2,0)*AM$48*AM$35+(OperBgt!AN$38&lt;'Operating Inputs'!$K$9)*MIN('Operating Inputs'!$K$8-1,1)*AN$35*AN$48+(OperBgt!AO$38&lt;'Operating Inputs'!$K$9)*MIN('Operating Inputs'!$K$8,1)*AO$35*AO$48,0)
+N("Stabilized concession if greater than 1 month")
-IF('Operating Inputs'!$K$10&gt;1,(AN$5&lt;=(MonthStabilization+'Operating Inputs'!$K$11))*(OperBgt!AN$38&gt;'Operating Inputs'!$K$9)*MIN('Operating Inputs'!$K$10-1,1)*AN$109*AN$48+(AO$5&lt;=(MonthStabilization+'Operating Inputs'!$K$11))*(OperBgt!AO$38&gt;'Operating Inputs'!$K$9)*MIN('Operating Inputs'!$K$10,1)*AO$109*AO$48,0)
+N("Lease-up concession if less than or equal to 2 months")
-IF(AND('Operating Inputs'!$K$8&lt;=2,AO$38&lt;'Operating Inputs'!$K$9,AP$38&lt;&gt;(1-Vacancy)),MIN('Operating Inputs'!$K$8,1)*(AvgLeaseTermMarket/12)*AO48*OperBgt!AO35+('Operating Inputs'!$K$8-1)*(AvgLeaseTermMarket/12)*AN48*OperBgt!AN35,0)
+N("Stabilized concession if less than or equal to 1 month")
-IF(AND('Operating Inputs'!$K$10&lt;=1,AP$38=(1-Vacancy),AO$5&lt;=(MonthStabilization+'Operating Inputs'!$K$11)),'Operating Inputs'!$K$10*(AvgLeaseTermMarket/12)*AO48*OperBgt!AO109,0)</f>
        <v>0</v>
      </c>
      <c r="AQ192" s="227">
        <f>N("Lease-up concession if greater than 2 months")
-IF('Operating Inputs'!$K$8&gt;2,(AN$38&lt;'Operating Inputs'!$K$9)*MAX('Operating Inputs'!$K$8-2,0)*AN$48*AN$35+(OperBgt!AO$38&lt;'Operating Inputs'!$K$9)*MIN('Operating Inputs'!$K$8-1,1)*AO$35*AO$48+(OperBgt!AP$38&lt;'Operating Inputs'!$K$9)*MIN('Operating Inputs'!$K$8,1)*AP$35*AP$48,0)
+N("Stabilized concession if greater than 1 month")
-IF('Operating Inputs'!$K$10&gt;1,(AO$5&lt;=(MonthStabilization+'Operating Inputs'!$K$11))*(OperBgt!AO$38&gt;'Operating Inputs'!$K$9)*MIN('Operating Inputs'!$K$10-1,1)*AO$109*AO$48+(AP$5&lt;=(MonthStabilization+'Operating Inputs'!$K$11))*(OperBgt!AP$38&gt;'Operating Inputs'!$K$9)*MIN('Operating Inputs'!$K$10,1)*AP$109*AP$48,0)
+N("Lease-up concession if less than or equal to 2 months")
-IF(AND('Operating Inputs'!$K$8&lt;=2,AP$38&lt;'Operating Inputs'!$K$9,AQ$38&lt;&gt;(1-Vacancy)),MIN('Operating Inputs'!$K$8,1)*(AvgLeaseTermMarket/12)*AP48*OperBgt!AP35+('Operating Inputs'!$K$8-1)*(AvgLeaseTermMarket/12)*AO48*OperBgt!AO35,0)
+N("Stabilized concession if less than or equal to 1 month")
-IF(AND('Operating Inputs'!$K$10&lt;=1,AQ$38=(1-Vacancy),AP$5&lt;=(MonthStabilization+'Operating Inputs'!$K$11)),'Operating Inputs'!$K$10*(AvgLeaseTermMarket/12)*AP48*OperBgt!AP109,0)</f>
        <v>0</v>
      </c>
      <c r="AR192" s="227">
        <f>N("Lease-up concession if greater than 2 months")
-IF('Operating Inputs'!$K$8&gt;2,(AO$38&lt;'Operating Inputs'!$K$9)*MAX('Operating Inputs'!$K$8-2,0)*AO$48*AO$35+(OperBgt!AP$38&lt;'Operating Inputs'!$K$9)*MIN('Operating Inputs'!$K$8-1,1)*AP$35*AP$48+(OperBgt!AQ$38&lt;'Operating Inputs'!$K$9)*MIN('Operating Inputs'!$K$8,1)*AQ$35*AQ$48,0)
+N("Stabilized concession if greater than 1 month")
-IF('Operating Inputs'!$K$10&gt;1,(AP$5&lt;=(MonthStabilization+'Operating Inputs'!$K$11))*(OperBgt!AP$38&gt;'Operating Inputs'!$K$9)*MIN('Operating Inputs'!$K$10-1,1)*AP$109*AP$48+(AQ$5&lt;=(MonthStabilization+'Operating Inputs'!$K$11))*(OperBgt!AQ$38&gt;'Operating Inputs'!$K$9)*MIN('Operating Inputs'!$K$10,1)*AQ$109*AQ$48,0)
+N("Lease-up concession if less than or equal to 2 months")
-IF(AND('Operating Inputs'!$K$8&lt;=2,AQ$38&lt;'Operating Inputs'!$K$9,AR$38&lt;&gt;(1-Vacancy)),MIN('Operating Inputs'!$K$8,1)*(AvgLeaseTermMarket/12)*AQ48*OperBgt!AQ35+('Operating Inputs'!$K$8-1)*(AvgLeaseTermMarket/12)*AP48*OperBgt!AP35,0)
+N("Stabilized concession if less than or equal to 1 month")
-IF(AND('Operating Inputs'!$K$10&lt;=1,AR$38=(1-Vacancy),AQ$5&lt;=(MonthStabilization+'Operating Inputs'!$K$11)),'Operating Inputs'!$K$10*(AvgLeaseTermMarket/12)*AQ48*OperBgt!AQ109,0)</f>
        <v>0</v>
      </c>
      <c r="AS192" s="227">
        <f>N("Lease-up concession if greater than 2 months")
-IF('Operating Inputs'!$K$8&gt;2,(AP$38&lt;'Operating Inputs'!$K$9)*MAX('Operating Inputs'!$K$8-2,0)*AP$48*AP$35+(OperBgt!AQ$38&lt;'Operating Inputs'!$K$9)*MIN('Operating Inputs'!$K$8-1,1)*AQ$35*AQ$48+(OperBgt!AR$38&lt;'Operating Inputs'!$K$9)*MIN('Operating Inputs'!$K$8,1)*AR$35*AR$48,0)
+N("Stabilized concession if greater than 1 month")
-IF('Operating Inputs'!$K$10&gt;1,(AQ$5&lt;=(MonthStabilization+'Operating Inputs'!$K$11))*(OperBgt!AQ$38&gt;'Operating Inputs'!$K$9)*MIN('Operating Inputs'!$K$10-1,1)*AQ$109*AQ$48+(AR$5&lt;=(MonthStabilization+'Operating Inputs'!$K$11))*(OperBgt!AR$38&gt;'Operating Inputs'!$K$9)*MIN('Operating Inputs'!$K$10,1)*AR$109*AR$48,0)
+N("Lease-up concession if less than or equal to 2 months")
-IF(AND('Operating Inputs'!$K$8&lt;=2,AR$38&lt;'Operating Inputs'!$K$9,AS$38&lt;&gt;(1-Vacancy)),MIN('Operating Inputs'!$K$8,1)*(AvgLeaseTermMarket/12)*AR48*OperBgt!AR35+('Operating Inputs'!$K$8-1)*(AvgLeaseTermMarket/12)*AQ48*OperBgt!AQ35,0)
+N("Stabilized concession if less than or equal to 1 month")
-IF(AND('Operating Inputs'!$K$10&lt;=1,AS$38=(1-Vacancy),AR$5&lt;=(MonthStabilization+'Operating Inputs'!$K$11)),'Operating Inputs'!$K$10*(AvgLeaseTermMarket/12)*AR48*OperBgt!AR109,0)</f>
        <v>0</v>
      </c>
    </row>
    <row r="194" spans="20:45" x14ac:dyDescent="0.3">
      <c r="T194" s="227"/>
      <c r="U194" s="227"/>
      <c r="V194" s="227"/>
      <c r="W194" s="227"/>
      <c r="X194" s="227"/>
      <c r="Y194" s="227"/>
      <c r="Z194" s="227"/>
      <c r="AA194" s="227"/>
      <c r="AB194" s="227"/>
      <c r="AC194" s="227"/>
      <c r="AD194" s="227"/>
      <c r="AE194" s="227"/>
      <c r="AF194" s="227"/>
      <c r="AG194" s="227"/>
      <c r="AH194" s="227"/>
      <c r="AI194" s="227"/>
      <c r="AJ194" s="227"/>
      <c r="AK194" s="227"/>
      <c r="AL194" s="227"/>
      <c r="AM194" s="227">
        <f t="shared" ref="AM194:AS194" si="333">SUM(AM190:AM192)</f>
        <v>0</v>
      </c>
      <c r="AN194" s="227">
        <f t="shared" si="333"/>
        <v>0</v>
      </c>
      <c r="AO194" s="227">
        <f t="shared" si="333"/>
        <v>0</v>
      </c>
      <c r="AP194" s="227">
        <f t="shared" si="333"/>
        <v>0</v>
      </c>
      <c r="AQ194" s="227">
        <f t="shared" si="333"/>
        <v>0</v>
      </c>
      <c r="AR194" s="227">
        <f t="shared" si="333"/>
        <v>0</v>
      </c>
      <c r="AS194" s="227">
        <f t="shared" si="333"/>
        <v>0</v>
      </c>
    </row>
  </sheetData>
  <sheetProtection algorithmName="SHA-512" hashValue="SAdxB2R8B0VbH+LnPnj9x4cs0PIWysl3iI2RJYq+AxZDXAmR0CQMnBvDI+RFNNog4fhyCvItgROIvwAwSta+eg==" saltValue="Zh00Z5RsAO6a7ynAPgXiiQ==" spinCount="100000" sheet="1" objects="1" scenarios="1"/>
  <sortState xmlns:xlrd2="http://schemas.microsoft.com/office/spreadsheetml/2017/richdata2" ref="A67:A75">
    <sortCondition ref="A67"/>
  </sortState>
  <mergeCells count="9">
    <mergeCell ref="A42:C42"/>
    <mergeCell ref="A22:C22"/>
    <mergeCell ref="A8:C8"/>
    <mergeCell ref="A115:C115"/>
    <mergeCell ref="A107:C107"/>
    <mergeCell ref="A92:C92"/>
    <mergeCell ref="A84:C84"/>
    <mergeCell ref="A68:C68"/>
    <mergeCell ref="A53:C53"/>
  </mergeCells>
  <pageMargins left="0.25" right="0.25" top="0.4" bottom="0.4" header="0.3" footer="0.3"/>
  <pageSetup scale="60" pageOrder="overThenDown" orientation="landscape" r:id="rId1"/>
  <headerFooter>
    <oddHeader>&amp;C&amp;"Garamond,Bold Italic"&amp;14Operating Budget&amp;"Garamond,Italic"
(Monthly Detail)&amp;R&amp;"Garamond,Regular"&amp;10Printed: &amp;D &amp;T</oddHeader>
    <oddFooter>&amp;R&amp;"Garamond,Regular"&amp;10Page &amp;P of &amp;N</odd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9">
    <tabColor theme="6" tint="0.79998168889431442"/>
  </sheetPr>
  <dimension ref="A1:EI305"/>
  <sheetViews>
    <sheetView showGridLines="0" zoomScale="70" zoomScaleNormal="70" zoomScaleSheetLayoutView="90" workbookViewId="0">
      <pane xSplit="3" ySplit="6" topLeftCell="G143" activePane="bottomRight" state="frozen"/>
      <selection activeCell="F153" sqref="F153:J153"/>
      <selection pane="topRight" activeCell="F153" sqref="F153:J153"/>
      <selection pane="bottomLeft" activeCell="F153" sqref="F153:J153"/>
      <selection pane="bottomRight" activeCell="F153" sqref="F153:J153"/>
    </sheetView>
  </sheetViews>
  <sheetFormatPr defaultColWidth="16" defaultRowHeight="14.4" x14ac:dyDescent="0.3"/>
  <cols>
    <col min="1" max="14" width="15.6640625" customWidth="1"/>
  </cols>
  <sheetData>
    <row r="1" spans="1:14" x14ac:dyDescent="0.3">
      <c r="A1" t="str">
        <f>Waterfalls!A1</f>
        <v>Project:</v>
      </c>
      <c r="B1" t="str">
        <f>Waterfalls!B1</f>
        <v>Emblem Meridian</v>
      </c>
    </row>
    <row r="2" spans="1:14" x14ac:dyDescent="0.3">
      <c r="A2" t="str">
        <f>Waterfalls!A2</f>
        <v>Location:</v>
      </c>
      <c r="B2" s="229" t="str">
        <f>Waterfalls!B2</f>
        <v>Meridian, Other</v>
      </c>
    </row>
    <row r="3" spans="1:14" x14ac:dyDescent="0.3">
      <c r="A3" t="str">
        <f>Waterfalls!A3</f>
        <v>Last Saved:</v>
      </c>
      <c r="B3" s="584">
        <f>Waterfalls!B3</f>
        <v>46248</v>
      </c>
      <c r="C3" s="585">
        <f>Waterfalls!C3</f>
        <v>0.67652777777777773</v>
      </c>
      <c r="D3" s="388"/>
    </row>
    <row r="4" spans="1:14" ht="7.5" customHeight="1" x14ac:dyDescent="0.3">
      <c r="B4" s="584"/>
      <c r="C4" s="585"/>
      <c r="D4" s="388"/>
    </row>
    <row r="5" spans="1:14" x14ac:dyDescent="0.3">
      <c r="A5" s="631"/>
      <c r="B5" s="631"/>
      <c r="C5" s="631"/>
      <c r="D5" s="632">
        <f>Waterfalls!E5</f>
        <v>0</v>
      </c>
      <c r="E5" s="632">
        <v>1</v>
      </c>
      <c r="F5" s="632">
        <v>2</v>
      </c>
      <c r="G5" s="632">
        <v>3</v>
      </c>
      <c r="H5" s="632">
        <v>4</v>
      </c>
      <c r="I5" s="632">
        <v>5</v>
      </c>
      <c r="J5" s="632">
        <v>6</v>
      </c>
      <c r="K5" s="632">
        <v>7</v>
      </c>
      <c r="L5" s="632">
        <v>8</v>
      </c>
      <c r="M5" s="632">
        <v>9</v>
      </c>
      <c r="N5" s="632">
        <v>10</v>
      </c>
    </row>
    <row r="6" spans="1:14" ht="15" thickBot="1" x14ac:dyDescent="0.35">
      <c r="A6" s="634"/>
      <c r="B6" s="634"/>
      <c r="C6" s="634"/>
      <c r="D6" s="387">
        <f>Waterfalls!E6</f>
        <v>46631</v>
      </c>
      <c r="E6" s="699">
        <f>YEAR(Waterfalls!Q6)</f>
        <v>2028</v>
      </c>
      <c r="F6" s="699">
        <f>YEAR(Waterfalls!AC6)</f>
        <v>2029</v>
      </c>
      <c r="G6" s="699">
        <f>YEAR(Waterfalls!AO6)</f>
        <v>2030</v>
      </c>
      <c r="H6" s="699">
        <f>YEAR(Waterfalls!BA6)</f>
        <v>2031</v>
      </c>
      <c r="I6" s="699">
        <f>YEAR(Waterfalls!BM6)</f>
        <v>2032</v>
      </c>
      <c r="J6" s="699">
        <f>YEAR(Waterfalls!BY6)</f>
        <v>2033</v>
      </c>
      <c r="K6" s="699">
        <f>YEAR(Waterfalls!CK6)</f>
        <v>2034</v>
      </c>
      <c r="L6" s="699">
        <f>YEAR(Waterfalls!CW6)</f>
        <v>2035</v>
      </c>
      <c r="M6" s="699">
        <f>YEAR(Waterfalls!DI6)</f>
        <v>2036</v>
      </c>
      <c r="N6" s="699">
        <f>YEAR(Waterfalls!DU6)</f>
        <v>2037</v>
      </c>
    </row>
    <row r="7" spans="1:14" ht="7.5" customHeight="1" thickTop="1" x14ac:dyDescent="0.3"/>
    <row r="8" spans="1:14" x14ac:dyDescent="0.3">
      <c r="A8" s="700" t="str">
        <f>Waterfalls!A8</f>
        <v>CONSTRUCTION LOAN DRAWS</v>
      </c>
    </row>
    <row r="9" spans="1:14" x14ac:dyDescent="0.3">
      <c r="A9" t="str">
        <f>Waterfalls!A9</f>
        <v>Beginning Balance</v>
      </c>
      <c r="D9" s="227">
        <f>Waterfalls!E9</f>
        <v>0</v>
      </c>
      <c r="E9" s="227">
        <f>Waterfalls!D11</f>
        <v>0</v>
      </c>
      <c r="F9" s="227">
        <f ca="1">Waterfalls!Q11</f>
        <v>9733199.8629999999</v>
      </c>
      <c r="G9" s="227">
        <f ca="1">Waterfalls!AC11</f>
        <v>42200089.103000008</v>
      </c>
      <c r="H9" s="227">
        <f ca="1">Waterfalls!AO11</f>
        <v>42877793.387000009</v>
      </c>
      <c r="I9" s="227">
        <f ca="1">Waterfalls!BA11</f>
        <v>42877793.387000009</v>
      </c>
      <c r="J9" s="227">
        <f ca="1">Waterfalls!BM11</f>
        <v>42877793.387000009</v>
      </c>
      <c r="K9" s="227">
        <f ca="1">Waterfalls!BY11</f>
        <v>42877793.387000009</v>
      </c>
      <c r="L9" s="227">
        <f ca="1">Waterfalls!CK11</f>
        <v>42877793.387000009</v>
      </c>
      <c r="M9" s="227">
        <f ca="1">Waterfalls!CW11</f>
        <v>42877793.387000009</v>
      </c>
      <c r="N9" s="227">
        <f ca="1">Waterfalls!DI11</f>
        <v>42877793.387000009</v>
      </c>
    </row>
    <row r="10" spans="1:14" x14ac:dyDescent="0.3">
      <c r="A10" t="str">
        <f>Waterfalls!A10</f>
        <v>Draws</v>
      </c>
      <c r="D10" s="229">
        <f ca="1">Waterfalls!E10</f>
        <v>0</v>
      </c>
      <c r="E10" s="229">
        <f ca="1">SUM(Waterfalls!F10:Q10)</f>
        <v>9733199.8629999999</v>
      </c>
      <c r="F10" s="229">
        <f ca="1">SUM(Waterfalls!R10:AC10)</f>
        <v>32466889.239999998</v>
      </c>
      <c r="G10" s="229">
        <f ca="1">SUM(Waterfalls!AD10:AO10)</f>
        <v>677704.28399999999</v>
      </c>
      <c r="H10" s="229">
        <f ca="1">SUM(Waterfalls!AP10:BA10)</f>
        <v>0</v>
      </c>
      <c r="I10" s="229">
        <f ca="1">SUM(Waterfalls!BB10:BM10)</f>
        <v>0</v>
      </c>
      <c r="J10" s="229">
        <f ca="1">SUM(Waterfalls!BN10:BY10)</f>
        <v>0</v>
      </c>
      <c r="K10" s="229">
        <f ca="1">SUM(Waterfalls!BZ10:CK10)</f>
        <v>0</v>
      </c>
      <c r="L10" s="229">
        <f ca="1">SUM(Waterfalls!CL10:CW10)</f>
        <v>0</v>
      </c>
      <c r="M10" s="229">
        <f ca="1">SUM(Waterfalls!CX10:DI10)</f>
        <v>0</v>
      </c>
      <c r="N10" s="229">
        <f ca="1">SUM(Waterfalls!DJ10:DU10)</f>
        <v>0</v>
      </c>
    </row>
    <row r="11" spans="1:14" ht="15" thickBot="1" x14ac:dyDescent="0.35">
      <c r="A11" s="248" t="str">
        <f>Waterfalls!A11</f>
        <v>Ending Balance</v>
      </c>
      <c r="B11" s="248"/>
      <c r="C11" s="248"/>
      <c r="D11" s="250">
        <f ca="1">Waterfalls!E11</f>
        <v>0</v>
      </c>
      <c r="E11" s="250">
        <f t="shared" ref="E11:N11" ca="1" si="0">SUM(E9:E10)</f>
        <v>9733199.8629999999</v>
      </c>
      <c r="F11" s="250">
        <f t="shared" ca="1" si="0"/>
        <v>42200089.103</v>
      </c>
      <c r="G11" s="250">
        <f t="shared" ca="1" si="0"/>
        <v>42877793.387000009</v>
      </c>
      <c r="H11" s="250">
        <f t="shared" ca="1" si="0"/>
        <v>42877793.387000009</v>
      </c>
      <c r="I11" s="250">
        <f t="shared" ca="1" si="0"/>
        <v>42877793.387000009</v>
      </c>
      <c r="J11" s="250">
        <f t="shared" ca="1" si="0"/>
        <v>42877793.387000009</v>
      </c>
      <c r="K11" s="250">
        <f t="shared" ca="1" si="0"/>
        <v>42877793.387000009</v>
      </c>
      <c r="L11" s="250">
        <f t="shared" ca="1" si="0"/>
        <v>42877793.387000009</v>
      </c>
      <c r="M11" s="250">
        <f t="shared" ca="1" si="0"/>
        <v>42877793.387000009</v>
      </c>
      <c r="N11" s="250">
        <f t="shared" ca="1" si="0"/>
        <v>42877793.387000009</v>
      </c>
    </row>
    <row r="12" spans="1:14" ht="7.5" customHeight="1" thickTop="1" x14ac:dyDescent="0.3"/>
    <row r="13" spans="1:14" x14ac:dyDescent="0.3">
      <c r="A13" s="700" t="str">
        <f>Waterfalls!A13</f>
        <v>CONSTRUCTION LOAN BALANCE</v>
      </c>
    </row>
    <row r="14" spans="1:14" x14ac:dyDescent="0.3">
      <c r="A14" t="str">
        <f>Waterfalls!A14</f>
        <v>Beginning Balance</v>
      </c>
      <c r="D14" s="227">
        <f>Waterfalls!E14</f>
        <v>0</v>
      </c>
      <c r="E14" s="227">
        <f>Waterfalls!D18</f>
        <v>0</v>
      </c>
      <c r="F14" s="227">
        <f ca="1">Waterfalls!Q18</f>
        <v>9733199.8629999999</v>
      </c>
      <c r="G14" s="227">
        <f ca="1">Waterfalls!AC18</f>
        <v>42200089.103000008</v>
      </c>
      <c r="H14" s="227">
        <f ca="1">Waterfalls!AO18</f>
        <v>0</v>
      </c>
      <c r="I14" s="227">
        <f ca="1">Waterfalls!BA18</f>
        <v>0</v>
      </c>
      <c r="J14" s="227">
        <f ca="1">Waterfalls!BM18</f>
        <v>0</v>
      </c>
      <c r="K14" s="227">
        <f ca="1">Waterfalls!BY18</f>
        <v>0</v>
      </c>
      <c r="L14" s="227">
        <f ca="1">Waterfalls!CK18</f>
        <v>0</v>
      </c>
      <c r="M14" s="227">
        <f ca="1">Waterfalls!CW18</f>
        <v>0</v>
      </c>
      <c r="N14" s="227">
        <f ca="1">Waterfalls!DI18</f>
        <v>0</v>
      </c>
    </row>
    <row r="15" spans="1:14" x14ac:dyDescent="0.3">
      <c r="A15" s="241" t="str">
        <f>Waterfalls!A15</f>
        <v>Draws</v>
      </c>
      <c r="B15" s="241"/>
      <c r="C15" s="241"/>
      <c r="D15" s="242">
        <f ca="1">Waterfalls!E15</f>
        <v>0</v>
      </c>
      <c r="E15" s="242">
        <f ca="1">SUM(Waterfalls!F15:Q15)</f>
        <v>9733199.8629999999</v>
      </c>
      <c r="F15" s="242">
        <f ca="1">SUM(Waterfalls!R15:AC15)</f>
        <v>32466889.239999998</v>
      </c>
      <c r="G15" s="242">
        <f ca="1">SUM(Waterfalls!AD15:AO15)</f>
        <v>677704.28399999999</v>
      </c>
      <c r="H15" s="242">
        <f ca="1">SUM(Waterfalls!AP15:BA15)</f>
        <v>0</v>
      </c>
      <c r="I15" s="242">
        <f ca="1">SUM(Waterfalls!BB15:BM15)</f>
        <v>0</v>
      </c>
      <c r="J15" s="242">
        <f ca="1">SUM(Waterfalls!BN15:BY15)</f>
        <v>0</v>
      </c>
      <c r="K15" s="242">
        <f ca="1">SUM(Waterfalls!BZ15:CK15)</f>
        <v>0</v>
      </c>
      <c r="L15" s="242">
        <f ca="1">SUM(Waterfalls!CL15:CW15)</f>
        <v>0</v>
      </c>
      <c r="M15" s="242">
        <f ca="1">SUM(Waterfalls!CX15:DI15)</f>
        <v>0</v>
      </c>
      <c r="N15" s="242">
        <f ca="1">SUM(Waterfalls!DJ15:DU15)</f>
        <v>0</v>
      </c>
    </row>
    <row r="16" spans="1:14" x14ac:dyDescent="0.3">
      <c r="A16" s="245" t="str">
        <f>Waterfalls!A16</f>
        <v>Subtotal</v>
      </c>
      <c r="D16" s="227">
        <f ca="1">Waterfalls!E16</f>
        <v>0</v>
      </c>
      <c r="E16" s="227">
        <f t="shared" ref="E16:N16" ca="1" si="1">SUM(E14:E15)</f>
        <v>9733199.8629999999</v>
      </c>
      <c r="F16" s="227">
        <f t="shared" ca="1" si="1"/>
        <v>42200089.103</v>
      </c>
      <c r="G16" s="227">
        <f t="shared" ca="1" si="1"/>
        <v>42877793.387000009</v>
      </c>
      <c r="H16" s="227">
        <f t="shared" ca="1" si="1"/>
        <v>0</v>
      </c>
      <c r="I16" s="227">
        <f t="shared" ca="1" si="1"/>
        <v>0</v>
      </c>
      <c r="J16" s="227">
        <f t="shared" ca="1" si="1"/>
        <v>0</v>
      </c>
      <c r="K16" s="227">
        <f t="shared" ca="1" si="1"/>
        <v>0</v>
      </c>
      <c r="L16" s="227">
        <f t="shared" ca="1" si="1"/>
        <v>0</v>
      </c>
      <c r="M16" s="227">
        <f t="shared" ca="1" si="1"/>
        <v>0</v>
      </c>
      <c r="N16" s="227">
        <f t="shared" ca="1" si="1"/>
        <v>0</v>
      </c>
    </row>
    <row r="17" spans="1:14" x14ac:dyDescent="0.3">
      <c r="A17" t="str">
        <f>Waterfalls!A17</f>
        <v>Refinance Proceeds</v>
      </c>
      <c r="D17" s="227">
        <f>Waterfalls!E17</f>
        <v>0</v>
      </c>
      <c r="E17" s="227">
        <f>SUM(Waterfalls!F17:Q17)</f>
        <v>0</v>
      </c>
      <c r="F17" s="227">
        <f>SUM(Waterfalls!R17:AC17)</f>
        <v>0</v>
      </c>
      <c r="G17" s="227">
        <f ca="1">SUM(Waterfalls!AD17:AO17)</f>
        <v>-42877793.387000009</v>
      </c>
      <c r="H17" s="227">
        <f>SUM(Waterfalls!AP17:BA17)</f>
        <v>0</v>
      </c>
      <c r="I17" s="227">
        <f>SUM(Waterfalls!BB17:BM17)</f>
        <v>0</v>
      </c>
      <c r="J17" s="227">
        <f>SUM(Waterfalls!BN17:BY17)</f>
        <v>0</v>
      </c>
      <c r="K17" s="227">
        <f>SUM(Waterfalls!BZ17:CK17)</f>
        <v>0</v>
      </c>
      <c r="L17" s="227">
        <f>SUM(Waterfalls!CL17:CW17)</f>
        <v>0</v>
      </c>
      <c r="M17" s="227">
        <f>SUM(Waterfalls!CX17:DI17)</f>
        <v>0</v>
      </c>
      <c r="N17" s="227">
        <f>SUM(Waterfalls!DJ17:DU17)</f>
        <v>0</v>
      </c>
    </row>
    <row r="18" spans="1:14" ht="15" thickBot="1" x14ac:dyDescent="0.35">
      <c r="A18" s="248" t="str">
        <f>Waterfalls!A18</f>
        <v>Ending Balance</v>
      </c>
      <c r="B18" s="248"/>
      <c r="C18" s="248"/>
      <c r="D18" s="250">
        <f ca="1">Waterfalls!E18</f>
        <v>0</v>
      </c>
      <c r="E18" s="250">
        <f t="shared" ref="E18:N18" ca="1" si="2">SUM(E16:E17)</f>
        <v>9733199.8629999999</v>
      </c>
      <c r="F18" s="250">
        <f t="shared" ca="1" si="2"/>
        <v>42200089.103</v>
      </c>
      <c r="G18" s="250">
        <f t="shared" ca="1" si="2"/>
        <v>0</v>
      </c>
      <c r="H18" s="250">
        <f t="shared" ca="1" si="2"/>
        <v>0</v>
      </c>
      <c r="I18" s="250">
        <f t="shared" ca="1" si="2"/>
        <v>0</v>
      </c>
      <c r="J18" s="250">
        <f t="shared" ca="1" si="2"/>
        <v>0</v>
      </c>
      <c r="K18" s="250">
        <f t="shared" ca="1" si="2"/>
        <v>0</v>
      </c>
      <c r="L18" s="250">
        <f t="shared" ca="1" si="2"/>
        <v>0</v>
      </c>
      <c r="M18" s="250">
        <f t="shared" ca="1" si="2"/>
        <v>0</v>
      </c>
      <c r="N18" s="250">
        <f t="shared" ca="1" si="2"/>
        <v>0</v>
      </c>
    </row>
    <row r="19" spans="1:14" ht="7.5" customHeight="1" thickTop="1" x14ac:dyDescent="0.3"/>
    <row r="20" spans="1:14" x14ac:dyDescent="0.3">
      <c r="A20" s="700" t="str">
        <f>Waterfalls!A20</f>
        <v>PERMANENT LOAN</v>
      </c>
    </row>
    <row r="21" spans="1:14" x14ac:dyDescent="0.3">
      <c r="A21" t="str">
        <f>Waterfalls!A21</f>
        <v>Beginning Balance</v>
      </c>
      <c r="D21" s="227">
        <f>Waterfalls!E21</f>
        <v>0</v>
      </c>
      <c r="E21" s="227">
        <f>Waterfalls!D24</f>
        <v>0</v>
      </c>
      <c r="F21" s="227">
        <f>Waterfalls!Q24</f>
        <v>0</v>
      </c>
      <c r="G21" s="227">
        <f>Waterfalls!AC24</f>
        <v>0</v>
      </c>
      <c r="H21" s="227">
        <f ca="1">Waterfalls!AO24</f>
        <v>42908958.331103884</v>
      </c>
      <c r="I21" s="227">
        <f ca="1">Waterfalls!BA24</f>
        <v>42385779.168695651</v>
      </c>
      <c r="J21" s="227">
        <f ca="1">Waterfalls!BM24</f>
        <v>41828845.296740316</v>
      </c>
      <c r="K21" s="227">
        <f ca="1">Waterfalls!BY24</f>
        <v>41235978.913638599</v>
      </c>
      <c r="L21" s="227">
        <f ca="1">Waterfalls!CK24</f>
        <v>40604861.709403798</v>
      </c>
      <c r="M21" s="227">
        <f ca="1">Waterfalls!CW24</f>
        <v>39933025.800278194</v>
      </c>
      <c r="N21" s="227">
        <f ca="1">Waterfalls!DI24</f>
        <v>39217844.07846491</v>
      </c>
    </row>
    <row r="22" spans="1:14" x14ac:dyDescent="0.3">
      <c r="A22" t="str">
        <f>Waterfalls!A22</f>
        <v>Funded</v>
      </c>
      <c r="D22" s="229">
        <f>Waterfalls!E22</f>
        <v>0</v>
      </c>
      <c r="E22" s="229">
        <f>SUM(Waterfalls!F22:Q22)</f>
        <v>0</v>
      </c>
      <c r="F22" s="229">
        <f>SUM(Waterfalls!R22:AC22)</f>
        <v>0</v>
      </c>
      <c r="G22" s="229">
        <f ca="1">SUM(Waterfalls!AD22:AO22)</f>
        <v>43199376.838609651</v>
      </c>
      <c r="H22" s="229">
        <f>SUM(Waterfalls!AP22:BA22)</f>
        <v>0</v>
      </c>
      <c r="I22" s="229">
        <f>SUM(Waterfalls!BB22:BM22)</f>
        <v>0</v>
      </c>
      <c r="J22" s="229">
        <f>SUM(Waterfalls!BN22:BY22)</f>
        <v>0</v>
      </c>
      <c r="K22" s="229">
        <f>SUM(Waterfalls!BZ22:CK22)</f>
        <v>0</v>
      </c>
      <c r="L22" s="229">
        <f>SUM(Waterfalls!CL22:CW22)</f>
        <v>0</v>
      </c>
      <c r="M22" s="229">
        <f>SUM(Waterfalls!CX22:DI22)</f>
        <v>0</v>
      </c>
      <c r="N22" s="229">
        <f>SUM(Waterfalls!DJ22:DU22)</f>
        <v>0</v>
      </c>
    </row>
    <row r="23" spans="1:14" x14ac:dyDescent="0.3">
      <c r="A23" s="241" t="str">
        <f>Waterfalls!A23</f>
        <v>Principal Portion of Debt Service</v>
      </c>
      <c r="B23" s="241"/>
      <c r="C23" s="241"/>
      <c r="D23" s="242">
        <f>Waterfalls!E23</f>
        <v>0</v>
      </c>
      <c r="E23" s="242">
        <f>SUM(Waterfalls!F23:Q23)</f>
        <v>0</v>
      </c>
      <c r="F23" s="242">
        <f>SUM(Waterfalls!R23:AC23)</f>
        <v>0</v>
      </c>
      <c r="G23" s="242">
        <f ca="1">SUM(Waterfalls!AD23:AO23)</f>
        <v>-290418.50750575599</v>
      </c>
      <c r="H23" s="242">
        <f ca="1">SUM(Waterfalls!AP23:BA23)</f>
        <v>-523179.16240824206</v>
      </c>
      <c r="I23" s="242">
        <f ca="1">SUM(Waterfalls!BB23:BM23)</f>
        <v>-556933.87195533572</v>
      </c>
      <c r="J23" s="242">
        <f ca="1">SUM(Waterfalls!BN23:BY23)</f>
        <v>-592866.38310172094</v>
      </c>
      <c r="K23" s="242">
        <f ca="1">SUM(Waterfalls!BZ23:CK23)</f>
        <v>-631117.20423480531</v>
      </c>
      <c r="L23" s="242">
        <f ca="1">SUM(Waterfalls!CL23:CW23)</f>
        <v>-671835.90912561014</v>
      </c>
      <c r="M23" s="242">
        <f ca="1">SUM(Waterfalls!CX23:DI23)</f>
        <v>-715181.72181328572</v>
      </c>
      <c r="N23" s="242">
        <f ca="1">SUM(Waterfalls!DJ23:DU23)</f>
        <v>-761324.13922546967</v>
      </c>
    </row>
    <row r="24" spans="1:14" ht="15" thickBot="1" x14ac:dyDescent="0.35">
      <c r="A24" s="248" t="str">
        <f>Waterfalls!A24</f>
        <v>Ending Balance</v>
      </c>
      <c r="B24" s="248"/>
      <c r="C24" s="248"/>
      <c r="D24" s="250">
        <f>Waterfalls!E24</f>
        <v>0</v>
      </c>
      <c r="E24" s="250">
        <f t="shared" ref="E24:N24" si="3">SUM(E21:E23)</f>
        <v>0</v>
      </c>
      <c r="F24" s="250">
        <f t="shared" si="3"/>
        <v>0</v>
      </c>
      <c r="G24" s="250">
        <f t="shared" ca="1" si="3"/>
        <v>42908958.331103891</v>
      </c>
      <c r="H24" s="250">
        <f t="shared" ca="1" si="3"/>
        <v>42385779.168695644</v>
      </c>
      <c r="I24" s="250">
        <f t="shared" ca="1" si="3"/>
        <v>41828845.296740316</v>
      </c>
      <c r="J24" s="250">
        <f t="shared" ca="1" si="3"/>
        <v>41235978.913638592</v>
      </c>
      <c r="K24" s="250">
        <f t="shared" ca="1" si="3"/>
        <v>40604861.709403791</v>
      </c>
      <c r="L24" s="250">
        <f t="shared" ca="1" si="3"/>
        <v>39933025.800278187</v>
      </c>
      <c r="M24" s="250">
        <f t="shared" ca="1" si="3"/>
        <v>39217844.07846491</v>
      </c>
      <c r="N24" s="250">
        <f t="shared" ca="1" si="3"/>
        <v>38456519.939239442</v>
      </c>
    </row>
    <row r="25" spans="1:14" ht="7.5" customHeight="1" thickTop="1" x14ac:dyDescent="0.3"/>
    <row r="26" spans="1:14" x14ac:dyDescent="0.3">
      <c r="A26" s="700" t="str">
        <f>Waterfalls!A26</f>
        <v>MEZZANINE DRAWS</v>
      </c>
    </row>
    <row r="27" spans="1:14" x14ac:dyDescent="0.3">
      <c r="A27" t="str">
        <f>Waterfalls!A27</f>
        <v>Beginning Balance</v>
      </c>
      <c r="D27" s="227">
        <f>Waterfalls!E27</f>
        <v>0</v>
      </c>
      <c r="E27" s="227">
        <f ca="1">Waterfalls!E29</f>
        <v>0</v>
      </c>
      <c r="F27" s="227">
        <f ca="1">Waterfalls!Q29</f>
        <v>0</v>
      </c>
      <c r="G27" s="227">
        <f ca="1">Waterfalls!AC29</f>
        <v>0</v>
      </c>
      <c r="H27" s="227">
        <f ca="1">Waterfalls!AO29</f>
        <v>0</v>
      </c>
      <c r="I27" s="227">
        <f ca="1">Waterfalls!BA29</f>
        <v>0</v>
      </c>
      <c r="J27" s="227">
        <f ca="1">Waterfalls!BM29</f>
        <v>0</v>
      </c>
      <c r="K27" s="227">
        <f ca="1">Waterfalls!BY29</f>
        <v>0</v>
      </c>
      <c r="L27" s="227">
        <f ca="1">Waterfalls!CK29</f>
        <v>0</v>
      </c>
      <c r="M27" s="227">
        <f ca="1">Waterfalls!CW29</f>
        <v>0</v>
      </c>
      <c r="N27" s="227">
        <f ca="1">Waterfalls!DI29</f>
        <v>0</v>
      </c>
    </row>
    <row r="28" spans="1:14" x14ac:dyDescent="0.3">
      <c r="A28" t="str">
        <f>Waterfalls!A28</f>
        <v>Draws</v>
      </c>
      <c r="D28" s="229">
        <f ca="1">Waterfalls!E28</f>
        <v>0</v>
      </c>
      <c r="E28" s="229">
        <f ca="1">SUM(Waterfalls!F28:Q28)</f>
        <v>0</v>
      </c>
      <c r="F28" s="229">
        <f ca="1">SUM(Waterfalls!R28:AC28)</f>
        <v>0</v>
      </c>
      <c r="G28" s="229">
        <f ca="1">SUM(Waterfalls!AD28:AO28)</f>
        <v>0</v>
      </c>
      <c r="H28" s="229">
        <f ca="1">SUM(Waterfalls!AP28:BA28)</f>
        <v>0</v>
      </c>
      <c r="I28" s="229">
        <f ca="1">SUM(Waterfalls!BB28:BM28)</f>
        <v>0</v>
      </c>
      <c r="J28" s="229">
        <f ca="1">SUM(Waterfalls!BN28:BY28)</f>
        <v>0</v>
      </c>
      <c r="K28" s="229">
        <f ca="1">SUM(Waterfalls!BZ28:CK28)</f>
        <v>0</v>
      </c>
      <c r="L28" s="229">
        <f ca="1">SUM(Waterfalls!CL28:CW28)</f>
        <v>0</v>
      </c>
      <c r="M28" s="229">
        <f ca="1">SUM(Waterfalls!CX28:DI28)</f>
        <v>0</v>
      </c>
      <c r="N28" s="229">
        <f ca="1">SUM(Waterfalls!DJ28:DU28)</f>
        <v>0</v>
      </c>
    </row>
    <row r="29" spans="1:14" ht="15" thickBot="1" x14ac:dyDescent="0.35">
      <c r="A29" s="248" t="str">
        <f>Waterfalls!A29</f>
        <v>Ending Balance</v>
      </c>
      <c r="B29" s="248"/>
      <c r="C29" s="248"/>
      <c r="D29" s="250">
        <f ca="1">Waterfalls!E29</f>
        <v>0</v>
      </c>
      <c r="E29" s="250">
        <f t="shared" ref="E29:N29" ca="1" si="4">SUM(E27:E28)</f>
        <v>0</v>
      </c>
      <c r="F29" s="250">
        <f t="shared" ca="1" si="4"/>
        <v>0</v>
      </c>
      <c r="G29" s="250">
        <f t="shared" ca="1" si="4"/>
        <v>0</v>
      </c>
      <c r="H29" s="250">
        <f t="shared" ca="1" si="4"/>
        <v>0</v>
      </c>
      <c r="I29" s="250">
        <f t="shared" ca="1" si="4"/>
        <v>0</v>
      </c>
      <c r="J29" s="250">
        <f t="shared" ca="1" si="4"/>
        <v>0</v>
      </c>
      <c r="K29" s="250">
        <f t="shared" ca="1" si="4"/>
        <v>0</v>
      </c>
      <c r="L29" s="250">
        <f t="shared" ca="1" si="4"/>
        <v>0</v>
      </c>
      <c r="M29" s="250">
        <f t="shared" ca="1" si="4"/>
        <v>0</v>
      </c>
      <c r="N29" s="250">
        <f t="shared" ca="1" si="4"/>
        <v>0</v>
      </c>
    </row>
    <row r="30" spans="1:14" ht="7.5" customHeight="1" thickTop="1" x14ac:dyDescent="0.3"/>
    <row r="31" spans="1:14" x14ac:dyDescent="0.3">
      <c r="A31" s="700" t="str">
        <f>Waterfalls!A31</f>
        <v>MEZZANINE BALANCE</v>
      </c>
    </row>
    <row r="32" spans="1:14" x14ac:dyDescent="0.3">
      <c r="A32" t="str">
        <f>Waterfalls!A32</f>
        <v>Beginning Balance</v>
      </c>
      <c r="D32" s="227">
        <f>Waterfalls!E32</f>
        <v>0</v>
      </c>
      <c r="E32" s="227">
        <f>Waterfalls!E38</f>
        <v>0</v>
      </c>
      <c r="F32" s="227">
        <f ca="1">Waterfalls!Q38</f>
        <v>0</v>
      </c>
      <c r="G32" s="227">
        <f ca="1">Waterfalls!AC38</f>
        <v>0</v>
      </c>
      <c r="H32" s="227">
        <f ca="1">Waterfalls!AO38</f>
        <v>0</v>
      </c>
      <c r="I32" s="227">
        <f ca="1">Waterfalls!BA38</f>
        <v>0</v>
      </c>
      <c r="J32" s="227">
        <f ca="1">Waterfalls!BM38</f>
        <v>0</v>
      </c>
      <c r="K32" s="227">
        <f ca="1">Waterfalls!BY38</f>
        <v>0</v>
      </c>
      <c r="L32" s="227">
        <f ca="1">Waterfalls!CK38</f>
        <v>0</v>
      </c>
      <c r="M32" s="227">
        <f ca="1">Waterfalls!CW38</f>
        <v>0</v>
      </c>
      <c r="N32" s="227">
        <f ca="1">Waterfalls!DI38</f>
        <v>0</v>
      </c>
    </row>
    <row r="33" spans="1:14" x14ac:dyDescent="0.3">
      <c r="A33" t="str">
        <f>Waterfalls!A33</f>
        <v>Principal Funded</v>
      </c>
      <c r="D33" s="229">
        <f>Waterfalls!E33</f>
        <v>0</v>
      </c>
      <c r="E33" s="229">
        <f>SUM(Waterfalls!F33:Q33)</f>
        <v>0</v>
      </c>
      <c r="F33" s="229">
        <f>SUM(Waterfalls!R33:AC33)</f>
        <v>0</v>
      </c>
      <c r="G33" s="229">
        <f>SUM(Waterfalls!AD33:AO33)</f>
        <v>0</v>
      </c>
      <c r="H33" s="229">
        <f>SUM(Waterfalls!AP33:BA33)</f>
        <v>0</v>
      </c>
      <c r="I33" s="229">
        <f>SUM(Waterfalls!BB33:BM33)</f>
        <v>0</v>
      </c>
      <c r="J33" s="229">
        <f>SUM(Waterfalls!BN33:BY33)</f>
        <v>0</v>
      </c>
      <c r="K33" s="229">
        <f>SUM(Waterfalls!BZ33:CK33)</f>
        <v>0</v>
      </c>
      <c r="L33" s="229">
        <f>SUM(Waterfalls!CL33:CW33)</f>
        <v>0</v>
      </c>
      <c r="M33" s="229">
        <f>SUM(Waterfalls!CX33:DI33)</f>
        <v>0</v>
      </c>
      <c r="N33" s="229">
        <f>SUM(Waterfalls!DJ33:DU33)</f>
        <v>0</v>
      </c>
    </row>
    <row r="34" spans="1:14" x14ac:dyDescent="0.3">
      <c r="A34" s="241" t="str">
        <f>Waterfalls!A34</f>
        <v>Principal Portion of Debt Service</v>
      </c>
      <c r="B34" s="241"/>
      <c r="C34" s="241"/>
      <c r="D34" s="242">
        <f>Waterfalls!E34</f>
        <v>0</v>
      </c>
      <c r="E34" s="242">
        <f ca="1">SUM(Waterfalls!F34:Q34)</f>
        <v>0</v>
      </c>
      <c r="F34" s="242">
        <f ca="1">SUM(Waterfalls!R34:AC34)</f>
        <v>0</v>
      </c>
      <c r="G34" s="242">
        <f ca="1">SUM(Waterfalls!AD34:AO34)</f>
        <v>0</v>
      </c>
      <c r="H34" s="242">
        <f ca="1">SUM(Waterfalls!AP34:BA34)</f>
        <v>0</v>
      </c>
      <c r="I34" s="242">
        <f ca="1">SUM(Waterfalls!BB34:BM34)</f>
        <v>0</v>
      </c>
      <c r="J34" s="242">
        <f ca="1">SUM(Waterfalls!BN34:BY34)</f>
        <v>0</v>
      </c>
      <c r="K34" s="242">
        <f ca="1">SUM(Waterfalls!BZ34:CK34)</f>
        <v>0</v>
      </c>
      <c r="L34" s="242">
        <f ca="1">SUM(Waterfalls!CL34:CW34)</f>
        <v>0</v>
      </c>
      <c r="M34" s="242">
        <f ca="1">SUM(Waterfalls!CX34:DI34)</f>
        <v>0</v>
      </c>
      <c r="N34" s="242">
        <f ca="1">SUM(Waterfalls!DJ34:DU34)</f>
        <v>0</v>
      </c>
    </row>
    <row r="35" spans="1:14" x14ac:dyDescent="0.3">
      <c r="A35" s="245" t="str">
        <f>Waterfalls!A35</f>
        <v>Subtotal</v>
      </c>
      <c r="D35" s="227">
        <f>Waterfalls!E35</f>
        <v>0</v>
      </c>
      <c r="E35" s="227">
        <f t="shared" ref="E35:N35" ca="1" si="5">SUM(E32:E34)</f>
        <v>0</v>
      </c>
      <c r="F35" s="227">
        <f t="shared" ca="1" si="5"/>
        <v>0</v>
      </c>
      <c r="G35" s="227">
        <f t="shared" ca="1" si="5"/>
        <v>0</v>
      </c>
      <c r="H35" s="227">
        <f t="shared" ca="1" si="5"/>
        <v>0</v>
      </c>
      <c r="I35" s="227">
        <f t="shared" ca="1" si="5"/>
        <v>0</v>
      </c>
      <c r="J35" s="227">
        <f t="shared" ca="1" si="5"/>
        <v>0</v>
      </c>
      <c r="K35" s="227">
        <f t="shared" ca="1" si="5"/>
        <v>0</v>
      </c>
      <c r="L35" s="227">
        <f t="shared" ca="1" si="5"/>
        <v>0</v>
      </c>
      <c r="M35" s="227">
        <f t="shared" ca="1" si="5"/>
        <v>0</v>
      </c>
      <c r="N35" s="227">
        <f t="shared" ca="1" si="5"/>
        <v>0</v>
      </c>
    </row>
    <row r="36" spans="1:14" x14ac:dyDescent="0.3">
      <c r="A36" t="str">
        <f>Waterfalls!A36</f>
        <v>Refi Proceeds</v>
      </c>
      <c r="D36" s="229">
        <f>Waterfalls!E36</f>
        <v>0</v>
      </c>
      <c r="E36" s="229">
        <f>SUM(Waterfalls!F36:Q36)</f>
        <v>0</v>
      </c>
      <c r="F36" s="229">
        <f>SUM(Waterfalls!R36:AC36)</f>
        <v>0</v>
      </c>
      <c r="G36" s="229">
        <f ca="1">SUM(Waterfalls!AD36:AO36)</f>
        <v>0</v>
      </c>
      <c r="H36" s="229">
        <f>SUM(Waterfalls!AP36:BA36)</f>
        <v>0</v>
      </c>
      <c r="I36" s="229">
        <f>SUM(Waterfalls!BB36:BM36)</f>
        <v>0</v>
      </c>
      <c r="J36" s="229">
        <f>SUM(Waterfalls!BN36:BY36)</f>
        <v>0</v>
      </c>
      <c r="K36" s="229">
        <f>SUM(Waterfalls!BZ36:CK36)</f>
        <v>0</v>
      </c>
      <c r="L36" s="229">
        <f>SUM(Waterfalls!CL36:CW36)</f>
        <v>0</v>
      </c>
      <c r="M36" s="229">
        <f>SUM(Waterfalls!CX36:DI36)</f>
        <v>0</v>
      </c>
      <c r="N36" s="229">
        <f>SUM(Waterfalls!DJ36:DU36)</f>
        <v>0</v>
      </c>
    </row>
    <row r="37" spans="1:14" x14ac:dyDescent="0.3">
      <c r="A37" t="str">
        <f>Waterfalls!A37</f>
        <v>Refi Balance</v>
      </c>
      <c r="D37" s="229">
        <f>Waterfalls!E37</f>
        <v>0</v>
      </c>
      <c r="E37" s="229">
        <f>SUM(Waterfalls!F37:Q37)</f>
        <v>0</v>
      </c>
      <c r="F37" s="229">
        <f>SUM(Waterfalls!R37:AC37)</f>
        <v>0</v>
      </c>
      <c r="G37" s="229">
        <f ca="1">SUM(Waterfalls!AD37:AO37)</f>
        <v>0</v>
      </c>
      <c r="H37" s="229">
        <f>SUM(Waterfalls!AP37:BA37)</f>
        <v>0</v>
      </c>
      <c r="I37" s="229">
        <f>SUM(Waterfalls!BB37:BM37)</f>
        <v>0</v>
      </c>
      <c r="J37" s="229">
        <f>SUM(Waterfalls!BN37:BY37)</f>
        <v>0</v>
      </c>
      <c r="K37" s="229">
        <f>SUM(Waterfalls!BZ37:CK37)</f>
        <v>0</v>
      </c>
      <c r="L37" s="229">
        <f>SUM(Waterfalls!CL37:CW37)</f>
        <v>0</v>
      </c>
      <c r="M37" s="229">
        <f>SUM(Waterfalls!CX37:DI37)</f>
        <v>0</v>
      </c>
      <c r="N37" s="229">
        <f>SUM(Waterfalls!DJ37:DU37)</f>
        <v>0</v>
      </c>
    </row>
    <row r="38" spans="1:14" ht="15" thickBot="1" x14ac:dyDescent="0.35">
      <c r="A38" s="248" t="str">
        <f>Waterfalls!A38</f>
        <v>Ending Balance</v>
      </c>
      <c r="B38" s="248"/>
      <c r="C38" s="248"/>
      <c r="D38" s="250">
        <f>Waterfalls!E38</f>
        <v>0</v>
      </c>
      <c r="E38" s="250">
        <f t="shared" ref="E38:N38" ca="1" si="6">SUM(E35:E37)</f>
        <v>0</v>
      </c>
      <c r="F38" s="250">
        <f t="shared" ca="1" si="6"/>
        <v>0</v>
      </c>
      <c r="G38" s="250">
        <f t="shared" ca="1" si="6"/>
        <v>0</v>
      </c>
      <c r="H38" s="250">
        <f t="shared" ca="1" si="6"/>
        <v>0</v>
      </c>
      <c r="I38" s="250">
        <f t="shared" ca="1" si="6"/>
        <v>0</v>
      </c>
      <c r="J38" s="250">
        <f t="shared" ca="1" si="6"/>
        <v>0</v>
      </c>
      <c r="K38" s="250">
        <f t="shared" ca="1" si="6"/>
        <v>0</v>
      </c>
      <c r="L38" s="250">
        <f t="shared" ca="1" si="6"/>
        <v>0</v>
      </c>
      <c r="M38" s="250">
        <f t="shared" ca="1" si="6"/>
        <v>0</v>
      </c>
      <c r="N38" s="250">
        <f t="shared" ca="1" si="6"/>
        <v>0</v>
      </c>
    </row>
    <row r="39" spans="1:14" ht="7.5" customHeight="1" thickTop="1" x14ac:dyDescent="0.3"/>
    <row r="40" spans="1:14" x14ac:dyDescent="0.3">
      <c r="A40" s="700" t="str">
        <f>Waterfalls!A40</f>
        <v>LP EQUITY CONTRIBUTIONS</v>
      </c>
      <c r="B40" s="700"/>
      <c r="C40" s="700"/>
      <c r="D40" s="700"/>
    </row>
    <row r="41" spans="1:14" x14ac:dyDescent="0.3">
      <c r="A41" t="str">
        <f>Waterfalls!A41</f>
        <v>Beginning Balance</v>
      </c>
      <c r="D41" s="227">
        <f>Waterfalls!E41</f>
        <v>0</v>
      </c>
      <c r="E41" s="227">
        <f>Waterfalls!D43</f>
        <v>0</v>
      </c>
      <c r="F41" s="227">
        <f ca="1">Waterfalls!Q43</f>
        <v>31573647.858582281</v>
      </c>
      <c r="G41" s="227">
        <f ca="1">Waterfalls!AC43</f>
        <v>31573647.858582281</v>
      </c>
      <c r="H41" s="227">
        <f ca="1">Waterfalls!AO43</f>
        <v>31573647.858582281</v>
      </c>
      <c r="I41" s="227">
        <f ca="1">Waterfalls!BA43</f>
        <v>31573647.858582281</v>
      </c>
      <c r="J41" s="227">
        <f ca="1">Waterfalls!BM43</f>
        <v>31573647.858582281</v>
      </c>
      <c r="K41" s="227">
        <f ca="1">Waterfalls!BY43</f>
        <v>31573647.858582281</v>
      </c>
      <c r="L41" s="227">
        <f ca="1">Waterfalls!CK43</f>
        <v>31573647.858582281</v>
      </c>
      <c r="M41" s="227">
        <f ca="1">Waterfalls!CW43</f>
        <v>31573647.858582281</v>
      </c>
      <c r="N41" s="227">
        <f ca="1">Waterfalls!DI43</f>
        <v>31573647.858582489</v>
      </c>
    </row>
    <row r="42" spans="1:14" x14ac:dyDescent="0.3">
      <c r="A42" t="str">
        <f>Waterfalls!A42</f>
        <v>Contributions</v>
      </c>
      <c r="D42" s="229">
        <f ca="1">Waterfalls!E42</f>
        <v>1684806.2553703375</v>
      </c>
      <c r="E42" s="229">
        <f ca="1">SUM(Waterfalls!F42:Q42)</f>
        <v>29888841.603211943</v>
      </c>
      <c r="F42" s="229">
        <f ca="1">SUM(Waterfalls!R42:AC42)</f>
        <v>0</v>
      </c>
      <c r="G42" s="229">
        <f ca="1">SUM(Waterfalls!AD42:AO42)</f>
        <v>0</v>
      </c>
      <c r="H42" s="229">
        <f ca="1">SUM(Waterfalls!AP42:BA42)</f>
        <v>0</v>
      </c>
      <c r="I42" s="229">
        <f ca="1">SUM(Waterfalls!BB42:BM42)</f>
        <v>0</v>
      </c>
      <c r="J42" s="229">
        <f ca="1">SUM(Waterfalls!BN42:BY42)</f>
        <v>0</v>
      </c>
      <c r="K42" s="229">
        <f ca="1">SUM(Waterfalls!BZ42:CK42)</f>
        <v>0</v>
      </c>
      <c r="L42" s="229">
        <f ca="1">SUM(Waterfalls!CL42:CW42)</f>
        <v>0</v>
      </c>
      <c r="M42" s="229">
        <f ca="1">SUM(Waterfalls!CX42:DI42)</f>
        <v>0</v>
      </c>
      <c r="N42" s="229">
        <f ca="1">SUM(Waterfalls!DJ42:DU42)</f>
        <v>0</v>
      </c>
    </row>
    <row r="43" spans="1:14" ht="15" thickBot="1" x14ac:dyDescent="0.35">
      <c r="A43" s="248" t="str">
        <f>Waterfalls!A43</f>
        <v>Ending Balance</v>
      </c>
      <c r="B43" s="248"/>
      <c r="C43" s="248"/>
      <c r="D43" s="250">
        <f ca="1">Waterfalls!E43</f>
        <v>1684806.2553703375</v>
      </c>
      <c r="E43" s="250">
        <f t="shared" ref="E43:N43" ca="1" si="7">SUM(E41:E42)</f>
        <v>29888841.603211943</v>
      </c>
      <c r="F43" s="250">
        <f t="shared" ca="1" si="7"/>
        <v>31573647.858582281</v>
      </c>
      <c r="G43" s="250">
        <f t="shared" ca="1" si="7"/>
        <v>31573647.858582281</v>
      </c>
      <c r="H43" s="250">
        <f t="shared" ca="1" si="7"/>
        <v>31573647.858582281</v>
      </c>
      <c r="I43" s="250">
        <f t="shared" ca="1" si="7"/>
        <v>31573647.858582281</v>
      </c>
      <c r="J43" s="250">
        <f t="shared" ca="1" si="7"/>
        <v>31573647.858582281</v>
      </c>
      <c r="K43" s="250">
        <f t="shared" ca="1" si="7"/>
        <v>31573647.858582281</v>
      </c>
      <c r="L43" s="250">
        <f t="shared" ca="1" si="7"/>
        <v>31573647.858582281</v>
      </c>
      <c r="M43" s="250">
        <f t="shared" ca="1" si="7"/>
        <v>31573647.858582281</v>
      </c>
      <c r="N43" s="250">
        <f t="shared" ca="1" si="7"/>
        <v>31573647.858582489</v>
      </c>
    </row>
    <row r="44" spans="1:14" ht="7.5" customHeight="1" thickTop="1" x14ac:dyDescent="0.3">
      <c r="D44" s="198"/>
      <c r="E44" s="198"/>
      <c r="F44" s="198"/>
      <c r="G44" s="198"/>
      <c r="H44" s="198"/>
      <c r="I44" s="198"/>
      <c r="J44" s="198"/>
      <c r="K44" s="198"/>
      <c r="L44" s="198"/>
      <c r="M44" s="198"/>
      <c r="N44" s="198"/>
    </row>
    <row r="45" spans="1:14" x14ac:dyDescent="0.3">
      <c r="A45" s="700" t="str">
        <f>Waterfalls!A45</f>
        <v>LP EQUITY BALANCE</v>
      </c>
      <c r="B45" s="700"/>
      <c r="C45" s="700"/>
      <c r="D45" s="700"/>
    </row>
    <row r="46" spans="1:14" x14ac:dyDescent="0.3">
      <c r="A46" t="str">
        <f>Waterfalls!A46</f>
        <v>Beginning Balance</v>
      </c>
      <c r="D46" s="227">
        <f>Waterfalls!E46</f>
        <v>0</v>
      </c>
      <c r="E46" s="227">
        <f>Waterfalls!D54</f>
        <v>0</v>
      </c>
      <c r="F46" s="227">
        <f ca="1">Waterfalls!Q54</f>
        <v>33734462.764855921</v>
      </c>
      <c r="G46" s="227">
        <f ca="1">Waterfalls!AC54</f>
        <v>37227200.112907141</v>
      </c>
      <c r="H46" s="227">
        <f ca="1">Waterfalls!AO54</f>
        <v>38983575.77269382</v>
      </c>
      <c r="I46" s="227">
        <f ca="1">Waterfalls!BA54</f>
        <v>40591760.396429546</v>
      </c>
      <c r="J46" s="227">
        <f ca="1">Waterfalls!BM54</f>
        <v>42149963.054957785</v>
      </c>
      <c r="K46" s="227">
        <f ca="1">Waterfalls!BY54</f>
        <v>43640524.277522698</v>
      </c>
      <c r="L46" s="227">
        <f ca="1">Waterfalls!CK54</f>
        <v>45028205.292712048</v>
      </c>
      <c r="M46" s="227">
        <f ca="1">Waterfalls!CW54</f>
        <v>46290958.867745757</v>
      </c>
      <c r="N46" s="227">
        <f ca="1">Waterfalls!DI54</f>
        <v>47404113.878279731</v>
      </c>
    </row>
    <row r="47" spans="1:14" x14ac:dyDescent="0.3">
      <c r="A47" t="str">
        <f>Waterfalls!A47</f>
        <v>Preferred Return</v>
      </c>
      <c r="D47" s="229">
        <f>Waterfalls!E47</f>
        <v>0</v>
      </c>
      <c r="E47" s="229">
        <f ca="1">SUM(Waterfalls!F47:Q47)</f>
        <v>2160814.9062736463</v>
      </c>
      <c r="F47" s="229">
        <f ca="1">SUM(Waterfalls!R47:AC47)</f>
        <v>3532439.0745922895</v>
      </c>
      <c r="G47" s="229">
        <f ca="1">SUM(Waterfalls!AD47:AO47)</f>
        <v>3808278.5740392893</v>
      </c>
      <c r="H47" s="229">
        <f ca="1">SUM(Waterfalls!AP47:BA47)</f>
        <v>3972562.8702404131</v>
      </c>
      <c r="I47" s="229">
        <f ca="1">SUM(Waterfalls!BB47:BM47)</f>
        <v>4130819.6856617387</v>
      </c>
      <c r="J47" s="229">
        <f ca="1">SUM(Waterfalls!BN47:BY47)</f>
        <v>4283973.2427098807</v>
      </c>
      <c r="K47" s="229">
        <f ca="1">SUM(Waterfalls!BZ47:CK47)</f>
        <v>4428486.9677546611</v>
      </c>
      <c r="L47" s="229">
        <f ca="1">SUM(Waterfalls!CL47:CW47)</f>
        <v>4561717.6547875553</v>
      </c>
      <c r="M47" s="229">
        <f ca="1">SUM(Waterfalls!CX47:DI47)</f>
        <v>4681348.7635153392</v>
      </c>
      <c r="N47" s="229">
        <f ca="1">SUM(Waterfalls!DJ47:DU47)</f>
        <v>4784775.180927637</v>
      </c>
    </row>
    <row r="48" spans="1:14" x14ac:dyDescent="0.3">
      <c r="A48" t="str">
        <f>Waterfalls!A48</f>
        <v>Contributions</v>
      </c>
      <c r="D48" s="229">
        <f ca="1">Waterfalls!E48</f>
        <v>1684806.2553703375</v>
      </c>
      <c r="E48" s="229">
        <f ca="1">SUM(Waterfalls!F48:Q48)</f>
        <v>29888841.603211943</v>
      </c>
      <c r="F48" s="229">
        <f ca="1">SUM(Waterfalls!R48:AC48)</f>
        <v>0</v>
      </c>
      <c r="G48" s="229">
        <f ca="1">SUM(Waterfalls!AD48:AO48)</f>
        <v>0</v>
      </c>
      <c r="H48" s="229">
        <f ca="1">SUM(Waterfalls!AP48:BA48)</f>
        <v>0</v>
      </c>
      <c r="I48" s="229">
        <f ca="1">SUM(Waterfalls!BB48:BM48)</f>
        <v>0</v>
      </c>
      <c r="J48" s="229">
        <f ca="1">SUM(Waterfalls!BN48:BY48)</f>
        <v>0</v>
      </c>
      <c r="K48" s="229">
        <f ca="1">SUM(Waterfalls!BZ48:CK48)</f>
        <v>0</v>
      </c>
      <c r="L48" s="229">
        <f ca="1">SUM(Waterfalls!CL48:CW48)</f>
        <v>0</v>
      </c>
      <c r="M48" s="229">
        <f ca="1">SUM(Waterfalls!CX48:DI48)</f>
        <v>0</v>
      </c>
      <c r="N48" s="229">
        <f ca="1">SUM(Waterfalls!DJ48:DU48)</f>
        <v>0</v>
      </c>
    </row>
    <row r="49" spans="1:14" x14ac:dyDescent="0.3">
      <c r="A49" s="241" t="str">
        <f>Waterfalls!A49</f>
        <v>Preference Paid From Cash Flow</v>
      </c>
      <c r="B49" s="241"/>
      <c r="C49" s="241"/>
      <c r="D49" s="242">
        <f ca="1">Waterfalls!E49</f>
        <v>0</v>
      </c>
      <c r="E49" s="242">
        <f ca="1">SUM(Waterfalls!F49:Q49)</f>
        <v>0</v>
      </c>
      <c r="F49" s="242">
        <f ca="1">SUM(Waterfalls!R49:AC49)</f>
        <v>-39701.726541082207</v>
      </c>
      <c r="G49" s="242">
        <f ca="1">SUM(Waterfalls!AD49:AO49)</f>
        <v>-2051902.9131742516</v>
      </c>
      <c r="H49" s="242">
        <f ca="1">SUM(Waterfalls!AP49:BA49)</f>
        <v>-2364378.2465046719</v>
      </c>
      <c r="I49" s="242">
        <f ca="1">SUM(Waterfalls!BB49:BM49)</f>
        <v>-2572617.0271334834</v>
      </c>
      <c r="J49" s="242">
        <f ca="1">SUM(Waterfalls!BN49:BY49)</f>
        <v>-2793412.020144972</v>
      </c>
      <c r="K49" s="242">
        <f ca="1">SUM(Waterfalls!BZ49:CK49)</f>
        <v>-3040805.9525653077</v>
      </c>
      <c r="L49" s="242">
        <f ca="1">SUM(Waterfalls!CL49:CW49)</f>
        <v>-3298964.0797538529</v>
      </c>
      <c r="M49" s="242">
        <f ca="1">SUM(Waterfalls!CX49:DI49)</f>
        <v>-3568193.7529818723</v>
      </c>
      <c r="N49" s="242">
        <f ca="1">SUM(Waterfalls!DJ49:DU49)</f>
        <v>-3848959.0959935063</v>
      </c>
    </row>
    <row r="50" spans="1:14" x14ac:dyDescent="0.3">
      <c r="A50" s="245" t="str">
        <f>Waterfalls!A50</f>
        <v>Subtotal</v>
      </c>
      <c r="B50" s="245"/>
      <c r="C50" s="245"/>
      <c r="D50" s="227">
        <f ca="1">Waterfalls!E50</f>
        <v>1684806.2553703375</v>
      </c>
      <c r="E50" s="227">
        <f t="shared" ref="E50:N50" ca="1" si="8">SUM(E46:E49)</f>
        <v>32049656.509485587</v>
      </c>
      <c r="F50" s="227">
        <f t="shared" ca="1" si="8"/>
        <v>37227200.112907134</v>
      </c>
      <c r="G50" s="227">
        <f t="shared" ca="1" si="8"/>
        <v>38983575.77377218</v>
      </c>
      <c r="H50" s="227">
        <f t="shared" ca="1" si="8"/>
        <v>40591760.396429561</v>
      </c>
      <c r="I50" s="227">
        <f t="shared" ca="1" si="8"/>
        <v>42149963.054957807</v>
      </c>
      <c r="J50" s="227">
        <f t="shared" ca="1" si="8"/>
        <v>43640524.277522698</v>
      </c>
      <c r="K50" s="227">
        <f t="shared" ca="1" si="8"/>
        <v>45028205.292712055</v>
      </c>
      <c r="L50" s="227">
        <f t="shared" ca="1" si="8"/>
        <v>46290958.86774575</v>
      </c>
      <c r="M50" s="227">
        <f t="shared" ca="1" si="8"/>
        <v>47404113.878279224</v>
      </c>
      <c r="N50" s="227">
        <f t="shared" ca="1" si="8"/>
        <v>48339929.963213861</v>
      </c>
    </row>
    <row r="51" spans="1:14" x14ac:dyDescent="0.3">
      <c r="A51" s="241" t="str">
        <f>Waterfalls!A51</f>
        <v>Refi Proceeds - Cum'l Pref.</v>
      </c>
      <c r="B51" s="241"/>
      <c r="C51" s="241"/>
      <c r="D51" s="299">
        <f>Waterfalls!E51</f>
        <v>0</v>
      </c>
      <c r="E51" s="299">
        <f>SUM(Waterfalls!F51:Q51)</f>
        <v>0</v>
      </c>
      <c r="F51" s="299">
        <f>SUM(Waterfalls!R51:AC51)</f>
        <v>0</v>
      </c>
      <c r="G51" s="299">
        <f ca="1">SUM(Waterfalls!AD51:AO51)</f>
        <v>-1.0783419013023377E-3</v>
      </c>
      <c r="H51" s="299">
        <f>SUM(Waterfalls!AP51:BA51)</f>
        <v>0</v>
      </c>
      <c r="I51" s="299">
        <f>SUM(Waterfalls!BB51:BM51)</f>
        <v>0</v>
      </c>
      <c r="J51" s="299">
        <f>SUM(Waterfalls!BN51:BY51)</f>
        <v>0</v>
      </c>
      <c r="K51" s="299">
        <f>SUM(Waterfalls!BZ51:CK51)</f>
        <v>0</v>
      </c>
      <c r="L51" s="299">
        <f>SUM(Waterfalls!CL51:CW51)</f>
        <v>0</v>
      </c>
      <c r="M51" s="299">
        <f>SUM(Waterfalls!CX51:DI51)</f>
        <v>0</v>
      </c>
      <c r="N51" s="299">
        <f>SUM(Waterfalls!DJ51:DU51)</f>
        <v>0</v>
      </c>
    </row>
    <row r="52" spans="1:14" x14ac:dyDescent="0.3">
      <c r="A52" s="245" t="str">
        <f>Waterfalls!A52</f>
        <v>Subtotal</v>
      </c>
      <c r="B52" s="245"/>
      <c r="C52" s="245"/>
      <c r="D52" s="227">
        <f ca="1">Waterfalls!E52</f>
        <v>1684806.2553703375</v>
      </c>
      <c r="E52" s="227">
        <f t="shared" ref="E52:N52" ca="1" si="9">SUM(E50:E51)</f>
        <v>32049656.509485587</v>
      </c>
      <c r="F52" s="227">
        <f t="shared" ca="1" si="9"/>
        <v>37227200.112907134</v>
      </c>
      <c r="G52" s="227">
        <f t="shared" ca="1" si="9"/>
        <v>38983575.772693835</v>
      </c>
      <c r="H52" s="227">
        <f t="shared" ca="1" si="9"/>
        <v>40591760.396429561</v>
      </c>
      <c r="I52" s="227">
        <f t="shared" ca="1" si="9"/>
        <v>42149963.054957807</v>
      </c>
      <c r="J52" s="227">
        <f t="shared" ca="1" si="9"/>
        <v>43640524.277522698</v>
      </c>
      <c r="K52" s="227">
        <f t="shared" ca="1" si="9"/>
        <v>45028205.292712055</v>
      </c>
      <c r="L52" s="227">
        <f t="shared" ca="1" si="9"/>
        <v>46290958.86774575</v>
      </c>
      <c r="M52" s="227">
        <f t="shared" ca="1" si="9"/>
        <v>47404113.878279224</v>
      </c>
      <c r="N52" s="227">
        <f t="shared" ca="1" si="9"/>
        <v>48339929.963213861</v>
      </c>
    </row>
    <row r="53" spans="1:14" x14ac:dyDescent="0.3">
      <c r="A53" t="str">
        <f>Waterfalls!A53</f>
        <v>Refi Proceeds - Principal</v>
      </c>
      <c r="D53" s="227">
        <f>Waterfalls!E53</f>
        <v>0</v>
      </c>
      <c r="E53" s="227">
        <f>SUM(Waterfalls!F53:Q53)</f>
        <v>0</v>
      </c>
      <c r="F53" s="227">
        <f>SUM(Waterfalls!R53:AC53)</f>
        <v>0</v>
      </c>
      <c r="G53" s="227">
        <f ca="1">SUM(Waterfalls!AD53:AO53)</f>
        <v>0</v>
      </c>
      <c r="H53" s="227">
        <f>SUM(Waterfalls!AP53:BA53)</f>
        <v>0</v>
      </c>
      <c r="I53" s="227">
        <f>SUM(Waterfalls!BB53:BM53)</f>
        <v>0</v>
      </c>
      <c r="J53" s="227">
        <f>SUM(Waterfalls!BN53:BY53)</f>
        <v>0</v>
      </c>
      <c r="K53" s="227">
        <f>SUM(Waterfalls!BZ53:CK53)</f>
        <v>0</v>
      </c>
      <c r="L53" s="227">
        <f>SUM(Waterfalls!CL53:CW53)</f>
        <v>0</v>
      </c>
      <c r="M53" s="227">
        <f>SUM(Waterfalls!CX53:DI53)</f>
        <v>0</v>
      </c>
      <c r="N53" s="227">
        <f>SUM(Waterfalls!DJ53:DU53)</f>
        <v>0</v>
      </c>
    </row>
    <row r="54" spans="1:14" ht="15" thickBot="1" x14ac:dyDescent="0.35">
      <c r="A54" s="248" t="str">
        <f>Waterfalls!A54</f>
        <v>Ending Balance</v>
      </c>
      <c r="B54" s="248"/>
      <c r="C54" s="248"/>
      <c r="D54" s="250">
        <f ca="1">Waterfalls!E54</f>
        <v>1684806.2553703375</v>
      </c>
      <c r="E54" s="250">
        <f t="shared" ref="E54:N54" ca="1" si="10">SUM(E52:E53)</f>
        <v>32049656.509485587</v>
      </c>
      <c r="F54" s="250">
        <f t="shared" ca="1" si="10"/>
        <v>37227200.112907134</v>
      </c>
      <c r="G54" s="250">
        <f t="shared" ca="1" si="10"/>
        <v>38983575.772693835</v>
      </c>
      <c r="H54" s="250">
        <f t="shared" ca="1" si="10"/>
        <v>40591760.396429561</v>
      </c>
      <c r="I54" s="250">
        <f t="shared" ca="1" si="10"/>
        <v>42149963.054957807</v>
      </c>
      <c r="J54" s="250">
        <f t="shared" ca="1" si="10"/>
        <v>43640524.277522698</v>
      </c>
      <c r="K54" s="250">
        <f t="shared" ca="1" si="10"/>
        <v>45028205.292712055</v>
      </c>
      <c r="L54" s="250">
        <f t="shared" ca="1" si="10"/>
        <v>46290958.86774575</v>
      </c>
      <c r="M54" s="250">
        <f t="shared" ca="1" si="10"/>
        <v>47404113.878279224</v>
      </c>
      <c r="N54" s="250">
        <f t="shared" ca="1" si="10"/>
        <v>48339929.963213861</v>
      </c>
    </row>
    <row r="55" spans="1:14" ht="7.5" customHeight="1" thickTop="1" x14ac:dyDescent="0.3"/>
    <row r="56" spans="1:14" x14ac:dyDescent="0.3">
      <c r="A56" s="700" t="str">
        <f>Waterfalls!A56</f>
        <v>LP PREFERENCE BALANCE</v>
      </c>
      <c r="B56" s="700"/>
      <c r="C56" s="700"/>
      <c r="D56" s="700"/>
    </row>
    <row r="57" spans="1:14" x14ac:dyDescent="0.3">
      <c r="A57" t="str">
        <f>Waterfalls!A57</f>
        <v>Beginning</v>
      </c>
      <c r="D57" s="227">
        <f>Waterfalls!E57</f>
        <v>0</v>
      </c>
      <c r="E57" s="227">
        <f>Waterfalls!D63</f>
        <v>0</v>
      </c>
      <c r="F57" s="227">
        <f ca="1">Waterfalls!Q63</f>
        <v>2160814.9062736463</v>
      </c>
      <c r="G57" s="227">
        <f ca="1">Waterfalls!AC63</f>
        <v>5653552.2543248525</v>
      </c>
      <c r="H57" s="227">
        <f ca="1">Waterfalls!AO63</f>
        <v>7409927.914111549</v>
      </c>
      <c r="I57" s="227">
        <f ca="1">Waterfalls!BA63</f>
        <v>9018112.5378472898</v>
      </c>
      <c r="J57" s="227">
        <f ca="1">Waterfalls!BM63</f>
        <v>10576315.196375547</v>
      </c>
      <c r="K57" s="227">
        <f ca="1">Waterfalls!BY63</f>
        <v>12066876.41894046</v>
      </c>
      <c r="L57" s="227">
        <f ca="1">Waterfalls!CK63</f>
        <v>13454557.434129814</v>
      </c>
      <c r="M57" s="227">
        <f ca="1">Waterfalls!CW63</f>
        <v>14717311.009163516</v>
      </c>
      <c r="N57" s="227">
        <f ca="1">Waterfalls!DI63</f>
        <v>15830466.019697258</v>
      </c>
    </row>
    <row r="58" spans="1:14" x14ac:dyDescent="0.3">
      <c r="A58" s="241" t="str">
        <f>Waterfalls!A58</f>
        <v>Preferred Return</v>
      </c>
      <c r="B58" s="241"/>
      <c r="C58" s="241"/>
      <c r="D58" s="242">
        <f>Waterfalls!E58</f>
        <v>0</v>
      </c>
      <c r="E58" s="242">
        <f ca="1">SUM(Waterfalls!F58:Q58)</f>
        <v>2160814.9062736463</v>
      </c>
      <c r="F58" s="242">
        <f ca="1">SUM(Waterfalls!R58:AC58)</f>
        <v>3532439.0745922895</v>
      </c>
      <c r="G58" s="242">
        <f ca="1">SUM(Waterfalls!AD58:AO58)</f>
        <v>3808278.5740392893</v>
      </c>
      <c r="H58" s="242">
        <f ca="1">SUM(Waterfalls!AP58:BA58)</f>
        <v>3972562.8702404131</v>
      </c>
      <c r="I58" s="242">
        <f ca="1">SUM(Waterfalls!BB58:BM58)</f>
        <v>4130819.6856617387</v>
      </c>
      <c r="J58" s="242">
        <f ca="1">SUM(Waterfalls!BN58:BY58)</f>
        <v>4283973.2427098807</v>
      </c>
      <c r="K58" s="242">
        <f ca="1">SUM(Waterfalls!BZ58:CK58)</f>
        <v>4428486.9677546611</v>
      </c>
      <c r="L58" s="242">
        <f ca="1">SUM(Waterfalls!CL58:CW58)</f>
        <v>4561717.6547875553</v>
      </c>
      <c r="M58" s="242">
        <f ca="1">SUM(Waterfalls!CX58:DI58)</f>
        <v>4681348.7635153392</v>
      </c>
      <c r="N58" s="242">
        <f ca="1">SUM(Waterfalls!DJ58:DU58)</f>
        <v>4784775.180927637</v>
      </c>
    </row>
    <row r="59" spans="1:14" x14ac:dyDescent="0.3">
      <c r="A59" s="245" t="str">
        <f>Waterfalls!A59</f>
        <v>Subtotal</v>
      </c>
      <c r="B59" s="245"/>
      <c r="C59" s="245"/>
      <c r="D59" s="227">
        <f>Waterfalls!E59</f>
        <v>0</v>
      </c>
      <c r="E59" s="227">
        <f t="shared" ref="E59:N59" ca="1" si="11">SUM(E57:E58)</f>
        <v>2160814.9062736463</v>
      </c>
      <c r="F59" s="227">
        <f t="shared" ca="1" si="11"/>
        <v>5693253.9808659358</v>
      </c>
      <c r="G59" s="227">
        <f t="shared" ca="1" si="11"/>
        <v>9461830.8283641413</v>
      </c>
      <c r="H59" s="227">
        <f t="shared" ca="1" si="11"/>
        <v>11382490.784351962</v>
      </c>
      <c r="I59" s="227">
        <f t="shared" ca="1" si="11"/>
        <v>13148932.223509029</v>
      </c>
      <c r="J59" s="227">
        <f t="shared" ca="1" si="11"/>
        <v>14860288.439085428</v>
      </c>
      <c r="K59" s="227">
        <f t="shared" ca="1" si="11"/>
        <v>16495363.38669512</v>
      </c>
      <c r="L59" s="227">
        <f t="shared" ca="1" si="11"/>
        <v>18016275.088917367</v>
      </c>
      <c r="M59" s="227">
        <f t="shared" ca="1" si="11"/>
        <v>19398659.772678856</v>
      </c>
      <c r="N59" s="227">
        <f t="shared" ca="1" si="11"/>
        <v>20615241.200624894</v>
      </c>
    </row>
    <row r="60" spans="1:14" x14ac:dyDescent="0.3">
      <c r="A60" s="241" t="str">
        <f>Waterfalls!A60</f>
        <v>Preference Paid From Cash Flow</v>
      </c>
      <c r="B60" s="241"/>
      <c r="C60" s="241"/>
      <c r="D60" s="242">
        <f ca="1">Waterfalls!E60</f>
        <v>0</v>
      </c>
      <c r="E60" s="242">
        <f ca="1">SUM(Waterfalls!F60:Q60)</f>
        <v>0</v>
      </c>
      <c r="F60" s="242">
        <f ca="1">SUM(Waterfalls!R60:AC60)</f>
        <v>-39701.726541082207</v>
      </c>
      <c r="G60" s="242">
        <f ca="1">SUM(Waterfalls!AD60:AO60)</f>
        <v>-2051902.9131742516</v>
      </c>
      <c r="H60" s="242">
        <f ca="1">SUM(Waterfalls!AP60:BA60)</f>
        <v>-2364378.2465046719</v>
      </c>
      <c r="I60" s="242">
        <f ca="1">SUM(Waterfalls!BB60:BM60)</f>
        <v>-2572617.0271334834</v>
      </c>
      <c r="J60" s="242">
        <f ca="1">SUM(Waterfalls!BN60:BY60)</f>
        <v>-2793412.020144972</v>
      </c>
      <c r="K60" s="242">
        <f ca="1">SUM(Waterfalls!BZ60:CK60)</f>
        <v>-3040805.9525653077</v>
      </c>
      <c r="L60" s="242">
        <f ca="1">SUM(Waterfalls!CL60:CW60)</f>
        <v>-3298964.0797538529</v>
      </c>
      <c r="M60" s="242">
        <f ca="1">SUM(Waterfalls!CX60:DI60)</f>
        <v>-3568193.7529818723</v>
      </c>
      <c r="N60" s="242">
        <f ca="1">SUM(Waterfalls!DJ60:DU60)</f>
        <v>-3848959.0959935063</v>
      </c>
    </row>
    <row r="61" spans="1:14" x14ac:dyDescent="0.3">
      <c r="A61" s="245" t="str">
        <f>Waterfalls!A61</f>
        <v>Subtotal</v>
      </c>
      <c r="B61" s="245"/>
      <c r="C61" s="245"/>
      <c r="D61" s="227">
        <f ca="1">Waterfalls!E61</f>
        <v>0</v>
      </c>
      <c r="E61" s="227">
        <f t="shared" ref="E61:N61" ca="1" si="12">SUM(E59:E60)</f>
        <v>2160814.9062736463</v>
      </c>
      <c r="F61" s="227">
        <f t="shared" ca="1" si="12"/>
        <v>5653552.2543248534</v>
      </c>
      <c r="G61" s="227">
        <f t="shared" ca="1" si="12"/>
        <v>7409927.9151898902</v>
      </c>
      <c r="H61" s="227">
        <f t="shared" ca="1" si="12"/>
        <v>9018112.5378472898</v>
      </c>
      <c r="I61" s="227">
        <f t="shared" ca="1" si="12"/>
        <v>10576315.196375545</v>
      </c>
      <c r="J61" s="227">
        <f t="shared" ca="1" si="12"/>
        <v>12066876.418940455</v>
      </c>
      <c r="K61" s="227">
        <f t="shared" ca="1" si="12"/>
        <v>13454557.434129812</v>
      </c>
      <c r="L61" s="227">
        <f t="shared" ca="1" si="12"/>
        <v>14717311.009163514</v>
      </c>
      <c r="M61" s="227">
        <f t="shared" ca="1" si="12"/>
        <v>15830466.019696984</v>
      </c>
      <c r="N61" s="227">
        <f t="shared" ca="1" si="12"/>
        <v>16766282.104631389</v>
      </c>
    </row>
    <row r="62" spans="1:14" x14ac:dyDescent="0.3">
      <c r="A62" t="str">
        <f>Waterfalls!A62</f>
        <v>Refi Proceeds</v>
      </c>
      <c r="D62" s="242">
        <f>Waterfalls!E62</f>
        <v>0</v>
      </c>
      <c r="E62" s="242">
        <f>SUM(Waterfalls!F62:Q62)</f>
        <v>0</v>
      </c>
      <c r="F62" s="242">
        <f>SUM(Waterfalls!R62:AC62)</f>
        <v>0</v>
      </c>
      <c r="G62" s="242">
        <f ca="1">SUM(Waterfalls!AD62:AO62)</f>
        <v>-1.0783419013023377E-3</v>
      </c>
      <c r="H62" s="242">
        <f>SUM(Waterfalls!AP62:BA62)</f>
        <v>0</v>
      </c>
      <c r="I62" s="242">
        <f>SUM(Waterfalls!BB62:BM62)</f>
        <v>0</v>
      </c>
      <c r="J62" s="242">
        <f>SUM(Waterfalls!BN62:BY62)</f>
        <v>0</v>
      </c>
      <c r="K62" s="242">
        <f>SUM(Waterfalls!BZ62:CK62)</f>
        <v>0</v>
      </c>
      <c r="L62" s="242">
        <f>SUM(Waterfalls!CL62:CW62)</f>
        <v>0</v>
      </c>
      <c r="M62" s="242">
        <f>SUM(Waterfalls!CX62:DI62)</f>
        <v>0</v>
      </c>
      <c r="N62" s="242">
        <f>SUM(Waterfalls!DJ62:DU62)</f>
        <v>0</v>
      </c>
    </row>
    <row r="63" spans="1:14" ht="15" thickBot="1" x14ac:dyDescent="0.35">
      <c r="A63" s="248" t="str">
        <f>Waterfalls!A63</f>
        <v>Ending Balance</v>
      </c>
      <c r="B63" s="248"/>
      <c r="C63" s="248"/>
      <c r="D63" s="250">
        <f ca="1">Waterfalls!E63</f>
        <v>0</v>
      </c>
      <c r="E63" s="250">
        <f t="shared" ref="E63:N63" ca="1" si="13">SUM(E61:E62)</f>
        <v>2160814.9062736463</v>
      </c>
      <c r="F63" s="250">
        <f t="shared" ca="1" si="13"/>
        <v>5653552.2543248534</v>
      </c>
      <c r="G63" s="250">
        <f t="shared" ca="1" si="13"/>
        <v>7409927.9141115481</v>
      </c>
      <c r="H63" s="250">
        <f t="shared" ca="1" si="13"/>
        <v>9018112.5378472898</v>
      </c>
      <c r="I63" s="250">
        <f t="shared" ca="1" si="13"/>
        <v>10576315.196375545</v>
      </c>
      <c r="J63" s="250">
        <f t="shared" ca="1" si="13"/>
        <v>12066876.418940455</v>
      </c>
      <c r="K63" s="250">
        <f t="shared" ca="1" si="13"/>
        <v>13454557.434129812</v>
      </c>
      <c r="L63" s="250">
        <f t="shared" ca="1" si="13"/>
        <v>14717311.009163514</v>
      </c>
      <c r="M63" s="250">
        <f t="shared" ca="1" si="13"/>
        <v>15830466.019696984</v>
      </c>
      <c r="N63" s="250">
        <f t="shared" ca="1" si="13"/>
        <v>16766282.104631389</v>
      </c>
    </row>
    <row r="64" spans="1:14" ht="7.5" customHeight="1" thickTop="1" x14ac:dyDescent="0.3"/>
    <row r="65" spans="1:14" x14ac:dyDescent="0.3">
      <c r="A65" s="700" t="str">
        <f>Waterfalls!A65</f>
        <v>Quarterra EQUITY CONTRIBUTIONS</v>
      </c>
      <c r="B65" s="700"/>
      <c r="C65" s="700"/>
      <c r="D65" s="700"/>
    </row>
    <row r="66" spans="1:14" x14ac:dyDescent="0.3">
      <c r="A66" t="str">
        <f>Waterfalls!A66</f>
        <v>Beginning Balance</v>
      </c>
      <c r="D66" s="227">
        <f>Waterfalls!E66</f>
        <v>0</v>
      </c>
      <c r="E66" s="227">
        <f>Waterfalls!D68</f>
        <v>0</v>
      </c>
      <c r="F66" s="227">
        <f ca="1">Waterfalls!Q68</f>
        <v>3508183.0953980302</v>
      </c>
      <c r="G66" s="227">
        <f ca="1">Waterfalls!AC68</f>
        <v>3508183.0953980302</v>
      </c>
      <c r="H66" s="227">
        <f ca="1">Waterfalls!AO68</f>
        <v>3508183.0953980302</v>
      </c>
      <c r="I66" s="227">
        <f ca="1">Waterfalls!BA68</f>
        <v>3508183.0953980302</v>
      </c>
      <c r="J66" s="227">
        <f ca="1">Waterfalls!BM68</f>
        <v>3508183.0953980302</v>
      </c>
      <c r="K66" s="227">
        <f ca="1">Waterfalls!BY68</f>
        <v>3508183.0953980302</v>
      </c>
      <c r="L66" s="227">
        <f ca="1">Waterfalls!CK68</f>
        <v>3508183.0953980302</v>
      </c>
      <c r="M66" s="227">
        <f ca="1">Waterfalls!CW68</f>
        <v>3508183.0953980302</v>
      </c>
      <c r="N66" s="227">
        <f ca="1">Waterfalls!DI68</f>
        <v>3508183.0953980535</v>
      </c>
    </row>
    <row r="67" spans="1:14" x14ac:dyDescent="0.3">
      <c r="A67" t="str">
        <f>Waterfalls!A67</f>
        <v>Contributions</v>
      </c>
      <c r="D67" s="229">
        <f ca="1">Waterfalls!E67</f>
        <v>187200.69504114857</v>
      </c>
      <c r="E67" s="229">
        <f ca="1">SUM(Waterfalls!F67:Q67)</f>
        <v>3320982.4003568813</v>
      </c>
      <c r="F67" s="229">
        <f ca="1">SUM(Waterfalls!R67:AC67)</f>
        <v>0</v>
      </c>
      <c r="G67" s="229">
        <f ca="1">SUM(Waterfalls!AD67:AO67)</f>
        <v>0</v>
      </c>
      <c r="H67" s="229">
        <f ca="1">SUM(Waterfalls!AP67:BA67)</f>
        <v>0</v>
      </c>
      <c r="I67" s="229">
        <f ca="1">SUM(Waterfalls!BB67:BM67)</f>
        <v>0</v>
      </c>
      <c r="J67" s="229">
        <f ca="1">SUM(Waterfalls!BN67:BY67)</f>
        <v>0</v>
      </c>
      <c r="K67" s="229">
        <f ca="1">SUM(Waterfalls!BZ67:CK67)</f>
        <v>0</v>
      </c>
      <c r="L67" s="229">
        <f ca="1">SUM(Waterfalls!CL67:CW67)</f>
        <v>0</v>
      </c>
      <c r="M67" s="229">
        <f ca="1">SUM(Waterfalls!CX67:DI67)</f>
        <v>0</v>
      </c>
      <c r="N67" s="229">
        <f ca="1">SUM(Waterfalls!DJ67:DU67)</f>
        <v>0</v>
      </c>
    </row>
    <row r="68" spans="1:14" ht="15" thickBot="1" x14ac:dyDescent="0.35">
      <c r="A68" s="248" t="str">
        <f>Waterfalls!A68</f>
        <v>Ending Balance</v>
      </c>
      <c r="B68" s="248"/>
      <c r="C68" s="248"/>
      <c r="D68" s="250">
        <f ca="1">Waterfalls!E68</f>
        <v>187200.69504114857</v>
      </c>
      <c r="E68" s="250">
        <f t="shared" ref="E68:N68" ca="1" si="14">SUM(E66:E67)</f>
        <v>3320982.4003568813</v>
      </c>
      <c r="F68" s="250">
        <f t="shared" ca="1" si="14"/>
        <v>3508183.0953980302</v>
      </c>
      <c r="G68" s="250">
        <f t="shared" ca="1" si="14"/>
        <v>3508183.0953980302</v>
      </c>
      <c r="H68" s="250">
        <f t="shared" ca="1" si="14"/>
        <v>3508183.0953980302</v>
      </c>
      <c r="I68" s="250">
        <f t="shared" ca="1" si="14"/>
        <v>3508183.0953980302</v>
      </c>
      <c r="J68" s="250">
        <f t="shared" ca="1" si="14"/>
        <v>3508183.0953980302</v>
      </c>
      <c r="K68" s="250">
        <f t="shared" ca="1" si="14"/>
        <v>3508183.0953980302</v>
      </c>
      <c r="L68" s="250">
        <f t="shared" ca="1" si="14"/>
        <v>3508183.0953980302</v>
      </c>
      <c r="M68" s="250">
        <f t="shared" ca="1" si="14"/>
        <v>3508183.0953980302</v>
      </c>
      <c r="N68" s="250">
        <f t="shared" ca="1" si="14"/>
        <v>3508183.0953980535</v>
      </c>
    </row>
    <row r="69" spans="1:14" ht="7.5" customHeight="1" thickTop="1" x14ac:dyDescent="0.3">
      <c r="D69" s="198"/>
      <c r="E69" s="198"/>
      <c r="F69" s="198"/>
      <c r="G69" s="198"/>
      <c r="H69" s="198"/>
      <c r="I69" s="198"/>
      <c r="J69" s="198"/>
      <c r="K69" s="198"/>
      <c r="L69" s="198"/>
      <c r="M69" s="198"/>
      <c r="N69" s="198"/>
    </row>
    <row r="70" spans="1:14" x14ac:dyDescent="0.3">
      <c r="A70" s="700" t="str">
        <f>Waterfalls!A70</f>
        <v>Quarterra EQUITY BALANCE</v>
      </c>
      <c r="B70" s="700"/>
      <c r="C70" s="700"/>
    </row>
    <row r="71" spans="1:14" x14ac:dyDescent="0.3">
      <c r="A71" t="str">
        <f>Waterfalls!A71</f>
        <v>Beginning Balance</v>
      </c>
      <c r="D71" s="227">
        <f>Waterfalls!E71</f>
        <v>0</v>
      </c>
      <c r="E71" s="227">
        <f>Waterfalls!D79</f>
        <v>0</v>
      </c>
      <c r="F71" s="227">
        <f ca="1">Waterfalls!Q79</f>
        <v>3748273.6405395456</v>
      </c>
      <c r="G71" s="227">
        <f ca="1">Waterfalls!AC79</f>
        <v>4136355.568100791</v>
      </c>
      <c r="H71" s="227">
        <f ca="1">Waterfalls!AO79</f>
        <v>4331508.4191882005</v>
      </c>
      <c r="I71" s="227">
        <f ca="1">Waterfalls!BA79</f>
        <v>4510195.5996032832</v>
      </c>
      <c r="J71" s="227">
        <f ca="1">Waterfalls!BM79</f>
        <v>4683329.2283286452</v>
      </c>
      <c r="K71" s="227">
        <f ca="1">Waterfalls!BY79</f>
        <v>4848947.1419469677</v>
      </c>
      <c r="L71" s="227">
        <f ca="1">Waterfalls!CK79</f>
        <v>5003133.9214124521</v>
      </c>
      <c r="M71" s="227">
        <f ca="1">Waterfalls!CW79</f>
        <v>5143439.8741939766</v>
      </c>
      <c r="N71" s="227">
        <f ca="1">Waterfalls!DI79</f>
        <v>5267123.7642533053</v>
      </c>
    </row>
    <row r="72" spans="1:14" x14ac:dyDescent="0.3">
      <c r="A72" t="str">
        <f>Waterfalls!A72</f>
        <v>Preferred Return</v>
      </c>
      <c r="D72" s="229">
        <f>Waterfalls!E72</f>
        <v>0</v>
      </c>
      <c r="E72" s="229">
        <f ca="1">SUM(Waterfalls!F72:Q72)</f>
        <v>240090.5451415162</v>
      </c>
      <c r="F72" s="229">
        <f ca="1">SUM(Waterfalls!R72:AC72)</f>
        <v>392493.23051025422</v>
      </c>
      <c r="G72" s="229">
        <f ca="1">SUM(Waterfalls!AD72:AO72)</f>
        <v>423142.063782143</v>
      </c>
      <c r="H72" s="229">
        <f ca="1">SUM(Waterfalls!AP72:BA72)</f>
        <v>441395.87447115692</v>
      </c>
      <c r="I72" s="229">
        <f ca="1">SUM(Waterfalls!BB72:BM72)</f>
        <v>458979.96507352672</v>
      </c>
      <c r="J72" s="229">
        <f ca="1">SUM(Waterfalls!BN72:BY72)</f>
        <v>475997.02696776472</v>
      </c>
      <c r="K72" s="229">
        <f ca="1">SUM(Waterfalls!BZ72:CK72)</f>
        <v>492054.10752829595</v>
      </c>
      <c r="L72" s="229">
        <f ca="1">SUM(Waterfalls!CL72:CW72)</f>
        <v>506857.51719861745</v>
      </c>
      <c r="M72" s="229">
        <f ca="1">SUM(Waterfalls!CX72:DI72)</f>
        <v>520149.86261281592</v>
      </c>
      <c r="N72" s="229">
        <f ca="1">SUM(Waterfalls!DJ72:DU72)</f>
        <v>531641.68676973775</v>
      </c>
    </row>
    <row r="73" spans="1:14" x14ac:dyDescent="0.3">
      <c r="A73" t="str">
        <f>Waterfalls!A73</f>
        <v>Contributions</v>
      </c>
      <c r="D73" s="229">
        <f ca="1">Waterfalls!E73</f>
        <v>187200.69504114857</v>
      </c>
      <c r="E73" s="229">
        <f ca="1">SUM(Waterfalls!F73:Q73)</f>
        <v>3320982.4003568813</v>
      </c>
      <c r="F73" s="229">
        <f ca="1">SUM(Waterfalls!R73:AC73)</f>
        <v>0</v>
      </c>
      <c r="G73" s="229">
        <f ca="1">SUM(Waterfalls!AD73:AO73)</f>
        <v>0</v>
      </c>
      <c r="H73" s="229">
        <f ca="1">SUM(Waterfalls!AP73:BA73)</f>
        <v>0</v>
      </c>
      <c r="I73" s="229">
        <f ca="1">SUM(Waterfalls!BB73:BM73)</f>
        <v>0</v>
      </c>
      <c r="J73" s="229">
        <f ca="1">SUM(Waterfalls!BN73:BY73)</f>
        <v>0</v>
      </c>
      <c r="K73" s="229">
        <f ca="1">SUM(Waterfalls!BZ73:CK73)</f>
        <v>0</v>
      </c>
      <c r="L73" s="229">
        <f ca="1">SUM(Waterfalls!CL73:CW73)</f>
        <v>0</v>
      </c>
      <c r="M73" s="229">
        <f ca="1">SUM(Waterfalls!CX73:DI73)</f>
        <v>0</v>
      </c>
      <c r="N73" s="229">
        <f ca="1">SUM(Waterfalls!DJ73:DU73)</f>
        <v>0</v>
      </c>
    </row>
    <row r="74" spans="1:14" x14ac:dyDescent="0.3">
      <c r="A74" s="241" t="str">
        <f>Waterfalls!A74</f>
        <v>Preference Paid From Cash Flow</v>
      </c>
      <c r="B74" s="241"/>
      <c r="C74" s="241"/>
      <c r="D74" s="242">
        <f ca="1">Waterfalls!E74</f>
        <v>0</v>
      </c>
      <c r="E74" s="242">
        <f ca="1">SUM(Waterfalls!F74:Q74)</f>
        <v>0</v>
      </c>
      <c r="F74" s="242">
        <f ca="1">SUM(Waterfalls!R74:AC74)</f>
        <v>-4411.302949009133</v>
      </c>
      <c r="G74" s="242">
        <f ca="1">SUM(Waterfalls!AD74:AO74)</f>
        <v>-227989.21257491675</v>
      </c>
      <c r="H74" s="242">
        <f ca="1">SUM(Waterfalls!AP74:BA74)</f>
        <v>-262708.69405607454</v>
      </c>
      <c r="I74" s="242">
        <f ca="1">SUM(Waterfalls!BB74:BM74)</f>
        <v>-285846.33634816471</v>
      </c>
      <c r="J74" s="242">
        <f ca="1">SUM(Waterfalls!BN74:BY74)</f>
        <v>-310379.11334944132</v>
      </c>
      <c r="K74" s="242">
        <f ca="1">SUM(Waterfalls!BZ74:CK74)</f>
        <v>-337867.32806281187</v>
      </c>
      <c r="L74" s="242">
        <f ca="1">SUM(Waterfalls!CL74:CW74)</f>
        <v>-366551.56441709481</v>
      </c>
      <c r="M74" s="242">
        <f ca="1">SUM(Waterfalls!CX74:DI74)</f>
        <v>-396465.97255354136</v>
      </c>
      <c r="N74" s="242">
        <f ca="1">SUM(Waterfalls!DJ74:DU74)</f>
        <v>-427662.12177705619</v>
      </c>
    </row>
    <row r="75" spans="1:14" x14ac:dyDescent="0.3">
      <c r="A75" s="245" t="str">
        <f>Waterfalls!A75</f>
        <v>Subtotal</v>
      </c>
      <c r="B75" s="245"/>
      <c r="C75" s="245"/>
      <c r="D75" s="227">
        <f ca="1">Waterfalls!E75</f>
        <v>187200.69504114857</v>
      </c>
      <c r="E75" s="227">
        <f t="shared" ref="E75:N75" ca="1" si="15">SUM(E71:E74)</f>
        <v>3561072.9454983976</v>
      </c>
      <c r="F75" s="227">
        <f t="shared" ca="1" si="15"/>
        <v>4136355.568100791</v>
      </c>
      <c r="G75" s="227">
        <f t="shared" ca="1" si="15"/>
        <v>4331508.419308017</v>
      </c>
      <c r="H75" s="227">
        <f t="shared" ca="1" si="15"/>
        <v>4510195.5996032832</v>
      </c>
      <c r="I75" s="227">
        <f t="shared" ca="1" si="15"/>
        <v>4683329.2283286452</v>
      </c>
      <c r="J75" s="227">
        <f t="shared" ca="1" si="15"/>
        <v>4848947.1419469686</v>
      </c>
      <c r="K75" s="227">
        <f t="shared" ca="1" si="15"/>
        <v>5003133.9214124521</v>
      </c>
      <c r="L75" s="227">
        <f t="shared" ca="1" si="15"/>
        <v>5143439.8741939748</v>
      </c>
      <c r="M75" s="227">
        <f t="shared" ca="1" si="15"/>
        <v>5267123.7642532513</v>
      </c>
      <c r="N75" s="227">
        <f t="shared" ca="1" si="15"/>
        <v>5371103.3292459873</v>
      </c>
    </row>
    <row r="76" spans="1:14" x14ac:dyDescent="0.3">
      <c r="A76" s="241" t="str">
        <f>Waterfalls!A76</f>
        <v>Refi Proceeds - Cum'l Pref.</v>
      </c>
      <c r="B76" s="241"/>
      <c r="C76" s="241"/>
      <c r="D76" s="242">
        <f>Waterfalls!E76</f>
        <v>0</v>
      </c>
      <c r="E76" s="242">
        <f>SUM(Waterfalls!F76:Q76)</f>
        <v>0</v>
      </c>
      <c r="F76" s="242">
        <f>SUM(Waterfalls!R76:AC76)</f>
        <v>0</v>
      </c>
      <c r="G76" s="242">
        <f ca="1">SUM(Waterfalls!AD76:AO76)</f>
        <v>-1.1981576681137082E-4</v>
      </c>
      <c r="H76" s="242">
        <f>SUM(Waterfalls!AP76:BA76)</f>
        <v>0</v>
      </c>
      <c r="I76" s="242">
        <f>SUM(Waterfalls!BB76:BM76)</f>
        <v>0</v>
      </c>
      <c r="J76" s="242">
        <f>SUM(Waterfalls!BN76:BY76)</f>
        <v>0</v>
      </c>
      <c r="K76" s="242">
        <f>SUM(Waterfalls!BZ76:CK76)</f>
        <v>0</v>
      </c>
      <c r="L76" s="242">
        <f>SUM(Waterfalls!CL76:CW76)</f>
        <v>0</v>
      </c>
      <c r="M76" s="242">
        <f>SUM(Waterfalls!CX76:DI76)</f>
        <v>0</v>
      </c>
      <c r="N76" s="242">
        <f>SUM(Waterfalls!DJ76:DU76)</f>
        <v>0</v>
      </c>
    </row>
    <row r="77" spans="1:14" x14ac:dyDescent="0.3">
      <c r="A77" s="245" t="str">
        <f>Waterfalls!A77</f>
        <v>Subtotal</v>
      </c>
      <c r="B77" s="245"/>
      <c r="C77" s="245"/>
      <c r="D77" s="227">
        <f ca="1">Waterfalls!E77</f>
        <v>187200.69504114857</v>
      </c>
      <c r="E77" s="227">
        <f t="shared" ref="E77:N77" ca="1" si="16">SUM(E75:E76)</f>
        <v>3561072.9454983976</v>
      </c>
      <c r="F77" s="227">
        <f t="shared" ca="1" si="16"/>
        <v>4136355.568100791</v>
      </c>
      <c r="G77" s="227">
        <f t="shared" ca="1" si="16"/>
        <v>4331508.4191882014</v>
      </c>
      <c r="H77" s="227">
        <f t="shared" ca="1" si="16"/>
        <v>4510195.5996032832</v>
      </c>
      <c r="I77" s="227">
        <f t="shared" ca="1" si="16"/>
        <v>4683329.2283286452</v>
      </c>
      <c r="J77" s="227">
        <f t="shared" ca="1" si="16"/>
        <v>4848947.1419469686</v>
      </c>
      <c r="K77" s="227">
        <f t="shared" ca="1" si="16"/>
        <v>5003133.9214124521</v>
      </c>
      <c r="L77" s="227">
        <f t="shared" ca="1" si="16"/>
        <v>5143439.8741939748</v>
      </c>
      <c r="M77" s="227">
        <f t="shared" ca="1" si="16"/>
        <v>5267123.7642532513</v>
      </c>
      <c r="N77" s="227">
        <f t="shared" ca="1" si="16"/>
        <v>5371103.3292459873</v>
      </c>
    </row>
    <row r="78" spans="1:14" x14ac:dyDescent="0.3">
      <c r="A78" t="str">
        <f>Waterfalls!A78</f>
        <v>Refi Proceeds - Principal</v>
      </c>
      <c r="D78" s="227">
        <f>Waterfalls!E78</f>
        <v>0</v>
      </c>
      <c r="E78" s="227">
        <f>SUM(Waterfalls!F78:Q78)</f>
        <v>0</v>
      </c>
      <c r="F78" s="227">
        <f>SUM(Waterfalls!R78:AC78)</f>
        <v>0</v>
      </c>
      <c r="G78" s="227">
        <f ca="1">SUM(Waterfalls!AD78:AO78)</f>
        <v>0</v>
      </c>
      <c r="H78" s="227">
        <f>SUM(Waterfalls!AP78:BA78)</f>
        <v>0</v>
      </c>
      <c r="I78" s="227">
        <f>SUM(Waterfalls!BB78:BM78)</f>
        <v>0</v>
      </c>
      <c r="J78" s="227">
        <f>SUM(Waterfalls!BN78:BY78)</f>
        <v>0</v>
      </c>
      <c r="K78" s="227">
        <f>SUM(Waterfalls!BZ78:CK78)</f>
        <v>0</v>
      </c>
      <c r="L78" s="227">
        <f>SUM(Waterfalls!CL78:CW78)</f>
        <v>0</v>
      </c>
      <c r="M78" s="227">
        <f>SUM(Waterfalls!CX78:DI78)</f>
        <v>0</v>
      </c>
      <c r="N78" s="227">
        <f>SUM(Waterfalls!DJ78:DU78)</f>
        <v>0</v>
      </c>
    </row>
    <row r="79" spans="1:14" ht="15" thickBot="1" x14ac:dyDescent="0.35">
      <c r="A79" s="248" t="str">
        <f>Waterfalls!A79</f>
        <v>Ending Balance</v>
      </c>
      <c r="B79" s="248"/>
      <c r="C79" s="248"/>
      <c r="D79" s="250">
        <f ca="1">Waterfalls!E79</f>
        <v>187200.69504114857</v>
      </c>
      <c r="E79" s="250">
        <f t="shared" ref="E79:N79" ca="1" si="17">SUM(E77:E78)</f>
        <v>3561072.9454983976</v>
      </c>
      <c r="F79" s="250">
        <f t="shared" ca="1" si="17"/>
        <v>4136355.568100791</v>
      </c>
      <c r="G79" s="250">
        <f t="shared" ca="1" si="17"/>
        <v>4331508.4191882014</v>
      </c>
      <c r="H79" s="250">
        <f t="shared" ca="1" si="17"/>
        <v>4510195.5996032832</v>
      </c>
      <c r="I79" s="250">
        <f t="shared" ca="1" si="17"/>
        <v>4683329.2283286452</v>
      </c>
      <c r="J79" s="250">
        <f t="shared" ca="1" si="17"/>
        <v>4848947.1419469686</v>
      </c>
      <c r="K79" s="250">
        <f t="shared" ca="1" si="17"/>
        <v>5003133.9214124521</v>
      </c>
      <c r="L79" s="250">
        <f t="shared" ca="1" si="17"/>
        <v>5143439.8741939748</v>
      </c>
      <c r="M79" s="250">
        <f t="shared" ca="1" si="17"/>
        <v>5267123.7642532513</v>
      </c>
      <c r="N79" s="250">
        <f t="shared" ca="1" si="17"/>
        <v>5371103.3292459873</v>
      </c>
    </row>
    <row r="80" spans="1:14" ht="7.5" customHeight="1" thickTop="1" x14ac:dyDescent="0.3"/>
    <row r="81" spans="1:14" x14ac:dyDescent="0.3">
      <c r="A81" s="700" t="str">
        <f>Waterfalls!A81</f>
        <v>Quarterra PREFERENCE BALANCE</v>
      </c>
      <c r="B81" s="700"/>
      <c r="C81" s="700"/>
      <c r="D81" s="700"/>
    </row>
    <row r="82" spans="1:14" x14ac:dyDescent="0.3">
      <c r="A82" t="str">
        <f>Waterfalls!A82</f>
        <v>Beginning</v>
      </c>
      <c r="D82" s="227">
        <f>Waterfalls!E82</f>
        <v>0</v>
      </c>
      <c r="E82" s="227">
        <f>Waterfalls!D88</f>
        <v>0</v>
      </c>
      <c r="F82" s="227">
        <f ca="1">Waterfalls!Q88</f>
        <v>240090.5451415162</v>
      </c>
      <c r="G82" s="227">
        <f ca="1">Waterfalls!AC88</f>
        <v>628172.4727027613</v>
      </c>
      <c r="H82" s="227">
        <f ca="1">Waterfalls!AO88</f>
        <v>823325.32379017177</v>
      </c>
      <c r="I82" s="227">
        <f ca="1">Waterfalls!BA88</f>
        <v>1002012.5042052541</v>
      </c>
      <c r="J82" s="227">
        <f ca="1">Waterfalls!BM88</f>
        <v>1175146.1329306161</v>
      </c>
      <c r="K82" s="227">
        <f ca="1">Waterfalls!BY88</f>
        <v>1340764.0465489391</v>
      </c>
      <c r="L82" s="227">
        <f ca="1">Waterfalls!CK88</f>
        <v>1494950.8260144228</v>
      </c>
      <c r="M82" s="227">
        <f ca="1">Waterfalls!CW88</f>
        <v>1635256.7787959462</v>
      </c>
      <c r="N82" s="227">
        <f ca="1">Waterfalls!DI88</f>
        <v>1758940.668855252</v>
      </c>
    </row>
    <row r="83" spans="1:14" x14ac:dyDescent="0.3">
      <c r="A83" s="241" t="str">
        <f>Waterfalls!A83</f>
        <v>Preferred Return</v>
      </c>
      <c r="B83" s="241"/>
      <c r="C83" s="241"/>
      <c r="D83" s="242">
        <f>Waterfalls!E83</f>
        <v>0</v>
      </c>
      <c r="E83" s="242">
        <f ca="1">SUM(Waterfalls!F83:Q83)</f>
        <v>240090.5451415162</v>
      </c>
      <c r="F83" s="242">
        <f ca="1">SUM(Waterfalls!R83:AC83)</f>
        <v>392493.23051025422</v>
      </c>
      <c r="G83" s="242">
        <f ca="1">SUM(Waterfalls!AD83:AO83)</f>
        <v>423142.063782143</v>
      </c>
      <c r="H83" s="242">
        <f ca="1">SUM(Waterfalls!AP83:BA83)</f>
        <v>441395.87447115692</v>
      </c>
      <c r="I83" s="242">
        <f ca="1">SUM(Waterfalls!BB83:BM83)</f>
        <v>458979.96507352672</v>
      </c>
      <c r="J83" s="242">
        <f ca="1">SUM(Waterfalls!BN83:BY83)</f>
        <v>475997.02696776472</v>
      </c>
      <c r="K83" s="242">
        <f ca="1">SUM(Waterfalls!BZ83:CK83)</f>
        <v>492054.10752829595</v>
      </c>
      <c r="L83" s="242">
        <f ca="1">SUM(Waterfalls!CL83:CW83)</f>
        <v>506857.51719861745</v>
      </c>
      <c r="M83" s="242">
        <f ca="1">SUM(Waterfalls!CX83:DI83)</f>
        <v>520149.86261281592</v>
      </c>
      <c r="N83" s="242">
        <f ca="1">SUM(Waterfalls!DJ83:DU83)</f>
        <v>531641.68676973775</v>
      </c>
    </row>
    <row r="84" spans="1:14" x14ac:dyDescent="0.3">
      <c r="A84" s="245" t="str">
        <f>Waterfalls!A84</f>
        <v>Subtotal</v>
      </c>
      <c r="B84" s="245"/>
      <c r="C84" s="245"/>
      <c r="D84" s="227">
        <f>Waterfalls!E84</f>
        <v>0</v>
      </c>
      <c r="E84" s="227">
        <f t="shared" ref="E84:N84" ca="1" si="18">SUM(E82:E83)</f>
        <v>240090.5451415162</v>
      </c>
      <c r="F84" s="227">
        <f t="shared" ca="1" si="18"/>
        <v>632583.77565177041</v>
      </c>
      <c r="G84" s="227">
        <f t="shared" ca="1" si="18"/>
        <v>1051314.5364849044</v>
      </c>
      <c r="H84" s="227">
        <f t="shared" ca="1" si="18"/>
        <v>1264721.1982613287</v>
      </c>
      <c r="I84" s="227">
        <f t="shared" ca="1" si="18"/>
        <v>1460992.4692787807</v>
      </c>
      <c r="J84" s="227">
        <f t="shared" ca="1" si="18"/>
        <v>1651143.1598983807</v>
      </c>
      <c r="K84" s="227">
        <f t="shared" ca="1" si="18"/>
        <v>1832818.1540772351</v>
      </c>
      <c r="L84" s="227">
        <f t="shared" ca="1" si="18"/>
        <v>2001808.3432130404</v>
      </c>
      <c r="M84" s="227">
        <f t="shared" ca="1" si="18"/>
        <v>2155406.641408762</v>
      </c>
      <c r="N84" s="227">
        <f t="shared" ca="1" si="18"/>
        <v>2290582.3556249896</v>
      </c>
    </row>
    <row r="85" spans="1:14" x14ac:dyDescent="0.3">
      <c r="A85" s="241" t="str">
        <f>Waterfalls!A85</f>
        <v>Preference Paid From Cash Flow</v>
      </c>
      <c r="B85" s="241"/>
      <c r="C85" s="241"/>
      <c r="D85" s="242">
        <f ca="1">Waterfalls!E85</f>
        <v>0</v>
      </c>
      <c r="E85" s="242">
        <f ca="1">SUM(Waterfalls!F85:Q85)</f>
        <v>0</v>
      </c>
      <c r="F85" s="242">
        <f ca="1">SUM(Waterfalls!R85:AC85)</f>
        <v>-4411.302949009133</v>
      </c>
      <c r="G85" s="242">
        <f ca="1">SUM(Waterfalls!AD85:AO85)</f>
        <v>-227989.21257491675</v>
      </c>
      <c r="H85" s="242">
        <f ca="1">SUM(Waterfalls!AP85:BA85)</f>
        <v>-262708.69405607454</v>
      </c>
      <c r="I85" s="242">
        <f ca="1">SUM(Waterfalls!BB85:BM85)</f>
        <v>-285846.33634816471</v>
      </c>
      <c r="J85" s="242">
        <f ca="1">SUM(Waterfalls!BN85:BY85)</f>
        <v>-310379.11334944132</v>
      </c>
      <c r="K85" s="242">
        <f ca="1">SUM(Waterfalls!BZ85:CK85)</f>
        <v>-337867.32806281187</v>
      </c>
      <c r="L85" s="242">
        <f ca="1">SUM(Waterfalls!CL85:CW85)</f>
        <v>-366551.56441709481</v>
      </c>
      <c r="M85" s="242">
        <f ca="1">SUM(Waterfalls!CX85:DI85)</f>
        <v>-396465.97255354136</v>
      </c>
      <c r="N85" s="242">
        <f ca="1">SUM(Waterfalls!DJ85:DU85)</f>
        <v>-427662.12177705619</v>
      </c>
    </row>
    <row r="86" spans="1:14" x14ac:dyDescent="0.3">
      <c r="A86" s="245" t="str">
        <f>Waterfalls!A86</f>
        <v>Subtotal</v>
      </c>
      <c r="B86" s="245"/>
      <c r="C86" s="245"/>
      <c r="D86" s="227">
        <f ca="1">Waterfalls!E86</f>
        <v>0</v>
      </c>
      <c r="E86" s="227">
        <f t="shared" ref="E86:N86" ca="1" si="19">SUM(E84:E85)</f>
        <v>240090.5451415162</v>
      </c>
      <c r="F86" s="227">
        <f t="shared" ca="1" si="19"/>
        <v>628172.4727027613</v>
      </c>
      <c r="G86" s="227">
        <f t="shared" ca="1" si="19"/>
        <v>823325.32390998758</v>
      </c>
      <c r="H86" s="227">
        <f t="shared" ca="1" si="19"/>
        <v>1002012.5042052541</v>
      </c>
      <c r="I86" s="227">
        <f t="shared" ca="1" si="19"/>
        <v>1175146.1329306159</v>
      </c>
      <c r="J86" s="227">
        <f t="shared" ca="1" si="19"/>
        <v>1340764.0465489393</v>
      </c>
      <c r="K86" s="227">
        <f t="shared" ca="1" si="19"/>
        <v>1494950.8260144233</v>
      </c>
      <c r="L86" s="227">
        <f t="shared" ca="1" si="19"/>
        <v>1635256.7787959455</v>
      </c>
      <c r="M86" s="227">
        <f t="shared" ca="1" si="19"/>
        <v>1758940.6688552205</v>
      </c>
      <c r="N86" s="227">
        <f t="shared" ca="1" si="19"/>
        <v>1862920.2338479334</v>
      </c>
    </row>
    <row r="87" spans="1:14" x14ac:dyDescent="0.3">
      <c r="A87" t="str">
        <f>Waterfalls!A87</f>
        <v>Refi Proceeds</v>
      </c>
      <c r="D87" s="242">
        <f>Waterfalls!E87</f>
        <v>0</v>
      </c>
      <c r="E87" s="242">
        <f>SUM(Waterfalls!F87:Q87)</f>
        <v>0</v>
      </c>
      <c r="F87" s="242">
        <f>SUM(Waterfalls!R87:AC87)</f>
        <v>0</v>
      </c>
      <c r="G87" s="242">
        <f ca="1">SUM(Waterfalls!AD87:AO87)</f>
        <v>-1.1981576681137082E-4</v>
      </c>
      <c r="H87" s="242">
        <f>SUM(Waterfalls!AP87:BA87)</f>
        <v>0</v>
      </c>
      <c r="I87" s="242">
        <f>SUM(Waterfalls!BB87:BM87)</f>
        <v>0</v>
      </c>
      <c r="J87" s="242">
        <f>SUM(Waterfalls!BN87:BY87)</f>
        <v>0</v>
      </c>
      <c r="K87" s="242">
        <f>SUM(Waterfalls!BZ87:CK87)</f>
        <v>0</v>
      </c>
      <c r="L87" s="242">
        <f>SUM(Waterfalls!CL87:CW87)</f>
        <v>0</v>
      </c>
      <c r="M87" s="242">
        <f>SUM(Waterfalls!CX87:DI87)</f>
        <v>0</v>
      </c>
      <c r="N87" s="242">
        <f>SUM(Waterfalls!DJ87:DU87)</f>
        <v>0</v>
      </c>
    </row>
    <row r="88" spans="1:14" ht="15" thickBot="1" x14ac:dyDescent="0.35">
      <c r="A88" s="248" t="str">
        <f>Waterfalls!A88</f>
        <v>Ending Balance</v>
      </c>
      <c r="B88" s="248"/>
      <c r="C88" s="248"/>
      <c r="D88" s="250">
        <f ca="1">Waterfalls!E88</f>
        <v>0</v>
      </c>
      <c r="E88" s="250">
        <f t="shared" ref="E88:N88" ca="1" si="20">SUM(E86:E87)</f>
        <v>240090.5451415162</v>
      </c>
      <c r="F88" s="250">
        <f t="shared" ca="1" si="20"/>
        <v>628172.4727027613</v>
      </c>
      <c r="G88" s="250">
        <f t="shared" ca="1" si="20"/>
        <v>823325.32379017177</v>
      </c>
      <c r="H88" s="250">
        <f t="shared" ca="1" si="20"/>
        <v>1002012.5042052541</v>
      </c>
      <c r="I88" s="250">
        <f t="shared" ca="1" si="20"/>
        <v>1175146.1329306159</v>
      </c>
      <c r="J88" s="250">
        <f t="shared" ca="1" si="20"/>
        <v>1340764.0465489393</v>
      </c>
      <c r="K88" s="250">
        <f t="shared" ca="1" si="20"/>
        <v>1494950.8260144233</v>
      </c>
      <c r="L88" s="250">
        <f t="shared" ca="1" si="20"/>
        <v>1635256.7787959455</v>
      </c>
      <c r="M88" s="250">
        <f t="shared" ca="1" si="20"/>
        <v>1758940.6688552205</v>
      </c>
      <c r="N88" s="250">
        <f t="shared" ca="1" si="20"/>
        <v>1862920.2338479334</v>
      </c>
    </row>
    <row r="89" spans="1:14" ht="7.5" customHeight="1" thickTop="1" x14ac:dyDescent="0.3"/>
    <row r="90" spans="1:14" x14ac:dyDescent="0.3">
      <c r="A90" s="700" t="str">
        <f>Waterfalls!A90</f>
        <v>LAND EQUITY CONTRIBUTIONS</v>
      </c>
      <c r="B90" s="700"/>
      <c r="C90" s="700"/>
    </row>
    <row r="91" spans="1:14" x14ac:dyDescent="0.3">
      <c r="A91" t="str">
        <f>Waterfalls!A91</f>
        <v>Beginning Balance</v>
      </c>
      <c r="D91" s="227">
        <f>Waterfalls!E91</f>
        <v>0</v>
      </c>
      <c r="E91" s="227">
        <f>Waterfalls!D93</f>
        <v>0</v>
      </c>
      <c r="F91" s="227">
        <f>Waterfalls!Q93</f>
        <v>0</v>
      </c>
      <c r="G91" s="227">
        <f>Waterfalls!AC93</f>
        <v>0</v>
      </c>
      <c r="H91" s="227">
        <f>Waterfalls!AO93</f>
        <v>0</v>
      </c>
      <c r="I91" s="227">
        <f>Waterfalls!BA93</f>
        <v>0</v>
      </c>
      <c r="J91" s="227">
        <f>Waterfalls!BM93</f>
        <v>0</v>
      </c>
      <c r="K91" s="227">
        <f>Waterfalls!BY93</f>
        <v>0</v>
      </c>
      <c r="L91" s="227">
        <f>Waterfalls!CK93</f>
        <v>0</v>
      </c>
      <c r="M91" s="227">
        <f>Waterfalls!CW93</f>
        <v>0</v>
      </c>
      <c r="N91" s="227">
        <f>Waterfalls!DI93</f>
        <v>0</v>
      </c>
    </row>
    <row r="92" spans="1:14" x14ac:dyDescent="0.3">
      <c r="A92" t="str">
        <f>Waterfalls!A92</f>
        <v>Contributions</v>
      </c>
      <c r="D92" s="229">
        <f>Waterfalls!E92</f>
        <v>0</v>
      </c>
      <c r="E92" s="229">
        <f>SUM(Waterfalls!F92:Q92)</f>
        <v>0</v>
      </c>
      <c r="F92" s="229">
        <f>SUM(Waterfalls!R92:AC92)</f>
        <v>0</v>
      </c>
      <c r="G92" s="229">
        <f>SUM(Waterfalls!AD92:AO92)</f>
        <v>0</v>
      </c>
      <c r="H92" s="229">
        <f>SUM(Waterfalls!AP92:BA92)</f>
        <v>0</v>
      </c>
      <c r="I92" s="229">
        <f>SUM(Waterfalls!BB92:BM92)</f>
        <v>0</v>
      </c>
      <c r="J92" s="229">
        <f>SUM(Waterfalls!BN92:BY92)</f>
        <v>0</v>
      </c>
      <c r="K92" s="229">
        <f>SUM(Waterfalls!BZ92:CK92)</f>
        <v>0</v>
      </c>
      <c r="L92" s="229">
        <f>SUM(Waterfalls!CL92:CW92)</f>
        <v>0</v>
      </c>
      <c r="M92" s="229">
        <f>SUM(Waterfalls!CX92:DI92)</f>
        <v>0</v>
      </c>
      <c r="N92" s="229">
        <f>SUM(Waterfalls!DJ92:DU92)</f>
        <v>0</v>
      </c>
    </row>
    <row r="93" spans="1:14" ht="15" thickBot="1" x14ac:dyDescent="0.35">
      <c r="A93" s="248" t="str">
        <f>Waterfalls!A93</f>
        <v>Ending Balance</v>
      </c>
      <c r="B93" s="248"/>
      <c r="C93" s="248"/>
      <c r="D93" s="250">
        <f>Waterfalls!E93</f>
        <v>0</v>
      </c>
      <c r="E93" s="250">
        <f t="shared" ref="E93:N93" si="21">SUM(E91:E92)</f>
        <v>0</v>
      </c>
      <c r="F93" s="250">
        <f t="shared" si="21"/>
        <v>0</v>
      </c>
      <c r="G93" s="250">
        <f t="shared" si="21"/>
        <v>0</v>
      </c>
      <c r="H93" s="250">
        <f t="shared" si="21"/>
        <v>0</v>
      </c>
      <c r="I93" s="250">
        <f t="shared" si="21"/>
        <v>0</v>
      </c>
      <c r="J93" s="250">
        <f t="shared" si="21"/>
        <v>0</v>
      </c>
      <c r="K93" s="250">
        <f t="shared" si="21"/>
        <v>0</v>
      </c>
      <c r="L93" s="250">
        <f t="shared" si="21"/>
        <v>0</v>
      </c>
      <c r="M93" s="250">
        <f t="shared" si="21"/>
        <v>0</v>
      </c>
      <c r="N93" s="250">
        <f t="shared" si="21"/>
        <v>0</v>
      </c>
    </row>
    <row r="94" spans="1:14" ht="7.5" customHeight="1" thickTop="1" x14ac:dyDescent="0.3">
      <c r="D94" s="198"/>
      <c r="E94" s="198"/>
      <c r="F94" s="198"/>
      <c r="G94" s="198"/>
      <c r="H94" s="198"/>
      <c r="I94" s="198"/>
      <c r="J94" s="198"/>
      <c r="K94" s="198"/>
      <c r="L94" s="198"/>
      <c r="M94" s="198"/>
      <c r="N94" s="198"/>
    </row>
    <row r="95" spans="1:14" x14ac:dyDescent="0.3">
      <c r="A95" s="700" t="str">
        <f>Waterfalls!A95</f>
        <v>LAND EQUITY BALANCE</v>
      </c>
      <c r="B95" s="700"/>
      <c r="C95" s="700"/>
    </row>
    <row r="96" spans="1:14" x14ac:dyDescent="0.3">
      <c r="A96" t="str">
        <f>Waterfalls!A96</f>
        <v>Beginning Balance</v>
      </c>
      <c r="D96" s="227">
        <f>Waterfalls!E96</f>
        <v>0</v>
      </c>
      <c r="E96" s="227">
        <f>Waterfalls!D104</f>
        <v>0</v>
      </c>
      <c r="F96" s="227">
        <f ca="1">Waterfalls!Q104</f>
        <v>0</v>
      </c>
      <c r="G96" s="227">
        <f ca="1">Waterfalls!AC104</f>
        <v>0</v>
      </c>
      <c r="H96" s="227">
        <f ca="1">Waterfalls!AO104</f>
        <v>0</v>
      </c>
      <c r="I96" s="227">
        <f ca="1">Waterfalls!BA104</f>
        <v>0</v>
      </c>
      <c r="J96" s="227">
        <f ca="1">Waterfalls!BM104</f>
        <v>0</v>
      </c>
      <c r="K96" s="227">
        <f ca="1">Waterfalls!BY104</f>
        <v>0</v>
      </c>
      <c r="L96" s="227">
        <f ca="1">Waterfalls!CK104</f>
        <v>0</v>
      </c>
      <c r="M96" s="227">
        <f ca="1">Waterfalls!CW104</f>
        <v>0</v>
      </c>
      <c r="N96" s="227">
        <f ca="1">Waterfalls!DI104</f>
        <v>0</v>
      </c>
    </row>
    <row r="97" spans="1:14" x14ac:dyDescent="0.3">
      <c r="A97" t="str">
        <f>Waterfalls!A97</f>
        <v>Preferred Return</v>
      </c>
      <c r="D97" s="229">
        <f>Waterfalls!E97</f>
        <v>0</v>
      </c>
      <c r="E97" s="229">
        <f ca="1">SUM(Waterfalls!F97:Q97)</f>
        <v>0</v>
      </c>
      <c r="F97" s="229">
        <f ca="1">SUM(Waterfalls!R97:AC97)</f>
        <v>0</v>
      </c>
      <c r="G97" s="229">
        <f ca="1">SUM(Waterfalls!AD97:AO97)</f>
        <v>0</v>
      </c>
      <c r="H97" s="229">
        <f ca="1">SUM(Waterfalls!AP97:BA97)</f>
        <v>0</v>
      </c>
      <c r="I97" s="229">
        <f ca="1">SUM(Waterfalls!BB97:BM97)</f>
        <v>0</v>
      </c>
      <c r="J97" s="229">
        <f ca="1">SUM(Waterfalls!BN97:BY97)</f>
        <v>0</v>
      </c>
      <c r="K97" s="229">
        <f ca="1">SUM(Waterfalls!BZ97:CK97)</f>
        <v>0</v>
      </c>
      <c r="L97" s="229">
        <f ca="1">SUM(Waterfalls!CL97:CW97)</f>
        <v>0</v>
      </c>
      <c r="M97" s="229">
        <f ca="1">SUM(Waterfalls!CX97:DI97)</f>
        <v>0</v>
      </c>
      <c r="N97" s="229">
        <f ca="1">SUM(Waterfalls!DJ97:DU97)</f>
        <v>0</v>
      </c>
    </row>
    <row r="98" spans="1:14" x14ac:dyDescent="0.3">
      <c r="A98" t="str">
        <f>Waterfalls!A98</f>
        <v>Contributions</v>
      </c>
      <c r="D98" s="229">
        <f>Waterfalls!E98</f>
        <v>0</v>
      </c>
      <c r="E98" s="229">
        <f>SUM(Waterfalls!F98:Q98)</f>
        <v>0</v>
      </c>
      <c r="F98" s="229">
        <f>SUM(Waterfalls!R98:AC98)</f>
        <v>0</v>
      </c>
      <c r="G98" s="229">
        <f>SUM(Waterfalls!AD98:AO98)</f>
        <v>0</v>
      </c>
      <c r="H98" s="229">
        <f>SUM(Waterfalls!AP98:BA98)</f>
        <v>0</v>
      </c>
      <c r="I98" s="229">
        <f>SUM(Waterfalls!BB98:BM98)</f>
        <v>0</v>
      </c>
      <c r="J98" s="229">
        <f>SUM(Waterfalls!BN98:BY98)</f>
        <v>0</v>
      </c>
      <c r="K98" s="229">
        <f>SUM(Waterfalls!BZ98:CK98)</f>
        <v>0</v>
      </c>
      <c r="L98" s="229">
        <f>SUM(Waterfalls!CL98:CW98)</f>
        <v>0</v>
      </c>
      <c r="M98" s="229">
        <f>SUM(Waterfalls!CX98:DI98)</f>
        <v>0</v>
      </c>
      <c r="N98" s="229">
        <f>SUM(Waterfalls!DJ98:DU98)</f>
        <v>0</v>
      </c>
    </row>
    <row r="99" spans="1:14" x14ac:dyDescent="0.3">
      <c r="A99" s="241" t="str">
        <f>Waterfalls!A99</f>
        <v>Preference Paid From Cash Flow</v>
      </c>
      <c r="B99" s="241"/>
      <c r="C99" s="241"/>
      <c r="D99" s="242">
        <f ca="1">Waterfalls!E99</f>
        <v>0</v>
      </c>
      <c r="E99" s="242">
        <f ca="1">SUM(Waterfalls!F99:Q99)</f>
        <v>0</v>
      </c>
      <c r="F99" s="242">
        <f ca="1">SUM(Waterfalls!R99:AC99)</f>
        <v>0</v>
      </c>
      <c r="G99" s="242">
        <f ca="1">SUM(Waterfalls!AD99:AO99)</f>
        <v>0</v>
      </c>
      <c r="H99" s="242">
        <f ca="1">SUM(Waterfalls!AP99:BA99)</f>
        <v>0</v>
      </c>
      <c r="I99" s="242">
        <f ca="1">SUM(Waterfalls!BB99:BM99)</f>
        <v>0</v>
      </c>
      <c r="J99" s="242">
        <f ca="1">SUM(Waterfalls!BN99:BY99)</f>
        <v>0</v>
      </c>
      <c r="K99" s="242">
        <f ca="1">SUM(Waterfalls!BZ99:CK99)</f>
        <v>0</v>
      </c>
      <c r="L99" s="242">
        <f ca="1">SUM(Waterfalls!CL99:CW99)</f>
        <v>0</v>
      </c>
      <c r="M99" s="242">
        <f ca="1">SUM(Waterfalls!CX99:DI99)</f>
        <v>0</v>
      </c>
      <c r="N99" s="242">
        <f ca="1">SUM(Waterfalls!DJ99:DU99)</f>
        <v>0</v>
      </c>
    </row>
    <row r="100" spans="1:14" x14ac:dyDescent="0.3">
      <c r="A100" s="245" t="str">
        <f>Waterfalls!A100</f>
        <v>Subtotal</v>
      </c>
      <c r="B100" s="245"/>
      <c r="C100" s="245"/>
      <c r="D100" s="227">
        <f ca="1">Waterfalls!E100</f>
        <v>0</v>
      </c>
      <c r="E100" s="227">
        <f t="shared" ref="E100:N100" ca="1" si="22">SUM(E96:E99)</f>
        <v>0</v>
      </c>
      <c r="F100" s="227">
        <f t="shared" ca="1" si="22"/>
        <v>0</v>
      </c>
      <c r="G100" s="227">
        <f t="shared" ca="1" si="22"/>
        <v>0</v>
      </c>
      <c r="H100" s="227">
        <f t="shared" ca="1" si="22"/>
        <v>0</v>
      </c>
      <c r="I100" s="227">
        <f t="shared" ca="1" si="22"/>
        <v>0</v>
      </c>
      <c r="J100" s="227">
        <f t="shared" ca="1" si="22"/>
        <v>0</v>
      </c>
      <c r="K100" s="227">
        <f t="shared" ca="1" si="22"/>
        <v>0</v>
      </c>
      <c r="L100" s="227">
        <f t="shared" ca="1" si="22"/>
        <v>0</v>
      </c>
      <c r="M100" s="227">
        <f t="shared" ca="1" si="22"/>
        <v>0</v>
      </c>
      <c r="N100" s="227">
        <f t="shared" ca="1" si="22"/>
        <v>0</v>
      </c>
    </row>
    <row r="101" spans="1:14" x14ac:dyDescent="0.3">
      <c r="A101" s="241" t="str">
        <f>Waterfalls!A101</f>
        <v>Refi Proceeds - Cum'l Pref.</v>
      </c>
      <c r="B101" s="241"/>
      <c r="C101" s="241"/>
      <c r="D101" s="242">
        <f>Waterfalls!E101</f>
        <v>0</v>
      </c>
      <c r="E101" s="242">
        <f>SUM(Waterfalls!F101:Q101)</f>
        <v>0</v>
      </c>
      <c r="F101" s="242">
        <f>SUM(Waterfalls!R101:AC101)</f>
        <v>0</v>
      </c>
      <c r="G101" s="242">
        <f ca="1">SUM(Waterfalls!AD101:AO101)</f>
        <v>0</v>
      </c>
      <c r="H101" s="242">
        <f>SUM(Waterfalls!AP101:BA101)</f>
        <v>0</v>
      </c>
      <c r="I101" s="242">
        <f>SUM(Waterfalls!BB101:BM101)</f>
        <v>0</v>
      </c>
      <c r="J101" s="242">
        <f>SUM(Waterfalls!BN101:BY101)</f>
        <v>0</v>
      </c>
      <c r="K101" s="242">
        <f>SUM(Waterfalls!BZ101:CK101)</f>
        <v>0</v>
      </c>
      <c r="L101" s="242">
        <f>SUM(Waterfalls!CL101:CW101)</f>
        <v>0</v>
      </c>
      <c r="M101" s="242">
        <f>SUM(Waterfalls!CX101:DI101)</f>
        <v>0</v>
      </c>
      <c r="N101" s="242">
        <f>SUM(Waterfalls!DJ101:DU101)</f>
        <v>0</v>
      </c>
    </row>
    <row r="102" spans="1:14" x14ac:dyDescent="0.3">
      <c r="A102" s="245" t="str">
        <f>Waterfalls!A102</f>
        <v>Subtotal</v>
      </c>
      <c r="B102" s="245"/>
      <c r="C102" s="245"/>
      <c r="D102" s="227">
        <f ca="1">Waterfalls!E102</f>
        <v>0</v>
      </c>
      <c r="E102" s="227">
        <f t="shared" ref="E102:N102" ca="1" si="23">SUM(E100:E101)</f>
        <v>0</v>
      </c>
      <c r="F102" s="227">
        <f t="shared" ca="1" si="23"/>
        <v>0</v>
      </c>
      <c r="G102" s="227">
        <f t="shared" ca="1" si="23"/>
        <v>0</v>
      </c>
      <c r="H102" s="227">
        <f t="shared" ca="1" si="23"/>
        <v>0</v>
      </c>
      <c r="I102" s="227">
        <f t="shared" ca="1" si="23"/>
        <v>0</v>
      </c>
      <c r="J102" s="227">
        <f t="shared" ca="1" si="23"/>
        <v>0</v>
      </c>
      <c r="K102" s="227">
        <f t="shared" ca="1" si="23"/>
        <v>0</v>
      </c>
      <c r="L102" s="227">
        <f t="shared" ca="1" si="23"/>
        <v>0</v>
      </c>
      <c r="M102" s="227">
        <f t="shared" ca="1" si="23"/>
        <v>0</v>
      </c>
      <c r="N102" s="227">
        <f t="shared" ca="1" si="23"/>
        <v>0</v>
      </c>
    </row>
    <row r="103" spans="1:14" x14ac:dyDescent="0.3">
      <c r="A103" s="241" t="str">
        <f>Waterfalls!A103</f>
        <v>Refi Proceeds - Principal</v>
      </c>
      <c r="B103" s="241"/>
      <c r="C103" s="241"/>
      <c r="D103" s="242">
        <f>Waterfalls!E103</f>
        <v>0</v>
      </c>
      <c r="E103" s="242">
        <f>SUM(Waterfalls!F103:Q103)</f>
        <v>0</v>
      </c>
      <c r="F103" s="242">
        <f>SUM(Waterfalls!R103:AC103)</f>
        <v>0</v>
      </c>
      <c r="G103" s="242">
        <f ca="1">SUM(Waterfalls!AD103:AO103)</f>
        <v>0</v>
      </c>
      <c r="H103" s="242">
        <f>SUM(Waterfalls!AP103:BA103)</f>
        <v>0</v>
      </c>
      <c r="I103" s="242">
        <f>SUM(Waterfalls!BB103:BM103)</f>
        <v>0</v>
      </c>
      <c r="J103" s="242">
        <f>SUM(Waterfalls!BN103:BY103)</f>
        <v>0</v>
      </c>
      <c r="K103" s="242">
        <f>SUM(Waterfalls!BZ103:CK103)</f>
        <v>0</v>
      </c>
      <c r="L103" s="242">
        <f>SUM(Waterfalls!CL103:CW103)</f>
        <v>0</v>
      </c>
      <c r="M103" s="242">
        <f>SUM(Waterfalls!CX103:DI103)</f>
        <v>0</v>
      </c>
      <c r="N103" s="242">
        <f>SUM(Waterfalls!DJ103:DU103)</f>
        <v>0</v>
      </c>
    </row>
    <row r="104" spans="1:14" ht="15" thickBot="1" x14ac:dyDescent="0.35">
      <c r="A104" s="248" t="str">
        <f>Waterfalls!A104</f>
        <v>Ending Balance</v>
      </c>
      <c r="B104" s="248"/>
      <c r="C104" s="248"/>
      <c r="D104" s="250">
        <f ca="1">Waterfalls!E104</f>
        <v>0</v>
      </c>
      <c r="E104" s="250">
        <f t="shared" ref="E104:N104" ca="1" si="24">SUM(E102:E103)</f>
        <v>0</v>
      </c>
      <c r="F104" s="250">
        <f t="shared" ca="1" si="24"/>
        <v>0</v>
      </c>
      <c r="G104" s="250">
        <f t="shared" ca="1" si="24"/>
        <v>0</v>
      </c>
      <c r="H104" s="250">
        <f t="shared" ca="1" si="24"/>
        <v>0</v>
      </c>
      <c r="I104" s="250">
        <f t="shared" ca="1" si="24"/>
        <v>0</v>
      </c>
      <c r="J104" s="250">
        <f t="shared" ca="1" si="24"/>
        <v>0</v>
      </c>
      <c r="K104" s="250">
        <f t="shared" ca="1" si="24"/>
        <v>0</v>
      </c>
      <c r="L104" s="250">
        <f t="shared" ca="1" si="24"/>
        <v>0</v>
      </c>
      <c r="M104" s="250">
        <f t="shared" ca="1" si="24"/>
        <v>0</v>
      </c>
      <c r="N104" s="250">
        <f t="shared" ca="1" si="24"/>
        <v>0</v>
      </c>
    </row>
    <row r="105" spans="1:14" ht="7.5" customHeight="1" thickTop="1" x14ac:dyDescent="0.3"/>
    <row r="106" spans="1:14" x14ac:dyDescent="0.3">
      <c r="A106" s="700" t="str">
        <f>Waterfalls!A106</f>
        <v>LAND PREFERENCE BALANCE</v>
      </c>
      <c r="B106" s="700"/>
      <c r="C106" s="700"/>
      <c r="D106" s="700"/>
      <c r="E106" s="700"/>
      <c r="F106" s="700"/>
      <c r="G106" s="700"/>
      <c r="H106" s="700"/>
      <c r="I106" s="700"/>
      <c r="J106" s="700"/>
      <c r="K106" s="700"/>
      <c r="L106" s="700"/>
      <c r="M106" s="700"/>
      <c r="N106" s="700"/>
    </row>
    <row r="107" spans="1:14" x14ac:dyDescent="0.3">
      <c r="A107" t="str">
        <f>Waterfalls!A107</f>
        <v>Beginning</v>
      </c>
      <c r="D107" s="227">
        <f>Waterfalls!E107</f>
        <v>0</v>
      </c>
      <c r="E107" s="227">
        <f>Waterfalls!D113</f>
        <v>0</v>
      </c>
      <c r="F107" s="227">
        <f ca="1">Waterfalls!Q113</f>
        <v>0</v>
      </c>
      <c r="G107" s="227">
        <f ca="1">Waterfalls!AC113</f>
        <v>0</v>
      </c>
      <c r="H107" s="227">
        <f ca="1">Waterfalls!AO113</f>
        <v>0</v>
      </c>
      <c r="I107" s="227">
        <f ca="1">Waterfalls!BA113</f>
        <v>0</v>
      </c>
      <c r="J107" s="227">
        <f ca="1">Waterfalls!BM113</f>
        <v>0</v>
      </c>
      <c r="K107" s="227">
        <f ca="1">Waterfalls!BY113</f>
        <v>0</v>
      </c>
      <c r="L107" s="227">
        <f ca="1">Waterfalls!CK113</f>
        <v>0</v>
      </c>
      <c r="M107" s="227">
        <f ca="1">Waterfalls!CW113</f>
        <v>0</v>
      </c>
      <c r="N107" s="227">
        <f ca="1">Waterfalls!DI113</f>
        <v>0</v>
      </c>
    </row>
    <row r="108" spans="1:14" x14ac:dyDescent="0.3">
      <c r="A108" s="241" t="str">
        <f>Waterfalls!A108</f>
        <v>Preferred Return</v>
      </c>
      <c r="B108" s="241"/>
      <c r="C108" s="241"/>
      <c r="D108" s="242">
        <f>Waterfalls!E108</f>
        <v>0</v>
      </c>
      <c r="E108" s="242">
        <f ca="1">SUM(Waterfalls!F108:Q108)</f>
        <v>0</v>
      </c>
      <c r="F108" s="242">
        <f ca="1">SUM(Waterfalls!R108:AC108)</f>
        <v>0</v>
      </c>
      <c r="G108" s="242">
        <f ca="1">SUM(Waterfalls!AD108:AO108)</f>
        <v>0</v>
      </c>
      <c r="H108" s="242">
        <f ca="1">SUM(Waterfalls!AP108:BA108)</f>
        <v>0</v>
      </c>
      <c r="I108" s="242">
        <f ca="1">SUM(Waterfalls!BB108:BM108)</f>
        <v>0</v>
      </c>
      <c r="J108" s="242">
        <f ca="1">SUM(Waterfalls!BN108:BY108)</f>
        <v>0</v>
      </c>
      <c r="K108" s="242">
        <f ca="1">SUM(Waterfalls!BZ108:CK108)</f>
        <v>0</v>
      </c>
      <c r="L108" s="242">
        <f ca="1">SUM(Waterfalls!CL108:CW108)</f>
        <v>0</v>
      </c>
      <c r="M108" s="242">
        <f ca="1">SUM(Waterfalls!CX108:DI108)</f>
        <v>0</v>
      </c>
      <c r="N108" s="242">
        <f ca="1">SUM(Waterfalls!DJ108:DU108)</f>
        <v>0</v>
      </c>
    </row>
    <row r="109" spans="1:14" x14ac:dyDescent="0.3">
      <c r="A109" s="245" t="str">
        <f>Waterfalls!A109</f>
        <v>Subtotal</v>
      </c>
      <c r="B109" s="245"/>
      <c r="C109" s="245"/>
      <c r="D109" s="227">
        <f>Waterfalls!E109</f>
        <v>0</v>
      </c>
      <c r="E109" s="227">
        <f t="shared" ref="E109:N109" ca="1" si="25">SUM(E107:E108)</f>
        <v>0</v>
      </c>
      <c r="F109" s="227">
        <f t="shared" ca="1" si="25"/>
        <v>0</v>
      </c>
      <c r="G109" s="227">
        <f t="shared" ca="1" si="25"/>
        <v>0</v>
      </c>
      <c r="H109" s="227">
        <f t="shared" ca="1" si="25"/>
        <v>0</v>
      </c>
      <c r="I109" s="227">
        <f t="shared" ca="1" si="25"/>
        <v>0</v>
      </c>
      <c r="J109" s="227">
        <f t="shared" ca="1" si="25"/>
        <v>0</v>
      </c>
      <c r="K109" s="227">
        <f t="shared" ca="1" si="25"/>
        <v>0</v>
      </c>
      <c r="L109" s="227">
        <f t="shared" ca="1" si="25"/>
        <v>0</v>
      </c>
      <c r="M109" s="227">
        <f t="shared" ca="1" si="25"/>
        <v>0</v>
      </c>
      <c r="N109" s="227">
        <f t="shared" ca="1" si="25"/>
        <v>0</v>
      </c>
    </row>
    <row r="110" spans="1:14" x14ac:dyDescent="0.3">
      <c r="A110" s="241" t="str">
        <f>Waterfalls!A110</f>
        <v>Preference Paid From Cash Flow</v>
      </c>
      <c r="B110" s="241"/>
      <c r="C110" s="241"/>
      <c r="D110" s="242">
        <f ca="1">Waterfalls!E110</f>
        <v>0</v>
      </c>
      <c r="E110" s="242">
        <f ca="1">SUM(Waterfalls!F110:Q110)</f>
        <v>0</v>
      </c>
      <c r="F110" s="242">
        <f ca="1">SUM(Waterfalls!R110:AC110)</f>
        <v>0</v>
      </c>
      <c r="G110" s="242">
        <f ca="1">SUM(Waterfalls!AD110:AO110)</f>
        <v>0</v>
      </c>
      <c r="H110" s="242">
        <f ca="1">SUM(Waterfalls!AP110:BA110)</f>
        <v>0</v>
      </c>
      <c r="I110" s="242">
        <f ca="1">SUM(Waterfalls!BB110:BM110)</f>
        <v>0</v>
      </c>
      <c r="J110" s="242">
        <f ca="1">SUM(Waterfalls!BN110:BY110)</f>
        <v>0</v>
      </c>
      <c r="K110" s="242">
        <f ca="1">SUM(Waterfalls!BZ110:CK110)</f>
        <v>0</v>
      </c>
      <c r="L110" s="242">
        <f ca="1">SUM(Waterfalls!CL110:CW110)</f>
        <v>0</v>
      </c>
      <c r="M110" s="242">
        <f ca="1">SUM(Waterfalls!CX110:DI110)</f>
        <v>0</v>
      </c>
      <c r="N110" s="242">
        <f ca="1">SUM(Waterfalls!DJ110:DU110)</f>
        <v>0</v>
      </c>
    </row>
    <row r="111" spans="1:14" x14ac:dyDescent="0.3">
      <c r="A111" s="245" t="str">
        <f>Waterfalls!A111</f>
        <v>Subtotal</v>
      </c>
      <c r="B111" s="245"/>
      <c r="C111" s="245"/>
      <c r="D111" s="227">
        <f ca="1">Waterfalls!E111</f>
        <v>0</v>
      </c>
      <c r="E111" s="227">
        <f t="shared" ref="E111:N111" ca="1" si="26">SUM(E109:E110)</f>
        <v>0</v>
      </c>
      <c r="F111" s="227">
        <f t="shared" ca="1" si="26"/>
        <v>0</v>
      </c>
      <c r="G111" s="227">
        <f t="shared" ca="1" si="26"/>
        <v>0</v>
      </c>
      <c r="H111" s="227">
        <f t="shared" ca="1" si="26"/>
        <v>0</v>
      </c>
      <c r="I111" s="227">
        <f t="shared" ca="1" si="26"/>
        <v>0</v>
      </c>
      <c r="J111" s="227">
        <f t="shared" ca="1" si="26"/>
        <v>0</v>
      </c>
      <c r="K111" s="227">
        <f t="shared" ca="1" si="26"/>
        <v>0</v>
      </c>
      <c r="L111" s="227">
        <f t="shared" ca="1" si="26"/>
        <v>0</v>
      </c>
      <c r="M111" s="227">
        <f t="shared" ca="1" si="26"/>
        <v>0</v>
      </c>
      <c r="N111" s="227">
        <f t="shared" ca="1" si="26"/>
        <v>0</v>
      </c>
    </row>
    <row r="112" spans="1:14" x14ac:dyDescent="0.3">
      <c r="A112" t="str">
        <f>Waterfalls!A112</f>
        <v>Refi Proceeds</v>
      </c>
      <c r="D112" s="242">
        <f>Waterfalls!E112</f>
        <v>0</v>
      </c>
      <c r="E112" s="242">
        <f>SUM(Waterfalls!F112:Q112)</f>
        <v>0</v>
      </c>
      <c r="F112" s="242">
        <f>SUM(Waterfalls!R112:AC112)</f>
        <v>0</v>
      </c>
      <c r="G112" s="242">
        <f ca="1">SUM(Waterfalls!AD112:AO112)</f>
        <v>0</v>
      </c>
      <c r="H112" s="242">
        <f>SUM(Waterfalls!AP112:BA112)</f>
        <v>0</v>
      </c>
      <c r="I112" s="242">
        <f>SUM(Waterfalls!BB112:BM112)</f>
        <v>0</v>
      </c>
      <c r="J112" s="242">
        <f>SUM(Waterfalls!BN112:BY112)</f>
        <v>0</v>
      </c>
      <c r="K112" s="242">
        <f>SUM(Waterfalls!BZ112:CK112)</f>
        <v>0</v>
      </c>
      <c r="L112" s="242">
        <f>SUM(Waterfalls!CL112:CW112)</f>
        <v>0</v>
      </c>
      <c r="M112" s="242">
        <f>SUM(Waterfalls!CX112:DI112)</f>
        <v>0</v>
      </c>
      <c r="N112" s="242">
        <f>SUM(Waterfalls!DJ112:DU112)</f>
        <v>0</v>
      </c>
    </row>
    <row r="113" spans="1:14" ht="15" thickBot="1" x14ac:dyDescent="0.35">
      <c r="A113" s="248" t="str">
        <f>Waterfalls!A113</f>
        <v>Ending Balance</v>
      </c>
      <c r="B113" s="248"/>
      <c r="C113" s="248"/>
      <c r="D113" s="250">
        <f ca="1">Waterfalls!E113</f>
        <v>0</v>
      </c>
      <c r="E113" s="250">
        <f t="shared" ref="E113:N113" ca="1" si="27">SUM(E111:E112)</f>
        <v>0</v>
      </c>
      <c r="F113" s="250">
        <f t="shared" ca="1" si="27"/>
        <v>0</v>
      </c>
      <c r="G113" s="250">
        <f t="shared" ca="1" si="27"/>
        <v>0</v>
      </c>
      <c r="H113" s="250">
        <f t="shared" ca="1" si="27"/>
        <v>0</v>
      </c>
      <c r="I113" s="250">
        <f t="shared" ca="1" si="27"/>
        <v>0</v>
      </c>
      <c r="J113" s="250">
        <f t="shared" ca="1" si="27"/>
        <v>0</v>
      </c>
      <c r="K113" s="250">
        <f t="shared" ca="1" si="27"/>
        <v>0</v>
      </c>
      <c r="L113" s="250">
        <f t="shared" ca="1" si="27"/>
        <v>0</v>
      </c>
      <c r="M113" s="250">
        <f t="shared" ca="1" si="27"/>
        <v>0</v>
      </c>
      <c r="N113" s="250">
        <f t="shared" ca="1" si="27"/>
        <v>0</v>
      </c>
    </row>
    <row r="114" spans="1:14" ht="7.5" customHeight="1" thickTop="1" x14ac:dyDescent="0.3"/>
    <row r="115" spans="1:14" x14ac:dyDescent="0.3">
      <c r="A115" s="700" t="str">
        <f>Waterfalls!A115</f>
        <v>REFINANCE PROCEEDS</v>
      </c>
    </row>
    <row r="116" spans="1:14" x14ac:dyDescent="0.3">
      <c r="A116" t="str">
        <f>Waterfalls!A116</f>
        <v>Permanent Loan, 55.00% of Cost</v>
      </c>
      <c r="D116" s="227">
        <f>Waterfalls!E116</f>
        <v>0</v>
      </c>
      <c r="E116" s="227">
        <f>SUM(Waterfalls!F116:Q116)</f>
        <v>0</v>
      </c>
      <c r="F116" s="227">
        <f>SUM(Waterfalls!R116:AC116)</f>
        <v>0</v>
      </c>
      <c r="G116" s="227">
        <f ca="1">SUM(Waterfalls!AD116:AO116)</f>
        <v>43199376.838609651</v>
      </c>
      <c r="H116" s="227">
        <f>SUM(Waterfalls!AP116:BA116)</f>
        <v>0</v>
      </c>
      <c r="I116" s="227">
        <f>SUM(Waterfalls!BB116:BM116)</f>
        <v>0</v>
      </c>
      <c r="J116" s="227">
        <f>SUM(Waterfalls!BN116:BY116)</f>
        <v>0</v>
      </c>
      <c r="K116" s="227">
        <f>SUM(Waterfalls!BZ116:CK116)</f>
        <v>0</v>
      </c>
      <c r="L116" s="227">
        <f>SUM(Waterfalls!CL116:CW116)</f>
        <v>0</v>
      </c>
      <c r="M116" s="227">
        <f>SUM(Waterfalls!CX116:DI116)</f>
        <v>0</v>
      </c>
      <c r="N116" s="227">
        <f>SUM(Waterfalls!DJ116:DU116)</f>
        <v>0</v>
      </c>
    </row>
    <row r="117" spans="1:14" x14ac:dyDescent="0.3">
      <c r="A117" t="str">
        <f>Waterfalls!A117</f>
        <v>Loan Fees</v>
      </c>
      <c r="D117" s="229">
        <f>Waterfalls!E117</f>
        <v>0</v>
      </c>
      <c r="E117" s="229">
        <f>SUM(Waterfalls!F117:Q117)</f>
        <v>0</v>
      </c>
      <c r="F117" s="229">
        <f>SUM(Waterfalls!R117:AC117)</f>
        <v>0</v>
      </c>
      <c r="G117" s="229">
        <f ca="1">SUM(Waterfalls!AD117:AO117)</f>
        <v>-321583.45041148626</v>
      </c>
      <c r="H117" s="229">
        <f>SUM(Waterfalls!AP117:BA117)</f>
        <v>0</v>
      </c>
      <c r="I117" s="229">
        <f>SUM(Waterfalls!BB117:BM117)</f>
        <v>0</v>
      </c>
      <c r="J117" s="229">
        <f>SUM(Waterfalls!BN117:BY117)</f>
        <v>0</v>
      </c>
      <c r="K117" s="229">
        <f>SUM(Waterfalls!BZ117:CK117)</f>
        <v>0</v>
      </c>
      <c r="L117" s="229">
        <f>SUM(Waterfalls!CL117:CW117)</f>
        <v>0</v>
      </c>
      <c r="M117" s="229">
        <f>SUM(Waterfalls!CX117:DI117)</f>
        <v>0</v>
      </c>
      <c r="N117" s="229">
        <f>SUM(Waterfalls!DJ117:DU117)</f>
        <v>0</v>
      </c>
    </row>
    <row r="118" spans="1:14" x14ac:dyDescent="0.3">
      <c r="A118" s="701" t="str">
        <f>Waterfalls!A118</f>
        <v>PERMANENT LOAN PROCEEDS</v>
      </c>
      <c r="B118" s="701"/>
      <c r="C118" s="701"/>
      <c r="D118" s="702">
        <f>Waterfalls!E118</f>
        <v>0</v>
      </c>
      <c r="E118" s="702">
        <f t="shared" ref="E118:N118" si="28">SUM(E116:E117)</f>
        <v>0</v>
      </c>
      <c r="F118" s="702">
        <f t="shared" si="28"/>
        <v>0</v>
      </c>
      <c r="G118" s="702">
        <f t="shared" ca="1" si="28"/>
        <v>42877793.388198167</v>
      </c>
      <c r="H118" s="702">
        <f t="shared" si="28"/>
        <v>0</v>
      </c>
      <c r="I118" s="702">
        <f>SUM(I116:I117)</f>
        <v>0</v>
      </c>
      <c r="J118" s="702">
        <f t="shared" si="28"/>
        <v>0</v>
      </c>
      <c r="K118" s="702">
        <f t="shared" si="28"/>
        <v>0</v>
      </c>
      <c r="L118" s="702">
        <f t="shared" si="28"/>
        <v>0</v>
      </c>
      <c r="M118" s="702">
        <f t="shared" si="28"/>
        <v>0</v>
      </c>
      <c r="N118" s="702">
        <f t="shared" si="28"/>
        <v>0</v>
      </c>
    </row>
    <row r="119" spans="1:14" ht="7.5" customHeight="1" x14ac:dyDescent="0.3"/>
    <row r="120" spans="1:14" x14ac:dyDescent="0.3">
      <c r="A120" t="str">
        <f>Waterfalls!A120</f>
        <v>Mezzanine Loan, 0.00% of Cost</v>
      </c>
      <c r="D120" s="227">
        <f>Waterfalls!E120</f>
        <v>0</v>
      </c>
      <c r="E120" s="227">
        <f>SUM(Waterfalls!F120:Q120)</f>
        <v>0</v>
      </c>
      <c r="F120" s="227">
        <f>SUM(Waterfalls!R120:AC120)</f>
        <v>0</v>
      </c>
      <c r="G120" s="227">
        <f ca="1">SUM(Waterfalls!AD120:AO120)</f>
        <v>0</v>
      </c>
      <c r="H120" s="227">
        <f>SUM(Waterfalls!AP120:BA120)</f>
        <v>0</v>
      </c>
      <c r="I120" s="227">
        <f>SUM(Waterfalls!BB120:BM120)</f>
        <v>0</v>
      </c>
      <c r="J120" s="227">
        <f>SUM(Waterfalls!BN120:BY120)</f>
        <v>0</v>
      </c>
      <c r="K120" s="227">
        <f>SUM(Waterfalls!BZ120:CK120)</f>
        <v>0</v>
      </c>
      <c r="L120" s="227">
        <f>SUM(Waterfalls!CL120:CW120)</f>
        <v>0</v>
      </c>
      <c r="M120" s="227">
        <f>SUM(Waterfalls!CX120:DI120)</f>
        <v>0</v>
      </c>
      <c r="N120" s="227">
        <f>SUM(Waterfalls!DJ120:DU120)</f>
        <v>0</v>
      </c>
    </row>
    <row r="121" spans="1:14" x14ac:dyDescent="0.3">
      <c r="A121" t="str">
        <f>Waterfalls!A121</f>
        <v>Loan Fees</v>
      </c>
      <c r="D121" s="229">
        <f>Waterfalls!E121</f>
        <v>0</v>
      </c>
      <c r="E121" s="229">
        <f>SUM(Waterfalls!F121:Q121)</f>
        <v>0</v>
      </c>
      <c r="F121" s="229">
        <f>SUM(Waterfalls!R121:AC121)</f>
        <v>0</v>
      </c>
      <c r="G121" s="229">
        <f ca="1">SUM(Waterfalls!AD121:AO121)</f>
        <v>0</v>
      </c>
      <c r="H121" s="229">
        <f>SUM(Waterfalls!AP121:BA121)</f>
        <v>0</v>
      </c>
      <c r="I121" s="229">
        <f>SUM(Waterfalls!BB121:BM121)</f>
        <v>0</v>
      </c>
      <c r="J121" s="229">
        <f>SUM(Waterfalls!BN121:BY121)</f>
        <v>0</v>
      </c>
      <c r="K121" s="229">
        <f>SUM(Waterfalls!BZ121:CK121)</f>
        <v>0</v>
      </c>
      <c r="L121" s="229">
        <f>SUM(Waterfalls!CL121:CW121)</f>
        <v>0</v>
      </c>
      <c r="M121" s="229">
        <f>SUM(Waterfalls!CX121:DI121)</f>
        <v>0</v>
      </c>
      <c r="N121" s="229">
        <f>SUM(Waterfalls!DJ121:DU121)</f>
        <v>0</v>
      </c>
    </row>
    <row r="122" spans="1:14" x14ac:dyDescent="0.3">
      <c r="A122" s="701" t="str">
        <f>Waterfalls!A122</f>
        <v>TOTAL PROCEEDS</v>
      </c>
      <c r="B122" s="701"/>
      <c r="C122" s="701"/>
      <c r="D122" s="702">
        <f>Waterfalls!E122</f>
        <v>0</v>
      </c>
      <c r="E122" s="702">
        <f>SUM(E120:E121)</f>
        <v>0</v>
      </c>
      <c r="F122" s="702">
        <f t="shared" ref="F122:N122" si="29">SUM(F120:F121)</f>
        <v>0</v>
      </c>
      <c r="G122" s="702">
        <f t="shared" ca="1" si="29"/>
        <v>0</v>
      </c>
      <c r="H122" s="702">
        <f t="shared" si="29"/>
        <v>0</v>
      </c>
      <c r="I122" s="702">
        <f>SUM(I120:I121)</f>
        <v>0</v>
      </c>
      <c r="J122" s="702">
        <f t="shared" si="29"/>
        <v>0</v>
      </c>
      <c r="K122" s="702">
        <f t="shared" si="29"/>
        <v>0</v>
      </c>
      <c r="L122" s="702">
        <f t="shared" si="29"/>
        <v>0</v>
      </c>
      <c r="M122" s="702">
        <f t="shared" si="29"/>
        <v>0</v>
      </c>
      <c r="N122" s="702">
        <f t="shared" si="29"/>
        <v>0</v>
      </c>
    </row>
    <row r="123" spans="1:14" ht="7.5" customHeight="1" x14ac:dyDescent="0.3"/>
    <row r="124" spans="1:14" x14ac:dyDescent="0.3">
      <c r="A124" t="str">
        <f>Waterfalls!A124</f>
        <v>Loan Prepayment Penalty - Mezz.</v>
      </c>
      <c r="D124" s="227">
        <f>Waterfalls!E124</f>
        <v>0</v>
      </c>
      <c r="E124" s="227">
        <f>SUM(Waterfalls!F124:Q124)</f>
        <v>0</v>
      </c>
      <c r="F124" s="227">
        <f>SUM(Waterfalls!R124:AC124)</f>
        <v>0</v>
      </c>
      <c r="G124" s="227">
        <f ca="1">SUM(Waterfalls!AD124:AO124)</f>
        <v>0</v>
      </c>
      <c r="H124" s="227">
        <f>SUM(Waterfalls!AP124:BA124)</f>
        <v>0</v>
      </c>
      <c r="I124" s="227">
        <f>SUM(Waterfalls!BB124:BM124)</f>
        <v>0</v>
      </c>
      <c r="J124" s="227">
        <f>SUM(Waterfalls!BN124:BY124)</f>
        <v>0</v>
      </c>
      <c r="K124" s="227">
        <f>SUM(Waterfalls!BZ124:CK124)</f>
        <v>0</v>
      </c>
      <c r="L124" s="227">
        <f>SUM(Waterfalls!CL124:CW124)</f>
        <v>0</v>
      </c>
      <c r="M124" s="227">
        <f>SUM(Waterfalls!CX124:DI124)</f>
        <v>0</v>
      </c>
      <c r="N124" s="227">
        <f>SUM(Waterfalls!DJ124:DU124)</f>
        <v>0</v>
      </c>
    </row>
    <row r="125" spans="1:14" ht="15" thickBot="1" x14ac:dyDescent="0.35">
      <c r="A125" s="248" t="str">
        <f>Waterfalls!A125</f>
        <v>REFI PROCEEDS NET OF FEES</v>
      </c>
      <c r="B125" s="248"/>
      <c r="C125" s="248"/>
      <c r="D125" s="250">
        <f>Waterfalls!E125</f>
        <v>0</v>
      </c>
      <c r="E125" s="250">
        <f t="shared" ref="E125:N125" si="30">E118+E122+E124</f>
        <v>0</v>
      </c>
      <c r="F125" s="250">
        <f t="shared" si="30"/>
        <v>0</v>
      </c>
      <c r="G125" s="250">
        <f t="shared" ca="1" si="30"/>
        <v>42877793.388198167</v>
      </c>
      <c r="H125" s="250">
        <f t="shared" si="30"/>
        <v>0</v>
      </c>
      <c r="I125" s="250">
        <f t="shared" si="30"/>
        <v>0</v>
      </c>
      <c r="J125" s="250">
        <f t="shared" si="30"/>
        <v>0</v>
      </c>
      <c r="K125" s="250">
        <f t="shared" si="30"/>
        <v>0</v>
      </c>
      <c r="L125" s="250">
        <f t="shared" si="30"/>
        <v>0</v>
      </c>
      <c r="M125" s="250">
        <f t="shared" si="30"/>
        <v>0</v>
      </c>
      <c r="N125" s="250">
        <f t="shared" si="30"/>
        <v>0</v>
      </c>
    </row>
    <row r="126" spans="1:14" ht="7.5" customHeight="1" thickTop="1" x14ac:dyDescent="0.3"/>
    <row r="127" spans="1:14" x14ac:dyDescent="0.3">
      <c r="A127" s="241" t="str">
        <f>Waterfalls!A127</f>
        <v>Construction Loan</v>
      </c>
      <c r="B127" s="241"/>
      <c r="C127" s="241"/>
      <c r="D127" s="299">
        <f>Waterfalls!E127</f>
        <v>0</v>
      </c>
      <c r="E127" s="299">
        <f>SUM(Waterfalls!F127:Q127)</f>
        <v>0</v>
      </c>
      <c r="F127" s="299">
        <f>SUM(Waterfalls!R127:AC127)</f>
        <v>0</v>
      </c>
      <c r="G127" s="299">
        <f ca="1">SUM(Waterfalls!AD127:AO127)</f>
        <v>-42877793.387000009</v>
      </c>
      <c r="H127" s="299">
        <f>SUM(Waterfalls!AP127:BA127)</f>
        <v>0</v>
      </c>
      <c r="I127" s="299">
        <f>SUM(Waterfalls!BB127:BM127)</f>
        <v>0</v>
      </c>
      <c r="J127" s="299">
        <f>SUM(Waterfalls!BN127:BY127)</f>
        <v>0</v>
      </c>
      <c r="K127" s="299">
        <f>SUM(Waterfalls!BZ127:CK127)</f>
        <v>0</v>
      </c>
      <c r="L127" s="299">
        <f>SUM(Waterfalls!CL127:CW127)</f>
        <v>0</v>
      </c>
      <c r="M127" s="299">
        <f>SUM(Waterfalls!CX127:DI127)</f>
        <v>0</v>
      </c>
      <c r="N127" s="299">
        <f>SUM(Waterfalls!DJ127:DU127)</f>
        <v>0</v>
      </c>
    </row>
    <row r="128" spans="1:14" x14ac:dyDescent="0.3">
      <c r="A128" s="245" t="str">
        <f>Waterfalls!A128</f>
        <v>Subtotal</v>
      </c>
      <c r="D128" s="227">
        <f>Waterfalls!E128</f>
        <v>0</v>
      </c>
      <c r="E128" s="227">
        <f t="shared" ref="E128:N128" si="31">E125+E127</f>
        <v>0</v>
      </c>
      <c r="F128" s="227">
        <f t="shared" si="31"/>
        <v>0</v>
      </c>
      <c r="G128" s="227">
        <f t="shared" ca="1" si="31"/>
        <v>1.1981576681137085E-3</v>
      </c>
      <c r="H128" s="227">
        <f t="shared" si="31"/>
        <v>0</v>
      </c>
      <c r="I128" s="227">
        <f>I125+I127</f>
        <v>0</v>
      </c>
      <c r="J128" s="227">
        <f t="shared" si="31"/>
        <v>0</v>
      </c>
      <c r="K128" s="227">
        <f t="shared" si="31"/>
        <v>0</v>
      </c>
      <c r="L128" s="227">
        <f t="shared" si="31"/>
        <v>0</v>
      </c>
      <c r="M128" s="227">
        <f t="shared" si="31"/>
        <v>0</v>
      </c>
      <c r="N128" s="227">
        <f t="shared" si="31"/>
        <v>0</v>
      </c>
    </row>
    <row r="129" spans="1:14" x14ac:dyDescent="0.3">
      <c r="A129" s="241" t="str">
        <f>Waterfalls!A129</f>
        <v>Mezzanine Loan</v>
      </c>
      <c r="B129" s="241"/>
      <c r="C129" s="241"/>
      <c r="D129" s="299">
        <f>Waterfalls!E129</f>
        <v>0</v>
      </c>
      <c r="E129" s="299">
        <f>SUM(Waterfalls!F129:Q129)</f>
        <v>0</v>
      </c>
      <c r="F129" s="299">
        <f>SUM(Waterfalls!R129:AC129)</f>
        <v>0</v>
      </c>
      <c r="G129" s="299">
        <f ca="1">SUM(Waterfalls!AD129:AO129)</f>
        <v>0</v>
      </c>
      <c r="H129" s="299">
        <f>SUM(Waterfalls!AP129:BA129)</f>
        <v>0</v>
      </c>
      <c r="I129" s="299">
        <f>SUM(Waterfalls!BB129:BM129)</f>
        <v>0</v>
      </c>
      <c r="J129" s="299">
        <f>SUM(Waterfalls!BN129:BY129)</f>
        <v>0</v>
      </c>
      <c r="K129" s="299">
        <f>SUM(Waterfalls!BZ129:CK129)</f>
        <v>0</v>
      </c>
      <c r="L129" s="299">
        <f>SUM(Waterfalls!CL129:CW129)</f>
        <v>0</v>
      </c>
      <c r="M129" s="299">
        <f>SUM(Waterfalls!CX129:DI129)</f>
        <v>0</v>
      </c>
      <c r="N129" s="299">
        <f>SUM(Waterfalls!DJ129:DU129)</f>
        <v>0</v>
      </c>
    </row>
    <row r="130" spans="1:14" x14ac:dyDescent="0.3">
      <c r="A130" t="str">
        <f>Waterfalls!A130</f>
        <v>PROCEEDS NET OF DEBT RETIREMENT</v>
      </c>
      <c r="D130" s="227">
        <f>Waterfalls!E130</f>
        <v>0</v>
      </c>
      <c r="E130" s="227">
        <f t="shared" ref="E130:N130" si="32">E128+E129</f>
        <v>0</v>
      </c>
      <c r="F130" s="227">
        <f t="shared" si="32"/>
        <v>0</v>
      </c>
      <c r="G130" s="227">
        <f t="shared" ca="1" si="32"/>
        <v>1.1981576681137085E-3</v>
      </c>
      <c r="H130" s="227">
        <f t="shared" si="32"/>
        <v>0</v>
      </c>
      <c r="I130" s="227">
        <f t="shared" si="32"/>
        <v>0</v>
      </c>
      <c r="J130" s="227">
        <f t="shared" si="32"/>
        <v>0</v>
      </c>
      <c r="K130" s="227">
        <f t="shared" si="32"/>
        <v>0</v>
      </c>
      <c r="L130" s="227">
        <f t="shared" si="32"/>
        <v>0</v>
      </c>
      <c r="M130" s="227">
        <f t="shared" si="32"/>
        <v>0</v>
      </c>
      <c r="N130" s="227">
        <f t="shared" si="32"/>
        <v>0</v>
      </c>
    </row>
    <row r="131" spans="1:14" ht="7.5" customHeight="1" x14ac:dyDescent="0.3"/>
    <row r="132" spans="1:14" x14ac:dyDescent="0.3">
      <c r="A132" s="241" t="str">
        <f>Waterfalls!A132</f>
        <v>LP Cum. Pref.</v>
      </c>
      <c r="B132" s="241"/>
      <c r="C132" s="241"/>
      <c r="D132" s="299">
        <f>Waterfalls!E132</f>
        <v>0</v>
      </c>
      <c r="E132" s="299">
        <f>SUM(Waterfalls!F132:Q132)</f>
        <v>0</v>
      </c>
      <c r="F132" s="299">
        <f>SUM(Waterfalls!R132:AC132)</f>
        <v>0</v>
      </c>
      <c r="G132" s="299">
        <f ca="1">SUM(Waterfalls!AD132:AO132)</f>
        <v>-1.0783419013023377E-3</v>
      </c>
      <c r="H132" s="299">
        <f>SUM(Waterfalls!AP132:BA132)</f>
        <v>0</v>
      </c>
      <c r="I132" s="299">
        <f>SUM(Waterfalls!BB132:BM132)</f>
        <v>0</v>
      </c>
      <c r="J132" s="299">
        <f>SUM(Waterfalls!BN132:BY132)</f>
        <v>0</v>
      </c>
      <c r="K132" s="299">
        <f>SUM(Waterfalls!BZ132:CK132)</f>
        <v>0</v>
      </c>
      <c r="L132" s="299">
        <f>SUM(Waterfalls!CL132:CW132)</f>
        <v>0</v>
      </c>
      <c r="M132" s="299">
        <f>SUM(Waterfalls!CX132:DI132)</f>
        <v>0</v>
      </c>
      <c r="N132" s="299">
        <f>SUM(Waterfalls!DJ132:DU132)</f>
        <v>0</v>
      </c>
    </row>
    <row r="133" spans="1:14" x14ac:dyDescent="0.3">
      <c r="A133" s="245" t="str">
        <f>Waterfalls!A133</f>
        <v>Subtotal</v>
      </c>
      <c r="D133" s="227">
        <f>Waterfalls!E133</f>
        <v>0</v>
      </c>
      <c r="E133" s="227">
        <f t="shared" ref="E133:N133" si="33">E130+E132</f>
        <v>0</v>
      </c>
      <c r="F133" s="227">
        <f t="shared" si="33"/>
        <v>0</v>
      </c>
      <c r="G133" s="227">
        <f t="shared" ca="1" si="33"/>
        <v>1.1981576681137081E-4</v>
      </c>
      <c r="H133" s="227">
        <f t="shared" si="33"/>
        <v>0</v>
      </c>
      <c r="I133" s="227">
        <f t="shared" si="33"/>
        <v>0</v>
      </c>
      <c r="J133" s="227">
        <f t="shared" si="33"/>
        <v>0</v>
      </c>
      <c r="K133" s="227">
        <f t="shared" si="33"/>
        <v>0</v>
      </c>
      <c r="L133" s="227">
        <f t="shared" si="33"/>
        <v>0</v>
      </c>
      <c r="M133" s="227">
        <f t="shared" si="33"/>
        <v>0</v>
      </c>
      <c r="N133" s="227">
        <f t="shared" si="33"/>
        <v>0</v>
      </c>
    </row>
    <row r="134" spans="1:14" x14ac:dyDescent="0.3">
      <c r="A134" s="241" t="str">
        <f>Waterfalls!A134</f>
        <v>Quarterra Cum. Pref.</v>
      </c>
      <c r="B134" s="241"/>
      <c r="C134" s="241"/>
      <c r="D134" s="299">
        <f>Waterfalls!E134</f>
        <v>0</v>
      </c>
      <c r="E134" s="299">
        <f>SUM(Waterfalls!F134:Q134)</f>
        <v>0</v>
      </c>
      <c r="F134" s="299">
        <f>SUM(Waterfalls!R134:AC134)</f>
        <v>0</v>
      </c>
      <c r="G134" s="299">
        <f ca="1">SUM(Waterfalls!AD134:AO134)</f>
        <v>-1.1981576681137082E-4</v>
      </c>
      <c r="H134" s="299">
        <f>SUM(Waterfalls!AP134:BA134)</f>
        <v>0</v>
      </c>
      <c r="I134" s="299">
        <f>SUM(Waterfalls!BB134:BM134)</f>
        <v>0</v>
      </c>
      <c r="J134" s="299">
        <f>SUM(Waterfalls!BN134:BY134)</f>
        <v>0</v>
      </c>
      <c r="K134" s="299">
        <f>SUM(Waterfalls!BZ134:CK134)</f>
        <v>0</v>
      </c>
      <c r="L134" s="299">
        <f>SUM(Waterfalls!CL134:CW134)</f>
        <v>0</v>
      </c>
      <c r="M134" s="299">
        <f>SUM(Waterfalls!CX134:DI134)</f>
        <v>0</v>
      </c>
      <c r="N134" s="299">
        <f>SUM(Waterfalls!DJ134:DU134)</f>
        <v>0</v>
      </c>
    </row>
    <row r="135" spans="1:14" x14ac:dyDescent="0.3">
      <c r="A135" s="245" t="str">
        <f>Waterfalls!A135</f>
        <v>Subtotal</v>
      </c>
      <c r="D135" s="227">
        <f>Waterfalls!E135</f>
        <v>0</v>
      </c>
      <c r="E135" s="227">
        <f t="shared" ref="E135:N135" si="34">E133+E134</f>
        <v>0</v>
      </c>
      <c r="F135" s="227">
        <f t="shared" si="34"/>
        <v>0</v>
      </c>
      <c r="G135" s="227">
        <f t="shared" ca="1" si="34"/>
        <v>0</v>
      </c>
      <c r="H135" s="227">
        <f t="shared" si="34"/>
        <v>0</v>
      </c>
      <c r="I135" s="227">
        <f t="shared" si="34"/>
        <v>0</v>
      </c>
      <c r="J135" s="227">
        <f t="shared" si="34"/>
        <v>0</v>
      </c>
      <c r="K135" s="227">
        <f t="shared" si="34"/>
        <v>0</v>
      </c>
      <c r="L135" s="227">
        <f t="shared" si="34"/>
        <v>0</v>
      </c>
      <c r="M135" s="227">
        <f t="shared" si="34"/>
        <v>0</v>
      </c>
      <c r="N135" s="227">
        <f t="shared" si="34"/>
        <v>0</v>
      </c>
    </row>
    <row r="136" spans="1:14" x14ac:dyDescent="0.3">
      <c r="A136" s="241" t="str">
        <f>Waterfalls!A136</f>
        <v>LAND Cum. Pref.</v>
      </c>
      <c r="B136" s="241"/>
      <c r="C136" s="241"/>
      <c r="D136" s="299">
        <f>Waterfalls!E136</f>
        <v>0</v>
      </c>
      <c r="E136" s="299">
        <f>SUM(Waterfalls!F136:Q136)</f>
        <v>0</v>
      </c>
      <c r="F136" s="299">
        <f>SUM(Waterfalls!R136:AC136)</f>
        <v>0</v>
      </c>
      <c r="G136" s="299">
        <f ca="1">SUM(Waterfalls!AD136:AO136)</f>
        <v>0</v>
      </c>
      <c r="H136" s="299">
        <f>SUM(Waterfalls!AP136:BA136)</f>
        <v>0</v>
      </c>
      <c r="I136" s="299">
        <f>SUM(Waterfalls!BB136:BM136)</f>
        <v>0</v>
      </c>
      <c r="J136" s="299">
        <f>SUM(Waterfalls!BN136:BY136)</f>
        <v>0</v>
      </c>
      <c r="K136" s="299">
        <f>SUM(Waterfalls!BZ136:CK136)</f>
        <v>0</v>
      </c>
      <c r="L136" s="299">
        <f>SUM(Waterfalls!CL136:CW136)</f>
        <v>0</v>
      </c>
      <c r="M136" s="299">
        <f>SUM(Waterfalls!CX136:DI136)</f>
        <v>0</v>
      </c>
      <c r="N136" s="299">
        <f>SUM(Waterfalls!DJ136:DU136)</f>
        <v>0</v>
      </c>
    </row>
    <row r="137" spans="1:14" x14ac:dyDescent="0.3">
      <c r="A137" s="245" t="str">
        <f>Waterfalls!A137</f>
        <v>Subtotal</v>
      </c>
      <c r="D137" s="227">
        <f>Waterfalls!E137</f>
        <v>0</v>
      </c>
      <c r="E137" s="227">
        <f t="shared" ref="E137:N137" si="35">E135+E136</f>
        <v>0</v>
      </c>
      <c r="F137" s="227">
        <f t="shared" si="35"/>
        <v>0</v>
      </c>
      <c r="G137" s="227">
        <f t="shared" ca="1" si="35"/>
        <v>0</v>
      </c>
      <c r="H137" s="227">
        <f t="shared" si="35"/>
        <v>0</v>
      </c>
      <c r="I137" s="227">
        <f t="shared" si="35"/>
        <v>0</v>
      </c>
      <c r="J137" s="227">
        <f t="shared" si="35"/>
        <v>0</v>
      </c>
      <c r="K137" s="227">
        <f t="shared" si="35"/>
        <v>0</v>
      </c>
      <c r="L137" s="227">
        <f t="shared" si="35"/>
        <v>0</v>
      </c>
      <c r="M137" s="227">
        <f t="shared" si="35"/>
        <v>0</v>
      </c>
      <c r="N137" s="227">
        <f t="shared" si="35"/>
        <v>0</v>
      </c>
    </row>
    <row r="138" spans="1:14" x14ac:dyDescent="0.3">
      <c r="A138" s="241" t="str">
        <f>Waterfalls!A138</f>
        <v>LP Contribution</v>
      </c>
      <c r="B138" s="241"/>
      <c r="C138" s="241"/>
      <c r="D138" s="299">
        <f>Waterfalls!E138</f>
        <v>0</v>
      </c>
      <c r="E138" s="299">
        <f>SUM(Waterfalls!F138:Q138)</f>
        <v>0</v>
      </c>
      <c r="F138" s="299">
        <f>SUM(Waterfalls!R138:AC138)</f>
        <v>0</v>
      </c>
      <c r="G138" s="299">
        <f ca="1">SUM(Waterfalls!AD138:AO138)</f>
        <v>0</v>
      </c>
      <c r="H138" s="299">
        <f>SUM(Waterfalls!AP138:BA138)</f>
        <v>0</v>
      </c>
      <c r="I138" s="299">
        <f>SUM(Waterfalls!BB138:BM138)</f>
        <v>0</v>
      </c>
      <c r="J138" s="299">
        <f>SUM(Waterfalls!BN138:BY138)</f>
        <v>0</v>
      </c>
      <c r="K138" s="299">
        <f>SUM(Waterfalls!BZ138:CK138)</f>
        <v>0</v>
      </c>
      <c r="L138" s="299">
        <f>SUM(Waterfalls!CL138:CW138)</f>
        <v>0</v>
      </c>
      <c r="M138" s="299">
        <f>SUM(Waterfalls!CX138:DI138)</f>
        <v>0</v>
      </c>
      <c r="N138" s="299">
        <f>SUM(Waterfalls!DJ138:DU138)</f>
        <v>0</v>
      </c>
    </row>
    <row r="139" spans="1:14" x14ac:dyDescent="0.3">
      <c r="A139" s="245" t="str">
        <f>Waterfalls!A139</f>
        <v>Subtotal</v>
      </c>
      <c r="D139" s="227">
        <f>Waterfalls!E139</f>
        <v>0</v>
      </c>
      <c r="E139" s="227">
        <f t="shared" ref="E139:N139" si="36">E137+E138</f>
        <v>0</v>
      </c>
      <c r="F139" s="227">
        <f t="shared" si="36"/>
        <v>0</v>
      </c>
      <c r="G139" s="227">
        <f t="shared" ca="1" si="36"/>
        <v>0</v>
      </c>
      <c r="H139" s="227">
        <f t="shared" si="36"/>
        <v>0</v>
      </c>
      <c r="I139" s="227">
        <f t="shared" si="36"/>
        <v>0</v>
      </c>
      <c r="J139" s="227">
        <f t="shared" si="36"/>
        <v>0</v>
      </c>
      <c r="K139" s="227">
        <f t="shared" si="36"/>
        <v>0</v>
      </c>
      <c r="L139" s="227">
        <f t="shared" si="36"/>
        <v>0</v>
      </c>
      <c r="M139" s="227">
        <f t="shared" si="36"/>
        <v>0</v>
      </c>
      <c r="N139" s="227">
        <f t="shared" si="36"/>
        <v>0</v>
      </c>
    </row>
    <row r="140" spans="1:14" x14ac:dyDescent="0.3">
      <c r="A140" s="241" t="str">
        <f>Waterfalls!A140</f>
        <v>Quarterra Contribution</v>
      </c>
      <c r="B140" s="241"/>
      <c r="C140" s="241"/>
      <c r="D140" s="299">
        <f>Waterfalls!E140</f>
        <v>0</v>
      </c>
      <c r="E140" s="299">
        <f>SUM(Waterfalls!F140:Q140)</f>
        <v>0</v>
      </c>
      <c r="F140" s="299">
        <f>SUM(Waterfalls!R140:AC140)</f>
        <v>0</v>
      </c>
      <c r="G140" s="299">
        <f ca="1">SUM(Waterfalls!AD140:AO140)</f>
        <v>0</v>
      </c>
      <c r="H140" s="299">
        <f>SUM(Waterfalls!AP140:BA140)</f>
        <v>0</v>
      </c>
      <c r="I140" s="299">
        <f>SUM(Waterfalls!BB140:BM140)</f>
        <v>0</v>
      </c>
      <c r="J140" s="299">
        <f>SUM(Waterfalls!BN140:BY140)</f>
        <v>0</v>
      </c>
      <c r="K140" s="299">
        <f>SUM(Waterfalls!BZ140:CK140)</f>
        <v>0</v>
      </c>
      <c r="L140" s="299">
        <f>SUM(Waterfalls!CL140:CW140)</f>
        <v>0</v>
      </c>
      <c r="M140" s="299">
        <f>SUM(Waterfalls!CX140:DI140)</f>
        <v>0</v>
      </c>
      <c r="N140" s="299">
        <f>SUM(Waterfalls!DJ140:DU140)</f>
        <v>0</v>
      </c>
    </row>
    <row r="141" spans="1:14" x14ac:dyDescent="0.3">
      <c r="A141" s="245" t="str">
        <f>Waterfalls!A141</f>
        <v>Subtotal</v>
      </c>
      <c r="D141" s="227">
        <f>Waterfalls!E141</f>
        <v>0</v>
      </c>
      <c r="E141" s="227">
        <f t="shared" ref="E141:N141" si="37">E139+E140</f>
        <v>0</v>
      </c>
      <c r="F141" s="227">
        <f t="shared" si="37"/>
        <v>0</v>
      </c>
      <c r="G141" s="227">
        <f t="shared" ca="1" si="37"/>
        <v>0</v>
      </c>
      <c r="H141" s="227">
        <f t="shared" si="37"/>
        <v>0</v>
      </c>
      <c r="I141" s="227">
        <f t="shared" si="37"/>
        <v>0</v>
      </c>
      <c r="J141" s="227">
        <f t="shared" si="37"/>
        <v>0</v>
      </c>
      <c r="K141" s="227">
        <f t="shared" si="37"/>
        <v>0</v>
      </c>
      <c r="L141" s="227">
        <f t="shared" si="37"/>
        <v>0</v>
      </c>
      <c r="M141" s="227">
        <f t="shared" si="37"/>
        <v>0</v>
      </c>
      <c r="N141" s="227">
        <f t="shared" si="37"/>
        <v>0</v>
      </c>
    </row>
    <row r="142" spans="1:14" x14ac:dyDescent="0.3">
      <c r="A142" s="241" t="str">
        <f>Waterfalls!A142</f>
        <v>LAND Contribution</v>
      </c>
      <c r="B142" s="241"/>
      <c r="C142" s="241"/>
      <c r="D142" s="299">
        <f>Waterfalls!E142</f>
        <v>0</v>
      </c>
      <c r="E142" s="299">
        <f>SUM(Waterfalls!F142:Q142)</f>
        <v>0</v>
      </c>
      <c r="F142" s="299">
        <f>SUM(Waterfalls!R142:AC142)</f>
        <v>0</v>
      </c>
      <c r="G142" s="299">
        <f ca="1">SUM(Waterfalls!AD142:AO142)</f>
        <v>0</v>
      </c>
      <c r="H142" s="299">
        <f>SUM(Waterfalls!AP142:BA142)</f>
        <v>0</v>
      </c>
      <c r="I142" s="299">
        <f>SUM(Waterfalls!BB142:BM142)</f>
        <v>0</v>
      </c>
      <c r="J142" s="299">
        <f>SUM(Waterfalls!BN142:BY142)</f>
        <v>0</v>
      </c>
      <c r="K142" s="299">
        <f>SUM(Waterfalls!BZ142:CK142)</f>
        <v>0</v>
      </c>
      <c r="L142" s="299">
        <f>SUM(Waterfalls!CL142:CW142)</f>
        <v>0</v>
      </c>
      <c r="M142" s="299">
        <f>SUM(Waterfalls!CX142:DI142)</f>
        <v>0</v>
      </c>
      <c r="N142" s="299">
        <f>SUM(Waterfalls!DJ142:DU142)</f>
        <v>0</v>
      </c>
    </row>
    <row r="143" spans="1:14" ht="15" thickBot="1" x14ac:dyDescent="0.35">
      <c r="A143" s="248" t="str">
        <f>Waterfalls!A143</f>
        <v>CASH TO DISTRIBUTE</v>
      </c>
      <c r="B143" s="248"/>
      <c r="C143" s="248"/>
      <c r="D143" s="250">
        <f>Waterfalls!E143</f>
        <v>0</v>
      </c>
      <c r="E143" s="250">
        <f t="shared" ref="E143:N143" si="38">E141+E142</f>
        <v>0</v>
      </c>
      <c r="F143" s="250">
        <f t="shared" si="38"/>
        <v>0</v>
      </c>
      <c r="G143" s="250">
        <f t="shared" ca="1" si="38"/>
        <v>0</v>
      </c>
      <c r="H143" s="250">
        <f t="shared" si="38"/>
        <v>0</v>
      </c>
      <c r="I143" s="250">
        <f t="shared" si="38"/>
        <v>0</v>
      </c>
      <c r="J143" s="250">
        <f t="shared" si="38"/>
        <v>0</v>
      </c>
      <c r="K143" s="250">
        <f t="shared" si="38"/>
        <v>0</v>
      </c>
      <c r="L143" s="250">
        <f t="shared" si="38"/>
        <v>0</v>
      </c>
      <c r="M143" s="250">
        <f t="shared" si="38"/>
        <v>0</v>
      </c>
      <c r="N143" s="250">
        <f t="shared" si="38"/>
        <v>0</v>
      </c>
    </row>
    <row r="144" spans="1:14" ht="7.5" customHeight="1" thickTop="1" x14ac:dyDescent="0.3"/>
    <row r="145" spans="1:14" x14ac:dyDescent="0.3">
      <c r="A145" s="700" t="str">
        <f>Waterfalls!A145</f>
        <v>DISTRIBUTION</v>
      </c>
    </row>
    <row r="146" spans="1:14" x14ac:dyDescent="0.3">
      <c r="A146" t="str">
        <f>Waterfalls!A146</f>
        <v>LP</v>
      </c>
      <c r="D146" s="227">
        <f>Waterfalls!E146</f>
        <v>0</v>
      </c>
      <c r="E146" s="227">
        <f>SUM(Waterfalls!F146:Q146)</f>
        <v>0</v>
      </c>
      <c r="F146" s="227">
        <f>SUM(Waterfalls!R146:AC146)</f>
        <v>0</v>
      </c>
      <c r="G146" s="227">
        <f ca="1">SUM(Waterfalls!AD146:AO146)</f>
        <v>0</v>
      </c>
      <c r="H146" s="227">
        <f>SUM(Waterfalls!AP146:BA146)</f>
        <v>0</v>
      </c>
      <c r="I146" s="227">
        <f>SUM(Waterfalls!BB146:BM146)</f>
        <v>0</v>
      </c>
      <c r="J146" s="227">
        <f>SUM(Waterfalls!BN146:BY146)</f>
        <v>0</v>
      </c>
      <c r="K146" s="227">
        <f>SUM(Waterfalls!BZ146:CK146)</f>
        <v>0</v>
      </c>
      <c r="L146" s="227">
        <f>SUM(Waterfalls!CL146:CW146)</f>
        <v>0</v>
      </c>
      <c r="M146" s="227">
        <f>SUM(Waterfalls!CX146:DI146)</f>
        <v>0</v>
      </c>
      <c r="N146" s="227">
        <f>SUM(Waterfalls!DJ146:DU146)</f>
        <v>0</v>
      </c>
    </row>
    <row r="147" spans="1:14" x14ac:dyDescent="0.3">
      <c r="A147" t="str">
        <f>Waterfalls!A147</f>
        <v>Quarterra</v>
      </c>
      <c r="D147" s="227">
        <f>Waterfalls!E147</f>
        <v>0</v>
      </c>
      <c r="E147" s="227">
        <f>SUM(Waterfalls!F147:Q147)</f>
        <v>0</v>
      </c>
      <c r="F147" s="227">
        <f>SUM(Waterfalls!R147:AC147)</f>
        <v>0</v>
      </c>
      <c r="G147" s="227">
        <f ca="1">SUM(Waterfalls!AD147:AO147)</f>
        <v>0</v>
      </c>
      <c r="H147" s="227">
        <f>SUM(Waterfalls!AP147:BA147)</f>
        <v>0</v>
      </c>
      <c r="I147" s="227">
        <f>SUM(Waterfalls!BB147:BM147)</f>
        <v>0</v>
      </c>
      <c r="J147" s="227">
        <f>SUM(Waterfalls!BN147:BY147)</f>
        <v>0</v>
      </c>
      <c r="K147" s="227">
        <f>SUM(Waterfalls!BZ147:CK147)</f>
        <v>0</v>
      </c>
      <c r="L147" s="227">
        <f>SUM(Waterfalls!CL147:CW147)</f>
        <v>0</v>
      </c>
      <c r="M147" s="227">
        <f>SUM(Waterfalls!CX147:DI147)</f>
        <v>0</v>
      </c>
      <c r="N147" s="227">
        <f>SUM(Waterfalls!DJ147:DU147)</f>
        <v>0</v>
      </c>
    </row>
    <row r="148" spans="1:14" x14ac:dyDescent="0.3">
      <c r="A148" t="str">
        <f>Waterfalls!A148</f>
        <v>LAND</v>
      </c>
      <c r="D148" s="227">
        <f>Waterfalls!E148</f>
        <v>0</v>
      </c>
      <c r="E148" s="227">
        <f>SUM(Waterfalls!F148:Q148)</f>
        <v>0</v>
      </c>
      <c r="F148" s="227">
        <f>SUM(Waterfalls!R148:AC148)</f>
        <v>0</v>
      </c>
      <c r="G148" s="227">
        <f ca="1">SUM(Waterfalls!AD148:AO148)</f>
        <v>0</v>
      </c>
      <c r="H148" s="227">
        <f>SUM(Waterfalls!AP148:BA148)</f>
        <v>0</v>
      </c>
      <c r="I148" s="227">
        <f>SUM(Waterfalls!BB148:BM148)</f>
        <v>0</v>
      </c>
      <c r="J148" s="227">
        <f>SUM(Waterfalls!BN148:BY148)</f>
        <v>0</v>
      </c>
      <c r="K148" s="227">
        <f>SUM(Waterfalls!BZ148:CK148)</f>
        <v>0</v>
      </c>
      <c r="L148" s="227">
        <f>SUM(Waterfalls!CL148:CW148)</f>
        <v>0</v>
      </c>
      <c r="M148" s="227">
        <f>SUM(Waterfalls!CX148:DI148)</f>
        <v>0</v>
      </c>
      <c r="N148" s="227">
        <f>SUM(Waterfalls!DJ148:DU148)</f>
        <v>0</v>
      </c>
    </row>
    <row r="149" spans="1:14" ht="7.5" customHeight="1" thickBot="1" x14ac:dyDescent="0.35"/>
    <row r="150" spans="1:14" ht="15" thickTop="1" x14ac:dyDescent="0.3">
      <c r="A150" s="318" t="str">
        <f>Waterfalls!A150</f>
        <v>CASH DISTRIBUTION</v>
      </c>
      <c r="B150" s="319"/>
      <c r="C150" s="635"/>
      <c r="D150" s="321"/>
      <c r="E150" s="322"/>
      <c r="F150" s="322"/>
      <c r="G150" s="322"/>
      <c r="H150" s="322"/>
      <c r="I150" s="322"/>
      <c r="J150" s="322"/>
      <c r="K150" s="322"/>
      <c r="L150" s="322"/>
      <c r="M150" s="322"/>
      <c r="N150" s="322"/>
    </row>
    <row r="151" spans="1:14" x14ac:dyDescent="0.3">
      <c r="A151" s="703" t="str">
        <f>Waterfalls!A151</f>
        <v>Net Operating Income</v>
      </c>
      <c r="B151" s="703"/>
      <c r="C151" s="703"/>
      <c r="D151" s="408">
        <f>Waterfalls!E151</f>
        <v>0</v>
      </c>
      <c r="E151" s="408">
        <f ca="1">SUM(Waterfalls!F151:Q151)</f>
        <v>0</v>
      </c>
      <c r="F151" s="408">
        <f ca="1">SUM(Waterfalls!R151:AC151)</f>
        <v>486603.63326172775</v>
      </c>
      <c r="G151" s="408">
        <f ca="1">SUM(Waterfalls!AD151:AO151)</f>
        <v>5303050.5038964218</v>
      </c>
      <c r="H151" s="408">
        <f ca="1">SUM(Waterfalls!AP151:BA151)</f>
        <v>5825182.4356253222</v>
      </c>
      <c r="I151" s="408">
        <f ca="1">SUM(Waterfalls!BB151:BM151)</f>
        <v>6056558.8585462254</v>
      </c>
      <c r="J151" s="408">
        <f ca="1">SUM(Waterfalls!BN151:BY151)</f>
        <v>6301886.6285589896</v>
      </c>
      <c r="K151" s="408">
        <f ca="1">SUM(Waterfalls!BZ151:CK151)</f>
        <v>6576768.7756926967</v>
      </c>
      <c r="L151" s="408">
        <f ca="1">SUM(Waterfalls!CL151:CW151)</f>
        <v>6863611.1392355235</v>
      </c>
      <c r="M151" s="408">
        <f ca="1">SUM(Waterfalls!CX151:DI151)</f>
        <v>7162755.2205999922</v>
      </c>
      <c r="N151" s="408">
        <f ca="1">SUM(Waterfalls!DJ151:DU151)</f>
        <v>7474716.7128351387</v>
      </c>
    </row>
    <row r="152" spans="1:14" x14ac:dyDescent="0.3">
      <c r="A152" s="408" t="str">
        <f>Waterfalls!A152</f>
        <v>Construction Loan Debt Service</v>
      </c>
      <c r="B152" s="408"/>
      <c r="C152" s="408"/>
      <c r="D152" s="407">
        <f>Waterfalls!E152</f>
        <v>0</v>
      </c>
      <c r="E152" s="408">
        <f ca="1">SUM(Waterfalls!F152:Q152)</f>
        <v>-40131.847345416674</v>
      </c>
      <c r="F152" s="408">
        <f ca="1">SUM(Waterfalls!R152:AC152)</f>
        <v>-1817701.4314820836</v>
      </c>
      <c r="G152" s="408">
        <f ca="1">SUM(Waterfalls!AD152:AO152)</f>
        <v>-1157602.6726929168</v>
      </c>
      <c r="H152" s="408">
        <f ca="1">SUM(Waterfalls!AP152:BA152)</f>
        <v>0</v>
      </c>
      <c r="I152" s="408">
        <f ca="1">SUM(Waterfalls!BB152:BM152)</f>
        <v>0</v>
      </c>
      <c r="J152" s="408">
        <f ca="1">SUM(Waterfalls!BN152:BY152)</f>
        <v>0</v>
      </c>
      <c r="K152" s="408">
        <f ca="1">SUM(Waterfalls!BZ152:CK152)</f>
        <v>0</v>
      </c>
      <c r="L152" s="408">
        <f ca="1">SUM(Waterfalls!CL152:CW152)</f>
        <v>0</v>
      </c>
      <c r="M152" s="408">
        <f ca="1">SUM(Waterfalls!CX152:DI152)</f>
        <v>0</v>
      </c>
      <c r="N152" s="408">
        <f ca="1">SUM(Waterfalls!DJ152:DU152)</f>
        <v>0</v>
      </c>
    </row>
    <row r="153" spans="1:14" x14ac:dyDescent="0.3">
      <c r="A153" s="408" t="str">
        <f>Waterfalls!A153</f>
        <v>Permanent Debt Service</v>
      </c>
      <c r="B153" s="408"/>
      <c r="C153" s="408"/>
      <c r="D153" s="407">
        <f>Waterfalls!E153</f>
        <v>0</v>
      </c>
      <c r="E153" s="408">
        <f>SUM(Waterfalls!F153:Q153)</f>
        <v>0</v>
      </c>
      <c r="F153" s="408">
        <f>SUM(Waterfalls!R153:AC153)</f>
        <v>0</v>
      </c>
      <c r="G153" s="408">
        <f ca="1">SUM(Waterfalls!AD153:AO153)</f>
        <v>-1865555.705454336</v>
      </c>
      <c r="H153" s="408">
        <f ca="1">SUM(Waterfalls!AP153:BA153)</f>
        <v>-3198095.4950645757</v>
      </c>
      <c r="I153" s="408">
        <f ca="1">SUM(Waterfalls!BB153:BM153)</f>
        <v>-3198095.4950645757</v>
      </c>
      <c r="J153" s="408">
        <f ca="1">SUM(Waterfalls!BN153:BY153)</f>
        <v>-3198095.4950645757</v>
      </c>
      <c r="K153" s="408">
        <f ca="1">SUM(Waterfalls!BZ153:CK153)</f>
        <v>-3198095.4950645757</v>
      </c>
      <c r="L153" s="408">
        <f ca="1">SUM(Waterfalls!CL153:CW153)</f>
        <v>-3198095.4950645757</v>
      </c>
      <c r="M153" s="408">
        <f ca="1">SUM(Waterfalls!CX153:DI153)</f>
        <v>-3198095.4950645757</v>
      </c>
      <c r="N153" s="408">
        <f ca="1">SUM(Waterfalls!DJ153:DU153)</f>
        <v>-3198095.4950645757</v>
      </c>
    </row>
    <row r="154" spans="1:14" x14ac:dyDescent="0.3">
      <c r="A154" s="704" t="str">
        <f>Waterfalls!A154</f>
        <v>Mezzanine Debt Service</v>
      </c>
      <c r="B154" s="704"/>
      <c r="C154" s="704"/>
      <c r="D154" s="705">
        <f>Waterfalls!E154</f>
        <v>0</v>
      </c>
      <c r="E154" s="704">
        <f>SUM(Waterfalls!F154:Q154)</f>
        <v>0</v>
      </c>
      <c r="F154" s="704">
        <f>SUM(Waterfalls!R154:AC154)</f>
        <v>0</v>
      </c>
      <c r="G154" s="704">
        <f>SUM(Waterfalls!AD154:AO154)</f>
        <v>0</v>
      </c>
      <c r="H154" s="704">
        <f>SUM(Waterfalls!AP154:BA154)</f>
        <v>0</v>
      </c>
      <c r="I154" s="704">
        <f>SUM(Waterfalls!BB154:BM154)</f>
        <v>0</v>
      </c>
      <c r="J154" s="704">
        <f>SUM(Waterfalls!BN154:BY154)</f>
        <v>0</v>
      </c>
      <c r="K154" s="704">
        <f>SUM(Waterfalls!BZ154:CK154)</f>
        <v>0</v>
      </c>
      <c r="L154" s="704">
        <f>SUM(Waterfalls!CL154:CW154)</f>
        <v>0</v>
      </c>
      <c r="M154" s="704">
        <f>SUM(Waterfalls!CX154:DI154)</f>
        <v>0</v>
      </c>
      <c r="N154" s="704">
        <f>SUM(Waterfalls!DJ154:DU154)</f>
        <v>0</v>
      </c>
    </row>
    <row r="155" spans="1:14" x14ac:dyDescent="0.3">
      <c r="A155" s="703" t="str">
        <f>Waterfalls!A155</f>
        <v>NOI LESS DEBT SERVICE</v>
      </c>
      <c r="B155" s="706"/>
      <c r="C155" s="703"/>
      <c r="D155" s="408">
        <f>Waterfalls!E155</f>
        <v>0</v>
      </c>
      <c r="E155" s="408">
        <f ca="1">SUM(Waterfalls!F155:Q155)</f>
        <v>-40131.847345416674</v>
      </c>
      <c r="F155" s="408">
        <f ca="1">SUM(Waterfalls!R155:AC155)</f>
        <v>-1331097.798220356</v>
      </c>
      <c r="G155" s="408">
        <f ca="1">SUM(Waterfalls!AD155:AO155)</f>
        <v>2279892.125749168</v>
      </c>
      <c r="H155" s="408">
        <f ca="1">SUM(Waterfalls!AP155:BA155)</f>
        <v>2627086.9405607465</v>
      </c>
      <c r="I155" s="408">
        <f ca="1">SUM(Waterfalls!BB155:BM155)</f>
        <v>2858463.3634816483</v>
      </c>
      <c r="J155" s="408">
        <f ca="1">SUM(Waterfalls!BN155:BY155)</f>
        <v>3103791.1334944135</v>
      </c>
      <c r="K155" s="408">
        <f ca="1">SUM(Waterfalls!BZ155:CK155)</f>
        <v>3378673.2806281196</v>
      </c>
      <c r="L155" s="408">
        <f ca="1">SUM(Waterfalls!CL155:CW155)</f>
        <v>3665515.6441709474</v>
      </c>
      <c r="M155" s="408">
        <f ca="1">SUM(Waterfalls!CX155:DI155)</f>
        <v>3964659.7255354142</v>
      </c>
      <c r="N155" s="408">
        <f ca="1">SUM(Waterfalls!DJ155:DU155)</f>
        <v>4276621.2177705616</v>
      </c>
    </row>
    <row r="156" spans="1:14" x14ac:dyDescent="0.3">
      <c r="A156" s="707" t="str">
        <f>Waterfalls!A156</f>
        <v>Debt Coverage Ratio</v>
      </c>
      <c r="B156" s="707"/>
      <c r="C156" s="412"/>
      <c r="D156" s="708">
        <f>Waterfalls!E156</f>
        <v>0</v>
      </c>
      <c r="E156" s="708">
        <f t="shared" ref="E156:N156" ca="1" si="39">IF(SUM(E152:E154)=0,0,E151/-SUM(E152:E154))</f>
        <v>0</v>
      </c>
      <c r="F156" s="708">
        <f t="shared" ca="1" si="39"/>
        <v>0.2677027287506562</v>
      </c>
      <c r="G156" s="708">
        <f t="shared" ca="1" si="39"/>
        <v>1.7541424697525785</v>
      </c>
      <c r="H156" s="708">
        <f t="shared" ca="1" si="39"/>
        <v>1.8214535634145286</v>
      </c>
      <c r="I156" s="708">
        <f t="shared" ca="1" si="39"/>
        <v>1.8938017541667973</v>
      </c>
      <c r="J156" s="708">
        <f t="shared" ca="1" si="39"/>
        <v>1.9705123371970299</v>
      </c>
      <c r="K156" s="708">
        <f t="shared" ca="1" si="39"/>
        <v>2.0564641630752489</v>
      </c>
      <c r="L156" s="708">
        <f t="shared" ca="1" si="39"/>
        <v>2.1461557823484987</v>
      </c>
      <c r="M156" s="708">
        <f t="shared" ca="1" si="39"/>
        <v>2.2396939777607745</v>
      </c>
      <c r="N156" s="708">
        <f t="shared" ca="1" si="39"/>
        <v>2.3372399993591215</v>
      </c>
    </row>
    <row r="157" spans="1:14" ht="7.5" customHeight="1" x14ac:dyDescent="0.3">
      <c r="A157" s="408"/>
      <c r="B157" s="408"/>
      <c r="C157" s="408"/>
      <c r="D157" s="408"/>
      <c r="E157" s="408"/>
      <c r="F157" s="408"/>
      <c r="G157" s="408"/>
      <c r="H157" s="408"/>
      <c r="I157" s="408"/>
      <c r="J157" s="408"/>
      <c r="K157" s="408"/>
      <c r="L157" s="408"/>
      <c r="M157" s="408"/>
      <c r="N157" s="408"/>
    </row>
    <row r="158" spans="1:14" x14ac:dyDescent="0.3">
      <c r="A158" s="408" t="str">
        <f>Waterfalls!A158</f>
        <v>Ground Lease Payments</v>
      </c>
      <c r="B158" s="408"/>
      <c r="C158" s="408"/>
      <c r="D158" s="407">
        <f>Waterfalls!E158</f>
        <v>0</v>
      </c>
      <c r="E158" s="407">
        <f>SUM(Waterfalls!F158:Q158)</f>
        <v>0</v>
      </c>
      <c r="F158" s="407">
        <f>SUM(Waterfalls!R158:AC158)</f>
        <v>0</v>
      </c>
      <c r="G158" s="407">
        <f>SUM(Waterfalls!AD158:AO158)</f>
        <v>0</v>
      </c>
      <c r="H158" s="407">
        <f>SUM(Waterfalls!AP158:BA158)</f>
        <v>0</v>
      </c>
      <c r="I158" s="407">
        <f>SUM(Waterfalls!BB158:BM158)</f>
        <v>0</v>
      </c>
      <c r="J158" s="407">
        <f>SUM(Waterfalls!BN158:BY158)</f>
        <v>0</v>
      </c>
      <c r="K158" s="407">
        <f>SUM(Waterfalls!BZ158:CK158)</f>
        <v>0</v>
      </c>
      <c r="L158" s="407">
        <f>SUM(Waterfalls!CL158:CW158)</f>
        <v>0</v>
      </c>
      <c r="M158" s="407">
        <f>SUM(Waterfalls!CX158:DI158)</f>
        <v>0</v>
      </c>
      <c r="N158" s="407">
        <f>SUM(Waterfalls!DJ158:DU158)</f>
        <v>0</v>
      </c>
    </row>
    <row r="159" spans="1:14" x14ac:dyDescent="0.3">
      <c r="A159" s="705" t="str">
        <f>Waterfalls!A159</f>
        <v>Asset Management Fee</v>
      </c>
      <c r="B159" s="705"/>
      <c r="C159" s="709"/>
      <c r="D159" s="705">
        <f>Waterfalls!E159</f>
        <v>0</v>
      </c>
      <c r="E159" s="705">
        <f>SUM(Waterfalls!F159:Q159)</f>
        <v>0</v>
      </c>
      <c r="F159" s="705">
        <f>SUM(Waterfalls!R159:AC159)</f>
        <v>0</v>
      </c>
      <c r="G159" s="705">
        <f ca="1">SUM(Waterfalls!AD159:AO159)</f>
        <v>0</v>
      </c>
      <c r="H159" s="705">
        <f ca="1">SUM(Waterfalls!AP159:BA159)</f>
        <v>0</v>
      </c>
      <c r="I159" s="705">
        <f ca="1">SUM(Waterfalls!BB159:BM159)</f>
        <v>0</v>
      </c>
      <c r="J159" s="705">
        <f ca="1">SUM(Waterfalls!BN159:BY159)</f>
        <v>0</v>
      </c>
      <c r="K159" s="705">
        <f ca="1">SUM(Waterfalls!BZ159:CK159)</f>
        <v>0</v>
      </c>
      <c r="L159" s="705">
        <f ca="1">SUM(Waterfalls!CL159:CW159)</f>
        <v>0</v>
      </c>
      <c r="M159" s="705">
        <f ca="1">SUM(Waterfalls!CX159:DI159)</f>
        <v>0</v>
      </c>
      <c r="N159" s="705">
        <f ca="1">SUM(Waterfalls!DJ159:DU159)</f>
        <v>0</v>
      </c>
    </row>
    <row r="160" spans="1:14" x14ac:dyDescent="0.3">
      <c r="A160" s="703" t="str">
        <f>Waterfalls!A160</f>
        <v>CASH FLOW BEFORE FUNDING</v>
      </c>
      <c r="B160" s="706"/>
      <c r="C160" s="703"/>
      <c r="D160" s="408">
        <f>Waterfalls!E160</f>
        <v>0</v>
      </c>
      <c r="E160" s="408">
        <f ca="1">SUM(Waterfalls!F160:Q160)</f>
        <v>-40131.847345416674</v>
      </c>
      <c r="F160" s="408">
        <f ca="1">SUM(Waterfalls!R160:AC160)</f>
        <v>-1331097.798220356</v>
      </c>
      <c r="G160" s="408">
        <f ca="1">SUM(Waterfalls!AD160:AO160)</f>
        <v>2279892.125749168</v>
      </c>
      <c r="H160" s="408">
        <f ca="1">SUM(Waterfalls!AP160:BA160)</f>
        <v>2627086.9405607465</v>
      </c>
      <c r="I160" s="408">
        <f ca="1">SUM(Waterfalls!BB160:BM160)</f>
        <v>2858463.3634816483</v>
      </c>
      <c r="J160" s="408">
        <f ca="1">SUM(Waterfalls!BN160:BY160)</f>
        <v>3103791.1334944135</v>
      </c>
      <c r="K160" s="408">
        <f ca="1">SUM(Waterfalls!BZ160:CK160)</f>
        <v>3378673.2806281196</v>
      </c>
      <c r="L160" s="408">
        <f ca="1">SUM(Waterfalls!CL160:CW160)</f>
        <v>3665515.6441709474</v>
      </c>
      <c r="M160" s="408">
        <f ca="1">SUM(Waterfalls!CX160:DI160)</f>
        <v>3964659.7255354142</v>
      </c>
      <c r="N160" s="408">
        <f ca="1">SUM(Waterfalls!DJ160:DU160)</f>
        <v>4276621.2177705616</v>
      </c>
    </row>
    <row r="161" spans="1:14" ht="7.5" customHeight="1" x14ac:dyDescent="0.3">
      <c r="A161" s="408"/>
      <c r="B161" s="408"/>
      <c r="C161" s="408"/>
      <c r="D161" s="408"/>
    </row>
    <row r="162" spans="1:14" x14ac:dyDescent="0.3">
      <c r="A162" s="704" t="str">
        <f>Waterfalls!A162</f>
        <v>Operating Deficit</v>
      </c>
      <c r="B162" s="704"/>
      <c r="C162" s="704"/>
      <c r="D162" s="704">
        <f>Waterfalls!E162</f>
        <v>0</v>
      </c>
      <c r="E162" s="704">
        <f ca="1">SUM(Waterfalls!F162:Q162)</f>
        <v>40131.847345416674</v>
      </c>
      <c r="F162" s="704">
        <f ca="1">SUM(Waterfalls!R162:AC162)</f>
        <v>1375210.8277104474</v>
      </c>
      <c r="G162" s="704">
        <f ca="1">SUM(Waterfalls!AD162:AO162)</f>
        <v>0</v>
      </c>
      <c r="H162" s="704">
        <f ca="1">SUM(Waterfalls!AP162:BA162)</f>
        <v>0</v>
      </c>
      <c r="I162" s="704">
        <f ca="1">SUM(Waterfalls!BB162:BM162)</f>
        <v>0</v>
      </c>
      <c r="J162" s="704">
        <f ca="1">SUM(Waterfalls!BN162:BY162)</f>
        <v>0</v>
      </c>
      <c r="K162" s="704">
        <f ca="1">SUM(Waterfalls!BZ162:CK162)</f>
        <v>0</v>
      </c>
      <c r="L162" s="704">
        <f ca="1">SUM(Waterfalls!CL162:CW162)</f>
        <v>0</v>
      </c>
      <c r="M162" s="704">
        <f ca="1">SUM(Waterfalls!CX162:DI162)</f>
        <v>0</v>
      </c>
      <c r="N162" s="704">
        <f ca="1">SUM(Waterfalls!DJ162:DU162)</f>
        <v>0</v>
      </c>
    </row>
    <row r="163" spans="1:14" x14ac:dyDescent="0.3">
      <c r="A163" s="703" t="str">
        <f>Waterfalls!A163</f>
        <v>NET CASH FLOW</v>
      </c>
      <c r="B163" s="706"/>
      <c r="C163" s="703"/>
      <c r="D163" s="408">
        <f>Waterfalls!E163</f>
        <v>0</v>
      </c>
      <c r="E163" s="408">
        <f ca="1">SUM(Waterfalls!F163:Q163)</f>
        <v>0</v>
      </c>
      <c r="F163" s="408">
        <f ca="1">SUM(Waterfalls!R163:AC163)</f>
        <v>44113.029490091343</v>
      </c>
      <c r="G163" s="408">
        <f ca="1">SUM(Waterfalls!AD163:AO163)</f>
        <v>2279892.125749168</v>
      </c>
      <c r="H163" s="408">
        <f ca="1">SUM(Waterfalls!AP163:BA163)</f>
        <v>2627086.9405607465</v>
      </c>
      <c r="I163" s="408">
        <f ca="1">SUM(Waterfalls!BB163:BM163)</f>
        <v>2858463.3634816483</v>
      </c>
      <c r="J163" s="408">
        <f ca="1">SUM(Waterfalls!BN163:BY163)</f>
        <v>3103791.1334944135</v>
      </c>
      <c r="K163" s="408">
        <f ca="1">SUM(Waterfalls!BZ163:CK163)</f>
        <v>3378673.2806281196</v>
      </c>
      <c r="L163" s="408">
        <f ca="1">SUM(Waterfalls!CL163:CW163)</f>
        <v>3665515.6441709474</v>
      </c>
      <c r="M163" s="408">
        <f ca="1">SUM(Waterfalls!CX163:DI163)</f>
        <v>3964659.7255354142</v>
      </c>
      <c r="N163" s="408">
        <f ca="1">SUM(Waterfalls!DJ163:DU163)</f>
        <v>4276621.2177705616</v>
      </c>
    </row>
    <row r="164" spans="1:14" ht="7.5" customHeight="1" x14ac:dyDescent="0.3">
      <c r="A164" s="408"/>
      <c r="B164" s="408"/>
      <c r="C164" s="408"/>
      <c r="D164" s="408"/>
    </row>
    <row r="165" spans="1:14" x14ac:dyDescent="0.3">
      <c r="A165" s="704" t="str">
        <f>Waterfalls!A165</f>
        <v>LP Preference Paid From NCF</v>
      </c>
      <c r="B165" s="704"/>
      <c r="C165" s="704"/>
      <c r="D165" s="704">
        <f ca="1">Waterfalls!E165</f>
        <v>0</v>
      </c>
      <c r="E165" s="704">
        <f ca="1">SUM(Waterfalls!F165:Q165)</f>
        <v>0</v>
      </c>
      <c r="F165" s="704">
        <f ca="1">SUM(Waterfalls!R165:AC165)</f>
        <v>-39701.726541082207</v>
      </c>
      <c r="G165" s="704">
        <f ca="1">SUM(Waterfalls!AD165:AO165)</f>
        <v>-2051902.9131742516</v>
      </c>
      <c r="H165" s="704">
        <f ca="1">SUM(Waterfalls!AP165:BA165)</f>
        <v>-2364378.2465046719</v>
      </c>
      <c r="I165" s="704">
        <f ca="1">SUM(Waterfalls!BB165:BM165)</f>
        <v>-2572617.0271334834</v>
      </c>
      <c r="J165" s="704">
        <f ca="1">SUM(Waterfalls!BN165:BY165)</f>
        <v>-2793412.020144972</v>
      </c>
      <c r="K165" s="704">
        <f ca="1">SUM(Waterfalls!BZ165:CK165)</f>
        <v>-3040805.9525653077</v>
      </c>
      <c r="L165" s="704">
        <f ca="1">SUM(Waterfalls!CL165:CW165)</f>
        <v>-3298964.0797538529</v>
      </c>
      <c r="M165" s="704">
        <f ca="1">SUM(Waterfalls!CX165:DI165)</f>
        <v>-3568193.7529818723</v>
      </c>
      <c r="N165" s="704">
        <f ca="1">SUM(Waterfalls!DJ165:DU165)</f>
        <v>-3848959.0959935063</v>
      </c>
    </row>
    <row r="166" spans="1:14" x14ac:dyDescent="0.3">
      <c r="A166" s="710" t="str">
        <f>Waterfalls!A166</f>
        <v>Net</v>
      </c>
      <c r="B166" s="706"/>
      <c r="C166" s="703"/>
      <c r="D166" s="408">
        <f ca="1">Waterfalls!E166</f>
        <v>0</v>
      </c>
      <c r="E166" s="408">
        <f ca="1">SUM(Waterfalls!F166:Q166)</f>
        <v>0</v>
      </c>
      <c r="F166" s="408">
        <f ca="1">SUM(Waterfalls!R166:AC166)</f>
        <v>4411.3029490091358</v>
      </c>
      <c r="G166" s="408">
        <f ca="1">SUM(Waterfalls!AD166:AO166)</f>
        <v>227989.21257491675</v>
      </c>
      <c r="H166" s="408">
        <f ca="1">SUM(Waterfalls!AP166:BA166)</f>
        <v>262708.69405607454</v>
      </c>
      <c r="I166" s="408">
        <f ca="1">SUM(Waterfalls!BB166:BM166)</f>
        <v>285846.33634816471</v>
      </c>
      <c r="J166" s="408">
        <f ca="1">SUM(Waterfalls!BN166:BY166)</f>
        <v>310379.11334944132</v>
      </c>
      <c r="K166" s="408">
        <f ca="1">SUM(Waterfalls!BZ166:CK166)</f>
        <v>337867.32806281187</v>
      </c>
      <c r="L166" s="408">
        <f ca="1">SUM(Waterfalls!CL166:CW166)</f>
        <v>366551.56441709475</v>
      </c>
      <c r="M166" s="408">
        <f ca="1">SUM(Waterfalls!CX166:DI166)</f>
        <v>396465.97255354124</v>
      </c>
      <c r="N166" s="408">
        <f ca="1">SUM(Waterfalls!DJ166:DU166)</f>
        <v>427662.12177705602</v>
      </c>
    </row>
    <row r="167" spans="1:14" ht="7.5" customHeight="1" x14ac:dyDescent="0.3">
      <c r="A167" s="408"/>
      <c r="B167" s="408"/>
      <c r="C167" s="408"/>
      <c r="D167" s="408"/>
    </row>
    <row r="168" spans="1:14" x14ac:dyDescent="0.3">
      <c r="A168" s="704" t="str">
        <f>Waterfalls!A168</f>
        <v>Quarterra Preference Paid From NCF</v>
      </c>
      <c r="B168" s="704"/>
      <c r="C168" s="704"/>
      <c r="D168" s="704">
        <f ca="1">Waterfalls!E168</f>
        <v>0</v>
      </c>
      <c r="E168" s="704">
        <f ca="1">SUM(Waterfalls!F168:Q168)</f>
        <v>0</v>
      </c>
      <c r="F168" s="704">
        <f ca="1">SUM(Waterfalls!R168:AC168)</f>
        <v>-4411.302949009133</v>
      </c>
      <c r="G168" s="704">
        <f ca="1">SUM(Waterfalls!AD168:AO168)</f>
        <v>-227989.21257491675</v>
      </c>
      <c r="H168" s="704">
        <f ca="1">SUM(Waterfalls!AP168:BA168)</f>
        <v>-262708.69405607454</v>
      </c>
      <c r="I168" s="704">
        <f ca="1">SUM(Waterfalls!BB168:BM168)</f>
        <v>-285846.33634816471</v>
      </c>
      <c r="J168" s="704">
        <f ca="1">SUM(Waterfalls!BN168:BY168)</f>
        <v>-310379.11334944132</v>
      </c>
      <c r="K168" s="704">
        <f ca="1">SUM(Waterfalls!BZ168:CK168)</f>
        <v>-337867.32806281187</v>
      </c>
      <c r="L168" s="704">
        <f ca="1">SUM(Waterfalls!CL168:CW168)</f>
        <v>-366551.56441709481</v>
      </c>
      <c r="M168" s="704">
        <f ca="1">SUM(Waterfalls!CX168:DI168)</f>
        <v>-396465.97255354136</v>
      </c>
      <c r="N168" s="704">
        <f ca="1">SUM(Waterfalls!DJ168:DU168)</f>
        <v>-427662.12177705619</v>
      </c>
    </row>
    <row r="169" spans="1:14" x14ac:dyDescent="0.3">
      <c r="A169" s="710" t="str">
        <f>Waterfalls!A169</f>
        <v>Net</v>
      </c>
      <c r="B169" s="706"/>
      <c r="C169" s="703"/>
      <c r="D169" s="408">
        <f ca="1">Waterfalls!E169</f>
        <v>0</v>
      </c>
      <c r="E169" s="408">
        <f ca="1">SUM(Waterfalls!F169:Q169)</f>
        <v>0</v>
      </c>
      <c r="F169" s="408">
        <f ca="1">SUM(Waterfalls!R169:AC169)</f>
        <v>0</v>
      </c>
      <c r="G169" s="408">
        <f ca="1">SUM(Waterfalls!AD169:AO169)</f>
        <v>0</v>
      </c>
      <c r="H169" s="408">
        <f ca="1">SUM(Waterfalls!AP169:BA169)</f>
        <v>0</v>
      </c>
      <c r="I169" s="408">
        <f ca="1">SUM(Waterfalls!BB169:BM169)</f>
        <v>0</v>
      </c>
      <c r="J169" s="408">
        <f ca="1">SUM(Waterfalls!BN169:BY169)</f>
        <v>0</v>
      </c>
      <c r="K169" s="408">
        <f ca="1">SUM(Waterfalls!BZ169:CK169)</f>
        <v>-2.9103830456733704E-11</v>
      </c>
      <c r="L169" s="408">
        <f ca="1">SUM(Waterfalls!CL169:CW169)</f>
        <v>0</v>
      </c>
      <c r="M169" s="408">
        <f ca="1">SUM(Waterfalls!CX169:DI169)</f>
        <v>-5.8207660913467407E-11</v>
      </c>
      <c r="N169" s="408">
        <f ca="1">SUM(Waterfalls!DJ169:DU169)</f>
        <v>0</v>
      </c>
    </row>
    <row r="170" spans="1:14" ht="7.5" customHeight="1" x14ac:dyDescent="0.3">
      <c r="A170" s="408"/>
      <c r="B170" s="408"/>
      <c r="C170" s="408"/>
      <c r="D170" s="408"/>
    </row>
    <row r="171" spans="1:14" x14ac:dyDescent="0.3">
      <c r="A171" s="704" t="str">
        <f>Waterfalls!A171</f>
        <v>LAND Preference Paid From NCF</v>
      </c>
      <c r="B171" s="704"/>
      <c r="C171" s="704"/>
      <c r="D171" s="704">
        <f ca="1">Waterfalls!E171</f>
        <v>0</v>
      </c>
      <c r="E171" s="704">
        <f ca="1">SUM(Waterfalls!F171:Q171)</f>
        <v>0</v>
      </c>
      <c r="F171" s="704">
        <f ca="1">SUM(Waterfalls!R171:AC171)</f>
        <v>0</v>
      </c>
      <c r="G171" s="704">
        <f ca="1">SUM(Waterfalls!AD171:AO171)</f>
        <v>0</v>
      </c>
      <c r="H171" s="704">
        <f ca="1">SUM(Waterfalls!AP171:BA171)</f>
        <v>0</v>
      </c>
      <c r="I171" s="704">
        <f ca="1">SUM(Waterfalls!BB171:BM171)</f>
        <v>0</v>
      </c>
      <c r="J171" s="704">
        <f ca="1">SUM(Waterfalls!BN171:BY171)</f>
        <v>0</v>
      </c>
      <c r="K171" s="704">
        <f ca="1">SUM(Waterfalls!BZ171:CK171)</f>
        <v>0</v>
      </c>
      <c r="L171" s="704">
        <f ca="1">SUM(Waterfalls!CL171:CW171)</f>
        <v>0</v>
      </c>
      <c r="M171" s="704">
        <f ca="1">SUM(Waterfalls!CX171:DI171)</f>
        <v>0</v>
      </c>
      <c r="N171" s="704">
        <f ca="1">SUM(Waterfalls!DJ171:DU171)</f>
        <v>0</v>
      </c>
    </row>
    <row r="172" spans="1:14" ht="15" thickBot="1" x14ac:dyDescent="0.35">
      <c r="A172" s="433" t="str">
        <f>Waterfalls!A172</f>
        <v>CASH TO DISTRIBUTE</v>
      </c>
      <c r="B172" s="433"/>
      <c r="C172" s="433"/>
      <c r="D172" s="433">
        <f ca="1">Waterfalls!E172</f>
        <v>0</v>
      </c>
      <c r="E172" s="433">
        <f ca="1">SUM(Waterfalls!F172:Q172)</f>
        <v>0</v>
      </c>
      <c r="F172" s="433">
        <f ca="1">SUM(Waterfalls!R172:AC172)</f>
        <v>0</v>
      </c>
      <c r="G172" s="433">
        <f ca="1">SUM(Waterfalls!AD172:AO172)</f>
        <v>0</v>
      </c>
      <c r="H172" s="433">
        <f ca="1">SUM(Waterfalls!AP172:BA172)</f>
        <v>0</v>
      </c>
      <c r="I172" s="433">
        <f ca="1">SUM(Waterfalls!BB172:BM172)</f>
        <v>0</v>
      </c>
      <c r="J172" s="433">
        <f ca="1">SUM(Waterfalls!BN172:BY172)</f>
        <v>0</v>
      </c>
      <c r="K172" s="433">
        <f ca="1">SUM(Waterfalls!BZ172:CK172)</f>
        <v>-2.9103830456733704E-11</v>
      </c>
      <c r="L172" s="433">
        <f ca="1">SUM(Waterfalls!CL172:CW172)</f>
        <v>0</v>
      </c>
      <c r="M172" s="433">
        <f ca="1">SUM(Waterfalls!CX172:DI172)</f>
        <v>-5.8207660913467407E-11</v>
      </c>
      <c r="N172" s="433">
        <f ca="1">SUM(Waterfalls!DJ172:DU172)</f>
        <v>0</v>
      </c>
    </row>
    <row r="173" spans="1:14" ht="7.5" customHeight="1" thickTop="1" x14ac:dyDescent="0.3">
      <c r="A173" s="522"/>
      <c r="B173" s="522"/>
      <c r="C173" s="522"/>
      <c r="D173" s="522"/>
      <c r="E173" s="711"/>
      <c r="F173" s="711"/>
      <c r="G173" s="711"/>
      <c r="H173" s="711"/>
      <c r="I173" s="711"/>
      <c r="J173" s="711"/>
      <c r="K173" s="711"/>
      <c r="L173" s="711"/>
      <c r="M173" s="711"/>
      <c r="N173" s="711"/>
    </row>
    <row r="174" spans="1:14" x14ac:dyDescent="0.3">
      <c r="A174" s="700" t="str">
        <f>Waterfalls!A174</f>
        <v>DISTRIBUTION FROM OPERATIONS</v>
      </c>
      <c r="B174" s="522"/>
      <c r="C174" s="522"/>
      <c r="D174" s="522"/>
      <c r="E174" s="711"/>
      <c r="F174" s="711"/>
      <c r="G174" s="711"/>
      <c r="H174" s="711"/>
      <c r="I174" s="711"/>
      <c r="J174" s="711"/>
      <c r="K174" s="711"/>
      <c r="L174" s="711"/>
      <c r="M174" s="711"/>
      <c r="N174" s="711"/>
    </row>
    <row r="175" spans="1:14" x14ac:dyDescent="0.3">
      <c r="A175" s="522" t="str">
        <f>Waterfalls!A175</f>
        <v>LP</v>
      </c>
      <c r="B175" s="522"/>
      <c r="C175" s="522"/>
      <c r="D175" s="408">
        <f ca="1">Waterfalls!E175</f>
        <v>0</v>
      </c>
      <c r="E175" s="408">
        <f ca="1">SUM(Waterfalls!F175:Q175)</f>
        <v>0</v>
      </c>
      <c r="F175" s="408">
        <f ca="1">SUM(Waterfalls!R175:AC175)</f>
        <v>0</v>
      </c>
      <c r="G175" s="408">
        <f ca="1">SUM(Waterfalls!AD175:AO175)</f>
        <v>0</v>
      </c>
      <c r="H175" s="408">
        <f ca="1">SUM(Waterfalls!AP175:BA175)</f>
        <v>0</v>
      </c>
      <c r="I175" s="408">
        <f ca="1">SUM(Waterfalls!BB175:BM175)</f>
        <v>0</v>
      </c>
      <c r="J175" s="408">
        <f ca="1">SUM(Waterfalls!BN175:BY175)</f>
        <v>0</v>
      </c>
      <c r="K175" s="408">
        <f ca="1">SUM(Waterfalls!BZ175:CK175)</f>
        <v>-2.6193447411060334E-11</v>
      </c>
      <c r="L175" s="408">
        <f ca="1">SUM(Waterfalls!CL175:CW175)</f>
        <v>0</v>
      </c>
      <c r="M175" s="408">
        <f ca="1">SUM(Waterfalls!CX175:DI175)</f>
        <v>-5.2386894822120668E-11</v>
      </c>
      <c r="N175" s="408">
        <f ca="1">SUM(Waterfalls!DJ175:DU175)</f>
        <v>0</v>
      </c>
    </row>
    <row r="176" spans="1:14" x14ac:dyDescent="0.3">
      <c r="A176" s="522" t="str">
        <f>Waterfalls!A176</f>
        <v>Quarterra</v>
      </c>
      <c r="B176" s="522"/>
      <c r="C176" s="522"/>
      <c r="D176" s="408">
        <f ca="1">Waterfalls!E176</f>
        <v>0</v>
      </c>
      <c r="E176" s="408">
        <f ca="1">SUM(Waterfalls!F176:Q176)</f>
        <v>0</v>
      </c>
      <c r="F176" s="408">
        <f ca="1">SUM(Waterfalls!R176:AC176)</f>
        <v>0</v>
      </c>
      <c r="G176" s="408">
        <f ca="1">SUM(Waterfalls!AD176:AO176)</f>
        <v>0</v>
      </c>
      <c r="H176" s="408">
        <f ca="1">SUM(Waterfalls!AP176:BA176)</f>
        <v>0</v>
      </c>
      <c r="I176" s="408">
        <f ca="1">SUM(Waterfalls!BB176:BM176)</f>
        <v>0</v>
      </c>
      <c r="J176" s="408">
        <f ca="1">SUM(Waterfalls!BN176:BY176)</f>
        <v>0</v>
      </c>
      <c r="K176" s="408">
        <f ca="1">SUM(Waterfalls!BZ176:CK176)</f>
        <v>-2.9103830456733697E-12</v>
      </c>
      <c r="L176" s="408">
        <f ca="1">SUM(Waterfalls!CL176:CW176)</f>
        <v>0</v>
      </c>
      <c r="M176" s="408">
        <f ca="1">SUM(Waterfalls!CX176:DI176)</f>
        <v>-5.8207660913467394E-12</v>
      </c>
      <c r="N176" s="408">
        <f ca="1">SUM(Waterfalls!DJ176:DU176)</f>
        <v>0</v>
      </c>
    </row>
    <row r="177" spans="1:14" x14ac:dyDescent="0.3">
      <c r="A177" s="522" t="str">
        <f>Waterfalls!A177</f>
        <v>LAND</v>
      </c>
      <c r="B177" s="522"/>
      <c r="C177" s="522"/>
      <c r="D177" s="408">
        <f ca="1">Waterfalls!E177</f>
        <v>0</v>
      </c>
      <c r="E177" s="408">
        <f ca="1">SUM(Waterfalls!F177:Q177)</f>
        <v>0</v>
      </c>
      <c r="F177" s="408">
        <f ca="1">SUM(Waterfalls!R177:AC177)</f>
        <v>0</v>
      </c>
      <c r="G177" s="408">
        <f ca="1">SUM(Waterfalls!AD177:AO177)</f>
        <v>0</v>
      </c>
      <c r="H177" s="408">
        <f ca="1">SUM(Waterfalls!AP177:BA177)</f>
        <v>0</v>
      </c>
      <c r="I177" s="408">
        <f ca="1">SUM(Waterfalls!BB177:BM177)</f>
        <v>0</v>
      </c>
      <c r="J177" s="408">
        <f ca="1">SUM(Waterfalls!BN177:BY177)</f>
        <v>0</v>
      </c>
      <c r="K177" s="408">
        <f ca="1">SUM(Waterfalls!BZ177:CK177)</f>
        <v>0</v>
      </c>
      <c r="L177" s="408">
        <f ca="1">SUM(Waterfalls!CL177:CW177)</f>
        <v>0</v>
      </c>
      <c r="M177" s="408">
        <f ca="1">SUM(Waterfalls!CX177:DI177)</f>
        <v>0</v>
      </c>
      <c r="N177" s="408">
        <f ca="1">SUM(Waterfalls!DJ177:DU177)</f>
        <v>0</v>
      </c>
    </row>
    <row r="178" spans="1:14" ht="7.5" customHeight="1" thickBot="1" x14ac:dyDescent="0.35"/>
    <row r="179" spans="1:14" ht="15" thickTop="1" x14ac:dyDescent="0.3">
      <c r="A179" s="318" t="str">
        <f>Waterfalls!A180</f>
        <v>RESIDUAL VALUE CALCULATIONS</v>
      </c>
      <c r="B179" s="319"/>
      <c r="C179" s="635"/>
      <c r="D179" s="321"/>
      <c r="E179" s="322"/>
      <c r="F179" s="322"/>
      <c r="G179" s="322"/>
      <c r="H179" s="322"/>
      <c r="I179" s="322"/>
      <c r="J179" s="322"/>
      <c r="K179" s="322"/>
      <c r="L179" s="322"/>
      <c r="M179" s="322"/>
      <c r="N179" s="322"/>
    </row>
    <row r="180" spans="1:14" x14ac:dyDescent="0.3">
      <c r="A180" t="str">
        <f>Waterfalls!A181</f>
        <v>Net Operating Income (Apartments)</v>
      </c>
      <c r="D180" s="712"/>
      <c r="E180" s="227">
        <f ca="1">Waterfalls!Q181</f>
        <v>486603.63326172775</v>
      </c>
      <c r="F180" s="227">
        <f ca="1">Waterfalls!AC181</f>
        <v>5303050.5038964218</v>
      </c>
      <c r="G180" s="227">
        <f ca="1">Waterfalls!AO181</f>
        <v>5825182.4356253222</v>
      </c>
      <c r="H180" s="227">
        <f ca="1">Waterfalls!BA181</f>
        <v>6056558.8585462254</v>
      </c>
      <c r="I180" s="227">
        <f ca="1">Waterfalls!BM181</f>
        <v>6301886.6285589896</v>
      </c>
      <c r="J180" s="227">
        <f ca="1">Waterfalls!BY181</f>
        <v>6576768.7756926967</v>
      </c>
      <c r="K180" s="227">
        <f ca="1">Waterfalls!CK181</f>
        <v>6863611.1392355235</v>
      </c>
      <c r="L180" s="227">
        <f ca="1">Waterfalls!CW181</f>
        <v>7162755.2205999922</v>
      </c>
      <c r="M180" s="227">
        <f ca="1">Waterfalls!DI181</f>
        <v>7474716.7128351387</v>
      </c>
      <c r="N180" s="227">
        <f ca="1">Waterfalls!DU181</f>
        <v>7800031.992149896</v>
      </c>
    </row>
    <row r="181" spans="1:14" x14ac:dyDescent="0.3">
      <c r="A181" t="str">
        <f>Waterfalls!A182</f>
        <v>Add: Current Tax Burden</v>
      </c>
      <c r="D181" s="712"/>
      <c r="E181" s="407">
        <f>Waterfalls!Q182</f>
        <v>0</v>
      </c>
      <c r="F181" s="407">
        <f>Waterfalls!AC182</f>
        <v>0</v>
      </c>
      <c r="G181" s="407">
        <f>Waterfalls!AO182</f>
        <v>0</v>
      </c>
      <c r="H181" s="407">
        <f>Waterfalls!BA182</f>
        <v>0</v>
      </c>
      <c r="I181" s="407">
        <f>Waterfalls!BM182</f>
        <v>0</v>
      </c>
      <c r="J181" s="407">
        <f>Waterfalls!BY182</f>
        <v>0</v>
      </c>
      <c r="K181" s="407">
        <f>Waterfalls!CK182</f>
        <v>0</v>
      </c>
      <c r="L181" s="407">
        <f>Waterfalls!CW182</f>
        <v>0</v>
      </c>
      <c r="M181" s="407">
        <f>Waterfalls!DI182</f>
        <v>0</v>
      </c>
      <c r="N181" s="407">
        <f>Waterfalls!DU182</f>
        <v>0</v>
      </c>
    </row>
    <row r="182" spans="1:14" x14ac:dyDescent="0.3">
      <c r="A182" t="str">
        <f>Waterfalls!A183</f>
        <v>Less: Purchaser's Tax Burden</v>
      </c>
      <c r="D182" s="712"/>
      <c r="E182" s="407">
        <f>Waterfalls!Q183</f>
        <v>0</v>
      </c>
      <c r="F182" s="407">
        <f>Waterfalls!AC183</f>
        <v>0</v>
      </c>
      <c r="G182" s="407">
        <f>Waterfalls!AO183</f>
        <v>0</v>
      </c>
      <c r="H182" s="407">
        <f>Waterfalls!BA183</f>
        <v>0</v>
      </c>
      <c r="I182" s="407">
        <f>Waterfalls!BM183</f>
        <v>0</v>
      </c>
      <c r="J182" s="407">
        <f>Waterfalls!BY183</f>
        <v>0</v>
      </c>
      <c r="K182" s="407">
        <f>Waterfalls!CK183</f>
        <v>0</v>
      </c>
      <c r="L182" s="407">
        <f>Waterfalls!CW183</f>
        <v>0</v>
      </c>
      <c r="M182" s="407">
        <f>Waterfalls!DI183</f>
        <v>0</v>
      </c>
      <c r="N182" s="407">
        <f>Waterfalls!DU183</f>
        <v>0</v>
      </c>
    </row>
    <row r="183" spans="1:14" x14ac:dyDescent="0.3">
      <c r="A183" t="str">
        <f>Waterfalls!A184</f>
        <v>Gross Sales Proceeds (Apartments)</v>
      </c>
      <c r="D183" s="712"/>
      <c r="E183" s="407">
        <f ca="1">Waterfalls!Q184</f>
        <v>8847338.786576869</v>
      </c>
      <c r="F183" s="407">
        <f ca="1">Waterfalls!AC184</f>
        <v>96419100.070844024</v>
      </c>
      <c r="G183" s="407">
        <f ca="1">Waterfalls!AO184</f>
        <v>105912407.9204604</v>
      </c>
      <c r="H183" s="407">
        <f ca="1">Waterfalls!BA184</f>
        <v>110119251.97356774</v>
      </c>
      <c r="I183" s="407">
        <f ca="1">Waterfalls!BM184</f>
        <v>114579756.88289072</v>
      </c>
      <c r="J183" s="407">
        <f ca="1">Waterfalls!BY184</f>
        <v>119577614.10350357</v>
      </c>
      <c r="K183" s="407">
        <f ca="1">Waterfalls!CK184</f>
        <v>124792929.80428225</v>
      </c>
      <c r="L183" s="407">
        <f ca="1">Waterfalls!CW184</f>
        <v>130231913.10181804</v>
      </c>
      <c r="M183" s="407">
        <f ca="1">Waterfalls!DI184</f>
        <v>135903940.23336616</v>
      </c>
      <c r="N183" s="407">
        <f ca="1">Waterfalls!DU184</f>
        <v>141818763.49363446</v>
      </c>
    </row>
    <row r="184" spans="1:14" x14ac:dyDescent="0.3">
      <c r="A184" t="str">
        <f>Waterfalls!A185</f>
        <v>Net Operating Income (Commercial)</v>
      </c>
      <c r="D184" s="712"/>
      <c r="E184" s="407">
        <f>Waterfalls!Q185</f>
        <v>0</v>
      </c>
      <c r="F184" s="407">
        <f>Waterfalls!AC185</f>
        <v>0</v>
      </c>
      <c r="G184" s="407">
        <f>Waterfalls!AO185</f>
        <v>0</v>
      </c>
      <c r="H184" s="407">
        <f>Waterfalls!BA185</f>
        <v>0</v>
      </c>
      <c r="I184" s="407">
        <f>Waterfalls!BM185</f>
        <v>0</v>
      </c>
      <c r="J184" s="407">
        <f>Waterfalls!BY185</f>
        <v>0</v>
      </c>
      <c r="K184" s="407">
        <f>Waterfalls!CK185</f>
        <v>0</v>
      </c>
      <c r="L184" s="407">
        <f>Waterfalls!CW185</f>
        <v>0</v>
      </c>
      <c r="M184" s="407">
        <f>Waterfalls!DI185</f>
        <v>0</v>
      </c>
      <c r="N184" s="407">
        <f>Waterfalls!DU185</f>
        <v>0</v>
      </c>
    </row>
    <row r="185" spans="1:14" x14ac:dyDescent="0.3">
      <c r="A185" s="241" t="str">
        <f>Waterfalls!A186</f>
        <v>Gross Sales Proceeds (Commercial)</v>
      </c>
      <c r="B185" s="241"/>
      <c r="C185" s="241"/>
      <c r="D185" s="713"/>
      <c r="E185" s="705">
        <f>Waterfalls!Q186</f>
        <v>0</v>
      </c>
      <c r="F185" s="705">
        <f>Waterfalls!AC186</f>
        <v>0</v>
      </c>
      <c r="G185" s="705">
        <f>Waterfalls!AO186</f>
        <v>0</v>
      </c>
      <c r="H185" s="705">
        <f>Waterfalls!BA186</f>
        <v>0</v>
      </c>
      <c r="I185" s="705">
        <f>Waterfalls!BM186</f>
        <v>0</v>
      </c>
      <c r="J185" s="705">
        <f>Waterfalls!BY186</f>
        <v>0</v>
      </c>
      <c r="K185" s="705">
        <f>Waterfalls!CK186</f>
        <v>0</v>
      </c>
      <c r="L185" s="705">
        <f>Waterfalls!CW186</f>
        <v>0</v>
      </c>
      <c r="M185" s="705">
        <f>Waterfalls!DI186</f>
        <v>0</v>
      </c>
      <c r="N185" s="705">
        <f>Waterfalls!DU186</f>
        <v>0</v>
      </c>
    </row>
    <row r="186" spans="1:14" x14ac:dyDescent="0.3">
      <c r="A186" t="str">
        <f>Waterfalls!A187</f>
        <v>Gross Sales Proceeds</v>
      </c>
      <c r="D186" s="712"/>
      <c r="E186" s="227">
        <f ca="1">Waterfalls!Q187</f>
        <v>8847338.786576869</v>
      </c>
      <c r="F186" s="227">
        <f ca="1">Waterfalls!AC187</f>
        <v>96419100.070844024</v>
      </c>
      <c r="G186" s="227">
        <f ca="1">Waterfalls!AO187</f>
        <v>105912407.9204604</v>
      </c>
      <c r="H186" s="227">
        <f ca="1">Waterfalls!BA187</f>
        <v>110119251.97356774</v>
      </c>
      <c r="I186" s="227">
        <f ca="1">Waterfalls!BM187</f>
        <v>114579756.88289072</v>
      </c>
      <c r="J186" s="227">
        <f ca="1">Waterfalls!BY187</f>
        <v>119577614.10350357</v>
      </c>
      <c r="K186" s="227">
        <f ca="1">Waterfalls!CK187</f>
        <v>124792929.80428225</v>
      </c>
      <c r="L186" s="227">
        <f ca="1">Waterfalls!CW187</f>
        <v>130231913.10181804</v>
      </c>
      <c r="M186" s="227">
        <f ca="1">Waterfalls!DI187</f>
        <v>135903940.23336616</v>
      </c>
      <c r="N186" s="227">
        <f ca="1">Waterfalls!DU187</f>
        <v>141818763.49363446</v>
      </c>
    </row>
    <row r="187" spans="1:14" x14ac:dyDescent="0.3">
      <c r="A187" t="str">
        <f>Waterfalls!A188</f>
        <v>Transfer Tax</v>
      </c>
      <c r="D187" s="712"/>
      <c r="E187" s="229">
        <f ca="1">Waterfalls!Q188</f>
        <v>0</v>
      </c>
      <c r="F187" s="229">
        <f ca="1">Waterfalls!AC188</f>
        <v>0</v>
      </c>
      <c r="G187" s="229">
        <f ca="1">Waterfalls!AO188</f>
        <v>0</v>
      </c>
      <c r="H187" s="229">
        <f ca="1">Waterfalls!BA188</f>
        <v>0</v>
      </c>
      <c r="I187" s="229">
        <f ca="1">Waterfalls!BM188</f>
        <v>0</v>
      </c>
      <c r="J187" s="229">
        <f ca="1">Waterfalls!BY188</f>
        <v>0</v>
      </c>
      <c r="K187" s="229">
        <f ca="1">Waterfalls!CK188</f>
        <v>0</v>
      </c>
      <c r="L187" s="229">
        <f ca="1">Waterfalls!CW188</f>
        <v>0</v>
      </c>
      <c r="M187" s="229">
        <f ca="1">Waterfalls!DI188</f>
        <v>0</v>
      </c>
      <c r="N187" s="229">
        <f ca="1">Waterfalls!DU188</f>
        <v>0</v>
      </c>
    </row>
    <row r="188" spans="1:14" x14ac:dyDescent="0.3">
      <c r="A188" t="str">
        <f>Waterfalls!A189</f>
        <v>Title Insurance</v>
      </c>
      <c r="D188" s="712"/>
      <c r="E188" s="229">
        <f ca="1">Waterfalls!Q189</f>
        <v>-8847.3387865768691</v>
      </c>
      <c r="F188" s="229">
        <f ca="1">Waterfalls!AC189</f>
        <v>-96419.100070844026</v>
      </c>
      <c r="G188" s="229">
        <f ca="1">Waterfalls!AO189</f>
        <v>-105912.40792046041</v>
      </c>
      <c r="H188" s="229">
        <f ca="1">Waterfalls!BA189</f>
        <v>-110119.25197356773</v>
      </c>
      <c r="I188" s="229">
        <f ca="1">Waterfalls!BM189</f>
        <v>-114579.75688289072</v>
      </c>
      <c r="J188" s="229">
        <f ca="1">Waterfalls!BY189</f>
        <v>-119577.61410350357</v>
      </c>
      <c r="K188" s="229">
        <f ca="1">Waterfalls!CK189</f>
        <v>-124792.92980428225</v>
      </c>
      <c r="L188" s="229">
        <f ca="1">Waterfalls!CW189</f>
        <v>-130231.91310181805</v>
      </c>
      <c r="M188" s="229">
        <f ca="1">Waterfalls!DI189</f>
        <v>-135903.94023336616</v>
      </c>
      <c r="N188" s="229">
        <f ca="1">Waterfalls!DU189</f>
        <v>-141818.76349363447</v>
      </c>
    </row>
    <row r="189" spans="1:14" x14ac:dyDescent="0.3">
      <c r="A189" t="str">
        <f>Waterfalls!A190</f>
        <v>Closing Costs</v>
      </c>
      <c r="D189" s="712"/>
      <c r="E189" s="229">
        <f>Waterfalls!Q190</f>
        <v>-50000</v>
      </c>
      <c r="F189" s="229">
        <f>Waterfalls!AC190</f>
        <v>-50000</v>
      </c>
      <c r="G189" s="229">
        <f>Waterfalls!AO190</f>
        <v>-50000</v>
      </c>
      <c r="H189" s="229">
        <f>Waterfalls!BA190</f>
        <v>-50000</v>
      </c>
      <c r="I189" s="229">
        <f>Waterfalls!BM190</f>
        <v>-50000</v>
      </c>
      <c r="J189" s="229">
        <f>Waterfalls!BY190</f>
        <v>-50000</v>
      </c>
      <c r="K189" s="229">
        <f>Waterfalls!CK190</f>
        <v>-50000</v>
      </c>
      <c r="L189" s="229">
        <f>Waterfalls!CW190</f>
        <v>-50000</v>
      </c>
      <c r="M189" s="229">
        <f>Waterfalls!DI190</f>
        <v>-50000</v>
      </c>
      <c r="N189" s="229">
        <f>Waterfalls!DU190</f>
        <v>-50000</v>
      </c>
    </row>
    <row r="190" spans="1:14" x14ac:dyDescent="0.3">
      <c r="A190" t="str">
        <f>Waterfalls!A191</f>
        <v>Commissions</v>
      </c>
      <c r="D190" s="712"/>
      <c r="E190" s="229">
        <f ca="1">Waterfalls!Q191</f>
        <v>-26542.016359730609</v>
      </c>
      <c r="F190" s="229">
        <f ca="1">Waterfalls!AC191</f>
        <v>-289257.30021253211</v>
      </c>
      <c r="G190" s="229">
        <f ca="1">Waterfalls!AO191</f>
        <v>-317737.22376138123</v>
      </c>
      <c r="H190" s="229">
        <f ca="1">Waterfalls!BA191</f>
        <v>-330357.75592070323</v>
      </c>
      <c r="I190" s="229">
        <f ca="1">Waterfalls!BM191</f>
        <v>-343739.27064867213</v>
      </c>
      <c r="J190" s="229">
        <f ca="1">Waterfalls!BY191</f>
        <v>-358732.84231051069</v>
      </c>
      <c r="K190" s="229">
        <f ca="1">Waterfalls!CK191</f>
        <v>-374378.78941284673</v>
      </c>
      <c r="L190" s="229">
        <f ca="1">Waterfalls!CW191</f>
        <v>-390695.73930545413</v>
      </c>
      <c r="M190" s="229">
        <f ca="1">Waterfalls!DI191</f>
        <v>-407711.82070009847</v>
      </c>
      <c r="N190" s="229">
        <f ca="1">Waterfalls!DU191</f>
        <v>-425456.29048090341</v>
      </c>
    </row>
    <row r="191" spans="1:14" x14ac:dyDescent="0.3">
      <c r="A191" t="str">
        <f>Waterfalls!A192</f>
        <v>PV Ground Lease Payments @ 6.25%</v>
      </c>
      <c r="D191" s="712"/>
      <c r="E191" s="229">
        <f>Waterfalls!Q192</f>
        <v>0</v>
      </c>
      <c r="F191" s="229">
        <f>Waterfalls!AC192</f>
        <v>0</v>
      </c>
      <c r="G191" s="229">
        <f>Waterfalls!AO192</f>
        <v>0</v>
      </c>
      <c r="H191" s="229">
        <f>Waterfalls!BA192</f>
        <v>0</v>
      </c>
      <c r="I191" s="229">
        <f>Waterfalls!BM192</f>
        <v>0</v>
      </c>
      <c r="J191" s="229">
        <f>Waterfalls!BY192</f>
        <v>0</v>
      </c>
      <c r="K191" s="229">
        <f>Waterfalls!CK192</f>
        <v>0</v>
      </c>
      <c r="L191" s="229">
        <f>Waterfalls!CW192</f>
        <v>0</v>
      </c>
      <c r="M191" s="229">
        <f>Waterfalls!DI192</f>
        <v>0</v>
      </c>
      <c r="N191" s="229">
        <f>Waterfalls!DU192</f>
        <v>0</v>
      </c>
    </row>
    <row r="192" spans="1:14" x14ac:dyDescent="0.3">
      <c r="A192" t="str">
        <f>Waterfalls!A193</f>
        <v>Debt Retirement</v>
      </c>
      <c r="D192" s="712"/>
      <c r="E192" s="229">
        <f ca="1">Waterfalls!Q193</f>
        <v>-9733199.8629999999</v>
      </c>
      <c r="F192" s="229">
        <f ca="1">Waterfalls!AC193</f>
        <v>-42200089.103000008</v>
      </c>
      <c r="G192" s="229">
        <f ca="1">Waterfalls!AO193</f>
        <v>-42908958.331103884</v>
      </c>
      <c r="H192" s="229">
        <f ca="1">Waterfalls!BA193</f>
        <v>-42385779.168695651</v>
      </c>
      <c r="I192" s="229">
        <f ca="1">Waterfalls!BM193</f>
        <v>-41828845.296740316</v>
      </c>
      <c r="J192" s="229">
        <f ca="1">Waterfalls!BY193</f>
        <v>-41235978.913638599</v>
      </c>
      <c r="K192" s="229">
        <f ca="1">Waterfalls!CK193</f>
        <v>-40604861.709403798</v>
      </c>
      <c r="L192" s="229">
        <f ca="1">Waterfalls!CW193</f>
        <v>-39933025.800278194</v>
      </c>
      <c r="M192" s="229">
        <f ca="1">Waterfalls!DI193</f>
        <v>-39217844.07846491</v>
      </c>
      <c r="N192" s="229">
        <f ca="1">Waterfalls!DU193</f>
        <v>-38456519.939239442</v>
      </c>
    </row>
    <row r="193" spans="1:14" x14ac:dyDescent="0.3">
      <c r="A193" t="str">
        <f>Waterfalls!A194</f>
        <v>Debt Retirement Fee</v>
      </c>
      <c r="D193" s="712"/>
      <c r="E193" s="229">
        <f ca="1">Waterfalls!Q194</f>
        <v>0</v>
      </c>
      <c r="F193" s="229">
        <f ca="1">Waterfalls!AC194</f>
        <v>0</v>
      </c>
      <c r="G193" s="229">
        <f ca="1">Waterfalls!AO194</f>
        <v>0</v>
      </c>
      <c r="H193" s="229">
        <f ca="1">Waterfalls!BA194</f>
        <v>0</v>
      </c>
      <c r="I193" s="229">
        <f ca="1">Waterfalls!BM194</f>
        <v>0</v>
      </c>
      <c r="J193" s="229">
        <f ca="1">Waterfalls!BY194</f>
        <v>0</v>
      </c>
      <c r="K193" s="229">
        <f ca="1">Waterfalls!CK194</f>
        <v>0</v>
      </c>
      <c r="L193" s="229">
        <f ca="1">Waterfalls!CW194</f>
        <v>0</v>
      </c>
      <c r="M193" s="229">
        <f ca="1">Waterfalls!DI194</f>
        <v>0</v>
      </c>
      <c r="N193" s="229">
        <f ca="1">Waterfalls!DU194</f>
        <v>0</v>
      </c>
    </row>
    <row r="194" spans="1:14" x14ac:dyDescent="0.3">
      <c r="A194" t="str">
        <f>Waterfalls!A195</f>
        <v>Disposition Fee</v>
      </c>
      <c r="D194" s="712"/>
      <c r="E194" s="229">
        <f ca="1">Waterfalls!Q195</f>
        <v>0</v>
      </c>
      <c r="F194" s="229">
        <f ca="1">Waterfalls!AC195</f>
        <v>0</v>
      </c>
      <c r="G194" s="229">
        <f ca="1">Waterfalls!AO195</f>
        <v>0</v>
      </c>
      <c r="H194" s="229">
        <f ca="1">Waterfalls!BA195</f>
        <v>0</v>
      </c>
      <c r="I194" s="229">
        <f ca="1">Waterfalls!BM195</f>
        <v>0</v>
      </c>
      <c r="J194" s="229">
        <f ca="1">Waterfalls!BY195</f>
        <v>0</v>
      </c>
      <c r="K194" s="229">
        <f ca="1">Waterfalls!CK195</f>
        <v>0</v>
      </c>
      <c r="L194" s="229">
        <f ca="1">Waterfalls!CW195</f>
        <v>0</v>
      </c>
      <c r="M194" s="229">
        <f ca="1">Waterfalls!DI195</f>
        <v>0</v>
      </c>
      <c r="N194" s="229">
        <f ca="1">Waterfalls!DU195</f>
        <v>0</v>
      </c>
    </row>
    <row r="195" spans="1:14" x14ac:dyDescent="0.3">
      <c r="A195" t="str">
        <f>Waterfalls!A196</f>
        <v>LP  Equity &amp; Pref Retirement</v>
      </c>
      <c r="D195" s="712"/>
      <c r="E195" s="229">
        <f ca="1">Waterfalls!Q196</f>
        <v>0</v>
      </c>
      <c r="F195" s="229">
        <f ca="1">Waterfalls!AC196</f>
        <v>-37227200.112907141</v>
      </c>
      <c r="G195" s="229">
        <f ca="1">Waterfalls!AO196</f>
        <v>-38983575.77269382</v>
      </c>
      <c r="H195" s="229">
        <f ca="1">Waterfalls!BA196</f>
        <v>-40591760.396429546</v>
      </c>
      <c r="I195" s="229">
        <f ca="1">Waterfalls!BM196</f>
        <v>-42149963.054957785</v>
      </c>
      <c r="J195" s="229">
        <f ca="1">Waterfalls!BY196</f>
        <v>-43640524.277522698</v>
      </c>
      <c r="K195" s="229">
        <f ca="1">Waterfalls!CK196</f>
        <v>-45028205.292712048</v>
      </c>
      <c r="L195" s="229">
        <f ca="1">Waterfalls!CW196</f>
        <v>-46290958.867745757</v>
      </c>
      <c r="M195" s="229">
        <f ca="1">Waterfalls!DI196</f>
        <v>-47404113.878279731</v>
      </c>
      <c r="N195" s="229">
        <f ca="1">Waterfalls!DU196</f>
        <v>-48339929.963213153</v>
      </c>
    </row>
    <row r="196" spans="1:14" x14ac:dyDescent="0.3">
      <c r="A196" t="str">
        <f>Waterfalls!A197</f>
        <v>Quarterra  Equity &amp; Pref Retirement</v>
      </c>
      <c r="D196" s="712"/>
      <c r="E196" s="229">
        <f ca="1">Waterfalls!Q197</f>
        <v>0</v>
      </c>
      <c r="F196" s="229">
        <f ca="1">Waterfalls!AC197</f>
        <v>-4136355.568100791</v>
      </c>
      <c r="G196" s="229">
        <f ca="1">Waterfalls!AO197</f>
        <v>-4331508.4191882005</v>
      </c>
      <c r="H196" s="229">
        <f ca="1">Waterfalls!BA197</f>
        <v>-4510195.5996032832</v>
      </c>
      <c r="I196" s="229">
        <f ca="1">Waterfalls!BM197</f>
        <v>-4683329.2283286452</v>
      </c>
      <c r="J196" s="229">
        <f ca="1">Waterfalls!BY197</f>
        <v>-4848947.1419469677</v>
      </c>
      <c r="K196" s="229">
        <f ca="1">Waterfalls!CK197</f>
        <v>-5003133.9214124521</v>
      </c>
      <c r="L196" s="229">
        <f ca="1">Waterfalls!CW197</f>
        <v>-5143439.8741939766</v>
      </c>
      <c r="M196" s="229">
        <f ca="1">Waterfalls!DI197</f>
        <v>-5267123.7642533053</v>
      </c>
      <c r="N196" s="229">
        <f ca="1">Waterfalls!DU197</f>
        <v>-5371103.3292459026</v>
      </c>
    </row>
    <row r="197" spans="1:14" x14ac:dyDescent="0.3">
      <c r="A197" t="str">
        <f>Waterfalls!A198</f>
        <v>LAND  Equity &amp; Pref Retirement</v>
      </c>
      <c r="D197" s="712"/>
      <c r="E197" s="229">
        <f ca="1">Waterfalls!Q198</f>
        <v>0</v>
      </c>
      <c r="F197" s="229">
        <f ca="1">Waterfalls!AC198</f>
        <v>0</v>
      </c>
      <c r="G197" s="229">
        <f ca="1">Waterfalls!AO198</f>
        <v>0</v>
      </c>
      <c r="H197" s="229">
        <f ca="1">Waterfalls!BA198</f>
        <v>0</v>
      </c>
      <c r="I197" s="229">
        <f ca="1">Waterfalls!BM198</f>
        <v>0</v>
      </c>
      <c r="J197" s="229">
        <f ca="1">Waterfalls!BY198</f>
        <v>0</v>
      </c>
      <c r="K197" s="229">
        <f ca="1">Waterfalls!CK198</f>
        <v>0</v>
      </c>
      <c r="L197" s="229">
        <f ca="1">Waterfalls!CW198</f>
        <v>0</v>
      </c>
      <c r="M197" s="229">
        <f ca="1">Waterfalls!DI198</f>
        <v>0</v>
      </c>
      <c r="N197" s="229">
        <f ca="1">Waterfalls!DU198</f>
        <v>0</v>
      </c>
    </row>
    <row r="198" spans="1:14" ht="15" thickBot="1" x14ac:dyDescent="0.35">
      <c r="A198" s="248" t="str">
        <f>Waterfalls!A199</f>
        <v>Net Cash to Distribute</v>
      </c>
      <c r="B198" s="248"/>
      <c r="C198" s="248"/>
      <c r="D198" s="714"/>
      <c r="E198" s="250">
        <f ca="1">Waterfalls!Q199</f>
        <v>-971250</v>
      </c>
      <c r="F198" s="250">
        <f ca="1">Waterfalls!AC199</f>
        <v>12419779</v>
      </c>
      <c r="G198" s="250">
        <f ca="1">Waterfalls!AO199</f>
        <v>19214716</v>
      </c>
      <c r="H198" s="250">
        <f ca="1">Waterfalls!BA199</f>
        <v>22141040</v>
      </c>
      <c r="I198" s="250">
        <f ca="1">Waterfalls!BM199</f>
        <v>25409300</v>
      </c>
      <c r="J198" s="250">
        <f ca="1">Waterfalls!BY199</f>
        <v>29323853</v>
      </c>
      <c r="K198" s="250">
        <f ca="1">Waterfalls!CK199</f>
        <v>33607557</v>
      </c>
      <c r="L198" s="250">
        <f ca="1">Waterfalls!CW199</f>
        <v>38293561</v>
      </c>
      <c r="M198" s="250">
        <f ca="1">Waterfalls!DI199</f>
        <v>43421243</v>
      </c>
      <c r="N198" s="250">
        <f ca="1">Waterfalls!DU199</f>
        <v>49033935</v>
      </c>
    </row>
    <row r="199" spans="1:14" ht="7.5" customHeight="1" thickTop="1" x14ac:dyDescent="0.3">
      <c r="E199" s="227"/>
      <c r="F199" s="227"/>
      <c r="G199" s="227"/>
      <c r="H199" s="227"/>
      <c r="I199" s="227"/>
      <c r="J199" s="227"/>
      <c r="K199" s="227"/>
      <c r="L199" s="227"/>
      <c r="M199" s="227"/>
      <c r="N199" s="227"/>
    </row>
    <row r="200" spans="1:14" ht="15.6" x14ac:dyDescent="0.3">
      <c r="A200" s="115" t="s">
        <v>1009</v>
      </c>
      <c r="B200" s="204"/>
      <c r="C200" s="204"/>
      <c r="D200" s="204"/>
      <c r="E200" s="204"/>
      <c r="F200" s="204"/>
      <c r="G200" s="204"/>
      <c r="H200" s="204"/>
      <c r="I200" s="204"/>
      <c r="J200" s="204"/>
      <c r="K200" s="204"/>
      <c r="L200" s="204"/>
      <c r="M200" s="204"/>
      <c r="N200" s="204"/>
    </row>
    <row r="201" spans="1:14" ht="3.75" customHeight="1" thickBot="1" x14ac:dyDescent="0.35">
      <c r="A201" s="715"/>
      <c r="B201" s="715"/>
      <c r="C201" s="715"/>
      <c r="D201" s="715"/>
      <c r="E201" s="715"/>
      <c r="F201" s="715"/>
      <c r="G201" s="715"/>
      <c r="H201" s="715"/>
      <c r="I201" s="715"/>
      <c r="J201" s="715"/>
      <c r="K201" s="715"/>
      <c r="L201" s="715"/>
      <c r="M201" s="715"/>
      <c r="N201" s="715"/>
    </row>
    <row r="202" spans="1:14" ht="7.5" customHeight="1" thickTop="1" x14ac:dyDescent="0.3"/>
    <row r="203" spans="1:14" x14ac:dyDescent="0.3">
      <c r="A203" s="182" t="str">
        <f>Waterfalls!A204</f>
        <v>Joint Venture Cash Flows</v>
      </c>
      <c r="B203" s="182"/>
      <c r="C203" s="400">
        <f ca="1">Waterfalls!C204</f>
        <v>0.30587547483465172</v>
      </c>
      <c r="D203" s="408">
        <f ca="1">Waterfalls!E204</f>
        <v>-1872006.950411486</v>
      </c>
      <c r="E203" s="408">
        <f ca="1">SUM(Waterfalls!F204:Q204)</f>
        <v>-33209824.003568824</v>
      </c>
      <c r="F203" s="408">
        <f ca="1">SUM(Waterfalls!R204:AC204)</f>
        <v>44113.029490091343</v>
      </c>
      <c r="G203" s="408">
        <f ca="1">SUM(Waterfalls!AD204:AO204)</f>
        <v>59838829.411738515</v>
      </c>
      <c r="H203" s="408">
        <f>SUM(Waterfalls!AP204:BA204)</f>
        <v>0</v>
      </c>
      <c r="I203" s="408">
        <f>SUM(Waterfalls!BB204:BM204)</f>
        <v>0</v>
      </c>
      <c r="J203" s="408">
        <f>SUM(Waterfalls!BN204:BY204)</f>
        <v>0</v>
      </c>
      <c r="K203" s="408">
        <f>SUM(Waterfalls!BZ204:CK204)</f>
        <v>0</v>
      </c>
      <c r="L203" s="408">
        <f>SUM(Waterfalls!CL204:CW204)</f>
        <v>0</v>
      </c>
      <c r="M203" s="408">
        <f>SUM(Waterfalls!CX204:DI204)</f>
        <v>0</v>
      </c>
      <c r="N203" s="408">
        <f>SUM(Waterfalls!DJ204:DU204)</f>
        <v>0</v>
      </c>
    </row>
    <row r="204" spans="1:14" ht="7.5" customHeight="1" thickBot="1" x14ac:dyDescent="0.35"/>
    <row r="205" spans="1:14" ht="15" thickTop="1" x14ac:dyDescent="0.3">
      <c r="A205" s="318" t="str">
        <f>Waterfalls!A206</f>
        <v>PRE-PROMOTE CASH FLOWS</v>
      </c>
      <c r="B205" s="635"/>
      <c r="C205" s="321"/>
      <c r="D205" s="322"/>
      <c r="E205" s="322"/>
      <c r="F205" s="322"/>
      <c r="G205" s="322"/>
      <c r="H205" s="322"/>
      <c r="I205" s="322"/>
      <c r="J205" s="322"/>
      <c r="K205" s="322"/>
      <c r="L205" s="322"/>
      <c r="M205" s="322"/>
      <c r="N205" s="322"/>
    </row>
    <row r="206" spans="1:14" x14ac:dyDescent="0.3">
      <c r="A206" s="182" t="str">
        <f>Waterfalls!A207</f>
        <v>LP Contributions</v>
      </c>
      <c r="B206" s="182"/>
      <c r="C206" s="182"/>
      <c r="D206" s="408">
        <f ca="1">Waterfalls!E207</f>
        <v>-1684806.2553703375</v>
      </c>
      <c r="E206" s="408">
        <f ca="1">SUM(Waterfalls!F207:Q207)</f>
        <v>-29888841.603211943</v>
      </c>
      <c r="F206" s="408">
        <f ca="1">SUM(Waterfalls!R207:AC207)</f>
        <v>0</v>
      </c>
      <c r="G206" s="408">
        <f ca="1">SUM(Waterfalls!AD207:AO207)</f>
        <v>0</v>
      </c>
      <c r="H206" s="408">
        <f>SUM(Waterfalls!AP207:BA207)</f>
        <v>0</v>
      </c>
      <c r="I206" s="408">
        <f>SUM(Waterfalls!BB207:BM207)</f>
        <v>0</v>
      </c>
      <c r="J206" s="408">
        <f>SUM(Waterfalls!BN207:BY207)</f>
        <v>0</v>
      </c>
      <c r="K206" s="408">
        <f>SUM(Waterfalls!BZ207:CK207)</f>
        <v>0</v>
      </c>
      <c r="L206" s="408">
        <f>SUM(Waterfalls!CL207:CW207)</f>
        <v>0</v>
      </c>
      <c r="M206" s="408">
        <f>SUM(Waterfalls!CX207:DI207)</f>
        <v>0</v>
      </c>
      <c r="N206" s="408">
        <f>SUM(Waterfalls!DJ207:DU207)</f>
        <v>0</v>
      </c>
    </row>
    <row r="207" spans="1:14" x14ac:dyDescent="0.3">
      <c r="A207" s="182" t="str">
        <f>Waterfalls!A208</f>
        <v>LP Distribution from Operations</v>
      </c>
      <c r="B207" s="182"/>
      <c r="C207" s="182"/>
      <c r="D207" s="407">
        <f ca="1">Waterfalls!E208</f>
        <v>0</v>
      </c>
      <c r="E207" s="407">
        <f ca="1">SUM(Waterfalls!F208:Q208)</f>
        <v>0</v>
      </c>
      <c r="F207" s="407">
        <f ca="1">SUM(Waterfalls!R208:AC208)</f>
        <v>0</v>
      </c>
      <c r="G207" s="407">
        <f ca="1">SUM(Waterfalls!AD208:AO208)</f>
        <v>0</v>
      </c>
      <c r="H207" s="407">
        <f>SUM(Waterfalls!AP208:BA208)</f>
        <v>0</v>
      </c>
      <c r="I207" s="407">
        <f>SUM(Waterfalls!BB208:BM208)</f>
        <v>0</v>
      </c>
      <c r="J207" s="407">
        <f>SUM(Waterfalls!BN208:BY208)</f>
        <v>0</v>
      </c>
      <c r="K207" s="407">
        <f>SUM(Waterfalls!BZ208:CK208)</f>
        <v>0</v>
      </c>
      <c r="L207" s="407">
        <f>SUM(Waterfalls!CL208:CW208)</f>
        <v>0</v>
      </c>
      <c r="M207" s="407">
        <f>SUM(Waterfalls!CX208:DI208)</f>
        <v>0</v>
      </c>
      <c r="N207" s="407">
        <f>SUM(Waterfalls!DJ208:DU208)</f>
        <v>0</v>
      </c>
    </row>
    <row r="208" spans="1:14" x14ac:dyDescent="0.3">
      <c r="A208" s="182" t="str">
        <f>Waterfalls!A209</f>
        <v>LP Pref Paid From Cash Flows</v>
      </c>
      <c r="B208" s="182"/>
      <c r="C208" s="182"/>
      <c r="D208" s="407">
        <f ca="1">Waterfalls!E209</f>
        <v>0</v>
      </c>
      <c r="E208" s="407">
        <f ca="1">SUM(Waterfalls!F209:Q209)</f>
        <v>0</v>
      </c>
      <c r="F208" s="407">
        <f ca="1">SUM(Waterfalls!R209:AC209)</f>
        <v>39701.726541082207</v>
      </c>
      <c r="G208" s="407">
        <f ca="1">SUM(Waterfalls!AD209:AO209)</f>
        <v>591502.95155244949</v>
      </c>
      <c r="H208" s="407">
        <f>SUM(Waterfalls!AP209:BA209)</f>
        <v>0</v>
      </c>
      <c r="I208" s="407">
        <f>SUM(Waterfalls!BB209:BM209)</f>
        <v>0</v>
      </c>
      <c r="J208" s="407">
        <f>SUM(Waterfalls!BN209:BY209)</f>
        <v>0</v>
      </c>
      <c r="K208" s="407">
        <f>SUM(Waterfalls!BZ209:CK209)</f>
        <v>0</v>
      </c>
      <c r="L208" s="407">
        <f>SUM(Waterfalls!CL209:CW209)</f>
        <v>0</v>
      </c>
      <c r="M208" s="407">
        <f>SUM(Waterfalls!CX209:DI209)</f>
        <v>0</v>
      </c>
      <c r="N208" s="407">
        <f>SUM(Waterfalls!DJ209:DU209)</f>
        <v>0</v>
      </c>
    </row>
    <row r="209" spans="1:14" x14ac:dyDescent="0.3">
      <c r="A209" s="182" t="str">
        <f>Waterfalls!A210</f>
        <v>LP Pref Paid From Refi</v>
      </c>
      <c r="B209" s="182"/>
      <c r="C209" s="182"/>
      <c r="D209" s="407">
        <f>Waterfalls!E210</f>
        <v>0</v>
      </c>
      <c r="E209" s="407">
        <f>SUM(Waterfalls!F210:Q210)</f>
        <v>0</v>
      </c>
      <c r="F209" s="407">
        <f>SUM(Waterfalls!R210:AC210)</f>
        <v>0</v>
      </c>
      <c r="G209" s="407">
        <f>SUM(Waterfalls!AD210:AO210)</f>
        <v>0</v>
      </c>
      <c r="H209" s="407">
        <f>SUM(Waterfalls!AP210:BA210)</f>
        <v>0</v>
      </c>
      <c r="I209" s="407">
        <f>SUM(Waterfalls!BB210:BM210)</f>
        <v>0</v>
      </c>
      <c r="J209" s="407">
        <f>SUM(Waterfalls!BN210:BY210)</f>
        <v>0</v>
      </c>
      <c r="K209" s="407">
        <f>SUM(Waterfalls!BZ210:CK210)</f>
        <v>0</v>
      </c>
      <c r="L209" s="407">
        <f>SUM(Waterfalls!CL210:CW210)</f>
        <v>0</v>
      </c>
      <c r="M209" s="407">
        <f>SUM(Waterfalls!CX210:DI210)</f>
        <v>0</v>
      </c>
      <c r="N209" s="407">
        <f>SUM(Waterfalls!DJ210:DU210)</f>
        <v>0</v>
      </c>
    </row>
    <row r="210" spans="1:14" x14ac:dyDescent="0.3">
      <c r="A210" s="182" t="str">
        <f>Waterfalls!A211</f>
        <v>LP Contribution Returned From Refi</v>
      </c>
      <c r="B210" s="182"/>
      <c r="C210" s="182"/>
      <c r="D210" s="407">
        <f>Waterfalls!E211</f>
        <v>0</v>
      </c>
      <c r="E210" s="407">
        <f>SUM(Waterfalls!F211:Q211)</f>
        <v>0</v>
      </c>
      <c r="F210" s="407">
        <f>SUM(Waterfalls!R211:AC211)</f>
        <v>0</v>
      </c>
      <c r="G210" s="407">
        <f>SUM(Waterfalls!AD211:AO211)</f>
        <v>0</v>
      </c>
      <c r="H210" s="407">
        <f>SUM(Waterfalls!AP211:BA211)</f>
        <v>0</v>
      </c>
      <c r="I210" s="407">
        <f>SUM(Waterfalls!BB211:BM211)</f>
        <v>0</v>
      </c>
      <c r="J210" s="407">
        <f>SUM(Waterfalls!BN211:BY211)</f>
        <v>0</v>
      </c>
      <c r="K210" s="407">
        <f>SUM(Waterfalls!BZ211:CK211)</f>
        <v>0</v>
      </c>
      <c r="L210" s="407">
        <f>SUM(Waterfalls!CL211:CW211)</f>
        <v>0</v>
      </c>
      <c r="M210" s="407">
        <f>SUM(Waterfalls!CX211:DI211)</f>
        <v>0</v>
      </c>
      <c r="N210" s="407">
        <f>SUM(Waterfalls!DJ211:DU211)</f>
        <v>0</v>
      </c>
    </row>
    <row r="211" spans="1:14" x14ac:dyDescent="0.3">
      <c r="A211" s="182" t="str">
        <f>Waterfalls!A212</f>
        <v>LP Equity &amp; Pref Retirement</v>
      </c>
      <c r="B211" s="182"/>
      <c r="C211" s="182"/>
      <c r="D211" s="407">
        <f>Waterfalls!E212</f>
        <v>0</v>
      </c>
      <c r="E211" s="407">
        <f>SUM(Waterfalls!F212:Q212)</f>
        <v>0</v>
      </c>
      <c r="F211" s="407">
        <f>SUM(Waterfalls!R212:AC212)</f>
        <v>0</v>
      </c>
      <c r="G211" s="407">
        <f ca="1">SUM(Waterfalls!AD212:AO212)</f>
        <v>37886681.514896236</v>
      </c>
      <c r="H211" s="407">
        <f>SUM(Waterfalls!AP212:BA212)</f>
        <v>0</v>
      </c>
      <c r="I211" s="407">
        <f>SUM(Waterfalls!BB212:BM212)</f>
        <v>0</v>
      </c>
      <c r="J211" s="407">
        <f>SUM(Waterfalls!BN212:BY212)</f>
        <v>0</v>
      </c>
      <c r="K211" s="407">
        <f>SUM(Waterfalls!BZ212:CK212)</f>
        <v>0</v>
      </c>
      <c r="L211" s="407">
        <f>SUM(Waterfalls!CL212:CW212)</f>
        <v>0</v>
      </c>
      <c r="M211" s="407">
        <f>SUM(Waterfalls!CX212:DI212)</f>
        <v>0</v>
      </c>
      <c r="N211" s="407">
        <f>SUM(Waterfalls!DJ212:DU212)</f>
        <v>0</v>
      </c>
    </row>
    <row r="212" spans="1:14" ht="15" thickBot="1" x14ac:dyDescent="0.35">
      <c r="A212" s="436" t="str">
        <f>Waterfalls!A213</f>
        <v>LP Return ON &amp; OF Equity</v>
      </c>
      <c r="B212" s="436"/>
      <c r="C212" s="439"/>
      <c r="D212" s="433">
        <f ca="1">Waterfalls!E213</f>
        <v>-1684806.2553703375</v>
      </c>
      <c r="E212" s="433">
        <f ca="1">SUM(Waterfalls!F213:Q213)</f>
        <v>-29888841.603211943</v>
      </c>
      <c r="F212" s="433">
        <f ca="1">SUM(Waterfalls!R213:AC213)</f>
        <v>39701.726541082207</v>
      </c>
      <c r="G212" s="433">
        <f ca="1">SUM(Waterfalls!AD213:AO213)</f>
        <v>38478184.46644868</v>
      </c>
      <c r="H212" s="433">
        <f>SUM(Waterfalls!AP213:BA213)</f>
        <v>0</v>
      </c>
      <c r="I212" s="433">
        <f>SUM(Waterfalls!BB213:BM213)</f>
        <v>0</v>
      </c>
      <c r="J212" s="433">
        <f>SUM(Waterfalls!BN213:BY213)</f>
        <v>0</v>
      </c>
      <c r="K212" s="433">
        <f>SUM(Waterfalls!BZ213:CK213)</f>
        <v>0</v>
      </c>
      <c r="L212" s="433">
        <f>SUM(Waterfalls!CL213:CW213)</f>
        <v>0</v>
      </c>
      <c r="M212" s="433">
        <f>SUM(Waterfalls!CX213:DI213)</f>
        <v>0</v>
      </c>
      <c r="N212" s="433">
        <f>SUM(Waterfalls!DJ213:DU213)</f>
        <v>0</v>
      </c>
    </row>
    <row r="213" spans="1:14" ht="6.75" customHeight="1" thickTop="1" x14ac:dyDescent="0.3"/>
    <row r="214" spans="1:14" x14ac:dyDescent="0.3">
      <c r="A214" s="182" t="str">
        <f>Waterfalls!A215</f>
        <v>Quarterra Contributions</v>
      </c>
      <c r="B214" s="182"/>
      <c r="C214" s="182"/>
      <c r="D214" s="408">
        <f ca="1">Waterfalls!E215</f>
        <v>-187200.69504114857</v>
      </c>
      <c r="E214" s="408">
        <f ca="1">SUM(Waterfalls!F215:Q215)</f>
        <v>-3320982.4003568813</v>
      </c>
      <c r="F214" s="408">
        <f ca="1">SUM(Waterfalls!R215:AC215)</f>
        <v>0</v>
      </c>
      <c r="G214" s="408">
        <f ca="1">SUM(Waterfalls!AD215:AO215)</f>
        <v>0</v>
      </c>
      <c r="H214" s="408">
        <f>SUM(Waterfalls!AP215:BA215)</f>
        <v>0</v>
      </c>
      <c r="I214" s="408">
        <f>SUM(Waterfalls!BB215:BM215)</f>
        <v>0</v>
      </c>
      <c r="J214" s="408">
        <f>SUM(Waterfalls!BN215:BY215)</f>
        <v>0</v>
      </c>
      <c r="K214" s="408">
        <f>SUM(Waterfalls!BZ215:CK215)</f>
        <v>0</v>
      </c>
      <c r="L214" s="408">
        <f>SUM(Waterfalls!CL215:CW215)</f>
        <v>0</v>
      </c>
      <c r="M214" s="408">
        <f>SUM(Waterfalls!CX215:DI215)</f>
        <v>0</v>
      </c>
      <c r="N214" s="408">
        <f>SUM(Waterfalls!DJ215:DU215)</f>
        <v>0</v>
      </c>
    </row>
    <row r="215" spans="1:14" x14ac:dyDescent="0.3">
      <c r="A215" s="182" t="str">
        <f>Waterfalls!A216</f>
        <v>Quarterra Distribution from Operations</v>
      </c>
      <c r="B215" s="182"/>
      <c r="C215" s="182"/>
      <c r="D215" s="407">
        <f ca="1">Waterfalls!E216</f>
        <v>0</v>
      </c>
      <c r="E215" s="407">
        <f ca="1">SUM(Waterfalls!F216:Q216)</f>
        <v>0</v>
      </c>
      <c r="F215" s="407">
        <f ca="1">SUM(Waterfalls!R216:AC216)</f>
        <v>0</v>
      </c>
      <c r="G215" s="407">
        <f ca="1">SUM(Waterfalls!AD216:AO216)</f>
        <v>0</v>
      </c>
      <c r="H215" s="407">
        <f>SUM(Waterfalls!AP216:BA216)</f>
        <v>0</v>
      </c>
      <c r="I215" s="407">
        <f>SUM(Waterfalls!BB216:BM216)</f>
        <v>0</v>
      </c>
      <c r="J215" s="407">
        <f>SUM(Waterfalls!BN216:BY216)</f>
        <v>0</v>
      </c>
      <c r="K215" s="407">
        <f>SUM(Waterfalls!BZ216:CK216)</f>
        <v>0</v>
      </c>
      <c r="L215" s="407">
        <f>SUM(Waterfalls!CL216:CW216)</f>
        <v>0</v>
      </c>
      <c r="M215" s="407">
        <f>SUM(Waterfalls!CX216:DI216)</f>
        <v>0</v>
      </c>
      <c r="N215" s="407">
        <f>SUM(Waterfalls!DJ216:DU216)</f>
        <v>0</v>
      </c>
    </row>
    <row r="216" spans="1:14" x14ac:dyDescent="0.3">
      <c r="A216" s="182" t="str">
        <f>Waterfalls!A217</f>
        <v>Quarterra Pref Paid From Cash Flows</v>
      </c>
      <c r="B216" s="182"/>
      <c r="C216" s="182"/>
      <c r="D216" s="407">
        <f ca="1">Waterfalls!E217</f>
        <v>0</v>
      </c>
      <c r="E216" s="407">
        <f ca="1">SUM(Waterfalls!F217:Q217)</f>
        <v>0</v>
      </c>
      <c r="F216" s="407">
        <f ca="1">SUM(Waterfalls!R217:AC217)</f>
        <v>4411.302949009133</v>
      </c>
      <c r="G216" s="407">
        <f ca="1">SUM(Waterfalls!AD217:AO217)</f>
        <v>65722.550172494375</v>
      </c>
      <c r="H216" s="407">
        <f>SUM(Waterfalls!AP217:BA217)</f>
        <v>0</v>
      </c>
      <c r="I216" s="407">
        <f>SUM(Waterfalls!BB217:BM217)</f>
        <v>0</v>
      </c>
      <c r="J216" s="407">
        <f>SUM(Waterfalls!BN217:BY217)</f>
        <v>0</v>
      </c>
      <c r="K216" s="407">
        <f>SUM(Waterfalls!BZ217:CK217)</f>
        <v>0</v>
      </c>
      <c r="L216" s="407">
        <f>SUM(Waterfalls!CL217:CW217)</f>
        <v>0</v>
      </c>
      <c r="M216" s="407">
        <f>SUM(Waterfalls!CX217:DI217)</f>
        <v>0</v>
      </c>
      <c r="N216" s="407">
        <f>SUM(Waterfalls!DJ217:DU217)</f>
        <v>0</v>
      </c>
    </row>
    <row r="217" spans="1:14" x14ac:dyDescent="0.3">
      <c r="A217" s="182" t="str">
        <f>Waterfalls!A218</f>
        <v>Quarterra Pref Paid From Refi</v>
      </c>
      <c r="B217" s="182"/>
      <c r="C217" s="182"/>
      <c r="D217" s="407">
        <f>Waterfalls!E218</f>
        <v>0</v>
      </c>
      <c r="E217" s="407">
        <f>SUM(Waterfalls!F218:Q218)</f>
        <v>0</v>
      </c>
      <c r="F217" s="407">
        <f>SUM(Waterfalls!R218:AC218)</f>
        <v>0</v>
      </c>
      <c r="G217" s="407">
        <f>SUM(Waterfalls!AD218:AO218)</f>
        <v>0</v>
      </c>
      <c r="H217" s="407">
        <f>SUM(Waterfalls!AP218:BA218)</f>
        <v>0</v>
      </c>
      <c r="I217" s="407">
        <f>SUM(Waterfalls!BB218:BM218)</f>
        <v>0</v>
      </c>
      <c r="J217" s="407">
        <f>SUM(Waterfalls!BN218:BY218)</f>
        <v>0</v>
      </c>
      <c r="K217" s="407">
        <f>SUM(Waterfalls!BZ218:CK218)</f>
        <v>0</v>
      </c>
      <c r="L217" s="407">
        <f>SUM(Waterfalls!CL218:CW218)</f>
        <v>0</v>
      </c>
      <c r="M217" s="407">
        <f>SUM(Waterfalls!CX218:DI218)</f>
        <v>0</v>
      </c>
      <c r="N217" s="407">
        <f>SUM(Waterfalls!DJ218:DU218)</f>
        <v>0</v>
      </c>
    </row>
    <row r="218" spans="1:14" x14ac:dyDescent="0.3">
      <c r="A218" s="182" t="str">
        <f>Waterfalls!A219</f>
        <v>Quarterra Contribution Returned From Refi</v>
      </c>
      <c r="B218" s="182"/>
      <c r="C218" s="182"/>
      <c r="D218" s="407">
        <f>Waterfalls!E219</f>
        <v>0</v>
      </c>
      <c r="E218" s="407">
        <f>SUM(Waterfalls!F219:Q219)</f>
        <v>0</v>
      </c>
      <c r="F218" s="407">
        <f>SUM(Waterfalls!R219:AC219)</f>
        <v>0</v>
      </c>
      <c r="G218" s="407">
        <f>SUM(Waterfalls!AD219:AO219)</f>
        <v>0</v>
      </c>
      <c r="H218" s="407">
        <f>SUM(Waterfalls!AP219:BA219)</f>
        <v>0</v>
      </c>
      <c r="I218" s="407">
        <f>SUM(Waterfalls!BB219:BM219)</f>
        <v>0</v>
      </c>
      <c r="J218" s="407">
        <f>SUM(Waterfalls!BN219:BY219)</f>
        <v>0</v>
      </c>
      <c r="K218" s="407">
        <f>SUM(Waterfalls!BZ219:CK219)</f>
        <v>0</v>
      </c>
      <c r="L218" s="407">
        <f>SUM(Waterfalls!CL219:CW219)</f>
        <v>0</v>
      </c>
      <c r="M218" s="407">
        <f>SUM(Waterfalls!CX219:DI219)</f>
        <v>0</v>
      </c>
      <c r="N218" s="407">
        <f>SUM(Waterfalls!DJ219:DU219)</f>
        <v>0</v>
      </c>
    </row>
    <row r="219" spans="1:14" x14ac:dyDescent="0.3">
      <c r="A219" s="182" t="str">
        <f>Waterfalls!A220</f>
        <v>Quarterra Equity &amp; Pref Retirement</v>
      </c>
      <c r="B219" s="182"/>
      <c r="C219" s="182"/>
      <c r="D219" s="407">
        <f>Waterfalls!E220</f>
        <v>0</v>
      </c>
      <c r="E219" s="407">
        <f>SUM(Waterfalls!F220:Q220)</f>
        <v>0</v>
      </c>
      <c r="F219" s="407">
        <f>SUM(Waterfalls!R220:AC220)</f>
        <v>0</v>
      </c>
      <c r="G219" s="407">
        <f ca="1">SUM(Waterfalls!AD220:AO220)</f>
        <v>4209631.2794329124</v>
      </c>
      <c r="H219" s="407">
        <f>SUM(Waterfalls!AP220:BA220)</f>
        <v>0</v>
      </c>
      <c r="I219" s="407">
        <f>SUM(Waterfalls!BB220:BM220)</f>
        <v>0</v>
      </c>
      <c r="J219" s="407">
        <f>SUM(Waterfalls!BN220:BY220)</f>
        <v>0</v>
      </c>
      <c r="K219" s="407">
        <f>SUM(Waterfalls!BZ220:CK220)</f>
        <v>0</v>
      </c>
      <c r="L219" s="407">
        <f>SUM(Waterfalls!CL220:CW220)</f>
        <v>0</v>
      </c>
      <c r="M219" s="407">
        <f>SUM(Waterfalls!CX220:DI220)</f>
        <v>0</v>
      </c>
      <c r="N219" s="407">
        <f>SUM(Waterfalls!DJ220:DU220)</f>
        <v>0</v>
      </c>
    </row>
    <row r="220" spans="1:14" ht="15" thickBot="1" x14ac:dyDescent="0.35">
      <c r="A220" s="436" t="str">
        <f>Waterfalls!A221</f>
        <v>Quarterra Return ON &amp; OF Equity</v>
      </c>
      <c r="B220" s="436"/>
      <c r="C220" s="439"/>
      <c r="D220" s="433">
        <f ca="1">Waterfalls!E221</f>
        <v>-187200.69504114857</v>
      </c>
      <c r="E220" s="433">
        <f ca="1">SUM(Waterfalls!F221:Q221)</f>
        <v>-3320982.4003568813</v>
      </c>
      <c r="F220" s="433">
        <f ca="1">SUM(Waterfalls!R221:AC221)</f>
        <v>4411.302949009133</v>
      </c>
      <c r="G220" s="433">
        <f ca="1">SUM(Waterfalls!AD221:AO221)</f>
        <v>4275353.8296054062</v>
      </c>
      <c r="H220" s="433">
        <f>SUM(Waterfalls!AP221:BA221)</f>
        <v>0</v>
      </c>
      <c r="I220" s="433">
        <f>SUM(Waterfalls!BB221:BM221)</f>
        <v>0</v>
      </c>
      <c r="J220" s="433">
        <f>SUM(Waterfalls!BN221:BY221)</f>
        <v>0</v>
      </c>
      <c r="K220" s="433">
        <f>SUM(Waterfalls!BZ221:CK221)</f>
        <v>0</v>
      </c>
      <c r="L220" s="433">
        <f>SUM(Waterfalls!CL221:CW221)</f>
        <v>0</v>
      </c>
      <c r="M220" s="433">
        <f>SUM(Waterfalls!CX221:DI221)</f>
        <v>0</v>
      </c>
      <c r="N220" s="433">
        <f>SUM(Waterfalls!DJ221:DU221)</f>
        <v>0</v>
      </c>
    </row>
    <row r="221" spans="1:14" ht="6.75" customHeight="1" thickTop="1" x14ac:dyDescent="0.3">
      <c r="A221" s="182"/>
      <c r="B221" s="182"/>
      <c r="C221" s="400"/>
      <c r="D221" s="408"/>
      <c r="E221" s="408"/>
      <c r="F221" s="408"/>
      <c r="G221" s="408"/>
      <c r="H221" s="408"/>
      <c r="I221" s="408"/>
      <c r="J221" s="408"/>
      <c r="K221" s="408"/>
      <c r="L221" s="408"/>
      <c r="M221" s="408"/>
      <c r="N221" s="408"/>
    </row>
    <row r="222" spans="1:14" x14ac:dyDescent="0.3">
      <c r="A222" s="182" t="str">
        <f>Waterfalls!A223</f>
        <v>LAND Contributions</v>
      </c>
      <c r="B222" s="182"/>
      <c r="C222" s="182"/>
      <c r="D222" s="408">
        <f>Waterfalls!E223</f>
        <v>0</v>
      </c>
      <c r="E222" s="408">
        <f>SUM(Waterfalls!F223:Q223)</f>
        <v>0</v>
      </c>
      <c r="F222" s="408">
        <f>SUM(Waterfalls!R223:AC223)</f>
        <v>0</v>
      </c>
      <c r="G222" s="408">
        <f>SUM(Waterfalls!AD223:AO223)</f>
        <v>0</v>
      </c>
      <c r="H222" s="408">
        <f>SUM(Waterfalls!AP223:BA223)</f>
        <v>0</v>
      </c>
      <c r="I222" s="408">
        <f>SUM(Waterfalls!BB223:BM223)</f>
        <v>0</v>
      </c>
      <c r="J222" s="408">
        <f>SUM(Waterfalls!BN223:BY223)</f>
        <v>0</v>
      </c>
      <c r="K222" s="408">
        <f>SUM(Waterfalls!BZ223:CK223)</f>
        <v>0</v>
      </c>
      <c r="L222" s="408">
        <f>SUM(Waterfalls!CL223:CW223)</f>
        <v>0</v>
      </c>
      <c r="M222" s="408">
        <f>SUM(Waterfalls!CX223:DI223)</f>
        <v>0</v>
      </c>
      <c r="N222" s="408">
        <f>SUM(Waterfalls!DJ223:DU223)</f>
        <v>0</v>
      </c>
    </row>
    <row r="223" spans="1:14" x14ac:dyDescent="0.3">
      <c r="A223" s="182" t="str">
        <f>Waterfalls!A224</f>
        <v>LAND Distribution from Operations</v>
      </c>
      <c r="B223" s="182"/>
      <c r="C223" s="182"/>
      <c r="D223" s="407">
        <f ca="1">Waterfalls!E224</f>
        <v>0</v>
      </c>
      <c r="E223" s="407">
        <f ca="1">SUM(Waterfalls!F224:Q224)</f>
        <v>0</v>
      </c>
      <c r="F223" s="407">
        <f ca="1">SUM(Waterfalls!R224:AC224)</f>
        <v>0</v>
      </c>
      <c r="G223" s="407">
        <f ca="1">SUM(Waterfalls!AD224:AO224)</f>
        <v>0</v>
      </c>
      <c r="H223" s="407">
        <f>SUM(Waterfalls!AP224:BA224)</f>
        <v>0</v>
      </c>
      <c r="I223" s="407">
        <f>SUM(Waterfalls!BB224:BM224)</f>
        <v>0</v>
      </c>
      <c r="J223" s="407">
        <f>SUM(Waterfalls!BN224:BY224)</f>
        <v>0</v>
      </c>
      <c r="K223" s="407">
        <f>SUM(Waterfalls!BZ224:CK224)</f>
        <v>0</v>
      </c>
      <c r="L223" s="407">
        <f>SUM(Waterfalls!CL224:CW224)</f>
        <v>0</v>
      </c>
      <c r="M223" s="407">
        <f>SUM(Waterfalls!CX224:DI224)</f>
        <v>0</v>
      </c>
      <c r="N223" s="407">
        <f>SUM(Waterfalls!DJ224:DU224)</f>
        <v>0</v>
      </c>
    </row>
    <row r="224" spans="1:14" x14ac:dyDescent="0.3">
      <c r="A224" s="182" t="str">
        <f>Waterfalls!A225</f>
        <v>LAND Pref Paid From Cash Flows</v>
      </c>
      <c r="B224" s="182"/>
      <c r="C224" s="182"/>
      <c r="D224" s="407">
        <f ca="1">Waterfalls!E225</f>
        <v>0</v>
      </c>
      <c r="E224" s="407">
        <f ca="1">SUM(Waterfalls!F225:Q225)</f>
        <v>0</v>
      </c>
      <c r="F224" s="407">
        <f ca="1">SUM(Waterfalls!R225:AC225)</f>
        <v>0</v>
      </c>
      <c r="G224" s="407">
        <f ca="1">SUM(Waterfalls!AD225:AO225)</f>
        <v>0</v>
      </c>
      <c r="H224" s="407">
        <f>SUM(Waterfalls!AP225:BA225)</f>
        <v>0</v>
      </c>
      <c r="I224" s="407">
        <f>SUM(Waterfalls!BB225:BM225)</f>
        <v>0</v>
      </c>
      <c r="J224" s="407">
        <f>SUM(Waterfalls!BN225:BY225)</f>
        <v>0</v>
      </c>
      <c r="K224" s="407">
        <f>SUM(Waterfalls!BZ225:CK225)</f>
        <v>0</v>
      </c>
      <c r="L224" s="407">
        <f>SUM(Waterfalls!CL225:CW225)</f>
        <v>0</v>
      </c>
      <c r="M224" s="407">
        <f>SUM(Waterfalls!CX225:DI225)</f>
        <v>0</v>
      </c>
      <c r="N224" s="407">
        <f>SUM(Waterfalls!DJ225:DU225)</f>
        <v>0</v>
      </c>
    </row>
    <row r="225" spans="1:14" x14ac:dyDescent="0.3">
      <c r="A225" s="182" t="str">
        <f>Waterfalls!A226</f>
        <v>LAND Pref Paid From Refi</v>
      </c>
      <c r="B225" s="182"/>
      <c r="C225" s="182"/>
      <c r="D225" s="407">
        <f>Waterfalls!E226</f>
        <v>0</v>
      </c>
      <c r="E225" s="407">
        <f>SUM(Waterfalls!F226:Q226)</f>
        <v>0</v>
      </c>
      <c r="F225" s="407">
        <f>SUM(Waterfalls!R226:AC226)</f>
        <v>0</v>
      </c>
      <c r="G225" s="407">
        <f>SUM(Waterfalls!AD226:AO226)</f>
        <v>0</v>
      </c>
      <c r="H225" s="407">
        <f>SUM(Waterfalls!AP226:BA226)</f>
        <v>0</v>
      </c>
      <c r="I225" s="407">
        <f>SUM(Waterfalls!BB226:BM226)</f>
        <v>0</v>
      </c>
      <c r="J225" s="407">
        <f>SUM(Waterfalls!BN226:BY226)</f>
        <v>0</v>
      </c>
      <c r="K225" s="407">
        <f>SUM(Waterfalls!BZ226:CK226)</f>
        <v>0</v>
      </c>
      <c r="L225" s="407">
        <f>SUM(Waterfalls!CL226:CW226)</f>
        <v>0</v>
      </c>
      <c r="M225" s="407">
        <f>SUM(Waterfalls!CX226:DI226)</f>
        <v>0</v>
      </c>
      <c r="N225" s="407">
        <f>SUM(Waterfalls!DJ226:DU226)</f>
        <v>0</v>
      </c>
    </row>
    <row r="226" spans="1:14" x14ac:dyDescent="0.3">
      <c r="A226" s="182" t="str">
        <f>Waterfalls!A227</f>
        <v>LAND Contribution Returned From Refi</v>
      </c>
      <c r="B226" s="182"/>
      <c r="C226" s="182"/>
      <c r="D226" s="407">
        <f>Waterfalls!E227</f>
        <v>0</v>
      </c>
      <c r="E226" s="407">
        <f>SUM(Waterfalls!F227:Q227)</f>
        <v>0</v>
      </c>
      <c r="F226" s="407">
        <f>SUM(Waterfalls!R227:AC227)</f>
        <v>0</v>
      </c>
      <c r="G226" s="407">
        <f>SUM(Waterfalls!AD227:AO227)</f>
        <v>0</v>
      </c>
      <c r="H226" s="407">
        <f>SUM(Waterfalls!AP227:BA227)</f>
        <v>0</v>
      </c>
      <c r="I226" s="407">
        <f>SUM(Waterfalls!BB227:BM227)</f>
        <v>0</v>
      </c>
      <c r="J226" s="407">
        <f>SUM(Waterfalls!BN227:BY227)</f>
        <v>0</v>
      </c>
      <c r="K226" s="407">
        <f>SUM(Waterfalls!BZ227:CK227)</f>
        <v>0</v>
      </c>
      <c r="L226" s="407">
        <f>SUM(Waterfalls!CL227:CW227)</f>
        <v>0</v>
      </c>
      <c r="M226" s="407">
        <f>SUM(Waterfalls!CX227:DI227)</f>
        <v>0</v>
      </c>
      <c r="N226" s="407">
        <f>SUM(Waterfalls!DJ227:DU227)</f>
        <v>0</v>
      </c>
    </row>
    <row r="227" spans="1:14" x14ac:dyDescent="0.3">
      <c r="A227" s="182" t="str">
        <f>Waterfalls!A228</f>
        <v>LAND Equity &amp; Pref Retirement</v>
      </c>
      <c r="B227" s="182"/>
      <c r="C227" s="182"/>
      <c r="D227" s="407">
        <f>Waterfalls!E228</f>
        <v>0</v>
      </c>
      <c r="E227" s="407">
        <f>SUM(Waterfalls!F228:Q228)</f>
        <v>0</v>
      </c>
      <c r="F227" s="407">
        <f>SUM(Waterfalls!R228:AC228)</f>
        <v>0</v>
      </c>
      <c r="G227" s="407">
        <f ca="1">SUM(Waterfalls!AD228:AO228)</f>
        <v>0</v>
      </c>
      <c r="H227" s="407">
        <f>SUM(Waterfalls!AP228:BA228)</f>
        <v>0</v>
      </c>
      <c r="I227" s="407">
        <f>SUM(Waterfalls!BB228:BM228)</f>
        <v>0</v>
      </c>
      <c r="J227" s="407">
        <f>SUM(Waterfalls!BN228:BY228)</f>
        <v>0</v>
      </c>
      <c r="K227" s="407">
        <f>SUM(Waterfalls!BZ228:CK228)</f>
        <v>0</v>
      </c>
      <c r="L227" s="407">
        <f>SUM(Waterfalls!CL228:CW228)</f>
        <v>0</v>
      </c>
      <c r="M227" s="407">
        <f>SUM(Waterfalls!CX228:DI228)</f>
        <v>0</v>
      </c>
      <c r="N227" s="407">
        <f>SUM(Waterfalls!DJ228:DU228)</f>
        <v>0</v>
      </c>
    </row>
    <row r="228" spans="1:14" ht="15" thickBot="1" x14ac:dyDescent="0.35">
      <c r="A228" s="436" t="str">
        <f>Waterfalls!A229</f>
        <v>LAND Return ON &amp; OF Equity</v>
      </c>
      <c r="B228" s="436"/>
      <c r="C228" s="439"/>
      <c r="D228" s="433">
        <f ca="1">Waterfalls!E229</f>
        <v>0</v>
      </c>
      <c r="E228" s="433">
        <f ca="1">SUM(Waterfalls!F229:Q229)</f>
        <v>0</v>
      </c>
      <c r="F228" s="433">
        <f ca="1">SUM(Waterfalls!R229:AC229)</f>
        <v>0</v>
      </c>
      <c r="G228" s="433">
        <f ca="1">SUM(Waterfalls!AD229:AO229)</f>
        <v>0</v>
      </c>
      <c r="H228" s="433">
        <f>SUM(Waterfalls!AP229:BA229)</f>
        <v>0</v>
      </c>
      <c r="I228" s="433">
        <f>SUM(Waterfalls!BB229:BM229)</f>
        <v>0</v>
      </c>
      <c r="J228" s="433">
        <f>SUM(Waterfalls!BN229:BY229)</f>
        <v>0</v>
      </c>
      <c r="K228" s="433">
        <f>SUM(Waterfalls!BZ229:CK229)</f>
        <v>0</v>
      </c>
      <c r="L228" s="433">
        <f>SUM(Waterfalls!CL229:CW229)</f>
        <v>0</v>
      </c>
      <c r="M228" s="433">
        <f>SUM(Waterfalls!CX229:DI229)</f>
        <v>0</v>
      </c>
      <c r="N228" s="433">
        <f>SUM(Waterfalls!DJ229:DU229)</f>
        <v>0</v>
      </c>
    </row>
    <row r="229" spans="1:14" ht="7.5" customHeight="1" thickTop="1" thickBot="1" x14ac:dyDescent="0.35"/>
    <row r="230" spans="1:14" ht="15" thickTop="1" x14ac:dyDescent="0.3">
      <c r="A230" s="318" t="str">
        <f>Waterfalls!A231</f>
        <v>TIER 1</v>
      </c>
      <c r="B230" s="635"/>
      <c r="C230" s="716"/>
      <c r="D230" s="322"/>
      <c r="E230" s="322"/>
      <c r="F230" s="322"/>
      <c r="G230" s="322"/>
      <c r="H230" s="322"/>
      <c r="I230" s="322"/>
      <c r="J230" s="322"/>
      <c r="K230" s="322"/>
      <c r="L230" s="322"/>
      <c r="M230" s="322"/>
      <c r="N230" s="322"/>
    </row>
    <row r="231" spans="1:14" x14ac:dyDescent="0.3">
      <c r="A231" s="182" t="str">
        <f>Waterfalls!A232</f>
        <v>LP Contributions</v>
      </c>
      <c r="B231" s="182"/>
      <c r="C231" s="426"/>
      <c r="D231" s="408">
        <f ca="1">Waterfalls!E232</f>
        <v>-1684806.2553703375</v>
      </c>
      <c r="E231" s="408">
        <f ca="1">SUM(Waterfalls!F232:Q232)</f>
        <v>-29888841.603211943</v>
      </c>
      <c r="F231" s="408">
        <f ca="1">SUM(Waterfalls!R232:AC232)</f>
        <v>0</v>
      </c>
      <c r="G231" s="408">
        <f ca="1">SUM(Waterfalls!AD232:AO232)</f>
        <v>0</v>
      </c>
      <c r="H231" s="408">
        <f>SUM(Waterfalls!AP232:BA232)</f>
        <v>0</v>
      </c>
      <c r="I231" s="408">
        <f>SUM(Waterfalls!BB232:BM232)</f>
        <v>0</v>
      </c>
      <c r="J231" s="408">
        <f>SUM(Waterfalls!BN232:BY232)</f>
        <v>0</v>
      </c>
      <c r="K231" s="408">
        <f>SUM(Waterfalls!BZ232:CK232)</f>
        <v>0</v>
      </c>
      <c r="L231" s="408">
        <f>SUM(Waterfalls!CL232:CW232)</f>
        <v>0</v>
      </c>
      <c r="M231" s="408">
        <f>SUM(Waterfalls!CX232:DI232)</f>
        <v>0</v>
      </c>
      <c r="N231" s="408">
        <f>SUM(Waterfalls!DJ232:DU232)</f>
        <v>0</v>
      </c>
    </row>
    <row r="232" spans="1:14" x14ac:dyDescent="0.3">
      <c r="A232" s="182" t="str">
        <f>Waterfalls!A233</f>
        <v>Operating Cash Distributions to LP</v>
      </c>
      <c r="B232" s="182"/>
      <c r="C232" s="182"/>
      <c r="D232" s="407">
        <f ca="1">Waterfalls!E233</f>
        <v>0</v>
      </c>
      <c r="E232" s="407">
        <f ca="1">SUM(Waterfalls!F233:Q233)</f>
        <v>0</v>
      </c>
      <c r="F232" s="407">
        <f ca="1">SUM(Waterfalls!R233:AC233)</f>
        <v>39701.726541082207</v>
      </c>
      <c r="G232" s="407">
        <f ca="1">SUM(Waterfalls!AD233:AO233)</f>
        <v>591502.95155244949</v>
      </c>
      <c r="H232" s="407">
        <f>SUM(Waterfalls!AP233:BA233)</f>
        <v>0</v>
      </c>
      <c r="I232" s="407">
        <f>SUM(Waterfalls!BB233:BM233)</f>
        <v>0</v>
      </c>
      <c r="J232" s="407">
        <f>SUM(Waterfalls!BN233:BY233)</f>
        <v>0</v>
      </c>
      <c r="K232" s="407">
        <f>SUM(Waterfalls!BZ233:CK233)</f>
        <v>0</v>
      </c>
      <c r="L232" s="407">
        <f>SUM(Waterfalls!CL233:CW233)</f>
        <v>0</v>
      </c>
      <c r="M232" s="407">
        <f>SUM(Waterfalls!CX233:DI233)</f>
        <v>0</v>
      </c>
      <c r="N232" s="407">
        <f>SUM(Waterfalls!DJ233:DU233)</f>
        <v>0</v>
      </c>
    </row>
    <row r="233" spans="1:14" x14ac:dyDescent="0.3">
      <c r="A233" s="717" t="str">
        <f>Waterfalls!A235</f>
        <v>LP Return OF and ON Equity</v>
      </c>
      <c r="B233" s="717"/>
      <c r="C233" s="717"/>
      <c r="D233" s="718">
        <f>Waterfalls!E235</f>
        <v>0</v>
      </c>
      <c r="E233" s="718">
        <f>SUM(Waterfalls!F235:Q235)</f>
        <v>0</v>
      </c>
      <c r="F233" s="718">
        <f>SUM(Waterfalls!R235:AC235)</f>
        <v>0</v>
      </c>
      <c r="G233" s="718">
        <f ca="1">SUM(Waterfalls!AD235:AO235)</f>
        <v>37886681.514896236</v>
      </c>
      <c r="H233" s="718">
        <f>SUM(Waterfalls!AP235:BA235)</f>
        <v>0</v>
      </c>
      <c r="I233" s="718">
        <f>SUM(Waterfalls!BB235:BM235)</f>
        <v>0</v>
      </c>
      <c r="J233" s="718">
        <f>SUM(Waterfalls!BN235:BY235)</f>
        <v>0</v>
      </c>
      <c r="K233" s="718">
        <f>SUM(Waterfalls!BZ235:CK235)</f>
        <v>0</v>
      </c>
      <c r="L233" s="718">
        <f>SUM(Waterfalls!CL235:CW235)</f>
        <v>0</v>
      </c>
      <c r="M233" s="718">
        <f>SUM(Waterfalls!CX235:DI235)</f>
        <v>0</v>
      </c>
      <c r="N233" s="718">
        <f>SUM(Waterfalls!DJ235:DU235)</f>
        <v>0</v>
      </c>
    </row>
    <row r="234" spans="1:14" x14ac:dyDescent="0.3">
      <c r="A234" s="182" t="str">
        <f>Waterfalls!A236</f>
        <v>LP Cash Flows Before Promote</v>
      </c>
      <c r="B234" s="182"/>
      <c r="C234" s="182"/>
      <c r="D234" s="408">
        <f ca="1">Waterfalls!E236</f>
        <v>-1684806.2553703375</v>
      </c>
      <c r="E234" s="408">
        <f ca="1">SUM(Waterfalls!F236:Q236)</f>
        <v>-29888841.603211943</v>
      </c>
      <c r="F234" s="408">
        <f ca="1">SUM(Waterfalls!R236:AC236)</f>
        <v>39701.726541082207</v>
      </c>
      <c r="G234" s="408">
        <f ca="1">SUM(Waterfalls!AD236:AO236)</f>
        <v>38478184.46644868</v>
      </c>
      <c r="H234" s="408">
        <f>SUM(Waterfalls!AP236:BA236)</f>
        <v>0</v>
      </c>
      <c r="I234" s="408">
        <f>SUM(Waterfalls!BB236:BM236)</f>
        <v>0</v>
      </c>
      <c r="J234" s="408">
        <f>SUM(Waterfalls!BN236:BY236)</f>
        <v>0</v>
      </c>
      <c r="K234" s="408">
        <f>SUM(Waterfalls!BZ236:CK236)</f>
        <v>0</v>
      </c>
      <c r="L234" s="408">
        <f>SUM(Waterfalls!CL236:CW236)</f>
        <v>0</v>
      </c>
      <c r="M234" s="408">
        <f>SUM(Waterfalls!CX236:DI236)</f>
        <v>0</v>
      </c>
      <c r="N234" s="408">
        <f>SUM(Waterfalls!DJ236:DU236)</f>
        <v>0</v>
      </c>
    </row>
    <row r="235" spans="1:14" x14ac:dyDescent="0.3">
      <c r="A235" s="182" t="str">
        <f>Waterfalls!A240</f>
        <v>LP Tier 1 Promote</v>
      </c>
      <c r="B235" s="182"/>
      <c r="C235" s="719"/>
      <c r="D235" s="407">
        <f>Waterfalls!E240</f>
        <v>0</v>
      </c>
      <c r="E235" s="407">
        <f>SUM(Waterfalls!F240:Q240)</f>
        <v>0</v>
      </c>
      <c r="F235" s="407">
        <f>SUM(Waterfalls!R240:AC240)</f>
        <v>0</v>
      </c>
      <c r="G235" s="407">
        <f ca="1">SUM(Waterfalls!AD240:AO240)</f>
        <v>1074106.9971894026</v>
      </c>
      <c r="H235" s="407">
        <f>SUM(Waterfalls!AP240:BA240)</f>
        <v>0</v>
      </c>
      <c r="I235" s="407">
        <f>SUM(Waterfalls!BB240:BM240)</f>
        <v>0</v>
      </c>
      <c r="J235" s="407">
        <f>SUM(Waterfalls!BN240:BY240)</f>
        <v>0</v>
      </c>
      <c r="K235" s="407">
        <f>SUM(Waterfalls!BZ240:CK240)</f>
        <v>0</v>
      </c>
      <c r="L235" s="407">
        <f>SUM(Waterfalls!CL240:CW240)</f>
        <v>0</v>
      </c>
      <c r="M235" s="407">
        <f>SUM(Waterfalls!CX240:DI240)</f>
        <v>0</v>
      </c>
      <c r="N235" s="407">
        <f>SUM(Waterfalls!DJ240:DU240)</f>
        <v>0</v>
      </c>
    </row>
    <row r="236" spans="1:14" ht="15" thickBot="1" x14ac:dyDescent="0.35">
      <c r="A236" s="436" t="str">
        <f>Waterfalls!A241</f>
        <v>LP Tier 1 Cash Flows</v>
      </c>
      <c r="B236" s="436"/>
      <c r="C236" s="720" t="str">
        <f ca="1">Waterfalls!C241</f>
        <v>12.00%/1.25x</v>
      </c>
      <c r="D236" s="433">
        <f ca="1">Waterfalls!E241</f>
        <v>-1684806.2553703375</v>
      </c>
      <c r="E236" s="433">
        <f ca="1">SUM(Waterfalls!F241:Q241)</f>
        <v>-29888841.603211943</v>
      </c>
      <c r="F236" s="433">
        <f ca="1">SUM(Waterfalls!R241:AC241)</f>
        <v>39701.726541082207</v>
      </c>
      <c r="G236" s="433">
        <f ca="1">SUM(Waterfalls!AD241:AO241)</f>
        <v>39552291.463638082</v>
      </c>
      <c r="H236" s="433">
        <f>SUM(Waterfalls!AP241:BA241)</f>
        <v>0</v>
      </c>
      <c r="I236" s="433">
        <f>SUM(Waterfalls!BB241:BM241)</f>
        <v>0</v>
      </c>
      <c r="J236" s="433">
        <f>SUM(Waterfalls!BN241:BY241)</f>
        <v>0</v>
      </c>
      <c r="K236" s="433">
        <f>SUM(Waterfalls!BZ241:CK241)</f>
        <v>0</v>
      </c>
      <c r="L236" s="433">
        <f>SUM(Waterfalls!CL241:CW241)</f>
        <v>0</v>
      </c>
      <c r="M236" s="433">
        <f>SUM(Waterfalls!CX241:DI241)</f>
        <v>0</v>
      </c>
      <c r="N236" s="433">
        <f>SUM(Waterfalls!DJ241:DU241)</f>
        <v>0</v>
      </c>
    </row>
    <row r="237" spans="1:14" ht="7.5" customHeight="1" thickTop="1" x14ac:dyDescent="0.3">
      <c r="A237">
        <f>Waterfalls!A242</f>
        <v>0</v>
      </c>
    </row>
    <row r="238" spans="1:14" x14ac:dyDescent="0.3">
      <c r="A238" s="182" t="str">
        <f>Waterfalls!A243</f>
        <v>LP Tier 1 Promote</v>
      </c>
      <c r="B238" s="182"/>
      <c r="C238" s="400">
        <f>Waterfalls!C243</f>
        <v>0.65</v>
      </c>
      <c r="D238" s="408">
        <f>Waterfalls!E243</f>
        <v>0</v>
      </c>
      <c r="E238" s="408">
        <f>SUM(Waterfalls!F243:Q243)</f>
        <v>0</v>
      </c>
      <c r="F238" s="408">
        <f>SUM(Waterfalls!R243:AC243)</f>
        <v>0</v>
      </c>
      <c r="G238" s="408">
        <f ca="1">SUM(Waterfalls!AD243:AO243)</f>
        <v>1074106.9971894026</v>
      </c>
      <c r="H238" s="408">
        <f>SUM(Waterfalls!AP243:BA243)</f>
        <v>0</v>
      </c>
      <c r="I238" s="408">
        <f>SUM(Waterfalls!BB243:BM243)</f>
        <v>0</v>
      </c>
      <c r="J238" s="408">
        <f>SUM(Waterfalls!BN243:BY243)</f>
        <v>0</v>
      </c>
      <c r="K238" s="408">
        <f>SUM(Waterfalls!BZ243:CK243)</f>
        <v>0</v>
      </c>
      <c r="L238" s="408">
        <f>SUM(Waterfalls!CL243:CW243)</f>
        <v>0</v>
      </c>
      <c r="M238" s="408">
        <f>SUM(Waterfalls!CX243:DI243)</f>
        <v>0</v>
      </c>
      <c r="N238" s="408">
        <f>SUM(Waterfalls!DJ243:DU243)</f>
        <v>0</v>
      </c>
    </row>
    <row r="239" spans="1:14" x14ac:dyDescent="0.3">
      <c r="A239" s="182" t="str">
        <f>Waterfalls!A244</f>
        <v>Quarterra Tier 1 Promote</v>
      </c>
      <c r="B239" s="182"/>
      <c r="C239" s="400">
        <f>Waterfalls!C244</f>
        <v>0.35</v>
      </c>
      <c r="D239" s="407">
        <f>Waterfalls!E244</f>
        <v>0</v>
      </c>
      <c r="E239" s="407">
        <f>SUM(Waterfalls!F244:Q244)</f>
        <v>0</v>
      </c>
      <c r="F239" s="407">
        <f>SUM(Waterfalls!R244:AC244)</f>
        <v>0</v>
      </c>
      <c r="G239" s="407">
        <f ca="1">SUM(Waterfalls!AD244:AO244)</f>
        <v>578365.30617890903</v>
      </c>
      <c r="H239" s="407">
        <f>SUM(Waterfalls!AP244:BA244)</f>
        <v>0</v>
      </c>
      <c r="I239" s="407">
        <f>SUM(Waterfalls!BB244:BM244)</f>
        <v>0</v>
      </c>
      <c r="J239" s="407">
        <f>SUM(Waterfalls!BN244:BY244)</f>
        <v>0</v>
      </c>
      <c r="K239" s="407">
        <f>SUM(Waterfalls!BZ244:CK244)</f>
        <v>0</v>
      </c>
      <c r="L239" s="407">
        <f>SUM(Waterfalls!CL244:CW244)</f>
        <v>0</v>
      </c>
      <c r="M239" s="407">
        <f>SUM(Waterfalls!CX244:DI244)</f>
        <v>0</v>
      </c>
      <c r="N239" s="407">
        <f>SUM(Waterfalls!DJ244:DU244)</f>
        <v>0</v>
      </c>
    </row>
    <row r="240" spans="1:14" x14ac:dyDescent="0.3">
      <c r="A240" s="477" t="str">
        <f>Waterfalls!A245</f>
        <v>LAND Tier 1 Promote</v>
      </c>
      <c r="B240" s="477"/>
      <c r="C240" s="721">
        <f>Waterfalls!C245</f>
        <v>0</v>
      </c>
      <c r="D240" s="705">
        <f>Waterfalls!E245</f>
        <v>0</v>
      </c>
      <c r="E240" s="705">
        <f>SUM(Waterfalls!F245:Q245)</f>
        <v>0</v>
      </c>
      <c r="F240" s="705">
        <f>SUM(Waterfalls!R245:AC245)</f>
        <v>0</v>
      </c>
      <c r="G240" s="705">
        <f ca="1">SUM(Waterfalls!AD245:AO245)</f>
        <v>0</v>
      </c>
      <c r="H240" s="705">
        <f>SUM(Waterfalls!AP245:BA245)</f>
        <v>0</v>
      </c>
      <c r="I240" s="705">
        <f>SUM(Waterfalls!BB245:BM245)</f>
        <v>0</v>
      </c>
      <c r="J240" s="705">
        <f>SUM(Waterfalls!BN245:BY245)</f>
        <v>0</v>
      </c>
      <c r="K240" s="705">
        <f>SUM(Waterfalls!BZ245:CK245)</f>
        <v>0</v>
      </c>
      <c r="L240" s="705">
        <f>SUM(Waterfalls!CL245:CW245)</f>
        <v>0</v>
      </c>
      <c r="M240" s="705">
        <f>SUM(Waterfalls!CX245:DI245)</f>
        <v>0</v>
      </c>
      <c r="N240" s="705">
        <f>SUM(Waterfalls!DJ245:DU245)</f>
        <v>0</v>
      </c>
    </row>
    <row r="241" spans="1:14" x14ac:dyDescent="0.3">
      <c r="A241" s="182" t="str">
        <f>Waterfalls!A246</f>
        <v>Total Tier 1 Distribution</v>
      </c>
      <c r="B241" s="182"/>
      <c r="C241" s="182"/>
      <c r="D241" s="620">
        <f>Waterfalls!E246</f>
        <v>0</v>
      </c>
      <c r="E241" s="620">
        <f>SUM(Waterfalls!F246:Q246)</f>
        <v>0</v>
      </c>
      <c r="F241" s="620">
        <f>SUM(Waterfalls!R246:AC246)</f>
        <v>0</v>
      </c>
      <c r="G241" s="620">
        <f ca="1">SUM(Waterfalls!AD246:AO246)</f>
        <v>1652472.3033683116</v>
      </c>
      <c r="H241" s="620">
        <f>SUM(Waterfalls!AP246:BA246)</f>
        <v>0</v>
      </c>
      <c r="I241" s="620">
        <f>SUM(Waterfalls!BB246:BM246)</f>
        <v>0</v>
      </c>
      <c r="J241" s="620">
        <f>SUM(Waterfalls!BN246:BY246)</f>
        <v>0</v>
      </c>
      <c r="K241" s="620">
        <f>SUM(Waterfalls!BZ246:CK246)</f>
        <v>0</v>
      </c>
      <c r="L241" s="620">
        <f>SUM(Waterfalls!CL246:CW246)</f>
        <v>0</v>
      </c>
      <c r="M241" s="620">
        <f>SUM(Waterfalls!CX246:DI246)</f>
        <v>0</v>
      </c>
      <c r="N241" s="620">
        <f>SUM(Waterfalls!DJ246:DU246)</f>
        <v>0</v>
      </c>
    </row>
    <row r="242" spans="1:14" ht="7.5" customHeight="1" thickBot="1" x14ac:dyDescent="0.35"/>
    <row r="243" spans="1:14" ht="15" thickTop="1" x14ac:dyDescent="0.3">
      <c r="A243" s="318" t="str">
        <f>Waterfalls!A248</f>
        <v>TIER 2</v>
      </c>
      <c r="B243" s="635"/>
      <c r="C243" s="716"/>
      <c r="D243" s="322"/>
      <c r="E243" s="322"/>
      <c r="F243" s="322"/>
      <c r="G243" s="322"/>
      <c r="H243" s="322"/>
      <c r="I243" s="322"/>
      <c r="J243" s="322"/>
      <c r="K243" s="322"/>
      <c r="L243" s="322"/>
      <c r="M243" s="322"/>
      <c r="N243" s="322"/>
    </row>
    <row r="244" spans="1:14" x14ac:dyDescent="0.3">
      <c r="A244" s="182" t="str">
        <f>Waterfalls!A249</f>
        <v>LP Tier 1 Cash Flows</v>
      </c>
      <c r="B244" s="182"/>
      <c r="C244" s="182"/>
      <c r="D244" s="408">
        <f ca="1">Waterfalls!E249</f>
        <v>-1684806.2553703375</v>
      </c>
      <c r="E244" s="408">
        <f ca="1">SUM(Waterfalls!F249:Q249)</f>
        <v>-29888841.603211943</v>
      </c>
      <c r="F244" s="408">
        <f ca="1">SUM(Waterfalls!R249:AC249)</f>
        <v>39701.726541082207</v>
      </c>
      <c r="G244" s="408">
        <f ca="1">SUM(Waterfalls!AD249:AO249)</f>
        <v>39552291.463638082</v>
      </c>
      <c r="H244" s="408">
        <f>SUM(Waterfalls!AP249:BA249)</f>
        <v>0</v>
      </c>
      <c r="I244" s="408">
        <f>SUM(Waterfalls!BB249:BM249)</f>
        <v>0</v>
      </c>
      <c r="J244" s="408">
        <f>SUM(Waterfalls!BN249:BY249)</f>
        <v>0</v>
      </c>
      <c r="K244" s="408">
        <f>SUM(Waterfalls!BZ249:CK249)</f>
        <v>0</v>
      </c>
      <c r="L244" s="408">
        <f>SUM(Waterfalls!CL249:CW249)</f>
        <v>0</v>
      </c>
      <c r="M244" s="408">
        <f>SUM(Waterfalls!CX249:DI249)</f>
        <v>0</v>
      </c>
      <c r="N244" s="408">
        <f>SUM(Waterfalls!DJ249:DU249)</f>
        <v>0</v>
      </c>
    </row>
    <row r="245" spans="1:14" x14ac:dyDescent="0.3">
      <c r="A245" s="182" t="str">
        <f>Waterfalls!A253</f>
        <v>LP Tier 2 Promote</v>
      </c>
      <c r="B245" s="182"/>
      <c r="C245" s="182"/>
      <c r="D245" s="407">
        <f ca="1">Waterfalls!E253</f>
        <v>0</v>
      </c>
      <c r="E245" s="407">
        <f ca="1">SUM(Waterfalls!F253:Q253)</f>
        <v>0</v>
      </c>
      <c r="F245" s="407">
        <f ca="1">SUM(Waterfalls!R253:AC253)</f>
        <v>0</v>
      </c>
      <c r="G245" s="407">
        <f ca="1">SUM(Waterfalls!AD253:AO253)</f>
        <v>2152802.7996730176</v>
      </c>
      <c r="H245" s="407">
        <f ca="1">SUM(Waterfalls!AP253:BA253)</f>
        <v>0</v>
      </c>
      <c r="I245" s="407">
        <f ca="1">SUM(Waterfalls!BB253:BM253)</f>
        <v>0</v>
      </c>
      <c r="J245" s="407">
        <f ca="1">SUM(Waterfalls!BN253:BY253)</f>
        <v>0</v>
      </c>
      <c r="K245" s="407">
        <f ca="1">SUM(Waterfalls!BZ253:CK253)</f>
        <v>0</v>
      </c>
      <c r="L245" s="407">
        <f ca="1">SUM(Waterfalls!CL253:CW253)</f>
        <v>0</v>
      </c>
      <c r="M245" s="407">
        <f ca="1">SUM(Waterfalls!CX253:DI253)</f>
        <v>0</v>
      </c>
      <c r="N245" s="407">
        <f ca="1">SUM(Waterfalls!DJ253:DU253)</f>
        <v>0</v>
      </c>
    </row>
    <row r="246" spans="1:14" ht="15" thickBot="1" x14ac:dyDescent="0.35">
      <c r="A246" s="436" t="str">
        <f>Waterfalls!A254</f>
        <v>LP Tier 2 Cash Flows</v>
      </c>
      <c r="B246" s="436"/>
      <c r="C246" s="720" t="str">
        <f ca="1">Waterfalls!C254</f>
        <v>15.00%/1.32x</v>
      </c>
      <c r="D246" s="433">
        <f ca="1">Waterfalls!E254</f>
        <v>-1684806.2553703375</v>
      </c>
      <c r="E246" s="433">
        <f ca="1">SUM(Waterfalls!F254:Q254)</f>
        <v>-29888841.603211943</v>
      </c>
      <c r="F246" s="433">
        <f ca="1">SUM(Waterfalls!R254:AC254)</f>
        <v>39701.726541082207</v>
      </c>
      <c r="G246" s="433">
        <f ca="1">SUM(Waterfalls!AD254:AO254)</f>
        <v>41705094.263311103</v>
      </c>
      <c r="H246" s="433">
        <f ca="1">SUM(Waterfalls!AP254:BA254)</f>
        <v>0</v>
      </c>
      <c r="I246" s="433">
        <f ca="1">SUM(Waterfalls!BB254:BM254)</f>
        <v>0</v>
      </c>
      <c r="J246" s="433">
        <f ca="1">SUM(Waterfalls!BN254:BY254)</f>
        <v>0</v>
      </c>
      <c r="K246" s="433">
        <f ca="1">SUM(Waterfalls!BZ254:CK254)</f>
        <v>0</v>
      </c>
      <c r="L246" s="433">
        <f ca="1">SUM(Waterfalls!CL254:CW254)</f>
        <v>0</v>
      </c>
      <c r="M246" s="433">
        <f ca="1">SUM(Waterfalls!CX254:DI254)</f>
        <v>0</v>
      </c>
      <c r="N246" s="433">
        <f ca="1">SUM(Waterfalls!DJ254:DU254)</f>
        <v>0</v>
      </c>
    </row>
    <row r="247" spans="1:14" ht="7.5" customHeight="1" thickTop="1" x14ac:dyDescent="0.3"/>
    <row r="248" spans="1:14" x14ac:dyDescent="0.3">
      <c r="A248" s="182" t="str">
        <f>Waterfalls!A256</f>
        <v>LP Tier 2 Promote</v>
      </c>
      <c r="B248" s="182"/>
      <c r="C248" s="400">
        <f>Waterfalls!C256</f>
        <v>0.6</v>
      </c>
      <c r="D248" s="408">
        <f>Waterfalls!E256</f>
        <v>0</v>
      </c>
      <c r="E248" s="408">
        <f>SUM(Waterfalls!F256:Q256)</f>
        <v>0</v>
      </c>
      <c r="F248" s="408">
        <f>SUM(Waterfalls!R256:AC256)</f>
        <v>0</v>
      </c>
      <c r="G248" s="408">
        <f ca="1">SUM(Waterfalls!AD256:AO256)</f>
        <v>2152802.7996730208</v>
      </c>
      <c r="H248" s="408">
        <f>SUM(Waterfalls!AP256:BA256)</f>
        <v>0</v>
      </c>
      <c r="I248" s="408">
        <f>SUM(Waterfalls!BB256:BM256)</f>
        <v>0</v>
      </c>
      <c r="J248" s="408">
        <f>SUM(Waterfalls!BN256:BY256)</f>
        <v>0</v>
      </c>
      <c r="K248" s="408">
        <f>SUM(Waterfalls!BZ256:CK256)</f>
        <v>0</v>
      </c>
      <c r="L248" s="408">
        <f>SUM(Waterfalls!CL256:CW256)</f>
        <v>0</v>
      </c>
      <c r="M248" s="408">
        <f>SUM(Waterfalls!CX256:DI256)</f>
        <v>0</v>
      </c>
      <c r="N248" s="408">
        <f>SUM(Waterfalls!DJ256:DU256)</f>
        <v>0</v>
      </c>
    </row>
    <row r="249" spans="1:14" x14ac:dyDescent="0.3">
      <c r="A249" s="182" t="str">
        <f>Waterfalls!A257</f>
        <v>Quarterra Tier 2 Promote</v>
      </c>
      <c r="B249" s="182"/>
      <c r="C249" s="400">
        <f>Waterfalls!C257</f>
        <v>0.4</v>
      </c>
      <c r="D249" s="407">
        <f>Waterfalls!E257</f>
        <v>0</v>
      </c>
      <c r="E249" s="407">
        <f>SUM(Waterfalls!F257:Q257)</f>
        <v>0</v>
      </c>
      <c r="F249" s="407">
        <f>SUM(Waterfalls!R257:AC257)</f>
        <v>0</v>
      </c>
      <c r="G249" s="407">
        <f ca="1">SUM(Waterfalls!AD257:AO257)</f>
        <v>1435201.8664486809</v>
      </c>
      <c r="H249" s="407">
        <f>SUM(Waterfalls!AP257:BA257)</f>
        <v>0</v>
      </c>
      <c r="I249" s="407">
        <f>SUM(Waterfalls!BB257:BM257)</f>
        <v>0</v>
      </c>
      <c r="J249" s="407">
        <f>SUM(Waterfalls!BN257:BY257)</f>
        <v>0</v>
      </c>
      <c r="K249" s="407">
        <f>SUM(Waterfalls!BZ257:CK257)</f>
        <v>0</v>
      </c>
      <c r="L249" s="407">
        <f>SUM(Waterfalls!CL257:CW257)</f>
        <v>0</v>
      </c>
      <c r="M249" s="407">
        <f>SUM(Waterfalls!CX257:DI257)</f>
        <v>0</v>
      </c>
      <c r="N249" s="407">
        <f>SUM(Waterfalls!DJ257:DU257)</f>
        <v>0</v>
      </c>
    </row>
    <row r="250" spans="1:14" x14ac:dyDescent="0.3">
      <c r="A250" s="477" t="str">
        <f>Waterfalls!A258</f>
        <v>LAND Tier 2 Promote</v>
      </c>
      <c r="B250" s="477"/>
      <c r="C250" s="721">
        <f>Waterfalls!C258</f>
        <v>0</v>
      </c>
      <c r="D250" s="705">
        <f>Waterfalls!E258</f>
        <v>0</v>
      </c>
      <c r="E250" s="705">
        <f>SUM(Waterfalls!F258:Q258)</f>
        <v>0</v>
      </c>
      <c r="F250" s="705">
        <f>SUM(Waterfalls!R258:AC258)</f>
        <v>0</v>
      </c>
      <c r="G250" s="705">
        <f ca="1">SUM(Waterfalls!AD258:AO258)</f>
        <v>0</v>
      </c>
      <c r="H250" s="705">
        <f>SUM(Waterfalls!AP258:BA258)</f>
        <v>0</v>
      </c>
      <c r="I250" s="705">
        <f>SUM(Waterfalls!BB258:BM258)</f>
        <v>0</v>
      </c>
      <c r="J250" s="705">
        <f>SUM(Waterfalls!BN258:BY258)</f>
        <v>0</v>
      </c>
      <c r="K250" s="705">
        <f>SUM(Waterfalls!BZ258:CK258)</f>
        <v>0</v>
      </c>
      <c r="L250" s="705">
        <f>SUM(Waterfalls!CL258:CW258)</f>
        <v>0</v>
      </c>
      <c r="M250" s="705">
        <f>SUM(Waterfalls!CX258:DI258)</f>
        <v>0</v>
      </c>
      <c r="N250" s="705">
        <f>SUM(Waterfalls!DJ258:DU258)</f>
        <v>0</v>
      </c>
    </row>
    <row r="251" spans="1:14" x14ac:dyDescent="0.3">
      <c r="A251" s="182" t="str">
        <f>Waterfalls!A259</f>
        <v>Total Tier 2 Distribution</v>
      </c>
      <c r="B251" s="182"/>
      <c r="C251" s="182"/>
      <c r="D251" s="620">
        <f>Waterfalls!E259</f>
        <v>0</v>
      </c>
      <c r="E251" s="620">
        <f>SUM(Waterfalls!F259:Q259)</f>
        <v>0</v>
      </c>
      <c r="F251" s="620">
        <f>SUM(Waterfalls!R259:AC259)</f>
        <v>0</v>
      </c>
      <c r="G251" s="620">
        <f ca="1">SUM(Waterfalls!AD259:AO259)</f>
        <v>3588004.6661217017</v>
      </c>
      <c r="H251" s="620">
        <f>SUM(Waterfalls!AP259:BA259)</f>
        <v>0</v>
      </c>
      <c r="I251" s="620">
        <f>SUM(Waterfalls!BB259:BM259)</f>
        <v>0</v>
      </c>
      <c r="J251" s="620">
        <f>SUM(Waterfalls!BN259:BY259)</f>
        <v>0</v>
      </c>
      <c r="K251" s="620">
        <f>SUM(Waterfalls!BZ259:CK259)</f>
        <v>0</v>
      </c>
      <c r="L251" s="620">
        <f>SUM(Waterfalls!CL259:CW259)</f>
        <v>0</v>
      </c>
      <c r="M251" s="620">
        <f>SUM(Waterfalls!CX259:DI259)</f>
        <v>0</v>
      </c>
      <c r="N251" s="620">
        <f>SUM(Waterfalls!DJ259:DU259)</f>
        <v>0</v>
      </c>
    </row>
    <row r="252" spans="1:14" ht="7.5" customHeight="1" thickBot="1" x14ac:dyDescent="0.35"/>
    <row r="253" spans="1:14" ht="15" thickTop="1" x14ac:dyDescent="0.3">
      <c r="A253" s="318" t="str">
        <f>Waterfalls!A261</f>
        <v>TIER 3</v>
      </c>
      <c r="B253" s="635"/>
      <c r="C253" s="716"/>
      <c r="D253" s="322"/>
      <c r="E253" s="322"/>
      <c r="F253" s="322"/>
      <c r="G253" s="322"/>
      <c r="H253" s="322"/>
      <c r="I253" s="322"/>
      <c r="J253" s="322"/>
      <c r="K253" s="322"/>
      <c r="L253" s="322"/>
      <c r="M253" s="322"/>
      <c r="N253" s="322"/>
    </row>
    <row r="254" spans="1:14" x14ac:dyDescent="0.3">
      <c r="A254" s="182" t="str">
        <f>Waterfalls!A262</f>
        <v>LP Tier 2 Cash Flows</v>
      </c>
      <c r="B254" s="182"/>
      <c r="C254" s="182"/>
      <c r="D254" s="408">
        <f ca="1">Waterfalls!E262</f>
        <v>-1684806.2553703375</v>
      </c>
      <c r="E254" s="408">
        <f ca="1">SUM(Waterfalls!F262:Q262)</f>
        <v>-29888841.603211943</v>
      </c>
      <c r="F254" s="408">
        <f ca="1">SUM(Waterfalls!R262:AC262)</f>
        <v>39701.726541082207</v>
      </c>
      <c r="G254" s="408">
        <f ca="1">SUM(Waterfalls!AD262:AO262)</f>
        <v>41705094.263311103</v>
      </c>
      <c r="H254" s="408">
        <f ca="1">SUM(Waterfalls!AP262:BA262)</f>
        <v>0</v>
      </c>
      <c r="I254" s="408">
        <f ca="1">SUM(Waterfalls!BB262:BM262)</f>
        <v>0</v>
      </c>
      <c r="J254" s="408">
        <f ca="1">SUM(Waterfalls!BN262:BY262)</f>
        <v>0</v>
      </c>
      <c r="K254" s="408">
        <f ca="1">SUM(Waterfalls!BZ262:CK262)</f>
        <v>0</v>
      </c>
      <c r="L254" s="408">
        <f ca="1">SUM(Waterfalls!CL262:CW262)</f>
        <v>0</v>
      </c>
      <c r="M254" s="408">
        <f ca="1">SUM(Waterfalls!CX262:DI262)</f>
        <v>0</v>
      </c>
      <c r="N254" s="408">
        <f ca="1">SUM(Waterfalls!DJ262:DU262)</f>
        <v>0</v>
      </c>
    </row>
    <row r="255" spans="1:14" x14ac:dyDescent="0.3">
      <c r="A255" s="182" t="str">
        <f>Waterfalls!A266</f>
        <v>LP Tier 3 Promote</v>
      </c>
      <c r="B255" s="182"/>
      <c r="C255" s="182"/>
      <c r="D255" s="407">
        <f ca="1">Waterfalls!E266</f>
        <v>0</v>
      </c>
      <c r="E255" s="407">
        <f ca="1">SUM(Waterfalls!F266:Q266)</f>
        <v>0</v>
      </c>
      <c r="F255" s="407">
        <f ca="1">SUM(Waterfalls!R266:AC266)</f>
        <v>0</v>
      </c>
      <c r="G255" s="407">
        <f ca="1">SUM(Waterfalls!AD266:AO266)</f>
        <v>3720655.6855863244</v>
      </c>
      <c r="H255" s="407">
        <f ca="1">SUM(Waterfalls!AP266:BA266)</f>
        <v>0</v>
      </c>
      <c r="I255" s="407">
        <f ca="1">SUM(Waterfalls!BB266:BM266)</f>
        <v>0</v>
      </c>
      <c r="J255" s="407">
        <f ca="1">SUM(Waterfalls!BN266:BY266)</f>
        <v>0</v>
      </c>
      <c r="K255" s="407">
        <f ca="1">SUM(Waterfalls!BZ266:CK266)</f>
        <v>0</v>
      </c>
      <c r="L255" s="407">
        <f ca="1">SUM(Waterfalls!CL266:CW266)</f>
        <v>0</v>
      </c>
      <c r="M255" s="407">
        <f ca="1">SUM(Waterfalls!CX266:DI266)</f>
        <v>0</v>
      </c>
      <c r="N255" s="407">
        <f ca="1">SUM(Waterfalls!DJ266:DU266)</f>
        <v>0</v>
      </c>
    </row>
    <row r="256" spans="1:14" ht="15" thickBot="1" x14ac:dyDescent="0.35">
      <c r="A256" s="436" t="str">
        <f>Waterfalls!A267</f>
        <v>LP Tier 3 Cash Flows</v>
      </c>
      <c r="B256" s="436"/>
      <c r="C256" s="720" t="str">
        <f ca="1">Waterfalls!C267</f>
        <v>20.00%/1.44x</v>
      </c>
      <c r="D256" s="433">
        <f ca="1">Waterfalls!E267</f>
        <v>-1684806.2553703375</v>
      </c>
      <c r="E256" s="433">
        <f ca="1">SUM(Waterfalls!F267:Q267)</f>
        <v>-29888841.603211943</v>
      </c>
      <c r="F256" s="433">
        <f ca="1">SUM(Waterfalls!R267:AC267)</f>
        <v>39701.726541082207</v>
      </c>
      <c r="G256" s="433">
        <f ca="1">SUM(Waterfalls!AD267:AO267)</f>
        <v>45425749.948897429</v>
      </c>
      <c r="H256" s="433">
        <f ca="1">SUM(Waterfalls!AP267:BA267)</f>
        <v>0</v>
      </c>
      <c r="I256" s="433">
        <f ca="1">SUM(Waterfalls!BB267:BM267)</f>
        <v>0</v>
      </c>
      <c r="J256" s="433">
        <f ca="1">SUM(Waterfalls!BN267:BY267)</f>
        <v>0</v>
      </c>
      <c r="K256" s="433">
        <f ca="1">SUM(Waterfalls!BZ267:CK267)</f>
        <v>0</v>
      </c>
      <c r="L256" s="433">
        <f ca="1">SUM(Waterfalls!CL267:CW267)</f>
        <v>0</v>
      </c>
      <c r="M256" s="433">
        <f ca="1">SUM(Waterfalls!CX267:DI267)</f>
        <v>0</v>
      </c>
      <c r="N256" s="433">
        <f ca="1">SUM(Waterfalls!DJ267:DU267)</f>
        <v>0</v>
      </c>
    </row>
    <row r="257" spans="1:139" ht="7.5" customHeight="1" thickTop="1" x14ac:dyDescent="0.3"/>
    <row r="258" spans="1:139" x14ac:dyDescent="0.3">
      <c r="A258" s="182" t="str">
        <f>Waterfalls!A269</f>
        <v>LP Tier 3 Distribution</v>
      </c>
      <c r="B258" s="182"/>
      <c r="C258" s="400">
        <f>Waterfalls!C269</f>
        <v>0.5</v>
      </c>
      <c r="D258" s="408">
        <f>Waterfalls!E269</f>
        <v>0</v>
      </c>
      <c r="E258" s="408">
        <f>SUM(Waterfalls!F269:Q269)</f>
        <v>0</v>
      </c>
      <c r="F258" s="408">
        <f>SUM(Waterfalls!R269:AC269)</f>
        <v>0</v>
      </c>
      <c r="G258" s="408">
        <f ca="1">SUM(Waterfalls!AD269:AO269)</f>
        <v>3720655.6855863258</v>
      </c>
      <c r="H258" s="408">
        <f>SUM(Waterfalls!AP269:BA269)</f>
        <v>0</v>
      </c>
      <c r="I258" s="408">
        <f>SUM(Waterfalls!BB269:BM269)</f>
        <v>0</v>
      </c>
      <c r="J258" s="408">
        <f>SUM(Waterfalls!BN269:BY269)</f>
        <v>0</v>
      </c>
      <c r="K258" s="408">
        <f>SUM(Waterfalls!BZ269:CK269)</f>
        <v>0</v>
      </c>
      <c r="L258" s="408">
        <f>SUM(Waterfalls!CL269:CW269)</f>
        <v>0</v>
      </c>
      <c r="M258" s="408">
        <f>SUM(Waterfalls!CX269:DI269)</f>
        <v>0</v>
      </c>
      <c r="N258" s="408">
        <f>SUM(Waterfalls!DJ269:DU269)</f>
        <v>0</v>
      </c>
    </row>
    <row r="259" spans="1:139" x14ac:dyDescent="0.3">
      <c r="A259" s="182" t="str">
        <f>Waterfalls!A270</f>
        <v>Quarterra Tier 3 Distribution</v>
      </c>
      <c r="B259" s="182"/>
      <c r="C259" s="400">
        <f>Waterfalls!C270</f>
        <v>0.5</v>
      </c>
      <c r="D259" s="407">
        <f>Waterfalls!E270</f>
        <v>0</v>
      </c>
      <c r="E259" s="407">
        <f>SUM(Waterfalls!F270:Q270)</f>
        <v>0</v>
      </c>
      <c r="F259" s="407">
        <f>SUM(Waterfalls!R270:AC270)</f>
        <v>0</v>
      </c>
      <c r="G259" s="407">
        <f ca="1">SUM(Waterfalls!AD270:AO270)</f>
        <v>3720655.6855863258</v>
      </c>
      <c r="H259" s="407">
        <f>SUM(Waterfalls!AP270:BA270)</f>
        <v>0</v>
      </c>
      <c r="I259" s="407">
        <f>SUM(Waterfalls!BB270:BM270)</f>
        <v>0</v>
      </c>
      <c r="J259" s="407">
        <f>SUM(Waterfalls!BN270:BY270)</f>
        <v>0</v>
      </c>
      <c r="K259" s="407">
        <f>SUM(Waterfalls!BZ270:CK270)</f>
        <v>0</v>
      </c>
      <c r="L259" s="407">
        <f>SUM(Waterfalls!CL270:CW270)</f>
        <v>0</v>
      </c>
      <c r="M259" s="407">
        <f>SUM(Waterfalls!CX270:DI270)</f>
        <v>0</v>
      </c>
      <c r="N259" s="407">
        <f>SUM(Waterfalls!DJ270:DU270)</f>
        <v>0</v>
      </c>
    </row>
    <row r="260" spans="1:139" x14ac:dyDescent="0.3">
      <c r="A260" s="477" t="str">
        <f>Waterfalls!A271</f>
        <v>LAND Tier 3 Distribution</v>
      </c>
      <c r="B260" s="477"/>
      <c r="C260" s="721">
        <f>Waterfalls!C271</f>
        <v>0</v>
      </c>
      <c r="D260" s="705">
        <f>Waterfalls!E271</f>
        <v>0</v>
      </c>
      <c r="E260" s="705">
        <f>SUM(Waterfalls!F271:Q271)</f>
        <v>0</v>
      </c>
      <c r="F260" s="705">
        <f>SUM(Waterfalls!R271:AC271)</f>
        <v>0</v>
      </c>
      <c r="G260" s="705">
        <f ca="1">SUM(Waterfalls!AD271:AO271)</f>
        <v>0</v>
      </c>
      <c r="H260" s="705">
        <f>SUM(Waterfalls!AP271:BA271)</f>
        <v>0</v>
      </c>
      <c r="I260" s="705">
        <f>SUM(Waterfalls!BB271:BM271)</f>
        <v>0</v>
      </c>
      <c r="J260" s="705">
        <f>SUM(Waterfalls!BN271:BY271)</f>
        <v>0</v>
      </c>
      <c r="K260" s="705">
        <f>SUM(Waterfalls!BZ271:CK271)</f>
        <v>0</v>
      </c>
      <c r="L260" s="705">
        <f>SUM(Waterfalls!CL271:CW271)</f>
        <v>0</v>
      </c>
      <c r="M260" s="705">
        <f>SUM(Waterfalls!CX271:DI271)</f>
        <v>0</v>
      </c>
      <c r="N260" s="705">
        <f>SUM(Waterfalls!DJ271:DU271)</f>
        <v>0</v>
      </c>
    </row>
    <row r="261" spans="1:139" x14ac:dyDescent="0.3">
      <c r="A261" s="182" t="str">
        <f>Waterfalls!A272</f>
        <v>Total Tier 3 Distribution</v>
      </c>
      <c r="B261" s="182"/>
      <c r="C261" s="182"/>
      <c r="D261" s="620">
        <f>Waterfalls!E272</f>
        <v>0</v>
      </c>
      <c r="E261" s="620">
        <f>SUM(Waterfalls!F272:Q272)</f>
        <v>0</v>
      </c>
      <c r="F261" s="620">
        <f>SUM(Waterfalls!R272:AC272)</f>
        <v>0</v>
      </c>
      <c r="G261" s="620">
        <f ca="1">SUM(Waterfalls!AD272:AO272)</f>
        <v>7441311.3711726516</v>
      </c>
      <c r="H261" s="620">
        <f>SUM(Waterfalls!AP272:BA272)</f>
        <v>0</v>
      </c>
      <c r="I261" s="620">
        <f>SUM(Waterfalls!BB272:BM272)</f>
        <v>0</v>
      </c>
      <c r="J261" s="620">
        <f>SUM(Waterfalls!BN272:BY272)</f>
        <v>0</v>
      </c>
      <c r="K261" s="620">
        <f>SUM(Waterfalls!BZ272:CK272)</f>
        <v>0</v>
      </c>
      <c r="L261" s="620">
        <f>SUM(Waterfalls!CL272:CW272)</f>
        <v>0</v>
      </c>
      <c r="M261" s="620">
        <f>SUM(Waterfalls!CX272:DI272)</f>
        <v>0</v>
      </c>
      <c r="N261" s="620">
        <f>SUM(Waterfalls!DJ272:DU272)</f>
        <v>0</v>
      </c>
    </row>
    <row r="262" spans="1:139" ht="7.5" customHeight="1" thickBot="1" x14ac:dyDescent="0.35"/>
    <row r="263" spans="1:139" ht="15" thickTop="1" x14ac:dyDescent="0.3">
      <c r="A263" s="318" t="str">
        <f>Waterfalls!A274</f>
        <v>RESIDUAL</v>
      </c>
      <c r="B263" s="635"/>
      <c r="C263" s="716"/>
      <c r="D263" s="322"/>
      <c r="E263" s="322"/>
      <c r="F263" s="322"/>
      <c r="G263" s="322"/>
      <c r="H263" s="322"/>
      <c r="I263" s="322"/>
      <c r="J263" s="322"/>
      <c r="K263" s="322"/>
      <c r="L263" s="322"/>
      <c r="M263" s="322"/>
      <c r="N263" s="322"/>
    </row>
    <row r="264" spans="1:139" ht="15" thickBot="1" x14ac:dyDescent="0.35">
      <c r="A264" s="436" t="str">
        <f>Waterfalls!A275</f>
        <v>Residual IRR/Cash Flows</v>
      </c>
      <c r="B264" s="436"/>
      <c r="C264" s="720" t="str">
        <f ca="1">Waterfalls!C275</f>
        <v>30.59%/1.79x</v>
      </c>
      <c r="D264" s="433">
        <f ca="1">Waterfalls!E275</f>
        <v>-1872006.950411486</v>
      </c>
      <c r="E264" s="433">
        <f ca="1">SUM(Waterfalls!F275:Q275)</f>
        <v>-33209824.003568824</v>
      </c>
      <c r="F264" s="433">
        <f ca="1">SUM(Waterfalls!R275:AC275)</f>
        <v>44113.029490091343</v>
      </c>
      <c r="G264" s="433">
        <f ca="1">SUM(Waterfalls!AD275:AO275)</f>
        <v>59838829.411738515</v>
      </c>
      <c r="H264" s="433">
        <f>SUM(Waterfalls!AP275:BA275)</f>
        <v>0</v>
      </c>
      <c r="I264" s="433">
        <f>SUM(Waterfalls!BB275:BM275)</f>
        <v>0</v>
      </c>
      <c r="J264" s="433">
        <f>SUM(Waterfalls!BN275:BY275)</f>
        <v>0</v>
      </c>
      <c r="K264" s="433">
        <f>SUM(Waterfalls!BZ275:CK275)</f>
        <v>0</v>
      </c>
      <c r="L264" s="433">
        <f>SUM(Waterfalls!CL275:CW275)</f>
        <v>0</v>
      </c>
      <c r="M264" s="433">
        <f>SUM(Waterfalls!CX275:DI275)</f>
        <v>0</v>
      </c>
      <c r="N264" s="433">
        <f>SUM(Waterfalls!DJ275:DU275)</f>
        <v>0</v>
      </c>
      <c r="O264" s="433"/>
      <c r="P264" s="433"/>
      <c r="Q264" s="433"/>
      <c r="R264" s="433"/>
      <c r="S264" s="433"/>
      <c r="T264" s="433"/>
      <c r="U264" s="433"/>
      <c r="V264" s="433"/>
      <c r="W264" s="433"/>
      <c r="X264" s="433"/>
      <c r="Y264" s="433"/>
      <c r="Z264" s="433"/>
      <c r="AA264" s="433"/>
      <c r="AB264" s="433"/>
      <c r="AC264" s="433"/>
      <c r="AD264" s="433"/>
      <c r="AE264" s="433"/>
      <c r="AF264" s="433"/>
      <c r="AG264" s="433"/>
      <c r="AH264" s="433"/>
      <c r="AI264" s="433"/>
      <c r="AJ264" s="433"/>
      <c r="AK264" s="433"/>
      <c r="AL264" s="433"/>
      <c r="AM264" s="433"/>
      <c r="AN264" s="433"/>
      <c r="AO264" s="433"/>
      <c r="AP264" s="433"/>
      <c r="AQ264" s="433"/>
      <c r="AR264" s="433"/>
      <c r="AS264" s="433"/>
      <c r="AT264" s="433"/>
      <c r="AU264" s="433"/>
      <c r="AV264" s="433"/>
      <c r="AW264" s="433"/>
      <c r="AX264" s="433"/>
      <c r="AY264" s="433"/>
      <c r="AZ264" s="433"/>
      <c r="BA264" s="433"/>
      <c r="BB264" s="433"/>
      <c r="BC264" s="433"/>
      <c r="BD264" s="433"/>
      <c r="BE264" s="433"/>
      <c r="BF264" s="433"/>
      <c r="BG264" s="433"/>
      <c r="BH264" s="433"/>
      <c r="BI264" s="433"/>
      <c r="BJ264" s="433"/>
      <c r="BK264" s="433"/>
      <c r="BL264" s="433"/>
      <c r="BM264" s="433"/>
      <c r="BN264" s="433"/>
      <c r="BO264" s="433"/>
      <c r="BP264" s="433"/>
      <c r="BQ264" s="433"/>
      <c r="BR264" s="433"/>
      <c r="BS264" s="433"/>
      <c r="BT264" s="433"/>
      <c r="BU264" s="433"/>
      <c r="BV264" s="433"/>
      <c r="BW264" s="433"/>
      <c r="BX264" s="433"/>
      <c r="BY264" s="433"/>
      <c r="BZ264" s="433"/>
      <c r="CA264" s="433"/>
      <c r="CB264" s="433"/>
      <c r="CC264" s="433"/>
      <c r="CD264" s="433"/>
      <c r="CE264" s="433"/>
      <c r="CF264" s="433"/>
      <c r="CG264" s="433"/>
      <c r="CH264" s="433"/>
      <c r="CI264" s="433"/>
      <c r="CJ264" s="433"/>
      <c r="CK264" s="433"/>
      <c r="CL264" s="433"/>
      <c r="CM264" s="433"/>
      <c r="CN264" s="433"/>
      <c r="CO264" s="433"/>
      <c r="CP264" s="433"/>
      <c r="CQ264" s="433"/>
      <c r="CR264" s="433"/>
      <c r="CS264" s="433"/>
      <c r="CT264" s="433"/>
      <c r="CU264" s="433"/>
      <c r="CV264" s="433"/>
      <c r="CW264" s="433"/>
      <c r="CX264" s="433"/>
      <c r="CY264" s="433"/>
      <c r="CZ264" s="433"/>
      <c r="DA264" s="433"/>
      <c r="DB264" s="433"/>
      <c r="DC264" s="433"/>
      <c r="DD264" s="433"/>
      <c r="DE264" s="433"/>
      <c r="DF264" s="433"/>
      <c r="DG264" s="433"/>
      <c r="DH264" s="433"/>
      <c r="DI264" s="433"/>
      <c r="DJ264" s="433"/>
      <c r="DK264" s="433"/>
      <c r="DL264" s="433"/>
      <c r="DM264" s="433"/>
      <c r="DN264" s="433"/>
      <c r="DO264" s="433"/>
      <c r="DP264" s="433"/>
      <c r="DQ264" s="433"/>
      <c r="DR264" s="433"/>
      <c r="DS264" s="433"/>
      <c r="DT264" s="433"/>
      <c r="DU264" s="433"/>
      <c r="EI264" s="280"/>
    </row>
    <row r="265" spans="1:139" ht="7.5" customHeight="1" thickTop="1" x14ac:dyDescent="0.3">
      <c r="C265" s="198"/>
      <c r="EI265" s="722"/>
    </row>
    <row r="266" spans="1:139" x14ac:dyDescent="0.3">
      <c r="A266" s="182" t="str">
        <f>Waterfalls!A277</f>
        <v>LP Residual Distribution</v>
      </c>
      <c r="B266" s="182"/>
      <c r="C266" s="400">
        <f>Waterfalls!C277</f>
        <v>0.4</v>
      </c>
      <c r="D266" s="408">
        <f>Waterfalls!E277</f>
        <v>0</v>
      </c>
      <c r="E266" s="408">
        <f>SUM(Waterfalls!F277:Q277)</f>
        <v>0</v>
      </c>
      <c r="F266" s="408">
        <f>SUM(Waterfalls!R277:AC277)</f>
        <v>0</v>
      </c>
      <c r="G266" s="408">
        <f ca="1">SUM(Waterfalls!AD277:AO277)</f>
        <v>1761401.0637349337</v>
      </c>
      <c r="H266" s="408">
        <f>SUM(Waterfalls!AP277:BA277)</f>
        <v>0</v>
      </c>
      <c r="I266" s="408">
        <f>SUM(Waterfalls!BB277:BM277)</f>
        <v>0</v>
      </c>
      <c r="J266" s="408">
        <f>SUM(Waterfalls!BN277:BY277)</f>
        <v>0</v>
      </c>
      <c r="K266" s="408">
        <f>SUM(Waterfalls!BZ277:CK277)</f>
        <v>0</v>
      </c>
      <c r="L266" s="408">
        <f>SUM(Waterfalls!CL277:CW277)</f>
        <v>0</v>
      </c>
      <c r="M266" s="408">
        <f>SUM(Waterfalls!CX277:DI277)</f>
        <v>0</v>
      </c>
      <c r="N266" s="408">
        <f>SUM(Waterfalls!DJ277:DU277)</f>
        <v>0</v>
      </c>
      <c r="O266" s="408"/>
      <c r="P266" s="408"/>
      <c r="Q266" s="408"/>
      <c r="R266" s="408"/>
      <c r="S266" s="408"/>
      <c r="T266" s="408"/>
      <c r="U266" s="408"/>
      <c r="V266" s="408"/>
      <c r="W266" s="408"/>
      <c r="X266" s="408"/>
      <c r="Y266" s="408"/>
      <c r="Z266" s="408"/>
      <c r="AA266" s="408"/>
      <c r="AB266" s="408"/>
      <c r="AC266" s="408"/>
      <c r="AD266" s="408"/>
      <c r="AE266" s="408"/>
      <c r="AF266" s="408"/>
      <c r="AG266" s="408"/>
      <c r="AH266" s="408"/>
      <c r="AI266" s="408"/>
      <c r="AJ266" s="408"/>
      <c r="AK266" s="408"/>
      <c r="AL266" s="408"/>
      <c r="AM266" s="408"/>
      <c r="AN266" s="408"/>
      <c r="AO266" s="408"/>
      <c r="AP266" s="408"/>
      <c r="AQ266" s="408"/>
      <c r="AR266" s="408"/>
      <c r="AS266" s="408"/>
      <c r="AT266" s="408"/>
      <c r="AU266" s="408"/>
      <c r="AV266" s="408"/>
      <c r="AW266" s="408"/>
      <c r="AX266" s="408"/>
      <c r="AY266" s="408"/>
      <c r="AZ266" s="408"/>
      <c r="BA266" s="408"/>
      <c r="BB266" s="408"/>
      <c r="BC266" s="408"/>
      <c r="BD266" s="408"/>
      <c r="BE266" s="408"/>
      <c r="BF266" s="408"/>
      <c r="BG266" s="408"/>
      <c r="BH266" s="408"/>
      <c r="BI266" s="408"/>
      <c r="BJ266" s="408"/>
      <c r="BK266" s="408"/>
      <c r="BL266" s="408"/>
      <c r="BM266" s="408"/>
      <c r="BN266" s="408"/>
      <c r="BO266" s="408"/>
      <c r="BP266" s="408"/>
      <c r="BQ266" s="408"/>
      <c r="BR266" s="408"/>
      <c r="BS266" s="408"/>
      <c r="BT266" s="408"/>
      <c r="BU266" s="408"/>
      <c r="BV266" s="408"/>
      <c r="BW266" s="408"/>
      <c r="BX266" s="408"/>
      <c r="BY266" s="408"/>
      <c r="BZ266" s="408"/>
      <c r="CA266" s="408"/>
      <c r="CB266" s="408"/>
      <c r="CC266" s="408"/>
      <c r="CD266" s="408"/>
      <c r="CE266" s="408"/>
      <c r="CF266" s="408"/>
      <c r="CG266" s="408"/>
      <c r="CH266" s="408"/>
      <c r="CI266" s="408"/>
      <c r="CJ266" s="408"/>
      <c r="CK266" s="408"/>
      <c r="CL266" s="408"/>
      <c r="CM266" s="408"/>
      <c r="CN266" s="408"/>
      <c r="CO266" s="408"/>
      <c r="CP266" s="408"/>
      <c r="CQ266" s="408"/>
      <c r="CR266" s="408"/>
      <c r="CS266" s="408"/>
      <c r="CT266" s="408"/>
      <c r="CU266" s="408"/>
      <c r="CV266" s="408"/>
      <c r="CW266" s="408"/>
      <c r="CX266" s="408"/>
      <c r="CY266" s="408"/>
      <c r="CZ266" s="408"/>
      <c r="DA266" s="408"/>
      <c r="DB266" s="408"/>
      <c r="DC266" s="408"/>
      <c r="DD266" s="408"/>
      <c r="DE266" s="408"/>
      <c r="DF266" s="408"/>
      <c r="DG266" s="408"/>
      <c r="DH266" s="408"/>
      <c r="DI266" s="408"/>
      <c r="DJ266" s="408"/>
      <c r="DK266" s="408"/>
      <c r="DL266" s="408"/>
      <c r="DM266" s="408"/>
      <c r="DN266" s="408"/>
      <c r="DO266" s="408"/>
      <c r="DP266" s="408"/>
      <c r="DQ266" s="408"/>
      <c r="DR266" s="408"/>
      <c r="DS266" s="408"/>
      <c r="DT266" s="408"/>
      <c r="DU266" s="408"/>
      <c r="EI266" s="280"/>
    </row>
    <row r="267" spans="1:139" x14ac:dyDescent="0.3">
      <c r="A267" s="182" t="str">
        <f>Waterfalls!A278</f>
        <v>Quarterra Residual Distribution</v>
      </c>
      <c r="B267" s="182"/>
      <c r="C267" s="400">
        <f>Waterfalls!C278</f>
        <v>0.6</v>
      </c>
      <c r="D267" s="407">
        <f>Waterfalls!E278</f>
        <v>0</v>
      </c>
      <c r="E267" s="407">
        <f>SUM(Waterfalls!F278:Q278)</f>
        <v>0</v>
      </c>
      <c r="F267" s="407">
        <f>SUM(Waterfalls!R278:AC278)</f>
        <v>0</v>
      </c>
      <c r="G267" s="407">
        <f ca="1">SUM(Waterfalls!AD278:AO278)</f>
        <v>2642101.5956024006</v>
      </c>
      <c r="H267" s="407">
        <f>SUM(Waterfalls!AP278:BA278)</f>
        <v>0</v>
      </c>
      <c r="I267" s="407">
        <f>SUM(Waterfalls!BB278:BM278)</f>
        <v>0</v>
      </c>
      <c r="J267" s="407">
        <f>SUM(Waterfalls!BN278:BY278)</f>
        <v>0</v>
      </c>
      <c r="K267" s="407">
        <f>SUM(Waterfalls!BZ278:CK278)</f>
        <v>0</v>
      </c>
      <c r="L267" s="407">
        <f>SUM(Waterfalls!CL278:CW278)</f>
        <v>0</v>
      </c>
      <c r="M267" s="407">
        <f>SUM(Waterfalls!CX278:DI278)</f>
        <v>0</v>
      </c>
      <c r="N267" s="407">
        <f>SUM(Waterfalls!DJ278:DU278)</f>
        <v>0</v>
      </c>
      <c r="O267" s="407"/>
      <c r="P267" s="407"/>
      <c r="Q267" s="407"/>
      <c r="R267" s="407"/>
      <c r="S267" s="407"/>
      <c r="T267" s="407"/>
      <c r="U267" s="407"/>
      <c r="V267" s="407"/>
      <c r="W267" s="407"/>
      <c r="X267" s="407"/>
      <c r="Y267" s="407"/>
      <c r="Z267" s="407"/>
      <c r="AA267" s="407"/>
      <c r="AB267" s="407"/>
      <c r="AC267" s="407"/>
      <c r="AD267" s="407"/>
      <c r="AE267" s="407"/>
      <c r="AF267" s="407"/>
      <c r="AG267" s="407"/>
      <c r="AH267" s="407"/>
      <c r="AI267" s="407"/>
      <c r="AJ267" s="407"/>
      <c r="AK267" s="407"/>
      <c r="AL267" s="407"/>
      <c r="AM267" s="407"/>
      <c r="AN267" s="407"/>
      <c r="AO267" s="407"/>
      <c r="AP267" s="407"/>
      <c r="AQ267" s="407"/>
      <c r="AR267" s="407"/>
      <c r="AS267" s="407"/>
      <c r="AT267" s="407"/>
      <c r="AU267" s="407"/>
      <c r="AV267" s="407"/>
      <c r="AW267" s="407"/>
      <c r="AX267" s="407"/>
      <c r="AY267" s="407"/>
      <c r="AZ267" s="407"/>
      <c r="BA267" s="407"/>
      <c r="BB267" s="407"/>
      <c r="BC267" s="407"/>
      <c r="BD267" s="407"/>
      <c r="BE267" s="407"/>
      <c r="BF267" s="407"/>
      <c r="BG267" s="407"/>
      <c r="BH267" s="407"/>
      <c r="BI267" s="407"/>
      <c r="BJ267" s="407"/>
      <c r="BK267" s="407"/>
      <c r="BL267" s="407"/>
      <c r="BM267" s="407"/>
      <c r="BN267" s="407"/>
      <c r="BO267" s="407"/>
      <c r="BP267" s="407"/>
      <c r="BQ267" s="407"/>
      <c r="BR267" s="407"/>
      <c r="BS267" s="407"/>
      <c r="BT267" s="407"/>
      <c r="BU267" s="407"/>
      <c r="BV267" s="407"/>
      <c r="BW267" s="407"/>
      <c r="BX267" s="407"/>
      <c r="BY267" s="407"/>
      <c r="BZ267" s="407"/>
      <c r="CA267" s="407"/>
      <c r="CB267" s="407"/>
      <c r="CC267" s="407"/>
      <c r="CD267" s="407"/>
      <c r="CE267" s="407"/>
      <c r="CF267" s="407"/>
      <c r="CG267" s="407"/>
      <c r="CH267" s="407"/>
      <c r="CI267" s="407"/>
      <c r="CJ267" s="407"/>
      <c r="CK267" s="407"/>
      <c r="CL267" s="407"/>
      <c r="CM267" s="407"/>
      <c r="CN267" s="407"/>
      <c r="CO267" s="407"/>
      <c r="CP267" s="407"/>
      <c r="CQ267" s="407"/>
      <c r="CR267" s="407"/>
      <c r="CS267" s="407"/>
      <c r="CT267" s="407"/>
      <c r="CU267" s="407"/>
      <c r="CV267" s="407"/>
      <c r="CW267" s="407"/>
      <c r="CX267" s="407"/>
      <c r="CY267" s="407"/>
      <c r="CZ267" s="407"/>
      <c r="DA267" s="407"/>
      <c r="DB267" s="407"/>
      <c r="DC267" s="407"/>
      <c r="DD267" s="407"/>
      <c r="DE267" s="407"/>
      <c r="DF267" s="407"/>
      <c r="DG267" s="407"/>
      <c r="DH267" s="407"/>
      <c r="DI267" s="407"/>
      <c r="DJ267" s="407"/>
      <c r="DK267" s="407"/>
      <c r="DL267" s="407"/>
      <c r="DM267" s="407"/>
      <c r="DN267" s="407"/>
      <c r="DO267" s="407"/>
      <c r="DP267" s="407"/>
      <c r="DQ267" s="407"/>
      <c r="DR267" s="407"/>
      <c r="DS267" s="407"/>
      <c r="DT267" s="407"/>
      <c r="DU267" s="407"/>
      <c r="EI267" s="722"/>
    </row>
    <row r="268" spans="1:139" x14ac:dyDescent="0.3">
      <c r="A268" s="477" t="str">
        <f>Waterfalls!A279</f>
        <v>LAND Residual Distribution</v>
      </c>
      <c r="B268" s="477"/>
      <c r="C268" s="721">
        <f>Waterfalls!C279</f>
        <v>0</v>
      </c>
      <c r="D268" s="705">
        <f>Waterfalls!E279</f>
        <v>0</v>
      </c>
      <c r="E268" s="705">
        <f>SUM(Waterfalls!F279:Q279)</f>
        <v>0</v>
      </c>
      <c r="F268" s="705">
        <f>SUM(Waterfalls!R279:AC279)</f>
        <v>0</v>
      </c>
      <c r="G268" s="705">
        <f ca="1">SUM(Waterfalls!AD279:AO279)</f>
        <v>0</v>
      </c>
      <c r="H268" s="705">
        <f>SUM(Waterfalls!AP279:BA279)</f>
        <v>0</v>
      </c>
      <c r="I268" s="705">
        <f>SUM(Waterfalls!BB279:BM279)</f>
        <v>0</v>
      </c>
      <c r="J268" s="705">
        <f>SUM(Waterfalls!BN279:BY279)</f>
        <v>0</v>
      </c>
      <c r="K268" s="705">
        <f>SUM(Waterfalls!BZ279:CK279)</f>
        <v>0</v>
      </c>
      <c r="L268" s="705">
        <f>SUM(Waterfalls!CL279:CW279)</f>
        <v>0</v>
      </c>
      <c r="M268" s="705">
        <f>SUM(Waterfalls!CX279:DI279)</f>
        <v>0</v>
      </c>
      <c r="N268" s="705">
        <f>SUM(Waterfalls!DJ279:DU279)</f>
        <v>0</v>
      </c>
      <c r="O268" s="705"/>
      <c r="P268" s="705"/>
      <c r="Q268" s="705"/>
      <c r="R268" s="705"/>
      <c r="S268" s="705"/>
      <c r="T268" s="705"/>
      <c r="U268" s="705"/>
      <c r="V268" s="705"/>
      <c r="W268" s="705"/>
      <c r="X268" s="705"/>
      <c r="Y268" s="705"/>
      <c r="Z268" s="705"/>
      <c r="AA268" s="705"/>
      <c r="AB268" s="705"/>
      <c r="AC268" s="705"/>
      <c r="AD268" s="705"/>
      <c r="AE268" s="705"/>
      <c r="AF268" s="705"/>
      <c r="AG268" s="705"/>
      <c r="AH268" s="705"/>
      <c r="AI268" s="705"/>
      <c r="AJ268" s="705"/>
      <c r="AK268" s="705"/>
      <c r="AL268" s="705"/>
      <c r="AM268" s="705"/>
      <c r="AN268" s="705"/>
      <c r="AO268" s="705"/>
      <c r="AP268" s="705"/>
      <c r="AQ268" s="705"/>
      <c r="AR268" s="705"/>
      <c r="AS268" s="705"/>
      <c r="AT268" s="705"/>
      <c r="AU268" s="705"/>
      <c r="AV268" s="705"/>
      <c r="AW268" s="705"/>
      <c r="AX268" s="705"/>
      <c r="AY268" s="705"/>
      <c r="AZ268" s="705"/>
      <c r="BA268" s="705"/>
      <c r="BB268" s="705"/>
      <c r="BC268" s="705"/>
      <c r="BD268" s="705"/>
      <c r="BE268" s="705"/>
      <c r="BF268" s="705"/>
      <c r="BG268" s="705"/>
      <c r="BH268" s="705"/>
      <c r="BI268" s="705"/>
      <c r="BJ268" s="705"/>
      <c r="BK268" s="705"/>
      <c r="BL268" s="705"/>
      <c r="BM268" s="705"/>
      <c r="BN268" s="705"/>
      <c r="BO268" s="705"/>
      <c r="BP268" s="705"/>
      <c r="BQ268" s="705"/>
      <c r="BR268" s="705"/>
      <c r="BS268" s="705"/>
      <c r="BT268" s="705"/>
      <c r="BU268" s="705"/>
      <c r="BV268" s="705"/>
      <c r="BW268" s="705"/>
      <c r="BX268" s="705"/>
      <c r="BY268" s="705"/>
      <c r="BZ268" s="705"/>
      <c r="CA268" s="705"/>
      <c r="CB268" s="705"/>
      <c r="CC268" s="705"/>
      <c r="CD268" s="705"/>
      <c r="CE268" s="705"/>
      <c r="CF268" s="705"/>
      <c r="CG268" s="705"/>
      <c r="CH268" s="705"/>
      <c r="CI268" s="705"/>
      <c r="CJ268" s="705"/>
      <c r="CK268" s="705"/>
      <c r="CL268" s="705"/>
      <c r="CM268" s="705"/>
      <c r="CN268" s="705"/>
      <c r="CO268" s="705"/>
      <c r="CP268" s="705"/>
      <c r="CQ268" s="705"/>
      <c r="CR268" s="705"/>
      <c r="CS268" s="705"/>
      <c r="CT268" s="705"/>
      <c r="CU268" s="705"/>
      <c r="CV268" s="705"/>
      <c r="CW268" s="705"/>
      <c r="CX268" s="705"/>
      <c r="CY268" s="705"/>
      <c r="CZ268" s="705"/>
      <c r="DA268" s="705"/>
      <c r="DB268" s="705"/>
      <c r="DC268" s="705"/>
      <c r="DD268" s="705"/>
      <c r="DE268" s="705"/>
      <c r="DF268" s="705"/>
      <c r="DG268" s="705"/>
      <c r="DH268" s="705"/>
      <c r="DI268" s="705"/>
      <c r="DJ268" s="705"/>
      <c r="DK268" s="705"/>
      <c r="DL268" s="705"/>
      <c r="DM268" s="705"/>
      <c r="DN268" s="705"/>
      <c r="DO268" s="705"/>
      <c r="DP268" s="705"/>
      <c r="DQ268" s="705"/>
      <c r="DR268" s="705"/>
      <c r="DS268" s="705"/>
      <c r="DT268" s="705"/>
      <c r="DU268" s="705"/>
      <c r="EI268" s="280"/>
    </row>
    <row r="269" spans="1:139" x14ac:dyDescent="0.3">
      <c r="A269" s="182" t="str">
        <f>Waterfalls!A280</f>
        <v>Total Residual Tier Distribution</v>
      </c>
      <c r="B269" s="182"/>
      <c r="C269" s="182"/>
      <c r="D269" s="620">
        <f>Waterfalls!E280</f>
        <v>0</v>
      </c>
      <c r="E269" s="620">
        <f>SUM(Waterfalls!F280:Q280)</f>
        <v>0</v>
      </c>
      <c r="F269" s="620">
        <f>SUM(Waterfalls!R280:AC280)</f>
        <v>0</v>
      </c>
      <c r="G269" s="620">
        <f ca="1">SUM(Waterfalls!AD280:AO280)</f>
        <v>4403502.6593373343</v>
      </c>
      <c r="H269" s="620">
        <f>SUM(Waterfalls!AP280:BA280)</f>
        <v>0</v>
      </c>
      <c r="I269" s="620">
        <f>SUM(Waterfalls!BB280:BM280)</f>
        <v>0</v>
      </c>
      <c r="J269" s="620">
        <f>SUM(Waterfalls!BN280:BY280)</f>
        <v>0</v>
      </c>
      <c r="K269" s="620">
        <f>SUM(Waterfalls!BZ280:CK280)</f>
        <v>0</v>
      </c>
      <c r="L269" s="620">
        <f>SUM(Waterfalls!CL280:CW280)</f>
        <v>0</v>
      </c>
      <c r="M269" s="620">
        <f>SUM(Waterfalls!CX280:DI280)</f>
        <v>0</v>
      </c>
      <c r="N269" s="620">
        <f>SUM(Waterfalls!DJ280:DU280)</f>
        <v>0</v>
      </c>
      <c r="O269" s="620"/>
      <c r="P269" s="620"/>
      <c r="Q269" s="620"/>
      <c r="R269" s="620"/>
      <c r="S269" s="620"/>
      <c r="T269" s="620"/>
      <c r="U269" s="620"/>
      <c r="V269" s="620"/>
      <c r="W269" s="620"/>
      <c r="X269" s="620"/>
      <c r="Y269" s="620"/>
      <c r="Z269" s="620"/>
      <c r="AA269" s="620"/>
      <c r="AB269" s="620"/>
      <c r="AC269" s="620"/>
      <c r="AD269" s="620"/>
      <c r="AE269" s="620"/>
      <c r="AF269" s="620"/>
      <c r="AG269" s="620"/>
      <c r="AH269" s="620"/>
      <c r="AI269" s="620"/>
      <c r="AJ269" s="620"/>
      <c r="AK269" s="620"/>
      <c r="AL269" s="620"/>
      <c r="AM269" s="620"/>
      <c r="AN269" s="620"/>
      <c r="AO269" s="620"/>
      <c r="AP269" s="620"/>
      <c r="AQ269" s="620"/>
      <c r="AR269" s="620"/>
      <c r="AS269" s="620"/>
      <c r="AT269" s="620"/>
      <c r="AU269" s="620"/>
      <c r="AV269" s="620"/>
      <c r="AW269" s="620"/>
      <c r="AX269" s="620"/>
      <c r="AY269" s="620"/>
      <c r="AZ269" s="620"/>
      <c r="BA269" s="620"/>
      <c r="BB269" s="620"/>
      <c r="BC269" s="620"/>
      <c r="BD269" s="620"/>
      <c r="BE269" s="620"/>
      <c r="BF269" s="620"/>
      <c r="BG269" s="620"/>
      <c r="BH269" s="620"/>
      <c r="BI269" s="620"/>
      <c r="BJ269" s="620"/>
      <c r="BK269" s="620"/>
      <c r="BL269" s="620"/>
      <c r="BM269" s="620"/>
      <c r="BN269" s="620"/>
      <c r="BO269" s="620"/>
      <c r="BP269" s="620"/>
      <c r="BQ269" s="620"/>
      <c r="BR269" s="620"/>
      <c r="BS269" s="620"/>
      <c r="BT269" s="620"/>
      <c r="BU269" s="620"/>
      <c r="BV269" s="620"/>
      <c r="BW269" s="620"/>
      <c r="BX269" s="620"/>
      <c r="BY269" s="620"/>
      <c r="BZ269" s="620"/>
      <c r="CA269" s="620"/>
      <c r="CB269" s="620"/>
      <c r="CC269" s="620"/>
      <c r="CD269" s="620"/>
      <c r="CE269" s="620"/>
      <c r="CF269" s="620"/>
      <c r="CG269" s="620"/>
      <c r="CH269" s="620"/>
      <c r="CI269" s="620"/>
      <c r="CJ269" s="620"/>
      <c r="CK269" s="620"/>
      <c r="CL269" s="620"/>
      <c r="CM269" s="620"/>
      <c r="CN269" s="620"/>
      <c r="CO269" s="620"/>
      <c r="CP269" s="620"/>
      <c r="CQ269" s="620"/>
      <c r="CR269" s="620"/>
      <c r="CS269" s="620"/>
      <c r="CT269" s="620"/>
      <c r="CU269" s="620"/>
      <c r="CV269" s="620"/>
      <c r="CW269" s="620"/>
      <c r="CX269" s="620"/>
      <c r="CY269" s="620"/>
      <c r="CZ269" s="620"/>
      <c r="DA269" s="620"/>
      <c r="DB269" s="620"/>
      <c r="DC269" s="620"/>
      <c r="DD269" s="620"/>
      <c r="DE269" s="620"/>
      <c r="DF269" s="620"/>
      <c r="DG269" s="620"/>
      <c r="DH269" s="620"/>
      <c r="DI269" s="620"/>
      <c r="DJ269" s="620"/>
      <c r="DK269" s="620"/>
      <c r="DL269" s="620"/>
      <c r="DM269" s="620"/>
      <c r="DN269" s="620"/>
      <c r="DO269" s="620"/>
      <c r="DP269" s="620"/>
      <c r="DQ269" s="620"/>
      <c r="DR269" s="620"/>
      <c r="DS269" s="620"/>
      <c r="DT269" s="620"/>
      <c r="DU269" s="620"/>
      <c r="EI269" s="722"/>
    </row>
    <row r="270" spans="1:139" ht="7.5" customHeight="1" x14ac:dyDescent="0.3">
      <c r="EI270" s="280"/>
    </row>
    <row r="271" spans="1:139" ht="15.6" x14ac:dyDescent="0.3">
      <c r="A271" s="115" t="str">
        <f>Waterfalls!A282</f>
        <v>PROFIT &amp; IRRs</v>
      </c>
      <c r="B271" s="204"/>
      <c r="C271" s="204"/>
      <c r="D271" s="204"/>
      <c r="E271" s="204"/>
      <c r="F271" s="204"/>
      <c r="G271" s="204"/>
      <c r="H271" s="204"/>
      <c r="I271" s="204"/>
      <c r="J271" s="204"/>
      <c r="K271" s="204"/>
      <c r="L271" s="204"/>
      <c r="M271" s="204"/>
      <c r="N271" s="204"/>
    </row>
    <row r="272" spans="1:139" ht="3.75" customHeight="1" thickBot="1" x14ac:dyDescent="0.35">
      <c r="A272" s="715">
        <f>Waterfalls!A283</f>
        <v>0</v>
      </c>
      <c r="B272" s="715">
        <f>Waterfalls!B283</f>
        <v>0</v>
      </c>
      <c r="C272" s="715">
        <f>Waterfalls!C283</f>
        <v>0</v>
      </c>
      <c r="D272" s="715"/>
      <c r="E272" s="715"/>
      <c r="F272" s="715"/>
      <c r="G272" s="715"/>
      <c r="H272" s="715"/>
      <c r="I272" s="715"/>
      <c r="J272" s="715"/>
      <c r="K272" s="715"/>
      <c r="L272" s="715"/>
      <c r="M272" s="715"/>
      <c r="N272" s="715"/>
    </row>
    <row r="273" spans="1:14" ht="6.75" customHeight="1" thickTop="1" thickBot="1" x14ac:dyDescent="0.35"/>
    <row r="274" spans="1:14" ht="15" thickTop="1" x14ac:dyDescent="0.3">
      <c r="A274" s="2782" t="str">
        <f>Waterfalls!A285</f>
        <v>PROMOTES</v>
      </c>
      <c r="B274" s="2783"/>
      <c r="C274" s="2784"/>
      <c r="D274" s="322"/>
      <c r="E274" s="322"/>
      <c r="F274" s="322"/>
      <c r="G274" s="322"/>
      <c r="H274" s="322"/>
      <c r="I274" s="322"/>
      <c r="J274" s="322"/>
      <c r="K274" s="322"/>
      <c r="L274" s="322"/>
      <c r="M274" s="322"/>
      <c r="N274" s="322"/>
    </row>
    <row r="275" spans="1:14" x14ac:dyDescent="0.3">
      <c r="A275" s="407" t="str">
        <f>Waterfalls!A286</f>
        <v>LP</v>
      </c>
      <c r="B275" s="182"/>
      <c r="C275" s="182"/>
      <c r="D275" s="408">
        <f>Waterfalls!E286</f>
        <v>0</v>
      </c>
      <c r="E275" s="408">
        <f>SUM(Waterfalls!F286:Q286)</f>
        <v>0</v>
      </c>
      <c r="F275" s="408">
        <f>SUM(Waterfalls!R286:AC286)</f>
        <v>0</v>
      </c>
      <c r="G275" s="408">
        <f ca="1">SUM(Waterfalls!AD286:AO286)</f>
        <v>8708966.546183683</v>
      </c>
      <c r="H275" s="408">
        <f>SUM(Waterfalls!AP286:BA286)</f>
        <v>0</v>
      </c>
      <c r="I275" s="408">
        <f>SUM(Waterfalls!BB286:BM286)</f>
        <v>0</v>
      </c>
      <c r="J275" s="408">
        <f>SUM(Waterfalls!BN286:BY286)</f>
        <v>0</v>
      </c>
      <c r="K275" s="408">
        <f>SUM(Waterfalls!BZ286:CK286)</f>
        <v>0</v>
      </c>
      <c r="L275" s="408">
        <f>SUM(Waterfalls!CL286:CW286)</f>
        <v>0</v>
      </c>
      <c r="M275" s="408">
        <f>SUM(Waterfalls!CX286:DI286)</f>
        <v>0</v>
      </c>
      <c r="N275" s="408">
        <f>SUM(Waterfalls!DJ286:DU286)</f>
        <v>0</v>
      </c>
    </row>
    <row r="276" spans="1:14" x14ac:dyDescent="0.3">
      <c r="A276" s="182" t="str">
        <f>Waterfalls!A287</f>
        <v>Quarterra</v>
      </c>
      <c r="B276" s="182"/>
      <c r="C276" s="182"/>
      <c r="D276" s="407">
        <f>Waterfalls!E287</f>
        <v>0</v>
      </c>
      <c r="E276" s="407">
        <f>SUM(Waterfalls!F287:Q287)</f>
        <v>0</v>
      </c>
      <c r="F276" s="407">
        <f>SUM(Waterfalls!R287:AC287)</f>
        <v>0</v>
      </c>
      <c r="G276" s="407">
        <f ca="1">SUM(Waterfalls!AD287:AO287)</f>
        <v>8376324.4538163161</v>
      </c>
      <c r="H276" s="407">
        <f>SUM(Waterfalls!AP287:BA287)</f>
        <v>0</v>
      </c>
      <c r="I276" s="407">
        <f>SUM(Waterfalls!BB287:BM287)</f>
        <v>0</v>
      </c>
      <c r="J276" s="407">
        <f>SUM(Waterfalls!BN287:BY287)</f>
        <v>0</v>
      </c>
      <c r="K276" s="407">
        <f>SUM(Waterfalls!BZ287:CK287)</f>
        <v>0</v>
      </c>
      <c r="L276" s="407">
        <f>SUM(Waterfalls!CL287:CW287)</f>
        <v>0</v>
      </c>
      <c r="M276" s="407">
        <f>SUM(Waterfalls!CX287:DI287)</f>
        <v>0</v>
      </c>
      <c r="N276" s="407">
        <f>SUM(Waterfalls!DJ287:DU287)</f>
        <v>0</v>
      </c>
    </row>
    <row r="277" spans="1:14" x14ac:dyDescent="0.3">
      <c r="A277" s="407" t="str">
        <f>Waterfalls!A288</f>
        <v>LAND</v>
      </c>
      <c r="B277" s="182"/>
      <c r="C277" s="182"/>
      <c r="D277" s="407">
        <f>Waterfalls!E288</f>
        <v>0</v>
      </c>
      <c r="E277" s="407">
        <f>SUM(Waterfalls!F288:Q288)</f>
        <v>0</v>
      </c>
      <c r="F277" s="407">
        <f>SUM(Waterfalls!R288:AC288)</f>
        <v>0</v>
      </c>
      <c r="G277" s="407">
        <f ca="1">SUM(Waterfalls!AD288:AO288)</f>
        <v>0</v>
      </c>
      <c r="H277" s="407">
        <f>SUM(Waterfalls!AP288:BA288)</f>
        <v>0</v>
      </c>
      <c r="I277" s="407">
        <f>SUM(Waterfalls!BB288:BM288)</f>
        <v>0</v>
      </c>
      <c r="J277" s="407">
        <f>SUM(Waterfalls!BN288:BY288)</f>
        <v>0</v>
      </c>
      <c r="K277" s="407">
        <f>SUM(Waterfalls!BZ288:CK288)</f>
        <v>0</v>
      </c>
      <c r="L277" s="407">
        <f>SUM(Waterfalls!CL288:CW288)</f>
        <v>0</v>
      </c>
      <c r="M277" s="407">
        <f>SUM(Waterfalls!CX288:DI288)</f>
        <v>0</v>
      </c>
      <c r="N277" s="407">
        <f>SUM(Waterfalls!DJ288:DU288)</f>
        <v>0</v>
      </c>
    </row>
    <row r="278" spans="1:14" ht="7.5" customHeight="1" thickBot="1" x14ac:dyDescent="0.35"/>
    <row r="279" spans="1:14" ht="15" thickTop="1" x14ac:dyDescent="0.3">
      <c r="A279" s="2782" t="str">
        <f>Waterfalls!A290</f>
        <v>INTERNAL RATE OF RETURN - LP</v>
      </c>
      <c r="B279" s="2783"/>
      <c r="C279" s="2784"/>
      <c r="D279" s="322"/>
      <c r="E279" s="322"/>
      <c r="F279" s="322"/>
      <c r="G279" s="322"/>
      <c r="H279" s="322"/>
      <c r="I279" s="322"/>
      <c r="J279" s="322"/>
      <c r="K279" s="322"/>
      <c r="L279" s="322"/>
      <c r="M279" s="322"/>
      <c r="N279" s="322"/>
    </row>
    <row r="280" spans="1:14" x14ac:dyDescent="0.3">
      <c r="A280" s="182" t="str">
        <f>Waterfalls!A291</f>
        <v>Contributions</v>
      </c>
      <c r="B280" s="182"/>
      <c r="C280" s="182"/>
      <c r="D280" s="408">
        <f ca="1">Waterfalls!E291</f>
        <v>-1684806.2553703375</v>
      </c>
      <c r="E280" s="408">
        <f ca="1">SUM(Waterfalls!F291:Q291)</f>
        <v>-29888841.603211943</v>
      </c>
      <c r="F280" s="408">
        <f ca="1">SUM(Waterfalls!R291:AC291)</f>
        <v>0</v>
      </c>
      <c r="G280" s="408">
        <f ca="1">SUM(Waterfalls!AD291:AO291)</f>
        <v>0</v>
      </c>
      <c r="H280" s="408">
        <f>SUM(Waterfalls!AP291:BA291)</f>
        <v>0</v>
      </c>
      <c r="I280" s="408">
        <f>SUM(Waterfalls!BB291:BM291)</f>
        <v>0</v>
      </c>
      <c r="J280" s="408">
        <f>SUM(Waterfalls!BN291:BY291)</f>
        <v>0</v>
      </c>
      <c r="K280" s="408">
        <f>SUM(Waterfalls!BZ291:CK291)</f>
        <v>0</v>
      </c>
      <c r="L280" s="408">
        <f>SUM(Waterfalls!CL291:CW291)</f>
        <v>0</v>
      </c>
      <c r="M280" s="408">
        <f>SUM(Waterfalls!CX291:DI291)</f>
        <v>0</v>
      </c>
      <c r="N280" s="408">
        <f>SUM(Waterfalls!DJ291:DU291)</f>
        <v>0</v>
      </c>
    </row>
    <row r="281" spans="1:14" x14ac:dyDescent="0.3">
      <c r="A281" s="182" t="str">
        <f>Waterfalls!A292</f>
        <v>Cash From Operations</v>
      </c>
      <c r="B281" s="182"/>
      <c r="C281" s="182"/>
      <c r="D281" s="407">
        <f ca="1">Waterfalls!E292</f>
        <v>0</v>
      </c>
      <c r="E281" s="407">
        <f ca="1">SUM(Waterfalls!F292:Q292)</f>
        <v>0</v>
      </c>
      <c r="F281" s="407">
        <f ca="1">SUM(Waterfalls!R292:AC292)</f>
        <v>39701.726541082207</v>
      </c>
      <c r="G281" s="407">
        <f ca="1">SUM(Waterfalls!AD292:AO292)</f>
        <v>591502.95155244949</v>
      </c>
      <c r="H281" s="407">
        <f>SUM(Waterfalls!AP292:BA292)</f>
        <v>0</v>
      </c>
      <c r="I281" s="407">
        <f>SUM(Waterfalls!BB292:BM292)</f>
        <v>0</v>
      </c>
      <c r="J281" s="407">
        <f>SUM(Waterfalls!BN292:BY292)</f>
        <v>0</v>
      </c>
      <c r="K281" s="407">
        <f>SUM(Waterfalls!BZ292:CK292)</f>
        <v>0</v>
      </c>
      <c r="L281" s="407">
        <f>SUM(Waterfalls!CL292:CW292)</f>
        <v>0</v>
      </c>
      <c r="M281" s="407">
        <f>SUM(Waterfalls!CX292:DI292)</f>
        <v>0</v>
      </c>
      <c r="N281" s="407">
        <f>SUM(Waterfalls!DJ292:DU292)</f>
        <v>0</v>
      </c>
    </row>
    <row r="282" spans="1:14" x14ac:dyDescent="0.3">
      <c r="A282" s="182" t="str">
        <f>Waterfalls!A293</f>
        <v>Return OF and ON Equity</v>
      </c>
      <c r="B282" s="182"/>
      <c r="C282" s="182"/>
      <c r="D282" s="407">
        <f>Waterfalls!E293</f>
        <v>0</v>
      </c>
      <c r="E282" s="407">
        <f>SUM(Waterfalls!F293:Q293)</f>
        <v>0</v>
      </c>
      <c r="F282" s="407">
        <f>SUM(Waterfalls!R293:AC293)</f>
        <v>0</v>
      </c>
      <c r="G282" s="407">
        <f ca="1">SUM(Waterfalls!AD293:AO293)</f>
        <v>37886681.514896236</v>
      </c>
      <c r="H282" s="407">
        <f>SUM(Waterfalls!AP293:BA293)</f>
        <v>0</v>
      </c>
      <c r="I282" s="407">
        <f>SUM(Waterfalls!BB293:BM293)</f>
        <v>0</v>
      </c>
      <c r="J282" s="407">
        <f>SUM(Waterfalls!BN293:BY293)</f>
        <v>0</v>
      </c>
      <c r="K282" s="407">
        <f>SUM(Waterfalls!BZ293:CK293)</f>
        <v>0</v>
      </c>
      <c r="L282" s="407">
        <f>SUM(Waterfalls!CL293:CW293)</f>
        <v>0</v>
      </c>
      <c r="M282" s="407">
        <f>SUM(Waterfalls!CX293:DI293)</f>
        <v>0</v>
      </c>
      <c r="N282" s="407">
        <f>SUM(Waterfalls!DJ293:DU293)</f>
        <v>0</v>
      </c>
    </row>
    <row r="283" spans="1:14" x14ac:dyDescent="0.3">
      <c r="A283" s="182" t="str">
        <f>Waterfalls!A294</f>
        <v>Cash From Sale</v>
      </c>
      <c r="B283" s="182"/>
      <c r="C283" s="182"/>
      <c r="D283" s="407">
        <f>Waterfalls!E294</f>
        <v>0</v>
      </c>
      <c r="E283" s="407">
        <f>SUM(Waterfalls!F294:Q294)</f>
        <v>0</v>
      </c>
      <c r="F283" s="407">
        <f>SUM(Waterfalls!R294:AC294)</f>
        <v>0</v>
      </c>
      <c r="G283" s="407">
        <f ca="1">SUM(Waterfalls!AD294:AO294)</f>
        <v>8708966.546183683</v>
      </c>
      <c r="H283" s="407">
        <f>SUM(Waterfalls!AP294:BA294)</f>
        <v>0</v>
      </c>
      <c r="I283" s="407">
        <f>SUM(Waterfalls!BB294:BM294)</f>
        <v>0</v>
      </c>
      <c r="J283" s="407">
        <f>SUM(Waterfalls!BN294:BY294)</f>
        <v>0</v>
      </c>
      <c r="K283" s="407">
        <f>SUM(Waterfalls!BZ294:CK294)</f>
        <v>0</v>
      </c>
      <c r="L283" s="407">
        <f>SUM(Waterfalls!CL294:CW294)</f>
        <v>0</v>
      </c>
      <c r="M283" s="407">
        <f>SUM(Waterfalls!CX294:DI294)</f>
        <v>0</v>
      </c>
      <c r="N283" s="407">
        <f>SUM(Waterfalls!DJ294:DU294)</f>
        <v>0</v>
      </c>
    </row>
    <row r="284" spans="1:14" ht="15" thickBot="1" x14ac:dyDescent="0.35">
      <c r="A284" s="436" t="str">
        <f>Waterfalls!A295</f>
        <v>CASH FLOWS</v>
      </c>
      <c r="B284" s="436"/>
      <c r="C284" s="439">
        <f ca="1">Waterfalls!C295</f>
        <v>0.22292304302199129</v>
      </c>
      <c r="D284" s="433">
        <f ca="1">Waterfalls!E295</f>
        <v>-1684806.2553703375</v>
      </c>
      <c r="E284" s="433">
        <f ca="1">SUM(Waterfalls!F295:Q295)</f>
        <v>-29888841.603211943</v>
      </c>
      <c r="F284" s="433">
        <f ca="1">SUM(Waterfalls!R295:AC295)</f>
        <v>39701.726541082207</v>
      </c>
      <c r="G284" s="433">
        <f ca="1">SUM(Waterfalls!AD295:AO295)</f>
        <v>47187151.012632363</v>
      </c>
      <c r="H284" s="433">
        <f>SUM(Waterfalls!AP295:BA295)</f>
        <v>0</v>
      </c>
      <c r="I284" s="433">
        <f>SUM(Waterfalls!BB295:BM295)</f>
        <v>0</v>
      </c>
      <c r="J284" s="433">
        <f>SUM(Waterfalls!BN295:BY295)</f>
        <v>0</v>
      </c>
      <c r="K284" s="433">
        <f>SUM(Waterfalls!BZ295:CK295)</f>
        <v>0</v>
      </c>
      <c r="L284" s="433">
        <f>SUM(Waterfalls!CL295:CW295)</f>
        <v>0</v>
      </c>
      <c r="M284" s="433">
        <f>SUM(Waterfalls!CX295:DI295)</f>
        <v>0</v>
      </c>
      <c r="N284" s="433">
        <f>SUM(Waterfalls!DJ295:DU295)</f>
        <v>0</v>
      </c>
    </row>
    <row r="285" spans="1:14" ht="7.5" customHeight="1" thickTop="1" thickBot="1" x14ac:dyDescent="0.35"/>
    <row r="286" spans="1:14" ht="15" thickTop="1" x14ac:dyDescent="0.3">
      <c r="A286" s="2782" t="str">
        <f>Waterfalls!A297</f>
        <v>INTERNAL RATE OF RETURN - Quarterra</v>
      </c>
      <c r="B286" s="2783"/>
      <c r="C286" s="2784"/>
      <c r="D286" s="322"/>
      <c r="E286" s="322"/>
      <c r="F286" s="322"/>
      <c r="G286" s="322"/>
      <c r="H286" s="322"/>
      <c r="I286" s="322"/>
      <c r="J286" s="322"/>
      <c r="K286" s="322"/>
      <c r="L286" s="322"/>
      <c r="M286" s="322"/>
      <c r="N286" s="322"/>
    </row>
    <row r="287" spans="1:14" x14ac:dyDescent="0.3">
      <c r="A287" s="182" t="str">
        <f>Waterfalls!A298</f>
        <v>Contributions</v>
      </c>
      <c r="B287" s="182"/>
      <c r="C287" s="182"/>
      <c r="D287" s="408">
        <f ca="1">Waterfalls!E298</f>
        <v>-187200.69504114857</v>
      </c>
      <c r="E287" s="408">
        <f ca="1">SUM(Waterfalls!F298:Q298)</f>
        <v>-3320982.4003568813</v>
      </c>
      <c r="F287" s="408">
        <f ca="1">SUM(Waterfalls!R298:AC298)</f>
        <v>0</v>
      </c>
      <c r="G287" s="408">
        <f ca="1">SUM(Waterfalls!AD298:AO298)</f>
        <v>0</v>
      </c>
      <c r="H287" s="408">
        <f>SUM(Waterfalls!AP298:BA298)</f>
        <v>0</v>
      </c>
      <c r="I287" s="408">
        <f>SUM(Waterfalls!BB298:BM298)</f>
        <v>0</v>
      </c>
      <c r="J287" s="408">
        <f>SUM(Waterfalls!BN298:BY298)</f>
        <v>0</v>
      </c>
      <c r="K287" s="408">
        <f>SUM(Waterfalls!BZ298:CK298)</f>
        <v>0</v>
      </c>
      <c r="L287" s="408">
        <f>SUM(Waterfalls!CL298:CW298)</f>
        <v>0</v>
      </c>
      <c r="M287" s="408">
        <f>SUM(Waterfalls!CX298:DI298)</f>
        <v>0</v>
      </c>
      <c r="N287" s="408">
        <f>SUM(Waterfalls!DJ298:DU298)</f>
        <v>0</v>
      </c>
    </row>
    <row r="288" spans="1:14" x14ac:dyDescent="0.3">
      <c r="A288" s="182" t="str">
        <f>Waterfalls!A299</f>
        <v>Cash From Operations</v>
      </c>
      <c r="B288" s="182"/>
      <c r="C288" s="182"/>
      <c r="D288" s="407">
        <f ca="1">Waterfalls!E299</f>
        <v>0</v>
      </c>
      <c r="E288" s="407">
        <f ca="1">SUM(Waterfalls!F299:Q299)</f>
        <v>0</v>
      </c>
      <c r="F288" s="407">
        <f ca="1">SUM(Waterfalls!R299:AC299)</f>
        <v>4411.302949009133</v>
      </c>
      <c r="G288" s="407">
        <f ca="1">SUM(Waterfalls!AD299:AO299)</f>
        <v>65722.550172494375</v>
      </c>
      <c r="H288" s="407">
        <f>SUM(Waterfalls!AP299:BA299)</f>
        <v>0</v>
      </c>
      <c r="I288" s="407">
        <f>SUM(Waterfalls!BB299:BM299)</f>
        <v>0</v>
      </c>
      <c r="J288" s="407">
        <f>SUM(Waterfalls!BN299:BY299)</f>
        <v>0</v>
      </c>
      <c r="K288" s="407">
        <f>SUM(Waterfalls!BZ299:CK299)</f>
        <v>0</v>
      </c>
      <c r="L288" s="407">
        <f>SUM(Waterfalls!CL299:CW299)</f>
        <v>0</v>
      </c>
      <c r="M288" s="407">
        <f>SUM(Waterfalls!CX299:DI299)</f>
        <v>0</v>
      </c>
      <c r="N288" s="407">
        <f>SUM(Waterfalls!DJ299:DU299)</f>
        <v>0</v>
      </c>
    </row>
    <row r="289" spans="1:14" x14ac:dyDescent="0.3">
      <c r="A289" s="182" t="str">
        <f>Waterfalls!A300</f>
        <v>Return OF and ON Equity</v>
      </c>
      <c r="B289" s="182"/>
      <c r="C289" s="182"/>
      <c r="D289" s="407">
        <f>Waterfalls!E300</f>
        <v>0</v>
      </c>
      <c r="E289" s="407">
        <f>SUM(Waterfalls!F300:Q300)</f>
        <v>0</v>
      </c>
      <c r="F289" s="407">
        <f>SUM(Waterfalls!R300:AC300)</f>
        <v>0</v>
      </c>
      <c r="G289" s="407">
        <f ca="1">SUM(Waterfalls!AD300:AO300)</f>
        <v>4209631.2794329124</v>
      </c>
      <c r="H289" s="407">
        <f>SUM(Waterfalls!AP300:BA300)</f>
        <v>0</v>
      </c>
      <c r="I289" s="407">
        <f>SUM(Waterfalls!BB300:BM300)</f>
        <v>0</v>
      </c>
      <c r="J289" s="407">
        <f>SUM(Waterfalls!BN300:BY300)</f>
        <v>0</v>
      </c>
      <c r="K289" s="407">
        <f>SUM(Waterfalls!BZ300:CK300)</f>
        <v>0</v>
      </c>
      <c r="L289" s="407">
        <f>SUM(Waterfalls!CL300:CW300)</f>
        <v>0</v>
      </c>
      <c r="M289" s="407">
        <f>SUM(Waterfalls!CX300:DI300)</f>
        <v>0</v>
      </c>
      <c r="N289" s="407">
        <f>SUM(Waterfalls!DJ300:DU300)</f>
        <v>0</v>
      </c>
    </row>
    <row r="290" spans="1:14" x14ac:dyDescent="0.3">
      <c r="A290" s="182" t="str">
        <f>Waterfalls!A301</f>
        <v>Cash From Sale</v>
      </c>
      <c r="B290" s="182"/>
      <c r="C290" s="182"/>
      <c r="D290" s="407">
        <f>Waterfalls!E301</f>
        <v>0</v>
      </c>
      <c r="E290" s="407">
        <f>SUM(Waterfalls!F301:Q301)</f>
        <v>0</v>
      </c>
      <c r="F290" s="407">
        <f>SUM(Waterfalls!R301:AC301)</f>
        <v>0</v>
      </c>
      <c r="G290" s="407">
        <f ca="1">SUM(Waterfalls!AD301:AO301)</f>
        <v>8376324.4538163161</v>
      </c>
      <c r="H290" s="407">
        <f>SUM(Waterfalls!AP301:BA301)</f>
        <v>0</v>
      </c>
      <c r="I290" s="407">
        <f>SUM(Waterfalls!BB301:BM301)</f>
        <v>0</v>
      </c>
      <c r="J290" s="407">
        <f>SUM(Waterfalls!BN301:BY301)</f>
        <v>0</v>
      </c>
      <c r="K290" s="407">
        <f>SUM(Waterfalls!BZ301:CK301)</f>
        <v>0</v>
      </c>
      <c r="L290" s="407">
        <f>SUM(Waterfalls!CL301:CW301)</f>
        <v>0</v>
      </c>
      <c r="M290" s="407">
        <f>SUM(Waterfalls!CX301:DI301)</f>
        <v>0</v>
      </c>
      <c r="N290" s="407">
        <f>SUM(Waterfalls!DJ301:DU301)</f>
        <v>0</v>
      </c>
    </row>
    <row r="291" spans="1:14" ht="15" thickBot="1" x14ac:dyDescent="0.35">
      <c r="A291" s="436" t="str">
        <f>Waterfalls!A302</f>
        <v>CASH FLOWS</v>
      </c>
      <c r="B291" s="436"/>
      <c r="C291" s="439">
        <f ca="1">Waterfalls!C302</f>
        <v>0.88796279652512533</v>
      </c>
      <c r="D291" s="433">
        <f ca="1">Waterfalls!E302</f>
        <v>-187200.69504114857</v>
      </c>
      <c r="E291" s="433">
        <f ca="1">SUM(Waterfalls!F302:Q302)</f>
        <v>-3320982.4003568813</v>
      </c>
      <c r="F291" s="433">
        <f ca="1">SUM(Waterfalls!R302:AC302)</f>
        <v>4411.302949009133</v>
      </c>
      <c r="G291" s="433">
        <f ca="1">SUM(Waterfalls!AD302:AO302)</f>
        <v>12651678.283421723</v>
      </c>
      <c r="H291" s="433">
        <f>SUM(Waterfalls!AP302:BA302)</f>
        <v>0</v>
      </c>
      <c r="I291" s="433">
        <f>SUM(Waterfalls!BB302:BM302)</f>
        <v>0</v>
      </c>
      <c r="J291" s="433">
        <f>SUM(Waterfalls!BN302:BY302)</f>
        <v>0</v>
      </c>
      <c r="K291" s="433">
        <f>SUM(Waterfalls!BZ302:CK302)</f>
        <v>0</v>
      </c>
      <c r="L291" s="433">
        <f>SUM(Waterfalls!CL302:CW302)</f>
        <v>0</v>
      </c>
      <c r="M291" s="433">
        <f>SUM(Waterfalls!CX302:DI302)</f>
        <v>0</v>
      </c>
      <c r="N291" s="433">
        <f>SUM(Waterfalls!DJ302:DU302)</f>
        <v>0</v>
      </c>
    </row>
    <row r="292" spans="1:14" ht="7.5" customHeight="1" thickTop="1" thickBot="1" x14ac:dyDescent="0.35"/>
    <row r="293" spans="1:14" ht="15" thickTop="1" x14ac:dyDescent="0.3">
      <c r="A293" s="2782" t="str">
        <f>Waterfalls!A304</f>
        <v>INTERNAL RATE OF RETURN - LAND</v>
      </c>
      <c r="B293" s="2783"/>
      <c r="C293" s="2784"/>
      <c r="D293" s="322"/>
      <c r="E293" s="322"/>
      <c r="F293" s="322"/>
      <c r="G293" s="322"/>
      <c r="H293" s="322"/>
      <c r="I293" s="322"/>
      <c r="J293" s="322"/>
      <c r="K293" s="322"/>
      <c r="L293" s="322"/>
      <c r="M293" s="322"/>
      <c r="N293" s="322"/>
    </row>
    <row r="294" spans="1:14" x14ac:dyDescent="0.3">
      <c r="A294" s="182" t="str">
        <f>Waterfalls!A305</f>
        <v>Contributions</v>
      </c>
      <c r="B294" s="182"/>
      <c r="C294" s="182"/>
      <c r="D294" s="408">
        <f>Waterfalls!E305</f>
        <v>0</v>
      </c>
      <c r="E294" s="408">
        <f>SUM(Waterfalls!F305:Q305)</f>
        <v>0</v>
      </c>
      <c r="F294" s="408">
        <f>SUM(Waterfalls!R305:AC305)</f>
        <v>0</v>
      </c>
      <c r="G294" s="408">
        <f>SUM(Waterfalls!AD305:AO305)</f>
        <v>0</v>
      </c>
      <c r="H294" s="408">
        <f>SUM(Waterfalls!AP305:BA305)</f>
        <v>0</v>
      </c>
      <c r="I294" s="408">
        <f>SUM(Waterfalls!BB305:BM305)</f>
        <v>0</v>
      </c>
      <c r="J294" s="408">
        <f>SUM(Waterfalls!BN305:BY305)</f>
        <v>0</v>
      </c>
      <c r="K294" s="408">
        <f>SUM(Waterfalls!BZ305:CK305)</f>
        <v>0</v>
      </c>
      <c r="L294" s="408">
        <f>SUM(Waterfalls!CL305:CW305)</f>
        <v>0</v>
      </c>
      <c r="M294" s="408">
        <f>SUM(Waterfalls!CX305:DI305)</f>
        <v>0</v>
      </c>
      <c r="N294" s="408">
        <f>SUM(Waterfalls!DJ305:DU305)</f>
        <v>0</v>
      </c>
    </row>
    <row r="295" spans="1:14" x14ac:dyDescent="0.3">
      <c r="A295" s="182" t="str">
        <f>Waterfalls!A306</f>
        <v>Cash From Operations</v>
      </c>
      <c r="B295" s="182"/>
      <c r="C295" s="182"/>
      <c r="D295" s="407">
        <f ca="1">Waterfalls!E306</f>
        <v>0</v>
      </c>
      <c r="E295" s="407">
        <f ca="1">SUM(Waterfalls!F306:Q306)</f>
        <v>0</v>
      </c>
      <c r="F295" s="407">
        <f ca="1">SUM(Waterfalls!R306:AC306)</f>
        <v>0</v>
      </c>
      <c r="G295" s="407">
        <f ca="1">SUM(Waterfalls!AD306:AO306)</f>
        <v>0</v>
      </c>
      <c r="H295" s="407">
        <f>SUM(Waterfalls!AP306:BA306)</f>
        <v>0</v>
      </c>
      <c r="I295" s="407">
        <f>SUM(Waterfalls!BB306:BM306)</f>
        <v>0</v>
      </c>
      <c r="J295" s="407">
        <f>SUM(Waterfalls!BN306:BY306)</f>
        <v>0</v>
      </c>
      <c r="K295" s="407">
        <f>SUM(Waterfalls!BZ306:CK306)</f>
        <v>0</v>
      </c>
      <c r="L295" s="407">
        <f>SUM(Waterfalls!CL306:CW306)</f>
        <v>0</v>
      </c>
      <c r="M295" s="407">
        <f>SUM(Waterfalls!CX306:DI306)</f>
        <v>0</v>
      </c>
      <c r="N295" s="407">
        <f>SUM(Waterfalls!DJ306:DU306)</f>
        <v>0</v>
      </c>
    </row>
    <row r="296" spans="1:14" x14ac:dyDescent="0.3">
      <c r="A296" s="182" t="str">
        <f>Waterfalls!A307</f>
        <v>Return OF and ON Equity</v>
      </c>
      <c r="B296" s="182"/>
      <c r="C296" s="182"/>
      <c r="D296" s="407">
        <f>Waterfalls!E307</f>
        <v>0</v>
      </c>
      <c r="E296" s="407">
        <f>SUM(Waterfalls!F307:Q307)</f>
        <v>0</v>
      </c>
      <c r="F296" s="407">
        <f>SUM(Waterfalls!R307:AC307)</f>
        <v>0</v>
      </c>
      <c r="G296" s="407">
        <f ca="1">SUM(Waterfalls!AD307:AO307)</f>
        <v>0</v>
      </c>
      <c r="H296" s="407">
        <f>SUM(Waterfalls!AP307:BA307)</f>
        <v>0</v>
      </c>
      <c r="I296" s="407">
        <f>SUM(Waterfalls!BB307:BM307)</f>
        <v>0</v>
      </c>
      <c r="J296" s="407">
        <f>SUM(Waterfalls!BN307:BY307)</f>
        <v>0</v>
      </c>
      <c r="K296" s="407">
        <f>SUM(Waterfalls!BZ307:CK307)</f>
        <v>0</v>
      </c>
      <c r="L296" s="407">
        <f>SUM(Waterfalls!CL307:CW307)</f>
        <v>0</v>
      </c>
      <c r="M296" s="407">
        <f>SUM(Waterfalls!CX307:DI307)</f>
        <v>0</v>
      </c>
      <c r="N296" s="407">
        <f>SUM(Waterfalls!DJ307:DU307)</f>
        <v>0</v>
      </c>
    </row>
    <row r="297" spans="1:14" x14ac:dyDescent="0.3">
      <c r="A297" s="182" t="str">
        <f>Waterfalls!A308</f>
        <v>Cash From Sale</v>
      </c>
      <c r="B297" s="182"/>
      <c r="C297" s="182"/>
      <c r="D297" s="407">
        <f>Waterfalls!E308</f>
        <v>0</v>
      </c>
      <c r="E297" s="407">
        <f>SUM(Waterfalls!F308:Q308)</f>
        <v>0</v>
      </c>
      <c r="F297" s="407">
        <f>SUM(Waterfalls!R308:AC308)</f>
        <v>0</v>
      </c>
      <c r="G297" s="407">
        <f ca="1">SUM(Waterfalls!AD308:AO308)</f>
        <v>0</v>
      </c>
      <c r="H297" s="407">
        <f>SUM(Waterfalls!AP308:BA308)</f>
        <v>0</v>
      </c>
      <c r="I297" s="407">
        <f>SUM(Waterfalls!BB308:BM308)</f>
        <v>0</v>
      </c>
      <c r="J297" s="407">
        <f>SUM(Waterfalls!BN308:BY308)</f>
        <v>0</v>
      </c>
      <c r="K297" s="407">
        <f>SUM(Waterfalls!BZ308:CK308)</f>
        <v>0</v>
      </c>
      <c r="L297" s="407">
        <f>SUM(Waterfalls!CL308:CW308)</f>
        <v>0</v>
      </c>
      <c r="M297" s="407">
        <f>SUM(Waterfalls!CX308:DI308)</f>
        <v>0</v>
      </c>
      <c r="N297" s="407">
        <f>SUM(Waterfalls!DJ308:DU308)</f>
        <v>0</v>
      </c>
    </row>
    <row r="298" spans="1:14" ht="15" thickBot="1" x14ac:dyDescent="0.35">
      <c r="A298" s="436" t="str">
        <f>Waterfalls!A309</f>
        <v>CASH FLOWS</v>
      </c>
      <c r="B298" s="436"/>
      <c r="C298" s="439">
        <f ca="1">Waterfalls!C309</f>
        <v>0</v>
      </c>
      <c r="D298" s="433">
        <f ca="1">Waterfalls!E309</f>
        <v>0</v>
      </c>
      <c r="E298" s="433">
        <f ca="1">SUM(Waterfalls!F309:Q309)</f>
        <v>0</v>
      </c>
      <c r="F298" s="433">
        <f ca="1">SUM(Waterfalls!R309:AC309)</f>
        <v>0</v>
      </c>
      <c r="G298" s="433">
        <f ca="1">SUM(Waterfalls!AD309:AO309)</f>
        <v>0</v>
      </c>
      <c r="H298" s="433">
        <f>SUM(Waterfalls!AP309:BA309)</f>
        <v>0</v>
      </c>
      <c r="I298" s="433">
        <f>SUM(Waterfalls!BB309:BM309)</f>
        <v>0</v>
      </c>
      <c r="J298" s="433">
        <f>SUM(Waterfalls!BN309:BY309)</f>
        <v>0</v>
      </c>
      <c r="K298" s="433">
        <f>SUM(Waterfalls!BZ309:CK309)</f>
        <v>0</v>
      </c>
      <c r="L298" s="433">
        <f>SUM(Waterfalls!CL309:CW309)</f>
        <v>0</v>
      </c>
      <c r="M298" s="433">
        <f>SUM(Waterfalls!CX309:DI309)</f>
        <v>0</v>
      </c>
      <c r="N298" s="433">
        <f>SUM(Waterfalls!DJ309:DU309)</f>
        <v>0</v>
      </c>
    </row>
    <row r="299" spans="1:14" ht="7.5" customHeight="1" thickTop="1" thickBot="1" x14ac:dyDescent="0.35"/>
    <row r="300" spans="1:14" ht="15" thickTop="1" x14ac:dyDescent="0.3">
      <c r="A300" s="2782" t="str">
        <f>Waterfalls!A311</f>
        <v>UNLEVERED IRR</v>
      </c>
      <c r="B300" s="2783"/>
      <c r="C300" s="2784"/>
      <c r="D300" s="322"/>
      <c r="E300" s="322"/>
      <c r="F300" s="322"/>
      <c r="G300" s="322"/>
      <c r="H300" s="322"/>
      <c r="I300" s="322"/>
      <c r="J300" s="322"/>
      <c r="K300" s="322"/>
      <c r="L300" s="322"/>
      <c r="M300" s="322"/>
      <c r="N300" s="322"/>
    </row>
    <row r="301" spans="1:14" x14ac:dyDescent="0.3">
      <c r="A301" t="str">
        <f>Waterfalls!A312</f>
        <v>Contributions</v>
      </c>
      <c r="D301" s="227">
        <f ca="1">Waterfalls!E312</f>
        <v>-976480.98946296622</v>
      </c>
      <c r="E301" s="227">
        <f ca="1">SUM(Waterfalls!F312:Q312)</f>
        <v>-42860040.153647311</v>
      </c>
      <c r="F301" s="227">
        <f ca="1">SUM(Waterfalls!R312:AC312)</f>
        <v>-31287367.220199753</v>
      </c>
      <c r="G301" s="227">
        <f ca="1">SUM(Waterfalls!AD312:AO312)</f>
        <v>-674434.28421734134</v>
      </c>
      <c r="H301" s="227">
        <f>SUM(Waterfalls!AP312:BA312)</f>
        <v>0</v>
      </c>
      <c r="I301" s="227">
        <f>SUM(Waterfalls!BB312:BM312)</f>
        <v>0</v>
      </c>
      <c r="J301" s="227">
        <f>SUM(Waterfalls!BN312:BY312)</f>
        <v>0</v>
      </c>
      <c r="K301" s="227">
        <f>SUM(Waterfalls!BZ312:CK312)</f>
        <v>0</v>
      </c>
      <c r="L301" s="227">
        <f>SUM(Waterfalls!CL312:CW312)</f>
        <v>0</v>
      </c>
      <c r="M301" s="227">
        <f>SUM(Waterfalls!CX312:DI312)</f>
        <v>0</v>
      </c>
      <c r="N301" s="227">
        <f>SUM(Waterfalls!DJ312:DU312)</f>
        <v>0</v>
      </c>
    </row>
    <row r="302" spans="1:14" x14ac:dyDescent="0.3">
      <c r="A302" t="str">
        <f>Waterfalls!A313</f>
        <v>NOI (less AM fee paid from CF)</v>
      </c>
      <c r="D302" s="229">
        <f ca="1">Waterfalls!E313</f>
        <v>0</v>
      </c>
      <c r="E302" s="229">
        <f ca="1">SUM(Waterfalls!F313:Q313)</f>
        <v>0</v>
      </c>
      <c r="F302" s="229">
        <f ca="1">SUM(Waterfalls!R313:AC313)</f>
        <v>815684.16730603622</v>
      </c>
      <c r="G302" s="229">
        <f ca="1">SUM(Waterfalls!AD313:AO313)</f>
        <v>1582573.4602382774</v>
      </c>
      <c r="H302" s="229">
        <f ca="1">SUM(Waterfalls!AP313:BA313)</f>
        <v>0</v>
      </c>
      <c r="I302" s="229">
        <f ca="1">SUM(Waterfalls!BB313:BM313)</f>
        <v>0</v>
      </c>
      <c r="J302" s="229">
        <f ca="1">SUM(Waterfalls!BN313:BY313)</f>
        <v>0</v>
      </c>
      <c r="K302" s="229">
        <f ca="1">SUM(Waterfalls!BZ313:CK313)</f>
        <v>0</v>
      </c>
      <c r="L302" s="229">
        <f ca="1">SUM(Waterfalls!CL313:CW313)</f>
        <v>0</v>
      </c>
      <c r="M302" s="229">
        <f ca="1">SUM(Waterfalls!CX313:DI313)</f>
        <v>0</v>
      </c>
      <c r="N302" s="229">
        <f ca="1">SUM(Waterfalls!DJ313:DU313)</f>
        <v>0</v>
      </c>
    </row>
    <row r="303" spans="1:14" x14ac:dyDescent="0.3">
      <c r="A303" t="str">
        <f>Waterfalls!A314</f>
        <v>Net Proceeds from Sale</v>
      </c>
      <c r="D303" s="229">
        <f>Waterfalls!E314</f>
        <v>0</v>
      </c>
      <c r="E303" s="229">
        <f>SUM(Waterfalls!F314:Q314)</f>
        <v>0</v>
      </c>
      <c r="F303" s="229">
        <f>SUM(Waterfalls!R314:AC314)</f>
        <v>0</v>
      </c>
      <c r="G303" s="229">
        <f ca="1">SUM(Waterfalls!AD314:AO314)</f>
        <v>102059397.29701358</v>
      </c>
      <c r="H303" s="229">
        <f>SUM(Waterfalls!AP314:BA314)</f>
        <v>0</v>
      </c>
      <c r="I303" s="229">
        <f>SUM(Waterfalls!BB314:BM314)</f>
        <v>0</v>
      </c>
      <c r="J303" s="229">
        <f>SUM(Waterfalls!BN314:BY314)</f>
        <v>0</v>
      </c>
      <c r="K303" s="229">
        <f>SUM(Waterfalls!BZ314:CK314)</f>
        <v>0</v>
      </c>
      <c r="L303" s="229">
        <f>SUM(Waterfalls!CL314:CW314)</f>
        <v>0</v>
      </c>
      <c r="M303" s="229">
        <f>SUM(Waterfalls!CX314:DI314)</f>
        <v>0</v>
      </c>
      <c r="N303" s="229">
        <f>SUM(Waterfalls!DJ314:DU314)</f>
        <v>0</v>
      </c>
    </row>
    <row r="304" spans="1:14" ht="15" thickBot="1" x14ac:dyDescent="0.35">
      <c r="A304" s="248" t="str">
        <f>Waterfalls!A315</f>
        <v>Unlevered Cash Flow</v>
      </c>
      <c r="B304" s="248"/>
      <c r="C304" s="1527">
        <f ca="1">Waterfalls!C315</f>
        <v>0.24269524365049522</v>
      </c>
      <c r="D304" s="250">
        <f ca="1">Waterfalls!E315</f>
        <v>-976480.98946296622</v>
      </c>
      <c r="E304" s="250">
        <f ca="1">SUM(Waterfalls!F315:Q315)</f>
        <v>-42860040.153647311</v>
      </c>
      <c r="F304" s="250">
        <f ca="1">SUM(Waterfalls!R315:AC315)</f>
        <v>-30471683.052893713</v>
      </c>
      <c r="G304" s="250">
        <f ca="1">SUM(Waterfalls!AD315:AO315)</f>
        <v>102967536.47303452</v>
      </c>
      <c r="H304" s="250">
        <f ca="1">SUM(Waterfalls!AP315:BA315)</f>
        <v>0</v>
      </c>
      <c r="I304" s="250">
        <f ca="1">SUM(Waterfalls!BB315:BM315)</f>
        <v>0</v>
      </c>
      <c r="J304" s="250">
        <f ca="1">SUM(Waterfalls!BN315:BY315)</f>
        <v>0</v>
      </c>
      <c r="K304" s="250">
        <f ca="1">SUM(Waterfalls!BZ315:CK315)</f>
        <v>0</v>
      </c>
      <c r="L304" s="250">
        <f ca="1">SUM(Waterfalls!CL315:CW315)</f>
        <v>0</v>
      </c>
      <c r="M304" s="250">
        <f ca="1">SUM(Waterfalls!CX315:DI315)</f>
        <v>0</v>
      </c>
      <c r="N304" s="250">
        <f ca="1">SUM(Waterfalls!DJ315:DU315)</f>
        <v>0</v>
      </c>
    </row>
    <row r="305" ht="15" thickTop="1" x14ac:dyDescent="0.3"/>
  </sheetData>
  <sheetProtection algorithmName="SHA-512" hashValue="2p9C5Nyc3H+DK+RINeKZNSrhCPMeiZodk4blPXHhuS9euI2o0PnP1DEFEJDoMQfIV3WKL+h0P/DAStzD6FFPyA==" saltValue="7NMWa/OuT5ZZIrXFxS0Gxg==" spinCount="100000" sheet="1" objects="1" scenarios="1"/>
  <mergeCells count="5">
    <mergeCell ref="A279:C279"/>
    <mergeCell ref="A286:C286"/>
    <mergeCell ref="A293:C293"/>
    <mergeCell ref="A274:C274"/>
    <mergeCell ref="A300:C300"/>
  </mergeCells>
  <conditionalFormatting sqref="D2">
    <cfRule type="expression" dxfId="10" priority="3">
      <formula>D2=""</formula>
    </cfRule>
  </conditionalFormatting>
  <pageMargins left="0.25" right="0.25" top="0.4" bottom="0.4" header="0.3" footer="0.3"/>
  <pageSetup scale="60" orientation="landscape" r:id="rId1"/>
  <headerFooter>
    <oddHeader>&amp;C&amp;"Garamond,Bold Italic"&amp;14Waterfalls&amp;"Garamond,Italic"
(Annual Detail)&amp;R&amp;"Garamond,Regular"&amp;10Printed: &amp;D &amp;T</oddHeader>
    <oddFooter>&amp;R&amp;"Garamond,Regular"&amp;10Page &amp;P of &amp;N</oddFooter>
  </headerFooter>
  <rowBreaks count="5" manualBreakCount="5">
    <brk id="64" max="16383" man="1"/>
    <brk id="114" max="16383" man="1"/>
    <brk id="177" max="13" man="1"/>
    <brk id="229" max="16383" man="1"/>
    <brk id="270" max="16383" man="1"/>
  </rowBreaks>
  <extLst>
    <ext xmlns:x14="http://schemas.microsoft.com/office/spreadsheetml/2009/9/main" uri="{78C0D931-6437-407d-A8EE-F0AAD7539E65}">
      <x14:conditionalFormattings>
        <x14:conditionalFormatting xmlns:xm="http://schemas.microsoft.com/office/excel/2006/main">
          <x14:cfRule type="expression" priority="189" id="{C10C8FE2-A8A1-4777-878C-6C06CB477689}">
            <xm:f>'General Inputs'!$G$29="Multiple Hurdle"</xm:f>
            <x14:dxf>
              <numFmt numFmtId="211" formatCode="0.00&quot;x&quot;"/>
            </x14:dxf>
          </x14:cfRule>
          <xm:sqref>C236 C246 C256 C230 C243 C253</xm:sqref>
        </x14:conditionalFormatting>
      </x14:conditionalFormatting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5">
    <tabColor theme="6" tint="0.79998168889431442"/>
  </sheetPr>
  <dimension ref="A1:EK369"/>
  <sheetViews>
    <sheetView showGridLines="0" zoomScale="90" zoomScaleNormal="90" zoomScaleSheetLayoutView="80" workbookViewId="0">
      <pane xSplit="4" ySplit="6" topLeftCell="Y7" activePane="bottomRight" state="frozen"/>
      <selection activeCell="F153" sqref="F153:J153"/>
      <selection pane="topRight" activeCell="F153" sqref="F153:J153"/>
      <selection pane="bottomLeft" activeCell="F153" sqref="F153:J153"/>
      <selection pane="bottomRight" activeCell="F153" sqref="F153:J153"/>
    </sheetView>
  </sheetViews>
  <sheetFormatPr defaultColWidth="13.88671875" defaultRowHeight="14.4" x14ac:dyDescent="0.3"/>
  <cols>
    <col min="3" max="3" width="13.88671875" customWidth="1"/>
    <col min="4" max="4" width="13.88671875" style="200" hidden="1" customWidth="1"/>
    <col min="5" max="5" width="13.88671875" customWidth="1"/>
    <col min="11" max="12" width="13.88671875" customWidth="1"/>
    <col min="37" max="37" width="13.88671875" customWidth="1"/>
  </cols>
  <sheetData>
    <row r="1" spans="1:137" x14ac:dyDescent="0.3">
      <c r="A1" t="str">
        <f>DevBdgt!A1</f>
        <v>Project:</v>
      </c>
      <c r="B1" t="str">
        <f>DevBdgt!B1</f>
        <v>Emblem Meridian</v>
      </c>
      <c r="D1" s="282"/>
      <c r="BA1" s="280"/>
      <c r="BB1" s="280"/>
      <c r="BC1" s="280"/>
    </row>
    <row r="2" spans="1:137" x14ac:dyDescent="0.3">
      <c r="A2" t="str">
        <f>DevBdgt!A2</f>
        <v>Location:</v>
      </c>
      <c r="B2" s="229" t="str">
        <f>DevBdgt!B2</f>
        <v>Meridian, Other</v>
      </c>
      <c r="D2" s="282"/>
      <c r="E2" t="s">
        <v>2459</v>
      </c>
      <c r="F2" t="s">
        <v>2459</v>
      </c>
      <c r="BA2" s="280"/>
      <c r="BB2" s="280"/>
      <c r="BC2" s="227"/>
    </row>
    <row r="3" spans="1:137" x14ac:dyDescent="0.3">
      <c r="A3" t="str">
        <f>DevBdgt!A3</f>
        <v>Last Saved:</v>
      </c>
      <c r="B3" s="584">
        <f>DevBdgt!B3</f>
        <v>46248</v>
      </c>
      <c r="C3" s="585">
        <f>DevBdgt!C3</f>
        <v>0.67652777777777773</v>
      </c>
      <c r="D3" s="282"/>
      <c r="E3" s="388"/>
      <c r="F3" s="388"/>
      <c r="BA3" s="280"/>
      <c r="BB3" s="280"/>
      <c r="BC3" s="280"/>
    </row>
    <row r="4" spans="1:137" ht="6.75" customHeight="1" x14ac:dyDescent="0.3">
      <c r="B4" s="584"/>
      <c r="C4" s="585"/>
      <c r="D4" s="282"/>
      <c r="E4" s="388"/>
      <c r="F4" s="388"/>
    </row>
    <row r="5" spans="1:137" x14ac:dyDescent="0.3">
      <c r="A5" s="631"/>
      <c r="B5" s="631"/>
      <c r="C5" s="631"/>
      <c r="D5" s="723"/>
      <c r="E5" s="386">
        <f>DevBdgt!E6</f>
        <v>0</v>
      </c>
      <c r="F5" s="386">
        <f>DevBdgt!F6</f>
        <v>1</v>
      </c>
      <c r="G5" s="386">
        <f>DevBdgt!G6</f>
        <v>2</v>
      </c>
      <c r="H5" s="386">
        <f>DevBdgt!H6</f>
        <v>3</v>
      </c>
      <c r="I5" s="386">
        <f>DevBdgt!I6</f>
        <v>4</v>
      </c>
      <c r="J5" s="386">
        <f>DevBdgt!J6</f>
        <v>5</v>
      </c>
      <c r="K5" s="386">
        <f>DevBdgt!K6</f>
        <v>6</v>
      </c>
      <c r="L5" s="386">
        <f>DevBdgt!L6</f>
        <v>7</v>
      </c>
      <c r="M5" s="386">
        <f>DevBdgt!M6</f>
        <v>8</v>
      </c>
      <c r="N5" s="386">
        <f>DevBdgt!N6</f>
        <v>9</v>
      </c>
      <c r="O5" s="386">
        <f>DevBdgt!O6</f>
        <v>10</v>
      </c>
      <c r="P5" s="386">
        <f>DevBdgt!P6</f>
        <v>11</v>
      </c>
      <c r="Q5" s="386">
        <f>DevBdgt!Q6</f>
        <v>12</v>
      </c>
      <c r="R5" s="386">
        <f>DevBdgt!R6</f>
        <v>13</v>
      </c>
      <c r="S5" s="386">
        <f>DevBdgt!S6</f>
        <v>14</v>
      </c>
      <c r="T5" s="386">
        <f>DevBdgt!T6</f>
        <v>15</v>
      </c>
      <c r="U5" s="386">
        <f>DevBdgt!U6</f>
        <v>16</v>
      </c>
      <c r="V5" s="386">
        <f>DevBdgt!V6</f>
        <v>17</v>
      </c>
      <c r="W5" s="386">
        <f>DevBdgt!W6</f>
        <v>18</v>
      </c>
      <c r="X5" s="386">
        <f>DevBdgt!X6</f>
        <v>19</v>
      </c>
      <c r="Y5" s="386">
        <f>DevBdgt!Y6</f>
        <v>20</v>
      </c>
      <c r="Z5" s="386">
        <f>DevBdgt!Z6</f>
        <v>21</v>
      </c>
      <c r="AA5" s="386">
        <f>DevBdgt!AA6</f>
        <v>22</v>
      </c>
      <c r="AB5" s="386">
        <f>DevBdgt!AB6</f>
        <v>23</v>
      </c>
      <c r="AC5" s="386">
        <f>DevBdgt!AC6</f>
        <v>24</v>
      </c>
      <c r="AD5" s="386">
        <f>DevBdgt!AD6</f>
        <v>25</v>
      </c>
      <c r="AE5" s="386">
        <f>DevBdgt!AE6</f>
        <v>26</v>
      </c>
      <c r="AF5" s="386">
        <f>DevBdgt!AF6</f>
        <v>27</v>
      </c>
      <c r="AG5" s="386">
        <f>DevBdgt!AG6</f>
        <v>28</v>
      </c>
      <c r="AH5" s="386">
        <f>DevBdgt!AH6</f>
        <v>29</v>
      </c>
      <c r="AI5" s="386">
        <f>DevBdgt!AI6</f>
        <v>30</v>
      </c>
      <c r="AJ5" s="386">
        <f>DevBdgt!AJ6</f>
        <v>31</v>
      </c>
      <c r="AK5" s="386">
        <f>DevBdgt!AK6</f>
        <v>32</v>
      </c>
      <c r="AL5" s="386">
        <f>DevBdgt!AL6</f>
        <v>33</v>
      </c>
      <c r="AM5" s="386">
        <f>DevBdgt!AM6</f>
        <v>34</v>
      </c>
      <c r="AN5" s="386">
        <f>DevBdgt!AN6</f>
        <v>35</v>
      </c>
      <c r="AO5" s="386">
        <f>DevBdgt!AO6</f>
        <v>36</v>
      </c>
      <c r="AP5" s="386">
        <f>DevBdgt!AP6</f>
        <v>37</v>
      </c>
      <c r="AQ5" s="386">
        <f>DevBdgt!AQ6</f>
        <v>38</v>
      </c>
      <c r="AR5" s="386">
        <f>DevBdgt!AR6</f>
        <v>39</v>
      </c>
      <c r="AS5" s="386">
        <f>DevBdgt!AS6</f>
        <v>40</v>
      </c>
      <c r="AT5" s="386">
        <f>DevBdgt!AT6</f>
        <v>41</v>
      </c>
      <c r="AU5" s="386">
        <f>DevBdgt!AU6</f>
        <v>42</v>
      </c>
      <c r="AV5" s="386">
        <f>DevBdgt!AV6</f>
        <v>43</v>
      </c>
      <c r="AW5" s="386">
        <f>DevBdgt!AW6</f>
        <v>44</v>
      </c>
      <c r="AX5" s="386">
        <f>DevBdgt!AX6</f>
        <v>45</v>
      </c>
      <c r="AY5" s="386">
        <f>DevBdgt!AY6</f>
        <v>46</v>
      </c>
      <c r="AZ5" s="386">
        <f>DevBdgt!AZ6</f>
        <v>47</v>
      </c>
      <c r="BA5" s="386">
        <f>DevBdgt!BA6</f>
        <v>48</v>
      </c>
      <c r="BB5" s="386">
        <f>DevBdgt!BB6</f>
        <v>49</v>
      </c>
      <c r="BC5" s="386">
        <f>DevBdgt!BC6</f>
        <v>50</v>
      </c>
      <c r="BD5" s="386">
        <f>DevBdgt!BD6</f>
        <v>51</v>
      </c>
      <c r="BE5" s="386">
        <f>DevBdgt!BE6</f>
        <v>52</v>
      </c>
      <c r="BF5" s="386">
        <f>DevBdgt!BF6</f>
        <v>53</v>
      </c>
      <c r="BG5" s="386">
        <f>DevBdgt!BG6</f>
        <v>54</v>
      </c>
      <c r="BH5" s="386">
        <f>DevBdgt!BH6</f>
        <v>55</v>
      </c>
      <c r="BI5" s="386">
        <f>DevBdgt!BI6</f>
        <v>56</v>
      </c>
      <c r="BJ5" s="386">
        <f>DevBdgt!BJ6</f>
        <v>57</v>
      </c>
      <c r="BK5" s="386">
        <f>DevBdgt!BK6</f>
        <v>58</v>
      </c>
      <c r="BL5" s="386">
        <f>DevBdgt!BL6</f>
        <v>59</v>
      </c>
      <c r="BM5" s="386">
        <f>DevBdgt!BM6</f>
        <v>60</v>
      </c>
      <c r="BN5" s="386">
        <f>DevBdgt!BN6</f>
        <v>61</v>
      </c>
      <c r="BO5" s="386">
        <f>DevBdgt!BO6</f>
        <v>62</v>
      </c>
      <c r="BP5" s="386">
        <f>DevBdgt!BP6</f>
        <v>63</v>
      </c>
      <c r="BQ5" s="386">
        <f>DevBdgt!BQ6</f>
        <v>64</v>
      </c>
      <c r="BR5" s="386">
        <f>DevBdgt!BR6</f>
        <v>65</v>
      </c>
      <c r="BS5" s="386">
        <f>DevBdgt!BS6</f>
        <v>66</v>
      </c>
      <c r="BT5" s="386">
        <f>DevBdgt!BT6</f>
        <v>67</v>
      </c>
      <c r="BU5" s="386">
        <f>DevBdgt!BU6</f>
        <v>68</v>
      </c>
      <c r="BV5" s="386">
        <f>DevBdgt!BV6</f>
        <v>69</v>
      </c>
      <c r="BW5" s="386">
        <f>DevBdgt!BW6</f>
        <v>70</v>
      </c>
      <c r="BX5" s="386">
        <f>DevBdgt!BX6</f>
        <v>71</v>
      </c>
      <c r="BY5" s="386">
        <f>DevBdgt!BY6</f>
        <v>72</v>
      </c>
      <c r="BZ5" s="386">
        <f>DevBdgt!BZ6</f>
        <v>73</v>
      </c>
      <c r="CA5" s="386">
        <f>DevBdgt!CA6</f>
        <v>74</v>
      </c>
      <c r="CB5" s="386">
        <f>DevBdgt!CB6</f>
        <v>75</v>
      </c>
      <c r="CC5" s="386">
        <f>DevBdgt!CC6</f>
        <v>76</v>
      </c>
      <c r="CD5" s="386">
        <f>DevBdgt!CD6</f>
        <v>77</v>
      </c>
      <c r="CE5" s="386">
        <f>DevBdgt!CE6</f>
        <v>78</v>
      </c>
      <c r="CF5" s="386">
        <f>DevBdgt!CF6</f>
        <v>79</v>
      </c>
      <c r="CG5" s="386">
        <f>DevBdgt!CG6</f>
        <v>80</v>
      </c>
      <c r="CH5" s="386">
        <f>DevBdgt!CH6</f>
        <v>81</v>
      </c>
      <c r="CI5" s="386">
        <f>DevBdgt!CI6</f>
        <v>82</v>
      </c>
      <c r="CJ5" s="386">
        <f>DevBdgt!CJ6</f>
        <v>83</v>
      </c>
      <c r="CK5" s="386">
        <f>DevBdgt!CK6</f>
        <v>84</v>
      </c>
      <c r="CL5" s="386">
        <f>DevBdgt!CL6</f>
        <v>85</v>
      </c>
      <c r="CM5" s="386">
        <f>DevBdgt!CM6</f>
        <v>86</v>
      </c>
      <c r="CN5" s="386">
        <f>DevBdgt!CN6</f>
        <v>87</v>
      </c>
      <c r="CO5" s="386">
        <f>DevBdgt!CO6</f>
        <v>88</v>
      </c>
      <c r="CP5" s="386">
        <f>DevBdgt!CP6</f>
        <v>89</v>
      </c>
      <c r="CQ5" s="386">
        <f>DevBdgt!CQ6</f>
        <v>90</v>
      </c>
      <c r="CR5" s="386">
        <f>DevBdgt!CR6</f>
        <v>91</v>
      </c>
      <c r="CS5" s="386">
        <f>DevBdgt!CS6</f>
        <v>92</v>
      </c>
      <c r="CT5" s="386">
        <f>DevBdgt!CT6</f>
        <v>93</v>
      </c>
      <c r="CU5" s="386">
        <f>DevBdgt!CU6</f>
        <v>94</v>
      </c>
      <c r="CV5" s="386">
        <f>DevBdgt!CV6</f>
        <v>95</v>
      </c>
      <c r="CW5" s="386">
        <f>DevBdgt!CW6</f>
        <v>96</v>
      </c>
      <c r="CX5" s="386">
        <f>DevBdgt!CX6</f>
        <v>97</v>
      </c>
      <c r="CY5" s="386">
        <f>DevBdgt!CY6</f>
        <v>98</v>
      </c>
      <c r="CZ5" s="386">
        <f>DevBdgt!CZ6</f>
        <v>99</v>
      </c>
      <c r="DA5" s="386">
        <f>DevBdgt!DA6</f>
        <v>100</v>
      </c>
      <c r="DB5" s="386">
        <f>DevBdgt!DB6</f>
        <v>101</v>
      </c>
      <c r="DC5" s="386">
        <f>DevBdgt!DC6</f>
        <v>102</v>
      </c>
      <c r="DD5" s="386">
        <f>DevBdgt!DD6</f>
        <v>103</v>
      </c>
      <c r="DE5" s="386">
        <f>DevBdgt!DE6</f>
        <v>104</v>
      </c>
      <c r="DF5" s="386">
        <f>DevBdgt!DF6</f>
        <v>105</v>
      </c>
      <c r="DG5" s="386">
        <f>DevBdgt!DG6</f>
        <v>106</v>
      </c>
      <c r="DH5" s="386">
        <f>DevBdgt!DH6</f>
        <v>107</v>
      </c>
      <c r="DI5" s="386">
        <f>DevBdgt!DI6</f>
        <v>108</v>
      </c>
      <c r="DJ5" s="386">
        <f>DevBdgt!DJ6</f>
        <v>109</v>
      </c>
      <c r="DK5" s="386">
        <f>DevBdgt!DK6</f>
        <v>110</v>
      </c>
      <c r="DL5" s="386">
        <f>DevBdgt!DL6</f>
        <v>111</v>
      </c>
      <c r="DM5" s="386">
        <f>DevBdgt!DM6</f>
        <v>112</v>
      </c>
      <c r="DN5" s="386">
        <f>DevBdgt!DN6</f>
        <v>113</v>
      </c>
      <c r="DO5" s="386">
        <f>DevBdgt!DO6</f>
        <v>114</v>
      </c>
      <c r="DP5" s="386">
        <f>DevBdgt!DP6</f>
        <v>115</v>
      </c>
      <c r="DQ5" s="386">
        <f>DevBdgt!DQ6</f>
        <v>116</v>
      </c>
      <c r="DR5" s="386">
        <f>DevBdgt!DR6</f>
        <v>117</v>
      </c>
      <c r="DS5" s="386">
        <f>DevBdgt!DS6</f>
        <v>118</v>
      </c>
      <c r="DT5" s="386">
        <f>DevBdgt!DT6</f>
        <v>119</v>
      </c>
      <c r="DU5" s="386">
        <f>DevBdgt!DU6</f>
        <v>120</v>
      </c>
      <c r="DV5" s="386">
        <f>DevBdgt!DV6</f>
        <v>121</v>
      </c>
      <c r="DW5" s="386">
        <f>DevBdgt!DW6</f>
        <v>122</v>
      </c>
      <c r="DX5" s="386">
        <f>DevBdgt!DX6</f>
        <v>123</v>
      </c>
      <c r="DY5" s="386">
        <f>DevBdgt!DY6</f>
        <v>124</v>
      </c>
      <c r="DZ5" s="386">
        <f>DevBdgt!DZ6</f>
        <v>125</v>
      </c>
      <c r="EA5" s="386">
        <f>DevBdgt!EA6</f>
        <v>126</v>
      </c>
      <c r="EB5" s="386">
        <f>DevBdgt!EB6</f>
        <v>127</v>
      </c>
      <c r="EC5" s="386">
        <f>DevBdgt!EC6</f>
        <v>128</v>
      </c>
      <c r="ED5" s="386">
        <f>DevBdgt!ED6</f>
        <v>129</v>
      </c>
      <c r="EE5" s="386">
        <f>DevBdgt!EE6</f>
        <v>130</v>
      </c>
      <c r="EF5" s="386">
        <f>DevBdgt!EF6</f>
        <v>131</v>
      </c>
      <c r="EG5" s="386">
        <f>DevBdgt!EG6</f>
        <v>132</v>
      </c>
    </row>
    <row r="6" spans="1:137" ht="15" thickBot="1" x14ac:dyDescent="0.35">
      <c r="A6" s="634"/>
      <c r="B6" s="634"/>
      <c r="C6" s="634"/>
      <c r="D6" s="724">
        <v>1</v>
      </c>
      <c r="E6" s="387">
        <f>DevBdgt!E7</f>
        <v>46631</v>
      </c>
      <c r="F6" s="387">
        <f>DevBdgt!F7</f>
        <v>46661</v>
      </c>
      <c r="G6" s="387">
        <f>DevBdgt!G7</f>
        <v>46692</v>
      </c>
      <c r="H6" s="387">
        <f>DevBdgt!H7</f>
        <v>46722</v>
      </c>
      <c r="I6" s="387">
        <f>DevBdgt!I7</f>
        <v>46753</v>
      </c>
      <c r="J6" s="387">
        <f>DevBdgt!J7</f>
        <v>46784</v>
      </c>
      <c r="K6" s="387">
        <f>DevBdgt!K7</f>
        <v>46813</v>
      </c>
      <c r="L6" s="387">
        <f>DevBdgt!L7</f>
        <v>46844</v>
      </c>
      <c r="M6" s="387">
        <f>DevBdgt!M7</f>
        <v>46874</v>
      </c>
      <c r="N6" s="387">
        <f>DevBdgt!N7</f>
        <v>46905</v>
      </c>
      <c r="O6" s="387">
        <f>DevBdgt!O7</f>
        <v>46935</v>
      </c>
      <c r="P6" s="387">
        <f>DevBdgt!P7</f>
        <v>46966</v>
      </c>
      <c r="Q6" s="387">
        <f>DevBdgt!Q7</f>
        <v>46997</v>
      </c>
      <c r="R6" s="387">
        <f>DevBdgt!R7</f>
        <v>47027</v>
      </c>
      <c r="S6" s="387">
        <f>DevBdgt!S7</f>
        <v>47058</v>
      </c>
      <c r="T6" s="387">
        <f>DevBdgt!T7</f>
        <v>47088</v>
      </c>
      <c r="U6" s="387">
        <f>DevBdgt!U7</f>
        <v>47119</v>
      </c>
      <c r="V6" s="387">
        <f>DevBdgt!V7</f>
        <v>47150</v>
      </c>
      <c r="W6" s="387">
        <f>DevBdgt!W7</f>
        <v>47178</v>
      </c>
      <c r="X6" s="387">
        <f>DevBdgt!X7</f>
        <v>47209</v>
      </c>
      <c r="Y6" s="387">
        <f>DevBdgt!Y7</f>
        <v>47239</v>
      </c>
      <c r="Z6" s="387">
        <f>DevBdgt!Z7</f>
        <v>47270</v>
      </c>
      <c r="AA6" s="387">
        <f>DevBdgt!AA7</f>
        <v>47300</v>
      </c>
      <c r="AB6" s="387">
        <f>DevBdgt!AB7</f>
        <v>47331</v>
      </c>
      <c r="AC6" s="387">
        <f>DevBdgt!AC7</f>
        <v>47362</v>
      </c>
      <c r="AD6" s="387">
        <f>DevBdgt!AD7</f>
        <v>47392</v>
      </c>
      <c r="AE6" s="387">
        <f>DevBdgt!AE7</f>
        <v>47423</v>
      </c>
      <c r="AF6" s="387">
        <f>DevBdgt!AF7</f>
        <v>47453</v>
      </c>
      <c r="AG6" s="387">
        <f>DevBdgt!AG7</f>
        <v>47484</v>
      </c>
      <c r="AH6" s="387">
        <f>DevBdgt!AH7</f>
        <v>47515</v>
      </c>
      <c r="AI6" s="387">
        <f>DevBdgt!AI7</f>
        <v>47543</v>
      </c>
      <c r="AJ6" s="387">
        <f>DevBdgt!AJ7</f>
        <v>47574</v>
      </c>
      <c r="AK6" s="387">
        <f>DevBdgt!AK7</f>
        <v>47604</v>
      </c>
      <c r="AL6" s="387">
        <f>DevBdgt!AL7</f>
        <v>47635</v>
      </c>
      <c r="AM6" s="387">
        <f>DevBdgt!AM7</f>
        <v>47665</v>
      </c>
      <c r="AN6" s="387">
        <f>DevBdgt!AN7</f>
        <v>47696</v>
      </c>
      <c r="AO6" s="387">
        <f>DevBdgt!AO7</f>
        <v>47727</v>
      </c>
      <c r="AP6" s="387">
        <f>DevBdgt!AP7</f>
        <v>47757</v>
      </c>
      <c r="AQ6" s="387">
        <f>DevBdgt!AQ7</f>
        <v>47788</v>
      </c>
      <c r="AR6" s="387">
        <f>DevBdgt!AR7</f>
        <v>47818</v>
      </c>
      <c r="AS6" s="387">
        <f>DevBdgt!AS7</f>
        <v>47849</v>
      </c>
      <c r="AT6" s="387">
        <f>DevBdgt!AT7</f>
        <v>47880</v>
      </c>
      <c r="AU6" s="387">
        <f>DevBdgt!AU7</f>
        <v>47908</v>
      </c>
      <c r="AV6" s="387">
        <f>DevBdgt!AV7</f>
        <v>47939</v>
      </c>
      <c r="AW6" s="387">
        <f>DevBdgt!AW7</f>
        <v>47969</v>
      </c>
      <c r="AX6" s="387">
        <f>DevBdgt!AX7</f>
        <v>48000</v>
      </c>
      <c r="AY6" s="387">
        <f>DevBdgt!AY7</f>
        <v>48030</v>
      </c>
      <c r="AZ6" s="387">
        <f>DevBdgt!AZ7</f>
        <v>48061</v>
      </c>
      <c r="BA6" s="387">
        <f>DevBdgt!BA7</f>
        <v>48092</v>
      </c>
      <c r="BB6" s="387">
        <f>DevBdgt!BB7</f>
        <v>48122</v>
      </c>
      <c r="BC6" s="387">
        <f>DevBdgt!BC7</f>
        <v>48153</v>
      </c>
      <c r="BD6" s="387">
        <f>DevBdgt!BD7</f>
        <v>48183</v>
      </c>
      <c r="BE6" s="387">
        <f>DevBdgt!BE7</f>
        <v>48214</v>
      </c>
      <c r="BF6" s="387">
        <f>DevBdgt!BF7</f>
        <v>48245</v>
      </c>
      <c r="BG6" s="387">
        <f>DevBdgt!BG7</f>
        <v>48274</v>
      </c>
      <c r="BH6" s="387">
        <f>DevBdgt!BH7</f>
        <v>48305</v>
      </c>
      <c r="BI6" s="387">
        <f>DevBdgt!BI7</f>
        <v>48335</v>
      </c>
      <c r="BJ6" s="387">
        <f>DevBdgt!BJ7</f>
        <v>48366</v>
      </c>
      <c r="BK6" s="387">
        <f>DevBdgt!BK7</f>
        <v>48396</v>
      </c>
      <c r="BL6" s="387">
        <f>DevBdgt!BL7</f>
        <v>48427</v>
      </c>
      <c r="BM6" s="387">
        <f>DevBdgt!BM7</f>
        <v>48458</v>
      </c>
      <c r="BN6" s="387">
        <f>DevBdgt!BN7</f>
        <v>48488</v>
      </c>
      <c r="BO6" s="387">
        <f>DevBdgt!BO7</f>
        <v>48519</v>
      </c>
      <c r="BP6" s="387">
        <f>DevBdgt!BP7</f>
        <v>48549</v>
      </c>
      <c r="BQ6" s="387">
        <f>DevBdgt!BQ7</f>
        <v>48580</v>
      </c>
      <c r="BR6" s="387">
        <f>DevBdgt!BR7</f>
        <v>48611</v>
      </c>
      <c r="BS6" s="387">
        <f>DevBdgt!BS7</f>
        <v>48639</v>
      </c>
      <c r="BT6" s="387">
        <f>DevBdgt!BT7</f>
        <v>48670</v>
      </c>
      <c r="BU6" s="387">
        <f>DevBdgt!BU7</f>
        <v>48700</v>
      </c>
      <c r="BV6" s="387">
        <f>DevBdgt!BV7</f>
        <v>48731</v>
      </c>
      <c r="BW6" s="387">
        <f>DevBdgt!BW7</f>
        <v>48761</v>
      </c>
      <c r="BX6" s="387">
        <f>DevBdgt!BX7</f>
        <v>48792</v>
      </c>
      <c r="BY6" s="387">
        <f>DevBdgt!BY7</f>
        <v>48823</v>
      </c>
      <c r="BZ6" s="387">
        <f>DevBdgt!BZ7</f>
        <v>48853</v>
      </c>
      <c r="CA6" s="387">
        <f>DevBdgt!CA7</f>
        <v>48884</v>
      </c>
      <c r="CB6" s="387">
        <f>DevBdgt!CB7</f>
        <v>48914</v>
      </c>
      <c r="CC6" s="387">
        <f>DevBdgt!CC7</f>
        <v>48945</v>
      </c>
      <c r="CD6" s="387">
        <f>DevBdgt!CD7</f>
        <v>48976</v>
      </c>
      <c r="CE6" s="387">
        <f>DevBdgt!CE7</f>
        <v>49004</v>
      </c>
      <c r="CF6" s="387">
        <f>DevBdgt!CF7</f>
        <v>49035</v>
      </c>
      <c r="CG6" s="387">
        <f>DevBdgt!CG7</f>
        <v>49065</v>
      </c>
      <c r="CH6" s="387">
        <f>DevBdgt!CH7</f>
        <v>49096</v>
      </c>
      <c r="CI6" s="387">
        <f>DevBdgt!CI7</f>
        <v>49126</v>
      </c>
      <c r="CJ6" s="387">
        <f>DevBdgt!CJ7</f>
        <v>49157</v>
      </c>
      <c r="CK6" s="387">
        <f>DevBdgt!CK7</f>
        <v>49188</v>
      </c>
      <c r="CL6" s="387">
        <f>DevBdgt!CL7</f>
        <v>49218</v>
      </c>
      <c r="CM6" s="387">
        <f>DevBdgt!CM7</f>
        <v>49249</v>
      </c>
      <c r="CN6" s="387">
        <f>DevBdgt!CN7</f>
        <v>49279</v>
      </c>
      <c r="CO6" s="387">
        <f>DevBdgt!CO7</f>
        <v>49310</v>
      </c>
      <c r="CP6" s="387">
        <f>DevBdgt!CP7</f>
        <v>49341</v>
      </c>
      <c r="CQ6" s="387">
        <f>DevBdgt!CQ7</f>
        <v>49369</v>
      </c>
      <c r="CR6" s="387">
        <f>DevBdgt!CR7</f>
        <v>49400</v>
      </c>
      <c r="CS6" s="387">
        <f>DevBdgt!CS7</f>
        <v>49430</v>
      </c>
      <c r="CT6" s="387">
        <f>DevBdgt!CT7</f>
        <v>49461</v>
      </c>
      <c r="CU6" s="387">
        <f>DevBdgt!CU7</f>
        <v>49491</v>
      </c>
      <c r="CV6" s="387">
        <f>DevBdgt!CV7</f>
        <v>49522</v>
      </c>
      <c r="CW6" s="387">
        <f>DevBdgt!CW7</f>
        <v>49553</v>
      </c>
      <c r="CX6" s="387">
        <f>DevBdgt!CX7</f>
        <v>49583</v>
      </c>
      <c r="CY6" s="387">
        <f>DevBdgt!CY7</f>
        <v>49614</v>
      </c>
      <c r="CZ6" s="387">
        <f>DevBdgt!CZ7</f>
        <v>49644</v>
      </c>
      <c r="DA6" s="387">
        <f>DevBdgt!DA7</f>
        <v>49675</v>
      </c>
      <c r="DB6" s="387">
        <f>DevBdgt!DB7</f>
        <v>49706</v>
      </c>
      <c r="DC6" s="387">
        <f>DevBdgt!DC7</f>
        <v>49735</v>
      </c>
      <c r="DD6" s="387">
        <f>DevBdgt!DD7</f>
        <v>49766</v>
      </c>
      <c r="DE6" s="387">
        <f>DevBdgt!DE7</f>
        <v>49796</v>
      </c>
      <c r="DF6" s="387">
        <f>DevBdgt!DF7</f>
        <v>49827</v>
      </c>
      <c r="DG6" s="387">
        <f>DevBdgt!DG7</f>
        <v>49857</v>
      </c>
      <c r="DH6" s="387">
        <f>DevBdgt!DH7</f>
        <v>49888</v>
      </c>
      <c r="DI6" s="387">
        <f>DevBdgt!DI7</f>
        <v>49919</v>
      </c>
      <c r="DJ6" s="387">
        <f>DevBdgt!DJ7</f>
        <v>49949</v>
      </c>
      <c r="DK6" s="387">
        <f>DevBdgt!DK7</f>
        <v>49980</v>
      </c>
      <c r="DL6" s="387">
        <f>DevBdgt!DL7</f>
        <v>50010</v>
      </c>
      <c r="DM6" s="387">
        <f>DevBdgt!DM7</f>
        <v>50041</v>
      </c>
      <c r="DN6" s="387">
        <f>DevBdgt!DN7</f>
        <v>50072</v>
      </c>
      <c r="DO6" s="387">
        <f>DevBdgt!DO7</f>
        <v>50100</v>
      </c>
      <c r="DP6" s="387">
        <f>DevBdgt!DP7</f>
        <v>50131</v>
      </c>
      <c r="DQ6" s="387">
        <f>DevBdgt!DQ7</f>
        <v>50161</v>
      </c>
      <c r="DR6" s="387">
        <f>DevBdgt!DR7</f>
        <v>50192</v>
      </c>
      <c r="DS6" s="387">
        <f>DevBdgt!DS7</f>
        <v>50222</v>
      </c>
      <c r="DT6" s="387">
        <f>DevBdgt!DT7</f>
        <v>50253</v>
      </c>
      <c r="DU6" s="387">
        <f>DevBdgt!DU7</f>
        <v>50284</v>
      </c>
      <c r="DV6" s="387">
        <f>DevBdgt!DV7</f>
        <v>50314</v>
      </c>
      <c r="DW6" s="387">
        <f>DevBdgt!DW7</f>
        <v>50345</v>
      </c>
      <c r="DX6" s="387">
        <f>DevBdgt!DX7</f>
        <v>50375</v>
      </c>
      <c r="DY6" s="387">
        <f>DevBdgt!DY7</f>
        <v>50406</v>
      </c>
      <c r="DZ6" s="387">
        <f>DevBdgt!DZ7</f>
        <v>50437</v>
      </c>
      <c r="EA6" s="387">
        <f>DevBdgt!EA7</f>
        <v>50465</v>
      </c>
      <c r="EB6" s="387">
        <f>DevBdgt!EB7</f>
        <v>50496</v>
      </c>
      <c r="EC6" s="387">
        <f>DevBdgt!EC7</f>
        <v>50526</v>
      </c>
      <c r="ED6" s="387">
        <f>DevBdgt!ED7</f>
        <v>50557</v>
      </c>
      <c r="EE6" s="387">
        <f>DevBdgt!EE7</f>
        <v>50587</v>
      </c>
      <c r="EF6" s="387">
        <f>DevBdgt!EF7</f>
        <v>50618</v>
      </c>
      <c r="EG6" s="387">
        <f>DevBdgt!EG7</f>
        <v>50649</v>
      </c>
    </row>
    <row r="7" spans="1:137" ht="6.75" customHeight="1" thickTop="1" x14ac:dyDescent="0.3">
      <c r="D7" s="282"/>
    </row>
    <row r="8" spans="1:137" x14ac:dyDescent="0.3">
      <c r="A8" s="700" t="s">
        <v>2460</v>
      </c>
    </row>
    <row r="9" spans="1:137" x14ac:dyDescent="0.3">
      <c r="A9" t="s">
        <v>2461</v>
      </c>
      <c r="E9" s="227">
        <f t="shared" ref="E9:BP9" si="0">D11</f>
        <v>0</v>
      </c>
      <c r="F9" s="227">
        <f t="shared" ca="1" si="0"/>
        <v>0</v>
      </c>
      <c r="G9" s="227">
        <f t="shared" ca="1" si="0"/>
        <v>0</v>
      </c>
      <c r="H9" s="227">
        <f t="shared" ca="1" si="0"/>
        <v>0</v>
      </c>
      <c r="I9" s="227">
        <f t="shared" ca="1" si="0"/>
        <v>0</v>
      </c>
      <c r="J9" s="227">
        <f t="shared" ca="1" si="0"/>
        <v>0</v>
      </c>
      <c r="K9" s="227">
        <f t="shared" ca="1" si="0"/>
        <v>0</v>
      </c>
      <c r="L9" s="227">
        <f t="shared" ca="1" si="0"/>
        <v>0</v>
      </c>
      <c r="M9" s="227">
        <f t="shared" ca="1" si="0"/>
        <v>0</v>
      </c>
      <c r="N9" s="227">
        <f t="shared" ca="1" si="0"/>
        <v>0</v>
      </c>
      <c r="O9" s="227">
        <f t="shared" ca="1" si="0"/>
        <v>0</v>
      </c>
      <c r="P9" s="227">
        <f t="shared" ca="1" si="0"/>
        <v>1711728.34</v>
      </c>
      <c r="Q9" s="227">
        <f t="shared" ca="1" si="0"/>
        <v>5697228.0930000003</v>
      </c>
      <c r="R9" s="227">
        <f t="shared" ca="1" si="0"/>
        <v>9733199.8629999999</v>
      </c>
      <c r="S9" s="227">
        <f t="shared" ca="1" si="0"/>
        <v>13808090.988</v>
      </c>
      <c r="T9" s="227">
        <f t="shared" ca="1" si="0"/>
        <v>17622260.153000001</v>
      </c>
      <c r="U9" s="227">
        <f t="shared" ca="1" si="0"/>
        <v>21329502.300000001</v>
      </c>
      <c r="V9" s="227">
        <f t="shared" ca="1" si="0"/>
        <v>24768144.386</v>
      </c>
      <c r="W9" s="227">
        <f t="shared" ca="1" si="0"/>
        <v>27869886.265000001</v>
      </c>
      <c r="X9" s="227">
        <f t="shared" ca="1" si="0"/>
        <v>30955999.098000001</v>
      </c>
      <c r="Y9" s="227">
        <f t="shared" ca="1" si="0"/>
        <v>33796813.004000001</v>
      </c>
      <c r="Z9" s="227">
        <f t="shared" ca="1" si="0"/>
        <v>36204153.247000001</v>
      </c>
      <c r="AA9" s="227">
        <f t="shared" ca="1" si="0"/>
        <v>38271070.438000001</v>
      </c>
      <c r="AB9" s="227">
        <f t="shared" ca="1" si="0"/>
        <v>40007220.784000002</v>
      </c>
      <c r="AC9" s="227">
        <f t="shared" ca="1" si="0"/>
        <v>41209308.363000005</v>
      </c>
      <c r="AD9" s="227">
        <f t="shared" ca="1" si="0"/>
        <v>42200089.103000008</v>
      </c>
      <c r="AE9" s="227">
        <f t="shared" ca="1" si="0"/>
        <v>42877793.387000009</v>
      </c>
      <c r="AF9" s="227">
        <f t="shared" ca="1" si="0"/>
        <v>42877793.387000009</v>
      </c>
      <c r="AG9" s="227">
        <f t="shared" ca="1" si="0"/>
        <v>42877793.387000009</v>
      </c>
      <c r="AH9" s="227">
        <f t="shared" ca="1" si="0"/>
        <v>42877793.387000009</v>
      </c>
      <c r="AI9" s="227">
        <f t="shared" ca="1" si="0"/>
        <v>42877793.387000009</v>
      </c>
      <c r="AJ9" s="227">
        <f t="shared" ca="1" si="0"/>
        <v>42877793.387000009</v>
      </c>
      <c r="AK9" s="227">
        <f t="shared" ca="1" si="0"/>
        <v>42877793.387000009</v>
      </c>
      <c r="AL9" s="227">
        <f t="shared" ca="1" si="0"/>
        <v>42877793.387000009</v>
      </c>
      <c r="AM9" s="227">
        <f t="shared" ca="1" si="0"/>
        <v>42877793.387000009</v>
      </c>
      <c r="AN9" s="227">
        <f t="shared" ca="1" si="0"/>
        <v>42877793.387000009</v>
      </c>
      <c r="AO9" s="227">
        <f t="shared" ca="1" si="0"/>
        <v>42877793.387000009</v>
      </c>
      <c r="AP9" s="227">
        <f t="shared" ca="1" si="0"/>
        <v>42877793.387000009</v>
      </c>
      <c r="AQ9" s="227">
        <f t="shared" ca="1" si="0"/>
        <v>42877793.387000009</v>
      </c>
      <c r="AR9" s="227">
        <f t="shared" ca="1" si="0"/>
        <v>42877793.387000009</v>
      </c>
      <c r="AS9" s="227">
        <f t="shared" ca="1" si="0"/>
        <v>42877793.387000009</v>
      </c>
      <c r="AT9" s="227">
        <f t="shared" ca="1" si="0"/>
        <v>42877793.387000009</v>
      </c>
      <c r="AU9" s="227">
        <f t="shared" ca="1" si="0"/>
        <v>42877793.387000009</v>
      </c>
      <c r="AV9" s="227">
        <f t="shared" ca="1" si="0"/>
        <v>42877793.387000009</v>
      </c>
      <c r="AW9" s="227">
        <f t="shared" ca="1" si="0"/>
        <v>42877793.387000009</v>
      </c>
      <c r="AX9" s="227">
        <f t="shared" ca="1" si="0"/>
        <v>42877793.387000009</v>
      </c>
      <c r="AY9" s="227">
        <f t="shared" ca="1" si="0"/>
        <v>42877793.387000009</v>
      </c>
      <c r="AZ9" s="227">
        <f t="shared" ca="1" si="0"/>
        <v>42877793.387000009</v>
      </c>
      <c r="BA9" s="227">
        <f t="shared" ca="1" si="0"/>
        <v>42877793.387000009</v>
      </c>
      <c r="BB9" s="227">
        <f t="shared" ca="1" si="0"/>
        <v>42877793.387000009</v>
      </c>
      <c r="BC9" s="227">
        <f t="shared" ca="1" si="0"/>
        <v>42877793.387000009</v>
      </c>
      <c r="BD9" s="227">
        <f t="shared" ca="1" si="0"/>
        <v>42877793.387000009</v>
      </c>
      <c r="BE9" s="227">
        <f t="shared" ca="1" si="0"/>
        <v>42877793.387000009</v>
      </c>
      <c r="BF9" s="227">
        <f t="shared" ca="1" si="0"/>
        <v>42877793.387000009</v>
      </c>
      <c r="BG9" s="227">
        <f t="shared" ca="1" si="0"/>
        <v>42877793.387000009</v>
      </c>
      <c r="BH9" s="227">
        <f t="shared" ca="1" si="0"/>
        <v>42877793.387000009</v>
      </c>
      <c r="BI9" s="227">
        <f t="shared" ca="1" si="0"/>
        <v>42877793.387000009</v>
      </c>
      <c r="BJ9" s="227">
        <f t="shared" ca="1" si="0"/>
        <v>42877793.387000009</v>
      </c>
      <c r="BK9" s="227">
        <f t="shared" ca="1" si="0"/>
        <v>42877793.387000009</v>
      </c>
      <c r="BL9" s="227">
        <f t="shared" ca="1" si="0"/>
        <v>42877793.387000009</v>
      </c>
      <c r="BM9" s="227">
        <f t="shared" ca="1" si="0"/>
        <v>42877793.387000009</v>
      </c>
      <c r="BN9" s="227">
        <f t="shared" ca="1" si="0"/>
        <v>42877793.387000009</v>
      </c>
      <c r="BO9" s="227">
        <f t="shared" ca="1" si="0"/>
        <v>42877793.387000009</v>
      </c>
      <c r="BP9" s="227">
        <f t="shared" ca="1" si="0"/>
        <v>42877793.387000009</v>
      </c>
      <c r="BQ9" s="227">
        <f t="shared" ref="BQ9:EB9" ca="1" si="1">BP11</f>
        <v>42877793.387000009</v>
      </c>
      <c r="BR9" s="227">
        <f t="shared" ca="1" si="1"/>
        <v>42877793.387000009</v>
      </c>
      <c r="BS9" s="227">
        <f t="shared" ca="1" si="1"/>
        <v>42877793.387000009</v>
      </c>
      <c r="BT9" s="227">
        <f t="shared" ca="1" si="1"/>
        <v>42877793.387000009</v>
      </c>
      <c r="BU9" s="227">
        <f t="shared" ca="1" si="1"/>
        <v>42877793.387000009</v>
      </c>
      <c r="BV9" s="227">
        <f t="shared" ca="1" si="1"/>
        <v>42877793.387000009</v>
      </c>
      <c r="BW9" s="227">
        <f t="shared" ca="1" si="1"/>
        <v>42877793.387000009</v>
      </c>
      <c r="BX9" s="227">
        <f t="shared" ca="1" si="1"/>
        <v>42877793.387000009</v>
      </c>
      <c r="BY9" s="227">
        <f t="shared" ca="1" si="1"/>
        <v>42877793.387000009</v>
      </c>
      <c r="BZ9" s="227">
        <f t="shared" ca="1" si="1"/>
        <v>42877793.387000009</v>
      </c>
      <c r="CA9" s="227">
        <f t="shared" ca="1" si="1"/>
        <v>42877793.387000009</v>
      </c>
      <c r="CB9" s="227">
        <f t="shared" ca="1" si="1"/>
        <v>42877793.387000009</v>
      </c>
      <c r="CC9" s="227">
        <f t="shared" ca="1" si="1"/>
        <v>42877793.387000009</v>
      </c>
      <c r="CD9" s="227">
        <f t="shared" ca="1" si="1"/>
        <v>42877793.387000009</v>
      </c>
      <c r="CE9" s="227">
        <f t="shared" ca="1" si="1"/>
        <v>42877793.387000009</v>
      </c>
      <c r="CF9" s="227">
        <f t="shared" ca="1" si="1"/>
        <v>42877793.387000009</v>
      </c>
      <c r="CG9" s="227">
        <f t="shared" ca="1" si="1"/>
        <v>42877793.387000009</v>
      </c>
      <c r="CH9" s="227">
        <f t="shared" ca="1" si="1"/>
        <v>42877793.387000009</v>
      </c>
      <c r="CI9" s="227">
        <f t="shared" ca="1" si="1"/>
        <v>42877793.387000009</v>
      </c>
      <c r="CJ9" s="227">
        <f t="shared" ca="1" si="1"/>
        <v>42877793.387000009</v>
      </c>
      <c r="CK9" s="227">
        <f t="shared" ca="1" si="1"/>
        <v>42877793.387000009</v>
      </c>
      <c r="CL9" s="227">
        <f t="shared" ca="1" si="1"/>
        <v>42877793.387000009</v>
      </c>
      <c r="CM9" s="227">
        <f t="shared" ca="1" si="1"/>
        <v>42877793.387000009</v>
      </c>
      <c r="CN9" s="227">
        <f t="shared" ca="1" si="1"/>
        <v>42877793.387000009</v>
      </c>
      <c r="CO9" s="227">
        <f t="shared" ca="1" si="1"/>
        <v>42877793.387000009</v>
      </c>
      <c r="CP9" s="227">
        <f t="shared" ca="1" si="1"/>
        <v>42877793.387000009</v>
      </c>
      <c r="CQ9" s="227">
        <f t="shared" ca="1" si="1"/>
        <v>42877793.387000009</v>
      </c>
      <c r="CR9" s="227">
        <f t="shared" ca="1" si="1"/>
        <v>42877793.387000009</v>
      </c>
      <c r="CS9" s="227">
        <f t="shared" ca="1" si="1"/>
        <v>42877793.387000009</v>
      </c>
      <c r="CT9" s="227">
        <f t="shared" ca="1" si="1"/>
        <v>42877793.387000009</v>
      </c>
      <c r="CU9" s="227">
        <f t="shared" ca="1" si="1"/>
        <v>42877793.387000009</v>
      </c>
      <c r="CV9" s="227">
        <f t="shared" ca="1" si="1"/>
        <v>42877793.387000009</v>
      </c>
      <c r="CW9" s="227">
        <f t="shared" ca="1" si="1"/>
        <v>42877793.387000009</v>
      </c>
      <c r="CX9" s="227">
        <f t="shared" ca="1" si="1"/>
        <v>42877793.387000009</v>
      </c>
      <c r="CY9" s="227">
        <f t="shared" ca="1" si="1"/>
        <v>42877793.387000009</v>
      </c>
      <c r="CZ9" s="227">
        <f t="shared" ca="1" si="1"/>
        <v>42877793.387000009</v>
      </c>
      <c r="DA9" s="227">
        <f t="shared" ca="1" si="1"/>
        <v>42877793.387000009</v>
      </c>
      <c r="DB9" s="227">
        <f t="shared" ca="1" si="1"/>
        <v>42877793.387000009</v>
      </c>
      <c r="DC9" s="227">
        <f t="shared" ca="1" si="1"/>
        <v>42877793.387000009</v>
      </c>
      <c r="DD9" s="227">
        <f t="shared" ca="1" si="1"/>
        <v>42877793.387000009</v>
      </c>
      <c r="DE9" s="227">
        <f t="shared" ca="1" si="1"/>
        <v>42877793.387000009</v>
      </c>
      <c r="DF9" s="227">
        <f t="shared" ca="1" si="1"/>
        <v>42877793.387000009</v>
      </c>
      <c r="DG9" s="227">
        <f t="shared" ca="1" si="1"/>
        <v>42877793.387000009</v>
      </c>
      <c r="DH9" s="227">
        <f t="shared" ca="1" si="1"/>
        <v>42877793.387000009</v>
      </c>
      <c r="DI9" s="227">
        <f t="shared" ca="1" si="1"/>
        <v>42877793.387000009</v>
      </c>
      <c r="DJ9" s="227">
        <f t="shared" ca="1" si="1"/>
        <v>42877793.387000009</v>
      </c>
      <c r="DK9" s="227">
        <f t="shared" ca="1" si="1"/>
        <v>42877793.387000009</v>
      </c>
      <c r="DL9" s="227">
        <f t="shared" ca="1" si="1"/>
        <v>42877793.387000009</v>
      </c>
      <c r="DM9" s="227">
        <f t="shared" ca="1" si="1"/>
        <v>42877793.387000009</v>
      </c>
      <c r="DN9" s="227">
        <f t="shared" ca="1" si="1"/>
        <v>42877793.387000009</v>
      </c>
      <c r="DO9" s="227">
        <f t="shared" ca="1" si="1"/>
        <v>42877793.387000009</v>
      </c>
      <c r="DP9" s="227">
        <f t="shared" ca="1" si="1"/>
        <v>42877793.387000009</v>
      </c>
      <c r="DQ9" s="227">
        <f t="shared" ca="1" si="1"/>
        <v>42877793.387000009</v>
      </c>
      <c r="DR9" s="227">
        <f t="shared" ca="1" si="1"/>
        <v>42877793.387000009</v>
      </c>
      <c r="DS9" s="227">
        <f t="shared" ca="1" si="1"/>
        <v>42877793.387000009</v>
      </c>
      <c r="DT9" s="227">
        <f t="shared" ca="1" si="1"/>
        <v>42877793.387000009</v>
      </c>
      <c r="DU9" s="227">
        <f t="shared" ca="1" si="1"/>
        <v>42877793.387000009</v>
      </c>
      <c r="DV9" s="227">
        <f t="shared" ca="1" si="1"/>
        <v>42877793.387000009</v>
      </c>
      <c r="DW9" s="227">
        <f t="shared" ca="1" si="1"/>
        <v>42877793.387000009</v>
      </c>
      <c r="DX9" s="227">
        <f t="shared" ca="1" si="1"/>
        <v>42877793.387000009</v>
      </c>
      <c r="DY9" s="227">
        <f t="shared" ca="1" si="1"/>
        <v>42877793.387000009</v>
      </c>
      <c r="DZ9" s="227">
        <f t="shared" ca="1" si="1"/>
        <v>42877793.387000009</v>
      </c>
      <c r="EA9" s="227">
        <f t="shared" ca="1" si="1"/>
        <v>42877793.387000009</v>
      </c>
      <c r="EB9" s="227">
        <f t="shared" ca="1" si="1"/>
        <v>42877793.387000009</v>
      </c>
      <c r="EC9" s="227">
        <f t="shared" ref="EC9:EG9" ca="1" si="2">EB11</f>
        <v>42877793.387000009</v>
      </c>
      <c r="ED9" s="227">
        <f t="shared" ca="1" si="2"/>
        <v>42877793.387000009</v>
      </c>
      <c r="EE9" s="227">
        <f t="shared" ca="1" si="2"/>
        <v>42877793.387000009</v>
      </c>
      <c r="EF9" s="227">
        <f t="shared" ca="1" si="2"/>
        <v>42877793.387000009</v>
      </c>
      <c r="EG9" s="227">
        <f t="shared" ca="1" si="2"/>
        <v>42877793.387000009</v>
      </c>
    </row>
    <row r="10" spans="1:137" x14ac:dyDescent="0.3">
      <c r="A10" t="s">
        <v>2462</v>
      </c>
      <c r="E10" s="229">
        <f ca="1">IF(ContrConst=0,0,ROUND((DevBdgt!E$48-E$28-E$42-E$67-E$92),3))</f>
        <v>0</v>
      </c>
      <c r="F10" s="229">
        <f ca="1">IF(ContrConst=0,0,ROUND((DevBdgt!F$48-F$28-F$42-F$67-F$92),3))</f>
        <v>0</v>
      </c>
      <c r="G10" s="229">
        <f ca="1">IF(ContrConst=0,0,ROUND((DevBdgt!G$48-G$28-G$42-G$67-G$92),3))</f>
        <v>0</v>
      </c>
      <c r="H10" s="229">
        <f ca="1">IF(ContrConst=0,0,ROUND((DevBdgt!H$48-H$28-H$42-H$67-H$92),3))</f>
        <v>0</v>
      </c>
      <c r="I10" s="229">
        <f ca="1">IF(ContrConst=0,0,ROUND((DevBdgt!I$48-I$28-I$42-I$67-I$92),3))</f>
        <v>0</v>
      </c>
      <c r="J10" s="229">
        <f ca="1">IF(ContrConst=0,0,ROUND((DevBdgt!J$48-J$28-J$42-J$67-J$92),3))</f>
        <v>0</v>
      </c>
      <c r="K10" s="229">
        <f ca="1">IF(ContrConst=0,0,ROUND((DevBdgt!K$48-K$28-K$42-K$67-K$92),3))</f>
        <v>0</v>
      </c>
      <c r="L10" s="229">
        <f ca="1">IF(ContrConst=0,0,ROUND((DevBdgt!L$48-L$28-L$42-L$67-L$92),3))</f>
        <v>0</v>
      </c>
      <c r="M10" s="229">
        <f ca="1">IF(ContrConst=0,0,ROUND((DevBdgt!M$48-M$28-M$42-M$67-M$92),3))</f>
        <v>0</v>
      </c>
      <c r="N10" s="229">
        <f ca="1">IF(ContrConst=0,0,ROUND((DevBdgt!N$48-N$28-N$42-N$67-N$92),3))</f>
        <v>0</v>
      </c>
      <c r="O10" s="229">
        <f ca="1">IF(ContrConst=0,0,ROUND((DevBdgt!O$48-O$28-O$42-O$67-O$92),3))</f>
        <v>1711728.34</v>
      </c>
      <c r="P10" s="229">
        <f ca="1">IF(ContrConst=0,0,ROUND((DevBdgt!P$48-P$28-P$42-P$67-P$92),3))</f>
        <v>3985499.753</v>
      </c>
      <c r="Q10" s="229">
        <f ca="1">IF(ContrConst=0,0,ROUND((DevBdgt!Q$48-Q$28-Q$42-Q$67-Q$92),3))</f>
        <v>4035971.77</v>
      </c>
      <c r="R10" s="229">
        <f ca="1">IF(ContrConst=0,0,ROUND((DevBdgt!R$48-R$28-R$42-R$67-R$92),3))</f>
        <v>4074891.125</v>
      </c>
      <c r="S10" s="229">
        <f ca="1">IF(ContrConst=0,0,ROUND((DevBdgt!S$48-S$28-S$42-S$67-S$92),3))</f>
        <v>3814169.165</v>
      </c>
      <c r="T10" s="229">
        <f ca="1">IF(ContrConst=0,0,ROUND((DevBdgt!T$48-T$28-T$42-T$67-T$92),3))</f>
        <v>3707242.1469999999</v>
      </c>
      <c r="U10" s="229">
        <f ca="1">IF(ContrConst=0,0,ROUND((DevBdgt!U$48-U$28-U$42-U$67-U$92),3))</f>
        <v>3438642.0860000001</v>
      </c>
      <c r="V10" s="229">
        <f ca="1">IF(ContrConst=0,0,ROUND((DevBdgt!V$48-V$28-V$42-V$67-V$92),3))</f>
        <v>3101741.8790000002</v>
      </c>
      <c r="W10" s="229">
        <f ca="1">IF(ContrConst=0,0,ROUND((DevBdgt!W$48-W$28-W$42-W$67-W$92),3))</f>
        <v>3086112.8330000001</v>
      </c>
      <c r="X10" s="229">
        <f ca="1">IF(ContrConst=0,0,ROUND((DevBdgt!X$48-X$28-X$42-X$67-X$92),3))</f>
        <v>2840813.906</v>
      </c>
      <c r="Y10" s="229">
        <f ca="1">IF(ContrConst=0,0,ROUND((DevBdgt!Y$48-Y$28-Y$42-Y$67-Y$92),3))</f>
        <v>2407340.2429999998</v>
      </c>
      <c r="Z10" s="229">
        <f ca="1">IF(ContrConst=0,0,ROUND((DevBdgt!Z$48-Z$28-Z$42-Z$67-Z$92),3))</f>
        <v>2066917.1910000001</v>
      </c>
      <c r="AA10" s="229">
        <f ca="1">IF(ContrConst=0,0,ROUND((DevBdgt!AA$48-AA$28-AA$42-AA$67-AA$92),3))</f>
        <v>1736150.3459999999</v>
      </c>
      <c r="AB10" s="229">
        <f ca="1">IF(ContrConst=0,0,ROUND((DevBdgt!AB$48-AB$28-AB$42-AB$67-AB$92),3))</f>
        <v>1202087.5789999999</v>
      </c>
      <c r="AC10" s="229">
        <f ca="1">IF(ContrConst=0,0,ROUND((DevBdgt!AC$48-AC$28-AC$42-AC$67-AC$92),3))</f>
        <v>990780.74</v>
      </c>
      <c r="AD10" s="229">
        <f ca="1">IF(ContrConst=0,0,ROUND((DevBdgt!AD$48-AD$28-AD$42-AD$67-AD$92),3))</f>
        <v>677704.28399999999</v>
      </c>
      <c r="AE10" s="229">
        <f ca="1">IF(ContrConst=0,0,ROUND((DevBdgt!AE$48-AE$28-AE$42-AE$67-AE$92),3))</f>
        <v>0</v>
      </c>
      <c r="AF10" s="229">
        <f ca="1">IF(ContrConst=0,0,ROUND((DevBdgt!AF$48-AF$28-AF$42-AF$67-AF$92),3))</f>
        <v>0</v>
      </c>
      <c r="AG10" s="229">
        <f ca="1">IF(ContrConst=0,0,ROUND((DevBdgt!AG$48-AG$28-AG$42-AG$67-AG$92),3))</f>
        <v>0</v>
      </c>
      <c r="AH10" s="229">
        <f ca="1">IF(ContrConst=0,0,ROUND((DevBdgt!AH$48-AH$28-AH$42-AH$67-AH$92),3))</f>
        <v>0</v>
      </c>
      <c r="AI10" s="229">
        <f ca="1">IF(ContrConst=0,0,ROUND((DevBdgt!AI$48-AI$28-AI$42-AI$67-AI$92),3))</f>
        <v>0</v>
      </c>
      <c r="AJ10" s="229">
        <f ca="1">IF(ContrConst=0,0,ROUND((DevBdgt!AJ$48-AJ$28-AJ$42-AJ$67-AJ$92),3))</f>
        <v>0</v>
      </c>
      <c r="AK10" s="229">
        <f ca="1">IF(ContrConst=0,0,ROUND((DevBdgt!AK$48-AK$28-AK$42-AK$67-AK$92),3))</f>
        <v>0</v>
      </c>
      <c r="AL10" s="229">
        <f ca="1">IF(ContrConst=0,0,ROUND((DevBdgt!AL$48-AL$28-AL$42-AL$67-AL$92),3))</f>
        <v>0</v>
      </c>
      <c r="AM10" s="229">
        <f ca="1">IF(ContrConst=0,0,ROUND((DevBdgt!AM$48-AM$28-AM$42-AM$67-AM$92),3))</f>
        <v>0</v>
      </c>
      <c r="AN10" s="229">
        <f ca="1">IF(ContrConst=0,0,ROUND((DevBdgt!AN$48-AN$28-AN$42-AN$67-AN$92),3))</f>
        <v>0</v>
      </c>
      <c r="AO10" s="229">
        <f ca="1">IF(ContrConst=0,0,ROUND((DevBdgt!AO$48-AO$28-AO$42-AO$67-AO$92),3))</f>
        <v>0</v>
      </c>
      <c r="AP10" s="229">
        <f ca="1">IF(ContrConst=0,0,ROUND((DevBdgt!AP$48-AP$28-AP$42-AP$67-AP$92),3))</f>
        <v>0</v>
      </c>
      <c r="AQ10" s="229">
        <f ca="1">IF(ContrConst=0,0,ROUND((DevBdgt!AQ$48-AQ$28-AQ$42-AQ$67-AQ$92),3))</f>
        <v>0</v>
      </c>
      <c r="AR10" s="229">
        <f ca="1">IF(ContrConst=0,0,ROUND((DevBdgt!AR$48-AR$28-AR$42-AR$67-AR$92),3))</f>
        <v>0</v>
      </c>
      <c r="AS10" s="229">
        <f ca="1">IF(ContrConst=0,0,ROUND((DevBdgt!AS$48-AS$28-AS$42-AS$67-AS$92),3))</f>
        <v>0</v>
      </c>
      <c r="AT10" s="229">
        <f ca="1">IF(ContrConst=0,0,ROUND((DevBdgt!AT$48-AT$28-AT$42-AT$67-AT$92),3))</f>
        <v>0</v>
      </c>
      <c r="AU10" s="229">
        <f ca="1">IF(ContrConst=0,0,ROUND((DevBdgt!AU$48-AU$28-AU$42-AU$67-AU$92),3))</f>
        <v>0</v>
      </c>
      <c r="AV10" s="229">
        <f ca="1">IF(ContrConst=0,0,ROUND((DevBdgt!AV$48-AV$28-AV$42-AV$67-AV$92),3))</f>
        <v>0</v>
      </c>
      <c r="AW10" s="229">
        <f ca="1">IF(ContrConst=0,0,ROUND((DevBdgt!AW$48-AW$28-AW$42-AW$67-AW$92),3))</f>
        <v>0</v>
      </c>
      <c r="AX10" s="229">
        <f ca="1">IF(ContrConst=0,0,ROUND((DevBdgt!AX$48-AX$28-AX$42-AX$67-AX$92),3))</f>
        <v>0</v>
      </c>
      <c r="AY10" s="229">
        <f ca="1">IF(ContrConst=0,0,ROUND((DevBdgt!AY$48-AY$28-AY$42-AY$67-AY$92),3))</f>
        <v>0</v>
      </c>
      <c r="AZ10" s="229">
        <f ca="1">IF(ContrConst=0,0,ROUND((DevBdgt!AZ$48-AZ$28-AZ$42-AZ$67-AZ$92),3))</f>
        <v>0</v>
      </c>
      <c r="BA10" s="229">
        <f ca="1">IF(ContrConst=0,0,ROUND((DevBdgt!BA$48-BA$28-BA$42-BA$67-BA$92),3))</f>
        <v>0</v>
      </c>
      <c r="BB10" s="229">
        <f ca="1">IF(ContrConst=0,0,ROUND((DevBdgt!BB$48-BB$28-BB$42-BB$67-BB$92),3))</f>
        <v>0</v>
      </c>
      <c r="BC10" s="229">
        <f ca="1">IF(ContrConst=0,0,ROUND((DevBdgt!BC$48-BC$28-BC$42-BC$67-BC$92),3))</f>
        <v>0</v>
      </c>
      <c r="BD10" s="229">
        <f ca="1">IF(ContrConst=0,0,ROUND((DevBdgt!BD$48-BD$28-BD$42-BD$67-BD$92),3))</f>
        <v>0</v>
      </c>
      <c r="BE10" s="229">
        <f ca="1">IF(ContrConst=0,0,ROUND((DevBdgt!BE$48-BE$28-BE$42-BE$67-BE$92),3))</f>
        <v>0</v>
      </c>
      <c r="BF10" s="229">
        <f ca="1">IF(ContrConst=0,0,ROUND((DevBdgt!BF$48-BF$28-BF$42-BF$67-BF$92),3))</f>
        <v>0</v>
      </c>
      <c r="BG10" s="229">
        <f ca="1">IF(ContrConst=0,0,ROUND((DevBdgt!BG$48-BG$28-BG$42-BG$67-BG$92),3))</f>
        <v>0</v>
      </c>
      <c r="BH10" s="229">
        <f ca="1">IF(ContrConst=0,0,ROUND((DevBdgt!BH$48-BH$28-BH$42-BH$67-BH$92),3))</f>
        <v>0</v>
      </c>
      <c r="BI10" s="229">
        <f ca="1">IF(ContrConst=0,0,ROUND((DevBdgt!BI$48-BI$28-BI$42-BI$67-BI$92),3))</f>
        <v>0</v>
      </c>
      <c r="BJ10" s="229">
        <f ca="1">IF(ContrConst=0,0,ROUND((DevBdgt!BJ$48-BJ$28-BJ$42-BJ$67-BJ$92),3))</f>
        <v>0</v>
      </c>
      <c r="BK10" s="229">
        <f ca="1">IF(ContrConst=0,0,ROUND((DevBdgt!BK$48-BK$28-BK$42-BK$67-BK$92),3))</f>
        <v>0</v>
      </c>
      <c r="BL10" s="229">
        <f ca="1">IF(ContrConst=0,0,ROUND((DevBdgt!BL$48-BL$28-BL$42-BL$67-BL$92),3))</f>
        <v>0</v>
      </c>
      <c r="BM10" s="229">
        <f ca="1">IF(ContrConst=0,0,ROUND((DevBdgt!BM$48-BM$28-BM$42-BM$67-BM$92),3))</f>
        <v>0</v>
      </c>
      <c r="BN10" s="229">
        <f ca="1">IF(ContrConst=0,0,ROUND((DevBdgt!BN$48-BN$28-BN$42-BN$67-BN$92),3))</f>
        <v>0</v>
      </c>
      <c r="BO10" s="229">
        <f ca="1">IF(ContrConst=0,0,ROUND((DevBdgt!BO$48-BO$28-BO$42-BO$67-BO$92),3))</f>
        <v>0</v>
      </c>
      <c r="BP10" s="229">
        <f ca="1">IF(ContrConst=0,0,ROUND((DevBdgt!BP$48-BP$28-BP$42-BP$67-BP$92),3))</f>
        <v>0</v>
      </c>
      <c r="BQ10" s="229">
        <f ca="1">IF(ContrConst=0,0,ROUND((DevBdgt!BQ$48-BQ$28-BQ$42-BQ$67-BQ$92),3))</f>
        <v>0</v>
      </c>
      <c r="BR10" s="229">
        <f ca="1">IF(ContrConst=0,0,ROUND((DevBdgt!BR$48-BR$28-BR$42-BR$67-BR$92),3))</f>
        <v>0</v>
      </c>
      <c r="BS10" s="229">
        <f ca="1">IF(ContrConst=0,0,ROUND((DevBdgt!BS$48-BS$28-BS$42-BS$67-BS$92),3))</f>
        <v>0</v>
      </c>
      <c r="BT10" s="229">
        <f ca="1">IF(ContrConst=0,0,ROUND((DevBdgt!BT$48-BT$28-BT$42-BT$67-BT$92),3))</f>
        <v>0</v>
      </c>
      <c r="BU10" s="229">
        <f ca="1">IF(ContrConst=0,0,ROUND((DevBdgt!BU$48-BU$28-BU$42-BU$67-BU$92),3))</f>
        <v>0</v>
      </c>
      <c r="BV10" s="229">
        <f ca="1">IF(ContrConst=0,0,ROUND((DevBdgt!BV$48-BV$28-BV$42-BV$67-BV$92),3))</f>
        <v>0</v>
      </c>
      <c r="BW10" s="229">
        <f ca="1">IF(ContrConst=0,0,ROUND((DevBdgt!BW$48-BW$28-BW$42-BW$67-BW$92),3))</f>
        <v>0</v>
      </c>
      <c r="BX10" s="229">
        <f ca="1">IF(ContrConst=0,0,ROUND((DevBdgt!BX$48-BX$28-BX$42-BX$67-BX$92),3))</f>
        <v>0</v>
      </c>
      <c r="BY10" s="229">
        <f ca="1">IF(ContrConst=0,0,ROUND((DevBdgt!BY$48-BY$28-BY$42-BY$67-BY$92),3))</f>
        <v>0</v>
      </c>
      <c r="BZ10" s="229">
        <f ca="1">IF(ContrConst=0,0,ROUND((DevBdgt!BZ$48-BZ$28-BZ$42-BZ$67-BZ$92),3))</f>
        <v>0</v>
      </c>
      <c r="CA10" s="229">
        <f ca="1">IF(ContrConst=0,0,ROUND((DevBdgt!CA$48-CA$28-CA$42-CA$67-CA$92),3))</f>
        <v>0</v>
      </c>
      <c r="CB10" s="229">
        <f ca="1">IF(ContrConst=0,0,ROUND((DevBdgt!CB$48-CB$28-CB$42-CB$67-CB$92),3))</f>
        <v>0</v>
      </c>
      <c r="CC10" s="229">
        <f ca="1">IF(ContrConst=0,0,ROUND((DevBdgt!CC$48-CC$28-CC$42-CC$67-CC$92),3))</f>
        <v>0</v>
      </c>
      <c r="CD10" s="229">
        <f ca="1">IF(ContrConst=0,0,ROUND((DevBdgt!CD$48-CD$28-CD$42-CD$67-CD$92),3))</f>
        <v>0</v>
      </c>
      <c r="CE10" s="229">
        <f ca="1">IF(ContrConst=0,0,ROUND((DevBdgt!CE$48-CE$28-CE$42-CE$67-CE$92),3))</f>
        <v>0</v>
      </c>
      <c r="CF10" s="229">
        <f ca="1">IF(ContrConst=0,0,ROUND((DevBdgt!CF$48-CF$28-CF$42-CF$67-CF$92),3))</f>
        <v>0</v>
      </c>
      <c r="CG10" s="229">
        <f ca="1">IF(ContrConst=0,0,ROUND((DevBdgt!CG$48-CG$28-CG$42-CG$67-CG$92),3))</f>
        <v>0</v>
      </c>
      <c r="CH10" s="229">
        <f ca="1">IF(ContrConst=0,0,ROUND((DevBdgt!CH$48-CH$28-CH$42-CH$67-CH$92),3))</f>
        <v>0</v>
      </c>
      <c r="CI10" s="229">
        <f ca="1">IF(ContrConst=0,0,ROUND((DevBdgt!CI$48-CI$28-CI$42-CI$67-CI$92),3))</f>
        <v>0</v>
      </c>
      <c r="CJ10" s="229">
        <f ca="1">IF(ContrConst=0,0,ROUND((DevBdgt!CJ$48-CJ$28-CJ$42-CJ$67-CJ$92),3))</f>
        <v>0</v>
      </c>
      <c r="CK10" s="229">
        <f ca="1">IF(ContrConst=0,0,ROUND((DevBdgt!CK$48-CK$28-CK$42-CK$67-CK$92),3))</f>
        <v>0</v>
      </c>
      <c r="CL10" s="229">
        <f ca="1">IF(ContrConst=0,0,ROUND((DevBdgt!CL$48-CL$28-CL$42-CL$67-CL$92),3))</f>
        <v>0</v>
      </c>
      <c r="CM10" s="229">
        <f ca="1">IF(ContrConst=0,0,ROUND((DevBdgt!CM$48-CM$28-CM$42-CM$67-CM$92),3))</f>
        <v>0</v>
      </c>
      <c r="CN10" s="229">
        <f ca="1">IF(ContrConst=0,0,ROUND((DevBdgt!CN$48-CN$28-CN$42-CN$67-CN$92),3))</f>
        <v>0</v>
      </c>
      <c r="CO10" s="229">
        <f ca="1">IF(ContrConst=0,0,ROUND((DevBdgt!CO$48-CO$28-CO$42-CO$67-CO$92),3))</f>
        <v>0</v>
      </c>
      <c r="CP10" s="229">
        <f ca="1">IF(ContrConst=0,0,ROUND((DevBdgt!CP$48-CP$28-CP$42-CP$67-CP$92),3))</f>
        <v>0</v>
      </c>
      <c r="CQ10" s="229">
        <f ca="1">IF(ContrConst=0,0,ROUND((DevBdgt!CQ$48-CQ$28-CQ$42-CQ$67-CQ$92),3))</f>
        <v>0</v>
      </c>
      <c r="CR10" s="229">
        <f ca="1">IF(ContrConst=0,0,ROUND((DevBdgt!CR$48-CR$28-CR$42-CR$67-CR$92),3))</f>
        <v>0</v>
      </c>
      <c r="CS10" s="229">
        <f ca="1">IF(ContrConst=0,0,ROUND((DevBdgt!CS$48-CS$28-CS$42-CS$67-CS$92),3))</f>
        <v>0</v>
      </c>
      <c r="CT10" s="229">
        <f ca="1">IF(ContrConst=0,0,ROUND((DevBdgt!CT$48-CT$28-CT$42-CT$67-CT$92),3))</f>
        <v>0</v>
      </c>
      <c r="CU10" s="229">
        <f ca="1">IF(ContrConst=0,0,ROUND((DevBdgt!CU$48-CU$28-CU$42-CU$67-CU$92),3))</f>
        <v>0</v>
      </c>
      <c r="CV10" s="229">
        <f ca="1">IF(ContrConst=0,0,ROUND((DevBdgt!CV$48-CV$28-CV$42-CV$67-CV$92),3))</f>
        <v>0</v>
      </c>
      <c r="CW10" s="229">
        <f ca="1">IF(ContrConst=0,0,ROUND((DevBdgt!CW$48-CW$28-CW$42-CW$67-CW$92),3))</f>
        <v>0</v>
      </c>
      <c r="CX10" s="229">
        <f ca="1">IF(ContrConst=0,0,ROUND((DevBdgt!CX$48-CX$28-CX$42-CX$67-CX$92),3))</f>
        <v>0</v>
      </c>
      <c r="CY10" s="229">
        <f ca="1">IF(ContrConst=0,0,ROUND((DevBdgt!CY$48-CY$28-CY$42-CY$67-CY$92),3))</f>
        <v>0</v>
      </c>
      <c r="CZ10" s="229">
        <f ca="1">IF(ContrConst=0,0,ROUND((DevBdgt!CZ$48-CZ$28-CZ$42-CZ$67-CZ$92),3))</f>
        <v>0</v>
      </c>
      <c r="DA10" s="229">
        <f ca="1">IF(ContrConst=0,0,ROUND((DevBdgt!DA$48-DA$28-DA$42-DA$67-DA$92),3))</f>
        <v>0</v>
      </c>
      <c r="DB10" s="229">
        <f ca="1">IF(ContrConst=0,0,ROUND((DevBdgt!DB$48-DB$28-DB$42-DB$67-DB$92),3))</f>
        <v>0</v>
      </c>
      <c r="DC10" s="229">
        <f ca="1">IF(ContrConst=0,0,ROUND((DevBdgt!DC$48-DC$28-DC$42-DC$67-DC$92),3))</f>
        <v>0</v>
      </c>
      <c r="DD10" s="229">
        <f ca="1">IF(ContrConst=0,0,ROUND((DevBdgt!DD$48-DD$28-DD$42-DD$67-DD$92),3))</f>
        <v>0</v>
      </c>
      <c r="DE10" s="229">
        <f ca="1">IF(ContrConst=0,0,ROUND((DevBdgt!DE$48-DE$28-DE$42-DE$67-DE$92),3))</f>
        <v>0</v>
      </c>
      <c r="DF10" s="229">
        <f ca="1">IF(ContrConst=0,0,ROUND((DevBdgt!DF$48-DF$28-DF$42-DF$67-DF$92),3))</f>
        <v>0</v>
      </c>
      <c r="DG10" s="229">
        <f ca="1">IF(ContrConst=0,0,ROUND((DevBdgt!DG$48-DG$28-DG$42-DG$67-DG$92),3))</f>
        <v>0</v>
      </c>
      <c r="DH10" s="229">
        <f ca="1">IF(ContrConst=0,0,ROUND((DevBdgt!DH$48-DH$28-DH$42-DH$67-DH$92),3))</f>
        <v>0</v>
      </c>
      <c r="DI10" s="229">
        <f ca="1">IF(ContrConst=0,0,ROUND((DevBdgt!DI$48-DI$28-DI$42-DI$67-DI$92),3))</f>
        <v>0</v>
      </c>
      <c r="DJ10" s="229">
        <f ca="1">IF(ContrConst=0,0,ROUND((DevBdgt!DJ$48-DJ$28-DJ$42-DJ$67-DJ$92),3))</f>
        <v>0</v>
      </c>
      <c r="DK10" s="229">
        <f ca="1">IF(ContrConst=0,0,ROUND((DevBdgt!DK$48-DK$28-DK$42-DK$67-DK$92),3))</f>
        <v>0</v>
      </c>
      <c r="DL10" s="229">
        <f ca="1">IF(ContrConst=0,0,ROUND((DevBdgt!DL$48-DL$28-DL$42-DL$67-DL$92),3))</f>
        <v>0</v>
      </c>
      <c r="DM10" s="229">
        <f ca="1">IF(ContrConst=0,0,ROUND((DevBdgt!DM$48-DM$28-DM$42-DM$67-DM$92),3))</f>
        <v>0</v>
      </c>
      <c r="DN10" s="229">
        <f ca="1">IF(ContrConst=0,0,ROUND((DevBdgt!DN$48-DN$28-DN$42-DN$67-DN$92),3))</f>
        <v>0</v>
      </c>
      <c r="DO10" s="229">
        <f ca="1">IF(ContrConst=0,0,ROUND((DevBdgt!DO$48-DO$28-DO$42-DO$67-DO$92),3))</f>
        <v>0</v>
      </c>
      <c r="DP10" s="229">
        <f ca="1">IF(ContrConst=0,0,ROUND((DevBdgt!DP$48-DP$28-DP$42-DP$67-DP$92),3))</f>
        <v>0</v>
      </c>
      <c r="DQ10" s="229">
        <f ca="1">IF(ContrConst=0,0,ROUND((DevBdgt!DQ$48-DQ$28-DQ$42-DQ$67-DQ$92),3))</f>
        <v>0</v>
      </c>
      <c r="DR10" s="229">
        <f ca="1">IF(ContrConst=0,0,ROUND((DevBdgt!DR$48-DR$28-DR$42-DR$67-DR$92),3))</f>
        <v>0</v>
      </c>
      <c r="DS10" s="229">
        <f ca="1">IF(ContrConst=0,0,ROUND((DevBdgt!DS$48-DS$28-DS$42-DS$67-DS$92),3))</f>
        <v>0</v>
      </c>
      <c r="DT10" s="229">
        <f ca="1">IF(ContrConst=0,0,ROUND((DevBdgt!DT$48-DT$28-DT$42-DT$67-DT$92),3))</f>
        <v>0</v>
      </c>
      <c r="DU10" s="229">
        <f ca="1">IF(ContrConst=0,0,ROUND((DevBdgt!DU$48-DU$28-DU$42-DU$67-DU$92),3))</f>
        <v>0</v>
      </c>
      <c r="DV10" s="229">
        <f ca="1">IF(ContrConst=0,0,ROUND((DevBdgt!DV$48-DV$28-DV$42-DV$67-DV$92),3))</f>
        <v>0</v>
      </c>
      <c r="DW10" s="229">
        <f ca="1">IF(ContrConst=0,0,ROUND((DevBdgt!DW$48-DW$28-DW$42-DW$67-DW$92),3))</f>
        <v>0</v>
      </c>
      <c r="DX10" s="229">
        <f ca="1">IF(ContrConst=0,0,ROUND((DevBdgt!DX$48-DX$28-DX$42-DX$67-DX$92),3))</f>
        <v>0</v>
      </c>
      <c r="DY10" s="229">
        <f ca="1">IF(ContrConst=0,0,ROUND((DevBdgt!DY$48-DY$28-DY$42-DY$67-DY$92),3))</f>
        <v>0</v>
      </c>
      <c r="DZ10" s="229">
        <f ca="1">IF(ContrConst=0,0,ROUND((DevBdgt!DZ$48-DZ$28-DZ$42-DZ$67-DZ$92),3))</f>
        <v>0</v>
      </c>
      <c r="EA10" s="229">
        <f ca="1">IF(ContrConst=0,0,ROUND((DevBdgt!EA$48-EA$28-EA$42-EA$67-EA$92),3))</f>
        <v>0</v>
      </c>
      <c r="EB10" s="229">
        <f ca="1">IF(ContrConst=0,0,ROUND((DevBdgt!EB$48-EB$28-EB$42-EB$67-EB$92),3))</f>
        <v>0</v>
      </c>
      <c r="EC10" s="229">
        <f ca="1">IF(ContrConst=0,0,ROUND((DevBdgt!EC$48-EC$28-EC$42-EC$67-EC$92),3))</f>
        <v>0</v>
      </c>
      <c r="ED10" s="229">
        <f ca="1">IF(ContrConst=0,0,ROUND((DevBdgt!ED$48-ED$28-ED$42-ED$67-ED$92),3))</f>
        <v>0</v>
      </c>
      <c r="EE10" s="229">
        <f ca="1">IF(ContrConst=0,0,ROUND((DevBdgt!EE$48-EE$28-EE$42-EE$67-EE$92),3))</f>
        <v>0</v>
      </c>
      <c r="EF10" s="229">
        <f ca="1">IF(ContrConst=0,0,ROUND((DevBdgt!EF$48-EF$28-EF$42-EF$67-EF$92),3))</f>
        <v>0</v>
      </c>
      <c r="EG10" s="229">
        <f ca="1">IF(ContrConst=0,0,ROUND((DevBdgt!EG$48-EG$28-EG$42-EG$67-EG$92),3))</f>
        <v>0</v>
      </c>
    </row>
    <row r="11" spans="1:137" ht="15" thickBot="1" x14ac:dyDescent="0.35">
      <c r="A11" s="248" t="s">
        <v>2463</v>
      </c>
      <c r="B11" s="248"/>
      <c r="C11" s="248"/>
      <c r="D11" s="697"/>
      <c r="E11" s="250">
        <f t="shared" ref="E11:BP11" ca="1" si="3">SUM(E9:E10)</f>
        <v>0</v>
      </c>
      <c r="F11" s="250">
        <f t="shared" ca="1" si="3"/>
        <v>0</v>
      </c>
      <c r="G11" s="250">
        <f t="shared" ca="1" si="3"/>
        <v>0</v>
      </c>
      <c r="H11" s="250">
        <f t="shared" ca="1" si="3"/>
        <v>0</v>
      </c>
      <c r="I11" s="250">
        <f t="shared" ca="1" si="3"/>
        <v>0</v>
      </c>
      <c r="J11" s="250">
        <f t="shared" ca="1" si="3"/>
        <v>0</v>
      </c>
      <c r="K11" s="250">
        <f t="shared" ca="1" si="3"/>
        <v>0</v>
      </c>
      <c r="L11" s="250">
        <f t="shared" ca="1" si="3"/>
        <v>0</v>
      </c>
      <c r="M11" s="250">
        <f t="shared" ca="1" si="3"/>
        <v>0</v>
      </c>
      <c r="N11" s="250">
        <f t="shared" ca="1" si="3"/>
        <v>0</v>
      </c>
      <c r="O11" s="250">
        <f t="shared" ca="1" si="3"/>
        <v>1711728.34</v>
      </c>
      <c r="P11" s="250">
        <f t="shared" ca="1" si="3"/>
        <v>5697228.0930000003</v>
      </c>
      <c r="Q11" s="250">
        <f t="shared" ca="1" si="3"/>
        <v>9733199.8629999999</v>
      </c>
      <c r="R11" s="250">
        <f t="shared" ca="1" si="3"/>
        <v>13808090.988</v>
      </c>
      <c r="S11" s="250">
        <f t="shared" ca="1" si="3"/>
        <v>17622260.153000001</v>
      </c>
      <c r="T11" s="250">
        <f t="shared" ca="1" si="3"/>
        <v>21329502.300000001</v>
      </c>
      <c r="U11" s="250">
        <f t="shared" ca="1" si="3"/>
        <v>24768144.386</v>
      </c>
      <c r="V11" s="250">
        <f t="shared" ca="1" si="3"/>
        <v>27869886.265000001</v>
      </c>
      <c r="W11" s="250">
        <f t="shared" ca="1" si="3"/>
        <v>30955999.098000001</v>
      </c>
      <c r="X11" s="250">
        <f t="shared" ca="1" si="3"/>
        <v>33796813.004000001</v>
      </c>
      <c r="Y11" s="250">
        <f t="shared" ca="1" si="3"/>
        <v>36204153.247000001</v>
      </c>
      <c r="Z11" s="250">
        <f t="shared" ca="1" si="3"/>
        <v>38271070.438000001</v>
      </c>
      <c r="AA11" s="250">
        <f t="shared" ca="1" si="3"/>
        <v>40007220.784000002</v>
      </c>
      <c r="AB11" s="250">
        <f t="shared" ca="1" si="3"/>
        <v>41209308.363000005</v>
      </c>
      <c r="AC11" s="250">
        <f t="shared" ca="1" si="3"/>
        <v>42200089.103000008</v>
      </c>
      <c r="AD11" s="250">
        <f t="shared" ca="1" si="3"/>
        <v>42877793.387000009</v>
      </c>
      <c r="AE11" s="250">
        <f t="shared" ca="1" si="3"/>
        <v>42877793.387000009</v>
      </c>
      <c r="AF11" s="250">
        <f t="shared" ca="1" si="3"/>
        <v>42877793.387000009</v>
      </c>
      <c r="AG11" s="250">
        <f t="shared" ca="1" si="3"/>
        <v>42877793.387000009</v>
      </c>
      <c r="AH11" s="250">
        <f t="shared" ca="1" si="3"/>
        <v>42877793.387000009</v>
      </c>
      <c r="AI11" s="250">
        <f t="shared" ca="1" si="3"/>
        <v>42877793.387000009</v>
      </c>
      <c r="AJ11" s="250">
        <f t="shared" ca="1" si="3"/>
        <v>42877793.387000009</v>
      </c>
      <c r="AK11" s="250">
        <f t="shared" ca="1" si="3"/>
        <v>42877793.387000009</v>
      </c>
      <c r="AL11" s="250">
        <f t="shared" ca="1" si="3"/>
        <v>42877793.387000009</v>
      </c>
      <c r="AM11" s="250">
        <f t="shared" ca="1" si="3"/>
        <v>42877793.387000009</v>
      </c>
      <c r="AN11" s="250">
        <f t="shared" ca="1" si="3"/>
        <v>42877793.387000009</v>
      </c>
      <c r="AO11" s="250">
        <f t="shared" ca="1" si="3"/>
        <v>42877793.387000009</v>
      </c>
      <c r="AP11" s="250">
        <f t="shared" ca="1" si="3"/>
        <v>42877793.387000009</v>
      </c>
      <c r="AQ11" s="250">
        <f t="shared" ca="1" si="3"/>
        <v>42877793.387000009</v>
      </c>
      <c r="AR11" s="250">
        <f t="shared" ca="1" si="3"/>
        <v>42877793.387000009</v>
      </c>
      <c r="AS11" s="250">
        <f t="shared" ca="1" si="3"/>
        <v>42877793.387000009</v>
      </c>
      <c r="AT11" s="250">
        <f t="shared" ca="1" si="3"/>
        <v>42877793.387000009</v>
      </c>
      <c r="AU11" s="250">
        <f t="shared" ca="1" si="3"/>
        <v>42877793.387000009</v>
      </c>
      <c r="AV11" s="250">
        <f t="shared" ca="1" si="3"/>
        <v>42877793.387000009</v>
      </c>
      <c r="AW11" s="250">
        <f t="shared" ca="1" si="3"/>
        <v>42877793.387000009</v>
      </c>
      <c r="AX11" s="250">
        <f t="shared" ca="1" si="3"/>
        <v>42877793.387000009</v>
      </c>
      <c r="AY11" s="250">
        <f t="shared" ca="1" si="3"/>
        <v>42877793.387000009</v>
      </c>
      <c r="AZ11" s="250">
        <f t="shared" ca="1" si="3"/>
        <v>42877793.387000009</v>
      </c>
      <c r="BA11" s="250">
        <f t="shared" ca="1" si="3"/>
        <v>42877793.387000009</v>
      </c>
      <c r="BB11" s="250">
        <f t="shared" ca="1" si="3"/>
        <v>42877793.387000009</v>
      </c>
      <c r="BC11" s="250">
        <f t="shared" ca="1" si="3"/>
        <v>42877793.387000009</v>
      </c>
      <c r="BD11" s="250">
        <f t="shared" ca="1" si="3"/>
        <v>42877793.387000009</v>
      </c>
      <c r="BE11" s="250">
        <f t="shared" ca="1" si="3"/>
        <v>42877793.387000009</v>
      </c>
      <c r="BF11" s="250">
        <f t="shared" ca="1" si="3"/>
        <v>42877793.387000009</v>
      </c>
      <c r="BG11" s="250">
        <f t="shared" ca="1" si="3"/>
        <v>42877793.387000009</v>
      </c>
      <c r="BH11" s="250">
        <f t="shared" ca="1" si="3"/>
        <v>42877793.387000009</v>
      </c>
      <c r="BI11" s="250">
        <f t="shared" ca="1" si="3"/>
        <v>42877793.387000009</v>
      </c>
      <c r="BJ11" s="250">
        <f t="shared" ca="1" si="3"/>
        <v>42877793.387000009</v>
      </c>
      <c r="BK11" s="250">
        <f t="shared" ca="1" si="3"/>
        <v>42877793.387000009</v>
      </c>
      <c r="BL11" s="250">
        <f t="shared" ca="1" si="3"/>
        <v>42877793.387000009</v>
      </c>
      <c r="BM11" s="250">
        <f t="shared" ca="1" si="3"/>
        <v>42877793.387000009</v>
      </c>
      <c r="BN11" s="250">
        <f t="shared" ca="1" si="3"/>
        <v>42877793.387000009</v>
      </c>
      <c r="BO11" s="250">
        <f t="shared" ca="1" si="3"/>
        <v>42877793.387000009</v>
      </c>
      <c r="BP11" s="250">
        <f t="shared" ca="1" si="3"/>
        <v>42877793.387000009</v>
      </c>
      <c r="BQ11" s="250">
        <f t="shared" ref="BQ11:EB11" ca="1" si="4">SUM(BQ9:BQ10)</f>
        <v>42877793.387000009</v>
      </c>
      <c r="BR11" s="250">
        <f t="shared" ca="1" si="4"/>
        <v>42877793.387000009</v>
      </c>
      <c r="BS11" s="250">
        <f t="shared" ca="1" si="4"/>
        <v>42877793.387000009</v>
      </c>
      <c r="BT11" s="250">
        <f t="shared" ca="1" si="4"/>
        <v>42877793.387000009</v>
      </c>
      <c r="BU11" s="250">
        <f t="shared" ca="1" si="4"/>
        <v>42877793.387000009</v>
      </c>
      <c r="BV11" s="250">
        <f t="shared" ca="1" si="4"/>
        <v>42877793.387000009</v>
      </c>
      <c r="BW11" s="250">
        <f t="shared" ca="1" si="4"/>
        <v>42877793.387000009</v>
      </c>
      <c r="BX11" s="250">
        <f t="shared" ca="1" si="4"/>
        <v>42877793.387000009</v>
      </c>
      <c r="BY11" s="250">
        <f t="shared" ca="1" si="4"/>
        <v>42877793.387000009</v>
      </c>
      <c r="BZ11" s="250">
        <f t="shared" ca="1" si="4"/>
        <v>42877793.387000009</v>
      </c>
      <c r="CA11" s="250">
        <f t="shared" ca="1" si="4"/>
        <v>42877793.387000009</v>
      </c>
      <c r="CB11" s="250">
        <f t="shared" ca="1" si="4"/>
        <v>42877793.387000009</v>
      </c>
      <c r="CC11" s="250">
        <f t="shared" ca="1" si="4"/>
        <v>42877793.387000009</v>
      </c>
      <c r="CD11" s="250">
        <f t="shared" ca="1" si="4"/>
        <v>42877793.387000009</v>
      </c>
      <c r="CE11" s="250">
        <f t="shared" ca="1" si="4"/>
        <v>42877793.387000009</v>
      </c>
      <c r="CF11" s="250">
        <f t="shared" ca="1" si="4"/>
        <v>42877793.387000009</v>
      </c>
      <c r="CG11" s="250">
        <f t="shared" ca="1" si="4"/>
        <v>42877793.387000009</v>
      </c>
      <c r="CH11" s="250">
        <f t="shared" ca="1" si="4"/>
        <v>42877793.387000009</v>
      </c>
      <c r="CI11" s="250">
        <f t="shared" ca="1" si="4"/>
        <v>42877793.387000009</v>
      </c>
      <c r="CJ11" s="250">
        <f t="shared" ca="1" si="4"/>
        <v>42877793.387000009</v>
      </c>
      <c r="CK11" s="250">
        <f t="shared" ca="1" si="4"/>
        <v>42877793.387000009</v>
      </c>
      <c r="CL11" s="250">
        <f t="shared" ca="1" si="4"/>
        <v>42877793.387000009</v>
      </c>
      <c r="CM11" s="250">
        <f t="shared" ca="1" si="4"/>
        <v>42877793.387000009</v>
      </c>
      <c r="CN11" s="250">
        <f t="shared" ca="1" si="4"/>
        <v>42877793.387000009</v>
      </c>
      <c r="CO11" s="250">
        <f t="shared" ca="1" si="4"/>
        <v>42877793.387000009</v>
      </c>
      <c r="CP11" s="250">
        <f t="shared" ca="1" si="4"/>
        <v>42877793.387000009</v>
      </c>
      <c r="CQ11" s="250">
        <f t="shared" ca="1" si="4"/>
        <v>42877793.387000009</v>
      </c>
      <c r="CR11" s="250">
        <f t="shared" ca="1" si="4"/>
        <v>42877793.387000009</v>
      </c>
      <c r="CS11" s="250">
        <f t="shared" ca="1" si="4"/>
        <v>42877793.387000009</v>
      </c>
      <c r="CT11" s="250">
        <f t="shared" ca="1" si="4"/>
        <v>42877793.387000009</v>
      </c>
      <c r="CU11" s="250">
        <f t="shared" ca="1" si="4"/>
        <v>42877793.387000009</v>
      </c>
      <c r="CV11" s="250">
        <f t="shared" ca="1" si="4"/>
        <v>42877793.387000009</v>
      </c>
      <c r="CW11" s="250">
        <f t="shared" ca="1" si="4"/>
        <v>42877793.387000009</v>
      </c>
      <c r="CX11" s="250">
        <f t="shared" ca="1" si="4"/>
        <v>42877793.387000009</v>
      </c>
      <c r="CY11" s="250">
        <f t="shared" ca="1" si="4"/>
        <v>42877793.387000009</v>
      </c>
      <c r="CZ11" s="250">
        <f t="shared" ca="1" si="4"/>
        <v>42877793.387000009</v>
      </c>
      <c r="DA11" s="250">
        <f t="shared" ca="1" si="4"/>
        <v>42877793.387000009</v>
      </c>
      <c r="DB11" s="250">
        <f t="shared" ca="1" si="4"/>
        <v>42877793.387000009</v>
      </c>
      <c r="DC11" s="250">
        <f t="shared" ca="1" si="4"/>
        <v>42877793.387000009</v>
      </c>
      <c r="DD11" s="250">
        <f t="shared" ca="1" si="4"/>
        <v>42877793.387000009</v>
      </c>
      <c r="DE11" s="250">
        <f t="shared" ca="1" si="4"/>
        <v>42877793.387000009</v>
      </c>
      <c r="DF11" s="250">
        <f t="shared" ca="1" si="4"/>
        <v>42877793.387000009</v>
      </c>
      <c r="DG11" s="250">
        <f t="shared" ca="1" si="4"/>
        <v>42877793.387000009</v>
      </c>
      <c r="DH11" s="250">
        <f t="shared" ca="1" si="4"/>
        <v>42877793.387000009</v>
      </c>
      <c r="DI11" s="250">
        <f t="shared" ca="1" si="4"/>
        <v>42877793.387000009</v>
      </c>
      <c r="DJ11" s="250">
        <f t="shared" ca="1" si="4"/>
        <v>42877793.387000009</v>
      </c>
      <c r="DK11" s="250">
        <f t="shared" ca="1" si="4"/>
        <v>42877793.387000009</v>
      </c>
      <c r="DL11" s="250">
        <f t="shared" ca="1" si="4"/>
        <v>42877793.387000009</v>
      </c>
      <c r="DM11" s="250">
        <f t="shared" ca="1" si="4"/>
        <v>42877793.387000009</v>
      </c>
      <c r="DN11" s="250">
        <f t="shared" ca="1" si="4"/>
        <v>42877793.387000009</v>
      </c>
      <c r="DO11" s="250">
        <f t="shared" ca="1" si="4"/>
        <v>42877793.387000009</v>
      </c>
      <c r="DP11" s="250">
        <f t="shared" ca="1" si="4"/>
        <v>42877793.387000009</v>
      </c>
      <c r="DQ11" s="250">
        <f t="shared" ca="1" si="4"/>
        <v>42877793.387000009</v>
      </c>
      <c r="DR11" s="250">
        <f t="shared" ca="1" si="4"/>
        <v>42877793.387000009</v>
      </c>
      <c r="DS11" s="250">
        <f t="shared" ca="1" si="4"/>
        <v>42877793.387000009</v>
      </c>
      <c r="DT11" s="250">
        <f t="shared" ca="1" si="4"/>
        <v>42877793.387000009</v>
      </c>
      <c r="DU11" s="250">
        <f t="shared" ca="1" si="4"/>
        <v>42877793.387000009</v>
      </c>
      <c r="DV11" s="250">
        <f t="shared" ca="1" si="4"/>
        <v>42877793.387000009</v>
      </c>
      <c r="DW11" s="250">
        <f t="shared" ca="1" si="4"/>
        <v>42877793.387000009</v>
      </c>
      <c r="DX11" s="250">
        <f t="shared" ca="1" si="4"/>
        <v>42877793.387000009</v>
      </c>
      <c r="DY11" s="250">
        <f t="shared" ca="1" si="4"/>
        <v>42877793.387000009</v>
      </c>
      <c r="DZ11" s="250">
        <f t="shared" ca="1" si="4"/>
        <v>42877793.387000009</v>
      </c>
      <c r="EA11" s="250">
        <f t="shared" ca="1" si="4"/>
        <v>42877793.387000009</v>
      </c>
      <c r="EB11" s="250">
        <f t="shared" ca="1" si="4"/>
        <v>42877793.387000009</v>
      </c>
      <c r="EC11" s="250">
        <f t="shared" ref="EC11:EG11" ca="1" si="5">SUM(EC9:EC10)</f>
        <v>42877793.387000009</v>
      </c>
      <c r="ED11" s="250">
        <f t="shared" ca="1" si="5"/>
        <v>42877793.387000009</v>
      </c>
      <c r="EE11" s="250">
        <f t="shared" ca="1" si="5"/>
        <v>42877793.387000009</v>
      </c>
      <c r="EF11" s="250">
        <f t="shared" ca="1" si="5"/>
        <v>42877793.387000009</v>
      </c>
      <c r="EG11" s="250">
        <f t="shared" ca="1" si="5"/>
        <v>42877793.387000009</v>
      </c>
    </row>
    <row r="12" spans="1:137" ht="6.75" customHeight="1" thickTop="1" x14ac:dyDescent="0.3"/>
    <row r="13" spans="1:137" x14ac:dyDescent="0.3">
      <c r="A13" s="700" t="s">
        <v>2464</v>
      </c>
    </row>
    <row r="14" spans="1:137" x14ac:dyDescent="0.3">
      <c r="A14" t="s">
        <v>2461</v>
      </c>
      <c r="E14" s="227">
        <f t="shared" ref="E14:BP14" si="6">D18</f>
        <v>0</v>
      </c>
      <c r="F14" s="227">
        <f t="shared" ca="1" si="6"/>
        <v>0</v>
      </c>
      <c r="G14" s="227">
        <f t="shared" ca="1" si="6"/>
        <v>0</v>
      </c>
      <c r="H14" s="227">
        <f t="shared" ca="1" si="6"/>
        <v>0</v>
      </c>
      <c r="I14" s="227">
        <f t="shared" ca="1" si="6"/>
        <v>0</v>
      </c>
      <c r="J14" s="227">
        <f t="shared" ca="1" si="6"/>
        <v>0</v>
      </c>
      <c r="K14" s="227">
        <f t="shared" ca="1" si="6"/>
        <v>0</v>
      </c>
      <c r="L14" s="227">
        <f t="shared" ca="1" si="6"/>
        <v>0</v>
      </c>
      <c r="M14" s="227">
        <f t="shared" ca="1" si="6"/>
        <v>0</v>
      </c>
      <c r="N14" s="227">
        <f t="shared" ca="1" si="6"/>
        <v>0</v>
      </c>
      <c r="O14" s="227">
        <f t="shared" ca="1" si="6"/>
        <v>0</v>
      </c>
      <c r="P14" s="227">
        <f t="shared" ca="1" si="6"/>
        <v>1711728.34</v>
      </c>
      <c r="Q14" s="227">
        <f t="shared" ca="1" si="6"/>
        <v>5697228.0930000003</v>
      </c>
      <c r="R14" s="227">
        <f t="shared" ca="1" si="6"/>
        <v>9733199.8629999999</v>
      </c>
      <c r="S14" s="227">
        <f t="shared" ca="1" si="6"/>
        <v>13808090.988</v>
      </c>
      <c r="T14" s="227">
        <f t="shared" ca="1" si="6"/>
        <v>17622260.153000001</v>
      </c>
      <c r="U14" s="227">
        <f t="shared" ca="1" si="6"/>
        <v>21329502.300000001</v>
      </c>
      <c r="V14" s="227">
        <f t="shared" ca="1" si="6"/>
        <v>24768144.386</v>
      </c>
      <c r="W14" s="227">
        <f t="shared" ca="1" si="6"/>
        <v>27869886.265000001</v>
      </c>
      <c r="X14" s="227">
        <f t="shared" ca="1" si="6"/>
        <v>30955999.098000001</v>
      </c>
      <c r="Y14" s="227">
        <f t="shared" ca="1" si="6"/>
        <v>33796813.004000001</v>
      </c>
      <c r="Z14" s="227">
        <f t="shared" ca="1" si="6"/>
        <v>36204153.247000001</v>
      </c>
      <c r="AA14" s="227">
        <f t="shared" ca="1" si="6"/>
        <v>38271070.438000001</v>
      </c>
      <c r="AB14" s="227">
        <f t="shared" ca="1" si="6"/>
        <v>40007220.784000002</v>
      </c>
      <c r="AC14" s="227">
        <f t="shared" ca="1" si="6"/>
        <v>41209308.363000005</v>
      </c>
      <c r="AD14" s="227">
        <f t="shared" ca="1" si="6"/>
        <v>42200089.103000008</v>
      </c>
      <c r="AE14" s="227">
        <f t="shared" ca="1" si="6"/>
        <v>42877793.387000009</v>
      </c>
      <c r="AF14" s="227">
        <f t="shared" ca="1" si="6"/>
        <v>42877793.387000009</v>
      </c>
      <c r="AG14" s="227">
        <f t="shared" ca="1" si="6"/>
        <v>42877793.387000009</v>
      </c>
      <c r="AH14" s="227">
        <f t="shared" ca="1" si="6"/>
        <v>42877793.387000009</v>
      </c>
      <c r="AI14" s="227">
        <f t="shared" ca="1" si="6"/>
        <v>0</v>
      </c>
      <c r="AJ14" s="227">
        <f t="shared" ca="1" si="6"/>
        <v>0</v>
      </c>
      <c r="AK14" s="227">
        <f t="shared" ca="1" si="6"/>
        <v>0</v>
      </c>
      <c r="AL14" s="227">
        <f t="shared" ca="1" si="6"/>
        <v>0</v>
      </c>
      <c r="AM14" s="227">
        <f t="shared" ca="1" si="6"/>
        <v>0</v>
      </c>
      <c r="AN14" s="227">
        <f t="shared" ca="1" si="6"/>
        <v>0</v>
      </c>
      <c r="AO14" s="227">
        <f t="shared" ca="1" si="6"/>
        <v>0</v>
      </c>
      <c r="AP14" s="227">
        <f t="shared" ca="1" si="6"/>
        <v>0</v>
      </c>
      <c r="AQ14" s="227">
        <f t="shared" ca="1" si="6"/>
        <v>0</v>
      </c>
      <c r="AR14" s="227">
        <f t="shared" ca="1" si="6"/>
        <v>0</v>
      </c>
      <c r="AS14" s="227">
        <f t="shared" ca="1" si="6"/>
        <v>0</v>
      </c>
      <c r="AT14" s="227">
        <f t="shared" ca="1" si="6"/>
        <v>0</v>
      </c>
      <c r="AU14" s="227">
        <f t="shared" ca="1" si="6"/>
        <v>0</v>
      </c>
      <c r="AV14" s="227">
        <f t="shared" ca="1" si="6"/>
        <v>0</v>
      </c>
      <c r="AW14" s="227">
        <f t="shared" ca="1" si="6"/>
        <v>0</v>
      </c>
      <c r="AX14" s="227">
        <f t="shared" ca="1" si="6"/>
        <v>0</v>
      </c>
      <c r="AY14" s="227">
        <f t="shared" ca="1" si="6"/>
        <v>0</v>
      </c>
      <c r="AZ14" s="227">
        <f t="shared" ca="1" si="6"/>
        <v>0</v>
      </c>
      <c r="BA14" s="227">
        <f t="shared" ca="1" si="6"/>
        <v>0</v>
      </c>
      <c r="BB14" s="227">
        <f t="shared" ca="1" si="6"/>
        <v>0</v>
      </c>
      <c r="BC14" s="227">
        <f t="shared" ca="1" si="6"/>
        <v>0</v>
      </c>
      <c r="BD14" s="227">
        <f t="shared" ca="1" si="6"/>
        <v>0</v>
      </c>
      <c r="BE14" s="227">
        <f t="shared" ca="1" si="6"/>
        <v>0</v>
      </c>
      <c r="BF14" s="227">
        <f t="shared" ca="1" si="6"/>
        <v>0</v>
      </c>
      <c r="BG14" s="227">
        <f t="shared" ca="1" si="6"/>
        <v>0</v>
      </c>
      <c r="BH14" s="227">
        <f t="shared" ca="1" si="6"/>
        <v>0</v>
      </c>
      <c r="BI14" s="227">
        <f t="shared" ca="1" si="6"/>
        <v>0</v>
      </c>
      <c r="BJ14" s="227">
        <f t="shared" ca="1" si="6"/>
        <v>0</v>
      </c>
      <c r="BK14" s="227">
        <f t="shared" ca="1" si="6"/>
        <v>0</v>
      </c>
      <c r="BL14" s="227">
        <f t="shared" ca="1" si="6"/>
        <v>0</v>
      </c>
      <c r="BM14" s="227">
        <f t="shared" ca="1" si="6"/>
        <v>0</v>
      </c>
      <c r="BN14" s="227">
        <f t="shared" ca="1" si="6"/>
        <v>0</v>
      </c>
      <c r="BO14" s="227">
        <f t="shared" ca="1" si="6"/>
        <v>0</v>
      </c>
      <c r="BP14" s="227">
        <f t="shared" ca="1" si="6"/>
        <v>0</v>
      </c>
      <c r="BQ14" s="227">
        <f t="shared" ref="BQ14:EB14" ca="1" si="7">BP18</f>
        <v>0</v>
      </c>
      <c r="BR14" s="227">
        <f t="shared" ca="1" si="7"/>
        <v>0</v>
      </c>
      <c r="BS14" s="227">
        <f t="shared" ca="1" si="7"/>
        <v>0</v>
      </c>
      <c r="BT14" s="227">
        <f t="shared" ca="1" si="7"/>
        <v>0</v>
      </c>
      <c r="BU14" s="227">
        <f t="shared" ca="1" si="7"/>
        <v>0</v>
      </c>
      <c r="BV14" s="227">
        <f t="shared" ca="1" si="7"/>
        <v>0</v>
      </c>
      <c r="BW14" s="227">
        <f t="shared" ca="1" si="7"/>
        <v>0</v>
      </c>
      <c r="BX14" s="227">
        <f t="shared" ca="1" si="7"/>
        <v>0</v>
      </c>
      <c r="BY14" s="227">
        <f t="shared" ca="1" si="7"/>
        <v>0</v>
      </c>
      <c r="BZ14" s="227">
        <f t="shared" ca="1" si="7"/>
        <v>0</v>
      </c>
      <c r="CA14" s="227">
        <f t="shared" ca="1" si="7"/>
        <v>0</v>
      </c>
      <c r="CB14" s="227">
        <f t="shared" ca="1" si="7"/>
        <v>0</v>
      </c>
      <c r="CC14" s="227">
        <f t="shared" ca="1" si="7"/>
        <v>0</v>
      </c>
      <c r="CD14" s="227">
        <f t="shared" ca="1" si="7"/>
        <v>0</v>
      </c>
      <c r="CE14" s="227">
        <f t="shared" ca="1" si="7"/>
        <v>0</v>
      </c>
      <c r="CF14" s="227">
        <f t="shared" ca="1" si="7"/>
        <v>0</v>
      </c>
      <c r="CG14" s="227">
        <f t="shared" ca="1" si="7"/>
        <v>0</v>
      </c>
      <c r="CH14" s="227">
        <f t="shared" ca="1" si="7"/>
        <v>0</v>
      </c>
      <c r="CI14" s="227">
        <f t="shared" ca="1" si="7"/>
        <v>0</v>
      </c>
      <c r="CJ14" s="227">
        <f t="shared" ca="1" si="7"/>
        <v>0</v>
      </c>
      <c r="CK14" s="227">
        <f t="shared" ca="1" si="7"/>
        <v>0</v>
      </c>
      <c r="CL14" s="227">
        <f t="shared" ca="1" si="7"/>
        <v>0</v>
      </c>
      <c r="CM14" s="227">
        <f t="shared" ca="1" si="7"/>
        <v>0</v>
      </c>
      <c r="CN14" s="227">
        <f t="shared" ca="1" si="7"/>
        <v>0</v>
      </c>
      <c r="CO14" s="227">
        <f t="shared" ca="1" si="7"/>
        <v>0</v>
      </c>
      <c r="CP14" s="227">
        <f t="shared" ca="1" si="7"/>
        <v>0</v>
      </c>
      <c r="CQ14" s="227">
        <f t="shared" ca="1" si="7"/>
        <v>0</v>
      </c>
      <c r="CR14" s="227">
        <f t="shared" ca="1" si="7"/>
        <v>0</v>
      </c>
      <c r="CS14" s="227">
        <f t="shared" ca="1" si="7"/>
        <v>0</v>
      </c>
      <c r="CT14" s="227">
        <f t="shared" ca="1" si="7"/>
        <v>0</v>
      </c>
      <c r="CU14" s="227">
        <f t="shared" ca="1" si="7"/>
        <v>0</v>
      </c>
      <c r="CV14" s="227">
        <f t="shared" ca="1" si="7"/>
        <v>0</v>
      </c>
      <c r="CW14" s="227">
        <f t="shared" ca="1" si="7"/>
        <v>0</v>
      </c>
      <c r="CX14" s="227">
        <f t="shared" ca="1" si="7"/>
        <v>0</v>
      </c>
      <c r="CY14" s="227">
        <f t="shared" ca="1" si="7"/>
        <v>0</v>
      </c>
      <c r="CZ14" s="227">
        <f t="shared" ca="1" si="7"/>
        <v>0</v>
      </c>
      <c r="DA14" s="227">
        <f t="shared" ca="1" si="7"/>
        <v>0</v>
      </c>
      <c r="DB14" s="227">
        <f t="shared" ca="1" si="7"/>
        <v>0</v>
      </c>
      <c r="DC14" s="227">
        <f t="shared" ca="1" si="7"/>
        <v>0</v>
      </c>
      <c r="DD14" s="227">
        <f t="shared" ca="1" si="7"/>
        <v>0</v>
      </c>
      <c r="DE14" s="227">
        <f t="shared" ca="1" si="7"/>
        <v>0</v>
      </c>
      <c r="DF14" s="227">
        <f t="shared" ca="1" si="7"/>
        <v>0</v>
      </c>
      <c r="DG14" s="227">
        <f t="shared" ca="1" si="7"/>
        <v>0</v>
      </c>
      <c r="DH14" s="227">
        <f t="shared" ca="1" si="7"/>
        <v>0</v>
      </c>
      <c r="DI14" s="227">
        <f t="shared" ca="1" si="7"/>
        <v>0</v>
      </c>
      <c r="DJ14" s="227">
        <f t="shared" ca="1" si="7"/>
        <v>0</v>
      </c>
      <c r="DK14" s="227">
        <f t="shared" ca="1" si="7"/>
        <v>0</v>
      </c>
      <c r="DL14" s="227">
        <f t="shared" ca="1" si="7"/>
        <v>0</v>
      </c>
      <c r="DM14" s="227">
        <f t="shared" ca="1" si="7"/>
        <v>0</v>
      </c>
      <c r="DN14" s="227">
        <f t="shared" ca="1" si="7"/>
        <v>0</v>
      </c>
      <c r="DO14" s="227">
        <f t="shared" ca="1" si="7"/>
        <v>0</v>
      </c>
      <c r="DP14" s="227">
        <f t="shared" ca="1" si="7"/>
        <v>0</v>
      </c>
      <c r="DQ14" s="227">
        <f t="shared" ca="1" si="7"/>
        <v>0</v>
      </c>
      <c r="DR14" s="227">
        <f t="shared" ca="1" si="7"/>
        <v>0</v>
      </c>
      <c r="DS14" s="227">
        <f t="shared" ca="1" si="7"/>
        <v>0</v>
      </c>
      <c r="DT14" s="227">
        <f t="shared" ca="1" si="7"/>
        <v>0</v>
      </c>
      <c r="DU14" s="227">
        <f t="shared" ca="1" si="7"/>
        <v>0</v>
      </c>
      <c r="DV14" s="227">
        <f t="shared" ca="1" si="7"/>
        <v>0</v>
      </c>
      <c r="DW14" s="227">
        <f t="shared" ca="1" si="7"/>
        <v>0</v>
      </c>
      <c r="DX14" s="227">
        <f t="shared" ca="1" si="7"/>
        <v>0</v>
      </c>
      <c r="DY14" s="227">
        <f t="shared" ca="1" si="7"/>
        <v>0</v>
      </c>
      <c r="DZ14" s="227">
        <f t="shared" ca="1" si="7"/>
        <v>0</v>
      </c>
      <c r="EA14" s="227">
        <f t="shared" ca="1" si="7"/>
        <v>0</v>
      </c>
      <c r="EB14" s="227">
        <f t="shared" ca="1" si="7"/>
        <v>0</v>
      </c>
      <c r="EC14" s="227">
        <f t="shared" ref="EC14:EG14" ca="1" si="8">EB18</f>
        <v>0</v>
      </c>
      <c r="ED14" s="227">
        <f t="shared" ca="1" si="8"/>
        <v>0</v>
      </c>
      <c r="EE14" s="227">
        <f t="shared" ca="1" si="8"/>
        <v>0</v>
      </c>
      <c r="EF14" s="227">
        <f t="shared" ca="1" si="8"/>
        <v>0</v>
      </c>
      <c r="EG14" s="227">
        <f t="shared" ca="1" si="8"/>
        <v>-1.1981576681137085E-3</v>
      </c>
    </row>
    <row r="15" spans="1:137" x14ac:dyDescent="0.3">
      <c r="A15" s="241" t="s">
        <v>2462</v>
      </c>
      <c r="B15" s="241"/>
      <c r="C15" s="241"/>
      <c r="D15" s="687"/>
      <c r="E15" s="242">
        <f t="shared" ref="E15:BP15" ca="1" si="9">E10</f>
        <v>0</v>
      </c>
      <c r="F15" s="242">
        <f t="shared" ca="1" si="9"/>
        <v>0</v>
      </c>
      <c r="G15" s="242">
        <f t="shared" ca="1" si="9"/>
        <v>0</v>
      </c>
      <c r="H15" s="242">
        <f t="shared" ca="1" si="9"/>
        <v>0</v>
      </c>
      <c r="I15" s="242">
        <f t="shared" ca="1" si="9"/>
        <v>0</v>
      </c>
      <c r="J15" s="242">
        <f t="shared" ca="1" si="9"/>
        <v>0</v>
      </c>
      <c r="K15" s="242">
        <f t="shared" ca="1" si="9"/>
        <v>0</v>
      </c>
      <c r="L15" s="242">
        <f t="shared" ca="1" si="9"/>
        <v>0</v>
      </c>
      <c r="M15" s="242">
        <f t="shared" ca="1" si="9"/>
        <v>0</v>
      </c>
      <c r="N15" s="242">
        <f t="shared" ca="1" si="9"/>
        <v>0</v>
      </c>
      <c r="O15" s="242">
        <f t="shared" ca="1" si="9"/>
        <v>1711728.34</v>
      </c>
      <c r="P15" s="242">
        <f t="shared" ca="1" si="9"/>
        <v>3985499.753</v>
      </c>
      <c r="Q15" s="242">
        <f t="shared" ca="1" si="9"/>
        <v>4035971.77</v>
      </c>
      <c r="R15" s="242">
        <f t="shared" ca="1" si="9"/>
        <v>4074891.125</v>
      </c>
      <c r="S15" s="242">
        <f t="shared" ca="1" si="9"/>
        <v>3814169.165</v>
      </c>
      <c r="T15" s="242">
        <f t="shared" ca="1" si="9"/>
        <v>3707242.1469999999</v>
      </c>
      <c r="U15" s="242">
        <f t="shared" ca="1" si="9"/>
        <v>3438642.0860000001</v>
      </c>
      <c r="V15" s="242">
        <f t="shared" ca="1" si="9"/>
        <v>3101741.8790000002</v>
      </c>
      <c r="W15" s="242">
        <f t="shared" ca="1" si="9"/>
        <v>3086112.8330000001</v>
      </c>
      <c r="X15" s="242">
        <f t="shared" ca="1" si="9"/>
        <v>2840813.906</v>
      </c>
      <c r="Y15" s="242">
        <f t="shared" ca="1" si="9"/>
        <v>2407340.2429999998</v>
      </c>
      <c r="Z15" s="242">
        <f t="shared" ca="1" si="9"/>
        <v>2066917.1910000001</v>
      </c>
      <c r="AA15" s="242">
        <f t="shared" ca="1" si="9"/>
        <v>1736150.3459999999</v>
      </c>
      <c r="AB15" s="242">
        <f t="shared" ca="1" si="9"/>
        <v>1202087.5789999999</v>
      </c>
      <c r="AC15" s="242">
        <f t="shared" ca="1" si="9"/>
        <v>990780.74</v>
      </c>
      <c r="AD15" s="242">
        <f t="shared" ca="1" si="9"/>
        <v>677704.28399999999</v>
      </c>
      <c r="AE15" s="242">
        <f t="shared" ca="1" si="9"/>
        <v>0</v>
      </c>
      <c r="AF15" s="242">
        <f t="shared" ca="1" si="9"/>
        <v>0</v>
      </c>
      <c r="AG15" s="242">
        <f t="shared" ca="1" si="9"/>
        <v>0</v>
      </c>
      <c r="AH15" s="242">
        <f t="shared" ca="1" si="9"/>
        <v>0</v>
      </c>
      <c r="AI15" s="242">
        <f t="shared" ca="1" si="9"/>
        <v>0</v>
      </c>
      <c r="AJ15" s="242">
        <f t="shared" ca="1" si="9"/>
        <v>0</v>
      </c>
      <c r="AK15" s="242">
        <f t="shared" ca="1" si="9"/>
        <v>0</v>
      </c>
      <c r="AL15" s="242">
        <f t="shared" ca="1" si="9"/>
        <v>0</v>
      </c>
      <c r="AM15" s="242">
        <f t="shared" ca="1" si="9"/>
        <v>0</v>
      </c>
      <c r="AN15" s="242">
        <f t="shared" ca="1" si="9"/>
        <v>0</v>
      </c>
      <c r="AO15" s="242">
        <f t="shared" ca="1" si="9"/>
        <v>0</v>
      </c>
      <c r="AP15" s="242">
        <f t="shared" ca="1" si="9"/>
        <v>0</v>
      </c>
      <c r="AQ15" s="242">
        <f t="shared" ca="1" si="9"/>
        <v>0</v>
      </c>
      <c r="AR15" s="242">
        <f t="shared" ca="1" si="9"/>
        <v>0</v>
      </c>
      <c r="AS15" s="242">
        <f t="shared" ca="1" si="9"/>
        <v>0</v>
      </c>
      <c r="AT15" s="242">
        <f t="shared" ca="1" si="9"/>
        <v>0</v>
      </c>
      <c r="AU15" s="242">
        <f t="shared" ca="1" si="9"/>
        <v>0</v>
      </c>
      <c r="AV15" s="242">
        <f t="shared" ca="1" si="9"/>
        <v>0</v>
      </c>
      <c r="AW15" s="242">
        <f t="shared" ca="1" si="9"/>
        <v>0</v>
      </c>
      <c r="AX15" s="242">
        <f t="shared" ca="1" si="9"/>
        <v>0</v>
      </c>
      <c r="AY15" s="242">
        <f t="shared" ca="1" si="9"/>
        <v>0</v>
      </c>
      <c r="AZ15" s="242">
        <f t="shared" ca="1" si="9"/>
        <v>0</v>
      </c>
      <c r="BA15" s="242">
        <f t="shared" ca="1" si="9"/>
        <v>0</v>
      </c>
      <c r="BB15" s="242">
        <f t="shared" ca="1" si="9"/>
        <v>0</v>
      </c>
      <c r="BC15" s="242">
        <f t="shared" ca="1" si="9"/>
        <v>0</v>
      </c>
      <c r="BD15" s="242">
        <f t="shared" ca="1" si="9"/>
        <v>0</v>
      </c>
      <c r="BE15" s="242">
        <f t="shared" ca="1" si="9"/>
        <v>0</v>
      </c>
      <c r="BF15" s="242">
        <f t="shared" ca="1" si="9"/>
        <v>0</v>
      </c>
      <c r="BG15" s="242">
        <f t="shared" ca="1" si="9"/>
        <v>0</v>
      </c>
      <c r="BH15" s="242">
        <f t="shared" ca="1" si="9"/>
        <v>0</v>
      </c>
      <c r="BI15" s="242">
        <f t="shared" ca="1" si="9"/>
        <v>0</v>
      </c>
      <c r="BJ15" s="242">
        <f t="shared" ca="1" si="9"/>
        <v>0</v>
      </c>
      <c r="BK15" s="242">
        <f t="shared" ca="1" si="9"/>
        <v>0</v>
      </c>
      <c r="BL15" s="242">
        <f t="shared" ca="1" si="9"/>
        <v>0</v>
      </c>
      <c r="BM15" s="242">
        <f t="shared" ca="1" si="9"/>
        <v>0</v>
      </c>
      <c r="BN15" s="242">
        <f t="shared" ca="1" si="9"/>
        <v>0</v>
      </c>
      <c r="BO15" s="242">
        <f t="shared" ca="1" si="9"/>
        <v>0</v>
      </c>
      <c r="BP15" s="242">
        <f t="shared" ca="1" si="9"/>
        <v>0</v>
      </c>
      <c r="BQ15" s="242">
        <f t="shared" ref="BQ15:EB15" ca="1" si="10">BQ10</f>
        <v>0</v>
      </c>
      <c r="BR15" s="242">
        <f t="shared" ca="1" si="10"/>
        <v>0</v>
      </c>
      <c r="BS15" s="242">
        <f t="shared" ca="1" si="10"/>
        <v>0</v>
      </c>
      <c r="BT15" s="242">
        <f t="shared" ca="1" si="10"/>
        <v>0</v>
      </c>
      <c r="BU15" s="242">
        <f t="shared" ca="1" si="10"/>
        <v>0</v>
      </c>
      <c r="BV15" s="242">
        <f t="shared" ca="1" si="10"/>
        <v>0</v>
      </c>
      <c r="BW15" s="242">
        <f t="shared" ca="1" si="10"/>
        <v>0</v>
      </c>
      <c r="BX15" s="242">
        <f t="shared" ca="1" si="10"/>
        <v>0</v>
      </c>
      <c r="BY15" s="242">
        <f t="shared" ca="1" si="10"/>
        <v>0</v>
      </c>
      <c r="BZ15" s="242">
        <f t="shared" ca="1" si="10"/>
        <v>0</v>
      </c>
      <c r="CA15" s="242">
        <f t="shared" ca="1" si="10"/>
        <v>0</v>
      </c>
      <c r="CB15" s="242">
        <f t="shared" ca="1" si="10"/>
        <v>0</v>
      </c>
      <c r="CC15" s="242">
        <f t="shared" ca="1" si="10"/>
        <v>0</v>
      </c>
      <c r="CD15" s="242">
        <f t="shared" ca="1" si="10"/>
        <v>0</v>
      </c>
      <c r="CE15" s="242">
        <f t="shared" ca="1" si="10"/>
        <v>0</v>
      </c>
      <c r="CF15" s="242">
        <f t="shared" ca="1" si="10"/>
        <v>0</v>
      </c>
      <c r="CG15" s="242">
        <f t="shared" ca="1" si="10"/>
        <v>0</v>
      </c>
      <c r="CH15" s="242">
        <f t="shared" ca="1" si="10"/>
        <v>0</v>
      </c>
      <c r="CI15" s="242">
        <f t="shared" ca="1" si="10"/>
        <v>0</v>
      </c>
      <c r="CJ15" s="242">
        <f t="shared" ca="1" si="10"/>
        <v>0</v>
      </c>
      <c r="CK15" s="242">
        <f t="shared" ca="1" si="10"/>
        <v>0</v>
      </c>
      <c r="CL15" s="242">
        <f t="shared" ca="1" si="10"/>
        <v>0</v>
      </c>
      <c r="CM15" s="242">
        <f t="shared" ca="1" si="10"/>
        <v>0</v>
      </c>
      <c r="CN15" s="242">
        <f t="shared" ca="1" si="10"/>
        <v>0</v>
      </c>
      <c r="CO15" s="242">
        <f t="shared" ca="1" si="10"/>
        <v>0</v>
      </c>
      <c r="CP15" s="242">
        <f t="shared" ca="1" si="10"/>
        <v>0</v>
      </c>
      <c r="CQ15" s="242">
        <f t="shared" ca="1" si="10"/>
        <v>0</v>
      </c>
      <c r="CR15" s="242">
        <f t="shared" ca="1" si="10"/>
        <v>0</v>
      </c>
      <c r="CS15" s="242">
        <f t="shared" ca="1" si="10"/>
        <v>0</v>
      </c>
      <c r="CT15" s="242">
        <f t="shared" ca="1" si="10"/>
        <v>0</v>
      </c>
      <c r="CU15" s="242">
        <f t="shared" ca="1" si="10"/>
        <v>0</v>
      </c>
      <c r="CV15" s="242">
        <f t="shared" ca="1" si="10"/>
        <v>0</v>
      </c>
      <c r="CW15" s="242">
        <f t="shared" ca="1" si="10"/>
        <v>0</v>
      </c>
      <c r="CX15" s="242">
        <f t="shared" ca="1" si="10"/>
        <v>0</v>
      </c>
      <c r="CY15" s="242">
        <f t="shared" ca="1" si="10"/>
        <v>0</v>
      </c>
      <c r="CZ15" s="242">
        <f t="shared" ca="1" si="10"/>
        <v>0</v>
      </c>
      <c r="DA15" s="242">
        <f t="shared" ca="1" si="10"/>
        <v>0</v>
      </c>
      <c r="DB15" s="242">
        <f t="shared" ca="1" si="10"/>
        <v>0</v>
      </c>
      <c r="DC15" s="242">
        <f t="shared" ca="1" si="10"/>
        <v>0</v>
      </c>
      <c r="DD15" s="242">
        <f t="shared" ca="1" si="10"/>
        <v>0</v>
      </c>
      <c r="DE15" s="242">
        <f t="shared" ca="1" si="10"/>
        <v>0</v>
      </c>
      <c r="DF15" s="242">
        <f t="shared" ca="1" si="10"/>
        <v>0</v>
      </c>
      <c r="DG15" s="242">
        <f t="shared" ca="1" si="10"/>
        <v>0</v>
      </c>
      <c r="DH15" s="242">
        <f t="shared" ca="1" si="10"/>
        <v>0</v>
      </c>
      <c r="DI15" s="242">
        <f t="shared" ca="1" si="10"/>
        <v>0</v>
      </c>
      <c r="DJ15" s="242">
        <f t="shared" ca="1" si="10"/>
        <v>0</v>
      </c>
      <c r="DK15" s="242">
        <f t="shared" ca="1" si="10"/>
        <v>0</v>
      </c>
      <c r="DL15" s="242">
        <f t="shared" ca="1" si="10"/>
        <v>0</v>
      </c>
      <c r="DM15" s="242">
        <f t="shared" ca="1" si="10"/>
        <v>0</v>
      </c>
      <c r="DN15" s="242">
        <f t="shared" ca="1" si="10"/>
        <v>0</v>
      </c>
      <c r="DO15" s="242">
        <f t="shared" ca="1" si="10"/>
        <v>0</v>
      </c>
      <c r="DP15" s="242">
        <f t="shared" ca="1" si="10"/>
        <v>0</v>
      </c>
      <c r="DQ15" s="242">
        <f t="shared" ca="1" si="10"/>
        <v>0</v>
      </c>
      <c r="DR15" s="242">
        <f t="shared" ca="1" si="10"/>
        <v>0</v>
      </c>
      <c r="DS15" s="242">
        <f t="shared" ca="1" si="10"/>
        <v>0</v>
      </c>
      <c r="DT15" s="242">
        <f t="shared" ca="1" si="10"/>
        <v>0</v>
      </c>
      <c r="DU15" s="242">
        <f t="shared" ca="1" si="10"/>
        <v>0</v>
      </c>
      <c r="DV15" s="242">
        <f t="shared" ca="1" si="10"/>
        <v>0</v>
      </c>
      <c r="DW15" s="242">
        <f t="shared" ca="1" si="10"/>
        <v>0</v>
      </c>
      <c r="DX15" s="242">
        <f t="shared" ca="1" si="10"/>
        <v>0</v>
      </c>
      <c r="DY15" s="242">
        <f t="shared" ca="1" si="10"/>
        <v>0</v>
      </c>
      <c r="DZ15" s="242">
        <f t="shared" ca="1" si="10"/>
        <v>0</v>
      </c>
      <c r="EA15" s="242">
        <f t="shared" ca="1" si="10"/>
        <v>0</v>
      </c>
      <c r="EB15" s="242">
        <f t="shared" ca="1" si="10"/>
        <v>0</v>
      </c>
      <c r="EC15" s="242">
        <f t="shared" ref="EC15:EG15" ca="1" si="11">EC10</f>
        <v>0</v>
      </c>
      <c r="ED15" s="242">
        <f t="shared" ca="1" si="11"/>
        <v>0</v>
      </c>
      <c r="EE15" s="242">
        <f t="shared" ca="1" si="11"/>
        <v>0</v>
      </c>
      <c r="EF15" s="242">
        <f t="shared" ca="1" si="11"/>
        <v>0</v>
      </c>
      <c r="EG15" s="242">
        <f t="shared" ca="1" si="11"/>
        <v>0</v>
      </c>
    </row>
    <row r="16" spans="1:137" x14ac:dyDescent="0.3">
      <c r="A16" s="245" t="s">
        <v>843</v>
      </c>
      <c r="E16" s="227">
        <f t="shared" ref="E16:BP16" ca="1" si="12">SUM(E14:E15)</f>
        <v>0</v>
      </c>
      <c r="F16" s="227">
        <f t="shared" ca="1" si="12"/>
        <v>0</v>
      </c>
      <c r="G16" s="227">
        <f t="shared" ca="1" si="12"/>
        <v>0</v>
      </c>
      <c r="H16" s="227">
        <f t="shared" ca="1" si="12"/>
        <v>0</v>
      </c>
      <c r="I16" s="227">
        <f t="shared" ca="1" si="12"/>
        <v>0</v>
      </c>
      <c r="J16" s="227">
        <f t="shared" ca="1" si="12"/>
        <v>0</v>
      </c>
      <c r="K16" s="227">
        <f t="shared" ca="1" si="12"/>
        <v>0</v>
      </c>
      <c r="L16" s="227">
        <f t="shared" ca="1" si="12"/>
        <v>0</v>
      </c>
      <c r="M16" s="227">
        <f t="shared" ca="1" si="12"/>
        <v>0</v>
      </c>
      <c r="N16" s="227">
        <f t="shared" ca="1" si="12"/>
        <v>0</v>
      </c>
      <c r="O16" s="227">
        <f t="shared" ca="1" si="12"/>
        <v>1711728.34</v>
      </c>
      <c r="P16" s="227">
        <f t="shared" ca="1" si="12"/>
        <v>5697228.0930000003</v>
      </c>
      <c r="Q16" s="227">
        <f t="shared" ca="1" si="12"/>
        <v>9733199.8629999999</v>
      </c>
      <c r="R16" s="227">
        <f t="shared" ca="1" si="12"/>
        <v>13808090.988</v>
      </c>
      <c r="S16" s="227">
        <f t="shared" ca="1" si="12"/>
        <v>17622260.153000001</v>
      </c>
      <c r="T16" s="227">
        <f t="shared" ca="1" si="12"/>
        <v>21329502.300000001</v>
      </c>
      <c r="U16" s="227">
        <f t="shared" ca="1" si="12"/>
        <v>24768144.386</v>
      </c>
      <c r="V16" s="227">
        <f t="shared" ca="1" si="12"/>
        <v>27869886.265000001</v>
      </c>
      <c r="W16" s="227">
        <f t="shared" ca="1" si="12"/>
        <v>30955999.098000001</v>
      </c>
      <c r="X16" s="227">
        <f t="shared" ca="1" si="12"/>
        <v>33796813.004000001</v>
      </c>
      <c r="Y16" s="227">
        <f t="shared" ca="1" si="12"/>
        <v>36204153.247000001</v>
      </c>
      <c r="Z16" s="227">
        <f t="shared" ca="1" si="12"/>
        <v>38271070.438000001</v>
      </c>
      <c r="AA16" s="227">
        <f t="shared" ca="1" si="12"/>
        <v>40007220.784000002</v>
      </c>
      <c r="AB16" s="227">
        <f t="shared" ca="1" si="12"/>
        <v>41209308.363000005</v>
      </c>
      <c r="AC16" s="227">
        <f t="shared" ca="1" si="12"/>
        <v>42200089.103000008</v>
      </c>
      <c r="AD16" s="227">
        <f t="shared" ca="1" si="12"/>
        <v>42877793.387000009</v>
      </c>
      <c r="AE16" s="227">
        <f t="shared" ca="1" si="12"/>
        <v>42877793.387000009</v>
      </c>
      <c r="AF16" s="227">
        <f t="shared" ca="1" si="12"/>
        <v>42877793.387000009</v>
      </c>
      <c r="AG16" s="227">
        <f t="shared" ca="1" si="12"/>
        <v>42877793.387000009</v>
      </c>
      <c r="AH16" s="227">
        <f t="shared" ca="1" si="12"/>
        <v>42877793.387000009</v>
      </c>
      <c r="AI16" s="227">
        <f t="shared" ca="1" si="12"/>
        <v>0</v>
      </c>
      <c r="AJ16" s="227">
        <f t="shared" ca="1" si="12"/>
        <v>0</v>
      </c>
      <c r="AK16" s="227">
        <f t="shared" ca="1" si="12"/>
        <v>0</v>
      </c>
      <c r="AL16" s="227">
        <f t="shared" ca="1" si="12"/>
        <v>0</v>
      </c>
      <c r="AM16" s="227">
        <f t="shared" ca="1" si="12"/>
        <v>0</v>
      </c>
      <c r="AN16" s="227">
        <f t="shared" ca="1" si="12"/>
        <v>0</v>
      </c>
      <c r="AO16" s="227">
        <f t="shared" ca="1" si="12"/>
        <v>0</v>
      </c>
      <c r="AP16" s="227">
        <f t="shared" ca="1" si="12"/>
        <v>0</v>
      </c>
      <c r="AQ16" s="227">
        <f t="shared" ca="1" si="12"/>
        <v>0</v>
      </c>
      <c r="AR16" s="227">
        <f t="shared" ca="1" si="12"/>
        <v>0</v>
      </c>
      <c r="AS16" s="227">
        <f t="shared" ca="1" si="12"/>
        <v>0</v>
      </c>
      <c r="AT16" s="227">
        <f t="shared" ca="1" si="12"/>
        <v>0</v>
      </c>
      <c r="AU16" s="227">
        <f t="shared" ca="1" si="12"/>
        <v>0</v>
      </c>
      <c r="AV16" s="227">
        <f t="shared" ca="1" si="12"/>
        <v>0</v>
      </c>
      <c r="AW16" s="227">
        <f t="shared" ca="1" si="12"/>
        <v>0</v>
      </c>
      <c r="AX16" s="227">
        <f t="shared" ca="1" si="12"/>
        <v>0</v>
      </c>
      <c r="AY16" s="227">
        <f t="shared" ca="1" si="12"/>
        <v>0</v>
      </c>
      <c r="AZ16" s="227">
        <f t="shared" ca="1" si="12"/>
        <v>0</v>
      </c>
      <c r="BA16" s="227">
        <f t="shared" ca="1" si="12"/>
        <v>0</v>
      </c>
      <c r="BB16" s="227">
        <f t="shared" ca="1" si="12"/>
        <v>0</v>
      </c>
      <c r="BC16" s="227">
        <f t="shared" ca="1" si="12"/>
        <v>0</v>
      </c>
      <c r="BD16" s="227">
        <f t="shared" ca="1" si="12"/>
        <v>0</v>
      </c>
      <c r="BE16" s="227">
        <f t="shared" ca="1" si="12"/>
        <v>0</v>
      </c>
      <c r="BF16" s="227">
        <f t="shared" ca="1" si="12"/>
        <v>0</v>
      </c>
      <c r="BG16" s="227">
        <f t="shared" ca="1" si="12"/>
        <v>0</v>
      </c>
      <c r="BH16" s="227">
        <f t="shared" ca="1" si="12"/>
        <v>0</v>
      </c>
      <c r="BI16" s="227">
        <f t="shared" ca="1" si="12"/>
        <v>0</v>
      </c>
      <c r="BJ16" s="227">
        <f t="shared" ca="1" si="12"/>
        <v>0</v>
      </c>
      <c r="BK16" s="227">
        <f t="shared" ca="1" si="12"/>
        <v>0</v>
      </c>
      <c r="BL16" s="227">
        <f t="shared" ca="1" si="12"/>
        <v>0</v>
      </c>
      <c r="BM16" s="227">
        <f t="shared" ca="1" si="12"/>
        <v>0</v>
      </c>
      <c r="BN16" s="227">
        <f t="shared" ca="1" si="12"/>
        <v>0</v>
      </c>
      <c r="BO16" s="227">
        <f t="shared" ca="1" si="12"/>
        <v>0</v>
      </c>
      <c r="BP16" s="227">
        <f t="shared" ca="1" si="12"/>
        <v>0</v>
      </c>
      <c r="BQ16" s="227">
        <f t="shared" ref="BQ16:EB16" ca="1" si="13">SUM(BQ14:BQ15)</f>
        <v>0</v>
      </c>
      <c r="BR16" s="227">
        <f t="shared" ca="1" si="13"/>
        <v>0</v>
      </c>
      <c r="BS16" s="227">
        <f t="shared" ca="1" si="13"/>
        <v>0</v>
      </c>
      <c r="BT16" s="227">
        <f t="shared" ca="1" si="13"/>
        <v>0</v>
      </c>
      <c r="BU16" s="227">
        <f t="shared" ca="1" si="13"/>
        <v>0</v>
      </c>
      <c r="BV16" s="227">
        <f t="shared" ca="1" si="13"/>
        <v>0</v>
      </c>
      <c r="BW16" s="227">
        <f t="shared" ca="1" si="13"/>
        <v>0</v>
      </c>
      <c r="BX16" s="227">
        <f t="shared" ca="1" si="13"/>
        <v>0</v>
      </c>
      <c r="BY16" s="227">
        <f t="shared" ca="1" si="13"/>
        <v>0</v>
      </c>
      <c r="BZ16" s="227">
        <f t="shared" ca="1" si="13"/>
        <v>0</v>
      </c>
      <c r="CA16" s="227">
        <f t="shared" ca="1" si="13"/>
        <v>0</v>
      </c>
      <c r="CB16" s="227">
        <f t="shared" ca="1" si="13"/>
        <v>0</v>
      </c>
      <c r="CC16" s="227">
        <f t="shared" ca="1" si="13"/>
        <v>0</v>
      </c>
      <c r="CD16" s="227">
        <f t="shared" ca="1" si="13"/>
        <v>0</v>
      </c>
      <c r="CE16" s="227">
        <f t="shared" ca="1" si="13"/>
        <v>0</v>
      </c>
      <c r="CF16" s="227">
        <f t="shared" ca="1" si="13"/>
        <v>0</v>
      </c>
      <c r="CG16" s="227">
        <f t="shared" ca="1" si="13"/>
        <v>0</v>
      </c>
      <c r="CH16" s="227">
        <f t="shared" ca="1" si="13"/>
        <v>0</v>
      </c>
      <c r="CI16" s="227">
        <f t="shared" ca="1" si="13"/>
        <v>0</v>
      </c>
      <c r="CJ16" s="227">
        <f t="shared" ca="1" si="13"/>
        <v>0</v>
      </c>
      <c r="CK16" s="227">
        <f t="shared" ca="1" si="13"/>
        <v>0</v>
      </c>
      <c r="CL16" s="227">
        <f t="shared" ca="1" si="13"/>
        <v>0</v>
      </c>
      <c r="CM16" s="227">
        <f t="shared" ca="1" si="13"/>
        <v>0</v>
      </c>
      <c r="CN16" s="227">
        <f t="shared" ca="1" si="13"/>
        <v>0</v>
      </c>
      <c r="CO16" s="227">
        <f t="shared" ca="1" si="13"/>
        <v>0</v>
      </c>
      <c r="CP16" s="227">
        <f t="shared" ca="1" si="13"/>
        <v>0</v>
      </c>
      <c r="CQ16" s="227">
        <f t="shared" ca="1" si="13"/>
        <v>0</v>
      </c>
      <c r="CR16" s="227">
        <f t="shared" ca="1" si="13"/>
        <v>0</v>
      </c>
      <c r="CS16" s="227">
        <f t="shared" ca="1" si="13"/>
        <v>0</v>
      </c>
      <c r="CT16" s="227">
        <f t="shared" ca="1" si="13"/>
        <v>0</v>
      </c>
      <c r="CU16" s="227">
        <f t="shared" ca="1" si="13"/>
        <v>0</v>
      </c>
      <c r="CV16" s="227">
        <f t="shared" ca="1" si="13"/>
        <v>0</v>
      </c>
      <c r="CW16" s="227">
        <f t="shared" ca="1" si="13"/>
        <v>0</v>
      </c>
      <c r="CX16" s="227">
        <f t="shared" ca="1" si="13"/>
        <v>0</v>
      </c>
      <c r="CY16" s="227">
        <f t="shared" ca="1" si="13"/>
        <v>0</v>
      </c>
      <c r="CZ16" s="227">
        <f t="shared" ca="1" si="13"/>
        <v>0</v>
      </c>
      <c r="DA16" s="227">
        <f t="shared" ca="1" si="13"/>
        <v>0</v>
      </c>
      <c r="DB16" s="227">
        <f t="shared" ca="1" si="13"/>
        <v>0</v>
      </c>
      <c r="DC16" s="227">
        <f t="shared" ca="1" si="13"/>
        <v>0</v>
      </c>
      <c r="DD16" s="227">
        <f t="shared" ca="1" si="13"/>
        <v>0</v>
      </c>
      <c r="DE16" s="227">
        <f t="shared" ca="1" si="13"/>
        <v>0</v>
      </c>
      <c r="DF16" s="227">
        <f t="shared" ca="1" si="13"/>
        <v>0</v>
      </c>
      <c r="DG16" s="227">
        <f t="shared" ca="1" si="13"/>
        <v>0</v>
      </c>
      <c r="DH16" s="227">
        <f t="shared" ca="1" si="13"/>
        <v>0</v>
      </c>
      <c r="DI16" s="227">
        <f t="shared" ca="1" si="13"/>
        <v>0</v>
      </c>
      <c r="DJ16" s="227">
        <f t="shared" ca="1" si="13"/>
        <v>0</v>
      </c>
      <c r="DK16" s="227">
        <f t="shared" ca="1" si="13"/>
        <v>0</v>
      </c>
      <c r="DL16" s="227">
        <f t="shared" ca="1" si="13"/>
        <v>0</v>
      </c>
      <c r="DM16" s="227">
        <f t="shared" ca="1" si="13"/>
        <v>0</v>
      </c>
      <c r="DN16" s="227">
        <f t="shared" ca="1" si="13"/>
        <v>0</v>
      </c>
      <c r="DO16" s="227">
        <f t="shared" ca="1" si="13"/>
        <v>0</v>
      </c>
      <c r="DP16" s="227">
        <f t="shared" ca="1" si="13"/>
        <v>0</v>
      </c>
      <c r="DQ16" s="227">
        <f t="shared" ca="1" si="13"/>
        <v>0</v>
      </c>
      <c r="DR16" s="227">
        <f t="shared" ca="1" si="13"/>
        <v>0</v>
      </c>
      <c r="DS16" s="227">
        <f t="shared" ca="1" si="13"/>
        <v>0</v>
      </c>
      <c r="DT16" s="227">
        <f t="shared" ca="1" si="13"/>
        <v>0</v>
      </c>
      <c r="DU16" s="227">
        <f t="shared" ca="1" si="13"/>
        <v>0</v>
      </c>
      <c r="DV16" s="227">
        <f t="shared" ca="1" si="13"/>
        <v>0</v>
      </c>
      <c r="DW16" s="227">
        <f t="shared" ca="1" si="13"/>
        <v>0</v>
      </c>
      <c r="DX16" s="227">
        <f t="shared" ca="1" si="13"/>
        <v>0</v>
      </c>
      <c r="DY16" s="227">
        <f t="shared" ca="1" si="13"/>
        <v>0</v>
      </c>
      <c r="DZ16" s="227">
        <f t="shared" ca="1" si="13"/>
        <v>0</v>
      </c>
      <c r="EA16" s="227">
        <f t="shared" ca="1" si="13"/>
        <v>0</v>
      </c>
      <c r="EB16" s="227">
        <f t="shared" ca="1" si="13"/>
        <v>0</v>
      </c>
      <c r="EC16" s="227">
        <f t="shared" ref="EC16:EG16" ca="1" si="14">SUM(EC14:EC15)</f>
        <v>0</v>
      </c>
      <c r="ED16" s="227">
        <f t="shared" ca="1" si="14"/>
        <v>0</v>
      </c>
      <c r="EE16" s="227">
        <f t="shared" ca="1" si="14"/>
        <v>0</v>
      </c>
      <c r="EF16" s="227">
        <f t="shared" ca="1" si="14"/>
        <v>0</v>
      </c>
      <c r="EG16" s="227">
        <f t="shared" ca="1" si="14"/>
        <v>-1.1981576681137085E-3</v>
      </c>
    </row>
    <row r="17" spans="1:137" x14ac:dyDescent="0.3">
      <c r="A17" t="s">
        <v>2465</v>
      </c>
      <c r="E17" s="227">
        <f t="shared" ref="E17:BP17" si="15">E127</f>
        <v>0</v>
      </c>
      <c r="F17" s="227">
        <f t="shared" si="15"/>
        <v>0</v>
      </c>
      <c r="G17" s="227">
        <f t="shared" si="15"/>
        <v>0</v>
      </c>
      <c r="H17" s="227">
        <f t="shared" si="15"/>
        <v>0</v>
      </c>
      <c r="I17" s="227">
        <f t="shared" si="15"/>
        <v>0</v>
      </c>
      <c r="J17" s="227">
        <f t="shared" si="15"/>
        <v>0</v>
      </c>
      <c r="K17" s="227">
        <f t="shared" si="15"/>
        <v>0</v>
      </c>
      <c r="L17" s="227">
        <f t="shared" si="15"/>
        <v>0</v>
      </c>
      <c r="M17" s="227">
        <f t="shared" si="15"/>
        <v>0</v>
      </c>
      <c r="N17" s="227">
        <f t="shared" si="15"/>
        <v>0</v>
      </c>
      <c r="O17" s="227">
        <f t="shared" si="15"/>
        <v>0</v>
      </c>
      <c r="P17" s="227">
        <f t="shared" si="15"/>
        <v>0</v>
      </c>
      <c r="Q17" s="227">
        <f t="shared" si="15"/>
        <v>0</v>
      </c>
      <c r="R17" s="227">
        <f t="shared" si="15"/>
        <v>0</v>
      </c>
      <c r="S17" s="227">
        <f t="shared" si="15"/>
        <v>0</v>
      </c>
      <c r="T17" s="227">
        <f t="shared" si="15"/>
        <v>0</v>
      </c>
      <c r="U17" s="227">
        <f t="shared" si="15"/>
        <v>0</v>
      </c>
      <c r="V17" s="227">
        <f t="shared" si="15"/>
        <v>0</v>
      </c>
      <c r="W17" s="227">
        <f t="shared" si="15"/>
        <v>0</v>
      </c>
      <c r="X17" s="227">
        <f t="shared" si="15"/>
        <v>0</v>
      </c>
      <c r="Y17" s="227">
        <f t="shared" si="15"/>
        <v>0</v>
      </c>
      <c r="Z17" s="227">
        <f t="shared" si="15"/>
        <v>0</v>
      </c>
      <c r="AA17" s="227">
        <f t="shared" si="15"/>
        <v>0</v>
      </c>
      <c r="AB17" s="227">
        <f t="shared" si="15"/>
        <v>0</v>
      </c>
      <c r="AC17" s="227">
        <f t="shared" si="15"/>
        <v>0</v>
      </c>
      <c r="AD17" s="227">
        <f t="shared" si="15"/>
        <v>0</v>
      </c>
      <c r="AE17" s="227">
        <f t="shared" si="15"/>
        <v>0</v>
      </c>
      <c r="AF17" s="227">
        <f t="shared" si="15"/>
        <v>0</v>
      </c>
      <c r="AG17" s="227">
        <f t="shared" si="15"/>
        <v>0</v>
      </c>
      <c r="AH17" s="227">
        <f t="shared" ca="1" si="15"/>
        <v>-42877793.387000009</v>
      </c>
      <c r="AI17" s="227">
        <f t="shared" si="15"/>
        <v>0</v>
      </c>
      <c r="AJ17" s="227">
        <f t="shared" si="15"/>
        <v>0</v>
      </c>
      <c r="AK17" s="227">
        <f t="shared" si="15"/>
        <v>0</v>
      </c>
      <c r="AL17" s="227">
        <f t="shared" si="15"/>
        <v>0</v>
      </c>
      <c r="AM17" s="227">
        <f t="shared" si="15"/>
        <v>0</v>
      </c>
      <c r="AN17" s="227">
        <f t="shared" si="15"/>
        <v>0</v>
      </c>
      <c r="AO17" s="227">
        <f t="shared" si="15"/>
        <v>0</v>
      </c>
      <c r="AP17" s="227">
        <f t="shared" si="15"/>
        <v>0</v>
      </c>
      <c r="AQ17" s="227">
        <f t="shared" si="15"/>
        <v>0</v>
      </c>
      <c r="AR17" s="227">
        <f t="shared" si="15"/>
        <v>0</v>
      </c>
      <c r="AS17" s="227">
        <f t="shared" si="15"/>
        <v>0</v>
      </c>
      <c r="AT17" s="227">
        <f t="shared" si="15"/>
        <v>0</v>
      </c>
      <c r="AU17" s="227">
        <f t="shared" si="15"/>
        <v>0</v>
      </c>
      <c r="AV17" s="227">
        <f t="shared" si="15"/>
        <v>0</v>
      </c>
      <c r="AW17" s="227">
        <f t="shared" si="15"/>
        <v>0</v>
      </c>
      <c r="AX17" s="227">
        <f t="shared" si="15"/>
        <v>0</v>
      </c>
      <c r="AY17" s="227">
        <f t="shared" si="15"/>
        <v>0</v>
      </c>
      <c r="AZ17" s="227">
        <f t="shared" si="15"/>
        <v>0</v>
      </c>
      <c r="BA17" s="227">
        <f t="shared" si="15"/>
        <v>0</v>
      </c>
      <c r="BB17" s="227">
        <f t="shared" si="15"/>
        <v>0</v>
      </c>
      <c r="BC17" s="227">
        <f t="shared" si="15"/>
        <v>0</v>
      </c>
      <c r="BD17" s="227">
        <f t="shared" si="15"/>
        <v>0</v>
      </c>
      <c r="BE17" s="227">
        <f t="shared" si="15"/>
        <v>0</v>
      </c>
      <c r="BF17" s="227">
        <f t="shared" si="15"/>
        <v>0</v>
      </c>
      <c r="BG17" s="227">
        <f t="shared" si="15"/>
        <v>0</v>
      </c>
      <c r="BH17" s="227">
        <f t="shared" si="15"/>
        <v>0</v>
      </c>
      <c r="BI17" s="227">
        <f t="shared" si="15"/>
        <v>0</v>
      </c>
      <c r="BJ17" s="227">
        <f t="shared" si="15"/>
        <v>0</v>
      </c>
      <c r="BK17" s="227">
        <f t="shared" si="15"/>
        <v>0</v>
      </c>
      <c r="BL17" s="227">
        <f t="shared" si="15"/>
        <v>0</v>
      </c>
      <c r="BM17" s="227">
        <f t="shared" si="15"/>
        <v>0</v>
      </c>
      <c r="BN17" s="227">
        <f t="shared" si="15"/>
        <v>0</v>
      </c>
      <c r="BO17" s="227">
        <f t="shared" si="15"/>
        <v>0</v>
      </c>
      <c r="BP17" s="227">
        <f t="shared" si="15"/>
        <v>0</v>
      </c>
      <c r="BQ17" s="227">
        <f t="shared" ref="BQ17:EB17" si="16">BQ127</f>
        <v>0</v>
      </c>
      <c r="BR17" s="227">
        <f t="shared" si="16"/>
        <v>0</v>
      </c>
      <c r="BS17" s="227">
        <f t="shared" si="16"/>
        <v>0</v>
      </c>
      <c r="BT17" s="227">
        <f t="shared" si="16"/>
        <v>0</v>
      </c>
      <c r="BU17" s="227">
        <f t="shared" si="16"/>
        <v>0</v>
      </c>
      <c r="BV17" s="227">
        <f t="shared" si="16"/>
        <v>0</v>
      </c>
      <c r="BW17" s="227">
        <f t="shared" si="16"/>
        <v>0</v>
      </c>
      <c r="BX17" s="227">
        <f t="shared" si="16"/>
        <v>0</v>
      </c>
      <c r="BY17" s="227">
        <f t="shared" si="16"/>
        <v>0</v>
      </c>
      <c r="BZ17" s="227">
        <f t="shared" si="16"/>
        <v>0</v>
      </c>
      <c r="CA17" s="227">
        <f t="shared" si="16"/>
        <v>0</v>
      </c>
      <c r="CB17" s="227">
        <f t="shared" si="16"/>
        <v>0</v>
      </c>
      <c r="CC17" s="227">
        <f t="shared" si="16"/>
        <v>0</v>
      </c>
      <c r="CD17" s="227">
        <f t="shared" si="16"/>
        <v>0</v>
      </c>
      <c r="CE17" s="227">
        <f t="shared" si="16"/>
        <v>0</v>
      </c>
      <c r="CF17" s="227">
        <f t="shared" si="16"/>
        <v>0</v>
      </c>
      <c r="CG17" s="227">
        <f t="shared" si="16"/>
        <v>0</v>
      </c>
      <c r="CH17" s="227">
        <f t="shared" si="16"/>
        <v>0</v>
      </c>
      <c r="CI17" s="227">
        <f t="shared" si="16"/>
        <v>0</v>
      </c>
      <c r="CJ17" s="227">
        <f t="shared" si="16"/>
        <v>0</v>
      </c>
      <c r="CK17" s="227">
        <f t="shared" si="16"/>
        <v>0</v>
      </c>
      <c r="CL17" s="227">
        <f t="shared" si="16"/>
        <v>0</v>
      </c>
      <c r="CM17" s="227">
        <f t="shared" si="16"/>
        <v>0</v>
      </c>
      <c r="CN17" s="227">
        <f t="shared" si="16"/>
        <v>0</v>
      </c>
      <c r="CO17" s="227">
        <f t="shared" si="16"/>
        <v>0</v>
      </c>
      <c r="CP17" s="227">
        <f t="shared" si="16"/>
        <v>0</v>
      </c>
      <c r="CQ17" s="227">
        <f t="shared" si="16"/>
        <v>0</v>
      </c>
      <c r="CR17" s="227">
        <f t="shared" si="16"/>
        <v>0</v>
      </c>
      <c r="CS17" s="227">
        <f t="shared" si="16"/>
        <v>0</v>
      </c>
      <c r="CT17" s="227">
        <f t="shared" si="16"/>
        <v>0</v>
      </c>
      <c r="CU17" s="227">
        <f t="shared" si="16"/>
        <v>0</v>
      </c>
      <c r="CV17" s="227">
        <f t="shared" si="16"/>
        <v>0</v>
      </c>
      <c r="CW17" s="227">
        <f t="shared" si="16"/>
        <v>0</v>
      </c>
      <c r="CX17" s="227">
        <f t="shared" si="16"/>
        <v>0</v>
      </c>
      <c r="CY17" s="227">
        <f t="shared" si="16"/>
        <v>0</v>
      </c>
      <c r="CZ17" s="227">
        <f t="shared" si="16"/>
        <v>0</v>
      </c>
      <c r="DA17" s="227">
        <f t="shared" si="16"/>
        <v>0</v>
      </c>
      <c r="DB17" s="227">
        <f t="shared" si="16"/>
        <v>0</v>
      </c>
      <c r="DC17" s="227">
        <f t="shared" si="16"/>
        <v>0</v>
      </c>
      <c r="DD17" s="227">
        <f t="shared" si="16"/>
        <v>0</v>
      </c>
      <c r="DE17" s="227">
        <f t="shared" si="16"/>
        <v>0</v>
      </c>
      <c r="DF17" s="227">
        <f t="shared" si="16"/>
        <v>0</v>
      </c>
      <c r="DG17" s="227">
        <f t="shared" si="16"/>
        <v>0</v>
      </c>
      <c r="DH17" s="227">
        <f t="shared" si="16"/>
        <v>0</v>
      </c>
      <c r="DI17" s="227">
        <f t="shared" si="16"/>
        <v>0</v>
      </c>
      <c r="DJ17" s="227">
        <f t="shared" si="16"/>
        <v>0</v>
      </c>
      <c r="DK17" s="227">
        <f t="shared" si="16"/>
        <v>0</v>
      </c>
      <c r="DL17" s="227">
        <f t="shared" si="16"/>
        <v>0</v>
      </c>
      <c r="DM17" s="227">
        <f t="shared" si="16"/>
        <v>0</v>
      </c>
      <c r="DN17" s="227">
        <f t="shared" si="16"/>
        <v>0</v>
      </c>
      <c r="DO17" s="227">
        <f t="shared" si="16"/>
        <v>0</v>
      </c>
      <c r="DP17" s="227">
        <f t="shared" si="16"/>
        <v>0</v>
      </c>
      <c r="DQ17" s="227">
        <f t="shared" si="16"/>
        <v>0</v>
      </c>
      <c r="DR17" s="227">
        <f t="shared" si="16"/>
        <v>0</v>
      </c>
      <c r="DS17" s="227">
        <f t="shared" si="16"/>
        <v>0</v>
      </c>
      <c r="DT17" s="227">
        <f t="shared" si="16"/>
        <v>0</v>
      </c>
      <c r="DU17" s="227">
        <f t="shared" si="16"/>
        <v>0</v>
      </c>
      <c r="DV17" s="227">
        <f t="shared" si="16"/>
        <v>0</v>
      </c>
      <c r="DW17" s="227">
        <f t="shared" si="16"/>
        <v>0</v>
      </c>
      <c r="DX17" s="227">
        <f t="shared" si="16"/>
        <v>0</v>
      </c>
      <c r="DY17" s="227">
        <f t="shared" si="16"/>
        <v>0</v>
      </c>
      <c r="DZ17" s="227">
        <f t="shared" si="16"/>
        <v>0</v>
      </c>
      <c r="EA17" s="227">
        <f t="shared" si="16"/>
        <v>0</v>
      </c>
      <c r="EB17" s="227">
        <f t="shared" si="16"/>
        <v>0</v>
      </c>
      <c r="EC17" s="227">
        <f t="shared" ref="EC17:EG17" si="17">EC127</f>
        <v>0</v>
      </c>
      <c r="ED17" s="227">
        <f t="shared" si="17"/>
        <v>0</v>
      </c>
      <c r="EE17" s="227">
        <f t="shared" si="17"/>
        <v>0</v>
      </c>
      <c r="EF17" s="227">
        <f t="shared" si="17"/>
        <v>0</v>
      </c>
      <c r="EG17" s="227">
        <f t="shared" si="17"/>
        <v>0</v>
      </c>
    </row>
    <row r="18" spans="1:137" ht="15" thickBot="1" x14ac:dyDescent="0.35">
      <c r="A18" s="248" t="s">
        <v>2463</v>
      </c>
      <c r="B18" s="248"/>
      <c r="C18" s="248"/>
      <c r="D18" s="697"/>
      <c r="E18" s="250">
        <f t="shared" ref="E18:BP18" ca="1" si="18">SUM(E16:E17)</f>
        <v>0</v>
      </c>
      <c r="F18" s="250">
        <f t="shared" ca="1" si="18"/>
        <v>0</v>
      </c>
      <c r="G18" s="250">
        <f t="shared" ca="1" si="18"/>
        <v>0</v>
      </c>
      <c r="H18" s="250">
        <f t="shared" ca="1" si="18"/>
        <v>0</v>
      </c>
      <c r="I18" s="250">
        <f t="shared" ca="1" si="18"/>
        <v>0</v>
      </c>
      <c r="J18" s="250">
        <f t="shared" ca="1" si="18"/>
        <v>0</v>
      </c>
      <c r="K18" s="250">
        <f t="shared" ca="1" si="18"/>
        <v>0</v>
      </c>
      <c r="L18" s="250">
        <f t="shared" ca="1" si="18"/>
        <v>0</v>
      </c>
      <c r="M18" s="250">
        <f ca="1">SUM(M16:M17)</f>
        <v>0</v>
      </c>
      <c r="N18" s="250">
        <f t="shared" ca="1" si="18"/>
        <v>0</v>
      </c>
      <c r="O18" s="250">
        <f t="shared" ca="1" si="18"/>
        <v>1711728.34</v>
      </c>
      <c r="P18" s="250">
        <f t="shared" ca="1" si="18"/>
        <v>5697228.0930000003</v>
      </c>
      <c r="Q18" s="250">
        <f t="shared" ca="1" si="18"/>
        <v>9733199.8629999999</v>
      </c>
      <c r="R18" s="250">
        <f t="shared" ca="1" si="18"/>
        <v>13808090.988</v>
      </c>
      <c r="S18" s="250">
        <f t="shared" ca="1" si="18"/>
        <v>17622260.153000001</v>
      </c>
      <c r="T18" s="250">
        <f t="shared" ca="1" si="18"/>
        <v>21329502.300000001</v>
      </c>
      <c r="U18" s="250">
        <f t="shared" ca="1" si="18"/>
        <v>24768144.386</v>
      </c>
      <c r="V18" s="250">
        <f t="shared" ca="1" si="18"/>
        <v>27869886.265000001</v>
      </c>
      <c r="W18" s="250">
        <f t="shared" ca="1" si="18"/>
        <v>30955999.098000001</v>
      </c>
      <c r="X18" s="250">
        <f t="shared" ca="1" si="18"/>
        <v>33796813.004000001</v>
      </c>
      <c r="Y18" s="250">
        <f t="shared" ca="1" si="18"/>
        <v>36204153.247000001</v>
      </c>
      <c r="Z18" s="250">
        <f t="shared" ca="1" si="18"/>
        <v>38271070.438000001</v>
      </c>
      <c r="AA18" s="250">
        <f t="shared" ca="1" si="18"/>
        <v>40007220.784000002</v>
      </c>
      <c r="AB18" s="250">
        <f t="shared" ca="1" si="18"/>
        <v>41209308.363000005</v>
      </c>
      <c r="AC18" s="250">
        <f t="shared" ca="1" si="18"/>
        <v>42200089.103000008</v>
      </c>
      <c r="AD18" s="250">
        <f t="shared" ca="1" si="18"/>
        <v>42877793.387000009</v>
      </c>
      <c r="AE18" s="250">
        <f t="shared" ca="1" si="18"/>
        <v>42877793.387000009</v>
      </c>
      <c r="AF18" s="250">
        <f t="shared" ca="1" si="18"/>
        <v>42877793.387000009</v>
      </c>
      <c r="AG18" s="250">
        <f t="shared" ca="1" si="18"/>
        <v>42877793.387000009</v>
      </c>
      <c r="AH18" s="250">
        <f t="shared" ca="1" si="18"/>
        <v>0</v>
      </c>
      <c r="AI18" s="250">
        <f t="shared" ca="1" si="18"/>
        <v>0</v>
      </c>
      <c r="AJ18" s="250">
        <f t="shared" ca="1" si="18"/>
        <v>0</v>
      </c>
      <c r="AK18" s="250">
        <f t="shared" ca="1" si="18"/>
        <v>0</v>
      </c>
      <c r="AL18" s="250">
        <f t="shared" ca="1" si="18"/>
        <v>0</v>
      </c>
      <c r="AM18" s="250">
        <f t="shared" ca="1" si="18"/>
        <v>0</v>
      </c>
      <c r="AN18" s="250">
        <f t="shared" ca="1" si="18"/>
        <v>0</v>
      </c>
      <c r="AO18" s="250">
        <f t="shared" ca="1" si="18"/>
        <v>0</v>
      </c>
      <c r="AP18" s="250">
        <f t="shared" ca="1" si="18"/>
        <v>0</v>
      </c>
      <c r="AQ18" s="250">
        <f t="shared" ca="1" si="18"/>
        <v>0</v>
      </c>
      <c r="AR18" s="250">
        <f t="shared" ca="1" si="18"/>
        <v>0</v>
      </c>
      <c r="AS18" s="250">
        <f t="shared" ca="1" si="18"/>
        <v>0</v>
      </c>
      <c r="AT18" s="250">
        <f t="shared" ca="1" si="18"/>
        <v>0</v>
      </c>
      <c r="AU18" s="250">
        <f t="shared" ca="1" si="18"/>
        <v>0</v>
      </c>
      <c r="AV18" s="250">
        <f t="shared" ca="1" si="18"/>
        <v>0</v>
      </c>
      <c r="AW18" s="250">
        <f t="shared" ca="1" si="18"/>
        <v>0</v>
      </c>
      <c r="AX18" s="250">
        <f t="shared" ca="1" si="18"/>
        <v>0</v>
      </c>
      <c r="AY18" s="250">
        <f t="shared" ca="1" si="18"/>
        <v>0</v>
      </c>
      <c r="AZ18" s="250">
        <f t="shared" ca="1" si="18"/>
        <v>0</v>
      </c>
      <c r="BA18" s="250">
        <f t="shared" ca="1" si="18"/>
        <v>0</v>
      </c>
      <c r="BB18" s="250">
        <f t="shared" ca="1" si="18"/>
        <v>0</v>
      </c>
      <c r="BC18" s="250">
        <f t="shared" ca="1" si="18"/>
        <v>0</v>
      </c>
      <c r="BD18" s="250">
        <f t="shared" ca="1" si="18"/>
        <v>0</v>
      </c>
      <c r="BE18" s="250">
        <f t="shared" ca="1" si="18"/>
        <v>0</v>
      </c>
      <c r="BF18" s="250">
        <f t="shared" ca="1" si="18"/>
        <v>0</v>
      </c>
      <c r="BG18" s="250">
        <f t="shared" ca="1" si="18"/>
        <v>0</v>
      </c>
      <c r="BH18" s="250">
        <f t="shared" ca="1" si="18"/>
        <v>0</v>
      </c>
      <c r="BI18" s="250">
        <f t="shared" ca="1" si="18"/>
        <v>0</v>
      </c>
      <c r="BJ18" s="250">
        <f t="shared" ca="1" si="18"/>
        <v>0</v>
      </c>
      <c r="BK18" s="250">
        <f t="shared" ca="1" si="18"/>
        <v>0</v>
      </c>
      <c r="BL18" s="250">
        <f t="shared" ca="1" si="18"/>
        <v>0</v>
      </c>
      <c r="BM18" s="250">
        <f t="shared" ca="1" si="18"/>
        <v>0</v>
      </c>
      <c r="BN18" s="250">
        <f t="shared" ca="1" si="18"/>
        <v>0</v>
      </c>
      <c r="BO18" s="250">
        <f t="shared" ca="1" si="18"/>
        <v>0</v>
      </c>
      <c r="BP18" s="250">
        <f t="shared" ca="1" si="18"/>
        <v>0</v>
      </c>
      <c r="BQ18" s="250">
        <f t="shared" ref="BQ18:EB18" ca="1" si="19">SUM(BQ16:BQ17)</f>
        <v>0</v>
      </c>
      <c r="BR18" s="250">
        <f t="shared" ca="1" si="19"/>
        <v>0</v>
      </c>
      <c r="BS18" s="250">
        <f t="shared" ca="1" si="19"/>
        <v>0</v>
      </c>
      <c r="BT18" s="250">
        <f t="shared" ca="1" si="19"/>
        <v>0</v>
      </c>
      <c r="BU18" s="250">
        <f t="shared" ca="1" si="19"/>
        <v>0</v>
      </c>
      <c r="BV18" s="250">
        <f t="shared" ca="1" si="19"/>
        <v>0</v>
      </c>
      <c r="BW18" s="250">
        <f t="shared" ca="1" si="19"/>
        <v>0</v>
      </c>
      <c r="BX18" s="250">
        <f t="shared" ca="1" si="19"/>
        <v>0</v>
      </c>
      <c r="BY18" s="250">
        <f t="shared" ca="1" si="19"/>
        <v>0</v>
      </c>
      <c r="BZ18" s="250">
        <f t="shared" ca="1" si="19"/>
        <v>0</v>
      </c>
      <c r="CA18" s="250">
        <f t="shared" ca="1" si="19"/>
        <v>0</v>
      </c>
      <c r="CB18" s="250">
        <f t="shared" ca="1" si="19"/>
        <v>0</v>
      </c>
      <c r="CC18" s="250">
        <f t="shared" ca="1" si="19"/>
        <v>0</v>
      </c>
      <c r="CD18" s="250">
        <f t="shared" ca="1" si="19"/>
        <v>0</v>
      </c>
      <c r="CE18" s="250">
        <f t="shared" ca="1" si="19"/>
        <v>0</v>
      </c>
      <c r="CF18" s="250">
        <f t="shared" ca="1" si="19"/>
        <v>0</v>
      </c>
      <c r="CG18" s="250">
        <f t="shared" ca="1" si="19"/>
        <v>0</v>
      </c>
      <c r="CH18" s="250">
        <f t="shared" ca="1" si="19"/>
        <v>0</v>
      </c>
      <c r="CI18" s="250">
        <f t="shared" ca="1" si="19"/>
        <v>0</v>
      </c>
      <c r="CJ18" s="250">
        <f t="shared" ca="1" si="19"/>
        <v>0</v>
      </c>
      <c r="CK18" s="250">
        <f t="shared" ca="1" si="19"/>
        <v>0</v>
      </c>
      <c r="CL18" s="250">
        <f t="shared" ca="1" si="19"/>
        <v>0</v>
      </c>
      <c r="CM18" s="250">
        <f t="shared" ca="1" si="19"/>
        <v>0</v>
      </c>
      <c r="CN18" s="250">
        <f t="shared" ca="1" si="19"/>
        <v>0</v>
      </c>
      <c r="CO18" s="250">
        <f t="shared" ca="1" si="19"/>
        <v>0</v>
      </c>
      <c r="CP18" s="250">
        <f t="shared" ca="1" si="19"/>
        <v>0</v>
      </c>
      <c r="CQ18" s="250">
        <f t="shared" ca="1" si="19"/>
        <v>0</v>
      </c>
      <c r="CR18" s="250">
        <f t="shared" ca="1" si="19"/>
        <v>0</v>
      </c>
      <c r="CS18" s="250">
        <f t="shared" ca="1" si="19"/>
        <v>0</v>
      </c>
      <c r="CT18" s="250">
        <f t="shared" ca="1" si="19"/>
        <v>0</v>
      </c>
      <c r="CU18" s="250">
        <f t="shared" ca="1" si="19"/>
        <v>0</v>
      </c>
      <c r="CV18" s="250">
        <f t="shared" ca="1" si="19"/>
        <v>0</v>
      </c>
      <c r="CW18" s="250">
        <f t="shared" ca="1" si="19"/>
        <v>0</v>
      </c>
      <c r="CX18" s="250">
        <f t="shared" ca="1" si="19"/>
        <v>0</v>
      </c>
      <c r="CY18" s="250">
        <f t="shared" ca="1" si="19"/>
        <v>0</v>
      </c>
      <c r="CZ18" s="250">
        <f t="shared" ca="1" si="19"/>
        <v>0</v>
      </c>
      <c r="DA18" s="250">
        <f t="shared" ca="1" si="19"/>
        <v>0</v>
      </c>
      <c r="DB18" s="250">
        <f t="shared" ca="1" si="19"/>
        <v>0</v>
      </c>
      <c r="DC18" s="250">
        <f t="shared" ca="1" si="19"/>
        <v>0</v>
      </c>
      <c r="DD18" s="250">
        <f t="shared" ca="1" si="19"/>
        <v>0</v>
      </c>
      <c r="DE18" s="250">
        <f t="shared" ca="1" si="19"/>
        <v>0</v>
      </c>
      <c r="DF18" s="250">
        <f t="shared" ca="1" si="19"/>
        <v>0</v>
      </c>
      <c r="DG18" s="250">
        <f t="shared" ca="1" si="19"/>
        <v>0</v>
      </c>
      <c r="DH18" s="250">
        <f t="shared" ca="1" si="19"/>
        <v>0</v>
      </c>
      <c r="DI18" s="250">
        <f t="shared" ca="1" si="19"/>
        <v>0</v>
      </c>
      <c r="DJ18" s="250">
        <f t="shared" ca="1" si="19"/>
        <v>0</v>
      </c>
      <c r="DK18" s="250">
        <f t="shared" ca="1" si="19"/>
        <v>0</v>
      </c>
      <c r="DL18" s="250">
        <f t="shared" ca="1" si="19"/>
        <v>0</v>
      </c>
      <c r="DM18" s="250">
        <f t="shared" ca="1" si="19"/>
        <v>0</v>
      </c>
      <c r="DN18" s="250">
        <f t="shared" ca="1" si="19"/>
        <v>0</v>
      </c>
      <c r="DO18" s="250">
        <f t="shared" ca="1" si="19"/>
        <v>0</v>
      </c>
      <c r="DP18" s="250">
        <f t="shared" ca="1" si="19"/>
        <v>0</v>
      </c>
      <c r="DQ18" s="250">
        <f t="shared" ca="1" si="19"/>
        <v>0</v>
      </c>
      <c r="DR18" s="250">
        <f t="shared" ca="1" si="19"/>
        <v>0</v>
      </c>
      <c r="DS18" s="250">
        <f t="shared" ca="1" si="19"/>
        <v>0</v>
      </c>
      <c r="DT18" s="250">
        <f t="shared" ca="1" si="19"/>
        <v>0</v>
      </c>
      <c r="DU18" s="250">
        <f t="shared" ca="1" si="19"/>
        <v>0</v>
      </c>
      <c r="DV18" s="250">
        <f t="shared" ca="1" si="19"/>
        <v>0</v>
      </c>
      <c r="DW18" s="250">
        <f t="shared" ca="1" si="19"/>
        <v>0</v>
      </c>
      <c r="DX18" s="250">
        <f t="shared" ca="1" si="19"/>
        <v>0</v>
      </c>
      <c r="DY18" s="250">
        <f t="shared" ca="1" si="19"/>
        <v>0</v>
      </c>
      <c r="DZ18" s="250">
        <f t="shared" ca="1" si="19"/>
        <v>0</v>
      </c>
      <c r="EA18" s="250">
        <f t="shared" ca="1" si="19"/>
        <v>0</v>
      </c>
      <c r="EB18" s="250">
        <f t="shared" ca="1" si="19"/>
        <v>0</v>
      </c>
      <c r="EC18" s="250">
        <f ca="1">SUM(EC16:EC17)</f>
        <v>0</v>
      </c>
      <c r="ED18" s="250">
        <f ca="1">SUM(ED16:ED17)</f>
        <v>0</v>
      </c>
      <c r="EE18" s="250">
        <f ca="1">SUM(EE16:EE17)</f>
        <v>0</v>
      </c>
      <c r="EF18" s="250">
        <f ca="1">SUM(EF16:EF17)</f>
        <v>0</v>
      </c>
      <c r="EG18" s="250">
        <f ca="1">SUM(EG16:EG17)</f>
        <v>-1.1981576681137085E-3</v>
      </c>
    </row>
    <row r="19" spans="1:137" ht="6.75" customHeight="1" thickTop="1" x14ac:dyDescent="0.3"/>
    <row r="20" spans="1:137" x14ac:dyDescent="0.3">
      <c r="A20" s="700" t="s">
        <v>2466</v>
      </c>
    </row>
    <row r="21" spans="1:137" x14ac:dyDescent="0.3">
      <c r="A21" t="s">
        <v>2461</v>
      </c>
      <c r="E21" s="227">
        <f t="shared" ref="E21:BP21" si="20">D24</f>
        <v>0</v>
      </c>
      <c r="F21" s="227">
        <f t="shared" si="20"/>
        <v>0</v>
      </c>
      <c r="G21" s="227">
        <f t="shared" si="20"/>
        <v>0</v>
      </c>
      <c r="H21" s="227">
        <f t="shared" si="20"/>
        <v>0</v>
      </c>
      <c r="I21" s="227">
        <f t="shared" si="20"/>
        <v>0</v>
      </c>
      <c r="J21" s="227">
        <f t="shared" si="20"/>
        <v>0</v>
      </c>
      <c r="K21" s="227">
        <f t="shared" si="20"/>
        <v>0</v>
      </c>
      <c r="L21" s="227">
        <f t="shared" si="20"/>
        <v>0</v>
      </c>
      <c r="M21" s="227">
        <f t="shared" si="20"/>
        <v>0</v>
      </c>
      <c r="N21" s="227">
        <f t="shared" si="20"/>
        <v>0</v>
      </c>
      <c r="O21" s="227">
        <f t="shared" si="20"/>
        <v>0</v>
      </c>
      <c r="P21" s="227">
        <f t="shared" si="20"/>
        <v>0</v>
      </c>
      <c r="Q21" s="227">
        <f t="shared" si="20"/>
        <v>0</v>
      </c>
      <c r="R21" s="227">
        <f t="shared" si="20"/>
        <v>0</v>
      </c>
      <c r="S21" s="227">
        <f t="shared" si="20"/>
        <v>0</v>
      </c>
      <c r="T21" s="227">
        <f t="shared" si="20"/>
        <v>0</v>
      </c>
      <c r="U21" s="227">
        <f t="shared" si="20"/>
        <v>0</v>
      </c>
      <c r="V21" s="227">
        <f t="shared" si="20"/>
        <v>0</v>
      </c>
      <c r="W21" s="227">
        <f t="shared" si="20"/>
        <v>0</v>
      </c>
      <c r="X21" s="227">
        <f t="shared" si="20"/>
        <v>0</v>
      </c>
      <c r="Y21" s="227">
        <f t="shared" si="20"/>
        <v>0</v>
      </c>
      <c r="Z21" s="227">
        <f t="shared" si="20"/>
        <v>0</v>
      </c>
      <c r="AA21" s="227">
        <f t="shared" si="20"/>
        <v>0</v>
      </c>
      <c r="AB21" s="227">
        <f t="shared" si="20"/>
        <v>0</v>
      </c>
      <c r="AC21" s="227">
        <f t="shared" si="20"/>
        <v>0</v>
      </c>
      <c r="AD21" s="227">
        <f t="shared" si="20"/>
        <v>0</v>
      </c>
      <c r="AE21" s="227">
        <f t="shared" si="20"/>
        <v>0</v>
      </c>
      <c r="AF21" s="227">
        <f t="shared" si="20"/>
        <v>0</v>
      </c>
      <c r="AG21" s="227">
        <f t="shared" si="20"/>
        <v>0</v>
      </c>
      <c r="AH21" s="227">
        <f t="shared" si="20"/>
        <v>0</v>
      </c>
      <c r="AI21" s="227">
        <f t="shared" ca="1" si="20"/>
        <v>43199376.838609651</v>
      </c>
      <c r="AJ21" s="227">
        <f t="shared" ca="1" si="20"/>
        <v>43158534.145411938</v>
      </c>
      <c r="AK21" s="227">
        <f t="shared" ca="1" si="20"/>
        <v>43117478.097813144</v>
      </c>
      <c r="AL21" s="227">
        <f t="shared" ca="1" si="20"/>
        <v>43076207.581290767</v>
      </c>
      <c r="AM21" s="227">
        <f t="shared" ca="1" si="20"/>
        <v>43034721.475500263</v>
      </c>
      <c r="AN21" s="227">
        <f t="shared" ca="1" si="20"/>
        <v>42993018.654244609</v>
      </c>
      <c r="AO21" s="227">
        <f t="shared" ca="1" si="20"/>
        <v>42951097.985443756</v>
      </c>
      <c r="AP21" s="227">
        <f t="shared" ca="1" si="20"/>
        <v>42908958.331103884</v>
      </c>
      <c r="AQ21" s="227">
        <f t="shared" ca="1" si="20"/>
        <v>42866598.54728651</v>
      </c>
      <c r="AR21" s="227">
        <f t="shared" ca="1" si="20"/>
        <v>42824017.484077431</v>
      </c>
      <c r="AS21" s="227">
        <f t="shared" ca="1" si="20"/>
        <v>42781213.985555522</v>
      </c>
      <c r="AT21" s="227">
        <f t="shared" ca="1" si="20"/>
        <v>42738186.889761336</v>
      </c>
      <c r="AU21" s="227">
        <f t="shared" ca="1" si="20"/>
        <v>42694935.02866558</v>
      </c>
      <c r="AV21" s="227">
        <f t="shared" ca="1" si="20"/>
        <v>42651457.228137404</v>
      </c>
      <c r="AW21" s="227">
        <f t="shared" ca="1" si="20"/>
        <v>42607752.307912514</v>
      </c>
      <c r="AX21" s="227">
        <f t="shared" ca="1" si="20"/>
        <v>42563819.081561141</v>
      </c>
      <c r="AY21" s="227">
        <f t="shared" ca="1" si="20"/>
        <v>42519656.356455848</v>
      </c>
      <c r="AZ21" s="227">
        <f t="shared" ca="1" si="20"/>
        <v>42475262.933739126</v>
      </c>
      <c r="BA21" s="227">
        <f t="shared" ca="1" si="20"/>
        <v>42430637.608290866</v>
      </c>
      <c r="BB21" s="227">
        <f t="shared" ca="1" si="20"/>
        <v>42385779.168695651</v>
      </c>
      <c r="BC21" s="227">
        <f t="shared" ca="1" si="20"/>
        <v>42340686.39720986</v>
      </c>
      <c r="BD21" s="227">
        <f t="shared" ca="1" si="20"/>
        <v>42295358.069728613</v>
      </c>
      <c r="BE21" s="227">
        <f t="shared" ca="1" si="20"/>
        <v>42249792.955752529</v>
      </c>
      <c r="BF21" s="227">
        <f t="shared" ca="1" si="20"/>
        <v>42203989.818354346</v>
      </c>
      <c r="BG21" s="227">
        <f t="shared" ca="1" si="20"/>
        <v>42157947.414145336</v>
      </c>
      <c r="BH21" s="227">
        <f t="shared" ca="1" si="20"/>
        <v>42111664.493241526</v>
      </c>
      <c r="BI21" s="227">
        <f t="shared" ca="1" si="20"/>
        <v>42065139.799229808</v>
      </c>
      <c r="BJ21" s="227">
        <f t="shared" ca="1" si="20"/>
        <v>42018372.069133811</v>
      </c>
      <c r="BK21" s="227">
        <f t="shared" ca="1" si="20"/>
        <v>41971360.033379607</v>
      </c>
      <c r="BL21" s="227">
        <f t="shared" ca="1" si="20"/>
        <v>41924102.415761262</v>
      </c>
      <c r="BM21" s="227">
        <f t="shared" ca="1" si="20"/>
        <v>41876597.933406189</v>
      </c>
      <c r="BN21" s="227">
        <f t="shared" ca="1" si="20"/>
        <v>41828845.296740316</v>
      </c>
      <c r="BO21" s="227">
        <f t="shared" ca="1" si="20"/>
        <v>41780843.209453091</v>
      </c>
      <c r="BP21" s="227">
        <f t="shared" ca="1" si="20"/>
        <v>41732590.368462279</v>
      </c>
      <c r="BQ21" s="227">
        <f t="shared" ref="BQ21:EB21" ca="1" si="21">BP24</f>
        <v>41684085.463878594</v>
      </c>
      <c r="BR21" s="227">
        <f t="shared" ca="1" si="21"/>
        <v>41635327.178970136</v>
      </c>
      <c r="BS21" s="227">
        <f t="shared" ca="1" si="21"/>
        <v>41586314.19012665</v>
      </c>
      <c r="BT21" s="227">
        <f t="shared" ca="1" si="21"/>
        <v>41537045.166823603</v>
      </c>
      <c r="BU21" s="227">
        <f t="shared" ca="1" si="21"/>
        <v>41487518.771586053</v>
      </c>
      <c r="BV21" s="227">
        <f t="shared" ca="1" si="21"/>
        <v>41437733.659952343</v>
      </c>
      <c r="BW21" s="227">
        <f t="shared" ca="1" si="21"/>
        <v>41387688.480437599</v>
      </c>
      <c r="BX21" s="227">
        <f t="shared" ca="1" si="21"/>
        <v>41337381.874497063</v>
      </c>
      <c r="BY21" s="227">
        <f t="shared" ca="1" si="21"/>
        <v>41286812.476489194</v>
      </c>
      <c r="BZ21" s="227">
        <f t="shared" ca="1" si="21"/>
        <v>41235978.913638599</v>
      </c>
      <c r="CA21" s="227">
        <f t="shared" ca="1" si="21"/>
        <v>41184879.805998772</v>
      </c>
      <c r="CB21" s="227">
        <f t="shared" ca="1" si="21"/>
        <v>41133513.766414635</v>
      </c>
      <c r="CC21" s="227">
        <f t="shared" ca="1" si="21"/>
        <v>41081879.400484867</v>
      </c>
      <c r="CD21" s="227">
        <f t="shared" ca="1" si="21"/>
        <v>41029975.306524068</v>
      </c>
      <c r="CE21" s="227">
        <f t="shared" ca="1" si="21"/>
        <v>40977800.075524703</v>
      </c>
      <c r="CF21" s="227">
        <f t="shared" ca="1" si="21"/>
        <v>40925352.291118845</v>
      </c>
      <c r="CG21" s="227">
        <f t="shared" ca="1" si="21"/>
        <v>40872630.529539749</v>
      </c>
      <c r="CH21" s="227">
        <f t="shared" ca="1" si="21"/>
        <v>40819633.359583162</v>
      </c>
      <c r="CI21" s="227">
        <f t="shared" ca="1" si="21"/>
        <v>40766359.342568517</v>
      </c>
      <c r="CJ21" s="227">
        <f t="shared" ca="1" si="21"/>
        <v>40712807.032299839</v>
      </c>
      <c r="CK21" s="227">
        <f t="shared" ca="1" si="21"/>
        <v>40658974.975026511</v>
      </c>
      <c r="CL21" s="227">
        <f t="shared" ca="1" si="21"/>
        <v>40604861.709403798</v>
      </c>
      <c r="CM21" s="227">
        <f t="shared" ca="1" si="21"/>
        <v>40550465.766453184</v>
      </c>
      <c r="CN21" s="227">
        <f t="shared" ca="1" si="21"/>
        <v>40495785.669522479</v>
      </c>
      <c r="CO21" s="227">
        <f t="shared" ca="1" si="21"/>
        <v>40440819.934245765</v>
      </c>
      <c r="CP21" s="227">
        <f t="shared" ca="1" si="21"/>
        <v>40385567.068503059</v>
      </c>
      <c r="CQ21" s="227">
        <f t="shared" ca="1" si="21"/>
        <v>40330025.57237985</v>
      </c>
      <c r="CR21" s="227">
        <f t="shared" ca="1" si="21"/>
        <v>40274193.938126348</v>
      </c>
      <c r="CS21" s="227">
        <f t="shared" ca="1" si="21"/>
        <v>40218070.65011657</v>
      </c>
      <c r="CT21" s="227">
        <f t="shared" ca="1" si="21"/>
        <v>40161654.184807189</v>
      </c>
      <c r="CU21" s="227">
        <f t="shared" ca="1" si="21"/>
        <v>40104943.010696188</v>
      </c>
      <c r="CV21" s="227">
        <f t="shared" ca="1" si="21"/>
        <v>40047935.588281274</v>
      </c>
      <c r="CW21" s="227">
        <f t="shared" ca="1" si="21"/>
        <v>39990630.370018087</v>
      </c>
      <c r="CX21" s="227">
        <f t="shared" ca="1" si="21"/>
        <v>39933025.800278194</v>
      </c>
      <c r="CY21" s="227">
        <f t="shared" ca="1" si="21"/>
        <v>39875120.315306857</v>
      </c>
      <c r="CZ21" s="227">
        <f t="shared" ca="1" si="21"/>
        <v>39816912.343180582</v>
      </c>
      <c r="DA21" s="227">
        <f t="shared" ca="1" si="21"/>
        <v>39758400.30376444</v>
      </c>
      <c r="DB21" s="227">
        <f t="shared" ca="1" si="21"/>
        <v>39699582.608669199</v>
      </c>
      <c r="DC21" s="227">
        <f t="shared" ca="1" si="21"/>
        <v>39640457.661208175</v>
      </c>
      <c r="DD21" s="227">
        <f t="shared" ca="1" si="21"/>
        <v>39581023.856353894</v>
      </c>
      <c r="DE21" s="227">
        <f t="shared" ca="1" si="21"/>
        <v>39521279.580694534</v>
      </c>
      <c r="DF21" s="227">
        <f t="shared" ca="1" si="21"/>
        <v>39461223.212390117</v>
      </c>
      <c r="DG21" s="227">
        <f t="shared" ca="1" si="21"/>
        <v>39400853.121128477</v>
      </c>
      <c r="DH21" s="227">
        <f t="shared" ca="1" si="21"/>
        <v>39340167.668081023</v>
      </c>
      <c r="DI21" s="227">
        <f t="shared" ca="1" si="21"/>
        <v>39279165.205858223</v>
      </c>
      <c r="DJ21" s="227">
        <f t="shared" ca="1" si="21"/>
        <v>39217844.07846491</v>
      </c>
      <c r="DK21" s="227">
        <f t="shared" ca="1" si="21"/>
        <v>39156202.621255316</v>
      </c>
      <c r="DL21" s="227">
        <f t="shared" ca="1" si="21"/>
        <v>39094239.160887867</v>
      </c>
      <c r="DM21" s="227">
        <f t="shared" ca="1" si="21"/>
        <v>39031952.015279792</v>
      </c>
      <c r="DN21" s="227">
        <f t="shared" ca="1" si="21"/>
        <v>38969339.493561432</v>
      </c>
      <c r="DO21" s="227">
        <f t="shared" ca="1" si="21"/>
        <v>38906399.896030344</v>
      </c>
      <c r="DP21" s="227">
        <f t="shared" ca="1" si="21"/>
        <v>38843131.514105178</v>
      </c>
      <c r="DQ21" s="227">
        <f t="shared" ca="1" si="21"/>
        <v>38779532.630279273</v>
      </c>
      <c r="DR21" s="227">
        <f t="shared" ca="1" si="21"/>
        <v>38715601.518074051</v>
      </c>
      <c r="DS21" s="227">
        <f t="shared" ca="1" si="21"/>
        <v>38651336.441992134</v>
      </c>
      <c r="DT21" s="227">
        <f t="shared" ca="1" si="21"/>
        <v>38586735.657470234</v>
      </c>
      <c r="DU21" s="227">
        <f t="shared" ca="1" si="21"/>
        <v>38521797.410831809</v>
      </c>
      <c r="DV21" s="227">
        <f t="shared" ca="1" si="21"/>
        <v>38456519.939239442</v>
      </c>
      <c r="DW21" s="227">
        <f t="shared" ca="1" si="21"/>
        <v>38390901.470646992</v>
      </c>
      <c r="DX21" s="227">
        <f t="shared" ca="1" si="21"/>
        <v>38324940.223751485</v>
      </c>
      <c r="DY21" s="227">
        <f t="shared" ca="1" si="21"/>
        <v>38258634.407944769</v>
      </c>
      <c r="DZ21" s="227">
        <f t="shared" ca="1" si="21"/>
        <v>38191982.223264895</v>
      </c>
      <c r="EA21" s="227">
        <f t="shared" ca="1" si="21"/>
        <v>38124981.860347256</v>
      </c>
      <c r="EB21" s="227">
        <f t="shared" ca="1" si="21"/>
        <v>38057631.500375472</v>
      </c>
      <c r="EC21" s="227">
        <f t="shared" ref="EC21:EG21" ca="1" si="22">EB24</f>
        <v>37989929.315032013</v>
      </c>
      <c r="ED21" s="227">
        <f t="shared" ca="1" si="22"/>
        <v>37921873.466448575</v>
      </c>
      <c r="EE21" s="227">
        <f t="shared" ca="1" si="22"/>
        <v>37853462.107156172</v>
      </c>
      <c r="EF21" s="227">
        <f t="shared" ca="1" si="22"/>
        <v>37784693.380035006</v>
      </c>
      <c r="EG21" s="227">
        <f t="shared" ca="1" si="22"/>
        <v>37715565.418264031</v>
      </c>
    </row>
    <row r="22" spans="1:137" x14ac:dyDescent="0.3">
      <c r="A22" t="s">
        <v>2467</v>
      </c>
      <c r="E22" s="229">
        <f t="shared" ref="E22:BP22" si="23">E116</f>
        <v>0</v>
      </c>
      <c r="F22" s="229">
        <f t="shared" si="23"/>
        <v>0</v>
      </c>
      <c r="G22" s="229">
        <f t="shared" si="23"/>
        <v>0</v>
      </c>
      <c r="H22" s="229">
        <f t="shared" si="23"/>
        <v>0</v>
      </c>
      <c r="I22" s="229">
        <f t="shared" si="23"/>
        <v>0</v>
      </c>
      <c r="J22" s="229">
        <f t="shared" si="23"/>
        <v>0</v>
      </c>
      <c r="K22" s="229">
        <f t="shared" si="23"/>
        <v>0</v>
      </c>
      <c r="L22" s="229">
        <f t="shared" si="23"/>
        <v>0</v>
      </c>
      <c r="M22" s="229">
        <f t="shared" si="23"/>
        <v>0</v>
      </c>
      <c r="N22" s="229">
        <f t="shared" si="23"/>
        <v>0</v>
      </c>
      <c r="O22" s="229">
        <f t="shared" si="23"/>
        <v>0</v>
      </c>
      <c r="P22" s="229">
        <f t="shared" si="23"/>
        <v>0</v>
      </c>
      <c r="Q22" s="229">
        <f t="shared" si="23"/>
        <v>0</v>
      </c>
      <c r="R22" s="229">
        <f t="shared" si="23"/>
        <v>0</v>
      </c>
      <c r="S22" s="229">
        <f t="shared" si="23"/>
        <v>0</v>
      </c>
      <c r="T22" s="229">
        <f t="shared" si="23"/>
        <v>0</v>
      </c>
      <c r="U22" s="229">
        <f t="shared" si="23"/>
        <v>0</v>
      </c>
      <c r="V22" s="229">
        <f t="shared" si="23"/>
        <v>0</v>
      </c>
      <c r="W22" s="229">
        <f t="shared" si="23"/>
        <v>0</v>
      </c>
      <c r="X22" s="229">
        <f t="shared" si="23"/>
        <v>0</v>
      </c>
      <c r="Y22" s="229">
        <f t="shared" si="23"/>
        <v>0</v>
      </c>
      <c r="Z22" s="229">
        <f t="shared" si="23"/>
        <v>0</v>
      </c>
      <c r="AA22" s="229">
        <f t="shared" si="23"/>
        <v>0</v>
      </c>
      <c r="AB22" s="229">
        <f t="shared" si="23"/>
        <v>0</v>
      </c>
      <c r="AC22" s="229">
        <f t="shared" si="23"/>
        <v>0</v>
      </c>
      <c r="AD22" s="229">
        <f t="shared" si="23"/>
        <v>0</v>
      </c>
      <c r="AE22" s="229">
        <f t="shared" si="23"/>
        <v>0</v>
      </c>
      <c r="AF22" s="229">
        <f t="shared" si="23"/>
        <v>0</v>
      </c>
      <c r="AG22" s="229">
        <f t="shared" si="23"/>
        <v>0</v>
      </c>
      <c r="AH22" s="229">
        <f t="shared" ca="1" si="23"/>
        <v>43199376.838609651</v>
      </c>
      <c r="AI22" s="229">
        <f t="shared" si="23"/>
        <v>0</v>
      </c>
      <c r="AJ22" s="229">
        <f t="shared" si="23"/>
        <v>0</v>
      </c>
      <c r="AK22" s="229">
        <f t="shared" si="23"/>
        <v>0</v>
      </c>
      <c r="AL22" s="229">
        <f t="shared" si="23"/>
        <v>0</v>
      </c>
      <c r="AM22" s="229">
        <f t="shared" si="23"/>
        <v>0</v>
      </c>
      <c r="AN22" s="229">
        <f t="shared" si="23"/>
        <v>0</v>
      </c>
      <c r="AO22" s="229">
        <f t="shared" si="23"/>
        <v>0</v>
      </c>
      <c r="AP22" s="229">
        <f t="shared" si="23"/>
        <v>0</v>
      </c>
      <c r="AQ22" s="229">
        <f t="shared" si="23"/>
        <v>0</v>
      </c>
      <c r="AR22" s="229">
        <f t="shared" si="23"/>
        <v>0</v>
      </c>
      <c r="AS22" s="229">
        <f t="shared" si="23"/>
        <v>0</v>
      </c>
      <c r="AT22" s="229">
        <f t="shared" si="23"/>
        <v>0</v>
      </c>
      <c r="AU22" s="229">
        <f t="shared" si="23"/>
        <v>0</v>
      </c>
      <c r="AV22" s="229">
        <f t="shared" si="23"/>
        <v>0</v>
      </c>
      <c r="AW22" s="229">
        <f t="shared" si="23"/>
        <v>0</v>
      </c>
      <c r="AX22" s="229">
        <f t="shared" si="23"/>
        <v>0</v>
      </c>
      <c r="AY22" s="229">
        <f t="shared" si="23"/>
        <v>0</v>
      </c>
      <c r="AZ22" s="229">
        <f t="shared" si="23"/>
        <v>0</v>
      </c>
      <c r="BA22" s="229">
        <f t="shared" si="23"/>
        <v>0</v>
      </c>
      <c r="BB22" s="229">
        <f t="shared" si="23"/>
        <v>0</v>
      </c>
      <c r="BC22" s="229">
        <f t="shared" si="23"/>
        <v>0</v>
      </c>
      <c r="BD22" s="229">
        <f t="shared" si="23"/>
        <v>0</v>
      </c>
      <c r="BE22" s="229">
        <f t="shared" si="23"/>
        <v>0</v>
      </c>
      <c r="BF22" s="229">
        <f t="shared" si="23"/>
        <v>0</v>
      </c>
      <c r="BG22" s="229">
        <f t="shared" si="23"/>
        <v>0</v>
      </c>
      <c r="BH22" s="229">
        <f t="shared" si="23"/>
        <v>0</v>
      </c>
      <c r="BI22" s="229">
        <f t="shared" si="23"/>
        <v>0</v>
      </c>
      <c r="BJ22" s="229">
        <f t="shared" si="23"/>
        <v>0</v>
      </c>
      <c r="BK22" s="229">
        <f t="shared" si="23"/>
        <v>0</v>
      </c>
      <c r="BL22" s="229">
        <f t="shared" si="23"/>
        <v>0</v>
      </c>
      <c r="BM22" s="229">
        <f t="shared" si="23"/>
        <v>0</v>
      </c>
      <c r="BN22" s="229">
        <f t="shared" si="23"/>
        <v>0</v>
      </c>
      <c r="BO22" s="229">
        <f t="shared" si="23"/>
        <v>0</v>
      </c>
      <c r="BP22" s="229">
        <f t="shared" si="23"/>
        <v>0</v>
      </c>
      <c r="BQ22" s="229">
        <f t="shared" ref="BQ22:EB22" si="24">BQ116</f>
        <v>0</v>
      </c>
      <c r="BR22" s="229">
        <f t="shared" si="24"/>
        <v>0</v>
      </c>
      <c r="BS22" s="229">
        <f t="shared" si="24"/>
        <v>0</v>
      </c>
      <c r="BT22" s="229">
        <f t="shared" si="24"/>
        <v>0</v>
      </c>
      <c r="BU22" s="229">
        <f t="shared" si="24"/>
        <v>0</v>
      </c>
      <c r="BV22" s="229">
        <f t="shared" si="24"/>
        <v>0</v>
      </c>
      <c r="BW22" s="229">
        <f t="shared" si="24"/>
        <v>0</v>
      </c>
      <c r="BX22" s="229">
        <f t="shared" si="24"/>
        <v>0</v>
      </c>
      <c r="BY22" s="229">
        <f t="shared" si="24"/>
        <v>0</v>
      </c>
      <c r="BZ22" s="229">
        <f t="shared" si="24"/>
        <v>0</v>
      </c>
      <c r="CA22" s="229">
        <f t="shared" si="24"/>
        <v>0</v>
      </c>
      <c r="CB22" s="229">
        <f t="shared" si="24"/>
        <v>0</v>
      </c>
      <c r="CC22" s="229">
        <f t="shared" si="24"/>
        <v>0</v>
      </c>
      <c r="CD22" s="229">
        <f t="shared" si="24"/>
        <v>0</v>
      </c>
      <c r="CE22" s="229">
        <f t="shared" si="24"/>
        <v>0</v>
      </c>
      <c r="CF22" s="229">
        <f t="shared" si="24"/>
        <v>0</v>
      </c>
      <c r="CG22" s="229">
        <f t="shared" si="24"/>
        <v>0</v>
      </c>
      <c r="CH22" s="229">
        <f t="shared" si="24"/>
        <v>0</v>
      </c>
      <c r="CI22" s="229">
        <f t="shared" si="24"/>
        <v>0</v>
      </c>
      <c r="CJ22" s="229">
        <f t="shared" si="24"/>
        <v>0</v>
      </c>
      <c r="CK22" s="229">
        <f t="shared" si="24"/>
        <v>0</v>
      </c>
      <c r="CL22" s="229">
        <f t="shared" si="24"/>
        <v>0</v>
      </c>
      <c r="CM22" s="229">
        <f t="shared" si="24"/>
        <v>0</v>
      </c>
      <c r="CN22" s="229">
        <f t="shared" si="24"/>
        <v>0</v>
      </c>
      <c r="CO22" s="229">
        <f t="shared" si="24"/>
        <v>0</v>
      </c>
      <c r="CP22" s="229">
        <f t="shared" si="24"/>
        <v>0</v>
      </c>
      <c r="CQ22" s="229">
        <f t="shared" si="24"/>
        <v>0</v>
      </c>
      <c r="CR22" s="229">
        <f t="shared" si="24"/>
        <v>0</v>
      </c>
      <c r="CS22" s="229">
        <f t="shared" si="24"/>
        <v>0</v>
      </c>
      <c r="CT22" s="229">
        <f t="shared" si="24"/>
        <v>0</v>
      </c>
      <c r="CU22" s="229">
        <f t="shared" si="24"/>
        <v>0</v>
      </c>
      <c r="CV22" s="229">
        <f t="shared" si="24"/>
        <v>0</v>
      </c>
      <c r="CW22" s="229">
        <f t="shared" si="24"/>
        <v>0</v>
      </c>
      <c r="CX22" s="229">
        <f t="shared" si="24"/>
        <v>0</v>
      </c>
      <c r="CY22" s="229">
        <f t="shared" si="24"/>
        <v>0</v>
      </c>
      <c r="CZ22" s="229">
        <f t="shared" si="24"/>
        <v>0</v>
      </c>
      <c r="DA22" s="229">
        <f t="shared" si="24"/>
        <v>0</v>
      </c>
      <c r="DB22" s="229">
        <f t="shared" si="24"/>
        <v>0</v>
      </c>
      <c r="DC22" s="229">
        <f t="shared" si="24"/>
        <v>0</v>
      </c>
      <c r="DD22" s="229">
        <f t="shared" si="24"/>
        <v>0</v>
      </c>
      <c r="DE22" s="229">
        <f t="shared" si="24"/>
        <v>0</v>
      </c>
      <c r="DF22" s="229">
        <f t="shared" si="24"/>
        <v>0</v>
      </c>
      <c r="DG22" s="229">
        <f t="shared" si="24"/>
        <v>0</v>
      </c>
      <c r="DH22" s="229">
        <f t="shared" si="24"/>
        <v>0</v>
      </c>
      <c r="DI22" s="229">
        <f t="shared" si="24"/>
        <v>0</v>
      </c>
      <c r="DJ22" s="229">
        <f t="shared" si="24"/>
        <v>0</v>
      </c>
      <c r="DK22" s="229">
        <f t="shared" si="24"/>
        <v>0</v>
      </c>
      <c r="DL22" s="229">
        <f t="shared" si="24"/>
        <v>0</v>
      </c>
      <c r="DM22" s="229">
        <f t="shared" si="24"/>
        <v>0</v>
      </c>
      <c r="DN22" s="229">
        <f t="shared" si="24"/>
        <v>0</v>
      </c>
      <c r="DO22" s="229">
        <f t="shared" si="24"/>
        <v>0</v>
      </c>
      <c r="DP22" s="229">
        <f t="shared" si="24"/>
        <v>0</v>
      </c>
      <c r="DQ22" s="229">
        <f t="shared" si="24"/>
        <v>0</v>
      </c>
      <c r="DR22" s="229">
        <f t="shared" si="24"/>
        <v>0</v>
      </c>
      <c r="DS22" s="229">
        <f t="shared" si="24"/>
        <v>0</v>
      </c>
      <c r="DT22" s="229">
        <f t="shared" si="24"/>
        <v>0</v>
      </c>
      <c r="DU22" s="229">
        <f t="shared" si="24"/>
        <v>0</v>
      </c>
      <c r="DV22" s="229">
        <f t="shared" si="24"/>
        <v>0</v>
      </c>
      <c r="DW22" s="229">
        <f t="shared" si="24"/>
        <v>0</v>
      </c>
      <c r="DX22" s="229">
        <f t="shared" si="24"/>
        <v>0</v>
      </c>
      <c r="DY22" s="229">
        <f t="shared" si="24"/>
        <v>0</v>
      </c>
      <c r="DZ22" s="229">
        <f t="shared" si="24"/>
        <v>0</v>
      </c>
      <c r="EA22" s="229">
        <f t="shared" si="24"/>
        <v>0</v>
      </c>
      <c r="EB22" s="229">
        <f t="shared" si="24"/>
        <v>0</v>
      </c>
      <c r="EC22" s="229">
        <f t="shared" ref="EC22:EG22" si="25">EC116</f>
        <v>0</v>
      </c>
      <c r="ED22" s="229">
        <f t="shared" si="25"/>
        <v>0</v>
      </c>
      <c r="EE22" s="229">
        <f t="shared" si="25"/>
        <v>0</v>
      </c>
      <c r="EF22" s="229">
        <f t="shared" si="25"/>
        <v>0</v>
      </c>
      <c r="EG22" s="229">
        <f t="shared" si="25"/>
        <v>0</v>
      </c>
    </row>
    <row r="23" spans="1:137" x14ac:dyDescent="0.3">
      <c r="A23" s="241" t="s">
        <v>2468</v>
      </c>
      <c r="B23" s="241"/>
      <c r="C23" s="241"/>
      <c r="D23" s="687"/>
      <c r="E23" s="242">
        <f>IF(E5&lt;=MonthRefi,0,PPMT('General Inputs'!$N$14/12,Waterfalls!E$5-MonthRefi,'General Inputs'!$N$13*12,PermLoan))</f>
        <v>0</v>
      </c>
      <c r="F23" s="242">
        <f>IF(F5&lt;=MonthRefi,0,PPMT('General Inputs'!$N$14/12,Waterfalls!F$5-MonthRefi,'General Inputs'!$N$13*12,PermLoan))</f>
        <v>0</v>
      </c>
      <c r="G23" s="242">
        <f>IF(G5&lt;=MonthRefi,0,PPMT('General Inputs'!$N$14/12,Waterfalls!G$5-MonthRefi,'General Inputs'!$N$13*12,PermLoan))</f>
        <v>0</v>
      </c>
      <c r="H23" s="242">
        <f>IF(H5&lt;=MonthRefi,0,PPMT('General Inputs'!$N$14/12,Waterfalls!H$5-MonthRefi,'General Inputs'!$N$13*12,PermLoan))</f>
        <v>0</v>
      </c>
      <c r="I23" s="242">
        <f>IF(I5&lt;=MonthRefi,0,PPMT('General Inputs'!$N$14/12,Waterfalls!I$5-MonthRefi,'General Inputs'!$N$13*12,PermLoan))</f>
        <v>0</v>
      </c>
      <c r="J23" s="242">
        <f>IF(J5&lt;=MonthRefi,0,PPMT('General Inputs'!$N$14/12,Waterfalls!J$5-MonthRefi,'General Inputs'!$N$13*12,PermLoan))</f>
        <v>0</v>
      </c>
      <c r="K23" s="242">
        <f>IF(K5&lt;=MonthRefi,0,PPMT('General Inputs'!$N$14/12,Waterfalls!K$5-MonthRefi,'General Inputs'!$N$13*12,PermLoan))</f>
        <v>0</v>
      </c>
      <c r="L23" s="242">
        <f>IF(L5&lt;=MonthRefi,0,PPMT('General Inputs'!$N$14/12,Waterfalls!L$5-MonthRefi,'General Inputs'!$N$13*12,PermLoan))</f>
        <v>0</v>
      </c>
      <c r="M23" s="242">
        <f>IF(M5&lt;=MonthRefi,0,PPMT('General Inputs'!$N$14/12,Waterfalls!M$5-MonthRefi,'General Inputs'!$N$13*12,PermLoan))</f>
        <v>0</v>
      </c>
      <c r="N23" s="242">
        <f>IF(N5&lt;=MonthRefi,0,PPMT('General Inputs'!$N$14/12,Waterfalls!N$5-MonthRefi,'General Inputs'!$N$13*12,PermLoan))</f>
        <v>0</v>
      </c>
      <c r="O23" s="242">
        <f>IF(O5&lt;=MonthRefi,0,PPMT('General Inputs'!$N$14/12,Waterfalls!O$5-MonthRefi,'General Inputs'!$N$13*12,PermLoan))</f>
        <v>0</v>
      </c>
      <c r="P23" s="242">
        <f>IF(P5&lt;=MonthRefi,0,PPMT('General Inputs'!$N$14/12,Waterfalls!P$5-MonthRefi,'General Inputs'!$N$13*12,PermLoan))</f>
        <v>0</v>
      </c>
      <c r="Q23" s="242">
        <f>IF(Q5&lt;=MonthRefi,0,PPMT('General Inputs'!$N$14/12,Waterfalls!Q$5-MonthRefi,'General Inputs'!$N$13*12,PermLoan))</f>
        <v>0</v>
      </c>
      <c r="R23" s="242">
        <f>IF(R5&lt;=MonthRefi,0,PPMT('General Inputs'!$N$14/12,Waterfalls!R$5-MonthRefi,'General Inputs'!$N$13*12,PermLoan))</f>
        <v>0</v>
      </c>
      <c r="S23" s="242">
        <f>IF(S5&lt;=MonthRefi,0,PPMT('General Inputs'!$N$14/12,Waterfalls!S$5-MonthRefi,'General Inputs'!$N$13*12,PermLoan))</f>
        <v>0</v>
      </c>
      <c r="T23" s="242">
        <f>IF(T5&lt;=MonthRefi,0,PPMT('General Inputs'!$N$14/12,Waterfalls!T$5-MonthRefi,'General Inputs'!$N$13*12,PermLoan))</f>
        <v>0</v>
      </c>
      <c r="U23" s="242">
        <f>IF(U5&lt;=MonthRefi,0,PPMT('General Inputs'!$N$14/12,Waterfalls!U$5-MonthRefi,'General Inputs'!$N$13*12,PermLoan))</f>
        <v>0</v>
      </c>
      <c r="V23" s="242">
        <f>IF(V5&lt;=MonthRefi,0,PPMT('General Inputs'!$N$14/12,Waterfalls!V$5-MonthRefi,'General Inputs'!$N$13*12,PermLoan))</f>
        <v>0</v>
      </c>
      <c r="W23" s="242">
        <f>IF(W5&lt;=MonthRefi,0,PPMT('General Inputs'!$N$14/12,Waterfalls!W$5-MonthRefi,'General Inputs'!$N$13*12,PermLoan))</f>
        <v>0</v>
      </c>
      <c r="X23" s="242">
        <f>IF(X5&lt;=MonthRefi,0,PPMT('General Inputs'!$N$14/12,Waterfalls!X$5-MonthRefi,'General Inputs'!$N$13*12,PermLoan))</f>
        <v>0</v>
      </c>
      <c r="Y23" s="242">
        <f>IF(Y5&lt;=MonthRefi,0,PPMT('General Inputs'!$N$14/12,Waterfalls!Y$5-MonthRefi,'General Inputs'!$N$13*12,PermLoan))</f>
        <v>0</v>
      </c>
      <c r="Z23" s="242">
        <f>IF(Z5&lt;=MonthRefi,0,PPMT('General Inputs'!$N$14/12,Waterfalls!Z$5-MonthRefi,'General Inputs'!$N$13*12,PermLoan))</f>
        <v>0</v>
      </c>
      <c r="AA23" s="242">
        <f>IF(AA5&lt;=MonthRefi,0,PPMT('General Inputs'!$N$14/12,Waterfalls!AA$5-MonthRefi,'General Inputs'!$N$13*12,PermLoan))</f>
        <v>0</v>
      </c>
      <c r="AB23" s="242">
        <f>IF(AB5&lt;=MonthRefi,0,PPMT('General Inputs'!$N$14/12,Waterfalls!AB$5-MonthRefi,'General Inputs'!$N$13*12,PermLoan))</f>
        <v>0</v>
      </c>
      <c r="AC23" s="242">
        <f>IF(AC5&lt;=MonthRefi,0,PPMT('General Inputs'!$N$14/12,Waterfalls!AC$5-MonthRefi,'General Inputs'!$N$13*12,PermLoan))</f>
        <v>0</v>
      </c>
      <c r="AD23" s="242">
        <f>IF(AD5&lt;=MonthRefi,0,PPMT('General Inputs'!$N$14/12,Waterfalls!AD$5-MonthRefi,'General Inputs'!$N$13*12,PermLoan))</f>
        <v>0</v>
      </c>
      <c r="AE23" s="242">
        <f>IF(AE5&lt;=MonthRefi,0,PPMT('General Inputs'!$N$14/12,Waterfalls!AE$5-MonthRefi,'General Inputs'!$N$13*12,PermLoan))</f>
        <v>0</v>
      </c>
      <c r="AF23" s="242">
        <f>IF(AF5&lt;=MonthRefi,0,PPMT('General Inputs'!$N$14/12,Waterfalls!AF$5-MonthRefi,'General Inputs'!$N$13*12,PermLoan))</f>
        <v>0</v>
      </c>
      <c r="AG23" s="242">
        <f>IF(AG5&lt;=MonthRefi,0,PPMT('General Inputs'!$N$14/12,Waterfalls!AG$5-MonthRefi,'General Inputs'!$N$13*12,PermLoan))</f>
        <v>0</v>
      </c>
      <c r="AH23" s="242">
        <f>IF(AH5&lt;=MonthRefi,0,PPMT('General Inputs'!$N$14/12,Waterfalls!AH$5-MonthRefi,'General Inputs'!$N$13*12,PermLoan))</f>
        <v>0</v>
      </c>
      <c r="AI23" s="242">
        <f ca="1">IF(AI5&lt;=MonthRefi,0,PPMT('General Inputs'!$N$14/12,Waterfalls!AI$5-MonthRefi,'General Inputs'!$N$13*12,PermLoan))</f>
        <v>-40842.693197712004</v>
      </c>
      <c r="AJ23" s="242">
        <f ca="1">IF(AJ5&lt;=MonthRefi,0,PPMT('General Inputs'!$N$14/12,Waterfalls!AJ$5-MonthRefi,'General Inputs'!$N$13*12,PermLoan))</f>
        <v>-41056.047598793986</v>
      </c>
      <c r="AK23" s="242">
        <f ca="1">IF(AK5&lt;=MonthRefi,0,PPMT('General Inputs'!$N$14/12,Waterfalls!AK$5-MonthRefi,'General Inputs'!$N$13*12,PermLoan))</f>
        <v>-41270.516522374302</v>
      </c>
      <c r="AL23" s="242">
        <f ca="1">IF(AL5&lt;=MonthRefi,0,PPMT('General Inputs'!$N$14/12,Waterfalls!AL$5-MonthRefi,'General Inputs'!$N$13*12,PermLoan))</f>
        <v>-41486.105790504851</v>
      </c>
      <c r="AM23" s="242">
        <f ca="1">IF(AM5&lt;=MonthRefi,0,PPMT('General Inputs'!$N$14/12,Waterfalls!AM$5-MonthRefi,'General Inputs'!$N$13*12,PermLoan))</f>
        <v>-41702.821255650837</v>
      </c>
      <c r="AN23" s="242">
        <f ca="1">IF(AN5&lt;=MonthRefi,0,PPMT('General Inputs'!$N$14/12,Waterfalls!AN$5-MonthRefi,'General Inputs'!$N$13*12,PermLoan))</f>
        <v>-41920.668800849606</v>
      </c>
      <c r="AO23" s="242">
        <f ca="1">IF(AO5&lt;=MonthRefi,0,PPMT('General Inputs'!$N$14/12,Waterfalls!AO$5-MonthRefi,'General Inputs'!$N$13*12,PermLoan))</f>
        <v>-42139.654339870394</v>
      </c>
      <c r="AP23" s="242">
        <f ca="1">IF(AP5&lt;=MonthRefi,0,PPMT('General Inputs'!$N$14/12,Waterfalls!AP$5-MonthRefi,'General Inputs'!$N$13*12,PermLoan))</f>
        <v>-42359.783817374795</v>
      </c>
      <c r="AQ23" s="242">
        <f ca="1">IF(AQ5&lt;=MonthRefi,0,PPMT('General Inputs'!$N$14/12,Waterfalls!AQ$5-MonthRefi,'General Inputs'!$N$13*12,PermLoan))</f>
        <v>-42581.063209078195</v>
      </c>
      <c r="AR23" s="242">
        <f ca="1">IF(AR5&lt;=MonthRefi,0,PPMT('General Inputs'!$N$14/12,Waterfalls!AR$5-MonthRefi,'General Inputs'!$N$13*12,PermLoan))</f>
        <v>-42803.498521911977</v>
      </c>
      <c r="AS23" s="242">
        <f ca="1">IF(AS5&lt;=MonthRefi,0,PPMT('General Inputs'!$N$14/12,Waterfalls!AS$5-MonthRefi,'General Inputs'!$N$13*12,PermLoan))</f>
        <v>-43027.095794186564</v>
      </c>
      <c r="AT23" s="242">
        <f ca="1">IF(AT5&lt;=MonthRefi,0,PPMT('General Inputs'!$N$14/12,Waterfalls!AT$5-MonthRefi,'General Inputs'!$N$13*12,PermLoan))</f>
        <v>-43251.861095755368</v>
      </c>
      <c r="AU23" s="242">
        <f ca="1">IF(AU5&lt;=MonthRefi,0,PPMT('General Inputs'!$N$14/12,Waterfalls!AU$5-MonthRefi,'General Inputs'!$N$13*12,PermLoan))</f>
        <v>-43477.800528179549</v>
      </c>
      <c r="AV23" s="242">
        <f ca="1">IF(AV5&lt;=MonthRefi,0,PPMT('General Inputs'!$N$14/12,Waterfalls!AV$5-MonthRefi,'General Inputs'!$N$13*12,PermLoan))</f>
        <v>-43704.920224893664</v>
      </c>
      <c r="AW23" s="242">
        <f ca="1">IF(AW5&lt;=MonthRefi,0,PPMT('General Inputs'!$N$14/12,Waterfalls!AW$5-MonthRefi,'General Inputs'!$N$13*12,PermLoan))</f>
        <v>-43933.226351372119</v>
      </c>
      <c r="AX23" s="242">
        <f ca="1">IF(AX5&lt;=MonthRefi,0,PPMT('General Inputs'!$N$14/12,Waterfalls!AX$5-MonthRefi,'General Inputs'!$N$13*12,PermLoan))</f>
        <v>-44162.725105296631</v>
      </c>
      <c r="AY23" s="242">
        <f ca="1">IF(AY5&lt;=MonthRefi,0,PPMT('General Inputs'!$N$14/12,Waterfalls!AY$5-MonthRefi,'General Inputs'!$N$13*12,PermLoan))</f>
        <v>-44393.422716724388</v>
      </c>
      <c r="AZ23" s="242">
        <f ca="1">IF(AZ5&lt;=MonthRefi,0,PPMT('General Inputs'!$N$14/12,Waterfalls!AZ$5-MonthRefi,'General Inputs'!$N$13*12,PermLoan))</f>
        <v>-44625.325448257208</v>
      </c>
      <c r="BA23" s="242">
        <f ca="1">IF(BA5&lt;=MonthRefi,0,PPMT('General Inputs'!$N$14/12,Waterfalls!BA$5-MonthRefi,'General Inputs'!$N$13*12,PermLoan))</f>
        <v>-44858.439595211523</v>
      </c>
      <c r="BB23" s="242">
        <f ca="1">IF(BB5&lt;=MonthRefi,0,PPMT('General Inputs'!$N$14/12,Waterfalls!BB$5-MonthRefi,'General Inputs'!$N$13*12,PermLoan))</f>
        <v>-45092.77148578933</v>
      </c>
      <c r="BC23" s="242">
        <f ca="1">IF(BC5&lt;=MonthRefi,0,PPMT('General Inputs'!$N$14/12,Waterfalls!BC$5-MonthRefi,'General Inputs'!$N$13*12,PermLoan))</f>
        <v>-45328.327481249886</v>
      </c>
      <c r="BD23" s="242">
        <f ca="1">IF(BD5&lt;=MonthRefi,0,PPMT('General Inputs'!$N$14/12,Waterfalls!BD$5-MonthRefi,'General Inputs'!$N$13*12,PermLoan))</f>
        <v>-45565.11397608251</v>
      </c>
      <c r="BE23" s="242">
        <f ca="1">IF(BE5&lt;=MonthRefi,0,PPMT('General Inputs'!$N$14/12,Waterfalls!BE$5-MonthRefi,'General Inputs'!$N$13*12,PermLoan))</f>
        <v>-45803.13739818005</v>
      </c>
      <c r="BF23" s="242">
        <f ca="1">IF(BF5&lt;=MonthRefi,0,PPMT('General Inputs'!$N$14/12,Waterfalls!BF$5-MonthRefi,'General Inputs'!$N$13*12,PermLoan))</f>
        <v>-46042.404209013483</v>
      </c>
      <c r="BG23" s="242">
        <f ca="1">IF(BG5&lt;=MonthRefi,0,PPMT('General Inputs'!$N$14/12,Waterfalls!BG$5-MonthRefi,'General Inputs'!$N$13*12,PermLoan))</f>
        <v>-46282.920903807208</v>
      </c>
      <c r="BH23" s="242">
        <f ca="1">IF(BH5&lt;=MonthRefi,0,PPMT('General Inputs'!$N$14/12,Waterfalls!BH$5-MonthRefi,'General Inputs'!$N$13*12,PermLoan))</f>
        <v>-46524.694011715525</v>
      </c>
      <c r="BI23" s="242">
        <f ca="1">IF(BI5&lt;=MonthRefi,0,PPMT('General Inputs'!$N$14/12,Waterfalls!BI$5-MonthRefi,'General Inputs'!$N$13*12,PermLoan))</f>
        <v>-46767.730095999716</v>
      </c>
      <c r="BJ23" s="242">
        <f ca="1">IF(BJ5&lt;=MonthRefi,0,PPMT('General Inputs'!$N$14/12,Waterfalls!BJ$5-MonthRefi,'General Inputs'!$N$13*12,PermLoan))</f>
        <v>-47012.035754206277</v>
      </c>
      <c r="BK23" s="242">
        <f ca="1">IF(BK5&lt;=MonthRefi,0,PPMT('General Inputs'!$N$14/12,Waterfalls!BK$5-MonthRefi,'General Inputs'!$N$13*12,PermLoan))</f>
        <v>-47257.61761834607</v>
      </c>
      <c r="BL23" s="242">
        <f ca="1">IF(BL5&lt;=MonthRefi,0,PPMT('General Inputs'!$N$14/12,Waterfalls!BL$5-MonthRefi,'General Inputs'!$N$13*12,PermLoan))</f>
        <v>-47504.482355074259</v>
      </c>
      <c r="BM23" s="242">
        <f ca="1">IF(BM5&lt;=MonthRefi,0,PPMT('General Inputs'!$N$14/12,Waterfalls!BM$5-MonthRefi,'General Inputs'!$N$13*12,PermLoan))</f>
        <v>-47752.636665871389</v>
      </c>
      <c r="BN23" s="242">
        <f ca="1">IF(BN5&lt;=MonthRefi,0,PPMT('General Inputs'!$N$14/12,Waterfalls!BN$5-MonthRefi,'General Inputs'!$N$13*12,PermLoan))</f>
        <v>-48002.087287225215</v>
      </c>
      <c r="BO23" s="242">
        <f ca="1">IF(BO5&lt;=MonthRefi,0,PPMT('General Inputs'!$N$14/12,Waterfalls!BO$5-MonthRefi,'General Inputs'!$N$13*12,PermLoan))</f>
        <v>-48252.840990813616</v>
      </c>
      <c r="BP23" s="242">
        <f ca="1">IF(BP5&lt;=MonthRefi,0,PPMT('General Inputs'!$N$14/12,Waterfalls!BP$5-MonthRefi,'General Inputs'!$N$13*12,PermLoan))</f>
        <v>-48504.904583688425</v>
      </c>
      <c r="BQ23" s="242">
        <f ca="1">IF(BQ5&lt;=MonthRefi,0,PPMT('General Inputs'!$N$14/12,Waterfalls!BQ$5-MonthRefi,'General Inputs'!$N$13*12,PermLoan))</f>
        <v>-48758.284908460235</v>
      </c>
      <c r="BR23" s="242">
        <f ca="1">IF(BR5&lt;=MonthRefi,0,PPMT('General Inputs'!$N$14/12,Waterfalls!BR$5-MonthRefi,'General Inputs'!$N$13*12,PermLoan))</f>
        <v>-49012.98884348409</v>
      </c>
      <c r="BS23" s="242">
        <f ca="1">IF(BS5&lt;=MonthRefi,0,PPMT('General Inputs'!$N$14/12,Waterfalls!BS$5-MonthRefi,'General Inputs'!$N$13*12,PermLoan))</f>
        <v>-49269.023303046255</v>
      </c>
      <c r="BT23" s="242">
        <f ca="1">IF(BT5&lt;=MonthRefi,0,PPMT('General Inputs'!$N$14/12,Waterfalls!BT$5-MonthRefi,'General Inputs'!$N$13*12,PermLoan))</f>
        <v>-49526.395237551907</v>
      </c>
      <c r="BU23" s="242">
        <f ca="1">IF(BU5&lt;=MonthRefi,0,PPMT('General Inputs'!$N$14/12,Waterfalls!BU$5-MonthRefi,'General Inputs'!$N$13*12,PermLoan))</f>
        <v>-49785.111633713794</v>
      </c>
      <c r="BV23" s="242">
        <f ca="1">IF(BV5&lt;=MonthRefi,0,PPMT('General Inputs'!$N$14/12,Waterfalls!BV$5-MonthRefi,'General Inputs'!$N$13*12,PermLoan))</f>
        <v>-50045.179514741918</v>
      </c>
      <c r="BW23" s="242">
        <f ca="1">IF(BW5&lt;=MonthRefi,0,PPMT('General Inputs'!$N$14/12,Waterfalls!BW$5-MonthRefi,'General Inputs'!$N$13*12,PermLoan))</f>
        <v>-50306.605940534188</v>
      </c>
      <c r="BX23" s="242">
        <f ca="1">IF(BX5&lt;=MonthRefi,0,PPMT('General Inputs'!$N$14/12,Waterfalls!BX$5-MonthRefi,'General Inputs'!$N$13*12,PermLoan))</f>
        <v>-50569.398007868069</v>
      </c>
      <c r="BY23" s="242">
        <f ca="1">IF(BY5&lt;=MonthRefi,0,PPMT('General Inputs'!$N$14/12,Waterfalls!BY$5-MonthRefi,'General Inputs'!$N$13*12,PermLoan))</f>
        <v>-50833.562850593225</v>
      </c>
      <c r="BZ23" s="242">
        <f ca="1">IF(BZ5&lt;=MonthRefi,0,PPMT('General Inputs'!$N$14/12,Waterfalls!BZ$5-MonthRefi,'General Inputs'!$N$13*12,PermLoan))</f>
        <v>-51099.107639825168</v>
      </c>
      <c r="CA23" s="242">
        <f ca="1">IF(CA5&lt;=MonthRefi,0,PPMT('General Inputs'!$N$14/12,Waterfalls!CA$5-MonthRefi,'General Inputs'!$N$13*12,PermLoan))</f>
        <v>-51366.03958413998</v>
      </c>
      <c r="CB23" s="242">
        <f ca="1">IF(CB5&lt;=MonthRefi,0,PPMT('General Inputs'!$N$14/12,Waterfalls!CB$5-MonthRefi,'General Inputs'!$N$13*12,PermLoan))</f>
        <v>-51634.365929769949</v>
      </c>
      <c r="CC23" s="242">
        <f ca="1">IF(CC5&lt;=MonthRefi,0,PPMT('General Inputs'!$N$14/12,Waterfalls!CC$5-MonthRefi,'General Inputs'!$N$13*12,PermLoan))</f>
        <v>-51904.093960800259</v>
      </c>
      <c r="CD23" s="242">
        <f ca="1">IF(CD5&lt;=MonthRefi,0,PPMT('General Inputs'!$N$14/12,Waterfalls!CD$5-MonthRefi,'General Inputs'!$N$13*12,PermLoan))</f>
        <v>-52175.23099936681</v>
      </c>
      <c r="CE23" s="242">
        <f ca="1">IF(CE5&lt;=MonthRefi,0,PPMT('General Inputs'!$N$14/12,Waterfalls!CE$5-MonthRefi,'General Inputs'!$N$13*12,PermLoan))</f>
        <v>-52447.784405854894</v>
      </c>
      <c r="CF23" s="242">
        <f ca="1">IF(CF5&lt;=MonthRefi,0,PPMT('General Inputs'!$N$14/12,Waterfalls!CF$5-MonthRefi,'General Inputs'!$N$13*12,PermLoan))</f>
        <v>-52721.761579099075</v>
      </c>
      <c r="CG23" s="242">
        <f ca="1">IF(CG5&lt;=MonthRefi,0,PPMT('General Inputs'!$N$14/12,Waterfalls!CG$5-MonthRefi,'General Inputs'!$N$13*12,PermLoan))</f>
        <v>-52997.169956583981</v>
      </c>
      <c r="CH23" s="242">
        <f ca="1">IF(CH5&lt;=MonthRefi,0,PPMT('General Inputs'!$N$14/12,Waterfalls!CH$5-MonthRefi,'General Inputs'!$N$13*12,PermLoan))</f>
        <v>-53274.01701464627</v>
      </c>
      <c r="CI23" s="242">
        <f ca="1">IF(CI5&lt;=MonthRefi,0,PPMT('General Inputs'!$N$14/12,Waterfalls!CI$5-MonthRefi,'General Inputs'!$N$13*12,PermLoan))</f>
        <v>-53552.310268677509</v>
      </c>
      <c r="CJ23" s="242">
        <f ca="1">IF(CJ5&lt;=MonthRefi,0,PPMT('General Inputs'!$N$14/12,Waterfalls!CJ$5-MonthRefi,'General Inputs'!$N$13*12,PermLoan))</f>
        <v>-53832.057273328275</v>
      </c>
      <c r="CK23" s="242">
        <f ca="1">IF(CK5&lt;=MonthRefi,0,PPMT('General Inputs'!$N$14/12,Waterfalls!CK$5-MonthRefi,'General Inputs'!$N$13*12,PermLoan))</f>
        <v>-54113.265622713167</v>
      </c>
      <c r="CL23" s="242">
        <f ca="1">IF(CL5&lt;=MonthRefi,0,PPMT('General Inputs'!$N$14/12,Waterfalls!CL$5-MonthRefi,'General Inputs'!$N$13*12,PermLoan))</f>
        <v>-54395.942950616984</v>
      </c>
      <c r="CM23" s="242">
        <f ca="1">IF(CM5&lt;=MonthRefi,0,PPMT('General Inputs'!$N$14/12,Waterfalls!CM$5-MonthRefi,'General Inputs'!$N$13*12,PermLoan))</f>
        <v>-54680.096930701948</v>
      </c>
      <c r="CN23" s="242">
        <f ca="1">IF(CN5&lt;=MonthRefi,0,PPMT('General Inputs'!$N$14/12,Waterfalls!CN$5-MonthRefi,'General Inputs'!$N$13*12,PermLoan))</f>
        <v>-54965.735276716019</v>
      </c>
      <c r="CO23" s="242">
        <f ca="1">IF(CO5&lt;=MonthRefi,0,PPMT('General Inputs'!$N$14/12,Waterfalls!CO$5-MonthRefi,'General Inputs'!$N$13*12,PermLoan))</f>
        <v>-55252.865742702321</v>
      </c>
      <c r="CP23" s="242">
        <f ca="1">IF(CP5&lt;=MonthRefi,0,PPMT('General Inputs'!$N$14/12,Waterfalls!CP$5-MonthRefi,'General Inputs'!$N$13*12,PermLoan))</f>
        <v>-55541.496123209603</v>
      </c>
      <c r="CQ23" s="242">
        <f ca="1">IF(CQ5&lt;=MonthRefi,0,PPMT('General Inputs'!$N$14/12,Waterfalls!CQ$5-MonthRefi,'General Inputs'!$N$13*12,PermLoan))</f>
        <v>-55831.634253503827</v>
      </c>
      <c r="CR23" s="242">
        <f ca="1">IF(CR5&lt;=MonthRefi,0,PPMT('General Inputs'!$N$14/12,Waterfalls!CR$5-MonthRefi,'General Inputs'!$N$13*12,PermLoan))</f>
        <v>-56123.288009780896</v>
      </c>
      <c r="CS23" s="242">
        <f ca="1">IF(CS5&lt;=MonthRefi,0,PPMT('General Inputs'!$N$14/12,Waterfalls!CS$5-MonthRefi,'General Inputs'!$N$13*12,PermLoan))</f>
        <v>-56416.465309380445</v>
      </c>
      <c r="CT23" s="242">
        <f ca="1">IF(CT5&lt;=MonthRefi,0,PPMT('General Inputs'!$N$14/12,Waterfalls!CT$5-MonthRefi,'General Inputs'!$N$13*12,PermLoan))</f>
        <v>-56711.174111000801</v>
      </c>
      <c r="CU23" s="242">
        <f ca="1">IF(CU5&lt;=MonthRefi,0,PPMT('General Inputs'!$N$14/12,Waterfalls!CU$5-MonthRefi,'General Inputs'!$N$13*12,PermLoan))</f>
        <v>-57007.422414914967</v>
      </c>
      <c r="CV23" s="242">
        <f ca="1">IF(CV5&lt;=MonthRefi,0,PPMT('General Inputs'!$N$14/12,Waterfalls!CV$5-MonthRefi,'General Inputs'!$N$13*12,PermLoan))</f>
        <v>-57305.218263187853</v>
      </c>
      <c r="CW23" s="242">
        <f ca="1">IF(CW5&lt;=MonthRefi,0,PPMT('General Inputs'!$N$14/12,Waterfalls!CW$5-MonthRefi,'General Inputs'!$N$13*12,PermLoan))</f>
        <v>-57604.569739894585</v>
      </c>
      <c r="CX23" s="242">
        <f ca="1">IF(CX5&lt;=MonthRefi,0,PPMT('General Inputs'!$N$14/12,Waterfalls!CX$5-MonthRefi,'General Inputs'!$N$13*12,PermLoan))</f>
        <v>-57905.484971339916</v>
      </c>
      <c r="CY23" s="242">
        <f ca="1">IF(CY5&lt;=MonthRefi,0,PPMT('General Inputs'!$N$14/12,Waterfalls!CY$5-MonthRefi,'General Inputs'!$N$13*12,PermLoan))</f>
        <v>-58207.972126278917</v>
      </c>
      <c r="CZ23" s="242">
        <f ca="1">IF(CZ5&lt;=MonthRefi,0,PPMT('General Inputs'!$N$14/12,Waterfalls!CZ$5-MonthRefi,'General Inputs'!$N$13*12,PermLoan))</f>
        <v>-58512.039416138607</v>
      </c>
      <c r="DA23" s="242">
        <f ca="1">IF(DA5&lt;=MonthRefi,0,PPMT('General Inputs'!$N$14/12,Waterfalls!DA$5-MonthRefi,'General Inputs'!$N$13*12,PermLoan))</f>
        <v>-58817.695095240961</v>
      </c>
      <c r="DB23" s="242">
        <f ca="1">IF(DB5&lt;=MonthRefi,0,PPMT('General Inputs'!$N$14/12,Waterfalls!DB$5-MonthRefi,'General Inputs'!$N$13*12,PermLoan))</f>
        <v>-59124.947461026939</v>
      </c>
      <c r="DC23" s="242">
        <f ca="1">IF(DC5&lt;=MonthRefi,0,PPMT('General Inputs'!$N$14/12,Waterfalls!DC$5-MonthRefi,'General Inputs'!$N$13*12,PermLoan))</f>
        <v>-59433.804854281741</v>
      </c>
      <c r="DD23" s="242">
        <f ca="1">IF(DD5&lt;=MonthRefi,0,PPMT('General Inputs'!$N$14/12,Waterfalls!DD$5-MonthRefi,'General Inputs'!$N$13*12,PermLoan))</f>
        <v>-59744.27565936125</v>
      </c>
      <c r="DE23" s="242">
        <f ca="1">IF(DE5&lt;=MonthRefi,0,PPMT('General Inputs'!$N$14/12,Waterfalls!DE$5-MonthRefi,'General Inputs'!$N$13*12,PermLoan))</f>
        <v>-60056.368304419579</v>
      </c>
      <c r="DF23" s="242">
        <f ca="1">IF(DF5&lt;=MonthRefi,0,PPMT('General Inputs'!$N$14/12,Waterfalls!DF$5-MonthRefi,'General Inputs'!$N$13*12,PermLoan))</f>
        <v>-60370.091261637943</v>
      </c>
      <c r="DG23" s="242">
        <f ca="1">IF(DG5&lt;=MonthRefi,0,PPMT('General Inputs'!$N$14/12,Waterfalls!DG$5-MonthRefi,'General Inputs'!$N$13*12,PermLoan))</f>
        <v>-60685.453047454583</v>
      </c>
      <c r="DH23" s="242">
        <f ca="1">IF(DH5&lt;=MonthRefi,0,PPMT('General Inputs'!$N$14/12,Waterfalls!DH$5-MonthRefi,'General Inputs'!$N$13*12,PermLoan))</f>
        <v>-61002.462222795984</v>
      </c>
      <c r="DI23" s="242">
        <f ca="1">IF(DI5&lt;=MonthRefi,0,PPMT('General Inputs'!$N$14/12,Waterfalls!DI$5-MonthRefi,'General Inputs'!$N$13*12,PermLoan))</f>
        <v>-61321.127393309282</v>
      </c>
      <c r="DJ23" s="242">
        <f ca="1">IF(DJ5&lt;=MonthRefi,0,PPMT('General Inputs'!$N$14/12,Waterfalls!DJ$5-MonthRefi,'General Inputs'!$N$13*12,PermLoan))</f>
        <v>-61641.45720959585</v>
      </c>
      <c r="DK23" s="242">
        <f ca="1">IF(DK5&lt;=MonthRefi,0,PPMT('General Inputs'!$N$14/12,Waterfalls!DK$5-MonthRefi,'General Inputs'!$N$13*12,PermLoan))</f>
        <v>-61963.460367446154</v>
      </c>
      <c r="DL23" s="242">
        <f ca="1">IF(DL5&lt;=MonthRefi,0,PPMT('General Inputs'!$N$14/12,Waterfalls!DL$5-MonthRefi,'General Inputs'!$N$13*12,PermLoan))</f>
        <v>-62287.145608075771</v>
      </c>
      <c r="DM23" s="242">
        <f ca="1">IF(DM5&lt;=MonthRefi,0,PPMT('General Inputs'!$N$14/12,Waterfalls!DM$5-MonthRefi,'General Inputs'!$N$13*12,PermLoan))</f>
        <v>-62612.52171836279</v>
      </c>
      <c r="DN23" s="242">
        <f ca="1">IF(DN5&lt;=MonthRefi,0,PPMT('General Inputs'!$N$14/12,Waterfalls!DN$5-MonthRefi,'General Inputs'!$N$13*12,PermLoan))</f>
        <v>-62939.597531086183</v>
      </c>
      <c r="DO23" s="242">
        <f ca="1">IF(DO5&lt;=MonthRefi,0,PPMT('General Inputs'!$N$14/12,Waterfalls!DO$5-MonthRefi,'General Inputs'!$N$13*12,PermLoan))</f>
        <v>-63268.381925165719</v>
      </c>
      <c r="DP23" s="242">
        <f ca="1">IF(DP5&lt;=MonthRefi,0,PPMT('General Inputs'!$N$14/12,Waterfalls!DP$5-MonthRefi,'General Inputs'!$N$13*12,PermLoan))</f>
        <v>-63598.883825902922</v>
      </c>
      <c r="DQ23" s="242">
        <f ca="1">IF(DQ5&lt;=MonthRefi,0,PPMT('General Inputs'!$N$14/12,Waterfalls!DQ$5-MonthRefi,'General Inputs'!$N$13*12,PermLoan))</f>
        <v>-63931.11220522337</v>
      </c>
      <c r="DR23" s="242">
        <f ca="1">IF(DR5&lt;=MonthRefi,0,PPMT('General Inputs'!$N$14/12,Waterfalls!DR$5-MonthRefi,'General Inputs'!$N$13*12,PermLoan))</f>
        <v>-64265.076081920284</v>
      </c>
      <c r="DS23" s="242">
        <f ca="1">IF(DS5&lt;=MonthRefi,0,PPMT('General Inputs'!$N$14/12,Waterfalls!DS$5-MonthRefi,'General Inputs'!$N$13*12,PermLoan))</f>
        <v>-64600.784521899324</v>
      </c>
      <c r="DT23" s="242">
        <f ca="1">IF(DT5&lt;=MonthRefi,0,PPMT('General Inputs'!$N$14/12,Waterfalls!DT$5-MonthRefi,'General Inputs'!$N$13*12,PermLoan))</f>
        <v>-64938.246638424695</v>
      </c>
      <c r="DU23" s="242">
        <f ca="1">IF(DU5&lt;=MonthRefi,0,PPMT('General Inputs'!$N$14/12,Waterfalls!DU$5-MonthRefi,'General Inputs'!$N$13*12,PermLoan))</f>
        <v>-65277.471592366535</v>
      </c>
      <c r="DV23" s="242">
        <f ca="1">IF(DV5&lt;=MonthRefi,0,PPMT('General Inputs'!$N$14/12,Waterfalls!DV$5-MonthRefi,'General Inputs'!$N$13*12,PermLoan))</f>
        <v>-65618.468592449673</v>
      </c>
      <c r="DW23" s="242">
        <f ca="1">IF(DW5&lt;=MonthRefi,0,PPMT('General Inputs'!$N$14/12,Waterfalls!DW$5-MonthRefi,'General Inputs'!$N$13*12,PermLoan))</f>
        <v>-65961.246895503486</v>
      </c>
      <c r="DX23" s="242">
        <f ca="1">IF(DX5&lt;=MonthRefi,0,PPMT('General Inputs'!$N$14/12,Waterfalls!DX$5-MonthRefi,'General Inputs'!$N$13*12,PermLoan))</f>
        <v>-66305.815806713275</v>
      </c>
      <c r="DY23" s="242">
        <f ca="1">IF(DY5&lt;=MonthRefi,0,PPMT('General Inputs'!$N$14/12,Waterfalls!DY$5-MonthRefi,'General Inputs'!$N$13*12,PermLoan))</f>
        <v>-66652.184679872851</v>
      </c>
      <c r="DZ23" s="242">
        <f ca="1">IF(DZ5&lt;=MonthRefi,0,PPMT('General Inputs'!$N$14/12,Waterfalls!DZ$5-MonthRefi,'General Inputs'!$N$13*12,PermLoan))</f>
        <v>-67000.362917638442</v>
      </c>
      <c r="EA23" s="242">
        <f ca="1">IF(EA5&lt;=MonthRefi,0,PPMT('General Inputs'!$N$14/12,Waterfalls!EA$5-MonthRefi,'General Inputs'!$N$13*12,PermLoan))</f>
        <v>-67350.359971783968</v>
      </c>
      <c r="EB23" s="242">
        <f ca="1">IF(EB5&lt;=MonthRefi,0,PPMT('General Inputs'!$N$14/12,Waterfalls!EB$5-MonthRefi,'General Inputs'!$N$13*12,PermLoan))</f>
        <v>-67702.185343457575</v>
      </c>
      <c r="EC23" s="242">
        <f ca="1">IF(EC5&lt;=MonthRefi,0,PPMT('General Inputs'!$N$14/12,Waterfalls!EC$5-MonthRefi,'General Inputs'!$N$13*12,PermLoan))</f>
        <v>-68055.848583439598</v>
      </c>
      <c r="ED23" s="242">
        <f ca="1">IF(ED5&lt;=MonthRefi,0,PPMT('General Inputs'!$N$14/12,Waterfalls!ED$5-MonthRefi,'General Inputs'!$N$13*12,PermLoan))</f>
        <v>-68411.359292401845</v>
      </c>
      <c r="EE23" s="242">
        <f ca="1">IF(EE5&lt;=MonthRefi,0,PPMT('General Inputs'!$N$14/12,Waterfalls!EE$5-MonthRefi,'General Inputs'!$N$13*12,PermLoan))</f>
        <v>-68768.727121168151</v>
      </c>
      <c r="EF23" s="242">
        <f ca="1">IF(EF5&lt;=MonthRefi,0,PPMT('General Inputs'!$N$14/12,Waterfalls!EF$5-MonthRefi,'General Inputs'!$N$13*12,PermLoan))</f>
        <v>-69127.961770976442</v>
      </c>
      <c r="EG23" s="242">
        <f ca="1">IF(EG5&lt;=MonthRefi,0,PPMT('General Inputs'!$N$14/12,Waterfalls!EG$5-MonthRefi,'General Inputs'!$N$13*12,PermLoan))</f>
        <v>-69489.072993741996</v>
      </c>
    </row>
    <row r="24" spans="1:137" ht="15" thickBot="1" x14ac:dyDescent="0.35">
      <c r="A24" s="248" t="s">
        <v>2463</v>
      </c>
      <c r="B24" s="248"/>
      <c r="C24" s="248"/>
      <c r="D24" s="697"/>
      <c r="E24" s="250">
        <f t="shared" ref="E24:BP24" si="26">SUM(E21:E23)</f>
        <v>0</v>
      </c>
      <c r="F24" s="250">
        <f t="shared" si="26"/>
        <v>0</v>
      </c>
      <c r="G24" s="250">
        <f t="shared" si="26"/>
        <v>0</v>
      </c>
      <c r="H24" s="250">
        <f t="shared" si="26"/>
        <v>0</v>
      </c>
      <c r="I24" s="250">
        <f t="shared" si="26"/>
        <v>0</v>
      </c>
      <c r="J24" s="250">
        <f t="shared" si="26"/>
        <v>0</v>
      </c>
      <c r="K24" s="250">
        <f t="shared" si="26"/>
        <v>0</v>
      </c>
      <c r="L24" s="250">
        <f t="shared" si="26"/>
        <v>0</v>
      </c>
      <c r="M24" s="250">
        <f t="shared" si="26"/>
        <v>0</v>
      </c>
      <c r="N24" s="250">
        <f t="shared" si="26"/>
        <v>0</v>
      </c>
      <c r="O24" s="250">
        <f t="shared" si="26"/>
        <v>0</v>
      </c>
      <c r="P24" s="250">
        <f t="shared" si="26"/>
        <v>0</v>
      </c>
      <c r="Q24" s="250">
        <f t="shared" si="26"/>
        <v>0</v>
      </c>
      <c r="R24" s="250">
        <f t="shared" si="26"/>
        <v>0</v>
      </c>
      <c r="S24" s="250">
        <f t="shared" si="26"/>
        <v>0</v>
      </c>
      <c r="T24" s="250">
        <f t="shared" si="26"/>
        <v>0</v>
      </c>
      <c r="U24" s="250">
        <f t="shared" si="26"/>
        <v>0</v>
      </c>
      <c r="V24" s="250">
        <f t="shared" si="26"/>
        <v>0</v>
      </c>
      <c r="W24" s="250">
        <f t="shared" si="26"/>
        <v>0</v>
      </c>
      <c r="X24" s="250">
        <f t="shared" si="26"/>
        <v>0</v>
      </c>
      <c r="Y24" s="250">
        <f t="shared" si="26"/>
        <v>0</v>
      </c>
      <c r="Z24" s="250">
        <f t="shared" si="26"/>
        <v>0</v>
      </c>
      <c r="AA24" s="250">
        <f t="shared" si="26"/>
        <v>0</v>
      </c>
      <c r="AB24" s="250">
        <f t="shared" si="26"/>
        <v>0</v>
      </c>
      <c r="AC24" s="250">
        <f t="shared" si="26"/>
        <v>0</v>
      </c>
      <c r="AD24" s="250">
        <f t="shared" si="26"/>
        <v>0</v>
      </c>
      <c r="AE24" s="250">
        <f t="shared" si="26"/>
        <v>0</v>
      </c>
      <c r="AF24" s="250">
        <f t="shared" si="26"/>
        <v>0</v>
      </c>
      <c r="AG24" s="250">
        <f t="shared" si="26"/>
        <v>0</v>
      </c>
      <c r="AH24" s="250">
        <f t="shared" ca="1" si="26"/>
        <v>43199376.838609651</v>
      </c>
      <c r="AI24" s="250">
        <f t="shared" ca="1" si="26"/>
        <v>43158534.145411938</v>
      </c>
      <c r="AJ24" s="250">
        <f t="shared" ca="1" si="26"/>
        <v>43117478.097813144</v>
      </c>
      <c r="AK24" s="250">
        <f t="shared" ca="1" si="26"/>
        <v>43076207.581290767</v>
      </c>
      <c r="AL24" s="250">
        <f t="shared" ca="1" si="26"/>
        <v>43034721.475500263</v>
      </c>
      <c r="AM24" s="250">
        <f t="shared" ca="1" si="26"/>
        <v>42993018.654244609</v>
      </c>
      <c r="AN24" s="250">
        <f t="shared" ca="1" si="26"/>
        <v>42951097.985443756</v>
      </c>
      <c r="AO24" s="250">
        <f t="shared" ca="1" si="26"/>
        <v>42908958.331103884</v>
      </c>
      <c r="AP24" s="250">
        <f t="shared" ca="1" si="26"/>
        <v>42866598.54728651</v>
      </c>
      <c r="AQ24" s="250">
        <f t="shared" ca="1" si="26"/>
        <v>42824017.484077431</v>
      </c>
      <c r="AR24" s="250">
        <f t="shared" ca="1" si="26"/>
        <v>42781213.985555522</v>
      </c>
      <c r="AS24" s="250">
        <f t="shared" ca="1" si="26"/>
        <v>42738186.889761336</v>
      </c>
      <c r="AT24" s="250">
        <f t="shared" ca="1" si="26"/>
        <v>42694935.02866558</v>
      </c>
      <c r="AU24" s="250">
        <f t="shared" ca="1" si="26"/>
        <v>42651457.228137404</v>
      </c>
      <c r="AV24" s="250">
        <f t="shared" ca="1" si="26"/>
        <v>42607752.307912514</v>
      </c>
      <c r="AW24" s="250">
        <f t="shared" ca="1" si="26"/>
        <v>42563819.081561141</v>
      </c>
      <c r="AX24" s="250">
        <f t="shared" ca="1" si="26"/>
        <v>42519656.356455848</v>
      </c>
      <c r="AY24" s="250">
        <f t="shared" ca="1" si="26"/>
        <v>42475262.933739126</v>
      </c>
      <c r="AZ24" s="250">
        <f t="shared" ca="1" si="26"/>
        <v>42430637.608290866</v>
      </c>
      <c r="BA24" s="250">
        <f t="shared" ca="1" si="26"/>
        <v>42385779.168695651</v>
      </c>
      <c r="BB24" s="250">
        <f t="shared" ca="1" si="26"/>
        <v>42340686.39720986</v>
      </c>
      <c r="BC24" s="250">
        <f t="shared" ca="1" si="26"/>
        <v>42295358.069728613</v>
      </c>
      <c r="BD24" s="250">
        <f t="shared" ca="1" si="26"/>
        <v>42249792.955752529</v>
      </c>
      <c r="BE24" s="250">
        <f t="shared" ca="1" si="26"/>
        <v>42203989.818354346</v>
      </c>
      <c r="BF24" s="250">
        <f t="shared" ca="1" si="26"/>
        <v>42157947.414145336</v>
      </c>
      <c r="BG24" s="250">
        <f t="shared" ca="1" si="26"/>
        <v>42111664.493241526</v>
      </c>
      <c r="BH24" s="250">
        <f t="shared" ca="1" si="26"/>
        <v>42065139.799229808</v>
      </c>
      <c r="BI24" s="250">
        <f t="shared" ca="1" si="26"/>
        <v>42018372.069133811</v>
      </c>
      <c r="BJ24" s="250">
        <f t="shared" ca="1" si="26"/>
        <v>41971360.033379607</v>
      </c>
      <c r="BK24" s="250">
        <f t="shared" ca="1" si="26"/>
        <v>41924102.415761262</v>
      </c>
      <c r="BL24" s="250">
        <f t="shared" ca="1" si="26"/>
        <v>41876597.933406189</v>
      </c>
      <c r="BM24" s="250">
        <f t="shared" ca="1" si="26"/>
        <v>41828845.296740316</v>
      </c>
      <c r="BN24" s="250">
        <f t="shared" ca="1" si="26"/>
        <v>41780843.209453091</v>
      </c>
      <c r="BO24" s="250">
        <f t="shared" ca="1" si="26"/>
        <v>41732590.368462279</v>
      </c>
      <c r="BP24" s="250">
        <f t="shared" ca="1" si="26"/>
        <v>41684085.463878594</v>
      </c>
      <c r="BQ24" s="250">
        <f t="shared" ref="BQ24:EB24" ca="1" si="27">SUM(BQ21:BQ23)</f>
        <v>41635327.178970136</v>
      </c>
      <c r="BR24" s="250">
        <f t="shared" ca="1" si="27"/>
        <v>41586314.19012665</v>
      </c>
      <c r="BS24" s="250">
        <f t="shared" ca="1" si="27"/>
        <v>41537045.166823603</v>
      </c>
      <c r="BT24" s="250">
        <f t="shared" ca="1" si="27"/>
        <v>41487518.771586053</v>
      </c>
      <c r="BU24" s="250">
        <f t="shared" ca="1" si="27"/>
        <v>41437733.659952343</v>
      </c>
      <c r="BV24" s="250">
        <f t="shared" ca="1" si="27"/>
        <v>41387688.480437599</v>
      </c>
      <c r="BW24" s="250">
        <f t="shared" ca="1" si="27"/>
        <v>41337381.874497063</v>
      </c>
      <c r="BX24" s="250">
        <f t="shared" ca="1" si="27"/>
        <v>41286812.476489194</v>
      </c>
      <c r="BY24" s="250">
        <f t="shared" ca="1" si="27"/>
        <v>41235978.913638599</v>
      </c>
      <c r="BZ24" s="250">
        <f t="shared" ca="1" si="27"/>
        <v>41184879.805998772</v>
      </c>
      <c r="CA24" s="250">
        <f t="shared" ca="1" si="27"/>
        <v>41133513.766414635</v>
      </c>
      <c r="CB24" s="250">
        <f t="shared" ca="1" si="27"/>
        <v>41081879.400484867</v>
      </c>
      <c r="CC24" s="250">
        <f t="shared" ca="1" si="27"/>
        <v>41029975.306524068</v>
      </c>
      <c r="CD24" s="250">
        <f t="shared" ca="1" si="27"/>
        <v>40977800.075524703</v>
      </c>
      <c r="CE24" s="250">
        <f t="shared" ca="1" si="27"/>
        <v>40925352.291118845</v>
      </c>
      <c r="CF24" s="250">
        <f t="shared" ca="1" si="27"/>
        <v>40872630.529539749</v>
      </c>
      <c r="CG24" s="250">
        <f t="shared" ca="1" si="27"/>
        <v>40819633.359583162</v>
      </c>
      <c r="CH24" s="250">
        <f t="shared" ca="1" si="27"/>
        <v>40766359.342568517</v>
      </c>
      <c r="CI24" s="250">
        <f t="shared" ca="1" si="27"/>
        <v>40712807.032299839</v>
      </c>
      <c r="CJ24" s="250">
        <f t="shared" ca="1" si="27"/>
        <v>40658974.975026511</v>
      </c>
      <c r="CK24" s="250">
        <f t="shared" ca="1" si="27"/>
        <v>40604861.709403798</v>
      </c>
      <c r="CL24" s="250">
        <f t="shared" ca="1" si="27"/>
        <v>40550465.766453184</v>
      </c>
      <c r="CM24" s="250">
        <f t="shared" ca="1" si="27"/>
        <v>40495785.669522479</v>
      </c>
      <c r="CN24" s="250">
        <f t="shared" ca="1" si="27"/>
        <v>40440819.934245765</v>
      </c>
      <c r="CO24" s="250">
        <f t="shared" ca="1" si="27"/>
        <v>40385567.068503059</v>
      </c>
      <c r="CP24" s="250">
        <f t="shared" ca="1" si="27"/>
        <v>40330025.57237985</v>
      </c>
      <c r="CQ24" s="250">
        <f t="shared" ca="1" si="27"/>
        <v>40274193.938126348</v>
      </c>
      <c r="CR24" s="250">
        <f t="shared" ca="1" si="27"/>
        <v>40218070.65011657</v>
      </c>
      <c r="CS24" s="250">
        <f t="shared" ca="1" si="27"/>
        <v>40161654.184807189</v>
      </c>
      <c r="CT24" s="250">
        <f t="shared" ca="1" si="27"/>
        <v>40104943.010696188</v>
      </c>
      <c r="CU24" s="250">
        <f t="shared" ca="1" si="27"/>
        <v>40047935.588281274</v>
      </c>
      <c r="CV24" s="250">
        <f t="shared" ca="1" si="27"/>
        <v>39990630.370018087</v>
      </c>
      <c r="CW24" s="250">
        <f t="shared" ca="1" si="27"/>
        <v>39933025.800278194</v>
      </c>
      <c r="CX24" s="250">
        <f t="shared" ca="1" si="27"/>
        <v>39875120.315306857</v>
      </c>
      <c r="CY24" s="250">
        <f t="shared" ca="1" si="27"/>
        <v>39816912.343180582</v>
      </c>
      <c r="CZ24" s="250">
        <f t="shared" ca="1" si="27"/>
        <v>39758400.30376444</v>
      </c>
      <c r="DA24" s="250">
        <f t="shared" ca="1" si="27"/>
        <v>39699582.608669199</v>
      </c>
      <c r="DB24" s="250">
        <f t="shared" ca="1" si="27"/>
        <v>39640457.661208175</v>
      </c>
      <c r="DC24" s="250">
        <f t="shared" ca="1" si="27"/>
        <v>39581023.856353894</v>
      </c>
      <c r="DD24" s="250">
        <f t="shared" ca="1" si="27"/>
        <v>39521279.580694534</v>
      </c>
      <c r="DE24" s="250">
        <f t="shared" ca="1" si="27"/>
        <v>39461223.212390117</v>
      </c>
      <c r="DF24" s="250">
        <f t="shared" ca="1" si="27"/>
        <v>39400853.121128477</v>
      </c>
      <c r="DG24" s="250">
        <f t="shared" ca="1" si="27"/>
        <v>39340167.668081023</v>
      </c>
      <c r="DH24" s="250">
        <f t="shared" ca="1" si="27"/>
        <v>39279165.205858223</v>
      </c>
      <c r="DI24" s="250">
        <f t="shared" ca="1" si="27"/>
        <v>39217844.07846491</v>
      </c>
      <c r="DJ24" s="250">
        <f t="shared" ca="1" si="27"/>
        <v>39156202.621255316</v>
      </c>
      <c r="DK24" s="250">
        <f t="shared" ca="1" si="27"/>
        <v>39094239.160887867</v>
      </c>
      <c r="DL24" s="250">
        <f t="shared" ca="1" si="27"/>
        <v>39031952.015279792</v>
      </c>
      <c r="DM24" s="250">
        <f t="shared" ca="1" si="27"/>
        <v>38969339.493561432</v>
      </c>
      <c r="DN24" s="250">
        <f t="shared" ca="1" si="27"/>
        <v>38906399.896030344</v>
      </c>
      <c r="DO24" s="250">
        <f t="shared" ca="1" si="27"/>
        <v>38843131.514105178</v>
      </c>
      <c r="DP24" s="250">
        <f t="shared" ca="1" si="27"/>
        <v>38779532.630279273</v>
      </c>
      <c r="DQ24" s="250">
        <f t="shared" ca="1" si="27"/>
        <v>38715601.518074051</v>
      </c>
      <c r="DR24" s="250">
        <f t="shared" ca="1" si="27"/>
        <v>38651336.441992134</v>
      </c>
      <c r="DS24" s="250">
        <f t="shared" ca="1" si="27"/>
        <v>38586735.657470234</v>
      </c>
      <c r="DT24" s="250">
        <f t="shared" ca="1" si="27"/>
        <v>38521797.410831809</v>
      </c>
      <c r="DU24" s="250">
        <f t="shared" ca="1" si="27"/>
        <v>38456519.939239442</v>
      </c>
      <c r="DV24" s="250">
        <f t="shared" ca="1" si="27"/>
        <v>38390901.470646992</v>
      </c>
      <c r="DW24" s="250">
        <f t="shared" ca="1" si="27"/>
        <v>38324940.223751485</v>
      </c>
      <c r="DX24" s="250">
        <f t="shared" ca="1" si="27"/>
        <v>38258634.407944769</v>
      </c>
      <c r="DY24" s="250">
        <f t="shared" ca="1" si="27"/>
        <v>38191982.223264895</v>
      </c>
      <c r="DZ24" s="250">
        <f t="shared" ca="1" si="27"/>
        <v>38124981.860347256</v>
      </c>
      <c r="EA24" s="250">
        <f t="shared" ca="1" si="27"/>
        <v>38057631.500375472</v>
      </c>
      <c r="EB24" s="250">
        <f t="shared" ca="1" si="27"/>
        <v>37989929.315032013</v>
      </c>
      <c r="EC24" s="250">
        <f ca="1">SUM(EC21:EC23)</f>
        <v>37921873.466448575</v>
      </c>
      <c r="ED24" s="250">
        <f ca="1">SUM(ED21:ED23)</f>
        <v>37853462.107156172</v>
      </c>
      <c r="EE24" s="250">
        <f ca="1">SUM(EE21:EE23)</f>
        <v>37784693.380035006</v>
      </c>
      <c r="EF24" s="250">
        <f ca="1">SUM(EF21:EF23)</f>
        <v>37715565.418264031</v>
      </c>
      <c r="EG24" s="250">
        <f ca="1">SUM(EG21:EG23)</f>
        <v>37646076.345270291</v>
      </c>
    </row>
    <row r="25" spans="1:137" ht="6.75" customHeight="1" thickTop="1" x14ac:dyDescent="0.3"/>
    <row r="26" spans="1:137" x14ac:dyDescent="0.3">
      <c r="A26" s="700" t="s">
        <v>2469</v>
      </c>
    </row>
    <row r="27" spans="1:137" x14ac:dyDescent="0.3">
      <c r="A27" t="s">
        <v>2461</v>
      </c>
      <c r="E27" s="227">
        <f t="shared" ref="E27:BP27" si="28">D29</f>
        <v>0</v>
      </c>
      <c r="F27" s="227">
        <f t="shared" ca="1" si="28"/>
        <v>0</v>
      </c>
      <c r="G27" s="227">
        <f t="shared" ca="1" si="28"/>
        <v>0</v>
      </c>
      <c r="H27" s="227">
        <f t="shared" ca="1" si="28"/>
        <v>0</v>
      </c>
      <c r="I27" s="227">
        <f t="shared" ca="1" si="28"/>
        <v>0</v>
      </c>
      <c r="J27" s="227">
        <f t="shared" ca="1" si="28"/>
        <v>0</v>
      </c>
      <c r="K27" s="227">
        <f t="shared" ca="1" si="28"/>
        <v>0</v>
      </c>
      <c r="L27" s="227">
        <f t="shared" ca="1" si="28"/>
        <v>0</v>
      </c>
      <c r="M27" s="227">
        <f t="shared" ca="1" si="28"/>
        <v>0</v>
      </c>
      <c r="N27" s="227">
        <f t="shared" ca="1" si="28"/>
        <v>0</v>
      </c>
      <c r="O27" s="227">
        <f t="shared" ca="1" si="28"/>
        <v>0</v>
      </c>
      <c r="P27" s="227">
        <f t="shared" ca="1" si="28"/>
        <v>0</v>
      </c>
      <c r="Q27" s="227">
        <f t="shared" ca="1" si="28"/>
        <v>0</v>
      </c>
      <c r="R27" s="227">
        <f t="shared" ca="1" si="28"/>
        <v>0</v>
      </c>
      <c r="S27" s="227">
        <f t="shared" ca="1" si="28"/>
        <v>0</v>
      </c>
      <c r="T27" s="227">
        <f t="shared" ca="1" si="28"/>
        <v>0</v>
      </c>
      <c r="U27" s="227">
        <f t="shared" ca="1" si="28"/>
        <v>0</v>
      </c>
      <c r="V27" s="227">
        <f t="shared" ca="1" si="28"/>
        <v>0</v>
      </c>
      <c r="W27" s="227">
        <f t="shared" ca="1" si="28"/>
        <v>0</v>
      </c>
      <c r="X27" s="227">
        <f t="shared" ca="1" si="28"/>
        <v>0</v>
      </c>
      <c r="Y27" s="227">
        <f t="shared" ca="1" si="28"/>
        <v>0</v>
      </c>
      <c r="Z27" s="227">
        <f t="shared" ca="1" si="28"/>
        <v>0</v>
      </c>
      <c r="AA27" s="227">
        <f t="shared" ca="1" si="28"/>
        <v>0</v>
      </c>
      <c r="AB27" s="227">
        <f t="shared" ca="1" si="28"/>
        <v>0</v>
      </c>
      <c r="AC27" s="227">
        <f t="shared" ca="1" si="28"/>
        <v>0</v>
      </c>
      <c r="AD27" s="227">
        <f t="shared" ca="1" si="28"/>
        <v>0</v>
      </c>
      <c r="AE27" s="227">
        <f t="shared" ca="1" si="28"/>
        <v>0</v>
      </c>
      <c r="AF27" s="227">
        <f t="shared" ca="1" si="28"/>
        <v>0</v>
      </c>
      <c r="AG27" s="227">
        <f t="shared" ca="1" si="28"/>
        <v>0</v>
      </c>
      <c r="AH27" s="227">
        <f t="shared" ca="1" si="28"/>
        <v>0</v>
      </c>
      <c r="AI27" s="227">
        <f t="shared" ca="1" si="28"/>
        <v>0</v>
      </c>
      <c r="AJ27" s="227">
        <f t="shared" ca="1" si="28"/>
        <v>0</v>
      </c>
      <c r="AK27" s="227">
        <f t="shared" ca="1" si="28"/>
        <v>0</v>
      </c>
      <c r="AL27" s="227">
        <f t="shared" ca="1" si="28"/>
        <v>0</v>
      </c>
      <c r="AM27" s="227">
        <f t="shared" ca="1" si="28"/>
        <v>0</v>
      </c>
      <c r="AN27" s="227">
        <f t="shared" ca="1" si="28"/>
        <v>0</v>
      </c>
      <c r="AO27" s="227">
        <f t="shared" ca="1" si="28"/>
        <v>0</v>
      </c>
      <c r="AP27" s="227">
        <f t="shared" ca="1" si="28"/>
        <v>0</v>
      </c>
      <c r="AQ27" s="227">
        <f t="shared" ca="1" si="28"/>
        <v>0</v>
      </c>
      <c r="AR27" s="227">
        <f t="shared" ca="1" si="28"/>
        <v>0</v>
      </c>
      <c r="AS27" s="227">
        <f t="shared" ca="1" si="28"/>
        <v>0</v>
      </c>
      <c r="AT27" s="227">
        <f t="shared" ca="1" si="28"/>
        <v>0</v>
      </c>
      <c r="AU27" s="227">
        <f t="shared" ca="1" si="28"/>
        <v>0</v>
      </c>
      <c r="AV27" s="227">
        <f t="shared" ca="1" si="28"/>
        <v>0</v>
      </c>
      <c r="AW27" s="227">
        <f t="shared" ca="1" si="28"/>
        <v>0</v>
      </c>
      <c r="AX27" s="227">
        <f t="shared" ca="1" si="28"/>
        <v>0</v>
      </c>
      <c r="AY27" s="227">
        <f t="shared" ca="1" si="28"/>
        <v>0</v>
      </c>
      <c r="AZ27" s="227">
        <f t="shared" ca="1" si="28"/>
        <v>0</v>
      </c>
      <c r="BA27" s="227">
        <f t="shared" ca="1" si="28"/>
        <v>0</v>
      </c>
      <c r="BB27" s="227">
        <f t="shared" ca="1" si="28"/>
        <v>0</v>
      </c>
      <c r="BC27" s="227">
        <f t="shared" ca="1" si="28"/>
        <v>0</v>
      </c>
      <c r="BD27" s="227">
        <f t="shared" ca="1" si="28"/>
        <v>0</v>
      </c>
      <c r="BE27" s="227">
        <f t="shared" ca="1" si="28"/>
        <v>0</v>
      </c>
      <c r="BF27" s="227">
        <f t="shared" ca="1" si="28"/>
        <v>0</v>
      </c>
      <c r="BG27" s="227">
        <f t="shared" ca="1" si="28"/>
        <v>0</v>
      </c>
      <c r="BH27" s="227">
        <f t="shared" ca="1" si="28"/>
        <v>0</v>
      </c>
      <c r="BI27" s="227">
        <f t="shared" ca="1" si="28"/>
        <v>0</v>
      </c>
      <c r="BJ27" s="227">
        <f t="shared" ca="1" si="28"/>
        <v>0</v>
      </c>
      <c r="BK27" s="227">
        <f t="shared" ca="1" si="28"/>
        <v>0</v>
      </c>
      <c r="BL27" s="227">
        <f t="shared" ca="1" si="28"/>
        <v>0</v>
      </c>
      <c r="BM27" s="227">
        <f t="shared" ca="1" si="28"/>
        <v>0</v>
      </c>
      <c r="BN27" s="227">
        <f t="shared" ca="1" si="28"/>
        <v>0</v>
      </c>
      <c r="BO27" s="227">
        <f t="shared" ca="1" si="28"/>
        <v>0</v>
      </c>
      <c r="BP27" s="227">
        <f t="shared" ca="1" si="28"/>
        <v>0</v>
      </c>
      <c r="BQ27" s="227">
        <f t="shared" ref="BQ27:EB27" ca="1" si="29">BP29</f>
        <v>0</v>
      </c>
      <c r="BR27" s="227">
        <f t="shared" ca="1" si="29"/>
        <v>0</v>
      </c>
      <c r="BS27" s="227">
        <f t="shared" ca="1" si="29"/>
        <v>0</v>
      </c>
      <c r="BT27" s="227">
        <f t="shared" ca="1" si="29"/>
        <v>0</v>
      </c>
      <c r="BU27" s="227">
        <f t="shared" ca="1" si="29"/>
        <v>0</v>
      </c>
      <c r="BV27" s="227">
        <f t="shared" ca="1" si="29"/>
        <v>0</v>
      </c>
      <c r="BW27" s="227">
        <f t="shared" ca="1" si="29"/>
        <v>0</v>
      </c>
      <c r="BX27" s="227">
        <f t="shared" ca="1" si="29"/>
        <v>0</v>
      </c>
      <c r="BY27" s="227">
        <f t="shared" ca="1" si="29"/>
        <v>0</v>
      </c>
      <c r="BZ27" s="227">
        <f t="shared" ca="1" si="29"/>
        <v>0</v>
      </c>
      <c r="CA27" s="227">
        <f t="shared" ca="1" si="29"/>
        <v>0</v>
      </c>
      <c r="CB27" s="227">
        <f t="shared" ca="1" si="29"/>
        <v>0</v>
      </c>
      <c r="CC27" s="227">
        <f t="shared" ca="1" si="29"/>
        <v>0</v>
      </c>
      <c r="CD27" s="227">
        <f t="shared" ca="1" si="29"/>
        <v>0</v>
      </c>
      <c r="CE27" s="227">
        <f t="shared" ca="1" si="29"/>
        <v>0</v>
      </c>
      <c r="CF27" s="227">
        <f t="shared" ca="1" si="29"/>
        <v>0</v>
      </c>
      <c r="CG27" s="227">
        <f t="shared" ca="1" si="29"/>
        <v>0</v>
      </c>
      <c r="CH27" s="227">
        <f t="shared" ca="1" si="29"/>
        <v>0</v>
      </c>
      <c r="CI27" s="227">
        <f t="shared" ca="1" si="29"/>
        <v>0</v>
      </c>
      <c r="CJ27" s="227">
        <f t="shared" ca="1" si="29"/>
        <v>0</v>
      </c>
      <c r="CK27" s="227">
        <f t="shared" ca="1" si="29"/>
        <v>0</v>
      </c>
      <c r="CL27" s="227">
        <f t="shared" ca="1" si="29"/>
        <v>0</v>
      </c>
      <c r="CM27" s="227">
        <f t="shared" ca="1" si="29"/>
        <v>0</v>
      </c>
      <c r="CN27" s="227">
        <f t="shared" ca="1" si="29"/>
        <v>0</v>
      </c>
      <c r="CO27" s="227">
        <f t="shared" ca="1" si="29"/>
        <v>0</v>
      </c>
      <c r="CP27" s="227">
        <f t="shared" ca="1" si="29"/>
        <v>0</v>
      </c>
      <c r="CQ27" s="227">
        <f t="shared" ca="1" si="29"/>
        <v>0</v>
      </c>
      <c r="CR27" s="227">
        <f t="shared" ca="1" si="29"/>
        <v>0</v>
      </c>
      <c r="CS27" s="227">
        <f t="shared" ca="1" si="29"/>
        <v>0</v>
      </c>
      <c r="CT27" s="227">
        <f t="shared" ca="1" si="29"/>
        <v>0</v>
      </c>
      <c r="CU27" s="227">
        <f t="shared" ca="1" si="29"/>
        <v>0</v>
      </c>
      <c r="CV27" s="227">
        <f t="shared" ca="1" si="29"/>
        <v>0</v>
      </c>
      <c r="CW27" s="227">
        <f t="shared" ca="1" si="29"/>
        <v>0</v>
      </c>
      <c r="CX27" s="227">
        <f t="shared" ca="1" si="29"/>
        <v>0</v>
      </c>
      <c r="CY27" s="227">
        <f t="shared" ca="1" si="29"/>
        <v>0</v>
      </c>
      <c r="CZ27" s="227">
        <f t="shared" ca="1" si="29"/>
        <v>0</v>
      </c>
      <c r="DA27" s="227">
        <f t="shared" ca="1" si="29"/>
        <v>0</v>
      </c>
      <c r="DB27" s="227">
        <f t="shared" ca="1" si="29"/>
        <v>0</v>
      </c>
      <c r="DC27" s="227">
        <f t="shared" ca="1" si="29"/>
        <v>0</v>
      </c>
      <c r="DD27" s="227">
        <f t="shared" ca="1" si="29"/>
        <v>0</v>
      </c>
      <c r="DE27" s="227">
        <f t="shared" ca="1" si="29"/>
        <v>0</v>
      </c>
      <c r="DF27" s="227">
        <f t="shared" ca="1" si="29"/>
        <v>0</v>
      </c>
      <c r="DG27" s="227">
        <f t="shared" ca="1" si="29"/>
        <v>0</v>
      </c>
      <c r="DH27" s="227">
        <f t="shared" ca="1" si="29"/>
        <v>0</v>
      </c>
      <c r="DI27" s="227">
        <f t="shared" ca="1" si="29"/>
        <v>0</v>
      </c>
      <c r="DJ27" s="227">
        <f t="shared" ca="1" si="29"/>
        <v>0</v>
      </c>
      <c r="DK27" s="227">
        <f t="shared" ca="1" si="29"/>
        <v>0</v>
      </c>
      <c r="DL27" s="227">
        <f t="shared" ca="1" si="29"/>
        <v>0</v>
      </c>
      <c r="DM27" s="227">
        <f t="shared" ca="1" si="29"/>
        <v>0</v>
      </c>
      <c r="DN27" s="227">
        <f t="shared" ca="1" si="29"/>
        <v>0</v>
      </c>
      <c r="DO27" s="227">
        <f t="shared" ca="1" si="29"/>
        <v>0</v>
      </c>
      <c r="DP27" s="227">
        <f t="shared" ca="1" si="29"/>
        <v>0</v>
      </c>
      <c r="DQ27" s="227">
        <f t="shared" ca="1" si="29"/>
        <v>0</v>
      </c>
      <c r="DR27" s="227">
        <f t="shared" ca="1" si="29"/>
        <v>0</v>
      </c>
      <c r="DS27" s="227">
        <f t="shared" ca="1" si="29"/>
        <v>0</v>
      </c>
      <c r="DT27" s="227">
        <f t="shared" ca="1" si="29"/>
        <v>0</v>
      </c>
      <c r="DU27" s="227">
        <f t="shared" ca="1" si="29"/>
        <v>0</v>
      </c>
      <c r="DV27" s="227">
        <f t="shared" ca="1" si="29"/>
        <v>0</v>
      </c>
      <c r="DW27" s="227">
        <f t="shared" ca="1" si="29"/>
        <v>0</v>
      </c>
      <c r="DX27" s="227">
        <f t="shared" ca="1" si="29"/>
        <v>0</v>
      </c>
      <c r="DY27" s="227">
        <f t="shared" ca="1" si="29"/>
        <v>0</v>
      </c>
      <c r="DZ27" s="227">
        <f t="shared" ca="1" si="29"/>
        <v>0</v>
      </c>
      <c r="EA27" s="227">
        <f t="shared" ca="1" si="29"/>
        <v>0</v>
      </c>
      <c r="EB27" s="227">
        <f t="shared" ca="1" si="29"/>
        <v>0</v>
      </c>
      <c r="EC27" s="227">
        <f t="shared" ref="EC27:EG27" ca="1" si="30">EB29</f>
        <v>0</v>
      </c>
      <c r="ED27" s="227">
        <f t="shared" ca="1" si="30"/>
        <v>0</v>
      </c>
      <c r="EE27" s="227">
        <f t="shared" ca="1" si="30"/>
        <v>0</v>
      </c>
      <c r="EF27" s="227">
        <f t="shared" ca="1" si="30"/>
        <v>0</v>
      </c>
      <c r="EG27" s="227">
        <f t="shared" ca="1" si="30"/>
        <v>0</v>
      </c>
    </row>
    <row r="28" spans="1:137" x14ac:dyDescent="0.3">
      <c r="A28" t="s">
        <v>2462</v>
      </c>
      <c r="E28" s="229">
        <f ca="1">ROUND(MIN('General Inputs'!$I$8-SUM($D$28:D$28),DevBdgt!E$48-E$42-E$67-E$92),3)</f>
        <v>0</v>
      </c>
      <c r="F28" s="229">
        <f ca="1">ROUND(MIN('General Inputs'!$I$8-SUM($D$28:E$28),DevBdgt!F$48-F$42-F$67-F$92),3)</f>
        <v>0</v>
      </c>
      <c r="G28" s="229">
        <f ca="1">ROUND(MIN('General Inputs'!$I$8-SUM($D$28:F$28),DevBdgt!G$48-G$42-G$67-G$92),3)</f>
        <v>0</v>
      </c>
      <c r="H28" s="229">
        <f ca="1">ROUND(MIN('General Inputs'!$I$8-SUM($D$28:G$28),DevBdgt!H$48-H$42-H$67-H$92),3)</f>
        <v>0</v>
      </c>
      <c r="I28" s="229">
        <f ca="1">ROUND(MIN('General Inputs'!$I$8-SUM($D$28:H$28),DevBdgt!I$48-I$42-I$67-I$92),3)</f>
        <v>0</v>
      </c>
      <c r="J28" s="229">
        <f ca="1">ROUND(MIN('General Inputs'!$I$8-SUM($D$28:I$28),DevBdgt!J$48-J$42-J$67-J$92),3)</f>
        <v>0</v>
      </c>
      <c r="K28" s="229">
        <f ca="1">ROUND(MIN('General Inputs'!$I$8-SUM($D$28:J$28),DevBdgt!K$48-K$42-K$67-K$92),3)</f>
        <v>0</v>
      </c>
      <c r="L28" s="229">
        <f ca="1">ROUND(MIN('General Inputs'!$I$8-SUM($D$28:K$28),DevBdgt!L$48-L$42-L$67-L$92),3)</f>
        <v>0</v>
      </c>
      <c r="M28" s="229">
        <f ca="1">ROUND(MIN('General Inputs'!$I$8-SUM($D$28:L$28),DevBdgt!M$48-M$42-M$67-M$92),3)</f>
        <v>0</v>
      </c>
      <c r="N28" s="229">
        <f ca="1">ROUND(MIN('General Inputs'!$I$8-SUM($D$28:M$28),DevBdgt!N$48-N$42-N$67-N$92),3)</f>
        <v>0</v>
      </c>
      <c r="O28" s="229">
        <f ca="1">ROUND(MIN('General Inputs'!$I$8-SUM($D$28:N$28),DevBdgt!O$48-O$42-O$67-O$92),3)</f>
        <v>0</v>
      </c>
      <c r="P28" s="229">
        <f ca="1">ROUND(MIN('General Inputs'!$I$8-SUM($D$28:O$28),DevBdgt!P$48-P$42-P$67-P$92),3)</f>
        <v>0</v>
      </c>
      <c r="Q28" s="229">
        <f ca="1">ROUND(MIN('General Inputs'!$I$8-SUM($D$28:P$28),DevBdgt!Q$48-Q$42-Q$67-Q$92),3)</f>
        <v>0</v>
      </c>
      <c r="R28" s="229">
        <f ca="1">ROUND(MIN('General Inputs'!$I$8-SUM($D$28:Q$28),DevBdgt!R$48-R$42-R$67-R$92),3)</f>
        <v>0</v>
      </c>
      <c r="S28" s="229">
        <f ca="1">ROUND(MIN('General Inputs'!$I$8-SUM($D$28:R$28),DevBdgt!S$48-S$42-S$67-S$92),3)</f>
        <v>0</v>
      </c>
      <c r="T28" s="229">
        <f ca="1">ROUND(MIN('General Inputs'!$I$8-SUM($D$28:S$28),DevBdgt!T$48-T$42-T$67-T$92),3)</f>
        <v>0</v>
      </c>
      <c r="U28" s="229">
        <f ca="1">ROUND(MIN('General Inputs'!$I$8-SUM($D$28:T$28),DevBdgt!U$48-U$42-U$67-U$92),3)</f>
        <v>0</v>
      </c>
      <c r="V28" s="229">
        <f ca="1">ROUND(MIN('General Inputs'!$I$8-SUM($D$28:U$28),DevBdgt!V$48-V$42-V$67-V$92),3)</f>
        <v>0</v>
      </c>
      <c r="W28" s="229">
        <f ca="1">ROUND(MIN('General Inputs'!$I$8-SUM($D$28:V$28),DevBdgt!W$48-W$42-W$67-W$92),3)</f>
        <v>0</v>
      </c>
      <c r="X28" s="229">
        <f ca="1">ROUND(MIN('General Inputs'!$I$8-SUM($D$28:W$28),DevBdgt!X$48-X$42-X$67-X$92),3)</f>
        <v>0</v>
      </c>
      <c r="Y28" s="229">
        <f ca="1">ROUND(MIN('General Inputs'!$I$8-SUM($D$28:X$28),DevBdgt!Y$48-Y$42-Y$67-Y$92),3)</f>
        <v>0</v>
      </c>
      <c r="Z28" s="229">
        <f ca="1">ROUND(MIN('General Inputs'!$I$8-SUM($D$28:Y$28),DevBdgt!Z$48-Z$42-Z$67-Z$92),3)</f>
        <v>0</v>
      </c>
      <c r="AA28" s="229">
        <f ca="1">ROUND(MIN('General Inputs'!$I$8-SUM($D$28:Z$28),DevBdgt!AA$48-AA$42-AA$67-AA$92),3)</f>
        <v>0</v>
      </c>
      <c r="AB28" s="229">
        <f ca="1">ROUND(MIN('General Inputs'!$I$8-SUM($D$28:AA$28),DevBdgt!AB$48-AB$42-AB$67-AB$92),3)</f>
        <v>0</v>
      </c>
      <c r="AC28" s="229">
        <f ca="1">ROUND(MIN('General Inputs'!$I$8-SUM($D$28:AB$28),DevBdgt!AC$48-AC$42-AC$67-AC$92),3)</f>
        <v>0</v>
      </c>
      <c r="AD28" s="229">
        <f ca="1">ROUND(MIN('General Inputs'!$I$8-SUM($D$28:AC$28),DevBdgt!AD$48-AD$42-AD$67-AD$92),3)</f>
        <v>0</v>
      </c>
      <c r="AE28" s="229">
        <f ca="1">ROUND(MIN('General Inputs'!$I$8-SUM($D$28:AD$28),DevBdgt!AE$48-AE$42-AE$67-AE$92),3)</f>
        <v>0</v>
      </c>
      <c r="AF28" s="229">
        <f ca="1">ROUND(MIN('General Inputs'!$I$8-SUM($D$28:AE$28),DevBdgt!AF$48-AF$42-AF$67-AF$92),3)</f>
        <v>0</v>
      </c>
      <c r="AG28" s="229">
        <f ca="1">ROUND(MIN('General Inputs'!$I$8-SUM($D$28:AF$28),DevBdgt!AG$48-AG$42-AG$67-AG$92),3)</f>
        <v>0</v>
      </c>
      <c r="AH28" s="229">
        <f ca="1">ROUND(MIN('General Inputs'!$I$8-SUM($D$28:AG$28),DevBdgt!AH$48-AH$42-AH$67-AH$92),3)</f>
        <v>0</v>
      </c>
      <c r="AI28" s="229">
        <f ca="1">ROUND(MIN('General Inputs'!$I$8-SUM($D$28:AH$28),DevBdgt!AI$48-AI$42-AI$67-AI$92),3)</f>
        <v>0</v>
      </c>
      <c r="AJ28" s="229">
        <f ca="1">ROUND(MIN('General Inputs'!$I$8-SUM($D$28:AI$28),DevBdgt!AJ$48-AJ$42-AJ$67-AJ$92),3)</f>
        <v>0</v>
      </c>
      <c r="AK28" s="229">
        <f ca="1">ROUND(MIN('General Inputs'!$I$8-SUM($D$28:AJ$28),DevBdgt!AK$48-AK$42-AK$67-AK$92),3)</f>
        <v>0</v>
      </c>
      <c r="AL28" s="229">
        <f ca="1">ROUND(MIN('General Inputs'!$I$8-SUM($D$28:AK$28),DevBdgt!AL$48-AL$42-AL$67-AL$92),3)</f>
        <v>0</v>
      </c>
      <c r="AM28" s="229">
        <f ca="1">ROUND(MIN('General Inputs'!$I$8-SUM($D$28:AL$28),DevBdgt!AM$48-AM$42-AM$67-AM$92),3)</f>
        <v>0</v>
      </c>
      <c r="AN28" s="229">
        <f ca="1">ROUND(MIN('General Inputs'!$I$8-SUM($D$28:AM$28),DevBdgt!AN$48-AN$42-AN$67-AN$92),3)</f>
        <v>0</v>
      </c>
      <c r="AO28" s="229">
        <f ca="1">ROUND(MIN('General Inputs'!$I$8-SUM($D$28:AN$28),DevBdgt!AO$48-AO$42-AO$67-AO$92),3)</f>
        <v>0</v>
      </c>
      <c r="AP28" s="229">
        <f ca="1">ROUND(MIN('General Inputs'!$I$8-SUM($D$28:AO$28),DevBdgt!AP$48-AP$42-AP$67-AP$92),3)</f>
        <v>0</v>
      </c>
      <c r="AQ28" s="229">
        <f ca="1">ROUND(MIN('General Inputs'!$I$8-SUM($D$28:AP$28),DevBdgt!AQ$48-AQ$42-AQ$67-AQ$92),3)</f>
        <v>0</v>
      </c>
      <c r="AR28" s="229">
        <f ca="1">ROUND(MIN('General Inputs'!$I$8-SUM($D$28:AQ$28),DevBdgt!AR$48-AR$42-AR$67-AR$92),3)</f>
        <v>0</v>
      </c>
      <c r="AS28" s="229">
        <f ca="1">ROUND(MIN('General Inputs'!$I$8-SUM($D$28:AR$28),DevBdgt!AS$48-AS$42-AS$67-AS$92),3)</f>
        <v>0</v>
      </c>
      <c r="AT28" s="229">
        <f ca="1">ROUND(MIN('General Inputs'!$I$8-SUM($D$28:AS$28),DevBdgt!AT$48-AT$42-AT$67-AT$92),3)</f>
        <v>0</v>
      </c>
      <c r="AU28" s="229">
        <f ca="1">ROUND(MIN('General Inputs'!$I$8-SUM($D$28:AT$28),DevBdgt!AU$48-AU$42-AU$67-AU$92),3)</f>
        <v>0</v>
      </c>
      <c r="AV28" s="229">
        <f ca="1">ROUND(MIN('General Inputs'!$I$8-SUM($D$28:AU$28),DevBdgt!AV$48-AV$42-AV$67-AV$92),3)</f>
        <v>0</v>
      </c>
      <c r="AW28" s="229">
        <f ca="1">ROUND(MIN('General Inputs'!$I$8-SUM($D$28:AV$28),DevBdgt!AW$48-AW$42-AW$67-AW$92),3)</f>
        <v>0</v>
      </c>
      <c r="AX28" s="229">
        <f ca="1">ROUND(MIN('General Inputs'!$I$8-SUM($D$28:AW$28),DevBdgt!AX$48-AX$42-AX$67-AX$92),3)</f>
        <v>0</v>
      </c>
      <c r="AY28" s="229">
        <f ca="1">ROUND(MIN('General Inputs'!$I$8-SUM($D$28:AX$28),DevBdgt!AY$48-AY$42-AY$67-AY$92),3)</f>
        <v>0</v>
      </c>
      <c r="AZ28" s="229">
        <f ca="1">ROUND(MIN('General Inputs'!$I$8-SUM($D$28:AY$28),DevBdgt!AZ$48-AZ$42-AZ$67-AZ$92),3)</f>
        <v>0</v>
      </c>
      <c r="BA28" s="229">
        <f ca="1">ROUND(MIN('General Inputs'!$I$8-SUM($D$28:AZ$28),DevBdgt!BA$48-BA$42-BA$67-BA$92),3)</f>
        <v>0</v>
      </c>
      <c r="BB28" s="229">
        <f ca="1">ROUND(MIN('General Inputs'!$I$8-SUM($D$28:BA$28),DevBdgt!BB$48-BB$42-BB$67-BB$92),3)</f>
        <v>0</v>
      </c>
      <c r="BC28" s="229">
        <f ca="1">ROUND(MIN('General Inputs'!$I$8-SUM($D$28:BB$28),DevBdgt!BC$48-BC$42-BC$67-BC$92),3)</f>
        <v>0</v>
      </c>
      <c r="BD28" s="229">
        <f ca="1">ROUND(MIN('General Inputs'!$I$8-SUM($D$28:BC$28),DevBdgt!BD$48-BD$42-BD$67-BD$92),3)</f>
        <v>0</v>
      </c>
      <c r="BE28" s="229">
        <f ca="1">ROUND(MIN('General Inputs'!$I$8-SUM($D$28:BD$28),DevBdgt!BE$48-BE$42-BE$67-BE$92),3)</f>
        <v>0</v>
      </c>
      <c r="BF28" s="229">
        <f ca="1">ROUND(MIN('General Inputs'!$I$8-SUM($D$28:BE$28),DevBdgt!BF$48-BF$42-BF$67-BF$92),3)</f>
        <v>0</v>
      </c>
      <c r="BG28" s="229">
        <f ca="1">ROUND(MIN('General Inputs'!$I$8-SUM($D$28:BF$28),DevBdgt!BG$48-BG$42-BG$67-BG$92),3)</f>
        <v>0</v>
      </c>
      <c r="BH28" s="229">
        <f ca="1">ROUND(MIN('General Inputs'!$I$8-SUM($D$28:BG$28),DevBdgt!BH$48-BH$42-BH$67-BH$92),3)</f>
        <v>0</v>
      </c>
      <c r="BI28" s="229">
        <f ca="1">ROUND(MIN('General Inputs'!$I$8-SUM($D$28:BH$28),DevBdgt!BI$48-BI$42-BI$67-BI$92),3)</f>
        <v>0</v>
      </c>
      <c r="BJ28" s="229">
        <f ca="1">ROUND(MIN('General Inputs'!$I$8-SUM($D$28:BI$28),DevBdgt!BJ$48-BJ$42-BJ$67-BJ$92),3)</f>
        <v>0</v>
      </c>
      <c r="BK28" s="229">
        <f ca="1">ROUND(MIN('General Inputs'!$I$8-SUM($D$28:BJ$28),DevBdgt!BK$48-BK$42-BK$67-BK$92),3)</f>
        <v>0</v>
      </c>
      <c r="BL28" s="229">
        <f ca="1">ROUND(MIN('General Inputs'!$I$8-SUM($D$28:BK$28),DevBdgt!BL$48-BL$42-BL$67-BL$92),3)</f>
        <v>0</v>
      </c>
      <c r="BM28" s="229">
        <f ca="1">ROUND(MIN('General Inputs'!$I$8-SUM($D$28:BL$28),DevBdgt!BM$48-BM$42-BM$67-BM$92),3)</f>
        <v>0</v>
      </c>
      <c r="BN28" s="229">
        <f ca="1">ROUND(MIN('General Inputs'!$I$8-SUM($D$28:BM$28),DevBdgt!BN$48-BN$42-BN$67-BN$92),3)</f>
        <v>0</v>
      </c>
      <c r="BO28" s="229">
        <f ca="1">ROUND(MIN('General Inputs'!$I$8-SUM($D$28:BN$28),DevBdgt!BO$48-BO$42-BO$67-BO$92),3)</f>
        <v>0</v>
      </c>
      <c r="BP28" s="229">
        <f ca="1">ROUND(MIN('General Inputs'!$I$8-SUM($D$28:BO$28),DevBdgt!BP$48-BP$42-BP$67-BP$92),3)</f>
        <v>0</v>
      </c>
      <c r="BQ28" s="229">
        <f ca="1">ROUND(MIN('General Inputs'!$I$8-SUM($D$28:BP$28),DevBdgt!BQ$48-BQ$42-BQ$67-BQ$92),3)</f>
        <v>0</v>
      </c>
      <c r="BR28" s="229">
        <f ca="1">ROUND(MIN('General Inputs'!$I$8-SUM($D$28:BQ$28),DevBdgt!BR$48-BR$42-BR$67-BR$92),3)</f>
        <v>0</v>
      </c>
      <c r="BS28" s="229">
        <f ca="1">ROUND(MIN('General Inputs'!$I$8-SUM($D$28:BR$28),DevBdgt!BS$48-BS$42-BS$67-BS$92),3)</f>
        <v>0</v>
      </c>
      <c r="BT28" s="229">
        <f ca="1">ROUND(MIN('General Inputs'!$I$8-SUM($D$28:BS$28),DevBdgt!BT$48-BT$42-BT$67-BT$92),3)</f>
        <v>0</v>
      </c>
      <c r="BU28" s="229">
        <f ca="1">ROUND(MIN('General Inputs'!$I$8-SUM($D$28:BT$28),DevBdgt!BU$48-BU$42-BU$67-BU$92),3)</f>
        <v>0</v>
      </c>
      <c r="BV28" s="229">
        <f ca="1">ROUND(MIN('General Inputs'!$I$8-SUM($D$28:BU$28),DevBdgt!BV$48-BV$42-BV$67-BV$92),3)</f>
        <v>0</v>
      </c>
      <c r="BW28" s="229">
        <f ca="1">ROUND(MIN('General Inputs'!$I$8-SUM($D$28:BV$28),DevBdgt!BW$48-BW$42-BW$67-BW$92),3)</f>
        <v>0</v>
      </c>
      <c r="BX28" s="229">
        <f ca="1">ROUND(MIN('General Inputs'!$I$8-SUM($D$28:BW$28),DevBdgt!BX$48-BX$42-BX$67-BX$92),3)</f>
        <v>0</v>
      </c>
      <c r="BY28" s="229">
        <f ca="1">ROUND(MIN('General Inputs'!$I$8-SUM($D$28:BX$28),DevBdgt!BY$48-BY$42-BY$67-BY$92),3)</f>
        <v>0</v>
      </c>
      <c r="BZ28" s="229">
        <f ca="1">ROUND(MIN('General Inputs'!$I$8-SUM($D$28:BY$28),DevBdgt!BZ$48-BZ$42-BZ$67-BZ$92),3)</f>
        <v>0</v>
      </c>
      <c r="CA28" s="229">
        <f ca="1">ROUND(MIN('General Inputs'!$I$8-SUM($D$28:BZ$28),DevBdgt!CA$48-CA$42-CA$67-CA$92),3)</f>
        <v>0</v>
      </c>
      <c r="CB28" s="229">
        <f ca="1">ROUND(MIN('General Inputs'!$I$8-SUM($D$28:CA$28),DevBdgt!CB$48-CB$42-CB$67-CB$92),3)</f>
        <v>0</v>
      </c>
      <c r="CC28" s="229">
        <f ca="1">ROUND(MIN('General Inputs'!$I$8-SUM($D$28:CB$28),DevBdgt!CC$48-CC$42-CC$67-CC$92),3)</f>
        <v>0</v>
      </c>
      <c r="CD28" s="229">
        <f ca="1">ROUND(MIN('General Inputs'!$I$8-SUM($D$28:CC$28),DevBdgt!CD$48-CD$42-CD$67-CD$92),3)</f>
        <v>0</v>
      </c>
      <c r="CE28" s="229">
        <f ca="1">ROUND(MIN('General Inputs'!$I$8-SUM($D$28:CD$28),DevBdgt!CE$48-CE$42-CE$67-CE$92),3)</f>
        <v>0</v>
      </c>
      <c r="CF28" s="229">
        <f ca="1">ROUND(MIN('General Inputs'!$I$8-SUM($D$28:CE$28),DevBdgt!CF$48-CF$42-CF$67-CF$92),3)</f>
        <v>0</v>
      </c>
      <c r="CG28" s="229">
        <f ca="1">ROUND(MIN('General Inputs'!$I$8-SUM($D$28:CF$28),DevBdgt!CG$48-CG$42-CG$67-CG$92),3)</f>
        <v>0</v>
      </c>
      <c r="CH28" s="229">
        <f ca="1">ROUND(MIN('General Inputs'!$I$8-SUM($D$28:CG$28),DevBdgt!CH$48-CH$42-CH$67-CH$92),3)</f>
        <v>0</v>
      </c>
      <c r="CI28" s="229">
        <f ca="1">ROUND(MIN('General Inputs'!$I$8-SUM($D$28:CH$28),DevBdgt!CI$48-CI$42-CI$67-CI$92),3)</f>
        <v>0</v>
      </c>
      <c r="CJ28" s="229">
        <f ca="1">ROUND(MIN('General Inputs'!$I$8-SUM($D$28:CI$28),DevBdgt!CJ$48-CJ$42-CJ$67-CJ$92),3)</f>
        <v>0</v>
      </c>
      <c r="CK28" s="229">
        <f ca="1">ROUND(MIN('General Inputs'!$I$8-SUM($D$28:CJ$28),DevBdgt!CK$48-CK$42-CK$67-CK$92),3)</f>
        <v>0</v>
      </c>
      <c r="CL28" s="229">
        <f ca="1">ROUND(MIN('General Inputs'!$I$8-SUM($D$28:CK$28),DevBdgt!CL$48-CL$42-CL$67-CL$92),3)</f>
        <v>0</v>
      </c>
      <c r="CM28" s="229">
        <f ca="1">ROUND(MIN('General Inputs'!$I$8-SUM($D$28:CL$28),DevBdgt!CM$48-CM$42-CM$67-CM$92),3)</f>
        <v>0</v>
      </c>
      <c r="CN28" s="229">
        <f ca="1">ROUND(MIN('General Inputs'!$I$8-SUM($D$28:CM$28),DevBdgt!CN$48-CN$42-CN$67-CN$92),3)</f>
        <v>0</v>
      </c>
      <c r="CO28" s="229">
        <f ca="1">ROUND(MIN('General Inputs'!$I$8-SUM($D$28:CN$28),DevBdgt!CO$48-CO$42-CO$67-CO$92),3)</f>
        <v>0</v>
      </c>
      <c r="CP28" s="229">
        <f ca="1">ROUND(MIN('General Inputs'!$I$8-SUM($D$28:CO$28),DevBdgt!CP$48-CP$42-CP$67-CP$92),3)</f>
        <v>0</v>
      </c>
      <c r="CQ28" s="229">
        <f ca="1">ROUND(MIN('General Inputs'!$I$8-SUM($D$28:CP$28),DevBdgt!CQ$48-CQ$42-CQ$67-CQ$92),3)</f>
        <v>0</v>
      </c>
      <c r="CR28" s="229">
        <f ca="1">ROUND(MIN('General Inputs'!$I$8-SUM($D$28:CQ$28),DevBdgt!CR$48-CR$42-CR$67-CR$92),3)</f>
        <v>0</v>
      </c>
      <c r="CS28" s="229">
        <f ca="1">ROUND(MIN('General Inputs'!$I$8-SUM($D$28:CR$28),DevBdgt!CS$48-CS$42-CS$67-CS$92),3)</f>
        <v>0</v>
      </c>
      <c r="CT28" s="229">
        <f ca="1">ROUND(MIN('General Inputs'!$I$8-SUM($D$28:CS$28),DevBdgt!CT$48-CT$42-CT$67-CT$92),3)</f>
        <v>0</v>
      </c>
      <c r="CU28" s="229">
        <f ca="1">ROUND(MIN('General Inputs'!$I$8-SUM($D$28:CT$28),DevBdgt!CU$48-CU$42-CU$67-CU$92),3)</f>
        <v>0</v>
      </c>
      <c r="CV28" s="229">
        <f ca="1">ROUND(MIN('General Inputs'!$I$8-SUM($D$28:CU$28),DevBdgt!CV$48-CV$42-CV$67-CV$92),3)</f>
        <v>0</v>
      </c>
      <c r="CW28" s="229">
        <f ca="1">ROUND(MIN('General Inputs'!$I$8-SUM($D$28:CV$28),DevBdgt!CW$48-CW$42-CW$67-CW$92),3)</f>
        <v>0</v>
      </c>
      <c r="CX28" s="229">
        <f ca="1">ROUND(MIN('General Inputs'!$I$8-SUM($D$28:CW$28),DevBdgt!CX$48-CX$42-CX$67-CX$92),3)</f>
        <v>0</v>
      </c>
      <c r="CY28" s="229">
        <f ca="1">ROUND(MIN('General Inputs'!$I$8-SUM($D$28:CX$28),DevBdgt!CY$48-CY$42-CY$67-CY$92),3)</f>
        <v>0</v>
      </c>
      <c r="CZ28" s="229">
        <f ca="1">ROUND(MIN('General Inputs'!$I$8-SUM($D$28:CY$28),DevBdgt!CZ$48-CZ$42-CZ$67-CZ$92),3)</f>
        <v>0</v>
      </c>
      <c r="DA28" s="229">
        <f ca="1">ROUND(MIN('General Inputs'!$I$8-SUM($D$28:CZ$28),DevBdgt!DA$48-DA$42-DA$67-DA$92),3)</f>
        <v>0</v>
      </c>
      <c r="DB28" s="229">
        <f ca="1">ROUND(MIN('General Inputs'!$I$8-SUM($D$28:DA$28),DevBdgt!DB$48-DB$42-DB$67-DB$92),3)</f>
        <v>0</v>
      </c>
      <c r="DC28" s="229">
        <f ca="1">ROUND(MIN('General Inputs'!$I$8-SUM($D$28:DB$28),DevBdgt!DC$48-DC$42-DC$67-DC$92),3)</f>
        <v>0</v>
      </c>
      <c r="DD28" s="229">
        <f ca="1">ROUND(MIN('General Inputs'!$I$8-SUM($D$28:DC$28),DevBdgt!DD$48-DD$42-DD$67-DD$92),3)</f>
        <v>0</v>
      </c>
      <c r="DE28" s="229">
        <f ca="1">ROUND(MIN('General Inputs'!$I$8-SUM($D$28:DD$28),DevBdgt!DE$48-DE$42-DE$67-DE$92),3)</f>
        <v>0</v>
      </c>
      <c r="DF28" s="229">
        <f ca="1">ROUND(MIN('General Inputs'!$I$8-SUM($D$28:DE$28),DevBdgt!DF$48-DF$42-DF$67-DF$92),3)</f>
        <v>0</v>
      </c>
      <c r="DG28" s="229">
        <f ca="1">ROUND(MIN('General Inputs'!$I$8-SUM($D$28:DF$28),DevBdgt!DG$48-DG$42-DG$67-DG$92),3)</f>
        <v>0</v>
      </c>
      <c r="DH28" s="229">
        <f ca="1">ROUND(MIN('General Inputs'!$I$8-SUM($D$28:DG$28),DevBdgt!DH$48-DH$42-DH$67-DH$92),3)</f>
        <v>0</v>
      </c>
      <c r="DI28" s="229">
        <f ca="1">ROUND(MIN('General Inputs'!$I$8-SUM($D$28:DH$28),DevBdgt!DI$48-DI$42-DI$67-DI$92),3)</f>
        <v>0</v>
      </c>
      <c r="DJ28" s="229">
        <f ca="1">ROUND(MIN('General Inputs'!$I$8-SUM($D$28:DI$28),DevBdgt!DJ$48-DJ$42-DJ$67-DJ$92),3)</f>
        <v>0</v>
      </c>
      <c r="DK28" s="229">
        <f ca="1">ROUND(MIN('General Inputs'!$I$8-SUM($D$28:DJ$28),DevBdgt!DK$48-DK$42-DK$67-DK$92),3)</f>
        <v>0</v>
      </c>
      <c r="DL28" s="229">
        <f ca="1">ROUND(MIN('General Inputs'!$I$8-SUM($D$28:DK$28),DevBdgt!DL$48-DL$42-DL$67-DL$92),3)</f>
        <v>0</v>
      </c>
      <c r="DM28" s="229">
        <f ca="1">ROUND(MIN('General Inputs'!$I$8-SUM($D$28:DL$28),DevBdgt!DM$48-DM$42-DM$67-DM$92),3)</f>
        <v>0</v>
      </c>
      <c r="DN28" s="229">
        <f ca="1">ROUND(MIN('General Inputs'!$I$8-SUM($D$28:DM$28),DevBdgt!DN$48-DN$42-DN$67-DN$92),3)</f>
        <v>0</v>
      </c>
      <c r="DO28" s="229">
        <f ca="1">ROUND(MIN('General Inputs'!$I$8-SUM($D$28:DN$28),DevBdgt!DO$48-DO$42-DO$67-DO$92),3)</f>
        <v>0</v>
      </c>
      <c r="DP28" s="229">
        <f ca="1">ROUND(MIN('General Inputs'!$I$8-SUM($D$28:DO$28),DevBdgt!DP$48-DP$42-DP$67-DP$92),3)</f>
        <v>0</v>
      </c>
      <c r="DQ28" s="229">
        <f ca="1">ROUND(MIN('General Inputs'!$I$8-SUM($D$28:DP$28),DevBdgt!DQ$48-DQ$42-DQ$67-DQ$92),3)</f>
        <v>0</v>
      </c>
      <c r="DR28" s="229">
        <f ca="1">ROUND(MIN('General Inputs'!$I$8-SUM($D$28:DQ$28),DevBdgt!DR$48-DR$42-DR$67-DR$92),3)</f>
        <v>0</v>
      </c>
      <c r="DS28" s="229">
        <f ca="1">ROUND(MIN('General Inputs'!$I$8-SUM($D$28:DR$28),DevBdgt!DS$48-DS$42-DS$67-DS$92),3)</f>
        <v>0</v>
      </c>
      <c r="DT28" s="229">
        <f ca="1">ROUND(MIN('General Inputs'!$I$8-SUM($D$28:DS$28),DevBdgt!DT$48-DT$42-DT$67-DT$92),3)</f>
        <v>0</v>
      </c>
      <c r="DU28" s="229">
        <f ca="1">ROUND(MIN('General Inputs'!$I$8-SUM($D$28:DT$28),DevBdgt!DU$48-DU$42-DU$67-DU$92),3)</f>
        <v>0</v>
      </c>
      <c r="DV28" s="229">
        <f ca="1">ROUND(MIN('General Inputs'!$I$8-SUM($D$28:DU$28),DevBdgt!DV$48-DV$42-DV$67-DV$92),3)</f>
        <v>0</v>
      </c>
      <c r="DW28" s="229">
        <f ca="1">ROUND(MIN('General Inputs'!$I$8-SUM($D$28:DV$28),DevBdgt!DW$48-DW$42-DW$67-DW$92),3)</f>
        <v>0</v>
      </c>
      <c r="DX28" s="229">
        <f ca="1">ROUND(MIN('General Inputs'!$I$8-SUM($D$28:DW$28),DevBdgt!DX$48-DX$42-DX$67-DX$92),3)</f>
        <v>0</v>
      </c>
      <c r="DY28" s="229">
        <f ca="1">ROUND(MIN('General Inputs'!$I$8-SUM($D$28:DX$28),DevBdgt!DY$48-DY$42-DY$67-DY$92),3)</f>
        <v>0</v>
      </c>
      <c r="DZ28" s="229">
        <f ca="1">ROUND(MIN('General Inputs'!$I$8-SUM($D$28:DY$28),DevBdgt!DZ$48-DZ$42-DZ$67-DZ$92),3)</f>
        <v>0</v>
      </c>
      <c r="EA28" s="229">
        <f ca="1">ROUND(MIN('General Inputs'!$I$8-SUM($D$28:DZ$28),DevBdgt!EA$48-EA$42-EA$67-EA$92),3)</f>
        <v>0</v>
      </c>
      <c r="EB28" s="229">
        <f ca="1">ROUND(MIN('General Inputs'!$I$8-SUM($D$28:EA$28),DevBdgt!EB$48-EB$42-EB$67-EB$92),3)</f>
        <v>0</v>
      </c>
      <c r="EC28" s="229">
        <f ca="1">ROUND(MIN('General Inputs'!$I$8-SUM($D$28:EB$28),DevBdgt!EC$48-EC$42-EC$67-EC$92),3)</f>
        <v>0</v>
      </c>
      <c r="ED28" s="229">
        <f ca="1">ROUND(MIN('General Inputs'!$I$8-SUM($D$28:EC$28),DevBdgt!ED$48-ED$42-ED$67-ED$92),3)</f>
        <v>0</v>
      </c>
      <c r="EE28" s="229">
        <f ca="1">ROUND(MIN('General Inputs'!$I$8-SUM($D$28:ED$28),DevBdgt!EE$48-EE$42-EE$67-EE$92),3)</f>
        <v>0</v>
      </c>
      <c r="EF28" s="229">
        <f ca="1">ROUND(MIN('General Inputs'!$I$8-SUM($D$28:EE$28),DevBdgt!EF$48-EF$42-EF$67-EF$92),3)</f>
        <v>0</v>
      </c>
      <c r="EG28" s="229">
        <f ca="1">ROUND(MIN('General Inputs'!$I$8-SUM($D$28:EF$28),DevBdgt!EG$48-EG$42-EG$67-EG$92),3)</f>
        <v>0</v>
      </c>
    </row>
    <row r="29" spans="1:137" ht="15" thickBot="1" x14ac:dyDescent="0.35">
      <c r="A29" s="248" t="s">
        <v>2463</v>
      </c>
      <c r="B29" s="248"/>
      <c r="C29" s="248"/>
      <c r="D29" s="697"/>
      <c r="E29" s="250">
        <f t="shared" ref="E29:BP29" ca="1" si="31">SUM(E27:E28)</f>
        <v>0</v>
      </c>
      <c r="F29" s="250">
        <f t="shared" ca="1" si="31"/>
        <v>0</v>
      </c>
      <c r="G29" s="250">
        <f t="shared" ca="1" si="31"/>
        <v>0</v>
      </c>
      <c r="H29" s="250">
        <f t="shared" ca="1" si="31"/>
        <v>0</v>
      </c>
      <c r="I29" s="250">
        <f t="shared" ca="1" si="31"/>
        <v>0</v>
      </c>
      <c r="J29" s="250">
        <f t="shared" ca="1" si="31"/>
        <v>0</v>
      </c>
      <c r="K29" s="250">
        <f t="shared" ca="1" si="31"/>
        <v>0</v>
      </c>
      <c r="L29" s="250">
        <f t="shared" ca="1" si="31"/>
        <v>0</v>
      </c>
      <c r="M29" s="250">
        <f t="shared" ca="1" si="31"/>
        <v>0</v>
      </c>
      <c r="N29" s="250">
        <f t="shared" ca="1" si="31"/>
        <v>0</v>
      </c>
      <c r="O29" s="250">
        <f t="shared" ca="1" si="31"/>
        <v>0</v>
      </c>
      <c r="P29" s="250">
        <f t="shared" ca="1" si="31"/>
        <v>0</v>
      </c>
      <c r="Q29" s="250">
        <f t="shared" ca="1" si="31"/>
        <v>0</v>
      </c>
      <c r="R29" s="250">
        <f t="shared" ca="1" si="31"/>
        <v>0</v>
      </c>
      <c r="S29" s="250">
        <f t="shared" ca="1" si="31"/>
        <v>0</v>
      </c>
      <c r="T29" s="250">
        <f t="shared" ca="1" si="31"/>
        <v>0</v>
      </c>
      <c r="U29" s="250">
        <f t="shared" ca="1" si="31"/>
        <v>0</v>
      </c>
      <c r="V29" s="250">
        <f t="shared" ca="1" si="31"/>
        <v>0</v>
      </c>
      <c r="W29" s="250">
        <f t="shared" ca="1" si="31"/>
        <v>0</v>
      </c>
      <c r="X29" s="250">
        <f t="shared" ca="1" si="31"/>
        <v>0</v>
      </c>
      <c r="Y29" s="250">
        <f t="shared" ca="1" si="31"/>
        <v>0</v>
      </c>
      <c r="Z29" s="250">
        <f t="shared" ca="1" si="31"/>
        <v>0</v>
      </c>
      <c r="AA29" s="250">
        <f t="shared" ca="1" si="31"/>
        <v>0</v>
      </c>
      <c r="AB29" s="250">
        <f t="shared" ca="1" si="31"/>
        <v>0</v>
      </c>
      <c r="AC29" s="250">
        <f t="shared" ca="1" si="31"/>
        <v>0</v>
      </c>
      <c r="AD29" s="250">
        <f t="shared" ca="1" si="31"/>
        <v>0</v>
      </c>
      <c r="AE29" s="250">
        <f t="shared" ca="1" si="31"/>
        <v>0</v>
      </c>
      <c r="AF29" s="250">
        <f t="shared" ca="1" si="31"/>
        <v>0</v>
      </c>
      <c r="AG29" s="250">
        <f t="shared" ca="1" si="31"/>
        <v>0</v>
      </c>
      <c r="AH29" s="250">
        <f t="shared" ca="1" si="31"/>
        <v>0</v>
      </c>
      <c r="AI29" s="250">
        <f t="shared" ca="1" si="31"/>
        <v>0</v>
      </c>
      <c r="AJ29" s="250">
        <f t="shared" ca="1" si="31"/>
        <v>0</v>
      </c>
      <c r="AK29" s="250">
        <f t="shared" ca="1" si="31"/>
        <v>0</v>
      </c>
      <c r="AL29" s="250">
        <f t="shared" ca="1" si="31"/>
        <v>0</v>
      </c>
      <c r="AM29" s="250">
        <f t="shared" ca="1" si="31"/>
        <v>0</v>
      </c>
      <c r="AN29" s="250">
        <f t="shared" ca="1" si="31"/>
        <v>0</v>
      </c>
      <c r="AO29" s="250">
        <f t="shared" ca="1" si="31"/>
        <v>0</v>
      </c>
      <c r="AP29" s="250">
        <f t="shared" ca="1" si="31"/>
        <v>0</v>
      </c>
      <c r="AQ29" s="250">
        <f t="shared" ca="1" si="31"/>
        <v>0</v>
      </c>
      <c r="AR29" s="250">
        <f t="shared" ca="1" si="31"/>
        <v>0</v>
      </c>
      <c r="AS29" s="250">
        <f t="shared" ca="1" si="31"/>
        <v>0</v>
      </c>
      <c r="AT29" s="250">
        <f t="shared" ca="1" si="31"/>
        <v>0</v>
      </c>
      <c r="AU29" s="250">
        <f t="shared" ca="1" si="31"/>
        <v>0</v>
      </c>
      <c r="AV29" s="250">
        <f t="shared" ca="1" si="31"/>
        <v>0</v>
      </c>
      <c r="AW29" s="250">
        <f t="shared" ca="1" si="31"/>
        <v>0</v>
      </c>
      <c r="AX29" s="250">
        <f t="shared" ca="1" si="31"/>
        <v>0</v>
      </c>
      <c r="AY29" s="250">
        <f t="shared" ca="1" si="31"/>
        <v>0</v>
      </c>
      <c r="AZ29" s="250">
        <f t="shared" ca="1" si="31"/>
        <v>0</v>
      </c>
      <c r="BA29" s="250">
        <f t="shared" ca="1" si="31"/>
        <v>0</v>
      </c>
      <c r="BB29" s="250">
        <f t="shared" ca="1" si="31"/>
        <v>0</v>
      </c>
      <c r="BC29" s="250">
        <f t="shared" ca="1" si="31"/>
        <v>0</v>
      </c>
      <c r="BD29" s="250">
        <f t="shared" ca="1" si="31"/>
        <v>0</v>
      </c>
      <c r="BE29" s="250">
        <f t="shared" ca="1" si="31"/>
        <v>0</v>
      </c>
      <c r="BF29" s="250">
        <f t="shared" ca="1" si="31"/>
        <v>0</v>
      </c>
      <c r="BG29" s="250">
        <f t="shared" ca="1" si="31"/>
        <v>0</v>
      </c>
      <c r="BH29" s="250">
        <f t="shared" ca="1" si="31"/>
        <v>0</v>
      </c>
      <c r="BI29" s="250">
        <f t="shared" ca="1" si="31"/>
        <v>0</v>
      </c>
      <c r="BJ29" s="250">
        <f t="shared" ca="1" si="31"/>
        <v>0</v>
      </c>
      <c r="BK29" s="250">
        <f t="shared" ca="1" si="31"/>
        <v>0</v>
      </c>
      <c r="BL29" s="250">
        <f t="shared" ca="1" si="31"/>
        <v>0</v>
      </c>
      <c r="BM29" s="250">
        <f t="shared" ca="1" si="31"/>
        <v>0</v>
      </c>
      <c r="BN29" s="250">
        <f t="shared" ca="1" si="31"/>
        <v>0</v>
      </c>
      <c r="BO29" s="250">
        <f t="shared" ca="1" si="31"/>
        <v>0</v>
      </c>
      <c r="BP29" s="250">
        <f t="shared" ca="1" si="31"/>
        <v>0</v>
      </c>
      <c r="BQ29" s="250">
        <f t="shared" ref="BQ29:EB29" ca="1" si="32">SUM(BQ27:BQ28)</f>
        <v>0</v>
      </c>
      <c r="BR29" s="250">
        <f t="shared" ca="1" si="32"/>
        <v>0</v>
      </c>
      <c r="BS29" s="250">
        <f t="shared" ca="1" si="32"/>
        <v>0</v>
      </c>
      <c r="BT29" s="250">
        <f t="shared" ca="1" si="32"/>
        <v>0</v>
      </c>
      <c r="BU29" s="250">
        <f t="shared" ca="1" si="32"/>
        <v>0</v>
      </c>
      <c r="BV29" s="250">
        <f t="shared" ca="1" si="32"/>
        <v>0</v>
      </c>
      <c r="BW29" s="250">
        <f t="shared" ca="1" si="32"/>
        <v>0</v>
      </c>
      <c r="BX29" s="250">
        <f t="shared" ca="1" si="32"/>
        <v>0</v>
      </c>
      <c r="BY29" s="250">
        <f t="shared" ca="1" si="32"/>
        <v>0</v>
      </c>
      <c r="BZ29" s="250">
        <f t="shared" ca="1" si="32"/>
        <v>0</v>
      </c>
      <c r="CA29" s="250">
        <f t="shared" ca="1" si="32"/>
        <v>0</v>
      </c>
      <c r="CB29" s="250">
        <f t="shared" ca="1" si="32"/>
        <v>0</v>
      </c>
      <c r="CC29" s="250">
        <f t="shared" ca="1" si="32"/>
        <v>0</v>
      </c>
      <c r="CD29" s="250">
        <f t="shared" ca="1" si="32"/>
        <v>0</v>
      </c>
      <c r="CE29" s="250">
        <f t="shared" ca="1" si="32"/>
        <v>0</v>
      </c>
      <c r="CF29" s="250">
        <f t="shared" ca="1" si="32"/>
        <v>0</v>
      </c>
      <c r="CG29" s="250">
        <f t="shared" ca="1" si="32"/>
        <v>0</v>
      </c>
      <c r="CH29" s="250">
        <f t="shared" ca="1" si="32"/>
        <v>0</v>
      </c>
      <c r="CI29" s="250">
        <f t="shared" ca="1" si="32"/>
        <v>0</v>
      </c>
      <c r="CJ29" s="250">
        <f t="shared" ca="1" si="32"/>
        <v>0</v>
      </c>
      <c r="CK29" s="250">
        <f t="shared" ca="1" si="32"/>
        <v>0</v>
      </c>
      <c r="CL29" s="250">
        <f t="shared" ca="1" si="32"/>
        <v>0</v>
      </c>
      <c r="CM29" s="250">
        <f t="shared" ca="1" si="32"/>
        <v>0</v>
      </c>
      <c r="CN29" s="250">
        <f t="shared" ca="1" si="32"/>
        <v>0</v>
      </c>
      <c r="CO29" s="250">
        <f t="shared" ca="1" si="32"/>
        <v>0</v>
      </c>
      <c r="CP29" s="250">
        <f t="shared" ca="1" si="32"/>
        <v>0</v>
      </c>
      <c r="CQ29" s="250">
        <f t="shared" ca="1" si="32"/>
        <v>0</v>
      </c>
      <c r="CR29" s="250">
        <f t="shared" ca="1" si="32"/>
        <v>0</v>
      </c>
      <c r="CS29" s="250">
        <f t="shared" ca="1" si="32"/>
        <v>0</v>
      </c>
      <c r="CT29" s="250">
        <f t="shared" ca="1" si="32"/>
        <v>0</v>
      </c>
      <c r="CU29" s="250">
        <f t="shared" ca="1" si="32"/>
        <v>0</v>
      </c>
      <c r="CV29" s="250">
        <f t="shared" ca="1" si="32"/>
        <v>0</v>
      </c>
      <c r="CW29" s="250">
        <f t="shared" ca="1" si="32"/>
        <v>0</v>
      </c>
      <c r="CX29" s="250">
        <f t="shared" ca="1" si="32"/>
        <v>0</v>
      </c>
      <c r="CY29" s="250">
        <f t="shared" ca="1" si="32"/>
        <v>0</v>
      </c>
      <c r="CZ29" s="250">
        <f t="shared" ca="1" si="32"/>
        <v>0</v>
      </c>
      <c r="DA29" s="250">
        <f t="shared" ca="1" si="32"/>
        <v>0</v>
      </c>
      <c r="DB29" s="250">
        <f t="shared" ca="1" si="32"/>
        <v>0</v>
      </c>
      <c r="DC29" s="250">
        <f t="shared" ca="1" si="32"/>
        <v>0</v>
      </c>
      <c r="DD29" s="250">
        <f t="shared" ca="1" si="32"/>
        <v>0</v>
      </c>
      <c r="DE29" s="250">
        <f t="shared" ca="1" si="32"/>
        <v>0</v>
      </c>
      <c r="DF29" s="250">
        <f t="shared" ca="1" si="32"/>
        <v>0</v>
      </c>
      <c r="DG29" s="250">
        <f t="shared" ca="1" si="32"/>
        <v>0</v>
      </c>
      <c r="DH29" s="250">
        <f t="shared" ca="1" si="32"/>
        <v>0</v>
      </c>
      <c r="DI29" s="250">
        <f t="shared" ca="1" si="32"/>
        <v>0</v>
      </c>
      <c r="DJ29" s="250">
        <f t="shared" ca="1" si="32"/>
        <v>0</v>
      </c>
      <c r="DK29" s="250">
        <f t="shared" ca="1" si="32"/>
        <v>0</v>
      </c>
      <c r="DL29" s="250">
        <f t="shared" ca="1" si="32"/>
        <v>0</v>
      </c>
      <c r="DM29" s="250">
        <f t="shared" ca="1" si="32"/>
        <v>0</v>
      </c>
      <c r="DN29" s="250">
        <f t="shared" ca="1" si="32"/>
        <v>0</v>
      </c>
      <c r="DO29" s="250">
        <f t="shared" ca="1" si="32"/>
        <v>0</v>
      </c>
      <c r="DP29" s="250">
        <f t="shared" ca="1" si="32"/>
        <v>0</v>
      </c>
      <c r="DQ29" s="250">
        <f t="shared" ca="1" si="32"/>
        <v>0</v>
      </c>
      <c r="DR29" s="250">
        <f t="shared" ca="1" si="32"/>
        <v>0</v>
      </c>
      <c r="DS29" s="250">
        <f t="shared" ca="1" si="32"/>
        <v>0</v>
      </c>
      <c r="DT29" s="250">
        <f t="shared" ca="1" si="32"/>
        <v>0</v>
      </c>
      <c r="DU29" s="250">
        <f t="shared" ca="1" si="32"/>
        <v>0</v>
      </c>
      <c r="DV29" s="250">
        <f t="shared" ca="1" si="32"/>
        <v>0</v>
      </c>
      <c r="DW29" s="250">
        <f t="shared" ca="1" si="32"/>
        <v>0</v>
      </c>
      <c r="DX29" s="250">
        <f t="shared" ca="1" si="32"/>
        <v>0</v>
      </c>
      <c r="DY29" s="250">
        <f t="shared" ca="1" si="32"/>
        <v>0</v>
      </c>
      <c r="DZ29" s="250">
        <f t="shared" ca="1" si="32"/>
        <v>0</v>
      </c>
      <c r="EA29" s="250">
        <f t="shared" ca="1" si="32"/>
        <v>0</v>
      </c>
      <c r="EB29" s="250">
        <f t="shared" ca="1" si="32"/>
        <v>0</v>
      </c>
      <c r="EC29" s="250">
        <f t="shared" ref="EC29:EG29" ca="1" si="33">SUM(EC27:EC28)</f>
        <v>0</v>
      </c>
      <c r="ED29" s="250">
        <f t="shared" ca="1" si="33"/>
        <v>0</v>
      </c>
      <c r="EE29" s="250">
        <f t="shared" ca="1" si="33"/>
        <v>0</v>
      </c>
      <c r="EF29" s="250">
        <f t="shared" ca="1" si="33"/>
        <v>0</v>
      </c>
      <c r="EG29" s="250">
        <f t="shared" ca="1" si="33"/>
        <v>0</v>
      </c>
    </row>
    <row r="30" spans="1:137" ht="6.75" customHeight="1" thickTop="1" x14ac:dyDescent="0.3"/>
    <row r="31" spans="1:137" x14ac:dyDescent="0.3">
      <c r="A31" s="700" t="s">
        <v>2470</v>
      </c>
      <c r="BN31" s="228"/>
    </row>
    <row r="32" spans="1:137" x14ac:dyDescent="0.3">
      <c r="A32" t="s">
        <v>2461</v>
      </c>
      <c r="E32" s="227">
        <f t="shared" ref="E32:BP32" si="34">D38</f>
        <v>0</v>
      </c>
      <c r="F32" s="227">
        <f t="shared" si="34"/>
        <v>0</v>
      </c>
      <c r="G32" s="227">
        <f t="shared" ca="1" si="34"/>
        <v>0</v>
      </c>
      <c r="H32" s="227">
        <f t="shared" ca="1" si="34"/>
        <v>0</v>
      </c>
      <c r="I32" s="227">
        <f t="shared" ca="1" si="34"/>
        <v>0</v>
      </c>
      <c r="J32" s="227">
        <f t="shared" ca="1" si="34"/>
        <v>0</v>
      </c>
      <c r="K32" s="227">
        <f t="shared" ca="1" si="34"/>
        <v>0</v>
      </c>
      <c r="L32" s="227">
        <f t="shared" ca="1" si="34"/>
        <v>0</v>
      </c>
      <c r="M32" s="227">
        <f t="shared" ca="1" si="34"/>
        <v>0</v>
      </c>
      <c r="N32" s="227">
        <f t="shared" ca="1" si="34"/>
        <v>0</v>
      </c>
      <c r="O32" s="227">
        <f t="shared" ca="1" si="34"/>
        <v>0</v>
      </c>
      <c r="P32" s="227">
        <f t="shared" ca="1" si="34"/>
        <v>0</v>
      </c>
      <c r="Q32" s="227">
        <f t="shared" ca="1" si="34"/>
        <v>0</v>
      </c>
      <c r="R32" s="227">
        <f t="shared" ca="1" si="34"/>
        <v>0</v>
      </c>
      <c r="S32" s="227">
        <f t="shared" ca="1" si="34"/>
        <v>0</v>
      </c>
      <c r="T32" s="227">
        <f t="shared" ca="1" si="34"/>
        <v>0</v>
      </c>
      <c r="U32" s="227">
        <f t="shared" ca="1" si="34"/>
        <v>0</v>
      </c>
      <c r="V32" s="227">
        <f t="shared" ca="1" si="34"/>
        <v>0</v>
      </c>
      <c r="W32" s="227">
        <f t="shared" ca="1" si="34"/>
        <v>0</v>
      </c>
      <c r="X32" s="227">
        <f t="shared" ca="1" si="34"/>
        <v>0</v>
      </c>
      <c r="Y32" s="227">
        <f t="shared" ca="1" si="34"/>
        <v>0</v>
      </c>
      <c r="Z32" s="227">
        <f t="shared" ca="1" si="34"/>
        <v>0</v>
      </c>
      <c r="AA32" s="227">
        <f t="shared" ca="1" si="34"/>
        <v>0</v>
      </c>
      <c r="AB32" s="227">
        <f t="shared" ca="1" si="34"/>
        <v>0</v>
      </c>
      <c r="AC32" s="227">
        <f t="shared" ca="1" si="34"/>
        <v>0</v>
      </c>
      <c r="AD32" s="227">
        <f t="shared" ca="1" si="34"/>
        <v>0</v>
      </c>
      <c r="AE32" s="227">
        <f t="shared" ca="1" si="34"/>
        <v>0</v>
      </c>
      <c r="AF32" s="227">
        <f t="shared" ca="1" si="34"/>
        <v>0</v>
      </c>
      <c r="AG32" s="227">
        <f t="shared" ca="1" si="34"/>
        <v>0</v>
      </c>
      <c r="AH32" s="227">
        <f t="shared" ca="1" si="34"/>
        <v>0</v>
      </c>
      <c r="AI32" s="227">
        <f t="shared" ca="1" si="34"/>
        <v>0</v>
      </c>
      <c r="AJ32" s="227">
        <f t="shared" ca="1" si="34"/>
        <v>0</v>
      </c>
      <c r="AK32" s="227">
        <f t="shared" ca="1" si="34"/>
        <v>0</v>
      </c>
      <c r="AL32" s="227">
        <f t="shared" ca="1" si="34"/>
        <v>0</v>
      </c>
      <c r="AM32" s="227">
        <f t="shared" ca="1" si="34"/>
        <v>0</v>
      </c>
      <c r="AN32" s="227">
        <f t="shared" ca="1" si="34"/>
        <v>0</v>
      </c>
      <c r="AO32" s="227">
        <f t="shared" ca="1" si="34"/>
        <v>0</v>
      </c>
      <c r="AP32" s="227">
        <f t="shared" ca="1" si="34"/>
        <v>0</v>
      </c>
      <c r="AQ32" s="227">
        <f t="shared" ca="1" si="34"/>
        <v>0</v>
      </c>
      <c r="AR32" s="227">
        <f t="shared" ca="1" si="34"/>
        <v>0</v>
      </c>
      <c r="AS32" s="227">
        <f t="shared" ca="1" si="34"/>
        <v>0</v>
      </c>
      <c r="AT32" s="227">
        <f t="shared" ca="1" si="34"/>
        <v>0</v>
      </c>
      <c r="AU32" s="227">
        <f t="shared" ca="1" si="34"/>
        <v>0</v>
      </c>
      <c r="AV32" s="227">
        <f t="shared" ca="1" si="34"/>
        <v>0</v>
      </c>
      <c r="AW32" s="227">
        <f t="shared" ca="1" si="34"/>
        <v>0</v>
      </c>
      <c r="AX32" s="227">
        <f t="shared" ca="1" si="34"/>
        <v>0</v>
      </c>
      <c r="AY32" s="227">
        <f t="shared" ca="1" si="34"/>
        <v>0</v>
      </c>
      <c r="AZ32" s="227">
        <f t="shared" ca="1" si="34"/>
        <v>0</v>
      </c>
      <c r="BA32" s="227">
        <f t="shared" ca="1" si="34"/>
        <v>0</v>
      </c>
      <c r="BB32" s="227">
        <f t="shared" ca="1" si="34"/>
        <v>0</v>
      </c>
      <c r="BC32" s="227">
        <f t="shared" ca="1" si="34"/>
        <v>0</v>
      </c>
      <c r="BD32" s="227">
        <f t="shared" ca="1" si="34"/>
        <v>0</v>
      </c>
      <c r="BE32" s="227">
        <f t="shared" ca="1" si="34"/>
        <v>0</v>
      </c>
      <c r="BF32" s="227">
        <f t="shared" ca="1" si="34"/>
        <v>0</v>
      </c>
      <c r="BG32" s="227">
        <f t="shared" ca="1" si="34"/>
        <v>0</v>
      </c>
      <c r="BH32" s="227">
        <f t="shared" ca="1" si="34"/>
        <v>0</v>
      </c>
      <c r="BI32" s="227">
        <f t="shared" ca="1" si="34"/>
        <v>0</v>
      </c>
      <c r="BJ32" s="227">
        <f t="shared" ca="1" si="34"/>
        <v>0</v>
      </c>
      <c r="BK32" s="227">
        <f t="shared" ca="1" si="34"/>
        <v>0</v>
      </c>
      <c r="BL32" s="227">
        <f t="shared" ca="1" si="34"/>
        <v>0</v>
      </c>
      <c r="BM32" s="227">
        <f t="shared" ca="1" si="34"/>
        <v>0</v>
      </c>
      <c r="BN32" s="227">
        <f t="shared" ca="1" si="34"/>
        <v>0</v>
      </c>
      <c r="BO32" s="227">
        <f t="shared" ca="1" si="34"/>
        <v>0</v>
      </c>
      <c r="BP32" s="227">
        <f t="shared" ca="1" si="34"/>
        <v>0</v>
      </c>
      <c r="BQ32" s="227">
        <f t="shared" ref="BQ32:EB32" ca="1" si="35">BP38</f>
        <v>0</v>
      </c>
      <c r="BR32" s="227">
        <f t="shared" ca="1" si="35"/>
        <v>0</v>
      </c>
      <c r="BS32" s="227">
        <f t="shared" ca="1" si="35"/>
        <v>0</v>
      </c>
      <c r="BT32" s="227">
        <f t="shared" ca="1" si="35"/>
        <v>0</v>
      </c>
      <c r="BU32" s="227">
        <f t="shared" ca="1" si="35"/>
        <v>0</v>
      </c>
      <c r="BV32" s="227">
        <f t="shared" ca="1" si="35"/>
        <v>0</v>
      </c>
      <c r="BW32" s="227">
        <f t="shared" ca="1" si="35"/>
        <v>0</v>
      </c>
      <c r="BX32" s="227">
        <f t="shared" ca="1" si="35"/>
        <v>0</v>
      </c>
      <c r="BY32" s="227">
        <f t="shared" ca="1" si="35"/>
        <v>0</v>
      </c>
      <c r="BZ32" s="227">
        <f t="shared" ca="1" si="35"/>
        <v>0</v>
      </c>
      <c r="CA32" s="227">
        <f t="shared" ca="1" si="35"/>
        <v>0</v>
      </c>
      <c r="CB32" s="227">
        <f t="shared" ca="1" si="35"/>
        <v>0</v>
      </c>
      <c r="CC32" s="227">
        <f t="shared" ca="1" si="35"/>
        <v>0</v>
      </c>
      <c r="CD32" s="227">
        <f t="shared" ca="1" si="35"/>
        <v>0</v>
      </c>
      <c r="CE32" s="227">
        <f t="shared" ca="1" si="35"/>
        <v>0</v>
      </c>
      <c r="CF32" s="227">
        <f t="shared" ca="1" si="35"/>
        <v>0</v>
      </c>
      <c r="CG32" s="227">
        <f t="shared" ca="1" si="35"/>
        <v>0</v>
      </c>
      <c r="CH32" s="227">
        <f t="shared" ca="1" si="35"/>
        <v>0</v>
      </c>
      <c r="CI32" s="227">
        <f t="shared" ca="1" si="35"/>
        <v>0</v>
      </c>
      <c r="CJ32" s="227">
        <f t="shared" ca="1" si="35"/>
        <v>0</v>
      </c>
      <c r="CK32" s="227">
        <f t="shared" ca="1" si="35"/>
        <v>0</v>
      </c>
      <c r="CL32" s="227">
        <f t="shared" ca="1" si="35"/>
        <v>0</v>
      </c>
      <c r="CM32" s="227">
        <f t="shared" ca="1" si="35"/>
        <v>0</v>
      </c>
      <c r="CN32" s="227">
        <f t="shared" ca="1" si="35"/>
        <v>0</v>
      </c>
      <c r="CO32" s="227">
        <f t="shared" ca="1" si="35"/>
        <v>0</v>
      </c>
      <c r="CP32" s="227">
        <f t="shared" ca="1" si="35"/>
        <v>0</v>
      </c>
      <c r="CQ32" s="227">
        <f t="shared" ca="1" si="35"/>
        <v>0</v>
      </c>
      <c r="CR32" s="227">
        <f t="shared" ca="1" si="35"/>
        <v>0</v>
      </c>
      <c r="CS32" s="227">
        <f t="shared" ca="1" si="35"/>
        <v>0</v>
      </c>
      <c r="CT32" s="227">
        <f t="shared" ca="1" si="35"/>
        <v>0</v>
      </c>
      <c r="CU32" s="227">
        <f t="shared" ca="1" si="35"/>
        <v>0</v>
      </c>
      <c r="CV32" s="227">
        <f t="shared" ca="1" si="35"/>
        <v>0</v>
      </c>
      <c r="CW32" s="227">
        <f t="shared" ca="1" si="35"/>
        <v>0</v>
      </c>
      <c r="CX32" s="227">
        <f t="shared" ca="1" si="35"/>
        <v>0</v>
      </c>
      <c r="CY32" s="227">
        <f t="shared" ca="1" si="35"/>
        <v>0</v>
      </c>
      <c r="CZ32" s="227">
        <f t="shared" ca="1" si="35"/>
        <v>0</v>
      </c>
      <c r="DA32" s="227">
        <f t="shared" ca="1" si="35"/>
        <v>0</v>
      </c>
      <c r="DB32" s="227">
        <f t="shared" ca="1" si="35"/>
        <v>0</v>
      </c>
      <c r="DC32" s="227">
        <f t="shared" ca="1" si="35"/>
        <v>0</v>
      </c>
      <c r="DD32" s="227">
        <f t="shared" ca="1" si="35"/>
        <v>0</v>
      </c>
      <c r="DE32" s="227">
        <f t="shared" ca="1" si="35"/>
        <v>0</v>
      </c>
      <c r="DF32" s="227">
        <f t="shared" ca="1" si="35"/>
        <v>0</v>
      </c>
      <c r="DG32" s="227">
        <f t="shared" ca="1" si="35"/>
        <v>0</v>
      </c>
      <c r="DH32" s="227">
        <f t="shared" ca="1" si="35"/>
        <v>0</v>
      </c>
      <c r="DI32" s="227">
        <f t="shared" ca="1" si="35"/>
        <v>0</v>
      </c>
      <c r="DJ32" s="227">
        <f t="shared" ca="1" si="35"/>
        <v>0</v>
      </c>
      <c r="DK32" s="227">
        <f t="shared" ca="1" si="35"/>
        <v>0</v>
      </c>
      <c r="DL32" s="227">
        <f t="shared" ca="1" si="35"/>
        <v>0</v>
      </c>
      <c r="DM32" s="227">
        <f t="shared" ca="1" si="35"/>
        <v>0</v>
      </c>
      <c r="DN32" s="227">
        <f t="shared" ca="1" si="35"/>
        <v>0</v>
      </c>
      <c r="DO32" s="227">
        <f t="shared" ca="1" si="35"/>
        <v>0</v>
      </c>
      <c r="DP32" s="227">
        <f t="shared" ca="1" si="35"/>
        <v>0</v>
      </c>
      <c r="DQ32" s="227">
        <f t="shared" ca="1" si="35"/>
        <v>0</v>
      </c>
      <c r="DR32" s="227">
        <f t="shared" ca="1" si="35"/>
        <v>0</v>
      </c>
      <c r="DS32" s="227">
        <f t="shared" ca="1" si="35"/>
        <v>0</v>
      </c>
      <c r="DT32" s="227">
        <f t="shared" ca="1" si="35"/>
        <v>0</v>
      </c>
      <c r="DU32" s="227">
        <f t="shared" ca="1" si="35"/>
        <v>0</v>
      </c>
      <c r="DV32" s="227">
        <f t="shared" ca="1" si="35"/>
        <v>0</v>
      </c>
      <c r="DW32" s="227">
        <f t="shared" ca="1" si="35"/>
        <v>0</v>
      </c>
      <c r="DX32" s="227">
        <f t="shared" ca="1" si="35"/>
        <v>0</v>
      </c>
      <c r="DY32" s="227">
        <f t="shared" ca="1" si="35"/>
        <v>0</v>
      </c>
      <c r="DZ32" s="227">
        <f t="shared" ca="1" si="35"/>
        <v>0</v>
      </c>
      <c r="EA32" s="227">
        <f t="shared" ca="1" si="35"/>
        <v>0</v>
      </c>
      <c r="EB32" s="227">
        <f t="shared" ca="1" si="35"/>
        <v>0</v>
      </c>
      <c r="EC32" s="227">
        <f t="shared" ref="EC32:EG32" ca="1" si="36">EB38</f>
        <v>0</v>
      </c>
      <c r="ED32" s="227">
        <f t="shared" ca="1" si="36"/>
        <v>0</v>
      </c>
      <c r="EE32" s="227">
        <f t="shared" ca="1" si="36"/>
        <v>0</v>
      </c>
      <c r="EF32" s="227">
        <f t="shared" ca="1" si="36"/>
        <v>0</v>
      </c>
      <c r="EG32" s="227">
        <f t="shared" ca="1" si="36"/>
        <v>0</v>
      </c>
    </row>
    <row r="33" spans="1:137" x14ac:dyDescent="0.3">
      <c r="A33" t="s">
        <v>2471</v>
      </c>
      <c r="E33" s="229">
        <f>IF(ContrMezz=0,0,'General Inputs'!$I$8)</f>
        <v>0</v>
      </c>
      <c r="F33" s="229">
        <v>0</v>
      </c>
      <c r="G33" s="229">
        <v>0</v>
      </c>
      <c r="H33" s="229">
        <v>0</v>
      </c>
      <c r="I33" s="229">
        <v>0</v>
      </c>
      <c r="J33" s="229">
        <v>0</v>
      </c>
      <c r="K33" s="229">
        <v>0</v>
      </c>
      <c r="L33" s="229">
        <v>0</v>
      </c>
      <c r="M33" s="229">
        <v>0</v>
      </c>
      <c r="N33" s="229">
        <v>0</v>
      </c>
      <c r="O33" s="229">
        <v>0</v>
      </c>
      <c r="P33" s="229">
        <v>0</v>
      </c>
      <c r="Q33" s="229">
        <v>0</v>
      </c>
      <c r="R33" s="229">
        <v>0</v>
      </c>
      <c r="S33" s="229">
        <v>0</v>
      </c>
      <c r="T33" s="229">
        <v>0</v>
      </c>
      <c r="U33" s="229">
        <v>0</v>
      </c>
      <c r="V33" s="229">
        <v>0</v>
      </c>
      <c r="W33" s="229">
        <v>0</v>
      </c>
      <c r="X33" s="229">
        <v>0</v>
      </c>
      <c r="Y33" s="229">
        <v>0</v>
      </c>
      <c r="Z33" s="229">
        <v>0</v>
      </c>
      <c r="AA33" s="229">
        <v>0</v>
      </c>
      <c r="AB33" s="229">
        <v>0</v>
      </c>
      <c r="AC33" s="229">
        <v>0</v>
      </c>
      <c r="AD33" s="229">
        <v>0</v>
      </c>
      <c r="AE33" s="229">
        <v>0</v>
      </c>
      <c r="AF33" s="229">
        <v>0</v>
      </c>
      <c r="AG33" s="229">
        <v>0</v>
      </c>
      <c r="AH33" s="229">
        <v>0</v>
      </c>
      <c r="AI33" s="229">
        <v>0</v>
      </c>
      <c r="AJ33" s="229">
        <v>0</v>
      </c>
      <c r="AK33" s="229">
        <v>0</v>
      </c>
      <c r="AL33" s="229">
        <v>0</v>
      </c>
      <c r="AM33" s="229">
        <v>0</v>
      </c>
      <c r="AN33" s="229">
        <v>0</v>
      </c>
      <c r="AO33" s="229">
        <v>0</v>
      </c>
      <c r="AP33" s="229">
        <v>0</v>
      </c>
      <c r="AQ33" s="229">
        <v>0</v>
      </c>
      <c r="AR33" s="229">
        <v>0</v>
      </c>
      <c r="AS33" s="229">
        <v>0</v>
      </c>
      <c r="AT33" s="229">
        <v>0</v>
      </c>
      <c r="AU33" s="229">
        <v>0</v>
      </c>
      <c r="AV33" s="229">
        <v>0</v>
      </c>
      <c r="AW33" s="229">
        <v>0</v>
      </c>
      <c r="AX33" s="229">
        <v>0</v>
      </c>
      <c r="AY33" s="229">
        <v>0</v>
      </c>
      <c r="AZ33" s="229">
        <v>0</v>
      </c>
      <c r="BA33" s="229">
        <v>0</v>
      </c>
      <c r="BB33" s="229">
        <v>0</v>
      </c>
      <c r="BC33" s="229">
        <v>0</v>
      </c>
      <c r="BD33" s="229">
        <v>0</v>
      </c>
      <c r="BE33" s="229">
        <v>0</v>
      </c>
      <c r="BF33" s="229">
        <v>0</v>
      </c>
      <c r="BG33" s="229">
        <v>0</v>
      </c>
      <c r="BH33" s="229">
        <v>0</v>
      </c>
      <c r="BI33" s="229">
        <v>0</v>
      </c>
      <c r="BJ33" s="229">
        <v>0</v>
      </c>
      <c r="BK33" s="229">
        <v>0</v>
      </c>
      <c r="BL33" s="229">
        <v>0</v>
      </c>
      <c r="BM33" s="229">
        <v>0</v>
      </c>
      <c r="BN33" s="229">
        <v>0</v>
      </c>
      <c r="BO33" s="229">
        <v>0</v>
      </c>
      <c r="BP33" s="229">
        <v>0</v>
      </c>
      <c r="BQ33" s="229">
        <v>0</v>
      </c>
      <c r="BR33" s="229">
        <v>0</v>
      </c>
      <c r="BS33" s="229">
        <v>0</v>
      </c>
      <c r="BT33" s="229">
        <v>0</v>
      </c>
      <c r="BU33" s="229">
        <v>0</v>
      </c>
      <c r="BV33" s="229">
        <v>0</v>
      </c>
      <c r="BW33" s="229">
        <v>0</v>
      </c>
      <c r="BX33" s="229">
        <v>0</v>
      </c>
      <c r="BY33" s="229">
        <v>0</v>
      </c>
      <c r="BZ33" s="229">
        <v>0</v>
      </c>
      <c r="CA33" s="229">
        <v>0</v>
      </c>
      <c r="CB33" s="229">
        <v>0</v>
      </c>
      <c r="CC33" s="229">
        <v>0</v>
      </c>
      <c r="CD33" s="229">
        <v>0</v>
      </c>
      <c r="CE33" s="229">
        <v>0</v>
      </c>
      <c r="CF33" s="229">
        <v>0</v>
      </c>
      <c r="CG33" s="229">
        <v>0</v>
      </c>
      <c r="CH33" s="229">
        <v>0</v>
      </c>
      <c r="CI33" s="229">
        <v>0</v>
      </c>
      <c r="CJ33" s="229">
        <v>0</v>
      </c>
      <c r="CK33" s="229">
        <v>0</v>
      </c>
      <c r="CL33" s="229">
        <v>0</v>
      </c>
      <c r="CM33" s="229">
        <v>0</v>
      </c>
      <c r="CN33" s="229">
        <v>0</v>
      </c>
      <c r="CO33" s="229">
        <v>0</v>
      </c>
      <c r="CP33" s="229">
        <v>0</v>
      </c>
      <c r="CQ33" s="229">
        <v>0</v>
      </c>
      <c r="CR33" s="229">
        <v>0</v>
      </c>
      <c r="CS33" s="229">
        <v>0</v>
      </c>
      <c r="CT33" s="229">
        <v>0</v>
      </c>
      <c r="CU33" s="229">
        <v>0</v>
      </c>
      <c r="CV33" s="229">
        <v>0</v>
      </c>
      <c r="CW33" s="229">
        <v>0</v>
      </c>
      <c r="CX33" s="229">
        <v>0</v>
      </c>
      <c r="CY33" s="229">
        <v>0</v>
      </c>
      <c r="CZ33" s="229">
        <v>0</v>
      </c>
      <c r="DA33" s="229">
        <v>0</v>
      </c>
      <c r="DB33" s="229">
        <v>0</v>
      </c>
      <c r="DC33" s="229">
        <v>0</v>
      </c>
      <c r="DD33" s="229">
        <v>0</v>
      </c>
      <c r="DE33" s="229">
        <v>0</v>
      </c>
      <c r="DF33" s="229">
        <v>0</v>
      </c>
      <c r="DG33" s="229">
        <v>0</v>
      </c>
      <c r="DH33" s="229">
        <v>0</v>
      </c>
      <c r="DI33" s="229">
        <v>0</v>
      </c>
      <c r="DJ33" s="229">
        <v>0</v>
      </c>
      <c r="DK33" s="229">
        <v>0</v>
      </c>
      <c r="DL33" s="229">
        <v>0</v>
      </c>
      <c r="DM33" s="229">
        <v>0</v>
      </c>
      <c r="DN33" s="229">
        <v>0</v>
      </c>
      <c r="DO33" s="229">
        <v>0</v>
      </c>
      <c r="DP33" s="229">
        <v>0</v>
      </c>
      <c r="DQ33" s="229">
        <v>0</v>
      </c>
      <c r="DR33" s="229">
        <v>0</v>
      </c>
      <c r="DS33" s="229">
        <v>0</v>
      </c>
      <c r="DT33" s="229">
        <v>0</v>
      </c>
      <c r="DU33" s="229">
        <v>0</v>
      </c>
      <c r="DV33" s="229">
        <v>0</v>
      </c>
      <c r="DW33" s="229">
        <v>0</v>
      </c>
      <c r="DX33" s="229">
        <v>0</v>
      </c>
      <c r="DY33" s="229">
        <v>0</v>
      </c>
      <c r="DZ33" s="229">
        <v>0</v>
      </c>
      <c r="EA33" s="229">
        <v>0</v>
      </c>
      <c r="EB33" s="229">
        <v>0</v>
      </c>
      <c r="EC33" s="229">
        <v>0</v>
      </c>
      <c r="ED33" s="229">
        <v>0</v>
      </c>
      <c r="EE33" s="229">
        <v>0</v>
      </c>
      <c r="EF33" s="229">
        <v>0</v>
      </c>
      <c r="EG33" s="229">
        <v>0</v>
      </c>
    </row>
    <row r="34" spans="1:137" x14ac:dyDescent="0.3">
      <c r="A34" s="241" t="s">
        <v>2468</v>
      </c>
      <c r="B34" s="241"/>
      <c r="C34" s="241"/>
      <c r="D34" s="687"/>
      <c r="E34" s="242">
        <v>0</v>
      </c>
      <c r="F34" s="242">
        <f ca="1">IF(F$5&lt;=MonthRefi,IF(AND('General Inputs'!$I$16&gt;0,Waterfalls!F5&lt;='General Inputs'!$I$16),0,IF(-PPMT('General Inputs'!$I$14/12,F$5-'General Inputs'!$I$16,'General Inputs'!$I$13*12,'General Inputs'!$I$8)&gt;F32,-F32,PPMT('General Inputs'!$I$14/12,F$5-'General Inputs'!$I$16,'General Inputs'!$I$13*12,'General Inputs'!$I$8))),
IF(AND('General Inputs'!$O$16&gt;0,Waterfalls!F5&lt;=MonthRefi+'General Inputs'!$O$16),0,IF(-PPMT('General Inputs'!$O$14/12,F$5-MonthRefi-'General Inputs'!$O$16,'General Inputs'!$O$13*12,'General Inputs'!$O$8)&gt;F32,-F32,PPMT('General Inputs'!$O$14/12,F$5-MonthRefi-'General Inputs'!$O$16,'General Inputs'!$O$13*12,'General Inputs'!$O$8))))</f>
        <v>0</v>
      </c>
      <c r="G34" s="242">
        <f ca="1">IF(G$5&lt;=MonthRefi,IF(AND('General Inputs'!$I$16&gt;0,Waterfalls!G5&lt;='General Inputs'!$I$16),0,IF(-PPMT('General Inputs'!$I$14/12,G$5-'General Inputs'!$I$16,'General Inputs'!$I$13*12,'General Inputs'!$I$8)&gt;G32,-G32,PPMT('General Inputs'!$I$14/12,G$5-'General Inputs'!$I$16,'General Inputs'!$I$13*12,'General Inputs'!$I$8))),
IF(AND('General Inputs'!$O$16&gt;0,Waterfalls!G5&lt;=MonthRefi+'General Inputs'!$O$16),0,IF(-PPMT('General Inputs'!$O$14/12,G$5-MonthRefi-'General Inputs'!$O$16,'General Inputs'!$O$13*12,'General Inputs'!$O$8)&gt;G32,-G32,PPMT('General Inputs'!$O$14/12,G$5-MonthRefi-'General Inputs'!$O$16,'General Inputs'!$O$13*12,'General Inputs'!$O$8))))</f>
        <v>0</v>
      </c>
      <c r="H34" s="242">
        <f ca="1">IF(H$5&lt;=MonthRefi,IF(AND('General Inputs'!$I$16&gt;0,Waterfalls!H5&lt;='General Inputs'!$I$16),0,IF(-PPMT('General Inputs'!$I$14/12,H$5-'General Inputs'!$I$16,'General Inputs'!$I$13*12,'General Inputs'!$I$8)&gt;H32,-H32,PPMT('General Inputs'!$I$14/12,H$5-'General Inputs'!$I$16,'General Inputs'!$I$13*12,'General Inputs'!$I$8))),
IF(AND('General Inputs'!$O$16&gt;0,Waterfalls!H5&lt;=MonthRefi+'General Inputs'!$O$16),0,IF(-PPMT('General Inputs'!$O$14/12,H$5-MonthRefi-'General Inputs'!$O$16,'General Inputs'!$O$13*12,'General Inputs'!$O$8)&gt;H32,-H32,PPMT('General Inputs'!$O$14/12,H$5-MonthRefi-'General Inputs'!$O$16,'General Inputs'!$O$13*12,'General Inputs'!$O$8))))</f>
        <v>0</v>
      </c>
      <c r="I34" s="242">
        <f ca="1">IF(I$5&lt;=MonthRefi,IF(AND('General Inputs'!$I$16&gt;0,Waterfalls!I5&lt;='General Inputs'!$I$16),0,IF(-PPMT('General Inputs'!$I$14/12,I$5-'General Inputs'!$I$16,'General Inputs'!$I$13*12,'General Inputs'!$I$8)&gt;I32,-I32,PPMT('General Inputs'!$I$14/12,I$5-'General Inputs'!$I$16,'General Inputs'!$I$13*12,'General Inputs'!$I$8))),
IF(AND('General Inputs'!$O$16&gt;0,Waterfalls!I5&lt;=MonthRefi+'General Inputs'!$O$16),0,IF(-PPMT('General Inputs'!$O$14/12,I$5-MonthRefi-'General Inputs'!$O$16,'General Inputs'!$O$13*12,'General Inputs'!$O$8)&gt;I32,-I32,PPMT('General Inputs'!$O$14/12,I$5-MonthRefi-'General Inputs'!$O$16,'General Inputs'!$O$13*12,'General Inputs'!$O$8))))</f>
        <v>0</v>
      </c>
      <c r="J34" s="242">
        <f ca="1">IF(J$5&lt;=MonthRefi,IF(AND('General Inputs'!$I$16&gt;0,Waterfalls!J5&lt;='General Inputs'!$I$16),0,IF(-PPMT('General Inputs'!$I$14/12,J$5-'General Inputs'!$I$16,'General Inputs'!$I$13*12,'General Inputs'!$I$8)&gt;J32,-J32,PPMT('General Inputs'!$I$14/12,J$5-'General Inputs'!$I$16,'General Inputs'!$I$13*12,'General Inputs'!$I$8))),
IF(AND('General Inputs'!$O$16&gt;0,Waterfalls!J5&lt;=MonthRefi+'General Inputs'!$O$16),0,IF(-PPMT('General Inputs'!$O$14/12,J$5-MonthRefi-'General Inputs'!$O$16,'General Inputs'!$O$13*12,'General Inputs'!$O$8)&gt;J32,-J32,PPMT('General Inputs'!$O$14/12,J$5-MonthRefi-'General Inputs'!$O$16,'General Inputs'!$O$13*12,'General Inputs'!$O$8))))</f>
        <v>0</v>
      </c>
      <c r="K34" s="242">
        <f ca="1">IF(K$5&lt;=MonthRefi,IF(AND('General Inputs'!$I$16&gt;0,Waterfalls!K5&lt;='General Inputs'!$I$16),0,IF(-PPMT('General Inputs'!$I$14/12,K$5-'General Inputs'!$I$16,'General Inputs'!$I$13*12,'General Inputs'!$I$8)&gt;K32,-K32,PPMT('General Inputs'!$I$14/12,K$5-'General Inputs'!$I$16,'General Inputs'!$I$13*12,'General Inputs'!$I$8))),
IF(AND('General Inputs'!$O$16&gt;0,Waterfalls!K5&lt;=MonthRefi+'General Inputs'!$O$16),0,IF(-PPMT('General Inputs'!$O$14/12,K$5-MonthRefi-'General Inputs'!$O$16,'General Inputs'!$O$13*12,'General Inputs'!$O$8)&gt;K32,-K32,PPMT('General Inputs'!$O$14/12,K$5-MonthRefi-'General Inputs'!$O$16,'General Inputs'!$O$13*12,'General Inputs'!$O$8))))</f>
        <v>0</v>
      </c>
      <c r="L34" s="242">
        <f ca="1">IF(L$5&lt;=MonthRefi,IF(AND('General Inputs'!$I$16&gt;0,Waterfalls!L5&lt;='General Inputs'!$I$16),0,IF(-PPMT('General Inputs'!$I$14/12,L$5-'General Inputs'!$I$16,'General Inputs'!$I$13*12,'General Inputs'!$I$8)&gt;L32,-L32,PPMT('General Inputs'!$I$14/12,L$5-'General Inputs'!$I$16,'General Inputs'!$I$13*12,'General Inputs'!$I$8))),
IF(AND('General Inputs'!$O$16&gt;0,Waterfalls!L5&lt;=MonthRefi+'General Inputs'!$O$16),0,IF(-PPMT('General Inputs'!$O$14/12,L$5-MonthRefi-'General Inputs'!$O$16,'General Inputs'!$O$13*12,'General Inputs'!$O$8)&gt;L32,-L32,PPMT('General Inputs'!$O$14/12,L$5-MonthRefi-'General Inputs'!$O$16,'General Inputs'!$O$13*12,'General Inputs'!$O$8))))</f>
        <v>0</v>
      </c>
      <c r="M34" s="242">
        <f ca="1">IF(M$5&lt;=MonthRefi,IF(AND('General Inputs'!$I$16&gt;0,Waterfalls!M5&lt;='General Inputs'!$I$16),0,IF(-PPMT('General Inputs'!$I$14/12,M$5-'General Inputs'!$I$16,'General Inputs'!$I$13*12,'General Inputs'!$I$8)&gt;M32,-M32,PPMT('General Inputs'!$I$14/12,M$5-'General Inputs'!$I$16,'General Inputs'!$I$13*12,'General Inputs'!$I$8))),
IF(AND('General Inputs'!$O$16&gt;0,Waterfalls!M5&lt;=MonthRefi+'General Inputs'!$O$16),0,IF(-PPMT('General Inputs'!$O$14/12,M$5-MonthRefi-'General Inputs'!$O$16,'General Inputs'!$O$13*12,'General Inputs'!$O$8)&gt;M32,-M32,PPMT('General Inputs'!$O$14/12,M$5-MonthRefi-'General Inputs'!$O$16,'General Inputs'!$O$13*12,'General Inputs'!$O$8))))</f>
        <v>0</v>
      </c>
      <c r="N34" s="242">
        <f ca="1">IF(N$5&lt;=MonthRefi,IF(AND('General Inputs'!$I$16&gt;0,Waterfalls!N5&lt;='General Inputs'!$I$16),0,IF(-PPMT('General Inputs'!$I$14/12,N$5-'General Inputs'!$I$16,'General Inputs'!$I$13*12,'General Inputs'!$I$8)&gt;N32,-N32,PPMT('General Inputs'!$I$14/12,N$5-'General Inputs'!$I$16,'General Inputs'!$I$13*12,'General Inputs'!$I$8))),
IF(AND('General Inputs'!$O$16&gt;0,Waterfalls!N5&lt;=MonthRefi+'General Inputs'!$O$16),0,IF(-PPMT('General Inputs'!$O$14/12,N$5-MonthRefi-'General Inputs'!$O$16,'General Inputs'!$O$13*12,'General Inputs'!$O$8)&gt;N32,-N32,PPMT('General Inputs'!$O$14/12,N$5-MonthRefi-'General Inputs'!$O$16,'General Inputs'!$O$13*12,'General Inputs'!$O$8))))</f>
        <v>0</v>
      </c>
      <c r="O34" s="242">
        <f ca="1">IF(O$5&lt;=MonthRefi,IF(AND('General Inputs'!$I$16&gt;0,Waterfalls!O5&lt;='General Inputs'!$I$16),0,IF(-PPMT('General Inputs'!$I$14/12,O$5-'General Inputs'!$I$16,'General Inputs'!$I$13*12,'General Inputs'!$I$8)&gt;O32,-O32,PPMT('General Inputs'!$I$14/12,O$5-'General Inputs'!$I$16,'General Inputs'!$I$13*12,'General Inputs'!$I$8))),
IF(AND('General Inputs'!$O$16&gt;0,Waterfalls!O5&lt;=MonthRefi+'General Inputs'!$O$16),0,IF(-PPMT('General Inputs'!$O$14/12,O$5-MonthRefi-'General Inputs'!$O$16,'General Inputs'!$O$13*12,'General Inputs'!$O$8)&gt;O32,-O32,PPMT('General Inputs'!$O$14/12,O$5-MonthRefi-'General Inputs'!$O$16,'General Inputs'!$O$13*12,'General Inputs'!$O$8))))</f>
        <v>0</v>
      </c>
      <c r="P34" s="242">
        <f ca="1">IF(P$5&lt;=MonthRefi,IF(AND('General Inputs'!$I$16&gt;0,Waterfalls!P5&lt;='General Inputs'!$I$16),0,IF(-PPMT('General Inputs'!$I$14/12,P$5-'General Inputs'!$I$16,'General Inputs'!$I$13*12,'General Inputs'!$I$8)&gt;P32,-P32,PPMT('General Inputs'!$I$14/12,P$5-'General Inputs'!$I$16,'General Inputs'!$I$13*12,'General Inputs'!$I$8))),
IF(AND('General Inputs'!$O$16&gt;0,Waterfalls!P5&lt;=MonthRefi+'General Inputs'!$O$16),0,IF(-PPMT('General Inputs'!$O$14/12,P$5-MonthRefi-'General Inputs'!$O$16,'General Inputs'!$O$13*12,'General Inputs'!$O$8)&gt;P32,-P32,PPMT('General Inputs'!$O$14/12,P$5-MonthRefi-'General Inputs'!$O$16,'General Inputs'!$O$13*12,'General Inputs'!$O$8))))</f>
        <v>0</v>
      </c>
      <c r="Q34" s="242">
        <f ca="1">IF(Q$5&lt;=MonthRefi,IF(AND('General Inputs'!$I$16&gt;0,Waterfalls!Q5&lt;='General Inputs'!$I$16),0,IF(-PPMT('General Inputs'!$I$14/12,Q$5-'General Inputs'!$I$16,'General Inputs'!$I$13*12,'General Inputs'!$I$8)&gt;Q32,-Q32,PPMT('General Inputs'!$I$14/12,Q$5-'General Inputs'!$I$16,'General Inputs'!$I$13*12,'General Inputs'!$I$8))),
IF(AND('General Inputs'!$O$16&gt;0,Waterfalls!Q5&lt;=MonthRefi+'General Inputs'!$O$16),0,IF(-PPMT('General Inputs'!$O$14/12,Q$5-MonthRefi-'General Inputs'!$O$16,'General Inputs'!$O$13*12,'General Inputs'!$O$8)&gt;Q32,-Q32,PPMT('General Inputs'!$O$14/12,Q$5-MonthRefi-'General Inputs'!$O$16,'General Inputs'!$O$13*12,'General Inputs'!$O$8))))</f>
        <v>0</v>
      </c>
      <c r="R34" s="242">
        <f ca="1">IF(R$5&lt;=MonthRefi,IF(AND('General Inputs'!$I$16&gt;0,Waterfalls!R5&lt;='General Inputs'!$I$16),0,IF(-PPMT('General Inputs'!$I$14/12,R$5-'General Inputs'!$I$16,'General Inputs'!$I$13*12,'General Inputs'!$I$8)&gt;R32,-R32,PPMT('General Inputs'!$I$14/12,R$5-'General Inputs'!$I$16,'General Inputs'!$I$13*12,'General Inputs'!$I$8))),
IF(AND('General Inputs'!$O$16&gt;0,Waterfalls!R5&lt;=MonthRefi+'General Inputs'!$O$16),0,IF(-PPMT('General Inputs'!$O$14/12,R$5-MonthRefi-'General Inputs'!$O$16,'General Inputs'!$O$13*12,'General Inputs'!$O$8)&gt;R32,-R32,PPMT('General Inputs'!$O$14/12,R$5-MonthRefi-'General Inputs'!$O$16,'General Inputs'!$O$13*12,'General Inputs'!$O$8))))</f>
        <v>0</v>
      </c>
      <c r="S34" s="242">
        <f ca="1">IF(S$5&lt;=MonthRefi,IF(AND('General Inputs'!$I$16&gt;0,Waterfalls!S5&lt;='General Inputs'!$I$16),0,IF(-PPMT('General Inputs'!$I$14/12,S$5-'General Inputs'!$I$16,'General Inputs'!$I$13*12,'General Inputs'!$I$8)&gt;S32,-S32,PPMT('General Inputs'!$I$14/12,S$5-'General Inputs'!$I$16,'General Inputs'!$I$13*12,'General Inputs'!$I$8))),
IF(AND('General Inputs'!$O$16&gt;0,Waterfalls!S5&lt;=MonthRefi+'General Inputs'!$O$16),0,IF(-PPMT('General Inputs'!$O$14/12,S$5-MonthRefi-'General Inputs'!$O$16,'General Inputs'!$O$13*12,'General Inputs'!$O$8)&gt;S32,-S32,PPMT('General Inputs'!$O$14/12,S$5-MonthRefi-'General Inputs'!$O$16,'General Inputs'!$O$13*12,'General Inputs'!$O$8))))</f>
        <v>0</v>
      </c>
      <c r="T34" s="242">
        <f ca="1">IF(T$5&lt;=MonthRefi,IF(AND('General Inputs'!$I$16&gt;0,Waterfalls!T5&lt;='General Inputs'!$I$16),0,IF(-PPMT('General Inputs'!$I$14/12,T$5-'General Inputs'!$I$16,'General Inputs'!$I$13*12,'General Inputs'!$I$8)&gt;T32,-T32,PPMT('General Inputs'!$I$14/12,T$5-'General Inputs'!$I$16,'General Inputs'!$I$13*12,'General Inputs'!$I$8))),
IF(AND('General Inputs'!$O$16&gt;0,Waterfalls!T5&lt;=MonthRefi+'General Inputs'!$O$16),0,IF(-PPMT('General Inputs'!$O$14/12,T$5-MonthRefi-'General Inputs'!$O$16,'General Inputs'!$O$13*12,'General Inputs'!$O$8)&gt;T32,-T32,PPMT('General Inputs'!$O$14/12,T$5-MonthRefi-'General Inputs'!$O$16,'General Inputs'!$O$13*12,'General Inputs'!$O$8))))</f>
        <v>0</v>
      </c>
      <c r="U34" s="242">
        <f ca="1">IF(U$5&lt;=MonthRefi,IF(AND('General Inputs'!$I$16&gt;0,Waterfalls!U5&lt;='General Inputs'!$I$16),0,IF(-PPMT('General Inputs'!$I$14/12,U$5-'General Inputs'!$I$16,'General Inputs'!$I$13*12,'General Inputs'!$I$8)&gt;U32,-U32,PPMT('General Inputs'!$I$14/12,U$5-'General Inputs'!$I$16,'General Inputs'!$I$13*12,'General Inputs'!$I$8))),
IF(AND('General Inputs'!$O$16&gt;0,Waterfalls!U5&lt;=MonthRefi+'General Inputs'!$O$16),0,IF(-PPMT('General Inputs'!$O$14/12,U$5-MonthRefi-'General Inputs'!$O$16,'General Inputs'!$O$13*12,'General Inputs'!$O$8)&gt;U32,-U32,PPMT('General Inputs'!$O$14/12,U$5-MonthRefi-'General Inputs'!$O$16,'General Inputs'!$O$13*12,'General Inputs'!$O$8))))</f>
        <v>0</v>
      </c>
      <c r="V34" s="242">
        <f ca="1">IF(V$5&lt;=MonthRefi,IF(AND('General Inputs'!$I$16&gt;0,Waterfalls!V5&lt;='General Inputs'!$I$16),0,IF(-PPMT('General Inputs'!$I$14/12,V$5-'General Inputs'!$I$16,'General Inputs'!$I$13*12,'General Inputs'!$I$8)&gt;V32,-V32,PPMT('General Inputs'!$I$14/12,V$5-'General Inputs'!$I$16,'General Inputs'!$I$13*12,'General Inputs'!$I$8))),
IF(AND('General Inputs'!$O$16&gt;0,Waterfalls!V5&lt;=MonthRefi+'General Inputs'!$O$16),0,IF(-PPMT('General Inputs'!$O$14/12,V$5-MonthRefi-'General Inputs'!$O$16,'General Inputs'!$O$13*12,'General Inputs'!$O$8)&gt;V32,-V32,PPMT('General Inputs'!$O$14/12,V$5-MonthRefi-'General Inputs'!$O$16,'General Inputs'!$O$13*12,'General Inputs'!$O$8))))</f>
        <v>0</v>
      </c>
      <c r="W34" s="242">
        <f ca="1">IF(W$5&lt;=MonthRefi,IF(AND('General Inputs'!$I$16&gt;0,Waterfalls!W5&lt;='General Inputs'!$I$16),0,IF(-PPMT('General Inputs'!$I$14/12,W$5-'General Inputs'!$I$16,'General Inputs'!$I$13*12,'General Inputs'!$I$8)&gt;W32,-W32,PPMT('General Inputs'!$I$14/12,W$5-'General Inputs'!$I$16,'General Inputs'!$I$13*12,'General Inputs'!$I$8))),
IF(AND('General Inputs'!$O$16&gt;0,Waterfalls!W5&lt;=MonthRefi+'General Inputs'!$O$16),0,IF(-PPMT('General Inputs'!$O$14/12,W$5-MonthRefi-'General Inputs'!$O$16,'General Inputs'!$O$13*12,'General Inputs'!$O$8)&gt;W32,-W32,PPMT('General Inputs'!$O$14/12,W$5-MonthRefi-'General Inputs'!$O$16,'General Inputs'!$O$13*12,'General Inputs'!$O$8))))</f>
        <v>0</v>
      </c>
      <c r="X34" s="242">
        <f ca="1">IF(X$5&lt;=MonthRefi,IF(AND('General Inputs'!$I$16&gt;0,Waterfalls!X5&lt;='General Inputs'!$I$16),0,IF(-PPMT('General Inputs'!$I$14/12,X$5-'General Inputs'!$I$16,'General Inputs'!$I$13*12,'General Inputs'!$I$8)&gt;X32,-X32,PPMT('General Inputs'!$I$14/12,X$5-'General Inputs'!$I$16,'General Inputs'!$I$13*12,'General Inputs'!$I$8))),
IF(AND('General Inputs'!$O$16&gt;0,Waterfalls!X5&lt;=MonthRefi+'General Inputs'!$O$16),0,IF(-PPMT('General Inputs'!$O$14/12,X$5-MonthRefi-'General Inputs'!$O$16,'General Inputs'!$O$13*12,'General Inputs'!$O$8)&gt;X32,-X32,PPMT('General Inputs'!$O$14/12,X$5-MonthRefi-'General Inputs'!$O$16,'General Inputs'!$O$13*12,'General Inputs'!$O$8))))</f>
        <v>0</v>
      </c>
      <c r="Y34" s="242">
        <f ca="1">IF(Y$5&lt;=MonthRefi,IF(AND('General Inputs'!$I$16&gt;0,Waterfalls!Y5&lt;='General Inputs'!$I$16),0,IF(-PPMT('General Inputs'!$I$14/12,Y$5-'General Inputs'!$I$16,'General Inputs'!$I$13*12,'General Inputs'!$I$8)&gt;Y32,-Y32,PPMT('General Inputs'!$I$14/12,Y$5-'General Inputs'!$I$16,'General Inputs'!$I$13*12,'General Inputs'!$I$8))),
IF(AND('General Inputs'!$O$16&gt;0,Waterfalls!Y5&lt;=MonthRefi+'General Inputs'!$O$16),0,IF(-PPMT('General Inputs'!$O$14/12,Y$5-MonthRefi-'General Inputs'!$O$16,'General Inputs'!$O$13*12,'General Inputs'!$O$8)&gt;Y32,-Y32,PPMT('General Inputs'!$O$14/12,Y$5-MonthRefi-'General Inputs'!$O$16,'General Inputs'!$O$13*12,'General Inputs'!$O$8))))</f>
        <v>0</v>
      </c>
      <c r="Z34" s="242">
        <f ca="1">IF(Z$5&lt;=MonthRefi,IF(AND('General Inputs'!$I$16&gt;0,Waterfalls!Z5&lt;='General Inputs'!$I$16),0,IF(-PPMT('General Inputs'!$I$14/12,Z$5-'General Inputs'!$I$16,'General Inputs'!$I$13*12,'General Inputs'!$I$8)&gt;Z32,-Z32,PPMT('General Inputs'!$I$14/12,Z$5-'General Inputs'!$I$16,'General Inputs'!$I$13*12,'General Inputs'!$I$8))),
IF(AND('General Inputs'!$O$16&gt;0,Waterfalls!Z5&lt;=MonthRefi+'General Inputs'!$O$16),0,IF(-PPMT('General Inputs'!$O$14/12,Z$5-MonthRefi-'General Inputs'!$O$16,'General Inputs'!$O$13*12,'General Inputs'!$O$8)&gt;Z32,-Z32,PPMT('General Inputs'!$O$14/12,Z$5-MonthRefi-'General Inputs'!$O$16,'General Inputs'!$O$13*12,'General Inputs'!$O$8))))</f>
        <v>0</v>
      </c>
      <c r="AA34" s="242">
        <f ca="1">IF(AA$5&lt;=MonthRefi,IF(AND('General Inputs'!$I$16&gt;0,Waterfalls!AA5&lt;='General Inputs'!$I$16),0,IF(-PPMT('General Inputs'!$I$14/12,AA$5-'General Inputs'!$I$16,'General Inputs'!$I$13*12,'General Inputs'!$I$8)&gt;AA32,-AA32,PPMT('General Inputs'!$I$14/12,AA$5-'General Inputs'!$I$16,'General Inputs'!$I$13*12,'General Inputs'!$I$8))),
IF(AND('General Inputs'!$O$16&gt;0,Waterfalls!AA5&lt;=MonthRefi+'General Inputs'!$O$16),0,IF(-PPMT('General Inputs'!$O$14/12,AA$5-MonthRefi-'General Inputs'!$O$16,'General Inputs'!$O$13*12,'General Inputs'!$O$8)&gt;AA32,-AA32,PPMT('General Inputs'!$O$14/12,AA$5-MonthRefi-'General Inputs'!$O$16,'General Inputs'!$O$13*12,'General Inputs'!$O$8))))</f>
        <v>0</v>
      </c>
      <c r="AB34" s="242">
        <f ca="1">IF(AB$5&lt;=MonthRefi,IF(AND('General Inputs'!$I$16&gt;0,Waterfalls!AB5&lt;='General Inputs'!$I$16),0,IF(-PPMT('General Inputs'!$I$14/12,AB$5-'General Inputs'!$I$16,'General Inputs'!$I$13*12,'General Inputs'!$I$8)&gt;AB32,-AB32,PPMT('General Inputs'!$I$14/12,AB$5-'General Inputs'!$I$16,'General Inputs'!$I$13*12,'General Inputs'!$I$8))),
IF(AND('General Inputs'!$O$16&gt;0,Waterfalls!AB5&lt;=MonthRefi+'General Inputs'!$O$16),0,IF(-PPMT('General Inputs'!$O$14/12,AB$5-MonthRefi-'General Inputs'!$O$16,'General Inputs'!$O$13*12,'General Inputs'!$O$8)&gt;AB32,-AB32,PPMT('General Inputs'!$O$14/12,AB$5-MonthRefi-'General Inputs'!$O$16,'General Inputs'!$O$13*12,'General Inputs'!$O$8))))</f>
        <v>0</v>
      </c>
      <c r="AC34" s="242">
        <f ca="1">IF(AC$5&lt;=MonthRefi,IF(AND('General Inputs'!$I$16&gt;0,Waterfalls!AC5&lt;='General Inputs'!$I$16),0,IF(-PPMT('General Inputs'!$I$14/12,AC$5-'General Inputs'!$I$16,'General Inputs'!$I$13*12,'General Inputs'!$I$8)&gt;AC32,-AC32,PPMT('General Inputs'!$I$14/12,AC$5-'General Inputs'!$I$16,'General Inputs'!$I$13*12,'General Inputs'!$I$8))),
IF(AND('General Inputs'!$O$16&gt;0,Waterfalls!AC5&lt;=MonthRefi+'General Inputs'!$O$16),0,IF(-PPMT('General Inputs'!$O$14/12,AC$5-MonthRefi-'General Inputs'!$O$16,'General Inputs'!$O$13*12,'General Inputs'!$O$8)&gt;AC32,-AC32,PPMT('General Inputs'!$O$14/12,AC$5-MonthRefi-'General Inputs'!$O$16,'General Inputs'!$O$13*12,'General Inputs'!$O$8))))</f>
        <v>0</v>
      </c>
      <c r="AD34" s="242">
        <f ca="1">IF(AD$5&lt;=MonthRefi,IF(AND('General Inputs'!$I$16&gt;0,Waterfalls!AD5&lt;='General Inputs'!$I$16),0,IF(-PPMT('General Inputs'!$I$14/12,AD$5-'General Inputs'!$I$16,'General Inputs'!$I$13*12,'General Inputs'!$I$8)&gt;AD32,-AD32,PPMT('General Inputs'!$I$14/12,AD$5-'General Inputs'!$I$16,'General Inputs'!$I$13*12,'General Inputs'!$I$8))),
IF(AND('General Inputs'!$O$16&gt;0,Waterfalls!AD5&lt;=MonthRefi+'General Inputs'!$O$16),0,IF(-PPMT('General Inputs'!$O$14/12,AD$5-MonthRefi-'General Inputs'!$O$16,'General Inputs'!$O$13*12,'General Inputs'!$O$8)&gt;AD32,-AD32,PPMT('General Inputs'!$O$14/12,AD$5-MonthRefi-'General Inputs'!$O$16,'General Inputs'!$O$13*12,'General Inputs'!$O$8))))</f>
        <v>0</v>
      </c>
      <c r="AE34" s="242">
        <f ca="1">IF(AE$5&lt;=MonthRefi,IF(AND('General Inputs'!$I$16&gt;0,Waterfalls!AE5&lt;='General Inputs'!$I$16),0,IF(-PPMT('General Inputs'!$I$14/12,AE$5-'General Inputs'!$I$16,'General Inputs'!$I$13*12,'General Inputs'!$I$8)&gt;AE32,-AE32,PPMT('General Inputs'!$I$14/12,AE$5-'General Inputs'!$I$16,'General Inputs'!$I$13*12,'General Inputs'!$I$8))),
IF(AND('General Inputs'!$O$16&gt;0,Waterfalls!AE5&lt;=MonthRefi+'General Inputs'!$O$16),0,IF(-PPMT('General Inputs'!$O$14/12,AE$5-MonthRefi-'General Inputs'!$O$16,'General Inputs'!$O$13*12,'General Inputs'!$O$8)&gt;AE32,-AE32,PPMT('General Inputs'!$O$14/12,AE$5-MonthRefi-'General Inputs'!$O$16,'General Inputs'!$O$13*12,'General Inputs'!$O$8))))</f>
        <v>0</v>
      </c>
      <c r="AF34" s="242">
        <f ca="1">IF(AF$5&lt;=MonthRefi,IF(AND('General Inputs'!$I$16&gt;0,Waterfalls!AF5&lt;='General Inputs'!$I$16),0,IF(-PPMT('General Inputs'!$I$14/12,AF$5-'General Inputs'!$I$16,'General Inputs'!$I$13*12,'General Inputs'!$I$8)&gt;AF32,-AF32,PPMT('General Inputs'!$I$14/12,AF$5-'General Inputs'!$I$16,'General Inputs'!$I$13*12,'General Inputs'!$I$8))),
IF(AND('General Inputs'!$O$16&gt;0,Waterfalls!AF5&lt;=MonthRefi+'General Inputs'!$O$16),0,IF(-PPMT('General Inputs'!$O$14/12,AF$5-MonthRefi-'General Inputs'!$O$16,'General Inputs'!$O$13*12,'General Inputs'!$O$8)&gt;AF32,-AF32,PPMT('General Inputs'!$O$14/12,AF$5-MonthRefi-'General Inputs'!$O$16,'General Inputs'!$O$13*12,'General Inputs'!$O$8))))</f>
        <v>0</v>
      </c>
      <c r="AG34" s="242">
        <f ca="1">IF(AG$5&lt;=MonthRefi,IF(AND('General Inputs'!$I$16&gt;0,Waterfalls!AG5&lt;='General Inputs'!$I$16),0,IF(-PPMT('General Inputs'!$I$14/12,AG$5-'General Inputs'!$I$16,'General Inputs'!$I$13*12,'General Inputs'!$I$8)&gt;AG32,-AG32,PPMT('General Inputs'!$I$14/12,AG$5-'General Inputs'!$I$16,'General Inputs'!$I$13*12,'General Inputs'!$I$8))),
IF(AND('General Inputs'!$O$16&gt;0,Waterfalls!AG5&lt;=MonthRefi+'General Inputs'!$O$16),0,IF(-PPMT('General Inputs'!$O$14/12,AG$5-MonthRefi-'General Inputs'!$O$16,'General Inputs'!$O$13*12,'General Inputs'!$O$8)&gt;AG32,-AG32,PPMT('General Inputs'!$O$14/12,AG$5-MonthRefi-'General Inputs'!$O$16,'General Inputs'!$O$13*12,'General Inputs'!$O$8))))</f>
        <v>0</v>
      </c>
      <c r="AH34" s="242">
        <f ca="1">IF(AH$5&lt;=MonthRefi,IF(AND('General Inputs'!$I$16&gt;0,Waterfalls!AH5&lt;='General Inputs'!$I$16),0,IF(-PPMT('General Inputs'!$I$14/12,AH$5-'General Inputs'!$I$16,'General Inputs'!$I$13*12,'General Inputs'!$I$8)&gt;AH32,-AH32,PPMT('General Inputs'!$I$14/12,AH$5-'General Inputs'!$I$16,'General Inputs'!$I$13*12,'General Inputs'!$I$8))),
IF(AND('General Inputs'!$O$16&gt;0,Waterfalls!AH5&lt;=MonthRefi+'General Inputs'!$O$16),0,IF(-PPMT('General Inputs'!$O$14/12,AH$5-MonthRefi-'General Inputs'!$O$16,'General Inputs'!$O$13*12,'General Inputs'!$O$8)&gt;AH32,-AH32,PPMT('General Inputs'!$O$14/12,AH$5-MonthRefi-'General Inputs'!$O$16,'General Inputs'!$O$13*12,'General Inputs'!$O$8))))</f>
        <v>0</v>
      </c>
      <c r="AI34" s="242">
        <f ca="1">IF(AI$5&lt;=MonthRefi,IF(AND('General Inputs'!$I$16&gt;0,Waterfalls!AI5&lt;='General Inputs'!$I$16),0,IF(-PPMT('General Inputs'!$I$14/12,AI$5-'General Inputs'!$I$16,'General Inputs'!$I$13*12,'General Inputs'!$I$8)&gt;AI32,-AI32,PPMT('General Inputs'!$I$14/12,AI$5-'General Inputs'!$I$16,'General Inputs'!$I$13*12,'General Inputs'!$I$8))),
IF(AND('General Inputs'!$O$16&gt;0,Waterfalls!AI5&lt;=MonthRefi+'General Inputs'!$O$16),0,IF(-PPMT('General Inputs'!$O$14/12,AI$5-MonthRefi-'General Inputs'!$O$16,'General Inputs'!$O$13*12,'General Inputs'!$O$8)&gt;AI32,-AI32,PPMT('General Inputs'!$O$14/12,AI$5-MonthRefi-'General Inputs'!$O$16,'General Inputs'!$O$13*12,'General Inputs'!$O$8))))</f>
        <v>0</v>
      </c>
      <c r="AJ34" s="242">
        <f ca="1">IF(AJ$5&lt;=MonthRefi,IF(AND('General Inputs'!$I$16&gt;0,Waterfalls!AJ5&lt;='General Inputs'!$I$16),0,IF(-PPMT('General Inputs'!$I$14/12,AJ$5-'General Inputs'!$I$16,'General Inputs'!$I$13*12,'General Inputs'!$I$8)&gt;AJ32,-AJ32,PPMT('General Inputs'!$I$14/12,AJ$5-'General Inputs'!$I$16,'General Inputs'!$I$13*12,'General Inputs'!$I$8))),
IF(AND('General Inputs'!$O$16&gt;0,Waterfalls!AJ5&lt;=MonthRefi+'General Inputs'!$O$16),0,IF(-PPMT('General Inputs'!$O$14/12,AJ$5-MonthRefi-'General Inputs'!$O$16,'General Inputs'!$O$13*12,'General Inputs'!$O$8)&gt;AJ32,-AJ32,PPMT('General Inputs'!$O$14/12,AJ$5-MonthRefi-'General Inputs'!$O$16,'General Inputs'!$O$13*12,'General Inputs'!$O$8))))</f>
        <v>0</v>
      </c>
      <c r="AK34" s="242">
        <f ca="1">IF(AK$5&lt;=MonthRefi,IF(AND('General Inputs'!$I$16&gt;0,Waterfalls!AK5&lt;='General Inputs'!$I$16),0,IF(-PPMT('General Inputs'!$I$14/12,AK$5-'General Inputs'!$I$16,'General Inputs'!$I$13*12,'General Inputs'!$I$8)&gt;AK32,-AK32,PPMT('General Inputs'!$I$14/12,AK$5-'General Inputs'!$I$16,'General Inputs'!$I$13*12,'General Inputs'!$I$8))),
IF(AND('General Inputs'!$O$16&gt;0,Waterfalls!AK5&lt;=MonthRefi+'General Inputs'!$O$16),0,IF(-PPMT('General Inputs'!$O$14/12,AK$5-MonthRefi-'General Inputs'!$O$16,'General Inputs'!$O$13*12,'General Inputs'!$O$8)&gt;AK32,-AK32,PPMT('General Inputs'!$O$14/12,AK$5-MonthRefi-'General Inputs'!$O$16,'General Inputs'!$O$13*12,'General Inputs'!$O$8))))</f>
        <v>0</v>
      </c>
      <c r="AL34" s="242">
        <f ca="1">IF(AL$5&lt;=MonthRefi,IF(AND('General Inputs'!$I$16&gt;0,Waterfalls!AL5&lt;='General Inputs'!$I$16),0,IF(-PPMT('General Inputs'!$I$14/12,AL$5-'General Inputs'!$I$16,'General Inputs'!$I$13*12,'General Inputs'!$I$8)&gt;AL32,-AL32,PPMT('General Inputs'!$I$14/12,AL$5-'General Inputs'!$I$16,'General Inputs'!$I$13*12,'General Inputs'!$I$8))),
IF(AND('General Inputs'!$O$16&gt;0,Waterfalls!AL5&lt;=MonthRefi+'General Inputs'!$O$16),0,IF(-PPMT('General Inputs'!$O$14/12,AL$5-MonthRefi-'General Inputs'!$O$16,'General Inputs'!$O$13*12,'General Inputs'!$O$8)&gt;AL32,-AL32,PPMT('General Inputs'!$O$14/12,AL$5-MonthRefi-'General Inputs'!$O$16,'General Inputs'!$O$13*12,'General Inputs'!$O$8))))</f>
        <v>0</v>
      </c>
      <c r="AM34" s="242">
        <f ca="1">IF(AM$5&lt;=MonthRefi,IF(AND('General Inputs'!$I$16&gt;0,Waterfalls!AM5&lt;='General Inputs'!$I$16),0,IF(-PPMT('General Inputs'!$I$14/12,AM$5-'General Inputs'!$I$16,'General Inputs'!$I$13*12,'General Inputs'!$I$8)&gt;AM32,-AM32,PPMT('General Inputs'!$I$14/12,AM$5-'General Inputs'!$I$16,'General Inputs'!$I$13*12,'General Inputs'!$I$8))),
IF(AND('General Inputs'!$O$16&gt;0,Waterfalls!AM5&lt;=MonthRefi+'General Inputs'!$O$16),0,IF(-PPMT('General Inputs'!$O$14/12,AM$5-MonthRefi-'General Inputs'!$O$16,'General Inputs'!$O$13*12,'General Inputs'!$O$8)&gt;AM32,-AM32,PPMT('General Inputs'!$O$14/12,AM$5-MonthRefi-'General Inputs'!$O$16,'General Inputs'!$O$13*12,'General Inputs'!$O$8))))</f>
        <v>0</v>
      </c>
      <c r="AN34" s="242">
        <f ca="1">IF(AN$5&lt;=MonthRefi,IF(AND('General Inputs'!$I$16&gt;0,Waterfalls!AN5&lt;='General Inputs'!$I$16),0,IF(-PPMT('General Inputs'!$I$14/12,AN$5-'General Inputs'!$I$16,'General Inputs'!$I$13*12,'General Inputs'!$I$8)&gt;AN32,-AN32,PPMT('General Inputs'!$I$14/12,AN$5-'General Inputs'!$I$16,'General Inputs'!$I$13*12,'General Inputs'!$I$8))),
IF(AND('General Inputs'!$O$16&gt;0,Waterfalls!AN5&lt;=MonthRefi+'General Inputs'!$O$16),0,IF(-PPMT('General Inputs'!$O$14/12,AN$5-MonthRefi-'General Inputs'!$O$16,'General Inputs'!$O$13*12,'General Inputs'!$O$8)&gt;AN32,-AN32,PPMT('General Inputs'!$O$14/12,AN$5-MonthRefi-'General Inputs'!$O$16,'General Inputs'!$O$13*12,'General Inputs'!$O$8))))</f>
        <v>0</v>
      </c>
      <c r="AO34" s="242">
        <f ca="1">IF(AO$5&lt;=MonthRefi,IF(AND('General Inputs'!$I$16&gt;0,Waterfalls!AO5&lt;='General Inputs'!$I$16),0,IF(-PPMT('General Inputs'!$I$14/12,AO$5-'General Inputs'!$I$16,'General Inputs'!$I$13*12,'General Inputs'!$I$8)&gt;AO32,-AO32,PPMT('General Inputs'!$I$14/12,AO$5-'General Inputs'!$I$16,'General Inputs'!$I$13*12,'General Inputs'!$I$8))),
IF(AND('General Inputs'!$O$16&gt;0,Waterfalls!AO5&lt;=MonthRefi+'General Inputs'!$O$16),0,IF(-PPMT('General Inputs'!$O$14/12,AO$5-MonthRefi-'General Inputs'!$O$16,'General Inputs'!$O$13*12,'General Inputs'!$O$8)&gt;AO32,-AO32,PPMT('General Inputs'!$O$14/12,AO$5-MonthRefi-'General Inputs'!$O$16,'General Inputs'!$O$13*12,'General Inputs'!$O$8))))</f>
        <v>0</v>
      </c>
      <c r="AP34" s="242">
        <f ca="1">IF(AP$5&lt;=MonthRefi,IF(AND('General Inputs'!$I$16&gt;0,Waterfalls!AP5&lt;='General Inputs'!$I$16),0,IF(-PPMT('General Inputs'!$I$14/12,AP$5-'General Inputs'!$I$16,'General Inputs'!$I$13*12,'General Inputs'!$I$8)&gt;AP32,-AP32,PPMT('General Inputs'!$I$14/12,AP$5-'General Inputs'!$I$16,'General Inputs'!$I$13*12,'General Inputs'!$I$8))),
IF(AND('General Inputs'!$O$16&gt;0,Waterfalls!AP5&lt;=MonthRefi+'General Inputs'!$O$16),0,IF(-PPMT('General Inputs'!$O$14/12,AP$5-MonthRefi-'General Inputs'!$O$16,'General Inputs'!$O$13*12,'General Inputs'!$O$8)&gt;AP32,-AP32,PPMT('General Inputs'!$O$14/12,AP$5-MonthRefi-'General Inputs'!$O$16,'General Inputs'!$O$13*12,'General Inputs'!$O$8))))</f>
        <v>0</v>
      </c>
      <c r="AQ34" s="242">
        <f ca="1">IF(AQ$5&lt;=MonthRefi,IF(AND('General Inputs'!$I$16&gt;0,Waterfalls!AQ5&lt;='General Inputs'!$I$16),0,IF(-PPMT('General Inputs'!$I$14/12,AQ$5-'General Inputs'!$I$16,'General Inputs'!$I$13*12,'General Inputs'!$I$8)&gt;AQ32,-AQ32,PPMT('General Inputs'!$I$14/12,AQ$5-'General Inputs'!$I$16,'General Inputs'!$I$13*12,'General Inputs'!$I$8))),
IF(AND('General Inputs'!$O$16&gt;0,Waterfalls!AQ5&lt;=MonthRefi+'General Inputs'!$O$16),0,IF(-PPMT('General Inputs'!$O$14/12,AQ$5-MonthRefi-'General Inputs'!$O$16,'General Inputs'!$O$13*12,'General Inputs'!$O$8)&gt;AQ32,-AQ32,PPMT('General Inputs'!$O$14/12,AQ$5-MonthRefi-'General Inputs'!$O$16,'General Inputs'!$O$13*12,'General Inputs'!$O$8))))</f>
        <v>0</v>
      </c>
      <c r="AR34" s="242">
        <f ca="1">IF(AR$5&lt;=MonthRefi,IF(AND('General Inputs'!$I$16&gt;0,Waterfalls!AR5&lt;='General Inputs'!$I$16),0,IF(-PPMT('General Inputs'!$I$14/12,AR$5-'General Inputs'!$I$16,'General Inputs'!$I$13*12,'General Inputs'!$I$8)&gt;AR32,-AR32,PPMT('General Inputs'!$I$14/12,AR$5-'General Inputs'!$I$16,'General Inputs'!$I$13*12,'General Inputs'!$I$8))),
IF(AND('General Inputs'!$O$16&gt;0,Waterfalls!AR5&lt;=MonthRefi+'General Inputs'!$O$16),0,IF(-PPMT('General Inputs'!$O$14/12,AR$5-MonthRefi-'General Inputs'!$O$16,'General Inputs'!$O$13*12,'General Inputs'!$O$8)&gt;AR32,-AR32,PPMT('General Inputs'!$O$14/12,AR$5-MonthRefi-'General Inputs'!$O$16,'General Inputs'!$O$13*12,'General Inputs'!$O$8))))</f>
        <v>0</v>
      </c>
      <c r="AS34" s="242">
        <f ca="1">IF(AS$5&lt;=MonthRefi,IF(AND('General Inputs'!$I$16&gt;0,Waterfalls!AS5&lt;='General Inputs'!$I$16),0,IF(-PPMT('General Inputs'!$I$14/12,AS$5-'General Inputs'!$I$16,'General Inputs'!$I$13*12,'General Inputs'!$I$8)&gt;AS32,-AS32,PPMT('General Inputs'!$I$14/12,AS$5-'General Inputs'!$I$16,'General Inputs'!$I$13*12,'General Inputs'!$I$8))),
IF(AND('General Inputs'!$O$16&gt;0,Waterfalls!AS5&lt;=MonthRefi+'General Inputs'!$O$16),0,IF(-PPMT('General Inputs'!$O$14/12,AS$5-MonthRefi-'General Inputs'!$O$16,'General Inputs'!$O$13*12,'General Inputs'!$O$8)&gt;AS32,-AS32,PPMT('General Inputs'!$O$14/12,AS$5-MonthRefi-'General Inputs'!$O$16,'General Inputs'!$O$13*12,'General Inputs'!$O$8))))</f>
        <v>0</v>
      </c>
      <c r="AT34" s="242">
        <f ca="1">IF(AT$5&lt;=MonthRefi,IF(AND('General Inputs'!$I$16&gt;0,Waterfalls!AT5&lt;='General Inputs'!$I$16),0,IF(-PPMT('General Inputs'!$I$14/12,AT$5-'General Inputs'!$I$16,'General Inputs'!$I$13*12,'General Inputs'!$I$8)&gt;AT32,-AT32,PPMT('General Inputs'!$I$14/12,AT$5-'General Inputs'!$I$16,'General Inputs'!$I$13*12,'General Inputs'!$I$8))),
IF(AND('General Inputs'!$O$16&gt;0,Waterfalls!AT5&lt;=MonthRefi+'General Inputs'!$O$16),0,IF(-PPMT('General Inputs'!$O$14/12,AT$5-MonthRefi-'General Inputs'!$O$16,'General Inputs'!$O$13*12,'General Inputs'!$O$8)&gt;AT32,-AT32,PPMT('General Inputs'!$O$14/12,AT$5-MonthRefi-'General Inputs'!$O$16,'General Inputs'!$O$13*12,'General Inputs'!$O$8))))</f>
        <v>0</v>
      </c>
      <c r="AU34" s="242">
        <f ca="1">IF(AU$5&lt;=MonthRefi,IF(AND('General Inputs'!$I$16&gt;0,Waterfalls!AU5&lt;='General Inputs'!$I$16),0,IF(-PPMT('General Inputs'!$I$14/12,AU$5-'General Inputs'!$I$16,'General Inputs'!$I$13*12,'General Inputs'!$I$8)&gt;AU32,-AU32,PPMT('General Inputs'!$I$14/12,AU$5-'General Inputs'!$I$16,'General Inputs'!$I$13*12,'General Inputs'!$I$8))),
IF(AND('General Inputs'!$O$16&gt;0,Waterfalls!AU5&lt;=MonthRefi+'General Inputs'!$O$16),0,IF(-PPMT('General Inputs'!$O$14/12,AU$5-MonthRefi-'General Inputs'!$O$16,'General Inputs'!$O$13*12,'General Inputs'!$O$8)&gt;AU32,-AU32,PPMT('General Inputs'!$O$14/12,AU$5-MonthRefi-'General Inputs'!$O$16,'General Inputs'!$O$13*12,'General Inputs'!$O$8))))</f>
        <v>0</v>
      </c>
      <c r="AV34" s="242">
        <f ca="1">IF(AV$5&lt;=MonthRefi,IF(AND('General Inputs'!$I$16&gt;0,Waterfalls!AV5&lt;='General Inputs'!$I$16),0,IF(-PPMT('General Inputs'!$I$14/12,AV$5-'General Inputs'!$I$16,'General Inputs'!$I$13*12,'General Inputs'!$I$8)&gt;AV32,-AV32,PPMT('General Inputs'!$I$14/12,AV$5-'General Inputs'!$I$16,'General Inputs'!$I$13*12,'General Inputs'!$I$8))),
IF(AND('General Inputs'!$O$16&gt;0,Waterfalls!AV5&lt;=MonthRefi+'General Inputs'!$O$16),0,IF(-PPMT('General Inputs'!$O$14/12,AV$5-MonthRefi-'General Inputs'!$O$16,'General Inputs'!$O$13*12,'General Inputs'!$O$8)&gt;AV32,-AV32,PPMT('General Inputs'!$O$14/12,AV$5-MonthRefi-'General Inputs'!$O$16,'General Inputs'!$O$13*12,'General Inputs'!$O$8))))</f>
        <v>0</v>
      </c>
      <c r="AW34" s="242">
        <f ca="1">IF(AW$5&lt;=MonthRefi,IF(AND('General Inputs'!$I$16&gt;0,Waterfalls!AW5&lt;='General Inputs'!$I$16),0,IF(-PPMT('General Inputs'!$I$14/12,AW$5-'General Inputs'!$I$16,'General Inputs'!$I$13*12,'General Inputs'!$I$8)&gt;AW32,-AW32,PPMT('General Inputs'!$I$14/12,AW$5-'General Inputs'!$I$16,'General Inputs'!$I$13*12,'General Inputs'!$I$8))),
IF(AND('General Inputs'!$O$16&gt;0,Waterfalls!AW5&lt;=MonthRefi+'General Inputs'!$O$16),0,IF(-PPMT('General Inputs'!$O$14/12,AW$5-MonthRefi-'General Inputs'!$O$16,'General Inputs'!$O$13*12,'General Inputs'!$O$8)&gt;AW32,-AW32,PPMT('General Inputs'!$O$14/12,AW$5-MonthRefi-'General Inputs'!$O$16,'General Inputs'!$O$13*12,'General Inputs'!$O$8))))</f>
        <v>0</v>
      </c>
      <c r="AX34" s="242">
        <f ca="1">IF(AX$5&lt;=MonthRefi,IF(AND('General Inputs'!$I$16&gt;0,Waterfalls!AX5&lt;='General Inputs'!$I$16),0,IF(-PPMT('General Inputs'!$I$14/12,AX$5-'General Inputs'!$I$16,'General Inputs'!$I$13*12,'General Inputs'!$I$8)&gt;AX32,-AX32,PPMT('General Inputs'!$I$14/12,AX$5-'General Inputs'!$I$16,'General Inputs'!$I$13*12,'General Inputs'!$I$8))),
IF(AND('General Inputs'!$O$16&gt;0,Waterfalls!AX5&lt;=MonthRefi+'General Inputs'!$O$16),0,IF(-PPMT('General Inputs'!$O$14/12,AX$5-MonthRefi-'General Inputs'!$O$16,'General Inputs'!$O$13*12,'General Inputs'!$O$8)&gt;AX32,-AX32,PPMT('General Inputs'!$O$14/12,AX$5-MonthRefi-'General Inputs'!$O$16,'General Inputs'!$O$13*12,'General Inputs'!$O$8))))</f>
        <v>0</v>
      </c>
      <c r="AY34" s="242">
        <f ca="1">IF(AY$5&lt;=MonthRefi,IF(AND('General Inputs'!$I$16&gt;0,Waterfalls!AY5&lt;='General Inputs'!$I$16),0,IF(-PPMT('General Inputs'!$I$14/12,AY$5-'General Inputs'!$I$16,'General Inputs'!$I$13*12,'General Inputs'!$I$8)&gt;AY32,-AY32,PPMT('General Inputs'!$I$14/12,AY$5-'General Inputs'!$I$16,'General Inputs'!$I$13*12,'General Inputs'!$I$8))),
IF(AND('General Inputs'!$O$16&gt;0,Waterfalls!AY5&lt;=MonthRefi+'General Inputs'!$O$16),0,IF(-PPMT('General Inputs'!$O$14/12,AY$5-MonthRefi-'General Inputs'!$O$16,'General Inputs'!$O$13*12,'General Inputs'!$O$8)&gt;AY32,-AY32,PPMT('General Inputs'!$O$14/12,AY$5-MonthRefi-'General Inputs'!$O$16,'General Inputs'!$O$13*12,'General Inputs'!$O$8))))</f>
        <v>0</v>
      </c>
      <c r="AZ34" s="242">
        <f ca="1">IF(AZ$5&lt;=MonthRefi,IF(AND('General Inputs'!$I$16&gt;0,Waterfalls!AZ5&lt;='General Inputs'!$I$16),0,IF(-PPMT('General Inputs'!$I$14/12,AZ$5-'General Inputs'!$I$16,'General Inputs'!$I$13*12,'General Inputs'!$I$8)&gt;AZ32,-AZ32,PPMT('General Inputs'!$I$14/12,AZ$5-'General Inputs'!$I$16,'General Inputs'!$I$13*12,'General Inputs'!$I$8))),
IF(AND('General Inputs'!$O$16&gt;0,Waterfalls!AZ5&lt;=MonthRefi+'General Inputs'!$O$16),0,IF(-PPMT('General Inputs'!$O$14/12,AZ$5-MonthRefi-'General Inputs'!$O$16,'General Inputs'!$O$13*12,'General Inputs'!$O$8)&gt;AZ32,-AZ32,PPMT('General Inputs'!$O$14/12,AZ$5-MonthRefi-'General Inputs'!$O$16,'General Inputs'!$O$13*12,'General Inputs'!$O$8))))</f>
        <v>0</v>
      </c>
      <c r="BA34" s="242">
        <f ca="1">IF(BA$5&lt;=MonthRefi,IF(AND('General Inputs'!$I$16&gt;0,Waterfalls!BA5&lt;='General Inputs'!$I$16),0,IF(-PPMT('General Inputs'!$I$14/12,BA$5-'General Inputs'!$I$16,'General Inputs'!$I$13*12,'General Inputs'!$I$8)&gt;BA32,-BA32,PPMT('General Inputs'!$I$14/12,BA$5-'General Inputs'!$I$16,'General Inputs'!$I$13*12,'General Inputs'!$I$8))),
IF(AND('General Inputs'!$O$16&gt;0,Waterfalls!BA5&lt;=MonthRefi+'General Inputs'!$O$16),0,IF(-PPMT('General Inputs'!$O$14/12,BA$5-MonthRefi-'General Inputs'!$O$16,'General Inputs'!$O$13*12,'General Inputs'!$O$8)&gt;BA32,-BA32,PPMT('General Inputs'!$O$14/12,BA$5-MonthRefi-'General Inputs'!$O$16,'General Inputs'!$O$13*12,'General Inputs'!$O$8))))</f>
        <v>0</v>
      </c>
      <c r="BB34" s="242">
        <f ca="1">IF(BB$5&lt;=MonthRefi,IF(AND('General Inputs'!$I$16&gt;0,Waterfalls!BB5&lt;='General Inputs'!$I$16),0,IF(-PPMT('General Inputs'!$I$14/12,BB$5-'General Inputs'!$I$16,'General Inputs'!$I$13*12,'General Inputs'!$I$8)&gt;BB32,-BB32,PPMT('General Inputs'!$I$14/12,BB$5-'General Inputs'!$I$16,'General Inputs'!$I$13*12,'General Inputs'!$I$8))),
IF(AND('General Inputs'!$O$16&gt;0,Waterfalls!BB5&lt;=MonthRefi+'General Inputs'!$O$16),0,IF(-PPMT('General Inputs'!$O$14/12,BB$5-MonthRefi-'General Inputs'!$O$16,'General Inputs'!$O$13*12,'General Inputs'!$O$8)&gt;BB32,-BB32,PPMT('General Inputs'!$O$14/12,BB$5-MonthRefi-'General Inputs'!$O$16,'General Inputs'!$O$13*12,'General Inputs'!$O$8))))</f>
        <v>0</v>
      </c>
      <c r="BC34" s="242">
        <f ca="1">IF(BC$5&lt;=MonthRefi,IF(AND('General Inputs'!$I$16&gt;0,Waterfalls!BC5&lt;='General Inputs'!$I$16),0,IF(-PPMT('General Inputs'!$I$14/12,BC$5-'General Inputs'!$I$16,'General Inputs'!$I$13*12,'General Inputs'!$I$8)&gt;BC32,-BC32,PPMT('General Inputs'!$I$14/12,BC$5-'General Inputs'!$I$16,'General Inputs'!$I$13*12,'General Inputs'!$I$8))),
IF(AND('General Inputs'!$O$16&gt;0,Waterfalls!BC5&lt;=MonthRefi+'General Inputs'!$O$16),0,IF(-PPMT('General Inputs'!$O$14/12,BC$5-MonthRefi-'General Inputs'!$O$16,'General Inputs'!$O$13*12,'General Inputs'!$O$8)&gt;BC32,-BC32,PPMT('General Inputs'!$O$14/12,BC$5-MonthRefi-'General Inputs'!$O$16,'General Inputs'!$O$13*12,'General Inputs'!$O$8))))</f>
        <v>0</v>
      </c>
      <c r="BD34" s="242">
        <f ca="1">IF(BD$5&lt;=MonthRefi,IF(AND('General Inputs'!$I$16&gt;0,Waterfalls!BD5&lt;='General Inputs'!$I$16),0,IF(-PPMT('General Inputs'!$I$14/12,BD$5-'General Inputs'!$I$16,'General Inputs'!$I$13*12,'General Inputs'!$I$8)&gt;BD32,-BD32,PPMT('General Inputs'!$I$14/12,BD$5-'General Inputs'!$I$16,'General Inputs'!$I$13*12,'General Inputs'!$I$8))),
IF(AND('General Inputs'!$O$16&gt;0,Waterfalls!BD5&lt;=MonthRefi+'General Inputs'!$O$16),0,IF(-PPMT('General Inputs'!$O$14/12,BD$5-MonthRefi-'General Inputs'!$O$16,'General Inputs'!$O$13*12,'General Inputs'!$O$8)&gt;BD32,-BD32,PPMT('General Inputs'!$O$14/12,BD$5-MonthRefi-'General Inputs'!$O$16,'General Inputs'!$O$13*12,'General Inputs'!$O$8))))</f>
        <v>0</v>
      </c>
      <c r="BE34" s="242">
        <f ca="1">IF(BE$5&lt;=MonthRefi,IF(AND('General Inputs'!$I$16&gt;0,Waterfalls!BE5&lt;='General Inputs'!$I$16),0,IF(-PPMT('General Inputs'!$I$14/12,BE$5-'General Inputs'!$I$16,'General Inputs'!$I$13*12,'General Inputs'!$I$8)&gt;BE32,-BE32,PPMT('General Inputs'!$I$14/12,BE$5-'General Inputs'!$I$16,'General Inputs'!$I$13*12,'General Inputs'!$I$8))),
IF(AND('General Inputs'!$O$16&gt;0,Waterfalls!BE5&lt;=MonthRefi+'General Inputs'!$O$16),0,IF(-PPMT('General Inputs'!$O$14/12,BE$5-MonthRefi-'General Inputs'!$O$16,'General Inputs'!$O$13*12,'General Inputs'!$O$8)&gt;BE32,-BE32,PPMT('General Inputs'!$O$14/12,BE$5-MonthRefi-'General Inputs'!$O$16,'General Inputs'!$O$13*12,'General Inputs'!$O$8))))</f>
        <v>0</v>
      </c>
      <c r="BF34" s="242">
        <f ca="1">IF(BF$5&lt;=MonthRefi,IF(AND('General Inputs'!$I$16&gt;0,Waterfalls!BF5&lt;='General Inputs'!$I$16),0,IF(-PPMT('General Inputs'!$I$14/12,BF$5-'General Inputs'!$I$16,'General Inputs'!$I$13*12,'General Inputs'!$I$8)&gt;BF32,-BF32,PPMT('General Inputs'!$I$14/12,BF$5-'General Inputs'!$I$16,'General Inputs'!$I$13*12,'General Inputs'!$I$8))),
IF(AND('General Inputs'!$O$16&gt;0,Waterfalls!BF5&lt;=MonthRefi+'General Inputs'!$O$16),0,IF(-PPMT('General Inputs'!$O$14/12,BF$5-MonthRefi-'General Inputs'!$O$16,'General Inputs'!$O$13*12,'General Inputs'!$O$8)&gt;BF32,-BF32,PPMT('General Inputs'!$O$14/12,BF$5-MonthRefi-'General Inputs'!$O$16,'General Inputs'!$O$13*12,'General Inputs'!$O$8))))</f>
        <v>0</v>
      </c>
      <c r="BG34" s="242">
        <f ca="1">IF(BG$5&lt;=MonthRefi,IF(AND('General Inputs'!$I$16&gt;0,Waterfalls!BG5&lt;='General Inputs'!$I$16),0,IF(-PPMT('General Inputs'!$I$14/12,BG$5-'General Inputs'!$I$16,'General Inputs'!$I$13*12,'General Inputs'!$I$8)&gt;BG32,-BG32,PPMT('General Inputs'!$I$14/12,BG$5-'General Inputs'!$I$16,'General Inputs'!$I$13*12,'General Inputs'!$I$8))),
IF(AND('General Inputs'!$O$16&gt;0,Waterfalls!BG5&lt;=MonthRefi+'General Inputs'!$O$16),0,IF(-PPMT('General Inputs'!$O$14/12,BG$5-MonthRefi-'General Inputs'!$O$16,'General Inputs'!$O$13*12,'General Inputs'!$O$8)&gt;BG32,-BG32,PPMT('General Inputs'!$O$14/12,BG$5-MonthRefi-'General Inputs'!$O$16,'General Inputs'!$O$13*12,'General Inputs'!$O$8))))</f>
        <v>0</v>
      </c>
      <c r="BH34" s="242">
        <f ca="1">IF(BH$5&lt;=MonthRefi,IF(AND('General Inputs'!$I$16&gt;0,Waterfalls!BH5&lt;='General Inputs'!$I$16),0,IF(-PPMT('General Inputs'!$I$14/12,BH$5-'General Inputs'!$I$16,'General Inputs'!$I$13*12,'General Inputs'!$I$8)&gt;BH32,-BH32,PPMT('General Inputs'!$I$14/12,BH$5-'General Inputs'!$I$16,'General Inputs'!$I$13*12,'General Inputs'!$I$8))),
IF(AND('General Inputs'!$O$16&gt;0,Waterfalls!BH5&lt;=MonthRefi+'General Inputs'!$O$16),0,IF(-PPMT('General Inputs'!$O$14/12,BH$5-MonthRefi-'General Inputs'!$O$16,'General Inputs'!$O$13*12,'General Inputs'!$O$8)&gt;BH32,-BH32,PPMT('General Inputs'!$O$14/12,BH$5-MonthRefi-'General Inputs'!$O$16,'General Inputs'!$O$13*12,'General Inputs'!$O$8))))</f>
        <v>0</v>
      </c>
      <c r="BI34" s="242">
        <f ca="1">IF(BI$5&lt;=MonthRefi,IF(AND('General Inputs'!$I$16&gt;0,Waterfalls!BI5&lt;='General Inputs'!$I$16),0,IF(-PPMT('General Inputs'!$I$14/12,BI$5-'General Inputs'!$I$16,'General Inputs'!$I$13*12,'General Inputs'!$I$8)&gt;BI32,-BI32,PPMT('General Inputs'!$I$14/12,BI$5-'General Inputs'!$I$16,'General Inputs'!$I$13*12,'General Inputs'!$I$8))),
IF(AND('General Inputs'!$O$16&gt;0,Waterfalls!BI5&lt;=MonthRefi+'General Inputs'!$O$16),0,IF(-PPMT('General Inputs'!$O$14/12,BI$5-MonthRefi-'General Inputs'!$O$16,'General Inputs'!$O$13*12,'General Inputs'!$O$8)&gt;BI32,-BI32,PPMT('General Inputs'!$O$14/12,BI$5-MonthRefi-'General Inputs'!$O$16,'General Inputs'!$O$13*12,'General Inputs'!$O$8))))</f>
        <v>0</v>
      </c>
      <c r="BJ34" s="242">
        <f ca="1">IF(BJ$5&lt;=MonthRefi,IF(AND('General Inputs'!$I$16&gt;0,Waterfalls!BJ5&lt;='General Inputs'!$I$16),0,IF(-PPMT('General Inputs'!$I$14/12,BJ$5-'General Inputs'!$I$16,'General Inputs'!$I$13*12,'General Inputs'!$I$8)&gt;BJ32,-BJ32,PPMT('General Inputs'!$I$14/12,BJ$5-'General Inputs'!$I$16,'General Inputs'!$I$13*12,'General Inputs'!$I$8))),
IF(AND('General Inputs'!$O$16&gt;0,Waterfalls!BJ5&lt;=MonthRefi+'General Inputs'!$O$16),0,IF(-PPMT('General Inputs'!$O$14/12,BJ$5-MonthRefi-'General Inputs'!$O$16,'General Inputs'!$O$13*12,'General Inputs'!$O$8)&gt;BJ32,-BJ32,PPMT('General Inputs'!$O$14/12,BJ$5-MonthRefi-'General Inputs'!$O$16,'General Inputs'!$O$13*12,'General Inputs'!$O$8))))</f>
        <v>0</v>
      </c>
      <c r="BK34" s="242">
        <f ca="1">IF(BK$5&lt;=MonthRefi,IF(AND('General Inputs'!$I$16&gt;0,Waterfalls!BK5&lt;='General Inputs'!$I$16),0,IF(-PPMT('General Inputs'!$I$14/12,BK$5-'General Inputs'!$I$16,'General Inputs'!$I$13*12,'General Inputs'!$I$8)&gt;BK32,-BK32,PPMT('General Inputs'!$I$14/12,BK$5-'General Inputs'!$I$16,'General Inputs'!$I$13*12,'General Inputs'!$I$8))),
IF(AND('General Inputs'!$O$16&gt;0,Waterfalls!BK5&lt;=MonthRefi+'General Inputs'!$O$16),0,IF(-PPMT('General Inputs'!$O$14/12,BK$5-MonthRefi-'General Inputs'!$O$16,'General Inputs'!$O$13*12,'General Inputs'!$O$8)&gt;BK32,-BK32,PPMT('General Inputs'!$O$14/12,BK$5-MonthRefi-'General Inputs'!$O$16,'General Inputs'!$O$13*12,'General Inputs'!$O$8))))</f>
        <v>0</v>
      </c>
      <c r="BL34" s="242">
        <f ca="1">IF(BL$5&lt;=MonthRefi,IF(AND('General Inputs'!$I$16&gt;0,Waterfalls!BL5&lt;='General Inputs'!$I$16),0,IF(-PPMT('General Inputs'!$I$14/12,BL$5-'General Inputs'!$I$16,'General Inputs'!$I$13*12,'General Inputs'!$I$8)&gt;BL32,-BL32,PPMT('General Inputs'!$I$14/12,BL$5-'General Inputs'!$I$16,'General Inputs'!$I$13*12,'General Inputs'!$I$8))),
IF(AND('General Inputs'!$O$16&gt;0,Waterfalls!BL5&lt;=MonthRefi+'General Inputs'!$O$16),0,IF(-PPMT('General Inputs'!$O$14/12,BL$5-MonthRefi-'General Inputs'!$O$16,'General Inputs'!$O$13*12,'General Inputs'!$O$8)&gt;BL32,-BL32,PPMT('General Inputs'!$O$14/12,BL$5-MonthRefi-'General Inputs'!$O$16,'General Inputs'!$O$13*12,'General Inputs'!$O$8))))</f>
        <v>0</v>
      </c>
      <c r="BM34" s="242">
        <f ca="1">IF(BM$5&lt;=MonthRefi,IF(AND('General Inputs'!$I$16&gt;0,Waterfalls!BM5&lt;='General Inputs'!$I$16),0,IF(-PPMT('General Inputs'!$I$14/12,BM$5-'General Inputs'!$I$16,'General Inputs'!$I$13*12,'General Inputs'!$I$8)&gt;BM32,-BM32,PPMT('General Inputs'!$I$14/12,BM$5-'General Inputs'!$I$16,'General Inputs'!$I$13*12,'General Inputs'!$I$8))),
IF(AND('General Inputs'!$O$16&gt;0,Waterfalls!BM5&lt;=MonthRefi+'General Inputs'!$O$16),0,IF(-PPMT('General Inputs'!$O$14/12,BM$5-MonthRefi-'General Inputs'!$O$16,'General Inputs'!$O$13*12,'General Inputs'!$O$8)&gt;BM32,-BM32,PPMT('General Inputs'!$O$14/12,BM$5-MonthRefi-'General Inputs'!$O$16,'General Inputs'!$O$13*12,'General Inputs'!$O$8))))</f>
        <v>0</v>
      </c>
      <c r="BN34" s="242">
        <f ca="1">IF(BN$5&lt;=MonthRefi,IF(AND('General Inputs'!$I$16&gt;0,Waterfalls!BN5&lt;='General Inputs'!$I$16),0,IF(-PPMT('General Inputs'!$I$14/12,BN$5-'General Inputs'!$I$16,'General Inputs'!$I$13*12,'General Inputs'!$I$8)&gt;BN32,-BN32,PPMT('General Inputs'!$I$14/12,BN$5-'General Inputs'!$I$16,'General Inputs'!$I$13*12,'General Inputs'!$I$8))),
IF(AND('General Inputs'!$O$16&gt;0,Waterfalls!BN5&lt;=MonthRefi+'General Inputs'!$O$16),0,IF(-PPMT('General Inputs'!$O$14/12,BN$5-MonthRefi-'General Inputs'!$O$16,'General Inputs'!$O$13*12,'General Inputs'!$O$8)&gt;BN32,-BN32,PPMT('General Inputs'!$O$14/12,BN$5-MonthRefi-'General Inputs'!$O$16,'General Inputs'!$O$13*12,'General Inputs'!$O$8))))</f>
        <v>0</v>
      </c>
      <c r="BO34" s="242">
        <f ca="1">IF(BO$5&lt;=MonthRefi,IF(AND('General Inputs'!$I$16&gt;0,Waterfalls!BO5&lt;='General Inputs'!$I$16),0,IF(-PPMT('General Inputs'!$I$14/12,BO$5-'General Inputs'!$I$16,'General Inputs'!$I$13*12,'General Inputs'!$I$8)&gt;BO32,-BO32,PPMT('General Inputs'!$I$14/12,BO$5-'General Inputs'!$I$16,'General Inputs'!$I$13*12,'General Inputs'!$I$8))),
IF(AND('General Inputs'!$O$16&gt;0,Waterfalls!BO5&lt;=MonthRefi+'General Inputs'!$O$16),0,IF(-PPMT('General Inputs'!$O$14/12,BO$5-MonthRefi-'General Inputs'!$O$16,'General Inputs'!$O$13*12,'General Inputs'!$O$8)&gt;BO32,-BO32,PPMT('General Inputs'!$O$14/12,BO$5-MonthRefi-'General Inputs'!$O$16,'General Inputs'!$O$13*12,'General Inputs'!$O$8))))</f>
        <v>0</v>
      </c>
      <c r="BP34" s="242">
        <f ca="1">IF(BP$5&lt;=MonthRefi,IF(AND('General Inputs'!$I$16&gt;0,Waterfalls!BP5&lt;='General Inputs'!$I$16),0,IF(-PPMT('General Inputs'!$I$14/12,BP$5-'General Inputs'!$I$16,'General Inputs'!$I$13*12,'General Inputs'!$I$8)&gt;BP32,-BP32,PPMT('General Inputs'!$I$14/12,BP$5-'General Inputs'!$I$16,'General Inputs'!$I$13*12,'General Inputs'!$I$8))),
IF(AND('General Inputs'!$O$16&gt;0,Waterfalls!BP5&lt;=MonthRefi+'General Inputs'!$O$16),0,IF(-PPMT('General Inputs'!$O$14/12,BP$5-MonthRefi-'General Inputs'!$O$16,'General Inputs'!$O$13*12,'General Inputs'!$O$8)&gt;BP32,-BP32,PPMT('General Inputs'!$O$14/12,BP$5-MonthRefi-'General Inputs'!$O$16,'General Inputs'!$O$13*12,'General Inputs'!$O$8))))</f>
        <v>0</v>
      </c>
      <c r="BQ34" s="242">
        <f ca="1">IF(BQ$5&lt;=MonthRefi,IF(AND('General Inputs'!$I$16&gt;0,Waterfalls!BQ5&lt;='General Inputs'!$I$16),0,IF(-PPMT('General Inputs'!$I$14/12,BQ$5-'General Inputs'!$I$16,'General Inputs'!$I$13*12,'General Inputs'!$I$8)&gt;BQ32,-BQ32,PPMT('General Inputs'!$I$14/12,BQ$5-'General Inputs'!$I$16,'General Inputs'!$I$13*12,'General Inputs'!$I$8))),
IF(AND('General Inputs'!$O$16&gt;0,Waterfalls!BQ5&lt;=MonthRefi+'General Inputs'!$O$16),0,IF(-PPMT('General Inputs'!$O$14/12,BQ$5-MonthRefi-'General Inputs'!$O$16,'General Inputs'!$O$13*12,'General Inputs'!$O$8)&gt;BQ32,-BQ32,PPMT('General Inputs'!$O$14/12,BQ$5-MonthRefi-'General Inputs'!$O$16,'General Inputs'!$O$13*12,'General Inputs'!$O$8))))</f>
        <v>0</v>
      </c>
      <c r="BR34" s="242">
        <f ca="1">IF(BR$5&lt;=MonthRefi,IF(AND('General Inputs'!$I$16&gt;0,Waterfalls!BR5&lt;='General Inputs'!$I$16),0,IF(-PPMT('General Inputs'!$I$14/12,BR$5-'General Inputs'!$I$16,'General Inputs'!$I$13*12,'General Inputs'!$I$8)&gt;BR32,-BR32,PPMT('General Inputs'!$I$14/12,BR$5-'General Inputs'!$I$16,'General Inputs'!$I$13*12,'General Inputs'!$I$8))),
IF(AND('General Inputs'!$O$16&gt;0,Waterfalls!BR5&lt;=MonthRefi+'General Inputs'!$O$16),0,IF(-PPMT('General Inputs'!$O$14/12,BR$5-MonthRefi-'General Inputs'!$O$16,'General Inputs'!$O$13*12,'General Inputs'!$O$8)&gt;BR32,-BR32,PPMT('General Inputs'!$O$14/12,BR$5-MonthRefi-'General Inputs'!$O$16,'General Inputs'!$O$13*12,'General Inputs'!$O$8))))</f>
        <v>0</v>
      </c>
      <c r="BS34" s="242">
        <f ca="1">IF(BS$5&lt;=MonthRefi,IF(AND('General Inputs'!$I$16&gt;0,Waterfalls!BS5&lt;='General Inputs'!$I$16),0,IF(-PPMT('General Inputs'!$I$14/12,BS$5-'General Inputs'!$I$16,'General Inputs'!$I$13*12,'General Inputs'!$I$8)&gt;BS32,-BS32,PPMT('General Inputs'!$I$14/12,BS$5-'General Inputs'!$I$16,'General Inputs'!$I$13*12,'General Inputs'!$I$8))),
IF(AND('General Inputs'!$O$16&gt;0,Waterfalls!BS5&lt;=MonthRefi+'General Inputs'!$O$16),0,IF(-PPMT('General Inputs'!$O$14/12,BS$5-MonthRefi-'General Inputs'!$O$16,'General Inputs'!$O$13*12,'General Inputs'!$O$8)&gt;BS32,-BS32,PPMT('General Inputs'!$O$14/12,BS$5-MonthRefi-'General Inputs'!$O$16,'General Inputs'!$O$13*12,'General Inputs'!$O$8))))</f>
        <v>0</v>
      </c>
      <c r="BT34" s="242">
        <f ca="1">IF(BT$5&lt;=MonthRefi,IF(AND('General Inputs'!$I$16&gt;0,Waterfalls!BT5&lt;='General Inputs'!$I$16),0,IF(-PPMT('General Inputs'!$I$14/12,BT$5-'General Inputs'!$I$16,'General Inputs'!$I$13*12,'General Inputs'!$I$8)&gt;BT32,-BT32,PPMT('General Inputs'!$I$14/12,BT$5-'General Inputs'!$I$16,'General Inputs'!$I$13*12,'General Inputs'!$I$8))),
IF(AND('General Inputs'!$O$16&gt;0,Waterfalls!BT5&lt;=MonthRefi+'General Inputs'!$O$16),0,IF(-PPMT('General Inputs'!$O$14/12,BT$5-MonthRefi-'General Inputs'!$O$16,'General Inputs'!$O$13*12,'General Inputs'!$O$8)&gt;BT32,-BT32,PPMT('General Inputs'!$O$14/12,BT$5-MonthRefi-'General Inputs'!$O$16,'General Inputs'!$O$13*12,'General Inputs'!$O$8))))</f>
        <v>0</v>
      </c>
      <c r="BU34" s="242">
        <f ca="1">IF(BU$5&lt;=MonthRefi,IF(AND('General Inputs'!$I$16&gt;0,Waterfalls!BU5&lt;='General Inputs'!$I$16),0,IF(-PPMT('General Inputs'!$I$14/12,BU$5-'General Inputs'!$I$16,'General Inputs'!$I$13*12,'General Inputs'!$I$8)&gt;BU32,-BU32,PPMT('General Inputs'!$I$14/12,BU$5-'General Inputs'!$I$16,'General Inputs'!$I$13*12,'General Inputs'!$I$8))),
IF(AND('General Inputs'!$O$16&gt;0,Waterfalls!BU5&lt;=MonthRefi+'General Inputs'!$O$16),0,IF(-PPMT('General Inputs'!$O$14/12,BU$5-MonthRefi-'General Inputs'!$O$16,'General Inputs'!$O$13*12,'General Inputs'!$O$8)&gt;BU32,-BU32,PPMT('General Inputs'!$O$14/12,BU$5-MonthRefi-'General Inputs'!$O$16,'General Inputs'!$O$13*12,'General Inputs'!$O$8))))</f>
        <v>0</v>
      </c>
      <c r="BV34" s="242">
        <f ca="1">IF(BV$5&lt;=MonthRefi,IF(AND('General Inputs'!$I$16&gt;0,Waterfalls!BV5&lt;='General Inputs'!$I$16),0,IF(-PPMT('General Inputs'!$I$14/12,BV$5-'General Inputs'!$I$16,'General Inputs'!$I$13*12,'General Inputs'!$I$8)&gt;BV32,-BV32,PPMT('General Inputs'!$I$14/12,BV$5-'General Inputs'!$I$16,'General Inputs'!$I$13*12,'General Inputs'!$I$8))),
IF(AND('General Inputs'!$O$16&gt;0,Waterfalls!BV5&lt;=MonthRefi+'General Inputs'!$O$16),0,IF(-PPMT('General Inputs'!$O$14/12,BV$5-MonthRefi-'General Inputs'!$O$16,'General Inputs'!$O$13*12,'General Inputs'!$O$8)&gt;BV32,-BV32,PPMT('General Inputs'!$O$14/12,BV$5-MonthRefi-'General Inputs'!$O$16,'General Inputs'!$O$13*12,'General Inputs'!$O$8))))</f>
        <v>0</v>
      </c>
      <c r="BW34" s="242">
        <f ca="1">IF(BW$5&lt;=MonthRefi,IF(AND('General Inputs'!$I$16&gt;0,Waterfalls!BW5&lt;='General Inputs'!$I$16),0,IF(-PPMT('General Inputs'!$I$14/12,BW$5-'General Inputs'!$I$16,'General Inputs'!$I$13*12,'General Inputs'!$I$8)&gt;BW32,-BW32,PPMT('General Inputs'!$I$14/12,BW$5-'General Inputs'!$I$16,'General Inputs'!$I$13*12,'General Inputs'!$I$8))),
IF(AND('General Inputs'!$O$16&gt;0,Waterfalls!BW5&lt;=MonthRefi+'General Inputs'!$O$16),0,IF(-PPMT('General Inputs'!$O$14/12,BW$5-MonthRefi-'General Inputs'!$O$16,'General Inputs'!$O$13*12,'General Inputs'!$O$8)&gt;BW32,-BW32,PPMT('General Inputs'!$O$14/12,BW$5-MonthRefi-'General Inputs'!$O$16,'General Inputs'!$O$13*12,'General Inputs'!$O$8))))</f>
        <v>0</v>
      </c>
      <c r="BX34" s="242">
        <f ca="1">IF(BX$5&lt;=MonthRefi,IF(AND('General Inputs'!$I$16&gt;0,Waterfalls!BX5&lt;='General Inputs'!$I$16),0,IF(-PPMT('General Inputs'!$I$14/12,BX$5-'General Inputs'!$I$16,'General Inputs'!$I$13*12,'General Inputs'!$I$8)&gt;BX32,-BX32,PPMT('General Inputs'!$I$14/12,BX$5-'General Inputs'!$I$16,'General Inputs'!$I$13*12,'General Inputs'!$I$8))),
IF(AND('General Inputs'!$O$16&gt;0,Waterfalls!BX5&lt;=MonthRefi+'General Inputs'!$O$16),0,IF(-PPMT('General Inputs'!$O$14/12,BX$5-MonthRefi-'General Inputs'!$O$16,'General Inputs'!$O$13*12,'General Inputs'!$O$8)&gt;BX32,-BX32,PPMT('General Inputs'!$O$14/12,BX$5-MonthRefi-'General Inputs'!$O$16,'General Inputs'!$O$13*12,'General Inputs'!$O$8))))</f>
        <v>0</v>
      </c>
      <c r="BY34" s="242">
        <f ca="1">IF(BY$5&lt;=MonthRefi,IF(AND('General Inputs'!$I$16&gt;0,Waterfalls!BY5&lt;='General Inputs'!$I$16),0,IF(-PPMT('General Inputs'!$I$14/12,BY$5-'General Inputs'!$I$16,'General Inputs'!$I$13*12,'General Inputs'!$I$8)&gt;BY32,-BY32,PPMT('General Inputs'!$I$14/12,BY$5-'General Inputs'!$I$16,'General Inputs'!$I$13*12,'General Inputs'!$I$8))),
IF(AND('General Inputs'!$O$16&gt;0,Waterfalls!BY5&lt;=MonthRefi+'General Inputs'!$O$16),0,IF(-PPMT('General Inputs'!$O$14/12,BY$5-MonthRefi-'General Inputs'!$O$16,'General Inputs'!$O$13*12,'General Inputs'!$O$8)&gt;BY32,-BY32,PPMT('General Inputs'!$O$14/12,BY$5-MonthRefi-'General Inputs'!$O$16,'General Inputs'!$O$13*12,'General Inputs'!$O$8))))</f>
        <v>0</v>
      </c>
      <c r="BZ34" s="242">
        <f ca="1">IF(BZ$5&lt;=MonthRefi,IF(AND('General Inputs'!$I$16&gt;0,Waterfalls!BZ5&lt;='General Inputs'!$I$16),0,IF(-PPMT('General Inputs'!$I$14/12,BZ$5-'General Inputs'!$I$16,'General Inputs'!$I$13*12,'General Inputs'!$I$8)&gt;BZ32,-BZ32,PPMT('General Inputs'!$I$14/12,BZ$5-'General Inputs'!$I$16,'General Inputs'!$I$13*12,'General Inputs'!$I$8))),
IF(AND('General Inputs'!$O$16&gt;0,Waterfalls!BZ5&lt;=MonthRefi+'General Inputs'!$O$16),0,IF(-PPMT('General Inputs'!$O$14/12,BZ$5-MonthRefi-'General Inputs'!$O$16,'General Inputs'!$O$13*12,'General Inputs'!$O$8)&gt;BZ32,-BZ32,PPMT('General Inputs'!$O$14/12,BZ$5-MonthRefi-'General Inputs'!$O$16,'General Inputs'!$O$13*12,'General Inputs'!$O$8))))</f>
        <v>0</v>
      </c>
      <c r="CA34" s="242">
        <f ca="1">IF(CA$5&lt;=MonthRefi,IF(AND('General Inputs'!$I$16&gt;0,Waterfalls!CA5&lt;='General Inputs'!$I$16),0,IF(-PPMT('General Inputs'!$I$14/12,CA$5-'General Inputs'!$I$16,'General Inputs'!$I$13*12,'General Inputs'!$I$8)&gt;CA32,-CA32,PPMT('General Inputs'!$I$14/12,CA$5-'General Inputs'!$I$16,'General Inputs'!$I$13*12,'General Inputs'!$I$8))),
IF(AND('General Inputs'!$O$16&gt;0,Waterfalls!CA5&lt;=MonthRefi+'General Inputs'!$O$16),0,IF(-PPMT('General Inputs'!$O$14/12,CA$5-MonthRefi-'General Inputs'!$O$16,'General Inputs'!$O$13*12,'General Inputs'!$O$8)&gt;CA32,-CA32,PPMT('General Inputs'!$O$14/12,CA$5-MonthRefi-'General Inputs'!$O$16,'General Inputs'!$O$13*12,'General Inputs'!$O$8))))</f>
        <v>0</v>
      </c>
      <c r="CB34" s="242">
        <f ca="1">IF(CB$5&lt;=MonthRefi,IF(AND('General Inputs'!$I$16&gt;0,Waterfalls!CB5&lt;='General Inputs'!$I$16),0,IF(-PPMT('General Inputs'!$I$14/12,CB$5-'General Inputs'!$I$16,'General Inputs'!$I$13*12,'General Inputs'!$I$8)&gt;CB32,-CB32,PPMT('General Inputs'!$I$14/12,CB$5-'General Inputs'!$I$16,'General Inputs'!$I$13*12,'General Inputs'!$I$8))),
IF(AND('General Inputs'!$O$16&gt;0,Waterfalls!CB5&lt;=MonthRefi+'General Inputs'!$O$16),0,IF(-PPMT('General Inputs'!$O$14/12,CB$5-MonthRefi-'General Inputs'!$O$16,'General Inputs'!$O$13*12,'General Inputs'!$O$8)&gt;CB32,-CB32,PPMT('General Inputs'!$O$14/12,CB$5-MonthRefi-'General Inputs'!$O$16,'General Inputs'!$O$13*12,'General Inputs'!$O$8))))</f>
        <v>0</v>
      </c>
      <c r="CC34" s="242">
        <f ca="1">IF(CC$5&lt;=MonthRefi,IF(AND('General Inputs'!$I$16&gt;0,Waterfalls!CC5&lt;='General Inputs'!$I$16),0,IF(-PPMT('General Inputs'!$I$14/12,CC$5-'General Inputs'!$I$16,'General Inputs'!$I$13*12,'General Inputs'!$I$8)&gt;CC32,-CC32,PPMT('General Inputs'!$I$14/12,CC$5-'General Inputs'!$I$16,'General Inputs'!$I$13*12,'General Inputs'!$I$8))),
IF(AND('General Inputs'!$O$16&gt;0,Waterfalls!CC5&lt;=MonthRefi+'General Inputs'!$O$16),0,IF(-PPMT('General Inputs'!$O$14/12,CC$5-MonthRefi-'General Inputs'!$O$16,'General Inputs'!$O$13*12,'General Inputs'!$O$8)&gt;CC32,-CC32,PPMT('General Inputs'!$O$14/12,CC$5-MonthRefi-'General Inputs'!$O$16,'General Inputs'!$O$13*12,'General Inputs'!$O$8))))</f>
        <v>0</v>
      </c>
      <c r="CD34" s="242">
        <f ca="1">IF(CD$5&lt;=MonthRefi,IF(AND('General Inputs'!$I$16&gt;0,Waterfalls!CD5&lt;='General Inputs'!$I$16),0,IF(-PPMT('General Inputs'!$I$14/12,CD$5-'General Inputs'!$I$16,'General Inputs'!$I$13*12,'General Inputs'!$I$8)&gt;CD32,-CD32,PPMT('General Inputs'!$I$14/12,CD$5-'General Inputs'!$I$16,'General Inputs'!$I$13*12,'General Inputs'!$I$8))),
IF(AND('General Inputs'!$O$16&gt;0,Waterfalls!CD5&lt;=MonthRefi+'General Inputs'!$O$16),0,IF(-PPMT('General Inputs'!$O$14/12,CD$5-MonthRefi-'General Inputs'!$O$16,'General Inputs'!$O$13*12,'General Inputs'!$O$8)&gt;CD32,-CD32,PPMT('General Inputs'!$O$14/12,CD$5-MonthRefi-'General Inputs'!$O$16,'General Inputs'!$O$13*12,'General Inputs'!$O$8))))</f>
        <v>0</v>
      </c>
      <c r="CE34" s="242">
        <f ca="1">IF(CE$5&lt;=MonthRefi,IF(AND('General Inputs'!$I$16&gt;0,Waterfalls!CE5&lt;='General Inputs'!$I$16),0,IF(-PPMT('General Inputs'!$I$14/12,CE$5-'General Inputs'!$I$16,'General Inputs'!$I$13*12,'General Inputs'!$I$8)&gt;CE32,-CE32,PPMT('General Inputs'!$I$14/12,CE$5-'General Inputs'!$I$16,'General Inputs'!$I$13*12,'General Inputs'!$I$8))),
IF(AND('General Inputs'!$O$16&gt;0,Waterfalls!CE5&lt;=MonthRefi+'General Inputs'!$O$16),0,IF(-PPMT('General Inputs'!$O$14/12,CE$5-MonthRefi-'General Inputs'!$O$16,'General Inputs'!$O$13*12,'General Inputs'!$O$8)&gt;CE32,-CE32,PPMT('General Inputs'!$O$14/12,CE$5-MonthRefi-'General Inputs'!$O$16,'General Inputs'!$O$13*12,'General Inputs'!$O$8))))</f>
        <v>0</v>
      </c>
      <c r="CF34" s="242">
        <f ca="1">IF(CF$5&lt;=MonthRefi,IF(AND('General Inputs'!$I$16&gt;0,Waterfalls!CF5&lt;='General Inputs'!$I$16),0,IF(-PPMT('General Inputs'!$I$14/12,CF$5-'General Inputs'!$I$16,'General Inputs'!$I$13*12,'General Inputs'!$I$8)&gt;CF32,-CF32,PPMT('General Inputs'!$I$14/12,CF$5-'General Inputs'!$I$16,'General Inputs'!$I$13*12,'General Inputs'!$I$8))),
IF(AND('General Inputs'!$O$16&gt;0,Waterfalls!CF5&lt;=MonthRefi+'General Inputs'!$O$16),0,IF(-PPMT('General Inputs'!$O$14/12,CF$5-MonthRefi-'General Inputs'!$O$16,'General Inputs'!$O$13*12,'General Inputs'!$O$8)&gt;CF32,-CF32,PPMT('General Inputs'!$O$14/12,CF$5-MonthRefi-'General Inputs'!$O$16,'General Inputs'!$O$13*12,'General Inputs'!$O$8))))</f>
        <v>0</v>
      </c>
      <c r="CG34" s="242">
        <f ca="1">IF(CG$5&lt;=MonthRefi,IF(AND('General Inputs'!$I$16&gt;0,Waterfalls!CG5&lt;='General Inputs'!$I$16),0,IF(-PPMT('General Inputs'!$I$14/12,CG$5-'General Inputs'!$I$16,'General Inputs'!$I$13*12,'General Inputs'!$I$8)&gt;CG32,-CG32,PPMT('General Inputs'!$I$14/12,CG$5-'General Inputs'!$I$16,'General Inputs'!$I$13*12,'General Inputs'!$I$8))),
IF(AND('General Inputs'!$O$16&gt;0,Waterfalls!CG5&lt;=MonthRefi+'General Inputs'!$O$16),0,IF(-PPMT('General Inputs'!$O$14/12,CG$5-MonthRefi-'General Inputs'!$O$16,'General Inputs'!$O$13*12,'General Inputs'!$O$8)&gt;CG32,-CG32,PPMT('General Inputs'!$O$14/12,CG$5-MonthRefi-'General Inputs'!$O$16,'General Inputs'!$O$13*12,'General Inputs'!$O$8))))</f>
        <v>0</v>
      </c>
      <c r="CH34" s="242">
        <f ca="1">IF(CH$5&lt;=MonthRefi,IF(AND('General Inputs'!$I$16&gt;0,Waterfalls!CH5&lt;='General Inputs'!$I$16),0,IF(-PPMT('General Inputs'!$I$14/12,CH$5-'General Inputs'!$I$16,'General Inputs'!$I$13*12,'General Inputs'!$I$8)&gt;CH32,-CH32,PPMT('General Inputs'!$I$14/12,CH$5-'General Inputs'!$I$16,'General Inputs'!$I$13*12,'General Inputs'!$I$8))),
IF(AND('General Inputs'!$O$16&gt;0,Waterfalls!CH5&lt;=MonthRefi+'General Inputs'!$O$16),0,IF(-PPMT('General Inputs'!$O$14/12,CH$5-MonthRefi-'General Inputs'!$O$16,'General Inputs'!$O$13*12,'General Inputs'!$O$8)&gt;CH32,-CH32,PPMT('General Inputs'!$O$14/12,CH$5-MonthRefi-'General Inputs'!$O$16,'General Inputs'!$O$13*12,'General Inputs'!$O$8))))</f>
        <v>0</v>
      </c>
      <c r="CI34" s="242">
        <f ca="1">IF(CI$5&lt;=MonthRefi,IF(AND('General Inputs'!$I$16&gt;0,Waterfalls!CI5&lt;='General Inputs'!$I$16),0,IF(-PPMT('General Inputs'!$I$14/12,CI$5-'General Inputs'!$I$16,'General Inputs'!$I$13*12,'General Inputs'!$I$8)&gt;CI32,-CI32,PPMT('General Inputs'!$I$14/12,CI$5-'General Inputs'!$I$16,'General Inputs'!$I$13*12,'General Inputs'!$I$8))),
IF(AND('General Inputs'!$O$16&gt;0,Waterfalls!CI5&lt;=MonthRefi+'General Inputs'!$O$16),0,IF(-PPMT('General Inputs'!$O$14/12,CI$5-MonthRefi-'General Inputs'!$O$16,'General Inputs'!$O$13*12,'General Inputs'!$O$8)&gt;CI32,-CI32,PPMT('General Inputs'!$O$14/12,CI$5-MonthRefi-'General Inputs'!$O$16,'General Inputs'!$O$13*12,'General Inputs'!$O$8))))</f>
        <v>0</v>
      </c>
      <c r="CJ34" s="242">
        <f ca="1">IF(CJ$5&lt;=MonthRefi,IF(AND('General Inputs'!$I$16&gt;0,Waterfalls!CJ5&lt;='General Inputs'!$I$16),0,IF(-PPMT('General Inputs'!$I$14/12,CJ$5-'General Inputs'!$I$16,'General Inputs'!$I$13*12,'General Inputs'!$I$8)&gt;CJ32,-CJ32,PPMT('General Inputs'!$I$14/12,CJ$5-'General Inputs'!$I$16,'General Inputs'!$I$13*12,'General Inputs'!$I$8))),
IF(AND('General Inputs'!$O$16&gt;0,Waterfalls!CJ5&lt;=MonthRefi+'General Inputs'!$O$16),0,IF(-PPMT('General Inputs'!$O$14/12,CJ$5-MonthRefi-'General Inputs'!$O$16,'General Inputs'!$O$13*12,'General Inputs'!$O$8)&gt;CJ32,-CJ32,PPMT('General Inputs'!$O$14/12,CJ$5-MonthRefi-'General Inputs'!$O$16,'General Inputs'!$O$13*12,'General Inputs'!$O$8))))</f>
        <v>0</v>
      </c>
      <c r="CK34" s="242">
        <f ca="1">IF(CK$5&lt;=MonthRefi,IF(AND('General Inputs'!$I$16&gt;0,Waterfalls!CK5&lt;='General Inputs'!$I$16),0,IF(-PPMT('General Inputs'!$I$14/12,CK$5-'General Inputs'!$I$16,'General Inputs'!$I$13*12,'General Inputs'!$I$8)&gt;CK32,-CK32,PPMT('General Inputs'!$I$14/12,CK$5-'General Inputs'!$I$16,'General Inputs'!$I$13*12,'General Inputs'!$I$8))),
IF(AND('General Inputs'!$O$16&gt;0,Waterfalls!CK5&lt;=MonthRefi+'General Inputs'!$O$16),0,IF(-PPMT('General Inputs'!$O$14/12,CK$5-MonthRefi-'General Inputs'!$O$16,'General Inputs'!$O$13*12,'General Inputs'!$O$8)&gt;CK32,-CK32,PPMT('General Inputs'!$O$14/12,CK$5-MonthRefi-'General Inputs'!$O$16,'General Inputs'!$O$13*12,'General Inputs'!$O$8))))</f>
        <v>0</v>
      </c>
      <c r="CL34" s="242">
        <f ca="1">IF(CL$5&lt;=MonthRefi,IF(AND('General Inputs'!$I$16&gt;0,Waterfalls!CL5&lt;='General Inputs'!$I$16),0,IF(-PPMT('General Inputs'!$I$14/12,CL$5-'General Inputs'!$I$16,'General Inputs'!$I$13*12,'General Inputs'!$I$8)&gt;CL32,-CL32,PPMT('General Inputs'!$I$14/12,CL$5-'General Inputs'!$I$16,'General Inputs'!$I$13*12,'General Inputs'!$I$8))),
IF(AND('General Inputs'!$O$16&gt;0,Waterfalls!CL5&lt;=MonthRefi+'General Inputs'!$O$16),0,IF(-PPMT('General Inputs'!$O$14/12,CL$5-MonthRefi-'General Inputs'!$O$16,'General Inputs'!$O$13*12,'General Inputs'!$O$8)&gt;CL32,-CL32,PPMT('General Inputs'!$O$14/12,CL$5-MonthRefi-'General Inputs'!$O$16,'General Inputs'!$O$13*12,'General Inputs'!$O$8))))</f>
        <v>0</v>
      </c>
      <c r="CM34" s="242">
        <f ca="1">IF(CM$5&lt;=MonthRefi,IF(AND('General Inputs'!$I$16&gt;0,Waterfalls!CM5&lt;='General Inputs'!$I$16),0,IF(-PPMT('General Inputs'!$I$14/12,CM$5-'General Inputs'!$I$16,'General Inputs'!$I$13*12,'General Inputs'!$I$8)&gt;CM32,-CM32,PPMT('General Inputs'!$I$14/12,CM$5-'General Inputs'!$I$16,'General Inputs'!$I$13*12,'General Inputs'!$I$8))),
IF(AND('General Inputs'!$O$16&gt;0,Waterfalls!CM5&lt;=MonthRefi+'General Inputs'!$O$16),0,IF(-PPMT('General Inputs'!$O$14/12,CM$5-MonthRefi-'General Inputs'!$O$16,'General Inputs'!$O$13*12,'General Inputs'!$O$8)&gt;CM32,-CM32,PPMT('General Inputs'!$O$14/12,CM$5-MonthRefi-'General Inputs'!$O$16,'General Inputs'!$O$13*12,'General Inputs'!$O$8))))</f>
        <v>0</v>
      </c>
      <c r="CN34" s="242">
        <f ca="1">IF(CN$5&lt;=MonthRefi,IF(AND('General Inputs'!$I$16&gt;0,Waterfalls!CN5&lt;='General Inputs'!$I$16),0,IF(-PPMT('General Inputs'!$I$14/12,CN$5-'General Inputs'!$I$16,'General Inputs'!$I$13*12,'General Inputs'!$I$8)&gt;CN32,-CN32,PPMT('General Inputs'!$I$14/12,CN$5-'General Inputs'!$I$16,'General Inputs'!$I$13*12,'General Inputs'!$I$8))),
IF(AND('General Inputs'!$O$16&gt;0,Waterfalls!CN5&lt;=MonthRefi+'General Inputs'!$O$16),0,IF(-PPMT('General Inputs'!$O$14/12,CN$5-MonthRefi-'General Inputs'!$O$16,'General Inputs'!$O$13*12,'General Inputs'!$O$8)&gt;CN32,-CN32,PPMT('General Inputs'!$O$14/12,CN$5-MonthRefi-'General Inputs'!$O$16,'General Inputs'!$O$13*12,'General Inputs'!$O$8))))</f>
        <v>0</v>
      </c>
      <c r="CO34" s="242">
        <f ca="1">IF(CO$5&lt;=MonthRefi,IF(AND('General Inputs'!$I$16&gt;0,Waterfalls!CO5&lt;='General Inputs'!$I$16),0,IF(-PPMT('General Inputs'!$I$14/12,CO$5-'General Inputs'!$I$16,'General Inputs'!$I$13*12,'General Inputs'!$I$8)&gt;CO32,-CO32,PPMT('General Inputs'!$I$14/12,CO$5-'General Inputs'!$I$16,'General Inputs'!$I$13*12,'General Inputs'!$I$8))),
IF(AND('General Inputs'!$O$16&gt;0,Waterfalls!CO5&lt;=MonthRefi+'General Inputs'!$O$16),0,IF(-PPMT('General Inputs'!$O$14/12,CO$5-MonthRefi-'General Inputs'!$O$16,'General Inputs'!$O$13*12,'General Inputs'!$O$8)&gt;CO32,-CO32,PPMT('General Inputs'!$O$14/12,CO$5-MonthRefi-'General Inputs'!$O$16,'General Inputs'!$O$13*12,'General Inputs'!$O$8))))</f>
        <v>0</v>
      </c>
      <c r="CP34" s="242">
        <f ca="1">IF(CP$5&lt;=MonthRefi,IF(AND('General Inputs'!$I$16&gt;0,Waterfalls!CP5&lt;='General Inputs'!$I$16),0,IF(-PPMT('General Inputs'!$I$14/12,CP$5-'General Inputs'!$I$16,'General Inputs'!$I$13*12,'General Inputs'!$I$8)&gt;CP32,-CP32,PPMT('General Inputs'!$I$14/12,CP$5-'General Inputs'!$I$16,'General Inputs'!$I$13*12,'General Inputs'!$I$8))),
IF(AND('General Inputs'!$O$16&gt;0,Waterfalls!CP5&lt;=MonthRefi+'General Inputs'!$O$16),0,IF(-PPMT('General Inputs'!$O$14/12,CP$5-MonthRefi-'General Inputs'!$O$16,'General Inputs'!$O$13*12,'General Inputs'!$O$8)&gt;CP32,-CP32,PPMT('General Inputs'!$O$14/12,CP$5-MonthRefi-'General Inputs'!$O$16,'General Inputs'!$O$13*12,'General Inputs'!$O$8))))</f>
        <v>0</v>
      </c>
      <c r="CQ34" s="242">
        <f ca="1">IF(CQ$5&lt;=MonthRefi,IF(AND('General Inputs'!$I$16&gt;0,Waterfalls!CQ5&lt;='General Inputs'!$I$16),0,IF(-PPMT('General Inputs'!$I$14/12,CQ$5-'General Inputs'!$I$16,'General Inputs'!$I$13*12,'General Inputs'!$I$8)&gt;CQ32,-CQ32,PPMT('General Inputs'!$I$14/12,CQ$5-'General Inputs'!$I$16,'General Inputs'!$I$13*12,'General Inputs'!$I$8))),
IF(AND('General Inputs'!$O$16&gt;0,Waterfalls!CQ5&lt;=MonthRefi+'General Inputs'!$O$16),0,IF(-PPMT('General Inputs'!$O$14/12,CQ$5-MonthRefi-'General Inputs'!$O$16,'General Inputs'!$O$13*12,'General Inputs'!$O$8)&gt;CQ32,-CQ32,PPMT('General Inputs'!$O$14/12,CQ$5-MonthRefi-'General Inputs'!$O$16,'General Inputs'!$O$13*12,'General Inputs'!$O$8))))</f>
        <v>0</v>
      </c>
      <c r="CR34" s="242">
        <f ca="1">IF(CR$5&lt;=MonthRefi,IF(AND('General Inputs'!$I$16&gt;0,Waterfalls!CR5&lt;='General Inputs'!$I$16),0,IF(-PPMT('General Inputs'!$I$14/12,CR$5-'General Inputs'!$I$16,'General Inputs'!$I$13*12,'General Inputs'!$I$8)&gt;CR32,-CR32,PPMT('General Inputs'!$I$14/12,CR$5-'General Inputs'!$I$16,'General Inputs'!$I$13*12,'General Inputs'!$I$8))),
IF(AND('General Inputs'!$O$16&gt;0,Waterfalls!CR5&lt;=MonthRefi+'General Inputs'!$O$16),0,IF(-PPMT('General Inputs'!$O$14/12,CR$5-MonthRefi-'General Inputs'!$O$16,'General Inputs'!$O$13*12,'General Inputs'!$O$8)&gt;CR32,-CR32,PPMT('General Inputs'!$O$14/12,CR$5-MonthRefi-'General Inputs'!$O$16,'General Inputs'!$O$13*12,'General Inputs'!$O$8))))</f>
        <v>0</v>
      </c>
      <c r="CS34" s="242">
        <f ca="1">IF(CS$5&lt;=MonthRefi,IF(AND('General Inputs'!$I$16&gt;0,Waterfalls!CS5&lt;='General Inputs'!$I$16),0,IF(-PPMT('General Inputs'!$I$14/12,CS$5-'General Inputs'!$I$16,'General Inputs'!$I$13*12,'General Inputs'!$I$8)&gt;CS32,-CS32,PPMT('General Inputs'!$I$14/12,CS$5-'General Inputs'!$I$16,'General Inputs'!$I$13*12,'General Inputs'!$I$8))),
IF(AND('General Inputs'!$O$16&gt;0,Waterfalls!CS5&lt;=MonthRefi+'General Inputs'!$O$16),0,IF(-PPMT('General Inputs'!$O$14/12,CS$5-MonthRefi-'General Inputs'!$O$16,'General Inputs'!$O$13*12,'General Inputs'!$O$8)&gt;CS32,-CS32,PPMT('General Inputs'!$O$14/12,CS$5-MonthRefi-'General Inputs'!$O$16,'General Inputs'!$O$13*12,'General Inputs'!$O$8))))</f>
        <v>0</v>
      </c>
      <c r="CT34" s="242">
        <f ca="1">IF(CT$5&lt;=MonthRefi,IF(AND('General Inputs'!$I$16&gt;0,Waterfalls!CT5&lt;='General Inputs'!$I$16),0,IF(-PPMT('General Inputs'!$I$14/12,CT$5-'General Inputs'!$I$16,'General Inputs'!$I$13*12,'General Inputs'!$I$8)&gt;CT32,-CT32,PPMT('General Inputs'!$I$14/12,CT$5-'General Inputs'!$I$16,'General Inputs'!$I$13*12,'General Inputs'!$I$8))),
IF(AND('General Inputs'!$O$16&gt;0,Waterfalls!CT5&lt;=MonthRefi+'General Inputs'!$O$16),0,IF(-PPMT('General Inputs'!$O$14/12,CT$5-MonthRefi-'General Inputs'!$O$16,'General Inputs'!$O$13*12,'General Inputs'!$O$8)&gt;CT32,-CT32,PPMT('General Inputs'!$O$14/12,CT$5-MonthRefi-'General Inputs'!$O$16,'General Inputs'!$O$13*12,'General Inputs'!$O$8))))</f>
        <v>0</v>
      </c>
      <c r="CU34" s="242">
        <f ca="1">IF(CU$5&lt;=MonthRefi,IF(AND('General Inputs'!$I$16&gt;0,Waterfalls!CU5&lt;='General Inputs'!$I$16),0,IF(-PPMT('General Inputs'!$I$14/12,CU$5-'General Inputs'!$I$16,'General Inputs'!$I$13*12,'General Inputs'!$I$8)&gt;CU32,-CU32,PPMT('General Inputs'!$I$14/12,CU$5-'General Inputs'!$I$16,'General Inputs'!$I$13*12,'General Inputs'!$I$8))),
IF(AND('General Inputs'!$O$16&gt;0,Waterfalls!CU5&lt;=MonthRefi+'General Inputs'!$O$16),0,IF(-PPMT('General Inputs'!$O$14/12,CU$5-MonthRefi-'General Inputs'!$O$16,'General Inputs'!$O$13*12,'General Inputs'!$O$8)&gt;CU32,-CU32,PPMT('General Inputs'!$O$14/12,CU$5-MonthRefi-'General Inputs'!$O$16,'General Inputs'!$O$13*12,'General Inputs'!$O$8))))</f>
        <v>0</v>
      </c>
      <c r="CV34" s="242">
        <f ca="1">IF(CV$5&lt;=MonthRefi,IF(AND('General Inputs'!$I$16&gt;0,Waterfalls!CV5&lt;='General Inputs'!$I$16),0,IF(-PPMT('General Inputs'!$I$14/12,CV$5-'General Inputs'!$I$16,'General Inputs'!$I$13*12,'General Inputs'!$I$8)&gt;CV32,-CV32,PPMT('General Inputs'!$I$14/12,CV$5-'General Inputs'!$I$16,'General Inputs'!$I$13*12,'General Inputs'!$I$8))),
IF(AND('General Inputs'!$O$16&gt;0,Waterfalls!CV5&lt;=MonthRefi+'General Inputs'!$O$16),0,IF(-PPMT('General Inputs'!$O$14/12,CV$5-MonthRefi-'General Inputs'!$O$16,'General Inputs'!$O$13*12,'General Inputs'!$O$8)&gt;CV32,-CV32,PPMT('General Inputs'!$O$14/12,CV$5-MonthRefi-'General Inputs'!$O$16,'General Inputs'!$O$13*12,'General Inputs'!$O$8))))</f>
        <v>0</v>
      </c>
      <c r="CW34" s="242">
        <f ca="1">IF(CW$5&lt;=MonthRefi,IF(AND('General Inputs'!$I$16&gt;0,Waterfalls!CW5&lt;='General Inputs'!$I$16),0,IF(-PPMT('General Inputs'!$I$14/12,CW$5-'General Inputs'!$I$16,'General Inputs'!$I$13*12,'General Inputs'!$I$8)&gt;CW32,-CW32,PPMT('General Inputs'!$I$14/12,CW$5-'General Inputs'!$I$16,'General Inputs'!$I$13*12,'General Inputs'!$I$8))),
IF(AND('General Inputs'!$O$16&gt;0,Waterfalls!CW5&lt;=MonthRefi+'General Inputs'!$O$16),0,IF(-PPMT('General Inputs'!$O$14/12,CW$5-MonthRefi-'General Inputs'!$O$16,'General Inputs'!$O$13*12,'General Inputs'!$O$8)&gt;CW32,-CW32,PPMT('General Inputs'!$O$14/12,CW$5-MonthRefi-'General Inputs'!$O$16,'General Inputs'!$O$13*12,'General Inputs'!$O$8))))</f>
        <v>0</v>
      </c>
      <c r="CX34" s="242">
        <f ca="1">IF(CX$5&lt;=MonthRefi,IF(AND('General Inputs'!$I$16&gt;0,Waterfalls!CX5&lt;='General Inputs'!$I$16),0,IF(-PPMT('General Inputs'!$I$14/12,CX$5-'General Inputs'!$I$16,'General Inputs'!$I$13*12,'General Inputs'!$I$8)&gt;CX32,-CX32,PPMT('General Inputs'!$I$14/12,CX$5-'General Inputs'!$I$16,'General Inputs'!$I$13*12,'General Inputs'!$I$8))),
IF(AND('General Inputs'!$O$16&gt;0,Waterfalls!CX5&lt;=MonthRefi+'General Inputs'!$O$16),0,IF(-PPMT('General Inputs'!$O$14/12,CX$5-MonthRefi-'General Inputs'!$O$16,'General Inputs'!$O$13*12,'General Inputs'!$O$8)&gt;CX32,-CX32,PPMT('General Inputs'!$O$14/12,CX$5-MonthRefi-'General Inputs'!$O$16,'General Inputs'!$O$13*12,'General Inputs'!$O$8))))</f>
        <v>0</v>
      </c>
      <c r="CY34" s="242">
        <f ca="1">IF(CY$5&lt;=MonthRefi,IF(AND('General Inputs'!$I$16&gt;0,Waterfalls!CY5&lt;='General Inputs'!$I$16),0,IF(-PPMT('General Inputs'!$I$14/12,CY$5-'General Inputs'!$I$16,'General Inputs'!$I$13*12,'General Inputs'!$I$8)&gt;CY32,-CY32,PPMT('General Inputs'!$I$14/12,CY$5-'General Inputs'!$I$16,'General Inputs'!$I$13*12,'General Inputs'!$I$8))),
IF(AND('General Inputs'!$O$16&gt;0,Waterfalls!CY5&lt;=MonthRefi+'General Inputs'!$O$16),0,IF(-PPMT('General Inputs'!$O$14/12,CY$5-MonthRefi-'General Inputs'!$O$16,'General Inputs'!$O$13*12,'General Inputs'!$O$8)&gt;CY32,-CY32,PPMT('General Inputs'!$O$14/12,CY$5-MonthRefi-'General Inputs'!$O$16,'General Inputs'!$O$13*12,'General Inputs'!$O$8))))</f>
        <v>0</v>
      </c>
      <c r="CZ34" s="242">
        <f ca="1">IF(CZ$5&lt;=MonthRefi,IF(AND('General Inputs'!$I$16&gt;0,Waterfalls!CZ5&lt;='General Inputs'!$I$16),0,IF(-PPMT('General Inputs'!$I$14/12,CZ$5-'General Inputs'!$I$16,'General Inputs'!$I$13*12,'General Inputs'!$I$8)&gt;CZ32,-CZ32,PPMT('General Inputs'!$I$14/12,CZ$5-'General Inputs'!$I$16,'General Inputs'!$I$13*12,'General Inputs'!$I$8))),
IF(AND('General Inputs'!$O$16&gt;0,Waterfalls!CZ5&lt;=MonthRefi+'General Inputs'!$O$16),0,IF(-PPMT('General Inputs'!$O$14/12,CZ$5-MonthRefi-'General Inputs'!$O$16,'General Inputs'!$O$13*12,'General Inputs'!$O$8)&gt;CZ32,-CZ32,PPMT('General Inputs'!$O$14/12,CZ$5-MonthRefi-'General Inputs'!$O$16,'General Inputs'!$O$13*12,'General Inputs'!$O$8))))</f>
        <v>0</v>
      </c>
      <c r="DA34" s="242">
        <f ca="1">IF(DA$5&lt;=MonthRefi,IF(AND('General Inputs'!$I$16&gt;0,Waterfalls!DA5&lt;='General Inputs'!$I$16),0,IF(-PPMT('General Inputs'!$I$14/12,DA$5-'General Inputs'!$I$16,'General Inputs'!$I$13*12,'General Inputs'!$I$8)&gt;DA32,-DA32,PPMT('General Inputs'!$I$14/12,DA$5-'General Inputs'!$I$16,'General Inputs'!$I$13*12,'General Inputs'!$I$8))),
IF(AND('General Inputs'!$O$16&gt;0,Waterfalls!DA5&lt;=MonthRefi+'General Inputs'!$O$16),0,IF(-PPMT('General Inputs'!$O$14/12,DA$5-MonthRefi-'General Inputs'!$O$16,'General Inputs'!$O$13*12,'General Inputs'!$O$8)&gt;DA32,-DA32,PPMT('General Inputs'!$O$14/12,DA$5-MonthRefi-'General Inputs'!$O$16,'General Inputs'!$O$13*12,'General Inputs'!$O$8))))</f>
        <v>0</v>
      </c>
      <c r="DB34" s="242">
        <f ca="1">IF(DB$5&lt;=MonthRefi,IF(AND('General Inputs'!$I$16&gt;0,Waterfalls!DB5&lt;='General Inputs'!$I$16),0,IF(-PPMT('General Inputs'!$I$14/12,DB$5-'General Inputs'!$I$16,'General Inputs'!$I$13*12,'General Inputs'!$I$8)&gt;DB32,-DB32,PPMT('General Inputs'!$I$14/12,DB$5-'General Inputs'!$I$16,'General Inputs'!$I$13*12,'General Inputs'!$I$8))),
IF(AND('General Inputs'!$O$16&gt;0,Waterfalls!DB5&lt;=MonthRefi+'General Inputs'!$O$16),0,IF(-PPMT('General Inputs'!$O$14/12,DB$5-MonthRefi-'General Inputs'!$O$16,'General Inputs'!$O$13*12,'General Inputs'!$O$8)&gt;DB32,-DB32,PPMT('General Inputs'!$O$14/12,DB$5-MonthRefi-'General Inputs'!$O$16,'General Inputs'!$O$13*12,'General Inputs'!$O$8))))</f>
        <v>0</v>
      </c>
      <c r="DC34" s="242">
        <f ca="1">IF(DC$5&lt;=MonthRefi,IF(AND('General Inputs'!$I$16&gt;0,Waterfalls!DC5&lt;='General Inputs'!$I$16),0,IF(-PPMT('General Inputs'!$I$14/12,DC$5-'General Inputs'!$I$16,'General Inputs'!$I$13*12,'General Inputs'!$I$8)&gt;DC32,-DC32,PPMT('General Inputs'!$I$14/12,DC$5-'General Inputs'!$I$16,'General Inputs'!$I$13*12,'General Inputs'!$I$8))),
IF(AND('General Inputs'!$O$16&gt;0,Waterfalls!DC5&lt;=MonthRefi+'General Inputs'!$O$16),0,IF(-PPMT('General Inputs'!$O$14/12,DC$5-MonthRefi-'General Inputs'!$O$16,'General Inputs'!$O$13*12,'General Inputs'!$O$8)&gt;DC32,-DC32,PPMT('General Inputs'!$O$14/12,DC$5-MonthRefi-'General Inputs'!$O$16,'General Inputs'!$O$13*12,'General Inputs'!$O$8))))</f>
        <v>0</v>
      </c>
      <c r="DD34" s="242">
        <f ca="1">IF(DD$5&lt;=MonthRefi,IF(AND('General Inputs'!$I$16&gt;0,Waterfalls!DD5&lt;='General Inputs'!$I$16),0,IF(-PPMT('General Inputs'!$I$14/12,DD$5-'General Inputs'!$I$16,'General Inputs'!$I$13*12,'General Inputs'!$I$8)&gt;DD32,-DD32,PPMT('General Inputs'!$I$14/12,DD$5-'General Inputs'!$I$16,'General Inputs'!$I$13*12,'General Inputs'!$I$8))),
IF(AND('General Inputs'!$O$16&gt;0,Waterfalls!DD5&lt;=MonthRefi+'General Inputs'!$O$16),0,IF(-PPMT('General Inputs'!$O$14/12,DD$5-MonthRefi-'General Inputs'!$O$16,'General Inputs'!$O$13*12,'General Inputs'!$O$8)&gt;DD32,-DD32,PPMT('General Inputs'!$O$14/12,DD$5-MonthRefi-'General Inputs'!$O$16,'General Inputs'!$O$13*12,'General Inputs'!$O$8))))</f>
        <v>0</v>
      </c>
      <c r="DE34" s="242">
        <f ca="1">IF(DE$5&lt;=MonthRefi,IF(AND('General Inputs'!$I$16&gt;0,Waterfalls!DE5&lt;='General Inputs'!$I$16),0,IF(-PPMT('General Inputs'!$I$14/12,DE$5-'General Inputs'!$I$16,'General Inputs'!$I$13*12,'General Inputs'!$I$8)&gt;DE32,-DE32,PPMT('General Inputs'!$I$14/12,DE$5-'General Inputs'!$I$16,'General Inputs'!$I$13*12,'General Inputs'!$I$8))),
IF(AND('General Inputs'!$O$16&gt;0,Waterfalls!DE5&lt;=MonthRefi+'General Inputs'!$O$16),0,IF(-PPMT('General Inputs'!$O$14/12,DE$5-MonthRefi-'General Inputs'!$O$16,'General Inputs'!$O$13*12,'General Inputs'!$O$8)&gt;DE32,-DE32,PPMT('General Inputs'!$O$14/12,DE$5-MonthRefi-'General Inputs'!$O$16,'General Inputs'!$O$13*12,'General Inputs'!$O$8))))</f>
        <v>0</v>
      </c>
      <c r="DF34" s="242">
        <f ca="1">IF(DF$5&lt;=MonthRefi,IF(AND('General Inputs'!$I$16&gt;0,Waterfalls!DF5&lt;='General Inputs'!$I$16),0,IF(-PPMT('General Inputs'!$I$14/12,DF$5-'General Inputs'!$I$16,'General Inputs'!$I$13*12,'General Inputs'!$I$8)&gt;DF32,-DF32,PPMT('General Inputs'!$I$14/12,DF$5-'General Inputs'!$I$16,'General Inputs'!$I$13*12,'General Inputs'!$I$8))),
IF(AND('General Inputs'!$O$16&gt;0,Waterfalls!DF5&lt;=MonthRefi+'General Inputs'!$O$16),0,IF(-PPMT('General Inputs'!$O$14/12,DF$5-MonthRefi-'General Inputs'!$O$16,'General Inputs'!$O$13*12,'General Inputs'!$O$8)&gt;DF32,-DF32,PPMT('General Inputs'!$O$14/12,DF$5-MonthRefi-'General Inputs'!$O$16,'General Inputs'!$O$13*12,'General Inputs'!$O$8))))</f>
        <v>0</v>
      </c>
      <c r="DG34" s="242">
        <f ca="1">IF(DG$5&lt;=MonthRefi,IF(AND('General Inputs'!$I$16&gt;0,Waterfalls!DG5&lt;='General Inputs'!$I$16),0,IF(-PPMT('General Inputs'!$I$14/12,DG$5-'General Inputs'!$I$16,'General Inputs'!$I$13*12,'General Inputs'!$I$8)&gt;DG32,-DG32,PPMT('General Inputs'!$I$14/12,DG$5-'General Inputs'!$I$16,'General Inputs'!$I$13*12,'General Inputs'!$I$8))),
IF(AND('General Inputs'!$O$16&gt;0,Waterfalls!DG5&lt;=MonthRefi+'General Inputs'!$O$16),0,IF(-PPMT('General Inputs'!$O$14/12,DG$5-MonthRefi-'General Inputs'!$O$16,'General Inputs'!$O$13*12,'General Inputs'!$O$8)&gt;DG32,-DG32,PPMT('General Inputs'!$O$14/12,DG$5-MonthRefi-'General Inputs'!$O$16,'General Inputs'!$O$13*12,'General Inputs'!$O$8))))</f>
        <v>0</v>
      </c>
      <c r="DH34" s="242">
        <f ca="1">IF(DH$5&lt;=MonthRefi,IF(AND('General Inputs'!$I$16&gt;0,Waterfalls!DH5&lt;='General Inputs'!$I$16),0,IF(-PPMT('General Inputs'!$I$14/12,DH$5-'General Inputs'!$I$16,'General Inputs'!$I$13*12,'General Inputs'!$I$8)&gt;DH32,-DH32,PPMT('General Inputs'!$I$14/12,DH$5-'General Inputs'!$I$16,'General Inputs'!$I$13*12,'General Inputs'!$I$8))),
IF(AND('General Inputs'!$O$16&gt;0,Waterfalls!DH5&lt;=MonthRefi+'General Inputs'!$O$16),0,IF(-PPMT('General Inputs'!$O$14/12,DH$5-MonthRefi-'General Inputs'!$O$16,'General Inputs'!$O$13*12,'General Inputs'!$O$8)&gt;DH32,-DH32,PPMT('General Inputs'!$O$14/12,DH$5-MonthRefi-'General Inputs'!$O$16,'General Inputs'!$O$13*12,'General Inputs'!$O$8))))</f>
        <v>0</v>
      </c>
      <c r="DI34" s="242">
        <f ca="1">IF(DI$5&lt;=MonthRefi,IF(AND('General Inputs'!$I$16&gt;0,Waterfalls!DI5&lt;='General Inputs'!$I$16),0,IF(-PPMT('General Inputs'!$I$14/12,DI$5-'General Inputs'!$I$16,'General Inputs'!$I$13*12,'General Inputs'!$I$8)&gt;DI32,-DI32,PPMT('General Inputs'!$I$14/12,DI$5-'General Inputs'!$I$16,'General Inputs'!$I$13*12,'General Inputs'!$I$8))),
IF(AND('General Inputs'!$O$16&gt;0,Waterfalls!DI5&lt;=MonthRefi+'General Inputs'!$O$16),0,IF(-PPMT('General Inputs'!$O$14/12,DI$5-MonthRefi-'General Inputs'!$O$16,'General Inputs'!$O$13*12,'General Inputs'!$O$8)&gt;DI32,-DI32,PPMT('General Inputs'!$O$14/12,DI$5-MonthRefi-'General Inputs'!$O$16,'General Inputs'!$O$13*12,'General Inputs'!$O$8))))</f>
        <v>0</v>
      </c>
      <c r="DJ34" s="242">
        <f ca="1">IF(DJ$5&lt;=MonthRefi,IF(AND('General Inputs'!$I$16&gt;0,Waterfalls!DJ5&lt;='General Inputs'!$I$16),0,IF(-PPMT('General Inputs'!$I$14/12,DJ$5-'General Inputs'!$I$16,'General Inputs'!$I$13*12,'General Inputs'!$I$8)&gt;DJ32,-DJ32,PPMT('General Inputs'!$I$14/12,DJ$5-'General Inputs'!$I$16,'General Inputs'!$I$13*12,'General Inputs'!$I$8))),
IF(AND('General Inputs'!$O$16&gt;0,Waterfalls!DJ5&lt;=MonthRefi+'General Inputs'!$O$16),0,IF(-PPMT('General Inputs'!$O$14/12,DJ$5-MonthRefi-'General Inputs'!$O$16,'General Inputs'!$O$13*12,'General Inputs'!$O$8)&gt;DJ32,-DJ32,PPMT('General Inputs'!$O$14/12,DJ$5-MonthRefi-'General Inputs'!$O$16,'General Inputs'!$O$13*12,'General Inputs'!$O$8))))</f>
        <v>0</v>
      </c>
      <c r="DK34" s="242">
        <f ca="1">IF(DK$5&lt;=MonthRefi,IF(AND('General Inputs'!$I$16&gt;0,Waterfalls!DK5&lt;='General Inputs'!$I$16),0,IF(-PPMT('General Inputs'!$I$14/12,DK$5-'General Inputs'!$I$16,'General Inputs'!$I$13*12,'General Inputs'!$I$8)&gt;DK32,-DK32,PPMT('General Inputs'!$I$14/12,DK$5-'General Inputs'!$I$16,'General Inputs'!$I$13*12,'General Inputs'!$I$8))),
IF(AND('General Inputs'!$O$16&gt;0,Waterfalls!DK5&lt;=MonthRefi+'General Inputs'!$O$16),0,IF(-PPMT('General Inputs'!$O$14/12,DK$5-MonthRefi-'General Inputs'!$O$16,'General Inputs'!$O$13*12,'General Inputs'!$O$8)&gt;DK32,-DK32,PPMT('General Inputs'!$O$14/12,DK$5-MonthRefi-'General Inputs'!$O$16,'General Inputs'!$O$13*12,'General Inputs'!$O$8))))</f>
        <v>0</v>
      </c>
      <c r="DL34" s="242">
        <f ca="1">IF(DL$5&lt;=MonthRefi,IF(AND('General Inputs'!$I$16&gt;0,Waterfalls!DL5&lt;='General Inputs'!$I$16),0,IF(-PPMT('General Inputs'!$I$14/12,DL$5-'General Inputs'!$I$16,'General Inputs'!$I$13*12,'General Inputs'!$I$8)&gt;DL32,-DL32,PPMT('General Inputs'!$I$14/12,DL$5-'General Inputs'!$I$16,'General Inputs'!$I$13*12,'General Inputs'!$I$8))),
IF(AND('General Inputs'!$O$16&gt;0,Waterfalls!DL5&lt;=MonthRefi+'General Inputs'!$O$16),0,IF(-PPMT('General Inputs'!$O$14/12,DL$5-MonthRefi-'General Inputs'!$O$16,'General Inputs'!$O$13*12,'General Inputs'!$O$8)&gt;DL32,-DL32,PPMT('General Inputs'!$O$14/12,DL$5-MonthRefi-'General Inputs'!$O$16,'General Inputs'!$O$13*12,'General Inputs'!$O$8))))</f>
        <v>0</v>
      </c>
      <c r="DM34" s="242">
        <f ca="1">IF(DM$5&lt;=MonthRefi,IF(AND('General Inputs'!$I$16&gt;0,Waterfalls!DM5&lt;='General Inputs'!$I$16),0,IF(-PPMT('General Inputs'!$I$14/12,DM$5-'General Inputs'!$I$16,'General Inputs'!$I$13*12,'General Inputs'!$I$8)&gt;DM32,-DM32,PPMT('General Inputs'!$I$14/12,DM$5-'General Inputs'!$I$16,'General Inputs'!$I$13*12,'General Inputs'!$I$8))),
IF(AND('General Inputs'!$O$16&gt;0,Waterfalls!DM5&lt;=MonthRefi+'General Inputs'!$O$16),0,IF(-PPMT('General Inputs'!$O$14/12,DM$5-MonthRefi-'General Inputs'!$O$16,'General Inputs'!$O$13*12,'General Inputs'!$O$8)&gt;DM32,-DM32,PPMT('General Inputs'!$O$14/12,DM$5-MonthRefi-'General Inputs'!$O$16,'General Inputs'!$O$13*12,'General Inputs'!$O$8))))</f>
        <v>0</v>
      </c>
      <c r="DN34" s="242">
        <f ca="1">IF(DN$5&lt;=MonthRefi,IF(AND('General Inputs'!$I$16&gt;0,Waterfalls!DN5&lt;='General Inputs'!$I$16),0,IF(-PPMT('General Inputs'!$I$14/12,DN$5-'General Inputs'!$I$16,'General Inputs'!$I$13*12,'General Inputs'!$I$8)&gt;DN32,-DN32,PPMT('General Inputs'!$I$14/12,DN$5-'General Inputs'!$I$16,'General Inputs'!$I$13*12,'General Inputs'!$I$8))),
IF(AND('General Inputs'!$O$16&gt;0,Waterfalls!DN5&lt;=MonthRefi+'General Inputs'!$O$16),0,IF(-PPMT('General Inputs'!$O$14/12,DN$5-MonthRefi-'General Inputs'!$O$16,'General Inputs'!$O$13*12,'General Inputs'!$O$8)&gt;DN32,-DN32,PPMT('General Inputs'!$O$14/12,DN$5-MonthRefi-'General Inputs'!$O$16,'General Inputs'!$O$13*12,'General Inputs'!$O$8))))</f>
        <v>0</v>
      </c>
      <c r="DO34" s="242">
        <f ca="1">IF(DO$5&lt;=MonthRefi,IF(AND('General Inputs'!$I$16&gt;0,Waterfalls!DO5&lt;='General Inputs'!$I$16),0,IF(-PPMT('General Inputs'!$I$14/12,DO$5-'General Inputs'!$I$16,'General Inputs'!$I$13*12,'General Inputs'!$I$8)&gt;DO32,-DO32,PPMT('General Inputs'!$I$14/12,DO$5-'General Inputs'!$I$16,'General Inputs'!$I$13*12,'General Inputs'!$I$8))),
IF(AND('General Inputs'!$O$16&gt;0,Waterfalls!DO5&lt;=MonthRefi+'General Inputs'!$O$16),0,IF(-PPMT('General Inputs'!$O$14/12,DO$5-MonthRefi-'General Inputs'!$O$16,'General Inputs'!$O$13*12,'General Inputs'!$O$8)&gt;DO32,-DO32,PPMT('General Inputs'!$O$14/12,DO$5-MonthRefi-'General Inputs'!$O$16,'General Inputs'!$O$13*12,'General Inputs'!$O$8))))</f>
        <v>0</v>
      </c>
      <c r="DP34" s="242">
        <f ca="1">IF(DP$5&lt;=MonthRefi,IF(AND('General Inputs'!$I$16&gt;0,Waterfalls!DP5&lt;='General Inputs'!$I$16),0,IF(-PPMT('General Inputs'!$I$14/12,DP$5-'General Inputs'!$I$16,'General Inputs'!$I$13*12,'General Inputs'!$I$8)&gt;DP32,-DP32,PPMT('General Inputs'!$I$14/12,DP$5-'General Inputs'!$I$16,'General Inputs'!$I$13*12,'General Inputs'!$I$8))),
IF(AND('General Inputs'!$O$16&gt;0,Waterfalls!DP5&lt;=MonthRefi+'General Inputs'!$O$16),0,IF(-PPMT('General Inputs'!$O$14/12,DP$5-MonthRefi-'General Inputs'!$O$16,'General Inputs'!$O$13*12,'General Inputs'!$O$8)&gt;DP32,-DP32,PPMT('General Inputs'!$O$14/12,DP$5-MonthRefi-'General Inputs'!$O$16,'General Inputs'!$O$13*12,'General Inputs'!$O$8))))</f>
        <v>0</v>
      </c>
      <c r="DQ34" s="242">
        <f ca="1">IF(DQ$5&lt;=MonthRefi,IF(AND('General Inputs'!$I$16&gt;0,Waterfalls!DQ5&lt;='General Inputs'!$I$16),0,IF(-PPMT('General Inputs'!$I$14/12,DQ$5-'General Inputs'!$I$16,'General Inputs'!$I$13*12,'General Inputs'!$I$8)&gt;DQ32,-DQ32,PPMT('General Inputs'!$I$14/12,DQ$5-'General Inputs'!$I$16,'General Inputs'!$I$13*12,'General Inputs'!$I$8))),
IF(AND('General Inputs'!$O$16&gt;0,Waterfalls!DQ5&lt;=MonthRefi+'General Inputs'!$O$16),0,IF(-PPMT('General Inputs'!$O$14/12,DQ$5-MonthRefi-'General Inputs'!$O$16,'General Inputs'!$O$13*12,'General Inputs'!$O$8)&gt;DQ32,-DQ32,PPMT('General Inputs'!$O$14/12,DQ$5-MonthRefi-'General Inputs'!$O$16,'General Inputs'!$O$13*12,'General Inputs'!$O$8))))</f>
        <v>0</v>
      </c>
      <c r="DR34" s="242">
        <f ca="1">IF(DR$5&lt;=MonthRefi,IF(AND('General Inputs'!$I$16&gt;0,Waterfalls!DR5&lt;='General Inputs'!$I$16),0,IF(-PPMT('General Inputs'!$I$14/12,DR$5-'General Inputs'!$I$16,'General Inputs'!$I$13*12,'General Inputs'!$I$8)&gt;DR32,-DR32,PPMT('General Inputs'!$I$14/12,DR$5-'General Inputs'!$I$16,'General Inputs'!$I$13*12,'General Inputs'!$I$8))),
IF(AND('General Inputs'!$O$16&gt;0,Waterfalls!DR5&lt;=MonthRefi+'General Inputs'!$O$16),0,IF(-PPMT('General Inputs'!$O$14/12,DR$5-MonthRefi-'General Inputs'!$O$16,'General Inputs'!$O$13*12,'General Inputs'!$O$8)&gt;DR32,-DR32,PPMT('General Inputs'!$O$14/12,DR$5-MonthRefi-'General Inputs'!$O$16,'General Inputs'!$O$13*12,'General Inputs'!$O$8))))</f>
        <v>0</v>
      </c>
      <c r="DS34" s="242">
        <f ca="1">IF(DS$5&lt;=MonthRefi,IF(AND('General Inputs'!$I$16&gt;0,Waterfalls!DS5&lt;='General Inputs'!$I$16),0,IF(-PPMT('General Inputs'!$I$14/12,DS$5-'General Inputs'!$I$16,'General Inputs'!$I$13*12,'General Inputs'!$I$8)&gt;DS32,-DS32,PPMT('General Inputs'!$I$14/12,DS$5-'General Inputs'!$I$16,'General Inputs'!$I$13*12,'General Inputs'!$I$8))),
IF(AND('General Inputs'!$O$16&gt;0,Waterfalls!DS5&lt;=MonthRefi+'General Inputs'!$O$16),0,IF(-PPMT('General Inputs'!$O$14/12,DS$5-MonthRefi-'General Inputs'!$O$16,'General Inputs'!$O$13*12,'General Inputs'!$O$8)&gt;DS32,-DS32,PPMT('General Inputs'!$O$14/12,DS$5-MonthRefi-'General Inputs'!$O$16,'General Inputs'!$O$13*12,'General Inputs'!$O$8))))</f>
        <v>0</v>
      </c>
      <c r="DT34" s="242">
        <f ca="1">IF(DT$5&lt;=MonthRefi,IF(AND('General Inputs'!$I$16&gt;0,Waterfalls!DT5&lt;='General Inputs'!$I$16),0,IF(-PPMT('General Inputs'!$I$14/12,DT$5-'General Inputs'!$I$16,'General Inputs'!$I$13*12,'General Inputs'!$I$8)&gt;DT32,-DT32,PPMT('General Inputs'!$I$14/12,DT$5-'General Inputs'!$I$16,'General Inputs'!$I$13*12,'General Inputs'!$I$8))),
IF(AND('General Inputs'!$O$16&gt;0,Waterfalls!DT5&lt;=MonthRefi+'General Inputs'!$O$16),0,IF(-PPMT('General Inputs'!$O$14/12,DT$5-MonthRefi-'General Inputs'!$O$16,'General Inputs'!$O$13*12,'General Inputs'!$O$8)&gt;DT32,-DT32,PPMT('General Inputs'!$O$14/12,DT$5-MonthRefi-'General Inputs'!$O$16,'General Inputs'!$O$13*12,'General Inputs'!$O$8))))</f>
        <v>0</v>
      </c>
      <c r="DU34" s="242">
        <f ca="1">IF(DU$5&lt;=MonthRefi,IF(AND('General Inputs'!$I$16&gt;0,Waterfalls!DU5&lt;='General Inputs'!$I$16),0,IF(-PPMT('General Inputs'!$I$14/12,DU$5-'General Inputs'!$I$16,'General Inputs'!$I$13*12,'General Inputs'!$I$8)&gt;DU32,-DU32,PPMT('General Inputs'!$I$14/12,DU$5-'General Inputs'!$I$16,'General Inputs'!$I$13*12,'General Inputs'!$I$8))),
IF(AND('General Inputs'!$O$16&gt;0,Waterfalls!DU5&lt;=MonthRefi+'General Inputs'!$O$16),0,IF(-PPMT('General Inputs'!$O$14/12,DU$5-MonthRefi-'General Inputs'!$O$16,'General Inputs'!$O$13*12,'General Inputs'!$O$8)&gt;DU32,-DU32,PPMT('General Inputs'!$O$14/12,DU$5-MonthRefi-'General Inputs'!$O$16,'General Inputs'!$O$13*12,'General Inputs'!$O$8))))</f>
        <v>0</v>
      </c>
      <c r="DV34" s="242">
        <f ca="1">IF(DV$5&lt;=MonthRefi,IF(AND('General Inputs'!$I$16&gt;0,Waterfalls!DV5&lt;='General Inputs'!$I$16),0,IF(-PPMT('General Inputs'!$I$14/12,DV$5-'General Inputs'!$I$16,'General Inputs'!$I$13*12,'General Inputs'!$I$8)&gt;DV32,-DV32,PPMT('General Inputs'!$I$14/12,DV$5-'General Inputs'!$I$16,'General Inputs'!$I$13*12,'General Inputs'!$I$8))),
IF(AND('General Inputs'!$O$16&gt;0,Waterfalls!DV5&lt;=MonthRefi+'General Inputs'!$O$16),0,IF(-PPMT('General Inputs'!$O$14/12,DV$5-MonthRefi-'General Inputs'!$O$16,'General Inputs'!$O$13*12,'General Inputs'!$O$8)&gt;DV32,-DV32,PPMT('General Inputs'!$O$14/12,DV$5-MonthRefi-'General Inputs'!$O$16,'General Inputs'!$O$13*12,'General Inputs'!$O$8))))</f>
        <v>0</v>
      </c>
      <c r="DW34" s="242">
        <f ca="1">IF(DW$5&lt;=MonthRefi,IF(AND('General Inputs'!$I$16&gt;0,Waterfalls!DW5&lt;='General Inputs'!$I$16),0,IF(-PPMT('General Inputs'!$I$14/12,DW$5-'General Inputs'!$I$16,'General Inputs'!$I$13*12,'General Inputs'!$I$8)&gt;DW32,-DW32,PPMT('General Inputs'!$I$14/12,DW$5-'General Inputs'!$I$16,'General Inputs'!$I$13*12,'General Inputs'!$I$8))),
IF(AND('General Inputs'!$O$16&gt;0,Waterfalls!DW5&lt;=MonthRefi+'General Inputs'!$O$16),0,IF(-PPMT('General Inputs'!$O$14/12,DW$5-MonthRefi-'General Inputs'!$O$16,'General Inputs'!$O$13*12,'General Inputs'!$O$8)&gt;DW32,-DW32,PPMT('General Inputs'!$O$14/12,DW$5-MonthRefi-'General Inputs'!$O$16,'General Inputs'!$O$13*12,'General Inputs'!$O$8))))</f>
        <v>0</v>
      </c>
      <c r="DX34" s="242">
        <f ca="1">IF(DX$5&lt;=MonthRefi,IF(AND('General Inputs'!$I$16&gt;0,Waterfalls!DX5&lt;='General Inputs'!$I$16),0,IF(-PPMT('General Inputs'!$I$14/12,DX$5-'General Inputs'!$I$16,'General Inputs'!$I$13*12,'General Inputs'!$I$8)&gt;DX32,-DX32,PPMT('General Inputs'!$I$14/12,DX$5-'General Inputs'!$I$16,'General Inputs'!$I$13*12,'General Inputs'!$I$8))),
IF(AND('General Inputs'!$O$16&gt;0,Waterfalls!DX5&lt;=MonthRefi+'General Inputs'!$O$16),0,IF(-PPMT('General Inputs'!$O$14/12,DX$5-MonthRefi-'General Inputs'!$O$16,'General Inputs'!$O$13*12,'General Inputs'!$O$8)&gt;DX32,-DX32,PPMT('General Inputs'!$O$14/12,DX$5-MonthRefi-'General Inputs'!$O$16,'General Inputs'!$O$13*12,'General Inputs'!$O$8))))</f>
        <v>0</v>
      </c>
      <c r="DY34" s="242">
        <f ca="1">IF(DY$5&lt;=MonthRefi,IF(AND('General Inputs'!$I$16&gt;0,Waterfalls!DY5&lt;='General Inputs'!$I$16),0,IF(-PPMT('General Inputs'!$I$14/12,DY$5-'General Inputs'!$I$16,'General Inputs'!$I$13*12,'General Inputs'!$I$8)&gt;DY32,-DY32,PPMT('General Inputs'!$I$14/12,DY$5-'General Inputs'!$I$16,'General Inputs'!$I$13*12,'General Inputs'!$I$8))),
IF(AND('General Inputs'!$O$16&gt;0,Waterfalls!DY5&lt;=MonthRefi+'General Inputs'!$O$16),0,IF(-PPMT('General Inputs'!$O$14/12,DY$5-MonthRefi-'General Inputs'!$O$16,'General Inputs'!$O$13*12,'General Inputs'!$O$8)&gt;DY32,-DY32,PPMT('General Inputs'!$O$14/12,DY$5-MonthRefi-'General Inputs'!$O$16,'General Inputs'!$O$13*12,'General Inputs'!$O$8))))</f>
        <v>0</v>
      </c>
      <c r="DZ34" s="242">
        <f ca="1">IF(DZ$5&lt;=MonthRefi,IF(AND('General Inputs'!$I$16&gt;0,Waterfalls!DZ5&lt;='General Inputs'!$I$16),0,IF(-PPMT('General Inputs'!$I$14/12,DZ$5-'General Inputs'!$I$16,'General Inputs'!$I$13*12,'General Inputs'!$I$8)&gt;DZ32,-DZ32,PPMT('General Inputs'!$I$14/12,DZ$5-'General Inputs'!$I$16,'General Inputs'!$I$13*12,'General Inputs'!$I$8))),
IF(AND('General Inputs'!$O$16&gt;0,Waterfalls!DZ5&lt;=MonthRefi+'General Inputs'!$O$16),0,IF(-PPMT('General Inputs'!$O$14/12,DZ$5-MonthRefi-'General Inputs'!$O$16,'General Inputs'!$O$13*12,'General Inputs'!$O$8)&gt;DZ32,-DZ32,PPMT('General Inputs'!$O$14/12,DZ$5-MonthRefi-'General Inputs'!$O$16,'General Inputs'!$O$13*12,'General Inputs'!$O$8))))</f>
        <v>0</v>
      </c>
      <c r="EA34" s="242">
        <f ca="1">IF(EA$5&lt;=MonthRefi,IF(AND('General Inputs'!$I$16&gt;0,Waterfalls!EA5&lt;='General Inputs'!$I$16),0,IF(-PPMT('General Inputs'!$I$14/12,EA$5-'General Inputs'!$I$16,'General Inputs'!$I$13*12,'General Inputs'!$I$8)&gt;EA32,-EA32,PPMT('General Inputs'!$I$14/12,EA$5-'General Inputs'!$I$16,'General Inputs'!$I$13*12,'General Inputs'!$I$8))),
IF(AND('General Inputs'!$O$16&gt;0,Waterfalls!EA5&lt;=MonthRefi+'General Inputs'!$O$16),0,IF(-PPMT('General Inputs'!$O$14/12,EA$5-MonthRefi-'General Inputs'!$O$16,'General Inputs'!$O$13*12,'General Inputs'!$O$8)&gt;EA32,-EA32,PPMT('General Inputs'!$O$14/12,EA$5-MonthRefi-'General Inputs'!$O$16,'General Inputs'!$O$13*12,'General Inputs'!$O$8))))</f>
        <v>0</v>
      </c>
      <c r="EB34" s="242">
        <f ca="1">IF(EB$5&lt;=MonthRefi,IF(AND('General Inputs'!$I$16&gt;0,Waterfalls!EB5&lt;='General Inputs'!$I$16),0,IF(-PPMT('General Inputs'!$I$14/12,EB$5-'General Inputs'!$I$16,'General Inputs'!$I$13*12,'General Inputs'!$I$8)&gt;EB32,-EB32,PPMT('General Inputs'!$I$14/12,EB$5-'General Inputs'!$I$16,'General Inputs'!$I$13*12,'General Inputs'!$I$8))),
IF(AND('General Inputs'!$O$16&gt;0,Waterfalls!EB5&lt;=MonthRefi+'General Inputs'!$O$16),0,IF(-PPMT('General Inputs'!$O$14/12,EB$5-MonthRefi-'General Inputs'!$O$16,'General Inputs'!$O$13*12,'General Inputs'!$O$8)&gt;EB32,-EB32,PPMT('General Inputs'!$O$14/12,EB$5-MonthRefi-'General Inputs'!$O$16,'General Inputs'!$O$13*12,'General Inputs'!$O$8))))</f>
        <v>0</v>
      </c>
      <c r="EC34" s="242">
        <f ca="1">IF(EC$5&lt;=MonthRefi,IF(AND('General Inputs'!$I$16&gt;0,Waterfalls!EC5&lt;='General Inputs'!$I$16),0,IF(-PPMT('General Inputs'!$I$14/12,EC$5-'General Inputs'!$I$16,'General Inputs'!$I$13*12,'General Inputs'!$I$8)&gt;EC32,-EC32,PPMT('General Inputs'!$I$14/12,EC$5-'General Inputs'!$I$16,'General Inputs'!$I$13*12,'General Inputs'!$I$8))),
IF(AND('General Inputs'!$O$16&gt;0,Waterfalls!EC5&lt;=MonthRefi+'General Inputs'!$O$16),0,IF(-PPMT('General Inputs'!$O$14/12,EC$5-MonthRefi-'General Inputs'!$O$16,'General Inputs'!$O$13*12,'General Inputs'!$O$8)&gt;EC32,-EC32,PPMT('General Inputs'!$O$14/12,EC$5-MonthRefi-'General Inputs'!$O$16,'General Inputs'!$O$13*12,'General Inputs'!$O$8))))</f>
        <v>0</v>
      </c>
      <c r="ED34" s="242">
        <f ca="1">IF(ED$5&lt;=MonthRefi,IF(AND('General Inputs'!$I$16&gt;0,Waterfalls!ED5&lt;='General Inputs'!$I$16),0,IF(-PPMT('General Inputs'!$I$14/12,ED$5-'General Inputs'!$I$16,'General Inputs'!$I$13*12,'General Inputs'!$I$8)&gt;ED32,-ED32,PPMT('General Inputs'!$I$14/12,ED$5-'General Inputs'!$I$16,'General Inputs'!$I$13*12,'General Inputs'!$I$8))),
IF(AND('General Inputs'!$O$16&gt;0,Waterfalls!ED5&lt;=MonthRefi+'General Inputs'!$O$16),0,IF(-PPMT('General Inputs'!$O$14/12,ED$5-MonthRefi-'General Inputs'!$O$16,'General Inputs'!$O$13*12,'General Inputs'!$O$8)&gt;ED32,-ED32,PPMT('General Inputs'!$O$14/12,ED$5-MonthRefi-'General Inputs'!$O$16,'General Inputs'!$O$13*12,'General Inputs'!$O$8))))</f>
        <v>0</v>
      </c>
      <c r="EE34" s="242">
        <f ca="1">IF(EE$5&lt;=MonthRefi,IF(AND('General Inputs'!$I$16&gt;0,Waterfalls!EE5&lt;='General Inputs'!$I$16),0,IF(-PPMT('General Inputs'!$I$14/12,EE$5-'General Inputs'!$I$16,'General Inputs'!$I$13*12,'General Inputs'!$I$8)&gt;EE32,-EE32,PPMT('General Inputs'!$I$14/12,EE$5-'General Inputs'!$I$16,'General Inputs'!$I$13*12,'General Inputs'!$I$8))),
IF(AND('General Inputs'!$O$16&gt;0,Waterfalls!EE5&lt;=MonthRefi+'General Inputs'!$O$16),0,IF(-PPMT('General Inputs'!$O$14/12,EE$5-MonthRefi-'General Inputs'!$O$16,'General Inputs'!$O$13*12,'General Inputs'!$O$8)&gt;EE32,-EE32,PPMT('General Inputs'!$O$14/12,EE$5-MonthRefi-'General Inputs'!$O$16,'General Inputs'!$O$13*12,'General Inputs'!$O$8))))</f>
        <v>0</v>
      </c>
      <c r="EF34" s="242">
        <f ca="1">IF(EF$5&lt;=MonthRefi,IF(AND('General Inputs'!$I$16&gt;0,Waterfalls!EF5&lt;='General Inputs'!$I$16),0,IF(-PPMT('General Inputs'!$I$14/12,EF$5-'General Inputs'!$I$16,'General Inputs'!$I$13*12,'General Inputs'!$I$8)&gt;EF32,-EF32,PPMT('General Inputs'!$I$14/12,EF$5-'General Inputs'!$I$16,'General Inputs'!$I$13*12,'General Inputs'!$I$8))),
IF(AND('General Inputs'!$O$16&gt;0,Waterfalls!EF5&lt;=MonthRefi+'General Inputs'!$O$16),0,IF(-PPMT('General Inputs'!$O$14/12,EF$5-MonthRefi-'General Inputs'!$O$16,'General Inputs'!$O$13*12,'General Inputs'!$O$8)&gt;EF32,-EF32,PPMT('General Inputs'!$O$14/12,EF$5-MonthRefi-'General Inputs'!$O$16,'General Inputs'!$O$13*12,'General Inputs'!$O$8))))</f>
        <v>0</v>
      </c>
      <c r="EG34" s="242">
        <f ca="1">IF(EG$5&lt;=MonthRefi,IF(AND('General Inputs'!$I$16&gt;0,Waterfalls!EG5&lt;='General Inputs'!$I$16),0,IF(-PPMT('General Inputs'!$I$14/12,EG$5-'General Inputs'!$I$16,'General Inputs'!$I$13*12,'General Inputs'!$I$8)&gt;EG32,-EG32,PPMT('General Inputs'!$I$14/12,EG$5-'General Inputs'!$I$16,'General Inputs'!$I$13*12,'General Inputs'!$I$8))),
IF(AND('General Inputs'!$O$16&gt;0,Waterfalls!EG5&lt;=MonthRefi+'General Inputs'!$O$16),0,IF(-PPMT('General Inputs'!$O$14/12,EG$5-MonthRefi-'General Inputs'!$O$16,'General Inputs'!$O$13*12,'General Inputs'!$O$8)&gt;EG32,-EG32,PPMT('General Inputs'!$O$14/12,EG$5-MonthRefi-'General Inputs'!$O$16,'General Inputs'!$O$13*12,'General Inputs'!$O$8))))</f>
        <v>0</v>
      </c>
    </row>
    <row r="35" spans="1:137" x14ac:dyDescent="0.3">
      <c r="A35" s="245" t="s">
        <v>843</v>
      </c>
      <c r="E35" s="227">
        <f t="shared" ref="E35:BP35" si="37">SUM(E32:E34)</f>
        <v>0</v>
      </c>
      <c r="F35" s="227">
        <f t="shared" ca="1" si="37"/>
        <v>0</v>
      </c>
      <c r="G35" s="227">
        <f t="shared" ca="1" si="37"/>
        <v>0</v>
      </c>
      <c r="H35" s="227">
        <f t="shared" ca="1" si="37"/>
        <v>0</v>
      </c>
      <c r="I35" s="227">
        <f t="shared" ca="1" si="37"/>
        <v>0</v>
      </c>
      <c r="J35" s="227">
        <f t="shared" ca="1" si="37"/>
        <v>0</v>
      </c>
      <c r="K35" s="227">
        <f t="shared" ca="1" si="37"/>
        <v>0</v>
      </c>
      <c r="L35" s="227">
        <f t="shared" ca="1" si="37"/>
        <v>0</v>
      </c>
      <c r="M35" s="227">
        <f t="shared" ca="1" si="37"/>
        <v>0</v>
      </c>
      <c r="N35" s="227">
        <f t="shared" ca="1" si="37"/>
        <v>0</v>
      </c>
      <c r="O35" s="227">
        <f t="shared" ca="1" si="37"/>
        <v>0</v>
      </c>
      <c r="P35" s="227">
        <f t="shared" ca="1" si="37"/>
        <v>0</v>
      </c>
      <c r="Q35" s="227">
        <f t="shared" ca="1" si="37"/>
        <v>0</v>
      </c>
      <c r="R35" s="227">
        <f t="shared" ca="1" si="37"/>
        <v>0</v>
      </c>
      <c r="S35" s="227">
        <f t="shared" ca="1" si="37"/>
        <v>0</v>
      </c>
      <c r="T35" s="227">
        <f t="shared" ca="1" si="37"/>
        <v>0</v>
      </c>
      <c r="U35" s="227">
        <f t="shared" ca="1" si="37"/>
        <v>0</v>
      </c>
      <c r="V35" s="227">
        <f t="shared" ca="1" si="37"/>
        <v>0</v>
      </c>
      <c r="W35" s="227">
        <f t="shared" ca="1" si="37"/>
        <v>0</v>
      </c>
      <c r="X35" s="227">
        <f t="shared" ca="1" si="37"/>
        <v>0</v>
      </c>
      <c r="Y35" s="227">
        <f t="shared" ca="1" si="37"/>
        <v>0</v>
      </c>
      <c r="Z35" s="227">
        <f t="shared" ca="1" si="37"/>
        <v>0</v>
      </c>
      <c r="AA35" s="227">
        <f t="shared" ca="1" si="37"/>
        <v>0</v>
      </c>
      <c r="AB35" s="227">
        <f t="shared" ca="1" si="37"/>
        <v>0</v>
      </c>
      <c r="AC35" s="227">
        <f t="shared" ca="1" si="37"/>
        <v>0</v>
      </c>
      <c r="AD35" s="227">
        <f t="shared" ca="1" si="37"/>
        <v>0</v>
      </c>
      <c r="AE35" s="227">
        <f t="shared" ca="1" si="37"/>
        <v>0</v>
      </c>
      <c r="AF35" s="227">
        <f t="shared" ca="1" si="37"/>
        <v>0</v>
      </c>
      <c r="AG35" s="227">
        <f t="shared" ca="1" si="37"/>
        <v>0</v>
      </c>
      <c r="AH35" s="227">
        <f t="shared" ca="1" si="37"/>
        <v>0</v>
      </c>
      <c r="AI35" s="227">
        <f t="shared" ca="1" si="37"/>
        <v>0</v>
      </c>
      <c r="AJ35" s="227">
        <f t="shared" ca="1" si="37"/>
        <v>0</v>
      </c>
      <c r="AK35" s="227">
        <f t="shared" ca="1" si="37"/>
        <v>0</v>
      </c>
      <c r="AL35" s="227">
        <f t="shared" ca="1" si="37"/>
        <v>0</v>
      </c>
      <c r="AM35" s="227">
        <f t="shared" ca="1" si="37"/>
        <v>0</v>
      </c>
      <c r="AN35" s="227">
        <f t="shared" ca="1" si="37"/>
        <v>0</v>
      </c>
      <c r="AO35" s="227">
        <f t="shared" ca="1" si="37"/>
        <v>0</v>
      </c>
      <c r="AP35" s="227">
        <f t="shared" ca="1" si="37"/>
        <v>0</v>
      </c>
      <c r="AQ35" s="227">
        <f t="shared" ca="1" si="37"/>
        <v>0</v>
      </c>
      <c r="AR35" s="227">
        <f t="shared" ca="1" si="37"/>
        <v>0</v>
      </c>
      <c r="AS35" s="227">
        <f t="shared" ca="1" si="37"/>
        <v>0</v>
      </c>
      <c r="AT35" s="227">
        <f t="shared" ca="1" si="37"/>
        <v>0</v>
      </c>
      <c r="AU35" s="227">
        <f t="shared" ca="1" si="37"/>
        <v>0</v>
      </c>
      <c r="AV35" s="227">
        <f t="shared" ca="1" si="37"/>
        <v>0</v>
      </c>
      <c r="AW35" s="227">
        <f t="shared" ca="1" si="37"/>
        <v>0</v>
      </c>
      <c r="AX35" s="227">
        <f t="shared" ca="1" si="37"/>
        <v>0</v>
      </c>
      <c r="AY35" s="227">
        <f t="shared" ca="1" si="37"/>
        <v>0</v>
      </c>
      <c r="AZ35" s="227">
        <f t="shared" ca="1" si="37"/>
        <v>0</v>
      </c>
      <c r="BA35" s="227">
        <f t="shared" ca="1" si="37"/>
        <v>0</v>
      </c>
      <c r="BB35" s="227">
        <f t="shared" ca="1" si="37"/>
        <v>0</v>
      </c>
      <c r="BC35" s="227">
        <f t="shared" ca="1" si="37"/>
        <v>0</v>
      </c>
      <c r="BD35" s="227">
        <f t="shared" ca="1" si="37"/>
        <v>0</v>
      </c>
      <c r="BE35" s="227">
        <f t="shared" ca="1" si="37"/>
        <v>0</v>
      </c>
      <c r="BF35" s="227">
        <f t="shared" ca="1" si="37"/>
        <v>0</v>
      </c>
      <c r="BG35" s="227">
        <f t="shared" ca="1" si="37"/>
        <v>0</v>
      </c>
      <c r="BH35" s="227">
        <f t="shared" ca="1" si="37"/>
        <v>0</v>
      </c>
      <c r="BI35" s="227">
        <f t="shared" ca="1" si="37"/>
        <v>0</v>
      </c>
      <c r="BJ35" s="227">
        <f t="shared" ca="1" si="37"/>
        <v>0</v>
      </c>
      <c r="BK35" s="227">
        <f t="shared" ca="1" si="37"/>
        <v>0</v>
      </c>
      <c r="BL35" s="227">
        <f t="shared" ca="1" si="37"/>
        <v>0</v>
      </c>
      <c r="BM35" s="227">
        <f t="shared" ca="1" si="37"/>
        <v>0</v>
      </c>
      <c r="BN35" s="227">
        <f ca="1">SUM(BN32:BN34)</f>
        <v>0</v>
      </c>
      <c r="BO35" s="227">
        <f t="shared" ca="1" si="37"/>
        <v>0</v>
      </c>
      <c r="BP35" s="227">
        <f t="shared" ca="1" si="37"/>
        <v>0</v>
      </c>
      <c r="BQ35" s="227">
        <f t="shared" ref="BQ35:EB35" ca="1" si="38">SUM(BQ32:BQ34)</f>
        <v>0</v>
      </c>
      <c r="BR35" s="227">
        <f t="shared" ca="1" si="38"/>
        <v>0</v>
      </c>
      <c r="BS35" s="227">
        <f t="shared" ca="1" si="38"/>
        <v>0</v>
      </c>
      <c r="BT35" s="227">
        <f t="shared" ca="1" si="38"/>
        <v>0</v>
      </c>
      <c r="BU35" s="227">
        <f t="shared" ca="1" si="38"/>
        <v>0</v>
      </c>
      <c r="BV35" s="227">
        <f t="shared" ca="1" si="38"/>
        <v>0</v>
      </c>
      <c r="BW35" s="227">
        <f t="shared" ca="1" si="38"/>
        <v>0</v>
      </c>
      <c r="BX35" s="227">
        <f t="shared" ca="1" si="38"/>
        <v>0</v>
      </c>
      <c r="BY35" s="227">
        <f t="shared" ca="1" si="38"/>
        <v>0</v>
      </c>
      <c r="BZ35" s="227">
        <f t="shared" ca="1" si="38"/>
        <v>0</v>
      </c>
      <c r="CA35" s="227">
        <f t="shared" ca="1" si="38"/>
        <v>0</v>
      </c>
      <c r="CB35" s="227">
        <f t="shared" ca="1" si="38"/>
        <v>0</v>
      </c>
      <c r="CC35" s="227">
        <f t="shared" ca="1" si="38"/>
        <v>0</v>
      </c>
      <c r="CD35" s="227">
        <f t="shared" ca="1" si="38"/>
        <v>0</v>
      </c>
      <c r="CE35" s="227">
        <f t="shared" ca="1" si="38"/>
        <v>0</v>
      </c>
      <c r="CF35" s="227">
        <f t="shared" ca="1" si="38"/>
        <v>0</v>
      </c>
      <c r="CG35" s="227">
        <f t="shared" ca="1" si="38"/>
        <v>0</v>
      </c>
      <c r="CH35" s="227">
        <f t="shared" ca="1" si="38"/>
        <v>0</v>
      </c>
      <c r="CI35" s="227">
        <f t="shared" ca="1" si="38"/>
        <v>0</v>
      </c>
      <c r="CJ35" s="227">
        <f t="shared" ca="1" si="38"/>
        <v>0</v>
      </c>
      <c r="CK35" s="227">
        <f t="shared" ca="1" si="38"/>
        <v>0</v>
      </c>
      <c r="CL35" s="227">
        <f t="shared" ca="1" si="38"/>
        <v>0</v>
      </c>
      <c r="CM35" s="227">
        <f t="shared" ca="1" si="38"/>
        <v>0</v>
      </c>
      <c r="CN35" s="227">
        <f t="shared" ca="1" si="38"/>
        <v>0</v>
      </c>
      <c r="CO35" s="227">
        <f t="shared" ca="1" si="38"/>
        <v>0</v>
      </c>
      <c r="CP35" s="227">
        <f t="shared" ca="1" si="38"/>
        <v>0</v>
      </c>
      <c r="CQ35" s="227">
        <f t="shared" ca="1" si="38"/>
        <v>0</v>
      </c>
      <c r="CR35" s="227">
        <f t="shared" ca="1" si="38"/>
        <v>0</v>
      </c>
      <c r="CS35" s="227">
        <f t="shared" ca="1" si="38"/>
        <v>0</v>
      </c>
      <c r="CT35" s="227">
        <f t="shared" ca="1" si="38"/>
        <v>0</v>
      </c>
      <c r="CU35" s="227">
        <f t="shared" ca="1" si="38"/>
        <v>0</v>
      </c>
      <c r="CV35" s="227">
        <f t="shared" ca="1" si="38"/>
        <v>0</v>
      </c>
      <c r="CW35" s="227">
        <f t="shared" ca="1" si="38"/>
        <v>0</v>
      </c>
      <c r="CX35" s="227">
        <f t="shared" ca="1" si="38"/>
        <v>0</v>
      </c>
      <c r="CY35" s="227">
        <f t="shared" ca="1" si="38"/>
        <v>0</v>
      </c>
      <c r="CZ35" s="227">
        <f t="shared" ca="1" si="38"/>
        <v>0</v>
      </c>
      <c r="DA35" s="227">
        <f t="shared" ca="1" si="38"/>
        <v>0</v>
      </c>
      <c r="DB35" s="227">
        <f t="shared" ca="1" si="38"/>
        <v>0</v>
      </c>
      <c r="DC35" s="227">
        <f t="shared" ca="1" si="38"/>
        <v>0</v>
      </c>
      <c r="DD35" s="227">
        <f t="shared" ca="1" si="38"/>
        <v>0</v>
      </c>
      <c r="DE35" s="227">
        <f t="shared" ca="1" si="38"/>
        <v>0</v>
      </c>
      <c r="DF35" s="227">
        <f t="shared" ca="1" si="38"/>
        <v>0</v>
      </c>
      <c r="DG35" s="227">
        <f t="shared" ca="1" si="38"/>
        <v>0</v>
      </c>
      <c r="DH35" s="227">
        <f t="shared" ca="1" si="38"/>
        <v>0</v>
      </c>
      <c r="DI35" s="227">
        <f t="shared" ca="1" si="38"/>
        <v>0</v>
      </c>
      <c r="DJ35" s="227">
        <f t="shared" ca="1" si="38"/>
        <v>0</v>
      </c>
      <c r="DK35" s="227">
        <f t="shared" ca="1" si="38"/>
        <v>0</v>
      </c>
      <c r="DL35" s="227">
        <f t="shared" ca="1" si="38"/>
        <v>0</v>
      </c>
      <c r="DM35" s="227">
        <f t="shared" ca="1" si="38"/>
        <v>0</v>
      </c>
      <c r="DN35" s="227">
        <f t="shared" ca="1" si="38"/>
        <v>0</v>
      </c>
      <c r="DO35" s="227">
        <f t="shared" ca="1" si="38"/>
        <v>0</v>
      </c>
      <c r="DP35" s="227">
        <f t="shared" ca="1" si="38"/>
        <v>0</v>
      </c>
      <c r="DQ35" s="227">
        <f t="shared" ca="1" si="38"/>
        <v>0</v>
      </c>
      <c r="DR35" s="227">
        <f t="shared" ca="1" si="38"/>
        <v>0</v>
      </c>
      <c r="DS35" s="227">
        <f t="shared" ca="1" si="38"/>
        <v>0</v>
      </c>
      <c r="DT35" s="227">
        <f t="shared" ca="1" si="38"/>
        <v>0</v>
      </c>
      <c r="DU35" s="227">
        <f t="shared" ca="1" si="38"/>
        <v>0</v>
      </c>
      <c r="DV35" s="227">
        <f t="shared" ca="1" si="38"/>
        <v>0</v>
      </c>
      <c r="DW35" s="227">
        <f t="shared" ca="1" si="38"/>
        <v>0</v>
      </c>
      <c r="DX35" s="227">
        <f t="shared" ca="1" si="38"/>
        <v>0</v>
      </c>
      <c r="DY35" s="227">
        <f t="shared" ca="1" si="38"/>
        <v>0</v>
      </c>
      <c r="DZ35" s="227">
        <f t="shared" ca="1" si="38"/>
        <v>0</v>
      </c>
      <c r="EA35" s="227">
        <f t="shared" ca="1" si="38"/>
        <v>0</v>
      </c>
      <c r="EB35" s="227">
        <f t="shared" ca="1" si="38"/>
        <v>0</v>
      </c>
      <c r="EC35" s="227">
        <f t="shared" ref="EC35:EG35" ca="1" si="39">SUM(EC32:EC34)</f>
        <v>0</v>
      </c>
      <c r="ED35" s="227">
        <f t="shared" ca="1" si="39"/>
        <v>0</v>
      </c>
      <c r="EE35" s="227">
        <f t="shared" ca="1" si="39"/>
        <v>0</v>
      </c>
      <c r="EF35" s="227">
        <f t="shared" ca="1" si="39"/>
        <v>0</v>
      </c>
      <c r="EG35" s="227">
        <f t="shared" ca="1" si="39"/>
        <v>0</v>
      </c>
    </row>
    <row r="36" spans="1:137" x14ac:dyDescent="0.3">
      <c r="A36" t="s">
        <v>2472</v>
      </c>
      <c r="E36" s="229">
        <f t="shared" ref="E36:BM36" si="40">E129</f>
        <v>0</v>
      </c>
      <c r="F36" s="229">
        <f t="shared" si="40"/>
        <v>0</v>
      </c>
      <c r="G36" s="229">
        <f t="shared" si="40"/>
        <v>0</v>
      </c>
      <c r="H36" s="229">
        <f t="shared" si="40"/>
        <v>0</v>
      </c>
      <c r="I36" s="229">
        <f t="shared" si="40"/>
        <v>0</v>
      </c>
      <c r="J36" s="229">
        <f t="shared" si="40"/>
        <v>0</v>
      </c>
      <c r="K36" s="229">
        <f t="shared" si="40"/>
        <v>0</v>
      </c>
      <c r="L36" s="229">
        <f t="shared" si="40"/>
        <v>0</v>
      </c>
      <c r="M36" s="229">
        <f t="shared" si="40"/>
        <v>0</v>
      </c>
      <c r="N36" s="229">
        <f t="shared" si="40"/>
        <v>0</v>
      </c>
      <c r="O36" s="229">
        <f t="shared" si="40"/>
        <v>0</v>
      </c>
      <c r="P36" s="229">
        <f t="shared" si="40"/>
        <v>0</v>
      </c>
      <c r="Q36" s="229">
        <f t="shared" si="40"/>
        <v>0</v>
      </c>
      <c r="R36" s="229">
        <f t="shared" si="40"/>
        <v>0</v>
      </c>
      <c r="S36" s="229">
        <f t="shared" si="40"/>
        <v>0</v>
      </c>
      <c r="T36" s="229">
        <f t="shared" si="40"/>
        <v>0</v>
      </c>
      <c r="U36" s="229">
        <f t="shared" si="40"/>
        <v>0</v>
      </c>
      <c r="V36" s="229">
        <f t="shared" si="40"/>
        <v>0</v>
      </c>
      <c r="W36" s="229">
        <f t="shared" si="40"/>
        <v>0</v>
      </c>
      <c r="X36" s="229">
        <f t="shared" si="40"/>
        <v>0</v>
      </c>
      <c r="Y36" s="229">
        <f t="shared" si="40"/>
        <v>0</v>
      </c>
      <c r="Z36" s="229">
        <f t="shared" si="40"/>
        <v>0</v>
      </c>
      <c r="AA36" s="229">
        <f t="shared" si="40"/>
        <v>0</v>
      </c>
      <c r="AB36" s="229">
        <f t="shared" si="40"/>
        <v>0</v>
      </c>
      <c r="AC36" s="229">
        <f t="shared" si="40"/>
        <v>0</v>
      </c>
      <c r="AD36" s="229">
        <f t="shared" si="40"/>
        <v>0</v>
      </c>
      <c r="AE36" s="229">
        <f t="shared" si="40"/>
        <v>0</v>
      </c>
      <c r="AF36" s="229">
        <f t="shared" si="40"/>
        <v>0</v>
      </c>
      <c r="AG36" s="229">
        <f t="shared" si="40"/>
        <v>0</v>
      </c>
      <c r="AH36" s="229">
        <f t="shared" ca="1" si="40"/>
        <v>0</v>
      </c>
      <c r="AI36" s="229">
        <f t="shared" si="40"/>
        <v>0</v>
      </c>
      <c r="AJ36" s="229">
        <f t="shared" si="40"/>
        <v>0</v>
      </c>
      <c r="AK36" s="229">
        <f t="shared" si="40"/>
        <v>0</v>
      </c>
      <c r="AL36" s="229">
        <f t="shared" si="40"/>
        <v>0</v>
      </c>
      <c r="AM36" s="229">
        <f t="shared" si="40"/>
        <v>0</v>
      </c>
      <c r="AN36" s="229">
        <f t="shared" si="40"/>
        <v>0</v>
      </c>
      <c r="AO36" s="229">
        <f t="shared" si="40"/>
        <v>0</v>
      </c>
      <c r="AP36" s="229">
        <f t="shared" si="40"/>
        <v>0</v>
      </c>
      <c r="AQ36" s="229">
        <f t="shared" si="40"/>
        <v>0</v>
      </c>
      <c r="AR36" s="229">
        <f t="shared" si="40"/>
        <v>0</v>
      </c>
      <c r="AS36" s="229">
        <f t="shared" si="40"/>
        <v>0</v>
      </c>
      <c r="AT36" s="229">
        <f t="shared" si="40"/>
        <v>0</v>
      </c>
      <c r="AU36" s="229">
        <f t="shared" si="40"/>
        <v>0</v>
      </c>
      <c r="AV36" s="229">
        <f t="shared" si="40"/>
        <v>0</v>
      </c>
      <c r="AW36" s="229">
        <f t="shared" si="40"/>
        <v>0</v>
      </c>
      <c r="AX36" s="229">
        <f t="shared" si="40"/>
        <v>0</v>
      </c>
      <c r="AY36" s="229">
        <f t="shared" si="40"/>
        <v>0</v>
      </c>
      <c r="AZ36" s="229">
        <f t="shared" si="40"/>
        <v>0</v>
      </c>
      <c r="BA36" s="229">
        <f t="shared" si="40"/>
        <v>0</v>
      </c>
      <c r="BB36" s="229">
        <f t="shared" si="40"/>
        <v>0</v>
      </c>
      <c r="BC36" s="229">
        <f t="shared" si="40"/>
        <v>0</v>
      </c>
      <c r="BD36" s="229">
        <f t="shared" si="40"/>
        <v>0</v>
      </c>
      <c r="BE36" s="229">
        <f t="shared" si="40"/>
        <v>0</v>
      </c>
      <c r="BF36" s="229">
        <f t="shared" si="40"/>
        <v>0</v>
      </c>
      <c r="BG36" s="229">
        <f t="shared" si="40"/>
        <v>0</v>
      </c>
      <c r="BH36" s="229">
        <f t="shared" si="40"/>
        <v>0</v>
      </c>
      <c r="BI36" s="229">
        <f t="shared" si="40"/>
        <v>0</v>
      </c>
      <c r="BJ36" s="229">
        <f t="shared" si="40"/>
        <v>0</v>
      </c>
      <c r="BK36" s="229">
        <f t="shared" si="40"/>
        <v>0</v>
      </c>
      <c r="BL36" s="229">
        <f t="shared" si="40"/>
        <v>0</v>
      </c>
      <c r="BM36" s="229">
        <f t="shared" si="40"/>
        <v>0</v>
      </c>
      <c r="BN36" s="229">
        <f>BN129</f>
        <v>0</v>
      </c>
      <c r="BO36" s="229">
        <f t="shared" ref="BO36:DZ36" si="41">BO129</f>
        <v>0</v>
      </c>
      <c r="BP36" s="229">
        <f t="shared" si="41"/>
        <v>0</v>
      </c>
      <c r="BQ36" s="229">
        <f t="shared" si="41"/>
        <v>0</v>
      </c>
      <c r="BR36" s="229">
        <f t="shared" si="41"/>
        <v>0</v>
      </c>
      <c r="BS36" s="229">
        <f t="shared" si="41"/>
        <v>0</v>
      </c>
      <c r="BT36" s="229">
        <f t="shared" si="41"/>
        <v>0</v>
      </c>
      <c r="BU36" s="229">
        <f t="shared" si="41"/>
        <v>0</v>
      </c>
      <c r="BV36" s="229">
        <f t="shared" si="41"/>
        <v>0</v>
      </c>
      <c r="BW36" s="229">
        <f t="shared" si="41"/>
        <v>0</v>
      </c>
      <c r="BX36" s="229">
        <f t="shared" si="41"/>
        <v>0</v>
      </c>
      <c r="BY36" s="229">
        <f t="shared" si="41"/>
        <v>0</v>
      </c>
      <c r="BZ36" s="229">
        <f t="shared" si="41"/>
        <v>0</v>
      </c>
      <c r="CA36" s="229">
        <f t="shared" si="41"/>
        <v>0</v>
      </c>
      <c r="CB36" s="229">
        <f t="shared" si="41"/>
        <v>0</v>
      </c>
      <c r="CC36" s="229">
        <f t="shared" si="41"/>
        <v>0</v>
      </c>
      <c r="CD36" s="229">
        <f t="shared" si="41"/>
        <v>0</v>
      </c>
      <c r="CE36" s="229">
        <f t="shared" si="41"/>
        <v>0</v>
      </c>
      <c r="CF36" s="229">
        <f t="shared" si="41"/>
        <v>0</v>
      </c>
      <c r="CG36" s="229">
        <f t="shared" si="41"/>
        <v>0</v>
      </c>
      <c r="CH36" s="229">
        <f t="shared" si="41"/>
        <v>0</v>
      </c>
      <c r="CI36" s="229">
        <f t="shared" si="41"/>
        <v>0</v>
      </c>
      <c r="CJ36" s="229">
        <f t="shared" si="41"/>
        <v>0</v>
      </c>
      <c r="CK36" s="229">
        <f t="shared" si="41"/>
        <v>0</v>
      </c>
      <c r="CL36" s="229">
        <f t="shared" si="41"/>
        <v>0</v>
      </c>
      <c r="CM36" s="229">
        <f t="shared" si="41"/>
        <v>0</v>
      </c>
      <c r="CN36" s="229">
        <f t="shared" si="41"/>
        <v>0</v>
      </c>
      <c r="CO36" s="229">
        <f t="shared" si="41"/>
        <v>0</v>
      </c>
      <c r="CP36" s="229">
        <f t="shared" si="41"/>
        <v>0</v>
      </c>
      <c r="CQ36" s="229">
        <f t="shared" si="41"/>
        <v>0</v>
      </c>
      <c r="CR36" s="229">
        <f t="shared" si="41"/>
        <v>0</v>
      </c>
      <c r="CS36" s="229">
        <f t="shared" si="41"/>
        <v>0</v>
      </c>
      <c r="CT36" s="229">
        <f t="shared" si="41"/>
        <v>0</v>
      </c>
      <c r="CU36" s="229">
        <f t="shared" si="41"/>
        <v>0</v>
      </c>
      <c r="CV36" s="229">
        <f t="shared" si="41"/>
        <v>0</v>
      </c>
      <c r="CW36" s="229">
        <f t="shared" si="41"/>
        <v>0</v>
      </c>
      <c r="CX36" s="229">
        <f t="shared" si="41"/>
        <v>0</v>
      </c>
      <c r="CY36" s="229">
        <f t="shared" si="41"/>
        <v>0</v>
      </c>
      <c r="CZ36" s="229">
        <f t="shared" si="41"/>
        <v>0</v>
      </c>
      <c r="DA36" s="229">
        <f t="shared" si="41"/>
        <v>0</v>
      </c>
      <c r="DB36" s="229">
        <f t="shared" si="41"/>
        <v>0</v>
      </c>
      <c r="DC36" s="229">
        <f t="shared" si="41"/>
        <v>0</v>
      </c>
      <c r="DD36" s="229">
        <f t="shared" si="41"/>
        <v>0</v>
      </c>
      <c r="DE36" s="229">
        <f t="shared" si="41"/>
        <v>0</v>
      </c>
      <c r="DF36" s="229">
        <f t="shared" si="41"/>
        <v>0</v>
      </c>
      <c r="DG36" s="229">
        <f t="shared" si="41"/>
        <v>0</v>
      </c>
      <c r="DH36" s="229">
        <f t="shared" si="41"/>
        <v>0</v>
      </c>
      <c r="DI36" s="229">
        <f t="shared" si="41"/>
        <v>0</v>
      </c>
      <c r="DJ36" s="229">
        <f t="shared" si="41"/>
        <v>0</v>
      </c>
      <c r="DK36" s="229">
        <f t="shared" si="41"/>
        <v>0</v>
      </c>
      <c r="DL36" s="229">
        <f t="shared" si="41"/>
        <v>0</v>
      </c>
      <c r="DM36" s="229">
        <f t="shared" si="41"/>
        <v>0</v>
      </c>
      <c r="DN36" s="229">
        <f t="shared" si="41"/>
        <v>0</v>
      </c>
      <c r="DO36" s="229">
        <f t="shared" si="41"/>
        <v>0</v>
      </c>
      <c r="DP36" s="229">
        <f t="shared" si="41"/>
        <v>0</v>
      </c>
      <c r="DQ36" s="229">
        <f t="shared" si="41"/>
        <v>0</v>
      </c>
      <c r="DR36" s="229">
        <f t="shared" si="41"/>
        <v>0</v>
      </c>
      <c r="DS36" s="229">
        <f t="shared" si="41"/>
        <v>0</v>
      </c>
      <c r="DT36" s="229">
        <f t="shared" si="41"/>
        <v>0</v>
      </c>
      <c r="DU36" s="229">
        <f t="shared" si="41"/>
        <v>0</v>
      </c>
      <c r="DV36" s="229">
        <f t="shared" si="41"/>
        <v>0</v>
      </c>
      <c r="DW36" s="229">
        <f t="shared" si="41"/>
        <v>0</v>
      </c>
      <c r="DX36" s="229">
        <f t="shared" si="41"/>
        <v>0</v>
      </c>
      <c r="DY36" s="229">
        <f t="shared" si="41"/>
        <v>0</v>
      </c>
      <c r="DZ36" s="229">
        <f t="shared" si="41"/>
        <v>0</v>
      </c>
      <c r="EA36" s="229">
        <f t="shared" ref="EA36:EG36" si="42">EA129</f>
        <v>0</v>
      </c>
      <c r="EB36" s="229">
        <f t="shared" si="42"/>
        <v>0</v>
      </c>
      <c r="EC36" s="229">
        <f t="shared" si="42"/>
        <v>0</v>
      </c>
      <c r="ED36" s="229">
        <f t="shared" si="42"/>
        <v>0</v>
      </c>
      <c r="EE36" s="229">
        <f t="shared" si="42"/>
        <v>0</v>
      </c>
      <c r="EF36" s="229">
        <f t="shared" si="42"/>
        <v>0</v>
      </c>
      <c r="EG36" s="229">
        <f t="shared" si="42"/>
        <v>0</v>
      </c>
    </row>
    <row r="37" spans="1:137" x14ac:dyDescent="0.3">
      <c r="A37" t="s">
        <v>2473</v>
      </c>
      <c r="E37" s="229">
        <f t="shared" ref="E37:BM37" si="43">E120</f>
        <v>0</v>
      </c>
      <c r="F37" s="229">
        <f t="shared" si="43"/>
        <v>0</v>
      </c>
      <c r="G37" s="229">
        <f t="shared" si="43"/>
        <v>0</v>
      </c>
      <c r="H37" s="229">
        <f t="shared" si="43"/>
        <v>0</v>
      </c>
      <c r="I37" s="229">
        <f t="shared" si="43"/>
        <v>0</v>
      </c>
      <c r="J37" s="229">
        <f t="shared" si="43"/>
        <v>0</v>
      </c>
      <c r="K37" s="229">
        <f t="shared" si="43"/>
        <v>0</v>
      </c>
      <c r="L37" s="229">
        <f t="shared" si="43"/>
        <v>0</v>
      </c>
      <c r="M37" s="229">
        <f t="shared" si="43"/>
        <v>0</v>
      </c>
      <c r="N37" s="229">
        <f t="shared" si="43"/>
        <v>0</v>
      </c>
      <c r="O37" s="229">
        <f t="shared" si="43"/>
        <v>0</v>
      </c>
      <c r="P37" s="229">
        <f t="shared" si="43"/>
        <v>0</v>
      </c>
      <c r="Q37" s="229">
        <f t="shared" si="43"/>
        <v>0</v>
      </c>
      <c r="R37" s="229">
        <f t="shared" si="43"/>
        <v>0</v>
      </c>
      <c r="S37" s="229">
        <f t="shared" si="43"/>
        <v>0</v>
      </c>
      <c r="T37" s="229">
        <f t="shared" si="43"/>
        <v>0</v>
      </c>
      <c r="U37" s="229">
        <f t="shared" si="43"/>
        <v>0</v>
      </c>
      <c r="V37" s="229">
        <f t="shared" si="43"/>
        <v>0</v>
      </c>
      <c r="W37" s="229">
        <f t="shared" si="43"/>
        <v>0</v>
      </c>
      <c r="X37" s="229">
        <f t="shared" si="43"/>
        <v>0</v>
      </c>
      <c r="Y37" s="229">
        <f t="shared" si="43"/>
        <v>0</v>
      </c>
      <c r="Z37" s="229">
        <f t="shared" si="43"/>
        <v>0</v>
      </c>
      <c r="AA37" s="229">
        <f t="shared" si="43"/>
        <v>0</v>
      </c>
      <c r="AB37" s="229">
        <f t="shared" si="43"/>
        <v>0</v>
      </c>
      <c r="AC37" s="229">
        <f t="shared" si="43"/>
        <v>0</v>
      </c>
      <c r="AD37" s="229">
        <f t="shared" si="43"/>
        <v>0</v>
      </c>
      <c r="AE37" s="229">
        <f t="shared" si="43"/>
        <v>0</v>
      </c>
      <c r="AF37" s="229">
        <f t="shared" si="43"/>
        <v>0</v>
      </c>
      <c r="AG37" s="229">
        <f t="shared" si="43"/>
        <v>0</v>
      </c>
      <c r="AH37" s="229">
        <f t="shared" ca="1" si="43"/>
        <v>0</v>
      </c>
      <c r="AI37" s="229">
        <f t="shared" si="43"/>
        <v>0</v>
      </c>
      <c r="AJ37" s="229">
        <f t="shared" si="43"/>
        <v>0</v>
      </c>
      <c r="AK37" s="229">
        <f t="shared" si="43"/>
        <v>0</v>
      </c>
      <c r="AL37" s="229">
        <f t="shared" si="43"/>
        <v>0</v>
      </c>
      <c r="AM37" s="229">
        <f t="shared" si="43"/>
        <v>0</v>
      </c>
      <c r="AN37" s="229">
        <f t="shared" si="43"/>
        <v>0</v>
      </c>
      <c r="AO37" s="229">
        <f t="shared" si="43"/>
        <v>0</v>
      </c>
      <c r="AP37" s="229">
        <f t="shared" si="43"/>
        <v>0</v>
      </c>
      <c r="AQ37" s="229">
        <f t="shared" si="43"/>
        <v>0</v>
      </c>
      <c r="AR37" s="229">
        <f t="shared" si="43"/>
        <v>0</v>
      </c>
      <c r="AS37" s="229">
        <f t="shared" si="43"/>
        <v>0</v>
      </c>
      <c r="AT37" s="229">
        <f t="shared" si="43"/>
        <v>0</v>
      </c>
      <c r="AU37" s="229">
        <f t="shared" si="43"/>
        <v>0</v>
      </c>
      <c r="AV37" s="229">
        <f t="shared" si="43"/>
        <v>0</v>
      </c>
      <c r="AW37" s="229">
        <f t="shared" si="43"/>
        <v>0</v>
      </c>
      <c r="AX37" s="229">
        <f t="shared" si="43"/>
        <v>0</v>
      </c>
      <c r="AY37" s="229">
        <f t="shared" si="43"/>
        <v>0</v>
      </c>
      <c r="AZ37" s="229">
        <f t="shared" si="43"/>
        <v>0</v>
      </c>
      <c r="BA37" s="229">
        <f t="shared" si="43"/>
        <v>0</v>
      </c>
      <c r="BB37" s="229">
        <f t="shared" si="43"/>
        <v>0</v>
      </c>
      <c r="BC37" s="229">
        <f t="shared" si="43"/>
        <v>0</v>
      </c>
      <c r="BD37" s="229">
        <f t="shared" si="43"/>
        <v>0</v>
      </c>
      <c r="BE37" s="229">
        <f t="shared" si="43"/>
        <v>0</v>
      </c>
      <c r="BF37" s="229">
        <f t="shared" si="43"/>
        <v>0</v>
      </c>
      <c r="BG37" s="229">
        <f t="shared" si="43"/>
        <v>0</v>
      </c>
      <c r="BH37" s="229">
        <f t="shared" si="43"/>
        <v>0</v>
      </c>
      <c r="BI37" s="229">
        <f t="shared" si="43"/>
        <v>0</v>
      </c>
      <c r="BJ37" s="229">
        <f t="shared" si="43"/>
        <v>0</v>
      </c>
      <c r="BK37" s="229">
        <f t="shared" si="43"/>
        <v>0</v>
      </c>
      <c r="BL37" s="229">
        <f t="shared" si="43"/>
        <v>0</v>
      </c>
      <c r="BM37" s="229">
        <f t="shared" si="43"/>
        <v>0</v>
      </c>
      <c r="BN37" s="229">
        <f>BN120</f>
        <v>0</v>
      </c>
      <c r="BO37" s="229">
        <f t="shared" ref="BO37:DZ37" si="44">BO120</f>
        <v>0</v>
      </c>
      <c r="BP37" s="229">
        <f t="shared" si="44"/>
        <v>0</v>
      </c>
      <c r="BQ37" s="229">
        <f t="shared" si="44"/>
        <v>0</v>
      </c>
      <c r="BR37" s="229">
        <f t="shared" si="44"/>
        <v>0</v>
      </c>
      <c r="BS37" s="229">
        <f t="shared" si="44"/>
        <v>0</v>
      </c>
      <c r="BT37" s="229">
        <f t="shared" si="44"/>
        <v>0</v>
      </c>
      <c r="BU37" s="229">
        <f t="shared" si="44"/>
        <v>0</v>
      </c>
      <c r="BV37" s="229">
        <f t="shared" si="44"/>
        <v>0</v>
      </c>
      <c r="BW37" s="229">
        <f t="shared" si="44"/>
        <v>0</v>
      </c>
      <c r="BX37" s="229">
        <f t="shared" si="44"/>
        <v>0</v>
      </c>
      <c r="BY37" s="229">
        <f t="shared" si="44"/>
        <v>0</v>
      </c>
      <c r="BZ37" s="229">
        <f t="shared" si="44"/>
        <v>0</v>
      </c>
      <c r="CA37" s="229">
        <f t="shared" si="44"/>
        <v>0</v>
      </c>
      <c r="CB37" s="229">
        <f t="shared" si="44"/>
        <v>0</v>
      </c>
      <c r="CC37" s="229">
        <f t="shared" si="44"/>
        <v>0</v>
      </c>
      <c r="CD37" s="229">
        <f t="shared" si="44"/>
        <v>0</v>
      </c>
      <c r="CE37" s="229">
        <f t="shared" si="44"/>
        <v>0</v>
      </c>
      <c r="CF37" s="229">
        <f t="shared" si="44"/>
        <v>0</v>
      </c>
      <c r="CG37" s="229">
        <f t="shared" si="44"/>
        <v>0</v>
      </c>
      <c r="CH37" s="229">
        <f t="shared" si="44"/>
        <v>0</v>
      </c>
      <c r="CI37" s="229">
        <f t="shared" si="44"/>
        <v>0</v>
      </c>
      <c r="CJ37" s="229">
        <f t="shared" si="44"/>
        <v>0</v>
      </c>
      <c r="CK37" s="229">
        <f t="shared" si="44"/>
        <v>0</v>
      </c>
      <c r="CL37" s="229">
        <f t="shared" si="44"/>
        <v>0</v>
      </c>
      <c r="CM37" s="229">
        <f t="shared" si="44"/>
        <v>0</v>
      </c>
      <c r="CN37" s="229">
        <f t="shared" si="44"/>
        <v>0</v>
      </c>
      <c r="CO37" s="229">
        <f t="shared" si="44"/>
        <v>0</v>
      </c>
      <c r="CP37" s="229">
        <f t="shared" si="44"/>
        <v>0</v>
      </c>
      <c r="CQ37" s="229">
        <f t="shared" si="44"/>
        <v>0</v>
      </c>
      <c r="CR37" s="229">
        <f t="shared" si="44"/>
        <v>0</v>
      </c>
      <c r="CS37" s="229">
        <f t="shared" si="44"/>
        <v>0</v>
      </c>
      <c r="CT37" s="229">
        <f t="shared" si="44"/>
        <v>0</v>
      </c>
      <c r="CU37" s="229">
        <f t="shared" si="44"/>
        <v>0</v>
      </c>
      <c r="CV37" s="229">
        <f t="shared" si="44"/>
        <v>0</v>
      </c>
      <c r="CW37" s="229">
        <f t="shared" si="44"/>
        <v>0</v>
      </c>
      <c r="CX37" s="229">
        <f t="shared" si="44"/>
        <v>0</v>
      </c>
      <c r="CY37" s="229">
        <f t="shared" si="44"/>
        <v>0</v>
      </c>
      <c r="CZ37" s="229">
        <f t="shared" si="44"/>
        <v>0</v>
      </c>
      <c r="DA37" s="229">
        <f t="shared" si="44"/>
        <v>0</v>
      </c>
      <c r="DB37" s="229">
        <f t="shared" si="44"/>
        <v>0</v>
      </c>
      <c r="DC37" s="229">
        <f t="shared" si="44"/>
        <v>0</v>
      </c>
      <c r="DD37" s="229">
        <f t="shared" si="44"/>
        <v>0</v>
      </c>
      <c r="DE37" s="229">
        <f t="shared" si="44"/>
        <v>0</v>
      </c>
      <c r="DF37" s="229">
        <f t="shared" si="44"/>
        <v>0</v>
      </c>
      <c r="DG37" s="229">
        <f t="shared" si="44"/>
        <v>0</v>
      </c>
      <c r="DH37" s="229">
        <f t="shared" si="44"/>
        <v>0</v>
      </c>
      <c r="DI37" s="229">
        <f t="shared" si="44"/>
        <v>0</v>
      </c>
      <c r="DJ37" s="229">
        <f t="shared" si="44"/>
        <v>0</v>
      </c>
      <c r="DK37" s="229">
        <f t="shared" si="44"/>
        <v>0</v>
      </c>
      <c r="DL37" s="229">
        <f t="shared" si="44"/>
        <v>0</v>
      </c>
      <c r="DM37" s="229">
        <f t="shared" si="44"/>
        <v>0</v>
      </c>
      <c r="DN37" s="229">
        <f t="shared" si="44"/>
        <v>0</v>
      </c>
      <c r="DO37" s="229">
        <f t="shared" si="44"/>
        <v>0</v>
      </c>
      <c r="DP37" s="229">
        <f t="shared" si="44"/>
        <v>0</v>
      </c>
      <c r="DQ37" s="229">
        <f t="shared" si="44"/>
        <v>0</v>
      </c>
      <c r="DR37" s="229">
        <f t="shared" si="44"/>
        <v>0</v>
      </c>
      <c r="DS37" s="229">
        <f t="shared" si="44"/>
        <v>0</v>
      </c>
      <c r="DT37" s="229">
        <f t="shared" si="44"/>
        <v>0</v>
      </c>
      <c r="DU37" s="229">
        <f t="shared" si="44"/>
        <v>0</v>
      </c>
      <c r="DV37" s="229">
        <f t="shared" si="44"/>
        <v>0</v>
      </c>
      <c r="DW37" s="229">
        <f t="shared" si="44"/>
        <v>0</v>
      </c>
      <c r="DX37" s="229">
        <f t="shared" si="44"/>
        <v>0</v>
      </c>
      <c r="DY37" s="229">
        <f t="shared" si="44"/>
        <v>0</v>
      </c>
      <c r="DZ37" s="229">
        <f t="shared" si="44"/>
        <v>0</v>
      </c>
      <c r="EA37" s="229">
        <f t="shared" ref="EA37:EG37" si="45">EA120</f>
        <v>0</v>
      </c>
      <c r="EB37" s="229">
        <f t="shared" si="45"/>
        <v>0</v>
      </c>
      <c r="EC37" s="229">
        <f t="shared" si="45"/>
        <v>0</v>
      </c>
      <c r="ED37" s="229">
        <f t="shared" si="45"/>
        <v>0</v>
      </c>
      <c r="EE37" s="229">
        <f t="shared" si="45"/>
        <v>0</v>
      </c>
      <c r="EF37" s="229">
        <f t="shared" si="45"/>
        <v>0</v>
      </c>
      <c r="EG37" s="229">
        <f t="shared" si="45"/>
        <v>0</v>
      </c>
    </row>
    <row r="38" spans="1:137" ht="15" thickBot="1" x14ac:dyDescent="0.35">
      <c r="A38" s="248" t="s">
        <v>2463</v>
      </c>
      <c r="B38" s="248"/>
      <c r="C38" s="248"/>
      <c r="D38" s="697"/>
      <c r="E38" s="250">
        <f t="shared" ref="E38:BM38" si="46">SUM(E35:E37)</f>
        <v>0</v>
      </c>
      <c r="F38" s="250">
        <f t="shared" ca="1" si="46"/>
        <v>0</v>
      </c>
      <c r="G38" s="250">
        <f t="shared" ca="1" si="46"/>
        <v>0</v>
      </c>
      <c r="H38" s="250">
        <f t="shared" ca="1" si="46"/>
        <v>0</v>
      </c>
      <c r="I38" s="250">
        <f t="shared" ca="1" si="46"/>
        <v>0</v>
      </c>
      <c r="J38" s="250">
        <f t="shared" ca="1" si="46"/>
        <v>0</v>
      </c>
      <c r="K38" s="250">
        <f t="shared" ca="1" si="46"/>
        <v>0</v>
      </c>
      <c r="L38" s="250">
        <f t="shared" ca="1" si="46"/>
        <v>0</v>
      </c>
      <c r="M38" s="250">
        <f t="shared" ca="1" si="46"/>
        <v>0</v>
      </c>
      <c r="N38" s="250">
        <f t="shared" ca="1" si="46"/>
        <v>0</v>
      </c>
      <c r="O38" s="250">
        <f t="shared" ca="1" si="46"/>
        <v>0</v>
      </c>
      <c r="P38" s="250">
        <f t="shared" ca="1" si="46"/>
        <v>0</v>
      </c>
      <c r="Q38" s="250">
        <f t="shared" ca="1" si="46"/>
        <v>0</v>
      </c>
      <c r="R38" s="250">
        <f t="shared" ca="1" si="46"/>
        <v>0</v>
      </c>
      <c r="S38" s="250">
        <f t="shared" ca="1" si="46"/>
        <v>0</v>
      </c>
      <c r="T38" s="250">
        <f t="shared" ca="1" si="46"/>
        <v>0</v>
      </c>
      <c r="U38" s="250">
        <f t="shared" ca="1" si="46"/>
        <v>0</v>
      </c>
      <c r="V38" s="250">
        <f t="shared" ca="1" si="46"/>
        <v>0</v>
      </c>
      <c r="W38" s="250">
        <f t="shared" ca="1" si="46"/>
        <v>0</v>
      </c>
      <c r="X38" s="250">
        <f t="shared" ca="1" si="46"/>
        <v>0</v>
      </c>
      <c r="Y38" s="250">
        <f t="shared" ca="1" si="46"/>
        <v>0</v>
      </c>
      <c r="Z38" s="250">
        <f t="shared" ca="1" si="46"/>
        <v>0</v>
      </c>
      <c r="AA38" s="250">
        <f t="shared" ca="1" si="46"/>
        <v>0</v>
      </c>
      <c r="AB38" s="250">
        <f t="shared" ca="1" si="46"/>
        <v>0</v>
      </c>
      <c r="AC38" s="250">
        <f t="shared" ca="1" si="46"/>
        <v>0</v>
      </c>
      <c r="AD38" s="250">
        <f t="shared" ca="1" si="46"/>
        <v>0</v>
      </c>
      <c r="AE38" s="250">
        <f t="shared" ca="1" si="46"/>
        <v>0</v>
      </c>
      <c r="AF38" s="250">
        <f t="shared" ca="1" si="46"/>
        <v>0</v>
      </c>
      <c r="AG38" s="250">
        <f t="shared" ca="1" si="46"/>
        <v>0</v>
      </c>
      <c r="AH38" s="250">
        <f t="shared" ca="1" si="46"/>
        <v>0</v>
      </c>
      <c r="AI38" s="250">
        <f t="shared" ca="1" si="46"/>
        <v>0</v>
      </c>
      <c r="AJ38" s="250">
        <f t="shared" ca="1" si="46"/>
        <v>0</v>
      </c>
      <c r="AK38" s="250">
        <f t="shared" ca="1" si="46"/>
        <v>0</v>
      </c>
      <c r="AL38" s="250">
        <f t="shared" ca="1" si="46"/>
        <v>0</v>
      </c>
      <c r="AM38" s="250">
        <f t="shared" ca="1" si="46"/>
        <v>0</v>
      </c>
      <c r="AN38" s="250">
        <f t="shared" ca="1" si="46"/>
        <v>0</v>
      </c>
      <c r="AO38" s="250">
        <f t="shared" ca="1" si="46"/>
        <v>0</v>
      </c>
      <c r="AP38" s="250">
        <f ca="1">SUM(AP35:AP37)</f>
        <v>0</v>
      </c>
      <c r="AQ38" s="250">
        <f t="shared" ca="1" si="46"/>
        <v>0</v>
      </c>
      <c r="AR38" s="250">
        <f t="shared" ca="1" si="46"/>
        <v>0</v>
      </c>
      <c r="AS38" s="250">
        <f t="shared" ca="1" si="46"/>
        <v>0</v>
      </c>
      <c r="AT38" s="250">
        <f t="shared" ca="1" si="46"/>
        <v>0</v>
      </c>
      <c r="AU38" s="250">
        <f t="shared" ca="1" si="46"/>
        <v>0</v>
      </c>
      <c r="AV38" s="250">
        <f t="shared" ca="1" si="46"/>
        <v>0</v>
      </c>
      <c r="AW38" s="250">
        <f t="shared" ca="1" si="46"/>
        <v>0</v>
      </c>
      <c r="AX38" s="250">
        <f t="shared" ca="1" si="46"/>
        <v>0</v>
      </c>
      <c r="AY38" s="250">
        <f t="shared" ca="1" si="46"/>
        <v>0</v>
      </c>
      <c r="AZ38" s="250">
        <f t="shared" ca="1" si="46"/>
        <v>0</v>
      </c>
      <c r="BA38" s="250">
        <f t="shared" ca="1" si="46"/>
        <v>0</v>
      </c>
      <c r="BB38" s="250">
        <f t="shared" ca="1" si="46"/>
        <v>0</v>
      </c>
      <c r="BC38" s="250">
        <f t="shared" ca="1" si="46"/>
        <v>0</v>
      </c>
      <c r="BD38" s="250">
        <f t="shared" ca="1" si="46"/>
        <v>0</v>
      </c>
      <c r="BE38" s="250">
        <f t="shared" ca="1" si="46"/>
        <v>0</v>
      </c>
      <c r="BF38" s="250">
        <f t="shared" ca="1" si="46"/>
        <v>0</v>
      </c>
      <c r="BG38" s="250">
        <f t="shared" ca="1" si="46"/>
        <v>0</v>
      </c>
      <c r="BH38" s="250">
        <f t="shared" ca="1" si="46"/>
        <v>0</v>
      </c>
      <c r="BI38" s="250">
        <f t="shared" ca="1" si="46"/>
        <v>0</v>
      </c>
      <c r="BJ38" s="250">
        <f t="shared" ca="1" si="46"/>
        <v>0</v>
      </c>
      <c r="BK38" s="250">
        <f t="shared" ca="1" si="46"/>
        <v>0</v>
      </c>
      <c r="BL38" s="250">
        <f t="shared" ca="1" si="46"/>
        <v>0</v>
      </c>
      <c r="BM38" s="250">
        <f t="shared" ca="1" si="46"/>
        <v>0</v>
      </c>
      <c r="BN38" s="250">
        <f ca="1">SUM(BN35:BN37)</f>
        <v>0</v>
      </c>
      <c r="BO38" s="250">
        <f t="shared" ref="BO38:DZ38" ca="1" si="47">SUM(BO35:BO37)</f>
        <v>0</v>
      </c>
      <c r="BP38" s="250">
        <f t="shared" ca="1" si="47"/>
        <v>0</v>
      </c>
      <c r="BQ38" s="250">
        <f t="shared" ca="1" si="47"/>
        <v>0</v>
      </c>
      <c r="BR38" s="250">
        <f t="shared" ca="1" si="47"/>
        <v>0</v>
      </c>
      <c r="BS38" s="250">
        <f t="shared" ca="1" si="47"/>
        <v>0</v>
      </c>
      <c r="BT38" s="250">
        <f t="shared" ca="1" si="47"/>
        <v>0</v>
      </c>
      <c r="BU38" s="250">
        <f t="shared" ca="1" si="47"/>
        <v>0</v>
      </c>
      <c r="BV38" s="250">
        <f t="shared" ca="1" si="47"/>
        <v>0</v>
      </c>
      <c r="BW38" s="250">
        <f t="shared" ca="1" si="47"/>
        <v>0</v>
      </c>
      <c r="BX38" s="250">
        <f t="shared" ca="1" si="47"/>
        <v>0</v>
      </c>
      <c r="BY38" s="250">
        <f t="shared" ca="1" si="47"/>
        <v>0</v>
      </c>
      <c r="BZ38" s="250">
        <f t="shared" ca="1" si="47"/>
        <v>0</v>
      </c>
      <c r="CA38" s="250">
        <f t="shared" ca="1" si="47"/>
        <v>0</v>
      </c>
      <c r="CB38" s="250">
        <f t="shared" ca="1" si="47"/>
        <v>0</v>
      </c>
      <c r="CC38" s="250">
        <f t="shared" ca="1" si="47"/>
        <v>0</v>
      </c>
      <c r="CD38" s="250">
        <f t="shared" ca="1" si="47"/>
        <v>0</v>
      </c>
      <c r="CE38" s="250">
        <f t="shared" ca="1" si="47"/>
        <v>0</v>
      </c>
      <c r="CF38" s="250">
        <f t="shared" ca="1" si="47"/>
        <v>0</v>
      </c>
      <c r="CG38" s="250">
        <f t="shared" ca="1" si="47"/>
        <v>0</v>
      </c>
      <c r="CH38" s="250">
        <f t="shared" ca="1" si="47"/>
        <v>0</v>
      </c>
      <c r="CI38" s="250">
        <f t="shared" ca="1" si="47"/>
        <v>0</v>
      </c>
      <c r="CJ38" s="250">
        <f t="shared" ca="1" si="47"/>
        <v>0</v>
      </c>
      <c r="CK38" s="250">
        <f t="shared" ca="1" si="47"/>
        <v>0</v>
      </c>
      <c r="CL38" s="250">
        <f t="shared" ca="1" si="47"/>
        <v>0</v>
      </c>
      <c r="CM38" s="250">
        <f t="shared" ca="1" si="47"/>
        <v>0</v>
      </c>
      <c r="CN38" s="250">
        <f t="shared" ca="1" si="47"/>
        <v>0</v>
      </c>
      <c r="CO38" s="250">
        <f t="shared" ca="1" si="47"/>
        <v>0</v>
      </c>
      <c r="CP38" s="250">
        <f t="shared" ca="1" si="47"/>
        <v>0</v>
      </c>
      <c r="CQ38" s="250">
        <f t="shared" ca="1" si="47"/>
        <v>0</v>
      </c>
      <c r="CR38" s="250">
        <f t="shared" ca="1" si="47"/>
        <v>0</v>
      </c>
      <c r="CS38" s="250">
        <f t="shared" ca="1" si="47"/>
        <v>0</v>
      </c>
      <c r="CT38" s="250">
        <f t="shared" ca="1" si="47"/>
        <v>0</v>
      </c>
      <c r="CU38" s="250">
        <f t="shared" ca="1" si="47"/>
        <v>0</v>
      </c>
      <c r="CV38" s="250">
        <f t="shared" ca="1" si="47"/>
        <v>0</v>
      </c>
      <c r="CW38" s="250">
        <f t="shared" ca="1" si="47"/>
        <v>0</v>
      </c>
      <c r="CX38" s="250">
        <f t="shared" ca="1" si="47"/>
        <v>0</v>
      </c>
      <c r="CY38" s="250">
        <f t="shared" ca="1" si="47"/>
        <v>0</v>
      </c>
      <c r="CZ38" s="250">
        <f t="shared" ca="1" si="47"/>
        <v>0</v>
      </c>
      <c r="DA38" s="250">
        <f t="shared" ca="1" si="47"/>
        <v>0</v>
      </c>
      <c r="DB38" s="250">
        <f t="shared" ca="1" si="47"/>
        <v>0</v>
      </c>
      <c r="DC38" s="250">
        <f t="shared" ca="1" si="47"/>
        <v>0</v>
      </c>
      <c r="DD38" s="250">
        <f t="shared" ca="1" si="47"/>
        <v>0</v>
      </c>
      <c r="DE38" s="250">
        <f t="shared" ca="1" si="47"/>
        <v>0</v>
      </c>
      <c r="DF38" s="250">
        <f t="shared" ca="1" si="47"/>
        <v>0</v>
      </c>
      <c r="DG38" s="250">
        <f t="shared" ca="1" si="47"/>
        <v>0</v>
      </c>
      <c r="DH38" s="250">
        <f t="shared" ca="1" si="47"/>
        <v>0</v>
      </c>
      <c r="DI38" s="250">
        <f t="shared" ca="1" si="47"/>
        <v>0</v>
      </c>
      <c r="DJ38" s="250">
        <f t="shared" ca="1" si="47"/>
        <v>0</v>
      </c>
      <c r="DK38" s="250">
        <f t="shared" ca="1" si="47"/>
        <v>0</v>
      </c>
      <c r="DL38" s="250">
        <f t="shared" ca="1" si="47"/>
        <v>0</v>
      </c>
      <c r="DM38" s="250">
        <f t="shared" ca="1" si="47"/>
        <v>0</v>
      </c>
      <c r="DN38" s="250">
        <f t="shared" ca="1" si="47"/>
        <v>0</v>
      </c>
      <c r="DO38" s="250">
        <f t="shared" ca="1" si="47"/>
        <v>0</v>
      </c>
      <c r="DP38" s="250">
        <f t="shared" ca="1" si="47"/>
        <v>0</v>
      </c>
      <c r="DQ38" s="250">
        <f t="shared" ca="1" si="47"/>
        <v>0</v>
      </c>
      <c r="DR38" s="250">
        <f t="shared" ca="1" si="47"/>
        <v>0</v>
      </c>
      <c r="DS38" s="250">
        <f t="shared" ca="1" si="47"/>
        <v>0</v>
      </c>
      <c r="DT38" s="250">
        <f t="shared" ca="1" si="47"/>
        <v>0</v>
      </c>
      <c r="DU38" s="250">
        <f t="shared" ca="1" si="47"/>
        <v>0</v>
      </c>
      <c r="DV38" s="250">
        <f t="shared" ca="1" si="47"/>
        <v>0</v>
      </c>
      <c r="DW38" s="250">
        <f t="shared" ca="1" si="47"/>
        <v>0</v>
      </c>
      <c r="DX38" s="250">
        <f t="shared" ca="1" si="47"/>
        <v>0</v>
      </c>
      <c r="DY38" s="250">
        <f t="shared" ca="1" si="47"/>
        <v>0</v>
      </c>
      <c r="DZ38" s="250">
        <f t="shared" ca="1" si="47"/>
        <v>0</v>
      </c>
      <c r="EA38" s="250">
        <f t="shared" ref="EA38:EG38" ca="1" si="48">SUM(EA35:EA37)</f>
        <v>0</v>
      </c>
      <c r="EB38" s="250">
        <f t="shared" ca="1" si="48"/>
        <v>0</v>
      </c>
      <c r="EC38" s="250">
        <f t="shared" ca="1" si="48"/>
        <v>0</v>
      </c>
      <c r="ED38" s="250">
        <f t="shared" ca="1" si="48"/>
        <v>0</v>
      </c>
      <c r="EE38" s="250">
        <f t="shared" ca="1" si="48"/>
        <v>0</v>
      </c>
      <c r="EF38" s="250">
        <f t="shared" ca="1" si="48"/>
        <v>0</v>
      </c>
      <c r="EG38" s="250">
        <f t="shared" ca="1" si="48"/>
        <v>0</v>
      </c>
    </row>
    <row r="39" spans="1:137" ht="6.75" customHeight="1" thickTop="1" x14ac:dyDescent="0.3"/>
    <row r="40" spans="1:137" x14ac:dyDescent="0.3">
      <c r="A40" s="700" t="str">
        <f>'General Inputs'!$J$29&amp;" EQUITY CONTRIBUTIONS"</f>
        <v>LP EQUITY CONTRIBUTIONS</v>
      </c>
      <c r="B40" s="700"/>
      <c r="C40" s="700"/>
      <c r="D40" s="725"/>
      <c r="E40" s="700"/>
    </row>
    <row r="41" spans="1:137" x14ac:dyDescent="0.3">
      <c r="A41" t="s">
        <v>2461</v>
      </c>
      <c r="E41" s="227">
        <f t="shared" ref="E41:BP41" si="49">D43</f>
        <v>0</v>
      </c>
      <c r="F41" s="227">
        <f t="shared" ca="1" si="49"/>
        <v>1684806.2553703375</v>
      </c>
      <c r="G41" s="227">
        <f t="shared" ca="1" si="49"/>
        <v>15364527.540691569</v>
      </c>
      <c r="H41" s="227">
        <f t="shared" ca="1" si="49"/>
        <v>15794286.129661476</v>
      </c>
      <c r="I41" s="227">
        <f t="shared" ca="1" si="49"/>
        <v>16446802.372414952</v>
      </c>
      <c r="J41" s="227">
        <f t="shared" ca="1" si="49"/>
        <v>17555018.655817978</v>
      </c>
      <c r="K41" s="227">
        <f t="shared" ca="1" si="49"/>
        <v>19363519.23343702</v>
      </c>
      <c r="L41" s="227">
        <f t="shared" ca="1" si="49"/>
        <v>21224968.787969694</v>
      </c>
      <c r="M41" s="227">
        <f t="shared" ca="1" si="49"/>
        <v>23596969.273125298</v>
      </c>
      <c r="N41" s="227">
        <f t="shared" ca="1" si="49"/>
        <v>26410649.510846648</v>
      </c>
      <c r="O41" s="227">
        <f t="shared" ca="1" si="49"/>
        <v>29704329.672362011</v>
      </c>
      <c r="P41" s="227">
        <f t="shared" ca="1" si="49"/>
        <v>31573647.858582281</v>
      </c>
      <c r="Q41" s="227">
        <f t="shared" ca="1" si="49"/>
        <v>31573647.858582281</v>
      </c>
      <c r="R41" s="227">
        <f t="shared" ca="1" si="49"/>
        <v>31573647.858582281</v>
      </c>
      <c r="S41" s="227">
        <f t="shared" ca="1" si="49"/>
        <v>31573647.858582281</v>
      </c>
      <c r="T41" s="227">
        <f t="shared" ca="1" si="49"/>
        <v>31573647.858582281</v>
      </c>
      <c r="U41" s="227">
        <f t="shared" ca="1" si="49"/>
        <v>31573647.858582281</v>
      </c>
      <c r="V41" s="227">
        <f t="shared" ca="1" si="49"/>
        <v>31573647.858582281</v>
      </c>
      <c r="W41" s="227">
        <f t="shared" ca="1" si="49"/>
        <v>31573647.858582281</v>
      </c>
      <c r="X41" s="227">
        <f t="shared" ca="1" si="49"/>
        <v>31573647.858582281</v>
      </c>
      <c r="Y41" s="227">
        <f t="shared" ca="1" si="49"/>
        <v>31573647.858582281</v>
      </c>
      <c r="Z41" s="227">
        <f t="shared" ca="1" si="49"/>
        <v>31573647.858582281</v>
      </c>
      <c r="AA41" s="227">
        <f t="shared" ca="1" si="49"/>
        <v>31573647.858582281</v>
      </c>
      <c r="AB41" s="227">
        <f t="shared" ca="1" si="49"/>
        <v>31573647.858582281</v>
      </c>
      <c r="AC41" s="227">
        <f t="shared" ca="1" si="49"/>
        <v>31573647.858582281</v>
      </c>
      <c r="AD41" s="227">
        <f t="shared" ca="1" si="49"/>
        <v>31573647.858582281</v>
      </c>
      <c r="AE41" s="227">
        <f t="shared" ca="1" si="49"/>
        <v>31573647.858582281</v>
      </c>
      <c r="AF41" s="227">
        <f t="shared" ca="1" si="49"/>
        <v>31573647.858582281</v>
      </c>
      <c r="AG41" s="227">
        <f t="shared" ca="1" si="49"/>
        <v>31573647.858582281</v>
      </c>
      <c r="AH41" s="227">
        <f t="shared" ca="1" si="49"/>
        <v>31573647.858582281</v>
      </c>
      <c r="AI41" s="227">
        <f t="shared" ca="1" si="49"/>
        <v>31573647.858582281</v>
      </c>
      <c r="AJ41" s="227">
        <f t="shared" ca="1" si="49"/>
        <v>31573647.858582281</v>
      </c>
      <c r="AK41" s="227">
        <f t="shared" ca="1" si="49"/>
        <v>31573647.858582281</v>
      </c>
      <c r="AL41" s="227">
        <f t="shared" ca="1" si="49"/>
        <v>31573647.858582281</v>
      </c>
      <c r="AM41" s="227">
        <f t="shared" ca="1" si="49"/>
        <v>31573647.858582281</v>
      </c>
      <c r="AN41" s="227">
        <f t="shared" ca="1" si="49"/>
        <v>31573647.858582281</v>
      </c>
      <c r="AO41" s="227">
        <f t="shared" ca="1" si="49"/>
        <v>31573647.858582281</v>
      </c>
      <c r="AP41" s="227">
        <f t="shared" ca="1" si="49"/>
        <v>31573647.858582281</v>
      </c>
      <c r="AQ41" s="227">
        <f t="shared" ca="1" si="49"/>
        <v>31573647.858582281</v>
      </c>
      <c r="AR41" s="227">
        <f t="shared" ca="1" si="49"/>
        <v>31573647.858582281</v>
      </c>
      <c r="AS41" s="227">
        <f t="shared" ca="1" si="49"/>
        <v>31573647.858582281</v>
      </c>
      <c r="AT41" s="227">
        <f t="shared" ca="1" si="49"/>
        <v>31573647.858582281</v>
      </c>
      <c r="AU41" s="227">
        <f t="shared" ca="1" si="49"/>
        <v>31573647.858582281</v>
      </c>
      <c r="AV41" s="227">
        <f t="shared" ca="1" si="49"/>
        <v>31573647.858582281</v>
      </c>
      <c r="AW41" s="227">
        <f t="shared" ca="1" si="49"/>
        <v>31573647.858582281</v>
      </c>
      <c r="AX41" s="227">
        <f t="shared" ca="1" si="49"/>
        <v>31573647.858582281</v>
      </c>
      <c r="AY41" s="227">
        <f t="shared" ca="1" si="49"/>
        <v>31573647.858582281</v>
      </c>
      <c r="AZ41" s="227">
        <f t="shared" ca="1" si="49"/>
        <v>31573647.858582281</v>
      </c>
      <c r="BA41" s="227">
        <f t="shared" ca="1" si="49"/>
        <v>31573647.858582281</v>
      </c>
      <c r="BB41" s="227">
        <f t="shared" ca="1" si="49"/>
        <v>31573647.858582281</v>
      </c>
      <c r="BC41" s="227">
        <f t="shared" ca="1" si="49"/>
        <v>31573647.858582281</v>
      </c>
      <c r="BD41" s="227">
        <f t="shared" ca="1" si="49"/>
        <v>31573647.858582281</v>
      </c>
      <c r="BE41" s="227">
        <f t="shared" ca="1" si="49"/>
        <v>31573647.858582281</v>
      </c>
      <c r="BF41" s="227">
        <f t="shared" ca="1" si="49"/>
        <v>31573647.858582281</v>
      </c>
      <c r="BG41" s="227">
        <f t="shared" ca="1" si="49"/>
        <v>31573647.858582281</v>
      </c>
      <c r="BH41" s="227">
        <f t="shared" ca="1" si="49"/>
        <v>31573647.858582281</v>
      </c>
      <c r="BI41" s="227">
        <f t="shared" ca="1" si="49"/>
        <v>31573647.858582281</v>
      </c>
      <c r="BJ41" s="227">
        <f t="shared" ca="1" si="49"/>
        <v>31573647.858582281</v>
      </c>
      <c r="BK41" s="227">
        <f t="shared" ca="1" si="49"/>
        <v>31573647.858582281</v>
      </c>
      <c r="BL41" s="227">
        <f t="shared" ca="1" si="49"/>
        <v>31573647.858582281</v>
      </c>
      <c r="BM41" s="227">
        <f t="shared" ca="1" si="49"/>
        <v>31573647.858582281</v>
      </c>
      <c r="BN41" s="227">
        <f t="shared" ca="1" si="49"/>
        <v>31573647.858582281</v>
      </c>
      <c r="BO41" s="227">
        <f t="shared" ca="1" si="49"/>
        <v>31573647.858582281</v>
      </c>
      <c r="BP41" s="227">
        <f t="shared" ca="1" si="49"/>
        <v>31573647.858582281</v>
      </c>
      <c r="BQ41" s="227">
        <f t="shared" ref="BQ41:EB41" ca="1" si="50">BP43</f>
        <v>31573647.858582281</v>
      </c>
      <c r="BR41" s="227">
        <f t="shared" ca="1" si="50"/>
        <v>31573647.858582281</v>
      </c>
      <c r="BS41" s="227">
        <f t="shared" ca="1" si="50"/>
        <v>31573647.858582281</v>
      </c>
      <c r="BT41" s="227">
        <f t="shared" ca="1" si="50"/>
        <v>31573647.858582281</v>
      </c>
      <c r="BU41" s="227">
        <f t="shared" ca="1" si="50"/>
        <v>31573647.858582281</v>
      </c>
      <c r="BV41" s="227">
        <f t="shared" ca="1" si="50"/>
        <v>31573647.858582281</v>
      </c>
      <c r="BW41" s="227">
        <f t="shared" ca="1" si="50"/>
        <v>31573647.858582281</v>
      </c>
      <c r="BX41" s="227">
        <f t="shared" ca="1" si="50"/>
        <v>31573647.858582281</v>
      </c>
      <c r="BY41" s="227">
        <f t="shared" ca="1" si="50"/>
        <v>31573647.858582281</v>
      </c>
      <c r="BZ41" s="227">
        <f t="shared" ca="1" si="50"/>
        <v>31573647.858582281</v>
      </c>
      <c r="CA41" s="227">
        <f t="shared" ca="1" si="50"/>
        <v>31573647.858582281</v>
      </c>
      <c r="CB41" s="227">
        <f t="shared" ca="1" si="50"/>
        <v>31573647.858582281</v>
      </c>
      <c r="CC41" s="227">
        <f t="shared" ca="1" si="50"/>
        <v>31573647.858582281</v>
      </c>
      <c r="CD41" s="227">
        <f t="shared" ca="1" si="50"/>
        <v>31573647.858582281</v>
      </c>
      <c r="CE41" s="227">
        <f t="shared" ca="1" si="50"/>
        <v>31573647.858582281</v>
      </c>
      <c r="CF41" s="227">
        <f t="shared" ca="1" si="50"/>
        <v>31573647.858582281</v>
      </c>
      <c r="CG41" s="227">
        <f t="shared" ca="1" si="50"/>
        <v>31573647.858582281</v>
      </c>
      <c r="CH41" s="227">
        <f t="shared" ca="1" si="50"/>
        <v>31573647.858582281</v>
      </c>
      <c r="CI41" s="227">
        <f t="shared" ca="1" si="50"/>
        <v>31573647.858582281</v>
      </c>
      <c r="CJ41" s="227">
        <f t="shared" ca="1" si="50"/>
        <v>31573647.858582281</v>
      </c>
      <c r="CK41" s="227">
        <f t="shared" ca="1" si="50"/>
        <v>31573647.858582281</v>
      </c>
      <c r="CL41" s="227">
        <f t="shared" ca="1" si="50"/>
        <v>31573647.858582281</v>
      </c>
      <c r="CM41" s="227">
        <f t="shared" ca="1" si="50"/>
        <v>31573647.858582281</v>
      </c>
      <c r="CN41" s="227">
        <f t="shared" ca="1" si="50"/>
        <v>31573647.858582281</v>
      </c>
      <c r="CO41" s="227">
        <f t="shared" ca="1" si="50"/>
        <v>31573647.858582281</v>
      </c>
      <c r="CP41" s="227">
        <f t="shared" ca="1" si="50"/>
        <v>31573647.858582281</v>
      </c>
      <c r="CQ41" s="227">
        <f t="shared" ca="1" si="50"/>
        <v>31573647.858582281</v>
      </c>
      <c r="CR41" s="227">
        <f t="shared" ca="1" si="50"/>
        <v>31573647.858582281</v>
      </c>
      <c r="CS41" s="227">
        <f t="shared" ca="1" si="50"/>
        <v>31573647.858582281</v>
      </c>
      <c r="CT41" s="227">
        <f t="shared" ca="1" si="50"/>
        <v>31573647.858582281</v>
      </c>
      <c r="CU41" s="227">
        <f t="shared" ca="1" si="50"/>
        <v>31573647.858582281</v>
      </c>
      <c r="CV41" s="227">
        <f t="shared" ca="1" si="50"/>
        <v>31573647.858582281</v>
      </c>
      <c r="CW41" s="227">
        <f t="shared" ca="1" si="50"/>
        <v>31573647.858582281</v>
      </c>
      <c r="CX41" s="227">
        <f t="shared" ca="1" si="50"/>
        <v>31573647.858582281</v>
      </c>
      <c r="CY41" s="227">
        <f t="shared" ca="1" si="50"/>
        <v>31573647.858582281</v>
      </c>
      <c r="CZ41" s="227">
        <f t="shared" ca="1" si="50"/>
        <v>31573647.858582281</v>
      </c>
      <c r="DA41" s="227">
        <f t="shared" ca="1" si="50"/>
        <v>31573647.858582281</v>
      </c>
      <c r="DB41" s="227">
        <f t="shared" ca="1" si="50"/>
        <v>31573647.858582281</v>
      </c>
      <c r="DC41" s="227">
        <f t="shared" ca="1" si="50"/>
        <v>31573647.858582281</v>
      </c>
      <c r="DD41" s="227">
        <f t="shared" ca="1" si="50"/>
        <v>31573647.858582281</v>
      </c>
      <c r="DE41" s="227">
        <f t="shared" ca="1" si="50"/>
        <v>31573647.858582281</v>
      </c>
      <c r="DF41" s="227">
        <f t="shared" ca="1" si="50"/>
        <v>31573647.858582281</v>
      </c>
      <c r="DG41" s="227">
        <f t="shared" ca="1" si="50"/>
        <v>31573647.858582281</v>
      </c>
      <c r="DH41" s="227">
        <f t="shared" ca="1" si="50"/>
        <v>31573647.858582325</v>
      </c>
      <c r="DI41" s="227">
        <f t="shared" ca="1" si="50"/>
        <v>31573647.858582441</v>
      </c>
      <c r="DJ41" s="227">
        <f t="shared" ca="1" si="50"/>
        <v>31573647.858582489</v>
      </c>
      <c r="DK41" s="227">
        <f t="shared" ca="1" si="50"/>
        <v>31573647.858582661</v>
      </c>
      <c r="DL41" s="227">
        <f t="shared" ca="1" si="50"/>
        <v>31573647.858582843</v>
      </c>
      <c r="DM41" s="227">
        <f t="shared" ca="1" si="50"/>
        <v>31573647.858583044</v>
      </c>
      <c r="DN41" s="227">
        <f t="shared" ca="1" si="50"/>
        <v>31573647.858583268</v>
      </c>
      <c r="DO41" s="227">
        <f t="shared" ca="1" si="50"/>
        <v>31573647.858583525</v>
      </c>
      <c r="DP41" s="227">
        <f t="shared" ca="1" si="50"/>
        <v>31573647.858583711</v>
      </c>
      <c r="DQ41" s="227">
        <f t="shared" ca="1" si="50"/>
        <v>31573647.858583603</v>
      </c>
      <c r="DR41" s="227">
        <f t="shared" ca="1" si="50"/>
        <v>31573647.858583</v>
      </c>
      <c r="DS41" s="227">
        <f t="shared" ca="1" si="50"/>
        <v>31573647.858581845</v>
      </c>
      <c r="DT41" s="227">
        <f t="shared" ca="1" si="50"/>
        <v>31573647.858584329</v>
      </c>
      <c r="DU41" s="227">
        <f t="shared" ca="1" si="50"/>
        <v>31573647.858581889</v>
      </c>
      <c r="DV41" s="227">
        <f t="shared" ca="1" si="50"/>
        <v>31573647.858582959</v>
      </c>
      <c r="DW41" s="227">
        <f t="shared" ca="1" si="50"/>
        <v>31573647.858581942</v>
      </c>
      <c r="DX41" s="227">
        <f t="shared" ca="1" si="50"/>
        <v>31573647.858578332</v>
      </c>
      <c r="DY41" s="227">
        <f t="shared" ca="1" si="50"/>
        <v>31573647.858572062</v>
      </c>
      <c r="DZ41" s="227">
        <f t="shared" ca="1" si="50"/>
        <v>31573647.858562849</v>
      </c>
      <c r="EA41" s="227">
        <f t="shared" ca="1" si="50"/>
        <v>31573647.85855145</v>
      </c>
      <c r="EB41" s="227">
        <f t="shared" ca="1" si="50"/>
        <v>31573647.858530108</v>
      </c>
      <c r="EC41" s="227">
        <f t="shared" ref="EC41:EG41" ca="1" si="51">EB43</f>
        <v>31573647.858499721</v>
      </c>
      <c r="ED41" s="227">
        <f t="shared" ca="1" si="51"/>
        <v>31573647.858461868</v>
      </c>
      <c r="EE41" s="227">
        <f t="shared" ca="1" si="51"/>
        <v>31573647.858434174</v>
      </c>
      <c r="EF41" s="227">
        <f t="shared" ca="1" si="51"/>
        <v>31573647.858489275</v>
      </c>
      <c r="EG41" s="227">
        <f t="shared" ca="1" si="51"/>
        <v>31573647.858693928</v>
      </c>
    </row>
    <row r="42" spans="1:137" x14ac:dyDescent="0.3">
      <c r="A42" t="s">
        <v>2474</v>
      </c>
      <c r="E42" s="229">
        <f ca="1">IF(ContrEquity=0,0,IF(DevBdgt!E$49&lt;=SUM('General Inputs'!$J$8:$L$8),ContrEquity*DevBdgt!E$48,IF(AND(DevBdgt!E$49&gt;SUM('General Inputs'!$J$8:$L$8),DevBdgt!D$49&lt;SUM('General Inputs'!$J$8:$L$8)),'General Inputs'!$J$8-SUM($D$42:D$42),0)))</f>
        <v>1684806.2553703375</v>
      </c>
      <c r="F42" s="229">
        <f ca="1">IF(ContrEquity=0,0,IF(DevBdgt!F$49&lt;=SUM('General Inputs'!$J$8:$L$8),ContrEquity*DevBdgt!F$48,IF(AND(DevBdgt!F$49&gt;SUM('General Inputs'!$J$8:$L$8),DevBdgt!E$49&lt;SUM('General Inputs'!$J$8:$L$8)),'General Inputs'!$J$8-SUM($D$42:E$42),0)))</f>
        <v>13679721.285321232</v>
      </c>
      <c r="G42" s="229">
        <f ca="1">IF(ContrEquity=0,0,IF(DevBdgt!G$49&lt;=SUM('General Inputs'!$J$8:$L$8),ContrEquity*DevBdgt!G$48,IF(AND(DevBdgt!G$49&gt;SUM('General Inputs'!$J$8:$L$8),DevBdgt!F$49&lt;SUM('General Inputs'!$J$8:$L$8)),'General Inputs'!$J$8-SUM($D$42:F$42),0)))</f>
        <v>429758.58896990592</v>
      </c>
      <c r="H42" s="229">
        <f ca="1">IF(ContrEquity=0,0,IF(DevBdgt!H$49&lt;=SUM('General Inputs'!$J$8:$L$8),ContrEquity*DevBdgt!H$48,IF(AND(DevBdgt!H$49&gt;SUM('General Inputs'!$J$8:$L$8),DevBdgt!G$49&lt;SUM('General Inputs'!$J$8:$L$8)),'General Inputs'!$J$8-SUM($D$42:G$42),0)))</f>
        <v>652516.24275347544</v>
      </c>
      <c r="I42" s="229">
        <f ca="1">IF(ContrEquity=0,0,IF(DevBdgt!I$49&lt;=SUM('General Inputs'!$J$8:$L$8),ContrEquity*DevBdgt!I$48,IF(AND(DevBdgt!I$49&gt;SUM('General Inputs'!$J$8:$L$8),DevBdgt!H$49&lt;SUM('General Inputs'!$J$8:$L$8)),'General Inputs'!$J$8-SUM($D$42:H$42),0)))</f>
        <v>1108216.2834030252</v>
      </c>
      <c r="J42" s="229">
        <f ca="1">IF(ContrEquity=0,0,IF(DevBdgt!J$49&lt;=SUM('General Inputs'!$J$8:$L$8),ContrEquity*DevBdgt!J$48,IF(AND(DevBdgt!J$49&gt;SUM('General Inputs'!$J$8:$L$8),DevBdgt!I$49&lt;SUM('General Inputs'!$J$8:$L$8)),'General Inputs'!$J$8-SUM($D$42:I$42),0)))</f>
        <v>1808500.5776190415</v>
      </c>
      <c r="K42" s="229">
        <f ca="1">IF(ContrEquity=0,0,IF(DevBdgt!K$49&lt;=SUM('General Inputs'!$J$8:$L$8),ContrEquity*DevBdgt!K$48,IF(AND(DevBdgt!K$49&gt;SUM('General Inputs'!$J$8:$L$8),DevBdgt!J$49&lt;SUM('General Inputs'!$J$8:$L$8)),'General Inputs'!$J$8-SUM($D$42:J$42),0)))</f>
        <v>1861449.5545326734</v>
      </c>
      <c r="L42" s="229">
        <f ca="1">IF(ContrEquity=0,0,IF(DevBdgt!L$49&lt;=SUM('General Inputs'!$J$8:$L$8),ContrEquity*DevBdgt!L$48,IF(AND(DevBdgt!L$49&gt;SUM('General Inputs'!$J$8:$L$8),DevBdgt!K$49&lt;SUM('General Inputs'!$J$8:$L$8)),'General Inputs'!$J$8-SUM($D$42:K$42),0)))</f>
        <v>2372000.4851556052</v>
      </c>
      <c r="M42" s="229">
        <f ca="1">IF(ContrEquity=0,0,IF(DevBdgt!M$49&lt;=SUM('General Inputs'!$J$8:$L$8),ContrEquity*DevBdgt!M$48,IF(AND(DevBdgt!M$49&gt;SUM('General Inputs'!$J$8:$L$8),DevBdgt!L$49&lt;SUM('General Inputs'!$J$8:$L$8)),'General Inputs'!$J$8-SUM($D$42:L$42),0)))</f>
        <v>2813680.2377213496</v>
      </c>
      <c r="N42" s="229">
        <f ca="1">IF(ContrEquity=0,0,IF(DevBdgt!N$49&lt;=SUM('General Inputs'!$J$8:$L$8),ContrEquity*DevBdgt!N$48,IF(AND(DevBdgt!N$49&gt;SUM('General Inputs'!$J$8:$L$8),DevBdgt!M$49&lt;SUM('General Inputs'!$J$8:$L$8)),'General Inputs'!$J$8-SUM($D$42:M$42),0)))</f>
        <v>3293680.161515363</v>
      </c>
      <c r="O42" s="229">
        <f ca="1">IF(ContrEquity=0,0,IF(DevBdgt!O$49&lt;=SUM('General Inputs'!$J$8:$L$8),ContrEquity*DevBdgt!O$48,IF(AND(DevBdgt!O$49&gt;SUM('General Inputs'!$J$8:$L$8),DevBdgt!N$49&lt;SUM('General Inputs'!$J$8:$L$8)),'General Inputs'!$J$8-SUM($D$42:N$42),0)))</f>
        <v>1869318.1862202697</v>
      </c>
      <c r="P42" s="229">
        <f ca="1">IF(ContrEquity=0,0,IF(DevBdgt!P$49&lt;=SUM('General Inputs'!$J$8:$L$8),ContrEquity*DevBdgt!P$48,IF(AND(DevBdgt!P$49&gt;SUM('General Inputs'!$J$8:$L$8),DevBdgt!O$49&lt;SUM('General Inputs'!$J$8:$L$8)),'General Inputs'!$J$8-SUM($D$42:O$42),0)))</f>
        <v>0</v>
      </c>
      <c r="Q42" s="229">
        <f ca="1">IF(ContrEquity=0,0,IF(DevBdgt!Q$49&lt;=SUM('General Inputs'!$J$8:$L$8),ContrEquity*DevBdgt!Q$48,IF(AND(DevBdgt!Q$49&gt;SUM('General Inputs'!$J$8:$L$8),DevBdgt!P$49&lt;SUM('General Inputs'!$J$8:$L$8)),'General Inputs'!$J$8-SUM($D$42:P$42),0)))</f>
        <v>0</v>
      </c>
      <c r="R42" s="229">
        <f ca="1">IF(ContrEquity=0,0,IF(DevBdgt!R$49&lt;=SUM('General Inputs'!$J$8:$L$8),ContrEquity*DevBdgt!R$48,IF(AND(DevBdgt!R$49&gt;SUM('General Inputs'!$J$8:$L$8),DevBdgt!Q$49&lt;SUM('General Inputs'!$J$8:$L$8)),'General Inputs'!$J$8-SUM($D$42:Q$42),0)))</f>
        <v>0</v>
      </c>
      <c r="S42" s="229">
        <f ca="1">IF(ContrEquity=0,0,IF(DevBdgt!S$49&lt;=SUM('General Inputs'!$J$8:$L$8),ContrEquity*DevBdgt!S$48,IF(AND(DevBdgt!S$49&gt;SUM('General Inputs'!$J$8:$L$8),DevBdgt!R$49&lt;SUM('General Inputs'!$J$8:$L$8)),'General Inputs'!$J$8-SUM($D$42:R$42),0)))</f>
        <v>0</v>
      </c>
      <c r="T42" s="229">
        <f ca="1">IF(ContrEquity=0,0,IF(DevBdgt!T$49&lt;=SUM('General Inputs'!$J$8:$L$8),ContrEquity*DevBdgt!T$48,IF(AND(DevBdgt!T$49&gt;SUM('General Inputs'!$J$8:$L$8),DevBdgt!S$49&lt;SUM('General Inputs'!$J$8:$L$8)),'General Inputs'!$J$8-SUM($D$42:S$42),0)))</f>
        <v>0</v>
      </c>
      <c r="U42" s="229">
        <f ca="1">IF(ContrEquity=0,0,IF(DevBdgt!U$49&lt;=SUM('General Inputs'!$J$8:$L$8),ContrEquity*DevBdgt!U$48,IF(AND(DevBdgt!U$49&gt;SUM('General Inputs'!$J$8:$L$8),DevBdgt!T$49&lt;SUM('General Inputs'!$J$8:$L$8)),'General Inputs'!$J$8-SUM($D$42:T$42),0)))</f>
        <v>0</v>
      </c>
      <c r="V42" s="229">
        <f ca="1">IF(ContrEquity=0,0,IF(DevBdgt!V$49&lt;=SUM('General Inputs'!$J$8:$L$8),ContrEquity*DevBdgt!V$48,IF(AND(DevBdgt!V$49&gt;SUM('General Inputs'!$J$8:$L$8),DevBdgt!U$49&lt;SUM('General Inputs'!$J$8:$L$8)),'General Inputs'!$J$8-SUM($D$42:U$42),0)))</f>
        <v>0</v>
      </c>
      <c r="W42" s="229">
        <f ca="1">IF(ContrEquity=0,0,IF(DevBdgt!W$49&lt;=SUM('General Inputs'!$J$8:$L$8),ContrEquity*DevBdgt!W$48,IF(AND(DevBdgt!W$49&gt;SUM('General Inputs'!$J$8:$L$8),DevBdgt!V$49&lt;SUM('General Inputs'!$J$8:$L$8)),'General Inputs'!$J$8-SUM($D$42:V$42),0)))</f>
        <v>0</v>
      </c>
      <c r="X42" s="229">
        <f ca="1">IF(ContrEquity=0,0,IF(DevBdgt!X$49&lt;=SUM('General Inputs'!$J$8:$L$8),ContrEquity*DevBdgt!X$48,IF(AND(DevBdgt!X$49&gt;SUM('General Inputs'!$J$8:$L$8),DevBdgt!W$49&lt;SUM('General Inputs'!$J$8:$L$8)),'General Inputs'!$J$8-SUM($D$42:W$42),0)))</f>
        <v>0</v>
      </c>
      <c r="Y42" s="229">
        <f ca="1">IF(ContrEquity=0,0,IF(DevBdgt!Y$49&lt;=SUM('General Inputs'!$J$8:$L$8),ContrEquity*DevBdgt!Y$48,IF(AND(DevBdgt!Y$49&gt;SUM('General Inputs'!$J$8:$L$8),DevBdgt!X$49&lt;SUM('General Inputs'!$J$8:$L$8)),'General Inputs'!$J$8-SUM($D$42:X$42),0)))</f>
        <v>0</v>
      </c>
      <c r="Z42" s="229">
        <f ca="1">IF(ContrEquity=0,0,IF(DevBdgt!Z$49&lt;=SUM('General Inputs'!$J$8:$L$8),ContrEquity*DevBdgt!Z$48,IF(AND(DevBdgt!Z$49&gt;SUM('General Inputs'!$J$8:$L$8),DevBdgt!Y$49&lt;SUM('General Inputs'!$J$8:$L$8)),'General Inputs'!$J$8-SUM($D$42:Y$42),0)))</f>
        <v>0</v>
      </c>
      <c r="AA42" s="229">
        <f ca="1">IF(ContrEquity=0,0,IF(DevBdgt!AA$49&lt;=SUM('General Inputs'!$J$8:$L$8),ContrEquity*DevBdgt!AA$48,IF(AND(DevBdgt!AA$49&gt;SUM('General Inputs'!$J$8:$L$8),DevBdgt!Z$49&lt;SUM('General Inputs'!$J$8:$L$8)),'General Inputs'!$J$8-SUM($D$42:Z$42),0)))</f>
        <v>0</v>
      </c>
      <c r="AB42" s="229">
        <f ca="1">IF(ContrEquity=0,0,IF(DevBdgt!AB$49&lt;=SUM('General Inputs'!$J$8:$L$8),ContrEquity*DevBdgt!AB$48,IF(AND(DevBdgt!AB$49&gt;SUM('General Inputs'!$J$8:$L$8),DevBdgt!AA$49&lt;SUM('General Inputs'!$J$8:$L$8)),'General Inputs'!$J$8-SUM($D$42:AA$42),0)))</f>
        <v>0</v>
      </c>
      <c r="AC42" s="229">
        <f ca="1">IF(ContrEquity=0,0,IF(DevBdgt!AC$49&lt;=SUM('General Inputs'!$J$8:$L$8),ContrEquity*DevBdgt!AC$48,IF(AND(DevBdgt!AC$49&gt;SUM('General Inputs'!$J$8:$L$8),DevBdgt!AB$49&lt;SUM('General Inputs'!$J$8:$L$8)),'General Inputs'!$J$8-SUM($D$42:AB$42),0)))</f>
        <v>0</v>
      </c>
      <c r="AD42" s="229">
        <f ca="1">IF(ContrEquity=0,0,IF(DevBdgt!AD$49&lt;=SUM('General Inputs'!$J$8:$L$8),ContrEquity*DevBdgt!AD$48,IF(AND(DevBdgt!AD$49&gt;SUM('General Inputs'!$J$8:$L$8),DevBdgt!AC$49&lt;SUM('General Inputs'!$J$8:$L$8)),'General Inputs'!$J$8-SUM($D$42:AC$42),0)))</f>
        <v>0</v>
      </c>
      <c r="AE42" s="229">
        <f ca="1">IF(ContrEquity=0,0,IF(DevBdgt!AE$49&lt;=SUM('General Inputs'!$J$8:$L$8),ContrEquity*DevBdgt!AE$48,IF(AND(DevBdgt!AE$49&gt;SUM('General Inputs'!$J$8:$L$8),DevBdgt!AD$49&lt;SUM('General Inputs'!$J$8:$L$8)),'General Inputs'!$J$8-SUM($D$42:AD$42),0)))</f>
        <v>0</v>
      </c>
      <c r="AF42" s="229">
        <f ca="1">IF(ContrEquity=0,0,IF(DevBdgt!AF$49&lt;=SUM('General Inputs'!$J$8:$L$8),ContrEquity*DevBdgt!AF$48,IF(AND(DevBdgt!AF$49&gt;SUM('General Inputs'!$J$8:$L$8),DevBdgt!AE$49&lt;SUM('General Inputs'!$J$8:$L$8)),'General Inputs'!$J$8-SUM($D$42:AE$42),0)))</f>
        <v>0</v>
      </c>
      <c r="AG42" s="229">
        <f ca="1">IF(ContrEquity=0,0,IF(DevBdgt!AG$49&lt;=SUM('General Inputs'!$J$8:$L$8),ContrEquity*DevBdgt!AG$48,IF(AND(DevBdgt!AG$49&gt;SUM('General Inputs'!$J$8:$L$8),DevBdgt!AF$49&lt;SUM('General Inputs'!$J$8:$L$8)),'General Inputs'!$J$8-SUM($D$42:AF$42),0)))</f>
        <v>0</v>
      </c>
      <c r="AH42" s="229">
        <f ca="1">IF(ContrEquity=0,0,IF(DevBdgt!AH$49&lt;=SUM('General Inputs'!$J$8:$L$8),ContrEquity*DevBdgt!AH$48,IF(AND(DevBdgt!AH$49&gt;SUM('General Inputs'!$J$8:$L$8),DevBdgt!AG$49&lt;SUM('General Inputs'!$J$8:$L$8)),'General Inputs'!$J$8-SUM($D$42:AG$42),0)))</f>
        <v>0</v>
      </c>
      <c r="AI42" s="229">
        <f ca="1">IF(ContrEquity=0,0,IF(DevBdgt!AI$49&lt;=SUM('General Inputs'!$J$8:$L$8),ContrEquity*DevBdgt!AI$48,IF(AND(DevBdgt!AI$49&gt;SUM('General Inputs'!$J$8:$L$8),DevBdgt!AH$49&lt;SUM('General Inputs'!$J$8:$L$8)),'General Inputs'!$J$8-SUM($D$42:AH$42),0)))</f>
        <v>0</v>
      </c>
      <c r="AJ42" s="229">
        <f ca="1">IF(ContrEquity=0,0,IF(DevBdgt!AJ$49&lt;=SUM('General Inputs'!$J$8:$L$8),ContrEquity*DevBdgt!AJ$48,IF(AND(DevBdgt!AJ$49&gt;SUM('General Inputs'!$J$8:$L$8),DevBdgt!AI$49&lt;SUM('General Inputs'!$J$8:$L$8)),'General Inputs'!$J$8-SUM($D$42:AI$42),0)))</f>
        <v>0</v>
      </c>
      <c r="AK42" s="229">
        <f ca="1">IF(ContrEquity=0,0,IF(DevBdgt!AK$49&lt;=SUM('General Inputs'!$J$8:$L$8),ContrEquity*DevBdgt!AK$48,IF(AND(DevBdgt!AK$49&gt;SUM('General Inputs'!$J$8:$L$8),DevBdgt!AJ$49&lt;SUM('General Inputs'!$J$8:$L$8)),'General Inputs'!$J$8-SUM($D$42:AJ$42),0)))</f>
        <v>0</v>
      </c>
      <c r="AL42" s="229">
        <f ca="1">IF(ContrEquity=0,0,IF(DevBdgt!AL$49&lt;=SUM('General Inputs'!$J$8:$L$8),ContrEquity*DevBdgt!AL$48,IF(AND(DevBdgt!AL$49&gt;SUM('General Inputs'!$J$8:$L$8),DevBdgt!AK$49&lt;SUM('General Inputs'!$J$8:$L$8)),'General Inputs'!$J$8-SUM($D$42:AK$42),0)))</f>
        <v>0</v>
      </c>
      <c r="AM42" s="229">
        <f ca="1">IF(ContrEquity=0,0,IF(DevBdgt!AM$49&lt;=SUM('General Inputs'!$J$8:$L$8),ContrEquity*DevBdgt!AM$48,IF(AND(DevBdgt!AM$49&gt;SUM('General Inputs'!$J$8:$L$8),DevBdgt!AL$49&lt;SUM('General Inputs'!$J$8:$L$8)),'General Inputs'!$J$8-SUM($D$42:AL$42),0)))</f>
        <v>0</v>
      </c>
      <c r="AN42" s="229">
        <f ca="1">IF(ContrEquity=0,0,IF(DevBdgt!AN$49&lt;=SUM('General Inputs'!$J$8:$L$8),ContrEquity*DevBdgt!AN$48,IF(AND(DevBdgt!AN$49&gt;SUM('General Inputs'!$J$8:$L$8),DevBdgt!AM$49&lt;SUM('General Inputs'!$J$8:$L$8)),'General Inputs'!$J$8-SUM($D$42:AM$42),0)))</f>
        <v>0</v>
      </c>
      <c r="AO42" s="229">
        <f ca="1">IF(ContrEquity=0,0,IF(DevBdgt!AO$49&lt;=SUM('General Inputs'!$J$8:$L$8),ContrEquity*DevBdgt!AO$48,IF(AND(DevBdgt!AO$49&gt;SUM('General Inputs'!$J$8:$L$8),DevBdgt!AN$49&lt;SUM('General Inputs'!$J$8:$L$8)),'General Inputs'!$J$8-SUM($D$42:AN$42),0)))</f>
        <v>0</v>
      </c>
      <c r="AP42" s="229">
        <f ca="1">IF(ContrEquity=0,0,IF(DevBdgt!AP$49&lt;=SUM('General Inputs'!$J$8:$L$8),ContrEquity*DevBdgt!AP$48,IF(AND(DevBdgt!AP$49&gt;SUM('General Inputs'!$J$8:$L$8),DevBdgt!AO$49&lt;SUM('General Inputs'!$J$8:$L$8)),'General Inputs'!$J$8-SUM($D$42:AO$42),0)))</f>
        <v>0</v>
      </c>
      <c r="AQ42" s="229">
        <f ca="1">IF(ContrEquity=0,0,IF(DevBdgt!AQ$49&lt;=SUM('General Inputs'!$J$8:$L$8),ContrEquity*DevBdgt!AQ$48,IF(AND(DevBdgt!AQ$49&gt;SUM('General Inputs'!$J$8:$L$8),DevBdgt!AP$49&lt;SUM('General Inputs'!$J$8:$L$8)),'General Inputs'!$J$8-SUM($D$42:AP$42),0)))</f>
        <v>0</v>
      </c>
      <c r="AR42" s="229">
        <f ca="1">IF(ContrEquity=0,0,IF(DevBdgt!AR$49&lt;=SUM('General Inputs'!$J$8:$L$8),ContrEquity*DevBdgt!AR$48,IF(AND(DevBdgt!AR$49&gt;SUM('General Inputs'!$J$8:$L$8),DevBdgt!AQ$49&lt;SUM('General Inputs'!$J$8:$L$8)),'General Inputs'!$J$8-SUM($D$42:AQ$42),0)))</f>
        <v>0</v>
      </c>
      <c r="AS42" s="229">
        <f ca="1">IF(ContrEquity=0,0,IF(DevBdgt!AS$49&lt;=SUM('General Inputs'!$J$8:$L$8),ContrEquity*DevBdgt!AS$48,IF(AND(DevBdgt!AS$49&gt;SUM('General Inputs'!$J$8:$L$8),DevBdgt!AR$49&lt;SUM('General Inputs'!$J$8:$L$8)),'General Inputs'!$J$8-SUM($D$42:AR$42),0)))</f>
        <v>0</v>
      </c>
      <c r="AT42" s="229">
        <f ca="1">IF(ContrEquity=0,0,IF(DevBdgt!AT$49&lt;=SUM('General Inputs'!$J$8:$L$8),ContrEquity*DevBdgt!AT$48,IF(AND(DevBdgt!AT$49&gt;SUM('General Inputs'!$J$8:$L$8),DevBdgt!AS$49&lt;SUM('General Inputs'!$J$8:$L$8)),'General Inputs'!$J$8-SUM($D$42:AS$42),0)))</f>
        <v>0</v>
      </c>
      <c r="AU42" s="229">
        <f ca="1">IF(ContrEquity=0,0,IF(DevBdgt!AU$49&lt;=SUM('General Inputs'!$J$8:$L$8),ContrEquity*DevBdgt!AU$48,IF(AND(DevBdgt!AU$49&gt;SUM('General Inputs'!$J$8:$L$8),DevBdgt!AT$49&lt;SUM('General Inputs'!$J$8:$L$8)),'General Inputs'!$J$8-SUM($D$42:AT$42),0)))</f>
        <v>0</v>
      </c>
      <c r="AV42" s="229">
        <f ca="1">IF(ContrEquity=0,0,IF(DevBdgt!AV$49&lt;=SUM('General Inputs'!$J$8:$L$8),ContrEquity*DevBdgt!AV$48,IF(AND(DevBdgt!AV$49&gt;SUM('General Inputs'!$J$8:$L$8),DevBdgt!AU$49&lt;SUM('General Inputs'!$J$8:$L$8)),'General Inputs'!$J$8-SUM($D$42:AU$42),0)))</f>
        <v>0</v>
      </c>
      <c r="AW42" s="229">
        <f ca="1">IF(ContrEquity=0,0,IF(DevBdgt!AW$49&lt;=SUM('General Inputs'!$J$8:$L$8),ContrEquity*DevBdgt!AW$48,IF(AND(DevBdgt!AW$49&gt;SUM('General Inputs'!$J$8:$L$8),DevBdgt!AV$49&lt;SUM('General Inputs'!$J$8:$L$8)),'General Inputs'!$J$8-SUM($D$42:AV$42),0)))</f>
        <v>0</v>
      </c>
      <c r="AX42" s="229">
        <f ca="1">IF(ContrEquity=0,0,IF(DevBdgt!AX$49&lt;=SUM('General Inputs'!$J$8:$L$8),ContrEquity*DevBdgt!AX$48,IF(AND(DevBdgt!AX$49&gt;SUM('General Inputs'!$J$8:$L$8),DevBdgt!AW$49&lt;SUM('General Inputs'!$J$8:$L$8)),'General Inputs'!$J$8-SUM($D$42:AW$42),0)))</f>
        <v>0</v>
      </c>
      <c r="AY42" s="229">
        <f ca="1">IF(ContrEquity=0,0,IF(DevBdgt!AY$49&lt;=SUM('General Inputs'!$J$8:$L$8),ContrEquity*DevBdgt!AY$48,IF(AND(DevBdgt!AY$49&gt;SUM('General Inputs'!$J$8:$L$8),DevBdgt!AX$49&lt;SUM('General Inputs'!$J$8:$L$8)),'General Inputs'!$J$8-SUM($D$42:AX$42),0)))</f>
        <v>0</v>
      </c>
      <c r="AZ42" s="229">
        <f ca="1">IF(ContrEquity=0,0,IF(DevBdgt!AZ$49&lt;=SUM('General Inputs'!$J$8:$L$8),ContrEquity*DevBdgt!AZ$48,IF(AND(DevBdgt!AZ$49&gt;SUM('General Inputs'!$J$8:$L$8),DevBdgt!AY$49&lt;SUM('General Inputs'!$J$8:$L$8)),'General Inputs'!$J$8-SUM($D$42:AY$42),0)))</f>
        <v>0</v>
      </c>
      <c r="BA42" s="229">
        <f ca="1">IF(ContrEquity=0,0,IF(DevBdgt!BA$49&lt;=SUM('General Inputs'!$J$8:$L$8),ContrEquity*DevBdgt!BA$48,IF(AND(DevBdgt!BA$49&gt;SUM('General Inputs'!$J$8:$L$8),DevBdgt!AZ$49&lt;SUM('General Inputs'!$J$8:$L$8)),'General Inputs'!$J$8-SUM($D$42:AZ$42),0)))</f>
        <v>0</v>
      </c>
      <c r="BB42" s="229">
        <f ca="1">IF(ContrEquity=0,0,IF(DevBdgt!BB$49&lt;=SUM('General Inputs'!$J$8:$L$8),ContrEquity*DevBdgt!BB$48,IF(AND(DevBdgt!BB$49&gt;SUM('General Inputs'!$J$8:$L$8),DevBdgt!BA$49&lt;SUM('General Inputs'!$J$8:$L$8)),'General Inputs'!$J$8-SUM($D$42:BA$42),0)))</f>
        <v>0</v>
      </c>
      <c r="BC42" s="229">
        <f ca="1">IF(ContrEquity=0,0,IF(DevBdgt!BC$49&lt;=SUM('General Inputs'!$J$8:$L$8),ContrEquity*DevBdgt!BC$48,IF(AND(DevBdgt!BC$49&gt;SUM('General Inputs'!$J$8:$L$8),DevBdgt!BB$49&lt;SUM('General Inputs'!$J$8:$L$8)),'General Inputs'!$J$8-SUM($D$42:BB$42),0)))</f>
        <v>0</v>
      </c>
      <c r="BD42" s="229">
        <f ca="1">IF(ContrEquity=0,0,IF(DevBdgt!BD$49&lt;=SUM('General Inputs'!$J$8:$L$8),ContrEquity*DevBdgt!BD$48,IF(AND(DevBdgt!BD$49&gt;SUM('General Inputs'!$J$8:$L$8),DevBdgt!BC$49&lt;SUM('General Inputs'!$J$8:$L$8)),'General Inputs'!$J$8-SUM($D$42:BC$42),0)))</f>
        <v>0</v>
      </c>
      <c r="BE42" s="229">
        <f ca="1">IF(ContrEquity=0,0,IF(DevBdgt!BE$49&lt;=SUM('General Inputs'!$J$8:$L$8),ContrEquity*DevBdgt!BE$48,IF(AND(DevBdgt!BE$49&gt;SUM('General Inputs'!$J$8:$L$8),DevBdgt!BD$49&lt;SUM('General Inputs'!$J$8:$L$8)),'General Inputs'!$J$8-SUM($D$42:BD$42),0)))</f>
        <v>0</v>
      </c>
      <c r="BF42" s="229">
        <f ca="1">IF(ContrEquity=0,0,IF(DevBdgt!BF$49&lt;=SUM('General Inputs'!$J$8:$L$8),ContrEquity*DevBdgt!BF$48,IF(AND(DevBdgt!BF$49&gt;SUM('General Inputs'!$J$8:$L$8),DevBdgt!BE$49&lt;SUM('General Inputs'!$J$8:$L$8)),'General Inputs'!$J$8-SUM($D$42:BE$42),0)))</f>
        <v>0</v>
      </c>
      <c r="BG42" s="229">
        <f ca="1">IF(ContrEquity=0,0,IF(DevBdgt!BG$49&lt;=SUM('General Inputs'!$J$8:$L$8),ContrEquity*DevBdgt!BG$48,IF(AND(DevBdgt!BG$49&gt;SUM('General Inputs'!$J$8:$L$8),DevBdgt!BF$49&lt;SUM('General Inputs'!$J$8:$L$8)),'General Inputs'!$J$8-SUM($D$42:BF$42),0)))</f>
        <v>0</v>
      </c>
      <c r="BH42" s="229">
        <f ca="1">IF(ContrEquity=0,0,IF(DevBdgt!BH$49&lt;=SUM('General Inputs'!$J$8:$L$8),ContrEquity*DevBdgt!BH$48,IF(AND(DevBdgt!BH$49&gt;SUM('General Inputs'!$J$8:$L$8),DevBdgt!BG$49&lt;SUM('General Inputs'!$J$8:$L$8)),'General Inputs'!$J$8-SUM($D$42:BG$42),0)))</f>
        <v>0</v>
      </c>
      <c r="BI42" s="229">
        <f ca="1">IF(ContrEquity=0,0,IF(DevBdgt!BI$49&lt;=SUM('General Inputs'!$J$8:$L$8),ContrEquity*DevBdgt!BI$48,IF(AND(DevBdgt!BI$49&gt;SUM('General Inputs'!$J$8:$L$8),DevBdgt!BH$49&lt;SUM('General Inputs'!$J$8:$L$8)),'General Inputs'!$J$8-SUM($D$42:BH$42),0)))</f>
        <v>0</v>
      </c>
      <c r="BJ42" s="229">
        <f ca="1">IF(ContrEquity=0,0,IF(DevBdgt!BJ$49&lt;=SUM('General Inputs'!$J$8:$L$8),ContrEquity*DevBdgt!BJ$48,IF(AND(DevBdgt!BJ$49&gt;SUM('General Inputs'!$J$8:$L$8),DevBdgt!BI$49&lt;SUM('General Inputs'!$J$8:$L$8)),'General Inputs'!$J$8-SUM($D$42:BI$42),0)))</f>
        <v>0</v>
      </c>
      <c r="BK42" s="229">
        <f ca="1">IF(ContrEquity=0,0,IF(DevBdgt!BK$49&lt;=SUM('General Inputs'!$J$8:$L$8),ContrEquity*DevBdgt!BK$48,IF(AND(DevBdgt!BK$49&gt;SUM('General Inputs'!$J$8:$L$8),DevBdgt!BJ$49&lt;SUM('General Inputs'!$J$8:$L$8)),'General Inputs'!$J$8-SUM($D$42:BJ$42),0)))</f>
        <v>0</v>
      </c>
      <c r="BL42" s="229">
        <f ca="1">IF(ContrEquity=0,0,IF(DevBdgt!BL$49&lt;=SUM('General Inputs'!$J$8:$L$8),ContrEquity*DevBdgt!BL$48,IF(AND(DevBdgt!BL$49&gt;SUM('General Inputs'!$J$8:$L$8),DevBdgt!BK$49&lt;SUM('General Inputs'!$J$8:$L$8)),'General Inputs'!$J$8-SUM($D$42:BK$42),0)))</f>
        <v>0</v>
      </c>
      <c r="BM42" s="229">
        <f ca="1">IF(ContrEquity=0,0,IF(DevBdgt!BM$49&lt;=SUM('General Inputs'!$J$8:$L$8),ContrEquity*DevBdgt!BM$48,IF(AND(DevBdgt!BM$49&gt;SUM('General Inputs'!$J$8:$L$8),DevBdgt!BL$49&lt;SUM('General Inputs'!$J$8:$L$8)),'General Inputs'!$J$8-SUM($D$42:BL$42),0)))</f>
        <v>0</v>
      </c>
      <c r="BN42" s="229">
        <f ca="1">IF(ContrEquity=0,0,IF(DevBdgt!BN$49&lt;=SUM('General Inputs'!$J$8:$L$8),ContrEquity*DevBdgt!BN$48,IF(AND(DevBdgt!BN$49&gt;SUM('General Inputs'!$J$8:$L$8),DevBdgt!BM$49&lt;SUM('General Inputs'!$J$8:$L$8)),'General Inputs'!$J$8-SUM($D$42:BM$42),0)))</f>
        <v>0</v>
      </c>
      <c r="BO42" s="229">
        <f ca="1">IF(ContrEquity=0,0,IF(DevBdgt!BO$49&lt;=SUM('General Inputs'!$J$8:$L$8),ContrEquity*DevBdgt!BO$48,IF(AND(DevBdgt!BO$49&gt;SUM('General Inputs'!$J$8:$L$8),DevBdgt!BN$49&lt;SUM('General Inputs'!$J$8:$L$8)),'General Inputs'!$J$8-SUM($D$42:BN$42),0)))</f>
        <v>0</v>
      </c>
      <c r="BP42" s="229">
        <f ca="1">IF(ContrEquity=0,0,IF(DevBdgt!BP$49&lt;=SUM('General Inputs'!$J$8:$L$8),ContrEquity*DevBdgt!BP$48,IF(AND(DevBdgt!BP$49&gt;SUM('General Inputs'!$J$8:$L$8),DevBdgt!BO$49&lt;SUM('General Inputs'!$J$8:$L$8)),'General Inputs'!$J$8-SUM($D$42:BO$42),0)))</f>
        <v>0</v>
      </c>
      <c r="BQ42" s="229">
        <f ca="1">IF(ContrEquity=0,0,IF(DevBdgt!BQ$49&lt;=SUM('General Inputs'!$J$8:$L$8),ContrEquity*DevBdgt!BQ$48,IF(AND(DevBdgt!BQ$49&gt;SUM('General Inputs'!$J$8:$L$8),DevBdgt!BP$49&lt;SUM('General Inputs'!$J$8:$L$8)),'General Inputs'!$J$8-SUM($D$42:BP$42),0)))</f>
        <v>0</v>
      </c>
      <c r="BR42" s="229">
        <f ca="1">IF(ContrEquity=0,0,IF(DevBdgt!BR$49&lt;=SUM('General Inputs'!$J$8:$L$8),ContrEquity*DevBdgt!BR$48,IF(AND(DevBdgt!BR$49&gt;SUM('General Inputs'!$J$8:$L$8),DevBdgt!BQ$49&lt;SUM('General Inputs'!$J$8:$L$8)),'General Inputs'!$J$8-SUM($D$42:BQ$42),0)))</f>
        <v>0</v>
      </c>
      <c r="BS42" s="229">
        <f ca="1">IF(ContrEquity=0,0,IF(DevBdgt!BS$49&lt;=SUM('General Inputs'!$J$8:$L$8),ContrEquity*DevBdgt!BS$48,IF(AND(DevBdgt!BS$49&gt;SUM('General Inputs'!$J$8:$L$8),DevBdgt!BR$49&lt;SUM('General Inputs'!$J$8:$L$8)),'General Inputs'!$J$8-SUM($D$42:BR$42),0)))</f>
        <v>0</v>
      </c>
      <c r="BT42" s="229">
        <f ca="1">IF(ContrEquity=0,0,IF(DevBdgt!BT$49&lt;=SUM('General Inputs'!$J$8:$L$8),ContrEquity*DevBdgt!BT$48,IF(AND(DevBdgt!BT$49&gt;SUM('General Inputs'!$J$8:$L$8),DevBdgt!BS$49&lt;SUM('General Inputs'!$J$8:$L$8)),'General Inputs'!$J$8-SUM($D$42:BS$42),0)))</f>
        <v>0</v>
      </c>
      <c r="BU42" s="229">
        <f ca="1">IF(ContrEquity=0,0,IF(DevBdgt!BU$49&lt;=SUM('General Inputs'!$J$8:$L$8),ContrEquity*DevBdgt!BU$48,IF(AND(DevBdgt!BU$49&gt;SUM('General Inputs'!$J$8:$L$8),DevBdgt!BT$49&lt;SUM('General Inputs'!$J$8:$L$8)),'General Inputs'!$J$8-SUM($D$42:BT$42),0)))</f>
        <v>0</v>
      </c>
      <c r="BV42" s="229">
        <f ca="1">IF(ContrEquity=0,0,IF(DevBdgt!BV$49&lt;=SUM('General Inputs'!$J$8:$L$8),ContrEquity*DevBdgt!BV$48,IF(AND(DevBdgt!BV$49&gt;SUM('General Inputs'!$J$8:$L$8),DevBdgt!BU$49&lt;SUM('General Inputs'!$J$8:$L$8)),'General Inputs'!$J$8-SUM($D$42:BU$42),0)))</f>
        <v>0</v>
      </c>
      <c r="BW42" s="229">
        <f ca="1">IF(ContrEquity=0,0,IF(DevBdgt!BW$49&lt;=SUM('General Inputs'!$J$8:$L$8),ContrEquity*DevBdgt!BW$48,IF(AND(DevBdgt!BW$49&gt;SUM('General Inputs'!$J$8:$L$8),DevBdgt!BV$49&lt;SUM('General Inputs'!$J$8:$L$8)),'General Inputs'!$J$8-SUM($D$42:BV$42),0)))</f>
        <v>0</v>
      </c>
      <c r="BX42" s="229">
        <f ca="1">IF(ContrEquity=0,0,IF(DevBdgt!BX$49&lt;=SUM('General Inputs'!$J$8:$L$8),ContrEquity*DevBdgt!BX$48,IF(AND(DevBdgt!BX$49&gt;SUM('General Inputs'!$J$8:$L$8),DevBdgt!BW$49&lt;SUM('General Inputs'!$J$8:$L$8)),'General Inputs'!$J$8-SUM($D$42:BW$42),0)))</f>
        <v>0</v>
      </c>
      <c r="BY42" s="229">
        <f ca="1">IF(ContrEquity=0,0,IF(DevBdgt!BY$49&lt;=SUM('General Inputs'!$J$8:$L$8),ContrEquity*DevBdgt!BY$48,IF(AND(DevBdgt!BY$49&gt;SUM('General Inputs'!$J$8:$L$8),DevBdgt!BX$49&lt;SUM('General Inputs'!$J$8:$L$8)),'General Inputs'!$J$8-SUM($D$42:BX$42),0)))</f>
        <v>0</v>
      </c>
      <c r="BZ42" s="229">
        <f ca="1">IF(ContrEquity=0,0,IF(DevBdgt!BZ$49&lt;=SUM('General Inputs'!$J$8:$L$8),ContrEquity*DevBdgt!BZ$48,IF(AND(DevBdgt!BZ$49&gt;SUM('General Inputs'!$J$8:$L$8),DevBdgt!BY$49&lt;SUM('General Inputs'!$J$8:$L$8)),'General Inputs'!$J$8-SUM($D$42:BY$42),0)))</f>
        <v>0</v>
      </c>
      <c r="CA42" s="229">
        <f ca="1">IF(ContrEquity=0,0,IF(DevBdgt!CA$49&lt;=SUM('General Inputs'!$J$8:$L$8),ContrEquity*DevBdgt!CA$48,IF(AND(DevBdgt!CA$49&gt;SUM('General Inputs'!$J$8:$L$8),DevBdgt!BZ$49&lt;SUM('General Inputs'!$J$8:$L$8)),'General Inputs'!$J$8-SUM($D$42:BZ$42),0)))</f>
        <v>0</v>
      </c>
      <c r="CB42" s="229">
        <f ca="1">IF(ContrEquity=0,0,IF(DevBdgt!CB$49&lt;=SUM('General Inputs'!$J$8:$L$8),ContrEquity*DevBdgt!CB$48,IF(AND(DevBdgt!CB$49&gt;SUM('General Inputs'!$J$8:$L$8),DevBdgt!CA$49&lt;SUM('General Inputs'!$J$8:$L$8)),'General Inputs'!$J$8-SUM($D$42:CA$42),0)))</f>
        <v>0</v>
      </c>
      <c r="CC42" s="229">
        <f ca="1">IF(ContrEquity=0,0,IF(DevBdgt!CC$49&lt;=SUM('General Inputs'!$J$8:$L$8),ContrEquity*DevBdgt!CC$48,IF(AND(DevBdgt!CC$49&gt;SUM('General Inputs'!$J$8:$L$8),DevBdgt!CB$49&lt;SUM('General Inputs'!$J$8:$L$8)),'General Inputs'!$J$8-SUM($D$42:CB$42),0)))</f>
        <v>0</v>
      </c>
      <c r="CD42" s="229">
        <f ca="1">IF(ContrEquity=0,0,IF(DevBdgt!CD$49&lt;=SUM('General Inputs'!$J$8:$L$8),ContrEquity*DevBdgt!CD$48,IF(AND(DevBdgt!CD$49&gt;SUM('General Inputs'!$J$8:$L$8),DevBdgt!CC$49&lt;SUM('General Inputs'!$J$8:$L$8)),'General Inputs'!$J$8-SUM($D$42:CC$42),0)))</f>
        <v>0</v>
      </c>
      <c r="CE42" s="229">
        <f ca="1">IF(ContrEquity=0,0,IF(DevBdgt!CE$49&lt;=SUM('General Inputs'!$J$8:$L$8),ContrEquity*DevBdgt!CE$48,IF(AND(DevBdgt!CE$49&gt;SUM('General Inputs'!$J$8:$L$8),DevBdgt!CD$49&lt;SUM('General Inputs'!$J$8:$L$8)),'General Inputs'!$J$8-SUM($D$42:CD$42),0)))</f>
        <v>0</v>
      </c>
      <c r="CF42" s="229">
        <f ca="1">IF(ContrEquity=0,0,IF(DevBdgt!CF$49&lt;=SUM('General Inputs'!$J$8:$L$8),ContrEquity*DevBdgt!CF$48,IF(AND(DevBdgt!CF$49&gt;SUM('General Inputs'!$J$8:$L$8),DevBdgt!CE$49&lt;SUM('General Inputs'!$J$8:$L$8)),'General Inputs'!$J$8-SUM($D$42:CE$42),0)))</f>
        <v>0</v>
      </c>
      <c r="CG42" s="229">
        <f ca="1">IF(ContrEquity=0,0,IF(DevBdgt!CG$49&lt;=SUM('General Inputs'!$J$8:$L$8),ContrEquity*DevBdgt!CG$48,IF(AND(DevBdgt!CG$49&gt;SUM('General Inputs'!$J$8:$L$8),DevBdgt!CF$49&lt;SUM('General Inputs'!$J$8:$L$8)),'General Inputs'!$J$8-SUM($D$42:CF$42),0)))</f>
        <v>0</v>
      </c>
      <c r="CH42" s="229">
        <f ca="1">IF(ContrEquity=0,0,IF(DevBdgt!CH$49&lt;=SUM('General Inputs'!$J$8:$L$8),ContrEquity*DevBdgt!CH$48,IF(AND(DevBdgt!CH$49&gt;SUM('General Inputs'!$J$8:$L$8),DevBdgt!CG$49&lt;SUM('General Inputs'!$J$8:$L$8)),'General Inputs'!$J$8-SUM($D$42:CG$42),0)))</f>
        <v>0</v>
      </c>
      <c r="CI42" s="229">
        <f ca="1">IF(ContrEquity=0,0,IF(DevBdgt!CI$49&lt;=SUM('General Inputs'!$J$8:$L$8),ContrEquity*DevBdgt!CI$48,IF(AND(DevBdgt!CI$49&gt;SUM('General Inputs'!$J$8:$L$8),DevBdgt!CH$49&lt;SUM('General Inputs'!$J$8:$L$8)),'General Inputs'!$J$8-SUM($D$42:CH$42),0)))</f>
        <v>0</v>
      </c>
      <c r="CJ42" s="229">
        <f ca="1">IF(ContrEquity=0,0,IF(DevBdgt!CJ$49&lt;=SUM('General Inputs'!$J$8:$L$8),ContrEquity*DevBdgt!CJ$48,IF(AND(DevBdgt!CJ$49&gt;SUM('General Inputs'!$J$8:$L$8),DevBdgt!CI$49&lt;SUM('General Inputs'!$J$8:$L$8)),'General Inputs'!$J$8-SUM($D$42:CI$42),0)))</f>
        <v>0</v>
      </c>
      <c r="CK42" s="229">
        <f ca="1">IF(ContrEquity=0,0,IF(DevBdgt!CK$49&lt;=SUM('General Inputs'!$J$8:$L$8),ContrEquity*DevBdgt!CK$48,IF(AND(DevBdgt!CK$49&gt;SUM('General Inputs'!$J$8:$L$8),DevBdgt!CJ$49&lt;SUM('General Inputs'!$J$8:$L$8)),'General Inputs'!$J$8-SUM($D$42:CJ$42),0)))</f>
        <v>0</v>
      </c>
      <c r="CL42" s="229">
        <f ca="1">IF(ContrEquity=0,0,IF(DevBdgt!CL$49&lt;=SUM('General Inputs'!$J$8:$L$8),ContrEquity*DevBdgt!CL$48,IF(AND(DevBdgt!CL$49&gt;SUM('General Inputs'!$J$8:$L$8),DevBdgt!CK$49&lt;SUM('General Inputs'!$J$8:$L$8)),'General Inputs'!$J$8-SUM($D$42:CK$42),0)))</f>
        <v>0</v>
      </c>
      <c r="CM42" s="229">
        <f ca="1">IF(ContrEquity=0,0,IF(DevBdgt!CM$49&lt;=SUM('General Inputs'!$J$8:$L$8),ContrEquity*DevBdgt!CM$48,IF(AND(DevBdgt!CM$49&gt;SUM('General Inputs'!$J$8:$L$8),DevBdgt!CL$49&lt;SUM('General Inputs'!$J$8:$L$8)),'General Inputs'!$J$8-SUM($D$42:CL$42),0)))</f>
        <v>0</v>
      </c>
      <c r="CN42" s="229">
        <f ca="1">IF(ContrEquity=0,0,IF(DevBdgt!CN$49&lt;=SUM('General Inputs'!$J$8:$L$8),ContrEquity*DevBdgt!CN$48,IF(AND(DevBdgt!CN$49&gt;SUM('General Inputs'!$J$8:$L$8),DevBdgt!CM$49&lt;SUM('General Inputs'!$J$8:$L$8)),'General Inputs'!$J$8-SUM($D$42:CM$42),0)))</f>
        <v>0</v>
      </c>
      <c r="CO42" s="229">
        <f ca="1">IF(ContrEquity=0,0,IF(DevBdgt!CO$49&lt;=SUM('General Inputs'!$J$8:$L$8),ContrEquity*DevBdgt!CO$48,IF(AND(DevBdgt!CO$49&gt;SUM('General Inputs'!$J$8:$L$8),DevBdgt!CN$49&lt;SUM('General Inputs'!$J$8:$L$8)),'General Inputs'!$J$8-SUM($D$42:CN$42),0)))</f>
        <v>0</v>
      </c>
      <c r="CP42" s="229">
        <f ca="1">IF(ContrEquity=0,0,IF(DevBdgt!CP$49&lt;=SUM('General Inputs'!$J$8:$L$8),ContrEquity*DevBdgt!CP$48,IF(AND(DevBdgt!CP$49&gt;SUM('General Inputs'!$J$8:$L$8),DevBdgt!CO$49&lt;SUM('General Inputs'!$J$8:$L$8)),'General Inputs'!$J$8-SUM($D$42:CO$42),0)))</f>
        <v>0</v>
      </c>
      <c r="CQ42" s="229">
        <f ca="1">IF(ContrEquity=0,0,IF(DevBdgt!CQ$49&lt;=SUM('General Inputs'!$J$8:$L$8),ContrEquity*DevBdgt!CQ$48,IF(AND(DevBdgt!CQ$49&gt;SUM('General Inputs'!$J$8:$L$8),DevBdgt!CP$49&lt;SUM('General Inputs'!$J$8:$L$8)),'General Inputs'!$J$8-SUM($D$42:CP$42),0)))</f>
        <v>0</v>
      </c>
      <c r="CR42" s="229">
        <f ca="1">IF(ContrEquity=0,0,IF(DevBdgt!CR$49&lt;=SUM('General Inputs'!$J$8:$L$8),ContrEquity*DevBdgt!CR$48,IF(AND(DevBdgt!CR$49&gt;SUM('General Inputs'!$J$8:$L$8),DevBdgt!CQ$49&lt;SUM('General Inputs'!$J$8:$L$8)),'General Inputs'!$J$8-SUM($D$42:CQ$42),0)))</f>
        <v>0</v>
      </c>
      <c r="CS42" s="229">
        <f ca="1">IF(ContrEquity=0,0,IF(DevBdgt!CS$49&lt;=SUM('General Inputs'!$J$8:$L$8),ContrEquity*DevBdgt!CS$48,IF(AND(DevBdgt!CS$49&gt;SUM('General Inputs'!$J$8:$L$8),DevBdgt!CR$49&lt;SUM('General Inputs'!$J$8:$L$8)),'General Inputs'!$J$8-SUM($D$42:CR$42),0)))</f>
        <v>0</v>
      </c>
      <c r="CT42" s="229">
        <f ca="1">IF(ContrEquity=0,0,IF(DevBdgt!CT$49&lt;=SUM('General Inputs'!$J$8:$L$8),ContrEquity*DevBdgt!CT$48,IF(AND(DevBdgt!CT$49&gt;SUM('General Inputs'!$J$8:$L$8),DevBdgt!CS$49&lt;SUM('General Inputs'!$J$8:$L$8)),'General Inputs'!$J$8-SUM($D$42:CS$42),0)))</f>
        <v>0</v>
      </c>
      <c r="CU42" s="229">
        <f ca="1">IF(ContrEquity=0,0,IF(DevBdgt!CU$49&lt;=SUM('General Inputs'!$J$8:$L$8),ContrEquity*DevBdgt!CU$48,IF(AND(DevBdgt!CU$49&gt;SUM('General Inputs'!$J$8:$L$8),DevBdgt!CT$49&lt;SUM('General Inputs'!$J$8:$L$8)),'General Inputs'!$J$8-SUM($D$42:CT$42),0)))</f>
        <v>0</v>
      </c>
      <c r="CV42" s="229">
        <f ca="1">IF(ContrEquity=0,0,IF(DevBdgt!CV$49&lt;=SUM('General Inputs'!$J$8:$L$8),ContrEquity*DevBdgt!CV$48,IF(AND(DevBdgt!CV$49&gt;SUM('General Inputs'!$J$8:$L$8),DevBdgt!CU$49&lt;SUM('General Inputs'!$J$8:$L$8)),'General Inputs'!$J$8-SUM($D$42:CU$42),0)))</f>
        <v>0</v>
      </c>
      <c r="CW42" s="229">
        <f ca="1">IF(ContrEquity=0,0,IF(DevBdgt!CW$49&lt;=SUM('General Inputs'!$J$8:$L$8),ContrEquity*DevBdgt!CW$48,IF(AND(DevBdgt!CW$49&gt;SUM('General Inputs'!$J$8:$L$8),DevBdgt!CV$49&lt;SUM('General Inputs'!$J$8:$L$8)),'General Inputs'!$J$8-SUM($D$42:CV$42),0)))</f>
        <v>0</v>
      </c>
      <c r="CX42" s="229">
        <f ca="1">IF(ContrEquity=0,0,IF(DevBdgt!CX$49&lt;=SUM('General Inputs'!$J$8:$L$8),ContrEquity*DevBdgt!CX$48,IF(AND(DevBdgt!CX$49&gt;SUM('General Inputs'!$J$8:$L$8),DevBdgt!CW$49&lt;SUM('General Inputs'!$J$8:$L$8)),'General Inputs'!$J$8-SUM($D$42:CW$42),0)))</f>
        <v>0</v>
      </c>
      <c r="CY42" s="229">
        <f ca="1">IF(ContrEquity=0,0,IF(DevBdgt!CY$49&lt;=SUM('General Inputs'!$J$8:$L$8),ContrEquity*DevBdgt!CY$48,IF(AND(DevBdgt!CY$49&gt;SUM('General Inputs'!$J$8:$L$8),DevBdgt!CX$49&lt;SUM('General Inputs'!$J$8:$L$8)),'General Inputs'!$J$8-SUM($D$42:CX$42),0)))</f>
        <v>0</v>
      </c>
      <c r="CZ42" s="229">
        <f ca="1">IF(ContrEquity=0,0,IF(DevBdgt!CZ$49&lt;=SUM('General Inputs'!$J$8:$L$8),ContrEquity*DevBdgt!CZ$48,IF(AND(DevBdgt!CZ$49&gt;SUM('General Inputs'!$J$8:$L$8),DevBdgt!CY$49&lt;SUM('General Inputs'!$J$8:$L$8)),'General Inputs'!$J$8-SUM($D$42:CY$42),0)))</f>
        <v>0</v>
      </c>
      <c r="DA42" s="229">
        <f ca="1">IF(ContrEquity=0,0,IF(DevBdgt!DA$49&lt;=SUM('General Inputs'!$J$8:$L$8),ContrEquity*DevBdgt!DA$48,IF(AND(DevBdgt!DA$49&gt;SUM('General Inputs'!$J$8:$L$8),DevBdgt!CZ$49&lt;SUM('General Inputs'!$J$8:$L$8)),'General Inputs'!$J$8-SUM($D$42:CZ$42),0)))</f>
        <v>0</v>
      </c>
      <c r="DB42" s="229">
        <f ca="1">IF(ContrEquity=0,0,IF(DevBdgt!DB$49&lt;=SUM('General Inputs'!$J$8:$L$8),ContrEquity*DevBdgt!DB$48,IF(AND(DevBdgt!DB$49&gt;SUM('General Inputs'!$J$8:$L$8),DevBdgt!DA$49&lt;SUM('General Inputs'!$J$8:$L$8)),'General Inputs'!$J$8-SUM($D$42:DA$42),0)))</f>
        <v>0</v>
      </c>
      <c r="DC42" s="229">
        <f ca="1">IF(ContrEquity=0,0,IF(DevBdgt!DC$49&lt;=SUM('General Inputs'!$J$8:$L$8),ContrEquity*DevBdgt!DC$48,IF(AND(DevBdgt!DC$49&gt;SUM('General Inputs'!$J$8:$L$8),DevBdgt!DB$49&lt;SUM('General Inputs'!$J$8:$L$8)),'General Inputs'!$J$8-SUM($D$42:DB$42),0)))</f>
        <v>0</v>
      </c>
      <c r="DD42" s="229">
        <f ca="1">IF(ContrEquity=0,0,IF(DevBdgt!DD$49&lt;=SUM('General Inputs'!$J$8:$L$8),ContrEquity*DevBdgt!DD$48,IF(AND(DevBdgt!DD$49&gt;SUM('General Inputs'!$J$8:$L$8),DevBdgt!DC$49&lt;SUM('General Inputs'!$J$8:$L$8)),'General Inputs'!$J$8-SUM($D$42:DC$42),0)))</f>
        <v>0</v>
      </c>
      <c r="DE42" s="229">
        <f ca="1">IF(ContrEquity=0,0,IF(DevBdgt!DE$49&lt;=SUM('General Inputs'!$J$8:$L$8),ContrEquity*DevBdgt!DE$48,IF(AND(DevBdgt!DE$49&gt;SUM('General Inputs'!$J$8:$L$8),DevBdgt!DD$49&lt;SUM('General Inputs'!$J$8:$L$8)),'General Inputs'!$J$8-SUM($D$42:DD$42),0)))</f>
        <v>0</v>
      </c>
      <c r="DF42" s="229">
        <f ca="1">IF(ContrEquity=0,0,IF(DevBdgt!DF$49&lt;=SUM('General Inputs'!$J$8:$L$8),ContrEquity*DevBdgt!DF$48,IF(AND(DevBdgt!DF$49&gt;SUM('General Inputs'!$J$8:$L$8),DevBdgt!DE$49&lt;SUM('General Inputs'!$J$8:$L$8)),'General Inputs'!$J$8-SUM($D$42:DE$42),0)))</f>
        <v>0</v>
      </c>
      <c r="DG42" s="229">
        <f ca="1">IF(ContrEquity=0,0,IF(DevBdgt!DG$49&lt;=SUM('General Inputs'!$J$8:$L$8),ContrEquity*DevBdgt!DG$48,IF(AND(DevBdgt!DG$49&gt;SUM('General Inputs'!$J$8:$L$8),DevBdgt!DF$49&lt;SUM('General Inputs'!$J$8:$L$8)),'General Inputs'!$J$8-SUM($D$42:DF$42),0)))</f>
        <v>0</v>
      </c>
      <c r="DH42" s="229">
        <f ca="1">IF(ContrEquity=0,0,IF(DevBdgt!DH$49&lt;=SUM('General Inputs'!$J$8:$L$8),ContrEquity*DevBdgt!DH$48,IF(AND(DevBdgt!DH$49&gt;SUM('General Inputs'!$J$8:$L$8),DevBdgt!DG$49&lt;SUM('General Inputs'!$J$8:$L$8)),'General Inputs'!$J$8-SUM($D$42:DG$42),0)))</f>
        <v>0</v>
      </c>
      <c r="DI42" s="229">
        <f ca="1">IF(ContrEquity=0,0,IF(DevBdgt!DI$49&lt;=SUM('General Inputs'!$J$8:$L$8),ContrEquity*DevBdgt!DI$48,IF(AND(DevBdgt!DI$49&gt;SUM('General Inputs'!$J$8:$L$8),DevBdgt!DH$49&lt;SUM('General Inputs'!$J$8:$L$8)),'General Inputs'!$J$8-SUM($D$42:DH$42),0)))</f>
        <v>0</v>
      </c>
      <c r="DJ42" s="229">
        <f ca="1">IF(ContrEquity=0,0,IF(DevBdgt!DJ$49&lt;=SUM('General Inputs'!$J$8:$L$8),ContrEquity*DevBdgt!DJ$48,IF(AND(DevBdgt!DJ$49&gt;SUM('General Inputs'!$J$8:$L$8),DevBdgt!DI$49&lt;SUM('General Inputs'!$J$8:$L$8)),'General Inputs'!$J$8-SUM($D$42:DI$42),0)))</f>
        <v>0</v>
      </c>
      <c r="DK42" s="229">
        <f ca="1">IF(ContrEquity=0,0,IF(DevBdgt!DK$49&lt;=SUM('General Inputs'!$J$8:$L$8),ContrEquity*DevBdgt!DK$48,IF(AND(DevBdgt!DK$49&gt;SUM('General Inputs'!$J$8:$L$8),DevBdgt!DJ$49&lt;SUM('General Inputs'!$J$8:$L$8)),'General Inputs'!$J$8-SUM($D$42:DJ$42),0)))</f>
        <v>0</v>
      </c>
      <c r="DL42" s="229">
        <f ca="1">IF(ContrEquity=0,0,IF(DevBdgt!DL$49&lt;=SUM('General Inputs'!$J$8:$L$8),ContrEquity*DevBdgt!DL$48,IF(AND(DevBdgt!DL$49&gt;SUM('General Inputs'!$J$8:$L$8),DevBdgt!DK$49&lt;SUM('General Inputs'!$J$8:$L$8)),'General Inputs'!$J$8-SUM($D$42:DK$42),0)))</f>
        <v>0</v>
      </c>
      <c r="DM42" s="229">
        <f ca="1">IF(ContrEquity=0,0,IF(DevBdgt!DM$49&lt;=SUM('General Inputs'!$J$8:$L$8),ContrEquity*DevBdgt!DM$48,IF(AND(DevBdgt!DM$49&gt;SUM('General Inputs'!$J$8:$L$8),DevBdgt!DL$49&lt;SUM('General Inputs'!$J$8:$L$8)),'General Inputs'!$J$8-SUM($D$42:DL$42),0)))</f>
        <v>0</v>
      </c>
      <c r="DN42" s="229">
        <f ca="1">IF(ContrEquity=0,0,IF(DevBdgt!DN$49&lt;=SUM('General Inputs'!$J$8:$L$8),ContrEquity*DevBdgt!DN$48,IF(AND(DevBdgt!DN$49&gt;SUM('General Inputs'!$J$8:$L$8),DevBdgt!DM$49&lt;SUM('General Inputs'!$J$8:$L$8)),'General Inputs'!$J$8-SUM($D$42:DM$42),0)))</f>
        <v>0</v>
      </c>
      <c r="DO42" s="229">
        <f ca="1">IF(ContrEquity=0,0,IF(DevBdgt!DO$49&lt;=SUM('General Inputs'!$J$8:$L$8),ContrEquity*DevBdgt!DO$48,IF(AND(DevBdgt!DO$49&gt;SUM('General Inputs'!$J$8:$L$8),DevBdgt!DN$49&lt;SUM('General Inputs'!$J$8:$L$8)),'General Inputs'!$J$8-SUM($D$42:DN$42),0)))</f>
        <v>0</v>
      </c>
      <c r="DP42" s="229">
        <f ca="1">IF(ContrEquity=0,0,IF(DevBdgt!DP$49&lt;=SUM('General Inputs'!$J$8:$L$8),ContrEquity*DevBdgt!DP$48,IF(AND(DevBdgt!DP$49&gt;SUM('General Inputs'!$J$8:$L$8),DevBdgt!DO$49&lt;SUM('General Inputs'!$J$8:$L$8)),'General Inputs'!$J$8-SUM($D$42:DO$42),0)))</f>
        <v>0</v>
      </c>
      <c r="DQ42" s="229">
        <f ca="1">IF(ContrEquity=0,0,IF(DevBdgt!DQ$49&lt;=SUM('General Inputs'!$J$8:$L$8),ContrEquity*DevBdgt!DQ$48,IF(AND(DevBdgt!DQ$49&gt;SUM('General Inputs'!$J$8:$L$8),DevBdgt!DP$49&lt;SUM('General Inputs'!$J$8:$L$8)),'General Inputs'!$J$8-SUM($D$42:DP$42),0)))</f>
        <v>0</v>
      </c>
      <c r="DR42" s="229">
        <f ca="1">IF(ContrEquity=0,0,IF(DevBdgt!DR$49&lt;=SUM('General Inputs'!$J$8:$L$8),ContrEquity*DevBdgt!DR$48,IF(AND(DevBdgt!DR$49&gt;SUM('General Inputs'!$J$8:$L$8),DevBdgt!DQ$49&lt;SUM('General Inputs'!$J$8:$L$8)),'General Inputs'!$J$8-SUM($D$42:DQ$42),0)))</f>
        <v>0</v>
      </c>
      <c r="DS42" s="229">
        <f ca="1">IF(ContrEquity=0,0,IF(DevBdgt!DS$49&lt;=SUM('General Inputs'!$J$8:$L$8),ContrEquity*DevBdgt!DS$48,IF(AND(DevBdgt!DS$49&gt;SUM('General Inputs'!$J$8:$L$8),DevBdgt!DR$49&lt;SUM('General Inputs'!$J$8:$L$8)),'General Inputs'!$J$8-SUM($D$42:DR$42),0)))</f>
        <v>0</v>
      </c>
      <c r="DT42" s="229">
        <f ca="1">IF(ContrEquity=0,0,IF(DevBdgt!DT$49&lt;=SUM('General Inputs'!$J$8:$L$8),ContrEquity*DevBdgt!DT$48,IF(AND(DevBdgt!DT$49&gt;SUM('General Inputs'!$J$8:$L$8),DevBdgt!DS$49&lt;SUM('General Inputs'!$J$8:$L$8)),'General Inputs'!$J$8-SUM($D$42:DS$42),0)))</f>
        <v>0</v>
      </c>
      <c r="DU42" s="229">
        <f ca="1">IF(ContrEquity=0,0,IF(DevBdgt!DU$49&lt;=SUM('General Inputs'!$J$8:$L$8),ContrEquity*DevBdgt!DU$48,IF(AND(DevBdgt!DU$49&gt;SUM('General Inputs'!$J$8:$L$8),DevBdgt!DT$49&lt;SUM('General Inputs'!$J$8:$L$8)),'General Inputs'!$J$8-SUM($D$42:DT$42),0)))</f>
        <v>0</v>
      </c>
      <c r="DV42" s="229">
        <f ca="1">IF(ContrEquity=0,0,IF(DevBdgt!DV$49&lt;=SUM('General Inputs'!$J$8:$L$8),ContrEquity*DevBdgt!DV$48,IF(AND(DevBdgt!DV$49&gt;SUM('General Inputs'!$J$8:$L$8),DevBdgt!DU$49&lt;SUM('General Inputs'!$J$8:$L$8)),'General Inputs'!$J$8-SUM($D$42:DU$42),0)))</f>
        <v>0</v>
      </c>
      <c r="DW42" s="229">
        <f ca="1">IF(ContrEquity=0,0,IF(DevBdgt!DW$49&lt;=SUM('General Inputs'!$J$8:$L$8),ContrEquity*DevBdgt!DW$48,IF(AND(DevBdgt!DW$49&gt;SUM('General Inputs'!$J$8:$L$8),DevBdgt!DV$49&lt;SUM('General Inputs'!$J$8:$L$8)),'General Inputs'!$J$8-SUM($D$42:DV$42),0)))</f>
        <v>0</v>
      </c>
      <c r="DX42" s="229">
        <f ca="1">IF(ContrEquity=0,0,IF(DevBdgt!DX$49&lt;=SUM('General Inputs'!$J$8:$L$8),ContrEquity*DevBdgt!DX$48,IF(AND(DevBdgt!DX$49&gt;SUM('General Inputs'!$J$8:$L$8),DevBdgt!DW$49&lt;SUM('General Inputs'!$J$8:$L$8)),'General Inputs'!$J$8-SUM($D$42:DW$42),0)))</f>
        <v>0</v>
      </c>
      <c r="DY42" s="229">
        <f ca="1">IF(ContrEquity=0,0,IF(DevBdgt!DY$49&lt;=SUM('General Inputs'!$J$8:$L$8),ContrEquity*DevBdgt!DY$48,IF(AND(DevBdgt!DY$49&gt;SUM('General Inputs'!$J$8:$L$8),DevBdgt!DX$49&lt;SUM('General Inputs'!$J$8:$L$8)),'General Inputs'!$J$8-SUM($D$42:DX$42),0)))</f>
        <v>0</v>
      </c>
      <c r="DZ42" s="229">
        <f ca="1">IF(ContrEquity=0,0,IF(DevBdgt!DZ$49&lt;=SUM('General Inputs'!$J$8:$L$8),ContrEquity*DevBdgt!DZ$48,IF(AND(DevBdgt!DZ$49&gt;SUM('General Inputs'!$J$8:$L$8),DevBdgt!DY$49&lt;SUM('General Inputs'!$J$8:$L$8)),'General Inputs'!$J$8-SUM($D$42:DY$42),0)))</f>
        <v>0</v>
      </c>
      <c r="EA42" s="229">
        <f ca="1">IF(ContrEquity=0,0,IF(DevBdgt!EA$49&lt;=SUM('General Inputs'!$J$8:$L$8),ContrEquity*DevBdgt!EA$48,IF(AND(DevBdgt!EA$49&gt;SUM('General Inputs'!$J$8:$L$8),DevBdgt!DZ$49&lt;SUM('General Inputs'!$J$8:$L$8)),'General Inputs'!$J$8-SUM($D$42:DZ$42),0)))</f>
        <v>0</v>
      </c>
      <c r="EB42" s="229">
        <f ca="1">IF(ContrEquity=0,0,IF(DevBdgt!EB$49&lt;=SUM('General Inputs'!$J$8:$L$8),ContrEquity*DevBdgt!EB$48,IF(AND(DevBdgt!EB$49&gt;SUM('General Inputs'!$J$8:$L$8),DevBdgt!EA$49&lt;SUM('General Inputs'!$J$8:$L$8)),'General Inputs'!$J$8-SUM($D$42:EA$42),0)))</f>
        <v>0</v>
      </c>
      <c r="EC42" s="229">
        <f ca="1">IF(ContrEquity=0,0,IF(DevBdgt!EC$49&lt;=SUM('General Inputs'!$J$8:$L$8),ContrEquity*DevBdgt!EC$48,IF(AND(DevBdgt!EC$49&gt;SUM('General Inputs'!$J$8:$L$8),DevBdgt!EB$49&lt;SUM('General Inputs'!$J$8:$L$8)),'General Inputs'!$J$8-SUM($D$42:EB$42),0)))</f>
        <v>0</v>
      </c>
      <c r="ED42" s="229">
        <f ca="1">IF(ContrEquity=0,0,IF(DevBdgt!ED$49&lt;=SUM('General Inputs'!$J$8:$L$8),ContrEquity*DevBdgt!ED$48,IF(AND(DevBdgt!ED$49&gt;SUM('General Inputs'!$J$8:$L$8),DevBdgt!EC$49&lt;SUM('General Inputs'!$J$8:$L$8)),'General Inputs'!$J$8-SUM($D$42:EC$42),0)))</f>
        <v>0</v>
      </c>
      <c r="EE42" s="229">
        <f ca="1">IF(ContrEquity=0,0,IF(DevBdgt!EE$49&lt;=SUM('General Inputs'!$J$8:$L$8),ContrEquity*DevBdgt!EE$48,IF(AND(DevBdgt!EE$49&gt;SUM('General Inputs'!$J$8:$L$8),DevBdgt!ED$49&lt;SUM('General Inputs'!$J$8:$L$8)),'General Inputs'!$J$8-SUM($D$42:ED$42),0)))</f>
        <v>0</v>
      </c>
      <c r="EF42" s="229">
        <f ca="1">IF(ContrEquity=0,0,IF(DevBdgt!EF$49&lt;=SUM('General Inputs'!$J$8:$L$8),ContrEquity*DevBdgt!EF$48,IF(AND(DevBdgt!EF$49&gt;SUM('General Inputs'!$J$8:$L$8),DevBdgt!EE$49&lt;SUM('General Inputs'!$J$8:$L$8)),'General Inputs'!$J$8-SUM($D$42:EE$42),0)))</f>
        <v>0</v>
      </c>
      <c r="EG42" s="229">
        <f ca="1">IF(ContrEquity=0,0,IF(DevBdgt!EG$49&lt;=SUM('General Inputs'!$J$8:$L$8),ContrEquity*DevBdgt!EG$48,IF(AND(DevBdgt!EG$49&gt;SUM('General Inputs'!$J$8:$L$8),DevBdgt!EF$49&lt;SUM('General Inputs'!$J$8:$L$8)),'General Inputs'!$J$8-SUM($D$42:EF$42),0)))</f>
        <v>0</v>
      </c>
    </row>
    <row r="43" spans="1:137" ht="15" thickBot="1" x14ac:dyDescent="0.35">
      <c r="A43" s="248" t="s">
        <v>2463</v>
      </c>
      <c r="B43" s="248"/>
      <c r="C43" s="248"/>
      <c r="D43" s="697"/>
      <c r="E43" s="250">
        <f t="shared" ref="E43:BP43" ca="1" si="52">SUM(E41:E42)</f>
        <v>1684806.2553703375</v>
      </c>
      <c r="F43" s="250">
        <f t="shared" ca="1" si="52"/>
        <v>15364527.540691569</v>
      </c>
      <c r="G43" s="250">
        <f t="shared" ca="1" si="52"/>
        <v>15794286.129661476</v>
      </c>
      <c r="H43" s="250">
        <f t="shared" ca="1" si="52"/>
        <v>16446802.372414952</v>
      </c>
      <c r="I43" s="250">
        <f t="shared" ca="1" si="52"/>
        <v>17555018.655817978</v>
      </c>
      <c r="J43" s="250">
        <f t="shared" ca="1" si="52"/>
        <v>19363519.23343702</v>
      </c>
      <c r="K43" s="250">
        <f t="shared" ca="1" si="52"/>
        <v>21224968.787969694</v>
      </c>
      <c r="L43" s="250">
        <f t="shared" ca="1" si="52"/>
        <v>23596969.273125298</v>
      </c>
      <c r="M43" s="250">
        <f t="shared" ca="1" si="52"/>
        <v>26410649.510846648</v>
      </c>
      <c r="N43" s="250">
        <f t="shared" ca="1" si="52"/>
        <v>29704329.672362011</v>
      </c>
      <c r="O43" s="250">
        <f t="shared" ca="1" si="52"/>
        <v>31573647.858582281</v>
      </c>
      <c r="P43" s="250">
        <f t="shared" ca="1" si="52"/>
        <v>31573647.858582281</v>
      </c>
      <c r="Q43" s="250">
        <f t="shared" ca="1" si="52"/>
        <v>31573647.858582281</v>
      </c>
      <c r="R43" s="250">
        <f t="shared" ca="1" si="52"/>
        <v>31573647.858582281</v>
      </c>
      <c r="S43" s="250">
        <f t="shared" ca="1" si="52"/>
        <v>31573647.858582281</v>
      </c>
      <c r="T43" s="250">
        <f t="shared" ca="1" si="52"/>
        <v>31573647.858582281</v>
      </c>
      <c r="U43" s="250">
        <f t="shared" ca="1" si="52"/>
        <v>31573647.858582281</v>
      </c>
      <c r="V43" s="250">
        <f t="shared" ca="1" si="52"/>
        <v>31573647.858582281</v>
      </c>
      <c r="W43" s="250">
        <f t="shared" ca="1" si="52"/>
        <v>31573647.858582281</v>
      </c>
      <c r="X43" s="250">
        <f t="shared" ca="1" si="52"/>
        <v>31573647.858582281</v>
      </c>
      <c r="Y43" s="250">
        <f t="shared" ca="1" si="52"/>
        <v>31573647.858582281</v>
      </c>
      <c r="Z43" s="250">
        <f t="shared" ca="1" si="52"/>
        <v>31573647.858582281</v>
      </c>
      <c r="AA43" s="250">
        <f t="shared" ca="1" si="52"/>
        <v>31573647.858582281</v>
      </c>
      <c r="AB43" s="250">
        <f t="shared" ca="1" si="52"/>
        <v>31573647.858582281</v>
      </c>
      <c r="AC43" s="250">
        <f t="shared" ca="1" si="52"/>
        <v>31573647.858582281</v>
      </c>
      <c r="AD43" s="250">
        <f t="shared" ca="1" si="52"/>
        <v>31573647.858582281</v>
      </c>
      <c r="AE43" s="250">
        <f t="shared" ca="1" si="52"/>
        <v>31573647.858582281</v>
      </c>
      <c r="AF43" s="250">
        <f t="shared" ca="1" si="52"/>
        <v>31573647.858582281</v>
      </c>
      <c r="AG43" s="250">
        <f t="shared" ca="1" si="52"/>
        <v>31573647.858582281</v>
      </c>
      <c r="AH43" s="250">
        <f t="shared" ca="1" si="52"/>
        <v>31573647.858582281</v>
      </c>
      <c r="AI43" s="250">
        <f t="shared" ca="1" si="52"/>
        <v>31573647.858582281</v>
      </c>
      <c r="AJ43" s="250">
        <f t="shared" ca="1" si="52"/>
        <v>31573647.858582281</v>
      </c>
      <c r="AK43" s="250">
        <f t="shared" ca="1" si="52"/>
        <v>31573647.858582281</v>
      </c>
      <c r="AL43" s="250">
        <f t="shared" ca="1" si="52"/>
        <v>31573647.858582281</v>
      </c>
      <c r="AM43" s="250">
        <f t="shared" ca="1" si="52"/>
        <v>31573647.858582281</v>
      </c>
      <c r="AN43" s="250">
        <f t="shared" ca="1" si="52"/>
        <v>31573647.858582281</v>
      </c>
      <c r="AO43" s="250">
        <f t="shared" ca="1" si="52"/>
        <v>31573647.858582281</v>
      </c>
      <c r="AP43" s="250">
        <f t="shared" ca="1" si="52"/>
        <v>31573647.858582281</v>
      </c>
      <c r="AQ43" s="250">
        <f t="shared" ca="1" si="52"/>
        <v>31573647.858582281</v>
      </c>
      <c r="AR43" s="250">
        <f t="shared" ca="1" si="52"/>
        <v>31573647.858582281</v>
      </c>
      <c r="AS43" s="250">
        <f t="shared" ca="1" si="52"/>
        <v>31573647.858582281</v>
      </c>
      <c r="AT43" s="250">
        <f t="shared" ca="1" si="52"/>
        <v>31573647.858582281</v>
      </c>
      <c r="AU43" s="250">
        <f t="shared" ca="1" si="52"/>
        <v>31573647.858582281</v>
      </c>
      <c r="AV43" s="250">
        <f t="shared" ca="1" si="52"/>
        <v>31573647.858582281</v>
      </c>
      <c r="AW43" s="250">
        <f t="shared" ca="1" si="52"/>
        <v>31573647.858582281</v>
      </c>
      <c r="AX43" s="250">
        <f t="shared" ca="1" si="52"/>
        <v>31573647.858582281</v>
      </c>
      <c r="AY43" s="250">
        <f t="shared" ca="1" si="52"/>
        <v>31573647.858582281</v>
      </c>
      <c r="AZ43" s="250">
        <f t="shared" ca="1" si="52"/>
        <v>31573647.858582281</v>
      </c>
      <c r="BA43" s="250">
        <f t="shared" ca="1" si="52"/>
        <v>31573647.858582281</v>
      </c>
      <c r="BB43" s="250">
        <f t="shared" ca="1" si="52"/>
        <v>31573647.858582281</v>
      </c>
      <c r="BC43" s="250">
        <f t="shared" ca="1" si="52"/>
        <v>31573647.858582281</v>
      </c>
      <c r="BD43" s="250">
        <f t="shared" ca="1" si="52"/>
        <v>31573647.858582281</v>
      </c>
      <c r="BE43" s="250">
        <f t="shared" ca="1" si="52"/>
        <v>31573647.858582281</v>
      </c>
      <c r="BF43" s="250">
        <f t="shared" ca="1" si="52"/>
        <v>31573647.858582281</v>
      </c>
      <c r="BG43" s="250">
        <f t="shared" ca="1" si="52"/>
        <v>31573647.858582281</v>
      </c>
      <c r="BH43" s="250">
        <f t="shared" ca="1" si="52"/>
        <v>31573647.858582281</v>
      </c>
      <c r="BI43" s="250">
        <f t="shared" ca="1" si="52"/>
        <v>31573647.858582281</v>
      </c>
      <c r="BJ43" s="250">
        <f t="shared" ca="1" si="52"/>
        <v>31573647.858582281</v>
      </c>
      <c r="BK43" s="250">
        <f t="shared" ca="1" si="52"/>
        <v>31573647.858582281</v>
      </c>
      <c r="BL43" s="250">
        <f t="shared" ca="1" si="52"/>
        <v>31573647.858582281</v>
      </c>
      <c r="BM43" s="250">
        <f t="shared" ca="1" si="52"/>
        <v>31573647.858582281</v>
      </c>
      <c r="BN43" s="250">
        <f t="shared" ca="1" si="52"/>
        <v>31573647.858582281</v>
      </c>
      <c r="BO43" s="250">
        <f t="shared" ca="1" si="52"/>
        <v>31573647.858582281</v>
      </c>
      <c r="BP43" s="250">
        <f t="shared" ca="1" si="52"/>
        <v>31573647.858582281</v>
      </c>
      <c r="BQ43" s="250">
        <f t="shared" ref="BQ43:EB43" ca="1" si="53">SUM(BQ41:BQ42)</f>
        <v>31573647.858582281</v>
      </c>
      <c r="BR43" s="250">
        <f t="shared" ca="1" si="53"/>
        <v>31573647.858582281</v>
      </c>
      <c r="BS43" s="250">
        <f t="shared" ca="1" si="53"/>
        <v>31573647.858582281</v>
      </c>
      <c r="BT43" s="250">
        <f t="shared" ca="1" si="53"/>
        <v>31573647.858582281</v>
      </c>
      <c r="BU43" s="250">
        <f t="shared" ca="1" si="53"/>
        <v>31573647.858582281</v>
      </c>
      <c r="BV43" s="250">
        <f t="shared" ca="1" si="53"/>
        <v>31573647.858582281</v>
      </c>
      <c r="BW43" s="250">
        <f t="shared" ca="1" si="53"/>
        <v>31573647.858582281</v>
      </c>
      <c r="BX43" s="250">
        <f t="shared" ca="1" si="53"/>
        <v>31573647.858582281</v>
      </c>
      <c r="BY43" s="250">
        <f t="shared" ca="1" si="53"/>
        <v>31573647.858582281</v>
      </c>
      <c r="BZ43" s="250">
        <f t="shared" ca="1" si="53"/>
        <v>31573647.858582281</v>
      </c>
      <c r="CA43" s="250">
        <f t="shared" ca="1" si="53"/>
        <v>31573647.858582281</v>
      </c>
      <c r="CB43" s="250">
        <f t="shared" ca="1" si="53"/>
        <v>31573647.858582281</v>
      </c>
      <c r="CC43" s="250">
        <f t="shared" ca="1" si="53"/>
        <v>31573647.858582281</v>
      </c>
      <c r="CD43" s="250">
        <f t="shared" ca="1" si="53"/>
        <v>31573647.858582281</v>
      </c>
      <c r="CE43" s="250">
        <f t="shared" ca="1" si="53"/>
        <v>31573647.858582281</v>
      </c>
      <c r="CF43" s="250">
        <f t="shared" ca="1" si="53"/>
        <v>31573647.858582281</v>
      </c>
      <c r="CG43" s="250">
        <f t="shared" ca="1" si="53"/>
        <v>31573647.858582281</v>
      </c>
      <c r="CH43" s="250">
        <f t="shared" ca="1" si="53"/>
        <v>31573647.858582281</v>
      </c>
      <c r="CI43" s="250">
        <f t="shared" ca="1" si="53"/>
        <v>31573647.858582281</v>
      </c>
      <c r="CJ43" s="250">
        <f t="shared" ca="1" si="53"/>
        <v>31573647.858582281</v>
      </c>
      <c r="CK43" s="250">
        <f t="shared" ca="1" si="53"/>
        <v>31573647.858582281</v>
      </c>
      <c r="CL43" s="250">
        <f t="shared" ca="1" si="53"/>
        <v>31573647.858582281</v>
      </c>
      <c r="CM43" s="250">
        <f t="shared" ca="1" si="53"/>
        <v>31573647.858582281</v>
      </c>
      <c r="CN43" s="250">
        <f t="shared" ca="1" si="53"/>
        <v>31573647.858582281</v>
      </c>
      <c r="CO43" s="250">
        <f t="shared" ca="1" si="53"/>
        <v>31573647.858582281</v>
      </c>
      <c r="CP43" s="250">
        <f t="shared" ca="1" si="53"/>
        <v>31573647.858582281</v>
      </c>
      <c r="CQ43" s="250">
        <f t="shared" ca="1" si="53"/>
        <v>31573647.858582281</v>
      </c>
      <c r="CR43" s="250">
        <f t="shared" ca="1" si="53"/>
        <v>31573647.858582281</v>
      </c>
      <c r="CS43" s="250">
        <f t="shared" ca="1" si="53"/>
        <v>31573647.858582281</v>
      </c>
      <c r="CT43" s="250">
        <f t="shared" ca="1" si="53"/>
        <v>31573647.858582281</v>
      </c>
      <c r="CU43" s="250">
        <f t="shared" ca="1" si="53"/>
        <v>31573647.858582281</v>
      </c>
      <c r="CV43" s="250">
        <f t="shared" ca="1" si="53"/>
        <v>31573647.858582281</v>
      </c>
      <c r="CW43" s="250">
        <f t="shared" ca="1" si="53"/>
        <v>31573647.858582281</v>
      </c>
      <c r="CX43" s="250">
        <f t="shared" ca="1" si="53"/>
        <v>31573647.858582281</v>
      </c>
      <c r="CY43" s="250">
        <f t="shared" ca="1" si="53"/>
        <v>31573647.858582281</v>
      </c>
      <c r="CZ43" s="250">
        <f t="shared" ca="1" si="53"/>
        <v>31573647.858582281</v>
      </c>
      <c r="DA43" s="250">
        <f t="shared" ca="1" si="53"/>
        <v>31573647.858582281</v>
      </c>
      <c r="DB43" s="250">
        <f t="shared" ca="1" si="53"/>
        <v>31573647.858582281</v>
      </c>
      <c r="DC43" s="250">
        <f t="shared" ca="1" si="53"/>
        <v>31573647.858582281</v>
      </c>
      <c r="DD43" s="250">
        <f t="shared" ca="1" si="53"/>
        <v>31573647.858582281</v>
      </c>
      <c r="DE43" s="250">
        <f t="shared" ca="1" si="53"/>
        <v>31573647.858582281</v>
      </c>
      <c r="DF43" s="250">
        <f t="shared" ca="1" si="53"/>
        <v>31573647.858582281</v>
      </c>
      <c r="DG43" s="250">
        <f t="shared" ca="1" si="53"/>
        <v>31573647.858582281</v>
      </c>
      <c r="DH43" s="250">
        <f t="shared" ca="1" si="53"/>
        <v>31573647.858582325</v>
      </c>
      <c r="DI43" s="250">
        <f t="shared" ca="1" si="53"/>
        <v>31573647.858582441</v>
      </c>
      <c r="DJ43" s="250">
        <f t="shared" ca="1" si="53"/>
        <v>31573647.858582489</v>
      </c>
      <c r="DK43" s="250">
        <f t="shared" ca="1" si="53"/>
        <v>31573647.858582661</v>
      </c>
      <c r="DL43" s="250">
        <f t="shared" ca="1" si="53"/>
        <v>31573647.858582843</v>
      </c>
      <c r="DM43" s="250">
        <f t="shared" ca="1" si="53"/>
        <v>31573647.858583044</v>
      </c>
      <c r="DN43" s="250">
        <f t="shared" ca="1" si="53"/>
        <v>31573647.858583268</v>
      </c>
      <c r="DO43" s="250">
        <f t="shared" ca="1" si="53"/>
        <v>31573647.858583525</v>
      </c>
      <c r="DP43" s="250">
        <f t="shared" ca="1" si="53"/>
        <v>31573647.858583711</v>
      </c>
      <c r="DQ43" s="250">
        <f t="shared" ca="1" si="53"/>
        <v>31573647.858583603</v>
      </c>
      <c r="DR43" s="250">
        <f t="shared" ca="1" si="53"/>
        <v>31573647.858583</v>
      </c>
      <c r="DS43" s="250">
        <f t="shared" ca="1" si="53"/>
        <v>31573647.858581845</v>
      </c>
      <c r="DT43" s="250">
        <f t="shared" ca="1" si="53"/>
        <v>31573647.858584329</v>
      </c>
      <c r="DU43" s="250">
        <f t="shared" ca="1" si="53"/>
        <v>31573647.858581889</v>
      </c>
      <c r="DV43" s="250">
        <f t="shared" ca="1" si="53"/>
        <v>31573647.858582959</v>
      </c>
      <c r="DW43" s="250">
        <f t="shared" ca="1" si="53"/>
        <v>31573647.858581942</v>
      </c>
      <c r="DX43" s="250">
        <f t="shared" ca="1" si="53"/>
        <v>31573647.858578332</v>
      </c>
      <c r="DY43" s="250">
        <f t="shared" ca="1" si="53"/>
        <v>31573647.858572062</v>
      </c>
      <c r="DZ43" s="250">
        <f t="shared" ca="1" si="53"/>
        <v>31573647.858562849</v>
      </c>
      <c r="EA43" s="250">
        <f t="shared" ca="1" si="53"/>
        <v>31573647.85855145</v>
      </c>
      <c r="EB43" s="250">
        <f t="shared" ca="1" si="53"/>
        <v>31573647.858530108</v>
      </c>
      <c r="EC43" s="250">
        <f t="shared" ref="EC43:EG43" ca="1" si="54">SUM(EC41:EC42)</f>
        <v>31573647.858499721</v>
      </c>
      <c r="ED43" s="250">
        <f t="shared" ca="1" si="54"/>
        <v>31573647.858461868</v>
      </c>
      <c r="EE43" s="250">
        <f t="shared" ca="1" si="54"/>
        <v>31573647.858434174</v>
      </c>
      <c r="EF43" s="250">
        <f t="shared" ca="1" si="54"/>
        <v>31573647.858489275</v>
      </c>
      <c r="EG43" s="250">
        <f t="shared" ca="1" si="54"/>
        <v>31573647.858693928</v>
      </c>
    </row>
    <row r="44" spans="1:137" ht="7.5" customHeight="1" thickTop="1" x14ac:dyDescent="0.3">
      <c r="E44" s="198"/>
      <c r="F44" s="198"/>
      <c r="G44" s="198"/>
      <c r="H44" s="198"/>
      <c r="I44" s="198"/>
      <c r="J44" s="198"/>
      <c r="K44" s="198"/>
      <c r="L44" s="198"/>
      <c r="M44" s="198"/>
      <c r="N44" s="198"/>
      <c r="O44" s="198"/>
      <c r="P44" s="198"/>
      <c r="Q44" s="198"/>
      <c r="R44" s="198"/>
      <c r="S44" s="198"/>
      <c r="T44" s="198"/>
      <c r="U44" s="198"/>
      <c r="V44" s="198"/>
      <c r="W44" s="198"/>
      <c r="X44" s="198"/>
      <c r="Y44" s="198"/>
      <c r="Z44" s="198"/>
      <c r="AA44" s="198"/>
      <c r="AB44" s="198"/>
      <c r="AC44" s="198"/>
      <c r="AD44" s="198"/>
      <c r="AE44" s="198"/>
      <c r="AF44" s="198"/>
      <c r="AG44" s="198"/>
      <c r="AH44" s="198"/>
      <c r="AI44" s="198"/>
      <c r="AJ44" s="198"/>
      <c r="AK44" s="198"/>
      <c r="AL44" s="198"/>
      <c r="AM44" s="198"/>
      <c r="AN44" s="198"/>
      <c r="AO44" s="198"/>
      <c r="AP44" s="198"/>
      <c r="AQ44" s="198"/>
      <c r="AR44" s="198"/>
      <c r="AS44" s="198"/>
      <c r="AT44" s="198"/>
      <c r="AU44" s="198"/>
      <c r="AV44" s="198"/>
      <c r="AW44" s="198"/>
      <c r="AX44" s="198"/>
      <c r="AY44" s="198"/>
      <c r="AZ44" s="198"/>
      <c r="BA44" s="198"/>
      <c r="BB44" s="198"/>
      <c r="BC44" s="198"/>
      <c r="BD44" s="198"/>
      <c r="BE44" s="198"/>
      <c r="BF44" s="198"/>
      <c r="BG44" s="198"/>
      <c r="BH44" s="198"/>
      <c r="BI44" s="198"/>
      <c r="BJ44" s="198"/>
      <c r="BK44" s="198"/>
      <c r="BL44" s="198"/>
      <c r="BM44" s="198"/>
      <c r="BN44" s="198"/>
      <c r="BO44" s="198"/>
      <c r="BP44" s="198"/>
      <c r="BQ44" s="198"/>
      <c r="BR44" s="198"/>
      <c r="BS44" s="198"/>
      <c r="BT44" s="198"/>
      <c r="BU44" s="198"/>
      <c r="BV44" s="198"/>
      <c r="BW44" s="198"/>
      <c r="BX44" s="198"/>
      <c r="BY44" s="198"/>
      <c r="BZ44" s="198"/>
      <c r="CA44" s="198"/>
      <c r="CB44" s="198"/>
      <c r="CC44" s="198"/>
      <c r="CD44" s="198"/>
      <c r="CE44" s="198"/>
      <c r="CF44" s="198"/>
      <c r="CG44" s="198"/>
      <c r="CH44" s="198"/>
      <c r="CI44" s="198"/>
      <c r="CJ44" s="198"/>
      <c r="CK44" s="198"/>
      <c r="CL44" s="198"/>
      <c r="CM44" s="198"/>
      <c r="CN44" s="198"/>
      <c r="CO44" s="198"/>
      <c r="CP44" s="198"/>
      <c r="CQ44" s="198"/>
      <c r="CR44" s="198"/>
      <c r="CS44" s="198"/>
      <c r="CT44" s="198"/>
      <c r="CU44" s="198"/>
      <c r="CV44" s="198"/>
      <c r="CW44" s="198"/>
      <c r="CX44" s="198"/>
      <c r="CY44" s="198"/>
      <c r="CZ44" s="198"/>
      <c r="DA44" s="198"/>
      <c r="DB44" s="198"/>
      <c r="DC44" s="198"/>
      <c r="DD44" s="198"/>
      <c r="DE44" s="198"/>
      <c r="DF44" s="198"/>
      <c r="DG44" s="198"/>
      <c r="DH44" s="198"/>
      <c r="DI44" s="198"/>
      <c r="DJ44" s="198"/>
      <c r="DK44" s="198"/>
      <c r="DL44" s="198"/>
      <c r="DM44" s="198"/>
      <c r="DN44" s="198"/>
      <c r="DO44" s="198"/>
      <c r="DP44" s="198"/>
      <c r="DQ44" s="198"/>
      <c r="DR44" s="198"/>
      <c r="DS44" s="198"/>
      <c r="DT44" s="198"/>
      <c r="DU44" s="198"/>
      <c r="DV44" s="198"/>
      <c r="DW44" s="198"/>
      <c r="DX44" s="198"/>
      <c r="DY44" s="198"/>
      <c r="DZ44" s="198"/>
      <c r="EA44" s="198"/>
      <c r="EB44" s="198"/>
      <c r="EC44" s="198"/>
      <c r="ED44" s="198"/>
      <c r="EE44" s="198"/>
      <c r="EF44" s="198"/>
      <c r="EG44" s="198"/>
    </row>
    <row r="45" spans="1:137" x14ac:dyDescent="0.3">
      <c r="A45" s="700" t="str">
        <f>'General Inputs'!$J$29&amp;" EQUITY BALANCE"</f>
        <v>LP EQUITY BALANCE</v>
      </c>
      <c r="B45" s="700"/>
      <c r="C45" s="700"/>
      <c r="D45" s="725"/>
      <c r="E45" s="700"/>
    </row>
    <row r="46" spans="1:137" x14ac:dyDescent="0.3">
      <c r="A46" t="s">
        <v>2461</v>
      </c>
      <c r="E46" s="227">
        <f t="shared" ref="E46:BP46" si="55">D54</f>
        <v>0</v>
      </c>
      <c r="F46" s="227">
        <f t="shared" ca="1" si="55"/>
        <v>1684806.2553703375</v>
      </c>
      <c r="G46" s="227">
        <f t="shared" ca="1" si="55"/>
        <v>15378567.592819655</v>
      </c>
      <c r="H46" s="227">
        <f t="shared" ca="1" si="55"/>
        <v>15936480.911729725</v>
      </c>
      <c r="I46" s="227">
        <f t="shared" ca="1" si="55"/>
        <v>16721801.162080949</v>
      </c>
      <c r="J46" s="227">
        <f t="shared" ca="1" si="55"/>
        <v>17969365.788501315</v>
      </c>
      <c r="K46" s="227">
        <f t="shared" ca="1" si="55"/>
        <v>19927611.081024535</v>
      </c>
      <c r="L46" s="227">
        <f t="shared" ca="1" si="55"/>
        <v>21955124.061232414</v>
      </c>
      <c r="M46" s="227">
        <f t="shared" ca="1" si="55"/>
        <v>24510083.913564954</v>
      </c>
      <c r="N46" s="227">
        <f t="shared" ca="1" si="55"/>
        <v>27528014.850566011</v>
      </c>
      <c r="O46" s="227">
        <f t="shared" ca="1" si="55"/>
        <v>31051095.135836091</v>
      </c>
      <c r="P46" s="227">
        <f t="shared" ca="1" si="55"/>
        <v>33179172.448188327</v>
      </c>
      <c r="Q46" s="227">
        <f t="shared" ca="1" si="55"/>
        <v>33455665.55192323</v>
      </c>
      <c r="R46" s="227">
        <f t="shared" ca="1" si="55"/>
        <v>33734462.764855921</v>
      </c>
      <c r="S46" s="227">
        <f t="shared" ca="1" si="55"/>
        <v>34015583.287896387</v>
      </c>
      <c r="T46" s="227">
        <f t="shared" ca="1" si="55"/>
        <v>34299046.481962189</v>
      </c>
      <c r="U46" s="227">
        <f t="shared" ca="1" si="55"/>
        <v>34584871.869311877</v>
      </c>
      <c r="V46" s="227">
        <f t="shared" ca="1" si="55"/>
        <v>34873079.134889476</v>
      </c>
      <c r="W46" s="227">
        <f t="shared" ca="1" si="55"/>
        <v>35163688.12768022</v>
      </c>
      <c r="X46" s="227">
        <f t="shared" ca="1" si="55"/>
        <v>35456718.862077557</v>
      </c>
      <c r="Y46" s="227">
        <f t="shared" ca="1" si="55"/>
        <v>35752191.519261539</v>
      </c>
      <c r="Z46" s="227">
        <f t="shared" ca="1" si="55"/>
        <v>36050126.448588721</v>
      </c>
      <c r="AA46" s="227">
        <f t="shared" ca="1" si="55"/>
        <v>36350544.16899363</v>
      </c>
      <c r="AB46" s="227">
        <f t="shared" ca="1" si="55"/>
        <v>36653465.370401911</v>
      </c>
      <c r="AC46" s="227">
        <f t="shared" ca="1" si="55"/>
        <v>36958910.915155262</v>
      </c>
      <c r="AD46" s="227">
        <f t="shared" ca="1" si="55"/>
        <v>37227200.112907141</v>
      </c>
      <c r="AE46" s="227">
        <f t="shared" ca="1" si="55"/>
        <v>37461529.400366977</v>
      </c>
      <c r="AF46" s="227">
        <f t="shared" ca="1" si="55"/>
        <v>37656596.975238986</v>
      </c>
      <c r="AG46" s="227">
        <f t="shared" ca="1" si="55"/>
        <v>37772795.936472468</v>
      </c>
      <c r="AH46" s="227">
        <f t="shared" ca="1" si="55"/>
        <v>37886681.514896236</v>
      </c>
      <c r="AI46" s="227">
        <f t="shared" ca="1" si="55"/>
        <v>38000343.30468455</v>
      </c>
      <c r="AJ46" s="227">
        <f t="shared" ca="1" si="55"/>
        <v>38144611.156455725</v>
      </c>
      <c r="AK46" s="227">
        <f t="shared" ca="1" si="55"/>
        <v>38287751.187556148</v>
      </c>
      <c r="AL46" s="227">
        <f t="shared" ca="1" si="55"/>
        <v>38429567.990222707</v>
      </c>
      <c r="AM46" s="227">
        <f t="shared" ca="1" si="55"/>
        <v>38570060.088044979</v>
      </c>
      <c r="AN46" s="227">
        <f t="shared" ca="1" si="55"/>
        <v>38709226.16242829</v>
      </c>
      <c r="AO46" s="227">
        <f t="shared" ca="1" si="55"/>
        <v>38847065.055440471</v>
      </c>
      <c r="AP46" s="227">
        <f t="shared" ca="1" si="55"/>
        <v>38983575.77269382</v>
      </c>
      <c r="AQ46" s="227">
        <f t="shared" ca="1" si="55"/>
        <v>39119510.933583021</v>
      </c>
      <c r="AR46" s="227">
        <f t="shared" ca="1" si="55"/>
        <v>39253368.049774423</v>
      </c>
      <c r="AS46" s="227">
        <f t="shared" ca="1" si="55"/>
        <v>39385536.26713945</v>
      </c>
      <c r="AT46" s="227">
        <f t="shared" ca="1" si="55"/>
        <v>39522902.996740766</v>
      </c>
      <c r="AU46" s="227">
        <f t="shared" ca="1" si="55"/>
        <v>39659745.177896865</v>
      </c>
      <c r="AV46" s="227">
        <f t="shared" ca="1" si="55"/>
        <v>39796089.299251944</v>
      </c>
      <c r="AW46" s="227">
        <f t="shared" ca="1" si="55"/>
        <v>39931263.229764968</v>
      </c>
      <c r="AX46" s="227">
        <f t="shared" ca="1" si="55"/>
        <v>40065328.122619174</v>
      </c>
      <c r="AY46" s="227">
        <f t="shared" ca="1" si="55"/>
        <v>40198346.266174659</v>
      </c>
      <c r="AZ46" s="227">
        <f t="shared" ca="1" si="55"/>
        <v>40330381.097453006</v>
      </c>
      <c r="BA46" s="227">
        <f t="shared" ca="1" si="55"/>
        <v>40461497.215757407</v>
      </c>
      <c r="BB46" s="227">
        <f t="shared" ca="1" si="55"/>
        <v>40591760.396429546</v>
      </c>
      <c r="BC46" s="227">
        <f t="shared" ca="1" si="55"/>
        <v>40721790.624843821</v>
      </c>
      <c r="BD46" s="227">
        <f t="shared" ca="1" si="55"/>
        <v>40850546.278217927</v>
      </c>
      <c r="BE46" s="227">
        <f t="shared" ca="1" si="55"/>
        <v>40978359.092692919</v>
      </c>
      <c r="BF46" s="227">
        <f t="shared" ca="1" si="55"/>
        <v>41110672.854433753</v>
      </c>
      <c r="BG46" s="227">
        <f t="shared" ca="1" si="55"/>
        <v>41242848.67117691</v>
      </c>
      <c r="BH46" s="227">
        <f t="shared" ca="1" si="55"/>
        <v>41374863.886086203</v>
      </c>
      <c r="BI46" s="227">
        <f t="shared" ca="1" si="55"/>
        <v>41506161.519168258</v>
      </c>
      <c r="BJ46" s="227">
        <f t="shared" ca="1" si="55"/>
        <v>41636687.418978758</v>
      </c>
      <c r="BK46" s="227">
        <f t="shared" ca="1" si="55"/>
        <v>41766386.650474519</v>
      </c>
      <c r="BL46" s="227">
        <f t="shared" ca="1" si="55"/>
        <v>41895203.486672938</v>
      </c>
      <c r="BM46" s="227">
        <f t="shared" ca="1" si="55"/>
        <v>42023081.400233112</v>
      </c>
      <c r="BN46" s="227">
        <f t="shared" ca="1" si="55"/>
        <v>42149963.054957785</v>
      </c>
      <c r="BO46" s="227">
        <f t="shared" ca="1" si="55"/>
        <v>42276421.279838152</v>
      </c>
      <c r="BP46" s="227">
        <f t="shared" ca="1" si="55"/>
        <v>42401145.90512722</v>
      </c>
      <c r="BQ46" s="227">
        <f t="shared" ref="BQ46:EB46" ca="1" si="56">BP54</f>
        <v>42524424.110831939</v>
      </c>
      <c r="BR46" s="227">
        <f t="shared" ca="1" si="56"/>
        <v>42652074.319391072</v>
      </c>
      <c r="BS46" s="227">
        <f t="shared" ca="1" si="56"/>
        <v>42779235.154119715</v>
      </c>
      <c r="BT46" s="227">
        <f t="shared" ca="1" si="56"/>
        <v>42905898.308523335</v>
      </c>
      <c r="BU46" s="227">
        <f t="shared" ca="1" si="56"/>
        <v>43031385.633251891</v>
      </c>
      <c r="BV46" s="227">
        <f t="shared" ca="1" si="56"/>
        <v>43155678.448526099</v>
      </c>
      <c r="BW46" s="227">
        <f t="shared" ca="1" si="56"/>
        <v>43278757.882987872</v>
      </c>
      <c r="BX46" s="227">
        <f t="shared" ca="1" si="56"/>
        <v>43400604.871957123</v>
      </c>
      <c r="BY46" s="227">
        <f t="shared" ca="1" si="56"/>
        <v>43521200.155673474</v>
      </c>
      <c r="BZ46" s="227">
        <f t="shared" ca="1" si="56"/>
        <v>43640524.277522698</v>
      </c>
      <c r="CA46" s="227">
        <f t="shared" ca="1" si="56"/>
        <v>43759244.185158737</v>
      </c>
      <c r="CB46" s="227">
        <f t="shared" ca="1" si="56"/>
        <v>43875973.48797483</v>
      </c>
      <c r="CC46" s="227">
        <f t="shared" ca="1" si="56"/>
        <v>43991053.72381106</v>
      </c>
      <c r="CD46" s="227">
        <f t="shared" ca="1" si="56"/>
        <v>44110535.603531837</v>
      </c>
      <c r="CE46" s="227">
        <f t="shared" ca="1" si="56"/>
        <v>44229397.101333566</v>
      </c>
      <c r="CF46" s="227">
        <f t="shared" ca="1" si="56"/>
        <v>44347628.646942563</v>
      </c>
      <c r="CG46" s="227">
        <f t="shared" ca="1" si="56"/>
        <v>44464522.505650736</v>
      </c>
      <c r="CH46" s="227">
        <f t="shared" ca="1" si="56"/>
        <v>44580058.280183718</v>
      </c>
      <c r="CI46" s="227">
        <f t="shared" ca="1" si="56"/>
        <v>44694215.365874395</v>
      </c>
      <c r="CJ46" s="227">
        <f t="shared" ca="1" si="56"/>
        <v>44806972.948781751</v>
      </c>
      <c r="CK46" s="227">
        <f t="shared" ca="1" si="56"/>
        <v>44918310.003793463</v>
      </c>
      <c r="CL46" s="227">
        <f t="shared" ca="1" si="56"/>
        <v>45028205.292712048</v>
      </c>
      <c r="CM46" s="227">
        <f t="shared" ca="1" si="56"/>
        <v>45137352.987666078</v>
      </c>
      <c r="CN46" s="227">
        <f t="shared" ca="1" si="56"/>
        <v>45244307.120692894</v>
      </c>
      <c r="CO46" s="227">
        <f t="shared" ca="1" si="56"/>
        <v>45349422.683012024</v>
      </c>
      <c r="CP46" s="227">
        <f t="shared" ca="1" si="56"/>
        <v>45458958.252126306</v>
      </c>
      <c r="CQ46" s="227">
        <f t="shared" ca="1" si="56"/>
        <v>45567725.035664789</v>
      </c>
      <c r="CR46" s="227">
        <f t="shared" ca="1" si="56"/>
        <v>45675712.047539912</v>
      </c>
      <c r="CS46" s="227">
        <f t="shared" ca="1" si="56"/>
        <v>45782180.617687643</v>
      </c>
      <c r="CT46" s="227">
        <f t="shared" ca="1" si="56"/>
        <v>45887108.458475977</v>
      </c>
      <c r="CU46" s="227">
        <f t="shared" ca="1" si="56"/>
        <v>45990473.057562709</v>
      </c>
      <c r="CV46" s="227">
        <f t="shared" ca="1" si="56"/>
        <v>46092251.675863549</v>
      </c>
      <c r="CW46" s="227">
        <f t="shared" ca="1" si="56"/>
        <v>46192421.345502712</v>
      </c>
      <c r="CX46" s="227">
        <f t="shared" ca="1" si="56"/>
        <v>46290958.867745757</v>
      </c>
      <c r="CY46" s="227">
        <f t="shared" ca="1" si="56"/>
        <v>46388586.68545343</v>
      </c>
      <c r="CZ46" s="227">
        <f t="shared" ca="1" si="56"/>
        <v>46483796.62961562</v>
      </c>
      <c r="DA46" s="227">
        <f t="shared" ca="1" si="56"/>
        <v>46576957.6072421</v>
      </c>
      <c r="DB46" s="227">
        <f t="shared" ca="1" si="56"/>
        <v>46674544.003549978</v>
      </c>
      <c r="DC46" s="227">
        <f t="shared" ca="1" si="56"/>
        <v>46771193.834478147</v>
      </c>
      <c r="DD46" s="227">
        <f t="shared" ca="1" si="56"/>
        <v>46866894.529292695</v>
      </c>
      <c r="DE46" s="227">
        <f t="shared" ca="1" si="56"/>
        <v>46960875.065054245</v>
      </c>
      <c r="DF46" s="227">
        <f t="shared" ca="1" si="56"/>
        <v>47053111.073058933</v>
      </c>
      <c r="DG46" s="227">
        <f t="shared" ca="1" si="56"/>
        <v>47143577.940920316</v>
      </c>
      <c r="DH46" s="227">
        <f t="shared" ca="1" si="56"/>
        <v>47232250.810372852</v>
      </c>
      <c r="DI46" s="227">
        <f t="shared" ca="1" si="56"/>
        <v>47319104.575056091</v>
      </c>
      <c r="DJ46" s="227">
        <f t="shared" ca="1" si="56"/>
        <v>47404113.878279731</v>
      </c>
      <c r="DK46" s="227">
        <f t="shared" ca="1" si="56"/>
        <v>47488030.513128079</v>
      </c>
      <c r="DL46" s="227">
        <f t="shared" ca="1" si="56"/>
        <v>47569281.363866128</v>
      </c>
      <c r="DM46" s="227">
        <f t="shared" ca="1" si="56"/>
        <v>47648249.724075377</v>
      </c>
      <c r="DN46" s="227">
        <f t="shared" ca="1" si="56"/>
        <v>47731634.098769091</v>
      </c>
      <c r="DO46" s="227">
        <f t="shared" ca="1" si="56"/>
        <v>47813892.55790332</v>
      </c>
      <c r="DP46" s="227">
        <f t="shared" ca="1" si="56"/>
        <v>47895010.758674771</v>
      </c>
      <c r="DQ46" s="227">
        <f t="shared" ca="1" si="56"/>
        <v>47974183.836281307</v>
      </c>
      <c r="DR46" s="227">
        <f t="shared" ca="1" si="56"/>
        <v>48051385.13052579</v>
      </c>
      <c r="DS46" s="227">
        <f t="shared" ca="1" si="56"/>
        <v>48126587.716733895</v>
      </c>
      <c r="DT46" s="227">
        <f t="shared" ca="1" si="56"/>
        <v>48199764.403388754</v>
      </c>
      <c r="DU46" s="227">
        <f t="shared" ca="1" si="56"/>
        <v>48270887.729690939</v>
      </c>
      <c r="DV46" s="227">
        <f t="shared" ca="1" si="56"/>
        <v>48339929.963213153</v>
      </c>
      <c r="DW46" s="227">
        <f t="shared" ca="1" si="56"/>
        <v>48407673.360230245</v>
      </c>
      <c r="DX46" s="227">
        <f t="shared" ca="1" si="56"/>
        <v>48472476.984306082</v>
      </c>
      <c r="DY46" s="227">
        <f t="shared" ca="1" si="56"/>
        <v>48534738.993931875</v>
      </c>
      <c r="DZ46" s="227">
        <f t="shared" ca="1" si="56"/>
        <v>48601390.719846509</v>
      </c>
      <c r="EA46" s="227">
        <f t="shared" ca="1" si="56"/>
        <v>48666703.179195829</v>
      </c>
      <c r="EB46" s="227">
        <f t="shared" ca="1" si="56"/>
        <v>48730660.049093351</v>
      </c>
      <c r="EC46" s="227">
        <f t="shared" ref="EC46:EG46" ca="1" si="57">EB54</f>
        <v>48792421.058197565</v>
      </c>
      <c r="ED46" s="227">
        <f t="shared" ca="1" si="57"/>
        <v>48851957.022647582</v>
      </c>
      <c r="EE46" s="227">
        <f t="shared" ca="1" si="57"/>
        <v>48909238.470445782</v>
      </c>
      <c r="EF46" s="227">
        <f t="shared" ca="1" si="57"/>
        <v>48964235.647692807</v>
      </c>
      <c r="EG46" s="227">
        <f t="shared" ca="1" si="57"/>
        <v>49016918.484869018</v>
      </c>
    </row>
    <row r="47" spans="1:137" x14ac:dyDescent="0.3">
      <c r="A47" t="s">
        <v>155</v>
      </c>
      <c r="E47" s="229">
        <f>IF('General Inputs'!$M$11="Nominal",'General Inputs'!$J$11/12*Waterfalls!E46,NOMINAL('General Inputs'!$J$11,12)/12*E46)</f>
        <v>0</v>
      </c>
      <c r="F47" s="229">
        <f ca="1">IF('General Inputs'!$M$11="Nominal",'General Inputs'!$J$11/12*Waterfalls!F46,NOMINAL('General Inputs'!$J$11,12)/12*F46)</f>
        <v>14040.052128086145</v>
      </c>
      <c r="G47" s="229">
        <f ca="1">IF('General Inputs'!$M$11="Nominal",'General Inputs'!$J$11/12*Waterfalls!G46,NOMINAL('General Inputs'!$J$11,12)/12*G46)</f>
        <v>128154.72994016379</v>
      </c>
      <c r="H47" s="229">
        <f ca="1">IF('General Inputs'!$M$11="Nominal",'General Inputs'!$J$11/12*Waterfalls!H46,NOMINAL('General Inputs'!$J$11,12)/12*H46)</f>
        <v>132804.0075977477</v>
      </c>
      <c r="I47" s="229">
        <f ca="1">IF('General Inputs'!$M$11="Nominal",'General Inputs'!$J$11/12*Waterfalls!I46,NOMINAL('General Inputs'!$J$11,12)/12*I46)</f>
        <v>139348.34301734125</v>
      </c>
      <c r="J47" s="229">
        <f ca="1">IF('General Inputs'!$M$11="Nominal",'General Inputs'!$J$11/12*Waterfalls!J46,NOMINAL('General Inputs'!$J$11,12)/12*J46)</f>
        <v>149744.71490417761</v>
      </c>
      <c r="K47" s="229">
        <f ca="1">IF('General Inputs'!$M$11="Nominal",'General Inputs'!$J$11/12*Waterfalls!K46,NOMINAL('General Inputs'!$J$11,12)/12*K46)</f>
        <v>166063.42567520446</v>
      </c>
      <c r="L47" s="229">
        <f ca="1">IF('General Inputs'!$M$11="Nominal",'General Inputs'!$J$11/12*Waterfalls!L46,NOMINAL('General Inputs'!$J$11,12)/12*L46)</f>
        <v>182959.36717693679</v>
      </c>
      <c r="M47" s="229">
        <f ca="1">IF('General Inputs'!$M$11="Nominal",'General Inputs'!$J$11/12*Waterfalls!M46,NOMINAL('General Inputs'!$J$11,12)/12*M46)</f>
        <v>204250.69927970794</v>
      </c>
      <c r="N47" s="229">
        <f ca="1">IF('General Inputs'!$M$11="Nominal",'General Inputs'!$J$11/12*Waterfalls!N46,NOMINAL('General Inputs'!$J$11,12)/12*N46)</f>
        <v>229400.12375471674</v>
      </c>
      <c r="O47" s="229">
        <f ca="1">IF('General Inputs'!$M$11="Nominal",'General Inputs'!$J$11/12*Waterfalls!O46,NOMINAL('General Inputs'!$J$11,12)/12*O46)</f>
        <v>258759.12613196741</v>
      </c>
      <c r="P47" s="229">
        <f ca="1">IF('General Inputs'!$M$11="Nominal",'General Inputs'!$J$11/12*Waterfalls!P46,NOMINAL('General Inputs'!$J$11,12)/12*P46)</f>
        <v>276493.10373490275</v>
      </c>
      <c r="Q47" s="229">
        <f ca="1">IF('General Inputs'!$M$11="Nominal",'General Inputs'!$J$11/12*Waterfalls!Q46,NOMINAL('General Inputs'!$J$11,12)/12*Q46)</f>
        <v>278797.2129326936</v>
      </c>
      <c r="R47" s="229">
        <f ca="1">IF('General Inputs'!$M$11="Nominal",'General Inputs'!$J$11/12*Waterfalls!R46,NOMINAL('General Inputs'!$J$11,12)/12*R46)</f>
        <v>281120.52304046601</v>
      </c>
      <c r="S47" s="229">
        <f ca="1">IF('General Inputs'!$M$11="Nominal",'General Inputs'!$J$11/12*Waterfalls!S46,NOMINAL('General Inputs'!$J$11,12)/12*S46)</f>
        <v>283463.1940658032</v>
      </c>
      <c r="T47" s="229">
        <f ca="1">IF('General Inputs'!$M$11="Nominal",'General Inputs'!$J$11/12*Waterfalls!T46,NOMINAL('General Inputs'!$J$11,12)/12*T46)</f>
        <v>285825.3873496849</v>
      </c>
      <c r="U47" s="229">
        <f ca="1">IF('General Inputs'!$M$11="Nominal",'General Inputs'!$J$11/12*Waterfalls!U46,NOMINAL('General Inputs'!$J$11,12)/12*U46)</f>
        <v>288207.26557759894</v>
      </c>
      <c r="V47" s="229">
        <f ca="1">IF('General Inputs'!$M$11="Nominal",'General Inputs'!$J$11/12*Waterfalls!V46,NOMINAL('General Inputs'!$J$11,12)/12*V46)</f>
        <v>290608.99279074563</v>
      </c>
      <c r="W47" s="229">
        <f ca="1">IF('General Inputs'!$M$11="Nominal",'General Inputs'!$J$11/12*Waterfalls!W46,NOMINAL('General Inputs'!$J$11,12)/12*W46)</f>
        <v>293030.73439733515</v>
      </c>
      <c r="X47" s="229">
        <f ca="1">IF('General Inputs'!$M$11="Nominal",'General Inputs'!$J$11/12*Waterfalls!X46,NOMINAL('General Inputs'!$J$11,12)/12*X46)</f>
        <v>295472.65718397964</v>
      </c>
      <c r="Y47" s="229">
        <f ca="1">IF('General Inputs'!$M$11="Nominal",'General Inputs'!$J$11/12*Waterfalls!Y46,NOMINAL('General Inputs'!$J$11,12)/12*Y46)</f>
        <v>297934.9293271795</v>
      </c>
      <c r="Z47" s="229">
        <f ca="1">IF('General Inputs'!$M$11="Nominal",'General Inputs'!$J$11/12*Waterfalls!Z46,NOMINAL('General Inputs'!$J$11,12)/12*Z46)</f>
        <v>300417.72040490602</v>
      </c>
      <c r="AA47" s="229">
        <f ca="1">IF('General Inputs'!$M$11="Nominal",'General Inputs'!$J$11/12*Waterfalls!AA46,NOMINAL('General Inputs'!$J$11,12)/12*AA46)</f>
        <v>302921.20140828023</v>
      </c>
      <c r="AB47" s="229">
        <f ca="1">IF('General Inputs'!$M$11="Nominal",'General Inputs'!$J$11/12*Waterfalls!AB46,NOMINAL('General Inputs'!$J$11,12)/12*AB46)</f>
        <v>305445.54475334927</v>
      </c>
      <c r="AC47" s="229">
        <f ca="1">IF('General Inputs'!$M$11="Nominal",'General Inputs'!$J$11/12*Waterfalls!AC46,NOMINAL('General Inputs'!$J$11,12)/12*AC46)</f>
        <v>307990.9242929605</v>
      </c>
      <c r="AD47" s="229">
        <f ca="1">IF('General Inputs'!$M$11="Nominal",'General Inputs'!$J$11/12*Waterfalls!AD46,NOMINAL('General Inputs'!$J$11,12)/12*AD46)</f>
        <v>310226.66760755953</v>
      </c>
      <c r="AE47" s="229">
        <f ca="1">IF('General Inputs'!$M$11="Nominal",'General Inputs'!$J$11/12*Waterfalls!AE46,NOMINAL('General Inputs'!$J$11,12)/12*AE46)</f>
        <v>312179.4116697248</v>
      </c>
      <c r="AF47" s="229">
        <f ca="1">IF('General Inputs'!$M$11="Nominal",'General Inputs'!$J$11/12*Waterfalls!AF46,NOMINAL('General Inputs'!$J$11,12)/12*AF46)</f>
        <v>313804.97479365824</v>
      </c>
      <c r="AG47" s="229">
        <f ca="1">IF('General Inputs'!$M$11="Nominal",'General Inputs'!$J$11/12*Waterfalls!AG46,NOMINAL('General Inputs'!$J$11,12)/12*AG46)</f>
        <v>314773.29947060387</v>
      </c>
      <c r="AH47" s="229">
        <f ca="1">IF('General Inputs'!$M$11="Nominal",'General Inputs'!$J$11/12*Waterfalls!AH46,NOMINAL('General Inputs'!$J$11,12)/12*AH46)</f>
        <v>315722.34595746861</v>
      </c>
      <c r="AI47" s="229">
        <f ca="1">IF('General Inputs'!$M$11="Nominal",'General Inputs'!$J$11/12*Waterfalls!AI46,NOMINAL('General Inputs'!$J$11,12)/12*AI46)</f>
        <v>316669.52753903792</v>
      </c>
      <c r="AJ47" s="229">
        <f ca="1">IF('General Inputs'!$M$11="Nominal",'General Inputs'!$J$11/12*Waterfalls!AJ46,NOMINAL('General Inputs'!$J$11,12)/12*AJ46)</f>
        <v>317871.75963713106</v>
      </c>
      <c r="AK47" s="229">
        <f ca="1">IF('General Inputs'!$M$11="Nominal",'General Inputs'!$J$11/12*Waterfalls!AK46,NOMINAL('General Inputs'!$J$11,12)/12*AK46)</f>
        <v>319064.59322963457</v>
      </c>
      <c r="AL47" s="229">
        <f ca="1">IF('General Inputs'!$M$11="Nominal",'General Inputs'!$J$11/12*Waterfalls!AL46,NOMINAL('General Inputs'!$J$11,12)/12*AL46)</f>
        <v>320246.39991852257</v>
      </c>
      <c r="AM47" s="229">
        <f ca="1">IF('General Inputs'!$M$11="Nominal",'General Inputs'!$J$11/12*Waterfalls!AM46,NOMINAL('General Inputs'!$J$11,12)/12*AM46)</f>
        <v>321417.16740037483</v>
      </c>
      <c r="AN47" s="229">
        <f ca="1">IF('General Inputs'!$M$11="Nominal",'General Inputs'!$J$11/12*Waterfalls!AN46,NOMINAL('General Inputs'!$J$11,12)/12*AN46)</f>
        <v>322576.8846869024</v>
      </c>
      <c r="AO47" s="229">
        <f ca="1">IF('General Inputs'!$M$11="Nominal",'General Inputs'!$J$11/12*Waterfalls!AO46,NOMINAL('General Inputs'!$J$11,12)/12*AO46)</f>
        <v>323725.54212867061</v>
      </c>
      <c r="AP47" s="229">
        <f ca="1">IF('General Inputs'!$M$11="Nominal",'General Inputs'!$J$11/12*Waterfalls!AP46,NOMINAL('General Inputs'!$J$11,12)/12*AP46)</f>
        <v>324863.13143911515</v>
      </c>
      <c r="AQ47" s="229">
        <f ca="1">IF('General Inputs'!$M$11="Nominal",'General Inputs'!$J$11/12*Waterfalls!AQ46,NOMINAL('General Inputs'!$J$11,12)/12*AQ46)</f>
        <v>325995.92444652517</v>
      </c>
      <c r="AR47" s="229">
        <f ca="1">IF('General Inputs'!$M$11="Nominal",'General Inputs'!$J$11/12*Waterfalls!AR46,NOMINAL('General Inputs'!$J$11,12)/12*AR46)</f>
        <v>327111.40041478688</v>
      </c>
      <c r="AS47" s="229">
        <f ca="1">IF('General Inputs'!$M$11="Nominal",'General Inputs'!$J$11/12*Waterfalls!AS46,NOMINAL('General Inputs'!$J$11,12)/12*AS46)</f>
        <v>328212.80222616205</v>
      </c>
      <c r="AT47" s="229">
        <f ca="1">IF('General Inputs'!$M$11="Nominal",'General Inputs'!$J$11/12*Waterfalls!AT46,NOMINAL('General Inputs'!$J$11,12)/12*AT46)</f>
        <v>329357.52497283969</v>
      </c>
      <c r="AU47" s="229">
        <f ca="1">IF('General Inputs'!$M$11="Nominal",'General Inputs'!$J$11/12*Waterfalls!AU46,NOMINAL('General Inputs'!$J$11,12)/12*AU46)</f>
        <v>330497.87648247386</v>
      </c>
      <c r="AV47" s="229">
        <f ca="1">IF('General Inputs'!$M$11="Nominal",'General Inputs'!$J$11/12*Waterfalls!AV46,NOMINAL('General Inputs'!$J$11,12)/12*AV46)</f>
        <v>331634.07749376621</v>
      </c>
      <c r="AW47" s="229">
        <f ca="1">IF('General Inputs'!$M$11="Nominal",'General Inputs'!$J$11/12*Waterfalls!AW46,NOMINAL('General Inputs'!$J$11,12)/12*AW46)</f>
        <v>332760.52691470808</v>
      </c>
      <c r="AX47" s="229">
        <f ca="1">IF('General Inputs'!$M$11="Nominal",'General Inputs'!$J$11/12*Waterfalls!AX46,NOMINAL('General Inputs'!$J$11,12)/12*AX46)</f>
        <v>333877.7343551598</v>
      </c>
      <c r="AY47" s="229">
        <f ca="1">IF('General Inputs'!$M$11="Nominal",'General Inputs'!$J$11/12*Waterfalls!AY46,NOMINAL('General Inputs'!$J$11,12)/12*AY46)</f>
        <v>334986.2188847888</v>
      </c>
      <c r="AZ47" s="229">
        <f ca="1">IF('General Inputs'!$M$11="Nominal",'General Inputs'!$J$11/12*Waterfalls!AZ46,NOMINAL('General Inputs'!$J$11,12)/12*AZ46)</f>
        <v>336086.5091454417</v>
      </c>
      <c r="BA47" s="229">
        <f ca="1">IF('General Inputs'!$M$11="Nominal",'General Inputs'!$J$11/12*Waterfalls!BA46,NOMINAL('General Inputs'!$J$11,12)/12*BA46)</f>
        <v>337179.14346464508</v>
      </c>
      <c r="BB47" s="229">
        <f ca="1">IF('General Inputs'!$M$11="Nominal",'General Inputs'!$J$11/12*Waterfalls!BB46,NOMINAL('General Inputs'!$J$11,12)/12*BB46)</f>
        <v>338264.66997024621</v>
      </c>
      <c r="BC47" s="229">
        <f ca="1">IF('General Inputs'!$M$11="Nominal",'General Inputs'!$J$11/12*Waterfalls!BC46,NOMINAL('General Inputs'!$J$11,12)/12*BC46)</f>
        <v>339348.25520703185</v>
      </c>
      <c r="BD47" s="229">
        <f ca="1">IF('General Inputs'!$M$11="Nominal",'General Inputs'!$J$11/12*Waterfalls!BD46,NOMINAL('General Inputs'!$J$11,12)/12*BD46)</f>
        <v>340421.2189851494</v>
      </c>
      <c r="BE47" s="229">
        <f ca="1">IF('General Inputs'!$M$11="Nominal",'General Inputs'!$J$11/12*Waterfalls!BE46,NOMINAL('General Inputs'!$J$11,12)/12*BE46)</f>
        <v>341486.32577244099</v>
      </c>
      <c r="BF47" s="229">
        <f ca="1">IF('General Inputs'!$M$11="Nominal",'General Inputs'!$J$11/12*Waterfalls!BF46,NOMINAL('General Inputs'!$J$11,12)/12*BF46)</f>
        <v>342588.94045361457</v>
      </c>
      <c r="BG47" s="229">
        <f ca="1">IF('General Inputs'!$M$11="Nominal",'General Inputs'!$J$11/12*Waterfalls!BG46,NOMINAL('General Inputs'!$J$11,12)/12*BG46)</f>
        <v>343690.40559314092</v>
      </c>
      <c r="BH47" s="229">
        <f ca="1">IF('General Inputs'!$M$11="Nominal",'General Inputs'!$J$11/12*Waterfalls!BH46,NOMINAL('General Inputs'!$J$11,12)/12*BH46)</f>
        <v>344790.53238405171</v>
      </c>
      <c r="BI47" s="229">
        <f ca="1">IF('General Inputs'!$M$11="Nominal",'General Inputs'!$J$11/12*Waterfalls!BI46,NOMINAL('General Inputs'!$J$11,12)/12*BI46)</f>
        <v>345884.67932640214</v>
      </c>
      <c r="BJ47" s="229">
        <f ca="1">IF('General Inputs'!$M$11="Nominal",'General Inputs'!$J$11/12*Waterfalls!BJ46,NOMINAL('General Inputs'!$J$11,12)/12*BJ46)</f>
        <v>346972.39515815629</v>
      </c>
      <c r="BK47" s="229">
        <f ca="1">IF('General Inputs'!$M$11="Nominal",'General Inputs'!$J$11/12*Waterfalls!BK46,NOMINAL('General Inputs'!$J$11,12)/12*BK46)</f>
        <v>348053.22208728764</v>
      </c>
      <c r="BL47" s="229">
        <f ca="1">IF('General Inputs'!$M$11="Nominal",'General Inputs'!$J$11/12*Waterfalls!BL46,NOMINAL('General Inputs'!$J$11,12)/12*BL46)</f>
        <v>349126.69572227448</v>
      </c>
      <c r="BM47" s="229">
        <f ca="1">IF('General Inputs'!$M$11="Nominal",'General Inputs'!$J$11/12*Waterfalls!BM46,NOMINAL('General Inputs'!$J$11,12)/12*BM46)</f>
        <v>350192.34500194259</v>
      </c>
      <c r="BN47" s="229">
        <f ca="1">IF('General Inputs'!$M$11="Nominal",'General Inputs'!$J$11/12*Waterfalls!BN46,NOMINAL('General Inputs'!$J$11,12)/12*BN46)</f>
        <v>351249.69212464819</v>
      </c>
      <c r="BO47" s="229">
        <f ca="1">IF('General Inputs'!$M$11="Nominal",'General Inputs'!$J$11/12*Waterfalls!BO46,NOMINAL('General Inputs'!$J$11,12)/12*BO46)</f>
        <v>352303.51066531794</v>
      </c>
      <c r="BP47" s="229">
        <f ca="1">IF('General Inputs'!$M$11="Nominal",'General Inputs'!$J$11/12*Waterfalls!BP46,NOMINAL('General Inputs'!$J$11,12)/12*BP46)</f>
        <v>353342.88254272682</v>
      </c>
      <c r="BQ47" s="229">
        <f ca="1">IF('General Inputs'!$M$11="Nominal",'General Inputs'!$J$11/12*Waterfalls!BQ46,NOMINAL('General Inputs'!$J$11,12)/12*BQ46)</f>
        <v>354370.20092359948</v>
      </c>
      <c r="BR47" s="229">
        <f ca="1">IF('General Inputs'!$M$11="Nominal",'General Inputs'!$J$11/12*Waterfalls!BR46,NOMINAL('General Inputs'!$J$11,12)/12*BR46)</f>
        <v>355433.95266159228</v>
      </c>
      <c r="BS47" s="229">
        <f ca="1">IF('General Inputs'!$M$11="Nominal",'General Inputs'!$J$11/12*Waterfalls!BS46,NOMINAL('General Inputs'!$J$11,12)/12*BS46)</f>
        <v>356493.62628433097</v>
      </c>
      <c r="BT47" s="229">
        <f ca="1">IF('General Inputs'!$M$11="Nominal",'General Inputs'!$J$11/12*Waterfalls!BT46,NOMINAL('General Inputs'!$J$11,12)/12*BT46)</f>
        <v>357549.15257102781</v>
      </c>
      <c r="BU47" s="229">
        <f ca="1">IF('General Inputs'!$M$11="Nominal",'General Inputs'!$J$11/12*Waterfalls!BU46,NOMINAL('General Inputs'!$J$11,12)/12*BU46)</f>
        <v>358594.88027709909</v>
      </c>
      <c r="BV47" s="229">
        <f ca="1">IF('General Inputs'!$M$11="Nominal",'General Inputs'!$J$11/12*Waterfalls!BV46,NOMINAL('General Inputs'!$J$11,12)/12*BV46)</f>
        <v>359630.65373771748</v>
      </c>
      <c r="BW47" s="229">
        <f ca="1">IF('General Inputs'!$M$11="Nominal",'General Inputs'!$J$11/12*Waterfalls!BW46,NOMINAL('General Inputs'!$J$11,12)/12*BW46)</f>
        <v>360656.31569156557</v>
      </c>
      <c r="BX47" s="229">
        <f ca="1">IF('General Inputs'!$M$11="Nominal",'General Inputs'!$J$11/12*Waterfalls!BX46,NOMINAL('General Inputs'!$J$11,12)/12*BX46)</f>
        <v>361671.70726630936</v>
      </c>
      <c r="BY47" s="229">
        <f ca="1">IF('General Inputs'!$M$11="Nominal",'General Inputs'!$J$11/12*Waterfalls!BY46,NOMINAL('General Inputs'!$J$11,12)/12*BY46)</f>
        <v>362676.6679639456</v>
      </c>
      <c r="BZ47" s="229">
        <f ca="1">IF('General Inputs'!$M$11="Nominal",'General Inputs'!$J$11/12*Waterfalls!BZ46,NOMINAL('General Inputs'!$J$11,12)/12*BZ46)</f>
        <v>363671.03564602247</v>
      </c>
      <c r="CA47" s="229">
        <f ca="1">IF('General Inputs'!$M$11="Nominal",'General Inputs'!$J$11/12*Waterfalls!CA46,NOMINAL('General Inputs'!$J$11,12)/12*CA46)</f>
        <v>364660.36820965615</v>
      </c>
      <c r="CB47" s="229">
        <f ca="1">IF('General Inputs'!$M$11="Nominal",'General Inputs'!$J$11/12*Waterfalls!CB46,NOMINAL('General Inputs'!$J$11,12)/12*CB46)</f>
        <v>365633.11239979026</v>
      </c>
      <c r="CC47" s="229">
        <f ca="1">IF('General Inputs'!$M$11="Nominal",'General Inputs'!$J$11/12*Waterfalls!CC46,NOMINAL('General Inputs'!$J$11,12)/12*CC46)</f>
        <v>366592.11436509219</v>
      </c>
      <c r="CD47" s="229">
        <f ca="1">IF('General Inputs'!$M$11="Nominal",'General Inputs'!$J$11/12*Waterfalls!CD46,NOMINAL('General Inputs'!$J$11,12)/12*CD46)</f>
        <v>367587.79669609864</v>
      </c>
      <c r="CE47" s="229">
        <f ca="1">IF('General Inputs'!$M$11="Nominal",'General Inputs'!$J$11/12*Waterfalls!CE46,NOMINAL('General Inputs'!$J$11,12)/12*CE46)</f>
        <v>368578.30917777971</v>
      </c>
      <c r="CF47" s="229">
        <f ca="1">IF('General Inputs'!$M$11="Nominal",'General Inputs'!$J$11/12*Waterfalls!CF46,NOMINAL('General Inputs'!$J$11,12)/12*CF46)</f>
        <v>369563.57205785468</v>
      </c>
      <c r="CG47" s="229">
        <f ca="1">IF('General Inputs'!$M$11="Nominal",'General Inputs'!$J$11/12*Waterfalls!CG46,NOMINAL('General Inputs'!$J$11,12)/12*CG46)</f>
        <v>370537.68754708947</v>
      </c>
      <c r="CH47" s="229">
        <f ca="1">IF('General Inputs'!$M$11="Nominal",'General Inputs'!$J$11/12*Waterfalls!CH46,NOMINAL('General Inputs'!$J$11,12)/12*CH46)</f>
        <v>371500.48566819762</v>
      </c>
      <c r="CI47" s="229">
        <f ca="1">IF('General Inputs'!$M$11="Nominal",'General Inputs'!$J$11/12*Waterfalls!CI46,NOMINAL('General Inputs'!$J$11,12)/12*CI46)</f>
        <v>372451.79471561994</v>
      </c>
      <c r="CJ47" s="229">
        <f ca="1">IF('General Inputs'!$M$11="Nominal",'General Inputs'!$J$11/12*Waterfalls!CJ46,NOMINAL('General Inputs'!$J$11,12)/12*CJ46)</f>
        <v>373391.44123984792</v>
      </c>
      <c r="CK47" s="229">
        <f ca="1">IF('General Inputs'!$M$11="Nominal",'General Inputs'!$J$11/12*Waterfalls!CK46,NOMINAL('General Inputs'!$J$11,12)/12*CK46)</f>
        <v>374319.25003161217</v>
      </c>
      <c r="CL47" s="229">
        <f ca="1">IF('General Inputs'!$M$11="Nominal",'General Inputs'!$J$11/12*Waterfalls!CL46,NOMINAL('General Inputs'!$J$11,12)/12*CL46)</f>
        <v>375235.04410593375</v>
      </c>
      <c r="CM47" s="229">
        <f ca="1">IF('General Inputs'!$M$11="Nominal",'General Inputs'!$J$11/12*Waterfalls!CM46,NOMINAL('General Inputs'!$J$11,12)/12*CM46)</f>
        <v>376144.60823055066</v>
      </c>
      <c r="CN47" s="229">
        <f ca="1">IF('General Inputs'!$M$11="Nominal",'General Inputs'!$J$11/12*Waterfalls!CN46,NOMINAL('General Inputs'!$J$11,12)/12*CN46)</f>
        <v>377035.89267244079</v>
      </c>
      <c r="CO47" s="229">
        <f ca="1">IF('General Inputs'!$M$11="Nominal",'General Inputs'!$J$11/12*Waterfalls!CO46,NOMINAL('General Inputs'!$J$11,12)/12*CO46)</f>
        <v>377911.85569176683</v>
      </c>
      <c r="CP47" s="229">
        <f ca="1">IF('General Inputs'!$M$11="Nominal",'General Inputs'!$J$11/12*Waterfalls!CP46,NOMINAL('General Inputs'!$J$11,12)/12*CP46)</f>
        <v>378824.65210105258</v>
      </c>
      <c r="CQ47" s="229">
        <f ca="1">IF('General Inputs'!$M$11="Nominal",'General Inputs'!$J$11/12*Waterfalls!CQ46,NOMINAL('General Inputs'!$J$11,12)/12*CQ46)</f>
        <v>379731.04196387326</v>
      </c>
      <c r="CR47" s="229">
        <f ca="1">IF('General Inputs'!$M$11="Nominal",'General Inputs'!$J$11/12*Waterfalls!CR46,NOMINAL('General Inputs'!$J$11,12)/12*CR46)</f>
        <v>380630.93372949929</v>
      </c>
      <c r="CS47" s="229">
        <f ca="1">IF('General Inputs'!$M$11="Nominal",'General Inputs'!$J$11/12*Waterfalls!CS46,NOMINAL('General Inputs'!$J$11,12)/12*CS46)</f>
        <v>381518.17181406368</v>
      </c>
      <c r="CT47" s="229">
        <f ca="1">IF('General Inputs'!$M$11="Nominal",'General Inputs'!$J$11/12*Waterfalls!CT46,NOMINAL('General Inputs'!$J$11,12)/12*CT46)</f>
        <v>382392.57048729982</v>
      </c>
      <c r="CU47" s="229">
        <f ca="1">IF('General Inputs'!$M$11="Nominal",'General Inputs'!$J$11/12*Waterfalls!CU46,NOMINAL('General Inputs'!$J$11,12)/12*CU46)</f>
        <v>383253.94214635593</v>
      </c>
      <c r="CV47" s="229">
        <f ca="1">IF('General Inputs'!$M$11="Nominal",'General Inputs'!$J$11/12*Waterfalls!CV46,NOMINAL('General Inputs'!$J$11,12)/12*CV46)</f>
        <v>384102.09729886288</v>
      </c>
      <c r="CW47" s="229">
        <f ca="1">IF('General Inputs'!$M$11="Nominal",'General Inputs'!$J$11/12*Waterfalls!CW46,NOMINAL('General Inputs'!$J$11,12)/12*CW46)</f>
        <v>384936.84454585594</v>
      </c>
      <c r="CX47" s="229">
        <f ca="1">IF('General Inputs'!$M$11="Nominal",'General Inputs'!$J$11/12*Waterfalls!CX46,NOMINAL('General Inputs'!$J$11,12)/12*CX46)</f>
        <v>385757.99056454794</v>
      </c>
      <c r="CY47" s="229">
        <f ca="1">IF('General Inputs'!$M$11="Nominal",'General Inputs'!$J$11/12*Waterfalls!CY46,NOMINAL('General Inputs'!$J$11,12)/12*CY46)</f>
        <v>386571.55571211193</v>
      </c>
      <c r="CZ47" s="229">
        <f ca="1">IF('General Inputs'!$M$11="Nominal",'General Inputs'!$J$11/12*Waterfalls!CZ46,NOMINAL('General Inputs'!$J$11,12)/12*CZ46)</f>
        <v>387364.97191346349</v>
      </c>
      <c r="DA47" s="229">
        <f ca="1">IF('General Inputs'!$M$11="Nominal",'General Inputs'!$J$11/12*Waterfalls!DA46,NOMINAL('General Inputs'!$J$11,12)/12*DA46)</f>
        <v>388141.31339368416</v>
      </c>
      <c r="DB47" s="229">
        <f ca="1">IF('General Inputs'!$M$11="Nominal",'General Inputs'!$J$11/12*Waterfalls!DB46,NOMINAL('General Inputs'!$J$11,12)/12*DB46)</f>
        <v>388954.5333629165</v>
      </c>
      <c r="DC47" s="229">
        <f ca="1">IF('General Inputs'!$M$11="Nominal",'General Inputs'!$J$11/12*Waterfalls!DC46,NOMINAL('General Inputs'!$J$11,12)/12*DC46)</f>
        <v>389759.94862065121</v>
      </c>
      <c r="DD47" s="229">
        <f ca="1">IF('General Inputs'!$M$11="Nominal",'General Inputs'!$J$11/12*Waterfalls!DD46,NOMINAL('General Inputs'!$J$11,12)/12*DD46)</f>
        <v>390557.45441077248</v>
      </c>
      <c r="DE47" s="229">
        <f ca="1">IF('General Inputs'!$M$11="Nominal",'General Inputs'!$J$11/12*Waterfalls!DE46,NOMINAL('General Inputs'!$J$11,12)/12*DE46)</f>
        <v>391340.62554211868</v>
      </c>
      <c r="DF47" s="229">
        <f ca="1">IF('General Inputs'!$M$11="Nominal",'General Inputs'!$J$11/12*Waterfalls!DF46,NOMINAL('General Inputs'!$J$11,12)/12*DF46)</f>
        <v>392109.25894215779</v>
      </c>
      <c r="DG47" s="229">
        <f ca="1">IF('General Inputs'!$M$11="Nominal",'General Inputs'!$J$11/12*Waterfalls!DG46,NOMINAL('General Inputs'!$J$11,12)/12*DG46)</f>
        <v>392863.14950766927</v>
      </c>
      <c r="DH47" s="229">
        <f ca="1">IF('General Inputs'!$M$11="Nominal",'General Inputs'!$J$11/12*Waterfalls!DH46,NOMINAL('General Inputs'!$J$11,12)/12*DH46)</f>
        <v>393602.09008644044</v>
      </c>
      <c r="DI47" s="229">
        <f ca="1">IF('General Inputs'!$M$11="Nominal",'General Inputs'!$J$11/12*Waterfalls!DI46,NOMINAL('General Inputs'!$J$11,12)/12*DI46)</f>
        <v>394325.87145880074</v>
      </c>
      <c r="DJ47" s="229">
        <f ca="1">IF('General Inputs'!$M$11="Nominal",'General Inputs'!$J$11/12*Waterfalls!DJ46,NOMINAL('General Inputs'!$J$11,12)/12*DJ46)</f>
        <v>395034.28231899778</v>
      </c>
      <c r="DK47" s="229">
        <f ca="1">IF('General Inputs'!$M$11="Nominal",'General Inputs'!$J$11/12*Waterfalls!DK46,NOMINAL('General Inputs'!$J$11,12)/12*DK46)</f>
        <v>395733.58760940068</v>
      </c>
      <c r="DL47" s="229">
        <f ca="1">IF('General Inputs'!$M$11="Nominal",'General Inputs'!$J$11/12*Waterfalls!DL46,NOMINAL('General Inputs'!$J$11,12)/12*DL46)</f>
        <v>396410.67803221772</v>
      </c>
      <c r="DM47" s="229">
        <f ca="1">IF('General Inputs'!$M$11="Nominal",'General Inputs'!$J$11/12*Waterfalls!DM46,NOMINAL('General Inputs'!$J$11,12)/12*DM46)</f>
        <v>397068.74770062813</v>
      </c>
      <c r="DN47" s="229">
        <f ca="1">IF('General Inputs'!$M$11="Nominal",'General Inputs'!$J$11/12*Waterfalls!DN46,NOMINAL('General Inputs'!$J$11,12)/12*DN46)</f>
        <v>397763.61748974241</v>
      </c>
      <c r="DO47" s="229">
        <f ca="1">IF('General Inputs'!$M$11="Nominal",'General Inputs'!$J$11/12*Waterfalls!DO46,NOMINAL('General Inputs'!$J$11,12)/12*DO46)</f>
        <v>398449.10464919434</v>
      </c>
      <c r="DP47" s="229">
        <f ca="1">IF('General Inputs'!$M$11="Nominal",'General Inputs'!$J$11/12*Waterfalls!DP46,NOMINAL('General Inputs'!$J$11,12)/12*DP46)</f>
        <v>399125.08965562307</v>
      </c>
      <c r="DQ47" s="229">
        <f ca="1">IF('General Inputs'!$M$11="Nominal",'General Inputs'!$J$11/12*Waterfalls!DQ46,NOMINAL('General Inputs'!$J$11,12)/12*DQ46)</f>
        <v>399784.8653023442</v>
      </c>
      <c r="DR47" s="229">
        <f ca="1">IF('General Inputs'!$M$11="Nominal",'General Inputs'!$J$11/12*Waterfalls!DR46,NOMINAL('General Inputs'!$J$11,12)/12*DR46)</f>
        <v>400428.20942104823</v>
      </c>
      <c r="DS47" s="229">
        <f ca="1">IF('General Inputs'!$M$11="Nominal",'General Inputs'!$J$11/12*Waterfalls!DS46,NOMINAL('General Inputs'!$J$11,12)/12*DS46)</f>
        <v>401054.8976394491</v>
      </c>
      <c r="DT47" s="229">
        <f ca="1">IF('General Inputs'!$M$11="Nominal",'General Inputs'!$J$11/12*Waterfalls!DT46,NOMINAL('General Inputs'!$J$11,12)/12*DT46)</f>
        <v>401664.70336157293</v>
      </c>
      <c r="DU47" s="229">
        <f ca="1">IF('General Inputs'!$M$11="Nominal",'General Inputs'!$J$11/12*Waterfalls!DU46,NOMINAL('General Inputs'!$J$11,12)/12*DU46)</f>
        <v>402257.39774742449</v>
      </c>
      <c r="DV47" s="229">
        <f ca="1">IF('General Inputs'!$M$11="Nominal",'General Inputs'!$J$11/12*Waterfalls!DV46,NOMINAL('General Inputs'!$J$11,12)/12*DV46)</f>
        <v>402832.74969344295</v>
      </c>
      <c r="DW47" s="229">
        <f ca="1">IF('General Inputs'!$M$11="Nominal",'General Inputs'!$J$11/12*Waterfalls!DW46,NOMINAL('General Inputs'!$J$11,12)/12*DW46)</f>
        <v>403397.27800191869</v>
      </c>
      <c r="DX47" s="229">
        <f ca="1">IF('General Inputs'!$M$11="Nominal",'General Inputs'!$J$11/12*Waterfalls!DX46,NOMINAL('General Inputs'!$J$11,12)/12*DX46)</f>
        <v>403937.30820255069</v>
      </c>
      <c r="DY47" s="229">
        <f ca="1">IF('General Inputs'!$M$11="Nominal",'General Inputs'!$J$11/12*Waterfalls!DY46,NOMINAL('General Inputs'!$J$11,12)/12*DY46)</f>
        <v>404456.15828276559</v>
      </c>
      <c r="DZ47" s="229">
        <f ca="1">IF('General Inputs'!$M$11="Nominal",'General Inputs'!$J$11/12*Waterfalls!DZ46,NOMINAL('General Inputs'!$J$11,12)/12*DZ46)</f>
        <v>405011.58933205425</v>
      </c>
      <c r="EA47" s="229">
        <f ca="1">IF('General Inputs'!$M$11="Nominal",'General Inputs'!$J$11/12*Waterfalls!EA46,NOMINAL('General Inputs'!$J$11,12)/12*EA46)</f>
        <v>405555.8598266319</v>
      </c>
      <c r="EB47" s="229">
        <f ca="1">IF('General Inputs'!$M$11="Nominal",'General Inputs'!$J$11/12*Waterfalls!EB46,NOMINAL('General Inputs'!$J$11,12)/12*EB46)</f>
        <v>406088.83374244458</v>
      </c>
      <c r="EC47" s="229">
        <f ca="1">IF('General Inputs'!$M$11="Nominal",'General Inputs'!$J$11/12*Waterfalls!EC46,NOMINAL('General Inputs'!$J$11,12)/12*EC46)</f>
        <v>406603.50881831301</v>
      </c>
      <c r="ED47" s="229">
        <f ca="1">IF('General Inputs'!$M$11="Nominal",'General Inputs'!$J$11/12*Waterfalls!ED46,NOMINAL('General Inputs'!$J$11,12)/12*ED46)</f>
        <v>407099.6418553965</v>
      </c>
      <c r="EE47" s="229">
        <f ca="1">IF('General Inputs'!$M$11="Nominal",'General Inputs'!$J$11/12*Waterfalls!EE46,NOMINAL('General Inputs'!$J$11,12)/12*EE46)</f>
        <v>407576.98725371482</v>
      </c>
      <c r="EF47" s="229">
        <f ca="1">IF('General Inputs'!$M$11="Nominal",'General Inputs'!$J$11/12*Waterfalls!EF46,NOMINAL('General Inputs'!$J$11,12)/12*EF46)</f>
        <v>408035.29706410674</v>
      </c>
      <c r="EG47" s="229">
        <f ca="1">IF('General Inputs'!$M$11="Nominal",'General Inputs'!$J$11/12*Waterfalls!EG46,NOMINAL('General Inputs'!$J$11,12)/12*EG46)</f>
        <v>408474.32070724183</v>
      </c>
    </row>
    <row r="48" spans="1:137" x14ac:dyDescent="0.3">
      <c r="A48" t="s">
        <v>2474</v>
      </c>
      <c r="E48" s="229">
        <f t="shared" ref="E48:BP48" ca="1" si="58">E42</f>
        <v>1684806.2553703375</v>
      </c>
      <c r="F48" s="229">
        <f t="shared" ca="1" si="58"/>
        <v>13679721.285321232</v>
      </c>
      <c r="G48" s="229">
        <f t="shared" ca="1" si="58"/>
        <v>429758.58896990592</v>
      </c>
      <c r="H48" s="229">
        <f t="shared" ca="1" si="58"/>
        <v>652516.24275347544</v>
      </c>
      <c r="I48" s="229">
        <f t="shared" ca="1" si="58"/>
        <v>1108216.2834030252</v>
      </c>
      <c r="J48" s="229">
        <f t="shared" ca="1" si="58"/>
        <v>1808500.5776190415</v>
      </c>
      <c r="K48" s="229">
        <f t="shared" ca="1" si="58"/>
        <v>1861449.5545326734</v>
      </c>
      <c r="L48" s="229">
        <f t="shared" ca="1" si="58"/>
        <v>2372000.4851556052</v>
      </c>
      <c r="M48" s="229">
        <f t="shared" ca="1" si="58"/>
        <v>2813680.2377213496</v>
      </c>
      <c r="N48" s="229">
        <f t="shared" ca="1" si="58"/>
        <v>3293680.161515363</v>
      </c>
      <c r="O48" s="229">
        <f t="shared" ca="1" si="58"/>
        <v>1869318.1862202697</v>
      </c>
      <c r="P48" s="229">
        <f t="shared" ca="1" si="58"/>
        <v>0</v>
      </c>
      <c r="Q48" s="229">
        <f t="shared" ca="1" si="58"/>
        <v>0</v>
      </c>
      <c r="R48" s="229">
        <f t="shared" ca="1" si="58"/>
        <v>0</v>
      </c>
      <c r="S48" s="229">
        <f t="shared" ca="1" si="58"/>
        <v>0</v>
      </c>
      <c r="T48" s="229">
        <f t="shared" ca="1" si="58"/>
        <v>0</v>
      </c>
      <c r="U48" s="229">
        <f t="shared" ca="1" si="58"/>
        <v>0</v>
      </c>
      <c r="V48" s="229">
        <f t="shared" ca="1" si="58"/>
        <v>0</v>
      </c>
      <c r="W48" s="229">
        <f t="shared" ca="1" si="58"/>
        <v>0</v>
      </c>
      <c r="X48" s="229">
        <f t="shared" ca="1" si="58"/>
        <v>0</v>
      </c>
      <c r="Y48" s="229">
        <f t="shared" ca="1" si="58"/>
        <v>0</v>
      </c>
      <c r="Z48" s="229">
        <f t="shared" ca="1" si="58"/>
        <v>0</v>
      </c>
      <c r="AA48" s="229">
        <f t="shared" ca="1" si="58"/>
        <v>0</v>
      </c>
      <c r="AB48" s="229">
        <f t="shared" ca="1" si="58"/>
        <v>0</v>
      </c>
      <c r="AC48" s="229">
        <f t="shared" ca="1" si="58"/>
        <v>0</v>
      </c>
      <c r="AD48" s="229">
        <f t="shared" ca="1" si="58"/>
        <v>0</v>
      </c>
      <c r="AE48" s="229">
        <f t="shared" ca="1" si="58"/>
        <v>0</v>
      </c>
      <c r="AF48" s="229">
        <f t="shared" ca="1" si="58"/>
        <v>0</v>
      </c>
      <c r="AG48" s="229">
        <f t="shared" ca="1" si="58"/>
        <v>0</v>
      </c>
      <c r="AH48" s="229">
        <f t="shared" ca="1" si="58"/>
        <v>0</v>
      </c>
      <c r="AI48" s="229">
        <f t="shared" ca="1" si="58"/>
        <v>0</v>
      </c>
      <c r="AJ48" s="229">
        <f t="shared" ca="1" si="58"/>
        <v>0</v>
      </c>
      <c r="AK48" s="229">
        <f t="shared" ca="1" si="58"/>
        <v>0</v>
      </c>
      <c r="AL48" s="229">
        <f t="shared" ca="1" si="58"/>
        <v>0</v>
      </c>
      <c r="AM48" s="229">
        <f t="shared" ca="1" si="58"/>
        <v>0</v>
      </c>
      <c r="AN48" s="229">
        <f t="shared" ca="1" si="58"/>
        <v>0</v>
      </c>
      <c r="AO48" s="229">
        <f t="shared" ca="1" si="58"/>
        <v>0</v>
      </c>
      <c r="AP48" s="229">
        <f t="shared" ca="1" si="58"/>
        <v>0</v>
      </c>
      <c r="AQ48" s="229">
        <f t="shared" ca="1" si="58"/>
        <v>0</v>
      </c>
      <c r="AR48" s="229">
        <f t="shared" ca="1" si="58"/>
        <v>0</v>
      </c>
      <c r="AS48" s="229">
        <f t="shared" ca="1" si="58"/>
        <v>0</v>
      </c>
      <c r="AT48" s="229">
        <f t="shared" ca="1" si="58"/>
        <v>0</v>
      </c>
      <c r="AU48" s="229">
        <f t="shared" ca="1" si="58"/>
        <v>0</v>
      </c>
      <c r="AV48" s="229">
        <f t="shared" ca="1" si="58"/>
        <v>0</v>
      </c>
      <c r="AW48" s="229">
        <f t="shared" ca="1" si="58"/>
        <v>0</v>
      </c>
      <c r="AX48" s="229">
        <f t="shared" ca="1" si="58"/>
        <v>0</v>
      </c>
      <c r="AY48" s="229">
        <f t="shared" ca="1" si="58"/>
        <v>0</v>
      </c>
      <c r="AZ48" s="229">
        <f t="shared" ca="1" si="58"/>
        <v>0</v>
      </c>
      <c r="BA48" s="229">
        <f t="shared" ca="1" si="58"/>
        <v>0</v>
      </c>
      <c r="BB48" s="229">
        <f t="shared" ca="1" si="58"/>
        <v>0</v>
      </c>
      <c r="BC48" s="229">
        <f t="shared" ca="1" si="58"/>
        <v>0</v>
      </c>
      <c r="BD48" s="229">
        <f t="shared" ca="1" si="58"/>
        <v>0</v>
      </c>
      <c r="BE48" s="229">
        <f t="shared" ca="1" si="58"/>
        <v>0</v>
      </c>
      <c r="BF48" s="229">
        <f t="shared" ca="1" si="58"/>
        <v>0</v>
      </c>
      <c r="BG48" s="229">
        <f t="shared" ca="1" si="58"/>
        <v>0</v>
      </c>
      <c r="BH48" s="229">
        <f t="shared" ca="1" si="58"/>
        <v>0</v>
      </c>
      <c r="BI48" s="229">
        <f t="shared" ca="1" si="58"/>
        <v>0</v>
      </c>
      <c r="BJ48" s="229">
        <f t="shared" ca="1" si="58"/>
        <v>0</v>
      </c>
      <c r="BK48" s="229">
        <f t="shared" ca="1" si="58"/>
        <v>0</v>
      </c>
      <c r="BL48" s="229">
        <f t="shared" ca="1" si="58"/>
        <v>0</v>
      </c>
      <c r="BM48" s="229">
        <f t="shared" ca="1" si="58"/>
        <v>0</v>
      </c>
      <c r="BN48" s="229">
        <f t="shared" ca="1" si="58"/>
        <v>0</v>
      </c>
      <c r="BO48" s="229">
        <f t="shared" ca="1" si="58"/>
        <v>0</v>
      </c>
      <c r="BP48" s="229">
        <f t="shared" ca="1" si="58"/>
        <v>0</v>
      </c>
      <c r="BQ48" s="229">
        <f t="shared" ref="BQ48:EB48" ca="1" si="59">BQ42</f>
        <v>0</v>
      </c>
      <c r="BR48" s="229">
        <f t="shared" ca="1" si="59"/>
        <v>0</v>
      </c>
      <c r="BS48" s="229">
        <f t="shared" ca="1" si="59"/>
        <v>0</v>
      </c>
      <c r="BT48" s="229">
        <f t="shared" ca="1" si="59"/>
        <v>0</v>
      </c>
      <c r="BU48" s="229">
        <f t="shared" ca="1" si="59"/>
        <v>0</v>
      </c>
      <c r="BV48" s="229">
        <f t="shared" ca="1" si="59"/>
        <v>0</v>
      </c>
      <c r="BW48" s="229">
        <f t="shared" ca="1" si="59"/>
        <v>0</v>
      </c>
      <c r="BX48" s="229">
        <f t="shared" ca="1" si="59"/>
        <v>0</v>
      </c>
      <c r="BY48" s="229">
        <f t="shared" ca="1" si="59"/>
        <v>0</v>
      </c>
      <c r="BZ48" s="229">
        <f t="shared" ca="1" si="59"/>
        <v>0</v>
      </c>
      <c r="CA48" s="229">
        <f t="shared" ca="1" si="59"/>
        <v>0</v>
      </c>
      <c r="CB48" s="229">
        <f t="shared" ca="1" si="59"/>
        <v>0</v>
      </c>
      <c r="CC48" s="229">
        <f t="shared" ca="1" si="59"/>
        <v>0</v>
      </c>
      <c r="CD48" s="229">
        <f t="shared" ca="1" si="59"/>
        <v>0</v>
      </c>
      <c r="CE48" s="229">
        <f t="shared" ca="1" si="59"/>
        <v>0</v>
      </c>
      <c r="CF48" s="229">
        <f t="shared" ca="1" si="59"/>
        <v>0</v>
      </c>
      <c r="CG48" s="229">
        <f t="shared" ca="1" si="59"/>
        <v>0</v>
      </c>
      <c r="CH48" s="229">
        <f t="shared" ca="1" si="59"/>
        <v>0</v>
      </c>
      <c r="CI48" s="229">
        <f t="shared" ca="1" si="59"/>
        <v>0</v>
      </c>
      <c r="CJ48" s="229">
        <f t="shared" ca="1" si="59"/>
        <v>0</v>
      </c>
      <c r="CK48" s="229">
        <f t="shared" ca="1" si="59"/>
        <v>0</v>
      </c>
      <c r="CL48" s="229">
        <f t="shared" ca="1" si="59"/>
        <v>0</v>
      </c>
      <c r="CM48" s="229">
        <f t="shared" ca="1" si="59"/>
        <v>0</v>
      </c>
      <c r="CN48" s="229">
        <f t="shared" ca="1" si="59"/>
        <v>0</v>
      </c>
      <c r="CO48" s="229">
        <f t="shared" ca="1" si="59"/>
        <v>0</v>
      </c>
      <c r="CP48" s="229">
        <f t="shared" ca="1" si="59"/>
        <v>0</v>
      </c>
      <c r="CQ48" s="229">
        <f t="shared" ca="1" si="59"/>
        <v>0</v>
      </c>
      <c r="CR48" s="229">
        <f t="shared" ca="1" si="59"/>
        <v>0</v>
      </c>
      <c r="CS48" s="229">
        <f t="shared" ca="1" si="59"/>
        <v>0</v>
      </c>
      <c r="CT48" s="229">
        <f t="shared" ca="1" si="59"/>
        <v>0</v>
      </c>
      <c r="CU48" s="229">
        <f t="shared" ca="1" si="59"/>
        <v>0</v>
      </c>
      <c r="CV48" s="229">
        <f t="shared" ca="1" si="59"/>
        <v>0</v>
      </c>
      <c r="CW48" s="229">
        <f t="shared" ca="1" si="59"/>
        <v>0</v>
      </c>
      <c r="CX48" s="229">
        <f t="shared" ca="1" si="59"/>
        <v>0</v>
      </c>
      <c r="CY48" s="229">
        <f t="shared" ca="1" si="59"/>
        <v>0</v>
      </c>
      <c r="CZ48" s="229">
        <f t="shared" ca="1" si="59"/>
        <v>0</v>
      </c>
      <c r="DA48" s="229">
        <f t="shared" ca="1" si="59"/>
        <v>0</v>
      </c>
      <c r="DB48" s="229">
        <f t="shared" ca="1" si="59"/>
        <v>0</v>
      </c>
      <c r="DC48" s="229">
        <f t="shared" ca="1" si="59"/>
        <v>0</v>
      </c>
      <c r="DD48" s="229">
        <f t="shared" ca="1" si="59"/>
        <v>0</v>
      </c>
      <c r="DE48" s="229">
        <f t="shared" ca="1" si="59"/>
        <v>0</v>
      </c>
      <c r="DF48" s="229">
        <f t="shared" ca="1" si="59"/>
        <v>0</v>
      </c>
      <c r="DG48" s="229">
        <f t="shared" ca="1" si="59"/>
        <v>0</v>
      </c>
      <c r="DH48" s="229">
        <f t="shared" ca="1" si="59"/>
        <v>0</v>
      </c>
      <c r="DI48" s="229">
        <f t="shared" ca="1" si="59"/>
        <v>0</v>
      </c>
      <c r="DJ48" s="229">
        <f t="shared" ca="1" si="59"/>
        <v>0</v>
      </c>
      <c r="DK48" s="229">
        <f t="shared" ca="1" si="59"/>
        <v>0</v>
      </c>
      <c r="DL48" s="229">
        <f t="shared" ca="1" si="59"/>
        <v>0</v>
      </c>
      <c r="DM48" s="229">
        <f t="shared" ca="1" si="59"/>
        <v>0</v>
      </c>
      <c r="DN48" s="229">
        <f t="shared" ca="1" si="59"/>
        <v>0</v>
      </c>
      <c r="DO48" s="229">
        <f t="shared" ca="1" si="59"/>
        <v>0</v>
      </c>
      <c r="DP48" s="229">
        <f t="shared" ca="1" si="59"/>
        <v>0</v>
      </c>
      <c r="DQ48" s="229">
        <f t="shared" ca="1" si="59"/>
        <v>0</v>
      </c>
      <c r="DR48" s="229">
        <f t="shared" ca="1" si="59"/>
        <v>0</v>
      </c>
      <c r="DS48" s="229">
        <f t="shared" ca="1" si="59"/>
        <v>0</v>
      </c>
      <c r="DT48" s="229">
        <f t="shared" ca="1" si="59"/>
        <v>0</v>
      </c>
      <c r="DU48" s="229">
        <f t="shared" ca="1" si="59"/>
        <v>0</v>
      </c>
      <c r="DV48" s="229">
        <f t="shared" ca="1" si="59"/>
        <v>0</v>
      </c>
      <c r="DW48" s="229">
        <f t="shared" ca="1" si="59"/>
        <v>0</v>
      </c>
      <c r="DX48" s="229">
        <f t="shared" ca="1" si="59"/>
        <v>0</v>
      </c>
      <c r="DY48" s="229">
        <f t="shared" ca="1" si="59"/>
        <v>0</v>
      </c>
      <c r="DZ48" s="229">
        <f t="shared" ca="1" si="59"/>
        <v>0</v>
      </c>
      <c r="EA48" s="229">
        <f t="shared" ca="1" si="59"/>
        <v>0</v>
      </c>
      <c r="EB48" s="229">
        <f t="shared" ca="1" si="59"/>
        <v>0</v>
      </c>
      <c r="EC48" s="229">
        <f t="shared" ref="EC48:EG48" ca="1" si="60">EC42</f>
        <v>0</v>
      </c>
      <c r="ED48" s="229">
        <f t="shared" ca="1" si="60"/>
        <v>0</v>
      </c>
      <c r="EE48" s="229">
        <f t="shared" ca="1" si="60"/>
        <v>0</v>
      </c>
      <c r="EF48" s="229">
        <f t="shared" ca="1" si="60"/>
        <v>0</v>
      </c>
      <c r="EG48" s="229">
        <f t="shared" ca="1" si="60"/>
        <v>0</v>
      </c>
    </row>
    <row r="49" spans="1:137" x14ac:dyDescent="0.3">
      <c r="A49" s="241" t="s">
        <v>2475</v>
      </c>
      <c r="B49" s="241"/>
      <c r="C49" s="241"/>
      <c r="D49" s="687"/>
      <c r="E49" s="242">
        <f t="shared" ref="E49:BP49" ca="1" si="61">E60</f>
        <v>0</v>
      </c>
      <c r="F49" s="242">
        <f t="shared" ca="1" si="61"/>
        <v>0</v>
      </c>
      <c r="G49" s="242">
        <f t="shared" ca="1" si="61"/>
        <v>0</v>
      </c>
      <c r="H49" s="242">
        <f t="shared" ca="1" si="61"/>
        <v>0</v>
      </c>
      <c r="I49" s="242">
        <f t="shared" ca="1" si="61"/>
        <v>0</v>
      </c>
      <c r="J49" s="242">
        <f t="shared" ca="1" si="61"/>
        <v>0</v>
      </c>
      <c r="K49" s="242">
        <f t="shared" ca="1" si="61"/>
        <v>0</v>
      </c>
      <c r="L49" s="242">
        <f t="shared" ca="1" si="61"/>
        <v>0</v>
      </c>
      <c r="M49" s="242">
        <f t="shared" ca="1" si="61"/>
        <v>0</v>
      </c>
      <c r="N49" s="242">
        <f t="shared" ca="1" si="61"/>
        <v>0</v>
      </c>
      <c r="O49" s="242">
        <f t="shared" ca="1" si="61"/>
        <v>0</v>
      </c>
      <c r="P49" s="242">
        <f t="shared" ca="1" si="61"/>
        <v>0</v>
      </c>
      <c r="Q49" s="242">
        <f t="shared" ca="1" si="61"/>
        <v>0</v>
      </c>
      <c r="R49" s="242">
        <f t="shared" ca="1" si="61"/>
        <v>0</v>
      </c>
      <c r="S49" s="242">
        <f t="shared" ca="1" si="61"/>
        <v>0</v>
      </c>
      <c r="T49" s="242">
        <f t="shared" ca="1" si="61"/>
        <v>0</v>
      </c>
      <c r="U49" s="242">
        <f t="shared" ca="1" si="61"/>
        <v>0</v>
      </c>
      <c r="V49" s="242">
        <f t="shared" ca="1" si="61"/>
        <v>0</v>
      </c>
      <c r="W49" s="242">
        <f t="shared" ca="1" si="61"/>
        <v>0</v>
      </c>
      <c r="X49" s="242">
        <f t="shared" ca="1" si="61"/>
        <v>0</v>
      </c>
      <c r="Y49" s="242">
        <f t="shared" ca="1" si="61"/>
        <v>0</v>
      </c>
      <c r="Z49" s="242">
        <f t="shared" ca="1" si="61"/>
        <v>0</v>
      </c>
      <c r="AA49" s="242">
        <f t="shared" ca="1" si="61"/>
        <v>0</v>
      </c>
      <c r="AB49" s="242">
        <f t="shared" ca="1" si="61"/>
        <v>0</v>
      </c>
      <c r="AC49" s="242">
        <f t="shared" ca="1" si="61"/>
        <v>-39701.726541082207</v>
      </c>
      <c r="AD49" s="242">
        <f t="shared" ca="1" si="61"/>
        <v>-75897.380147726886</v>
      </c>
      <c r="AE49" s="242">
        <f t="shared" ca="1" si="61"/>
        <v>-117111.83679771089</v>
      </c>
      <c r="AF49" s="242">
        <f t="shared" ca="1" si="61"/>
        <v>-197606.01356017322</v>
      </c>
      <c r="AG49" s="242">
        <f t="shared" ca="1" si="61"/>
        <v>-200887.72104683847</v>
      </c>
      <c r="AH49" s="242">
        <f t="shared" ca="1" si="61"/>
        <v>-202060.55509080735</v>
      </c>
      <c r="AI49" s="242">
        <f t="shared" ca="1" si="61"/>
        <v>-172401.67576785877</v>
      </c>
      <c r="AJ49" s="242">
        <f t="shared" ca="1" si="61"/>
        <v>-174731.72853670808</v>
      </c>
      <c r="AK49" s="242">
        <f t="shared" ca="1" si="61"/>
        <v>-177247.79056307318</v>
      </c>
      <c r="AL49" s="242">
        <f t="shared" ca="1" si="61"/>
        <v>-179754.30209624808</v>
      </c>
      <c r="AM49" s="242">
        <f t="shared" ca="1" si="61"/>
        <v>-182251.09301706479</v>
      </c>
      <c r="AN49" s="242">
        <f t="shared" ca="1" si="61"/>
        <v>-184737.99167472089</v>
      </c>
      <c r="AO49" s="242">
        <f t="shared" ca="1" si="61"/>
        <v>-187214.82487532069</v>
      </c>
      <c r="AP49" s="242">
        <f t="shared" ca="1" si="61"/>
        <v>-188927.9705499119</v>
      </c>
      <c r="AQ49" s="242">
        <f t="shared" ca="1" si="61"/>
        <v>-192138.80825511899</v>
      </c>
      <c r="AR49" s="242">
        <f t="shared" ca="1" si="61"/>
        <v>-194943.1830497584</v>
      </c>
      <c r="AS49" s="242">
        <f t="shared" ca="1" si="61"/>
        <v>-190846.07262484613</v>
      </c>
      <c r="AT49" s="242">
        <f t="shared" ca="1" si="61"/>
        <v>-192515.34381673933</v>
      </c>
      <c r="AU49" s="242">
        <f t="shared" ca="1" si="61"/>
        <v>-194153.75512738939</v>
      </c>
      <c r="AV49" s="242">
        <f t="shared" ca="1" si="61"/>
        <v>-196460.1469807401</v>
      </c>
      <c r="AW49" s="242">
        <f t="shared" ca="1" si="61"/>
        <v>-198695.63406050156</v>
      </c>
      <c r="AX49" s="242">
        <f t="shared" ca="1" si="61"/>
        <v>-200859.59079967643</v>
      </c>
      <c r="AY49" s="242">
        <f t="shared" ca="1" si="61"/>
        <v>-202951.38760644387</v>
      </c>
      <c r="AZ49" s="242">
        <f t="shared" ca="1" si="61"/>
        <v>-204970.39084103913</v>
      </c>
      <c r="BA49" s="242">
        <f t="shared" ca="1" si="61"/>
        <v>-206915.96279250665</v>
      </c>
      <c r="BB49" s="242">
        <f t="shared" ca="1" si="61"/>
        <v>-208234.44155597102</v>
      </c>
      <c r="BC49" s="242">
        <f t="shared" ca="1" si="61"/>
        <v>-210592.60183292444</v>
      </c>
      <c r="BD49" s="242">
        <f t="shared" ca="1" si="61"/>
        <v>-212608.40451015695</v>
      </c>
      <c r="BE49" s="242">
        <f t="shared" ca="1" si="61"/>
        <v>-209172.56403160875</v>
      </c>
      <c r="BF49" s="242">
        <f t="shared" ca="1" si="61"/>
        <v>-210413.12371045238</v>
      </c>
      <c r="BG49" s="242">
        <f t="shared" ca="1" si="61"/>
        <v>-211675.19068384558</v>
      </c>
      <c r="BH49" s="242">
        <f t="shared" ca="1" si="61"/>
        <v>-213492.89930200146</v>
      </c>
      <c r="BI49" s="242">
        <f t="shared" ca="1" si="61"/>
        <v>-215358.77951589701</v>
      </c>
      <c r="BJ49" s="242">
        <f t="shared" ca="1" si="61"/>
        <v>-217273.1636623946</v>
      </c>
      <c r="BK49" s="242">
        <f t="shared" ca="1" si="61"/>
        <v>-219236.38588886344</v>
      </c>
      <c r="BL49" s="242">
        <f t="shared" ca="1" si="61"/>
        <v>-221248.78216209679</v>
      </c>
      <c r="BM49" s="242">
        <f t="shared" ca="1" si="61"/>
        <v>-223310.69027727091</v>
      </c>
      <c r="BN49" s="242">
        <f t="shared" ca="1" si="61"/>
        <v>-224791.46724428562</v>
      </c>
      <c r="BO49" s="242">
        <f t="shared" ca="1" si="61"/>
        <v>-227578.88537624906</v>
      </c>
      <c r="BP49" s="242">
        <f t="shared" ca="1" si="61"/>
        <v>-230064.6768380104</v>
      </c>
      <c r="BQ49" s="242">
        <f t="shared" ref="BQ49:EB49" ca="1" si="62">BQ60</f>
        <v>-226719.99236446855</v>
      </c>
      <c r="BR49" s="242">
        <f t="shared" ca="1" si="62"/>
        <v>-228273.11793294447</v>
      </c>
      <c r="BS49" s="242">
        <f t="shared" ca="1" si="62"/>
        <v>-229830.47188071444</v>
      </c>
      <c r="BT49" s="242">
        <f t="shared" ca="1" si="62"/>
        <v>-232061.82784247448</v>
      </c>
      <c r="BU49" s="242">
        <f t="shared" ca="1" si="62"/>
        <v>-234302.06500288815</v>
      </c>
      <c r="BV49" s="242">
        <f t="shared" ca="1" si="62"/>
        <v>-236551.21927594484</v>
      </c>
      <c r="BW49" s="242">
        <f t="shared" ca="1" si="62"/>
        <v>-238809.32672231592</v>
      </c>
      <c r="BX49" s="242">
        <f t="shared" ca="1" si="62"/>
        <v>-241076.42354995816</v>
      </c>
      <c r="BY49" s="242">
        <f t="shared" ca="1" si="62"/>
        <v>-243352.54611471822</v>
      </c>
      <c r="BZ49" s="242">
        <f t="shared" ca="1" si="62"/>
        <v>-244951.12800998174</v>
      </c>
      <c r="CA49" s="242">
        <f t="shared" ca="1" si="62"/>
        <v>-247931.06539355716</v>
      </c>
      <c r="CB49" s="242">
        <f t="shared" ca="1" si="62"/>
        <v>-250552.87656355815</v>
      </c>
      <c r="CC49" s="242">
        <f t="shared" ca="1" si="62"/>
        <v>-247110.2346443132</v>
      </c>
      <c r="CD49" s="242">
        <f t="shared" ca="1" si="62"/>
        <v>-248726.29889436733</v>
      </c>
      <c r="CE49" s="242">
        <f t="shared" ca="1" si="62"/>
        <v>-250346.76356878303</v>
      </c>
      <c r="CF49" s="242">
        <f t="shared" ca="1" si="62"/>
        <v>-252669.71334968842</v>
      </c>
      <c r="CG49" s="242">
        <f t="shared" ca="1" si="62"/>
        <v>-255001.9130141066</v>
      </c>
      <c r="CH49" s="242">
        <f t="shared" ca="1" si="62"/>
        <v>-257343.39997752351</v>
      </c>
      <c r="CI49" s="242">
        <f t="shared" ca="1" si="62"/>
        <v>-259694.21180826731</v>
      </c>
      <c r="CJ49" s="242">
        <f t="shared" ca="1" si="62"/>
        <v>-262054.38622813544</v>
      </c>
      <c r="CK49" s="242">
        <f t="shared" ca="1" si="62"/>
        <v>-264423.96111302596</v>
      </c>
      <c r="CL49" s="242">
        <f t="shared" ca="1" si="62"/>
        <v>-266087.34915190429</v>
      </c>
      <c r="CM49" s="242">
        <f t="shared" ca="1" si="62"/>
        <v>-269190.47520373861</v>
      </c>
      <c r="CN49" s="242">
        <f t="shared" ca="1" si="62"/>
        <v>-271920.33035331068</v>
      </c>
      <c r="CO49" s="242">
        <f t="shared" ca="1" si="62"/>
        <v>-268376.28657748428</v>
      </c>
      <c r="CP49" s="242">
        <f t="shared" ca="1" si="62"/>
        <v>-270057.86856256978</v>
      </c>
      <c r="CQ49" s="242">
        <f t="shared" ca="1" si="62"/>
        <v>-271744.03008875606</v>
      </c>
      <c r="CR49" s="242">
        <f t="shared" ca="1" si="62"/>
        <v>-274162.36358177086</v>
      </c>
      <c r="CS49" s="242">
        <f t="shared" ca="1" si="62"/>
        <v>-276590.33102572343</v>
      </c>
      <c r="CT49" s="242">
        <f t="shared" ca="1" si="62"/>
        <v>-279027.9714005671</v>
      </c>
      <c r="CU49" s="242">
        <f t="shared" ca="1" si="62"/>
        <v>-281475.32384551584</v>
      </c>
      <c r="CV49" s="242">
        <f t="shared" ca="1" si="62"/>
        <v>-283932.42765969806</v>
      </c>
      <c r="CW49" s="242">
        <f t="shared" ca="1" si="62"/>
        <v>-286399.32230281422</v>
      </c>
      <c r="CX49" s="242">
        <f t="shared" ca="1" si="62"/>
        <v>-288130.1728568729</v>
      </c>
      <c r="CY49" s="242">
        <f t="shared" ca="1" si="62"/>
        <v>-291361.61154992325</v>
      </c>
      <c r="CZ49" s="242">
        <f t="shared" ca="1" si="62"/>
        <v>-294203.99428698316</v>
      </c>
      <c r="DA49" s="242">
        <f t="shared" ca="1" si="62"/>
        <v>-290554.91708580614</v>
      </c>
      <c r="DB49" s="242">
        <f t="shared" ca="1" si="62"/>
        <v>-292304.70243475179</v>
      </c>
      <c r="DC49" s="242">
        <f t="shared" ca="1" si="62"/>
        <v>-294059.25380610646</v>
      </c>
      <c r="DD49" s="242">
        <f t="shared" ca="1" si="62"/>
        <v>-296576.91864922119</v>
      </c>
      <c r="DE49" s="242">
        <f t="shared" ca="1" si="62"/>
        <v>-299104.61753743113</v>
      </c>
      <c r="DF49" s="242">
        <f t="shared" ca="1" si="62"/>
        <v>-301642.39108077507</v>
      </c>
      <c r="DG49" s="242">
        <f t="shared" ca="1" si="62"/>
        <v>-304190.28005523974</v>
      </c>
      <c r="DH49" s="242">
        <f t="shared" ca="1" si="62"/>
        <v>-306748.32540344313</v>
      </c>
      <c r="DI49" s="242">
        <f t="shared" ca="1" si="62"/>
        <v>-309316.56823531887</v>
      </c>
      <c r="DJ49" s="242">
        <f t="shared" ca="1" si="62"/>
        <v>-311117.64747114095</v>
      </c>
      <c r="DK49" s="242">
        <f t="shared" ca="1" si="62"/>
        <v>-314482.73687177029</v>
      </c>
      <c r="DL49" s="242">
        <f t="shared" ca="1" si="62"/>
        <v>-317442.31782351085</v>
      </c>
      <c r="DM49" s="242">
        <f t="shared" ca="1" si="62"/>
        <v>-313684.37300744123</v>
      </c>
      <c r="DN49" s="242">
        <f t="shared" ca="1" si="62"/>
        <v>-315505.15835614328</v>
      </c>
      <c r="DO49" s="242">
        <f t="shared" ca="1" si="62"/>
        <v>-317330.90387823118</v>
      </c>
      <c r="DP49" s="242">
        <f t="shared" ca="1" si="62"/>
        <v>-319952.01204871415</v>
      </c>
      <c r="DQ49" s="242">
        <f t="shared" ca="1" si="62"/>
        <v>-322583.57105639752</v>
      </c>
      <c r="DR49" s="242">
        <f t="shared" ca="1" si="62"/>
        <v>-325225.62320977997</v>
      </c>
      <c r="DS49" s="242">
        <f t="shared" ca="1" si="62"/>
        <v>-327878.21099027898</v>
      </c>
      <c r="DT49" s="242">
        <f t="shared" ca="1" si="62"/>
        <v>-330541.37705294113</v>
      </c>
      <c r="DU49" s="242">
        <f t="shared" ca="1" si="62"/>
        <v>-333215.16422715649</v>
      </c>
      <c r="DV49" s="242">
        <f t="shared" ca="1" si="62"/>
        <v>-335089.3526726726</v>
      </c>
      <c r="DW49" s="242">
        <f t="shared" ca="1" si="62"/>
        <v>-338593.65391544387</v>
      </c>
      <c r="DX49" s="242">
        <f t="shared" ca="1" si="62"/>
        <v>-341675.29855853459</v>
      </c>
      <c r="DY49" s="242">
        <f t="shared" ca="1" si="62"/>
        <v>-337804.43234174023</v>
      </c>
      <c r="DZ49" s="242">
        <f t="shared" ca="1" si="62"/>
        <v>-339699.12994998565</v>
      </c>
      <c r="EA49" s="242">
        <f t="shared" ca="1" si="62"/>
        <v>-341598.98987007153</v>
      </c>
      <c r="EB49" s="242">
        <f t="shared" ca="1" si="62"/>
        <v>-344327.8245552507</v>
      </c>
      <c r="EC49" s="242">
        <f t="shared" ref="EC49:EG49" ca="1" si="63">EC60</f>
        <v>-347067.54426708212</v>
      </c>
      <c r="ED49" s="242">
        <f t="shared" ca="1" si="63"/>
        <v>-349818.19308377476</v>
      </c>
      <c r="EE49" s="242">
        <f t="shared" ca="1" si="63"/>
        <v>-352579.81526956032</v>
      </c>
      <c r="EF49" s="242">
        <f t="shared" ca="1" si="63"/>
        <v>-355352.45523647853</v>
      </c>
      <c r="EG49" s="242">
        <f t="shared" ca="1" si="63"/>
        <v>-358136.15765812411</v>
      </c>
    </row>
    <row r="50" spans="1:137" x14ac:dyDescent="0.3">
      <c r="A50" s="245" t="s">
        <v>843</v>
      </c>
      <c r="B50" s="245"/>
      <c r="C50" s="245"/>
      <c r="D50" s="726"/>
      <c r="E50" s="227">
        <f t="shared" ref="E50:BP50" ca="1" si="64">SUM(E46:E49)</f>
        <v>1684806.2553703375</v>
      </c>
      <c r="F50" s="227">
        <f t="shared" ca="1" si="64"/>
        <v>15378567.592819655</v>
      </c>
      <c r="G50" s="227">
        <f t="shared" ca="1" si="64"/>
        <v>15936480.911729725</v>
      </c>
      <c r="H50" s="227">
        <f t="shared" ca="1" si="64"/>
        <v>16721801.162080949</v>
      </c>
      <c r="I50" s="227">
        <f t="shared" ca="1" si="64"/>
        <v>17969365.788501315</v>
      </c>
      <c r="J50" s="227">
        <f t="shared" ca="1" si="64"/>
        <v>19927611.081024535</v>
      </c>
      <c r="K50" s="227">
        <f t="shared" ca="1" si="64"/>
        <v>21955124.061232414</v>
      </c>
      <c r="L50" s="227">
        <f t="shared" ca="1" si="64"/>
        <v>24510083.913564954</v>
      </c>
      <c r="M50" s="227">
        <f t="shared" ca="1" si="64"/>
        <v>27528014.850566011</v>
      </c>
      <c r="N50" s="227">
        <f t="shared" ca="1" si="64"/>
        <v>31051095.135836091</v>
      </c>
      <c r="O50" s="227">
        <f t="shared" ca="1" si="64"/>
        <v>33179172.448188327</v>
      </c>
      <c r="P50" s="227">
        <f t="shared" ca="1" si="64"/>
        <v>33455665.55192323</v>
      </c>
      <c r="Q50" s="227">
        <f t="shared" ca="1" si="64"/>
        <v>33734462.764855921</v>
      </c>
      <c r="R50" s="227">
        <f t="shared" ca="1" si="64"/>
        <v>34015583.287896387</v>
      </c>
      <c r="S50" s="227">
        <f t="shared" ca="1" si="64"/>
        <v>34299046.481962189</v>
      </c>
      <c r="T50" s="227">
        <f t="shared" ca="1" si="64"/>
        <v>34584871.869311877</v>
      </c>
      <c r="U50" s="227">
        <f t="shared" ca="1" si="64"/>
        <v>34873079.134889476</v>
      </c>
      <c r="V50" s="227">
        <f t="shared" ca="1" si="64"/>
        <v>35163688.12768022</v>
      </c>
      <c r="W50" s="227">
        <f t="shared" ca="1" si="64"/>
        <v>35456718.862077557</v>
      </c>
      <c r="X50" s="227">
        <f t="shared" ca="1" si="64"/>
        <v>35752191.519261539</v>
      </c>
      <c r="Y50" s="227">
        <f t="shared" ca="1" si="64"/>
        <v>36050126.448588721</v>
      </c>
      <c r="Z50" s="227">
        <f t="shared" ca="1" si="64"/>
        <v>36350544.16899363</v>
      </c>
      <c r="AA50" s="227">
        <f t="shared" ca="1" si="64"/>
        <v>36653465.370401911</v>
      </c>
      <c r="AB50" s="227">
        <f t="shared" ca="1" si="64"/>
        <v>36958910.915155262</v>
      </c>
      <c r="AC50" s="227">
        <f t="shared" ca="1" si="64"/>
        <v>37227200.112907141</v>
      </c>
      <c r="AD50" s="227">
        <f t="shared" ca="1" si="64"/>
        <v>37461529.400366977</v>
      </c>
      <c r="AE50" s="227">
        <f t="shared" ca="1" si="64"/>
        <v>37656596.975238986</v>
      </c>
      <c r="AF50" s="227">
        <f t="shared" ca="1" si="64"/>
        <v>37772795.936472468</v>
      </c>
      <c r="AG50" s="227">
        <f t="shared" ca="1" si="64"/>
        <v>37886681.514896236</v>
      </c>
      <c r="AH50" s="227">
        <f t="shared" ca="1" si="64"/>
        <v>38000343.305762894</v>
      </c>
      <c r="AI50" s="227">
        <f t="shared" ca="1" si="64"/>
        <v>38144611.156455725</v>
      </c>
      <c r="AJ50" s="227">
        <f t="shared" ca="1" si="64"/>
        <v>38287751.187556148</v>
      </c>
      <c r="AK50" s="227">
        <f t="shared" ca="1" si="64"/>
        <v>38429567.990222707</v>
      </c>
      <c r="AL50" s="227">
        <f t="shared" ca="1" si="64"/>
        <v>38570060.088044979</v>
      </c>
      <c r="AM50" s="227">
        <f t="shared" ca="1" si="64"/>
        <v>38709226.16242829</v>
      </c>
      <c r="AN50" s="227">
        <f t="shared" ca="1" si="64"/>
        <v>38847065.055440471</v>
      </c>
      <c r="AO50" s="227">
        <f t="shared" ca="1" si="64"/>
        <v>38983575.77269382</v>
      </c>
      <c r="AP50" s="227">
        <f t="shared" ca="1" si="64"/>
        <v>39119510.933583021</v>
      </c>
      <c r="AQ50" s="227">
        <f t="shared" ca="1" si="64"/>
        <v>39253368.049774423</v>
      </c>
      <c r="AR50" s="227">
        <f t="shared" ca="1" si="64"/>
        <v>39385536.26713945</v>
      </c>
      <c r="AS50" s="227">
        <f t="shared" ca="1" si="64"/>
        <v>39522902.996740766</v>
      </c>
      <c r="AT50" s="227">
        <f t="shared" ca="1" si="64"/>
        <v>39659745.177896865</v>
      </c>
      <c r="AU50" s="227">
        <f t="shared" ca="1" si="64"/>
        <v>39796089.299251944</v>
      </c>
      <c r="AV50" s="227">
        <f t="shared" ca="1" si="64"/>
        <v>39931263.229764968</v>
      </c>
      <c r="AW50" s="227">
        <f t="shared" ca="1" si="64"/>
        <v>40065328.122619174</v>
      </c>
      <c r="AX50" s="227">
        <f t="shared" ca="1" si="64"/>
        <v>40198346.266174659</v>
      </c>
      <c r="AY50" s="227">
        <f t="shared" ca="1" si="64"/>
        <v>40330381.097453006</v>
      </c>
      <c r="AZ50" s="227">
        <f t="shared" ca="1" si="64"/>
        <v>40461497.215757407</v>
      </c>
      <c r="BA50" s="227">
        <f t="shared" ca="1" si="64"/>
        <v>40591760.396429546</v>
      </c>
      <c r="BB50" s="227">
        <f t="shared" ca="1" si="64"/>
        <v>40721790.624843821</v>
      </c>
      <c r="BC50" s="227">
        <f t="shared" ca="1" si="64"/>
        <v>40850546.278217927</v>
      </c>
      <c r="BD50" s="227">
        <f t="shared" ca="1" si="64"/>
        <v>40978359.092692919</v>
      </c>
      <c r="BE50" s="227">
        <f t="shared" ca="1" si="64"/>
        <v>41110672.854433753</v>
      </c>
      <c r="BF50" s="227">
        <f t="shared" ca="1" si="64"/>
        <v>41242848.67117691</v>
      </c>
      <c r="BG50" s="227">
        <f t="shared" ca="1" si="64"/>
        <v>41374863.886086203</v>
      </c>
      <c r="BH50" s="227">
        <f t="shared" ca="1" si="64"/>
        <v>41506161.519168258</v>
      </c>
      <c r="BI50" s="227">
        <f t="shared" ca="1" si="64"/>
        <v>41636687.418978758</v>
      </c>
      <c r="BJ50" s="227">
        <f t="shared" ca="1" si="64"/>
        <v>41766386.650474519</v>
      </c>
      <c r="BK50" s="227">
        <f t="shared" ca="1" si="64"/>
        <v>41895203.486672938</v>
      </c>
      <c r="BL50" s="227">
        <f t="shared" ca="1" si="64"/>
        <v>42023081.400233112</v>
      </c>
      <c r="BM50" s="227">
        <f t="shared" ca="1" si="64"/>
        <v>42149963.054957785</v>
      </c>
      <c r="BN50" s="227">
        <f t="shared" ca="1" si="64"/>
        <v>42276421.279838152</v>
      </c>
      <c r="BO50" s="227">
        <f t="shared" ca="1" si="64"/>
        <v>42401145.90512722</v>
      </c>
      <c r="BP50" s="227">
        <f t="shared" ca="1" si="64"/>
        <v>42524424.110831939</v>
      </c>
      <c r="BQ50" s="227">
        <f t="shared" ref="BQ50:EB50" ca="1" si="65">SUM(BQ46:BQ49)</f>
        <v>42652074.319391072</v>
      </c>
      <c r="BR50" s="227">
        <f t="shared" ca="1" si="65"/>
        <v>42779235.154119715</v>
      </c>
      <c r="BS50" s="227">
        <f t="shared" ca="1" si="65"/>
        <v>42905898.308523335</v>
      </c>
      <c r="BT50" s="227">
        <f t="shared" ca="1" si="65"/>
        <v>43031385.633251891</v>
      </c>
      <c r="BU50" s="227">
        <f t="shared" ca="1" si="65"/>
        <v>43155678.448526099</v>
      </c>
      <c r="BV50" s="227">
        <f t="shared" ca="1" si="65"/>
        <v>43278757.882987872</v>
      </c>
      <c r="BW50" s="227">
        <f t="shared" ca="1" si="65"/>
        <v>43400604.871957123</v>
      </c>
      <c r="BX50" s="227">
        <f t="shared" ca="1" si="65"/>
        <v>43521200.155673474</v>
      </c>
      <c r="BY50" s="227">
        <f t="shared" ca="1" si="65"/>
        <v>43640524.277522698</v>
      </c>
      <c r="BZ50" s="227">
        <f t="shared" ca="1" si="65"/>
        <v>43759244.185158737</v>
      </c>
      <c r="CA50" s="227">
        <f t="shared" ca="1" si="65"/>
        <v>43875973.48797483</v>
      </c>
      <c r="CB50" s="227">
        <f t="shared" ca="1" si="65"/>
        <v>43991053.72381106</v>
      </c>
      <c r="CC50" s="227">
        <f t="shared" ca="1" si="65"/>
        <v>44110535.603531837</v>
      </c>
      <c r="CD50" s="227">
        <f t="shared" ca="1" si="65"/>
        <v>44229397.101333566</v>
      </c>
      <c r="CE50" s="227">
        <f t="shared" ca="1" si="65"/>
        <v>44347628.646942563</v>
      </c>
      <c r="CF50" s="227">
        <f t="shared" ca="1" si="65"/>
        <v>44464522.505650736</v>
      </c>
      <c r="CG50" s="227">
        <f t="shared" ca="1" si="65"/>
        <v>44580058.280183718</v>
      </c>
      <c r="CH50" s="227">
        <f t="shared" ca="1" si="65"/>
        <v>44694215.365874395</v>
      </c>
      <c r="CI50" s="227">
        <f t="shared" ca="1" si="65"/>
        <v>44806972.948781751</v>
      </c>
      <c r="CJ50" s="227">
        <f t="shared" ca="1" si="65"/>
        <v>44918310.003793463</v>
      </c>
      <c r="CK50" s="227">
        <f t="shared" ca="1" si="65"/>
        <v>45028205.292712048</v>
      </c>
      <c r="CL50" s="227">
        <f t="shared" ca="1" si="65"/>
        <v>45137352.987666078</v>
      </c>
      <c r="CM50" s="227">
        <f t="shared" ca="1" si="65"/>
        <v>45244307.120692894</v>
      </c>
      <c r="CN50" s="227">
        <f t="shared" ca="1" si="65"/>
        <v>45349422.683012024</v>
      </c>
      <c r="CO50" s="227">
        <f t="shared" ca="1" si="65"/>
        <v>45458958.252126306</v>
      </c>
      <c r="CP50" s="227">
        <f t="shared" ca="1" si="65"/>
        <v>45567725.035664789</v>
      </c>
      <c r="CQ50" s="227">
        <f t="shared" ca="1" si="65"/>
        <v>45675712.047539912</v>
      </c>
      <c r="CR50" s="227">
        <f t="shared" ca="1" si="65"/>
        <v>45782180.617687643</v>
      </c>
      <c r="CS50" s="227">
        <f t="shared" ca="1" si="65"/>
        <v>45887108.458475977</v>
      </c>
      <c r="CT50" s="227">
        <f t="shared" ca="1" si="65"/>
        <v>45990473.057562709</v>
      </c>
      <c r="CU50" s="227">
        <f t="shared" ca="1" si="65"/>
        <v>46092251.675863549</v>
      </c>
      <c r="CV50" s="227">
        <f t="shared" ca="1" si="65"/>
        <v>46192421.345502712</v>
      </c>
      <c r="CW50" s="227">
        <f t="shared" ca="1" si="65"/>
        <v>46290958.867745757</v>
      </c>
      <c r="CX50" s="227">
        <f t="shared" ca="1" si="65"/>
        <v>46388586.68545343</v>
      </c>
      <c r="CY50" s="227">
        <f t="shared" ca="1" si="65"/>
        <v>46483796.62961562</v>
      </c>
      <c r="CZ50" s="227">
        <f t="shared" ca="1" si="65"/>
        <v>46576957.6072421</v>
      </c>
      <c r="DA50" s="227">
        <f t="shared" ca="1" si="65"/>
        <v>46674544.003549978</v>
      </c>
      <c r="DB50" s="227">
        <f t="shared" ca="1" si="65"/>
        <v>46771193.834478147</v>
      </c>
      <c r="DC50" s="227">
        <f t="shared" ca="1" si="65"/>
        <v>46866894.529292695</v>
      </c>
      <c r="DD50" s="227">
        <f t="shared" ca="1" si="65"/>
        <v>46960875.065054245</v>
      </c>
      <c r="DE50" s="227">
        <f t="shared" ca="1" si="65"/>
        <v>47053111.073058933</v>
      </c>
      <c r="DF50" s="227">
        <f t="shared" ca="1" si="65"/>
        <v>47143577.940920316</v>
      </c>
      <c r="DG50" s="227">
        <f t="shared" ca="1" si="65"/>
        <v>47232250.810372747</v>
      </c>
      <c r="DH50" s="227">
        <f t="shared" ca="1" si="65"/>
        <v>47319104.575055845</v>
      </c>
      <c r="DI50" s="227">
        <f t="shared" ca="1" si="65"/>
        <v>47404113.878279574</v>
      </c>
      <c r="DJ50" s="227">
        <f t="shared" ca="1" si="65"/>
        <v>47488030.513127588</v>
      </c>
      <c r="DK50" s="227">
        <f t="shared" ca="1" si="65"/>
        <v>47569281.363865711</v>
      </c>
      <c r="DL50" s="227">
        <f t="shared" ca="1" si="65"/>
        <v>47648249.724074833</v>
      </c>
      <c r="DM50" s="227">
        <f t="shared" ca="1" si="65"/>
        <v>47731634.09876857</v>
      </c>
      <c r="DN50" s="227">
        <f t="shared" ca="1" si="65"/>
        <v>47813892.557902686</v>
      </c>
      <c r="DO50" s="227">
        <f t="shared" ca="1" si="65"/>
        <v>47895010.758674279</v>
      </c>
      <c r="DP50" s="227">
        <f t="shared" ca="1" si="65"/>
        <v>47974183.83628168</v>
      </c>
      <c r="DQ50" s="227">
        <f t="shared" ca="1" si="65"/>
        <v>48051385.130527258</v>
      </c>
      <c r="DR50" s="227">
        <f t="shared" ca="1" si="65"/>
        <v>48126587.716737054</v>
      </c>
      <c r="DS50" s="227">
        <f t="shared" ca="1" si="65"/>
        <v>48199764.403383061</v>
      </c>
      <c r="DT50" s="227">
        <f t="shared" ca="1" si="65"/>
        <v>48270887.729697384</v>
      </c>
      <c r="DU50" s="227">
        <f t="shared" ca="1" si="65"/>
        <v>48339929.963211209</v>
      </c>
      <c r="DV50" s="227">
        <f t="shared" ca="1" si="65"/>
        <v>48407673.360233925</v>
      </c>
      <c r="DW50" s="227">
        <f t="shared" ca="1" si="65"/>
        <v>48472476.984316722</v>
      </c>
      <c r="DX50" s="227">
        <f t="shared" ca="1" si="65"/>
        <v>48534738.993950099</v>
      </c>
      <c r="DY50" s="227">
        <f t="shared" ca="1" si="65"/>
        <v>48601390.719872899</v>
      </c>
      <c r="DZ50" s="227">
        <f t="shared" ca="1" si="65"/>
        <v>48666703.179228574</v>
      </c>
      <c r="EA50" s="227">
        <f t="shared" ca="1" si="65"/>
        <v>48730660.049152389</v>
      </c>
      <c r="EB50" s="227">
        <f t="shared" ca="1" si="65"/>
        <v>48792421.05828055</v>
      </c>
      <c r="EC50" s="227">
        <f t="shared" ref="EC50:EG50" ca="1" si="66">SUM(EC46:EC49)</f>
        <v>48851957.022748798</v>
      </c>
      <c r="ED50" s="227">
        <f t="shared" ca="1" si="66"/>
        <v>48909238.4714192</v>
      </c>
      <c r="EE50" s="227">
        <f t="shared" ca="1" si="66"/>
        <v>48964235.64242994</v>
      </c>
      <c r="EF50" s="227">
        <f t="shared" ca="1" si="66"/>
        <v>49016918.489520431</v>
      </c>
      <c r="EG50" s="227">
        <f t="shared" ca="1" si="66"/>
        <v>49067256.647918135</v>
      </c>
    </row>
    <row r="51" spans="1:137" x14ac:dyDescent="0.3">
      <c r="A51" s="241" t="s">
        <v>2476</v>
      </c>
      <c r="B51" s="241"/>
      <c r="C51" s="241"/>
      <c r="D51" s="687"/>
      <c r="E51" s="299">
        <f t="shared" ref="E51:BP51" si="67">E62</f>
        <v>0</v>
      </c>
      <c r="F51" s="299">
        <f t="shared" si="67"/>
        <v>0</v>
      </c>
      <c r="G51" s="299">
        <f t="shared" si="67"/>
        <v>0</v>
      </c>
      <c r="H51" s="299">
        <f t="shared" si="67"/>
        <v>0</v>
      </c>
      <c r="I51" s="299">
        <f t="shared" si="67"/>
        <v>0</v>
      </c>
      <c r="J51" s="299">
        <f t="shared" si="67"/>
        <v>0</v>
      </c>
      <c r="K51" s="299">
        <f t="shared" si="67"/>
        <v>0</v>
      </c>
      <c r="L51" s="299">
        <f t="shared" si="67"/>
        <v>0</v>
      </c>
      <c r="M51" s="299">
        <f t="shared" si="67"/>
        <v>0</v>
      </c>
      <c r="N51" s="299">
        <f t="shared" si="67"/>
        <v>0</v>
      </c>
      <c r="O51" s="299">
        <f t="shared" si="67"/>
        <v>0</v>
      </c>
      <c r="P51" s="299">
        <f t="shared" si="67"/>
        <v>0</v>
      </c>
      <c r="Q51" s="299">
        <f t="shared" si="67"/>
        <v>0</v>
      </c>
      <c r="R51" s="299">
        <f t="shared" si="67"/>
        <v>0</v>
      </c>
      <c r="S51" s="299">
        <f t="shared" si="67"/>
        <v>0</v>
      </c>
      <c r="T51" s="299">
        <f t="shared" si="67"/>
        <v>0</v>
      </c>
      <c r="U51" s="299">
        <f t="shared" si="67"/>
        <v>0</v>
      </c>
      <c r="V51" s="299">
        <f t="shared" si="67"/>
        <v>0</v>
      </c>
      <c r="W51" s="299">
        <f t="shared" si="67"/>
        <v>0</v>
      </c>
      <c r="X51" s="299">
        <f t="shared" si="67"/>
        <v>0</v>
      </c>
      <c r="Y51" s="299">
        <f t="shared" si="67"/>
        <v>0</v>
      </c>
      <c r="Z51" s="299">
        <f t="shared" si="67"/>
        <v>0</v>
      </c>
      <c r="AA51" s="299">
        <f t="shared" si="67"/>
        <v>0</v>
      </c>
      <c r="AB51" s="299">
        <f t="shared" si="67"/>
        <v>0</v>
      </c>
      <c r="AC51" s="299">
        <f t="shared" si="67"/>
        <v>0</v>
      </c>
      <c r="AD51" s="299">
        <f t="shared" si="67"/>
        <v>0</v>
      </c>
      <c r="AE51" s="299">
        <f t="shared" si="67"/>
        <v>0</v>
      </c>
      <c r="AF51" s="299">
        <f t="shared" si="67"/>
        <v>0</v>
      </c>
      <c r="AG51" s="299">
        <f t="shared" si="67"/>
        <v>0</v>
      </c>
      <c r="AH51" s="299">
        <f t="shared" ca="1" si="67"/>
        <v>-1.0783419013023377E-3</v>
      </c>
      <c r="AI51" s="299">
        <f t="shared" si="67"/>
        <v>0</v>
      </c>
      <c r="AJ51" s="299">
        <f t="shared" si="67"/>
        <v>0</v>
      </c>
      <c r="AK51" s="299">
        <f t="shared" si="67"/>
        <v>0</v>
      </c>
      <c r="AL51" s="299">
        <f t="shared" si="67"/>
        <v>0</v>
      </c>
      <c r="AM51" s="299">
        <f t="shared" si="67"/>
        <v>0</v>
      </c>
      <c r="AN51" s="299">
        <f t="shared" si="67"/>
        <v>0</v>
      </c>
      <c r="AO51" s="299">
        <f t="shared" si="67"/>
        <v>0</v>
      </c>
      <c r="AP51" s="299">
        <f t="shared" si="67"/>
        <v>0</v>
      </c>
      <c r="AQ51" s="299">
        <f t="shared" si="67"/>
        <v>0</v>
      </c>
      <c r="AR51" s="299">
        <f t="shared" si="67"/>
        <v>0</v>
      </c>
      <c r="AS51" s="299">
        <f t="shared" si="67"/>
        <v>0</v>
      </c>
      <c r="AT51" s="299">
        <f t="shared" si="67"/>
        <v>0</v>
      </c>
      <c r="AU51" s="299">
        <f t="shared" si="67"/>
        <v>0</v>
      </c>
      <c r="AV51" s="299">
        <f t="shared" si="67"/>
        <v>0</v>
      </c>
      <c r="AW51" s="299">
        <f t="shared" si="67"/>
        <v>0</v>
      </c>
      <c r="AX51" s="299">
        <f t="shared" si="67"/>
        <v>0</v>
      </c>
      <c r="AY51" s="299">
        <f t="shared" si="67"/>
        <v>0</v>
      </c>
      <c r="AZ51" s="299">
        <f t="shared" si="67"/>
        <v>0</v>
      </c>
      <c r="BA51" s="299">
        <f t="shared" si="67"/>
        <v>0</v>
      </c>
      <c r="BB51" s="299">
        <f t="shared" si="67"/>
        <v>0</v>
      </c>
      <c r="BC51" s="299">
        <f t="shared" si="67"/>
        <v>0</v>
      </c>
      <c r="BD51" s="299">
        <f t="shared" si="67"/>
        <v>0</v>
      </c>
      <c r="BE51" s="299">
        <f t="shared" si="67"/>
        <v>0</v>
      </c>
      <c r="BF51" s="299">
        <f t="shared" si="67"/>
        <v>0</v>
      </c>
      <c r="BG51" s="299">
        <f t="shared" si="67"/>
        <v>0</v>
      </c>
      <c r="BH51" s="299">
        <f t="shared" si="67"/>
        <v>0</v>
      </c>
      <c r="BI51" s="299">
        <f t="shared" si="67"/>
        <v>0</v>
      </c>
      <c r="BJ51" s="299">
        <f t="shared" si="67"/>
        <v>0</v>
      </c>
      <c r="BK51" s="299">
        <f t="shared" si="67"/>
        <v>0</v>
      </c>
      <c r="BL51" s="299">
        <f t="shared" si="67"/>
        <v>0</v>
      </c>
      <c r="BM51" s="299">
        <f t="shared" si="67"/>
        <v>0</v>
      </c>
      <c r="BN51" s="299">
        <f t="shared" si="67"/>
        <v>0</v>
      </c>
      <c r="BO51" s="299">
        <f t="shared" si="67"/>
        <v>0</v>
      </c>
      <c r="BP51" s="299">
        <f t="shared" si="67"/>
        <v>0</v>
      </c>
      <c r="BQ51" s="299">
        <f t="shared" ref="BQ51:EB51" si="68">BQ62</f>
        <v>0</v>
      </c>
      <c r="BR51" s="299">
        <f t="shared" si="68"/>
        <v>0</v>
      </c>
      <c r="BS51" s="299">
        <f t="shared" si="68"/>
        <v>0</v>
      </c>
      <c r="BT51" s="299">
        <f t="shared" si="68"/>
        <v>0</v>
      </c>
      <c r="BU51" s="299">
        <f t="shared" si="68"/>
        <v>0</v>
      </c>
      <c r="BV51" s="299">
        <f t="shared" si="68"/>
        <v>0</v>
      </c>
      <c r="BW51" s="299">
        <f t="shared" si="68"/>
        <v>0</v>
      </c>
      <c r="BX51" s="299">
        <f t="shared" si="68"/>
        <v>0</v>
      </c>
      <c r="BY51" s="299">
        <f t="shared" si="68"/>
        <v>0</v>
      </c>
      <c r="BZ51" s="299">
        <f t="shared" si="68"/>
        <v>0</v>
      </c>
      <c r="CA51" s="299">
        <f t="shared" si="68"/>
        <v>0</v>
      </c>
      <c r="CB51" s="299">
        <f t="shared" si="68"/>
        <v>0</v>
      </c>
      <c r="CC51" s="299">
        <f t="shared" si="68"/>
        <v>0</v>
      </c>
      <c r="CD51" s="299">
        <f t="shared" si="68"/>
        <v>0</v>
      </c>
      <c r="CE51" s="299">
        <f t="shared" si="68"/>
        <v>0</v>
      </c>
      <c r="CF51" s="299">
        <f t="shared" si="68"/>
        <v>0</v>
      </c>
      <c r="CG51" s="299">
        <f t="shared" si="68"/>
        <v>0</v>
      </c>
      <c r="CH51" s="299">
        <f t="shared" si="68"/>
        <v>0</v>
      </c>
      <c r="CI51" s="299">
        <f t="shared" si="68"/>
        <v>0</v>
      </c>
      <c r="CJ51" s="299">
        <f t="shared" si="68"/>
        <v>0</v>
      </c>
      <c r="CK51" s="299">
        <f t="shared" si="68"/>
        <v>0</v>
      </c>
      <c r="CL51" s="299">
        <f t="shared" si="68"/>
        <v>0</v>
      </c>
      <c r="CM51" s="299">
        <f t="shared" si="68"/>
        <v>0</v>
      </c>
      <c r="CN51" s="299">
        <f t="shared" si="68"/>
        <v>0</v>
      </c>
      <c r="CO51" s="299">
        <f t="shared" si="68"/>
        <v>0</v>
      </c>
      <c r="CP51" s="299">
        <f t="shared" si="68"/>
        <v>0</v>
      </c>
      <c r="CQ51" s="299">
        <f t="shared" si="68"/>
        <v>0</v>
      </c>
      <c r="CR51" s="299">
        <f t="shared" si="68"/>
        <v>0</v>
      </c>
      <c r="CS51" s="299">
        <f t="shared" si="68"/>
        <v>0</v>
      </c>
      <c r="CT51" s="299">
        <f t="shared" si="68"/>
        <v>0</v>
      </c>
      <c r="CU51" s="299">
        <f t="shared" si="68"/>
        <v>0</v>
      </c>
      <c r="CV51" s="299">
        <f t="shared" si="68"/>
        <v>0</v>
      </c>
      <c r="CW51" s="299">
        <f t="shared" si="68"/>
        <v>0</v>
      </c>
      <c r="CX51" s="299">
        <f t="shared" si="68"/>
        <v>0</v>
      </c>
      <c r="CY51" s="299">
        <f t="shared" si="68"/>
        <v>0</v>
      </c>
      <c r="CZ51" s="299">
        <f t="shared" si="68"/>
        <v>0</v>
      </c>
      <c r="DA51" s="299">
        <f t="shared" si="68"/>
        <v>0</v>
      </c>
      <c r="DB51" s="299">
        <f t="shared" si="68"/>
        <v>0</v>
      </c>
      <c r="DC51" s="299">
        <f t="shared" si="68"/>
        <v>0</v>
      </c>
      <c r="DD51" s="299">
        <f t="shared" si="68"/>
        <v>0</v>
      </c>
      <c r="DE51" s="299">
        <f t="shared" si="68"/>
        <v>0</v>
      </c>
      <c r="DF51" s="299">
        <f t="shared" si="68"/>
        <v>0</v>
      </c>
      <c r="DG51" s="299">
        <f t="shared" si="68"/>
        <v>0</v>
      </c>
      <c r="DH51" s="299">
        <f t="shared" si="68"/>
        <v>0</v>
      </c>
      <c r="DI51" s="299">
        <f t="shared" si="68"/>
        <v>0</v>
      </c>
      <c r="DJ51" s="299">
        <f t="shared" si="68"/>
        <v>0</v>
      </c>
      <c r="DK51" s="299">
        <f t="shared" si="68"/>
        <v>0</v>
      </c>
      <c r="DL51" s="299">
        <f t="shared" si="68"/>
        <v>0</v>
      </c>
      <c r="DM51" s="299">
        <f t="shared" si="68"/>
        <v>0</v>
      </c>
      <c r="DN51" s="299">
        <f t="shared" si="68"/>
        <v>0</v>
      </c>
      <c r="DO51" s="299">
        <f t="shared" si="68"/>
        <v>0</v>
      </c>
      <c r="DP51" s="299">
        <f t="shared" si="68"/>
        <v>0</v>
      </c>
      <c r="DQ51" s="299">
        <f t="shared" si="68"/>
        <v>0</v>
      </c>
      <c r="DR51" s="299">
        <f t="shared" si="68"/>
        <v>0</v>
      </c>
      <c r="DS51" s="299">
        <f t="shared" si="68"/>
        <v>0</v>
      </c>
      <c r="DT51" s="299">
        <f t="shared" si="68"/>
        <v>0</v>
      </c>
      <c r="DU51" s="299">
        <f t="shared" si="68"/>
        <v>0</v>
      </c>
      <c r="DV51" s="299">
        <f t="shared" si="68"/>
        <v>0</v>
      </c>
      <c r="DW51" s="299">
        <f t="shared" si="68"/>
        <v>0</v>
      </c>
      <c r="DX51" s="299">
        <f t="shared" si="68"/>
        <v>0</v>
      </c>
      <c r="DY51" s="299">
        <f t="shared" si="68"/>
        <v>0</v>
      </c>
      <c r="DZ51" s="299">
        <f t="shared" si="68"/>
        <v>0</v>
      </c>
      <c r="EA51" s="299">
        <f t="shared" si="68"/>
        <v>0</v>
      </c>
      <c r="EB51" s="299">
        <f t="shared" si="68"/>
        <v>0</v>
      </c>
      <c r="EC51" s="299">
        <f t="shared" ref="EC51:EG51" si="69">EC62</f>
        <v>0</v>
      </c>
      <c r="ED51" s="299">
        <f t="shared" si="69"/>
        <v>0</v>
      </c>
      <c r="EE51" s="299">
        <f t="shared" si="69"/>
        <v>0</v>
      </c>
      <c r="EF51" s="299">
        <f t="shared" si="69"/>
        <v>0</v>
      </c>
      <c r="EG51" s="299">
        <f t="shared" si="69"/>
        <v>0</v>
      </c>
    </row>
    <row r="52" spans="1:137" x14ac:dyDescent="0.3">
      <c r="A52" s="245" t="s">
        <v>843</v>
      </c>
      <c r="B52" s="245"/>
      <c r="C52" s="245"/>
      <c r="D52" s="726"/>
      <c r="E52" s="227">
        <f t="shared" ref="E52:BP52" ca="1" si="70">SUM(E50:E51)</f>
        <v>1684806.2553703375</v>
      </c>
      <c r="F52" s="227">
        <f t="shared" ca="1" si="70"/>
        <v>15378567.592819655</v>
      </c>
      <c r="G52" s="227">
        <f t="shared" ca="1" si="70"/>
        <v>15936480.911729725</v>
      </c>
      <c r="H52" s="227">
        <f t="shared" ca="1" si="70"/>
        <v>16721801.162080949</v>
      </c>
      <c r="I52" s="227">
        <f t="shared" ca="1" si="70"/>
        <v>17969365.788501315</v>
      </c>
      <c r="J52" s="227">
        <f t="shared" ca="1" si="70"/>
        <v>19927611.081024535</v>
      </c>
      <c r="K52" s="227">
        <f t="shared" ca="1" si="70"/>
        <v>21955124.061232414</v>
      </c>
      <c r="L52" s="227">
        <f t="shared" ca="1" si="70"/>
        <v>24510083.913564954</v>
      </c>
      <c r="M52" s="227">
        <f t="shared" ca="1" si="70"/>
        <v>27528014.850566011</v>
      </c>
      <c r="N52" s="227">
        <f t="shared" ca="1" si="70"/>
        <v>31051095.135836091</v>
      </c>
      <c r="O52" s="227">
        <f t="shared" ca="1" si="70"/>
        <v>33179172.448188327</v>
      </c>
      <c r="P52" s="227">
        <f t="shared" ca="1" si="70"/>
        <v>33455665.55192323</v>
      </c>
      <c r="Q52" s="227">
        <f t="shared" ca="1" si="70"/>
        <v>33734462.764855921</v>
      </c>
      <c r="R52" s="227">
        <f t="shared" ca="1" si="70"/>
        <v>34015583.287896387</v>
      </c>
      <c r="S52" s="227">
        <f t="shared" ca="1" si="70"/>
        <v>34299046.481962189</v>
      </c>
      <c r="T52" s="227">
        <f t="shared" ca="1" si="70"/>
        <v>34584871.869311877</v>
      </c>
      <c r="U52" s="227">
        <f t="shared" ca="1" si="70"/>
        <v>34873079.134889476</v>
      </c>
      <c r="V52" s="227">
        <f t="shared" ca="1" si="70"/>
        <v>35163688.12768022</v>
      </c>
      <c r="W52" s="227">
        <f t="shared" ca="1" si="70"/>
        <v>35456718.862077557</v>
      </c>
      <c r="X52" s="227">
        <f t="shared" ca="1" si="70"/>
        <v>35752191.519261539</v>
      </c>
      <c r="Y52" s="227">
        <f t="shared" ca="1" si="70"/>
        <v>36050126.448588721</v>
      </c>
      <c r="Z52" s="227">
        <f t="shared" ca="1" si="70"/>
        <v>36350544.16899363</v>
      </c>
      <c r="AA52" s="227">
        <f t="shared" ca="1" si="70"/>
        <v>36653465.370401911</v>
      </c>
      <c r="AB52" s="227">
        <f t="shared" ca="1" si="70"/>
        <v>36958910.915155262</v>
      </c>
      <c r="AC52" s="227">
        <f t="shared" ca="1" si="70"/>
        <v>37227200.112907141</v>
      </c>
      <c r="AD52" s="227">
        <f t="shared" ca="1" si="70"/>
        <v>37461529.400366977</v>
      </c>
      <c r="AE52" s="227">
        <f t="shared" ca="1" si="70"/>
        <v>37656596.975238986</v>
      </c>
      <c r="AF52" s="227">
        <f t="shared" ca="1" si="70"/>
        <v>37772795.936472468</v>
      </c>
      <c r="AG52" s="227">
        <f t="shared" ca="1" si="70"/>
        <v>37886681.514896236</v>
      </c>
      <c r="AH52" s="227">
        <f t="shared" ca="1" si="70"/>
        <v>38000343.30468455</v>
      </c>
      <c r="AI52" s="227">
        <f t="shared" ca="1" si="70"/>
        <v>38144611.156455725</v>
      </c>
      <c r="AJ52" s="227">
        <f t="shared" ca="1" si="70"/>
        <v>38287751.187556148</v>
      </c>
      <c r="AK52" s="227">
        <f t="shared" ca="1" si="70"/>
        <v>38429567.990222707</v>
      </c>
      <c r="AL52" s="227">
        <f t="shared" ca="1" si="70"/>
        <v>38570060.088044979</v>
      </c>
      <c r="AM52" s="227">
        <f t="shared" ca="1" si="70"/>
        <v>38709226.16242829</v>
      </c>
      <c r="AN52" s="227">
        <f t="shared" ca="1" si="70"/>
        <v>38847065.055440471</v>
      </c>
      <c r="AO52" s="227">
        <f t="shared" ca="1" si="70"/>
        <v>38983575.77269382</v>
      </c>
      <c r="AP52" s="227">
        <f t="shared" ca="1" si="70"/>
        <v>39119510.933583021</v>
      </c>
      <c r="AQ52" s="227">
        <f t="shared" ca="1" si="70"/>
        <v>39253368.049774423</v>
      </c>
      <c r="AR52" s="227">
        <f t="shared" ca="1" si="70"/>
        <v>39385536.26713945</v>
      </c>
      <c r="AS52" s="227">
        <f t="shared" ca="1" si="70"/>
        <v>39522902.996740766</v>
      </c>
      <c r="AT52" s="227">
        <f t="shared" ca="1" si="70"/>
        <v>39659745.177896865</v>
      </c>
      <c r="AU52" s="227">
        <f t="shared" ca="1" si="70"/>
        <v>39796089.299251944</v>
      </c>
      <c r="AV52" s="227">
        <f t="shared" ca="1" si="70"/>
        <v>39931263.229764968</v>
      </c>
      <c r="AW52" s="227">
        <f t="shared" ca="1" si="70"/>
        <v>40065328.122619174</v>
      </c>
      <c r="AX52" s="227">
        <f t="shared" ca="1" si="70"/>
        <v>40198346.266174659</v>
      </c>
      <c r="AY52" s="227">
        <f t="shared" ca="1" si="70"/>
        <v>40330381.097453006</v>
      </c>
      <c r="AZ52" s="227">
        <f t="shared" ca="1" si="70"/>
        <v>40461497.215757407</v>
      </c>
      <c r="BA52" s="227">
        <f t="shared" ca="1" si="70"/>
        <v>40591760.396429546</v>
      </c>
      <c r="BB52" s="227">
        <f t="shared" ca="1" si="70"/>
        <v>40721790.624843821</v>
      </c>
      <c r="BC52" s="227">
        <f t="shared" ca="1" si="70"/>
        <v>40850546.278217927</v>
      </c>
      <c r="BD52" s="227">
        <f t="shared" ca="1" si="70"/>
        <v>40978359.092692919</v>
      </c>
      <c r="BE52" s="227">
        <f t="shared" ca="1" si="70"/>
        <v>41110672.854433753</v>
      </c>
      <c r="BF52" s="227">
        <f t="shared" ca="1" si="70"/>
        <v>41242848.67117691</v>
      </c>
      <c r="BG52" s="227">
        <f t="shared" ca="1" si="70"/>
        <v>41374863.886086203</v>
      </c>
      <c r="BH52" s="227">
        <f t="shared" ca="1" si="70"/>
        <v>41506161.519168258</v>
      </c>
      <c r="BI52" s="227">
        <f t="shared" ca="1" si="70"/>
        <v>41636687.418978758</v>
      </c>
      <c r="BJ52" s="227">
        <f t="shared" ca="1" si="70"/>
        <v>41766386.650474519</v>
      </c>
      <c r="BK52" s="227">
        <f t="shared" ca="1" si="70"/>
        <v>41895203.486672938</v>
      </c>
      <c r="BL52" s="227">
        <f t="shared" ca="1" si="70"/>
        <v>42023081.400233112</v>
      </c>
      <c r="BM52" s="227">
        <f t="shared" ca="1" si="70"/>
        <v>42149963.054957785</v>
      </c>
      <c r="BN52" s="227">
        <f t="shared" ca="1" si="70"/>
        <v>42276421.279838152</v>
      </c>
      <c r="BO52" s="227">
        <f t="shared" ca="1" si="70"/>
        <v>42401145.90512722</v>
      </c>
      <c r="BP52" s="227">
        <f t="shared" ca="1" si="70"/>
        <v>42524424.110831939</v>
      </c>
      <c r="BQ52" s="227">
        <f t="shared" ref="BQ52:EB52" ca="1" si="71">SUM(BQ50:BQ51)</f>
        <v>42652074.319391072</v>
      </c>
      <c r="BR52" s="227">
        <f t="shared" ca="1" si="71"/>
        <v>42779235.154119715</v>
      </c>
      <c r="BS52" s="227">
        <f t="shared" ca="1" si="71"/>
        <v>42905898.308523335</v>
      </c>
      <c r="BT52" s="227">
        <f t="shared" ca="1" si="71"/>
        <v>43031385.633251891</v>
      </c>
      <c r="BU52" s="227">
        <f t="shared" ca="1" si="71"/>
        <v>43155678.448526099</v>
      </c>
      <c r="BV52" s="227">
        <f t="shared" ca="1" si="71"/>
        <v>43278757.882987872</v>
      </c>
      <c r="BW52" s="227">
        <f t="shared" ca="1" si="71"/>
        <v>43400604.871957123</v>
      </c>
      <c r="BX52" s="227">
        <f t="shared" ca="1" si="71"/>
        <v>43521200.155673474</v>
      </c>
      <c r="BY52" s="227">
        <f t="shared" ca="1" si="71"/>
        <v>43640524.277522698</v>
      </c>
      <c r="BZ52" s="227">
        <f t="shared" ca="1" si="71"/>
        <v>43759244.185158737</v>
      </c>
      <c r="CA52" s="227">
        <f t="shared" ca="1" si="71"/>
        <v>43875973.48797483</v>
      </c>
      <c r="CB52" s="227">
        <f t="shared" ca="1" si="71"/>
        <v>43991053.72381106</v>
      </c>
      <c r="CC52" s="227">
        <f t="shared" ca="1" si="71"/>
        <v>44110535.603531837</v>
      </c>
      <c r="CD52" s="227">
        <f t="shared" ca="1" si="71"/>
        <v>44229397.101333566</v>
      </c>
      <c r="CE52" s="227">
        <f t="shared" ca="1" si="71"/>
        <v>44347628.646942563</v>
      </c>
      <c r="CF52" s="227">
        <f t="shared" ca="1" si="71"/>
        <v>44464522.505650736</v>
      </c>
      <c r="CG52" s="227">
        <f t="shared" ca="1" si="71"/>
        <v>44580058.280183718</v>
      </c>
      <c r="CH52" s="227">
        <f t="shared" ca="1" si="71"/>
        <v>44694215.365874395</v>
      </c>
      <c r="CI52" s="227">
        <f t="shared" ca="1" si="71"/>
        <v>44806972.948781751</v>
      </c>
      <c r="CJ52" s="227">
        <f t="shared" ca="1" si="71"/>
        <v>44918310.003793463</v>
      </c>
      <c r="CK52" s="227">
        <f t="shared" ca="1" si="71"/>
        <v>45028205.292712048</v>
      </c>
      <c r="CL52" s="227">
        <f t="shared" ca="1" si="71"/>
        <v>45137352.987666078</v>
      </c>
      <c r="CM52" s="227">
        <f t="shared" ca="1" si="71"/>
        <v>45244307.120692894</v>
      </c>
      <c r="CN52" s="227">
        <f t="shared" ca="1" si="71"/>
        <v>45349422.683012024</v>
      </c>
      <c r="CO52" s="227">
        <f t="shared" ca="1" si="71"/>
        <v>45458958.252126306</v>
      </c>
      <c r="CP52" s="227">
        <f t="shared" ca="1" si="71"/>
        <v>45567725.035664789</v>
      </c>
      <c r="CQ52" s="227">
        <f t="shared" ca="1" si="71"/>
        <v>45675712.047539912</v>
      </c>
      <c r="CR52" s="227">
        <f t="shared" ca="1" si="71"/>
        <v>45782180.617687643</v>
      </c>
      <c r="CS52" s="227">
        <f t="shared" ca="1" si="71"/>
        <v>45887108.458475977</v>
      </c>
      <c r="CT52" s="227">
        <f t="shared" ca="1" si="71"/>
        <v>45990473.057562709</v>
      </c>
      <c r="CU52" s="227">
        <f t="shared" ca="1" si="71"/>
        <v>46092251.675863549</v>
      </c>
      <c r="CV52" s="227">
        <f t="shared" ca="1" si="71"/>
        <v>46192421.345502712</v>
      </c>
      <c r="CW52" s="227">
        <f t="shared" ca="1" si="71"/>
        <v>46290958.867745757</v>
      </c>
      <c r="CX52" s="227">
        <f t="shared" ca="1" si="71"/>
        <v>46388586.68545343</v>
      </c>
      <c r="CY52" s="227">
        <f t="shared" ca="1" si="71"/>
        <v>46483796.62961562</v>
      </c>
      <c r="CZ52" s="227">
        <f t="shared" ca="1" si="71"/>
        <v>46576957.6072421</v>
      </c>
      <c r="DA52" s="227">
        <f t="shared" ca="1" si="71"/>
        <v>46674544.003549978</v>
      </c>
      <c r="DB52" s="227">
        <f t="shared" ca="1" si="71"/>
        <v>46771193.834478147</v>
      </c>
      <c r="DC52" s="227">
        <f t="shared" ca="1" si="71"/>
        <v>46866894.529292695</v>
      </c>
      <c r="DD52" s="227">
        <f t="shared" ca="1" si="71"/>
        <v>46960875.065054245</v>
      </c>
      <c r="DE52" s="227">
        <f t="shared" ca="1" si="71"/>
        <v>47053111.073058933</v>
      </c>
      <c r="DF52" s="227">
        <f t="shared" ca="1" si="71"/>
        <v>47143577.940920316</v>
      </c>
      <c r="DG52" s="227">
        <f t="shared" ca="1" si="71"/>
        <v>47232250.810372747</v>
      </c>
      <c r="DH52" s="227">
        <f t="shared" ca="1" si="71"/>
        <v>47319104.575055845</v>
      </c>
      <c r="DI52" s="227">
        <f t="shared" ca="1" si="71"/>
        <v>47404113.878279574</v>
      </c>
      <c r="DJ52" s="227">
        <f t="shared" ca="1" si="71"/>
        <v>47488030.513127588</v>
      </c>
      <c r="DK52" s="227">
        <f t="shared" ca="1" si="71"/>
        <v>47569281.363865711</v>
      </c>
      <c r="DL52" s="227">
        <f t="shared" ca="1" si="71"/>
        <v>47648249.724074833</v>
      </c>
      <c r="DM52" s="227">
        <f t="shared" ca="1" si="71"/>
        <v>47731634.09876857</v>
      </c>
      <c r="DN52" s="227">
        <f t="shared" ca="1" si="71"/>
        <v>47813892.557902686</v>
      </c>
      <c r="DO52" s="227">
        <f t="shared" ca="1" si="71"/>
        <v>47895010.758674279</v>
      </c>
      <c r="DP52" s="227">
        <f t="shared" ca="1" si="71"/>
        <v>47974183.83628168</v>
      </c>
      <c r="DQ52" s="227">
        <f t="shared" ca="1" si="71"/>
        <v>48051385.130527258</v>
      </c>
      <c r="DR52" s="227">
        <f t="shared" ca="1" si="71"/>
        <v>48126587.716737054</v>
      </c>
      <c r="DS52" s="227">
        <f t="shared" ca="1" si="71"/>
        <v>48199764.403383061</v>
      </c>
      <c r="DT52" s="227">
        <f t="shared" ca="1" si="71"/>
        <v>48270887.729697384</v>
      </c>
      <c r="DU52" s="227">
        <f t="shared" ca="1" si="71"/>
        <v>48339929.963211209</v>
      </c>
      <c r="DV52" s="227">
        <f t="shared" ca="1" si="71"/>
        <v>48407673.360233925</v>
      </c>
      <c r="DW52" s="227">
        <f t="shared" ca="1" si="71"/>
        <v>48472476.984316722</v>
      </c>
      <c r="DX52" s="227">
        <f t="shared" ca="1" si="71"/>
        <v>48534738.993950099</v>
      </c>
      <c r="DY52" s="227">
        <f t="shared" ca="1" si="71"/>
        <v>48601390.719872899</v>
      </c>
      <c r="DZ52" s="227">
        <f t="shared" ca="1" si="71"/>
        <v>48666703.179228574</v>
      </c>
      <c r="EA52" s="227">
        <f t="shared" ca="1" si="71"/>
        <v>48730660.049152389</v>
      </c>
      <c r="EB52" s="227">
        <f t="shared" ca="1" si="71"/>
        <v>48792421.05828055</v>
      </c>
      <c r="EC52" s="227">
        <f ca="1">SUM(EC50:EC51)</f>
        <v>48851957.022748798</v>
      </c>
      <c r="ED52" s="227">
        <f ca="1">SUM(ED50:ED51)</f>
        <v>48909238.4714192</v>
      </c>
      <c r="EE52" s="227">
        <f ca="1">SUM(EE50:EE51)</f>
        <v>48964235.64242994</v>
      </c>
      <c r="EF52" s="227">
        <f ca="1">SUM(EF50:EF51)</f>
        <v>49016918.489520431</v>
      </c>
      <c r="EG52" s="227">
        <f ca="1">SUM(EG50:EG51)</f>
        <v>49067256.647918135</v>
      </c>
    </row>
    <row r="53" spans="1:137" x14ac:dyDescent="0.3">
      <c r="A53" t="s">
        <v>2477</v>
      </c>
      <c r="E53" s="227">
        <f t="shared" ref="E53:BP53" si="72">E138</f>
        <v>0</v>
      </c>
      <c r="F53" s="227">
        <f t="shared" si="72"/>
        <v>0</v>
      </c>
      <c r="G53" s="227">
        <f t="shared" si="72"/>
        <v>0</v>
      </c>
      <c r="H53" s="227">
        <f t="shared" si="72"/>
        <v>0</v>
      </c>
      <c r="I53" s="227">
        <f t="shared" si="72"/>
        <v>0</v>
      </c>
      <c r="J53" s="227">
        <f t="shared" si="72"/>
        <v>0</v>
      </c>
      <c r="K53" s="227">
        <f t="shared" si="72"/>
        <v>0</v>
      </c>
      <c r="L53" s="227">
        <f t="shared" si="72"/>
        <v>0</v>
      </c>
      <c r="M53" s="227">
        <f t="shared" si="72"/>
        <v>0</v>
      </c>
      <c r="N53" s="227">
        <f t="shared" si="72"/>
        <v>0</v>
      </c>
      <c r="O53" s="227">
        <f t="shared" si="72"/>
        <v>0</v>
      </c>
      <c r="P53" s="227">
        <f t="shared" si="72"/>
        <v>0</v>
      </c>
      <c r="Q53" s="227">
        <f t="shared" si="72"/>
        <v>0</v>
      </c>
      <c r="R53" s="227">
        <f t="shared" si="72"/>
        <v>0</v>
      </c>
      <c r="S53" s="227">
        <f t="shared" si="72"/>
        <v>0</v>
      </c>
      <c r="T53" s="227">
        <f t="shared" si="72"/>
        <v>0</v>
      </c>
      <c r="U53" s="227">
        <f t="shared" si="72"/>
        <v>0</v>
      </c>
      <c r="V53" s="227">
        <f t="shared" si="72"/>
        <v>0</v>
      </c>
      <c r="W53" s="227">
        <f t="shared" si="72"/>
        <v>0</v>
      </c>
      <c r="X53" s="227">
        <f t="shared" si="72"/>
        <v>0</v>
      </c>
      <c r="Y53" s="227">
        <f t="shared" si="72"/>
        <v>0</v>
      </c>
      <c r="Z53" s="227">
        <f t="shared" si="72"/>
        <v>0</v>
      </c>
      <c r="AA53" s="227">
        <f t="shared" si="72"/>
        <v>0</v>
      </c>
      <c r="AB53" s="227">
        <f t="shared" si="72"/>
        <v>0</v>
      </c>
      <c r="AC53" s="227">
        <f t="shared" si="72"/>
        <v>0</v>
      </c>
      <c r="AD53" s="227">
        <f t="shared" si="72"/>
        <v>0</v>
      </c>
      <c r="AE53" s="227">
        <f t="shared" si="72"/>
        <v>0</v>
      </c>
      <c r="AF53" s="227">
        <f t="shared" si="72"/>
        <v>0</v>
      </c>
      <c r="AG53" s="227">
        <f t="shared" si="72"/>
        <v>0</v>
      </c>
      <c r="AH53" s="227">
        <f t="shared" ca="1" si="72"/>
        <v>0</v>
      </c>
      <c r="AI53" s="227">
        <f t="shared" si="72"/>
        <v>0</v>
      </c>
      <c r="AJ53" s="227">
        <f t="shared" si="72"/>
        <v>0</v>
      </c>
      <c r="AK53" s="227">
        <f t="shared" si="72"/>
        <v>0</v>
      </c>
      <c r="AL53" s="227">
        <f t="shared" si="72"/>
        <v>0</v>
      </c>
      <c r="AM53" s="227">
        <f t="shared" si="72"/>
        <v>0</v>
      </c>
      <c r="AN53" s="227">
        <f t="shared" si="72"/>
        <v>0</v>
      </c>
      <c r="AO53" s="227">
        <f t="shared" si="72"/>
        <v>0</v>
      </c>
      <c r="AP53" s="227">
        <f t="shared" si="72"/>
        <v>0</v>
      </c>
      <c r="AQ53" s="227">
        <f t="shared" si="72"/>
        <v>0</v>
      </c>
      <c r="AR53" s="227">
        <f t="shared" si="72"/>
        <v>0</v>
      </c>
      <c r="AS53" s="227">
        <f t="shared" si="72"/>
        <v>0</v>
      </c>
      <c r="AT53" s="227">
        <f t="shared" si="72"/>
        <v>0</v>
      </c>
      <c r="AU53" s="227">
        <f t="shared" si="72"/>
        <v>0</v>
      </c>
      <c r="AV53" s="227">
        <f t="shared" si="72"/>
        <v>0</v>
      </c>
      <c r="AW53" s="227">
        <f t="shared" si="72"/>
        <v>0</v>
      </c>
      <c r="AX53" s="227">
        <f t="shared" si="72"/>
        <v>0</v>
      </c>
      <c r="AY53" s="227">
        <f t="shared" si="72"/>
        <v>0</v>
      </c>
      <c r="AZ53" s="227">
        <f t="shared" si="72"/>
        <v>0</v>
      </c>
      <c r="BA53" s="227">
        <f t="shared" si="72"/>
        <v>0</v>
      </c>
      <c r="BB53" s="227">
        <f t="shared" si="72"/>
        <v>0</v>
      </c>
      <c r="BC53" s="227">
        <f t="shared" si="72"/>
        <v>0</v>
      </c>
      <c r="BD53" s="227">
        <f t="shared" si="72"/>
        <v>0</v>
      </c>
      <c r="BE53" s="227">
        <f t="shared" si="72"/>
        <v>0</v>
      </c>
      <c r="BF53" s="227">
        <f t="shared" si="72"/>
        <v>0</v>
      </c>
      <c r="BG53" s="227">
        <f t="shared" si="72"/>
        <v>0</v>
      </c>
      <c r="BH53" s="227">
        <f t="shared" si="72"/>
        <v>0</v>
      </c>
      <c r="BI53" s="227">
        <f t="shared" si="72"/>
        <v>0</v>
      </c>
      <c r="BJ53" s="227">
        <f t="shared" si="72"/>
        <v>0</v>
      </c>
      <c r="BK53" s="227">
        <f t="shared" si="72"/>
        <v>0</v>
      </c>
      <c r="BL53" s="227">
        <f t="shared" si="72"/>
        <v>0</v>
      </c>
      <c r="BM53" s="227">
        <f t="shared" si="72"/>
        <v>0</v>
      </c>
      <c r="BN53" s="227">
        <f t="shared" si="72"/>
        <v>0</v>
      </c>
      <c r="BO53" s="227">
        <f t="shared" si="72"/>
        <v>0</v>
      </c>
      <c r="BP53" s="227">
        <f t="shared" si="72"/>
        <v>0</v>
      </c>
      <c r="BQ53" s="227">
        <f t="shared" ref="BQ53:EB53" si="73">BQ138</f>
        <v>0</v>
      </c>
      <c r="BR53" s="227">
        <f t="shared" si="73"/>
        <v>0</v>
      </c>
      <c r="BS53" s="227">
        <f t="shared" si="73"/>
        <v>0</v>
      </c>
      <c r="BT53" s="227">
        <f t="shared" si="73"/>
        <v>0</v>
      </c>
      <c r="BU53" s="227">
        <f t="shared" si="73"/>
        <v>0</v>
      </c>
      <c r="BV53" s="227">
        <f t="shared" si="73"/>
        <v>0</v>
      </c>
      <c r="BW53" s="227">
        <f t="shared" si="73"/>
        <v>0</v>
      </c>
      <c r="BX53" s="227">
        <f t="shared" si="73"/>
        <v>0</v>
      </c>
      <c r="BY53" s="227">
        <f t="shared" si="73"/>
        <v>0</v>
      </c>
      <c r="BZ53" s="227">
        <f t="shared" si="73"/>
        <v>0</v>
      </c>
      <c r="CA53" s="227">
        <f t="shared" si="73"/>
        <v>0</v>
      </c>
      <c r="CB53" s="227">
        <f t="shared" si="73"/>
        <v>0</v>
      </c>
      <c r="CC53" s="227">
        <f t="shared" si="73"/>
        <v>0</v>
      </c>
      <c r="CD53" s="227">
        <f t="shared" si="73"/>
        <v>0</v>
      </c>
      <c r="CE53" s="227">
        <f t="shared" si="73"/>
        <v>0</v>
      </c>
      <c r="CF53" s="227">
        <f t="shared" si="73"/>
        <v>0</v>
      </c>
      <c r="CG53" s="227">
        <f t="shared" si="73"/>
        <v>0</v>
      </c>
      <c r="CH53" s="227">
        <f t="shared" si="73"/>
        <v>0</v>
      </c>
      <c r="CI53" s="227">
        <f t="shared" si="73"/>
        <v>0</v>
      </c>
      <c r="CJ53" s="227">
        <f t="shared" si="73"/>
        <v>0</v>
      </c>
      <c r="CK53" s="227">
        <f t="shared" si="73"/>
        <v>0</v>
      </c>
      <c r="CL53" s="227">
        <f t="shared" si="73"/>
        <v>0</v>
      </c>
      <c r="CM53" s="227">
        <f t="shared" si="73"/>
        <v>0</v>
      </c>
      <c r="CN53" s="227">
        <f t="shared" si="73"/>
        <v>0</v>
      </c>
      <c r="CO53" s="227">
        <f t="shared" si="73"/>
        <v>0</v>
      </c>
      <c r="CP53" s="227">
        <f t="shared" si="73"/>
        <v>0</v>
      </c>
      <c r="CQ53" s="227">
        <f t="shared" si="73"/>
        <v>0</v>
      </c>
      <c r="CR53" s="227">
        <f t="shared" si="73"/>
        <v>0</v>
      </c>
      <c r="CS53" s="227">
        <f t="shared" si="73"/>
        <v>0</v>
      </c>
      <c r="CT53" s="227">
        <f t="shared" si="73"/>
        <v>0</v>
      </c>
      <c r="CU53" s="227">
        <f t="shared" si="73"/>
        <v>0</v>
      </c>
      <c r="CV53" s="227">
        <f t="shared" si="73"/>
        <v>0</v>
      </c>
      <c r="CW53" s="227">
        <f t="shared" si="73"/>
        <v>0</v>
      </c>
      <c r="CX53" s="227">
        <f t="shared" si="73"/>
        <v>0</v>
      </c>
      <c r="CY53" s="227">
        <f t="shared" si="73"/>
        <v>0</v>
      </c>
      <c r="CZ53" s="227">
        <f t="shared" si="73"/>
        <v>0</v>
      </c>
      <c r="DA53" s="227">
        <f t="shared" si="73"/>
        <v>0</v>
      </c>
      <c r="DB53" s="227">
        <f t="shared" si="73"/>
        <v>0</v>
      </c>
      <c r="DC53" s="227">
        <f t="shared" si="73"/>
        <v>0</v>
      </c>
      <c r="DD53" s="227">
        <f t="shared" si="73"/>
        <v>0</v>
      </c>
      <c r="DE53" s="227">
        <f t="shared" si="73"/>
        <v>0</v>
      </c>
      <c r="DF53" s="227">
        <f t="shared" si="73"/>
        <v>0</v>
      </c>
      <c r="DG53" s="227">
        <f t="shared" si="73"/>
        <v>0</v>
      </c>
      <c r="DH53" s="227">
        <f t="shared" si="73"/>
        <v>0</v>
      </c>
      <c r="DI53" s="227">
        <f t="shared" si="73"/>
        <v>0</v>
      </c>
      <c r="DJ53" s="227">
        <f t="shared" si="73"/>
        <v>0</v>
      </c>
      <c r="DK53" s="227">
        <f t="shared" si="73"/>
        <v>0</v>
      </c>
      <c r="DL53" s="227">
        <f t="shared" si="73"/>
        <v>0</v>
      </c>
      <c r="DM53" s="227">
        <f t="shared" si="73"/>
        <v>0</v>
      </c>
      <c r="DN53" s="227">
        <f t="shared" si="73"/>
        <v>0</v>
      </c>
      <c r="DO53" s="227">
        <f t="shared" si="73"/>
        <v>0</v>
      </c>
      <c r="DP53" s="227">
        <f t="shared" si="73"/>
        <v>0</v>
      </c>
      <c r="DQ53" s="227">
        <f t="shared" si="73"/>
        <v>0</v>
      </c>
      <c r="DR53" s="227">
        <f t="shared" si="73"/>
        <v>0</v>
      </c>
      <c r="DS53" s="227">
        <f t="shared" si="73"/>
        <v>0</v>
      </c>
      <c r="DT53" s="227">
        <f t="shared" si="73"/>
        <v>0</v>
      </c>
      <c r="DU53" s="227">
        <f t="shared" si="73"/>
        <v>0</v>
      </c>
      <c r="DV53" s="227">
        <f t="shared" si="73"/>
        <v>0</v>
      </c>
      <c r="DW53" s="227">
        <f t="shared" si="73"/>
        <v>0</v>
      </c>
      <c r="DX53" s="227">
        <f t="shared" si="73"/>
        <v>0</v>
      </c>
      <c r="DY53" s="227">
        <f t="shared" si="73"/>
        <v>0</v>
      </c>
      <c r="DZ53" s="227">
        <f t="shared" si="73"/>
        <v>0</v>
      </c>
      <c r="EA53" s="227">
        <f t="shared" si="73"/>
        <v>0</v>
      </c>
      <c r="EB53" s="227">
        <f t="shared" si="73"/>
        <v>0</v>
      </c>
      <c r="EC53" s="227">
        <f t="shared" ref="EC53:EG53" si="74">EC138</f>
        <v>0</v>
      </c>
      <c r="ED53" s="227">
        <f t="shared" si="74"/>
        <v>0</v>
      </c>
      <c r="EE53" s="227">
        <f t="shared" si="74"/>
        <v>0</v>
      </c>
      <c r="EF53" s="227">
        <f t="shared" si="74"/>
        <v>0</v>
      </c>
      <c r="EG53" s="227">
        <f t="shared" si="74"/>
        <v>0</v>
      </c>
    </row>
    <row r="54" spans="1:137" ht="15" thickBot="1" x14ac:dyDescent="0.35">
      <c r="A54" s="248" t="s">
        <v>2463</v>
      </c>
      <c r="B54" s="248"/>
      <c r="C54" s="248"/>
      <c r="D54" s="697"/>
      <c r="E54" s="250">
        <f t="shared" ref="E54:BP54" ca="1" si="75">SUM(E52:E53)</f>
        <v>1684806.2553703375</v>
      </c>
      <c r="F54" s="250">
        <f t="shared" ca="1" si="75"/>
        <v>15378567.592819655</v>
      </c>
      <c r="G54" s="250">
        <f t="shared" ca="1" si="75"/>
        <v>15936480.911729725</v>
      </c>
      <c r="H54" s="250">
        <f t="shared" ca="1" si="75"/>
        <v>16721801.162080949</v>
      </c>
      <c r="I54" s="250">
        <f t="shared" ca="1" si="75"/>
        <v>17969365.788501315</v>
      </c>
      <c r="J54" s="250">
        <f t="shared" ca="1" si="75"/>
        <v>19927611.081024535</v>
      </c>
      <c r="K54" s="250">
        <f t="shared" ca="1" si="75"/>
        <v>21955124.061232414</v>
      </c>
      <c r="L54" s="250">
        <f t="shared" ca="1" si="75"/>
        <v>24510083.913564954</v>
      </c>
      <c r="M54" s="250">
        <f t="shared" ca="1" si="75"/>
        <v>27528014.850566011</v>
      </c>
      <c r="N54" s="250">
        <f t="shared" ca="1" si="75"/>
        <v>31051095.135836091</v>
      </c>
      <c r="O54" s="250">
        <f t="shared" ca="1" si="75"/>
        <v>33179172.448188327</v>
      </c>
      <c r="P54" s="250">
        <f t="shared" ca="1" si="75"/>
        <v>33455665.55192323</v>
      </c>
      <c r="Q54" s="250">
        <f t="shared" ca="1" si="75"/>
        <v>33734462.764855921</v>
      </c>
      <c r="R54" s="250">
        <f t="shared" ca="1" si="75"/>
        <v>34015583.287896387</v>
      </c>
      <c r="S54" s="250">
        <f t="shared" ca="1" si="75"/>
        <v>34299046.481962189</v>
      </c>
      <c r="T54" s="250">
        <f t="shared" ca="1" si="75"/>
        <v>34584871.869311877</v>
      </c>
      <c r="U54" s="250">
        <f t="shared" ca="1" si="75"/>
        <v>34873079.134889476</v>
      </c>
      <c r="V54" s="250">
        <f t="shared" ca="1" si="75"/>
        <v>35163688.12768022</v>
      </c>
      <c r="W54" s="250">
        <f t="shared" ca="1" si="75"/>
        <v>35456718.862077557</v>
      </c>
      <c r="X54" s="250">
        <f t="shared" ca="1" si="75"/>
        <v>35752191.519261539</v>
      </c>
      <c r="Y54" s="250">
        <f t="shared" ca="1" si="75"/>
        <v>36050126.448588721</v>
      </c>
      <c r="Z54" s="250">
        <f t="shared" ca="1" si="75"/>
        <v>36350544.16899363</v>
      </c>
      <c r="AA54" s="250">
        <f t="shared" ca="1" si="75"/>
        <v>36653465.370401911</v>
      </c>
      <c r="AB54" s="250">
        <f t="shared" ca="1" si="75"/>
        <v>36958910.915155262</v>
      </c>
      <c r="AC54" s="250">
        <f t="shared" ca="1" si="75"/>
        <v>37227200.112907141</v>
      </c>
      <c r="AD54" s="250">
        <f t="shared" ca="1" si="75"/>
        <v>37461529.400366977</v>
      </c>
      <c r="AE54" s="250">
        <f t="shared" ca="1" si="75"/>
        <v>37656596.975238986</v>
      </c>
      <c r="AF54" s="250">
        <f t="shared" ca="1" si="75"/>
        <v>37772795.936472468</v>
      </c>
      <c r="AG54" s="250">
        <f t="shared" ca="1" si="75"/>
        <v>37886681.514896236</v>
      </c>
      <c r="AH54" s="250">
        <f t="shared" ca="1" si="75"/>
        <v>38000343.30468455</v>
      </c>
      <c r="AI54" s="250">
        <f t="shared" ca="1" si="75"/>
        <v>38144611.156455725</v>
      </c>
      <c r="AJ54" s="250">
        <f t="shared" ca="1" si="75"/>
        <v>38287751.187556148</v>
      </c>
      <c r="AK54" s="250">
        <f t="shared" ca="1" si="75"/>
        <v>38429567.990222707</v>
      </c>
      <c r="AL54" s="250">
        <f t="shared" ca="1" si="75"/>
        <v>38570060.088044979</v>
      </c>
      <c r="AM54" s="250">
        <f t="shared" ca="1" si="75"/>
        <v>38709226.16242829</v>
      </c>
      <c r="AN54" s="250">
        <f t="shared" ca="1" si="75"/>
        <v>38847065.055440471</v>
      </c>
      <c r="AO54" s="250">
        <f t="shared" ca="1" si="75"/>
        <v>38983575.77269382</v>
      </c>
      <c r="AP54" s="250">
        <f t="shared" ca="1" si="75"/>
        <v>39119510.933583021</v>
      </c>
      <c r="AQ54" s="250">
        <f t="shared" ca="1" si="75"/>
        <v>39253368.049774423</v>
      </c>
      <c r="AR54" s="250">
        <f t="shared" ca="1" si="75"/>
        <v>39385536.26713945</v>
      </c>
      <c r="AS54" s="250">
        <f t="shared" ca="1" si="75"/>
        <v>39522902.996740766</v>
      </c>
      <c r="AT54" s="250">
        <f t="shared" ca="1" si="75"/>
        <v>39659745.177896865</v>
      </c>
      <c r="AU54" s="250">
        <f t="shared" ca="1" si="75"/>
        <v>39796089.299251944</v>
      </c>
      <c r="AV54" s="250">
        <f t="shared" ca="1" si="75"/>
        <v>39931263.229764968</v>
      </c>
      <c r="AW54" s="250">
        <f t="shared" ca="1" si="75"/>
        <v>40065328.122619174</v>
      </c>
      <c r="AX54" s="250">
        <f t="shared" ca="1" si="75"/>
        <v>40198346.266174659</v>
      </c>
      <c r="AY54" s="250">
        <f t="shared" ca="1" si="75"/>
        <v>40330381.097453006</v>
      </c>
      <c r="AZ54" s="250">
        <f t="shared" ca="1" si="75"/>
        <v>40461497.215757407</v>
      </c>
      <c r="BA54" s="250">
        <f t="shared" ca="1" si="75"/>
        <v>40591760.396429546</v>
      </c>
      <c r="BB54" s="250">
        <f t="shared" ca="1" si="75"/>
        <v>40721790.624843821</v>
      </c>
      <c r="BC54" s="250">
        <f t="shared" ca="1" si="75"/>
        <v>40850546.278217927</v>
      </c>
      <c r="BD54" s="250">
        <f t="shared" ca="1" si="75"/>
        <v>40978359.092692919</v>
      </c>
      <c r="BE54" s="250">
        <f t="shared" ca="1" si="75"/>
        <v>41110672.854433753</v>
      </c>
      <c r="BF54" s="250">
        <f t="shared" ca="1" si="75"/>
        <v>41242848.67117691</v>
      </c>
      <c r="BG54" s="250">
        <f t="shared" ca="1" si="75"/>
        <v>41374863.886086203</v>
      </c>
      <c r="BH54" s="250">
        <f t="shared" ca="1" si="75"/>
        <v>41506161.519168258</v>
      </c>
      <c r="BI54" s="250">
        <f t="shared" ca="1" si="75"/>
        <v>41636687.418978758</v>
      </c>
      <c r="BJ54" s="250">
        <f t="shared" ca="1" si="75"/>
        <v>41766386.650474519</v>
      </c>
      <c r="BK54" s="250">
        <f t="shared" ca="1" si="75"/>
        <v>41895203.486672938</v>
      </c>
      <c r="BL54" s="250">
        <f t="shared" ca="1" si="75"/>
        <v>42023081.400233112</v>
      </c>
      <c r="BM54" s="250">
        <f t="shared" ca="1" si="75"/>
        <v>42149963.054957785</v>
      </c>
      <c r="BN54" s="250">
        <f t="shared" ca="1" si="75"/>
        <v>42276421.279838152</v>
      </c>
      <c r="BO54" s="250">
        <f t="shared" ca="1" si="75"/>
        <v>42401145.90512722</v>
      </c>
      <c r="BP54" s="250">
        <f t="shared" ca="1" si="75"/>
        <v>42524424.110831939</v>
      </c>
      <c r="BQ54" s="250">
        <f t="shared" ref="BQ54:EB54" ca="1" si="76">SUM(BQ52:BQ53)</f>
        <v>42652074.319391072</v>
      </c>
      <c r="BR54" s="250">
        <f t="shared" ca="1" si="76"/>
        <v>42779235.154119715</v>
      </c>
      <c r="BS54" s="250">
        <f t="shared" ca="1" si="76"/>
        <v>42905898.308523335</v>
      </c>
      <c r="BT54" s="250">
        <f t="shared" ca="1" si="76"/>
        <v>43031385.633251891</v>
      </c>
      <c r="BU54" s="250">
        <f t="shared" ca="1" si="76"/>
        <v>43155678.448526099</v>
      </c>
      <c r="BV54" s="250">
        <f t="shared" ca="1" si="76"/>
        <v>43278757.882987872</v>
      </c>
      <c r="BW54" s="250">
        <f t="shared" ca="1" si="76"/>
        <v>43400604.871957123</v>
      </c>
      <c r="BX54" s="250">
        <f t="shared" ca="1" si="76"/>
        <v>43521200.155673474</v>
      </c>
      <c r="BY54" s="250">
        <f t="shared" ca="1" si="76"/>
        <v>43640524.277522698</v>
      </c>
      <c r="BZ54" s="250">
        <f t="shared" ca="1" si="76"/>
        <v>43759244.185158737</v>
      </c>
      <c r="CA54" s="250">
        <f t="shared" ca="1" si="76"/>
        <v>43875973.48797483</v>
      </c>
      <c r="CB54" s="250">
        <f t="shared" ca="1" si="76"/>
        <v>43991053.72381106</v>
      </c>
      <c r="CC54" s="250">
        <f t="shared" ca="1" si="76"/>
        <v>44110535.603531837</v>
      </c>
      <c r="CD54" s="250">
        <f t="shared" ca="1" si="76"/>
        <v>44229397.101333566</v>
      </c>
      <c r="CE54" s="250">
        <f t="shared" ca="1" si="76"/>
        <v>44347628.646942563</v>
      </c>
      <c r="CF54" s="250">
        <f t="shared" ca="1" si="76"/>
        <v>44464522.505650736</v>
      </c>
      <c r="CG54" s="250">
        <f t="shared" ca="1" si="76"/>
        <v>44580058.280183718</v>
      </c>
      <c r="CH54" s="250">
        <f t="shared" ca="1" si="76"/>
        <v>44694215.365874395</v>
      </c>
      <c r="CI54" s="250">
        <f t="shared" ca="1" si="76"/>
        <v>44806972.948781751</v>
      </c>
      <c r="CJ54" s="250">
        <f t="shared" ca="1" si="76"/>
        <v>44918310.003793463</v>
      </c>
      <c r="CK54" s="250">
        <f ca="1">SUM(CK52:CK53)</f>
        <v>45028205.292712048</v>
      </c>
      <c r="CL54" s="250">
        <f t="shared" ca="1" si="76"/>
        <v>45137352.987666078</v>
      </c>
      <c r="CM54" s="250">
        <f t="shared" ca="1" si="76"/>
        <v>45244307.120692894</v>
      </c>
      <c r="CN54" s="250">
        <f t="shared" ca="1" si="76"/>
        <v>45349422.683012024</v>
      </c>
      <c r="CO54" s="250">
        <f t="shared" ca="1" si="76"/>
        <v>45458958.252126306</v>
      </c>
      <c r="CP54" s="250">
        <f t="shared" ca="1" si="76"/>
        <v>45567725.035664789</v>
      </c>
      <c r="CQ54" s="250">
        <f t="shared" ca="1" si="76"/>
        <v>45675712.047539912</v>
      </c>
      <c r="CR54" s="250">
        <f t="shared" ca="1" si="76"/>
        <v>45782180.617687643</v>
      </c>
      <c r="CS54" s="250">
        <f t="shared" ca="1" si="76"/>
        <v>45887108.458475977</v>
      </c>
      <c r="CT54" s="250">
        <f t="shared" ca="1" si="76"/>
        <v>45990473.057562709</v>
      </c>
      <c r="CU54" s="250">
        <f t="shared" ca="1" si="76"/>
        <v>46092251.675863549</v>
      </c>
      <c r="CV54" s="250">
        <f t="shared" ca="1" si="76"/>
        <v>46192421.345502712</v>
      </c>
      <c r="CW54" s="250">
        <f t="shared" ca="1" si="76"/>
        <v>46290958.867745757</v>
      </c>
      <c r="CX54" s="250">
        <f t="shared" ca="1" si="76"/>
        <v>46388586.68545343</v>
      </c>
      <c r="CY54" s="250">
        <f t="shared" ca="1" si="76"/>
        <v>46483796.62961562</v>
      </c>
      <c r="CZ54" s="250">
        <f t="shared" ca="1" si="76"/>
        <v>46576957.6072421</v>
      </c>
      <c r="DA54" s="250">
        <f t="shared" ca="1" si="76"/>
        <v>46674544.003549978</v>
      </c>
      <c r="DB54" s="250">
        <f t="shared" ca="1" si="76"/>
        <v>46771193.834478147</v>
      </c>
      <c r="DC54" s="250">
        <f t="shared" ca="1" si="76"/>
        <v>46866894.529292695</v>
      </c>
      <c r="DD54" s="250">
        <f t="shared" ca="1" si="76"/>
        <v>46960875.065054245</v>
      </c>
      <c r="DE54" s="250">
        <f t="shared" ca="1" si="76"/>
        <v>47053111.073058933</v>
      </c>
      <c r="DF54" s="250">
        <f t="shared" ca="1" si="76"/>
        <v>47143577.940920316</v>
      </c>
      <c r="DG54" s="250">
        <f t="shared" ca="1" si="76"/>
        <v>47232250.810372747</v>
      </c>
      <c r="DH54" s="250">
        <f t="shared" ca="1" si="76"/>
        <v>47319104.575055845</v>
      </c>
      <c r="DI54" s="250">
        <f t="shared" ca="1" si="76"/>
        <v>47404113.878279574</v>
      </c>
      <c r="DJ54" s="250">
        <f t="shared" ca="1" si="76"/>
        <v>47488030.513127588</v>
      </c>
      <c r="DK54" s="250">
        <f t="shared" ca="1" si="76"/>
        <v>47569281.363865711</v>
      </c>
      <c r="DL54" s="250">
        <f t="shared" ca="1" si="76"/>
        <v>47648249.724074833</v>
      </c>
      <c r="DM54" s="250">
        <f t="shared" ca="1" si="76"/>
        <v>47731634.09876857</v>
      </c>
      <c r="DN54" s="250">
        <f t="shared" ca="1" si="76"/>
        <v>47813892.557902686</v>
      </c>
      <c r="DO54" s="250">
        <f t="shared" ca="1" si="76"/>
        <v>47895010.758674279</v>
      </c>
      <c r="DP54" s="250">
        <f t="shared" ca="1" si="76"/>
        <v>47974183.83628168</v>
      </c>
      <c r="DQ54" s="250">
        <f t="shared" ca="1" si="76"/>
        <v>48051385.130527258</v>
      </c>
      <c r="DR54" s="250">
        <f t="shared" ca="1" si="76"/>
        <v>48126587.716737054</v>
      </c>
      <c r="DS54" s="250">
        <f t="shared" ca="1" si="76"/>
        <v>48199764.403383061</v>
      </c>
      <c r="DT54" s="250">
        <f t="shared" ca="1" si="76"/>
        <v>48270887.729697384</v>
      </c>
      <c r="DU54" s="250">
        <f t="shared" ca="1" si="76"/>
        <v>48339929.963211209</v>
      </c>
      <c r="DV54" s="250">
        <f t="shared" ca="1" si="76"/>
        <v>48407673.360233925</v>
      </c>
      <c r="DW54" s="250">
        <f t="shared" ca="1" si="76"/>
        <v>48472476.984316722</v>
      </c>
      <c r="DX54" s="250">
        <f t="shared" ca="1" si="76"/>
        <v>48534738.993950099</v>
      </c>
      <c r="DY54" s="250">
        <f t="shared" ca="1" si="76"/>
        <v>48601390.719872899</v>
      </c>
      <c r="DZ54" s="250">
        <f t="shared" ca="1" si="76"/>
        <v>48666703.179228574</v>
      </c>
      <c r="EA54" s="250">
        <f t="shared" ca="1" si="76"/>
        <v>48730660.049152389</v>
      </c>
      <c r="EB54" s="250">
        <f t="shared" ca="1" si="76"/>
        <v>48792421.05828055</v>
      </c>
      <c r="EC54" s="250">
        <f ca="1">SUM(EC52:EC53)</f>
        <v>48851957.022748798</v>
      </c>
      <c r="ED54" s="250">
        <f ca="1">SUM(ED52:ED53)</f>
        <v>48909238.4714192</v>
      </c>
      <c r="EE54" s="250">
        <f ca="1">SUM(EE52:EE53)</f>
        <v>48964235.64242994</v>
      </c>
      <c r="EF54" s="250">
        <f ca="1">SUM(EF52:EF53)</f>
        <v>49016918.489520431</v>
      </c>
      <c r="EG54" s="250">
        <f ca="1">SUM(EG52:EG53)</f>
        <v>49067256.647918135</v>
      </c>
    </row>
    <row r="55" spans="1:137" ht="7.5" customHeight="1" thickTop="1" x14ac:dyDescent="0.3"/>
    <row r="56" spans="1:137" x14ac:dyDescent="0.3">
      <c r="A56" s="700" t="str">
        <f>'General Inputs'!$J$29&amp;" PREFERENCE BALANCE"</f>
        <v>LP PREFERENCE BALANCE</v>
      </c>
      <c r="B56" s="700"/>
      <c r="C56" s="700"/>
      <c r="D56" s="725"/>
      <c r="E56" s="700"/>
    </row>
    <row r="57" spans="1:137" x14ac:dyDescent="0.3">
      <c r="A57" t="s">
        <v>2478</v>
      </c>
      <c r="E57" s="108">
        <f t="shared" ref="E57:BP57" si="77">D63</f>
        <v>0</v>
      </c>
      <c r="F57" s="227">
        <f t="shared" ca="1" si="77"/>
        <v>0</v>
      </c>
      <c r="G57" s="227">
        <f t="shared" ca="1" si="77"/>
        <v>14040.052128086145</v>
      </c>
      <c r="H57" s="227">
        <f t="shared" ca="1" si="77"/>
        <v>142194.78206824994</v>
      </c>
      <c r="I57" s="227">
        <f t="shared" ca="1" si="77"/>
        <v>274998.78966599761</v>
      </c>
      <c r="J57" s="227">
        <f t="shared" ca="1" si="77"/>
        <v>414347.13268333883</v>
      </c>
      <c r="K57" s="227">
        <f t="shared" ca="1" si="77"/>
        <v>564091.84758751641</v>
      </c>
      <c r="L57" s="227">
        <f t="shared" ca="1" si="77"/>
        <v>730155.2732627209</v>
      </c>
      <c r="M57" s="227">
        <f t="shared" ca="1" si="77"/>
        <v>913114.64043965773</v>
      </c>
      <c r="N57" s="227">
        <f t="shared" ca="1" si="77"/>
        <v>1117365.3397193656</v>
      </c>
      <c r="O57" s="227">
        <f t="shared" ca="1" si="77"/>
        <v>1346765.4634740823</v>
      </c>
      <c r="P57" s="227">
        <f t="shared" ca="1" si="77"/>
        <v>1605524.5896060497</v>
      </c>
      <c r="Q57" s="227">
        <f t="shared" ca="1" si="77"/>
        <v>1882017.6933409525</v>
      </c>
      <c r="R57" s="227">
        <f t="shared" ca="1" si="77"/>
        <v>2160814.9062736463</v>
      </c>
      <c r="S57" s="227">
        <f t="shared" ca="1" si="77"/>
        <v>2441935.4293141123</v>
      </c>
      <c r="T57" s="227">
        <f t="shared" ca="1" si="77"/>
        <v>2725398.6233799155</v>
      </c>
      <c r="U57" s="227">
        <f t="shared" ca="1" si="77"/>
        <v>3011224.0107296002</v>
      </c>
      <c r="V57" s="227">
        <f t="shared" ca="1" si="77"/>
        <v>3299431.2763071992</v>
      </c>
      <c r="W57" s="227">
        <f t="shared" ca="1" si="77"/>
        <v>3590040.2690979447</v>
      </c>
      <c r="X57" s="227">
        <f t="shared" ca="1" si="77"/>
        <v>3883071.0034952797</v>
      </c>
      <c r="Y57" s="227">
        <f t="shared" ca="1" si="77"/>
        <v>4178543.6606792593</v>
      </c>
      <c r="Z57" s="227">
        <f t="shared" ca="1" si="77"/>
        <v>4476478.590006439</v>
      </c>
      <c r="AA57" s="227">
        <f t="shared" ca="1" si="77"/>
        <v>4776896.3104113452</v>
      </c>
      <c r="AB57" s="227">
        <f t="shared" ca="1" si="77"/>
        <v>5079817.5118196253</v>
      </c>
      <c r="AC57" s="227">
        <f t="shared" ca="1" si="77"/>
        <v>5385263.0565729747</v>
      </c>
      <c r="AD57" s="227">
        <f t="shared" ca="1" si="77"/>
        <v>5653552.2543248525</v>
      </c>
      <c r="AE57" s="227">
        <f t="shared" ca="1" si="77"/>
        <v>5887881.5417846851</v>
      </c>
      <c r="AF57" s="227">
        <f t="shared" ca="1" si="77"/>
        <v>6082949.1166566992</v>
      </c>
      <c r="AG57" s="227">
        <f t="shared" ca="1" si="77"/>
        <v>6199148.0778901847</v>
      </c>
      <c r="AH57" s="227">
        <f t="shared" ca="1" si="77"/>
        <v>6313033.6563139493</v>
      </c>
      <c r="AI57" s="227">
        <f t="shared" ca="1" si="77"/>
        <v>6426695.4461022681</v>
      </c>
      <c r="AJ57" s="227">
        <f t="shared" ca="1" si="77"/>
        <v>6570963.2978734476</v>
      </c>
      <c r="AK57" s="227">
        <f t="shared" ca="1" si="77"/>
        <v>6714103.3289738707</v>
      </c>
      <c r="AL57" s="227">
        <f t="shared" ca="1" si="77"/>
        <v>6855920.1316404324</v>
      </c>
      <c r="AM57" s="227">
        <f t="shared" ca="1" si="77"/>
        <v>6996412.2294627074</v>
      </c>
      <c r="AN57" s="227">
        <f t="shared" ca="1" si="77"/>
        <v>7135578.3038460175</v>
      </c>
      <c r="AO57" s="227">
        <f t="shared" ca="1" si="77"/>
        <v>7273417.1968581984</v>
      </c>
      <c r="AP57" s="227">
        <f t="shared" ca="1" si="77"/>
        <v>7409927.914111549</v>
      </c>
      <c r="AQ57" s="227">
        <f t="shared" ca="1" si="77"/>
        <v>7545863.0750007518</v>
      </c>
      <c r="AR57" s="227">
        <f t="shared" ca="1" si="77"/>
        <v>7679720.1911921576</v>
      </c>
      <c r="AS57" s="227">
        <f t="shared" ca="1" si="77"/>
        <v>7811888.4085571868</v>
      </c>
      <c r="AT57" s="227">
        <f t="shared" ca="1" si="77"/>
        <v>7949255.138158503</v>
      </c>
      <c r="AU57" s="227">
        <f t="shared" ca="1" si="77"/>
        <v>8086097.3193146028</v>
      </c>
      <c r="AV57" s="227">
        <f t="shared" ca="1" si="77"/>
        <v>8222441.4406696875</v>
      </c>
      <c r="AW57" s="227">
        <f t="shared" ca="1" si="77"/>
        <v>8357615.3711827137</v>
      </c>
      <c r="AX57" s="227">
        <f t="shared" ca="1" si="77"/>
        <v>8491680.2640369199</v>
      </c>
      <c r="AY57" s="227">
        <f t="shared" ca="1" si="77"/>
        <v>8624698.4075924028</v>
      </c>
      <c r="AZ57" s="227">
        <f t="shared" ca="1" si="77"/>
        <v>8756733.2388707474</v>
      </c>
      <c r="BA57" s="227">
        <f t="shared" ca="1" si="77"/>
        <v>8887849.3571751509</v>
      </c>
      <c r="BB57" s="227">
        <f t="shared" ca="1" si="77"/>
        <v>9018112.5378472898</v>
      </c>
      <c r="BC57" s="227">
        <f t="shared" ca="1" si="77"/>
        <v>9148142.7662615646</v>
      </c>
      <c r="BD57" s="227">
        <f t="shared" ca="1" si="77"/>
        <v>9276898.4196356721</v>
      </c>
      <c r="BE57" s="227">
        <f t="shared" ca="1" si="77"/>
        <v>9404711.2341106646</v>
      </c>
      <c r="BF57" s="227">
        <f t="shared" ca="1" si="77"/>
        <v>9537024.9958514981</v>
      </c>
      <c r="BG57" s="227">
        <f t="shared" ca="1" si="77"/>
        <v>9669200.8125946615</v>
      </c>
      <c r="BH57" s="227">
        <f t="shared" ca="1" si="77"/>
        <v>9801216.0275039561</v>
      </c>
      <c r="BI57" s="227">
        <f t="shared" ca="1" si="77"/>
        <v>9932513.6605860051</v>
      </c>
      <c r="BJ57" s="227">
        <f t="shared" ca="1" si="77"/>
        <v>10063039.560396509</v>
      </c>
      <c r="BK57" s="227">
        <f t="shared" ca="1" si="77"/>
        <v>10192738.791892271</v>
      </c>
      <c r="BL57" s="227">
        <f t="shared" ca="1" si="77"/>
        <v>10321555.628090696</v>
      </c>
      <c r="BM57" s="227">
        <f t="shared" ca="1" si="77"/>
        <v>10449433.541650875</v>
      </c>
      <c r="BN57" s="227">
        <f t="shared" ca="1" si="77"/>
        <v>10576315.196375547</v>
      </c>
      <c r="BO57" s="227">
        <f t="shared" ca="1" si="77"/>
        <v>10702773.421255909</v>
      </c>
      <c r="BP57" s="227">
        <f t="shared" ca="1" si="77"/>
        <v>10827498.046544978</v>
      </c>
      <c r="BQ57" s="227">
        <f t="shared" ref="BQ57:EB57" ca="1" si="78">BP63</f>
        <v>10950776.252249695</v>
      </c>
      <c r="BR57" s="227">
        <f t="shared" ca="1" si="78"/>
        <v>11078426.460808827</v>
      </c>
      <c r="BS57" s="227">
        <f t="shared" ca="1" si="78"/>
        <v>11205587.295537475</v>
      </c>
      <c r="BT57" s="227">
        <f t="shared" ca="1" si="78"/>
        <v>11332250.449941091</v>
      </c>
      <c r="BU57" s="227">
        <f t="shared" ca="1" si="78"/>
        <v>11457737.774669645</v>
      </c>
      <c r="BV57" s="227">
        <f t="shared" ca="1" si="78"/>
        <v>11582030.589943856</v>
      </c>
      <c r="BW57" s="227">
        <f t="shared" ca="1" si="78"/>
        <v>11705110.02440563</v>
      </c>
      <c r="BX57" s="227">
        <f t="shared" ca="1" si="78"/>
        <v>11826957.01337488</v>
      </c>
      <c r="BY57" s="227">
        <f t="shared" ca="1" si="78"/>
        <v>11947552.297091233</v>
      </c>
      <c r="BZ57" s="227">
        <f t="shared" ca="1" si="78"/>
        <v>12066876.41894046</v>
      </c>
      <c r="CA57" s="227">
        <f t="shared" ca="1" si="78"/>
        <v>12185596.326576501</v>
      </c>
      <c r="CB57" s="227">
        <f t="shared" ca="1" si="78"/>
        <v>12302325.6293926</v>
      </c>
      <c r="CC57" s="227">
        <f t="shared" ca="1" si="78"/>
        <v>12417405.865228832</v>
      </c>
      <c r="CD57" s="227">
        <f t="shared" ca="1" si="78"/>
        <v>12536887.744949611</v>
      </c>
      <c r="CE57" s="227">
        <f t="shared" ca="1" si="78"/>
        <v>12655749.242751341</v>
      </c>
      <c r="CF57" s="227">
        <f t="shared" ca="1" si="78"/>
        <v>12773980.788360339</v>
      </c>
      <c r="CG57" s="227">
        <f t="shared" ca="1" si="78"/>
        <v>12890874.647068504</v>
      </c>
      <c r="CH57" s="227">
        <f t="shared" ca="1" si="78"/>
        <v>13006410.421601487</v>
      </c>
      <c r="CI57" s="227">
        <f t="shared" ca="1" si="78"/>
        <v>13120567.507292161</v>
      </c>
      <c r="CJ57" s="227">
        <f t="shared" ca="1" si="78"/>
        <v>13233325.090199513</v>
      </c>
      <c r="CK57" s="227">
        <f t="shared" ca="1" si="78"/>
        <v>13344662.145211227</v>
      </c>
      <c r="CL57" s="227">
        <f t="shared" ca="1" si="78"/>
        <v>13454557.434129814</v>
      </c>
      <c r="CM57" s="227">
        <f t="shared" ca="1" si="78"/>
        <v>13563705.129083844</v>
      </c>
      <c r="CN57" s="227">
        <f t="shared" ca="1" si="78"/>
        <v>13670659.262110654</v>
      </c>
      <c r="CO57" s="227">
        <f t="shared" ca="1" si="78"/>
        <v>13775774.824429784</v>
      </c>
      <c r="CP57" s="227">
        <f t="shared" ca="1" si="78"/>
        <v>13885310.393544067</v>
      </c>
      <c r="CQ57" s="227">
        <f t="shared" ca="1" si="78"/>
        <v>13994077.17708255</v>
      </c>
      <c r="CR57" s="227">
        <f t="shared" ca="1" si="78"/>
        <v>14102064.188957667</v>
      </c>
      <c r="CS57" s="227">
        <f t="shared" ca="1" si="78"/>
        <v>14208532.759105396</v>
      </c>
      <c r="CT57" s="227">
        <f t="shared" ca="1" si="78"/>
        <v>14313460.599893736</v>
      </c>
      <c r="CU57" s="227">
        <f t="shared" ca="1" si="78"/>
        <v>14416825.198980469</v>
      </c>
      <c r="CV57" s="227">
        <f t="shared" ca="1" si="78"/>
        <v>14518603.81728131</v>
      </c>
      <c r="CW57" s="227">
        <f t="shared" ca="1" si="78"/>
        <v>14618773.486920474</v>
      </c>
      <c r="CX57" s="227">
        <f t="shared" ca="1" si="78"/>
        <v>14717311.009163516</v>
      </c>
      <c r="CY57" s="227">
        <f t="shared" ca="1" si="78"/>
        <v>14814938.82687119</v>
      </c>
      <c r="CZ57" s="227">
        <f t="shared" ca="1" si="78"/>
        <v>14910148.771033378</v>
      </c>
      <c r="DA57" s="227">
        <f t="shared" ca="1" si="78"/>
        <v>15003309.74865986</v>
      </c>
      <c r="DB57" s="227">
        <f t="shared" ca="1" si="78"/>
        <v>15100896.144967739</v>
      </c>
      <c r="DC57" s="227">
        <f t="shared" ca="1" si="78"/>
        <v>15197545.975895902</v>
      </c>
      <c r="DD57" s="227">
        <f t="shared" ca="1" si="78"/>
        <v>15293246.670710446</v>
      </c>
      <c r="DE57" s="227">
        <f t="shared" ca="1" si="78"/>
        <v>15387227.206471998</v>
      </c>
      <c r="DF57" s="227">
        <f t="shared" ca="1" si="78"/>
        <v>15479463.214476686</v>
      </c>
      <c r="DG57" s="227">
        <f t="shared" ca="1" si="78"/>
        <v>15569930.082338069</v>
      </c>
      <c r="DH57" s="227">
        <f t="shared" ca="1" si="78"/>
        <v>15658602.951790547</v>
      </c>
      <c r="DI57" s="227">
        <f t="shared" ca="1" si="78"/>
        <v>15745456.7164737</v>
      </c>
      <c r="DJ57" s="227">
        <f t="shared" ca="1" si="78"/>
        <v>15830466.019697258</v>
      </c>
      <c r="DK57" s="227">
        <f t="shared" ca="1" si="78"/>
        <v>15914382.654545397</v>
      </c>
      <c r="DL57" s="227">
        <f t="shared" ca="1" si="78"/>
        <v>15995633.505283294</v>
      </c>
      <c r="DM57" s="227">
        <f t="shared" ca="1" si="78"/>
        <v>16074601.865492316</v>
      </c>
      <c r="DN57" s="227">
        <f t="shared" ca="1" si="78"/>
        <v>16157986.240185805</v>
      </c>
      <c r="DO57" s="227">
        <f t="shared" ca="1" si="78"/>
        <v>16240244.699319804</v>
      </c>
      <c r="DP57" s="227">
        <f t="shared" ca="1" si="78"/>
        <v>16321362.900091058</v>
      </c>
      <c r="DQ57" s="227">
        <f t="shared" ca="1" si="78"/>
        <v>16400535.977697749</v>
      </c>
      <c r="DR57" s="227">
        <f t="shared" ca="1" si="78"/>
        <v>16477737.271942759</v>
      </c>
      <c r="DS57" s="227">
        <f t="shared" ca="1" si="78"/>
        <v>16552939.858152075</v>
      </c>
      <c r="DT57" s="227">
        <f t="shared" ca="1" si="78"/>
        <v>16626116.544804458</v>
      </c>
      <c r="DU57" s="227">
        <f t="shared" ca="1" si="78"/>
        <v>16697239.871109046</v>
      </c>
      <c r="DV57" s="227">
        <f t="shared" ca="1" si="78"/>
        <v>16766282.104630204</v>
      </c>
      <c r="DW57" s="227">
        <f t="shared" ca="1" si="78"/>
        <v>16834025.501648318</v>
      </c>
      <c r="DX57" s="227">
        <f t="shared" ca="1" si="78"/>
        <v>16898829.125727698</v>
      </c>
      <c r="DY57" s="227">
        <f t="shared" ca="1" si="78"/>
        <v>16961091.135359816</v>
      </c>
      <c r="DZ57" s="227">
        <f t="shared" ca="1" si="78"/>
        <v>17027742.861283664</v>
      </c>
      <c r="EA57" s="227">
        <f t="shared" ca="1" si="78"/>
        <v>17093055.320644397</v>
      </c>
      <c r="EB57" s="227">
        <f t="shared" ca="1" si="78"/>
        <v>17157012.190563247</v>
      </c>
      <c r="EC57" s="227">
        <f t="shared" ref="EC57:EG57" ca="1" si="79">EB63</f>
        <v>17218773.199697889</v>
      </c>
      <c r="ED57" s="227">
        <f t="shared" ca="1" si="79"/>
        <v>17278309.164185662</v>
      </c>
      <c r="EE57" s="227">
        <f t="shared" ca="1" si="79"/>
        <v>17335590.612595763</v>
      </c>
      <c r="EF57" s="227">
        <f t="shared" ca="1" si="79"/>
        <v>17390587.786491957</v>
      </c>
      <c r="EG57" s="227">
        <f t="shared" ca="1" si="79"/>
        <v>17443270.628946092</v>
      </c>
    </row>
    <row r="58" spans="1:137" x14ac:dyDescent="0.3">
      <c r="A58" s="241" t="s">
        <v>155</v>
      </c>
      <c r="B58" s="241"/>
      <c r="C58" s="241"/>
      <c r="D58" s="687"/>
      <c r="E58" s="242">
        <f t="shared" ref="E58:BP58" si="80">E47</f>
        <v>0</v>
      </c>
      <c r="F58" s="242">
        <f t="shared" ca="1" si="80"/>
        <v>14040.052128086145</v>
      </c>
      <c r="G58" s="242">
        <f t="shared" ca="1" si="80"/>
        <v>128154.72994016379</v>
      </c>
      <c r="H58" s="242">
        <f t="shared" ca="1" si="80"/>
        <v>132804.0075977477</v>
      </c>
      <c r="I58" s="242">
        <f t="shared" ca="1" si="80"/>
        <v>139348.34301734125</v>
      </c>
      <c r="J58" s="242">
        <f t="shared" ca="1" si="80"/>
        <v>149744.71490417761</v>
      </c>
      <c r="K58" s="242">
        <f t="shared" ca="1" si="80"/>
        <v>166063.42567520446</v>
      </c>
      <c r="L58" s="242">
        <f t="shared" ca="1" si="80"/>
        <v>182959.36717693679</v>
      </c>
      <c r="M58" s="242">
        <f t="shared" ca="1" si="80"/>
        <v>204250.69927970794</v>
      </c>
      <c r="N58" s="242">
        <f t="shared" ca="1" si="80"/>
        <v>229400.12375471674</v>
      </c>
      <c r="O58" s="242">
        <f t="shared" ca="1" si="80"/>
        <v>258759.12613196741</v>
      </c>
      <c r="P58" s="242">
        <f t="shared" ca="1" si="80"/>
        <v>276493.10373490275</v>
      </c>
      <c r="Q58" s="242">
        <f t="shared" ca="1" si="80"/>
        <v>278797.2129326936</v>
      </c>
      <c r="R58" s="242">
        <f t="shared" ca="1" si="80"/>
        <v>281120.52304046601</v>
      </c>
      <c r="S58" s="242">
        <f t="shared" ca="1" si="80"/>
        <v>283463.1940658032</v>
      </c>
      <c r="T58" s="242">
        <f t="shared" ca="1" si="80"/>
        <v>285825.3873496849</v>
      </c>
      <c r="U58" s="242">
        <f t="shared" ca="1" si="80"/>
        <v>288207.26557759894</v>
      </c>
      <c r="V58" s="242">
        <f t="shared" ca="1" si="80"/>
        <v>290608.99279074563</v>
      </c>
      <c r="W58" s="242">
        <f t="shared" ca="1" si="80"/>
        <v>293030.73439733515</v>
      </c>
      <c r="X58" s="242">
        <f t="shared" ca="1" si="80"/>
        <v>295472.65718397964</v>
      </c>
      <c r="Y58" s="242">
        <f t="shared" ca="1" si="80"/>
        <v>297934.9293271795</v>
      </c>
      <c r="Z58" s="242">
        <f t="shared" ca="1" si="80"/>
        <v>300417.72040490602</v>
      </c>
      <c r="AA58" s="242">
        <f t="shared" ca="1" si="80"/>
        <v>302921.20140828023</v>
      </c>
      <c r="AB58" s="242">
        <f t="shared" ca="1" si="80"/>
        <v>305445.54475334927</v>
      </c>
      <c r="AC58" s="242">
        <f t="shared" ca="1" si="80"/>
        <v>307990.9242929605</v>
      </c>
      <c r="AD58" s="242">
        <f t="shared" ca="1" si="80"/>
        <v>310226.66760755953</v>
      </c>
      <c r="AE58" s="242">
        <f t="shared" ca="1" si="80"/>
        <v>312179.4116697248</v>
      </c>
      <c r="AF58" s="242">
        <f t="shared" ca="1" si="80"/>
        <v>313804.97479365824</v>
      </c>
      <c r="AG58" s="242">
        <f t="shared" ca="1" si="80"/>
        <v>314773.29947060387</v>
      </c>
      <c r="AH58" s="242">
        <f t="shared" ca="1" si="80"/>
        <v>315722.34595746861</v>
      </c>
      <c r="AI58" s="242">
        <f t="shared" ca="1" si="80"/>
        <v>316669.52753903792</v>
      </c>
      <c r="AJ58" s="242">
        <f t="shared" ca="1" si="80"/>
        <v>317871.75963713106</v>
      </c>
      <c r="AK58" s="242">
        <f t="shared" ca="1" si="80"/>
        <v>319064.59322963457</v>
      </c>
      <c r="AL58" s="242">
        <f t="shared" ca="1" si="80"/>
        <v>320246.39991852257</v>
      </c>
      <c r="AM58" s="242">
        <f t="shared" ca="1" si="80"/>
        <v>321417.16740037483</v>
      </c>
      <c r="AN58" s="242">
        <f t="shared" ca="1" si="80"/>
        <v>322576.8846869024</v>
      </c>
      <c r="AO58" s="242">
        <f t="shared" ca="1" si="80"/>
        <v>323725.54212867061</v>
      </c>
      <c r="AP58" s="242">
        <f t="shared" ca="1" si="80"/>
        <v>324863.13143911515</v>
      </c>
      <c r="AQ58" s="242">
        <f t="shared" ca="1" si="80"/>
        <v>325995.92444652517</v>
      </c>
      <c r="AR58" s="242">
        <f t="shared" ca="1" si="80"/>
        <v>327111.40041478688</v>
      </c>
      <c r="AS58" s="242">
        <f t="shared" ca="1" si="80"/>
        <v>328212.80222616205</v>
      </c>
      <c r="AT58" s="242">
        <f t="shared" ca="1" si="80"/>
        <v>329357.52497283969</v>
      </c>
      <c r="AU58" s="242">
        <f t="shared" ca="1" si="80"/>
        <v>330497.87648247386</v>
      </c>
      <c r="AV58" s="242">
        <f t="shared" ca="1" si="80"/>
        <v>331634.07749376621</v>
      </c>
      <c r="AW58" s="242">
        <f t="shared" ca="1" si="80"/>
        <v>332760.52691470808</v>
      </c>
      <c r="AX58" s="242">
        <f t="shared" ca="1" si="80"/>
        <v>333877.7343551598</v>
      </c>
      <c r="AY58" s="242">
        <f t="shared" ca="1" si="80"/>
        <v>334986.2188847888</v>
      </c>
      <c r="AZ58" s="242">
        <f t="shared" ca="1" si="80"/>
        <v>336086.5091454417</v>
      </c>
      <c r="BA58" s="242">
        <f t="shared" ca="1" si="80"/>
        <v>337179.14346464508</v>
      </c>
      <c r="BB58" s="242">
        <f t="shared" ca="1" si="80"/>
        <v>338264.66997024621</v>
      </c>
      <c r="BC58" s="242">
        <f t="shared" ca="1" si="80"/>
        <v>339348.25520703185</v>
      </c>
      <c r="BD58" s="242">
        <f t="shared" ca="1" si="80"/>
        <v>340421.2189851494</v>
      </c>
      <c r="BE58" s="242">
        <f t="shared" ca="1" si="80"/>
        <v>341486.32577244099</v>
      </c>
      <c r="BF58" s="242">
        <f t="shared" ca="1" si="80"/>
        <v>342588.94045361457</v>
      </c>
      <c r="BG58" s="242">
        <f t="shared" ca="1" si="80"/>
        <v>343690.40559314092</v>
      </c>
      <c r="BH58" s="242">
        <f t="shared" ca="1" si="80"/>
        <v>344790.53238405171</v>
      </c>
      <c r="BI58" s="242">
        <f t="shared" ca="1" si="80"/>
        <v>345884.67932640214</v>
      </c>
      <c r="BJ58" s="242">
        <f t="shared" ca="1" si="80"/>
        <v>346972.39515815629</v>
      </c>
      <c r="BK58" s="242">
        <f t="shared" ca="1" si="80"/>
        <v>348053.22208728764</v>
      </c>
      <c r="BL58" s="242">
        <f t="shared" ca="1" si="80"/>
        <v>349126.69572227448</v>
      </c>
      <c r="BM58" s="242">
        <f t="shared" ca="1" si="80"/>
        <v>350192.34500194259</v>
      </c>
      <c r="BN58" s="242">
        <f t="shared" ca="1" si="80"/>
        <v>351249.69212464819</v>
      </c>
      <c r="BO58" s="242">
        <f t="shared" ca="1" si="80"/>
        <v>352303.51066531794</v>
      </c>
      <c r="BP58" s="242">
        <f t="shared" ca="1" si="80"/>
        <v>353342.88254272682</v>
      </c>
      <c r="BQ58" s="242">
        <f t="shared" ref="BQ58:EB58" ca="1" si="81">BQ47</f>
        <v>354370.20092359948</v>
      </c>
      <c r="BR58" s="242">
        <f t="shared" ca="1" si="81"/>
        <v>355433.95266159228</v>
      </c>
      <c r="BS58" s="242">
        <f t="shared" ca="1" si="81"/>
        <v>356493.62628433097</v>
      </c>
      <c r="BT58" s="242">
        <f t="shared" ca="1" si="81"/>
        <v>357549.15257102781</v>
      </c>
      <c r="BU58" s="242">
        <f t="shared" ca="1" si="81"/>
        <v>358594.88027709909</v>
      </c>
      <c r="BV58" s="242">
        <f t="shared" ca="1" si="81"/>
        <v>359630.65373771748</v>
      </c>
      <c r="BW58" s="242">
        <f t="shared" ca="1" si="81"/>
        <v>360656.31569156557</v>
      </c>
      <c r="BX58" s="242">
        <f t="shared" ca="1" si="81"/>
        <v>361671.70726630936</v>
      </c>
      <c r="BY58" s="242">
        <f t="shared" ca="1" si="81"/>
        <v>362676.6679639456</v>
      </c>
      <c r="BZ58" s="242">
        <f t="shared" ca="1" si="81"/>
        <v>363671.03564602247</v>
      </c>
      <c r="CA58" s="242">
        <f t="shared" ca="1" si="81"/>
        <v>364660.36820965615</v>
      </c>
      <c r="CB58" s="242">
        <f t="shared" ca="1" si="81"/>
        <v>365633.11239979026</v>
      </c>
      <c r="CC58" s="242">
        <f t="shared" ca="1" si="81"/>
        <v>366592.11436509219</v>
      </c>
      <c r="CD58" s="242">
        <f t="shared" ca="1" si="81"/>
        <v>367587.79669609864</v>
      </c>
      <c r="CE58" s="242">
        <f t="shared" ca="1" si="81"/>
        <v>368578.30917777971</v>
      </c>
      <c r="CF58" s="242">
        <f t="shared" ca="1" si="81"/>
        <v>369563.57205785468</v>
      </c>
      <c r="CG58" s="242">
        <f t="shared" ca="1" si="81"/>
        <v>370537.68754708947</v>
      </c>
      <c r="CH58" s="242">
        <f t="shared" ca="1" si="81"/>
        <v>371500.48566819762</v>
      </c>
      <c r="CI58" s="242">
        <f t="shared" ca="1" si="81"/>
        <v>372451.79471561994</v>
      </c>
      <c r="CJ58" s="242">
        <f t="shared" ca="1" si="81"/>
        <v>373391.44123984792</v>
      </c>
      <c r="CK58" s="242">
        <f t="shared" ca="1" si="81"/>
        <v>374319.25003161217</v>
      </c>
      <c r="CL58" s="242">
        <f t="shared" ca="1" si="81"/>
        <v>375235.04410593375</v>
      </c>
      <c r="CM58" s="242">
        <f t="shared" ca="1" si="81"/>
        <v>376144.60823055066</v>
      </c>
      <c r="CN58" s="242">
        <f t="shared" ca="1" si="81"/>
        <v>377035.89267244079</v>
      </c>
      <c r="CO58" s="242">
        <f t="shared" ca="1" si="81"/>
        <v>377911.85569176683</v>
      </c>
      <c r="CP58" s="242">
        <f t="shared" ca="1" si="81"/>
        <v>378824.65210105258</v>
      </c>
      <c r="CQ58" s="242">
        <f t="shared" ca="1" si="81"/>
        <v>379731.04196387326</v>
      </c>
      <c r="CR58" s="242">
        <f t="shared" ca="1" si="81"/>
        <v>380630.93372949929</v>
      </c>
      <c r="CS58" s="242">
        <f t="shared" ca="1" si="81"/>
        <v>381518.17181406368</v>
      </c>
      <c r="CT58" s="242">
        <f t="shared" ca="1" si="81"/>
        <v>382392.57048729982</v>
      </c>
      <c r="CU58" s="242">
        <f t="shared" ca="1" si="81"/>
        <v>383253.94214635593</v>
      </c>
      <c r="CV58" s="242">
        <f t="shared" ca="1" si="81"/>
        <v>384102.09729886288</v>
      </c>
      <c r="CW58" s="242">
        <f t="shared" ca="1" si="81"/>
        <v>384936.84454585594</v>
      </c>
      <c r="CX58" s="242">
        <f t="shared" ca="1" si="81"/>
        <v>385757.99056454794</v>
      </c>
      <c r="CY58" s="242">
        <f t="shared" ca="1" si="81"/>
        <v>386571.55571211193</v>
      </c>
      <c r="CZ58" s="242">
        <f t="shared" ca="1" si="81"/>
        <v>387364.97191346349</v>
      </c>
      <c r="DA58" s="242">
        <f t="shared" ca="1" si="81"/>
        <v>388141.31339368416</v>
      </c>
      <c r="DB58" s="242">
        <f t="shared" ca="1" si="81"/>
        <v>388954.5333629165</v>
      </c>
      <c r="DC58" s="242">
        <f t="shared" ca="1" si="81"/>
        <v>389759.94862065121</v>
      </c>
      <c r="DD58" s="242">
        <f t="shared" ca="1" si="81"/>
        <v>390557.45441077248</v>
      </c>
      <c r="DE58" s="242">
        <f t="shared" ca="1" si="81"/>
        <v>391340.62554211868</v>
      </c>
      <c r="DF58" s="242">
        <f t="shared" ca="1" si="81"/>
        <v>392109.25894215779</v>
      </c>
      <c r="DG58" s="242">
        <f t="shared" ca="1" si="81"/>
        <v>392863.14950766927</v>
      </c>
      <c r="DH58" s="242">
        <f t="shared" ca="1" si="81"/>
        <v>393602.09008644044</v>
      </c>
      <c r="DI58" s="242">
        <f t="shared" ca="1" si="81"/>
        <v>394325.87145880074</v>
      </c>
      <c r="DJ58" s="242">
        <f t="shared" ca="1" si="81"/>
        <v>395034.28231899778</v>
      </c>
      <c r="DK58" s="242">
        <f t="shared" ca="1" si="81"/>
        <v>395733.58760940068</v>
      </c>
      <c r="DL58" s="242">
        <f t="shared" ca="1" si="81"/>
        <v>396410.67803221772</v>
      </c>
      <c r="DM58" s="242">
        <f t="shared" ca="1" si="81"/>
        <v>397068.74770062813</v>
      </c>
      <c r="DN58" s="242">
        <f t="shared" ca="1" si="81"/>
        <v>397763.61748974241</v>
      </c>
      <c r="DO58" s="242">
        <f t="shared" ca="1" si="81"/>
        <v>398449.10464919434</v>
      </c>
      <c r="DP58" s="242">
        <f t="shared" ca="1" si="81"/>
        <v>399125.08965562307</v>
      </c>
      <c r="DQ58" s="242">
        <f t="shared" ca="1" si="81"/>
        <v>399784.8653023442</v>
      </c>
      <c r="DR58" s="242">
        <f t="shared" ca="1" si="81"/>
        <v>400428.20942104823</v>
      </c>
      <c r="DS58" s="242">
        <f t="shared" ca="1" si="81"/>
        <v>401054.8976394491</v>
      </c>
      <c r="DT58" s="242">
        <f t="shared" ca="1" si="81"/>
        <v>401664.70336157293</v>
      </c>
      <c r="DU58" s="242">
        <f t="shared" ca="1" si="81"/>
        <v>402257.39774742449</v>
      </c>
      <c r="DV58" s="242">
        <f t="shared" ca="1" si="81"/>
        <v>402832.74969344295</v>
      </c>
      <c r="DW58" s="242">
        <f t="shared" ca="1" si="81"/>
        <v>403397.27800191869</v>
      </c>
      <c r="DX58" s="242">
        <f t="shared" ca="1" si="81"/>
        <v>403937.30820255069</v>
      </c>
      <c r="DY58" s="242">
        <f t="shared" ca="1" si="81"/>
        <v>404456.15828276559</v>
      </c>
      <c r="DZ58" s="242">
        <f t="shared" ca="1" si="81"/>
        <v>405011.58933205425</v>
      </c>
      <c r="EA58" s="242">
        <f t="shared" ca="1" si="81"/>
        <v>405555.8598266319</v>
      </c>
      <c r="EB58" s="242">
        <f t="shared" ca="1" si="81"/>
        <v>406088.83374244458</v>
      </c>
      <c r="EC58" s="242">
        <f t="shared" ref="EC58:EG58" ca="1" si="82">EC47</f>
        <v>406603.50881831301</v>
      </c>
      <c r="ED58" s="242">
        <f t="shared" ca="1" si="82"/>
        <v>407099.6418553965</v>
      </c>
      <c r="EE58" s="242">
        <f t="shared" ca="1" si="82"/>
        <v>407576.98725371482</v>
      </c>
      <c r="EF58" s="242">
        <f t="shared" ca="1" si="82"/>
        <v>408035.29706410674</v>
      </c>
      <c r="EG58" s="242">
        <f t="shared" ca="1" si="82"/>
        <v>408474.32070724183</v>
      </c>
    </row>
    <row r="59" spans="1:137" x14ac:dyDescent="0.3">
      <c r="A59" s="245" t="s">
        <v>843</v>
      </c>
      <c r="B59" s="245"/>
      <c r="C59" s="245"/>
      <c r="D59" s="726"/>
      <c r="E59" s="227">
        <f t="shared" ref="E59:BP59" si="83">SUM(E57:E58)</f>
        <v>0</v>
      </c>
      <c r="F59" s="227">
        <f t="shared" ca="1" si="83"/>
        <v>14040.052128086145</v>
      </c>
      <c r="G59" s="227">
        <f t="shared" ca="1" si="83"/>
        <v>142194.78206824994</v>
      </c>
      <c r="H59" s="227">
        <f t="shared" ca="1" si="83"/>
        <v>274998.78966599761</v>
      </c>
      <c r="I59" s="227">
        <f t="shared" ca="1" si="83"/>
        <v>414347.13268333883</v>
      </c>
      <c r="J59" s="227">
        <f t="shared" ca="1" si="83"/>
        <v>564091.84758751641</v>
      </c>
      <c r="K59" s="227">
        <f t="shared" ca="1" si="83"/>
        <v>730155.2732627209</v>
      </c>
      <c r="L59" s="227">
        <f t="shared" ca="1" si="83"/>
        <v>913114.64043965773</v>
      </c>
      <c r="M59" s="227">
        <f t="shared" ca="1" si="83"/>
        <v>1117365.3397193656</v>
      </c>
      <c r="N59" s="227">
        <f t="shared" ca="1" si="83"/>
        <v>1346765.4634740823</v>
      </c>
      <c r="O59" s="227">
        <f t="shared" ca="1" si="83"/>
        <v>1605524.5896060497</v>
      </c>
      <c r="P59" s="227">
        <f t="shared" ca="1" si="83"/>
        <v>1882017.6933409525</v>
      </c>
      <c r="Q59" s="227">
        <f t="shared" ca="1" si="83"/>
        <v>2160814.9062736463</v>
      </c>
      <c r="R59" s="227">
        <f t="shared" ca="1" si="83"/>
        <v>2441935.4293141123</v>
      </c>
      <c r="S59" s="227">
        <f t="shared" ca="1" si="83"/>
        <v>2725398.6233799155</v>
      </c>
      <c r="T59" s="227">
        <f t="shared" ca="1" si="83"/>
        <v>3011224.0107296002</v>
      </c>
      <c r="U59" s="227">
        <f t="shared" ca="1" si="83"/>
        <v>3299431.2763071992</v>
      </c>
      <c r="V59" s="227">
        <f t="shared" ca="1" si="83"/>
        <v>3590040.2690979447</v>
      </c>
      <c r="W59" s="227">
        <f t="shared" ca="1" si="83"/>
        <v>3883071.0034952797</v>
      </c>
      <c r="X59" s="227">
        <f t="shared" ca="1" si="83"/>
        <v>4178543.6606792593</v>
      </c>
      <c r="Y59" s="227">
        <f t="shared" ca="1" si="83"/>
        <v>4476478.590006439</v>
      </c>
      <c r="Z59" s="227">
        <f t="shared" ca="1" si="83"/>
        <v>4776896.3104113452</v>
      </c>
      <c r="AA59" s="227">
        <f t="shared" ca="1" si="83"/>
        <v>5079817.5118196253</v>
      </c>
      <c r="AB59" s="227">
        <f t="shared" ca="1" si="83"/>
        <v>5385263.0565729747</v>
      </c>
      <c r="AC59" s="227">
        <f t="shared" ca="1" si="83"/>
        <v>5693253.9808659349</v>
      </c>
      <c r="AD59" s="227">
        <f t="shared" ca="1" si="83"/>
        <v>5963778.9219324123</v>
      </c>
      <c r="AE59" s="227">
        <f t="shared" ca="1" si="83"/>
        <v>6200060.9534544097</v>
      </c>
      <c r="AF59" s="227">
        <f t="shared" ca="1" si="83"/>
        <v>6396754.0914503578</v>
      </c>
      <c r="AG59" s="227">
        <f t="shared" ca="1" si="83"/>
        <v>6513921.3773607882</v>
      </c>
      <c r="AH59" s="227">
        <f t="shared" ca="1" si="83"/>
        <v>6628756.0022714175</v>
      </c>
      <c r="AI59" s="227">
        <f t="shared" ca="1" si="83"/>
        <v>6743364.9736413062</v>
      </c>
      <c r="AJ59" s="227">
        <f t="shared" ca="1" si="83"/>
        <v>6888835.057510579</v>
      </c>
      <c r="AK59" s="227">
        <f t="shared" ca="1" si="83"/>
        <v>7033167.9222035054</v>
      </c>
      <c r="AL59" s="227">
        <f t="shared" ca="1" si="83"/>
        <v>7176166.5315589551</v>
      </c>
      <c r="AM59" s="227">
        <f t="shared" ca="1" si="83"/>
        <v>7317829.3968630824</v>
      </c>
      <c r="AN59" s="227">
        <f t="shared" ca="1" si="83"/>
        <v>7458155.1885329196</v>
      </c>
      <c r="AO59" s="227">
        <f t="shared" ca="1" si="83"/>
        <v>7597142.7389868693</v>
      </c>
      <c r="AP59" s="227">
        <f t="shared" ca="1" si="83"/>
        <v>7734791.045550664</v>
      </c>
      <c r="AQ59" s="227">
        <f t="shared" ca="1" si="83"/>
        <v>7871858.9994472768</v>
      </c>
      <c r="AR59" s="227">
        <f t="shared" ca="1" si="83"/>
        <v>8006831.5916069448</v>
      </c>
      <c r="AS59" s="227">
        <f t="shared" ca="1" si="83"/>
        <v>8140101.2107833494</v>
      </c>
      <c r="AT59" s="227">
        <f t="shared" ca="1" si="83"/>
        <v>8278612.6631313423</v>
      </c>
      <c r="AU59" s="227">
        <f t="shared" ca="1" si="83"/>
        <v>8416595.1957970764</v>
      </c>
      <c r="AV59" s="227">
        <f t="shared" ca="1" si="83"/>
        <v>8554075.5181634538</v>
      </c>
      <c r="AW59" s="227">
        <f t="shared" ca="1" si="83"/>
        <v>8690375.898097422</v>
      </c>
      <c r="AX59" s="227">
        <f t="shared" ca="1" si="83"/>
        <v>8825557.998392079</v>
      </c>
      <c r="AY59" s="227">
        <f t="shared" ca="1" si="83"/>
        <v>8959684.6264771912</v>
      </c>
      <c r="AZ59" s="227">
        <f t="shared" ca="1" si="83"/>
        <v>9092819.7480161898</v>
      </c>
      <c r="BA59" s="227">
        <f t="shared" ca="1" si="83"/>
        <v>9225028.5006397963</v>
      </c>
      <c r="BB59" s="227">
        <f t="shared" ca="1" si="83"/>
        <v>9356377.2078175358</v>
      </c>
      <c r="BC59" s="227">
        <f t="shared" ca="1" si="83"/>
        <v>9487491.0214685965</v>
      </c>
      <c r="BD59" s="227">
        <f t="shared" ca="1" si="83"/>
        <v>9617319.6386208218</v>
      </c>
      <c r="BE59" s="227">
        <f t="shared" ca="1" si="83"/>
        <v>9746197.5598831065</v>
      </c>
      <c r="BF59" s="227">
        <f t="shared" ca="1" si="83"/>
        <v>9879613.9363051131</v>
      </c>
      <c r="BG59" s="227">
        <f t="shared" ca="1" si="83"/>
        <v>10012891.218187802</v>
      </c>
      <c r="BH59" s="227">
        <f t="shared" ca="1" si="83"/>
        <v>10146006.559888007</v>
      </c>
      <c r="BI59" s="227">
        <f t="shared" ca="1" si="83"/>
        <v>10278398.339912407</v>
      </c>
      <c r="BJ59" s="227">
        <f t="shared" ca="1" si="83"/>
        <v>10410011.955554666</v>
      </c>
      <c r="BK59" s="227">
        <f t="shared" ca="1" si="83"/>
        <v>10540792.01397956</v>
      </c>
      <c r="BL59" s="227">
        <f t="shared" ca="1" si="83"/>
        <v>10670682.323812971</v>
      </c>
      <c r="BM59" s="227">
        <f t="shared" ca="1" si="83"/>
        <v>10799625.886652818</v>
      </c>
      <c r="BN59" s="227">
        <f t="shared" ca="1" si="83"/>
        <v>10927564.888500195</v>
      </c>
      <c r="BO59" s="227">
        <f t="shared" ca="1" si="83"/>
        <v>11055076.931921227</v>
      </c>
      <c r="BP59" s="227">
        <f t="shared" ca="1" si="83"/>
        <v>11180840.929087706</v>
      </c>
      <c r="BQ59" s="227">
        <f t="shared" ref="BQ59:EB59" ca="1" si="84">SUM(BQ57:BQ58)</f>
        <v>11305146.453173295</v>
      </c>
      <c r="BR59" s="227">
        <f t="shared" ca="1" si="84"/>
        <v>11433860.413470419</v>
      </c>
      <c r="BS59" s="227">
        <f t="shared" ca="1" si="84"/>
        <v>11562080.921821807</v>
      </c>
      <c r="BT59" s="227">
        <f t="shared" ca="1" si="84"/>
        <v>11689799.602512119</v>
      </c>
      <c r="BU59" s="227">
        <f t="shared" ca="1" si="84"/>
        <v>11816332.654946744</v>
      </c>
      <c r="BV59" s="227">
        <f t="shared" ca="1" si="84"/>
        <v>11941661.243681574</v>
      </c>
      <c r="BW59" s="227">
        <f t="shared" ca="1" si="84"/>
        <v>12065766.340097196</v>
      </c>
      <c r="BX59" s="227">
        <f t="shared" ca="1" si="84"/>
        <v>12188628.72064119</v>
      </c>
      <c r="BY59" s="227">
        <f t="shared" ca="1" si="84"/>
        <v>12310228.965055179</v>
      </c>
      <c r="BZ59" s="227">
        <f t="shared" ca="1" si="84"/>
        <v>12430547.454586484</v>
      </c>
      <c r="CA59" s="227">
        <f t="shared" ca="1" si="84"/>
        <v>12550256.694786157</v>
      </c>
      <c r="CB59" s="227">
        <f t="shared" ca="1" si="84"/>
        <v>12667958.74179239</v>
      </c>
      <c r="CC59" s="227">
        <f t="shared" ca="1" si="84"/>
        <v>12783997.979593923</v>
      </c>
      <c r="CD59" s="227">
        <f t="shared" ca="1" si="84"/>
        <v>12904475.541645709</v>
      </c>
      <c r="CE59" s="227">
        <f t="shared" ca="1" si="84"/>
        <v>13024327.551929122</v>
      </c>
      <c r="CF59" s="227">
        <f t="shared" ca="1" si="84"/>
        <v>13143544.360418193</v>
      </c>
      <c r="CG59" s="227">
        <f t="shared" ca="1" si="84"/>
        <v>13261412.334615594</v>
      </c>
      <c r="CH59" s="227">
        <f t="shared" ca="1" si="84"/>
        <v>13377910.907269685</v>
      </c>
      <c r="CI59" s="227">
        <f t="shared" ca="1" si="84"/>
        <v>13493019.302007781</v>
      </c>
      <c r="CJ59" s="227">
        <f t="shared" ca="1" si="84"/>
        <v>13606716.531439362</v>
      </c>
      <c r="CK59" s="227">
        <f t="shared" ca="1" si="84"/>
        <v>13718981.39524284</v>
      </c>
      <c r="CL59" s="227">
        <f t="shared" ca="1" si="84"/>
        <v>13829792.478235748</v>
      </c>
      <c r="CM59" s="227">
        <f t="shared" ca="1" si="84"/>
        <v>13939849.737314394</v>
      </c>
      <c r="CN59" s="227">
        <f t="shared" ca="1" si="84"/>
        <v>14047695.154783094</v>
      </c>
      <c r="CO59" s="227">
        <f t="shared" ca="1" si="84"/>
        <v>14153686.68012155</v>
      </c>
      <c r="CP59" s="227">
        <f t="shared" ca="1" si="84"/>
        <v>14264135.04564512</v>
      </c>
      <c r="CQ59" s="227">
        <f t="shared" ca="1" si="84"/>
        <v>14373808.219046423</v>
      </c>
      <c r="CR59" s="227">
        <f t="shared" ca="1" si="84"/>
        <v>14482695.122687167</v>
      </c>
      <c r="CS59" s="227">
        <f t="shared" ca="1" si="84"/>
        <v>14590050.930919459</v>
      </c>
      <c r="CT59" s="227">
        <f t="shared" ca="1" si="84"/>
        <v>14695853.170381036</v>
      </c>
      <c r="CU59" s="227">
        <f t="shared" ca="1" si="84"/>
        <v>14800079.141126825</v>
      </c>
      <c r="CV59" s="227">
        <f t="shared" ca="1" si="84"/>
        <v>14902705.914580172</v>
      </c>
      <c r="CW59" s="227">
        <f t="shared" ca="1" si="84"/>
        <v>15003710.33146633</v>
      </c>
      <c r="CX59" s="227">
        <f t="shared" ca="1" si="84"/>
        <v>15103068.999728063</v>
      </c>
      <c r="CY59" s="227">
        <f t="shared" ca="1" si="84"/>
        <v>15201510.382583302</v>
      </c>
      <c r="CZ59" s="227">
        <f t="shared" ca="1" si="84"/>
        <v>15297513.742946843</v>
      </c>
      <c r="DA59" s="227">
        <f t="shared" ca="1" si="84"/>
        <v>15391451.062053544</v>
      </c>
      <c r="DB59" s="227">
        <f t="shared" ca="1" si="84"/>
        <v>15489850.678330654</v>
      </c>
      <c r="DC59" s="227">
        <f t="shared" ca="1" si="84"/>
        <v>15587305.924516553</v>
      </c>
      <c r="DD59" s="227">
        <f t="shared" ca="1" si="84"/>
        <v>15683804.125121219</v>
      </c>
      <c r="DE59" s="227">
        <f t="shared" ca="1" si="84"/>
        <v>15778567.832014117</v>
      </c>
      <c r="DF59" s="227">
        <f t="shared" ca="1" si="84"/>
        <v>15871572.473418843</v>
      </c>
      <c r="DG59" s="227">
        <f t="shared" ca="1" si="84"/>
        <v>15962793.231845738</v>
      </c>
      <c r="DH59" s="227">
        <f t="shared" ca="1" si="84"/>
        <v>16052205.041876987</v>
      </c>
      <c r="DI59" s="227">
        <f t="shared" ca="1" si="84"/>
        <v>16139782.587932501</v>
      </c>
      <c r="DJ59" s="227">
        <f t="shared" ca="1" si="84"/>
        <v>16225500.302016256</v>
      </c>
      <c r="DK59" s="227">
        <f t="shared" ca="1" si="84"/>
        <v>16310116.242154798</v>
      </c>
      <c r="DL59" s="227">
        <f t="shared" ca="1" si="84"/>
        <v>16392044.183315512</v>
      </c>
      <c r="DM59" s="227">
        <f t="shared" ca="1" si="84"/>
        <v>16471670.613192944</v>
      </c>
      <c r="DN59" s="227">
        <f t="shared" ca="1" si="84"/>
        <v>16555749.857675547</v>
      </c>
      <c r="DO59" s="227">
        <f t="shared" ca="1" si="84"/>
        <v>16638693.803968998</v>
      </c>
      <c r="DP59" s="227">
        <f t="shared" ca="1" si="84"/>
        <v>16720487.98974668</v>
      </c>
      <c r="DQ59" s="227">
        <f t="shared" ca="1" si="84"/>
        <v>16800320.843000092</v>
      </c>
      <c r="DR59" s="227">
        <f t="shared" ca="1" si="84"/>
        <v>16878165.481363807</v>
      </c>
      <c r="DS59" s="227">
        <f t="shared" ca="1" si="84"/>
        <v>16953994.755791523</v>
      </c>
      <c r="DT59" s="227">
        <f t="shared" ca="1" si="84"/>
        <v>17027781.248166032</v>
      </c>
      <c r="DU59" s="227">
        <f t="shared" ca="1" si="84"/>
        <v>17099497.26885647</v>
      </c>
      <c r="DV59" s="227">
        <f t="shared" ca="1" si="84"/>
        <v>17169114.854323648</v>
      </c>
      <c r="DW59" s="227">
        <f t="shared" ca="1" si="84"/>
        <v>17237422.779650237</v>
      </c>
      <c r="DX59" s="227">
        <f t="shared" ca="1" si="84"/>
        <v>17302766.433930248</v>
      </c>
      <c r="DY59" s="227">
        <f t="shared" ca="1" si="84"/>
        <v>17365547.293642581</v>
      </c>
      <c r="DZ59" s="227">
        <f t="shared" ca="1" si="84"/>
        <v>17432754.450615719</v>
      </c>
      <c r="EA59" s="227">
        <f t="shared" ca="1" si="84"/>
        <v>17498611.180471029</v>
      </c>
      <c r="EB59" s="227">
        <f t="shared" ca="1" si="84"/>
        <v>17563101.02430569</v>
      </c>
      <c r="EC59" s="227">
        <f ca="1">SUM(EC57:EC58)</f>
        <v>17625376.708516203</v>
      </c>
      <c r="ED59" s="227">
        <f ca="1">SUM(ED57:ED58)</f>
        <v>17685408.806041058</v>
      </c>
      <c r="EE59" s="227">
        <f ca="1">SUM(EE57:EE58)</f>
        <v>17743167.599849477</v>
      </c>
      <c r="EF59" s="227">
        <f ca="1">SUM(EF57:EF58)</f>
        <v>17798623.083556063</v>
      </c>
      <c r="EG59" s="227">
        <f ca="1">SUM(EG57:EG58)</f>
        <v>17851744.949653335</v>
      </c>
    </row>
    <row r="60" spans="1:137" x14ac:dyDescent="0.3">
      <c r="A60" s="241" t="s">
        <v>2475</v>
      </c>
      <c r="B60" s="241"/>
      <c r="C60" s="241"/>
      <c r="D60" s="687"/>
      <c r="E60" s="242">
        <f ca="1">IF('General Inputs'!$J$8=0,0,IF(E$163&gt;0,-MIN(ContrEquity*E$163,E$59),0))</f>
        <v>0</v>
      </c>
      <c r="F60" s="242">
        <f ca="1">IF('General Inputs'!$J$8=0,0,IF(F$163&gt;0,-MIN(ContrEquity*F$163,F$59),0))</f>
        <v>0</v>
      </c>
      <c r="G60" s="242">
        <f ca="1">IF('General Inputs'!$J$8=0,0,IF(G$163&gt;0,-MIN(ContrEquity*G$163,G$59),0))</f>
        <v>0</v>
      </c>
      <c r="H60" s="242">
        <f ca="1">IF('General Inputs'!$J$8=0,0,IF(H$163&gt;0,-MIN(ContrEquity*H$163,H$59),0))</f>
        <v>0</v>
      </c>
      <c r="I60" s="242">
        <f ca="1">IF('General Inputs'!$J$8=0,0,IF(I$163&gt;0,-MIN(ContrEquity*I$163,I$59),0))</f>
        <v>0</v>
      </c>
      <c r="J60" s="242">
        <f ca="1">IF('General Inputs'!$J$8=0,0,IF(J$163&gt;0,-MIN(ContrEquity*J$163,J$59),0))</f>
        <v>0</v>
      </c>
      <c r="K60" s="242">
        <f ca="1">IF('General Inputs'!$J$8=0,0,IF(K$163&gt;0,-MIN(ContrEquity*K$163,K$59),0))</f>
        <v>0</v>
      </c>
      <c r="L60" s="242">
        <f ca="1">IF('General Inputs'!$J$8=0,0,IF(L$163&gt;0,-MIN(ContrEquity*L$163,L$59),0))</f>
        <v>0</v>
      </c>
      <c r="M60" s="242">
        <f ca="1">IF('General Inputs'!$J$8=0,0,IF(M$163&gt;0,-MIN(ContrEquity*M$163,M$59),0))</f>
        <v>0</v>
      </c>
      <c r="N60" s="242">
        <f ca="1">IF('General Inputs'!$J$8=0,0,IF(N$163&gt;0,-MIN(ContrEquity*N$163,N$59),0))</f>
        <v>0</v>
      </c>
      <c r="O60" s="242">
        <f ca="1">IF('General Inputs'!$J$8=0,0,IF(O$163&gt;0,-MIN(ContrEquity*O$163,O$59),0))</f>
        <v>0</v>
      </c>
      <c r="P60" s="242">
        <f ca="1">IF('General Inputs'!$J$8=0,0,IF(P$163&gt;0,-MIN(ContrEquity*P$163,P$59),0))</f>
        <v>0</v>
      </c>
      <c r="Q60" s="242">
        <f ca="1">IF('General Inputs'!$J$8=0,0,IF(Q$163&gt;0,-MIN(ContrEquity*Q$163,Q$59),0))</f>
        <v>0</v>
      </c>
      <c r="R60" s="242">
        <f ca="1">IF('General Inputs'!$J$8=0,0,IF(R$163&gt;0,-MIN(ContrEquity*R$163,R$59),0))</f>
        <v>0</v>
      </c>
      <c r="S60" s="242">
        <f ca="1">IF('General Inputs'!$J$8=0,0,IF(S$163&gt;0,-MIN(ContrEquity*S$163,S$59),0))</f>
        <v>0</v>
      </c>
      <c r="T60" s="242">
        <f ca="1">IF('General Inputs'!$J$8=0,0,IF(T$163&gt;0,-MIN(ContrEquity*T$163,T$59),0))</f>
        <v>0</v>
      </c>
      <c r="U60" s="242">
        <f ca="1">IF('General Inputs'!$J$8=0,0,IF(U$163&gt;0,-MIN(ContrEquity*U$163,U$59),0))</f>
        <v>0</v>
      </c>
      <c r="V60" s="242">
        <f ca="1">IF('General Inputs'!$J$8=0,0,IF(V$163&gt;0,-MIN(ContrEquity*V$163,V$59),0))</f>
        <v>0</v>
      </c>
      <c r="W60" s="242">
        <f ca="1">IF('General Inputs'!$J$8=0,0,IF(W$163&gt;0,-MIN(ContrEquity*W$163,W$59),0))</f>
        <v>0</v>
      </c>
      <c r="X60" s="242">
        <f ca="1">IF('General Inputs'!$J$8=0,0,IF(X$163&gt;0,-MIN(ContrEquity*X$163,X$59),0))</f>
        <v>0</v>
      </c>
      <c r="Y60" s="242">
        <f ca="1">IF('General Inputs'!$J$8=0,0,IF(Y$163&gt;0,-MIN(ContrEquity*Y$163,Y$59),0))</f>
        <v>0</v>
      </c>
      <c r="Z60" s="242">
        <f ca="1">IF('General Inputs'!$J$8=0,0,IF(Z$163&gt;0,-MIN(ContrEquity*Z$163,Z$59),0))</f>
        <v>0</v>
      </c>
      <c r="AA60" s="242">
        <f ca="1">IF('General Inputs'!$J$8=0,0,IF(AA$163&gt;0,-MIN(ContrEquity*AA$163,AA$59),0))</f>
        <v>0</v>
      </c>
      <c r="AB60" s="242">
        <f ca="1">IF('General Inputs'!$J$8=0,0,IF(AB$163&gt;0,-MIN(ContrEquity*AB$163,AB$59),0))</f>
        <v>0</v>
      </c>
      <c r="AC60" s="242">
        <f ca="1">IF('General Inputs'!$J$8=0,0,IF(AC$163&gt;0,-MIN(ContrEquity*AC$163,AC$59),0))</f>
        <v>-39701.726541082207</v>
      </c>
      <c r="AD60" s="242">
        <f ca="1">IF('General Inputs'!$J$8=0,0,IF(AD$163&gt;0,-MIN(ContrEquity*AD$163,AD$59),0))</f>
        <v>-75897.380147726886</v>
      </c>
      <c r="AE60" s="242">
        <f ca="1">IF('General Inputs'!$J$8=0,0,IF(AE$163&gt;0,-MIN(ContrEquity*AE$163,AE$59),0))</f>
        <v>-117111.83679771089</v>
      </c>
      <c r="AF60" s="242">
        <f ca="1">IF('General Inputs'!$J$8=0,0,IF(AF$163&gt;0,-MIN(ContrEquity*AF$163,AF$59),0))</f>
        <v>-197606.01356017322</v>
      </c>
      <c r="AG60" s="242">
        <f ca="1">IF('General Inputs'!$J$8=0,0,IF(AG$163&gt;0,-MIN(ContrEquity*AG$163,AG$59),0))</f>
        <v>-200887.72104683847</v>
      </c>
      <c r="AH60" s="242">
        <f ca="1">IF('General Inputs'!$J$8=0,0,IF(AH$163&gt;0,-MIN(ContrEquity*AH$163,AH$59),0))</f>
        <v>-202060.55509080735</v>
      </c>
      <c r="AI60" s="242">
        <f ca="1">IF('General Inputs'!$J$8=0,0,IF(AI$163&gt;0,-MIN(ContrEquity*AI$163,AI$59),0))</f>
        <v>-172401.67576785877</v>
      </c>
      <c r="AJ60" s="242">
        <f ca="1">IF('General Inputs'!$J$8=0,0,IF(AJ$163&gt;0,-MIN(ContrEquity*AJ$163,AJ$59),0))</f>
        <v>-174731.72853670808</v>
      </c>
      <c r="AK60" s="242">
        <f ca="1">IF('General Inputs'!$J$8=0,0,IF(AK$163&gt;0,-MIN(ContrEquity*AK$163,AK$59),0))</f>
        <v>-177247.79056307318</v>
      </c>
      <c r="AL60" s="242">
        <f ca="1">IF('General Inputs'!$J$8=0,0,IF(AL$163&gt;0,-MIN(ContrEquity*AL$163,AL$59),0))</f>
        <v>-179754.30209624808</v>
      </c>
      <c r="AM60" s="242">
        <f ca="1">IF('General Inputs'!$J$8=0,0,IF(AM$163&gt;0,-MIN(ContrEquity*AM$163,AM$59),0))</f>
        <v>-182251.09301706479</v>
      </c>
      <c r="AN60" s="242">
        <f ca="1">IF('General Inputs'!$J$8=0,0,IF(AN$163&gt;0,-MIN(ContrEquity*AN$163,AN$59),0))</f>
        <v>-184737.99167472089</v>
      </c>
      <c r="AO60" s="242">
        <f ca="1">IF('General Inputs'!$J$8=0,0,IF(AO$163&gt;0,-MIN(ContrEquity*AO$163,AO$59),0))</f>
        <v>-187214.82487532069</v>
      </c>
      <c r="AP60" s="242">
        <f ca="1">IF('General Inputs'!$J$8=0,0,IF(AP$163&gt;0,-MIN(ContrEquity*AP$163,AP$59),0))</f>
        <v>-188927.9705499119</v>
      </c>
      <c r="AQ60" s="242">
        <f ca="1">IF('General Inputs'!$J$8=0,0,IF(AQ$163&gt;0,-MIN(ContrEquity*AQ$163,AQ$59),0))</f>
        <v>-192138.80825511899</v>
      </c>
      <c r="AR60" s="242">
        <f ca="1">IF('General Inputs'!$J$8=0,0,IF(AR$163&gt;0,-MIN(ContrEquity*AR$163,AR$59),0))</f>
        <v>-194943.1830497584</v>
      </c>
      <c r="AS60" s="242">
        <f ca="1">IF('General Inputs'!$J$8=0,0,IF(AS$163&gt;0,-MIN(ContrEquity*AS$163,AS$59),0))</f>
        <v>-190846.07262484613</v>
      </c>
      <c r="AT60" s="242">
        <f ca="1">IF('General Inputs'!$J$8=0,0,IF(AT$163&gt;0,-MIN(ContrEquity*AT$163,AT$59),0))</f>
        <v>-192515.34381673933</v>
      </c>
      <c r="AU60" s="242">
        <f ca="1">IF('General Inputs'!$J$8=0,0,IF(AU$163&gt;0,-MIN(ContrEquity*AU$163,AU$59),0))</f>
        <v>-194153.75512738939</v>
      </c>
      <c r="AV60" s="242">
        <f ca="1">IF('General Inputs'!$J$8=0,0,IF(AV$163&gt;0,-MIN(ContrEquity*AV$163,AV$59),0))</f>
        <v>-196460.1469807401</v>
      </c>
      <c r="AW60" s="242">
        <f ca="1">IF('General Inputs'!$J$8=0,0,IF(AW$163&gt;0,-MIN(ContrEquity*AW$163,AW$59),0))</f>
        <v>-198695.63406050156</v>
      </c>
      <c r="AX60" s="242">
        <f ca="1">IF('General Inputs'!$J$8=0,0,IF(AX$163&gt;0,-MIN(ContrEquity*AX$163,AX$59),0))</f>
        <v>-200859.59079967643</v>
      </c>
      <c r="AY60" s="242">
        <f ca="1">IF('General Inputs'!$J$8=0,0,IF(AY$163&gt;0,-MIN(ContrEquity*AY$163,AY$59),0))</f>
        <v>-202951.38760644387</v>
      </c>
      <c r="AZ60" s="242">
        <f ca="1">IF('General Inputs'!$J$8=0,0,IF(AZ$163&gt;0,-MIN(ContrEquity*AZ$163,AZ$59),0))</f>
        <v>-204970.39084103913</v>
      </c>
      <c r="BA60" s="242">
        <f ca="1">IF('General Inputs'!$J$8=0,0,IF(BA$163&gt;0,-MIN(ContrEquity*BA$163,BA$59),0))</f>
        <v>-206915.96279250665</v>
      </c>
      <c r="BB60" s="242">
        <f ca="1">IF('General Inputs'!$J$8=0,0,IF(BB$163&gt;0,-MIN(ContrEquity*BB$163,BB$59),0))</f>
        <v>-208234.44155597102</v>
      </c>
      <c r="BC60" s="242">
        <f ca="1">IF('General Inputs'!$J$8=0,0,IF(BC$163&gt;0,-MIN(ContrEquity*BC$163,BC$59),0))</f>
        <v>-210592.60183292444</v>
      </c>
      <c r="BD60" s="242">
        <f ca="1">IF('General Inputs'!$J$8=0,0,IF(BD$163&gt;0,-MIN(ContrEquity*BD$163,BD$59),0))</f>
        <v>-212608.40451015695</v>
      </c>
      <c r="BE60" s="242">
        <f ca="1">IF('General Inputs'!$J$8=0,0,IF(BE$163&gt;0,-MIN(ContrEquity*BE$163,BE$59),0))</f>
        <v>-209172.56403160875</v>
      </c>
      <c r="BF60" s="242">
        <f ca="1">IF('General Inputs'!$J$8=0,0,IF(BF$163&gt;0,-MIN(ContrEquity*BF$163,BF$59),0))</f>
        <v>-210413.12371045238</v>
      </c>
      <c r="BG60" s="242">
        <f ca="1">IF('General Inputs'!$J$8=0,0,IF(BG$163&gt;0,-MIN(ContrEquity*BG$163,BG$59),0))</f>
        <v>-211675.19068384558</v>
      </c>
      <c r="BH60" s="242">
        <f ca="1">IF('General Inputs'!$J$8=0,0,IF(BH$163&gt;0,-MIN(ContrEquity*BH$163,BH$59),0))</f>
        <v>-213492.89930200146</v>
      </c>
      <c r="BI60" s="242">
        <f ca="1">IF('General Inputs'!$J$8=0,0,IF(BI$163&gt;0,-MIN(ContrEquity*BI$163,BI$59),0))</f>
        <v>-215358.77951589701</v>
      </c>
      <c r="BJ60" s="242">
        <f ca="1">IF('General Inputs'!$J$8=0,0,IF(BJ$163&gt;0,-MIN(ContrEquity*BJ$163,BJ$59),0))</f>
        <v>-217273.1636623946</v>
      </c>
      <c r="BK60" s="242">
        <f ca="1">IF('General Inputs'!$J$8=0,0,IF(BK$163&gt;0,-MIN(ContrEquity*BK$163,BK$59),0))</f>
        <v>-219236.38588886344</v>
      </c>
      <c r="BL60" s="242">
        <f ca="1">IF('General Inputs'!$J$8=0,0,IF(BL$163&gt;0,-MIN(ContrEquity*BL$163,BL$59),0))</f>
        <v>-221248.78216209679</v>
      </c>
      <c r="BM60" s="242">
        <f ca="1">IF('General Inputs'!$J$8=0,0,IF(BM$163&gt;0,-MIN(ContrEquity*BM$163,BM$59),0))</f>
        <v>-223310.69027727091</v>
      </c>
      <c r="BN60" s="242">
        <f ca="1">IF('General Inputs'!$J$8=0,0,IF(BN$163&gt;0,-MIN(ContrEquity*BN$163,BN$59),0))</f>
        <v>-224791.46724428562</v>
      </c>
      <c r="BO60" s="242">
        <f ca="1">IF('General Inputs'!$J$8=0,0,IF(BO$163&gt;0,-MIN(ContrEquity*BO$163,BO$59),0))</f>
        <v>-227578.88537624906</v>
      </c>
      <c r="BP60" s="242">
        <f ca="1">IF('General Inputs'!$J$8=0,0,IF(BP$163&gt;0,-MIN(ContrEquity*BP$163,BP$59),0))</f>
        <v>-230064.6768380104</v>
      </c>
      <c r="BQ60" s="242">
        <f ca="1">IF('General Inputs'!$J$8=0,0,IF(BQ$163&gt;0,-MIN(ContrEquity*BQ$163,BQ$59),0))</f>
        <v>-226719.99236446855</v>
      </c>
      <c r="BR60" s="242">
        <f ca="1">IF('General Inputs'!$J$8=0,0,IF(BR$163&gt;0,-MIN(ContrEquity*BR$163,BR$59),0))</f>
        <v>-228273.11793294447</v>
      </c>
      <c r="BS60" s="242">
        <f ca="1">IF('General Inputs'!$J$8=0,0,IF(BS$163&gt;0,-MIN(ContrEquity*BS$163,BS$59),0))</f>
        <v>-229830.47188071444</v>
      </c>
      <c r="BT60" s="242">
        <f ca="1">IF('General Inputs'!$J$8=0,0,IF(BT$163&gt;0,-MIN(ContrEquity*BT$163,BT$59),0))</f>
        <v>-232061.82784247448</v>
      </c>
      <c r="BU60" s="242">
        <f ca="1">IF('General Inputs'!$J$8=0,0,IF(BU$163&gt;0,-MIN(ContrEquity*BU$163,BU$59),0))</f>
        <v>-234302.06500288815</v>
      </c>
      <c r="BV60" s="242">
        <f ca="1">IF('General Inputs'!$J$8=0,0,IF(BV$163&gt;0,-MIN(ContrEquity*BV$163,BV$59),0))</f>
        <v>-236551.21927594484</v>
      </c>
      <c r="BW60" s="242">
        <f ca="1">IF('General Inputs'!$J$8=0,0,IF(BW$163&gt;0,-MIN(ContrEquity*BW$163,BW$59),0))</f>
        <v>-238809.32672231592</v>
      </c>
      <c r="BX60" s="242">
        <f ca="1">IF('General Inputs'!$J$8=0,0,IF(BX$163&gt;0,-MIN(ContrEquity*BX$163,BX$59),0))</f>
        <v>-241076.42354995816</v>
      </c>
      <c r="BY60" s="242">
        <f ca="1">IF('General Inputs'!$J$8=0,0,IF(BY$163&gt;0,-MIN(ContrEquity*BY$163,BY$59),0))</f>
        <v>-243352.54611471822</v>
      </c>
      <c r="BZ60" s="242">
        <f ca="1">IF('General Inputs'!$J$8=0,0,IF(BZ$163&gt;0,-MIN(ContrEquity*BZ$163,BZ$59),0))</f>
        <v>-244951.12800998174</v>
      </c>
      <c r="CA60" s="242">
        <f ca="1">IF('General Inputs'!$J$8=0,0,IF(CA$163&gt;0,-MIN(ContrEquity*CA$163,CA$59),0))</f>
        <v>-247931.06539355716</v>
      </c>
      <c r="CB60" s="242">
        <f ca="1">IF('General Inputs'!$J$8=0,0,IF(CB$163&gt;0,-MIN(ContrEquity*CB$163,CB$59),0))</f>
        <v>-250552.87656355815</v>
      </c>
      <c r="CC60" s="242">
        <f ca="1">IF('General Inputs'!$J$8=0,0,IF(CC$163&gt;0,-MIN(ContrEquity*CC$163,CC$59),0))</f>
        <v>-247110.2346443132</v>
      </c>
      <c r="CD60" s="242">
        <f ca="1">IF('General Inputs'!$J$8=0,0,IF(CD$163&gt;0,-MIN(ContrEquity*CD$163,CD$59),0))</f>
        <v>-248726.29889436733</v>
      </c>
      <c r="CE60" s="242">
        <f ca="1">IF('General Inputs'!$J$8=0,0,IF(CE$163&gt;0,-MIN(ContrEquity*CE$163,CE$59),0))</f>
        <v>-250346.76356878303</v>
      </c>
      <c r="CF60" s="242">
        <f ca="1">IF('General Inputs'!$J$8=0,0,IF(CF$163&gt;0,-MIN(ContrEquity*CF$163,CF$59),0))</f>
        <v>-252669.71334968842</v>
      </c>
      <c r="CG60" s="242">
        <f ca="1">IF('General Inputs'!$J$8=0,0,IF(CG$163&gt;0,-MIN(ContrEquity*CG$163,CG$59),0))</f>
        <v>-255001.9130141066</v>
      </c>
      <c r="CH60" s="242">
        <f ca="1">IF('General Inputs'!$J$8=0,0,IF(CH$163&gt;0,-MIN(ContrEquity*CH$163,CH$59),0))</f>
        <v>-257343.39997752351</v>
      </c>
      <c r="CI60" s="242">
        <f ca="1">IF('General Inputs'!$J$8=0,0,IF(CI$163&gt;0,-MIN(ContrEquity*CI$163,CI$59),0))</f>
        <v>-259694.21180826731</v>
      </c>
      <c r="CJ60" s="242">
        <f ca="1">IF('General Inputs'!$J$8=0,0,IF(CJ$163&gt;0,-MIN(ContrEquity*CJ$163,CJ$59),0))</f>
        <v>-262054.38622813544</v>
      </c>
      <c r="CK60" s="242">
        <f ca="1">IF('General Inputs'!$J$8=0,0,IF(CK$163&gt;0,-MIN(ContrEquity*CK$163,CK$59),0))</f>
        <v>-264423.96111302596</v>
      </c>
      <c r="CL60" s="242">
        <f ca="1">IF('General Inputs'!$J$8=0,0,IF(CL$163&gt;0,-MIN(ContrEquity*CL$163,CL$59),0))</f>
        <v>-266087.34915190429</v>
      </c>
      <c r="CM60" s="242">
        <f ca="1">IF('General Inputs'!$J$8=0,0,IF(CM$163&gt;0,-MIN(ContrEquity*CM$163,CM$59),0))</f>
        <v>-269190.47520373861</v>
      </c>
      <c r="CN60" s="242">
        <f ca="1">IF('General Inputs'!$J$8=0,0,IF(CN$163&gt;0,-MIN(ContrEquity*CN$163,CN$59),0))</f>
        <v>-271920.33035331068</v>
      </c>
      <c r="CO60" s="242">
        <f ca="1">IF('General Inputs'!$J$8=0,0,IF(CO$163&gt;0,-MIN(ContrEquity*CO$163,CO$59),0))</f>
        <v>-268376.28657748428</v>
      </c>
      <c r="CP60" s="242">
        <f ca="1">IF('General Inputs'!$J$8=0,0,IF(CP$163&gt;0,-MIN(ContrEquity*CP$163,CP$59),0))</f>
        <v>-270057.86856256978</v>
      </c>
      <c r="CQ60" s="242">
        <f ca="1">IF('General Inputs'!$J$8=0,0,IF(CQ$163&gt;0,-MIN(ContrEquity*CQ$163,CQ$59),0))</f>
        <v>-271744.03008875606</v>
      </c>
      <c r="CR60" s="242">
        <f ca="1">IF('General Inputs'!$J$8=0,0,IF(CR$163&gt;0,-MIN(ContrEquity*CR$163,CR$59),0))</f>
        <v>-274162.36358177086</v>
      </c>
      <c r="CS60" s="242">
        <f ca="1">IF('General Inputs'!$J$8=0,0,IF(CS$163&gt;0,-MIN(ContrEquity*CS$163,CS$59),0))</f>
        <v>-276590.33102572343</v>
      </c>
      <c r="CT60" s="242">
        <f ca="1">IF('General Inputs'!$J$8=0,0,IF(CT$163&gt;0,-MIN(ContrEquity*CT$163,CT$59),0))</f>
        <v>-279027.9714005671</v>
      </c>
      <c r="CU60" s="242">
        <f ca="1">IF('General Inputs'!$J$8=0,0,IF(CU$163&gt;0,-MIN(ContrEquity*CU$163,CU$59),0))</f>
        <v>-281475.32384551584</v>
      </c>
      <c r="CV60" s="242">
        <f ca="1">IF('General Inputs'!$J$8=0,0,IF(CV$163&gt;0,-MIN(ContrEquity*CV$163,CV$59),0))</f>
        <v>-283932.42765969806</v>
      </c>
      <c r="CW60" s="242">
        <f ca="1">IF('General Inputs'!$J$8=0,0,IF(CW$163&gt;0,-MIN(ContrEquity*CW$163,CW$59),0))</f>
        <v>-286399.32230281422</v>
      </c>
      <c r="CX60" s="242">
        <f ca="1">IF('General Inputs'!$J$8=0,0,IF(CX$163&gt;0,-MIN(ContrEquity*CX$163,CX$59),0))</f>
        <v>-288130.1728568729</v>
      </c>
      <c r="CY60" s="242">
        <f ca="1">IF('General Inputs'!$J$8=0,0,IF(CY$163&gt;0,-MIN(ContrEquity*CY$163,CY$59),0))</f>
        <v>-291361.61154992325</v>
      </c>
      <c r="CZ60" s="242">
        <f ca="1">IF('General Inputs'!$J$8=0,0,IF(CZ$163&gt;0,-MIN(ContrEquity*CZ$163,CZ$59),0))</f>
        <v>-294203.99428698316</v>
      </c>
      <c r="DA60" s="242">
        <f ca="1">IF('General Inputs'!$J$8=0,0,IF(DA$163&gt;0,-MIN(ContrEquity*DA$163,DA$59),0))</f>
        <v>-290554.91708580614</v>
      </c>
      <c r="DB60" s="242">
        <f ca="1">IF('General Inputs'!$J$8=0,0,IF(DB$163&gt;0,-MIN(ContrEquity*DB$163,DB$59),0))</f>
        <v>-292304.70243475179</v>
      </c>
      <c r="DC60" s="242">
        <f ca="1">IF('General Inputs'!$J$8=0,0,IF(DC$163&gt;0,-MIN(ContrEquity*DC$163,DC$59),0))</f>
        <v>-294059.25380610646</v>
      </c>
      <c r="DD60" s="242">
        <f ca="1">IF('General Inputs'!$J$8=0,0,IF(DD$163&gt;0,-MIN(ContrEquity*DD$163,DD$59),0))</f>
        <v>-296576.91864922119</v>
      </c>
      <c r="DE60" s="242">
        <f ca="1">IF('General Inputs'!$J$8=0,0,IF(DE$163&gt;0,-MIN(ContrEquity*DE$163,DE$59),0))</f>
        <v>-299104.61753743113</v>
      </c>
      <c r="DF60" s="242">
        <f ca="1">IF('General Inputs'!$J$8=0,0,IF(DF$163&gt;0,-MIN(ContrEquity*DF$163,DF$59),0))</f>
        <v>-301642.39108077507</v>
      </c>
      <c r="DG60" s="242">
        <f ca="1">IF('General Inputs'!$J$8=0,0,IF(DG$163&gt;0,-MIN(ContrEquity*DG$163,DG$59),0))</f>
        <v>-304190.28005523974</v>
      </c>
      <c r="DH60" s="242">
        <f ca="1">IF('General Inputs'!$J$8=0,0,IF(DH$163&gt;0,-MIN(ContrEquity*DH$163,DH$59),0))</f>
        <v>-306748.32540344313</v>
      </c>
      <c r="DI60" s="242">
        <f ca="1">IF('General Inputs'!$J$8=0,0,IF(DI$163&gt;0,-MIN(ContrEquity*DI$163,DI$59),0))</f>
        <v>-309316.56823531887</v>
      </c>
      <c r="DJ60" s="242">
        <f ca="1">IF('General Inputs'!$J$8=0,0,IF(DJ$163&gt;0,-MIN(ContrEquity*DJ$163,DJ$59),0))</f>
        <v>-311117.64747114095</v>
      </c>
      <c r="DK60" s="242">
        <f ca="1">IF('General Inputs'!$J$8=0,0,IF(DK$163&gt;0,-MIN(ContrEquity*DK$163,DK$59),0))</f>
        <v>-314482.73687177029</v>
      </c>
      <c r="DL60" s="242">
        <f ca="1">IF('General Inputs'!$J$8=0,0,IF(DL$163&gt;0,-MIN(ContrEquity*DL$163,DL$59),0))</f>
        <v>-317442.31782351085</v>
      </c>
      <c r="DM60" s="242">
        <f ca="1">IF('General Inputs'!$J$8=0,0,IF(DM$163&gt;0,-MIN(ContrEquity*DM$163,DM$59),0))</f>
        <v>-313684.37300744123</v>
      </c>
      <c r="DN60" s="242">
        <f ca="1">IF('General Inputs'!$J$8=0,0,IF(DN$163&gt;0,-MIN(ContrEquity*DN$163,DN$59),0))</f>
        <v>-315505.15835614328</v>
      </c>
      <c r="DO60" s="242">
        <f ca="1">IF('General Inputs'!$J$8=0,0,IF(DO$163&gt;0,-MIN(ContrEquity*DO$163,DO$59),0))</f>
        <v>-317330.90387823118</v>
      </c>
      <c r="DP60" s="242">
        <f ca="1">IF('General Inputs'!$J$8=0,0,IF(DP$163&gt;0,-MIN(ContrEquity*DP$163,DP$59),0))</f>
        <v>-319952.01204871415</v>
      </c>
      <c r="DQ60" s="242">
        <f ca="1">IF('General Inputs'!$J$8=0,0,IF(DQ$163&gt;0,-MIN(ContrEquity*DQ$163,DQ$59),0))</f>
        <v>-322583.57105639752</v>
      </c>
      <c r="DR60" s="242">
        <f ca="1">IF('General Inputs'!$J$8=0,0,IF(DR$163&gt;0,-MIN(ContrEquity*DR$163,DR$59),0))</f>
        <v>-325225.62320977997</v>
      </c>
      <c r="DS60" s="242">
        <f ca="1">IF('General Inputs'!$J$8=0,0,IF(DS$163&gt;0,-MIN(ContrEquity*DS$163,DS$59),0))</f>
        <v>-327878.21099027898</v>
      </c>
      <c r="DT60" s="242">
        <f ca="1">IF('General Inputs'!$J$8=0,0,IF(DT$163&gt;0,-MIN(ContrEquity*DT$163,DT$59),0))</f>
        <v>-330541.37705294113</v>
      </c>
      <c r="DU60" s="242">
        <f ca="1">IF('General Inputs'!$J$8=0,0,IF(DU$163&gt;0,-MIN(ContrEquity*DU$163,DU$59),0))</f>
        <v>-333215.16422715649</v>
      </c>
      <c r="DV60" s="242">
        <f ca="1">IF('General Inputs'!$J$8=0,0,IF(DV$163&gt;0,-MIN(ContrEquity*DV$163,DV$59),0))</f>
        <v>-335089.3526726726</v>
      </c>
      <c r="DW60" s="242">
        <f ca="1">IF('General Inputs'!$J$8=0,0,IF(DW$163&gt;0,-MIN(ContrEquity*DW$163,DW$59),0))</f>
        <v>-338593.65391544387</v>
      </c>
      <c r="DX60" s="242">
        <f ca="1">IF('General Inputs'!$J$8=0,0,IF(DX$163&gt;0,-MIN(ContrEquity*DX$163,DX$59),0))</f>
        <v>-341675.29855853459</v>
      </c>
      <c r="DY60" s="242">
        <f ca="1">IF('General Inputs'!$J$8=0,0,IF(DY$163&gt;0,-MIN(ContrEquity*DY$163,DY$59),0))</f>
        <v>-337804.43234174023</v>
      </c>
      <c r="DZ60" s="242">
        <f ca="1">IF('General Inputs'!$J$8=0,0,IF(DZ$163&gt;0,-MIN(ContrEquity*DZ$163,DZ$59),0))</f>
        <v>-339699.12994998565</v>
      </c>
      <c r="EA60" s="242">
        <f ca="1">IF('General Inputs'!$J$8=0,0,IF(EA$163&gt;0,-MIN(ContrEquity*EA$163,EA$59),0))</f>
        <v>-341598.98987007153</v>
      </c>
      <c r="EB60" s="242">
        <f ca="1">IF('General Inputs'!$J$8=0,0,IF(EB$163&gt;0,-MIN(ContrEquity*EB$163,EB$59),0))</f>
        <v>-344327.8245552507</v>
      </c>
      <c r="EC60" s="242">
        <f ca="1">IF('General Inputs'!$J$8=0,0,IF(EC$163&gt;0,-MIN(ContrEquity*EC$163,EC$59),0))</f>
        <v>-347067.54426708212</v>
      </c>
      <c r="ED60" s="242">
        <f ca="1">IF('General Inputs'!$J$8=0,0,IF(ED$163&gt;0,-MIN(ContrEquity*ED$163,ED$59),0))</f>
        <v>-349818.19308377476</v>
      </c>
      <c r="EE60" s="242">
        <f ca="1">IF('General Inputs'!$J$8=0,0,IF(EE$163&gt;0,-MIN(ContrEquity*EE$163,EE$59),0))</f>
        <v>-352579.8152637193</v>
      </c>
      <c r="EF60" s="242">
        <f ca="1">IF('General Inputs'!$J$8=0,0,IF(EF$163&gt;0,-MIN(ContrEquity*EF$163,EF$59),0))</f>
        <v>-355352.45525206957</v>
      </c>
      <c r="EG60" s="242">
        <f ca="1">IF('General Inputs'!$J$8=0,0,IF(EG$163&gt;0,-MIN(ContrEquity*EG$163,EG$59),0))</f>
        <v>-358136.15764253307</v>
      </c>
    </row>
    <row r="61" spans="1:137" x14ac:dyDescent="0.3">
      <c r="A61" s="245" t="s">
        <v>843</v>
      </c>
      <c r="B61" s="245"/>
      <c r="C61" s="245"/>
      <c r="D61" s="726"/>
      <c r="E61" s="227">
        <f t="shared" ref="E61:BP61" ca="1" si="85">SUM(E59:E60)</f>
        <v>0</v>
      </c>
      <c r="F61" s="227">
        <f t="shared" ca="1" si="85"/>
        <v>14040.052128086145</v>
      </c>
      <c r="G61" s="227">
        <f t="shared" ca="1" si="85"/>
        <v>142194.78206824994</v>
      </c>
      <c r="H61" s="227">
        <f t="shared" ca="1" si="85"/>
        <v>274998.78966599761</v>
      </c>
      <c r="I61" s="227">
        <f t="shared" ca="1" si="85"/>
        <v>414347.13268333883</v>
      </c>
      <c r="J61" s="227">
        <f t="shared" ca="1" si="85"/>
        <v>564091.84758751641</v>
      </c>
      <c r="K61" s="227">
        <f t="shared" ca="1" si="85"/>
        <v>730155.2732627209</v>
      </c>
      <c r="L61" s="227">
        <f t="shared" ca="1" si="85"/>
        <v>913114.64043965773</v>
      </c>
      <c r="M61" s="227">
        <f t="shared" ca="1" si="85"/>
        <v>1117365.3397193656</v>
      </c>
      <c r="N61" s="227">
        <f t="shared" ca="1" si="85"/>
        <v>1346765.4634740823</v>
      </c>
      <c r="O61" s="227">
        <f t="shared" ca="1" si="85"/>
        <v>1605524.5896060497</v>
      </c>
      <c r="P61" s="227">
        <f t="shared" ca="1" si="85"/>
        <v>1882017.6933409525</v>
      </c>
      <c r="Q61" s="227">
        <f t="shared" ca="1" si="85"/>
        <v>2160814.9062736463</v>
      </c>
      <c r="R61" s="227">
        <f t="shared" ca="1" si="85"/>
        <v>2441935.4293141123</v>
      </c>
      <c r="S61" s="227">
        <f t="shared" ca="1" si="85"/>
        <v>2725398.6233799155</v>
      </c>
      <c r="T61" s="227">
        <f t="shared" ca="1" si="85"/>
        <v>3011224.0107296002</v>
      </c>
      <c r="U61" s="227">
        <f t="shared" ca="1" si="85"/>
        <v>3299431.2763071992</v>
      </c>
      <c r="V61" s="227">
        <f t="shared" ca="1" si="85"/>
        <v>3590040.2690979447</v>
      </c>
      <c r="W61" s="227">
        <f t="shared" ca="1" si="85"/>
        <v>3883071.0034952797</v>
      </c>
      <c r="X61" s="227">
        <f t="shared" ca="1" si="85"/>
        <v>4178543.6606792593</v>
      </c>
      <c r="Y61" s="227">
        <f t="shared" ca="1" si="85"/>
        <v>4476478.590006439</v>
      </c>
      <c r="Z61" s="227">
        <f t="shared" ca="1" si="85"/>
        <v>4776896.3104113452</v>
      </c>
      <c r="AA61" s="227">
        <f t="shared" ca="1" si="85"/>
        <v>5079817.5118196253</v>
      </c>
      <c r="AB61" s="227">
        <f t="shared" ca="1" si="85"/>
        <v>5385263.0565729747</v>
      </c>
      <c r="AC61" s="227">
        <f t="shared" ca="1" si="85"/>
        <v>5653552.2543248525</v>
      </c>
      <c r="AD61" s="227">
        <f t="shared" ca="1" si="85"/>
        <v>5887881.5417846851</v>
      </c>
      <c r="AE61" s="227">
        <f t="shared" ca="1" si="85"/>
        <v>6082949.1166566992</v>
      </c>
      <c r="AF61" s="227">
        <f t="shared" ca="1" si="85"/>
        <v>6199148.0778901847</v>
      </c>
      <c r="AG61" s="227">
        <f t="shared" ca="1" si="85"/>
        <v>6313033.6563139493</v>
      </c>
      <c r="AH61" s="227">
        <f t="shared" ca="1" si="85"/>
        <v>6426695.4471806102</v>
      </c>
      <c r="AI61" s="227">
        <f t="shared" ca="1" si="85"/>
        <v>6570963.2978734476</v>
      </c>
      <c r="AJ61" s="227">
        <f t="shared" ca="1" si="85"/>
        <v>6714103.3289738707</v>
      </c>
      <c r="AK61" s="227">
        <f t="shared" ca="1" si="85"/>
        <v>6855920.1316404324</v>
      </c>
      <c r="AL61" s="227">
        <f t="shared" ca="1" si="85"/>
        <v>6996412.2294627074</v>
      </c>
      <c r="AM61" s="227">
        <f t="shared" ca="1" si="85"/>
        <v>7135578.3038460175</v>
      </c>
      <c r="AN61" s="227">
        <f t="shared" ca="1" si="85"/>
        <v>7273417.1968581984</v>
      </c>
      <c r="AO61" s="227">
        <f t="shared" ca="1" si="85"/>
        <v>7409927.914111549</v>
      </c>
      <c r="AP61" s="227">
        <f t="shared" ca="1" si="85"/>
        <v>7545863.0750007518</v>
      </c>
      <c r="AQ61" s="227">
        <f t="shared" ca="1" si="85"/>
        <v>7679720.1911921576</v>
      </c>
      <c r="AR61" s="227">
        <f t="shared" ca="1" si="85"/>
        <v>7811888.4085571868</v>
      </c>
      <c r="AS61" s="227">
        <f t="shared" ca="1" si="85"/>
        <v>7949255.138158503</v>
      </c>
      <c r="AT61" s="227">
        <f t="shared" ca="1" si="85"/>
        <v>8086097.3193146028</v>
      </c>
      <c r="AU61" s="227">
        <f t="shared" ca="1" si="85"/>
        <v>8222441.4406696875</v>
      </c>
      <c r="AV61" s="227">
        <f t="shared" ca="1" si="85"/>
        <v>8357615.3711827137</v>
      </c>
      <c r="AW61" s="227">
        <f t="shared" ca="1" si="85"/>
        <v>8491680.2640369199</v>
      </c>
      <c r="AX61" s="227">
        <f t="shared" ca="1" si="85"/>
        <v>8624698.4075924028</v>
      </c>
      <c r="AY61" s="227">
        <f t="shared" ca="1" si="85"/>
        <v>8756733.2388707474</v>
      </c>
      <c r="AZ61" s="227">
        <f t="shared" ca="1" si="85"/>
        <v>8887849.3571751509</v>
      </c>
      <c r="BA61" s="227">
        <f t="shared" ca="1" si="85"/>
        <v>9018112.5378472898</v>
      </c>
      <c r="BB61" s="227">
        <f t="shared" ca="1" si="85"/>
        <v>9148142.7662615646</v>
      </c>
      <c r="BC61" s="227">
        <f t="shared" ca="1" si="85"/>
        <v>9276898.4196356721</v>
      </c>
      <c r="BD61" s="227">
        <f t="shared" ca="1" si="85"/>
        <v>9404711.2341106646</v>
      </c>
      <c r="BE61" s="227">
        <f t="shared" ca="1" si="85"/>
        <v>9537024.9958514981</v>
      </c>
      <c r="BF61" s="227">
        <f t="shared" ca="1" si="85"/>
        <v>9669200.8125946615</v>
      </c>
      <c r="BG61" s="227">
        <f t="shared" ca="1" si="85"/>
        <v>9801216.0275039561</v>
      </c>
      <c r="BH61" s="227">
        <f t="shared" ca="1" si="85"/>
        <v>9932513.6605860051</v>
      </c>
      <c r="BI61" s="227">
        <f t="shared" ca="1" si="85"/>
        <v>10063039.560396509</v>
      </c>
      <c r="BJ61" s="227">
        <f t="shared" ca="1" si="85"/>
        <v>10192738.791892271</v>
      </c>
      <c r="BK61" s="227">
        <f t="shared" ca="1" si="85"/>
        <v>10321555.628090696</v>
      </c>
      <c r="BL61" s="227">
        <f t="shared" ca="1" si="85"/>
        <v>10449433.541650875</v>
      </c>
      <c r="BM61" s="227">
        <f t="shared" ca="1" si="85"/>
        <v>10576315.196375547</v>
      </c>
      <c r="BN61" s="227">
        <f t="shared" ca="1" si="85"/>
        <v>10702773.421255909</v>
      </c>
      <c r="BO61" s="227">
        <f t="shared" ca="1" si="85"/>
        <v>10827498.046544978</v>
      </c>
      <c r="BP61" s="227">
        <f t="shared" ca="1" si="85"/>
        <v>10950776.252249695</v>
      </c>
      <c r="BQ61" s="227">
        <f t="shared" ref="BQ61:EB61" ca="1" si="86">SUM(BQ59:BQ60)</f>
        <v>11078426.460808827</v>
      </c>
      <c r="BR61" s="227">
        <f t="shared" ca="1" si="86"/>
        <v>11205587.295537475</v>
      </c>
      <c r="BS61" s="227">
        <f t="shared" ca="1" si="86"/>
        <v>11332250.449941091</v>
      </c>
      <c r="BT61" s="227">
        <f t="shared" ca="1" si="86"/>
        <v>11457737.774669645</v>
      </c>
      <c r="BU61" s="227">
        <f t="shared" ca="1" si="86"/>
        <v>11582030.589943856</v>
      </c>
      <c r="BV61" s="227">
        <f t="shared" ca="1" si="86"/>
        <v>11705110.02440563</v>
      </c>
      <c r="BW61" s="227">
        <f t="shared" ca="1" si="86"/>
        <v>11826957.01337488</v>
      </c>
      <c r="BX61" s="227">
        <f t="shared" ca="1" si="86"/>
        <v>11947552.297091233</v>
      </c>
      <c r="BY61" s="227">
        <f t="shared" ca="1" si="86"/>
        <v>12066876.41894046</v>
      </c>
      <c r="BZ61" s="227">
        <f t="shared" ca="1" si="86"/>
        <v>12185596.326576501</v>
      </c>
      <c r="CA61" s="227">
        <f t="shared" ca="1" si="86"/>
        <v>12302325.6293926</v>
      </c>
      <c r="CB61" s="227">
        <f t="shared" ca="1" si="86"/>
        <v>12417405.865228832</v>
      </c>
      <c r="CC61" s="227">
        <f t="shared" ca="1" si="86"/>
        <v>12536887.744949611</v>
      </c>
      <c r="CD61" s="227">
        <f t="shared" ca="1" si="86"/>
        <v>12655749.242751341</v>
      </c>
      <c r="CE61" s="227">
        <f t="shared" ca="1" si="86"/>
        <v>12773980.788360339</v>
      </c>
      <c r="CF61" s="227">
        <f t="shared" ca="1" si="86"/>
        <v>12890874.647068504</v>
      </c>
      <c r="CG61" s="227">
        <f t="shared" ca="1" si="86"/>
        <v>13006410.421601487</v>
      </c>
      <c r="CH61" s="227">
        <f t="shared" ca="1" si="86"/>
        <v>13120567.507292161</v>
      </c>
      <c r="CI61" s="227">
        <f t="shared" ca="1" si="86"/>
        <v>13233325.090199513</v>
      </c>
      <c r="CJ61" s="227">
        <f t="shared" ca="1" si="86"/>
        <v>13344662.145211227</v>
      </c>
      <c r="CK61" s="227">
        <f t="shared" ca="1" si="86"/>
        <v>13454557.434129814</v>
      </c>
      <c r="CL61" s="227">
        <f t="shared" ca="1" si="86"/>
        <v>13563705.129083844</v>
      </c>
      <c r="CM61" s="227">
        <f t="shared" ca="1" si="86"/>
        <v>13670659.262110654</v>
      </c>
      <c r="CN61" s="227">
        <f t="shared" ca="1" si="86"/>
        <v>13775774.824429784</v>
      </c>
      <c r="CO61" s="227">
        <f t="shared" ca="1" si="86"/>
        <v>13885310.393544067</v>
      </c>
      <c r="CP61" s="227">
        <f t="shared" ca="1" si="86"/>
        <v>13994077.17708255</v>
      </c>
      <c r="CQ61" s="227">
        <f t="shared" ca="1" si="86"/>
        <v>14102064.188957667</v>
      </c>
      <c r="CR61" s="227">
        <f t="shared" ca="1" si="86"/>
        <v>14208532.759105396</v>
      </c>
      <c r="CS61" s="227">
        <f t="shared" ca="1" si="86"/>
        <v>14313460.599893736</v>
      </c>
      <c r="CT61" s="227">
        <f t="shared" ca="1" si="86"/>
        <v>14416825.198980469</v>
      </c>
      <c r="CU61" s="227">
        <f t="shared" ca="1" si="86"/>
        <v>14518603.81728131</v>
      </c>
      <c r="CV61" s="227">
        <f t="shared" ca="1" si="86"/>
        <v>14618773.486920474</v>
      </c>
      <c r="CW61" s="227">
        <f t="shared" ca="1" si="86"/>
        <v>14717311.009163516</v>
      </c>
      <c r="CX61" s="227">
        <f t="shared" ca="1" si="86"/>
        <v>14814938.82687119</v>
      </c>
      <c r="CY61" s="227">
        <f t="shared" ca="1" si="86"/>
        <v>14910148.771033378</v>
      </c>
      <c r="CZ61" s="227">
        <f t="shared" ca="1" si="86"/>
        <v>15003309.74865986</v>
      </c>
      <c r="DA61" s="227">
        <f t="shared" ca="1" si="86"/>
        <v>15100896.144967739</v>
      </c>
      <c r="DB61" s="227">
        <f t="shared" ca="1" si="86"/>
        <v>15197545.975895902</v>
      </c>
      <c r="DC61" s="227">
        <f t="shared" ca="1" si="86"/>
        <v>15293246.670710446</v>
      </c>
      <c r="DD61" s="227">
        <f t="shared" ca="1" si="86"/>
        <v>15387227.206471998</v>
      </c>
      <c r="DE61" s="227">
        <f t="shared" ca="1" si="86"/>
        <v>15479463.214476686</v>
      </c>
      <c r="DF61" s="227">
        <f t="shared" ca="1" si="86"/>
        <v>15569930.082338069</v>
      </c>
      <c r="DG61" s="227">
        <f t="shared" ca="1" si="86"/>
        <v>15658602.951790499</v>
      </c>
      <c r="DH61" s="227">
        <f t="shared" ca="1" si="86"/>
        <v>15745456.716473544</v>
      </c>
      <c r="DI61" s="227">
        <f t="shared" ca="1" si="86"/>
        <v>15830466.019697182</v>
      </c>
      <c r="DJ61" s="227">
        <f t="shared" ca="1" si="86"/>
        <v>15914382.654545115</v>
      </c>
      <c r="DK61" s="227">
        <f t="shared" ca="1" si="86"/>
        <v>15995633.505283028</v>
      </c>
      <c r="DL61" s="227">
        <f t="shared" ca="1" si="86"/>
        <v>16074601.865492001</v>
      </c>
      <c r="DM61" s="227">
        <f t="shared" ca="1" si="86"/>
        <v>16157986.240185503</v>
      </c>
      <c r="DN61" s="227">
        <f t="shared" ca="1" si="86"/>
        <v>16240244.699319404</v>
      </c>
      <c r="DO61" s="227">
        <f t="shared" ca="1" si="86"/>
        <v>16321362.900090767</v>
      </c>
      <c r="DP61" s="227">
        <f t="shared" ca="1" si="86"/>
        <v>16400535.977697967</v>
      </c>
      <c r="DQ61" s="227">
        <f t="shared" ca="1" si="86"/>
        <v>16477737.271943694</v>
      </c>
      <c r="DR61" s="227">
        <f t="shared" ca="1" si="86"/>
        <v>16552939.858154027</v>
      </c>
      <c r="DS61" s="227">
        <f t="shared" ca="1" si="86"/>
        <v>16626116.544801243</v>
      </c>
      <c r="DT61" s="227">
        <f t="shared" ca="1" si="86"/>
        <v>16697239.871113092</v>
      </c>
      <c r="DU61" s="227">
        <f t="shared" ca="1" si="86"/>
        <v>16766282.104629314</v>
      </c>
      <c r="DV61" s="227">
        <f t="shared" ca="1" si="86"/>
        <v>16834025.501650974</v>
      </c>
      <c r="DW61" s="227">
        <f t="shared" ca="1" si="86"/>
        <v>16898829.125734795</v>
      </c>
      <c r="DX61" s="227">
        <f t="shared" ca="1" si="86"/>
        <v>16961091.135371715</v>
      </c>
      <c r="DY61" s="227">
        <f t="shared" ca="1" si="86"/>
        <v>17027742.861300841</v>
      </c>
      <c r="DZ61" s="227">
        <f t="shared" ca="1" si="86"/>
        <v>17093055.320665732</v>
      </c>
      <c r="EA61" s="227">
        <f t="shared" ca="1" si="86"/>
        <v>17157012.190600958</v>
      </c>
      <c r="EB61" s="227">
        <f t="shared" ca="1" si="86"/>
        <v>17218773.199750438</v>
      </c>
      <c r="EC61" s="227">
        <f ca="1">SUM(EC59:EC60)</f>
        <v>17278309.164249122</v>
      </c>
      <c r="ED61" s="227">
        <f ca="1">SUM(ED59:ED60)</f>
        <v>17335590.612957284</v>
      </c>
      <c r="EE61" s="227">
        <f ca="1">SUM(EE59:EE60)</f>
        <v>17390587.784585759</v>
      </c>
      <c r="EF61" s="227">
        <f ca="1">SUM(EF59:EF60)</f>
        <v>17443270.628303993</v>
      </c>
      <c r="EG61" s="227">
        <f ca="1">SUM(EG59:EG60)</f>
        <v>17493608.792010803</v>
      </c>
    </row>
    <row r="62" spans="1:137" x14ac:dyDescent="0.3">
      <c r="A62" t="s">
        <v>2472</v>
      </c>
      <c r="D62" s="676"/>
      <c r="E62" s="242">
        <f t="shared" ref="E62:BP62" si="87">E132</f>
        <v>0</v>
      </c>
      <c r="F62" s="242">
        <f t="shared" si="87"/>
        <v>0</v>
      </c>
      <c r="G62" s="242">
        <f t="shared" si="87"/>
        <v>0</v>
      </c>
      <c r="H62" s="242">
        <f t="shared" si="87"/>
        <v>0</v>
      </c>
      <c r="I62" s="242">
        <f t="shared" si="87"/>
        <v>0</v>
      </c>
      <c r="J62" s="242">
        <f t="shared" si="87"/>
        <v>0</v>
      </c>
      <c r="K62" s="242">
        <f t="shared" si="87"/>
        <v>0</v>
      </c>
      <c r="L62" s="242">
        <f t="shared" si="87"/>
        <v>0</v>
      </c>
      <c r="M62" s="242">
        <f t="shared" si="87"/>
        <v>0</v>
      </c>
      <c r="N62" s="242">
        <f t="shared" si="87"/>
        <v>0</v>
      </c>
      <c r="O62" s="242">
        <f t="shared" si="87"/>
        <v>0</v>
      </c>
      <c r="P62" s="242">
        <f t="shared" si="87"/>
        <v>0</v>
      </c>
      <c r="Q62" s="242">
        <f t="shared" si="87"/>
        <v>0</v>
      </c>
      <c r="R62" s="242">
        <f t="shared" si="87"/>
        <v>0</v>
      </c>
      <c r="S62" s="242">
        <f t="shared" si="87"/>
        <v>0</v>
      </c>
      <c r="T62" s="242">
        <f t="shared" si="87"/>
        <v>0</v>
      </c>
      <c r="U62" s="242">
        <f t="shared" si="87"/>
        <v>0</v>
      </c>
      <c r="V62" s="242">
        <f t="shared" si="87"/>
        <v>0</v>
      </c>
      <c r="W62" s="242">
        <f t="shared" si="87"/>
        <v>0</v>
      </c>
      <c r="X62" s="242">
        <f t="shared" si="87"/>
        <v>0</v>
      </c>
      <c r="Y62" s="242">
        <f t="shared" si="87"/>
        <v>0</v>
      </c>
      <c r="Z62" s="242">
        <f t="shared" si="87"/>
        <v>0</v>
      </c>
      <c r="AA62" s="242">
        <f t="shared" si="87"/>
        <v>0</v>
      </c>
      <c r="AB62" s="242">
        <f t="shared" si="87"/>
        <v>0</v>
      </c>
      <c r="AC62" s="242">
        <f t="shared" si="87"/>
        <v>0</v>
      </c>
      <c r="AD62" s="242">
        <f t="shared" si="87"/>
        <v>0</v>
      </c>
      <c r="AE62" s="242">
        <f t="shared" si="87"/>
        <v>0</v>
      </c>
      <c r="AF62" s="242">
        <f t="shared" si="87"/>
        <v>0</v>
      </c>
      <c r="AG62" s="242">
        <f t="shared" si="87"/>
        <v>0</v>
      </c>
      <c r="AH62" s="242">
        <f t="shared" ca="1" si="87"/>
        <v>-1.0783419013023377E-3</v>
      </c>
      <c r="AI62" s="242">
        <f t="shared" si="87"/>
        <v>0</v>
      </c>
      <c r="AJ62" s="242">
        <f t="shared" si="87"/>
        <v>0</v>
      </c>
      <c r="AK62" s="242">
        <f t="shared" si="87"/>
        <v>0</v>
      </c>
      <c r="AL62" s="242">
        <f t="shared" si="87"/>
        <v>0</v>
      </c>
      <c r="AM62" s="242">
        <f t="shared" si="87"/>
        <v>0</v>
      </c>
      <c r="AN62" s="242">
        <f t="shared" si="87"/>
        <v>0</v>
      </c>
      <c r="AO62" s="242">
        <f t="shared" si="87"/>
        <v>0</v>
      </c>
      <c r="AP62" s="242">
        <f t="shared" si="87"/>
        <v>0</v>
      </c>
      <c r="AQ62" s="242">
        <f t="shared" si="87"/>
        <v>0</v>
      </c>
      <c r="AR62" s="242">
        <f t="shared" si="87"/>
        <v>0</v>
      </c>
      <c r="AS62" s="242">
        <f t="shared" si="87"/>
        <v>0</v>
      </c>
      <c r="AT62" s="242">
        <f t="shared" si="87"/>
        <v>0</v>
      </c>
      <c r="AU62" s="242">
        <f t="shared" si="87"/>
        <v>0</v>
      </c>
      <c r="AV62" s="242">
        <f t="shared" si="87"/>
        <v>0</v>
      </c>
      <c r="AW62" s="242">
        <f t="shared" si="87"/>
        <v>0</v>
      </c>
      <c r="AX62" s="242">
        <f t="shared" si="87"/>
        <v>0</v>
      </c>
      <c r="AY62" s="242">
        <f t="shared" si="87"/>
        <v>0</v>
      </c>
      <c r="AZ62" s="242">
        <f t="shared" si="87"/>
        <v>0</v>
      </c>
      <c r="BA62" s="242">
        <f t="shared" si="87"/>
        <v>0</v>
      </c>
      <c r="BB62" s="242">
        <f t="shared" si="87"/>
        <v>0</v>
      </c>
      <c r="BC62" s="242">
        <f t="shared" si="87"/>
        <v>0</v>
      </c>
      <c r="BD62" s="242">
        <f t="shared" si="87"/>
        <v>0</v>
      </c>
      <c r="BE62" s="242">
        <f t="shared" si="87"/>
        <v>0</v>
      </c>
      <c r="BF62" s="242">
        <f t="shared" si="87"/>
        <v>0</v>
      </c>
      <c r="BG62" s="242">
        <f t="shared" si="87"/>
        <v>0</v>
      </c>
      <c r="BH62" s="242">
        <f t="shared" si="87"/>
        <v>0</v>
      </c>
      <c r="BI62" s="242">
        <f t="shared" si="87"/>
        <v>0</v>
      </c>
      <c r="BJ62" s="242">
        <f t="shared" si="87"/>
        <v>0</v>
      </c>
      <c r="BK62" s="242">
        <f t="shared" si="87"/>
        <v>0</v>
      </c>
      <c r="BL62" s="242">
        <f t="shared" si="87"/>
        <v>0</v>
      </c>
      <c r="BM62" s="242">
        <f t="shared" si="87"/>
        <v>0</v>
      </c>
      <c r="BN62" s="242">
        <f t="shared" si="87"/>
        <v>0</v>
      </c>
      <c r="BO62" s="242">
        <f t="shared" si="87"/>
        <v>0</v>
      </c>
      <c r="BP62" s="242">
        <f t="shared" si="87"/>
        <v>0</v>
      </c>
      <c r="BQ62" s="242">
        <f t="shared" ref="BQ62:EB62" si="88">BQ132</f>
        <v>0</v>
      </c>
      <c r="BR62" s="242">
        <f t="shared" si="88"/>
        <v>0</v>
      </c>
      <c r="BS62" s="242">
        <f t="shared" si="88"/>
        <v>0</v>
      </c>
      <c r="BT62" s="242">
        <f t="shared" si="88"/>
        <v>0</v>
      </c>
      <c r="BU62" s="242">
        <f t="shared" si="88"/>
        <v>0</v>
      </c>
      <c r="BV62" s="242">
        <f t="shared" si="88"/>
        <v>0</v>
      </c>
      <c r="BW62" s="242">
        <f t="shared" si="88"/>
        <v>0</v>
      </c>
      <c r="BX62" s="242">
        <f t="shared" si="88"/>
        <v>0</v>
      </c>
      <c r="BY62" s="242">
        <f t="shared" si="88"/>
        <v>0</v>
      </c>
      <c r="BZ62" s="242">
        <f t="shared" si="88"/>
        <v>0</v>
      </c>
      <c r="CA62" s="242">
        <f t="shared" si="88"/>
        <v>0</v>
      </c>
      <c r="CB62" s="242">
        <f t="shared" si="88"/>
        <v>0</v>
      </c>
      <c r="CC62" s="242">
        <f t="shared" si="88"/>
        <v>0</v>
      </c>
      <c r="CD62" s="242">
        <f t="shared" si="88"/>
        <v>0</v>
      </c>
      <c r="CE62" s="242">
        <f t="shared" si="88"/>
        <v>0</v>
      </c>
      <c r="CF62" s="242">
        <f t="shared" si="88"/>
        <v>0</v>
      </c>
      <c r="CG62" s="242">
        <f t="shared" si="88"/>
        <v>0</v>
      </c>
      <c r="CH62" s="242">
        <f t="shared" si="88"/>
        <v>0</v>
      </c>
      <c r="CI62" s="242">
        <f t="shared" si="88"/>
        <v>0</v>
      </c>
      <c r="CJ62" s="242">
        <f t="shared" si="88"/>
        <v>0</v>
      </c>
      <c r="CK62" s="242">
        <f t="shared" si="88"/>
        <v>0</v>
      </c>
      <c r="CL62" s="242">
        <f t="shared" si="88"/>
        <v>0</v>
      </c>
      <c r="CM62" s="242">
        <f t="shared" si="88"/>
        <v>0</v>
      </c>
      <c r="CN62" s="242">
        <f t="shared" si="88"/>
        <v>0</v>
      </c>
      <c r="CO62" s="242">
        <f t="shared" si="88"/>
        <v>0</v>
      </c>
      <c r="CP62" s="242">
        <f t="shared" si="88"/>
        <v>0</v>
      </c>
      <c r="CQ62" s="242">
        <f t="shared" si="88"/>
        <v>0</v>
      </c>
      <c r="CR62" s="242">
        <f t="shared" si="88"/>
        <v>0</v>
      </c>
      <c r="CS62" s="242">
        <f t="shared" si="88"/>
        <v>0</v>
      </c>
      <c r="CT62" s="242">
        <f t="shared" si="88"/>
        <v>0</v>
      </c>
      <c r="CU62" s="242">
        <f t="shared" si="88"/>
        <v>0</v>
      </c>
      <c r="CV62" s="242">
        <f t="shared" si="88"/>
        <v>0</v>
      </c>
      <c r="CW62" s="242">
        <f t="shared" si="88"/>
        <v>0</v>
      </c>
      <c r="CX62" s="242">
        <f t="shared" si="88"/>
        <v>0</v>
      </c>
      <c r="CY62" s="242">
        <f t="shared" si="88"/>
        <v>0</v>
      </c>
      <c r="CZ62" s="242">
        <f t="shared" si="88"/>
        <v>0</v>
      </c>
      <c r="DA62" s="242">
        <f t="shared" si="88"/>
        <v>0</v>
      </c>
      <c r="DB62" s="242">
        <f t="shared" si="88"/>
        <v>0</v>
      </c>
      <c r="DC62" s="242">
        <f t="shared" si="88"/>
        <v>0</v>
      </c>
      <c r="DD62" s="242">
        <f t="shared" si="88"/>
        <v>0</v>
      </c>
      <c r="DE62" s="242">
        <f t="shared" si="88"/>
        <v>0</v>
      </c>
      <c r="DF62" s="242">
        <f t="shared" si="88"/>
        <v>0</v>
      </c>
      <c r="DG62" s="242">
        <f t="shared" si="88"/>
        <v>0</v>
      </c>
      <c r="DH62" s="242">
        <f t="shared" si="88"/>
        <v>0</v>
      </c>
      <c r="DI62" s="242">
        <f t="shared" si="88"/>
        <v>0</v>
      </c>
      <c r="DJ62" s="242">
        <f t="shared" si="88"/>
        <v>0</v>
      </c>
      <c r="DK62" s="242">
        <f t="shared" si="88"/>
        <v>0</v>
      </c>
      <c r="DL62" s="242">
        <f t="shared" si="88"/>
        <v>0</v>
      </c>
      <c r="DM62" s="242">
        <f t="shared" si="88"/>
        <v>0</v>
      </c>
      <c r="DN62" s="242">
        <f t="shared" si="88"/>
        <v>0</v>
      </c>
      <c r="DO62" s="242">
        <f t="shared" si="88"/>
        <v>0</v>
      </c>
      <c r="DP62" s="242">
        <f t="shared" si="88"/>
        <v>0</v>
      </c>
      <c r="DQ62" s="242">
        <f t="shared" si="88"/>
        <v>0</v>
      </c>
      <c r="DR62" s="242">
        <f t="shared" si="88"/>
        <v>0</v>
      </c>
      <c r="DS62" s="242">
        <f t="shared" si="88"/>
        <v>0</v>
      </c>
      <c r="DT62" s="242">
        <f t="shared" si="88"/>
        <v>0</v>
      </c>
      <c r="DU62" s="242">
        <f t="shared" si="88"/>
        <v>0</v>
      </c>
      <c r="DV62" s="242">
        <f t="shared" si="88"/>
        <v>0</v>
      </c>
      <c r="DW62" s="242">
        <f t="shared" si="88"/>
        <v>0</v>
      </c>
      <c r="DX62" s="242">
        <f t="shared" si="88"/>
        <v>0</v>
      </c>
      <c r="DY62" s="242">
        <f t="shared" si="88"/>
        <v>0</v>
      </c>
      <c r="DZ62" s="242">
        <f t="shared" si="88"/>
        <v>0</v>
      </c>
      <c r="EA62" s="242">
        <f t="shared" si="88"/>
        <v>0</v>
      </c>
      <c r="EB62" s="242">
        <f t="shared" si="88"/>
        <v>0</v>
      </c>
      <c r="EC62" s="242">
        <f t="shared" ref="EC62:EG62" si="89">EC132</f>
        <v>0</v>
      </c>
      <c r="ED62" s="242">
        <f t="shared" si="89"/>
        <v>0</v>
      </c>
      <c r="EE62" s="242">
        <f t="shared" si="89"/>
        <v>0</v>
      </c>
      <c r="EF62" s="242">
        <f t="shared" si="89"/>
        <v>0</v>
      </c>
      <c r="EG62" s="242">
        <f t="shared" si="89"/>
        <v>0</v>
      </c>
    </row>
    <row r="63" spans="1:137" ht="15" thickBot="1" x14ac:dyDescent="0.35">
      <c r="A63" s="248" t="s">
        <v>2463</v>
      </c>
      <c r="B63" s="248"/>
      <c r="C63" s="248"/>
      <c r="D63" s="697"/>
      <c r="E63" s="250">
        <f t="shared" ref="E63:BP63" ca="1" si="90">SUM(E61:E62)</f>
        <v>0</v>
      </c>
      <c r="F63" s="250">
        <f t="shared" ca="1" si="90"/>
        <v>14040.052128086145</v>
      </c>
      <c r="G63" s="250">
        <f t="shared" ca="1" si="90"/>
        <v>142194.78206824994</v>
      </c>
      <c r="H63" s="250">
        <f t="shared" ca="1" si="90"/>
        <v>274998.78966599761</v>
      </c>
      <c r="I63" s="250">
        <f t="shared" ca="1" si="90"/>
        <v>414347.13268333883</v>
      </c>
      <c r="J63" s="250">
        <f t="shared" ca="1" si="90"/>
        <v>564091.84758751641</v>
      </c>
      <c r="K63" s="250">
        <f t="shared" ca="1" si="90"/>
        <v>730155.2732627209</v>
      </c>
      <c r="L63" s="250">
        <f t="shared" ca="1" si="90"/>
        <v>913114.64043965773</v>
      </c>
      <c r="M63" s="250">
        <f t="shared" ca="1" si="90"/>
        <v>1117365.3397193656</v>
      </c>
      <c r="N63" s="250">
        <f t="shared" ca="1" si="90"/>
        <v>1346765.4634740823</v>
      </c>
      <c r="O63" s="250">
        <f t="shared" ca="1" si="90"/>
        <v>1605524.5896060497</v>
      </c>
      <c r="P63" s="250">
        <f t="shared" ca="1" si="90"/>
        <v>1882017.6933409525</v>
      </c>
      <c r="Q63" s="250">
        <f t="shared" ca="1" si="90"/>
        <v>2160814.9062736463</v>
      </c>
      <c r="R63" s="250">
        <f t="shared" ca="1" si="90"/>
        <v>2441935.4293141123</v>
      </c>
      <c r="S63" s="250">
        <f t="shared" ca="1" si="90"/>
        <v>2725398.6233799155</v>
      </c>
      <c r="T63" s="250">
        <f t="shared" ca="1" si="90"/>
        <v>3011224.0107296002</v>
      </c>
      <c r="U63" s="250">
        <f t="shared" ca="1" si="90"/>
        <v>3299431.2763071992</v>
      </c>
      <c r="V63" s="250">
        <f t="shared" ca="1" si="90"/>
        <v>3590040.2690979447</v>
      </c>
      <c r="W63" s="250">
        <f t="shared" ca="1" si="90"/>
        <v>3883071.0034952797</v>
      </c>
      <c r="X63" s="250">
        <f t="shared" ca="1" si="90"/>
        <v>4178543.6606792593</v>
      </c>
      <c r="Y63" s="250">
        <f t="shared" ca="1" si="90"/>
        <v>4476478.590006439</v>
      </c>
      <c r="Z63" s="250">
        <f t="shared" ca="1" si="90"/>
        <v>4776896.3104113452</v>
      </c>
      <c r="AA63" s="250">
        <f t="shared" ca="1" si="90"/>
        <v>5079817.5118196253</v>
      </c>
      <c r="AB63" s="250">
        <f t="shared" ca="1" si="90"/>
        <v>5385263.0565729747</v>
      </c>
      <c r="AC63" s="250">
        <f t="shared" ca="1" si="90"/>
        <v>5653552.2543248525</v>
      </c>
      <c r="AD63" s="250">
        <f t="shared" ca="1" si="90"/>
        <v>5887881.5417846851</v>
      </c>
      <c r="AE63" s="250">
        <f t="shared" ca="1" si="90"/>
        <v>6082949.1166566992</v>
      </c>
      <c r="AF63" s="250">
        <f t="shared" ca="1" si="90"/>
        <v>6199148.0778901847</v>
      </c>
      <c r="AG63" s="250">
        <f t="shared" ca="1" si="90"/>
        <v>6313033.6563139493</v>
      </c>
      <c r="AH63" s="250">
        <f t="shared" ca="1" si="90"/>
        <v>6426695.4461022681</v>
      </c>
      <c r="AI63" s="250">
        <f t="shared" ca="1" si="90"/>
        <v>6570963.2978734476</v>
      </c>
      <c r="AJ63" s="250">
        <f t="shared" ca="1" si="90"/>
        <v>6714103.3289738707</v>
      </c>
      <c r="AK63" s="250">
        <f t="shared" ca="1" si="90"/>
        <v>6855920.1316404324</v>
      </c>
      <c r="AL63" s="250">
        <f t="shared" ca="1" si="90"/>
        <v>6996412.2294627074</v>
      </c>
      <c r="AM63" s="250">
        <f t="shared" ca="1" si="90"/>
        <v>7135578.3038460175</v>
      </c>
      <c r="AN63" s="250">
        <f t="shared" ca="1" si="90"/>
        <v>7273417.1968581984</v>
      </c>
      <c r="AO63" s="250">
        <f t="shared" ca="1" si="90"/>
        <v>7409927.914111549</v>
      </c>
      <c r="AP63" s="250">
        <f t="shared" ca="1" si="90"/>
        <v>7545863.0750007518</v>
      </c>
      <c r="AQ63" s="250">
        <f t="shared" ca="1" si="90"/>
        <v>7679720.1911921576</v>
      </c>
      <c r="AR63" s="250">
        <f t="shared" ca="1" si="90"/>
        <v>7811888.4085571868</v>
      </c>
      <c r="AS63" s="250">
        <f t="shared" ca="1" si="90"/>
        <v>7949255.138158503</v>
      </c>
      <c r="AT63" s="250">
        <f t="shared" ca="1" si="90"/>
        <v>8086097.3193146028</v>
      </c>
      <c r="AU63" s="250">
        <f t="shared" ca="1" si="90"/>
        <v>8222441.4406696875</v>
      </c>
      <c r="AV63" s="250">
        <f t="shared" ca="1" si="90"/>
        <v>8357615.3711827137</v>
      </c>
      <c r="AW63" s="250">
        <f t="shared" ca="1" si="90"/>
        <v>8491680.2640369199</v>
      </c>
      <c r="AX63" s="250">
        <f t="shared" ca="1" si="90"/>
        <v>8624698.4075924028</v>
      </c>
      <c r="AY63" s="250">
        <f t="shared" ca="1" si="90"/>
        <v>8756733.2388707474</v>
      </c>
      <c r="AZ63" s="250">
        <f t="shared" ca="1" si="90"/>
        <v>8887849.3571751509</v>
      </c>
      <c r="BA63" s="250">
        <f t="shared" ca="1" si="90"/>
        <v>9018112.5378472898</v>
      </c>
      <c r="BB63" s="250">
        <f t="shared" ca="1" si="90"/>
        <v>9148142.7662615646</v>
      </c>
      <c r="BC63" s="250">
        <f t="shared" ca="1" si="90"/>
        <v>9276898.4196356721</v>
      </c>
      <c r="BD63" s="250">
        <f t="shared" ca="1" si="90"/>
        <v>9404711.2341106646</v>
      </c>
      <c r="BE63" s="250">
        <f t="shared" ca="1" si="90"/>
        <v>9537024.9958514981</v>
      </c>
      <c r="BF63" s="250">
        <f t="shared" ca="1" si="90"/>
        <v>9669200.8125946615</v>
      </c>
      <c r="BG63" s="250">
        <f t="shared" ca="1" si="90"/>
        <v>9801216.0275039561</v>
      </c>
      <c r="BH63" s="250">
        <f t="shared" ca="1" si="90"/>
        <v>9932513.6605860051</v>
      </c>
      <c r="BI63" s="250">
        <f t="shared" ca="1" si="90"/>
        <v>10063039.560396509</v>
      </c>
      <c r="BJ63" s="250">
        <f t="shared" ca="1" si="90"/>
        <v>10192738.791892271</v>
      </c>
      <c r="BK63" s="250">
        <f t="shared" ca="1" si="90"/>
        <v>10321555.628090696</v>
      </c>
      <c r="BL63" s="250">
        <f t="shared" ca="1" si="90"/>
        <v>10449433.541650875</v>
      </c>
      <c r="BM63" s="250">
        <f t="shared" ca="1" si="90"/>
        <v>10576315.196375547</v>
      </c>
      <c r="BN63" s="250">
        <f t="shared" ca="1" si="90"/>
        <v>10702773.421255909</v>
      </c>
      <c r="BO63" s="250">
        <f t="shared" ca="1" si="90"/>
        <v>10827498.046544978</v>
      </c>
      <c r="BP63" s="250">
        <f t="shared" ca="1" si="90"/>
        <v>10950776.252249695</v>
      </c>
      <c r="BQ63" s="250">
        <f t="shared" ref="BQ63:EB63" ca="1" si="91">SUM(BQ61:BQ62)</f>
        <v>11078426.460808827</v>
      </c>
      <c r="BR63" s="250">
        <f t="shared" ca="1" si="91"/>
        <v>11205587.295537475</v>
      </c>
      <c r="BS63" s="250">
        <f t="shared" ca="1" si="91"/>
        <v>11332250.449941091</v>
      </c>
      <c r="BT63" s="250">
        <f t="shared" ca="1" si="91"/>
        <v>11457737.774669645</v>
      </c>
      <c r="BU63" s="250">
        <f t="shared" ca="1" si="91"/>
        <v>11582030.589943856</v>
      </c>
      <c r="BV63" s="250">
        <f t="shared" ca="1" si="91"/>
        <v>11705110.02440563</v>
      </c>
      <c r="BW63" s="250">
        <f t="shared" ca="1" si="91"/>
        <v>11826957.01337488</v>
      </c>
      <c r="BX63" s="250">
        <f t="shared" ca="1" si="91"/>
        <v>11947552.297091233</v>
      </c>
      <c r="BY63" s="250">
        <f t="shared" ca="1" si="91"/>
        <v>12066876.41894046</v>
      </c>
      <c r="BZ63" s="250">
        <f t="shared" ca="1" si="91"/>
        <v>12185596.326576501</v>
      </c>
      <c r="CA63" s="250">
        <f t="shared" ca="1" si="91"/>
        <v>12302325.6293926</v>
      </c>
      <c r="CB63" s="250">
        <f t="shared" ca="1" si="91"/>
        <v>12417405.865228832</v>
      </c>
      <c r="CC63" s="250">
        <f t="shared" ca="1" si="91"/>
        <v>12536887.744949611</v>
      </c>
      <c r="CD63" s="250">
        <f t="shared" ca="1" si="91"/>
        <v>12655749.242751341</v>
      </c>
      <c r="CE63" s="250">
        <f t="shared" ca="1" si="91"/>
        <v>12773980.788360339</v>
      </c>
      <c r="CF63" s="250">
        <f t="shared" ca="1" si="91"/>
        <v>12890874.647068504</v>
      </c>
      <c r="CG63" s="250">
        <f t="shared" ca="1" si="91"/>
        <v>13006410.421601487</v>
      </c>
      <c r="CH63" s="250">
        <f t="shared" ca="1" si="91"/>
        <v>13120567.507292161</v>
      </c>
      <c r="CI63" s="250">
        <f t="shared" ca="1" si="91"/>
        <v>13233325.090199513</v>
      </c>
      <c r="CJ63" s="250">
        <f t="shared" ca="1" si="91"/>
        <v>13344662.145211227</v>
      </c>
      <c r="CK63" s="250">
        <f t="shared" ca="1" si="91"/>
        <v>13454557.434129814</v>
      </c>
      <c r="CL63" s="250">
        <f t="shared" ca="1" si="91"/>
        <v>13563705.129083844</v>
      </c>
      <c r="CM63" s="250">
        <f t="shared" ca="1" si="91"/>
        <v>13670659.262110654</v>
      </c>
      <c r="CN63" s="250">
        <f t="shared" ca="1" si="91"/>
        <v>13775774.824429784</v>
      </c>
      <c r="CO63" s="250">
        <f t="shared" ca="1" si="91"/>
        <v>13885310.393544067</v>
      </c>
      <c r="CP63" s="250">
        <f t="shared" ca="1" si="91"/>
        <v>13994077.17708255</v>
      </c>
      <c r="CQ63" s="250">
        <f t="shared" ca="1" si="91"/>
        <v>14102064.188957667</v>
      </c>
      <c r="CR63" s="250">
        <f t="shared" ca="1" si="91"/>
        <v>14208532.759105396</v>
      </c>
      <c r="CS63" s="250">
        <f t="shared" ca="1" si="91"/>
        <v>14313460.599893736</v>
      </c>
      <c r="CT63" s="250">
        <f t="shared" ca="1" si="91"/>
        <v>14416825.198980469</v>
      </c>
      <c r="CU63" s="250">
        <f t="shared" ca="1" si="91"/>
        <v>14518603.81728131</v>
      </c>
      <c r="CV63" s="250">
        <f t="shared" ca="1" si="91"/>
        <v>14618773.486920474</v>
      </c>
      <c r="CW63" s="250">
        <f t="shared" ca="1" si="91"/>
        <v>14717311.009163516</v>
      </c>
      <c r="CX63" s="250">
        <f t="shared" ca="1" si="91"/>
        <v>14814938.82687119</v>
      </c>
      <c r="CY63" s="250">
        <f t="shared" ca="1" si="91"/>
        <v>14910148.771033378</v>
      </c>
      <c r="CZ63" s="250">
        <f t="shared" ca="1" si="91"/>
        <v>15003309.74865986</v>
      </c>
      <c r="DA63" s="250">
        <f t="shared" ca="1" si="91"/>
        <v>15100896.144967739</v>
      </c>
      <c r="DB63" s="250">
        <f t="shared" ca="1" si="91"/>
        <v>15197545.975895902</v>
      </c>
      <c r="DC63" s="250">
        <f t="shared" ca="1" si="91"/>
        <v>15293246.670710446</v>
      </c>
      <c r="DD63" s="250">
        <f t="shared" ca="1" si="91"/>
        <v>15387227.206471998</v>
      </c>
      <c r="DE63" s="250">
        <f t="shared" ca="1" si="91"/>
        <v>15479463.214476686</v>
      </c>
      <c r="DF63" s="250">
        <f t="shared" ca="1" si="91"/>
        <v>15569930.082338069</v>
      </c>
      <c r="DG63" s="250">
        <f t="shared" ca="1" si="91"/>
        <v>15658602.951790499</v>
      </c>
      <c r="DH63" s="250">
        <f t="shared" ca="1" si="91"/>
        <v>15745456.716473544</v>
      </c>
      <c r="DI63" s="250">
        <f t="shared" ca="1" si="91"/>
        <v>15830466.019697182</v>
      </c>
      <c r="DJ63" s="250">
        <f t="shared" ca="1" si="91"/>
        <v>15914382.654545115</v>
      </c>
      <c r="DK63" s="250">
        <f t="shared" ca="1" si="91"/>
        <v>15995633.505283028</v>
      </c>
      <c r="DL63" s="250">
        <f t="shared" ca="1" si="91"/>
        <v>16074601.865492001</v>
      </c>
      <c r="DM63" s="250">
        <f t="shared" ca="1" si="91"/>
        <v>16157986.240185503</v>
      </c>
      <c r="DN63" s="250">
        <f t="shared" ca="1" si="91"/>
        <v>16240244.699319404</v>
      </c>
      <c r="DO63" s="250">
        <f t="shared" ca="1" si="91"/>
        <v>16321362.900090767</v>
      </c>
      <c r="DP63" s="250">
        <f t="shared" ca="1" si="91"/>
        <v>16400535.977697967</v>
      </c>
      <c r="DQ63" s="250">
        <f t="shared" ca="1" si="91"/>
        <v>16477737.271943694</v>
      </c>
      <c r="DR63" s="250">
        <f t="shared" ca="1" si="91"/>
        <v>16552939.858154027</v>
      </c>
      <c r="DS63" s="250">
        <f t="shared" ca="1" si="91"/>
        <v>16626116.544801243</v>
      </c>
      <c r="DT63" s="250">
        <f t="shared" ca="1" si="91"/>
        <v>16697239.871113092</v>
      </c>
      <c r="DU63" s="250">
        <f t="shared" ca="1" si="91"/>
        <v>16766282.104629314</v>
      </c>
      <c r="DV63" s="250">
        <f t="shared" ca="1" si="91"/>
        <v>16834025.501650974</v>
      </c>
      <c r="DW63" s="250">
        <f t="shared" ca="1" si="91"/>
        <v>16898829.125734795</v>
      </c>
      <c r="DX63" s="250">
        <f t="shared" ca="1" si="91"/>
        <v>16961091.135371715</v>
      </c>
      <c r="DY63" s="250">
        <f t="shared" ca="1" si="91"/>
        <v>17027742.861300841</v>
      </c>
      <c r="DZ63" s="250">
        <f t="shared" ca="1" si="91"/>
        <v>17093055.320665732</v>
      </c>
      <c r="EA63" s="250">
        <f t="shared" ca="1" si="91"/>
        <v>17157012.190600958</v>
      </c>
      <c r="EB63" s="250">
        <f t="shared" ca="1" si="91"/>
        <v>17218773.199750438</v>
      </c>
      <c r="EC63" s="250">
        <f ca="1">SUM(EC61:EC62)</f>
        <v>17278309.164249122</v>
      </c>
      <c r="ED63" s="250">
        <f ca="1">SUM(ED61:ED62)</f>
        <v>17335590.612957284</v>
      </c>
      <c r="EE63" s="250">
        <f ca="1">SUM(EE61:EE62)</f>
        <v>17390587.784585759</v>
      </c>
      <c r="EF63" s="250">
        <f ca="1">SUM(EF61:EF62)</f>
        <v>17443270.628303993</v>
      </c>
      <c r="EG63" s="250">
        <f ca="1">SUM(EG61:EG62)</f>
        <v>17493608.792010803</v>
      </c>
    </row>
    <row r="64" spans="1:137" ht="7.5" customHeight="1" thickTop="1" x14ac:dyDescent="0.3"/>
    <row r="65" spans="1:137" x14ac:dyDescent="0.3">
      <c r="A65" s="700" t="str">
        <f>'General Inputs'!$K$29&amp;" EQUITY CONTRIBUTIONS"</f>
        <v>Quarterra EQUITY CONTRIBUTIONS</v>
      </c>
      <c r="B65" s="700"/>
      <c r="C65" s="700"/>
      <c r="D65" s="725"/>
      <c r="E65" s="700"/>
    </row>
    <row r="66" spans="1:137" x14ac:dyDescent="0.3">
      <c r="A66" t="s">
        <v>2461</v>
      </c>
      <c r="E66" s="227">
        <f t="shared" ref="E66:BP66" si="92">D68</f>
        <v>0</v>
      </c>
      <c r="F66" s="227">
        <f t="shared" ca="1" si="92"/>
        <v>187200.69504114857</v>
      </c>
      <c r="G66" s="227">
        <f t="shared" ca="1" si="92"/>
        <v>1707169.7267435072</v>
      </c>
      <c r="H66" s="227">
        <f t="shared" ca="1" si="92"/>
        <v>1754920.6810734968</v>
      </c>
      <c r="I66" s="227">
        <f t="shared" ca="1" si="92"/>
        <v>1827422.485823883</v>
      </c>
      <c r="J66" s="227">
        <f t="shared" ca="1" si="92"/>
        <v>1950557.6284242191</v>
      </c>
      <c r="K66" s="227">
        <f t="shared" ca="1" si="92"/>
        <v>2151502.1370485569</v>
      </c>
      <c r="L66" s="227">
        <f t="shared" ca="1" si="92"/>
        <v>2358329.865329965</v>
      </c>
      <c r="M66" s="227">
        <f t="shared" ca="1" si="92"/>
        <v>2621885.4747916991</v>
      </c>
      <c r="N66" s="227">
        <f t="shared" ca="1" si="92"/>
        <v>2934516.6123162936</v>
      </c>
      <c r="O66" s="227">
        <f t="shared" ca="1" si="92"/>
        <v>3300481.0747068897</v>
      </c>
      <c r="P66" s="227">
        <f t="shared" ca="1" si="92"/>
        <v>3508183.0953980302</v>
      </c>
      <c r="Q66" s="227">
        <f t="shared" ca="1" si="92"/>
        <v>3508183.0953980302</v>
      </c>
      <c r="R66" s="227">
        <f t="shared" ca="1" si="92"/>
        <v>3508183.0953980302</v>
      </c>
      <c r="S66" s="227">
        <f t="shared" ca="1" si="92"/>
        <v>3508183.0953980302</v>
      </c>
      <c r="T66" s="227">
        <f t="shared" ca="1" si="92"/>
        <v>3508183.0953980302</v>
      </c>
      <c r="U66" s="227">
        <f t="shared" ca="1" si="92"/>
        <v>3508183.0953980302</v>
      </c>
      <c r="V66" s="227">
        <f t="shared" ca="1" si="92"/>
        <v>3508183.0953980302</v>
      </c>
      <c r="W66" s="227">
        <f t="shared" ca="1" si="92"/>
        <v>3508183.0953980302</v>
      </c>
      <c r="X66" s="227">
        <f t="shared" ca="1" si="92"/>
        <v>3508183.0953980302</v>
      </c>
      <c r="Y66" s="227">
        <f t="shared" ca="1" si="92"/>
        <v>3508183.0953980302</v>
      </c>
      <c r="Z66" s="227">
        <f t="shared" ca="1" si="92"/>
        <v>3508183.0953980302</v>
      </c>
      <c r="AA66" s="227">
        <f t="shared" ca="1" si="92"/>
        <v>3508183.0953980302</v>
      </c>
      <c r="AB66" s="227">
        <f t="shared" ca="1" si="92"/>
        <v>3508183.0953980302</v>
      </c>
      <c r="AC66" s="227">
        <f t="shared" ca="1" si="92"/>
        <v>3508183.0953980302</v>
      </c>
      <c r="AD66" s="227">
        <f t="shared" ca="1" si="92"/>
        <v>3508183.0953980302</v>
      </c>
      <c r="AE66" s="227">
        <f t="shared" ca="1" si="92"/>
        <v>3508183.0953980302</v>
      </c>
      <c r="AF66" s="227">
        <f t="shared" ca="1" si="92"/>
        <v>3508183.0953980302</v>
      </c>
      <c r="AG66" s="227">
        <f t="shared" ca="1" si="92"/>
        <v>3508183.0953980302</v>
      </c>
      <c r="AH66" s="227">
        <f t="shared" ca="1" si="92"/>
        <v>3508183.0953980302</v>
      </c>
      <c r="AI66" s="227">
        <f t="shared" ca="1" si="92"/>
        <v>3508183.0953980302</v>
      </c>
      <c r="AJ66" s="227">
        <f t="shared" ca="1" si="92"/>
        <v>3508183.0953980302</v>
      </c>
      <c r="AK66" s="227">
        <f t="shared" ca="1" si="92"/>
        <v>3508183.0953980302</v>
      </c>
      <c r="AL66" s="227">
        <f t="shared" ca="1" si="92"/>
        <v>3508183.0953980302</v>
      </c>
      <c r="AM66" s="227">
        <f t="shared" ca="1" si="92"/>
        <v>3508183.0953980302</v>
      </c>
      <c r="AN66" s="227">
        <f t="shared" ca="1" si="92"/>
        <v>3508183.0953980302</v>
      </c>
      <c r="AO66" s="227">
        <f t="shared" ca="1" si="92"/>
        <v>3508183.0953980302</v>
      </c>
      <c r="AP66" s="227">
        <f t="shared" ca="1" si="92"/>
        <v>3508183.0953980302</v>
      </c>
      <c r="AQ66" s="227">
        <f t="shared" ca="1" si="92"/>
        <v>3508183.0953980302</v>
      </c>
      <c r="AR66" s="227">
        <f t="shared" ca="1" si="92"/>
        <v>3508183.0953980302</v>
      </c>
      <c r="AS66" s="227">
        <f t="shared" ca="1" si="92"/>
        <v>3508183.0953980302</v>
      </c>
      <c r="AT66" s="227">
        <f t="shared" ca="1" si="92"/>
        <v>3508183.0953980302</v>
      </c>
      <c r="AU66" s="227">
        <f t="shared" ca="1" si="92"/>
        <v>3508183.0953980302</v>
      </c>
      <c r="AV66" s="227">
        <f t="shared" ca="1" si="92"/>
        <v>3508183.0953980302</v>
      </c>
      <c r="AW66" s="227">
        <f t="shared" ca="1" si="92"/>
        <v>3508183.0953980302</v>
      </c>
      <c r="AX66" s="227">
        <f t="shared" ca="1" si="92"/>
        <v>3508183.0953980302</v>
      </c>
      <c r="AY66" s="227">
        <f t="shared" ca="1" si="92"/>
        <v>3508183.0953980302</v>
      </c>
      <c r="AZ66" s="227">
        <f t="shared" ca="1" si="92"/>
        <v>3508183.0953980302</v>
      </c>
      <c r="BA66" s="227">
        <f t="shared" ca="1" si="92"/>
        <v>3508183.0953980302</v>
      </c>
      <c r="BB66" s="227">
        <f t="shared" ca="1" si="92"/>
        <v>3508183.0953980302</v>
      </c>
      <c r="BC66" s="227">
        <f t="shared" ca="1" si="92"/>
        <v>3508183.0953980302</v>
      </c>
      <c r="BD66" s="227">
        <f t="shared" ca="1" si="92"/>
        <v>3508183.0953980302</v>
      </c>
      <c r="BE66" s="227">
        <f t="shared" ca="1" si="92"/>
        <v>3508183.0953980302</v>
      </c>
      <c r="BF66" s="227">
        <f t="shared" ca="1" si="92"/>
        <v>3508183.0953980302</v>
      </c>
      <c r="BG66" s="227">
        <f t="shared" ca="1" si="92"/>
        <v>3508183.0953980302</v>
      </c>
      <c r="BH66" s="227">
        <f t="shared" ca="1" si="92"/>
        <v>3508183.0953980302</v>
      </c>
      <c r="BI66" s="227">
        <f t="shared" ca="1" si="92"/>
        <v>3508183.0953980302</v>
      </c>
      <c r="BJ66" s="227">
        <f t="shared" ca="1" si="92"/>
        <v>3508183.0953980302</v>
      </c>
      <c r="BK66" s="227">
        <f t="shared" ca="1" si="92"/>
        <v>3508183.0953980302</v>
      </c>
      <c r="BL66" s="227">
        <f t="shared" ca="1" si="92"/>
        <v>3508183.0953980302</v>
      </c>
      <c r="BM66" s="227">
        <f t="shared" ca="1" si="92"/>
        <v>3508183.0953980302</v>
      </c>
      <c r="BN66" s="227">
        <f t="shared" ca="1" si="92"/>
        <v>3508183.0953980302</v>
      </c>
      <c r="BO66" s="227">
        <f t="shared" ca="1" si="92"/>
        <v>3508183.0953980302</v>
      </c>
      <c r="BP66" s="227">
        <f t="shared" ca="1" si="92"/>
        <v>3508183.0953980302</v>
      </c>
      <c r="BQ66" s="227">
        <f t="shared" ref="BQ66:EB66" ca="1" si="93">BP68</f>
        <v>3508183.0953980302</v>
      </c>
      <c r="BR66" s="227">
        <f t="shared" ca="1" si="93"/>
        <v>3508183.0953980302</v>
      </c>
      <c r="BS66" s="227">
        <f t="shared" ca="1" si="93"/>
        <v>3508183.0953980302</v>
      </c>
      <c r="BT66" s="227">
        <f t="shared" ca="1" si="93"/>
        <v>3508183.0953980302</v>
      </c>
      <c r="BU66" s="227">
        <f t="shared" ca="1" si="93"/>
        <v>3508183.0953980302</v>
      </c>
      <c r="BV66" s="227">
        <f t="shared" ca="1" si="93"/>
        <v>3508183.0953980302</v>
      </c>
      <c r="BW66" s="227">
        <f t="shared" ca="1" si="93"/>
        <v>3508183.0953980302</v>
      </c>
      <c r="BX66" s="227">
        <f t="shared" ca="1" si="93"/>
        <v>3508183.0953980302</v>
      </c>
      <c r="BY66" s="227">
        <f t="shared" ca="1" si="93"/>
        <v>3508183.0953980302</v>
      </c>
      <c r="BZ66" s="227">
        <f t="shared" ca="1" si="93"/>
        <v>3508183.0953980302</v>
      </c>
      <c r="CA66" s="227">
        <f t="shared" ca="1" si="93"/>
        <v>3508183.0953980302</v>
      </c>
      <c r="CB66" s="227">
        <f t="shared" ca="1" si="93"/>
        <v>3508183.0953980302</v>
      </c>
      <c r="CC66" s="227">
        <f t="shared" ca="1" si="93"/>
        <v>3508183.0953980302</v>
      </c>
      <c r="CD66" s="227">
        <f t="shared" ca="1" si="93"/>
        <v>3508183.0953980302</v>
      </c>
      <c r="CE66" s="227">
        <f t="shared" ca="1" si="93"/>
        <v>3508183.0953980302</v>
      </c>
      <c r="CF66" s="227">
        <f t="shared" ca="1" si="93"/>
        <v>3508183.0953980302</v>
      </c>
      <c r="CG66" s="227">
        <f t="shared" ca="1" si="93"/>
        <v>3508183.0953980302</v>
      </c>
      <c r="CH66" s="227">
        <f t="shared" ca="1" si="93"/>
        <v>3508183.0953980302</v>
      </c>
      <c r="CI66" s="227">
        <f t="shared" ca="1" si="93"/>
        <v>3508183.0953980302</v>
      </c>
      <c r="CJ66" s="227">
        <f t="shared" ca="1" si="93"/>
        <v>3508183.0953980302</v>
      </c>
      <c r="CK66" s="227">
        <f t="shared" ca="1" si="93"/>
        <v>3508183.0953980302</v>
      </c>
      <c r="CL66" s="227">
        <f t="shared" ca="1" si="93"/>
        <v>3508183.0953980302</v>
      </c>
      <c r="CM66" s="227">
        <f t="shared" ca="1" si="93"/>
        <v>3508183.0953980302</v>
      </c>
      <c r="CN66" s="227">
        <f t="shared" ca="1" si="93"/>
        <v>3508183.0953980302</v>
      </c>
      <c r="CO66" s="227">
        <f t="shared" ca="1" si="93"/>
        <v>3508183.0953980302</v>
      </c>
      <c r="CP66" s="227">
        <f t="shared" ca="1" si="93"/>
        <v>3508183.0953980302</v>
      </c>
      <c r="CQ66" s="227">
        <f t="shared" ca="1" si="93"/>
        <v>3508183.0953980302</v>
      </c>
      <c r="CR66" s="227">
        <f t="shared" ca="1" si="93"/>
        <v>3508183.0953980302</v>
      </c>
      <c r="CS66" s="227">
        <f t="shared" ca="1" si="93"/>
        <v>3508183.0953980302</v>
      </c>
      <c r="CT66" s="227">
        <f t="shared" ca="1" si="93"/>
        <v>3508183.0953980302</v>
      </c>
      <c r="CU66" s="227">
        <f t="shared" ca="1" si="93"/>
        <v>3508183.0953980302</v>
      </c>
      <c r="CV66" s="227">
        <f t="shared" ca="1" si="93"/>
        <v>3508183.0953980302</v>
      </c>
      <c r="CW66" s="227">
        <f t="shared" ca="1" si="93"/>
        <v>3508183.0953980302</v>
      </c>
      <c r="CX66" s="227">
        <f t="shared" ca="1" si="93"/>
        <v>3508183.0953980302</v>
      </c>
      <c r="CY66" s="227">
        <f t="shared" ca="1" si="93"/>
        <v>3508183.0953980302</v>
      </c>
      <c r="CZ66" s="227">
        <f t="shared" ca="1" si="93"/>
        <v>3508183.0953980302</v>
      </c>
      <c r="DA66" s="227">
        <f t="shared" ca="1" si="93"/>
        <v>3508183.0953980302</v>
      </c>
      <c r="DB66" s="227">
        <f t="shared" ca="1" si="93"/>
        <v>3508183.0953980302</v>
      </c>
      <c r="DC66" s="227">
        <f t="shared" ca="1" si="93"/>
        <v>3508183.0953980302</v>
      </c>
      <c r="DD66" s="227">
        <f t="shared" ca="1" si="93"/>
        <v>3508183.0953980302</v>
      </c>
      <c r="DE66" s="227">
        <f t="shared" ca="1" si="93"/>
        <v>3508183.0953980302</v>
      </c>
      <c r="DF66" s="227">
        <f t="shared" ca="1" si="93"/>
        <v>3508183.0953980302</v>
      </c>
      <c r="DG66" s="227">
        <f t="shared" ca="1" si="93"/>
        <v>3508183.0953980302</v>
      </c>
      <c r="DH66" s="227">
        <f t="shared" ca="1" si="93"/>
        <v>3508183.0953980349</v>
      </c>
      <c r="DI66" s="227">
        <f t="shared" ca="1" si="93"/>
        <v>3508183.0953980479</v>
      </c>
      <c r="DJ66" s="227">
        <f t="shared" ca="1" si="93"/>
        <v>3508183.0953980535</v>
      </c>
      <c r="DK66" s="227">
        <f t="shared" ca="1" si="93"/>
        <v>3508183.0953980722</v>
      </c>
      <c r="DL66" s="227">
        <f t="shared" ca="1" si="93"/>
        <v>3508183.0953980926</v>
      </c>
      <c r="DM66" s="227">
        <f t="shared" ca="1" si="93"/>
        <v>3508183.095398115</v>
      </c>
      <c r="DN66" s="227">
        <f t="shared" ca="1" si="93"/>
        <v>3508183.0953981401</v>
      </c>
      <c r="DO66" s="227">
        <f t="shared" ca="1" si="93"/>
        <v>3508183.0953981681</v>
      </c>
      <c r="DP66" s="227">
        <f t="shared" ca="1" si="93"/>
        <v>3508183.0953981895</v>
      </c>
      <c r="DQ66" s="227">
        <f t="shared" ca="1" si="93"/>
        <v>3508183.0953981769</v>
      </c>
      <c r="DR66" s="227">
        <f t="shared" ca="1" si="93"/>
        <v>3508183.0953981103</v>
      </c>
      <c r="DS66" s="227">
        <f t="shared" ca="1" si="93"/>
        <v>3508183.0953979813</v>
      </c>
      <c r="DT66" s="227">
        <f t="shared" ca="1" si="93"/>
        <v>3508183.095398258</v>
      </c>
      <c r="DU66" s="227">
        <f t="shared" ca="1" si="93"/>
        <v>3508183.0953979874</v>
      </c>
      <c r="DV66" s="227">
        <f t="shared" ca="1" si="93"/>
        <v>3508183.0953981057</v>
      </c>
      <c r="DW66" s="227">
        <f t="shared" ca="1" si="93"/>
        <v>3508183.0953979921</v>
      </c>
      <c r="DX66" s="227">
        <f t="shared" ca="1" si="93"/>
        <v>3508183.0953975916</v>
      </c>
      <c r="DY66" s="227">
        <f t="shared" ca="1" si="93"/>
        <v>3508183.0953968945</v>
      </c>
      <c r="DZ66" s="227">
        <f t="shared" ca="1" si="93"/>
        <v>3508183.0953958724</v>
      </c>
      <c r="EA66" s="227">
        <f t="shared" ca="1" si="93"/>
        <v>3508183.0953946039</v>
      </c>
      <c r="EB66" s="227">
        <f t="shared" ca="1" si="93"/>
        <v>3508183.0953922337</v>
      </c>
      <c r="EC66" s="227">
        <f t="shared" ref="EC66:EG66" ca="1" si="94">EB68</f>
        <v>3508183.0953888567</v>
      </c>
      <c r="ED66" s="227">
        <f t="shared" ca="1" si="94"/>
        <v>3508183.0953846513</v>
      </c>
      <c r="EE66" s="227">
        <f t="shared" ca="1" si="94"/>
        <v>3508183.0953815738</v>
      </c>
      <c r="EF66" s="227">
        <f t="shared" ca="1" si="94"/>
        <v>3508183.0953876972</v>
      </c>
      <c r="EG66" s="227">
        <f t="shared" ca="1" si="94"/>
        <v>3508183.0954104345</v>
      </c>
    </row>
    <row r="67" spans="1:137" x14ac:dyDescent="0.3">
      <c r="A67" t="s">
        <v>2474</v>
      </c>
      <c r="E67" s="229">
        <f ca="1">IF(ContrLennar=0,0,IF(DevBdgt!E$49&lt;=SUM('General Inputs'!$J$8:$L$8),ContrLennar*DevBdgt!E$48,IF(AND(DevBdgt!E$49&gt;SUM('General Inputs'!$J$8:$L$8),DevBdgt!D$49&lt;SUM('General Inputs'!$J$8:$L$8)),'General Inputs'!$K$8-SUM($D$67:D$67),0)))</f>
        <v>187200.69504114857</v>
      </c>
      <c r="F67" s="229">
        <f ca="1">IF(ContrLennar=0,0,IF(DevBdgt!F$49&lt;=SUM('General Inputs'!$J$8:$L$8),ContrLennar*DevBdgt!F$48,IF(AND(DevBdgt!F$49&gt;SUM('General Inputs'!$J$8:$L$8),DevBdgt!E$49&lt;SUM('General Inputs'!$J$8:$L$8)),'General Inputs'!$K$8-SUM($D$67:E$67),0)))</f>
        <v>1519969.0317023587</v>
      </c>
      <c r="G67" s="229">
        <f ca="1">IF(ContrLennar=0,0,IF(DevBdgt!G$49&lt;=SUM('General Inputs'!$J$8:$L$8),ContrLennar*DevBdgt!G$48,IF(AND(DevBdgt!G$49&gt;SUM('General Inputs'!$J$8:$L$8),DevBdgt!F$49&lt;SUM('General Inputs'!$J$8:$L$8)),'General Inputs'!$K$8-SUM($D$67:F$67),0)))</f>
        <v>47750.954329989538</v>
      </c>
      <c r="H67" s="229">
        <f ca="1">IF(ContrLennar=0,0,IF(DevBdgt!H$49&lt;=SUM('General Inputs'!$J$8:$L$8),ContrLennar*DevBdgt!H$48,IF(AND(DevBdgt!H$49&gt;SUM('General Inputs'!$J$8:$L$8),DevBdgt!G$49&lt;SUM('General Inputs'!$J$8:$L$8)),'General Inputs'!$K$8-SUM($D$67:G$67),0)))</f>
        <v>72501.804750386145</v>
      </c>
      <c r="I67" s="229">
        <f ca="1">IF(ContrLennar=0,0,IF(DevBdgt!I$49&lt;=SUM('General Inputs'!$J$8:$L$8),ContrLennar*DevBdgt!I$48,IF(AND(DevBdgt!I$49&gt;SUM('General Inputs'!$J$8:$L$8),DevBdgt!H$49&lt;SUM('General Inputs'!$J$8:$L$8)),'General Inputs'!$K$8-SUM($D$67:H$67),0)))</f>
        <v>123135.14260033611</v>
      </c>
      <c r="J67" s="229">
        <f ca="1">IF(ContrLennar=0,0,IF(DevBdgt!J$49&lt;=SUM('General Inputs'!$J$8:$L$8),ContrLennar*DevBdgt!J$48,IF(AND(DevBdgt!J$49&gt;SUM('General Inputs'!$J$8:$L$8),DevBdgt!I$49&lt;SUM('General Inputs'!$J$8:$L$8)),'General Inputs'!$K$8-SUM($D$67:I$67),0)))</f>
        <v>200944.5086243379</v>
      </c>
      <c r="K67" s="229">
        <f ca="1">IF(ContrLennar=0,0,IF(DevBdgt!K$49&lt;=SUM('General Inputs'!$J$8:$L$8),ContrLennar*DevBdgt!K$48,IF(AND(DevBdgt!K$49&gt;SUM('General Inputs'!$J$8:$L$8),DevBdgt!J$49&lt;SUM('General Inputs'!$J$8:$L$8)),'General Inputs'!$K$8-SUM($D$67:J$67),0)))</f>
        <v>206827.72828140811</v>
      </c>
      <c r="L67" s="229">
        <f ca="1">IF(ContrLennar=0,0,IF(DevBdgt!L$49&lt;=SUM('General Inputs'!$J$8:$L$8),ContrLennar*DevBdgt!L$48,IF(AND(DevBdgt!L$49&gt;SUM('General Inputs'!$J$8:$L$8),DevBdgt!K$49&lt;SUM('General Inputs'!$J$8:$L$8)),'General Inputs'!$K$8-SUM($D$67:K$67),0)))</f>
        <v>263555.60946173384</v>
      </c>
      <c r="M67" s="229">
        <f ca="1">IF(ContrLennar=0,0,IF(DevBdgt!M$49&lt;=SUM('General Inputs'!$J$8:$L$8),ContrLennar*DevBdgt!M$48,IF(AND(DevBdgt!M$49&gt;SUM('General Inputs'!$J$8:$L$8),DevBdgt!L$49&lt;SUM('General Inputs'!$J$8:$L$8)),'General Inputs'!$K$8-SUM($D$67:L$67),0)))</f>
        <v>312631.13752459432</v>
      </c>
      <c r="N67" s="229">
        <f ca="1">IF(ContrLennar=0,0,IF(DevBdgt!N$49&lt;=SUM('General Inputs'!$J$8:$L$8),ContrLennar*DevBdgt!N$48,IF(AND(DevBdgt!N$49&gt;SUM('General Inputs'!$J$8:$L$8),DevBdgt!M$49&lt;SUM('General Inputs'!$J$8:$L$8)),'General Inputs'!$K$8-SUM($D$67:M$67),0)))</f>
        <v>365964.46239059581</v>
      </c>
      <c r="O67" s="229">
        <f ca="1">IF(ContrLennar=0,0,IF(DevBdgt!O$49&lt;=SUM('General Inputs'!$J$8:$L$8),ContrLennar*DevBdgt!O$48,IF(AND(DevBdgt!O$49&gt;SUM('General Inputs'!$J$8:$L$8),DevBdgt!N$49&lt;SUM('General Inputs'!$J$8:$L$8)),'General Inputs'!$K$8-SUM($D$67:N$67),0)))</f>
        <v>207702.02069114055</v>
      </c>
      <c r="P67" s="229">
        <f ca="1">IF(ContrLennar=0,0,IF(DevBdgt!P$49&lt;=SUM('General Inputs'!$J$8:$L$8),ContrLennar*DevBdgt!P$48,IF(AND(DevBdgt!P$49&gt;SUM('General Inputs'!$J$8:$L$8),DevBdgt!O$49&lt;SUM('General Inputs'!$J$8:$L$8)),'General Inputs'!$K$8-SUM($D$67:O$67),0)))</f>
        <v>0</v>
      </c>
      <c r="Q67" s="229">
        <f ca="1">IF(ContrLennar=0,0,IF(DevBdgt!Q$49&lt;=SUM('General Inputs'!$J$8:$L$8),ContrLennar*DevBdgt!Q$48,IF(AND(DevBdgt!Q$49&gt;SUM('General Inputs'!$J$8:$L$8),DevBdgt!P$49&lt;SUM('General Inputs'!$J$8:$L$8)),'General Inputs'!$K$8-SUM($D$67:P$67),0)))</f>
        <v>0</v>
      </c>
      <c r="R67" s="229">
        <f ca="1">IF(ContrLennar=0,0,IF(DevBdgt!R$49&lt;=SUM('General Inputs'!$J$8:$L$8),ContrLennar*DevBdgt!R$48,IF(AND(DevBdgt!R$49&gt;SUM('General Inputs'!$J$8:$L$8),DevBdgt!Q$49&lt;SUM('General Inputs'!$J$8:$L$8)),'General Inputs'!$K$8-SUM($D$67:Q$67),0)))</f>
        <v>0</v>
      </c>
      <c r="S67" s="229">
        <f ca="1">IF(ContrLennar=0,0,IF(DevBdgt!S$49&lt;=SUM('General Inputs'!$J$8:$L$8),ContrLennar*DevBdgt!S$48,IF(AND(DevBdgt!S$49&gt;SUM('General Inputs'!$J$8:$L$8),DevBdgt!R$49&lt;SUM('General Inputs'!$J$8:$L$8)),'General Inputs'!$K$8-SUM($D$67:R$67),0)))</f>
        <v>0</v>
      </c>
      <c r="T67" s="229">
        <f ca="1">IF(ContrLennar=0,0,IF(DevBdgt!T$49&lt;=SUM('General Inputs'!$J$8:$L$8),ContrLennar*DevBdgt!T$48,IF(AND(DevBdgt!T$49&gt;SUM('General Inputs'!$J$8:$L$8),DevBdgt!S$49&lt;SUM('General Inputs'!$J$8:$L$8)),'General Inputs'!$K$8-SUM($D$67:S$67),0)))</f>
        <v>0</v>
      </c>
      <c r="U67" s="229">
        <f ca="1">IF(ContrLennar=0,0,IF(DevBdgt!U$49&lt;=SUM('General Inputs'!$J$8:$L$8),ContrLennar*DevBdgt!U$48,IF(AND(DevBdgt!U$49&gt;SUM('General Inputs'!$J$8:$L$8),DevBdgt!T$49&lt;SUM('General Inputs'!$J$8:$L$8)),'General Inputs'!$K$8-SUM($D$67:T$67),0)))</f>
        <v>0</v>
      </c>
      <c r="V67" s="229">
        <f ca="1">IF(ContrLennar=0,0,IF(DevBdgt!V$49&lt;=SUM('General Inputs'!$J$8:$L$8),ContrLennar*DevBdgt!V$48,IF(AND(DevBdgt!V$49&gt;SUM('General Inputs'!$J$8:$L$8),DevBdgt!U$49&lt;SUM('General Inputs'!$J$8:$L$8)),'General Inputs'!$K$8-SUM($D$67:U$67),0)))</f>
        <v>0</v>
      </c>
      <c r="W67" s="229">
        <f ca="1">IF(ContrLennar=0,0,IF(DevBdgt!W$49&lt;=SUM('General Inputs'!$J$8:$L$8),ContrLennar*DevBdgt!W$48,IF(AND(DevBdgt!W$49&gt;SUM('General Inputs'!$J$8:$L$8),DevBdgt!V$49&lt;SUM('General Inputs'!$J$8:$L$8)),'General Inputs'!$K$8-SUM($D$67:V$67),0)))</f>
        <v>0</v>
      </c>
      <c r="X67" s="229">
        <f ca="1">IF(ContrLennar=0,0,IF(DevBdgt!X$49&lt;=SUM('General Inputs'!$J$8:$L$8),ContrLennar*DevBdgt!X$48,IF(AND(DevBdgt!X$49&gt;SUM('General Inputs'!$J$8:$L$8),DevBdgt!W$49&lt;SUM('General Inputs'!$J$8:$L$8)),'General Inputs'!$K$8-SUM($D$67:W$67),0)))</f>
        <v>0</v>
      </c>
      <c r="Y67" s="229">
        <f ca="1">IF(ContrLennar=0,0,IF(DevBdgt!Y$49&lt;=SUM('General Inputs'!$J$8:$L$8),ContrLennar*DevBdgt!Y$48,IF(AND(DevBdgt!Y$49&gt;SUM('General Inputs'!$J$8:$L$8),DevBdgt!X$49&lt;SUM('General Inputs'!$J$8:$L$8)),'General Inputs'!$K$8-SUM($D$67:X$67),0)))</f>
        <v>0</v>
      </c>
      <c r="Z67" s="229">
        <f ca="1">IF(ContrLennar=0,0,IF(DevBdgt!Z$49&lt;=SUM('General Inputs'!$J$8:$L$8),ContrLennar*DevBdgt!Z$48,IF(AND(DevBdgt!Z$49&gt;SUM('General Inputs'!$J$8:$L$8),DevBdgt!Y$49&lt;SUM('General Inputs'!$J$8:$L$8)),'General Inputs'!$K$8-SUM($D$67:Y$67),0)))</f>
        <v>0</v>
      </c>
      <c r="AA67" s="229">
        <f ca="1">IF(ContrLennar=0,0,IF(DevBdgt!AA$49&lt;=SUM('General Inputs'!$J$8:$L$8),ContrLennar*DevBdgt!AA$48,IF(AND(DevBdgt!AA$49&gt;SUM('General Inputs'!$J$8:$L$8),DevBdgt!Z$49&lt;SUM('General Inputs'!$J$8:$L$8)),'General Inputs'!$K$8-SUM($D$67:Z$67),0)))</f>
        <v>0</v>
      </c>
      <c r="AB67" s="229">
        <f ca="1">IF(ContrLennar=0,0,IF(DevBdgt!AB$49&lt;=SUM('General Inputs'!$J$8:$L$8),ContrLennar*DevBdgt!AB$48,IF(AND(DevBdgt!AB$49&gt;SUM('General Inputs'!$J$8:$L$8),DevBdgt!AA$49&lt;SUM('General Inputs'!$J$8:$L$8)),'General Inputs'!$K$8-SUM($D$67:AA$67),0)))</f>
        <v>0</v>
      </c>
      <c r="AC67" s="229">
        <f ca="1">IF(ContrLennar=0,0,IF(DevBdgt!AC$49&lt;=SUM('General Inputs'!$J$8:$L$8),ContrLennar*DevBdgt!AC$48,IF(AND(DevBdgt!AC$49&gt;SUM('General Inputs'!$J$8:$L$8),DevBdgt!AB$49&lt;SUM('General Inputs'!$J$8:$L$8)),'General Inputs'!$K$8-SUM($D$67:AB$67),0)))</f>
        <v>0</v>
      </c>
      <c r="AD67" s="229">
        <f ca="1">IF(ContrLennar=0,0,IF(DevBdgt!AD$49&lt;=SUM('General Inputs'!$J$8:$L$8),ContrLennar*DevBdgt!AD$48,IF(AND(DevBdgt!AD$49&gt;SUM('General Inputs'!$J$8:$L$8),DevBdgt!AC$49&lt;SUM('General Inputs'!$J$8:$L$8)),'General Inputs'!$K$8-SUM($D$67:AC$67),0)))</f>
        <v>0</v>
      </c>
      <c r="AE67" s="229">
        <f ca="1">IF(ContrLennar=0,0,IF(DevBdgt!AE$49&lt;=SUM('General Inputs'!$J$8:$L$8),ContrLennar*DevBdgt!AE$48,IF(AND(DevBdgt!AE$49&gt;SUM('General Inputs'!$J$8:$L$8),DevBdgt!AD$49&lt;SUM('General Inputs'!$J$8:$L$8)),'General Inputs'!$K$8-SUM($D$67:AD$67),0)))</f>
        <v>0</v>
      </c>
      <c r="AF67" s="229">
        <f ca="1">IF(ContrLennar=0,0,IF(DevBdgt!AF$49&lt;=SUM('General Inputs'!$J$8:$L$8),ContrLennar*DevBdgt!AF$48,IF(AND(DevBdgt!AF$49&gt;SUM('General Inputs'!$J$8:$L$8),DevBdgt!AE$49&lt;SUM('General Inputs'!$J$8:$L$8)),'General Inputs'!$K$8-SUM($D$67:AE$67),0)))</f>
        <v>0</v>
      </c>
      <c r="AG67" s="229">
        <f ca="1">IF(ContrLennar=0,0,IF(DevBdgt!AG$49&lt;=SUM('General Inputs'!$J$8:$L$8),ContrLennar*DevBdgt!AG$48,IF(AND(DevBdgt!AG$49&gt;SUM('General Inputs'!$J$8:$L$8),DevBdgt!AF$49&lt;SUM('General Inputs'!$J$8:$L$8)),'General Inputs'!$K$8-SUM($D$67:AF$67),0)))</f>
        <v>0</v>
      </c>
      <c r="AH67" s="229">
        <f ca="1">IF(ContrLennar=0,0,IF(DevBdgt!AH$49&lt;=SUM('General Inputs'!$J$8:$L$8),ContrLennar*DevBdgt!AH$48,IF(AND(DevBdgt!AH$49&gt;SUM('General Inputs'!$J$8:$L$8),DevBdgt!AG$49&lt;SUM('General Inputs'!$J$8:$L$8)),'General Inputs'!$K$8-SUM($D$67:AG$67),0)))</f>
        <v>0</v>
      </c>
      <c r="AI67" s="229">
        <f ca="1">IF(ContrLennar=0,0,IF(DevBdgt!AI$49&lt;=SUM('General Inputs'!$J$8:$L$8),ContrLennar*DevBdgt!AI$48,IF(AND(DevBdgt!AI$49&gt;SUM('General Inputs'!$J$8:$L$8),DevBdgt!AH$49&lt;SUM('General Inputs'!$J$8:$L$8)),'General Inputs'!$K$8-SUM($D$67:AH$67),0)))</f>
        <v>0</v>
      </c>
      <c r="AJ67" s="229">
        <f ca="1">IF(ContrLennar=0,0,IF(DevBdgt!AJ$49&lt;=SUM('General Inputs'!$J$8:$L$8),ContrLennar*DevBdgt!AJ$48,IF(AND(DevBdgt!AJ$49&gt;SUM('General Inputs'!$J$8:$L$8),DevBdgt!AI$49&lt;SUM('General Inputs'!$J$8:$L$8)),'General Inputs'!$K$8-SUM($D$67:AI$67),0)))</f>
        <v>0</v>
      </c>
      <c r="AK67" s="229">
        <f ca="1">IF(ContrLennar=0,0,IF(DevBdgt!AK$49&lt;=SUM('General Inputs'!$J$8:$L$8),ContrLennar*DevBdgt!AK$48,IF(AND(DevBdgt!AK$49&gt;SUM('General Inputs'!$J$8:$L$8),DevBdgt!AJ$49&lt;SUM('General Inputs'!$J$8:$L$8)),'General Inputs'!$K$8-SUM($D$67:AJ$67),0)))</f>
        <v>0</v>
      </c>
      <c r="AL67" s="229">
        <f ca="1">IF(ContrLennar=0,0,IF(DevBdgt!AL$49&lt;=SUM('General Inputs'!$J$8:$L$8),ContrLennar*DevBdgt!AL$48,IF(AND(DevBdgt!AL$49&gt;SUM('General Inputs'!$J$8:$L$8),DevBdgt!AK$49&lt;SUM('General Inputs'!$J$8:$L$8)),'General Inputs'!$K$8-SUM($D$67:AK$67),0)))</f>
        <v>0</v>
      </c>
      <c r="AM67" s="229">
        <f ca="1">IF(ContrLennar=0,0,IF(DevBdgt!AM$49&lt;=SUM('General Inputs'!$J$8:$L$8),ContrLennar*DevBdgt!AM$48,IF(AND(DevBdgt!AM$49&gt;SUM('General Inputs'!$J$8:$L$8),DevBdgt!AL$49&lt;SUM('General Inputs'!$J$8:$L$8)),'General Inputs'!$K$8-SUM($D$67:AL$67),0)))</f>
        <v>0</v>
      </c>
      <c r="AN67" s="229">
        <f ca="1">IF(ContrLennar=0,0,IF(DevBdgt!AN$49&lt;=SUM('General Inputs'!$J$8:$L$8),ContrLennar*DevBdgt!AN$48,IF(AND(DevBdgt!AN$49&gt;SUM('General Inputs'!$J$8:$L$8),DevBdgt!AM$49&lt;SUM('General Inputs'!$J$8:$L$8)),'General Inputs'!$K$8-SUM($D$67:AM$67),0)))</f>
        <v>0</v>
      </c>
      <c r="AO67" s="229">
        <f ca="1">IF(ContrLennar=0,0,IF(DevBdgt!AO$49&lt;=SUM('General Inputs'!$J$8:$L$8),ContrLennar*DevBdgt!AO$48,IF(AND(DevBdgt!AO$49&gt;SUM('General Inputs'!$J$8:$L$8),DevBdgt!AN$49&lt;SUM('General Inputs'!$J$8:$L$8)),'General Inputs'!$K$8-SUM($D$67:AN$67),0)))</f>
        <v>0</v>
      </c>
      <c r="AP67" s="229">
        <f ca="1">IF(ContrLennar=0,0,IF(DevBdgt!AP$49&lt;=SUM('General Inputs'!$J$8:$L$8),ContrLennar*DevBdgt!AP$48,IF(AND(DevBdgt!AP$49&gt;SUM('General Inputs'!$J$8:$L$8),DevBdgt!AO$49&lt;SUM('General Inputs'!$J$8:$L$8)),'General Inputs'!$K$8-SUM($D$67:AO$67),0)))</f>
        <v>0</v>
      </c>
      <c r="AQ67" s="229">
        <f ca="1">IF(ContrLennar=0,0,IF(DevBdgt!AQ$49&lt;=SUM('General Inputs'!$J$8:$L$8),ContrLennar*DevBdgt!AQ$48,IF(AND(DevBdgt!AQ$49&gt;SUM('General Inputs'!$J$8:$L$8),DevBdgt!AP$49&lt;SUM('General Inputs'!$J$8:$L$8)),'General Inputs'!$K$8-SUM($D$67:AP$67),0)))</f>
        <v>0</v>
      </c>
      <c r="AR67" s="229">
        <f ca="1">IF(ContrLennar=0,0,IF(DevBdgt!AR$49&lt;=SUM('General Inputs'!$J$8:$L$8),ContrLennar*DevBdgt!AR$48,IF(AND(DevBdgt!AR$49&gt;SUM('General Inputs'!$J$8:$L$8),DevBdgt!AQ$49&lt;SUM('General Inputs'!$J$8:$L$8)),'General Inputs'!$K$8-SUM($D$67:AQ$67),0)))</f>
        <v>0</v>
      </c>
      <c r="AS67" s="229">
        <f ca="1">IF(ContrLennar=0,0,IF(DevBdgt!AS$49&lt;=SUM('General Inputs'!$J$8:$L$8),ContrLennar*DevBdgt!AS$48,IF(AND(DevBdgt!AS$49&gt;SUM('General Inputs'!$J$8:$L$8),DevBdgt!AR$49&lt;SUM('General Inputs'!$J$8:$L$8)),'General Inputs'!$K$8-SUM($D$67:AR$67),0)))</f>
        <v>0</v>
      </c>
      <c r="AT67" s="229">
        <f ca="1">IF(ContrLennar=0,0,IF(DevBdgt!AT$49&lt;=SUM('General Inputs'!$J$8:$L$8),ContrLennar*DevBdgt!AT$48,IF(AND(DevBdgt!AT$49&gt;SUM('General Inputs'!$J$8:$L$8),DevBdgt!AS$49&lt;SUM('General Inputs'!$J$8:$L$8)),'General Inputs'!$K$8-SUM($D$67:AS$67),0)))</f>
        <v>0</v>
      </c>
      <c r="AU67" s="229">
        <f ca="1">IF(ContrLennar=0,0,IF(DevBdgt!AU$49&lt;=SUM('General Inputs'!$J$8:$L$8),ContrLennar*DevBdgt!AU$48,IF(AND(DevBdgt!AU$49&gt;SUM('General Inputs'!$J$8:$L$8),DevBdgt!AT$49&lt;SUM('General Inputs'!$J$8:$L$8)),'General Inputs'!$K$8-SUM($D$67:AT$67),0)))</f>
        <v>0</v>
      </c>
      <c r="AV67" s="229">
        <f ca="1">IF(ContrLennar=0,0,IF(DevBdgt!AV$49&lt;=SUM('General Inputs'!$J$8:$L$8),ContrLennar*DevBdgt!AV$48,IF(AND(DevBdgt!AV$49&gt;SUM('General Inputs'!$J$8:$L$8),DevBdgt!AU$49&lt;SUM('General Inputs'!$J$8:$L$8)),'General Inputs'!$K$8-SUM($D$67:AU$67),0)))</f>
        <v>0</v>
      </c>
      <c r="AW67" s="229">
        <f ca="1">IF(ContrLennar=0,0,IF(DevBdgt!AW$49&lt;=SUM('General Inputs'!$J$8:$L$8),ContrLennar*DevBdgt!AW$48,IF(AND(DevBdgt!AW$49&gt;SUM('General Inputs'!$J$8:$L$8),DevBdgt!AV$49&lt;SUM('General Inputs'!$J$8:$L$8)),'General Inputs'!$K$8-SUM($D$67:AV$67),0)))</f>
        <v>0</v>
      </c>
      <c r="AX67" s="229">
        <f ca="1">IF(ContrLennar=0,0,IF(DevBdgt!AX$49&lt;=SUM('General Inputs'!$J$8:$L$8),ContrLennar*DevBdgt!AX$48,IF(AND(DevBdgt!AX$49&gt;SUM('General Inputs'!$J$8:$L$8),DevBdgt!AW$49&lt;SUM('General Inputs'!$J$8:$L$8)),'General Inputs'!$K$8-SUM($D$67:AW$67),0)))</f>
        <v>0</v>
      </c>
      <c r="AY67" s="229">
        <f ca="1">IF(ContrLennar=0,0,IF(DevBdgt!AY$49&lt;=SUM('General Inputs'!$J$8:$L$8),ContrLennar*DevBdgt!AY$48,IF(AND(DevBdgt!AY$49&gt;SUM('General Inputs'!$J$8:$L$8),DevBdgt!AX$49&lt;SUM('General Inputs'!$J$8:$L$8)),'General Inputs'!$K$8-SUM($D$67:AX$67),0)))</f>
        <v>0</v>
      </c>
      <c r="AZ67" s="229">
        <f ca="1">IF(ContrLennar=0,0,IF(DevBdgt!AZ$49&lt;=SUM('General Inputs'!$J$8:$L$8),ContrLennar*DevBdgt!AZ$48,IF(AND(DevBdgt!AZ$49&gt;SUM('General Inputs'!$J$8:$L$8),DevBdgt!AY$49&lt;SUM('General Inputs'!$J$8:$L$8)),'General Inputs'!$K$8-SUM($D$67:AY$67),0)))</f>
        <v>0</v>
      </c>
      <c r="BA67" s="229">
        <f ca="1">IF(ContrLennar=0,0,IF(DevBdgt!BA$49&lt;=SUM('General Inputs'!$J$8:$L$8),ContrLennar*DevBdgt!BA$48,IF(AND(DevBdgt!BA$49&gt;SUM('General Inputs'!$J$8:$L$8),DevBdgt!AZ$49&lt;SUM('General Inputs'!$J$8:$L$8)),'General Inputs'!$K$8-SUM($D$67:AZ$67),0)))</f>
        <v>0</v>
      </c>
      <c r="BB67" s="229">
        <f ca="1">IF(ContrLennar=0,0,IF(DevBdgt!BB$49&lt;=SUM('General Inputs'!$J$8:$L$8),ContrLennar*DevBdgt!BB$48,IF(AND(DevBdgt!BB$49&gt;SUM('General Inputs'!$J$8:$L$8),DevBdgt!BA$49&lt;SUM('General Inputs'!$J$8:$L$8)),'General Inputs'!$K$8-SUM($D$67:BA$67),0)))</f>
        <v>0</v>
      </c>
      <c r="BC67" s="229">
        <f ca="1">IF(ContrLennar=0,0,IF(DevBdgt!BC$49&lt;=SUM('General Inputs'!$J$8:$L$8),ContrLennar*DevBdgt!BC$48,IF(AND(DevBdgt!BC$49&gt;SUM('General Inputs'!$J$8:$L$8),DevBdgt!BB$49&lt;SUM('General Inputs'!$J$8:$L$8)),'General Inputs'!$K$8-SUM($D$67:BB$67),0)))</f>
        <v>0</v>
      </c>
      <c r="BD67" s="229">
        <f ca="1">IF(ContrLennar=0,0,IF(DevBdgt!BD$49&lt;=SUM('General Inputs'!$J$8:$L$8),ContrLennar*DevBdgt!BD$48,IF(AND(DevBdgt!BD$49&gt;SUM('General Inputs'!$J$8:$L$8),DevBdgt!BC$49&lt;SUM('General Inputs'!$J$8:$L$8)),'General Inputs'!$K$8-SUM($D$67:BC$67),0)))</f>
        <v>0</v>
      </c>
      <c r="BE67" s="229">
        <f ca="1">IF(ContrLennar=0,0,IF(DevBdgt!BE$49&lt;=SUM('General Inputs'!$J$8:$L$8),ContrLennar*DevBdgt!BE$48,IF(AND(DevBdgt!BE$49&gt;SUM('General Inputs'!$J$8:$L$8),DevBdgt!BD$49&lt;SUM('General Inputs'!$J$8:$L$8)),'General Inputs'!$K$8-SUM($D$67:BD$67),0)))</f>
        <v>0</v>
      </c>
      <c r="BF67" s="229">
        <f ca="1">IF(ContrLennar=0,0,IF(DevBdgt!BF$49&lt;=SUM('General Inputs'!$J$8:$L$8),ContrLennar*DevBdgt!BF$48,IF(AND(DevBdgt!BF$49&gt;SUM('General Inputs'!$J$8:$L$8),DevBdgt!BE$49&lt;SUM('General Inputs'!$J$8:$L$8)),'General Inputs'!$K$8-SUM($D$67:BE$67),0)))</f>
        <v>0</v>
      </c>
      <c r="BG67" s="229">
        <f ca="1">IF(ContrLennar=0,0,IF(DevBdgt!BG$49&lt;=SUM('General Inputs'!$J$8:$L$8),ContrLennar*DevBdgt!BG$48,IF(AND(DevBdgt!BG$49&gt;SUM('General Inputs'!$J$8:$L$8),DevBdgt!BF$49&lt;SUM('General Inputs'!$J$8:$L$8)),'General Inputs'!$K$8-SUM($D$67:BF$67),0)))</f>
        <v>0</v>
      </c>
      <c r="BH67" s="229">
        <f ca="1">IF(ContrLennar=0,0,IF(DevBdgt!BH$49&lt;=SUM('General Inputs'!$J$8:$L$8),ContrLennar*DevBdgt!BH$48,IF(AND(DevBdgt!BH$49&gt;SUM('General Inputs'!$J$8:$L$8),DevBdgt!BG$49&lt;SUM('General Inputs'!$J$8:$L$8)),'General Inputs'!$K$8-SUM($D$67:BG$67),0)))</f>
        <v>0</v>
      </c>
      <c r="BI67" s="229">
        <f ca="1">IF(ContrLennar=0,0,IF(DevBdgt!BI$49&lt;=SUM('General Inputs'!$J$8:$L$8),ContrLennar*DevBdgt!BI$48,IF(AND(DevBdgt!BI$49&gt;SUM('General Inputs'!$J$8:$L$8),DevBdgt!BH$49&lt;SUM('General Inputs'!$J$8:$L$8)),'General Inputs'!$K$8-SUM($D$67:BH$67),0)))</f>
        <v>0</v>
      </c>
      <c r="BJ67" s="229">
        <f ca="1">IF(ContrLennar=0,0,IF(DevBdgt!BJ$49&lt;=SUM('General Inputs'!$J$8:$L$8),ContrLennar*DevBdgt!BJ$48,IF(AND(DevBdgt!BJ$49&gt;SUM('General Inputs'!$J$8:$L$8),DevBdgt!BI$49&lt;SUM('General Inputs'!$J$8:$L$8)),'General Inputs'!$K$8-SUM($D$67:BI$67),0)))</f>
        <v>0</v>
      </c>
      <c r="BK67" s="229">
        <f ca="1">IF(ContrLennar=0,0,IF(DevBdgt!BK$49&lt;=SUM('General Inputs'!$J$8:$L$8),ContrLennar*DevBdgt!BK$48,IF(AND(DevBdgt!BK$49&gt;SUM('General Inputs'!$J$8:$L$8),DevBdgt!BJ$49&lt;SUM('General Inputs'!$J$8:$L$8)),'General Inputs'!$K$8-SUM($D$67:BJ$67),0)))</f>
        <v>0</v>
      </c>
      <c r="BL67" s="229">
        <f ca="1">IF(ContrLennar=0,0,IF(DevBdgt!BL$49&lt;=SUM('General Inputs'!$J$8:$L$8),ContrLennar*DevBdgt!BL$48,IF(AND(DevBdgt!BL$49&gt;SUM('General Inputs'!$J$8:$L$8),DevBdgt!BK$49&lt;SUM('General Inputs'!$J$8:$L$8)),'General Inputs'!$K$8-SUM($D$67:BK$67),0)))</f>
        <v>0</v>
      </c>
      <c r="BM67" s="229">
        <f ca="1">IF(ContrLennar=0,0,IF(DevBdgt!BM$49&lt;=SUM('General Inputs'!$J$8:$L$8),ContrLennar*DevBdgt!BM$48,IF(AND(DevBdgt!BM$49&gt;SUM('General Inputs'!$J$8:$L$8),DevBdgt!BL$49&lt;SUM('General Inputs'!$J$8:$L$8)),'General Inputs'!$K$8-SUM($D$67:BL$67),0)))</f>
        <v>0</v>
      </c>
      <c r="BN67" s="229">
        <f ca="1">IF(ContrLennar=0,0,IF(DevBdgt!BN$49&lt;=SUM('General Inputs'!$J$8:$L$8),ContrLennar*DevBdgt!BN$48,IF(AND(DevBdgt!BN$49&gt;SUM('General Inputs'!$J$8:$L$8),DevBdgt!BM$49&lt;SUM('General Inputs'!$J$8:$L$8)),'General Inputs'!$K$8-SUM($D$67:BM$67),0)))</f>
        <v>0</v>
      </c>
      <c r="BO67" s="229">
        <f ca="1">IF(ContrLennar=0,0,IF(DevBdgt!BO$49&lt;=SUM('General Inputs'!$J$8:$L$8),ContrLennar*DevBdgt!BO$48,IF(AND(DevBdgt!BO$49&gt;SUM('General Inputs'!$J$8:$L$8),DevBdgt!BN$49&lt;SUM('General Inputs'!$J$8:$L$8)),'General Inputs'!$K$8-SUM($D$67:BN$67),0)))</f>
        <v>0</v>
      </c>
      <c r="BP67" s="229">
        <f ca="1">IF(ContrLennar=0,0,IF(DevBdgt!BP$49&lt;=SUM('General Inputs'!$J$8:$L$8),ContrLennar*DevBdgt!BP$48,IF(AND(DevBdgt!BP$49&gt;SUM('General Inputs'!$J$8:$L$8),DevBdgt!BO$49&lt;SUM('General Inputs'!$J$8:$L$8)),'General Inputs'!$K$8-SUM($D$67:BO$67),0)))</f>
        <v>0</v>
      </c>
      <c r="BQ67" s="229">
        <f ca="1">IF(ContrLennar=0,0,IF(DevBdgt!BQ$49&lt;=SUM('General Inputs'!$J$8:$L$8),ContrLennar*DevBdgt!BQ$48,IF(AND(DevBdgt!BQ$49&gt;SUM('General Inputs'!$J$8:$L$8),DevBdgt!BP$49&lt;SUM('General Inputs'!$J$8:$L$8)),'General Inputs'!$K$8-SUM($D$67:BP$67),0)))</f>
        <v>0</v>
      </c>
      <c r="BR67" s="229">
        <f ca="1">IF(ContrLennar=0,0,IF(DevBdgt!BR$49&lt;=SUM('General Inputs'!$J$8:$L$8),ContrLennar*DevBdgt!BR$48,IF(AND(DevBdgt!BR$49&gt;SUM('General Inputs'!$J$8:$L$8),DevBdgt!BQ$49&lt;SUM('General Inputs'!$J$8:$L$8)),'General Inputs'!$K$8-SUM($D$67:BQ$67),0)))</f>
        <v>0</v>
      </c>
      <c r="BS67" s="229">
        <f ca="1">IF(ContrLennar=0,0,IF(DevBdgt!BS$49&lt;=SUM('General Inputs'!$J$8:$L$8),ContrLennar*DevBdgt!BS$48,IF(AND(DevBdgt!BS$49&gt;SUM('General Inputs'!$J$8:$L$8),DevBdgt!BR$49&lt;SUM('General Inputs'!$J$8:$L$8)),'General Inputs'!$K$8-SUM($D$67:BR$67),0)))</f>
        <v>0</v>
      </c>
      <c r="BT67" s="229">
        <f ca="1">IF(ContrLennar=0,0,IF(DevBdgt!BT$49&lt;=SUM('General Inputs'!$J$8:$L$8),ContrLennar*DevBdgt!BT$48,IF(AND(DevBdgt!BT$49&gt;SUM('General Inputs'!$J$8:$L$8),DevBdgt!BS$49&lt;SUM('General Inputs'!$J$8:$L$8)),'General Inputs'!$K$8-SUM($D$67:BS$67),0)))</f>
        <v>0</v>
      </c>
      <c r="BU67" s="229">
        <f ca="1">IF(ContrLennar=0,0,IF(DevBdgt!BU$49&lt;=SUM('General Inputs'!$J$8:$L$8),ContrLennar*DevBdgt!BU$48,IF(AND(DevBdgt!BU$49&gt;SUM('General Inputs'!$J$8:$L$8),DevBdgt!BT$49&lt;SUM('General Inputs'!$J$8:$L$8)),'General Inputs'!$K$8-SUM($D$67:BT$67),0)))</f>
        <v>0</v>
      </c>
      <c r="BV67" s="229">
        <f ca="1">IF(ContrLennar=0,0,IF(DevBdgt!BV$49&lt;=SUM('General Inputs'!$J$8:$L$8),ContrLennar*DevBdgt!BV$48,IF(AND(DevBdgt!BV$49&gt;SUM('General Inputs'!$J$8:$L$8),DevBdgt!BU$49&lt;SUM('General Inputs'!$J$8:$L$8)),'General Inputs'!$K$8-SUM($D$67:BU$67),0)))</f>
        <v>0</v>
      </c>
      <c r="BW67" s="229">
        <f ca="1">IF(ContrLennar=0,0,IF(DevBdgt!BW$49&lt;=SUM('General Inputs'!$J$8:$L$8),ContrLennar*DevBdgt!BW$48,IF(AND(DevBdgt!BW$49&gt;SUM('General Inputs'!$J$8:$L$8),DevBdgt!BV$49&lt;SUM('General Inputs'!$J$8:$L$8)),'General Inputs'!$K$8-SUM($D$67:BV$67),0)))</f>
        <v>0</v>
      </c>
      <c r="BX67" s="229">
        <f ca="1">IF(ContrLennar=0,0,IF(DevBdgt!BX$49&lt;=SUM('General Inputs'!$J$8:$L$8),ContrLennar*DevBdgt!BX$48,IF(AND(DevBdgt!BX$49&gt;SUM('General Inputs'!$J$8:$L$8),DevBdgt!BW$49&lt;SUM('General Inputs'!$J$8:$L$8)),'General Inputs'!$K$8-SUM($D$67:BW$67),0)))</f>
        <v>0</v>
      </c>
      <c r="BY67" s="229">
        <f ca="1">IF(ContrLennar=0,0,IF(DevBdgt!BY$49&lt;=SUM('General Inputs'!$J$8:$L$8),ContrLennar*DevBdgt!BY$48,IF(AND(DevBdgt!BY$49&gt;SUM('General Inputs'!$J$8:$L$8),DevBdgt!BX$49&lt;SUM('General Inputs'!$J$8:$L$8)),'General Inputs'!$K$8-SUM($D$67:BX$67),0)))</f>
        <v>0</v>
      </c>
      <c r="BZ67" s="229">
        <f ca="1">IF(ContrLennar=0,0,IF(DevBdgt!BZ$49&lt;=SUM('General Inputs'!$J$8:$L$8),ContrLennar*DevBdgt!BZ$48,IF(AND(DevBdgt!BZ$49&gt;SUM('General Inputs'!$J$8:$L$8),DevBdgt!BY$49&lt;SUM('General Inputs'!$J$8:$L$8)),'General Inputs'!$K$8-SUM($D$67:BY$67),0)))</f>
        <v>0</v>
      </c>
      <c r="CA67" s="229">
        <f ca="1">IF(ContrLennar=0,0,IF(DevBdgt!CA$49&lt;=SUM('General Inputs'!$J$8:$L$8),ContrLennar*DevBdgt!CA$48,IF(AND(DevBdgt!CA$49&gt;SUM('General Inputs'!$J$8:$L$8),DevBdgt!BZ$49&lt;SUM('General Inputs'!$J$8:$L$8)),'General Inputs'!$K$8-SUM($D$67:BZ$67),0)))</f>
        <v>0</v>
      </c>
      <c r="CB67" s="229">
        <f ca="1">IF(ContrLennar=0,0,IF(DevBdgt!CB$49&lt;=SUM('General Inputs'!$J$8:$L$8),ContrLennar*DevBdgt!CB$48,IF(AND(DevBdgt!CB$49&gt;SUM('General Inputs'!$J$8:$L$8),DevBdgt!CA$49&lt;SUM('General Inputs'!$J$8:$L$8)),'General Inputs'!$K$8-SUM($D$67:CA$67),0)))</f>
        <v>0</v>
      </c>
      <c r="CC67" s="229">
        <f ca="1">IF(ContrLennar=0,0,IF(DevBdgt!CC$49&lt;=SUM('General Inputs'!$J$8:$L$8),ContrLennar*DevBdgt!CC$48,IF(AND(DevBdgt!CC$49&gt;SUM('General Inputs'!$J$8:$L$8),DevBdgt!CB$49&lt;SUM('General Inputs'!$J$8:$L$8)),'General Inputs'!$K$8-SUM($D$67:CB$67),0)))</f>
        <v>0</v>
      </c>
      <c r="CD67" s="229">
        <f ca="1">IF(ContrLennar=0,0,IF(DevBdgt!CD$49&lt;=SUM('General Inputs'!$J$8:$L$8),ContrLennar*DevBdgt!CD$48,IF(AND(DevBdgt!CD$49&gt;SUM('General Inputs'!$J$8:$L$8),DevBdgt!CC$49&lt;SUM('General Inputs'!$J$8:$L$8)),'General Inputs'!$K$8-SUM($D$67:CC$67),0)))</f>
        <v>0</v>
      </c>
      <c r="CE67" s="229">
        <f ca="1">IF(ContrLennar=0,0,IF(DevBdgt!CE$49&lt;=SUM('General Inputs'!$J$8:$L$8),ContrLennar*DevBdgt!CE$48,IF(AND(DevBdgt!CE$49&gt;SUM('General Inputs'!$J$8:$L$8),DevBdgt!CD$49&lt;SUM('General Inputs'!$J$8:$L$8)),'General Inputs'!$K$8-SUM($D$67:CD$67),0)))</f>
        <v>0</v>
      </c>
      <c r="CF67" s="229">
        <f ca="1">IF(ContrLennar=0,0,IF(DevBdgt!CF$49&lt;=SUM('General Inputs'!$J$8:$L$8),ContrLennar*DevBdgt!CF$48,IF(AND(DevBdgt!CF$49&gt;SUM('General Inputs'!$J$8:$L$8),DevBdgt!CE$49&lt;SUM('General Inputs'!$J$8:$L$8)),'General Inputs'!$K$8-SUM($D$67:CE$67),0)))</f>
        <v>0</v>
      </c>
      <c r="CG67" s="229">
        <f ca="1">IF(ContrLennar=0,0,IF(DevBdgt!CG$49&lt;=SUM('General Inputs'!$J$8:$L$8),ContrLennar*DevBdgt!CG$48,IF(AND(DevBdgt!CG$49&gt;SUM('General Inputs'!$J$8:$L$8),DevBdgt!CF$49&lt;SUM('General Inputs'!$J$8:$L$8)),'General Inputs'!$K$8-SUM($D$67:CF$67),0)))</f>
        <v>0</v>
      </c>
      <c r="CH67" s="229">
        <f ca="1">IF(ContrLennar=0,0,IF(DevBdgt!CH$49&lt;=SUM('General Inputs'!$J$8:$L$8),ContrLennar*DevBdgt!CH$48,IF(AND(DevBdgt!CH$49&gt;SUM('General Inputs'!$J$8:$L$8),DevBdgt!CG$49&lt;SUM('General Inputs'!$J$8:$L$8)),'General Inputs'!$K$8-SUM($D$67:CG$67),0)))</f>
        <v>0</v>
      </c>
      <c r="CI67" s="229">
        <f ca="1">IF(ContrLennar=0,0,IF(DevBdgt!CI$49&lt;=SUM('General Inputs'!$J$8:$L$8),ContrLennar*DevBdgt!CI$48,IF(AND(DevBdgt!CI$49&gt;SUM('General Inputs'!$J$8:$L$8),DevBdgt!CH$49&lt;SUM('General Inputs'!$J$8:$L$8)),'General Inputs'!$K$8-SUM($D$67:CH$67),0)))</f>
        <v>0</v>
      </c>
      <c r="CJ67" s="229">
        <f ca="1">IF(ContrLennar=0,0,IF(DevBdgt!CJ$49&lt;=SUM('General Inputs'!$J$8:$L$8),ContrLennar*DevBdgt!CJ$48,IF(AND(DevBdgt!CJ$49&gt;SUM('General Inputs'!$J$8:$L$8),DevBdgt!CI$49&lt;SUM('General Inputs'!$J$8:$L$8)),'General Inputs'!$K$8-SUM($D$67:CI$67),0)))</f>
        <v>0</v>
      </c>
      <c r="CK67" s="229">
        <f ca="1">IF(ContrLennar=0,0,IF(DevBdgt!CK$49&lt;=SUM('General Inputs'!$J$8:$L$8),ContrLennar*DevBdgt!CK$48,IF(AND(DevBdgt!CK$49&gt;SUM('General Inputs'!$J$8:$L$8),DevBdgt!CJ$49&lt;SUM('General Inputs'!$J$8:$L$8)),'General Inputs'!$K$8-SUM($D$67:CJ$67),0)))</f>
        <v>0</v>
      </c>
      <c r="CL67" s="229">
        <f ca="1">IF(ContrLennar=0,0,IF(DevBdgt!CL$49&lt;=SUM('General Inputs'!$J$8:$L$8),ContrLennar*DevBdgt!CL$48,IF(AND(DevBdgt!CL$49&gt;SUM('General Inputs'!$J$8:$L$8),DevBdgt!CK$49&lt;SUM('General Inputs'!$J$8:$L$8)),'General Inputs'!$K$8-SUM($D$67:CK$67),0)))</f>
        <v>0</v>
      </c>
      <c r="CM67" s="229">
        <f ca="1">IF(ContrLennar=0,0,IF(DevBdgt!CM$49&lt;=SUM('General Inputs'!$J$8:$L$8),ContrLennar*DevBdgt!CM$48,IF(AND(DevBdgt!CM$49&gt;SUM('General Inputs'!$J$8:$L$8),DevBdgt!CL$49&lt;SUM('General Inputs'!$J$8:$L$8)),'General Inputs'!$K$8-SUM($D$67:CL$67),0)))</f>
        <v>0</v>
      </c>
      <c r="CN67" s="229">
        <f ca="1">IF(ContrLennar=0,0,IF(DevBdgt!CN$49&lt;=SUM('General Inputs'!$J$8:$L$8),ContrLennar*DevBdgt!CN$48,IF(AND(DevBdgt!CN$49&gt;SUM('General Inputs'!$J$8:$L$8),DevBdgt!CM$49&lt;SUM('General Inputs'!$J$8:$L$8)),'General Inputs'!$K$8-SUM($D$67:CM$67),0)))</f>
        <v>0</v>
      </c>
      <c r="CO67" s="229">
        <f ca="1">IF(ContrLennar=0,0,IF(DevBdgt!CO$49&lt;=SUM('General Inputs'!$J$8:$L$8),ContrLennar*DevBdgt!CO$48,IF(AND(DevBdgt!CO$49&gt;SUM('General Inputs'!$J$8:$L$8),DevBdgt!CN$49&lt;SUM('General Inputs'!$J$8:$L$8)),'General Inputs'!$K$8-SUM($D$67:CN$67),0)))</f>
        <v>0</v>
      </c>
      <c r="CP67" s="229">
        <f ca="1">IF(ContrLennar=0,0,IF(DevBdgt!CP$49&lt;=SUM('General Inputs'!$J$8:$L$8),ContrLennar*DevBdgt!CP$48,IF(AND(DevBdgt!CP$49&gt;SUM('General Inputs'!$J$8:$L$8),DevBdgt!CO$49&lt;SUM('General Inputs'!$J$8:$L$8)),'General Inputs'!$K$8-SUM($D$67:CO$67),0)))</f>
        <v>0</v>
      </c>
      <c r="CQ67" s="229">
        <f ca="1">IF(ContrLennar=0,0,IF(DevBdgt!CQ$49&lt;=SUM('General Inputs'!$J$8:$L$8),ContrLennar*DevBdgt!CQ$48,IF(AND(DevBdgt!CQ$49&gt;SUM('General Inputs'!$J$8:$L$8),DevBdgt!CP$49&lt;SUM('General Inputs'!$J$8:$L$8)),'General Inputs'!$K$8-SUM($D$67:CP$67),0)))</f>
        <v>0</v>
      </c>
      <c r="CR67" s="229">
        <f ca="1">IF(ContrLennar=0,0,IF(DevBdgt!CR$49&lt;=SUM('General Inputs'!$J$8:$L$8),ContrLennar*DevBdgt!CR$48,IF(AND(DevBdgt!CR$49&gt;SUM('General Inputs'!$J$8:$L$8),DevBdgt!CQ$49&lt;SUM('General Inputs'!$J$8:$L$8)),'General Inputs'!$K$8-SUM($D$67:CQ$67),0)))</f>
        <v>0</v>
      </c>
      <c r="CS67" s="229">
        <f ca="1">IF(ContrLennar=0,0,IF(DevBdgt!CS$49&lt;=SUM('General Inputs'!$J$8:$L$8),ContrLennar*DevBdgt!CS$48,IF(AND(DevBdgt!CS$49&gt;SUM('General Inputs'!$J$8:$L$8),DevBdgt!CR$49&lt;SUM('General Inputs'!$J$8:$L$8)),'General Inputs'!$K$8-SUM($D$67:CR$67),0)))</f>
        <v>0</v>
      </c>
      <c r="CT67" s="229">
        <f ca="1">IF(ContrLennar=0,0,IF(DevBdgt!CT$49&lt;=SUM('General Inputs'!$J$8:$L$8),ContrLennar*DevBdgt!CT$48,IF(AND(DevBdgt!CT$49&gt;SUM('General Inputs'!$J$8:$L$8),DevBdgt!CS$49&lt;SUM('General Inputs'!$J$8:$L$8)),'General Inputs'!$K$8-SUM($D$67:CS$67),0)))</f>
        <v>0</v>
      </c>
      <c r="CU67" s="229">
        <f ca="1">IF(ContrLennar=0,0,IF(DevBdgt!CU$49&lt;=SUM('General Inputs'!$J$8:$L$8),ContrLennar*DevBdgt!CU$48,IF(AND(DevBdgt!CU$49&gt;SUM('General Inputs'!$J$8:$L$8),DevBdgt!CT$49&lt;SUM('General Inputs'!$J$8:$L$8)),'General Inputs'!$K$8-SUM($D$67:CT$67),0)))</f>
        <v>0</v>
      </c>
      <c r="CV67" s="229">
        <f ca="1">IF(ContrLennar=0,0,IF(DevBdgt!CV$49&lt;=SUM('General Inputs'!$J$8:$L$8),ContrLennar*DevBdgt!CV$48,IF(AND(DevBdgt!CV$49&gt;SUM('General Inputs'!$J$8:$L$8),DevBdgt!CU$49&lt;SUM('General Inputs'!$J$8:$L$8)),'General Inputs'!$K$8-SUM($D$67:CU$67),0)))</f>
        <v>0</v>
      </c>
      <c r="CW67" s="229">
        <f ca="1">IF(ContrLennar=0,0,IF(DevBdgt!CW$49&lt;=SUM('General Inputs'!$J$8:$L$8),ContrLennar*DevBdgt!CW$48,IF(AND(DevBdgt!CW$49&gt;SUM('General Inputs'!$J$8:$L$8),DevBdgt!CV$49&lt;SUM('General Inputs'!$J$8:$L$8)),'General Inputs'!$K$8-SUM($D$67:CV$67),0)))</f>
        <v>0</v>
      </c>
      <c r="CX67" s="229">
        <f ca="1">IF(ContrLennar=0,0,IF(DevBdgt!CX$49&lt;=SUM('General Inputs'!$J$8:$L$8),ContrLennar*DevBdgt!CX$48,IF(AND(DevBdgt!CX$49&gt;SUM('General Inputs'!$J$8:$L$8),DevBdgt!CW$49&lt;SUM('General Inputs'!$J$8:$L$8)),'General Inputs'!$K$8-SUM($D$67:CW$67),0)))</f>
        <v>0</v>
      </c>
      <c r="CY67" s="229">
        <f ca="1">IF(ContrLennar=0,0,IF(DevBdgt!CY$49&lt;=SUM('General Inputs'!$J$8:$L$8),ContrLennar*DevBdgt!CY$48,IF(AND(DevBdgt!CY$49&gt;SUM('General Inputs'!$J$8:$L$8),DevBdgt!CX$49&lt;SUM('General Inputs'!$J$8:$L$8)),'General Inputs'!$K$8-SUM($D$67:CX$67),0)))</f>
        <v>0</v>
      </c>
      <c r="CZ67" s="229">
        <f ca="1">IF(ContrLennar=0,0,IF(DevBdgt!CZ$49&lt;=SUM('General Inputs'!$J$8:$L$8),ContrLennar*DevBdgt!CZ$48,IF(AND(DevBdgt!CZ$49&gt;SUM('General Inputs'!$J$8:$L$8),DevBdgt!CY$49&lt;SUM('General Inputs'!$J$8:$L$8)),'General Inputs'!$K$8-SUM($D$67:CY$67),0)))</f>
        <v>0</v>
      </c>
      <c r="DA67" s="229">
        <f ca="1">IF(ContrLennar=0,0,IF(DevBdgt!DA$49&lt;=SUM('General Inputs'!$J$8:$L$8),ContrLennar*DevBdgt!DA$48,IF(AND(DevBdgt!DA$49&gt;SUM('General Inputs'!$J$8:$L$8),DevBdgt!CZ$49&lt;SUM('General Inputs'!$J$8:$L$8)),'General Inputs'!$K$8-SUM($D$67:CZ$67),0)))</f>
        <v>0</v>
      </c>
      <c r="DB67" s="229">
        <f ca="1">IF(ContrLennar=0,0,IF(DevBdgt!DB$49&lt;=SUM('General Inputs'!$J$8:$L$8),ContrLennar*DevBdgt!DB$48,IF(AND(DevBdgt!DB$49&gt;SUM('General Inputs'!$J$8:$L$8),DevBdgt!DA$49&lt;SUM('General Inputs'!$J$8:$L$8)),'General Inputs'!$K$8-SUM($D$67:DA$67),0)))</f>
        <v>0</v>
      </c>
      <c r="DC67" s="229">
        <f ca="1">IF(ContrLennar=0,0,IF(DevBdgt!DC$49&lt;=SUM('General Inputs'!$J$8:$L$8),ContrLennar*DevBdgt!DC$48,IF(AND(DevBdgt!DC$49&gt;SUM('General Inputs'!$J$8:$L$8),DevBdgt!DB$49&lt;SUM('General Inputs'!$J$8:$L$8)),'General Inputs'!$K$8-SUM($D$67:DB$67),0)))</f>
        <v>0</v>
      </c>
      <c r="DD67" s="229">
        <f ca="1">IF(ContrLennar=0,0,IF(DevBdgt!DD$49&lt;=SUM('General Inputs'!$J$8:$L$8),ContrLennar*DevBdgt!DD$48,IF(AND(DevBdgt!DD$49&gt;SUM('General Inputs'!$J$8:$L$8),DevBdgt!DC$49&lt;SUM('General Inputs'!$J$8:$L$8)),'General Inputs'!$K$8-SUM($D$67:DC$67),0)))</f>
        <v>0</v>
      </c>
      <c r="DE67" s="229">
        <f ca="1">IF(ContrLennar=0,0,IF(DevBdgt!DE$49&lt;=SUM('General Inputs'!$J$8:$L$8),ContrLennar*DevBdgt!DE$48,IF(AND(DevBdgt!DE$49&gt;SUM('General Inputs'!$J$8:$L$8),DevBdgt!DD$49&lt;SUM('General Inputs'!$J$8:$L$8)),'General Inputs'!$K$8-SUM($D$67:DD$67),0)))</f>
        <v>0</v>
      </c>
      <c r="DF67" s="229">
        <f ca="1">IF(ContrLennar=0,0,IF(DevBdgt!DF$49&lt;=SUM('General Inputs'!$J$8:$L$8),ContrLennar*DevBdgt!DF$48,IF(AND(DevBdgt!DF$49&gt;SUM('General Inputs'!$J$8:$L$8),DevBdgt!DE$49&lt;SUM('General Inputs'!$J$8:$L$8)),'General Inputs'!$K$8-SUM($D$67:DE$67),0)))</f>
        <v>0</v>
      </c>
      <c r="DG67" s="229">
        <f ca="1">IF(ContrLennar=0,0,IF(DevBdgt!DG$49&lt;=SUM('General Inputs'!$J$8:$L$8),ContrLennar*DevBdgt!DG$48,IF(AND(DevBdgt!DG$49&gt;SUM('General Inputs'!$J$8:$L$8),DevBdgt!DF$49&lt;SUM('General Inputs'!$J$8:$L$8)),'General Inputs'!$K$8-SUM($D$67:DF$67),0)))</f>
        <v>0</v>
      </c>
      <c r="DH67" s="229">
        <f ca="1">IF(ContrLennar=0,0,IF(DevBdgt!DH$49&lt;=SUM('General Inputs'!$J$8:$L$8),ContrLennar*DevBdgt!DH$48,IF(AND(DevBdgt!DH$49&gt;SUM('General Inputs'!$J$8:$L$8),DevBdgt!DG$49&lt;SUM('General Inputs'!$J$8:$L$8)),'General Inputs'!$K$8-SUM($D$67:DG$67),0)))</f>
        <v>0</v>
      </c>
      <c r="DI67" s="229">
        <f ca="1">IF(ContrLennar=0,0,IF(DevBdgt!DI$49&lt;=SUM('General Inputs'!$J$8:$L$8),ContrLennar*DevBdgt!DI$48,IF(AND(DevBdgt!DI$49&gt;SUM('General Inputs'!$J$8:$L$8),DevBdgt!DH$49&lt;SUM('General Inputs'!$J$8:$L$8)),'General Inputs'!$K$8-SUM($D$67:DH$67),0)))</f>
        <v>0</v>
      </c>
      <c r="DJ67" s="229">
        <f ca="1">IF(ContrLennar=0,0,IF(DevBdgt!DJ$49&lt;=SUM('General Inputs'!$J$8:$L$8),ContrLennar*DevBdgt!DJ$48,IF(AND(DevBdgt!DJ$49&gt;SUM('General Inputs'!$J$8:$L$8),DevBdgt!DI$49&lt;SUM('General Inputs'!$J$8:$L$8)),'General Inputs'!$K$8-SUM($D$67:DI$67),0)))</f>
        <v>0</v>
      </c>
      <c r="DK67" s="229">
        <f ca="1">IF(ContrLennar=0,0,IF(DevBdgt!DK$49&lt;=SUM('General Inputs'!$J$8:$L$8),ContrLennar*DevBdgt!DK$48,IF(AND(DevBdgt!DK$49&gt;SUM('General Inputs'!$J$8:$L$8),DevBdgt!DJ$49&lt;SUM('General Inputs'!$J$8:$L$8)),'General Inputs'!$K$8-SUM($D$67:DJ$67),0)))</f>
        <v>0</v>
      </c>
      <c r="DL67" s="229">
        <f ca="1">IF(ContrLennar=0,0,IF(DevBdgt!DL$49&lt;=SUM('General Inputs'!$J$8:$L$8),ContrLennar*DevBdgt!DL$48,IF(AND(DevBdgt!DL$49&gt;SUM('General Inputs'!$J$8:$L$8),DevBdgt!DK$49&lt;SUM('General Inputs'!$J$8:$L$8)),'General Inputs'!$K$8-SUM($D$67:DK$67),0)))</f>
        <v>0</v>
      </c>
      <c r="DM67" s="229">
        <f ca="1">IF(ContrLennar=0,0,IF(DevBdgt!DM$49&lt;=SUM('General Inputs'!$J$8:$L$8),ContrLennar*DevBdgt!DM$48,IF(AND(DevBdgt!DM$49&gt;SUM('General Inputs'!$J$8:$L$8),DevBdgt!DL$49&lt;SUM('General Inputs'!$J$8:$L$8)),'General Inputs'!$K$8-SUM($D$67:DL$67),0)))</f>
        <v>0</v>
      </c>
      <c r="DN67" s="229">
        <f ca="1">IF(ContrLennar=0,0,IF(DevBdgt!DN$49&lt;=SUM('General Inputs'!$J$8:$L$8),ContrLennar*DevBdgt!DN$48,IF(AND(DevBdgt!DN$49&gt;SUM('General Inputs'!$J$8:$L$8),DevBdgt!DM$49&lt;SUM('General Inputs'!$J$8:$L$8)),'General Inputs'!$K$8-SUM($D$67:DM$67),0)))</f>
        <v>0</v>
      </c>
      <c r="DO67" s="229">
        <f ca="1">IF(ContrLennar=0,0,IF(DevBdgt!DO$49&lt;=SUM('General Inputs'!$J$8:$L$8),ContrLennar*DevBdgt!DO$48,IF(AND(DevBdgt!DO$49&gt;SUM('General Inputs'!$J$8:$L$8),DevBdgt!DN$49&lt;SUM('General Inputs'!$J$8:$L$8)),'General Inputs'!$K$8-SUM($D$67:DN$67),0)))</f>
        <v>0</v>
      </c>
      <c r="DP67" s="229">
        <f ca="1">IF(ContrLennar=0,0,IF(DevBdgt!DP$49&lt;=SUM('General Inputs'!$J$8:$L$8),ContrLennar*DevBdgt!DP$48,IF(AND(DevBdgt!DP$49&gt;SUM('General Inputs'!$J$8:$L$8),DevBdgt!DO$49&lt;SUM('General Inputs'!$J$8:$L$8)),'General Inputs'!$K$8-SUM($D$67:DO$67),0)))</f>
        <v>0</v>
      </c>
      <c r="DQ67" s="229">
        <f ca="1">IF(ContrLennar=0,0,IF(DevBdgt!DQ$49&lt;=SUM('General Inputs'!$J$8:$L$8),ContrLennar*DevBdgt!DQ$48,IF(AND(DevBdgt!DQ$49&gt;SUM('General Inputs'!$J$8:$L$8),DevBdgt!DP$49&lt;SUM('General Inputs'!$J$8:$L$8)),'General Inputs'!$K$8-SUM($D$67:DP$67),0)))</f>
        <v>0</v>
      </c>
      <c r="DR67" s="229">
        <f ca="1">IF(ContrLennar=0,0,IF(DevBdgt!DR$49&lt;=SUM('General Inputs'!$J$8:$L$8),ContrLennar*DevBdgt!DR$48,IF(AND(DevBdgt!DR$49&gt;SUM('General Inputs'!$J$8:$L$8),DevBdgt!DQ$49&lt;SUM('General Inputs'!$J$8:$L$8)),'General Inputs'!$K$8-SUM($D$67:DQ$67),0)))</f>
        <v>0</v>
      </c>
      <c r="DS67" s="229">
        <f ca="1">IF(ContrLennar=0,0,IF(DevBdgt!DS$49&lt;=SUM('General Inputs'!$J$8:$L$8),ContrLennar*DevBdgt!DS$48,IF(AND(DevBdgt!DS$49&gt;SUM('General Inputs'!$J$8:$L$8),DevBdgt!DR$49&lt;SUM('General Inputs'!$J$8:$L$8)),'General Inputs'!$K$8-SUM($D$67:DR$67),0)))</f>
        <v>0</v>
      </c>
      <c r="DT67" s="229">
        <f ca="1">IF(ContrLennar=0,0,IF(DevBdgt!DT$49&lt;=SUM('General Inputs'!$J$8:$L$8),ContrLennar*DevBdgt!DT$48,IF(AND(DevBdgt!DT$49&gt;SUM('General Inputs'!$J$8:$L$8),DevBdgt!DS$49&lt;SUM('General Inputs'!$J$8:$L$8)),'General Inputs'!$K$8-SUM($D$67:DS$67),0)))</f>
        <v>0</v>
      </c>
      <c r="DU67" s="229">
        <f ca="1">IF(ContrLennar=0,0,IF(DevBdgt!DU$49&lt;=SUM('General Inputs'!$J$8:$L$8),ContrLennar*DevBdgt!DU$48,IF(AND(DevBdgt!DU$49&gt;SUM('General Inputs'!$J$8:$L$8),DevBdgt!DT$49&lt;SUM('General Inputs'!$J$8:$L$8)),'General Inputs'!$K$8-SUM($D$67:DT$67),0)))</f>
        <v>0</v>
      </c>
      <c r="DV67" s="229">
        <f ca="1">IF(ContrLennar=0,0,IF(DevBdgt!DV$49&lt;=SUM('General Inputs'!$J$8:$L$8),ContrLennar*DevBdgt!DV$48,IF(AND(DevBdgt!DV$49&gt;SUM('General Inputs'!$J$8:$L$8),DevBdgt!DU$49&lt;SUM('General Inputs'!$J$8:$L$8)),'General Inputs'!$K$8-SUM($D$67:DU$67),0)))</f>
        <v>0</v>
      </c>
      <c r="DW67" s="229">
        <f ca="1">IF(ContrLennar=0,0,IF(DevBdgt!DW$49&lt;=SUM('General Inputs'!$J$8:$L$8),ContrLennar*DevBdgt!DW$48,IF(AND(DevBdgt!DW$49&gt;SUM('General Inputs'!$J$8:$L$8),DevBdgt!DV$49&lt;SUM('General Inputs'!$J$8:$L$8)),'General Inputs'!$K$8-SUM($D$67:DV$67),0)))</f>
        <v>0</v>
      </c>
      <c r="DX67" s="229">
        <f ca="1">IF(ContrLennar=0,0,IF(DevBdgt!DX$49&lt;=SUM('General Inputs'!$J$8:$L$8),ContrLennar*DevBdgt!DX$48,IF(AND(DevBdgt!DX$49&gt;SUM('General Inputs'!$J$8:$L$8),DevBdgt!DW$49&lt;SUM('General Inputs'!$J$8:$L$8)),'General Inputs'!$K$8-SUM($D$67:DW$67),0)))</f>
        <v>0</v>
      </c>
      <c r="DY67" s="229">
        <f ca="1">IF(ContrLennar=0,0,IF(DevBdgt!DY$49&lt;=SUM('General Inputs'!$J$8:$L$8),ContrLennar*DevBdgt!DY$48,IF(AND(DevBdgt!DY$49&gt;SUM('General Inputs'!$J$8:$L$8),DevBdgt!DX$49&lt;SUM('General Inputs'!$J$8:$L$8)),'General Inputs'!$K$8-SUM($D$67:DX$67),0)))</f>
        <v>0</v>
      </c>
      <c r="DZ67" s="229">
        <f ca="1">IF(ContrLennar=0,0,IF(DevBdgt!DZ$49&lt;=SUM('General Inputs'!$J$8:$L$8),ContrLennar*DevBdgt!DZ$48,IF(AND(DevBdgt!DZ$49&gt;SUM('General Inputs'!$J$8:$L$8),DevBdgt!DY$49&lt;SUM('General Inputs'!$J$8:$L$8)),'General Inputs'!$K$8-SUM($D$67:DY$67),0)))</f>
        <v>0</v>
      </c>
      <c r="EA67" s="229">
        <f ca="1">IF(ContrLennar=0,0,IF(DevBdgt!EA$49&lt;=SUM('General Inputs'!$J$8:$L$8),ContrLennar*DevBdgt!EA$48,IF(AND(DevBdgt!EA$49&gt;SUM('General Inputs'!$J$8:$L$8),DevBdgt!DZ$49&lt;SUM('General Inputs'!$J$8:$L$8)),'General Inputs'!$K$8-SUM($D$67:DZ$67),0)))</f>
        <v>0</v>
      </c>
      <c r="EB67" s="229">
        <f ca="1">IF(ContrLennar=0,0,IF(DevBdgt!EB$49&lt;=SUM('General Inputs'!$J$8:$L$8),ContrLennar*DevBdgt!EB$48,IF(AND(DevBdgt!EB$49&gt;SUM('General Inputs'!$J$8:$L$8),DevBdgt!EA$49&lt;SUM('General Inputs'!$J$8:$L$8)),'General Inputs'!$K$8-SUM($D$67:EA$67),0)))</f>
        <v>0</v>
      </c>
      <c r="EC67" s="229">
        <f ca="1">IF(ContrLennar=0,0,IF(DevBdgt!EC$49&lt;=SUM('General Inputs'!$J$8:$L$8),ContrLennar*DevBdgt!EC$48,IF(AND(DevBdgt!EC$49&gt;SUM('General Inputs'!$J$8:$L$8),DevBdgt!EB$49&lt;SUM('General Inputs'!$J$8:$L$8)),'General Inputs'!$K$8-SUM($D$67:EB$67),0)))</f>
        <v>0</v>
      </c>
      <c r="ED67" s="229">
        <f ca="1">IF(ContrLennar=0,0,IF(DevBdgt!ED$49&lt;=SUM('General Inputs'!$J$8:$L$8),ContrLennar*DevBdgt!ED$48,IF(AND(DevBdgt!ED$49&gt;SUM('General Inputs'!$J$8:$L$8),DevBdgt!EC$49&lt;SUM('General Inputs'!$J$8:$L$8)),'General Inputs'!$K$8-SUM($D$67:EC$67),0)))</f>
        <v>0</v>
      </c>
      <c r="EE67" s="229">
        <f ca="1">IF(ContrLennar=0,0,IF(DevBdgt!EE$49&lt;=SUM('General Inputs'!$J$8:$L$8),ContrLennar*DevBdgt!EE$48,IF(AND(DevBdgt!EE$49&gt;SUM('General Inputs'!$J$8:$L$8),DevBdgt!ED$49&lt;SUM('General Inputs'!$J$8:$L$8)),'General Inputs'!$K$8-SUM($D$67:ED$67),0)))</f>
        <v>0</v>
      </c>
      <c r="EF67" s="229">
        <f ca="1">IF(ContrLennar=0,0,IF(DevBdgt!EF$49&lt;=SUM('General Inputs'!$J$8:$L$8),ContrLennar*DevBdgt!EF$48,IF(AND(DevBdgt!EF$49&gt;SUM('General Inputs'!$J$8:$L$8),DevBdgt!EE$49&lt;SUM('General Inputs'!$J$8:$L$8)),'General Inputs'!$K$8-SUM($D$67:EE$67),0)))</f>
        <v>0</v>
      </c>
      <c r="EG67" s="229">
        <f ca="1">IF(ContrLennar=0,0,IF(DevBdgt!EG$49&lt;=SUM('General Inputs'!$J$8:$L$8),ContrLennar*DevBdgt!EG$48,IF(AND(DevBdgt!EG$49&gt;SUM('General Inputs'!$J$8:$L$8),DevBdgt!EF$49&lt;SUM('General Inputs'!$J$8:$L$8)),'General Inputs'!$K$8-SUM($D$67:EF$67),0)))</f>
        <v>0</v>
      </c>
    </row>
    <row r="68" spans="1:137" ht="15" thickBot="1" x14ac:dyDescent="0.35">
      <c r="A68" s="248" t="s">
        <v>2463</v>
      </c>
      <c r="B68" s="248"/>
      <c r="C68" s="248"/>
      <c r="D68" s="697"/>
      <c r="E68" s="250">
        <f t="shared" ref="E68:BP68" ca="1" si="95">SUM(E66:E67)</f>
        <v>187200.69504114857</v>
      </c>
      <c r="F68" s="250">
        <f t="shared" ca="1" si="95"/>
        <v>1707169.7267435072</v>
      </c>
      <c r="G68" s="250">
        <f t="shared" ca="1" si="95"/>
        <v>1754920.6810734968</v>
      </c>
      <c r="H68" s="250">
        <f t="shared" ca="1" si="95"/>
        <v>1827422.485823883</v>
      </c>
      <c r="I68" s="250">
        <f t="shared" ca="1" si="95"/>
        <v>1950557.6284242191</v>
      </c>
      <c r="J68" s="250">
        <f t="shared" ca="1" si="95"/>
        <v>2151502.1370485569</v>
      </c>
      <c r="K68" s="250">
        <f t="shared" ca="1" si="95"/>
        <v>2358329.865329965</v>
      </c>
      <c r="L68" s="250">
        <f t="shared" ca="1" si="95"/>
        <v>2621885.4747916991</v>
      </c>
      <c r="M68" s="250">
        <f t="shared" ca="1" si="95"/>
        <v>2934516.6123162936</v>
      </c>
      <c r="N68" s="250">
        <f t="shared" ca="1" si="95"/>
        <v>3300481.0747068897</v>
      </c>
      <c r="O68" s="250">
        <f t="shared" ca="1" si="95"/>
        <v>3508183.0953980302</v>
      </c>
      <c r="P68" s="250">
        <f t="shared" ca="1" si="95"/>
        <v>3508183.0953980302</v>
      </c>
      <c r="Q68" s="250">
        <f t="shared" ca="1" si="95"/>
        <v>3508183.0953980302</v>
      </c>
      <c r="R68" s="250">
        <f t="shared" ca="1" si="95"/>
        <v>3508183.0953980302</v>
      </c>
      <c r="S68" s="250">
        <f t="shared" ca="1" si="95"/>
        <v>3508183.0953980302</v>
      </c>
      <c r="T68" s="250">
        <f t="shared" ca="1" si="95"/>
        <v>3508183.0953980302</v>
      </c>
      <c r="U68" s="250">
        <f t="shared" ca="1" si="95"/>
        <v>3508183.0953980302</v>
      </c>
      <c r="V68" s="250">
        <f t="shared" ca="1" si="95"/>
        <v>3508183.0953980302</v>
      </c>
      <c r="W68" s="250">
        <f t="shared" ca="1" si="95"/>
        <v>3508183.0953980302</v>
      </c>
      <c r="X68" s="250">
        <f t="shared" ca="1" si="95"/>
        <v>3508183.0953980302</v>
      </c>
      <c r="Y68" s="250">
        <f t="shared" ca="1" si="95"/>
        <v>3508183.0953980302</v>
      </c>
      <c r="Z68" s="250">
        <f t="shared" ca="1" si="95"/>
        <v>3508183.0953980302</v>
      </c>
      <c r="AA68" s="250">
        <f t="shared" ca="1" si="95"/>
        <v>3508183.0953980302</v>
      </c>
      <c r="AB68" s="250">
        <f t="shared" ca="1" si="95"/>
        <v>3508183.0953980302</v>
      </c>
      <c r="AC68" s="250">
        <f t="shared" ca="1" si="95"/>
        <v>3508183.0953980302</v>
      </c>
      <c r="AD68" s="250">
        <f t="shared" ca="1" si="95"/>
        <v>3508183.0953980302</v>
      </c>
      <c r="AE68" s="250">
        <f t="shared" ca="1" si="95"/>
        <v>3508183.0953980302</v>
      </c>
      <c r="AF68" s="250">
        <f t="shared" ca="1" si="95"/>
        <v>3508183.0953980302</v>
      </c>
      <c r="AG68" s="250">
        <f t="shared" ca="1" si="95"/>
        <v>3508183.0953980302</v>
      </c>
      <c r="AH68" s="250">
        <f t="shared" ca="1" si="95"/>
        <v>3508183.0953980302</v>
      </c>
      <c r="AI68" s="250">
        <f t="shared" ca="1" si="95"/>
        <v>3508183.0953980302</v>
      </c>
      <c r="AJ68" s="250">
        <f t="shared" ca="1" si="95"/>
        <v>3508183.0953980302</v>
      </c>
      <c r="AK68" s="250">
        <f t="shared" ca="1" si="95"/>
        <v>3508183.0953980302</v>
      </c>
      <c r="AL68" s="250">
        <f t="shared" ca="1" si="95"/>
        <v>3508183.0953980302</v>
      </c>
      <c r="AM68" s="250">
        <f t="shared" ca="1" si="95"/>
        <v>3508183.0953980302</v>
      </c>
      <c r="AN68" s="250">
        <f t="shared" ca="1" si="95"/>
        <v>3508183.0953980302</v>
      </c>
      <c r="AO68" s="250">
        <f t="shared" ca="1" si="95"/>
        <v>3508183.0953980302</v>
      </c>
      <c r="AP68" s="250">
        <f t="shared" ca="1" si="95"/>
        <v>3508183.0953980302</v>
      </c>
      <c r="AQ68" s="250">
        <f t="shared" ca="1" si="95"/>
        <v>3508183.0953980302</v>
      </c>
      <c r="AR68" s="250">
        <f t="shared" ca="1" si="95"/>
        <v>3508183.0953980302</v>
      </c>
      <c r="AS68" s="250">
        <f t="shared" ca="1" si="95"/>
        <v>3508183.0953980302</v>
      </c>
      <c r="AT68" s="250">
        <f t="shared" ca="1" si="95"/>
        <v>3508183.0953980302</v>
      </c>
      <c r="AU68" s="250">
        <f t="shared" ca="1" si="95"/>
        <v>3508183.0953980302</v>
      </c>
      <c r="AV68" s="250">
        <f t="shared" ca="1" si="95"/>
        <v>3508183.0953980302</v>
      </c>
      <c r="AW68" s="250">
        <f t="shared" ca="1" si="95"/>
        <v>3508183.0953980302</v>
      </c>
      <c r="AX68" s="250">
        <f t="shared" ca="1" si="95"/>
        <v>3508183.0953980302</v>
      </c>
      <c r="AY68" s="250">
        <f t="shared" ca="1" si="95"/>
        <v>3508183.0953980302</v>
      </c>
      <c r="AZ68" s="250">
        <f t="shared" ca="1" si="95"/>
        <v>3508183.0953980302</v>
      </c>
      <c r="BA68" s="250">
        <f t="shared" ca="1" si="95"/>
        <v>3508183.0953980302</v>
      </c>
      <c r="BB68" s="250">
        <f t="shared" ca="1" si="95"/>
        <v>3508183.0953980302</v>
      </c>
      <c r="BC68" s="250">
        <f t="shared" ca="1" si="95"/>
        <v>3508183.0953980302</v>
      </c>
      <c r="BD68" s="250">
        <f t="shared" ca="1" si="95"/>
        <v>3508183.0953980302</v>
      </c>
      <c r="BE68" s="250">
        <f t="shared" ca="1" si="95"/>
        <v>3508183.0953980302</v>
      </c>
      <c r="BF68" s="250">
        <f t="shared" ca="1" si="95"/>
        <v>3508183.0953980302</v>
      </c>
      <c r="BG68" s="250">
        <f t="shared" ca="1" si="95"/>
        <v>3508183.0953980302</v>
      </c>
      <c r="BH68" s="250">
        <f t="shared" ca="1" si="95"/>
        <v>3508183.0953980302</v>
      </c>
      <c r="BI68" s="250">
        <f t="shared" ca="1" si="95"/>
        <v>3508183.0953980302</v>
      </c>
      <c r="BJ68" s="250">
        <f t="shared" ca="1" si="95"/>
        <v>3508183.0953980302</v>
      </c>
      <c r="BK68" s="250">
        <f t="shared" ca="1" si="95"/>
        <v>3508183.0953980302</v>
      </c>
      <c r="BL68" s="250">
        <f t="shared" ca="1" si="95"/>
        <v>3508183.0953980302</v>
      </c>
      <c r="BM68" s="250">
        <f t="shared" ca="1" si="95"/>
        <v>3508183.0953980302</v>
      </c>
      <c r="BN68" s="250">
        <f t="shared" ca="1" si="95"/>
        <v>3508183.0953980302</v>
      </c>
      <c r="BO68" s="250">
        <f t="shared" ca="1" si="95"/>
        <v>3508183.0953980302</v>
      </c>
      <c r="BP68" s="250">
        <f t="shared" ca="1" si="95"/>
        <v>3508183.0953980302</v>
      </c>
      <c r="BQ68" s="250">
        <f t="shared" ref="BQ68:EB68" ca="1" si="96">SUM(BQ66:BQ67)</f>
        <v>3508183.0953980302</v>
      </c>
      <c r="BR68" s="250">
        <f t="shared" ca="1" si="96"/>
        <v>3508183.0953980302</v>
      </c>
      <c r="BS68" s="250">
        <f t="shared" ca="1" si="96"/>
        <v>3508183.0953980302</v>
      </c>
      <c r="BT68" s="250">
        <f t="shared" ca="1" si="96"/>
        <v>3508183.0953980302</v>
      </c>
      <c r="BU68" s="250">
        <f t="shared" ca="1" si="96"/>
        <v>3508183.0953980302</v>
      </c>
      <c r="BV68" s="250">
        <f t="shared" ca="1" si="96"/>
        <v>3508183.0953980302</v>
      </c>
      <c r="BW68" s="250">
        <f t="shared" ca="1" si="96"/>
        <v>3508183.0953980302</v>
      </c>
      <c r="BX68" s="250">
        <f t="shared" ca="1" si="96"/>
        <v>3508183.0953980302</v>
      </c>
      <c r="BY68" s="250">
        <f t="shared" ca="1" si="96"/>
        <v>3508183.0953980302</v>
      </c>
      <c r="BZ68" s="250">
        <f t="shared" ca="1" si="96"/>
        <v>3508183.0953980302</v>
      </c>
      <c r="CA68" s="250">
        <f t="shared" ca="1" si="96"/>
        <v>3508183.0953980302</v>
      </c>
      <c r="CB68" s="250">
        <f t="shared" ca="1" si="96"/>
        <v>3508183.0953980302</v>
      </c>
      <c r="CC68" s="250">
        <f t="shared" ca="1" si="96"/>
        <v>3508183.0953980302</v>
      </c>
      <c r="CD68" s="250">
        <f t="shared" ca="1" si="96"/>
        <v>3508183.0953980302</v>
      </c>
      <c r="CE68" s="250">
        <f t="shared" ca="1" si="96"/>
        <v>3508183.0953980302</v>
      </c>
      <c r="CF68" s="250">
        <f t="shared" ca="1" si="96"/>
        <v>3508183.0953980302</v>
      </c>
      <c r="CG68" s="250">
        <f t="shared" ca="1" si="96"/>
        <v>3508183.0953980302</v>
      </c>
      <c r="CH68" s="250">
        <f t="shared" ca="1" si="96"/>
        <v>3508183.0953980302</v>
      </c>
      <c r="CI68" s="250">
        <f t="shared" ca="1" si="96"/>
        <v>3508183.0953980302</v>
      </c>
      <c r="CJ68" s="250">
        <f t="shared" ca="1" si="96"/>
        <v>3508183.0953980302</v>
      </c>
      <c r="CK68" s="250">
        <f t="shared" ca="1" si="96"/>
        <v>3508183.0953980302</v>
      </c>
      <c r="CL68" s="250">
        <f t="shared" ca="1" si="96"/>
        <v>3508183.0953980302</v>
      </c>
      <c r="CM68" s="250">
        <f t="shared" ca="1" si="96"/>
        <v>3508183.0953980302</v>
      </c>
      <c r="CN68" s="250">
        <f t="shared" ca="1" si="96"/>
        <v>3508183.0953980302</v>
      </c>
      <c r="CO68" s="250">
        <f t="shared" ca="1" si="96"/>
        <v>3508183.0953980302</v>
      </c>
      <c r="CP68" s="250">
        <f t="shared" ca="1" si="96"/>
        <v>3508183.0953980302</v>
      </c>
      <c r="CQ68" s="250">
        <f t="shared" ca="1" si="96"/>
        <v>3508183.0953980302</v>
      </c>
      <c r="CR68" s="250">
        <f t="shared" ca="1" si="96"/>
        <v>3508183.0953980302</v>
      </c>
      <c r="CS68" s="250">
        <f t="shared" ca="1" si="96"/>
        <v>3508183.0953980302</v>
      </c>
      <c r="CT68" s="250">
        <f t="shared" ca="1" si="96"/>
        <v>3508183.0953980302</v>
      </c>
      <c r="CU68" s="250">
        <f t="shared" ca="1" si="96"/>
        <v>3508183.0953980302</v>
      </c>
      <c r="CV68" s="250">
        <f t="shared" ca="1" si="96"/>
        <v>3508183.0953980302</v>
      </c>
      <c r="CW68" s="250">
        <f t="shared" ca="1" si="96"/>
        <v>3508183.0953980302</v>
      </c>
      <c r="CX68" s="250">
        <f t="shared" ca="1" si="96"/>
        <v>3508183.0953980302</v>
      </c>
      <c r="CY68" s="250">
        <f t="shared" ca="1" si="96"/>
        <v>3508183.0953980302</v>
      </c>
      <c r="CZ68" s="250">
        <f t="shared" ca="1" si="96"/>
        <v>3508183.0953980302</v>
      </c>
      <c r="DA68" s="250">
        <f t="shared" ca="1" si="96"/>
        <v>3508183.0953980302</v>
      </c>
      <c r="DB68" s="250">
        <f t="shared" ca="1" si="96"/>
        <v>3508183.0953980302</v>
      </c>
      <c r="DC68" s="250">
        <f t="shared" ca="1" si="96"/>
        <v>3508183.0953980302</v>
      </c>
      <c r="DD68" s="250">
        <f t="shared" ca="1" si="96"/>
        <v>3508183.0953980302</v>
      </c>
      <c r="DE68" s="250">
        <f t="shared" ca="1" si="96"/>
        <v>3508183.0953980302</v>
      </c>
      <c r="DF68" s="250">
        <f t="shared" ca="1" si="96"/>
        <v>3508183.0953980302</v>
      </c>
      <c r="DG68" s="250">
        <f t="shared" ca="1" si="96"/>
        <v>3508183.0953980302</v>
      </c>
      <c r="DH68" s="250">
        <f t="shared" ca="1" si="96"/>
        <v>3508183.0953980349</v>
      </c>
      <c r="DI68" s="250">
        <f t="shared" ca="1" si="96"/>
        <v>3508183.0953980479</v>
      </c>
      <c r="DJ68" s="250">
        <f t="shared" ca="1" si="96"/>
        <v>3508183.0953980535</v>
      </c>
      <c r="DK68" s="250">
        <f t="shared" ca="1" si="96"/>
        <v>3508183.0953980722</v>
      </c>
      <c r="DL68" s="250">
        <f t="shared" ca="1" si="96"/>
        <v>3508183.0953980926</v>
      </c>
      <c r="DM68" s="250">
        <f t="shared" ca="1" si="96"/>
        <v>3508183.095398115</v>
      </c>
      <c r="DN68" s="250">
        <f t="shared" ca="1" si="96"/>
        <v>3508183.0953981401</v>
      </c>
      <c r="DO68" s="250">
        <f t="shared" ca="1" si="96"/>
        <v>3508183.0953981681</v>
      </c>
      <c r="DP68" s="250">
        <f t="shared" ca="1" si="96"/>
        <v>3508183.0953981895</v>
      </c>
      <c r="DQ68" s="250">
        <f t="shared" ca="1" si="96"/>
        <v>3508183.0953981769</v>
      </c>
      <c r="DR68" s="250">
        <f t="shared" ca="1" si="96"/>
        <v>3508183.0953981103</v>
      </c>
      <c r="DS68" s="250">
        <f t="shared" ca="1" si="96"/>
        <v>3508183.0953979813</v>
      </c>
      <c r="DT68" s="250">
        <f t="shared" ca="1" si="96"/>
        <v>3508183.095398258</v>
      </c>
      <c r="DU68" s="250">
        <f t="shared" ca="1" si="96"/>
        <v>3508183.0953979874</v>
      </c>
      <c r="DV68" s="250">
        <f t="shared" ca="1" si="96"/>
        <v>3508183.0953981057</v>
      </c>
      <c r="DW68" s="250">
        <f t="shared" ca="1" si="96"/>
        <v>3508183.0953979921</v>
      </c>
      <c r="DX68" s="250">
        <f t="shared" ca="1" si="96"/>
        <v>3508183.0953975916</v>
      </c>
      <c r="DY68" s="250">
        <f t="shared" ca="1" si="96"/>
        <v>3508183.0953968945</v>
      </c>
      <c r="DZ68" s="250">
        <f t="shared" ca="1" si="96"/>
        <v>3508183.0953958724</v>
      </c>
      <c r="EA68" s="250">
        <f t="shared" ca="1" si="96"/>
        <v>3508183.0953946039</v>
      </c>
      <c r="EB68" s="250">
        <f t="shared" ca="1" si="96"/>
        <v>3508183.0953922337</v>
      </c>
      <c r="EC68" s="250">
        <f t="shared" ref="EC68:EG68" ca="1" si="97">SUM(EC66:EC67)</f>
        <v>3508183.0953888567</v>
      </c>
      <c r="ED68" s="250">
        <f t="shared" ca="1" si="97"/>
        <v>3508183.0953846513</v>
      </c>
      <c r="EE68" s="250">
        <f t="shared" ca="1" si="97"/>
        <v>3508183.0953815738</v>
      </c>
      <c r="EF68" s="250">
        <f t="shared" ca="1" si="97"/>
        <v>3508183.0953876972</v>
      </c>
      <c r="EG68" s="250">
        <f t="shared" ca="1" si="97"/>
        <v>3508183.0954104345</v>
      </c>
    </row>
    <row r="69" spans="1:137" ht="7.5" customHeight="1" thickTop="1" x14ac:dyDescent="0.3">
      <c r="E69" s="198"/>
      <c r="F69" s="198"/>
      <c r="G69" s="198"/>
      <c r="H69" s="198"/>
      <c r="I69" s="198"/>
      <c r="J69" s="198"/>
      <c r="K69" s="198"/>
      <c r="L69" s="198"/>
      <c r="M69" s="198"/>
      <c r="N69" s="198"/>
      <c r="O69" s="198"/>
      <c r="P69" s="198"/>
      <c r="Q69" s="198"/>
      <c r="R69" s="198"/>
      <c r="S69" s="198"/>
      <c r="T69" s="198"/>
      <c r="U69" s="198"/>
      <c r="V69" s="198"/>
      <c r="W69" s="198"/>
      <c r="X69" s="198"/>
      <c r="Y69" s="198"/>
      <c r="Z69" s="198"/>
      <c r="AA69" s="198"/>
      <c r="AB69" s="198"/>
      <c r="AC69" s="198"/>
      <c r="AD69" s="198"/>
      <c r="AE69" s="198"/>
      <c r="AF69" s="198"/>
      <c r="AG69" s="198"/>
      <c r="AH69" s="198"/>
      <c r="AI69" s="198"/>
      <c r="AJ69" s="198"/>
      <c r="AK69" s="198"/>
      <c r="AL69" s="198"/>
      <c r="AM69" s="198"/>
      <c r="AN69" s="198"/>
      <c r="AO69" s="198"/>
      <c r="AP69" s="198"/>
      <c r="AQ69" s="198"/>
      <c r="AR69" s="198"/>
      <c r="AS69" s="198"/>
      <c r="AT69" s="198"/>
      <c r="AU69" s="198"/>
      <c r="AV69" s="198"/>
      <c r="AW69" s="198"/>
      <c r="AX69" s="198"/>
      <c r="AY69" s="198"/>
      <c r="AZ69" s="198"/>
      <c r="BA69" s="198"/>
      <c r="BB69" s="198"/>
      <c r="BC69" s="198"/>
      <c r="BD69" s="198"/>
      <c r="BE69" s="198"/>
      <c r="BF69" s="198"/>
      <c r="BG69" s="198"/>
      <c r="BH69" s="198"/>
      <c r="BI69" s="198"/>
      <c r="BJ69" s="198"/>
      <c r="BK69" s="198"/>
      <c r="BL69" s="198"/>
      <c r="BM69" s="198"/>
      <c r="BN69" s="198"/>
      <c r="BO69" s="198"/>
      <c r="BP69" s="198"/>
      <c r="BQ69" s="198"/>
      <c r="BR69" s="198"/>
      <c r="BS69" s="198"/>
      <c r="BT69" s="198"/>
      <c r="BU69" s="198"/>
      <c r="BV69" s="198"/>
      <c r="BW69" s="198"/>
      <c r="BX69" s="198"/>
      <c r="BY69" s="198"/>
      <c r="BZ69" s="198"/>
      <c r="CA69" s="198"/>
      <c r="CB69" s="198"/>
      <c r="CC69" s="198"/>
      <c r="CD69" s="198"/>
      <c r="CE69" s="198"/>
      <c r="CF69" s="198"/>
      <c r="CG69" s="198"/>
      <c r="CH69" s="198"/>
      <c r="CI69" s="198"/>
      <c r="CJ69" s="198"/>
      <c r="CK69" s="198"/>
      <c r="CL69" s="198"/>
      <c r="CM69" s="198"/>
      <c r="CN69" s="198"/>
      <c r="CO69" s="198"/>
      <c r="CP69" s="198"/>
      <c r="CQ69" s="198"/>
      <c r="CR69" s="198"/>
      <c r="CS69" s="198"/>
      <c r="CT69" s="198"/>
      <c r="CU69" s="198"/>
      <c r="CV69" s="198"/>
      <c r="CW69" s="198"/>
      <c r="CX69" s="198"/>
      <c r="CY69" s="198"/>
      <c r="CZ69" s="198"/>
      <c r="DA69" s="198"/>
      <c r="DB69" s="198"/>
      <c r="DC69" s="198"/>
      <c r="DD69" s="198"/>
      <c r="DE69" s="198"/>
      <c r="DF69" s="198"/>
      <c r="DG69" s="198"/>
      <c r="DH69" s="198"/>
      <c r="DI69" s="198"/>
      <c r="DJ69" s="198"/>
      <c r="DK69" s="198"/>
      <c r="DL69" s="198"/>
      <c r="DM69" s="198"/>
      <c r="DN69" s="198"/>
      <c r="DO69" s="198"/>
      <c r="DP69" s="198"/>
      <c r="DQ69" s="198"/>
      <c r="DR69" s="198"/>
      <c r="DS69" s="198"/>
      <c r="DT69" s="198"/>
      <c r="DU69" s="198"/>
      <c r="DV69" s="198"/>
      <c r="DW69" s="198"/>
      <c r="DX69" s="198"/>
      <c r="DY69" s="198"/>
      <c r="DZ69" s="198"/>
      <c r="EA69" s="198"/>
      <c r="EB69" s="198"/>
      <c r="EC69" s="198"/>
      <c r="ED69" s="198"/>
      <c r="EE69" s="198"/>
      <c r="EF69" s="198"/>
      <c r="EG69" s="198"/>
    </row>
    <row r="70" spans="1:137" x14ac:dyDescent="0.3">
      <c r="A70" s="700" t="str">
        <f>'General Inputs'!$K$29&amp;" EQUITY BALANCE"</f>
        <v>Quarterra EQUITY BALANCE</v>
      </c>
      <c r="B70" s="700"/>
      <c r="C70" s="700"/>
      <c r="D70" s="725"/>
    </row>
    <row r="71" spans="1:137" x14ac:dyDescent="0.3">
      <c r="A71" t="s">
        <v>2461</v>
      </c>
      <c r="E71" s="227">
        <f t="shared" ref="E71:BP71" si="98">D79</f>
        <v>0</v>
      </c>
      <c r="F71" s="227">
        <f t="shared" ca="1" si="98"/>
        <v>187200.69504114857</v>
      </c>
      <c r="G71" s="227">
        <f t="shared" ca="1" si="98"/>
        <v>1708729.7325355168</v>
      </c>
      <c r="H71" s="227">
        <f t="shared" ca="1" si="98"/>
        <v>1770720.1013033025</v>
      </c>
      <c r="I71" s="227">
        <f t="shared" ca="1" si="98"/>
        <v>1857977.9068978827</v>
      </c>
      <c r="J71" s="227">
        <f t="shared" ca="1" si="98"/>
        <v>1996596.1987223679</v>
      </c>
      <c r="K71" s="227">
        <f t="shared" ca="1" si="98"/>
        <v>2214179.0090027256</v>
      </c>
      <c r="L71" s="227">
        <f t="shared" ca="1" si="98"/>
        <v>2439458.2290258231</v>
      </c>
      <c r="M71" s="227">
        <f t="shared" ca="1" si="98"/>
        <v>2723342.6570627717</v>
      </c>
      <c r="N71" s="227">
        <f t="shared" ca="1" si="98"/>
        <v>3058668.3167295558</v>
      </c>
      <c r="O71" s="227">
        <f t="shared" ca="1" si="98"/>
        <v>3450121.6817595642</v>
      </c>
      <c r="P71" s="227">
        <f t="shared" ca="1" si="98"/>
        <v>3686574.7164653679</v>
      </c>
      <c r="Q71" s="227">
        <f t="shared" ca="1" si="98"/>
        <v>3717296.1724359128</v>
      </c>
      <c r="R71" s="227">
        <f t="shared" ca="1" si="98"/>
        <v>3748273.6405395456</v>
      </c>
      <c r="S71" s="227">
        <f t="shared" ca="1" si="98"/>
        <v>3779509.2542107087</v>
      </c>
      <c r="T71" s="227">
        <f t="shared" ca="1" si="98"/>
        <v>3811005.1646624645</v>
      </c>
      <c r="U71" s="227">
        <f t="shared" ca="1" si="98"/>
        <v>3842763.5410346519</v>
      </c>
      <c r="V71" s="227">
        <f t="shared" ca="1" si="98"/>
        <v>3874786.5705432738</v>
      </c>
      <c r="W71" s="227">
        <f t="shared" ca="1" si="98"/>
        <v>3907076.4586311346</v>
      </c>
      <c r="X71" s="227">
        <f t="shared" ca="1" si="98"/>
        <v>3939635.4291197276</v>
      </c>
      <c r="Y71" s="227">
        <f t="shared" ca="1" si="98"/>
        <v>3972465.724362392</v>
      </c>
      <c r="Z71" s="227">
        <f t="shared" ca="1" si="98"/>
        <v>4005569.6053987453</v>
      </c>
      <c r="AA71" s="227">
        <f t="shared" ca="1" si="98"/>
        <v>4038949.3521104013</v>
      </c>
      <c r="AB71" s="227">
        <f t="shared" ca="1" si="98"/>
        <v>4072607.2633779878</v>
      </c>
      <c r="AC71" s="227">
        <f t="shared" ca="1" si="98"/>
        <v>4106545.6572394711</v>
      </c>
      <c r="AD71" s="227">
        <f t="shared" ca="1" si="98"/>
        <v>4136355.568100791</v>
      </c>
      <c r="AE71" s="227">
        <f t="shared" ca="1" si="98"/>
        <v>4162392.155596328</v>
      </c>
      <c r="AF71" s="227">
        <f t="shared" ca="1" si="98"/>
        <v>4184066.3305821074</v>
      </c>
      <c r="AG71" s="227">
        <f t="shared" ca="1" si="98"/>
        <v>4196977.3262747163</v>
      </c>
      <c r="AH71" s="227">
        <f t="shared" ca="1" si="98"/>
        <v>4209631.2794329124</v>
      </c>
      <c r="AI71" s="227">
        <f t="shared" ca="1" si="98"/>
        <v>4222260.3671871703</v>
      </c>
      <c r="AJ71" s="227">
        <f t="shared" ca="1" si="98"/>
        <v>4238290.1284950785</v>
      </c>
      <c r="AK71" s="227">
        <f t="shared" ca="1" si="98"/>
        <v>4254194.5763951261</v>
      </c>
      <c r="AL71" s="227">
        <f t="shared" ca="1" si="98"/>
        <v>4269951.9989136327</v>
      </c>
      <c r="AM71" s="227">
        <f t="shared" ca="1" si="98"/>
        <v>4285562.2320049964</v>
      </c>
      <c r="AN71" s="227">
        <f t="shared" ca="1" si="98"/>
        <v>4301025.129158698</v>
      </c>
      <c r="AO71" s="227">
        <f t="shared" ca="1" si="98"/>
        <v>4316340.5617156066</v>
      </c>
      <c r="AP71" s="227">
        <f t="shared" ca="1" si="98"/>
        <v>4331508.4191882005</v>
      </c>
      <c r="AQ71" s="227">
        <f t="shared" ca="1" si="98"/>
        <v>4346612.3259536671</v>
      </c>
      <c r="AR71" s="227">
        <f t="shared" ca="1" si="98"/>
        <v>4361485.3388638236</v>
      </c>
      <c r="AS71" s="227">
        <f t="shared" ca="1" si="98"/>
        <v>4376170.6963488273</v>
      </c>
      <c r="AT71" s="227">
        <f t="shared" ca="1" si="98"/>
        <v>4391433.6663045287</v>
      </c>
      <c r="AU71" s="227">
        <f t="shared" ca="1" si="98"/>
        <v>4406638.3530996516</v>
      </c>
      <c r="AV71" s="227">
        <f t="shared" ca="1" si="98"/>
        <v>4421787.6999168834</v>
      </c>
      <c r="AW71" s="227">
        <f t="shared" ca="1" si="98"/>
        <v>4436807.0255294424</v>
      </c>
      <c r="AX71" s="227">
        <f t="shared" ca="1" si="98"/>
        <v>4451703.1247354653</v>
      </c>
      <c r="AY71" s="227">
        <f t="shared" ca="1" si="98"/>
        <v>4466482.9184638523</v>
      </c>
      <c r="AZ71" s="227">
        <f t="shared" ca="1" si="98"/>
        <v>4481153.4552725572</v>
      </c>
      <c r="BA71" s="227">
        <f t="shared" ca="1" si="98"/>
        <v>4495721.9128619349</v>
      </c>
      <c r="BB71" s="227">
        <f t="shared" ca="1" si="98"/>
        <v>4510195.5996032832</v>
      </c>
      <c r="BC71" s="227">
        <f t="shared" ca="1" si="98"/>
        <v>4524643.4027604256</v>
      </c>
      <c r="BD71" s="227">
        <f t="shared" ca="1" si="98"/>
        <v>4538949.5864686593</v>
      </c>
      <c r="BE71" s="227">
        <f t="shared" ca="1" si="98"/>
        <v>4553151.0102992142</v>
      </c>
      <c r="BF71" s="227">
        <f t="shared" ca="1" si="98"/>
        <v>4567852.5393815292</v>
      </c>
      <c r="BG71" s="227">
        <f t="shared" ca="1" si="98"/>
        <v>4582538.7412418807</v>
      </c>
      <c r="BH71" s="227">
        <f t="shared" ca="1" si="98"/>
        <v>4597207.0984540246</v>
      </c>
      <c r="BI71" s="227">
        <f t="shared" ca="1" si="98"/>
        <v>4611795.7243520301</v>
      </c>
      <c r="BJ71" s="227">
        <f t="shared" ca="1" si="98"/>
        <v>4626298.6021087524</v>
      </c>
      <c r="BK71" s="227">
        <f t="shared" ca="1" si="98"/>
        <v>4640709.6278305035</v>
      </c>
      <c r="BL71" s="227">
        <f t="shared" ca="1" si="98"/>
        <v>4655022.6096303286</v>
      </c>
      <c r="BM71" s="227">
        <f t="shared" ca="1" si="98"/>
        <v>4669231.2666925704</v>
      </c>
      <c r="BN71" s="227">
        <f t="shared" ca="1" si="98"/>
        <v>4683329.2283286452</v>
      </c>
      <c r="BO71" s="227">
        <f t="shared" ca="1" si="98"/>
        <v>4697380.1422042418</v>
      </c>
      <c r="BP71" s="227">
        <f t="shared" ca="1" si="98"/>
        <v>4711238.4339030273</v>
      </c>
      <c r="BQ71" s="227">
        <f t="shared" ref="BQ71:EB71" ca="1" si="99">BP79</f>
        <v>4724936.0123146623</v>
      </c>
      <c r="BR71" s="227">
        <f t="shared" ca="1" si="99"/>
        <v>4739119.3688212326</v>
      </c>
      <c r="BS71" s="227">
        <f t="shared" ca="1" si="99"/>
        <v>4753248.3504577493</v>
      </c>
      <c r="BT71" s="227">
        <f t="shared" ca="1" si="99"/>
        <v>4767322.0342803728</v>
      </c>
      <c r="BU71" s="227">
        <f t="shared" ca="1" si="99"/>
        <v>4781265.0703613227</v>
      </c>
      <c r="BV71" s="227">
        <f t="shared" ca="1" si="99"/>
        <v>4795075.3831695681</v>
      </c>
      <c r="BW71" s="227">
        <f t="shared" ca="1" si="99"/>
        <v>4808750.875887543</v>
      </c>
      <c r="BX71" s="227">
        <f t="shared" ca="1" si="99"/>
        <v>4822289.4302174598</v>
      </c>
      <c r="BY71" s="227">
        <f t="shared" ca="1" si="99"/>
        <v>4835688.9061859427</v>
      </c>
      <c r="BZ71" s="227">
        <f t="shared" ca="1" si="99"/>
        <v>4848947.1419469677</v>
      </c>
      <c r="CA71" s="227">
        <f t="shared" ca="1" si="99"/>
        <v>4862138.2427954171</v>
      </c>
      <c r="CB71" s="227">
        <f t="shared" ca="1" si="99"/>
        <v>4875108.1653305395</v>
      </c>
      <c r="CC71" s="227">
        <f t="shared" ca="1" si="99"/>
        <v>4887894.8582012318</v>
      </c>
      <c r="CD71" s="227">
        <f t="shared" ca="1" si="99"/>
        <v>4901170.622614651</v>
      </c>
      <c r="CE71" s="227">
        <f t="shared" ca="1" si="99"/>
        <v>4914377.4557037326</v>
      </c>
      <c r="CF71" s="227">
        <f t="shared" ca="1" si="99"/>
        <v>4927514.2941047326</v>
      </c>
      <c r="CG71" s="227">
        <f t="shared" ca="1" si="99"/>
        <v>4940502.5006278623</v>
      </c>
      <c r="CH71" s="227">
        <f t="shared" ca="1" si="99"/>
        <v>4953339.8089093054</v>
      </c>
      <c r="CI71" s="227">
        <f t="shared" ca="1" si="99"/>
        <v>4966023.9295416027</v>
      </c>
      <c r="CJ71" s="227">
        <f t="shared" ca="1" si="99"/>
        <v>4978552.5498646423</v>
      </c>
      <c r="CK71" s="227">
        <f t="shared" ca="1" si="99"/>
        <v>4990923.3337548319</v>
      </c>
      <c r="CL71" s="227">
        <f t="shared" ca="1" si="99"/>
        <v>5003133.9214124521</v>
      </c>
      <c r="CM71" s="227">
        <f t="shared" ca="1" si="99"/>
        <v>5015261.4430740112</v>
      </c>
      <c r="CN71" s="227">
        <f t="shared" ca="1" si="99"/>
        <v>5027145.2356325462</v>
      </c>
      <c r="CO71" s="227">
        <f t="shared" ca="1" si="99"/>
        <v>5038824.7425568942</v>
      </c>
      <c r="CP71" s="227">
        <f t="shared" ca="1" si="99"/>
        <v>5050995.3613473698</v>
      </c>
      <c r="CQ71" s="227">
        <f t="shared" ca="1" si="99"/>
        <v>5063080.559518313</v>
      </c>
      <c r="CR71" s="227">
        <f t="shared" ca="1" si="99"/>
        <v>5075079.1163933259</v>
      </c>
      <c r="CS71" s="227">
        <f t="shared" ca="1" si="99"/>
        <v>5086908.9575208519</v>
      </c>
      <c r="CT71" s="227">
        <f t="shared" ca="1" si="99"/>
        <v>5098567.6064973343</v>
      </c>
      <c r="CU71" s="227">
        <f t="shared" ca="1" si="99"/>
        <v>5110052.5619514156</v>
      </c>
      <c r="CV71" s="227">
        <f t="shared" ca="1" si="99"/>
        <v>5121361.2973181754</v>
      </c>
      <c r="CW71" s="227">
        <f t="shared" ca="1" si="99"/>
        <v>5132491.2606114168</v>
      </c>
      <c r="CX71" s="227">
        <f t="shared" ca="1" si="99"/>
        <v>5143439.8741939766</v>
      </c>
      <c r="CY71" s="227">
        <f t="shared" ca="1" si="99"/>
        <v>5154287.4094948294</v>
      </c>
      <c r="CZ71" s="227">
        <f t="shared" ca="1" si="99"/>
        <v>5164866.2921795174</v>
      </c>
      <c r="DA71" s="227">
        <f t="shared" ca="1" si="99"/>
        <v>5175217.5119157927</v>
      </c>
      <c r="DB71" s="227">
        <f t="shared" ca="1" si="99"/>
        <v>5186060.4448388908</v>
      </c>
      <c r="DC71" s="227">
        <f t="shared" ca="1" si="99"/>
        <v>5196799.3149420209</v>
      </c>
      <c r="DD71" s="227">
        <f t="shared" ca="1" si="99"/>
        <v>5207432.7254769709</v>
      </c>
      <c r="DE71" s="227">
        <f t="shared" ca="1" si="99"/>
        <v>5217875.0072282543</v>
      </c>
      <c r="DF71" s="227">
        <f t="shared" ca="1" si="99"/>
        <v>5228123.4525621086</v>
      </c>
      <c r="DG71" s="227">
        <f t="shared" ca="1" si="99"/>
        <v>5238175.3267689282</v>
      </c>
      <c r="DH71" s="227">
        <f t="shared" ca="1" si="99"/>
        <v>5248027.8678192142</v>
      </c>
      <c r="DI71" s="227">
        <f t="shared" ca="1" si="99"/>
        <v>5257678.2861173516</v>
      </c>
      <c r="DJ71" s="227">
        <f t="shared" ca="1" si="99"/>
        <v>5267123.7642533053</v>
      </c>
      <c r="DK71" s="227">
        <f t="shared" ca="1" si="99"/>
        <v>5276447.8347920068</v>
      </c>
      <c r="DL71" s="227">
        <f t="shared" ca="1" si="99"/>
        <v>5285475.7070962358</v>
      </c>
      <c r="DM71" s="227">
        <f t="shared" ca="1" si="99"/>
        <v>5294249.9693417018</v>
      </c>
      <c r="DN71" s="227">
        <f t="shared" ca="1" si="99"/>
        <v>5303514.8998632347</v>
      </c>
      <c r="DO71" s="227">
        <f t="shared" ca="1" si="99"/>
        <v>5312654.7286559185</v>
      </c>
      <c r="DP71" s="227">
        <f t="shared" ca="1" si="99"/>
        <v>5321667.8620749824</v>
      </c>
      <c r="DQ71" s="227">
        <f t="shared" ca="1" si="99"/>
        <v>5330464.8706979295</v>
      </c>
      <c r="DR71" s="227">
        <f t="shared" ca="1" si="99"/>
        <v>5339042.7922806405</v>
      </c>
      <c r="DS71" s="227">
        <f t="shared" ca="1" si="99"/>
        <v>5347398.6351926709</v>
      </c>
      <c r="DT71" s="227">
        <f t="shared" ca="1" si="99"/>
        <v>5355529.378154316</v>
      </c>
      <c r="DU71" s="227">
        <f t="shared" ca="1" si="99"/>
        <v>5363431.9699656609</v>
      </c>
      <c r="DV71" s="227">
        <f t="shared" ca="1" si="99"/>
        <v>5371103.3292459026</v>
      </c>
      <c r="DW71" s="227">
        <f t="shared" ca="1" si="99"/>
        <v>5378630.3733589184</v>
      </c>
      <c r="DX71" s="227">
        <f t="shared" ca="1" si="99"/>
        <v>5385830.7760340078</v>
      </c>
      <c r="DY71" s="227">
        <f t="shared" ca="1" si="99"/>
        <v>5392748.7771035461</v>
      </c>
      <c r="DZ71" s="227">
        <f t="shared" ca="1" si="99"/>
        <v>5400154.5244273888</v>
      </c>
      <c r="EA71" s="227">
        <f t="shared" ca="1" si="99"/>
        <v>5407411.4643550999</v>
      </c>
      <c r="EB71" s="227">
        <f t="shared" ca="1" si="99"/>
        <v>5414517.7832326014</v>
      </c>
      <c r="EC71" s="227">
        <f t="shared" ref="EC71:EG71" ca="1" si="100">EB79</f>
        <v>5421380.1175775202</v>
      </c>
      <c r="ED71" s="227">
        <f t="shared" ca="1" si="100"/>
        <v>5427995.2247386212</v>
      </c>
      <c r="EE71" s="227">
        <f t="shared" ca="1" si="100"/>
        <v>5434359.8300495427</v>
      </c>
      <c r="EF71" s="227">
        <f t="shared" ca="1" si="100"/>
        <v>5440470.627521418</v>
      </c>
      <c r="EG71" s="227">
        <f t="shared" ca="1" si="100"/>
        <v>5446324.2760965545</v>
      </c>
    </row>
    <row r="72" spans="1:137" x14ac:dyDescent="0.3">
      <c r="A72" t="s">
        <v>155</v>
      </c>
      <c r="E72" s="229">
        <f>IF('General Inputs'!$M$11="Nominal",'General Inputs'!$K$11/12*Waterfalls!E71,NOMINAL('General Inputs'!$K$11,12)/12*E71)</f>
        <v>0</v>
      </c>
      <c r="F72" s="229">
        <f ca="1">IF('General Inputs'!$M$11="Nominal",'General Inputs'!$K$11/12*Waterfalls!F71,NOMINAL('General Inputs'!$K$11,12)/12*F71)</f>
        <v>1560.0057920095715</v>
      </c>
      <c r="G72" s="229">
        <f ca="1">IF('General Inputs'!$M$11="Nominal",'General Inputs'!$K$11/12*Waterfalls!G71,NOMINAL('General Inputs'!$K$11,12)/12*G71)</f>
        <v>14239.414437795973</v>
      </c>
      <c r="H72" s="229">
        <f ca="1">IF('General Inputs'!$M$11="Nominal",'General Inputs'!$K$11/12*Waterfalls!H71,NOMINAL('General Inputs'!$K$11,12)/12*H71)</f>
        <v>14756.000844194186</v>
      </c>
      <c r="I72" s="229">
        <f ca="1">IF('General Inputs'!$M$11="Nominal",'General Inputs'!$K$11/12*Waterfalls!I71,NOMINAL('General Inputs'!$K$11,12)/12*I71)</f>
        <v>15483.149224149021</v>
      </c>
      <c r="J72" s="229">
        <f ca="1">IF('General Inputs'!$M$11="Nominal",'General Inputs'!$K$11/12*Waterfalls!J71,NOMINAL('General Inputs'!$K$11,12)/12*J71)</f>
        <v>16638.301656019732</v>
      </c>
      <c r="K72" s="229">
        <f ca="1">IF('General Inputs'!$M$11="Nominal",'General Inputs'!$K$11/12*Waterfalls!K71,NOMINAL('General Inputs'!$K$11,12)/12*K71)</f>
        <v>18451.49174168938</v>
      </c>
      <c r="L72" s="229">
        <f ca="1">IF('General Inputs'!$M$11="Nominal",'General Inputs'!$K$11/12*Waterfalls!L71,NOMINAL('General Inputs'!$K$11,12)/12*L71)</f>
        <v>20328.818575215191</v>
      </c>
      <c r="M72" s="229">
        <f ca="1">IF('General Inputs'!$M$11="Nominal",'General Inputs'!$K$11/12*Waterfalls!M71,NOMINAL('General Inputs'!$K$11,12)/12*M71)</f>
        <v>22694.522142189766</v>
      </c>
      <c r="N72" s="229">
        <f ca="1">IF('General Inputs'!$M$11="Nominal",'General Inputs'!$K$11/12*Waterfalls!N71,NOMINAL('General Inputs'!$K$11,12)/12*N71)</f>
        <v>25488.902639412965</v>
      </c>
      <c r="O72" s="229">
        <f ca="1">IF('General Inputs'!$M$11="Nominal",'General Inputs'!$K$11/12*Waterfalls!O71,NOMINAL('General Inputs'!$K$11,12)/12*O71)</f>
        <v>28751.014014663033</v>
      </c>
      <c r="P72" s="229">
        <f ca="1">IF('General Inputs'!$M$11="Nominal",'General Inputs'!$K$11/12*Waterfalls!P71,NOMINAL('General Inputs'!$K$11,12)/12*P71)</f>
        <v>30721.455970544732</v>
      </c>
      <c r="Q72" s="229">
        <f ca="1">IF('General Inputs'!$M$11="Nominal",'General Inputs'!$K$11/12*Waterfalls!Q71,NOMINAL('General Inputs'!$K$11,12)/12*Q71)</f>
        <v>30977.468103632607</v>
      </c>
      <c r="R72" s="229">
        <f ca="1">IF('General Inputs'!$M$11="Nominal",'General Inputs'!$K$11/12*Waterfalls!R71,NOMINAL('General Inputs'!$K$11,12)/12*R71)</f>
        <v>31235.613671162879</v>
      </c>
      <c r="S72" s="229">
        <f ca="1">IF('General Inputs'!$M$11="Nominal",'General Inputs'!$K$11/12*Waterfalls!S71,NOMINAL('General Inputs'!$K$11,12)/12*S71)</f>
        <v>31495.910451755906</v>
      </c>
      <c r="T72" s="229">
        <f ca="1">IF('General Inputs'!$M$11="Nominal",'General Inputs'!$K$11/12*Waterfalls!T71,NOMINAL('General Inputs'!$K$11,12)/12*T71)</f>
        <v>31758.376372187206</v>
      </c>
      <c r="U72" s="229">
        <f ca="1">IF('General Inputs'!$M$11="Nominal",'General Inputs'!$K$11/12*Waterfalls!U71,NOMINAL('General Inputs'!$K$11,12)/12*U71)</f>
        <v>32023.029508622098</v>
      </c>
      <c r="V72" s="229">
        <f ca="1">IF('General Inputs'!$M$11="Nominal",'General Inputs'!$K$11/12*Waterfalls!V71,NOMINAL('General Inputs'!$K$11,12)/12*V71)</f>
        <v>32289.888087860614</v>
      </c>
      <c r="W72" s="229">
        <f ca="1">IF('General Inputs'!$M$11="Nominal",'General Inputs'!$K$11/12*Waterfalls!W71,NOMINAL('General Inputs'!$K$11,12)/12*W71)</f>
        <v>32558.970488592789</v>
      </c>
      <c r="X72" s="229">
        <f ca="1">IF('General Inputs'!$M$11="Nominal",'General Inputs'!$K$11/12*Waterfalls!X71,NOMINAL('General Inputs'!$K$11,12)/12*X71)</f>
        <v>32830.295242664397</v>
      </c>
      <c r="Y72" s="229">
        <f ca="1">IF('General Inputs'!$M$11="Nominal",'General Inputs'!$K$11/12*Waterfalls!Y71,NOMINAL('General Inputs'!$K$11,12)/12*Y71)</f>
        <v>33103.881036353268</v>
      </c>
      <c r="Z72" s="229">
        <f ca="1">IF('General Inputs'!$M$11="Nominal",'General Inputs'!$K$11/12*Waterfalls!Z71,NOMINAL('General Inputs'!$K$11,12)/12*Z71)</f>
        <v>33379.746711656211</v>
      </c>
      <c r="AA72" s="229">
        <f ca="1">IF('General Inputs'!$M$11="Nominal",'General Inputs'!$K$11/12*Waterfalls!AA71,NOMINAL('General Inputs'!$K$11,12)/12*AA71)</f>
        <v>33657.911267586678</v>
      </c>
      <c r="AB72" s="229">
        <f ca="1">IF('General Inputs'!$M$11="Nominal",'General Inputs'!$K$11/12*Waterfalls!AB71,NOMINAL('General Inputs'!$K$11,12)/12*AB71)</f>
        <v>33938.39386148323</v>
      </c>
      <c r="AC72" s="229">
        <f ca="1">IF('General Inputs'!$M$11="Nominal",'General Inputs'!$K$11/12*Waterfalls!AC71,NOMINAL('General Inputs'!$K$11,12)/12*AC71)</f>
        <v>34221.213810328925</v>
      </c>
      <c r="AD72" s="229">
        <f ca="1">IF('General Inputs'!$M$11="Nominal",'General Inputs'!$K$11/12*Waterfalls!AD71,NOMINAL('General Inputs'!$K$11,12)/12*AD71)</f>
        <v>34469.629734173257</v>
      </c>
      <c r="AE72" s="229">
        <f ca="1">IF('General Inputs'!$M$11="Nominal",'General Inputs'!$K$11/12*Waterfalls!AE71,NOMINAL('General Inputs'!$K$11,12)/12*AE71)</f>
        <v>34686.601296636065</v>
      </c>
      <c r="AF72" s="229">
        <f ca="1">IF('General Inputs'!$M$11="Nominal",'General Inputs'!$K$11/12*Waterfalls!AF71,NOMINAL('General Inputs'!$K$11,12)/12*AF71)</f>
        <v>34867.219421517562</v>
      </c>
      <c r="AG72" s="229">
        <f ca="1">IF('General Inputs'!$M$11="Nominal",'General Inputs'!$K$11/12*Waterfalls!AG71,NOMINAL('General Inputs'!$K$11,12)/12*AG71)</f>
        <v>34974.811052289304</v>
      </c>
      <c r="AH72" s="229">
        <f ca="1">IF('General Inputs'!$M$11="Nominal",'General Inputs'!$K$11/12*Waterfalls!AH71,NOMINAL('General Inputs'!$K$11,12)/12*AH71)</f>
        <v>35080.260661940934</v>
      </c>
      <c r="AI72" s="229">
        <f ca="1">IF('General Inputs'!$M$11="Nominal",'General Inputs'!$K$11/12*Waterfalls!AI71,NOMINAL('General Inputs'!$K$11,12)/12*AI71)</f>
        <v>35185.503059893083</v>
      </c>
      <c r="AJ72" s="229">
        <f ca="1">IF('General Inputs'!$M$11="Nominal",'General Inputs'!$K$11/12*Waterfalls!AJ71,NOMINAL('General Inputs'!$K$11,12)/12*AJ71)</f>
        <v>35319.084404125657</v>
      </c>
      <c r="AK72" s="229">
        <f ca="1">IF('General Inputs'!$M$11="Nominal",'General Inputs'!$K$11/12*Waterfalls!AK71,NOMINAL('General Inputs'!$K$11,12)/12*AK71)</f>
        <v>35451.621469959384</v>
      </c>
      <c r="AL72" s="229">
        <f ca="1">IF('General Inputs'!$M$11="Nominal",'General Inputs'!$K$11/12*Waterfalls!AL71,NOMINAL('General Inputs'!$K$11,12)/12*AL71)</f>
        <v>35582.933324280275</v>
      </c>
      <c r="AM72" s="229">
        <f ca="1">IF('General Inputs'!$M$11="Nominal",'General Inputs'!$K$11/12*Waterfalls!AM71,NOMINAL('General Inputs'!$K$11,12)/12*AM71)</f>
        <v>35713.018600041636</v>
      </c>
      <c r="AN72" s="229">
        <f ca="1">IF('General Inputs'!$M$11="Nominal",'General Inputs'!$K$11/12*Waterfalls!AN71,NOMINAL('General Inputs'!$K$11,12)/12*AN71)</f>
        <v>35841.876076322485</v>
      </c>
      <c r="AO72" s="229">
        <f ca="1">IF('General Inputs'!$M$11="Nominal",'General Inputs'!$K$11/12*Waterfalls!AO71,NOMINAL('General Inputs'!$K$11,12)/12*AO71)</f>
        <v>35969.504680963386</v>
      </c>
      <c r="AP72" s="229">
        <f ca="1">IF('General Inputs'!$M$11="Nominal",'General Inputs'!$K$11/12*Waterfalls!AP71,NOMINAL('General Inputs'!$K$11,12)/12*AP71)</f>
        <v>36095.903493235004</v>
      </c>
      <c r="AQ72" s="229">
        <f ca="1">IF('General Inputs'!$M$11="Nominal",'General Inputs'!$K$11/12*Waterfalls!AQ71,NOMINAL('General Inputs'!$K$11,12)/12*AQ71)</f>
        <v>36221.769382947226</v>
      </c>
      <c r="AR72" s="229">
        <f ca="1">IF('General Inputs'!$M$11="Nominal",'General Inputs'!$K$11/12*Waterfalls!AR71,NOMINAL('General Inputs'!$K$11,12)/12*AR71)</f>
        <v>36345.71115719853</v>
      </c>
      <c r="AS72" s="229">
        <f ca="1">IF('General Inputs'!$M$11="Nominal",'General Inputs'!$K$11/12*Waterfalls!AS71,NOMINAL('General Inputs'!$K$11,12)/12*AS71)</f>
        <v>36468.089136240225</v>
      </c>
      <c r="AT72" s="229">
        <f ca="1">IF('General Inputs'!$M$11="Nominal",'General Inputs'!$K$11/12*Waterfalls!AT71,NOMINAL('General Inputs'!$K$11,12)/12*AT71)</f>
        <v>36595.280552537741</v>
      </c>
      <c r="AU72" s="229">
        <f ca="1">IF('General Inputs'!$M$11="Nominal",'General Inputs'!$K$11/12*Waterfalls!AU71,NOMINAL('General Inputs'!$K$11,12)/12*AU71)</f>
        <v>36721.98627583043</v>
      </c>
      <c r="AV72" s="229">
        <f ca="1">IF('General Inputs'!$M$11="Nominal",'General Inputs'!$K$11/12*Waterfalls!AV71,NOMINAL('General Inputs'!$K$11,12)/12*AV71)</f>
        <v>36848.230832640693</v>
      </c>
      <c r="AW72" s="229">
        <f ca="1">IF('General Inputs'!$M$11="Nominal",'General Inputs'!$K$11/12*Waterfalls!AW71,NOMINAL('General Inputs'!$K$11,12)/12*AW71)</f>
        <v>36973.391879412018</v>
      </c>
      <c r="AX72" s="229">
        <f ca="1">IF('General Inputs'!$M$11="Nominal",'General Inputs'!$K$11/12*Waterfalls!AX71,NOMINAL('General Inputs'!$K$11,12)/12*AX71)</f>
        <v>37097.526039462209</v>
      </c>
      <c r="AY72" s="229">
        <f ca="1">IF('General Inputs'!$M$11="Nominal",'General Inputs'!$K$11/12*Waterfalls!AY71,NOMINAL('General Inputs'!$K$11,12)/12*AY71)</f>
        <v>37220.690987198766</v>
      </c>
      <c r="AZ72" s="229">
        <f ca="1">IF('General Inputs'!$M$11="Nominal",'General Inputs'!$K$11/12*Waterfalls!AZ71,NOMINAL('General Inputs'!$K$11,12)/12*AZ71)</f>
        <v>37342.945460604642</v>
      </c>
      <c r="BA72" s="229">
        <f ca="1">IF('General Inputs'!$M$11="Nominal",'General Inputs'!$K$11/12*Waterfalls!BA71,NOMINAL('General Inputs'!$K$11,12)/12*BA71)</f>
        <v>37464.349273849453</v>
      </c>
      <c r="BB72" s="229">
        <f ca="1">IF('General Inputs'!$M$11="Nominal",'General Inputs'!$K$11/12*Waterfalls!BB71,NOMINAL('General Inputs'!$K$11,12)/12*BB71)</f>
        <v>37584.963330027356</v>
      </c>
      <c r="BC72" s="229">
        <f ca="1">IF('General Inputs'!$M$11="Nominal",'General Inputs'!$K$11/12*Waterfalls!BC71,NOMINAL('General Inputs'!$K$11,12)/12*BC71)</f>
        <v>37705.361689670215</v>
      </c>
      <c r="BD72" s="229">
        <f ca="1">IF('General Inputs'!$M$11="Nominal",'General Inputs'!$K$11/12*Waterfalls!BD71,NOMINAL('General Inputs'!$K$11,12)/12*BD71)</f>
        <v>37824.579887238826</v>
      </c>
      <c r="BE72" s="229">
        <f ca="1">IF('General Inputs'!$M$11="Nominal",'General Inputs'!$K$11/12*Waterfalls!BE71,NOMINAL('General Inputs'!$K$11,12)/12*BE71)</f>
        <v>37942.925085826784</v>
      </c>
      <c r="BF72" s="229">
        <f ca="1">IF('General Inputs'!$M$11="Nominal",'General Inputs'!$K$11/12*Waterfalls!BF71,NOMINAL('General Inputs'!$K$11,12)/12*BF71)</f>
        <v>38065.437828179412</v>
      </c>
      <c r="BG72" s="229">
        <f ca="1">IF('General Inputs'!$M$11="Nominal",'General Inputs'!$K$11/12*Waterfalls!BG71,NOMINAL('General Inputs'!$K$11,12)/12*BG71)</f>
        <v>38187.822843682341</v>
      </c>
      <c r="BH72" s="229">
        <f ca="1">IF('General Inputs'!$M$11="Nominal",'General Inputs'!$K$11/12*Waterfalls!BH71,NOMINAL('General Inputs'!$K$11,12)/12*BH71)</f>
        <v>38310.059153783535</v>
      </c>
      <c r="BI72" s="229">
        <f ca="1">IF('General Inputs'!$M$11="Nominal",'General Inputs'!$K$11/12*Waterfalls!BI71,NOMINAL('General Inputs'!$K$11,12)/12*BI71)</f>
        <v>38431.631036266917</v>
      </c>
      <c r="BJ72" s="229">
        <f ca="1">IF('General Inputs'!$M$11="Nominal",'General Inputs'!$K$11/12*Waterfalls!BJ71,NOMINAL('General Inputs'!$K$11,12)/12*BJ71)</f>
        <v>38552.488350906271</v>
      </c>
      <c r="BK72" s="229">
        <f ca="1">IF('General Inputs'!$M$11="Nominal",'General Inputs'!$K$11/12*Waterfalls!BK71,NOMINAL('General Inputs'!$K$11,12)/12*BK71)</f>
        <v>38672.58023192086</v>
      </c>
      <c r="BL72" s="229">
        <f ca="1">IF('General Inputs'!$M$11="Nominal",'General Inputs'!$K$11/12*Waterfalls!BL71,NOMINAL('General Inputs'!$K$11,12)/12*BL71)</f>
        <v>38791.855080252739</v>
      </c>
      <c r="BM72" s="229">
        <f ca="1">IF('General Inputs'!$M$11="Nominal",'General Inputs'!$K$11/12*Waterfalls!BM71,NOMINAL('General Inputs'!$K$11,12)/12*BM71)</f>
        <v>38910.26055577142</v>
      </c>
      <c r="BN72" s="229">
        <f ca="1">IF('General Inputs'!$M$11="Nominal",'General Inputs'!$K$11/12*Waterfalls!BN71,NOMINAL('General Inputs'!$K$11,12)/12*BN71)</f>
        <v>39027.743569405378</v>
      </c>
      <c r="BO72" s="229">
        <f ca="1">IF('General Inputs'!$M$11="Nominal",'General Inputs'!$K$11/12*Waterfalls!BO71,NOMINAL('General Inputs'!$K$11,12)/12*BO71)</f>
        <v>39144.834518368683</v>
      </c>
      <c r="BP72" s="229">
        <f ca="1">IF('General Inputs'!$M$11="Nominal",'General Inputs'!$K$11/12*Waterfalls!BP71,NOMINAL('General Inputs'!$K$11,12)/12*BP71)</f>
        <v>39260.32028252523</v>
      </c>
      <c r="BQ72" s="229">
        <f ca="1">IF('General Inputs'!$M$11="Nominal",'General Inputs'!$K$11/12*Waterfalls!BQ71,NOMINAL('General Inputs'!$K$11,12)/12*BQ71)</f>
        <v>39374.466769288854</v>
      </c>
      <c r="BR72" s="229">
        <f ca="1">IF('General Inputs'!$M$11="Nominal",'General Inputs'!$K$11/12*Waterfalls!BR71,NOMINAL('General Inputs'!$K$11,12)/12*BR71)</f>
        <v>39492.661406843603</v>
      </c>
      <c r="BS72" s="229">
        <f ca="1">IF('General Inputs'!$M$11="Nominal",'General Inputs'!$K$11/12*Waterfalls!BS71,NOMINAL('General Inputs'!$K$11,12)/12*BS71)</f>
        <v>39610.402920481247</v>
      </c>
      <c r="BT72" s="229">
        <f ca="1">IF('General Inputs'!$M$11="Nominal",'General Inputs'!$K$11/12*Waterfalls!BT71,NOMINAL('General Inputs'!$K$11,12)/12*BT71)</f>
        <v>39727.683619003103</v>
      </c>
      <c r="BU72" s="229">
        <f ca="1">IF('General Inputs'!$M$11="Nominal",'General Inputs'!$K$11/12*Waterfalls!BU71,NOMINAL('General Inputs'!$K$11,12)/12*BU71)</f>
        <v>39843.875586344358</v>
      </c>
      <c r="BV72" s="229">
        <f ca="1">IF('General Inputs'!$M$11="Nominal",'General Inputs'!$K$11/12*Waterfalls!BV71,NOMINAL('General Inputs'!$K$11,12)/12*BV71)</f>
        <v>39958.96152641307</v>
      </c>
      <c r="BW72" s="229">
        <f ca="1">IF('General Inputs'!$M$11="Nominal",'General Inputs'!$K$11/12*Waterfalls!BW71,NOMINAL('General Inputs'!$K$11,12)/12*BW71)</f>
        <v>40072.923965729526</v>
      </c>
      <c r="BX72" s="229">
        <f ca="1">IF('General Inputs'!$M$11="Nominal",'General Inputs'!$K$11/12*Waterfalls!BX71,NOMINAL('General Inputs'!$K$11,12)/12*BX71)</f>
        <v>40185.745251812164</v>
      </c>
      <c r="BY72" s="229">
        <f ca="1">IF('General Inputs'!$M$11="Nominal",'General Inputs'!$K$11/12*Waterfalls!BY71,NOMINAL('General Inputs'!$K$11,12)/12*BY71)</f>
        <v>40297.407551549521</v>
      </c>
      <c r="BZ72" s="229">
        <f ca="1">IF('General Inputs'!$M$11="Nominal",'General Inputs'!$K$11/12*Waterfalls!BZ71,NOMINAL('General Inputs'!$K$11,12)/12*BZ71)</f>
        <v>40407.892849558062</v>
      </c>
      <c r="CA72" s="229">
        <f ca="1">IF('General Inputs'!$M$11="Nominal",'General Inputs'!$K$11/12*Waterfalls!CA71,NOMINAL('General Inputs'!$K$11,12)/12*CA71)</f>
        <v>40517.818689961809</v>
      </c>
      <c r="CB72" s="229">
        <f ca="1">IF('General Inputs'!$M$11="Nominal",'General Inputs'!$K$11/12*Waterfalls!CB71,NOMINAL('General Inputs'!$K$11,12)/12*CB71)</f>
        <v>40625.901377754497</v>
      </c>
      <c r="CC72" s="229">
        <f ca="1">IF('General Inputs'!$M$11="Nominal",'General Inputs'!$K$11/12*Waterfalls!CC71,NOMINAL('General Inputs'!$K$11,12)/12*CC71)</f>
        <v>40732.457151676928</v>
      </c>
      <c r="CD72" s="229">
        <f ca="1">IF('General Inputs'!$M$11="Nominal",'General Inputs'!$K$11/12*Waterfalls!CD71,NOMINAL('General Inputs'!$K$11,12)/12*CD71)</f>
        <v>40843.088521788755</v>
      </c>
      <c r="CE72" s="229">
        <f ca="1">IF('General Inputs'!$M$11="Nominal",'General Inputs'!$K$11/12*Waterfalls!CE71,NOMINAL('General Inputs'!$K$11,12)/12*CE71)</f>
        <v>40953.145464197769</v>
      </c>
      <c r="CF72" s="229">
        <f ca="1">IF('General Inputs'!$M$11="Nominal",'General Inputs'!$K$11/12*Waterfalls!CF71,NOMINAL('General Inputs'!$K$11,12)/12*CF71)</f>
        <v>41062.619117539434</v>
      </c>
      <c r="CG72" s="229">
        <f ca="1">IF('General Inputs'!$M$11="Nominal",'General Inputs'!$K$11/12*Waterfalls!CG71,NOMINAL('General Inputs'!$K$11,12)/12*CG71)</f>
        <v>41170.854171898849</v>
      </c>
      <c r="CH72" s="229">
        <f ca="1">IF('General Inputs'!$M$11="Nominal",'General Inputs'!$K$11/12*Waterfalls!CH71,NOMINAL('General Inputs'!$K$11,12)/12*CH71)</f>
        <v>41277.831740910879</v>
      </c>
      <c r="CI72" s="229">
        <f ca="1">IF('General Inputs'!$M$11="Nominal",'General Inputs'!$K$11/12*Waterfalls!CI71,NOMINAL('General Inputs'!$K$11,12)/12*CI71)</f>
        <v>41383.532746180019</v>
      </c>
      <c r="CJ72" s="229">
        <f ca="1">IF('General Inputs'!$M$11="Nominal",'General Inputs'!$K$11/12*Waterfalls!CJ71,NOMINAL('General Inputs'!$K$11,12)/12*CJ71)</f>
        <v>41487.937915538685</v>
      </c>
      <c r="CK72" s="229">
        <f ca="1">IF('General Inputs'!$M$11="Nominal",'General Inputs'!$K$11/12*Waterfalls!CK71,NOMINAL('General Inputs'!$K$11,12)/12*CK71)</f>
        <v>41591.027781290264</v>
      </c>
      <c r="CL72" s="229">
        <f ca="1">IF('General Inputs'!$M$11="Nominal",'General Inputs'!$K$11/12*Waterfalls!CL71,NOMINAL('General Inputs'!$K$11,12)/12*CL71)</f>
        <v>41692.782678437099</v>
      </c>
      <c r="CM72" s="229">
        <f ca="1">IF('General Inputs'!$M$11="Nominal",'General Inputs'!$K$11/12*Waterfalls!CM71,NOMINAL('General Inputs'!$K$11,12)/12*CM71)</f>
        <v>41793.845358950093</v>
      </c>
      <c r="CN72" s="229">
        <f ca="1">IF('General Inputs'!$M$11="Nominal",'General Inputs'!$K$11/12*Waterfalls!CN71,NOMINAL('General Inputs'!$K$11,12)/12*CN71)</f>
        <v>41892.876963604554</v>
      </c>
      <c r="CO72" s="229">
        <f ca="1">IF('General Inputs'!$M$11="Nominal",'General Inputs'!$K$11/12*Waterfalls!CO71,NOMINAL('General Inputs'!$K$11,12)/12*CO71)</f>
        <v>41990.206187974116</v>
      </c>
      <c r="CP72" s="229">
        <f ca="1">IF('General Inputs'!$M$11="Nominal",'General Inputs'!$K$11/12*Waterfalls!CP71,NOMINAL('General Inputs'!$K$11,12)/12*CP71)</f>
        <v>42091.62801122808</v>
      </c>
      <c r="CQ72" s="229">
        <f ca="1">IF('General Inputs'!$M$11="Nominal",'General Inputs'!$K$11/12*Waterfalls!CQ71,NOMINAL('General Inputs'!$K$11,12)/12*CQ71)</f>
        <v>42192.337995985945</v>
      </c>
      <c r="CR72" s="229">
        <f ca="1">IF('General Inputs'!$M$11="Nominal",'General Inputs'!$K$11/12*Waterfalls!CR71,NOMINAL('General Inputs'!$K$11,12)/12*CR71)</f>
        <v>42292.325969944381</v>
      </c>
      <c r="CS72" s="229">
        <f ca="1">IF('General Inputs'!$M$11="Nominal",'General Inputs'!$K$11/12*Waterfalls!CS71,NOMINAL('General Inputs'!$K$11,12)/12*CS71)</f>
        <v>42390.907979340431</v>
      </c>
      <c r="CT72" s="229">
        <f ca="1">IF('General Inputs'!$M$11="Nominal",'General Inputs'!$K$11/12*Waterfalls!CT71,NOMINAL('General Inputs'!$K$11,12)/12*CT71)</f>
        <v>42488.063387477785</v>
      </c>
      <c r="CU72" s="229">
        <f ca="1">IF('General Inputs'!$M$11="Nominal",'General Inputs'!$K$11/12*Waterfalls!CU71,NOMINAL('General Inputs'!$K$11,12)/12*CU71)</f>
        <v>42583.771349595132</v>
      </c>
      <c r="CV72" s="229">
        <f ca="1">IF('General Inputs'!$M$11="Nominal",'General Inputs'!$K$11/12*Waterfalls!CV71,NOMINAL('General Inputs'!$K$11,12)/12*CV71)</f>
        <v>42678.010810984793</v>
      </c>
      <c r="CW72" s="229">
        <f ca="1">IF('General Inputs'!$M$11="Nominal",'General Inputs'!$K$11/12*Waterfalls!CW71,NOMINAL('General Inputs'!$K$11,12)/12*CW71)</f>
        <v>42770.760505095139</v>
      </c>
      <c r="CX72" s="229">
        <f ca="1">IF('General Inputs'!$M$11="Nominal",'General Inputs'!$K$11/12*Waterfalls!CX71,NOMINAL('General Inputs'!$K$11,12)/12*CX71)</f>
        <v>42861.998951616471</v>
      </c>
      <c r="CY72" s="229">
        <f ca="1">IF('General Inputs'!$M$11="Nominal",'General Inputs'!$K$11/12*Waterfalls!CY71,NOMINAL('General Inputs'!$K$11,12)/12*CY71)</f>
        <v>42952.395079123577</v>
      </c>
      <c r="CZ72" s="229">
        <f ca="1">IF('General Inputs'!$M$11="Nominal",'General Inputs'!$K$11/12*Waterfalls!CZ71,NOMINAL('General Inputs'!$K$11,12)/12*CZ71)</f>
        <v>43040.552434829311</v>
      </c>
      <c r="DA72" s="229">
        <f ca="1">IF('General Inputs'!$M$11="Nominal",'General Inputs'!$K$11/12*Waterfalls!DA71,NOMINAL('General Inputs'!$K$11,12)/12*DA71)</f>
        <v>43126.812599298275</v>
      </c>
      <c r="DB72" s="229">
        <f ca="1">IF('General Inputs'!$M$11="Nominal",'General Inputs'!$K$11/12*Waterfalls!DB71,NOMINAL('General Inputs'!$K$11,12)/12*DB71)</f>
        <v>43217.17037365742</v>
      </c>
      <c r="DC72" s="229">
        <f ca="1">IF('General Inputs'!$M$11="Nominal",'General Inputs'!$K$11/12*Waterfalls!DC71,NOMINAL('General Inputs'!$K$11,12)/12*DC71)</f>
        <v>43306.660957850174</v>
      </c>
      <c r="DD72" s="229">
        <f ca="1">IF('General Inputs'!$M$11="Nominal",'General Inputs'!$K$11/12*Waterfalls!DD71,NOMINAL('General Inputs'!$K$11,12)/12*DD71)</f>
        <v>43395.272712308091</v>
      </c>
      <c r="DE72" s="229">
        <f ca="1">IF('General Inputs'!$M$11="Nominal",'General Inputs'!$K$11/12*Waterfalls!DE71,NOMINAL('General Inputs'!$K$11,12)/12*DE71)</f>
        <v>43482.29172690212</v>
      </c>
      <c r="DF72" s="229">
        <f ca="1">IF('General Inputs'!$M$11="Nominal",'General Inputs'!$K$11/12*Waterfalls!DF71,NOMINAL('General Inputs'!$K$11,12)/12*DF71)</f>
        <v>43567.695438017574</v>
      </c>
      <c r="DG72" s="229">
        <f ca="1">IF('General Inputs'!$M$11="Nominal",'General Inputs'!$K$11/12*Waterfalls!DG71,NOMINAL('General Inputs'!$K$11,12)/12*DG71)</f>
        <v>43651.461056407737</v>
      </c>
      <c r="DH72" s="229">
        <f ca="1">IF('General Inputs'!$M$11="Nominal",'General Inputs'!$K$11/12*Waterfalls!DH71,NOMINAL('General Inputs'!$K$11,12)/12*DH71)</f>
        <v>43733.565565160119</v>
      </c>
      <c r="DI72" s="229">
        <f ca="1">IF('General Inputs'!$M$11="Nominal",'General Inputs'!$K$11/12*Waterfalls!DI71,NOMINAL('General Inputs'!$K$11,12)/12*DI71)</f>
        <v>43813.985717644595</v>
      </c>
      <c r="DJ72" s="229">
        <f ca="1">IF('General Inputs'!$M$11="Nominal",'General Inputs'!$K$11/12*Waterfalls!DJ71,NOMINAL('General Inputs'!$K$11,12)/12*DJ71)</f>
        <v>43892.698035444213</v>
      </c>
      <c r="DK72" s="229">
        <f ca="1">IF('General Inputs'!$M$11="Nominal",'General Inputs'!$K$11/12*Waterfalls!DK71,NOMINAL('General Inputs'!$K$11,12)/12*DK71)</f>
        <v>43970.398623266723</v>
      </c>
      <c r="DL72" s="229">
        <f ca="1">IF('General Inputs'!$M$11="Nominal",'General Inputs'!$K$11/12*Waterfalls!DL71,NOMINAL('General Inputs'!$K$11,12)/12*DL71)</f>
        <v>44045.630892468631</v>
      </c>
      <c r="DM72" s="229">
        <f ca="1">IF('General Inputs'!$M$11="Nominal",'General Inputs'!$K$11/12*Waterfalls!DM71,NOMINAL('General Inputs'!$K$11,12)/12*DM71)</f>
        <v>44118.749744514178</v>
      </c>
      <c r="DN72" s="229">
        <f ca="1">IF('General Inputs'!$M$11="Nominal",'General Inputs'!$K$11/12*Waterfalls!DN71,NOMINAL('General Inputs'!$K$11,12)/12*DN71)</f>
        <v>44195.957498860291</v>
      </c>
      <c r="DO72" s="229">
        <f ca="1">IF('General Inputs'!$M$11="Nominal",'General Inputs'!$K$11/12*Waterfalls!DO71,NOMINAL('General Inputs'!$K$11,12)/12*DO71)</f>
        <v>44272.12273879932</v>
      </c>
      <c r="DP72" s="229">
        <f ca="1">IF('General Inputs'!$M$11="Nominal",'General Inputs'!$K$11/12*Waterfalls!DP71,NOMINAL('General Inputs'!$K$11,12)/12*DP71)</f>
        <v>44347.232183958185</v>
      </c>
      <c r="DQ72" s="229">
        <f ca="1">IF('General Inputs'!$M$11="Nominal",'General Inputs'!$K$11/12*Waterfalls!DQ71,NOMINAL('General Inputs'!$K$11,12)/12*DQ71)</f>
        <v>44420.540589149416</v>
      </c>
      <c r="DR72" s="229">
        <f ca="1">IF('General Inputs'!$M$11="Nominal",'General Inputs'!$K$11/12*Waterfalls!DR71,NOMINAL('General Inputs'!$K$11,12)/12*DR71)</f>
        <v>44492.023269005338</v>
      </c>
      <c r="DS72" s="229">
        <f ca="1">IF('General Inputs'!$M$11="Nominal",'General Inputs'!$K$11/12*Waterfalls!DS71,NOMINAL('General Inputs'!$K$11,12)/12*DS71)</f>
        <v>44561.655293272255</v>
      </c>
      <c r="DT72" s="229">
        <f ca="1">IF('General Inputs'!$M$11="Nominal",'General Inputs'!$K$11/12*Waterfalls!DT71,NOMINAL('General Inputs'!$K$11,12)/12*DT71)</f>
        <v>44629.411484619297</v>
      </c>
      <c r="DU72" s="229">
        <f ca="1">IF('General Inputs'!$M$11="Nominal",'General Inputs'!$K$11/12*Waterfalls!DU71,NOMINAL('General Inputs'!$K$11,12)/12*DU71)</f>
        <v>44695.266416380509</v>
      </c>
      <c r="DV72" s="229">
        <f ca="1">IF('General Inputs'!$M$11="Nominal",'General Inputs'!$K$11/12*Waterfalls!DV71,NOMINAL('General Inputs'!$K$11,12)/12*DV71)</f>
        <v>44759.194410382523</v>
      </c>
      <c r="DW72" s="229">
        <f ca="1">IF('General Inputs'!$M$11="Nominal",'General Inputs'!$K$11/12*Waterfalls!DW71,NOMINAL('General Inputs'!$K$11,12)/12*DW71)</f>
        <v>44821.919777990988</v>
      </c>
      <c r="DX72" s="229">
        <f ca="1">IF('General Inputs'!$M$11="Nominal",'General Inputs'!$K$11/12*Waterfalls!DX71,NOMINAL('General Inputs'!$K$11,12)/12*DX71)</f>
        <v>44881.923133616729</v>
      </c>
      <c r="DY72" s="229">
        <f ca="1">IF('General Inputs'!$M$11="Nominal",'General Inputs'!$K$11/12*Waterfalls!DY71,NOMINAL('General Inputs'!$K$11,12)/12*DY71)</f>
        <v>44939.573142529553</v>
      </c>
      <c r="DZ72" s="229">
        <f ca="1">IF('General Inputs'!$M$11="Nominal",'General Inputs'!$K$11/12*Waterfalls!DZ71,NOMINAL('General Inputs'!$K$11,12)/12*DZ71)</f>
        <v>45001.287703561575</v>
      </c>
      <c r="EA72" s="229">
        <f ca="1">IF('General Inputs'!$M$11="Nominal",'General Inputs'!$K$11/12*Waterfalls!EA71,NOMINAL('General Inputs'!$K$11,12)/12*EA71)</f>
        <v>45061.762202959166</v>
      </c>
      <c r="EB72" s="229">
        <f ca="1">IF('General Inputs'!$M$11="Nominal",'General Inputs'!$K$11/12*Waterfalls!EB71,NOMINAL('General Inputs'!$K$11,12)/12*EB71)</f>
        <v>45120.981526938347</v>
      </c>
      <c r="EC72" s="229">
        <f ca="1">IF('General Inputs'!$M$11="Nominal",'General Inputs'!$K$11/12*Waterfalls!EC71,NOMINAL('General Inputs'!$K$11,12)/12*EC71)</f>
        <v>45178.167646479335</v>
      </c>
      <c r="ED72" s="229">
        <f ca="1">IF('General Inputs'!$M$11="Nominal",'General Inputs'!$K$11/12*Waterfalls!ED71,NOMINAL('General Inputs'!$K$11,12)/12*ED71)</f>
        <v>45233.293539488506</v>
      </c>
      <c r="EE72" s="229">
        <f ca="1">IF('General Inputs'!$M$11="Nominal",'General Inputs'!$K$11/12*Waterfalls!EE71,NOMINAL('General Inputs'!$K$11,12)/12*EE71)</f>
        <v>45286.331917079522</v>
      </c>
      <c r="EF72" s="229">
        <f ca="1">IF('General Inputs'!$M$11="Nominal",'General Inputs'!$K$11/12*Waterfalls!EF71,NOMINAL('General Inputs'!$K$11,12)/12*EF71)</f>
        <v>45337.255229345152</v>
      </c>
      <c r="EG72" s="229">
        <f ca="1">IF('General Inputs'!$M$11="Nominal",'General Inputs'!$K$11/12*Waterfalls!EG71,NOMINAL('General Inputs'!$K$11,12)/12*EG71)</f>
        <v>45386.035634137952</v>
      </c>
    </row>
    <row r="73" spans="1:137" x14ac:dyDescent="0.3">
      <c r="A73" t="s">
        <v>2474</v>
      </c>
      <c r="E73" s="229">
        <f t="shared" ref="E73:BP73" ca="1" si="101">E67</f>
        <v>187200.69504114857</v>
      </c>
      <c r="F73" s="229">
        <f t="shared" ca="1" si="101"/>
        <v>1519969.0317023587</v>
      </c>
      <c r="G73" s="229">
        <f t="shared" ca="1" si="101"/>
        <v>47750.954329989538</v>
      </c>
      <c r="H73" s="229">
        <f t="shared" ca="1" si="101"/>
        <v>72501.804750386145</v>
      </c>
      <c r="I73" s="229">
        <f t="shared" ca="1" si="101"/>
        <v>123135.14260033611</v>
      </c>
      <c r="J73" s="229">
        <f t="shared" ca="1" si="101"/>
        <v>200944.5086243379</v>
      </c>
      <c r="K73" s="229">
        <f t="shared" ca="1" si="101"/>
        <v>206827.72828140811</v>
      </c>
      <c r="L73" s="229">
        <f t="shared" ca="1" si="101"/>
        <v>263555.60946173384</v>
      </c>
      <c r="M73" s="229">
        <f t="shared" ca="1" si="101"/>
        <v>312631.13752459432</v>
      </c>
      <c r="N73" s="229">
        <f t="shared" ca="1" si="101"/>
        <v>365964.46239059581</v>
      </c>
      <c r="O73" s="229">
        <f t="shared" ca="1" si="101"/>
        <v>207702.02069114055</v>
      </c>
      <c r="P73" s="229">
        <f t="shared" ca="1" si="101"/>
        <v>0</v>
      </c>
      <c r="Q73" s="229">
        <f t="shared" ca="1" si="101"/>
        <v>0</v>
      </c>
      <c r="R73" s="229">
        <f t="shared" ca="1" si="101"/>
        <v>0</v>
      </c>
      <c r="S73" s="229">
        <f t="shared" ca="1" si="101"/>
        <v>0</v>
      </c>
      <c r="T73" s="229">
        <f t="shared" ca="1" si="101"/>
        <v>0</v>
      </c>
      <c r="U73" s="229">
        <f t="shared" ca="1" si="101"/>
        <v>0</v>
      </c>
      <c r="V73" s="229">
        <f t="shared" ca="1" si="101"/>
        <v>0</v>
      </c>
      <c r="W73" s="229">
        <f t="shared" ca="1" si="101"/>
        <v>0</v>
      </c>
      <c r="X73" s="229">
        <f t="shared" ca="1" si="101"/>
        <v>0</v>
      </c>
      <c r="Y73" s="229">
        <f t="shared" ca="1" si="101"/>
        <v>0</v>
      </c>
      <c r="Z73" s="229">
        <f t="shared" ca="1" si="101"/>
        <v>0</v>
      </c>
      <c r="AA73" s="229">
        <f t="shared" ca="1" si="101"/>
        <v>0</v>
      </c>
      <c r="AB73" s="229">
        <f t="shared" ca="1" si="101"/>
        <v>0</v>
      </c>
      <c r="AC73" s="229">
        <f t="shared" ca="1" si="101"/>
        <v>0</v>
      </c>
      <c r="AD73" s="229">
        <f t="shared" ca="1" si="101"/>
        <v>0</v>
      </c>
      <c r="AE73" s="229">
        <f t="shared" ca="1" si="101"/>
        <v>0</v>
      </c>
      <c r="AF73" s="229">
        <f t="shared" ca="1" si="101"/>
        <v>0</v>
      </c>
      <c r="AG73" s="229">
        <f t="shared" ca="1" si="101"/>
        <v>0</v>
      </c>
      <c r="AH73" s="229">
        <f t="shared" ca="1" si="101"/>
        <v>0</v>
      </c>
      <c r="AI73" s="229">
        <f t="shared" ca="1" si="101"/>
        <v>0</v>
      </c>
      <c r="AJ73" s="229">
        <f t="shared" ca="1" si="101"/>
        <v>0</v>
      </c>
      <c r="AK73" s="229">
        <f t="shared" ca="1" si="101"/>
        <v>0</v>
      </c>
      <c r="AL73" s="229">
        <f t="shared" ca="1" si="101"/>
        <v>0</v>
      </c>
      <c r="AM73" s="229">
        <f t="shared" ca="1" si="101"/>
        <v>0</v>
      </c>
      <c r="AN73" s="229">
        <f t="shared" ca="1" si="101"/>
        <v>0</v>
      </c>
      <c r="AO73" s="229">
        <f t="shared" ca="1" si="101"/>
        <v>0</v>
      </c>
      <c r="AP73" s="229">
        <f t="shared" ca="1" si="101"/>
        <v>0</v>
      </c>
      <c r="AQ73" s="229">
        <f t="shared" ca="1" si="101"/>
        <v>0</v>
      </c>
      <c r="AR73" s="229">
        <f t="shared" ca="1" si="101"/>
        <v>0</v>
      </c>
      <c r="AS73" s="229">
        <f t="shared" ca="1" si="101"/>
        <v>0</v>
      </c>
      <c r="AT73" s="229">
        <f t="shared" ca="1" si="101"/>
        <v>0</v>
      </c>
      <c r="AU73" s="229">
        <f t="shared" ca="1" si="101"/>
        <v>0</v>
      </c>
      <c r="AV73" s="229">
        <f t="shared" ca="1" si="101"/>
        <v>0</v>
      </c>
      <c r="AW73" s="229">
        <f t="shared" ca="1" si="101"/>
        <v>0</v>
      </c>
      <c r="AX73" s="229">
        <f t="shared" ca="1" si="101"/>
        <v>0</v>
      </c>
      <c r="AY73" s="229">
        <f t="shared" ca="1" si="101"/>
        <v>0</v>
      </c>
      <c r="AZ73" s="229">
        <f t="shared" ca="1" si="101"/>
        <v>0</v>
      </c>
      <c r="BA73" s="229">
        <f t="shared" ca="1" si="101"/>
        <v>0</v>
      </c>
      <c r="BB73" s="229">
        <f t="shared" ca="1" si="101"/>
        <v>0</v>
      </c>
      <c r="BC73" s="229">
        <f t="shared" ca="1" si="101"/>
        <v>0</v>
      </c>
      <c r="BD73" s="229">
        <f t="shared" ca="1" si="101"/>
        <v>0</v>
      </c>
      <c r="BE73" s="229">
        <f t="shared" ca="1" si="101"/>
        <v>0</v>
      </c>
      <c r="BF73" s="229">
        <f t="shared" ca="1" si="101"/>
        <v>0</v>
      </c>
      <c r="BG73" s="229">
        <f t="shared" ca="1" si="101"/>
        <v>0</v>
      </c>
      <c r="BH73" s="229">
        <f t="shared" ca="1" si="101"/>
        <v>0</v>
      </c>
      <c r="BI73" s="229">
        <f t="shared" ca="1" si="101"/>
        <v>0</v>
      </c>
      <c r="BJ73" s="229">
        <f t="shared" ca="1" si="101"/>
        <v>0</v>
      </c>
      <c r="BK73" s="229">
        <f t="shared" ca="1" si="101"/>
        <v>0</v>
      </c>
      <c r="BL73" s="229">
        <f t="shared" ca="1" si="101"/>
        <v>0</v>
      </c>
      <c r="BM73" s="229">
        <f t="shared" ca="1" si="101"/>
        <v>0</v>
      </c>
      <c r="BN73" s="229">
        <f t="shared" ca="1" si="101"/>
        <v>0</v>
      </c>
      <c r="BO73" s="229">
        <f t="shared" ca="1" si="101"/>
        <v>0</v>
      </c>
      <c r="BP73" s="229">
        <f t="shared" ca="1" si="101"/>
        <v>0</v>
      </c>
      <c r="BQ73" s="229">
        <f t="shared" ref="BQ73:EB73" ca="1" si="102">BQ67</f>
        <v>0</v>
      </c>
      <c r="BR73" s="229">
        <f t="shared" ca="1" si="102"/>
        <v>0</v>
      </c>
      <c r="BS73" s="229">
        <f t="shared" ca="1" si="102"/>
        <v>0</v>
      </c>
      <c r="BT73" s="229">
        <f t="shared" ca="1" si="102"/>
        <v>0</v>
      </c>
      <c r="BU73" s="229">
        <f t="shared" ca="1" si="102"/>
        <v>0</v>
      </c>
      <c r="BV73" s="229">
        <f t="shared" ca="1" si="102"/>
        <v>0</v>
      </c>
      <c r="BW73" s="229">
        <f t="shared" ca="1" si="102"/>
        <v>0</v>
      </c>
      <c r="BX73" s="229">
        <f t="shared" ca="1" si="102"/>
        <v>0</v>
      </c>
      <c r="BY73" s="229">
        <f t="shared" ca="1" si="102"/>
        <v>0</v>
      </c>
      <c r="BZ73" s="229">
        <f t="shared" ca="1" si="102"/>
        <v>0</v>
      </c>
      <c r="CA73" s="229">
        <f t="shared" ca="1" si="102"/>
        <v>0</v>
      </c>
      <c r="CB73" s="229">
        <f t="shared" ca="1" si="102"/>
        <v>0</v>
      </c>
      <c r="CC73" s="229">
        <f t="shared" ca="1" si="102"/>
        <v>0</v>
      </c>
      <c r="CD73" s="229">
        <f t="shared" ca="1" si="102"/>
        <v>0</v>
      </c>
      <c r="CE73" s="229">
        <f t="shared" ca="1" si="102"/>
        <v>0</v>
      </c>
      <c r="CF73" s="229">
        <f t="shared" ca="1" si="102"/>
        <v>0</v>
      </c>
      <c r="CG73" s="229">
        <f t="shared" ca="1" si="102"/>
        <v>0</v>
      </c>
      <c r="CH73" s="229">
        <f t="shared" ca="1" si="102"/>
        <v>0</v>
      </c>
      <c r="CI73" s="229">
        <f t="shared" ca="1" si="102"/>
        <v>0</v>
      </c>
      <c r="CJ73" s="229">
        <f t="shared" ca="1" si="102"/>
        <v>0</v>
      </c>
      <c r="CK73" s="229">
        <f t="shared" ca="1" si="102"/>
        <v>0</v>
      </c>
      <c r="CL73" s="229">
        <f t="shared" ca="1" si="102"/>
        <v>0</v>
      </c>
      <c r="CM73" s="229">
        <f t="shared" ca="1" si="102"/>
        <v>0</v>
      </c>
      <c r="CN73" s="229">
        <f t="shared" ca="1" si="102"/>
        <v>0</v>
      </c>
      <c r="CO73" s="229">
        <f t="shared" ca="1" si="102"/>
        <v>0</v>
      </c>
      <c r="CP73" s="229">
        <f t="shared" ca="1" si="102"/>
        <v>0</v>
      </c>
      <c r="CQ73" s="229">
        <f t="shared" ca="1" si="102"/>
        <v>0</v>
      </c>
      <c r="CR73" s="229">
        <f t="shared" ca="1" si="102"/>
        <v>0</v>
      </c>
      <c r="CS73" s="229">
        <f t="shared" ca="1" si="102"/>
        <v>0</v>
      </c>
      <c r="CT73" s="229">
        <f t="shared" ca="1" si="102"/>
        <v>0</v>
      </c>
      <c r="CU73" s="229">
        <f t="shared" ca="1" si="102"/>
        <v>0</v>
      </c>
      <c r="CV73" s="229">
        <f t="shared" ca="1" si="102"/>
        <v>0</v>
      </c>
      <c r="CW73" s="229">
        <f t="shared" ca="1" si="102"/>
        <v>0</v>
      </c>
      <c r="CX73" s="229">
        <f t="shared" ca="1" si="102"/>
        <v>0</v>
      </c>
      <c r="CY73" s="229">
        <f t="shared" ca="1" si="102"/>
        <v>0</v>
      </c>
      <c r="CZ73" s="229">
        <f t="shared" ca="1" si="102"/>
        <v>0</v>
      </c>
      <c r="DA73" s="229">
        <f t="shared" ca="1" si="102"/>
        <v>0</v>
      </c>
      <c r="DB73" s="229">
        <f t="shared" ca="1" si="102"/>
        <v>0</v>
      </c>
      <c r="DC73" s="229">
        <f t="shared" ca="1" si="102"/>
        <v>0</v>
      </c>
      <c r="DD73" s="229">
        <f t="shared" ca="1" si="102"/>
        <v>0</v>
      </c>
      <c r="DE73" s="229">
        <f t="shared" ca="1" si="102"/>
        <v>0</v>
      </c>
      <c r="DF73" s="229">
        <f t="shared" ca="1" si="102"/>
        <v>0</v>
      </c>
      <c r="DG73" s="229">
        <f t="shared" ca="1" si="102"/>
        <v>0</v>
      </c>
      <c r="DH73" s="229">
        <f t="shared" ca="1" si="102"/>
        <v>0</v>
      </c>
      <c r="DI73" s="229">
        <f t="shared" ca="1" si="102"/>
        <v>0</v>
      </c>
      <c r="DJ73" s="229">
        <f t="shared" ca="1" si="102"/>
        <v>0</v>
      </c>
      <c r="DK73" s="229">
        <f t="shared" ca="1" si="102"/>
        <v>0</v>
      </c>
      <c r="DL73" s="229">
        <f t="shared" ca="1" si="102"/>
        <v>0</v>
      </c>
      <c r="DM73" s="229">
        <f t="shared" ca="1" si="102"/>
        <v>0</v>
      </c>
      <c r="DN73" s="229">
        <f t="shared" ca="1" si="102"/>
        <v>0</v>
      </c>
      <c r="DO73" s="229">
        <f t="shared" ca="1" si="102"/>
        <v>0</v>
      </c>
      <c r="DP73" s="229">
        <f t="shared" ca="1" si="102"/>
        <v>0</v>
      </c>
      <c r="DQ73" s="229">
        <f t="shared" ca="1" si="102"/>
        <v>0</v>
      </c>
      <c r="DR73" s="229">
        <f t="shared" ca="1" si="102"/>
        <v>0</v>
      </c>
      <c r="DS73" s="229">
        <f t="shared" ca="1" si="102"/>
        <v>0</v>
      </c>
      <c r="DT73" s="229">
        <f t="shared" ca="1" si="102"/>
        <v>0</v>
      </c>
      <c r="DU73" s="229">
        <f t="shared" ca="1" si="102"/>
        <v>0</v>
      </c>
      <c r="DV73" s="229">
        <f t="shared" ca="1" si="102"/>
        <v>0</v>
      </c>
      <c r="DW73" s="229">
        <f t="shared" ca="1" si="102"/>
        <v>0</v>
      </c>
      <c r="DX73" s="229">
        <f t="shared" ca="1" si="102"/>
        <v>0</v>
      </c>
      <c r="DY73" s="229">
        <f t="shared" ca="1" si="102"/>
        <v>0</v>
      </c>
      <c r="DZ73" s="229">
        <f t="shared" ca="1" si="102"/>
        <v>0</v>
      </c>
      <c r="EA73" s="229">
        <f t="shared" ca="1" si="102"/>
        <v>0</v>
      </c>
      <c r="EB73" s="229">
        <f t="shared" ca="1" si="102"/>
        <v>0</v>
      </c>
      <c r="EC73" s="229">
        <f t="shared" ref="EC73:EG73" ca="1" si="103">EC67</f>
        <v>0</v>
      </c>
      <c r="ED73" s="229">
        <f t="shared" ca="1" si="103"/>
        <v>0</v>
      </c>
      <c r="EE73" s="229">
        <f t="shared" ca="1" si="103"/>
        <v>0</v>
      </c>
      <c r="EF73" s="229">
        <f t="shared" ca="1" si="103"/>
        <v>0</v>
      </c>
      <c r="EG73" s="229">
        <f t="shared" ca="1" si="103"/>
        <v>0</v>
      </c>
    </row>
    <row r="74" spans="1:137" x14ac:dyDescent="0.3">
      <c r="A74" s="241" t="s">
        <v>2475</v>
      </c>
      <c r="B74" s="241"/>
      <c r="C74" s="241"/>
      <c r="D74" s="687"/>
      <c r="E74" s="242">
        <f t="shared" ref="E74:BP74" ca="1" si="104">E85</f>
        <v>0</v>
      </c>
      <c r="F74" s="242">
        <f t="shared" ca="1" si="104"/>
        <v>0</v>
      </c>
      <c r="G74" s="242">
        <f t="shared" ca="1" si="104"/>
        <v>0</v>
      </c>
      <c r="H74" s="242">
        <f t="shared" ca="1" si="104"/>
        <v>0</v>
      </c>
      <c r="I74" s="242">
        <f t="shared" ca="1" si="104"/>
        <v>0</v>
      </c>
      <c r="J74" s="242">
        <f t="shared" ca="1" si="104"/>
        <v>0</v>
      </c>
      <c r="K74" s="242">
        <f t="shared" ca="1" si="104"/>
        <v>0</v>
      </c>
      <c r="L74" s="242">
        <f t="shared" ca="1" si="104"/>
        <v>0</v>
      </c>
      <c r="M74" s="242">
        <f t="shared" ca="1" si="104"/>
        <v>0</v>
      </c>
      <c r="N74" s="242">
        <f t="shared" ca="1" si="104"/>
        <v>0</v>
      </c>
      <c r="O74" s="242">
        <f t="shared" ca="1" si="104"/>
        <v>0</v>
      </c>
      <c r="P74" s="242">
        <f t="shared" ca="1" si="104"/>
        <v>0</v>
      </c>
      <c r="Q74" s="242">
        <f t="shared" ca="1" si="104"/>
        <v>0</v>
      </c>
      <c r="R74" s="242">
        <f t="shared" ca="1" si="104"/>
        <v>0</v>
      </c>
      <c r="S74" s="242">
        <f t="shared" ca="1" si="104"/>
        <v>0</v>
      </c>
      <c r="T74" s="242">
        <f t="shared" ca="1" si="104"/>
        <v>0</v>
      </c>
      <c r="U74" s="242">
        <f t="shared" ca="1" si="104"/>
        <v>0</v>
      </c>
      <c r="V74" s="242">
        <f t="shared" ca="1" si="104"/>
        <v>0</v>
      </c>
      <c r="W74" s="242">
        <f t="shared" ca="1" si="104"/>
        <v>0</v>
      </c>
      <c r="X74" s="242">
        <f t="shared" ca="1" si="104"/>
        <v>0</v>
      </c>
      <c r="Y74" s="242">
        <f t="shared" ca="1" si="104"/>
        <v>0</v>
      </c>
      <c r="Z74" s="242">
        <f t="shared" ca="1" si="104"/>
        <v>0</v>
      </c>
      <c r="AA74" s="242">
        <f t="shared" ca="1" si="104"/>
        <v>0</v>
      </c>
      <c r="AB74" s="242">
        <f t="shared" ca="1" si="104"/>
        <v>0</v>
      </c>
      <c r="AC74" s="242">
        <f t="shared" ca="1" si="104"/>
        <v>-4411.302949009133</v>
      </c>
      <c r="AD74" s="242">
        <f t="shared" ca="1" si="104"/>
        <v>-8433.0422386363189</v>
      </c>
      <c r="AE74" s="242">
        <f t="shared" ca="1" si="104"/>
        <v>-13012.426310856763</v>
      </c>
      <c r="AF74" s="242">
        <f t="shared" ca="1" si="104"/>
        <v>-21956.223728908131</v>
      </c>
      <c r="AG74" s="242">
        <f t="shared" ca="1" si="104"/>
        <v>-22320.857894093158</v>
      </c>
      <c r="AH74" s="242">
        <f t="shared" ca="1" si="104"/>
        <v>-22451.172787867479</v>
      </c>
      <c r="AI74" s="242">
        <f t="shared" ca="1" si="104"/>
        <v>-19155.741751984304</v>
      </c>
      <c r="AJ74" s="242">
        <f t="shared" ca="1" si="104"/>
        <v>-19414.63650407867</v>
      </c>
      <c r="AK74" s="242">
        <f t="shared" ca="1" si="104"/>
        <v>-19694.19895145257</v>
      </c>
      <c r="AL74" s="242">
        <f t="shared" ca="1" si="104"/>
        <v>-19972.70023291645</v>
      </c>
      <c r="AM74" s="242">
        <f t="shared" ca="1" si="104"/>
        <v>-20250.121446340527</v>
      </c>
      <c r="AN74" s="242">
        <f t="shared" ca="1" si="104"/>
        <v>-20526.443519413428</v>
      </c>
      <c r="AO74" s="242">
        <f t="shared" ca="1" si="104"/>
        <v>-20801.647208368959</v>
      </c>
      <c r="AP74" s="242">
        <f t="shared" ca="1" si="104"/>
        <v>-20991.996727767983</v>
      </c>
      <c r="AQ74" s="242">
        <f t="shared" ca="1" si="104"/>
        <v>-21348.756472790992</v>
      </c>
      <c r="AR74" s="242">
        <f t="shared" ca="1" si="104"/>
        <v>-21660.353672195371</v>
      </c>
      <c r="AS74" s="242">
        <f t="shared" ca="1" si="104"/>
        <v>-21205.119180538455</v>
      </c>
      <c r="AT74" s="242">
        <f t="shared" ca="1" si="104"/>
        <v>-21390.593757415478</v>
      </c>
      <c r="AU74" s="242">
        <f t="shared" ca="1" si="104"/>
        <v>-21572.639458598813</v>
      </c>
      <c r="AV74" s="242">
        <f t="shared" ca="1" si="104"/>
        <v>-21828.90522008223</v>
      </c>
      <c r="AW74" s="242">
        <f t="shared" ca="1" si="104"/>
        <v>-22077.292673389056</v>
      </c>
      <c r="AX74" s="242">
        <f t="shared" ca="1" si="104"/>
        <v>-22317.732311075153</v>
      </c>
      <c r="AY74" s="242">
        <f t="shared" ca="1" si="104"/>
        <v>-22550.154178493754</v>
      </c>
      <c r="AZ74" s="242">
        <f t="shared" ca="1" si="104"/>
        <v>-22774.487871226564</v>
      </c>
      <c r="BA74" s="242">
        <f t="shared" ca="1" si="104"/>
        <v>-22990.66253250073</v>
      </c>
      <c r="BB74" s="242">
        <f t="shared" ca="1" si="104"/>
        <v>-23137.160172885662</v>
      </c>
      <c r="BC74" s="242">
        <f t="shared" ca="1" si="104"/>
        <v>-23399.177981436045</v>
      </c>
      <c r="BD74" s="242">
        <f t="shared" ca="1" si="104"/>
        <v>-23623.1560566841</v>
      </c>
      <c r="BE74" s="242">
        <f t="shared" ca="1" si="104"/>
        <v>-23241.39600351208</v>
      </c>
      <c r="BF74" s="242">
        <f t="shared" ca="1" si="104"/>
        <v>-23379.235967828037</v>
      </c>
      <c r="BG74" s="242">
        <f t="shared" ca="1" si="104"/>
        <v>-23519.465631538391</v>
      </c>
      <c r="BH74" s="242">
        <f t="shared" ca="1" si="104"/>
        <v>-23721.433255777934</v>
      </c>
      <c r="BI74" s="242">
        <f t="shared" ca="1" si="104"/>
        <v>-23928.753279544104</v>
      </c>
      <c r="BJ74" s="242">
        <f t="shared" ca="1" si="104"/>
        <v>-24141.462629154947</v>
      </c>
      <c r="BK74" s="242">
        <f t="shared" ca="1" si="104"/>
        <v>-24359.598432095932</v>
      </c>
      <c r="BL74" s="242">
        <f t="shared" ca="1" si="104"/>
        <v>-24583.198018010746</v>
      </c>
      <c r="BM74" s="242">
        <f t="shared" ca="1" si="104"/>
        <v>-24812.298919696761</v>
      </c>
      <c r="BN74" s="242">
        <f t="shared" ca="1" si="104"/>
        <v>-24976.829693809508</v>
      </c>
      <c r="BO74" s="242">
        <f t="shared" ca="1" si="104"/>
        <v>-25286.542819583225</v>
      </c>
      <c r="BP74" s="242">
        <f t="shared" ca="1" si="104"/>
        <v>-25562.74187089004</v>
      </c>
      <c r="BQ74" s="242">
        <f t="shared" ref="BQ74:EB74" ca="1" si="105">BQ85</f>
        <v>-25191.110262718721</v>
      </c>
      <c r="BR74" s="242">
        <f t="shared" ca="1" si="105"/>
        <v>-25363.679770327155</v>
      </c>
      <c r="BS74" s="242">
        <f t="shared" ca="1" si="105"/>
        <v>-25536.719097857153</v>
      </c>
      <c r="BT74" s="242">
        <f t="shared" ca="1" si="105"/>
        <v>-25784.647538052715</v>
      </c>
      <c r="BU74" s="242">
        <f t="shared" ca="1" si="105"/>
        <v>-26033.562778098676</v>
      </c>
      <c r="BV74" s="242">
        <f t="shared" ca="1" si="105"/>
        <v>-26283.468808438309</v>
      </c>
      <c r="BW74" s="242">
        <f t="shared" ca="1" si="105"/>
        <v>-26534.369635812873</v>
      </c>
      <c r="BX74" s="242">
        <f t="shared" ca="1" si="105"/>
        <v>-26786.269283328678</v>
      </c>
      <c r="BY74" s="242">
        <f t="shared" ca="1" si="105"/>
        <v>-27039.17179052424</v>
      </c>
      <c r="BZ74" s="242">
        <f t="shared" ca="1" si="105"/>
        <v>-27216.792001109075</v>
      </c>
      <c r="CA74" s="242">
        <f t="shared" ca="1" si="105"/>
        <v>-27547.89615483968</v>
      </c>
      <c r="CB74" s="242">
        <f t="shared" ca="1" si="105"/>
        <v>-27839.208507062012</v>
      </c>
      <c r="CC74" s="242">
        <f t="shared" ca="1" si="105"/>
        <v>-27456.692738257017</v>
      </c>
      <c r="CD74" s="242">
        <f t="shared" ca="1" si="105"/>
        <v>-27636.255432707472</v>
      </c>
      <c r="CE74" s="242">
        <f t="shared" ca="1" si="105"/>
        <v>-27816.307063198106</v>
      </c>
      <c r="CF74" s="242">
        <f t="shared" ca="1" si="105"/>
        <v>-28074.412594409816</v>
      </c>
      <c r="CG74" s="242">
        <f t="shared" ca="1" si="105"/>
        <v>-28333.54589045628</v>
      </c>
      <c r="CH74" s="242">
        <f t="shared" ca="1" si="105"/>
        <v>-28593.711108613719</v>
      </c>
      <c r="CI74" s="242">
        <f t="shared" ca="1" si="105"/>
        <v>-28854.912423140806</v>
      </c>
      <c r="CJ74" s="242">
        <f t="shared" ca="1" si="105"/>
        <v>-29117.154025348373</v>
      </c>
      <c r="CK74" s="242">
        <f t="shared" ca="1" si="105"/>
        <v>-29380.440123669541</v>
      </c>
      <c r="CL74" s="242">
        <f t="shared" ca="1" si="105"/>
        <v>-29565.261016878245</v>
      </c>
      <c r="CM74" s="242">
        <f t="shared" ca="1" si="105"/>
        <v>-29910.052800415393</v>
      </c>
      <c r="CN74" s="242">
        <f t="shared" ca="1" si="105"/>
        <v>-30213.370039256737</v>
      </c>
      <c r="CO74" s="242">
        <f t="shared" ca="1" si="105"/>
        <v>-29819.587397498246</v>
      </c>
      <c r="CP74" s="242">
        <f t="shared" ca="1" si="105"/>
        <v>-30006.429840285524</v>
      </c>
      <c r="CQ74" s="242">
        <f t="shared" ca="1" si="105"/>
        <v>-30193.781120972886</v>
      </c>
      <c r="CR74" s="242">
        <f t="shared" ca="1" si="105"/>
        <v>-30462.484842418977</v>
      </c>
      <c r="CS74" s="242">
        <f t="shared" ca="1" si="105"/>
        <v>-30732.259002858151</v>
      </c>
      <c r="CT74" s="242">
        <f t="shared" ca="1" si="105"/>
        <v>-31003.107933396339</v>
      </c>
      <c r="CU74" s="242">
        <f t="shared" ca="1" si="105"/>
        <v>-31275.035982835088</v>
      </c>
      <c r="CV74" s="242">
        <f t="shared" ca="1" si="105"/>
        <v>-31548.047517744224</v>
      </c>
      <c r="CW74" s="242">
        <f t="shared" ca="1" si="105"/>
        <v>-31822.146922534906</v>
      </c>
      <c r="CX74" s="242">
        <f t="shared" ca="1" si="105"/>
        <v>-32014.463650763646</v>
      </c>
      <c r="CY74" s="242">
        <f t="shared" ca="1" si="105"/>
        <v>-32373.512394435907</v>
      </c>
      <c r="CZ74" s="242">
        <f t="shared" ca="1" si="105"/>
        <v>-32689.332698553677</v>
      </c>
      <c r="DA74" s="242">
        <f t="shared" ca="1" si="105"/>
        <v>-32283.879676200675</v>
      </c>
      <c r="DB74" s="242">
        <f t="shared" ca="1" si="105"/>
        <v>-32478.300270527965</v>
      </c>
      <c r="DC74" s="242">
        <f t="shared" ca="1" si="105"/>
        <v>-32673.25042290071</v>
      </c>
      <c r="DD74" s="242">
        <f t="shared" ca="1" si="105"/>
        <v>-32952.990961024567</v>
      </c>
      <c r="DE74" s="242">
        <f t="shared" ca="1" si="105"/>
        <v>-33233.846393047897</v>
      </c>
      <c r="DF74" s="242">
        <f t="shared" ca="1" si="105"/>
        <v>-33515.821231197224</v>
      </c>
      <c r="DG74" s="242">
        <f t="shared" ca="1" si="105"/>
        <v>-33798.920006137741</v>
      </c>
      <c r="DH74" s="242">
        <f t="shared" ca="1" si="105"/>
        <v>-34083.147267049229</v>
      </c>
      <c r="DI74" s="242">
        <f t="shared" ca="1" si="105"/>
        <v>-34368.507581702092</v>
      </c>
      <c r="DJ74" s="242">
        <f t="shared" ca="1" si="105"/>
        <v>-34568.62749679343</v>
      </c>
      <c r="DK74" s="242">
        <f t="shared" ca="1" si="105"/>
        <v>-34942.526319085577</v>
      </c>
      <c r="DL74" s="242">
        <f t="shared" ca="1" si="105"/>
        <v>-35271.368647056755</v>
      </c>
      <c r="DM74" s="242">
        <f t="shared" ca="1" si="105"/>
        <v>-34853.819223049017</v>
      </c>
      <c r="DN74" s="242">
        <f t="shared" ca="1" si="105"/>
        <v>-35056.128706238131</v>
      </c>
      <c r="DO74" s="242">
        <f t="shared" ca="1" si="105"/>
        <v>-35258.989319803455</v>
      </c>
      <c r="DP74" s="242">
        <f t="shared" ca="1" si="105"/>
        <v>-35550.223560968232</v>
      </c>
      <c r="DQ74" s="242">
        <f t="shared" ca="1" si="105"/>
        <v>-35842.619006266381</v>
      </c>
      <c r="DR74" s="242">
        <f t="shared" ca="1" si="105"/>
        <v>-36136.18035664221</v>
      </c>
      <c r="DS74" s="242">
        <f t="shared" ca="1" si="105"/>
        <v>-36430.91233225321</v>
      </c>
      <c r="DT74" s="242">
        <f t="shared" ca="1" si="105"/>
        <v>-36726.819672549005</v>
      </c>
      <c r="DU74" s="242">
        <f t="shared" ca="1" si="105"/>
        <v>-37023.90713635071</v>
      </c>
      <c r="DV74" s="242">
        <f t="shared" ca="1" si="105"/>
        <v>-37232.150296963613</v>
      </c>
      <c r="DW74" s="242">
        <f t="shared" ca="1" si="105"/>
        <v>-37621.517101715974</v>
      </c>
      <c r="DX74" s="242">
        <f t="shared" ca="1" si="105"/>
        <v>-37963.922062059391</v>
      </c>
      <c r="DY74" s="242">
        <f t="shared" ca="1" si="105"/>
        <v>-37533.825815748904</v>
      </c>
      <c r="DZ74" s="242">
        <f t="shared" ca="1" si="105"/>
        <v>-37744.347772220615</v>
      </c>
      <c r="EA74" s="242">
        <f t="shared" ca="1" si="105"/>
        <v>-37955.443318896825</v>
      </c>
      <c r="EB74" s="242">
        <f t="shared" ca="1" si="105"/>
        <v>-38258.64717280562</v>
      </c>
      <c r="EC74" s="242">
        <f t="shared" ref="EC74:EG74" ca="1" si="106">EC85</f>
        <v>-38563.060474120226</v>
      </c>
      <c r="ED74" s="242">
        <f t="shared" ca="1" si="106"/>
        <v>-38868.688120419407</v>
      </c>
      <c r="EE74" s="242">
        <f t="shared" ca="1" si="106"/>
        <v>-39175.535029951134</v>
      </c>
      <c r="EF74" s="242">
        <f t="shared" ca="1" si="106"/>
        <v>-39483.606137386494</v>
      </c>
      <c r="EG74" s="242">
        <f t="shared" ca="1" si="106"/>
        <v>-39792.906406458227</v>
      </c>
    </row>
    <row r="75" spans="1:137" x14ac:dyDescent="0.3">
      <c r="A75" s="245" t="s">
        <v>843</v>
      </c>
      <c r="B75" s="245"/>
      <c r="C75" s="245"/>
      <c r="D75" s="726"/>
      <c r="E75" s="227">
        <f t="shared" ref="E75:BP75" ca="1" si="107">SUM(E71:E74)</f>
        <v>187200.69504114857</v>
      </c>
      <c r="F75" s="227">
        <f t="shared" ca="1" si="107"/>
        <v>1708729.7325355168</v>
      </c>
      <c r="G75" s="227">
        <f t="shared" ca="1" si="107"/>
        <v>1770720.1013033025</v>
      </c>
      <c r="H75" s="227">
        <f t="shared" ca="1" si="107"/>
        <v>1857977.9068978827</v>
      </c>
      <c r="I75" s="227">
        <f t="shared" ca="1" si="107"/>
        <v>1996596.1987223679</v>
      </c>
      <c r="J75" s="227">
        <f t="shared" ca="1" si="107"/>
        <v>2214179.0090027256</v>
      </c>
      <c r="K75" s="227">
        <f t="shared" ca="1" si="107"/>
        <v>2439458.2290258231</v>
      </c>
      <c r="L75" s="227">
        <f t="shared" ca="1" si="107"/>
        <v>2723342.6570627717</v>
      </c>
      <c r="M75" s="227">
        <f t="shared" ca="1" si="107"/>
        <v>3058668.3167295558</v>
      </c>
      <c r="N75" s="227">
        <f t="shared" ca="1" si="107"/>
        <v>3450121.6817595642</v>
      </c>
      <c r="O75" s="227">
        <f t="shared" ca="1" si="107"/>
        <v>3686574.7164653679</v>
      </c>
      <c r="P75" s="227">
        <f t="shared" ca="1" si="107"/>
        <v>3717296.1724359128</v>
      </c>
      <c r="Q75" s="227">
        <f t="shared" ca="1" si="107"/>
        <v>3748273.6405395456</v>
      </c>
      <c r="R75" s="227">
        <f t="shared" ca="1" si="107"/>
        <v>3779509.2542107087</v>
      </c>
      <c r="S75" s="227">
        <f t="shared" ca="1" si="107"/>
        <v>3811005.1646624645</v>
      </c>
      <c r="T75" s="227">
        <f t="shared" ca="1" si="107"/>
        <v>3842763.5410346519</v>
      </c>
      <c r="U75" s="227">
        <f t="shared" ca="1" si="107"/>
        <v>3874786.5705432738</v>
      </c>
      <c r="V75" s="227">
        <f t="shared" ca="1" si="107"/>
        <v>3907076.4586311346</v>
      </c>
      <c r="W75" s="227">
        <f t="shared" ca="1" si="107"/>
        <v>3939635.4291197276</v>
      </c>
      <c r="X75" s="227">
        <f t="shared" ca="1" si="107"/>
        <v>3972465.724362392</v>
      </c>
      <c r="Y75" s="227">
        <f t="shared" ca="1" si="107"/>
        <v>4005569.6053987453</v>
      </c>
      <c r="Z75" s="227">
        <f t="shared" ca="1" si="107"/>
        <v>4038949.3521104013</v>
      </c>
      <c r="AA75" s="227">
        <f t="shared" ca="1" si="107"/>
        <v>4072607.2633779878</v>
      </c>
      <c r="AB75" s="227">
        <f t="shared" ca="1" si="107"/>
        <v>4106545.6572394711</v>
      </c>
      <c r="AC75" s="227">
        <f t="shared" ca="1" si="107"/>
        <v>4136355.568100791</v>
      </c>
      <c r="AD75" s="227">
        <f t="shared" ca="1" si="107"/>
        <v>4162392.155596328</v>
      </c>
      <c r="AE75" s="227">
        <f t="shared" ca="1" si="107"/>
        <v>4184066.3305821074</v>
      </c>
      <c r="AF75" s="227">
        <f t="shared" ca="1" si="107"/>
        <v>4196977.3262747163</v>
      </c>
      <c r="AG75" s="227">
        <f t="shared" ca="1" si="107"/>
        <v>4209631.2794329124</v>
      </c>
      <c r="AH75" s="227">
        <f t="shared" ca="1" si="107"/>
        <v>4222260.3673069859</v>
      </c>
      <c r="AI75" s="227">
        <f t="shared" ca="1" si="107"/>
        <v>4238290.1284950785</v>
      </c>
      <c r="AJ75" s="227">
        <f t="shared" ca="1" si="107"/>
        <v>4254194.5763951261</v>
      </c>
      <c r="AK75" s="227">
        <f t="shared" ca="1" si="107"/>
        <v>4269951.9989136327</v>
      </c>
      <c r="AL75" s="227">
        <f t="shared" ca="1" si="107"/>
        <v>4285562.2320049964</v>
      </c>
      <c r="AM75" s="227">
        <f t="shared" ca="1" si="107"/>
        <v>4301025.129158698</v>
      </c>
      <c r="AN75" s="227">
        <f t="shared" ca="1" si="107"/>
        <v>4316340.5617156066</v>
      </c>
      <c r="AO75" s="227">
        <f t="shared" ca="1" si="107"/>
        <v>4331508.4191882005</v>
      </c>
      <c r="AP75" s="227">
        <f t="shared" ca="1" si="107"/>
        <v>4346612.3259536671</v>
      </c>
      <c r="AQ75" s="227">
        <f t="shared" ca="1" si="107"/>
        <v>4361485.3388638236</v>
      </c>
      <c r="AR75" s="227">
        <f t="shared" ca="1" si="107"/>
        <v>4376170.6963488273</v>
      </c>
      <c r="AS75" s="227">
        <f t="shared" ca="1" si="107"/>
        <v>4391433.6663045287</v>
      </c>
      <c r="AT75" s="227">
        <f t="shared" ca="1" si="107"/>
        <v>4406638.3530996516</v>
      </c>
      <c r="AU75" s="227">
        <f t="shared" ca="1" si="107"/>
        <v>4421787.6999168834</v>
      </c>
      <c r="AV75" s="227">
        <f t="shared" ca="1" si="107"/>
        <v>4436807.0255294424</v>
      </c>
      <c r="AW75" s="227">
        <f t="shared" ca="1" si="107"/>
        <v>4451703.1247354653</v>
      </c>
      <c r="AX75" s="227">
        <f t="shared" ca="1" si="107"/>
        <v>4466482.9184638523</v>
      </c>
      <c r="AY75" s="227">
        <f t="shared" ca="1" si="107"/>
        <v>4481153.4552725572</v>
      </c>
      <c r="AZ75" s="227">
        <f t="shared" ca="1" si="107"/>
        <v>4495721.9128619349</v>
      </c>
      <c r="BA75" s="227">
        <f t="shared" ca="1" si="107"/>
        <v>4510195.5996032832</v>
      </c>
      <c r="BB75" s="227">
        <f t="shared" ca="1" si="107"/>
        <v>4524643.4027604256</v>
      </c>
      <c r="BC75" s="227">
        <f t="shared" ca="1" si="107"/>
        <v>4538949.5864686593</v>
      </c>
      <c r="BD75" s="227">
        <f t="shared" ca="1" si="107"/>
        <v>4553151.0102992142</v>
      </c>
      <c r="BE75" s="227">
        <f t="shared" ca="1" si="107"/>
        <v>4567852.5393815292</v>
      </c>
      <c r="BF75" s="227">
        <f t="shared" ca="1" si="107"/>
        <v>4582538.7412418807</v>
      </c>
      <c r="BG75" s="227">
        <f t="shared" ca="1" si="107"/>
        <v>4597207.0984540246</v>
      </c>
      <c r="BH75" s="227">
        <f t="shared" ca="1" si="107"/>
        <v>4611795.7243520301</v>
      </c>
      <c r="BI75" s="227">
        <f t="shared" ca="1" si="107"/>
        <v>4626298.6021087524</v>
      </c>
      <c r="BJ75" s="227">
        <f t="shared" ca="1" si="107"/>
        <v>4640709.6278305035</v>
      </c>
      <c r="BK75" s="227">
        <f t="shared" ca="1" si="107"/>
        <v>4655022.6096303286</v>
      </c>
      <c r="BL75" s="227">
        <f t="shared" ca="1" si="107"/>
        <v>4669231.2666925704</v>
      </c>
      <c r="BM75" s="227">
        <f t="shared" ca="1" si="107"/>
        <v>4683329.2283286452</v>
      </c>
      <c r="BN75" s="227">
        <f t="shared" ca="1" si="107"/>
        <v>4697380.1422042418</v>
      </c>
      <c r="BO75" s="227">
        <f t="shared" ca="1" si="107"/>
        <v>4711238.4339030273</v>
      </c>
      <c r="BP75" s="227">
        <f t="shared" ca="1" si="107"/>
        <v>4724936.0123146623</v>
      </c>
      <c r="BQ75" s="227">
        <f t="shared" ref="BQ75:EB75" ca="1" si="108">SUM(BQ71:BQ74)</f>
        <v>4739119.3688212326</v>
      </c>
      <c r="BR75" s="227">
        <f t="shared" ca="1" si="108"/>
        <v>4753248.3504577493</v>
      </c>
      <c r="BS75" s="227">
        <f t="shared" ca="1" si="108"/>
        <v>4767322.0342803728</v>
      </c>
      <c r="BT75" s="227">
        <f t="shared" ca="1" si="108"/>
        <v>4781265.0703613227</v>
      </c>
      <c r="BU75" s="227">
        <f t="shared" ca="1" si="108"/>
        <v>4795075.3831695681</v>
      </c>
      <c r="BV75" s="227">
        <f t="shared" ca="1" si="108"/>
        <v>4808750.875887543</v>
      </c>
      <c r="BW75" s="227">
        <f t="shared" ca="1" si="108"/>
        <v>4822289.4302174598</v>
      </c>
      <c r="BX75" s="227">
        <f t="shared" ca="1" si="108"/>
        <v>4835688.9061859427</v>
      </c>
      <c r="BY75" s="227">
        <f t="shared" ca="1" si="108"/>
        <v>4848947.1419469677</v>
      </c>
      <c r="BZ75" s="227">
        <f t="shared" ca="1" si="108"/>
        <v>4862138.2427954171</v>
      </c>
      <c r="CA75" s="227">
        <f t="shared" ca="1" si="108"/>
        <v>4875108.1653305395</v>
      </c>
      <c r="CB75" s="227">
        <f t="shared" ca="1" si="108"/>
        <v>4887894.8582012318</v>
      </c>
      <c r="CC75" s="227">
        <f t="shared" ca="1" si="108"/>
        <v>4901170.622614651</v>
      </c>
      <c r="CD75" s="227">
        <f t="shared" ca="1" si="108"/>
        <v>4914377.4557037326</v>
      </c>
      <c r="CE75" s="227">
        <f t="shared" ca="1" si="108"/>
        <v>4927514.2941047326</v>
      </c>
      <c r="CF75" s="227">
        <f t="shared" ca="1" si="108"/>
        <v>4940502.5006278623</v>
      </c>
      <c r="CG75" s="227">
        <f t="shared" ca="1" si="108"/>
        <v>4953339.8089093054</v>
      </c>
      <c r="CH75" s="227">
        <f t="shared" ca="1" si="108"/>
        <v>4966023.9295416027</v>
      </c>
      <c r="CI75" s="227">
        <f t="shared" ca="1" si="108"/>
        <v>4978552.5498646423</v>
      </c>
      <c r="CJ75" s="227">
        <f t="shared" ca="1" si="108"/>
        <v>4990923.3337548319</v>
      </c>
      <c r="CK75" s="227">
        <f t="shared" ca="1" si="108"/>
        <v>5003133.9214124521</v>
      </c>
      <c r="CL75" s="227">
        <f t="shared" ca="1" si="108"/>
        <v>5015261.4430740112</v>
      </c>
      <c r="CM75" s="227">
        <f t="shared" ca="1" si="108"/>
        <v>5027145.2356325462</v>
      </c>
      <c r="CN75" s="227">
        <f t="shared" ca="1" si="108"/>
        <v>5038824.7425568942</v>
      </c>
      <c r="CO75" s="227">
        <f t="shared" ca="1" si="108"/>
        <v>5050995.3613473698</v>
      </c>
      <c r="CP75" s="227">
        <f t="shared" ca="1" si="108"/>
        <v>5063080.559518313</v>
      </c>
      <c r="CQ75" s="227">
        <f t="shared" ca="1" si="108"/>
        <v>5075079.1163933259</v>
      </c>
      <c r="CR75" s="227">
        <f t="shared" ca="1" si="108"/>
        <v>5086908.9575208519</v>
      </c>
      <c r="CS75" s="227">
        <f t="shared" ca="1" si="108"/>
        <v>5098567.6064973343</v>
      </c>
      <c r="CT75" s="227">
        <f t="shared" ca="1" si="108"/>
        <v>5110052.5619514156</v>
      </c>
      <c r="CU75" s="227">
        <f t="shared" ca="1" si="108"/>
        <v>5121361.2973181754</v>
      </c>
      <c r="CV75" s="227">
        <f t="shared" ca="1" si="108"/>
        <v>5132491.2606114168</v>
      </c>
      <c r="CW75" s="227">
        <f t="shared" ca="1" si="108"/>
        <v>5143439.8741939766</v>
      </c>
      <c r="CX75" s="227">
        <f t="shared" ca="1" si="108"/>
        <v>5154287.4094948294</v>
      </c>
      <c r="CY75" s="227">
        <f t="shared" ca="1" si="108"/>
        <v>5164866.2921795174</v>
      </c>
      <c r="CZ75" s="227">
        <f t="shared" ca="1" si="108"/>
        <v>5175217.5119157927</v>
      </c>
      <c r="DA75" s="227">
        <f t="shared" ca="1" si="108"/>
        <v>5186060.4448388908</v>
      </c>
      <c r="DB75" s="227">
        <f t="shared" ca="1" si="108"/>
        <v>5196799.3149420209</v>
      </c>
      <c r="DC75" s="227">
        <f t="shared" ca="1" si="108"/>
        <v>5207432.7254769709</v>
      </c>
      <c r="DD75" s="227">
        <f t="shared" ca="1" si="108"/>
        <v>5217875.0072282543</v>
      </c>
      <c r="DE75" s="227">
        <f t="shared" ca="1" si="108"/>
        <v>5228123.4525621086</v>
      </c>
      <c r="DF75" s="227">
        <f t="shared" ca="1" si="108"/>
        <v>5238175.3267689282</v>
      </c>
      <c r="DG75" s="227">
        <f t="shared" ca="1" si="108"/>
        <v>5248027.8678191984</v>
      </c>
      <c r="DH75" s="227">
        <f t="shared" ca="1" si="108"/>
        <v>5257678.2861173255</v>
      </c>
      <c r="DI75" s="227">
        <f t="shared" ca="1" si="108"/>
        <v>5267123.7642532941</v>
      </c>
      <c r="DJ75" s="227">
        <f t="shared" ca="1" si="108"/>
        <v>5276447.8347919555</v>
      </c>
      <c r="DK75" s="227">
        <f t="shared" ca="1" si="108"/>
        <v>5285475.7070961883</v>
      </c>
      <c r="DL75" s="227">
        <f t="shared" ca="1" si="108"/>
        <v>5294249.9693416478</v>
      </c>
      <c r="DM75" s="227">
        <f t="shared" ca="1" si="108"/>
        <v>5303514.8998631667</v>
      </c>
      <c r="DN75" s="227">
        <f t="shared" ca="1" si="108"/>
        <v>5312654.728655857</v>
      </c>
      <c r="DO75" s="227">
        <f t="shared" ca="1" si="108"/>
        <v>5321667.8620749144</v>
      </c>
      <c r="DP75" s="227">
        <f t="shared" ca="1" si="108"/>
        <v>5330464.8706979724</v>
      </c>
      <c r="DQ75" s="227">
        <f t="shared" ca="1" si="108"/>
        <v>5339042.7922808118</v>
      </c>
      <c r="DR75" s="227">
        <f t="shared" ca="1" si="108"/>
        <v>5347398.6351930033</v>
      </c>
      <c r="DS75" s="227">
        <f t="shared" ca="1" si="108"/>
        <v>5355529.3781536892</v>
      </c>
      <c r="DT75" s="227">
        <f t="shared" ca="1" si="108"/>
        <v>5363431.9699663864</v>
      </c>
      <c r="DU75" s="227">
        <f t="shared" ca="1" si="108"/>
        <v>5371103.3292456903</v>
      </c>
      <c r="DV75" s="227">
        <f t="shared" ca="1" si="108"/>
        <v>5378630.3733593216</v>
      </c>
      <c r="DW75" s="227">
        <f t="shared" ca="1" si="108"/>
        <v>5385830.7760351934</v>
      </c>
      <c r="DX75" s="227">
        <f t="shared" ca="1" si="108"/>
        <v>5392748.7771055652</v>
      </c>
      <c r="DY75" s="227">
        <f t="shared" ca="1" si="108"/>
        <v>5400154.5244303262</v>
      </c>
      <c r="DZ75" s="227">
        <f t="shared" ca="1" si="108"/>
        <v>5407411.4643587302</v>
      </c>
      <c r="EA75" s="227">
        <f t="shared" ca="1" si="108"/>
        <v>5414517.7832391625</v>
      </c>
      <c r="EB75" s="227">
        <f t="shared" ca="1" si="108"/>
        <v>5421380.1175867338</v>
      </c>
      <c r="EC75" s="227">
        <f t="shared" ref="EC75:EG75" ca="1" si="109">SUM(EC71:EC74)</f>
        <v>5427995.2247498799</v>
      </c>
      <c r="ED75" s="227">
        <f t="shared" ca="1" si="109"/>
        <v>5434359.8301576907</v>
      </c>
      <c r="EE75" s="227">
        <f t="shared" ca="1" si="109"/>
        <v>5440470.6269366704</v>
      </c>
      <c r="EF75" s="227">
        <f t="shared" ca="1" si="109"/>
        <v>5446324.276613377</v>
      </c>
      <c r="EG75" s="227">
        <f t="shared" ca="1" si="109"/>
        <v>5451917.4053242337</v>
      </c>
    </row>
    <row r="76" spans="1:137" x14ac:dyDescent="0.3">
      <c r="A76" s="241" t="s">
        <v>2476</v>
      </c>
      <c r="B76" s="241"/>
      <c r="C76" s="241"/>
      <c r="D76" s="687"/>
      <c r="E76" s="242">
        <f t="shared" ref="E76:BP76" si="110">E87</f>
        <v>0</v>
      </c>
      <c r="F76" s="242">
        <f t="shared" si="110"/>
        <v>0</v>
      </c>
      <c r="G76" s="242">
        <f t="shared" si="110"/>
        <v>0</v>
      </c>
      <c r="H76" s="242">
        <f t="shared" si="110"/>
        <v>0</v>
      </c>
      <c r="I76" s="242">
        <f t="shared" si="110"/>
        <v>0</v>
      </c>
      <c r="J76" s="242">
        <f t="shared" si="110"/>
        <v>0</v>
      </c>
      <c r="K76" s="242">
        <f t="shared" si="110"/>
        <v>0</v>
      </c>
      <c r="L76" s="242">
        <f t="shared" si="110"/>
        <v>0</v>
      </c>
      <c r="M76" s="242">
        <f t="shared" si="110"/>
        <v>0</v>
      </c>
      <c r="N76" s="242">
        <f t="shared" si="110"/>
        <v>0</v>
      </c>
      <c r="O76" s="242">
        <f t="shared" si="110"/>
        <v>0</v>
      </c>
      <c r="P76" s="242">
        <f t="shared" si="110"/>
        <v>0</v>
      </c>
      <c r="Q76" s="242">
        <f t="shared" si="110"/>
        <v>0</v>
      </c>
      <c r="R76" s="242">
        <f t="shared" si="110"/>
        <v>0</v>
      </c>
      <c r="S76" s="242">
        <f t="shared" si="110"/>
        <v>0</v>
      </c>
      <c r="T76" s="242">
        <f t="shared" si="110"/>
        <v>0</v>
      </c>
      <c r="U76" s="242">
        <f t="shared" si="110"/>
        <v>0</v>
      </c>
      <c r="V76" s="242">
        <f t="shared" si="110"/>
        <v>0</v>
      </c>
      <c r="W76" s="242">
        <f t="shared" si="110"/>
        <v>0</v>
      </c>
      <c r="X76" s="242">
        <f t="shared" si="110"/>
        <v>0</v>
      </c>
      <c r="Y76" s="242">
        <f t="shared" si="110"/>
        <v>0</v>
      </c>
      <c r="Z76" s="242">
        <f t="shared" si="110"/>
        <v>0</v>
      </c>
      <c r="AA76" s="242">
        <f t="shared" si="110"/>
        <v>0</v>
      </c>
      <c r="AB76" s="242">
        <f t="shared" si="110"/>
        <v>0</v>
      </c>
      <c r="AC76" s="242">
        <f t="shared" si="110"/>
        <v>0</v>
      </c>
      <c r="AD76" s="242">
        <f t="shared" si="110"/>
        <v>0</v>
      </c>
      <c r="AE76" s="242">
        <f t="shared" si="110"/>
        <v>0</v>
      </c>
      <c r="AF76" s="242">
        <f t="shared" si="110"/>
        <v>0</v>
      </c>
      <c r="AG76" s="242">
        <f t="shared" si="110"/>
        <v>0</v>
      </c>
      <c r="AH76" s="242">
        <f t="shared" ca="1" si="110"/>
        <v>-1.1981576681137082E-4</v>
      </c>
      <c r="AI76" s="242">
        <f t="shared" si="110"/>
        <v>0</v>
      </c>
      <c r="AJ76" s="242">
        <f t="shared" si="110"/>
        <v>0</v>
      </c>
      <c r="AK76" s="242">
        <f t="shared" si="110"/>
        <v>0</v>
      </c>
      <c r="AL76" s="242">
        <f t="shared" si="110"/>
        <v>0</v>
      </c>
      <c r="AM76" s="242">
        <f t="shared" si="110"/>
        <v>0</v>
      </c>
      <c r="AN76" s="242">
        <f t="shared" si="110"/>
        <v>0</v>
      </c>
      <c r="AO76" s="242">
        <f t="shared" si="110"/>
        <v>0</v>
      </c>
      <c r="AP76" s="242">
        <f t="shared" si="110"/>
        <v>0</v>
      </c>
      <c r="AQ76" s="242">
        <f t="shared" si="110"/>
        <v>0</v>
      </c>
      <c r="AR76" s="242">
        <f t="shared" si="110"/>
        <v>0</v>
      </c>
      <c r="AS76" s="242">
        <f t="shared" si="110"/>
        <v>0</v>
      </c>
      <c r="AT76" s="242">
        <f t="shared" si="110"/>
        <v>0</v>
      </c>
      <c r="AU76" s="242">
        <f t="shared" si="110"/>
        <v>0</v>
      </c>
      <c r="AV76" s="242">
        <f t="shared" si="110"/>
        <v>0</v>
      </c>
      <c r="AW76" s="242">
        <f t="shared" si="110"/>
        <v>0</v>
      </c>
      <c r="AX76" s="242">
        <f t="shared" si="110"/>
        <v>0</v>
      </c>
      <c r="AY76" s="242">
        <f t="shared" si="110"/>
        <v>0</v>
      </c>
      <c r="AZ76" s="242">
        <f t="shared" si="110"/>
        <v>0</v>
      </c>
      <c r="BA76" s="242">
        <f t="shared" si="110"/>
        <v>0</v>
      </c>
      <c r="BB76" s="242">
        <f t="shared" si="110"/>
        <v>0</v>
      </c>
      <c r="BC76" s="242">
        <f t="shared" si="110"/>
        <v>0</v>
      </c>
      <c r="BD76" s="242">
        <f t="shared" si="110"/>
        <v>0</v>
      </c>
      <c r="BE76" s="242">
        <f t="shared" si="110"/>
        <v>0</v>
      </c>
      <c r="BF76" s="242">
        <f t="shared" si="110"/>
        <v>0</v>
      </c>
      <c r="BG76" s="242">
        <f t="shared" si="110"/>
        <v>0</v>
      </c>
      <c r="BH76" s="242">
        <f t="shared" si="110"/>
        <v>0</v>
      </c>
      <c r="BI76" s="242">
        <f t="shared" si="110"/>
        <v>0</v>
      </c>
      <c r="BJ76" s="242">
        <f t="shared" si="110"/>
        <v>0</v>
      </c>
      <c r="BK76" s="242">
        <f t="shared" si="110"/>
        <v>0</v>
      </c>
      <c r="BL76" s="242">
        <f t="shared" si="110"/>
        <v>0</v>
      </c>
      <c r="BM76" s="242">
        <f t="shared" si="110"/>
        <v>0</v>
      </c>
      <c r="BN76" s="242">
        <f t="shared" si="110"/>
        <v>0</v>
      </c>
      <c r="BO76" s="242">
        <f t="shared" si="110"/>
        <v>0</v>
      </c>
      <c r="BP76" s="242">
        <f t="shared" si="110"/>
        <v>0</v>
      </c>
      <c r="BQ76" s="242">
        <f t="shared" ref="BQ76:EB76" si="111">BQ87</f>
        <v>0</v>
      </c>
      <c r="BR76" s="242">
        <f t="shared" si="111"/>
        <v>0</v>
      </c>
      <c r="BS76" s="242">
        <f t="shared" si="111"/>
        <v>0</v>
      </c>
      <c r="BT76" s="242">
        <f t="shared" si="111"/>
        <v>0</v>
      </c>
      <c r="BU76" s="242">
        <f t="shared" si="111"/>
        <v>0</v>
      </c>
      <c r="BV76" s="242">
        <f t="shared" si="111"/>
        <v>0</v>
      </c>
      <c r="BW76" s="242">
        <f t="shared" si="111"/>
        <v>0</v>
      </c>
      <c r="BX76" s="242">
        <f t="shared" si="111"/>
        <v>0</v>
      </c>
      <c r="BY76" s="242">
        <f t="shared" si="111"/>
        <v>0</v>
      </c>
      <c r="BZ76" s="242">
        <f t="shared" si="111"/>
        <v>0</v>
      </c>
      <c r="CA76" s="242">
        <f t="shared" si="111"/>
        <v>0</v>
      </c>
      <c r="CB76" s="242">
        <f t="shared" si="111"/>
        <v>0</v>
      </c>
      <c r="CC76" s="242">
        <f t="shared" si="111"/>
        <v>0</v>
      </c>
      <c r="CD76" s="242">
        <f t="shared" si="111"/>
        <v>0</v>
      </c>
      <c r="CE76" s="242">
        <f t="shared" si="111"/>
        <v>0</v>
      </c>
      <c r="CF76" s="242">
        <f t="shared" si="111"/>
        <v>0</v>
      </c>
      <c r="CG76" s="242">
        <f t="shared" si="111"/>
        <v>0</v>
      </c>
      <c r="CH76" s="242">
        <f t="shared" si="111"/>
        <v>0</v>
      </c>
      <c r="CI76" s="242">
        <f t="shared" si="111"/>
        <v>0</v>
      </c>
      <c r="CJ76" s="242">
        <f t="shared" si="111"/>
        <v>0</v>
      </c>
      <c r="CK76" s="242">
        <f t="shared" si="111"/>
        <v>0</v>
      </c>
      <c r="CL76" s="242">
        <f t="shared" si="111"/>
        <v>0</v>
      </c>
      <c r="CM76" s="242">
        <f t="shared" si="111"/>
        <v>0</v>
      </c>
      <c r="CN76" s="242">
        <f t="shared" si="111"/>
        <v>0</v>
      </c>
      <c r="CO76" s="242">
        <f t="shared" si="111"/>
        <v>0</v>
      </c>
      <c r="CP76" s="242">
        <f t="shared" si="111"/>
        <v>0</v>
      </c>
      <c r="CQ76" s="242">
        <f t="shared" si="111"/>
        <v>0</v>
      </c>
      <c r="CR76" s="242">
        <f t="shared" si="111"/>
        <v>0</v>
      </c>
      <c r="CS76" s="242">
        <f t="shared" si="111"/>
        <v>0</v>
      </c>
      <c r="CT76" s="242">
        <f t="shared" si="111"/>
        <v>0</v>
      </c>
      <c r="CU76" s="242">
        <f t="shared" si="111"/>
        <v>0</v>
      </c>
      <c r="CV76" s="242">
        <f t="shared" si="111"/>
        <v>0</v>
      </c>
      <c r="CW76" s="242">
        <f t="shared" si="111"/>
        <v>0</v>
      </c>
      <c r="CX76" s="242">
        <f t="shared" si="111"/>
        <v>0</v>
      </c>
      <c r="CY76" s="242">
        <f t="shared" si="111"/>
        <v>0</v>
      </c>
      <c r="CZ76" s="242">
        <f t="shared" si="111"/>
        <v>0</v>
      </c>
      <c r="DA76" s="242">
        <f t="shared" si="111"/>
        <v>0</v>
      </c>
      <c r="DB76" s="242">
        <f t="shared" si="111"/>
        <v>0</v>
      </c>
      <c r="DC76" s="242">
        <f t="shared" si="111"/>
        <v>0</v>
      </c>
      <c r="DD76" s="242">
        <f t="shared" si="111"/>
        <v>0</v>
      </c>
      <c r="DE76" s="242">
        <f t="shared" si="111"/>
        <v>0</v>
      </c>
      <c r="DF76" s="242">
        <f t="shared" si="111"/>
        <v>0</v>
      </c>
      <c r="DG76" s="242">
        <f t="shared" si="111"/>
        <v>0</v>
      </c>
      <c r="DH76" s="242">
        <f t="shared" si="111"/>
        <v>0</v>
      </c>
      <c r="DI76" s="242">
        <f t="shared" si="111"/>
        <v>0</v>
      </c>
      <c r="DJ76" s="242">
        <f t="shared" si="111"/>
        <v>0</v>
      </c>
      <c r="DK76" s="242">
        <f t="shared" si="111"/>
        <v>0</v>
      </c>
      <c r="DL76" s="242">
        <f t="shared" si="111"/>
        <v>0</v>
      </c>
      <c r="DM76" s="242">
        <f t="shared" si="111"/>
        <v>0</v>
      </c>
      <c r="DN76" s="242">
        <f t="shared" si="111"/>
        <v>0</v>
      </c>
      <c r="DO76" s="242">
        <f t="shared" si="111"/>
        <v>0</v>
      </c>
      <c r="DP76" s="242">
        <f t="shared" si="111"/>
        <v>0</v>
      </c>
      <c r="DQ76" s="242">
        <f t="shared" si="111"/>
        <v>0</v>
      </c>
      <c r="DR76" s="242">
        <f t="shared" si="111"/>
        <v>0</v>
      </c>
      <c r="DS76" s="242">
        <f t="shared" si="111"/>
        <v>0</v>
      </c>
      <c r="DT76" s="242">
        <f t="shared" si="111"/>
        <v>0</v>
      </c>
      <c r="DU76" s="242">
        <f t="shared" si="111"/>
        <v>0</v>
      </c>
      <c r="DV76" s="242">
        <f t="shared" si="111"/>
        <v>0</v>
      </c>
      <c r="DW76" s="242">
        <f t="shared" si="111"/>
        <v>0</v>
      </c>
      <c r="DX76" s="242">
        <f t="shared" si="111"/>
        <v>0</v>
      </c>
      <c r="DY76" s="242">
        <f t="shared" si="111"/>
        <v>0</v>
      </c>
      <c r="DZ76" s="242">
        <f t="shared" si="111"/>
        <v>0</v>
      </c>
      <c r="EA76" s="242">
        <f t="shared" si="111"/>
        <v>0</v>
      </c>
      <c r="EB76" s="242">
        <f t="shared" si="111"/>
        <v>0</v>
      </c>
      <c r="EC76" s="242">
        <f t="shared" ref="EC76:EG76" si="112">EC87</f>
        <v>0</v>
      </c>
      <c r="ED76" s="242">
        <f t="shared" si="112"/>
        <v>0</v>
      </c>
      <c r="EE76" s="242">
        <f t="shared" si="112"/>
        <v>0</v>
      </c>
      <c r="EF76" s="242">
        <f t="shared" si="112"/>
        <v>0</v>
      </c>
      <c r="EG76" s="242">
        <f t="shared" si="112"/>
        <v>0</v>
      </c>
    </row>
    <row r="77" spans="1:137" x14ac:dyDescent="0.3">
      <c r="A77" s="245" t="s">
        <v>843</v>
      </c>
      <c r="B77" s="245"/>
      <c r="C77" s="245"/>
      <c r="D77" s="726"/>
      <c r="E77" s="227">
        <f t="shared" ref="E77:BP77" ca="1" si="113">SUM(E75:E76)</f>
        <v>187200.69504114857</v>
      </c>
      <c r="F77" s="227">
        <f t="shared" ca="1" si="113"/>
        <v>1708729.7325355168</v>
      </c>
      <c r="G77" s="227">
        <f t="shared" ca="1" si="113"/>
        <v>1770720.1013033025</v>
      </c>
      <c r="H77" s="227">
        <f t="shared" ca="1" si="113"/>
        <v>1857977.9068978827</v>
      </c>
      <c r="I77" s="227">
        <f t="shared" ca="1" si="113"/>
        <v>1996596.1987223679</v>
      </c>
      <c r="J77" s="227">
        <f t="shared" ca="1" si="113"/>
        <v>2214179.0090027256</v>
      </c>
      <c r="K77" s="227">
        <f t="shared" ca="1" si="113"/>
        <v>2439458.2290258231</v>
      </c>
      <c r="L77" s="227">
        <f t="shared" ca="1" si="113"/>
        <v>2723342.6570627717</v>
      </c>
      <c r="M77" s="227">
        <f t="shared" ca="1" si="113"/>
        <v>3058668.3167295558</v>
      </c>
      <c r="N77" s="227">
        <f t="shared" ca="1" si="113"/>
        <v>3450121.6817595642</v>
      </c>
      <c r="O77" s="227">
        <f t="shared" ca="1" si="113"/>
        <v>3686574.7164653679</v>
      </c>
      <c r="P77" s="227">
        <f t="shared" ca="1" si="113"/>
        <v>3717296.1724359128</v>
      </c>
      <c r="Q77" s="227">
        <f t="shared" ca="1" si="113"/>
        <v>3748273.6405395456</v>
      </c>
      <c r="R77" s="227">
        <f t="shared" ca="1" si="113"/>
        <v>3779509.2542107087</v>
      </c>
      <c r="S77" s="227">
        <f t="shared" ca="1" si="113"/>
        <v>3811005.1646624645</v>
      </c>
      <c r="T77" s="227">
        <f t="shared" ca="1" si="113"/>
        <v>3842763.5410346519</v>
      </c>
      <c r="U77" s="227">
        <f t="shared" ca="1" si="113"/>
        <v>3874786.5705432738</v>
      </c>
      <c r="V77" s="227">
        <f t="shared" ca="1" si="113"/>
        <v>3907076.4586311346</v>
      </c>
      <c r="W77" s="227">
        <f t="shared" ca="1" si="113"/>
        <v>3939635.4291197276</v>
      </c>
      <c r="X77" s="227">
        <f t="shared" ca="1" si="113"/>
        <v>3972465.724362392</v>
      </c>
      <c r="Y77" s="227">
        <f t="shared" ca="1" si="113"/>
        <v>4005569.6053987453</v>
      </c>
      <c r="Z77" s="227">
        <f t="shared" ca="1" si="113"/>
        <v>4038949.3521104013</v>
      </c>
      <c r="AA77" s="227">
        <f t="shared" ca="1" si="113"/>
        <v>4072607.2633779878</v>
      </c>
      <c r="AB77" s="227">
        <f t="shared" ca="1" si="113"/>
        <v>4106545.6572394711</v>
      </c>
      <c r="AC77" s="227">
        <f t="shared" ca="1" si="113"/>
        <v>4136355.568100791</v>
      </c>
      <c r="AD77" s="227">
        <f t="shared" ca="1" si="113"/>
        <v>4162392.155596328</v>
      </c>
      <c r="AE77" s="227">
        <f t="shared" ca="1" si="113"/>
        <v>4184066.3305821074</v>
      </c>
      <c r="AF77" s="227">
        <f t="shared" ca="1" si="113"/>
        <v>4196977.3262747163</v>
      </c>
      <c r="AG77" s="227">
        <f t="shared" ca="1" si="113"/>
        <v>4209631.2794329124</v>
      </c>
      <c r="AH77" s="227">
        <f t="shared" ca="1" si="113"/>
        <v>4222260.3671871703</v>
      </c>
      <c r="AI77" s="227">
        <f t="shared" ca="1" si="113"/>
        <v>4238290.1284950785</v>
      </c>
      <c r="AJ77" s="227">
        <f t="shared" ca="1" si="113"/>
        <v>4254194.5763951261</v>
      </c>
      <c r="AK77" s="227">
        <f t="shared" ca="1" si="113"/>
        <v>4269951.9989136327</v>
      </c>
      <c r="AL77" s="227">
        <f t="shared" ca="1" si="113"/>
        <v>4285562.2320049964</v>
      </c>
      <c r="AM77" s="227">
        <f t="shared" ca="1" si="113"/>
        <v>4301025.129158698</v>
      </c>
      <c r="AN77" s="227">
        <f t="shared" ca="1" si="113"/>
        <v>4316340.5617156066</v>
      </c>
      <c r="AO77" s="227">
        <f t="shared" ca="1" si="113"/>
        <v>4331508.4191882005</v>
      </c>
      <c r="AP77" s="227">
        <f t="shared" ca="1" si="113"/>
        <v>4346612.3259536671</v>
      </c>
      <c r="AQ77" s="227">
        <f t="shared" ca="1" si="113"/>
        <v>4361485.3388638236</v>
      </c>
      <c r="AR77" s="227">
        <f t="shared" ca="1" si="113"/>
        <v>4376170.6963488273</v>
      </c>
      <c r="AS77" s="227">
        <f t="shared" ca="1" si="113"/>
        <v>4391433.6663045287</v>
      </c>
      <c r="AT77" s="227">
        <f t="shared" ca="1" si="113"/>
        <v>4406638.3530996516</v>
      </c>
      <c r="AU77" s="227">
        <f t="shared" ca="1" si="113"/>
        <v>4421787.6999168834</v>
      </c>
      <c r="AV77" s="227">
        <f t="shared" ca="1" si="113"/>
        <v>4436807.0255294424</v>
      </c>
      <c r="AW77" s="227">
        <f t="shared" ca="1" si="113"/>
        <v>4451703.1247354653</v>
      </c>
      <c r="AX77" s="227">
        <f t="shared" ca="1" si="113"/>
        <v>4466482.9184638523</v>
      </c>
      <c r="AY77" s="227">
        <f t="shared" ca="1" si="113"/>
        <v>4481153.4552725572</v>
      </c>
      <c r="AZ77" s="227">
        <f t="shared" ca="1" si="113"/>
        <v>4495721.9128619349</v>
      </c>
      <c r="BA77" s="227">
        <f t="shared" ca="1" si="113"/>
        <v>4510195.5996032832</v>
      </c>
      <c r="BB77" s="227">
        <f t="shared" ca="1" si="113"/>
        <v>4524643.4027604256</v>
      </c>
      <c r="BC77" s="227">
        <f t="shared" ca="1" si="113"/>
        <v>4538949.5864686593</v>
      </c>
      <c r="BD77" s="227">
        <f t="shared" ca="1" si="113"/>
        <v>4553151.0102992142</v>
      </c>
      <c r="BE77" s="227">
        <f t="shared" ca="1" si="113"/>
        <v>4567852.5393815292</v>
      </c>
      <c r="BF77" s="227">
        <f t="shared" ca="1" si="113"/>
        <v>4582538.7412418807</v>
      </c>
      <c r="BG77" s="227">
        <f t="shared" ca="1" si="113"/>
        <v>4597207.0984540246</v>
      </c>
      <c r="BH77" s="227">
        <f t="shared" ca="1" si="113"/>
        <v>4611795.7243520301</v>
      </c>
      <c r="BI77" s="227">
        <f t="shared" ca="1" si="113"/>
        <v>4626298.6021087524</v>
      </c>
      <c r="BJ77" s="227">
        <f t="shared" ca="1" si="113"/>
        <v>4640709.6278305035</v>
      </c>
      <c r="BK77" s="227">
        <f t="shared" ca="1" si="113"/>
        <v>4655022.6096303286</v>
      </c>
      <c r="BL77" s="227">
        <f t="shared" ca="1" si="113"/>
        <v>4669231.2666925704</v>
      </c>
      <c r="BM77" s="227">
        <f t="shared" ca="1" si="113"/>
        <v>4683329.2283286452</v>
      </c>
      <c r="BN77" s="227">
        <f t="shared" ca="1" si="113"/>
        <v>4697380.1422042418</v>
      </c>
      <c r="BO77" s="227">
        <f t="shared" ca="1" si="113"/>
        <v>4711238.4339030273</v>
      </c>
      <c r="BP77" s="227">
        <f t="shared" ca="1" si="113"/>
        <v>4724936.0123146623</v>
      </c>
      <c r="BQ77" s="227">
        <f t="shared" ref="BQ77:EB77" ca="1" si="114">SUM(BQ75:BQ76)</f>
        <v>4739119.3688212326</v>
      </c>
      <c r="BR77" s="227">
        <f t="shared" ca="1" si="114"/>
        <v>4753248.3504577493</v>
      </c>
      <c r="BS77" s="227">
        <f t="shared" ca="1" si="114"/>
        <v>4767322.0342803728</v>
      </c>
      <c r="BT77" s="227">
        <f t="shared" ca="1" si="114"/>
        <v>4781265.0703613227</v>
      </c>
      <c r="BU77" s="227">
        <f t="shared" ca="1" si="114"/>
        <v>4795075.3831695681</v>
      </c>
      <c r="BV77" s="227">
        <f t="shared" ca="1" si="114"/>
        <v>4808750.875887543</v>
      </c>
      <c r="BW77" s="227">
        <f t="shared" ca="1" si="114"/>
        <v>4822289.4302174598</v>
      </c>
      <c r="BX77" s="227">
        <f t="shared" ca="1" si="114"/>
        <v>4835688.9061859427</v>
      </c>
      <c r="BY77" s="227">
        <f t="shared" ca="1" si="114"/>
        <v>4848947.1419469677</v>
      </c>
      <c r="BZ77" s="227">
        <f t="shared" ca="1" si="114"/>
        <v>4862138.2427954171</v>
      </c>
      <c r="CA77" s="227">
        <f t="shared" ca="1" si="114"/>
        <v>4875108.1653305395</v>
      </c>
      <c r="CB77" s="227">
        <f t="shared" ca="1" si="114"/>
        <v>4887894.8582012318</v>
      </c>
      <c r="CC77" s="227">
        <f t="shared" ca="1" si="114"/>
        <v>4901170.622614651</v>
      </c>
      <c r="CD77" s="227">
        <f t="shared" ca="1" si="114"/>
        <v>4914377.4557037326</v>
      </c>
      <c r="CE77" s="227">
        <f t="shared" ca="1" si="114"/>
        <v>4927514.2941047326</v>
      </c>
      <c r="CF77" s="227">
        <f t="shared" ca="1" si="114"/>
        <v>4940502.5006278623</v>
      </c>
      <c r="CG77" s="227">
        <f t="shared" ca="1" si="114"/>
        <v>4953339.8089093054</v>
      </c>
      <c r="CH77" s="227">
        <f t="shared" ca="1" si="114"/>
        <v>4966023.9295416027</v>
      </c>
      <c r="CI77" s="227">
        <f t="shared" ca="1" si="114"/>
        <v>4978552.5498646423</v>
      </c>
      <c r="CJ77" s="227">
        <f t="shared" ca="1" si="114"/>
        <v>4990923.3337548319</v>
      </c>
      <c r="CK77" s="227">
        <f t="shared" ca="1" si="114"/>
        <v>5003133.9214124521</v>
      </c>
      <c r="CL77" s="227">
        <f t="shared" ca="1" si="114"/>
        <v>5015261.4430740112</v>
      </c>
      <c r="CM77" s="227">
        <f t="shared" ca="1" si="114"/>
        <v>5027145.2356325462</v>
      </c>
      <c r="CN77" s="227">
        <f t="shared" ca="1" si="114"/>
        <v>5038824.7425568942</v>
      </c>
      <c r="CO77" s="227">
        <f t="shared" ca="1" si="114"/>
        <v>5050995.3613473698</v>
      </c>
      <c r="CP77" s="227">
        <f t="shared" ca="1" si="114"/>
        <v>5063080.559518313</v>
      </c>
      <c r="CQ77" s="227">
        <f t="shared" ca="1" si="114"/>
        <v>5075079.1163933259</v>
      </c>
      <c r="CR77" s="227">
        <f t="shared" ca="1" si="114"/>
        <v>5086908.9575208519</v>
      </c>
      <c r="CS77" s="227">
        <f t="shared" ca="1" si="114"/>
        <v>5098567.6064973343</v>
      </c>
      <c r="CT77" s="227">
        <f t="shared" ca="1" si="114"/>
        <v>5110052.5619514156</v>
      </c>
      <c r="CU77" s="227">
        <f t="shared" ca="1" si="114"/>
        <v>5121361.2973181754</v>
      </c>
      <c r="CV77" s="227">
        <f t="shared" ca="1" si="114"/>
        <v>5132491.2606114168</v>
      </c>
      <c r="CW77" s="227">
        <f t="shared" ca="1" si="114"/>
        <v>5143439.8741939766</v>
      </c>
      <c r="CX77" s="227">
        <f t="shared" ca="1" si="114"/>
        <v>5154287.4094948294</v>
      </c>
      <c r="CY77" s="227">
        <f t="shared" ca="1" si="114"/>
        <v>5164866.2921795174</v>
      </c>
      <c r="CZ77" s="227">
        <f t="shared" ca="1" si="114"/>
        <v>5175217.5119157927</v>
      </c>
      <c r="DA77" s="227">
        <f t="shared" ca="1" si="114"/>
        <v>5186060.4448388908</v>
      </c>
      <c r="DB77" s="227">
        <f t="shared" ca="1" si="114"/>
        <v>5196799.3149420209</v>
      </c>
      <c r="DC77" s="227">
        <f t="shared" ca="1" si="114"/>
        <v>5207432.7254769709</v>
      </c>
      <c r="DD77" s="227">
        <f t="shared" ca="1" si="114"/>
        <v>5217875.0072282543</v>
      </c>
      <c r="DE77" s="227">
        <f t="shared" ca="1" si="114"/>
        <v>5228123.4525621086</v>
      </c>
      <c r="DF77" s="227">
        <f t="shared" ca="1" si="114"/>
        <v>5238175.3267689282</v>
      </c>
      <c r="DG77" s="227">
        <f t="shared" ca="1" si="114"/>
        <v>5248027.8678191984</v>
      </c>
      <c r="DH77" s="227">
        <f t="shared" ca="1" si="114"/>
        <v>5257678.2861173255</v>
      </c>
      <c r="DI77" s="227">
        <f t="shared" ca="1" si="114"/>
        <v>5267123.7642532941</v>
      </c>
      <c r="DJ77" s="227">
        <f t="shared" ca="1" si="114"/>
        <v>5276447.8347919555</v>
      </c>
      <c r="DK77" s="227">
        <f t="shared" ca="1" si="114"/>
        <v>5285475.7070961883</v>
      </c>
      <c r="DL77" s="227">
        <f t="shared" ca="1" si="114"/>
        <v>5294249.9693416478</v>
      </c>
      <c r="DM77" s="227">
        <f t="shared" ca="1" si="114"/>
        <v>5303514.8998631667</v>
      </c>
      <c r="DN77" s="227">
        <f t="shared" ca="1" si="114"/>
        <v>5312654.728655857</v>
      </c>
      <c r="DO77" s="227">
        <f t="shared" ca="1" si="114"/>
        <v>5321667.8620749144</v>
      </c>
      <c r="DP77" s="227">
        <f t="shared" ca="1" si="114"/>
        <v>5330464.8706979724</v>
      </c>
      <c r="DQ77" s="227">
        <f t="shared" ca="1" si="114"/>
        <v>5339042.7922808118</v>
      </c>
      <c r="DR77" s="227">
        <f t="shared" ca="1" si="114"/>
        <v>5347398.6351930033</v>
      </c>
      <c r="DS77" s="227">
        <f t="shared" ca="1" si="114"/>
        <v>5355529.3781536892</v>
      </c>
      <c r="DT77" s="227">
        <f t="shared" ca="1" si="114"/>
        <v>5363431.9699663864</v>
      </c>
      <c r="DU77" s="227">
        <f t="shared" ca="1" si="114"/>
        <v>5371103.3292456903</v>
      </c>
      <c r="DV77" s="227">
        <f t="shared" ca="1" si="114"/>
        <v>5378630.3733593216</v>
      </c>
      <c r="DW77" s="227">
        <f t="shared" ca="1" si="114"/>
        <v>5385830.7760351934</v>
      </c>
      <c r="DX77" s="227">
        <f t="shared" ca="1" si="114"/>
        <v>5392748.7771055652</v>
      </c>
      <c r="DY77" s="227">
        <f t="shared" ca="1" si="114"/>
        <v>5400154.5244303262</v>
      </c>
      <c r="DZ77" s="227">
        <f t="shared" ca="1" si="114"/>
        <v>5407411.4643587302</v>
      </c>
      <c r="EA77" s="227">
        <f t="shared" ca="1" si="114"/>
        <v>5414517.7832391625</v>
      </c>
      <c r="EB77" s="227">
        <f t="shared" ca="1" si="114"/>
        <v>5421380.1175867338</v>
      </c>
      <c r="EC77" s="227">
        <f ca="1">SUM(EC75:EC76)</f>
        <v>5427995.2247498799</v>
      </c>
      <c r="ED77" s="227">
        <f ca="1">SUM(ED75:ED76)</f>
        <v>5434359.8301576907</v>
      </c>
      <c r="EE77" s="227">
        <f ca="1">SUM(EE75:EE76)</f>
        <v>5440470.6269366704</v>
      </c>
      <c r="EF77" s="227">
        <f ca="1">SUM(EF75:EF76)</f>
        <v>5446324.276613377</v>
      </c>
      <c r="EG77" s="227">
        <f ca="1">SUM(EG75:EG76)</f>
        <v>5451917.4053242337</v>
      </c>
    </row>
    <row r="78" spans="1:137" x14ac:dyDescent="0.3">
      <c r="A78" t="s">
        <v>2477</v>
      </c>
      <c r="E78" s="227">
        <f t="shared" ref="E78:BP78" si="115">E140</f>
        <v>0</v>
      </c>
      <c r="F78" s="227">
        <f t="shared" si="115"/>
        <v>0</v>
      </c>
      <c r="G78" s="227">
        <f t="shared" si="115"/>
        <v>0</v>
      </c>
      <c r="H78" s="227">
        <f t="shared" si="115"/>
        <v>0</v>
      </c>
      <c r="I78" s="227">
        <f t="shared" si="115"/>
        <v>0</v>
      </c>
      <c r="J78" s="227">
        <f t="shared" si="115"/>
        <v>0</v>
      </c>
      <c r="K78" s="227">
        <f t="shared" si="115"/>
        <v>0</v>
      </c>
      <c r="L78" s="227">
        <f t="shared" si="115"/>
        <v>0</v>
      </c>
      <c r="M78" s="227">
        <f t="shared" si="115"/>
        <v>0</v>
      </c>
      <c r="N78" s="227">
        <f t="shared" si="115"/>
        <v>0</v>
      </c>
      <c r="O78" s="227">
        <f t="shared" si="115"/>
        <v>0</v>
      </c>
      <c r="P78" s="227">
        <f t="shared" si="115"/>
        <v>0</v>
      </c>
      <c r="Q78" s="227">
        <f t="shared" si="115"/>
        <v>0</v>
      </c>
      <c r="R78" s="227">
        <f t="shared" si="115"/>
        <v>0</v>
      </c>
      <c r="S78" s="227">
        <f t="shared" si="115"/>
        <v>0</v>
      </c>
      <c r="T78" s="227">
        <f t="shared" si="115"/>
        <v>0</v>
      </c>
      <c r="U78" s="227">
        <f t="shared" si="115"/>
        <v>0</v>
      </c>
      <c r="V78" s="227">
        <f t="shared" si="115"/>
        <v>0</v>
      </c>
      <c r="W78" s="227">
        <f t="shared" si="115"/>
        <v>0</v>
      </c>
      <c r="X78" s="227">
        <f t="shared" si="115"/>
        <v>0</v>
      </c>
      <c r="Y78" s="227">
        <f t="shared" si="115"/>
        <v>0</v>
      </c>
      <c r="Z78" s="227">
        <f t="shared" si="115"/>
        <v>0</v>
      </c>
      <c r="AA78" s="227">
        <f t="shared" si="115"/>
        <v>0</v>
      </c>
      <c r="AB78" s="227">
        <f t="shared" si="115"/>
        <v>0</v>
      </c>
      <c r="AC78" s="227">
        <f t="shared" si="115"/>
        <v>0</v>
      </c>
      <c r="AD78" s="227">
        <f t="shared" si="115"/>
        <v>0</v>
      </c>
      <c r="AE78" s="227">
        <f t="shared" si="115"/>
        <v>0</v>
      </c>
      <c r="AF78" s="227">
        <f t="shared" si="115"/>
        <v>0</v>
      </c>
      <c r="AG78" s="227">
        <f t="shared" si="115"/>
        <v>0</v>
      </c>
      <c r="AH78" s="227">
        <f t="shared" ca="1" si="115"/>
        <v>0</v>
      </c>
      <c r="AI78" s="227">
        <f t="shared" si="115"/>
        <v>0</v>
      </c>
      <c r="AJ78" s="227">
        <f t="shared" si="115"/>
        <v>0</v>
      </c>
      <c r="AK78" s="227">
        <f t="shared" si="115"/>
        <v>0</v>
      </c>
      <c r="AL78" s="227">
        <f t="shared" si="115"/>
        <v>0</v>
      </c>
      <c r="AM78" s="227">
        <f t="shared" si="115"/>
        <v>0</v>
      </c>
      <c r="AN78" s="227">
        <f t="shared" si="115"/>
        <v>0</v>
      </c>
      <c r="AO78" s="227">
        <f t="shared" si="115"/>
        <v>0</v>
      </c>
      <c r="AP78" s="227">
        <f t="shared" si="115"/>
        <v>0</v>
      </c>
      <c r="AQ78" s="227">
        <f t="shared" si="115"/>
        <v>0</v>
      </c>
      <c r="AR78" s="227">
        <f t="shared" si="115"/>
        <v>0</v>
      </c>
      <c r="AS78" s="227">
        <f t="shared" si="115"/>
        <v>0</v>
      </c>
      <c r="AT78" s="227">
        <f t="shared" si="115"/>
        <v>0</v>
      </c>
      <c r="AU78" s="227">
        <f t="shared" si="115"/>
        <v>0</v>
      </c>
      <c r="AV78" s="227">
        <f t="shared" si="115"/>
        <v>0</v>
      </c>
      <c r="AW78" s="227">
        <f t="shared" si="115"/>
        <v>0</v>
      </c>
      <c r="AX78" s="227">
        <f t="shared" si="115"/>
        <v>0</v>
      </c>
      <c r="AY78" s="227">
        <f t="shared" si="115"/>
        <v>0</v>
      </c>
      <c r="AZ78" s="227">
        <f t="shared" si="115"/>
        <v>0</v>
      </c>
      <c r="BA78" s="227">
        <f t="shared" si="115"/>
        <v>0</v>
      </c>
      <c r="BB78" s="227">
        <f t="shared" si="115"/>
        <v>0</v>
      </c>
      <c r="BC78" s="227">
        <f t="shared" si="115"/>
        <v>0</v>
      </c>
      <c r="BD78" s="227">
        <f t="shared" si="115"/>
        <v>0</v>
      </c>
      <c r="BE78" s="227">
        <f t="shared" si="115"/>
        <v>0</v>
      </c>
      <c r="BF78" s="227">
        <f t="shared" si="115"/>
        <v>0</v>
      </c>
      <c r="BG78" s="227">
        <f t="shared" si="115"/>
        <v>0</v>
      </c>
      <c r="BH78" s="227">
        <f t="shared" si="115"/>
        <v>0</v>
      </c>
      <c r="BI78" s="227">
        <f t="shared" si="115"/>
        <v>0</v>
      </c>
      <c r="BJ78" s="227">
        <f t="shared" si="115"/>
        <v>0</v>
      </c>
      <c r="BK78" s="227">
        <f t="shared" si="115"/>
        <v>0</v>
      </c>
      <c r="BL78" s="227">
        <f t="shared" si="115"/>
        <v>0</v>
      </c>
      <c r="BM78" s="227">
        <f t="shared" si="115"/>
        <v>0</v>
      </c>
      <c r="BN78" s="227">
        <f t="shared" si="115"/>
        <v>0</v>
      </c>
      <c r="BO78" s="227">
        <f t="shared" si="115"/>
        <v>0</v>
      </c>
      <c r="BP78" s="227">
        <f t="shared" si="115"/>
        <v>0</v>
      </c>
      <c r="BQ78" s="227">
        <f t="shared" ref="BQ78:EB78" si="116">BQ140</f>
        <v>0</v>
      </c>
      <c r="BR78" s="227">
        <f t="shared" si="116"/>
        <v>0</v>
      </c>
      <c r="BS78" s="227">
        <f t="shared" si="116"/>
        <v>0</v>
      </c>
      <c r="BT78" s="227">
        <f t="shared" si="116"/>
        <v>0</v>
      </c>
      <c r="BU78" s="227">
        <f t="shared" si="116"/>
        <v>0</v>
      </c>
      <c r="BV78" s="227">
        <f t="shared" si="116"/>
        <v>0</v>
      </c>
      <c r="BW78" s="227">
        <f t="shared" si="116"/>
        <v>0</v>
      </c>
      <c r="BX78" s="227">
        <f t="shared" si="116"/>
        <v>0</v>
      </c>
      <c r="BY78" s="227">
        <f t="shared" si="116"/>
        <v>0</v>
      </c>
      <c r="BZ78" s="227">
        <f t="shared" si="116"/>
        <v>0</v>
      </c>
      <c r="CA78" s="227">
        <f t="shared" si="116"/>
        <v>0</v>
      </c>
      <c r="CB78" s="227">
        <f t="shared" si="116"/>
        <v>0</v>
      </c>
      <c r="CC78" s="227">
        <f t="shared" si="116"/>
        <v>0</v>
      </c>
      <c r="CD78" s="227">
        <f t="shared" si="116"/>
        <v>0</v>
      </c>
      <c r="CE78" s="227">
        <f t="shared" si="116"/>
        <v>0</v>
      </c>
      <c r="CF78" s="227">
        <f t="shared" si="116"/>
        <v>0</v>
      </c>
      <c r="CG78" s="227">
        <f t="shared" si="116"/>
        <v>0</v>
      </c>
      <c r="CH78" s="227">
        <f t="shared" si="116"/>
        <v>0</v>
      </c>
      <c r="CI78" s="227">
        <f t="shared" si="116"/>
        <v>0</v>
      </c>
      <c r="CJ78" s="227">
        <f t="shared" si="116"/>
        <v>0</v>
      </c>
      <c r="CK78" s="227">
        <f t="shared" si="116"/>
        <v>0</v>
      </c>
      <c r="CL78" s="227">
        <f t="shared" si="116"/>
        <v>0</v>
      </c>
      <c r="CM78" s="227">
        <f t="shared" si="116"/>
        <v>0</v>
      </c>
      <c r="CN78" s="227">
        <f t="shared" si="116"/>
        <v>0</v>
      </c>
      <c r="CO78" s="227">
        <f t="shared" si="116"/>
        <v>0</v>
      </c>
      <c r="CP78" s="227">
        <f t="shared" si="116"/>
        <v>0</v>
      </c>
      <c r="CQ78" s="227">
        <f t="shared" si="116"/>
        <v>0</v>
      </c>
      <c r="CR78" s="227">
        <f t="shared" si="116"/>
        <v>0</v>
      </c>
      <c r="CS78" s="227">
        <f t="shared" si="116"/>
        <v>0</v>
      </c>
      <c r="CT78" s="227">
        <f t="shared" si="116"/>
        <v>0</v>
      </c>
      <c r="CU78" s="227">
        <f t="shared" si="116"/>
        <v>0</v>
      </c>
      <c r="CV78" s="227">
        <f t="shared" si="116"/>
        <v>0</v>
      </c>
      <c r="CW78" s="227">
        <f t="shared" si="116"/>
        <v>0</v>
      </c>
      <c r="CX78" s="227">
        <f t="shared" si="116"/>
        <v>0</v>
      </c>
      <c r="CY78" s="227">
        <f t="shared" si="116"/>
        <v>0</v>
      </c>
      <c r="CZ78" s="227">
        <f t="shared" si="116"/>
        <v>0</v>
      </c>
      <c r="DA78" s="227">
        <f t="shared" si="116"/>
        <v>0</v>
      </c>
      <c r="DB78" s="227">
        <f t="shared" si="116"/>
        <v>0</v>
      </c>
      <c r="DC78" s="227">
        <f t="shared" si="116"/>
        <v>0</v>
      </c>
      <c r="DD78" s="227">
        <f t="shared" si="116"/>
        <v>0</v>
      </c>
      <c r="DE78" s="227">
        <f t="shared" si="116"/>
        <v>0</v>
      </c>
      <c r="DF78" s="227">
        <f t="shared" si="116"/>
        <v>0</v>
      </c>
      <c r="DG78" s="227">
        <f t="shared" si="116"/>
        <v>0</v>
      </c>
      <c r="DH78" s="227">
        <f t="shared" si="116"/>
        <v>0</v>
      </c>
      <c r="DI78" s="227">
        <f t="shared" si="116"/>
        <v>0</v>
      </c>
      <c r="DJ78" s="227">
        <f t="shared" si="116"/>
        <v>0</v>
      </c>
      <c r="DK78" s="227">
        <f t="shared" si="116"/>
        <v>0</v>
      </c>
      <c r="DL78" s="227">
        <f t="shared" si="116"/>
        <v>0</v>
      </c>
      <c r="DM78" s="227">
        <f t="shared" si="116"/>
        <v>0</v>
      </c>
      <c r="DN78" s="227">
        <f t="shared" si="116"/>
        <v>0</v>
      </c>
      <c r="DO78" s="227">
        <f t="shared" si="116"/>
        <v>0</v>
      </c>
      <c r="DP78" s="227">
        <f t="shared" si="116"/>
        <v>0</v>
      </c>
      <c r="DQ78" s="227">
        <f t="shared" si="116"/>
        <v>0</v>
      </c>
      <c r="DR78" s="227">
        <f t="shared" si="116"/>
        <v>0</v>
      </c>
      <c r="DS78" s="227">
        <f t="shared" si="116"/>
        <v>0</v>
      </c>
      <c r="DT78" s="227">
        <f t="shared" si="116"/>
        <v>0</v>
      </c>
      <c r="DU78" s="227">
        <f t="shared" si="116"/>
        <v>0</v>
      </c>
      <c r="DV78" s="227">
        <f t="shared" si="116"/>
        <v>0</v>
      </c>
      <c r="DW78" s="227">
        <f t="shared" si="116"/>
        <v>0</v>
      </c>
      <c r="DX78" s="227">
        <f t="shared" si="116"/>
        <v>0</v>
      </c>
      <c r="DY78" s="227">
        <f t="shared" si="116"/>
        <v>0</v>
      </c>
      <c r="DZ78" s="227">
        <f t="shared" si="116"/>
        <v>0</v>
      </c>
      <c r="EA78" s="227">
        <f t="shared" si="116"/>
        <v>0</v>
      </c>
      <c r="EB78" s="227">
        <f t="shared" si="116"/>
        <v>0</v>
      </c>
      <c r="EC78" s="227">
        <f t="shared" ref="EC78:EG78" si="117">EC140</f>
        <v>0</v>
      </c>
      <c r="ED78" s="227">
        <f t="shared" si="117"/>
        <v>0</v>
      </c>
      <c r="EE78" s="227">
        <f t="shared" si="117"/>
        <v>0</v>
      </c>
      <c r="EF78" s="227">
        <f t="shared" si="117"/>
        <v>0</v>
      </c>
      <c r="EG78" s="227">
        <f t="shared" si="117"/>
        <v>0</v>
      </c>
    </row>
    <row r="79" spans="1:137" ht="15" thickBot="1" x14ac:dyDescent="0.35">
      <c r="A79" s="248" t="s">
        <v>2463</v>
      </c>
      <c r="B79" s="248"/>
      <c r="C79" s="248"/>
      <c r="D79" s="697"/>
      <c r="E79" s="250">
        <f t="shared" ref="E79:BP79" ca="1" si="118">SUM(E77:E78)</f>
        <v>187200.69504114857</v>
      </c>
      <c r="F79" s="250">
        <f t="shared" ca="1" si="118"/>
        <v>1708729.7325355168</v>
      </c>
      <c r="G79" s="250">
        <f t="shared" ca="1" si="118"/>
        <v>1770720.1013033025</v>
      </c>
      <c r="H79" s="250">
        <f t="shared" ca="1" si="118"/>
        <v>1857977.9068978827</v>
      </c>
      <c r="I79" s="250">
        <f t="shared" ca="1" si="118"/>
        <v>1996596.1987223679</v>
      </c>
      <c r="J79" s="250">
        <f t="shared" ca="1" si="118"/>
        <v>2214179.0090027256</v>
      </c>
      <c r="K79" s="250">
        <f t="shared" ca="1" si="118"/>
        <v>2439458.2290258231</v>
      </c>
      <c r="L79" s="250">
        <f t="shared" ca="1" si="118"/>
        <v>2723342.6570627717</v>
      </c>
      <c r="M79" s="250">
        <f t="shared" ca="1" si="118"/>
        <v>3058668.3167295558</v>
      </c>
      <c r="N79" s="250">
        <f t="shared" ca="1" si="118"/>
        <v>3450121.6817595642</v>
      </c>
      <c r="O79" s="250">
        <f t="shared" ca="1" si="118"/>
        <v>3686574.7164653679</v>
      </c>
      <c r="P79" s="250">
        <f t="shared" ca="1" si="118"/>
        <v>3717296.1724359128</v>
      </c>
      <c r="Q79" s="250">
        <f t="shared" ca="1" si="118"/>
        <v>3748273.6405395456</v>
      </c>
      <c r="R79" s="250">
        <f t="shared" ca="1" si="118"/>
        <v>3779509.2542107087</v>
      </c>
      <c r="S79" s="250">
        <f t="shared" ca="1" si="118"/>
        <v>3811005.1646624645</v>
      </c>
      <c r="T79" s="250">
        <f t="shared" ca="1" si="118"/>
        <v>3842763.5410346519</v>
      </c>
      <c r="U79" s="250">
        <f t="shared" ca="1" si="118"/>
        <v>3874786.5705432738</v>
      </c>
      <c r="V79" s="250">
        <f t="shared" ca="1" si="118"/>
        <v>3907076.4586311346</v>
      </c>
      <c r="W79" s="250">
        <f t="shared" ca="1" si="118"/>
        <v>3939635.4291197276</v>
      </c>
      <c r="X79" s="250">
        <f t="shared" ca="1" si="118"/>
        <v>3972465.724362392</v>
      </c>
      <c r="Y79" s="250">
        <f t="shared" ca="1" si="118"/>
        <v>4005569.6053987453</v>
      </c>
      <c r="Z79" s="250">
        <f t="shared" ca="1" si="118"/>
        <v>4038949.3521104013</v>
      </c>
      <c r="AA79" s="250">
        <f t="shared" ca="1" si="118"/>
        <v>4072607.2633779878</v>
      </c>
      <c r="AB79" s="250">
        <f t="shared" ca="1" si="118"/>
        <v>4106545.6572394711</v>
      </c>
      <c r="AC79" s="250">
        <f t="shared" ca="1" si="118"/>
        <v>4136355.568100791</v>
      </c>
      <c r="AD79" s="250">
        <f t="shared" ca="1" si="118"/>
        <v>4162392.155596328</v>
      </c>
      <c r="AE79" s="250">
        <f t="shared" ca="1" si="118"/>
        <v>4184066.3305821074</v>
      </c>
      <c r="AF79" s="250">
        <f t="shared" ca="1" si="118"/>
        <v>4196977.3262747163</v>
      </c>
      <c r="AG79" s="250">
        <f t="shared" ca="1" si="118"/>
        <v>4209631.2794329124</v>
      </c>
      <c r="AH79" s="250">
        <f t="shared" ca="1" si="118"/>
        <v>4222260.3671871703</v>
      </c>
      <c r="AI79" s="250">
        <f t="shared" ca="1" si="118"/>
        <v>4238290.1284950785</v>
      </c>
      <c r="AJ79" s="250">
        <f t="shared" ca="1" si="118"/>
        <v>4254194.5763951261</v>
      </c>
      <c r="AK79" s="250">
        <f t="shared" ca="1" si="118"/>
        <v>4269951.9989136327</v>
      </c>
      <c r="AL79" s="250">
        <f t="shared" ca="1" si="118"/>
        <v>4285562.2320049964</v>
      </c>
      <c r="AM79" s="250">
        <f t="shared" ca="1" si="118"/>
        <v>4301025.129158698</v>
      </c>
      <c r="AN79" s="250">
        <f t="shared" ca="1" si="118"/>
        <v>4316340.5617156066</v>
      </c>
      <c r="AO79" s="250">
        <f t="shared" ca="1" si="118"/>
        <v>4331508.4191882005</v>
      </c>
      <c r="AP79" s="250">
        <f t="shared" ca="1" si="118"/>
        <v>4346612.3259536671</v>
      </c>
      <c r="AQ79" s="250">
        <f t="shared" ca="1" si="118"/>
        <v>4361485.3388638236</v>
      </c>
      <c r="AR79" s="250">
        <f t="shared" ca="1" si="118"/>
        <v>4376170.6963488273</v>
      </c>
      <c r="AS79" s="250">
        <f t="shared" ca="1" si="118"/>
        <v>4391433.6663045287</v>
      </c>
      <c r="AT79" s="250">
        <f t="shared" ca="1" si="118"/>
        <v>4406638.3530996516</v>
      </c>
      <c r="AU79" s="250">
        <f t="shared" ca="1" si="118"/>
        <v>4421787.6999168834</v>
      </c>
      <c r="AV79" s="250">
        <f t="shared" ca="1" si="118"/>
        <v>4436807.0255294424</v>
      </c>
      <c r="AW79" s="250">
        <f t="shared" ca="1" si="118"/>
        <v>4451703.1247354653</v>
      </c>
      <c r="AX79" s="250">
        <f t="shared" ca="1" si="118"/>
        <v>4466482.9184638523</v>
      </c>
      <c r="AY79" s="250">
        <f t="shared" ca="1" si="118"/>
        <v>4481153.4552725572</v>
      </c>
      <c r="AZ79" s="250">
        <f t="shared" ca="1" si="118"/>
        <v>4495721.9128619349</v>
      </c>
      <c r="BA79" s="250">
        <f t="shared" ca="1" si="118"/>
        <v>4510195.5996032832</v>
      </c>
      <c r="BB79" s="250">
        <f t="shared" ca="1" si="118"/>
        <v>4524643.4027604256</v>
      </c>
      <c r="BC79" s="250">
        <f t="shared" ca="1" si="118"/>
        <v>4538949.5864686593</v>
      </c>
      <c r="BD79" s="250">
        <f t="shared" ca="1" si="118"/>
        <v>4553151.0102992142</v>
      </c>
      <c r="BE79" s="250">
        <f t="shared" ca="1" si="118"/>
        <v>4567852.5393815292</v>
      </c>
      <c r="BF79" s="250">
        <f t="shared" ca="1" si="118"/>
        <v>4582538.7412418807</v>
      </c>
      <c r="BG79" s="250">
        <f t="shared" ca="1" si="118"/>
        <v>4597207.0984540246</v>
      </c>
      <c r="BH79" s="250">
        <f t="shared" ca="1" si="118"/>
        <v>4611795.7243520301</v>
      </c>
      <c r="BI79" s="250">
        <f t="shared" ca="1" si="118"/>
        <v>4626298.6021087524</v>
      </c>
      <c r="BJ79" s="250">
        <f t="shared" ca="1" si="118"/>
        <v>4640709.6278305035</v>
      </c>
      <c r="BK79" s="250">
        <f t="shared" ca="1" si="118"/>
        <v>4655022.6096303286</v>
      </c>
      <c r="BL79" s="250">
        <f t="shared" ca="1" si="118"/>
        <v>4669231.2666925704</v>
      </c>
      <c r="BM79" s="250">
        <f t="shared" ca="1" si="118"/>
        <v>4683329.2283286452</v>
      </c>
      <c r="BN79" s="250">
        <f t="shared" ca="1" si="118"/>
        <v>4697380.1422042418</v>
      </c>
      <c r="BO79" s="250">
        <f t="shared" ca="1" si="118"/>
        <v>4711238.4339030273</v>
      </c>
      <c r="BP79" s="250">
        <f t="shared" ca="1" si="118"/>
        <v>4724936.0123146623</v>
      </c>
      <c r="BQ79" s="250">
        <f t="shared" ref="BQ79:EB79" ca="1" si="119">SUM(BQ77:BQ78)</f>
        <v>4739119.3688212326</v>
      </c>
      <c r="BR79" s="250">
        <f t="shared" ca="1" si="119"/>
        <v>4753248.3504577493</v>
      </c>
      <c r="BS79" s="250">
        <f t="shared" ca="1" si="119"/>
        <v>4767322.0342803728</v>
      </c>
      <c r="BT79" s="250">
        <f t="shared" ca="1" si="119"/>
        <v>4781265.0703613227</v>
      </c>
      <c r="BU79" s="250">
        <f t="shared" ca="1" si="119"/>
        <v>4795075.3831695681</v>
      </c>
      <c r="BV79" s="250">
        <f t="shared" ca="1" si="119"/>
        <v>4808750.875887543</v>
      </c>
      <c r="BW79" s="250">
        <f t="shared" ca="1" si="119"/>
        <v>4822289.4302174598</v>
      </c>
      <c r="BX79" s="250">
        <f t="shared" ca="1" si="119"/>
        <v>4835688.9061859427</v>
      </c>
      <c r="BY79" s="250">
        <f t="shared" ca="1" si="119"/>
        <v>4848947.1419469677</v>
      </c>
      <c r="BZ79" s="250">
        <f t="shared" ca="1" si="119"/>
        <v>4862138.2427954171</v>
      </c>
      <c r="CA79" s="250">
        <f t="shared" ca="1" si="119"/>
        <v>4875108.1653305395</v>
      </c>
      <c r="CB79" s="250">
        <f t="shared" ca="1" si="119"/>
        <v>4887894.8582012318</v>
      </c>
      <c r="CC79" s="250">
        <f t="shared" ca="1" si="119"/>
        <v>4901170.622614651</v>
      </c>
      <c r="CD79" s="250">
        <f t="shared" ca="1" si="119"/>
        <v>4914377.4557037326</v>
      </c>
      <c r="CE79" s="250">
        <f t="shared" ca="1" si="119"/>
        <v>4927514.2941047326</v>
      </c>
      <c r="CF79" s="250">
        <f t="shared" ca="1" si="119"/>
        <v>4940502.5006278623</v>
      </c>
      <c r="CG79" s="250">
        <f t="shared" ca="1" si="119"/>
        <v>4953339.8089093054</v>
      </c>
      <c r="CH79" s="250">
        <f t="shared" ca="1" si="119"/>
        <v>4966023.9295416027</v>
      </c>
      <c r="CI79" s="250">
        <f t="shared" ca="1" si="119"/>
        <v>4978552.5498646423</v>
      </c>
      <c r="CJ79" s="250">
        <f t="shared" ca="1" si="119"/>
        <v>4990923.3337548319</v>
      </c>
      <c r="CK79" s="250">
        <f t="shared" ca="1" si="119"/>
        <v>5003133.9214124521</v>
      </c>
      <c r="CL79" s="250">
        <f t="shared" ca="1" si="119"/>
        <v>5015261.4430740112</v>
      </c>
      <c r="CM79" s="250">
        <f t="shared" ca="1" si="119"/>
        <v>5027145.2356325462</v>
      </c>
      <c r="CN79" s="250">
        <f t="shared" ca="1" si="119"/>
        <v>5038824.7425568942</v>
      </c>
      <c r="CO79" s="250">
        <f t="shared" ca="1" si="119"/>
        <v>5050995.3613473698</v>
      </c>
      <c r="CP79" s="250">
        <f t="shared" ca="1" si="119"/>
        <v>5063080.559518313</v>
      </c>
      <c r="CQ79" s="250">
        <f t="shared" ca="1" si="119"/>
        <v>5075079.1163933259</v>
      </c>
      <c r="CR79" s="250">
        <f t="shared" ca="1" si="119"/>
        <v>5086908.9575208519</v>
      </c>
      <c r="CS79" s="250">
        <f t="shared" ca="1" si="119"/>
        <v>5098567.6064973343</v>
      </c>
      <c r="CT79" s="250">
        <f t="shared" ca="1" si="119"/>
        <v>5110052.5619514156</v>
      </c>
      <c r="CU79" s="250">
        <f t="shared" ca="1" si="119"/>
        <v>5121361.2973181754</v>
      </c>
      <c r="CV79" s="250">
        <f t="shared" ca="1" si="119"/>
        <v>5132491.2606114168</v>
      </c>
      <c r="CW79" s="250">
        <f t="shared" ca="1" si="119"/>
        <v>5143439.8741939766</v>
      </c>
      <c r="CX79" s="250">
        <f t="shared" ca="1" si="119"/>
        <v>5154287.4094948294</v>
      </c>
      <c r="CY79" s="250">
        <f t="shared" ca="1" si="119"/>
        <v>5164866.2921795174</v>
      </c>
      <c r="CZ79" s="250">
        <f t="shared" ca="1" si="119"/>
        <v>5175217.5119157927</v>
      </c>
      <c r="DA79" s="250">
        <f t="shared" ca="1" si="119"/>
        <v>5186060.4448388908</v>
      </c>
      <c r="DB79" s="250">
        <f t="shared" ca="1" si="119"/>
        <v>5196799.3149420209</v>
      </c>
      <c r="DC79" s="250">
        <f t="shared" ca="1" si="119"/>
        <v>5207432.7254769709</v>
      </c>
      <c r="DD79" s="250">
        <f t="shared" ca="1" si="119"/>
        <v>5217875.0072282543</v>
      </c>
      <c r="DE79" s="250">
        <f t="shared" ca="1" si="119"/>
        <v>5228123.4525621086</v>
      </c>
      <c r="DF79" s="250">
        <f t="shared" ca="1" si="119"/>
        <v>5238175.3267689282</v>
      </c>
      <c r="DG79" s="250">
        <f t="shared" ca="1" si="119"/>
        <v>5248027.8678191984</v>
      </c>
      <c r="DH79" s="250">
        <f t="shared" ca="1" si="119"/>
        <v>5257678.2861173255</v>
      </c>
      <c r="DI79" s="250">
        <f t="shared" ca="1" si="119"/>
        <v>5267123.7642532941</v>
      </c>
      <c r="DJ79" s="250">
        <f t="shared" ca="1" si="119"/>
        <v>5276447.8347919555</v>
      </c>
      <c r="DK79" s="250">
        <f t="shared" ca="1" si="119"/>
        <v>5285475.7070961883</v>
      </c>
      <c r="DL79" s="250">
        <f t="shared" ca="1" si="119"/>
        <v>5294249.9693416478</v>
      </c>
      <c r="DM79" s="250">
        <f t="shared" ca="1" si="119"/>
        <v>5303514.8998631667</v>
      </c>
      <c r="DN79" s="250">
        <f t="shared" ca="1" si="119"/>
        <v>5312654.728655857</v>
      </c>
      <c r="DO79" s="250">
        <f t="shared" ca="1" si="119"/>
        <v>5321667.8620749144</v>
      </c>
      <c r="DP79" s="250">
        <f t="shared" ca="1" si="119"/>
        <v>5330464.8706979724</v>
      </c>
      <c r="DQ79" s="250">
        <f t="shared" ca="1" si="119"/>
        <v>5339042.7922808118</v>
      </c>
      <c r="DR79" s="250">
        <f t="shared" ca="1" si="119"/>
        <v>5347398.6351930033</v>
      </c>
      <c r="DS79" s="250">
        <f t="shared" ca="1" si="119"/>
        <v>5355529.3781536892</v>
      </c>
      <c r="DT79" s="250">
        <f t="shared" ca="1" si="119"/>
        <v>5363431.9699663864</v>
      </c>
      <c r="DU79" s="250">
        <f t="shared" ca="1" si="119"/>
        <v>5371103.3292456903</v>
      </c>
      <c r="DV79" s="250">
        <f t="shared" ca="1" si="119"/>
        <v>5378630.3733593216</v>
      </c>
      <c r="DW79" s="250">
        <f t="shared" ca="1" si="119"/>
        <v>5385830.7760351934</v>
      </c>
      <c r="DX79" s="250">
        <f t="shared" ca="1" si="119"/>
        <v>5392748.7771055652</v>
      </c>
      <c r="DY79" s="250">
        <f t="shared" ca="1" si="119"/>
        <v>5400154.5244303262</v>
      </c>
      <c r="DZ79" s="250">
        <f t="shared" ca="1" si="119"/>
        <v>5407411.4643587302</v>
      </c>
      <c r="EA79" s="250">
        <f t="shared" ca="1" si="119"/>
        <v>5414517.7832391625</v>
      </c>
      <c r="EB79" s="250">
        <f t="shared" ca="1" si="119"/>
        <v>5421380.1175867338</v>
      </c>
      <c r="EC79" s="250">
        <f ca="1">SUM(EC77:EC78)</f>
        <v>5427995.2247498799</v>
      </c>
      <c r="ED79" s="250">
        <f ca="1">SUM(ED77:ED78)</f>
        <v>5434359.8301576907</v>
      </c>
      <c r="EE79" s="250">
        <f ca="1">SUM(EE77:EE78)</f>
        <v>5440470.6269366704</v>
      </c>
      <c r="EF79" s="250">
        <f ca="1">SUM(EF77:EF78)</f>
        <v>5446324.276613377</v>
      </c>
      <c r="EG79" s="250">
        <f ca="1">SUM(EG77:EG78)</f>
        <v>5451917.4053242337</v>
      </c>
    </row>
    <row r="80" spans="1:137" ht="7.5" customHeight="1" thickTop="1" x14ac:dyDescent="0.3"/>
    <row r="81" spans="1:137" x14ac:dyDescent="0.3">
      <c r="A81" s="700" t="str">
        <f>'General Inputs'!$K$29&amp;" PREFERENCE BALANCE"</f>
        <v>Quarterra PREFERENCE BALANCE</v>
      </c>
      <c r="B81" s="700"/>
      <c r="C81" s="700"/>
      <c r="D81" s="725"/>
      <c r="E81" s="700"/>
    </row>
    <row r="82" spans="1:137" x14ac:dyDescent="0.3">
      <c r="A82" t="s">
        <v>2478</v>
      </c>
      <c r="E82" s="108">
        <f t="shared" ref="E82:BP82" si="120">D88</f>
        <v>0</v>
      </c>
      <c r="F82" s="227">
        <f t="shared" ca="1" si="120"/>
        <v>0</v>
      </c>
      <c r="G82" s="227">
        <f t="shared" ca="1" si="120"/>
        <v>1560.0057920095715</v>
      </c>
      <c r="H82" s="227">
        <f t="shared" ca="1" si="120"/>
        <v>15799.420229805544</v>
      </c>
      <c r="I82" s="227">
        <f t="shared" ca="1" si="120"/>
        <v>30555.421073999729</v>
      </c>
      <c r="J82" s="227">
        <f t="shared" ca="1" si="120"/>
        <v>46038.570298148748</v>
      </c>
      <c r="K82" s="227">
        <f t="shared" ca="1" si="120"/>
        <v>62676.871954168484</v>
      </c>
      <c r="L82" s="227">
        <f t="shared" ca="1" si="120"/>
        <v>81128.363695857872</v>
      </c>
      <c r="M82" s="227">
        <f t="shared" ca="1" si="120"/>
        <v>101457.18227107306</v>
      </c>
      <c r="N82" s="227">
        <f t="shared" ca="1" si="120"/>
        <v>124151.70441326284</v>
      </c>
      <c r="O82" s="227">
        <f t="shared" ca="1" si="120"/>
        <v>149640.6070526758</v>
      </c>
      <c r="P82" s="227">
        <f t="shared" ca="1" si="120"/>
        <v>178391.62106733883</v>
      </c>
      <c r="Q82" s="227">
        <f t="shared" ca="1" si="120"/>
        <v>209113.07703788357</v>
      </c>
      <c r="R82" s="227">
        <f t="shared" ca="1" si="120"/>
        <v>240090.5451415162</v>
      </c>
      <c r="S82" s="227">
        <f t="shared" ca="1" si="120"/>
        <v>271326.15881267906</v>
      </c>
      <c r="T82" s="227">
        <f t="shared" ca="1" si="120"/>
        <v>302822.06926443498</v>
      </c>
      <c r="U82" s="227">
        <f t="shared" ca="1" si="120"/>
        <v>334580.4456366222</v>
      </c>
      <c r="V82" s="227">
        <f t="shared" ca="1" si="120"/>
        <v>366603.47514524427</v>
      </c>
      <c r="W82" s="227">
        <f t="shared" ca="1" si="120"/>
        <v>398893.36323310487</v>
      </c>
      <c r="X82" s="227">
        <f t="shared" ca="1" si="120"/>
        <v>431452.33372169768</v>
      </c>
      <c r="Y82" s="227">
        <f t="shared" ca="1" si="120"/>
        <v>464282.62896436208</v>
      </c>
      <c r="Z82" s="227">
        <f t="shared" ca="1" si="120"/>
        <v>497386.51000071538</v>
      </c>
      <c r="AA82" s="227">
        <f t="shared" ca="1" si="120"/>
        <v>530766.2567123716</v>
      </c>
      <c r="AB82" s="227">
        <f t="shared" ca="1" si="120"/>
        <v>564424.16797995823</v>
      </c>
      <c r="AC82" s="227">
        <f t="shared" ca="1" si="120"/>
        <v>598362.56184144143</v>
      </c>
      <c r="AD82" s="227">
        <f t="shared" ca="1" si="120"/>
        <v>628172.4727027613</v>
      </c>
      <c r="AE82" s="227">
        <f t="shared" ca="1" si="120"/>
        <v>654209.06019829831</v>
      </c>
      <c r="AF82" s="227">
        <f t="shared" ca="1" si="120"/>
        <v>675883.23518407764</v>
      </c>
      <c r="AG82" s="227">
        <f t="shared" ca="1" si="120"/>
        <v>688794.2308766871</v>
      </c>
      <c r="AH82" s="227">
        <f t="shared" ca="1" si="120"/>
        <v>701448.18403488328</v>
      </c>
      <c r="AI82" s="227">
        <f t="shared" ca="1" si="120"/>
        <v>714077.27178914088</v>
      </c>
      <c r="AJ82" s="227">
        <f t="shared" ca="1" si="120"/>
        <v>730107.03309704957</v>
      </c>
      <c r="AK82" s="227">
        <f t="shared" ca="1" si="120"/>
        <v>746011.48099709663</v>
      </c>
      <c r="AL82" s="227">
        <f t="shared" ca="1" si="120"/>
        <v>761768.90351560339</v>
      </c>
      <c r="AM82" s="227">
        <f t="shared" ca="1" si="120"/>
        <v>777379.13660696731</v>
      </c>
      <c r="AN82" s="227">
        <f t="shared" ca="1" si="120"/>
        <v>792842.03376066836</v>
      </c>
      <c r="AO82" s="227">
        <f t="shared" ca="1" si="120"/>
        <v>808157.4663175774</v>
      </c>
      <c r="AP82" s="227">
        <f t="shared" ca="1" si="120"/>
        <v>823325.32379017177</v>
      </c>
      <c r="AQ82" s="227">
        <f t="shared" ca="1" si="120"/>
        <v>838429.23055563879</v>
      </c>
      <c r="AR82" s="227">
        <f t="shared" ca="1" si="120"/>
        <v>853302.24346579507</v>
      </c>
      <c r="AS82" s="227">
        <f t="shared" ca="1" si="120"/>
        <v>867987.60095079825</v>
      </c>
      <c r="AT82" s="227">
        <f t="shared" ca="1" si="120"/>
        <v>883250.57090649998</v>
      </c>
      <c r="AU82" s="227">
        <f t="shared" ca="1" si="120"/>
        <v>898455.25770162232</v>
      </c>
      <c r="AV82" s="227">
        <f t="shared" ca="1" si="120"/>
        <v>913604.60451885394</v>
      </c>
      <c r="AW82" s="227">
        <f t="shared" ca="1" si="120"/>
        <v>928623.93013141234</v>
      </c>
      <c r="AX82" s="227">
        <f t="shared" ca="1" si="120"/>
        <v>943520.02933743526</v>
      </c>
      <c r="AY82" s="227">
        <f t="shared" ca="1" si="120"/>
        <v>958299.82306582225</v>
      </c>
      <c r="AZ82" s="227">
        <f t="shared" ca="1" si="120"/>
        <v>972970.3598745272</v>
      </c>
      <c r="BA82" s="227">
        <f t="shared" ca="1" si="120"/>
        <v>987538.81746390532</v>
      </c>
      <c r="BB82" s="227">
        <f t="shared" ca="1" si="120"/>
        <v>1002012.5042052541</v>
      </c>
      <c r="BC82" s="227">
        <f t="shared" ca="1" si="120"/>
        <v>1016460.3073623959</v>
      </c>
      <c r="BD82" s="227">
        <f t="shared" ca="1" si="120"/>
        <v>1030766.49107063</v>
      </c>
      <c r="BE82" s="227">
        <f t="shared" ca="1" si="120"/>
        <v>1044967.9149011847</v>
      </c>
      <c r="BF82" s="227">
        <f t="shared" ca="1" si="120"/>
        <v>1059669.4439834997</v>
      </c>
      <c r="BG82" s="227">
        <f t="shared" ca="1" si="120"/>
        <v>1074355.6458438511</v>
      </c>
      <c r="BH82" s="227">
        <f t="shared" ca="1" si="120"/>
        <v>1089024.0030559951</v>
      </c>
      <c r="BI82" s="227">
        <f t="shared" ca="1" si="120"/>
        <v>1103612.6289540008</v>
      </c>
      <c r="BJ82" s="227">
        <f t="shared" ca="1" si="120"/>
        <v>1118115.5067107235</v>
      </c>
      <c r="BK82" s="227">
        <f t="shared" ca="1" si="120"/>
        <v>1132526.5324324747</v>
      </c>
      <c r="BL82" s="227">
        <f t="shared" ca="1" si="120"/>
        <v>1146839.5142322995</v>
      </c>
      <c r="BM82" s="227">
        <f t="shared" ca="1" si="120"/>
        <v>1161048.1712945416</v>
      </c>
      <c r="BN82" s="227">
        <f t="shared" ca="1" si="120"/>
        <v>1175146.1329306161</v>
      </c>
      <c r="BO82" s="227">
        <f t="shared" ca="1" si="120"/>
        <v>1189197.0468062118</v>
      </c>
      <c r="BP82" s="227">
        <f t="shared" ca="1" si="120"/>
        <v>1203055.3385049971</v>
      </c>
      <c r="BQ82" s="227">
        <f t="shared" ref="BQ82:EB82" ca="1" si="121">BP88</f>
        <v>1216752.9169166321</v>
      </c>
      <c r="BR82" s="227">
        <f t="shared" ca="1" si="121"/>
        <v>1230936.2734232021</v>
      </c>
      <c r="BS82" s="227">
        <f t="shared" ca="1" si="121"/>
        <v>1245065.2550597186</v>
      </c>
      <c r="BT82" s="227">
        <f t="shared" ca="1" si="121"/>
        <v>1259138.9388823428</v>
      </c>
      <c r="BU82" s="227">
        <f t="shared" ca="1" si="121"/>
        <v>1273081.9749632932</v>
      </c>
      <c r="BV82" s="227">
        <f t="shared" ca="1" si="121"/>
        <v>1286892.2877715388</v>
      </c>
      <c r="BW82" s="227">
        <f t="shared" ca="1" si="121"/>
        <v>1300567.7804895134</v>
      </c>
      <c r="BX82" s="227">
        <f t="shared" ca="1" si="121"/>
        <v>1314106.33481943</v>
      </c>
      <c r="BY82" s="227">
        <f t="shared" ca="1" si="121"/>
        <v>1327505.8107879136</v>
      </c>
      <c r="BZ82" s="227">
        <f t="shared" ca="1" si="121"/>
        <v>1340764.0465489391</v>
      </c>
      <c r="CA82" s="227">
        <f t="shared" ca="1" si="121"/>
        <v>1353955.147397388</v>
      </c>
      <c r="CB82" s="227">
        <f t="shared" ca="1" si="121"/>
        <v>1366925.0699325101</v>
      </c>
      <c r="CC82" s="227">
        <f t="shared" ca="1" si="121"/>
        <v>1379711.7628032027</v>
      </c>
      <c r="CD82" s="227">
        <f t="shared" ca="1" si="121"/>
        <v>1392987.5272166226</v>
      </c>
      <c r="CE82" s="227">
        <f t="shared" ca="1" si="121"/>
        <v>1406194.3603057039</v>
      </c>
      <c r="CF82" s="227">
        <f t="shared" ca="1" si="121"/>
        <v>1419331.1987067035</v>
      </c>
      <c r="CG82" s="227">
        <f t="shared" ca="1" si="121"/>
        <v>1432319.405229833</v>
      </c>
      <c r="CH82" s="227">
        <f t="shared" ca="1" si="121"/>
        <v>1445156.7135112756</v>
      </c>
      <c r="CI82" s="227">
        <f t="shared" ca="1" si="121"/>
        <v>1457840.8341435727</v>
      </c>
      <c r="CJ82" s="227">
        <f t="shared" ca="1" si="121"/>
        <v>1470369.4544666118</v>
      </c>
      <c r="CK82" s="227">
        <f t="shared" ca="1" si="121"/>
        <v>1482740.2383568021</v>
      </c>
      <c r="CL82" s="227">
        <f t="shared" ca="1" si="121"/>
        <v>1494950.8260144228</v>
      </c>
      <c r="CM82" s="227">
        <f t="shared" ca="1" si="121"/>
        <v>1507078.3476759817</v>
      </c>
      <c r="CN82" s="227">
        <f t="shared" ca="1" si="121"/>
        <v>1518962.1402345165</v>
      </c>
      <c r="CO82" s="227">
        <f t="shared" ca="1" si="121"/>
        <v>1530641.6471588642</v>
      </c>
      <c r="CP82" s="227">
        <f t="shared" ca="1" si="121"/>
        <v>1542812.2659493401</v>
      </c>
      <c r="CQ82" s="227">
        <f t="shared" ca="1" si="121"/>
        <v>1554897.4641202826</v>
      </c>
      <c r="CR82" s="227">
        <f t="shared" ca="1" si="121"/>
        <v>1566896.0209952956</v>
      </c>
      <c r="CS82" s="227">
        <f t="shared" ca="1" si="121"/>
        <v>1578725.8621228212</v>
      </c>
      <c r="CT82" s="227">
        <f t="shared" ca="1" si="121"/>
        <v>1590384.5110993036</v>
      </c>
      <c r="CU82" s="227">
        <f t="shared" ca="1" si="121"/>
        <v>1601869.4665533851</v>
      </c>
      <c r="CV82" s="227">
        <f t="shared" ca="1" si="121"/>
        <v>1613178.2019201452</v>
      </c>
      <c r="CW82" s="227">
        <f t="shared" ca="1" si="121"/>
        <v>1624308.1652133858</v>
      </c>
      <c r="CX82" s="227">
        <f t="shared" ca="1" si="121"/>
        <v>1635256.7787959462</v>
      </c>
      <c r="CY82" s="227">
        <f t="shared" ca="1" si="121"/>
        <v>1646104.3140967989</v>
      </c>
      <c r="CZ82" s="227">
        <f t="shared" ca="1" si="121"/>
        <v>1656683.1967814865</v>
      </c>
      <c r="DA82" s="227">
        <f t="shared" ca="1" si="121"/>
        <v>1667034.4165177622</v>
      </c>
      <c r="DB82" s="227">
        <f t="shared" ca="1" si="121"/>
        <v>1677877.3494408599</v>
      </c>
      <c r="DC82" s="227">
        <f t="shared" ca="1" si="121"/>
        <v>1688616.2195439893</v>
      </c>
      <c r="DD82" s="227">
        <f t="shared" ca="1" si="121"/>
        <v>1699249.6300789388</v>
      </c>
      <c r="DE82" s="227">
        <f t="shared" ca="1" si="121"/>
        <v>1709691.9118302222</v>
      </c>
      <c r="DF82" s="227">
        <f t="shared" ca="1" si="121"/>
        <v>1719940.3571640765</v>
      </c>
      <c r="DG82" s="227">
        <f t="shared" ca="1" si="121"/>
        <v>1729992.2313708968</v>
      </c>
      <c r="DH82" s="227">
        <f t="shared" ca="1" si="121"/>
        <v>1739844.7724211756</v>
      </c>
      <c r="DI82" s="227">
        <f t="shared" ca="1" si="121"/>
        <v>1749495.1907193009</v>
      </c>
      <c r="DJ82" s="227">
        <f t="shared" ca="1" si="121"/>
        <v>1758940.668855252</v>
      </c>
      <c r="DK82" s="227">
        <f t="shared" ca="1" si="121"/>
        <v>1768264.7393939313</v>
      </c>
      <c r="DL82" s="227">
        <f t="shared" ca="1" si="121"/>
        <v>1777292.611698142</v>
      </c>
      <c r="DM82" s="227">
        <f t="shared" ca="1" si="121"/>
        <v>1786066.8739435868</v>
      </c>
      <c r="DN82" s="227">
        <f t="shared" ca="1" si="121"/>
        <v>1795331.804465092</v>
      </c>
      <c r="DO82" s="227">
        <f t="shared" ca="1" si="121"/>
        <v>1804471.6332577528</v>
      </c>
      <c r="DP82" s="227">
        <f t="shared" ca="1" si="121"/>
        <v>1813484.7666767861</v>
      </c>
      <c r="DQ82" s="227">
        <f t="shared" ca="1" si="121"/>
        <v>1822281.7752997498</v>
      </c>
      <c r="DR82" s="227">
        <f t="shared" ca="1" si="121"/>
        <v>1830859.6968825287</v>
      </c>
      <c r="DS82" s="227">
        <f t="shared" ca="1" si="121"/>
        <v>1839215.5397946828</v>
      </c>
      <c r="DT82" s="227">
        <f t="shared" ca="1" si="121"/>
        <v>1847346.2827560543</v>
      </c>
      <c r="DU82" s="227">
        <f t="shared" ca="1" si="121"/>
        <v>1855248.874567671</v>
      </c>
      <c r="DV82" s="227">
        <f t="shared" ca="1" si="121"/>
        <v>1862920.2338477988</v>
      </c>
      <c r="DW82" s="227">
        <f t="shared" ca="1" si="121"/>
        <v>1870447.277960923</v>
      </c>
      <c r="DX82" s="227">
        <f t="shared" ca="1" si="121"/>
        <v>1877647.6806364099</v>
      </c>
      <c r="DY82" s="227">
        <f t="shared" ca="1" si="121"/>
        <v>1884565.6817066467</v>
      </c>
      <c r="DZ82" s="227">
        <f t="shared" ca="1" si="121"/>
        <v>1891971.4290315164</v>
      </c>
      <c r="EA82" s="227">
        <f t="shared" ca="1" si="121"/>
        <v>1899228.368960493</v>
      </c>
      <c r="EB82" s="227">
        <f t="shared" ca="1" si="121"/>
        <v>1906334.6878403632</v>
      </c>
      <c r="EC82" s="227">
        <f t="shared" ref="EC82:EG82" ca="1" si="122">EB88</f>
        <v>1913197.0221886602</v>
      </c>
      <c r="ED82" s="227">
        <f t="shared" ca="1" si="122"/>
        <v>1919812.1293539631</v>
      </c>
      <c r="EE82" s="227">
        <f t="shared" ca="1" si="122"/>
        <v>1926176.7347328675</v>
      </c>
      <c r="EF82" s="227">
        <f t="shared" ca="1" si="122"/>
        <v>1932287.5318324389</v>
      </c>
      <c r="EG82" s="227">
        <f t="shared" ca="1" si="122"/>
        <v>1938141.1809940138</v>
      </c>
    </row>
    <row r="83" spans="1:137" x14ac:dyDescent="0.3">
      <c r="A83" s="241" t="s">
        <v>155</v>
      </c>
      <c r="B83" s="241"/>
      <c r="C83" s="241"/>
      <c r="D83" s="687"/>
      <c r="E83" s="242">
        <f t="shared" ref="E83:BP83" si="123">E72</f>
        <v>0</v>
      </c>
      <c r="F83" s="242">
        <f t="shared" ca="1" si="123"/>
        <v>1560.0057920095715</v>
      </c>
      <c r="G83" s="242">
        <f t="shared" ca="1" si="123"/>
        <v>14239.414437795973</v>
      </c>
      <c r="H83" s="242">
        <f t="shared" ca="1" si="123"/>
        <v>14756.000844194186</v>
      </c>
      <c r="I83" s="242">
        <f t="shared" ca="1" si="123"/>
        <v>15483.149224149021</v>
      </c>
      <c r="J83" s="242">
        <f t="shared" ca="1" si="123"/>
        <v>16638.301656019732</v>
      </c>
      <c r="K83" s="242">
        <f t="shared" ca="1" si="123"/>
        <v>18451.49174168938</v>
      </c>
      <c r="L83" s="242">
        <f t="shared" ca="1" si="123"/>
        <v>20328.818575215191</v>
      </c>
      <c r="M83" s="242">
        <f t="shared" ca="1" si="123"/>
        <v>22694.522142189766</v>
      </c>
      <c r="N83" s="242">
        <f t="shared" ca="1" si="123"/>
        <v>25488.902639412965</v>
      </c>
      <c r="O83" s="242">
        <f t="shared" ca="1" si="123"/>
        <v>28751.014014663033</v>
      </c>
      <c r="P83" s="242">
        <f t="shared" ca="1" si="123"/>
        <v>30721.455970544732</v>
      </c>
      <c r="Q83" s="242">
        <f t="shared" ca="1" si="123"/>
        <v>30977.468103632607</v>
      </c>
      <c r="R83" s="242">
        <f t="shared" ca="1" si="123"/>
        <v>31235.613671162879</v>
      </c>
      <c r="S83" s="242">
        <f t="shared" ca="1" si="123"/>
        <v>31495.910451755906</v>
      </c>
      <c r="T83" s="242">
        <f t="shared" ca="1" si="123"/>
        <v>31758.376372187206</v>
      </c>
      <c r="U83" s="242">
        <f t="shared" ca="1" si="123"/>
        <v>32023.029508622098</v>
      </c>
      <c r="V83" s="242">
        <f t="shared" ca="1" si="123"/>
        <v>32289.888087860614</v>
      </c>
      <c r="W83" s="242">
        <f t="shared" ca="1" si="123"/>
        <v>32558.970488592789</v>
      </c>
      <c r="X83" s="242">
        <f t="shared" ca="1" si="123"/>
        <v>32830.295242664397</v>
      </c>
      <c r="Y83" s="242">
        <f t="shared" ca="1" si="123"/>
        <v>33103.881036353268</v>
      </c>
      <c r="Z83" s="242">
        <f t="shared" ca="1" si="123"/>
        <v>33379.746711656211</v>
      </c>
      <c r="AA83" s="242">
        <f t="shared" ca="1" si="123"/>
        <v>33657.911267586678</v>
      </c>
      <c r="AB83" s="242">
        <f t="shared" ca="1" si="123"/>
        <v>33938.39386148323</v>
      </c>
      <c r="AC83" s="242">
        <f t="shared" ca="1" si="123"/>
        <v>34221.213810328925</v>
      </c>
      <c r="AD83" s="242">
        <f t="shared" ca="1" si="123"/>
        <v>34469.629734173257</v>
      </c>
      <c r="AE83" s="242">
        <f t="shared" ca="1" si="123"/>
        <v>34686.601296636065</v>
      </c>
      <c r="AF83" s="242">
        <f t="shared" ca="1" si="123"/>
        <v>34867.219421517562</v>
      </c>
      <c r="AG83" s="242">
        <f t="shared" ca="1" si="123"/>
        <v>34974.811052289304</v>
      </c>
      <c r="AH83" s="242">
        <f t="shared" ca="1" si="123"/>
        <v>35080.260661940934</v>
      </c>
      <c r="AI83" s="242">
        <f t="shared" ca="1" si="123"/>
        <v>35185.503059893083</v>
      </c>
      <c r="AJ83" s="242">
        <f t="shared" ca="1" si="123"/>
        <v>35319.084404125657</v>
      </c>
      <c r="AK83" s="242">
        <f t="shared" ca="1" si="123"/>
        <v>35451.621469959384</v>
      </c>
      <c r="AL83" s="242">
        <f t="shared" ca="1" si="123"/>
        <v>35582.933324280275</v>
      </c>
      <c r="AM83" s="242">
        <f t="shared" ca="1" si="123"/>
        <v>35713.018600041636</v>
      </c>
      <c r="AN83" s="242">
        <f t="shared" ca="1" si="123"/>
        <v>35841.876076322485</v>
      </c>
      <c r="AO83" s="242">
        <f t="shared" ca="1" si="123"/>
        <v>35969.504680963386</v>
      </c>
      <c r="AP83" s="242">
        <f t="shared" ca="1" si="123"/>
        <v>36095.903493235004</v>
      </c>
      <c r="AQ83" s="242">
        <f t="shared" ca="1" si="123"/>
        <v>36221.769382947226</v>
      </c>
      <c r="AR83" s="242">
        <f t="shared" ca="1" si="123"/>
        <v>36345.71115719853</v>
      </c>
      <c r="AS83" s="242">
        <f t="shared" ca="1" si="123"/>
        <v>36468.089136240225</v>
      </c>
      <c r="AT83" s="242">
        <f t="shared" ca="1" si="123"/>
        <v>36595.280552537741</v>
      </c>
      <c r="AU83" s="242">
        <f t="shared" ca="1" si="123"/>
        <v>36721.98627583043</v>
      </c>
      <c r="AV83" s="242">
        <f t="shared" ca="1" si="123"/>
        <v>36848.230832640693</v>
      </c>
      <c r="AW83" s="242">
        <f t="shared" ca="1" si="123"/>
        <v>36973.391879412018</v>
      </c>
      <c r="AX83" s="242">
        <f t="shared" ca="1" si="123"/>
        <v>37097.526039462209</v>
      </c>
      <c r="AY83" s="242">
        <f t="shared" ca="1" si="123"/>
        <v>37220.690987198766</v>
      </c>
      <c r="AZ83" s="242">
        <f t="shared" ca="1" si="123"/>
        <v>37342.945460604642</v>
      </c>
      <c r="BA83" s="242">
        <f t="shared" ca="1" si="123"/>
        <v>37464.349273849453</v>
      </c>
      <c r="BB83" s="242">
        <f t="shared" ca="1" si="123"/>
        <v>37584.963330027356</v>
      </c>
      <c r="BC83" s="242">
        <f t="shared" ca="1" si="123"/>
        <v>37705.361689670215</v>
      </c>
      <c r="BD83" s="242">
        <f t="shared" ca="1" si="123"/>
        <v>37824.579887238826</v>
      </c>
      <c r="BE83" s="242">
        <f t="shared" ca="1" si="123"/>
        <v>37942.925085826784</v>
      </c>
      <c r="BF83" s="242">
        <f t="shared" ca="1" si="123"/>
        <v>38065.437828179412</v>
      </c>
      <c r="BG83" s="242">
        <f t="shared" ca="1" si="123"/>
        <v>38187.822843682341</v>
      </c>
      <c r="BH83" s="242">
        <f t="shared" ca="1" si="123"/>
        <v>38310.059153783535</v>
      </c>
      <c r="BI83" s="242">
        <f t="shared" ca="1" si="123"/>
        <v>38431.631036266917</v>
      </c>
      <c r="BJ83" s="242">
        <f t="shared" ca="1" si="123"/>
        <v>38552.488350906271</v>
      </c>
      <c r="BK83" s="242">
        <f t="shared" ca="1" si="123"/>
        <v>38672.58023192086</v>
      </c>
      <c r="BL83" s="242">
        <f t="shared" ca="1" si="123"/>
        <v>38791.855080252739</v>
      </c>
      <c r="BM83" s="242">
        <f t="shared" ca="1" si="123"/>
        <v>38910.26055577142</v>
      </c>
      <c r="BN83" s="242">
        <f t="shared" ca="1" si="123"/>
        <v>39027.743569405378</v>
      </c>
      <c r="BO83" s="242">
        <f t="shared" ca="1" si="123"/>
        <v>39144.834518368683</v>
      </c>
      <c r="BP83" s="242">
        <f t="shared" ca="1" si="123"/>
        <v>39260.32028252523</v>
      </c>
      <c r="BQ83" s="242">
        <f t="shared" ref="BQ83:EB83" ca="1" si="124">BQ72</f>
        <v>39374.466769288854</v>
      </c>
      <c r="BR83" s="242">
        <f t="shared" ca="1" si="124"/>
        <v>39492.661406843603</v>
      </c>
      <c r="BS83" s="242">
        <f t="shared" ca="1" si="124"/>
        <v>39610.402920481247</v>
      </c>
      <c r="BT83" s="242">
        <f t="shared" ca="1" si="124"/>
        <v>39727.683619003103</v>
      </c>
      <c r="BU83" s="242">
        <f t="shared" ca="1" si="124"/>
        <v>39843.875586344358</v>
      </c>
      <c r="BV83" s="242">
        <f t="shared" ca="1" si="124"/>
        <v>39958.96152641307</v>
      </c>
      <c r="BW83" s="242">
        <f t="shared" ca="1" si="124"/>
        <v>40072.923965729526</v>
      </c>
      <c r="BX83" s="242">
        <f t="shared" ca="1" si="124"/>
        <v>40185.745251812164</v>
      </c>
      <c r="BY83" s="242">
        <f t="shared" ca="1" si="124"/>
        <v>40297.407551549521</v>
      </c>
      <c r="BZ83" s="242">
        <f t="shared" ca="1" si="124"/>
        <v>40407.892849558062</v>
      </c>
      <c r="CA83" s="242">
        <f t="shared" ca="1" si="124"/>
        <v>40517.818689961809</v>
      </c>
      <c r="CB83" s="242">
        <f t="shared" ca="1" si="124"/>
        <v>40625.901377754497</v>
      </c>
      <c r="CC83" s="242">
        <f t="shared" ca="1" si="124"/>
        <v>40732.457151676928</v>
      </c>
      <c r="CD83" s="242">
        <f t="shared" ca="1" si="124"/>
        <v>40843.088521788755</v>
      </c>
      <c r="CE83" s="242">
        <f t="shared" ca="1" si="124"/>
        <v>40953.145464197769</v>
      </c>
      <c r="CF83" s="242">
        <f t="shared" ca="1" si="124"/>
        <v>41062.619117539434</v>
      </c>
      <c r="CG83" s="242">
        <f t="shared" ca="1" si="124"/>
        <v>41170.854171898849</v>
      </c>
      <c r="CH83" s="242">
        <f t="shared" ca="1" si="124"/>
        <v>41277.831740910879</v>
      </c>
      <c r="CI83" s="242">
        <f t="shared" ca="1" si="124"/>
        <v>41383.532746180019</v>
      </c>
      <c r="CJ83" s="242">
        <f t="shared" ca="1" si="124"/>
        <v>41487.937915538685</v>
      </c>
      <c r="CK83" s="242">
        <f t="shared" ca="1" si="124"/>
        <v>41591.027781290264</v>
      </c>
      <c r="CL83" s="242">
        <f t="shared" ca="1" si="124"/>
        <v>41692.782678437099</v>
      </c>
      <c r="CM83" s="242">
        <f t="shared" ca="1" si="124"/>
        <v>41793.845358950093</v>
      </c>
      <c r="CN83" s="242">
        <f t="shared" ca="1" si="124"/>
        <v>41892.876963604554</v>
      </c>
      <c r="CO83" s="242">
        <f t="shared" ca="1" si="124"/>
        <v>41990.206187974116</v>
      </c>
      <c r="CP83" s="242">
        <f t="shared" ca="1" si="124"/>
        <v>42091.62801122808</v>
      </c>
      <c r="CQ83" s="242">
        <f t="shared" ca="1" si="124"/>
        <v>42192.337995985945</v>
      </c>
      <c r="CR83" s="242">
        <f t="shared" ca="1" si="124"/>
        <v>42292.325969944381</v>
      </c>
      <c r="CS83" s="242">
        <f t="shared" ca="1" si="124"/>
        <v>42390.907979340431</v>
      </c>
      <c r="CT83" s="242">
        <f t="shared" ca="1" si="124"/>
        <v>42488.063387477785</v>
      </c>
      <c r="CU83" s="242">
        <f t="shared" ca="1" si="124"/>
        <v>42583.771349595132</v>
      </c>
      <c r="CV83" s="242">
        <f t="shared" ca="1" si="124"/>
        <v>42678.010810984793</v>
      </c>
      <c r="CW83" s="242">
        <f t="shared" ca="1" si="124"/>
        <v>42770.760505095139</v>
      </c>
      <c r="CX83" s="242">
        <f t="shared" ca="1" si="124"/>
        <v>42861.998951616471</v>
      </c>
      <c r="CY83" s="242">
        <f t="shared" ca="1" si="124"/>
        <v>42952.395079123577</v>
      </c>
      <c r="CZ83" s="242">
        <f t="shared" ca="1" si="124"/>
        <v>43040.552434829311</v>
      </c>
      <c r="DA83" s="242">
        <f t="shared" ca="1" si="124"/>
        <v>43126.812599298275</v>
      </c>
      <c r="DB83" s="242">
        <f t="shared" ca="1" si="124"/>
        <v>43217.17037365742</v>
      </c>
      <c r="DC83" s="242">
        <f t="shared" ca="1" si="124"/>
        <v>43306.660957850174</v>
      </c>
      <c r="DD83" s="242">
        <f t="shared" ca="1" si="124"/>
        <v>43395.272712308091</v>
      </c>
      <c r="DE83" s="242">
        <f t="shared" ca="1" si="124"/>
        <v>43482.29172690212</v>
      </c>
      <c r="DF83" s="242">
        <f t="shared" ca="1" si="124"/>
        <v>43567.695438017574</v>
      </c>
      <c r="DG83" s="242">
        <f t="shared" ca="1" si="124"/>
        <v>43651.461056407737</v>
      </c>
      <c r="DH83" s="242">
        <f t="shared" ca="1" si="124"/>
        <v>43733.565565160119</v>
      </c>
      <c r="DI83" s="242">
        <f t="shared" ca="1" si="124"/>
        <v>43813.985717644595</v>
      </c>
      <c r="DJ83" s="242">
        <f t="shared" ca="1" si="124"/>
        <v>43892.698035444213</v>
      </c>
      <c r="DK83" s="242">
        <f t="shared" ca="1" si="124"/>
        <v>43970.398623266723</v>
      </c>
      <c r="DL83" s="242">
        <f t="shared" ca="1" si="124"/>
        <v>44045.630892468631</v>
      </c>
      <c r="DM83" s="242">
        <f t="shared" ca="1" si="124"/>
        <v>44118.749744514178</v>
      </c>
      <c r="DN83" s="242">
        <f t="shared" ca="1" si="124"/>
        <v>44195.957498860291</v>
      </c>
      <c r="DO83" s="242">
        <f t="shared" ca="1" si="124"/>
        <v>44272.12273879932</v>
      </c>
      <c r="DP83" s="242">
        <f t="shared" ca="1" si="124"/>
        <v>44347.232183958185</v>
      </c>
      <c r="DQ83" s="242">
        <f t="shared" ca="1" si="124"/>
        <v>44420.540589149416</v>
      </c>
      <c r="DR83" s="242">
        <f t="shared" ca="1" si="124"/>
        <v>44492.023269005338</v>
      </c>
      <c r="DS83" s="242">
        <f t="shared" ca="1" si="124"/>
        <v>44561.655293272255</v>
      </c>
      <c r="DT83" s="242">
        <f t="shared" ca="1" si="124"/>
        <v>44629.411484619297</v>
      </c>
      <c r="DU83" s="242">
        <f t="shared" ca="1" si="124"/>
        <v>44695.266416380509</v>
      </c>
      <c r="DV83" s="242">
        <f t="shared" ca="1" si="124"/>
        <v>44759.194410382523</v>
      </c>
      <c r="DW83" s="242">
        <f t="shared" ca="1" si="124"/>
        <v>44821.919777990988</v>
      </c>
      <c r="DX83" s="242">
        <f t="shared" ca="1" si="124"/>
        <v>44881.923133616729</v>
      </c>
      <c r="DY83" s="242">
        <f t="shared" ca="1" si="124"/>
        <v>44939.573142529553</v>
      </c>
      <c r="DZ83" s="242">
        <f t="shared" ca="1" si="124"/>
        <v>45001.287703561575</v>
      </c>
      <c r="EA83" s="242">
        <f t="shared" ca="1" si="124"/>
        <v>45061.762202959166</v>
      </c>
      <c r="EB83" s="242">
        <f t="shared" ca="1" si="124"/>
        <v>45120.981526938347</v>
      </c>
      <c r="EC83" s="242">
        <f t="shared" ref="EC83:EG83" ca="1" si="125">EC72</f>
        <v>45178.167646479335</v>
      </c>
      <c r="ED83" s="242">
        <f t="shared" ca="1" si="125"/>
        <v>45233.293539488506</v>
      </c>
      <c r="EE83" s="242">
        <f t="shared" ca="1" si="125"/>
        <v>45286.331917079522</v>
      </c>
      <c r="EF83" s="242">
        <f t="shared" ca="1" si="125"/>
        <v>45337.255229345152</v>
      </c>
      <c r="EG83" s="242">
        <f t="shared" ca="1" si="125"/>
        <v>45386.035634137952</v>
      </c>
    </row>
    <row r="84" spans="1:137" x14ac:dyDescent="0.3">
      <c r="A84" s="245" t="s">
        <v>843</v>
      </c>
      <c r="B84" s="245"/>
      <c r="C84" s="245"/>
      <c r="D84" s="726"/>
      <c r="E84" s="227">
        <f t="shared" ref="E84:BP84" si="126">SUM(E82:E83)</f>
        <v>0</v>
      </c>
      <c r="F84" s="227">
        <f t="shared" ca="1" si="126"/>
        <v>1560.0057920095715</v>
      </c>
      <c r="G84" s="227">
        <f t="shared" ca="1" si="126"/>
        <v>15799.420229805544</v>
      </c>
      <c r="H84" s="227">
        <f t="shared" ca="1" si="126"/>
        <v>30555.421073999729</v>
      </c>
      <c r="I84" s="227">
        <f t="shared" ca="1" si="126"/>
        <v>46038.570298148748</v>
      </c>
      <c r="J84" s="227">
        <f t="shared" ca="1" si="126"/>
        <v>62676.871954168484</v>
      </c>
      <c r="K84" s="227">
        <f t="shared" ca="1" si="126"/>
        <v>81128.363695857872</v>
      </c>
      <c r="L84" s="227">
        <f t="shared" ca="1" si="126"/>
        <v>101457.18227107306</v>
      </c>
      <c r="M84" s="227">
        <f t="shared" ca="1" si="126"/>
        <v>124151.70441326284</v>
      </c>
      <c r="N84" s="227">
        <f t="shared" ca="1" si="126"/>
        <v>149640.6070526758</v>
      </c>
      <c r="O84" s="227">
        <f t="shared" ca="1" si="126"/>
        <v>178391.62106733883</v>
      </c>
      <c r="P84" s="227">
        <f t="shared" ca="1" si="126"/>
        <v>209113.07703788357</v>
      </c>
      <c r="Q84" s="227">
        <f t="shared" ca="1" si="126"/>
        <v>240090.5451415162</v>
      </c>
      <c r="R84" s="227">
        <f t="shared" ca="1" si="126"/>
        <v>271326.15881267906</v>
      </c>
      <c r="S84" s="227">
        <f t="shared" ca="1" si="126"/>
        <v>302822.06926443498</v>
      </c>
      <c r="T84" s="227">
        <f t="shared" ca="1" si="126"/>
        <v>334580.4456366222</v>
      </c>
      <c r="U84" s="227">
        <f t="shared" ca="1" si="126"/>
        <v>366603.47514524427</v>
      </c>
      <c r="V84" s="227">
        <f t="shared" ca="1" si="126"/>
        <v>398893.36323310487</v>
      </c>
      <c r="W84" s="227">
        <f t="shared" ca="1" si="126"/>
        <v>431452.33372169768</v>
      </c>
      <c r="X84" s="227">
        <f t="shared" ca="1" si="126"/>
        <v>464282.62896436208</v>
      </c>
      <c r="Y84" s="227">
        <f t="shared" ca="1" si="126"/>
        <v>497386.51000071538</v>
      </c>
      <c r="Z84" s="227">
        <f t="shared" ca="1" si="126"/>
        <v>530766.2567123716</v>
      </c>
      <c r="AA84" s="227">
        <f t="shared" ca="1" si="126"/>
        <v>564424.16797995823</v>
      </c>
      <c r="AB84" s="227">
        <f t="shared" ca="1" si="126"/>
        <v>598362.56184144143</v>
      </c>
      <c r="AC84" s="227">
        <f t="shared" ca="1" si="126"/>
        <v>632583.77565177041</v>
      </c>
      <c r="AD84" s="227">
        <f t="shared" ca="1" si="126"/>
        <v>662642.1024369346</v>
      </c>
      <c r="AE84" s="227">
        <f t="shared" ca="1" si="126"/>
        <v>688895.66149493435</v>
      </c>
      <c r="AF84" s="227">
        <f t="shared" ca="1" si="126"/>
        <v>710750.45460559521</v>
      </c>
      <c r="AG84" s="227">
        <f t="shared" ca="1" si="126"/>
        <v>723769.04192897642</v>
      </c>
      <c r="AH84" s="227">
        <f t="shared" ca="1" si="126"/>
        <v>736528.44469682418</v>
      </c>
      <c r="AI84" s="227">
        <f t="shared" ca="1" si="126"/>
        <v>749262.77484903391</v>
      </c>
      <c r="AJ84" s="227">
        <f t="shared" ca="1" si="126"/>
        <v>765426.11750117526</v>
      </c>
      <c r="AK84" s="227">
        <f t="shared" ca="1" si="126"/>
        <v>781463.10246705601</v>
      </c>
      <c r="AL84" s="227">
        <f t="shared" ca="1" si="126"/>
        <v>797351.8368398837</v>
      </c>
      <c r="AM84" s="227">
        <f t="shared" ca="1" si="126"/>
        <v>813092.15520700894</v>
      </c>
      <c r="AN84" s="227">
        <f t="shared" ca="1" si="126"/>
        <v>828683.90983699088</v>
      </c>
      <c r="AO84" s="227">
        <f t="shared" ca="1" si="126"/>
        <v>844126.97099854075</v>
      </c>
      <c r="AP84" s="227">
        <f t="shared" ca="1" si="126"/>
        <v>859421.22728340677</v>
      </c>
      <c r="AQ84" s="227">
        <f t="shared" ca="1" si="126"/>
        <v>874650.99993858603</v>
      </c>
      <c r="AR84" s="227">
        <f t="shared" ca="1" si="126"/>
        <v>889647.95462299359</v>
      </c>
      <c r="AS84" s="227">
        <f t="shared" ca="1" si="126"/>
        <v>904455.69008703844</v>
      </c>
      <c r="AT84" s="227">
        <f t="shared" ca="1" si="126"/>
        <v>919845.85145903775</v>
      </c>
      <c r="AU84" s="227">
        <f t="shared" ca="1" si="126"/>
        <v>935177.24397745274</v>
      </c>
      <c r="AV84" s="227">
        <f t="shared" ca="1" si="126"/>
        <v>950452.83535149461</v>
      </c>
      <c r="AW84" s="227">
        <f t="shared" ca="1" si="126"/>
        <v>965597.32201082434</v>
      </c>
      <c r="AX84" s="227">
        <f t="shared" ca="1" si="126"/>
        <v>980617.55537689745</v>
      </c>
      <c r="AY84" s="227">
        <f t="shared" ca="1" si="126"/>
        <v>995520.51405302098</v>
      </c>
      <c r="AZ84" s="227">
        <f t="shared" ca="1" si="126"/>
        <v>1010313.3053351318</v>
      </c>
      <c r="BA84" s="227">
        <f t="shared" ca="1" si="126"/>
        <v>1025003.1667377548</v>
      </c>
      <c r="BB84" s="227">
        <f t="shared" ca="1" si="126"/>
        <v>1039597.4675352816</v>
      </c>
      <c r="BC84" s="227">
        <f t="shared" ca="1" si="126"/>
        <v>1054165.669052066</v>
      </c>
      <c r="BD84" s="227">
        <f t="shared" ca="1" si="126"/>
        <v>1068591.0709578688</v>
      </c>
      <c r="BE84" s="227">
        <f t="shared" ca="1" si="126"/>
        <v>1082910.8399870116</v>
      </c>
      <c r="BF84" s="227">
        <f t="shared" ca="1" si="126"/>
        <v>1097734.8818116791</v>
      </c>
      <c r="BG84" s="227">
        <f t="shared" ca="1" si="126"/>
        <v>1112543.4686875334</v>
      </c>
      <c r="BH84" s="227">
        <f t="shared" ca="1" si="126"/>
        <v>1127334.0622097787</v>
      </c>
      <c r="BI84" s="227">
        <f t="shared" ca="1" si="126"/>
        <v>1142044.2599902677</v>
      </c>
      <c r="BJ84" s="227">
        <f t="shared" ca="1" si="126"/>
        <v>1156667.9950616297</v>
      </c>
      <c r="BK84" s="227">
        <f t="shared" ca="1" si="126"/>
        <v>1171199.1126643955</v>
      </c>
      <c r="BL84" s="227">
        <f t="shared" ca="1" si="126"/>
        <v>1185631.3693125523</v>
      </c>
      <c r="BM84" s="227">
        <f t="shared" ca="1" si="126"/>
        <v>1199958.431850313</v>
      </c>
      <c r="BN84" s="227">
        <f t="shared" ca="1" si="126"/>
        <v>1214173.8765000214</v>
      </c>
      <c r="BO84" s="227">
        <f t="shared" ca="1" si="126"/>
        <v>1228341.8813245804</v>
      </c>
      <c r="BP84" s="227">
        <f t="shared" ca="1" si="126"/>
        <v>1242315.6587875222</v>
      </c>
      <c r="BQ84" s="227">
        <f t="shared" ref="BQ84:EB84" ca="1" si="127">SUM(BQ82:BQ83)</f>
        <v>1256127.3836859209</v>
      </c>
      <c r="BR84" s="227">
        <f t="shared" ca="1" si="127"/>
        <v>1270428.9348300458</v>
      </c>
      <c r="BS84" s="227">
        <f t="shared" ca="1" si="127"/>
        <v>1284675.6579801999</v>
      </c>
      <c r="BT84" s="227">
        <f t="shared" ca="1" si="127"/>
        <v>1298866.6225013458</v>
      </c>
      <c r="BU84" s="227">
        <f t="shared" ca="1" si="127"/>
        <v>1312925.8505496376</v>
      </c>
      <c r="BV84" s="227">
        <f t="shared" ca="1" si="127"/>
        <v>1326851.2492979518</v>
      </c>
      <c r="BW84" s="227">
        <f t="shared" ca="1" si="127"/>
        <v>1340640.704455243</v>
      </c>
      <c r="BX84" s="227">
        <f t="shared" ca="1" si="127"/>
        <v>1354292.0800712423</v>
      </c>
      <c r="BY84" s="227">
        <f t="shared" ca="1" si="127"/>
        <v>1367803.2183394632</v>
      </c>
      <c r="BZ84" s="227">
        <f t="shared" ca="1" si="127"/>
        <v>1381171.9393984971</v>
      </c>
      <c r="CA84" s="227">
        <f t="shared" ca="1" si="127"/>
        <v>1394472.9660873499</v>
      </c>
      <c r="CB84" s="227">
        <f t="shared" ca="1" si="127"/>
        <v>1407550.9713102647</v>
      </c>
      <c r="CC84" s="227">
        <f t="shared" ca="1" si="127"/>
        <v>1420444.2199548797</v>
      </c>
      <c r="CD84" s="227">
        <f t="shared" ca="1" si="127"/>
        <v>1433830.6157384114</v>
      </c>
      <c r="CE84" s="227">
        <f t="shared" ca="1" si="127"/>
        <v>1447147.5057699017</v>
      </c>
      <c r="CF84" s="227">
        <f t="shared" ca="1" si="127"/>
        <v>1460393.8178242429</v>
      </c>
      <c r="CG84" s="227">
        <f t="shared" ca="1" si="127"/>
        <v>1473490.2594017319</v>
      </c>
      <c r="CH84" s="227">
        <f t="shared" ca="1" si="127"/>
        <v>1486434.5452521865</v>
      </c>
      <c r="CI84" s="227">
        <f t="shared" ca="1" si="127"/>
        <v>1499224.3668897527</v>
      </c>
      <c r="CJ84" s="227">
        <f t="shared" ca="1" si="127"/>
        <v>1511857.3923821505</v>
      </c>
      <c r="CK84" s="227">
        <f t="shared" ca="1" si="127"/>
        <v>1524331.2661380924</v>
      </c>
      <c r="CL84" s="227">
        <f t="shared" ca="1" si="127"/>
        <v>1536643.60869286</v>
      </c>
      <c r="CM84" s="227">
        <f t="shared" ca="1" si="127"/>
        <v>1548872.1930349318</v>
      </c>
      <c r="CN84" s="227">
        <f t="shared" ca="1" si="127"/>
        <v>1560855.0171981209</v>
      </c>
      <c r="CO84" s="227">
        <f t="shared" ca="1" si="127"/>
        <v>1572631.8533468384</v>
      </c>
      <c r="CP84" s="227">
        <f t="shared" ca="1" si="127"/>
        <v>1584903.8939605681</v>
      </c>
      <c r="CQ84" s="227">
        <f t="shared" ca="1" si="127"/>
        <v>1597089.8021162685</v>
      </c>
      <c r="CR84" s="227">
        <f t="shared" ca="1" si="127"/>
        <v>1609188.3469652401</v>
      </c>
      <c r="CS84" s="227">
        <f t="shared" ca="1" si="127"/>
        <v>1621116.7701021617</v>
      </c>
      <c r="CT84" s="227">
        <f t="shared" ca="1" si="127"/>
        <v>1632872.5744867814</v>
      </c>
      <c r="CU84" s="227">
        <f t="shared" ca="1" si="127"/>
        <v>1644453.2379029803</v>
      </c>
      <c r="CV84" s="227">
        <f t="shared" ca="1" si="127"/>
        <v>1655856.21273113</v>
      </c>
      <c r="CW84" s="227">
        <f t="shared" ca="1" si="127"/>
        <v>1667078.925718481</v>
      </c>
      <c r="CX84" s="227">
        <f t="shared" ca="1" si="127"/>
        <v>1678118.7777475626</v>
      </c>
      <c r="CY84" s="227">
        <f t="shared" ca="1" si="127"/>
        <v>1689056.7091759224</v>
      </c>
      <c r="CZ84" s="227">
        <f t="shared" ca="1" si="127"/>
        <v>1699723.7492163158</v>
      </c>
      <c r="DA84" s="227">
        <f t="shared" ca="1" si="127"/>
        <v>1710161.2291170605</v>
      </c>
      <c r="DB84" s="227">
        <f t="shared" ca="1" si="127"/>
        <v>1721094.5198145173</v>
      </c>
      <c r="DC84" s="227">
        <f t="shared" ca="1" si="127"/>
        <v>1731922.8805018396</v>
      </c>
      <c r="DD84" s="227">
        <f t="shared" ca="1" si="127"/>
        <v>1742644.9027912468</v>
      </c>
      <c r="DE84" s="227">
        <f t="shared" ca="1" si="127"/>
        <v>1753174.2035571244</v>
      </c>
      <c r="DF84" s="227">
        <f t="shared" ca="1" si="127"/>
        <v>1763508.0526020941</v>
      </c>
      <c r="DG84" s="227">
        <f t="shared" ca="1" si="127"/>
        <v>1773643.6924273046</v>
      </c>
      <c r="DH84" s="227">
        <f t="shared" ca="1" si="127"/>
        <v>1783578.3379863356</v>
      </c>
      <c r="DI84" s="227">
        <f t="shared" ca="1" si="127"/>
        <v>1793309.1764369456</v>
      </c>
      <c r="DJ84" s="227">
        <f t="shared" ca="1" si="127"/>
        <v>1802833.3668906961</v>
      </c>
      <c r="DK84" s="227">
        <f t="shared" ca="1" si="127"/>
        <v>1812235.1380171981</v>
      </c>
      <c r="DL84" s="227">
        <f t="shared" ca="1" si="127"/>
        <v>1821338.2425906106</v>
      </c>
      <c r="DM84" s="227">
        <f t="shared" ca="1" si="127"/>
        <v>1830185.6236881011</v>
      </c>
      <c r="DN84" s="227">
        <f t="shared" ca="1" si="127"/>
        <v>1839527.7619639523</v>
      </c>
      <c r="DO84" s="227">
        <f t="shared" ca="1" si="127"/>
        <v>1848743.7559965521</v>
      </c>
      <c r="DP84" s="227">
        <f t="shared" ca="1" si="127"/>
        <v>1857831.9988607443</v>
      </c>
      <c r="DQ84" s="227">
        <f t="shared" ca="1" si="127"/>
        <v>1866702.3158888991</v>
      </c>
      <c r="DR84" s="227">
        <f t="shared" ca="1" si="127"/>
        <v>1875351.7201515341</v>
      </c>
      <c r="DS84" s="227">
        <f t="shared" ca="1" si="127"/>
        <v>1883777.1950879551</v>
      </c>
      <c r="DT84" s="227">
        <f t="shared" ca="1" si="127"/>
        <v>1891975.6942406737</v>
      </c>
      <c r="DU84" s="227">
        <f t="shared" ca="1" si="127"/>
        <v>1899944.1409840514</v>
      </c>
      <c r="DV84" s="227">
        <f t="shared" ca="1" si="127"/>
        <v>1907679.4282581813</v>
      </c>
      <c r="DW84" s="227">
        <f t="shared" ca="1" si="127"/>
        <v>1915269.1977389141</v>
      </c>
      <c r="DX84" s="227">
        <f t="shared" ca="1" si="127"/>
        <v>1922529.6037700267</v>
      </c>
      <c r="DY84" s="227">
        <f t="shared" ca="1" si="127"/>
        <v>1929505.2548491762</v>
      </c>
      <c r="DZ84" s="227">
        <f t="shared" ca="1" si="127"/>
        <v>1936972.716735078</v>
      </c>
      <c r="EA84" s="227">
        <f t="shared" ca="1" si="127"/>
        <v>1944290.1311634523</v>
      </c>
      <c r="EB84" s="227">
        <f t="shared" ca="1" si="127"/>
        <v>1951455.6693673015</v>
      </c>
      <c r="EC84" s="227">
        <f ca="1">SUM(EC82:EC83)</f>
        <v>1958375.1898351396</v>
      </c>
      <c r="ED84" s="227">
        <f ca="1">SUM(ED82:ED83)</f>
        <v>1965045.4228934515</v>
      </c>
      <c r="EE84" s="227">
        <f ca="1">SUM(EE82:EE83)</f>
        <v>1971463.0666499471</v>
      </c>
      <c r="EF84" s="227">
        <f ca="1">SUM(EF82:EF83)</f>
        <v>1977624.787061784</v>
      </c>
      <c r="EG84" s="227">
        <f ca="1">SUM(EG82:EG83)</f>
        <v>1983527.2166281517</v>
      </c>
    </row>
    <row r="85" spans="1:137" x14ac:dyDescent="0.3">
      <c r="A85" s="241" t="s">
        <v>2475</v>
      </c>
      <c r="B85" s="241"/>
      <c r="C85" s="241"/>
      <c r="D85" s="687"/>
      <c r="E85" s="242">
        <f ca="1">IF('General Inputs'!$K$8=0,0,IF(E$163&gt;0,-MIN(ContrLennar*E$163,E$84),0))</f>
        <v>0</v>
      </c>
      <c r="F85" s="242">
        <f ca="1">IF('General Inputs'!$K$8=0,0,IF(F$163&gt;0,-MIN(ContrLennar*F$163,F$84),0))</f>
        <v>0</v>
      </c>
      <c r="G85" s="242">
        <f ca="1">IF('General Inputs'!$K$8=0,0,IF(G$163&gt;0,-MIN(ContrLennar*G$163,G$84),0))</f>
        <v>0</v>
      </c>
      <c r="H85" s="242">
        <f ca="1">IF('General Inputs'!$K$8=0,0,IF(H$163&gt;0,-MIN(ContrLennar*H$163,H$84),0))</f>
        <v>0</v>
      </c>
      <c r="I85" s="242">
        <f ca="1">IF('General Inputs'!$K$8=0,0,IF(I$163&gt;0,-MIN(ContrLennar*I$163,I$84),0))</f>
        <v>0</v>
      </c>
      <c r="J85" s="242">
        <f ca="1">IF('General Inputs'!$K$8=0,0,IF(J$163&gt;0,-MIN(ContrLennar*J$163,J$84),0))</f>
        <v>0</v>
      </c>
      <c r="K85" s="242">
        <f ca="1">IF('General Inputs'!$K$8=0,0,IF(K$163&gt;0,-MIN(ContrLennar*K$163,K$84),0))</f>
        <v>0</v>
      </c>
      <c r="L85" s="242">
        <f ca="1">IF('General Inputs'!$K$8=0,0,IF(L$163&gt;0,-MIN(ContrLennar*L$163,L$84),0))</f>
        <v>0</v>
      </c>
      <c r="M85" s="242">
        <f ca="1">IF('General Inputs'!$K$8=0,0,IF(M$163&gt;0,-MIN(ContrLennar*M$163,M$84),0))</f>
        <v>0</v>
      </c>
      <c r="N85" s="242">
        <f ca="1">IF('General Inputs'!$K$8=0,0,IF(N$163&gt;0,-MIN(ContrLennar*N$163,N$84),0))</f>
        <v>0</v>
      </c>
      <c r="O85" s="242">
        <f ca="1">IF('General Inputs'!$K$8=0,0,IF(O$163&gt;0,-MIN(ContrLennar*O$163,O$84),0))</f>
        <v>0</v>
      </c>
      <c r="P85" s="242">
        <f ca="1">IF('General Inputs'!$K$8=0,0,IF(P$163&gt;0,-MIN(ContrLennar*P$163,P$84),0))</f>
        <v>0</v>
      </c>
      <c r="Q85" s="242">
        <f ca="1">IF('General Inputs'!$K$8=0,0,IF(Q$163&gt;0,-MIN(ContrLennar*Q$163,Q$84),0))</f>
        <v>0</v>
      </c>
      <c r="R85" s="242">
        <f ca="1">IF('General Inputs'!$K$8=0,0,IF(R$163&gt;0,-MIN(ContrLennar*R$163,R$84),0))</f>
        <v>0</v>
      </c>
      <c r="S85" s="242">
        <f ca="1">IF('General Inputs'!$K$8=0,0,IF(S$163&gt;0,-MIN(ContrLennar*S$163,S$84),0))</f>
        <v>0</v>
      </c>
      <c r="T85" s="242">
        <f ca="1">IF('General Inputs'!$K$8=0,0,IF(T$163&gt;0,-MIN(ContrLennar*T$163,T$84),0))</f>
        <v>0</v>
      </c>
      <c r="U85" s="242">
        <f ca="1">IF('General Inputs'!$K$8=0,0,IF(U$163&gt;0,-MIN(ContrLennar*U$163,U$84),0))</f>
        <v>0</v>
      </c>
      <c r="V85" s="242">
        <f ca="1">IF('General Inputs'!$K$8=0,0,IF(V$163&gt;0,-MIN(ContrLennar*V$163,V$84),0))</f>
        <v>0</v>
      </c>
      <c r="W85" s="242">
        <f ca="1">IF('General Inputs'!$K$8=0,0,IF(W$163&gt;0,-MIN(ContrLennar*W$163,W$84),0))</f>
        <v>0</v>
      </c>
      <c r="X85" s="242">
        <f ca="1">IF('General Inputs'!$K$8=0,0,IF(X$163&gt;0,-MIN(ContrLennar*X$163,X$84),0))</f>
        <v>0</v>
      </c>
      <c r="Y85" s="242">
        <f ca="1">IF('General Inputs'!$K$8=0,0,IF(Y$163&gt;0,-MIN(ContrLennar*Y$163,Y$84),0))</f>
        <v>0</v>
      </c>
      <c r="Z85" s="242">
        <f ca="1">IF('General Inputs'!$K$8=0,0,IF(Z$163&gt;0,-MIN(ContrLennar*Z$163,Z$84),0))</f>
        <v>0</v>
      </c>
      <c r="AA85" s="242">
        <f ca="1">IF('General Inputs'!$K$8=0,0,IF(AA$163&gt;0,-MIN(ContrLennar*AA$163,AA$84),0))</f>
        <v>0</v>
      </c>
      <c r="AB85" s="242">
        <f ca="1">IF('General Inputs'!$K$8=0,0,IF(AB$163&gt;0,-MIN(ContrLennar*AB$163,AB$84),0))</f>
        <v>0</v>
      </c>
      <c r="AC85" s="242">
        <f ca="1">IF('General Inputs'!$K$8=0,0,IF(AC$163&gt;0,-MIN(ContrLennar*AC$163,AC$84),0))</f>
        <v>-4411.302949009133</v>
      </c>
      <c r="AD85" s="242">
        <f ca="1">IF('General Inputs'!$K$8=0,0,IF(AD$163&gt;0,-MIN(ContrLennar*AD$163,AD$84),0))</f>
        <v>-8433.0422386363189</v>
      </c>
      <c r="AE85" s="242">
        <f ca="1">IF('General Inputs'!$K$8=0,0,IF(AE$163&gt;0,-MIN(ContrLennar*AE$163,AE$84),0))</f>
        <v>-13012.426310856763</v>
      </c>
      <c r="AF85" s="242">
        <f ca="1">IF('General Inputs'!$K$8=0,0,IF(AF$163&gt;0,-MIN(ContrLennar*AF$163,AF$84),0))</f>
        <v>-21956.223728908131</v>
      </c>
      <c r="AG85" s="242">
        <f ca="1">IF('General Inputs'!$K$8=0,0,IF(AG$163&gt;0,-MIN(ContrLennar*AG$163,AG$84),0))</f>
        <v>-22320.857894093158</v>
      </c>
      <c r="AH85" s="242">
        <f ca="1">IF('General Inputs'!$K$8=0,0,IF(AH$163&gt;0,-MIN(ContrLennar*AH$163,AH$84),0))</f>
        <v>-22451.172787867479</v>
      </c>
      <c r="AI85" s="242">
        <f ca="1">IF('General Inputs'!$K$8=0,0,IF(AI$163&gt;0,-MIN(ContrLennar*AI$163,AI$84),0))</f>
        <v>-19155.741751984304</v>
      </c>
      <c r="AJ85" s="242">
        <f ca="1">IF('General Inputs'!$K$8=0,0,IF(AJ$163&gt;0,-MIN(ContrLennar*AJ$163,AJ$84),0))</f>
        <v>-19414.63650407867</v>
      </c>
      <c r="AK85" s="242">
        <f ca="1">IF('General Inputs'!$K$8=0,0,IF(AK$163&gt;0,-MIN(ContrLennar*AK$163,AK$84),0))</f>
        <v>-19694.19895145257</v>
      </c>
      <c r="AL85" s="242">
        <f ca="1">IF('General Inputs'!$K$8=0,0,IF(AL$163&gt;0,-MIN(ContrLennar*AL$163,AL$84),0))</f>
        <v>-19972.70023291645</v>
      </c>
      <c r="AM85" s="242">
        <f ca="1">IF('General Inputs'!$K$8=0,0,IF(AM$163&gt;0,-MIN(ContrLennar*AM$163,AM$84),0))</f>
        <v>-20250.121446340527</v>
      </c>
      <c r="AN85" s="242">
        <f ca="1">IF('General Inputs'!$K$8=0,0,IF(AN$163&gt;0,-MIN(ContrLennar*AN$163,AN$84),0))</f>
        <v>-20526.443519413428</v>
      </c>
      <c r="AO85" s="242">
        <f ca="1">IF('General Inputs'!$K$8=0,0,IF(AO$163&gt;0,-MIN(ContrLennar*AO$163,AO$84),0))</f>
        <v>-20801.647208368959</v>
      </c>
      <c r="AP85" s="242">
        <f ca="1">IF('General Inputs'!$K$8=0,0,IF(AP$163&gt;0,-MIN(ContrLennar*AP$163,AP$84),0))</f>
        <v>-20991.996727767983</v>
      </c>
      <c r="AQ85" s="242">
        <f ca="1">IF('General Inputs'!$K$8=0,0,IF(AQ$163&gt;0,-MIN(ContrLennar*AQ$163,AQ$84),0))</f>
        <v>-21348.756472790992</v>
      </c>
      <c r="AR85" s="242">
        <f ca="1">IF('General Inputs'!$K$8=0,0,IF(AR$163&gt;0,-MIN(ContrLennar*AR$163,AR$84),0))</f>
        <v>-21660.353672195371</v>
      </c>
      <c r="AS85" s="242">
        <f ca="1">IF('General Inputs'!$K$8=0,0,IF(AS$163&gt;0,-MIN(ContrLennar*AS$163,AS$84),0))</f>
        <v>-21205.119180538455</v>
      </c>
      <c r="AT85" s="242">
        <f ca="1">IF('General Inputs'!$K$8=0,0,IF(AT$163&gt;0,-MIN(ContrLennar*AT$163,AT$84),0))</f>
        <v>-21390.593757415478</v>
      </c>
      <c r="AU85" s="242">
        <f ca="1">IF('General Inputs'!$K$8=0,0,IF(AU$163&gt;0,-MIN(ContrLennar*AU$163,AU$84),0))</f>
        <v>-21572.639458598813</v>
      </c>
      <c r="AV85" s="242">
        <f ca="1">IF('General Inputs'!$K$8=0,0,IF(AV$163&gt;0,-MIN(ContrLennar*AV$163,AV$84),0))</f>
        <v>-21828.90522008223</v>
      </c>
      <c r="AW85" s="242">
        <f ca="1">IF('General Inputs'!$K$8=0,0,IF(AW$163&gt;0,-MIN(ContrLennar*AW$163,AW$84),0))</f>
        <v>-22077.292673389056</v>
      </c>
      <c r="AX85" s="242">
        <f ca="1">IF('General Inputs'!$K$8=0,0,IF(AX$163&gt;0,-MIN(ContrLennar*AX$163,AX$84),0))</f>
        <v>-22317.732311075153</v>
      </c>
      <c r="AY85" s="242">
        <f ca="1">IF('General Inputs'!$K$8=0,0,IF(AY$163&gt;0,-MIN(ContrLennar*AY$163,AY$84),0))</f>
        <v>-22550.154178493754</v>
      </c>
      <c r="AZ85" s="242">
        <f ca="1">IF('General Inputs'!$K$8=0,0,IF(AZ$163&gt;0,-MIN(ContrLennar*AZ$163,AZ$84),0))</f>
        <v>-22774.487871226564</v>
      </c>
      <c r="BA85" s="242">
        <f ca="1">IF('General Inputs'!$K$8=0,0,IF(BA$163&gt;0,-MIN(ContrLennar*BA$163,BA$84),0))</f>
        <v>-22990.66253250073</v>
      </c>
      <c r="BB85" s="242">
        <f ca="1">IF('General Inputs'!$K$8=0,0,IF(BB$163&gt;0,-MIN(ContrLennar*BB$163,BB$84),0))</f>
        <v>-23137.160172885662</v>
      </c>
      <c r="BC85" s="242">
        <f ca="1">IF('General Inputs'!$K$8=0,0,IF(BC$163&gt;0,-MIN(ContrLennar*BC$163,BC$84),0))</f>
        <v>-23399.177981436045</v>
      </c>
      <c r="BD85" s="242">
        <f ca="1">IF('General Inputs'!$K$8=0,0,IF(BD$163&gt;0,-MIN(ContrLennar*BD$163,BD$84),0))</f>
        <v>-23623.1560566841</v>
      </c>
      <c r="BE85" s="242">
        <f ca="1">IF('General Inputs'!$K$8=0,0,IF(BE$163&gt;0,-MIN(ContrLennar*BE$163,BE$84),0))</f>
        <v>-23241.39600351208</v>
      </c>
      <c r="BF85" s="242">
        <f ca="1">IF('General Inputs'!$K$8=0,0,IF(BF$163&gt;0,-MIN(ContrLennar*BF$163,BF$84),0))</f>
        <v>-23379.235967828037</v>
      </c>
      <c r="BG85" s="242">
        <f ca="1">IF('General Inputs'!$K$8=0,0,IF(BG$163&gt;0,-MIN(ContrLennar*BG$163,BG$84),0))</f>
        <v>-23519.465631538391</v>
      </c>
      <c r="BH85" s="242">
        <f ca="1">IF('General Inputs'!$K$8=0,0,IF(BH$163&gt;0,-MIN(ContrLennar*BH$163,BH$84),0))</f>
        <v>-23721.433255777934</v>
      </c>
      <c r="BI85" s="242">
        <f ca="1">IF('General Inputs'!$K$8=0,0,IF(BI$163&gt;0,-MIN(ContrLennar*BI$163,BI$84),0))</f>
        <v>-23928.753279544104</v>
      </c>
      <c r="BJ85" s="242">
        <f ca="1">IF('General Inputs'!$K$8=0,0,IF(BJ$163&gt;0,-MIN(ContrLennar*BJ$163,BJ$84),0))</f>
        <v>-24141.462629154947</v>
      </c>
      <c r="BK85" s="242">
        <f ca="1">IF('General Inputs'!$K$8=0,0,IF(BK$163&gt;0,-MIN(ContrLennar*BK$163,BK$84),0))</f>
        <v>-24359.598432095932</v>
      </c>
      <c r="BL85" s="242">
        <f ca="1">IF('General Inputs'!$K$8=0,0,IF(BL$163&gt;0,-MIN(ContrLennar*BL$163,BL$84),0))</f>
        <v>-24583.198018010746</v>
      </c>
      <c r="BM85" s="242">
        <f ca="1">IF('General Inputs'!$K$8=0,0,IF(BM$163&gt;0,-MIN(ContrLennar*BM$163,BM$84),0))</f>
        <v>-24812.298919696761</v>
      </c>
      <c r="BN85" s="242">
        <f ca="1">IF('General Inputs'!$K$8=0,0,IF(BN$163&gt;0,-MIN(ContrLennar*BN$163,BN$84),0))</f>
        <v>-24976.829693809508</v>
      </c>
      <c r="BO85" s="242">
        <f ca="1">IF('General Inputs'!$K$8=0,0,IF(BO$163&gt;0,-MIN(ContrLennar*BO$163,BO$84),0))</f>
        <v>-25286.542819583225</v>
      </c>
      <c r="BP85" s="242">
        <f ca="1">IF('General Inputs'!$K$8=0,0,IF(BP$163&gt;0,-MIN(ContrLennar*BP$163,BP$84),0))</f>
        <v>-25562.74187089004</v>
      </c>
      <c r="BQ85" s="242">
        <f ca="1">IF('General Inputs'!$K$8=0,0,IF(BQ$163&gt;0,-MIN(ContrLennar*BQ$163,BQ$84),0))</f>
        <v>-25191.110262718721</v>
      </c>
      <c r="BR85" s="242">
        <f ca="1">IF('General Inputs'!$K$8=0,0,IF(BR$163&gt;0,-MIN(ContrLennar*BR$163,BR$84),0))</f>
        <v>-25363.679770327155</v>
      </c>
      <c r="BS85" s="242">
        <f ca="1">IF('General Inputs'!$K$8=0,0,IF(BS$163&gt;0,-MIN(ContrLennar*BS$163,BS$84),0))</f>
        <v>-25536.719097857153</v>
      </c>
      <c r="BT85" s="242">
        <f ca="1">IF('General Inputs'!$K$8=0,0,IF(BT$163&gt;0,-MIN(ContrLennar*BT$163,BT$84),0))</f>
        <v>-25784.647538052715</v>
      </c>
      <c r="BU85" s="242">
        <f ca="1">IF('General Inputs'!$K$8=0,0,IF(BU$163&gt;0,-MIN(ContrLennar*BU$163,BU$84),0))</f>
        <v>-26033.562778098676</v>
      </c>
      <c r="BV85" s="242">
        <f ca="1">IF('General Inputs'!$K$8=0,0,IF(BV$163&gt;0,-MIN(ContrLennar*BV$163,BV$84),0))</f>
        <v>-26283.468808438309</v>
      </c>
      <c r="BW85" s="242">
        <f ca="1">IF('General Inputs'!$K$8=0,0,IF(BW$163&gt;0,-MIN(ContrLennar*BW$163,BW$84),0))</f>
        <v>-26534.369635812873</v>
      </c>
      <c r="BX85" s="242">
        <f ca="1">IF('General Inputs'!$K$8=0,0,IF(BX$163&gt;0,-MIN(ContrLennar*BX$163,BX$84),0))</f>
        <v>-26786.269283328678</v>
      </c>
      <c r="BY85" s="242">
        <f ca="1">IF('General Inputs'!$K$8=0,0,IF(BY$163&gt;0,-MIN(ContrLennar*BY$163,BY$84),0))</f>
        <v>-27039.17179052424</v>
      </c>
      <c r="BZ85" s="242">
        <f ca="1">IF('General Inputs'!$K$8=0,0,IF(BZ$163&gt;0,-MIN(ContrLennar*BZ$163,BZ$84),0))</f>
        <v>-27216.792001109075</v>
      </c>
      <c r="CA85" s="242">
        <f ca="1">IF('General Inputs'!$K$8=0,0,IF(CA$163&gt;0,-MIN(ContrLennar*CA$163,CA$84),0))</f>
        <v>-27547.89615483968</v>
      </c>
      <c r="CB85" s="242">
        <f ca="1">IF('General Inputs'!$K$8=0,0,IF(CB$163&gt;0,-MIN(ContrLennar*CB$163,CB$84),0))</f>
        <v>-27839.208507062012</v>
      </c>
      <c r="CC85" s="242">
        <f ca="1">IF('General Inputs'!$K$8=0,0,IF(CC$163&gt;0,-MIN(ContrLennar*CC$163,CC$84),0))</f>
        <v>-27456.692738257017</v>
      </c>
      <c r="CD85" s="242">
        <f ca="1">IF('General Inputs'!$K$8=0,0,IF(CD$163&gt;0,-MIN(ContrLennar*CD$163,CD$84),0))</f>
        <v>-27636.255432707472</v>
      </c>
      <c r="CE85" s="242">
        <f ca="1">IF('General Inputs'!$K$8=0,0,IF(CE$163&gt;0,-MIN(ContrLennar*CE$163,CE$84),0))</f>
        <v>-27816.307063198106</v>
      </c>
      <c r="CF85" s="242">
        <f ca="1">IF('General Inputs'!$K$8=0,0,IF(CF$163&gt;0,-MIN(ContrLennar*CF$163,CF$84),0))</f>
        <v>-28074.412594409816</v>
      </c>
      <c r="CG85" s="242">
        <f ca="1">IF('General Inputs'!$K$8=0,0,IF(CG$163&gt;0,-MIN(ContrLennar*CG$163,CG$84),0))</f>
        <v>-28333.54589045628</v>
      </c>
      <c r="CH85" s="242">
        <f ca="1">IF('General Inputs'!$K$8=0,0,IF(CH$163&gt;0,-MIN(ContrLennar*CH$163,CH$84),0))</f>
        <v>-28593.711108613719</v>
      </c>
      <c r="CI85" s="242">
        <f ca="1">IF('General Inputs'!$K$8=0,0,IF(CI$163&gt;0,-MIN(ContrLennar*CI$163,CI$84),0))</f>
        <v>-28854.912423140806</v>
      </c>
      <c r="CJ85" s="242">
        <f ca="1">IF('General Inputs'!$K$8=0,0,IF(CJ$163&gt;0,-MIN(ContrLennar*CJ$163,CJ$84),0))</f>
        <v>-29117.154025348373</v>
      </c>
      <c r="CK85" s="242">
        <f ca="1">IF('General Inputs'!$K$8=0,0,IF(CK$163&gt;0,-MIN(ContrLennar*CK$163,CK$84),0))</f>
        <v>-29380.440123669541</v>
      </c>
      <c r="CL85" s="242">
        <f ca="1">IF('General Inputs'!$K$8=0,0,IF(CL$163&gt;0,-MIN(ContrLennar*CL$163,CL$84),0))</f>
        <v>-29565.261016878245</v>
      </c>
      <c r="CM85" s="242">
        <f ca="1">IF('General Inputs'!$K$8=0,0,IF(CM$163&gt;0,-MIN(ContrLennar*CM$163,CM$84),0))</f>
        <v>-29910.052800415393</v>
      </c>
      <c r="CN85" s="242">
        <f ca="1">IF('General Inputs'!$K$8=0,0,IF(CN$163&gt;0,-MIN(ContrLennar*CN$163,CN$84),0))</f>
        <v>-30213.370039256737</v>
      </c>
      <c r="CO85" s="242">
        <f ca="1">IF('General Inputs'!$K$8=0,0,IF(CO$163&gt;0,-MIN(ContrLennar*CO$163,CO$84),0))</f>
        <v>-29819.587397498246</v>
      </c>
      <c r="CP85" s="242">
        <f ca="1">IF('General Inputs'!$K$8=0,0,IF(CP$163&gt;0,-MIN(ContrLennar*CP$163,CP$84),0))</f>
        <v>-30006.429840285524</v>
      </c>
      <c r="CQ85" s="242">
        <f ca="1">IF('General Inputs'!$K$8=0,0,IF(CQ$163&gt;0,-MIN(ContrLennar*CQ$163,CQ$84),0))</f>
        <v>-30193.781120972886</v>
      </c>
      <c r="CR85" s="242">
        <f ca="1">IF('General Inputs'!$K$8=0,0,IF(CR$163&gt;0,-MIN(ContrLennar*CR$163,CR$84),0))</f>
        <v>-30462.484842418977</v>
      </c>
      <c r="CS85" s="242">
        <f ca="1">IF('General Inputs'!$K$8=0,0,IF(CS$163&gt;0,-MIN(ContrLennar*CS$163,CS$84),0))</f>
        <v>-30732.259002858151</v>
      </c>
      <c r="CT85" s="242">
        <f ca="1">IF('General Inputs'!$K$8=0,0,IF(CT$163&gt;0,-MIN(ContrLennar*CT$163,CT$84),0))</f>
        <v>-31003.107933396339</v>
      </c>
      <c r="CU85" s="242">
        <f ca="1">IF('General Inputs'!$K$8=0,0,IF(CU$163&gt;0,-MIN(ContrLennar*CU$163,CU$84),0))</f>
        <v>-31275.035982835088</v>
      </c>
      <c r="CV85" s="242">
        <f ca="1">IF('General Inputs'!$K$8=0,0,IF(CV$163&gt;0,-MIN(ContrLennar*CV$163,CV$84),0))</f>
        <v>-31548.047517744224</v>
      </c>
      <c r="CW85" s="242">
        <f ca="1">IF('General Inputs'!$K$8=0,0,IF(CW$163&gt;0,-MIN(ContrLennar*CW$163,CW$84),0))</f>
        <v>-31822.146922534906</v>
      </c>
      <c r="CX85" s="242">
        <f ca="1">IF('General Inputs'!$K$8=0,0,IF(CX$163&gt;0,-MIN(ContrLennar*CX$163,CX$84),0))</f>
        <v>-32014.463650763646</v>
      </c>
      <c r="CY85" s="242">
        <f ca="1">IF('General Inputs'!$K$8=0,0,IF(CY$163&gt;0,-MIN(ContrLennar*CY$163,CY$84),0))</f>
        <v>-32373.512394435907</v>
      </c>
      <c r="CZ85" s="242">
        <f ca="1">IF('General Inputs'!$K$8=0,0,IF(CZ$163&gt;0,-MIN(ContrLennar*CZ$163,CZ$84),0))</f>
        <v>-32689.332698553677</v>
      </c>
      <c r="DA85" s="242">
        <f ca="1">IF('General Inputs'!$K$8=0,0,IF(DA$163&gt;0,-MIN(ContrLennar*DA$163,DA$84),0))</f>
        <v>-32283.879676200675</v>
      </c>
      <c r="DB85" s="242">
        <f ca="1">IF('General Inputs'!$K$8=0,0,IF(DB$163&gt;0,-MIN(ContrLennar*DB$163,DB$84),0))</f>
        <v>-32478.300270527965</v>
      </c>
      <c r="DC85" s="242">
        <f ca="1">IF('General Inputs'!$K$8=0,0,IF(DC$163&gt;0,-MIN(ContrLennar*DC$163,DC$84),0))</f>
        <v>-32673.25042290071</v>
      </c>
      <c r="DD85" s="242">
        <f ca="1">IF('General Inputs'!$K$8=0,0,IF(DD$163&gt;0,-MIN(ContrLennar*DD$163,DD$84),0))</f>
        <v>-32952.990961024567</v>
      </c>
      <c r="DE85" s="242">
        <f ca="1">IF('General Inputs'!$K$8=0,0,IF(DE$163&gt;0,-MIN(ContrLennar*DE$163,DE$84),0))</f>
        <v>-33233.846393047897</v>
      </c>
      <c r="DF85" s="242">
        <f ca="1">IF('General Inputs'!$K$8=0,0,IF(DF$163&gt;0,-MIN(ContrLennar*DF$163,DF$84),0))</f>
        <v>-33515.821231197224</v>
      </c>
      <c r="DG85" s="242">
        <f ca="1">IF('General Inputs'!$K$8=0,0,IF(DG$163&gt;0,-MIN(ContrLennar*DG$163,DG$84),0))</f>
        <v>-33798.920006137741</v>
      </c>
      <c r="DH85" s="242">
        <f ca="1">IF('General Inputs'!$K$8=0,0,IF(DH$163&gt;0,-MIN(ContrLennar*DH$163,DH$84),0))</f>
        <v>-34083.147267049229</v>
      </c>
      <c r="DI85" s="242">
        <f ca="1">IF('General Inputs'!$K$8=0,0,IF(DI$163&gt;0,-MIN(ContrLennar*DI$163,DI$84),0))</f>
        <v>-34368.507581702092</v>
      </c>
      <c r="DJ85" s="242">
        <f ca="1">IF('General Inputs'!$K$8=0,0,IF(DJ$163&gt;0,-MIN(ContrLennar*DJ$163,DJ$84),0))</f>
        <v>-34568.62749679343</v>
      </c>
      <c r="DK85" s="242">
        <f ca="1">IF('General Inputs'!$K$8=0,0,IF(DK$163&gt;0,-MIN(ContrLennar*DK$163,DK$84),0))</f>
        <v>-34942.526319085577</v>
      </c>
      <c r="DL85" s="242">
        <f ca="1">IF('General Inputs'!$K$8=0,0,IF(DL$163&gt;0,-MIN(ContrLennar*DL$163,DL$84),0))</f>
        <v>-35271.368647056755</v>
      </c>
      <c r="DM85" s="242">
        <f ca="1">IF('General Inputs'!$K$8=0,0,IF(DM$163&gt;0,-MIN(ContrLennar*DM$163,DM$84),0))</f>
        <v>-34853.819223049017</v>
      </c>
      <c r="DN85" s="242">
        <f ca="1">IF('General Inputs'!$K$8=0,0,IF(DN$163&gt;0,-MIN(ContrLennar*DN$163,DN$84),0))</f>
        <v>-35056.128706238131</v>
      </c>
      <c r="DO85" s="242">
        <f ca="1">IF('General Inputs'!$K$8=0,0,IF(DO$163&gt;0,-MIN(ContrLennar*DO$163,DO$84),0))</f>
        <v>-35258.989319803455</v>
      </c>
      <c r="DP85" s="242">
        <f ca="1">IF('General Inputs'!$K$8=0,0,IF(DP$163&gt;0,-MIN(ContrLennar*DP$163,DP$84),0))</f>
        <v>-35550.223560968232</v>
      </c>
      <c r="DQ85" s="242">
        <f ca="1">IF('General Inputs'!$K$8=0,0,IF(DQ$163&gt;0,-MIN(ContrLennar*DQ$163,DQ$84),0))</f>
        <v>-35842.619006266381</v>
      </c>
      <c r="DR85" s="242">
        <f ca="1">IF('General Inputs'!$K$8=0,0,IF(DR$163&gt;0,-MIN(ContrLennar*DR$163,DR$84),0))</f>
        <v>-36136.18035664221</v>
      </c>
      <c r="DS85" s="242">
        <f ca="1">IF('General Inputs'!$K$8=0,0,IF(DS$163&gt;0,-MIN(ContrLennar*DS$163,DS$84),0))</f>
        <v>-36430.91233225321</v>
      </c>
      <c r="DT85" s="242">
        <f ca="1">IF('General Inputs'!$K$8=0,0,IF(DT$163&gt;0,-MIN(ContrLennar*DT$163,DT$84),0))</f>
        <v>-36726.819672549005</v>
      </c>
      <c r="DU85" s="242">
        <f ca="1">IF('General Inputs'!$K$8=0,0,IF(DU$163&gt;0,-MIN(ContrLennar*DU$163,DU$84),0))</f>
        <v>-37023.90713635071</v>
      </c>
      <c r="DV85" s="242">
        <f ca="1">IF('General Inputs'!$K$8=0,0,IF(DV$163&gt;0,-MIN(ContrLennar*DV$163,DV$84),0))</f>
        <v>-37232.150296963613</v>
      </c>
      <c r="DW85" s="242">
        <f ca="1">IF('General Inputs'!$K$8=0,0,IF(DW$163&gt;0,-MIN(ContrLennar*DW$163,DW$84),0))</f>
        <v>-37621.517101715974</v>
      </c>
      <c r="DX85" s="242">
        <f ca="1">IF('General Inputs'!$K$8=0,0,IF(DX$163&gt;0,-MIN(ContrLennar*DX$163,DX$84),0))</f>
        <v>-37963.922062059391</v>
      </c>
      <c r="DY85" s="242">
        <f ca="1">IF('General Inputs'!$K$8=0,0,IF(DY$163&gt;0,-MIN(ContrLennar*DY$163,DY$84),0))</f>
        <v>-37533.825815748904</v>
      </c>
      <c r="DZ85" s="242">
        <f ca="1">IF('General Inputs'!$K$8=0,0,IF(DZ$163&gt;0,-MIN(ContrLennar*DZ$163,DZ$84),0))</f>
        <v>-37744.347772220615</v>
      </c>
      <c r="EA85" s="242">
        <f ca="1">IF('General Inputs'!$K$8=0,0,IF(EA$163&gt;0,-MIN(ContrLennar*EA$163,EA$84),0))</f>
        <v>-37955.443318896825</v>
      </c>
      <c r="EB85" s="242">
        <f ca="1">IF('General Inputs'!$K$8=0,0,IF(EB$163&gt;0,-MIN(ContrLennar*EB$163,EB$84),0))</f>
        <v>-38258.64717280562</v>
      </c>
      <c r="EC85" s="242">
        <f ca="1">IF('General Inputs'!$K$8=0,0,IF(EC$163&gt;0,-MIN(ContrLennar*EC$163,EC$84),0))</f>
        <v>-38563.060474120226</v>
      </c>
      <c r="ED85" s="242">
        <f ca="1">IF('General Inputs'!$K$8=0,0,IF(ED$163&gt;0,-MIN(ContrLennar*ED$163,ED$84),0))</f>
        <v>-38868.688120419407</v>
      </c>
      <c r="EE85" s="242">
        <f ca="1">IF('General Inputs'!$K$8=0,0,IF(EE$163&gt;0,-MIN(ContrLennar*EE$163,EE$84),0))</f>
        <v>-39175.535029302133</v>
      </c>
      <c r="EF85" s="242">
        <f ca="1">IF('General Inputs'!$K$8=0,0,IF(EF$163&gt;0,-MIN(ContrLennar*EF$163,EF$84),0))</f>
        <v>-39483.606139118834</v>
      </c>
      <c r="EG85" s="242">
        <f ca="1">IF('General Inputs'!$K$8=0,0,IF(EG$163&gt;0,-MIN(ContrLennar*EG$163,EG$84),0))</f>
        <v>-39792.906404725887</v>
      </c>
    </row>
    <row r="86" spans="1:137" x14ac:dyDescent="0.3">
      <c r="A86" s="245" t="s">
        <v>843</v>
      </c>
      <c r="B86" s="245"/>
      <c r="C86" s="245"/>
      <c r="D86" s="726"/>
      <c r="E86" s="227">
        <f t="shared" ref="E86:BP86" ca="1" si="128">SUM(E84:E85)</f>
        <v>0</v>
      </c>
      <c r="F86" s="227">
        <f t="shared" ca="1" si="128"/>
        <v>1560.0057920095715</v>
      </c>
      <c r="G86" s="227">
        <f t="shared" ca="1" si="128"/>
        <v>15799.420229805544</v>
      </c>
      <c r="H86" s="227">
        <f t="shared" ca="1" si="128"/>
        <v>30555.421073999729</v>
      </c>
      <c r="I86" s="227">
        <f t="shared" ca="1" si="128"/>
        <v>46038.570298148748</v>
      </c>
      <c r="J86" s="227">
        <f t="shared" ca="1" si="128"/>
        <v>62676.871954168484</v>
      </c>
      <c r="K86" s="227">
        <f t="shared" ca="1" si="128"/>
        <v>81128.363695857872</v>
      </c>
      <c r="L86" s="227">
        <f t="shared" ca="1" si="128"/>
        <v>101457.18227107306</v>
      </c>
      <c r="M86" s="227">
        <f t="shared" ca="1" si="128"/>
        <v>124151.70441326284</v>
      </c>
      <c r="N86" s="227">
        <f t="shared" ca="1" si="128"/>
        <v>149640.6070526758</v>
      </c>
      <c r="O86" s="227">
        <f t="shared" ca="1" si="128"/>
        <v>178391.62106733883</v>
      </c>
      <c r="P86" s="227">
        <f t="shared" ca="1" si="128"/>
        <v>209113.07703788357</v>
      </c>
      <c r="Q86" s="227">
        <f t="shared" ca="1" si="128"/>
        <v>240090.5451415162</v>
      </c>
      <c r="R86" s="227">
        <f t="shared" ca="1" si="128"/>
        <v>271326.15881267906</v>
      </c>
      <c r="S86" s="227">
        <f t="shared" ca="1" si="128"/>
        <v>302822.06926443498</v>
      </c>
      <c r="T86" s="227">
        <f t="shared" ca="1" si="128"/>
        <v>334580.4456366222</v>
      </c>
      <c r="U86" s="227">
        <f t="shared" ca="1" si="128"/>
        <v>366603.47514524427</v>
      </c>
      <c r="V86" s="227">
        <f t="shared" ca="1" si="128"/>
        <v>398893.36323310487</v>
      </c>
      <c r="W86" s="227">
        <f t="shared" ca="1" si="128"/>
        <v>431452.33372169768</v>
      </c>
      <c r="X86" s="227">
        <f t="shared" ca="1" si="128"/>
        <v>464282.62896436208</v>
      </c>
      <c r="Y86" s="227">
        <f t="shared" ca="1" si="128"/>
        <v>497386.51000071538</v>
      </c>
      <c r="Z86" s="227">
        <f t="shared" ca="1" si="128"/>
        <v>530766.2567123716</v>
      </c>
      <c r="AA86" s="227">
        <f t="shared" ca="1" si="128"/>
        <v>564424.16797995823</v>
      </c>
      <c r="AB86" s="227">
        <f t="shared" ca="1" si="128"/>
        <v>598362.56184144143</v>
      </c>
      <c r="AC86" s="227">
        <f t="shared" ca="1" si="128"/>
        <v>628172.4727027613</v>
      </c>
      <c r="AD86" s="227">
        <f t="shared" ca="1" si="128"/>
        <v>654209.06019829831</v>
      </c>
      <c r="AE86" s="227">
        <f t="shared" ca="1" si="128"/>
        <v>675883.23518407764</v>
      </c>
      <c r="AF86" s="227">
        <f t="shared" ca="1" si="128"/>
        <v>688794.2308766871</v>
      </c>
      <c r="AG86" s="227">
        <f t="shared" ca="1" si="128"/>
        <v>701448.18403488328</v>
      </c>
      <c r="AH86" s="227">
        <f t="shared" ca="1" si="128"/>
        <v>714077.2719089567</v>
      </c>
      <c r="AI86" s="227">
        <f t="shared" ca="1" si="128"/>
        <v>730107.03309704957</v>
      </c>
      <c r="AJ86" s="227">
        <f t="shared" ca="1" si="128"/>
        <v>746011.48099709663</v>
      </c>
      <c r="AK86" s="227">
        <f t="shared" ca="1" si="128"/>
        <v>761768.90351560339</v>
      </c>
      <c r="AL86" s="227">
        <f t="shared" ca="1" si="128"/>
        <v>777379.13660696731</v>
      </c>
      <c r="AM86" s="227">
        <f t="shared" ca="1" si="128"/>
        <v>792842.03376066836</v>
      </c>
      <c r="AN86" s="227">
        <f t="shared" ca="1" si="128"/>
        <v>808157.4663175774</v>
      </c>
      <c r="AO86" s="227">
        <f t="shared" ca="1" si="128"/>
        <v>823325.32379017177</v>
      </c>
      <c r="AP86" s="227">
        <f t="shared" ca="1" si="128"/>
        <v>838429.23055563879</v>
      </c>
      <c r="AQ86" s="227">
        <f t="shared" ca="1" si="128"/>
        <v>853302.24346579507</v>
      </c>
      <c r="AR86" s="227">
        <f t="shared" ca="1" si="128"/>
        <v>867987.60095079825</v>
      </c>
      <c r="AS86" s="227">
        <f t="shared" ca="1" si="128"/>
        <v>883250.57090649998</v>
      </c>
      <c r="AT86" s="227">
        <f t="shared" ca="1" si="128"/>
        <v>898455.25770162232</v>
      </c>
      <c r="AU86" s="227">
        <f t="shared" ca="1" si="128"/>
        <v>913604.60451885394</v>
      </c>
      <c r="AV86" s="227">
        <f t="shared" ca="1" si="128"/>
        <v>928623.93013141234</v>
      </c>
      <c r="AW86" s="227">
        <f t="shared" ca="1" si="128"/>
        <v>943520.02933743526</v>
      </c>
      <c r="AX86" s="227">
        <f t="shared" ca="1" si="128"/>
        <v>958299.82306582225</v>
      </c>
      <c r="AY86" s="227">
        <f t="shared" ca="1" si="128"/>
        <v>972970.3598745272</v>
      </c>
      <c r="AZ86" s="227">
        <f t="shared" ca="1" si="128"/>
        <v>987538.81746390532</v>
      </c>
      <c r="BA86" s="227">
        <f t="shared" ca="1" si="128"/>
        <v>1002012.5042052541</v>
      </c>
      <c r="BB86" s="227">
        <f t="shared" ca="1" si="128"/>
        <v>1016460.3073623959</v>
      </c>
      <c r="BC86" s="227">
        <f t="shared" ca="1" si="128"/>
        <v>1030766.49107063</v>
      </c>
      <c r="BD86" s="227">
        <f t="shared" ca="1" si="128"/>
        <v>1044967.9149011847</v>
      </c>
      <c r="BE86" s="227">
        <f t="shared" ca="1" si="128"/>
        <v>1059669.4439834997</v>
      </c>
      <c r="BF86" s="227">
        <f t="shared" ca="1" si="128"/>
        <v>1074355.6458438511</v>
      </c>
      <c r="BG86" s="227">
        <f t="shared" ca="1" si="128"/>
        <v>1089024.0030559951</v>
      </c>
      <c r="BH86" s="227">
        <f t="shared" ca="1" si="128"/>
        <v>1103612.6289540008</v>
      </c>
      <c r="BI86" s="227">
        <f t="shared" ca="1" si="128"/>
        <v>1118115.5067107235</v>
      </c>
      <c r="BJ86" s="227">
        <f t="shared" ca="1" si="128"/>
        <v>1132526.5324324747</v>
      </c>
      <c r="BK86" s="227">
        <f t="shared" ca="1" si="128"/>
        <v>1146839.5142322995</v>
      </c>
      <c r="BL86" s="227">
        <f t="shared" ca="1" si="128"/>
        <v>1161048.1712945416</v>
      </c>
      <c r="BM86" s="227">
        <f t="shared" ca="1" si="128"/>
        <v>1175146.1329306161</v>
      </c>
      <c r="BN86" s="227">
        <f t="shared" ca="1" si="128"/>
        <v>1189197.0468062118</v>
      </c>
      <c r="BO86" s="227">
        <f t="shared" ca="1" si="128"/>
        <v>1203055.3385049971</v>
      </c>
      <c r="BP86" s="227">
        <f t="shared" ca="1" si="128"/>
        <v>1216752.9169166321</v>
      </c>
      <c r="BQ86" s="227">
        <f t="shared" ref="BQ86:EB86" ca="1" si="129">SUM(BQ84:BQ85)</f>
        <v>1230936.2734232021</v>
      </c>
      <c r="BR86" s="227">
        <f t="shared" ca="1" si="129"/>
        <v>1245065.2550597186</v>
      </c>
      <c r="BS86" s="227">
        <f t="shared" ca="1" si="129"/>
        <v>1259138.9388823428</v>
      </c>
      <c r="BT86" s="227">
        <f t="shared" ca="1" si="129"/>
        <v>1273081.9749632932</v>
      </c>
      <c r="BU86" s="227">
        <f t="shared" ca="1" si="129"/>
        <v>1286892.2877715388</v>
      </c>
      <c r="BV86" s="227">
        <f t="shared" ca="1" si="129"/>
        <v>1300567.7804895134</v>
      </c>
      <c r="BW86" s="227">
        <f t="shared" ca="1" si="129"/>
        <v>1314106.33481943</v>
      </c>
      <c r="BX86" s="227">
        <f t="shared" ca="1" si="129"/>
        <v>1327505.8107879136</v>
      </c>
      <c r="BY86" s="227">
        <f t="shared" ca="1" si="129"/>
        <v>1340764.0465489391</v>
      </c>
      <c r="BZ86" s="227">
        <f t="shared" ca="1" si="129"/>
        <v>1353955.147397388</v>
      </c>
      <c r="CA86" s="227">
        <f t="shared" ca="1" si="129"/>
        <v>1366925.0699325101</v>
      </c>
      <c r="CB86" s="227">
        <f t="shared" ca="1" si="129"/>
        <v>1379711.7628032027</v>
      </c>
      <c r="CC86" s="227">
        <f t="shared" ca="1" si="129"/>
        <v>1392987.5272166226</v>
      </c>
      <c r="CD86" s="227">
        <f t="shared" ca="1" si="129"/>
        <v>1406194.3603057039</v>
      </c>
      <c r="CE86" s="227">
        <f t="shared" ca="1" si="129"/>
        <v>1419331.1987067035</v>
      </c>
      <c r="CF86" s="227">
        <f t="shared" ca="1" si="129"/>
        <v>1432319.405229833</v>
      </c>
      <c r="CG86" s="227">
        <f t="shared" ca="1" si="129"/>
        <v>1445156.7135112756</v>
      </c>
      <c r="CH86" s="227">
        <f t="shared" ca="1" si="129"/>
        <v>1457840.8341435727</v>
      </c>
      <c r="CI86" s="227">
        <f t="shared" ca="1" si="129"/>
        <v>1470369.4544666118</v>
      </c>
      <c r="CJ86" s="227">
        <f t="shared" ca="1" si="129"/>
        <v>1482740.2383568021</v>
      </c>
      <c r="CK86" s="227">
        <f t="shared" ca="1" si="129"/>
        <v>1494950.8260144228</v>
      </c>
      <c r="CL86" s="227">
        <f t="shared" ca="1" si="129"/>
        <v>1507078.3476759817</v>
      </c>
      <c r="CM86" s="227">
        <f t="shared" ca="1" si="129"/>
        <v>1518962.1402345165</v>
      </c>
      <c r="CN86" s="227">
        <f t="shared" ca="1" si="129"/>
        <v>1530641.6471588642</v>
      </c>
      <c r="CO86" s="227">
        <f t="shared" ca="1" si="129"/>
        <v>1542812.2659493401</v>
      </c>
      <c r="CP86" s="227">
        <f t="shared" ca="1" si="129"/>
        <v>1554897.4641202826</v>
      </c>
      <c r="CQ86" s="227">
        <f t="shared" ca="1" si="129"/>
        <v>1566896.0209952956</v>
      </c>
      <c r="CR86" s="227">
        <f t="shared" ca="1" si="129"/>
        <v>1578725.8621228212</v>
      </c>
      <c r="CS86" s="227">
        <f t="shared" ca="1" si="129"/>
        <v>1590384.5110993036</v>
      </c>
      <c r="CT86" s="227">
        <f t="shared" ca="1" si="129"/>
        <v>1601869.4665533851</v>
      </c>
      <c r="CU86" s="227">
        <f t="shared" ca="1" si="129"/>
        <v>1613178.2019201452</v>
      </c>
      <c r="CV86" s="227">
        <f t="shared" ca="1" si="129"/>
        <v>1624308.1652133858</v>
      </c>
      <c r="CW86" s="227">
        <f t="shared" ca="1" si="129"/>
        <v>1635256.7787959462</v>
      </c>
      <c r="CX86" s="227">
        <f t="shared" ca="1" si="129"/>
        <v>1646104.3140967989</v>
      </c>
      <c r="CY86" s="227">
        <f t="shared" ca="1" si="129"/>
        <v>1656683.1967814865</v>
      </c>
      <c r="CZ86" s="227">
        <f t="shared" ca="1" si="129"/>
        <v>1667034.4165177622</v>
      </c>
      <c r="DA86" s="227">
        <f t="shared" ca="1" si="129"/>
        <v>1677877.3494408599</v>
      </c>
      <c r="DB86" s="227">
        <f t="shared" ca="1" si="129"/>
        <v>1688616.2195439893</v>
      </c>
      <c r="DC86" s="227">
        <f t="shared" ca="1" si="129"/>
        <v>1699249.6300789388</v>
      </c>
      <c r="DD86" s="227">
        <f t="shared" ca="1" si="129"/>
        <v>1709691.9118302222</v>
      </c>
      <c r="DE86" s="227">
        <f t="shared" ca="1" si="129"/>
        <v>1719940.3571640765</v>
      </c>
      <c r="DF86" s="227">
        <f t="shared" ca="1" si="129"/>
        <v>1729992.2313708968</v>
      </c>
      <c r="DG86" s="227">
        <f t="shared" ca="1" si="129"/>
        <v>1739844.7724211668</v>
      </c>
      <c r="DH86" s="227">
        <f t="shared" ca="1" si="129"/>
        <v>1749495.1907192864</v>
      </c>
      <c r="DI86" s="227">
        <f t="shared" ca="1" si="129"/>
        <v>1758940.6688552434</v>
      </c>
      <c r="DJ86" s="227">
        <f t="shared" ca="1" si="129"/>
        <v>1768264.7393939027</v>
      </c>
      <c r="DK86" s="227">
        <f t="shared" ca="1" si="129"/>
        <v>1777292.6116981125</v>
      </c>
      <c r="DL86" s="227">
        <f t="shared" ca="1" si="129"/>
        <v>1786066.8739435538</v>
      </c>
      <c r="DM86" s="227">
        <f t="shared" ca="1" si="129"/>
        <v>1795331.804465052</v>
      </c>
      <c r="DN86" s="227">
        <f t="shared" ca="1" si="129"/>
        <v>1804471.6332577141</v>
      </c>
      <c r="DO86" s="227">
        <f t="shared" ca="1" si="129"/>
        <v>1813484.7666767486</v>
      </c>
      <c r="DP86" s="227">
        <f t="shared" ca="1" si="129"/>
        <v>1822281.7752997761</v>
      </c>
      <c r="DQ86" s="227">
        <f t="shared" ca="1" si="129"/>
        <v>1830859.6968826328</v>
      </c>
      <c r="DR86" s="227">
        <f t="shared" ca="1" si="129"/>
        <v>1839215.5397948918</v>
      </c>
      <c r="DS86" s="227">
        <f t="shared" ca="1" si="129"/>
        <v>1847346.2827557018</v>
      </c>
      <c r="DT86" s="227">
        <f t="shared" ca="1" si="129"/>
        <v>1855248.8745681248</v>
      </c>
      <c r="DU86" s="227">
        <f t="shared" ca="1" si="129"/>
        <v>1862920.2338477008</v>
      </c>
      <c r="DV86" s="227">
        <f t="shared" ca="1" si="129"/>
        <v>1870447.2779612178</v>
      </c>
      <c r="DW86" s="227">
        <f t="shared" ca="1" si="129"/>
        <v>1877647.680637198</v>
      </c>
      <c r="DX86" s="227">
        <f t="shared" ca="1" si="129"/>
        <v>1884565.6817079673</v>
      </c>
      <c r="DY86" s="227">
        <f t="shared" ca="1" si="129"/>
        <v>1891971.4290334273</v>
      </c>
      <c r="DZ86" s="227">
        <f t="shared" ca="1" si="129"/>
        <v>1899228.3689628574</v>
      </c>
      <c r="EA86" s="227">
        <f t="shared" ca="1" si="129"/>
        <v>1906334.6878445554</v>
      </c>
      <c r="EB86" s="227">
        <f t="shared" ca="1" si="129"/>
        <v>1913197.0221944959</v>
      </c>
      <c r="EC86" s="227">
        <f t="shared" ref="EC86:EG86" ca="1" si="130">SUM(EC84:EC85)</f>
        <v>1919812.1293610192</v>
      </c>
      <c r="ED86" s="227">
        <f t="shared" ca="1" si="130"/>
        <v>1926176.7347730321</v>
      </c>
      <c r="EE86" s="227">
        <f t="shared" ca="1" si="130"/>
        <v>1932287.531620645</v>
      </c>
      <c r="EF86" s="227">
        <f t="shared" ca="1" si="130"/>
        <v>1938141.1809226652</v>
      </c>
      <c r="EG86" s="227">
        <f t="shared" ca="1" si="130"/>
        <v>1943734.3102234257</v>
      </c>
    </row>
    <row r="87" spans="1:137" x14ac:dyDescent="0.3">
      <c r="A87" t="s">
        <v>2472</v>
      </c>
      <c r="E87" s="242">
        <f t="shared" ref="E87:BP87" si="131">E134</f>
        <v>0</v>
      </c>
      <c r="F87" s="242">
        <f t="shared" si="131"/>
        <v>0</v>
      </c>
      <c r="G87" s="242">
        <f t="shared" si="131"/>
        <v>0</v>
      </c>
      <c r="H87" s="242">
        <f t="shared" si="131"/>
        <v>0</v>
      </c>
      <c r="I87" s="242">
        <f t="shared" si="131"/>
        <v>0</v>
      </c>
      <c r="J87" s="242">
        <f t="shared" si="131"/>
        <v>0</v>
      </c>
      <c r="K87" s="242">
        <f t="shared" si="131"/>
        <v>0</v>
      </c>
      <c r="L87" s="242">
        <f t="shared" si="131"/>
        <v>0</v>
      </c>
      <c r="M87" s="242">
        <f t="shared" si="131"/>
        <v>0</v>
      </c>
      <c r="N87" s="242">
        <f t="shared" si="131"/>
        <v>0</v>
      </c>
      <c r="O87" s="242">
        <f t="shared" si="131"/>
        <v>0</v>
      </c>
      <c r="P87" s="242">
        <f t="shared" si="131"/>
        <v>0</v>
      </c>
      <c r="Q87" s="242">
        <f t="shared" si="131"/>
        <v>0</v>
      </c>
      <c r="R87" s="242">
        <f t="shared" si="131"/>
        <v>0</v>
      </c>
      <c r="S87" s="242">
        <f t="shared" si="131"/>
        <v>0</v>
      </c>
      <c r="T87" s="242">
        <f t="shared" si="131"/>
        <v>0</v>
      </c>
      <c r="U87" s="242">
        <f t="shared" si="131"/>
        <v>0</v>
      </c>
      <c r="V87" s="242">
        <f t="shared" si="131"/>
        <v>0</v>
      </c>
      <c r="W87" s="242">
        <f t="shared" si="131"/>
        <v>0</v>
      </c>
      <c r="X87" s="242">
        <f t="shared" si="131"/>
        <v>0</v>
      </c>
      <c r="Y87" s="242">
        <f t="shared" si="131"/>
        <v>0</v>
      </c>
      <c r="Z87" s="242">
        <f t="shared" si="131"/>
        <v>0</v>
      </c>
      <c r="AA87" s="242">
        <f t="shared" si="131"/>
        <v>0</v>
      </c>
      <c r="AB87" s="242">
        <f t="shared" si="131"/>
        <v>0</v>
      </c>
      <c r="AC87" s="242">
        <f t="shared" si="131"/>
        <v>0</v>
      </c>
      <c r="AD87" s="242">
        <f t="shared" si="131"/>
        <v>0</v>
      </c>
      <c r="AE87" s="242">
        <f t="shared" si="131"/>
        <v>0</v>
      </c>
      <c r="AF87" s="242">
        <f t="shared" si="131"/>
        <v>0</v>
      </c>
      <c r="AG87" s="242">
        <f t="shared" si="131"/>
        <v>0</v>
      </c>
      <c r="AH87" s="242">
        <f t="shared" ca="1" si="131"/>
        <v>-1.1981576681137082E-4</v>
      </c>
      <c r="AI87" s="242">
        <f t="shared" si="131"/>
        <v>0</v>
      </c>
      <c r="AJ87" s="242">
        <f t="shared" si="131"/>
        <v>0</v>
      </c>
      <c r="AK87" s="242">
        <f t="shared" si="131"/>
        <v>0</v>
      </c>
      <c r="AL87" s="242">
        <f t="shared" si="131"/>
        <v>0</v>
      </c>
      <c r="AM87" s="242">
        <f t="shared" si="131"/>
        <v>0</v>
      </c>
      <c r="AN87" s="242">
        <f t="shared" si="131"/>
        <v>0</v>
      </c>
      <c r="AO87" s="242">
        <f t="shared" si="131"/>
        <v>0</v>
      </c>
      <c r="AP87" s="242">
        <f t="shared" si="131"/>
        <v>0</v>
      </c>
      <c r="AQ87" s="242">
        <f t="shared" si="131"/>
        <v>0</v>
      </c>
      <c r="AR87" s="242">
        <f t="shared" si="131"/>
        <v>0</v>
      </c>
      <c r="AS87" s="242">
        <f t="shared" si="131"/>
        <v>0</v>
      </c>
      <c r="AT87" s="242">
        <f t="shared" si="131"/>
        <v>0</v>
      </c>
      <c r="AU87" s="242">
        <f t="shared" si="131"/>
        <v>0</v>
      </c>
      <c r="AV87" s="242">
        <f t="shared" si="131"/>
        <v>0</v>
      </c>
      <c r="AW87" s="242">
        <f t="shared" si="131"/>
        <v>0</v>
      </c>
      <c r="AX87" s="242">
        <f t="shared" si="131"/>
        <v>0</v>
      </c>
      <c r="AY87" s="242">
        <f t="shared" si="131"/>
        <v>0</v>
      </c>
      <c r="AZ87" s="242">
        <f t="shared" si="131"/>
        <v>0</v>
      </c>
      <c r="BA87" s="242">
        <f t="shared" si="131"/>
        <v>0</v>
      </c>
      <c r="BB87" s="242">
        <f t="shared" si="131"/>
        <v>0</v>
      </c>
      <c r="BC87" s="242">
        <f t="shared" si="131"/>
        <v>0</v>
      </c>
      <c r="BD87" s="242">
        <f t="shared" si="131"/>
        <v>0</v>
      </c>
      <c r="BE87" s="242">
        <f t="shared" si="131"/>
        <v>0</v>
      </c>
      <c r="BF87" s="242">
        <f t="shared" si="131"/>
        <v>0</v>
      </c>
      <c r="BG87" s="242">
        <f t="shared" si="131"/>
        <v>0</v>
      </c>
      <c r="BH87" s="242">
        <f t="shared" si="131"/>
        <v>0</v>
      </c>
      <c r="BI87" s="242">
        <f t="shared" si="131"/>
        <v>0</v>
      </c>
      <c r="BJ87" s="242">
        <f t="shared" si="131"/>
        <v>0</v>
      </c>
      <c r="BK87" s="242">
        <f t="shared" si="131"/>
        <v>0</v>
      </c>
      <c r="BL87" s="242">
        <f t="shared" si="131"/>
        <v>0</v>
      </c>
      <c r="BM87" s="242">
        <f t="shared" si="131"/>
        <v>0</v>
      </c>
      <c r="BN87" s="242">
        <f t="shared" si="131"/>
        <v>0</v>
      </c>
      <c r="BO87" s="242">
        <f t="shared" si="131"/>
        <v>0</v>
      </c>
      <c r="BP87" s="242">
        <f t="shared" si="131"/>
        <v>0</v>
      </c>
      <c r="BQ87" s="242">
        <f t="shared" ref="BQ87:EB87" si="132">BQ134</f>
        <v>0</v>
      </c>
      <c r="BR87" s="242">
        <f t="shared" si="132"/>
        <v>0</v>
      </c>
      <c r="BS87" s="242">
        <f t="shared" si="132"/>
        <v>0</v>
      </c>
      <c r="BT87" s="242">
        <f t="shared" si="132"/>
        <v>0</v>
      </c>
      <c r="BU87" s="242">
        <f t="shared" si="132"/>
        <v>0</v>
      </c>
      <c r="BV87" s="242">
        <f t="shared" si="132"/>
        <v>0</v>
      </c>
      <c r="BW87" s="242">
        <f t="shared" si="132"/>
        <v>0</v>
      </c>
      <c r="BX87" s="242">
        <f t="shared" si="132"/>
        <v>0</v>
      </c>
      <c r="BY87" s="242">
        <f t="shared" si="132"/>
        <v>0</v>
      </c>
      <c r="BZ87" s="242">
        <f t="shared" si="132"/>
        <v>0</v>
      </c>
      <c r="CA87" s="242">
        <f t="shared" si="132"/>
        <v>0</v>
      </c>
      <c r="CB87" s="242">
        <f t="shared" si="132"/>
        <v>0</v>
      </c>
      <c r="CC87" s="242">
        <f t="shared" si="132"/>
        <v>0</v>
      </c>
      <c r="CD87" s="242">
        <f t="shared" si="132"/>
        <v>0</v>
      </c>
      <c r="CE87" s="242">
        <f t="shared" si="132"/>
        <v>0</v>
      </c>
      <c r="CF87" s="242">
        <f t="shared" si="132"/>
        <v>0</v>
      </c>
      <c r="CG87" s="242">
        <f t="shared" si="132"/>
        <v>0</v>
      </c>
      <c r="CH87" s="242">
        <f t="shared" si="132"/>
        <v>0</v>
      </c>
      <c r="CI87" s="242">
        <f t="shared" si="132"/>
        <v>0</v>
      </c>
      <c r="CJ87" s="242">
        <f t="shared" si="132"/>
        <v>0</v>
      </c>
      <c r="CK87" s="242">
        <f t="shared" si="132"/>
        <v>0</v>
      </c>
      <c r="CL87" s="242">
        <f t="shared" si="132"/>
        <v>0</v>
      </c>
      <c r="CM87" s="242">
        <f t="shared" si="132"/>
        <v>0</v>
      </c>
      <c r="CN87" s="242">
        <f t="shared" si="132"/>
        <v>0</v>
      </c>
      <c r="CO87" s="242">
        <f t="shared" si="132"/>
        <v>0</v>
      </c>
      <c r="CP87" s="242">
        <f t="shared" si="132"/>
        <v>0</v>
      </c>
      <c r="CQ87" s="242">
        <f t="shared" si="132"/>
        <v>0</v>
      </c>
      <c r="CR87" s="242">
        <f t="shared" si="132"/>
        <v>0</v>
      </c>
      <c r="CS87" s="242">
        <f t="shared" si="132"/>
        <v>0</v>
      </c>
      <c r="CT87" s="242">
        <f t="shared" si="132"/>
        <v>0</v>
      </c>
      <c r="CU87" s="242">
        <f t="shared" si="132"/>
        <v>0</v>
      </c>
      <c r="CV87" s="242">
        <f t="shared" si="132"/>
        <v>0</v>
      </c>
      <c r="CW87" s="242">
        <f t="shared" si="132"/>
        <v>0</v>
      </c>
      <c r="CX87" s="242">
        <f t="shared" si="132"/>
        <v>0</v>
      </c>
      <c r="CY87" s="242">
        <f t="shared" si="132"/>
        <v>0</v>
      </c>
      <c r="CZ87" s="242">
        <f t="shared" si="132"/>
        <v>0</v>
      </c>
      <c r="DA87" s="242">
        <f t="shared" si="132"/>
        <v>0</v>
      </c>
      <c r="DB87" s="242">
        <f t="shared" si="132"/>
        <v>0</v>
      </c>
      <c r="DC87" s="242">
        <f t="shared" si="132"/>
        <v>0</v>
      </c>
      <c r="DD87" s="242">
        <f t="shared" si="132"/>
        <v>0</v>
      </c>
      <c r="DE87" s="242">
        <f t="shared" si="132"/>
        <v>0</v>
      </c>
      <c r="DF87" s="242">
        <f t="shared" si="132"/>
        <v>0</v>
      </c>
      <c r="DG87" s="242">
        <f t="shared" si="132"/>
        <v>0</v>
      </c>
      <c r="DH87" s="242">
        <f t="shared" si="132"/>
        <v>0</v>
      </c>
      <c r="DI87" s="242">
        <f t="shared" si="132"/>
        <v>0</v>
      </c>
      <c r="DJ87" s="242">
        <f t="shared" si="132"/>
        <v>0</v>
      </c>
      <c r="DK87" s="242">
        <f t="shared" si="132"/>
        <v>0</v>
      </c>
      <c r="DL87" s="242">
        <f t="shared" si="132"/>
        <v>0</v>
      </c>
      <c r="DM87" s="242">
        <f t="shared" si="132"/>
        <v>0</v>
      </c>
      <c r="DN87" s="242">
        <f t="shared" si="132"/>
        <v>0</v>
      </c>
      <c r="DO87" s="242">
        <f t="shared" si="132"/>
        <v>0</v>
      </c>
      <c r="DP87" s="242">
        <f t="shared" si="132"/>
        <v>0</v>
      </c>
      <c r="DQ87" s="242">
        <f t="shared" si="132"/>
        <v>0</v>
      </c>
      <c r="DR87" s="242">
        <f t="shared" si="132"/>
        <v>0</v>
      </c>
      <c r="DS87" s="242">
        <f t="shared" si="132"/>
        <v>0</v>
      </c>
      <c r="DT87" s="242">
        <f t="shared" si="132"/>
        <v>0</v>
      </c>
      <c r="DU87" s="242">
        <f t="shared" si="132"/>
        <v>0</v>
      </c>
      <c r="DV87" s="242">
        <f t="shared" si="132"/>
        <v>0</v>
      </c>
      <c r="DW87" s="242">
        <f t="shared" si="132"/>
        <v>0</v>
      </c>
      <c r="DX87" s="242">
        <f t="shared" si="132"/>
        <v>0</v>
      </c>
      <c r="DY87" s="242">
        <f t="shared" si="132"/>
        <v>0</v>
      </c>
      <c r="DZ87" s="242">
        <f t="shared" si="132"/>
        <v>0</v>
      </c>
      <c r="EA87" s="242">
        <f t="shared" si="132"/>
        <v>0</v>
      </c>
      <c r="EB87" s="242">
        <f t="shared" si="132"/>
        <v>0</v>
      </c>
      <c r="EC87" s="242">
        <f t="shared" ref="EC87:EG87" si="133">EC134</f>
        <v>0</v>
      </c>
      <c r="ED87" s="242">
        <f t="shared" si="133"/>
        <v>0</v>
      </c>
      <c r="EE87" s="242">
        <f t="shared" si="133"/>
        <v>0</v>
      </c>
      <c r="EF87" s="242">
        <f t="shared" si="133"/>
        <v>0</v>
      </c>
      <c r="EG87" s="242">
        <f t="shared" si="133"/>
        <v>0</v>
      </c>
    </row>
    <row r="88" spans="1:137" ht="15" thickBot="1" x14ac:dyDescent="0.35">
      <c r="A88" s="248" t="s">
        <v>2463</v>
      </c>
      <c r="B88" s="248"/>
      <c r="C88" s="248"/>
      <c r="D88" s="697"/>
      <c r="E88" s="250">
        <f t="shared" ref="E88:BP88" ca="1" si="134">SUM(E86:E87)</f>
        <v>0</v>
      </c>
      <c r="F88" s="250">
        <f t="shared" ca="1" si="134"/>
        <v>1560.0057920095715</v>
      </c>
      <c r="G88" s="250">
        <f t="shared" ca="1" si="134"/>
        <v>15799.420229805544</v>
      </c>
      <c r="H88" s="250">
        <f t="shared" ca="1" si="134"/>
        <v>30555.421073999729</v>
      </c>
      <c r="I88" s="250">
        <f t="shared" ca="1" si="134"/>
        <v>46038.570298148748</v>
      </c>
      <c r="J88" s="250">
        <f t="shared" ca="1" si="134"/>
        <v>62676.871954168484</v>
      </c>
      <c r="K88" s="250">
        <f t="shared" ca="1" si="134"/>
        <v>81128.363695857872</v>
      </c>
      <c r="L88" s="250">
        <f t="shared" ca="1" si="134"/>
        <v>101457.18227107306</v>
      </c>
      <c r="M88" s="250">
        <f t="shared" ca="1" si="134"/>
        <v>124151.70441326284</v>
      </c>
      <c r="N88" s="250">
        <f t="shared" ca="1" si="134"/>
        <v>149640.6070526758</v>
      </c>
      <c r="O88" s="250">
        <f t="shared" ca="1" si="134"/>
        <v>178391.62106733883</v>
      </c>
      <c r="P88" s="250">
        <f t="shared" ca="1" si="134"/>
        <v>209113.07703788357</v>
      </c>
      <c r="Q88" s="250">
        <f t="shared" ca="1" si="134"/>
        <v>240090.5451415162</v>
      </c>
      <c r="R88" s="250">
        <f t="shared" ca="1" si="134"/>
        <v>271326.15881267906</v>
      </c>
      <c r="S88" s="250">
        <f t="shared" ca="1" si="134"/>
        <v>302822.06926443498</v>
      </c>
      <c r="T88" s="250">
        <f t="shared" ca="1" si="134"/>
        <v>334580.4456366222</v>
      </c>
      <c r="U88" s="250">
        <f t="shared" ca="1" si="134"/>
        <v>366603.47514524427</v>
      </c>
      <c r="V88" s="250">
        <f t="shared" ca="1" si="134"/>
        <v>398893.36323310487</v>
      </c>
      <c r="W88" s="250">
        <f t="shared" ca="1" si="134"/>
        <v>431452.33372169768</v>
      </c>
      <c r="X88" s="250">
        <f t="shared" ca="1" si="134"/>
        <v>464282.62896436208</v>
      </c>
      <c r="Y88" s="250">
        <f t="shared" ca="1" si="134"/>
        <v>497386.51000071538</v>
      </c>
      <c r="Z88" s="250">
        <f t="shared" ca="1" si="134"/>
        <v>530766.2567123716</v>
      </c>
      <c r="AA88" s="250">
        <f t="shared" ca="1" si="134"/>
        <v>564424.16797995823</v>
      </c>
      <c r="AB88" s="250">
        <f t="shared" ca="1" si="134"/>
        <v>598362.56184144143</v>
      </c>
      <c r="AC88" s="250">
        <f t="shared" ca="1" si="134"/>
        <v>628172.4727027613</v>
      </c>
      <c r="AD88" s="250">
        <f t="shared" ca="1" si="134"/>
        <v>654209.06019829831</v>
      </c>
      <c r="AE88" s="250">
        <f t="shared" ca="1" si="134"/>
        <v>675883.23518407764</v>
      </c>
      <c r="AF88" s="250">
        <f t="shared" ca="1" si="134"/>
        <v>688794.2308766871</v>
      </c>
      <c r="AG88" s="250">
        <f t="shared" ca="1" si="134"/>
        <v>701448.18403488328</v>
      </c>
      <c r="AH88" s="250">
        <f t="shared" ca="1" si="134"/>
        <v>714077.27178914088</v>
      </c>
      <c r="AI88" s="250">
        <f t="shared" ca="1" si="134"/>
        <v>730107.03309704957</v>
      </c>
      <c r="AJ88" s="250">
        <f t="shared" ca="1" si="134"/>
        <v>746011.48099709663</v>
      </c>
      <c r="AK88" s="250">
        <f t="shared" ca="1" si="134"/>
        <v>761768.90351560339</v>
      </c>
      <c r="AL88" s="250">
        <f t="shared" ca="1" si="134"/>
        <v>777379.13660696731</v>
      </c>
      <c r="AM88" s="250">
        <f t="shared" ca="1" si="134"/>
        <v>792842.03376066836</v>
      </c>
      <c r="AN88" s="250">
        <f t="shared" ca="1" si="134"/>
        <v>808157.4663175774</v>
      </c>
      <c r="AO88" s="250">
        <f t="shared" ca="1" si="134"/>
        <v>823325.32379017177</v>
      </c>
      <c r="AP88" s="250">
        <f t="shared" ca="1" si="134"/>
        <v>838429.23055563879</v>
      </c>
      <c r="AQ88" s="250">
        <f t="shared" ca="1" si="134"/>
        <v>853302.24346579507</v>
      </c>
      <c r="AR88" s="250">
        <f t="shared" ca="1" si="134"/>
        <v>867987.60095079825</v>
      </c>
      <c r="AS88" s="250">
        <f t="shared" ca="1" si="134"/>
        <v>883250.57090649998</v>
      </c>
      <c r="AT88" s="250">
        <f t="shared" ca="1" si="134"/>
        <v>898455.25770162232</v>
      </c>
      <c r="AU88" s="250">
        <f t="shared" ca="1" si="134"/>
        <v>913604.60451885394</v>
      </c>
      <c r="AV88" s="250">
        <f t="shared" ca="1" si="134"/>
        <v>928623.93013141234</v>
      </c>
      <c r="AW88" s="250">
        <f t="shared" ca="1" si="134"/>
        <v>943520.02933743526</v>
      </c>
      <c r="AX88" s="250">
        <f t="shared" ca="1" si="134"/>
        <v>958299.82306582225</v>
      </c>
      <c r="AY88" s="250">
        <f t="shared" ca="1" si="134"/>
        <v>972970.3598745272</v>
      </c>
      <c r="AZ88" s="250">
        <f t="shared" ca="1" si="134"/>
        <v>987538.81746390532</v>
      </c>
      <c r="BA88" s="250">
        <f t="shared" ca="1" si="134"/>
        <v>1002012.5042052541</v>
      </c>
      <c r="BB88" s="250">
        <f t="shared" ca="1" si="134"/>
        <v>1016460.3073623959</v>
      </c>
      <c r="BC88" s="250">
        <f t="shared" ca="1" si="134"/>
        <v>1030766.49107063</v>
      </c>
      <c r="BD88" s="250">
        <f t="shared" ca="1" si="134"/>
        <v>1044967.9149011847</v>
      </c>
      <c r="BE88" s="250">
        <f t="shared" ca="1" si="134"/>
        <v>1059669.4439834997</v>
      </c>
      <c r="BF88" s="250">
        <f t="shared" ca="1" si="134"/>
        <v>1074355.6458438511</v>
      </c>
      <c r="BG88" s="250">
        <f t="shared" ca="1" si="134"/>
        <v>1089024.0030559951</v>
      </c>
      <c r="BH88" s="250">
        <f t="shared" ca="1" si="134"/>
        <v>1103612.6289540008</v>
      </c>
      <c r="BI88" s="250">
        <f t="shared" ca="1" si="134"/>
        <v>1118115.5067107235</v>
      </c>
      <c r="BJ88" s="250">
        <f t="shared" ca="1" si="134"/>
        <v>1132526.5324324747</v>
      </c>
      <c r="BK88" s="250">
        <f t="shared" ca="1" si="134"/>
        <v>1146839.5142322995</v>
      </c>
      <c r="BL88" s="250">
        <f t="shared" ca="1" si="134"/>
        <v>1161048.1712945416</v>
      </c>
      <c r="BM88" s="250">
        <f t="shared" ca="1" si="134"/>
        <v>1175146.1329306161</v>
      </c>
      <c r="BN88" s="250">
        <f t="shared" ca="1" si="134"/>
        <v>1189197.0468062118</v>
      </c>
      <c r="BO88" s="250">
        <f t="shared" ca="1" si="134"/>
        <v>1203055.3385049971</v>
      </c>
      <c r="BP88" s="250">
        <f t="shared" ca="1" si="134"/>
        <v>1216752.9169166321</v>
      </c>
      <c r="BQ88" s="250">
        <f t="shared" ref="BQ88:EB88" ca="1" si="135">SUM(BQ86:BQ87)</f>
        <v>1230936.2734232021</v>
      </c>
      <c r="BR88" s="250">
        <f t="shared" ca="1" si="135"/>
        <v>1245065.2550597186</v>
      </c>
      <c r="BS88" s="250">
        <f t="shared" ca="1" si="135"/>
        <v>1259138.9388823428</v>
      </c>
      <c r="BT88" s="250">
        <f t="shared" ca="1" si="135"/>
        <v>1273081.9749632932</v>
      </c>
      <c r="BU88" s="250">
        <f t="shared" ca="1" si="135"/>
        <v>1286892.2877715388</v>
      </c>
      <c r="BV88" s="250">
        <f t="shared" ca="1" si="135"/>
        <v>1300567.7804895134</v>
      </c>
      <c r="BW88" s="250">
        <f t="shared" ca="1" si="135"/>
        <v>1314106.33481943</v>
      </c>
      <c r="BX88" s="250">
        <f t="shared" ca="1" si="135"/>
        <v>1327505.8107879136</v>
      </c>
      <c r="BY88" s="250">
        <f t="shared" ca="1" si="135"/>
        <v>1340764.0465489391</v>
      </c>
      <c r="BZ88" s="250">
        <f t="shared" ca="1" si="135"/>
        <v>1353955.147397388</v>
      </c>
      <c r="CA88" s="250">
        <f t="shared" ca="1" si="135"/>
        <v>1366925.0699325101</v>
      </c>
      <c r="CB88" s="250">
        <f t="shared" ca="1" si="135"/>
        <v>1379711.7628032027</v>
      </c>
      <c r="CC88" s="250">
        <f t="shared" ca="1" si="135"/>
        <v>1392987.5272166226</v>
      </c>
      <c r="CD88" s="250">
        <f t="shared" ca="1" si="135"/>
        <v>1406194.3603057039</v>
      </c>
      <c r="CE88" s="250">
        <f t="shared" ca="1" si="135"/>
        <v>1419331.1987067035</v>
      </c>
      <c r="CF88" s="250">
        <f t="shared" ca="1" si="135"/>
        <v>1432319.405229833</v>
      </c>
      <c r="CG88" s="250">
        <f t="shared" ca="1" si="135"/>
        <v>1445156.7135112756</v>
      </c>
      <c r="CH88" s="250">
        <f t="shared" ca="1" si="135"/>
        <v>1457840.8341435727</v>
      </c>
      <c r="CI88" s="250">
        <f t="shared" ca="1" si="135"/>
        <v>1470369.4544666118</v>
      </c>
      <c r="CJ88" s="250">
        <f t="shared" ca="1" si="135"/>
        <v>1482740.2383568021</v>
      </c>
      <c r="CK88" s="250">
        <f t="shared" ca="1" si="135"/>
        <v>1494950.8260144228</v>
      </c>
      <c r="CL88" s="250">
        <f t="shared" ca="1" si="135"/>
        <v>1507078.3476759817</v>
      </c>
      <c r="CM88" s="250">
        <f t="shared" ca="1" si="135"/>
        <v>1518962.1402345165</v>
      </c>
      <c r="CN88" s="250">
        <f t="shared" ca="1" si="135"/>
        <v>1530641.6471588642</v>
      </c>
      <c r="CO88" s="250">
        <f t="shared" ca="1" si="135"/>
        <v>1542812.2659493401</v>
      </c>
      <c r="CP88" s="250">
        <f t="shared" ca="1" si="135"/>
        <v>1554897.4641202826</v>
      </c>
      <c r="CQ88" s="250">
        <f t="shared" ca="1" si="135"/>
        <v>1566896.0209952956</v>
      </c>
      <c r="CR88" s="250">
        <f t="shared" ca="1" si="135"/>
        <v>1578725.8621228212</v>
      </c>
      <c r="CS88" s="250">
        <f t="shared" ca="1" si="135"/>
        <v>1590384.5110993036</v>
      </c>
      <c r="CT88" s="250">
        <f t="shared" ca="1" si="135"/>
        <v>1601869.4665533851</v>
      </c>
      <c r="CU88" s="250">
        <f t="shared" ca="1" si="135"/>
        <v>1613178.2019201452</v>
      </c>
      <c r="CV88" s="250">
        <f t="shared" ca="1" si="135"/>
        <v>1624308.1652133858</v>
      </c>
      <c r="CW88" s="250">
        <f t="shared" ca="1" si="135"/>
        <v>1635256.7787959462</v>
      </c>
      <c r="CX88" s="250">
        <f t="shared" ca="1" si="135"/>
        <v>1646104.3140967989</v>
      </c>
      <c r="CY88" s="250">
        <f t="shared" ca="1" si="135"/>
        <v>1656683.1967814865</v>
      </c>
      <c r="CZ88" s="250">
        <f t="shared" ca="1" si="135"/>
        <v>1667034.4165177622</v>
      </c>
      <c r="DA88" s="250">
        <f t="shared" ca="1" si="135"/>
        <v>1677877.3494408599</v>
      </c>
      <c r="DB88" s="250">
        <f t="shared" ca="1" si="135"/>
        <v>1688616.2195439893</v>
      </c>
      <c r="DC88" s="250">
        <f t="shared" ca="1" si="135"/>
        <v>1699249.6300789388</v>
      </c>
      <c r="DD88" s="250">
        <f t="shared" ca="1" si="135"/>
        <v>1709691.9118302222</v>
      </c>
      <c r="DE88" s="250">
        <f t="shared" ca="1" si="135"/>
        <v>1719940.3571640765</v>
      </c>
      <c r="DF88" s="250">
        <f t="shared" ca="1" si="135"/>
        <v>1729992.2313708968</v>
      </c>
      <c r="DG88" s="250">
        <f t="shared" ca="1" si="135"/>
        <v>1739844.7724211668</v>
      </c>
      <c r="DH88" s="250">
        <f t="shared" ca="1" si="135"/>
        <v>1749495.1907192864</v>
      </c>
      <c r="DI88" s="250">
        <f t="shared" ca="1" si="135"/>
        <v>1758940.6688552434</v>
      </c>
      <c r="DJ88" s="250">
        <f t="shared" ca="1" si="135"/>
        <v>1768264.7393939027</v>
      </c>
      <c r="DK88" s="250">
        <f t="shared" ca="1" si="135"/>
        <v>1777292.6116981125</v>
      </c>
      <c r="DL88" s="250">
        <f t="shared" ca="1" si="135"/>
        <v>1786066.8739435538</v>
      </c>
      <c r="DM88" s="250">
        <f t="shared" ca="1" si="135"/>
        <v>1795331.804465052</v>
      </c>
      <c r="DN88" s="250">
        <f t="shared" ca="1" si="135"/>
        <v>1804471.6332577141</v>
      </c>
      <c r="DO88" s="250">
        <f t="shared" ca="1" si="135"/>
        <v>1813484.7666767486</v>
      </c>
      <c r="DP88" s="250">
        <f t="shared" ca="1" si="135"/>
        <v>1822281.7752997761</v>
      </c>
      <c r="DQ88" s="250">
        <f t="shared" ca="1" si="135"/>
        <v>1830859.6968826328</v>
      </c>
      <c r="DR88" s="250">
        <f t="shared" ca="1" si="135"/>
        <v>1839215.5397948918</v>
      </c>
      <c r="DS88" s="250">
        <f t="shared" ca="1" si="135"/>
        <v>1847346.2827557018</v>
      </c>
      <c r="DT88" s="250">
        <f t="shared" ca="1" si="135"/>
        <v>1855248.8745681248</v>
      </c>
      <c r="DU88" s="250">
        <f t="shared" ca="1" si="135"/>
        <v>1862920.2338477008</v>
      </c>
      <c r="DV88" s="250">
        <f t="shared" ca="1" si="135"/>
        <v>1870447.2779612178</v>
      </c>
      <c r="DW88" s="250">
        <f t="shared" ca="1" si="135"/>
        <v>1877647.680637198</v>
      </c>
      <c r="DX88" s="250">
        <f t="shared" ca="1" si="135"/>
        <v>1884565.6817079673</v>
      </c>
      <c r="DY88" s="250">
        <f t="shared" ca="1" si="135"/>
        <v>1891971.4290334273</v>
      </c>
      <c r="DZ88" s="250">
        <f t="shared" ca="1" si="135"/>
        <v>1899228.3689628574</v>
      </c>
      <c r="EA88" s="250">
        <f t="shared" ca="1" si="135"/>
        <v>1906334.6878445554</v>
      </c>
      <c r="EB88" s="250">
        <f t="shared" ca="1" si="135"/>
        <v>1913197.0221944959</v>
      </c>
      <c r="EC88" s="250">
        <f ca="1">SUM(EC86:EC87)</f>
        <v>1919812.1293610192</v>
      </c>
      <c r="ED88" s="250">
        <f ca="1">SUM(ED86:ED87)</f>
        <v>1926176.7347730321</v>
      </c>
      <c r="EE88" s="250">
        <f ca="1">SUM(EE86:EE87)</f>
        <v>1932287.531620645</v>
      </c>
      <c r="EF88" s="250">
        <f ca="1">SUM(EF86:EF87)</f>
        <v>1938141.1809226652</v>
      </c>
      <c r="EG88" s="250">
        <f ca="1">SUM(EG86:EG87)</f>
        <v>1943734.3102234257</v>
      </c>
    </row>
    <row r="89" spans="1:137" ht="7.5" customHeight="1" thickTop="1" x14ac:dyDescent="0.3"/>
    <row r="90" spans="1:137" x14ac:dyDescent="0.3">
      <c r="A90" s="700" t="str">
        <f>'General Inputs'!$L$29&amp;" EQUITY CONTRIBUTIONS"</f>
        <v>LAND EQUITY CONTRIBUTIONS</v>
      </c>
      <c r="B90" s="700"/>
      <c r="C90" s="700"/>
      <c r="D90" s="725"/>
    </row>
    <row r="91" spans="1:137" x14ac:dyDescent="0.3">
      <c r="A91" t="s">
        <v>2461</v>
      </c>
      <c r="E91" s="227">
        <f t="shared" ref="E91:BP91" si="136">D93</f>
        <v>0</v>
      </c>
      <c r="F91" s="227">
        <f t="shared" si="136"/>
        <v>0</v>
      </c>
      <c r="G91" s="227">
        <f t="shared" si="136"/>
        <v>0</v>
      </c>
      <c r="H91" s="227">
        <f t="shared" si="136"/>
        <v>0</v>
      </c>
      <c r="I91" s="227">
        <f t="shared" si="136"/>
        <v>0</v>
      </c>
      <c r="J91" s="227">
        <f t="shared" si="136"/>
        <v>0</v>
      </c>
      <c r="K91" s="227">
        <f t="shared" si="136"/>
        <v>0</v>
      </c>
      <c r="L91" s="227">
        <f t="shared" si="136"/>
        <v>0</v>
      </c>
      <c r="M91" s="227">
        <f t="shared" si="136"/>
        <v>0</v>
      </c>
      <c r="N91" s="227">
        <f t="shared" si="136"/>
        <v>0</v>
      </c>
      <c r="O91" s="227">
        <f t="shared" si="136"/>
        <v>0</v>
      </c>
      <c r="P91" s="227">
        <f t="shared" si="136"/>
        <v>0</v>
      </c>
      <c r="Q91" s="227">
        <f t="shared" si="136"/>
        <v>0</v>
      </c>
      <c r="R91" s="227">
        <f t="shared" si="136"/>
        <v>0</v>
      </c>
      <c r="S91" s="227">
        <f t="shared" si="136"/>
        <v>0</v>
      </c>
      <c r="T91" s="227">
        <f t="shared" si="136"/>
        <v>0</v>
      </c>
      <c r="U91" s="227">
        <f t="shared" si="136"/>
        <v>0</v>
      </c>
      <c r="V91" s="227">
        <f t="shared" si="136"/>
        <v>0</v>
      </c>
      <c r="W91" s="227">
        <f t="shared" si="136"/>
        <v>0</v>
      </c>
      <c r="X91" s="227">
        <f t="shared" si="136"/>
        <v>0</v>
      </c>
      <c r="Y91" s="227">
        <f t="shared" si="136"/>
        <v>0</v>
      </c>
      <c r="Z91" s="227">
        <f t="shared" si="136"/>
        <v>0</v>
      </c>
      <c r="AA91" s="227">
        <f t="shared" si="136"/>
        <v>0</v>
      </c>
      <c r="AB91" s="227">
        <f t="shared" si="136"/>
        <v>0</v>
      </c>
      <c r="AC91" s="227">
        <f t="shared" si="136"/>
        <v>0</v>
      </c>
      <c r="AD91" s="227">
        <f t="shared" si="136"/>
        <v>0</v>
      </c>
      <c r="AE91" s="227">
        <f t="shared" si="136"/>
        <v>0</v>
      </c>
      <c r="AF91" s="227">
        <f t="shared" si="136"/>
        <v>0</v>
      </c>
      <c r="AG91" s="227">
        <f t="shared" si="136"/>
        <v>0</v>
      </c>
      <c r="AH91" s="227">
        <f t="shared" si="136"/>
        <v>0</v>
      </c>
      <c r="AI91" s="227">
        <f t="shared" si="136"/>
        <v>0</v>
      </c>
      <c r="AJ91" s="227">
        <f t="shared" si="136"/>
        <v>0</v>
      </c>
      <c r="AK91" s="227">
        <f t="shared" si="136"/>
        <v>0</v>
      </c>
      <c r="AL91" s="227">
        <f t="shared" si="136"/>
        <v>0</v>
      </c>
      <c r="AM91" s="227">
        <f t="shared" si="136"/>
        <v>0</v>
      </c>
      <c r="AN91" s="227">
        <f t="shared" si="136"/>
        <v>0</v>
      </c>
      <c r="AO91" s="227">
        <f t="shared" si="136"/>
        <v>0</v>
      </c>
      <c r="AP91" s="227">
        <f t="shared" si="136"/>
        <v>0</v>
      </c>
      <c r="AQ91" s="227">
        <f t="shared" si="136"/>
        <v>0</v>
      </c>
      <c r="AR91" s="227">
        <f t="shared" si="136"/>
        <v>0</v>
      </c>
      <c r="AS91" s="227">
        <f t="shared" si="136"/>
        <v>0</v>
      </c>
      <c r="AT91" s="227">
        <f t="shared" si="136"/>
        <v>0</v>
      </c>
      <c r="AU91" s="227">
        <f t="shared" si="136"/>
        <v>0</v>
      </c>
      <c r="AV91" s="227">
        <f t="shared" si="136"/>
        <v>0</v>
      </c>
      <c r="AW91" s="227">
        <f t="shared" si="136"/>
        <v>0</v>
      </c>
      <c r="AX91" s="227">
        <f t="shared" si="136"/>
        <v>0</v>
      </c>
      <c r="AY91" s="227">
        <f t="shared" si="136"/>
        <v>0</v>
      </c>
      <c r="AZ91" s="227">
        <f t="shared" si="136"/>
        <v>0</v>
      </c>
      <c r="BA91" s="227">
        <f t="shared" si="136"/>
        <v>0</v>
      </c>
      <c r="BB91" s="227">
        <f t="shared" si="136"/>
        <v>0</v>
      </c>
      <c r="BC91" s="227">
        <f t="shared" si="136"/>
        <v>0</v>
      </c>
      <c r="BD91" s="227">
        <f t="shared" si="136"/>
        <v>0</v>
      </c>
      <c r="BE91" s="227">
        <f t="shared" si="136"/>
        <v>0</v>
      </c>
      <c r="BF91" s="227">
        <f t="shared" si="136"/>
        <v>0</v>
      </c>
      <c r="BG91" s="227">
        <f t="shared" si="136"/>
        <v>0</v>
      </c>
      <c r="BH91" s="227">
        <f t="shared" si="136"/>
        <v>0</v>
      </c>
      <c r="BI91" s="227">
        <f t="shared" si="136"/>
        <v>0</v>
      </c>
      <c r="BJ91" s="227">
        <f t="shared" si="136"/>
        <v>0</v>
      </c>
      <c r="BK91" s="227">
        <f t="shared" si="136"/>
        <v>0</v>
      </c>
      <c r="BL91" s="227">
        <f t="shared" si="136"/>
        <v>0</v>
      </c>
      <c r="BM91" s="227">
        <f t="shared" si="136"/>
        <v>0</v>
      </c>
      <c r="BN91" s="227">
        <f t="shared" si="136"/>
        <v>0</v>
      </c>
      <c r="BO91" s="227">
        <f t="shared" si="136"/>
        <v>0</v>
      </c>
      <c r="BP91" s="227">
        <f t="shared" si="136"/>
        <v>0</v>
      </c>
      <c r="BQ91" s="227">
        <f t="shared" ref="BQ91:EB91" si="137">BP93</f>
        <v>0</v>
      </c>
      <c r="BR91" s="227">
        <f t="shared" si="137"/>
        <v>0</v>
      </c>
      <c r="BS91" s="227">
        <f t="shared" si="137"/>
        <v>0</v>
      </c>
      <c r="BT91" s="227">
        <f t="shared" si="137"/>
        <v>0</v>
      </c>
      <c r="BU91" s="227">
        <f t="shared" si="137"/>
        <v>0</v>
      </c>
      <c r="BV91" s="227">
        <f t="shared" si="137"/>
        <v>0</v>
      </c>
      <c r="BW91" s="227">
        <f t="shared" si="137"/>
        <v>0</v>
      </c>
      <c r="BX91" s="227">
        <f t="shared" si="137"/>
        <v>0</v>
      </c>
      <c r="BY91" s="227">
        <f t="shared" si="137"/>
        <v>0</v>
      </c>
      <c r="BZ91" s="227">
        <f t="shared" si="137"/>
        <v>0</v>
      </c>
      <c r="CA91" s="227">
        <f t="shared" si="137"/>
        <v>0</v>
      </c>
      <c r="CB91" s="227">
        <f t="shared" si="137"/>
        <v>0</v>
      </c>
      <c r="CC91" s="227">
        <f t="shared" si="137"/>
        <v>0</v>
      </c>
      <c r="CD91" s="227">
        <f t="shared" si="137"/>
        <v>0</v>
      </c>
      <c r="CE91" s="227">
        <f t="shared" si="137"/>
        <v>0</v>
      </c>
      <c r="CF91" s="227">
        <f t="shared" si="137"/>
        <v>0</v>
      </c>
      <c r="CG91" s="227">
        <f t="shared" si="137"/>
        <v>0</v>
      </c>
      <c r="CH91" s="227">
        <f t="shared" si="137"/>
        <v>0</v>
      </c>
      <c r="CI91" s="227">
        <f t="shared" si="137"/>
        <v>0</v>
      </c>
      <c r="CJ91" s="227">
        <f t="shared" si="137"/>
        <v>0</v>
      </c>
      <c r="CK91" s="227">
        <f t="shared" si="137"/>
        <v>0</v>
      </c>
      <c r="CL91" s="227">
        <f t="shared" si="137"/>
        <v>0</v>
      </c>
      <c r="CM91" s="227">
        <f t="shared" si="137"/>
        <v>0</v>
      </c>
      <c r="CN91" s="227">
        <f t="shared" si="137"/>
        <v>0</v>
      </c>
      <c r="CO91" s="227">
        <f t="shared" si="137"/>
        <v>0</v>
      </c>
      <c r="CP91" s="227">
        <f t="shared" si="137"/>
        <v>0</v>
      </c>
      <c r="CQ91" s="227">
        <f t="shared" si="137"/>
        <v>0</v>
      </c>
      <c r="CR91" s="227">
        <f t="shared" si="137"/>
        <v>0</v>
      </c>
      <c r="CS91" s="227">
        <f t="shared" si="137"/>
        <v>0</v>
      </c>
      <c r="CT91" s="227">
        <f t="shared" si="137"/>
        <v>0</v>
      </c>
      <c r="CU91" s="227">
        <f t="shared" si="137"/>
        <v>0</v>
      </c>
      <c r="CV91" s="227">
        <f t="shared" si="137"/>
        <v>0</v>
      </c>
      <c r="CW91" s="227">
        <f t="shared" si="137"/>
        <v>0</v>
      </c>
      <c r="CX91" s="227">
        <f t="shared" si="137"/>
        <v>0</v>
      </c>
      <c r="CY91" s="227">
        <f t="shared" si="137"/>
        <v>0</v>
      </c>
      <c r="CZ91" s="227">
        <f t="shared" si="137"/>
        <v>0</v>
      </c>
      <c r="DA91" s="227">
        <f t="shared" si="137"/>
        <v>0</v>
      </c>
      <c r="DB91" s="227">
        <f t="shared" si="137"/>
        <v>0</v>
      </c>
      <c r="DC91" s="227">
        <f t="shared" si="137"/>
        <v>0</v>
      </c>
      <c r="DD91" s="227">
        <f t="shared" si="137"/>
        <v>0</v>
      </c>
      <c r="DE91" s="227">
        <f t="shared" si="137"/>
        <v>0</v>
      </c>
      <c r="DF91" s="227">
        <f t="shared" si="137"/>
        <v>0</v>
      </c>
      <c r="DG91" s="227">
        <f t="shared" si="137"/>
        <v>0</v>
      </c>
      <c r="DH91" s="227">
        <f t="shared" si="137"/>
        <v>0</v>
      </c>
      <c r="DI91" s="227">
        <f t="shared" si="137"/>
        <v>0</v>
      </c>
      <c r="DJ91" s="227">
        <f t="shared" si="137"/>
        <v>0</v>
      </c>
      <c r="DK91" s="227">
        <f t="shared" si="137"/>
        <v>0</v>
      </c>
      <c r="DL91" s="227">
        <f t="shared" si="137"/>
        <v>0</v>
      </c>
      <c r="DM91" s="227">
        <f t="shared" si="137"/>
        <v>0</v>
      </c>
      <c r="DN91" s="227">
        <f t="shared" si="137"/>
        <v>0</v>
      </c>
      <c r="DO91" s="227">
        <f t="shared" si="137"/>
        <v>0</v>
      </c>
      <c r="DP91" s="227">
        <f t="shared" si="137"/>
        <v>0</v>
      </c>
      <c r="DQ91" s="227">
        <f t="shared" si="137"/>
        <v>0</v>
      </c>
      <c r="DR91" s="227">
        <f t="shared" si="137"/>
        <v>0</v>
      </c>
      <c r="DS91" s="227">
        <f t="shared" si="137"/>
        <v>0</v>
      </c>
      <c r="DT91" s="227">
        <f t="shared" si="137"/>
        <v>0</v>
      </c>
      <c r="DU91" s="227">
        <f t="shared" si="137"/>
        <v>0</v>
      </c>
      <c r="DV91" s="227">
        <f t="shared" si="137"/>
        <v>0</v>
      </c>
      <c r="DW91" s="227">
        <f t="shared" si="137"/>
        <v>0</v>
      </c>
      <c r="DX91" s="227">
        <f t="shared" si="137"/>
        <v>0</v>
      </c>
      <c r="DY91" s="227">
        <f t="shared" si="137"/>
        <v>0</v>
      </c>
      <c r="DZ91" s="227">
        <f t="shared" si="137"/>
        <v>0</v>
      </c>
      <c r="EA91" s="227">
        <f t="shared" si="137"/>
        <v>0</v>
      </c>
      <c r="EB91" s="227">
        <f t="shared" si="137"/>
        <v>0</v>
      </c>
      <c r="EC91" s="227">
        <f t="shared" ref="EC91:EG91" si="138">EB93</f>
        <v>0</v>
      </c>
      <c r="ED91" s="227">
        <f t="shared" si="138"/>
        <v>0</v>
      </c>
      <c r="EE91" s="227">
        <f t="shared" si="138"/>
        <v>0</v>
      </c>
      <c r="EF91" s="227">
        <f t="shared" si="138"/>
        <v>0</v>
      </c>
      <c r="EG91" s="227">
        <f t="shared" si="138"/>
        <v>0</v>
      </c>
    </row>
    <row r="92" spans="1:137" x14ac:dyDescent="0.3">
      <c r="A92" t="s">
        <v>2474</v>
      </c>
      <c r="E92" s="229">
        <f>IF(ContrLand=0,0,IF(DevBdgt!E$49&lt;=SUM('General Inputs'!$J$8:$L$8),ContrLand*DevBdgt!E$48,IF(AND(DevBdgt!E$49&gt;SUM('General Inputs'!$J$8:$L$8),DevBdgt!D$49&lt;SUM('General Inputs'!$J$8:$L$8)),'General Inputs'!$L$8-SUM($D$92:D$92),0)))</f>
        <v>0</v>
      </c>
      <c r="F92" s="229">
        <f>IF(ContrLand=0,0,IF(DevBdgt!F$49&lt;=SUM('General Inputs'!$J$8:$L$8),ContrLand*DevBdgt!F$48,IF(AND(DevBdgt!F$49&gt;SUM('General Inputs'!$J$8:$L$8),DevBdgt!E$49&lt;SUM('General Inputs'!$J$8:$L$8)),'General Inputs'!$L$8-SUM($D$92:E$92),0)))</f>
        <v>0</v>
      </c>
      <c r="G92" s="229">
        <f>IF(ContrLand=0,0,IF(DevBdgt!G$49&lt;=SUM('General Inputs'!$J$8:$L$8),ContrLand*DevBdgt!G$48,IF(AND(DevBdgt!G$49&gt;SUM('General Inputs'!$J$8:$L$8),DevBdgt!F$49&lt;SUM('General Inputs'!$J$8:$L$8)),'General Inputs'!$L$8-SUM($D$92:F$92),0)))</f>
        <v>0</v>
      </c>
      <c r="H92" s="229">
        <f>IF(ContrLand=0,0,IF(DevBdgt!H$49&lt;=SUM('General Inputs'!$J$8:$L$8),ContrLand*DevBdgt!H$48,IF(AND(DevBdgt!H$49&gt;SUM('General Inputs'!$J$8:$L$8),DevBdgt!G$49&lt;SUM('General Inputs'!$J$8:$L$8)),'General Inputs'!$L$8-SUM($D$92:G$92),0)))</f>
        <v>0</v>
      </c>
      <c r="I92" s="229">
        <f>IF(ContrLand=0,0,IF(DevBdgt!I$49&lt;=SUM('General Inputs'!$J$8:$L$8),ContrLand*DevBdgt!I$48,IF(AND(DevBdgt!I$49&gt;SUM('General Inputs'!$J$8:$L$8),DevBdgt!H$49&lt;SUM('General Inputs'!$J$8:$L$8)),'General Inputs'!$L$8-SUM($D$92:H$92),0)))</f>
        <v>0</v>
      </c>
      <c r="J92" s="229">
        <f>IF(ContrLand=0,0,IF(DevBdgt!J$49&lt;=SUM('General Inputs'!$J$8:$L$8),ContrLand*DevBdgt!J$48,IF(AND(DevBdgt!J$49&gt;SUM('General Inputs'!$J$8:$L$8),DevBdgt!I$49&lt;SUM('General Inputs'!$J$8:$L$8)),'General Inputs'!$L$8-SUM($D$92:I$92),0)))</f>
        <v>0</v>
      </c>
      <c r="K92" s="229">
        <f>IF(ContrLand=0,0,IF(DevBdgt!K$49&lt;=SUM('General Inputs'!$J$8:$L$8),ContrLand*DevBdgt!K$48,IF(AND(DevBdgt!K$49&gt;SUM('General Inputs'!$J$8:$L$8),DevBdgt!J$49&lt;SUM('General Inputs'!$J$8:$L$8)),'General Inputs'!$L$8-SUM($D$92:J$92),0)))</f>
        <v>0</v>
      </c>
      <c r="L92" s="229">
        <f>IF(ContrLand=0,0,IF(DevBdgt!L$49&lt;=SUM('General Inputs'!$J$8:$L$8),ContrLand*DevBdgt!L$48,IF(AND(DevBdgt!L$49&gt;SUM('General Inputs'!$J$8:$L$8),DevBdgt!K$49&lt;SUM('General Inputs'!$J$8:$L$8)),'General Inputs'!$L$8-SUM($D$92:K$92),0)))</f>
        <v>0</v>
      </c>
      <c r="M92" s="229">
        <f>IF(ContrLand=0,0,IF(DevBdgt!M$49&lt;=SUM('General Inputs'!$J$8:$L$8),ContrLand*DevBdgt!M$48,IF(AND(DevBdgt!M$49&gt;SUM('General Inputs'!$J$8:$L$8),DevBdgt!L$49&lt;SUM('General Inputs'!$J$8:$L$8)),'General Inputs'!$L$8-SUM($D$92:L$92),0)))</f>
        <v>0</v>
      </c>
      <c r="N92" s="229">
        <f>IF(ContrLand=0,0,IF(DevBdgt!N$49&lt;=SUM('General Inputs'!$J$8:$L$8),ContrLand*DevBdgt!N$48,IF(AND(DevBdgt!N$49&gt;SUM('General Inputs'!$J$8:$L$8),DevBdgt!M$49&lt;SUM('General Inputs'!$J$8:$L$8)),'General Inputs'!$L$8-SUM($D$92:M$92),0)))</f>
        <v>0</v>
      </c>
      <c r="O92" s="229">
        <f>IF(ContrLand=0,0,IF(DevBdgt!O$49&lt;=SUM('General Inputs'!$J$8:$L$8),ContrLand*DevBdgt!O$48,IF(AND(DevBdgt!O$49&gt;SUM('General Inputs'!$J$8:$L$8),DevBdgt!N$49&lt;SUM('General Inputs'!$J$8:$L$8)),'General Inputs'!$L$8-SUM($D$92:N$92),0)))</f>
        <v>0</v>
      </c>
      <c r="P92" s="229">
        <f>IF(ContrLand=0,0,IF(DevBdgt!P$49&lt;=SUM('General Inputs'!$J$8:$L$8),ContrLand*DevBdgt!P$48,IF(AND(DevBdgt!P$49&gt;SUM('General Inputs'!$J$8:$L$8),DevBdgt!O$49&lt;SUM('General Inputs'!$J$8:$L$8)),'General Inputs'!$L$8-SUM($D$92:O$92),0)))</f>
        <v>0</v>
      </c>
      <c r="Q92" s="229">
        <f>IF(ContrLand=0,0,IF(DevBdgt!Q$49&lt;=SUM('General Inputs'!$J$8:$L$8),ContrLand*DevBdgt!Q$48,IF(AND(DevBdgt!Q$49&gt;SUM('General Inputs'!$J$8:$L$8),DevBdgt!P$49&lt;SUM('General Inputs'!$J$8:$L$8)),'General Inputs'!$L$8-SUM($D$92:P$92),0)))</f>
        <v>0</v>
      </c>
      <c r="R92" s="229">
        <f>IF(ContrLand=0,0,IF(DevBdgt!R$49&lt;=SUM('General Inputs'!$J$8:$L$8),ContrLand*DevBdgt!R$48,IF(AND(DevBdgt!R$49&gt;SUM('General Inputs'!$J$8:$L$8),DevBdgt!Q$49&lt;SUM('General Inputs'!$J$8:$L$8)),'General Inputs'!$L$8-SUM($D$92:Q$92),0)))</f>
        <v>0</v>
      </c>
      <c r="S92" s="229">
        <f>IF(ContrLand=0,0,IF(DevBdgt!S$49&lt;=SUM('General Inputs'!$J$8:$L$8),ContrLand*DevBdgt!S$48,IF(AND(DevBdgt!S$49&gt;SUM('General Inputs'!$J$8:$L$8),DevBdgt!R$49&lt;SUM('General Inputs'!$J$8:$L$8)),'General Inputs'!$L$8-SUM($D$92:R$92),0)))</f>
        <v>0</v>
      </c>
      <c r="T92" s="229">
        <f>IF(ContrLand=0,0,IF(DevBdgt!T$49&lt;=SUM('General Inputs'!$J$8:$L$8),ContrLand*DevBdgt!T$48,IF(AND(DevBdgt!T$49&gt;SUM('General Inputs'!$J$8:$L$8),DevBdgt!S$49&lt;SUM('General Inputs'!$J$8:$L$8)),'General Inputs'!$L$8-SUM($D$92:S$92),0)))</f>
        <v>0</v>
      </c>
      <c r="U92" s="229">
        <f>IF(ContrLand=0,0,IF(DevBdgt!U$49&lt;=SUM('General Inputs'!$J$8:$L$8),ContrLand*DevBdgt!U$48,IF(AND(DevBdgt!U$49&gt;SUM('General Inputs'!$J$8:$L$8),DevBdgt!T$49&lt;SUM('General Inputs'!$J$8:$L$8)),'General Inputs'!$L$8-SUM($D$92:T$92),0)))</f>
        <v>0</v>
      </c>
      <c r="V92" s="229">
        <f>IF(ContrLand=0,0,IF(DevBdgt!V$49&lt;=SUM('General Inputs'!$J$8:$L$8),ContrLand*DevBdgt!V$48,IF(AND(DevBdgt!V$49&gt;SUM('General Inputs'!$J$8:$L$8),DevBdgt!U$49&lt;SUM('General Inputs'!$J$8:$L$8)),'General Inputs'!$L$8-SUM($D$92:U$92),0)))</f>
        <v>0</v>
      </c>
      <c r="W92" s="229">
        <f>IF(ContrLand=0,0,IF(DevBdgt!W$49&lt;=SUM('General Inputs'!$J$8:$L$8),ContrLand*DevBdgt!W$48,IF(AND(DevBdgt!W$49&gt;SUM('General Inputs'!$J$8:$L$8),DevBdgt!V$49&lt;SUM('General Inputs'!$J$8:$L$8)),'General Inputs'!$L$8-SUM($D$92:V$92),0)))</f>
        <v>0</v>
      </c>
      <c r="X92" s="229">
        <f>IF(ContrLand=0,0,IF(DevBdgt!X$49&lt;=SUM('General Inputs'!$J$8:$L$8),ContrLand*DevBdgt!X$48,IF(AND(DevBdgt!X$49&gt;SUM('General Inputs'!$J$8:$L$8),DevBdgt!W$49&lt;SUM('General Inputs'!$J$8:$L$8)),'General Inputs'!$L$8-SUM($D$92:W$92),0)))</f>
        <v>0</v>
      </c>
      <c r="Y92" s="229">
        <f>IF(ContrLand=0,0,IF(DevBdgt!Y$49&lt;=SUM('General Inputs'!$J$8:$L$8),ContrLand*DevBdgt!Y$48,IF(AND(DevBdgt!Y$49&gt;SUM('General Inputs'!$J$8:$L$8),DevBdgt!X$49&lt;SUM('General Inputs'!$J$8:$L$8)),'General Inputs'!$L$8-SUM($D$92:X$92),0)))</f>
        <v>0</v>
      </c>
      <c r="Z92" s="229">
        <f>IF(ContrLand=0,0,IF(DevBdgt!Z$49&lt;=SUM('General Inputs'!$J$8:$L$8),ContrLand*DevBdgt!Z$48,IF(AND(DevBdgt!Z$49&gt;SUM('General Inputs'!$J$8:$L$8),DevBdgt!Y$49&lt;SUM('General Inputs'!$J$8:$L$8)),'General Inputs'!$L$8-SUM($D$92:Y$92),0)))</f>
        <v>0</v>
      </c>
      <c r="AA92" s="229">
        <f>IF(ContrLand=0,0,IF(DevBdgt!AA$49&lt;=SUM('General Inputs'!$J$8:$L$8),ContrLand*DevBdgt!AA$48,IF(AND(DevBdgt!AA$49&gt;SUM('General Inputs'!$J$8:$L$8),DevBdgt!Z$49&lt;SUM('General Inputs'!$J$8:$L$8)),'General Inputs'!$L$8-SUM($D$92:Z$92),0)))</f>
        <v>0</v>
      </c>
      <c r="AB92" s="229">
        <f>IF(ContrLand=0,0,IF(DevBdgt!AB$49&lt;=SUM('General Inputs'!$J$8:$L$8),ContrLand*DevBdgt!AB$48,IF(AND(DevBdgt!AB$49&gt;SUM('General Inputs'!$J$8:$L$8),DevBdgt!AA$49&lt;SUM('General Inputs'!$J$8:$L$8)),'General Inputs'!$L$8-SUM($D$92:AA$92),0)))</f>
        <v>0</v>
      </c>
      <c r="AC92" s="229">
        <f>IF(ContrLand=0,0,IF(DevBdgt!AC$49&lt;=SUM('General Inputs'!$J$8:$L$8),ContrLand*DevBdgt!AC$48,IF(AND(DevBdgt!AC$49&gt;SUM('General Inputs'!$J$8:$L$8),DevBdgt!AB$49&lt;SUM('General Inputs'!$J$8:$L$8)),'General Inputs'!$L$8-SUM($D$92:AB$92),0)))</f>
        <v>0</v>
      </c>
      <c r="AD92" s="229">
        <f>IF(ContrLand=0,0,IF(DevBdgt!AD$49&lt;=SUM('General Inputs'!$J$8:$L$8),ContrLand*DevBdgt!AD$48,IF(AND(DevBdgt!AD$49&gt;SUM('General Inputs'!$J$8:$L$8),DevBdgt!AC$49&lt;SUM('General Inputs'!$J$8:$L$8)),'General Inputs'!$L$8-SUM($D$92:AC$92),0)))</f>
        <v>0</v>
      </c>
      <c r="AE92" s="229">
        <f>IF(ContrLand=0,0,IF(DevBdgt!AE$49&lt;=SUM('General Inputs'!$J$8:$L$8),ContrLand*DevBdgt!AE$48,IF(AND(DevBdgt!AE$49&gt;SUM('General Inputs'!$J$8:$L$8),DevBdgt!AD$49&lt;SUM('General Inputs'!$J$8:$L$8)),'General Inputs'!$L$8-SUM($D$92:AD$92),0)))</f>
        <v>0</v>
      </c>
      <c r="AF92" s="229">
        <f>IF(ContrLand=0,0,IF(DevBdgt!AF$49&lt;=SUM('General Inputs'!$J$8:$L$8),ContrLand*DevBdgt!AF$48,IF(AND(DevBdgt!AF$49&gt;SUM('General Inputs'!$J$8:$L$8),DevBdgt!AE$49&lt;SUM('General Inputs'!$J$8:$L$8)),'General Inputs'!$L$8-SUM($D$92:AE$92),0)))</f>
        <v>0</v>
      </c>
      <c r="AG92" s="229">
        <f>IF(ContrLand=0,0,IF(DevBdgt!AG$49&lt;=SUM('General Inputs'!$J$8:$L$8),ContrLand*DevBdgt!AG$48,IF(AND(DevBdgt!AG$49&gt;SUM('General Inputs'!$J$8:$L$8),DevBdgt!AF$49&lt;SUM('General Inputs'!$J$8:$L$8)),'General Inputs'!$L$8-SUM($D$92:AF$92),0)))</f>
        <v>0</v>
      </c>
      <c r="AH92" s="229">
        <f>IF(ContrLand=0,0,IF(DevBdgt!AH$49&lt;=SUM('General Inputs'!$J$8:$L$8),ContrLand*DevBdgt!AH$48,IF(AND(DevBdgt!AH$49&gt;SUM('General Inputs'!$J$8:$L$8),DevBdgt!AG$49&lt;SUM('General Inputs'!$J$8:$L$8)),'General Inputs'!$L$8-SUM($D$92:AG$92),0)))</f>
        <v>0</v>
      </c>
      <c r="AI92" s="229">
        <f>IF(ContrLand=0,0,IF(DevBdgt!AI$49&lt;=SUM('General Inputs'!$J$8:$L$8),ContrLand*DevBdgt!AI$48,IF(AND(DevBdgt!AI$49&gt;SUM('General Inputs'!$J$8:$L$8),DevBdgt!AH$49&lt;SUM('General Inputs'!$J$8:$L$8)),'General Inputs'!$L$8-SUM($D$92:AH$92),0)))</f>
        <v>0</v>
      </c>
      <c r="AJ92" s="229">
        <f>IF(ContrLand=0,0,IF(DevBdgt!AJ$49&lt;=SUM('General Inputs'!$J$8:$L$8),ContrLand*DevBdgt!AJ$48,IF(AND(DevBdgt!AJ$49&gt;SUM('General Inputs'!$J$8:$L$8),DevBdgt!AI$49&lt;SUM('General Inputs'!$J$8:$L$8)),'General Inputs'!$L$8-SUM($D$92:AI$92),0)))</f>
        <v>0</v>
      </c>
      <c r="AK92" s="229">
        <f>IF(ContrLand=0,0,IF(DevBdgt!AK$49&lt;=SUM('General Inputs'!$J$8:$L$8),ContrLand*DevBdgt!AK$48,IF(AND(DevBdgt!AK$49&gt;SUM('General Inputs'!$J$8:$L$8),DevBdgt!AJ$49&lt;SUM('General Inputs'!$J$8:$L$8)),'General Inputs'!$L$8-SUM($D$92:AJ$92),0)))</f>
        <v>0</v>
      </c>
      <c r="AL92" s="229">
        <f>IF(ContrLand=0,0,IF(DevBdgt!AL$49&lt;=SUM('General Inputs'!$J$8:$L$8),ContrLand*DevBdgt!AL$48,IF(AND(DevBdgt!AL$49&gt;SUM('General Inputs'!$J$8:$L$8),DevBdgt!AK$49&lt;SUM('General Inputs'!$J$8:$L$8)),'General Inputs'!$L$8-SUM($D$92:AK$92),0)))</f>
        <v>0</v>
      </c>
      <c r="AM92" s="229">
        <f>IF(ContrLand=0,0,IF(DevBdgt!AM$49&lt;=SUM('General Inputs'!$J$8:$L$8),ContrLand*DevBdgt!AM$48,IF(AND(DevBdgt!AM$49&gt;SUM('General Inputs'!$J$8:$L$8),DevBdgt!AL$49&lt;SUM('General Inputs'!$J$8:$L$8)),'General Inputs'!$L$8-SUM($D$92:AL$92),0)))</f>
        <v>0</v>
      </c>
      <c r="AN92" s="229">
        <f>IF(ContrLand=0,0,IF(DevBdgt!AN$49&lt;=SUM('General Inputs'!$J$8:$L$8),ContrLand*DevBdgt!AN$48,IF(AND(DevBdgt!AN$49&gt;SUM('General Inputs'!$J$8:$L$8),DevBdgt!AM$49&lt;SUM('General Inputs'!$J$8:$L$8)),'General Inputs'!$L$8-SUM($D$92:AM$92),0)))</f>
        <v>0</v>
      </c>
      <c r="AO92" s="229">
        <f>IF(ContrLand=0,0,IF(DevBdgt!AO$49&lt;=SUM('General Inputs'!$J$8:$L$8),ContrLand*DevBdgt!AO$48,IF(AND(DevBdgt!AO$49&gt;SUM('General Inputs'!$J$8:$L$8),DevBdgt!AN$49&lt;SUM('General Inputs'!$J$8:$L$8)),'General Inputs'!$L$8-SUM($D$92:AN$92),0)))</f>
        <v>0</v>
      </c>
      <c r="AP92" s="229">
        <f>IF(ContrLand=0,0,IF(DevBdgt!AP$49&lt;=SUM('General Inputs'!$J$8:$L$8),ContrLand*DevBdgt!AP$48,IF(AND(DevBdgt!AP$49&gt;SUM('General Inputs'!$J$8:$L$8),DevBdgt!AO$49&lt;SUM('General Inputs'!$J$8:$L$8)),'General Inputs'!$L$8-SUM($D$92:AO$92),0)))</f>
        <v>0</v>
      </c>
      <c r="AQ92" s="229">
        <f>IF(ContrLand=0,0,IF(DevBdgt!AQ$49&lt;=SUM('General Inputs'!$J$8:$L$8),ContrLand*DevBdgt!AQ$48,IF(AND(DevBdgt!AQ$49&gt;SUM('General Inputs'!$J$8:$L$8),DevBdgt!AP$49&lt;SUM('General Inputs'!$J$8:$L$8)),'General Inputs'!$L$8-SUM($D$92:AP$92),0)))</f>
        <v>0</v>
      </c>
      <c r="AR92" s="229">
        <f>IF(ContrLand=0,0,IF(DevBdgt!AR$49&lt;=SUM('General Inputs'!$J$8:$L$8),ContrLand*DevBdgt!AR$48,IF(AND(DevBdgt!AR$49&gt;SUM('General Inputs'!$J$8:$L$8),DevBdgt!AQ$49&lt;SUM('General Inputs'!$J$8:$L$8)),'General Inputs'!$L$8-SUM($D$92:AQ$92),0)))</f>
        <v>0</v>
      </c>
      <c r="AS92" s="229">
        <f>IF(ContrLand=0,0,IF(DevBdgt!AS$49&lt;=SUM('General Inputs'!$J$8:$L$8),ContrLand*DevBdgt!AS$48,IF(AND(DevBdgt!AS$49&gt;SUM('General Inputs'!$J$8:$L$8),DevBdgt!AR$49&lt;SUM('General Inputs'!$J$8:$L$8)),'General Inputs'!$L$8-SUM($D$92:AR$92),0)))</f>
        <v>0</v>
      </c>
      <c r="AT92" s="229">
        <f>IF(ContrLand=0,0,IF(DevBdgt!AT$49&lt;=SUM('General Inputs'!$J$8:$L$8),ContrLand*DevBdgt!AT$48,IF(AND(DevBdgt!AT$49&gt;SUM('General Inputs'!$J$8:$L$8),DevBdgt!AS$49&lt;SUM('General Inputs'!$J$8:$L$8)),'General Inputs'!$L$8-SUM($D$92:AS$92),0)))</f>
        <v>0</v>
      </c>
      <c r="AU92" s="229">
        <f>IF(ContrLand=0,0,IF(DevBdgt!AU$49&lt;=SUM('General Inputs'!$J$8:$L$8),ContrLand*DevBdgt!AU$48,IF(AND(DevBdgt!AU$49&gt;SUM('General Inputs'!$J$8:$L$8),DevBdgt!AT$49&lt;SUM('General Inputs'!$J$8:$L$8)),'General Inputs'!$L$8-SUM($D$92:AT$92),0)))</f>
        <v>0</v>
      </c>
      <c r="AV92" s="229">
        <f>IF(ContrLand=0,0,IF(DevBdgt!AV$49&lt;=SUM('General Inputs'!$J$8:$L$8),ContrLand*DevBdgt!AV$48,IF(AND(DevBdgt!AV$49&gt;SUM('General Inputs'!$J$8:$L$8),DevBdgt!AU$49&lt;SUM('General Inputs'!$J$8:$L$8)),'General Inputs'!$L$8-SUM($D$92:AU$92),0)))</f>
        <v>0</v>
      </c>
      <c r="AW92" s="229">
        <f>IF(ContrLand=0,0,IF(DevBdgt!AW$49&lt;=SUM('General Inputs'!$J$8:$L$8),ContrLand*DevBdgt!AW$48,IF(AND(DevBdgt!AW$49&gt;SUM('General Inputs'!$J$8:$L$8),DevBdgt!AV$49&lt;SUM('General Inputs'!$J$8:$L$8)),'General Inputs'!$L$8-SUM($D$92:AV$92),0)))</f>
        <v>0</v>
      </c>
      <c r="AX92" s="229">
        <f>IF(ContrLand=0,0,IF(DevBdgt!AX$49&lt;=SUM('General Inputs'!$J$8:$L$8),ContrLand*DevBdgt!AX$48,IF(AND(DevBdgt!AX$49&gt;SUM('General Inputs'!$J$8:$L$8),DevBdgt!AW$49&lt;SUM('General Inputs'!$J$8:$L$8)),'General Inputs'!$L$8-SUM($D$92:AW$92),0)))</f>
        <v>0</v>
      </c>
      <c r="AY92" s="229">
        <f>IF(ContrLand=0,0,IF(DevBdgt!AY$49&lt;=SUM('General Inputs'!$J$8:$L$8),ContrLand*DevBdgt!AY$48,IF(AND(DevBdgt!AY$49&gt;SUM('General Inputs'!$J$8:$L$8),DevBdgt!AX$49&lt;SUM('General Inputs'!$J$8:$L$8)),'General Inputs'!$L$8-SUM($D$92:AX$92),0)))</f>
        <v>0</v>
      </c>
      <c r="AZ92" s="229">
        <f>IF(ContrLand=0,0,IF(DevBdgt!AZ$49&lt;=SUM('General Inputs'!$J$8:$L$8),ContrLand*DevBdgt!AZ$48,IF(AND(DevBdgt!AZ$49&gt;SUM('General Inputs'!$J$8:$L$8),DevBdgt!AY$49&lt;SUM('General Inputs'!$J$8:$L$8)),'General Inputs'!$L$8-SUM($D$92:AY$92),0)))</f>
        <v>0</v>
      </c>
      <c r="BA92" s="229">
        <f>IF(ContrLand=0,0,IF(DevBdgt!BA$49&lt;=SUM('General Inputs'!$J$8:$L$8),ContrLand*DevBdgt!BA$48,IF(AND(DevBdgt!BA$49&gt;SUM('General Inputs'!$J$8:$L$8),DevBdgt!AZ$49&lt;SUM('General Inputs'!$J$8:$L$8)),'General Inputs'!$L$8-SUM($D$92:AZ$92),0)))</f>
        <v>0</v>
      </c>
      <c r="BB92" s="229">
        <f>IF(ContrLand=0,0,IF(DevBdgt!BB$49&lt;=SUM('General Inputs'!$J$8:$L$8),ContrLand*DevBdgt!BB$48,IF(AND(DevBdgt!BB$49&gt;SUM('General Inputs'!$J$8:$L$8),DevBdgt!BA$49&lt;SUM('General Inputs'!$J$8:$L$8)),'General Inputs'!$L$8-SUM($D$92:BA$92),0)))</f>
        <v>0</v>
      </c>
      <c r="BC92" s="229">
        <f>IF(ContrLand=0,0,IF(DevBdgt!BC$49&lt;=SUM('General Inputs'!$J$8:$L$8),ContrLand*DevBdgt!BC$48,IF(AND(DevBdgt!BC$49&gt;SUM('General Inputs'!$J$8:$L$8),DevBdgt!BB$49&lt;SUM('General Inputs'!$J$8:$L$8)),'General Inputs'!$L$8-SUM($D$92:BB$92),0)))</f>
        <v>0</v>
      </c>
      <c r="BD92" s="229">
        <f>IF(ContrLand=0,0,IF(DevBdgt!BD$49&lt;=SUM('General Inputs'!$J$8:$L$8),ContrLand*DevBdgt!BD$48,IF(AND(DevBdgt!BD$49&gt;SUM('General Inputs'!$J$8:$L$8),DevBdgt!BC$49&lt;SUM('General Inputs'!$J$8:$L$8)),'General Inputs'!$L$8-SUM($D$92:BC$92),0)))</f>
        <v>0</v>
      </c>
      <c r="BE92" s="229">
        <f>IF(ContrLand=0,0,IF(DevBdgt!BE$49&lt;=SUM('General Inputs'!$J$8:$L$8),ContrLand*DevBdgt!BE$48,IF(AND(DevBdgt!BE$49&gt;SUM('General Inputs'!$J$8:$L$8),DevBdgt!BD$49&lt;SUM('General Inputs'!$J$8:$L$8)),'General Inputs'!$L$8-SUM($D$92:BD$92),0)))</f>
        <v>0</v>
      </c>
      <c r="BF92" s="229">
        <f>IF(ContrLand=0,0,IF(DevBdgt!BF$49&lt;=SUM('General Inputs'!$J$8:$L$8),ContrLand*DevBdgt!BF$48,IF(AND(DevBdgt!BF$49&gt;SUM('General Inputs'!$J$8:$L$8),DevBdgt!BE$49&lt;SUM('General Inputs'!$J$8:$L$8)),'General Inputs'!$L$8-SUM($D$92:BE$92),0)))</f>
        <v>0</v>
      </c>
      <c r="BG92" s="229">
        <f>IF(ContrLand=0,0,IF(DevBdgt!BG$49&lt;=SUM('General Inputs'!$J$8:$L$8),ContrLand*DevBdgt!BG$48,IF(AND(DevBdgt!BG$49&gt;SUM('General Inputs'!$J$8:$L$8),DevBdgt!BF$49&lt;SUM('General Inputs'!$J$8:$L$8)),'General Inputs'!$L$8-SUM($D$92:BF$92),0)))</f>
        <v>0</v>
      </c>
      <c r="BH92" s="229">
        <f>IF(ContrLand=0,0,IF(DevBdgt!BH$49&lt;=SUM('General Inputs'!$J$8:$L$8),ContrLand*DevBdgt!BH$48,IF(AND(DevBdgt!BH$49&gt;SUM('General Inputs'!$J$8:$L$8),DevBdgt!BG$49&lt;SUM('General Inputs'!$J$8:$L$8)),'General Inputs'!$L$8-SUM($D$92:BG$92),0)))</f>
        <v>0</v>
      </c>
      <c r="BI92" s="229">
        <f>IF(ContrLand=0,0,IF(DevBdgt!BI$49&lt;=SUM('General Inputs'!$J$8:$L$8),ContrLand*DevBdgt!BI$48,IF(AND(DevBdgt!BI$49&gt;SUM('General Inputs'!$J$8:$L$8),DevBdgt!BH$49&lt;SUM('General Inputs'!$J$8:$L$8)),'General Inputs'!$L$8-SUM($D$92:BH$92),0)))</f>
        <v>0</v>
      </c>
      <c r="BJ92" s="229">
        <f>IF(ContrLand=0,0,IF(DevBdgt!BJ$49&lt;=SUM('General Inputs'!$J$8:$L$8),ContrLand*DevBdgt!BJ$48,IF(AND(DevBdgt!BJ$49&gt;SUM('General Inputs'!$J$8:$L$8),DevBdgt!BI$49&lt;SUM('General Inputs'!$J$8:$L$8)),'General Inputs'!$L$8-SUM($D$92:BI$92),0)))</f>
        <v>0</v>
      </c>
      <c r="BK92" s="229">
        <f>IF(ContrLand=0,0,IF(DevBdgt!BK$49&lt;=SUM('General Inputs'!$J$8:$L$8),ContrLand*DevBdgt!BK$48,IF(AND(DevBdgt!BK$49&gt;SUM('General Inputs'!$J$8:$L$8),DevBdgt!BJ$49&lt;SUM('General Inputs'!$J$8:$L$8)),'General Inputs'!$L$8-SUM($D$92:BJ$92),0)))</f>
        <v>0</v>
      </c>
      <c r="BL92" s="229">
        <f>IF(ContrLand=0,0,IF(DevBdgt!BL$49&lt;=SUM('General Inputs'!$J$8:$L$8),ContrLand*DevBdgt!BL$48,IF(AND(DevBdgt!BL$49&gt;SUM('General Inputs'!$J$8:$L$8),DevBdgt!BK$49&lt;SUM('General Inputs'!$J$8:$L$8)),'General Inputs'!$L$8-SUM($D$92:BK$92),0)))</f>
        <v>0</v>
      </c>
      <c r="BM92" s="229">
        <f>IF(ContrLand=0,0,IF(DevBdgt!BM$49&lt;=SUM('General Inputs'!$J$8:$L$8),ContrLand*DevBdgt!BM$48,IF(AND(DevBdgt!BM$49&gt;SUM('General Inputs'!$J$8:$L$8),DevBdgt!BL$49&lt;SUM('General Inputs'!$J$8:$L$8)),'General Inputs'!$L$8-SUM($D$92:BL$92),0)))</f>
        <v>0</v>
      </c>
      <c r="BN92" s="229">
        <f>IF(ContrLand=0,0,IF(DevBdgt!BN$49&lt;=SUM('General Inputs'!$J$8:$L$8),ContrLand*DevBdgt!BN$48,IF(AND(DevBdgt!BN$49&gt;SUM('General Inputs'!$J$8:$L$8),DevBdgt!BM$49&lt;SUM('General Inputs'!$J$8:$L$8)),'General Inputs'!$L$8-SUM($D$92:BM$92),0)))</f>
        <v>0</v>
      </c>
      <c r="BO92" s="229">
        <f>IF(ContrLand=0,0,IF(DevBdgt!BO$49&lt;=SUM('General Inputs'!$J$8:$L$8),ContrLand*DevBdgt!BO$48,IF(AND(DevBdgt!BO$49&gt;SUM('General Inputs'!$J$8:$L$8),DevBdgt!BN$49&lt;SUM('General Inputs'!$J$8:$L$8)),'General Inputs'!$L$8-SUM($D$92:BN$92),0)))</f>
        <v>0</v>
      </c>
      <c r="BP92" s="229">
        <f>IF(ContrLand=0,0,IF(DevBdgt!BP$49&lt;=SUM('General Inputs'!$J$8:$L$8),ContrLand*DevBdgt!BP$48,IF(AND(DevBdgt!BP$49&gt;SUM('General Inputs'!$J$8:$L$8),DevBdgt!BO$49&lt;SUM('General Inputs'!$J$8:$L$8)),'General Inputs'!$L$8-SUM($D$92:BO$92),0)))</f>
        <v>0</v>
      </c>
      <c r="BQ92" s="229">
        <f>IF(ContrLand=0,0,IF(DevBdgt!BQ$49&lt;=SUM('General Inputs'!$J$8:$L$8),ContrLand*DevBdgt!BQ$48,IF(AND(DevBdgt!BQ$49&gt;SUM('General Inputs'!$J$8:$L$8),DevBdgt!BP$49&lt;SUM('General Inputs'!$J$8:$L$8)),'General Inputs'!$L$8-SUM($D$92:BP$92),0)))</f>
        <v>0</v>
      </c>
      <c r="BR92" s="229">
        <f>IF(ContrLand=0,0,IF(DevBdgt!BR$49&lt;=SUM('General Inputs'!$J$8:$L$8),ContrLand*DevBdgt!BR$48,IF(AND(DevBdgt!BR$49&gt;SUM('General Inputs'!$J$8:$L$8),DevBdgt!BQ$49&lt;SUM('General Inputs'!$J$8:$L$8)),'General Inputs'!$L$8-SUM($D$92:BQ$92),0)))</f>
        <v>0</v>
      </c>
      <c r="BS92" s="229">
        <f>IF(ContrLand=0,0,IF(DevBdgt!BS$49&lt;=SUM('General Inputs'!$J$8:$L$8),ContrLand*DevBdgt!BS$48,IF(AND(DevBdgt!BS$49&gt;SUM('General Inputs'!$J$8:$L$8),DevBdgt!BR$49&lt;SUM('General Inputs'!$J$8:$L$8)),'General Inputs'!$L$8-SUM($D$92:BR$92),0)))</f>
        <v>0</v>
      </c>
      <c r="BT92" s="229">
        <f>IF(ContrLand=0,0,IF(DevBdgt!BT$49&lt;=SUM('General Inputs'!$J$8:$L$8),ContrLand*DevBdgt!BT$48,IF(AND(DevBdgt!BT$49&gt;SUM('General Inputs'!$J$8:$L$8),DevBdgt!BS$49&lt;SUM('General Inputs'!$J$8:$L$8)),'General Inputs'!$L$8-SUM($D$92:BS$92),0)))</f>
        <v>0</v>
      </c>
      <c r="BU92" s="229">
        <f>IF(ContrLand=0,0,IF(DevBdgt!BU$49&lt;=SUM('General Inputs'!$J$8:$L$8),ContrLand*DevBdgt!BU$48,IF(AND(DevBdgt!BU$49&gt;SUM('General Inputs'!$J$8:$L$8),DevBdgt!BT$49&lt;SUM('General Inputs'!$J$8:$L$8)),'General Inputs'!$L$8-SUM($D$92:BT$92),0)))</f>
        <v>0</v>
      </c>
      <c r="BV92" s="229">
        <f>IF(ContrLand=0,0,IF(DevBdgt!BV$49&lt;=SUM('General Inputs'!$J$8:$L$8),ContrLand*DevBdgt!BV$48,IF(AND(DevBdgt!BV$49&gt;SUM('General Inputs'!$J$8:$L$8),DevBdgt!BU$49&lt;SUM('General Inputs'!$J$8:$L$8)),'General Inputs'!$L$8-SUM($D$92:BU$92),0)))</f>
        <v>0</v>
      </c>
      <c r="BW92" s="229">
        <f>IF(ContrLand=0,0,IF(DevBdgt!BW$49&lt;=SUM('General Inputs'!$J$8:$L$8),ContrLand*DevBdgt!BW$48,IF(AND(DevBdgt!BW$49&gt;SUM('General Inputs'!$J$8:$L$8),DevBdgt!BV$49&lt;SUM('General Inputs'!$J$8:$L$8)),'General Inputs'!$L$8-SUM($D$92:BV$92),0)))</f>
        <v>0</v>
      </c>
      <c r="BX92" s="229">
        <f>IF(ContrLand=0,0,IF(DevBdgt!BX$49&lt;=SUM('General Inputs'!$J$8:$L$8),ContrLand*DevBdgt!BX$48,IF(AND(DevBdgt!BX$49&gt;SUM('General Inputs'!$J$8:$L$8),DevBdgt!BW$49&lt;SUM('General Inputs'!$J$8:$L$8)),'General Inputs'!$L$8-SUM($D$92:BW$92),0)))</f>
        <v>0</v>
      </c>
      <c r="BY92" s="229">
        <f>IF(ContrLand=0,0,IF(DevBdgt!BY$49&lt;=SUM('General Inputs'!$J$8:$L$8),ContrLand*DevBdgt!BY$48,IF(AND(DevBdgt!BY$49&gt;SUM('General Inputs'!$J$8:$L$8),DevBdgt!BX$49&lt;SUM('General Inputs'!$J$8:$L$8)),'General Inputs'!$L$8-SUM($D$92:BX$92),0)))</f>
        <v>0</v>
      </c>
      <c r="BZ92" s="229">
        <f>IF(ContrLand=0,0,IF(DevBdgt!BZ$49&lt;=SUM('General Inputs'!$J$8:$L$8),ContrLand*DevBdgt!BZ$48,IF(AND(DevBdgt!BZ$49&gt;SUM('General Inputs'!$J$8:$L$8),DevBdgt!BY$49&lt;SUM('General Inputs'!$J$8:$L$8)),'General Inputs'!$L$8-SUM($D$92:BY$92),0)))</f>
        <v>0</v>
      </c>
      <c r="CA92" s="229">
        <f>IF(ContrLand=0,0,IF(DevBdgt!CA$49&lt;=SUM('General Inputs'!$J$8:$L$8),ContrLand*DevBdgt!CA$48,IF(AND(DevBdgt!CA$49&gt;SUM('General Inputs'!$J$8:$L$8),DevBdgt!BZ$49&lt;SUM('General Inputs'!$J$8:$L$8)),'General Inputs'!$L$8-SUM($D$92:BZ$92),0)))</f>
        <v>0</v>
      </c>
      <c r="CB92" s="229">
        <f>IF(ContrLand=0,0,IF(DevBdgt!CB$49&lt;=SUM('General Inputs'!$J$8:$L$8),ContrLand*DevBdgt!CB$48,IF(AND(DevBdgt!CB$49&gt;SUM('General Inputs'!$J$8:$L$8),DevBdgt!CA$49&lt;SUM('General Inputs'!$J$8:$L$8)),'General Inputs'!$L$8-SUM($D$92:CA$92),0)))</f>
        <v>0</v>
      </c>
      <c r="CC92" s="229">
        <f>IF(ContrLand=0,0,IF(DevBdgt!CC$49&lt;=SUM('General Inputs'!$J$8:$L$8),ContrLand*DevBdgt!CC$48,IF(AND(DevBdgt!CC$49&gt;SUM('General Inputs'!$J$8:$L$8),DevBdgt!CB$49&lt;SUM('General Inputs'!$J$8:$L$8)),'General Inputs'!$L$8-SUM($D$92:CB$92),0)))</f>
        <v>0</v>
      </c>
      <c r="CD92" s="229">
        <f>IF(ContrLand=0,0,IF(DevBdgt!CD$49&lt;=SUM('General Inputs'!$J$8:$L$8),ContrLand*DevBdgt!CD$48,IF(AND(DevBdgt!CD$49&gt;SUM('General Inputs'!$J$8:$L$8),DevBdgt!CC$49&lt;SUM('General Inputs'!$J$8:$L$8)),'General Inputs'!$L$8-SUM($D$92:CC$92),0)))</f>
        <v>0</v>
      </c>
      <c r="CE92" s="229">
        <f>IF(ContrLand=0,0,IF(DevBdgt!CE$49&lt;=SUM('General Inputs'!$J$8:$L$8),ContrLand*DevBdgt!CE$48,IF(AND(DevBdgt!CE$49&gt;SUM('General Inputs'!$J$8:$L$8),DevBdgt!CD$49&lt;SUM('General Inputs'!$J$8:$L$8)),'General Inputs'!$L$8-SUM($D$92:CD$92),0)))</f>
        <v>0</v>
      </c>
      <c r="CF92" s="229">
        <f>IF(ContrLand=0,0,IF(DevBdgt!CF$49&lt;=SUM('General Inputs'!$J$8:$L$8),ContrLand*DevBdgt!CF$48,IF(AND(DevBdgt!CF$49&gt;SUM('General Inputs'!$J$8:$L$8),DevBdgt!CE$49&lt;SUM('General Inputs'!$J$8:$L$8)),'General Inputs'!$L$8-SUM($D$92:CE$92),0)))</f>
        <v>0</v>
      </c>
      <c r="CG92" s="229">
        <f>IF(ContrLand=0,0,IF(DevBdgt!CG$49&lt;=SUM('General Inputs'!$J$8:$L$8),ContrLand*DevBdgt!CG$48,IF(AND(DevBdgt!CG$49&gt;SUM('General Inputs'!$J$8:$L$8),DevBdgt!CF$49&lt;SUM('General Inputs'!$J$8:$L$8)),'General Inputs'!$L$8-SUM($D$92:CF$92),0)))</f>
        <v>0</v>
      </c>
      <c r="CH92" s="229">
        <f>IF(ContrLand=0,0,IF(DevBdgt!CH$49&lt;=SUM('General Inputs'!$J$8:$L$8),ContrLand*DevBdgt!CH$48,IF(AND(DevBdgt!CH$49&gt;SUM('General Inputs'!$J$8:$L$8),DevBdgt!CG$49&lt;SUM('General Inputs'!$J$8:$L$8)),'General Inputs'!$L$8-SUM($D$92:CG$92),0)))</f>
        <v>0</v>
      </c>
      <c r="CI92" s="229">
        <f>IF(ContrLand=0,0,IF(DevBdgt!CI$49&lt;=SUM('General Inputs'!$J$8:$L$8),ContrLand*DevBdgt!CI$48,IF(AND(DevBdgt!CI$49&gt;SUM('General Inputs'!$J$8:$L$8),DevBdgt!CH$49&lt;SUM('General Inputs'!$J$8:$L$8)),'General Inputs'!$L$8-SUM($D$92:CH$92),0)))</f>
        <v>0</v>
      </c>
      <c r="CJ92" s="229">
        <f>IF(ContrLand=0,0,IF(DevBdgt!CJ$49&lt;=SUM('General Inputs'!$J$8:$L$8),ContrLand*DevBdgt!CJ$48,IF(AND(DevBdgt!CJ$49&gt;SUM('General Inputs'!$J$8:$L$8),DevBdgt!CI$49&lt;SUM('General Inputs'!$J$8:$L$8)),'General Inputs'!$L$8-SUM($D$92:CI$92),0)))</f>
        <v>0</v>
      </c>
      <c r="CK92" s="229">
        <f>IF(ContrLand=0,0,IF(DevBdgt!CK$49&lt;=SUM('General Inputs'!$J$8:$L$8),ContrLand*DevBdgt!CK$48,IF(AND(DevBdgt!CK$49&gt;SUM('General Inputs'!$J$8:$L$8),DevBdgt!CJ$49&lt;SUM('General Inputs'!$J$8:$L$8)),'General Inputs'!$L$8-SUM($D$92:CJ$92),0)))</f>
        <v>0</v>
      </c>
      <c r="CL92" s="229">
        <f>IF(ContrLand=0,0,IF(DevBdgt!CL$49&lt;=SUM('General Inputs'!$J$8:$L$8),ContrLand*DevBdgt!CL$48,IF(AND(DevBdgt!CL$49&gt;SUM('General Inputs'!$J$8:$L$8),DevBdgt!CK$49&lt;SUM('General Inputs'!$J$8:$L$8)),'General Inputs'!$L$8-SUM($D$92:CK$92),0)))</f>
        <v>0</v>
      </c>
      <c r="CM92" s="229">
        <f>IF(ContrLand=0,0,IF(DevBdgt!CM$49&lt;=SUM('General Inputs'!$J$8:$L$8),ContrLand*DevBdgt!CM$48,IF(AND(DevBdgt!CM$49&gt;SUM('General Inputs'!$J$8:$L$8),DevBdgt!CL$49&lt;SUM('General Inputs'!$J$8:$L$8)),'General Inputs'!$L$8-SUM($D$92:CL$92),0)))</f>
        <v>0</v>
      </c>
      <c r="CN92" s="229">
        <f>IF(ContrLand=0,0,IF(DevBdgt!CN$49&lt;=SUM('General Inputs'!$J$8:$L$8),ContrLand*DevBdgt!CN$48,IF(AND(DevBdgt!CN$49&gt;SUM('General Inputs'!$J$8:$L$8),DevBdgt!CM$49&lt;SUM('General Inputs'!$J$8:$L$8)),'General Inputs'!$L$8-SUM($D$92:CM$92),0)))</f>
        <v>0</v>
      </c>
      <c r="CO92" s="229">
        <f>IF(ContrLand=0,0,IF(DevBdgt!CO$49&lt;=SUM('General Inputs'!$J$8:$L$8),ContrLand*DevBdgt!CO$48,IF(AND(DevBdgt!CO$49&gt;SUM('General Inputs'!$J$8:$L$8),DevBdgt!CN$49&lt;SUM('General Inputs'!$J$8:$L$8)),'General Inputs'!$L$8-SUM($D$92:CN$92),0)))</f>
        <v>0</v>
      </c>
      <c r="CP92" s="229">
        <f>IF(ContrLand=0,0,IF(DevBdgt!CP$49&lt;=SUM('General Inputs'!$J$8:$L$8),ContrLand*DevBdgt!CP$48,IF(AND(DevBdgt!CP$49&gt;SUM('General Inputs'!$J$8:$L$8),DevBdgt!CO$49&lt;SUM('General Inputs'!$J$8:$L$8)),'General Inputs'!$L$8-SUM($D$92:CO$92),0)))</f>
        <v>0</v>
      </c>
      <c r="CQ92" s="229">
        <f>IF(ContrLand=0,0,IF(DevBdgt!CQ$49&lt;=SUM('General Inputs'!$J$8:$L$8),ContrLand*DevBdgt!CQ$48,IF(AND(DevBdgt!CQ$49&gt;SUM('General Inputs'!$J$8:$L$8),DevBdgt!CP$49&lt;SUM('General Inputs'!$J$8:$L$8)),'General Inputs'!$L$8-SUM($D$92:CP$92),0)))</f>
        <v>0</v>
      </c>
      <c r="CR92" s="229">
        <f>IF(ContrLand=0,0,IF(DevBdgt!CR$49&lt;=SUM('General Inputs'!$J$8:$L$8),ContrLand*DevBdgt!CR$48,IF(AND(DevBdgt!CR$49&gt;SUM('General Inputs'!$J$8:$L$8),DevBdgt!CQ$49&lt;SUM('General Inputs'!$J$8:$L$8)),'General Inputs'!$L$8-SUM($D$92:CQ$92),0)))</f>
        <v>0</v>
      </c>
      <c r="CS92" s="229">
        <f>IF(ContrLand=0,0,IF(DevBdgt!CS$49&lt;=SUM('General Inputs'!$J$8:$L$8),ContrLand*DevBdgt!CS$48,IF(AND(DevBdgt!CS$49&gt;SUM('General Inputs'!$J$8:$L$8),DevBdgt!CR$49&lt;SUM('General Inputs'!$J$8:$L$8)),'General Inputs'!$L$8-SUM($D$92:CR$92),0)))</f>
        <v>0</v>
      </c>
      <c r="CT92" s="229">
        <f>IF(ContrLand=0,0,IF(DevBdgt!CT$49&lt;=SUM('General Inputs'!$J$8:$L$8),ContrLand*DevBdgt!CT$48,IF(AND(DevBdgt!CT$49&gt;SUM('General Inputs'!$J$8:$L$8),DevBdgt!CS$49&lt;SUM('General Inputs'!$J$8:$L$8)),'General Inputs'!$L$8-SUM($D$92:CS$92),0)))</f>
        <v>0</v>
      </c>
      <c r="CU92" s="229">
        <f>IF(ContrLand=0,0,IF(DevBdgt!CU$49&lt;=SUM('General Inputs'!$J$8:$L$8),ContrLand*DevBdgt!CU$48,IF(AND(DevBdgt!CU$49&gt;SUM('General Inputs'!$J$8:$L$8),DevBdgt!CT$49&lt;SUM('General Inputs'!$J$8:$L$8)),'General Inputs'!$L$8-SUM($D$92:CT$92),0)))</f>
        <v>0</v>
      </c>
      <c r="CV92" s="229">
        <f>IF(ContrLand=0,0,IF(DevBdgt!CV$49&lt;=SUM('General Inputs'!$J$8:$L$8),ContrLand*DevBdgt!CV$48,IF(AND(DevBdgt!CV$49&gt;SUM('General Inputs'!$J$8:$L$8),DevBdgt!CU$49&lt;SUM('General Inputs'!$J$8:$L$8)),'General Inputs'!$L$8-SUM($D$92:CU$92),0)))</f>
        <v>0</v>
      </c>
      <c r="CW92" s="229">
        <f>IF(ContrLand=0,0,IF(DevBdgt!CW$49&lt;=SUM('General Inputs'!$J$8:$L$8),ContrLand*DevBdgt!CW$48,IF(AND(DevBdgt!CW$49&gt;SUM('General Inputs'!$J$8:$L$8),DevBdgt!CV$49&lt;SUM('General Inputs'!$J$8:$L$8)),'General Inputs'!$L$8-SUM($D$92:CV$92),0)))</f>
        <v>0</v>
      </c>
      <c r="CX92" s="229">
        <f>IF(ContrLand=0,0,IF(DevBdgt!CX$49&lt;=SUM('General Inputs'!$J$8:$L$8),ContrLand*DevBdgt!CX$48,IF(AND(DevBdgt!CX$49&gt;SUM('General Inputs'!$J$8:$L$8),DevBdgt!CW$49&lt;SUM('General Inputs'!$J$8:$L$8)),'General Inputs'!$L$8-SUM($D$92:CW$92),0)))</f>
        <v>0</v>
      </c>
      <c r="CY92" s="229">
        <f>IF(ContrLand=0,0,IF(DevBdgt!CY$49&lt;=SUM('General Inputs'!$J$8:$L$8),ContrLand*DevBdgt!CY$48,IF(AND(DevBdgt!CY$49&gt;SUM('General Inputs'!$J$8:$L$8),DevBdgt!CX$49&lt;SUM('General Inputs'!$J$8:$L$8)),'General Inputs'!$L$8-SUM($D$92:CX$92),0)))</f>
        <v>0</v>
      </c>
      <c r="CZ92" s="229">
        <f>IF(ContrLand=0,0,IF(DevBdgt!CZ$49&lt;=SUM('General Inputs'!$J$8:$L$8),ContrLand*DevBdgt!CZ$48,IF(AND(DevBdgt!CZ$49&gt;SUM('General Inputs'!$J$8:$L$8),DevBdgt!CY$49&lt;SUM('General Inputs'!$J$8:$L$8)),'General Inputs'!$L$8-SUM($D$92:CY$92),0)))</f>
        <v>0</v>
      </c>
      <c r="DA92" s="229">
        <f>IF(ContrLand=0,0,IF(DevBdgt!DA$49&lt;=SUM('General Inputs'!$J$8:$L$8),ContrLand*DevBdgt!DA$48,IF(AND(DevBdgt!DA$49&gt;SUM('General Inputs'!$J$8:$L$8),DevBdgt!CZ$49&lt;SUM('General Inputs'!$J$8:$L$8)),'General Inputs'!$L$8-SUM($D$92:CZ$92),0)))</f>
        <v>0</v>
      </c>
      <c r="DB92" s="229">
        <f>IF(ContrLand=0,0,IF(DevBdgt!DB$49&lt;=SUM('General Inputs'!$J$8:$L$8),ContrLand*DevBdgt!DB$48,IF(AND(DevBdgt!DB$49&gt;SUM('General Inputs'!$J$8:$L$8),DevBdgt!DA$49&lt;SUM('General Inputs'!$J$8:$L$8)),'General Inputs'!$L$8-SUM($D$92:DA$92),0)))</f>
        <v>0</v>
      </c>
      <c r="DC92" s="229">
        <f>IF(ContrLand=0,0,IF(DevBdgt!DC$49&lt;=SUM('General Inputs'!$J$8:$L$8),ContrLand*DevBdgt!DC$48,IF(AND(DevBdgt!DC$49&gt;SUM('General Inputs'!$J$8:$L$8),DevBdgt!DB$49&lt;SUM('General Inputs'!$J$8:$L$8)),'General Inputs'!$L$8-SUM($D$92:DB$92),0)))</f>
        <v>0</v>
      </c>
      <c r="DD92" s="229">
        <f>IF(ContrLand=0,0,IF(DevBdgt!DD$49&lt;=SUM('General Inputs'!$J$8:$L$8),ContrLand*DevBdgt!DD$48,IF(AND(DevBdgt!DD$49&gt;SUM('General Inputs'!$J$8:$L$8),DevBdgt!DC$49&lt;SUM('General Inputs'!$J$8:$L$8)),'General Inputs'!$L$8-SUM($D$92:DC$92),0)))</f>
        <v>0</v>
      </c>
      <c r="DE92" s="229">
        <f>IF(ContrLand=0,0,IF(DevBdgt!DE$49&lt;=SUM('General Inputs'!$J$8:$L$8),ContrLand*DevBdgt!DE$48,IF(AND(DevBdgt!DE$49&gt;SUM('General Inputs'!$J$8:$L$8),DevBdgt!DD$49&lt;SUM('General Inputs'!$J$8:$L$8)),'General Inputs'!$L$8-SUM($D$92:DD$92),0)))</f>
        <v>0</v>
      </c>
      <c r="DF92" s="229">
        <f>IF(ContrLand=0,0,IF(DevBdgt!DF$49&lt;=SUM('General Inputs'!$J$8:$L$8),ContrLand*DevBdgt!DF$48,IF(AND(DevBdgt!DF$49&gt;SUM('General Inputs'!$J$8:$L$8),DevBdgt!DE$49&lt;SUM('General Inputs'!$J$8:$L$8)),'General Inputs'!$L$8-SUM($D$92:DE$92),0)))</f>
        <v>0</v>
      </c>
      <c r="DG92" s="229">
        <f>IF(ContrLand=0,0,IF(DevBdgt!DG$49&lt;=SUM('General Inputs'!$J$8:$L$8),ContrLand*DevBdgt!DG$48,IF(AND(DevBdgt!DG$49&gt;SUM('General Inputs'!$J$8:$L$8),DevBdgt!DF$49&lt;SUM('General Inputs'!$J$8:$L$8)),'General Inputs'!$L$8-SUM($D$92:DF$92),0)))</f>
        <v>0</v>
      </c>
      <c r="DH92" s="229">
        <f>IF(ContrLand=0,0,IF(DevBdgt!DH$49&lt;=SUM('General Inputs'!$J$8:$L$8),ContrLand*DevBdgt!DH$48,IF(AND(DevBdgt!DH$49&gt;SUM('General Inputs'!$J$8:$L$8),DevBdgt!DG$49&lt;SUM('General Inputs'!$J$8:$L$8)),'General Inputs'!$L$8-SUM($D$92:DG$92),0)))</f>
        <v>0</v>
      </c>
      <c r="DI92" s="229">
        <f>IF(ContrLand=0,0,IF(DevBdgt!DI$49&lt;=SUM('General Inputs'!$J$8:$L$8),ContrLand*DevBdgt!DI$48,IF(AND(DevBdgt!DI$49&gt;SUM('General Inputs'!$J$8:$L$8),DevBdgt!DH$49&lt;SUM('General Inputs'!$J$8:$L$8)),'General Inputs'!$L$8-SUM($D$92:DH$92),0)))</f>
        <v>0</v>
      </c>
      <c r="DJ92" s="229">
        <f>IF(ContrLand=0,0,IF(DevBdgt!DJ$49&lt;=SUM('General Inputs'!$J$8:$L$8),ContrLand*DevBdgt!DJ$48,IF(AND(DevBdgt!DJ$49&gt;SUM('General Inputs'!$J$8:$L$8),DevBdgt!DI$49&lt;SUM('General Inputs'!$J$8:$L$8)),'General Inputs'!$L$8-SUM($D$92:DI$92),0)))</f>
        <v>0</v>
      </c>
      <c r="DK92" s="229">
        <f>IF(ContrLand=0,0,IF(DevBdgt!DK$49&lt;=SUM('General Inputs'!$J$8:$L$8),ContrLand*DevBdgt!DK$48,IF(AND(DevBdgt!DK$49&gt;SUM('General Inputs'!$J$8:$L$8),DevBdgt!DJ$49&lt;SUM('General Inputs'!$J$8:$L$8)),'General Inputs'!$L$8-SUM($D$92:DJ$92),0)))</f>
        <v>0</v>
      </c>
      <c r="DL92" s="229">
        <f>IF(ContrLand=0,0,IF(DevBdgt!DL$49&lt;=SUM('General Inputs'!$J$8:$L$8),ContrLand*DevBdgt!DL$48,IF(AND(DevBdgt!DL$49&gt;SUM('General Inputs'!$J$8:$L$8),DevBdgt!DK$49&lt;SUM('General Inputs'!$J$8:$L$8)),'General Inputs'!$L$8-SUM($D$92:DK$92),0)))</f>
        <v>0</v>
      </c>
      <c r="DM92" s="229">
        <f>IF(ContrLand=0,0,IF(DevBdgt!DM$49&lt;=SUM('General Inputs'!$J$8:$L$8),ContrLand*DevBdgt!DM$48,IF(AND(DevBdgt!DM$49&gt;SUM('General Inputs'!$J$8:$L$8),DevBdgt!DL$49&lt;SUM('General Inputs'!$J$8:$L$8)),'General Inputs'!$L$8-SUM($D$92:DL$92),0)))</f>
        <v>0</v>
      </c>
      <c r="DN92" s="229">
        <f>IF(ContrLand=0,0,IF(DevBdgt!DN$49&lt;=SUM('General Inputs'!$J$8:$L$8),ContrLand*DevBdgt!DN$48,IF(AND(DevBdgt!DN$49&gt;SUM('General Inputs'!$J$8:$L$8),DevBdgt!DM$49&lt;SUM('General Inputs'!$J$8:$L$8)),'General Inputs'!$L$8-SUM($D$92:DM$92),0)))</f>
        <v>0</v>
      </c>
      <c r="DO92" s="229">
        <f>IF(ContrLand=0,0,IF(DevBdgt!DO$49&lt;=SUM('General Inputs'!$J$8:$L$8),ContrLand*DevBdgt!DO$48,IF(AND(DevBdgt!DO$49&gt;SUM('General Inputs'!$J$8:$L$8),DevBdgt!DN$49&lt;SUM('General Inputs'!$J$8:$L$8)),'General Inputs'!$L$8-SUM($D$92:DN$92),0)))</f>
        <v>0</v>
      </c>
      <c r="DP92" s="229">
        <f>IF(ContrLand=0,0,IF(DevBdgt!DP$49&lt;=SUM('General Inputs'!$J$8:$L$8),ContrLand*DevBdgt!DP$48,IF(AND(DevBdgt!DP$49&gt;SUM('General Inputs'!$J$8:$L$8),DevBdgt!DO$49&lt;SUM('General Inputs'!$J$8:$L$8)),'General Inputs'!$L$8-SUM($D$92:DO$92),0)))</f>
        <v>0</v>
      </c>
      <c r="DQ92" s="229">
        <f>IF(ContrLand=0,0,IF(DevBdgt!DQ$49&lt;=SUM('General Inputs'!$J$8:$L$8),ContrLand*DevBdgt!DQ$48,IF(AND(DevBdgt!DQ$49&gt;SUM('General Inputs'!$J$8:$L$8),DevBdgt!DP$49&lt;SUM('General Inputs'!$J$8:$L$8)),'General Inputs'!$L$8-SUM($D$92:DP$92),0)))</f>
        <v>0</v>
      </c>
      <c r="DR92" s="229">
        <f>IF(ContrLand=0,0,IF(DevBdgt!DR$49&lt;=SUM('General Inputs'!$J$8:$L$8),ContrLand*DevBdgt!DR$48,IF(AND(DevBdgt!DR$49&gt;SUM('General Inputs'!$J$8:$L$8),DevBdgt!DQ$49&lt;SUM('General Inputs'!$J$8:$L$8)),'General Inputs'!$L$8-SUM($D$92:DQ$92),0)))</f>
        <v>0</v>
      </c>
      <c r="DS92" s="229">
        <f>IF(ContrLand=0,0,IF(DevBdgt!DS$49&lt;=SUM('General Inputs'!$J$8:$L$8),ContrLand*DevBdgt!DS$48,IF(AND(DevBdgt!DS$49&gt;SUM('General Inputs'!$J$8:$L$8),DevBdgt!DR$49&lt;SUM('General Inputs'!$J$8:$L$8)),'General Inputs'!$L$8-SUM($D$92:DR$92),0)))</f>
        <v>0</v>
      </c>
      <c r="DT92" s="229">
        <f>IF(ContrLand=0,0,IF(DevBdgt!DT$49&lt;=SUM('General Inputs'!$J$8:$L$8),ContrLand*DevBdgt!DT$48,IF(AND(DevBdgt!DT$49&gt;SUM('General Inputs'!$J$8:$L$8),DevBdgt!DS$49&lt;SUM('General Inputs'!$J$8:$L$8)),'General Inputs'!$L$8-SUM($D$92:DS$92),0)))</f>
        <v>0</v>
      </c>
      <c r="DU92" s="229">
        <f>IF(ContrLand=0,0,IF(DevBdgt!DU$49&lt;=SUM('General Inputs'!$J$8:$L$8),ContrLand*DevBdgt!DU$48,IF(AND(DevBdgt!DU$49&gt;SUM('General Inputs'!$J$8:$L$8),DevBdgt!DT$49&lt;SUM('General Inputs'!$J$8:$L$8)),'General Inputs'!$L$8-SUM($D$92:DT$92),0)))</f>
        <v>0</v>
      </c>
      <c r="DV92" s="229">
        <f>IF(ContrLand=0,0,IF(DevBdgt!DV$49&lt;=SUM('General Inputs'!$J$8:$L$8),ContrLand*DevBdgt!DV$48,IF(AND(DevBdgt!DV$49&gt;SUM('General Inputs'!$J$8:$L$8),DevBdgt!DU$49&lt;SUM('General Inputs'!$J$8:$L$8)),'General Inputs'!$L$8-SUM($D$92:DU$92),0)))</f>
        <v>0</v>
      </c>
      <c r="DW92" s="229">
        <f>IF(ContrLand=0,0,IF(DevBdgt!DW$49&lt;=SUM('General Inputs'!$J$8:$L$8),ContrLand*DevBdgt!DW$48,IF(AND(DevBdgt!DW$49&gt;SUM('General Inputs'!$J$8:$L$8),DevBdgt!DV$49&lt;SUM('General Inputs'!$J$8:$L$8)),'General Inputs'!$L$8-SUM($D$92:DV$92),0)))</f>
        <v>0</v>
      </c>
      <c r="DX92" s="229">
        <f>IF(ContrLand=0,0,IF(DevBdgt!DX$49&lt;=SUM('General Inputs'!$J$8:$L$8),ContrLand*DevBdgt!DX$48,IF(AND(DevBdgt!DX$49&gt;SUM('General Inputs'!$J$8:$L$8),DevBdgt!DW$49&lt;SUM('General Inputs'!$J$8:$L$8)),'General Inputs'!$L$8-SUM($D$92:DW$92),0)))</f>
        <v>0</v>
      </c>
      <c r="DY92" s="229">
        <f>IF(ContrLand=0,0,IF(DevBdgt!DY$49&lt;=SUM('General Inputs'!$J$8:$L$8),ContrLand*DevBdgt!DY$48,IF(AND(DevBdgt!DY$49&gt;SUM('General Inputs'!$J$8:$L$8),DevBdgt!DX$49&lt;SUM('General Inputs'!$J$8:$L$8)),'General Inputs'!$L$8-SUM($D$92:DX$92),0)))</f>
        <v>0</v>
      </c>
      <c r="DZ92" s="229">
        <f>IF(ContrLand=0,0,IF(DevBdgt!DZ$49&lt;=SUM('General Inputs'!$J$8:$L$8),ContrLand*DevBdgt!DZ$48,IF(AND(DevBdgt!DZ$49&gt;SUM('General Inputs'!$J$8:$L$8),DevBdgt!DY$49&lt;SUM('General Inputs'!$J$8:$L$8)),'General Inputs'!$L$8-SUM($D$92:DY$92),0)))</f>
        <v>0</v>
      </c>
      <c r="EA92" s="229">
        <f>IF(ContrLand=0,0,IF(DevBdgt!EA$49&lt;=SUM('General Inputs'!$J$8:$L$8),ContrLand*DevBdgt!EA$48,IF(AND(DevBdgt!EA$49&gt;SUM('General Inputs'!$J$8:$L$8),DevBdgt!DZ$49&lt;SUM('General Inputs'!$J$8:$L$8)),'General Inputs'!$L$8-SUM($D$92:DZ$92),0)))</f>
        <v>0</v>
      </c>
      <c r="EB92" s="229">
        <f>IF(ContrLand=0,0,IF(DevBdgt!EB$49&lt;=SUM('General Inputs'!$J$8:$L$8),ContrLand*DevBdgt!EB$48,IF(AND(DevBdgt!EB$49&gt;SUM('General Inputs'!$J$8:$L$8),DevBdgt!EA$49&lt;SUM('General Inputs'!$J$8:$L$8)),'General Inputs'!$L$8-SUM($D$92:EA$92),0)))</f>
        <v>0</v>
      </c>
      <c r="EC92" s="229">
        <f>IF(ContrLand=0,0,IF(DevBdgt!EC$49&lt;=SUM('General Inputs'!$J$8:$L$8),ContrLand*DevBdgt!EC$48,IF(AND(DevBdgt!EC$49&gt;SUM('General Inputs'!$J$8:$L$8),DevBdgt!EB$49&lt;SUM('General Inputs'!$J$8:$L$8)),'General Inputs'!$L$8-SUM($D$92:EB$92),0)))</f>
        <v>0</v>
      </c>
      <c r="ED92" s="229">
        <f>IF(ContrLand=0,0,IF(DevBdgt!ED$49&lt;=SUM('General Inputs'!$J$8:$L$8),ContrLand*DevBdgt!ED$48,IF(AND(DevBdgt!ED$49&gt;SUM('General Inputs'!$J$8:$L$8),DevBdgt!EC$49&lt;SUM('General Inputs'!$J$8:$L$8)),'General Inputs'!$L$8-SUM($D$92:EC$92),0)))</f>
        <v>0</v>
      </c>
      <c r="EE92" s="229">
        <f>IF(ContrLand=0,0,IF(DevBdgt!EE$49&lt;=SUM('General Inputs'!$J$8:$L$8),ContrLand*DevBdgt!EE$48,IF(AND(DevBdgt!EE$49&gt;SUM('General Inputs'!$J$8:$L$8),DevBdgt!ED$49&lt;SUM('General Inputs'!$J$8:$L$8)),'General Inputs'!$L$8-SUM($D$92:ED$92),0)))</f>
        <v>0</v>
      </c>
      <c r="EF92" s="229">
        <f>IF(ContrLand=0,0,IF(DevBdgt!EF$49&lt;=SUM('General Inputs'!$J$8:$L$8),ContrLand*DevBdgt!EF$48,IF(AND(DevBdgt!EF$49&gt;SUM('General Inputs'!$J$8:$L$8),DevBdgt!EE$49&lt;SUM('General Inputs'!$J$8:$L$8)),'General Inputs'!$L$8-SUM($D$92:EE$92),0)))</f>
        <v>0</v>
      </c>
      <c r="EG92" s="229">
        <f>IF(ContrLand=0,0,IF(DevBdgt!EG$49&lt;=SUM('General Inputs'!$J$8:$L$8),ContrLand*DevBdgt!EG$48,IF(AND(DevBdgt!EG$49&gt;SUM('General Inputs'!$J$8:$L$8),DevBdgt!EF$49&lt;SUM('General Inputs'!$J$8:$L$8)),'General Inputs'!$L$8-SUM($D$92:EF$92),0)))</f>
        <v>0</v>
      </c>
    </row>
    <row r="93" spans="1:137" ht="15" thickBot="1" x14ac:dyDescent="0.35">
      <c r="A93" s="248" t="s">
        <v>2463</v>
      </c>
      <c r="B93" s="248"/>
      <c r="C93" s="248"/>
      <c r="D93" s="697"/>
      <c r="E93" s="250">
        <f t="shared" ref="E93:BP93" si="139">SUM(E91:E92)</f>
        <v>0</v>
      </c>
      <c r="F93" s="250">
        <f t="shared" si="139"/>
        <v>0</v>
      </c>
      <c r="G93" s="250">
        <f t="shared" si="139"/>
        <v>0</v>
      </c>
      <c r="H93" s="250">
        <f t="shared" si="139"/>
        <v>0</v>
      </c>
      <c r="I93" s="250">
        <f t="shared" si="139"/>
        <v>0</v>
      </c>
      <c r="J93" s="250">
        <f t="shared" si="139"/>
        <v>0</v>
      </c>
      <c r="K93" s="250">
        <f t="shared" si="139"/>
        <v>0</v>
      </c>
      <c r="L93" s="250">
        <f t="shared" si="139"/>
        <v>0</v>
      </c>
      <c r="M93" s="250">
        <f t="shared" si="139"/>
        <v>0</v>
      </c>
      <c r="N93" s="250">
        <f t="shared" si="139"/>
        <v>0</v>
      </c>
      <c r="O93" s="250">
        <f t="shared" si="139"/>
        <v>0</v>
      </c>
      <c r="P93" s="250">
        <f t="shared" si="139"/>
        <v>0</v>
      </c>
      <c r="Q93" s="250">
        <f t="shared" si="139"/>
        <v>0</v>
      </c>
      <c r="R93" s="250">
        <f t="shared" si="139"/>
        <v>0</v>
      </c>
      <c r="S93" s="250">
        <f t="shared" si="139"/>
        <v>0</v>
      </c>
      <c r="T93" s="250">
        <f t="shared" si="139"/>
        <v>0</v>
      </c>
      <c r="U93" s="250">
        <f t="shared" si="139"/>
        <v>0</v>
      </c>
      <c r="V93" s="250">
        <f t="shared" si="139"/>
        <v>0</v>
      </c>
      <c r="W93" s="250">
        <f t="shared" si="139"/>
        <v>0</v>
      </c>
      <c r="X93" s="250">
        <f t="shared" si="139"/>
        <v>0</v>
      </c>
      <c r="Y93" s="250">
        <f t="shared" si="139"/>
        <v>0</v>
      </c>
      <c r="Z93" s="250">
        <f t="shared" si="139"/>
        <v>0</v>
      </c>
      <c r="AA93" s="250">
        <f t="shared" si="139"/>
        <v>0</v>
      </c>
      <c r="AB93" s="250">
        <f t="shared" si="139"/>
        <v>0</v>
      </c>
      <c r="AC93" s="250">
        <f t="shared" si="139"/>
        <v>0</v>
      </c>
      <c r="AD93" s="250">
        <f t="shared" si="139"/>
        <v>0</v>
      </c>
      <c r="AE93" s="250">
        <f t="shared" si="139"/>
        <v>0</v>
      </c>
      <c r="AF93" s="250">
        <f t="shared" si="139"/>
        <v>0</v>
      </c>
      <c r="AG93" s="250">
        <f t="shared" si="139"/>
        <v>0</v>
      </c>
      <c r="AH93" s="250">
        <f t="shared" si="139"/>
        <v>0</v>
      </c>
      <c r="AI93" s="250">
        <f t="shared" si="139"/>
        <v>0</v>
      </c>
      <c r="AJ93" s="250">
        <f t="shared" si="139"/>
        <v>0</v>
      </c>
      <c r="AK93" s="250">
        <f t="shared" si="139"/>
        <v>0</v>
      </c>
      <c r="AL93" s="250">
        <f t="shared" si="139"/>
        <v>0</v>
      </c>
      <c r="AM93" s="250">
        <f t="shared" si="139"/>
        <v>0</v>
      </c>
      <c r="AN93" s="250">
        <f t="shared" si="139"/>
        <v>0</v>
      </c>
      <c r="AO93" s="250">
        <f t="shared" si="139"/>
        <v>0</v>
      </c>
      <c r="AP93" s="250">
        <f t="shared" si="139"/>
        <v>0</v>
      </c>
      <c r="AQ93" s="250">
        <f t="shared" si="139"/>
        <v>0</v>
      </c>
      <c r="AR93" s="250">
        <f t="shared" si="139"/>
        <v>0</v>
      </c>
      <c r="AS93" s="250">
        <f t="shared" si="139"/>
        <v>0</v>
      </c>
      <c r="AT93" s="250">
        <f t="shared" si="139"/>
        <v>0</v>
      </c>
      <c r="AU93" s="250">
        <f t="shared" si="139"/>
        <v>0</v>
      </c>
      <c r="AV93" s="250">
        <f t="shared" si="139"/>
        <v>0</v>
      </c>
      <c r="AW93" s="250">
        <f t="shared" si="139"/>
        <v>0</v>
      </c>
      <c r="AX93" s="250">
        <f t="shared" si="139"/>
        <v>0</v>
      </c>
      <c r="AY93" s="250">
        <f t="shared" si="139"/>
        <v>0</v>
      </c>
      <c r="AZ93" s="250">
        <f t="shared" si="139"/>
        <v>0</v>
      </c>
      <c r="BA93" s="250">
        <f t="shared" si="139"/>
        <v>0</v>
      </c>
      <c r="BB93" s="250">
        <f t="shared" si="139"/>
        <v>0</v>
      </c>
      <c r="BC93" s="250">
        <f t="shared" si="139"/>
        <v>0</v>
      </c>
      <c r="BD93" s="250">
        <f t="shared" si="139"/>
        <v>0</v>
      </c>
      <c r="BE93" s="250">
        <f t="shared" si="139"/>
        <v>0</v>
      </c>
      <c r="BF93" s="250">
        <f t="shared" si="139"/>
        <v>0</v>
      </c>
      <c r="BG93" s="250">
        <f t="shared" si="139"/>
        <v>0</v>
      </c>
      <c r="BH93" s="250">
        <f t="shared" si="139"/>
        <v>0</v>
      </c>
      <c r="BI93" s="250">
        <f t="shared" si="139"/>
        <v>0</v>
      </c>
      <c r="BJ93" s="250">
        <f t="shared" si="139"/>
        <v>0</v>
      </c>
      <c r="BK93" s="250">
        <f t="shared" si="139"/>
        <v>0</v>
      </c>
      <c r="BL93" s="250">
        <f t="shared" si="139"/>
        <v>0</v>
      </c>
      <c r="BM93" s="250">
        <f t="shared" si="139"/>
        <v>0</v>
      </c>
      <c r="BN93" s="250">
        <f t="shared" si="139"/>
        <v>0</v>
      </c>
      <c r="BO93" s="250">
        <f t="shared" si="139"/>
        <v>0</v>
      </c>
      <c r="BP93" s="250">
        <f t="shared" si="139"/>
        <v>0</v>
      </c>
      <c r="BQ93" s="250">
        <f t="shared" ref="BQ93:EB93" si="140">SUM(BQ91:BQ92)</f>
        <v>0</v>
      </c>
      <c r="BR93" s="250">
        <f t="shared" si="140"/>
        <v>0</v>
      </c>
      <c r="BS93" s="250">
        <f t="shared" si="140"/>
        <v>0</v>
      </c>
      <c r="BT93" s="250">
        <f t="shared" si="140"/>
        <v>0</v>
      </c>
      <c r="BU93" s="250">
        <f t="shared" si="140"/>
        <v>0</v>
      </c>
      <c r="BV93" s="250">
        <f t="shared" si="140"/>
        <v>0</v>
      </c>
      <c r="BW93" s="250">
        <f t="shared" si="140"/>
        <v>0</v>
      </c>
      <c r="BX93" s="250">
        <f t="shared" si="140"/>
        <v>0</v>
      </c>
      <c r="BY93" s="250">
        <f t="shared" si="140"/>
        <v>0</v>
      </c>
      <c r="BZ93" s="250">
        <f t="shared" si="140"/>
        <v>0</v>
      </c>
      <c r="CA93" s="250">
        <f t="shared" si="140"/>
        <v>0</v>
      </c>
      <c r="CB93" s="250">
        <f t="shared" si="140"/>
        <v>0</v>
      </c>
      <c r="CC93" s="250">
        <f t="shared" si="140"/>
        <v>0</v>
      </c>
      <c r="CD93" s="250">
        <f t="shared" si="140"/>
        <v>0</v>
      </c>
      <c r="CE93" s="250">
        <f t="shared" si="140"/>
        <v>0</v>
      </c>
      <c r="CF93" s="250">
        <f t="shared" si="140"/>
        <v>0</v>
      </c>
      <c r="CG93" s="250">
        <f t="shared" si="140"/>
        <v>0</v>
      </c>
      <c r="CH93" s="250">
        <f t="shared" si="140"/>
        <v>0</v>
      </c>
      <c r="CI93" s="250">
        <f t="shared" si="140"/>
        <v>0</v>
      </c>
      <c r="CJ93" s="250">
        <f t="shared" si="140"/>
        <v>0</v>
      </c>
      <c r="CK93" s="250">
        <f t="shared" si="140"/>
        <v>0</v>
      </c>
      <c r="CL93" s="250">
        <f t="shared" si="140"/>
        <v>0</v>
      </c>
      <c r="CM93" s="250">
        <f t="shared" si="140"/>
        <v>0</v>
      </c>
      <c r="CN93" s="250">
        <f t="shared" si="140"/>
        <v>0</v>
      </c>
      <c r="CO93" s="250">
        <f t="shared" si="140"/>
        <v>0</v>
      </c>
      <c r="CP93" s="250">
        <f t="shared" si="140"/>
        <v>0</v>
      </c>
      <c r="CQ93" s="250">
        <f t="shared" si="140"/>
        <v>0</v>
      </c>
      <c r="CR93" s="250">
        <f t="shared" si="140"/>
        <v>0</v>
      </c>
      <c r="CS93" s="250">
        <f t="shared" si="140"/>
        <v>0</v>
      </c>
      <c r="CT93" s="250">
        <f t="shared" si="140"/>
        <v>0</v>
      </c>
      <c r="CU93" s="250">
        <f t="shared" si="140"/>
        <v>0</v>
      </c>
      <c r="CV93" s="250">
        <f t="shared" si="140"/>
        <v>0</v>
      </c>
      <c r="CW93" s="250">
        <f t="shared" si="140"/>
        <v>0</v>
      </c>
      <c r="CX93" s="250">
        <f t="shared" si="140"/>
        <v>0</v>
      </c>
      <c r="CY93" s="250">
        <f t="shared" si="140"/>
        <v>0</v>
      </c>
      <c r="CZ93" s="250">
        <f t="shared" si="140"/>
        <v>0</v>
      </c>
      <c r="DA93" s="250">
        <f t="shared" si="140"/>
        <v>0</v>
      </c>
      <c r="DB93" s="250">
        <f t="shared" si="140"/>
        <v>0</v>
      </c>
      <c r="DC93" s="250">
        <f t="shared" si="140"/>
        <v>0</v>
      </c>
      <c r="DD93" s="250">
        <f t="shared" si="140"/>
        <v>0</v>
      </c>
      <c r="DE93" s="250">
        <f t="shared" si="140"/>
        <v>0</v>
      </c>
      <c r="DF93" s="250">
        <f t="shared" si="140"/>
        <v>0</v>
      </c>
      <c r="DG93" s="250">
        <f t="shared" si="140"/>
        <v>0</v>
      </c>
      <c r="DH93" s="250">
        <f t="shared" si="140"/>
        <v>0</v>
      </c>
      <c r="DI93" s="250">
        <f t="shared" si="140"/>
        <v>0</v>
      </c>
      <c r="DJ93" s="250">
        <f t="shared" si="140"/>
        <v>0</v>
      </c>
      <c r="DK93" s="250">
        <f t="shared" si="140"/>
        <v>0</v>
      </c>
      <c r="DL93" s="250">
        <f t="shared" si="140"/>
        <v>0</v>
      </c>
      <c r="DM93" s="250">
        <f t="shared" si="140"/>
        <v>0</v>
      </c>
      <c r="DN93" s="250">
        <f t="shared" si="140"/>
        <v>0</v>
      </c>
      <c r="DO93" s="250">
        <f t="shared" si="140"/>
        <v>0</v>
      </c>
      <c r="DP93" s="250">
        <f t="shared" si="140"/>
        <v>0</v>
      </c>
      <c r="DQ93" s="250">
        <f t="shared" si="140"/>
        <v>0</v>
      </c>
      <c r="DR93" s="250">
        <f t="shared" si="140"/>
        <v>0</v>
      </c>
      <c r="DS93" s="250">
        <f t="shared" si="140"/>
        <v>0</v>
      </c>
      <c r="DT93" s="250">
        <f t="shared" si="140"/>
        <v>0</v>
      </c>
      <c r="DU93" s="250">
        <f t="shared" si="140"/>
        <v>0</v>
      </c>
      <c r="DV93" s="250">
        <f t="shared" si="140"/>
        <v>0</v>
      </c>
      <c r="DW93" s="250">
        <f t="shared" si="140"/>
        <v>0</v>
      </c>
      <c r="DX93" s="250">
        <f t="shared" si="140"/>
        <v>0</v>
      </c>
      <c r="DY93" s="250">
        <f t="shared" si="140"/>
        <v>0</v>
      </c>
      <c r="DZ93" s="250">
        <f t="shared" si="140"/>
        <v>0</v>
      </c>
      <c r="EA93" s="250">
        <f t="shared" si="140"/>
        <v>0</v>
      </c>
      <c r="EB93" s="250">
        <f t="shared" si="140"/>
        <v>0</v>
      </c>
      <c r="EC93" s="250">
        <f t="shared" ref="EC93:EG93" si="141">SUM(EC91:EC92)</f>
        <v>0</v>
      </c>
      <c r="ED93" s="250">
        <f t="shared" si="141"/>
        <v>0</v>
      </c>
      <c r="EE93" s="250">
        <f t="shared" si="141"/>
        <v>0</v>
      </c>
      <c r="EF93" s="250">
        <f t="shared" si="141"/>
        <v>0</v>
      </c>
      <c r="EG93" s="250">
        <f t="shared" si="141"/>
        <v>0</v>
      </c>
    </row>
    <row r="94" spans="1:137" ht="7.5" customHeight="1" thickTop="1" x14ac:dyDescent="0.3">
      <c r="E94" s="198"/>
      <c r="F94" s="198"/>
      <c r="G94" s="198"/>
      <c r="H94" s="198"/>
      <c r="I94" s="198"/>
      <c r="J94" s="198"/>
      <c r="K94" s="198"/>
      <c r="L94" s="198"/>
      <c r="M94" s="198"/>
      <c r="N94" s="198"/>
      <c r="O94" s="198"/>
      <c r="P94" s="198"/>
      <c r="Q94" s="198"/>
      <c r="R94" s="198"/>
      <c r="S94" s="198"/>
      <c r="T94" s="198"/>
      <c r="U94" s="198"/>
      <c r="V94" s="198"/>
      <c r="W94" s="198"/>
      <c r="X94" s="198"/>
      <c r="Y94" s="198"/>
      <c r="Z94" s="198"/>
      <c r="AA94" s="198"/>
      <c r="AB94" s="198"/>
      <c r="AC94" s="198"/>
      <c r="AD94" s="198"/>
      <c r="AE94" s="198"/>
      <c r="AF94" s="198"/>
      <c r="AG94" s="198"/>
      <c r="AH94" s="198"/>
      <c r="AI94" s="198"/>
      <c r="AJ94" s="198"/>
      <c r="AK94" s="198"/>
      <c r="AL94" s="198"/>
      <c r="AM94" s="198"/>
      <c r="AN94" s="198"/>
      <c r="AO94" s="198"/>
      <c r="AP94" s="198"/>
      <c r="AQ94" s="198"/>
      <c r="AR94" s="198"/>
      <c r="AS94" s="198"/>
      <c r="AT94" s="198"/>
      <c r="AU94" s="198"/>
      <c r="AV94" s="198"/>
      <c r="AW94" s="198"/>
      <c r="AX94" s="198"/>
      <c r="AY94" s="198"/>
      <c r="AZ94" s="198"/>
      <c r="BA94" s="198"/>
      <c r="BB94" s="198"/>
      <c r="BC94" s="198"/>
      <c r="BD94" s="198"/>
      <c r="BE94" s="198"/>
      <c r="BF94" s="198"/>
      <c r="BG94" s="198"/>
      <c r="BH94" s="198"/>
      <c r="BI94" s="198"/>
      <c r="BJ94" s="198"/>
      <c r="BK94" s="198"/>
      <c r="BL94" s="198"/>
      <c r="BM94" s="198"/>
      <c r="BN94" s="198"/>
      <c r="BO94" s="198"/>
      <c r="BP94" s="198"/>
      <c r="BQ94" s="198"/>
      <c r="BR94" s="198"/>
      <c r="BS94" s="198"/>
      <c r="BT94" s="198"/>
      <c r="BU94" s="198"/>
      <c r="BV94" s="198"/>
      <c r="BW94" s="198"/>
      <c r="BX94" s="198"/>
      <c r="BY94" s="198"/>
      <c r="BZ94" s="198"/>
      <c r="CA94" s="198"/>
      <c r="CB94" s="198"/>
      <c r="CC94" s="198"/>
      <c r="CD94" s="198"/>
      <c r="CE94" s="198"/>
      <c r="CF94" s="198"/>
      <c r="CG94" s="198"/>
      <c r="CH94" s="198"/>
      <c r="CI94" s="198"/>
      <c r="CJ94" s="198"/>
      <c r="CK94" s="198"/>
      <c r="CL94" s="198"/>
      <c r="CM94" s="198"/>
      <c r="CN94" s="198"/>
      <c r="CO94" s="198"/>
      <c r="CP94" s="198"/>
      <c r="CQ94" s="198"/>
      <c r="CR94" s="198"/>
      <c r="CS94" s="198"/>
      <c r="CT94" s="198"/>
      <c r="CU94" s="198"/>
      <c r="CV94" s="198"/>
      <c r="CW94" s="198"/>
      <c r="CX94" s="198"/>
      <c r="CY94" s="198"/>
      <c r="CZ94" s="198"/>
      <c r="DA94" s="198"/>
      <c r="DB94" s="198"/>
      <c r="DC94" s="198"/>
      <c r="DD94" s="198"/>
      <c r="DE94" s="198"/>
      <c r="DF94" s="198"/>
      <c r="DG94" s="198"/>
      <c r="DH94" s="198"/>
      <c r="DI94" s="198"/>
      <c r="DJ94" s="198"/>
      <c r="DK94" s="198"/>
      <c r="DL94" s="198"/>
      <c r="DM94" s="198"/>
      <c r="DN94" s="198"/>
      <c r="DO94" s="198"/>
      <c r="DP94" s="198"/>
      <c r="DQ94" s="198"/>
      <c r="DR94" s="198"/>
      <c r="DS94" s="198"/>
      <c r="DT94" s="198"/>
      <c r="DU94" s="198"/>
      <c r="DV94" s="198"/>
      <c r="DW94" s="198"/>
      <c r="DX94" s="198"/>
      <c r="DY94" s="198"/>
      <c r="DZ94" s="198"/>
      <c r="EA94" s="198"/>
      <c r="EB94" s="198"/>
      <c r="EC94" s="198"/>
      <c r="ED94" s="198"/>
      <c r="EE94" s="198"/>
      <c r="EF94" s="198"/>
      <c r="EG94" s="198"/>
    </row>
    <row r="95" spans="1:137" x14ac:dyDescent="0.3">
      <c r="A95" s="700" t="str">
        <f>'General Inputs'!$L$29&amp;" EQUITY BALANCE"</f>
        <v>LAND EQUITY BALANCE</v>
      </c>
      <c r="B95" s="700"/>
      <c r="C95" s="700"/>
      <c r="D95" s="725"/>
    </row>
    <row r="96" spans="1:137" x14ac:dyDescent="0.3">
      <c r="A96" t="s">
        <v>2461</v>
      </c>
      <c r="E96" s="227">
        <f t="shared" ref="E96:BP96" si="142">D104</f>
        <v>0</v>
      </c>
      <c r="F96" s="227">
        <f t="shared" ca="1" si="142"/>
        <v>0</v>
      </c>
      <c r="G96" s="227">
        <f t="shared" ca="1" si="142"/>
        <v>0</v>
      </c>
      <c r="H96" s="227">
        <f t="shared" ca="1" si="142"/>
        <v>0</v>
      </c>
      <c r="I96" s="227">
        <f t="shared" ca="1" si="142"/>
        <v>0</v>
      </c>
      <c r="J96" s="227">
        <f t="shared" ca="1" si="142"/>
        <v>0</v>
      </c>
      <c r="K96" s="227">
        <f t="shared" ca="1" si="142"/>
        <v>0</v>
      </c>
      <c r="L96" s="227">
        <f t="shared" ca="1" si="142"/>
        <v>0</v>
      </c>
      <c r="M96" s="227">
        <f t="shared" ca="1" si="142"/>
        <v>0</v>
      </c>
      <c r="N96" s="227">
        <f t="shared" ca="1" si="142"/>
        <v>0</v>
      </c>
      <c r="O96" s="227">
        <f t="shared" ca="1" si="142"/>
        <v>0</v>
      </c>
      <c r="P96" s="227">
        <f t="shared" ca="1" si="142"/>
        <v>0</v>
      </c>
      <c r="Q96" s="227">
        <f t="shared" ca="1" si="142"/>
        <v>0</v>
      </c>
      <c r="R96" s="227">
        <f t="shared" ca="1" si="142"/>
        <v>0</v>
      </c>
      <c r="S96" s="227">
        <f t="shared" ca="1" si="142"/>
        <v>0</v>
      </c>
      <c r="T96" s="227">
        <f t="shared" ca="1" si="142"/>
        <v>0</v>
      </c>
      <c r="U96" s="227">
        <f t="shared" ca="1" si="142"/>
        <v>0</v>
      </c>
      <c r="V96" s="227">
        <f t="shared" ca="1" si="142"/>
        <v>0</v>
      </c>
      <c r="W96" s="227">
        <f t="shared" ca="1" si="142"/>
        <v>0</v>
      </c>
      <c r="X96" s="227">
        <f t="shared" ca="1" si="142"/>
        <v>0</v>
      </c>
      <c r="Y96" s="227">
        <f t="shared" ca="1" si="142"/>
        <v>0</v>
      </c>
      <c r="Z96" s="227">
        <f t="shared" ca="1" si="142"/>
        <v>0</v>
      </c>
      <c r="AA96" s="227">
        <f t="shared" ca="1" si="142"/>
        <v>0</v>
      </c>
      <c r="AB96" s="227">
        <f t="shared" ca="1" si="142"/>
        <v>0</v>
      </c>
      <c r="AC96" s="227">
        <f t="shared" ca="1" si="142"/>
        <v>0</v>
      </c>
      <c r="AD96" s="227">
        <f t="shared" ca="1" si="142"/>
        <v>0</v>
      </c>
      <c r="AE96" s="227">
        <f t="shared" ca="1" si="142"/>
        <v>0</v>
      </c>
      <c r="AF96" s="227">
        <f t="shared" ca="1" si="142"/>
        <v>0</v>
      </c>
      <c r="AG96" s="227">
        <f t="shared" ca="1" si="142"/>
        <v>0</v>
      </c>
      <c r="AH96" s="227">
        <f t="shared" ca="1" si="142"/>
        <v>0</v>
      </c>
      <c r="AI96" s="227">
        <f t="shared" ca="1" si="142"/>
        <v>0</v>
      </c>
      <c r="AJ96" s="227">
        <f t="shared" ca="1" si="142"/>
        <v>0</v>
      </c>
      <c r="AK96" s="227">
        <f t="shared" ca="1" si="142"/>
        <v>0</v>
      </c>
      <c r="AL96" s="227">
        <f t="shared" ca="1" si="142"/>
        <v>0</v>
      </c>
      <c r="AM96" s="227">
        <f t="shared" ca="1" si="142"/>
        <v>0</v>
      </c>
      <c r="AN96" s="227">
        <f t="shared" ca="1" si="142"/>
        <v>0</v>
      </c>
      <c r="AO96" s="227">
        <f t="shared" ca="1" si="142"/>
        <v>0</v>
      </c>
      <c r="AP96" s="227">
        <f t="shared" ca="1" si="142"/>
        <v>0</v>
      </c>
      <c r="AQ96" s="227">
        <f t="shared" ca="1" si="142"/>
        <v>0</v>
      </c>
      <c r="AR96" s="227">
        <f t="shared" ca="1" si="142"/>
        <v>0</v>
      </c>
      <c r="AS96" s="227">
        <f t="shared" ca="1" si="142"/>
        <v>0</v>
      </c>
      <c r="AT96" s="227">
        <f t="shared" ca="1" si="142"/>
        <v>0</v>
      </c>
      <c r="AU96" s="227">
        <f t="shared" ca="1" si="142"/>
        <v>0</v>
      </c>
      <c r="AV96" s="227">
        <f t="shared" ca="1" si="142"/>
        <v>0</v>
      </c>
      <c r="AW96" s="227">
        <f t="shared" ca="1" si="142"/>
        <v>0</v>
      </c>
      <c r="AX96" s="227">
        <f t="shared" ca="1" si="142"/>
        <v>0</v>
      </c>
      <c r="AY96" s="227">
        <f t="shared" ca="1" si="142"/>
        <v>0</v>
      </c>
      <c r="AZ96" s="227">
        <f t="shared" ca="1" si="142"/>
        <v>0</v>
      </c>
      <c r="BA96" s="227">
        <f t="shared" ca="1" si="142"/>
        <v>0</v>
      </c>
      <c r="BB96" s="227">
        <f t="shared" ca="1" si="142"/>
        <v>0</v>
      </c>
      <c r="BC96" s="227">
        <f t="shared" ca="1" si="142"/>
        <v>0</v>
      </c>
      <c r="BD96" s="227">
        <f t="shared" ca="1" si="142"/>
        <v>0</v>
      </c>
      <c r="BE96" s="227">
        <f t="shared" ca="1" si="142"/>
        <v>0</v>
      </c>
      <c r="BF96" s="227">
        <f t="shared" ca="1" si="142"/>
        <v>0</v>
      </c>
      <c r="BG96" s="227">
        <f t="shared" ca="1" si="142"/>
        <v>0</v>
      </c>
      <c r="BH96" s="227">
        <f t="shared" ca="1" si="142"/>
        <v>0</v>
      </c>
      <c r="BI96" s="227">
        <f t="shared" ca="1" si="142"/>
        <v>0</v>
      </c>
      <c r="BJ96" s="227">
        <f t="shared" ca="1" si="142"/>
        <v>0</v>
      </c>
      <c r="BK96" s="227">
        <f t="shared" ca="1" si="142"/>
        <v>0</v>
      </c>
      <c r="BL96" s="227">
        <f t="shared" ca="1" si="142"/>
        <v>0</v>
      </c>
      <c r="BM96" s="227">
        <f t="shared" ca="1" si="142"/>
        <v>0</v>
      </c>
      <c r="BN96" s="227">
        <f t="shared" ca="1" si="142"/>
        <v>0</v>
      </c>
      <c r="BO96" s="227">
        <f t="shared" ca="1" si="142"/>
        <v>0</v>
      </c>
      <c r="BP96" s="227">
        <f t="shared" ca="1" si="142"/>
        <v>0</v>
      </c>
      <c r="BQ96" s="227">
        <f t="shared" ref="BQ96:EB96" ca="1" si="143">BP104</f>
        <v>0</v>
      </c>
      <c r="BR96" s="227">
        <f t="shared" ca="1" si="143"/>
        <v>0</v>
      </c>
      <c r="BS96" s="227">
        <f t="shared" ca="1" si="143"/>
        <v>0</v>
      </c>
      <c r="BT96" s="227">
        <f t="shared" ca="1" si="143"/>
        <v>0</v>
      </c>
      <c r="BU96" s="227">
        <f t="shared" ca="1" si="143"/>
        <v>0</v>
      </c>
      <c r="BV96" s="227">
        <f t="shared" ca="1" si="143"/>
        <v>0</v>
      </c>
      <c r="BW96" s="227">
        <f t="shared" ca="1" si="143"/>
        <v>0</v>
      </c>
      <c r="BX96" s="227">
        <f t="shared" ca="1" si="143"/>
        <v>0</v>
      </c>
      <c r="BY96" s="227">
        <f t="shared" ca="1" si="143"/>
        <v>0</v>
      </c>
      <c r="BZ96" s="227">
        <f t="shared" ca="1" si="143"/>
        <v>0</v>
      </c>
      <c r="CA96" s="227">
        <f t="shared" ca="1" si="143"/>
        <v>0</v>
      </c>
      <c r="CB96" s="227">
        <f t="shared" ca="1" si="143"/>
        <v>0</v>
      </c>
      <c r="CC96" s="227">
        <f t="shared" ca="1" si="143"/>
        <v>0</v>
      </c>
      <c r="CD96" s="227">
        <f t="shared" ca="1" si="143"/>
        <v>0</v>
      </c>
      <c r="CE96" s="227">
        <f t="shared" ca="1" si="143"/>
        <v>0</v>
      </c>
      <c r="CF96" s="227">
        <f t="shared" ca="1" si="143"/>
        <v>0</v>
      </c>
      <c r="CG96" s="227">
        <f t="shared" ca="1" si="143"/>
        <v>0</v>
      </c>
      <c r="CH96" s="227">
        <f t="shared" ca="1" si="143"/>
        <v>0</v>
      </c>
      <c r="CI96" s="227">
        <f t="shared" ca="1" si="143"/>
        <v>0</v>
      </c>
      <c r="CJ96" s="227">
        <f t="shared" ca="1" si="143"/>
        <v>0</v>
      </c>
      <c r="CK96" s="227">
        <f t="shared" ca="1" si="143"/>
        <v>0</v>
      </c>
      <c r="CL96" s="227">
        <f t="shared" ca="1" si="143"/>
        <v>0</v>
      </c>
      <c r="CM96" s="227">
        <f t="shared" ca="1" si="143"/>
        <v>0</v>
      </c>
      <c r="CN96" s="227">
        <f t="shared" ca="1" si="143"/>
        <v>0</v>
      </c>
      <c r="CO96" s="227">
        <f t="shared" ca="1" si="143"/>
        <v>0</v>
      </c>
      <c r="CP96" s="227">
        <f t="shared" ca="1" si="143"/>
        <v>0</v>
      </c>
      <c r="CQ96" s="227">
        <f t="shared" ca="1" si="143"/>
        <v>0</v>
      </c>
      <c r="CR96" s="227">
        <f t="shared" ca="1" si="143"/>
        <v>0</v>
      </c>
      <c r="CS96" s="227">
        <f t="shared" ca="1" si="143"/>
        <v>0</v>
      </c>
      <c r="CT96" s="227">
        <f t="shared" ca="1" si="143"/>
        <v>0</v>
      </c>
      <c r="CU96" s="227">
        <f t="shared" ca="1" si="143"/>
        <v>0</v>
      </c>
      <c r="CV96" s="227">
        <f t="shared" ca="1" si="143"/>
        <v>0</v>
      </c>
      <c r="CW96" s="227">
        <f t="shared" ca="1" si="143"/>
        <v>0</v>
      </c>
      <c r="CX96" s="227">
        <f t="shared" ca="1" si="143"/>
        <v>0</v>
      </c>
      <c r="CY96" s="227">
        <f t="shared" ca="1" si="143"/>
        <v>0</v>
      </c>
      <c r="CZ96" s="227">
        <f t="shared" ca="1" si="143"/>
        <v>0</v>
      </c>
      <c r="DA96" s="227">
        <f t="shared" ca="1" si="143"/>
        <v>0</v>
      </c>
      <c r="DB96" s="227">
        <f t="shared" ca="1" si="143"/>
        <v>0</v>
      </c>
      <c r="DC96" s="227">
        <f t="shared" ca="1" si="143"/>
        <v>0</v>
      </c>
      <c r="DD96" s="227">
        <f t="shared" ca="1" si="143"/>
        <v>0</v>
      </c>
      <c r="DE96" s="227">
        <f t="shared" ca="1" si="143"/>
        <v>0</v>
      </c>
      <c r="DF96" s="227">
        <f t="shared" ca="1" si="143"/>
        <v>0</v>
      </c>
      <c r="DG96" s="227">
        <f t="shared" ca="1" si="143"/>
        <v>0</v>
      </c>
      <c r="DH96" s="227">
        <f t="shared" ca="1" si="143"/>
        <v>0</v>
      </c>
      <c r="DI96" s="227">
        <f t="shared" ca="1" si="143"/>
        <v>0</v>
      </c>
      <c r="DJ96" s="227">
        <f t="shared" ca="1" si="143"/>
        <v>0</v>
      </c>
      <c r="DK96" s="227">
        <f t="shared" ca="1" si="143"/>
        <v>0</v>
      </c>
      <c r="DL96" s="227">
        <f t="shared" ca="1" si="143"/>
        <v>0</v>
      </c>
      <c r="DM96" s="227">
        <f t="shared" ca="1" si="143"/>
        <v>0</v>
      </c>
      <c r="DN96" s="227">
        <f t="shared" ca="1" si="143"/>
        <v>0</v>
      </c>
      <c r="DO96" s="227">
        <f t="shared" ca="1" si="143"/>
        <v>0</v>
      </c>
      <c r="DP96" s="227">
        <f t="shared" ca="1" si="143"/>
        <v>0</v>
      </c>
      <c r="DQ96" s="227">
        <f t="shared" ca="1" si="143"/>
        <v>0</v>
      </c>
      <c r="DR96" s="227">
        <f t="shared" ca="1" si="143"/>
        <v>0</v>
      </c>
      <c r="DS96" s="227">
        <f t="shared" ca="1" si="143"/>
        <v>0</v>
      </c>
      <c r="DT96" s="227">
        <f t="shared" ca="1" si="143"/>
        <v>0</v>
      </c>
      <c r="DU96" s="227">
        <f t="shared" ca="1" si="143"/>
        <v>0</v>
      </c>
      <c r="DV96" s="227">
        <f t="shared" ca="1" si="143"/>
        <v>0</v>
      </c>
      <c r="DW96" s="227">
        <f t="shared" ca="1" si="143"/>
        <v>0</v>
      </c>
      <c r="DX96" s="227">
        <f t="shared" ca="1" si="143"/>
        <v>0</v>
      </c>
      <c r="DY96" s="227">
        <f t="shared" ca="1" si="143"/>
        <v>0</v>
      </c>
      <c r="DZ96" s="227">
        <f t="shared" ca="1" si="143"/>
        <v>0</v>
      </c>
      <c r="EA96" s="227">
        <f t="shared" ca="1" si="143"/>
        <v>0</v>
      </c>
      <c r="EB96" s="227">
        <f t="shared" ca="1" si="143"/>
        <v>0</v>
      </c>
      <c r="EC96" s="227">
        <f t="shared" ref="EC96:EG96" ca="1" si="144">EB104</f>
        <v>0</v>
      </c>
      <c r="ED96" s="227">
        <f t="shared" ca="1" si="144"/>
        <v>0</v>
      </c>
      <c r="EE96" s="227">
        <f t="shared" ca="1" si="144"/>
        <v>0</v>
      </c>
      <c r="EF96" s="227">
        <f t="shared" ca="1" si="144"/>
        <v>0</v>
      </c>
      <c r="EG96" s="227">
        <f t="shared" ca="1" si="144"/>
        <v>0</v>
      </c>
    </row>
    <row r="97" spans="1:137" x14ac:dyDescent="0.3">
      <c r="A97" t="s">
        <v>155</v>
      </c>
      <c r="E97" s="229">
        <f>IF('General Inputs'!$M$11="Nominal",'General Inputs'!$L$11/12*Waterfalls!E96,NOMINAL('General Inputs'!$L$11,12)/12*E96)</f>
        <v>0</v>
      </c>
      <c r="F97" s="229">
        <f ca="1">IF('General Inputs'!$M$11="Nominal",'General Inputs'!$L$11/12*Waterfalls!F96,NOMINAL('General Inputs'!$L$11,12)/12*F96)</f>
        <v>0</v>
      </c>
      <c r="G97" s="229">
        <f ca="1">IF('General Inputs'!$M$11="Nominal",'General Inputs'!$L$11/12*Waterfalls!G96,NOMINAL('General Inputs'!$L$11,12)/12*G96)</f>
        <v>0</v>
      </c>
      <c r="H97" s="229">
        <f ca="1">IF('General Inputs'!$M$11="Nominal",'General Inputs'!$L$11/12*Waterfalls!H96,NOMINAL('General Inputs'!$L$11,12)/12*H96)</f>
        <v>0</v>
      </c>
      <c r="I97" s="229">
        <f ca="1">IF('General Inputs'!$M$11="Nominal",'General Inputs'!$L$11/12*Waterfalls!I96,NOMINAL('General Inputs'!$L$11,12)/12*I96)</f>
        <v>0</v>
      </c>
      <c r="J97" s="229">
        <f ca="1">IF('General Inputs'!$M$11="Nominal",'General Inputs'!$L$11/12*Waterfalls!J96,NOMINAL('General Inputs'!$L$11,12)/12*J96)</f>
        <v>0</v>
      </c>
      <c r="K97" s="229">
        <f ca="1">IF('General Inputs'!$M$11="Nominal",'General Inputs'!$L$11/12*Waterfalls!K96,NOMINAL('General Inputs'!$L$11,12)/12*K96)</f>
        <v>0</v>
      </c>
      <c r="L97" s="229">
        <f ca="1">IF('General Inputs'!$M$11="Nominal",'General Inputs'!$L$11/12*Waterfalls!L96,NOMINAL('General Inputs'!$L$11,12)/12*L96)</f>
        <v>0</v>
      </c>
      <c r="M97" s="229">
        <f ca="1">IF('General Inputs'!$M$11="Nominal",'General Inputs'!$L$11/12*Waterfalls!M96,NOMINAL('General Inputs'!$L$11,12)/12*M96)</f>
        <v>0</v>
      </c>
      <c r="N97" s="229">
        <f ca="1">IF('General Inputs'!$M$11="Nominal",'General Inputs'!$L$11/12*Waterfalls!N96,NOMINAL('General Inputs'!$L$11,12)/12*N96)</f>
        <v>0</v>
      </c>
      <c r="O97" s="229">
        <f ca="1">IF('General Inputs'!$M$11="Nominal",'General Inputs'!$L$11/12*Waterfalls!O96,NOMINAL('General Inputs'!$L$11,12)/12*O96)</f>
        <v>0</v>
      </c>
      <c r="P97" s="229">
        <f ca="1">IF('General Inputs'!$M$11="Nominal",'General Inputs'!$L$11/12*Waterfalls!P96,NOMINAL('General Inputs'!$L$11,12)/12*P96)</f>
        <v>0</v>
      </c>
      <c r="Q97" s="229">
        <f ca="1">IF('General Inputs'!$M$11="Nominal",'General Inputs'!$L$11/12*Waterfalls!Q96,NOMINAL('General Inputs'!$L$11,12)/12*Q96)</f>
        <v>0</v>
      </c>
      <c r="R97" s="229">
        <f ca="1">IF('General Inputs'!$M$11="Nominal",'General Inputs'!$L$11/12*Waterfalls!R96,NOMINAL('General Inputs'!$L$11,12)/12*R96)</f>
        <v>0</v>
      </c>
      <c r="S97" s="229">
        <f ca="1">IF('General Inputs'!$M$11="Nominal",'General Inputs'!$L$11/12*Waterfalls!S96,NOMINAL('General Inputs'!$L$11,12)/12*S96)</f>
        <v>0</v>
      </c>
      <c r="T97" s="229">
        <f ca="1">IF('General Inputs'!$M$11="Nominal",'General Inputs'!$L$11/12*Waterfalls!T96,NOMINAL('General Inputs'!$L$11,12)/12*T96)</f>
        <v>0</v>
      </c>
      <c r="U97" s="229">
        <f ca="1">IF('General Inputs'!$M$11="Nominal",'General Inputs'!$L$11/12*Waterfalls!U96,NOMINAL('General Inputs'!$L$11,12)/12*U96)</f>
        <v>0</v>
      </c>
      <c r="V97" s="229">
        <f ca="1">IF('General Inputs'!$M$11="Nominal",'General Inputs'!$L$11/12*Waterfalls!V96,NOMINAL('General Inputs'!$L$11,12)/12*V96)</f>
        <v>0</v>
      </c>
      <c r="W97" s="229">
        <f ca="1">IF('General Inputs'!$M$11="Nominal",'General Inputs'!$L$11/12*Waterfalls!W96,NOMINAL('General Inputs'!$L$11,12)/12*W96)</f>
        <v>0</v>
      </c>
      <c r="X97" s="229">
        <f ca="1">IF('General Inputs'!$M$11="Nominal",'General Inputs'!$L$11/12*Waterfalls!X96,NOMINAL('General Inputs'!$L$11,12)/12*X96)</f>
        <v>0</v>
      </c>
      <c r="Y97" s="229">
        <f ca="1">IF('General Inputs'!$M$11="Nominal",'General Inputs'!$L$11/12*Waterfalls!Y96,NOMINAL('General Inputs'!$L$11,12)/12*Y96)</f>
        <v>0</v>
      </c>
      <c r="Z97" s="229">
        <f ca="1">IF('General Inputs'!$M$11="Nominal",'General Inputs'!$L$11/12*Waterfalls!Z96,NOMINAL('General Inputs'!$L$11,12)/12*Z96)</f>
        <v>0</v>
      </c>
      <c r="AA97" s="229">
        <f ca="1">IF('General Inputs'!$M$11="Nominal",'General Inputs'!$L$11/12*Waterfalls!AA96,NOMINAL('General Inputs'!$L$11,12)/12*AA96)</f>
        <v>0</v>
      </c>
      <c r="AB97" s="229">
        <f ca="1">IF('General Inputs'!$M$11="Nominal",'General Inputs'!$L$11/12*Waterfalls!AB96,NOMINAL('General Inputs'!$L$11,12)/12*AB96)</f>
        <v>0</v>
      </c>
      <c r="AC97" s="229">
        <f ca="1">IF('General Inputs'!$M$11="Nominal",'General Inputs'!$L$11/12*Waterfalls!AC96,NOMINAL('General Inputs'!$L$11,12)/12*AC96)</f>
        <v>0</v>
      </c>
      <c r="AD97" s="229">
        <f ca="1">IF('General Inputs'!$M$11="Nominal",'General Inputs'!$L$11/12*Waterfalls!AD96,NOMINAL('General Inputs'!$L$11,12)/12*AD96)</f>
        <v>0</v>
      </c>
      <c r="AE97" s="229">
        <f ca="1">IF('General Inputs'!$M$11="Nominal",'General Inputs'!$L$11/12*Waterfalls!AE96,NOMINAL('General Inputs'!$L$11,12)/12*AE96)</f>
        <v>0</v>
      </c>
      <c r="AF97" s="229">
        <f ca="1">IF('General Inputs'!$M$11="Nominal",'General Inputs'!$L$11/12*Waterfalls!AF96,NOMINAL('General Inputs'!$L$11,12)/12*AF96)</f>
        <v>0</v>
      </c>
      <c r="AG97" s="229">
        <f ca="1">IF('General Inputs'!$M$11="Nominal",'General Inputs'!$L$11/12*Waterfalls!AG96,NOMINAL('General Inputs'!$L$11,12)/12*AG96)</f>
        <v>0</v>
      </c>
      <c r="AH97" s="229">
        <f ca="1">IF('General Inputs'!$M$11="Nominal",'General Inputs'!$L$11/12*Waterfalls!AH96,NOMINAL('General Inputs'!$L$11,12)/12*AH96)</f>
        <v>0</v>
      </c>
      <c r="AI97" s="229">
        <f ca="1">IF('General Inputs'!$M$11="Nominal",'General Inputs'!$L$11/12*Waterfalls!AI96,NOMINAL('General Inputs'!$L$11,12)/12*AI96)</f>
        <v>0</v>
      </c>
      <c r="AJ97" s="229">
        <f ca="1">IF('General Inputs'!$M$11="Nominal",'General Inputs'!$L$11/12*Waterfalls!AJ96,NOMINAL('General Inputs'!$L$11,12)/12*AJ96)</f>
        <v>0</v>
      </c>
      <c r="AK97" s="229">
        <f ca="1">IF('General Inputs'!$M$11="Nominal",'General Inputs'!$L$11/12*Waterfalls!AK96,NOMINAL('General Inputs'!$L$11,12)/12*AK96)</f>
        <v>0</v>
      </c>
      <c r="AL97" s="229">
        <f ca="1">IF('General Inputs'!$M$11="Nominal",'General Inputs'!$L$11/12*Waterfalls!AL96,NOMINAL('General Inputs'!$L$11,12)/12*AL96)</f>
        <v>0</v>
      </c>
      <c r="AM97" s="229">
        <f ca="1">IF('General Inputs'!$M$11="Nominal",'General Inputs'!$L$11/12*Waterfalls!AM96,NOMINAL('General Inputs'!$L$11,12)/12*AM96)</f>
        <v>0</v>
      </c>
      <c r="AN97" s="229">
        <f ca="1">IF('General Inputs'!$M$11="Nominal",'General Inputs'!$L$11/12*Waterfalls!AN96,NOMINAL('General Inputs'!$L$11,12)/12*AN96)</f>
        <v>0</v>
      </c>
      <c r="AO97" s="229">
        <f ca="1">IF('General Inputs'!$M$11="Nominal",'General Inputs'!$L$11/12*Waterfalls!AO96,NOMINAL('General Inputs'!$L$11,12)/12*AO96)</f>
        <v>0</v>
      </c>
      <c r="AP97" s="229">
        <f ca="1">IF('General Inputs'!$M$11="Nominal",'General Inputs'!$L$11/12*Waterfalls!AP96,NOMINAL('General Inputs'!$L$11,12)/12*AP96)</f>
        <v>0</v>
      </c>
      <c r="AQ97" s="229">
        <f ca="1">IF('General Inputs'!$M$11="Nominal",'General Inputs'!$L$11/12*Waterfalls!AQ96,NOMINAL('General Inputs'!$L$11,12)/12*AQ96)</f>
        <v>0</v>
      </c>
      <c r="AR97" s="229">
        <f ca="1">IF('General Inputs'!$M$11="Nominal",'General Inputs'!$L$11/12*Waterfalls!AR96,NOMINAL('General Inputs'!$L$11,12)/12*AR96)</f>
        <v>0</v>
      </c>
      <c r="AS97" s="229">
        <f ca="1">IF('General Inputs'!$M$11="Nominal",'General Inputs'!$L$11/12*Waterfalls!AS96,NOMINAL('General Inputs'!$L$11,12)/12*AS96)</f>
        <v>0</v>
      </c>
      <c r="AT97" s="229">
        <f ca="1">IF('General Inputs'!$M$11="Nominal",'General Inputs'!$L$11/12*Waterfalls!AT96,NOMINAL('General Inputs'!$L$11,12)/12*AT96)</f>
        <v>0</v>
      </c>
      <c r="AU97" s="229">
        <f ca="1">IF('General Inputs'!$M$11="Nominal",'General Inputs'!$L$11/12*Waterfalls!AU96,NOMINAL('General Inputs'!$L$11,12)/12*AU96)</f>
        <v>0</v>
      </c>
      <c r="AV97" s="229">
        <f ca="1">IF('General Inputs'!$M$11="Nominal",'General Inputs'!$L$11/12*Waterfalls!AV96,NOMINAL('General Inputs'!$L$11,12)/12*AV96)</f>
        <v>0</v>
      </c>
      <c r="AW97" s="229">
        <f ca="1">IF('General Inputs'!$M$11="Nominal",'General Inputs'!$L$11/12*Waterfalls!AW96,NOMINAL('General Inputs'!$L$11,12)/12*AW96)</f>
        <v>0</v>
      </c>
      <c r="AX97" s="229">
        <f ca="1">IF('General Inputs'!$M$11="Nominal",'General Inputs'!$L$11/12*Waterfalls!AX96,NOMINAL('General Inputs'!$L$11,12)/12*AX96)</f>
        <v>0</v>
      </c>
      <c r="AY97" s="229">
        <f ca="1">IF('General Inputs'!$M$11="Nominal",'General Inputs'!$L$11/12*Waterfalls!AY96,NOMINAL('General Inputs'!$L$11,12)/12*AY96)</f>
        <v>0</v>
      </c>
      <c r="AZ97" s="229">
        <f ca="1">IF('General Inputs'!$M$11="Nominal",'General Inputs'!$L$11/12*Waterfalls!AZ96,NOMINAL('General Inputs'!$L$11,12)/12*AZ96)</f>
        <v>0</v>
      </c>
      <c r="BA97" s="229">
        <f ca="1">IF('General Inputs'!$M$11="Nominal",'General Inputs'!$L$11/12*Waterfalls!BA96,NOMINAL('General Inputs'!$L$11,12)/12*BA96)</f>
        <v>0</v>
      </c>
      <c r="BB97" s="229">
        <f ca="1">IF('General Inputs'!$M$11="Nominal",'General Inputs'!$L$11/12*Waterfalls!BB96,NOMINAL('General Inputs'!$L$11,12)/12*BB96)</f>
        <v>0</v>
      </c>
      <c r="BC97" s="229">
        <f ca="1">IF('General Inputs'!$M$11="Nominal",'General Inputs'!$L$11/12*Waterfalls!BC96,NOMINAL('General Inputs'!$L$11,12)/12*BC96)</f>
        <v>0</v>
      </c>
      <c r="BD97" s="229">
        <f ca="1">IF('General Inputs'!$M$11="Nominal",'General Inputs'!$L$11/12*Waterfalls!BD96,NOMINAL('General Inputs'!$L$11,12)/12*BD96)</f>
        <v>0</v>
      </c>
      <c r="BE97" s="229">
        <f ca="1">IF('General Inputs'!$M$11="Nominal",'General Inputs'!$L$11/12*Waterfalls!BE96,NOMINAL('General Inputs'!$L$11,12)/12*BE96)</f>
        <v>0</v>
      </c>
      <c r="BF97" s="229">
        <f ca="1">IF('General Inputs'!$M$11="Nominal",'General Inputs'!$L$11/12*Waterfalls!BF96,NOMINAL('General Inputs'!$L$11,12)/12*BF96)</f>
        <v>0</v>
      </c>
      <c r="BG97" s="229">
        <f ca="1">IF('General Inputs'!$M$11="Nominal",'General Inputs'!$L$11/12*Waterfalls!BG96,NOMINAL('General Inputs'!$L$11,12)/12*BG96)</f>
        <v>0</v>
      </c>
      <c r="BH97" s="229">
        <f ca="1">IF('General Inputs'!$M$11="Nominal",'General Inputs'!$L$11/12*Waterfalls!BH96,NOMINAL('General Inputs'!$L$11,12)/12*BH96)</f>
        <v>0</v>
      </c>
      <c r="BI97" s="229">
        <f ca="1">IF('General Inputs'!$M$11="Nominal",'General Inputs'!$L$11/12*Waterfalls!BI96,NOMINAL('General Inputs'!$L$11,12)/12*BI96)</f>
        <v>0</v>
      </c>
      <c r="BJ97" s="229">
        <f ca="1">IF('General Inputs'!$M$11="Nominal",'General Inputs'!$L$11/12*Waterfalls!BJ96,NOMINAL('General Inputs'!$L$11,12)/12*BJ96)</f>
        <v>0</v>
      </c>
      <c r="BK97" s="229">
        <f ca="1">IF('General Inputs'!$M$11="Nominal",'General Inputs'!$L$11/12*Waterfalls!BK96,NOMINAL('General Inputs'!$L$11,12)/12*BK96)</f>
        <v>0</v>
      </c>
      <c r="BL97" s="229">
        <f ca="1">IF('General Inputs'!$M$11="Nominal",'General Inputs'!$L$11/12*Waterfalls!BL96,NOMINAL('General Inputs'!$L$11,12)/12*BL96)</f>
        <v>0</v>
      </c>
      <c r="BM97" s="229">
        <f ca="1">IF('General Inputs'!$M$11="Nominal",'General Inputs'!$L$11/12*Waterfalls!BM96,NOMINAL('General Inputs'!$L$11,12)/12*BM96)</f>
        <v>0</v>
      </c>
      <c r="BN97" s="229">
        <f ca="1">IF('General Inputs'!$M$11="Nominal",'General Inputs'!$L$11/12*Waterfalls!BN96,NOMINAL('General Inputs'!$L$11,12)/12*BN96)</f>
        <v>0</v>
      </c>
      <c r="BO97" s="229">
        <f ca="1">IF('General Inputs'!$M$11="Nominal",'General Inputs'!$L$11/12*Waterfalls!BO96,NOMINAL('General Inputs'!$L$11,12)/12*BO96)</f>
        <v>0</v>
      </c>
      <c r="BP97" s="229">
        <f ca="1">IF('General Inputs'!$M$11="Nominal",'General Inputs'!$L$11/12*Waterfalls!BP96,NOMINAL('General Inputs'!$L$11,12)/12*BP96)</f>
        <v>0</v>
      </c>
      <c r="BQ97" s="229">
        <f ca="1">IF('General Inputs'!$M$11="Nominal",'General Inputs'!$L$11/12*Waterfalls!BQ96,NOMINAL('General Inputs'!$L$11,12)/12*BQ96)</f>
        <v>0</v>
      </c>
      <c r="BR97" s="229">
        <f ca="1">IF('General Inputs'!$M$11="Nominal",'General Inputs'!$L$11/12*Waterfalls!BR96,NOMINAL('General Inputs'!$L$11,12)/12*BR96)</f>
        <v>0</v>
      </c>
      <c r="BS97" s="229">
        <f ca="1">IF('General Inputs'!$M$11="Nominal",'General Inputs'!$L$11/12*Waterfalls!BS96,NOMINAL('General Inputs'!$L$11,12)/12*BS96)</f>
        <v>0</v>
      </c>
      <c r="BT97" s="229">
        <f ca="1">IF('General Inputs'!$M$11="Nominal",'General Inputs'!$L$11/12*Waterfalls!BT96,NOMINAL('General Inputs'!$L$11,12)/12*BT96)</f>
        <v>0</v>
      </c>
      <c r="BU97" s="229">
        <f ca="1">IF('General Inputs'!$M$11="Nominal",'General Inputs'!$L$11/12*Waterfalls!BU96,NOMINAL('General Inputs'!$L$11,12)/12*BU96)</f>
        <v>0</v>
      </c>
      <c r="BV97" s="229">
        <f ca="1">IF('General Inputs'!$M$11="Nominal",'General Inputs'!$L$11/12*Waterfalls!BV96,NOMINAL('General Inputs'!$L$11,12)/12*BV96)</f>
        <v>0</v>
      </c>
      <c r="BW97" s="229">
        <f ca="1">IF('General Inputs'!$M$11="Nominal",'General Inputs'!$L$11/12*Waterfalls!BW96,NOMINAL('General Inputs'!$L$11,12)/12*BW96)</f>
        <v>0</v>
      </c>
      <c r="BX97" s="229">
        <f ca="1">IF('General Inputs'!$M$11="Nominal",'General Inputs'!$L$11/12*Waterfalls!BX96,NOMINAL('General Inputs'!$L$11,12)/12*BX96)</f>
        <v>0</v>
      </c>
      <c r="BY97" s="229">
        <f ca="1">IF('General Inputs'!$M$11="Nominal",'General Inputs'!$L$11/12*Waterfalls!BY96,NOMINAL('General Inputs'!$L$11,12)/12*BY96)</f>
        <v>0</v>
      </c>
      <c r="BZ97" s="229">
        <f ca="1">IF('General Inputs'!$M$11="Nominal",'General Inputs'!$L$11/12*Waterfalls!BZ96,NOMINAL('General Inputs'!$L$11,12)/12*BZ96)</f>
        <v>0</v>
      </c>
      <c r="CA97" s="229">
        <f ca="1">IF('General Inputs'!$M$11="Nominal",'General Inputs'!$L$11/12*Waterfalls!CA96,NOMINAL('General Inputs'!$L$11,12)/12*CA96)</f>
        <v>0</v>
      </c>
      <c r="CB97" s="229">
        <f ca="1">IF('General Inputs'!$M$11="Nominal",'General Inputs'!$L$11/12*Waterfalls!CB96,NOMINAL('General Inputs'!$L$11,12)/12*CB96)</f>
        <v>0</v>
      </c>
      <c r="CC97" s="229">
        <f ca="1">IF('General Inputs'!$M$11="Nominal",'General Inputs'!$L$11/12*Waterfalls!CC96,NOMINAL('General Inputs'!$L$11,12)/12*CC96)</f>
        <v>0</v>
      </c>
      <c r="CD97" s="229">
        <f ca="1">IF('General Inputs'!$M$11="Nominal",'General Inputs'!$L$11/12*Waterfalls!CD96,NOMINAL('General Inputs'!$L$11,12)/12*CD96)</f>
        <v>0</v>
      </c>
      <c r="CE97" s="229">
        <f ca="1">IF('General Inputs'!$M$11="Nominal",'General Inputs'!$L$11/12*Waterfalls!CE96,NOMINAL('General Inputs'!$L$11,12)/12*CE96)</f>
        <v>0</v>
      </c>
      <c r="CF97" s="229">
        <f ca="1">IF('General Inputs'!$M$11="Nominal",'General Inputs'!$L$11/12*Waterfalls!CF96,NOMINAL('General Inputs'!$L$11,12)/12*CF96)</f>
        <v>0</v>
      </c>
      <c r="CG97" s="229">
        <f ca="1">IF('General Inputs'!$M$11="Nominal",'General Inputs'!$L$11/12*Waterfalls!CG96,NOMINAL('General Inputs'!$L$11,12)/12*CG96)</f>
        <v>0</v>
      </c>
      <c r="CH97" s="229">
        <f ca="1">IF('General Inputs'!$M$11="Nominal",'General Inputs'!$L$11/12*Waterfalls!CH96,NOMINAL('General Inputs'!$L$11,12)/12*CH96)</f>
        <v>0</v>
      </c>
      <c r="CI97" s="229">
        <f ca="1">IF('General Inputs'!$M$11="Nominal",'General Inputs'!$L$11/12*Waterfalls!CI96,NOMINAL('General Inputs'!$L$11,12)/12*CI96)</f>
        <v>0</v>
      </c>
      <c r="CJ97" s="229">
        <f ca="1">IF('General Inputs'!$M$11="Nominal",'General Inputs'!$L$11/12*Waterfalls!CJ96,NOMINAL('General Inputs'!$L$11,12)/12*CJ96)</f>
        <v>0</v>
      </c>
      <c r="CK97" s="229">
        <f ca="1">IF('General Inputs'!$M$11="Nominal",'General Inputs'!$L$11/12*Waterfalls!CK96,NOMINAL('General Inputs'!$L$11,12)/12*CK96)</f>
        <v>0</v>
      </c>
      <c r="CL97" s="229">
        <f ca="1">IF('General Inputs'!$M$11="Nominal",'General Inputs'!$L$11/12*Waterfalls!CL96,NOMINAL('General Inputs'!$L$11,12)/12*CL96)</f>
        <v>0</v>
      </c>
      <c r="CM97" s="229">
        <f ca="1">IF('General Inputs'!$M$11="Nominal",'General Inputs'!$L$11/12*Waterfalls!CM96,NOMINAL('General Inputs'!$L$11,12)/12*CM96)</f>
        <v>0</v>
      </c>
      <c r="CN97" s="229">
        <f ca="1">IF('General Inputs'!$M$11="Nominal",'General Inputs'!$L$11/12*Waterfalls!CN96,NOMINAL('General Inputs'!$L$11,12)/12*CN96)</f>
        <v>0</v>
      </c>
      <c r="CO97" s="229">
        <f ca="1">IF('General Inputs'!$M$11="Nominal",'General Inputs'!$L$11/12*Waterfalls!CO96,NOMINAL('General Inputs'!$L$11,12)/12*CO96)</f>
        <v>0</v>
      </c>
      <c r="CP97" s="229">
        <f ca="1">IF('General Inputs'!$M$11="Nominal",'General Inputs'!$L$11/12*Waterfalls!CP96,NOMINAL('General Inputs'!$L$11,12)/12*CP96)</f>
        <v>0</v>
      </c>
      <c r="CQ97" s="229">
        <f ca="1">IF('General Inputs'!$M$11="Nominal",'General Inputs'!$L$11/12*Waterfalls!CQ96,NOMINAL('General Inputs'!$L$11,12)/12*CQ96)</f>
        <v>0</v>
      </c>
      <c r="CR97" s="229">
        <f ca="1">IF('General Inputs'!$M$11="Nominal",'General Inputs'!$L$11/12*Waterfalls!CR96,NOMINAL('General Inputs'!$L$11,12)/12*CR96)</f>
        <v>0</v>
      </c>
      <c r="CS97" s="229">
        <f ca="1">IF('General Inputs'!$M$11="Nominal",'General Inputs'!$L$11/12*Waterfalls!CS96,NOMINAL('General Inputs'!$L$11,12)/12*CS96)</f>
        <v>0</v>
      </c>
      <c r="CT97" s="229">
        <f ca="1">IF('General Inputs'!$M$11="Nominal",'General Inputs'!$L$11/12*Waterfalls!CT96,NOMINAL('General Inputs'!$L$11,12)/12*CT96)</f>
        <v>0</v>
      </c>
      <c r="CU97" s="229">
        <f ca="1">IF('General Inputs'!$M$11="Nominal",'General Inputs'!$L$11/12*Waterfalls!CU96,NOMINAL('General Inputs'!$L$11,12)/12*CU96)</f>
        <v>0</v>
      </c>
      <c r="CV97" s="229">
        <f ca="1">IF('General Inputs'!$M$11="Nominal",'General Inputs'!$L$11/12*Waterfalls!CV96,NOMINAL('General Inputs'!$L$11,12)/12*CV96)</f>
        <v>0</v>
      </c>
      <c r="CW97" s="229">
        <f ca="1">IF('General Inputs'!$M$11="Nominal",'General Inputs'!$L$11/12*Waterfalls!CW96,NOMINAL('General Inputs'!$L$11,12)/12*CW96)</f>
        <v>0</v>
      </c>
      <c r="CX97" s="229">
        <f ca="1">IF('General Inputs'!$M$11="Nominal",'General Inputs'!$L$11/12*Waterfalls!CX96,NOMINAL('General Inputs'!$L$11,12)/12*CX96)</f>
        <v>0</v>
      </c>
      <c r="CY97" s="229">
        <f ca="1">IF('General Inputs'!$M$11="Nominal",'General Inputs'!$L$11/12*Waterfalls!CY96,NOMINAL('General Inputs'!$L$11,12)/12*CY96)</f>
        <v>0</v>
      </c>
      <c r="CZ97" s="229">
        <f ca="1">IF('General Inputs'!$M$11="Nominal",'General Inputs'!$L$11/12*Waterfalls!CZ96,NOMINAL('General Inputs'!$L$11,12)/12*CZ96)</f>
        <v>0</v>
      </c>
      <c r="DA97" s="229">
        <f ca="1">IF('General Inputs'!$M$11="Nominal",'General Inputs'!$L$11/12*Waterfalls!DA96,NOMINAL('General Inputs'!$L$11,12)/12*DA96)</f>
        <v>0</v>
      </c>
      <c r="DB97" s="229">
        <f ca="1">IF('General Inputs'!$M$11="Nominal",'General Inputs'!$L$11/12*Waterfalls!DB96,NOMINAL('General Inputs'!$L$11,12)/12*DB96)</f>
        <v>0</v>
      </c>
      <c r="DC97" s="229">
        <f ca="1">IF('General Inputs'!$M$11="Nominal",'General Inputs'!$L$11/12*Waterfalls!DC96,NOMINAL('General Inputs'!$L$11,12)/12*DC96)</f>
        <v>0</v>
      </c>
      <c r="DD97" s="229">
        <f ca="1">IF('General Inputs'!$M$11="Nominal",'General Inputs'!$L$11/12*Waterfalls!DD96,NOMINAL('General Inputs'!$L$11,12)/12*DD96)</f>
        <v>0</v>
      </c>
      <c r="DE97" s="229">
        <f ca="1">IF('General Inputs'!$M$11="Nominal",'General Inputs'!$L$11/12*Waterfalls!DE96,NOMINAL('General Inputs'!$L$11,12)/12*DE96)</f>
        <v>0</v>
      </c>
      <c r="DF97" s="229">
        <f ca="1">IF('General Inputs'!$M$11="Nominal",'General Inputs'!$L$11/12*Waterfalls!DF96,NOMINAL('General Inputs'!$L$11,12)/12*DF96)</f>
        <v>0</v>
      </c>
      <c r="DG97" s="229">
        <f ca="1">IF('General Inputs'!$M$11="Nominal",'General Inputs'!$L$11/12*Waterfalls!DG96,NOMINAL('General Inputs'!$L$11,12)/12*DG96)</f>
        <v>0</v>
      </c>
      <c r="DH97" s="229">
        <f ca="1">IF('General Inputs'!$M$11="Nominal",'General Inputs'!$L$11/12*Waterfalls!DH96,NOMINAL('General Inputs'!$L$11,12)/12*DH96)</f>
        <v>0</v>
      </c>
      <c r="DI97" s="229">
        <f ca="1">IF('General Inputs'!$M$11="Nominal",'General Inputs'!$L$11/12*Waterfalls!DI96,NOMINAL('General Inputs'!$L$11,12)/12*DI96)</f>
        <v>0</v>
      </c>
      <c r="DJ97" s="229">
        <f ca="1">IF('General Inputs'!$M$11="Nominal",'General Inputs'!$L$11/12*Waterfalls!DJ96,NOMINAL('General Inputs'!$L$11,12)/12*DJ96)</f>
        <v>0</v>
      </c>
      <c r="DK97" s="229">
        <f ca="1">IF('General Inputs'!$M$11="Nominal",'General Inputs'!$L$11/12*Waterfalls!DK96,NOMINAL('General Inputs'!$L$11,12)/12*DK96)</f>
        <v>0</v>
      </c>
      <c r="DL97" s="229">
        <f ca="1">IF('General Inputs'!$M$11="Nominal",'General Inputs'!$L$11/12*Waterfalls!DL96,NOMINAL('General Inputs'!$L$11,12)/12*DL96)</f>
        <v>0</v>
      </c>
      <c r="DM97" s="229">
        <f ca="1">IF('General Inputs'!$M$11="Nominal",'General Inputs'!$L$11/12*Waterfalls!DM96,NOMINAL('General Inputs'!$L$11,12)/12*DM96)</f>
        <v>0</v>
      </c>
      <c r="DN97" s="229">
        <f ca="1">IF('General Inputs'!$M$11="Nominal",'General Inputs'!$L$11/12*Waterfalls!DN96,NOMINAL('General Inputs'!$L$11,12)/12*DN96)</f>
        <v>0</v>
      </c>
      <c r="DO97" s="229">
        <f ca="1">IF('General Inputs'!$M$11="Nominal",'General Inputs'!$L$11/12*Waterfalls!DO96,NOMINAL('General Inputs'!$L$11,12)/12*DO96)</f>
        <v>0</v>
      </c>
      <c r="DP97" s="229">
        <f ca="1">IF('General Inputs'!$M$11="Nominal",'General Inputs'!$L$11/12*Waterfalls!DP96,NOMINAL('General Inputs'!$L$11,12)/12*DP96)</f>
        <v>0</v>
      </c>
      <c r="DQ97" s="229">
        <f ca="1">IF('General Inputs'!$M$11="Nominal",'General Inputs'!$L$11/12*Waterfalls!DQ96,NOMINAL('General Inputs'!$L$11,12)/12*DQ96)</f>
        <v>0</v>
      </c>
      <c r="DR97" s="229">
        <f ca="1">IF('General Inputs'!$M$11="Nominal",'General Inputs'!$L$11/12*Waterfalls!DR96,NOMINAL('General Inputs'!$L$11,12)/12*DR96)</f>
        <v>0</v>
      </c>
      <c r="DS97" s="229">
        <f ca="1">IF('General Inputs'!$M$11="Nominal",'General Inputs'!$L$11/12*Waterfalls!DS96,NOMINAL('General Inputs'!$L$11,12)/12*DS96)</f>
        <v>0</v>
      </c>
      <c r="DT97" s="229">
        <f ca="1">IF('General Inputs'!$M$11="Nominal",'General Inputs'!$L$11/12*Waterfalls!DT96,NOMINAL('General Inputs'!$L$11,12)/12*DT96)</f>
        <v>0</v>
      </c>
      <c r="DU97" s="229">
        <f ca="1">IF('General Inputs'!$M$11="Nominal",'General Inputs'!$L$11/12*Waterfalls!DU96,NOMINAL('General Inputs'!$L$11,12)/12*DU96)</f>
        <v>0</v>
      </c>
      <c r="DV97" s="229">
        <f ca="1">IF('General Inputs'!$M$11="Nominal",'General Inputs'!$L$11/12*Waterfalls!DV96,NOMINAL('General Inputs'!$L$11,12)/12*DV96)</f>
        <v>0</v>
      </c>
      <c r="DW97" s="229">
        <f ca="1">IF('General Inputs'!$M$11="Nominal",'General Inputs'!$L$11/12*Waterfalls!DW96,NOMINAL('General Inputs'!$L$11,12)/12*DW96)</f>
        <v>0</v>
      </c>
      <c r="DX97" s="229">
        <f ca="1">IF('General Inputs'!$M$11="Nominal",'General Inputs'!$L$11/12*Waterfalls!DX96,NOMINAL('General Inputs'!$L$11,12)/12*DX96)</f>
        <v>0</v>
      </c>
      <c r="DY97" s="229">
        <f ca="1">IF('General Inputs'!$M$11="Nominal",'General Inputs'!$L$11/12*Waterfalls!DY96,NOMINAL('General Inputs'!$L$11,12)/12*DY96)</f>
        <v>0</v>
      </c>
      <c r="DZ97" s="229">
        <f ca="1">IF('General Inputs'!$M$11="Nominal",'General Inputs'!$L$11/12*Waterfalls!DZ96,NOMINAL('General Inputs'!$L$11,12)/12*DZ96)</f>
        <v>0</v>
      </c>
      <c r="EA97" s="229">
        <f ca="1">IF('General Inputs'!$M$11="Nominal",'General Inputs'!$L$11/12*Waterfalls!EA96,NOMINAL('General Inputs'!$L$11,12)/12*EA96)</f>
        <v>0</v>
      </c>
      <c r="EB97" s="229">
        <f ca="1">IF('General Inputs'!$M$11="Nominal",'General Inputs'!$L$11/12*Waterfalls!EB96,NOMINAL('General Inputs'!$L$11,12)/12*EB96)</f>
        <v>0</v>
      </c>
      <c r="EC97" s="229">
        <f ca="1">IF('General Inputs'!$M$11="Nominal",'General Inputs'!$L$11/12*Waterfalls!EC96,NOMINAL('General Inputs'!$L$11,12)/12*EC96)</f>
        <v>0</v>
      </c>
      <c r="ED97" s="229">
        <f ca="1">IF('General Inputs'!$M$11="Nominal",'General Inputs'!$L$11/12*Waterfalls!ED96,NOMINAL('General Inputs'!$L$11,12)/12*ED96)</f>
        <v>0</v>
      </c>
      <c r="EE97" s="229">
        <f ca="1">IF('General Inputs'!$M$11="Nominal",'General Inputs'!$L$11/12*Waterfalls!EE96,NOMINAL('General Inputs'!$L$11,12)/12*EE96)</f>
        <v>0</v>
      </c>
      <c r="EF97" s="229">
        <f ca="1">IF('General Inputs'!$M$11="Nominal",'General Inputs'!$L$11/12*Waterfalls!EF96,NOMINAL('General Inputs'!$L$11,12)/12*EF96)</f>
        <v>0</v>
      </c>
      <c r="EG97" s="229">
        <f ca="1">IF('General Inputs'!$M$11="Nominal",'General Inputs'!$L$11/12*Waterfalls!EG96,NOMINAL('General Inputs'!$L$11,12)/12*EG96)</f>
        <v>0</v>
      </c>
    </row>
    <row r="98" spans="1:137" x14ac:dyDescent="0.3">
      <c r="A98" t="s">
        <v>2474</v>
      </c>
      <c r="E98" s="229">
        <f t="shared" ref="E98:BP98" si="145">E92</f>
        <v>0</v>
      </c>
      <c r="F98" s="229">
        <f t="shared" si="145"/>
        <v>0</v>
      </c>
      <c r="G98" s="229">
        <f t="shared" si="145"/>
        <v>0</v>
      </c>
      <c r="H98" s="229">
        <f t="shared" si="145"/>
        <v>0</v>
      </c>
      <c r="I98" s="229">
        <f t="shared" si="145"/>
        <v>0</v>
      </c>
      <c r="J98" s="229">
        <f t="shared" si="145"/>
        <v>0</v>
      </c>
      <c r="K98" s="229">
        <f t="shared" si="145"/>
        <v>0</v>
      </c>
      <c r="L98" s="229">
        <f t="shared" si="145"/>
        <v>0</v>
      </c>
      <c r="M98" s="229">
        <f t="shared" si="145"/>
        <v>0</v>
      </c>
      <c r="N98" s="229">
        <f t="shared" si="145"/>
        <v>0</v>
      </c>
      <c r="O98" s="229">
        <f t="shared" si="145"/>
        <v>0</v>
      </c>
      <c r="P98" s="229">
        <f t="shared" si="145"/>
        <v>0</v>
      </c>
      <c r="Q98" s="229">
        <f t="shared" si="145"/>
        <v>0</v>
      </c>
      <c r="R98" s="229">
        <f t="shared" si="145"/>
        <v>0</v>
      </c>
      <c r="S98" s="229">
        <f t="shared" si="145"/>
        <v>0</v>
      </c>
      <c r="T98" s="229">
        <f t="shared" si="145"/>
        <v>0</v>
      </c>
      <c r="U98" s="229">
        <f t="shared" si="145"/>
        <v>0</v>
      </c>
      <c r="V98" s="229">
        <f t="shared" si="145"/>
        <v>0</v>
      </c>
      <c r="W98" s="229">
        <f t="shared" si="145"/>
        <v>0</v>
      </c>
      <c r="X98" s="229">
        <f t="shared" si="145"/>
        <v>0</v>
      </c>
      <c r="Y98" s="229">
        <f t="shared" si="145"/>
        <v>0</v>
      </c>
      <c r="Z98" s="229">
        <f t="shared" si="145"/>
        <v>0</v>
      </c>
      <c r="AA98" s="229">
        <f t="shared" si="145"/>
        <v>0</v>
      </c>
      <c r="AB98" s="229">
        <f t="shared" si="145"/>
        <v>0</v>
      </c>
      <c r="AC98" s="229">
        <f t="shared" si="145"/>
        <v>0</v>
      </c>
      <c r="AD98" s="229">
        <f t="shared" si="145"/>
        <v>0</v>
      </c>
      <c r="AE98" s="229">
        <f t="shared" si="145"/>
        <v>0</v>
      </c>
      <c r="AF98" s="229">
        <f t="shared" si="145"/>
        <v>0</v>
      </c>
      <c r="AG98" s="229">
        <f t="shared" si="145"/>
        <v>0</v>
      </c>
      <c r="AH98" s="229">
        <f t="shared" si="145"/>
        <v>0</v>
      </c>
      <c r="AI98" s="229">
        <f t="shared" si="145"/>
        <v>0</v>
      </c>
      <c r="AJ98" s="229">
        <f t="shared" si="145"/>
        <v>0</v>
      </c>
      <c r="AK98" s="229">
        <f t="shared" si="145"/>
        <v>0</v>
      </c>
      <c r="AL98" s="229">
        <f t="shared" si="145"/>
        <v>0</v>
      </c>
      <c r="AM98" s="229">
        <f t="shared" si="145"/>
        <v>0</v>
      </c>
      <c r="AN98" s="229">
        <f t="shared" si="145"/>
        <v>0</v>
      </c>
      <c r="AO98" s="229">
        <f t="shared" si="145"/>
        <v>0</v>
      </c>
      <c r="AP98" s="229">
        <f t="shared" si="145"/>
        <v>0</v>
      </c>
      <c r="AQ98" s="229">
        <f t="shared" si="145"/>
        <v>0</v>
      </c>
      <c r="AR98" s="229">
        <f t="shared" si="145"/>
        <v>0</v>
      </c>
      <c r="AS98" s="229">
        <f t="shared" si="145"/>
        <v>0</v>
      </c>
      <c r="AT98" s="229">
        <f t="shared" si="145"/>
        <v>0</v>
      </c>
      <c r="AU98" s="229">
        <f t="shared" si="145"/>
        <v>0</v>
      </c>
      <c r="AV98" s="229">
        <f t="shared" si="145"/>
        <v>0</v>
      </c>
      <c r="AW98" s="229">
        <f t="shared" si="145"/>
        <v>0</v>
      </c>
      <c r="AX98" s="229">
        <f t="shared" si="145"/>
        <v>0</v>
      </c>
      <c r="AY98" s="229">
        <f t="shared" si="145"/>
        <v>0</v>
      </c>
      <c r="AZ98" s="229">
        <f t="shared" si="145"/>
        <v>0</v>
      </c>
      <c r="BA98" s="229">
        <f t="shared" si="145"/>
        <v>0</v>
      </c>
      <c r="BB98" s="229">
        <f t="shared" si="145"/>
        <v>0</v>
      </c>
      <c r="BC98" s="229">
        <f t="shared" si="145"/>
        <v>0</v>
      </c>
      <c r="BD98" s="229">
        <f t="shared" si="145"/>
        <v>0</v>
      </c>
      <c r="BE98" s="229">
        <f t="shared" si="145"/>
        <v>0</v>
      </c>
      <c r="BF98" s="229">
        <f t="shared" si="145"/>
        <v>0</v>
      </c>
      <c r="BG98" s="229">
        <f t="shared" si="145"/>
        <v>0</v>
      </c>
      <c r="BH98" s="229">
        <f t="shared" si="145"/>
        <v>0</v>
      </c>
      <c r="BI98" s="229">
        <f t="shared" si="145"/>
        <v>0</v>
      </c>
      <c r="BJ98" s="229">
        <f t="shared" si="145"/>
        <v>0</v>
      </c>
      <c r="BK98" s="229">
        <f t="shared" si="145"/>
        <v>0</v>
      </c>
      <c r="BL98" s="229">
        <f t="shared" si="145"/>
        <v>0</v>
      </c>
      <c r="BM98" s="229">
        <f t="shared" si="145"/>
        <v>0</v>
      </c>
      <c r="BN98" s="229">
        <f t="shared" si="145"/>
        <v>0</v>
      </c>
      <c r="BO98" s="229">
        <f t="shared" si="145"/>
        <v>0</v>
      </c>
      <c r="BP98" s="229">
        <f t="shared" si="145"/>
        <v>0</v>
      </c>
      <c r="BQ98" s="229">
        <f t="shared" ref="BQ98:EB98" si="146">BQ92</f>
        <v>0</v>
      </c>
      <c r="BR98" s="229">
        <f t="shared" si="146"/>
        <v>0</v>
      </c>
      <c r="BS98" s="229">
        <f t="shared" si="146"/>
        <v>0</v>
      </c>
      <c r="BT98" s="229">
        <f t="shared" si="146"/>
        <v>0</v>
      </c>
      <c r="BU98" s="229">
        <f t="shared" si="146"/>
        <v>0</v>
      </c>
      <c r="BV98" s="229">
        <f t="shared" si="146"/>
        <v>0</v>
      </c>
      <c r="BW98" s="229">
        <f t="shared" si="146"/>
        <v>0</v>
      </c>
      <c r="BX98" s="229">
        <f t="shared" si="146"/>
        <v>0</v>
      </c>
      <c r="BY98" s="229">
        <f t="shared" si="146"/>
        <v>0</v>
      </c>
      <c r="BZ98" s="229">
        <f t="shared" si="146"/>
        <v>0</v>
      </c>
      <c r="CA98" s="229">
        <f t="shared" si="146"/>
        <v>0</v>
      </c>
      <c r="CB98" s="229">
        <f t="shared" si="146"/>
        <v>0</v>
      </c>
      <c r="CC98" s="229">
        <f t="shared" si="146"/>
        <v>0</v>
      </c>
      <c r="CD98" s="229">
        <f t="shared" si="146"/>
        <v>0</v>
      </c>
      <c r="CE98" s="229">
        <f t="shared" si="146"/>
        <v>0</v>
      </c>
      <c r="CF98" s="229">
        <f t="shared" si="146"/>
        <v>0</v>
      </c>
      <c r="CG98" s="229">
        <f t="shared" si="146"/>
        <v>0</v>
      </c>
      <c r="CH98" s="229">
        <f t="shared" si="146"/>
        <v>0</v>
      </c>
      <c r="CI98" s="229">
        <f t="shared" si="146"/>
        <v>0</v>
      </c>
      <c r="CJ98" s="229">
        <f t="shared" si="146"/>
        <v>0</v>
      </c>
      <c r="CK98" s="229">
        <f t="shared" si="146"/>
        <v>0</v>
      </c>
      <c r="CL98" s="229">
        <f t="shared" si="146"/>
        <v>0</v>
      </c>
      <c r="CM98" s="229">
        <f t="shared" si="146"/>
        <v>0</v>
      </c>
      <c r="CN98" s="229">
        <f t="shared" si="146"/>
        <v>0</v>
      </c>
      <c r="CO98" s="229">
        <f t="shared" si="146"/>
        <v>0</v>
      </c>
      <c r="CP98" s="229">
        <f t="shared" si="146"/>
        <v>0</v>
      </c>
      <c r="CQ98" s="229">
        <f t="shared" si="146"/>
        <v>0</v>
      </c>
      <c r="CR98" s="229">
        <f t="shared" si="146"/>
        <v>0</v>
      </c>
      <c r="CS98" s="229">
        <f t="shared" si="146"/>
        <v>0</v>
      </c>
      <c r="CT98" s="229">
        <f t="shared" si="146"/>
        <v>0</v>
      </c>
      <c r="CU98" s="229">
        <f t="shared" si="146"/>
        <v>0</v>
      </c>
      <c r="CV98" s="229">
        <f t="shared" si="146"/>
        <v>0</v>
      </c>
      <c r="CW98" s="229">
        <f t="shared" si="146"/>
        <v>0</v>
      </c>
      <c r="CX98" s="229">
        <f t="shared" si="146"/>
        <v>0</v>
      </c>
      <c r="CY98" s="229">
        <f t="shared" si="146"/>
        <v>0</v>
      </c>
      <c r="CZ98" s="229">
        <f t="shared" si="146"/>
        <v>0</v>
      </c>
      <c r="DA98" s="229">
        <f t="shared" si="146"/>
        <v>0</v>
      </c>
      <c r="DB98" s="229">
        <f t="shared" si="146"/>
        <v>0</v>
      </c>
      <c r="DC98" s="229">
        <f t="shared" si="146"/>
        <v>0</v>
      </c>
      <c r="DD98" s="229">
        <f t="shared" si="146"/>
        <v>0</v>
      </c>
      <c r="DE98" s="229">
        <f t="shared" si="146"/>
        <v>0</v>
      </c>
      <c r="DF98" s="229">
        <f t="shared" si="146"/>
        <v>0</v>
      </c>
      <c r="DG98" s="229">
        <f t="shared" si="146"/>
        <v>0</v>
      </c>
      <c r="DH98" s="229">
        <f t="shared" si="146"/>
        <v>0</v>
      </c>
      <c r="DI98" s="229">
        <f t="shared" si="146"/>
        <v>0</v>
      </c>
      <c r="DJ98" s="229">
        <f t="shared" si="146"/>
        <v>0</v>
      </c>
      <c r="DK98" s="229">
        <f t="shared" si="146"/>
        <v>0</v>
      </c>
      <c r="DL98" s="229">
        <f t="shared" si="146"/>
        <v>0</v>
      </c>
      <c r="DM98" s="229">
        <f t="shared" si="146"/>
        <v>0</v>
      </c>
      <c r="DN98" s="229">
        <f t="shared" si="146"/>
        <v>0</v>
      </c>
      <c r="DO98" s="229">
        <f t="shared" si="146"/>
        <v>0</v>
      </c>
      <c r="DP98" s="229">
        <f t="shared" si="146"/>
        <v>0</v>
      </c>
      <c r="DQ98" s="229">
        <f t="shared" si="146"/>
        <v>0</v>
      </c>
      <c r="DR98" s="229">
        <f t="shared" si="146"/>
        <v>0</v>
      </c>
      <c r="DS98" s="229">
        <f t="shared" si="146"/>
        <v>0</v>
      </c>
      <c r="DT98" s="229">
        <f t="shared" si="146"/>
        <v>0</v>
      </c>
      <c r="DU98" s="229">
        <f t="shared" si="146"/>
        <v>0</v>
      </c>
      <c r="DV98" s="229">
        <f t="shared" si="146"/>
        <v>0</v>
      </c>
      <c r="DW98" s="229">
        <f t="shared" si="146"/>
        <v>0</v>
      </c>
      <c r="DX98" s="229">
        <f t="shared" si="146"/>
        <v>0</v>
      </c>
      <c r="DY98" s="229">
        <f t="shared" si="146"/>
        <v>0</v>
      </c>
      <c r="DZ98" s="229">
        <f t="shared" si="146"/>
        <v>0</v>
      </c>
      <c r="EA98" s="229">
        <f t="shared" si="146"/>
        <v>0</v>
      </c>
      <c r="EB98" s="229">
        <f t="shared" si="146"/>
        <v>0</v>
      </c>
      <c r="EC98" s="229">
        <f t="shared" ref="EC98:EG98" si="147">EC92</f>
        <v>0</v>
      </c>
      <c r="ED98" s="229">
        <f t="shared" si="147"/>
        <v>0</v>
      </c>
      <c r="EE98" s="229">
        <f t="shared" si="147"/>
        <v>0</v>
      </c>
      <c r="EF98" s="229">
        <f t="shared" si="147"/>
        <v>0</v>
      </c>
      <c r="EG98" s="229">
        <f t="shared" si="147"/>
        <v>0</v>
      </c>
    </row>
    <row r="99" spans="1:137" x14ac:dyDescent="0.3">
      <c r="A99" s="241" t="s">
        <v>2475</v>
      </c>
      <c r="B99" s="241"/>
      <c r="C99" s="241"/>
      <c r="D99" s="687"/>
      <c r="E99" s="242">
        <f t="shared" ref="E99:BP99" ca="1" si="148">E110</f>
        <v>0</v>
      </c>
      <c r="F99" s="242">
        <f t="shared" ca="1" si="148"/>
        <v>0</v>
      </c>
      <c r="G99" s="242">
        <f t="shared" ca="1" si="148"/>
        <v>0</v>
      </c>
      <c r="H99" s="242">
        <f t="shared" ca="1" si="148"/>
        <v>0</v>
      </c>
      <c r="I99" s="242">
        <f t="shared" ca="1" si="148"/>
        <v>0</v>
      </c>
      <c r="J99" s="242">
        <f t="shared" ca="1" si="148"/>
        <v>0</v>
      </c>
      <c r="K99" s="242">
        <f t="shared" ca="1" si="148"/>
        <v>0</v>
      </c>
      <c r="L99" s="242">
        <f t="shared" ca="1" si="148"/>
        <v>0</v>
      </c>
      <c r="M99" s="242">
        <f t="shared" ca="1" si="148"/>
        <v>0</v>
      </c>
      <c r="N99" s="242">
        <f t="shared" ca="1" si="148"/>
        <v>0</v>
      </c>
      <c r="O99" s="242">
        <f t="shared" ca="1" si="148"/>
        <v>0</v>
      </c>
      <c r="P99" s="242">
        <f t="shared" ca="1" si="148"/>
        <v>0</v>
      </c>
      <c r="Q99" s="242">
        <f t="shared" ca="1" si="148"/>
        <v>0</v>
      </c>
      <c r="R99" s="242">
        <f t="shared" ca="1" si="148"/>
        <v>0</v>
      </c>
      <c r="S99" s="242">
        <f t="shared" ca="1" si="148"/>
        <v>0</v>
      </c>
      <c r="T99" s="242">
        <f t="shared" ca="1" si="148"/>
        <v>0</v>
      </c>
      <c r="U99" s="242">
        <f t="shared" ca="1" si="148"/>
        <v>0</v>
      </c>
      <c r="V99" s="242">
        <f t="shared" ca="1" si="148"/>
        <v>0</v>
      </c>
      <c r="W99" s="242">
        <f t="shared" ca="1" si="148"/>
        <v>0</v>
      </c>
      <c r="X99" s="242">
        <f t="shared" ca="1" si="148"/>
        <v>0</v>
      </c>
      <c r="Y99" s="242">
        <f t="shared" ca="1" si="148"/>
        <v>0</v>
      </c>
      <c r="Z99" s="242">
        <f t="shared" ca="1" si="148"/>
        <v>0</v>
      </c>
      <c r="AA99" s="242">
        <f t="shared" ca="1" si="148"/>
        <v>0</v>
      </c>
      <c r="AB99" s="242">
        <f t="shared" ca="1" si="148"/>
        <v>0</v>
      </c>
      <c r="AC99" s="242">
        <f t="shared" ca="1" si="148"/>
        <v>0</v>
      </c>
      <c r="AD99" s="242">
        <f t="shared" ca="1" si="148"/>
        <v>0</v>
      </c>
      <c r="AE99" s="242">
        <f t="shared" ca="1" si="148"/>
        <v>0</v>
      </c>
      <c r="AF99" s="242">
        <f t="shared" ca="1" si="148"/>
        <v>0</v>
      </c>
      <c r="AG99" s="242">
        <f t="shared" ca="1" si="148"/>
        <v>0</v>
      </c>
      <c r="AH99" s="242">
        <f t="shared" ca="1" si="148"/>
        <v>0</v>
      </c>
      <c r="AI99" s="242">
        <f t="shared" ca="1" si="148"/>
        <v>0</v>
      </c>
      <c r="AJ99" s="242">
        <f t="shared" ca="1" si="148"/>
        <v>0</v>
      </c>
      <c r="AK99" s="242">
        <f t="shared" ca="1" si="148"/>
        <v>0</v>
      </c>
      <c r="AL99" s="242">
        <f t="shared" ca="1" si="148"/>
        <v>0</v>
      </c>
      <c r="AM99" s="242">
        <f t="shared" ca="1" si="148"/>
        <v>0</v>
      </c>
      <c r="AN99" s="242">
        <f t="shared" ca="1" si="148"/>
        <v>0</v>
      </c>
      <c r="AO99" s="242">
        <f t="shared" ca="1" si="148"/>
        <v>0</v>
      </c>
      <c r="AP99" s="242">
        <f t="shared" ca="1" si="148"/>
        <v>0</v>
      </c>
      <c r="AQ99" s="242">
        <f t="shared" ca="1" si="148"/>
        <v>0</v>
      </c>
      <c r="AR99" s="242">
        <f t="shared" ca="1" si="148"/>
        <v>0</v>
      </c>
      <c r="AS99" s="242">
        <f t="shared" ca="1" si="148"/>
        <v>0</v>
      </c>
      <c r="AT99" s="242">
        <f t="shared" ca="1" si="148"/>
        <v>0</v>
      </c>
      <c r="AU99" s="242">
        <f t="shared" ca="1" si="148"/>
        <v>0</v>
      </c>
      <c r="AV99" s="242">
        <f t="shared" ca="1" si="148"/>
        <v>0</v>
      </c>
      <c r="AW99" s="242">
        <f t="shared" ca="1" si="148"/>
        <v>0</v>
      </c>
      <c r="AX99" s="242">
        <f t="shared" ca="1" si="148"/>
        <v>0</v>
      </c>
      <c r="AY99" s="242">
        <f t="shared" ca="1" si="148"/>
        <v>0</v>
      </c>
      <c r="AZ99" s="242">
        <f t="shared" ca="1" si="148"/>
        <v>0</v>
      </c>
      <c r="BA99" s="242">
        <f t="shared" ca="1" si="148"/>
        <v>0</v>
      </c>
      <c r="BB99" s="242">
        <f t="shared" ca="1" si="148"/>
        <v>0</v>
      </c>
      <c r="BC99" s="242">
        <f t="shared" ca="1" si="148"/>
        <v>0</v>
      </c>
      <c r="BD99" s="242">
        <f t="shared" ca="1" si="148"/>
        <v>0</v>
      </c>
      <c r="BE99" s="242">
        <f t="shared" ca="1" si="148"/>
        <v>0</v>
      </c>
      <c r="BF99" s="242">
        <f t="shared" ca="1" si="148"/>
        <v>0</v>
      </c>
      <c r="BG99" s="242">
        <f t="shared" ca="1" si="148"/>
        <v>0</v>
      </c>
      <c r="BH99" s="242">
        <f t="shared" ca="1" si="148"/>
        <v>0</v>
      </c>
      <c r="BI99" s="242">
        <f t="shared" ca="1" si="148"/>
        <v>0</v>
      </c>
      <c r="BJ99" s="242">
        <f t="shared" ca="1" si="148"/>
        <v>0</v>
      </c>
      <c r="BK99" s="242">
        <f t="shared" ca="1" si="148"/>
        <v>0</v>
      </c>
      <c r="BL99" s="242">
        <f t="shared" ca="1" si="148"/>
        <v>0</v>
      </c>
      <c r="BM99" s="242">
        <f t="shared" ca="1" si="148"/>
        <v>0</v>
      </c>
      <c r="BN99" s="242">
        <f t="shared" ca="1" si="148"/>
        <v>0</v>
      </c>
      <c r="BO99" s="242">
        <f t="shared" ca="1" si="148"/>
        <v>0</v>
      </c>
      <c r="BP99" s="242">
        <f t="shared" ca="1" si="148"/>
        <v>0</v>
      </c>
      <c r="BQ99" s="242">
        <f t="shared" ref="BQ99:EB99" ca="1" si="149">BQ110</f>
        <v>0</v>
      </c>
      <c r="BR99" s="242">
        <f t="shared" ca="1" si="149"/>
        <v>0</v>
      </c>
      <c r="BS99" s="242">
        <f t="shared" ca="1" si="149"/>
        <v>0</v>
      </c>
      <c r="BT99" s="242">
        <f t="shared" ca="1" si="149"/>
        <v>0</v>
      </c>
      <c r="BU99" s="242">
        <f t="shared" ca="1" si="149"/>
        <v>0</v>
      </c>
      <c r="BV99" s="242">
        <f t="shared" ca="1" si="149"/>
        <v>0</v>
      </c>
      <c r="BW99" s="242">
        <f t="shared" ca="1" si="149"/>
        <v>0</v>
      </c>
      <c r="BX99" s="242">
        <f t="shared" ca="1" si="149"/>
        <v>0</v>
      </c>
      <c r="BY99" s="242">
        <f t="shared" ca="1" si="149"/>
        <v>0</v>
      </c>
      <c r="BZ99" s="242">
        <f t="shared" ca="1" si="149"/>
        <v>0</v>
      </c>
      <c r="CA99" s="242">
        <f t="shared" ca="1" si="149"/>
        <v>0</v>
      </c>
      <c r="CB99" s="242">
        <f t="shared" ca="1" si="149"/>
        <v>0</v>
      </c>
      <c r="CC99" s="242">
        <f t="shared" ca="1" si="149"/>
        <v>0</v>
      </c>
      <c r="CD99" s="242">
        <f t="shared" ca="1" si="149"/>
        <v>0</v>
      </c>
      <c r="CE99" s="242">
        <f t="shared" ca="1" si="149"/>
        <v>0</v>
      </c>
      <c r="CF99" s="242">
        <f t="shared" ca="1" si="149"/>
        <v>0</v>
      </c>
      <c r="CG99" s="242">
        <f t="shared" ca="1" si="149"/>
        <v>0</v>
      </c>
      <c r="CH99" s="242">
        <f t="shared" ca="1" si="149"/>
        <v>0</v>
      </c>
      <c r="CI99" s="242">
        <f t="shared" ca="1" si="149"/>
        <v>0</v>
      </c>
      <c r="CJ99" s="242">
        <f t="shared" ca="1" si="149"/>
        <v>0</v>
      </c>
      <c r="CK99" s="242">
        <f t="shared" ca="1" si="149"/>
        <v>0</v>
      </c>
      <c r="CL99" s="242">
        <f t="shared" ca="1" si="149"/>
        <v>0</v>
      </c>
      <c r="CM99" s="242">
        <f t="shared" ca="1" si="149"/>
        <v>0</v>
      </c>
      <c r="CN99" s="242">
        <f t="shared" ca="1" si="149"/>
        <v>0</v>
      </c>
      <c r="CO99" s="242">
        <f t="shared" ca="1" si="149"/>
        <v>0</v>
      </c>
      <c r="CP99" s="242">
        <f t="shared" ca="1" si="149"/>
        <v>0</v>
      </c>
      <c r="CQ99" s="242">
        <f t="shared" ca="1" si="149"/>
        <v>0</v>
      </c>
      <c r="CR99" s="242">
        <f t="shared" ca="1" si="149"/>
        <v>0</v>
      </c>
      <c r="CS99" s="242">
        <f t="shared" ca="1" si="149"/>
        <v>0</v>
      </c>
      <c r="CT99" s="242">
        <f t="shared" ca="1" si="149"/>
        <v>0</v>
      </c>
      <c r="CU99" s="242">
        <f t="shared" ca="1" si="149"/>
        <v>0</v>
      </c>
      <c r="CV99" s="242">
        <f t="shared" ca="1" si="149"/>
        <v>0</v>
      </c>
      <c r="CW99" s="242">
        <f t="shared" ca="1" si="149"/>
        <v>0</v>
      </c>
      <c r="CX99" s="242">
        <f t="shared" ca="1" si="149"/>
        <v>0</v>
      </c>
      <c r="CY99" s="242">
        <f t="shared" ca="1" si="149"/>
        <v>0</v>
      </c>
      <c r="CZ99" s="242">
        <f t="shared" ca="1" si="149"/>
        <v>0</v>
      </c>
      <c r="DA99" s="242">
        <f t="shared" ca="1" si="149"/>
        <v>0</v>
      </c>
      <c r="DB99" s="242">
        <f t="shared" ca="1" si="149"/>
        <v>0</v>
      </c>
      <c r="DC99" s="242">
        <f t="shared" ca="1" si="149"/>
        <v>0</v>
      </c>
      <c r="DD99" s="242">
        <f t="shared" ca="1" si="149"/>
        <v>0</v>
      </c>
      <c r="DE99" s="242">
        <f t="shared" ca="1" si="149"/>
        <v>0</v>
      </c>
      <c r="DF99" s="242">
        <f t="shared" ca="1" si="149"/>
        <v>0</v>
      </c>
      <c r="DG99" s="242">
        <f t="shared" ca="1" si="149"/>
        <v>0</v>
      </c>
      <c r="DH99" s="242">
        <f t="shared" ca="1" si="149"/>
        <v>0</v>
      </c>
      <c r="DI99" s="242">
        <f t="shared" ca="1" si="149"/>
        <v>0</v>
      </c>
      <c r="DJ99" s="242">
        <f t="shared" ca="1" si="149"/>
        <v>0</v>
      </c>
      <c r="DK99" s="242">
        <f t="shared" ca="1" si="149"/>
        <v>0</v>
      </c>
      <c r="DL99" s="242">
        <f t="shared" ca="1" si="149"/>
        <v>0</v>
      </c>
      <c r="DM99" s="242">
        <f t="shared" ca="1" si="149"/>
        <v>0</v>
      </c>
      <c r="DN99" s="242">
        <f t="shared" ca="1" si="149"/>
        <v>0</v>
      </c>
      <c r="DO99" s="242">
        <f t="shared" ca="1" si="149"/>
        <v>0</v>
      </c>
      <c r="DP99" s="242">
        <f t="shared" ca="1" si="149"/>
        <v>0</v>
      </c>
      <c r="DQ99" s="242">
        <f t="shared" ca="1" si="149"/>
        <v>0</v>
      </c>
      <c r="DR99" s="242">
        <f t="shared" ca="1" si="149"/>
        <v>0</v>
      </c>
      <c r="DS99" s="242">
        <f t="shared" ca="1" si="149"/>
        <v>0</v>
      </c>
      <c r="DT99" s="242">
        <f t="shared" ca="1" si="149"/>
        <v>0</v>
      </c>
      <c r="DU99" s="242">
        <f t="shared" ca="1" si="149"/>
        <v>0</v>
      </c>
      <c r="DV99" s="242">
        <f t="shared" ca="1" si="149"/>
        <v>0</v>
      </c>
      <c r="DW99" s="242">
        <f t="shared" ca="1" si="149"/>
        <v>0</v>
      </c>
      <c r="DX99" s="242">
        <f t="shared" ca="1" si="149"/>
        <v>0</v>
      </c>
      <c r="DY99" s="242">
        <f t="shared" ca="1" si="149"/>
        <v>0</v>
      </c>
      <c r="DZ99" s="242">
        <f t="shared" ca="1" si="149"/>
        <v>0</v>
      </c>
      <c r="EA99" s="242">
        <f t="shared" ca="1" si="149"/>
        <v>0</v>
      </c>
      <c r="EB99" s="242">
        <f t="shared" ca="1" si="149"/>
        <v>0</v>
      </c>
      <c r="EC99" s="242">
        <f ca="1">EC110</f>
        <v>0</v>
      </c>
      <c r="ED99" s="242">
        <f ca="1">ED110</f>
        <v>0</v>
      </c>
      <c r="EE99" s="242">
        <f ca="1">EE110</f>
        <v>0</v>
      </c>
      <c r="EF99" s="242">
        <f ca="1">EF110</f>
        <v>0</v>
      </c>
      <c r="EG99" s="242">
        <f ca="1">EG110</f>
        <v>0</v>
      </c>
    </row>
    <row r="100" spans="1:137" x14ac:dyDescent="0.3">
      <c r="A100" s="245" t="s">
        <v>843</v>
      </c>
      <c r="B100" s="245"/>
      <c r="C100" s="245"/>
      <c r="D100" s="726"/>
      <c r="E100" s="227">
        <f t="shared" ref="E100:BP100" ca="1" si="150">SUM(E96:E99)</f>
        <v>0</v>
      </c>
      <c r="F100" s="227">
        <f t="shared" ca="1" si="150"/>
        <v>0</v>
      </c>
      <c r="G100" s="227">
        <f t="shared" ca="1" si="150"/>
        <v>0</v>
      </c>
      <c r="H100" s="227">
        <f t="shared" ca="1" si="150"/>
        <v>0</v>
      </c>
      <c r="I100" s="227">
        <f t="shared" ca="1" si="150"/>
        <v>0</v>
      </c>
      <c r="J100" s="227">
        <f t="shared" ca="1" si="150"/>
        <v>0</v>
      </c>
      <c r="K100" s="227">
        <f t="shared" ca="1" si="150"/>
        <v>0</v>
      </c>
      <c r="L100" s="227">
        <f t="shared" ca="1" si="150"/>
        <v>0</v>
      </c>
      <c r="M100" s="227">
        <f t="shared" ca="1" si="150"/>
        <v>0</v>
      </c>
      <c r="N100" s="227">
        <f t="shared" ca="1" si="150"/>
        <v>0</v>
      </c>
      <c r="O100" s="227">
        <f t="shared" ca="1" si="150"/>
        <v>0</v>
      </c>
      <c r="P100" s="227">
        <f t="shared" ca="1" si="150"/>
        <v>0</v>
      </c>
      <c r="Q100" s="227">
        <f t="shared" ca="1" si="150"/>
        <v>0</v>
      </c>
      <c r="R100" s="227">
        <f t="shared" ca="1" si="150"/>
        <v>0</v>
      </c>
      <c r="S100" s="227">
        <f t="shared" ca="1" si="150"/>
        <v>0</v>
      </c>
      <c r="T100" s="227">
        <f t="shared" ca="1" si="150"/>
        <v>0</v>
      </c>
      <c r="U100" s="227">
        <f t="shared" ca="1" si="150"/>
        <v>0</v>
      </c>
      <c r="V100" s="227">
        <f t="shared" ca="1" si="150"/>
        <v>0</v>
      </c>
      <c r="W100" s="227">
        <f t="shared" ca="1" si="150"/>
        <v>0</v>
      </c>
      <c r="X100" s="227">
        <f t="shared" ca="1" si="150"/>
        <v>0</v>
      </c>
      <c r="Y100" s="227">
        <f t="shared" ca="1" si="150"/>
        <v>0</v>
      </c>
      <c r="Z100" s="227">
        <f t="shared" ca="1" si="150"/>
        <v>0</v>
      </c>
      <c r="AA100" s="227">
        <f t="shared" ca="1" si="150"/>
        <v>0</v>
      </c>
      <c r="AB100" s="227">
        <f t="shared" ca="1" si="150"/>
        <v>0</v>
      </c>
      <c r="AC100" s="227">
        <f t="shared" ca="1" si="150"/>
        <v>0</v>
      </c>
      <c r="AD100" s="227">
        <f t="shared" ca="1" si="150"/>
        <v>0</v>
      </c>
      <c r="AE100" s="227">
        <f t="shared" ca="1" si="150"/>
        <v>0</v>
      </c>
      <c r="AF100" s="227">
        <f t="shared" ca="1" si="150"/>
        <v>0</v>
      </c>
      <c r="AG100" s="227">
        <f t="shared" ca="1" si="150"/>
        <v>0</v>
      </c>
      <c r="AH100" s="227">
        <f t="shared" ca="1" si="150"/>
        <v>0</v>
      </c>
      <c r="AI100" s="227">
        <f t="shared" ca="1" si="150"/>
        <v>0</v>
      </c>
      <c r="AJ100" s="227">
        <f t="shared" ca="1" si="150"/>
        <v>0</v>
      </c>
      <c r="AK100" s="227">
        <f t="shared" ca="1" si="150"/>
        <v>0</v>
      </c>
      <c r="AL100" s="227">
        <f t="shared" ca="1" si="150"/>
        <v>0</v>
      </c>
      <c r="AM100" s="227">
        <f t="shared" ca="1" si="150"/>
        <v>0</v>
      </c>
      <c r="AN100" s="227">
        <f t="shared" ca="1" si="150"/>
        <v>0</v>
      </c>
      <c r="AO100" s="227">
        <f t="shared" ca="1" si="150"/>
        <v>0</v>
      </c>
      <c r="AP100" s="227">
        <f t="shared" ca="1" si="150"/>
        <v>0</v>
      </c>
      <c r="AQ100" s="227">
        <f t="shared" ca="1" si="150"/>
        <v>0</v>
      </c>
      <c r="AR100" s="227">
        <f t="shared" ca="1" si="150"/>
        <v>0</v>
      </c>
      <c r="AS100" s="227">
        <f t="shared" ca="1" si="150"/>
        <v>0</v>
      </c>
      <c r="AT100" s="227">
        <f t="shared" ca="1" si="150"/>
        <v>0</v>
      </c>
      <c r="AU100" s="227">
        <f t="shared" ca="1" si="150"/>
        <v>0</v>
      </c>
      <c r="AV100" s="227">
        <f t="shared" ca="1" si="150"/>
        <v>0</v>
      </c>
      <c r="AW100" s="227">
        <f t="shared" ca="1" si="150"/>
        <v>0</v>
      </c>
      <c r="AX100" s="227">
        <f t="shared" ca="1" si="150"/>
        <v>0</v>
      </c>
      <c r="AY100" s="227">
        <f t="shared" ca="1" si="150"/>
        <v>0</v>
      </c>
      <c r="AZ100" s="227">
        <f t="shared" ca="1" si="150"/>
        <v>0</v>
      </c>
      <c r="BA100" s="227">
        <f t="shared" ca="1" si="150"/>
        <v>0</v>
      </c>
      <c r="BB100" s="227">
        <f t="shared" ca="1" si="150"/>
        <v>0</v>
      </c>
      <c r="BC100" s="227">
        <f t="shared" ca="1" si="150"/>
        <v>0</v>
      </c>
      <c r="BD100" s="227">
        <f t="shared" ca="1" si="150"/>
        <v>0</v>
      </c>
      <c r="BE100" s="227">
        <f t="shared" ca="1" si="150"/>
        <v>0</v>
      </c>
      <c r="BF100" s="227">
        <f t="shared" ca="1" si="150"/>
        <v>0</v>
      </c>
      <c r="BG100" s="227">
        <f t="shared" ca="1" si="150"/>
        <v>0</v>
      </c>
      <c r="BH100" s="227">
        <f t="shared" ca="1" si="150"/>
        <v>0</v>
      </c>
      <c r="BI100" s="227">
        <f t="shared" ca="1" si="150"/>
        <v>0</v>
      </c>
      <c r="BJ100" s="227">
        <f t="shared" ca="1" si="150"/>
        <v>0</v>
      </c>
      <c r="BK100" s="227">
        <f t="shared" ca="1" si="150"/>
        <v>0</v>
      </c>
      <c r="BL100" s="227">
        <f t="shared" ca="1" si="150"/>
        <v>0</v>
      </c>
      <c r="BM100" s="227">
        <f t="shared" ca="1" si="150"/>
        <v>0</v>
      </c>
      <c r="BN100" s="227">
        <f t="shared" ca="1" si="150"/>
        <v>0</v>
      </c>
      <c r="BO100" s="227">
        <f t="shared" ca="1" si="150"/>
        <v>0</v>
      </c>
      <c r="BP100" s="227">
        <f t="shared" ca="1" si="150"/>
        <v>0</v>
      </c>
      <c r="BQ100" s="227">
        <f t="shared" ref="BQ100:EB100" ca="1" si="151">SUM(BQ96:BQ99)</f>
        <v>0</v>
      </c>
      <c r="BR100" s="227">
        <f t="shared" ca="1" si="151"/>
        <v>0</v>
      </c>
      <c r="BS100" s="227">
        <f t="shared" ca="1" si="151"/>
        <v>0</v>
      </c>
      <c r="BT100" s="227">
        <f t="shared" ca="1" si="151"/>
        <v>0</v>
      </c>
      <c r="BU100" s="227">
        <f t="shared" ca="1" si="151"/>
        <v>0</v>
      </c>
      <c r="BV100" s="227">
        <f t="shared" ca="1" si="151"/>
        <v>0</v>
      </c>
      <c r="BW100" s="227">
        <f t="shared" ca="1" si="151"/>
        <v>0</v>
      </c>
      <c r="BX100" s="227">
        <f t="shared" ca="1" si="151"/>
        <v>0</v>
      </c>
      <c r="BY100" s="227">
        <f t="shared" ca="1" si="151"/>
        <v>0</v>
      </c>
      <c r="BZ100" s="227">
        <f t="shared" ca="1" si="151"/>
        <v>0</v>
      </c>
      <c r="CA100" s="227">
        <f t="shared" ca="1" si="151"/>
        <v>0</v>
      </c>
      <c r="CB100" s="227">
        <f t="shared" ca="1" si="151"/>
        <v>0</v>
      </c>
      <c r="CC100" s="227">
        <f t="shared" ca="1" si="151"/>
        <v>0</v>
      </c>
      <c r="CD100" s="227">
        <f t="shared" ca="1" si="151"/>
        <v>0</v>
      </c>
      <c r="CE100" s="227">
        <f t="shared" ca="1" si="151"/>
        <v>0</v>
      </c>
      <c r="CF100" s="227">
        <f t="shared" ca="1" si="151"/>
        <v>0</v>
      </c>
      <c r="CG100" s="227">
        <f t="shared" ca="1" si="151"/>
        <v>0</v>
      </c>
      <c r="CH100" s="227">
        <f t="shared" ca="1" si="151"/>
        <v>0</v>
      </c>
      <c r="CI100" s="227">
        <f t="shared" ca="1" si="151"/>
        <v>0</v>
      </c>
      <c r="CJ100" s="227">
        <f t="shared" ca="1" si="151"/>
        <v>0</v>
      </c>
      <c r="CK100" s="227">
        <f t="shared" ca="1" si="151"/>
        <v>0</v>
      </c>
      <c r="CL100" s="227">
        <f t="shared" ca="1" si="151"/>
        <v>0</v>
      </c>
      <c r="CM100" s="227">
        <f t="shared" ca="1" si="151"/>
        <v>0</v>
      </c>
      <c r="CN100" s="227">
        <f t="shared" ca="1" si="151"/>
        <v>0</v>
      </c>
      <c r="CO100" s="227">
        <f t="shared" ca="1" si="151"/>
        <v>0</v>
      </c>
      <c r="CP100" s="227">
        <f t="shared" ca="1" si="151"/>
        <v>0</v>
      </c>
      <c r="CQ100" s="227">
        <f t="shared" ca="1" si="151"/>
        <v>0</v>
      </c>
      <c r="CR100" s="227">
        <f t="shared" ca="1" si="151"/>
        <v>0</v>
      </c>
      <c r="CS100" s="227">
        <f t="shared" ca="1" si="151"/>
        <v>0</v>
      </c>
      <c r="CT100" s="227">
        <f t="shared" ca="1" si="151"/>
        <v>0</v>
      </c>
      <c r="CU100" s="227">
        <f t="shared" ca="1" si="151"/>
        <v>0</v>
      </c>
      <c r="CV100" s="227">
        <f t="shared" ca="1" si="151"/>
        <v>0</v>
      </c>
      <c r="CW100" s="227">
        <f t="shared" ca="1" si="151"/>
        <v>0</v>
      </c>
      <c r="CX100" s="227">
        <f t="shared" ca="1" si="151"/>
        <v>0</v>
      </c>
      <c r="CY100" s="227">
        <f t="shared" ca="1" si="151"/>
        <v>0</v>
      </c>
      <c r="CZ100" s="227">
        <f t="shared" ca="1" si="151"/>
        <v>0</v>
      </c>
      <c r="DA100" s="227">
        <f t="shared" ca="1" si="151"/>
        <v>0</v>
      </c>
      <c r="DB100" s="227">
        <f t="shared" ca="1" si="151"/>
        <v>0</v>
      </c>
      <c r="DC100" s="227">
        <f t="shared" ca="1" si="151"/>
        <v>0</v>
      </c>
      <c r="DD100" s="227">
        <f t="shared" ca="1" si="151"/>
        <v>0</v>
      </c>
      <c r="DE100" s="227">
        <f t="shared" ca="1" si="151"/>
        <v>0</v>
      </c>
      <c r="DF100" s="227">
        <f t="shared" ca="1" si="151"/>
        <v>0</v>
      </c>
      <c r="DG100" s="227">
        <f t="shared" ca="1" si="151"/>
        <v>0</v>
      </c>
      <c r="DH100" s="227">
        <f t="shared" ca="1" si="151"/>
        <v>0</v>
      </c>
      <c r="DI100" s="227">
        <f t="shared" ca="1" si="151"/>
        <v>0</v>
      </c>
      <c r="DJ100" s="227">
        <f t="shared" ca="1" si="151"/>
        <v>0</v>
      </c>
      <c r="DK100" s="227">
        <f t="shared" ca="1" si="151"/>
        <v>0</v>
      </c>
      <c r="DL100" s="227">
        <f t="shared" ca="1" si="151"/>
        <v>0</v>
      </c>
      <c r="DM100" s="227">
        <f t="shared" ca="1" si="151"/>
        <v>0</v>
      </c>
      <c r="DN100" s="227">
        <f t="shared" ca="1" si="151"/>
        <v>0</v>
      </c>
      <c r="DO100" s="227">
        <f t="shared" ca="1" si="151"/>
        <v>0</v>
      </c>
      <c r="DP100" s="227">
        <f t="shared" ca="1" si="151"/>
        <v>0</v>
      </c>
      <c r="DQ100" s="227">
        <f t="shared" ca="1" si="151"/>
        <v>0</v>
      </c>
      <c r="DR100" s="227">
        <f t="shared" ca="1" si="151"/>
        <v>0</v>
      </c>
      <c r="DS100" s="227">
        <f t="shared" ca="1" si="151"/>
        <v>0</v>
      </c>
      <c r="DT100" s="227">
        <f t="shared" ca="1" si="151"/>
        <v>0</v>
      </c>
      <c r="DU100" s="227">
        <f t="shared" ca="1" si="151"/>
        <v>0</v>
      </c>
      <c r="DV100" s="227">
        <f t="shared" ca="1" si="151"/>
        <v>0</v>
      </c>
      <c r="DW100" s="227">
        <f t="shared" ca="1" si="151"/>
        <v>0</v>
      </c>
      <c r="DX100" s="227">
        <f t="shared" ca="1" si="151"/>
        <v>0</v>
      </c>
      <c r="DY100" s="227">
        <f t="shared" ca="1" si="151"/>
        <v>0</v>
      </c>
      <c r="DZ100" s="227">
        <f t="shared" ca="1" si="151"/>
        <v>0</v>
      </c>
      <c r="EA100" s="227">
        <f t="shared" ca="1" si="151"/>
        <v>0</v>
      </c>
      <c r="EB100" s="227">
        <f t="shared" ca="1" si="151"/>
        <v>0</v>
      </c>
      <c r="EC100" s="227">
        <f t="shared" ref="EC100:EG100" ca="1" si="152">SUM(EC96:EC99)</f>
        <v>0</v>
      </c>
      <c r="ED100" s="227">
        <f t="shared" ca="1" si="152"/>
        <v>0</v>
      </c>
      <c r="EE100" s="227">
        <f t="shared" ca="1" si="152"/>
        <v>0</v>
      </c>
      <c r="EF100" s="227">
        <f t="shared" ca="1" si="152"/>
        <v>0</v>
      </c>
      <c r="EG100" s="227">
        <f t="shared" ca="1" si="152"/>
        <v>0</v>
      </c>
    </row>
    <row r="101" spans="1:137" x14ac:dyDescent="0.3">
      <c r="A101" s="241" t="s">
        <v>2476</v>
      </c>
      <c r="B101" s="241"/>
      <c r="C101" s="241"/>
      <c r="D101" s="687"/>
      <c r="E101" s="242">
        <f t="shared" ref="E101:BP101" si="153">E112</f>
        <v>0</v>
      </c>
      <c r="F101" s="242">
        <f t="shared" si="153"/>
        <v>0</v>
      </c>
      <c r="G101" s="242">
        <f t="shared" si="153"/>
        <v>0</v>
      </c>
      <c r="H101" s="242">
        <f t="shared" si="153"/>
        <v>0</v>
      </c>
      <c r="I101" s="242">
        <f t="shared" si="153"/>
        <v>0</v>
      </c>
      <c r="J101" s="242">
        <f t="shared" si="153"/>
        <v>0</v>
      </c>
      <c r="K101" s="242">
        <f t="shared" si="153"/>
        <v>0</v>
      </c>
      <c r="L101" s="242">
        <f t="shared" si="153"/>
        <v>0</v>
      </c>
      <c r="M101" s="242">
        <f t="shared" si="153"/>
        <v>0</v>
      </c>
      <c r="N101" s="242">
        <f t="shared" si="153"/>
        <v>0</v>
      </c>
      <c r="O101" s="242">
        <f t="shared" si="153"/>
        <v>0</v>
      </c>
      <c r="P101" s="242">
        <f t="shared" si="153"/>
        <v>0</v>
      </c>
      <c r="Q101" s="242">
        <f t="shared" si="153"/>
        <v>0</v>
      </c>
      <c r="R101" s="242">
        <f t="shared" si="153"/>
        <v>0</v>
      </c>
      <c r="S101" s="242">
        <f t="shared" si="153"/>
        <v>0</v>
      </c>
      <c r="T101" s="242">
        <f t="shared" si="153"/>
        <v>0</v>
      </c>
      <c r="U101" s="242">
        <f t="shared" si="153"/>
        <v>0</v>
      </c>
      <c r="V101" s="242">
        <f t="shared" si="153"/>
        <v>0</v>
      </c>
      <c r="W101" s="242">
        <f t="shared" si="153"/>
        <v>0</v>
      </c>
      <c r="X101" s="242">
        <f t="shared" si="153"/>
        <v>0</v>
      </c>
      <c r="Y101" s="242">
        <f t="shared" si="153"/>
        <v>0</v>
      </c>
      <c r="Z101" s="242">
        <f t="shared" si="153"/>
        <v>0</v>
      </c>
      <c r="AA101" s="242">
        <f t="shared" si="153"/>
        <v>0</v>
      </c>
      <c r="AB101" s="242">
        <f t="shared" si="153"/>
        <v>0</v>
      </c>
      <c r="AC101" s="242">
        <f t="shared" si="153"/>
        <v>0</v>
      </c>
      <c r="AD101" s="242">
        <f t="shared" si="153"/>
        <v>0</v>
      </c>
      <c r="AE101" s="242">
        <f t="shared" si="153"/>
        <v>0</v>
      </c>
      <c r="AF101" s="242">
        <f t="shared" si="153"/>
        <v>0</v>
      </c>
      <c r="AG101" s="242">
        <f t="shared" si="153"/>
        <v>0</v>
      </c>
      <c r="AH101" s="242">
        <f t="shared" ca="1" si="153"/>
        <v>0</v>
      </c>
      <c r="AI101" s="242">
        <f t="shared" si="153"/>
        <v>0</v>
      </c>
      <c r="AJ101" s="242">
        <f t="shared" si="153"/>
        <v>0</v>
      </c>
      <c r="AK101" s="242">
        <f t="shared" si="153"/>
        <v>0</v>
      </c>
      <c r="AL101" s="242">
        <f t="shared" si="153"/>
        <v>0</v>
      </c>
      <c r="AM101" s="242">
        <f t="shared" si="153"/>
        <v>0</v>
      </c>
      <c r="AN101" s="242">
        <f t="shared" si="153"/>
        <v>0</v>
      </c>
      <c r="AO101" s="242">
        <f t="shared" si="153"/>
        <v>0</v>
      </c>
      <c r="AP101" s="242">
        <f t="shared" si="153"/>
        <v>0</v>
      </c>
      <c r="AQ101" s="242">
        <f t="shared" si="153"/>
        <v>0</v>
      </c>
      <c r="AR101" s="242">
        <f t="shared" si="153"/>
        <v>0</v>
      </c>
      <c r="AS101" s="242">
        <f t="shared" si="153"/>
        <v>0</v>
      </c>
      <c r="AT101" s="242">
        <f t="shared" si="153"/>
        <v>0</v>
      </c>
      <c r="AU101" s="242">
        <f t="shared" si="153"/>
        <v>0</v>
      </c>
      <c r="AV101" s="242">
        <f t="shared" si="153"/>
        <v>0</v>
      </c>
      <c r="AW101" s="242">
        <f t="shared" si="153"/>
        <v>0</v>
      </c>
      <c r="AX101" s="242">
        <f t="shared" si="153"/>
        <v>0</v>
      </c>
      <c r="AY101" s="242">
        <f t="shared" si="153"/>
        <v>0</v>
      </c>
      <c r="AZ101" s="242">
        <f t="shared" si="153"/>
        <v>0</v>
      </c>
      <c r="BA101" s="242">
        <f t="shared" si="153"/>
        <v>0</v>
      </c>
      <c r="BB101" s="242">
        <f t="shared" si="153"/>
        <v>0</v>
      </c>
      <c r="BC101" s="242">
        <f t="shared" si="153"/>
        <v>0</v>
      </c>
      <c r="BD101" s="242">
        <f t="shared" si="153"/>
        <v>0</v>
      </c>
      <c r="BE101" s="242">
        <f t="shared" si="153"/>
        <v>0</v>
      </c>
      <c r="BF101" s="242">
        <f t="shared" si="153"/>
        <v>0</v>
      </c>
      <c r="BG101" s="242">
        <f t="shared" si="153"/>
        <v>0</v>
      </c>
      <c r="BH101" s="242">
        <f t="shared" si="153"/>
        <v>0</v>
      </c>
      <c r="BI101" s="242">
        <f t="shared" si="153"/>
        <v>0</v>
      </c>
      <c r="BJ101" s="242">
        <f t="shared" si="153"/>
        <v>0</v>
      </c>
      <c r="BK101" s="242">
        <f t="shared" si="153"/>
        <v>0</v>
      </c>
      <c r="BL101" s="242">
        <f t="shared" si="153"/>
        <v>0</v>
      </c>
      <c r="BM101" s="242">
        <f t="shared" si="153"/>
        <v>0</v>
      </c>
      <c r="BN101" s="242">
        <f t="shared" si="153"/>
        <v>0</v>
      </c>
      <c r="BO101" s="242">
        <f t="shared" si="153"/>
        <v>0</v>
      </c>
      <c r="BP101" s="242">
        <f t="shared" si="153"/>
        <v>0</v>
      </c>
      <c r="BQ101" s="242">
        <f t="shared" ref="BQ101:EB101" si="154">BQ112</f>
        <v>0</v>
      </c>
      <c r="BR101" s="242">
        <f t="shared" si="154"/>
        <v>0</v>
      </c>
      <c r="BS101" s="242">
        <f t="shared" si="154"/>
        <v>0</v>
      </c>
      <c r="BT101" s="242">
        <f t="shared" si="154"/>
        <v>0</v>
      </c>
      <c r="BU101" s="242">
        <f t="shared" si="154"/>
        <v>0</v>
      </c>
      <c r="BV101" s="242">
        <f t="shared" si="154"/>
        <v>0</v>
      </c>
      <c r="BW101" s="242">
        <f t="shared" si="154"/>
        <v>0</v>
      </c>
      <c r="BX101" s="242">
        <f t="shared" si="154"/>
        <v>0</v>
      </c>
      <c r="BY101" s="242">
        <f t="shared" si="154"/>
        <v>0</v>
      </c>
      <c r="BZ101" s="242">
        <f t="shared" si="154"/>
        <v>0</v>
      </c>
      <c r="CA101" s="242">
        <f t="shared" si="154"/>
        <v>0</v>
      </c>
      <c r="CB101" s="242">
        <f t="shared" si="154"/>
        <v>0</v>
      </c>
      <c r="CC101" s="242">
        <f t="shared" si="154"/>
        <v>0</v>
      </c>
      <c r="CD101" s="242">
        <f t="shared" si="154"/>
        <v>0</v>
      </c>
      <c r="CE101" s="242">
        <f t="shared" si="154"/>
        <v>0</v>
      </c>
      <c r="CF101" s="242">
        <f t="shared" si="154"/>
        <v>0</v>
      </c>
      <c r="CG101" s="242">
        <f t="shared" si="154"/>
        <v>0</v>
      </c>
      <c r="CH101" s="242">
        <f t="shared" si="154"/>
        <v>0</v>
      </c>
      <c r="CI101" s="242">
        <f t="shared" si="154"/>
        <v>0</v>
      </c>
      <c r="CJ101" s="242">
        <f t="shared" si="154"/>
        <v>0</v>
      </c>
      <c r="CK101" s="242">
        <f t="shared" si="154"/>
        <v>0</v>
      </c>
      <c r="CL101" s="242">
        <f t="shared" si="154"/>
        <v>0</v>
      </c>
      <c r="CM101" s="242">
        <f t="shared" si="154"/>
        <v>0</v>
      </c>
      <c r="CN101" s="242">
        <f t="shared" si="154"/>
        <v>0</v>
      </c>
      <c r="CO101" s="242">
        <f t="shared" si="154"/>
        <v>0</v>
      </c>
      <c r="CP101" s="242">
        <f t="shared" si="154"/>
        <v>0</v>
      </c>
      <c r="CQ101" s="242">
        <f t="shared" si="154"/>
        <v>0</v>
      </c>
      <c r="CR101" s="242">
        <f t="shared" si="154"/>
        <v>0</v>
      </c>
      <c r="CS101" s="242">
        <f t="shared" si="154"/>
        <v>0</v>
      </c>
      <c r="CT101" s="242">
        <f t="shared" si="154"/>
        <v>0</v>
      </c>
      <c r="CU101" s="242">
        <f t="shared" si="154"/>
        <v>0</v>
      </c>
      <c r="CV101" s="242">
        <f t="shared" si="154"/>
        <v>0</v>
      </c>
      <c r="CW101" s="242">
        <f t="shared" si="154"/>
        <v>0</v>
      </c>
      <c r="CX101" s="242">
        <f t="shared" si="154"/>
        <v>0</v>
      </c>
      <c r="CY101" s="242">
        <f t="shared" si="154"/>
        <v>0</v>
      </c>
      <c r="CZ101" s="242">
        <f t="shared" si="154"/>
        <v>0</v>
      </c>
      <c r="DA101" s="242">
        <f t="shared" si="154"/>
        <v>0</v>
      </c>
      <c r="DB101" s="242">
        <f t="shared" si="154"/>
        <v>0</v>
      </c>
      <c r="DC101" s="242">
        <f t="shared" si="154"/>
        <v>0</v>
      </c>
      <c r="DD101" s="242">
        <f t="shared" si="154"/>
        <v>0</v>
      </c>
      <c r="DE101" s="242">
        <f t="shared" si="154"/>
        <v>0</v>
      </c>
      <c r="DF101" s="242">
        <f t="shared" si="154"/>
        <v>0</v>
      </c>
      <c r="DG101" s="242">
        <f t="shared" si="154"/>
        <v>0</v>
      </c>
      <c r="DH101" s="242">
        <f t="shared" si="154"/>
        <v>0</v>
      </c>
      <c r="DI101" s="242">
        <f t="shared" si="154"/>
        <v>0</v>
      </c>
      <c r="DJ101" s="242">
        <f t="shared" si="154"/>
        <v>0</v>
      </c>
      <c r="DK101" s="242">
        <f t="shared" si="154"/>
        <v>0</v>
      </c>
      <c r="DL101" s="242">
        <f t="shared" si="154"/>
        <v>0</v>
      </c>
      <c r="DM101" s="242">
        <f t="shared" si="154"/>
        <v>0</v>
      </c>
      <c r="DN101" s="242">
        <f t="shared" si="154"/>
        <v>0</v>
      </c>
      <c r="DO101" s="242">
        <f t="shared" si="154"/>
        <v>0</v>
      </c>
      <c r="DP101" s="242">
        <f t="shared" si="154"/>
        <v>0</v>
      </c>
      <c r="DQ101" s="242">
        <f t="shared" si="154"/>
        <v>0</v>
      </c>
      <c r="DR101" s="242">
        <f t="shared" si="154"/>
        <v>0</v>
      </c>
      <c r="DS101" s="242">
        <f t="shared" si="154"/>
        <v>0</v>
      </c>
      <c r="DT101" s="242">
        <f t="shared" si="154"/>
        <v>0</v>
      </c>
      <c r="DU101" s="242">
        <f t="shared" si="154"/>
        <v>0</v>
      </c>
      <c r="DV101" s="242">
        <f t="shared" si="154"/>
        <v>0</v>
      </c>
      <c r="DW101" s="242">
        <f t="shared" si="154"/>
        <v>0</v>
      </c>
      <c r="DX101" s="242">
        <f t="shared" si="154"/>
        <v>0</v>
      </c>
      <c r="DY101" s="242">
        <f t="shared" si="154"/>
        <v>0</v>
      </c>
      <c r="DZ101" s="242">
        <f t="shared" si="154"/>
        <v>0</v>
      </c>
      <c r="EA101" s="242">
        <f t="shared" si="154"/>
        <v>0</v>
      </c>
      <c r="EB101" s="242">
        <f t="shared" si="154"/>
        <v>0</v>
      </c>
      <c r="EC101" s="242">
        <f t="shared" ref="EC101:EG101" si="155">EC112</f>
        <v>0</v>
      </c>
      <c r="ED101" s="242">
        <f t="shared" si="155"/>
        <v>0</v>
      </c>
      <c r="EE101" s="242">
        <f t="shared" si="155"/>
        <v>0</v>
      </c>
      <c r="EF101" s="242">
        <f t="shared" si="155"/>
        <v>0</v>
      </c>
      <c r="EG101" s="242">
        <f t="shared" si="155"/>
        <v>0</v>
      </c>
    </row>
    <row r="102" spans="1:137" x14ac:dyDescent="0.3">
      <c r="A102" s="245" t="s">
        <v>843</v>
      </c>
      <c r="B102" s="245"/>
      <c r="C102" s="245"/>
      <c r="D102" s="726"/>
      <c r="E102" s="227">
        <f t="shared" ref="E102:BP102" ca="1" si="156">SUM(E100:E101)</f>
        <v>0</v>
      </c>
      <c r="F102" s="227">
        <f t="shared" ca="1" si="156"/>
        <v>0</v>
      </c>
      <c r="G102" s="227">
        <f t="shared" ca="1" si="156"/>
        <v>0</v>
      </c>
      <c r="H102" s="227">
        <f t="shared" ca="1" si="156"/>
        <v>0</v>
      </c>
      <c r="I102" s="227">
        <f t="shared" ca="1" si="156"/>
        <v>0</v>
      </c>
      <c r="J102" s="227">
        <f t="shared" ca="1" si="156"/>
        <v>0</v>
      </c>
      <c r="K102" s="227">
        <f t="shared" ca="1" si="156"/>
        <v>0</v>
      </c>
      <c r="L102" s="227">
        <f t="shared" ca="1" si="156"/>
        <v>0</v>
      </c>
      <c r="M102" s="227">
        <f t="shared" ca="1" si="156"/>
        <v>0</v>
      </c>
      <c r="N102" s="227">
        <f t="shared" ca="1" si="156"/>
        <v>0</v>
      </c>
      <c r="O102" s="227">
        <f t="shared" ca="1" si="156"/>
        <v>0</v>
      </c>
      <c r="P102" s="227">
        <f t="shared" ca="1" si="156"/>
        <v>0</v>
      </c>
      <c r="Q102" s="227">
        <f t="shared" ca="1" si="156"/>
        <v>0</v>
      </c>
      <c r="R102" s="227">
        <f t="shared" ca="1" si="156"/>
        <v>0</v>
      </c>
      <c r="S102" s="227">
        <f t="shared" ca="1" si="156"/>
        <v>0</v>
      </c>
      <c r="T102" s="227">
        <f t="shared" ca="1" si="156"/>
        <v>0</v>
      </c>
      <c r="U102" s="227">
        <f t="shared" ca="1" si="156"/>
        <v>0</v>
      </c>
      <c r="V102" s="227">
        <f t="shared" ca="1" si="156"/>
        <v>0</v>
      </c>
      <c r="W102" s="227">
        <f t="shared" ca="1" si="156"/>
        <v>0</v>
      </c>
      <c r="X102" s="227">
        <f t="shared" ca="1" si="156"/>
        <v>0</v>
      </c>
      <c r="Y102" s="227">
        <f t="shared" ca="1" si="156"/>
        <v>0</v>
      </c>
      <c r="Z102" s="227">
        <f t="shared" ca="1" si="156"/>
        <v>0</v>
      </c>
      <c r="AA102" s="227">
        <f t="shared" ca="1" si="156"/>
        <v>0</v>
      </c>
      <c r="AB102" s="227">
        <f t="shared" ca="1" si="156"/>
        <v>0</v>
      </c>
      <c r="AC102" s="227">
        <f t="shared" ca="1" si="156"/>
        <v>0</v>
      </c>
      <c r="AD102" s="227">
        <f t="shared" ca="1" si="156"/>
        <v>0</v>
      </c>
      <c r="AE102" s="227">
        <f t="shared" ca="1" si="156"/>
        <v>0</v>
      </c>
      <c r="AF102" s="227">
        <f t="shared" ca="1" si="156"/>
        <v>0</v>
      </c>
      <c r="AG102" s="227">
        <f t="shared" ca="1" si="156"/>
        <v>0</v>
      </c>
      <c r="AH102" s="227">
        <f t="shared" ca="1" si="156"/>
        <v>0</v>
      </c>
      <c r="AI102" s="227">
        <f t="shared" ca="1" si="156"/>
        <v>0</v>
      </c>
      <c r="AJ102" s="227">
        <f t="shared" ca="1" si="156"/>
        <v>0</v>
      </c>
      <c r="AK102" s="227">
        <f t="shared" ca="1" si="156"/>
        <v>0</v>
      </c>
      <c r="AL102" s="227">
        <f t="shared" ca="1" si="156"/>
        <v>0</v>
      </c>
      <c r="AM102" s="227">
        <f t="shared" ca="1" si="156"/>
        <v>0</v>
      </c>
      <c r="AN102" s="227">
        <f t="shared" ca="1" si="156"/>
        <v>0</v>
      </c>
      <c r="AO102" s="227">
        <f t="shared" ca="1" si="156"/>
        <v>0</v>
      </c>
      <c r="AP102" s="227">
        <f t="shared" ca="1" si="156"/>
        <v>0</v>
      </c>
      <c r="AQ102" s="227">
        <f t="shared" ca="1" si="156"/>
        <v>0</v>
      </c>
      <c r="AR102" s="227">
        <f t="shared" ca="1" si="156"/>
        <v>0</v>
      </c>
      <c r="AS102" s="227">
        <f t="shared" ca="1" si="156"/>
        <v>0</v>
      </c>
      <c r="AT102" s="227">
        <f t="shared" ca="1" si="156"/>
        <v>0</v>
      </c>
      <c r="AU102" s="227">
        <f t="shared" ca="1" si="156"/>
        <v>0</v>
      </c>
      <c r="AV102" s="227">
        <f t="shared" ca="1" si="156"/>
        <v>0</v>
      </c>
      <c r="AW102" s="227">
        <f t="shared" ca="1" si="156"/>
        <v>0</v>
      </c>
      <c r="AX102" s="227">
        <f t="shared" ca="1" si="156"/>
        <v>0</v>
      </c>
      <c r="AY102" s="227">
        <f t="shared" ca="1" si="156"/>
        <v>0</v>
      </c>
      <c r="AZ102" s="227">
        <f t="shared" ca="1" si="156"/>
        <v>0</v>
      </c>
      <c r="BA102" s="227">
        <f t="shared" ca="1" si="156"/>
        <v>0</v>
      </c>
      <c r="BB102" s="227">
        <f t="shared" ca="1" si="156"/>
        <v>0</v>
      </c>
      <c r="BC102" s="227">
        <f t="shared" ca="1" si="156"/>
        <v>0</v>
      </c>
      <c r="BD102" s="227">
        <f t="shared" ca="1" si="156"/>
        <v>0</v>
      </c>
      <c r="BE102" s="227">
        <f t="shared" ca="1" si="156"/>
        <v>0</v>
      </c>
      <c r="BF102" s="227">
        <f t="shared" ca="1" si="156"/>
        <v>0</v>
      </c>
      <c r="BG102" s="227">
        <f t="shared" ca="1" si="156"/>
        <v>0</v>
      </c>
      <c r="BH102" s="227">
        <f t="shared" ca="1" si="156"/>
        <v>0</v>
      </c>
      <c r="BI102" s="227">
        <f t="shared" ca="1" si="156"/>
        <v>0</v>
      </c>
      <c r="BJ102" s="227">
        <f t="shared" ca="1" si="156"/>
        <v>0</v>
      </c>
      <c r="BK102" s="227">
        <f t="shared" ca="1" si="156"/>
        <v>0</v>
      </c>
      <c r="BL102" s="227">
        <f t="shared" ca="1" si="156"/>
        <v>0</v>
      </c>
      <c r="BM102" s="227">
        <f t="shared" ca="1" si="156"/>
        <v>0</v>
      </c>
      <c r="BN102" s="227">
        <f t="shared" ca="1" si="156"/>
        <v>0</v>
      </c>
      <c r="BO102" s="227">
        <f t="shared" ca="1" si="156"/>
        <v>0</v>
      </c>
      <c r="BP102" s="227">
        <f t="shared" ca="1" si="156"/>
        <v>0</v>
      </c>
      <c r="BQ102" s="227">
        <f t="shared" ref="BQ102:EB102" ca="1" si="157">SUM(BQ100:BQ101)</f>
        <v>0</v>
      </c>
      <c r="BR102" s="227">
        <f t="shared" ca="1" si="157"/>
        <v>0</v>
      </c>
      <c r="BS102" s="227">
        <f t="shared" ca="1" si="157"/>
        <v>0</v>
      </c>
      <c r="BT102" s="227">
        <f t="shared" ca="1" si="157"/>
        <v>0</v>
      </c>
      <c r="BU102" s="227">
        <f t="shared" ca="1" si="157"/>
        <v>0</v>
      </c>
      <c r="BV102" s="227">
        <f t="shared" ca="1" si="157"/>
        <v>0</v>
      </c>
      <c r="BW102" s="227">
        <f t="shared" ca="1" si="157"/>
        <v>0</v>
      </c>
      <c r="BX102" s="227">
        <f t="shared" ca="1" si="157"/>
        <v>0</v>
      </c>
      <c r="BY102" s="227">
        <f t="shared" ca="1" si="157"/>
        <v>0</v>
      </c>
      <c r="BZ102" s="227">
        <f t="shared" ca="1" si="157"/>
        <v>0</v>
      </c>
      <c r="CA102" s="227">
        <f t="shared" ca="1" si="157"/>
        <v>0</v>
      </c>
      <c r="CB102" s="227">
        <f t="shared" ca="1" si="157"/>
        <v>0</v>
      </c>
      <c r="CC102" s="227">
        <f t="shared" ca="1" si="157"/>
        <v>0</v>
      </c>
      <c r="CD102" s="227">
        <f t="shared" ca="1" si="157"/>
        <v>0</v>
      </c>
      <c r="CE102" s="227">
        <f t="shared" ca="1" si="157"/>
        <v>0</v>
      </c>
      <c r="CF102" s="227">
        <f t="shared" ca="1" si="157"/>
        <v>0</v>
      </c>
      <c r="CG102" s="227">
        <f t="shared" ca="1" si="157"/>
        <v>0</v>
      </c>
      <c r="CH102" s="227">
        <f t="shared" ca="1" si="157"/>
        <v>0</v>
      </c>
      <c r="CI102" s="227">
        <f t="shared" ca="1" si="157"/>
        <v>0</v>
      </c>
      <c r="CJ102" s="227">
        <f t="shared" ca="1" si="157"/>
        <v>0</v>
      </c>
      <c r="CK102" s="227">
        <f t="shared" ca="1" si="157"/>
        <v>0</v>
      </c>
      <c r="CL102" s="227">
        <f t="shared" ca="1" si="157"/>
        <v>0</v>
      </c>
      <c r="CM102" s="227">
        <f t="shared" ca="1" si="157"/>
        <v>0</v>
      </c>
      <c r="CN102" s="227">
        <f t="shared" ca="1" si="157"/>
        <v>0</v>
      </c>
      <c r="CO102" s="227">
        <f t="shared" ca="1" si="157"/>
        <v>0</v>
      </c>
      <c r="CP102" s="227">
        <f t="shared" ca="1" si="157"/>
        <v>0</v>
      </c>
      <c r="CQ102" s="227">
        <f t="shared" ca="1" si="157"/>
        <v>0</v>
      </c>
      <c r="CR102" s="227">
        <f t="shared" ca="1" si="157"/>
        <v>0</v>
      </c>
      <c r="CS102" s="227">
        <f t="shared" ca="1" si="157"/>
        <v>0</v>
      </c>
      <c r="CT102" s="227">
        <f t="shared" ca="1" si="157"/>
        <v>0</v>
      </c>
      <c r="CU102" s="227">
        <f t="shared" ca="1" si="157"/>
        <v>0</v>
      </c>
      <c r="CV102" s="227">
        <f t="shared" ca="1" si="157"/>
        <v>0</v>
      </c>
      <c r="CW102" s="227">
        <f t="shared" ca="1" si="157"/>
        <v>0</v>
      </c>
      <c r="CX102" s="227">
        <f t="shared" ca="1" si="157"/>
        <v>0</v>
      </c>
      <c r="CY102" s="227">
        <f t="shared" ca="1" si="157"/>
        <v>0</v>
      </c>
      <c r="CZ102" s="227">
        <f t="shared" ca="1" si="157"/>
        <v>0</v>
      </c>
      <c r="DA102" s="227">
        <f t="shared" ca="1" si="157"/>
        <v>0</v>
      </c>
      <c r="DB102" s="227">
        <f t="shared" ca="1" si="157"/>
        <v>0</v>
      </c>
      <c r="DC102" s="227">
        <f t="shared" ca="1" si="157"/>
        <v>0</v>
      </c>
      <c r="DD102" s="227">
        <f t="shared" ca="1" si="157"/>
        <v>0</v>
      </c>
      <c r="DE102" s="227">
        <f t="shared" ca="1" si="157"/>
        <v>0</v>
      </c>
      <c r="DF102" s="227">
        <f t="shared" ca="1" si="157"/>
        <v>0</v>
      </c>
      <c r="DG102" s="227">
        <f t="shared" ca="1" si="157"/>
        <v>0</v>
      </c>
      <c r="DH102" s="227">
        <f t="shared" ca="1" si="157"/>
        <v>0</v>
      </c>
      <c r="DI102" s="227">
        <f t="shared" ca="1" si="157"/>
        <v>0</v>
      </c>
      <c r="DJ102" s="227">
        <f t="shared" ca="1" si="157"/>
        <v>0</v>
      </c>
      <c r="DK102" s="227">
        <f t="shared" ca="1" si="157"/>
        <v>0</v>
      </c>
      <c r="DL102" s="227">
        <f t="shared" ca="1" si="157"/>
        <v>0</v>
      </c>
      <c r="DM102" s="227">
        <f t="shared" ca="1" si="157"/>
        <v>0</v>
      </c>
      <c r="DN102" s="227">
        <f t="shared" ca="1" si="157"/>
        <v>0</v>
      </c>
      <c r="DO102" s="227">
        <f t="shared" ca="1" si="157"/>
        <v>0</v>
      </c>
      <c r="DP102" s="227">
        <f t="shared" ca="1" si="157"/>
        <v>0</v>
      </c>
      <c r="DQ102" s="227">
        <f t="shared" ca="1" si="157"/>
        <v>0</v>
      </c>
      <c r="DR102" s="227">
        <f t="shared" ca="1" si="157"/>
        <v>0</v>
      </c>
      <c r="DS102" s="227">
        <f t="shared" ca="1" si="157"/>
        <v>0</v>
      </c>
      <c r="DT102" s="227">
        <f t="shared" ca="1" si="157"/>
        <v>0</v>
      </c>
      <c r="DU102" s="227">
        <f t="shared" ca="1" si="157"/>
        <v>0</v>
      </c>
      <c r="DV102" s="227">
        <f t="shared" ca="1" si="157"/>
        <v>0</v>
      </c>
      <c r="DW102" s="227">
        <f t="shared" ca="1" si="157"/>
        <v>0</v>
      </c>
      <c r="DX102" s="227">
        <f t="shared" ca="1" si="157"/>
        <v>0</v>
      </c>
      <c r="DY102" s="227">
        <f t="shared" ca="1" si="157"/>
        <v>0</v>
      </c>
      <c r="DZ102" s="227">
        <f t="shared" ca="1" si="157"/>
        <v>0</v>
      </c>
      <c r="EA102" s="227">
        <f t="shared" ca="1" si="157"/>
        <v>0</v>
      </c>
      <c r="EB102" s="227">
        <f t="shared" ca="1" si="157"/>
        <v>0</v>
      </c>
      <c r="EC102" s="227">
        <f ca="1">SUM(EC100:EC101)</f>
        <v>0</v>
      </c>
      <c r="ED102" s="227">
        <f ca="1">SUM(ED100:ED101)</f>
        <v>0</v>
      </c>
      <c r="EE102" s="227">
        <f ca="1">SUM(EE100:EE101)</f>
        <v>0</v>
      </c>
      <c r="EF102" s="227">
        <f ca="1">SUM(EF100:EF101)</f>
        <v>0</v>
      </c>
      <c r="EG102" s="227">
        <f ca="1">SUM(EG100:EG101)</f>
        <v>0</v>
      </c>
    </row>
    <row r="103" spans="1:137" x14ac:dyDescent="0.3">
      <c r="A103" s="241" t="s">
        <v>2477</v>
      </c>
      <c r="B103" s="241"/>
      <c r="C103" s="241"/>
      <c r="D103" s="687"/>
      <c r="E103" s="242">
        <f t="shared" ref="E103:BP103" si="158">E142</f>
        <v>0</v>
      </c>
      <c r="F103" s="242">
        <f t="shared" si="158"/>
        <v>0</v>
      </c>
      <c r="G103" s="242">
        <f t="shared" si="158"/>
        <v>0</v>
      </c>
      <c r="H103" s="242">
        <f t="shared" si="158"/>
        <v>0</v>
      </c>
      <c r="I103" s="242">
        <f t="shared" si="158"/>
        <v>0</v>
      </c>
      <c r="J103" s="242">
        <f t="shared" si="158"/>
        <v>0</v>
      </c>
      <c r="K103" s="242">
        <f t="shared" si="158"/>
        <v>0</v>
      </c>
      <c r="L103" s="242">
        <f t="shared" si="158"/>
        <v>0</v>
      </c>
      <c r="M103" s="242">
        <f t="shared" si="158"/>
        <v>0</v>
      </c>
      <c r="N103" s="242">
        <f t="shared" si="158"/>
        <v>0</v>
      </c>
      <c r="O103" s="242">
        <f t="shared" si="158"/>
        <v>0</v>
      </c>
      <c r="P103" s="242">
        <f t="shared" si="158"/>
        <v>0</v>
      </c>
      <c r="Q103" s="242">
        <f t="shared" si="158"/>
        <v>0</v>
      </c>
      <c r="R103" s="242">
        <f t="shared" si="158"/>
        <v>0</v>
      </c>
      <c r="S103" s="242">
        <f t="shared" si="158"/>
        <v>0</v>
      </c>
      <c r="T103" s="242">
        <f t="shared" si="158"/>
        <v>0</v>
      </c>
      <c r="U103" s="242">
        <f t="shared" si="158"/>
        <v>0</v>
      </c>
      <c r="V103" s="242">
        <f t="shared" si="158"/>
        <v>0</v>
      </c>
      <c r="W103" s="242">
        <f t="shared" si="158"/>
        <v>0</v>
      </c>
      <c r="X103" s="242">
        <f t="shared" si="158"/>
        <v>0</v>
      </c>
      <c r="Y103" s="242">
        <f t="shared" si="158"/>
        <v>0</v>
      </c>
      <c r="Z103" s="242">
        <f t="shared" si="158"/>
        <v>0</v>
      </c>
      <c r="AA103" s="242">
        <f t="shared" si="158"/>
        <v>0</v>
      </c>
      <c r="AB103" s="242">
        <f t="shared" si="158"/>
        <v>0</v>
      </c>
      <c r="AC103" s="242">
        <f t="shared" si="158"/>
        <v>0</v>
      </c>
      <c r="AD103" s="242">
        <f t="shared" si="158"/>
        <v>0</v>
      </c>
      <c r="AE103" s="242">
        <f t="shared" si="158"/>
        <v>0</v>
      </c>
      <c r="AF103" s="242">
        <f t="shared" si="158"/>
        <v>0</v>
      </c>
      <c r="AG103" s="242">
        <f t="shared" si="158"/>
        <v>0</v>
      </c>
      <c r="AH103" s="242">
        <f t="shared" ca="1" si="158"/>
        <v>0</v>
      </c>
      <c r="AI103" s="242">
        <f t="shared" si="158"/>
        <v>0</v>
      </c>
      <c r="AJ103" s="242">
        <f t="shared" si="158"/>
        <v>0</v>
      </c>
      <c r="AK103" s="242">
        <f t="shared" si="158"/>
        <v>0</v>
      </c>
      <c r="AL103" s="242">
        <f t="shared" si="158"/>
        <v>0</v>
      </c>
      <c r="AM103" s="242">
        <f t="shared" si="158"/>
        <v>0</v>
      </c>
      <c r="AN103" s="242">
        <f t="shared" si="158"/>
        <v>0</v>
      </c>
      <c r="AO103" s="242">
        <f t="shared" si="158"/>
        <v>0</v>
      </c>
      <c r="AP103" s="242">
        <f t="shared" si="158"/>
        <v>0</v>
      </c>
      <c r="AQ103" s="242">
        <f t="shared" si="158"/>
        <v>0</v>
      </c>
      <c r="AR103" s="242">
        <f t="shared" si="158"/>
        <v>0</v>
      </c>
      <c r="AS103" s="242">
        <f t="shared" si="158"/>
        <v>0</v>
      </c>
      <c r="AT103" s="242">
        <f t="shared" si="158"/>
        <v>0</v>
      </c>
      <c r="AU103" s="242">
        <f t="shared" si="158"/>
        <v>0</v>
      </c>
      <c r="AV103" s="242">
        <f t="shared" si="158"/>
        <v>0</v>
      </c>
      <c r="AW103" s="242">
        <f t="shared" si="158"/>
        <v>0</v>
      </c>
      <c r="AX103" s="242">
        <f t="shared" si="158"/>
        <v>0</v>
      </c>
      <c r="AY103" s="242">
        <f t="shared" si="158"/>
        <v>0</v>
      </c>
      <c r="AZ103" s="242">
        <f t="shared" si="158"/>
        <v>0</v>
      </c>
      <c r="BA103" s="242">
        <f t="shared" si="158"/>
        <v>0</v>
      </c>
      <c r="BB103" s="242">
        <f t="shared" si="158"/>
        <v>0</v>
      </c>
      <c r="BC103" s="242">
        <f t="shared" si="158"/>
        <v>0</v>
      </c>
      <c r="BD103" s="242">
        <f t="shared" si="158"/>
        <v>0</v>
      </c>
      <c r="BE103" s="242">
        <f t="shared" si="158"/>
        <v>0</v>
      </c>
      <c r="BF103" s="242">
        <f t="shared" si="158"/>
        <v>0</v>
      </c>
      <c r="BG103" s="242">
        <f t="shared" si="158"/>
        <v>0</v>
      </c>
      <c r="BH103" s="242">
        <f t="shared" si="158"/>
        <v>0</v>
      </c>
      <c r="BI103" s="242">
        <f t="shared" si="158"/>
        <v>0</v>
      </c>
      <c r="BJ103" s="242">
        <f t="shared" si="158"/>
        <v>0</v>
      </c>
      <c r="BK103" s="242">
        <f t="shared" si="158"/>
        <v>0</v>
      </c>
      <c r="BL103" s="242">
        <f t="shared" si="158"/>
        <v>0</v>
      </c>
      <c r="BM103" s="242">
        <f t="shared" si="158"/>
        <v>0</v>
      </c>
      <c r="BN103" s="242">
        <f t="shared" si="158"/>
        <v>0</v>
      </c>
      <c r="BO103" s="242">
        <f t="shared" si="158"/>
        <v>0</v>
      </c>
      <c r="BP103" s="242">
        <f t="shared" si="158"/>
        <v>0</v>
      </c>
      <c r="BQ103" s="242">
        <f t="shared" ref="BQ103:EB103" si="159">BQ142</f>
        <v>0</v>
      </c>
      <c r="BR103" s="242">
        <f t="shared" si="159"/>
        <v>0</v>
      </c>
      <c r="BS103" s="242">
        <f t="shared" si="159"/>
        <v>0</v>
      </c>
      <c r="BT103" s="242">
        <f t="shared" si="159"/>
        <v>0</v>
      </c>
      <c r="BU103" s="242">
        <f t="shared" si="159"/>
        <v>0</v>
      </c>
      <c r="BV103" s="242">
        <f t="shared" si="159"/>
        <v>0</v>
      </c>
      <c r="BW103" s="242">
        <f t="shared" si="159"/>
        <v>0</v>
      </c>
      <c r="BX103" s="242">
        <f t="shared" si="159"/>
        <v>0</v>
      </c>
      <c r="BY103" s="242">
        <f t="shared" si="159"/>
        <v>0</v>
      </c>
      <c r="BZ103" s="242">
        <f t="shared" si="159"/>
        <v>0</v>
      </c>
      <c r="CA103" s="242">
        <f t="shared" si="159"/>
        <v>0</v>
      </c>
      <c r="CB103" s="242">
        <f t="shared" si="159"/>
        <v>0</v>
      </c>
      <c r="CC103" s="242">
        <f t="shared" si="159"/>
        <v>0</v>
      </c>
      <c r="CD103" s="242">
        <f t="shared" si="159"/>
        <v>0</v>
      </c>
      <c r="CE103" s="242">
        <f t="shared" si="159"/>
        <v>0</v>
      </c>
      <c r="CF103" s="242">
        <f t="shared" si="159"/>
        <v>0</v>
      </c>
      <c r="CG103" s="242">
        <f t="shared" si="159"/>
        <v>0</v>
      </c>
      <c r="CH103" s="242">
        <f t="shared" si="159"/>
        <v>0</v>
      </c>
      <c r="CI103" s="242">
        <f t="shared" si="159"/>
        <v>0</v>
      </c>
      <c r="CJ103" s="242">
        <f t="shared" si="159"/>
        <v>0</v>
      </c>
      <c r="CK103" s="242">
        <f t="shared" si="159"/>
        <v>0</v>
      </c>
      <c r="CL103" s="242">
        <f t="shared" si="159"/>
        <v>0</v>
      </c>
      <c r="CM103" s="242">
        <f t="shared" si="159"/>
        <v>0</v>
      </c>
      <c r="CN103" s="242">
        <f t="shared" si="159"/>
        <v>0</v>
      </c>
      <c r="CO103" s="242">
        <f t="shared" si="159"/>
        <v>0</v>
      </c>
      <c r="CP103" s="242">
        <f t="shared" si="159"/>
        <v>0</v>
      </c>
      <c r="CQ103" s="242">
        <f t="shared" si="159"/>
        <v>0</v>
      </c>
      <c r="CR103" s="242">
        <f t="shared" si="159"/>
        <v>0</v>
      </c>
      <c r="CS103" s="242">
        <f t="shared" si="159"/>
        <v>0</v>
      </c>
      <c r="CT103" s="242">
        <f t="shared" si="159"/>
        <v>0</v>
      </c>
      <c r="CU103" s="242">
        <f t="shared" si="159"/>
        <v>0</v>
      </c>
      <c r="CV103" s="242">
        <f t="shared" si="159"/>
        <v>0</v>
      </c>
      <c r="CW103" s="242">
        <f t="shared" si="159"/>
        <v>0</v>
      </c>
      <c r="CX103" s="242">
        <f t="shared" si="159"/>
        <v>0</v>
      </c>
      <c r="CY103" s="242">
        <f t="shared" si="159"/>
        <v>0</v>
      </c>
      <c r="CZ103" s="242">
        <f t="shared" si="159"/>
        <v>0</v>
      </c>
      <c r="DA103" s="242">
        <f t="shared" si="159"/>
        <v>0</v>
      </c>
      <c r="DB103" s="242">
        <f t="shared" si="159"/>
        <v>0</v>
      </c>
      <c r="DC103" s="242">
        <f t="shared" si="159"/>
        <v>0</v>
      </c>
      <c r="DD103" s="242">
        <f t="shared" si="159"/>
        <v>0</v>
      </c>
      <c r="DE103" s="242">
        <f t="shared" si="159"/>
        <v>0</v>
      </c>
      <c r="DF103" s="242">
        <f t="shared" si="159"/>
        <v>0</v>
      </c>
      <c r="DG103" s="242">
        <f t="shared" si="159"/>
        <v>0</v>
      </c>
      <c r="DH103" s="242">
        <f t="shared" si="159"/>
        <v>0</v>
      </c>
      <c r="DI103" s="242">
        <f t="shared" si="159"/>
        <v>0</v>
      </c>
      <c r="DJ103" s="242">
        <f t="shared" si="159"/>
        <v>0</v>
      </c>
      <c r="DK103" s="242">
        <f t="shared" si="159"/>
        <v>0</v>
      </c>
      <c r="DL103" s="242">
        <f t="shared" si="159"/>
        <v>0</v>
      </c>
      <c r="DM103" s="242">
        <f t="shared" si="159"/>
        <v>0</v>
      </c>
      <c r="DN103" s="242">
        <f t="shared" si="159"/>
        <v>0</v>
      </c>
      <c r="DO103" s="242">
        <f t="shared" si="159"/>
        <v>0</v>
      </c>
      <c r="DP103" s="242">
        <f t="shared" si="159"/>
        <v>0</v>
      </c>
      <c r="DQ103" s="242">
        <f t="shared" si="159"/>
        <v>0</v>
      </c>
      <c r="DR103" s="242">
        <f t="shared" si="159"/>
        <v>0</v>
      </c>
      <c r="DS103" s="242">
        <f t="shared" si="159"/>
        <v>0</v>
      </c>
      <c r="DT103" s="242">
        <f t="shared" si="159"/>
        <v>0</v>
      </c>
      <c r="DU103" s="242">
        <f t="shared" si="159"/>
        <v>0</v>
      </c>
      <c r="DV103" s="242">
        <f t="shared" si="159"/>
        <v>0</v>
      </c>
      <c r="DW103" s="242">
        <f t="shared" si="159"/>
        <v>0</v>
      </c>
      <c r="DX103" s="242">
        <f t="shared" si="159"/>
        <v>0</v>
      </c>
      <c r="DY103" s="242">
        <f t="shared" si="159"/>
        <v>0</v>
      </c>
      <c r="DZ103" s="242">
        <f t="shared" si="159"/>
        <v>0</v>
      </c>
      <c r="EA103" s="242">
        <f t="shared" si="159"/>
        <v>0</v>
      </c>
      <c r="EB103" s="242">
        <f t="shared" si="159"/>
        <v>0</v>
      </c>
      <c r="EC103" s="242">
        <f t="shared" ref="EC103:EG103" si="160">EC142</f>
        <v>0</v>
      </c>
      <c r="ED103" s="242">
        <f t="shared" si="160"/>
        <v>0</v>
      </c>
      <c r="EE103" s="242">
        <f t="shared" si="160"/>
        <v>0</v>
      </c>
      <c r="EF103" s="242">
        <f t="shared" si="160"/>
        <v>0</v>
      </c>
      <c r="EG103" s="242">
        <f t="shared" si="160"/>
        <v>0</v>
      </c>
    </row>
    <row r="104" spans="1:137" ht="15" thickBot="1" x14ac:dyDescent="0.35">
      <c r="A104" s="248" t="s">
        <v>2463</v>
      </c>
      <c r="B104" s="248"/>
      <c r="C104" s="248"/>
      <c r="D104" s="697"/>
      <c r="E104" s="250">
        <f t="shared" ref="E104:BP104" ca="1" si="161">SUM(E102:E103)</f>
        <v>0</v>
      </c>
      <c r="F104" s="250">
        <f t="shared" ca="1" si="161"/>
        <v>0</v>
      </c>
      <c r="G104" s="250">
        <f t="shared" ca="1" si="161"/>
        <v>0</v>
      </c>
      <c r="H104" s="250">
        <f t="shared" ca="1" si="161"/>
        <v>0</v>
      </c>
      <c r="I104" s="250">
        <f t="shared" ca="1" si="161"/>
        <v>0</v>
      </c>
      <c r="J104" s="250">
        <f t="shared" ca="1" si="161"/>
        <v>0</v>
      </c>
      <c r="K104" s="250">
        <f t="shared" ca="1" si="161"/>
        <v>0</v>
      </c>
      <c r="L104" s="250">
        <f t="shared" ca="1" si="161"/>
        <v>0</v>
      </c>
      <c r="M104" s="250">
        <f t="shared" ca="1" si="161"/>
        <v>0</v>
      </c>
      <c r="N104" s="250">
        <f t="shared" ca="1" si="161"/>
        <v>0</v>
      </c>
      <c r="O104" s="250">
        <f t="shared" ca="1" si="161"/>
        <v>0</v>
      </c>
      <c r="P104" s="250">
        <f t="shared" ca="1" si="161"/>
        <v>0</v>
      </c>
      <c r="Q104" s="250">
        <f t="shared" ca="1" si="161"/>
        <v>0</v>
      </c>
      <c r="R104" s="250">
        <f t="shared" ca="1" si="161"/>
        <v>0</v>
      </c>
      <c r="S104" s="250">
        <f t="shared" ca="1" si="161"/>
        <v>0</v>
      </c>
      <c r="T104" s="250">
        <f t="shared" ca="1" si="161"/>
        <v>0</v>
      </c>
      <c r="U104" s="250">
        <f t="shared" ca="1" si="161"/>
        <v>0</v>
      </c>
      <c r="V104" s="250">
        <f t="shared" ca="1" si="161"/>
        <v>0</v>
      </c>
      <c r="W104" s="250">
        <f t="shared" ca="1" si="161"/>
        <v>0</v>
      </c>
      <c r="X104" s="250">
        <f t="shared" ca="1" si="161"/>
        <v>0</v>
      </c>
      <c r="Y104" s="250">
        <f t="shared" ca="1" si="161"/>
        <v>0</v>
      </c>
      <c r="Z104" s="250">
        <f t="shared" ca="1" si="161"/>
        <v>0</v>
      </c>
      <c r="AA104" s="250">
        <f t="shared" ca="1" si="161"/>
        <v>0</v>
      </c>
      <c r="AB104" s="250">
        <f t="shared" ca="1" si="161"/>
        <v>0</v>
      </c>
      <c r="AC104" s="250">
        <f t="shared" ca="1" si="161"/>
        <v>0</v>
      </c>
      <c r="AD104" s="250">
        <f t="shared" ca="1" si="161"/>
        <v>0</v>
      </c>
      <c r="AE104" s="250">
        <f t="shared" ca="1" si="161"/>
        <v>0</v>
      </c>
      <c r="AF104" s="250">
        <f t="shared" ca="1" si="161"/>
        <v>0</v>
      </c>
      <c r="AG104" s="250">
        <f t="shared" ca="1" si="161"/>
        <v>0</v>
      </c>
      <c r="AH104" s="250">
        <f t="shared" ca="1" si="161"/>
        <v>0</v>
      </c>
      <c r="AI104" s="250">
        <f t="shared" ca="1" si="161"/>
        <v>0</v>
      </c>
      <c r="AJ104" s="250">
        <f t="shared" ca="1" si="161"/>
        <v>0</v>
      </c>
      <c r="AK104" s="250">
        <f t="shared" ca="1" si="161"/>
        <v>0</v>
      </c>
      <c r="AL104" s="250">
        <f t="shared" ca="1" si="161"/>
        <v>0</v>
      </c>
      <c r="AM104" s="250">
        <f t="shared" ca="1" si="161"/>
        <v>0</v>
      </c>
      <c r="AN104" s="250">
        <f t="shared" ca="1" si="161"/>
        <v>0</v>
      </c>
      <c r="AO104" s="250">
        <f t="shared" ca="1" si="161"/>
        <v>0</v>
      </c>
      <c r="AP104" s="250">
        <f t="shared" ca="1" si="161"/>
        <v>0</v>
      </c>
      <c r="AQ104" s="250">
        <f t="shared" ca="1" si="161"/>
        <v>0</v>
      </c>
      <c r="AR104" s="250">
        <f t="shared" ca="1" si="161"/>
        <v>0</v>
      </c>
      <c r="AS104" s="250">
        <f t="shared" ca="1" si="161"/>
        <v>0</v>
      </c>
      <c r="AT104" s="250">
        <f t="shared" ca="1" si="161"/>
        <v>0</v>
      </c>
      <c r="AU104" s="250">
        <f t="shared" ca="1" si="161"/>
        <v>0</v>
      </c>
      <c r="AV104" s="250">
        <f t="shared" ca="1" si="161"/>
        <v>0</v>
      </c>
      <c r="AW104" s="250">
        <f t="shared" ca="1" si="161"/>
        <v>0</v>
      </c>
      <c r="AX104" s="250">
        <f t="shared" ca="1" si="161"/>
        <v>0</v>
      </c>
      <c r="AY104" s="250">
        <f t="shared" ca="1" si="161"/>
        <v>0</v>
      </c>
      <c r="AZ104" s="250">
        <f t="shared" ca="1" si="161"/>
        <v>0</v>
      </c>
      <c r="BA104" s="250">
        <f t="shared" ca="1" si="161"/>
        <v>0</v>
      </c>
      <c r="BB104" s="250">
        <f t="shared" ca="1" si="161"/>
        <v>0</v>
      </c>
      <c r="BC104" s="250">
        <f t="shared" ca="1" si="161"/>
        <v>0</v>
      </c>
      <c r="BD104" s="250">
        <f t="shared" ca="1" si="161"/>
        <v>0</v>
      </c>
      <c r="BE104" s="250">
        <f t="shared" ca="1" si="161"/>
        <v>0</v>
      </c>
      <c r="BF104" s="250">
        <f t="shared" ca="1" si="161"/>
        <v>0</v>
      </c>
      <c r="BG104" s="250">
        <f t="shared" ca="1" si="161"/>
        <v>0</v>
      </c>
      <c r="BH104" s="250">
        <f t="shared" ca="1" si="161"/>
        <v>0</v>
      </c>
      <c r="BI104" s="250">
        <f t="shared" ca="1" si="161"/>
        <v>0</v>
      </c>
      <c r="BJ104" s="250">
        <f t="shared" ca="1" si="161"/>
        <v>0</v>
      </c>
      <c r="BK104" s="250">
        <f t="shared" ca="1" si="161"/>
        <v>0</v>
      </c>
      <c r="BL104" s="250">
        <f t="shared" ca="1" si="161"/>
        <v>0</v>
      </c>
      <c r="BM104" s="250">
        <f t="shared" ca="1" si="161"/>
        <v>0</v>
      </c>
      <c r="BN104" s="250">
        <f t="shared" ca="1" si="161"/>
        <v>0</v>
      </c>
      <c r="BO104" s="250">
        <f t="shared" ca="1" si="161"/>
        <v>0</v>
      </c>
      <c r="BP104" s="250">
        <f t="shared" ca="1" si="161"/>
        <v>0</v>
      </c>
      <c r="BQ104" s="250">
        <f t="shared" ref="BQ104:EB104" ca="1" si="162">SUM(BQ102:BQ103)</f>
        <v>0</v>
      </c>
      <c r="BR104" s="250">
        <f t="shared" ca="1" si="162"/>
        <v>0</v>
      </c>
      <c r="BS104" s="250">
        <f t="shared" ca="1" si="162"/>
        <v>0</v>
      </c>
      <c r="BT104" s="250">
        <f t="shared" ca="1" si="162"/>
        <v>0</v>
      </c>
      <c r="BU104" s="250">
        <f t="shared" ca="1" si="162"/>
        <v>0</v>
      </c>
      <c r="BV104" s="250">
        <f t="shared" ca="1" si="162"/>
        <v>0</v>
      </c>
      <c r="BW104" s="250">
        <f t="shared" ca="1" si="162"/>
        <v>0</v>
      </c>
      <c r="BX104" s="250">
        <f t="shared" ca="1" si="162"/>
        <v>0</v>
      </c>
      <c r="BY104" s="250">
        <f t="shared" ca="1" si="162"/>
        <v>0</v>
      </c>
      <c r="BZ104" s="250">
        <f t="shared" ca="1" si="162"/>
        <v>0</v>
      </c>
      <c r="CA104" s="250">
        <f t="shared" ca="1" si="162"/>
        <v>0</v>
      </c>
      <c r="CB104" s="250">
        <f t="shared" ca="1" si="162"/>
        <v>0</v>
      </c>
      <c r="CC104" s="250">
        <f t="shared" ca="1" si="162"/>
        <v>0</v>
      </c>
      <c r="CD104" s="250">
        <f t="shared" ca="1" si="162"/>
        <v>0</v>
      </c>
      <c r="CE104" s="250">
        <f t="shared" ca="1" si="162"/>
        <v>0</v>
      </c>
      <c r="CF104" s="250">
        <f t="shared" ca="1" si="162"/>
        <v>0</v>
      </c>
      <c r="CG104" s="250">
        <f t="shared" ca="1" si="162"/>
        <v>0</v>
      </c>
      <c r="CH104" s="250">
        <f t="shared" ca="1" si="162"/>
        <v>0</v>
      </c>
      <c r="CI104" s="250">
        <f t="shared" ca="1" si="162"/>
        <v>0</v>
      </c>
      <c r="CJ104" s="250">
        <f t="shared" ca="1" si="162"/>
        <v>0</v>
      </c>
      <c r="CK104" s="250">
        <f t="shared" ca="1" si="162"/>
        <v>0</v>
      </c>
      <c r="CL104" s="250">
        <f t="shared" ca="1" si="162"/>
        <v>0</v>
      </c>
      <c r="CM104" s="250">
        <f t="shared" ca="1" si="162"/>
        <v>0</v>
      </c>
      <c r="CN104" s="250">
        <f t="shared" ca="1" si="162"/>
        <v>0</v>
      </c>
      <c r="CO104" s="250">
        <f t="shared" ca="1" si="162"/>
        <v>0</v>
      </c>
      <c r="CP104" s="250">
        <f t="shared" ca="1" si="162"/>
        <v>0</v>
      </c>
      <c r="CQ104" s="250">
        <f t="shared" ca="1" si="162"/>
        <v>0</v>
      </c>
      <c r="CR104" s="250">
        <f t="shared" ca="1" si="162"/>
        <v>0</v>
      </c>
      <c r="CS104" s="250">
        <f t="shared" ca="1" si="162"/>
        <v>0</v>
      </c>
      <c r="CT104" s="250">
        <f t="shared" ca="1" si="162"/>
        <v>0</v>
      </c>
      <c r="CU104" s="250">
        <f t="shared" ca="1" si="162"/>
        <v>0</v>
      </c>
      <c r="CV104" s="250">
        <f t="shared" ca="1" si="162"/>
        <v>0</v>
      </c>
      <c r="CW104" s="250">
        <f t="shared" ca="1" si="162"/>
        <v>0</v>
      </c>
      <c r="CX104" s="250">
        <f t="shared" ca="1" si="162"/>
        <v>0</v>
      </c>
      <c r="CY104" s="250">
        <f t="shared" ca="1" si="162"/>
        <v>0</v>
      </c>
      <c r="CZ104" s="250">
        <f t="shared" ca="1" si="162"/>
        <v>0</v>
      </c>
      <c r="DA104" s="250">
        <f t="shared" ca="1" si="162"/>
        <v>0</v>
      </c>
      <c r="DB104" s="250">
        <f t="shared" ca="1" si="162"/>
        <v>0</v>
      </c>
      <c r="DC104" s="250">
        <f t="shared" ca="1" si="162"/>
        <v>0</v>
      </c>
      <c r="DD104" s="250">
        <f t="shared" ca="1" si="162"/>
        <v>0</v>
      </c>
      <c r="DE104" s="250">
        <f t="shared" ca="1" si="162"/>
        <v>0</v>
      </c>
      <c r="DF104" s="250">
        <f t="shared" ca="1" si="162"/>
        <v>0</v>
      </c>
      <c r="DG104" s="250">
        <f t="shared" ca="1" si="162"/>
        <v>0</v>
      </c>
      <c r="DH104" s="250">
        <f t="shared" ca="1" si="162"/>
        <v>0</v>
      </c>
      <c r="DI104" s="250">
        <f t="shared" ca="1" si="162"/>
        <v>0</v>
      </c>
      <c r="DJ104" s="250">
        <f t="shared" ca="1" si="162"/>
        <v>0</v>
      </c>
      <c r="DK104" s="250">
        <f t="shared" ca="1" si="162"/>
        <v>0</v>
      </c>
      <c r="DL104" s="250">
        <f t="shared" ca="1" si="162"/>
        <v>0</v>
      </c>
      <c r="DM104" s="250">
        <f t="shared" ca="1" si="162"/>
        <v>0</v>
      </c>
      <c r="DN104" s="250">
        <f t="shared" ca="1" si="162"/>
        <v>0</v>
      </c>
      <c r="DO104" s="250">
        <f t="shared" ca="1" si="162"/>
        <v>0</v>
      </c>
      <c r="DP104" s="250">
        <f t="shared" ca="1" si="162"/>
        <v>0</v>
      </c>
      <c r="DQ104" s="250">
        <f t="shared" ca="1" si="162"/>
        <v>0</v>
      </c>
      <c r="DR104" s="250">
        <f t="shared" ca="1" si="162"/>
        <v>0</v>
      </c>
      <c r="DS104" s="250">
        <f t="shared" ca="1" si="162"/>
        <v>0</v>
      </c>
      <c r="DT104" s="250">
        <f t="shared" ca="1" si="162"/>
        <v>0</v>
      </c>
      <c r="DU104" s="250">
        <f t="shared" ca="1" si="162"/>
        <v>0</v>
      </c>
      <c r="DV104" s="250">
        <f t="shared" ca="1" si="162"/>
        <v>0</v>
      </c>
      <c r="DW104" s="250">
        <f t="shared" ca="1" si="162"/>
        <v>0</v>
      </c>
      <c r="DX104" s="250">
        <f t="shared" ca="1" si="162"/>
        <v>0</v>
      </c>
      <c r="DY104" s="250">
        <f t="shared" ca="1" si="162"/>
        <v>0</v>
      </c>
      <c r="DZ104" s="250">
        <f t="shared" ca="1" si="162"/>
        <v>0</v>
      </c>
      <c r="EA104" s="250">
        <f t="shared" ca="1" si="162"/>
        <v>0</v>
      </c>
      <c r="EB104" s="250">
        <f t="shared" ca="1" si="162"/>
        <v>0</v>
      </c>
      <c r="EC104" s="250">
        <f ca="1">SUM(EC102:EC103)</f>
        <v>0</v>
      </c>
      <c r="ED104" s="250">
        <f ca="1">SUM(ED102:ED103)</f>
        <v>0</v>
      </c>
      <c r="EE104" s="250">
        <f ca="1">SUM(EE102:EE103)</f>
        <v>0</v>
      </c>
      <c r="EF104" s="250">
        <f ca="1">SUM(EF102:EF103)</f>
        <v>0</v>
      </c>
      <c r="EG104" s="250">
        <f ca="1">SUM(EG102:EG103)</f>
        <v>0</v>
      </c>
    </row>
    <row r="105" spans="1:137" ht="7.5" customHeight="1" thickTop="1" x14ac:dyDescent="0.3"/>
    <row r="106" spans="1:137" x14ac:dyDescent="0.3">
      <c r="A106" s="700" t="str">
        <f>'General Inputs'!$L$29&amp;" PREFERENCE BALANCE"</f>
        <v>LAND PREFERENCE BALANCE</v>
      </c>
      <c r="B106" s="700"/>
      <c r="C106" s="700"/>
      <c r="D106" s="725"/>
      <c r="E106" s="700"/>
      <c r="F106" s="700"/>
      <c r="G106" s="700"/>
      <c r="H106" s="700"/>
      <c r="I106" s="700"/>
      <c r="J106" s="700"/>
      <c r="K106" s="700"/>
      <c r="L106" s="700"/>
      <c r="M106" s="700"/>
      <c r="N106" s="700"/>
      <c r="O106" s="700"/>
      <c r="P106" s="700"/>
      <c r="Q106" s="700"/>
      <c r="R106" s="700"/>
      <c r="S106" s="700"/>
      <c r="T106" s="700"/>
      <c r="U106" s="700"/>
      <c r="V106" s="700"/>
      <c r="W106" s="700"/>
      <c r="X106" s="700"/>
      <c r="Y106" s="700"/>
      <c r="Z106" s="700"/>
      <c r="AA106" s="700"/>
      <c r="AB106" s="700"/>
      <c r="AC106" s="700"/>
      <c r="AD106" s="700"/>
      <c r="AE106" s="700"/>
      <c r="AF106" s="700"/>
      <c r="AG106" s="700"/>
      <c r="AH106" s="700"/>
      <c r="AI106" s="700"/>
      <c r="AJ106" s="700"/>
      <c r="AK106" s="700"/>
      <c r="AL106" s="700"/>
      <c r="AM106" s="700"/>
      <c r="AN106" s="700"/>
      <c r="AO106" s="700"/>
      <c r="AP106" s="700"/>
      <c r="AQ106" s="700"/>
      <c r="AR106" s="700"/>
      <c r="AS106" s="700"/>
      <c r="AT106" s="700"/>
      <c r="AU106" s="700"/>
      <c r="AV106" s="700"/>
      <c r="AW106" s="700"/>
      <c r="AX106" s="700"/>
      <c r="AY106" s="700"/>
      <c r="AZ106" s="700"/>
      <c r="BA106" s="700"/>
      <c r="BB106" s="700"/>
      <c r="BC106" s="700"/>
      <c r="BD106" s="700"/>
      <c r="BE106" s="700"/>
      <c r="BF106" s="700"/>
      <c r="BG106" s="700"/>
      <c r="BH106" s="700"/>
      <c r="BI106" s="700"/>
      <c r="BJ106" s="700"/>
      <c r="BK106" s="700"/>
      <c r="BL106" s="700"/>
      <c r="BM106" s="700"/>
      <c r="BN106" s="700"/>
      <c r="BO106" s="700"/>
      <c r="BP106" s="700"/>
      <c r="BQ106" s="700"/>
      <c r="BR106" s="700"/>
      <c r="BS106" s="700"/>
      <c r="BT106" s="700"/>
      <c r="BU106" s="700"/>
      <c r="BV106" s="700"/>
      <c r="BW106" s="700"/>
      <c r="BX106" s="700"/>
      <c r="BY106" s="700"/>
      <c r="BZ106" s="700"/>
      <c r="CA106" s="700"/>
      <c r="CB106" s="700"/>
      <c r="CC106" s="700"/>
      <c r="CD106" s="700"/>
      <c r="CE106" s="700"/>
      <c r="CF106" s="700"/>
      <c r="CG106" s="700"/>
      <c r="CH106" s="700"/>
      <c r="CI106" s="700"/>
      <c r="CJ106" s="700"/>
      <c r="CK106" s="700"/>
      <c r="CL106" s="700"/>
      <c r="CM106" s="700"/>
      <c r="CN106" s="700"/>
      <c r="CO106" s="700"/>
      <c r="CP106" s="700"/>
      <c r="CQ106" s="700"/>
      <c r="CR106" s="700"/>
      <c r="CS106" s="700"/>
      <c r="CT106" s="700"/>
      <c r="CU106" s="700"/>
      <c r="CV106" s="700"/>
      <c r="CW106" s="700"/>
      <c r="CX106" s="700"/>
      <c r="CY106" s="700"/>
      <c r="CZ106" s="700"/>
      <c r="DA106" s="700"/>
      <c r="DB106" s="700"/>
      <c r="DC106" s="700"/>
      <c r="DD106" s="700"/>
      <c r="DE106" s="700"/>
      <c r="DF106" s="700"/>
      <c r="DG106" s="700"/>
      <c r="DH106" s="700"/>
      <c r="DI106" s="700"/>
      <c r="DJ106" s="700"/>
      <c r="DK106" s="700"/>
      <c r="DL106" s="700"/>
      <c r="DM106" s="700"/>
      <c r="DN106" s="700"/>
      <c r="DO106" s="700"/>
      <c r="DP106" s="700"/>
      <c r="DQ106" s="700"/>
      <c r="DR106" s="700"/>
      <c r="DS106" s="700"/>
      <c r="DT106" s="700"/>
      <c r="DU106" s="700"/>
      <c r="DV106" s="700"/>
      <c r="DW106" s="700"/>
      <c r="DX106" s="700"/>
      <c r="DY106" s="700"/>
      <c r="DZ106" s="700"/>
      <c r="EA106" s="700"/>
      <c r="EB106" s="700"/>
      <c r="EC106" s="700"/>
      <c r="ED106" s="700"/>
      <c r="EE106" s="700"/>
      <c r="EF106" s="700"/>
      <c r="EG106" s="700"/>
    </row>
    <row r="107" spans="1:137" x14ac:dyDescent="0.3">
      <c r="A107" t="s">
        <v>2478</v>
      </c>
      <c r="E107" s="108">
        <f t="shared" ref="E107:BP107" si="163">D113</f>
        <v>0</v>
      </c>
      <c r="F107" s="227">
        <f t="shared" ca="1" si="163"/>
        <v>0</v>
      </c>
      <c r="G107" s="227">
        <f t="shared" ca="1" si="163"/>
        <v>0</v>
      </c>
      <c r="H107" s="227">
        <f t="shared" ca="1" si="163"/>
        <v>0</v>
      </c>
      <c r="I107" s="227">
        <f t="shared" ca="1" si="163"/>
        <v>0</v>
      </c>
      <c r="J107" s="227">
        <f t="shared" ca="1" si="163"/>
        <v>0</v>
      </c>
      <c r="K107" s="227">
        <f t="shared" ca="1" si="163"/>
        <v>0</v>
      </c>
      <c r="L107" s="227">
        <f t="shared" ca="1" si="163"/>
        <v>0</v>
      </c>
      <c r="M107" s="227">
        <f t="shared" ca="1" si="163"/>
        <v>0</v>
      </c>
      <c r="N107" s="227">
        <f t="shared" ca="1" si="163"/>
        <v>0</v>
      </c>
      <c r="O107" s="227">
        <f t="shared" ca="1" si="163"/>
        <v>0</v>
      </c>
      <c r="P107" s="227">
        <f t="shared" ca="1" si="163"/>
        <v>0</v>
      </c>
      <c r="Q107" s="227">
        <f t="shared" ca="1" si="163"/>
        <v>0</v>
      </c>
      <c r="R107" s="227">
        <f t="shared" ca="1" si="163"/>
        <v>0</v>
      </c>
      <c r="S107" s="227">
        <f t="shared" ca="1" si="163"/>
        <v>0</v>
      </c>
      <c r="T107" s="227">
        <f t="shared" ca="1" si="163"/>
        <v>0</v>
      </c>
      <c r="U107" s="227">
        <f t="shared" ca="1" si="163"/>
        <v>0</v>
      </c>
      <c r="V107" s="227">
        <f t="shared" ca="1" si="163"/>
        <v>0</v>
      </c>
      <c r="W107" s="227">
        <f t="shared" ca="1" si="163"/>
        <v>0</v>
      </c>
      <c r="X107" s="227">
        <f t="shared" ca="1" si="163"/>
        <v>0</v>
      </c>
      <c r="Y107" s="227">
        <f t="shared" ca="1" si="163"/>
        <v>0</v>
      </c>
      <c r="Z107" s="227">
        <f t="shared" ca="1" si="163"/>
        <v>0</v>
      </c>
      <c r="AA107" s="227">
        <f t="shared" ca="1" si="163"/>
        <v>0</v>
      </c>
      <c r="AB107" s="227">
        <f t="shared" ca="1" si="163"/>
        <v>0</v>
      </c>
      <c r="AC107" s="227">
        <f t="shared" ca="1" si="163"/>
        <v>0</v>
      </c>
      <c r="AD107" s="227">
        <f t="shared" ca="1" si="163"/>
        <v>0</v>
      </c>
      <c r="AE107" s="227">
        <f t="shared" ca="1" si="163"/>
        <v>0</v>
      </c>
      <c r="AF107" s="227">
        <f t="shared" ca="1" si="163"/>
        <v>0</v>
      </c>
      <c r="AG107" s="227">
        <f t="shared" ca="1" si="163"/>
        <v>0</v>
      </c>
      <c r="AH107" s="227">
        <f t="shared" ca="1" si="163"/>
        <v>0</v>
      </c>
      <c r="AI107" s="227">
        <f t="shared" ca="1" si="163"/>
        <v>0</v>
      </c>
      <c r="AJ107" s="227">
        <f t="shared" ca="1" si="163"/>
        <v>0</v>
      </c>
      <c r="AK107" s="227">
        <f t="shared" ca="1" si="163"/>
        <v>0</v>
      </c>
      <c r="AL107" s="227">
        <f t="shared" ca="1" si="163"/>
        <v>0</v>
      </c>
      <c r="AM107" s="227">
        <f t="shared" ca="1" si="163"/>
        <v>0</v>
      </c>
      <c r="AN107" s="227">
        <f t="shared" ca="1" si="163"/>
        <v>0</v>
      </c>
      <c r="AO107" s="227">
        <f t="shared" ca="1" si="163"/>
        <v>0</v>
      </c>
      <c r="AP107" s="227">
        <f t="shared" ca="1" si="163"/>
        <v>0</v>
      </c>
      <c r="AQ107" s="227">
        <f t="shared" ca="1" si="163"/>
        <v>0</v>
      </c>
      <c r="AR107" s="227">
        <f t="shared" ca="1" si="163"/>
        <v>0</v>
      </c>
      <c r="AS107" s="227">
        <f t="shared" ca="1" si="163"/>
        <v>0</v>
      </c>
      <c r="AT107" s="227">
        <f t="shared" ca="1" si="163"/>
        <v>0</v>
      </c>
      <c r="AU107" s="227">
        <f t="shared" ca="1" si="163"/>
        <v>0</v>
      </c>
      <c r="AV107" s="227">
        <f t="shared" ca="1" si="163"/>
        <v>0</v>
      </c>
      <c r="AW107" s="227">
        <f t="shared" ca="1" si="163"/>
        <v>0</v>
      </c>
      <c r="AX107" s="227">
        <f t="shared" ca="1" si="163"/>
        <v>0</v>
      </c>
      <c r="AY107" s="227">
        <f t="shared" ca="1" si="163"/>
        <v>0</v>
      </c>
      <c r="AZ107" s="227">
        <f t="shared" ca="1" si="163"/>
        <v>0</v>
      </c>
      <c r="BA107" s="227">
        <f t="shared" ca="1" si="163"/>
        <v>0</v>
      </c>
      <c r="BB107" s="227">
        <f t="shared" ca="1" si="163"/>
        <v>0</v>
      </c>
      <c r="BC107" s="227">
        <f t="shared" ca="1" si="163"/>
        <v>0</v>
      </c>
      <c r="BD107" s="227">
        <f t="shared" ca="1" si="163"/>
        <v>0</v>
      </c>
      <c r="BE107" s="227">
        <f t="shared" ca="1" si="163"/>
        <v>0</v>
      </c>
      <c r="BF107" s="227">
        <f t="shared" ca="1" si="163"/>
        <v>0</v>
      </c>
      <c r="BG107" s="227">
        <f t="shared" ca="1" si="163"/>
        <v>0</v>
      </c>
      <c r="BH107" s="227">
        <f t="shared" ca="1" si="163"/>
        <v>0</v>
      </c>
      <c r="BI107" s="227">
        <f t="shared" ca="1" si="163"/>
        <v>0</v>
      </c>
      <c r="BJ107" s="227">
        <f t="shared" ca="1" si="163"/>
        <v>0</v>
      </c>
      <c r="BK107" s="227">
        <f t="shared" ca="1" si="163"/>
        <v>0</v>
      </c>
      <c r="BL107" s="227">
        <f t="shared" ca="1" si="163"/>
        <v>0</v>
      </c>
      <c r="BM107" s="227">
        <f t="shared" ca="1" si="163"/>
        <v>0</v>
      </c>
      <c r="BN107" s="227">
        <f t="shared" ca="1" si="163"/>
        <v>0</v>
      </c>
      <c r="BO107" s="227">
        <f t="shared" ca="1" si="163"/>
        <v>0</v>
      </c>
      <c r="BP107" s="227">
        <f t="shared" ca="1" si="163"/>
        <v>0</v>
      </c>
      <c r="BQ107" s="227">
        <f t="shared" ref="BQ107:EB107" ca="1" si="164">BP113</f>
        <v>0</v>
      </c>
      <c r="BR107" s="227">
        <f t="shared" ca="1" si="164"/>
        <v>0</v>
      </c>
      <c r="BS107" s="227">
        <f t="shared" ca="1" si="164"/>
        <v>0</v>
      </c>
      <c r="BT107" s="227">
        <f t="shared" ca="1" si="164"/>
        <v>0</v>
      </c>
      <c r="BU107" s="227">
        <f t="shared" ca="1" si="164"/>
        <v>0</v>
      </c>
      <c r="BV107" s="227">
        <f t="shared" ca="1" si="164"/>
        <v>0</v>
      </c>
      <c r="BW107" s="227">
        <f t="shared" ca="1" si="164"/>
        <v>0</v>
      </c>
      <c r="BX107" s="227">
        <f t="shared" ca="1" si="164"/>
        <v>0</v>
      </c>
      <c r="BY107" s="227">
        <f t="shared" ca="1" si="164"/>
        <v>0</v>
      </c>
      <c r="BZ107" s="227">
        <f t="shared" ca="1" si="164"/>
        <v>0</v>
      </c>
      <c r="CA107" s="227">
        <f t="shared" ca="1" si="164"/>
        <v>0</v>
      </c>
      <c r="CB107" s="227">
        <f t="shared" ca="1" si="164"/>
        <v>0</v>
      </c>
      <c r="CC107" s="227">
        <f t="shared" ca="1" si="164"/>
        <v>0</v>
      </c>
      <c r="CD107" s="227">
        <f t="shared" ca="1" si="164"/>
        <v>0</v>
      </c>
      <c r="CE107" s="227">
        <f t="shared" ca="1" si="164"/>
        <v>0</v>
      </c>
      <c r="CF107" s="227">
        <f t="shared" ca="1" si="164"/>
        <v>0</v>
      </c>
      <c r="CG107" s="227">
        <f t="shared" ca="1" si="164"/>
        <v>0</v>
      </c>
      <c r="CH107" s="227">
        <f t="shared" ca="1" si="164"/>
        <v>0</v>
      </c>
      <c r="CI107" s="227">
        <f t="shared" ca="1" si="164"/>
        <v>0</v>
      </c>
      <c r="CJ107" s="227">
        <f t="shared" ca="1" si="164"/>
        <v>0</v>
      </c>
      <c r="CK107" s="227">
        <f t="shared" ca="1" si="164"/>
        <v>0</v>
      </c>
      <c r="CL107" s="227">
        <f t="shared" ca="1" si="164"/>
        <v>0</v>
      </c>
      <c r="CM107" s="227">
        <f t="shared" ca="1" si="164"/>
        <v>0</v>
      </c>
      <c r="CN107" s="227">
        <f t="shared" ca="1" si="164"/>
        <v>0</v>
      </c>
      <c r="CO107" s="227">
        <f t="shared" ca="1" si="164"/>
        <v>0</v>
      </c>
      <c r="CP107" s="227">
        <f t="shared" ca="1" si="164"/>
        <v>0</v>
      </c>
      <c r="CQ107" s="227">
        <f t="shared" ca="1" si="164"/>
        <v>0</v>
      </c>
      <c r="CR107" s="227">
        <f t="shared" ca="1" si="164"/>
        <v>0</v>
      </c>
      <c r="CS107" s="227">
        <f t="shared" ca="1" si="164"/>
        <v>0</v>
      </c>
      <c r="CT107" s="227">
        <f t="shared" ca="1" si="164"/>
        <v>0</v>
      </c>
      <c r="CU107" s="227">
        <f t="shared" ca="1" si="164"/>
        <v>0</v>
      </c>
      <c r="CV107" s="227">
        <f t="shared" ca="1" si="164"/>
        <v>0</v>
      </c>
      <c r="CW107" s="227">
        <f t="shared" ca="1" si="164"/>
        <v>0</v>
      </c>
      <c r="CX107" s="227">
        <f t="shared" ca="1" si="164"/>
        <v>0</v>
      </c>
      <c r="CY107" s="227">
        <f t="shared" ca="1" si="164"/>
        <v>0</v>
      </c>
      <c r="CZ107" s="227">
        <f t="shared" ca="1" si="164"/>
        <v>0</v>
      </c>
      <c r="DA107" s="227">
        <f t="shared" ca="1" si="164"/>
        <v>0</v>
      </c>
      <c r="DB107" s="227">
        <f t="shared" ca="1" si="164"/>
        <v>0</v>
      </c>
      <c r="DC107" s="227">
        <f t="shared" ca="1" si="164"/>
        <v>0</v>
      </c>
      <c r="DD107" s="227">
        <f t="shared" ca="1" si="164"/>
        <v>0</v>
      </c>
      <c r="DE107" s="227">
        <f t="shared" ca="1" si="164"/>
        <v>0</v>
      </c>
      <c r="DF107" s="227">
        <f t="shared" ca="1" si="164"/>
        <v>0</v>
      </c>
      <c r="DG107" s="227">
        <f t="shared" ca="1" si="164"/>
        <v>0</v>
      </c>
      <c r="DH107" s="227">
        <f t="shared" ca="1" si="164"/>
        <v>0</v>
      </c>
      <c r="DI107" s="227">
        <f t="shared" ca="1" si="164"/>
        <v>0</v>
      </c>
      <c r="DJ107" s="227">
        <f t="shared" ca="1" si="164"/>
        <v>0</v>
      </c>
      <c r="DK107" s="227">
        <f t="shared" ca="1" si="164"/>
        <v>0</v>
      </c>
      <c r="DL107" s="227">
        <f t="shared" ca="1" si="164"/>
        <v>0</v>
      </c>
      <c r="DM107" s="227">
        <f t="shared" ca="1" si="164"/>
        <v>0</v>
      </c>
      <c r="DN107" s="227">
        <f t="shared" ca="1" si="164"/>
        <v>0</v>
      </c>
      <c r="DO107" s="227">
        <f t="shared" ca="1" si="164"/>
        <v>0</v>
      </c>
      <c r="DP107" s="227">
        <f t="shared" ca="1" si="164"/>
        <v>0</v>
      </c>
      <c r="DQ107" s="227">
        <f t="shared" ca="1" si="164"/>
        <v>0</v>
      </c>
      <c r="DR107" s="227">
        <f t="shared" ca="1" si="164"/>
        <v>0</v>
      </c>
      <c r="DS107" s="227">
        <f t="shared" ca="1" si="164"/>
        <v>0</v>
      </c>
      <c r="DT107" s="227">
        <f t="shared" ca="1" si="164"/>
        <v>0</v>
      </c>
      <c r="DU107" s="227">
        <f t="shared" ca="1" si="164"/>
        <v>0</v>
      </c>
      <c r="DV107" s="227">
        <f t="shared" ca="1" si="164"/>
        <v>0</v>
      </c>
      <c r="DW107" s="227">
        <f t="shared" ca="1" si="164"/>
        <v>0</v>
      </c>
      <c r="DX107" s="227">
        <f t="shared" ca="1" si="164"/>
        <v>0</v>
      </c>
      <c r="DY107" s="227">
        <f t="shared" ca="1" si="164"/>
        <v>0</v>
      </c>
      <c r="DZ107" s="227">
        <f t="shared" ca="1" si="164"/>
        <v>0</v>
      </c>
      <c r="EA107" s="227">
        <f t="shared" ca="1" si="164"/>
        <v>0</v>
      </c>
      <c r="EB107" s="227">
        <f t="shared" ca="1" si="164"/>
        <v>0</v>
      </c>
      <c r="EC107" s="227">
        <f t="shared" ref="EC107:EG107" ca="1" si="165">EB113</f>
        <v>0</v>
      </c>
      <c r="ED107" s="227">
        <f t="shared" ca="1" si="165"/>
        <v>0</v>
      </c>
      <c r="EE107" s="227">
        <f t="shared" ca="1" si="165"/>
        <v>0</v>
      </c>
      <c r="EF107" s="227">
        <f t="shared" ca="1" si="165"/>
        <v>0</v>
      </c>
      <c r="EG107" s="227">
        <f t="shared" ca="1" si="165"/>
        <v>0</v>
      </c>
    </row>
    <row r="108" spans="1:137" x14ac:dyDescent="0.3">
      <c r="A108" s="241" t="s">
        <v>155</v>
      </c>
      <c r="B108" s="241"/>
      <c r="C108" s="241"/>
      <c r="D108" s="687"/>
      <c r="E108" s="242">
        <f t="shared" ref="E108:BP108" si="166">E97</f>
        <v>0</v>
      </c>
      <c r="F108" s="242">
        <f t="shared" ca="1" si="166"/>
        <v>0</v>
      </c>
      <c r="G108" s="242">
        <f t="shared" ca="1" si="166"/>
        <v>0</v>
      </c>
      <c r="H108" s="242">
        <f t="shared" ca="1" si="166"/>
        <v>0</v>
      </c>
      <c r="I108" s="242">
        <f t="shared" ca="1" si="166"/>
        <v>0</v>
      </c>
      <c r="J108" s="242">
        <f t="shared" ca="1" si="166"/>
        <v>0</v>
      </c>
      <c r="K108" s="242">
        <f t="shared" ca="1" si="166"/>
        <v>0</v>
      </c>
      <c r="L108" s="242">
        <f t="shared" ca="1" si="166"/>
        <v>0</v>
      </c>
      <c r="M108" s="242">
        <f t="shared" ca="1" si="166"/>
        <v>0</v>
      </c>
      <c r="N108" s="242">
        <f t="shared" ca="1" si="166"/>
        <v>0</v>
      </c>
      <c r="O108" s="242">
        <f t="shared" ca="1" si="166"/>
        <v>0</v>
      </c>
      <c r="P108" s="242">
        <f t="shared" ca="1" si="166"/>
        <v>0</v>
      </c>
      <c r="Q108" s="242">
        <f t="shared" ca="1" si="166"/>
        <v>0</v>
      </c>
      <c r="R108" s="242">
        <f t="shared" ca="1" si="166"/>
        <v>0</v>
      </c>
      <c r="S108" s="242">
        <f t="shared" ca="1" si="166"/>
        <v>0</v>
      </c>
      <c r="T108" s="242">
        <f t="shared" ca="1" si="166"/>
        <v>0</v>
      </c>
      <c r="U108" s="242">
        <f t="shared" ca="1" si="166"/>
        <v>0</v>
      </c>
      <c r="V108" s="242">
        <f t="shared" ca="1" si="166"/>
        <v>0</v>
      </c>
      <c r="W108" s="242">
        <f t="shared" ca="1" si="166"/>
        <v>0</v>
      </c>
      <c r="X108" s="242">
        <f t="shared" ca="1" si="166"/>
        <v>0</v>
      </c>
      <c r="Y108" s="242">
        <f t="shared" ca="1" si="166"/>
        <v>0</v>
      </c>
      <c r="Z108" s="242">
        <f t="shared" ca="1" si="166"/>
        <v>0</v>
      </c>
      <c r="AA108" s="242">
        <f t="shared" ca="1" si="166"/>
        <v>0</v>
      </c>
      <c r="AB108" s="242">
        <f t="shared" ca="1" si="166"/>
        <v>0</v>
      </c>
      <c r="AC108" s="242">
        <f t="shared" ca="1" si="166"/>
        <v>0</v>
      </c>
      <c r="AD108" s="242">
        <f t="shared" ca="1" si="166"/>
        <v>0</v>
      </c>
      <c r="AE108" s="242">
        <f t="shared" ca="1" si="166"/>
        <v>0</v>
      </c>
      <c r="AF108" s="242">
        <f t="shared" ca="1" si="166"/>
        <v>0</v>
      </c>
      <c r="AG108" s="242">
        <f t="shared" ca="1" si="166"/>
        <v>0</v>
      </c>
      <c r="AH108" s="242">
        <f t="shared" ca="1" si="166"/>
        <v>0</v>
      </c>
      <c r="AI108" s="242">
        <f t="shared" ca="1" si="166"/>
        <v>0</v>
      </c>
      <c r="AJ108" s="242">
        <f t="shared" ca="1" si="166"/>
        <v>0</v>
      </c>
      <c r="AK108" s="242">
        <f t="shared" ca="1" si="166"/>
        <v>0</v>
      </c>
      <c r="AL108" s="242">
        <f t="shared" ca="1" si="166"/>
        <v>0</v>
      </c>
      <c r="AM108" s="242">
        <f t="shared" ca="1" si="166"/>
        <v>0</v>
      </c>
      <c r="AN108" s="242">
        <f t="shared" ca="1" si="166"/>
        <v>0</v>
      </c>
      <c r="AO108" s="242">
        <f t="shared" ca="1" si="166"/>
        <v>0</v>
      </c>
      <c r="AP108" s="242">
        <f t="shared" ca="1" si="166"/>
        <v>0</v>
      </c>
      <c r="AQ108" s="242">
        <f t="shared" ca="1" si="166"/>
        <v>0</v>
      </c>
      <c r="AR108" s="242">
        <f t="shared" ca="1" si="166"/>
        <v>0</v>
      </c>
      <c r="AS108" s="242">
        <f t="shared" ca="1" si="166"/>
        <v>0</v>
      </c>
      <c r="AT108" s="242">
        <f t="shared" ca="1" si="166"/>
        <v>0</v>
      </c>
      <c r="AU108" s="242">
        <f t="shared" ca="1" si="166"/>
        <v>0</v>
      </c>
      <c r="AV108" s="242">
        <f t="shared" ca="1" si="166"/>
        <v>0</v>
      </c>
      <c r="AW108" s="242">
        <f t="shared" ca="1" si="166"/>
        <v>0</v>
      </c>
      <c r="AX108" s="242">
        <f t="shared" ca="1" si="166"/>
        <v>0</v>
      </c>
      <c r="AY108" s="242">
        <f t="shared" ca="1" si="166"/>
        <v>0</v>
      </c>
      <c r="AZ108" s="242">
        <f t="shared" ca="1" si="166"/>
        <v>0</v>
      </c>
      <c r="BA108" s="242">
        <f t="shared" ca="1" si="166"/>
        <v>0</v>
      </c>
      <c r="BB108" s="242">
        <f t="shared" ca="1" si="166"/>
        <v>0</v>
      </c>
      <c r="BC108" s="242">
        <f t="shared" ca="1" si="166"/>
        <v>0</v>
      </c>
      <c r="BD108" s="242">
        <f t="shared" ca="1" si="166"/>
        <v>0</v>
      </c>
      <c r="BE108" s="242">
        <f t="shared" ca="1" si="166"/>
        <v>0</v>
      </c>
      <c r="BF108" s="242">
        <f t="shared" ca="1" si="166"/>
        <v>0</v>
      </c>
      <c r="BG108" s="242">
        <f t="shared" ca="1" si="166"/>
        <v>0</v>
      </c>
      <c r="BH108" s="242">
        <f t="shared" ca="1" si="166"/>
        <v>0</v>
      </c>
      <c r="BI108" s="242">
        <f t="shared" ca="1" si="166"/>
        <v>0</v>
      </c>
      <c r="BJ108" s="242">
        <f t="shared" ca="1" si="166"/>
        <v>0</v>
      </c>
      <c r="BK108" s="242">
        <f t="shared" ca="1" si="166"/>
        <v>0</v>
      </c>
      <c r="BL108" s="242">
        <f t="shared" ca="1" si="166"/>
        <v>0</v>
      </c>
      <c r="BM108" s="242">
        <f t="shared" ca="1" si="166"/>
        <v>0</v>
      </c>
      <c r="BN108" s="242">
        <f t="shared" ca="1" si="166"/>
        <v>0</v>
      </c>
      <c r="BO108" s="242">
        <f t="shared" ca="1" si="166"/>
        <v>0</v>
      </c>
      <c r="BP108" s="242">
        <f t="shared" ca="1" si="166"/>
        <v>0</v>
      </c>
      <c r="BQ108" s="242">
        <f t="shared" ref="BQ108:EB108" ca="1" si="167">BQ97</f>
        <v>0</v>
      </c>
      <c r="BR108" s="242">
        <f t="shared" ca="1" si="167"/>
        <v>0</v>
      </c>
      <c r="BS108" s="242">
        <f t="shared" ca="1" si="167"/>
        <v>0</v>
      </c>
      <c r="BT108" s="242">
        <f t="shared" ca="1" si="167"/>
        <v>0</v>
      </c>
      <c r="BU108" s="242">
        <f t="shared" ca="1" si="167"/>
        <v>0</v>
      </c>
      <c r="BV108" s="242">
        <f t="shared" ca="1" si="167"/>
        <v>0</v>
      </c>
      <c r="BW108" s="242">
        <f t="shared" ca="1" si="167"/>
        <v>0</v>
      </c>
      <c r="BX108" s="242">
        <f t="shared" ca="1" si="167"/>
        <v>0</v>
      </c>
      <c r="BY108" s="242">
        <f t="shared" ca="1" si="167"/>
        <v>0</v>
      </c>
      <c r="BZ108" s="242">
        <f t="shared" ca="1" si="167"/>
        <v>0</v>
      </c>
      <c r="CA108" s="242">
        <f t="shared" ca="1" si="167"/>
        <v>0</v>
      </c>
      <c r="CB108" s="242">
        <f t="shared" ca="1" si="167"/>
        <v>0</v>
      </c>
      <c r="CC108" s="242">
        <f t="shared" ca="1" si="167"/>
        <v>0</v>
      </c>
      <c r="CD108" s="242">
        <f t="shared" ca="1" si="167"/>
        <v>0</v>
      </c>
      <c r="CE108" s="242">
        <f t="shared" ca="1" si="167"/>
        <v>0</v>
      </c>
      <c r="CF108" s="242">
        <f t="shared" ca="1" si="167"/>
        <v>0</v>
      </c>
      <c r="CG108" s="242">
        <f t="shared" ca="1" si="167"/>
        <v>0</v>
      </c>
      <c r="CH108" s="242">
        <f t="shared" ca="1" si="167"/>
        <v>0</v>
      </c>
      <c r="CI108" s="242">
        <f t="shared" ca="1" si="167"/>
        <v>0</v>
      </c>
      <c r="CJ108" s="242">
        <f t="shared" ca="1" si="167"/>
        <v>0</v>
      </c>
      <c r="CK108" s="242">
        <f t="shared" ca="1" si="167"/>
        <v>0</v>
      </c>
      <c r="CL108" s="242">
        <f t="shared" ca="1" si="167"/>
        <v>0</v>
      </c>
      <c r="CM108" s="242">
        <f t="shared" ca="1" si="167"/>
        <v>0</v>
      </c>
      <c r="CN108" s="242">
        <f t="shared" ca="1" si="167"/>
        <v>0</v>
      </c>
      <c r="CO108" s="242">
        <f t="shared" ca="1" si="167"/>
        <v>0</v>
      </c>
      <c r="CP108" s="242">
        <f t="shared" ca="1" si="167"/>
        <v>0</v>
      </c>
      <c r="CQ108" s="242">
        <f t="shared" ca="1" si="167"/>
        <v>0</v>
      </c>
      <c r="CR108" s="242">
        <f t="shared" ca="1" si="167"/>
        <v>0</v>
      </c>
      <c r="CS108" s="242">
        <f t="shared" ca="1" si="167"/>
        <v>0</v>
      </c>
      <c r="CT108" s="242">
        <f t="shared" ca="1" si="167"/>
        <v>0</v>
      </c>
      <c r="CU108" s="242">
        <f t="shared" ca="1" si="167"/>
        <v>0</v>
      </c>
      <c r="CV108" s="242">
        <f t="shared" ca="1" si="167"/>
        <v>0</v>
      </c>
      <c r="CW108" s="242">
        <f t="shared" ca="1" si="167"/>
        <v>0</v>
      </c>
      <c r="CX108" s="242">
        <f t="shared" ca="1" si="167"/>
        <v>0</v>
      </c>
      <c r="CY108" s="242">
        <f t="shared" ca="1" si="167"/>
        <v>0</v>
      </c>
      <c r="CZ108" s="242">
        <f t="shared" ca="1" si="167"/>
        <v>0</v>
      </c>
      <c r="DA108" s="242">
        <f t="shared" ca="1" si="167"/>
        <v>0</v>
      </c>
      <c r="DB108" s="242">
        <f t="shared" ca="1" si="167"/>
        <v>0</v>
      </c>
      <c r="DC108" s="242">
        <f t="shared" ca="1" si="167"/>
        <v>0</v>
      </c>
      <c r="DD108" s="242">
        <f t="shared" ca="1" si="167"/>
        <v>0</v>
      </c>
      <c r="DE108" s="242">
        <f t="shared" ca="1" si="167"/>
        <v>0</v>
      </c>
      <c r="DF108" s="242">
        <f t="shared" ca="1" si="167"/>
        <v>0</v>
      </c>
      <c r="DG108" s="242">
        <f t="shared" ca="1" si="167"/>
        <v>0</v>
      </c>
      <c r="DH108" s="242">
        <f t="shared" ca="1" si="167"/>
        <v>0</v>
      </c>
      <c r="DI108" s="242">
        <f t="shared" ca="1" si="167"/>
        <v>0</v>
      </c>
      <c r="DJ108" s="242">
        <f t="shared" ca="1" si="167"/>
        <v>0</v>
      </c>
      <c r="DK108" s="242">
        <f t="shared" ca="1" si="167"/>
        <v>0</v>
      </c>
      <c r="DL108" s="242">
        <f t="shared" ca="1" si="167"/>
        <v>0</v>
      </c>
      <c r="DM108" s="242">
        <f t="shared" ca="1" si="167"/>
        <v>0</v>
      </c>
      <c r="DN108" s="242">
        <f t="shared" ca="1" si="167"/>
        <v>0</v>
      </c>
      <c r="DO108" s="242">
        <f t="shared" ca="1" si="167"/>
        <v>0</v>
      </c>
      <c r="DP108" s="242">
        <f t="shared" ca="1" si="167"/>
        <v>0</v>
      </c>
      <c r="DQ108" s="242">
        <f t="shared" ca="1" si="167"/>
        <v>0</v>
      </c>
      <c r="DR108" s="242">
        <f t="shared" ca="1" si="167"/>
        <v>0</v>
      </c>
      <c r="DS108" s="242">
        <f t="shared" ca="1" si="167"/>
        <v>0</v>
      </c>
      <c r="DT108" s="242">
        <f t="shared" ca="1" si="167"/>
        <v>0</v>
      </c>
      <c r="DU108" s="242">
        <f t="shared" ca="1" si="167"/>
        <v>0</v>
      </c>
      <c r="DV108" s="242">
        <f t="shared" ca="1" si="167"/>
        <v>0</v>
      </c>
      <c r="DW108" s="242">
        <f t="shared" ca="1" si="167"/>
        <v>0</v>
      </c>
      <c r="DX108" s="242">
        <f t="shared" ca="1" si="167"/>
        <v>0</v>
      </c>
      <c r="DY108" s="242">
        <f t="shared" ca="1" si="167"/>
        <v>0</v>
      </c>
      <c r="DZ108" s="242">
        <f t="shared" ca="1" si="167"/>
        <v>0</v>
      </c>
      <c r="EA108" s="242">
        <f t="shared" ca="1" si="167"/>
        <v>0</v>
      </c>
      <c r="EB108" s="242">
        <f t="shared" ca="1" si="167"/>
        <v>0</v>
      </c>
      <c r="EC108" s="242">
        <f t="shared" ref="EC108:EG108" ca="1" si="168">EC97</f>
        <v>0</v>
      </c>
      <c r="ED108" s="242">
        <f t="shared" ca="1" si="168"/>
        <v>0</v>
      </c>
      <c r="EE108" s="242">
        <f t="shared" ca="1" si="168"/>
        <v>0</v>
      </c>
      <c r="EF108" s="242">
        <f t="shared" ca="1" si="168"/>
        <v>0</v>
      </c>
      <c r="EG108" s="242">
        <f t="shared" ca="1" si="168"/>
        <v>0</v>
      </c>
    </row>
    <row r="109" spans="1:137" x14ac:dyDescent="0.3">
      <c r="A109" s="245" t="s">
        <v>843</v>
      </c>
      <c r="B109" s="245"/>
      <c r="C109" s="245"/>
      <c r="D109" s="726"/>
      <c r="E109" s="227">
        <f t="shared" ref="E109:BP109" si="169">SUM(E107:E108)</f>
        <v>0</v>
      </c>
      <c r="F109" s="227">
        <f t="shared" ca="1" si="169"/>
        <v>0</v>
      </c>
      <c r="G109" s="227">
        <f t="shared" ca="1" si="169"/>
        <v>0</v>
      </c>
      <c r="H109" s="227">
        <f t="shared" ca="1" si="169"/>
        <v>0</v>
      </c>
      <c r="I109" s="227">
        <f t="shared" ca="1" si="169"/>
        <v>0</v>
      </c>
      <c r="J109" s="227">
        <f t="shared" ca="1" si="169"/>
        <v>0</v>
      </c>
      <c r="K109" s="227">
        <f t="shared" ca="1" si="169"/>
        <v>0</v>
      </c>
      <c r="L109" s="227">
        <f t="shared" ca="1" si="169"/>
        <v>0</v>
      </c>
      <c r="M109" s="227">
        <f t="shared" ca="1" si="169"/>
        <v>0</v>
      </c>
      <c r="N109" s="227">
        <f t="shared" ca="1" si="169"/>
        <v>0</v>
      </c>
      <c r="O109" s="227">
        <f t="shared" ca="1" si="169"/>
        <v>0</v>
      </c>
      <c r="P109" s="227">
        <f t="shared" ca="1" si="169"/>
        <v>0</v>
      </c>
      <c r="Q109" s="227">
        <f t="shared" ca="1" si="169"/>
        <v>0</v>
      </c>
      <c r="R109" s="227">
        <f t="shared" ca="1" si="169"/>
        <v>0</v>
      </c>
      <c r="S109" s="227">
        <f t="shared" ca="1" si="169"/>
        <v>0</v>
      </c>
      <c r="T109" s="227">
        <f t="shared" ca="1" si="169"/>
        <v>0</v>
      </c>
      <c r="U109" s="227">
        <f t="shared" ca="1" si="169"/>
        <v>0</v>
      </c>
      <c r="V109" s="227">
        <f t="shared" ca="1" si="169"/>
        <v>0</v>
      </c>
      <c r="W109" s="227">
        <f t="shared" ca="1" si="169"/>
        <v>0</v>
      </c>
      <c r="X109" s="227">
        <f t="shared" ca="1" si="169"/>
        <v>0</v>
      </c>
      <c r="Y109" s="227">
        <f t="shared" ca="1" si="169"/>
        <v>0</v>
      </c>
      <c r="Z109" s="227">
        <f t="shared" ca="1" si="169"/>
        <v>0</v>
      </c>
      <c r="AA109" s="227">
        <f t="shared" ca="1" si="169"/>
        <v>0</v>
      </c>
      <c r="AB109" s="227">
        <f t="shared" ca="1" si="169"/>
        <v>0</v>
      </c>
      <c r="AC109" s="227">
        <f t="shared" ca="1" si="169"/>
        <v>0</v>
      </c>
      <c r="AD109" s="227">
        <f t="shared" ca="1" si="169"/>
        <v>0</v>
      </c>
      <c r="AE109" s="227">
        <f t="shared" ca="1" si="169"/>
        <v>0</v>
      </c>
      <c r="AF109" s="227">
        <f t="shared" ca="1" si="169"/>
        <v>0</v>
      </c>
      <c r="AG109" s="227">
        <f t="shared" ca="1" si="169"/>
        <v>0</v>
      </c>
      <c r="AH109" s="227">
        <f t="shared" ca="1" si="169"/>
        <v>0</v>
      </c>
      <c r="AI109" s="227">
        <f t="shared" ca="1" si="169"/>
        <v>0</v>
      </c>
      <c r="AJ109" s="227">
        <f t="shared" ca="1" si="169"/>
        <v>0</v>
      </c>
      <c r="AK109" s="227">
        <f t="shared" ca="1" si="169"/>
        <v>0</v>
      </c>
      <c r="AL109" s="227">
        <f t="shared" ca="1" si="169"/>
        <v>0</v>
      </c>
      <c r="AM109" s="227">
        <f t="shared" ca="1" si="169"/>
        <v>0</v>
      </c>
      <c r="AN109" s="227">
        <f t="shared" ca="1" si="169"/>
        <v>0</v>
      </c>
      <c r="AO109" s="227">
        <f t="shared" ca="1" si="169"/>
        <v>0</v>
      </c>
      <c r="AP109" s="227">
        <f t="shared" ca="1" si="169"/>
        <v>0</v>
      </c>
      <c r="AQ109" s="227">
        <f t="shared" ca="1" si="169"/>
        <v>0</v>
      </c>
      <c r="AR109" s="227">
        <f t="shared" ca="1" si="169"/>
        <v>0</v>
      </c>
      <c r="AS109" s="227">
        <f t="shared" ca="1" si="169"/>
        <v>0</v>
      </c>
      <c r="AT109" s="227">
        <f t="shared" ca="1" si="169"/>
        <v>0</v>
      </c>
      <c r="AU109" s="227">
        <f t="shared" ca="1" si="169"/>
        <v>0</v>
      </c>
      <c r="AV109" s="227">
        <f t="shared" ca="1" si="169"/>
        <v>0</v>
      </c>
      <c r="AW109" s="227">
        <f t="shared" ca="1" si="169"/>
        <v>0</v>
      </c>
      <c r="AX109" s="227">
        <f t="shared" ca="1" si="169"/>
        <v>0</v>
      </c>
      <c r="AY109" s="227">
        <f t="shared" ca="1" si="169"/>
        <v>0</v>
      </c>
      <c r="AZ109" s="227">
        <f t="shared" ca="1" si="169"/>
        <v>0</v>
      </c>
      <c r="BA109" s="227">
        <f t="shared" ca="1" si="169"/>
        <v>0</v>
      </c>
      <c r="BB109" s="227">
        <f t="shared" ca="1" si="169"/>
        <v>0</v>
      </c>
      <c r="BC109" s="227">
        <f t="shared" ca="1" si="169"/>
        <v>0</v>
      </c>
      <c r="BD109" s="227">
        <f t="shared" ca="1" si="169"/>
        <v>0</v>
      </c>
      <c r="BE109" s="227">
        <f t="shared" ca="1" si="169"/>
        <v>0</v>
      </c>
      <c r="BF109" s="227">
        <f t="shared" ca="1" si="169"/>
        <v>0</v>
      </c>
      <c r="BG109" s="227">
        <f t="shared" ca="1" si="169"/>
        <v>0</v>
      </c>
      <c r="BH109" s="227">
        <f t="shared" ca="1" si="169"/>
        <v>0</v>
      </c>
      <c r="BI109" s="227">
        <f t="shared" ca="1" si="169"/>
        <v>0</v>
      </c>
      <c r="BJ109" s="227">
        <f t="shared" ca="1" si="169"/>
        <v>0</v>
      </c>
      <c r="BK109" s="227">
        <f t="shared" ca="1" si="169"/>
        <v>0</v>
      </c>
      <c r="BL109" s="227">
        <f t="shared" ca="1" si="169"/>
        <v>0</v>
      </c>
      <c r="BM109" s="227">
        <f t="shared" ca="1" si="169"/>
        <v>0</v>
      </c>
      <c r="BN109" s="227">
        <f t="shared" ca="1" si="169"/>
        <v>0</v>
      </c>
      <c r="BO109" s="227">
        <f t="shared" ca="1" si="169"/>
        <v>0</v>
      </c>
      <c r="BP109" s="227">
        <f t="shared" ca="1" si="169"/>
        <v>0</v>
      </c>
      <c r="BQ109" s="227">
        <f t="shared" ref="BQ109:EB109" ca="1" si="170">SUM(BQ107:BQ108)</f>
        <v>0</v>
      </c>
      <c r="BR109" s="227">
        <f t="shared" ca="1" si="170"/>
        <v>0</v>
      </c>
      <c r="BS109" s="227">
        <f t="shared" ca="1" si="170"/>
        <v>0</v>
      </c>
      <c r="BT109" s="227">
        <f t="shared" ca="1" si="170"/>
        <v>0</v>
      </c>
      <c r="BU109" s="227">
        <f t="shared" ca="1" si="170"/>
        <v>0</v>
      </c>
      <c r="BV109" s="227">
        <f t="shared" ca="1" si="170"/>
        <v>0</v>
      </c>
      <c r="BW109" s="227">
        <f t="shared" ca="1" si="170"/>
        <v>0</v>
      </c>
      <c r="BX109" s="227">
        <f t="shared" ca="1" si="170"/>
        <v>0</v>
      </c>
      <c r="BY109" s="227">
        <f t="shared" ca="1" si="170"/>
        <v>0</v>
      </c>
      <c r="BZ109" s="227">
        <f t="shared" ca="1" si="170"/>
        <v>0</v>
      </c>
      <c r="CA109" s="227">
        <f t="shared" ca="1" si="170"/>
        <v>0</v>
      </c>
      <c r="CB109" s="227">
        <f t="shared" ca="1" si="170"/>
        <v>0</v>
      </c>
      <c r="CC109" s="227">
        <f t="shared" ca="1" si="170"/>
        <v>0</v>
      </c>
      <c r="CD109" s="227">
        <f t="shared" ca="1" si="170"/>
        <v>0</v>
      </c>
      <c r="CE109" s="227">
        <f t="shared" ca="1" si="170"/>
        <v>0</v>
      </c>
      <c r="CF109" s="227">
        <f t="shared" ca="1" si="170"/>
        <v>0</v>
      </c>
      <c r="CG109" s="227">
        <f t="shared" ca="1" si="170"/>
        <v>0</v>
      </c>
      <c r="CH109" s="227">
        <f t="shared" ca="1" si="170"/>
        <v>0</v>
      </c>
      <c r="CI109" s="227">
        <f t="shared" ca="1" si="170"/>
        <v>0</v>
      </c>
      <c r="CJ109" s="227">
        <f t="shared" ca="1" si="170"/>
        <v>0</v>
      </c>
      <c r="CK109" s="227">
        <f t="shared" ca="1" si="170"/>
        <v>0</v>
      </c>
      <c r="CL109" s="227">
        <f t="shared" ca="1" si="170"/>
        <v>0</v>
      </c>
      <c r="CM109" s="227">
        <f t="shared" ca="1" si="170"/>
        <v>0</v>
      </c>
      <c r="CN109" s="227">
        <f t="shared" ca="1" si="170"/>
        <v>0</v>
      </c>
      <c r="CO109" s="227">
        <f t="shared" ca="1" si="170"/>
        <v>0</v>
      </c>
      <c r="CP109" s="227">
        <f t="shared" ca="1" si="170"/>
        <v>0</v>
      </c>
      <c r="CQ109" s="227">
        <f t="shared" ca="1" si="170"/>
        <v>0</v>
      </c>
      <c r="CR109" s="227">
        <f t="shared" ca="1" si="170"/>
        <v>0</v>
      </c>
      <c r="CS109" s="227">
        <f t="shared" ca="1" si="170"/>
        <v>0</v>
      </c>
      <c r="CT109" s="227">
        <f t="shared" ca="1" si="170"/>
        <v>0</v>
      </c>
      <c r="CU109" s="227">
        <f t="shared" ca="1" si="170"/>
        <v>0</v>
      </c>
      <c r="CV109" s="227">
        <f t="shared" ca="1" si="170"/>
        <v>0</v>
      </c>
      <c r="CW109" s="227">
        <f t="shared" ca="1" si="170"/>
        <v>0</v>
      </c>
      <c r="CX109" s="227">
        <f t="shared" ca="1" si="170"/>
        <v>0</v>
      </c>
      <c r="CY109" s="227">
        <f t="shared" ca="1" si="170"/>
        <v>0</v>
      </c>
      <c r="CZ109" s="227">
        <f t="shared" ca="1" si="170"/>
        <v>0</v>
      </c>
      <c r="DA109" s="227">
        <f t="shared" ca="1" si="170"/>
        <v>0</v>
      </c>
      <c r="DB109" s="227">
        <f t="shared" ca="1" si="170"/>
        <v>0</v>
      </c>
      <c r="DC109" s="227">
        <f t="shared" ca="1" si="170"/>
        <v>0</v>
      </c>
      <c r="DD109" s="227">
        <f t="shared" ca="1" si="170"/>
        <v>0</v>
      </c>
      <c r="DE109" s="227">
        <f t="shared" ca="1" si="170"/>
        <v>0</v>
      </c>
      <c r="DF109" s="227">
        <f t="shared" ca="1" si="170"/>
        <v>0</v>
      </c>
      <c r="DG109" s="227">
        <f t="shared" ca="1" si="170"/>
        <v>0</v>
      </c>
      <c r="DH109" s="227">
        <f t="shared" ca="1" si="170"/>
        <v>0</v>
      </c>
      <c r="DI109" s="227">
        <f t="shared" ca="1" si="170"/>
        <v>0</v>
      </c>
      <c r="DJ109" s="227">
        <f t="shared" ca="1" si="170"/>
        <v>0</v>
      </c>
      <c r="DK109" s="227">
        <f t="shared" ca="1" si="170"/>
        <v>0</v>
      </c>
      <c r="DL109" s="227">
        <f t="shared" ca="1" si="170"/>
        <v>0</v>
      </c>
      <c r="DM109" s="227">
        <f t="shared" ca="1" si="170"/>
        <v>0</v>
      </c>
      <c r="DN109" s="227">
        <f t="shared" ca="1" si="170"/>
        <v>0</v>
      </c>
      <c r="DO109" s="227">
        <f t="shared" ca="1" si="170"/>
        <v>0</v>
      </c>
      <c r="DP109" s="227">
        <f t="shared" ca="1" si="170"/>
        <v>0</v>
      </c>
      <c r="DQ109" s="227">
        <f t="shared" ca="1" si="170"/>
        <v>0</v>
      </c>
      <c r="DR109" s="227">
        <f t="shared" ca="1" si="170"/>
        <v>0</v>
      </c>
      <c r="DS109" s="227">
        <f t="shared" ca="1" si="170"/>
        <v>0</v>
      </c>
      <c r="DT109" s="227">
        <f t="shared" ca="1" si="170"/>
        <v>0</v>
      </c>
      <c r="DU109" s="227">
        <f t="shared" ca="1" si="170"/>
        <v>0</v>
      </c>
      <c r="DV109" s="227">
        <f t="shared" ca="1" si="170"/>
        <v>0</v>
      </c>
      <c r="DW109" s="227">
        <f t="shared" ca="1" si="170"/>
        <v>0</v>
      </c>
      <c r="DX109" s="227">
        <f t="shared" ca="1" si="170"/>
        <v>0</v>
      </c>
      <c r="DY109" s="227">
        <f t="shared" ca="1" si="170"/>
        <v>0</v>
      </c>
      <c r="DZ109" s="227">
        <f t="shared" ca="1" si="170"/>
        <v>0</v>
      </c>
      <c r="EA109" s="227">
        <f t="shared" ca="1" si="170"/>
        <v>0</v>
      </c>
      <c r="EB109" s="227">
        <f t="shared" ca="1" si="170"/>
        <v>0</v>
      </c>
      <c r="EC109" s="227">
        <f t="shared" ref="EC109:EG109" ca="1" si="171">SUM(EC107:EC108)</f>
        <v>0</v>
      </c>
      <c r="ED109" s="227">
        <f t="shared" ca="1" si="171"/>
        <v>0</v>
      </c>
      <c r="EE109" s="227">
        <f t="shared" ca="1" si="171"/>
        <v>0</v>
      </c>
      <c r="EF109" s="227">
        <f t="shared" ca="1" si="171"/>
        <v>0</v>
      </c>
      <c r="EG109" s="227">
        <f t="shared" ca="1" si="171"/>
        <v>0</v>
      </c>
    </row>
    <row r="110" spans="1:137" x14ac:dyDescent="0.3">
      <c r="A110" s="241" t="s">
        <v>2475</v>
      </c>
      <c r="B110" s="241"/>
      <c r="C110" s="241"/>
      <c r="D110" s="687"/>
      <c r="E110" s="242">
        <f ca="1">IF('General Inputs'!$L$8=0,0,IF(E$163&gt;0,-MIN(ContrLand*E$163,E$109),0))</f>
        <v>0</v>
      </c>
      <c r="F110" s="242">
        <f ca="1">IF('General Inputs'!$L$8=0,0,IF(F$163&gt;0,-MIN(ContrLand*F$163,F$109),0))</f>
        <v>0</v>
      </c>
      <c r="G110" s="242">
        <f ca="1">IF('General Inputs'!$L$8=0,0,IF(G$163&gt;0,-MIN(ContrLand*G$163,G$109),0))</f>
        <v>0</v>
      </c>
      <c r="H110" s="242">
        <f ca="1">IF('General Inputs'!$L$8=0,0,IF(H$163&gt;0,-MIN(ContrLand*H$163,H$109),0))</f>
        <v>0</v>
      </c>
      <c r="I110" s="242">
        <f ca="1">IF('General Inputs'!$L$8=0,0,IF(I$163&gt;0,-MIN(ContrLand*I$163,I$109),0))</f>
        <v>0</v>
      </c>
      <c r="J110" s="242">
        <f ca="1">IF('General Inputs'!$L$8=0,0,IF(J$163&gt;0,-MIN(ContrLand*J$163,J$109),0))</f>
        <v>0</v>
      </c>
      <c r="K110" s="242">
        <f ca="1">IF('General Inputs'!$L$8=0,0,IF(K$163&gt;0,-MIN(ContrLand*K$163,K$109),0))</f>
        <v>0</v>
      </c>
      <c r="L110" s="242">
        <f ca="1">IF('General Inputs'!$L$8=0,0,IF(L$163&gt;0,-MIN(ContrLand*L$163,L$109),0))</f>
        <v>0</v>
      </c>
      <c r="M110" s="242">
        <f ca="1">IF('General Inputs'!$L$8=0,0,IF(M$163&gt;0,-MIN(ContrLand*M$163,M$109),0))</f>
        <v>0</v>
      </c>
      <c r="N110" s="242">
        <f ca="1">IF('General Inputs'!$L$8=0,0,IF(N$163&gt;0,-MIN(ContrLand*N$163,N$109),0))</f>
        <v>0</v>
      </c>
      <c r="O110" s="242">
        <f ca="1">IF('General Inputs'!$L$8=0,0,IF(O$163&gt;0,-MIN(ContrLand*O$163,O$109),0))</f>
        <v>0</v>
      </c>
      <c r="P110" s="242">
        <f ca="1">IF('General Inputs'!$L$8=0,0,IF(P$163&gt;0,-MIN(ContrLand*P$163,P$109),0))</f>
        <v>0</v>
      </c>
      <c r="Q110" s="242">
        <f ca="1">IF('General Inputs'!$L$8=0,0,IF(Q$163&gt;0,-MIN(ContrLand*Q$163,Q$109),0))</f>
        <v>0</v>
      </c>
      <c r="R110" s="242">
        <f ca="1">IF('General Inputs'!$L$8=0,0,IF(R$163&gt;0,-MIN(ContrLand*R$163,R$109),0))</f>
        <v>0</v>
      </c>
      <c r="S110" s="242">
        <f ca="1">IF('General Inputs'!$L$8=0,0,IF(S$163&gt;0,-MIN(ContrLand*S$163,S$109),0))</f>
        <v>0</v>
      </c>
      <c r="T110" s="242">
        <f ca="1">IF('General Inputs'!$L$8=0,0,IF(T$163&gt;0,-MIN(ContrLand*T$163,T$109),0))</f>
        <v>0</v>
      </c>
      <c r="U110" s="242">
        <f ca="1">IF('General Inputs'!$L$8=0,0,IF(U$163&gt;0,-MIN(ContrLand*U$163,U$109),0))</f>
        <v>0</v>
      </c>
      <c r="V110" s="242">
        <f ca="1">IF('General Inputs'!$L$8=0,0,IF(V$163&gt;0,-MIN(ContrLand*V$163,V$109),0))</f>
        <v>0</v>
      </c>
      <c r="W110" s="242">
        <f ca="1">IF('General Inputs'!$L$8=0,0,IF(W$163&gt;0,-MIN(ContrLand*W$163,W$109),0))</f>
        <v>0</v>
      </c>
      <c r="X110" s="242">
        <f ca="1">IF('General Inputs'!$L$8=0,0,IF(X$163&gt;0,-MIN(ContrLand*X$163,X$109),0))</f>
        <v>0</v>
      </c>
      <c r="Y110" s="242">
        <f ca="1">IF('General Inputs'!$L$8=0,0,IF(Y$163&gt;0,-MIN(ContrLand*Y$163,Y$109),0))</f>
        <v>0</v>
      </c>
      <c r="Z110" s="242">
        <f ca="1">IF('General Inputs'!$L$8=0,0,IF(Z$163&gt;0,-MIN(ContrLand*Z$163,Z$109),0))</f>
        <v>0</v>
      </c>
      <c r="AA110" s="242">
        <f ca="1">IF('General Inputs'!$L$8=0,0,IF(AA$163&gt;0,-MIN(ContrLand*AA$163,AA$109),0))</f>
        <v>0</v>
      </c>
      <c r="AB110" s="242">
        <f ca="1">IF('General Inputs'!$L$8=0,0,IF(AB$163&gt;0,-MIN(ContrLand*AB$163,AB$109),0))</f>
        <v>0</v>
      </c>
      <c r="AC110" s="242">
        <f ca="1">IF('General Inputs'!$L$8=0,0,IF(AC$163&gt;0,-MIN(ContrLand*AC$163,AC$109),0))</f>
        <v>0</v>
      </c>
      <c r="AD110" s="242">
        <f ca="1">IF('General Inputs'!$L$8=0,0,IF(AD$163&gt;0,-MIN(ContrLand*AD$163,AD$109),0))</f>
        <v>0</v>
      </c>
      <c r="AE110" s="242">
        <f ca="1">IF('General Inputs'!$L$8=0,0,IF(AE$163&gt;0,-MIN(ContrLand*AE$163,AE$109),0))</f>
        <v>0</v>
      </c>
      <c r="AF110" s="242">
        <f ca="1">IF('General Inputs'!$L$8=0,0,IF(AF$163&gt;0,-MIN(ContrLand*AF$163,AF$109),0))</f>
        <v>0</v>
      </c>
      <c r="AG110" s="242">
        <f ca="1">IF('General Inputs'!$L$8=0,0,IF(AG$163&gt;0,-MIN(ContrLand*AG$163,AG$109),0))</f>
        <v>0</v>
      </c>
      <c r="AH110" s="242">
        <f ca="1">IF('General Inputs'!$L$8=0,0,IF(AH$163&gt;0,-MIN(ContrLand*AH$163,AH$109),0))</f>
        <v>0</v>
      </c>
      <c r="AI110" s="242">
        <f ca="1">IF('General Inputs'!$L$8=0,0,IF(AI$163&gt;0,-MIN(ContrLand*AI$163,AI$109),0))</f>
        <v>0</v>
      </c>
      <c r="AJ110" s="242">
        <f ca="1">IF('General Inputs'!$L$8=0,0,IF(AJ$163&gt;0,-MIN(ContrLand*AJ$163,AJ$109),0))</f>
        <v>0</v>
      </c>
      <c r="AK110" s="242">
        <f ca="1">IF('General Inputs'!$L$8=0,0,IF(AK$163&gt;0,-MIN(ContrLand*AK$163,AK$109),0))</f>
        <v>0</v>
      </c>
      <c r="AL110" s="242">
        <f ca="1">IF('General Inputs'!$L$8=0,0,IF(AL$163&gt;0,-MIN(ContrLand*AL$163,AL$109),0))</f>
        <v>0</v>
      </c>
      <c r="AM110" s="242">
        <f ca="1">IF('General Inputs'!$L$8=0,0,IF(AM$163&gt;0,-MIN(ContrLand*AM$163,AM$109),0))</f>
        <v>0</v>
      </c>
      <c r="AN110" s="242">
        <f ca="1">IF('General Inputs'!$L$8=0,0,IF(AN$163&gt;0,-MIN(ContrLand*AN$163,AN$109),0))</f>
        <v>0</v>
      </c>
      <c r="AO110" s="242">
        <f ca="1">IF('General Inputs'!$L$8=0,0,IF(AO$163&gt;0,-MIN(ContrLand*AO$163,AO$109),0))</f>
        <v>0</v>
      </c>
      <c r="AP110" s="242">
        <f ca="1">IF('General Inputs'!$L$8=0,0,IF(AP$163&gt;0,-MIN(ContrLand*AP$163,AP$109),0))</f>
        <v>0</v>
      </c>
      <c r="AQ110" s="242">
        <f ca="1">IF('General Inputs'!$L$8=0,0,IF(AQ$163&gt;0,-MIN(ContrLand*AQ$163,AQ$109),0))</f>
        <v>0</v>
      </c>
      <c r="AR110" s="242">
        <f ca="1">IF('General Inputs'!$L$8=0,0,IF(AR$163&gt;0,-MIN(ContrLand*AR$163,AR$109),0))</f>
        <v>0</v>
      </c>
      <c r="AS110" s="242">
        <f ca="1">IF('General Inputs'!$L$8=0,0,IF(AS$163&gt;0,-MIN(ContrLand*AS$163,AS$109),0))</f>
        <v>0</v>
      </c>
      <c r="AT110" s="242">
        <f ca="1">IF('General Inputs'!$L$8=0,0,IF(AT$163&gt;0,-MIN(ContrLand*AT$163,AT$109),0))</f>
        <v>0</v>
      </c>
      <c r="AU110" s="242">
        <f ca="1">IF('General Inputs'!$L$8=0,0,IF(AU$163&gt;0,-MIN(ContrLand*AU$163,AU$109),0))</f>
        <v>0</v>
      </c>
      <c r="AV110" s="242">
        <f ca="1">IF('General Inputs'!$L$8=0,0,IF(AV$163&gt;0,-MIN(ContrLand*AV$163,AV$109),0))</f>
        <v>0</v>
      </c>
      <c r="AW110" s="242">
        <f ca="1">IF('General Inputs'!$L$8=0,0,IF(AW$163&gt;0,-MIN(ContrLand*AW$163,AW$109),0))</f>
        <v>0</v>
      </c>
      <c r="AX110" s="242">
        <f ca="1">IF('General Inputs'!$L$8=0,0,IF(AX$163&gt;0,-MIN(ContrLand*AX$163,AX$109),0))</f>
        <v>0</v>
      </c>
      <c r="AY110" s="242">
        <f ca="1">IF('General Inputs'!$L$8=0,0,IF(AY$163&gt;0,-MIN(ContrLand*AY$163,AY$109),0))</f>
        <v>0</v>
      </c>
      <c r="AZ110" s="242">
        <f ca="1">IF('General Inputs'!$L$8=0,0,IF(AZ$163&gt;0,-MIN(ContrLand*AZ$163,AZ$109),0))</f>
        <v>0</v>
      </c>
      <c r="BA110" s="242">
        <f ca="1">IF('General Inputs'!$L$8=0,0,IF(BA$163&gt;0,-MIN(ContrLand*BA$163,BA$109),0))</f>
        <v>0</v>
      </c>
      <c r="BB110" s="242">
        <f ca="1">IF('General Inputs'!$L$8=0,0,IF(BB$163&gt;0,-MIN(ContrLand*BB$163,BB$109),0))</f>
        <v>0</v>
      </c>
      <c r="BC110" s="242">
        <f ca="1">IF('General Inputs'!$L$8=0,0,IF(BC$163&gt;0,-MIN(ContrLand*BC$163,BC$109),0))</f>
        <v>0</v>
      </c>
      <c r="BD110" s="242">
        <f ca="1">IF('General Inputs'!$L$8=0,0,IF(BD$163&gt;0,-MIN(ContrLand*BD$163,BD$109),0))</f>
        <v>0</v>
      </c>
      <c r="BE110" s="242">
        <f ca="1">IF('General Inputs'!$L$8=0,0,IF(BE$163&gt;0,-MIN(ContrLand*BE$163,BE$109),0))</f>
        <v>0</v>
      </c>
      <c r="BF110" s="242">
        <f ca="1">IF('General Inputs'!$L$8=0,0,IF(BF$163&gt;0,-MIN(ContrLand*BF$163,BF$109),0))</f>
        <v>0</v>
      </c>
      <c r="BG110" s="242">
        <f ca="1">IF('General Inputs'!$L$8=0,0,IF(BG$163&gt;0,-MIN(ContrLand*BG$163,BG$109),0))</f>
        <v>0</v>
      </c>
      <c r="BH110" s="242">
        <f ca="1">IF('General Inputs'!$L$8=0,0,IF(BH$163&gt;0,-MIN(ContrLand*BH$163,BH$109),0))</f>
        <v>0</v>
      </c>
      <c r="BI110" s="242">
        <f ca="1">IF('General Inputs'!$L$8=0,0,IF(BI$163&gt;0,-MIN(ContrLand*BI$163,BI$109),0))</f>
        <v>0</v>
      </c>
      <c r="BJ110" s="242">
        <f ca="1">IF('General Inputs'!$L$8=0,0,IF(BJ$163&gt;0,-MIN(ContrLand*BJ$163,BJ$109),0))</f>
        <v>0</v>
      </c>
      <c r="BK110" s="242">
        <f ca="1">IF('General Inputs'!$L$8=0,0,IF(BK$163&gt;0,-MIN(ContrLand*BK$163,BK$109),0))</f>
        <v>0</v>
      </c>
      <c r="BL110" s="242">
        <f ca="1">IF('General Inputs'!$L$8=0,0,IF(BL$163&gt;0,-MIN(ContrLand*BL$163,BL$109),0))</f>
        <v>0</v>
      </c>
      <c r="BM110" s="242">
        <f ca="1">IF('General Inputs'!$L$8=0,0,IF(BM$163&gt;0,-MIN(ContrLand*BM$163,BM$109),0))</f>
        <v>0</v>
      </c>
      <c r="BN110" s="242">
        <f ca="1">IF('General Inputs'!$L$8=0,0,IF(BN$163&gt;0,-MIN(ContrLand*BN$163,BN$109),0))</f>
        <v>0</v>
      </c>
      <c r="BO110" s="242">
        <f ca="1">IF('General Inputs'!$L$8=0,0,IF(BO$163&gt;0,-MIN(ContrLand*BO$163,BO$109),0))</f>
        <v>0</v>
      </c>
      <c r="BP110" s="242">
        <f ca="1">IF('General Inputs'!$L$8=0,0,IF(BP$163&gt;0,-MIN(ContrLand*BP$163,BP$109),0))</f>
        <v>0</v>
      </c>
      <c r="BQ110" s="242">
        <f ca="1">IF('General Inputs'!$L$8=0,0,IF(BQ$163&gt;0,-MIN(ContrLand*BQ$163,BQ$109),0))</f>
        <v>0</v>
      </c>
      <c r="BR110" s="242">
        <f ca="1">IF('General Inputs'!$L$8=0,0,IF(BR$163&gt;0,-MIN(ContrLand*BR$163,BR$109),0))</f>
        <v>0</v>
      </c>
      <c r="BS110" s="242">
        <f ca="1">IF('General Inputs'!$L$8=0,0,IF(BS$163&gt;0,-MIN(ContrLand*BS$163,BS$109),0))</f>
        <v>0</v>
      </c>
      <c r="BT110" s="242">
        <f ca="1">IF('General Inputs'!$L$8=0,0,IF(BT$163&gt;0,-MIN(ContrLand*BT$163,BT$109),0))</f>
        <v>0</v>
      </c>
      <c r="BU110" s="242">
        <f ca="1">IF('General Inputs'!$L$8=0,0,IF(BU$163&gt;0,-MIN(ContrLand*BU$163,BU$109),0))</f>
        <v>0</v>
      </c>
      <c r="BV110" s="242">
        <f ca="1">IF('General Inputs'!$L$8=0,0,IF(BV$163&gt;0,-MIN(ContrLand*BV$163,BV$109),0))</f>
        <v>0</v>
      </c>
      <c r="BW110" s="242">
        <f ca="1">IF('General Inputs'!$L$8=0,0,IF(BW$163&gt;0,-MIN(ContrLand*BW$163,BW$109),0))</f>
        <v>0</v>
      </c>
      <c r="BX110" s="242">
        <f ca="1">IF('General Inputs'!$L$8=0,0,IF(BX$163&gt;0,-MIN(ContrLand*BX$163,BX$109),0))</f>
        <v>0</v>
      </c>
      <c r="BY110" s="242">
        <f ca="1">IF('General Inputs'!$L$8=0,0,IF(BY$163&gt;0,-MIN(ContrLand*BY$163,BY$109),0))</f>
        <v>0</v>
      </c>
      <c r="BZ110" s="242">
        <f ca="1">IF('General Inputs'!$L$8=0,0,IF(BZ$163&gt;0,-MIN(ContrLand*BZ$163,BZ$109),0))</f>
        <v>0</v>
      </c>
      <c r="CA110" s="242">
        <f ca="1">IF('General Inputs'!$L$8=0,0,IF(CA$163&gt;0,-MIN(ContrLand*CA$163,CA$109),0))</f>
        <v>0</v>
      </c>
      <c r="CB110" s="242">
        <f ca="1">IF('General Inputs'!$L$8=0,0,IF(CB$163&gt;0,-MIN(ContrLand*CB$163,CB$109),0))</f>
        <v>0</v>
      </c>
      <c r="CC110" s="242">
        <f ca="1">IF('General Inputs'!$L$8=0,0,IF(CC$163&gt;0,-MIN(ContrLand*CC$163,CC$109),0))</f>
        <v>0</v>
      </c>
      <c r="CD110" s="242">
        <f ca="1">IF('General Inputs'!$L$8=0,0,IF(CD$163&gt;0,-MIN(ContrLand*CD$163,CD$109),0))</f>
        <v>0</v>
      </c>
      <c r="CE110" s="242">
        <f ca="1">IF('General Inputs'!$L$8=0,0,IF(CE$163&gt;0,-MIN(ContrLand*CE$163,CE$109),0))</f>
        <v>0</v>
      </c>
      <c r="CF110" s="242">
        <f ca="1">IF('General Inputs'!$L$8=0,0,IF(CF$163&gt;0,-MIN(ContrLand*CF$163,CF$109),0))</f>
        <v>0</v>
      </c>
      <c r="CG110" s="242">
        <f ca="1">IF('General Inputs'!$L$8=0,0,IF(CG$163&gt;0,-MIN(ContrLand*CG$163,CG$109),0))</f>
        <v>0</v>
      </c>
      <c r="CH110" s="242">
        <f ca="1">IF('General Inputs'!$L$8=0,0,IF(CH$163&gt;0,-MIN(ContrLand*CH$163,CH$109),0))</f>
        <v>0</v>
      </c>
      <c r="CI110" s="242">
        <f ca="1">IF('General Inputs'!$L$8=0,0,IF(CI$163&gt;0,-MIN(ContrLand*CI$163,CI$109),0))</f>
        <v>0</v>
      </c>
      <c r="CJ110" s="242">
        <f ca="1">IF('General Inputs'!$L$8=0,0,IF(CJ$163&gt;0,-MIN(ContrLand*CJ$163,CJ$109),0))</f>
        <v>0</v>
      </c>
      <c r="CK110" s="242">
        <f ca="1">IF('General Inputs'!$L$8=0,0,IF(CK$163&gt;0,-MIN(ContrLand*CK$163,CK$109),0))</f>
        <v>0</v>
      </c>
      <c r="CL110" s="242">
        <f ca="1">IF('General Inputs'!$L$8=0,0,IF(CL$163&gt;0,-MIN(ContrLand*CL$163,CL$109),0))</f>
        <v>0</v>
      </c>
      <c r="CM110" s="242">
        <f ca="1">IF('General Inputs'!$L$8=0,0,IF(CM$163&gt;0,-MIN(ContrLand*CM$163,CM$109),0))</f>
        <v>0</v>
      </c>
      <c r="CN110" s="242">
        <f ca="1">IF('General Inputs'!$L$8=0,0,IF(CN$163&gt;0,-MIN(ContrLand*CN$163,CN$109),0))</f>
        <v>0</v>
      </c>
      <c r="CO110" s="242">
        <f ca="1">IF('General Inputs'!$L$8=0,0,IF(CO$163&gt;0,-MIN(ContrLand*CO$163,CO$109),0))</f>
        <v>0</v>
      </c>
      <c r="CP110" s="242">
        <f ca="1">IF('General Inputs'!$L$8=0,0,IF(CP$163&gt;0,-MIN(ContrLand*CP$163,CP$109),0))</f>
        <v>0</v>
      </c>
      <c r="CQ110" s="242">
        <f ca="1">IF('General Inputs'!$L$8=0,0,IF(CQ$163&gt;0,-MIN(ContrLand*CQ$163,CQ$109),0))</f>
        <v>0</v>
      </c>
      <c r="CR110" s="242">
        <f ca="1">IF('General Inputs'!$L$8=0,0,IF(CR$163&gt;0,-MIN(ContrLand*CR$163,CR$109),0))</f>
        <v>0</v>
      </c>
      <c r="CS110" s="242">
        <f ca="1">IF('General Inputs'!$L$8=0,0,IF(CS$163&gt;0,-MIN(ContrLand*CS$163,CS$109),0))</f>
        <v>0</v>
      </c>
      <c r="CT110" s="242">
        <f ca="1">IF('General Inputs'!$L$8=0,0,IF(CT$163&gt;0,-MIN(ContrLand*CT$163,CT$109),0))</f>
        <v>0</v>
      </c>
      <c r="CU110" s="242">
        <f ca="1">IF('General Inputs'!$L$8=0,0,IF(CU$163&gt;0,-MIN(ContrLand*CU$163,CU$109),0))</f>
        <v>0</v>
      </c>
      <c r="CV110" s="242">
        <f ca="1">IF('General Inputs'!$L$8=0,0,IF(CV$163&gt;0,-MIN(ContrLand*CV$163,CV$109),0))</f>
        <v>0</v>
      </c>
      <c r="CW110" s="242">
        <f ca="1">IF('General Inputs'!$L$8=0,0,IF(CW$163&gt;0,-MIN(ContrLand*CW$163,CW$109),0))</f>
        <v>0</v>
      </c>
      <c r="CX110" s="242">
        <f ca="1">IF('General Inputs'!$L$8=0,0,IF(CX$163&gt;0,-MIN(ContrLand*CX$163,CX$109),0))</f>
        <v>0</v>
      </c>
      <c r="CY110" s="242">
        <f ca="1">IF('General Inputs'!$L$8=0,0,IF(CY$163&gt;0,-MIN(ContrLand*CY$163,CY$109),0))</f>
        <v>0</v>
      </c>
      <c r="CZ110" s="242">
        <f ca="1">IF('General Inputs'!$L$8=0,0,IF(CZ$163&gt;0,-MIN(ContrLand*CZ$163,CZ$109),0))</f>
        <v>0</v>
      </c>
      <c r="DA110" s="242">
        <f ca="1">IF('General Inputs'!$L$8=0,0,IF(DA$163&gt;0,-MIN(ContrLand*DA$163,DA$109),0))</f>
        <v>0</v>
      </c>
      <c r="DB110" s="242">
        <f ca="1">IF('General Inputs'!$L$8=0,0,IF(DB$163&gt;0,-MIN(ContrLand*DB$163,DB$109),0))</f>
        <v>0</v>
      </c>
      <c r="DC110" s="242">
        <f ca="1">IF('General Inputs'!$L$8=0,0,IF(DC$163&gt;0,-MIN(ContrLand*DC$163,DC$109),0))</f>
        <v>0</v>
      </c>
      <c r="DD110" s="242">
        <f ca="1">IF('General Inputs'!$L$8=0,0,IF(DD$163&gt;0,-MIN(ContrLand*DD$163,DD$109),0))</f>
        <v>0</v>
      </c>
      <c r="DE110" s="242">
        <f ca="1">IF('General Inputs'!$L$8=0,0,IF(DE$163&gt;0,-MIN(ContrLand*DE$163,DE$109),0))</f>
        <v>0</v>
      </c>
      <c r="DF110" s="242">
        <f ca="1">IF('General Inputs'!$L$8=0,0,IF(DF$163&gt;0,-MIN(ContrLand*DF$163,DF$109),0))</f>
        <v>0</v>
      </c>
      <c r="DG110" s="242">
        <f ca="1">IF('General Inputs'!$L$8=0,0,IF(DG$163&gt;0,-MIN(ContrLand*DG$163,DG$109),0))</f>
        <v>0</v>
      </c>
      <c r="DH110" s="242">
        <f ca="1">IF('General Inputs'!$L$8=0,0,IF(DH$163&gt;0,-MIN(ContrLand*DH$163,DH$109),0))</f>
        <v>0</v>
      </c>
      <c r="DI110" s="242">
        <f ca="1">IF('General Inputs'!$L$8=0,0,IF(DI$163&gt;0,-MIN(ContrLand*DI$163,DI$109),0))</f>
        <v>0</v>
      </c>
      <c r="DJ110" s="242">
        <f ca="1">IF('General Inputs'!$L$8=0,0,IF(DJ$163&gt;0,-MIN(ContrLand*DJ$163,DJ$109),0))</f>
        <v>0</v>
      </c>
      <c r="DK110" s="242">
        <f ca="1">IF('General Inputs'!$L$8=0,0,IF(DK$163&gt;0,-MIN(ContrLand*DK$163,DK$109),0))</f>
        <v>0</v>
      </c>
      <c r="DL110" s="242">
        <f ca="1">IF('General Inputs'!$L$8=0,0,IF(DL$163&gt;0,-MIN(ContrLand*DL$163,DL$109),0))</f>
        <v>0</v>
      </c>
      <c r="DM110" s="242">
        <f ca="1">IF('General Inputs'!$L$8=0,0,IF(DM$163&gt;0,-MIN(ContrLand*DM$163,DM$109),0))</f>
        <v>0</v>
      </c>
      <c r="DN110" s="242">
        <f ca="1">IF('General Inputs'!$L$8=0,0,IF(DN$163&gt;0,-MIN(ContrLand*DN$163,DN$109),0))</f>
        <v>0</v>
      </c>
      <c r="DO110" s="242">
        <f ca="1">IF('General Inputs'!$L$8=0,0,IF(DO$163&gt;0,-MIN(ContrLand*DO$163,DO$109),0))</f>
        <v>0</v>
      </c>
      <c r="DP110" s="242">
        <f ca="1">IF('General Inputs'!$L$8=0,0,IF(DP$163&gt;0,-MIN(ContrLand*DP$163,DP$109),0))</f>
        <v>0</v>
      </c>
      <c r="DQ110" s="242">
        <f ca="1">IF('General Inputs'!$L$8=0,0,IF(DQ$163&gt;0,-MIN(ContrLand*DQ$163,DQ$109),0))</f>
        <v>0</v>
      </c>
      <c r="DR110" s="242">
        <f ca="1">IF('General Inputs'!$L$8=0,0,IF(DR$163&gt;0,-MIN(ContrLand*DR$163,DR$109),0))</f>
        <v>0</v>
      </c>
      <c r="DS110" s="242">
        <f ca="1">IF('General Inputs'!$L$8=0,0,IF(DS$163&gt;0,-MIN(ContrLand*DS$163,DS$109),0))</f>
        <v>0</v>
      </c>
      <c r="DT110" s="242">
        <f ca="1">IF('General Inputs'!$L$8=0,0,IF(DT$163&gt;0,-MIN(ContrLand*DT$163,DT$109),0))</f>
        <v>0</v>
      </c>
      <c r="DU110" s="242">
        <f ca="1">IF('General Inputs'!$L$8=0,0,IF(DU$163&gt;0,-MIN(ContrLand*DU$163,DU$109),0))</f>
        <v>0</v>
      </c>
      <c r="DV110" s="242">
        <f ca="1">IF('General Inputs'!$L$8=0,0,IF(DV$163&gt;0,-MIN(ContrLand*DV$163,DV$109),0))</f>
        <v>0</v>
      </c>
      <c r="DW110" s="242">
        <f ca="1">IF('General Inputs'!$L$8=0,0,IF(DW$163&gt;0,-MIN(ContrLand*DW$163,DW$109),0))</f>
        <v>0</v>
      </c>
      <c r="DX110" s="242">
        <f ca="1">IF('General Inputs'!$L$8=0,0,IF(DX$163&gt;0,-MIN(ContrLand*DX$163,DX$109),0))</f>
        <v>0</v>
      </c>
      <c r="DY110" s="242">
        <f ca="1">IF('General Inputs'!$L$8=0,0,IF(DY$163&gt;0,-MIN(ContrLand*DY$163,DY$109),0))</f>
        <v>0</v>
      </c>
      <c r="DZ110" s="242">
        <f ca="1">IF('General Inputs'!$L$8=0,0,IF(DZ$163&gt;0,-MIN(ContrLand*DZ$163,DZ$109),0))</f>
        <v>0</v>
      </c>
      <c r="EA110" s="242">
        <f ca="1">IF('General Inputs'!$L$8=0,0,IF(EA$163&gt;0,-MIN(ContrLand*EA$163,EA$109),0))</f>
        <v>0</v>
      </c>
      <c r="EB110" s="242">
        <f ca="1">IF('General Inputs'!$L$8=0,0,IF(EB$163&gt;0,-MIN(ContrLand*EB$163,EB$109),0))</f>
        <v>0</v>
      </c>
      <c r="EC110" s="242">
        <f ca="1">IF('General Inputs'!$L$8=0,0,IF(EC$163&gt;0,-MIN(ContrLand*EC$163,EC$109),0))</f>
        <v>0</v>
      </c>
      <c r="ED110" s="242">
        <f ca="1">IF('General Inputs'!$L$8=0,0,IF(ED$163&gt;0,-MIN(ContrLand*ED$163,ED$109),0))</f>
        <v>0</v>
      </c>
      <c r="EE110" s="242">
        <f ca="1">IF('General Inputs'!$L$8=0,0,IF(EE$163&gt;0,-MIN(ContrLand*EE$163,EE$109),0))</f>
        <v>0</v>
      </c>
      <c r="EF110" s="242">
        <f ca="1">IF('General Inputs'!$L$8=0,0,IF(EF$163&gt;0,-MIN(ContrLand*EF$163,EF$109),0))</f>
        <v>0</v>
      </c>
      <c r="EG110" s="242">
        <f ca="1">IF('General Inputs'!$L$8=0,0,IF(EG$163&gt;0,-MIN(ContrLand*EG$163,EG$109),0))</f>
        <v>0</v>
      </c>
    </row>
    <row r="111" spans="1:137" x14ac:dyDescent="0.3">
      <c r="A111" s="245" t="s">
        <v>843</v>
      </c>
      <c r="B111" s="245"/>
      <c r="C111" s="245"/>
      <c r="D111" s="726"/>
      <c r="E111" s="227">
        <f t="shared" ref="E111:BP111" ca="1" si="172">SUM(E109:E110)</f>
        <v>0</v>
      </c>
      <c r="F111" s="227">
        <f t="shared" ca="1" si="172"/>
        <v>0</v>
      </c>
      <c r="G111" s="227">
        <f t="shared" ca="1" si="172"/>
        <v>0</v>
      </c>
      <c r="H111" s="227">
        <f t="shared" ca="1" si="172"/>
        <v>0</v>
      </c>
      <c r="I111" s="227">
        <f t="shared" ca="1" si="172"/>
        <v>0</v>
      </c>
      <c r="J111" s="227">
        <f t="shared" ca="1" si="172"/>
        <v>0</v>
      </c>
      <c r="K111" s="227">
        <f t="shared" ca="1" si="172"/>
        <v>0</v>
      </c>
      <c r="L111" s="227">
        <f t="shared" ca="1" si="172"/>
        <v>0</v>
      </c>
      <c r="M111" s="227">
        <f t="shared" ca="1" si="172"/>
        <v>0</v>
      </c>
      <c r="N111" s="227">
        <f t="shared" ca="1" si="172"/>
        <v>0</v>
      </c>
      <c r="O111" s="227">
        <f t="shared" ca="1" si="172"/>
        <v>0</v>
      </c>
      <c r="P111" s="227">
        <f t="shared" ca="1" si="172"/>
        <v>0</v>
      </c>
      <c r="Q111" s="227">
        <f t="shared" ca="1" si="172"/>
        <v>0</v>
      </c>
      <c r="R111" s="227">
        <f t="shared" ca="1" si="172"/>
        <v>0</v>
      </c>
      <c r="S111" s="227">
        <f t="shared" ca="1" si="172"/>
        <v>0</v>
      </c>
      <c r="T111" s="227">
        <f t="shared" ca="1" si="172"/>
        <v>0</v>
      </c>
      <c r="U111" s="227">
        <f t="shared" ca="1" si="172"/>
        <v>0</v>
      </c>
      <c r="V111" s="227">
        <f t="shared" ca="1" si="172"/>
        <v>0</v>
      </c>
      <c r="W111" s="227">
        <f t="shared" ca="1" si="172"/>
        <v>0</v>
      </c>
      <c r="X111" s="227">
        <f t="shared" ca="1" si="172"/>
        <v>0</v>
      </c>
      <c r="Y111" s="227">
        <f t="shared" ca="1" si="172"/>
        <v>0</v>
      </c>
      <c r="Z111" s="227">
        <f t="shared" ca="1" si="172"/>
        <v>0</v>
      </c>
      <c r="AA111" s="227">
        <f t="shared" ca="1" si="172"/>
        <v>0</v>
      </c>
      <c r="AB111" s="227">
        <f t="shared" ca="1" si="172"/>
        <v>0</v>
      </c>
      <c r="AC111" s="227">
        <f t="shared" ca="1" si="172"/>
        <v>0</v>
      </c>
      <c r="AD111" s="227">
        <f t="shared" ca="1" si="172"/>
        <v>0</v>
      </c>
      <c r="AE111" s="227">
        <f t="shared" ca="1" si="172"/>
        <v>0</v>
      </c>
      <c r="AF111" s="227">
        <f t="shared" ca="1" si="172"/>
        <v>0</v>
      </c>
      <c r="AG111" s="227">
        <f t="shared" ca="1" si="172"/>
        <v>0</v>
      </c>
      <c r="AH111" s="227">
        <f t="shared" ca="1" si="172"/>
        <v>0</v>
      </c>
      <c r="AI111" s="227">
        <f t="shared" ca="1" si="172"/>
        <v>0</v>
      </c>
      <c r="AJ111" s="227">
        <f t="shared" ca="1" si="172"/>
        <v>0</v>
      </c>
      <c r="AK111" s="227">
        <f t="shared" ca="1" si="172"/>
        <v>0</v>
      </c>
      <c r="AL111" s="227">
        <f t="shared" ca="1" si="172"/>
        <v>0</v>
      </c>
      <c r="AM111" s="227">
        <f t="shared" ca="1" si="172"/>
        <v>0</v>
      </c>
      <c r="AN111" s="227">
        <f t="shared" ca="1" si="172"/>
        <v>0</v>
      </c>
      <c r="AO111" s="227">
        <f t="shared" ca="1" si="172"/>
        <v>0</v>
      </c>
      <c r="AP111" s="227">
        <f t="shared" ca="1" si="172"/>
        <v>0</v>
      </c>
      <c r="AQ111" s="227">
        <f t="shared" ca="1" si="172"/>
        <v>0</v>
      </c>
      <c r="AR111" s="227">
        <f t="shared" ca="1" si="172"/>
        <v>0</v>
      </c>
      <c r="AS111" s="227">
        <f t="shared" ca="1" si="172"/>
        <v>0</v>
      </c>
      <c r="AT111" s="227">
        <f t="shared" ca="1" si="172"/>
        <v>0</v>
      </c>
      <c r="AU111" s="227">
        <f t="shared" ca="1" si="172"/>
        <v>0</v>
      </c>
      <c r="AV111" s="227">
        <f t="shared" ca="1" si="172"/>
        <v>0</v>
      </c>
      <c r="AW111" s="227">
        <f t="shared" ca="1" si="172"/>
        <v>0</v>
      </c>
      <c r="AX111" s="227">
        <f t="shared" ca="1" si="172"/>
        <v>0</v>
      </c>
      <c r="AY111" s="227">
        <f t="shared" ca="1" si="172"/>
        <v>0</v>
      </c>
      <c r="AZ111" s="227">
        <f t="shared" ca="1" si="172"/>
        <v>0</v>
      </c>
      <c r="BA111" s="227">
        <f t="shared" ca="1" si="172"/>
        <v>0</v>
      </c>
      <c r="BB111" s="227">
        <f t="shared" ca="1" si="172"/>
        <v>0</v>
      </c>
      <c r="BC111" s="227">
        <f t="shared" ca="1" si="172"/>
        <v>0</v>
      </c>
      <c r="BD111" s="227">
        <f t="shared" ca="1" si="172"/>
        <v>0</v>
      </c>
      <c r="BE111" s="227">
        <f t="shared" ca="1" si="172"/>
        <v>0</v>
      </c>
      <c r="BF111" s="227">
        <f t="shared" ca="1" si="172"/>
        <v>0</v>
      </c>
      <c r="BG111" s="227">
        <f t="shared" ca="1" si="172"/>
        <v>0</v>
      </c>
      <c r="BH111" s="227">
        <f t="shared" ca="1" si="172"/>
        <v>0</v>
      </c>
      <c r="BI111" s="227">
        <f t="shared" ca="1" si="172"/>
        <v>0</v>
      </c>
      <c r="BJ111" s="227">
        <f t="shared" ca="1" si="172"/>
        <v>0</v>
      </c>
      <c r="BK111" s="227">
        <f t="shared" ca="1" si="172"/>
        <v>0</v>
      </c>
      <c r="BL111" s="227">
        <f t="shared" ca="1" si="172"/>
        <v>0</v>
      </c>
      <c r="BM111" s="227">
        <f t="shared" ca="1" si="172"/>
        <v>0</v>
      </c>
      <c r="BN111" s="227">
        <f t="shared" ca="1" si="172"/>
        <v>0</v>
      </c>
      <c r="BO111" s="227">
        <f t="shared" ca="1" si="172"/>
        <v>0</v>
      </c>
      <c r="BP111" s="227">
        <f t="shared" ca="1" si="172"/>
        <v>0</v>
      </c>
      <c r="BQ111" s="227">
        <f t="shared" ref="BQ111:EB111" ca="1" si="173">SUM(BQ109:BQ110)</f>
        <v>0</v>
      </c>
      <c r="BR111" s="227">
        <f t="shared" ca="1" si="173"/>
        <v>0</v>
      </c>
      <c r="BS111" s="227">
        <f t="shared" ca="1" si="173"/>
        <v>0</v>
      </c>
      <c r="BT111" s="227">
        <f t="shared" ca="1" si="173"/>
        <v>0</v>
      </c>
      <c r="BU111" s="227">
        <f t="shared" ca="1" si="173"/>
        <v>0</v>
      </c>
      <c r="BV111" s="227">
        <f t="shared" ca="1" si="173"/>
        <v>0</v>
      </c>
      <c r="BW111" s="227">
        <f t="shared" ca="1" si="173"/>
        <v>0</v>
      </c>
      <c r="BX111" s="227">
        <f t="shared" ca="1" si="173"/>
        <v>0</v>
      </c>
      <c r="BY111" s="227">
        <f t="shared" ca="1" si="173"/>
        <v>0</v>
      </c>
      <c r="BZ111" s="227">
        <f t="shared" ca="1" si="173"/>
        <v>0</v>
      </c>
      <c r="CA111" s="227">
        <f t="shared" ca="1" si="173"/>
        <v>0</v>
      </c>
      <c r="CB111" s="227">
        <f t="shared" ca="1" si="173"/>
        <v>0</v>
      </c>
      <c r="CC111" s="227">
        <f t="shared" ca="1" si="173"/>
        <v>0</v>
      </c>
      <c r="CD111" s="227">
        <f t="shared" ca="1" si="173"/>
        <v>0</v>
      </c>
      <c r="CE111" s="227">
        <f t="shared" ca="1" si="173"/>
        <v>0</v>
      </c>
      <c r="CF111" s="227">
        <f t="shared" ca="1" si="173"/>
        <v>0</v>
      </c>
      <c r="CG111" s="227">
        <f t="shared" ca="1" si="173"/>
        <v>0</v>
      </c>
      <c r="CH111" s="227">
        <f t="shared" ca="1" si="173"/>
        <v>0</v>
      </c>
      <c r="CI111" s="227">
        <f t="shared" ca="1" si="173"/>
        <v>0</v>
      </c>
      <c r="CJ111" s="227">
        <f t="shared" ca="1" si="173"/>
        <v>0</v>
      </c>
      <c r="CK111" s="227">
        <f t="shared" ca="1" si="173"/>
        <v>0</v>
      </c>
      <c r="CL111" s="227">
        <f t="shared" ca="1" si="173"/>
        <v>0</v>
      </c>
      <c r="CM111" s="227">
        <f t="shared" ca="1" si="173"/>
        <v>0</v>
      </c>
      <c r="CN111" s="227">
        <f t="shared" ca="1" si="173"/>
        <v>0</v>
      </c>
      <c r="CO111" s="227">
        <f t="shared" ca="1" si="173"/>
        <v>0</v>
      </c>
      <c r="CP111" s="227">
        <f t="shared" ca="1" si="173"/>
        <v>0</v>
      </c>
      <c r="CQ111" s="227">
        <f t="shared" ca="1" si="173"/>
        <v>0</v>
      </c>
      <c r="CR111" s="227">
        <f t="shared" ca="1" si="173"/>
        <v>0</v>
      </c>
      <c r="CS111" s="227">
        <f t="shared" ca="1" si="173"/>
        <v>0</v>
      </c>
      <c r="CT111" s="227">
        <f t="shared" ca="1" si="173"/>
        <v>0</v>
      </c>
      <c r="CU111" s="227">
        <f t="shared" ca="1" si="173"/>
        <v>0</v>
      </c>
      <c r="CV111" s="227">
        <f t="shared" ca="1" si="173"/>
        <v>0</v>
      </c>
      <c r="CW111" s="227">
        <f t="shared" ca="1" si="173"/>
        <v>0</v>
      </c>
      <c r="CX111" s="227">
        <f t="shared" ca="1" si="173"/>
        <v>0</v>
      </c>
      <c r="CY111" s="227">
        <f t="shared" ca="1" si="173"/>
        <v>0</v>
      </c>
      <c r="CZ111" s="227">
        <f t="shared" ca="1" si="173"/>
        <v>0</v>
      </c>
      <c r="DA111" s="227">
        <f t="shared" ca="1" si="173"/>
        <v>0</v>
      </c>
      <c r="DB111" s="227">
        <f t="shared" ca="1" si="173"/>
        <v>0</v>
      </c>
      <c r="DC111" s="227">
        <f t="shared" ca="1" si="173"/>
        <v>0</v>
      </c>
      <c r="DD111" s="227">
        <f t="shared" ca="1" si="173"/>
        <v>0</v>
      </c>
      <c r="DE111" s="227">
        <f t="shared" ca="1" si="173"/>
        <v>0</v>
      </c>
      <c r="DF111" s="227">
        <f t="shared" ca="1" si="173"/>
        <v>0</v>
      </c>
      <c r="DG111" s="227">
        <f t="shared" ca="1" si="173"/>
        <v>0</v>
      </c>
      <c r="DH111" s="227">
        <f t="shared" ca="1" si="173"/>
        <v>0</v>
      </c>
      <c r="DI111" s="227">
        <f t="shared" ca="1" si="173"/>
        <v>0</v>
      </c>
      <c r="DJ111" s="227">
        <f t="shared" ca="1" si="173"/>
        <v>0</v>
      </c>
      <c r="DK111" s="227">
        <f t="shared" ca="1" si="173"/>
        <v>0</v>
      </c>
      <c r="DL111" s="227">
        <f t="shared" ca="1" si="173"/>
        <v>0</v>
      </c>
      <c r="DM111" s="227">
        <f t="shared" ca="1" si="173"/>
        <v>0</v>
      </c>
      <c r="DN111" s="227">
        <f t="shared" ca="1" si="173"/>
        <v>0</v>
      </c>
      <c r="DO111" s="227">
        <f t="shared" ca="1" si="173"/>
        <v>0</v>
      </c>
      <c r="DP111" s="227">
        <f t="shared" ca="1" si="173"/>
        <v>0</v>
      </c>
      <c r="DQ111" s="227">
        <f t="shared" ca="1" si="173"/>
        <v>0</v>
      </c>
      <c r="DR111" s="227">
        <f t="shared" ca="1" si="173"/>
        <v>0</v>
      </c>
      <c r="DS111" s="227">
        <f t="shared" ca="1" si="173"/>
        <v>0</v>
      </c>
      <c r="DT111" s="227">
        <f t="shared" ca="1" si="173"/>
        <v>0</v>
      </c>
      <c r="DU111" s="227">
        <f t="shared" ca="1" si="173"/>
        <v>0</v>
      </c>
      <c r="DV111" s="227">
        <f t="shared" ca="1" si="173"/>
        <v>0</v>
      </c>
      <c r="DW111" s="227">
        <f t="shared" ca="1" si="173"/>
        <v>0</v>
      </c>
      <c r="DX111" s="227">
        <f t="shared" ca="1" si="173"/>
        <v>0</v>
      </c>
      <c r="DY111" s="227">
        <f t="shared" ca="1" si="173"/>
        <v>0</v>
      </c>
      <c r="DZ111" s="227">
        <f t="shared" ca="1" si="173"/>
        <v>0</v>
      </c>
      <c r="EA111" s="227">
        <f t="shared" ca="1" si="173"/>
        <v>0</v>
      </c>
      <c r="EB111" s="227">
        <f t="shared" ca="1" si="173"/>
        <v>0</v>
      </c>
      <c r="EC111" s="227">
        <f t="shared" ref="EC111:EG111" ca="1" si="174">SUM(EC109:EC110)</f>
        <v>0</v>
      </c>
      <c r="ED111" s="227">
        <f t="shared" ca="1" si="174"/>
        <v>0</v>
      </c>
      <c r="EE111" s="227">
        <f t="shared" ca="1" si="174"/>
        <v>0</v>
      </c>
      <c r="EF111" s="227">
        <f t="shared" ca="1" si="174"/>
        <v>0</v>
      </c>
      <c r="EG111" s="227">
        <f t="shared" ca="1" si="174"/>
        <v>0</v>
      </c>
    </row>
    <row r="112" spans="1:137" x14ac:dyDescent="0.3">
      <c r="A112" t="s">
        <v>2472</v>
      </c>
      <c r="E112" s="242">
        <f t="shared" ref="E112:BP112" si="175">E136</f>
        <v>0</v>
      </c>
      <c r="F112" s="242">
        <f t="shared" si="175"/>
        <v>0</v>
      </c>
      <c r="G112" s="242">
        <f t="shared" si="175"/>
        <v>0</v>
      </c>
      <c r="H112" s="242">
        <f t="shared" si="175"/>
        <v>0</v>
      </c>
      <c r="I112" s="242">
        <f t="shared" si="175"/>
        <v>0</v>
      </c>
      <c r="J112" s="242">
        <f t="shared" si="175"/>
        <v>0</v>
      </c>
      <c r="K112" s="242">
        <f t="shared" si="175"/>
        <v>0</v>
      </c>
      <c r="L112" s="242">
        <f t="shared" si="175"/>
        <v>0</v>
      </c>
      <c r="M112" s="242">
        <f t="shared" si="175"/>
        <v>0</v>
      </c>
      <c r="N112" s="242">
        <f t="shared" si="175"/>
        <v>0</v>
      </c>
      <c r="O112" s="242">
        <f t="shared" si="175"/>
        <v>0</v>
      </c>
      <c r="P112" s="242">
        <f t="shared" si="175"/>
        <v>0</v>
      </c>
      <c r="Q112" s="242">
        <f t="shared" si="175"/>
        <v>0</v>
      </c>
      <c r="R112" s="242">
        <f t="shared" si="175"/>
        <v>0</v>
      </c>
      <c r="S112" s="242">
        <f t="shared" si="175"/>
        <v>0</v>
      </c>
      <c r="T112" s="242">
        <f t="shared" si="175"/>
        <v>0</v>
      </c>
      <c r="U112" s="242">
        <f t="shared" si="175"/>
        <v>0</v>
      </c>
      <c r="V112" s="242">
        <f t="shared" si="175"/>
        <v>0</v>
      </c>
      <c r="W112" s="242">
        <f t="shared" si="175"/>
        <v>0</v>
      </c>
      <c r="X112" s="242">
        <f t="shared" si="175"/>
        <v>0</v>
      </c>
      <c r="Y112" s="242">
        <f t="shared" si="175"/>
        <v>0</v>
      </c>
      <c r="Z112" s="242">
        <f t="shared" si="175"/>
        <v>0</v>
      </c>
      <c r="AA112" s="242">
        <f t="shared" si="175"/>
        <v>0</v>
      </c>
      <c r="AB112" s="242">
        <f t="shared" si="175"/>
        <v>0</v>
      </c>
      <c r="AC112" s="242">
        <f t="shared" si="175"/>
        <v>0</v>
      </c>
      <c r="AD112" s="242">
        <f t="shared" si="175"/>
        <v>0</v>
      </c>
      <c r="AE112" s="242">
        <f t="shared" si="175"/>
        <v>0</v>
      </c>
      <c r="AF112" s="242">
        <f t="shared" si="175"/>
        <v>0</v>
      </c>
      <c r="AG112" s="242">
        <f t="shared" si="175"/>
        <v>0</v>
      </c>
      <c r="AH112" s="242">
        <f t="shared" ca="1" si="175"/>
        <v>0</v>
      </c>
      <c r="AI112" s="242">
        <f t="shared" si="175"/>
        <v>0</v>
      </c>
      <c r="AJ112" s="242">
        <f t="shared" si="175"/>
        <v>0</v>
      </c>
      <c r="AK112" s="242">
        <f t="shared" si="175"/>
        <v>0</v>
      </c>
      <c r="AL112" s="242">
        <f t="shared" si="175"/>
        <v>0</v>
      </c>
      <c r="AM112" s="242">
        <f t="shared" si="175"/>
        <v>0</v>
      </c>
      <c r="AN112" s="242">
        <f t="shared" si="175"/>
        <v>0</v>
      </c>
      <c r="AO112" s="242">
        <f t="shared" si="175"/>
        <v>0</v>
      </c>
      <c r="AP112" s="242">
        <f t="shared" si="175"/>
        <v>0</v>
      </c>
      <c r="AQ112" s="242">
        <f t="shared" si="175"/>
        <v>0</v>
      </c>
      <c r="AR112" s="242">
        <f t="shared" si="175"/>
        <v>0</v>
      </c>
      <c r="AS112" s="242">
        <f t="shared" si="175"/>
        <v>0</v>
      </c>
      <c r="AT112" s="242">
        <f t="shared" si="175"/>
        <v>0</v>
      </c>
      <c r="AU112" s="242">
        <f t="shared" si="175"/>
        <v>0</v>
      </c>
      <c r="AV112" s="242">
        <f t="shared" si="175"/>
        <v>0</v>
      </c>
      <c r="AW112" s="242">
        <f t="shared" si="175"/>
        <v>0</v>
      </c>
      <c r="AX112" s="242">
        <f t="shared" si="175"/>
        <v>0</v>
      </c>
      <c r="AY112" s="242">
        <f t="shared" si="175"/>
        <v>0</v>
      </c>
      <c r="AZ112" s="242">
        <f t="shared" si="175"/>
        <v>0</v>
      </c>
      <c r="BA112" s="242">
        <f t="shared" si="175"/>
        <v>0</v>
      </c>
      <c r="BB112" s="242">
        <f t="shared" si="175"/>
        <v>0</v>
      </c>
      <c r="BC112" s="242">
        <f t="shared" si="175"/>
        <v>0</v>
      </c>
      <c r="BD112" s="242">
        <f t="shared" si="175"/>
        <v>0</v>
      </c>
      <c r="BE112" s="242">
        <f t="shared" si="175"/>
        <v>0</v>
      </c>
      <c r="BF112" s="242">
        <f t="shared" si="175"/>
        <v>0</v>
      </c>
      <c r="BG112" s="242">
        <f t="shared" si="175"/>
        <v>0</v>
      </c>
      <c r="BH112" s="242">
        <f t="shared" si="175"/>
        <v>0</v>
      </c>
      <c r="BI112" s="242">
        <f t="shared" si="175"/>
        <v>0</v>
      </c>
      <c r="BJ112" s="242">
        <f t="shared" si="175"/>
        <v>0</v>
      </c>
      <c r="BK112" s="242">
        <f t="shared" si="175"/>
        <v>0</v>
      </c>
      <c r="BL112" s="242">
        <f t="shared" si="175"/>
        <v>0</v>
      </c>
      <c r="BM112" s="242">
        <f t="shared" si="175"/>
        <v>0</v>
      </c>
      <c r="BN112" s="242">
        <f t="shared" si="175"/>
        <v>0</v>
      </c>
      <c r="BO112" s="242">
        <f t="shared" si="175"/>
        <v>0</v>
      </c>
      <c r="BP112" s="242">
        <f t="shared" si="175"/>
        <v>0</v>
      </c>
      <c r="BQ112" s="242">
        <f t="shared" ref="BQ112:EB112" si="176">BQ136</f>
        <v>0</v>
      </c>
      <c r="BR112" s="242">
        <f t="shared" si="176"/>
        <v>0</v>
      </c>
      <c r="BS112" s="242">
        <f t="shared" si="176"/>
        <v>0</v>
      </c>
      <c r="BT112" s="242">
        <f t="shared" si="176"/>
        <v>0</v>
      </c>
      <c r="BU112" s="242">
        <f t="shared" si="176"/>
        <v>0</v>
      </c>
      <c r="BV112" s="242">
        <f t="shared" si="176"/>
        <v>0</v>
      </c>
      <c r="BW112" s="242">
        <f t="shared" si="176"/>
        <v>0</v>
      </c>
      <c r="BX112" s="242">
        <f t="shared" si="176"/>
        <v>0</v>
      </c>
      <c r="BY112" s="242">
        <f t="shared" si="176"/>
        <v>0</v>
      </c>
      <c r="BZ112" s="242">
        <f t="shared" si="176"/>
        <v>0</v>
      </c>
      <c r="CA112" s="242">
        <f t="shared" si="176"/>
        <v>0</v>
      </c>
      <c r="CB112" s="242">
        <f t="shared" si="176"/>
        <v>0</v>
      </c>
      <c r="CC112" s="242">
        <f t="shared" si="176"/>
        <v>0</v>
      </c>
      <c r="CD112" s="242">
        <f t="shared" si="176"/>
        <v>0</v>
      </c>
      <c r="CE112" s="242">
        <f t="shared" si="176"/>
        <v>0</v>
      </c>
      <c r="CF112" s="242">
        <f t="shared" si="176"/>
        <v>0</v>
      </c>
      <c r="CG112" s="242">
        <f t="shared" si="176"/>
        <v>0</v>
      </c>
      <c r="CH112" s="242">
        <f t="shared" si="176"/>
        <v>0</v>
      </c>
      <c r="CI112" s="242">
        <f t="shared" si="176"/>
        <v>0</v>
      </c>
      <c r="CJ112" s="242">
        <f t="shared" si="176"/>
        <v>0</v>
      </c>
      <c r="CK112" s="242">
        <f t="shared" si="176"/>
        <v>0</v>
      </c>
      <c r="CL112" s="242">
        <f t="shared" si="176"/>
        <v>0</v>
      </c>
      <c r="CM112" s="242">
        <f t="shared" si="176"/>
        <v>0</v>
      </c>
      <c r="CN112" s="242">
        <f t="shared" si="176"/>
        <v>0</v>
      </c>
      <c r="CO112" s="242">
        <f t="shared" si="176"/>
        <v>0</v>
      </c>
      <c r="CP112" s="242">
        <f t="shared" si="176"/>
        <v>0</v>
      </c>
      <c r="CQ112" s="242">
        <f t="shared" si="176"/>
        <v>0</v>
      </c>
      <c r="CR112" s="242">
        <f t="shared" si="176"/>
        <v>0</v>
      </c>
      <c r="CS112" s="242">
        <f t="shared" si="176"/>
        <v>0</v>
      </c>
      <c r="CT112" s="242">
        <f t="shared" si="176"/>
        <v>0</v>
      </c>
      <c r="CU112" s="242">
        <f t="shared" si="176"/>
        <v>0</v>
      </c>
      <c r="CV112" s="242">
        <f t="shared" si="176"/>
        <v>0</v>
      </c>
      <c r="CW112" s="242">
        <f t="shared" si="176"/>
        <v>0</v>
      </c>
      <c r="CX112" s="242">
        <f t="shared" si="176"/>
        <v>0</v>
      </c>
      <c r="CY112" s="242">
        <f t="shared" si="176"/>
        <v>0</v>
      </c>
      <c r="CZ112" s="242">
        <f t="shared" si="176"/>
        <v>0</v>
      </c>
      <c r="DA112" s="242">
        <f t="shared" si="176"/>
        <v>0</v>
      </c>
      <c r="DB112" s="242">
        <f t="shared" si="176"/>
        <v>0</v>
      </c>
      <c r="DC112" s="242">
        <f t="shared" si="176"/>
        <v>0</v>
      </c>
      <c r="DD112" s="242">
        <f t="shared" si="176"/>
        <v>0</v>
      </c>
      <c r="DE112" s="242">
        <f t="shared" si="176"/>
        <v>0</v>
      </c>
      <c r="DF112" s="242">
        <f t="shared" si="176"/>
        <v>0</v>
      </c>
      <c r="DG112" s="242">
        <f t="shared" si="176"/>
        <v>0</v>
      </c>
      <c r="DH112" s="242">
        <f t="shared" si="176"/>
        <v>0</v>
      </c>
      <c r="DI112" s="242">
        <f t="shared" si="176"/>
        <v>0</v>
      </c>
      <c r="DJ112" s="242">
        <f t="shared" si="176"/>
        <v>0</v>
      </c>
      <c r="DK112" s="242">
        <f t="shared" si="176"/>
        <v>0</v>
      </c>
      <c r="DL112" s="242">
        <f t="shared" si="176"/>
        <v>0</v>
      </c>
      <c r="DM112" s="242">
        <f t="shared" si="176"/>
        <v>0</v>
      </c>
      <c r="DN112" s="242">
        <f t="shared" si="176"/>
        <v>0</v>
      </c>
      <c r="DO112" s="242">
        <f t="shared" si="176"/>
        <v>0</v>
      </c>
      <c r="DP112" s="242">
        <f t="shared" si="176"/>
        <v>0</v>
      </c>
      <c r="DQ112" s="242">
        <f t="shared" si="176"/>
        <v>0</v>
      </c>
      <c r="DR112" s="242">
        <f t="shared" si="176"/>
        <v>0</v>
      </c>
      <c r="DS112" s="242">
        <f t="shared" si="176"/>
        <v>0</v>
      </c>
      <c r="DT112" s="242">
        <f t="shared" si="176"/>
        <v>0</v>
      </c>
      <c r="DU112" s="242">
        <f t="shared" si="176"/>
        <v>0</v>
      </c>
      <c r="DV112" s="242">
        <f t="shared" si="176"/>
        <v>0</v>
      </c>
      <c r="DW112" s="242">
        <f t="shared" si="176"/>
        <v>0</v>
      </c>
      <c r="DX112" s="242">
        <f t="shared" si="176"/>
        <v>0</v>
      </c>
      <c r="DY112" s="242">
        <f t="shared" si="176"/>
        <v>0</v>
      </c>
      <c r="DZ112" s="242">
        <f t="shared" si="176"/>
        <v>0</v>
      </c>
      <c r="EA112" s="242">
        <f t="shared" si="176"/>
        <v>0</v>
      </c>
      <c r="EB112" s="242">
        <f t="shared" si="176"/>
        <v>0</v>
      </c>
      <c r="EC112" s="242">
        <f t="shared" ref="EC112:EG112" si="177">EC136</f>
        <v>0</v>
      </c>
      <c r="ED112" s="242">
        <f t="shared" si="177"/>
        <v>0</v>
      </c>
      <c r="EE112" s="242">
        <f t="shared" si="177"/>
        <v>0</v>
      </c>
      <c r="EF112" s="242">
        <f t="shared" si="177"/>
        <v>0</v>
      </c>
      <c r="EG112" s="242">
        <f t="shared" si="177"/>
        <v>0</v>
      </c>
    </row>
    <row r="113" spans="1:137" ht="15" thickBot="1" x14ac:dyDescent="0.35">
      <c r="A113" s="248" t="s">
        <v>2463</v>
      </c>
      <c r="B113" s="248"/>
      <c r="C113" s="248"/>
      <c r="D113" s="697"/>
      <c r="E113" s="250">
        <f t="shared" ref="E113:BP113" ca="1" si="178">SUM(E111:E112)</f>
        <v>0</v>
      </c>
      <c r="F113" s="250">
        <f t="shared" ca="1" si="178"/>
        <v>0</v>
      </c>
      <c r="G113" s="250">
        <f t="shared" ca="1" si="178"/>
        <v>0</v>
      </c>
      <c r="H113" s="250">
        <f t="shared" ca="1" si="178"/>
        <v>0</v>
      </c>
      <c r="I113" s="250">
        <f t="shared" ca="1" si="178"/>
        <v>0</v>
      </c>
      <c r="J113" s="250">
        <f t="shared" ca="1" si="178"/>
        <v>0</v>
      </c>
      <c r="K113" s="250">
        <f t="shared" ca="1" si="178"/>
        <v>0</v>
      </c>
      <c r="L113" s="250">
        <f t="shared" ca="1" si="178"/>
        <v>0</v>
      </c>
      <c r="M113" s="250">
        <f t="shared" ca="1" si="178"/>
        <v>0</v>
      </c>
      <c r="N113" s="250">
        <f t="shared" ca="1" si="178"/>
        <v>0</v>
      </c>
      <c r="O113" s="250">
        <f t="shared" ca="1" si="178"/>
        <v>0</v>
      </c>
      <c r="P113" s="250">
        <f t="shared" ca="1" si="178"/>
        <v>0</v>
      </c>
      <c r="Q113" s="250">
        <f t="shared" ca="1" si="178"/>
        <v>0</v>
      </c>
      <c r="R113" s="250">
        <f t="shared" ca="1" si="178"/>
        <v>0</v>
      </c>
      <c r="S113" s="250">
        <f t="shared" ca="1" si="178"/>
        <v>0</v>
      </c>
      <c r="T113" s="250">
        <f t="shared" ca="1" si="178"/>
        <v>0</v>
      </c>
      <c r="U113" s="250">
        <f t="shared" ca="1" si="178"/>
        <v>0</v>
      </c>
      <c r="V113" s="250">
        <f t="shared" ca="1" si="178"/>
        <v>0</v>
      </c>
      <c r="W113" s="250">
        <f t="shared" ca="1" si="178"/>
        <v>0</v>
      </c>
      <c r="X113" s="250">
        <f t="shared" ca="1" si="178"/>
        <v>0</v>
      </c>
      <c r="Y113" s="250">
        <f t="shared" ca="1" si="178"/>
        <v>0</v>
      </c>
      <c r="Z113" s="250">
        <f t="shared" ca="1" si="178"/>
        <v>0</v>
      </c>
      <c r="AA113" s="250">
        <f t="shared" ca="1" si="178"/>
        <v>0</v>
      </c>
      <c r="AB113" s="250">
        <f t="shared" ca="1" si="178"/>
        <v>0</v>
      </c>
      <c r="AC113" s="250">
        <f t="shared" ca="1" si="178"/>
        <v>0</v>
      </c>
      <c r="AD113" s="250">
        <f t="shared" ca="1" si="178"/>
        <v>0</v>
      </c>
      <c r="AE113" s="250">
        <f t="shared" ca="1" si="178"/>
        <v>0</v>
      </c>
      <c r="AF113" s="250">
        <f t="shared" ca="1" si="178"/>
        <v>0</v>
      </c>
      <c r="AG113" s="250">
        <f t="shared" ca="1" si="178"/>
        <v>0</v>
      </c>
      <c r="AH113" s="250">
        <f t="shared" ca="1" si="178"/>
        <v>0</v>
      </c>
      <c r="AI113" s="250">
        <f t="shared" ca="1" si="178"/>
        <v>0</v>
      </c>
      <c r="AJ113" s="250">
        <f t="shared" ca="1" si="178"/>
        <v>0</v>
      </c>
      <c r="AK113" s="250">
        <f t="shared" ca="1" si="178"/>
        <v>0</v>
      </c>
      <c r="AL113" s="250">
        <f t="shared" ca="1" si="178"/>
        <v>0</v>
      </c>
      <c r="AM113" s="250">
        <f t="shared" ca="1" si="178"/>
        <v>0</v>
      </c>
      <c r="AN113" s="250">
        <f t="shared" ca="1" si="178"/>
        <v>0</v>
      </c>
      <c r="AO113" s="250">
        <f t="shared" ca="1" si="178"/>
        <v>0</v>
      </c>
      <c r="AP113" s="250">
        <f t="shared" ca="1" si="178"/>
        <v>0</v>
      </c>
      <c r="AQ113" s="250">
        <f t="shared" ca="1" si="178"/>
        <v>0</v>
      </c>
      <c r="AR113" s="250">
        <f t="shared" ca="1" si="178"/>
        <v>0</v>
      </c>
      <c r="AS113" s="250">
        <f t="shared" ca="1" si="178"/>
        <v>0</v>
      </c>
      <c r="AT113" s="250">
        <f t="shared" ca="1" si="178"/>
        <v>0</v>
      </c>
      <c r="AU113" s="250">
        <f t="shared" ca="1" si="178"/>
        <v>0</v>
      </c>
      <c r="AV113" s="250">
        <f t="shared" ca="1" si="178"/>
        <v>0</v>
      </c>
      <c r="AW113" s="250">
        <f t="shared" ca="1" si="178"/>
        <v>0</v>
      </c>
      <c r="AX113" s="250">
        <f t="shared" ca="1" si="178"/>
        <v>0</v>
      </c>
      <c r="AY113" s="250">
        <f t="shared" ca="1" si="178"/>
        <v>0</v>
      </c>
      <c r="AZ113" s="250">
        <f t="shared" ca="1" si="178"/>
        <v>0</v>
      </c>
      <c r="BA113" s="250">
        <f t="shared" ca="1" si="178"/>
        <v>0</v>
      </c>
      <c r="BB113" s="250">
        <f t="shared" ca="1" si="178"/>
        <v>0</v>
      </c>
      <c r="BC113" s="250">
        <f t="shared" ca="1" si="178"/>
        <v>0</v>
      </c>
      <c r="BD113" s="250">
        <f t="shared" ca="1" si="178"/>
        <v>0</v>
      </c>
      <c r="BE113" s="250">
        <f t="shared" ca="1" si="178"/>
        <v>0</v>
      </c>
      <c r="BF113" s="250">
        <f t="shared" ca="1" si="178"/>
        <v>0</v>
      </c>
      <c r="BG113" s="250">
        <f t="shared" ca="1" si="178"/>
        <v>0</v>
      </c>
      <c r="BH113" s="250">
        <f t="shared" ca="1" si="178"/>
        <v>0</v>
      </c>
      <c r="BI113" s="250">
        <f t="shared" ca="1" si="178"/>
        <v>0</v>
      </c>
      <c r="BJ113" s="250">
        <f t="shared" ca="1" si="178"/>
        <v>0</v>
      </c>
      <c r="BK113" s="250">
        <f t="shared" ca="1" si="178"/>
        <v>0</v>
      </c>
      <c r="BL113" s="250">
        <f t="shared" ca="1" si="178"/>
        <v>0</v>
      </c>
      <c r="BM113" s="250">
        <f t="shared" ca="1" si="178"/>
        <v>0</v>
      </c>
      <c r="BN113" s="250">
        <f t="shared" ca="1" si="178"/>
        <v>0</v>
      </c>
      <c r="BO113" s="250">
        <f t="shared" ca="1" si="178"/>
        <v>0</v>
      </c>
      <c r="BP113" s="250">
        <f t="shared" ca="1" si="178"/>
        <v>0</v>
      </c>
      <c r="BQ113" s="250">
        <f t="shared" ref="BQ113:EB113" ca="1" si="179">SUM(BQ111:BQ112)</f>
        <v>0</v>
      </c>
      <c r="BR113" s="250">
        <f t="shared" ca="1" si="179"/>
        <v>0</v>
      </c>
      <c r="BS113" s="250">
        <f t="shared" ca="1" si="179"/>
        <v>0</v>
      </c>
      <c r="BT113" s="250">
        <f t="shared" ca="1" si="179"/>
        <v>0</v>
      </c>
      <c r="BU113" s="250">
        <f t="shared" ca="1" si="179"/>
        <v>0</v>
      </c>
      <c r="BV113" s="250">
        <f t="shared" ca="1" si="179"/>
        <v>0</v>
      </c>
      <c r="BW113" s="250">
        <f t="shared" ca="1" si="179"/>
        <v>0</v>
      </c>
      <c r="BX113" s="250">
        <f t="shared" ca="1" si="179"/>
        <v>0</v>
      </c>
      <c r="BY113" s="250">
        <f t="shared" ca="1" si="179"/>
        <v>0</v>
      </c>
      <c r="BZ113" s="250">
        <f t="shared" ca="1" si="179"/>
        <v>0</v>
      </c>
      <c r="CA113" s="250">
        <f t="shared" ca="1" si="179"/>
        <v>0</v>
      </c>
      <c r="CB113" s="250">
        <f t="shared" ca="1" si="179"/>
        <v>0</v>
      </c>
      <c r="CC113" s="250">
        <f t="shared" ca="1" si="179"/>
        <v>0</v>
      </c>
      <c r="CD113" s="250">
        <f t="shared" ca="1" si="179"/>
        <v>0</v>
      </c>
      <c r="CE113" s="250">
        <f t="shared" ca="1" si="179"/>
        <v>0</v>
      </c>
      <c r="CF113" s="250">
        <f t="shared" ca="1" si="179"/>
        <v>0</v>
      </c>
      <c r="CG113" s="250">
        <f t="shared" ca="1" si="179"/>
        <v>0</v>
      </c>
      <c r="CH113" s="250">
        <f t="shared" ca="1" si="179"/>
        <v>0</v>
      </c>
      <c r="CI113" s="250">
        <f t="shared" ca="1" si="179"/>
        <v>0</v>
      </c>
      <c r="CJ113" s="250">
        <f t="shared" ca="1" si="179"/>
        <v>0</v>
      </c>
      <c r="CK113" s="250">
        <f t="shared" ca="1" si="179"/>
        <v>0</v>
      </c>
      <c r="CL113" s="250">
        <f t="shared" ca="1" si="179"/>
        <v>0</v>
      </c>
      <c r="CM113" s="250">
        <f t="shared" ca="1" si="179"/>
        <v>0</v>
      </c>
      <c r="CN113" s="250">
        <f t="shared" ca="1" si="179"/>
        <v>0</v>
      </c>
      <c r="CO113" s="250">
        <f t="shared" ca="1" si="179"/>
        <v>0</v>
      </c>
      <c r="CP113" s="250">
        <f t="shared" ca="1" si="179"/>
        <v>0</v>
      </c>
      <c r="CQ113" s="250">
        <f t="shared" ca="1" si="179"/>
        <v>0</v>
      </c>
      <c r="CR113" s="250">
        <f t="shared" ca="1" si="179"/>
        <v>0</v>
      </c>
      <c r="CS113" s="250">
        <f t="shared" ca="1" si="179"/>
        <v>0</v>
      </c>
      <c r="CT113" s="250">
        <f t="shared" ca="1" si="179"/>
        <v>0</v>
      </c>
      <c r="CU113" s="250">
        <f t="shared" ca="1" si="179"/>
        <v>0</v>
      </c>
      <c r="CV113" s="250">
        <f t="shared" ca="1" si="179"/>
        <v>0</v>
      </c>
      <c r="CW113" s="250">
        <f t="shared" ca="1" si="179"/>
        <v>0</v>
      </c>
      <c r="CX113" s="250">
        <f t="shared" ca="1" si="179"/>
        <v>0</v>
      </c>
      <c r="CY113" s="250">
        <f t="shared" ca="1" si="179"/>
        <v>0</v>
      </c>
      <c r="CZ113" s="250">
        <f t="shared" ca="1" si="179"/>
        <v>0</v>
      </c>
      <c r="DA113" s="250">
        <f t="shared" ca="1" si="179"/>
        <v>0</v>
      </c>
      <c r="DB113" s="250">
        <f t="shared" ca="1" si="179"/>
        <v>0</v>
      </c>
      <c r="DC113" s="250">
        <f t="shared" ca="1" si="179"/>
        <v>0</v>
      </c>
      <c r="DD113" s="250">
        <f t="shared" ca="1" si="179"/>
        <v>0</v>
      </c>
      <c r="DE113" s="250">
        <f t="shared" ca="1" si="179"/>
        <v>0</v>
      </c>
      <c r="DF113" s="250">
        <f t="shared" ca="1" si="179"/>
        <v>0</v>
      </c>
      <c r="DG113" s="250">
        <f t="shared" ca="1" si="179"/>
        <v>0</v>
      </c>
      <c r="DH113" s="250">
        <f t="shared" ca="1" si="179"/>
        <v>0</v>
      </c>
      <c r="DI113" s="250">
        <f t="shared" ca="1" si="179"/>
        <v>0</v>
      </c>
      <c r="DJ113" s="250">
        <f t="shared" ca="1" si="179"/>
        <v>0</v>
      </c>
      <c r="DK113" s="250">
        <f t="shared" ca="1" si="179"/>
        <v>0</v>
      </c>
      <c r="DL113" s="250">
        <f t="shared" ca="1" si="179"/>
        <v>0</v>
      </c>
      <c r="DM113" s="250">
        <f t="shared" ca="1" si="179"/>
        <v>0</v>
      </c>
      <c r="DN113" s="250">
        <f t="shared" ca="1" si="179"/>
        <v>0</v>
      </c>
      <c r="DO113" s="250">
        <f t="shared" ca="1" si="179"/>
        <v>0</v>
      </c>
      <c r="DP113" s="250">
        <f t="shared" ca="1" si="179"/>
        <v>0</v>
      </c>
      <c r="DQ113" s="250">
        <f t="shared" ca="1" si="179"/>
        <v>0</v>
      </c>
      <c r="DR113" s="250">
        <f t="shared" ca="1" si="179"/>
        <v>0</v>
      </c>
      <c r="DS113" s="250">
        <f t="shared" ca="1" si="179"/>
        <v>0</v>
      </c>
      <c r="DT113" s="250">
        <f t="shared" ca="1" si="179"/>
        <v>0</v>
      </c>
      <c r="DU113" s="250">
        <f t="shared" ca="1" si="179"/>
        <v>0</v>
      </c>
      <c r="DV113" s="250">
        <f t="shared" ca="1" si="179"/>
        <v>0</v>
      </c>
      <c r="DW113" s="250">
        <f t="shared" ca="1" si="179"/>
        <v>0</v>
      </c>
      <c r="DX113" s="250">
        <f t="shared" ca="1" si="179"/>
        <v>0</v>
      </c>
      <c r="DY113" s="250">
        <f t="shared" ca="1" si="179"/>
        <v>0</v>
      </c>
      <c r="DZ113" s="250">
        <f t="shared" ca="1" si="179"/>
        <v>0</v>
      </c>
      <c r="EA113" s="250">
        <f t="shared" ca="1" si="179"/>
        <v>0</v>
      </c>
      <c r="EB113" s="250">
        <f t="shared" ca="1" si="179"/>
        <v>0</v>
      </c>
      <c r="EC113" s="250">
        <f ca="1">SUM(EC111:EC112)</f>
        <v>0</v>
      </c>
      <c r="ED113" s="250">
        <f ca="1">SUM(ED111:ED112)</f>
        <v>0</v>
      </c>
      <c r="EE113" s="250">
        <f ca="1">SUM(EE111:EE112)</f>
        <v>0</v>
      </c>
      <c r="EF113" s="250">
        <f ca="1">SUM(EF111:EF112)</f>
        <v>0</v>
      </c>
      <c r="EG113" s="250">
        <f ca="1">SUM(EG111:EG112)</f>
        <v>0</v>
      </c>
    </row>
    <row r="114" spans="1:137" ht="7.5" customHeight="1" thickTop="1" x14ac:dyDescent="0.3"/>
    <row r="115" spans="1:137" x14ac:dyDescent="0.3">
      <c r="A115" s="700" t="s">
        <v>2479</v>
      </c>
    </row>
    <row r="116" spans="1:137" x14ac:dyDescent="0.3">
      <c r="A116" t="str">
        <f>"Permanent Loan, "&amp;TEXT('General Inputs'!$N$9,"0.00%")&amp;" of "&amp;IF('General Inputs'!$N$17="LTC","Cost","Value")</f>
        <v>Permanent Loan, 55.00% of Cost</v>
      </c>
      <c r="E116" s="227">
        <f t="shared" ref="E116:AJ116" si="180">IF(E5=MonthRefi,PermLoan,0)</f>
        <v>0</v>
      </c>
      <c r="F116" s="227">
        <f t="shared" si="180"/>
        <v>0</v>
      </c>
      <c r="G116" s="227">
        <f t="shared" si="180"/>
        <v>0</v>
      </c>
      <c r="H116" s="227">
        <f t="shared" si="180"/>
        <v>0</v>
      </c>
      <c r="I116" s="227">
        <f t="shared" si="180"/>
        <v>0</v>
      </c>
      <c r="J116" s="227">
        <f t="shared" si="180"/>
        <v>0</v>
      </c>
      <c r="K116" s="227">
        <f t="shared" si="180"/>
        <v>0</v>
      </c>
      <c r="L116" s="227">
        <f t="shared" si="180"/>
        <v>0</v>
      </c>
      <c r="M116" s="227">
        <f t="shared" si="180"/>
        <v>0</v>
      </c>
      <c r="N116" s="227">
        <f t="shared" si="180"/>
        <v>0</v>
      </c>
      <c r="O116" s="227">
        <f t="shared" si="180"/>
        <v>0</v>
      </c>
      <c r="P116" s="227">
        <f t="shared" si="180"/>
        <v>0</v>
      </c>
      <c r="Q116" s="227">
        <f t="shared" si="180"/>
        <v>0</v>
      </c>
      <c r="R116" s="227">
        <f t="shared" si="180"/>
        <v>0</v>
      </c>
      <c r="S116" s="227">
        <f t="shared" si="180"/>
        <v>0</v>
      </c>
      <c r="T116" s="227">
        <f t="shared" si="180"/>
        <v>0</v>
      </c>
      <c r="U116" s="227">
        <f t="shared" si="180"/>
        <v>0</v>
      </c>
      <c r="V116" s="227">
        <f t="shared" si="180"/>
        <v>0</v>
      </c>
      <c r="W116" s="227">
        <f t="shared" si="180"/>
        <v>0</v>
      </c>
      <c r="X116" s="227">
        <f t="shared" si="180"/>
        <v>0</v>
      </c>
      <c r="Y116" s="227">
        <f t="shared" si="180"/>
        <v>0</v>
      </c>
      <c r="Z116" s="227">
        <f t="shared" si="180"/>
        <v>0</v>
      </c>
      <c r="AA116" s="227">
        <f t="shared" si="180"/>
        <v>0</v>
      </c>
      <c r="AB116" s="227">
        <f t="shared" si="180"/>
        <v>0</v>
      </c>
      <c r="AC116" s="227">
        <f t="shared" si="180"/>
        <v>0</v>
      </c>
      <c r="AD116" s="227">
        <f t="shared" si="180"/>
        <v>0</v>
      </c>
      <c r="AE116" s="227">
        <f t="shared" si="180"/>
        <v>0</v>
      </c>
      <c r="AF116" s="227">
        <f t="shared" si="180"/>
        <v>0</v>
      </c>
      <c r="AG116" s="227">
        <f t="shared" si="180"/>
        <v>0</v>
      </c>
      <c r="AH116" s="227">
        <f t="shared" ca="1" si="180"/>
        <v>43199376.838609651</v>
      </c>
      <c r="AI116" s="227">
        <f t="shared" si="180"/>
        <v>0</v>
      </c>
      <c r="AJ116" s="227">
        <f t="shared" si="180"/>
        <v>0</v>
      </c>
      <c r="AK116" s="227">
        <f t="shared" ref="AK116:BP116" si="181">IF(AK5=MonthRefi,PermLoan,0)</f>
        <v>0</v>
      </c>
      <c r="AL116" s="227">
        <f t="shared" si="181"/>
        <v>0</v>
      </c>
      <c r="AM116" s="227">
        <f t="shared" si="181"/>
        <v>0</v>
      </c>
      <c r="AN116" s="227">
        <f t="shared" si="181"/>
        <v>0</v>
      </c>
      <c r="AO116" s="227">
        <f t="shared" si="181"/>
        <v>0</v>
      </c>
      <c r="AP116" s="227">
        <f t="shared" si="181"/>
        <v>0</v>
      </c>
      <c r="AQ116" s="227">
        <f t="shared" si="181"/>
        <v>0</v>
      </c>
      <c r="AR116" s="227">
        <f t="shared" si="181"/>
        <v>0</v>
      </c>
      <c r="AS116" s="227">
        <f t="shared" si="181"/>
        <v>0</v>
      </c>
      <c r="AT116" s="227">
        <f t="shared" si="181"/>
        <v>0</v>
      </c>
      <c r="AU116" s="227">
        <f t="shared" si="181"/>
        <v>0</v>
      </c>
      <c r="AV116" s="227">
        <f t="shared" si="181"/>
        <v>0</v>
      </c>
      <c r="AW116" s="227">
        <f t="shared" si="181"/>
        <v>0</v>
      </c>
      <c r="AX116" s="227">
        <f t="shared" si="181"/>
        <v>0</v>
      </c>
      <c r="AY116" s="227">
        <f t="shared" si="181"/>
        <v>0</v>
      </c>
      <c r="AZ116" s="227">
        <f t="shared" si="181"/>
        <v>0</v>
      </c>
      <c r="BA116" s="227">
        <f t="shared" si="181"/>
        <v>0</v>
      </c>
      <c r="BB116" s="227">
        <f t="shared" si="181"/>
        <v>0</v>
      </c>
      <c r="BC116" s="227">
        <f t="shared" si="181"/>
        <v>0</v>
      </c>
      <c r="BD116" s="227">
        <f t="shared" si="181"/>
        <v>0</v>
      </c>
      <c r="BE116" s="227">
        <f t="shared" si="181"/>
        <v>0</v>
      </c>
      <c r="BF116" s="227">
        <f t="shared" si="181"/>
        <v>0</v>
      </c>
      <c r="BG116" s="227">
        <f t="shared" si="181"/>
        <v>0</v>
      </c>
      <c r="BH116" s="227">
        <f t="shared" si="181"/>
        <v>0</v>
      </c>
      <c r="BI116" s="227">
        <f t="shared" si="181"/>
        <v>0</v>
      </c>
      <c r="BJ116" s="227">
        <f t="shared" si="181"/>
        <v>0</v>
      </c>
      <c r="BK116" s="227">
        <f t="shared" si="181"/>
        <v>0</v>
      </c>
      <c r="BL116" s="227">
        <f t="shared" si="181"/>
        <v>0</v>
      </c>
      <c r="BM116" s="227">
        <f t="shared" si="181"/>
        <v>0</v>
      </c>
      <c r="BN116" s="227">
        <f t="shared" si="181"/>
        <v>0</v>
      </c>
      <c r="BO116" s="227">
        <f t="shared" si="181"/>
        <v>0</v>
      </c>
      <c r="BP116" s="227">
        <f t="shared" si="181"/>
        <v>0</v>
      </c>
      <c r="BQ116" s="227">
        <f t="shared" ref="BQ116:CV116" si="182">IF(BQ5=MonthRefi,PermLoan,0)</f>
        <v>0</v>
      </c>
      <c r="BR116" s="227">
        <f t="shared" si="182"/>
        <v>0</v>
      </c>
      <c r="BS116" s="227">
        <f t="shared" si="182"/>
        <v>0</v>
      </c>
      <c r="BT116" s="227">
        <f t="shared" si="182"/>
        <v>0</v>
      </c>
      <c r="BU116" s="227">
        <f t="shared" si="182"/>
        <v>0</v>
      </c>
      <c r="BV116" s="227">
        <f t="shared" si="182"/>
        <v>0</v>
      </c>
      <c r="BW116" s="227">
        <f t="shared" si="182"/>
        <v>0</v>
      </c>
      <c r="BX116" s="227">
        <f t="shared" si="182"/>
        <v>0</v>
      </c>
      <c r="BY116" s="227">
        <f t="shared" si="182"/>
        <v>0</v>
      </c>
      <c r="BZ116" s="227">
        <f t="shared" si="182"/>
        <v>0</v>
      </c>
      <c r="CA116" s="227">
        <f t="shared" si="182"/>
        <v>0</v>
      </c>
      <c r="CB116" s="227">
        <f t="shared" si="182"/>
        <v>0</v>
      </c>
      <c r="CC116" s="227">
        <f t="shared" si="182"/>
        <v>0</v>
      </c>
      <c r="CD116" s="227">
        <f t="shared" si="182"/>
        <v>0</v>
      </c>
      <c r="CE116" s="227">
        <f t="shared" si="182"/>
        <v>0</v>
      </c>
      <c r="CF116" s="227">
        <f t="shared" si="182"/>
        <v>0</v>
      </c>
      <c r="CG116" s="227">
        <f t="shared" si="182"/>
        <v>0</v>
      </c>
      <c r="CH116" s="227">
        <f t="shared" si="182"/>
        <v>0</v>
      </c>
      <c r="CI116" s="227">
        <f t="shared" si="182"/>
        <v>0</v>
      </c>
      <c r="CJ116" s="227">
        <f t="shared" si="182"/>
        <v>0</v>
      </c>
      <c r="CK116" s="227">
        <f t="shared" si="182"/>
        <v>0</v>
      </c>
      <c r="CL116" s="227">
        <f t="shared" si="182"/>
        <v>0</v>
      </c>
      <c r="CM116" s="227">
        <f t="shared" si="182"/>
        <v>0</v>
      </c>
      <c r="CN116" s="227">
        <f t="shared" si="182"/>
        <v>0</v>
      </c>
      <c r="CO116" s="227">
        <f t="shared" si="182"/>
        <v>0</v>
      </c>
      <c r="CP116" s="227">
        <f t="shared" si="182"/>
        <v>0</v>
      </c>
      <c r="CQ116" s="227">
        <f t="shared" si="182"/>
        <v>0</v>
      </c>
      <c r="CR116" s="227">
        <f t="shared" si="182"/>
        <v>0</v>
      </c>
      <c r="CS116" s="227">
        <f t="shared" si="182"/>
        <v>0</v>
      </c>
      <c r="CT116" s="227">
        <f t="shared" si="182"/>
        <v>0</v>
      </c>
      <c r="CU116" s="227">
        <f t="shared" si="182"/>
        <v>0</v>
      </c>
      <c r="CV116" s="227">
        <f t="shared" si="182"/>
        <v>0</v>
      </c>
      <c r="CW116" s="227">
        <f t="shared" ref="CW116:EG116" si="183">IF(CW5=MonthRefi,PermLoan,0)</f>
        <v>0</v>
      </c>
      <c r="CX116" s="227">
        <f t="shared" si="183"/>
        <v>0</v>
      </c>
      <c r="CY116" s="227">
        <f t="shared" si="183"/>
        <v>0</v>
      </c>
      <c r="CZ116" s="227">
        <f t="shared" si="183"/>
        <v>0</v>
      </c>
      <c r="DA116" s="227">
        <f t="shared" si="183"/>
        <v>0</v>
      </c>
      <c r="DB116" s="227">
        <f t="shared" si="183"/>
        <v>0</v>
      </c>
      <c r="DC116" s="227">
        <f t="shared" si="183"/>
        <v>0</v>
      </c>
      <c r="DD116" s="227">
        <f t="shared" si="183"/>
        <v>0</v>
      </c>
      <c r="DE116" s="227">
        <f t="shared" si="183"/>
        <v>0</v>
      </c>
      <c r="DF116" s="227">
        <f t="shared" si="183"/>
        <v>0</v>
      </c>
      <c r="DG116" s="227">
        <f t="shared" si="183"/>
        <v>0</v>
      </c>
      <c r="DH116" s="227">
        <f t="shared" si="183"/>
        <v>0</v>
      </c>
      <c r="DI116" s="227">
        <f t="shared" si="183"/>
        <v>0</v>
      </c>
      <c r="DJ116" s="227">
        <f t="shared" si="183"/>
        <v>0</v>
      </c>
      <c r="DK116" s="227">
        <f t="shared" si="183"/>
        <v>0</v>
      </c>
      <c r="DL116" s="227">
        <f t="shared" si="183"/>
        <v>0</v>
      </c>
      <c r="DM116" s="227">
        <f t="shared" si="183"/>
        <v>0</v>
      </c>
      <c r="DN116" s="227">
        <f t="shared" si="183"/>
        <v>0</v>
      </c>
      <c r="DO116" s="227">
        <f t="shared" si="183"/>
        <v>0</v>
      </c>
      <c r="DP116" s="227">
        <f t="shared" si="183"/>
        <v>0</v>
      </c>
      <c r="DQ116" s="227">
        <f t="shared" si="183"/>
        <v>0</v>
      </c>
      <c r="DR116" s="227">
        <f t="shared" si="183"/>
        <v>0</v>
      </c>
      <c r="DS116" s="227">
        <f t="shared" si="183"/>
        <v>0</v>
      </c>
      <c r="DT116" s="227">
        <f t="shared" si="183"/>
        <v>0</v>
      </c>
      <c r="DU116" s="227">
        <f t="shared" si="183"/>
        <v>0</v>
      </c>
      <c r="DV116" s="227">
        <f t="shared" si="183"/>
        <v>0</v>
      </c>
      <c r="DW116" s="227">
        <f t="shared" si="183"/>
        <v>0</v>
      </c>
      <c r="DX116" s="227">
        <f t="shared" si="183"/>
        <v>0</v>
      </c>
      <c r="DY116" s="227">
        <f t="shared" si="183"/>
        <v>0</v>
      </c>
      <c r="DZ116" s="227">
        <f t="shared" si="183"/>
        <v>0</v>
      </c>
      <c r="EA116" s="227">
        <f t="shared" si="183"/>
        <v>0</v>
      </c>
      <c r="EB116" s="227">
        <f t="shared" si="183"/>
        <v>0</v>
      </c>
      <c r="EC116" s="227">
        <f t="shared" si="183"/>
        <v>0</v>
      </c>
      <c r="ED116" s="227">
        <f t="shared" si="183"/>
        <v>0</v>
      </c>
      <c r="EE116" s="227">
        <f t="shared" si="183"/>
        <v>0</v>
      </c>
      <c r="EF116" s="227">
        <f t="shared" si="183"/>
        <v>0</v>
      </c>
      <c r="EG116" s="227">
        <f t="shared" si="183"/>
        <v>0</v>
      </c>
    </row>
    <row r="117" spans="1:137" x14ac:dyDescent="0.3">
      <c r="A117" t="s">
        <v>2480</v>
      </c>
      <c r="E117" s="229">
        <f>-IF(AND(E$5=MonthRefi,'General Inputs'!$N$17="LTC"),'General Inputs'!$M$8*'General Inputs'!$N$9*SUM('General Inputs'!$N$18:$N$19),IF(AND(Waterfalls!E$5=MonthRefi,'General Inputs'!$N$17="LTV"),LOOKUP(MonthRefi,OperBgt!$5:$5,OperBgt!$81:$81)*12/ExitCap*'General Inputs'!N9*SUM('General Inputs'!$N$18:$N$19),0))</f>
        <v>0</v>
      </c>
      <c r="F117" s="229">
        <f>-IF(AND(F$5=MonthRefi,'General Inputs'!$N$17="LTC"),'General Inputs'!$M$8*'General Inputs'!$N$9*SUM('General Inputs'!$N$18:$N$19),IF(AND(Waterfalls!F$5=MonthRefi,'General Inputs'!$N$17="LTV"),LOOKUP(MonthRefi,OperBgt!$5:$5,OperBgt!$81:$81)*12/ExitCap*'General Inputs'!O9*SUM('General Inputs'!$N$18:$N$19),0))</f>
        <v>0</v>
      </c>
      <c r="G117" s="229">
        <f>-IF(AND(G$5=MonthRefi,'General Inputs'!$N$17="LTC"),'General Inputs'!$M$8*'General Inputs'!$N$9*SUM('General Inputs'!$N$18:$N$19),IF(AND(Waterfalls!G$5=MonthRefi,'General Inputs'!$N$17="LTV"),LOOKUP(MonthRefi,OperBgt!$5:$5,OperBgt!$81:$81)*12/ExitCap*'General Inputs'!Q16*SUM('General Inputs'!$N$18:$N$19),0))</f>
        <v>0</v>
      </c>
      <c r="H117" s="229">
        <f>-IF(AND(H$5=MonthRefi,'General Inputs'!$N$17="LTC"),'General Inputs'!$M$8*'General Inputs'!$N$9*SUM('General Inputs'!$N$18:$N$19),IF(AND(Waterfalls!H$5=MonthRefi,'General Inputs'!$N$17="LTV"),LOOKUP(MonthRefi,OperBgt!$5:$5,OperBgt!$81:$81)*12/ExitCap*'General Inputs'!R16*SUM('General Inputs'!$N$18:$N$19),0))</f>
        <v>0</v>
      </c>
      <c r="I117" s="229">
        <f>-IF(AND(I$5=MonthRefi,'General Inputs'!$N$17="LTC"),'General Inputs'!$M$8*'General Inputs'!$N$9*SUM('General Inputs'!$N$18:$N$19),IF(AND(Waterfalls!I$5=MonthRefi,'General Inputs'!$N$17="LTV"),LOOKUP(MonthRefi,OperBgt!$5:$5,OperBgt!$81:$81)*12/ExitCap*'General Inputs'!S16*SUM('General Inputs'!$N$18:$N$19),0))</f>
        <v>0</v>
      </c>
      <c r="J117" s="229">
        <f>-IF(AND(J$5=MonthRefi,'General Inputs'!$N$17="LTC"),'General Inputs'!$M$8*'General Inputs'!$N$9*SUM('General Inputs'!$N$18:$N$19),IF(AND(Waterfalls!J$5=MonthRefi,'General Inputs'!$N$17="LTV"),LOOKUP(MonthRefi,OperBgt!$5:$5,OperBgt!$81:$81)*12/ExitCap*'General Inputs'!#REF!*SUM('General Inputs'!$N$18:$N$19),0))</f>
        <v>0</v>
      </c>
      <c r="K117" s="229">
        <f>-IF(AND(K$5=MonthRefi,'General Inputs'!$N$17="LTC"),'General Inputs'!$M$8*'General Inputs'!$N$9*SUM('General Inputs'!$N$18:$N$19),IF(AND(Waterfalls!K$5=MonthRefi,'General Inputs'!$N$17="LTV"),LOOKUP(MonthRefi,OperBgt!$5:$5,OperBgt!$81:$81)*12/ExitCap*'General Inputs'!#REF!*SUM('General Inputs'!$N$18:$N$19),0))</f>
        <v>0</v>
      </c>
      <c r="L117" s="229">
        <f>-IF(AND(L$5=MonthRefi,'General Inputs'!$N$17="LTC"),'General Inputs'!$M$8*'General Inputs'!$N$9*SUM('General Inputs'!$N$18:$N$19),IF(AND(Waterfalls!L$5=MonthRefi,'General Inputs'!$N$17="LTV"),LOOKUP(MonthRefi,OperBgt!$5:$5,OperBgt!$81:$81)*12/ExitCap*'General Inputs'!T16*SUM('General Inputs'!$N$18:$N$19),0))</f>
        <v>0</v>
      </c>
      <c r="M117" s="229">
        <f>-IF(AND(M$5=MonthRefi,'General Inputs'!$N$17="LTC"),'General Inputs'!$M$8*'General Inputs'!$N$9*SUM('General Inputs'!$N$18:$N$19),IF(AND(Waterfalls!M$5=MonthRefi,'General Inputs'!$N$17="LTV"),LOOKUP(MonthRefi,OperBgt!$5:$5,OperBgt!$81:$81)*12/ExitCap*'General Inputs'!#REF!*SUM('General Inputs'!$N$18:$N$19),0))</f>
        <v>0</v>
      </c>
      <c r="N117" s="229">
        <f>-IF(AND(N$5=MonthRefi,'General Inputs'!$N$17="LTC"),'General Inputs'!$M$8*'General Inputs'!$N$9*SUM('General Inputs'!$N$18:$N$19),IF(AND(Waterfalls!N$5=MonthRefi,'General Inputs'!$N$17="LTV"),LOOKUP(MonthRefi,OperBgt!$5:$5,OperBgt!$81:$81)*12/ExitCap*'General Inputs'!#REF!*SUM('General Inputs'!$N$18:$N$19),0))</f>
        <v>0</v>
      </c>
      <c r="O117" s="229">
        <f>-IF(AND(O$5=MonthRefi,'General Inputs'!$N$17="LTC"),'General Inputs'!$M$8*'General Inputs'!$N$9*SUM('General Inputs'!$N$18:$N$19),IF(AND(Waterfalls!O$5=MonthRefi,'General Inputs'!$N$17="LTV"),LOOKUP(MonthRefi,OperBgt!$5:$5,OperBgt!$81:$81)*12/ExitCap*'General Inputs'!#REF!*SUM('General Inputs'!$N$18:$N$19),0))</f>
        <v>0</v>
      </c>
      <c r="P117" s="229">
        <f>-IF(AND(P$5=MonthRefi,'General Inputs'!$N$17="LTC"),'General Inputs'!$M$8*'General Inputs'!$N$9*SUM('General Inputs'!$N$18:$N$19),IF(AND(Waterfalls!P$5=MonthRefi,'General Inputs'!$N$17="LTV"),LOOKUP(MonthRefi,OperBgt!$5:$5,OperBgt!$81:$81)*12/ExitCap*'General Inputs'!U16*SUM('General Inputs'!$N$18:$N$19),0))</f>
        <v>0</v>
      </c>
      <c r="Q117" s="229">
        <f>-IF(AND(Q$5=MonthRefi,'General Inputs'!$N$17="LTC"),'General Inputs'!$M$8*'General Inputs'!$N$9*SUM('General Inputs'!$N$18:$N$19),IF(AND(Waterfalls!Q$5=MonthRefi,'General Inputs'!$N$17="LTV"),LOOKUP(MonthRefi,OperBgt!$5:$5,OperBgt!$81:$81)*12/ExitCap*'General Inputs'!#REF!*SUM('General Inputs'!$N$18:$N$19),0))</f>
        <v>0</v>
      </c>
      <c r="R117" s="229">
        <f>-IF(AND(R$5=MonthRefi,'General Inputs'!$N$17="LTC"),'General Inputs'!$M$8*'General Inputs'!$N$9*SUM('General Inputs'!$N$18:$N$19),IF(AND(Waterfalls!R$5=MonthRefi,'General Inputs'!$N$17="LTV"),LOOKUP(MonthRefi,OperBgt!$5:$5,OperBgt!$81:$81)*12/ExitCap*'General Inputs'!#REF!*SUM('General Inputs'!$N$18:$N$19),0))</f>
        <v>0</v>
      </c>
      <c r="S117" s="229">
        <f>-IF(AND(S$5=MonthRefi,'General Inputs'!$N$17="LTC"),'General Inputs'!$M$8*'General Inputs'!$N$9*SUM('General Inputs'!$N$18:$N$19),IF(AND(Waterfalls!S$5=MonthRefi,'General Inputs'!$N$17="LTV"),LOOKUP(MonthRefi,OperBgt!$5:$5,OperBgt!$81:$81)*12/ExitCap*'General Inputs'!V16*SUM('General Inputs'!$N$18:$N$19),0))</f>
        <v>0</v>
      </c>
      <c r="T117" s="229">
        <f>-IF(AND(T$5=MonthRefi,'General Inputs'!$N$17="LTC"),'General Inputs'!$M$8*'General Inputs'!$N$9*SUM('General Inputs'!$N$18:$N$19),IF(AND(Waterfalls!T$5=MonthRefi,'General Inputs'!$N$17="LTV"),LOOKUP(MonthRefi,OperBgt!$5:$5,OperBgt!$81:$81)*12/ExitCap*'General Inputs'!W16*SUM('General Inputs'!$N$18:$N$19),0))</f>
        <v>0</v>
      </c>
      <c r="U117" s="229">
        <f>-IF(AND(U$5=MonthRefi,'General Inputs'!$N$17="LTC"),'General Inputs'!$M$8*'General Inputs'!$N$9*SUM('General Inputs'!$N$18:$N$19),IF(AND(Waterfalls!U$5=MonthRefi,'General Inputs'!$N$17="LTV"),LOOKUP(MonthRefi,OperBgt!$5:$5,OperBgt!$81:$81)*12/ExitCap*'General Inputs'!X16*SUM('General Inputs'!$N$18:$N$19),0))</f>
        <v>0</v>
      </c>
      <c r="V117" s="229">
        <f>-IF(AND(V$5=MonthRefi,'General Inputs'!$N$17="LTC"),'General Inputs'!$M$8*'General Inputs'!$N$9*SUM('General Inputs'!$N$18:$N$19),IF(AND(Waterfalls!V$5=MonthRefi,'General Inputs'!$N$17="LTV"),LOOKUP(MonthRefi,OperBgt!$5:$5,OperBgt!$81:$81)*12/ExitCap*'General Inputs'!Y16*SUM('General Inputs'!$N$18:$N$19),0))</f>
        <v>0</v>
      </c>
      <c r="W117" s="229">
        <f>-IF(AND(W$5=MonthRefi,'General Inputs'!$N$17="LTC"),'General Inputs'!$M$8*'General Inputs'!$N$9*SUM('General Inputs'!$N$18:$N$19),IF(AND(Waterfalls!W$5=MonthRefi,'General Inputs'!$N$17="LTV"),LOOKUP(MonthRefi,OperBgt!$5:$5,OperBgt!$81:$81)*12/ExitCap*'General Inputs'!Z16*SUM('General Inputs'!$N$18:$N$19),0))</f>
        <v>0</v>
      </c>
      <c r="X117" s="229">
        <f>-IF(AND(X$5=MonthRefi,'General Inputs'!$N$17="LTC"),'General Inputs'!$M$8*'General Inputs'!$N$9*SUM('General Inputs'!$N$18:$N$19),IF(AND(Waterfalls!X$5=MonthRefi,'General Inputs'!$N$17="LTV"),LOOKUP(MonthRefi,OperBgt!$5:$5,OperBgt!$81:$81)*12/ExitCap*'General Inputs'!AA16*SUM('General Inputs'!$N$18:$N$19),0))</f>
        <v>0</v>
      </c>
      <c r="Y117" s="229">
        <f>-IF(AND(Y$5=MonthRefi,'General Inputs'!$N$17="LTC"),'General Inputs'!$M$8*'General Inputs'!$N$9*SUM('General Inputs'!$N$18:$N$19),IF(AND(Waterfalls!Y$5=MonthRefi,'General Inputs'!$N$17="LTV"),LOOKUP(MonthRefi,OperBgt!$5:$5,OperBgt!$81:$81)*12/ExitCap*'General Inputs'!AB16*SUM('General Inputs'!$N$18:$N$19),0))</f>
        <v>0</v>
      </c>
      <c r="Z117" s="229">
        <f>-IF(AND(Z$5=MonthRefi,'General Inputs'!$N$17="LTC"),'General Inputs'!$M$8*'General Inputs'!$N$9*SUM('General Inputs'!$N$18:$N$19),IF(AND(Waterfalls!Z$5=MonthRefi,'General Inputs'!$N$17="LTV"),LOOKUP(MonthRefi,OperBgt!$5:$5,OperBgt!$81:$81)*12/ExitCap*'General Inputs'!AC16*SUM('General Inputs'!$N$18:$N$19),0))</f>
        <v>0</v>
      </c>
      <c r="AA117" s="229">
        <f>-IF(AND(AA$5=MonthRefi,'General Inputs'!$N$17="LTC"),'General Inputs'!$M$8*'General Inputs'!$N$9*SUM('General Inputs'!$N$18:$N$19),IF(AND(Waterfalls!AA$5=MonthRefi,'General Inputs'!$N$17="LTV"),LOOKUP(MonthRefi,OperBgt!$5:$5,OperBgt!$81:$81)*12/ExitCap*'General Inputs'!AD16*SUM('General Inputs'!$N$18:$N$19),0))</f>
        <v>0</v>
      </c>
      <c r="AB117" s="229">
        <f>-IF(AND(AB$5=MonthRefi,'General Inputs'!$N$17="LTC"),'General Inputs'!$M$8*'General Inputs'!$N$9*SUM('General Inputs'!$N$18:$N$19),IF(AND(Waterfalls!AB$5=MonthRefi,'General Inputs'!$N$17="LTV"),LOOKUP(MonthRefi,OperBgt!$5:$5,OperBgt!$81:$81)*12/ExitCap*'General Inputs'!AE16*SUM('General Inputs'!$N$18:$N$19),0))</f>
        <v>0</v>
      </c>
      <c r="AC117" s="229">
        <f>-IF(AND(AC$5=MonthRefi,'General Inputs'!$N$17="LTC"),'General Inputs'!$M$8*'General Inputs'!$N$9*SUM('General Inputs'!$N$18:$N$19),IF(AND(Waterfalls!AC$5=MonthRefi,'General Inputs'!$N$17="LTV"),LOOKUP(MonthRefi,OperBgt!$5:$5,OperBgt!$81:$81)*12/ExitCap*'General Inputs'!AF16*SUM('General Inputs'!$N$18:$N$19),0))</f>
        <v>0</v>
      </c>
      <c r="AD117" s="229">
        <f>-IF(AND(AD$5=MonthRefi,'General Inputs'!$N$17="LTC"),'General Inputs'!$M$8*'General Inputs'!$N$9*SUM('General Inputs'!$N$18:$N$19),IF(AND(Waterfalls!AD$5=MonthRefi,'General Inputs'!$N$17="LTV"),LOOKUP(MonthRefi,OperBgt!$5:$5,OperBgt!$81:$81)*12/ExitCap*'General Inputs'!AG16*SUM('General Inputs'!$N$18:$N$19),0))</f>
        <v>0</v>
      </c>
      <c r="AE117" s="229">
        <f>-IF(AND(AE$5=MonthRefi,'General Inputs'!$N$17="LTC"),'General Inputs'!$M$8*'General Inputs'!$N$9*SUM('General Inputs'!$N$18:$N$19),IF(AND(Waterfalls!AE$5=MonthRefi,'General Inputs'!$N$17="LTV"),LOOKUP(MonthRefi,OperBgt!$5:$5,OperBgt!$81:$81)*12/ExitCap*'General Inputs'!AH16*SUM('General Inputs'!$N$18:$N$19),0))</f>
        <v>0</v>
      </c>
      <c r="AF117" s="229">
        <f>-IF(AND(AF$5=MonthRefi,'General Inputs'!$N$17="LTC"),'General Inputs'!$M$8*'General Inputs'!$N$9*SUM('General Inputs'!$N$18:$N$19),IF(AND(Waterfalls!AF$5=MonthRefi,'General Inputs'!$N$17="LTV"),LOOKUP(MonthRefi,OperBgt!$5:$5,OperBgt!$81:$81)*12/ExitCap*'General Inputs'!AI16*SUM('General Inputs'!$N$18:$N$19),0))</f>
        <v>0</v>
      </c>
      <c r="AG117" s="229">
        <f>-IF(AND(AG$5=MonthRefi,'General Inputs'!$N$17="LTC"),'General Inputs'!$M$8*'General Inputs'!$N$9*SUM('General Inputs'!$N$18:$N$19),IF(AND(Waterfalls!AG$5=MonthRefi,'General Inputs'!$N$17="LTV"),LOOKUP(MonthRefi,OperBgt!$5:$5,OperBgt!$81:$81)*12/ExitCap*'General Inputs'!AJ16*SUM('General Inputs'!$N$18:$N$19),0))</f>
        <v>0</v>
      </c>
      <c r="AH117" s="229">
        <f ca="1">-IF(AND(AH$5=MonthRefi,'General Inputs'!$N$17="LTC"),'General Inputs'!$M$8*'General Inputs'!$N$9*SUM('General Inputs'!$N$18:$N$19),IF(AND(Waterfalls!AH$5=MonthRefi,'General Inputs'!$N$17="LTV"),LOOKUP(MonthRefi,OperBgt!$5:$5,OperBgt!$81:$81)*12/ExitCap*'General Inputs'!AK16*SUM('General Inputs'!$N$18:$N$19),0))</f>
        <v>-321583.45041148626</v>
      </c>
      <c r="AI117" s="229">
        <f>-IF(AND(AI$5=MonthRefi,'General Inputs'!$N$17="LTC"),'General Inputs'!$M$8*'General Inputs'!$N$9*SUM('General Inputs'!$N$18:$N$19),IF(AND(Waterfalls!AI$5=MonthRefi,'General Inputs'!$N$17="LTV"),LOOKUP(MonthRefi,OperBgt!$5:$5,OperBgt!$81:$81)*12/ExitCap*'General Inputs'!AL16*SUM('General Inputs'!$N$18:$N$19),0))</f>
        <v>0</v>
      </c>
      <c r="AJ117" s="229">
        <f>-IF(AND(AJ$5=MonthRefi,'General Inputs'!$N$17="LTC"),'General Inputs'!$M$8*'General Inputs'!$N$9*SUM('General Inputs'!$N$18:$N$19),IF(AND(Waterfalls!AJ$5=MonthRefi,'General Inputs'!$N$17="LTV"),LOOKUP(MonthRefi,OperBgt!$5:$5,OperBgt!$81:$81)*12/ExitCap*'General Inputs'!AM16*SUM('General Inputs'!$N$18:$N$19),0))</f>
        <v>0</v>
      </c>
      <c r="AK117" s="229">
        <f>-IF(AND(AK$5=MonthRefi,'General Inputs'!$N$17="LTC"),'General Inputs'!$M$8*'General Inputs'!$N$9*SUM('General Inputs'!$N$18:$N$19),IF(AND(Waterfalls!AK$5=MonthRefi,'General Inputs'!$N$17="LTV"),LOOKUP(MonthRefi,OperBgt!$5:$5,OperBgt!$81:$81)*12/ExitCap*'General Inputs'!AN16*SUM('General Inputs'!$N$18:$N$19),0))</f>
        <v>0</v>
      </c>
      <c r="AL117" s="229">
        <f>-IF(AND(AL$5=MonthRefi,'General Inputs'!$N$17="LTC"),'General Inputs'!$M$8*'General Inputs'!$N$9*SUM('General Inputs'!$N$18:$N$19),IF(AND(Waterfalls!AL$5=MonthRefi,'General Inputs'!$N$17="LTV"),LOOKUP(MonthRefi,OperBgt!$5:$5,OperBgt!$81:$81)*12/ExitCap*'General Inputs'!AO16*SUM('General Inputs'!$N$18:$N$19),0))</f>
        <v>0</v>
      </c>
      <c r="AM117" s="229">
        <f>-IF(AND(AM$5=MonthRefi,'General Inputs'!$N$17="LTC"),'General Inputs'!$M$8*'General Inputs'!$N$9*SUM('General Inputs'!$N$18:$N$19),IF(AND(Waterfalls!AM$5=MonthRefi,'General Inputs'!$N$17="LTV"),LOOKUP(MonthRefi,OperBgt!$5:$5,OperBgt!$81:$81)*12/ExitCap*'General Inputs'!AP16*SUM('General Inputs'!$N$18:$N$19),0))</f>
        <v>0</v>
      </c>
      <c r="AN117" s="229">
        <f>-IF(AND(AN$5=MonthRefi,'General Inputs'!$N$17="LTC"),'General Inputs'!$M$8*'General Inputs'!$N$9*SUM('General Inputs'!$N$18:$N$19),IF(AND(Waterfalls!AN$5=MonthRefi,'General Inputs'!$N$17="LTV"),LOOKUP(MonthRefi,OperBgt!$5:$5,OperBgt!$81:$81)*12/ExitCap*'General Inputs'!AQ16*SUM('General Inputs'!$N$18:$N$19),0))</f>
        <v>0</v>
      </c>
      <c r="AO117" s="229">
        <f>-IF(AND(AO$5=MonthRefi,'General Inputs'!$N$17="LTC"),'General Inputs'!$M$8*'General Inputs'!$N$9*SUM('General Inputs'!$N$18:$N$19),IF(AND(Waterfalls!AO$5=MonthRefi,'General Inputs'!$N$17="LTV"),LOOKUP(MonthRefi,OperBgt!$5:$5,OperBgt!$81:$81)*12/ExitCap*'General Inputs'!AR16*SUM('General Inputs'!$N$18:$N$19),0))</f>
        <v>0</v>
      </c>
      <c r="AP117" s="229">
        <f>-IF(AND(AP$5=MonthRefi,'General Inputs'!$N$17="LTC"),'General Inputs'!$M$8*'General Inputs'!$N$9*SUM('General Inputs'!$N$18:$N$19),IF(AND(Waterfalls!AP$5=MonthRefi,'General Inputs'!$N$17="LTV"),LOOKUP(MonthRefi,OperBgt!$5:$5,OperBgt!$81:$81)*12/ExitCap*SUM('General Inputs'!$N$18:$N$19),0))</f>
        <v>0</v>
      </c>
      <c r="AQ117" s="229">
        <f>-IF(AND(AQ$5=MonthRefi,'General Inputs'!$N$17="LTC"),'General Inputs'!$M$8*'General Inputs'!$N$9*SUM('General Inputs'!$N$18:$N$19),IF(AND(Waterfalls!AQ$5=MonthRefi,'General Inputs'!$N$17="LTV"),LOOKUP(MonthRefi,OperBgt!$5:$5,OperBgt!$81:$81)*12/ExitCap*'General Inputs'!AT16*SUM('General Inputs'!$N$18:$N$19),0))</f>
        <v>0</v>
      </c>
      <c r="AR117" s="229">
        <f>-IF(AND(AR$5=MonthRefi,'General Inputs'!$N$17="LTC"),'General Inputs'!$M$8*'General Inputs'!$N$9*SUM('General Inputs'!$N$18:$N$19),IF(AND(Waterfalls!AR$5=MonthRefi,'General Inputs'!$N$17="LTV"),LOOKUP(MonthRefi,OperBgt!$5:$5,OperBgt!$81:$81)*12/ExitCap*'General Inputs'!AU16*SUM('General Inputs'!$N$18:$N$19),0))</f>
        <v>0</v>
      </c>
      <c r="AS117" s="229">
        <f>-IF(AND(AS$5=MonthRefi,'General Inputs'!$N$17="LTC"),'General Inputs'!$M$8*'General Inputs'!$N$9*SUM('General Inputs'!$N$18:$N$19),IF(AND(Waterfalls!AS$5=MonthRefi,'General Inputs'!$N$17="LTV"),LOOKUP(MonthRefi,OperBgt!$5:$5,OperBgt!$81:$81)*12/ExitCap*'General Inputs'!AV16*SUM('General Inputs'!$N$18:$N$19),0))</f>
        <v>0</v>
      </c>
      <c r="AT117" s="229">
        <f>-IF(AND(AT$5=MonthRefi,'General Inputs'!$N$17="LTC"),'General Inputs'!$M$8*'General Inputs'!$N$9*SUM('General Inputs'!$N$18:$N$19),IF(AND(Waterfalls!AT$5=MonthRefi,'General Inputs'!$N$17="LTV"),LOOKUP(MonthRefi,OperBgt!$5:$5,OperBgt!$81:$81)*12/ExitCap*'General Inputs'!AW16*SUM('General Inputs'!$N$18:$N$19),0))</f>
        <v>0</v>
      </c>
      <c r="AU117" s="229">
        <f>-IF(AND(AU$5=MonthRefi,'General Inputs'!$N$17="LTC"),'General Inputs'!$M$8*'General Inputs'!$N$9*SUM('General Inputs'!$N$18:$N$19),IF(AND(Waterfalls!AU$5=MonthRefi,'General Inputs'!$N$17="LTV"),LOOKUP(MonthRefi,OperBgt!$5:$5,OperBgt!$81:$81)*12/ExitCap*'General Inputs'!AX16*SUM('General Inputs'!$N$18:$N$19),0))</f>
        <v>0</v>
      </c>
      <c r="AV117" s="229">
        <f>-IF(AND(AV$5=MonthRefi,'General Inputs'!$N$17="LTC"),'General Inputs'!$M$8*'General Inputs'!$N$9*SUM('General Inputs'!$N$18:$N$19),IF(AND(Waterfalls!AV$5=MonthRefi,'General Inputs'!$N$17="LTV"),LOOKUP(MonthRefi,OperBgt!$5:$5,OperBgt!$81:$81)*12/ExitCap*'General Inputs'!AY16*SUM('General Inputs'!$N$18:$N$19),0))</f>
        <v>0</v>
      </c>
      <c r="AW117" s="229">
        <f>-IF(AND(AW$5=MonthRefi,'General Inputs'!$N$17="LTC"),'General Inputs'!$M$8*'General Inputs'!$N$9*SUM('General Inputs'!$N$18:$N$19),IF(AND(Waterfalls!AW$5=MonthRefi,'General Inputs'!$N$17="LTV"),LOOKUP(MonthRefi,OperBgt!$5:$5,OperBgt!$81:$81)*12/ExitCap*'General Inputs'!AZ16*SUM('General Inputs'!$N$18:$N$19),0))</f>
        <v>0</v>
      </c>
      <c r="AX117" s="229">
        <f>-IF(AND(AX$5=MonthRefi,'General Inputs'!$N$17="LTC"),'General Inputs'!$M$8*'General Inputs'!$N$9*SUM('General Inputs'!$N$18:$N$19),IF(AND(Waterfalls!AX$5=MonthRefi,'General Inputs'!$N$17="LTV"),LOOKUP(MonthRefi,OperBgt!$5:$5,OperBgt!$81:$81)*12/ExitCap*'General Inputs'!BA16*SUM('General Inputs'!$N$18:$N$19),0))</f>
        <v>0</v>
      </c>
      <c r="AY117" s="229">
        <f>-IF(AND(AY$5=MonthRefi,'General Inputs'!$N$17="LTC"),'General Inputs'!$M$8*'General Inputs'!$N$9*SUM('General Inputs'!$N$18:$N$19),IF(AND(Waterfalls!AY$5=MonthRefi,'General Inputs'!$N$17="LTV"),LOOKUP(MonthRefi,OperBgt!$5:$5,OperBgt!$81:$81)*12/ExitCap*'General Inputs'!BB16*SUM('General Inputs'!$N$18:$N$19),0))</f>
        <v>0</v>
      </c>
      <c r="AZ117" s="229">
        <f>-IF(AND(AZ$5=MonthRefi,'General Inputs'!$N$17="LTC"),'General Inputs'!$M$8*'General Inputs'!$N$9*SUM('General Inputs'!$N$18:$N$19),IF(AND(Waterfalls!AZ$5=MonthRefi,'General Inputs'!$N$17="LTV"),LOOKUP(MonthRefi,OperBgt!$5:$5,OperBgt!$81:$81)*12/ExitCap*'General Inputs'!BC16*SUM('General Inputs'!$N$18:$N$19),0))</f>
        <v>0</v>
      </c>
      <c r="BA117" s="229">
        <f>-IF(AND(BA$5=MonthRefi,'General Inputs'!$N$17="LTC"),'General Inputs'!$M$8*'General Inputs'!$N$9*SUM('General Inputs'!$N$18:$N$19),IF(AND(Waterfalls!BA$5=MonthRefi,'General Inputs'!$N$17="LTV"),LOOKUP(MonthRefi,OperBgt!$5:$5,OperBgt!$81:$81)*12/ExitCap*'General Inputs'!BD16*SUM('General Inputs'!$N$18:$N$19),0))</f>
        <v>0</v>
      </c>
      <c r="BB117" s="229">
        <f>-IF(AND(BB$5=MonthRefi,'General Inputs'!$N$17="LTC"),'General Inputs'!$M$8*'General Inputs'!$N$9*SUM('General Inputs'!$N$18:$N$19),IF(AND(Waterfalls!BB$5=MonthRefi,'General Inputs'!$N$17="LTV"),LOOKUP(MonthRefi,OperBgt!$5:$5,OperBgt!$81:$81)*12/ExitCap*'General Inputs'!BE16*SUM('General Inputs'!$N$18:$N$19),0))</f>
        <v>0</v>
      </c>
      <c r="BC117" s="229">
        <f>-IF(AND(BC$5=MonthRefi,'General Inputs'!$N$17="LTC"),'General Inputs'!$M$8*'General Inputs'!$N$9*SUM('General Inputs'!$N$18:$N$19),IF(AND(Waterfalls!BC$5=MonthRefi,'General Inputs'!$N$17="LTV"),LOOKUP(MonthRefi,OperBgt!$5:$5,OperBgt!$81:$81)*12/ExitCap*'General Inputs'!BF16*SUM('General Inputs'!$N$18:$N$19),0))</f>
        <v>0</v>
      </c>
      <c r="BD117" s="229">
        <f>-IF(AND(BD$5=MonthRefi,'General Inputs'!$N$17="LTC"),'General Inputs'!$M$8*'General Inputs'!$N$9*SUM('General Inputs'!$N$18:$N$19),IF(AND(Waterfalls!BD$5=MonthRefi,'General Inputs'!$N$17="LTV"),LOOKUP(MonthRefi,OperBgt!$5:$5,OperBgt!$81:$81)*12/ExitCap*'General Inputs'!BG16*SUM('General Inputs'!$N$18:$N$19),0))</f>
        <v>0</v>
      </c>
      <c r="BE117" s="229">
        <f>-IF(AND(BE$5=MonthRefi,'General Inputs'!$N$17="LTC"),'General Inputs'!$M$8*'General Inputs'!$N$9*SUM('General Inputs'!$N$18:$N$19),IF(AND(Waterfalls!BE$5=MonthRefi,'General Inputs'!$N$17="LTV"),LOOKUP(MonthRefi,OperBgt!$5:$5,OperBgt!$81:$81)*12/ExitCap*'General Inputs'!BH16*SUM('General Inputs'!$N$18:$N$19),0))</f>
        <v>0</v>
      </c>
      <c r="BF117" s="229">
        <f>-IF(AND(BF$5=MonthRefi,'General Inputs'!$N$17="LTC"),'General Inputs'!$M$8*'General Inputs'!$N$9*SUM('General Inputs'!$N$18:$N$19),IF(AND(Waterfalls!BF$5=MonthRefi,'General Inputs'!$N$17="LTV"),LOOKUP(MonthRefi,OperBgt!$5:$5,OperBgt!$81:$81)*12/ExitCap*'General Inputs'!BI16*SUM('General Inputs'!$N$18:$N$19),0))</f>
        <v>0</v>
      </c>
      <c r="BG117" s="229">
        <f>-IF(AND(BG$5=MonthRefi,'General Inputs'!$N$17="LTC"),'General Inputs'!$M$8*'General Inputs'!$N$9*SUM('General Inputs'!$N$18:$N$19),IF(AND(Waterfalls!BG$5=MonthRefi,'General Inputs'!$N$17="LTV"),LOOKUP(MonthRefi,OperBgt!$5:$5,OperBgt!$81:$81)*12/ExitCap*'General Inputs'!BJ16*SUM('General Inputs'!$N$18:$N$19),0))</f>
        <v>0</v>
      </c>
      <c r="BH117" s="229">
        <f>-IF(AND(BH$5=MonthRefi,'General Inputs'!$N$17="LTC"),'General Inputs'!$M$8*'General Inputs'!$N$9*SUM('General Inputs'!$N$18:$N$19),IF(AND(Waterfalls!BH$5=MonthRefi,'General Inputs'!$N$17="LTV"),LOOKUP(MonthRefi,OperBgt!$5:$5,OperBgt!$81:$81)*12/ExitCap*'General Inputs'!BK16*SUM('General Inputs'!$N$18:$N$19),0))</f>
        <v>0</v>
      </c>
      <c r="BI117" s="229">
        <f>-IF(AND(BI$5=MonthRefi,'General Inputs'!$N$17="LTC"),'General Inputs'!$M$8*'General Inputs'!$N$9*SUM('General Inputs'!$N$18:$N$19),IF(AND(Waterfalls!BI$5=MonthRefi,'General Inputs'!$N$17="LTV"),LOOKUP(MonthRefi,OperBgt!$5:$5,OperBgt!$81:$81)*12/ExitCap*'General Inputs'!BL16*SUM('General Inputs'!$N$18:$N$19),0))</f>
        <v>0</v>
      </c>
      <c r="BJ117" s="229">
        <f>-IF(AND(BJ$5=MonthRefi,'General Inputs'!$N$17="LTC"),'General Inputs'!$M$8*'General Inputs'!$N$9*SUM('General Inputs'!$N$18:$N$19),IF(AND(Waterfalls!BJ$5=MonthRefi,'General Inputs'!$N$17="LTV"),LOOKUP(MonthRefi,OperBgt!$5:$5,OperBgt!$81:$81)*12/ExitCap*'General Inputs'!BM16*SUM('General Inputs'!$N$18:$N$19),0))</f>
        <v>0</v>
      </c>
      <c r="BK117" s="229">
        <f>-IF(AND(BK$5=MonthRefi,'General Inputs'!$N$17="LTC"),'General Inputs'!$M$8*'General Inputs'!$N$9*SUM('General Inputs'!$N$18:$N$19),IF(AND(Waterfalls!BK$5=MonthRefi,'General Inputs'!$N$17="LTV"),LOOKUP(MonthRefi,OperBgt!$5:$5,OperBgt!$81:$81)*12/ExitCap*'General Inputs'!BN16*SUM('General Inputs'!$N$18:$N$19),0))</f>
        <v>0</v>
      </c>
      <c r="BL117" s="229">
        <f>-IF(AND(BL$5=MonthRefi,'General Inputs'!$N$17="LTC"),'General Inputs'!$M$8*'General Inputs'!$N$9*SUM('General Inputs'!$N$18:$N$19),IF(AND(Waterfalls!BL$5=MonthRefi,'General Inputs'!$N$17="LTV"),LOOKUP(MonthRefi,OperBgt!$5:$5,OperBgt!$81:$81)*12/ExitCap*'General Inputs'!BO16*SUM('General Inputs'!$N$18:$N$19),0))</f>
        <v>0</v>
      </c>
      <c r="BM117" s="229">
        <f>-IF(AND(BM$5=MonthRefi,'General Inputs'!$N$17="LTC"),'General Inputs'!$M$8*'General Inputs'!$N$9*SUM('General Inputs'!$N$18:$N$19),IF(AND(Waterfalls!BM$5=MonthRefi,'General Inputs'!$N$17="LTV"),LOOKUP(MonthRefi,OperBgt!$5:$5,OperBgt!$81:$81)*12/ExitCap*'General Inputs'!BP16*SUM('General Inputs'!$N$18:$N$19),0))</f>
        <v>0</v>
      </c>
      <c r="BN117" s="229">
        <f>-IF(AND(BN$5=MonthRefi,'General Inputs'!$N$17="LTC"),'General Inputs'!$M$8*'General Inputs'!$N$9*SUM('General Inputs'!$N$18:$N$19),IF(AND(Waterfalls!BN$5=MonthRefi,'General Inputs'!$N$17="LTV"),LOOKUP(MonthRefi,OperBgt!$5:$5,OperBgt!$81:$81)*12/ExitCap*'General Inputs'!BQ16*SUM('General Inputs'!$N$18:$N$19),0))</f>
        <v>0</v>
      </c>
      <c r="BO117" s="229">
        <f>-IF(AND(BO$5=MonthRefi,'General Inputs'!$N$17="LTC"),'General Inputs'!$M$8*'General Inputs'!$N$9*SUM('General Inputs'!$N$18:$N$19),IF(AND(Waterfalls!BO$5=MonthRefi,'General Inputs'!$N$17="LTV"),LOOKUP(MonthRefi,OperBgt!$5:$5,OperBgt!$81:$81)*12/ExitCap*'General Inputs'!BR16*SUM('General Inputs'!$N$18:$N$19),0))</f>
        <v>0</v>
      </c>
      <c r="BP117" s="229">
        <f>-IF(AND(BP$5=MonthRefi,'General Inputs'!$N$17="LTC"),'General Inputs'!$M$8*'General Inputs'!$N$9*SUM('General Inputs'!$N$18:$N$19),IF(AND(Waterfalls!BP$5=MonthRefi,'General Inputs'!$N$17="LTV"),LOOKUP(MonthRefi,OperBgt!$5:$5,OperBgt!$81:$81)*12/ExitCap*'General Inputs'!BS16*SUM('General Inputs'!$N$18:$N$19),0))</f>
        <v>0</v>
      </c>
      <c r="BQ117" s="229">
        <f>-IF(AND(BQ$5=MonthRefi,'General Inputs'!$N$17="LTC"),'General Inputs'!$M$8*'General Inputs'!$N$9*SUM('General Inputs'!$N$18:$N$19),IF(AND(Waterfalls!BQ$5=MonthRefi,'General Inputs'!$N$17="LTV"),LOOKUP(MonthRefi,OperBgt!$5:$5,OperBgt!$81:$81)*12/ExitCap*'General Inputs'!BT16*SUM('General Inputs'!$N$18:$N$19),0))</f>
        <v>0</v>
      </c>
      <c r="BR117" s="229">
        <f>-IF(AND(BR$5=MonthRefi,'General Inputs'!$N$17="LTC"),'General Inputs'!$M$8*'General Inputs'!$N$9*SUM('General Inputs'!$N$18:$N$19),IF(AND(Waterfalls!BR$5=MonthRefi,'General Inputs'!$N$17="LTV"),LOOKUP(MonthRefi,OperBgt!$5:$5,OperBgt!$81:$81)*12/ExitCap*'General Inputs'!BU16*SUM('General Inputs'!$N$18:$N$19),0))</f>
        <v>0</v>
      </c>
      <c r="BS117" s="229">
        <f>-IF(AND(BS$5=MonthRefi,'General Inputs'!$N$17="LTC"),'General Inputs'!$M$8*'General Inputs'!$N$9*SUM('General Inputs'!$N$18:$N$19),IF(AND(Waterfalls!BS$5=MonthRefi,'General Inputs'!$N$17="LTV"),LOOKUP(MonthRefi,OperBgt!$5:$5,OperBgt!$81:$81)*12/ExitCap*'General Inputs'!BV16*SUM('General Inputs'!$N$18:$N$19),0))</f>
        <v>0</v>
      </c>
      <c r="BT117" s="229">
        <f>-IF(AND(BT$5=MonthRefi,'General Inputs'!$N$17="LTC"),'General Inputs'!$M$8*'General Inputs'!$N$9*SUM('General Inputs'!$N$18:$N$19),IF(AND(Waterfalls!BT$5=MonthRefi,'General Inputs'!$N$17="LTV"),LOOKUP(MonthRefi,OperBgt!$5:$5,OperBgt!$81:$81)*12/ExitCap*'General Inputs'!BW16*SUM('General Inputs'!$N$18:$N$19),0))</f>
        <v>0</v>
      </c>
      <c r="BU117" s="229">
        <f>-IF(AND(BU$5=MonthRefi,'General Inputs'!$N$17="LTC"),'General Inputs'!$M$8*'General Inputs'!$N$9*SUM('General Inputs'!$N$18:$N$19),IF(AND(Waterfalls!BU$5=MonthRefi,'General Inputs'!$N$17="LTV"),LOOKUP(MonthRefi,OperBgt!$5:$5,OperBgt!$81:$81)*12/ExitCap*'General Inputs'!BX16*SUM('General Inputs'!$N$18:$N$19),0))</f>
        <v>0</v>
      </c>
      <c r="BV117" s="229">
        <f>-IF(AND(BV$5=MonthRefi,'General Inputs'!$N$17="LTC"),'General Inputs'!$M$8*'General Inputs'!$N$9*SUM('General Inputs'!$N$18:$N$19),IF(AND(Waterfalls!BV$5=MonthRefi,'General Inputs'!$N$17="LTV"),LOOKUP(MonthRefi,OperBgt!$5:$5,OperBgt!$81:$81)*12/ExitCap*'General Inputs'!BY16*SUM('General Inputs'!$N$18:$N$19),0))</f>
        <v>0</v>
      </c>
      <c r="BW117" s="229">
        <f>-IF(AND(BW$5=MonthRefi,'General Inputs'!$N$17="LTC"),'General Inputs'!$M$8*'General Inputs'!$N$9*SUM('General Inputs'!$N$18:$N$19),IF(AND(Waterfalls!BW$5=MonthRefi,'General Inputs'!$N$17="LTV"),LOOKUP(MonthRefi,OperBgt!$5:$5,OperBgt!$81:$81)*12/ExitCap*'General Inputs'!BZ16*SUM('General Inputs'!$N$18:$N$19),0))</f>
        <v>0</v>
      </c>
      <c r="BX117" s="229">
        <f>-IF(AND(BX$5=MonthRefi,'General Inputs'!$N$17="LTC"),'General Inputs'!$M$8*'General Inputs'!$N$9*SUM('General Inputs'!$N$18:$N$19),IF(AND(Waterfalls!BX$5=MonthRefi,'General Inputs'!$N$17="LTV"),LOOKUP(MonthRefi,OperBgt!$5:$5,OperBgt!$81:$81)*12/ExitCap*'General Inputs'!CA16*SUM('General Inputs'!$N$18:$N$19),0))</f>
        <v>0</v>
      </c>
      <c r="BY117" s="229">
        <f>-IF(AND(BY$5=MonthRefi,'General Inputs'!$N$17="LTC"),'General Inputs'!$M$8*'General Inputs'!$N$9*SUM('General Inputs'!$N$18:$N$19),IF(AND(Waterfalls!BY$5=MonthRefi,'General Inputs'!$N$17="LTV"),LOOKUP(MonthRefi,OperBgt!$5:$5,OperBgt!$81:$81)*12/ExitCap*'General Inputs'!CB16*SUM('General Inputs'!$N$18:$N$19),0))</f>
        <v>0</v>
      </c>
      <c r="BZ117" s="229">
        <f>-IF(AND(BZ$5=MonthRefi,'General Inputs'!$N$17="LTC"),'General Inputs'!$M$8*'General Inputs'!$N$9*SUM('General Inputs'!$N$18:$N$19),IF(AND(Waterfalls!BZ$5=MonthRefi,'General Inputs'!$N$17="LTV"),LOOKUP(MonthRefi,OperBgt!$5:$5,OperBgt!$81:$81)*12/ExitCap*'General Inputs'!CC16*SUM('General Inputs'!$N$18:$N$19),0))</f>
        <v>0</v>
      </c>
      <c r="CA117" s="229">
        <f>-IF(AND(CA$5=MonthRefi,'General Inputs'!$N$17="LTC"),'General Inputs'!$M$8*'General Inputs'!$N$9*SUM('General Inputs'!$N$18:$N$19),IF(AND(Waterfalls!CA$5=MonthRefi,'General Inputs'!$N$17="LTV"),LOOKUP(MonthRefi,OperBgt!$5:$5,OperBgt!$81:$81)*12/ExitCap*'General Inputs'!CD16*SUM('General Inputs'!$N$18:$N$19),0))</f>
        <v>0</v>
      </c>
      <c r="CB117" s="229">
        <f>-IF(AND(CB$5=MonthRefi,'General Inputs'!$N$17="LTC"),'General Inputs'!$M$8*'General Inputs'!$N$9*SUM('General Inputs'!$N$18:$N$19),IF(AND(Waterfalls!CB$5=MonthRefi,'General Inputs'!$N$17="LTV"),LOOKUP(MonthRefi,OperBgt!$5:$5,OperBgt!$81:$81)*12/ExitCap*'General Inputs'!CE16*SUM('General Inputs'!$N$18:$N$19),0))</f>
        <v>0</v>
      </c>
      <c r="CC117" s="229">
        <f>-IF(AND(CC$5=MonthRefi,'General Inputs'!$N$17="LTC"),'General Inputs'!$M$8*'General Inputs'!$N$9*SUM('General Inputs'!$N$18:$N$19),IF(AND(Waterfalls!CC$5=MonthRefi,'General Inputs'!$N$17="LTV"),LOOKUP(MonthRefi,OperBgt!$5:$5,OperBgt!$81:$81)*12/ExitCap*'General Inputs'!CF16*SUM('General Inputs'!$N$18:$N$19),0))</f>
        <v>0</v>
      </c>
      <c r="CD117" s="229">
        <f>-IF(AND(CD$5=MonthRefi,'General Inputs'!$N$17="LTC"),'General Inputs'!$M$8*'General Inputs'!$N$9*SUM('General Inputs'!$N$18:$N$19),IF(AND(Waterfalls!CD$5=MonthRefi,'General Inputs'!$N$17="LTV"),LOOKUP(MonthRefi,OperBgt!$5:$5,OperBgt!$81:$81)*12/ExitCap*'General Inputs'!CG16*SUM('General Inputs'!$N$18:$N$19),0))</f>
        <v>0</v>
      </c>
      <c r="CE117" s="229">
        <f>-IF(AND(CE$5=MonthRefi,'General Inputs'!$N$17="LTC"),'General Inputs'!$M$8*'General Inputs'!$N$9*SUM('General Inputs'!$N$18:$N$19),IF(AND(Waterfalls!CE$5=MonthRefi,'General Inputs'!$N$17="LTV"),LOOKUP(MonthRefi,OperBgt!$5:$5,OperBgt!$81:$81)*12/ExitCap*'General Inputs'!CH16*SUM('General Inputs'!$N$18:$N$19),0))</f>
        <v>0</v>
      </c>
      <c r="CF117" s="229">
        <f>-IF(AND(CF$5=MonthRefi,'General Inputs'!$N$17="LTC"),'General Inputs'!$M$8*'General Inputs'!$N$9*SUM('General Inputs'!$N$18:$N$19),IF(AND(Waterfalls!CF$5=MonthRefi,'General Inputs'!$N$17="LTV"),LOOKUP(MonthRefi,OperBgt!$5:$5,OperBgt!$81:$81)*12/ExitCap*'General Inputs'!CI16*SUM('General Inputs'!$N$18:$N$19),0))</f>
        <v>0</v>
      </c>
      <c r="CG117" s="229">
        <f>-IF(AND(CG$5=MonthRefi,'General Inputs'!$N$17="LTC"),'General Inputs'!$M$8*'General Inputs'!$N$9*SUM('General Inputs'!$N$18:$N$19),IF(AND(Waterfalls!CG$5=MonthRefi,'General Inputs'!$N$17="LTV"),LOOKUP(MonthRefi,OperBgt!$5:$5,OperBgt!$81:$81)*12/ExitCap*'General Inputs'!CJ16*SUM('General Inputs'!$N$18:$N$19),0))</f>
        <v>0</v>
      </c>
      <c r="CH117" s="229">
        <f>-IF(AND(CH$5=MonthRefi,'General Inputs'!$N$17="LTC"),'General Inputs'!$M$8*'General Inputs'!$N$9*SUM('General Inputs'!$N$18:$N$19),IF(AND(Waterfalls!CH$5=MonthRefi,'General Inputs'!$N$17="LTV"),LOOKUP(MonthRefi,OperBgt!$5:$5,OperBgt!$81:$81)*12/ExitCap*'General Inputs'!CK16*SUM('General Inputs'!$N$18:$N$19),0))</f>
        <v>0</v>
      </c>
      <c r="CI117" s="229">
        <f>-IF(AND(CI$5=MonthRefi,'General Inputs'!$N$17="LTC"),'General Inputs'!$M$8*'General Inputs'!$N$9*SUM('General Inputs'!$N$18:$N$19),IF(AND(Waterfalls!CI$5=MonthRefi,'General Inputs'!$N$17="LTV"),LOOKUP(MonthRefi,OperBgt!$5:$5,OperBgt!$81:$81)*12/ExitCap*'General Inputs'!CL16*SUM('General Inputs'!$N$18:$N$19),0))</f>
        <v>0</v>
      </c>
      <c r="CJ117" s="229">
        <f>-IF(AND(CJ$5=MonthRefi,'General Inputs'!$N$17="LTC"),'General Inputs'!$M$8*'General Inputs'!$N$9*SUM('General Inputs'!$N$18:$N$19),IF(AND(Waterfalls!CJ$5=MonthRefi,'General Inputs'!$N$17="LTV"),LOOKUP(MonthRefi,OperBgt!$5:$5,OperBgt!$81:$81)*12/ExitCap*'General Inputs'!CM16*SUM('General Inputs'!$N$18:$N$19),0))</f>
        <v>0</v>
      </c>
      <c r="CK117" s="229">
        <f>-IF(AND(CK$5=MonthRefi,'General Inputs'!$N$17="LTC"),'General Inputs'!$M$8*'General Inputs'!$N$9*SUM('General Inputs'!$N$18:$N$19),IF(AND(Waterfalls!CK$5=MonthRefi,'General Inputs'!$N$17="LTV"),LOOKUP(MonthRefi,OperBgt!$5:$5,OperBgt!$81:$81)*12/ExitCap*'General Inputs'!CN16*SUM('General Inputs'!$N$18:$N$19),0))</f>
        <v>0</v>
      </c>
      <c r="CL117" s="229">
        <f>-IF(AND(CL$5=MonthRefi,'General Inputs'!$N$17="LTC"),'General Inputs'!$M$8*'General Inputs'!$N$9*SUM('General Inputs'!$N$18:$N$19),IF(AND(Waterfalls!CL$5=MonthRefi,'General Inputs'!$N$17="LTV"),LOOKUP(MonthRefi,OperBgt!$5:$5,OperBgt!$81:$81)*12/ExitCap*'General Inputs'!CO16*SUM('General Inputs'!$N$18:$N$19),0))</f>
        <v>0</v>
      </c>
      <c r="CM117" s="229">
        <f>-IF(AND(CM$5=MonthRefi,'General Inputs'!$N$17="LTC"),'General Inputs'!$M$8*'General Inputs'!$N$9*SUM('General Inputs'!$N$18:$N$19),IF(AND(Waterfalls!CM$5=MonthRefi,'General Inputs'!$N$17="LTV"),LOOKUP(MonthRefi,OperBgt!$5:$5,OperBgt!$81:$81)*12/ExitCap*'General Inputs'!CP16*SUM('General Inputs'!$N$18:$N$19),0))</f>
        <v>0</v>
      </c>
      <c r="CN117" s="229">
        <f>-IF(AND(CN$5=MonthRefi,'General Inputs'!$N$17="LTC"),'General Inputs'!$M$8*'General Inputs'!$N$9*SUM('General Inputs'!$N$18:$N$19),IF(AND(Waterfalls!CN$5=MonthRefi,'General Inputs'!$N$17="LTV"),LOOKUP(MonthRefi,OperBgt!$5:$5,OperBgt!$81:$81)*12/ExitCap*'General Inputs'!CQ16*SUM('General Inputs'!$N$18:$N$19),0))</f>
        <v>0</v>
      </c>
      <c r="CO117" s="229">
        <f>-IF(AND(CO$5=MonthRefi,'General Inputs'!$N$17="LTC"),'General Inputs'!$M$8*'General Inputs'!$N$9*SUM('General Inputs'!$N$18:$N$19),IF(AND(Waterfalls!CO$5=MonthRefi,'General Inputs'!$N$17="LTV"),LOOKUP(MonthRefi,OperBgt!$5:$5,OperBgt!$81:$81)*12/ExitCap*'General Inputs'!CR16*SUM('General Inputs'!$N$18:$N$19),0))</f>
        <v>0</v>
      </c>
      <c r="CP117" s="229">
        <f>-IF(AND(CP$5=MonthRefi,'General Inputs'!$N$17="LTC"),'General Inputs'!$M$8*'General Inputs'!$N$9*SUM('General Inputs'!$N$18:$N$19),IF(AND(Waterfalls!CP$5=MonthRefi,'General Inputs'!$N$17="LTV"),LOOKUP(MonthRefi,OperBgt!$5:$5,OperBgt!$81:$81)*12/ExitCap*'General Inputs'!CS16*SUM('General Inputs'!$N$18:$N$19),0))</f>
        <v>0</v>
      </c>
      <c r="CQ117" s="229">
        <f>-IF(AND(CQ$5=MonthRefi,'General Inputs'!$N$17="LTC"),'General Inputs'!$M$8*'General Inputs'!$N$9*SUM('General Inputs'!$N$18:$N$19),IF(AND(Waterfalls!CQ$5=MonthRefi,'General Inputs'!$N$17="LTV"),LOOKUP(MonthRefi,OperBgt!$5:$5,OperBgt!$81:$81)*12/ExitCap*'General Inputs'!CT16*SUM('General Inputs'!$N$18:$N$19),0))</f>
        <v>0</v>
      </c>
      <c r="CR117" s="229">
        <f>-IF(AND(CR$5=MonthRefi,'General Inputs'!$N$17="LTC"),'General Inputs'!$M$8*'General Inputs'!$N$9*SUM('General Inputs'!$N$18:$N$19),IF(AND(Waterfalls!CR$5=MonthRefi,'General Inputs'!$N$17="LTV"),LOOKUP(MonthRefi,OperBgt!$5:$5,OperBgt!$81:$81)*12/ExitCap*'General Inputs'!CU16*SUM('General Inputs'!$N$18:$N$19),0))</f>
        <v>0</v>
      </c>
      <c r="CS117" s="229">
        <f>-IF(AND(CS$5=MonthRefi,'General Inputs'!$N$17="LTC"),'General Inputs'!$M$8*'General Inputs'!$N$9*SUM('General Inputs'!$N$18:$N$19),IF(AND(Waterfalls!CS$5=MonthRefi,'General Inputs'!$N$17="LTV"),LOOKUP(MonthRefi,OperBgt!$5:$5,OperBgt!$81:$81)*12/ExitCap*'General Inputs'!CV16*SUM('General Inputs'!$N$18:$N$19),0))</f>
        <v>0</v>
      </c>
      <c r="CT117" s="229">
        <f>-IF(AND(CT$5=MonthRefi,'General Inputs'!$N$17="LTC"),'General Inputs'!$M$8*'General Inputs'!$N$9*SUM('General Inputs'!$N$18:$N$19),IF(AND(Waterfalls!CT$5=MonthRefi,'General Inputs'!$N$17="LTV"),LOOKUP(MonthRefi,OperBgt!$5:$5,OperBgt!$81:$81)*12/ExitCap*'General Inputs'!CW16*SUM('General Inputs'!$N$18:$N$19),0))</f>
        <v>0</v>
      </c>
      <c r="CU117" s="229">
        <f>-IF(AND(CU$5=MonthRefi,'General Inputs'!$N$17="LTC"),'General Inputs'!$M$8*'General Inputs'!$N$9*SUM('General Inputs'!$N$18:$N$19),IF(AND(Waterfalls!CU$5=MonthRefi,'General Inputs'!$N$17="LTV"),LOOKUP(MonthRefi,OperBgt!$5:$5,OperBgt!$81:$81)*12/ExitCap*'General Inputs'!CX16*SUM('General Inputs'!$N$18:$N$19),0))</f>
        <v>0</v>
      </c>
      <c r="CV117" s="229">
        <f>-IF(AND(CV$5=MonthRefi,'General Inputs'!$N$17="LTC"),'General Inputs'!$M$8*'General Inputs'!$N$9*SUM('General Inputs'!$N$18:$N$19),IF(AND(Waterfalls!CV$5=MonthRefi,'General Inputs'!$N$17="LTV"),LOOKUP(MonthRefi,OperBgt!$5:$5,OperBgt!$81:$81)*12/ExitCap*'General Inputs'!CY16*SUM('General Inputs'!$N$18:$N$19),0))</f>
        <v>0</v>
      </c>
      <c r="CW117" s="229">
        <f>-IF(AND(CW$5=MonthRefi,'General Inputs'!$N$17="LTC"),'General Inputs'!$M$8*'General Inputs'!$N$9*SUM('General Inputs'!$N$18:$N$19),IF(AND(Waterfalls!CW$5=MonthRefi,'General Inputs'!$N$17="LTV"),LOOKUP(MonthRefi,OperBgt!$5:$5,OperBgt!$81:$81)*12/ExitCap*'General Inputs'!CZ16*SUM('General Inputs'!$N$18:$N$19),0))</f>
        <v>0</v>
      </c>
      <c r="CX117" s="229">
        <f>-IF(AND(CX$5=MonthRefi,'General Inputs'!$N$17="LTC"),'General Inputs'!$M$8*'General Inputs'!$N$9*SUM('General Inputs'!$N$18:$N$19),IF(AND(Waterfalls!CX$5=MonthRefi,'General Inputs'!$N$17="LTV"),LOOKUP(MonthRefi,OperBgt!$5:$5,OperBgt!$81:$81)*12/ExitCap*'General Inputs'!DA16*SUM('General Inputs'!$N$18:$N$19),0))</f>
        <v>0</v>
      </c>
      <c r="CY117" s="229">
        <f>-IF(AND(CY$5=MonthRefi,'General Inputs'!$N$17="LTC"),'General Inputs'!$M$8*'General Inputs'!$N$9*SUM('General Inputs'!$N$18:$N$19),IF(AND(Waterfalls!CY$5=MonthRefi,'General Inputs'!$N$17="LTV"),LOOKUP(MonthRefi,OperBgt!$5:$5,OperBgt!$81:$81)*12/ExitCap*'General Inputs'!DB16*SUM('General Inputs'!$N$18:$N$19),0))</f>
        <v>0</v>
      </c>
      <c r="CZ117" s="229">
        <f>-IF(AND(CZ$5=MonthRefi,'General Inputs'!$N$17="LTC"),'General Inputs'!$M$8*'General Inputs'!$N$9*SUM('General Inputs'!$N$18:$N$19),IF(AND(Waterfalls!CZ$5=MonthRefi,'General Inputs'!$N$17="LTV"),LOOKUP(MonthRefi,OperBgt!$5:$5,OperBgt!$81:$81)*12/ExitCap*'General Inputs'!DC16*SUM('General Inputs'!$N$18:$N$19),0))</f>
        <v>0</v>
      </c>
      <c r="DA117" s="229">
        <f>-IF(AND(DA$5=MonthRefi,'General Inputs'!$N$17="LTC"),'General Inputs'!$M$8*'General Inputs'!$N$9*SUM('General Inputs'!$N$18:$N$19),IF(AND(Waterfalls!DA$5=MonthRefi,'General Inputs'!$N$17="LTV"),LOOKUP(MonthRefi,OperBgt!$5:$5,OperBgt!$81:$81)*12/ExitCap*'General Inputs'!DD16*SUM('General Inputs'!$N$18:$N$19),0))</f>
        <v>0</v>
      </c>
      <c r="DB117" s="229">
        <f>-IF(AND(DB$5=MonthRefi,'General Inputs'!$N$17="LTC"),'General Inputs'!$M$8*'General Inputs'!$N$9*SUM('General Inputs'!$N$18:$N$19),IF(AND(Waterfalls!DB$5=MonthRefi,'General Inputs'!$N$17="LTV"),LOOKUP(MonthRefi,OperBgt!$5:$5,OperBgt!$81:$81)*12/ExitCap*'General Inputs'!DE16*SUM('General Inputs'!$N$18:$N$19),0))</f>
        <v>0</v>
      </c>
      <c r="DC117" s="229">
        <f>-IF(AND(DC$5=MonthRefi,'General Inputs'!$N$17="LTC"),'General Inputs'!$M$8*'General Inputs'!$N$9*SUM('General Inputs'!$N$18:$N$19),IF(AND(Waterfalls!DC$5=MonthRefi,'General Inputs'!$N$17="LTV"),LOOKUP(MonthRefi,OperBgt!$5:$5,OperBgt!$81:$81)*12/ExitCap*'General Inputs'!DF16*SUM('General Inputs'!$N$18:$N$19),0))</f>
        <v>0</v>
      </c>
      <c r="DD117" s="229">
        <f>-IF(AND(DD$5=MonthRefi,'General Inputs'!$N$17="LTC"),'General Inputs'!$M$8*'General Inputs'!$N$9*SUM('General Inputs'!$N$18:$N$19),IF(AND(Waterfalls!DD$5=MonthRefi,'General Inputs'!$N$17="LTV"),LOOKUP(MonthRefi,OperBgt!$5:$5,OperBgt!$81:$81)*12/ExitCap*'General Inputs'!DG16*SUM('General Inputs'!$N$18:$N$19),0))</f>
        <v>0</v>
      </c>
      <c r="DE117" s="229">
        <f>-IF(AND(DE$5=MonthRefi,'General Inputs'!$N$17="LTC"),'General Inputs'!$M$8*'General Inputs'!$N$9*SUM('General Inputs'!$N$18:$N$19),IF(AND(Waterfalls!DE$5=MonthRefi,'General Inputs'!$N$17="LTV"),LOOKUP(MonthRefi,OperBgt!$5:$5,OperBgt!$81:$81)*12/ExitCap*'General Inputs'!DH16*SUM('General Inputs'!$N$18:$N$19),0))</f>
        <v>0</v>
      </c>
      <c r="DF117" s="229">
        <f>-IF(AND(DF$5=MonthRefi,'General Inputs'!$N$17="LTC"),'General Inputs'!$M$8*'General Inputs'!$N$9*SUM('General Inputs'!$N$18:$N$19),IF(AND(Waterfalls!DF$5=MonthRefi,'General Inputs'!$N$17="LTV"),LOOKUP(MonthRefi,OperBgt!$5:$5,OperBgt!$81:$81)*12/ExitCap*'General Inputs'!DI16*SUM('General Inputs'!$N$18:$N$19),0))</f>
        <v>0</v>
      </c>
      <c r="DG117" s="229">
        <f>-IF(AND(DG$5=MonthRefi,'General Inputs'!$N$17="LTC"),'General Inputs'!$M$8*'General Inputs'!$N$9*SUM('General Inputs'!$N$18:$N$19),IF(AND(Waterfalls!DG$5=MonthRefi,'General Inputs'!$N$17="LTV"),LOOKUP(MonthRefi,OperBgt!$5:$5,OperBgt!$81:$81)*12/ExitCap*'General Inputs'!DJ16*SUM('General Inputs'!$N$18:$N$19),0))</f>
        <v>0</v>
      </c>
      <c r="DH117" s="229">
        <f>-IF(AND(DH$5=MonthRefi,'General Inputs'!$N$17="LTC"),'General Inputs'!$M$8*'General Inputs'!$N$9*SUM('General Inputs'!$N$18:$N$19),IF(AND(Waterfalls!DH$5=MonthRefi,'General Inputs'!$N$17="LTV"),LOOKUP(MonthRefi,OperBgt!$5:$5,OperBgt!$81:$81)*12/ExitCap*'General Inputs'!DK16*SUM('General Inputs'!$N$18:$N$19),0))</f>
        <v>0</v>
      </c>
      <c r="DI117" s="229">
        <f>-IF(AND(DI$5=MonthRefi,'General Inputs'!$N$17="LTC"),'General Inputs'!$M$8*'General Inputs'!$N$9*SUM('General Inputs'!$N$18:$N$19),IF(AND(Waterfalls!DI$5=MonthRefi,'General Inputs'!$N$17="LTV"),LOOKUP(MonthRefi,OperBgt!$5:$5,OperBgt!$81:$81)*12/ExitCap*'General Inputs'!DL16*SUM('General Inputs'!$N$18:$N$19),0))</f>
        <v>0</v>
      </c>
      <c r="DJ117" s="229">
        <f>-IF(AND(DJ$5=MonthRefi,'General Inputs'!$N$17="LTC"),'General Inputs'!$M$8*'General Inputs'!$N$9*SUM('General Inputs'!$N$18:$N$19),IF(AND(Waterfalls!DJ$5=MonthRefi,'General Inputs'!$N$17="LTV"),LOOKUP(MonthRefi,OperBgt!$5:$5,OperBgt!$81:$81)*12/ExitCap*'General Inputs'!DM16*SUM('General Inputs'!$N$18:$N$19),0))</f>
        <v>0</v>
      </c>
      <c r="DK117" s="229">
        <f>-IF(AND(DK$5=MonthRefi,'General Inputs'!$N$17="LTC"),'General Inputs'!$M$8*'General Inputs'!$N$9*SUM('General Inputs'!$N$18:$N$19),IF(AND(Waterfalls!DK$5=MonthRefi,'General Inputs'!$N$17="LTV"),LOOKUP(MonthRefi,OperBgt!$5:$5,OperBgt!$81:$81)*12/ExitCap*'General Inputs'!DN16*SUM('General Inputs'!$N$18:$N$19),0))</f>
        <v>0</v>
      </c>
      <c r="DL117" s="229">
        <f>-IF(AND(DL$5=MonthRefi,'General Inputs'!$N$17="LTC"),'General Inputs'!$M$8*'General Inputs'!$N$9*SUM('General Inputs'!$N$18:$N$19),IF(AND(Waterfalls!DL$5=MonthRefi,'General Inputs'!$N$17="LTV"),LOOKUP(MonthRefi,OperBgt!$5:$5,OperBgt!$81:$81)*12/ExitCap*'General Inputs'!DO16*SUM('General Inputs'!$N$18:$N$19),0))</f>
        <v>0</v>
      </c>
      <c r="DM117" s="229">
        <f>-IF(AND(DM$5=MonthRefi,'General Inputs'!$N$17="LTC"),'General Inputs'!$M$8*'General Inputs'!$N$9*SUM('General Inputs'!$N$18:$N$19),IF(AND(Waterfalls!DM$5=MonthRefi,'General Inputs'!$N$17="LTV"),LOOKUP(MonthRefi,OperBgt!$5:$5,OperBgt!$81:$81)*12/ExitCap*'General Inputs'!DP16*SUM('General Inputs'!$N$18:$N$19),0))</f>
        <v>0</v>
      </c>
      <c r="DN117" s="229">
        <f>-IF(AND(DN$5=MonthRefi,'General Inputs'!$N$17="LTC"),'General Inputs'!$M$8*'General Inputs'!$N$9*SUM('General Inputs'!$N$18:$N$19),IF(AND(Waterfalls!DN$5=MonthRefi,'General Inputs'!$N$17="LTV"),LOOKUP(MonthRefi,OperBgt!$5:$5,OperBgt!$81:$81)*12/ExitCap*'General Inputs'!DQ16*SUM('General Inputs'!$N$18:$N$19),0))</f>
        <v>0</v>
      </c>
      <c r="DO117" s="229">
        <f>-IF(AND(DO$5=MonthRefi,'General Inputs'!$N$17="LTC"),'General Inputs'!$M$8*'General Inputs'!$N$9*SUM('General Inputs'!$N$18:$N$19),IF(AND(Waterfalls!DO$5=MonthRefi,'General Inputs'!$N$17="LTV"),LOOKUP(MonthRefi,OperBgt!$5:$5,OperBgt!$81:$81)*12/ExitCap*'General Inputs'!DR16*SUM('General Inputs'!$N$18:$N$19),0))</f>
        <v>0</v>
      </c>
      <c r="DP117" s="229">
        <f>-IF(AND(DP$5=MonthRefi,'General Inputs'!$N$17="LTC"),'General Inputs'!$M$8*'General Inputs'!$N$9*SUM('General Inputs'!$N$18:$N$19),IF(AND(Waterfalls!DP$5=MonthRefi,'General Inputs'!$N$17="LTV"),LOOKUP(MonthRefi,OperBgt!$5:$5,OperBgt!$81:$81)*12/ExitCap*'General Inputs'!DS16*SUM('General Inputs'!$N$18:$N$19),0))</f>
        <v>0</v>
      </c>
      <c r="DQ117" s="229">
        <f>-IF(AND(DQ$5=MonthRefi,'General Inputs'!$N$17="LTC"),'General Inputs'!$M$8*'General Inputs'!$N$9*SUM('General Inputs'!$N$18:$N$19),IF(AND(Waterfalls!DQ$5=MonthRefi,'General Inputs'!$N$17="LTV"),LOOKUP(MonthRefi,OperBgt!$5:$5,OperBgt!$81:$81)*12/ExitCap*'General Inputs'!DT16*SUM('General Inputs'!$N$18:$N$19),0))</f>
        <v>0</v>
      </c>
      <c r="DR117" s="229">
        <f>-IF(AND(DR$5=MonthRefi,'General Inputs'!$N$17="LTC"),'General Inputs'!$M$8*'General Inputs'!$N$9*SUM('General Inputs'!$N$18:$N$19),IF(AND(Waterfalls!DR$5=MonthRefi,'General Inputs'!$N$17="LTV"),LOOKUP(MonthRefi,OperBgt!$5:$5,OperBgt!$81:$81)*12/ExitCap*'General Inputs'!DU16*SUM('General Inputs'!$N$18:$N$19),0))</f>
        <v>0</v>
      </c>
      <c r="DS117" s="229">
        <f>-IF(AND(DS$5=MonthRefi,'General Inputs'!$N$17="LTC"),'General Inputs'!$M$8*'General Inputs'!$N$9*SUM('General Inputs'!$N$18:$N$19),IF(AND(Waterfalls!DS$5=MonthRefi,'General Inputs'!$N$17="LTV"),LOOKUP(MonthRefi,OperBgt!$5:$5,OperBgt!$81:$81)*12/ExitCap*'General Inputs'!DV16*SUM('General Inputs'!$N$18:$N$19),0))</f>
        <v>0</v>
      </c>
      <c r="DT117" s="229">
        <f>-IF(AND(DT$5=MonthRefi,'General Inputs'!$N$17="LTC"),'General Inputs'!$M$8*'General Inputs'!$N$9*SUM('General Inputs'!$N$18:$N$19),IF(AND(Waterfalls!DT$5=MonthRefi,'General Inputs'!$N$17="LTV"),LOOKUP(MonthRefi,OperBgt!$5:$5,OperBgt!$81:$81)*12/ExitCap*'General Inputs'!DW16*SUM('General Inputs'!$N$18:$N$19),0))</f>
        <v>0</v>
      </c>
      <c r="DU117" s="229">
        <f>-IF(AND(DU$5=MonthRefi,'General Inputs'!$N$17="LTC"),'General Inputs'!$M$8*'General Inputs'!$N$9*SUM('General Inputs'!$N$18:$N$19),IF(AND(Waterfalls!DU$5=MonthRefi,'General Inputs'!$N$17="LTV"),LOOKUP(MonthRefi,OperBgt!$5:$5,OperBgt!$81:$81)*12/ExitCap*'General Inputs'!DX16*SUM('General Inputs'!$N$18:$N$19),0))</f>
        <v>0</v>
      </c>
      <c r="DV117" s="229">
        <f>-IF(AND(DV$5=MonthRefi,'General Inputs'!$N$17="LTC"),'General Inputs'!$M$8*'General Inputs'!$N$9*SUM('General Inputs'!$N$18:$N$19),IF(AND(Waterfalls!DV$5=MonthRefi,'General Inputs'!$N$17="LTV"),LOOKUP(MonthRefi,OperBgt!$5:$5,OperBgt!$81:$81)*12/ExitCap*'General Inputs'!DY16*SUM('General Inputs'!$N$18:$N$19),0))</f>
        <v>0</v>
      </c>
      <c r="DW117" s="229">
        <f>-IF(AND(DW$5=MonthRefi,'General Inputs'!$N$17="LTC"),'General Inputs'!$M$8*'General Inputs'!$N$9*SUM('General Inputs'!$N$18:$N$19),IF(AND(Waterfalls!DW$5=MonthRefi,'General Inputs'!$N$17="LTV"),LOOKUP(MonthRefi,OperBgt!$5:$5,OperBgt!$81:$81)*12/ExitCap*'General Inputs'!DZ16*SUM('General Inputs'!$N$18:$N$19),0))</f>
        <v>0</v>
      </c>
      <c r="DX117" s="229">
        <f>-IF(AND(DX$5=MonthRefi,'General Inputs'!$N$17="LTC"),'General Inputs'!$M$8*'General Inputs'!$N$9*SUM('General Inputs'!$N$18:$N$19),IF(AND(Waterfalls!DX$5=MonthRefi,'General Inputs'!$N$17="LTV"),LOOKUP(MonthRefi,OperBgt!$5:$5,OperBgt!$81:$81)*12/ExitCap*'General Inputs'!EA16*SUM('General Inputs'!$N$18:$N$19),0))</f>
        <v>0</v>
      </c>
      <c r="DY117" s="229">
        <f>-IF(AND(DY$5=MonthRefi,'General Inputs'!$N$17="LTC"),'General Inputs'!$M$8*'General Inputs'!$N$9*SUM('General Inputs'!$N$18:$N$19),IF(AND(Waterfalls!DY$5=MonthRefi,'General Inputs'!$N$17="LTV"),LOOKUP(MonthRefi,OperBgt!$5:$5,OperBgt!$81:$81)*12/ExitCap*'General Inputs'!EB16*SUM('General Inputs'!$N$18:$N$19),0))</f>
        <v>0</v>
      </c>
      <c r="DZ117" s="229">
        <f>-IF(AND(DZ$5=MonthRefi,'General Inputs'!$N$17="LTC"),'General Inputs'!$M$8*'General Inputs'!$N$9*SUM('General Inputs'!$N$18:$N$19),IF(AND(Waterfalls!DZ$5=MonthRefi,'General Inputs'!$N$17="LTV"),LOOKUP(MonthRefi,OperBgt!$5:$5,OperBgt!$81:$81)*12/ExitCap*'General Inputs'!EC16*SUM('General Inputs'!$N$18:$N$19),0))</f>
        <v>0</v>
      </c>
      <c r="EA117" s="229">
        <f>-IF(AND(EA$5=MonthRefi,'General Inputs'!$N$17="LTC"),'General Inputs'!$M$8*'General Inputs'!$N$9*SUM('General Inputs'!$N$18:$N$19),IF(AND(Waterfalls!EA$5=MonthRefi,'General Inputs'!$N$17="LTV"),LOOKUP(MonthRefi,OperBgt!$5:$5,OperBgt!$81:$81)*12/ExitCap*'General Inputs'!ED16*SUM('General Inputs'!$N$18:$N$19),0))</f>
        <v>0</v>
      </c>
      <c r="EB117" s="229">
        <f>-IF(AND(EB$5=MonthRefi,'General Inputs'!$N$17="LTC"),'General Inputs'!$M$8*'General Inputs'!$N$9*SUM('General Inputs'!$N$18:$N$19),IF(AND(Waterfalls!EB$5=MonthRefi,'General Inputs'!$N$17="LTV"),LOOKUP(MonthRefi,OperBgt!$5:$5,OperBgt!$81:$81)*12/ExitCap*'General Inputs'!EE16*SUM('General Inputs'!$N$18:$N$19),0))</f>
        <v>0</v>
      </c>
      <c r="EC117" s="229">
        <f>-IF(AND(EC$5=MonthRefi,'General Inputs'!$N$17="LTC"),'General Inputs'!$M$8*'General Inputs'!$N$9*SUM('General Inputs'!$N$18:$N$19),IF(AND(Waterfalls!EC$5=MonthRefi,'General Inputs'!$N$17="LTV"),LOOKUP(MonthRefi,OperBgt!$5:$5,OperBgt!$81:$81)*12/ExitCap*'General Inputs'!EF16*SUM('General Inputs'!$N$18:$N$19),0))</f>
        <v>0</v>
      </c>
      <c r="ED117" s="229">
        <f>-IF(AND(ED$5=MonthRefi,'General Inputs'!$N$17="LTC"),'General Inputs'!$M$8*'General Inputs'!$N$9*SUM('General Inputs'!$N$18:$N$19),IF(AND(Waterfalls!ED$5=MonthRefi,'General Inputs'!$N$17="LTV"),LOOKUP(MonthRefi,OperBgt!$5:$5,OperBgt!$81:$81)*12/ExitCap*'General Inputs'!EG16*SUM('General Inputs'!$N$18:$N$19),0))</f>
        <v>0</v>
      </c>
      <c r="EE117" s="229">
        <f>-IF(AND(EE$5=MonthRefi,'General Inputs'!$N$17="LTC"),'General Inputs'!$M$8*'General Inputs'!$N$9*SUM('General Inputs'!$N$18:$N$19),IF(AND(Waterfalls!EE$5=MonthRefi,'General Inputs'!$N$17="LTV"),LOOKUP(MonthRefi,OperBgt!$5:$5,OperBgt!$81:$81)*12/ExitCap*'General Inputs'!EH16*SUM('General Inputs'!$N$18:$N$19),0))</f>
        <v>0</v>
      </c>
      <c r="EF117" s="229">
        <f>-IF(AND(EF$5=MonthRefi,'General Inputs'!$N$17="LTC"),'General Inputs'!$M$8*'General Inputs'!$N$9*SUM('General Inputs'!$N$18:$N$19),IF(AND(Waterfalls!EF$5=MonthRefi,'General Inputs'!$N$17="LTV"),LOOKUP(MonthRefi,OperBgt!$5:$5,OperBgt!$81:$81)*12/ExitCap*'General Inputs'!EI16*SUM('General Inputs'!$N$18:$N$19),0))</f>
        <v>0</v>
      </c>
      <c r="EG117" s="229">
        <f>-IF(AND(EG$5=MonthRefi,'General Inputs'!$N$17="LTC"),'General Inputs'!$M$8*'General Inputs'!$N$9*SUM('General Inputs'!$N$18:$N$19),IF(AND(Waterfalls!EG$5=MonthRefi,'General Inputs'!$N$17="LTV"),LOOKUP(MonthRefi,OperBgt!$5:$5,OperBgt!$81:$81)*12/ExitCap*'General Inputs'!EJ16*SUM('General Inputs'!$N$18:$N$19),0))</f>
        <v>0</v>
      </c>
    </row>
    <row r="118" spans="1:137" x14ac:dyDescent="0.3">
      <c r="A118" s="701" t="s">
        <v>2481</v>
      </c>
      <c r="B118" s="701"/>
      <c r="C118" s="701"/>
      <c r="D118" s="727"/>
      <c r="E118" s="702">
        <f t="shared" ref="E118:BP118" si="184">SUM(E116:E117)</f>
        <v>0</v>
      </c>
      <c r="F118" s="702">
        <f t="shared" si="184"/>
        <v>0</v>
      </c>
      <c r="G118" s="702">
        <f t="shared" si="184"/>
        <v>0</v>
      </c>
      <c r="H118" s="702">
        <f t="shared" si="184"/>
        <v>0</v>
      </c>
      <c r="I118" s="702">
        <f t="shared" si="184"/>
        <v>0</v>
      </c>
      <c r="J118" s="702">
        <f t="shared" si="184"/>
        <v>0</v>
      </c>
      <c r="K118" s="702">
        <f t="shared" si="184"/>
        <v>0</v>
      </c>
      <c r="L118" s="702">
        <f t="shared" si="184"/>
        <v>0</v>
      </c>
      <c r="M118" s="702">
        <f t="shared" si="184"/>
        <v>0</v>
      </c>
      <c r="N118" s="702">
        <f t="shared" si="184"/>
        <v>0</v>
      </c>
      <c r="O118" s="702">
        <f t="shared" si="184"/>
        <v>0</v>
      </c>
      <c r="P118" s="702">
        <f t="shared" si="184"/>
        <v>0</v>
      </c>
      <c r="Q118" s="702">
        <f t="shared" si="184"/>
        <v>0</v>
      </c>
      <c r="R118" s="702">
        <f t="shared" si="184"/>
        <v>0</v>
      </c>
      <c r="S118" s="702">
        <f t="shared" si="184"/>
        <v>0</v>
      </c>
      <c r="T118" s="702">
        <f t="shared" si="184"/>
        <v>0</v>
      </c>
      <c r="U118" s="702">
        <f t="shared" si="184"/>
        <v>0</v>
      </c>
      <c r="V118" s="702">
        <f t="shared" si="184"/>
        <v>0</v>
      </c>
      <c r="W118" s="702">
        <f t="shared" si="184"/>
        <v>0</v>
      </c>
      <c r="X118" s="702">
        <f t="shared" si="184"/>
        <v>0</v>
      </c>
      <c r="Y118" s="702">
        <f t="shared" si="184"/>
        <v>0</v>
      </c>
      <c r="Z118" s="702">
        <f t="shared" si="184"/>
        <v>0</v>
      </c>
      <c r="AA118" s="702">
        <f t="shared" si="184"/>
        <v>0</v>
      </c>
      <c r="AB118" s="702">
        <f t="shared" si="184"/>
        <v>0</v>
      </c>
      <c r="AC118" s="702">
        <f t="shared" si="184"/>
        <v>0</v>
      </c>
      <c r="AD118" s="702">
        <f t="shared" si="184"/>
        <v>0</v>
      </c>
      <c r="AE118" s="702">
        <f t="shared" si="184"/>
        <v>0</v>
      </c>
      <c r="AF118" s="702">
        <f t="shared" si="184"/>
        <v>0</v>
      </c>
      <c r="AG118" s="702">
        <f t="shared" si="184"/>
        <v>0</v>
      </c>
      <c r="AH118" s="702">
        <f t="shared" ca="1" si="184"/>
        <v>42877793.388198167</v>
      </c>
      <c r="AI118" s="702">
        <f t="shared" si="184"/>
        <v>0</v>
      </c>
      <c r="AJ118" s="702">
        <f t="shared" si="184"/>
        <v>0</v>
      </c>
      <c r="AK118" s="702">
        <f t="shared" si="184"/>
        <v>0</v>
      </c>
      <c r="AL118" s="702">
        <f t="shared" si="184"/>
        <v>0</v>
      </c>
      <c r="AM118" s="702">
        <f t="shared" si="184"/>
        <v>0</v>
      </c>
      <c r="AN118" s="702">
        <f t="shared" si="184"/>
        <v>0</v>
      </c>
      <c r="AO118" s="702">
        <f t="shared" si="184"/>
        <v>0</v>
      </c>
      <c r="AP118" s="702">
        <f t="shared" si="184"/>
        <v>0</v>
      </c>
      <c r="AQ118" s="702">
        <f t="shared" si="184"/>
        <v>0</v>
      </c>
      <c r="AR118" s="702">
        <f t="shared" si="184"/>
        <v>0</v>
      </c>
      <c r="AS118" s="702">
        <f t="shared" si="184"/>
        <v>0</v>
      </c>
      <c r="AT118" s="702">
        <f t="shared" si="184"/>
        <v>0</v>
      </c>
      <c r="AU118" s="702">
        <f t="shared" si="184"/>
        <v>0</v>
      </c>
      <c r="AV118" s="702">
        <f t="shared" si="184"/>
        <v>0</v>
      </c>
      <c r="AW118" s="702">
        <f t="shared" si="184"/>
        <v>0</v>
      </c>
      <c r="AX118" s="702">
        <f t="shared" si="184"/>
        <v>0</v>
      </c>
      <c r="AY118" s="702">
        <f t="shared" si="184"/>
        <v>0</v>
      </c>
      <c r="AZ118" s="702">
        <f t="shared" si="184"/>
        <v>0</v>
      </c>
      <c r="BA118" s="702">
        <f t="shared" si="184"/>
        <v>0</v>
      </c>
      <c r="BB118" s="702">
        <f t="shared" si="184"/>
        <v>0</v>
      </c>
      <c r="BC118" s="702">
        <f t="shared" si="184"/>
        <v>0</v>
      </c>
      <c r="BD118" s="702">
        <f t="shared" si="184"/>
        <v>0</v>
      </c>
      <c r="BE118" s="702">
        <f t="shared" si="184"/>
        <v>0</v>
      </c>
      <c r="BF118" s="702">
        <f t="shared" si="184"/>
        <v>0</v>
      </c>
      <c r="BG118" s="702">
        <f t="shared" si="184"/>
        <v>0</v>
      </c>
      <c r="BH118" s="702">
        <f t="shared" si="184"/>
        <v>0</v>
      </c>
      <c r="BI118" s="702">
        <f t="shared" si="184"/>
        <v>0</v>
      </c>
      <c r="BJ118" s="702">
        <f t="shared" si="184"/>
        <v>0</v>
      </c>
      <c r="BK118" s="702">
        <f t="shared" si="184"/>
        <v>0</v>
      </c>
      <c r="BL118" s="702">
        <f t="shared" si="184"/>
        <v>0</v>
      </c>
      <c r="BM118" s="702">
        <f>SUM(BM116:BM117)</f>
        <v>0</v>
      </c>
      <c r="BN118" s="702">
        <f t="shared" si="184"/>
        <v>0</v>
      </c>
      <c r="BO118" s="702">
        <f t="shared" si="184"/>
        <v>0</v>
      </c>
      <c r="BP118" s="702">
        <f t="shared" si="184"/>
        <v>0</v>
      </c>
      <c r="BQ118" s="702">
        <f t="shared" ref="BQ118:EB118" si="185">SUM(BQ116:BQ117)</f>
        <v>0</v>
      </c>
      <c r="BR118" s="702">
        <f t="shared" si="185"/>
        <v>0</v>
      </c>
      <c r="BS118" s="702">
        <f t="shared" si="185"/>
        <v>0</v>
      </c>
      <c r="BT118" s="702">
        <f t="shared" si="185"/>
        <v>0</v>
      </c>
      <c r="BU118" s="702">
        <f t="shared" si="185"/>
        <v>0</v>
      </c>
      <c r="BV118" s="702">
        <f t="shared" si="185"/>
        <v>0</v>
      </c>
      <c r="BW118" s="702">
        <f t="shared" si="185"/>
        <v>0</v>
      </c>
      <c r="BX118" s="702">
        <f t="shared" si="185"/>
        <v>0</v>
      </c>
      <c r="BY118" s="702">
        <f t="shared" si="185"/>
        <v>0</v>
      </c>
      <c r="BZ118" s="702">
        <f t="shared" si="185"/>
        <v>0</v>
      </c>
      <c r="CA118" s="702">
        <f t="shared" si="185"/>
        <v>0</v>
      </c>
      <c r="CB118" s="702">
        <f t="shared" si="185"/>
        <v>0</v>
      </c>
      <c r="CC118" s="702">
        <f t="shared" si="185"/>
        <v>0</v>
      </c>
      <c r="CD118" s="702">
        <f t="shared" si="185"/>
        <v>0</v>
      </c>
      <c r="CE118" s="702">
        <f t="shared" si="185"/>
        <v>0</v>
      </c>
      <c r="CF118" s="702">
        <f t="shared" si="185"/>
        <v>0</v>
      </c>
      <c r="CG118" s="702">
        <f t="shared" si="185"/>
        <v>0</v>
      </c>
      <c r="CH118" s="702">
        <f t="shared" si="185"/>
        <v>0</v>
      </c>
      <c r="CI118" s="702">
        <f t="shared" si="185"/>
        <v>0</v>
      </c>
      <c r="CJ118" s="702">
        <f t="shared" si="185"/>
        <v>0</v>
      </c>
      <c r="CK118" s="702">
        <f t="shared" si="185"/>
        <v>0</v>
      </c>
      <c r="CL118" s="702">
        <f t="shared" si="185"/>
        <v>0</v>
      </c>
      <c r="CM118" s="702">
        <f t="shared" si="185"/>
        <v>0</v>
      </c>
      <c r="CN118" s="702">
        <f t="shared" si="185"/>
        <v>0</v>
      </c>
      <c r="CO118" s="702">
        <f t="shared" si="185"/>
        <v>0</v>
      </c>
      <c r="CP118" s="702">
        <f t="shared" si="185"/>
        <v>0</v>
      </c>
      <c r="CQ118" s="702">
        <f t="shared" si="185"/>
        <v>0</v>
      </c>
      <c r="CR118" s="702">
        <f t="shared" si="185"/>
        <v>0</v>
      </c>
      <c r="CS118" s="702">
        <f t="shared" si="185"/>
        <v>0</v>
      </c>
      <c r="CT118" s="702">
        <f t="shared" si="185"/>
        <v>0</v>
      </c>
      <c r="CU118" s="702">
        <f t="shared" si="185"/>
        <v>0</v>
      </c>
      <c r="CV118" s="702">
        <f t="shared" si="185"/>
        <v>0</v>
      </c>
      <c r="CW118" s="702">
        <f t="shared" si="185"/>
        <v>0</v>
      </c>
      <c r="CX118" s="702">
        <f t="shared" si="185"/>
        <v>0</v>
      </c>
      <c r="CY118" s="702">
        <f t="shared" si="185"/>
        <v>0</v>
      </c>
      <c r="CZ118" s="702">
        <f t="shared" si="185"/>
        <v>0</v>
      </c>
      <c r="DA118" s="702">
        <f t="shared" si="185"/>
        <v>0</v>
      </c>
      <c r="DB118" s="702">
        <f t="shared" si="185"/>
        <v>0</v>
      </c>
      <c r="DC118" s="702">
        <f t="shared" si="185"/>
        <v>0</v>
      </c>
      <c r="DD118" s="702">
        <f t="shared" si="185"/>
        <v>0</v>
      </c>
      <c r="DE118" s="702">
        <f t="shared" si="185"/>
        <v>0</v>
      </c>
      <c r="DF118" s="702">
        <f t="shared" si="185"/>
        <v>0</v>
      </c>
      <c r="DG118" s="702">
        <f t="shared" si="185"/>
        <v>0</v>
      </c>
      <c r="DH118" s="702">
        <f t="shared" si="185"/>
        <v>0</v>
      </c>
      <c r="DI118" s="702">
        <f t="shared" si="185"/>
        <v>0</v>
      </c>
      <c r="DJ118" s="702">
        <f t="shared" si="185"/>
        <v>0</v>
      </c>
      <c r="DK118" s="702">
        <f t="shared" si="185"/>
        <v>0</v>
      </c>
      <c r="DL118" s="702">
        <f t="shared" si="185"/>
        <v>0</v>
      </c>
      <c r="DM118" s="702">
        <f t="shared" si="185"/>
        <v>0</v>
      </c>
      <c r="DN118" s="702">
        <f t="shared" si="185"/>
        <v>0</v>
      </c>
      <c r="DO118" s="702">
        <f t="shared" si="185"/>
        <v>0</v>
      </c>
      <c r="DP118" s="702">
        <f t="shared" si="185"/>
        <v>0</v>
      </c>
      <c r="DQ118" s="702">
        <f t="shared" si="185"/>
        <v>0</v>
      </c>
      <c r="DR118" s="702">
        <f t="shared" si="185"/>
        <v>0</v>
      </c>
      <c r="DS118" s="702">
        <f t="shared" si="185"/>
        <v>0</v>
      </c>
      <c r="DT118" s="702">
        <f t="shared" si="185"/>
        <v>0</v>
      </c>
      <c r="DU118" s="702">
        <f t="shared" si="185"/>
        <v>0</v>
      </c>
      <c r="DV118" s="702">
        <f t="shared" si="185"/>
        <v>0</v>
      </c>
      <c r="DW118" s="702">
        <f t="shared" si="185"/>
        <v>0</v>
      </c>
      <c r="DX118" s="702">
        <f t="shared" si="185"/>
        <v>0</v>
      </c>
      <c r="DY118" s="702">
        <f t="shared" si="185"/>
        <v>0</v>
      </c>
      <c r="DZ118" s="702">
        <f t="shared" si="185"/>
        <v>0</v>
      </c>
      <c r="EA118" s="702">
        <f t="shared" si="185"/>
        <v>0</v>
      </c>
      <c r="EB118" s="702">
        <f t="shared" si="185"/>
        <v>0</v>
      </c>
      <c r="EC118" s="702">
        <f t="shared" ref="EC118:EG118" si="186">SUM(EC116:EC117)</f>
        <v>0</v>
      </c>
      <c r="ED118" s="702">
        <f t="shared" si="186"/>
        <v>0</v>
      </c>
      <c r="EE118" s="702">
        <f t="shared" si="186"/>
        <v>0</v>
      </c>
      <c r="EF118" s="702">
        <f t="shared" si="186"/>
        <v>0</v>
      </c>
      <c r="EG118" s="702">
        <f t="shared" si="186"/>
        <v>0</v>
      </c>
    </row>
    <row r="119" spans="1:137" ht="7.5" customHeight="1" x14ac:dyDescent="0.3"/>
    <row r="120" spans="1:137" x14ac:dyDescent="0.3">
      <c r="A120" t="str">
        <f>"Mezzanine Loan, "&amp;TEXT('General Inputs'!$O$9,"0.00%")&amp;" of "&amp;IF('General Inputs'!$O$17="LTC","Cost","Value")</f>
        <v>Mezzanine Loan, 0.00% of Cost</v>
      </c>
      <c r="E120" s="227">
        <f>IF(E$5=MonthRefi,'General Inputs'!$O$8,0)</f>
        <v>0</v>
      </c>
      <c r="F120" s="227">
        <f>IF(F$5=MonthRefi,'General Inputs'!$O$8,0)</f>
        <v>0</v>
      </c>
      <c r="G120" s="227">
        <f>IF(G$5=MonthRefi,'General Inputs'!$O$8,0)</f>
        <v>0</v>
      </c>
      <c r="H120" s="227">
        <f>IF(H$5=MonthRefi,'General Inputs'!$O$8,0)</f>
        <v>0</v>
      </c>
      <c r="I120" s="227">
        <f>IF(I$5=MonthRefi,'General Inputs'!$O$8,0)</f>
        <v>0</v>
      </c>
      <c r="J120" s="227">
        <f>IF(J$5=MonthRefi,'General Inputs'!$O$8,0)</f>
        <v>0</v>
      </c>
      <c r="K120" s="227">
        <f>IF(K$5=MonthRefi,'General Inputs'!$O$8,0)</f>
        <v>0</v>
      </c>
      <c r="L120" s="227">
        <f>IF(L$5=MonthRefi,'General Inputs'!$O$8,0)</f>
        <v>0</v>
      </c>
      <c r="M120" s="227">
        <f>IF(M$5=MonthRefi,'General Inputs'!$O$8,0)</f>
        <v>0</v>
      </c>
      <c r="N120" s="227">
        <f>IF(N$5=MonthRefi,'General Inputs'!$O$8,0)</f>
        <v>0</v>
      </c>
      <c r="O120" s="227">
        <f>IF(O$5=MonthRefi,'General Inputs'!$O$8,0)</f>
        <v>0</v>
      </c>
      <c r="P120" s="227">
        <f>IF(P$5=MonthRefi,'General Inputs'!$O$8,0)</f>
        <v>0</v>
      </c>
      <c r="Q120" s="227">
        <f>IF(Q$5=MonthRefi,'General Inputs'!$O$8,0)</f>
        <v>0</v>
      </c>
      <c r="R120" s="227">
        <f>IF(R$5=MonthRefi,'General Inputs'!$O$8,0)</f>
        <v>0</v>
      </c>
      <c r="S120" s="227">
        <f>IF(S$5=MonthRefi,'General Inputs'!$O$8,0)</f>
        <v>0</v>
      </c>
      <c r="T120" s="227">
        <f>IF(T$5=MonthRefi,'General Inputs'!$O$8,0)</f>
        <v>0</v>
      </c>
      <c r="U120" s="227">
        <f>IF(U$5=MonthRefi,'General Inputs'!$O$8,0)</f>
        <v>0</v>
      </c>
      <c r="V120" s="227">
        <f>IF(V$5=MonthRefi,'General Inputs'!$O$8,0)</f>
        <v>0</v>
      </c>
      <c r="W120" s="227">
        <f>IF(W$5=MonthRefi,'General Inputs'!$O$8,0)</f>
        <v>0</v>
      </c>
      <c r="X120" s="227">
        <f>IF(X$5=MonthRefi,'General Inputs'!$O$8,0)</f>
        <v>0</v>
      </c>
      <c r="Y120" s="227">
        <f>IF(Y$5=MonthRefi,'General Inputs'!$O$8,0)</f>
        <v>0</v>
      </c>
      <c r="Z120" s="227">
        <f>IF(Z$5=MonthRefi,'General Inputs'!$O$8,0)</f>
        <v>0</v>
      </c>
      <c r="AA120" s="227">
        <f>IF(AA$5=MonthRefi,'General Inputs'!$O$8,0)</f>
        <v>0</v>
      </c>
      <c r="AB120" s="227">
        <f>IF(AB$5=MonthRefi,'General Inputs'!$O$8,0)</f>
        <v>0</v>
      </c>
      <c r="AC120" s="227">
        <f>IF(AC$5=MonthRefi,'General Inputs'!$O$8,0)</f>
        <v>0</v>
      </c>
      <c r="AD120" s="227">
        <f>IF(AD$5=MonthRefi,'General Inputs'!$O$8,0)</f>
        <v>0</v>
      </c>
      <c r="AE120" s="227">
        <f>IF(AE$5=MonthRefi,'General Inputs'!$O$8,0)</f>
        <v>0</v>
      </c>
      <c r="AF120" s="227">
        <f>IF(AF$5=MonthRefi,'General Inputs'!$O$8,0)</f>
        <v>0</v>
      </c>
      <c r="AG120" s="227">
        <f>IF(AG$5=MonthRefi,'General Inputs'!$O$8,0)</f>
        <v>0</v>
      </c>
      <c r="AH120" s="227">
        <f ca="1">IF(AH$5=MonthRefi,'General Inputs'!$O$8,0)</f>
        <v>0</v>
      </c>
      <c r="AI120" s="227">
        <f>IF(AI$5=MonthRefi,'General Inputs'!$O$8,0)</f>
        <v>0</v>
      </c>
      <c r="AJ120" s="227">
        <f>IF(AJ$5=MonthRefi,'General Inputs'!$O$8,0)</f>
        <v>0</v>
      </c>
      <c r="AK120" s="227">
        <f>IF(AK$5=MonthRefi,'General Inputs'!$O$8,0)</f>
        <v>0</v>
      </c>
      <c r="AL120" s="227">
        <f>IF(AL$5=MonthRefi,'General Inputs'!$O$8,0)</f>
        <v>0</v>
      </c>
      <c r="AM120" s="227">
        <f>IF(AM$5=MonthRefi,'General Inputs'!$O$8,0)</f>
        <v>0</v>
      </c>
      <c r="AN120" s="227">
        <f>IF(AN$5=MonthRefi,'General Inputs'!$O$8,0)</f>
        <v>0</v>
      </c>
      <c r="AO120" s="227">
        <f>IF(AO$5=MonthRefi,'General Inputs'!$O$8,0)</f>
        <v>0</v>
      </c>
      <c r="AP120" s="227">
        <f>IF(AP$5=MonthRefi,'General Inputs'!$O$8,0)</f>
        <v>0</v>
      </c>
      <c r="AQ120" s="227">
        <f>IF(AQ$5=MonthRefi,'General Inputs'!$O$8,0)</f>
        <v>0</v>
      </c>
      <c r="AR120" s="227">
        <f>IF(AR$5=MonthRefi,'General Inputs'!$O$8,0)</f>
        <v>0</v>
      </c>
      <c r="AS120" s="227">
        <f>IF(AS$5=MonthRefi,'General Inputs'!$O$8,0)</f>
        <v>0</v>
      </c>
      <c r="AT120" s="227">
        <f>IF(AT$5=MonthRefi,'General Inputs'!$O$8,0)</f>
        <v>0</v>
      </c>
      <c r="AU120" s="227">
        <f>IF(AU$5=MonthRefi,'General Inputs'!$O$8,0)</f>
        <v>0</v>
      </c>
      <c r="AV120" s="227">
        <f>IF(AV$5=MonthRefi,'General Inputs'!$O$8,0)</f>
        <v>0</v>
      </c>
      <c r="AW120" s="227">
        <f>IF(AW$5=MonthRefi,'General Inputs'!$O$8,0)</f>
        <v>0</v>
      </c>
      <c r="AX120" s="227">
        <f>IF(AX$5=MonthRefi,'General Inputs'!$O$8,0)</f>
        <v>0</v>
      </c>
      <c r="AY120" s="227">
        <f>IF(AY$5=MonthRefi,'General Inputs'!$O$8,0)</f>
        <v>0</v>
      </c>
      <c r="AZ120" s="227">
        <f>IF(AZ$5=MonthRefi,'General Inputs'!$O$8,0)</f>
        <v>0</v>
      </c>
      <c r="BA120" s="227">
        <f>IF(BA$5=MonthRefi,'General Inputs'!$O$8,0)</f>
        <v>0</v>
      </c>
      <c r="BB120" s="227">
        <f>IF(BB$5=MonthRefi,'General Inputs'!$O$8,0)</f>
        <v>0</v>
      </c>
      <c r="BC120" s="227">
        <f>IF(BC$5=MonthRefi,'General Inputs'!$O$8,0)</f>
        <v>0</v>
      </c>
      <c r="BD120" s="227">
        <f>IF(BD$5=MonthRefi,'General Inputs'!$O$8,0)</f>
        <v>0</v>
      </c>
      <c r="BE120" s="227">
        <f>IF(BE$5=MonthRefi,'General Inputs'!$O$8,0)</f>
        <v>0</v>
      </c>
      <c r="BF120" s="227">
        <f>IF(BF$5=MonthRefi,'General Inputs'!$O$8,0)</f>
        <v>0</v>
      </c>
      <c r="BG120" s="227">
        <f>IF(BG$5=MonthRefi,'General Inputs'!$O$8,0)</f>
        <v>0</v>
      </c>
      <c r="BH120" s="227">
        <f>IF(BH$5=MonthRefi,'General Inputs'!$O$8,0)</f>
        <v>0</v>
      </c>
      <c r="BI120" s="227">
        <f>IF(BI$5=MonthRefi,'General Inputs'!$O$8,0)</f>
        <v>0</v>
      </c>
      <c r="BJ120" s="227">
        <f>IF(BJ$5=MonthRefi,'General Inputs'!$O$8,0)</f>
        <v>0</v>
      </c>
      <c r="BK120" s="227">
        <f>IF(BK$5=MonthRefi,'General Inputs'!$O$8,0)</f>
        <v>0</v>
      </c>
      <c r="BL120" s="227">
        <f>IF(BL$5=MonthRefi,'General Inputs'!$O$8,0)</f>
        <v>0</v>
      </c>
      <c r="BM120" s="227">
        <f>IF(BM$5=MonthRefi,'General Inputs'!$O$8,0)</f>
        <v>0</v>
      </c>
      <c r="BN120" s="227">
        <f>IF(BN$5=MonthRefi,'General Inputs'!$O$8,0)</f>
        <v>0</v>
      </c>
      <c r="BO120" s="227">
        <f>IF(BO$5=MonthRefi,'General Inputs'!$O$8,0)</f>
        <v>0</v>
      </c>
      <c r="BP120" s="227">
        <f>IF(BP$5=MonthRefi,'General Inputs'!$O$8,0)</f>
        <v>0</v>
      </c>
      <c r="BQ120" s="227">
        <f>IF(BQ$5=MonthRefi,'General Inputs'!$O$8,0)</f>
        <v>0</v>
      </c>
      <c r="BR120" s="227">
        <f>IF(BR$5=MonthRefi,'General Inputs'!$O$8,0)</f>
        <v>0</v>
      </c>
      <c r="BS120" s="227">
        <f>IF(BS$5=MonthRefi,'General Inputs'!$O$8,0)</f>
        <v>0</v>
      </c>
      <c r="BT120" s="227">
        <f>IF(BT$5=MonthRefi,'General Inputs'!$O$8,0)</f>
        <v>0</v>
      </c>
      <c r="BU120" s="227">
        <f>IF(BU$5=MonthRefi,'General Inputs'!$O$8,0)</f>
        <v>0</v>
      </c>
      <c r="BV120" s="227">
        <f>IF(BV$5=MonthRefi,'General Inputs'!$O$8,0)</f>
        <v>0</v>
      </c>
      <c r="BW120" s="227">
        <f>IF(BW$5=MonthRefi,'General Inputs'!$O$8,0)</f>
        <v>0</v>
      </c>
      <c r="BX120" s="227">
        <f>IF(BX$5=MonthRefi,'General Inputs'!$O$8,0)</f>
        <v>0</v>
      </c>
      <c r="BY120" s="227">
        <f>IF(BY$5=MonthRefi,'General Inputs'!$O$8,0)</f>
        <v>0</v>
      </c>
      <c r="BZ120" s="227">
        <f>IF(BZ$5=MonthRefi,'General Inputs'!$O$8,0)</f>
        <v>0</v>
      </c>
      <c r="CA120" s="227">
        <f>IF(CA$5=MonthRefi,'General Inputs'!$O$8,0)</f>
        <v>0</v>
      </c>
      <c r="CB120" s="227">
        <f>IF(CB$5=MonthRefi,'General Inputs'!$O$8,0)</f>
        <v>0</v>
      </c>
      <c r="CC120" s="227">
        <f>IF(CC$5=MonthRefi,'General Inputs'!$O$8,0)</f>
        <v>0</v>
      </c>
      <c r="CD120" s="227">
        <f>IF(CD$5=MonthRefi,'General Inputs'!$O$8,0)</f>
        <v>0</v>
      </c>
      <c r="CE120" s="227">
        <f>IF(CE$5=MonthRefi,'General Inputs'!$O$8,0)</f>
        <v>0</v>
      </c>
      <c r="CF120" s="227">
        <f>IF(CF$5=MonthRefi,'General Inputs'!$O$8,0)</f>
        <v>0</v>
      </c>
      <c r="CG120" s="227">
        <f>IF(CG$5=MonthRefi,'General Inputs'!$O$8,0)</f>
        <v>0</v>
      </c>
      <c r="CH120" s="227">
        <f>IF(CH$5=MonthRefi,'General Inputs'!$O$8,0)</f>
        <v>0</v>
      </c>
      <c r="CI120" s="227">
        <f>IF(CI$5=MonthRefi,'General Inputs'!$O$8,0)</f>
        <v>0</v>
      </c>
      <c r="CJ120" s="227">
        <f>IF(CJ$5=MonthRefi,'General Inputs'!$O$8,0)</f>
        <v>0</v>
      </c>
      <c r="CK120" s="227">
        <f>IF(CK$5=MonthRefi,'General Inputs'!$O$8,0)</f>
        <v>0</v>
      </c>
      <c r="CL120" s="227">
        <f>IF(CL$5=MonthRefi,'General Inputs'!$O$8,0)</f>
        <v>0</v>
      </c>
      <c r="CM120" s="227">
        <f>IF(CM$5=MonthRefi,'General Inputs'!$O$8,0)</f>
        <v>0</v>
      </c>
      <c r="CN120" s="227">
        <f>IF(CN$5=MonthRefi,'General Inputs'!$O$8,0)</f>
        <v>0</v>
      </c>
      <c r="CO120" s="227">
        <f>IF(CO$5=MonthRefi,'General Inputs'!$O$8,0)</f>
        <v>0</v>
      </c>
      <c r="CP120" s="227">
        <f>IF(CP$5=MonthRefi,'General Inputs'!$O$8,0)</f>
        <v>0</v>
      </c>
      <c r="CQ120" s="227">
        <f>IF(CQ$5=MonthRefi,'General Inputs'!$O$8,0)</f>
        <v>0</v>
      </c>
      <c r="CR120" s="227">
        <f>IF(CR$5=MonthRefi,'General Inputs'!$O$8,0)</f>
        <v>0</v>
      </c>
      <c r="CS120" s="227">
        <f>IF(CS$5=MonthRefi,'General Inputs'!$O$8,0)</f>
        <v>0</v>
      </c>
      <c r="CT120" s="227">
        <f>IF(CT$5=MonthRefi,'General Inputs'!$O$8,0)</f>
        <v>0</v>
      </c>
      <c r="CU120" s="227">
        <f>IF(CU$5=MonthRefi,'General Inputs'!$O$8,0)</f>
        <v>0</v>
      </c>
      <c r="CV120" s="227">
        <f>IF(CV$5=MonthRefi,'General Inputs'!$O$8,0)</f>
        <v>0</v>
      </c>
      <c r="CW120" s="227">
        <f>IF(CW$5=MonthRefi,'General Inputs'!$O$8,0)</f>
        <v>0</v>
      </c>
      <c r="CX120" s="227">
        <f>IF(CX$5=MonthRefi,'General Inputs'!$O$8,0)</f>
        <v>0</v>
      </c>
      <c r="CY120" s="227">
        <f>IF(CY$5=MonthRefi,'General Inputs'!$O$8,0)</f>
        <v>0</v>
      </c>
      <c r="CZ120" s="227">
        <f>IF(CZ$5=MonthRefi,'General Inputs'!$O$8,0)</f>
        <v>0</v>
      </c>
      <c r="DA120" s="227">
        <f>IF(DA$5=MonthRefi,'General Inputs'!$O$8,0)</f>
        <v>0</v>
      </c>
      <c r="DB120" s="227">
        <f>IF(DB$5=MonthRefi,'General Inputs'!$O$8,0)</f>
        <v>0</v>
      </c>
      <c r="DC120" s="227">
        <f>IF(DC$5=MonthRefi,'General Inputs'!$O$8,0)</f>
        <v>0</v>
      </c>
      <c r="DD120" s="227">
        <f>IF(DD$5=MonthRefi,'General Inputs'!$O$8,0)</f>
        <v>0</v>
      </c>
      <c r="DE120" s="227">
        <f>IF(DE$5=MonthRefi,'General Inputs'!$O$8,0)</f>
        <v>0</v>
      </c>
      <c r="DF120" s="227">
        <f>IF(DF$5=MonthRefi,'General Inputs'!$O$8,0)</f>
        <v>0</v>
      </c>
      <c r="DG120" s="227">
        <f>IF(DG$5=MonthRefi,'General Inputs'!$O$8,0)</f>
        <v>0</v>
      </c>
      <c r="DH120" s="227">
        <f>IF(DH$5=MonthRefi,'General Inputs'!$O$8,0)</f>
        <v>0</v>
      </c>
      <c r="DI120" s="227">
        <f>IF(DI$5=MonthRefi,'General Inputs'!$O$8,0)</f>
        <v>0</v>
      </c>
      <c r="DJ120" s="227">
        <f>IF(DJ$5=MonthRefi,'General Inputs'!$O$8,0)</f>
        <v>0</v>
      </c>
      <c r="DK120" s="227">
        <f>IF(DK$5=MonthRefi,'General Inputs'!$O$8,0)</f>
        <v>0</v>
      </c>
      <c r="DL120" s="227">
        <f>IF(DL$5=MonthRefi,'General Inputs'!$O$8,0)</f>
        <v>0</v>
      </c>
      <c r="DM120" s="227">
        <f>IF(DM$5=MonthRefi,'General Inputs'!$O$8,0)</f>
        <v>0</v>
      </c>
      <c r="DN120" s="227">
        <f>IF(DN$5=MonthRefi,'General Inputs'!$O$8,0)</f>
        <v>0</v>
      </c>
      <c r="DO120" s="227">
        <f>IF(DO$5=MonthRefi,'General Inputs'!$O$8,0)</f>
        <v>0</v>
      </c>
      <c r="DP120" s="227">
        <f>IF(DP$5=MonthRefi,'General Inputs'!$O$8,0)</f>
        <v>0</v>
      </c>
      <c r="DQ120" s="227">
        <f>IF(DQ$5=MonthRefi,'General Inputs'!$O$8,0)</f>
        <v>0</v>
      </c>
      <c r="DR120" s="227">
        <f>IF(DR$5=MonthRefi,'General Inputs'!$O$8,0)</f>
        <v>0</v>
      </c>
      <c r="DS120" s="227">
        <f>IF(DS$5=MonthRefi,'General Inputs'!$O$8,0)</f>
        <v>0</v>
      </c>
      <c r="DT120" s="227">
        <f>IF(DT$5=MonthRefi,'General Inputs'!$O$8,0)</f>
        <v>0</v>
      </c>
      <c r="DU120" s="227">
        <f>IF(DU$5=MonthRefi,'General Inputs'!$O$8,0)</f>
        <v>0</v>
      </c>
      <c r="DV120" s="227">
        <f>IF(DV$5=MonthRefi,'General Inputs'!$O$8,0)</f>
        <v>0</v>
      </c>
      <c r="DW120" s="227">
        <f>IF(DW$5=MonthRefi,'General Inputs'!$O$8,0)</f>
        <v>0</v>
      </c>
      <c r="DX120" s="227">
        <f>IF(DX$5=MonthRefi,'General Inputs'!$O$8,0)</f>
        <v>0</v>
      </c>
      <c r="DY120" s="227">
        <f>IF(DY$5=MonthRefi,'General Inputs'!$O$8,0)</f>
        <v>0</v>
      </c>
      <c r="DZ120" s="227">
        <f>IF(DZ$5=MonthRefi,'General Inputs'!$O$8,0)</f>
        <v>0</v>
      </c>
      <c r="EA120" s="227">
        <f>IF(EA$5=MonthRefi,'General Inputs'!$O$8,0)</f>
        <v>0</v>
      </c>
      <c r="EB120" s="227">
        <f>IF(EB$5=MonthRefi,'General Inputs'!$O$8,0)</f>
        <v>0</v>
      </c>
      <c r="EC120" s="227">
        <f>IF(EC$5=MonthRefi,'General Inputs'!$O$8,0)</f>
        <v>0</v>
      </c>
      <c r="ED120" s="227">
        <f>IF(ED$5=MonthRefi,'General Inputs'!$O$8,0)</f>
        <v>0</v>
      </c>
      <c r="EE120" s="227">
        <f>IF(EE$5=MonthRefi,'General Inputs'!$O$8,0)</f>
        <v>0</v>
      </c>
      <c r="EF120" s="227">
        <f>IF(EF$5=MonthRefi,'General Inputs'!$O$8,0)</f>
        <v>0</v>
      </c>
      <c r="EG120" s="227">
        <f>IF(EG$5=MonthRefi,'General Inputs'!$O$8,0)</f>
        <v>0</v>
      </c>
    </row>
    <row r="121" spans="1:137" x14ac:dyDescent="0.3">
      <c r="A121" t="s">
        <v>2480</v>
      </c>
      <c r="E121" s="229">
        <f>-IF(AND(E$5=MonthRefi,'General Inputs'!$O$17="LTC"),'General Inputs'!$M$8*'General Inputs'!$O$9*SUM('General Inputs'!$O$18:$O$19),IF(AND(Waterfalls!E$5=MonthRefi,'General Inputs'!$O$17="LTV"),LOOKUP(MonthRefi,OperBgt!$5:$5,OperBgt!$81:$81)*12/ExitCap*'General Inputs'!O20*SUM('General Inputs'!$O$18:$O$19),0))</f>
        <v>0</v>
      </c>
      <c r="F121" s="229">
        <f>-IF(AND(F$5=MonthRefi,'General Inputs'!$O$17="LTC"),'General Inputs'!$M$8*'General Inputs'!$O$9*SUM('General Inputs'!$O$18:$O$19),IF(AND(Waterfalls!F$5=MonthRefi,'General Inputs'!$O$17="LTV"),LOOKUP(MonthRefi,OperBgt!$5:$5,OperBgt!$81:$81)*12/ExitCap*'General Inputs'!P20*SUM('General Inputs'!$O$18:$O$19),0))</f>
        <v>0</v>
      </c>
      <c r="G121" s="229">
        <f>-IF(AND(G$5=MonthRefi,'General Inputs'!$O$17="LTC"),'General Inputs'!$M$8*'General Inputs'!$O$9*SUM('General Inputs'!$O$18:$O$19),IF(AND(Waterfalls!G$5=MonthRefi,'General Inputs'!$O$17="LTV"),LOOKUP(MonthRefi,OperBgt!$5:$5,OperBgt!$81:$81)*12/ExitCap*'General Inputs'!Q20*SUM('General Inputs'!$O$18:$O$19),0))</f>
        <v>0</v>
      </c>
      <c r="H121" s="229">
        <f>-IF(AND(H$5=MonthRefi,'General Inputs'!$O$17="LTC"),'General Inputs'!$M$8*'General Inputs'!$O$9*SUM('General Inputs'!$O$18:$O$19),IF(AND(Waterfalls!H$5=MonthRefi,'General Inputs'!$O$17="LTV"),LOOKUP(MonthRefi,OperBgt!$5:$5,OperBgt!$81:$81)*12/ExitCap*'General Inputs'!R20*SUM('General Inputs'!$O$18:$O$19),0))</f>
        <v>0</v>
      </c>
      <c r="I121" s="229">
        <f>-IF(AND(I$5=MonthRefi,'General Inputs'!$O$17="LTC"),'General Inputs'!$M$8*'General Inputs'!$O$9*SUM('General Inputs'!$O$18:$O$19),IF(AND(Waterfalls!I$5=MonthRefi,'General Inputs'!$O$17="LTV"),LOOKUP(MonthRefi,OperBgt!$5:$5,OperBgt!$81:$81)*12/ExitCap*'General Inputs'!S20*SUM('General Inputs'!$O$18:$O$19),0))</f>
        <v>0</v>
      </c>
      <c r="J121" s="229">
        <f>-IF(AND(J$5=MonthRefi,'General Inputs'!$O$17="LTC"),'General Inputs'!$M$8*'General Inputs'!$O$9*SUM('General Inputs'!$O$18:$O$19),IF(AND(Waterfalls!J$5=MonthRefi,'General Inputs'!$O$17="LTV"),LOOKUP(MonthRefi,OperBgt!$5:$5,OperBgt!$81:$81)*12/ExitCap*'General Inputs'!#REF!*SUM('General Inputs'!$O$18:$O$19),0))</f>
        <v>0</v>
      </c>
      <c r="K121" s="229">
        <f>-IF(AND(K$5=MonthRefi,'General Inputs'!$O$17="LTC"),'General Inputs'!$M$8*'General Inputs'!$O$9*SUM('General Inputs'!$O$18:$O$19),IF(AND(Waterfalls!K$5=MonthRefi,'General Inputs'!$O$17="LTV"),LOOKUP(MonthRefi,OperBgt!$5:$5,OperBgt!$81:$81)*12/ExitCap*'General Inputs'!#REF!*SUM('General Inputs'!$O$18:$O$19),0))</f>
        <v>0</v>
      </c>
      <c r="L121" s="229">
        <f>-IF(AND(L$5=MonthRefi,'General Inputs'!$O$17="LTC"),'General Inputs'!$M$8*'General Inputs'!$O$9*SUM('General Inputs'!$O$18:$O$19),IF(AND(Waterfalls!L$5=MonthRefi,'General Inputs'!$O$17="LTV"),LOOKUP(MonthRefi,OperBgt!$5:$5,OperBgt!$81:$81)*12/ExitCap*'General Inputs'!T20*SUM('General Inputs'!$O$18:$O$19),0))</f>
        <v>0</v>
      </c>
      <c r="M121" s="229">
        <f>-IF(AND(M$5=MonthRefi,'General Inputs'!$O$17="LTC"),'General Inputs'!$M$8*'General Inputs'!$O$9*SUM('General Inputs'!$O$18:$O$19),IF(AND(Waterfalls!M$5=MonthRefi,'General Inputs'!$O$17="LTV"),LOOKUP(MonthRefi,OperBgt!$5:$5,OperBgt!$81:$81)*12/ExitCap*'General Inputs'!#REF!*SUM('General Inputs'!$O$18:$O$19),0))</f>
        <v>0</v>
      </c>
      <c r="N121" s="229">
        <f>-IF(AND(N$5=MonthRefi,'General Inputs'!$O$17="LTC"),'General Inputs'!$M$8*'General Inputs'!$O$9*SUM('General Inputs'!$O$18:$O$19),IF(AND(Waterfalls!N$5=MonthRefi,'General Inputs'!$O$17="LTV"),LOOKUP(MonthRefi,OperBgt!$5:$5,OperBgt!$81:$81)*12/ExitCap*'General Inputs'!#REF!*SUM('General Inputs'!$O$18:$O$19),0))</f>
        <v>0</v>
      </c>
      <c r="O121" s="229">
        <f>-IF(AND(O$5=MonthRefi,'General Inputs'!$O$17="LTC"),'General Inputs'!$M$8*'General Inputs'!$O$9*SUM('General Inputs'!$O$18:$O$19),IF(AND(Waterfalls!O$5=MonthRefi,'General Inputs'!$O$17="LTV"),LOOKUP(MonthRefi,OperBgt!$5:$5,OperBgt!$81:$81)*12/ExitCap*'General Inputs'!#REF!*SUM('General Inputs'!$O$18:$O$19),0))</f>
        <v>0</v>
      </c>
      <c r="P121" s="229">
        <f>-IF(AND(P$5=MonthRefi,'General Inputs'!$O$17="LTC"),'General Inputs'!$M$8*'General Inputs'!$O$9*SUM('General Inputs'!$O$18:$O$19),IF(AND(Waterfalls!P$5=MonthRefi,'General Inputs'!$O$17="LTV"),LOOKUP(MonthRefi,OperBgt!$5:$5,OperBgt!$81:$81)*12/ExitCap*'General Inputs'!U20*SUM('General Inputs'!$O$18:$O$19),0))</f>
        <v>0</v>
      </c>
      <c r="Q121" s="229">
        <f>-IF(AND(Q$5=MonthRefi,'General Inputs'!$O$17="LTC"),'General Inputs'!$M$8*'General Inputs'!$O$9*SUM('General Inputs'!$O$18:$O$19),IF(AND(Waterfalls!Q$5=MonthRefi,'General Inputs'!$O$17="LTV"),LOOKUP(MonthRefi,OperBgt!$5:$5,OperBgt!$81:$81)*12/ExitCap*'General Inputs'!#REF!*SUM('General Inputs'!$O$18:$O$19),0))</f>
        <v>0</v>
      </c>
      <c r="R121" s="229">
        <f>-IF(AND(R$5=MonthRefi,'General Inputs'!$O$17="LTC"),'General Inputs'!$M$8*'General Inputs'!$O$9*SUM('General Inputs'!$O$18:$O$19),IF(AND(Waterfalls!R$5=MonthRefi,'General Inputs'!$O$17="LTV"),LOOKUP(MonthRefi,OperBgt!$5:$5,OperBgt!$81:$81)*12/ExitCap*'General Inputs'!#REF!*SUM('General Inputs'!$O$18:$O$19),0))</f>
        <v>0</v>
      </c>
      <c r="S121" s="229">
        <f>-IF(AND(S$5=MonthRefi,'General Inputs'!$O$17="LTC"),'General Inputs'!$M$8*'General Inputs'!$O$9*SUM('General Inputs'!$O$18:$O$19),IF(AND(Waterfalls!S$5=MonthRefi,'General Inputs'!$O$17="LTV"),LOOKUP(MonthRefi,OperBgt!$5:$5,OperBgt!$81:$81)*12/ExitCap*'General Inputs'!V20*SUM('General Inputs'!$O$18:$O$19),0))</f>
        <v>0</v>
      </c>
      <c r="T121" s="229">
        <f>-IF(AND(T$5=MonthRefi,'General Inputs'!$O$17="LTC"),'General Inputs'!$M$8*'General Inputs'!$O$9*SUM('General Inputs'!$O$18:$O$19),IF(AND(Waterfalls!T$5=MonthRefi,'General Inputs'!$O$17="LTV"),LOOKUP(MonthRefi,OperBgt!$5:$5,OperBgt!$81:$81)*12/ExitCap*'General Inputs'!W20*SUM('General Inputs'!$O$18:$O$19),0))</f>
        <v>0</v>
      </c>
      <c r="U121" s="229">
        <f>-IF(AND(U$5=MonthRefi,'General Inputs'!$O$17="LTC"),'General Inputs'!$M$8*'General Inputs'!$O$9*SUM('General Inputs'!$O$18:$O$19),IF(AND(Waterfalls!U$5=MonthRefi,'General Inputs'!$O$17="LTV"),LOOKUP(MonthRefi,OperBgt!$5:$5,OperBgt!$81:$81)*12/ExitCap*'General Inputs'!X20*SUM('General Inputs'!$O$18:$O$19),0))</f>
        <v>0</v>
      </c>
      <c r="V121" s="229">
        <f>-IF(AND(V$5=MonthRefi,'General Inputs'!$O$17="LTC"),'General Inputs'!$M$8*'General Inputs'!$O$9*SUM('General Inputs'!$O$18:$O$19),IF(AND(Waterfalls!V$5=MonthRefi,'General Inputs'!$O$17="LTV"),LOOKUP(MonthRefi,OperBgt!$5:$5,OperBgt!$81:$81)*12/ExitCap*'General Inputs'!Y20*SUM('General Inputs'!$O$18:$O$19),0))</f>
        <v>0</v>
      </c>
      <c r="W121" s="229">
        <f>-IF(AND(W$5=MonthRefi,'General Inputs'!$O$17="LTC"),'General Inputs'!$M$8*'General Inputs'!$O$9*SUM('General Inputs'!$O$18:$O$19),IF(AND(Waterfalls!W$5=MonthRefi,'General Inputs'!$O$17="LTV"),LOOKUP(MonthRefi,OperBgt!$5:$5,OperBgt!$81:$81)*12/ExitCap*'General Inputs'!Z20*SUM('General Inputs'!$O$18:$O$19),0))</f>
        <v>0</v>
      </c>
      <c r="X121" s="229">
        <f>-IF(AND(X$5=MonthRefi,'General Inputs'!$O$17="LTC"),'General Inputs'!$M$8*'General Inputs'!$O$9*SUM('General Inputs'!$O$18:$O$19),IF(AND(Waterfalls!X$5=MonthRefi,'General Inputs'!$O$17="LTV"),LOOKUP(MonthRefi,OperBgt!$5:$5,OperBgt!$81:$81)*12/ExitCap*'General Inputs'!AA20*SUM('General Inputs'!$O$18:$O$19),0))</f>
        <v>0</v>
      </c>
      <c r="Y121" s="229">
        <f>-IF(AND(Y$5=MonthRefi,'General Inputs'!$O$17="LTC"),'General Inputs'!$M$8*'General Inputs'!$O$9*SUM('General Inputs'!$O$18:$O$19),IF(AND(Waterfalls!Y$5=MonthRefi,'General Inputs'!$O$17="LTV"),LOOKUP(MonthRefi,OperBgt!$5:$5,OperBgt!$81:$81)*12/ExitCap*'General Inputs'!AB20*SUM('General Inputs'!$O$18:$O$19),0))</f>
        <v>0</v>
      </c>
      <c r="Z121" s="229">
        <f>-IF(AND(Z$5=MonthRefi,'General Inputs'!$O$17="LTC"),'General Inputs'!$M$8*'General Inputs'!$O$9*SUM('General Inputs'!$O$18:$O$19),IF(AND(Waterfalls!Z$5=MonthRefi,'General Inputs'!$O$17="LTV"),LOOKUP(MonthRefi,OperBgt!$5:$5,OperBgt!$81:$81)*12/ExitCap*'General Inputs'!AC20*SUM('General Inputs'!$O$18:$O$19),0))</f>
        <v>0</v>
      </c>
      <c r="AA121" s="229">
        <f>-IF(AND(AA$5=MonthRefi,'General Inputs'!$O$17="LTC"),'General Inputs'!$M$8*'General Inputs'!$O$9*SUM('General Inputs'!$O$18:$O$19),IF(AND(Waterfalls!AA$5=MonthRefi,'General Inputs'!$O$17="LTV"),LOOKUP(MonthRefi,OperBgt!$5:$5,OperBgt!$81:$81)*12/ExitCap*'General Inputs'!AD20*SUM('General Inputs'!$O$18:$O$19),0))</f>
        <v>0</v>
      </c>
      <c r="AB121" s="229">
        <f>-IF(AND(AB$5=MonthRefi,'General Inputs'!$O$17="LTC"),'General Inputs'!$M$8*'General Inputs'!$O$9*SUM('General Inputs'!$O$18:$O$19),IF(AND(Waterfalls!AB$5=MonthRefi,'General Inputs'!$O$17="LTV"),LOOKUP(MonthRefi,OperBgt!$5:$5,OperBgt!$81:$81)*12/ExitCap*'General Inputs'!AE20*SUM('General Inputs'!$O$18:$O$19),0))</f>
        <v>0</v>
      </c>
      <c r="AC121" s="229">
        <f>-IF(AND(AC$5=MonthRefi,'General Inputs'!$O$17="LTC"),'General Inputs'!$M$8*'General Inputs'!$O$9*SUM('General Inputs'!$O$18:$O$19),IF(AND(Waterfalls!AC$5=MonthRefi,'General Inputs'!$O$17="LTV"),LOOKUP(MonthRefi,OperBgt!$5:$5,OperBgt!$81:$81)*12/ExitCap*'General Inputs'!AF20*SUM('General Inputs'!$O$18:$O$19),0))</f>
        <v>0</v>
      </c>
      <c r="AD121" s="229">
        <f>-IF(AND(AD$5=MonthRefi,'General Inputs'!$O$17="LTC"),'General Inputs'!$M$8*'General Inputs'!$O$9*SUM('General Inputs'!$O$18:$O$19),IF(AND(Waterfalls!AD$5=MonthRefi,'General Inputs'!$O$17="LTV"),LOOKUP(MonthRefi,OperBgt!$5:$5,OperBgt!$81:$81)*12/ExitCap*'General Inputs'!AG20*SUM('General Inputs'!$O$18:$O$19),0))</f>
        <v>0</v>
      </c>
      <c r="AE121" s="229">
        <f>-IF(AND(AE$5=MonthRefi,'General Inputs'!$O$17="LTC"),'General Inputs'!$M$8*'General Inputs'!$O$9*SUM('General Inputs'!$O$18:$O$19),IF(AND(Waterfalls!AE$5=MonthRefi,'General Inputs'!$O$17="LTV"),LOOKUP(MonthRefi,OperBgt!$5:$5,OperBgt!$81:$81)*12/ExitCap*'General Inputs'!AH20*SUM('General Inputs'!$O$18:$O$19),0))</f>
        <v>0</v>
      </c>
      <c r="AF121" s="229">
        <f>-IF(AND(AF$5=MonthRefi,'General Inputs'!$O$17="LTC"),'General Inputs'!$M$8*'General Inputs'!$O$9*SUM('General Inputs'!$O$18:$O$19),IF(AND(Waterfalls!AF$5=MonthRefi,'General Inputs'!$O$17="LTV"),LOOKUP(MonthRefi,OperBgt!$5:$5,OperBgt!$81:$81)*12/ExitCap*'General Inputs'!AI20*SUM('General Inputs'!$O$18:$O$19),0))</f>
        <v>0</v>
      </c>
      <c r="AG121" s="229">
        <f>-IF(AND(AG$5=MonthRefi,'General Inputs'!$O$17="LTC"),'General Inputs'!$M$8*'General Inputs'!$O$9*SUM('General Inputs'!$O$18:$O$19),IF(AND(Waterfalls!AG$5=MonthRefi,'General Inputs'!$O$17="LTV"),LOOKUP(MonthRefi,OperBgt!$5:$5,OperBgt!$81:$81)*12/ExitCap*'General Inputs'!AJ20*SUM('General Inputs'!$O$18:$O$19),0))</f>
        <v>0</v>
      </c>
      <c r="AH121" s="229">
        <f ca="1">-IF(AND(AH$5=MonthRefi,'General Inputs'!$O$17="LTC"),'General Inputs'!$M$8*'General Inputs'!$O$9*SUM('General Inputs'!$O$18:$O$19),IF(AND(Waterfalls!AH$5=MonthRefi,'General Inputs'!$O$17="LTV"),LOOKUP(MonthRefi,OperBgt!$5:$5,OperBgt!$81:$81)*12/ExitCap*'General Inputs'!AK20*SUM('General Inputs'!$O$18:$O$19),0))</f>
        <v>0</v>
      </c>
      <c r="AI121" s="229">
        <f>-IF(AND(AI$5=MonthRefi,'General Inputs'!$O$17="LTC"),'General Inputs'!$M$8*'General Inputs'!$O$9*SUM('General Inputs'!$O$18:$O$19),IF(AND(Waterfalls!AI$5=MonthRefi,'General Inputs'!$O$17="LTV"),LOOKUP(MonthRefi,OperBgt!$5:$5,OperBgt!$81:$81)*12/ExitCap*'General Inputs'!AL20*SUM('General Inputs'!$O$18:$O$19),0))</f>
        <v>0</v>
      </c>
      <c r="AJ121" s="229">
        <f>-IF(AND(AJ$5=MonthRefi,'General Inputs'!$O$17="LTC"),'General Inputs'!$M$8*'General Inputs'!$O$9*SUM('General Inputs'!$O$18:$O$19),IF(AND(Waterfalls!AJ$5=MonthRefi,'General Inputs'!$O$17="LTV"),LOOKUP(MonthRefi,OperBgt!$5:$5,OperBgt!$81:$81)*12/ExitCap*'General Inputs'!AM20*SUM('General Inputs'!$O$18:$O$19),0))</f>
        <v>0</v>
      </c>
      <c r="AK121" s="229">
        <f>-IF(AND(AK$5=MonthRefi,'General Inputs'!$O$17="LTC"),'General Inputs'!$M$8*'General Inputs'!$O$9*SUM('General Inputs'!$O$18:$O$19),IF(AND(Waterfalls!AK$5=MonthRefi,'General Inputs'!$O$17="LTV"),LOOKUP(MonthRefi,OperBgt!$5:$5,OperBgt!$81:$81)*12/ExitCap*'General Inputs'!AN20*SUM('General Inputs'!$O$18:$O$19),0))</f>
        <v>0</v>
      </c>
      <c r="AL121" s="229">
        <f>-IF(AND(AL$5=MonthRefi,'General Inputs'!$O$17="LTC"),'General Inputs'!$M$8*'General Inputs'!$O$9*SUM('General Inputs'!$O$18:$O$19),IF(AND(Waterfalls!AL$5=MonthRefi,'General Inputs'!$O$17="LTV"),LOOKUP(MonthRefi,OperBgt!$5:$5,OperBgt!$81:$81)*12/ExitCap*'General Inputs'!AO20*SUM('General Inputs'!$O$18:$O$19),0))</f>
        <v>0</v>
      </c>
      <c r="AM121" s="229">
        <f>-IF(AND(AM$5=MonthRefi,'General Inputs'!$O$17="LTC"),'General Inputs'!$M$8*'General Inputs'!$O$9*SUM('General Inputs'!$O$18:$O$19),IF(AND(Waterfalls!AM$5=MonthRefi,'General Inputs'!$O$17="LTV"),LOOKUP(MonthRefi,OperBgt!$5:$5,OperBgt!$81:$81)*12/ExitCap*'General Inputs'!AP20*SUM('General Inputs'!$O$18:$O$19),0))</f>
        <v>0</v>
      </c>
      <c r="AN121" s="229">
        <f>-IF(AND(AN$5=MonthRefi,'General Inputs'!$O$17="LTC"),'General Inputs'!$M$8*'General Inputs'!$O$9*SUM('General Inputs'!$O$18:$O$19),IF(AND(Waterfalls!AN$5=MonthRefi,'General Inputs'!$O$17="LTV"),LOOKUP(MonthRefi,OperBgt!$5:$5,OperBgt!$81:$81)*12/ExitCap*'General Inputs'!AQ20*SUM('General Inputs'!$O$18:$O$19),0))</f>
        <v>0</v>
      </c>
      <c r="AO121" s="229">
        <f>-IF(AND(AO$5=MonthRefi,'General Inputs'!$O$17="LTC"),'General Inputs'!$M$8*'General Inputs'!$O$9*SUM('General Inputs'!$O$18:$O$19),IF(AND(Waterfalls!AO$5=MonthRefi,'General Inputs'!$O$17="LTV"),LOOKUP(MonthRefi,OperBgt!$5:$5,OperBgt!$81:$81)*12/ExitCap*'General Inputs'!AR20*SUM('General Inputs'!$O$18:$O$19),0))</f>
        <v>0</v>
      </c>
      <c r="AP121" s="229">
        <f>-IF(AND(AP$5=MonthRefi,'General Inputs'!$O$17="LTC"),'General Inputs'!$M$8*'General Inputs'!$O$9*SUM('General Inputs'!$O$18:$O$19),IF(AND(Waterfalls!AP$5=MonthRefi,'General Inputs'!$O$17="LTV"),LOOKUP(MonthRefi,OperBgt!$5:$5,OperBgt!$81:$81)*12/ExitCap*'General Inputs'!AS20*SUM('General Inputs'!$O$18:$O$19),0))</f>
        <v>0</v>
      </c>
      <c r="AQ121" s="229">
        <f>-IF(AND(AQ$5=MonthRefi,'General Inputs'!$O$17="LTC"),'General Inputs'!$M$8*'General Inputs'!$O$9*SUM('General Inputs'!$O$18:$O$19),IF(AND(Waterfalls!AQ$5=MonthRefi,'General Inputs'!$O$17="LTV"),LOOKUP(MonthRefi,OperBgt!$5:$5,OperBgt!$81:$81)*12/ExitCap*'General Inputs'!AT20*SUM('General Inputs'!$O$18:$O$19),0))</f>
        <v>0</v>
      </c>
      <c r="AR121" s="229">
        <f>-IF(AND(AR$5=MonthRefi,'General Inputs'!$O$17="LTC"),'General Inputs'!$M$8*'General Inputs'!$O$9*SUM('General Inputs'!$O$18:$O$19),IF(AND(Waterfalls!AR$5=MonthRefi,'General Inputs'!$O$17="LTV"),LOOKUP(MonthRefi,OperBgt!$5:$5,OperBgt!$81:$81)*12/ExitCap*'General Inputs'!AU20*SUM('General Inputs'!$O$18:$O$19),0))</f>
        <v>0</v>
      </c>
      <c r="AS121" s="229">
        <f>-IF(AND(AS$5=MonthRefi,'General Inputs'!$O$17="LTC"),'General Inputs'!$M$8*'General Inputs'!$O$9*SUM('General Inputs'!$O$18:$O$19),IF(AND(Waterfalls!AS$5=MonthRefi,'General Inputs'!$O$17="LTV"),LOOKUP(MonthRefi,OperBgt!$5:$5,OperBgt!$81:$81)*12/ExitCap*'General Inputs'!AV20*SUM('General Inputs'!$O$18:$O$19),0))</f>
        <v>0</v>
      </c>
      <c r="AT121" s="229">
        <f>-IF(AND(AT$5=MonthRefi,'General Inputs'!$O$17="LTC"),'General Inputs'!$M$8*'General Inputs'!$O$9*SUM('General Inputs'!$O$18:$O$19),IF(AND(Waterfalls!AT$5=MonthRefi,'General Inputs'!$O$17="LTV"),LOOKUP(MonthRefi,OperBgt!$5:$5,OperBgt!$81:$81)*12/ExitCap*'General Inputs'!AW20*SUM('General Inputs'!$O$18:$O$19),0))</f>
        <v>0</v>
      </c>
      <c r="AU121" s="229">
        <f>-IF(AND(AU$5=MonthRefi,'General Inputs'!$O$17="LTC"),'General Inputs'!$M$8*'General Inputs'!$O$9*SUM('General Inputs'!$O$18:$O$19),IF(AND(Waterfalls!AU$5=MonthRefi,'General Inputs'!$O$17="LTV"),LOOKUP(MonthRefi,OperBgt!$5:$5,OperBgt!$81:$81)*12/ExitCap*'General Inputs'!AX20*SUM('General Inputs'!$O$18:$O$19),0))</f>
        <v>0</v>
      </c>
      <c r="AV121" s="229">
        <f>-IF(AND(AV$5=MonthRefi,'General Inputs'!$O$17="LTC"),'General Inputs'!$M$8*'General Inputs'!$O$9*SUM('General Inputs'!$O$18:$O$19),IF(AND(Waterfalls!AV$5=MonthRefi,'General Inputs'!$O$17="LTV"),LOOKUP(MonthRefi,OperBgt!$5:$5,OperBgt!$81:$81)*12/ExitCap*'General Inputs'!AY20*SUM('General Inputs'!$O$18:$O$19),0))</f>
        <v>0</v>
      </c>
      <c r="AW121" s="229">
        <f>-IF(AND(AW$5=MonthRefi,'General Inputs'!$O$17="LTC"),'General Inputs'!$M$8*'General Inputs'!$O$9*SUM('General Inputs'!$O$18:$O$19),IF(AND(Waterfalls!AW$5=MonthRefi,'General Inputs'!$O$17="LTV"),LOOKUP(MonthRefi,OperBgt!$5:$5,OperBgt!$81:$81)*12/ExitCap*'General Inputs'!AZ20*SUM('General Inputs'!$O$18:$O$19),0))</f>
        <v>0</v>
      </c>
      <c r="AX121" s="229">
        <f>-IF(AND(AX$5=MonthRefi,'General Inputs'!$O$17="LTC"),'General Inputs'!$M$8*'General Inputs'!$O$9*SUM('General Inputs'!$O$18:$O$19),IF(AND(Waterfalls!AX$5=MonthRefi,'General Inputs'!$O$17="LTV"),LOOKUP(MonthRefi,OperBgt!$5:$5,OperBgt!$81:$81)*12/ExitCap*'General Inputs'!BA20*SUM('General Inputs'!$O$18:$O$19),0))</f>
        <v>0</v>
      </c>
      <c r="AY121" s="229">
        <f>-IF(AND(AY$5=MonthRefi,'General Inputs'!$O$17="LTC"),'General Inputs'!$M$8*'General Inputs'!$O$9*SUM('General Inputs'!$O$18:$O$19),IF(AND(Waterfalls!AY$5=MonthRefi,'General Inputs'!$O$17="LTV"),LOOKUP(MonthRefi,OperBgt!$5:$5,OperBgt!$81:$81)*12/ExitCap*'General Inputs'!BB20*SUM('General Inputs'!$O$18:$O$19),0))</f>
        <v>0</v>
      </c>
      <c r="AZ121" s="229">
        <f>-IF(AND(AZ$5=MonthRefi,'General Inputs'!$O$17="LTC"),'General Inputs'!$M$8*'General Inputs'!$O$9*SUM('General Inputs'!$O$18:$O$19),IF(AND(Waterfalls!AZ$5=MonthRefi,'General Inputs'!$O$17="LTV"),LOOKUP(MonthRefi,OperBgt!$5:$5,OperBgt!$81:$81)*12/ExitCap*'General Inputs'!BC20*SUM('General Inputs'!$O$18:$O$19),0))</f>
        <v>0</v>
      </c>
      <c r="BA121" s="229">
        <f>-IF(AND(BA$5=MonthRefi,'General Inputs'!$O$17="LTC"),'General Inputs'!$M$8*'General Inputs'!$O$9*SUM('General Inputs'!$O$18:$O$19),IF(AND(Waterfalls!BA$5=MonthRefi,'General Inputs'!$O$17="LTV"),LOOKUP(MonthRefi,OperBgt!$5:$5,OperBgt!$81:$81)*12/ExitCap*'General Inputs'!BD20*SUM('General Inputs'!$O$18:$O$19),0))</f>
        <v>0</v>
      </c>
      <c r="BB121" s="229">
        <f>-IF(AND(BB$5=MonthRefi,'General Inputs'!$O$17="LTC"),'General Inputs'!$M$8*'General Inputs'!$O$9*SUM('General Inputs'!$O$18:$O$19),IF(AND(Waterfalls!BB$5=MonthRefi,'General Inputs'!$O$17="LTV"),LOOKUP(MonthRefi,OperBgt!$5:$5,OperBgt!$81:$81)*12/ExitCap*'General Inputs'!BE20*SUM('General Inputs'!$O$18:$O$19),0))</f>
        <v>0</v>
      </c>
      <c r="BC121" s="229">
        <f>-IF(AND(BC$5=MonthRefi,'General Inputs'!$O$17="LTC"),'General Inputs'!$M$8*'General Inputs'!$O$9*SUM('General Inputs'!$O$18:$O$19),IF(AND(Waterfalls!BC$5=MonthRefi,'General Inputs'!$O$17="LTV"),LOOKUP(MonthRefi,OperBgt!$5:$5,OperBgt!$81:$81)*12/ExitCap*'General Inputs'!BF20*SUM('General Inputs'!$O$18:$O$19),0))</f>
        <v>0</v>
      </c>
      <c r="BD121" s="229">
        <f>-IF(AND(BD$5=MonthRefi,'General Inputs'!$O$17="LTC"),'General Inputs'!$M$8*'General Inputs'!$O$9*SUM('General Inputs'!$O$18:$O$19),IF(AND(Waterfalls!BD$5=MonthRefi,'General Inputs'!$O$17="LTV"),LOOKUP(MonthRefi,OperBgt!$5:$5,OperBgt!$81:$81)*12/ExitCap*'General Inputs'!BG20*SUM('General Inputs'!$O$18:$O$19),0))</f>
        <v>0</v>
      </c>
      <c r="BE121" s="229">
        <f>-IF(AND(BE$5=MonthRefi,'General Inputs'!$O$17="LTC"),'General Inputs'!$M$8*'General Inputs'!$O$9*SUM('General Inputs'!$O$18:$O$19),IF(AND(Waterfalls!BE$5=MonthRefi,'General Inputs'!$O$17="LTV"),LOOKUP(MonthRefi,OperBgt!$5:$5,OperBgt!$81:$81)*12/ExitCap*'General Inputs'!BH20*SUM('General Inputs'!$O$18:$O$19),0))</f>
        <v>0</v>
      </c>
      <c r="BF121" s="229">
        <f>-IF(AND(BF$5=MonthRefi,'General Inputs'!$O$17="LTC"),'General Inputs'!$M$8*'General Inputs'!$O$9*SUM('General Inputs'!$O$18:$O$19),IF(AND(Waterfalls!BF$5=MonthRefi,'General Inputs'!$O$17="LTV"),LOOKUP(MonthRefi,OperBgt!$5:$5,OperBgt!$81:$81)*12/ExitCap*'General Inputs'!BI20*SUM('General Inputs'!$O$18:$O$19),0))</f>
        <v>0</v>
      </c>
      <c r="BG121" s="229">
        <f>-IF(AND(BG$5=MonthRefi,'General Inputs'!$O$17="LTC"),'General Inputs'!$M$8*'General Inputs'!$O$9*SUM('General Inputs'!$O$18:$O$19),IF(AND(Waterfalls!BG$5=MonthRefi,'General Inputs'!$O$17="LTV"),LOOKUP(MonthRefi,OperBgt!$5:$5,OperBgt!$81:$81)*12/ExitCap*'General Inputs'!BJ20*SUM('General Inputs'!$O$18:$O$19),0))</f>
        <v>0</v>
      </c>
      <c r="BH121" s="229">
        <f>-IF(AND(BH$5=MonthRefi,'General Inputs'!$O$17="LTC"),'General Inputs'!$M$8*'General Inputs'!$O$9*SUM('General Inputs'!$O$18:$O$19),IF(AND(Waterfalls!BH$5=MonthRefi,'General Inputs'!$O$17="LTV"),LOOKUP(MonthRefi,OperBgt!$5:$5,OperBgt!$81:$81)*12/ExitCap*'General Inputs'!BK20*SUM('General Inputs'!$O$18:$O$19),0))</f>
        <v>0</v>
      </c>
      <c r="BI121" s="229">
        <f>-IF(AND(BI$5=MonthRefi,'General Inputs'!$O$17="LTC"),'General Inputs'!$M$8*'General Inputs'!$O$9*SUM('General Inputs'!$O$18:$O$19),IF(AND(Waterfalls!BI$5=MonthRefi,'General Inputs'!$O$17="LTV"),LOOKUP(MonthRefi,OperBgt!$5:$5,OperBgt!$81:$81)*12/ExitCap*'General Inputs'!BL20*SUM('General Inputs'!$O$18:$O$19),0))</f>
        <v>0</v>
      </c>
      <c r="BJ121" s="229">
        <f>-IF(AND(BJ$5=MonthRefi,'General Inputs'!$O$17="LTC"),'General Inputs'!$M$8*'General Inputs'!$O$9*SUM('General Inputs'!$O$18:$O$19),IF(AND(Waterfalls!BJ$5=MonthRefi,'General Inputs'!$O$17="LTV"),LOOKUP(MonthRefi,OperBgt!$5:$5,OperBgt!$81:$81)*12/ExitCap*'General Inputs'!BM20*SUM('General Inputs'!$O$18:$O$19),0))</f>
        <v>0</v>
      </c>
      <c r="BK121" s="229">
        <f>-IF(AND(BK$5=MonthRefi,'General Inputs'!$O$17="LTC"),'General Inputs'!$M$8*'General Inputs'!$O$9*SUM('General Inputs'!$O$18:$O$19),IF(AND(Waterfalls!BK$5=MonthRefi,'General Inputs'!$O$17="LTV"),LOOKUP(MonthRefi,OperBgt!$5:$5,OperBgt!$81:$81)*12/ExitCap*'General Inputs'!BN20*SUM('General Inputs'!$O$18:$O$19),0))</f>
        <v>0</v>
      </c>
      <c r="BL121" s="229">
        <f>-IF(AND(BL$5=MonthRefi,'General Inputs'!$O$17="LTC"),'General Inputs'!$M$8*'General Inputs'!$O$9*SUM('General Inputs'!$O$18:$O$19),IF(AND(Waterfalls!BL$5=MonthRefi,'General Inputs'!$O$17="LTV"),LOOKUP(MonthRefi,OperBgt!$5:$5,OperBgt!$81:$81)*12/ExitCap*'General Inputs'!BO20*SUM('General Inputs'!$O$18:$O$19),0))</f>
        <v>0</v>
      </c>
      <c r="BM121" s="229">
        <f>-IF(AND(BM$5=MonthRefi,'General Inputs'!$O$17="LTC"),'General Inputs'!$M$8*'General Inputs'!$O$9*SUM('General Inputs'!$O$18:$O$19),IF(AND(Waterfalls!BM$5=MonthRefi,'General Inputs'!$O$17="LTV"),LOOKUP(MonthRefi,OperBgt!$5:$5,OperBgt!$81:$81)*12/ExitCap*'General Inputs'!BP20*SUM('General Inputs'!$O$18:$O$19),0))</f>
        <v>0</v>
      </c>
      <c r="BN121" s="229">
        <f>-IF(AND(BN$5=MonthRefi,'General Inputs'!$O$17="LTC"),'General Inputs'!$M$8*'General Inputs'!$O$9*SUM('General Inputs'!$O$18:$O$19),IF(AND(Waterfalls!BN$5=MonthRefi,'General Inputs'!$O$17="LTV"),LOOKUP(MonthRefi,OperBgt!$5:$5,OperBgt!$81:$81)*12/ExitCap*'General Inputs'!BQ20*SUM('General Inputs'!$O$18:$O$19),0))</f>
        <v>0</v>
      </c>
      <c r="BO121" s="229">
        <f>-IF(AND(BO$5=MonthRefi,'General Inputs'!$O$17="LTC"),'General Inputs'!$M$8*'General Inputs'!$O$9*SUM('General Inputs'!$O$18:$O$19),IF(AND(Waterfalls!BO$5=MonthRefi,'General Inputs'!$O$17="LTV"),LOOKUP(MonthRefi,OperBgt!$5:$5,OperBgt!$81:$81)*12/ExitCap*'General Inputs'!BR20*SUM('General Inputs'!$O$18:$O$19),0))</f>
        <v>0</v>
      </c>
      <c r="BP121" s="229">
        <f>-IF(AND(BP$5=MonthRefi,'General Inputs'!$O$17="LTC"),'General Inputs'!$M$8*'General Inputs'!$O$9*SUM('General Inputs'!$O$18:$O$19),IF(AND(Waterfalls!BP$5=MonthRefi,'General Inputs'!$O$17="LTV"),LOOKUP(MonthRefi,OperBgt!$5:$5,OperBgt!$81:$81)*12/ExitCap*'General Inputs'!BS20*SUM('General Inputs'!$O$18:$O$19),0))</f>
        <v>0</v>
      </c>
      <c r="BQ121" s="229">
        <f>-IF(AND(BQ$5=MonthRefi,'General Inputs'!$O$17="LTC"),'General Inputs'!$M$8*'General Inputs'!$O$9*SUM('General Inputs'!$O$18:$O$19),IF(AND(Waterfalls!BQ$5=MonthRefi,'General Inputs'!$O$17="LTV"),LOOKUP(MonthRefi,OperBgt!$5:$5,OperBgt!$81:$81)*12/ExitCap*'General Inputs'!BT20*SUM('General Inputs'!$O$18:$O$19),0))</f>
        <v>0</v>
      </c>
      <c r="BR121" s="229">
        <f>-IF(AND(BR$5=MonthRefi,'General Inputs'!$O$17="LTC"),'General Inputs'!$M$8*'General Inputs'!$O$9*SUM('General Inputs'!$O$18:$O$19),IF(AND(Waterfalls!BR$5=MonthRefi,'General Inputs'!$O$17="LTV"),LOOKUP(MonthRefi,OperBgt!$5:$5,OperBgt!$81:$81)*12/ExitCap*'General Inputs'!BU20*SUM('General Inputs'!$O$18:$O$19),0))</f>
        <v>0</v>
      </c>
      <c r="BS121" s="229">
        <f>-IF(AND(BS$5=MonthRefi,'General Inputs'!$O$17="LTC"),'General Inputs'!$M$8*'General Inputs'!$O$9*SUM('General Inputs'!$O$18:$O$19),IF(AND(Waterfalls!BS$5=MonthRefi,'General Inputs'!$O$17="LTV"),LOOKUP(MonthRefi,OperBgt!$5:$5,OperBgt!$81:$81)*12/ExitCap*'General Inputs'!BV20*SUM('General Inputs'!$O$18:$O$19),0))</f>
        <v>0</v>
      </c>
      <c r="BT121" s="229">
        <f>-IF(AND(BT$5=MonthRefi,'General Inputs'!$O$17="LTC"),'General Inputs'!$M$8*'General Inputs'!$O$9*SUM('General Inputs'!$O$18:$O$19),IF(AND(Waterfalls!BT$5=MonthRefi,'General Inputs'!$O$17="LTV"),LOOKUP(MonthRefi,OperBgt!$5:$5,OperBgt!$81:$81)*12/ExitCap*'General Inputs'!BW20*SUM('General Inputs'!$O$18:$O$19),0))</f>
        <v>0</v>
      </c>
      <c r="BU121" s="229">
        <f>-IF(AND(BU$5=MonthRefi,'General Inputs'!$O$17="LTC"),'General Inputs'!$M$8*'General Inputs'!$O$9*SUM('General Inputs'!$O$18:$O$19),IF(AND(Waterfalls!BU$5=MonthRefi,'General Inputs'!$O$17="LTV"),LOOKUP(MonthRefi,OperBgt!$5:$5,OperBgt!$81:$81)*12/ExitCap*'General Inputs'!BX20*SUM('General Inputs'!$O$18:$O$19),0))</f>
        <v>0</v>
      </c>
      <c r="BV121" s="229">
        <f>-IF(AND(BV$5=MonthRefi,'General Inputs'!$O$17="LTC"),'General Inputs'!$M$8*'General Inputs'!$O$9*SUM('General Inputs'!$O$18:$O$19),IF(AND(Waterfalls!BV$5=MonthRefi,'General Inputs'!$O$17="LTV"),LOOKUP(MonthRefi,OperBgt!$5:$5,OperBgt!$81:$81)*12/ExitCap*'General Inputs'!BY20*SUM('General Inputs'!$O$18:$O$19),0))</f>
        <v>0</v>
      </c>
      <c r="BW121" s="229">
        <f>-IF(AND(BW$5=MonthRefi,'General Inputs'!$O$17="LTC"),'General Inputs'!$M$8*'General Inputs'!$O$9*SUM('General Inputs'!$O$18:$O$19),IF(AND(Waterfalls!BW$5=MonthRefi,'General Inputs'!$O$17="LTV"),LOOKUP(MonthRefi,OperBgt!$5:$5,OperBgt!$81:$81)*12/ExitCap*'General Inputs'!BZ20*SUM('General Inputs'!$O$18:$O$19),0))</f>
        <v>0</v>
      </c>
      <c r="BX121" s="229">
        <f>-IF(AND(BX$5=MonthRefi,'General Inputs'!$O$17="LTC"),'General Inputs'!$M$8*'General Inputs'!$O$9*SUM('General Inputs'!$O$18:$O$19),IF(AND(Waterfalls!BX$5=MonthRefi,'General Inputs'!$O$17="LTV"),LOOKUP(MonthRefi,OperBgt!$5:$5,OperBgt!$81:$81)*12/ExitCap*'General Inputs'!CA20*SUM('General Inputs'!$O$18:$O$19),0))</f>
        <v>0</v>
      </c>
      <c r="BY121" s="229">
        <f>-IF(AND(BY$5=MonthRefi,'General Inputs'!$O$17="LTC"),'General Inputs'!$M$8*'General Inputs'!$O$9*SUM('General Inputs'!$O$18:$O$19),IF(AND(Waterfalls!BY$5=MonthRefi,'General Inputs'!$O$17="LTV"),LOOKUP(MonthRefi,OperBgt!$5:$5,OperBgt!$81:$81)*12/ExitCap*'General Inputs'!CB20*SUM('General Inputs'!$O$18:$O$19),0))</f>
        <v>0</v>
      </c>
      <c r="BZ121" s="229">
        <f>-IF(AND(BZ$5=MonthRefi,'General Inputs'!$O$17="LTC"),'General Inputs'!$M$8*'General Inputs'!$O$9*SUM('General Inputs'!$O$18:$O$19),IF(AND(Waterfalls!BZ$5=MonthRefi,'General Inputs'!$O$17="LTV"),LOOKUP(MonthRefi,OperBgt!$5:$5,OperBgt!$81:$81)*12/ExitCap*'General Inputs'!CC20*SUM('General Inputs'!$O$18:$O$19),0))</f>
        <v>0</v>
      </c>
      <c r="CA121" s="229">
        <f>-IF(AND(CA$5=MonthRefi,'General Inputs'!$O$17="LTC"),'General Inputs'!$M$8*'General Inputs'!$O$9*SUM('General Inputs'!$O$18:$O$19),IF(AND(Waterfalls!CA$5=MonthRefi,'General Inputs'!$O$17="LTV"),LOOKUP(MonthRefi,OperBgt!$5:$5,OperBgt!$81:$81)*12/ExitCap*'General Inputs'!CD20*SUM('General Inputs'!$O$18:$O$19),0))</f>
        <v>0</v>
      </c>
      <c r="CB121" s="229">
        <f>-IF(AND(CB$5=MonthRefi,'General Inputs'!$O$17="LTC"),'General Inputs'!$M$8*'General Inputs'!$O$9*SUM('General Inputs'!$O$18:$O$19),IF(AND(Waterfalls!CB$5=MonthRefi,'General Inputs'!$O$17="LTV"),LOOKUP(MonthRefi,OperBgt!$5:$5,OperBgt!$81:$81)*12/ExitCap*'General Inputs'!CE20*SUM('General Inputs'!$O$18:$O$19),0))</f>
        <v>0</v>
      </c>
      <c r="CC121" s="229">
        <f>-IF(AND(CC$5=MonthRefi,'General Inputs'!$O$17="LTC"),'General Inputs'!$M$8*'General Inputs'!$O$9*SUM('General Inputs'!$O$18:$O$19),IF(AND(Waterfalls!CC$5=MonthRefi,'General Inputs'!$O$17="LTV"),LOOKUP(MonthRefi,OperBgt!$5:$5,OperBgt!$81:$81)*12/ExitCap*'General Inputs'!CF20*SUM('General Inputs'!$O$18:$O$19),0))</f>
        <v>0</v>
      </c>
      <c r="CD121" s="229">
        <f>-IF(AND(CD$5=MonthRefi,'General Inputs'!$O$17="LTC"),'General Inputs'!$M$8*'General Inputs'!$O$9*SUM('General Inputs'!$O$18:$O$19),IF(AND(Waterfalls!CD$5=MonthRefi,'General Inputs'!$O$17="LTV"),LOOKUP(MonthRefi,OperBgt!$5:$5,OperBgt!$81:$81)*12/ExitCap*'General Inputs'!CG20*SUM('General Inputs'!$O$18:$O$19),0))</f>
        <v>0</v>
      </c>
      <c r="CE121" s="229">
        <f>-IF(AND(CE$5=MonthRefi,'General Inputs'!$O$17="LTC"),'General Inputs'!$M$8*'General Inputs'!$O$9*SUM('General Inputs'!$O$18:$O$19),IF(AND(Waterfalls!CE$5=MonthRefi,'General Inputs'!$O$17="LTV"),LOOKUP(MonthRefi,OperBgt!$5:$5,OperBgt!$81:$81)*12/ExitCap*'General Inputs'!CH20*SUM('General Inputs'!$O$18:$O$19),0))</f>
        <v>0</v>
      </c>
      <c r="CF121" s="229">
        <f>-IF(AND(CF$5=MonthRefi,'General Inputs'!$O$17="LTC"),'General Inputs'!$M$8*'General Inputs'!$O$9*SUM('General Inputs'!$O$18:$O$19),IF(AND(Waterfalls!CF$5=MonthRefi,'General Inputs'!$O$17="LTV"),LOOKUP(MonthRefi,OperBgt!$5:$5,OperBgt!$81:$81)*12/ExitCap*'General Inputs'!CI20*SUM('General Inputs'!$O$18:$O$19),0))</f>
        <v>0</v>
      </c>
      <c r="CG121" s="229">
        <f>-IF(AND(CG$5=MonthRefi,'General Inputs'!$O$17="LTC"),'General Inputs'!$M$8*'General Inputs'!$O$9*SUM('General Inputs'!$O$18:$O$19),IF(AND(Waterfalls!CG$5=MonthRefi,'General Inputs'!$O$17="LTV"),LOOKUP(MonthRefi,OperBgt!$5:$5,OperBgt!$81:$81)*12/ExitCap*'General Inputs'!CJ20*SUM('General Inputs'!$O$18:$O$19),0))</f>
        <v>0</v>
      </c>
      <c r="CH121" s="229">
        <f>-IF(AND(CH$5=MonthRefi,'General Inputs'!$O$17="LTC"),'General Inputs'!$M$8*'General Inputs'!$O$9*SUM('General Inputs'!$O$18:$O$19),IF(AND(Waterfalls!CH$5=MonthRefi,'General Inputs'!$O$17="LTV"),LOOKUP(MonthRefi,OperBgt!$5:$5,OperBgt!$81:$81)*12/ExitCap*'General Inputs'!CK20*SUM('General Inputs'!$O$18:$O$19),0))</f>
        <v>0</v>
      </c>
      <c r="CI121" s="229">
        <f>-IF(AND(CI$5=MonthRefi,'General Inputs'!$O$17="LTC"),'General Inputs'!$M$8*'General Inputs'!$O$9*SUM('General Inputs'!$O$18:$O$19),IF(AND(Waterfalls!CI$5=MonthRefi,'General Inputs'!$O$17="LTV"),LOOKUP(MonthRefi,OperBgt!$5:$5,OperBgt!$81:$81)*12/ExitCap*'General Inputs'!CL20*SUM('General Inputs'!$O$18:$O$19),0))</f>
        <v>0</v>
      </c>
      <c r="CJ121" s="229">
        <f>-IF(AND(CJ$5=MonthRefi,'General Inputs'!$O$17="LTC"),'General Inputs'!$M$8*'General Inputs'!$O$9*SUM('General Inputs'!$O$18:$O$19),IF(AND(Waterfalls!CJ$5=MonthRefi,'General Inputs'!$O$17="LTV"),LOOKUP(MonthRefi,OperBgt!$5:$5,OperBgt!$81:$81)*12/ExitCap*'General Inputs'!CM20*SUM('General Inputs'!$O$18:$O$19),0))</f>
        <v>0</v>
      </c>
      <c r="CK121" s="229">
        <f>-IF(AND(CK$5=MonthRefi,'General Inputs'!$O$17="LTC"),'General Inputs'!$M$8*'General Inputs'!$O$9*SUM('General Inputs'!$O$18:$O$19),IF(AND(Waterfalls!CK$5=MonthRefi,'General Inputs'!$O$17="LTV"),LOOKUP(MonthRefi,OperBgt!$5:$5,OperBgt!$81:$81)*12/ExitCap*'General Inputs'!CN20*SUM('General Inputs'!$O$18:$O$19),0))</f>
        <v>0</v>
      </c>
      <c r="CL121" s="229">
        <f>-IF(AND(CL$5=MonthRefi,'General Inputs'!$O$17="LTC"),'General Inputs'!$M$8*'General Inputs'!$O$9*SUM('General Inputs'!$O$18:$O$19),IF(AND(Waterfalls!CL$5=MonthRefi,'General Inputs'!$O$17="LTV"),LOOKUP(MonthRefi,OperBgt!$5:$5,OperBgt!$81:$81)*12/ExitCap*'General Inputs'!CO20*SUM('General Inputs'!$O$18:$O$19),0))</f>
        <v>0</v>
      </c>
      <c r="CM121" s="229">
        <f>-IF(AND(CM$5=MonthRefi,'General Inputs'!$O$17="LTC"),'General Inputs'!$M$8*'General Inputs'!$O$9*SUM('General Inputs'!$O$18:$O$19),IF(AND(Waterfalls!CM$5=MonthRefi,'General Inputs'!$O$17="LTV"),LOOKUP(MonthRefi,OperBgt!$5:$5,OperBgt!$81:$81)*12/ExitCap*'General Inputs'!CP20*SUM('General Inputs'!$O$18:$O$19),0))</f>
        <v>0</v>
      </c>
      <c r="CN121" s="229">
        <f>-IF(AND(CN$5=MonthRefi,'General Inputs'!$O$17="LTC"),'General Inputs'!$M$8*'General Inputs'!$O$9*SUM('General Inputs'!$O$18:$O$19),IF(AND(Waterfalls!CN$5=MonthRefi,'General Inputs'!$O$17="LTV"),LOOKUP(MonthRefi,OperBgt!$5:$5,OperBgt!$81:$81)*12/ExitCap*'General Inputs'!CQ20*SUM('General Inputs'!$O$18:$O$19),0))</f>
        <v>0</v>
      </c>
      <c r="CO121" s="229">
        <f>-IF(AND(CO$5=MonthRefi,'General Inputs'!$O$17="LTC"),'General Inputs'!$M$8*'General Inputs'!$O$9*SUM('General Inputs'!$O$18:$O$19),IF(AND(Waterfalls!CO$5=MonthRefi,'General Inputs'!$O$17="LTV"),LOOKUP(MonthRefi,OperBgt!$5:$5,OperBgt!$81:$81)*12/ExitCap*'General Inputs'!CR20*SUM('General Inputs'!$O$18:$O$19),0))</f>
        <v>0</v>
      </c>
      <c r="CP121" s="229">
        <f>-IF(AND(CP$5=MonthRefi,'General Inputs'!$O$17="LTC"),'General Inputs'!$M$8*'General Inputs'!$O$9*SUM('General Inputs'!$O$18:$O$19),IF(AND(Waterfalls!CP$5=MonthRefi,'General Inputs'!$O$17="LTV"),LOOKUP(MonthRefi,OperBgt!$5:$5,OperBgt!$81:$81)*12/ExitCap*'General Inputs'!CS20*SUM('General Inputs'!$O$18:$O$19),0))</f>
        <v>0</v>
      </c>
      <c r="CQ121" s="229">
        <f>-IF(AND(CQ$5=MonthRefi,'General Inputs'!$O$17="LTC"),'General Inputs'!$M$8*'General Inputs'!$O$9*SUM('General Inputs'!$O$18:$O$19),IF(AND(Waterfalls!CQ$5=MonthRefi,'General Inputs'!$O$17="LTV"),LOOKUP(MonthRefi,OperBgt!$5:$5,OperBgt!$81:$81)*12/ExitCap*'General Inputs'!CT20*SUM('General Inputs'!$O$18:$O$19),0))</f>
        <v>0</v>
      </c>
      <c r="CR121" s="229">
        <f>-IF(AND(CR$5=MonthRefi,'General Inputs'!$O$17="LTC"),'General Inputs'!$M$8*'General Inputs'!$O$9*SUM('General Inputs'!$O$18:$O$19),IF(AND(Waterfalls!CR$5=MonthRefi,'General Inputs'!$O$17="LTV"),LOOKUP(MonthRefi,OperBgt!$5:$5,OperBgt!$81:$81)*12/ExitCap*'General Inputs'!CU20*SUM('General Inputs'!$O$18:$O$19),0))</f>
        <v>0</v>
      </c>
      <c r="CS121" s="229">
        <f>-IF(AND(CS$5=MonthRefi,'General Inputs'!$O$17="LTC"),'General Inputs'!$M$8*'General Inputs'!$O$9*SUM('General Inputs'!$O$18:$O$19),IF(AND(Waterfalls!CS$5=MonthRefi,'General Inputs'!$O$17="LTV"),LOOKUP(MonthRefi,OperBgt!$5:$5,OperBgt!$81:$81)*12/ExitCap*'General Inputs'!CV20*SUM('General Inputs'!$O$18:$O$19),0))</f>
        <v>0</v>
      </c>
      <c r="CT121" s="229">
        <f>-IF(AND(CT$5=MonthRefi,'General Inputs'!$O$17="LTC"),'General Inputs'!$M$8*'General Inputs'!$O$9*SUM('General Inputs'!$O$18:$O$19),IF(AND(Waterfalls!CT$5=MonthRefi,'General Inputs'!$O$17="LTV"),LOOKUP(MonthRefi,OperBgt!$5:$5,OperBgt!$81:$81)*12/ExitCap*'General Inputs'!CW20*SUM('General Inputs'!$O$18:$O$19),0))</f>
        <v>0</v>
      </c>
      <c r="CU121" s="229">
        <f>-IF(AND(CU$5=MonthRefi,'General Inputs'!$O$17="LTC"),'General Inputs'!$M$8*'General Inputs'!$O$9*SUM('General Inputs'!$O$18:$O$19),IF(AND(Waterfalls!CU$5=MonthRefi,'General Inputs'!$O$17="LTV"),LOOKUP(MonthRefi,OperBgt!$5:$5,OperBgt!$81:$81)*12/ExitCap*'General Inputs'!CX20*SUM('General Inputs'!$O$18:$O$19),0))</f>
        <v>0</v>
      </c>
      <c r="CV121" s="229">
        <f>-IF(AND(CV$5=MonthRefi,'General Inputs'!$O$17="LTC"),'General Inputs'!$M$8*'General Inputs'!$O$9*SUM('General Inputs'!$O$18:$O$19),IF(AND(Waterfalls!CV$5=MonthRefi,'General Inputs'!$O$17="LTV"),LOOKUP(MonthRefi,OperBgt!$5:$5,OperBgt!$81:$81)*12/ExitCap*'General Inputs'!CY20*SUM('General Inputs'!$O$18:$O$19),0))</f>
        <v>0</v>
      </c>
      <c r="CW121" s="229">
        <f>-IF(AND(CW$5=MonthRefi,'General Inputs'!$O$17="LTC"),'General Inputs'!$M$8*'General Inputs'!$O$9*SUM('General Inputs'!$O$18:$O$19),IF(AND(Waterfalls!CW$5=MonthRefi,'General Inputs'!$O$17="LTV"),LOOKUP(MonthRefi,OperBgt!$5:$5,OperBgt!$81:$81)*12/ExitCap*'General Inputs'!CZ20*SUM('General Inputs'!$O$18:$O$19),0))</f>
        <v>0</v>
      </c>
      <c r="CX121" s="229">
        <f>-IF(AND(CX$5=MonthRefi,'General Inputs'!$O$17="LTC"),'General Inputs'!$M$8*'General Inputs'!$O$9*SUM('General Inputs'!$O$18:$O$19),IF(AND(Waterfalls!CX$5=MonthRefi,'General Inputs'!$O$17="LTV"),LOOKUP(MonthRefi,OperBgt!$5:$5,OperBgt!$81:$81)*12/ExitCap*'General Inputs'!DA20*SUM('General Inputs'!$O$18:$O$19),0))</f>
        <v>0</v>
      </c>
      <c r="CY121" s="229">
        <f>-IF(AND(CY$5=MonthRefi,'General Inputs'!$O$17="LTC"),'General Inputs'!$M$8*'General Inputs'!$O$9*SUM('General Inputs'!$O$18:$O$19),IF(AND(Waterfalls!CY$5=MonthRefi,'General Inputs'!$O$17="LTV"),LOOKUP(MonthRefi,OperBgt!$5:$5,OperBgt!$81:$81)*12/ExitCap*'General Inputs'!DB20*SUM('General Inputs'!$O$18:$O$19),0))</f>
        <v>0</v>
      </c>
      <c r="CZ121" s="229">
        <f>-IF(AND(CZ$5=MonthRefi,'General Inputs'!$O$17="LTC"),'General Inputs'!$M$8*'General Inputs'!$O$9*SUM('General Inputs'!$O$18:$O$19),IF(AND(Waterfalls!CZ$5=MonthRefi,'General Inputs'!$O$17="LTV"),LOOKUP(MonthRefi,OperBgt!$5:$5,OperBgt!$81:$81)*12/ExitCap*'General Inputs'!DC20*SUM('General Inputs'!$O$18:$O$19),0))</f>
        <v>0</v>
      </c>
      <c r="DA121" s="229">
        <f>-IF(AND(DA$5=MonthRefi,'General Inputs'!$O$17="LTC"),'General Inputs'!$M$8*'General Inputs'!$O$9*SUM('General Inputs'!$O$18:$O$19),IF(AND(Waterfalls!DA$5=MonthRefi,'General Inputs'!$O$17="LTV"),LOOKUP(MonthRefi,OperBgt!$5:$5,OperBgt!$81:$81)*12/ExitCap*'General Inputs'!DD20*SUM('General Inputs'!$O$18:$O$19),0))</f>
        <v>0</v>
      </c>
      <c r="DB121" s="229">
        <f>-IF(AND(DB$5=MonthRefi,'General Inputs'!$O$17="LTC"),'General Inputs'!$M$8*'General Inputs'!$O$9*SUM('General Inputs'!$O$18:$O$19),IF(AND(Waterfalls!DB$5=MonthRefi,'General Inputs'!$O$17="LTV"),LOOKUP(MonthRefi,OperBgt!$5:$5,OperBgt!$81:$81)*12/ExitCap*'General Inputs'!DE20*SUM('General Inputs'!$O$18:$O$19),0))</f>
        <v>0</v>
      </c>
      <c r="DC121" s="229">
        <f>-IF(AND(DC$5=MonthRefi,'General Inputs'!$O$17="LTC"),'General Inputs'!$M$8*'General Inputs'!$O$9*SUM('General Inputs'!$O$18:$O$19),IF(AND(Waterfalls!DC$5=MonthRefi,'General Inputs'!$O$17="LTV"),LOOKUP(MonthRefi,OperBgt!$5:$5,OperBgt!$81:$81)*12/ExitCap*'General Inputs'!DF20*SUM('General Inputs'!$O$18:$O$19),0))</f>
        <v>0</v>
      </c>
      <c r="DD121" s="229">
        <f>-IF(AND(DD$5=MonthRefi,'General Inputs'!$O$17="LTC"),'General Inputs'!$M$8*'General Inputs'!$O$9*SUM('General Inputs'!$O$18:$O$19),IF(AND(Waterfalls!DD$5=MonthRefi,'General Inputs'!$O$17="LTV"),LOOKUP(MonthRefi,OperBgt!$5:$5,OperBgt!$81:$81)*12/ExitCap*'General Inputs'!DG20*SUM('General Inputs'!$O$18:$O$19),0))</f>
        <v>0</v>
      </c>
      <c r="DE121" s="229">
        <f>-IF(AND(DE$5=MonthRefi,'General Inputs'!$O$17="LTC"),'General Inputs'!$M$8*'General Inputs'!$O$9*SUM('General Inputs'!$O$18:$O$19),IF(AND(Waterfalls!DE$5=MonthRefi,'General Inputs'!$O$17="LTV"),LOOKUP(MonthRefi,OperBgt!$5:$5,OperBgt!$81:$81)*12/ExitCap*'General Inputs'!DH20*SUM('General Inputs'!$O$18:$O$19),0))</f>
        <v>0</v>
      </c>
      <c r="DF121" s="229">
        <f>-IF(AND(DF$5=MonthRefi,'General Inputs'!$O$17="LTC"),'General Inputs'!$M$8*'General Inputs'!$O$9*SUM('General Inputs'!$O$18:$O$19),IF(AND(Waterfalls!DF$5=MonthRefi,'General Inputs'!$O$17="LTV"),LOOKUP(MonthRefi,OperBgt!$5:$5,OperBgt!$81:$81)*12/ExitCap*'General Inputs'!DI20*SUM('General Inputs'!$O$18:$O$19),0))</f>
        <v>0</v>
      </c>
      <c r="DG121" s="229">
        <f>-IF(AND(DG$5=MonthRefi,'General Inputs'!$O$17="LTC"),'General Inputs'!$M$8*'General Inputs'!$O$9*SUM('General Inputs'!$O$18:$O$19),IF(AND(Waterfalls!DG$5=MonthRefi,'General Inputs'!$O$17="LTV"),LOOKUP(MonthRefi,OperBgt!$5:$5,OperBgt!$81:$81)*12/ExitCap*'General Inputs'!DJ20*SUM('General Inputs'!$O$18:$O$19),0))</f>
        <v>0</v>
      </c>
      <c r="DH121" s="229">
        <f>-IF(AND(DH$5=MonthRefi,'General Inputs'!$O$17="LTC"),'General Inputs'!$M$8*'General Inputs'!$O$9*SUM('General Inputs'!$O$18:$O$19),IF(AND(Waterfalls!DH$5=MonthRefi,'General Inputs'!$O$17="LTV"),LOOKUP(MonthRefi,OperBgt!$5:$5,OperBgt!$81:$81)*12/ExitCap*'General Inputs'!DK20*SUM('General Inputs'!$O$18:$O$19),0))</f>
        <v>0</v>
      </c>
      <c r="DI121" s="229">
        <f>-IF(AND(DI$5=MonthRefi,'General Inputs'!$O$17="LTC"),'General Inputs'!$M$8*'General Inputs'!$O$9*SUM('General Inputs'!$O$18:$O$19),IF(AND(Waterfalls!DI$5=MonthRefi,'General Inputs'!$O$17="LTV"),LOOKUP(MonthRefi,OperBgt!$5:$5,OperBgt!$81:$81)*12/ExitCap*'General Inputs'!DL20*SUM('General Inputs'!$O$18:$O$19),0))</f>
        <v>0</v>
      </c>
      <c r="DJ121" s="229">
        <f>-IF(AND(DJ$5=MonthRefi,'General Inputs'!$O$17="LTC"),'General Inputs'!$M$8*'General Inputs'!$O$9*SUM('General Inputs'!$O$18:$O$19),IF(AND(Waterfalls!DJ$5=MonthRefi,'General Inputs'!$O$17="LTV"),LOOKUP(MonthRefi,OperBgt!$5:$5,OperBgt!$81:$81)*12/ExitCap*'General Inputs'!DM20*SUM('General Inputs'!$O$18:$O$19),0))</f>
        <v>0</v>
      </c>
      <c r="DK121" s="229">
        <f>-IF(AND(DK$5=MonthRefi,'General Inputs'!$O$17="LTC"),'General Inputs'!$M$8*'General Inputs'!$O$9*SUM('General Inputs'!$O$18:$O$19),IF(AND(Waterfalls!DK$5=MonthRefi,'General Inputs'!$O$17="LTV"),LOOKUP(MonthRefi,OperBgt!$5:$5,OperBgt!$81:$81)*12/ExitCap*'General Inputs'!DN20*SUM('General Inputs'!$O$18:$O$19),0))</f>
        <v>0</v>
      </c>
      <c r="DL121" s="229">
        <f>-IF(AND(DL$5=MonthRefi,'General Inputs'!$O$17="LTC"),'General Inputs'!$M$8*'General Inputs'!$O$9*SUM('General Inputs'!$O$18:$O$19),IF(AND(Waterfalls!DL$5=MonthRefi,'General Inputs'!$O$17="LTV"),LOOKUP(MonthRefi,OperBgt!$5:$5,OperBgt!$81:$81)*12/ExitCap*'General Inputs'!DO20*SUM('General Inputs'!$O$18:$O$19),0))</f>
        <v>0</v>
      </c>
      <c r="DM121" s="229">
        <f>-IF(AND(DM$5=MonthRefi,'General Inputs'!$O$17="LTC"),'General Inputs'!$M$8*'General Inputs'!$O$9*SUM('General Inputs'!$O$18:$O$19),IF(AND(Waterfalls!DM$5=MonthRefi,'General Inputs'!$O$17="LTV"),LOOKUP(MonthRefi,OperBgt!$5:$5,OperBgt!$81:$81)*12/ExitCap*'General Inputs'!DP20*SUM('General Inputs'!$O$18:$O$19),0))</f>
        <v>0</v>
      </c>
      <c r="DN121" s="229">
        <f>-IF(AND(DN$5=MonthRefi,'General Inputs'!$O$17="LTC"),'General Inputs'!$M$8*'General Inputs'!$O$9*SUM('General Inputs'!$O$18:$O$19),IF(AND(Waterfalls!DN$5=MonthRefi,'General Inputs'!$O$17="LTV"),LOOKUP(MonthRefi,OperBgt!$5:$5,OperBgt!$81:$81)*12/ExitCap*'General Inputs'!DQ20*SUM('General Inputs'!$O$18:$O$19),0))</f>
        <v>0</v>
      </c>
      <c r="DO121" s="229">
        <f>-IF(AND(DO$5=MonthRefi,'General Inputs'!$O$17="LTC"),'General Inputs'!$M$8*'General Inputs'!$O$9*SUM('General Inputs'!$O$18:$O$19),IF(AND(Waterfalls!DO$5=MonthRefi,'General Inputs'!$O$17="LTV"),LOOKUP(MonthRefi,OperBgt!$5:$5,OperBgt!$81:$81)*12/ExitCap*'General Inputs'!DR20*SUM('General Inputs'!$O$18:$O$19),0))</f>
        <v>0</v>
      </c>
      <c r="DP121" s="229">
        <f>-IF(AND(DP$5=MonthRefi,'General Inputs'!$O$17="LTC"),'General Inputs'!$M$8*'General Inputs'!$O$9*SUM('General Inputs'!$O$18:$O$19),IF(AND(Waterfalls!DP$5=MonthRefi,'General Inputs'!$O$17="LTV"),LOOKUP(MonthRefi,OperBgt!$5:$5,OperBgt!$81:$81)*12/ExitCap*'General Inputs'!DS20*SUM('General Inputs'!$O$18:$O$19),0))</f>
        <v>0</v>
      </c>
      <c r="DQ121" s="229">
        <f>-IF(AND(DQ$5=MonthRefi,'General Inputs'!$O$17="LTC"),'General Inputs'!$M$8*'General Inputs'!$O$9*SUM('General Inputs'!$O$18:$O$19),IF(AND(Waterfalls!DQ$5=MonthRefi,'General Inputs'!$O$17="LTV"),LOOKUP(MonthRefi,OperBgt!$5:$5,OperBgt!$81:$81)*12/ExitCap*'General Inputs'!DT20*SUM('General Inputs'!$O$18:$O$19),0))</f>
        <v>0</v>
      </c>
      <c r="DR121" s="229">
        <f>-IF(AND(DR$5=MonthRefi,'General Inputs'!$O$17="LTC"),'General Inputs'!$M$8*'General Inputs'!$O$9*SUM('General Inputs'!$O$18:$O$19),IF(AND(Waterfalls!DR$5=MonthRefi,'General Inputs'!$O$17="LTV"),LOOKUP(MonthRefi,OperBgt!$5:$5,OperBgt!$81:$81)*12/ExitCap*'General Inputs'!DU20*SUM('General Inputs'!$O$18:$O$19),0))</f>
        <v>0</v>
      </c>
      <c r="DS121" s="229">
        <f>-IF(AND(DS$5=MonthRefi,'General Inputs'!$O$17="LTC"),'General Inputs'!$M$8*'General Inputs'!$O$9*SUM('General Inputs'!$O$18:$O$19),IF(AND(Waterfalls!DS$5=MonthRefi,'General Inputs'!$O$17="LTV"),LOOKUP(MonthRefi,OperBgt!$5:$5,OperBgt!$81:$81)*12/ExitCap*'General Inputs'!DV20*SUM('General Inputs'!$O$18:$O$19),0))</f>
        <v>0</v>
      </c>
      <c r="DT121" s="229">
        <f>-IF(AND(DT$5=MonthRefi,'General Inputs'!$O$17="LTC"),'General Inputs'!$M$8*'General Inputs'!$O$9*SUM('General Inputs'!$O$18:$O$19),IF(AND(Waterfalls!DT$5=MonthRefi,'General Inputs'!$O$17="LTV"),LOOKUP(MonthRefi,OperBgt!$5:$5,OperBgt!$81:$81)*12/ExitCap*'General Inputs'!DW20*SUM('General Inputs'!$O$18:$O$19),0))</f>
        <v>0</v>
      </c>
      <c r="DU121" s="229">
        <f>-IF(AND(DU$5=MonthRefi,'General Inputs'!$O$17="LTC"),'General Inputs'!$M$8*'General Inputs'!$O$9*SUM('General Inputs'!$O$18:$O$19),IF(AND(Waterfalls!DU$5=MonthRefi,'General Inputs'!$O$17="LTV"),LOOKUP(MonthRefi,OperBgt!$5:$5,OperBgt!$81:$81)*12/ExitCap*'General Inputs'!DX20*SUM('General Inputs'!$O$18:$O$19),0))</f>
        <v>0</v>
      </c>
      <c r="DV121" s="229">
        <f>-IF(AND(DV$5=MonthRefi,'General Inputs'!$O$17="LTC"),'General Inputs'!$M$8*'General Inputs'!$O$9*SUM('General Inputs'!$O$18:$O$19),IF(AND(Waterfalls!DV$5=MonthRefi,'General Inputs'!$O$17="LTV"),LOOKUP(MonthRefi,OperBgt!$5:$5,OperBgt!$81:$81)*12/ExitCap*'General Inputs'!DY20*SUM('General Inputs'!$O$18:$O$19),0))</f>
        <v>0</v>
      </c>
      <c r="DW121" s="229">
        <f>-IF(AND(DW$5=MonthRefi,'General Inputs'!$O$17="LTC"),'General Inputs'!$M$8*'General Inputs'!$O$9*SUM('General Inputs'!$O$18:$O$19),IF(AND(Waterfalls!DW$5=MonthRefi,'General Inputs'!$O$17="LTV"),LOOKUP(MonthRefi,OperBgt!$5:$5,OperBgt!$81:$81)*12/ExitCap*'General Inputs'!DZ20*SUM('General Inputs'!$O$18:$O$19),0))</f>
        <v>0</v>
      </c>
      <c r="DX121" s="229">
        <f>-IF(AND(DX$5=MonthRefi,'General Inputs'!$O$17="LTC"),'General Inputs'!$M$8*'General Inputs'!$O$9*SUM('General Inputs'!$O$18:$O$19),IF(AND(Waterfalls!DX$5=MonthRefi,'General Inputs'!$O$17="LTV"),LOOKUP(MonthRefi,OperBgt!$5:$5,OperBgt!$81:$81)*12/ExitCap*'General Inputs'!EA20*SUM('General Inputs'!$O$18:$O$19),0))</f>
        <v>0</v>
      </c>
      <c r="DY121" s="229">
        <f>-IF(AND(DY$5=MonthRefi,'General Inputs'!$O$17="LTC"),'General Inputs'!$M$8*'General Inputs'!$O$9*SUM('General Inputs'!$O$18:$O$19),IF(AND(Waterfalls!DY$5=MonthRefi,'General Inputs'!$O$17="LTV"),LOOKUP(MonthRefi,OperBgt!$5:$5,OperBgt!$81:$81)*12/ExitCap*'General Inputs'!EB20*SUM('General Inputs'!$O$18:$O$19),0))</f>
        <v>0</v>
      </c>
      <c r="DZ121" s="229">
        <f>-IF(AND(DZ$5=MonthRefi,'General Inputs'!$O$17="LTC"),'General Inputs'!$M$8*'General Inputs'!$O$9*SUM('General Inputs'!$O$18:$O$19),IF(AND(Waterfalls!DZ$5=MonthRefi,'General Inputs'!$O$17="LTV"),LOOKUP(MonthRefi,OperBgt!$5:$5,OperBgt!$81:$81)*12/ExitCap*'General Inputs'!EC20*SUM('General Inputs'!$O$18:$O$19),0))</f>
        <v>0</v>
      </c>
      <c r="EA121" s="229">
        <f>-IF(AND(EA$5=MonthRefi,'General Inputs'!$O$17="LTC"),'General Inputs'!$M$8*'General Inputs'!$O$9*SUM('General Inputs'!$O$18:$O$19),IF(AND(Waterfalls!EA$5=MonthRefi,'General Inputs'!$O$17="LTV"),LOOKUP(MonthRefi,OperBgt!$5:$5,OperBgt!$81:$81)*12/ExitCap*'General Inputs'!ED20*SUM('General Inputs'!$O$18:$O$19),0))</f>
        <v>0</v>
      </c>
      <c r="EB121" s="229">
        <f>-IF(AND(EB$5=MonthRefi,'General Inputs'!$O$17="LTC"),'General Inputs'!$M$8*'General Inputs'!$O$9*SUM('General Inputs'!$O$18:$O$19),IF(AND(Waterfalls!EB$5=MonthRefi,'General Inputs'!$O$17="LTV"),LOOKUP(MonthRefi,OperBgt!$5:$5,OperBgt!$81:$81)*12/ExitCap*'General Inputs'!EE20*SUM('General Inputs'!$O$18:$O$19),0))</f>
        <v>0</v>
      </c>
      <c r="EC121" s="229">
        <f>-IF(AND(EC$5=MonthRefi,'General Inputs'!$O$17="LTC"),'General Inputs'!$M$8*'General Inputs'!$O$9*SUM('General Inputs'!$O$18:$O$19),IF(AND(Waterfalls!EC$5=MonthRefi,'General Inputs'!$O$17="LTV"),LOOKUP(MonthRefi,OperBgt!$5:$5,OperBgt!$81:$81)*12/ExitCap*'General Inputs'!EF20*SUM('General Inputs'!$O$18:$O$19),0))</f>
        <v>0</v>
      </c>
      <c r="ED121" s="229">
        <f>-IF(AND(ED$5=MonthRefi,'General Inputs'!$O$17="LTC"),'General Inputs'!$M$8*'General Inputs'!$O$9*SUM('General Inputs'!$O$18:$O$19),IF(AND(Waterfalls!ED$5=MonthRefi,'General Inputs'!$O$17="LTV"),LOOKUP(MonthRefi,OperBgt!$5:$5,OperBgt!$81:$81)*12/ExitCap*'General Inputs'!EG20*SUM('General Inputs'!$O$18:$O$19),0))</f>
        <v>0</v>
      </c>
      <c r="EE121" s="229">
        <f>-IF(AND(EE$5=MonthRefi,'General Inputs'!$O$17="LTC"),'General Inputs'!$M$8*'General Inputs'!$O$9*SUM('General Inputs'!$O$18:$O$19),IF(AND(Waterfalls!EE$5=MonthRefi,'General Inputs'!$O$17="LTV"),LOOKUP(MonthRefi,OperBgt!$5:$5,OperBgt!$81:$81)*12/ExitCap*'General Inputs'!EH20*SUM('General Inputs'!$O$18:$O$19),0))</f>
        <v>0</v>
      </c>
      <c r="EF121" s="229">
        <f>-IF(AND(EF$5=MonthRefi,'General Inputs'!$O$17="LTC"),'General Inputs'!$M$8*'General Inputs'!$O$9*SUM('General Inputs'!$O$18:$O$19),IF(AND(Waterfalls!EF$5=MonthRefi,'General Inputs'!$O$17="LTV"),LOOKUP(MonthRefi,OperBgt!$5:$5,OperBgt!$81:$81)*12/ExitCap*'General Inputs'!EI20*SUM('General Inputs'!$O$18:$O$19),0))</f>
        <v>0</v>
      </c>
      <c r="EG121" s="229">
        <f>-IF(AND(EG$5=MonthRefi,'General Inputs'!$O$17="LTC"),'General Inputs'!$M$8*'General Inputs'!$O$9*SUM('General Inputs'!$O$18:$O$19),IF(AND(Waterfalls!EG$5=MonthRefi,'General Inputs'!$O$17="LTV"),LOOKUP(MonthRefi,OperBgt!$5:$5,OperBgt!$81:$81)*12/ExitCap*'General Inputs'!EJ20*SUM('General Inputs'!$O$18:$O$19),0))</f>
        <v>0</v>
      </c>
    </row>
    <row r="122" spans="1:137" x14ac:dyDescent="0.3">
      <c r="A122" s="701" t="s">
        <v>2482</v>
      </c>
      <c r="B122" s="701"/>
      <c r="C122" s="701"/>
      <c r="D122" s="727"/>
      <c r="E122" s="702">
        <f t="shared" ref="E122:BP122" si="187">SUM(E120:E121)</f>
        <v>0</v>
      </c>
      <c r="F122" s="702">
        <f t="shared" si="187"/>
        <v>0</v>
      </c>
      <c r="G122" s="702">
        <f t="shared" si="187"/>
        <v>0</v>
      </c>
      <c r="H122" s="702">
        <f t="shared" si="187"/>
        <v>0</v>
      </c>
      <c r="I122" s="702">
        <f t="shared" si="187"/>
        <v>0</v>
      </c>
      <c r="J122" s="702">
        <f t="shared" si="187"/>
        <v>0</v>
      </c>
      <c r="K122" s="702">
        <f t="shared" si="187"/>
        <v>0</v>
      </c>
      <c r="L122" s="702">
        <f t="shared" si="187"/>
        <v>0</v>
      </c>
      <c r="M122" s="702">
        <f t="shared" si="187"/>
        <v>0</v>
      </c>
      <c r="N122" s="702">
        <f t="shared" si="187"/>
        <v>0</v>
      </c>
      <c r="O122" s="702">
        <f t="shared" si="187"/>
        <v>0</v>
      </c>
      <c r="P122" s="702">
        <f t="shared" si="187"/>
        <v>0</v>
      </c>
      <c r="Q122" s="702">
        <f t="shared" si="187"/>
        <v>0</v>
      </c>
      <c r="R122" s="702">
        <f t="shared" si="187"/>
        <v>0</v>
      </c>
      <c r="S122" s="702">
        <f t="shared" si="187"/>
        <v>0</v>
      </c>
      <c r="T122" s="702">
        <f t="shared" si="187"/>
        <v>0</v>
      </c>
      <c r="U122" s="702">
        <f t="shared" si="187"/>
        <v>0</v>
      </c>
      <c r="V122" s="702">
        <f t="shared" si="187"/>
        <v>0</v>
      </c>
      <c r="W122" s="702">
        <f t="shared" si="187"/>
        <v>0</v>
      </c>
      <c r="X122" s="702">
        <f t="shared" si="187"/>
        <v>0</v>
      </c>
      <c r="Y122" s="702">
        <f t="shared" si="187"/>
        <v>0</v>
      </c>
      <c r="Z122" s="702">
        <f t="shared" si="187"/>
        <v>0</v>
      </c>
      <c r="AA122" s="702">
        <f t="shared" si="187"/>
        <v>0</v>
      </c>
      <c r="AB122" s="702">
        <f t="shared" si="187"/>
        <v>0</v>
      </c>
      <c r="AC122" s="702">
        <f t="shared" si="187"/>
        <v>0</v>
      </c>
      <c r="AD122" s="702">
        <f t="shared" si="187"/>
        <v>0</v>
      </c>
      <c r="AE122" s="702">
        <f t="shared" si="187"/>
        <v>0</v>
      </c>
      <c r="AF122" s="702">
        <f t="shared" si="187"/>
        <v>0</v>
      </c>
      <c r="AG122" s="702">
        <f t="shared" si="187"/>
        <v>0</v>
      </c>
      <c r="AH122" s="702">
        <f t="shared" ca="1" si="187"/>
        <v>0</v>
      </c>
      <c r="AI122" s="702">
        <f t="shared" si="187"/>
        <v>0</v>
      </c>
      <c r="AJ122" s="702">
        <f t="shared" si="187"/>
        <v>0</v>
      </c>
      <c r="AK122" s="702">
        <f t="shared" si="187"/>
        <v>0</v>
      </c>
      <c r="AL122" s="702">
        <f t="shared" si="187"/>
        <v>0</v>
      </c>
      <c r="AM122" s="702">
        <f t="shared" si="187"/>
        <v>0</v>
      </c>
      <c r="AN122" s="702">
        <f t="shared" si="187"/>
        <v>0</v>
      </c>
      <c r="AO122" s="702">
        <f t="shared" si="187"/>
        <v>0</v>
      </c>
      <c r="AP122" s="702">
        <f t="shared" si="187"/>
        <v>0</v>
      </c>
      <c r="AQ122" s="702">
        <f t="shared" si="187"/>
        <v>0</v>
      </c>
      <c r="AR122" s="702">
        <f t="shared" si="187"/>
        <v>0</v>
      </c>
      <c r="AS122" s="702">
        <f t="shared" si="187"/>
        <v>0</v>
      </c>
      <c r="AT122" s="702">
        <f t="shared" si="187"/>
        <v>0</v>
      </c>
      <c r="AU122" s="702">
        <f t="shared" si="187"/>
        <v>0</v>
      </c>
      <c r="AV122" s="702">
        <f t="shared" si="187"/>
        <v>0</v>
      </c>
      <c r="AW122" s="702">
        <f t="shared" si="187"/>
        <v>0</v>
      </c>
      <c r="AX122" s="702">
        <f t="shared" si="187"/>
        <v>0</v>
      </c>
      <c r="AY122" s="702">
        <f t="shared" si="187"/>
        <v>0</v>
      </c>
      <c r="AZ122" s="702">
        <f t="shared" si="187"/>
        <v>0</v>
      </c>
      <c r="BA122" s="702">
        <f t="shared" si="187"/>
        <v>0</v>
      </c>
      <c r="BB122" s="702">
        <f t="shared" si="187"/>
        <v>0</v>
      </c>
      <c r="BC122" s="702">
        <f t="shared" si="187"/>
        <v>0</v>
      </c>
      <c r="BD122" s="702">
        <f t="shared" si="187"/>
        <v>0</v>
      </c>
      <c r="BE122" s="702">
        <f t="shared" si="187"/>
        <v>0</v>
      </c>
      <c r="BF122" s="702">
        <f t="shared" si="187"/>
        <v>0</v>
      </c>
      <c r="BG122" s="702">
        <f t="shared" si="187"/>
        <v>0</v>
      </c>
      <c r="BH122" s="702">
        <f t="shared" si="187"/>
        <v>0</v>
      </c>
      <c r="BI122" s="702">
        <f t="shared" si="187"/>
        <v>0</v>
      </c>
      <c r="BJ122" s="702">
        <f t="shared" si="187"/>
        <v>0</v>
      </c>
      <c r="BK122" s="702">
        <f t="shared" si="187"/>
        <v>0</v>
      </c>
      <c r="BL122" s="702">
        <f t="shared" si="187"/>
        <v>0</v>
      </c>
      <c r="BM122" s="702">
        <f t="shared" si="187"/>
        <v>0</v>
      </c>
      <c r="BN122" s="702">
        <f t="shared" si="187"/>
        <v>0</v>
      </c>
      <c r="BO122" s="702">
        <f t="shared" si="187"/>
        <v>0</v>
      </c>
      <c r="BP122" s="702">
        <f t="shared" si="187"/>
        <v>0</v>
      </c>
      <c r="BQ122" s="702">
        <f t="shared" ref="BQ122:EB122" si="188">SUM(BQ120:BQ121)</f>
        <v>0</v>
      </c>
      <c r="BR122" s="702">
        <f t="shared" si="188"/>
        <v>0</v>
      </c>
      <c r="BS122" s="702">
        <f t="shared" si="188"/>
        <v>0</v>
      </c>
      <c r="BT122" s="702">
        <f t="shared" si="188"/>
        <v>0</v>
      </c>
      <c r="BU122" s="702">
        <f t="shared" si="188"/>
        <v>0</v>
      </c>
      <c r="BV122" s="702">
        <f t="shared" si="188"/>
        <v>0</v>
      </c>
      <c r="BW122" s="702">
        <f t="shared" si="188"/>
        <v>0</v>
      </c>
      <c r="BX122" s="702">
        <f t="shared" si="188"/>
        <v>0</v>
      </c>
      <c r="BY122" s="702">
        <f t="shared" si="188"/>
        <v>0</v>
      </c>
      <c r="BZ122" s="702">
        <f t="shared" si="188"/>
        <v>0</v>
      </c>
      <c r="CA122" s="702">
        <f t="shared" si="188"/>
        <v>0</v>
      </c>
      <c r="CB122" s="702">
        <f t="shared" si="188"/>
        <v>0</v>
      </c>
      <c r="CC122" s="702">
        <f t="shared" si="188"/>
        <v>0</v>
      </c>
      <c r="CD122" s="702">
        <f t="shared" si="188"/>
        <v>0</v>
      </c>
      <c r="CE122" s="702">
        <f t="shared" si="188"/>
        <v>0</v>
      </c>
      <c r="CF122" s="702">
        <f t="shared" si="188"/>
        <v>0</v>
      </c>
      <c r="CG122" s="702">
        <f t="shared" si="188"/>
        <v>0</v>
      </c>
      <c r="CH122" s="702">
        <f t="shared" si="188"/>
        <v>0</v>
      </c>
      <c r="CI122" s="702">
        <f t="shared" si="188"/>
        <v>0</v>
      </c>
      <c r="CJ122" s="702">
        <f t="shared" si="188"/>
        <v>0</v>
      </c>
      <c r="CK122" s="702">
        <f t="shared" si="188"/>
        <v>0</v>
      </c>
      <c r="CL122" s="702">
        <f t="shared" si="188"/>
        <v>0</v>
      </c>
      <c r="CM122" s="702">
        <f t="shared" si="188"/>
        <v>0</v>
      </c>
      <c r="CN122" s="702">
        <f t="shared" si="188"/>
        <v>0</v>
      </c>
      <c r="CO122" s="702">
        <f t="shared" si="188"/>
        <v>0</v>
      </c>
      <c r="CP122" s="702">
        <f t="shared" si="188"/>
        <v>0</v>
      </c>
      <c r="CQ122" s="702">
        <f t="shared" si="188"/>
        <v>0</v>
      </c>
      <c r="CR122" s="702">
        <f t="shared" si="188"/>
        <v>0</v>
      </c>
      <c r="CS122" s="702">
        <f t="shared" si="188"/>
        <v>0</v>
      </c>
      <c r="CT122" s="702">
        <f t="shared" si="188"/>
        <v>0</v>
      </c>
      <c r="CU122" s="702">
        <f t="shared" si="188"/>
        <v>0</v>
      </c>
      <c r="CV122" s="702">
        <f t="shared" si="188"/>
        <v>0</v>
      </c>
      <c r="CW122" s="702">
        <f t="shared" si="188"/>
        <v>0</v>
      </c>
      <c r="CX122" s="702">
        <f t="shared" si="188"/>
        <v>0</v>
      </c>
      <c r="CY122" s="702">
        <f t="shared" si="188"/>
        <v>0</v>
      </c>
      <c r="CZ122" s="702">
        <f t="shared" si="188"/>
        <v>0</v>
      </c>
      <c r="DA122" s="702">
        <f t="shared" si="188"/>
        <v>0</v>
      </c>
      <c r="DB122" s="702">
        <f t="shared" si="188"/>
        <v>0</v>
      </c>
      <c r="DC122" s="702">
        <f t="shared" si="188"/>
        <v>0</v>
      </c>
      <c r="DD122" s="702">
        <f t="shared" si="188"/>
        <v>0</v>
      </c>
      <c r="DE122" s="702">
        <f t="shared" si="188"/>
        <v>0</v>
      </c>
      <c r="DF122" s="702">
        <f t="shared" si="188"/>
        <v>0</v>
      </c>
      <c r="DG122" s="702">
        <f t="shared" si="188"/>
        <v>0</v>
      </c>
      <c r="DH122" s="702">
        <f t="shared" si="188"/>
        <v>0</v>
      </c>
      <c r="DI122" s="702">
        <f t="shared" si="188"/>
        <v>0</v>
      </c>
      <c r="DJ122" s="702">
        <f t="shared" si="188"/>
        <v>0</v>
      </c>
      <c r="DK122" s="702">
        <f t="shared" si="188"/>
        <v>0</v>
      </c>
      <c r="DL122" s="702">
        <f t="shared" si="188"/>
        <v>0</v>
      </c>
      <c r="DM122" s="702">
        <f t="shared" si="188"/>
        <v>0</v>
      </c>
      <c r="DN122" s="702">
        <f t="shared" si="188"/>
        <v>0</v>
      </c>
      <c r="DO122" s="702">
        <f t="shared" si="188"/>
        <v>0</v>
      </c>
      <c r="DP122" s="702">
        <f t="shared" si="188"/>
        <v>0</v>
      </c>
      <c r="DQ122" s="702">
        <f t="shared" si="188"/>
        <v>0</v>
      </c>
      <c r="DR122" s="702">
        <f t="shared" si="188"/>
        <v>0</v>
      </c>
      <c r="DS122" s="702">
        <f t="shared" si="188"/>
        <v>0</v>
      </c>
      <c r="DT122" s="702">
        <f t="shared" si="188"/>
        <v>0</v>
      </c>
      <c r="DU122" s="702">
        <f t="shared" si="188"/>
        <v>0</v>
      </c>
      <c r="DV122" s="702">
        <f t="shared" si="188"/>
        <v>0</v>
      </c>
      <c r="DW122" s="702">
        <f t="shared" si="188"/>
        <v>0</v>
      </c>
      <c r="DX122" s="702">
        <f t="shared" si="188"/>
        <v>0</v>
      </c>
      <c r="DY122" s="702">
        <f t="shared" si="188"/>
        <v>0</v>
      </c>
      <c r="DZ122" s="702">
        <f t="shared" si="188"/>
        <v>0</v>
      </c>
      <c r="EA122" s="702">
        <f t="shared" si="188"/>
        <v>0</v>
      </c>
      <c r="EB122" s="702">
        <f t="shared" si="188"/>
        <v>0</v>
      </c>
      <c r="EC122" s="702">
        <f t="shared" ref="EC122:EG122" si="189">SUM(EC120:EC121)</f>
        <v>0</v>
      </c>
      <c r="ED122" s="702">
        <f t="shared" si="189"/>
        <v>0</v>
      </c>
      <c r="EE122" s="702">
        <f t="shared" si="189"/>
        <v>0</v>
      </c>
      <c r="EF122" s="702">
        <f t="shared" si="189"/>
        <v>0</v>
      </c>
      <c r="EG122" s="702">
        <f t="shared" si="189"/>
        <v>0</v>
      </c>
    </row>
    <row r="123" spans="1:137" ht="7.5" customHeight="1" x14ac:dyDescent="0.3"/>
    <row r="124" spans="1:137" x14ac:dyDescent="0.3">
      <c r="A124" t="s">
        <v>2483</v>
      </c>
      <c r="E124" s="227">
        <f>-IF(E$5=MonthRefi,'General Inputs'!$I$8*'General Inputs'!$I$22,0)</f>
        <v>0</v>
      </c>
      <c r="F124" s="227">
        <f>-IF(F$5=MonthRefi,'General Inputs'!$I$8*'General Inputs'!$I$22,0)</f>
        <v>0</v>
      </c>
      <c r="G124" s="227">
        <f>-IF(G$5=MonthRefi,'General Inputs'!$I$8*'General Inputs'!$I$22,0)</f>
        <v>0</v>
      </c>
      <c r="H124" s="227">
        <f>-IF(H$5=MonthRefi,'General Inputs'!$I$8*'General Inputs'!$I$22,0)</f>
        <v>0</v>
      </c>
      <c r="I124" s="227">
        <f>-IF(I$5=MonthRefi,'General Inputs'!$I$8*'General Inputs'!$I$22,0)</f>
        <v>0</v>
      </c>
      <c r="J124" s="227">
        <f>-IF(J$5=MonthRefi,'General Inputs'!$I$8*'General Inputs'!$I$22,0)</f>
        <v>0</v>
      </c>
      <c r="K124" s="227">
        <f>-IF(K$5=MonthRefi,'General Inputs'!$I$8*'General Inputs'!$I$22,0)</f>
        <v>0</v>
      </c>
      <c r="L124" s="227">
        <f>-IF(L$5=MonthRefi,'General Inputs'!$I$8*'General Inputs'!$I$22,0)</f>
        <v>0</v>
      </c>
      <c r="M124" s="227">
        <f>-IF(M$5=MonthRefi,'General Inputs'!$I$8*'General Inputs'!$I$22,0)</f>
        <v>0</v>
      </c>
      <c r="N124" s="227">
        <f>-IF(N$5=MonthRefi,'General Inputs'!$I$8*'General Inputs'!$I$22,0)</f>
        <v>0</v>
      </c>
      <c r="O124" s="227">
        <f>-IF(O$5=MonthRefi,'General Inputs'!$I$8*'General Inputs'!$I$22,0)</f>
        <v>0</v>
      </c>
      <c r="P124" s="227">
        <f>-IF(P$5=MonthRefi,'General Inputs'!$I$8*'General Inputs'!$I$22,0)</f>
        <v>0</v>
      </c>
      <c r="Q124" s="227">
        <f>-IF(Q$5=MonthRefi,'General Inputs'!$I$8*'General Inputs'!$I$22,0)</f>
        <v>0</v>
      </c>
      <c r="R124" s="227">
        <f>-IF(R$5=MonthRefi,'General Inputs'!$I$8*'General Inputs'!$I$22,0)</f>
        <v>0</v>
      </c>
      <c r="S124" s="227">
        <f>-IF(S$5=MonthRefi,'General Inputs'!$I$8*'General Inputs'!$I$22,0)</f>
        <v>0</v>
      </c>
      <c r="T124" s="227">
        <f>-IF(T$5=MonthRefi,'General Inputs'!$I$8*'General Inputs'!$I$22,0)</f>
        <v>0</v>
      </c>
      <c r="U124" s="227">
        <f>-IF(U$5=MonthRefi,'General Inputs'!$I$8*'General Inputs'!$I$22,0)</f>
        <v>0</v>
      </c>
      <c r="V124" s="227">
        <f>-IF(V$5=MonthRefi,'General Inputs'!$I$8*'General Inputs'!$I$22,0)</f>
        <v>0</v>
      </c>
      <c r="W124" s="227">
        <f>-IF(W$5=MonthRefi,'General Inputs'!$I$8*'General Inputs'!$I$22,0)</f>
        <v>0</v>
      </c>
      <c r="X124" s="227">
        <f>-IF(X$5=MonthRefi,'General Inputs'!$I$8*'General Inputs'!$I$22,0)</f>
        <v>0</v>
      </c>
      <c r="Y124" s="227">
        <f>-IF(Y$5=MonthRefi,'General Inputs'!$I$8*'General Inputs'!$I$22,0)</f>
        <v>0</v>
      </c>
      <c r="Z124" s="227">
        <f>-IF(Z$5=MonthRefi,'General Inputs'!$I$8*'General Inputs'!$I$22,0)</f>
        <v>0</v>
      </c>
      <c r="AA124" s="227">
        <f>-IF(AA$5=MonthRefi,'General Inputs'!$I$8*'General Inputs'!$I$22,0)</f>
        <v>0</v>
      </c>
      <c r="AB124" s="227">
        <f>-IF(AB$5=MonthRefi,'General Inputs'!$I$8*'General Inputs'!$I$22,0)</f>
        <v>0</v>
      </c>
      <c r="AC124" s="227">
        <f>-IF(AC$5=MonthRefi,'General Inputs'!$I$8*'General Inputs'!$I$22,0)</f>
        <v>0</v>
      </c>
      <c r="AD124" s="227">
        <f>-IF(AD$5=MonthRefi,'General Inputs'!$I$8*'General Inputs'!$I$22,0)</f>
        <v>0</v>
      </c>
      <c r="AE124" s="227">
        <f>-IF(AE$5=MonthRefi,'General Inputs'!$I$8*'General Inputs'!$I$22,0)</f>
        <v>0</v>
      </c>
      <c r="AF124" s="227">
        <f>-IF(AF$5=MonthRefi,'General Inputs'!$I$8*'General Inputs'!$I$22,0)</f>
        <v>0</v>
      </c>
      <c r="AG124" s="227">
        <f>-IF(AG$5=MonthRefi,'General Inputs'!$I$8*'General Inputs'!$I$22,0)</f>
        <v>0</v>
      </c>
      <c r="AH124" s="227">
        <f ca="1">-IF(AH$5=MonthRefi,'General Inputs'!$I$8*'General Inputs'!$I$22,0)</f>
        <v>0</v>
      </c>
      <c r="AI124" s="227">
        <f>-IF(AI$5=MonthRefi,'General Inputs'!$I$8*'General Inputs'!$I$22,0)</f>
        <v>0</v>
      </c>
      <c r="AJ124" s="227">
        <f>-IF(AJ$5=MonthRefi,'General Inputs'!$I$8*'General Inputs'!$I$22,0)</f>
        <v>0</v>
      </c>
      <c r="AK124" s="227">
        <f>-IF(AK$5=MonthRefi,'General Inputs'!$I$8*'General Inputs'!$I$22,0)</f>
        <v>0</v>
      </c>
      <c r="AL124" s="227">
        <f>-IF(AL$5=MonthRefi,'General Inputs'!$I$8*'General Inputs'!$I$22,0)</f>
        <v>0</v>
      </c>
      <c r="AM124" s="227">
        <f>-IF(AM$5=MonthRefi,'General Inputs'!$I$8*'General Inputs'!$I$22,0)</f>
        <v>0</v>
      </c>
      <c r="AN124" s="227">
        <f>-IF(AN$5=MonthRefi,'General Inputs'!$I$8*'General Inputs'!$I$22,0)</f>
        <v>0</v>
      </c>
      <c r="AO124" s="227">
        <f>-IF(AO$5=MonthRefi,'General Inputs'!$I$8*'General Inputs'!$I$22,0)</f>
        <v>0</v>
      </c>
      <c r="AP124" s="227">
        <f>-IF(AP$5=MonthRefi,'General Inputs'!$I$8*'General Inputs'!$I$22,0)</f>
        <v>0</v>
      </c>
      <c r="AQ124" s="227">
        <f>-IF(AQ$5=MonthRefi,'General Inputs'!$I$8*'General Inputs'!$I$22,0)</f>
        <v>0</v>
      </c>
      <c r="AR124" s="227">
        <f>-IF(AR$5=MonthRefi,'General Inputs'!$I$8*'General Inputs'!$I$22,0)</f>
        <v>0</v>
      </c>
      <c r="AS124" s="227">
        <f>-IF(AS$5=MonthRefi,'General Inputs'!$I$8*'General Inputs'!$I$22,0)</f>
        <v>0</v>
      </c>
      <c r="AT124" s="227">
        <f>-IF(AT$5=MonthRefi,'General Inputs'!$I$8*'General Inputs'!$I$22,0)</f>
        <v>0</v>
      </c>
      <c r="AU124" s="227">
        <f>-IF(AU$5=MonthRefi,'General Inputs'!$I$8*'General Inputs'!$I$22,0)</f>
        <v>0</v>
      </c>
      <c r="AV124" s="227">
        <f>-IF(AV$5=MonthRefi,'General Inputs'!$I$8*'General Inputs'!$I$22,0)</f>
        <v>0</v>
      </c>
      <c r="AW124" s="227">
        <f>-IF(AW$5=MonthRefi,'General Inputs'!$I$8*'General Inputs'!$I$22,0)</f>
        <v>0</v>
      </c>
      <c r="AX124" s="227">
        <f>-IF(AX$5=MonthRefi,'General Inputs'!$I$8*'General Inputs'!$I$22,0)</f>
        <v>0</v>
      </c>
      <c r="AY124" s="227">
        <f>-IF(AY$5=MonthRefi,'General Inputs'!$I$8*'General Inputs'!$I$22,0)</f>
        <v>0</v>
      </c>
      <c r="AZ124" s="227">
        <f>-IF(AZ$5=MonthRefi,'General Inputs'!$I$8*'General Inputs'!$I$22,0)</f>
        <v>0</v>
      </c>
      <c r="BA124" s="227">
        <f>-IF(BA$5=MonthRefi,'General Inputs'!$I$8*'General Inputs'!$I$22,0)</f>
        <v>0</v>
      </c>
      <c r="BB124" s="227">
        <f>-IF(BB$5=MonthRefi,'General Inputs'!$I$8*'General Inputs'!$I$22,0)</f>
        <v>0</v>
      </c>
      <c r="BC124" s="227">
        <f>-IF(BC$5=MonthRefi,'General Inputs'!$I$8*'General Inputs'!$I$22,0)</f>
        <v>0</v>
      </c>
      <c r="BD124" s="227">
        <f>-IF(BD$5=MonthRefi,'General Inputs'!$I$8*'General Inputs'!$I$22,0)</f>
        <v>0</v>
      </c>
      <c r="BE124" s="227">
        <f>-IF(BE$5=MonthRefi,'General Inputs'!$I$8*'General Inputs'!$I$22,0)</f>
        <v>0</v>
      </c>
      <c r="BF124" s="227">
        <f>-IF(BF$5=MonthRefi,'General Inputs'!$I$8*'General Inputs'!$I$22,0)</f>
        <v>0</v>
      </c>
      <c r="BG124" s="227">
        <f>-IF(BG$5=MonthRefi,'General Inputs'!$I$8*'General Inputs'!$I$22,0)</f>
        <v>0</v>
      </c>
      <c r="BH124" s="227">
        <f>-IF(BH$5=MonthRefi,'General Inputs'!$I$8*'General Inputs'!$I$22,0)</f>
        <v>0</v>
      </c>
      <c r="BI124" s="227">
        <f>-IF(BI$5=MonthRefi,'General Inputs'!$I$8*'General Inputs'!$I$22,0)</f>
        <v>0</v>
      </c>
      <c r="BJ124" s="227">
        <f>-IF(BJ$5=MonthRefi,'General Inputs'!$I$8*'General Inputs'!$I$22,0)</f>
        <v>0</v>
      </c>
      <c r="BK124" s="227">
        <f>-IF(BK$5=MonthRefi,'General Inputs'!$I$8*'General Inputs'!$I$22,0)</f>
        <v>0</v>
      </c>
      <c r="BL124" s="227">
        <f>-IF(BL$5=MonthRefi,'General Inputs'!$I$8*'General Inputs'!$I$22,0)</f>
        <v>0</v>
      </c>
      <c r="BM124" s="227">
        <f>-IF(BM$5=MonthRefi,'General Inputs'!$I$8*'General Inputs'!$I$22,0)</f>
        <v>0</v>
      </c>
      <c r="BN124" s="227">
        <f>-IF(BN$5=MonthRefi,'General Inputs'!$I$8*'General Inputs'!$I$22,0)</f>
        <v>0</v>
      </c>
      <c r="BO124" s="227">
        <f>-IF(BO$5=MonthRefi,'General Inputs'!$I$8*'General Inputs'!$I$22,0)</f>
        <v>0</v>
      </c>
      <c r="BP124" s="227">
        <f>-IF(BP$5=MonthRefi,'General Inputs'!$I$8*'General Inputs'!$I$22,0)</f>
        <v>0</v>
      </c>
      <c r="BQ124" s="227">
        <f>-IF(BQ$5=MonthRefi,'General Inputs'!$I$8*'General Inputs'!$I$22,0)</f>
        <v>0</v>
      </c>
      <c r="BR124" s="227">
        <f>-IF(BR$5=MonthRefi,'General Inputs'!$I$8*'General Inputs'!$I$22,0)</f>
        <v>0</v>
      </c>
      <c r="BS124" s="227">
        <f>-IF(BS$5=MonthRefi,'General Inputs'!$I$8*'General Inputs'!$I$22,0)</f>
        <v>0</v>
      </c>
      <c r="BT124" s="227">
        <f>-IF(BT$5=MonthRefi,'General Inputs'!$I$8*'General Inputs'!$I$22,0)</f>
        <v>0</v>
      </c>
      <c r="BU124" s="227">
        <f>-IF(BU$5=MonthRefi,'General Inputs'!$I$8*'General Inputs'!$I$22,0)</f>
        <v>0</v>
      </c>
      <c r="BV124" s="227">
        <f>-IF(BV$5=MonthRefi,'General Inputs'!$I$8*'General Inputs'!$I$22,0)</f>
        <v>0</v>
      </c>
      <c r="BW124" s="227">
        <f>-IF(BW$5=MonthRefi,'General Inputs'!$I$8*'General Inputs'!$I$22,0)</f>
        <v>0</v>
      </c>
      <c r="BX124" s="227">
        <f>-IF(BX$5=MonthRefi,'General Inputs'!$I$8*'General Inputs'!$I$22,0)</f>
        <v>0</v>
      </c>
      <c r="BY124" s="227">
        <f>-IF(BY$5=MonthRefi,'General Inputs'!$I$8*'General Inputs'!$I$22,0)</f>
        <v>0</v>
      </c>
      <c r="BZ124" s="227">
        <f>-IF(BZ$5=MonthRefi,'General Inputs'!$I$8*'General Inputs'!$I$22,0)</f>
        <v>0</v>
      </c>
      <c r="CA124" s="227">
        <f>-IF(CA$5=MonthRefi,'General Inputs'!$I$8*'General Inputs'!$I$22,0)</f>
        <v>0</v>
      </c>
      <c r="CB124" s="227">
        <f>-IF(CB$5=MonthRefi,'General Inputs'!$I$8*'General Inputs'!$I$22,0)</f>
        <v>0</v>
      </c>
      <c r="CC124" s="227">
        <f>-IF(CC$5=MonthRefi,'General Inputs'!$I$8*'General Inputs'!$I$22,0)</f>
        <v>0</v>
      </c>
      <c r="CD124" s="227">
        <f>-IF(CD$5=MonthRefi,'General Inputs'!$I$8*'General Inputs'!$I$22,0)</f>
        <v>0</v>
      </c>
      <c r="CE124" s="227">
        <f>-IF(CE$5=MonthRefi,'General Inputs'!$I$8*'General Inputs'!$I$22,0)</f>
        <v>0</v>
      </c>
      <c r="CF124" s="227">
        <f>-IF(CF$5=MonthRefi,'General Inputs'!$I$8*'General Inputs'!$I$22,0)</f>
        <v>0</v>
      </c>
      <c r="CG124" s="227">
        <f>-IF(CG$5=MonthRefi,'General Inputs'!$I$8*'General Inputs'!$I$22,0)</f>
        <v>0</v>
      </c>
      <c r="CH124" s="227">
        <f>-IF(CH$5=MonthRefi,'General Inputs'!$I$8*'General Inputs'!$I$22,0)</f>
        <v>0</v>
      </c>
      <c r="CI124" s="227">
        <f>-IF(CI$5=MonthRefi,'General Inputs'!$I$8*'General Inputs'!$I$22,0)</f>
        <v>0</v>
      </c>
      <c r="CJ124" s="227">
        <f>-IF(CJ$5=MonthRefi,'General Inputs'!$I$8*'General Inputs'!$I$22,0)</f>
        <v>0</v>
      </c>
      <c r="CK124" s="227">
        <f>-IF(CK$5=MonthRefi,'General Inputs'!$I$8*'General Inputs'!$I$22,0)</f>
        <v>0</v>
      </c>
      <c r="CL124" s="227">
        <f>-IF(CL$5=MonthRefi,'General Inputs'!$I$8*'General Inputs'!$I$22,0)</f>
        <v>0</v>
      </c>
      <c r="CM124" s="227">
        <f>-IF(CM$5=MonthRefi,'General Inputs'!$I$8*'General Inputs'!$I$22,0)</f>
        <v>0</v>
      </c>
      <c r="CN124" s="227">
        <f>-IF(CN$5=MonthRefi,'General Inputs'!$I$8*'General Inputs'!$I$22,0)</f>
        <v>0</v>
      </c>
      <c r="CO124" s="227">
        <f>-IF(CO$5=MonthRefi,'General Inputs'!$I$8*'General Inputs'!$I$22,0)</f>
        <v>0</v>
      </c>
      <c r="CP124" s="227">
        <f>-IF(CP$5=MonthRefi,'General Inputs'!$I$8*'General Inputs'!$I$22,0)</f>
        <v>0</v>
      </c>
      <c r="CQ124" s="227">
        <f>-IF(CQ$5=MonthRefi,'General Inputs'!$I$8*'General Inputs'!$I$22,0)</f>
        <v>0</v>
      </c>
      <c r="CR124" s="227">
        <f>-IF(CR$5=MonthRefi,'General Inputs'!$I$8*'General Inputs'!$I$22,0)</f>
        <v>0</v>
      </c>
      <c r="CS124" s="227">
        <f>-IF(CS$5=MonthRefi,'General Inputs'!$I$8*'General Inputs'!$I$22,0)</f>
        <v>0</v>
      </c>
      <c r="CT124" s="227">
        <f>-IF(CT$5=MonthRefi,'General Inputs'!$I$8*'General Inputs'!$I$22,0)</f>
        <v>0</v>
      </c>
      <c r="CU124" s="227">
        <f>-IF(CU$5=MonthRefi,'General Inputs'!$I$8*'General Inputs'!$I$22,0)</f>
        <v>0</v>
      </c>
      <c r="CV124" s="227">
        <f>-IF(CV$5=MonthRefi,'General Inputs'!$I$8*'General Inputs'!$I$22,0)</f>
        <v>0</v>
      </c>
      <c r="CW124" s="227">
        <f>-IF(CW$5=MonthRefi,'General Inputs'!$I$8*'General Inputs'!$I$22,0)</f>
        <v>0</v>
      </c>
      <c r="CX124" s="227">
        <f>-IF(CX$5=MonthRefi,'General Inputs'!$I$8*'General Inputs'!$I$22,0)</f>
        <v>0</v>
      </c>
      <c r="CY124" s="227">
        <f>-IF(CY$5=MonthRefi,'General Inputs'!$I$8*'General Inputs'!$I$22,0)</f>
        <v>0</v>
      </c>
      <c r="CZ124" s="227">
        <f>-IF(CZ$5=MonthRefi,'General Inputs'!$I$8*'General Inputs'!$I$22,0)</f>
        <v>0</v>
      </c>
      <c r="DA124" s="227">
        <f>-IF(DA$5=MonthRefi,'General Inputs'!$I$8*'General Inputs'!$I$22,0)</f>
        <v>0</v>
      </c>
      <c r="DB124" s="227">
        <f>-IF(DB$5=MonthRefi,'General Inputs'!$I$8*'General Inputs'!$I$22,0)</f>
        <v>0</v>
      </c>
      <c r="DC124" s="227">
        <f>-IF(DC$5=MonthRefi,'General Inputs'!$I$8*'General Inputs'!$I$22,0)</f>
        <v>0</v>
      </c>
      <c r="DD124" s="227">
        <f>-IF(DD$5=MonthRefi,'General Inputs'!$I$8*'General Inputs'!$I$22,0)</f>
        <v>0</v>
      </c>
      <c r="DE124" s="227">
        <f>-IF(DE$5=MonthRefi,'General Inputs'!$I$8*'General Inputs'!$I$22,0)</f>
        <v>0</v>
      </c>
      <c r="DF124" s="227">
        <f>-IF(DF$5=MonthRefi,'General Inputs'!$I$8*'General Inputs'!$I$22,0)</f>
        <v>0</v>
      </c>
      <c r="DG124" s="227">
        <f>-IF(DG$5=MonthRefi,'General Inputs'!$I$8*'General Inputs'!$I$22,0)</f>
        <v>0</v>
      </c>
      <c r="DH124" s="227">
        <f>-IF(DH$5=MonthRefi,'General Inputs'!$I$8*'General Inputs'!$I$22,0)</f>
        <v>0</v>
      </c>
      <c r="DI124" s="227">
        <f>-IF(DI$5=MonthRefi,'General Inputs'!$I$8*'General Inputs'!$I$22,0)</f>
        <v>0</v>
      </c>
      <c r="DJ124" s="227">
        <f>-IF(DJ$5=MonthRefi,'General Inputs'!$I$8*'General Inputs'!$I$22,0)</f>
        <v>0</v>
      </c>
      <c r="DK124" s="227">
        <f>-IF(DK$5=MonthRefi,'General Inputs'!$I$8*'General Inputs'!$I$22,0)</f>
        <v>0</v>
      </c>
      <c r="DL124" s="227">
        <f>-IF(DL$5=MonthRefi,'General Inputs'!$I$8*'General Inputs'!$I$22,0)</f>
        <v>0</v>
      </c>
      <c r="DM124" s="227">
        <f>-IF(DM$5=MonthRefi,'General Inputs'!$I$8*'General Inputs'!$I$22,0)</f>
        <v>0</v>
      </c>
      <c r="DN124" s="227">
        <f>-IF(DN$5=MonthRefi,'General Inputs'!$I$8*'General Inputs'!$I$22,0)</f>
        <v>0</v>
      </c>
      <c r="DO124" s="227">
        <f>-IF(DO$5=MonthRefi,'General Inputs'!$I$8*'General Inputs'!$I$22,0)</f>
        <v>0</v>
      </c>
      <c r="DP124" s="227">
        <f>-IF(DP$5=MonthRefi,'General Inputs'!$I$8*'General Inputs'!$I$22,0)</f>
        <v>0</v>
      </c>
      <c r="DQ124" s="227">
        <f>-IF(DQ$5=MonthRefi,'General Inputs'!$I$8*'General Inputs'!$I$22,0)</f>
        <v>0</v>
      </c>
      <c r="DR124" s="227">
        <f>-IF(DR$5=MonthRefi,'General Inputs'!$I$8*'General Inputs'!$I$22,0)</f>
        <v>0</v>
      </c>
      <c r="DS124" s="227">
        <f>-IF(DS$5=MonthRefi,'General Inputs'!$I$8*'General Inputs'!$I$22,0)</f>
        <v>0</v>
      </c>
      <c r="DT124" s="227">
        <f>-IF(DT$5=MonthRefi,'General Inputs'!$I$8*'General Inputs'!$I$22,0)</f>
        <v>0</v>
      </c>
      <c r="DU124" s="227">
        <f>-IF(DU$5=MonthRefi,'General Inputs'!$I$8*'General Inputs'!$I$22,0)</f>
        <v>0</v>
      </c>
      <c r="DV124" s="227">
        <f>-IF(DV$5=MonthRefi,'General Inputs'!$I$8*'General Inputs'!$I$22,0)</f>
        <v>0</v>
      </c>
      <c r="DW124" s="227">
        <f>-IF(DW$5=MonthRefi,'General Inputs'!$I$8*'General Inputs'!$I$22,0)</f>
        <v>0</v>
      </c>
      <c r="DX124" s="227">
        <f>-IF(DX$5=MonthRefi,'General Inputs'!$I$8*'General Inputs'!$I$22,0)</f>
        <v>0</v>
      </c>
      <c r="DY124" s="227">
        <f>-IF(DY$5=MonthRefi,'General Inputs'!$I$8*'General Inputs'!$I$22,0)</f>
        <v>0</v>
      </c>
      <c r="DZ124" s="227">
        <f>-IF(DZ$5=MonthRefi,'General Inputs'!$I$8*'General Inputs'!$I$22,0)</f>
        <v>0</v>
      </c>
      <c r="EA124" s="227">
        <f>-IF(EA$5=MonthRefi,'General Inputs'!$I$8*'General Inputs'!$I$22,0)</f>
        <v>0</v>
      </c>
      <c r="EB124" s="227">
        <f>-IF(EB$5=MonthRefi,'General Inputs'!$I$8*'General Inputs'!$I$22,0)</f>
        <v>0</v>
      </c>
      <c r="EC124" s="227">
        <f>-IF(EC$5=MonthRefi,'General Inputs'!$I$8*'General Inputs'!$I$22,0)</f>
        <v>0</v>
      </c>
      <c r="ED124" s="227">
        <f>-IF(ED$5=MonthRefi,'General Inputs'!$I$8*'General Inputs'!$I$22,0)</f>
        <v>0</v>
      </c>
      <c r="EE124" s="227">
        <f>-IF(EE$5=MonthRefi,'General Inputs'!$I$8*'General Inputs'!$I$22,0)</f>
        <v>0</v>
      </c>
      <c r="EF124" s="227">
        <f>-IF(EF$5=MonthRefi,'General Inputs'!$I$8*'General Inputs'!$I$22,0)</f>
        <v>0</v>
      </c>
      <c r="EG124" s="227">
        <f>-IF(EG$5=MonthRefi,'General Inputs'!$I$8*'General Inputs'!$I$22,0)</f>
        <v>0</v>
      </c>
    </row>
    <row r="125" spans="1:137" ht="15" thickBot="1" x14ac:dyDescent="0.35">
      <c r="A125" s="248" t="s">
        <v>2484</v>
      </c>
      <c r="B125" s="248"/>
      <c r="C125" s="248"/>
      <c r="D125" s="697"/>
      <c r="E125" s="250">
        <f t="shared" ref="E125:BL125" si="190">E118+E122+E124</f>
        <v>0</v>
      </c>
      <c r="F125" s="250">
        <f t="shared" si="190"/>
        <v>0</v>
      </c>
      <c r="G125" s="250">
        <f t="shared" si="190"/>
        <v>0</v>
      </c>
      <c r="H125" s="250">
        <f t="shared" si="190"/>
        <v>0</v>
      </c>
      <c r="I125" s="250">
        <f t="shared" si="190"/>
        <v>0</v>
      </c>
      <c r="J125" s="250">
        <f t="shared" si="190"/>
        <v>0</v>
      </c>
      <c r="K125" s="250">
        <f t="shared" si="190"/>
        <v>0</v>
      </c>
      <c r="L125" s="250">
        <f t="shared" si="190"/>
        <v>0</v>
      </c>
      <c r="M125" s="250">
        <f t="shared" si="190"/>
        <v>0</v>
      </c>
      <c r="N125" s="250">
        <f t="shared" si="190"/>
        <v>0</v>
      </c>
      <c r="O125" s="250">
        <f t="shared" si="190"/>
        <v>0</v>
      </c>
      <c r="P125" s="250">
        <f t="shared" si="190"/>
        <v>0</v>
      </c>
      <c r="Q125" s="250">
        <f t="shared" si="190"/>
        <v>0</v>
      </c>
      <c r="R125" s="250">
        <f t="shared" si="190"/>
        <v>0</v>
      </c>
      <c r="S125" s="250">
        <f t="shared" si="190"/>
        <v>0</v>
      </c>
      <c r="T125" s="250">
        <f t="shared" si="190"/>
        <v>0</v>
      </c>
      <c r="U125" s="250">
        <f t="shared" si="190"/>
        <v>0</v>
      </c>
      <c r="V125" s="250">
        <f t="shared" si="190"/>
        <v>0</v>
      </c>
      <c r="W125" s="250">
        <f t="shared" si="190"/>
        <v>0</v>
      </c>
      <c r="X125" s="250">
        <f t="shared" si="190"/>
        <v>0</v>
      </c>
      <c r="Y125" s="250">
        <f t="shared" si="190"/>
        <v>0</v>
      </c>
      <c r="Z125" s="250">
        <f t="shared" si="190"/>
        <v>0</v>
      </c>
      <c r="AA125" s="250">
        <f t="shared" si="190"/>
        <v>0</v>
      </c>
      <c r="AB125" s="250">
        <f t="shared" si="190"/>
        <v>0</v>
      </c>
      <c r="AC125" s="250">
        <f t="shared" si="190"/>
        <v>0</v>
      </c>
      <c r="AD125" s="250">
        <f t="shared" si="190"/>
        <v>0</v>
      </c>
      <c r="AE125" s="250">
        <f t="shared" si="190"/>
        <v>0</v>
      </c>
      <c r="AF125" s="250">
        <f t="shared" si="190"/>
        <v>0</v>
      </c>
      <c r="AG125" s="250">
        <f t="shared" si="190"/>
        <v>0</v>
      </c>
      <c r="AH125" s="250">
        <f t="shared" ca="1" si="190"/>
        <v>42877793.388198167</v>
      </c>
      <c r="AI125" s="250">
        <f t="shared" si="190"/>
        <v>0</v>
      </c>
      <c r="AJ125" s="250">
        <f t="shared" si="190"/>
        <v>0</v>
      </c>
      <c r="AK125" s="250">
        <f t="shared" si="190"/>
        <v>0</v>
      </c>
      <c r="AL125" s="250">
        <f t="shared" si="190"/>
        <v>0</v>
      </c>
      <c r="AM125" s="250">
        <f t="shared" si="190"/>
        <v>0</v>
      </c>
      <c r="AN125" s="250">
        <f t="shared" si="190"/>
        <v>0</v>
      </c>
      <c r="AO125" s="250">
        <f t="shared" si="190"/>
        <v>0</v>
      </c>
      <c r="AP125" s="250">
        <f t="shared" si="190"/>
        <v>0</v>
      </c>
      <c r="AQ125" s="250">
        <f t="shared" si="190"/>
        <v>0</v>
      </c>
      <c r="AR125" s="250">
        <f t="shared" si="190"/>
        <v>0</v>
      </c>
      <c r="AS125" s="250">
        <f t="shared" si="190"/>
        <v>0</v>
      </c>
      <c r="AT125" s="250">
        <f t="shared" si="190"/>
        <v>0</v>
      </c>
      <c r="AU125" s="250">
        <f t="shared" si="190"/>
        <v>0</v>
      </c>
      <c r="AV125" s="250">
        <f t="shared" si="190"/>
        <v>0</v>
      </c>
      <c r="AW125" s="250">
        <f t="shared" si="190"/>
        <v>0</v>
      </c>
      <c r="AX125" s="250">
        <f t="shared" si="190"/>
        <v>0</v>
      </c>
      <c r="AY125" s="250">
        <f t="shared" si="190"/>
        <v>0</v>
      </c>
      <c r="AZ125" s="250">
        <f t="shared" si="190"/>
        <v>0</v>
      </c>
      <c r="BA125" s="250">
        <f t="shared" si="190"/>
        <v>0</v>
      </c>
      <c r="BB125" s="250">
        <f t="shared" si="190"/>
        <v>0</v>
      </c>
      <c r="BC125" s="250">
        <f t="shared" si="190"/>
        <v>0</v>
      </c>
      <c r="BD125" s="250">
        <f t="shared" si="190"/>
        <v>0</v>
      </c>
      <c r="BE125" s="250">
        <f t="shared" si="190"/>
        <v>0</v>
      </c>
      <c r="BF125" s="250">
        <f t="shared" si="190"/>
        <v>0</v>
      </c>
      <c r="BG125" s="250">
        <f t="shared" si="190"/>
        <v>0</v>
      </c>
      <c r="BH125" s="250">
        <f t="shared" si="190"/>
        <v>0</v>
      </c>
      <c r="BI125" s="250">
        <f t="shared" si="190"/>
        <v>0</v>
      </c>
      <c r="BJ125" s="250">
        <f t="shared" si="190"/>
        <v>0</v>
      </c>
      <c r="BK125" s="250">
        <f t="shared" si="190"/>
        <v>0</v>
      </c>
      <c r="BL125" s="250">
        <f t="shared" si="190"/>
        <v>0</v>
      </c>
      <c r="BM125" s="250">
        <f>BM118+BM122+BM124</f>
        <v>0</v>
      </c>
      <c r="BN125" s="250">
        <f>BN118+BN122+BN124</f>
        <v>0</v>
      </c>
      <c r="BO125" s="250">
        <f t="shared" ref="BO125:DZ125" si="191">BO118+BO122+BO124</f>
        <v>0</v>
      </c>
      <c r="BP125" s="250">
        <f t="shared" si="191"/>
        <v>0</v>
      </c>
      <c r="BQ125" s="250">
        <f t="shared" si="191"/>
        <v>0</v>
      </c>
      <c r="BR125" s="250">
        <f t="shared" si="191"/>
        <v>0</v>
      </c>
      <c r="BS125" s="250">
        <f t="shared" si="191"/>
        <v>0</v>
      </c>
      <c r="BT125" s="250">
        <f t="shared" si="191"/>
        <v>0</v>
      </c>
      <c r="BU125" s="250">
        <f t="shared" si="191"/>
        <v>0</v>
      </c>
      <c r="BV125" s="250">
        <f t="shared" si="191"/>
        <v>0</v>
      </c>
      <c r="BW125" s="250">
        <f t="shared" si="191"/>
        <v>0</v>
      </c>
      <c r="BX125" s="250">
        <f t="shared" si="191"/>
        <v>0</v>
      </c>
      <c r="BY125" s="250">
        <f t="shared" si="191"/>
        <v>0</v>
      </c>
      <c r="BZ125" s="250">
        <f t="shared" si="191"/>
        <v>0</v>
      </c>
      <c r="CA125" s="250">
        <f t="shared" si="191"/>
        <v>0</v>
      </c>
      <c r="CB125" s="250">
        <f t="shared" si="191"/>
        <v>0</v>
      </c>
      <c r="CC125" s="250">
        <f t="shared" si="191"/>
        <v>0</v>
      </c>
      <c r="CD125" s="250">
        <f t="shared" si="191"/>
        <v>0</v>
      </c>
      <c r="CE125" s="250">
        <f t="shared" si="191"/>
        <v>0</v>
      </c>
      <c r="CF125" s="250">
        <f t="shared" si="191"/>
        <v>0</v>
      </c>
      <c r="CG125" s="250">
        <f t="shared" si="191"/>
        <v>0</v>
      </c>
      <c r="CH125" s="250">
        <f t="shared" si="191"/>
        <v>0</v>
      </c>
      <c r="CI125" s="250">
        <f t="shared" si="191"/>
        <v>0</v>
      </c>
      <c r="CJ125" s="250">
        <f t="shared" si="191"/>
        <v>0</v>
      </c>
      <c r="CK125" s="250">
        <f t="shared" si="191"/>
        <v>0</v>
      </c>
      <c r="CL125" s="250">
        <f t="shared" si="191"/>
        <v>0</v>
      </c>
      <c r="CM125" s="250">
        <f t="shared" si="191"/>
        <v>0</v>
      </c>
      <c r="CN125" s="250">
        <f t="shared" si="191"/>
        <v>0</v>
      </c>
      <c r="CO125" s="250">
        <f t="shared" si="191"/>
        <v>0</v>
      </c>
      <c r="CP125" s="250">
        <f t="shared" si="191"/>
        <v>0</v>
      </c>
      <c r="CQ125" s="250">
        <f t="shared" si="191"/>
        <v>0</v>
      </c>
      <c r="CR125" s="250">
        <f t="shared" si="191"/>
        <v>0</v>
      </c>
      <c r="CS125" s="250">
        <f t="shared" si="191"/>
        <v>0</v>
      </c>
      <c r="CT125" s="250">
        <f t="shared" si="191"/>
        <v>0</v>
      </c>
      <c r="CU125" s="250">
        <f t="shared" si="191"/>
        <v>0</v>
      </c>
      <c r="CV125" s="250">
        <f t="shared" si="191"/>
        <v>0</v>
      </c>
      <c r="CW125" s="250">
        <f t="shared" si="191"/>
        <v>0</v>
      </c>
      <c r="CX125" s="250">
        <f t="shared" si="191"/>
        <v>0</v>
      </c>
      <c r="CY125" s="250">
        <f t="shared" si="191"/>
        <v>0</v>
      </c>
      <c r="CZ125" s="250">
        <f t="shared" si="191"/>
        <v>0</v>
      </c>
      <c r="DA125" s="250">
        <f t="shared" si="191"/>
        <v>0</v>
      </c>
      <c r="DB125" s="250">
        <f t="shared" si="191"/>
        <v>0</v>
      </c>
      <c r="DC125" s="250">
        <f t="shared" si="191"/>
        <v>0</v>
      </c>
      <c r="DD125" s="250">
        <f t="shared" si="191"/>
        <v>0</v>
      </c>
      <c r="DE125" s="250">
        <f t="shared" si="191"/>
        <v>0</v>
      </c>
      <c r="DF125" s="250">
        <f t="shared" si="191"/>
        <v>0</v>
      </c>
      <c r="DG125" s="250">
        <f t="shared" si="191"/>
        <v>0</v>
      </c>
      <c r="DH125" s="250">
        <f t="shared" si="191"/>
        <v>0</v>
      </c>
      <c r="DI125" s="250">
        <f t="shared" si="191"/>
        <v>0</v>
      </c>
      <c r="DJ125" s="250">
        <f t="shared" si="191"/>
        <v>0</v>
      </c>
      <c r="DK125" s="250">
        <f t="shared" si="191"/>
        <v>0</v>
      </c>
      <c r="DL125" s="250">
        <f t="shared" si="191"/>
        <v>0</v>
      </c>
      <c r="DM125" s="250">
        <f t="shared" si="191"/>
        <v>0</v>
      </c>
      <c r="DN125" s="250">
        <f t="shared" si="191"/>
        <v>0</v>
      </c>
      <c r="DO125" s="250">
        <f t="shared" si="191"/>
        <v>0</v>
      </c>
      <c r="DP125" s="250">
        <f t="shared" si="191"/>
        <v>0</v>
      </c>
      <c r="DQ125" s="250">
        <f t="shared" si="191"/>
        <v>0</v>
      </c>
      <c r="DR125" s="250">
        <f t="shared" si="191"/>
        <v>0</v>
      </c>
      <c r="DS125" s="250">
        <f t="shared" si="191"/>
        <v>0</v>
      </c>
      <c r="DT125" s="250">
        <f t="shared" si="191"/>
        <v>0</v>
      </c>
      <c r="DU125" s="250">
        <f t="shared" si="191"/>
        <v>0</v>
      </c>
      <c r="DV125" s="250">
        <f t="shared" si="191"/>
        <v>0</v>
      </c>
      <c r="DW125" s="250">
        <f t="shared" si="191"/>
        <v>0</v>
      </c>
      <c r="DX125" s="250">
        <f t="shared" si="191"/>
        <v>0</v>
      </c>
      <c r="DY125" s="250">
        <f t="shared" si="191"/>
        <v>0</v>
      </c>
      <c r="DZ125" s="250">
        <f t="shared" si="191"/>
        <v>0</v>
      </c>
      <c r="EA125" s="250">
        <f t="shared" ref="EA125:EG125" si="192">EA118+EA122+EA124</f>
        <v>0</v>
      </c>
      <c r="EB125" s="250">
        <f t="shared" si="192"/>
        <v>0</v>
      </c>
      <c r="EC125" s="250">
        <f t="shared" si="192"/>
        <v>0</v>
      </c>
      <c r="ED125" s="250">
        <f t="shared" si="192"/>
        <v>0</v>
      </c>
      <c r="EE125" s="250">
        <f t="shared" si="192"/>
        <v>0</v>
      </c>
      <c r="EF125" s="250">
        <f t="shared" si="192"/>
        <v>0</v>
      </c>
      <c r="EG125" s="250">
        <f t="shared" si="192"/>
        <v>0</v>
      </c>
    </row>
    <row r="126" spans="1:137" ht="7.5" customHeight="1" thickTop="1" x14ac:dyDescent="0.3"/>
    <row r="127" spans="1:137" x14ac:dyDescent="0.3">
      <c r="A127" s="241" t="s">
        <v>271</v>
      </c>
      <c r="B127" s="241"/>
      <c r="C127" s="241"/>
      <c r="D127" s="687"/>
      <c r="E127" s="299">
        <f t="shared" ref="E127:AJ127" si="193">IF(E$5=MonthRefi,-MIN(E$125,E$16),0)</f>
        <v>0</v>
      </c>
      <c r="F127" s="299">
        <f t="shared" si="193"/>
        <v>0</v>
      </c>
      <c r="G127" s="299">
        <f t="shared" si="193"/>
        <v>0</v>
      </c>
      <c r="H127" s="299">
        <f t="shared" si="193"/>
        <v>0</v>
      </c>
      <c r="I127" s="299">
        <f t="shared" si="193"/>
        <v>0</v>
      </c>
      <c r="J127" s="299">
        <f t="shared" si="193"/>
        <v>0</v>
      </c>
      <c r="K127" s="299">
        <f t="shared" si="193"/>
        <v>0</v>
      </c>
      <c r="L127" s="299">
        <f t="shared" si="193"/>
        <v>0</v>
      </c>
      <c r="M127" s="299">
        <f t="shared" si="193"/>
        <v>0</v>
      </c>
      <c r="N127" s="299">
        <f t="shared" si="193"/>
        <v>0</v>
      </c>
      <c r="O127" s="299">
        <f t="shared" si="193"/>
        <v>0</v>
      </c>
      <c r="P127" s="299">
        <f t="shared" si="193"/>
        <v>0</v>
      </c>
      <c r="Q127" s="299">
        <f t="shared" si="193"/>
        <v>0</v>
      </c>
      <c r="R127" s="299">
        <f t="shared" si="193"/>
        <v>0</v>
      </c>
      <c r="S127" s="299">
        <f t="shared" si="193"/>
        <v>0</v>
      </c>
      <c r="T127" s="299">
        <f t="shared" si="193"/>
        <v>0</v>
      </c>
      <c r="U127" s="299">
        <f t="shared" si="193"/>
        <v>0</v>
      </c>
      <c r="V127" s="299">
        <f t="shared" si="193"/>
        <v>0</v>
      </c>
      <c r="W127" s="299">
        <f t="shared" si="193"/>
        <v>0</v>
      </c>
      <c r="X127" s="299">
        <f t="shared" si="193"/>
        <v>0</v>
      </c>
      <c r="Y127" s="299">
        <f t="shared" si="193"/>
        <v>0</v>
      </c>
      <c r="Z127" s="299">
        <f t="shared" si="193"/>
        <v>0</v>
      </c>
      <c r="AA127" s="299">
        <f t="shared" si="193"/>
        <v>0</v>
      </c>
      <c r="AB127" s="299">
        <f t="shared" si="193"/>
        <v>0</v>
      </c>
      <c r="AC127" s="299">
        <f t="shared" si="193"/>
        <v>0</v>
      </c>
      <c r="AD127" s="299">
        <f t="shared" si="193"/>
        <v>0</v>
      </c>
      <c r="AE127" s="299">
        <f t="shared" si="193"/>
        <v>0</v>
      </c>
      <c r="AF127" s="299">
        <f t="shared" si="193"/>
        <v>0</v>
      </c>
      <c r="AG127" s="299">
        <f t="shared" si="193"/>
        <v>0</v>
      </c>
      <c r="AH127" s="299">
        <f t="shared" ca="1" si="193"/>
        <v>-42877793.387000009</v>
      </c>
      <c r="AI127" s="299">
        <f t="shared" si="193"/>
        <v>0</v>
      </c>
      <c r="AJ127" s="299">
        <f t="shared" si="193"/>
        <v>0</v>
      </c>
      <c r="AK127" s="299">
        <f t="shared" ref="AK127:BP127" si="194">IF(AK$5=MonthRefi,-MIN(AK$125,AK$16),0)</f>
        <v>0</v>
      </c>
      <c r="AL127" s="299">
        <f t="shared" si="194"/>
        <v>0</v>
      </c>
      <c r="AM127" s="299">
        <f t="shared" si="194"/>
        <v>0</v>
      </c>
      <c r="AN127" s="299">
        <f t="shared" si="194"/>
        <v>0</v>
      </c>
      <c r="AO127" s="299">
        <f t="shared" si="194"/>
        <v>0</v>
      </c>
      <c r="AP127" s="299">
        <f t="shared" si="194"/>
        <v>0</v>
      </c>
      <c r="AQ127" s="299">
        <f t="shared" si="194"/>
        <v>0</v>
      </c>
      <c r="AR127" s="299">
        <f t="shared" si="194"/>
        <v>0</v>
      </c>
      <c r="AS127" s="299">
        <f t="shared" si="194"/>
        <v>0</v>
      </c>
      <c r="AT127" s="299">
        <f t="shared" si="194"/>
        <v>0</v>
      </c>
      <c r="AU127" s="299">
        <f t="shared" si="194"/>
        <v>0</v>
      </c>
      <c r="AV127" s="299">
        <f t="shared" si="194"/>
        <v>0</v>
      </c>
      <c r="AW127" s="299">
        <f t="shared" si="194"/>
        <v>0</v>
      </c>
      <c r="AX127" s="299">
        <f t="shared" si="194"/>
        <v>0</v>
      </c>
      <c r="AY127" s="299">
        <f t="shared" si="194"/>
        <v>0</v>
      </c>
      <c r="AZ127" s="299">
        <f t="shared" si="194"/>
        <v>0</v>
      </c>
      <c r="BA127" s="299">
        <f t="shared" si="194"/>
        <v>0</v>
      </c>
      <c r="BB127" s="299">
        <f t="shared" si="194"/>
        <v>0</v>
      </c>
      <c r="BC127" s="299">
        <f t="shared" si="194"/>
        <v>0</v>
      </c>
      <c r="BD127" s="299">
        <f t="shared" si="194"/>
        <v>0</v>
      </c>
      <c r="BE127" s="299">
        <f t="shared" si="194"/>
        <v>0</v>
      </c>
      <c r="BF127" s="299">
        <f t="shared" si="194"/>
        <v>0</v>
      </c>
      <c r="BG127" s="299">
        <f t="shared" si="194"/>
        <v>0</v>
      </c>
      <c r="BH127" s="299">
        <f t="shared" si="194"/>
        <v>0</v>
      </c>
      <c r="BI127" s="299">
        <f t="shared" si="194"/>
        <v>0</v>
      </c>
      <c r="BJ127" s="299">
        <f t="shared" si="194"/>
        <v>0</v>
      </c>
      <c r="BK127" s="299">
        <f t="shared" si="194"/>
        <v>0</v>
      </c>
      <c r="BL127" s="299">
        <f t="shared" si="194"/>
        <v>0</v>
      </c>
      <c r="BM127" s="299">
        <f>IF(BM$5=MonthRefi,-MIN(BM$125,BM$16),0)</f>
        <v>0</v>
      </c>
      <c r="BN127" s="299">
        <f>IF(BN$5=MonthRefi,-MIN(BN$125,BN$16),0)</f>
        <v>0</v>
      </c>
      <c r="BO127" s="299">
        <f t="shared" si="194"/>
        <v>0</v>
      </c>
      <c r="BP127" s="299">
        <f t="shared" si="194"/>
        <v>0</v>
      </c>
      <c r="BQ127" s="299">
        <f t="shared" ref="BQ127:CV127" si="195">IF(BQ$5=MonthRefi,-MIN(BQ$125,BQ$16),0)</f>
        <v>0</v>
      </c>
      <c r="BR127" s="299">
        <f t="shared" si="195"/>
        <v>0</v>
      </c>
      <c r="BS127" s="299">
        <f t="shared" si="195"/>
        <v>0</v>
      </c>
      <c r="BT127" s="299">
        <f t="shared" si="195"/>
        <v>0</v>
      </c>
      <c r="BU127" s="299">
        <f t="shared" si="195"/>
        <v>0</v>
      </c>
      <c r="BV127" s="299">
        <f t="shared" si="195"/>
        <v>0</v>
      </c>
      <c r="BW127" s="299">
        <f t="shared" si="195"/>
        <v>0</v>
      </c>
      <c r="BX127" s="299">
        <f t="shared" si="195"/>
        <v>0</v>
      </c>
      <c r="BY127" s="299">
        <f t="shared" si="195"/>
        <v>0</v>
      </c>
      <c r="BZ127" s="299">
        <f t="shared" si="195"/>
        <v>0</v>
      </c>
      <c r="CA127" s="299">
        <f t="shared" si="195"/>
        <v>0</v>
      </c>
      <c r="CB127" s="299">
        <f t="shared" si="195"/>
        <v>0</v>
      </c>
      <c r="CC127" s="299">
        <f t="shared" si="195"/>
        <v>0</v>
      </c>
      <c r="CD127" s="299">
        <f t="shared" si="195"/>
        <v>0</v>
      </c>
      <c r="CE127" s="299">
        <f t="shared" si="195"/>
        <v>0</v>
      </c>
      <c r="CF127" s="299">
        <f t="shared" si="195"/>
        <v>0</v>
      </c>
      <c r="CG127" s="299">
        <f t="shared" si="195"/>
        <v>0</v>
      </c>
      <c r="CH127" s="299">
        <f t="shared" si="195"/>
        <v>0</v>
      </c>
      <c r="CI127" s="299">
        <f t="shared" si="195"/>
        <v>0</v>
      </c>
      <c r="CJ127" s="299">
        <f t="shared" si="195"/>
        <v>0</v>
      </c>
      <c r="CK127" s="299">
        <f t="shared" si="195"/>
        <v>0</v>
      </c>
      <c r="CL127" s="299">
        <f t="shared" si="195"/>
        <v>0</v>
      </c>
      <c r="CM127" s="299">
        <f t="shared" si="195"/>
        <v>0</v>
      </c>
      <c r="CN127" s="299">
        <f t="shared" si="195"/>
        <v>0</v>
      </c>
      <c r="CO127" s="299">
        <f t="shared" si="195"/>
        <v>0</v>
      </c>
      <c r="CP127" s="299">
        <f t="shared" si="195"/>
        <v>0</v>
      </c>
      <c r="CQ127" s="299">
        <f t="shared" si="195"/>
        <v>0</v>
      </c>
      <c r="CR127" s="299">
        <f t="shared" si="195"/>
        <v>0</v>
      </c>
      <c r="CS127" s="299">
        <f t="shared" si="195"/>
        <v>0</v>
      </c>
      <c r="CT127" s="299">
        <f t="shared" si="195"/>
        <v>0</v>
      </c>
      <c r="CU127" s="299">
        <f t="shared" si="195"/>
        <v>0</v>
      </c>
      <c r="CV127" s="299">
        <f t="shared" si="195"/>
        <v>0</v>
      </c>
      <c r="CW127" s="299">
        <f t="shared" ref="CW127:EG127" si="196">IF(CW$5=MonthRefi,-MIN(CW$125,CW$16),0)</f>
        <v>0</v>
      </c>
      <c r="CX127" s="299">
        <f t="shared" si="196"/>
        <v>0</v>
      </c>
      <c r="CY127" s="299">
        <f t="shared" si="196"/>
        <v>0</v>
      </c>
      <c r="CZ127" s="299">
        <f t="shared" si="196"/>
        <v>0</v>
      </c>
      <c r="DA127" s="299">
        <f t="shared" si="196"/>
        <v>0</v>
      </c>
      <c r="DB127" s="299">
        <f t="shared" si="196"/>
        <v>0</v>
      </c>
      <c r="DC127" s="299">
        <f t="shared" si="196"/>
        <v>0</v>
      </c>
      <c r="DD127" s="299">
        <f t="shared" si="196"/>
        <v>0</v>
      </c>
      <c r="DE127" s="299">
        <f t="shared" si="196"/>
        <v>0</v>
      </c>
      <c r="DF127" s="299">
        <f t="shared" si="196"/>
        <v>0</v>
      </c>
      <c r="DG127" s="299">
        <f t="shared" si="196"/>
        <v>0</v>
      </c>
      <c r="DH127" s="299">
        <f t="shared" si="196"/>
        <v>0</v>
      </c>
      <c r="DI127" s="299">
        <f t="shared" si="196"/>
        <v>0</v>
      </c>
      <c r="DJ127" s="299">
        <f t="shared" si="196"/>
        <v>0</v>
      </c>
      <c r="DK127" s="299">
        <f t="shared" si="196"/>
        <v>0</v>
      </c>
      <c r="DL127" s="299">
        <f t="shared" si="196"/>
        <v>0</v>
      </c>
      <c r="DM127" s="299">
        <f t="shared" si="196"/>
        <v>0</v>
      </c>
      <c r="DN127" s="299">
        <f t="shared" si="196"/>
        <v>0</v>
      </c>
      <c r="DO127" s="299">
        <f t="shared" si="196"/>
        <v>0</v>
      </c>
      <c r="DP127" s="299">
        <f t="shared" si="196"/>
        <v>0</v>
      </c>
      <c r="DQ127" s="299">
        <f t="shared" si="196"/>
        <v>0</v>
      </c>
      <c r="DR127" s="299">
        <f t="shared" si="196"/>
        <v>0</v>
      </c>
      <c r="DS127" s="299">
        <f t="shared" si="196"/>
        <v>0</v>
      </c>
      <c r="DT127" s="299">
        <f t="shared" si="196"/>
        <v>0</v>
      </c>
      <c r="DU127" s="299">
        <f t="shared" si="196"/>
        <v>0</v>
      </c>
      <c r="DV127" s="299">
        <f t="shared" si="196"/>
        <v>0</v>
      </c>
      <c r="DW127" s="299">
        <f t="shared" si="196"/>
        <v>0</v>
      </c>
      <c r="DX127" s="299">
        <f t="shared" si="196"/>
        <v>0</v>
      </c>
      <c r="DY127" s="299">
        <f t="shared" si="196"/>
        <v>0</v>
      </c>
      <c r="DZ127" s="299">
        <f t="shared" si="196"/>
        <v>0</v>
      </c>
      <c r="EA127" s="299">
        <f t="shared" si="196"/>
        <v>0</v>
      </c>
      <c r="EB127" s="299">
        <f t="shared" si="196"/>
        <v>0</v>
      </c>
      <c r="EC127" s="299">
        <f t="shared" si="196"/>
        <v>0</v>
      </c>
      <c r="ED127" s="299">
        <f t="shared" si="196"/>
        <v>0</v>
      </c>
      <c r="EE127" s="299">
        <f t="shared" si="196"/>
        <v>0</v>
      </c>
      <c r="EF127" s="299">
        <f t="shared" si="196"/>
        <v>0</v>
      </c>
      <c r="EG127" s="299">
        <f t="shared" si="196"/>
        <v>0</v>
      </c>
    </row>
    <row r="128" spans="1:137" x14ac:dyDescent="0.3">
      <c r="A128" s="245" t="s">
        <v>843</v>
      </c>
      <c r="E128" s="227">
        <f t="shared" ref="E128:BP128" si="197">E125+E127</f>
        <v>0</v>
      </c>
      <c r="F128" s="227">
        <f t="shared" si="197"/>
        <v>0</v>
      </c>
      <c r="G128" s="227">
        <f t="shared" si="197"/>
        <v>0</v>
      </c>
      <c r="H128" s="227">
        <f t="shared" si="197"/>
        <v>0</v>
      </c>
      <c r="I128" s="227">
        <f t="shared" si="197"/>
        <v>0</v>
      </c>
      <c r="J128" s="227">
        <f t="shared" si="197"/>
        <v>0</v>
      </c>
      <c r="K128" s="227">
        <f t="shared" si="197"/>
        <v>0</v>
      </c>
      <c r="L128" s="227">
        <f t="shared" si="197"/>
        <v>0</v>
      </c>
      <c r="M128" s="227">
        <f t="shared" si="197"/>
        <v>0</v>
      </c>
      <c r="N128" s="227">
        <f t="shared" si="197"/>
        <v>0</v>
      </c>
      <c r="O128" s="227">
        <f t="shared" si="197"/>
        <v>0</v>
      </c>
      <c r="P128" s="227">
        <f t="shared" si="197"/>
        <v>0</v>
      </c>
      <c r="Q128" s="227">
        <f t="shared" si="197"/>
        <v>0</v>
      </c>
      <c r="R128" s="227">
        <f t="shared" si="197"/>
        <v>0</v>
      </c>
      <c r="S128" s="227">
        <f t="shared" si="197"/>
        <v>0</v>
      </c>
      <c r="T128" s="227">
        <f t="shared" si="197"/>
        <v>0</v>
      </c>
      <c r="U128" s="227">
        <f t="shared" si="197"/>
        <v>0</v>
      </c>
      <c r="V128" s="227">
        <f t="shared" si="197"/>
        <v>0</v>
      </c>
      <c r="W128" s="227">
        <f t="shared" si="197"/>
        <v>0</v>
      </c>
      <c r="X128" s="227">
        <f t="shared" si="197"/>
        <v>0</v>
      </c>
      <c r="Y128" s="227">
        <f t="shared" si="197"/>
        <v>0</v>
      </c>
      <c r="Z128" s="227">
        <f t="shared" si="197"/>
        <v>0</v>
      </c>
      <c r="AA128" s="227">
        <f t="shared" si="197"/>
        <v>0</v>
      </c>
      <c r="AB128" s="227">
        <f t="shared" si="197"/>
        <v>0</v>
      </c>
      <c r="AC128" s="227">
        <f t="shared" si="197"/>
        <v>0</v>
      </c>
      <c r="AD128" s="227">
        <f t="shared" si="197"/>
        <v>0</v>
      </c>
      <c r="AE128" s="227">
        <f t="shared" si="197"/>
        <v>0</v>
      </c>
      <c r="AF128" s="227">
        <f t="shared" si="197"/>
        <v>0</v>
      </c>
      <c r="AG128" s="227">
        <f t="shared" si="197"/>
        <v>0</v>
      </c>
      <c r="AH128" s="227">
        <f t="shared" ca="1" si="197"/>
        <v>1.1981576681137085E-3</v>
      </c>
      <c r="AI128" s="227">
        <f t="shared" si="197"/>
        <v>0</v>
      </c>
      <c r="AJ128" s="227">
        <f t="shared" si="197"/>
        <v>0</v>
      </c>
      <c r="AK128" s="227">
        <f t="shared" si="197"/>
        <v>0</v>
      </c>
      <c r="AL128" s="227">
        <f t="shared" si="197"/>
        <v>0</v>
      </c>
      <c r="AM128" s="227">
        <f t="shared" si="197"/>
        <v>0</v>
      </c>
      <c r="AN128" s="227">
        <f t="shared" si="197"/>
        <v>0</v>
      </c>
      <c r="AO128" s="227">
        <f t="shared" si="197"/>
        <v>0</v>
      </c>
      <c r="AP128" s="227">
        <f t="shared" si="197"/>
        <v>0</v>
      </c>
      <c r="AQ128" s="227">
        <f t="shared" si="197"/>
        <v>0</v>
      </c>
      <c r="AR128" s="227">
        <f t="shared" si="197"/>
        <v>0</v>
      </c>
      <c r="AS128" s="227">
        <f t="shared" si="197"/>
        <v>0</v>
      </c>
      <c r="AT128" s="227">
        <f t="shared" si="197"/>
        <v>0</v>
      </c>
      <c r="AU128" s="227">
        <f t="shared" si="197"/>
        <v>0</v>
      </c>
      <c r="AV128" s="227">
        <f t="shared" si="197"/>
        <v>0</v>
      </c>
      <c r="AW128" s="227">
        <f t="shared" si="197"/>
        <v>0</v>
      </c>
      <c r="AX128" s="227">
        <f t="shared" si="197"/>
        <v>0</v>
      </c>
      <c r="AY128" s="227">
        <f t="shared" si="197"/>
        <v>0</v>
      </c>
      <c r="AZ128" s="227">
        <f t="shared" si="197"/>
        <v>0</v>
      </c>
      <c r="BA128" s="227">
        <f t="shared" si="197"/>
        <v>0</v>
      </c>
      <c r="BB128" s="227">
        <f t="shared" si="197"/>
        <v>0</v>
      </c>
      <c r="BC128" s="227">
        <f t="shared" si="197"/>
        <v>0</v>
      </c>
      <c r="BD128" s="227">
        <f t="shared" si="197"/>
        <v>0</v>
      </c>
      <c r="BE128" s="227">
        <f t="shared" si="197"/>
        <v>0</v>
      </c>
      <c r="BF128" s="227">
        <f t="shared" si="197"/>
        <v>0</v>
      </c>
      <c r="BG128" s="227">
        <f t="shared" si="197"/>
        <v>0</v>
      </c>
      <c r="BH128" s="227">
        <f t="shared" si="197"/>
        <v>0</v>
      </c>
      <c r="BI128" s="227">
        <f t="shared" si="197"/>
        <v>0</v>
      </c>
      <c r="BJ128" s="227">
        <f t="shared" si="197"/>
        <v>0</v>
      </c>
      <c r="BK128" s="227">
        <f t="shared" si="197"/>
        <v>0</v>
      </c>
      <c r="BL128" s="227">
        <f t="shared" si="197"/>
        <v>0</v>
      </c>
      <c r="BM128" s="227">
        <f t="shared" si="197"/>
        <v>0</v>
      </c>
      <c r="BN128" s="227">
        <f>BN125+BN127</f>
        <v>0</v>
      </c>
      <c r="BO128" s="227">
        <f t="shared" si="197"/>
        <v>0</v>
      </c>
      <c r="BP128" s="227">
        <f t="shared" si="197"/>
        <v>0</v>
      </c>
      <c r="BQ128" s="227">
        <f t="shared" ref="BQ128:EB128" si="198">BQ125+BQ127</f>
        <v>0</v>
      </c>
      <c r="BR128" s="227">
        <f t="shared" si="198"/>
        <v>0</v>
      </c>
      <c r="BS128" s="227">
        <f t="shared" si="198"/>
        <v>0</v>
      </c>
      <c r="BT128" s="227">
        <f t="shared" si="198"/>
        <v>0</v>
      </c>
      <c r="BU128" s="227">
        <f t="shared" si="198"/>
        <v>0</v>
      </c>
      <c r="BV128" s="227">
        <f t="shared" si="198"/>
        <v>0</v>
      </c>
      <c r="BW128" s="227">
        <f t="shared" si="198"/>
        <v>0</v>
      </c>
      <c r="BX128" s="227">
        <f t="shared" si="198"/>
        <v>0</v>
      </c>
      <c r="BY128" s="227">
        <f t="shared" si="198"/>
        <v>0</v>
      </c>
      <c r="BZ128" s="227">
        <f t="shared" si="198"/>
        <v>0</v>
      </c>
      <c r="CA128" s="227">
        <f t="shared" si="198"/>
        <v>0</v>
      </c>
      <c r="CB128" s="227">
        <f t="shared" si="198"/>
        <v>0</v>
      </c>
      <c r="CC128" s="227">
        <f t="shared" si="198"/>
        <v>0</v>
      </c>
      <c r="CD128" s="227">
        <f t="shared" si="198"/>
        <v>0</v>
      </c>
      <c r="CE128" s="227">
        <f t="shared" si="198"/>
        <v>0</v>
      </c>
      <c r="CF128" s="227">
        <f t="shared" si="198"/>
        <v>0</v>
      </c>
      <c r="CG128" s="227">
        <f t="shared" si="198"/>
        <v>0</v>
      </c>
      <c r="CH128" s="227">
        <f t="shared" si="198"/>
        <v>0</v>
      </c>
      <c r="CI128" s="227">
        <f t="shared" si="198"/>
        <v>0</v>
      </c>
      <c r="CJ128" s="227">
        <f t="shared" si="198"/>
        <v>0</v>
      </c>
      <c r="CK128" s="227">
        <f t="shared" si="198"/>
        <v>0</v>
      </c>
      <c r="CL128" s="227">
        <f t="shared" si="198"/>
        <v>0</v>
      </c>
      <c r="CM128" s="227">
        <f t="shared" si="198"/>
        <v>0</v>
      </c>
      <c r="CN128" s="227">
        <f t="shared" si="198"/>
        <v>0</v>
      </c>
      <c r="CO128" s="227">
        <f t="shared" si="198"/>
        <v>0</v>
      </c>
      <c r="CP128" s="227">
        <f t="shared" si="198"/>
        <v>0</v>
      </c>
      <c r="CQ128" s="227">
        <f t="shared" si="198"/>
        <v>0</v>
      </c>
      <c r="CR128" s="227">
        <f t="shared" si="198"/>
        <v>0</v>
      </c>
      <c r="CS128" s="227">
        <f t="shared" si="198"/>
        <v>0</v>
      </c>
      <c r="CT128" s="227">
        <f t="shared" si="198"/>
        <v>0</v>
      </c>
      <c r="CU128" s="227">
        <f t="shared" si="198"/>
        <v>0</v>
      </c>
      <c r="CV128" s="227">
        <f t="shared" si="198"/>
        <v>0</v>
      </c>
      <c r="CW128" s="227">
        <f t="shared" si="198"/>
        <v>0</v>
      </c>
      <c r="CX128" s="227">
        <f t="shared" si="198"/>
        <v>0</v>
      </c>
      <c r="CY128" s="227">
        <f t="shared" si="198"/>
        <v>0</v>
      </c>
      <c r="CZ128" s="227">
        <f t="shared" si="198"/>
        <v>0</v>
      </c>
      <c r="DA128" s="227">
        <f t="shared" si="198"/>
        <v>0</v>
      </c>
      <c r="DB128" s="227">
        <f t="shared" si="198"/>
        <v>0</v>
      </c>
      <c r="DC128" s="227">
        <f t="shared" si="198"/>
        <v>0</v>
      </c>
      <c r="DD128" s="227">
        <f t="shared" si="198"/>
        <v>0</v>
      </c>
      <c r="DE128" s="227">
        <f t="shared" si="198"/>
        <v>0</v>
      </c>
      <c r="DF128" s="227">
        <f t="shared" si="198"/>
        <v>0</v>
      </c>
      <c r="DG128" s="227">
        <f t="shared" si="198"/>
        <v>0</v>
      </c>
      <c r="DH128" s="227">
        <f t="shared" si="198"/>
        <v>0</v>
      </c>
      <c r="DI128" s="227">
        <f t="shared" si="198"/>
        <v>0</v>
      </c>
      <c r="DJ128" s="227">
        <f t="shared" si="198"/>
        <v>0</v>
      </c>
      <c r="DK128" s="227">
        <f t="shared" si="198"/>
        <v>0</v>
      </c>
      <c r="DL128" s="227">
        <f t="shared" si="198"/>
        <v>0</v>
      </c>
      <c r="DM128" s="227">
        <f t="shared" si="198"/>
        <v>0</v>
      </c>
      <c r="DN128" s="227">
        <f t="shared" si="198"/>
        <v>0</v>
      </c>
      <c r="DO128" s="227">
        <f t="shared" si="198"/>
        <v>0</v>
      </c>
      <c r="DP128" s="227">
        <f t="shared" si="198"/>
        <v>0</v>
      </c>
      <c r="DQ128" s="227">
        <f t="shared" si="198"/>
        <v>0</v>
      </c>
      <c r="DR128" s="227">
        <f t="shared" si="198"/>
        <v>0</v>
      </c>
      <c r="DS128" s="227">
        <f t="shared" si="198"/>
        <v>0</v>
      </c>
      <c r="DT128" s="227">
        <f t="shared" si="198"/>
        <v>0</v>
      </c>
      <c r="DU128" s="227">
        <f t="shared" si="198"/>
        <v>0</v>
      </c>
      <c r="DV128" s="227">
        <f t="shared" si="198"/>
        <v>0</v>
      </c>
      <c r="DW128" s="227">
        <f t="shared" si="198"/>
        <v>0</v>
      </c>
      <c r="DX128" s="227">
        <f t="shared" si="198"/>
        <v>0</v>
      </c>
      <c r="DY128" s="227">
        <f t="shared" si="198"/>
        <v>0</v>
      </c>
      <c r="DZ128" s="227">
        <f t="shared" si="198"/>
        <v>0</v>
      </c>
      <c r="EA128" s="227">
        <f t="shared" si="198"/>
        <v>0</v>
      </c>
      <c r="EB128" s="227">
        <f t="shared" si="198"/>
        <v>0</v>
      </c>
      <c r="EC128" s="227">
        <f>EC125+EC127</f>
        <v>0</v>
      </c>
      <c r="ED128" s="227">
        <f>ED125+ED127</f>
        <v>0</v>
      </c>
      <c r="EE128" s="227">
        <f>EE125+EE127</f>
        <v>0</v>
      </c>
      <c r="EF128" s="227">
        <f>EF125+EF127</f>
        <v>0</v>
      </c>
      <c r="EG128" s="227">
        <f>EG125+EG127</f>
        <v>0</v>
      </c>
    </row>
    <row r="129" spans="1:137" x14ac:dyDescent="0.3">
      <c r="A129" s="241" t="s">
        <v>951</v>
      </c>
      <c r="B129" s="241"/>
      <c r="C129" s="241"/>
      <c r="D129" s="687"/>
      <c r="E129" s="299">
        <f t="shared" ref="E129:AJ129" si="199">IF(E$5=MonthRefi,-MIN(E$128,E$35),0)</f>
        <v>0</v>
      </c>
      <c r="F129" s="299">
        <f t="shared" si="199"/>
        <v>0</v>
      </c>
      <c r="G129" s="299">
        <f t="shared" si="199"/>
        <v>0</v>
      </c>
      <c r="H129" s="299">
        <f t="shared" si="199"/>
        <v>0</v>
      </c>
      <c r="I129" s="299">
        <f t="shared" si="199"/>
        <v>0</v>
      </c>
      <c r="J129" s="299">
        <f t="shared" si="199"/>
        <v>0</v>
      </c>
      <c r="K129" s="299">
        <f t="shared" si="199"/>
        <v>0</v>
      </c>
      <c r="L129" s="299">
        <f t="shared" si="199"/>
        <v>0</v>
      </c>
      <c r="M129" s="299">
        <f t="shared" si="199"/>
        <v>0</v>
      </c>
      <c r="N129" s="299">
        <f t="shared" si="199"/>
        <v>0</v>
      </c>
      <c r="O129" s="299">
        <f t="shared" si="199"/>
        <v>0</v>
      </c>
      <c r="P129" s="299">
        <f t="shared" si="199"/>
        <v>0</v>
      </c>
      <c r="Q129" s="299">
        <f t="shared" si="199"/>
        <v>0</v>
      </c>
      <c r="R129" s="299">
        <f t="shared" si="199"/>
        <v>0</v>
      </c>
      <c r="S129" s="299">
        <f t="shared" si="199"/>
        <v>0</v>
      </c>
      <c r="T129" s="299">
        <f t="shared" si="199"/>
        <v>0</v>
      </c>
      <c r="U129" s="299">
        <f t="shared" si="199"/>
        <v>0</v>
      </c>
      <c r="V129" s="299">
        <f t="shared" si="199"/>
        <v>0</v>
      </c>
      <c r="W129" s="299">
        <f t="shared" si="199"/>
        <v>0</v>
      </c>
      <c r="X129" s="299">
        <f t="shared" si="199"/>
        <v>0</v>
      </c>
      <c r="Y129" s="299">
        <f t="shared" si="199"/>
        <v>0</v>
      </c>
      <c r="Z129" s="299">
        <f t="shared" si="199"/>
        <v>0</v>
      </c>
      <c r="AA129" s="299">
        <f t="shared" si="199"/>
        <v>0</v>
      </c>
      <c r="AB129" s="299">
        <f t="shared" si="199"/>
        <v>0</v>
      </c>
      <c r="AC129" s="299">
        <f t="shared" si="199"/>
        <v>0</v>
      </c>
      <c r="AD129" s="299">
        <f t="shared" si="199"/>
        <v>0</v>
      </c>
      <c r="AE129" s="299">
        <f t="shared" si="199"/>
        <v>0</v>
      </c>
      <c r="AF129" s="299">
        <f t="shared" si="199"/>
        <v>0</v>
      </c>
      <c r="AG129" s="299">
        <f t="shared" si="199"/>
        <v>0</v>
      </c>
      <c r="AH129" s="299">
        <f t="shared" ca="1" si="199"/>
        <v>0</v>
      </c>
      <c r="AI129" s="299">
        <f t="shared" si="199"/>
        <v>0</v>
      </c>
      <c r="AJ129" s="299">
        <f t="shared" si="199"/>
        <v>0</v>
      </c>
      <c r="AK129" s="299">
        <f t="shared" ref="AK129:BP129" si="200">IF(AK$5=MonthRefi,-MIN(AK$128,AK$35),0)</f>
        <v>0</v>
      </c>
      <c r="AL129" s="299">
        <f t="shared" si="200"/>
        <v>0</v>
      </c>
      <c r="AM129" s="299">
        <f t="shared" si="200"/>
        <v>0</v>
      </c>
      <c r="AN129" s="299">
        <f t="shared" si="200"/>
        <v>0</v>
      </c>
      <c r="AO129" s="299">
        <f t="shared" si="200"/>
        <v>0</v>
      </c>
      <c r="AP129" s="299">
        <f t="shared" si="200"/>
        <v>0</v>
      </c>
      <c r="AQ129" s="299">
        <f t="shared" si="200"/>
        <v>0</v>
      </c>
      <c r="AR129" s="299">
        <f t="shared" si="200"/>
        <v>0</v>
      </c>
      <c r="AS129" s="299">
        <f t="shared" si="200"/>
        <v>0</v>
      </c>
      <c r="AT129" s="299">
        <f t="shared" si="200"/>
        <v>0</v>
      </c>
      <c r="AU129" s="299">
        <f t="shared" si="200"/>
        <v>0</v>
      </c>
      <c r="AV129" s="299">
        <f t="shared" si="200"/>
        <v>0</v>
      </c>
      <c r="AW129" s="299">
        <f t="shared" si="200"/>
        <v>0</v>
      </c>
      <c r="AX129" s="299">
        <f t="shared" si="200"/>
        <v>0</v>
      </c>
      <c r="AY129" s="299">
        <f t="shared" si="200"/>
        <v>0</v>
      </c>
      <c r="AZ129" s="299">
        <f t="shared" si="200"/>
        <v>0</v>
      </c>
      <c r="BA129" s="299">
        <f t="shared" si="200"/>
        <v>0</v>
      </c>
      <c r="BB129" s="299">
        <f t="shared" si="200"/>
        <v>0</v>
      </c>
      <c r="BC129" s="299">
        <f t="shared" si="200"/>
        <v>0</v>
      </c>
      <c r="BD129" s="299">
        <f t="shared" si="200"/>
        <v>0</v>
      </c>
      <c r="BE129" s="299">
        <f t="shared" si="200"/>
        <v>0</v>
      </c>
      <c r="BF129" s="299">
        <f t="shared" si="200"/>
        <v>0</v>
      </c>
      <c r="BG129" s="299">
        <f t="shared" si="200"/>
        <v>0</v>
      </c>
      <c r="BH129" s="299">
        <f t="shared" si="200"/>
        <v>0</v>
      </c>
      <c r="BI129" s="299">
        <f t="shared" si="200"/>
        <v>0</v>
      </c>
      <c r="BJ129" s="299">
        <f t="shared" si="200"/>
        <v>0</v>
      </c>
      <c r="BK129" s="299">
        <f t="shared" si="200"/>
        <v>0</v>
      </c>
      <c r="BL129" s="299">
        <f t="shared" si="200"/>
        <v>0</v>
      </c>
      <c r="BM129" s="299">
        <f>IF(BM$5=MonthRefi,-MIN(BM$128,BM$35),0)</f>
        <v>0</v>
      </c>
      <c r="BN129" s="299">
        <f t="shared" si="200"/>
        <v>0</v>
      </c>
      <c r="BO129" s="299">
        <f t="shared" si="200"/>
        <v>0</v>
      </c>
      <c r="BP129" s="299">
        <f t="shared" si="200"/>
        <v>0</v>
      </c>
      <c r="BQ129" s="299">
        <f t="shared" ref="BQ129:CV129" si="201">IF(BQ$5=MonthRefi,-MIN(BQ$128,BQ$35),0)</f>
        <v>0</v>
      </c>
      <c r="BR129" s="299">
        <f t="shared" si="201"/>
        <v>0</v>
      </c>
      <c r="BS129" s="299">
        <f t="shared" si="201"/>
        <v>0</v>
      </c>
      <c r="BT129" s="299">
        <f t="shared" si="201"/>
        <v>0</v>
      </c>
      <c r="BU129" s="299">
        <f t="shared" si="201"/>
        <v>0</v>
      </c>
      <c r="BV129" s="299">
        <f t="shared" si="201"/>
        <v>0</v>
      </c>
      <c r="BW129" s="299">
        <f t="shared" si="201"/>
        <v>0</v>
      </c>
      <c r="BX129" s="299">
        <f t="shared" si="201"/>
        <v>0</v>
      </c>
      <c r="BY129" s="299">
        <f t="shared" si="201"/>
        <v>0</v>
      </c>
      <c r="BZ129" s="299">
        <f t="shared" si="201"/>
        <v>0</v>
      </c>
      <c r="CA129" s="299">
        <f t="shared" si="201"/>
        <v>0</v>
      </c>
      <c r="CB129" s="299">
        <f t="shared" si="201"/>
        <v>0</v>
      </c>
      <c r="CC129" s="299">
        <f t="shared" si="201"/>
        <v>0</v>
      </c>
      <c r="CD129" s="299">
        <f t="shared" si="201"/>
        <v>0</v>
      </c>
      <c r="CE129" s="299">
        <f t="shared" si="201"/>
        <v>0</v>
      </c>
      <c r="CF129" s="299">
        <f t="shared" si="201"/>
        <v>0</v>
      </c>
      <c r="CG129" s="299">
        <f t="shared" si="201"/>
        <v>0</v>
      </c>
      <c r="CH129" s="299">
        <f t="shared" si="201"/>
        <v>0</v>
      </c>
      <c r="CI129" s="299">
        <f t="shared" si="201"/>
        <v>0</v>
      </c>
      <c r="CJ129" s="299">
        <f t="shared" si="201"/>
        <v>0</v>
      </c>
      <c r="CK129" s="299">
        <f t="shared" si="201"/>
        <v>0</v>
      </c>
      <c r="CL129" s="299">
        <f t="shared" si="201"/>
        <v>0</v>
      </c>
      <c r="CM129" s="299">
        <f t="shared" si="201"/>
        <v>0</v>
      </c>
      <c r="CN129" s="299">
        <f t="shared" si="201"/>
        <v>0</v>
      </c>
      <c r="CO129" s="299">
        <f t="shared" si="201"/>
        <v>0</v>
      </c>
      <c r="CP129" s="299">
        <f t="shared" si="201"/>
        <v>0</v>
      </c>
      <c r="CQ129" s="299">
        <f t="shared" si="201"/>
        <v>0</v>
      </c>
      <c r="CR129" s="299">
        <f t="shared" si="201"/>
        <v>0</v>
      </c>
      <c r="CS129" s="299">
        <f t="shared" si="201"/>
        <v>0</v>
      </c>
      <c r="CT129" s="299">
        <f t="shared" si="201"/>
        <v>0</v>
      </c>
      <c r="CU129" s="299">
        <f t="shared" si="201"/>
        <v>0</v>
      </c>
      <c r="CV129" s="299">
        <f t="shared" si="201"/>
        <v>0</v>
      </c>
      <c r="CW129" s="299">
        <f t="shared" ref="CW129:EG129" si="202">IF(CW$5=MonthRefi,-MIN(CW$128,CW$35),0)</f>
        <v>0</v>
      </c>
      <c r="CX129" s="299">
        <f t="shared" si="202"/>
        <v>0</v>
      </c>
      <c r="CY129" s="299">
        <f t="shared" si="202"/>
        <v>0</v>
      </c>
      <c r="CZ129" s="299">
        <f t="shared" si="202"/>
        <v>0</v>
      </c>
      <c r="DA129" s="299">
        <f t="shared" si="202"/>
        <v>0</v>
      </c>
      <c r="DB129" s="299">
        <f t="shared" si="202"/>
        <v>0</v>
      </c>
      <c r="DC129" s="299">
        <f t="shared" si="202"/>
        <v>0</v>
      </c>
      <c r="DD129" s="299">
        <f t="shared" si="202"/>
        <v>0</v>
      </c>
      <c r="DE129" s="299">
        <f t="shared" si="202"/>
        <v>0</v>
      </c>
      <c r="DF129" s="299">
        <f t="shared" si="202"/>
        <v>0</v>
      </c>
      <c r="DG129" s="299">
        <f t="shared" si="202"/>
        <v>0</v>
      </c>
      <c r="DH129" s="299">
        <f t="shared" si="202"/>
        <v>0</v>
      </c>
      <c r="DI129" s="299">
        <f t="shared" si="202"/>
        <v>0</v>
      </c>
      <c r="DJ129" s="299">
        <f t="shared" si="202"/>
        <v>0</v>
      </c>
      <c r="DK129" s="299">
        <f t="shared" si="202"/>
        <v>0</v>
      </c>
      <c r="DL129" s="299">
        <f t="shared" si="202"/>
        <v>0</v>
      </c>
      <c r="DM129" s="299">
        <f t="shared" si="202"/>
        <v>0</v>
      </c>
      <c r="DN129" s="299">
        <f t="shared" si="202"/>
        <v>0</v>
      </c>
      <c r="DO129" s="299">
        <f t="shared" si="202"/>
        <v>0</v>
      </c>
      <c r="DP129" s="299">
        <f t="shared" si="202"/>
        <v>0</v>
      </c>
      <c r="DQ129" s="299">
        <f t="shared" si="202"/>
        <v>0</v>
      </c>
      <c r="DR129" s="299">
        <f t="shared" si="202"/>
        <v>0</v>
      </c>
      <c r="DS129" s="299">
        <f t="shared" si="202"/>
        <v>0</v>
      </c>
      <c r="DT129" s="299">
        <f t="shared" si="202"/>
        <v>0</v>
      </c>
      <c r="DU129" s="299">
        <f t="shared" si="202"/>
        <v>0</v>
      </c>
      <c r="DV129" s="299">
        <f t="shared" si="202"/>
        <v>0</v>
      </c>
      <c r="DW129" s="299">
        <f t="shared" si="202"/>
        <v>0</v>
      </c>
      <c r="DX129" s="299">
        <f t="shared" si="202"/>
        <v>0</v>
      </c>
      <c r="DY129" s="299">
        <f t="shared" si="202"/>
        <v>0</v>
      </c>
      <c r="DZ129" s="299">
        <f t="shared" si="202"/>
        <v>0</v>
      </c>
      <c r="EA129" s="299">
        <f t="shared" si="202"/>
        <v>0</v>
      </c>
      <c r="EB129" s="299">
        <f t="shared" si="202"/>
        <v>0</v>
      </c>
      <c r="EC129" s="299">
        <f t="shared" si="202"/>
        <v>0</v>
      </c>
      <c r="ED129" s="299">
        <f t="shared" si="202"/>
        <v>0</v>
      </c>
      <c r="EE129" s="299">
        <f t="shared" si="202"/>
        <v>0</v>
      </c>
      <c r="EF129" s="299">
        <f t="shared" si="202"/>
        <v>0</v>
      </c>
      <c r="EG129" s="299">
        <f t="shared" si="202"/>
        <v>0</v>
      </c>
    </row>
    <row r="130" spans="1:137" x14ac:dyDescent="0.3">
      <c r="A130" t="s">
        <v>2485</v>
      </c>
      <c r="E130" s="227">
        <f t="shared" ref="E130:BP130" si="203">E128+E129</f>
        <v>0</v>
      </c>
      <c r="F130" s="227">
        <f t="shared" si="203"/>
        <v>0</v>
      </c>
      <c r="G130" s="227">
        <f t="shared" si="203"/>
        <v>0</v>
      </c>
      <c r="H130" s="227">
        <f t="shared" si="203"/>
        <v>0</v>
      </c>
      <c r="I130" s="227">
        <f t="shared" si="203"/>
        <v>0</v>
      </c>
      <c r="J130" s="227">
        <f t="shared" si="203"/>
        <v>0</v>
      </c>
      <c r="K130" s="227">
        <f t="shared" si="203"/>
        <v>0</v>
      </c>
      <c r="L130" s="227">
        <f t="shared" si="203"/>
        <v>0</v>
      </c>
      <c r="M130" s="227">
        <f t="shared" si="203"/>
        <v>0</v>
      </c>
      <c r="N130" s="227">
        <f t="shared" si="203"/>
        <v>0</v>
      </c>
      <c r="O130" s="227">
        <f t="shared" si="203"/>
        <v>0</v>
      </c>
      <c r="P130" s="227">
        <f t="shared" si="203"/>
        <v>0</v>
      </c>
      <c r="Q130" s="227">
        <f t="shared" si="203"/>
        <v>0</v>
      </c>
      <c r="R130" s="227">
        <f t="shared" si="203"/>
        <v>0</v>
      </c>
      <c r="S130" s="227">
        <f t="shared" si="203"/>
        <v>0</v>
      </c>
      <c r="T130" s="227">
        <f t="shared" si="203"/>
        <v>0</v>
      </c>
      <c r="U130" s="227">
        <f t="shared" si="203"/>
        <v>0</v>
      </c>
      <c r="V130" s="227">
        <f t="shared" si="203"/>
        <v>0</v>
      </c>
      <c r="W130" s="227">
        <f t="shared" si="203"/>
        <v>0</v>
      </c>
      <c r="X130" s="227">
        <f t="shared" si="203"/>
        <v>0</v>
      </c>
      <c r="Y130" s="227">
        <f t="shared" si="203"/>
        <v>0</v>
      </c>
      <c r="Z130" s="227">
        <f t="shared" si="203"/>
        <v>0</v>
      </c>
      <c r="AA130" s="227">
        <f t="shared" si="203"/>
        <v>0</v>
      </c>
      <c r="AB130" s="227">
        <f t="shared" si="203"/>
        <v>0</v>
      </c>
      <c r="AC130" s="227">
        <f t="shared" si="203"/>
        <v>0</v>
      </c>
      <c r="AD130" s="227">
        <f t="shared" si="203"/>
        <v>0</v>
      </c>
      <c r="AE130" s="227">
        <f t="shared" si="203"/>
        <v>0</v>
      </c>
      <c r="AF130" s="227">
        <f t="shared" si="203"/>
        <v>0</v>
      </c>
      <c r="AG130" s="227">
        <f t="shared" si="203"/>
        <v>0</v>
      </c>
      <c r="AH130" s="227">
        <f t="shared" ca="1" si="203"/>
        <v>1.1981576681137085E-3</v>
      </c>
      <c r="AI130" s="227">
        <f t="shared" si="203"/>
        <v>0</v>
      </c>
      <c r="AJ130" s="227">
        <f t="shared" si="203"/>
        <v>0</v>
      </c>
      <c r="AK130" s="227">
        <f t="shared" si="203"/>
        <v>0</v>
      </c>
      <c r="AL130" s="227">
        <f t="shared" si="203"/>
        <v>0</v>
      </c>
      <c r="AM130" s="227">
        <f t="shared" si="203"/>
        <v>0</v>
      </c>
      <c r="AN130" s="227">
        <f t="shared" si="203"/>
        <v>0</v>
      </c>
      <c r="AO130" s="227">
        <f t="shared" si="203"/>
        <v>0</v>
      </c>
      <c r="AP130" s="227">
        <f t="shared" si="203"/>
        <v>0</v>
      </c>
      <c r="AQ130" s="227">
        <f t="shared" si="203"/>
        <v>0</v>
      </c>
      <c r="AR130" s="227">
        <f t="shared" si="203"/>
        <v>0</v>
      </c>
      <c r="AS130" s="227">
        <f t="shared" si="203"/>
        <v>0</v>
      </c>
      <c r="AT130" s="227">
        <f t="shared" si="203"/>
        <v>0</v>
      </c>
      <c r="AU130" s="227">
        <f t="shared" si="203"/>
        <v>0</v>
      </c>
      <c r="AV130" s="227">
        <f t="shared" si="203"/>
        <v>0</v>
      </c>
      <c r="AW130" s="227">
        <f t="shared" si="203"/>
        <v>0</v>
      </c>
      <c r="AX130" s="227">
        <f t="shared" si="203"/>
        <v>0</v>
      </c>
      <c r="AY130" s="227">
        <f t="shared" si="203"/>
        <v>0</v>
      </c>
      <c r="AZ130" s="227">
        <f t="shared" si="203"/>
        <v>0</v>
      </c>
      <c r="BA130" s="227">
        <f t="shared" si="203"/>
        <v>0</v>
      </c>
      <c r="BB130" s="227">
        <f t="shared" si="203"/>
        <v>0</v>
      </c>
      <c r="BC130" s="227">
        <f t="shared" si="203"/>
        <v>0</v>
      </c>
      <c r="BD130" s="227">
        <f t="shared" si="203"/>
        <v>0</v>
      </c>
      <c r="BE130" s="227">
        <f t="shared" si="203"/>
        <v>0</v>
      </c>
      <c r="BF130" s="227">
        <f t="shared" si="203"/>
        <v>0</v>
      </c>
      <c r="BG130" s="227">
        <f t="shared" si="203"/>
        <v>0</v>
      </c>
      <c r="BH130" s="227">
        <f t="shared" si="203"/>
        <v>0</v>
      </c>
      <c r="BI130" s="227">
        <f t="shared" si="203"/>
        <v>0</v>
      </c>
      <c r="BJ130" s="227">
        <f t="shared" si="203"/>
        <v>0</v>
      </c>
      <c r="BK130" s="227">
        <f t="shared" si="203"/>
        <v>0</v>
      </c>
      <c r="BL130" s="227">
        <f t="shared" si="203"/>
        <v>0</v>
      </c>
      <c r="BM130" s="227">
        <f t="shared" si="203"/>
        <v>0</v>
      </c>
      <c r="BN130" s="227">
        <f t="shared" si="203"/>
        <v>0</v>
      </c>
      <c r="BO130" s="227">
        <f t="shared" si="203"/>
        <v>0</v>
      </c>
      <c r="BP130" s="227">
        <f t="shared" si="203"/>
        <v>0</v>
      </c>
      <c r="BQ130" s="227">
        <f t="shared" ref="BQ130:EB130" si="204">BQ128+BQ129</f>
        <v>0</v>
      </c>
      <c r="BR130" s="227">
        <f t="shared" si="204"/>
        <v>0</v>
      </c>
      <c r="BS130" s="227">
        <f t="shared" si="204"/>
        <v>0</v>
      </c>
      <c r="BT130" s="227">
        <f t="shared" si="204"/>
        <v>0</v>
      </c>
      <c r="BU130" s="227">
        <f t="shared" si="204"/>
        <v>0</v>
      </c>
      <c r="BV130" s="227">
        <f t="shared" si="204"/>
        <v>0</v>
      </c>
      <c r="BW130" s="227">
        <f t="shared" si="204"/>
        <v>0</v>
      </c>
      <c r="BX130" s="227">
        <f t="shared" si="204"/>
        <v>0</v>
      </c>
      <c r="BY130" s="227">
        <f t="shared" si="204"/>
        <v>0</v>
      </c>
      <c r="BZ130" s="227">
        <f t="shared" si="204"/>
        <v>0</v>
      </c>
      <c r="CA130" s="227">
        <f t="shared" si="204"/>
        <v>0</v>
      </c>
      <c r="CB130" s="227">
        <f t="shared" si="204"/>
        <v>0</v>
      </c>
      <c r="CC130" s="227">
        <f t="shared" si="204"/>
        <v>0</v>
      </c>
      <c r="CD130" s="227">
        <f t="shared" si="204"/>
        <v>0</v>
      </c>
      <c r="CE130" s="227">
        <f t="shared" si="204"/>
        <v>0</v>
      </c>
      <c r="CF130" s="227">
        <f t="shared" si="204"/>
        <v>0</v>
      </c>
      <c r="CG130" s="227">
        <f t="shared" si="204"/>
        <v>0</v>
      </c>
      <c r="CH130" s="227">
        <f t="shared" si="204"/>
        <v>0</v>
      </c>
      <c r="CI130" s="227">
        <f t="shared" si="204"/>
        <v>0</v>
      </c>
      <c r="CJ130" s="227">
        <f t="shared" si="204"/>
        <v>0</v>
      </c>
      <c r="CK130" s="227">
        <f t="shared" si="204"/>
        <v>0</v>
      </c>
      <c r="CL130" s="227">
        <f t="shared" si="204"/>
        <v>0</v>
      </c>
      <c r="CM130" s="227">
        <f t="shared" si="204"/>
        <v>0</v>
      </c>
      <c r="CN130" s="227">
        <f t="shared" si="204"/>
        <v>0</v>
      </c>
      <c r="CO130" s="227">
        <f t="shared" si="204"/>
        <v>0</v>
      </c>
      <c r="CP130" s="227">
        <f t="shared" si="204"/>
        <v>0</v>
      </c>
      <c r="CQ130" s="227">
        <f t="shared" si="204"/>
        <v>0</v>
      </c>
      <c r="CR130" s="227">
        <f t="shared" si="204"/>
        <v>0</v>
      </c>
      <c r="CS130" s="227">
        <f t="shared" si="204"/>
        <v>0</v>
      </c>
      <c r="CT130" s="227">
        <f t="shared" si="204"/>
        <v>0</v>
      </c>
      <c r="CU130" s="227">
        <f t="shared" si="204"/>
        <v>0</v>
      </c>
      <c r="CV130" s="227">
        <f t="shared" si="204"/>
        <v>0</v>
      </c>
      <c r="CW130" s="227">
        <f t="shared" si="204"/>
        <v>0</v>
      </c>
      <c r="CX130" s="227">
        <f t="shared" si="204"/>
        <v>0</v>
      </c>
      <c r="CY130" s="227">
        <f t="shared" si="204"/>
        <v>0</v>
      </c>
      <c r="CZ130" s="227">
        <f t="shared" si="204"/>
        <v>0</v>
      </c>
      <c r="DA130" s="227">
        <f t="shared" si="204"/>
        <v>0</v>
      </c>
      <c r="DB130" s="227">
        <f t="shared" si="204"/>
        <v>0</v>
      </c>
      <c r="DC130" s="227">
        <f t="shared" si="204"/>
        <v>0</v>
      </c>
      <c r="DD130" s="227">
        <f t="shared" si="204"/>
        <v>0</v>
      </c>
      <c r="DE130" s="227">
        <f t="shared" si="204"/>
        <v>0</v>
      </c>
      <c r="DF130" s="227">
        <f t="shared" si="204"/>
        <v>0</v>
      </c>
      <c r="DG130" s="227">
        <f t="shared" si="204"/>
        <v>0</v>
      </c>
      <c r="DH130" s="227">
        <f t="shared" si="204"/>
        <v>0</v>
      </c>
      <c r="DI130" s="227">
        <f t="shared" si="204"/>
        <v>0</v>
      </c>
      <c r="DJ130" s="227">
        <f t="shared" si="204"/>
        <v>0</v>
      </c>
      <c r="DK130" s="227">
        <f t="shared" si="204"/>
        <v>0</v>
      </c>
      <c r="DL130" s="227">
        <f t="shared" si="204"/>
        <v>0</v>
      </c>
      <c r="DM130" s="227">
        <f t="shared" si="204"/>
        <v>0</v>
      </c>
      <c r="DN130" s="227">
        <f t="shared" si="204"/>
        <v>0</v>
      </c>
      <c r="DO130" s="227">
        <f t="shared" si="204"/>
        <v>0</v>
      </c>
      <c r="DP130" s="227">
        <f t="shared" si="204"/>
        <v>0</v>
      </c>
      <c r="DQ130" s="227">
        <f t="shared" si="204"/>
        <v>0</v>
      </c>
      <c r="DR130" s="227">
        <f t="shared" si="204"/>
        <v>0</v>
      </c>
      <c r="DS130" s="227">
        <f t="shared" si="204"/>
        <v>0</v>
      </c>
      <c r="DT130" s="227">
        <f t="shared" si="204"/>
        <v>0</v>
      </c>
      <c r="DU130" s="227">
        <f t="shared" si="204"/>
        <v>0</v>
      </c>
      <c r="DV130" s="227">
        <f t="shared" si="204"/>
        <v>0</v>
      </c>
      <c r="DW130" s="227">
        <f t="shared" si="204"/>
        <v>0</v>
      </c>
      <c r="DX130" s="227">
        <f t="shared" si="204"/>
        <v>0</v>
      </c>
      <c r="DY130" s="227">
        <f t="shared" si="204"/>
        <v>0</v>
      </c>
      <c r="DZ130" s="227">
        <f t="shared" si="204"/>
        <v>0</v>
      </c>
      <c r="EA130" s="227">
        <f t="shared" si="204"/>
        <v>0</v>
      </c>
      <c r="EB130" s="227">
        <f t="shared" si="204"/>
        <v>0</v>
      </c>
      <c r="EC130" s="227">
        <f>EC128+EC129</f>
        <v>0</v>
      </c>
      <c r="ED130" s="227">
        <f>ED128+ED129</f>
        <v>0</v>
      </c>
      <c r="EE130" s="227">
        <f>EE128+EE129</f>
        <v>0</v>
      </c>
      <c r="EF130" s="227">
        <f>EF128+EF129</f>
        <v>0</v>
      </c>
      <c r="EG130" s="227">
        <f>EG128+EG129</f>
        <v>0</v>
      </c>
    </row>
    <row r="131" spans="1:137" ht="7.5" customHeight="1" x14ac:dyDescent="0.3"/>
    <row r="132" spans="1:137" x14ac:dyDescent="0.3">
      <c r="A132" s="241" t="str">
        <f>'General Inputs'!$J$29&amp;" Cum. Pref."</f>
        <v>LP Cum. Pref.</v>
      </c>
      <c r="B132" s="241"/>
      <c r="C132" s="241"/>
      <c r="D132" s="687"/>
      <c r="E132" s="299">
        <f t="shared" ref="E132:AJ132" si="205">IF(E$5=MonthRefi,-MIN(E130*ContrEquity,E61),0)</f>
        <v>0</v>
      </c>
      <c r="F132" s="299">
        <f t="shared" si="205"/>
        <v>0</v>
      </c>
      <c r="G132" s="299">
        <f t="shared" si="205"/>
        <v>0</v>
      </c>
      <c r="H132" s="299">
        <f t="shared" si="205"/>
        <v>0</v>
      </c>
      <c r="I132" s="299">
        <f t="shared" si="205"/>
        <v>0</v>
      </c>
      <c r="J132" s="299">
        <f t="shared" si="205"/>
        <v>0</v>
      </c>
      <c r="K132" s="299">
        <f t="shared" si="205"/>
        <v>0</v>
      </c>
      <c r="L132" s="299">
        <f t="shared" si="205"/>
        <v>0</v>
      </c>
      <c r="M132" s="299">
        <f t="shared" si="205"/>
        <v>0</v>
      </c>
      <c r="N132" s="299">
        <f t="shared" si="205"/>
        <v>0</v>
      </c>
      <c r="O132" s="299">
        <f t="shared" si="205"/>
        <v>0</v>
      </c>
      <c r="P132" s="299">
        <f t="shared" si="205"/>
        <v>0</v>
      </c>
      <c r="Q132" s="299">
        <f t="shared" si="205"/>
        <v>0</v>
      </c>
      <c r="R132" s="299">
        <f t="shared" si="205"/>
        <v>0</v>
      </c>
      <c r="S132" s="299">
        <f t="shared" si="205"/>
        <v>0</v>
      </c>
      <c r="T132" s="299">
        <f t="shared" si="205"/>
        <v>0</v>
      </c>
      <c r="U132" s="299">
        <f t="shared" si="205"/>
        <v>0</v>
      </c>
      <c r="V132" s="299">
        <f t="shared" si="205"/>
        <v>0</v>
      </c>
      <c r="W132" s="299">
        <f t="shared" si="205"/>
        <v>0</v>
      </c>
      <c r="X132" s="299">
        <f t="shared" si="205"/>
        <v>0</v>
      </c>
      <c r="Y132" s="299">
        <f t="shared" si="205"/>
        <v>0</v>
      </c>
      <c r="Z132" s="299">
        <f t="shared" si="205"/>
        <v>0</v>
      </c>
      <c r="AA132" s="299">
        <f t="shared" si="205"/>
        <v>0</v>
      </c>
      <c r="AB132" s="299">
        <f t="shared" si="205"/>
        <v>0</v>
      </c>
      <c r="AC132" s="299">
        <f t="shared" si="205"/>
        <v>0</v>
      </c>
      <c r="AD132" s="299">
        <f t="shared" si="205"/>
        <v>0</v>
      </c>
      <c r="AE132" s="299">
        <f t="shared" si="205"/>
        <v>0</v>
      </c>
      <c r="AF132" s="299">
        <f t="shared" si="205"/>
        <v>0</v>
      </c>
      <c r="AG132" s="299">
        <f t="shared" si="205"/>
        <v>0</v>
      </c>
      <c r="AH132" s="299">
        <f t="shared" ca="1" si="205"/>
        <v>-1.0783419013023377E-3</v>
      </c>
      <c r="AI132" s="299">
        <f t="shared" si="205"/>
        <v>0</v>
      </c>
      <c r="AJ132" s="299">
        <f t="shared" si="205"/>
        <v>0</v>
      </c>
      <c r="AK132" s="299">
        <f t="shared" ref="AK132:BP132" si="206">IF(AK$5=MonthRefi,-MIN(AK130*ContrEquity,AK61),0)</f>
        <v>0</v>
      </c>
      <c r="AL132" s="299">
        <f t="shared" si="206"/>
        <v>0</v>
      </c>
      <c r="AM132" s="299">
        <f t="shared" si="206"/>
        <v>0</v>
      </c>
      <c r="AN132" s="299">
        <f t="shared" si="206"/>
        <v>0</v>
      </c>
      <c r="AO132" s="299">
        <f t="shared" si="206"/>
        <v>0</v>
      </c>
      <c r="AP132" s="299">
        <f t="shared" si="206"/>
        <v>0</v>
      </c>
      <c r="AQ132" s="299">
        <f t="shared" si="206"/>
        <v>0</v>
      </c>
      <c r="AR132" s="299">
        <f t="shared" si="206"/>
        <v>0</v>
      </c>
      <c r="AS132" s="299">
        <f t="shared" si="206"/>
        <v>0</v>
      </c>
      <c r="AT132" s="299">
        <f t="shared" si="206"/>
        <v>0</v>
      </c>
      <c r="AU132" s="299">
        <f t="shared" si="206"/>
        <v>0</v>
      </c>
      <c r="AV132" s="299">
        <f t="shared" si="206"/>
        <v>0</v>
      </c>
      <c r="AW132" s="299">
        <f t="shared" si="206"/>
        <v>0</v>
      </c>
      <c r="AX132" s="299">
        <f t="shared" si="206"/>
        <v>0</v>
      </c>
      <c r="AY132" s="299">
        <f t="shared" si="206"/>
        <v>0</v>
      </c>
      <c r="AZ132" s="299">
        <f t="shared" si="206"/>
        <v>0</v>
      </c>
      <c r="BA132" s="299">
        <f t="shared" si="206"/>
        <v>0</v>
      </c>
      <c r="BB132" s="299">
        <f t="shared" si="206"/>
        <v>0</v>
      </c>
      <c r="BC132" s="299">
        <f t="shared" si="206"/>
        <v>0</v>
      </c>
      <c r="BD132" s="299">
        <f t="shared" si="206"/>
        <v>0</v>
      </c>
      <c r="BE132" s="299">
        <f t="shared" si="206"/>
        <v>0</v>
      </c>
      <c r="BF132" s="299">
        <f t="shared" si="206"/>
        <v>0</v>
      </c>
      <c r="BG132" s="299">
        <f t="shared" si="206"/>
        <v>0</v>
      </c>
      <c r="BH132" s="299">
        <f t="shared" si="206"/>
        <v>0</v>
      </c>
      <c r="BI132" s="299">
        <f t="shared" si="206"/>
        <v>0</v>
      </c>
      <c r="BJ132" s="299">
        <f t="shared" si="206"/>
        <v>0</v>
      </c>
      <c r="BK132" s="299">
        <f t="shared" si="206"/>
        <v>0</v>
      </c>
      <c r="BL132" s="299">
        <f t="shared" si="206"/>
        <v>0</v>
      </c>
      <c r="BM132" s="299">
        <f t="shared" si="206"/>
        <v>0</v>
      </c>
      <c r="BN132" s="299">
        <f t="shared" si="206"/>
        <v>0</v>
      </c>
      <c r="BO132" s="299">
        <f t="shared" si="206"/>
        <v>0</v>
      </c>
      <c r="BP132" s="299">
        <f t="shared" si="206"/>
        <v>0</v>
      </c>
      <c r="BQ132" s="299">
        <f t="shared" ref="BQ132:CV132" si="207">IF(BQ$5=MonthRefi,-MIN(BQ130*ContrEquity,BQ61),0)</f>
        <v>0</v>
      </c>
      <c r="BR132" s="299">
        <f t="shared" si="207"/>
        <v>0</v>
      </c>
      <c r="BS132" s="299">
        <f t="shared" si="207"/>
        <v>0</v>
      </c>
      <c r="BT132" s="299">
        <f t="shared" si="207"/>
        <v>0</v>
      </c>
      <c r="BU132" s="299">
        <f t="shared" si="207"/>
        <v>0</v>
      </c>
      <c r="BV132" s="299">
        <f t="shared" si="207"/>
        <v>0</v>
      </c>
      <c r="BW132" s="299">
        <f t="shared" si="207"/>
        <v>0</v>
      </c>
      <c r="BX132" s="299">
        <f t="shared" si="207"/>
        <v>0</v>
      </c>
      <c r="BY132" s="299">
        <f t="shared" si="207"/>
        <v>0</v>
      </c>
      <c r="BZ132" s="299">
        <f t="shared" si="207"/>
        <v>0</v>
      </c>
      <c r="CA132" s="299">
        <f t="shared" si="207"/>
        <v>0</v>
      </c>
      <c r="CB132" s="299">
        <f t="shared" si="207"/>
        <v>0</v>
      </c>
      <c r="CC132" s="299">
        <f t="shared" si="207"/>
        <v>0</v>
      </c>
      <c r="CD132" s="299">
        <f t="shared" si="207"/>
        <v>0</v>
      </c>
      <c r="CE132" s="299">
        <f t="shared" si="207"/>
        <v>0</v>
      </c>
      <c r="CF132" s="299">
        <f t="shared" si="207"/>
        <v>0</v>
      </c>
      <c r="CG132" s="299">
        <f t="shared" si="207"/>
        <v>0</v>
      </c>
      <c r="CH132" s="299">
        <f t="shared" si="207"/>
        <v>0</v>
      </c>
      <c r="CI132" s="299">
        <f t="shared" si="207"/>
        <v>0</v>
      </c>
      <c r="CJ132" s="299">
        <f t="shared" si="207"/>
        <v>0</v>
      </c>
      <c r="CK132" s="299">
        <f t="shared" si="207"/>
        <v>0</v>
      </c>
      <c r="CL132" s="299">
        <f t="shared" si="207"/>
        <v>0</v>
      </c>
      <c r="CM132" s="299">
        <f t="shared" si="207"/>
        <v>0</v>
      </c>
      <c r="CN132" s="299">
        <f t="shared" si="207"/>
        <v>0</v>
      </c>
      <c r="CO132" s="299">
        <f t="shared" si="207"/>
        <v>0</v>
      </c>
      <c r="CP132" s="299">
        <f t="shared" si="207"/>
        <v>0</v>
      </c>
      <c r="CQ132" s="299">
        <f t="shared" si="207"/>
        <v>0</v>
      </c>
      <c r="CR132" s="299">
        <f t="shared" si="207"/>
        <v>0</v>
      </c>
      <c r="CS132" s="299">
        <f t="shared" si="207"/>
        <v>0</v>
      </c>
      <c r="CT132" s="299">
        <f t="shared" si="207"/>
        <v>0</v>
      </c>
      <c r="CU132" s="299">
        <f t="shared" si="207"/>
        <v>0</v>
      </c>
      <c r="CV132" s="299">
        <f t="shared" si="207"/>
        <v>0</v>
      </c>
      <c r="CW132" s="299">
        <f t="shared" ref="CW132:EG132" si="208">IF(CW$5=MonthRefi,-MIN(CW130*ContrEquity,CW61),0)</f>
        <v>0</v>
      </c>
      <c r="CX132" s="299">
        <f t="shared" si="208"/>
        <v>0</v>
      </c>
      <c r="CY132" s="299">
        <f t="shared" si="208"/>
        <v>0</v>
      </c>
      <c r="CZ132" s="299">
        <f t="shared" si="208"/>
        <v>0</v>
      </c>
      <c r="DA132" s="299">
        <f t="shared" si="208"/>
        <v>0</v>
      </c>
      <c r="DB132" s="299">
        <f t="shared" si="208"/>
        <v>0</v>
      </c>
      <c r="DC132" s="299">
        <f t="shared" si="208"/>
        <v>0</v>
      </c>
      <c r="DD132" s="299">
        <f t="shared" si="208"/>
        <v>0</v>
      </c>
      <c r="DE132" s="299">
        <f t="shared" si="208"/>
        <v>0</v>
      </c>
      <c r="DF132" s="299">
        <f t="shared" si="208"/>
        <v>0</v>
      </c>
      <c r="DG132" s="299">
        <f t="shared" si="208"/>
        <v>0</v>
      </c>
      <c r="DH132" s="299">
        <f t="shared" si="208"/>
        <v>0</v>
      </c>
      <c r="DI132" s="299">
        <f t="shared" si="208"/>
        <v>0</v>
      </c>
      <c r="DJ132" s="299">
        <f t="shared" si="208"/>
        <v>0</v>
      </c>
      <c r="DK132" s="299">
        <f t="shared" si="208"/>
        <v>0</v>
      </c>
      <c r="DL132" s="299">
        <f t="shared" si="208"/>
        <v>0</v>
      </c>
      <c r="DM132" s="299">
        <f t="shared" si="208"/>
        <v>0</v>
      </c>
      <c r="DN132" s="299">
        <f t="shared" si="208"/>
        <v>0</v>
      </c>
      <c r="DO132" s="299">
        <f t="shared" si="208"/>
        <v>0</v>
      </c>
      <c r="DP132" s="299">
        <f t="shared" si="208"/>
        <v>0</v>
      </c>
      <c r="DQ132" s="299">
        <f t="shared" si="208"/>
        <v>0</v>
      </c>
      <c r="DR132" s="299">
        <f t="shared" si="208"/>
        <v>0</v>
      </c>
      <c r="DS132" s="299">
        <f t="shared" si="208"/>
        <v>0</v>
      </c>
      <c r="DT132" s="299">
        <f t="shared" si="208"/>
        <v>0</v>
      </c>
      <c r="DU132" s="299">
        <f t="shared" si="208"/>
        <v>0</v>
      </c>
      <c r="DV132" s="299">
        <f t="shared" si="208"/>
        <v>0</v>
      </c>
      <c r="DW132" s="299">
        <f t="shared" si="208"/>
        <v>0</v>
      </c>
      <c r="DX132" s="299">
        <f t="shared" si="208"/>
        <v>0</v>
      </c>
      <c r="DY132" s="299">
        <f t="shared" si="208"/>
        <v>0</v>
      </c>
      <c r="DZ132" s="299">
        <f t="shared" si="208"/>
        <v>0</v>
      </c>
      <c r="EA132" s="299">
        <f t="shared" si="208"/>
        <v>0</v>
      </c>
      <c r="EB132" s="299">
        <f t="shared" si="208"/>
        <v>0</v>
      </c>
      <c r="EC132" s="299">
        <f t="shared" si="208"/>
        <v>0</v>
      </c>
      <c r="ED132" s="299">
        <f t="shared" si="208"/>
        <v>0</v>
      </c>
      <c r="EE132" s="299">
        <f t="shared" si="208"/>
        <v>0</v>
      </c>
      <c r="EF132" s="299">
        <f t="shared" si="208"/>
        <v>0</v>
      </c>
      <c r="EG132" s="299">
        <f t="shared" si="208"/>
        <v>0</v>
      </c>
    </row>
    <row r="133" spans="1:137" x14ac:dyDescent="0.3">
      <c r="A133" s="245" t="s">
        <v>843</v>
      </c>
      <c r="E133" s="227">
        <f t="shared" ref="E133:BP133" si="209">E130+E132</f>
        <v>0</v>
      </c>
      <c r="F133" s="227">
        <f t="shared" si="209"/>
        <v>0</v>
      </c>
      <c r="G133" s="227">
        <f t="shared" si="209"/>
        <v>0</v>
      </c>
      <c r="H133" s="227">
        <f t="shared" si="209"/>
        <v>0</v>
      </c>
      <c r="I133" s="227">
        <f t="shared" si="209"/>
        <v>0</v>
      </c>
      <c r="J133" s="227">
        <f t="shared" si="209"/>
        <v>0</v>
      </c>
      <c r="K133" s="227">
        <f t="shared" si="209"/>
        <v>0</v>
      </c>
      <c r="L133" s="227">
        <f t="shared" si="209"/>
        <v>0</v>
      </c>
      <c r="M133" s="227">
        <f t="shared" si="209"/>
        <v>0</v>
      </c>
      <c r="N133" s="227">
        <f t="shared" si="209"/>
        <v>0</v>
      </c>
      <c r="O133" s="227">
        <f t="shared" si="209"/>
        <v>0</v>
      </c>
      <c r="P133" s="227">
        <f t="shared" si="209"/>
        <v>0</v>
      </c>
      <c r="Q133" s="227">
        <f t="shared" si="209"/>
        <v>0</v>
      </c>
      <c r="R133" s="227">
        <f t="shared" si="209"/>
        <v>0</v>
      </c>
      <c r="S133" s="227">
        <f t="shared" si="209"/>
        <v>0</v>
      </c>
      <c r="T133" s="227">
        <f t="shared" si="209"/>
        <v>0</v>
      </c>
      <c r="U133" s="227">
        <f t="shared" si="209"/>
        <v>0</v>
      </c>
      <c r="V133" s="227">
        <f t="shared" si="209"/>
        <v>0</v>
      </c>
      <c r="W133" s="227">
        <f t="shared" si="209"/>
        <v>0</v>
      </c>
      <c r="X133" s="227">
        <f t="shared" si="209"/>
        <v>0</v>
      </c>
      <c r="Y133" s="227">
        <f t="shared" si="209"/>
        <v>0</v>
      </c>
      <c r="Z133" s="227">
        <f t="shared" si="209"/>
        <v>0</v>
      </c>
      <c r="AA133" s="227">
        <f t="shared" si="209"/>
        <v>0</v>
      </c>
      <c r="AB133" s="227">
        <f t="shared" si="209"/>
        <v>0</v>
      </c>
      <c r="AC133" s="227">
        <f t="shared" si="209"/>
        <v>0</v>
      </c>
      <c r="AD133" s="227">
        <f t="shared" si="209"/>
        <v>0</v>
      </c>
      <c r="AE133" s="227">
        <f t="shared" si="209"/>
        <v>0</v>
      </c>
      <c r="AF133" s="227">
        <f t="shared" si="209"/>
        <v>0</v>
      </c>
      <c r="AG133" s="227">
        <f t="shared" si="209"/>
        <v>0</v>
      </c>
      <c r="AH133" s="227">
        <f t="shared" ca="1" si="209"/>
        <v>1.1981576681137081E-4</v>
      </c>
      <c r="AI133" s="227">
        <f t="shared" si="209"/>
        <v>0</v>
      </c>
      <c r="AJ133" s="227">
        <f t="shared" si="209"/>
        <v>0</v>
      </c>
      <c r="AK133" s="227">
        <f t="shared" si="209"/>
        <v>0</v>
      </c>
      <c r="AL133" s="227">
        <f t="shared" si="209"/>
        <v>0</v>
      </c>
      <c r="AM133" s="227">
        <f t="shared" si="209"/>
        <v>0</v>
      </c>
      <c r="AN133" s="227">
        <f t="shared" si="209"/>
        <v>0</v>
      </c>
      <c r="AO133" s="227">
        <f t="shared" si="209"/>
        <v>0</v>
      </c>
      <c r="AP133" s="227">
        <f t="shared" si="209"/>
        <v>0</v>
      </c>
      <c r="AQ133" s="227">
        <f t="shared" si="209"/>
        <v>0</v>
      </c>
      <c r="AR133" s="227">
        <f t="shared" si="209"/>
        <v>0</v>
      </c>
      <c r="AS133" s="227">
        <f t="shared" si="209"/>
        <v>0</v>
      </c>
      <c r="AT133" s="227">
        <f t="shared" si="209"/>
        <v>0</v>
      </c>
      <c r="AU133" s="227">
        <f t="shared" si="209"/>
        <v>0</v>
      </c>
      <c r="AV133" s="227">
        <f t="shared" si="209"/>
        <v>0</v>
      </c>
      <c r="AW133" s="227">
        <f t="shared" si="209"/>
        <v>0</v>
      </c>
      <c r="AX133" s="227">
        <f t="shared" si="209"/>
        <v>0</v>
      </c>
      <c r="AY133" s="227">
        <f t="shared" si="209"/>
        <v>0</v>
      </c>
      <c r="AZ133" s="227">
        <f t="shared" si="209"/>
        <v>0</v>
      </c>
      <c r="BA133" s="227">
        <f t="shared" si="209"/>
        <v>0</v>
      </c>
      <c r="BB133" s="227">
        <f t="shared" si="209"/>
        <v>0</v>
      </c>
      <c r="BC133" s="227">
        <f t="shared" si="209"/>
        <v>0</v>
      </c>
      <c r="BD133" s="227">
        <f t="shared" si="209"/>
        <v>0</v>
      </c>
      <c r="BE133" s="227">
        <f t="shared" si="209"/>
        <v>0</v>
      </c>
      <c r="BF133" s="227">
        <f t="shared" si="209"/>
        <v>0</v>
      </c>
      <c r="BG133" s="227">
        <f t="shared" si="209"/>
        <v>0</v>
      </c>
      <c r="BH133" s="227">
        <f t="shared" si="209"/>
        <v>0</v>
      </c>
      <c r="BI133" s="227">
        <f t="shared" si="209"/>
        <v>0</v>
      </c>
      <c r="BJ133" s="227">
        <f t="shared" si="209"/>
        <v>0</v>
      </c>
      <c r="BK133" s="227">
        <f t="shared" si="209"/>
        <v>0</v>
      </c>
      <c r="BL133" s="227">
        <f t="shared" si="209"/>
        <v>0</v>
      </c>
      <c r="BM133" s="227">
        <f t="shared" si="209"/>
        <v>0</v>
      </c>
      <c r="BN133" s="227">
        <f>BN130+BN132</f>
        <v>0</v>
      </c>
      <c r="BO133" s="227">
        <f t="shared" si="209"/>
        <v>0</v>
      </c>
      <c r="BP133" s="227">
        <f t="shared" si="209"/>
        <v>0</v>
      </c>
      <c r="BQ133" s="227">
        <f t="shared" ref="BQ133:EB133" si="210">BQ130+BQ132</f>
        <v>0</v>
      </c>
      <c r="BR133" s="227">
        <f t="shared" si="210"/>
        <v>0</v>
      </c>
      <c r="BS133" s="227">
        <f t="shared" si="210"/>
        <v>0</v>
      </c>
      <c r="BT133" s="227">
        <f t="shared" si="210"/>
        <v>0</v>
      </c>
      <c r="BU133" s="227">
        <f t="shared" si="210"/>
        <v>0</v>
      </c>
      <c r="BV133" s="227">
        <f t="shared" si="210"/>
        <v>0</v>
      </c>
      <c r="BW133" s="227">
        <f t="shared" si="210"/>
        <v>0</v>
      </c>
      <c r="BX133" s="227">
        <f t="shared" si="210"/>
        <v>0</v>
      </c>
      <c r="BY133" s="227">
        <f t="shared" si="210"/>
        <v>0</v>
      </c>
      <c r="BZ133" s="227">
        <f t="shared" si="210"/>
        <v>0</v>
      </c>
      <c r="CA133" s="227">
        <f t="shared" si="210"/>
        <v>0</v>
      </c>
      <c r="CB133" s="227">
        <f t="shared" si="210"/>
        <v>0</v>
      </c>
      <c r="CC133" s="227">
        <f t="shared" si="210"/>
        <v>0</v>
      </c>
      <c r="CD133" s="227">
        <f t="shared" si="210"/>
        <v>0</v>
      </c>
      <c r="CE133" s="227">
        <f t="shared" si="210"/>
        <v>0</v>
      </c>
      <c r="CF133" s="227">
        <f t="shared" si="210"/>
        <v>0</v>
      </c>
      <c r="CG133" s="227">
        <f t="shared" si="210"/>
        <v>0</v>
      </c>
      <c r="CH133" s="227">
        <f t="shared" si="210"/>
        <v>0</v>
      </c>
      <c r="CI133" s="227">
        <f t="shared" si="210"/>
        <v>0</v>
      </c>
      <c r="CJ133" s="227">
        <f t="shared" si="210"/>
        <v>0</v>
      </c>
      <c r="CK133" s="227">
        <f t="shared" si="210"/>
        <v>0</v>
      </c>
      <c r="CL133" s="227">
        <f t="shared" si="210"/>
        <v>0</v>
      </c>
      <c r="CM133" s="227">
        <f t="shared" si="210"/>
        <v>0</v>
      </c>
      <c r="CN133" s="227">
        <f t="shared" si="210"/>
        <v>0</v>
      </c>
      <c r="CO133" s="227">
        <f t="shared" si="210"/>
        <v>0</v>
      </c>
      <c r="CP133" s="227">
        <f t="shared" si="210"/>
        <v>0</v>
      </c>
      <c r="CQ133" s="227">
        <f t="shared" si="210"/>
        <v>0</v>
      </c>
      <c r="CR133" s="227">
        <f t="shared" si="210"/>
        <v>0</v>
      </c>
      <c r="CS133" s="227">
        <f t="shared" si="210"/>
        <v>0</v>
      </c>
      <c r="CT133" s="227">
        <f t="shared" si="210"/>
        <v>0</v>
      </c>
      <c r="CU133" s="227">
        <f t="shared" si="210"/>
        <v>0</v>
      </c>
      <c r="CV133" s="227">
        <f t="shared" si="210"/>
        <v>0</v>
      </c>
      <c r="CW133" s="227">
        <f t="shared" si="210"/>
        <v>0</v>
      </c>
      <c r="CX133" s="227">
        <f t="shared" si="210"/>
        <v>0</v>
      </c>
      <c r="CY133" s="227">
        <f t="shared" si="210"/>
        <v>0</v>
      </c>
      <c r="CZ133" s="227">
        <f t="shared" si="210"/>
        <v>0</v>
      </c>
      <c r="DA133" s="227">
        <f t="shared" si="210"/>
        <v>0</v>
      </c>
      <c r="DB133" s="227">
        <f t="shared" si="210"/>
        <v>0</v>
      </c>
      <c r="DC133" s="227">
        <f t="shared" si="210"/>
        <v>0</v>
      </c>
      <c r="DD133" s="227">
        <f t="shared" si="210"/>
        <v>0</v>
      </c>
      <c r="DE133" s="227">
        <f t="shared" si="210"/>
        <v>0</v>
      </c>
      <c r="DF133" s="227">
        <f t="shared" si="210"/>
        <v>0</v>
      </c>
      <c r="DG133" s="227">
        <f t="shared" si="210"/>
        <v>0</v>
      </c>
      <c r="DH133" s="227">
        <f t="shared" si="210"/>
        <v>0</v>
      </c>
      <c r="DI133" s="227">
        <f t="shared" si="210"/>
        <v>0</v>
      </c>
      <c r="DJ133" s="227">
        <f t="shared" si="210"/>
        <v>0</v>
      </c>
      <c r="DK133" s="227">
        <f t="shared" si="210"/>
        <v>0</v>
      </c>
      <c r="DL133" s="227">
        <f t="shared" si="210"/>
        <v>0</v>
      </c>
      <c r="DM133" s="227">
        <f t="shared" si="210"/>
        <v>0</v>
      </c>
      <c r="DN133" s="227">
        <f t="shared" si="210"/>
        <v>0</v>
      </c>
      <c r="DO133" s="227">
        <f t="shared" si="210"/>
        <v>0</v>
      </c>
      <c r="DP133" s="227">
        <f t="shared" si="210"/>
        <v>0</v>
      </c>
      <c r="DQ133" s="227">
        <f t="shared" si="210"/>
        <v>0</v>
      </c>
      <c r="DR133" s="227">
        <f t="shared" si="210"/>
        <v>0</v>
      </c>
      <c r="DS133" s="227">
        <f t="shared" si="210"/>
        <v>0</v>
      </c>
      <c r="DT133" s="227">
        <f t="shared" si="210"/>
        <v>0</v>
      </c>
      <c r="DU133" s="227">
        <f t="shared" si="210"/>
        <v>0</v>
      </c>
      <c r="DV133" s="227">
        <f t="shared" si="210"/>
        <v>0</v>
      </c>
      <c r="DW133" s="227">
        <f t="shared" si="210"/>
        <v>0</v>
      </c>
      <c r="DX133" s="227">
        <f t="shared" si="210"/>
        <v>0</v>
      </c>
      <c r="DY133" s="227">
        <f t="shared" si="210"/>
        <v>0</v>
      </c>
      <c r="DZ133" s="227">
        <f t="shared" si="210"/>
        <v>0</v>
      </c>
      <c r="EA133" s="227">
        <f t="shared" si="210"/>
        <v>0</v>
      </c>
      <c r="EB133" s="227">
        <f t="shared" si="210"/>
        <v>0</v>
      </c>
      <c r="EC133" s="227">
        <f>EC130+EC132</f>
        <v>0</v>
      </c>
      <c r="ED133" s="227">
        <f>ED130+ED132</f>
        <v>0</v>
      </c>
      <c r="EE133" s="227">
        <f>EE130+EE132</f>
        <v>0</v>
      </c>
      <c r="EF133" s="227">
        <f>EF130+EF132</f>
        <v>0</v>
      </c>
      <c r="EG133" s="227">
        <f>EG130+EG132</f>
        <v>0</v>
      </c>
    </row>
    <row r="134" spans="1:137" x14ac:dyDescent="0.3">
      <c r="A134" s="241" t="str">
        <f>'General Inputs'!$K$29&amp;" Cum. Pref."</f>
        <v>Quarterra Cum. Pref.</v>
      </c>
      <c r="B134" s="241"/>
      <c r="C134" s="241"/>
      <c r="D134" s="687"/>
      <c r="E134" s="299">
        <f t="shared" ref="E134:AJ134" si="211">IF(E$5=MonthRefi,-MIN(E130*ContrLennar,E86),0)</f>
        <v>0</v>
      </c>
      <c r="F134" s="299">
        <f t="shared" si="211"/>
        <v>0</v>
      </c>
      <c r="G134" s="299">
        <f t="shared" si="211"/>
        <v>0</v>
      </c>
      <c r="H134" s="299">
        <f t="shared" si="211"/>
        <v>0</v>
      </c>
      <c r="I134" s="299">
        <f t="shared" si="211"/>
        <v>0</v>
      </c>
      <c r="J134" s="299">
        <f t="shared" si="211"/>
        <v>0</v>
      </c>
      <c r="K134" s="299">
        <f t="shared" si="211"/>
        <v>0</v>
      </c>
      <c r="L134" s="299">
        <f t="shared" si="211"/>
        <v>0</v>
      </c>
      <c r="M134" s="299">
        <f t="shared" si="211"/>
        <v>0</v>
      </c>
      <c r="N134" s="299">
        <f t="shared" si="211"/>
        <v>0</v>
      </c>
      <c r="O134" s="299">
        <f t="shared" si="211"/>
        <v>0</v>
      </c>
      <c r="P134" s="299">
        <f t="shared" si="211"/>
        <v>0</v>
      </c>
      <c r="Q134" s="299">
        <f t="shared" si="211"/>
        <v>0</v>
      </c>
      <c r="R134" s="299">
        <f t="shared" si="211"/>
        <v>0</v>
      </c>
      <c r="S134" s="299">
        <f t="shared" si="211"/>
        <v>0</v>
      </c>
      <c r="T134" s="299">
        <f t="shared" si="211"/>
        <v>0</v>
      </c>
      <c r="U134" s="299">
        <f t="shared" si="211"/>
        <v>0</v>
      </c>
      <c r="V134" s="299">
        <f t="shared" si="211"/>
        <v>0</v>
      </c>
      <c r="W134" s="299">
        <f t="shared" si="211"/>
        <v>0</v>
      </c>
      <c r="X134" s="299">
        <f t="shared" si="211"/>
        <v>0</v>
      </c>
      <c r="Y134" s="299">
        <f t="shared" si="211"/>
        <v>0</v>
      </c>
      <c r="Z134" s="299">
        <f t="shared" si="211"/>
        <v>0</v>
      </c>
      <c r="AA134" s="299">
        <f t="shared" si="211"/>
        <v>0</v>
      </c>
      <c r="AB134" s="299">
        <f t="shared" si="211"/>
        <v>0</v>
      </c>
      <c r="AC134" s="299">
        <f t="shared" si="211"/>
        <v>0</v>
      </c>
      <c r="AD134" s="299">
        <f t="shared" si="211"/>
        <v>0</v>
      </c>
      <c r="AE134" s="299">
        <f t="shared" si="211"/>
        <v>0</v>
      </c>
      <c r="AF134" s="299">
        <f t="shared" si="211"/>
        <v>0</v>
      </c>
      <c r="AG134" s="299">
        <f t="shared" si="211"/>
        <v>0</v>
      </c>
      <c r="AH134" s="299">
        <f t="shared" ca="1" si="211"/>
        <v>-1.1981576681137082E-4</v>
      </c>
      <c r="AI134" s="299">
        <f t="shared" si="211"/>
        <v>0</v>
      </c>
      <c r="AJ134" s="299">
        <f t="shared" si="211"/>
        <v>0</v>
      </c>
      <c r="AK134" s="299">
        <f t="shared" ref="AK134:BP134" si="212">IF(AK$5=MonthRefi,-MIN(AK130*ContrLennar,AK86),0)</f>
        <v>0</v>
      </c>
      <c r="AL134" s="299">
        <f t="shared" si="212"/>
        <v>0</v>
      </c>
      <c r="AM134" s="299">
        <f t="shared" si="212"/>
        <v>0</v>
      </c>
      <c r="AN134" s="299">
        <f t="shared" si="212"/>
        <v>0</v>
      </c>
      <c r="AO134" s="299">
        <f t="shared" si="212"/>
        <v>0</v>
      </c>
      <c r="AP134" s="299">
        <f t="shared" si="212"/>
        <v>0</v>
      </c>
      <c r="AQ134" s="299">
        <f t="shared" si="212"/>
        <v>0</v>
      </c>
      <c r="AR134" s="299">
        <f t="shared" si="212"/>
        <v>0</v>
      </c>
      <c r="AS134" s="299">
        <f t="shared" si="212"/>
        <v>0</v>
      </c>
      <c r="AT134" s="299">
        <f t="shared" si="212"/>
        <v>0</v>
      </c>
      <c r="AU134" s="299">
        <f t="shared" si="212"/>
        <v>0</v>
      </c>
      <c r="AV134" s="299">
        <f t="shared" si="212"/>
        <v>0</v>
      </c>
      <c r="AW134" s="299">
        <f t="shared" si="212"/>
        <v>0</v>
      </c>
      <c r="AX134" s="299">
        <f t="shared" si="212"/>
        <v>0</v>
      </c>
      <c r="AY134" s="299">
        <f t="shared" si="212"/>
        <v>0</v>
      </c>
      <c r="AZ134" s="299">
        <f t="shared" si="212"/>
        <v>0</v>
      </c>
      <c r="BA134" s="299">
        <f t="shared" si="212"/>
        <v>0</v>
      </c>
      <c r="BB134" s="299">
        <f t="shared" si="212"/>
        <v>0</v>
      </c>
      <c r="BC134" s="299">
        <f t="shared" si="212"/>
        <v>0</v>
      </c>
      <c r="BD134" s="299">
        <f t="shared" si="212"/>
        <v>0</v>
      </c>
      <c r="BE134" s="299">
        <f t="shared" si="212"/>
        <v>0</v>
      </c>
      <c r="BF134" s="299">
        <f t="shared" si="212"/>
        <v>0</v>
      </c>
      <c r="BG134" s="299">
        <f t="shared" si="212"/>
        <v>0</v>
      </c>
      <c r="BH134" s="299">
        <f t="shared" si="212"/>
        <v>0</v>
      </c>
      <c r="BI134" s="299">
        <f t="shared" si="212"/>
        <v>0</v>
      </c>
      <c r="BJ134" s="299">
        <f t="shared" si="212"/>
        <v>0</v>
      </c>
      <c r="BK134" s="299">
        <f t="shared" si="212"/>
        <v>0</v>
      </c>
      <c r="BL134" s="299">
        <f t="shared" si="212"/>
        <v>0</v>
      </c>
      <c r="BM134" s="299">
        <f t="shared" si="212"/>
        <v>0</v>
      </c>
      <c r="BN134" s="299">
        <f t="shared" si="212"/>
        <v>0</v>
      </c>
      <c r="BO134" s="299">
        <f t="shared" si="212"/>
        <v>0</v>
      </c>
      <c r="BP134" s="299">
        <f t="shared" si="212"/>
        <v>0</v>
      </c>
      <c r="BQ134" s="299">
        <f t="shared" ref="BQ134:CV134" si="213">IF(BQ$5=MonthRefi,-MIN(BQ130*ContrLennar,BQ86),0)</f>
        <v>0</v>
      </c>
      <c r="BR134" s="299">
        <f t="shared" si="213"/>
        <v>0</v>
      </c>
      <c r="BS134" s="299">
        <f t="shared" si="213"/>
        <v>0</v>
      </c>
      <c r="BT134" s="299">
        <f t="shared" si="213"/>
        <v>0</v>
      </c>
      <c r="BU134" s="299">
        <f t="shared" si="213"/>
        <v>0</v>
      </c>
      <c r="BV134" s="299">
        <f t="shared" si="213"/>
        <v>0</v>
      </c>
      <c r="BW134" s="299">
        <f t="shared" si="213"/>
        <v>0</v>
      </c>
      <c r="BX134" s="299">
        <f t="shared" si="213"/>
        <v>0</v>
      </c>
      <c r="BY134" s="299">
        <f t="shared" si="213"/>
        <v>0</v>
      </c>
      <c r="BZ134" s="299">
        <f t="shared" si="213"/>
        <v>0</v>
      </c>
      <c r="CA134" s="299">
        <f t="shared" si="213"/>
        <v>0</v>
      </c>
      <c r="CB134" s="299">
        <f t="shared" si="213"/>
        <v>0</v>
      </c>
      <c r="CC134" s="299">
        <f t="shared" si="213"/>
        <v>0</v>
      </c>
      <c r="CD134" s="299">
        <f t="shared" si="213"/>
        <v>0</v>
      </c>
      <c r="CE134" s="299">
        <f t="shared" si="213"/>
        <v>0</v>
      </c>
      <c r="CF134" s="299">
        <f t="shared" si="213"/>
        <v>0</v>
      </c>
      <c r="CG134" s="299">
        <f t="shared" si="213"/>
        <v>0</v>
      </c>
      <c r="CH134" s="299">
        <f t="shared" si="213"/>
        <v>0</v>
      </c>
      <c r="CI134" s="299">
        <f t="shared" si="213"/>
        <v>0</v>
      </c>
      <c r="CJ134" s="299">
        <f t="shared" si="213"/>
        <v>0</v>
      </c>
      <c r="CK134" s="299">
        <f t="shared" si="213"/>
        <v>0</v>
      </c>
      <c r="CL134" s="299">
        <f t="shared" si="213"/>
        <v>0</v>
      </c>
      <c r="CM134" s="299">
        <f t="shared" si="213"/>
        <v>0</v>
      </c>
      <c r="CN134" s="299">
        <f t="shared" si="213"/>
        <v>0</v>
      </c>
      <c r="CO134" s="299">
        <f t="shared" si="213"/>
        <v>0</v>
      </c>
      <c r="CP134" s="299">
        <f t="shared" si="213"/>
        <v>0</v>
      </c>
      <c r="CQ134" s="299">
        <f t="shared" si="213"/>
        <v>0</v>
      </c>
      <c r="CR134" s="299">
        <f t="shared" si="213"/>
        <v>0</v>
      </c>
      <c r="CS134" s="299">
        <f t="shared" si="213"/>
        <v>0</v>
      </c>
      <c r="CT134" s="299">
        <f t="shared" si="213"/>
        <v>0</v>
      </c>
      <c r="CU134" s="299">
        <f t="shared" si="213"/>
        <v>0</v>
      </c>
      <c r="CV134" s="299">
        <f t="shared" si="213"/>
        <v>0</v>
      </c>
      <c r="CW134" s="299">
        <f t="shared" ref="CW134:EG134" si="214">IF(CW$5=MonthRefi,-MIN(CW130*ContrLennar,CW86),0)</f>
        <v>0</v>
      </c>
      <c r="CX134" s="299">
        <f t="shared" si="214"/>
        <v>0</v>
      </c>
      <c r="CY134" s="299">
        <f t="shared" si="214"/>
        <v>0</v>
      </c>
      <c r="CZ134" s="299">
        <f t="shared" si="214"/>
        <v>0</v>
      </c>
      <c r="DA134" s="299">
        <f t="shared" si="214"/>
        <v>0</v>
      </c>
      <c r="DB134" s="299">
        <f t="shared" si="214"/>
        <v>0</v>
      </c>
      <c r="DC134" s="299">
        <f t="shared" si="214"/>
        <v>0</v>
      </c>
      <c r="DD134" s="299">
        <f t="shared" si="214"/>
        <v>0</v>
      </c>
      <c r="DE134" s="299">
        <f t="shared" si="214"/>
        <v>0</v>
      </c>
      <c r="DF134" s="299">
        <f t="shared" si="214"/>
        <v>0</v>
      </c>
      <c r="DG134" s="299">
        <f t="shared" si="214"/>
        <v>0</v>
      </c>
      <c r="DH134" s="299">
        <f t="shared" si="214"/>
        <v>0</v>
      </c>
      <c r="DI134" s="299">
        <f t="shared" si="214"/>
        <v>0</v>
      </c>
      <c r="DJ134" s="299">
        <f t="shared" si="214"/>
        <v>0</v>
      </c>
      <c r="DK134" s="299">
        <f t="shared" si="214"/>
        <v>0</v>
      </c>
      <c r="DL134" s="299">
        <f t="shared" si="214"/>
        <v>0</v>
      </c>
      <c r="DM134" s="299">
        <f t="shared" si="214"/>
        <v>0</v>
      </c>
      <c r="DN134" s="299">
        <f t="shared" si="214"/>
        <v>0</v>
      </c>
      <c r="DO134" s="299">
        <f t="shared" si="214"/>
        <v>0</v>
      </c>
      <c r="DP134" s="299">
        <f t="shared" si="214"/>
        <v>0</v>
      </c>
      <c r="DQ134" s="299">
        <f t="shared" si="214"/>
        <v>0</v>
      </c>
      <c r="DR134" s="299">
        <f t="shared" si="214"/>
        <v>0</v>
      </c>
      <c r="DS134" s="299">
        <f t="shared" si="214"/>
        <v>0</v>
      </c>
      <c r="DT134" s="299">
        <f t="shared" si="214"/>
        <v>0</v>
      </c>
      <c r="DU134" s="299">
        <f t="shared" si="214"/>
        <v>0</v>
      </c>
      <c r="DV134" s="299">
        <f t="shared" si="214"/>
        <v>0</v>
      </c>
      <c r="DW134" s="299">
        <f t="shared" si="214"/>
        <v>0</v>
      </c>
      <c r="DX134" s="299">
        <f t="shared" si="214"/>
        <v>0</v>
      </c>
      <c r="DY134" s="299">
        <f t="shared" si="214"/>
        <v>0</v>
      </c>
      <c r="DZ134" s="299">
        <f t="shared" si="214"/>
        <v>0</v>
      </c>
      <c r="EA134" s="299">
        <f t="shared" si="214"/>
        <v>0</v>
      </c>
      <c r="EB134" s="299">
        <f t="shared" si="214"/>
        <v>0</v>
      </c>
      <c r="EC134" s="299">
        <f t="shared" si="214"/>
        <v>0</v>
      </c>
      <c r="ED134" s="299">
        <f t="shared" si="214"/>
        <v>0</v>
      </c>
      <c r="EE134" s="299">
        <f t="shared" si="214"/>
        <v>0</v>
      </c>
      <c r="EF134" s="299">
        <f t="shared" si="214"/>
        <v>0</v>
      </c>
      <c r="EG134" s="299">
        <f t="shared" si="214"/>
        <v>0</v>
      </c>
    </row>
    <row r="135" spans="1:137" x14ac:dyDescent="0.3">
      <c r="A135" s="245" t="s">
        <v>843</v>
      </c>
      <c r="E135" s="227">
        <f t="shared" ref="E135:BP135" si="215">E133+E134</f>
        <v>0</v>
      </c>
      <c r="F135" s="227">
        <f t="shared" si="215"/>
        <v>0</v>
      </c>
      <c r="G135" s="227">
        <f t="shared" si="215"/>
        <v>0</v>
      </c>
      <c r="H135" s="227">
        <f t="shared" si="215"/>
        <v>0</v>
      </c>
      <c r="I135" s="227">
        <f t="shared" si="215"/>
        <v>0</v>
      </c>
      <c r="J135" s="227">
        <f t="shared" si="215"/>
        <v>0</v>
      </c>
      <c r="K135" s="227">
        <f t="shared" si="215"/>
        <v>0</v>
      </c>
      <c r="L135" s="227">
        <f t="shared" si="215"/>
        <v>0</v>
      </c>
      <c r="M135" s="227">
        <f t="shared" si="215"/>
        <v>0</v>
      </c>
      <c r="N135" s="227">
        <f t="shared" si="215"/>
        <v>0</v>
      </c>
      <c r="O135" s="227">
        <f t="shared" si="215"/>
        <v>0</v>
      </c>
      <c r="P135" s="227">
        <f t="shared" si="215"/>
        <v>0</v>
      </c>
      <c r="Q135" s="227">
        <f t="shared" si="215"/>
        <v>0</v>
      </c>
      <c r="R135" s="227">
        <f t="shared" si="215"/>
        <v>0</v>
      </c>
      <c r="S135" s="227">
        <f t="shared" si="215"/>
        <v>0</v>
      </c>
      <c r="T135" s="227">
        <f t="shared" si="215"/>
        <v>0</v>
      </c>
      <c r="U135" s="227">
        <f t="shared" si="215"/>
        <v>0</v>
      </c>
      <c r="V135" s="227">
        <f t="shared" si="215"/>
        <v>0</v>
      </c>
      <c r="W135" s="227">
        <f t="shared" si="215"/>
        <v>0</v>
      </c>
      <c r="X135" s="227">
        <f t="shared" si="215"/>
        <v>0</v>
      </c>
      <c r="Y135" s="227">
        <f t="shared" si="215"/>
        <v>0</v>
      </c>
      <c r="Z135" s="227">
        <f t="shared" si="215"/>
        <v>0</v>
      </c>
      <c r="AA135" s="227">
        <f t="shared" si="215"/>
        <v>0</v>
      </c>
      <c r="AB135" s="227">
        <f t="shared" si="215"/>
        <v>0</v>
      </c>
      <c r="AC135" s="227">
        <f t="shared" si="215"/>
        <v>0</v>
      </c>
      <c r="AD135" s="227">
        <f t="shared" si="215"/>
        <v>0</v>
      </c>
      <c r="AE135" s="227">
        <f t="shared" si="215"/>
        <v>0</v>
      </c>
      <c r="AF135" s="227">
        <f t="shared" si="215"/>
        <v>0</v>
      </c>
      <c r="AG135" s="227">
        <f t="shared" si="215"/>
        <v>0</v>
      </c>
      <c r="AH135" s="227">
        <f t="shared" ca="1" si="215"/>
        <v>0</v>
      </c>
      <c r="AI135" s="227">
        <f t="shared" si="215"/>
        <v>0</v>
      </c>
      <c r="AJ135" s="227">
        <f t="shared" si="215"/>
        <v>0</v>
      </c>
      <c r="AK135" s="227">
        <f t="shared" si="215"/>
        <v>0</v>
      </c>
      <c r="AL135" s="227">
        <f t="shared" si="215"/>
        <v>0</v>
      </c>
      <c r="AM135" s="227">
        <f t="shared" si="215"/>
        <v>0</v>
      </c>
      <c r="AN135" s="227">
        <f t="shared" si="215"/>
        <v>0</v>
      </c>
      <c r="AO135" s="227">
        <f t="shared" si="215"/>
        <v>0</v>
      </c>
      <c r="AP135" s="227">
        <f t="shared" si="215"/>
        <v>0</v>
      </c>
      <c r="AQ135" s="227">
        <f t="shared" si="215"/>
        <v>0</v>
      </c>
      <c r="AR135" s="227">
        <f t="shared" si="215"/>
        <v>0</v>
      </c>
      <c r="AS135" s="227">
        <f t="shared" si="215"/>
        <v>0</v>
      </c>
      <c r="AT135" s="227">
        <f t="shared" si="215"/>
        <v>0</v>
      </c>
      <c r="AU135" s="227">
        <f t="shared" si="215"/>
        <v>0</v>
      </c>
      <c r="AV135" s="227">
        <f t="shared" si="215"/>
        <v>0</v>
      </c>
      <c r="AW135" s="227">
        <f t="shared" si="215"/>
        <v>0</v>
      </c>
      <c r="AX135" s="227">
        <f t="shared" si="215"/>
        <v>0</v>
      </c>
      <c r="AY135" s="227">
        <f t="shared" si="215"/>
        <v>0</v>
      </c>
      <c r="AZ135" s="227">
        <f t="shared" si="215"/>
        <v>0</v>
      </c>
      <c r="BA135" s="227">
        <f t="shared" si="215"/>
        <v>0</v>
      </c>
      <c r="BB135" s="227">
        <f t="shared" si="215"/>
        <v>0</v>
      </c>
      <c r="BC135" s="227">
        <f t="shared" si="215"/>
        <v>0</v>
      </c>
      <c r="BD135" s="227">
        <f t="shared" si="215"/>
        <v>0</v>
      </c>
      <c r="BE135" s="227">
        <f t="shared" si="215"/>
        <v>0</v>
      </c>
      <c r="BF135" s="227">
        <f t="shared" si="215"/>
        <v>0</v>
      </c>
      <c r="BG135" s="227">
        <f t="shared" si="215"/>
        <v>0</v>
      </c>
      <c r="BH135" s="227">
        <f t="shared" si="215"/>
        <v>0</v>
      </c>
      <c r="BI135" s="227">
        <f t="shared" si="215"/>
        <v>0</v>
      </c>
      <c r="BJ135" s="227">
        <f t="shared" si="215"/>
        <v>0</v>
      </c>
      <c r="BK135" s="227">
        <f t="shared" si="215"/>
        <v>0</v>
      </c>
      <c r="BL135" s="227">
        <f t="shared" si="215"/>
        <v>0</v>
      </c>
      <c r="BM135" s="227">
        <f t="shared" si="215"/>
        <v>0</v>
      </c>
      <c r="BN135" s="227">
        <f t="shared" si="215"/>
        <v>0</v>
      </c>
      <c r="BO135" s="227">
        <f t="shared" si="215"/>
        <v>0</v>
      </c>
      <c r="BP135" s="227">
        <f t="shared" si="215"/>
        <v>0</v>
      </c>
      <c r="BQ135" s="227">
        <f t="shared" ref="BQ135:EB135" si="216">BQ133+BQ134</f>
        <v>0</v>
      </c>
      <c r="BR135" s="227">
        <f t="shared" si="216"/>
        <v>0</v>
      </c>
      <c r="BS135" s="227">
        <f t="shared" si="216"/>
        <v>0</v>
      </c>
      <c r="BT135" s="227">
        <f t="shared" si="216"/>
        <v>0</v>
      </c>
      <c r="BU135" s="227">
        <f t="shared" si="216"/>
        <v>0</v>
      </c>
      <c r="BV135" s="227">
        <f t="shared" si="216"/>
        <v>0</v>
      </c>
      <c r="BW135" s="227">
        <f t="shared" si="216"/>
        <v>0</v>
      </c>
      <c r="BX135" s="227">
        <f t="shared" si="216"/>
        <v>0</v>
      </c>
      <c r="BY135" s="227">
        <f t="shared" si="216"/>
        <v>0</v>
      </c>
      <c r="BZ135" s="227">
        <f t="shared" si="216"/>
        <v>0</v>
      </c>
      <c r="CA135" s="227">
        <f t="shared" si="216"/>
        <v>0</v>
      </c>
      <c r="CB135" s="227">
        <f t="shared" si="216"/>
        <v>0</v>
      </c>
      <c r="CC135" s="227">
        <f t="shared" si="216"/>
        <v>0</v>
      </c>
      <c r="CD135" s="227">
        <f t="shared" si="216"/>
        <v>0</v>
      </c>
      <c r="CE135" s="227">
        <f t="shared" si="216"/>
        <v>0</v>
      </c>
      <c r="CF135" s="227">
        <f t="shared" si="216"/>
        <v>0</v>
      </c>
      <c r="CG135" s="227">
        <f t="shared" si="216"/>
        <v>0</v>
      </c>
      <c r="CH135" s="227">
        <f t="shared" si="216"/>
        <v>0</v>
      </c>
      <c r="CI135" s="227">
        <f t="shared" si="216"/>
        <v>0</v>
      </c>
      <c r="CJ135" s="227">
        <f t="shared" si="216"/>
        <v>0</v>
      </c>
      <c r="CK135" s="227">
        <f t="shared" si="216"/>
        <v>0</v>
      </c>
      <c r="CL135" s="227">
        <f t="shared" si="216"/>
        <v>0</v>
      </c>
      <c r="CM135" s="227">
        <f t="shared" si="216"/>
        <v>0</v>
      </c>
      <c r="CN135" s="227">
        <f t="shared" si="216"/>
        <v>0</v>
      </c>
      <c r="CO135" s="227">
        <f t="shared" si="216"/>
        <v>0</v>
      </c>
      <c r="CP135" s="227">
        <f t="shared" si="216"/>
        <v>0</v>
      </c>
      <c r="CQ135" s="227">
        <f t="shared" si="216"/>
        <v>0</v>
      </c>
      <c r="CR135" s="227">
        <f t="shared" si="216"/>
        <v>0</v>
      </c>
      <c r="CS135" s="227">
        <f t="shared" si="216"/>
        <v>0</v>
      </c>
      <c r="CT135" s="227">
        <f t="shared" si="216"/>
        <v>0</v>
      </c>
      <c r="CU135" s="227">
        <f t="shared" si="216"/>
        <v>0</v>
      </c>
      <c r="CV135" s="227">
        <f t="shared" si="216"/>
        <v>0</v>
      </c>
      <c r="CW135" s="227">
        <f t="shared" si="216"/>
        <v>0</v>
      </c>
      <c r="CX135" s="227">
        <f t="shared" si="216"/>
        <v>0</v>
      </c>
      <c r="CY135" s="227">
        <f t="shared" si="216"/>
        <v>0</v>
      </c>
      <c r="CZ135" s="227">
        <f t="shared" si="216"/>
        <v>0</v>
      </c>
      <c r="DA135" s="227">
        <f t="shared" si="216"/>
        <v>0</v>
      </c>
      <c r="DB135" s="227">
        <f t="shared" si="216"/>
        <v>0</v>
      </c>
      <c r="DC135" s="227">
        <f t="shared" si="216"/>
        <v>0</v>
      </c>
      <c r="DD135" s="227">
        <f t="shared" si="216"/>
        <v>0</v>
      </c>
      <c r="DE135" s="227">
        <f t="shared" si="216"/>
        <v>0</v>
      </c>
      <c r="DF135" s="227">
        <f t="shared" si="216"/>
        <v>0</v>
      </c>
      <c r="DG135" s="227">
        <f t="shared" si="216"/>
        <v>0</v>
      </c>
      <c r="DH135" s="227">
        <f t="shared" si="216"/>
        <v>0</v>
      </c>
      <c r="DI135" s="227">
        <f t="shared" si="216"/>
        <v>0</v>
      </c>
      <c r="DJ135" s="227">
        <f t="shared" si="216"/>
        <v>0</v>
      </c>
      <c r="DK135" s="227">
        <f t="shared" si="216"/>
        <v>0</v>
      </c>
      <c r="DL135" s="227">
        <f t="shared" si="216"/>
        <v>0</v>
      </c>
      <c r="DM135" s="227">
        <f t="shared" si="216"/>
        <v>0</v>
      </c>
      <c r="DN135" s="227">
        <f t="shared" si="216"/>
        <v>0</v>
      </c>
      <c r="DO135" s="227">
        <f t="shared" si="216"/>
        <v>0</v>
      </c>
      <c r="DP135" s="227">
        <f t="shared" si="216"/>
        <v>0</v>
      </c>
      <c r="DQ135" s="227">
        <f t="shared" si="216"/>
        <v>0</v>
      </c>
      <c r="DR135" s="227">
        <f t="shared" si="216"/>
        <v>0</v>
      </c>
      <c r="DS135" s="227">
        <f t="shared" si="216"/>
        <v>0</v>
      </c>
      <c r="DT135" s="227">
        <f t="shared" si="216"/>
        <v>0</v>
      </c>
      <c r="DU135" s="227">
        <f t="shared" si="216"/>
        <v>0</v>
      </c>
      <c r="DV135" s="227">
        <f t="shared" si="216"/>
        <v>0</v>
      </c>
      <c r="DW135" s="227">
        <f t="shared" si="216"/>
        <v>0</v>
      </c>
      <c r="DX135" s="227">
        <f t="shared" si="216"/>
        <v>0</v>
      </c>
      <c r="DY135" s="227">
        <f t="shared" si="216"/>
        <v>0</v>
      </c>
      <c r="DZ135" s="227">
        <f t="shared" si="216"/>
        <v>0</v>
      </c>
      <c r="EA135" s="227">
        <f t="shared" si="216"/>
        <v>0</v>
      </c>
      <c r="EB135" s="227">
        <f t="shared" si="216"/>
        <v>0</v>
      </c>
      <c r="EC135" s="227">
        <f>EC133+EC134</f>
        <v>0</v>
      </c>
      <c r="ED135" s="227">
        <f>ED133+ED134</f>
        <v>0</v>
      </c>
      <c r="EE135" s="227">
        <f>EE133+EE134</f>
        <v>0</v>
      </c>
      <c r="EF135" s="227">
        <f>EF133+EF134</f>
        <v>0</v>
      </c>
      <c r="EG135" s="227">
        <f>EG133+EG134</f>
        <v>0</v>
      </c>
    </row>
    <row r="136" spans="1:137" x14ac:dyDescent="0.3">
      <c r="A136" s="241" t="str">
        <f>'General Inputs'!$L$29&amp;" Cum. Pref."</f>
        <v>LAND Cum. Pref.</v>
      </c>
      <c r="B136" s="241"/>
      <c r="C136" s="241"/>
      <c r="D136" s="687"/>
      <c r="E136" s="299">
        <f t="shared" ref="E136:AJ136" si="217">IF(E$5=MonthRefi,-MIN(E130*ContrLand,E111),0)</f>
        <v>0</v>
      </c>
      <c r="F136" s="299">
        <f t="shared" si="217"/>
        <v>0</v>
      </c>
      <c r="G136" s="299">
        <f t="shared" si="217"/>
        <v>0</v>
      </c>
      <c r="H136" s="299">
        <f t="shared" si="217"/>
        <v>0</v>
      </c>
      <c r="I136" s="299">
        <f t="shared" si="217"/>
        <v>0</v>
      </c>
      <c r="J136" s="299">
        <f t="shared" si="217"/>
        <v>0</v>
      </c>
      <c r="K136" s="299">
        <f t="shared" si="217"/>
        <v>0</v>
      </c>
      <c r="L136" s="299">
        <f t="shared" si="217"/>
        <v>0</v>
      </c>
      <c r="M136" s="299">
        <f t="shared" si="217"/>
        <v>0</v>
      </c>
      <c r="N136" s="299">
        <f t="shared" si="217"/>
        <v>0</v>
      </c>
      <c r="O136" s="299">
        <f t="shared" si="217"/>
        <v>0</v>
      </c>
      <c r="P136" s="299">
        <f t="shared" si="217"/>
        <v>0</v>
      </c>
      <c r="Q136" s="299">
        <f t="shared" si="217"/>
        <v>0</v>
      </c>
      <c r="R136" s="299">
        <f t="shared" si="217"/>
        <v>0</v>
      </c>
      <c r="S136" s="299">
        <f t="shared" si="217"/>
        <v>0</v>
      </c>
      <c r="T136" s="299">
        <f t="shared" si="217"/>
        <v>0</v>
      </c>
      <c r="U136" s="299">
        <f t="shared" si="217"/>
        <v>0</v>
      </c>
      <c r="V136" s="299">
        <f t="shared" si="217"/>
        <v>0</v>
      </c>
      <c r="W136" s="299">
        <f t="shared" si="217"/>
        <v>0</v>
      </c>
      <c r="X136" s="299">
        <f t="shared" si="217"/>
        <v>0</v>
      </c>
      <c r="Y136" s="299">
        <f t="shared" si="217"/>
        <v>0</v>
      </c>
      <c r="Z136" s="299">
        <f t="shared" si="217"/>
        <v>0</v>
      </c>
      <c r="AA136" s="299">
        <f t="shared" si="217"/>
        <v>0</v>
      </c>
      <c r="AB136" s="299">
        <f t="shared" si="217"/>
        <v>0</v>
      </c>
      <c r="AC136" s="299">
        <f t="shared" si="217"/>
        <v>0</v>
      </c>
      <c r="AD136" s="299">
        <f t="shared" si="217"/>
        <v>0</v>
      </c>
      <c r="AE136" s="299">
        <f t="shared" si="217"/>
        <v>0</v>
      </c>
      <c r="AF136" s="299">
        <f t="shared" si="217"/>
        <v>0</v>
      </c>
      <c r="AG136" s="299">
        <f t="shared" si="217"/>
        <v>0</v>
      </c>
      <c r="AH136" s="299">
        <f t="shared" ca="1" si="217"/>
        <v>0</v>
      </c>
      <c r="AI136" s="299">
        <f t="shared" si="217"/>
        <v>0</v>
      </c>
      <c r="AJ136" s="299">
        <f t="shared" si="217"/>
        <v>0</v>
      </c>
      <c r="AK136" s="299">
        <f t="shared" ref="AK136:BP136" si="218">IF(AK$5=MonthRefi,-MIN(AK130*ContrLand,AK111),0)</f>
        <v>0</v>
      </c>
      <c r="AL136" s="299">
        <f t="shared" si="218"/>
        <v>0</v>
      </c>
      <c r="AM136" s="299">
        <f t="shared" si="218"/>
        <v>0</v>
      </c>
      <c r="AN136" s="299">
        <f t="shared" si="218"/>
        <v>0</v>
      </c>
      <c r="AO136" s="299">
        <f t="shared" si="218"/>
        <v>0</v>
      </c>
      <c r="AP136" s="299">
        <f t="shared" si="218"/>
        <v>0</v>
      </c>
      <c r="AQ136" s="299">
        <f t="shared" si="218"/>
        <v>0</v>
      </c>
      <c r="AR136" s="299">
        <f t="shared" si="218"/>
        <v>0</v>
      </c>
      <c r="AS136" s="299">
        <f t="shared" si="218"/>
        <v>0</v>
      </c>
      <c r="AT136" s="299">
        <f t="shared" si="218"/>
        <v>0</v>
      </c>
      <c r="AU136" s="299">
        <f t="shared" si="218"/>
        <v>0</v>
      </c>
      <c r="AV136" s="299">
        <f t="shared" si="218"/>
        <v>0</v>
      </c>
      <c r="AW136" s="299">
        <f t="shared" si="218"/>
        <v>0</v>
      </c>
      <c r="AX136" s="299">
        <f t="shared" si="218"/>
        <v>0</v>
      </c>
      <c r="AY136" s="299">
        <f t="shared" si="218"/>
        <v>0</v>
      </c>
      <c r="AZ136" s="299">
        <f t="shared" si="218"/>
        <v>0</v>
      </c>
      <c r="BA136" s="299">
        <f t="shared" si="218"/>
        <v>0</v>
      </c>
      <c r="BB136" s="299">
        <f t="shared" si="218"/>
        <v>0</v>
      </c>
      <c r="BC136" s="299">
        <f t="shared" si="218"/>
        <v>0</v>
      </c>
      <c r="BD136" s="299">
        <f t="shared" si="218"/>
        <v>0</v>
      </c>
      <c r="BE136" s="299">
        <f t="shared" si="218"/>
        <v>0</v>
      </c>
      <c r="BF136" s="299">
        <f t="shared" si="218"/>
        <v>0</v>
      </c>
      <c r="BG136" s="299">
        <f t="shared" si="218"/>
        <v>0</v>
      </c>
      <c r="BH136" s="299">
        <f t="shared" si="218"/>
        <v>0</v>
      </c>
      <c r="BI136" s="299">
        <f t="shared" si="218"/>
        <v>0</v>
      </c>
      <c r="BJ136" s="299">
        <f t="shared" si="218"/>
        <v>0</v>
      </c>
      <c r="BK136" s="299">
        <f t="shared" si="218"/>
        <v>0</v>
      </c>
      <c r="BL136" s="299">
        <f t="shared" si="218"/>
        <v>0</v>
      </c>
      <c r="BM136" s="299">
        <f t="shared" si="218"/>
        <v>0</v>
      </c>
      <c r="BN136" s="299">
        <f t="shared" si="218"/>
        <v>0</v>
      </c>
      <c r="BO136" s="299">
        <f t="shared" si="218"/>
        <v>0</v>
      </c>
      <c r="BP136" s="299">
        <f t="shared" si="218"/>
        <v>0</v>
      </c>
      <c r="BQ136" s="299">
        <f t="shared" ref="BQ136:CV136" si="219">IF(BQ$5=MonthRefi,-MIN(BQ130*ContrLand,BQ111),0)</f>
        <v>0</v>
      </c>
      <c r="BR136" s="299">
        <f t="shared" si="219"/>
        <v>0</v>
      </c>
      <c r="BS136" s="299">
        <f t="shared" si="219"/>
        <v>0</v>
      </c>
      <c r="BT136" s="299">
        <f t="shared" si="219"/>
        <v>0</v>
      </c>
      <c r="BU136" s="299">
        <f t="shared" si="219"/>
        <v>0</v>
      </c>
      <c r="BV136" s="299">
        <f t="shared" si="219"/>
        <v>0</v>
      </c>
      <c r="BW136" s="299">
        <f t="shared" si="219"/>
        <v>0</v>
      </c>
      <c r="BX136" s="299">
        <f t="shared" si="219"/>
        <v>0</v>
      </c>
      <c r="BY136" s="299">
        <f t="shared" si="219"/>
        <v>0</v>
      </c>
      <c r="BZ136" s="299">
        <f t="shared" si="219"/>
        <v>0</v>
      </c>
      <c r="CA136" s="299">
        <f t="shared" si="219"/>
        <v>0</v>
      </c>
      <c r="CB136" s="299">
        <f t="shared" si="219"/>
        <v>0</v>
      </c>
      <c r="CC136" s="299">
        <f t="shared" si="219"/>
        <v>0</v>
      </c>
      <c r="CD136" s="299">
        <f t="shared" si="219"/>
        <v>0</v>
      </c>
      <c r="CE136" s="299">
        <f t="shared" si="219"/>
        <v>0</v>
      </c>
      <c r="CF136" s="299">
        <f t="shared" si="219"/>
        <v>0</v>
      </c>
      <c r="CG136" s="299">
        <f t="shared" si="219"/>
        <v>0</v>
      </c>
      <c r="CH136" s="299">
        <f t="shared" si="219"/>
        <v>0</v>
      </c>
      <c r="CI136" s="299">
        <f t="shared" si="219"/>
        <v>0</v>
      </c>
      <c r="CJ136" s="299">
        <f t="shared" si="219"/>
        <v>0</v>
      </c>
      <c r="CK136" s="299">
        <f t="shared" si="219"/>
        <v>0</v>
      </c>
      <c r="CL136" s="299">
        <f t="shared" si="219"/>
        <v>0</v>
      </c>
      <c r="CM136" s="299">
        <f t="shared" si="219"/>
        <v>0</v>
      </c>
      <c r="CN136" s="299">
        <f t="shared" si="219"/>
        <v>0</v>
      </c>
      <c r="CO136" s="299">
        <f t="shared" si="219"/>
        <v>0</v>
      </c>
      <c r="CP136" s="299">
        <f t="shared" si="219"/>
        <v>0</v>
      </c>
      <c r="CQ136" s="299">
        <f t="shared" si="219"/>
        <v>0</v>
      </c>
      <c r="CR136" s="299">
        <f t="shared" si="219"/>
        <v>0</v>
      </c>
      <c r="CS136" s="299">
        <f t="shared" si="219"/>
        <v>0</v>
      </c>
      <c r="CT136" s="299">
        <f t="shared" si="219"/>
        <v>0</v>
      </c>
      <c r="CU136" s="299">
        <f t="shared" si="219"/>
        <v>0</v>
      </c>
      <c r="CV136" s="299">
        <f t="shared" si="219"/>
        <v>0</v>
      </c>
      <c r="CW136" s="299">
        <f t="shared" ref="CW136:EG136" si="220">IF(CW$5=MonthRefi,-MIN(CW130*ContrLand,CW111),0)</f>
        <v>0</v>
      </c>
      <c r="CX136" s="299">
        <f t="shared" si="220"/>
        <v>0</v>
      </c>
      <c r="CY136" s="299">
        <f t="shared" si="220"/>
        <v>0</v>
      </c>
      <c r="CZ136" s="299">
        <f t="shared" si="220"/>
        <v>0</v>
      </c>
      <c r="DA136" s="299">
        <f t="shared" si="220"/>
        <v>0</v>
      </c>
      <c r="DB136" s="299">
        <f t="shared" si="220"/>
        <v>0</v>
      </c>
      <c r="DC136" s="299">
        <f t="shared" si="220"/>
        <v>0</v>
      </c>
      <c r="DD136" s="299">
        <f t="shared" si="220"/>
        <v>0</v>
      </c>
      <c r="DE136" s="299">
        <f t="shared" si="220"/>
        <v>0</v>
      </c>
      <c r="DF136" s="299">
        <f t="shared" si="220"/>
        <v>0</v>
      </c>
      <c r="DG136" s="299">
        <f t="shared" si="220"/>
        <v>0</v>
      </c>
      <c r="DH136" s="299">
        <f t="shared" si="220"/>
        <v>0</v>
      </c>
      <c r="DI136" s="299">
        <f t="shared" si="220"/>
        <v>0</v>
      </c>
      <c r="DJ136" s="299">
        <f t="shared" si="220"/>
        <v>0</v>
      </c>
      <c r="DK136" s="299">
        <f t="shared" si="220"/>
        <v>0</v>
      </c>
      <c r="DL136" s="299">
        <f t="shared" si="220"/>
        <v>0</v>
      </c>
      <c r="DM136" s="299">
        <f t="shared" si="220"/>
        <v>0</v>
      </c>
      <c r="DN136" s="299">
        <f t="shared" si="220"/>
        <v>0</v>
      </c>
      <c r="DO136" s="299">
        <f t="shared" si="220"/>
        <v>0</v>
      </c>
      <c r="DP136" s="299">
        <f t="shared" si="220"/>
        <v>0</v>
      </c>
      <c r="DQ136" s="299">
        <f t="shared" si="220"/>
        <v>0</v>
      </c>
      <c r="DR136" s="299">
        <f t="shared" si="220"/>
        <v>0</v>
      </c>
      <c r="DS136" s="299">
        <f t="shared" si="220"/>
        <v>0</v>
      </c>
      <c r="DT136" s="299">
        <f t="shared" si="220"/>
        <v>0</v>
      </c>
      <c r="DU136" s="299">
        <f t="shared" si="220"/>
        <v>0</v>
      </c>
      <c r="DV136" s="299">
        <f t="shared" si="220"/>
        <v>0</v>
      </c>
      <c r="DW136" s="299">
        <f t="shared" si="220"/>
        <v>0</v>
      </c>
      <c r="DX136" s="299">
        <f t="shared" si="220"/>
        <v>0</v>
      </c>
      <c r="DY136" s="299">
        <f t="shared" si="220"/>
        <v>0</v>
      </c>
      <c r="DZ136" s="299">
        <f t="shared" si="220"/>
        <v>0</v>
      </c>
      <c r="EA136" s="299">
        <f t="shared" si="220"/>
        <v>0</v>
      </c>
      <c r="EB136" s="299">
        <f t="shared" si="220"/>
        <v>0</v>
      </c>
      <c r="EC136" s="299">
        <f t="shared" si="220"/>
        <v>0</v>
      </c>
      <c r="ED136" s="299">
        <f t="shared" si="220"/>
        <v>0</v>
      </c>
      <c r="EE136" s="299">
        <f t="shared" si="220"/>
        <v>0</v>
      </c>
      <c r="EF136" s="299">
        <f t="shared" si="220"/>
        <v>0</v>
      </c>
      <c r="EG136" s="299">
        <f t="shared" si="220"/>
        <v>0</v>
      </c>
    </row>
    <row r="137" spans="1:137" x14ac:dyDescent="0.3">
      <c r="A137" s="245" t="s">
        <v>843</v>
      </c>
      <c r="E137" s="227">
        <f t="shared" ref="E137:BP137" si="221">E135+E136</f>
        <v>0</v>
      </c>
      <c r="F137" s="227">
        <f t="shared" si="221"/>
        <v>0</v>
      </c>
      <c r="G137" s="227">
        <f t="shared" si="221"/>
        <v>0</v>
      </c>
      <c r="H137" s="227">
        <f t="shared" si="221"/>
        <v>0</v>
      </c>
      <c r="I137" s="227">
        <f t="shared" si="221"/>
        <v>0</v>
      </c>
      <c r="J137" s="227">
        <f t="shared" si="221"/>
        <v>0</v>
      </c>
      <c r="K137" s="227">
        <f t="shared" si="221"/>
        <v>0</v>
      </c>
      <c r="L137" s="227">
        <f t="shared" si="221"/>
        <v>0</v>
      </c>
      <c r="M137" s="227">
        <f t="shared" si="221"/>
        <v>0</v>
      </c>
      <c r="N137" s="227">
        <f t="shared" si="221"/>
        <v>0</v>
      </c>
      <c r="O137" s="227">
        <f t="shared" si="221"/>
        <v>0</v>
      </c>
      <c r="P137" s="227">
        <f t="shared" si="221"/>
        <v>0</v>
      </c>
      <c r="Q137" s="227">
        <f t="shared" si="221"/>
        <v>0</v>
      </c>
      <c r="R137" s="227">
        <f t="shared" si="221"/>
        <v>0</v>
      </c>
      <c r="S137" s="227">
        <f t="shared" si="221"/>
        <v>0</v>
      </c>
      <c r="T137" s="227">
        <f t="shared" si="221"/>
        <v>0</v>
      </c>
      <c r="U137" s="227">
        <f t="shared" si="221"/>
        <v>0</v>
      </c>
      <c r="V137" s="227">
        <f t="shared" si="221"/>
        <v>0</v>
      </c>
      <c r="W137" s="227">
        <f t="shared" si="221"/>
        <v>0</v>
      </c>
      <c r="X137" s="227">
        <f t="shared" si="221"/>
        <v>0</v>
      </c>
      <c r="Y137" s="227">
        <f t="shared" si="221"/>
        <v>0</v>
      </c>
      <c r="Z137" s="227">
        <f t="shared" si="221"/>
        <v>0</v>
      </c>
      <c r="AA137" s="227">
        <f t="shared" si="221"/>
        <v>0</v>
      </c>
      <c r="AB137" s="227">
        <f t="shared" si="221"/>
        <v>0</v>
      </c>
      <c r="AC137" s="227">
        <f t="shared" si="221"/>
        <v>0</v>
      </c>
      <c r="AD137" s="227">
        <f t="shared" si="221"/>
        <v>0</v>
      </c>
      <c r="AE137" s="227">
        <f t="shared" si="221"/>
        <v>0</v>
      </c>
      <c r="AF137" s="227">
        <f t="shared" si="221"/>
        <v>0</v>
      </c>
      <c r="AG137" s="227">
        <f t="shared" si="221"/>
        <v>0</v>
      </c>
      <c r="AH137" s="227">
        <f t="shared" ca="1" si="221"/>
        <v>0</v>
      </c>
      <c r="AI137" s="227">
        <f t="shared" si="221"/>
        <v>0</v>
      </c>
      <c r="AJ137" s="227">
        <f t="shared" si="221"/>
        <v>0</v>
      </c>
      <c r="AK137" s="227">
        <f t="shared" si="221"/>
        <v>0</v>
      </c>
      <c r="AL137" s="227">
        <f t="shared" si="221"/>
        <v>0</v>
      </c>
      <c r="AM137" s="227">
        <f t="shared" si="221"/>
        <v>0</v>
      </c>
      <c r="AN137" s="227">
        <f t="shared" si="221"/>
        <v>0</v>
      </c>
      <c r="AO137" s="227">
        <f t="shared" si="221"/>
        <v>0</v>
      </c>
      <c r="AP137" s="227">
        <f t="shared" si="221"/>
        <v>0</v>
      </c>
      <c r="AQ137" s="227">
        <f t="shared" si="221"/>
        <v>0</v>
      </c>
      <c r="AR137" s="227">
        <f t="shared" si="221"/>
        <v>0</v>
      </c>
      <c r="AS137" s="227">
        <f t="shared" si="221"/>
        <v>0</v>
      </c>
      <c r="AT137" s="227">
        <f t="shared" si="221"/>
        <v>0</v>
      </c>
      <c r="AU137" s="227">
        <f t="shared" si="221"/>
        <v>0</v>
      </c>
      <c r="AV137" s="227">
        <f t="shared" si="221"/>
        <v>0</v>
      </c>
      <c r="AW137" s="227">
        <f t="shared" si="221"/>
        <v>0</v>
      </c>
      <c r="AX137" s="227">
        <f t="shared" si="221"/>
        <v>0</v>
      </c>
      <c r="AY137" s="227">
        <f t="shared" si="221"/>
        <v>0</v>
      </c>
      <c r="AZ137" s="227">
        <f t="shared" si="221"/>
        <v>0</v>
      </c>
      <c r="BA137" s="227">
        <f t="shared" si="221"/>
        <v>0</v>
      </c>
      <c r="BB137" s="227">
        <f t="shared" si="221"/>
        <v>0</v>
      </c>
      <c r="BC137" s="227">
        <f t="shared" si="221"/>
        <v>0</v>
      </c>
      <c r="BD137" s="227">
        <f t="shared" si="221"/>
        <v>0</v>
      </c>
      <c r="BE137" s="227">
        <f t="shared" si="221"/>
        <v>0</v>
      </c>
      <c r="BF137" s="227">
        <f t="shared" si="221"/>
        <v>0</v>
      </c>
      <c r="BG137" s="227">
        <f t="shared" si="221"/>
        <v>0</v>
      </c>
      <c r="BH137" s="227">
        <f t="shared" si="221"/>
        <v>0</v>
      </c>
      <c r="BI137" s="227">
        <f t="shared" si="221"/>
        <v>0</v>
      </c>
      <c r="BJ137" s="227">
        <f t="shared" si="221"/>
        <v>0</v>
      </c>
      <c r="BK137" s="227">
        <f t="shared" si="221"/>
        <v>0</v>
      </c>
      <c r="BL137" s="227">
        <f t="shared" si="221"/>
        <v>0</v>
      </c>
      <c r="BM137" s="227">
        <f t="shared" si="221"/>
        <v>0</v>
      </c>
      <c r="BN137" s="227">
        <f t="shared" si="221"/>
        <v>0</v>
      </c>
      <c r="BO137" s="227">
        <f t="shared" si="221"/>
        <v>0</v>
      </c>
      <c r="BP137" s="227">
        <f t="shared" si="221"/>
        <v>0</v>
      </c>
      <c r="BQ137" s="227">
        <f t="shared" ref="BQ137:EB137" si="222">BQ135+BQ136</f>
        <v>0</v>
      </c>
      <c r="BR137" s="227">
        <f t="shared" si="222"/>
        <v>0</v>
      </c>
      <c r="BS137" s="227">
        <f t="shared" si="222"/>
        <v>0</v>
      </c>
      <c r="BT137" s="227">
        <f t="shared" si="222"/>
        <v>0</v>
      </c>
      <c r="BU137" s="227">
        <f t="shared" si="222"/>
        <v>0</v>
      </c>
      <c r="BV137" s="227">
        <f t="shared" si="222"/>
        <v>0</v>
      </c>
      <c r="BW137" s="227">
        <f t="shared" si="222"/>
        <v>0</v>
      </c>
      <c r="BX137" s="227">
        <f t="shared" si="222"/>
        <v>0</v>
      </c>
      <c r="BY137" s="227">
        <f t="shared" si="222"/>
        <v>0</v>
      </c>
      <c r="BZ137" s="227">
        <f t="shared" si="222"/>
        <v>0</v>
      </c>
      <c r="CA137" s="227">
        <f t="shared" si="222"/>
        <v>0</v>
      </c>
      <c r="CB137" s="227">
        <f t="shared" si="222"/>
        <v>0</v>
      </c>
      <c r="CC137" s="227">
        <f t="shared" si="222"/>
        <v>0</v>
      </c>
      <c r="CD137" s="227">
        <f t="shared" si="222"/>
        <v>0</v>
      </c>
      <c r="CE137" s="227">
        <f t="shared" si="222"/>
        <v>0</v>
      </c>
      <c r="CF137" s="227">
        <f t="shared" si="222"/>
        <v>0</v>
      </c>
      <c r="CG137" s="227">
        <f t="shared" si="222"/>
        <v>0</v>
      </c>
      <c r="CH137" s="227">
        <f t="shared" si="222"/>
        <v>0</v>
      </c>
      <c r="CI137" s="227">
        <f t="shared" si="222"/>
        <v>0</v>
      </c>
      <c r="CJ137" s="227">
        <f t="shared" si="222"/>
        <v>0</v>
      </c>
      <c r="CK137" s="227">
        <f t="shared" si="222"/>
        <v>0</v>
      </c>
      <c r="CL137" s="227">
        <f t="shared" si="222"/>
        <v>0</v>
      </c>
      <c r="CM137" s="227">
        <f t="shared" si="222"/>
        <v>0</v>
      </c>
      <c r="CN137" s="227">
        <f t="shared" si="222"/>
        <v>0</v>
      </c>
      <c r="CO137" s="227">
        <f t="shared" si="222"/>
        <v>0</v>
      </c>
      <c r="CP137" s="227">
        <f t="shared" si="222"/>
        <v>0</v>
      </c>
      <c r="CQ137" s="227">
        <f t="shared" si="222"/>
        <v>0</v>
      </c>
      <c r="CR137" s="227">
        <f t="shared" si="222"/>
        <v>0</v>
      </c>
      <c r="CS137" s="227">
        <f t="shared" si="222"/>
        <v>0</v>
      </c>
      <c r="CT137" s="227">
        <f t="shared" si="222"/>
        <v>0</v>
      </c>
      <c r="CU137" s="227">
        <f t="shared" si="222"/>
        <v>0</v>
      </c>
      <c r="CV137" s="227">
        <f t="shared" si="222"/>
        <v>0</v>
      </c>
      <c r="CW137" s="227">
        <f t="shared" si="222"/>
        <v>0</v>
      </c>
      <c r="CX137" s="227">
        <f t="shared" si="222"/>
        <v>0</v>
      </c>
      <c r="CY137" s="227">
        <f t="shared" si="222"/>
        <v>0</v>
      </c>
      <c r="CZ137" s="227">
        <f t="shared" si="222"/>
        <v>0</v>
      </c>
      <c r="DA137" s="227">
        <f t="shared" si="222"/>
        <v>0</v>
      </c>
      <c r="DB137" s="227">
        <f t="shared" si="222"/>
        <v>0</v>
      </c>
      <c r="DC137" s="227">
        <f t="shared" si="222"/>
        <v>0</v>
      </c>
      <c r="DD137" s="227">
        <f t="shared" si="222"/>
        <v>0</v>
      </c>
      <c r="DE137" s="227">
        <f t="shared" si="222"/>
        <v>0</v>
      </c>
      <c r="DF137" s="227">
        <f t="shared" si="222"/>
        <v>0</v>
      </c>
      <c r="DG137" s="227">
        <f t="shared" si="222"/>
        <v>0</v>
      </c>
      <c r="DH137" s="227">
        <f t="shared" si="222"/>
        <v>0</v>
      </c>
      <c r="DI137" s="227">
        <f t="shared" si="222"/>
        <v>0</v>
      </c>
      <c r="DJ137" s="227">
        <f t="shared" si="222"/>
        <v>0</v>
      </c>
      <c r="DK137" s="227">
        <f t="shared" si="222"/>
        <v>0</v>
      </c>
      <c r="DL137" s="227">
        <f t="shared" si="222"/>
        <v>0</v>
      </c>
      <c r="DM137" s="227">
        <f t="shared" si="222"/>
        <v>0</v>
      </c>
      <c r="DN137" s="227">
        <f t="shared" si="222"/>
        <v>0</v>
      </c>
      <c r="DO137" s="227">
        <f t="shared" si="222"/>
        <v>0</v>
      </c>
      <c r="DP137" s="227">
        <f t="shared" si="222"/>
        <v>0</v>
      </c>
      <c r="DQ137" s="227">
        <f t="shared" si="222"/>
        <v>0</v>
      </c>
      <c r="DR137" s="227">
        <f t="shared" si="222"/>
        <v>0</v>
      </c>
      <c r="DS137" s="227">
        <f t="shared" si="222"/>
        <v>0</v>
      </c>
      <c r="DT137" s="227">
        <f t="shared" si="222"/>
        <v>0</v>
      </c>
      <c r="DU137" s="227">
        <f t="shared" si="222"/>
        <v>0</v>
      </c>
      <c r="DV137" s="227">
        <f t="shared" si="222"/>
        <v>0</v>
      </c>
      <c r="DW137" s="227">
        <f t="shared" si="222"/>
        <v>0</v>
      </c>
      <c r="DX137" s="227">
        <f t="shared" si="222"/>
        <v>0</v>
      </c>
      <c r="DY137" s="227">
        <f t="shared" si="222"/>
        <v>0</v>
      </c>
      <c r="DZ137" s="227">
        <f t="shared" si="222"/>
        <v>0</v>
      </c>
      <c r="EA137" s="227">
        <f t="shared" si="222"/>
        <v>0</v>
      </c>
      <c r="EB137" s="227">
        <f t="shared" si="222"/>
        <v>0</v>
      </c>
      <c r="EC137" s="227">
        <f>EC135+EC136</f>
        <v>0</v>
      </c>
      <c r="ED137" s="227">
        <f>ED135+ED136</f>
        <v>0</v>
      </c>
      <c r="EE137" s="227">
        <f>EE135+EE136</f>
        <v>0</v>
      </c>
      <c r="EF137" s="227">
        <f>EF135+EF136</f>
        <v>0</v>
      </c>
      <c r="EG137" s="227">
        <f>EG135+EG136</f>
        <v>0</v>
      </c>
    </row>
    <row r="138" spans="1:137" x14ac:dyDescent="0.3">
      <c r="A138" s="241" t="str">
        <f>'General Inputs'!$J$29&amp;" Contribution"</f>
        <v>LP Contribution</v>
      </c>
      <c r="B138" s="241"/>
      <c r="C138" s="241"/>
      <c r="D138" s="687"/>
      <c r="E138" s="299">
        <f t="shared" ref="E138:AJ138" si="223">IF(E$5=MonthRefi,-MIN(E137*ContrEquity,E52),0)</f>
        <v>0</v>
      </c>
      <c r="F138" s="299">
        <f t="shared" si="223"/>
        <v>0</v>
      </c>
      <c r="G138" s="299">
        <f t="shared" si="223"/>
        <v>0</v>
      </c>
      <c r="H138" s="299">
        <f t="shared" si="223"/>
        <v>0</v>
      </c>
      <c r="I138" s="299">
        <f t="shared" si="223"/>
        <v>0</v>
      </c>
      <c r="J138" s="299">
        <f t="shared" si="223"/>
        <v>0</v>
      </c>
      <c r="K138" s="299">
        <f t="shared" si="223"/>
        <v>0</v>
      </c>
      <c r="L138" s="299">
        <f t="shared" si="223"/>
        <v>0</v>
      </c>
      <c r="M138" s="299">
        <f t="shared" si="223"/>
        <v>0</v>
      </c>
      <c r="N138" s="299">
        <f t="shared" si="223"/>
        <v>0</v>
      </c>
      <c r="O138" s="299">
        <f t="shared" si="223"/>
        <v>0</v>
      </c>
      <c r="P138" s="299">
        <f t="shared" si="223"/>
        <v>0</v>
      </c>
      <c r="Q138" s="299">
        <f t="shared" si="223"/>
        <v>0</v>
      </c>
      <c r="R138" s="299">
        <f t="shared" si="223"/>
        <v>0</v>
      </c>
      <c r="S138" s="299">
        <f t="shared" si="223"/>
        <v>0</v>
      </c>
      <c r="T138" s="299">
        <f t="shared" si="223"/>
        <v>0</v>
      </c>
      <c r="U138" s="299">
        <f t="shared" si="223"/>
        <v>0</v>
      </c>
      <c r="V138" s="299">
        <f t="shared" si="223"/>
        <v>0</v>
      </c>
      <c r="W138" s="299">
        <f t="shared" si="223"/>
        <v>0</v>
      </c>
      <c r="X138" s="299">
        <f t="shared" si="223"/>
        <v>0</v>
      </c>
      <c r="Y138" s="299">
        <f t="shared" si="223"/>
        <v>0</v>
      </c>
      <c r="Z138" s="299">
        <f t="shared" si="223"/>
        <v>0</v>
      </c>
      <c r="AA138" s="299">
        <f t="shared" si="223"/>
        <v>0</v>
      </c>
      <c r="AB138" s="299">
        <f t="shared" si="223"/>
        <v>0</v>
      </c>
      <c r="AC138" s="299">
        <f t="shared" si="223"/>
        <v>0</v>
      </c>
      <c r="AD138" s="299">
        <f t="shared" si="223"/>
        <v>0</v>
      </c>
      <c r="AE138" s="299">
        <f t="shared" si="223"/>
        <v>0</v>
      </c>
      <c r="AF138" s="299">
        <f t="shared" si="223"/>
        <v>0</v>
      </c>
      <c r="AG138" s="299">
        <f t="shared" si="223"/>
        <v>0</v>
      </c>
      <c r="AH138" s="299">
        <f t="shared" ca="1" si="223"/>
        <v>0</v>
      </c>
      <c r="AI138" s="299">
        <f t="shared" si="223"/>
        <v>0</v>
      </c>
      <c r="AJ138" s="299">
        <f t="shared" si="223"/>
        <v>0</v>
      </c>
      <c r="AK138" s="299">
        <f t="shared" ref="AK138:BP138" si="224">IF(AK$5=MonthRefi,-MIN(AK137*ContrEquity,AK52),0)</f>
        <v>0</v>
      </c>
      <c r="AL138" s="299">
        <f t="shared" si="224"/>
        <v>0</v>
      </c>
      <c r="AM138" s="299">
        <f t="shared" si="224"/>
        <v>0</v>
      </c>
      <c r="AN138" s="299">
        <f t="shared" si="224"/>
        <v>0</v>
      </c>
      <c r="AO138" s="299">
        <f t="shared" si="224"/>
        <v>0</v>
      </c>
      <c r="AP138" s="299">
        <f t="shared" si="224"/>
        <v>0</v>
      </c>
      <c r="AQ138" s="299">
        <f t="shared" si="224"/>
        <v>0</v>
      </c>
      <c r="AR138" s="299">
        <f t="shared" si="224"/>
        <v>0</v>
      </c>
      <c r="AS138" s="299">
        <f t="shared" si="224"/>
        <v>0</v>
      </c>
      <c r="AT138" s="299">
        <f t="shared" si="224"/>
        <v>0</v>
      </c>
      <c r="AU138" s="299">
        <f t="shared" si="224"/>
        <v>0</v>
      </c>
      <c r="AV138" s="299">
        <f t="shared" si="224"/>
        <v>0</v>
      </c>
      <c r="AW138" s="299">
        <f t="shared" si="224"/>
        <v>0</v>
      </c>
      <c r="AX138" s="299">
        <f t="shared" si="224"/>
        <v>0</v>
      </c>
      <c r="AY138" s="299">
        <f t="shared" si="224"/>
        <v>0</v>
      </c>
      <c r="AZ138" s="299">
        <f t="shared" si="224"/>
        <v>0</v>
      </c>
      <c r="BA138" s="299">
        <f t="shared" si="224"/>
        <v>0</v>
      </c>
      <c r="BB138" s="299">
        <f t="shared" si="224"/>
        <v>0</v>
      </c>
      <c r="BC138" s="299">
        <f t="shared" si="224"/>
        <v>0</v>
      </c>
      <c r="BD138" s="299">
        <f t="shared" si="224"/>
        <v>0</v>
      </c>
      <c r="BE138" s="299">
        <f t="shared" si="224"/>
        <v>0</v>
      </c>
      <c r="BF138" s="299">
        <f t="shared" si="224"/>
        <v>0</v>
      </c>
      <c r="BG138" s="299">
        <f t="shared" si="224"/>
        <v>0</v>
      </c>
      <c r="BH138" s="299">
        <f t="shared" si="224"/>
        <v>0</v>
      </c>
      <c r="BI138" s="299">
        <f t="shared" si="224"/>
        <v>0</v>
      </c>
      <c r="BJ138" s="299">
        <f t="shared" si="224"/>
        <v>0</v>
      </c>
      <c r="BK138" s="299">
        <f t="shared" si="224"/>
        <v>0</v>
      </c>
      <c r="BL138" s="299">
        <f t="shared" si="224"/>
        <v>0</v>
      </c>
      <c r="BM138" s="299">
        <f t="shared" si="224"/>
        <v>0</v>
      </c>
      <c r="BN138" s="299">
        <f t="shared" si="224"/>
        <v>0</v>
      </c>
      <c r="BO138" s="299">
        <f t="shared" si="224"/>
        <v>0</v>
      </c>
      <c r="BP138" s="299">
        <f t="shared" si="224"/>
        <v>0</v>
      </c>
      <c r="BQ138" s="299">
        <f t="shared" ref="BQ138:CV138" si="225">IF(BQ$5=MonthRefi,-MIN(BQ137*ContrEquity,BQ52),0)</f>
        <v>0</v>
      </c>
      <c r="BR138" s="299">
        <f t="shared" si="225"/>
        <v>0</v>
      </c>
      <c r="BS138" s="299">
        <f t="shared" si="225"/>
        <v>0</v>
      </c>
      <c r="BT138" s="299">
        <f t="shared" si="225"/>
        <v>0</v>
      </c>
      <c r="BU138" s="299">
        <f t="shared" si="225"/>
        <v>0</v>
      </c>
      <c r="BV138" s="299">
        <f t="shared" si="225"/>
        <v>0</v>
      </c>
      <c r="BW138" s="299">
        <f t="shared" si="225"/>
        <v>0</v>
      </c>
      <c r="BX138" s="299">
        <f t="shared" si="225"/>
        <v>0</v>
      </c>
      <c r="BY138" s="299">
        <f t="shared" si="225"/>
        <v>0</v>
      </c>
      <c r="BZ138" s="299">
        <f t="shared" si="225"/>
        <v>0</v>
      </c>
      <c r="CA138" s="299">
        <f t="shared" si="225"/>
        <v>0</v>
      </c>
      <c r="CB138" s="299">
        <f t="shared" si="225"/>
        <v>0</v>
      </c>
      <c r="CC138" s="299">
        <f t="shared" si="225"/>
        <v>0</v>
      </c>
      <c r="CD138" s="299">
        <f t="shared" si="225"/>
        <v>0</v>
      </c>
      <c r="CE138" s="299">
        <f t="shared" si="225"/>
        <v>0</v>
      </c>
      <c r="CF138" s="299">
        <f t="shared" si="225"/>
        <v>0</v>
      </c>
      <c r="CG138" s="299">
        <f t="shared" si="225"/>
        <v>0</v>
      </c>
      <c r="CH138" s="299">
        <f t="shared" si="225"/>
        <v>0</v>
      </c>
      <c r="CI138" s="299">
        <f t="shared" si="225"/>
        <v>0</v>
      </c>
      <c r="CJ138" s="299">
        <f t="shared" si="225"/>
        <v>0</v>
      </c>
      <c r="CK138" s="299">
        <f t="shared" si="225"/>
        <v>0</v>
      </c>
      <c r="CL138" s="299">
        <f t="shared" si="225"/>
        <v>0</v>
      </c>
      <c r="CM138" s="299">
        <f t="shared" si="225"/>
        <v>0</v>
      </c>
      <c r="CN138" s="299">
        <f t="shared" si="225"/>
        <v>0</v>
      </c>
      <c r="CO138" s="299">
        <f t="shared" si="225"/>
        <v>0</v>
      </c>
      <c r="CP138" s="299">
        <f t="shared" si="225"/>
        <v>0</v>
      </c>
      <c r="CQ138" s="299">
        <f t="shared" si="225"/>
        <v>0</v>
      </c>
      <c r="CR138" s="299">
        <f t="shared" si="225"/>
        <v>0</v>
      </c>
      <c r="CS138" s="299">
        <f t="shared" si="225"/>
        <v>0</v>
      </c>
      <c r="CT138" s="299">
        <f t="shared" si="225"/>
        <v>0</v>
      </c>
      <c r="CU138" s="299">
        <f t="shared" si="225"/>
        <v>0</v>
      </c>
      <c r="CV138" s="299">
        <f t="shared" si="225"/>
        <v>0</v>
      </c>
      <c r="CW138" s="299">
        <f t="shared" ref="CW138:EB138" si="226">IF(CW$5=MonthRefi,-MIN(CW137*ContrEquity,CW52),0)</f>
        <v>0</v>
      </c>
      <c r="CX138" s="299">
        <f t="shared" si="226"/>
        <v>0</v>
      </c>
      <c r="CY138" s="299">
        <f t="shared" si="226"/>
        <v>0</v>
      </c>
      <c r="CZ138" s="299">
        <f t="shared" si="226"/>
        <v>0</v>
      </c>
      <c r="DA138" s="299">
        <f t="shared" si="226"/>
        <v>0</v>
      </c>
      <c r="DB138" s="299">
        <f t="shared" si="226"/>
        <v>0</v>
      </c>
      <c r="DC138" s="299">
        <f t="shared" si="226"/>
        <v>0</v>
      </c>
      <c r="DD138" s="299">
        <f t="shared" si="226"/>
        <v>0</v>
      </c>
      <c r="DE138" s="299">
        <f t="shared" si="226"/>
        <v>0</v>
      </c>
      <c r="DF138" s="299">
        <f t="shared" si="226"/>
        <v>0</v>
      </c>
      <c r="DG138" s="299">
        <f t="shared" si="226"/>
        <v>0</v>
      </c>
      <c r="DH138" s="299">
        <f t="shared" si="226"/>
        <v>0</v>
      </c>
      <c r="DI138" s="299">
        <f t="shared" si="226"/>
        <v>0</v>
      </c>
      <c r="DJ138" s="299">
        <f t="shared" si="226"/>
        <v>0</v>
      </c>
      <c r="DK138" s="299">
        <f t="shared" si="226"/>
        <v>0</v>
      </c>
      <c r="DL138" s="299">
        <f t="shared" si="226"/>
        <v>0</v>
      </c>
      <c r="DM138" s="299">
        <f t="shared" si="226"/>
        <v>0</v>
      </c>
      <c r="DN138" s="299">
        <f t="shared" si="226"/>
        <v>0</v>
      </c>
      <c r="DO138" s="299">
        <f t="shared" si="226"/>
        <v>0</v>
      </c>
      <c r="DP138" s="299">
        <f t="shared" si="226"/>
        <v>0</v>
      </c>
      <c r="DQ138" s="299">
        <f t="shared" si="226"/>
        <v>0</v>
      </c>
      <c r="DR138" s="299">
        <f t="shared" si="226"/>
        <v>0</v>
      </c>
      <c r="DS138" s="299">
        <f t="shared" si="226"/>
        <v>0</v>
      </c>
      <c r="DT138" s="299">
        <f t="shared" si="226"/>
        <v>0</v>
      </c>
      <c r="DU138" s="299">
        <f t="shared" si="226"/>
        <v>0</v>
      </c>
      <c r="DV138" s="299">
        <f t="shared" si="226"/>
        <v>0</v>
      </c>
      <c r="DW138" s="299">
        <f t="shared" si="226"/>
        <v>0</v>
      </c>
      <c r="DX138" s="299">
        <f t="shared" si="226"/>
        <v>0</v>
      </c>
      <c r="DY138" s="299">
        <f t="shared" si="226"/>
        <v>0</v>
      </c>
      <c r="DZ138" s="299">
        <f t="shared" si="226"/>
        <v>0</v>
      </c>
      <c r="EA138" s="299">
        <f t="shared" si="226"/>
        <v>0</v>
      </c>
      <c r="EB138" s="299">
        <f t="shared" si="226"/>
        <v>0</v>
      </c>
      <c r="EC138" s="299">
        <f>IF(EC$5=MonthRefi,-MIN(EC137*ContrEquity,EC52),0)</f>
        <v>0</v>
      </c>
      <c r="ED138" s="299">
        <f>IF(ED$5=MonthRefi,-MIN(ED137*ContrEquity,ED52),0)</f>
        <v>0</v>
      </c>
      <c r="EE138" s="299">
        <f>IF(EE$5=MonthRefi,-MIN(EE137*ContrEquity,EE52),0)</f>
        <v>0</v>
      </c>
      <c r="EF138" s="299">
        <f>IF(EF$5=MonthRefi,-MIN(EF137*ContrEquity,EF52),0)</f>
        <v>0</v>
      </c>
      <c r="EG138" s="299">
        <f>IF(EG$5=MonthRefi,-MIN(EG137*ContrEquity,EG52),0)</f>
        <v>0</v>
      </c>
    </row>
    <row r="139" spans="1:137" x14ac:dyDescent="0.3">
      <c r="A139" s="245" t="s">
        <v>843</v>
      </c>
      <c r="E139" s="227">
        <f t="shared" ref="E139:BP139" si="227">E137+E138</f>
        <v>0</v>
      </c>
      <c r="F139" s="227">
        <f t="shared" si="227"/>
        <v>0</v>
      </c>
      <c r="G139" s="227">
        <f t="shared" si="227"/>
        <v>0</v>
      </c>
      <c r="H139" s="227">
        <f t="shared" si="227"/>
        <v>0</v>
      </c>
      <c r="I139" s="227">
        <f t="shared" si="227"/>
        <v>0</v>
      </c>
      <c r="J139" s="227">
        <f t="shared" si="227"/>
        <v>0</v>
      </c>
      <c r="K139" s="227">
        <f t="shared" si="227"/>
        <v>0</v>
      </c>
      <c r="L139" s="227">
        <f t="shared" si="227"/>
        <v>0</v>
      </c>
      <c r="M139" s="227">
        <f t="shared" si="227"/>
        <v>0</v>
      </c>
      <c r="N139" s="227">
        <f t="shared" si="227"/>
        <v>0</v>
      </c>
      <c r="O139" s="227">
        <f t="shared" si="227"/>
        <v>0</v>
      </c>
      <c r="P139" s="227">
        <f t="shared" si="227"/>
        <v>0</v>
      </c>
      <c r="Q139" s="227">
        <f t="shared" si="227"/>
        <v>0</v>
      </c>
      <c r="R139" s="227">
        <f t="shared" si="227"/>
        <v>0</v>
      </c>
      <c r="S139" s="227">
        <f t="shared" si="227"/>
        <v>0</v>
      </c>
      <c r="T139" s="227">
        <f t="shared" si="227"/>
        <v>0</v>
      </c>
      <c r="U139" s="227">
        <f t="shared" si="227"/>
        <v>0</v>
      </c>
      <c r="V139" s="227">
        <f t="shared" si="227"/>
        <v>0</v>
      </c>
      <c r="W139" s="227">
        <f t="shared" si="227"/>
        <v>0</v>
      </c>
      <c r="X139" s="227">
        <f t="shared" si="227"/>
        <v>0</v>
      </c>
      <c r="Y139" s="227">
        <f t="shared" si="227"/>
        <v>0</v>
      </c>
      <c r="Z139" s="227">
        <f t="shared" si="227"/>
        <v>0</v>
      </c>
      <c r="AA139" s="227">
        <f t="shared" si="227"/>
        <v>0</v>
      </c>
      <c r="AB139" s="227">
        <f t="shared" si="227"/>
        <v>0</v>
      </c>
      <c r="AC139" s="227">
        <f t="shared" si="227"/>
        <v>0</v>
      </c>
      <c r="AD139" s="227">
        <f t="shared" si="227"/>
        <v>0</v>
      </c>
      <c r="AE139" s="227">
        <f t="shared" si="227"/>
        <v>0</v>
      </c>
      <c r="AF139" s="227">
        <f t="shared" si="227"/>
        <v>0</v>
      </c>
      <c r="AG139" s="227">
        <f t="shared" si="227"/>
        <v>0</v>
      </c>
      <c r="AH139" s="227">
        <f t="shared" ca="1" si="227"/>
        <v>0</v>
      </c>
      <c r="AI139" s="227">
        <f t="shared" si="227"/>
        <v>0</v>
      </c>
      <c r="AJ139" s="227">
        <f t="shared" si="227"/>
        <v>0</v>
      </c>
      <c r="AK139" s="227">
        <f t="shared" si="227"/>
        <v>0</v>
      </c>
      <c r="AL139" s="227">
        <f t="shared" si="227"/>
        <v>0</v>
      </c>
      <c r="AM139" s="227">
        <f t="shared" si="227"/>
        <v>0</v>
      </c>
      <c r="AN139" s="227">
        <f t="shared" si="227"/>
        <v>0</v>
      </c>
      <c r="AO139" s="227">
        <f t="shared" si="227"/>
        <v>0</v>
      </c>
      <c r="AP139" s="227">
        <f t="shared" si="227"/>
        <v>0</v>
      </c>
      <c r="AQ139" s="227">
        <f t="shared" si="227"/>
        <v>0</v>
      </c>
      <c r="AR139" s="227">
        <f t="shared" si="227"/>
        <v>0</v>
      </c>
      <c r="AS139" s="227">
        <f t="shared" si="227"/>
        <v>0</v>
      </c>
      <c r="AT139" s="227">
        <f t="shared" si="227"/>
        <v>0</v>
      </c>
      <c r="AU139" s="227">
        <f t="shared" si="227"/>
        <v>0</v>
      </c>
      <c r="AV139" s="227">
        <f t="shared" si="227"/>
        <v>0</v>
      </c>
      <c r="AW139" s="227">
        <f t="shared" si="227"/>
        <v>0</v>
      </c>
      <c r="AX139" s="227">
        <f t="shared" si="227"/>
        <v>0</v>
      </c>
      <c r="AY139" s="227">
        <f t="shared" si="227"/>
        <v>0</v>
      </c>
      <c r="AZ139" s="227">
        <f t="shared" si="227"/>
        <v>0</v>
      </c>
      <c r="BA139" s="227">
        <f t="shared" si="227"/>
        <v>0</v>
      </c>
      <c r="BB139" s="227">
        <f t="shared" si="227"/>
        <v>0</v>
      </c>
      <c r="BC139" s="227">
        <f t="shared" si="227"/>
        <v>0</v>
      </c>
      <c r="BD139" s="227">
        <f t="shared" si="227"/>
        <v>0</v>
      </c>
      <c r="BE139" s="227">
        <f t="shared" si="227"/>
        <v>0</v>
      </c>
      <c r="BF139" s="227">
        <f t="shared" si="227"/>
        <v>0</v>
      </c>
      <c r="BG139" s="227">
        <f t="shared" si="227"/>
        <v>0</v>
      </c>
      <c r="BH139" s="227">
        <f t="shared" si="227"/>
        <v>0</v>
      </c>
      <c r="BI139" s="227">
        <f t="shared" si="227"/>
        <v>0</v>
      </c>
      <c r="BJ139" s="227">
        <f t="shared" si="227"/>
        <v>0</v>
      </c>
      <c r="BK139" s="227">
        <f t="shared" si="227"/>
        <v>0</v>
      </c>
      <c r="BL139" s="227">
        <f t="shared" si="227"/>
        <v>0</v>
      </c>
      <c r="BM139" s="227">
        <f t="shared" si="227"/>
        <v>0</v>
      </c>
      <c r="BN139" s="227">
        <f t="shared" si="227"/>
        <v>0</v>
      </c>
      <c r="BO139" s="227">
        <f t="shared" si="227"/>
        <v>0</v>
      </c>
      <c r="BP139" s="227">
        <f t="shared" si="227"/>
        <v>0</v>
      </c>
      <c r="BQ139" s="227">
        <f t="shared" ref="BQ139:EB139" si="228">BQ137+BQ138</f>
        <v>0</v>
      </c>
      <c r="BR139" s="227">
        <f t="shared" si="228"/>
        <v>0</v>
      </c>
      <c r="BS139" s="227">
        <f t="shared" si="228"/>
        <v>0</v>
      </c>
      <c r="BT139" s="227">
        <f t="shared" si="228"/>
        <v>0</v>
      </c>
      <c r="BU139" s="227">
        <f t="shared" si="228"/>
        <v>0</v>
      </c>
      <c r="BV139" s="227">
        <f t="shared" si="228"/>
        <v>0</v>
      </c>
      <c r="BW139" s="227">
        <f t="shared" si="228"/>
        <v>0</v>
      </c>
      <c r="BX139" s="227">
        <f t="shared" si="228"/>
        <v>0</v>
      </c>
      <c r="BY139" s="227">
        <f t="shared" si="228"/>
        <v>0</v>
      </c>
      <c r="BZ139" s="227">
        <f t="shared" si="228"/>
        <v>0</v>
      </c>
      <c r="CA139" s="227">
        <f t="shared" si="228"/>
        <v>0</v>
      </c>
      <c r="CB139" s="227">
        <f t="shared" si="228"/>
        <v>0</v>
      </c>
      <c r="CC139" s="227">
        <f t="shared" si="228"/>
        <v>0</v>
      </c>
      <c r="CD139" s="227">
        <f t="shared" si="228"/>
        <v>0</v>
      </c>
      <c r="CE139" s="227">
        <f t="shared" si="228"/>
        <v>0</v>
      </c>
      <c r="CF139" s="227">
        <f t="shared" si="228"/>
        <v>0</v>
      </c>
      <c r="CG139" s="227">
        <f t="shared" si="228"/>
        <v>0</v>
      </c>
      <c r="CH139" s="227">
        <f t="shared" si="228"/>
        <v>0</v>
      </c>
      <c r="CI139" s="227">
        <f t="shared" si="228"/>
        <v>0</v>
      </c>
      <c r="CJ139" s="227">
        <f t="shared" si="228"/>
        <v>0</v>
      </c>
      <c r="CK139" s="227">
        <f t="shared" si="228"/>
        <v>0</v>
      </c>
      <c r="CL139" s="227">
        <f t="shared" si="228"/>
        <v>0</v>
      </c>
      <c r="CM139" s="227">
        <f t="shared" si="228"/>
        <v>0</v>
      </c>
      <c r="CN139" s="227">
        <f t="shared" si="228"/>
        <v>0</v>
      </c>
      <c r="CO139" s="227">
        <f t="shared" si="228"/>
        <v>0</v>
      </c>
      <c r="CP139" s="227">
        <f t="shared" si="228"/>
        <v>0</v>
      </c>
      <c r="CQ139" s="227">
        <f t="shared" si="228"/>
        <v>0</v>
      </c>
      <c r="CR139" s="227">
        <f t="shared" si="228"/>
        <v>0</v>
      </c>
      <c r="CS139" s="227">
        <f t="shared" si="228"/>
        <v>0</v>
      </c>
      <c r="CT139" s="227">
        <f t="shared" si="228"/>
        <v>0</v>
      </c>
      <c r="CU139" s="227">
        <f t="shared" si="228"/>
        <v>0</v>
      </c>
      <c r="CV139" s="227">
        <f t="shared" si="228"/>
        <v>0</v>
      </c>
      <c r="CW139" s="227">
        <f t="shared" si="228"/>
        <v>0</v>
      </c>
      <c r="CX139" s="227">
        <f t="shared" si="228"/>
        <v>0</v>
      </c>
      <c r="CY139" s="227">
        <f t="shared" si="228"/>
        <v>0</v>
      </c>
      <c r="CZ139" s="227">
        <f t="shared" si="228"/>
        <v>0</v>
      </c>
      <c r="DA139" s="227">
        <f t="shared" si="228"/>
        <v>0</v>
      </c>
      <c r="DB139" s="227">
        <f t="shared" si="228"/>
        <v>0</v>
      </c>
      <c r="DC139" s="227">
        <f t="shared" si="228"/>
        <v>0</v>
      </c>
      <c r="DD139" s="227">
        <f t="shared" si="228"/>
        <v>0</v>
      </c>
      <c r="DE139" s="227">
        <f t="shared" si="228"/>
        <v>0</v>
      </c>
      <c r="DF139" s="227">
        <f t="shared" si="228"/>
        <v>0</v>
      </c>
      <c r="DG139" s="227">
        <f t="shared" si="228"/>
        <v>0</v>
      </c>
      <c r="DH139" s="227">
        <f t="shared" si="228"/>
        <v>0</v>
      </c>
      <c r="DI139" s="227">
        <f t="shared" si="228"/>
        <v>0</v>
      </c>
      <c r="DJ139" s="227">
        <f t="shared" si="228"/>
        <v>0</v>
      </c>
      <c r="DK139" s="227">
        <f t="shared" si="228"/>
        <v>0</v>
      </c>
      <c r="DL139" s="227">
        <f t="shared" si="228"/>
        <v>0</v>
      </c>
      <c r="DM139" s="227">
        <f t="shared" si="228"/>
        <v>0</v>
      </c>
      <c r="DN139" s="227">
        <f t="shared" si="228"/>
        <v>0</v>
      </c>
      <c r="DO139" s="227">
        <f t="shared" si="228"/>
        <v>0</v>
      </c>
      <c r="DP139" s="227">
        <f t="shared" si="228"/>
        <v>0</v>
      </c>
      <c r="DQ139" s="227">
        <f t="shared" si="228"/>
        <v>0</v>
      </c>
      <c r="DR139" s="227">
        <f t="shared" si="228"/>
        <v>0</v>
      </c>
      <c r="DS139" s="227">
        <f t="shared" si="228"/>
        <v>0</v>
      </c>
      <c r="DT139" s="227">
        <f t="shared" si="228"/>
        <v>0</v>
      </c>
      <c r="DU139" s="227">
        <f t="shared" si="228"/>
        <v>0</v>
      </c>
      <c r="DV139" s="227">
        <f t="shared" si="228"/>
        <v>0</v>
      </c>
      <c r="DW139" s="227">
        <f t="shared" si="228"/>
        <v>0</v>
      </c>
      <c r="DX139" s="227">
        <f t="shared" si="228"/>
        <v>0</v>
      </c>
      <c r="DY139" s="227">
        <f t="shared" si="228"/>
        <v>0</v>
      </c>
      <c r="DZ139" s="227">
        <f t="shared" si="228"/>
        <v>0</v>
      </c>
      <c r="EA139" s="227">
        <f t="shared" si="228"/>
        <v>0</v>
      </c>
      <c r="EB139" s="227">
        <f t="shared" si="228"/>
        <v>0</v>
      </c>
      <c r="EC139" s="227">
        <f>EC137+EC138</f>
        <v>0</v>
      </c>
      <c r="ED139" s="227">
        <f>ED137+ED138</f>
        <v>0</v>
      </c>
      <c r="EE139" s="227">
        <f>EE137+EE138</f>
        <v>0</v>
      </c>
      <c r="EF139" s="227">
        <f>EF137+EF138</f>
        <v>0</v>
      </c>
      <c r="EG139" s="227">
        <f>EG137+EG138</f>
        <v>0</v>
      </c>
    </row>
    <row r="140" spans="1:137" x14ac:dyDescent="0.3">
      <c r="A140" s="241" t="str">
        <f>'General Inputs'!$K$29&amp;" Contribution"</f>
        <v>Quarterra Contribution</v>
      </c>
      <c r="B140" s="241"/>
      <c r="C140" s="241"/>
      <c r="D140" s="687"/>
      <c r="E140" s="299">
        <f t="shared" ref="E140:AJ140" si="229">IF(E$5=MonthRefi,-MIN(E137*ContrLennar,E77),0)</f>
        <v>0</v>
      </c>
      <c r="F140" s="299">
        <f t="shared" si="229"/>
        <v>0</v>
      </c>
      <c r="G140" s="299">
        <f t="shared" si="229"/>
        <v>0</v>
      </c>
      <c r="H140" s="299">
        <f t="shared" si="229"/>
        <v>0</v>
      </c>
      <c r="I140" s="299">
        <f t="shared" si="229"/>
        <v>0</v>
      </c>
      <c r="J140" s="299">
        <f t="shared" si="229"/>
        <v>0</v>
      </c>
      <c r="K140" s="299">
        <f t="shared" si="229"/>
        <v>0</v>
      </c>
      <c r="L140" s="299">
        <f t="shared" si="229"/>
        <v>0</v>
      </c>
      <c r="M140" s="299">
        <f t="shared" si="229"/>
        <v>0</v>
      </c>
      <c r="N140" s="299">
        <f t="shared" si="229"/>
        <v>0</v>
      </c>
      <c r="O140" s="299">
        <f t="shared" si="229"/>
        <v>0</v>
      </c>
      <c r="P140" s="299">
        <f t="shared" si="229"/>
        <v>0</v>
      </c>
      <c r="Q140" s="299">
        <f t="shared" si="229"/>
        <v>0</v>
      </c>
      <c r="R140" s="299">
        <f t="shared" si="229"/>
        <v>0</v>
      </c>
      <c r="S140" s="299">
        <f t="shared" si="229"/>
        <v>0</v>
      </c>
      <c r="T140" s="299">
        <f t="shared" si="229"/>
        <v>0</v>
      </c>
      <c r="U140" s="299">
        <f t="shared" si="229"/>
        <v>0</v>
      </c>
      <c r="V140" s="299">
        <f t="shared" si="229"/>
        <v>0</v>
      </c>
      <c r="W140" s="299">
        <f t="shared" si="229"/>
        <v>0</v>
      </c>
      <c r="X140" s="299">
        <f t="shared" si="229"/>
        <v>0</v>
      </c>
      <c r="Y140" s="299">
        <f t="shared" si="229"/>
        <v>0</v>
      </c>
      <c r="Z140" s="299">
        <f t="shared" si="229"/>
        <v>0</v>
      </c>
      <c r="AA140" s="299">
        <f t="shared" si="229"/>
        <v>0</v>
      </c>
      <c r="AB140" s="299">
        <f t="shared" si="229"/>
        <v>0</v>
      </c>
      <c r="AC140" s="299">
        <f t="shared" si="229"/>
        <v>0</v>
      </c>
      <c r="AD140" s="299">
        <f t="shared" si="229"/>
        <v>0</v>
      </c>
      <c r="AE140" s="299">
        <f t="shared" si="229"/>
        <v>0</v>
      </c>
      <c r="AF140" s="299">
        <f t="shared" si="229"/>
        <v>0</v>
      </c>
      <c r="AG140" s="299">
        <f t="shared" si="229"/>
        <v>0</v>
      </c>
      <c r="AH140" s="299">
        <f t="shared" ca="1" si="229"/>
        <v>0</v>
      </c>
      <c r="AI140" s="299">
        <f t="shared" si="229"/>
        <v>0</v>
      </c>
      <c r="AJ140" s="299">
        <f t="shared" si="229"/>
        <v>0</v>
      </c>
      <c r="AK140" s="299">
        <f t="shared" ref="AK140:BP140" si="230">IF(AK$5=MonthRefi,-MIN(AK137*ContrLennar,AK77),0)</f>
        <v>0</v>
      </c>
      <c r="AL140" s="299">
        <f t="shared" si="230"/>
        <v>0</v>
      </c>
      <c r="AM140" s="299">
        <f t="shared" si="230"/>
        <v>0</v>
      </c>
      <c r="AN140" s="299">
        <f t="shared" si="230"/>
        <v>0</v>
      </c>
      <c r="AO140" s="299">
        <f t="shared" si="230"/>
        <v>0</v>
      </c>
      <c r="AP140" s="299">
        <f t="shared" si="230"/>
        <v>0</v>
      </c>
      <c r="AQ140" s="299">
        <f t="shared" si="230"/>
        <v>0</v>
      </c>
      <c r="AR140" s="299">
        <f t="shared" si="230"/>
        <v>0</v>
      </c>
      <c r="AS140" s="299">
        <f t="shared" si="230"/>
        <v>0</v>
      </c>
      <c r="AT140" s="299">
        <f t="shared" si="230"/>
        <v>0</v>
      </c>
      <c r="AU140" s="299">
        <f t="shared" si="230"/>
        <v>0</v>
      </c>
      <c r="AV140" s="299">
        <f t="shared" si="230"/>
        <v>0</v>
      </c>
      <c r="AW140" s="299">
        <f t="shared" si="230"/>
        <v>0</v>
      </c>
      <c r="AX140" s="299">
        <f t="shared" si="230"/>
        <v>0</v>
      </c>
      <c r="AY140" s="299">
        <f t="shared" si="230"/>
        <v>0</v>
      </c>
      <c r="AZ140" s="299">
        <f t="shared" si="230"/>
        <v>0</v>
      </c>
      <c r="BA140" s="299">
        <f t="shared" si="230"/>
        <v>0</v>
      </c>
      <c r="BB140" s="299">
        <f t="shared" si="230"/>
        <v>0</v>
      </c>
      <c r="BC140" s="299">
        <f t="shared" si="230"/>
        <v>0</v>
      </c>
      <c r="BD140" s="299">
        <f t="shared" si="230"/>
        <v>0</v>
      </c>
      <c r="BE140" s="299">
        <f t="shared" si="230"/>
        <v>0</v>
      </c>
      <c r="BF140" s="299">
        <f t="shared" si="230"/>
        <v>0</v>
      </c>
      <c r="BG140" s="299">
        <f t="shared" si="230"/>
        <v>0</v>
      </c>
      <c r="BH140" s="299">
        <f t="shared" si="230"/>
        <v>0</v>
      </c>
      <c r="BI140" s="299">
        <f t="shared" si="230"/>
        <v>0</v>
      </c>
      <c r="BJ140" s="299">
        <f t="shared" si="230"/>
        <v>0</v>
      </c>
      <c r="BK140" s="299">
        <f t="shared" si="230"/>
        <v>0</v>
      </c>
      <c r="BL140" s="299">
        <f t="shared" si="230"/>
        <v>0</v>
      </c>
      <c r="BM140" s="299">
        <f t="shared" si="230"/>
        <v>0</v>
      </c>
      <c r="BN140" s="299">
        <f t="shared" si="230"/>
        <v>0</v>
      </c>
      <c r="BO140" s="299">
        <f t="shared" si="230"/>
        <v>0</v>
      </c>
      <c r="BP140" s="299">
        <f t="shared" si="230"/>
        <v>0</v>
      </c>
      <c r="BQ140" s="299">
        <f t="shared" ref="BQ140:CV140" si="231">IF(BQ$5=MonthRefi,-MIN(BQ137*ContrLennar,BQ77),0)</f>
        <v>0</v>
      </c>
      <c r="BR140" s="299">
        <f t="shared" si="231"/>
        <v>0</v>
      </c>
      <c r="BS140" s="299">
        <f t="shared" si="231"/>
        <v>0</v>
      </c>
      <c r="BT140" s="299">
        <f t="shared" si="231"/>
        <v>0</v>
      </c>
      <c r="BU140" s="299">
        <f t="shared" si="231"/>
        <v>0</v>
      </c>
      <c r="BV140" s="299">
        <f t="shared" si="231"/>
        <v>0</v>
      </c>
      <c r="BW140" s="299">
        <f t="shared" si="231"/>
        <v>0</v>
      </c>
      <c r="BX140" s="299">
        <f t="shared" si="231"/>
        <v>0</v>
      </c>
      <c r="BY140" s="299">
        <f t="shared" si="231"/>
        <v>0</v>
      </c>
      <c r="BZ140" s="299">
        <f t="shared" si="231"/>
        <v>0</v>
      </c>
      <c r="CA140" s="299">
        <f t="shared" si="231"/>
        <v>0</v>
      </c>
      <c r="CB140" s="299">
        <f t="shared" si="231"/>
        <v>0</v>
      </c>
      <c r="CC140" s="299">
        <f t="shared" si="231"/>
        <v>0</v>
      </c>
      <c r="CD140" s="299">
        <f t="shared" si="231"/>
        <v>0</v>
      </c>
      <c r="CE140" s="299">
        <f t="shared" si="231"/>
        <v>0</v>
      </c>
      <c r="CF140" s="299">
        <f t="shared" si="231"/>
        <v>0</v>
      </c>
      <c r="CG140" s="299">
        <f t="shared" si="231"/>
        <v>0</v>
      </c>
      <c r="CH140" s="299">
        <f t="shared" si="231"/>
        <v>0</v>
      </c>
      <c r="CI140" s="299">
        <f t="shared" si="231"/>
        <v>0</v>
      </c>
      <c r="CJ140" s="299">
        <f t="shared" si="231"/>
        <v>0</v>
      </c>
      <c r="CK140" s="299">
        <f t="shared" si="231"/>
        <v>0</v>
      </c>
      <c r="CL140" s="299">
        <f t="shared" si="231"/>
        <v>0</v>
      </c>
      <c r="CM140" s="299">
        <f t="shared" si="231"/>
        <v>0</v>
      </c>
      <c r="CN140" s="299">
        <f t="shared" si="231"/>
        <v>0</v>
      </c>
      <c r="CO140" s="299">
        <f t="shared" si="231"/>
        <v>0</v>
      </c>
      <c r="CP140" s="299">
        <f t="shared" si="231"/>
        <v>0</v>
      </c>
      <c r="CQ140" s="299">
        <f t="shared" si="231"/>
        <v>0</v>
      </c>
      <c r="CR140" s="299">
        <f t="shared" si="231"/>
        <v>0</v>
      </c>
      <c r="CS140" s="299">
        <f t="shared" si="231"/>
        <v>0</v>
      </c>
      <c r="CT140" s="299">
        <f t="shared" si="231"/>
        <v>0</v>
      </c>
      <c r="CU140" s="299">
        <f t="shared" si="231"/>
        <v>0</v>
      </c>
      <c r="CV140" s="299">
        <f t="shared" si="231"/>
        <v>0</v>
      </c>
      <c r="CW140" s="299">
        <f t="shared" ref="CW140:EG140" si="232">IF(CW$5=MonthRefi,-MIN(CW137*ContrLennar,CW77),0)</f>
        <v>0</v>
      </c>
      <c r="CX140" s="299">
        <f t="shared" si="232"/>
        <v>0</v>
      </c>
      <c r="CY140" s="299">
        <f t="shared" si="232"/>
        <v>0</v>
      </c>
      <c r="CZ140" s="299">
        <f t="shared" si="232"/>
        <v>0</v>
      </c>
      <c r="DA140" s="299">
        <f t="shared" si="232"/>
        <v>0</v>
      </c>
      <c r="DB140" s="299">
        <f t="shared" si="232"/>
        <v>0</v>
      </c>
      <c r="DC140" s="299">
        <f t="shared" si="232"/>
        <v>0</v>
      </c>
      <c r="DD140" s="299">
        <f t="shared" si="232"/>
        <v>0</v>
      </c>
      <c r="DE140" s="299">
        <f t="shared" si="232"/>
        <v>0</v>
      </c>
      <c r="DF140" s="299">
        <f t="shared" si="232"/>
        <v>0</v>
      </c>
      <c r="DG140" s="299">
        <f t="shared" si="232"/>
        <v>0</v>
      </c>
      <c r="DH140" s="299">
        <f t="shared" si="232"/>
        <v>0</v>
      </c>
      <c r="DI140" s="299">
        <f t="shared" si="232"/>
        <v>0</v>
      </c>
      <c r="DJ140" s="299">
        <f t="shared" si="232"/>
        <v>0</v>
      </c>
      <c r="DK140" s="299">
        <f t="shared" si="232"/>
        <v>0</v>
      </c>
      <c r="DL140" s="299">
        <f t="shared" si="232"/>
        <v>0</v>
      </c>
      <c r="DM140" s="299">
        <f t="shared" si="232"/>
        <v>0</v>
      </c>
      <c r="DN140" s="299">
        <f t="shared" si="232"/>
        <v>0</v>
      </c>
      <c r="DO140" s="299">
        <f t="shared" si="232"/>
        <v>0</v>
      </c>
      <c r="DP140" s="299">
        <f t="shared" si="232"/>
        <v>0</v>
      </c>
      <c r="DQ140" s="299">
        <f t="shared" si="232"/>
        <v>0</v>
      </c>
      <c r="DR140" s="299">
        <f t="shared" si="232"/>
        <v>0</v>
      </c>
      <c r="DS140" s="299">
        <f t="shared" si="232"/>
        <v>0</v>
      </c>
      <c r="DT140" s="299">
        <f t="shared" si="232"/>
        <v>0</v>
      </c>
      <c r="DU140" s="299">
        <f t="shared" si="232"/>
        <v>0</v>
      </c>
      <c r="DV140" s="299">
        <f t="shared" si="232"/>
        <v>0</v>
      </c>
      <c r="DW140" s="299">
        <f t="shared" si="232"/>
        <v>0</v>
      </c>
      <c r="DX140" s="299">
        <f t="shared" si="232"/>
        <v>0</v>
      </c>
      <c r="DY140" s="299">
        <f t="shared" si="232"/>
        <v>0</v>
      </c>
      <c r="DZ140" s="299">
        <f t="shared" si="232"/>
        <v>0</v>
      </c>
      <c r="EA140" s="299">
        <f t="shared" si="232"/>
        <v>0</v>
      </c>
      <c r="EB140" s="299">
        <f t="shared" si="232"/>
        <v>0</v>
      </c>
      <c r="EC140" s="299">
        <f t="shared" si="232"/>
        <v>0</v>
      </c>
      <c r="ED140" s="299">
        <f t="shared" si="232"/>
        <v>0</v>
      </c>
      <c r="EE140" s="299">
        <f t="shared" si="232"/>
        <v>0</v>
      </c>
      <c r="EF140" s="299">
        <f t="shared" si="232"/>
        <v>0</v>
      </c>
      <c r="EG140" s="299">
        <f t="shared" si="232"/>
        <v>0</v>
      </c>
    </row>
    <row r="141" spans="1:137" x14ac:dyDescent="0.3">
      <c r="A141" s="245" t="s">
        <v>843</v>
      </c>
      <c r="E141" s="227">
        <f t="shared" ref="E141:BP141" si="233">E139+E140</f>
        <v>0</v>
      </c>
      <c r="F141" s="227">
        <f t="shared" si="233"/>
        <v>0</v>
      </c>
      <c r="G141" s="227">
        <f t="shared" si="233"/>
        <v>0</v>
      </c>
      <c r="H141" s="227">
        <f t="shared" si="233"/>
        <v>0</v>
      </c>
      <c r="I141" s="227">
        <f t="shared" si="233"/>
        <v>0</v>
      </c>
      <c r="J141" s="227">
        <f t="shared" si="233"/>
        <v>0</v>
      </c>
      <c r="K141" s="227">
        <f t="shared" si="233"/>
        <v>0</v>
      </c>
      <c r="L141" s="227">
        <f t="shared" si="233"/>
        <v>0</v>
      </c>
      <c r="M141" s="227">
        <f t="shared" si="233"/>
        <v>0</v>
      </c>
      <c r="N141" s="227">
        <f t="shared" si="233"/>
        <v>0</v>
      </c>
      <c r="O141" s="227">
        <f t="shared" si="233"/>
        <v>0</v>
      </c>
      <c r="P141" s="227">
        <f t="shared" si="233"/>
        <v>0</v>
      </c>
      <c r="Q141" s="227">
        <f t="shared" si="233"/>
        <v>0</v>
      </c>
      <c r="R141" s="227">
        <f t="shared" si="233"/>
        <v>0</v>
      </c>
      <c r="S141" s="227">
        <f t="shared" si="233"/>
        <v>0</v>
      </c>
      <c r="T141" s="227">
        <f t="shared" si="233"/>
        <v>0</v>
      </c>
      <c r="U141" s="227">
        <f t="shared" si="233"/>
        <v>0</v>
      </c>
      <c r="V141" s="227">
        <f t="shared" si="233"/>
        <v>0</v>
      </c>
      <c r="W141" s="227">
        <f t="shared" si="233"/>
        <v>0</v>
      </c>
      <c r="X141" s="227">
        <f t="shared" si="233"/>
        <v>0</v>
      </c>
      <c r="Y141" s="227">
        <f t="shared" si="233"/>
        <v>0</v>
      </c>
      <c r="Z141" s="227">
        <f t="shared" si="233"/>
        <v>0</v>
      </c>
      <c r="AA141" s="227">
        <f t="shared" si="233"/>
        <v>0</v>
      </c>
      <c r="AB141" s="227">
        <f t="shared" si="233"/>
        <v>0</v>
      </c>
      <c r="AC141" s="227">
        <f t="shared" si="233"/>
        <v>0</v>
      </c>
      <c r="AD141" s="227">
        <f t="shared" si="233"/>
        <v>0</v>
      </c>
      <c r="AE141" s="227">
        <f t="shared" si="233"/>
        <v>0</v>
      </c>
      <c r="AF141" s="227">
        <f t="shared" si="233"/>
        <v>0</v>
      </c>
      <c r="AG141" s="227">
        <f t="shared" si="233"/>
        <v>0</v>
      </c>
      <c r="AH141" s="227">
        <f t="shared" ca="1" si="233"/>
        <v>0</v>
      </c>
      <c r="AI141" s="227">
        <f t="shared" si="233"/>
        <v>0</v>
      </c>
      <c r="AJ141" s="227">
        <f t="shared" si="233"/>
        <v>0</v>
      </c>
      <c r="AK141" s="227">
        <f t="shared" si="233"/>
        <v>0</v>
      </c>
      <c r="AL141" s="227">
        <f t="shared" si="233"/>
        <v>0</v>
      </c>
      <c r="AM141" s="227">
        <f t="shared" si="233"/>
        <v>0</v>
      </c>
      <c r="AN141" s="227">
        <f t="shared" si="233"/>
        <v>0</v>
      </c>
      <c r="AO141" s="227">
        <f t="shared" si="233"/>
        <v>0</v>
      </c>
      <c r="AP141" s="227">
        <f t="shared" si="233"/>
        <v>0</v>
      </c>
      <c r="AQ141" s="227">
        <f t="shared" si="233"/>
        <v>0</v>
      </c>
      <c r="AR141" s="227">
        <f t="shared" si="233"/>
        <v>0</v>
      </c>
      <c r="AS141" s="227">
        <f t="shared" si="233"/>
        <v>0</v>
      </c>
      <c r="AT141" s="227">
        <f t="shared" si="233"/>
        <v>0</v>
      </c>
      <c r="AU141" s="227">
        <f t="shared" si="233"/>
        <v>0</v>
      </c>
      <c r="AV141" s="227">
        <f t="shared" si="233"/>
        <v>0</v>
      </c>
      <c r="AW141" s="227">
        <f t="shared" si="233"/>
        <v>0</v>
      </c>
      <c r="AX141" s="227">
        <f t="shared" si="233"/>
        <v>0</v>
      </c>
      <c r="AY141" s="227">
        <f t="shared" si="233"/>
        <v>0</v>
      </c>
      <c r="AZ141" s="227">
        <f t="shared" si="233"/>
        <v>0</v>
      </c>
      <c r="BA141" s="227">
        <f t="shared" si="233"/>
        <v>0</v>
      </c>
      <c r="BB141" s="227">
        <f t="shared" si="233"/>
        <v>0</v>
      </c>
      <c r="BC141" s="227">
        <f t="shared" si="233"/>
        <v>0</v>
      </c>
      <c r="BD141" s="227">
        <f t="shared" si="233"/>
        <v>0</v>
      </c>
      <c r="BE141" s="227">
        <f t="shared" si="233"/>
        <v>0</v>
      </c>
      <c r="BF141" s="227">
        <f t="shared" si="233"/>
        <v>0</v>
      </c>
      <c r="BG141" s="227">
        <f t="shared" si="233"/>
        <v>0</v>
      </c>
      <c r="BH141" s="227">
        <f t="shared" si="233"/>
        <v>0</v>
      </c>
      <c r="BI141" s="227">
        <f t="shared" si="233"/>
        <v>0</v>
      </c>
      <c r="BJ141" s="227">
        <f t="shared" si="233"/>
        <v>0</v>
      </c>
      <c r="BK141" s="227">
        <f t="shared" si="233"/>
        <v>0</v>
      </c>
      <c r="BL141" s="227">
        <f t="shared" si="233"/>
        <v>0</v>
      </c>
      <c r="BM141" s="227">
        <f t="shared" si="233"/>
        <v>0</v>
      </c>
      <c r="BN141" s="227">
        <f t="shared" si="233"/>
        <v>0</v>
      </c>
      <c r="BO141" s="227">
        <f t="shared" si="233"/>
        <v>0</v>
      </c>
      <c r="BP141" s="227">
        <f t="shared" si="233"/>
        <v>0</v>
      </c>
      <c r="BQ141" s="227">
        <f t="shared" ref="BQ141:EB141" si="234">BQ139+BQ140</f>
        <v>0</v>
      </c>
      <c r="BR141" s="227">
        <f t="shared" si="234"/>
        <v>0</v>
      </c>
      <c r="BS141" s="227">
        <f t="shared" si="234"/>
        <v>0</v>
      </c>
      <c r="BT141" s="227">
        <f t="shared" si="234"/>
        <v>0</v>
      </c>
      <c r="BU141" s="227">
        <f t="shared" si="234"/>
        <v>0</v>
      </c>
      <c r="BV141" s="227">
        <f t="shared" si="234"/>
        <v>0</v>
      </c>
      <c r="BW141" s="227">
        <f t="shared" si="234"/>
        <v>0</v>
      </c>
      <c r="BX141" s="227">
        <f t="shared" si="234"/>
        <v>0</v>
      </c>
      <c r="BY141" s="227">
        <f t="shared" si="234"/>
        <v>0</v>
      </c>
      <c r="BZ141" s="227">
        <f t="shared" si="234"/>
        <v>0</v>
      </c>
      <c r="CA141" s="227">
        <f t="shared" si="234"/>
        <v>0</v>
      </c>
      <c r="CB141" s="227">
        <f t="shared" si="234"/>
        <v>0</v>
      </c>
      <c r="CC141" s="227">
        <f t="shared" si="234"/>
        <v>0</v>
      </c>
      <c r="CD141" s="227">
        <f t="shared" si="234"/>
        <v>0</v>
      </c>
      <c r="CE141" s="227">
        <f t="shared" si="234"/>
        <v>0</v>
      </c>
      <c r="CF141" s="227">
        <f t="shared" si="234"/>
        <v>0</v>
      </c>
      <c r="CG141" s="227">
        <f t="shared" si="234"/>
        <v>0</v>
      </c>
      <c r="CH141" s="227">
        <f t="shared" si="234"/>
        <v>0</v>
      </c>
      <c r="CI141" s="227">
        <f t="shared" si="234"/>
        <v>0</v>
      </c>
      <c r="CJ141" s="227">
        <f t="shared" si="234"/>
        <v>0</v>
      </c>
      <c r="CK141" s="227">
        <f t="shared" si="234"/>
        <v>0</v>
      </c>
      <c r="CL141" s="227">
        <f t="shared" si="234"/>
        <v>0</v>
      </c>
      <c r="CM141" s="227">
        <f t="shared" si="234"/>
        <v>0</v>
      </c>
      <c r="CN141" s="227">
        <f t="shared" si="234"/>
        <v>0</v>
      </c>
      <c r="CO141" s="227">
        <f t="shared" si="234"/>
        <v>0</v>
      </c>
      <c r="CP141" s="227">
        <f t="shared" si="234"/>
        <v>0</v>
      </c>
      <c r="CQ141" s="227">
        <f t="shared" si="234"/>
        <v>0</v>
      </c>
      <c r="CR141" s="227">
        <f t="shared" si="234"/>
        <v>0</v>
      </c>
      <c r="CS141" s="227">
        <f t="shared" si="234"/>
        <v>0</v>
      </c>
      <c r="CT141" s="227">
        <f t="shared" si="234"/>
        <v>0</v>
      </c>
      <c r="CU141" s="227">
        <f t="shared" si="234"/>
        <v>0</v>
      </c>
      <c r="CV141" s="227">
        <f t="shared" si="234"/>
        <v>0</v>
      </c>
      <c r="CW141" s="227">
        <f t="shared" si="234"/>
        <v>0</v>
      </c>
      <c r="CX141" s="227">
        <f t="shared" si="234"/>
        <v>0</v>
      </c>
      <c r="CY141" s="227">
        <f t="shared" si="234"/>
        <v>0</v>
      </c>
      <c r="CZ141" s="227">
        <f t="shared" si="234"/>
        <v>0</v>
      </c>
      <c r="DA141" s="227">
        <f t="shared" si="234"/>
        <v>0</v>
      </c>
      <c r="DB141" s="227">
        <f t="shared" si="234"/>
        <v>0</v>
      </c>
      <c r="DC141" s="227">
        <f t="shared" si="234"/>
        <v>0</v>
      </c>
      <c r="DD141" s="227">
        <f t="shared" si="234"/>
        <v>0</v>
      </c>
      <c r="DE141" s="227">
        <f t="shared" si="234"/>
        <v>0</v>
      </c>
      <c r="DF141" s="227">
        <f t="shared" si="234"/>
        <v>0</v>
      </c>
      <c r="DG141" s="227">
        <f t="shared" si="234"/>
        <v>0</v>
      </c>
      <c r="DH141" s="227">
        <f t="shared" si="234"/>
        <v>0</v>
      </c>
      <c r="DI141" s="227">
        <f t="shared" si="234"/>
        <v>0</v>
      </c>
      <c r="DJ141" s="227">
        <f t="shared" si="234"/>
        <v>0</v>
      </c>
      <c r="DK141" s="227">
        <f t="shared" si="234"/>
        <v>0</v>
      </c>
      <c r="DL141" s="227">
        <f t="shared" si="234"/>
        <v>0</v>
      </c>
      <c r="DM141" s="227">
        <f t="shared" si="234"/>
        <v>0</v>
      </c>
      <c r="DN141" s="227">
        <f t="shared" si="234"/>
        <v>0</v>
      </c>
      <c r="DO141" s="227">
        <f t="shared" si="234"/>
        <v>0</v>
      </c>
      <c r="DP141" s="227">
        <f t="shared" si="234"/>
        <v>0</v>
      </c>
      <c r="DQ141" s="227">
        <f t="shared" si="234"/>
        <v>0</v>
      </c>
      <c r="DR141" s="227">
        <f t="shared" si="234"/>
        <v>0</v>
      </c>
      <c r="DS141" s="227">
        <f t="shared" si="234"/>
        <v>0</v>
      </c>
      <c r="DT141" s="227">
        <f t="shared" si="234"/>
        <v>0</v>
      </c>
      <c r="DU141" s="227">
        <f t="shared" si="234"/>
        <v>0</v>
      </c>
      <c r="DV141" s="227">
        <f t="shared" si="234"/>
        <v>0</v>
      </c>
      <c r="DW141" s="227">
        <f t="shared" si="234"/>
        <v>0</v>
      </c>
      <c r="DX141" s="227">
        <f t="shared" si="234"/>
        <v>0</v>
      </c>
      <c r="DY141" s="227">
        <f t="shared" si="234"/>
        <v>0</v>
      </c>
      <c r="DZ141" s="227">
        <f t="shared" si="234"/>
        <v>0</v>
      </c>
      <c r="EA141" s="227">
        <f t="shared" si="234"/>
        <v>0</v>
      </c>
      <c r="EB141" s="227">
        <f t="shared" si="234"/>
        <v>0</v>
      </c>
      <c r="EC141" s="227">
        <f>EC139+EC140</f>
        <v>0</v>
      </c>
      <c r="ED141" s="227">
        <f>ED139+ED140</f>
        <v>0</v>
      </c>
      <c r="EE141" s="227">
        <f>EE139+EE140</f>
        <v>0</v>
      </c>
      <c r="EF141" s="227">
        <f>EF139+EF140</f>
        <v>0</v>
      </c>
      <c r="EG141" s="227">
        <f>EG139+EG140</f>
        <v>0</v>
      </c>
    </row>
    <row r="142" spans="1:137" x14ac:dyDescent="0.3">
      <c r="A142" s="241" t="str">
        <f>'General Inputs'!$L$29&amp;" Contribution"</f>
        <v>LAND Contribution</v>
      </c>
      <c r="B142" s="241"/>
      <c r="C142" s="241"/>
      <c r="D142" s="687"/>
      <c r="E142" s="299">
        <f t="shared" ref="E142:AJ142" si="235">IF(E$5=MonthRefi,-MIN(E137*ContrLand,E102),0)</f>
        <v>0</v>
      </c>
      <c r="F142" s="299">
        <f t="shared" si="235"/>
        <v>0</v>
      </c>
      <c r="G142" s="299">
        <f t="shared" si="235"/>
        <v>0</v>
      </c>
      <c r="H142" s="299">
        <f t="shared" si="235"/>
        <v>0</v>
      </c>
      <c r="I142" s="299">
        <f t="shared" si="235"/>
        <v>0</v>
      </c>
      <c r="J142" s="299">
        <f t="shared" si="235"/>
        <v>0</v>
      </c>
      <c r="K142" s="299">
        <f t="shared" si="235"/>
        <v>0</v>
      </c>
      <c r="L142" s="299">
        <f t="shared" si="235"/>
        <v>0</v>
      </c>
      <c r="M142" s="299">
        <f t="shared" si="235"/>
        <v>0</v>
      </c>
      <c r="N142" s="299">
        <f t="shared" si="235"/>
        <v>0</v>
      </c>
      <c r="O142" s="299">
        <f t="shared" si="235"/>
        <v>0</v>
      </c>
      <c r="P142" s="299">
        <f t="shared" si="235"/>
        <v>0</v>
      </c>
      <c r="Q142" s="299">
        <f t="shared" si="235"/>
        <v>0</v>
      </c>
      <c r="R142" s="299">
        <f t="shared" si="235"/>
        <v>0</v>
      </c>
      <c r="S142" s="299">
        <f t="shared" si="235"/>
        <v>0</v>
      </c>
      <c r="T142" s="299">
        <f t="shared" si="235"/>
        <v>0</v>
      </c>
      <c r="U142" s="299">
        <f t="shared" si="235"/>
        <v>0</v>
      </c>
      <c r="V142" s="299">
        <f t="shared" si="235"/>
        <v>0</v>
      </c>
      <c r="W142" s="299">
        <f t="shared" si="235"/>
        <v>0</v>
      </c>
      <c r="X142" s="299">
        <f t="shared" si="235"/>
        <v>0</v>
      </c>
      <c r="Y142" s="299">
        <f t="shared" si="235"/>
        <v>0</v>
      </c>
      <c r="Z142" s="299">
        <f t="shared" si="235"/>
        <v>0</v>
      </c>
      <c r="AA142" s="299">
        <f t="shared" si="235"/>
        <v>0</v>
      </c>
      <c r="AB142" s="299">
        <f t="shared" si="235"/>
        <v>0</v>
      </c>
      <c r="AC142" s="299">
        <f t="shared" si="235"/>
        <v>0</v>
      </c>
      <c r="AD142" s="299">
        <f t="shared" si="235"/>
        <v>0</v>
      </c>
      <c r="AE142" s="299">
        <f t="shared" si="235"/>
        <v>0</v>
      </c>
      <c r="AF142" s="299">
        <f t="shared" si="235"/>
        <v>0</v>
      </c>
      <c r="AG142" s="299">
        <f t="shared" si="235"/>
        <v>0</v>
      </c>
      <c r="AH142" s="299">
        <f t="shared" ca="1" si="235"/>
        <v>0</v>
      </c>
      <c r="AI142" s="299">
        <f t="shared" si="235"/>
        <v>0</v>
      </c>
      <c r="AJ142" s="299">
        <f t="shared" si="235"/>
        <v>0</v>
      </c>
      <c r="AK142" s="299">
        <f t="shared" ref="AK142:BP142" si="236">IF(AK$5=MonthRefi,-MIN(AK137*ContrLand,AK102),0)</f>
        <v>0</v>
      </c>
      <c r="AL142" s="299">
        <f t="shared" si="236"/>
        <v>0</v>
      </c>
      <c r="AM142" s="299">
        <f t="shared" si="236"/>
        <v>0</v>
      </c>
      <c r="AN142" s="299">
        <f t="shared" si="236"/>
        <v>0</v>
      </c>
      <c r="AO142" s="299">
        <f t="shared" si="236"/>
        <v>0</v>
      </c>
      <c r="AP142" s="299">
        <f t="shared" si="236"/>
        <v>0</v>
      </c>
      <c r="AQ142" s="299">
        <f t="shared" si="236"/>
        <v>0</v>
      </c>
      <c r="AR142" s="299">
        <f t="shared" si="236"/>
        <v>0</v>
      </c>
      <c r="AS142" s="299">
        <f t="shared" si="236"/>
        <v>0</v>
      </c>
      <c r="AT142" s="299">
        <f t="shared" si="236"/>
        <v>0</v>
      </c>
      <c r="AU142" s="299">
        <f t="shared" si="236"/>
        <v>0</v>
      </c>
      <c r="AV142" s="299">
        <f t="shared" si="236"/>
        <v>0</v>
      </c>
      <c r="AW142" s="299">
        <f t="shared" si="236"/>
        <v>0</v>
      </c>
      <c r="AX142" s="299">
        <f t="shared" si="236"/>
        <v>0</v>
      </c>
      <c r="AY142" s="299">
        <f t="shared" si="236"/>
        <v>0</v>
      </c>
      <c r="AZ142" s="299">
        <f t="shared" si="236"/>
        <v>0</v>
      </c>
      <c r="BA142" s="299">
        <f t="shared" si="236"/>
        <v>0</v>
      </c>
      <c r="BB142" s="299">
        <f t="shared" si="236"/>
        <v>0</v>
      </c>
      <c r="BC142" s="299">
        <f t="shared" si="236"/>
        <v>0</v>
      </c>
      <c r="BD142" s="299">
        <f t="shared" si="236"/>
        <v>0</v>
      </c>
      <c r="BE142" s="299">
        <f t="shared" si="236"/>
        <v>0</v>
      </c>
      <c r="BF142" s="299">
        <f t="shared" si="236"/>
        <v>0</v>
      </c>
      <c r="BG142" s="299">
        <f t="shared" si="236"/>
        <v>0</v>
      </c>
      <c r="BH142" s="299">
        <f t="shared" si="236"/>
        <v>0</v>
      </c>
      <c r="BI142" s="299">
        <f t="shared" si="236"/>
        <v>0</v>
      </c>
      <c r="BJ142" s="299">
        <f t="shared" si="236"/>
        <v>0</v>
      </c>
      <c r="BK142" s="299">
        <f t="shared" si="236"/>
        <v>0</v>
      </c>
      <c r="BL142" s="299">
        <f t="shared" si="236"/>
        <v>0</v>
      </c>
      <c r="BM142" s="299">
        <f t="shared" si="236"/>
        <v>0</v>
      </c>
      <c r="BN142" s="299">
        <f t="shared" si="236"/>
        <v>0</v>
      </c>
      <c r="BO142" s="299">
        <f t="shared" si="236"/>
        <v>0</v>
      </c>
      <c r="BP142" s="299">
        <f t="shared" si="236"/>
        <v>0</v>
      </c>
      <c r="BQ142" s="299">
        <f t="shared" ref="BQ142:CV142" si="237">IF(BQ$5=MonthRefi,-MIN(BQ137*ContrLand,BQ102),0)</f>
        <v>0</v>
      </c>
      <c r="BR142" s="299">
        <f t="shared" si="237"/>
        <v>0</v>
      </c>
      <c r="BS142" s="299">
        <f t="shared" si="237"/>
        <v>0</v>
      </c>
      <c r="BT142" s="299">
        <f t="shared" si="237"/>
        <v>0</v>
      </c>
      <c r="BU142" s="299">
        <f t="shared" si="237"/>
        <v>0</v>
      </c>
      <c r="BV142" s="299">
        <f t="shared" si="237"/>
        <v>0</v>
      </c>
      <c r="BW142" s="299">
        <f t="shared" si="237"/>
        <v>0</v>
      </c>
      <c r="BX142" s="299">
        <f t="shared" si="237"/>
        <v>0</v>
      </c>
      <c r="BY142" s="299">
        <f t="shared" si="237"/>
        <v>0</v>
      </c>
      <c r="BZ142" s="299">
        <f t="shared" si="237"/>
        <v>0</v>
      </c>
      <c r="CA142" s="299">
        <f t="shared" si="237"/>
        <v>0</v>
      </c>
      <c r="CB142" s="299">
        <f t="shared" si="237"/>
        <v>0</v>
      </c>
      <c r="CC142" s="299">
        <f t="shared" si="237"/>
        <v>0</v>
      </c>
      <c r="CD142" s="299">
        <f t="shared" si="237"/>
        <v>0</v>
      </c>
      <c r="CE142" s="299">
        <f t="shared" si="237"/>
        <v>0</v>
      </c>
      <c r="CF142" s="299">
        <f t="shared" si="237"/>
        <v>0</v>
      </c>
      <c r="CG142" s="299">
        <f t="shared" si="237"/>
        <v>0</v>
      </c>
      <c r="CH142" s="299">
        <f t="shared" si="237"/>
        <v>0</v>
      </c>
      <c r="CI142" s="299">
        <f t="shared" si="237"/>
        <v>0</v>
      </c>
      <c r="CJ142" s="299">
        <f t="shared" si="237"/>
        <v>0</v>
      </c>
      <c r="CK142" s="299">
        <f t="shared" si="237"/>
        <v>0</v>
      </c>
      <c r="CL142" s="299">
        <f t="shared" si="237"/>
        <v>0</v>
      </c>
      <c r="CM142" s="299">
        <f t="shared" si="237"/>
        <v>0</v>
      </c>
      <c r="CN142" s="299">
        <f t="shared" si="237"/>
        <v>0</v>
      </c>
      <c r="CO142" s="299">
        <f t="shared" si="237"/>
        <v>0</v>
      </c>
      <c r="CP142" s="299">
        <f t="shared" si="237"/>
        <v>0</v>
      </c>
      <c r="CQ142" s="299">
        <f t="shared" si="237"/>
        <v>0</v>
      </c>
      <c r="CR142" s="299">
        <f t="shared" si="237"/>
        <v>0</v>
      </c>
      <c r="CS142" s="299">
        <f t="shared" si="237"/>
        <v>0</v>
      </c>
      <c r="CT142" s="299">
        <f t="shared" si="237"/>
        <v>0</v>
      </c>
      <c r="CU142" s="299">
        <f t="shared" si="237"/>
        <v>0</v>
      </c>
      <c r="CV142" s="299">
        <f t="shared" si="237"/>
        <v>0</v>
      </c>
      <c r="CW142" s="299">
        <f t="shared" ref="CW142:EG142" si="238">IF(CW$5=MonthRefi,-MIN(CW137*ContrLand,CW102),0)</f>
        <v>0</v>
      </c>
      <c r="CX142" s="299">
        <f t="shared" si="238"/>
        <v>0</v>
      </c>
      <c r="CY142" s="299">
        <f t="shared" si="238"/>
        <v>0</v>
      </c>
      <c r="CZ142" s="299">
        <f t="shared" si="238"/>
        <v>0</v>
      </c>
      <c r="DA142" s="299">
        <f t="shared" si="238"/>
        <v>0</v>
      </c>
      <c r="DB142" s="299">
        <f t="shared" si="238"/>
        <v>0</v>
      </c>
      <c r="DC142" s="299">
        <f t="shared" si="238"/>
        <v>0</v>
      </c>
      <c r="DD142" s="299">
        <f t="shared" si="238"/>
        <v>0</v>
      </c>
      <c r="DE142" s="299">
        <f t="shared" si="238"/>
        <v>0</v>
      </c>
      <c r="DF142" s="299">
        <f t="shared" si="238"/>
        <v>0</v>
      </c>
      <c r="DG142" s="299">
        <f t="shared" si="238"/>
        <v>0</v>
      </c>
      <c r="DH142" s="299">
        <f t="shared" si="238"/>
        <v>0</v>
      </c>
      <c r="DI142" s="299">
        <f t="shared" si="238"/>
        <v>0</v>
      </c>
      <c r="DJ142" s="299">
        <f t="shared" si="238"/>
        <v>0</v>
      </c>
      <c r="DK142" s="299">
        <f t="shared" si="238"/>
        <v>0</v>
      </c>
      <c r="DL142" s="299">
        <f t="shared" si="238"/>
        <v>0</v>
      </c>
      <c r="DM142" s="299">
        <f t="shared" si="238"/>
        <v>0</v>
      </c>
      <c r="DN142" s="299">
        <f t="shared" si="238"/>
        <v>0</v>
      </c>
      <c r="DO142" s="299">
        <f t="shared" si="238"/>
        <v>0</v>
      </c>
      <c r="DP142" s="299">
        <f t="shared" si="238"/>
        <v>0</v>
      </c>
      <c r="DQ142" s="299">
        <f t="shared" si="238"/>
        <v>0</v>
      </c>
      <c r="DR142" s="299">
        <f t="shared" si="238"/>
        <v>0</v>
      </c>
      <c r="DS142" s="299">
        <f t="shared" si="238"/>
        <v>0</v>
      </c>
      <c r="DT142" s="299">
        <f t="shared" si="238"/>
        <v>0</v>
      </c>
      <c r="DU142" s="299">
        <f t="shared" si="238"/>
        <v>0</v>
      </c>
      <c r="DV142" s="299">
        <f t="shared" si="238"/>
        <v>0</v>
      </c>
      <c r="DW142" s="299">
        <f t="shared" si="238"/>
        <v>0</v>
      </c>
      <c r="DX142" s="299">
        <f t="shared" si="238"/>
        <v>0</v>
      </c>
      <c r="DY142" s="299">
        <f t="shared" si="238"/>
        <v>0</v>
      </c>
      <c r="DZ142" s="299">
        <f t="shared" si="238"/>
        <v>0</v>
      </c>
      <c r="EA142" s="299">
        <f t="shared" si="238"/>
        <v>0</v>
      </c>
      <c r="EB142" s="299">
        <f t="shared" si="238"/>
        <v>0</v>
      </c>
      <c r="EC142" s="299">
        <f t="shared" si="238"/>
        <v>0</v>
      </c>
      <c r="ED142" s="299">
        <f t="shared" si="238"/>
        <v>0</v>
      </c>
      <c r="EE142" s="299">
        <f t="shared" si="238"/>
        <v>0</v>
      </c>
      <c r="EF142" s="299">
        <f t="shared" si="238"/>
        <v>0</v>
      </c>
      <c r="EG142" s="299">
        <f t="shared" si="238"/>
        <v>0</v>
      </c>
    </row>
    <row r="143" spans="1:137" ht="15" thickBot="1" x14ac:dyDescent="0.35">
      <c r="A143" s="248" t="s">
        <v>857</v>
      </c>
      <c r="B143" s="248"/>
      <c r="C143" s="248"/>
      <c r="D143" s="697"/>
      <c r="E143" s="250">
        <f t="shared" ref="E143:BP143" si="239">E141+E142</f>
        <v>0</v>
      </c>
      <c r="F143" s="250">
        <f t="shared" si="239"/>
        <v>0</v>
      </c>
      <c r="G143" s="250">
        <f t="shared" si="239"/>
        <v>0</v>
      </c>
      <c r="H143" s="250">
        <f t="shared" si="239"/>
        <v>0</v>
      </c>
      <c r="I143" s="250">
        <f t="shared" si="239"/>
        <v>0</v>
      </c>
      <c r="J143" s="250">
        <f t="shared" si="239"/>
        <v>0</v>
      </c>
      <c r="K143" s="250">
        <f t="shared" si="239"/>
        <v>0</v>
      </c>
      <c r="L143" s="250">
        <f t="shared" si="239"/>
        <v>0</v>
      </c>
      <c r="M143" s="250">
        <f t="shared" si="239"/>
        <v>0</v>
      </c>
      <c r="N143" s="250">
        <f t="shared" si="239"/>
        <v>0</v>
      </c>
      <c r="O143" s="250">
        <f t="shared" si="239"/>
        <v>0</v>
      </c>
      <c r="P143" s="250">
        <f t="shared" si="239"/>
        <v>0</v>
      </c>
      <c r="Q143" s="250">
        <f t="shared" si="239"/>
        <v>0</v>
      </c>
      <c r="R143" s="250">
        <f t="shared" si="239"/>
        <v>0</v>
      </c>
      <c r="S143" s="250">
        <f t="shared" si="239"/>
        <v>0</v>
      </c>
      <c r="T143" s="250">
        <f t="shared" si="239"/>
        <v>0</v>
      </c>
      <c r="U143" s="250">
        <f t="shared" si="239"/>
        <v>0</v>
      </c>
      <c r="V143" s="250">
        <f t="shared" si="239"/>
        <v>0</v>
      </c>
      <c r="W143" s="250">
        <f t="shared" si="239"/>
        <v>0</v>
      </c>
      <c r="X143" s="250">
        <f t="shared" si="239"/>
        <v>0</v>
      </c>
      <c r="Y143" s="250">
        <f t="shared" si="239"/>
        <v>0</v>
      </c>
      <c r="Z143" s="250">
        <f t="shared" si="239"/>
        <v>0</v>
      </c>
      <c r="AA143" s="250">
        <f t="shared" si="239"/>
        <v>0</v>
      </c>
      <c r="AB143" s="250">
        <f t="shared" si="239"/>
        <v>0</v>
      </c>
      <c r="AC143" s="250">
        <f t="shared" si="239"/>
        <v>0</v>
      </c>
      <c r="AD143" s="250">
        <f t="shared" si="239"/>
        <v>0</v>
      </c>
      <c r="AE143" s="250">
        <f t="shared" si="239"/>
        <v>0</v>
      </c>
      <c r="AF143" s="250">
        <f t="shared" si="239"/>
        <v>0</v>
      </c>
      <c r="AG143" s="250">
        <f t="shared" si="239"/>
        <v>0</v>
      </c>
      <c r="AH143" s="250">
        <f t="shared" ca="1" si="239"/>
        <v>0</v>
      </c>
      <c r="AI143" s="250">
        <f t="shared" si="239"/>
        <v>0</v>
      </c>
      <c r="AJ143" s="250">
        <f t="shared" si="239"/>
        <v>0</v>
      </c>
      <c r="AK143" s="250">
        <f t="shared" si="239"/>
        <v>0</v>
      </c>
      <c r="AL143" s="250">
        <f t="shared" si="239"/>
        <v>0</v>
      </c>
      <c r="AM143" s="250">
        <f t="shared" si="239"/>
        <v>0</v>
      </c>
      <c r="AN143" s="250">
        <f t="shared" si="239"/>
        <v>0</v>
      </c>
      <c r="AO143" s="250">
        <f t="shared" si="239"/>
        <v>0</v>
      </c>
      <c r="AP143" s="250">
        <f t="shared" si="239"/>
        <v>0</v>
      </c>
      <c r="AQ143" s="250">
        <f t="shared" si="239"/>
        <v>0</v>
      </c>
      <c r="AR143" s="250">
        <f t="shared" si="239"/>
        <v>0</v>
      </c>
      <c r="AS143" s="250">
        <f t="shared" si="239"/>
        <v>0</v>
      </c>
      <c r="AT143" s="250">
        <f t="shared" si="239"/>
        <v>0</v>
      </c>
      <c r="AU143" s="250">
        <f t="shared" si="239"/>
        <v>0</v>
      </c>
      <c r="AV143" s="250">
        <f t="shared" si="239"/>
        <v>0</v>
      </c>
      <c r="AW143" s="250">
        <f t="shared" si="239"/>
        <v>0</v>
      </c>
      <c r="AX143" s="250">
        <f t="shared" si="239"/>
        <v>0</v>
      </c>
      <c r="AY143" s="250">
        <f t="shared" si="239"/>
        <v>0</v>
      </c>
      <c r="AZ143" s="250">
        <f t="shared" si="239"/>
        <v>0</v>
      </c>
      <c r="BA143" s="250">
        <f t="shared" si="239"/>
        <v>0</v>
      </c>
      <c r="BB143" s="250">
        <f t="shared" si="239"/>
        <v>0</v>
      </c>
      <c r="BC143" s="250">
        <f t="shared" si="239"/>
        <v>0</v>
      </c>
      <c r="BD143" s="250">
        <f t="shared" si="239"/>
        <v>0</v>
      </c>
      <c r="BE143" s="250">
        <f t="shared" si="239"/>
        <v>0</v>
      </c>
      <c r="BF143" s="250">
        <f t="shared" si="239"/>
        <v>0</v>
      </c>
      <c r="BG143" s="250">
        <f t="shared" si="239"/>
        <v>0</v>
      </c>
      <c r="BH143" s="250">
        <f t="shared" si="239"/>
        <v>0</v>
      </c>
      <c r="BI143" s="250">
        <f t="shared" si="239"/>
        <v>0</v>
      </c>
      <c r="BJ143" s="250">
        <f t="shared" si="239"/>
        <v>0</v>
      </c>
      <c r="BK143" s="250">
        <f t="shared" si="239"/>
        <v>0</v>
      </c>
      <c r="BL143" s="250">
        <f t="shared" si="239"/>
        <v>0</v>
      </c>
      <c r="BM143" s="250">
        <f t="shared" si="239"/>
        <v>0</v>
      </c>
      <c r="BN143" s="250">
        <f t="shared" si="239"/>
        <v>0</v>
      </c>
      <c r="BO143" s="250">
        <f t="shared" si="239"/>
        <v>0</v>
      </c>
      <c r="BP143" s="250">
        <f t="shared" si="239"/>
        <v>0</v>
      </c>
      <c r="BQ143" s="250">
        <f t="shared" ref="BQ143:EB143" si="240">BQ141+BQ142</f>
        <v>0</v>
      </c>
      <c r="BR143" s="250">
        <f t="shared" si="240"/>
        <v>0</v>
      </c>
      <c r="BS143" s="250">
        <f t="shared" si="240"/>
        <v>0</v>
      </c>
      <c r="BT143" s="250">
        <f t="shared" si="240"/>
        <v>0</v>
      </c>
      <c r="BU143" s="250">
        <f t="shared" si="240"/>
        <v>0</v>
      </c>
      <c r="BV143" s="250">
        <f t="shared" si="240"/>
        <v>0</v>
      </c>
      <c r="BW143" s="250">
        <f t="shared" si="240"/>
        <v>0</v>
      </c>
      <c r="BX143" s="250">
        <f t="shared" si="240"/>
        <v>0</v>
      </c>
      <c r="BY143" s="250">
        <f t="shared" si="240"/>
        <v>0</v>
      </c>
      <c r="BZ143" s="250">
        <f t="shared" si="240"/>
        <v>0</v>
      </c>
      <c r="CA143" s="250">
        <f t="shared" si="240"/>
        <v>0</v>
      </c>
      <c r="CB143" s="250">
        <f t="shared" si="240"/>
        <v>0</v>
      </c>
      <c r="CC143" s="250">
        <f t="shared" si="240"/>
        <v>0</v>
      </c>
      <c r="CD143" s="250">
        <f t="shared" si="240"/>
        <v>0</v>
      </c>
      <c r="CE143" s="250">
        <f t="shared" si="240"/>
        <v>0</v>
      </c>
      <c r="CF143" s="250">
        <f t="shared" si="240"/>
        <v>0</v>
      </c>
      <c r="CG143" s="250">
        <f t="shared" si="240"/>
        <v>0</v>
      </c>
      <c r="CH143" s="250">
        <f t="shared" si="240"/>
        <v>0</v>
      </c>
      <c r="CI143" s="250">
        <f t="shared" si="240"/>
        <v>0</v>
      </c>
      <c r="CJ143" s="250">
        <f t="shared" si="240"/>
        <v>0</v>
      </c>
      <c r="CK143" s="250">
        <f t="shared" si="240"/>
        <v>0</v>
      </c>
      <c r="CL143" s="250">
        <f t="shared" si="240"/>
        <v>0</v>
      </c>
      <c r="CM143" s="250">
        <f t="shared" si="240"/>
        <v>0</v>
      </c>
      <c r="CN143" s="250">
        <f t="shared" si="240"/>
        <v>0</v>
      </c>
      <c r="CO143" s="250">
        <f t="shared" si="240"/>
        <v>0</v>
      </c>
      <c r="CP143" s="250">
        <f t="shared" si="240"/>
        <v>0</v>
      </c>
      <c r="CQ143" s="250">
        <f t="shared" si="240"/>
        <v>0</v>
      </c>
      <c r="CR143" s="250">
        <f t="shared" si="240"/>
        <v>0</v>
      </c>
      <c r="CS143" s="250">
        <f t="shared" si="240"/>
        <v>0</v>
      </c>
      <c r="CT143" s="250">
        <f t="shared" si="240"/>
        <v>0</v>
      </c>
      <c r="CU143" s="250">
        <f t="shared" si="240"/>
        <v>0</v>
      </c>
      <c r="CV143" s="250">
        <f t="shared" si="240"/>
        <v>0</v>
      </c>
      <c r="CW143" s="250">
        <f t="shared" si="240"/>
        <v>0</v>
      </c>
      <c r="CX143" s="250">
        <f t="shared" si="240"/>
        <v>0</v>
      </c>
      <c r="CY143" s="250">
        <f t="shared" si="240"/>
        <v>0</v>
      </c>
      <c r="CZ143" s="250">
        <f t="shared" si="240"/>
        <v>0</v>
      </c>
      <c r="DA143" s="250">
        <f t="shared" si="240"/>
        <v>0</v>
      </c>
      <c r="DB143" s="250">
        <f t="shared" si="240"/>
        <v>0</v>
      </c>
      <c r="DC143" s="250">
        <f t="shared" si="240"/>
        <v>0</v>
      </c>
      <c r="DD143" s="250">
        <f t="shared" si="240"/>
        <v>0</v>
      </c>
      <c r="DE143" s="250">
        <f t="shared" si="240"/>
        <v>0</v>
      </c>
      <c r="DF143" s="250">
        <f t="shared" si="240"/>
        <v>0</v>
      </c>
      <c r="DG143" s="250">
        <f t="shared" si="240"/>
        <v>0</v>
      </c>
      <c r="DH143" s="250">
        <f t="shared" si="240"/>
        <v>0</v>
      </c>
      <c r="DI143" s="250">
        <f t="shared" si="240"/>
        <v>0</v>
      </c>
      <c r="DJ143" s="250">
        <f t="shared" si="240"/>
        <v>0</v>
      </c>
      <c r="DK143" s="250">
        <f t="shared" si="240"/>
        <v>0</v>
      </c>
      <c r="DL143" s="250">
        <f t="shared" si="240"/>
        <v>0</v>
      </c>
      <c r="DM143" s="250">
        <f t="shared" si="240"/>
        <v>0</v>
      </c>
      <c r="DN143" s="250">
        <f t="shared" si="240"/>
        <v>0</v>
      </c>
      <c r="DO143" s="250">
        <f t="shared" si="240"/>
        <v>0</v>
      </c>
      <c r="DP143" s="250">
        <f t="shared" si="240"/>
        <v>0</v>
      </c>
      <c r="DQ143" s="250">
        <f t="shared" si="240"/>
        <v>0</v>
      </c>
      <c r="DR143" s="250">
        <f t="shared" si="240"/>
        <v>0</v>
      </c>
      <c r="DS143" s="250">
        <f t="shared" si="240"/>
        <v>0</v>
      </c>
      <c r="DT143" s="250">
        <f t="shared" si="240"/>
        <v>0</v>
      </c>
      <c r="DU143" s="250">
        <f t="shared" si="240"/>
        <v>0</v>
      </c>
      <c r="DV143" s="250">
        <f t="shared" si="240"/>
        <v>0</v>
      </c>
      <c r="DW143" s="250">
        <f t="shared" si="240"/>
        <v>0</v>
      </c>
      <c r="DX143" s="250">
        <f t="shared" si="240"/>
        <v>0</v>
      </c>
      <c r="DY143" s="250">
        <f t="shared" si="240"/>
        <v>0</v>
      </c>
      <c r="DZ143" s="250">
        <f t="shared" si="240"/>
        <v>0</v>
      </c>
      <c r="EA143" s="250">
        <f t="shared" si="240"/>
        <v>0</v>
      </c>
      <c r="EB143" s="250">
        <f t="shared" si="240"/>
        <v>0</v>
      </c>
      <c r="EC143" s="250">
        <f>EC141+EC142</f>
        <v>0</v>
      </c>
      <c r="ED143" s="250">
        <f>ED141+ED142</f>
        <v>0</v>
      </c>
      <c r="EE143" s="250">
        <f>EE141+EE142</f>
        <v>0</v>
      </c>
      <c r="EF143" s="250">
        <f>EF141+EF142</f>
        <v>0</v>
      </c>
      <c r="EG143" s="250">
        <f>EG141+EG142</f>
        <v>0</v>
      </c>
    </row>
    <row r="144" spans="1:137" ht="7.5" customHeight="1" thickTop="1" x14ac:dyDescent="0.3"/>
    <row r="145" spans="1:139" collapsed="1" x14ac:dyDescent="0.3">
      <c r="A145" s="700" t="s">
        <v>2486</v>
      </c>
    </row>
    <row r="146" spans="1:139" x14ac:dyDescent="0.3">
      <c r="A146" s="229" t="str">
        <f>'General Inputs'!$J$29</f>
        <v>LP</v>
      </c>
      <c r="E146" s="227">
        <f t="shared" ref="E146:AJ146" si="241">E143*ContrEquity</f>
        <v>0</v>
      </c>
      <c r="F146" s="227">
        <f t="shared" si="241"/>
        <v>0</v>
      </c>
      <c r="G146" s="227">
        <f t="shared" si="241"/>
        <v>0</v>
      </c>
      <c r="H146" s="227">
        <f t="shared" si="241"/>
        <v>0</v>
      </c>
      <c r="I146" s="227">
        <f t="shared" si="241"/>
        <v>0</v>
      </c>
      <c r="J146" s="227">
        <f t="shared" si="241"/>
        <v>0</v>
      </c>
      <c r="K146" s="227">
        <f t="shared" si="241"/>
        <v>0</v>
      </c>
      <c r="L146" s="227">
        <f t="shared" si="241"/>
        <v>0</v>
      </c>
      <c r="M146" s="227">
        <f t="shared" si="241"/>
        <v>0</v>
      </c>
      <c r="N146" s="227">
        <f t="shared" si="241"/>
        <v>0</v>
      </c>
      <c r="O146" s="227">
        <f t="shared" si="241"/>
        <v>0</v>
      </c>
      <c r="P146" s="227">
        <f t="shared" si="241"/>
        <v>0</v>
      </c>
      <c r="Q146" s="227">
        <f t="shared" si="241"/>
        <v>0</v>
      </c>
      <c r="R146" s="227">
        <f t="shared" si="241"/>
        <v>0</v>
      </c>
      <c r="S146" s="227">
        <f t="shared" si="241"/>
        <v>0</v>
      </c>
      <c r="T146" s="227">
        <f t="shared" si="241"/>
        <v>0</v>
      </c>
      <c r="U146" s="227">
        <f t="shared" si="241"/>
        <v>0</v>
      </c>
      <c r="V146" s="227">
        <f t="shared" si="241"/>
        <v>0</v>
      </c>
      <c r="W146" s="227">
        <f t="shared" si="241"/>
        <v>0</v>
      </c>
      <c r="X146" s="227">
        <f t="shared" si="241"/>
        <v>0</v>
      </c>
      <c r="Y146" s="227">
        <f t="shared" si="241"/>
        <v>0</v>
      </c>
      <c r="Z146" s="227">
        <f t="shared" si="241"/>
        <v>0</v>
      </c>
      <c r="AA146" s="227">
        <f t="shared" si="241"/>
        <v>0</v>
      </c>
      <c r="AB146" s="227">
        <f t="shared" si="241"/>
        <v>0</v>
      </c>
      <c r="AC146" s="227">
        <f t="shared" si="241"/>
        <v>0</v>
      </c>
      <c r="AD146" s="227">
        <f t="shared" si="241"/>
        <v>0</v>
      </c>
      <c r="AE146" s="227">
        <f t="shared" si="241"/>
        <v>0</v>
      </c>
      <c r="AF146" s="227">
        <f t="shared" si="241"/>
        <v>0</v>
      </c>
      <c r="AG146" s="227">
        <f t="shared" si="241"/>
        <v>0</v>
      </c>
      <c r="AH146" s="227">
        <f t="shared" ca="1" si="241"/>
        <v>0</v>
      </c>
      <c r="AI146" s="227">
        <f t="shared" si="241"/>
        <v>0</v>
      </c>
      <c r="AJ146" s="227">
        <f t="shared" si="241"/>
        <v>0</v>
      </c>
      <c r="AK146" s="227">
        <f t="shared" ref="AK146:BP146" si="242">AK143*ContrEquity</f>
        <v>0</v>
      </c>
      <c r="AL146" s="227">
        <f t="shared" si="242"/>
        <v>0</v>
      </c>
      <c r="AM146" s="227">
        <f t="shared" si="242"/>
        <v>0</v>
      </c>
      <c r="AN146" s="227">
        <f t="shared" si="242"/>
        <v>0</v>
      </c>
      <c r="AO146" s="227">
        <f t="shared" si="242"/>
        <v>0</v>
      </c>
      <c r="AP146" s="227">
        <f t="shared" si="242"/>
        <v>0</v>
      </c>
      <c r="AQ146" s="227">
        <f t="shared" si="242"/>
        <v>0</v>
      </c>
      <c r="AR146" s="227">
        <f t="shared" si="242"/>
        <v>0</v>
      </c>
      <c r="AS146" s="227">
        <f t="shared" si="242"/>
        <v>0</v>
      </c>
      <c r="AT146" s="227">
        <f t="shared" si="242"/>
        <v>0</v>
      </c>
      <c r="AU146" s="227">
        <f t="shared" si="242"/>
        <v>0</v>
      </c>
      <c r="AV146" s="227">
        <f t="shared" si="242"/>
        <v>0</v>
      </c>
      <c r="AW146" s="227">
        <f t="shared" si="242"/>
        <v>0</v>
      </c>
      <c r="AX146" s="227">
        <f t="shared" si="242"/>
        <v>0</v>
      </c>
      <c r="AY146" s="227">
        <f t="shared" si="242"/>
        <v>0</v>
      </c>
      <c r="AZ146" s="227">
        <f t="shared" si="242"/>
        <v>0</v>
      </c>
      <c r="BA146" s="227">
        <f t="shared" si="242"/>
        <v>0</v>
      </c>
      <c r="BB146" s="227">
        <f t="shared" si="242"/>
        <v>0</v>
      </c>
      <c r="BC146" s="227">
        <f t="shared" si="242"/>
        <v>0</v>
      </c>
      <c r="BD146" s="227">
        <f t="shared" si="242"/>
        <v>0</v>
      </c>
      <c r="BE146" s="227">
        <f t="shared" si="242"/>
        <v>0</v>
      </c>
      <c r="BF146" s="227">
        <f t="shared" si="242"/>
        <v>0</v>
      </c>
      <c r="BG146" s="227">
        <f t="shared" si="242"/>
        <v>0</v>
      </c>
      <c r="BH146" s="227">
        <f t="shared" si="242"/>
        <v>0</v>
      </c>
      <c r="BI146" s="227">
        <f t="shared" si="242"/>
        <v>0</v>
      </c>
      <c r="BJ146" s="227">
        <f t="shared" si="242"/>
        <v>0</v>
      </c>
      <c r="BK146" s="227">
        <f t="shared" si="242"/>
        <v>0</v>
      </c>
      <c r="BL146" s="227">
        <f t="shared" si="242"/>
        <v>0</v>
      </c>
      <c r="BM146" s="227">
        <f t="shared" si="242"/>
        <v>0</v>
      </c>
      <c r="BN146" s="227">
        <f t="shared" si="242"/>
        <v>0</v>
      </c>
      <c r="BO146" s="227">
        <f t="shared" si="242"/>
        <v>0</v>
      </c>
      <c r="BP146" s="227">
        <f t="shared" si="242"/>
        <v>0</v>
      </c>
      <c r="BQ146" s="227">
        <f t="shared" ref="BQ146:CV146" si="243">BQ143*ContrEquity</f>
        <v>0</v>
      </c>
      <c r="BR146" s="227">
        <f t="shared" si="243"/>
        <v>0</v>
      </c>
      <c r="BS146" s="227">
        <f t="shared" si="243"/>
        <v>0</v>
      </c>
      <c r="BT146" s="227">
        <f t="shared" si="243"/>
        <v>0</v>
      </c>
      <c r="BU146" s="227">
        <f t="shared" si="243"/>
        <v>0</v>
      </c>
      <c r="BV146" s="227">
        <f t="shared" si="243"/>
        <v>0</v>
      </c>
      <c r="BW146" s="227">
        <f t="shared" si="243"/>
        <v>0</v>
      </c>
      <c r="BX146" s="227">
        <f t="shared" si="243"/>
        <v>0</v>
      </c>
      <c r="BY146" s="227">
        <f t="shared" si="243"/>
        <v>0</v>
      </c>
      <c r="BZ146" s="227">
        <f t="shared" si="243"/>
        <v>0</v>
      </c>
      <c r="CA146" s="227">
        <f t="shared" si="243"/>
        <v>0</v>
      </c>
      <c r="CB146" s="227">
        <f t="shared" si="243"/>
        <v>0</v>
      </c>
      <c r="CC146" s="227">
        <f t="shared" si="243"/>
        <v>0</v>
      </c>
      <c r="CD146" s="227">
        <f t="shared" si="243"/>
        <v>0</v>
      </c>
      <c r="CE146" s="227">
        <f t="shared" si="243"/>
        <v>0</v>
      </c>
      <c r="CF146" s="227">
        <f t="shared" si="243"/>
        <v>0</v>
      </c>
      <c r="CG146" s="227">
        <f t="shared" si="243"/>
        <v>0</v>
      </c>
      <c r="CH146" s="227">
        <f t="shared" si="243"/>
        <v>0</v>
      </c>
      <c r="CI146" s="227">
        <f t="shared" si="243"/>
        <v>0</v>
      </c>
      <c r="CJ146" s="227">
        <f t="shared" si="243"/>
        <v>0</v>
      </c>
      <c r="CK146" s="227">
        <f t="shared" si="243"/>
        <v>0</v>
      </c>
      <c r="CL146" s="227">
        <f t="shared" si="243"/>
        <v>0</v>
      </c>
      <c r="CM146" s="227">
        <f t="shared" si="243"/>
        <v>0</v>
      </c>
      <c r="CN146" s="227">
        <f t="shared" si="243"/>
        <v>0</v>
      </c>
      <c r="CO146" s="227">
        <f t="shared" si="243"/>
        <v>0</v>
      </c>
      <c r="CP146" s="227">
        <f t="shared" si="243"/>
        <v>0</v>
      </c>
      <c r="CQ146" s="227">
        <f t="shared" si="243"/>
        <v>0</v>
      </c>
      <c r="CR146" s="227">
        <f t="shared" si="243"/>
        <v>0</v>
      </c>
      <c r="CS146" s="227">
        <f t="shared" si="243"/>
        <v>0</v>
      </c>
      <c r="CT146" s="227">
        <f t="shared" si="243"/>
        <v>0</v>
      </c>
      <c r="CU146" s="227">
        <f t="shared" si="243"/>
        <v>0</v>
      </c>
      <c r="CV146" s="227">
        <f t="shared" si="243"/>
        <v>0</v>
      </c>
      <c r="CW146" s="227">
        <f t="shared" ref="CW146:EG146" si="244">CW143*ContrEquity</f>
        <v>0</v>
      </c>
      <c r="CX146" s="227">
        <f t="shared" si="244"/>
        <v>0</v>
      </c>
      <c r="CY146" s="227">
        <f t="shared" si="244"/>
        <v>0</v>
      </c>
      <c r="CZ146" s="227">
        <f t="shared" si="244"/>
        <v>0</v>
      </c>
      <c r="DA146" s="227">
        <f t="shared" si="244"/>
        <v>0</v>
      </c>
      <c r="DB146" s="227">
        <f t="shared" si="244"/>
        <v>0</v>
      </c>
      <c r="DC146" s="227">
        <f t="shared" si="244"/>
        <v>0</v>
      </c>
      <c r="DD146" s="227">
        <f t="shared" si="244"/>
        <v>0</v>
      </c>
      <c r="DE146" s="227">
        <f t="shared" si="244"/>
        <v>0</v>
      </c>
      <c r="DF146" s="227">
        <f t="shared" si="244"/>
        <v>0</v>
      </c>
      <c r="DG146" s="227">
        <f t="shared" si="244"/>
        <v>0</v>
      </c>
      <c r="DH146" s="227">
        <f t="shared" si="244"/>
        <v>0</v>
      </c>
      <c r="DI146" s="227">
        <f t="shared" si="244"/>
        <v>0</v>
      </c>
      <c r="DJ146" s="227">
        <f t="shared" si="244"/>
        <v>0</v>
      </c>
      <c r="DK146" s="227">
        <f t="shared" si="244"/>
        <v>0</v>
      </c>
      <c r="DL146" s="227">
        <f t="shared" si="244"/>
        <v>0</v>
      </c>
      <c r="DM146" s="227">
        <f t="shared" si="244"/>
        <v>0</v>
      </c>
      <c r="DN146" s="227">
        <f t="shared" si="244"/>
        <v>0</v>
      </c>
      <c r="DO146" s="227">
        <f t="shared" si="244"/>
        <v>0</v>
      </c>
      <c r="DP146" s="227">
        <f t="shared" si="244"/>
        <v>0</v>
      </c>
      <c r="DQ146" s="227">
        <f t="shared" si="244"/>
        <v>0</v>
      </c>
      <c r="DR146" s="227">
        <f t="shared" si="244"/>
        <v>0</v>
      </c>
      <c r="DS146" s="227">
        <f t="shared" si="244"/>
        <v>0</v>
      </c>
      <c r="DT146" s="227">
        <f t="shared" si="244"/>
        <v>0</v>
      </c>
      <c r="DU146" s="227">
        <f t="shared" si="244"/>
        <v>0</v>
      </c>
      <c r="DV146" s="227">
        <f t="shared" si="244"/>
        <v>0</v>
      </c>
      <c r="DW146" s="227">
        <f t="shared" si="244"/>
        <v>0</v>
      </c>
      <c r="DX146" s="227">
        <f t="shared" si="244"/>
        <v>0</v>
      </c>
      <c r="DY146" s="227">
        <f t="shared" si="244"/>
        <v>0</v>
      </c>
      <c r="DZ146" s="227">
        <f t="shared" si="244"/>
        <v>0</v>
      </c>
      <c r="EA146" s="227">
        <f t="shared" si="244"/>
        <v>0</v>
      </c>
      <c r="EB146" s="227">
        <f t="shared" si="244"/>
        <v>0</v>
      </c>
      <c r="EC146" s="227">
        <f t="shared" si="244"/>
        <v>0</v>
      </c>
      <c r="ED146" s="227">
        <f t="shared" si="244"/>
        <v>0</v>
      </c>
      <c r="EE146" s="227">
        <f t="shared" si="244"/>
        <v>0</v>
      </c>
      <c r="EF146" s="227">
        <f t="shared" si="244"/>
        <v>0</v>
      </c>
      <c r="EG146" s="227">
        <f t="shared" si="244"/>
        <v>0</v>
      </c>
    </row>
    <row r="147" spans="1:139" x14ac:dyDescent="0.3">
      <c r="A147" s="229" t="str">
        <f>'General Inputs'!$K$29</f>
        <v>Quarterra</v>
      </c>
      <c r="E147" s="227">
        <f t="shared" ref="E147:AJ147" si="245">E143*ContrLennar</f>
        <v>0</v>
      </c>
      <c r="F147" s="227">
        <f t="shared" si="245"/>
        <v>0</v>
      </c>
      <c r="G147" s="227">
        <f t="shared" si="245"/>
        <v>0</v>
      </c>
      <c r="H147" s="227">
        <f t="shared" si="245"/>
        <v>0</v>
      </c>
      <c r="I147" s="227">
        <f t="shared" si="245"/>
        <v>0</v>
      </c>
      <c r="J147" s="227">
        <f t="shared" si="245"/>
        <v>0</v>
      </c>
      <c r="K147" s="227">
        <f t="shared" si="245"/>
        <v>0</v>
      </c>
      <c r="L147" s="227">
        <f t="shared" si="245"/>
        <v>0</v>
      </c>
      <c r="M147" s="227">
        <f t="shared" si="245"/>
        <v>0</v>
      </c>
      <c r="N147" s="227">
        <f t="shared" si="245"/>
        <v>0</v>
      </c>
      <c r="O147" s="227">
        <f t="shared" si="245"/>
        <v>0</v>
      </c>
      <c r="P147" s="227">
        <f t="shared" si="245"/>
        <v>0</v>
      </c>
      <c r="Q147" s="227">
        <f t="shared" si="245"/>
        <v>0</v>
      </c>
      <c r="R147" s="227">
        <f t="shared" si="245"/>
        <v>0</v>
      </c>
      <c r="S147" s="227">
        <f t="shared" si="245"/>
        <v>0</v>
      </c>
      <c r="T147" s="227">
        <f t="shared" si="245"/>
        <v>0</v>
      </c>
      <c r="U147" s="227">
        <f t="shared" si="245"/>
        <v>0</v>
      </c>
      <c r="V147" s="227">
        <f t="shared" si="245"/>
        <v>0</v>
      </c>
      <c r="W147" s="227">
        <f t="shared" si="245"/>
        <v>0</v>
      </c>
      <c r="X147" s="227">
        <f t="shared" si="245"/>
        <v>0</v>
      </c>
      <c r="Y147" s="227">
        <f t="shared" si="245"/>
        <v>0</v>
      </c>
      <c r="Z147" s="227">
        <f t="shared" si="245"/>
        <v>0</v>
      </c>
      <c r="AA147" s="227">
        <f t="shared" si="245"/>
        <v>0</v>
      </c>
      <c r="AB147" s="227">
        <f t="shared" si="245"/>
        <v>0</v>
      </c>
      <c r="AC147" s="227">
        <f t="shared" si="245"/>
        <v>0</v>
      </c>
      <c r="AD147" s="227">
        <f t="shared" si="245"/>
        <v>0</v>
      </c>
      <c r="AE147" s="227">
        <f t="shared" si="245"/>
        <v>0</v>
      </c>
      <c r="AF147" s="227">
        <f t="shared" si="245"/>
        <v>0</v>
      </c>
      <c r="AG147" s="227">
        <f t="shared" si="245"/>
        <v>0</v>
      </c>
      <c r="AH147" s="227">
        <f t="shared" ca="1" si="245"/>
        <v>0</v>
      </c>
      <c r="AI147" s="227">
        <f t="shared" si="245"/>
        <v>0</v>
      </c>
      <c r="AJ147" s="227">
        <f t="shared" si="245"/>
        <v>0</v>
      </c>
      <c r="AK147" s="227">
        <f t="shared" ref="AK147:BP147" si="246">AK143*ContrLennar</f>
        <v>0</v>
      </c>
      <c r="AL147" s="227">
        <f t="shared" si="246"/>
        <v>0</v>
      </c>
      <c r="AM147" s="227">
        <f t="shared" si="246"/>
        <v>0</v>
      </c>
      <c r="AN147" s="227">
        <f t="shared" si="246"/>
        <v>0</v>
      </c>
      <c r="AO147" s="227">
        <f t="shared" si="246"/>
        <v>0</v>
      </c>
      <c r="AP147" s="227">
        <f t="shared" si="246"/>
        <v>0</v>
      </c>
      <c r="AQ147" s="227">
        <f t="shared" si="246"/>
        <v>0</v>
      </c>
      <c r="AR147" s="227">
        <f t="shared" si="246"/>
        <v>0</v>
      </c>
      <c r="AS147" s="227">
        <f t="shared" si="246"/>
        <v>0</v>
      </c>
      <c r="AT147" s="227">
        <f t="shared" si="246"/>
        <v>0</v>
      </c>
      <c r="AU147" s="227">
        <f t="shared" si="246"/>
        <v>0</v>
      </c>
      <c r="AV147" s="227">
        <f t="shared" si="246"/>
        <v>0</v>
      </c>
      <c r="AW147" s="227">
        <f t="shared" si="246"/>
        <v>0</v>
      </c>
      <c r="AX147" s="227">
        <f t="shared" si="246"/>
        <v>0</v>
      </c>
      <c r="AY147" s="227">
        <f t="shared" si="246"/>
        <v>0</v>
      </c>
      <c r="AZ147" s="227">
        <f t="shared" si="246"/>
        <v>0</v>
      </c>
      <c r="BA147" s="227">
        <f t="shared" si="246"/>
        <v>0</v>
      </c>
      <c r="BB147" s="227">
        <f t="shared" si="246"/>
        <v>0</v>
      </c>
      <c r="BC147" s="227">
        <f t="shared" si="246"/>
        <v>0</v>
      </c>
      <c r="BD147" s="227">
        <f t="shared" si="246"/>
        <v>0</v>
      </c>
      <c r="BE147" s="227">
        <f t="shared" si="246"/>
        <v>0</v>
      </c>
      <c r="BF147" s="227">
        <f t="shared" si="246"/>
        <v>0</v>
      </c>
      <c r="BG147" s="227">
        <f t="shared" si="246"/>
        <v>0</v>
      </c>
      <c r="BH147" s="227">
        <f t="shared" si="246"/>
        <v>0</v>
      </c>
      <c r="BI147" s="227">
        <f t="shared" si="246"/>
        <v>0</v>
      </c>
      <c r="BJ147" s="227">
        <f t="shared" si="246"/>
        <v>0</v>
      </c>
      <c r="BK147" s="227">
        <f t="shared" si="246"/>
        <v>0</v>
      </c>
      <c r="BL147" s="227">
        <f t="shared" si="246"/>
        <v>0</v>
      </c>
      <c r="BM147" s="227">
        <f t="shared" si="246"/>
        <v>0</v>
      </c>
      <c r="BN147" s="227">
        <f t="shared" si="246"/>
        <v>0</v>
      </c>
      <c r="BO147" s="227">
        <f t="shared" si="246"/>
        <v>0</v>
      </c>
      <c r="BP147" s="227">
        <f t="shared" si="246"/>
        <v>0</v>
      </c>
      <c r="BQ147" s="227">
        <f t="shared" ref="BQ147:CV147" si="247">BQ143*ContrLennar</f>
        <v>0</v>
      </c>
      <c r="BR147" s="227">
        <f t="shared" si="247"/>
        <v>0</v>
      </c>
      <c r="BS147" s="227">
        <f t="shared" si="247"/>
        <v>0</v>
      </c>
      <c r="BT147" s="227">
        <f t="shared" si="247"/>
        <v>0</v>
      </c>
      <c r="BU147" s="227">
        <f t="shared" si="247"/>
        <v>0</v>
      </c>
      <c r="BV147" s="227">
        <f t="shared" si="247"/>
        <v>0</v>
      </c>
      <c r="BW147" s="227">
        <f t="shared" si="247"/>
        <v>0</v>
      </c>
      <c r="BX147" s="227">
        <f t="shared" si="247"/>
        <v>0</v>
      </c>
      <c r="BY147" s="227">
        <f t="shared" si="247"/>
        <v>0</v>
      </c>
      <c r="BZ147" s="227">
        <f t="shared" si="247"/>
        <v>0</v>
      </c>
      <c r="CA147" s="227">
        <f t="shared" si="247"/>
        <v>0</v>
      </c>
      <c r="CB147" s="227">
        <f t="shared" si="247"/>
        <v>0</v>
      </c>
      <c r="CC147" s="227">
        <f t="shared" si="247"/>
        <v>0</v>
      </c>
      <c r="CD147" s="227">
        <f t="shared" si="247"/>
        <v>0</v>
      </c>
      <c r="CE147" s="227">
        <f t="shared" si="247"/>
        <v>0</v>
      </c>
      <c r="CF147" s="227">
        <f t="shared" si="247"/>
        <v>0</v>
      </c>
      <c r="CG147" s="227">
        <f t="shared" si="247"/>
        <v>0</v>
      </c>
      <c r="CH147" s="227">
        <f t="shared" si="247"/>
        <v>0</v>
      </c>
      <c r="CI147" s="227">
        <f t="shared" si="247"/>
        <v>0</v>
      </c>
      <c r="CJ147" s="227">
        <f t="shared" si="247"/>
        <v>0</v>
      </c>
      <c r="CK147" s="227">
        <f t="shared" si="247"/>
        <v>0</v>
      </c>
      <c r="CL147" s="227">
        <f t="shared" si="247"/>
        <v>0</v>
      </c>
      <c r="CM147" s="227">
        <f t="shared" si="247"/>
        <v>0</v>
      </c>
      <c r="CN147" s="227">
        <f t="shared" si="247"/>
        <v>0</v>
      </c>
      <c r="CO147" s="227">
        <f t="shared" si="247"/>
        <v>0</v>
      </c>
      <c r="CP147" s="227">
        <f t="shared" si="247"/>
        <v>0</v>
      </c>
      <c r="CQ147" s="227">
        <f t="shared" si="247"/>
        <v>0</v>
      </c>
      <c r="CR147" s="227">
        <f t="shared" si="247"/>
        <v>0</v>
      </c>
      <c r="CS147" s="227">
        <f t="shared" si="247"/>
        <v>0</v>
      </c>
      <c r="CT147" s="227">
        <f t="shared" si="247"/>
        <v>0</v>
      </c>
      <c r="CU147" s="227">
        <f t="shared" si="247"/>
        <v>0</v>
      </c>
      <c r="CV147" s="227">
        <f t="shared" si="247"/>
        <v>0</v>
      </c>
      <c r="CW147" s="227">
        <f t="shared" ref="CW147:EG147" si="248">CW143*ContrLennar</f>
        <v>0</v>
      </c>
      <c r="CX147" s="227">
        <f t="shared" si="248"/>
        <v>0</v>
      </c>
      <c r="CY147" s="227">
        <f t="shared" si="248"/>
        <v>0</v>
      </c>
      <c r="CZ147" s="227">
        <f t="shared" si="248"/>
        <v>0</v>
      </c>
      <c r="DA147" s="227">
        <f t="shared" si="248"/>
        <v>0</v>
      </c>
      <c r="DB147" s="227">
        <f t="shared" si="248"/>
        <v>0</v>
      </c>
      <c r="DC147" s="227">
        <f t="shared" si="248"/>
        <v>0</v>
      </c>
      <c r="DD147" s="227">
        <f t="shared" si="248"/>
        <v>0</v>
      </c>
      <c r="DE147" s="227">
        <f t="shared" si="248"/>
        <v>0</v>
      </c>
      <c r="DF147" s="227">
        <f t="shared" si="248"/>
        <v>0</v>
      </c>
      <c r="DG147" s="227">
        <f t="shared" si="248"/>
        <v>0</v>
      </c>
      <c r="DH147" s="227">
        <f t="shared" si="248"/>
        <v>0</v>
      </c>
      <c r="DI147" s="227">
        <f t="shared" si="248"/>
        <v>0</v>
      </c>
      <c r="DJ147" s="227">
        <f t="shared" si="248"/>
        <v>0</v>
      </c>
      <c r="DK147" s="227">
        <f t="shared" si="248"/>
        <v>0</v>
      </c>
      <c r="DL147" s="227">
        <f t="shared" si="248"/>
        <v>0</v>
      </c>
      <c r="DM147" s="227">
        <f t="shared" si="248"/>
        <v>0</v>
      </c>
      <c r="DN147" s="227">
        <f t="shared" si="248"/>
        <v>0</v>
      </c>
      <c r="DO147" s="227">
        <f t="shared" si="248"/>
        <v>0</v>
      </c>
      <c r="DP147" s="227">
        <f t="shared" si="248"/>
        <v>0</v>
      </c>
      <c r="DQ147" s="227">
        <f t="shared" si="248"/>
        <v>0</v>
      </c>
      <c r="DR147" s="227">
        <f t="shared" si="248"/>
        <v>0</v>
      </c>
      <c r="DS147" s="227">
        <f t="shared" si="248"/>
        <v>0</v>
      </c>
      <c r="DT147" s="227">
        <f t="shared" si="248"/>
        <v>0</v>
      </c>
      <c r="DU147" s="227">
        <f t="shared" si="248"/>
        <v>0</v>
      </c>
      <c r="DV147" s="227">
        <f t="shared" si="248"/>
        <v>0</v>
      </c>
      <c r="DW147" s="227">
        <f t="shared" si="248"/>
        <v>0</v>
      </c>
      <c r="DX147" s="227">
        <f t="shared" si="248"/>
        <v>0</v>
      </c>
      <c r="DY147" s="227">
        <f t="shared" si="248"/>
        <v>0</v>
      </c>
      <c r="DZ147" s="227">
        <f t="shared" si="248"/>
        <v>0</v>
      </c>
      <c r="EA147" s="227">
        <f t="shared" si="248"/>
        <v>0</v>
      </c>
      <c r="EB147" s="227">
        <f t="shared" si="248"/>
        <v>0</v>
      </c>
      <c r="EC147" s="227">
        <f t="shared" si="248"/>
        <v>0</v>
      </c>
      <c r="ED147" s="227">
        <f t="shared" si="248"/>
        <v>0</v>
      </c>
      <c r="EE147" s="227">
        <f t="shared" si="248"/>
        <v>0</v>
      </c>
      <c r="EF147" s="227">
        <f t="shared" si="248"/>
        <v>0</v>
      </c>
      <c r="EG147" s="227">
        <f t="shared" si="248"/>
        <v>0</v>
      </c>
    </row>
    <row r="148" spans="1:139" x14ac:dyDescent="0.3">
      <c r="A148" s="229" t="str">
        <f>'General Inputs'!$L$29</f>
        <v>LAND</v>
      </c>
      <c r="E148" s="227">
        <f t="shared" ref="E148:AJ148" si="249">E143*ContrLand</f>
        <v>0</v>
      </c>
      <c r="F148" s="227">
        <f t="shared" si="249"/>
        <v>0</v>
      </c>
      <c r="G148" s="227">
        <f t="shared" si="249"/>
        <v>0</v>
      </c>
      <c r="H148" s="227">
        <f t="shared" si="249"/>
        <v>0</v>
      </c>
      <c r="I148" s="227">
        <f t="shared" si="249"/>
        <v>0</v>
      </c>
      <c r="J148" s="227">
        <f t="shared" si="249"/>
        <v>0</v>
      </c>
      <c r="K148" s="227">
        <f t="shared" si="249"/>
        <v>0</v>
      </c>
      <c r="L148" s="227">
        <f t="shared" si="249"/>
        <v>0</v>
      </c>
      <c r="M148" s="227">
        <f t="shared" si="249"/>
        <v>0</v>
      </c>
      <c r="N148" s="227">
        <f t="shared" si="249"/>
        <v>0</v>
      </c>
      <c r="O148" s="227">
        <f t="shared" si="249"/>
        <v>0</v>
      </c>
      <c r="P148" s="227">
        <f t="shared" si="249"/>
        <v>0</v>
      </c>
      <c r="Q148" s="227">
        <f t="shared" si="249"/>
        <v>0</v>
      </c>
      <c r="R148" s="227">
        <f t="shared" si="249"/>
        <v>0</v>
      </c>
      <c r="S148" s="227">
        <f t="shared" si="249"/>
        <v>0</v>
      </c>
      <c r="T148" s="227">
        <f t="shared" si="249"/>
        <v>0</v>
      </c>
      <c r="U148" s="227">
        <f t="shared" si="249"/>
        <v>0</v>
      </c>
      <c r="V148" s="227">
        <f t="shared" si="249"/>
        <v>0</v>
      </c>
      <c r="W148" s="227">
        <f t="shared" si="249"/>
        <v>0</v>
      </c>
      <c r="X148" s="227">
        <f t="shared" si="249"/>
        <v>0</v>
      </c>
      <c r="Y148" s="227">
        <f t="shared" si="249"/>
        <v>0</v>
      </c>
      <c r="Z148" s="227">
        <f t="shared" si="249"/>
        <v>0</v>
      </c>
      <c r="AA148" s="227">
        <f t="shared" si="249"/>
        <v>0</v>
      </c>
      <c r="AB148" s="227">
        <f t="shared" si="249"/>
        <v>0</v>
      </c>
      <c r="AC148" s="227">
        <f t="shared" si="249"/>
        <v>0</v>
      </c>
      <c r="AD148" s="227">
        <f t="shared" si="249"/>
        <v>0</v>
      </c>
      <c r="AE148" s="227">
        <f t="shared" si="249"/>
        <v>0</v>
      </c>
      <c r="AF148" s="227">
        <f t="shared" si="249"/>
        <v>0</v>
      </c>
      <c r="AG148" s="227">
        <f t="shared" si="249"/>
        <v>0</v>
      </c>
      <c r="AH148" s="227">
        <f t="shared" ca="1" si="249"/>
        <v>0</v>
      </c>
      <c r="AI148" s="227">
        <f t="shared" si="249"/>
        <v>0</v>
      </c>
      <c r="AJ148" s="227">
        <f t="shared" si="249"/>
        <v>0</v>
      </c>
      <c r="AK148" s="227">
        <f t="shared" ref="AK148:BP148" si="250">AK143*ContrLand</f>
        <v>0</v>
      </c>
      <c r="AL148" s="227">
        <f t="shared" si="250"/>
        <v>0</v>
      </c>
      <c r="AM148" s="227">
        <f t="shared" si="250"/>
        <v>0</v>
      </c>
      <c r="AN148" s="227">
        <f t="shared" si="250"/>
        <v>0</v>
      </c>
      <c r="AO148" s="227">
        <f t="shared" si="250"/>
        <v>0</v>
      </c>
      <c r="AP148" s="227">
        <f t="shared" si="250"/>
        <v>0</v>
      </c>
      <c r="AQ148" s="227">
        <f t="shared" si="250"/>
        <v>0</v>
      </c>
      <c r="AR148" s="227">
        <f t="shared" si="250"/>
        <v>0</v>
      </c>
      <c r="AS148" s="227">
        <f t="shared" si="250"/>
        <v>0</v>
      </c>
      <c r="AT148" s="227">
        <f t="shared" si="250"/>
        <v>0</v>
      </c>
      <c r="AU148" s="227">
        <f t="shared" si="250"/>
        <v>0</v>
      </c>
      <c r="AV148" s="227">
        <f t="shared" si="250"/>
        <v>0</v>
      </c>
      <c r="AW148" s="227">
        <f t="shared" si="250"/>
        <v>0</v>
      </c>
      <c r="AX148" s="227">
        <f t="shared" si="250"/>
        <v>0</v>
      </c>
      <c r="AY148" s="227">
        <f t="shared" si="250"/>
        <v>0</v>
      </c>
      <c r="AZ148" s="227">
        <f t="shared" si="250"/>
        <v>0</v>
      </c>
      <c r="BA148" s="227">
        <f t="shared" si="250"/>
        <v>0</v>
      </c>
      <c r="BB148" s="227">
        <f t="shared" si="250"/>
        <v>0</v>
      </c>
      <c r="BC148" s="227">
        <f t="shared" si="250"/>
        <v>0</v>
      </c>
      <c r="BD148" s="227">
        <f t="shared" si="250"/>
        <v>0</v>
      </c>
      <c r="BE148" s="227">
        <f t="shared" si="250"/>
        <v>0</v>
      </c>
      <c r="BF148" s="227">
        <f t="shared" si="250"/>
        <v>0</v>
      </c>
      <c r="BG148" s="227">
        <f t="shared" si="250"/>
        <v>0</v>
      </c>
      <c r="BH148" s="227">
        <f t="shared" si="250"/>
        <v>0</v>
      </c>
      <c r="BI148" s="227">
        <f t="shared" si="250"/>
        <v>0</v>
      </c>
      <c r="BJ148" s="227">
        <f t="shared" si="250"/>
        <v>0</v>
      </c>
      <c r="BK148" s="227">
        <f t="shared" si="250"/>
        <v>0</v>
      </c>
      <c r="BL148" s="227">
        <f t="shared" si="250"/>
        <v>0</v>
      </c>
      <c r="BM148" s="227">
        <f t="shared" si="250"/>
        <v>0</v>
      </c>
      <c r="BN148" s="227">
        <f t="shared" si="250"/>
        <v>0</v>
      </c>
      <c r="BO148" s="227">
        <f t="shared" si="250"/>
        <v>0</v>
      </c>
      <c r="BP148" s="227">
        <f t="shared" si="250"/>
        <v>0</v>
      </c>
      <c r="BQ148" s="227">
        <f t="shared" ref="BQ148:CV148" si="251">BQ143*ContrLand</f>
        <v>0</v>
      </c>
      <c r="BR148" s="227">
        <f t="shared" si="251"/>
        <v>0</v>
      </c>
      <c r="BS148" s="227">
        <f t="shared" si="251"/>
        <v>0</v>
      </c>
      <c r="BT148" s="227">
        <f t="shared" si="251"/>
        <v>0</v>
      </c>
      <c r="BU148" s="227">
        <f t="shared" si="251"/>
        <v>0</v>
      </c>
      <c r="BV148" s="227">
        <f t="shared" si="251"/>
        <v>0</v>
      </c>
      <c r="BW148" s="227">
        <f t="shared" si="251"/>
        <v>0</v>
      </c>
      <c r="BX148" s="227">
        <f t="shared" si="251"/>
        <v>0</v>
      </c>
      <c r="BY148" s="227">
        <f t="shared" si="251"/>
        <v>0</v>
      </c>
      <c r="BZ148" s="227">
        <f t="shared" si="251"/>
        <v>0</v>
      </c>
      <c r="CA148" s="227">
        <f t="shared" si="251"/>
        <v>0</v>
      </c>
      <c r="CB148" s="227">
        <f t="shared" si="251"/>
        <v>0</v>
      </c>
      <c r="CC148" s="227">
        <f t="shared" si="251"/>
        <v>0</v>
      </c>
      <c r="CD148" s="227">
        <f t="shared" si="251"/>
        <v>0</v>
      </c>
      <c r="CE148" s="227">
        <f t="shared" si="251"/>
        <v>0</v>
      </c>
      <c r="CF148" s="227">
        <f t="shared" si="251"/>
        <v>0</v>
      </c>
      <c r="CG148" s="227">
        <f t="shared" si="251"/>
        <v>0</v>
      </c>
      <c r="CH148" s="227">
        <f t="shared" si="251"/>
        <v>0</v>
      </c>
      <c r="CI148" s="227">
        <f t="shared" si="251"/>
        <v>0</v>
      </c>
      <c r="CJ148" s="227">
        <f t="shared" si="251"/>
        <v>0</v>
      </c>
      <c r="CK148" s="227">
        <f t="shared" si="251"/>
        <v>0</v>
      </c>
      <c r="CL148" s="227">
        <f t="shared" si="251"/>
        <v>0</v>
      </c>
      <c r="CM148" s="227">
        <f t="shared" si="251"/>
        <v>0</v>
      </c>
      <c r="CN148" s="227">
        <f t="shared" si="251"/>
        <v>0</v>
      </c>
      <c r="CO148" s="227">
        <f t="shared" si="251"/>
        <v>0</v>
      </c>
      <c r="CP148" s="227">
        <f t="shared" si="251"/>
        <v>0</v>
      </c>
      <c r="CQ148" s="227">
        <f t="shared" si="251"/>
        <v>0</v>
      </c>
      <c r="CR148" s="227">
        <f t="shared" si="251"/>
        <v>0</v>
      </c>
      <c r="CS148" s="227">
        <f t="shared" si="251"/>
        <v>0</v>
      </c>
      <c r="CT148" s="227">
        <f t="shared" si="251"/>
        <v>0</v>
      </c>
      <c r="CU148" s="227">
        <f t="shared" si="251"/>
        <v>0</v>
      </c>
      <c r="CV148" s="227">
        <f t="shared" si="251"/>
        <v>0</v>
      </c>
      <c r="CW148" s="227">
        <f t="shared" ref="CW148:EG148" si="252">CW143*ContrLand</f>
        <v>0</v>
      </c>
      <c r="CX148" s="227">
        <f t="shared" si="252"/>
        <v>0</v>
      </c>
      <c r="CY148" s="227">
        <f t="shared" si="252"/>
        <v>0</v>
      </c>
      <c r="CZ148" s="227">
        <f t="shared" si="252"/>
        <v>0</v>
      </c>
      <c r="DA148" s="227">
        <f t="shared" si="252"/>
        <v>0</v>
      </c>
      <c r="DB148" s="227">
        <f t="shared" si="252"/>
        <v>0</v>
      </c>
      <c r="DC148" s="227">
        <f t="shared" si="252"/>
        <v>0</v>
      </c>
      <c r="DD148" s="227">
        <f t="shared" si="252"/>
        <v>0</v>
      </c>
      <c r="DE148" s="227">
        <f t="shared" si="252"/>
        <v>0</v>
      </c>
      <c r="DF148" s="227">
        <f t="shared" si="252"/>
        <v>0</v>
      </c>
      <c r="DG148" s="227">
        <f t="shared" si="252"/>
        <v>0</v>
      </c>
      <c r="DH148" s="227">
        <f t="shared" si="252"/>
        <v>0</v>
      </c>
      <c r="DI148" s="227">
        <f t="shared" si="252"/>
        <v>0</v>
      </c>
      <c r="DJ148" s="227">
        <f t="shared" si="252"/>
        <v>0</v>
      </c>
      <c r="DK148" s="227">
        <f t="shared" si="252"/>
        <v>0</v>
      </c>
      <c r="DL148" s="227">
        <f t="shared" si="252"/>
        <v>0</v>
      </c>
      <c r="DM148" s="227">
        <f t="shared" si="252"/>
        <v>0</v>
      </c>
      <c r="DN148" s="227">
        <f t="shared" si="252"/>
        <v>0</v>
      </c>
      <c r="DO148" s="227">
        <f t="shared" si="252"/>
        <v>0</v>
      </c>
      <c r="DP148" s="227">
        <f t="shared" si="252"/>
        <v>0</v>
      </c>
      <c r="DQ148" s="227">
        <f t="shared" si="252"/>
        <v>0</v>
      </c>
      <c r="DR148" s="227">
        <f t="shared" si="252"/>
        <v>0</v>
      </c>
      <c r="DS148" s="227">
        <f t="shared" si="252"/>
        <v>0</v>
      </c>
      <c r="DT148" s="227">
        <f t="shared" si="252"/>
        <v>0</v>
      </c>
      <c r="DU148" s="227">
        <f t="shared" si="252"/>
        <v>0</v>
      </c>
      <c r="DV148" s="227">
        <f t="shared" si="252"/>
        <v>0</v>
      </c>
      <c r="DW148" s="227">
        <f t="shared" si="252"/>
        <v>0</v>
      </c>
      <c r="DX148" s="227">
        <f t="shared" si="252"/>
        <v>0</v>
      </c>
      <c r="DY148" s="227">
        <f t="shared" si="252"/>
        <v>0</v>
      </c>
      <c r="DZ148" s="227">
        <f t="shared" si="252"/>
        <v>0</v>
      </c>
      <c r="EA148" s="227">
        <f t="shared" si="252"/>
        <v>0</v>
      </c>
      <c r="EB148" s="227">
        <f t="shared" si="252"/>
        <v>0</v>
      </c>
      <c r="EC148" s="227">
        <f t="shared" si="252"/>
        <v>0</v>
      </c>
      <c r="ED148" s="227">
        <f t="shared" si="252"/>
        <v>0</v>
      </c>
      <c r="EE148" s="227">
        <f t="shared" si="252"/>
        <v>0</v>
      </c>
      <c r="EF148" s="227">
        <f t="shared" si="252"/>
        <v>0</v>
      </c>
      <c r="EG148" s="227">
        <f t="shared" si="252"/>
        <v>0</v>
      </c>
    </row>
    <row r="149" spans="1:139" ht="7.5" customHeight="1" thickBot="1" x14ac:dyDescent="0.35"/>
    <row r="150" spans="1:139" ht="15" thickTop="1" x14ac:dyDescent="0.3">
      <c r="A150" s="318" t="s">
        <v>2487</v>
      </c>
      <c r="B150" s="635"/>
      <c r="C150" s="321"/>
      <c r="D150" s="728"/>
      <c r="E150" s="322"/>
      <c r="F150" s="322"/>
      <c r="G150" s="322"/>
      <c r="H150" s="322"/>
      <c r="I150" s="322"/>
      <c r="J150" s="322"/>
      <c r="K150" s="322"/>
      <c r="L150" s="322"/>
      <c r="M150" s="322"/>
      <c r="N150" s="322"/>
      <c r="O150" s="322"/>
      <c r="P150" s="322"/>
      <c r="Q150" s="322"/>
      <c r="R150" s="322"/>
      <c r="S150" s="322"/>
      <c r="T150" s="322"/>
      <c r="U150" s="322"/>
      <c r="V150" s="322"/>
      <c r="W150" s="322"/>
      <c r="X150" s="322"/>
      <c r="Y150" s="322"/>
      <c r="Z150" s="322"/>
      <c r="AA150" s="322"/>
      <c r="AB150" s="322"/>
      <c r="AC150" s="322"/>
      <c r="AD150" s="322"/>
      <c r="AE150" s="322"/>
      <c r="AF150" s="322"/>
      <c r="AG150" s="322"/>
      <c r="AH150" s="322"/>
      <c r="AI150" s="322"/>
      <c r="AJ150" s="322"/>
      <c r="AK150" s="322"/>
      <c r="AL150" s="322"/>
      <c r="AM150" s="322"/>
      <c r="AN150" s="322"/>
      <c r="AO150" s="322"/>
      <c r="AP150" s="322"/>
      <c r="AQ150" s="322"/>
      <c r="AR150" s="322"/>
      <c r="AS150" s="322"/>
      <c r="AT150" s="322"/>
      <c r="AU150" s="322"/>
      <c r="AV150" s="322"/>
      <c r="AW150" s="322"/>
      <c r="AX150" s="322"/>
      <c r="AY150" s="322"/>
      <c r="AZ150" s="322"/>
      <c r="BA150" s="322"/>
      <c r="BB150" s="322"/>
      <c r="BC150" s="322"/>
      <c r="BD150" s="322"/>
      <c r="BE150" s="322"/>
      <c r="BF150" s="322"/>
      <c r="BG150" s="322"/>
      <c r="BH150" s="322"/>
      <c r="BI150" s="322"/>
      <c r="BJ150" s="322"/>
      <c r="BK150" s="322"/>
      <c r="BL150" s="322"/>
      <c r="BM150" s="322"/>
      <c r="BN150" s="322"/>
      <c r="BO150" s="322"/>
      <c r="BP150" s="322"/>
      <c r="BQ150" s="322"/>
      <c r="BR150" s="322"/>
      <c r="BS150" s="322"/>
      <c r="BT150" s="322"/>
      <c r="BU150" s="322"/>
      <c r="BV150" s="322"/>
      <c r="BW150" s="322"/>
      <c r="BX150" s="322"/>
      <c r="BY150" s="322"/>
      <c r="BZ150" s="322"/>
      <c r="CA150" s="322"/>
      <c r="CB150" s="322"/>
      <c r="CC150" s="322"/>
      <c r="CD150" s="322"/>
      <c r="CE150" s="322"/>
      <c r="CF150" s="322"/>
      <c r="CG150" s="322"/>
      <c r="CH150" s="322"/>
      <c r="CI150" s="322"/>
      <c r="CJ150" s="322"/>
      <c r="CK150" s="322"/>
      <c r="CL150" s="322"/>
      <c r="CM150" s="322"/>
      <c r="CN150" s="322"/>
      <c r="CO150" s="322"/>
      <c r="CP150" s="322"/>
      <c r="CQ150" s="322"/>
      <c r="CR150" s="322"/>
      <c r="CS150" s="322"/>
      <c r="CT150" s="322"/>
      <c r="CU150" s="322"/>
      <c r="CV150" s="322"/>
      <c r="CW150" s="322"/>
      <c r="CX150" s="322"/>
      <c r="CY150" s="322"/>
      <c r="CZ150" s="322"/>
      <c r="DA150" s="322"/>
      <c r="DB150" s="322"/>
      <c r="DC150" s="322"/>
      <c r="DD150" s="322"/>
      <c r="DE150" s="322"/>
      <c r="DF150" s="322"/>
      <c r="DG150" s="322"/>
      <c r="DH150" s="322"/>
      <c r="DI150" s="322"/>
      <c r="DJ150" s="322"/>
      <c r="DK150" s="322"/>
      <c r="DL150" s="322"/>
      <c r="DM150" s="322"/>
      <c r="DN150" s="322"/>
      <c r="DO150" s="322"/>
      <c r="DP150" s="322"/>
      <c r="DQ150" s="322"/>
      <c r="DR150" s="322"/>
      <c r="DS150" s="322"/>
      <c r="DT150" s="322"/>
      <c r="DU150" s="322"/>
      <c r="DV150" s="322"/>
      <c r="DW150" s="322"/>
      <c r="DX150" s="322"/>
      <c r="DY150" s="322"/>
      <c r="DZ150" s="322"/>
      <c r="EA150" s="322"/>
      <c r="EB150" s="322"/>
      <c r="EC150" s="322"/>
      <c r="ED150" s="322"/>
      <c r="EE150" s="322"/>
      <c r="EF150" s="322"/>
      <c r="EG150" s="322"/>
      <c r="EH150" s="644"/>
      <c r="EI150" s="722"/>
    </row>
    <row r="151" spans="1:139" x14ac:dyDescent="0.3">
      <c r="A151" s="703" t="s">
        <v>266</v>
      </c>
      <c r="B151" s="703"/>
      <c r="C151" s="703"/>
      <c r="D151" s="686"/>
      <c r="E151" s="408">
        <v>0</v>
      </c>
      <c r="F151" s="408">
        <f ca="1">OperBgt!G81</f>
        <v>0</v>
      </c>
      <c r="G151" s="408">
        <f ca="1">OperBgt!H81</f>
        <v>0</v>
      </c>
      <c r="H151" s="408">
        <f ca="1">OperBgt!I81</f>
        <v>0</v>
      </c>
      <c r="I151" s="408">
        <f ca="1">OperBgt!J81</f>
        <v>0</v>
      </c>
      <c r="J151" s="408">
        <f ca="1">OperBgt!K81</f>
        <v>0</v>
      </c>
      <c r="K151" s="408">
        <f ca="1">OperBgt!L81</f>
        <v>0</v>
      </c>
      <c r="L151" s="408">
        <f ca="1">OperBgt!M81</f>
        <v>0</v>
      </c>
      <c r="M151" s="408">
        <f ca="1">OperBgt!N81</f>
        <v>0</v>
      </c>
      <c r="N151" s="408">
        <f ca="1">OperBgt!O81</f>
        <v>0</v>
      </c>
      <c r="O151" s="408">
        <f ca="1">OperBgt!P81</f>
        <v>0</v>
      </c>
      <c r="P151" s="408">
        <f ca="1">OperBgt!Q81</f>
        <v>0</v>
      </c>
      <c r="Q151" s="408">
        <f ca="1">OperBgt!R81</f>
        <v>0</v>
      </c>
      <c r="R151" s="408">
        <f ca="1">OperBgt!S81</f>
        <v>0</v>
      </c>
      <c r="S151" s="408">
        <f ca="1">OperBgt!T81</f>
        <v>-79914.316796474115</v>
      </c>
      <c r="T151" s="408">
        <f ca="1">OperBgt!U81</f>
        <v>-82060.245337504763</v>
      </c>
      <c r="U151" s="408">
        <f ca="1">OperBgt!V81</f>
        <v>-86595.158524060025</v>
      </c>
      <c r="V151" s="408">
        <f ca="1">OperBgt!W81</f>
        <v>-56402.494005308195</v>
      </c>
      <c r="W151" s="408">
        <f ca="1">OperBgt!X81</f>
        <v>-24108.319380961417</v>
      </c>
      <c r="X151" s="408">
        <f ca="1">OperBgt!Y81</f>
        <v>18209.854825437622</v>
      </c>
      <c r="Y151" s="408">
        <f ca="1">OperBgt!Z81</f>
        <v>56500.143230712856</v>
      </c>
      <c r="Z151" s="408">
        <f ca="1">OperBgt!AA81</f>
        <v>102946.80735325644</v>
      </c>
      <c r="AA151" s="408">
        <f ca="1">OperBgt!AB81</f>
        <v>157875.37404944244</v>
      </c>
      <c r="AB151" s="408">
        <f ca="1">OperBgt!AC81</f>
        <v>212821.87139084551</v>
      </c>
      <c r="AC151" s="408">
        <f ca="1">OperBgt!AD81</f>
        <v>267330.11645634141</v>
      </c>
      <c r="AD151" s="408">
        <f ca="1">OperBgt!AE81</f>
        <v>312914.23836094659</v>
      </c>
      <c r="AE151" s="408">
        <f ca="1">OperBgt!AF81</f>
        <v>362378.97728815104</v>
      </c>
      <c r="AF151" s="408">
        <f ca="1">OperBgt!AG81</f>
        <v>451816.95146866475</v>
      </c>
      <c r="AG151" s="408">
        <f ca="1">OperBgt!AH81</f>
        <v>455463.29312051501</v>
      </c>
      <c r="AH151" s="408">
        <f ca="1">OperBgt!AI81</f>
        <v>456766.44205825822</v>
      </c>
      <c r="AI151" s="408">
        <f ca="1">OperBgt!AJ81</f>
        <v>458065.37544189114</v>
      </c>
      <c r="AJ151" s="408">
        <f ca="1">OperBgt!AK81</f>
        <v>460654.32296283479</v>
      </c>
      <c r="AK151" s="408">
        <f ca="1">OperBgt!AL81</f>
        <v>463449.9474365738</v>
      </c>
      <c r="AL151" s="408">
        <f ca="1">OperBgt!AM81</f>
        <v>466234.96025121259</v>
      </c>
      <c r="AM151" s="408">
        <f ca="1">OperBgt!AN81</f>
        <v>469009.17238545336</v>
      </c>
      <c r="AN151" s="408">
        <f ca="1">OperBgt!AO81</f>
        <v>471772.39311618236</v>
      </c>
      <c r="AO151" s="408">
        <f ca="1">OperBgt!AP81</f>
        <v>474524.4300057377</v>
      </c>
      <c r="AP151" s="408">
        <f ca="1">OperBgt!AQ81</f>
        <v>476427.92519972794</v>
      </c>
      <c r="AQ151" s="408">
        <f ca="1">OperBgt!AR81</f>
        <v>479995.52264995803</v>
      </c>
      <c r="AR151" s="408">
        <f ca="1">OperBgt!AS81</f>
        <v>483111.49464400182</v>
      </c>
      <c r="AS151" s="408">
        <f ca="1">OperBgt!AT81</f>
        <v>478559.14972743264</v>
      </c>
      <c r="AT151" s="408">
        <f ca="1">OperBgt!AU81</f>
        <v>480413.89549620287</v>
      </c>
      <c r="AU151" s="408">
        <f ca="1">OperBgt!AV81</f>
        <v>482234.35250803625</v>
      </c>
      <c r="AV151" s="408">
        <f ca="1">OperBgt!AW81</f>
        <v>484797.01012287039</v>
      </c>
      <c r="AW151" s="408">
        <f ca="1">OperBgt!AX81</f>
        <v>487280.88465593866</v>
      </c>
      <c r="AX151" s="408">
        <f ca="1">OperBgt!AY81</f>
        <v>489685.28103279963</v>
      </c>
      <c r="AY151" s="408">
        <f ca="1">OperBgt!AZ81</f>
        <v>492009.49970698566</v>
      </c>
      <c r="AZ151" s="408">
        <f ca="1">OperBgt!BA81</f>
        <v>494252.83663431375</v>
      </c>
      <c r="BA151" s="408">
        <f ca="1">OperBgt!BB81</f>
        <v>496414.58324705542</v>
      </c>
      <c r="BB151" s="408">
        <f ca="1">OperBgt!BC81</f>
        <v>497879.55965090473</v>
      </c>
      <c r="BC151" s="408">
        <f ca="1">OperBgt!BD81</f>
        <v>500499.73773640854</v>
      </c>
      <c r="BD151" s="408">
        <f ca="1">OperBgt!BE81</f>
        <v>502739.51848888909</v>
      </c>
      <c r="BE151" s="408">
        <f ca="1">OperBgt!BF81</f>
        <v>498921.91795716889</v>
      </c>
      <c r="BF151" s="408">
        <f ca="1">OperBgt!BG81</f>
        <v>500300.31760032848</v>
      </c>
      <c r="BG151" s="408">
        <f ca="1">OperBgt!BH81</f>
        <v>501702.61423743202</v>
      </c>
      <c r="BH151" s="408">
        <f ca="1">OperBgt!BI81</f>
        <v>503722.29047982744</v>
      </c>
      <c r="BI151" s="408">
        <f ca="1">OperBgt!BJ81</f>
        <v>505795.49071748916</v>
      </c>
      <c r="BJ151" s="408">
        <f ca="1">OperBgt!BK81</f>
        <v>507922.58421359758</v>
      </c>
      <c r="BK151" s="408">
        <f ca="1">OperBgt!BL81</f>
        <v>510103.94224300742</v>
      </c>
      <c r="BL151" s="408">
        <f ca="1">OperBgt!BM81</f>
        <v>512339.93810215557</v>
      </c>
      <c r="BM151" s="408">
        <f ca="1">OperBgt!BN81</f>
        <v>514630.94711901573</v>
      </c>
      <c r="BN151" s="408">
        <f ca="1">OperBgt!BO81</f>
        <v>516276.25486014318</v>
      </c>
      <c r="BO151" s="408">
        <f ca="1">OperBgt!BP81</f>
        <v>519373.38611788035</v>
      </c>
      <c r="BP151" s="408">
        <f ca="1">OperBgt!BQ81</f>
        <v>522135.37663094851</v>
      </c>
      <c r="BQ151" s="408">
        <f ca="1">OperBgt!BR81</f>
        <v>518419.06054923532</v>
      </c>
      <c r="BR151" s="408">
        <f ca="1">OperBgt!BS81</f>
        <v>520144.75562531967</v>
      </c>
      <c r="BS151" s="408">
        <f ca="1">OperBgt!BT81</f>
        <v>521875.14890061965</v>
      </c>
      <c r="BT151" s="408">
        <f ca="1">OperBgt!BU81</f>
        <v>524354.43330257526</v>
      </c>
      <c r="BU151" s="408">
        <f ca="1">OperBgt!BV81</f>
        <v>526843.58570303489</v>
      </c>
      <c r="BV151" s="408">
        <f ca="1">OperBgt!BW81</f>
        <v>529342.6460064312</v>
      </c>
      <c r="BW151" s="408">
        <f ca="1">OperBgt!BX81</f>
        <v>531851.65428017685</v>
      </c>
      <c r="BX151" s="408">
        <f ca="1">OperBgt!BY81</f>
        <v>534370.65075533488</v>
      </c>
      <c r="BY151" s="408">
        <f ca="1">OperBgt!BZ81</f>
        <v>536899.67582729051</v>
      </c>
      <c r="BZ151" s="408">
        <f ca="1">OperBgt!CA81</f>
        <v>538675.87793313887</v>
      </c>
      <c r="CA151" s="408">
        <f ca="1">OperBgt!CB81</f>
        <v>541986.9194704449</v>
      </c>
      <c r="CB151" s="408">
        <f ca="1">OperBgt!CC81</f>
        <v>544900.04299266823</v>
      </c>
      <c r="CC151" s="408">
        <f ca="1">OperBgt!CD81</f>
        <v>541074.88530461828</v>
      </c>
      <c r="CD151" s="408">
        <f ca="1">OperBgt!CE81</f>
        <v>542870.51224912284</v>
      </c>
      <c r="CE151" s="408">
        <f ca="1">OperBgt!CF81</f>
        <v>544671.02855402918</v>
      </c>
      <c r="CF151" s="408">
        <f ca="1">OperBgt!CG81</f>
        <v>547252.08386614628</v>
      </c>
      <c r="CG151" s="408">
        <f ca="1">OperBgt!CH81</f>
        <v>549843.41682661092</v>
      </c>
      <c r="CH151" s="408">
        <f ca="1">OperBgt!CI81</f>
        <v>552445.0690081853</v>
      </c>
      <c r="CI151" s="408">
        <f ca="1">OperBgt!CJ81</f>
        <v>555057.08215345617</v>
      </c>
      <c r="CJ151" s="408">
        <f ca="1">OperBgt!CK81</f>
        <v>557679.49817553186</v>
      </c>
      <c r="CK151" s="408">
        <f ca="1">OperBgt!CL81</f>
        <v>560312.35915874352</v>
      </c>
      <c r="CL151" s="408">
        <f ca="1">OperBgt!CM81</f>
        <v>562160.56809083058</v>
      </c>
      <c r="CM151" s="408">
        <f ca="1">OperBgt!CN81</f>
        <v>565608.48592620203</v>
      </c>
      <c r="CN151" s="408">
        <f ca="1">OperBgt!CO81</f>
        <v>568641.65831461549</v>
      </c>
      <c r="CO151" s="408">
        <f ca="1">OperBgt!CP81</f>
        <v>564703.83189703058</v>
      </c>
      <c r="CP151" s="408">
        <f ca="1">OperBgt!CQ81</f>
        <v>566572.25632490334</v>
      </c>
      <c r="CQ151" s="408">
        <f ca="1">OperBgt!CR81</f>
        <v>568445.76913177699</v>
      </c>
      <c r="CR151" s="408">
        <f ca="1">OperBgt!CS81</f>
        <v>571132.80634623789</v>
      </c>
      <c r="CS151" s="408">
        <f ca="1">OperBgt!CT81</f>
        <v>573830.54795062961</v>
      </c>
      <c r="CT151" s="408">
        <f ca="1">OperBgt!CU81</f>
        <v>576539.03725601151</v>
      </c>
      <c r="CU151" s="408">
        <f ca="1">OperBgt!CV81</f>
        <v>579258.317750399</v>
      </c>
      <c r="CV151" s="408">
        <f ca="1">OperBgt!CW81</f>
        <v>581988.43309949036</v>
      </c>
      <c r="CW151" s="408">
        <f ca="1">OperBgt!CX81</f>
        <v>584729.42714739719</v>
      </c>
      <c r="CX151" s="408">
        <f ca="1">OperBgt!CY81</f>
        <v>586652.59442968457</v>
      </c>
      <c r="CY151" s="408">
        <f ca="1">OperBgt!CZ81</f>
        <v>590243.08186640718</v>
      </c>
      <c r="CZ151" s="408">
        <f ca="1">OperBgt!DA81</f>
        <v>593401.28490758489</v>
      </c>
      <c r="DA151" s="408">
        <f ca="1">OperBgt!DB81</f>
        <v>589346.75468405487</v>
      </c>
      <c r="DB151" s="408">
        <f ca="1">OperBgt!DC81</f>
        <v>591290.96062732779</v>
      </c>
      <c r="DC151" s="408">
        <f ca="1">OperBgt!DD81</f>
        <v>593240.46215105522</v>
      </c>
      <c r="DD151" s="408">
        <f ca="1">OperBgt!DE81</f>
        <v>596037.86753229378</v>
      </c>
      <c r="DE151" s="408">
        <f ca="1">OperBgt!DF81</f>
        <v>598846.42185252707</v>
      </c>
      <c r="DF151" s="408">
        <f ca="1">OperBgt!DG81</f>
        <v>601666.17023402033</v>
      </c>
      <c r="DG151" s="408">
        <f ca="1">OperBgt!DH81</f>
        <v>604497.15798342554</v>
      </c>
      <c r="DH151" s="408">
        <f ca="1">OperBgt!DI81</f>
        <v>607339.43059254042</v>
      </c>
      <c r="DI151" s="408">
        <f ca="1">OperBgt!DJ81</f>
        <v>610193.03373906901</v>
      </c>
      <c r="DJ151" s="408">
        <f ca="1">OperBgt!DK81</f>
        <v>612194.23288998241</v>
      </c>
      <c r="DK151" s="408">
        <f ca="1">OperBgt!DL81</f>
        <v>615933.22111290391</v>
      </c>
      <c r="DL151" s="408">
        <f ca="1">OperBgt!DM81</f>
        <v>619221.64439261565</v>
      </c>
      <c r="DM151" s="408">
        <f ca="1">OperBgt!DN81</f>
        <v>615046.15015253832</v>
      </c>
      <c r="DN151" s="408">
        <f ca="1">OperBgt!DO81</f>
        <v>617069.24498442945</v>
      </c>
      <c r="DO151" s="408">
        <f ca="1">OperBgt!DP81</f>
        <v>619097.85112008266</v>
      </c>
      <c r="DP151" s="408">
        <f ca="1">OperBgt!DQ81</f>
        <v>622010.19353173045</v>
      </c>
      <c r="DQ151" s="408">
        <f ca="1">OperBgt!DR81</f>
        <v>624934.14798471192</v>
      </c>
      <c r="DR151" s="408">
        <f ca="1">OperBgt!DS81</f>
        <v>627869.76148847025</v>
      </c>
      <c r="DS151" s="408">
        <f ca="1">OperBgt!DT81</f>
        <v>630817.08124458021</v>
      </c>
      <c r="DT151" s="408">
        <f ca="1">OperBgt!DU81</f>
        <v>633776.15464753821</v>
      </c>
      <c r="DU151" s="408">
        <f ca="1">OperBgt!DV81</f>
        <v>636747.02928555524</v>
      </c>
      <c r="DV151" s="408">
        <f ca="1">OperBgt!DW81</f>
        <v>638829.46089168428</v>
      </c>
      <c r="DW151" s="408">
        <f ca="1">OperBgt!DX81</f>
        <v>642723.12893920788</v>
      </c>
      <c r="DX151" s="408">
        <f ca="1">OperBgt!DY81</f>
        <v>646147.17854264204</v>
      </c>
      <c r="DY151" s="408">
        <f ca="1">OperBgt!DZ81</f>
        <v>641846.21607953717</v>
      </c>
      <c r="DZ151" s="408">
        <f ca="1">OperBgt!EA81</f>
        <v>643951.43564425432</v>
      </c>
      <c r="EA151" s="408">
        <f ca="1">OperBgt!EB81</f>
        <v>646062.39111101639</v>
      </c>
      <c r="EB151" s="408">
        <f ca="1">OperBgt!EC81</f>
        <v>649094.42965010437</v>
      </c>
      <c r="EC151" s="408">
        <f ca="1">OperBgt!ED81</f>
        <v>652138.56266325037</v>
      </c>
      <c r="ED151" s="408">
        <f ca="1">OperBgt!EE81</f>
        <v>655194.83912624221</v>
      </c>
      <c r="EE151" s="408">
        <f ca="1">OperBgt!EF81</f>
        <v>658263.30821506947</v>
      </c>
      <c r="EF151" s="408">
        <f ca="1">OperBgt!EG81</f>
        <v>661344.01930674643</v>
      </c>
      <c r="EG151" s="408">
        <f ca="1">OperBgt!EH81</f>
        <v>664437.02198014036</v>
      </c>
      <c r="EH151" s="644"/>
      <c r="EI151" s="280"/>
    </row>
    <row r="152" spans="1:139" x14ac:dyDescent="0.3">
      <c r="A152" s="408" t="s">
        <v>2488</v>
      </c>
      <c r="B152" s="408"/>
      <c r="C152" s="408"/>
      <c r="D152" s="686"/>
      <c r="E152" s="407">
        <v>0</v>
      </c>
      <c r="F152" s="407">
        <f ca="1">-F14*IF('General Inputs'!$H$15&gt;0,'General Inputs'!$H$15,(LOOKUP(F$6,'Forward Curves'!$Q$4:$Q$1000,'Forward Curves'!$D$4:$D$1000)+'Forward Curves'!$H$4))/12</f>
        <v>0</v>
      </c>
      <c r="G152" s="407">
        <f ca="1">-G14*IF('General Inputs'!$H$15&gt;0,'General Inputs'!$H$15,(LOOKUP(G$6,'Forward Curves'!$Q$4:$Q$1000,'Forward Curves'!$D$4:$D$1000)+'Forward Curves'!$H$4))/12</f>
        <v>0</v>
      </c>
      <c r="H152" s="407">
        <f ca="1">-H14*IF('General Inputs'!$H$15&gt;0,'General Inputs'!$H$15,(LOOKUP(H$6,'Forward Curves'!$Q$4:$Q$1000,'Forward Curves'!$D$4:$D$1000)+'Forward Curves'!$H$4))/12</f>
        <v>0</v>
      </c>
      <c r="I152" s="407">
        <f ca="1">-I14*IF('General Inputs'!$H$15&gt;0,'General Inputs'!$H$15,(LOOKUP(I$6,'Forward Curves'!$Q$4:$Q$1000,'Forward Curves'!$D$4:$D$1000)+'Forward Curves'!$H$4))/12</f>
        <v>0</v>
      </c>
      <c r="J152" s="407">
        <f ca="1">-J14*IF('General Inputs'!$H$15&gt;0,'General Inputs'!$H$15,(LOOKUP(J$6,'Forward Curves'!$Q$4:$Q$1000,'Forward Curves'!$D$4:$D$1000)+'Forward Curves'!$H$4))/12</f>
        <v>0</v>
      </c>
      <c r="K152" s="407">
        <f ca="1">-K14*IF('General Inputs'!$H$15&gt;0,'General Inputs'!$H$15,(LOOKUP(K$6,'Forward Curves'!$Q$4:$Q$1000,'Forward Curves'!$D$4:$D$1000)+'Forward Curves'!$H$4))/12</f>
        <v>0</v>
      </c>
      <c r="L152" s="407">
        <f ca="1">-L14*IF('General Inputs'!$H$15&gt;0,'General Inputs'!$H$15,(LOOKUP(L$6,'Forward Curves'!$Q$4:$Q$1000,'Forward Curves'!$D$4:$D$1000)+'Forward Curves'!$H$4))/12</f>
        <v>0</v>
      </c>
      <c r="M152" s="407">
        <f ca="1">-M14*IF('General Inputs'!$H$15&gt;0,'General Inputs'!$H$15,(LOOKUP(M$6,'Forward Curves'!$Q$4:$Q$1000,'Forward Curves'!$D$4:$D$1000)+'Forward Curves'!$H$4))/12</f>
        <v>0</v>
      </c>
      <c r="N152" s="407">
        <f ca="1">-N14*IF('General Inputs'!$H$15&gt;0,'General Inputs'!$H$15,(LOOKUP(N$6,'Forward Curves'!$Q$4:$Q$1000,'Forward Curves'!$D$4:$D$1000)+'Forward Curves'!$H$4))/12</f>
        <v>0</v>
      </c>
      <c r="O152" s="407">
        <f ca="1">-O14*IF('General Inputs'!$H$15&gt;0,'General Inputs'!$H$15,(LOOKUP(O$6,'Forward Curves'!$Q$4:$Q$1000,'Forward Curves'!$D$4:$D$1000)+'Forward Curves'!$H$4))/12</f>
        <v>0</v>
      </c>
      <c r="P152" s="407">
        <f ca="1">-P14*IF('General Inputs'!$H$15&gt;0,'General Inputs'!$H$15,(LOOKUP(P$6,'Forward Curves'!$Q$4:$Q$1000,'Forward Curves'!$D$4:$D$1000)+'Forward Curves'!$H$4))/12</f>
        <v>-9271.8618416666668</v>
      </c>
      <c r="Q152" s="407">
        <f ca="1">-Q14*IF('General Inputs'!$H$15&gt;0,'General Inputs'!$H$15,(LOOKUP(Q$6,'Forward Curves'!$Q$4:$Q$1000,'Forward Curves'!$D$4:$D$1000)+'Forward Curves'!$H$4))/12</f>
        <v>-30859.985503750006</v>
      </c>
      <c r="R152" s="407">
        <f ca="1">-R14*IF('General Inputs'!$H$15&gt;0,'General Inputs'!$H$15,(LOOKUP(R$6,'Forward Curves'!$Q$4:$Q$1000,'Forward Curves'!$D$4:$D$1000)+'Forward Curves'!$H$4))/12</f>
        <v>-52721.499257916672</v>
      </c>
      <c r="S152" s="407">
        <f ca="1">-S14*IF('General Inputs'!$H$15&gt;0,'General Inputs'!$H$15,(LOOKUP(S$6,'Forward Curves'!$Q$4:$Q$1000,'Forward Curves'!$D$4:$D$1000)+'Forward Curves'!$H$4))/12</f>
        <v>-74793.826184999998</v>
      </c>
      <c r="T152" s="407">
        <f ca="1">-T14*IF('General Inputs'!$H$15&gt;0,'General Inputs'!$H$15,(LOOKUP(T$6,'Forward Curves'!$Q$4:$Q$1000,'Forward Curves'!$D$4:$D$1000)+'Forward Curves'!$H$4))/12</f>
        <v>-95453.90916208335</v>
      </c>
      <c r="U152" s="407">
        <f ca="1">-U14*IF('General Inputs'!$H$15&gt;0,'General Inputs'!$H$15,(LOOKUP(U$6,'Forward Curves'!$Q$4:$Q$1000,'Forward Curves'!$D$4:$D$1000)+'Forward Curves'!$H$4))/12</f>
        <v>-115534.80412500001</v>
      </c>
      <c r="V152" s="407">
        <f ca="1">-V14*IF('General Inputs'!$H$15&gt;0,'General Inputs'!$H$15,(LOOKUP(V$6,'Forward Curves'!$Q$4:$Q$1000,'Forward Curves'!$D$4:$D$1000)+'Forward Curves'!$H$4))/12</f>
        <v>-134160.78209083332</v>
      </c>
      <c r="W152" s="407">
        <f ca="1">-W14*IF('General Inputs'!$H$15&gt;0,'General Inputs'!$H$15,(LOOKUP(W$6,'Forward Curves'!$Q$4:$Q$1000,'Forward Curves'!$D$4:$D$1000)+'Forward Curves'!$H$4))/12</f>
        <v>-150961.88393541667</v>
      </c>
      <c r="X152" s="407">
        <f ca="1">-X14*IF('General Inputs'!$H$15&gt;0,'General Inputs'!$H$15,(LOOKUP(X$6,'Forward Curves'!$Q$4:$Q$1000,'Forward Curves'!$D$4:$D$1000)+'Forward Curves'!$H$4))/12</f>
        <v>-167678.32844750001</v>
      </c>
      <c r="Y152" s="407">
        <f ca="1">-Y14*IF('General Inputs'!$H$15&gt;0,'General Inputs'!$H$15,(LOOKUP(Y$6,'Forward Curves'!$Q$4:$Q$1000,'Forward Curves'!$D$4:$D$1000)+'Forward Curves'!$H$4))/12</f>
        <v>-183066.07043833335</v>
      </c>
      <c r="Z152" s="407">
        <f ca="1">-Z14*IF('General Inputs'!$H$15&gt;0,'General Inputs'!$H$15,(LOOKUP(Z$6,'Forward Curves'!$Q$4:$Q$1000,'Forward Curves'!$D$4:$D$1000)+'Forward Curves'!$H$4))/12</f>
        <v>-196105.83008791669</v>
      </c>
      <c r="AA152" s="407">
        <f ca="1">-AA14*IF('General Inputs'!$H$15&gt;0,'General Inputs'!$H$15,(LOOKUP(AA$6,'Forward Curves'!$Q$4:$Q$1000,'Forward Curves'!$D$4:$D$1000)+'Forward Curves'!$H$4))/12</f>
        <v>-207301.63153916667</v>
      </c>
      <c r="AB152" s="407">
        <f ca="1">-AB14*IF('General Inputs'!$H$15&gt;0,'General Inputs'!$H$15,(LOOKUP(AB$6,'Forward Curves'!$Q$4:$Q$1000,'Forward Curves'!$D$4:$D$1000)+'Forward Curves'!$H$4))/12</f>
        <v>-216705.7792466667</v>
      </c>
      <c r="AC152" s="407">
        <f ca="1">-AC14*IF('General Inputs'!$H$15&gt;0,'General Inputs'!$H$15,(LOOKUP(AC$6,'Forward Curves'!$Q$4:$Q$1000,'Forward Curves'!$D$4:$D$1000)+'Forward Curves'!$H$4))/12</f>
        <v>-223217.08696625006</v>
      </c>
      <c r="AD152" s="407">
        <f ca="1">-AD14*IF('General Inputs'!$H$15&gt;0,'General Inputs'!$H$15,(LOOKUP(AD$6,'Forward Curves'!$Q$4:$Q$1000,'Forward Curves'!$D$4:$D$1000)+'Forward Curves'!$H$4))/12</f>
        <v>-228583.81597458338</v>
      </c>
      <c r="AE152" s="407">
        <f ca="1">-AE14*IF('General Inputs'!$H$15&gt;0,'General Inputs'!$H$15,(LOOKUP(AE$6,'Forward Curves'!$Q$4:$Q$1000,'Forward Curves'!$D$4:$D$1000)+'Forward Curves'!$H$4))/12</f>
        <v>-232254.71417958339</v>
      </c>
      <c r="AF152" s="407">
        <f ca="1">-AF14*IF('General Inputs'!$H$15&gt;0,'General Inputs'!$H$15,(LOOKUP(AF$6,'Forward Curves'!$Q$4:$Q$1000,'Forward Curves'!$D$4:$D$1000)+'Forward Curves'!$H$4))/12</f>
        <v>-232254.71417958339</v>
      </c>
      <c r="AG152" s="407">
        <f ca="1">-AG14*IF('General Inputs'!$H$15&gt;0,'General Inputs'!$H$15,(LOOKUP(AG$6,'Forward Curves'!$Q$4:$Q$1000,'Forward Curves'!$D$4:$D$1000)+'Forward Curves'!$H$4))/12</f>
        <v>-232254.71417958339</v>
      </c>
      <c r="AH152" s="407">
        <f ca="1">-AH14*IF('General Inputs'!$H$15&gt;0,'General Inputs'!$H$15,(LOOKUP(AH$6,'Forward Curves'!$Q$4:$Q$1000,'Forward Curves'!$D$4:$D$1000)+'Forward Curves'!$H$4))/12</f>
        <v>-232254.71417958339</v>
      </c>
      <c r="AI152" s="407">
        <f ca="1">-AI14*IF('General Inputs'!$H$15&gt;0,'General Inputs'!$H$15,(LOOKUP(AI$6,'Forward Curves'!$Q$4:$Q$1000,'Forward Curves'!$D$4:$D$1000)+'Forward Curves'!$H$4))/12</f>
        <v>0</v>
      </c>
      <c r="AJ152" s="407">
        <f ca="1">-AJ14*IF('General Inputs'!$H$15&gt;0,'General Inputs'!$H$15,(LOOKUP(AJ$6,'Forward Curves'!$Q$4:$Q$1000,'Forward Curves'!$D$4:$D$1000)+'Forward Curves'!$H$4))/12</f>
        <v>0</v>
      </c>
      <c r="AK152" s="407">
        <f ca="1">-AK14*IF('General Inputs'!$H$15&gt;0,'General Inputs'!$H$15,(LOOKUP(AK$6,'Forward Curves'!$Q$4:$Q$1000,'Forward Curves'!$D$4:$D$1000)+'Forward Curves'!$H$4))/12</f>
        <v>0</v>
      </c>
      <c r="AL152" s="407">
        <f ca="1">-AL14*IF('General Inputs'!$H$15&gt;0,'General Inputs'!$H$15,(LOOKUP(AL$6,'Forward Curves'!$Q$4:$Q$1000,'Forward Curves'!$D$4:$D$1000)+'Forward Curves'!$H$4))/12</f>
        <v>0</v>
      </c>
      <c r="AM152" s="407">
        <f ca="1">-AM14*IF('General Inputs'!$H$15&gt;0,'General Inputs'!$H$15,(LOOKUP(AM$6,'Forward Curves'!$Q$4:$Q$1000,'Forward Curves'!$D$4:$D$1000)+'Forward Curves'!$H$4))/12</f>
        <v>0</v>
      </c>
      <c r="AN152" s="407">
        <f ca="1">-AN14*IF('General Inputs'!$H$15&gt;0,'General Inputs'!$H$15,(LOOKUP(AN$6,'Forward Curves'!$Q$4:$Q$1000,'Forward Curves'!$D$4:$D$1000)+'Forward Curves'!$H$4))/12</f>
        <v>0</v>
      </c>
      <c r="AO152" s="407">
        <f ca="1">-AO14*IF('General Inputs'!$H$15&gt;0,'General Inputs'!$H$15,(LOOKUP(AO$6,'Forward Curves'!$Q$4:$Q$1000,'Forward Curves'!$D$4:$D$1000)+'Forward Curves'!$H$4))/12</f>
        <v>0</v>
      </c>
      <c r="AP152" s="407">
        <f ca="1">-AP14*IF('General Inputs'!$H$15&gt;0,'General Inputs'!$H$15,(LOOKUP(AP$6,'Forward Curves'!$Q$4:$Q$1000,'Forward Curves'!$D$4:$D$1000)+'Forward Curves'!$H$4))/12</f>
        <v>0</v>
      </c>
      <c r="AQ152" s="407">
        <f ca="1">-AQ14*IF('General Inputs'!$H$15&gt;0,'General Inputs'!$H$15,(LOOKUP(AQ$6,'Forward Curves'!$Q$4:$Q$1000,'Forward Curves'!$D$4:$D$1000)+'Forward Curves'!$H$4))/12</f>
        <v>0</v>
      </c>
      <c r="AR152" s="407">
        <f ca="1">-AR14*IF('General Inputs'!$H$15&gt;0,'General Inputs'!$H$15,(LOOKUP(AR$6,'Forward Curves'!$Q$4:$Q$1000,'Forward Curves'!$D$4:$D$1000)+'Forward Curves'!$H$4))/12</f>
        <v>0</v>
      </c>
      <c r="AS152" s="407">
        <f ca="1">-AS14*IF('General Inputs'!$H$15&gt;0,'General Inputs'!$H$15,(LOOKUP(AS$6,'Forward Curves'!$Q$4:$Q$1000,'Forward Curves'!$D$4:$D$1000)+'Forward Curves'!$H$4))/12</f>
        <v>0</v>
      </c>
      <c r="AT152" s="407">
        <f ca="1">-AT14*IF('General Inputs'!$H$15&gt;0,'General Inputs'!$H$15,(LOOKUP(AT$6,'Forward Curves'!$Q$4:$Q$1000,'Forward Curves'!$D$4:$D$1000)+'Forward Curves'!$H$4))/12</f>
        <v>0</v>
      </c>
      <c r="AU152" s="407">
        <f ca="1">-AU14*IF('General Inputs'!$H$15&gt;0,'General Inputs'!$H$15,(LOOKUP(AU$6,'Forward Curves'!$Q$4:$Q$1000,'Forward Curves'!$D$4:$D$1000)+'Forward Curves'!$H$4))/12</f>
        <v>0</v>
      </c>
      <c r="AV152" s="407">
        <f ca="1">-AV14*IF('General Inputs'!$H$15&gt;0,'General Inputs'!$H$15,(LOOKUP(AV$6,'Forward Curves'!$Q$4:$Q$1000,'Forward Curves'!$D$4:$D$1000)+'Forward Curves'!$H$4))/12</f>
        <v>0</v>
      </c>
      <c r="AW152" s="407">
        <f ca="1">-AW14*IF('General Inputs'!$H$15&gt;0,'General Inputs'!$H$15,(LOOKUP(AW$6,'Forward Curves'!$Q$4:$Q$1000,'Forward Curves'!$D$4:$D$1000)+'Forward Curves'!$H$4))/12</f>
        <v>0</v>
      </c>
      <c r="AX152" s="407">
        <f ca="1">-AX14*IF('General Inputs'!$H$15&gt;0,'General Inputs'!$H$15,(LOOKUP(AX$6,'Forward Curves'!$Q$4:$Q$1000,'Forward Curves'!$D$4:$D$1000)+'Forward Curves'!$H$4))/12</f>
        <v>0</v>
      </c>
      <c r="AY152" s="407">
        <f ca="1">-AY14*IF('General Inputs'!$H$15&gt;0,'General Inputs'!$H$15,(LOOKUP(AY$6,'Forward Curves'!$Q$4:$Q$1000,'Forward Curves'!$D$4:$D$1000)+'Forward Curves'!$H$4))/12</f>
        <v>0</v>
      </c>
      <c r="AZ152" s="407">
        <f ca="1">-AZ14*IF('General Inputs'!$H$15&gt;0,'General Inputs'!$H$15,(LOOKUP(AZ$6,'Forward Curves'!$Q$4:$Q$1000,'Forward Curves'!$D$4:$D$1000)+'Forward Curves'!$H$4))/12</f>
        <v>0</v>
      </c>
      <c r="BA152" s="407">
        <f ca="1">-BA14*IF('General Inputs'!$H$15&gt;0,'General Inputs'!$H$15,(LOOKUP(BA$6,'Forward Curves'!$Q$4:$Q$1000,'Forward Curves'!$D$4:$D$1000)+'Forward Curves'!$H$4))/12</f>
        <v>0</v>
      </c>
      <c r="BB152" s="407">
        <f ca="1">-BB14*IF('General Inputs'!$H$15&gt;0,'General Inputs'!$H$15,(LOOKUP(BB$6,'Forward Curves'!$Q$4:$Q$1000,'Forward Curves'!$D$4:$D$1000)+'Forward Curves'!$H$4))/12</f>
        <v>0</v>
      </c>
      <c r="BC152" s="407">
        <f ca="1">-BC14*IF('General Inputs'!$H$15&gt;0,'General Inputs'!$H$15,(LOOKUP(BC$6,'Forward Curves'!$Q$4:$Q$1000,'Forward Curves'!$D$4:$D$1000)+'Forward Curves'!$H$4))/12</f>
        <v>0</v>
      </c>
      <c r="BD152" s="407">
        <f ca="1">-BD14*IF('General Inputs'!$H$15&gt;0,'General Inputs'!$H$15,(LOOKUP(BD$6,'Forward Curves'!$Q$4:$Q$1000,'Forward Curves'!$D$4:$D$1000)+'Forward Curves'!$H$4))/12</f>
        <v>0</v>
      </c>
      <c r="BE152" s="407">
        <f ca="1">-BE14*IF('General Inputs'!$H$15&gt;0,'General Inputs'!$H$15,(LOOKUP(BE$6,'Forward Curves'!$Q$4:$Q$1000,'Forward Curves'!$D$4:$D$1000)+'Forward Curves'!$H$4))/12</f>
        <v>0</v>
      </c>
      <c r="BF152" s="407">
        <f ca="1">-BF14*IF('General Inputs'!$H$15&gt;0,'General Inputs'!$H$15,(LOOKUP(BF$6,'Forward Curves'!$Q$4:$Q$1000,'Forward Curves'!$D$4:$D$1000)+'Forward Curves'!$H$4))/12</f>
        <v>0</v>
      </c>
      <c r="BG152" s="407">
        <f ca="1">-BG14*IF('General Inputs'!$H$15&gt;0,'General Inputs'!$H$15,(LOOKUP(BG$6,'Forward Curves'!$Q$4:$Q$1000,'Forward Curves'!$D$4:$D$1000)+'Forward Curves'!$H$4))/12</f>
        <v>0</v>
      </c>
      <c r="BH152" s="407">
        <f ca="1">-BH14*IF('General Inputs'!$H$15&gt;0,'General Inputs'!$H$15,(LOOKUP(BH$6,'Forward Curves'!$Q$4:$Q$1000,'Forward Curves'!$D$4:$D$1000)+'Forward Curves'!$H$4))/12</f>
        <v>0</v>
      </c>
      <c r="BI152" s="407">
        <f ca="1">-BI14*IF('General Inputs'!$H$15&gt;0,'General Inputs'!$H$15,(LOOKUP(BI$6,'Forward Curves'!$Q$4:$Q$1000,'Forward Curves'!$D$4:$D$1000)+'Forward Curves'!$H$4))/12</f>
        <v>0</v>
      </c>
      <c r="BJ152" s="407">
        <f ca="1">-BJ14*IF('General Inputs'!$H$15&gt;0,'General Inputs'!$H$15,(LOOKUP(BJ$6,'Forward Curves'!$Q$4:$Q$1000,'Forward Curves'!$D$4:$D$1000)+'Forward Curves'!$H$4))/12</f>
        <v>0</v>
      </c>
      <c r="BK152" s="407">
        <f ca="1">-BK14*IF('General Inputs'!$H$15&gt;0,'General Inputs'!$H$15,(LOOKUP(BK$6,'Forward Curves'!$Q$4:$Q$1000,'Forward Curves'!$D$4:$D$1000)+'Forward Curves'!$H$4))/12</f>
        <v>0</v>
      </c>
      <c r="BL152" s="407">
        <f ca="1">-BL14*IF('General Inputs'!$H$15&gt;0,'General Inputs'!$H$15,(LOOKUP(BL$6,'Forward Curves'!$Q$4:$Q$1000,'Forward Curves'!$D$4:$D$1000)+'Forward Curves'!$H$4))/12</f>
        <v>0</v>
      </c>
      <c r="BM152" s="407">
        <f ca="1">-BM14*IF('General Inputs'!$H$15&gt;0,'General Inputs'!$H$15,(LOOKUP(BM$6,'Forward Curves'!$Q$4:$Q$1000,'Forward Curves'!$D$4:$D$1000)+'Forward Curves'!$H$4))/12</f>
        <v>0</v>
      </c>
      <c r="BN152" s="407">
        <f ca="1">-BN14*IF('General Inputs'!$H$15&gt;0,'General Inputs'!$H$15,(LOOKUP(BN$6,'Forward Curves'!$Q$4:$Q$1000,'Forward Curves'!$D$4:$D$1000)+'Forward Curves'!$H$4))/12</f>
        <v>0</v>
      </c>
      <c r="BO152" s="407">
        <f ca="1">-BO14*IF('General Inputs'!$H$15&gt;0,'General Inputs'!$H$15,(LOOKUP(BO$6,'Forward Curves'!$Q$4:$Q$1000,'Forward Curves'!$D$4:$D$1000)+'Forward Curves'!$H$4))/12</f>
        <v>0</v>
      </c>
      <c r="BP152" s="407">
        <f ca="1">-BP14*IF('General Inputs'!$H$15&gt;0,'General Inputs'!$H$15,(LOOKUP(BP$6,'Forward Curves'!$Q$4:$Q$1000,'Forward Curves'!$D$4:$D$1000)+'Forward Curves'!$H$4))/12</f>
        <v>0</v>
      </c>
      <c r="BQ152" s="407">
        <f ca="1">-BQ14*IF('General Inputs'!$H$15&gt;0,'General Inputs'!$H$15,(LOOKUP(BQ$6,'Forward Curves'!$Q$4:$Q$1000,'Forward Curves'!$D$4:$D$1000)+'Forward Curves'!$H$4))/12</f>
        <v>0</v>
      </c>
      <c r="BR152" s="407">
        <f ca="1">-BR14*IF('General Inputs'!$H$15&gt;0,'General Inputs'!$H$15,(LOOKUP(BR$6,'Forward Curves'!$Q$4:$Q$1000,'Forward Curves'!$D$4:$D$1000)+'Forward Curves'!$H$4))/12</f>
        <v>0</v>
      </c>
      <c r="BS152" s="407">
        <f ca="1">-BS14*IF('General Inputs'!$H$15&gt;0,'General Inputs'!$H$15,(LOOKUP(BS$6,'Forward Curves'!$Q$4:$Q$1000,'Forward Curves'!$D$4:$D$1000)+'Forward Curves'!$H$4))/12</f>
        <v>0</v>
      </c>
      <c r="BT152" s="407">
        <f ca="1">-BT14*IF('General Inputs'!$H$15&gt;0,'General Inputs'!$H$15,(LOOKUP(BT$6,'Forward Curves'!$Q$4:$Q$1000,'Forward Curves'!$D$4:$D$1000)+'Forward Curves'!$H$4))/12</f>
        <v>0</v>
      </c>
      <c r="BU152" s="407">
        <f ca="1">-BU14*IF('General Inputs'!$H$15&gt;0,'General Inputs'!$H$15,(LOOKUP(BU$6,'Forward Curves'!$Q$4:$Q$1000,'Forward Curves'!$D$4:$D$1000)+'Forward Curves'!$H$4))/12</f>
        <v>0</v>
      </c>
      <c r="BV152" s="407">
        <f ca="1">-BV14*IF('General Inputs'!$H$15&gt;0,'General Inputs'!$H$15,(LOOKUP(BV$6,'Forward Curves'!$Q$4:$Q$1000,'Forward Curves'!$D$4:$D$1000)+'Forward Curves'!$H$4))/12</f>
        <v>0</v>
      </c>
      <c r="BW152" s="407">
        <f ca="1">-BW14*IF('General Inputs'!$H$15&gt;0,'General Inputs'!$H$15,(LOOKUP(BW$6,'Forward Curves'!$Q$4:$Q$1000,'Forward Curves'!$D$4:$D$1000)+'Forward Curves'!$H$4))/12</f>
        <v>0</v>
      </c>
      <c r="BX152" s="407">
        <f ca="1">-BX14*IF('General Inputs'!$H$15&gt;0,'General Inputs'!$H$15,(LOOKUP(BX$6,'Forward Curves'!$Q$4:$Q$1000,'Forward Curves'!$D$4:$D$1000)+'Forward Curves'!$H$4))/12</f>
        <v>0</v>
      </c>
      <c r="BY152" s="407">
        <f ca="1">-BY14*IF('General Inputs'!$H$15&gt;0,'General Inputs'!$H$15,(LOOKUP(BY$6,'Forward Curves'!$Q$4:$Q$1000,'Forward Curves'!$D$4:$D$1000)+'Forward Curves'!$H$4))/12</f>
        <v>0</v>
      </c>
      <c r="BZ152" s="407">
        <f ca="1">-BZ14*IF('General Inputs'!$H$15&gt;0,'General Inputs'!$H$15,(LOOKUP(BZ$6,'Forward Curves'!$Q$4:$Q$1000,'Forward Curves'!$D$4:$D$1000)+'Forward Curves'!$H$4))/12</f>
        <v>0</v>
      </c>
      <c r="CA152" s="407">
        <f ca="1">-CA14*IF('General Inputs'!$H$15&gt;0,'General Inputs'!$H$15,(LOOKUP(CA$6,'Forward Curves'!$Q$4:$Q$1000,'Forward Curves'!$D$4:$D$1000)+'Forward Curves'!$H$4))/12</f>
        <v>0</v>
      </c>
      <c r="CB152" s="407">
        <f ca="1">-CB14*IF('General Inputs'!$H$15&gt;0,'General Inputs'!$H$15,(LOOKUP(CB$6,'Forward Curves'!$Q$4:$Q$1000,'Forward Curves'!$D$4:$D$1000)+'Forward Curves'!$H$4))/12</f>
        <v>0</v>
      </c>
      <c r="CC152" s="407">
        <f ca="1">-CC14*IF('General Inputs'!$H$15&gt;0,'General Inputs'!$H$15,(LOOKUP(CC$6,'Forward Curves'!$Q$4:$Q$1000,'Forward Curves'!$D$4:$D$1000)+'Forward Curves'!$H$4))/12</f>
        <v>0</v>
      </c>
      <c r="CD152" s="407">
        <f ca="1">-CD14*IF('General Inputs'!$H$15&gt;0,'General Inputs'!$H$15,(LOOKUP(CD$6,'Forward Curves'!$Q$4:$Q$1000,'Forward Curves'!$D$4:$D$1000)+'Forward Curves'!$H$4))/12</f>
        <v>0</v>
      </c>
      <c r="CE152" s="407">
        <f ca="1">-CE14*IF('General Inputs'!$H$15&gt;0,'General Inputs'!$H$15,(LOOKUP(CE$6,'Forward Curves'!$Q$4:$Q$1000,'Forward Curves'!$D$4:$D$1000)+'Forward Curves'!$H$4))/12</f>
        <v>0</v>
      </c>
      <c r="CF152" s="407">
        <f ca="1">-CF14*IF('General Inputs'!$H$15&gt;0,'General Inputs'!$H$15,(LOOKUP(CF$6,'Forward Curves'!$Q$4:$Q$1000,'Forward Curves'!$D$4:$D$1000)+'Forward Curves'!$H$4))/12</f>
        <v>0</v>
      </c>
      <c r="CG152" s="407">
        <f ca="1">-CG14*IF('General Inputs'!$H$15&gt;0,'General Inputs'!$H$15,(LOOKUP(CG$6,'Forward Curves'!$Q$4:$Q$1000,'Forward Curves'!$D$4:$D$1000)+'Forward Curves'!$H$4))/12</f>
        <v>0</v>
      </c>
      <c r="CH152" s="407">
        <f ca="1">-CH14*IF('General Inputs'!$H$15&gt;0,'General Inputs'!$H$15,(LOOKUP(CH$6,'Forward Curves'!$Q$4:$Q$1000,'Forward Curves'!$D$4:$D$1000)+'Forward Curves'!$H$4))/12</f>
        <v>0</v>
      </c>
      <c r="CI152" s="407">
        <f ca="1">-CI14*IF('General Inputs'!$H$15&gt;0,'General Inputs'!$H$15,(LOOKUP(CI$6,'Forward Curves'!$Q$4:$Q$1000,'Forward Curves'!$D$4:$D$1000)+'Forward Curves'!$H$4))/12</f>
        <v>0</v>
      </c>
      <c r="CJ152" s="407">
        <f ca="1">-CJ14*IF('General Inputs'!$H$15&gt;0,'General Inputs'!$H$15,(LOOKUP(CJ$6,'Forward Curves'!$Q$4:$Q$1000,'Forward Curves'!$D$4:$D$1000)+'Forward Curves'!$H$4))/12</f>
        <v>0</v>
      </c>
      <c r="CK152" s="407">
        <f ca="1">-CK14*IF('General Inputs'!$H$15&gt;0,'General Inputs'!$H$15,(LOOKUP(CK$6,'Forward Curves'!$Q$4:$Q$1000,'Forward Curves'!$D$4:$D$1000)+'Forward Curves'!$H$4))/12</f>
        <v>0</v>
      </c>
      <c r="CL152" s="407">
        <f ca="1">-CL14*IF('General Inputs'!$H$15&gt;0,'General Inputs'!$H$15,(LOOKUP(CL$6,'Forward Curves'!$Q$4:$Q$1000,'Forward Curves'!$D$4:$D$1000)+'Forward Curves'!$H$4))/12</f>
        <v>0</v>
      </c>
      <c r="CM152" s="407">
        <f ca="1">-CM14*IF('General Inputs'!$H$15&gt;0,'General Inputs'!$H$15,(LOOKUP(CM$6,'Forward Curves'!$Q$4:$Q$1000,'Forward Curves'!$D$4:$D$1000)+'Forward Curves'!$H$4))/12</f>
        <v>0</v>
      </c>
      <c r="CN152" s="407">
        <f ca="1">-CN14*IF('General Inputs'!$H$15&gt;0,'General Inputs'!$H$15,(LOOKUP(CN$6,'Forward Curves'!$Q$4:$Q$1000,'Forward Curves'!$D$4:$D$1000)+'Forward Curves'!$H$4))/12</f>
        <v>0</v>
      </c>
      <c r="CO152" s="407">
        <f ca="1">-CO14*IF('General Inputs'!$H$15&gt;0,'General Inputs'!$H$15,(LOOKUP(CO$6,'Forward Curves'!$Q$4:$Q$1000,'Forward Curves'!$D$4:$D$1000)+'Forward Curves'!$H$4))/12</f>
        <v>0</v>
      </c>
      <c r="CP152" s="407">
        <f ca="1">-CP14*IF('General Inputs'!$H$15&gt;0,'General Inputs'!$H$15,(LOOKUP(CP$6,'Forward Curves'!$Q$4:$Q$1000,'Forward Curves'!$D$4:$D$1000)+'Forward Curves'!$H$4))/12</f>
        <v>0</v>
      </c>
      <c r="CQ152" s="407">
        <f ca="1">-CQ14*IF('General Inputs'!$H$15&gt;0,'General Inputs'!$H$15,(LOOKUP(CQ$6,'Forward Curves'!$Q$4:$Q$1000,'Forward Curves'!$D$4:$D$1000)+'Forward Curves'!$H$4))/12</f>
        <v>0</v>
      </c>
      <c r="CR152" s="407">
        <f ca="1">-CR14*IF('General Inputs'!$H$15&gt;0,'General Inputs'!$H$15,(LOOKUP(CR$6,'Forward Curves'!$Q$4:$Q$1000,'Forward Curves'!$D$4:$D$1000)+'Forward Curves'!$H$4))/12</f>
        <v>0</v>
      </c>
      <c r="CS152" s="407">
        <f ca="1">-CS14*IF('General Inputs'!$H$15&gt;0,'General Inputs'!$H$15,(LOOKUP(CS$6,'Forward Curves'!$Q$4:$Q$1000,'Forward Curves'!$D$4:$D$1000)+'Forward Curves'!$H$4))/12</f>
        <v>0</v>
      </c>
      <c r="CT152" s="407">
        <f ca="1">-CT14*IF('General Inputs'!$H$15&gt;0,'General Inputs'!$H$15,(LOOKUP(CT$6,'Forward Curves'!$Q$4:$Q$1000,'Forward Curves'!$D$4:$D$1000)+'Forward Curves'!$H$4))/12</f>
        <v>0</v>
      </c>
      <c r="CU152" s="407">
        <f ca="1">-CU14*IF('General Inputs'!$H$15&gt;0,'General Inputs'!$H$15,(LOOKUP(CU$6,'Forward Curves'!$Q$4:$Q$1000,'Forward Curves'!$D$4:$D$1000)+'Forward Curves'!$H$4))/12</f>
        <v>0</v>
      </c>
      <c r="CV152" s="407">
        <f ca="1">-CV14*IF('General Inputs'!$H$15&gt;0,'General Inputs'!$H$15,(LOOKUP(CV$6,'Forward Curves'!$Q$4:$Q$1000,'Forward Curves'!$D$4:$D$1000)+'Forward Curves'!$H$4))/12</f>
        <v>0</v>
      </c>
      <c r="CW152" s="407">
        <f ca="1">-CW14*IF('General Inputs'!$H$15&gt;0,'General Inputs'!$H$15,(LOOKUP(CW$6,'Forward Curves'!$Q$4:$Q$1000,'Forward Curves'!$D$4:$D$1000)+'Forward Curves'!$H$4))/12</f>
        <v>0</v>
      </c>
      <c r="CX152" s="407">
        <f ca="1">-CX14*IF('General Inputs'!$H$15&gt;0,'General Inputs'!$H$15,(LOOKUP(CX$6,'Forward Curves'!$Q$4:$Q$1000,'Forward Curves'!$D$4:$D$1000)+'Forward Curves'!$H$4))/12</f>
        <v>0</v>
      </c>
      <c r="CY152" s="407">
        <f ca="1">-CY14*IF('General Inputs'!$H$15&gt;0,'General Inputs'!$H$15,(LOOKUP(CY$6,'Forward Curves'!$Q$4:$Q$1000,'Forward Curves'!$D$4:$D$1000)+'Forward Curves'!$H$4))/12</f>
        <v>0</v>
      </c>
      <c r="CZ152" s="407">
        <f ca="1">-CZ14*IF('General Inputs'!$H$15&gt;0,'General Inputs'!$H$15,(LOOKUP(CZ$6,'Forward Curves'!$Q$4:$Q$1000,'Forward Curves'!$D$4:$D$1000)+'Forward Curves'!$H$4))/12</f>
        <v>0</v>
      </c>
      <c r="DA152" s="407">
        <f ca="1">-DA14*IF('General Inputs'!$H$15&gt;0,'General Inputs'!$H$15,(LOOKUP(DA$6,'Forward Curves'!$Q$4:$Q$1000,'Forward Curves'!$D$4:$D$1000)+'Forward Curves'!$H$4))/12</f>
        <v>0</v>
      </c>
      <c r="DB152" s="407">
        <f ca="1">-DB14*IF('General Inputs'!$H$15&gt;0,'General Inputs'!$H$15,(LOOKUP(DB$6,'Forward Curves'!$Q$4:$Q$1000,'Forward Curves'!$D$4:$D$1000)+'Forward Curves'!$H$4))/12</f>
        <v>0</v>
      </c>
      <c r="DC152" s="407">
        <f ca="1">-DC14*IF('General Inputs'!$H$15&gt;0,'General Inputs'!$H$15,(LOOKUP(DC$6,'Forward Curves'!$Q$4:$Q$1000,'Forward Curves'!$D$4:$D$1000)+'Forward Curves'!$H$4))/12</f>
        <v>0</v>
      </c>
      <c r="DD152" s="407">
        <f ca="1">-DD14*IF('General Inputs'!$H$15&gt;0,'General Inputs'!$H$15,(LOOKUP(DD$6,'Forward Curves'!$Q$4:$Q$1000,'Forward Curves'!$D$4:$D$1000)+'Forward Curves'!$H$4))/12</f>
        <v>0</v>
      </c>
      <c r="DE152" s="407">
        <f ca="1">-DE14*IF('General Inputs'!$H$15&gt;0,'General Inputs'!$H$15,(LOOKUP(DE$6,'Forward Curves'!$Q$4:$Q$1000,'Forward Curves'!$D$4:$D$1000)+'Forward Curves'!$H$4))/12</f>
        <v>0</v>
      </c>
      <c r="DF152" s="407">
        <f ca="1">-DF14*IF('General Inputs'!$H$15&gt;0,'General Inputs'!$H$15,(LOOKUP(DF$6,'Forward Curves'!$Q$4:$Q$1000,'Forward Curves'!$D$4:$D$1000)+'Forward Curves'!$H$4))/12</f>
        <v>0</v>
      </c>
      <c r="DG152" s="407">
        <f ca="1">-DG14*IF('General Inputs'!$H$15&gt;0,'General Inputs'!$H$15,(LOOKUP(DG$6,'Forward Curves'!$Q$4:$Q$1000,'Forward Curves'!$D$4:$D$1000)+'Forward Curves'!$H$4))/12</f>
        <v>0</v>
      </c>
      <c r="DH152" s="407">
        <f ca="1">-DH14*IF('General Inputs'!$H$15&gt;0,'General Inputs'!$H$15,(LOOKUP(DH$6,'Forward Curves'!$Q$4:$Q$1000,'Forward Curves'!$D$4:$D$1000)+'Forward Curves'!$H$4))/12</f>
        <v>0</v>
      </c>
      <c r="DI152" s="407">
        <f ca="1">-DI14*IF('General Inputs'!$H$15&gt;0,'General Inputs'!$H$15,(LOOKUP(DI$6,'Forward Curves'!$Q$4:$Q$1000,'Forward Curves'!$D$4:$D$1000)+'Forward Curves'!$H$4))/12</f>
        <v>0</v>
      </c>
      <c r="DJ152" s="407">
        <f ca="1">-DJ14*IF('General Inputs'!$H$15&gt;0,'General Inputs'!$H$15,(LOOKUP(DJ$6,'Forward Curves'!$Q$4:$Q$1000,'Forward Curves'!$D$4:$D$1000)+'Forward Curves'!$H$4))/12</f>
        <v>0</v>
      </c>
      <c r="DK152" s="407">
        <f ca="1">-DK14*IF('General Inputs'!$H$15&gt;0,'General Inputs'!$H$15,(LOOKUP(DK$6,'Forward Curves'!$Q$4:$Q$1000,'Forward Curves'!$D$4:$D$1000)+'Forward Curves'!$H$4))/12</f>
        <v>0</v>
      </c>
      <c r="DL152" s="407">
        <f ca="1">-DL14*IF('General Inputs'!$H$15&gt;0,'General Inputs'!$H$15,(LOOKUP(DL$6,'Forward Curves'!$Q$4:$Q$1000,'Forward Curves'!$D$4:$D$1000)+'Forward Curves'!$H$4))/12</f>
        <v>0</v>
      </c>
      <c r="DM152" s="407">
        <f ca="1">-DM14*IF('General Inputs'!$H$15&gt;0,'General Inputs'!$H$15,(LOOKUP(DM$6,'Forward Curves'!$Q$4:$Q$1000,'Forward Curves'!$D$4:$D$1000)+'Forward Curves'!$H$4))/12</f>
        <v>0</v>
      </c>
      <c r="DN152" s="407">
        <f ca="1">-DN14*IF('General Inputs'!$H$15&gt;0,'General Inputs'!$H$15,(LOOKUP(DN$6,'Forward Curves'!$Q$4:$Q$1000,'Forward Curves'!$D$4:$D$1000)+'Forward Curves'!$H$4))/12</f>
        <v>0</v>
      </c>
      <c r="DO152" s="407">
        <f ca="1">-DO14*IF('General Inputs'!$H$15&gt;0,'General Inputs'!$H$15,(LOOKUP(DO$6,'Forward Curves'!$Q$4:$Q$1000,'Forward Curves'!$D$4:$D$1000)+'Forward Curves'!$H$4))/12</f>
        <v>0</v>
      </c>
      <c r="DP152" s="407">
        <f ca="1">-DP14*IF('General Inputs'!$H$15&gt;0,'General Inputs'!$H$15,(LOOKUP(DP$6,'Forward Curves'!$Q$4:$Q$1000,'Forward Curves'!$D$4:$D$1000)+'Forward Curves'!$H$4))/12</f>
        <v>0</v>
      </c>
      <c r="DQ152" s="407">
        <f ca="1">-DQ14*IF('General Inputs'!$H$15&gt;0,'General Inputs'!$H$15,(LOOKUP(DQ$6,'Forward Curves'!$Q$4:$Q$1000,'Forward Curves'!$D$4:$D$1000)+'Forward Curves'!$H$4))/12</f>
        <v>0</v>
      </c>
      <c r="DR152" s="407">
        <f ca="1">-DR14*IF('General Inputs'!$H$15&gt;0,'General Inputs'!$H$15,(LOOKUP(DR$6,'Forward Curves'!$Q$4:$Q$1000,'Forward Curves'!$D$4:$D$1000)+'Forward Curves'!$H$4))/12</f>
        <v>0</v>
      </c>
      <c r="DS152" s="407">
        <f ca="1">-DS14*IF('General Inputs'!$H$15&gt;0,'General Inputs'!$H$15,(LOOKUP(DS$6,'Forward Curves'!$Q$4:$Q$1000,'Forward Curves'!$D$4:$D$1000)+'Forward Curves'!$H$4))/12</f>
        <v>0</v>
      </c>
      <c r="DT152" s="407">
        <f ca="1">-DT14*IF('General Inputs'!$H$15&gt;0,'General Inputs'!$H$15,(LOOKUP(DT$6,'Forward Curves'!$Q$4:$Q$1000,'Forward Curves'!$D$4:$D$1000)+'Forward Curves'!$H$4))/12</f>
        <v>0</v>
      </c>
      <c r="DU152" s="407">
        <f ca="1">-DU14*IF('General Inputs'!$H$15&gt;0,'General Inputs'!$H$15,(LOOKUP(DU$6,'Forward Curves'!$Q$4:$Q$1000,'Forward Curves'!$D$4:$D$1000)+'Forward Curves'!$H$4))/12</f>
        <v>0</v>
      </c>
      <c r="DV152" s="407">
        <f ca="1">-DV14*IF('General Inputs'!$H$15&gt;0,'General Inputs'!$H$15,(LOOKUP(DV$6,'Forward Curves'!$Q$4:$Q$1000,'Forward Curves'!$D$4:$D$1000)+'Forward Curves'!$H$4))/12</f>
        <v>0</v>
      </c>
      <c r="DW152" s="407">
        <f ca="1">-DW14*IF('General Inputs'!$H$15&gt;0,'General Inputs'!$H$15,(LOOKUP(DW$6,'Forward Curves'!$Q$4:$Q$1000,'Forward Curves'!$D$4:$D$1000)+'Forward Curves'!$H$4))/12</f>
        <v>0</v>
      </c>
      <c r="DX152" s="407">
        <f ca="1">-DX14*IF('General Inputs'!$H$15&gt;0,'General Inputs'!$H$15,(LOOKUP(DX$6,'Forward Curves'!$Q$4:$Q$1000,'Forward Curves'!$D$4:$D$1000)+'Forward Curves'!$H$4))/12</f>
        <v>0</v>
      </c>
      <c r="DY152" s="407">
        <f ca="1">-DY14*IF('General Inputs'!$H$15&gt;0,'General Inputs'!$H$15,(LOOKUP(DY$6,'Forward Curves'!$Q$4:$Q$1000,'Forward Curves'!$D$4:$D$1000)+'Forward Curves'!$H$4))/12</f>
        <v>0</v>
      </c>
      <c r="DZ152" s="407">
        <f ca="1">-DZ14*IF('General Inputs'!$H$15&gt;0,'General Inputs'!$H$15,(LOOKUP(DZ$6,'Forward Curves'!$Q$4:$Q$1000,'Forward Curves'!$D$4:$D$1000)+'Forward Curves'!$H$4))/12</f>
        <v>0</v>
      </c>
      <c r="EA152" s="407">
        <f ca="1">-EA14*IF('General Inputs'!$H$15&gt;0,'General Inputs'!$H$15,(LOOKUP(EA$6,'Forward Curves'!$Q$4:$Q$1000,'Forward Curves'!$D$4:$D$1000)+'Forward Curves'!$H$4))/12</f>
        <v>0</v>
      </c>
      <c r="EB152" s="407">
        <f ca="1">-EB14*IF('General Inputs'!$H$15&gt;0,'General Inputs'!$H$15,(LOOKUP(EB$6,'Forward Curves'!$Q$4:$Q$1000,'Forward Curves'!$D$4:$D$1000)+'Forward Curves'!$H$4))/12</f>
        <v>0</v>
      </c>
      <c r="EC152" s="407">
        <f ca="1">-EC14*IF('General Inputs'!$H$15&gt;0,'General Inputs'!$H$15,(LOOKUP(EC$6,'Forward Curves'!$Q$4:$Q$1000,'Forward Curves'!$D$4:$D$1000)+'Forward Curves'!$H$4))/12</f>
        <v>0</v>
      </c>
      <c r="ED152" s="407">
        <f ca="1">-ED14*IF('General Inputs'!$H$15&gt;0,'General Inputs'!$H$15,(LOOKUP(ED$6,'Forward Curves'!$Q$4:$Q$1000,'Forward Curves'!$D$4:$D$1000)+'Forward Curves'!$H$4))/12</f>
        <v>0</v>
      </c>
      <c r="EE152" s="407">
        <f ca="1">-EE14*IF('General Inputs'!$H$15&gt;0,'General Inputs'!$H$15,(LOOKUP(EE$6,'Forward Curves'!$Q$4:$Q$1000,'Forward Curves'!$D$4:$D$1000)+'Forward Curves'!$H$4))/12</f>
        <v>0</v>
      </c>
      <c r="EF152" s="407">
        <f ca="1">-EF14*IF('General Inputs'!$H$15&gt;0,'General Inputs'!$H$15,(LOOKUP(EF$6,'Forward Curves'!$Q$4:$Q$1000,'Forward Curves'!$D$4:$D$1000)+'Forward Curves'!$H$4))/12</f>
        <v>0</v>
      </c>
      <c r="EG152" s="407">
        <f ca="1">-EG14*IF('General Inputs'!$H$15&gt;0,'General Inputs'!$H$15,(LOOKUP(EG$6,'Forward Curves'!$Q$4:$Q$1000,'Forward Curves'!$D$4:$D$1000)+'Forward Curves'!$H$4))/12</f>
        <v>6.4900207022825876E-6</v>
      </c>
      <c r="EH152" s="644"/>
      <c r="EI152" s="722"/>
    </row>
    <row r="153" spans="1:139" x14ac:dyDescent="0.3">
      <c r="A153" s="408" t="s">
        <v>2489</v>
      </c>
      <c r="B153" s="408"/>
      <c r="C153" s="408"/>
      <c r="D153" s="686"/>
      <c r="E153" s="407">
        <f>IF(AND(E$5&gt;'General Inputs'!$N$12,'General Inputs'!$N$22="Fixed"),PMT('General Inputs'!$N$14/12,'General Inputs'!$N$13*12,'General Inputs'!$N$8),IF(AND(E$5&gt;'General Inputs'!$N$12,'General Inputs'!$N$22="Floating"),-E21*(LOOKUP(E$6,'Forward Curves'!$Q$4:$Q$1000,'Forward Curves'!$D$4:$D$1000)+'Forward Curves'!$O$6)/12,0))</f>
        <v>0</v>
      </c>
      <c r="F153" s="407">
        <f>IF(AND(F$5&gt;'General Inputs'!$N$12,'General Inputs'!$N$22="Fixed"),PMT('General Inputs'!$N$14/12,'General Inputs'!$N$13*12,'General Inputs'!$N$8),IF(AND(F$5&gt;'General Inputs'!$N$12,'General Inputs'!$N$22="Floating"),-F21*(LOOKUP(F$6,'Forward Curves'!$Q$4:$Q$1000,'Forward Curves'!$D$4:$D$1000)+'Forward Curves'!$O$6)/12,0))</f>
        <v>0</v>
      </c>
      <c r="G153" s="407">
        <f>IF(AND(G$5&gt;'General Inputs'!$N$12,'General Inputs'!$N$22="Fixed"),PMT('General Inputs'!$N$14/12,'General Inputs'!$N$13*12,'General Inputs'!$N$8),IF(AND(G$5&gt;'General Inputs'!$N$12,'General Inputs'!$N$22="Floating"),-G21*(LOOKUP(G$6,'Forward Curves'!$Q$4:$Q$1000,'Forward Curves'!$D$4:$D$1000)+'Forward Curves'!$O$6)/12,0))</f>
        <v>0</v>
      </c>
      <c r="H153" s="407">
        <f>IF(AND(H$5&gt;'General Inputs'!$N$12,'General Inputs'!$N$22="Fixed"),PMT('General Inputs'!$N$14/12,'General Inputs'!$N$13*12,'General Inputs'!$N$8),IF(AND(H$5&gt;'General Inputs'!$N$12,'General Inputs'!$N$22="Floating"),-H21*(LOOKUP(H$6,'Forward Curves'!$Q$4:$Q$1000,'Forward Curves'!$D$4:$D$1000)+'Forward Curves'!$O$6)/12,0))</f>
        <v>0</v>
      </c>
      <c r="I153" s="407">
        <f>IF(AND(I$5&gt;'General Inputs'!$N$12,'General Inputs'!$N$22="Fixed"),PMT('General Inputs'!$N$14/12,'General Inputs'!$N$13*12,'General Inputs'!$N$8),IF(AND(I$5&gt;'General Inputs'!$N$12,'General Inputs'!$N$22="Floating"),-I21*(LOOKUP(I$6,'Forward Curves'!$Q$4:$Q$1000,'Forward Curves'!$D$4:$D$1000)+'Forward Curves'!$O$6)/12,0))</f>
        <v>0</v>
      </c>
      <c r="J153" s="407">
        <f>IF(AND(J$5&gt;'General Inputs'!$N$12,'General Inputs'!$N$22="Fixed"),PMT('General Inputs'!$N$14/12,'General Inputs'!$N$13*12,'General Inputs'!$N$8),IF(AND(J$5&gt;'General Inputs'!$N$12,'General Inputs'!$N$22="Floating"),-J21*(LOOKUP(J$6,'Forward Curves'!$Q$4:$Q$1000,'Forward Curves'!$D$4:$D$1000)+'Forward Curves'!$O$6)/12,0))</f>
        <v>0</v>
      </c>
      <c r="K153" s="407">
        <f>IF(AND(K$5&gt;'General Inputs'!$N$12,'General Inputs'!$N$22="Fixed"),PMT('General Inputs'!$N$14/12,'General Inputs'!$N$13*12,'General Inputs'!$N$8),IF(AND(K$5&gt;'General Inputs'!$N$12,'General Inputs'!$N$22="Floating"),-K21*(LOOKUP(K$6,'Forward Curves'!$Q$4:$Q$1000,'Forward Curves'!$D$4:$D$1000)+'Forward Curves'!$O$6)/12,0))</f>
        <v>0</v>
      </c>
      <c r="L153" s="407">
        <f>IF(AND(L$5&gt;'General Inputs'!$N$12,'General Inputs'!$N$22="Fixed"),PMT('General Inputs'!$N$14/12,'General Inputs'!$N$13*12,'General Inputs'!$N$8),IF(AND(L$5&gt;'General Inputs'!$N$12,'General Inputs'!$N$22="Floating"),-L21*(LOOKUP(L$6,'Forward Curves'!$Q$4:$Q$1000,'Forward Curves'!$D$4:$D$1000)+'Forward Curves'!$O$6)/12,0))</f>
        <v>0</v>
      </c>
      <c r="M153" s="407">
        <f>IF(AND(M$5&gt;'General Inputs'!$N$12,'General Inputs'!$N$22="Fixed"),PMT('General Inputs'!$N$14/12,'General Inputs'!$N$13*12,'General Inputs'!$N$8),IF(AND(M$5&gt;'General Inputs'!$N$12,'General Inputs'!$N$22="Floating"),-M21*(LOOKUP(M$6,'Forward Curves'!$Q$4:$Q$1000,'Forward Curves'!$D$4:$D$1000)+'Forward Curves'!$O$6)/12,0))</f>
        <v>0</v>
      </c>
      <c r="N153" s="407">
        <f>IF(AND(N$5&gt;'General Inputs'!$N$12,'General Inputs'!$N$22="Fixed"),PMT('General Inputs'!$N$14/12,'General Inputs'!$N$13*12,'General Inputs'!$N$8),IF(AND(N$5&gt;'General Inputs'!$N$12,'General Inputs'!$N$22="Floating"),-N21*(LOOKUP(N$6,'Forward Curves'!$Q$4:$Q$1000,'Forward Curves'!$D$4:$D$1000)+'Forward Curves'!$O$6)/12,0))</f>
        <v>0</v>
      </c>
      <c r="O153" s="407">
        <f>IF(AND(O$5&gt;'General Inputs'!$N$12,'General Inputs'!$N$22="Fixed"),PMT('General Inputs'!$N$14/12,'General Inputs'!$N$13*12,'General Inputs'!$N$8),IF(AND(O$5&gt;'General Inputs'!$N$12,'General Inputs'!$N$22="Floating"),-O21*(LOOKUP(O$6,'Forward Curves'!$Q$4:$Q$1000,'Forward Curves'!$D$4:$D$1000)+'Forward Curves'!$O$6)/12,0))</f>
        <v>0</v>
      </c>
      <c r="P153" s="407">
        <f>IF(AND(P$5&gt;'General Inputs'!$N$12,'General Inputs'!$N$22="Fixed"),PMT('General Inputs'!$N$14/12,'General Inputs'!$N$13*12,'General Inputs'!$N$8),IF(AND(P$5&gt;'General Inputs'!$N$12,'General Inputs'!$N$22="Floating"),-P21*(LOOKUP(P$6,'Forward Curves'!$Q$4:$Q$1000,'Forward Curves'!$D$4:$D$1000)+'Forward Curves'!$O$6)/12,0))</f>
        <v>0</v>
      </c>
      <c r="Q153" s="407">
        <f>IF(AND(Q$5&gt;'General Inputs'!$N$12,'General Inputs'!$N$22="Fixed"),PMT('General Inputs'!$N$14/12,'General Inputs'!$N$13*12,'General Inputs'!$N$8),IF(AND(Q$5&gt;'General Inputs'!$N$12,'General Inputs'!$N$22="Floating"),-Q21*(LOOKUP(Q$6,'Forward Curves'!$Q$4:$Q$1000,'Forward Curves'!$D$4:$D$1000)+'Forward Curves'!$O$6)/12,0))</f>
        <v>0</v>
      </c>
      <c r="R153" s="407">
        <f>IF(AND(R$5&gt;'General Inputs'!$N$12,'General Inputs'!$N$22="Fixed"),PMT('General Inputs'!$N$14/12,'General Inputs'!$N$13*12,'General Inputs'!$N$8),IF(AND(R$5&gt;'General Inputs'!$N$12,'General Inputs'!$N$22="Floating"),-R21*(LOOKUP(R$6,'Forward Curves'!$Q$4:$Q$1000,'Forward Curves'!$D$4:$D$1000)+'Forward Curves'!$O$6)/12,0))</f>
        <v>0</v>
      </c>
      <c r="S153" s="407">
        <f>IF(AND(S$5&gt;'General Inputs'!$N$12,'General Inputs'!$N$22="Fixed"),PMT('General Inputs'!$N$14/12,'General Inputs'!$N$13*12,'General Inputs'!$N$8),IF(AND(S$5&gt;'General Inputs'!$N$12,'General Inputs'!$N$22="Floating"),-S21*(LOOKUP(S$6,'Forward Curves'!$Q$4:$Q$1000,'Forward Curves'!$D$4:$D$1000)+'Forward Curves'!$O$6)/12,0))</f>
        <v>0</v>
      </c>
      <c r="T153" s="407">
        <f>IF(AND(T$5&gt;'General Inputs'!$N$12,'General Inputs'!$N$22="Fixed"),PMT('General Inputs'!$N$14/12,'General Inputs'!$N$13*12,'General Inputs'!$N$8),IF(AND(T$5&gt;'General Inputs'!$N$12,'General Inputs'!$N$22="Floating"),-T21*(LOOKUP(T$6,'Forward Curves'!$Q$4:$Q$1000,'Forward Curves'!$D$4:$D$1000)+'Forward Curves'!$O$6)/12,0))</f>
        <v>0</v>
      </c>
      <c r="U153" s="407">
        <f>IF(AND(U$5&gt;'General Inputs'!$N$12,'General Inputs'!$N$22="Fixed"),PMT('General Inputs'!$N$14/12,'General Inputs'!$N$13*12,'General Inputs'!$N$8),IF(AND(U$5&gt;'General Inputs'!$N$12,'General Inputs'!$N$22="Floating"),-U21*(LOOKUP(U$6,'Forward Curves'!$Q$4:$Q$1000,'Forward Curves'!$D$4:$D$1000)+'Forward Curves'!$O$6)/12,0))</f>
        <v>0</v>
      </c>
      <c r="V153" s="407">
        <f>IF(AND(V$5&gt;'General Inputs'!$N$12,'General Inputs'!$N$22="Fixed"),PMT('General Inputs'!$N$14/12,'General Inputs'!$N$13*12,'General Inputs'!$N$8),IF(AND(V$5&gt;'General Inputs'!$N$12,'General Inputs'!$N$22="Floating"),-V21*(LOOKUP(V$6,'Forward Curves'!$Q$4:$Q$1000,'Forward Curves'!$D$4:$D$1000)+'Forward Curves'!$O$6)/12,0))</f>
        <v>0</v>
      </c>
      <c r="W153" s="407">
        <f>IF(AND(W$5&gt;'General Inputs'!$N$12,'General Inputs'!$N$22="Fixed"),PMT('General Inputs'!$N$14/12,'General Inputs'!$N$13*12,'General Inputs'!$N$8),IF(AND(W$5&gt;'General Inputs'!$N$12,'General Inputs'!$N$22="Floating"),-W21*(LOOKUP(W$6,'Forward Curves'!$Q$4:$Q$1000,'Forward Curves'!$D$4:$D$1000)+'Forward Curves'!$O$6)/12,0))</f>
        <v>0</v>
      </c>
      <c r="X153" s="407">
        <f>IF(AND(X$5&gt;'General Inputs'!$N$12,'General Inputs'!$N$22="Fixed"),PMT('General Inputs'!$N$14/12,'General Inputs'!$N$13*12,'General Inputs'!$N$8),IF(AND(X$5&gt;'General Inputs'!$N$12,'General Inputs'!$N$22="Floating"),-X21*(LOOKUP(X$6,'Forward Curves'!$Q$4:$Q$1000,'Forward Curves'!$D$4:$D$1000)+'Forward Curves'!$O$6)/12,0))</f>
        <v>0</v>
      </c>
      <c r="Y153" s="407">
        <f>IF(AND(Y$5&gt;'General Inputs'!$N$12,'General Inputs'!$N$22="Fixed"),PMT('General Inputs'!$N$14/12,'General Inputs'!$N$13*12,'General Inputs'!$N$8),IF(AND(Y$5&gt;'General Inputs'!$N$12,'General Inputs'!$N$22="Floating"),-Y21*(LOOKUP(Y$6,'Forward Curves'!$Q$4:$Q$1000,'Forward Curves'!$D$4:$D$1000)+'Forward Curves'!$O$6)/12,0))</f>
        <v>0</v>
      </c>
      <c r="Z153" s="407">
        <f>IF(AND(Z$5&gt;'General Inputs'!$N$12,'General Inputs'!$N$22="Fixed"),PMT('General Inputs'!$N$14/12,'General Inputs'!$N$13*12,'General Inputs'!$N$8),IF(AND(Z$5&gt;'General Inputs'!$N$12,'General Inputs'!$N$22="Floating"),-Z21*(LOOKUP(Z$6,'Forward Curves'!$Q$4:$Q$1000,'Forward Curves'!$D$4:$D$1000)+'Forward Curves'!$O$6)/12,0))</f>
        <v>0</v>
      </c>
      <c r="AA153" s="407">
        <f>IF(AND(AA$5&gt;'General Inputs'!$N$12,'General Inputs'!$N$22="Fixed"),PMT('General Inputs'!$N$14/12,'General Inputs'!$N$13*12,'General Inputs'!$N$8),IF(AND(AA$5&gt;'General Inputs'!$N$12,'General Inputs'!$N$22="Floating"),-AA21*(LOOKUP(AA$6,'Forward Curves'!$Q$4:$Q$1000,'Forward Curves'!$D$4:$D$1000)+'Forward Curves'!$O$6)/12,0))</f>
        <v>0</v>
      </c>
      <c r="AB153" s="407">
        <f>IF(AND(AB$5&gt;'General Inputs'!$N$12,'General Inputs'!$N$22="Fixed"),PMT('General Inputs'!$N$14/12,'General Inputs'!$N$13*12,'General Inputs'!$N$8),IF(AND(AB$5&gt;'General Inputs'!$N$12,'General Inputs'!$N$22="Floating"),-AB21*(LOOKUP(AB$6,'Forward Curves'!$Q$4:$Q$1000,'Forward Curves'!$D$4:$D$1000)+'Forward Curves'!$O$6)/12,0))</f>
        <v>0</v>
      </c>
      <c r="AC153" s="407">
        <f>IF(AND(AC$5&gt;'General Inputs'!$N$12,'General Inputs'!$N$22="Fixed"),PMT('General Inputs'!$N$14/12,'General Inputs'!$N$13*12,'General Inputs'!$N$8),IF(AND(AC$5&gt;'General Inputs'!$N$12,'General Inputs'!$N$22="Floating"),-AC21*(LOOKUP(AC$6,'Forward Curves'!$Q$4:$Q$1000,'Forward Curves'!$D$4:$D$1000)+'Forward Curves'!$O$6)/12,0))</f>
        <v>0</v>
      </c>
      <c r="AD153" s="407">
        <f>IF(AND(AD$5&gt;'General Inputs'!$N$12,'General Inputs'!$N$22="Fixed"),PMT('General Inputs'!$N$14/12,'General Inputs'!$N$13*12,'General Inputs'!$N$8),IF(AND(AD$5&gt;'General Inputs'!$N$12,'General Inputs'!$N$22="Floating"),-AD21*(LOOKUP(AD$6,'Forward Curves'!$Q$4:$Q$1000,'Forward Curves'!$D$4:$D$1000)+'Forward Curves'!$O$6)/12,0))</f>
        <v>0</v>
      </c>
      <c r="AE153" s="407">
        <f>IF(AND(AE$5&gt;'General Inputs'!$N$12,'General Inputs'!$N$22="Fixed"),PMT('General Inputs'!$N$14/12,'General Inputs'!$N$13*12,'General Inputs'!$N$8),IF(AND(AE$5&gt;'General Inputs'!$N$12,'General Inputs'!$N$22="Floating"),-AE21*(LOOKUP(AE$6,'Forward Curves'!$Q$4:$Q$1000,'Forward Curves'!$D$4:$D$1000)+'Forward Curves'!$O$6)/12,0))</f>
        <v>0</v>
      </c>
      <c r="AF153" s="407">
        <f>IF(AND(AF$5&gt;'General Inputs'!$N$12,'General Inputs'!$N$22="Fixed"),PMT('General Inputs'!$N$14/12,'General Inputs'!$N$13*12,'General Inputs'!$N$8),IF(AND(AF$5&gt;'General Inputs'!$N$12,'General Inputs'!$N$22="Floating"),-AF21*(LOOKUP(AF$6,'Forward Curves'!$Q$4:$Q$1000,'Forward Curves'!$D$4:$D$1000)+'Forward Curves'!$O$6)/12,0))</f>
        <v>0</v>
      </c>
      <c r="AG153" s="407">
        <f>IF(AND(AG$5&gt;'General Inputs'!$N$12,'General Inputs'!$N$22="Fixed"),PMT('General Inputs'!$N$14/12,'General Inputs'!$N$13*12,'General Inputs'!$N$8),IF(AND(AG$5&gt;'General Inputs'!$N$12,'General Inputs'!$N$22="Floating"),-AG21*(LOOKUP(AG$6,'Forward Curves'!$Q$4:$Q$1000,'Forward Curves'!$D$4:$D$1000)+'Forward Curves'!$O$6)/12,0))</f>
        <v>0</v>
      </c>
      <c r="AH153" s="407">
        <f>IF(AND(AH$5&gt;'General Inputs'!$N$12,'General Inputs'!$N$22="Fixed"),PMT('General Inputs'!$N$14/12,'General Inputs'!$N$13*12,'General Inputs'!$N$8),IF(AND(AH$5&gt;'General Inputs'!$N$12,'General Inputs'!$N$22="Floating"),-AH21*(LOOKUP(AH$6,'Forward Curves'!$Q$4:$Q$1000,'Forward Curves'!$D$4:$D$1000)+'Forward Curves'!$O$6)/12,0))</f>
        <v>0</v>
      </c>
      <c r="AI153" s="407">
        <f ca="1">IF(AND(AI$5&gt;'General Inputs'!$N$12,'General Inputs'!$N$22="Fixed"),PMT('General Inputs'!$N$14/12,'General Inputs'!$N$13*12,'General Inputs'!$N$8),IF(AND(AI$5&gt;'General Inputs'!$N$12,'General Inputs'!$N$22="Floating"),-AI21*(LOOKUP(AI$6,'Forward Curves'!$Q$4:$Q$1000,'Forward Curves'!$D$4:$D$1000)+'Forward Curves'!$O$6)/12,0))</f>
        <v>-266507.95792204805</v>
      </c>
      <c r="AJ153" s="407">
        <f ca="1">IF(AND(AJ$5&gt;'General Inputs'!$N$12,'General Inputs'!$N$22="Fixed"),PMT('General Inputs'!$N$14/12,'General Inputs'!$N$13*12,'General Inputs'!$N$8),IF(AND(AJ$5&gt;'General Inputs'!$N$12,'General Inputs'!$N$22="Floating"),-AJ21*(LOOKUP(AJ$6,'Forward Curves'!$Q$4:$Q$1000,'Forward Curves'!$D$4:$D$1000)+'Forward Curves'!$O$6)/12,0))</f>
        <v>-266507.95792204805</v>
      </c>
      <c r="AK153" s="407">
        <f ca="1">IF(AND(AK$5&gt;'General Inputs'!$N$12,'General Inputs'!$N$22="Fixed"),PMT('General Inputs'!$N$14/12,'General Inputs'!$N$13*12,'General Inputs'!$N$8),IF(AND(AK$5&gt;'General Inputs'!$N$12,'General Inputs'!$N$22="Floating"),-AK21*(LOOKUP(AK$6,'Forward Curves'!$Q$4:$Q$1000,'Forward Curves'!$D$4:$D$1000)+'Forward Curves'!$O$6)/12,0))</f>
        <v>-266507.95792204805</v>
      </c>
      <c r="AL153" s="407">
        <f ca="1">IF(AND(AL$5&gt;'General Inputs'!$N$12,'General Inputs'!$N$22="Fixed"),PMT('General Inputs'!$N$14/12,'General Inputs'!$N$13*12,'General Inputs'!$N$8),IF(AND(AL$5&gt;'General Inputs'!$N$12,'General Inputs'!$N$22="Floating"),-AL21*(LOOKUP(AL$6,'Forward Curves'!$Q$4:$Q$1000,'Forward Curves'!$D$4:$D$1000)+'Forward Curves'!$O$6)/12,0))</f>
        <v>-266507.95792204805</v>
      </c>
      <c r="AM153" s="407">
        <f ca="1">IF(AND(AM$5&gt;'General Inputs'!$N$12,'General Inputs'!$N$22="Fixed"),PMT('General Inputs'!$N$14/12,'General Inputs'!$N$13*12,'General Inputs'!$N$8),IF(AND(AM$5&gt;'General Inputs'!$N$12,'General Inputs'!$N$22="Floating"),-AM21*(LOOKUP(AM$6,'Forward Curves'!$Q$4:$Q$1000,'Forward Curves'!$D$4:$D$1000)+'Forward Curves'!$O$6)/12,0))</f>
        <v>-266507.95792204805</v>
      </c>
      <c r="AN153" s="407">
        <f ca="1">IF(AND(AN$5&gt;'General Inputs'!$N$12,'General Inputs'!$N$22="Fixed"),PMT('General Inputs'!$N$14/12,'General Inputs'!$N$13*12,'General Inputs'!$N$8),IF(AND(AN$5&gt;'General Inputs'!$N$12,'General Inputs'!$N$22="Floating"),-AN21*(LOOKUP(AN$6,'Forward Curves'!$Q$4:$Q$1000,'Forward Curves'!$D$4:$D$1000)+'Forward Curves'!$O$6)/12,0))</f>
        <v>-266507.95792204805</v>
      </c>
      <c r="AO153" s="407">
        <f ca="1">IF(AND(AO$5&gt;'General Inputs'!$N$12,'General Inputs'!$N$22="Fixed"),PMT('General Inputs'!$N$14/12,'General Inputs'!$N$13*12,'General Inputs'!$N$8),IF(AND(AO$5&gt;'General Inputs'!$N$12,'General Inputs'!$N$22="Floating"),-AO21*(LOOKUP(AO$6,'Forward Curves'!$Q$4:$Q$1000,'Forward Curves'!$D$4:$D$1000)+'Forward Curves'!$O$6)/12,0))</f>
        <v>-266507.95792204805</v>
      </c>
      <c r="AP153" s="407">
        <f ca="1">IF(AND(AP$5&gt;'General Inputs'!$N$12,'General Inputs'!$N$22="Fixed"),PMT('General Inputs'!$N$14/12,'General Inputs'!$N$13*12,'General Inputs'!$N$8),IF(AND(AP$5&gt;'General Inputs'!$N$12,'General Inputs'!$N$22="Floating"),-AP21*(LOOKUP(AP$6,'Forward Curves'!$Q$4:$Q$1000,'Forward Curves'!$D$4:$D$1000)+'Forward Curves'!$O$6)/12,0))</f>
        <v>-266507.95792204805</v>
      </c>
      <c r="AQ153" s="407">
        <f ca="1">IF(AND(AQ$5&gt;'General Inputs'!$N$12,'General Inputs'!$N$22="Fixed"),PMT('General Inputs'!$N$14/12,'General Inputs'!$N$13*12,'General Inputs'!$N$8),IF(AND(AQ$5&gt;'General Inputs'!$N$12,'General Inputs'!$N$22="Floating"),-AQ21*(LOOKUP(AQ$6,'Forward Curves'!$Q$4:$Q$1000,'Forward Curves'!$D$4:$D$1000)+'Forward Curves'!$O$6)/12,0))</f>
        <v>-266507.95792204805</v>
      </c>
      <c r="AR153" s="407">
        <f ca="1">IF(AND(AR$5&gt;'General Inputs'!$N$12,'General Inputs'!$N$22="Fixed"),PMT('General Inputs'!$N$14/12,'General Inputs'!$N$13*12,'General Inputs'!$N$8),IF(AND(AR$5&gt;'General Inputs'!$N$12,'General Inputs'!$N$22="Floating"),-AR21*(LOOKUP(AR$6,'Forward Curves'!$Q$4:$Q$1000,'Forward Curves'!$D$4:$D$1000)+'Forward Curves'!$O$6)/12,0))</f>
        <v>-266507.95792204805</v>
      </c>
      <c r="AS153" s="407">
        <f ca="1">IF(AND(AS$5&gt;'General Inputs'!$N$12,'General Inputs'!$N$22="Fixed"),PMT('General Inputs'!$N$14/12,'General Inputs'!$N$13*12,'General Inputs'!$N$8),IF(AND(AS$5&gt;'General Inputs'!$N$12,'General Inputs'!$N$22="Floating"),-AS21*(LOOKUP(AS$6,'Forward Curves'!$Q$4:$Q$1000,'Forward Curves'!$D$4:$D$1000)+'Forward Curves'!$O$6)/12,0))</f>
        <v>-266507.95792204805</v>
      </c>
      <c r="AT153" s="407">
        <f ca="1">IF(AND(AT$5&gt;'General Inputs'!$N$12,'General Inputs'!$N$22="Fixed"),PMT('General Inputs'!$N$14/12,'General Inputs'!$N$13*12,'General Inputs'!$N$8),IF(AND(AT$5&gt;'General Inputs'!$N$12,'General Inputs'!$N$22="Floating"),-AT21*(LOOKUP(AT$6,'Forward Curves'!$Q$4:$Q$1000,'Forward Curves'!$D$4:$D$1000)+'Forward Curves'!$O$6)/12,0))</f>
        <v>-266507.95792204805</v>
      </c>
      <c r="AU153" s="407">
        <f ca="1">IF(AND(AU$5&gt;'General Inputs'!$N$12,'General Inputs'!$N$22="Fixed"),PMT('General Inputs'!$N$14/12,'General Inputs'!$N$13*12,'General Inputs'!$N$8),IF(AND(AU$5&gt;'General Inputs'!$N$12,'General Inputs'!$N$22="Floating"),-AU21*(LOOKUP(AU$6,'Forward Curves'!$Q$4:$Q$1000,'Forward Curves'!$D$4:$D$1000)+'Forward Curves'!$O$6)/12,0))</f>
        <v>-266507.95792204805</v>
      </c>
      <c r="AV153" s="407">
        <f ca="1">IF(AND(AV$5&gt;'General Inputs'!$N$12,'General Inputs'!$N$22="Fixed"),PMT('General Inputs'!$N$14/12,'General Inputs'!$N$13*12,'General Inputs'!$N$8),IF(AND(AV$5&gt;'General Inputs'!$N$12,'General Inputs'!$N$22="Floating"),-AV21*(LOOKUP(AV$6,'Forward Curves'!$Q$4:$Q$1000,'Forward Curves'!$D$4:$D$1000)+'Forward Curves'!$O$6)/12,0))</f>
        <v>-266507.95792204805</v>
      </c>
      <c r="AW153" s="407">
        <f ca="1">IF(AND(AW$5&gt;'General Inputs'!$N$12,'General Inputs'!$N$22="Fixed"),PMT('General Inputs'!$N$14/12,'General Inputs'!$N$13*12,'General Inputs'!$N$8),IF(AND(AW$5&gt;'General Inputs'!$N$12,'General Inputs'!$N$22="Floating"),-AW21*(LOOKUP(AW$6,'Forward Curves'!$Q$4:$Q$1000,'Forward Curves'!$D$4:$D$1000)+'Forward Curves'!$O$6)/12,0))</f>
        <v>-266507.95792204805</v>
      </c>
      <c r="AX153" s="407">
        <f ca="1">IF(AND(AX$5&gt;'General Inputs'!$N$12,'General Inputs'!$N$22="Fixed"),PMT('General Inputs'!$N$14/12,'General Inputs'!$N$13*12,'General Inputs'!$N$8),IF(AND(AX$5&gt;'General Inputs'!$N$12,'General Inputs'!$N$22="Floating"),-AX21*(LOOKUP(AX$6,'Forward Curves'!$Q$4:$Q$1000,'Forward Curves'!$D$4:$D$1000)+'Forward Curves'!$O$6)/12,0))</f>
        <v>-266507.95792204805</v>
      </c>
      <c r="AY153" s="407">
        <f ca="1">IF(AND(AY$5&gt;'General Inputs'!$N$12,'General Inputs'!$N$22="Fixed"),PMT('General Inputs'!$N$14/12,'General Inputs'!$N$13*12,'General Inputs'!$N$8),IF(AND(AY$5&gt;'General Inputs'!$N$12,'General Inputs'!$N$22="Floating"),-AY21*(LOOKUP(AY$6,'Forward Curves'!$Q$4:$Q$1000,'Forward Curves'!$D$4:$D$1000)+'Forward Curves'!$O$6)/12,0))</f>
        <v>-266507.95792204805</v>
      </c>
      <c r="AZ153" s="407">
        <f ca="1">IF(AND(AZ$5&gt;'General Inputs'!$N$12,'General Inputs'!$N$22="Fixed"),PMT('General Inputs'!$N$14/12,'General Inputs'!$N$13*12,'General Inputs'!$N$8),IF(AND(AZ$5&gt;'General Inputs'!$N$12,'General Inputs'!$N$22="Floating"),-AZ21*(LOOKUP(AZ$6,'Forward Curves'!$Q$4:$Q$1000,'Forward Curves'!$D$4:$D$1000)+'Forward Curves'!$O$6)/12,0))</f>
        <v>-266507.95792204805</v>
      </c>
      <c r="BA153" s="407">
        <f ca="1">IF(AND(BA$5&gt;'General Inputs'!$N$12,'General Inputs'!$N$22="Fixed"),PMT('General Inputs'!$N$14/12,'General Inputs'!$N$13*12,'General Inputs'!$N$8),IF(AND(BA$5&gt;'General Inputs'!$N$12,'General Inputs'!$N$22="Floating"),-BA21*(LOOKUP(BA$6,'Forward Curves'!$Q$4:$Q$1000,'Forward Curves'!$D$4:$D$1000)+'Forward Curves'!$O$6)/12,0))</f>
        <v>-266507.95792204805</v>
      </c>
      <c r="BB153" s="407">
        <f ca="1">IF(AND(BB$5&gt;'General Inputs'!$N$12,'General Inputs'!$N$22="Fixed"),PMT('General Inputs'!$N$14/12,'General Inputs'!$N$13*12,'General Inputs'!$N$8),IF(AND(BB$5&gt;'General Inputs'!$N$12,'General Inputs'!$N$22="Floating"),-BB21*(LOOKUP(BB$6,'Forward Curves'!$Q$4:$Q$1000,'Forward Curves'!$D$4:$D$1000)+'Forward Curves'!$O$6)/12,0))</f>
        <v>-266507.95792204805</v>
      </c>
      <c r="BC153" s="407">
        <f ca="1">IF(AND(BC$5&gt;'General Inputs'!$N$12,'General Inputs'!$N$22="Fixed"),PMT('General Inputs'!$N$14/12,'General Inputs'!$N$13*12,'General Inputs'!$N$8),IF(AND(BC$5&gt;'General Inputs'!$N$12,'General Inputs'!$N$22="Floating"),-BC21*(LOOKUP(BC$6,'Forward Curves'!$Q$4:$Q$1000,'Forward Curves'!$D$4:$D$1000)+'Forward Curves'!$O$6)/12,0))</f>
        <v>-266507.95792204805</v>
      </c>
      <c r="BD153" s="407">
        <f ca="1">IF(AND(BD$5&gt;'General Inputs'!$N$12,'General Inputs'!$N$22="Fixed"),PMT('General Inputs'!$N$14/12,'General Inputs'!$N$13*12,'General Inputs'!$N$8),IF(AND(BD$5&gt;'General Inputs'!$N$12,'General Inputs'!$N$22="Floating"),-BD21*(LOOKUP(BD$6,'Forward Curves'!$Q$4:$Q$1000,'Forward Curves'!$D$4:$D$1000)+'Forward Curves'!$O$6)/12,0))</f>
        <v>-266507.95792204805</v>
      </c>
      <c r="BE153" s="407">
        <f ca="1">IF(AND(BE$5&gt;'General Inputs'!$N$12,'General Inputs'!$N$22="Fixed"),PMT('General Inputs'!$N$14/12,'General Inputs'!$N$13*12,'General Inputs'!$N$8),IF(AND(BE$5&gt;'General Inputs'!$N$12,'General Inputs'!$N$22="Floating"),-BE21*(LOOKUP(BE$6,'Forward Curves'!$Q$4:$Q$1000,'Forward Curves'!$D$4:$D$1000)+'Forward Curves'!$O$6)/12,0))</f>
        <v>-266507.95792204805</v>
      </c>
      <c r="BF153" s="407">
        <f ca="1">IF(AND(BF$5&gt;'General Inputs'!$N$12,'General Inputs'!$N$22="Fixed"),PMT('General Inputs'!$N$14/12,'General Inputs'!$N$13*12,'General Inputs'!$N$8),IF(AND(BF$5&gt;'General Inputs'!$N$12,'General Inputs'!$N$22="Floating"),-BF21*(LOOKUP(BF$6,'Forward Curves'!$Q$4:$Q$1000,'Forward Curves'!$D$4:$D$1000)+'Forward Curves'!$O$6)/12,0))</f>
        <v>-266507.95792204805</v>
      </c>
      <c r="BG153" s="407">
        <f ca="1">IF(AND(BG$5&gt;'General Inputs'!$N$12,'General Inputs'!$N$22="Fixed"),PMT('General Inputs'!$N$14/12,'General Inputs'!$N$13*12,'General Inputs'!$N$8),IF(AND(BG$5&gt;'General Inputs'!$N$12,'General Inputs'!$N$22="Floating"),-BG21*(LOOKUP(BG$6,'Forward Curves'!$Q$4:$Q$1000,'Forward Curves'!$D$4:$D$1000)+'Forward Curves'!$O$6)/12,0))</f>
        <v>-266507.95792204805</v>
      </c>
      <c r="BH153" s="407">
        <f ca="1">IF(AND(BH$5&gt;'General Inputs'!$N$12,'General Inputs'!$N$22="Fixed"),PMT('General Inputs'!$N$14/12,'General Inputs'!$N$13*12,'General Inputs'!$N$8),IF(AND(BH$5&gt;'General Inputs'!$N$12,'General Inputs'!$N$22="Floating"),-BH21*(LOOKUP(BH$6,'Forward Curves'!$Q$4:$Q$1000,'Forward Curves'!$D$4:$D$1000)+'Forward Curves'!$O$6)/12,0))</f>
        <v>-266507.95792204805</v>
      </c>
      <c r="BI153" s="407">
        <f ca="1">IF(AND(BI$5&gt;'General Inputs'!$N$12,'General Inputs'!$N$22="Fixed"),PMT('General Inputs'!$N$14/12,'General Inputs'!$N$13*12,'General Inputs'!$N$8),IF(AND(BI$5&gt;'General Inputs'!$N$12,'General Inputs'!$N$22="Floating"),-BI21*(LOOKUP(BI$6,'Forward Curves'!$Q$4:$Q$1000,'Forward Curves'!$D$4:$D$1000)+'Forward Curves'!$O$6)/12,0))</f>
        <v>-266507.95792204805</v>
      </c>
      <c r="BJ153" s="407">
        <f ca="1">IF(AND(BJ$5&gt;'General Inputs'!$N$12,'General Inputs'!$N$22="Fixed"),PMT('General Inputs'!$N$14/12,'General Inputs'!$N$13*12,'General Inputs'!$N$8),IF(AND(BJ$5&gt;'General Inputs'!$N$12,'General Inputs'!$N$22="Floating"),-BJ21*(LOOKUP(BJ$6,'Forward Curves'!$Q$4:$Q$1000,'Forward Curves'!$D$4:$D$1000)+'Forward Curves'!$O$6)/12,0))</f>
        <v>-266507.95792204805</v>
      </c>
      <c r="BK153" s="407">
        <f ca="1">IF(AND(BK$5&gt;'General Inputs'!$N$12,'General Inputs'!$N$22="Fixed"),PMT('General Inputs'!$N$14/12,'General Inputs'!$N$13*12,'General Inputs'!$N$8),IF(AND(BK$5&gt;'General Inputs'!$N$12,'General Inputs'!$N$22="Floating"),-BK21*(LOOKUP(BK$6,'Forward Curves'!$Q$4:$Q$1000,'Forward Curves'!$D$4:$D$1000)+'Forward Curves'!$O$6)/12,0))</f>
        <v>-266507.95792204805</v>
      </c>
      <c r="BL153" s="407">
        <f ca="1">IF(AND(BL$5&gt;'General Inputs'!$N$12,'General Inputs'!$N$22="Fixed"),PMT('General Inputs'!$N$14/12,'General Inputs'!$N$13*12,'General Inputs'!$N$8),IF(AND(BL$5&gt;'General Inputs'!$N$12,'General Inputs'!$N$22="Floating"),-BL21*(LOOKUP(BL$6,'Forward Curves'!$Q$4:$Q$1000,'Forward Curves'!$D$4:$D$1000)+'Forward Curves'!$O$6)/12,0))</f>
        <v>-266507.95792204805</v>
      </c>
      <c r="BM153" s="407">
        <f ca="1">IF(AND(BM$5&gt;'General Inputs'!$N$12,'General Inputs'!$N$22="Fixed"),PMT('General Inputs'!$N$14/12,'General Inputs'!$N$13*12,'General Inputs'!$N$8),IF(AND(BM$5&gt;'General Inputs'!$N$12,'General Inputs'!$N$22="Floating"),-BM21*(LOOKUP(BM$6,'Forward Curves'!$Q$4:$Q$1000,'Forward Curves'!$D$4:$D$1000)+'Forward Curves'!$O$6)/12,0))</f>
        <v>-266507.95792204805</v>
      </c>
      <c r="BN153" s="407">
        <f ca="1">IF(AND(BN$5&gt;'General Inputs'!$N$12,'General Inputs'!$N$22="Fixed"),PMT('General Inputs'!$N$14/12,'General Inputs'!$N$13*12,'General Inputs'!$N$8),IF(AND(BN$5&gt;'General Inputs'!$N$12,'General Inputs'!$N$22="Floating"),-BN21*(LOOKUP(BN$6,'Forward Curves'!$Q$4:$Q$1000,'Forward Curves'!$D$4:$D$1000)+'Forward Curves'!$O$6)/12,0))</f>
        <v>-266507.95792204805</v>
      </c>
      <c r="BO153" s="407">
        <f ca="1">IF(AND(BO$5&gt;'General Inputs'!$N$12,'General Inputs'!$N$22="Fixed"),PMT('General Inputs'!$N$14/12,'General Inputs'!$N$13*12,'General Inputs'!$N$8),IF(AND(BO$5&gt;'General Inputs'!$N$12,'General Inputs'!$N$22="Floating"),-BO21*(LOOKUP(BO$6,'Forward Curves'!$Q$4:$Q$1000,'Forward Curves'!$D$4:$D$1000)+'Forward Curves'!$O$6)/12,0))</f>
        <v>-266507.95792204805</v>
      </c>
      <c r="BP153" s="407">
        <f ca="1">IF(AND(BP$5&gt;'General Inputs'!$N$12,'General Inputs'!$N$22="Fixed"),PMT('General Inputs'!$N$14/12,'General Inputs'!$N$13*12,'General Inputs'!$N$8),IF(AND(BP$5&gt;'General Inputs'!$N$12,'General Inputs'!$N$22="Floating"),-BP21*(LOOKUP(BP$6,'Forward Curves'!$Q$4:$Q$1000,'Forward Curves'!$D$4:$D$1000)+'Forward Curves'!$O$6)/12,0))</f>
        <v>-266507.95792204805</v>
      </c>
      <c r="BQ153" s="407">
        <f ca="1">IF(AND(BQ$5&gt;'General Inputs'!$N$12,'General Inputs'!$N$22="Fixed"),PMT('General Inputs'!$N$14/12,'General Inputs'!$N$13*12,'General Inputs'!$N$8),IF(AND(BQ$5&gt;'General Inputs'!$N$12,'General Inputs'!$N$22="Floating"),-BQ21*(LOOKUP(BQ$6,'Forward Curves'!$Q$4:$Q$1000,'Forward Curves'!$D$4:$D$1000)+'Forward Curves'!$O$6)/12,0))</f>
        <v>-266507.95792204805</v>
      </c>
      <c r="BR153" s="407">
        <f ca="1">IF(AND(BR$5&gt;'General Inputs'!$N$12,'General Inputs'!$N$22="Fixed"),PMT('General Inputs'!$N$14/12,'General Inputs'!$N$13*12,'General Inputs'!$N$8),IF(AND(BR$5&gt;'General Inputs'!$N$12,'General Inputs'!$N$22="Floating"),-BR21*(LOOKUP(BR$6,'Forward Curves'!$Q$4:$Q$1000,'Forward Curves'!$D$4:$D$1000)+'Forward Curves'!$O$6)/12,0))</f>
        <v>-266507.95792204805</v>
      </c>
      <c r="BS153" s="407">
        <f ca="1">IF(AND(BS$5&gt;'General Inputs'!$N$12,'General Inputs'!$N$22="Fixed"),PMT('General Inputs'!$N$14/12,'General Inputs'!$N$13*12,'General Inputs'!$N$8),IF(AND(BS$5&gt;'General Inputs'!$N$12,'General Inputs'!$N$22="Floating"),-BS21*(LOOKUP(BS$6,'Forward Curves'!$Q$4:$Q$1000,'Forward Curves'!$D$4:$D$1000)+'Forward Curves'!$O$6)/12,0))</f>
        <v>-266507.95792204805</v>
      </c>
      <c r="BT153" s="407">
        <f ca="1">IF(AND(BT$5&gt;'General Inputs'!$N$12,'General Inputs'!$N$22="Fixed"),PMT('General Inputs'!$N$14/12,'General Inputs'!$N$13*12,'General Inputs'!$N$8),IF(AND(BT$5&gt;'General Inputs'!$N$12,'General Inputs'!$N$22="Floating"),-BT21*(LOOKUP(BT$6,'Forward Curves'!$Q$4:$Q$1000,'Forward Curves'!$D$4:$D$1000)+'Forward Curves'!$O$6)/12,0))</f>
        <v>-266507.95792204805</v>
      </c>
      <c r="BU153" s="407">
        <f ca="1">IF(AND(BU$5&gt;'General Inputs'!$N$12,'General Inputs'!$N$22="Fixed"),PMT('General Inputs'!$N$14/12,'General Inputs'!$N$13*12,'General Inputs'!$N$8),IF(AND(BU$5&gt;'General Inputs'!$N$12,'General Inputs'!$N$22="Floating"),-BU21*(LOOKUP(BU$6,'Forward Curves'!$Q$4:$Q$1000,'Forward Curves'!$D$4:$D$1000)+'Forward Curves'!$O$6)/12,0))</f>
        <v>-266507.95792204805</v>
      </c>
      <c r="BV153" s="407">
        <f ca="1">IF(AND(BV$5&gt;'General Inputs'!$N$12,'General Inputs'!$N$22="Fixed"),PMT('General Inputs'!$N$14/12,'General Inputs'!$N$13*12,'General Inputs'!$N$8),IF(AND(BV$5&gt;'General Inputs'!$N$12,'General Inputs'!$N$22="Floating"),-BV21*(LOOKUP(BV$6,'Forward Curves'!$Q$4:$Q$1000,'Forward Curves'!$D$4:$D$1000)+'Forward Curves'!$O$6)/12,0))</f>
        <v>-266507.95792204805</v>
      </c>
      <c r="BW153" s="407">
        <f ca="1">IF(AND(BW$5&gt;'General Inputs'!$N$12,'General Inputs'!$N$22="Fixed"),PMT('General Inputs'!$N$14/12,'General Inputs'!$N$13*12,'General Inputs'!$N$8),IF(AND(BW$5&gt;'General Inputs'!$N$12,'General Inputs'!$N$22="Floating"),-BW21*(LOOKUP(BW$6,'Forward Curves'!$Q$4:$Q$1000,'Forward Curves'!$D$4:$D$1000)+'Forward Curves'!$O$6)/12,0))</f>
        <v>-266507.95792204805</v>
      </c>
      <c r="BX153" s="407">
        <f ca="1">IF(AND(BX$5&gt;'General Inputs'!$N$12,'General Inputs'!$N$22="Fixed"),PMT('General Inputs'!$N$14/12,'General Inputs'!$N$13*12,'General Inputs'!$N$8),IF(AND(BX$5&gt;'General Inputs'!$N$12,'General Inputs'!$N$22="Floating"),-BX21*(LOOKUP(BX$6,'Forward Curves'!$Q$4:$Q$1000,'Forward Curves'!$D$4:$D$1000)+'Forward Curves'!$O$6)/12,0))</f>
        <v>-266507.95792204805</v>
      </c>
      <c r="BY153" s="407">
        <f ca="1">IF(AND(BY$5&gt;'General Inputs'!$N$12,'General Inputs'!$N$22="Fixed"),PMT('General Inputs'!$N$14/12,'General Inputs'!$N$13*12,'General Inputs'!$N$8),IF(AND(BY$5&gt;'General Inputs'!$N$12,'General Inputs'!$N$22="Floating"),-BY21*(LOOKUP(BY$6,'Forward Curves'!$Q$4:$Q$1000,'Forward Curves'!$D$4:$D$1000)+'Forward Curves'!$O$6)/12,0))</f>
        <v>-266507.95792204805</v>
      </c>
      <c r="BZ153" s="407">
        <f ca="1">IF(AND(BZ$5&gt;'General Inputs'!$N$12,'General Inputs'!$N$22="Fixed"),PMT('General Inputs'!$N$14/12,'General Inputs'!$N$13*12,'General Inputs'!$N$8),IF(AND(BZ$5&gt;'General Inputs'!$N$12,'General Inputs'!$N$22="Floating"),-BZ21*(LOOKUP(BZ$6,'Forward Curves'!$Q$4:$Q$1000,'Forward Curves'!$D$4:$D$1000)+'Forward Curves'!$O$6)/12,0))</f>
        <v>-266507.95792204805</v>
      </c>
      <c r="CA153" s="407">
        <f ca="1">IF(AND(CA$5&gt;'General Inputs'!$N$12,'General Inputs'!$N$22="Fixed"),PMT('General Inputs'!$N$14/12,'General Inputs'!$N$13*12,'General Inputs'!$N$8),IF(AND(CA$5&gt;'General Inputs'!$N$12,'General Inputs'!$N$22="Floating"),-CA21*(LOOKUP(CA$6,'Forward Curves'!$Q$4:$Q$1000,'Forward Curves'!$D$4:$D$1000)+'Forward Curves'!$O$6)/12,0))</f>
        <v>-266507.95792204805</v>
      </c>
      <c r="CB153" s="407">
        <f ca="1">IF(AND(CB$5&gt;'General Inputs'!$N$12,'General Inputs'!$N$22="Fixed"),PMT('General Inputs'!$N$14/12,'General Inputs'!$N$13*12,'General Inputs'!$N$8),IF(AND(CB$5&gt;'General Inputs'!$N$12,'General Inputs'!$N$22="Floating"),-CB21*(LOOKUP(CB$6,'Forward Curves'!$Q$4:$Q$1000,'Forward Curves'!$D$4:$D$1000)+'Forward Curves'!$O$6)/12,0))</f>
        <v>-266507.95792204805</v>
      </c>
      <c r="CC153" s="407">
        <f ca="1">IF(AND(CC$5&gt;'General Inputs'!$N$12,'General Inputs'!$N$22="Fixed"),PMT('General Inputs'!$N$14/12,'General Inputs'!$N$13*12,'General Inputs'!$N$8),IF(AND(CC$5&gt;'General Inputs'!$N$12,'General Inputs'!$N$22="Floating"),-CC21*(LOOKUP(CC$6,'Forward Curves'!$Q$4:$Q$1000,'Forward Curves'!$D$4:$D$1000)+'Forward Curves'!$O$6)/12,0))</f>
        <v>-266507.95792204805</v>
      </c>
      <c r="CD153" s="407">
        <f ca="1">IF(AND(CD$5&gt;'General Inputs'!$N$12,'General Inputs'!$N$22="Fixed"),PMT('General Inputs'!$N$14/12,'General Inputs'!$N$13*12,'General Inputs'!$N$8),IF(AND(CD$5&gt;'General Inputs'!$N$12,'General Inputs'!$N$22="Floating"),-CD21*(LOOKUP(CD$6,'Forward Curves'!$Q$4:$Q$1000,'Forward Curves'!$D$4:$D$1000)+'Forward Curves'!$O$6)/12,0))</f>
        <v>-266507.95792204805</v>
      </c>
      <c r="CE153" s="407">
        <f ca="1">IF(AND(CE$5&gt;'General Inputs'!$N$12,'General Inputs'!$N$22="Fixed"),PMT('General Inputs'!$N$14/12,'General Inputs'!$N$13*12,'General Inputs'!$N$8),IF(AND(CE$5&gt;'General Inputs'!$N$12,'General Inputs'!$N$22="Floating"),-CE21*(LOOKUP(CE$6,'Forward Curves'!$Q$4:$Q$1000,'Forward Curves'!$D$4:$D$1000)+'Forward Curves'!$O$6)/12,0))</f>
        <v>-266507.95792204805</v>
      </c>
      <c r="CF153" s="407">
        <f ca="1">IF(AND(CF$5&gt;'General Inputs'!$N$12,'General Inputs'!$N$22="Fixed"),PMT('General Inputs'!$N$14/12,'General Inputs'!$N$13*12,'General Inputs'!$N$8),IF(AND(CF$5&gt;'General Inputs'!$N$12,'General Inputs'!$N$22="Floating"),-CF21*(LOOKUP(CF$6,'Forward Curves'!$Q$4:$Q$1000,'Forward Curves'!$D$4:$D$1000)+'Forward Curves'!$O$6)/12,0))</f>
        <v>-266507.95792204805</v>
      </c>
      <c r="CG153" s="407">
        <f ca="1">IF(AND(CG$5&gt;'General Inputs'!$N$12,'General Inputs'!$N$22="Fixed"),PMT('General Inputs'!$N$14/12,'General Inputs'!$N$13*12,'General Inputs'!$N$8),IF(AND(CG$5&gt;'General Inputs'!$N$12,'General Inputs'!$N$22="Floating"),-CG21*(LOOKUP(CG$6,'Forward Curves'!$Q$4:$Q$1000,'Forward Curves'!$D$4:$D$1000)+'Forward Curves'!$O$6)/12,0))</f>
        <v>-266507.95792204805</v>
      </c>
      <c r="CH153" s="407">
        <f ca="1">IF(AND(CH$5&gt;'General Inputs'!$N$12,'General Inputs'!$N$22="Fixed"),PMT('General Inputs'!$N$14/12,'General Inputs'!$N$13*12,'General Inputs'!$N$8),IF(AND(CH$5&gt;'General Inputs'!$N$12,'General Inputs'!$N$22="Floating"),-CH21*(LOOKUP(CH$6,'Forward Curves'!$Q$4:$Q$1000,'Forward Curves'!$D$4:$D$1000)+'Forward Curves'!$O$6)/12,0))</f>
        <v>-266507.95792204805</v>
      </c>
      <c r="CI153" s="407">
        <f ca="1">IF(AND(CI$5&gt;'General Inputs'!$N$12,'General Inputs'!$N$22="Fixed"),PMT('General Inputs'!$N$14/12,'General Inputs'!$N$13*12,'General Inputs'!$N$8),IF(AND(CI$5&gt;'General Inputs'!$N$12,'General Inputs'!$N$22="Floating"),-CI21*(LOOKUP(CI$6,'Forward Curves'!$Q$4:$Q$1000,'Forward Curves'!$D$4:$D$1000)+'Forward Curves'!$O$6)/12,0))</f>
        <v>-266507.95792204805</v>
      </c>
      <c r="CJ153" s="407">
        <f ca="1">IF(AND(CJ$5&gt;'General Inputs'!$N$12,'General Inputs'!$N$22="Fixed"),PMT('General Inputs'!$N$14/12,'General Inputs'!$N$13*12,'General Inputs'!$N$8),IF(AND(CJ$5&gt;'General Inputs'!$N$12,'General Inputs'!$N$22="Floating"),-CJ21*(LOOKUP(CJ$6,'Forward Curves'!$Q$4:$Q$1000,'Forward Curves'!$D$4:$D$1000)+'Forward Curves'!$O$6)/12,0))</f>
        <v>-266507.95792204805</v>
      </c>
      <c r="CK153" s="407">
        <f ca="1">IF(AND(CK$5&gt;'General Inputs'!$N$12,'General Inputs'!$N$22="Fixed"),PMT('General Inputs'!$N$14/12,'General Inputs'!$N$13*12,'General Inputs'!$N$8),IF(AND(CK$5&gt;'General Inputs'!$N$12,'General Inputs'!$N$22="Floating"),-CK21*(LOOKUP(CK$6,'Forward Curves'!$Q$4:$Q$1000,'Forward Curves'!$D$4:$D$1000)+'Forward Curves'!$O$6)/12,0))</f>
        <v>-266507.95792204805</v>
      </c>
      <c r="CL153" s="407">
        <f ca="1">IF(AND(CL$5&gt;'General Inputs'!$N$12,'General Inputs'!$N$22="Fixed"),PMT('General Inputs'!$N$14/12,'General Inputs'!$N$13*12,'General Inputs'!$N$8),IF(AND(CL$5&gt;'General Inputs'!$N$12,'General Inputs'!$N$22="Floating"),-CL21*(LOOKUP(CL$6,'Forward Curves'!$Q$4:$Q$1000,'Forward Curves'!$D$4:$D$1000)+'Forward Curves'!$O$6)/12,0))</f>
        <v>-266507.95792204805</v>
      </c>
      <c r="CM153" s="407">
        <f ca="1">IF(AND(CM$5&gt;'General Inputs'!$N$12,'General Inputs'!$N$22="Fixed"),PMT('General Inputs'!$N$14/12,'General Inputs'!$N$13*12,'General Inputs'!$N$8),IF(AND(CM$5&gt;'General Inputs'!$N$12,'General Inputs'!$N$22="Floating"),-CM21*(LOOKUP(CM$6,'Forward Curves'!$Q$4:$Q$1000,'Forward Curves'!$D$4:$D$1000)+'Forward Curves'!$O$6)/12,0))</f>
        <v>-266507.95792204805</v>
      </c>
      <c r="CN153" s="407">
        <f ca="1">IF(AND(CN$5&gt;'General Inputs'!$N$12,'General Inputs'!$N$22="Fixed"),PMT('General Inputs'!$N$14/12,'General Inputs'!$N$13*12,'General Inputs'!$N$8),IF(AND(CN$5&gt;'General Inputs'!$N$12,'General Inputs'!$N$22="Floating"),-CN21*(LOOKUP(CN$6,'Forward Curves'!$Q$4:$Q$1000,'Forward Curves'!$D$4:$D$1000)+'Forward Curves'!$O$6)/12,0))</f>
        <v>-266507.95792204805</v>
      </c>
      <c r="CO153" s="407">
        <f ca="1">IF(AND(CO$5&gt;'General Inputs'!$N$12,'General Inputs'!$N$22="Fixed"),PMT('General Inputs'!$N$14/12,'General Inputs'!$N$13*12,'General Inputs'!$N$8),IF(AND(CO$5&gt;'General Inputs'!$N$12,'General Inputs'!$N$22="Floating"),-CO21*(LOOKUP(CO$6,'Forward Curves'!$Q$4:$Q$1000,'Forward Curves'!$D$4:$D$1000)+'Forward Curves'!$O$6)/12,0))</f>
        <v>-266507.95792204805</v>
      </c>
      <c r="CP153" s="407">
        <f ca="1">IF(AND(CP$5&gt;'General Inputs'!$N$12,'General Inputs'!$N$22="Fixed"),PMT('General Inputs'!$N$14/12,'General Inputs'!$N$13*12,'General Inputs'!$N$8),IF(AND(CP$5&gt;'General Inputs'!$N$12,'General Inputs'!$N$22="Floating"),-CP21*(LOOKUP(CP$6,'Forward Curves'!$Q$4:$Q$1000,'Forward Curves'!$D$4:$D$1000)+'Forward Curves'!$O$6)/12,0))</f>
        <v>-266507.95792204805</v>
      </c>
      <c r="CQ153" s="407">
        <f ca="1">IF(AND(CQ$5&gt;'General Inputs'!$N$12,'General Inputs'!$N$22="Fixed"),PMT('General Inputs'!$N$14/12,'General Inputs'!$N$13*12,'General Inputs'!$N$8),IF(AND(CQ$5&gt;'General Inputs'!$N$12,'General Inputs'!$N$22="Floating"),-CQ21*(LOOKUP(CQ$6,'Forward Curves'!$Q$4:$Q$1000,'Forward Curves'!$D$4:$D$1000)+'Forward Curves'!$O$6)/12,0))</f>
        <v>-266507.95792204805</v>
      </c>
      <c r="CR153" s="407">
        <f ca="1">IF(AND(CR$5&gt;'General Inputs'!$N$12,'General Inputs'!$N$22="Fixed"),PMT('General Inputs'!$N$14/12,'General Inputs'!$N$13*12,'General Inputs'!$N$8),IF(AND(CR$5&gt;'General Inputs'!$N$12,'General Inputs'!$N$22="Floating"),-CR21*(LOOKUP(CR$6,'Forward Curves'!$Q$4:$Q$1000,'Forward Curves'!$D$4:$D$1000)+'Forward Curves'!$O$6)/12,0))</f>
        <v>-266507.95792204805</v>
      </c>
      <c r="CS153" s="407">
        <f ca="1">IF(AND(CS$5&gt;'General Inputs'!$N$12,'General Inputs'!$N$22="Fixed"),PMT('General Inputs'!$N$14/12,'General Inputs'!$N$13*12,'General Inputs'!$N$8),IF(AND(CS$5&gt;'General Inputs'!$N$12,'General Inputs'!$N$22="Floating"),-CS21*(LOOKUP(CS$6,'Forward Curves'!$Q$4:$Q$1000,'Forward Curves'!$D$4:$D$1000)+'Forward Curves'!$O$6)/12,0))</f>
        <v>-266507.95792204805</v>
      </c>
      <c r="CT153" s="407">
        <f ca="1">IF(AND(CT$5&gt;'General Inputs'!$N$12,'General Inputs'!$N$22="Fixed"),PMT('General Inputs'!$N$14/12,'General Inputs'!$N$13*12,'General Inputs'!$N$8),IF(AND(CT$5&gt;'General Inputs'!$N$12,'General Inputs'!$N$22="Floating"),-CT21*(LOOKUP(CT$6,'Forward Curves'!$Q$4:$Q$1000,'Forward Curves'!$D$4:$D$1000)+'Forward Curves'!$O$6)/12,0))</f>
        <v>-266507.95792204805</v>
      </c>
      <c r="CU153" s="407">
        <f ca="1">IF(AND(CU$5&gt;'General Inputs'!$N$12,'General Inputs'!$N$22="Fixed"),PMT('General Inputs'!$N$14/12,'General Inputs'!$N$13*12,'General Inputs'!$N$8),IF(AND(CU$5&gt;'General Inputs'!$N$12,'General Inputs'!$N$22="Floating"),-CU21*(LOOKUP(CU$6,'Forward Curves'!$Q$4:$Q$1000,'Forward Curves'!$D$4:$D$1000)+'Forward Curves'!$O$6)/12,0))</f>
        <v>-266507.95792204805</v>
      </c>
      <c r="CV153" s="407">
        <f ca="1">IF(AND(CV$5&gt;'General Inputs'!$N$12,'General Inputs'!$N$22="Fixed"),PMT('General Inputs'!$N$14/12,'General Inputs'!$N$13*12,'General Inputs'!$N$8),IF(AND(CV$5&gt;'General Inputs'!$N$12,'General Inputs'!$N$22="Floating"),-CV21*(LOOKUP(CV$6,'Forward Curves'!$Q$4:$Q$1000,'Forward Curves'!$D$4:$D$1000)+'Forward Curves'!$O$6)/12,0))</f>
        <v>-266507.95792204805</v>
      </c>
      <c r="CW153" s="407">
        <f ca="1">IF(AND(CW$5&gt;'General Inputs'!$N$12,'General Inputs'!$N$22="Fixed"),PMT('General Inputs'!$N$14/12,'General Inputs'!$N$13*12,'General Inputs'!$N$8),IF(AND(CW$5&gt;'General Inputs'!$N$12,'General Inputs'!$N$22="Floating"),-CW21*(LOOKUP(CW$6,'Forward Curves'!$Q$4:$Q$1000,'Forward Curves'!$D$4:$D$1000)+'Forward Curves'!$O$6)/12,0))</f>
        <v>-266507.95792204805</v>
      </c>
      <c r="CX153" s="407">
        <f ca="1">IF(AND(CX$5&gt;'General Inputs'!$N$12,'General Inputs'!$N$22="Fixed"),PMT('General Inputs'!$N$14/12,'General Inputs'!$N$13*12,'General Inputs'!$N$8),IF(AND(CX$5&gt;'General Inputs'!$N$12,'General Inputs'!$N$22="Floating"),-CX21*(LOOKUP(CX$6,'Forward Curves'!$Q$4:$Q$1000,'Forward Curves'!$D$4:$D$1000)+'Forward Curves'!$O$6)/12,0))</f>
        <v>-266507.95792204805</v>
      </c>
      <c r="CY153" s="407">
        <f ca="1">IF(AND(CY$5&gt;'General Inputs'!$N$12,'General Inputs'!$N$22="Fixed"),PMT('General Inputs'!$N$14/12,'General Inputs'!$N$13*12,'General Inputs'!$N$8),IF(AND(CY$5&gt;'General Inputs'!$N$12,'General Inputs'!$N$22="Floating"),-CY21*(LOOKUP(CY$6,'Forward Curves'!$Q$4:$Q$1000,'Forward Curves'!$D$4:$D$1000)+'Forward Curves'!$O$6)/12,0))</f>
        <v>-266507.95792204805</v>
      </c>
      <c r="CZ153" s="407">
        <f ca="1">IF(AND(CZ$5&gt;'General Inputs'!$N$12,'General Inputs'!$N$22="Fixed"),PMT('General Inputs'!$N$14/12,'General Inputs'!$N$13*12,'General Inputs'!$N$8),IF(AND(CZ$5&gt;'General Inputs'!$N$12,'General Inputs'!$N$22="Floating"),-CZ21*(LOOKUP(CZ$6,'Forward Curves'!$Q$4:$Q$1000,'Forward Curves'!$D$4:$D$1000)+'Forward Curves'!$O$6)/12,0))</f>
        <v>-266507.95792204805</v>
      </c>
      <c r="DA153" s="407">
        <f ca="1">IF(AND(DA$5&gt;'General Inputs'!$N$12,'General Inputs'!$N$22="Fixed"),PMT('General Inputs'!$N$14/12,'General Inputs'!$N$13*12,'General Inputs'!$N$8),IF(AND(DA$5&gt;'General Inputs'!$N$12,'General Inputs'!$N$22="Floating"),-DA21*(LOOKUP(DA$6,'Forward Curves'!$Q$4:$Q$1000,'Forward Curves'!$D$4:$D$1000)+'Forward Curves'!$O$6)/12,0))</f>
        <v>-266507.95792204805</v>
      </c>
      <c r="DB153" s="407">
        <f ca="1">IF(AND(DB$5&gt;'General Inputs'!$N$12,'General Inputs'!$N$22="Fixed"),PMT('General Inputs'!$N$14/12,'General Inputs'!$N$13*12,'General Inputs'!$N$8),IF(AND(DB$5&gt;'General Inputs'!$N$12,'General Inputs'!$N$22="Floating"),-DB21*(LOOKUP(DB$6,'Forward Curves'!$Q$4:$Q$1000,'Forward Curves'!$D$4:$D$1000)+'Forward Curves'!$O$6)/12,0))</f>
        <v>-266507.95792204805</v>
      </c>
      <c r="DC153" s="407">
        <f ca="1">IF(AND(DC$5&gt;'General Inputs'!$N$12,'General Inputs'!$N$22="Fixed"),PMT('General Inputs'!$N$14/12,'General Inputs'!$N$13*12,'General Inputs'!$N$8),IF(AND(DC$5&gt;'General Inputs'!$N$12,'General Inputs'!$N$22="Floating"),-DC21*(LOOKUP(DC$6,'Forward Curves'!$Q$4:$Q$1000,'Forward Curves'!$D$4:$D$1000)+'Forward Curves'!$O$6)/12,0))</f>
        <v>-266507.95792204805</v>
      </c>
      <c r="DD153" s="407">
        <f ca="1">IF(AND(DD$5&gt;'General Inputs'!$N$12,'General Inputs'!$N$22="Fixed"),PMT('General Inputs'!$N$14/12,'General Inputs'!$N$13*12,'General Inputs'!$N$8),IF(AND(DD$5&gt;'General Inputs'!$N$12,'General Inputs'!$N$22="Floating"),-DD21*(LOOKUP(DD$6,'Forward Curves'!$Q$4:$Q$1000,'Forward Curves'!$D$4:$D$1000)+'Forward Curves'!$O$6)/12,0))</f>
        <v>-266507.95792204805</v>
      </c>
      <c r="DE153" s="407">
        <f ca="1">IF(AND(DE$5&gt;'General Inputs'!$N$12,'General Inputs'!$N$22="Fixed"),PMT('General Inputs'!$N$14/12,'General Inputs'!$N$13*12,'General Inputs'!$N$8),IF(AND(DE$5&gt;'General Inputs'!$N$12,'General Inputs'!$N$22="Floating"),-DE21*(LOOKUP(DE$6,'Forward Curves'!$Q$4:$Q$1000,'Forward Curves'!$D$4:$D$1000)+'Forward Curves'!$O$6)/12,0))</f>
        <v>-266507.95792204805</v>
      </c>
      <c r="DF153" s="407">
        <f ca="1">IF(AND(DF$5&gt;'General Inputs'!$N$12,'General Inputs'!$N$22="Fixed"),PMT('General Inputs'!$N$14/12,'General Inputs'!$N$13*12,'General Inputs'!$N$8),IF(AND(DF$5&gt;'General Inputs'!$N$12,'General Inputs'!$N$22="Floating"),-DF21*(LOOKUP(DF$6,'Forward Curves'!$Q$4:$Q$1000,'Forward Curves'!$D$4:$D$1000)+'Forward Curves'!$O$6)/12,0))</f>
        <v>-266507.95792204805</v>
      </c>
      <c r="DG153" s="407">
        <f ca="1">IF(AND(DG$5&gt;'General Inputs'!$N$12,'General Inputs'!$N$22="Fixed"),PMT('General Inputs'!$N$14/12,'General Inputs'!$N$13*12,'General Inputs'!$N$8),IF(AND(DG$5&gt;'General Inputs'!$N$12,'General Inputs'!$N$22="Floating"),-DG21*(LOOKUP(DG$6,'Forward Curves'!$Q$4:$Q$1000,'Forward Curves'!$D$4:$D$1000)+'Forward Curves'!$O$6)/12,0))</f>
        <v>-266507.95792204805</v>
      </c>
      <c r="DH153" s="407">
        <f ca="1">IF(AND(DH$5&gt;'General Inputs'!$N$12,'General Inputs'!$N$22="Fixed"),PMT('General Inputs'!$N$14/12,'General Inputs'!$N$13*12,'General Inputs'!$N$8),IF(AND(DH$5&gt;'General Inputs'!$N$12,'General Inputs'!$N$22="Floating"),-DH21*(LOOKUP(DH$6,'Forward Curves'!$Q$4:$Q$1000,'Forward Curves'!$D$4:$D$1000)+'Forward Curves'!$O$6)/12,0))</f>
        <v>-266507.95792204805</v>
      </c>
      <c r="DI153" s="407">
        <f ca="1">IF(AND(DI$5&gt;'General Inputs'!$N$12,'General Inputs'!$N$22="Fixed"),PMT('General Inputs'!$N$14/12,'General Inputs'!$N$13*12,'General Inputs'!$N$8),IF(AND(DI$5&gt;'General Inputs'!$N$12,'General Inputs'!$N$22="Floating"),-DI21*(LOOKUP(DI$6,'Forward Curves'!$Q$4:$Q$1000,'Forward Curves'!$D$4:$D$1000)+'Forward Curves'!$O$6)/12,0))</f>
        <v>-266507.95792204805</v>
      </c>
      <c r="DJ153" s="407">
        <f ca="1">IF(AND(DJ$5&gt;'General Inputs'!$N$12,'General Inputs'!$N$22="Fixed"),PMT('General Inputs'!$N$14/12,'General Inputs'!$N$13*12,'General Inputs'!$N$8),IF(AND(DJ$5&gt;'General Inputs'!$N$12,'General Inputs'!$N$22="Floating"),-DJ21*(LOOKUP(DJ$6,'Forward Curves'!$Q$4:$Q$1000,'Forward Curves'!$D$4:$D$1000)+'Forward Curves'!$O$6)/12,0))</f>
        <v>-266507.95792204805</v>
      </c>
      <c r="DK153" s="407">
        <f ca="1">IF(AND(DK$5&gt;'General Inputs'!$N$12,'General Inputs'!$N$22="Fixed"),PMT('General Inputs'!$N$14/12,'General Inputs'!$N$13*12,'General Inputs'!$N$8),IF(AND(DK$5&gt;'General Inputs'!$N$12,'General Inputs'!$N$22="Floating"),-DK21*(LOOKUP(DK$6,'Forward Curves'!$Q$4:$Q$1000,'Forward Curves'!$D$4:$D$1000)+'Forward Curves'!$O$6)/12,0))</f>
        <v>-266507.95792204805</v>
      </c>
      <c r="DL153" s="407">
        <f ca="1">IF(AND(DL$5&gt;'General Inputs'!$N$12,'General Inputs'!$N$22="Fixed"),PMT('General Inputs'!$N$14/12,'General Inputs'!$N$13*12,'General Inputs'!$N$8),IF(AND(DL$5&gt;'General Inputs'!$N$12,'General Inputs'!$N$22="Floating"),-DL21*(LOOKUP(DL$6,'Forward Curves'!$Q$4:$Q$1000,'Forward Curves'!$D$4:$D$1000)+'Forward Curves'!$O$6)/12,0))</f>
        <v>-266507.95792204805</v>
      </c>
      <c r="DM153" s="407">
        <f ca="1">IF(AND(DM$5&gt;'General Inputs'!$N$12,'General Inputs'!$N$22="Fixed"),PMT('General Inputs'!$N$14/12,'General Inputs'!$N$13*12,'General Inputs'!$N$8),IF(AND(DM$5&gt;'General Inputs'!$N$12,'General Inputs'!$N$22="Floating"),-DM21*(LOOKUP(DM$6,'Forward Curves'!$Q$4:$Q$1000,'Forward Curves'!$D$4:$D$1000)+'Forward Curves'!$O$6)/12,0))</f>
        <v>-266507.95792204805</v>
      </c>
      <c r="DN153" s="407">
        <f ca="1">IF(AND(DN$5&gt;'General Inputs'!$N$12,'General Inputs'!$N$22="Fixed"),PMT('General Inputs'!$N$14/12,'General Inputs'!$N$13*12,'General Inputs'!$N$8),IF(AND(DN$5&gt;'General Inputs'!$N$12,'General Inputs'!$N$22="Floating"),-DN21*(LOOKUP(DN$6,'Forward Curves'!$Q$4:$Q$1000,'Forward Curves'!$D$4:$D$1000)+'Forward Curves'!$O$6)/12,0))</f>
        <v>-266507.95792204805</v>
      </c>
      <c r="DO153" s="407">
        <f ca="1">IF(AND(DO$5&gt;'General Inputs'!$N$12,'General Inputs'!$N$22="Fixed"),PMT('General Inputs'!$N$14/12,'General Inputs'!$N$13*12,'General Inputs'!$N$8),IF(AND(DO$5&gt;'General Inputs'!$N$12,'General Inputs'!$N$22="Floating"),-DO21*(LOOKUP(DO$6,'Forward Curves'!$Q$4:$Q$1000,'Forward Curves'!$D$4:$D$1000)+'Forward Curves'!$O$6)/12,0))</f>
        <v>-266507.95792204805</v>
      </c>
      <c r="DP153" s="407">
        <f ca="1">IF(AND(DP$5&gt;'General Inputs'!$N$12,'General Inputs'!$N$22="Fixed"),PMT('General Inputs'!$N$14/12,'General Inputs'!$N$13*12,'General Inputs'!$N$8),IF(AND(DP$5&gt;'General Inputs'!$N$12,'General Inputs'!$N$22="Floating"),-DP21*(LOOKUP(DP$6,'Forward Curves'!$Q$4:$Q$1000,'Forward Curves'!$D$4:$D$1000)+'Forward Curves'!$O$6)/12,0))</f>
        <v>-266507.95792204805</v>
      </c>
      <c r="DQ153" s="407">
        <f ca="1">IF(AND(DQ$5&gt;'General Inputs'!$N$12,'General Inputs'!$N$22="Fixed"),PMT('General Inputs'!$N$14/12,'General Inputs'!$N$13*12,'General Inputs'!$N$8),IF(AND(DQ$5&gt;'General Inputs'!$N$12,'General Inputs'!$N$22="Floating"),-DQ21*(LOOKUP(DQ$6,'Forward Curves'!$Q$4:$Q$1000,'Forward Curves'!$D$4:$D$1000)+'Forward Curves'!$O$6)/12,0))</f>
        <v>-266507.95792204805</v>
      </c>
      <c r="DR153" s="407">
        <f ca="1">IF(AND(DR$5&gt;'General Inputs'!$N$12,'General Inputs'!$N$22="Fixed"),PMT('General Inputs'!$N$14/12,'General Inputs'!$N$13*12,'General Inputs'!$N$8),IF(AND(DR$5&gt;'General Inputs'!$N$12,'General Inputs'!$N$22="Floating"),-DR21*(LOOKUP(DR$6,'Forward Curves'!$Q$4:$Q$1000,'Forward Curves'!$D$4:$D$1000)+'Forward Curves'!$O$6)/12,0))</f>
        <v>-266507.95792204805</v>
      </c>
      <c r="DS153" s="407">
        <f ca="1">IF(AND(DS$5&gt;'General Inputs'!$N$12,'General Inputs'!$N$22="Fixed"),PMT('General Inputs'!$N$14/12,'General Inputs'!$N$13*12,'General Inputs'!$N$8),IF(AND(DS$5&gt;'General Inputs'!$N$12,'General Inputs'!$N$22="Floating"),-DS21*(LOOKUP(DS$6,'Forward Curves'!$Q$4:$Q$1000,'Forward Curves'!$D$4:$D$1000)+'Forward Curves'!$O$6)/12,0))</f>
        <v>-266507.95792204805</v>
      </c>
      <c r="DT153" s="407">
        <f ca="1">IF(AND(DT$5&gt;'General Inputs'!$N$12,'General Inputs'!$N$22="Fixed"),PMT('General Inputs'!$N$14/12,'General Inputs'!$N$13*12,'General Inputs'!$N$8),IF(AND(DT$5&gt;'General Inputs'!$N$12,'General Inputs'!$N$22="Floating"),-DT21*(LOOKUP(DT$6,'Forward Curves'!$Q$4:$Q$1000,'Forward Curves'!$D$4:$D$1000)+'Forward Curves'!$O$6)/12,0))</f>
        <v>-266507.95792204805</v>
      </c>
      <c r="DU153" s="407">
        <f ca="1">IF(AND(DU$5&gt;'General Inputs'!$N$12,'General Inputs'!$N$22="Fixed"),PMT('General Inputs'!$N$14/12,'General Inputs'!$N$13*12,'General Inputs'!$N$8),IF(AND(DU$5&gt;'General Inputs'!$N$12,'General Inputs'!$N$22="Floating"),-DU21*(LOOKUP(DU$6,'Forward Curves'!$Q$4:$Q$1000,'Forward Curves'!$D$4:$D$1000)+'Forward Curves'!$O$6)/12,0))</f>
        <v>-266507.95792204805</v>
      </c>
      <c r="DV153" s="407">
        <f ca="1">IF(AND(DV$5&gt;'General Inputs'!$N$12,'General Inputs'!$N$22="Fixed"),PMT('General Inputs'!$N$14/12,'General Inputs'!$N$13*12,'General Inputs'!$N$8),IF(AND(DV$5&gt;'General Inputs'!$N$12,'General Inputs'!$N$22="Floating"),-DV21*(LOOKUP(DV$6,'Forward Curves'!$Q$4:$Q$1000,'Forward Curves'!$D$4:$D$1000)+'Forward Curves'!$O$6)/12,0))</f>
        <v>-266507.95792204805</v>
      </c>
      <c r="DW153" s="407">
        <f ca="1">IF(AND(DW$5&gt;'General Inputs'!$N$12,'General Inputs'!$N$22="Fixed"),PMT('General Inputs'!$N$14/12,'General Inputs'!$N$13*12,'General Inputs'!$N$8),IF(AND(DW$5&gt;'General Inputs'!$N$12,'General Inputs'!$N$22="Floating"),-DW21*(LOOKUP(DW$6,'Forward Curves'!$Q$4:$Q$1000,'Forward Curves'!$D$4:$D$1000)+'Forward Curves'!$O$6)/12,0))</f>
        <v>-266507.95792204805</v>
      </c>
      <c r="DX153" s="407">
        <f ca="1">IF(AND(DX$5&gt;'General Inputs'!$N$12,'General Inputs'!$N$22="Fixed"),PMT('General Inputs'!$N$14/12,'General Inputs'!$N$13*12,'General Inputs'!$N$8),IF(AND(DX$5&gt;'General Inputs'!$N$12,'General Inputs'!$N$22="Floating"),-DX21*(LOOKUP(DX$6,'Forward Curves'!$Q$4:$Q$1000,'Forward Curves'!$D$4:$D$1000)+'Forward Curves'!$O$6)/12,0))</f>
        <v>-266507.95792204805</v>
      </c>
      <c r="DY153" s="407">
        <f ca="1">IF(AND(DY$5&gt;'General Inputs'!$N$12,'General Inputs'!$N$22="Fixed"),PMT('General Inputs'!$N$14/12,'General Inputs'!$N$13*12,'General Inputs'!$N$8),IF(AND(DY$5&gt;'General Inputs'!$N$12,'General Inputs'!$N$22="Floating"),-DY21*(LOOKUP(DY$6,'Forward Curves'!$Q$4:$Q$1000,'Forward Curves'!$D$4:$D$1000)+'Forward Curves'!$O$6)/12,0))</f>
        <v>-266507.95792204805</v>
      </c>
      <c r="DZ153" s="407">
        <f ca="1">IF(AND(DZ$5&gt;'General Inputs'!$N$12,'General Inputs'!$N$22="Fixed"),PMT('General Inputs'!$N$14/12,'General Inputs'!$N$13*12,'General Inputs'!$N$8),IF(AND(DZ$5&gt;'General Inputs'!$N$12,'General Inputs'!$N$22="Floating"),-DZ21*(LOOKUP(DZ$6,'Forward Curves'!$Q$4:$Q$1000,'Forward Curves'!$D$4:$D$1000)+'Forward Curves'!$O$6)/12,0))</f>
        <v>-266507.95792204805</v>
      </c>
      <c r="EA153" s="407">
        <f ca="1">IF(AND(EA$5&gt;'General Inputs'!$N$12,'General Inputs'!$N$22="Fixed"),PMT('General Inputs'!$N$14/12,'General Inputs'!$N$13*12,'General Inputs'!$N$8),IF(AND(EA$5&gt;'General Inputs'!$N$12,'General Inputs'!$N$22="Floating"),-EA21*(LOOKUP(EA$6,'Forward Curves'!$Q$4:$Q$1000,'Forward Curves'!$D$4:$D$1000)+'Forward Curves'!$O$6)/12,0))</f>
        <v>-266507.95792204805</v>
      </c>
      <c r="EB153" s="407">
        <f ca="1">IF(AND(EB$5&gt;'General Inputs'!$N$12,'General Inputs'!$N$22="Fixed"),PMT('General Inputs'!$N$14/12,'General Inputs'!$N$13*12,'General Inputs'!$N$8),IF(AND(EB$5&gt;'General Inputs'!$N$12,'General Inputs'!$N$22="Floating"),-EB21*(LOOKUP(EB$6,'Forward Curves'!$Q$4:$Q$1000,'Forward Curves'!$D$4:$D$1000)+'Forward Curves'!$O$6)/12,0))</f>
        <v>-266507.95792204805</v>
      </c>
      <c r="EC153" s="407">
        <f ca="1">IF(AND(EC$5&gt;'General Inputs'!$N$12,'General Inputs'!$N$22="Fixed"),PMT('General Inputs'!$N$14/12,'General Inputs'!$N$13*12,'General Inputs'!$N$8),IF(AND(EC$5&gt;'General Inputs'!$N$12,'General Inputs'!$N$22="Floating"),-EC21*(LOOKUP(EC$6,'Forward Curves'!$Q$4:$Q$1000,'Forward Curves'!$D$4:$D$1000)+'Forward Curves'!$O$6)/12,0))</f>
        <v>-266507.95792204805</v>
      </c>
      <c r="ED153" s="407">
        <f ca="1">IF(AND(ED$5&gt;'General Inputs'!$N$12,'General Inputs'!$N$22="Fixed"),PMT('General Inputs'!$N$14/12,'General Inputs'!$N$13*12,'General Inputs'!$N$8),IF(AND(ED$5&gt;'General Inputs'!$N$12,'General Inputs'!$N$22="Floating"),-ED21*(LOOKUP(ED$6,'Forward Curves'!$Q$4:$Q$1000,'Forward Curves'!$D$4:$D$1000)+'Forward Curves'!$O$6)/12,0))</f>
        <v>-266507.95792204805</v>
      </c>
      <c r="EE153" s="407">
        <f ca="1">IF(AND(EE$5&gt;'General Inputs'!$N$12,'General Inputs'!$N$22="Fixed"),PMT('General Inputs'!$N$14/12,'General Inputs'!$N$13*12,'General Inputs'!$N$8),IF(AND(EE$5&gt;'General Inputs'!$N$12,'General Inputs'!$N$22="Floating"),-EE21*(LOOKUP(EE$6,'Forward Curves'!$Q$4:$Q$1000,'Forward Curves'!$D$4:$D$1000)+'Forward Curves'!$O$6)/12,0))</f>
        <v>-266507.95792204805</v>
      </c>
      <c r="EF153" s="407">
        <f ca="1">IF(AND(EF$5&gt;'General Inputs'!$N$12,'General Inputs'!$N$22="Fixed"),PMT('General Inputs'!$N$14/12,'General Inputs'!$N$13*12,'General Inputs'!$N$8),IF(AND(EF$5&gt;'General Inputs'!$N$12,'General Inputs'!$N$22="Floating"),-EF21*(LOOKUP(EF$6,'Forward Curves'!$Q$4:$Q$1000,'Forward Curves'!$D$4:$D$1000)+'Forward Curves'!$O$6)/12,0))</f>
        <v>-266507.95792204805</v>
      </c>
      <c r="EG153" s="407">
        <f ca="1">IF(AND(EG$5&gt;'General Inputs'!$N$12,'General Inputs'!$N$22="Fixed"),PMT('General Inputs'!$N$14/12,'General Inputs'!$N$13*12,'General Inputs'!$N$8),IF(AND(EG$5&gt;'General Inputs'!$N$12,'General Inputs'!$N$22="Floating"),-EG21*(LOOKUP(EG$6,'Forward Curves'!$Q$4:$Q$1000,'Forward Curves'!$D$4:$D$1000)+'Forward Curves'!$O$6)/12,0))</f>
        <v>-266507.95792204805</v>
      </c>
      <c r="EH153" s="644"/>
      <c r="EI153" s="280"/>
    </row>
    <row r="154" spans="1:139" x14ac:dyDescent="0.3">
      <c r="A154" s="704" t="s">
        <v>2490</v>
      </c>
      <c r="B154" s="704"/>
      <c r="C154" s="704"/>
      <c r="D154" s="729"/>
      <c r="E154" s="705">
        <v>0</v>
      </c>
      <c r="F154" s="705">
        <f>IF(F$5&lt;=MonthRefi,
IF(AND(ContrMezz&gt;0,F5&gt;'General Inputs'!$I$16),PMT('General Inputs'!$I$14/12,'General Inputs'!$I$13*12,'General Inputs'!$I$8),
IF(AND('General Inputs'!$I$16&gt;0,Waterfalls!F5&lt;='General Inputs'!$I$16),-('General Inputs'!$I$14/12*'General Inputs'!$I$8),0)),
IF(AND('General Inputs'!$O$9&gt;0,F5&gt;'General Inputs'!$O$12+'General Inputs'!$O$16),PMT('General Inputs'!$O$14/12,'General Inputs'!$O$13*12,'General Inputs'!$O$8),IF(AND('General Inputs'!$O$16&gt;0,Waterfalls!F5&lt;='General Inputs'!$O$12+'General Inputs'!$O$16),-('General Inputs'!$O$14/12*'General Inputs'!$O$8),0)))</f>
        <v>0</v>
      </c>
      <c r="G154" s="705">
        <f>IF(G$5&lt;=MonthRefi,
IF(AND(ContrMezz&gt;0,G5&gt;'General Inputs'!$I$16),PMT('General Inputs'!$I$14/12,'General Inputs'!$I$13*12,'General Inputs'!$I$8),
IF(AND('General Inputs'!$I$16&gt;0,Waterfalls!G5&lt;='General Inputs'!$I$16),-('General Inputs'!$I$14/12*'General Inputs'!$I$8),0)),
IF(AND('General Inputs'!$O$9&gt;0,G5&gt;'General Inputs'!$O$12+'General Inputs'!$O$16),PMT('General Inputs'!$O$14/12,'General Inputs'!$O$13*12,'General Inputs'!$O$8),IF(AND('General Inputs'!$O$16&gt;0,Waterfalls!G5&lt;='General Inputs'!$O$12+'General Inputs'!$O$16),-('General Inputs'!$O$14/12*'General Inputs'!$O$8),0)))</f>
        <v>0</v>
      </c>
      <c r="H154" s="705">
        <f>IF(H$5&lt;=MonthRefi,
IF(AND(ContrMezz&gt;0,H5&gt;'General Inputs'!$I$16),PMT('General Inputs'!$I$14/12,'General Inputs'!$I$13*12,'General Inputs'!$I$8),
IF(AND('General Inputs'!$I$16&gt;0,Waterfalls!H5&lt;='General Inputs'!$I$16),-('General Inputs'!$I$14/12*'General Inputs'!$I$8),0)),
IF(AND('General Inputs'!$O$9&gt;0,H5&gt;'General Inputs'!$O$12+'General Inputs'!$O$16),PMT('General Inputs'!$O$14/12,'General Inputs'!$O$13*12,'General Inputs'!$O$8),IF(AND('General Inputs'!$O$16&gt;0,Waterfalls!H5&lt;='General Inputs'!$O$12+'General Inputs'!$O$16),-('General Inputs'!$O$14/12*'General Inputs'!$O$8),0)))</f>
        <v>0</v>
      </c>
      <c r="I154" s="705">
        <f>IF(I$5&lt;=MonthRefi,
IF(AND(ContrMezz&gt;0,I5&gt;'General Inputs'!$I$16),PMT('General Inputs'!$I$14/12,'General Inputs'!$I$13*12,'General Inputs'!$I$8),
IF(AND('General Inputs'!$I$16&gt;0,Waterfalls!I5&lt;='General Inputs'!$I$16),-('General Inputs'!$I$14/12*'General Inputs'!$I$8),0)),
IF(AND('General Inputs'!$O$9&gt;0,I5&gt;'General Inputs'!$O$12+'General Inputs'!$O$16),PMT('General Inputs'!$O$14/12,'General Inputs'!$O$13*12,'General Inputs'!$O$8),IF(AND('General Inputs'!$O$16&gt;0,Waterfalls!I5&lt;='General Inputs'!$O$12+'General Inputs'!$O$16),-('General Inputs'!$O$14/12*'General Inputs'!$O$8),0)))</f>
        <v>0</v>
      </c>
      <c r="J154" s="705">
        <f>IF(J$5&lt;=MonthRefi,
IF(AND(ContrMezz&gt;0,J5&gt;'General Inputs'!$I$16),PMT('General Inputs'!$I$14/12,'General Inputs'!$I$13*12,'General Inputs'!$I$8),
IF(AND('General Inputs'!$I$16&gt;0,Waterfalls!J5&lt;='General Inputs'!$I$16),-('General Inputs'!$I$14/12*'General Inputs'!$I$8),0)),
IF(AND('General Inputs'!$O$9&gt;0,J5&gt;'General Inputs'!$O$12+'General Inputs'!$O$16),PMT('General Inputs'!$O$14/12,'General Inputs'!$O$13*12,'General Inputs'!$O$8),IF(AND('General Inputs'!$O$16&gt;0,Waterfalls!J5&lt;='General Inputs'!$O$12+'General Inputs'!$O$16),-('General Inputs'!$O$14/12*'General Inputs'!$O$8),0)))</f>
        <v>0</v>
      </c>
      <c r="K154" s="705">
        <f>IF(K$5&lt;=MonthRefi,
IF(AND(ContrMezz&gt;0,K5&gt;'General Inputs'!$I$16),PMT('General Inputs'!$I$14/12,'General Inputs'!$I$13*12,'General Inputs'!$I$8),
IF(AND('General Inputs'!$I$16&gt;0,Waterfalls!K5&lt;='General Inputs'!$I$16),-('General Inputs'!$I$14/12*'General Inputs'!$I$8),0)),
IF(AND('General Inputs'!$O$9&gt;0,K5&gt;'General Inputs'!$O$12+'General Inputs'!$O$16),PMT('General Inputs'!$O$14/12,'General Inputs'!$O$13*12,'General Inputs'!$O$8),IF(AND('General Inputs'!$O$16&gt;0,Waterfalls!K5&lt;='General Inputs'!$O$12+'General Inputs'!$O$16),-('General Inputs'!$O$14/12*'General Inputs'!$O$8),0)))</f>
        <v>0</v>
      </c>
      <c r="L154" s="705">
        <f>IF(L$5&lt;=MonthRefi,
IF(AND(ContrMezz&gt;0,L5&gt;'General Inputs'!$I$16),PMT('General Inputs'!$I$14/12,'General Inputs'!$I$13*12,'General Inputs'!$I$8),
IF(AND('General Inputs'!$I$16&gt;0,Waterfalls!L5&lt;='General Inputs'!$I$16),-('General Inputs'!$I$14/12*'General Inputs'!$I$8),0)),
IF(AND('General Inputs'!$O$9&gt;0,L5&gt;'General Inputs'!$O$12+'General Inputs'!$O$16),PMT('General Inputs'!$O$14/12,'General Inputs'!$O$13*12,'General Inputs'!$O$8),IF(AND('General Inputs'!$O$16&gt;0,Waterfalls!L5&lt;='General Inputs'!$O$12+'General Inputs'!$O$16),-('General Inputs'!$O$14/12*'General Inputs'!$O$8),0)))</f>
        <v>0</v>
      </c>
      <c r="M154" s="705">
        <f>IF(M$5&lt;=MonthRefi,
IF(AND(ContrMezz&gt;0,M5&gt;'General Inputs'!$I$16),PMT('General Inputs'!$I$14/12,'General Inputs'!$I$13*12,'General Inputs'!$I$8),
IF(AND('General Inputs'!$I$16&gt;0,Waterfalls!M5&lt;='General Inputs'!$I$16),-('General Inputs'!$I$14/12*'General Inputs'!$I$8),0)),
IF(AND('General Inputs'!$O$9&gt;0,M5&gt;'General Inputs'!$O$12+'General Inputs'!$O$16),PMT('General Inputs'!$O$14/12,'General Inputs'!$O$13*12,'General Inputs'!$O$8),IF(AND('General Inputs'!$O$16&gt;0,Waterfalls!M5&lt;='General Inputs'!$O$12+'General Inputs'!$O$16),-('General Inputs'!$O$14/12*'General Inputs'!$O$8),0)))</f>
        <v>0</v>
      </c>
      <c r="N154" s="705">
        <f>IF(N$5&lt;=MonthRefi,
IF(AND(ContrMezz&gt;0,N5&gt;'General Inputs'!$I$16),PMT('General Inputs'!$I$14/12,'General Inputs'!$I$13*12,'General Inputs'!$I$8),
IF(AND('General Inputs'!$I$16&gt;0,Waterfalls!N5&lt;='General Inputs'!$I$16),-('General Inputs'!$I$14/12*'General Inputs'!$I$8),0)),
IF(AND('General Inputs'!$O$9&gt;0,N5&gt;'General Inputs'!$O$12+'General Inputs'!$O$16),PMT('General Inputs'!$O$14/12,'General Inputs'!$O$13*12,'General Inputs'!$O$8),IF(AND('General Inputs'!$O$16&gt;0,Waterfalls!N5&lt;='General Inputs'!$O$12+'General Inputs'!$O$16),-('General Inputs'!$O$14/12*'General Inputs'!$O$8),0)))</f>
        <v>0</v>
      </c>
      <c r="O154" s="705">
        <f>IF(O$5&lt;=MonthRefi,
IF(AND(ContrMezz&gt;0,O5&gt;'General Inputs'!$I$16),PMT('General Inputs'!$I$14/12,'General Inputs'!$I$13*12,'General Inputs'!$I$8),
IF(AND('General Inputs'!$I$16&gt;0,Waterfalls!O5&lt;='General Inputs'!$I$16),-('General Inputs'!$I$14/12*'General Inputs'!$I$8),0)),
IF(AND('General Inputs'!$O$9&gt;0,O5&gt;'General Inputs'!$O$12+'General Inputs'!$O$16),PMT('General Inputs'!$O$14/12,'General Inputs'!$O$13*12,'General Inputs'!$O$8),IF(AND('General Inputs'!$O$16&gt;0,Waterfalls!O5&lt;='General Inputs'!$O$12+'General Inputs'!$O$16),-('General Inputs'!$O$14/12*'General Inputs'!$O$8),0)))</f>
        <v>0</v>
      </c>
      <c r="P154" s="705">
        <f>IF(P$5&lt;=MonthRefi,
IF(AND(ContrMezz&gt;0,P5&gt;'General Inputs'!$I$16),PMT('General Inputs'!$I$14/12,'General Inputs'!$I$13*12,'General Inputs'!$I$8),
IF(AND('General Inputs'!$I$16&gt;0,Waterfalls!P5&lt;='General Inputs'!$I$16),-('General Inputs'!$I$14/12*'General Inputs'!$I$8),0)),
IF(AND('General Inputs'!$O$9&gt;0,P5&gt;'General Inputs'!$O$12+'General Inputs'!$O$16),PMT('General Inputs'!$O$14/12,'General Inputs'!$O$13*12,'General Inputs'!$O$8),IF(AND('General Inputs'!$O$16&gt;0,Waterfalls!P5&lt;='General Inputs'!$O$12+'General Inputs'!$O$16),-('General Inputs'!$O$14/12*'General Inputs'!$O$8),0)))</f>
        <v>0</v>
      </c>
      <c r="Q154" s="705">
        <f>IF(Q$5&lt;=MonthRefi,
IF(AND(ContrMezz&gt;0,Q5&gt;'General Inputs'!$I$16),PMT('General Inputs'!$I$14/12,'General Inputs'!$I$13*12,'General Inputs'!$I$8),
IF(AND('General Inputs'!$I$16&gt;0,Waterfalls!Q5&lt;='General Inputs'!$I$16),-('General Inputs'!$I$14/12*'General Inputs'!$I$8),0)),
IF(AND('General Inputs'!$O$9&gt;0,Q5&gt;'General Inputs'!$O$12+'General Inputs'!$O$16),PMT('General Inputs'!$O$14/12,'General Inputs'!$O$13*12,'General Inputs'!$O$8),IF(AND('General Inputs'!$O$16&gt;0,Waterfalls!Q5&lt;='General Inputs'!$O$12+'General Inputs'!$O$16),-('General Inputs'!$O$14/12*'General Inputs'!$O$8),0)))</f>
        <v>0</v>
      </c>
      <c r="R154" s="705">
        <f>IF(R$5&lt;=MonthRefi,
IF(AND(ContrMezz&gt;0,R5&gt;'General Inputs'!$I$16),PMT('General Inputs'!$I$14/12,'General Inputs'!$I$13*12,'General Inputs'!$I$8),
IF(AND('General Inputs'!$I$16&gt;0,Waterfalls!R5&lt;='General Inputs'!$I$16),-('General Inputs'!$I$14/12*'General Inputs'!$I$8),0)),
IF(AND('General Inputs'!$O$9&gt;0,R5&gt;'General Inputs'!$O$12+'General Inputs'!$O$16),PMT('General Inputs'!$O$14/12,'General Inputs'!$O$13*12,'General Inputs'!$O$8),IF(AND('General Inputs'!$O$16&gt;0,Waterfalls!R5&lt;='General Inputs'!$O$12+'General Inputs'!$O$16),-('General Inputs'!$O$14/12*'General Inputs'!$O$8),0)))</f>
        <v>0</v>
      </c>
      <c r="S154" s="705">
        <f>IF(S$5&lt;=MonthRefi,
IF(AND(ContrMezz&gt;0,S5&gt;'General Inputs'!$I$16),PMT('General Inputs'!$I$14/12,'General Inputs'!$I$13*12,'General Inputs'!$I$8),
IF(AND('General Inputs'!$I$16&gt;0,Waterfalls!S5&lt;='General Inputs'!$I$16),-('General Inputs'!$I$14/12*'General Inputs'!$I$8),0)),
IF(AND('General Inputs'!$O$9&gt;0,S5&gt;'General Inputs'!$O$12+'General Inputs'!$O$16),PMT('General Inputs'!$O$14/12,'General Inputs'!$O$13*12,'General Inputs'!$O$8),IF(AND('General Inputs'!$O$16&gt;0,Waterfalls!S5&lt;='General Inputs'!$O$12+'General Inputs'!$O$16),-('General Inputs'!$O$14/12*'General Inputs'!$O$8),0)))</f>
        <v>0</v>
      </c>
      <c r="T154" s="705">
        <f>IF(T$5&lt;=MonthRefi,
IF(AND(ContrMezz&gt;0,T5&gt;'General Inputs'!$I$16),PMT('General Inputs'!$I$14/12,'General Inputs'!$I$13*12,'General Inputs'!$I$8),
IF(AND('General Inputs'!$I$16&gt;0,Waterfalls!T5&lt;='General Inputs'!$I$16),-('General Inputs'!$I$14/12*'General Inputs'!$I$8),0)),
IF(AND('General Inputs'!$O$9&gt;0,T5&gt;'General Inputs'!$O$12+'General Inputs'!$O$16),PMT('General Inputs'!$O$14/12,'General Inputs'!$O$13*12,'General Inputs'!$O$8),IF(AND('General Inputs'!$O$16&gt;0,Waterfalls!T5&lt;='General Inputs'!$O$12+'General Inputs'!$O$16),-('General Inputs'!$O$14/12*'General Inputs'!$O$8),0)))</f>
        <v>0</v>
      </c>
      <c r="U154" s="705">
        <f>IF(U$5&lt;=MonthRefi,
IF(AND(ContrMezz&gt;0,U5&gt;'General Inputs'!$I$16),PMT('General Inputs'!$I$14/12,'General Inputs'!$I$13*12,'General Inputs'!$I$8),
IF(AND('General Inputs'!$I$16&gt;0,Waterfalls!U5&lt;='General Inputs'!$I$16),-('General Inputs'!$I$14/12*'General Inputs'!$I$8),0)),
IF(AND('General Inputs'!$O$9&gt;0,U5&gt;'General Inputs'!$O$12+'General Inputs'!$O$16),PMT('General Inputs'!$O$14/12,'General Inputs'!$O$13*12,'General Inputs'!$O$8),IF(AND('General Inputs'!$O$16&gt;0,Waterfalls!U5&lt;='General Inputs'!$O$12+'General Inputs'!$O$16),-('General Inputs'!$O$14/12*'General Inputs'!$O$8),0)))</f>
        <v>0</v>
      </c>
      <c r="V154" s="705">
        <f>IF(V$5&lt;=MonthRefi,
IF(AND(ContrMezz&gt;0,V5&gt;'General Inputs'!$I$16),PMT('General Inputs'!$I$14/12,'General Inputs'!$I$13*12,'General Inputs'!$I$8),
IF(AND('General Inputs'!$I$16&gt;0,Waterfalls!V5&lt;='General Inputs'!$I$16),-('General Inputs'!$I$14/12*'General Inputs'!$I$8),0)),
IF(AND('General Inputs'!$O$9&gt;0,V5&gt;'General Inputs'!$O$12+'General Inputs'!$O$16),PMT('General Inputs'!$O$14/12,'General Inputs'!$O$13*12,'General Inputs'!$O$8),IF(AND('General Inputs'!$O$16&gt;0,Waterfalls!V5&lt;='General Inputs'!$O$12+'General Inputs'!$O$16),-('General Inputs'!$O$14/12*'General Inputs'!$O$8),0)))</f>
        <v>0</v>
      </c>
      <c r="W154" s="705">
        <f>IF(W$5&lt;=MonthRefi,
IF(AND(ContrMezz&gt;0,W5&gt;'General Inputs'!$I$16),PMT('General Inputs'!$I$14/12,'General Inputs'!$I$13*12,'General Inputs'!$I$8),
IF(AND('General Inputs'!$I$16&gt;0,Waterfalls!W5&lt;='General Inputs'!$I$16),-('General Inputs'!$I$14/12*'General Inputs'!$I$8),0)),
IF(AND('General Inputs'!$O$9&gt;0,W5&gt;'General Inputs'!$O$12+'General Inputs'!$O$16),PMT('General Inputs'!$O$14/12,'General Inputs'!$O$13*12,'General Inputs'!$O$8),IF(AND('General Inputs'!$O$16&gt;0,Waterfalls!W5&lt;='General Inputs'!$O$12+'General Inputs'!$O$16),-('General Inputs'!$O$14/12*'General Inputs'!$O$8),0)))</f>
        <v>0</v>
      </c>
      <c r="X154" s="705">
        <f>IF(X$5&lt;=MonthRefi,
IF(AND(ContrMezz&gt;0,X5&gt;'General Inputs'!$I$16),PMT('General Inputs'!$I$14/12,'General Inputs'!$I$13*12,'General Inputs'!$I$8),
IF(AND('General Inputs'!$I$16&gt;0,Waterfalls!X5&lt;='General Inputs'!$I$16),-('General Inputs'!$I$14/12*'General Inputs'!$I$8),0)),
IF(AND('General Inputs'!$O$9&gt;0,X5&gt;'General Inputs'!$O$12+'General Inputs'!$O$16),PMT('General Inputs'!$O$14/12,'General Inputs'!$O$13*12,'General Inputs'!$O$8),IF(AND('General Inputs'!$O$16&gt;0,Waterfalls!X5&lt;='General Inputs'!$O$12+'General Inputs'!$O$16),-('General Inputs'!$O$14/12*'General Inputs'!$O$8),0)))</f>
        <v>0</v>
      </c>
      <c r="Y154" s="705">
        <f>IF(Y$5&lt;=MonthRefi,
IF(AND(ContrMezz&gt;0,Y5&gt;'General Inputs'!$I$16),PMT('General Inputs'!$I$14/12,'General Inputs'!$I$13*12,'General Inputs'!$I$8),
IF(AND('General Inputs'!$I$16&gt;0,Waterfalls!Y5&lt;='General Inputs'!$I$16),-('General Inputs'!$I$14/12*'General Inputs'!$I$8),0)),
IF(AND('General Inputs'!$O$9&gt;0,Y5&gt;'General Inputs'!$O$12+'General Inputs'!$O$16),PMT('General Inputs'!$O$14/12,'General Inputs'!$O$13*12,'General Inputs'!$O$8),IF(AND('General Inputs'!$O$16&gt;0,Waterfalls!Y5&lt;='General Inputs'!$O$12+'General Inputs'!$O$16),-('General Inputs'!$O$14/12*'General Inputs'!$O$8),0)))</f>
        <v>0</v>
      </c>
      <c r="Z154" s="705">
        <f>IF(Z$5&lt;=MonthRefi,
IF(AND(ContrMezz&gt;0,Z5&gt;'General Inputs'!$I$16),PMT('General Inputs'!$I$14/12,'General Inputs'!$I$13*12,'General Inputs'!$I$8),
IF(AND('General Inputs'!$I$16&gt;0,Waterfalls!Z5&lt;='General Inputs'!$I$16),-('General Inputs'!$I$14/12*'General Inputs'!$I$8),0)),
IF(AND('General Inputs'!$O$9&gt;0,Z5&gt;'General Inputs'!$O$12+'General Inputs'!$O$16),PMT('General Inputs'!$O$14/12,'General Inputs'!$O$13*12,'General Inputs'!$O$8),IF(AND('General Inputs'!$O$16&gt;0,Waterfalls!Z5&lt;='General Inputs'!$O$12+'General Inputs'!$O$16),-('General Inputs'!$O$14/12*'General Inputs'!$O$8),0)))</f>
        <v>0</v>
      </c>
      <c r="AA154" s="705">
        <f>IF(AA$5&lt;=MonthRefi,
IF(AND(ContrMezz&gt;0,AA5&gt;'General Inputs'!$I$16),PMT('General Inputs'!$I$14/12,'General Inputs'!$I$13*12,'General Inputs'!$I$8),
IF(AND('General Inputs'!$I$16&gt;0,Waterfalls!AA5&lt;='General Inputs'!$I$16),-('General Inputs'!$I$14/12*'General Inputs'!$I$8),0)),
IF(AND('General Inputs'!$O$9&gt;0,AA5&gt;'General Inputs'!$O$12+'General Inputs'!$O$16),PMT('General Inputs'!$O$14/12,'General Inputs'!$O$13*12,'General Inputs'!$O$8),IF(AND('General Inputs'!$O$16&gt;0,Waterfalls!AA5&lt;='General Inputs'!$O$12+'General Inputs'!$O$16),-('General Inputs'!$O$14/12*'General Inputs'!$O$8),0)))</f>
        <v>0</v>
      </c>
      <c r="AB154" s="705">
        <f>IF(AB$5&lt;=MonthRefi,
IF(AND(ContrMezz&gt;0,AB5&gt;'General Inputs'!$I$16),PMT('General Inputs'!$I$14/12,'General Inputs'!$I$13*12,'General Inputs'!$I$8),
IF(AND('General Inputs'!$I$16&gt;0,Waterfalls!AB5&lt;='General Inputs'!$I$16),-('General Inputs'!$I$14/12*'General Inputs'!$I$8),0)),
IF(AND('General Inputs'!$O$9&gt;0,AB5&gt;'General Inputs'!$O$12+'General Inputs'!$O$16),PMT('General Inputs'!$O$14/12,'General Inputs'!$O$13*12,'General Inputs'!$O$8),IF(AND('General Inputs'!$O$16&gt;0,Waterfalls!AB5&lt;='General Inputs'!$O$12+'General Inputs'!$O$16),-('General Inputs'!$O$14/12*'General Inputs'!$O$8),0)))</f>
        <v>0</v>
      </c>
      <c r="AC154" s="705">
        <f>IF(AC$5&lt;=MonthRefi,
IF(AND(ContrMezz&gt;0,AC5&gt;'General Inputs'!$I$16),PMT('General Inputs'!$I$14/12,'General Inputs'!$I$13*12,'General Inputs'!$I$8),
IF(AND('General Inputs'!$I$16&gt;0,Waterfalls!AC5&lt;='General Inputs'!$I$16),-('General Inputs'!$I$14/12*'General Inputs'!$I$8),0)),
IF(AND('General Inputs'!$O$9&gt;0,AC5&gt;'General Inputs'!$O$12+'General Inputs'!$O$16),PMT('General Inputs'!$O$14/12,'General Inputs'!$O$13*12,'General Inputs'!$O$8),IF(AND('General Inputs'!$O$16&gt;0,Waterfalls!AC5&lt;='General Inputs'!$O$12+'General Inputs'!$O$16),-('General Inputs'!$O$14/12*'General Inputs'!$O$8),0)))</f>
        <v>0</v>
      </c>
      <c r="AD154" s="705">
        <f>IF(AD$5&lt;=MonthRefi,
IF(AND(ContrMezz&gt;0,AD5&gt;'General Inputs'!$I$16),PMT('General Inputs'!$I$14/12,'General Inputs'!$I$13*12,'General Inputs'!$I$8),
IF(AND('General Inputs'!$I$16&gt;0,Waterfalls!AD5&lt;='General Inputs'!$I$16),-('General Inputs'!$I$14/12*'General Inputs'!$I$8),0)),
IF(AND('General Inputs'!$O$9&gt;0,AD5&gt;'General Inputs'!$O$12+'General Inputs'!$O$16),PMT('General Inputs'!$O$14/12,'General Inputs'!$O$13*12,'General Inputs'!$O$8),IF(AND('General Inputs'!$O$16&gt;0,Waterfalls!AD5&lt;='General Inputs'!$O$12+'General Inputs'!$O$16),-('General Inputs'!$O$14/12*'General Inputs'!$O$8),0)))</f>
        <v>0</v>
      </c>
      <c r="AE154" s="705">
        <f>IF(AE$5&lt;=MonthRefi,
IF(AND(ContrMezz&gt;0,AE5&gt;'General Inputs'!$I$16),PMT('General Inputs'!$I$14/12,'General Inputs'!$I$13*12,'General Inputs'!$I$8),
IF(AND('General Inputs'!$I$16&gt;0,Waterfalls!AE5&lt;='General Inputs'!$I$16),-('General Inputs'!$I$14/12*'General Inputs'!$I$8),0)),
IF(AND('General Inputs'!$O$9&gt;0,AE5&gt;'General Inputs'!$O$12+'General Inputs'!$O$16),PMT('General Inputs'!$O$14/12,'General Inputs'!$O$13*12,'General Inputs'!$O$8),IF(AND('General Inputs'!$O$16&gt;0,Waterfalls!AE5&lt;='General Inputs'!$O$12+'General Inputs'!$O$16),-('General Inputs'!$O$14/12*'General Inputs'!$O$8),0)))</f>
        <v>0</v>
      </c>
      <c r="AF154" s="705">
        <f>IF(AF$5&lt;=MonthRefi,
IF(AND(ContrMezz&gt;0,AF5&gt;'General Inputs'!$I$16),PMT('General Inputs'!$I$14/12,'General Inputs'!$I$13*12,'General Inputs'!$I$8),
IF(AND('General Inputs'!$I$16&gt;0,Waterfalls!AF5&lt;='General Inputs'!$I$16),-('General Inputs'!$I$14/12*'General Inputs'!$I$8),0)),
IF(AND('General Inputs'!$O$9&gt;0,AF5&gt;'General Inputs'!$O$12+'General Inputs'!$O$16),PMT('General Inputs'!$O$14/12,'General Inputs'!$O$13*12,'General Inputs'!$O$8),IF(AND('General Inputs'!$O$16&gt;0,Waterfalls!AF5&lt;='General Inputs'!$O$12+'General Inputs'!$O$16),-('General Inputs'!$O$14/12*'General Inputs'!$O$8),0)))</f>
        <v>0</v>
      </c>
      <c r="AG154" s="705">
        <f>IF(AG$5&lt;=MonthRefi,
IF(AND(ContrMezz&gt;0,AG5&gt;'General Inputs'!$I$16),PMT('General Inputs'!$I$14/12,'General Inputs'!$I$13*12,'General Inputs'!$I$8),
IF(AND('General Inputs'!$I$16&gt;0,Waterfalls!AG5&lt;='General Inputs'!$I$16),-('General Inputs'!$I$14/12*'General Inputs'!$I$8),0)),
IF(AND('General Inputs'!$O$9&gt;0,AG5&gt;'General Inputs'!$O$12+'General Inputs'!$O$16),PMT('General Inputs'!$O$14/12,'General Inputs'!$O$13*12,'General Inputs'!$O$8),IF(AND('General Inputs'!$O$16&gt;0,Waterfalls!AG5&lt;='General Inputs'!$O$12+'General Inputs'!$O$16),-('General Inputs'!$O$14/12*'General Inputs'!$O$8),0)))</f>
        <v>0</v>
      </c>
      <c r="AH154" s="705">
        <f>IF(AH$5&lt;=MonthRefi,
IF(AND(ContrMezz&gt;0,AH5&gt;'General Inputs'!$I$16),PMT('General Inputs'!$I$14/12,'General Inputs'!$I$13*12,'General Inputs'!$I$8),
IF(AND('General Inputs'!$I$16&gt;0,Waterfalls!AH5&lt;='General Inputs'!$I$16),-('General Inputs'!$I$14/12*'General Inputs'!$I$8),0)),
IF(AND('General Inputs'!$O$9&gt;0,AH5&gt;'General Inputs'!$O$12+'General Inputs'!$O$16),PMT('General Inputs'!$O$14/12,'General Inputs'!$O$13*12,'General Inputs'!$O$8),IF(AND('General Inputs'!$O$16&gt;0,Waterfalls!AH5&lt;='General Inputs'!$O$12+'General Inputs'!$O$16),-('General Inputs'!$O$14/12*'General Inputs'!$O$8),0)))</f>
        <v>0</v>
      </c>
      <c r="AI154" s="705">
        <f>IF(AI$5&lt;=MonthRefi,
IF(AND(ContrMezz&gt;0,AI5&gt;'General Inputs'!$I$16),PMT('General Inputs'!$I$14/12,'General Inputs'!$I$13*12,'General Inputs'!$I$8),
IF(AND('General Inputs'!$I$16&gt;0,Waterfalls!AI5&lt;='General Inputs'!$I$16),-('General Inputs'!$I$14/12*'General Inputs'!$I$8),0)),
IF(AND('General Inputs'!$O$9&gt;0,AI5&gt;'General Inputs'!$O$12+'General Inputs'!$O$16),PMT('General Inputs'!$O$14/12,'General Inputs'!$O$13*12,'General Inputs'!$O$8),IF(AND('General Inputs'!$O$16&gt;0,Waterfalls!AI5&lt;='General Inputs'!$O$12+'General Inputs'!$O$16),-('General Inputs'!$O$14/12*'General Inputs'!$O$8),0)))</f>
        <v>0</v>
      </c>
      <c r="AJ154" s="705">
        <f>IF(AJ$5&lt;=MonthRefi,
IF(AND(ContrMezz&gt;0,AJ5&gt;'General Inputs'!$I$16),PMT('General Inputs'!$I$14/12,'General Inputs'!$I$13*12,'General Inputs'!$I$8),
IF(AND('General Inputs'!$I$16&gt;0,Waterfalls!AJ5&lt;='General Inputs'!$I$16),-('General Inputs'!$I$14/12*'General Inputs'!$I$8),0)),
IF(AND('General Inputs'!$O$9&gt;0,AJ5&gt;'General Inputs'!$O$12+'General Inputs'!$O$16),PMT('General Inputs'!$O$14/12,'General Inputs'!$O$13*12,'General Inputs'!$O$8),IF(AND('General Inputs'!$O$16&gt;0,Waterfalls!AJ5&lt;='General Inputs'!$O$12+'General Inputs'!$O$16),-('General Inputs'!$O$14/12*'General Inputs'!$O$8),0)))</f>
        <v>0</v>
      </c>
      <c r="AK154" s="705">
        <f>IF(AK$5&lt;=MonthRefi,
IF(AND(ContrMezz&gt;0,AK5&gt;'General Inputs'!$I$16),PMT('General Inputs'!$I$14/12,'General Inputs'!$I$13*12,'General Inputs'!$I$8),
IF(AND('General Inputs'!$I$16&gt;0,Waterfalls!AK5&lt;='General Inputs'!$I$16),-('General Inputs'!$I$14/12*'General Inputs'!$I$8),0)),
IF(AND('General Inputs'!$O$9&gt;0,AK5&gt;'General Inputs'!$O$12+'General Inputs'!$O$16),PMT('General Inputs'!$O$14/12,'General Inputs'!$O$13*12,'General Inputs'!$O$8),IF(AND('General Inputs'!$O$16&gt;0,Waterfalls!AK5&lt;='General Inputs'!$O$12+'General Inputs'!$O$16),-('General Inputs'!$O$14/12*'General Inputs'!$O$8),0)))</f>
        <v>0</v>
      </c>
      <c r="AL154" s="705">
        <f>IF(AL$5&lt;=MonthRefi,
IF(AND(ContrMezz&gt;0,AL5&gt;'General Inputs'!$I$16),PMT('General Inputs'!$I$14/12,'General Inputs'!$I$13*12,'General Inputs'!$I$8),
IF(AND('General Inputs'!$I$16&gt;0,Waterfalls!AL5&lt;='General Inputs'!$I$16),-('General Inputs'!$I$14/12*'General Inputs'!$I$8),0)),
IF(AND('General Inputs'!$O$9&gt;0,AL5&gt;'General Inputs'!$O$12+'General Inputs'!$O$16),PMT('General Inputs'!$O$14/12,'General Inputs'!$O$13*12,'General Inputs'!$O$8),IF(AND('General Inputs'!$O$16&gt;0,Waterfalls!AL5&lt;='General Inputs'!$O$12+'General Inputs'!$O$16),-('General Inputs'!$O$14/12*'General Inputs'!$O$8),0)))</f>
        <v>0</v>
      </c>
      <c r="AM154" s="705">
        <f>IF(AM$5&lt;=MonthRefi,
IF(AND(ContrMezz&gt;0,AM5&gt;'General Inputs'!$I$16),PMT('General Inputs'!$I$14/12,'General Inputs'!$I$13*12,'General Inputs'!$I$8),
IF(AND('General Inputs'!$I$16&gt;0,Waterfalls!AM5&lt;='General Inputs'!$I$16),-('General Inputs'!$I$14/12*'General Inputs'!$I$8),0)),
IF(AND('General Inputs'!$O$9&gt;0,AM5&gt;'General Inputs'!$O$12+'General Inputs'!$O$16),PMT('General Inputs'!$O$14/12,'General Inputs'!$O$13*12,'General Inputs'!$O$8),IF(AND('General Inputs'!$O$16&gt;0,Waterfalls!AM5&lt;='General Inputs'!$O$12+'General Inputs'!$O$16),-('General Inputs'!$O$14/12*'General Inputs'!$O$8),0)))</f>
        <v>0</v>
      </c>
      <c r="AN154" s="705">
        <f>IF(AN$5&lt;=MonthRefi,
IF(AND(ContrMezz&gt;0,AN5&gt;'General Inputs'!$I$16),PMT('General Inputs'!$I$14/12,'General Inputs'!$I$13*12,'General Inputs'!$I$8),
IF(AND('General Inputs'!$I$16&gt;0,Waterfalls!AN5&lt;='General Inputs'!$I$16),-('General Inputs'!$I$14/12*'General Inputs'!$I$8),0)),
IF(AND('General Inputs'!$O$9&gt;0,AN5&gt;'General Inputs'!$O$12+'General Inputs'!$O$16),PMT('General Inputs'!$O$14/12,'General Inputs'!$O$13*12,'General Inputs'!$O$8),IF(AND('General Inputs'!$O$16&gt;0,Waterfalls!AN5&lt;='General Inputs'!$O$12+'General Inputs'!$O$16),-('General Inputs'!$O$14/12*'General Inputs'!$O$8),0)))</f>
        <v>0</v>
      </c>
      <c r="AO154" s="705">
        <f>IF(AO$5&lt;=MonthRefi,
IF(AND(ContrMezz&gt;0,AO5&gt;'General Inputs'!$I$16),PMT('General Inputs'!$I$14/12,'General Inputs'!$I$13*12,'General Inputs'!$I$8),
IF(AND('General Inputs'!$I$16&gt;0,Waterfalls!AO5&lt;='General Inputs'!$I$16),-('General Inputs'!$I$14/12*'General Inputs'!$I$8),0)),
IF(AND('General Inputs'!$O$9&gt;0,AO5&gt;'General Inputs'!$O$12+'General Inputs'!$O$16),PMT('General Inputs'!$O$14/12,'General Inputs'!$O$13*12,'General Inputs'!$O$8),IF(AND('General Inputs'!$O$16&gt;0,Waterfalls!AO5&lt;='General Inputs'!$O$12+'General Inputs'!$O$16),-('General Inputs'!$O$14/12*'General Inputs'!$O$8),0)))</f>
        <v>0</v>
      </c>
      <c r="AP154" s="705">
        <f>IF(AP$5&lt;=MonthRefi,
IF(AND(ContrMezz&gt;0,AP5&gt;'General Inputs'!$I$16),PMT('General Inputs'!$I$14/12,'General Inputs'!$I$13*12,'General Inputs'!$I$8),
IF(AND('General Inputs'!$I$16&gt;0,Waterfalls!AP5&lt;='General Inputs'!$I$16),-('General Inputs'!$I$14/12*'General Inputs'!$I$8),0)),
IF(AND('General Inputs'!$O$9&gt;0,AP5&gt;'General Inputs'!$O$12+'General Inputs'!$O$16),PMT('General Inputs'!$O$14/12,'General Inputs'!$O$13*12,'General Inputs'!$O$8),IF(AND('General Inputs'!$O$16&gt;0,Waterfalls!AP5&lt;='General Inputs'!$O$12+'General Inputs'!$O$16),-('General Inputs'!$O$14/12*'General Inputs'!$O$8),0)))</f>
        <v>0</v>
      </c>
      <c r="AQ154" s="705">
        <f>IF(AQ$5&lt;=MonthRefi,
IF(AND(ContrMezz&gt;0,AQ5&gt;'General Inputs'!$I$16),PMT('General Inputs'!$I$14/12,'General Inputs'!$I$13*12,'General Inputs'!$I$8),
IF(AND('General Inputs'!$I$16&gt;0,Waterfalls!AQ5&lt;='General Inputs'!$I$16),-('General Inputs'!$I$14/12*'General Inputs'!$I$8),0)),
IF(AND('General Inputs'!$O$9&gt;0,AQ5&gt;'General Inputs'!$O$12+'General Inputs'!$O$16),PMT('General Inputs'!$O$14/12,'General Inputs'!$O$13*12,'General Inputs'!$O$8),IF(AND('General Inputs'!$O$16&gt;0,Waterfalls!AQ5&lt;='General Inputs'!$O$12+'General Inputs'!$O$16),-('General Inputs'!$O$14/12*'General Inputs'!$O$8),0)))</f>
        <v>0</v>
      </c>
      <c r="AR154" s="705">
        <f>IF(AR$5&lt;=MonthRefi,
IF(AND(ContrMezz&gt;0,AR5&gt;'General Inputs'!$I$16),PMT('General Inputs'!$I$14/12,'General Inputs'!$I$13*12,'General Inputs'!$I$8),
IF(AND('General Inputs'!$I$16&gt;0,Waterfalls!AR5&lt;='General Inputs'!$I$16),-('General Inputs'!$I$14/12*'General Inputs'!$I$8),0)),
IF(AND('General Inputs'!$O$9&gt;0,AR5&gt;'General Inputs'!$O$12+'General Inputs'!$O$16),PMT('General Inputs'!$O$14/12,'General Inputs'!$O$13*12,'General Inputs'!$O$8),IF(AND('General Inputs'!$O$16&gt;0,Waterfalls!AR5&lt;='General Inputs'!$O$12+'General Inputs'!$O$16),-('General Inputs'!$O$14/12*'General Inputs'!$O$8),0)))</f>
        <v>0</v>
      </c>
      <c r="AS154" s="705">
        <f>IF(AS$5&lt;=MonthRefi,
IF(AND(ContrMezz&gt;0,AS5&gt;'General Inputs'!$I$16),PMT('General Inputs'!$I$14/12,'General Inputs'!$I$13*12,'General Inputs'!$I$8),
IF(AND('General Inputs'!$I$16&gt;0,Waterfalls!AS5&lt;='General Inputs'!$I$16),-('General Inputs'!$I$14/12*'General Inputs'!$I$8),0)),
IF(AND('General Inputs'!$O$9&gt;0,AS5&gt;'General Inputs'!$O$12+'General Inputs'!$O$16),PMT('General Inputs'!$O$14/12,'General Inputs'!$O$13*12,'General Inputs'!$O$8),IF(AND('General Inputs'!$O$16&gt;0,Waterfalls!AS5&lt;='General Inputs'!$O$12+'General Inputs'!$O$16),-('General Inputs'!$O$14/12*'General Inputs'!$O$8),0)))</f>
        <v>0</v>
      </c>
      <c r="AT154" s="705">
        <f>IF(AT$5&lt;=MonthRefi,
IF(AND(ContrMezz&gt;0,AT5&gt;'General Inputs'!$I$16),PMT('General Inputs'!$I$14/12,'General Inputs'!$I$13*12,'General Inputs'!$I$8),
IF(AND('General Inputs'!$I$16&gt;0,Waterfalls!AT5&lt;='General Inputs'!$I$16),-('General Inputs'!$I$14/12*'General Inputs'!$I$8),0)),
IF(AND('General Inputs'!$O$9&gt;0,AT5&gt;'General Inputs'!$O$12+'General Inputs'!$O$16),PMT('General Inputs'!$O$14/12,'General Inputs'!$O$13*12,'General Inputs'!$O$8),IF(AND('General Inputs'!$O$16&gt;0,Waterfalls!AT5&lt;='General Inputs'!$O$12+'General Inputs'!$O$16),-('General Inputs'!$O$14/12*'General Inputs'!$O$8),0)))</f>
        <v>0</v>
      </c>
      <c r="AU154" s="705">
        <f>IF(AU$5&lt;=MonthRefi,
IF(AND(ContrMezz&gt;0,AU5&gt;'General Inputs'!$I$16),PMT('General Inputs'!$I$14/12,'General Inputs'!$I$13*12,'General Inputs'!$I$8),
IF(AND('General Inputs'!$I$16&gt;0,Waterfalls!AU5&lt;='General Inputs'!$I$16),-('General Inputs'!$I$14/12*'General Inputs'!$I$8),0)),
IF(AND('General Inputs'!$O$9&gt;0,AU5&gt;'General Inputs'!$O$12+'General Inputs'!$O$16),PMT('General Inputs'!$O$14/12,'General Inputs'!$O$13*12,'General Inputs'!$O$8),IF(AND('General Inputs'!$O$16&gt;0,Waterfalls!AU5&lt;='General Inputs'!$O$12+'General Inputs'!$O$16),-('General Inputs'!$O$14/12*'General Inputs'!$O$8),0)))</f>
        <v>0</v>
      </c>
      <c r="AV154" s="705">
        <f>IF(AV$5&lt;=MonthRefi,
IF(AND(ContrMezz&gt;0,AV5&gt;'General Inputs'!$I$16),PMT('General Inputs'!$I$14/12,'General Inputs'!$I$13*12,'General Inputs'!$I$8),
IF(AND('General Inputs'!$I$16&gt;0,Waterfalls!AV5&lt;='General Inputs'!$I$16),-('General Inputs'!$I$14/12*'General Inputs'!$I$8),0)),
IF(AND('General Inputs'!$O$9&gt;0,AV5&gt;'General Inputs'!$O$12+'General Inputs'!$O$16),PMT('General Inputs'!$O$14/12,'General Inputs'!$O$13*12,'General Inputs'!$O$8),IF(AND('General Inputs'!$O$16&gt;0,Waterfalls!AV5&lt;='General Inputs'!$O$12+'General Inputs'!$O$16),-('General Inputs'!$O$14/12*'General Inputs'!$O$8),0)))</f>
        <v>0</v>
      </c>
      <c r="AW154" s="705">
        <f>IF(AW$5&lt;=MonthRefi,
IF(AND(ContrMezz&gt;0,AW5&gt;'General Inputs'!$I$16),PMT('General Inputs'!$I$14/12,'General Inputs'!$I$13*12,'General Inputs'!$I$8),
IF(AND('General Inputs'!$I$16&gt;0,Waterfalls!AW5&lt;='General Inputs'!$I$16),-('General Inputs'!$I$14/12*'General Inputs'!$I$8),0)),
IF(AND('General Inputs'!$O$9&gt;0,AW5&gt;'General Inputs'!$O$12+'General Inputs'!$O$16),PMT('General Inputs'!$O$14/12,'General Inputs'!$O$13*12,'General Inputs'!$O$8),IF(AND('General Inputs'!$O$16&gt;0,Waterfalls!AW5&lt;='General Inputs'!$O$12+'General Inputs'!$O$16),-('General Inputs'!$O$14/12*'General Inputs'!$O$8),0)))</f>
        <v>0</v>
      </c>
      <c r="AX154" s="705">
        <f>IF(AX$5&lt;=MonthRefi,
IF(AND(ContrMezz&gt;0,AX5&gt;'General Inputs'!$I$16),PMT('General Inputs'!$I$14/12,'General Inputs'!$I$13*12,'General Inputs'!$I$8),
IF(AND('General Inputs'!$I$16&gt;0,Waterfalls!AX5&lt;='General Inputs'!$I$16),-('General Inputs'!$I$14/12*'General Inputs'!$I$8),0)),
IF(AND('General Inputs'!$O$9&gt;0,AX5&gt;'General Inputs'!$O$12+'General Inputs'!$O$16),PMT('General Inputs'!$O$14/12,'General Inputs'!$O$13*12,'General Inputs'!$O$8),IF(AND('General Inputs'!$O$16&gt;0,Waterfalls!AX5&lt;='General Inputs'!$O$12+'General Inputs'!$O$16),-('General Inputs'!$O$14/12*'General Inputs'!$O$8),0)))</f>
        <v>0</v>
      </c>
      <c r="AY154" s="705">
        <f>IF(AY$5&lt;=MonthRefi,
IF(AND(ContrMezz&gt;0,AY5&gt;'General Inputs'!$I$16),PMT('General Inputs'!$I$14/12,'General Inputs'!$I$13*12,'General Inputs'!$I$8),
IF(AND('General Inputs'!$I$16&gt;0,Waterfalls!AY5&lt;='General Inputs'!$I$16),-('General Inputs'!$I$14/12*'General Inputs'!$I$8),0)),
IF(AND('General Inputs'!$O$9&gt;0,AY5&gt;'General Inputs'!$O$12+'General Inputs'!$O$16),PMT('General Inputs'!$O$14/12,'General Inputs'!$O$13*12,'General Inputs'!$O$8),IF(AND('General Inputs'!$O$16&gt;0,Waterfalls!AY5&lt;='General Inputs'!$O$12+'General Inputs'!$O$16),-('General Inputs'!$O$14/12*'General Inputs'!$O$8),0)))</f>
        <v>0</v>
      </c>
      <c r="AZ154" s="705">
        <f>IF(AZ$5&lt;=MonthRefi,
IF(AND(ContrMezz&gt;0,AZ5&gt;'General Inputs'!$I$16),PMT('General Inputs'!$I$14/12,'General Inputs'!$I$13*12,'General Inputs'!$I$8),
IF(AND('General Inputs'!$I$16&gt;0,Waterfalls!AZ5&lt;='General Inputs'!$I$16),-('General Inputs'!$I$14/12*'General Inputs'!$I$8),0)),
IF(AND('General Inputs'!$O$9&gt;0,AZ5&gt;'General Inputs'!$O$12+'General Inputs'!$O$16),PMT('General Inputs'!$O$14/12,'General Inputs'!$O$13*12,'General Inputs'!$O$8),IF(AND('General Inputs'!$O$16&gt;0,Waterfalls!AZ5&lt;='General Inputs'!$O$12+'General Inputs'!$O$16),-('General Inputs'!$O$14/12*'General Inputs'!$O$8),0)))</f>
        <v>0</v>
      </c>
      <c r="BA154" s="705">
        <f>IF(BA$5&lt;=MonthRefi,
IF(AND(ContrMezz&gt;0,BA5&gt;'General Inputs'!$I$16),PMT('General Inputs'!$I$14/12,'General Inputs'!$I$13*12,'General Inputs'!$I$8),
IF(AND('General Inputs'!$I$16&gt;0,Waterfalls!BA5&lt;='General Inputs'!$I$16),-('General Inputs'!$I$14/12*'General Inputs'!$I$8),0)),
IF(AND('General Inputs'!$O$9&gt;0,BA5&gt;'General Inputs'!$O$12+'General Inputs'!$O$16),PMT('General Inputs'!$O$14/12,'General Inputs'!$O$13*12,'General Inputs'!$O$8),IF(AND('General Inputs'!$O$16&gt;0,Waterfalls!BA5&lt;='General Inputs'!$O$12+'General Inputs'!$O$16),-('General Inputs'!$O$14/12*'General Inputs'!$O$8),0)))</f>
        <v>0</v>
      </c>
      <c r="BB154" s="705">
        <f>IF(BB$5&lt;=MonthRefi,
IF(AND(ContrMezz&gt;0,BB5&gt;'General Inputs'!$I$16),PMT('General Inputs'!$I$14/12,'General Inputs'!$I$13*12,'General Inputs'!$I$8),
IF(AND('General Inputs'!$I$16&gt;0,Waterfalls!BB5&lt;='General Inputs'!$I$16),-('General Inputs'!$I$14/12*'General Inputs'!$I$8),0)),
IF(AND('General Inputs'!$O$9&gt;0,BB5&gt;'General Inputs'!$O$12+'General Inputs'!$O$16),PMT('General Inputs'!$O$14/12,'General Inputs'!$O$13*12,'General Inputs'!$O$8),IF(AND('General Inputs'!$O$16&gt;0,Waterfalls!BB5&lt;='General Inputs'!$O$12+'General Inputs'!$O$16),-('General Inputs'!$O$14/12*'General Inputs'!$O$8),0)))</f>
        <v>0</v>
      </c>
      <c r="BC154" s="705">
        <f>IF(BC$5&lt;=MonthRefi,
IF(AND(ContrMezz&gt;0,BC5&gt;'General Inputs'!$I$16),PMT('General Inputs'!$I$14/12,'General Inputs'!$I$13*12,'General Inputs'!$I$8),
IF(AND('General Inputs'!$I$16&gt;0,Waterfalls!BC5&lt;='General Inputs'!$I$16),-('General Inputs'!$I$14/12*'General Inputs'!$I$8),0)),
IF(AND('General Inputs'!$O$9&gt;0,BC5&gt;'General Inputs'!$O$12+'General Inputs'!$O$16),PMT('General Inputs'!$O$14/12,'General Inputs'!$O$13*12,'General Inputs'!$O$8),IF(AND('General Inputs'!$O$16&gt;0,Waterfalls!BC5&lt;='General Inputs'!$O$12+'General Inputs'!$O$16),-('General Inputs'!$O$14/12*'General Inputs'!$O$8),0)))</f>
        <v>0</v>
      </c>
      <c r="BD154" s="705">
        <f>IF(BD$5&lt;=MonthRefi,
IF(AND(ContrMezz&gt;0,BD5&gt;'General Inputs'!$I$16),PMT('General Inputs'!$I$14/12,'General Inputs'!$I$13*12,'General Inputs'!$I$8),
IF(AND('General Inputs'!$I$16&gt;0,Waterfalls!BD5&lt;='General Inputs'!$I$16),-('General Inputs'!$I$14/12*'General Inputs'!$I$8),0)),
IF(AND('General Inputs'!$O$9&gt;0,BD5&gt;'General Inputs'!$O$12+'General Inputs'!$O$16),PMT('General Inputs'!$O$14/12,'General Inputs'!$O$13*12,'General Inputs'!$O$8),IF(AND('General Inputs'!$O$16&gt;0,Waterfalls!BD5&lt;='General Inputs'!$O$12+'General Inputs'!$O$16),-('General Inputs'!$O$14/12*'General Inputs'!$O$8),0)))</f>
        <v>0</v>
      </c>
      <c r="BE154" s="705">
        <f>IF(BE$5&lt;=MonthRefi,
IF(AND(ContrMezz&gt;0,BE5&gt;'General Inputs'!$I$16),PMT('General Inputs'!$I$14/12,'General Inputs'!$I$13*12,'General Inputs'!$I$8),
IF(AND('General Inputs'!$I$16&gt;0,Waterfalls!BE5&lt;='General Inputs'!$I$16),-('General Inputs'!$I$14/12*'General Inputs'!$I$8),0)),
IF(AND('General Inputs'!$O$9&gt;0,BE5&gt;'General Inputs'!$O$12+'General Inputs'!$O$16),PMT('General Inputs'!$O$14/12,'General Inputs'!$O$13*12,'General Inputs'!$O$8),IF(AND('General Inputs'!$O$16&gt;0,Waterfalls!BE5&lt;='General Inputs'!$O$12+'General Inputs'!$O$16),-('General Inputs'!$O$14/12*'General Inputs'!$O$8),0)))</f>
        <v>0</v>
      </c>
      <c r="BF154" s="705">
        <f>IF(BF$5&lt;=MonthRefi,
IF(AND(ContrMezz&gt;0,BF5&gt;'General Inputs'!$I$16),PMT('General Inputs'!$I$14/12,'General Inputs'!$I$13*12,'General Inputs'!$I$8),
IF(AND('General Inputs'!$I$16&gt;0,Waterfalls!BF5&lt;='General Inputs'!$I$16),-('General Inputs'!$I$14/12*'General Inputs'!$I$8),0)),
IF(AND('General Inputs'!$O$9&gt;0,BF5&gt;'General Inputs'!$O$12+'General Inputs'!$O$16),PMT('General Inputs'!$O$14/12,'General Inputs'!$O$13*12,'General Inputs'!$O$8),IF(AND('General Inputs'!$O$16&gt;0,Waterfalls!BF5&lt;='General Inputs'!$O$12+'General Inputs'!$O$16),-('General Inputs'!$O$14/12*'General Inputs'!$O$8),0)))</f>
        <v>0</v>
      </c>
      <c r="BG154" s="705">
        <f>IF(BG$5&lt;=MonthRefi,
IF(AND(ContrMezz&gt;0,BG5&gt;'General Inputs'!$I$16),PMT('General Inputs'!$I$14/12,'General Inputs'!$I$13*12,'General Inputs'!$I$8),
IF(AND('General Inputs'!$I$16&gt;0,Waterfalls!BG5&lt;='General Inputs'!$I$16),-('General Inputs'!$I$14/12*'General Inputs'!$I$8),0)),
IF(AND('General Inputs'!$O$9&gt;0,BG5&gt;'General Inputs'!$O$12+'General Inputs'!$O$16),PMT('General Inputs'!$O$14/12,'General Inputs'!$O$13*12,'General Inputs'!$O$8),IF(AND('General Inputs'!$O$16&gt;0,Waterfalls!BG5&lt;='General Inputs'!$O$12+'General Inputs'!$O$16),-('General Inputs'!$O$14/12*'General Inputs'!$O$8),0)))</f>
        <v>0</v>
      </c>
      <c r="BH154" s="705">
        <f>IF(BH$5&lt;=MonthRefi,
IF(AND(ContrMezz&gt;0,BH5&gt;'General Inputs'!$I$16),PMT('General Inputs'!$I$14/12,'General Inputs'!$I$13*12,'General Inputs'!$I$8),
IF(AND('General Inputs'!$I$16&gt;0,Waterfalls!BH5&lt;='General Inputs'!$I$16),-('General Inputs'!$I$14/12*'General Inputs'!$I$8),0)),
IF(AND('General Inputs'!$O$9&gt;0,BH5&gt;'General Inputs'!$O$12+'General Inputs'!$O$16),PMT('General Inputs'!$O$14/12,'General Inputs'!$O$13*12,'General Inputs'!$O$8),IF(AND('General Inputs'!$O$16&gt;0,Waterfalls!BH5&lt;='General Inputs'!$O$12+'General Inputs'!$O$16),-('General Inputs'!$O$14/12*'General Inputs'!$O$8),0)))</f>
        <v>0</v>
      </c>
      <c r="BI154" s="705">
        <f>IF(BI$5&lt;=MonthRefi,
IF(AND(ContrMezz&gt;0,BI5&gt;'General Inputs'!$I$16),PMT('General Inputs'!$I$14/12,'General Inputs'!$I$13*12,'General Inputs'!$I$8),
IF(AND('General Inputs'!$I$16&gt;0,Waterfalls!BI5&lt;='General Inputs'!$I$16),-('General Inputs'!$I$14/12*'General Inputs'!$I$8),0)),
IF(AND('General Inputs'!$O$9&gt;0,BI5&gt;'General Inputs'!$O$12+'General Inputs'!$O$16),PMT('General Inputs'!$O$14/12,'General Inputs'!$O$13*12,'General Inputs'!$O$8),IF(AND('General Inputs'!$O$16&gt;0,Waterfalls!BI5&lt;='General Inputs'!$O$12+'General Inputs'!$O$16),-('General Inputs'!$O$14/12*'General Inputs'!$O$8),0)))</f>
        <v>0</v>
      </c>
      <c r="BJ154" s="705">
        <f>IF(BJ$5&lt;=MonthRefi,
IF(AND(ContrMezz&gt;0,BJ5&gt;'General Inputs'!$I$16),PMT('General Inputs'!$I$14/12,'General Inputs'!$I$13*12,'General Inputs'!$I$8),
IF(AND('General Inputs'!$I$16&gt;0,Waterfalls!BJ5&lt;='General Inputs'!$I$16),-('General Inputs'!$I$14/12*'General Inputs'!$I$8),0)),
IF(AND('General Inputs'!$O$9&gt;0,BJ5&gt;'General Inputs'!$O$12+'General Inputs'!$O$16),PMT('General Inputs'!$O$14/12,'General Inputs'!$O$13*12,'General Inputs'!$O$8),IF(AND('General Inputs'!$O$16&gt;0,Waterfalls!BJ5&lt;='General Inputs'!$O$12+'General Inputs'!$O$16),-('General Inputs'!$O$14/12*'General Inputs'!$O$8),0)))</f>
        <v>0</v>
      </c>
      <c r="BK154" s="705">
        <f>IF(BK$5&lt;=MonthRefi,
IF(AND(ContrMezz&gt;0,BK5&gt;'General Inputs'!$I$16),PMT('General Inputs'!$I$14/12,'General Inputs'!$I$13*12,'General Inputs'!$I$8),
IF(AND('General Inputs'!$I$16&gt;0,Waterfalls!BK5&lt;='General Inputs'!$I$16),-('General Inputs'!$I$14/12*'General Inputs'!$I$8),0)),
IF(AND('General Inputs'!$O$9&gt;0,BK5&gt;'General Inputs'!$O$12+'General Inputs'!$O$16),PMT('General Inputs'!$O$14/12,'General Inputs'!$O$13*12,'General Inputs'!$O$8),IF(AND('General Inputs'!$O$16&gt;0,Waterfalls!BK5&lt;='General Inputs'!$O$12+'General Inputs'!$O$16),-('General Inputs'!$O$14/12*'General Inputs'!$O$8),0)))</f>
        <v>0</v>
      </c>
      <c r="BL154" s="705">
        <f>IF(BL$5&lt;=MonthRefi,
IF(AND(ContrMezz&gt;0,BL5&gt;'General Inputs'!$I$16),PMT('General Inputs'!$I$14/12,'General Inputs'!$I$13*12,'General Inputs'!$I$8),
IF(AND('General Inputs'!$I$16&gt;0,Waterfalls!BL5&lt;='General Inputs'!$I$16),-('General Inputs'!$I$14/12*'General Inputs'!$I$8),0)),
IF(AND('General Inputs'!$O$9&gt;0,BL5&gt;'General Inputs'!$O$12+'General Inputs'!$O$16),PMT('General Inputs'!$O$14/12,'General Inputs'!$O$13*12,'General Inputs'!$O$8),IF(AND('General Inputs'!$O$16&gt;0,Waterfalls!BL5&lt;='General Inputs'!$O$12+'General Inputs'!$O$16),-('General Inputs'!$O$14/12*'General Inputs'!$O$8),0)))</f>
        <v>0</v>
      </c>
      <c r="BM154" s="705">
        <f>IF(BM$5&lt;=MonthRefi,
IF(AND(ContrMezz&gt;0,BM5&gt;'General Inputs'!$I$16),PMT('General Inputs'!$I$14/12,'General Inputs'!$I$13*12,'General Inputs'!$I$8),
IF(AND('General Inputs'!$I$16&gt;0,Waterfalls!BM5&lt;='General Inputs'!$I$16),-('General Inputs'!$I$14/12*'General Inputs'!$I$8),0)),
IF(AND('General Inputs'!$O$9&gt;0,BM5&gt;'General Inputs'!$O$12+'General Inputs'!$O$16),PMT('General Inputs'!$O$14/12,'General Inputs'!$O$13*12,'General Inputs'!$O$8),IF(AND('General Inputs'!$O$16&gt;0,Waterfalls!BM5&lt;='General Inputs'!$O$12+'General Inputs'!$O$16),-('General Inputs'!$O$14/12*'General Inputs'!$O$8),0)))</f>
        <v>0</v>
      </c>
      <c r="BN154" s="705">
        <f>IF(BN$5&lt;=MonthRefi,
IF(AND(ContrMezz&gt;0,BN5&gt;'General Inputs'!$I$16),PMT('General Inputs'!$I$14/12,'General Inputs'!$I$13*12,'General Inputs'!$I$8),
IF(AND('General Inputs'!$I$16&gt;0,Waterfalls!BN5&lt;='General Inputs'!$I$16),-('General Inputs'!$I$14/12*'General Inputs'!$I$8),0)),
IF(AND('General Inputs'!$O$9&gt;0,BN5&gt;'General Inputs'!$O$12+'General Inputs'!$O$16),PMT('General Inputs'!$O$14/12,'General Inputs'!$O$13*12,'General Inputs'!$O$8),IF(AND('General Inputs'!$O$16&gt;0,Waterfalls!BN5&lt;='General Inputs'!$O$12+'General Inputs'!$O$16),-('General Inputs'!$O$14/12*'General Inputs'!$O$8),0)))</f>
        <v>0</v>
      </c>
      <c r="BO154" s="705">
        <f>IF(BO$5&lt;=MonthRefi,
IF(AND(ContrMezz&gt;0,BO5&gt;'General Inputs'!$I$16),PMT('General Inputs'!$I$14/12,'General Inputs'!$I$13*12,'General Inputs'!$I$8),
IF(AND('General Inputs'!$I$16&gt;0,Waterfalls!BO5&lt;='General Inputs'!$I$16),-('General Inputs'!$I$14/12*'General Inputs'!$I$8),0)),
IF(AND('General Inputs'!$O$9&gt;0,BO5&gt;'General Inputs'!$O$12+'General Inputs'!$O$16),PMT('General Inputs'!$O$14/12,'General Inputs'!$O$13*12,'General Inputs'!$O$8),IF(AND('General Inputs'!$O$16&gt;0,Waterfalls!BO5&lt;='General Inputs'!$O$12+'General Inputs'!$O$16),-('General Inputs'!$O$14/12*'General Inputs'!$O$8),0)))</f>
        <v>0</v>
      </c>
      <c r="BP154" s="705">
        <f>IF(BP$5&lt;=MonthRefi,
IF(AND(ContrMezz&gt;0,BP5&gt;'General Inputs'!$I$16),PMT('General Inputs'!$I$14/12,'General Inputs'!$I$13*12,'General Inputs'!$I$8),
IF(AND('General Inputs'!$I$16&gt;0,Waterfalls!BP5&lt;='General Inputs'!$I$16),-('General Inputs'!$I$14/12*'General Inputs'!$I$8),0)),
IF(AND('General Inputs'!$O$9&gt;0,BP5&gt;'General Inputs'!$O$12+'General Inputs'!$O$16),PMT('General Inputs'!$O$14/12,'General Inputs'!$O$13*12,'General Inputs'!$O$8),IF(AND('General Inputs'!$O$16&gt;0,Waterfalls!BP5&lt;='General Inputs'!$O$12+'General Inputs'!$O$16),-('General Inputs'!$O$14/12*'General Inputs'!$O$8),0)))</f>
        <v>0</v>
      </c>
      <c r="BQ154" s="705">
        <f>IF(BQ$5&lt;=MonthRefi,
IF(AND(ContrMezz&gt;0,BQ5&gt;'General Inputs'!$I$16),PMT('General Inputs'!$I$14/12,'General Inputs'!$I$13*12,'General Inputs'!$I$8),
IF(AND('General Inputs'!$I$16&gt;0,Waterfalls!BQ5&lt;='General Inputs'!$I$16),-('General Inputs'!$I$14/12*'General Inputs'!$I$8),0)),
IF(AND('General Inputs'!$O$9&gt;0,BQ5&gt;'General Inputs'!$O$12+'General Inputs'!$O$16),PMT('General Inputs'!$O$14/12,'General Inputs'!$O$13*12,'General Inputs'!$O$8),IF(AND('General Inputs'!$O$16&gt;0,Waterfalls!BQ5&lt;='General Inputs'!$O$12+'General Inputs'!$O$16),-('General Inputs'!$O$14/12*'General Inputs'!$O$8),0)))</f>
        <v>0</v>
      </c>
      <c r="BR154" s="705">
        <f>IF(BR$5&lt;=MonthRefi,
IF(AND(ContrMezz&gt;0,BR5&gt;'General Inputs'!$I$16),PMT('General Inputs'!$I$14/12,'General Inputs'!$I$13*12,'General Inputs'!$I$8),
IF(AND('General Inputs'!$I$16&gt;0,Waterfalls!BR5&lt;='General Inputs'!$I$16),-('General Inputs'!$I$14/12*'General Inputs'!$I$8),0)),
IF(AND('General Inputs'!$O$9&gt;0,BR5&gt;'General Inputs'!$O$12+'General Inputs'!$O$16),PMT('General Inputs'!$O$14/12,'General Inputs'!$O$13*12,'General Inputs'!$O$8),IF(AND('General Inputs'!$O$16&gt;0,Waterfalls!BR5&lt;='General Inputs'!$O$12+'General Inputs'!$O$16),-('General Inputs'!$O$14/12*'General Inputs'!$O$8),0)))</f>
        <v>0</v>
      </c>
      <c r="BS154" s="705">
        <f>IF(BS$5&lt;=MonthRefi,
IF(AND(ContrMezz&gt;0,BS5&gt;'General Inputs'!$I$16),PMT('General Inputs'!$I$14/12,'General Inputs'!$I$13*12,'General Inputs'!$I$8),
IF(AND('General Inputs'!$I$16&gt;0,Waterfalls!BS5&lt;='General Inputs'!$I$16),-('General Inputs'!$I$14/12*'General Inputs'!$I$8),0)),
IF(AND('General Inputs'!$O$9&gt;0,BS5&gt;'General Inputs'!$O$12+'General Inputs'!$O$16),PMT('General Inputs'!$O$14/12,'General Inputs'!$O$13*12,'General Inputs'!$O$8),IF(AND('General Inputs'!$O$16&gt;0,Waterfalls!BS5&lt;='General Inputs'!$O$12+'General Inputs'!$O$16),-('General Inputs'!$O$14/12*'General Inputs'!$O$8),0)))</f>
        <v>0</v>
      </c>
      <c r="BT154" s="705">
        <f>IF(BT$5&lt;=MonthRefi,
IF(AND(ContrMezz&gt;0,BT5&gt;'General Inputs'!$I$16),PMT('General Inputs'!$I$14/12,'General Inputs'!$I$13*12,'General Inputs'!$I$8),
IF(AND('General Inputs'!$I$16&gt;0,Waterfalls!BT5&lt;='General Inputs'!$I$16),-('General Inputs'!$I$14/12*'General Inputs'!$I$8),0)),
IF(AND('General Inputs'!$O$9&gt;0,BT5&gt;'General Inputs'!$O$12+'General Inputs'!$O$16),PMT('General Inputs'!$O$14/12,'General Inputs'!$O$13*12,'General Inputs'!$O$8),IF(AND('General Inputs'!$O$16&gt;0,Waterfalls!BT5&lt;='General Inputs'!$O$12+'General Inputs'!$O$16),-('General Inputs'!$O$14/12*'General Inputs'!$O$8),0)))</f>
        <v>0</v>
      </c>
      <c r="BU154" s="705">
        <f>IF(BU$5&lt;=MonthRefi,
IF(AND(ContrMezz&gt;0,BU5&gt;'General Inputs'!$I$16),PMT('General Inputs'!$I$14/12,'General Inputs'!$I$13*12,'General Inputs'!$I$8),
IF(AND('General Inputs'!$I$16&gt;0,Waterfalls!BU5&lt;='General Inputs'!$I$16),-('General Inputs'!$I$14/12*'General Inputs'!$I$8),0)),
IF(AND('General Inputs'!$O$9&gt;0,BU5&gt;'General Inputs'!$O$12+'General Inputs'!$O$16),PMT('General Inputs'!$O$14/12,'General Inputs'!$O$13*12,'General Inputs'!$O$8),IF(AND('General Inputs'!$O$16&gt;0,Waterfalls!BU5&lt;='General Inputs'!$O$12+'General Inputs'!$O$16),-('General Inputs'!$O$14/12*'General Inputs'!$O$8),0)))</f>
        <v>0</v>
      </c>
      <c r="BV154" s="705">
        <f>IF(BV$5&lt;=MonthRefi,
IF(AND(ContrMezz&gt;0,BV5&gt;'General Inputs'!$I$16),PMT('General Inputs'!$I$14/12,'General Inputs'!$I$13*12,'General Inputs'!$I$8),
IF(AND('General Inputs'!$I$16&gt;0,Waterfalls!BV5&lt;='General Inputs'!$I$16),-('General Inputs'!$I$14/12*'General Inputs'!$I$8),0)),
IF(AND('General Inputs'!$O$9&gt;0,BV5&gt;'General Inputs'!$O$12+'General Inputs'!$O$16),PMT('General Inputs'!$O$14/12,'General Inputs'!$O$13*12,'General Inputs'!$O$8),IF(AND('General Inputs'!$O$16&gt;0,Waterfalls!BV5&lt;='General Inputs'!$O$12+'General Inputs'!$O$16),-('General Inputs'!$O$14/12*'General Inputs'!$O$8),0)))</f>
        <v>0</v>
      </c>
      <c r="BW154" s="705">
        <f>IF(BW$5&lt;=MonthRefi,
IF(AND(ContrMezz&gt;0,BW5&gt;'General Inputs'!$I$16),PMT('General Inputs'!$I$14/12,'General Inputs'!$I$13*12,'General Inputs'!$I$8),
IF(AND('General Inputs'!$I$16&gt;0,Waterfalls!BW5&lt;='General Inputs'!$I$16),-('General Inputs'!$I$14/12*'General Inputs'!$I$8),0)),
IF(AND('General Inputs'!$O$9&gt;0,BW5&gt;'General Inputs'!$O$12+'General Inputs'!$O$16),PMT('General Inputs'!$O$14/12,'General Inputs'!$O$13*12,'General Inputs'!$O$8),IF(AND('General Inputs'!$O$16&gt;0,Waterfalls!BW5&lt;='General Inputs'!$O$12+'General Inputs'!$O$16),-('General Inputs'!$O$14/12*'General Inputs'!$O$8),0)))</f>
        <v>0</v>
      </c>
      <c r="BX154" s="705">
        <f>IF(BX$5&lt;=MonthRefi,
IF(AND(ContrMezz&gt;0,BX5&gt;'General Inputs'!$I$16),PMT('General Inputs'!$I$14/12,'General Inputs'!$I$13*12,'General Inputs'!$I$8),
IF(AND('General Inputs'!$I$16&gt;0,Waterfalls!BX5&lt;='General Inputs'!$I$16),-('General Inputs'!$I$14/12*'General Inputs'!$I$8),0)),
IF(AND('General Inputs'!$O$9&gt;0,BX5&gt;'General Inputs'!$O$12+'General Inputs'!$O$16),PMT('General Inputs'!$O$14/12,'General Inputs'!$O$13*12,'General Inputs'!$O$8),IF(AND('General Inputs'!$O$16&gt;0,Waterfalls!BX5&lt;='General Inputs'!$O$12+'General Inputs'!$O$16),-('General Inputs'!$O$14/12*'General Inputs'!$O$8),0)))</f>
        <v>0</v>
      </c>
      <c r="BY154" s="705">
        <f>IF(BY$5&lt;=MonthRefi,
IF(AND(ContrMezz&gt;0,BY5&gt;'General Inputs'!$I$16),PMT('General Inputs'!$I$14/12,'General Inputs'!$I$13*12,'General Inputs'!$I$8),
IF(AND('General Inputs'!$I$16&gt;0,Waterfalls!BY5&lt;='General Inputs'!$I$16),-('General Inputs'!$I$14/12*'General Inputs'!$I$8),0)),
IF(AND('General Inputs'!$O$9&gt;0,BY5&gt;'General Inputs'!$O$12+'General Inputs'!$O$16),PMT('General Inputs'!$O$14/12,'General Inputs'!$O$13*12,'General Inputs'!$O$8),IF(AND('General Inputs'!$O$16&gt;0,Waterfalls!BY5&lt;='General Inputs'!$O$12+'General Inputs'!$O$16),-('General Inputs'!$O$14/12*'General Inputs'!$O$8),0)))</f>
        <v>0</v>
      </c>
      <c r="BZ154" s="705">
        <f>IF(BZ$5&lt;=MonthRefi,
IF(AND(ContrMezz&gt;0,BZ5&gt;'General Inputs'!$I$16),PMT('General Inputs'!$I$14/12,'General Inputs'!$I$13*12,'General Inputs'!$I$8),
IF(AND('General Inputs'!$I$16&gt;0,Waterfalls!BZ5&lt;='General Inputs'!$I$16),-('General Inputs'!$I$14/12*'General Inputs'!$I$8),0)),
IF(AND('General Inputs'!$O$9&gt;0,BZ5&gt;'General Inputs'!$O$12+'General Inputs'!$O$16),PMT('General Inputs'!$O$14/12,'General Inputs'!$O$13*12,'General Inputs'!$O$8),IF(AND('General Inputs'!$O$16&gt;0,Waterfalls!BZ5&lt;='General Inputs'!$O$12+'General Inputs'!$O$16),-('General Inputs'!$O$14/12*'General Inputs'!$O$8),0)))</f>
        <v>0</v>
      </c>
      <c r="CA154" s="705">
        <f>IF(CA$5&lt;=MonthRefi,
IF(AND(ContrMezz&gt;0,CA5&gt;'General Inputs'!$I$16),PMT('General Inputs'!$I$14/12,'General Inputs'!$I$13*12,'General Inputs'!$I$8),
IF(AND('General Inputs'!$I$16&gt;0,Waterfalls!CA5&lt;='General Inputs'!$I$16),-('General Inputs'!$I$14/12*'General Inputs'!$I$8),0)),
IF(AND('General Inputs'!$O$9&gt;0,CA5&gt;'General Inputs'!$O$12+'General Inputs'!$O$16),PMT('General Inputs'!$O$14/12,'General Inputs'!$O$13*12,'General Inputs'!$O$8),IF(AND('General Inputs'!$O$16&gt;0,Waterfalls!CA5&lt;='General Inputs'!$O$12+'General Inputs'!$O$16),-('General Inputs'!$O$14/12*'General Inputs'!$O$8),0)))</f>
        <v>0</v>
      </c>
      <c r="CB154" s="705">
        <f>IF(CB$5&lt;=MonthRefi,
IF(AND(ContrMezz&gt;0,CB5&gt;'General Inputs'!$I$16),PMT('General Inputs'!$I$14/12,'General Inputs'!$I$13*12,'General Inputs'!$I$8),
IF(AND('General Inputs'!$I$16&gt;0,Waterfalls!CB5&lt;='General Inputs'!$I$16),-('General Inputs'!$I$14/12*'General Inputs'!$I$8),0)),
IF(AND('General Inputs'!$O$9&gt;0,CB5&gt;'General Inputs'!$O$12+'General Inputs'!$O$16),PMT('General Inputs'!$O$14/12,'General Inputs'!$O$13*12,'General Inputs'!$O$8),IF(AND('General Inputs'!$O$16&gt;0,Waterfalls!CB5&lt;='General Inputs'!$O$12+'General Inputs'!$O$16),-('General Inputs'!$O$14/12*'General Inputs'!$O$8),0)))</f>
        <v>0</v>
      </c>
      <c r="CC154" s="705">
        <f>IF(CC$5&lt;=MonthRefi,
IF(AND(ContrMezz&gt;0,CC5&gt;'General Inputs'!$I$16),PMT('General Inputs'!$I$14/12,'General Inputs'!$I$13*12,'General Inputs'!$I$8),
IF(AND('General Inputs'!$I$16&gt;0,Waterfalls!CC5&lt;='General Inputs'!$I$16),-('General Inputs'!$I$14/12*'General Inputs'!$I$8),0)),
IF(AND('General Inputs'!$O$9&gt;0,CC5&gt;'General Inputs'!$O$12+'General Inputs'!$O$16),PMT('General Inputs'!$O$14/12,'General Inputs'!$O$13*12,'General Inputs'!$O$8),IF(AND('General Inputs'!$O$16&gt;0,Waterfalls!CC5&lt;='General Inputs'!$O$12+'General Inputs'!$O$16),-('General Inputs'!$O$14/12*'General Inputs'!$O$8),0)))</f>
        <v>0</v>
      </c>
      <c r="CD154" s="705">
        <f>IF(CD$5&lt;=MonthRefi,
IF(AND(ContrMezz&gt;0,CD5&gt;'General Inputs'!$I$16),PMT('General Inputs'!$I$14/12,'General Inputs'!$I$13*12,'General Inputs'!$I$8),
IF(AND('General Inputs'!$I$16&gt;0,Waterfalls!CD5&lt;='General Inputs'!$I$16),-('General Inputs'!$I$14/12*'General Inputs'!$I$8),0)),
IF(AND('General Inputs'!$O$9&gt;0,CD5&gt;'General Inputs'!$O$12+'General Inputs'!$O$16),PMT('General Inputs'!$O$14/12,'General Inputs'!$O$13*12,'General Inputs'!$O$8),IF(AND('General Inputs'!$O$16&gt;0,Waterfalls!CD5&lt;='General Inputs'!$O$12+'General Inputs'!$O$16),-('General Inputs'!$O$14/12*'General Inputs'!$O$8),0)))</f>
        <v>0</v>
      </c>
      <c r="CE154" s="705">
        <f>IF(CE$5&lt;=MonthRefi,
IF(AND(ContrMezz&gt;0,CE5&gt;'General Inputs'!$I$16),PMT('General Inputs'!$I$14/12,'General Inputs'!$I$13*12,'General Inputs'!$I$8),
IF(AND('General Inputs'!$I$16&gt;0,Waterfalls!CE5&lt;='General Inputs'!$I$16),-('General Inputs'!$I$14/12*'General Inputs'!$I$8),0)),
IF(AND('General Inputs'!$O$9&gt;0,CE5&gt;'General Inputs'!$O$12+'General Inputs'!$O$16),PMT('General Inputs'!$O$14/12,'General Inputs'!$O$13*12,'General Inputs'!$O$8),IF(AND('General Inputs'!$O$16&gt;0,Waterfalls!CE5&lt;='General Inputs'!$O$12+'General Inputs'!$O$16),-('General Inputs'!$O$14/12*'General Inputs'!$O$8),0)))</f>
        <v>0</v>
      </c>
      <c r="CF154" s="705">
        <f>IF(CF$5&lt;=MonthRefi,
IF(AND(ContrMezz&gt;0,CF5&gt;'General Inputs'!$I$16),PMT('General Inputs'!$I$14/12,'General Inputs'!$I$13*12,'General Inputs'!$I$8),
IF(AND('General Inputs'!$I$16&gt;0,Waterfalls!CF5&lt;='General Inputs'!$I$16),-('General Inputs'!$I$14/12*'General Inputs'!$I$8),0)),
IF(AND('General Inputs'!$O$9&gt;0,CF5&gt;'General Inputs'!$O$12+'General Inputs'!$O$16),PMT('General Inputs'!$O$14/12,'General Inputs'!$O$13*12,'General Inputs'!$O$8),IF(AND('General Inputs'!$O$16&gt;0,Waterfalls!CF5&lt;='General Inputs'!$O$12+'General Inputs'!$O$16),-('General Inputs'!$O$14/12*'General Inputs'!$O$8),0)))</f>
        <v>0</v>
      </c>
      <c r="CG154" s="705">
        <f>IF(CG$5&lt;=MonthRefi,
IF(AND(ContrMezz&gt;0,CG5&gt;'General Inputs'!$I$16),PMT('General Inputs'!$I$14/12,'General Inputs'!$I$13*12,'General Inputs'!$I$8),
IF(AND('General Inputs'!$I$16&gt;0,Waterfalls!CG5&lt;='General Inputs'!$I$16),-('General Inputs'!$I$14/12*'General Inputs'!$I$8),0)),
IF(AND('General Inputs'!$O$9&gt;0,CG5&gt;'General Inputs'!$O$12+'General Inputs'!$O$16),PMT('General Inputs'!$O$14/12,'General Inputs'!$O$13*12,'General Inputs'!$O$8),IF(AND('General Inputs'!$O$16&gt;0,Waterfalls!CG5&lt;='General Inputs'!$O$12+'General Inputs'!$O$16),-('General Inputs'!$O$14/12*'General Inputs'!$O$8),0)))</f>
        <v>0</v>
      </c>
      <c r="CH154" s="705">
        <f>IF(CH$5&lt;=MonthRefi,
IF(AND(ContrMezz&gt;0,CH5&gt;'General Inputs'!$I$16),PMT('General Inputs'!$I$14/12,'General Inputs'!$I$13*12,'General Inputs'!$I$8),
IF(AND('General Inputs'!$I$16&gt;0,Waterfalls!CH5&lt;='General Inputs'!$I$16),-('General Inputs'!$I$14/12*'General Inputs'!$I$8),0)),
IF(AND('General Inputs'!$O$9&gt;0,CH5&gt;'General Inputs'!$O$12+'General Inputs'!$O$16),PMT('General Inputs'!$O$14/12,'General Inputs'!$O$13*12,'General Inputs'!$O$8),IF(AND('General Inputs'!$O$16&gt;0,Waterfalls!CH5&lt;='General Inputs'!$O$12+'General Inputs'!$O$16),-('General Inputs'!$O$14/12*'General Inputs'!$O$8),0)))</f>
        <v>0</v>
      </c>
      <c r="CI154" s="705">
        <f>IF(CI$5&lt;=MonthRefi,
IF(AND(ContrMezz&gt;0,CI5&gt;'General Inputs'!$I$16),PMT('General Inputs'!$I$14/12,'General Inputs'!$I$13*12,'General Inputs'!$I$8),
IF(AND('General Inputs'!$I$16&gt;0,Waterfalls!CI5&lt;='General Inputs'!$I$16),-('General Inputs'!$I$14/12*'General Inputs'!$I$8),0)),
IF(AND('General Inputs'!$O$9&gt;0,CI5&gt;'General Inputs'!$O$12+'General Inputs'!$O$16),PMT('General Inputs'!$O$14/12,'General Inputs'!$O$13*12,'General Inputs'!$O$8),IF(AND('General Inputs'!$O$16&gt;0,Waterfalls!CI5&lt;='General Inputs'!$O$12+'General Inputs'!$O$16),-('General Inputs'!$O$14/12*'General Inputs'!$O$8),0)))</f>
        <v>0</v>
      </c>
      <c r="CJ154" s="705">
        <f>IF(CJ$5&lt;=MonthRefi,
IF(AND(ContrMezz&gt;0,CJ5&gt;'General Inputs'!$I$16),PMT('General Inputs'!$I$14/12,'General Inputs'!$I$13*12,'General Inputs'!$I$8),
IF(AND('General Inputs'!$I$16&gt;0,Waterfalls!CJ5&lt;='General Inputs'!$I$16),-('General Inputs'!$I$14/12*'General Inputs'!$I$8),0)),
IF(AND('General Inputs'!$O$9&gt;0,CJ5&gt;'General Inputs'!$O$12+'General Inputs'!$O$16),PMT('General Inputs'!$O$14/12,'General Inputs'!$O$13*12,'General Inputs'!$O$8),IF(AND('General Inputs'!$O$16&gt;0,Waterfalls!CJ5&lt;='General Inputs'!$O$12+'General Inputs'!$O$16),-('General Inputs'!$O$14/12*'General Inputs'!$O$8),0)))</f>
        <v>0</v>
      </c>
      <c r="CK154" s="705">
        <f>IF(CK$5&lt;=MonthRefi,
IF(AND(ContrMezz&gt;0,CK5&gt;'General Inputs'!$I$16),PMT('General Inputs'!$I$14/12,'General Inputs'!$I$13*12,'General Inputs'!$I$8),
IF(AND('General Inputs'!$I$16&gt;0,Waterfalls!CK5&lt;='General Inputs'!$I$16),-('General Inputs'!$I$14/12*'General Inputs'!$I$8),0)),
IF(AND('General Inputs'!$O$9&gt;0,CK5&gt;'General Inputs'!$O$12+'General Inputs'!$O$16),PMT('General Inputs'!$O$14/12,'General Inputs'!$O$13*12,'General Inputs'!$O$8),IF(AND('General Inputs'!$O$16&gt;0,Waterfalls!CK5&lt;='General Inputs'!$O$12+'General Inputs'!$O$16),-('General Inputs'!$O$14/12*'General Inputs'!$O$8),0)))</f>
        <v>0</v>
      </c>
      <c r="CL154" s="705">
        <f>IF(CL$5&lt;=MonthRefi,
IF(AND(ContrMezz&gt;0,CL5&gt;'General Inputs'!$I$16),PMT('General Inputs'!$I$14/12,'General Inputs'!$I$13*12,'General Inputs'!$I$8),
IF(AND('General Inputs'!$I$16&gt;0,Waterfalls!CL5&lt;='General Inputs'!$I$16),-('General Inputs'!$I$14/12*'General Inputs'!$I$8),0)),
IF(AND('General Inputs'!$O$9&gt;0,CL5&gt;'General Inputs'!$O$12+'General Inputs'!$O$16),PMT('General Inputs'!$O$14/12,'General Inputs'!$O$13*12,'General Inputs'!$O$8),IF(AND('General Inputs'!$O$16&gt;0,Waterfalls!CL5&lt;='General Inputs'!$O$12+'General Inputs'!$O$16),-('General Inputs'!$O$14/12*'General Inputs'!$O$8),0)))</f>
        <v>0</v>
      </c>
      <c r="CM154" s="705">
        <f>IF(CM$5&lt;=MonthRefi,
IF(AND(ContrMezz&gt;0,CM5&gt;'General Inputs'!$I$16),PMT('General Inputs'!$I$14/12,'General Inputs'!$I$13*12,'General Inputs'!$I$8),
IF(AND('General Inputs'!$I$16&gt;0,Waterfalls!CM5&lt;='General Inputs'!$I$16),-('General Inputs'!$I$14/12*'General Inputs'!$I$8),0)),
IF(AND('General Inputs'!$O$9&gt;0,CM5&gt;'General Inputs'!$O$12+'General Inputs'!$O$16),PMT('General Inputs'!$O$14/12,'General Inputs'!$O$13*12,'General Inputs'!$O$8),IF(AND('General Inputs'!$O$16&gt;0,Waterfalls!CM5&lt;='General Inputs'!$O$12+'General Inputs'!$O$16),-('General Inputs'!$O$14/12*'General Inputs'!$O$8),0)))</f>
        <v>0</v>
      </c>
      <c r="CN154" s="705">
        <f>IF(CN$5&lt;=MonthRefi,
IF(AND(ContrMezz&gt;0,CN5&gt;'General Inputs'!$I$16),PMT('General Inputs'!$I$14/12,'General Inputs'!$I$13*12,'General Inputs'!$I$8),
IF(AND('General Inputs'!$I$16&gt;0,Waterfalls!CN5&lt;='General Inputs'!$I$16),-('General Inputs'!$I$14/12*'General Inputs'!$I$8),0)),
IF(AND('General Inputs'!$O$9&gt;0,CN5&gt;'General Inputs'!$O$12+'General Inputs'!$O$16),PMT('General Inputs'!$O$14/12,'General Inputs'!$O$13*12,'General Inputs'!$O$8),IF(AND('General Inputs'!$O$16&gt;0,Waterfalls!CN5&lt;='General Inputs'!$O$12+'General Inputs'!$O$16),-('General Inputs'!$O$14/12*'General Inputs'!$O$8),0)))</f>
        <v>0</v>
      </c>
      <c r="CO154" s="705">
        <f>IF(CO$5&lt;=MonthRefi,
IF(AND(ContrMezz&gt;0,CO5&gt;'General Inputs'!$I$16),PMT('General Inputs'!$I$14/12,'General Inputs'!$I$13*12,'General Inputs'!$I$8),
IF(AND('General Inputs'!$I$16&gt;0,Waterfalls!CO5&lt;='General Inputs'!$I$16),-('General Inputs'!$I$14/12*'General Inputs'!$I$8),0)),
IF(AND('General Inputs'!$O$9&gt;0,CO5&gt;'General Inputs'!$O$12+'General Inputs'!$O$16),PMT('General Inputs'!$O$14/12,'General Inputs'!$O$13*12,'General Inputs'!$O$8),IF(AND('General Inputs'!$O$16&gt;0,Waterfalls!CO5&lt;='General Inputs'!$O$12+'General Inputs'!$O$16),-('General Inputs'!$O$14/12*'General Inputs'!$O$8),0)))</f>
        <v>0</v>
      </c>
      <c r="CP154" s="705">
        <f>IF(CP$5&lt;=MonthRefi,
IF(AND(ContrMezz&gt;0,CP5&gt;'General Inputs'!$I$16),PMT('General Inputs'!$I$14/12,'General Inputs'!$I$13*12,'General Inputs'!$I$8),
IF(AND('General Inputs'!$I$16&gt;0,Waterfalls!CP5&lt;='General Inputs'!$I$16),-('General Inputs'!$I$14/12*'General Inputs'!$I$8),0)),
IF(AND('General Inputs'!$O$9&gt;0,CP5&gt;'General Inputs'!$O$12+'General Inputs'!$O$16),PMT('General Inputs'!$O$14/12,'General Inputs'!$O$13*12,'General Inputs'!$O$8),IF(AND('General Inputs'!$O$16&gt;0,Waterfalls!CP5&lt;='General Inputs'!$O$12+'General Inputs'!$O$16),-('General Inputs'!$O$14/12*'General Inputs'!$O$8),0)))</f>
        <v>0</v>
      </c>
      <c r="CQ154" s="705">
        <f>IF(CQ$5&lt;=MonthRefi,
IF(AND(ContrMezz&gt;0,CQ5&gt;'General Inputs'!$I$16),PMT('General Inputs'!$I$14/12,'General Inputs'!$I$13*12,'General Inputs'!$I$8),
IF(AND('General Inputs'!$I$16&gt;0,Waterfalls!CQ5&lt;='General Inputs'!$I$16),-('General Inputs'!$I$14/12*'General Inputs'!$I$8),0)),
IF(AND('General Inputs'!$O$9&gt;0,CQ5&gt;'General Inputs'!$O$12+'General Inputs'!$O$16),PMT('General Inputs'!$O$14/12,'General Inputs'!$O$13*12,'General Inputs'!$O$8),IF(AND('General Inputs'!$O$16&gt;0,Waterfalls!CQ5&lt;='General Inputs'!$O$12+'General Inputs'!$O$16),-('General Inputs'!$O$14/12*'General Inputs'!$O$8),0)))</f>
        <v>0</v>
      </c>
      <c r="CR154" s="705">
        <f>IF(CR$5&lt;=MonthRefi,
IF(AND(ContrMezz&gt;0,CR5&gt;'General Inputs'!$I$16),PMT('General Inputs'!$I$14/12,'General Inputs'!$I$13*12,'General Inputs'!$I$8),
IF(AND('General Inputs'!$I$16&gt;0,Waterfalls!CR5&lt;='General Inputs'!$I$16),-('General Inputs'!$I$14/12*'General Inputs'!$I$8),0)),
IF(AND('General Inputs'!$O$9&gt;0,CR5&gt;'General Inputs'!$O$12+'General Inputs'!$O$16),PMT('General Inputs'!$O$14/12,'General Inputs'!$O$13*12,'General Inputs'!$O$8),IF(AND('General Inputs'!$O$16&gt;0,Waterfalls!CR5&lt;='General Inputs'!$O$12+'General Inputs'!$O$16),-('General Inputs'!$O$14/12*'General Inputs'!$O$8),0)))</f>
        <v>0</v>
      </c>
      <c r="CS154" s="705">
        <f>IF(CS$5&lt;=MonthRefi,
IF(AND(ContrMezz&gt;0,CS5&gt;'General Inputs'!$I$16),PMT('General Inputs'!$I$14/12,'General Inputs'!$I$13*12,'General Inputs'!$I$8),
IF(AND('General Inputs'!$I$16&gt;0,Waterfalls!CS5&lt;='General Inputs'!$I$16),-('General Inputs'!$I$14/12*'General Inputs'!$I$8),0)),
IF(AND('General Inputs'!$O$9&gt;0,CS5&gt;'General Inputs'!$O$12+'General Inputs'!$O$16),PMT('General Inputs'!$O$14/12,'General Inputs'!$O$13*12,'General Inputs'!$O$8),IF(AND('General Inputs'!$O$16&gt;0,Waterfalls!CS5&lt;='General Inputs'!$O$12+'General Inputs'!$O$16),-('General Inputs'!$O$14/12*'General Inputs'!$O$8),0)))</f>
        <v>0</v>
      </c>
      <c r="CT154" s="705">
        <f>IF(CT$5&lt;=MonthRefi,
IF(AND(ContrMezz&gt;0,CT5&gt;'General Inputs'!$I$16),PMT('General Inputs'!$I$14/12,'General Inputs'!$I$13*12,'General Inputs'!$I$8),
IF(AND('General Inputs'!$I$16&gt;0,Waterfalls!CT5&lt;='General Inputs'!$I$16),-('General Inputs'!$I$14/12*'General Inputs'!$I$8),0)),
IF(AND('General Inputs'!$O$9&gt;0,CT5&gt;'General Inputs'!$O$12+'General Inputs'!$O$16),PMT('General Inputs'!$O$14/12,'General Inputs'!$O$13*12,'General Inputs'!$O$8),IF(AND('General Inputs'!$O$16&gt;0,Waterfalls!CT5&lt;='General Inputs'!$O$12+'General Inputs'!$O$16),-('General Inputs'!$O$14/12*'General Inputs'!$O$8),0)))</f>
        <v>0</v>
      </c>
      <c r="CU154" s="705">
        <f>IF(CU$5&lt;=MonthRefi,
IF(AND(ContrMezz&gt;0,CU5&gt;'General Inputs'!$I$16),PMT('General Inputs'!$I$14/12,'General Inputs'!$I$13*12,'General Inputs'!$I$8),
IF(AND('General Inputs'!$I$16&gt;0,Waterfalls!CU5&lt;='General Inputs'!$I$16),-('General Inputs'!$I$14/12*'General Inputs'!$I$8),0)),
IF(AND('General Inputs'!$O$9&gt;0,CU5&gt;'General Inputs'!$O$12+'General Inputs'!$O$16),PMT('General Inputs'!$O$14/12,'General Inputs'!$O$13*12,'General Inputs'!$O$8),IF(AND('General Inputs'!$O$16&gt;0,Waterfalls!CU5&lt;='General Inputs'!$O$12+'General Inputs'!$O$16),-('General Inputs'!$O$14/12*'General Inputs'!$O$8),0)))</f>
        <v>0</v>
      </c>
      <c r="CV154" s="705">
        <f>IF(CV$5&lt;=MonthRefi,
IF(AND(ContrMezz&gt;0,CV5&gt;'General Inputs'!$I$16),PMT('General Inputs'!$I$14/12,'General Inputs'!$I$13*12,'General Inputs'!$I$8),
IF(AND('General Inputs'!$I$16&gt;0,Waterfalls!CV5&lt;='General Inputs'!$I$16),-('General Inputs'!$I$14/12*'General Inputs'!$I$8),0)),
IF(AND('General Inputs'!$O$9&gt;0,CV5&gt;'General Inputs'!$O$12+'General Inputs'!$O$16),PMT('General Inputs'!$O$14/12,'General Inputs'!$O$13*12,'General Inputs'!$O$8),IF(AND('General Inputs'!$O$16&gt;0,Waterfalls!CV5&lt;='General Inputs'!$O$12+'General Inputs'!$O$16),-('General Inputs'!$O$14/12*'General Inputs'!$O$8),0)))</f>
        <v>0</v>
      </c>
      <c r="CW154" s="705">
        <f>IF(CW$5&lt;=MonthRefi,
IF(AND(ContrMezz&gt;0,CW5&gt;'General Inputs'!$I$16),PMT('General Inputs'!$I$14/12,'General Inputs'!$I$13*12,'General Inputs'!$I$8),
IF(AND('General Inputs'!$I$16&gt;0,Waterfalls!CW5&lt;='General Inputs'!$I$16),-('General Inputs'!$I$14/12*'General Inputs'!$I$8),0)),
IF(AND('General Inputs'!$O$9&gt;0,CW5&gt;'General Inputs'!$O$12+'General Inputs'!$O$16),PMT('General Inputs'!$O$14/12,'General Inputs'!$O$13*12,'General Inputs'!$O$8),IF(AND('General Inputs'!$O$16&gt;0,Waterfalls!CW5&lt;='General Inputs'!$O$12+'General Inputs'!$O$16),-('General Inputs'!$O$14/12*'General Inputs'!$O$8),0)))</f>
        <v>0</v>
      </c>
      <c r="CX154" s="705">
        <f>IF(CX$5&lt;=MonthRefi,
IF(AND(ContrMezz&gt;0,CX5&gt;'General Inputs'!$I$16),PMT('General Inputs'!$I$14/12,'General Inputs'!$I$13*12,'General Inputs'!$I$8),
IF(AND('General Inputs'!$I$16&gt;0,Waterfalls!CX5&lt;='General Inputs'!$I$16),-('General Inputs'!$I$14/12*'General Inputs'!$I$8),0)),
IF(AND('General Inputs'!$O$9&gt;0,CX5&gt;'General Inputs'!$O$12+'General Inputs'!$O$16),PMT('General Inputs'!$O$14/12,'General Inputs'!$O$13*12,'General Inputs'!$O$8),IF(AND('General Inputs'!$O$16&gt;0,Waterfalls!CX5&lt;='General Inputs'!$O$12+'General Inputs'!$O$16),-('General Inputs'!$O$14/12*'General Inputs'!$O$8),0)))</f>
        <v>0</v>
      </c>
      <c r="CY154" s="705">
        <f>IF(CY$5&lt;=MonthRefi,
IF(AND(ContrMezz&gt;0,CY5&gt;'General Inputs'!$I$16),PMT('General Inputs'!$I$14/12,'General Inputs'!$I$13*12,'General Inputs'!$I$8),
IF(AND('General Inputs'!$I$16&gt;0,Waterfalls!CY5&lt;='General Inputs'!$I$16),-('General Inputs'!$I$14/12*'General Inputs'!$I$8),0)),
IF(AND('General Inputs'!$O$9&gt;0,CY5&gt;'General Inputs'!$O$12+'General Inputs'!$O$16),PMT('General Inputs'!$O$14/12,'General Inputs'!$O$13*12,'General Inputs'!$O$8),IF(AND('General Inputs'!$O$16&gt;0,Waterfalls!CY5&lt;='General Inputs'!$O$12+'General Inputs'!$O$16),-('General Inputs'!$O$14/12*'General Inputs'!$O$8),0)))</f>
        <v>0</v>
      </c>
      <c r="CZ154" s="705">
        <f>IF(CZ$5&lt;=MonthRefi,
IF(AND(ContrMezz&gt;0,CZ5&gt;'General Inputs'!$I$16),PMT('General Inputs'!$I$14/12,'General Inputs'!$I$13*12,'General Inputs'!$I$8),
IF(AND('General Inputs'!$I$16&gt;0,Waterfalls!CZ5&lt;='General Inputs'!$I$16),-('General Inputs'!$I$14/12*'General Inputs'!$I$8),0)),
IF(AND('General Inputs'!$O$9&gt;0,CZ5&gt;'General Inputs'!$O$12+'General Inputs'!$O$16),PMT('General Inputs'!$O$14/12,'General Inputs'!$O$13*12,'General Inputs'!$O$8),IF(AND('General Inputs'!$O$16&gt;0,Waterfalls!CZ5&lt;='General Inputs'!$O$12+'General Inputs'!$O$16),-('General Inputs'!$O$14/12*'General Inputs'!$O$8),0)))</f>
        <v>0</v>
      </c>
      <c r="DA154" s="705">
        <f>IF(DA$5&lt;=MonthRefi,
IF(AND(ContrMezz&gt;0,DA5&gt;'General Inputs'!$I$16),PMT('General Inputs'!$I$14/12,'General Inputs'!$I$13*12,'General Inputs'!$I$8),
IF(AND('General Inputs'!$I$16&gt;0,Waterfalls!DA5&lt;='General Inputs'!$I$16),-('General Inputs'!$I$14/12*'General Inputs'!$I$8),0)),
IF(AND('General Inputs'!$O$9&gt;0,DA5&gt;'General Inputs'!$O$12+'General Inputs'!$O$16),PMT('General Inputs'!$O$14/12,'General Inputs'!$O$13*12,'General Inputs'!$O$8),IF(AND('General Inputs'!$O$16&gt;0,Waterfalls!DA5&lt;='General Inputs'!$O$12+'General Inputs'!$O$16),-('General Inputs'!$O$14/12*'General Inputs'!$O$8),0)))</f>
        <v>0</v>
      </c>
      <c r="DB154" s="705">
        <f>IF(DB$5&lt;=MonthRefi,
IF(AND(ContrMezz&gt;0,DB5&gt;'General Inputs'!$I$16),PMT('General Inputs'!$I$14/12,'General Inputs'!$I$13*12,'General Inputs'!$I$8),
IF(AND('General Inputs'!$I$16&gt;0,Waterfalls!DB5&lt;='General Inputs'!$I$16),-('General Inputs'!$I$14/12*'General Inputs'!$I$8),0)),
IF(AND('General Inputs'!$O$9&gt;0,DB5&gt;'General Inputs'!$O$12+'General Inputs'!$O$16),PMT('General Inputs'!$O$14/12,'General Inputs'!$O$13*12,'General Inputs'!$O$8),IF(AND('General Inputs'!$O$16&gt;0,Waterfalls!DB5&lt;='General Inputs'!$O$12+'General Inputs'!$O$16),-('General Inputs'!$O$14/12*'General Inputs'!$O$8),0)))</f>
        <v>0</v>
      </c>
      <c r="DC154" s="705">
        <f>IF(DC$5&lt;=MonthRefi,
IF(AND(ContrMezz&gt;0,DC5&gt;'General Inputs'!$I$16),PMT('General Inputs'!$I$14/12,'General Inputs'!$I$13*12,'General Inputs'!$I$8),
IF(AND('General Inputs'!$I$16&gt;0,Waterfalls!DC5&lt;='General Inputs'!$I$16),-('General Inputs'!$I$14/12*'General Inputs'!$I$8),0)),
IF(AND('General Inputs'!$O$9&gt;0,DC5&gt;'General Inputs'!$O$12+'General Inputs'!$O$16),PMT('General Inputs'!$O$14/12,'General Inputs'!$O$13*12,'General Inputs'!$O$8),IF(AND('General Inputs'!$O$16&gt;0,Waterfalls!DC5&lt;='General Inputs'!$O$12+'General Inputs'!$O$16),-('General Inputs'!$O$14/12*'General Inputs'!$O$8),0)))</f>
        <v>0</v>
      </c>
      <c r="DD154" s="705">
        <f>IF(DD$5&lt;=MonthRefi,
IF(AND(ContrMezz&gt;0,DD5&gt;'General Inputs'!$I$16),PMT('General Inputs'!$I$14/12,'General Inputs'!$I$13*12,'General Inputs'!$I$8),
IF(AND('General Inputs'!$I$16&gt;0,Waterfalls!DD5&lt;='General Inputs'!$I$16),-('General Inputs'!$I$14/12*'General Inputs'!$I$8),0)),
IF(AND('General Inputs'!$O$9&gt;0,DD5&gt;'General Inputs'!$O$12+'General Inputs'!$O$16),PMT('General Inputs'!$O$14/12,'General Inputs'!$O$13*12,'General Inputs'!$O$8),IF(AND('General Inputs'!$O$16&gt;0,Waterfalls!DD5&lt;='General Inputs'!$O$12+'General Inputs'!$O$16),-('General Inputs'!$O$14/12*'General Inputs'!$O$8),0)))</f>
        <v>0</v>
      </c>
      <c r="DE154" s="705">
        <f>IF(DE$5&lt;=MonthRefi,
IF(AND(ContrMezz&gt;0,DE5&gt;'General Inputs'!$I$16),PMT('General Inputs'!$I$14/12,'General Inputs'!$I$13*12,'General Inputs'!$I$8),
IF(AND('General Inputs'!$I$16&gt;0,Waterfalls!DE5&lt;='General Inputs'!$I$16),-('General Inputs'!$I$14/12*'General Inputs'!$I$8),0)),
IF(AND('General Inputs'!$O$9&gt;0,DE5&gt;'General Inputs'!$O$12+'General Inputs'!$O$16),PMT('General Inputs'!$O$14/12,'General Inputs'!$O$13*12,'General Inputs'!$O$8),IF(AND('General Inputs'!$O$16&gt;0,Waterfalls!DE5&lt;='General Inputs'!$O$12+'General Inputs'!$O$16),-('General Inputs'!$O$14/12*'General Inputs'!$O$8),0)))</f>
        <v>0</v>
      </c>
      <c r="DF154" s="705">
        <f>IF(DF$5&lt;=MonthRefi,
IF(AND(ContrMezz&gt;0,DF5&gt;'General Inputs'!$I$16),PMT('General Inputs'!$I$14/12,'General Inputs'!$I$13*12,'General Inputs'!$I$8),
IF(AND('General Inputs'!$I$16&gt;0,Waterfalls!DF5&lt;='General Inputs'!$I$16),-('General Inputs'!$I$14/12*'General Inputs'!$I$8),0)),
IF(AND('General Inputs'!$O$9&gt;0,DF5&gt;'General Inputs'!$O$12+'General Inputs'!$O$16),PMT('General Inputs'!$O$14/12,'General Inputs'!$O$13*12,'General Inputs'!$O$8),IF(AND('General Inputs'!$O$16&gt;0,Waterfalls!DF5&lt;='General Inputs'!$O$12+'General Inputs'!$O$16),-('General Inputs'!$O$14/12*'General Inputs'!$O$8),0)))</f>
        <v>0</v>
      </c>
      <c r="DG154" s="705">
        <f>IF(DG$5&lt;=MonthRefi,
IF(AND(ContrMezz&gt;0,DG5&gt;'General Inputs'!$I$16),PMT('General Inputs'!$I$14/12,'General Inputs'!$I$13*12,'General Inputs'!$I$8),
IF(AND('General Inputs'!$I$16&gt;0,Waterfalls!DG5&lt;='General Inputs'!$I$16),-('General Inputs'!$I$14/12*'General Inputs'!$I$8),0)),
IF(AND('General Inputs'!$O$9&gt;0,DG5&gt;'General Inputs'!$O$12+'General Inputs'!$O$16),PMT('General Inputs'!$O$14/12,'General Inputs'!$O$13*12,'General Inputs'!$O$8),IF(AND('General Inputs'!$O$16&gt;0,Waterfalls!DG5&lt;='General Inputs'!$O$12+'General Inputs'!$O$16),-('General Inputs'!$O$14/12*'General Inputs'!$O$8),0)))</f>
        <v>0</v>
      </c>
      <c r="DH154" s="705">
        <f>IF(DH$5&lt;=MonthRefi,
IF(AND(ContrMezz&gt;0,DH5&gt;'General Inputs'!$I$16),PMT('General Inputs'!$I$14/12,'General Inputs'!$I$13*12,'General Inputs'!$I$8),
IF(AND('General Inputs'!$I$16&gt;0,Waterfalls!DH5&lt;='General Inputs'!$I$16),-('General Inputs'!$I$14/12*'General Inputs'!$I$8),0)),
IF(AND('General Inputs'!$O$9&gt;0,DH5&gt;'General Inputs'!$O$12+'General Inputs'!$O$16),PMT('General Inputs'!$O$14/12,'General Inputs'!$O$13*12,'General Inputs'!$O$8),IF(AND('General Inputs'!$O$16&gt;0,Waterfalls!DH5&lt;='General Inputs'!$O$12+'General Inputs'!$O$16),-('General Inputs'!$O$14/12*'General Inputs'!$O$8),0)))</f>
        <v>0</v>
      </c>
      <c r="DI154" s="705">
        <f>IF(DI$5&lt;=MonthRefi,
IF(AND(ContrMezz&gt;0,DI5&gt;'General Inputs'!$I$16),PMT('General Inputs'!$I$14/12,'General Inputs'!$I$13*12,'General Inputs'!$I$8),
IF(AND('General Inputs'!$I$16&gt;0,Waterfalls!DI5&lt;='General Inputs'!$I$16),-('General Inputs'!$I$14/12*'General Inputs'!$I$8),0)),
IF(AND('General Inputs'!$O$9&gt;0,DI5&gt;'General Inputs'!$O$12+'General Inputs'!$O$16),PMT('General Inputs'!$O$14/12,'General Inputs'!$O$13*12,'General Inputs'!$O$8),IF(AND('General Inputs'!$O$16&gt;0,Waterfalls!DI5&lt;='General Inputs'!$O$12+'General Inputs'!$O$16),-('General Inputs'!$O$14/12*'General Inputs'!$O$8),0)))</f>
        <v>0</v>
      </c>
      <c r="DJ154" s="705">
        <f>IF(DJ$5&lt;=MonthRefi,
IF(AND(ContrMezz&gt;0,DJ5&gt;'General Inputs'!$I$16),PMT('General Inputs'!$I$14/12,'General Inputs'!$I$13*12,'General Inputs'!$I$8),
IF(AND('General Inputs'!$I$16&gt;0,Waterfalls!DJ5&lt;='General Inputs'!$I$16),-('General Inputs'!$I$14/12*'General Inputs'!$I$8),0)),
IF(AND('General Inputs'!$O$9&gt;0,DJ5&gt;'General Inputs'!$O$12+'General Inputs'!$O$16),PMT('General Inputs'!$O$14/12,'General Inputs'!$O$13*12,'General Inputs'!$O$8),IF(AND('General Inputs'!$O$16&gt;0,Waterfalls!DJ5&lt;='General Inputs'!$O$12+'General Inputs'!$O$16),-('General Inputs'!$O$14/12*'General Inputs'!$O$8),0)))</f>
        <v>0</v>
      </c>
      <c r="DK154" s="705">
        <f>IF(DK$5&lt;=MonthRefi,
IF(AND(ContrMezz&gt;0,DK5&gt;'General Inputs'!$I$16),PMT('General Inputs'!$I$14/12,'General Inputs'!$I$13*12,'General Inputs'!$I$8),
IF(AND('General Inputs'!$I$16&gt;0,Waterfalls!DK5&lt;='General Inputs'!$I$16),-('General Inputs'!$I$14/12*'General Inputs'!$I$8),0)),
IF(AND('General Inputs'!$O$9&gt;0,DK5&gt;'General Inputs'!$O$12+'General Inputs'!$O$16),PMT('General Inputs'!$O$14/12,'General Inputs'!$O$13*12,'General Inputs'!$O$8),IF(AND('General Inputs'!$O$16&gt;0,Waterfalls!DK5&lt;='General Inputs'!$O$12+'General Inputs'!$O$16),-('General Inputs'!$O$14/12*'General Inputs'!$O$8),0)))</f>
        <v>0</v>
      </c>
      <c r="DL154" s="705">
        <f>IF(DL$5&lt;=MonthRefi,
IF(AND(ContrMezz&gt;0,DL5&gt;'General Inputs'!$I$16),PMT('General Inputs'!$I$14/12,'General Inputs'!$I$13*12,'General Inputs'!$I$8),
IF(AND('General Inputs'!$I$16&gt;0,Waterfalls!DL5&lt;='General Inputs'!$I$16),-('General Inputs'!$I$14/12*'General Inputs'!$I$8),0)),
IF(AND('General Inputs'!$O$9&gt;0,DL5&gt;'General Inputs'!$O$12+'General Inputs'!$O$16),PMT('General Inputs'!$O$14/12,'General Inputs'!$O$13*12,'General Inputs'!$O$8),IF(AND('General Inputs'!$O$16&gt;0,Waterfalls!DL5&lt;='General Inputs'!$O$12+'General Inputs'!$O$16),-('General Inputs'!$O$14/12*'General Inputs'!$O$8),0)))</f>
        <v>0</v>
      </c>
      <c r="DM154" s="705">
        <f>IF(DM$5&lt;=MonthRefi,
IF(AND(ContrMezz&gt;0,DM5&gt;'General Inputs'!$I$16),PMT('General Inputs'!$I$14/12,'General Inputs'!$I$13*12,'General Inputs'!$I$8),
IF(AND('General Inputs'!$I$16&gt;0,Waterfalls!DM5&lt;='General Inputs'!$I$16),-('General Inputs'!$I$14/12*'General Inputs'!$I$8),0)),
IF(AND('General Inputs'!$O$9&gt;0,DM5&gt;'General Inputs'!$O$12+'General Inputs'!$O$16),PMT('General Inputs'!$O$14/12,'General Inputs'!$O$13*12,'General Inputs'!$O$8),IF(AND('General Inputs'!$O$16&gt;0,Waterfalls!DM5&lt;='General Inputs'!$O$12+'General Inputs'!$O$16),-('General Inputs'!$O$14/12*'General Inputs'!$O$8),0)))</f>
        <v>0</v>
      </c>
      <c r="DN154" s="705">
        <f>IF(DN$5&lt;=MonthRefi,
IF(AND(ContrMezz&gt;0,DN5&gt;'General Inputs'!$I$16),PMT('General Inputs'!$I$14/12,'General Inputs'!$I$13*12,'General Inputs'!$I$8),
IF(AND('General Inputs'!$I$16&gt;0,Waterfalls!DN5&lt;='General Inputs'!$I$16),-('General Inputs'!$I$14/12*'General Inputs'!$I$8),0)),
IF(AND('General Inputs'!$O$9&gt;0,DN5&gt;'General Inputs'!$O$12+'General Inputs'!$O$16),PMT('General Inputs'!$O$14/12,'General Inputs'!$O$13*12,'General Inputs'!$O$8),IF(AND('General Inputs'!$O$16&gt;0,Waterfalls!DN5&lt;='General Inputs'!$O$12+'General Inputs'!$O$16),-('General Inputs'!$O$14/12*'General Inputs'!$O$8),0)))</f>
        <v>0</v>
      </c>
      <c r="DO154" s="705">
        <f>IF(DO$5&lt;=MonthRefi,
IF(AND(ContrMezz&gt;0,DO5&gt;'General Inputs'!$I$16),PMT('General Inputs'!$I$14/12,'General Inputs'!$I$13*12,'General Inputs'!$I$8),
IF(AND('General Inputs'!$I$16&gt;0,Waterfalls!DO5&lt;='General Inputs'!$I$16),-('General Inputs'!$I$14/12*'General Inputs'!$I$8),0)),
IF(AND('General Inputs'!$O$9&gt;0,DO5&gt;'General Inputs'!$O$12+'General Inputs'!$O$16),PMT('General Inputs'!$O$14/12,'General Inputs'!$O$13*12,'General Inputs'!$O$8),IF(AND('General Inputs'!$O$16&gt;0,Waterfalls!DO5&lt;='General Inputs'!$O$12+'General Inputs'!$O$16),-('General Inputs'!$O$14/12*'General Inputs'!$O$8),0)))</f>
        <v>0</v>
      </c>
      <c r="DP154" s="705">
        <f>IF(DP$5&lt;=MonthRefi,
IF(AND(ContrMezz&gt;0,DP5&gt;'General Inputs'!$I$16),PMT('General Inputs'!$I$14/12,'General Inputs'!$I$13*12,'General Inputs'!$I$8),
IF(AND('General Inputs'!$I$16&gt;0,Waterfalls!DP5&lt;='General Inputs'!$I$16),-('General Inputs'!$I$14/12*'General Inputs'!$I$8),0)),
IF(AND('General Inputs'!$O$9&gt;0,DP5&gt;'General Inputs'!$O$12+'General Inputs'!$O$16),PMT('General Inputs'!$O$14/12,'General Inputs'!$O$13*12,'General Inputs'!$O$8),IF(AND('General Inputs'!$O$16&gt;0,Waterfalls!DP5&lt;='General Inputs'!$O$12+'General Inputs'!$O$16),-('General Inputs'!$O$14/12*'General Inputs'!$O$8),0)))</f>
        <v>0</v>
      </c>
      <c r="DQ154" s="705">
        <f>IF(DQ$5&lt;=MonthRefi,
IF(AND(ContrMezz&gt;0,DQ5&gt;'General Inputs'!$I$16),PMT('General Inputs'!$I$14/12,'General Inputs'!$I$13*12,'General Inputs'!$I$8),
IF(AND('General Inputs'!$I$16&gt;0,Waterfalls!DQ5&lt;='General Inputs'!$I$16),-('General Inputs'!$I$14/12*'General Inputs'!$I$8),0)),
IF(AND('General Inputs'!$O$9&gt;0,DQ5&gt;'General Inputs'!$O$12+'General Inputs'!$O$16),PMT('General Inputs'!$O$14/12,'General Inputs'!$O$13*12,'General Inputs'!$O$8),IF(AND('General Inputs'!$O$16&gt;0,Waterfalls!DQ5&lt;='General Inputs'!$O$12+'General Inputs'!$O$16),-('General Inputs'!$O$14/12*'General Inputs'!$O$8),0)))</f>
        <v>0</v>
      </c>
      <c r="DR154" s="705">
        <f>IF(DR$5&lt;=MonthRefi,
IF(AND(ContrMezz&gt;0,DR5&gt;'General Inputs'!$I$16),PMT('General Inputs'!$I$14/12,'General Inputs'!$I$13*12,'General Inputs'!$I$8),
IF(AND('General Inputs'!$I$16&gt;0,Waterfalls!DR5&lt;='General Inputs'!$I$16),-('General Inputs'!$I$14/12*'General Inputs'!$I$8),0)),
IF(AND('General Inputs'!$O$9&gt;0,DR5&gt;'General Inputs'!$O$12+'General Inputs'!$O$16),PMT('General Inputs'!$O$14/12,'General Inputs'!$O$13*12,'General Inputs'!$O$8),IF(AND('General Inputs'!$O$16&gt;0,Waterfalls!DR5&lt;='General Inputs'!$O$12+'General Inputs'!$O$16),-('General Inputs'!$O$14/12*'General Inputs'!$O$8),0)))</f>
        <v>0</v>
      </c>
      <c r="DS154" s="705">
        <f>IF(DS$5&lt;=MonthRefi,
IF(AND(ContrMezz&gt;0,DS5&gt;'General Inputs'!$I$16),PMT('General Inputs'!$I$14/12,'General Inputs'!$I$13*12,'General Inputs'!$I$8),
IF(AND('General Inputs'!$I$16&gt;0,Waterfalls!DS5&lt;='General Inputs'!$I$16),-('General Inputs'!$I$14/12*'General Inputs'!$I$8),0)),
IF(AND('General Inputs'!$O$9&gt;0,DS5&gt;'General Inputs'!$O$12+'General Inputs'!$O$16),PMT('General Inputs'!$O$14/12,'General Inputs'!$O$13*12,'General Inputs'!$O$8),IF(AND('General Inputs'!$O$16&gt;0,Waterfalls!DS5&lt;='General Inputs'!$O$12+'General Inputs'!$O$16),-('General Inputs'!$O$14/12*'General Inputs'!$O$8),0)))</f>
        <v>0</v>
      </c>
      <c r="DT154" s="705">
        <f>IF(DT$5&lt;=MonthRefi,
IF(AND(ContrMezz&gt;0,DT5&gt;'General Inputs'!$I$16),PMT('General Inputs'!$I$14/12,'General Inputs'!$I$13*12,'General Inputs'!$I$8),
IF(AND('General Inputs'!$I$16&gt;0,Waterfalls!DT5&lt;='General Inputs'!$I$16),-('General Inputs'!$I$14/12*'General Inputs'!$I$8),0)),
IF(AND('General Inputs'!$O$9&gt;0,DT5&gt;'General Inputs'!$O$12+'General Inputs'!$O$16),PMT('General Inputs'!$O$14/12,'General Inputs'!$O$13*12,'General Inputs'!$O$8),IF(AND('General Inputs'!$O$16&gt;0,Waterfalls!DT5&lt;='General Inputs'!$O$12+'General Inputs'!$O$16),-('General Inputs'!$O$14/12*'General Inputs'!$O$8),0)))</f>
        <v>0</v>
      </c>
      <c r="DU154" s="705">
        <f>IF(DU$5&lt;=MonthRefi,
IF(AND(ContrMezz&gt;0,DU5&gt;'General Inputs'!$I$16),PMT('General Inputs'!$I$14/12,'General Inputs'!$I$13*12,'General Inputs'!$I$8),
IF(AND('General Inputs'!$I$16&gt;0,Waterfalls!DU5&lt;='General Inputs'!$I$16),-('General Inputs'!$I$14/12*'General Inputs'!$I$8),0)),
IF(AND('General Inputs'!$O$9&gt;0,DU5&gt;'General Inputs'!$O$12+'General Inputs'!$O$16),PMT('General Inputs'!$O$14/12,'General Inputs'!$O$13*12,'General Inputs'!$O$8),IF(AND('General Inputs'!$O$16&gt;0,Waterfalls!DU5&lt;='General Inputs'!$O$12+'General Inputs'!$O$16),-('General Inputs'!$O$14/12*'General Inputs'!$O$8),0)))</f>
        <v>0</v>
      </c>
      <c r="DV154" s="705">
        <f>IF(DV$5&lt;=MonthRefi,
IF(AND(ContrMezz&gt;0,DV5&gt;'General Inputs'!$I$16),PMT('General Inputs'!$I$14/12,'General Inputs'!$I$13*12,'General Inputs'!$I$8),
IF(AND('General Inputs'!$I$16&gt;0,Waterfalls!DV5&lt;='General Inputs'!$I$16),-('General Inputs'!$I$14/12*'General Inputs'!$I$8),0)),
IF(AND('General Inputs'!$O$9&gt;0,DV5&gt;'General Inputs'!$O$12+'General Inputs'!$O$16),PMT('General Inputs'!$O$14/12,'General Inputs'!$O$13*12,'General Inputs'!$O$8),IF(AND('General Inputs'!$O$16&gt;0,Waterfalls!DV5&lt;='General Inputs'!$O$12+'General Inputs'!$O$16),-('General Inputs'!$O$14/12*'General Inputs'!$O$8),0)))</f>
        <v>0</v>
      </c>
      <c r="DW154" s="705">
        <f>IF(DW$5&lt;=MonthRefi,
IF(AND(ContrMezz&gt;0,DW5&gt;'General Inputs'!$I$16),PMT('General Inputs'!$I$14/12,'General Inputs'!$I$13*12,'General Inputs'!$I$8),
IF(AND('General Inputs'!$I$16&gt;0,Waterfalls!DW5&lt;='General Inputs'!$I$16),-('General Inputs'!$I$14/12*'General Inputs'!$I$8),0)),
IF(AND('General Inputs'!$O$9&gt;0,DW5&gt;'General Inputs'!$O$12+'General Inputs'!$O$16),PMT('General Inputs'!$O$14/12,'General Inputs'!$O$13*12,'General Inputs'!$O$8),IF(AND('General Inputs'!$O$16&gt;0,Waterfalls!DW5&lt;='General Inputs'!$O$12+'General Inputs'!$O$16),-('General Inputs'!$O$14/12*'General Inputs'!$O$8),0)))</f>
        <v>0</v>
      </c>
      <c r="DX154" s="705">
        <f>IF(DX$5&lt;=MonthRefi,
IF(AND(ContrMezz&gt;0,DX5&gt;'General Inputs'!$I$16),PMT('General Inputs'!$I$14/12,'General Inputs'!$I$13*12,'General Inputs'!$I$8),
IF(AND('General Inputs'!$I$16&gt;0,Waterfalls!DX5&lt;='General Inputs'!$I$16),-('General Inputs'!$I$14/12*'General Inputs'!$I$8),0)),
IF(AND('General Inputs'!$O$9&gt;0,DX5&gt;'General Inputs'!$O$12+'General Inputs'!$O$16),PMT('General Inputs'!$O$14/12,'General Inputs'!$O$13*12,'General Inputs'!$O$8),IF(AND('General Inputs'!$O$16&gt;0,Waterfalls!DX5&lt;='General Inputs'!$O$12+'General Inputs'!$O$16),-('General Inputs'!$O$14/12*'General Inputs'!$O$8),0)))</f>
        <v>0</v>
      </c>
      <c r="DY154" s="705">
        <f>IF(DY$5&lt;=MonthRefi,
IF(AND(ContrMezz&gt;0,DY5&gt;'General Inputs'!$I$16),PMT('General Inputs'!$I$14/12,'General Inputs'!$I$13*12,'General Inputs'!$I$8),
IF(AND('General Inputs'!$I$16&gt;0,Waterfalls!DY5&lt;='General Inputs'!$I$16),-('General Inputs'!$I$14/12*'General Inputs'!$I$8),0)),
IF(AND('General Inputs'!$O$9&gt;0,DY5&gt;'General Inputs'!$O$12+'General Inputs'!$O$16),PMT('General Inputs'!$O$14/12,'General Inputs'!$O$13*12,'General Inputs'!$O$8),IF(AND('General Inputs'!$O$16&gt;0,Waterfalls!DY5&lt;='General Inputs'!$O$12+'General Inputs'!$O$16),-('General Inputs'!$O$14/12*'General Inputs'!$O$8),0)))</f>
        <v>0</v>
      </c>
      <c r="DZ154" s="705">
        <f>IF(DZ$5&lt;=MonthRefi,
IF(AND(ContrMezz&gt;0,DZ5&gt;'General Inputs'!$I$16),PMT('General Inputs'!$I$14/12,'General Inputs'!$I$13*12,'General Inputs'!$I$8),
IF(AND('General Inputs'!$I$16&gt;0,Waterfalls!DZ5&lt;='General Inputs'!$I$16),-('General Inputs'!$I$14/12*'General Inputs'!$I$8),0)),
IF(AND('General Inputs'!$O$9&gt;0,DZ5&gt;'General Inputs'!$O$12+'General Inputs'!$O$16),PMT('General Inputs'!$O$14/12,'General Inputs'!$O$13*12,'General Inputs'!$O$8),IF(AND('General Inputs'!$O$16&gt;0,Waterfalls!DZ5&lt;='General Inputs'!$O$12+'General Inputs'!$O$16),-('General Inputs'!$O$14/12*'General Inputs'!$O$8),0)))</f>
        <v>0</v>
      </c>
      <c r="EA154" s="705">
        <f>IF(EA$5&lt;=MonthRefi,
IF(AND(ContrMezz&gt;0,EA5&gt;'General Inputs'!$I$16),PMT('General Inputs'!$I$14/12,'General Inputs'!$I$13*12,'General Inputs'!$I$8),
IF(AND('General Inputs'!$I$16&gt;0,Waterfalls!EA5&lt;='General Inputs'!$I$16),-('General Inputs'!$I$14/12*'General Inputs'!$I$8),0)),
IF(AND('General Inputs'!$O$9&gt;0,EA5&gt;'General Inputs'!$O$12+'General Inputs'!$O$16),PMT('General Inputs'!$O$14/12,'General Inputs'!$O$13*12,'General Inputs'!$O$8),IF(AND('General Inputs'!$O$16&gt;0,Waterfalls!EA5&lt;='General Inputs'!$O$12+'General Inputs'!$O$16),-('General Inputs'!$O$14/12*'General Inputs'!$O$8),0)))</f>
        <v>0</v>
      </c>
      <c r="EB154" s="705">
        <f>IF(EB$5&lt;=MonthRefi,
IF(AND(ContrMezz&gt;0,EB5&gt;'General Inputs'!$I$16),PMT('General Inputs'!$I$14/12,'General Inputs'!$I$13*12,'General Inputs'!$I$8),
IF(AND('General Inputs'!$I$16&gt;0,Waterfalls!EB5&lt;='General Inputs'!$I$16),-('General Inputs'!$I$14/12*'General Inputs'!$I$8),0)),
IF(AND('General Inputs'!$O$9&gt;0,EB5&gt;'General Inputs'!$O$12+'General Inputs'!$O$16),PMT('General Inputs'!$O$14/12,'General Inputs'!$O$13*12,'General Inputs'!$O$8),IF(AND('General Inputs'!$O$16&gt;0,Waterfalls!EB5&lt;='General Inputs'!$O$12+'General Inputs'!$O$16),-('General Inputs'!$O$14/12*'General Inputs'!$O$8),0)))</f>
        <v>0</v>
      </c>
      <c r="EC154" s="705">
        <f>IF(EC$5&lt;=MonthRefi,
IF(AND(ContrMezz&gt;0,EC5&gt;'General Inputs'!$I$16),PMT('General Inputs'!$I$14/12,'General Inputs'!$I$13*12,'General Inputs'!$I$8),
IF(AND('General Inputs'!$I$16&gt;0,Waterfalls!EC5&lt;='General Inputs'!$I$16),-('General Inputs'!$I$14/12*'General Inputs'!$I$8),0)),
IF(AND('General Inputs'!$O$9&gt;0,EC5&gt;'General Inputs'!$O$12+'General Inputs'!$O$16),PMT('General Inputs'!$O$14/12,'General Inputs'!$O$13*12,'General Inputs'!$O$8),IF(AND('General Inputs'!$O$16&gt;0,Waterfalls!EC5&lt;='General Inputs'!$O$12+'General Inputs'!$O$16),-('General Inputs'!$O$14/12*'General Inputs'!$O$8),0)))</f>
        <v>0</v>
      </c>
      <c r="ED154" s="705">
        <f>IF(ED$5&lt;=MonthRefi,
IF(AND(ContrMezz&gt;0,ED5&gt;'General Inputs'!$I$16),PMT('General Inputs'!$I$14/12,'General Inputs'!$I$13*12,'General Inputs'!$I$8),
IF(AND('General Inputs'!$I$16&gt;0,Waterfalls!ED5&lt;='General Inputs'!$I$16),-('General Inputs'!$I$14/12*'General Inputs'!$I$8),0)),
IF(AND('General Inputs'!$O$9&gt;0,ED5&gt;'General Inputs'!$O$12+'General Inputs'!$O$16),PMT('General Inputs'!$O$14/12,'General Inputs'!$O$13*12,'General Inputs'!$O$8),IF(AND('General Inputs'!$O$16&gt;0,Waterfalls!ED5&lt;='General Inputs'!$O$12+'General Inputs'!$O$16),-('General Inputs'!$O$14/12*'General Inputs'!$O$8),0)))</f>
        <v>0</v>
      </c>
      <c r="EE154" s="705">
        <f>IF(EE$5&lt;=MonthRefi,
IF(AND(ContrMezz&gt;0,EE5&gt;'General Inputs'!$I$16),PMT('General Inputs'!$I$14/12,'General Inputs'!$I$13*12,'General Inputs'!$I$8),
IF(AND('General Inputs'!$I$16&gt;0,Waterfalls!EE5&lt;='General Inputs'!$I$16),-('General Inputs'!$I$14/12*'General Inputs'!$I$8),0)),
IF(AND('General Inputs'!$O$9&gt;0,EE5&gt;'General Inputs'!$O$12+'General Inputs'!$O$16),PMT('General Inputs'!$O$14/12,'General Inputs'!$O$13*12,'General Inputs'!$O$8),IF(AND('General Inputs'!$O$16&gt;0,Waterfalls!EE5&lt;='General Inputs'!$O$12+'General Inputs'!$O$16),-('General Inputs'!$O$14/12*'General Inputs'!$O$8),0)))</f>
        <v>0</v>
      </c>
      <c r="EF154" s="705">
        <f>IF(EF$5&lt;=MonthRefi,
IF(AND(ContrMezz&gt;0,EF5&gt;'General Inputs'!$I$16),PMT('General Inputs'!$I$14/12,'General Inputs'!$I$13*12,'General Inputs'!$I$8),
IF(AND('General Inputs'!$I$16&gt;0,Waterfalls!EF5&lt;='General Inputs'!$I$16),-('General Inputs'!$I$14/12*'General Inputs'!$I$8),0)),
IF(AND('General Inputs'!$O$9&gt;0,EF5&gt;'General Inputs'!$O$12+'General Inputs'!$O$16),PMT('General Inputs'!$O$14/12,'General Inputs'!$O$13*12,'General Inputs'!$O$8),IF(AND('General Inputs'!$O$16&gt;0,Waterfalls!EF5&lt;='General Inputs'!$O$12+'General Inputs'!$O$16),-('General Inputs'!$O$14/12*'General Inputs'!$O$8),0)))</f>
        <v>0</v>
      </c>
      <c r="EG154" s="705">
        <f>IF(EG$5&lt;=MonthRefi,
IF(AND(ContrMezz&gt;0,EG5&gt;'General Inputs'!$I$16),PMT('General Inputs'!$I$14/12,'General Inputs'!$I$13*12,'General Inputs'!$I$8),
IF(AND('General Inputs'!$I$16&gt;0,Waterfalls!EG5&lt;='General Inputs'!$I$16),-('General Inputs'!$I$14/12*'General Inputs'!$I$8),0)),
IF(AND('General Inputs'!$O$9&gt;0,EG5&gt;'General Inputs'!$O$12+'General Inputs'!$O$16),PMT('General Inputs'!$O$14/12,'General Inputs'!$O$13*12,'General Inputs'!$O$8),IF(AND('General Inputs'!$O$16&gt;0,Waterfalls!EG5&lt;='General Inputs'!$O$12+'General Inputs'!$O$16),-('General Inputs'!$O$14/12*'General Inputs'!$O$8),0)))</f>
        <v>0</v>
      </c>
      <c r="EH154" s="644"/>
      <c r="EI154" s="722"/>
    </row>
    <row r="155" spans="1:139" x14ac:dyDescent="0.3">
      <c r="A155" s="703" t="s">
        <v>2491</v>
      </c>
      <c r="B155" s="706"/>
      <c r="C155" s="703"/>
      <c r="D155" s="686"/>
      <c r="E155" s="408">
        <f t="shared" ref="E155:BP155" si="253">SUM(E151:E154)</f>
        <v>0</v>
      </c>
      <c r="F155" s="408">
        <f t="shared" ca="1" si="253"/>
        <v>0</v>
      </c>
      <c r="G155" s="408">
        <f t="shared" ca="1" si="253"/>
        <v>0</v>
      </c>
      <c r="H155" s="408">
        <f t="shared" ca="1" si="253"/>
        <v>0</v>
      </c>
      <c r="I155" s="408">
        <f t="shared" ca="1" si="253"/>
        <v>0</v>
      </c>
      <c r="J155" s="408">
        <f t="shared" ca="1" si="253"/>
        <v>0</v>
      </c>
      <c r="K155" s="408">
        <f t="shared" ca="1" si="253"/>
        <v>0</v>
      </c>
      <c r="L155" s="408">
        <f t="shared" ca="1" si="253"/>
        <v>0</v>
      </c>
      <c r="M155" s="408">
        <f t="shared" ca="1" si="253"/>
        <v>0</v>
      </c>
      <c r="N155" s="408">
        <f t="shared" ca="1" si="253"/>
        <v>0</v>
      </c>
      <c r="O155" s="408">
        <f t="shared" ca="1" si="253"/>
        <v>0</v>
      </c>
      <c r="P155" s="408">
        <f t="shared" ca="1" si="253"/>
        <v>-9271.8618416666668</v>
      </c>
      <c r="Q155" s="408">
        <f t="shared" ca="1" si="253"/>
        <v>-30859.985503750006</v>
      </c>
      <c r="R155" s="408">
        <f t="shared" ca="1" si="253"/>
        <v>-52721.499257916672</v>
      </c>
      <c r="S155" s="408">
        <f t="shared" ca="1" si="253"/>
        <v>-154708.14298147411</v>
      </c>
      <c r="T155" s="408">
        <f t="shared" ca="1" si="253"/>
        <v>-177514.15449958813</v>
      </c>
      <c r="U155" s="408">
        <f t="shared" ca="1" si="253"/>
        <v>-202129.96264906003</v>
      </c>
      <c r="V155" s="408">
        <f t="shared" ca="1" si="253"/>
        <v>-190563.27609614152</v>
      </c>
      <c r="W155" s="408">
        <f t="shared" ca="1" si="253"/>
        <v>-175070.20331637809</v>
      </c>
      <c r="X155" s="408">
        <f t="shared" ca="1" si="253"/>
        <v>-149468.47362206239</v>
      </c>
      <c r="Y155" s="408">
        <f t="shared" ca="1" si="253"/>
        <v>-126565.92720762049</v>
      </c>
      <c r="Z155" s="408">
        <f t="shared" ca="1" si="253"/>
        <v>-93159.022734660248</v>
      </c>
      <c r="AA155" s="408">
        <f t="shared" ca="1" si="253"/>
        <v>-49426.25748972423</v>
      </c>
      <c r="AB155" s="408">
        <f t="shared" ca="1" si="253"/>
        <v>-3883.9078558211913</v>
      </c>
      <c r="AC155" s="408">
        <f t="shared" ca="1" si="253"/>
        <v>44113.029490091343</v>
      </c>
      <c r="AD155" s="408">
        <f t="shared" ca="1" si="253"/>
        <v>84330.422386363207</v>
      </c>
      <c r="AE155" s="408">
        <f t="shared" ca="1" si="253"/>
        <v>130124.26310856765</v>
      </c>
      <c r="AF155" s="408">
        <f t="shared" ca="1" si="253"/>
        <v>219562.23728908136</v>
      </c>
      <c r="AG155" s="408">
        <f t="shared" ca="1" si="253"/>
        <v>223208.57894093162</v>
      </c>
      <c r="AH155" s="408">
        <f t="shared" ca="1" si="253"/>
        <v>224511.72787867484</v>
      </c>
      <c r="AI155" s="408">
        <f t="shared" ca="1" si="253"/>
        <v>191557.41751984309</v>
      </c>
      <c r="AJ155" s="408">
        <f t="shared" ca="1" si="253"/>
        <v>194146.36504078674</v>
      </c>
      <c r="AK155" s="408">
        <f t="shared" ca="1" si="253"/>
        <v>196941.98951452575</v>
      </c>
      <c r="AL155" s="408">
        <f t="shared" ca="1" si="253"/>
        <v>199727.00232916453</v>
      </c>
      <c r="AM155" s="408">
        <f t="shared" ca="1" si="253"/>
        <v>202501.21446340531</v>
      </c>
      <c r="AN155" s="408">
        <f t="shared" ca="1" si="253"/>
        <v>205264.4351941343</v>
      </c>
      <c r="AO155" s="408">
        <f t="shared" ca="1" si="253"/>
        <v>208016.47208368964</v>
      </c>
      <c r="AP155" s="408">
        <f t="shared" ca="1" si="253"/>
        <v>209919.96727767988</v>
      </c>
      <c r="AQ155" s="408">
        <f t="shared" ca="1" si="253"/>
        <v>213487.56472790998</v>
      </c>
      <c r="AR155" s="408">
        <f t="shared" ca="1" si="253"/>
        <v>216603.53672195377</v>
      </c>
      <c r="AS155" s="408">
        <f t="shared" ca="1" si="253"/>
        <v>212051.19180538459</v>
      </c>
      <c r="AT155" s="408">
        <f t="shared" ca="1" si="253"/>
        <v>213905.93757415481</v>
      </c>
      <c r="AU155" s="408">
        <f t="shared" ca="1" si="253"/>
        <v>215726.39458598819</v>
      </c>
      <c r="AV155" s="408">
        <f t="shared" ca="1" si="253"/>
        <v>218289.05220082233</v>
      </c>
      <c r="AW155" s="408">
        <f t="shared" ca="1" si="253"/>
        <v>220772.92673389061</v>
      </c>
      <c r="AX155" s="408">
        <f t="shared" ca="1" si="253"/>
        <v>223177.32311075157</v>
      </c>
      <c r="AY155" s="408">
        <f t="shared" ca="1" si="253"/>
        <v>225501.54178493761</v>
      </c>
      <c r="AZ155" s="408">
        <f t="shared" ca="1" si="253"/>
        <v>227744.87871226569</v>
      </c>
      <c r="BA155" s="408">
        <f t="shared" ca="1" si="253"/>
        <v>229906.62532500736</v>
      </c>
      <c r="BB155" s="408">
        <f t="shared" ca="1" si="253"/>
        <v>231371.60172885668</v>
      </c>
      <c r="BC155" s="408">
        <f t="shared" ca="1" si="253"/>
        <v>233991.77981436049</v>
      </c>
      <c r="BD155" s="408">
        <f t="shared" ca="1" si="253"/>
        <v>236231.56056684104</v>
      </c>
      <c r="BE155" s="408">
        <f t="shared" ca="1" si="253"/>
        <v>232413.96003512084</v>
      </c>
      <c r="BF155" s="408">
        <f t="shared" ca="1" si="253"/>
        <v>233792.35967828042</v>
      </c>
      <c r="BG155" s="408">
        <f t="shared" ca="1" si="253"/>
        <v>235194.65631538397</v>
      </c>
      <c r="BH155" s="408">
        <f t="shared" ca="1" si="253"/>
        <v>237214.33255777939</v>
      </c>
      <c r="BI155" s="408">
        <f t="shared" ca="1" si="253"/>
        <v>239287.5327954411</v>
      </c>
      <c r="BJ155" s="408">
        <f t="shared" ca="1" si="253"/>
        <v>241414.62629154953</v>
      </c>
      <c r="BK155" s="408">
        <f t="shared" ca="1" si="253"/>
        <v>243595.98432095937</v>
      </c>
      <c r="BL155" s="408">
        <f t="shared" ca="1" si="253"/>
        <v>245831.98018010752</v>
      </c>
      <c r="BM155" s="408">
        <f t="shared" ca="1" si="253"/>
        <v>248122.98919696768</v>
      </c>
      <c r="BN155" s="408">
        <f t="shared" ca="1" si="253"/>
        <v>249768.29693809513</v>
      </c>
      <c r="BO155" s="408">
        <f t="shared" ca="1" si="253"/>
        <v>252865.4281958323</v>
      </c>
      <c r="BP155" s="408">
        <f t="shared" ca="1" si="253"/>
        <v>255627.41870890046</v>
      </c>
      <c r="BQ155" s="408">
        <f t="shared" ref="BQ155:EB155" ca="1" si="254">SUM(BQ151:BQ154)</f>
        <v>251911.10262718727</v>
      </c>
      <c r="BR155" s="408">
        <f t="shared" ca="1" si="254"/>
        <v>253636.79770327162</v>
      </c>
      <c r="BS155" s="408">
        <f t="shared" ca="1" si="254"/>
        <v>255367.1909785716</v>
      </c>
      <c r="BT155" s="408">
        <f t="shared" ca="1" si="254"/>
        <v>257846.4753805272</v>
      </c>
      <c r="BU155" s="408">
        <f t="shared" ca="1" si="254"/>
        <v>260335.62778098683</v>
      </c>
      <c r="BV155" s="408">
        <f t="shared" ca="1" si="254"/>
        <v>262834.68808438315</v>
      </c>
      <c r="BW155" s="408">
        <f t="shared" ca="1" si="254"/>
        <v>265343.6963581288</v>
      </c>
      <c r="BX155" s="408">
        <f t="shared" ca="1" si="254"/>
        <v>267862.69283328683</v>
      </c>
      <c r="BY155" s="408">
        <f t="shared" ca="1" si="254"/>
        <v>270391.71790524246</v>
      </c>
      <c r="BZ155" s="408">
        <f t="shared" ca="1" si="254"/>
        <v>272167.92001109081</v>
      </c>
      <c r="CA155" s="408">
        <f t="shared" ca="1" si="254"/>
        <v>275478.96154839685</v>
      </c>
      <c r="CB155" s="408">
        <f t="shared" ca="1" si="254"/>
        <v>278392.08507062017</v>
      </c>
      <c r="CC155" s="408">
        <f t="shared" ca="1" si="254"/>
        <v>274566.92738257023</v>
      </c>
      <c r="CD155" s="408">
        <f t="shared" ca="1" si="254"/>
        <v>276362.55432707479</v>
      </c>
      <c r="CE155" s="408">
        <f t="shared" ca="1" si="254"/>
        <v>278163.07063198113</v>
      </c>
      <c r="CF155" s="408">
        <f t="shared" ca="1" si="254"/>
        <v>280744.12594409822</v>
      </c>
      <c r="CG155" s="408">
        <f t="shared" ca="1" si="254"/>
        <v>283335.45890456287</v>
      </c>
      <c r="CH155" s="408">
        <f t="shared" ca="1" si="254"/>
        <v>285937.11108613724</v>
      </c>
      <c r="CI155" s="408">
        <f t="shared" ca="1" si="254"/>
        <v>288549.12423140812</v>
      </c>
      <c r="CJ155" s="408">
        <f t="shared" ca="1" si="254"/>
        <v>291171.54025348381</v>
      </c>
      <c r="CK155" s="408">
        <f t="shared" ca="1" si="254"/>
        <v>293804.40123669547</v>
      </c>
      <c r="CL155" s="408">
        <f t="shared" ca="1" si="254"/>
        <v>295652.61016878253</v>
      </c>
      <c r="CM155" s="408">
        <f t="shared" ca="1" si="254"/>
        <v>299100.52800415398</v>
      </c>
      <c r="CN155" s="408">
        <f t="shared" ca="1" si="254"/>
        <v>302133.70039256744</v>
      </c>
      <c r="CO155" s="408">
        <f t="shared" ca="1" si="254"/>
        <v>298195.87397498253</v>
      </c>
      <c r="CP155" s="408">
        <f t="shared" ca="1" si="254"/>
        <v>300064.29840285529</v>
      </c>
      <c r="CQ155" s="408">
        <f t="shared" ca="1" si="254"/>
        <v>301937.81120972894</v>
      </c>
      <c r="CR155" s="408">
        <f t="shared" ca="1" si="254"/>
        <v>304624.84842418984</v>
      </c>
      <c r="CS155" s="408">
        <f t="shared" ca="1" si="254"/>
        <v>307322.59002858156</v>
      </c>
      <c r="CT155" s="408">
        <f t="shared" ca="1" si="254"/>
        <v>310031.07933396345</v>
      </c>
      <c r="CU155" s="408">
        <f t="shared" ca="1" si="254"/>
        <v>312750.35982835095</v>
      </c>
      <c r="CV155" s="408">
        <f t="shared" ca="1" si="254"/>
        <v>315480.47517744231</v>
      </c>
      <c r="CW155" s="408">
        <f t="shared" ca="1" si="254"/>
        <v>318221.46922534914</v>
      </c>
      <c r="CX155" s="408">
        <f t="shared" ca="1" si="254"/>
        <v>320144.63650763652</v>
      </c>
      <c r="CY155" s="408">
        <f t="shared" ca="1" si="254"/>
        <v>323735.12394435913</v>
      </c>
      <c r="CZ155" s="408">
        <f t="shared" ca="1" si="254"/>
        <v>326893.32698553684</v>
      </c>
      <c r="DA155" s="408">
        <f t="shared" ca="1" si="254"/>
        <v>322838.79676200682</v>
      </c>
      <c r="DB155" s="408">
        <f t="shared" ca="1" si="254"/>
        <v>324783.00270527974</v>
      </c>
      <c r="DC155" s="408">
        <f t="shared" ca="1" si="254"/>
        <v>326732.50422900717</v>
      </c>
      <c r="DD155" s="408">
        <f t="shared" ca="1" si="254"/>
        <v>329529.90961024573</v>
      </c>
      <c r="DE155" s="408">
        <f t="shared" ca="1" si="254"/>
        <v>332338.46393047902</v>
      </c>
      <c r="DF155" s="408">
        <f t="shared" ca="1" si="254"/>
        <v>335158.21231197228</v>
      </c>
      <c r="DG155" s="408">
        <f t="shared" ca="1" si="254"/>
        <v>337989.20006137749</v>
      </c>
      <c r="DH155" s="408">
        <f t="shared" ca="1" si="254"/>
        <v>340831.47267049237</v>
      </c>
      <c r="DI155" s="408">
        <f t="shared" ca="1" si="254"/>
        <v>343685.07581702096</v>
      </c>
      <c r="DJ155" s="408">
        <f t="shared" ca="1" si="254"/>
        <v>345686.27496793435</v>
      </c>
      <c r="DK155" s="408">
        <f t="shared" ca="1" si="254"/>
        <v>349425.26319085585</v>
      </c>
      <c r="DL155" s="408">
        <f t="shared" ca="1" si="254"/>
        <v>352713.6864705676</v>
      </c>
      <c r="DM155" s="408">
        <f t="shared" ca="1" si="254"/>
        <v>348538.19223049027</v>
      </c>
      <c r="DN155" s="408">
        <f t="shared" ca="1" si="254"/>
        <v>350561.28706238139</v>
      </c>
      <c r="DO155" s="408">
        <f t="shared" ca="1" si="254"/>
        <v>352589.89319803461</v>
      </c>
      <c r="DP155" s="408">
        <f t="shared" ca="1" si="254"/>
        <v>355502.23560968239</v>
      </c>
      <c r="DQ155" s="408">
        <f t="shared" ca="1" si="254"/>
        <v>358426.19006266387</v>
      </c>
      <c r="DR155" s="408">
        <f t="shared" ca="1" si="254"/>
        <v>361361.8035664222</v>
      </c>
      <c r="DS155" s="408">
        <f t="shared" ca="1" si="254"/>
        <v>364309.12332253216</v>
      </c>
      <c r="DT155" s="408">
        <f t="shared" ca="1" si="254"/>
        <v>367268.19672549015</v>
      </c>
      <c r="DU155" s="408">
        <f t="shared" ca="1" si="254"/>
        <v>370239.07136350719</v>
      </c>
      <c r="DV155" s="408">
        <f t="shared" ca="1" si="254"/>
        <v>372321.50296963623</v>
      </c>
      <c r="DW155" s="408">
        <f t="shared" ca="1" si="254"/>
        <v>376215.17101715982</v>
      </c>
      <c r="DX155" s="408">
        <f t="shared" ca="1" si="254"/>
        <v>379639.22062059399</v>
      </c>
      <c r="DY155" s="408">
        <f t="shared" ca="1" si="254"/>
        <v>375338.25815748912</v>
      </c>
      <c r="DZ155" s="408">
        <f t="shared" ca="1" si="254"/>
        <v>377443.47772220627</v>
      </c>
      <c r="EA155" s="408">
        <f t="shared" ca="1" si="254"/>
        <v>379554.43318896834</v>
      </c>
      <c r="EB155" s="408">
        <f t="shared" ca="1" si="254"/>
        <v>382586.47172805632</v>
      </c>
      <c r="EC155" s="408">
        <f ca="1">SUM(EC151:EC154)</f>
        <v>385630.60474120232</v>
      </c>
      <c r="ED155" s="408">
        <f ca="1">SUM(ED151:ED154)</f>
        <v>388686.88120419416</v>
      </c>
      <c r="EE155" s="408">
        <f ca="1">SUM(EE151:EE154)</f>
        <v>391755.35029302142</v>
      </c>
      <c r="EF155" s="408">
        <f ca="1">SUM(EF151:EF154)</f>
        <v>394836.06138469838</v>
      </c>
      <c r="EG155" s="408">
        <f ca="1">SUM(EG151:EG154)</f>
        <v>397929.06406458234</v>
      </c>
      <c r="EH155" s="644"/>
      <c r="EI155" s="722"/>
    </row>
    <row r="156" spans="1:139" x14ac:dyDescent="0.3">
      <c r="A156" s="707" t="s">
        <v>864</v>
      </c>
      <c r="B156" s="707"/>
      <c r="C156" s="412"/>
      <c r="D156" s="730"/>
      <c r="E156" s="708"/>
      <c r="F156" s="708">
        <f t="shared" ref="F156:BQ156" ca="1" si="255">IF(SUM(F152:F154)=0,0,F151/-SUM(F152:F154))</f>
        <v>0</v>
      </c>
      <c r="G156" s="708">
        <f t="shared" ca="1" si="255"/>
        <v>0</v>
      </c>
      <c r="H156" s="708">
        <f t="shared" ca="1" si="255"/>
        <v>0</v>
      </c>
      <c r="I156" s="708">
        <f t="shared" ca="1" si="255"/>
        <v>0</v>
      </c>
      <c r="J156" s="708">
        <f t="shared" ca="1" si="255"/>
        <v>0</v>
      </c>
      <c r="K156" s="708">
        <f t="shared" ca="1" si="255"/>
        <v>0</v>
      </c>
      <c r="L156" s="708">
        <f t="shared" ca="1" si="255"/>
        <v>0</v>
      </c>
      <c r="M156" s="708">
        <f t="shared" ca="1" si="255"/>
        <v>0</v>
      </c>
      <c r="N156" s="708">
        <f t="shared" ca="1" si="255"/>
        <v>0</v>
      </c>
      <c r="O156" s="708">
        <f t="shared" ca="1" si="255"/>
        <v>0</v>
      </c>
      <c r="P156" s="708">
        <f t="shared" ca="1" si="255"/>
        <v>0</v>
      </c>
      <c r="Q156" s="708">
        <f t="shared" ca="1" si="255"/>
        <v>0</v>
      </c>
      <c r="R156" s="708">
        <f t="shared" ca="1" si="255"/>
        <v>0</v>
      </c>
      <c r="S156" s="708">
        <f t="shared" ca="1" si="255"/>
        <v>-1.0684614074804617</v>
      </c>
      <c r="T156" s="708">
        <f t="shared" ca="1" si="255"/>
        <v>-0.8596844912675522</v>
      </c>
      <c r="U156" s="708">
        <f t="shared" ca="1" si="255"/>
        <v>-0.7495157773442066</v>
      </c>
      <c r="V156" s="708">
        <f t="shared" ca="1" si="255"/>
        <v>-0.4204096989172364</v>
      </c>
      <c r="W156" s="708">
        <f t="shared" ca="1" si="255"/>
        <v>-0.1596980559097636</v>
      </c>
      <c r="X156" s="708">
        <f t="shared" ca="1" si="255"/>
        <v>0.10859993055774717</v>
      </c>
      <c r="Y156" s="708">
        <f t="shared" ca="1" si="255"/>
        <v>0.30863252319465279</v>
      </c>
      <c r="Z156" s="708">
        <f t="shared" ca="1" si="255"/>
        <v>0.52495536367839801</v>
      </c>
      <c r="AA156" s="708">
        <f t="shared" ca="1" si="255"/>
        <v>0.7615732345049786</v>
      </c>
      <c r="AB156" s="708">
        <f t="shared" ca="1" si="255"/>
        <v>0.98207750679597561</v>
      </c>
      <c r="AC156" s="708">
        <f t="shared" ca="1" si="255"/>
        <v>1.1976238920130748</v>
      </c>
      <c r="AD156" s="708">
        <f t="shared" ca="1" si="255"/>
        <v>1.3689256040582507</v>
      </c>
      <c r="AE156" s="708">
        <f t="shared" ca="1" si="255"/>
        <v>1.560265325800678</v>
      </c>
      <c r="AF156" s="708">
        <f t="shared" ca="1" si="255"/>
        <v>1.9453510472959099</v>
      </c>
      <c r="AG156" s="708">
        <f t="shared" ca="1" si="255"/>
        <v>1.9610508003223688</v>
      </c>
      <c r="AH156" s="708">
        <f t="shared" ca="1" si="255"/>
        <v>1.9666616614079939</v>
      </c>
      <c r="AI156" s="708">
        <f t="shared" ca="1" si="255"/>
        <v>1.7187680961326959</v>
      </c>
      <c r="AJ156" s="708">
        <f t="shared" ca="1" si="255"/>
        <v>1.7284824308982674</v>
      </c>
      <c r="AK156" s="708">
        <f t="shared" ca="1" si="255"/>
        <v>1.7389722657817599</v>
      </c>
      <c r="AL156" s="708">
        <f t="shared" ca="1" si="255"/>
        <v>1.7494222832459789</v>
      </c>
      <c r="AM156" s="708">
        <f t="shared" ca="1" si="255"/>
        <v>1.7598317740389413</v>
      </c>
      <c r="AN156" s="708">
        <f t="shared" ca="1" si="255"/>
        <v>1.7702000225230532</v>
      </c>
      <c r="AO156" s="708">
        <f t="shared" ca="1" si="255"/>
        <v>1.780526306627336</v>
      </c>
      <c r="AP156" s="708">
        <f t="shared" ca="1" si="255"/>
        <v>1.787668664434704</v>
      </c>
      <c r="AQ156" s="708">
        <f t="shared" ca="1" si="255"/>
        <v>1.8010551219275552</v>
      </c>
      <c r="AR156" s="708">
        <f t="shared" ca="1" si="255"/>
        <v>1.812746975402922</v>
      </c>
      <c r="AS156" s="708">
        <f t="shared" ca="1" si="255"/>
        <v>1.7956655158020018</v>
      </c>
      <c r="AT156" s="708">
        <f t="shared" ca="1" si="255"/>
        <v>1.8026249543990014</v>
      </c>
      <c r="AU156" s="708">
        <f t="shared" ca="1" si="255"/>
        <v>1.8094557335848367</v>
      </c>
      <c r="AV156" s="708">
        <f t="shared" ca="1" si="255"/>
        <v>1.8190714224926468</v>
      </c>
      <c r="AW156" s="708">
        <f t="shared" ca="1" si="255"/>
        <v>1.8283914989077563</v>
      </c>
      <c r="AX156" s="708">
        <f t="shared" ca="1" si="255"/>
        <v>1.8374133547487899</v>
      </c>
      <c r="AY156" s="708">
        <f t="shared" ca="1" si="255"/>
        <v>1.8461343651542872</v>
      </c>
      <c r="AZ156" s="708">
        <f t="shared" ca="1" si="255"/>
        <v>1.854551888386311</v>
      </c>
      <c r="BA156" s="708">
        <f t="shared" ca="1" si="255"/>
        <v>1.8626632657335269</v>
      </c>
      <c r="BB156" s="708">
        <f t="shared" ca="1" si="255"/>
        <v>1.8681601987905045</v>
      </c>
      <c r="BC156" s="708">
        <f t="shared" ca="1" si="255"/>
        <v>1.8779917179163621</v>
      </c>
      <c r="BD156" s="708">
        <f t="shared" ca="1" si="255"/>
        <v>1.8863958975511619</v>
      </c>
      <c r="BE156" s="708">
        <f t="shared" ca="1" si="255"/>
        <v>1.8720713702031386</v>
      </c>
      <c r="BF156" s="708">
        <f t="shared" ca="1" si="255"/>
        <v>1.8772434470668349</v>
      </c>
      <c r="BG156" s="708">
        <f t="shared" ca="1" si="255"/>
        <v>1.8825051910238904</v>
      </c>
      <c r="BH156" s="708">
        <f t="shared" ca="1" si="255"/>
        <v>1.8900834872149039</v>
      </c>
      <c r="BI156" s="708">
        <f t="shared" ca="1" si="255"/>
        <v>1.8978626179163898</v>
      </c>
      <c r="BJ156" s="708">
        <f t="shared" ca="1" si="255"/>
        <v>1.9058439686899025</v>
      </c>
      <c r="BK156" s="708">
        <f t="shared" ca="1" si="255"/>
        <v>1.9140289326452673</v>
      </c>
      <c r="BL156" s="708">
        <f t="shared" ca="1" si="255"/>
        <v>1.9224189104777571</v>
      </c>
      <c r="BM156" s="708">
        <f t="shared" ca="1" si="255"/>
        <v>1.9310153105054451</v>
      </c>
      <c r="BN156" s="708">
        <f t="shared" ca="1" si="255"/>
        <v>1.9371888887878943</v>
      </c>
      <c r="BO156" s="708">
        <f t="shared" ca="1" si="255"/>
        <v>1.9488100474275289</v>
      </c>
      <c r="BP156" s="708">
        <f t="shared" ca="1" si="255"/>
        <v>1.9591736798481263</v>
      </c>
      <c r="BQ156" s="708">
        <f t="shared" ca="1" si="255"/>
        <v>1.9452291953731067</v>
      </c>
      <c r="BR156" s="708">
        <f t="shared" ref="BR156:EC156" ca="1" si="256">IF(SUM(BR152:BR154)=0,0,BR151/-SUM(BR152:BR154))</f>
        <v>1.9517044056802944</v>
      </c>
      <c r="BS156" s="708">
        <f t="shared" ca="1" si="256"/>
        <v>1.9581972447264218</v>
      </c>
      <c r="BT156" s="708">
        <f t="shared" ca="1" si="256"/>
        <v>1.967500097899312</v>
      </c>
      <c r="BU156" s="708">
        <f t="shared" ca="1" si="256"/>
        <v>1.9768399781035184</v>
      </c>
      <c r="BV156" s="708">
        <f t="shared" ca="1" si="256"/>
        <v>1.9862170350697772</v>
      </c>
      <c r="BW156" s="708">
        <f t="shared" ca="1" si="256"/>
        <v>1.9956314191403628</v>
      </c>
      <c r="BX156" s="708">
        <f t="shared" ca="1" si="256"/>
        <v>2.0050832812716046</v>
      </c>
      <c r="BY156" s="708">
        <f t="shared" ca="1" si="256"/>
        <v>2.0145727730364076</v>
      </c>
      <c r="BZ156" s="708">
        <f t="shared" ca="1" si="256"/>
        <v>2.0212374974960343</v>
      </c>
      <c r="CA156" s="708">
        <f t="shared" ca="1" si="256"/>
        <v>2.0336612973822445</v>
      </c>
      <c r="CB156" s="708">
        <f t="shared" ca="1" si="256"/>
        <v>2.0445920160929987</v>
      </c>
      <c r="CC156" s="708">
        <f t="shared" ca="1" si="256"/>
        <v>2.0302391325323179</v>
      </c>
      <c r="CD156" s="708">
        <f t="shared" ca="1" si="256"/>
        <v>2.0369767435158885</v>
      </c>
      <c r="CE156" s="708">
        <f t="shared" ca="1" si="256"/>
        <v>2.0437327005197425</v>
      </c>
      <c r="CF156" s="708">
        <f t="shared" ca="1" si="256"/>
        <v>2.053417421877564</v>
      </c>
      <c r="CG156" s="708">
        <f t="shared" ca="1" si="256"/>
        <v>2.0631407073684334</v>
      </c>
      <c r="CH156" s="708">
        <f t="shared" ca="1" si="256"/>
        <v>2.0729027129830477</v>
      </c>
      <c r="CI156" s="708">
        <f t="shared" ca="1" si="256"/>
        <v>2.0827035953493254</v>
      </c>
      <c r="CJ156" s="708">
        <f t="shared" ca="1" si="256"/>
        <v>2.092543511735022</v>
      </c>
      <c r="CK156" s="708">
        <f t="shared" ca="1" si="256"/>
        <v>2.1024226200503606</v>
      </c>
      <c r="CL156" s="708">
        <f t="shared" ca="1" si="256"/>
        <v>2.1093575309119252</v>
      </c>
      <c r="CM156" s="708">
        <f t="shared" ca="1" si="256"/>
        <v>2.1222949225840342</v>
      </c>
      <c r="CN156" s="708">
        <f t="shared" ca="1" si="256"/>
        <v>2.133676092632625</v>
      </c>
      <c r="CO156" s="708">
        <f t="shared" ca="1" si="256"/>
        <v>2.1189004497276702</v>
      </c>
      <c r="CP156" s="708">
        <f t="shared" ca="1" si="256"/>
        <v>2.1259112138430862</v>
      </c>
      <c r="CQ156" s="708">
        <f t="shared" ca="1" si="256"/>
        <v>2.1329410707429752</v>
      </c>
      <c r="CR156" s="708">
        <f t="shared" ca="1" si="256"/>
        <v>2.143023460910277</v>
      </c>
      <c r="CS156" s="708">
        <f t="shared" ca="1" si="256"/>
        <v>2.1531460164445502</v>
      </c>
      <c r="CT156" s="708">
        <f t="shared" ca="1" si="256"/>
        <v>2.1633088998589889</v>
      </c>
      <c r="CU156" s="708">
        <f t="shared" ca="1" si="256"/>
        <v>2.1735122743307671</v>
      </c>
      <c r="CV156" s="708">
        <f t="shared" ca="1" si="256"/>
        <v>2.1837563037037655</v>
      </c>
      <c r="CW156" s="708">
        <f t="shared" ca="1" si="256"/>
        <v>2.194041152491315</v>
      </c>
      <c r="CX156" s="708">
        <f t="shared" ca="1" si="256"/>
        <v>2.2012573245609306</v>
      </c>
      <c r="CY156" s="708">
        <f t="shared" ca="1" si="256"/>
        <v>2.2147296706203785</v>
      </c>
      <c r="CZ156" s="708">
        <f t="shared" ca="1" si="256"/>
        <v>2.2265799848316394</v>
      </c>
      <c r="DA156" s="708">
        <f t="shared" ca="1" si="256"/>
        <v>2.2113664420348575</v>
      </c>
      <c r="DB156" s="708">
        <f t="shared" ca="1" si="256"/>
        <v>2.2186615560660923</v>
      </c>
      <c r="DC156" s="708">
        <f t="shared" ca="1" si="256"/>
        <v>2.2259765403499676</v>
      </c>
      <c r="DD156" s="708">
        <f t="shared" ca="1" si="256"/>
        <v>2.2364730576136536</v>
      </c>
      <c r="DE156" s="708">
        <f t="shared" ca="1" si="256"/>
        <v>2.2470114082960553</v>
      </c>
      <c r="DF156" s="708">
        <f t="shared" ca="1" si="256"/>
        <v>2.2575917617064327</v>
      </c>
      <c r="DG156" s="708">
        <f t="shared" ca="1" si="256"/>
        <v>2.2682142878459084</v>
      </c>
      <c r="DH156" s="708">
        <f t="shared" ca="1" si="256"/>
        <v>2.2788791574103144</v>
      </c>
      <c r="DI156" s="708">
        <f t="shared" ca="1" si="256"/>
        <v>2.2895865417930477</v>
      </c>
      <c r="DJ156" s="708">
        <f t="shared" ca="1" si="256"/>
        <v>2.297095507628502</v>
      </c>
      <c r="DK156" s="708">
        <f t="shared" ca="1" si="256"/>
        <v>2.3111250632638165</v>
      </c>
      <c r="DL156" s="708">
        <f t="shared" ca="1" si="256"/>
        <v>2.3234639941736157</v>
      </c>
      <c r="DM156" s="708">
        <f t="shared" ca="1" si="256"/>
        <v>2.3077965661814703</v>
      </c>
      <c r="DN156" s="708">
        <f t="shared" ca="1" si="256"/>
        <v>2.3153876897173871</v>
      </c>
      <c r="DO156" s="708">
        <f t="shared" ca="1" si="256"/>
        <v>2.3229994929500943</v>
      </c>
      <c r="DP156" s="708">
        <f t="shared" ca="1" si="256"/>
        <v>2.3339272807518365</v>
      </c>
      <c r="DQ156" s="708">
        <f t="shared" ca="1" si="256"/>
        <v>2.3448986396402516</v>
      </c>
      <c r="DR156" s="708">
        <f t="shared" ca="1" si="256"/>
        <v>2.355913746005732</v>
      </c>
      <c r="DS156" s="708">
        <f t="shared" ca="1" si="256"/>
        <v>2.3669727769595923</v>
      </c>
      <c r="DT156" s="708">
        <f t="shared" ca="1" si="256"/>
        <v>2.3780759103370332</v>
      </c>
      <c r="DU156" s="708">
        <f t="shared" ca="1" si="256"/>
        <v>2.3892233247001196</v>
      </c>
      <c r="DV156" s="708">
        <f t="shared" ca="1" si="256"/>
        <v>2.3970370936485805</v>
      </c>
      <c r="DW156" s="708">
        <f t="shared" ca="1" si="256"/>
        <v>2.4116470440526223</v>
      </c>
      <c r="DX156" s="708">
        <f t="shared" ca="1" si="256"/>
        <v>2.4244948765531276</v>
      </c>
      <c r="DY156" s="708">
        <f t="shared" ca="1" si="256"/>
        <v>2.4083566625326562</v>
      </c>
      <c r="DZ156" s="708">
        <f t="shared" ca="1" si="256"/>
        <v>2.4162559372152264</v>
      </c>
      <c r="EA156" s="708">
        <f t="shared" ca="1" si="256"/>
        <v>2.424176734339714</v>
      </c>
      <c r="EB156" s="708">
        <f t="shared" ca="1" si="256"/>
        <v>2.4355536499212551</v>
      </c>
      <c r="EC156" s="708">
        <f t="shared" ca="1" si="256"/>
        <v>2.4469759467895398</v>
      </c>
      <c r="ED156" s="708">
        <f t="shared" ref="ED156" ca="1" si="257">IF(SUM(ED152:ED154)=0,0,ED151/-SUM(ED152:ED154))</f>
        <v>2.4584438087131444</v>
      </c>
      <c r="EE156" s="708">
        <f ca="1">IF(SUM(EE152:EE154)=0,0,EE151/-SUM(EE152:EE154))</f>
        <v>2.4699574202118475</v>
      </c>
      <c r="EF156" s="708">
        <f ca="1">IF(SUM(EF152:EF154)=0,0,EF151/-SUM(EF152:EF154))</f>
        <v>2.4815169665597208</v>
      </c>
      <c r="EG156" s="708">
        <f ca="1">IF(SUM(EG152:EG154)=0,0,EG151/-SUM(EG152:EG154))</f>
        <v>2.4931226338489472</v>
      </c>
      <c r="EH156" s="644"/>
      <c r="EI156" s="280"/>
    </row>
    <row r="157" spans="1:139" s="227" customFormat="1" ht="6.75" customHeight="1" x14ac:dyDescent="0.3">
      <c r="A157" s="408"/>
      <c r="B157" s="408"/>
      <c r="C157" s="408"/>
      <c r="D157" s="686"/>
      <c r="E157" s="408"/>
      <c r="F157" s="408"/>
      <c r="G157" s="408"/>
      <c r="H157" s="408"/>
      <c r="I157" s="408"/>
      <c r="J157" s="408"/>
      <c r="K157" s="408"/>
      <c r="L157" s="408"/>
      <c r="M157" s="408"/>
      <c r="N157" s="408"/>
      <c r="O157" s="408"/>
      <c r="P157" s="408"/>
      <c r="Q157" s="408"/>
      <c r="R157" s="408"/>
      <c r="S157" s="408"/>
      <c r="T157" s="408"/>
      <c r="U157" s="408"/>
      <c r="V157" s="408"/>
      <c r="W157" s="408"/>
      <c r="X157" s="408"/>
      <c r="Y157" s="408"/>
      <c r="Z157" s="408"/>
      <c r="AA157" s="408"/>
      <c r="AB157" s="408"/>
      <c r="AC157" s="408"/>
      <c r="AD157" s="408"/>
      <c r="AE157" s="408"/>
      <c r="AF157" s="408"/>
      <c r="AG157" s="408"/>
      <c r="AH157" s="408"/>
      <c r="AI157" s="408"/>
      <c r="AJ157" s="408"/>
      <c r="AK157" s="408"/>
      <c r="AL157" s="408"/>
      <c r="AM157" s="408"/>
      <c r="AN157" s="408"/>
      <c r="AO157" s="408"/>
      <c r="AP157" s="408"/>
      <c r="AQ157" s="408"/>
      <c r="AR157" s="408"/>
      <c r="AS157" s="408"/>
      <c r="AT157" s="408"/>
      <c r="AU157" s="408"/>
      <c r="AV157" s="408"/>
      <c r="AW157" s="408"/>
      <c r="AX157" s="408"/>
      <c r="AY157" s="408"/>
      <c r="AZ157" s="408"/>
      <c r="BA157" s="408"/>
      <c r="BB157" s="408"/>
      <c r="BC157" s="408"/>
      <c r="BD157" s="408"/>
      <c r="BE157" s="408"/>
      <c r="BF157" s="408"/>
      <c r="BG157" s="408"/>
      <c r="BH157" s="408"/>
      <c r="BI157" s="408"/>
      <c r="BJ157" s="408"/>
      <c r="BK157" s="408"/>
      <c r="BL157" s="408"/>
      <c r="BM157" s="408"/>
      <c r="BN157" s="408"/>
      <c r="BO157" s="408"/>
      <c r="BP157" s="408"/>
      <c r="BQ157" s="408"/>
      <c r="BR157" s="408"/>
      <c r="BS157" s="408"/>
      <c r="BT157" s="408"/>
      <c r="BU157" s="408"/>
      <c r="BV157" s="408"/>
      <c r="BW157" s="408"/>
      <c r="BX157" s="408"/>
      <c r="BY157" s="408"/>
      <c r="BZ157" s="408"/>
      <c r="CA157" s="408"/>
      <c r="CB157" s="408"/>
      <c r="CC157" s="408"/>
      <c r="CD157" s="408"/>
      <c r="CE157" s="408"/>
      <c r="CF157" s="408"/>
      <c r="CG157" s="408"/>
      <c r="CH157" s="408"/>
      <c r="CI157" s="408"/>
      <c r="CJ157" s="408"/>
      <c r="CK157" s="408"/>
      <c r="CL157" s="408"/>
      <c r="CM157" s="408"/>
      <c r="CN157" s="408"/>
      <c r="CO157" s="408"/>
      <c r="CP157" s="408"/>
      <c r="CQ157" s="408"/>
      <c r="CR157" s="408"/>
      <c r="CS157" s="408"/>
      <c r="CT157" s="408"/>
      <c r="CU157" s="408"/>
      <c r="CV157" s="408"/>
      <c r="CW157" s="408"/>
      <c r="CX157" s="408"/>
      <c r="CY157" s="408"/>
      <c r="CZ157" s="408"/>
      <c r="DA157" s="408"/>
      <c r="DB157" s="408"/>
      <c r="DC157" s="408"/>
      <c r="DD157" s="408"/>
      <c r="DE157" s="408"/>
      <c r="DF157" s="408"/>
      <c r="DG157" s="408"/>
      <c r="DH157" s="408"/>
      <c r="DI157" s="408"/>
      <c r="DJ157" s="408"/>
      <c r="DK157" s="408"/>
      <c r="DL157" s="408"/>
      <c r="DM157" s="408"/>
      <c r="DN157" s="408"/>
      <c r="DO157" s="408"/>
      <c r="DP157" s="408"/>
      <c r="DQ157" s="408"/>
      <c r="DR157" s="408"/>
      <c r="DS157" s="408"/>
      <c r="DT157" s="408"/>
      <c r="DU157" s="408"/>
      <c r="DV157" s="408"/>
      <c r="DW157" s="408"/>
      <c r="DX157" s="408"/>
      <c r="DY157" s="408"/>
      <c r="DZ157" s="408"/>
      <c r="EA157" s="408"/>
      <c r="EB157" s="408"/>
      <c r="EC157" s="408"/>
      <c r="ED157" s="408"/>
      <c r="EE157" s="408"/>
      <c r="EF157" s="408"/>
      <c r="EG157" s="408"/>
      <c r="EH157" s="644"/>
      <c r="EI157" s="280"/>
    </row>
    <row r="158" spans="1:139" s="227" customFormat="1" x14ac:dyDescent="0.3">
      <c r="A158" s="408" t="s">
        <v>2492</v>
      </c>
      <c r="B158" s="408"/>
      <c r="C158" s="408"/>
      <c r="D158" s="686"/>
      <c r="E158" s="407">
        <v>0</v>
      </c>
      <c r="F158" s="407" cm="1">
        <f t="array" ref="F158">IF(SUM('Operating Inputs'!$C$225:$C$235)=0,0,LOOKUP(F317,'Operating Inputs'!$B$225:$B$235,-'Operating Inputs'!$C$225:$C$235)/12)</f>
        <v>0</v>
      </c>
      <c r="G158" s="407" cm="1">
        <f t="array" ref="G158">IF(SUM('Operating Inputs'!$C$225:$C$235)=0,0,LOOKUP(G317,'Operating Inputs'!$B$225:$B$235,-'Operating Inputs'!$C$225:$C$235)/12)</f>
        <v>0</v>
      </c>
      <c r="H158" s="407" cm="1">
        <f t="array" ref="H158">IF(SUM('Operating Inputs'!$C$225:$C$235)=0,0,LOOKUP(H317,'Operating Inputs'!$B$225:$B$235,-'Operating Inputs'!$C$225:$C$235)/12)</f>
        <v>0</v>
      </c>
      <c r="I158" s="407" cm="1">
        <f t="array" ref="I158">IF(SUM('Operating Inputs'!$C$225:$C$235)=0,0,LOOKUP(I317,'Operating Inputs'!$B$225:$B$235,-'Operating Inputs'!$C$225:$C$235)/12)</f>
        <v>0</v>
      </c>
      <c r="J158" s="407" cm="1">
        <f t="array" ref="J158">IF(SUM('Operating Inputs'!$C$225:$C$235)=0,0,LOOKUP(J317,'Operating Inputs'!$B$225:$B$235,-'Operating Inputs'!$C$225:$C$235)/12)</f>
        <v>0</v>
      </c>
      <c r="K158" s="407" cm="1">
        <f t="array" ref="K158">IF(SUM('Operating Inputs'!$C$225:$C$235)=0,0,LOOKUP(K317,'Operating Inputs'!$B$225:$B$235,-'Operating Inputs'!$C$225:$C$235)/12)</f>
        <v>0</v>
      </c>
      <c r="L158" s="407" cm="1">
        <f t="array" ref="L158">IF(SUM('Operating Inputs'!$C$225:$C$235)=0,0,LOOKUP(L317,'Operating Inputs'!$B$225:$B$235,-'Operating Inputs'!$C$225:$C$235)/12)</f>
        <v>0</v>
      </c>
      <c r="M158" s="407" cm="1">
        <f t="array" ref="M158">IF(SUM('Operating Inputs'!$C$225:$C$235)=0,0,LOOKUP(M317,'Operating Inputs'!$B$225:$B$235,-'Operating Inputs'!$C$225:$C$235)/12)</f>
        <v>0</v>
      </c>
      <c r="N158" s="407" cm="1">
        <f t="array" ref="N158">IF(SUM('Operating Inputs'!$C$225:$C$235)=0,0,LOOKUP(N317,'Operating Inputs'!$B$225:$B$235,-'Operating Inputs'!$C$225:$C$235)/12)</f>
        <v>0</v>
      </c>
      <c r="O158" s="407" cm="1">
        <f t="array" ref="O158">IF(SUM('Operating Inputs'!$C$225:$C$235)=0,0,LOOKUP(O317,'Operating Inputs'!$B$225:$B$235,-'Operating Inputs'!$C$225:$C$235)/12)</f>
        <v>0</v>
      </c>
      <c r="P158" s="407" cm="1">
        <f t="array" ref="P158">IF(SUM('Operating Inputs'!$C$225:$C$235)=0,0,LOOKUP(P317,'Operating Inputs'!$B$225:$B$235,-'Operating Inputs'!$C$225:$C$235)/12)</f>
        <v>0</v>
      </c>
      <c r="Q158" s="407" cm="1">
        <f t="array" ref="Q158">IF(SUM('Operating Inputs'!$C$225:$C$235)=0,0,LOOKUP(Q317,'Operating Inputs'!$B$225:$B$235,-'Operating Inputs'!$C$225:$C$235)/12)</f>
        <v>0</v>
      </c>
      <c r="R158" s="407" cm="1">
        <f t="array" ref="R158">IF(SUM('Operating Inputs'!$C$225:$C$235)=0,0,LOOKUP(R317,'Operating Inputs'!$B$225:$B$235,-'Operating Inputs'!$C$225:$C$235)/12)</f>
        <v>0</v>
      </c>
      <c r="S158" s="407" cm="1">
        <f t="array" ref="S158">IF(SUM('Operating Inputs'!$C$225:$C$235)=0,0,LOOKUP(S317,'Operating Inputs'!$B$225:$B$235,-'Operating Inputs'!$C$225:$C$235)/12)</f>
        <v>0</v>
      </c>
      <c r="T158" s="407" cm="1">
        <f t="array" ref="T158">IF(SUM('Operating Inputs'!$C$225:$C$235)=0,0,LOOKUP(T317,'Operating Inputs'!$B$225:$B$235,-'Operating Inputs'!$C$225:$C$235)/12)</f>
        <v>0</v>
      </c>
      <c r="U158" s="407" cm="1">
        <f t="array" ref="U158">IF(SUM('Operating Inputs'!$C$225:$C$235)=0,0,LOOKUP(U317,'Operating Inputs'!$B$225:$B$235,-'Operating Inputs'!$C$225:$C$235)/12)</f>
        <v>0</v>
      </c>
      <c r="V158" s="407" cm="1">
        <f t="array" ref="V158">IF(SUM('Operating Inputs'!$C$225:$C$235)=0,0,LOOKUP(V317,'Operating Inputs'!$B$225:$B$235,-'Operating Inputs'!$C$225:$C$235)/12)</f>
        <v>0</v>
      </c>
      <c r="W158" s="407" cm="1">
        <f t="array" ref="W158">IF(SUM('Operating Inputs'!$C$225:$C$235)=0,0,LOOKUP(W317,'Operating Inputs'!$B$225:$B$235,-'Operating Inputs'!$C$225:$C$235)/12)</f>
        <v>0</v>
      </c>
      <c r="X158" s="407" cm="1">
        <f t="array" ref="X158">IF(SUM('Operating Inputs'!$C$225:$C$235)=0,0,LOOKUP(X317,'Operating Inputs'!$B$225:$B$235,-'Operating Inputs'!$C$225:$C$235)/12)</f>
        <v>0</v>
      </c>
      <c r="Y158" s="407" cm="1">
        <f t="array" ref="Y158">IF(SUM('Operating Inputs'!$C$225:$C$235)=0,0,LOOKUP(Y317,'Operating Inputs'!$B$225:$B$235,-'Operating Inputs'!$C$225:$C$235)/12)</f>
        <v>0</v>
      </c>
      <c r="Z158" s="407" cm="1">
        <f t="array" ref="Z158">IF(SUM('Operating Inputs'!$C$225:$C$235)=0,0,LOOKUP(Z317,'Operating Inputs'!$B$225:$B$235,-'Operating Inputs'!$C$225:$C$235)/12)</f>
        <v>0</v>
      </c>
      <c r="AA158" s="407" cm="1">
        <f t="array" ref="AA158">IF(SUM('Operating Inputs'!$C$225:$C$235)=0,0,LOOKUP(AA317,'Operating Inputs'!$B$225:$B$235,-'Operating Inputs'!$C$225:$C$235)/12)</f>
        <v>0</v>
      </c>
      <c r="AB158" s="407" cm="1">
        <f t="array" ref="AB158">IF(SUM('Operating Inputs'!$C$225:$C$235)=0,0,LOOKUP(AB317,'Operating Inputs'!$B$225:$B$235,-'Operating Inputs'!$C$225:$C$235)/12)</f>
        <v>0</v>
      </c>
      <c r="AC158" s="407" cm="1">
        <f t="array" ref="AC158">IF(SUM('Operating Inputs'!$C$225:$C$235)=0,0,LOOKUP(AC317,'Operating Inputs'!$B$225:$B$235,-'Operating Inputs'!$C$225:$C$235)/12)</f>
        <v>0</v>
      </c>
      <c r="AD158" s="407" cm="1">
        <f t="array" ref="AD158">IF(SUM('Operating Inputs'!$C$225:$C$235)=0,0,LOOKUP(AD317,'Operating Inputs'!$B$225:$B$235,-'Operating Inputs'!$C$225:$C$235)/12)</f>
        <v>0</v>
      </c>
      <c r="AE158" s="407" cm="1">
        <f t="array" ref="AE158">IF(SUM('Operating Inputs'!$C$225:$C$235)=0,0,LOOKUP(AE317,'Operating Inputs'!$B$225:$B$235,-'Operating Inputs'!$C$225:$C$235)/12)</f>
        <v>0</v>
      </c>
      <c r="AF158" s="407" cm="1">
        <f t="array" ref="AF158">IF(SUM('Operating Inputs'!$C$225:$C$235)=0,0,LOOKUP(AF317,'Operating Inputs'!$B$225:$B$235,-'Operating Inputs'!$C$225:$C$235)/12)</f>
        <v>0</v>
      </c>
      <c r="AG158" s="407" cm="1">
        <f t="array" ref="AG158">IF(SUM('Operating Inputs'!$C$225:$C$235)=0,0,LOOKUP(AG317,'Operating Inputs'!$B$225:$B$235,-'Operating Inputs'!$C$225:$C$235)/12)</f>
        <v>0</v>
      </c>
      <c r="AH158" s="407" cm="1">
        <f t="array" ref="AH158">IF(SUM('Operating Inputs'!$C$225:$C$235)=0,0,LOOKUP(AH317,'Operating Inputs'!$B$225:$B$235,-'Operating Inputs'!$C$225:$C$235)/12)</f>
        <v>0</v>
      </c>
      <c r="AI158" s="407" cm="1">
        <f t="array" ref="AI158">IF(SUM('Operating Inputs'!$C$225:$C$235)=0,0,LOOKUP(AI317,'Operating Inputs'!$B$225:$B$235,-'Operating Inputs'!$C$225:$C$235)/12)</f>
        <v>0</v>
      </c>
      <c r="AJ158" s="407" cm="1">
        <f t="array" ref="AJ158">IF(SUM('Operating Inputs'!$C$225:$C$235)=0,0,LOOKUP(AJ317,'Operating Inputs'!$B$225:$B$235,-'Operating Inputs'!$C$225:$C$235)/12)</f>
        <v>0</v>
      </c>
      <c r="AK158" s="407" cm="1">
        <f t="array" ref="AK158">IF(SUM('Operating Inputs'!$C$225:$C$235)=0,0,LOOKUP(AK317,'Operating Inputs'!$B$225:$B$235,-'Operating Inputs'!$C$225:$C$235)/12)</f>
        <v>0</v>
      </c>
      <c r="AL158" s="407" cm="1">
        <f t="array" ref="AL158">IF(SUM('Operating Inputs'!$C$225:$C$235)=0,0,LOOKUP(AL317,'Operating Inputs'!$B$225:$B$235,-'Operating Inputs'!$C$225:$C$235)/12)</f>
        <v>0</v>
      </c>
      <c r="AM158" s="407" cm="1">
        <f t="array" ref="AM158">IF(SUM('Operating Inputs'!$C$225:$C$235)=0,0,LOOKUP(AM317,'Operating Inputs'!$B$225:$B$235,-'Operating Inputs'!$C$225:$C$235)/12)</f>
        <v>0</v>
      </c>
      <c r="AN158" s="407" cm="1">
        <f t="array" ref="AN158">IF(SUM('Operating Inputs'!$C$225:$C$235)=0,0,LOOKUP(AN317,'Operating Inputs'!$B$225:$B$235,-'Operating Inputs'!$C$225:$C$235)/12)</f>
        <v>0</v>
      </c>
      <c r="AO158" s="407" cm="1">
        <f t="array" ref="AO158">IF(SUM('Operating Inputs'!$C$225:$C$235)=0,0,LOOKUP(AO317,'Operating Inputs'!$B$225:$B$235,-'Operating Inputs'!$C$225:$C$235)/12)</f>
        <v>0</v>
      </c>
      <c r="AP158" s="407" cm="1">
        <f t="array" ref="AP158">IF(SUM('Operating Inputs'!$C$225:$C$235)=0,0,LOOKUP(AP317,'Operating Inputs'!$B$225:$B$235,-'Operating Inputs'!$C$225:$C$235)/12)</f>
        <v>0</v>
      </c>
      <c r="AQ158" s="407" cm="1">
        <f t="array" ref="AQ158">IF(SUM('Operating Inputs'!$C$225:$C$235)=0,0,LOOKUP(AQ317,'Operating Inputs'!$B$225:$B$235,-'Operating Inputs'!$C$225:$C$235)/12)</f>
        <v>0</v>
      </c>
      <c r="AR158" s="407" cm="1">
        <f t="array" ref="AR158">IF(SUM('Operating Inputs'!$C$225:$C$235)=0,0,LOOKUP(AR317,'Operating Inputs'!$B$225:$B$235,-'Operating Inputs'!$C$225:$C$235)/12)</f>
        <v>0</v>
      </c>
      <c r="AS158" s="407" cm="1">
        <f t="array" ref="AS158">IF(SUM('Operating Inputs'!$C$225:$C$235)=0,0,LOOKUP(AS317,'Operating Inputs'!$B$225:$B$235,-'Operating Inputs'!$C$225:$C$235)/12)</f>
        <v>0</v>
      </c>
      <c r="AT158" s="407" cm="1">
        <f t="array" ref="AT158">IF(SUM('Operating Inputs'!$C$225:$C$235)=0,0,LOOKUP(AT317,'Operating Inputs'!$B$225:$B$235,-'Operating Inputs'!$C$225:$C$235)/12)</f>
        <v>0</v>
      </c>
      <c r="AU158" s="407" cm="1">
        <f t="array" ref="AU158">IF(SUM('Operating Inputs'!$C$225:$C$235)=0,0,LOOKUP(AU317,'Operating Inputs'!$B$225:$B$235,-'Operating Inputs'!$C$225:$C$235)/12)</f>
        <v>0</v>
      </c>
      <c r="AV158" s="407" cm="1">
        <f t="array" ref="AV158">IF(SUM('Operating Inputs'!$C$225:$C$235)=0,0,LOOKUP(AV317,'Operating Inputs'!$B$225:$B$235,-'Operating Inputs'!$C$225:$C$235)/12)</f>
        <v>0</v>
      </c>
      <c r="AW158" s="407" cm="1">
        <f t="array" ref="AW158">IF(SUM('Operating Inputs'!$C$225:$C$235)=0,0,LOOKUP(AW317,'Operating Inputs'!$B$225:$B$235,-'Operating Inputs'!$C$225:$C$235)/12)</f>
        <v>0</v>
      </c>
      <c r="AX158" s="407" cm="1">
        <f t="array" ref="AX158">IF(SUM('Operating Inputs'!$C$225:$C$235)=0,0,LOOKUP(AX317,'Operating Inputs'!$B$225:$B$235,-'Operating Inputs'!$C$225:$C$235)/12)</f>
        <v>0</v>
      </c>
      <c r="AY158" s="407" cm="1">
        <f t="array" ref="AY158">IF(SUM('Operating Inputs'!$C$225:$C$235)=0,0,LOOKUP(AY317,'Operating Inputs'!$B$225:$B$235,-'Operating Inputs'!$C$225:$C$235)/12)</f>
        <v>0</v>
      </c>
      <c r="AZ158" s="407" cm="1">
        <f t="array" ref="AZ158">IF(SUM('Operating Inputs'!$C$225:$C$235)=0,0,LOOKUP(AZ317,'Operating Inputs'!$B$225:$B$235,-'Operating Inputs'!$C$225:$C$235)/12)</f>
        <v>0</v>
      </c>
      <c r="BA158" s="407" cm="1">
        <f t="array" ref="BA158">IF(SUM('Operating Inputs'!$C$225:$C$235)=0,0,LOOKUP(BA317,'Operating Inputs'!$B$225:$B$235,-'Operating Inputs'!$C$225:$C$235)/12)</f>
        <v>0</v>
      </c>
      <c r="BB158" s="407" cm="1">
        <f t="array" ref="BB158">IF(SUM('Operating Inputs'!$C$225:$C$235)=0,0,LOOKUP(BB317,'Operating Inputs'!$B$225:$B$235,-'Operating Inputs'!$C$225:$C$235)/12)</f>
        <v>0</v>
      </c>
      <c r="BC158" s="407" cm="1">
        <f t="array" ref="BC158">IF(SUM('Operating Inputs'!$C$225:$C$235)=0,0,LOOKUP(BC317,'Operating Inputs'!$B$225:$B$235,-'Operating Inputs'!$C$225:$C$235)/12)</f>
        <v>0</v>
      </c>
      <c r="BD158" s="407" cm="1">
        <f t="array" ref="BD158">IF(SUM('Operating Inputs'!$C$225:$C$235)=0,0,LOOKUP(BD317,'Operating Inputs'!$B$225:$B$235,-'Operating Inputs'!$C$225:$C$235)/12)</f>
        <v>0</v>
      </c>
      <c r="BE158" s="407" cm="1">
        <f t="array" ref="BE158">IF(SUM('Operating Inputs'!$C$225:$C$235)=0,0,LOOKUP(BE317,'Operating Inputs'!$B$225:$B$235,-'Operating Inputs'!$C$225:$C$235)/12)</f>
        <v>0</v>
      </c>
      <c r="BF158" s="407" cm="1">
        <f t="array" ref="BF158">IF(SUM('Operating Inputs'!$C$225:$C$235)=0,0,LOOKUP(BF317,'Operating Inputs'!$B$225:$B$235,-'Operating Inputs'!$C$225:$C$235)/12)</f>
        <v>0</v>
      </c>
      <c r="BG158" s="407" cm="1">
        <f t="array" ref="BG158">IF(SUM('Operating Inputs'!$C$225:$C$235)=0,0,LOOKUP(BG317,'Operating Inputs'!$B$225:$B$235,-'Operating Inputs'!$C$225:$C$235)/12)</f>
        <v>0</v>
      </c>
      <c r="BH158" s="407" cm="1">
        <f t="array" ref="BH158">IF(SUM('Operating Inputs'!$C$225:$C$235)=0,0,LOOKUP(BH317,'Operating Inputs'!$B$225:$B$235,-'Operating Inputs'!$C$225:$C$235)/12)</f>
        <v>0</v>
      </c>
      <c r="BI158" s="407" cm="1">
        <f t="array" ref="BI158">IF(SUM('Operating Inputs'!$C$225:$C$235)=0,0,LOOKUP(BI317,'Operating Inputs'!$B$225:$B$235,-'Operating Inputs'!$C$225:$C$235)/12)</f>
        <v>0</v>
      </c>
      <c r="BJ158" s="407" cm="1">
        <f t="array" ref="BJ158">IF(SUM('Operating Inputs'!$C$225:$C$235)=0,0,LOOKUP(BJ317,'Operating Inputs'!$B$225:$B$235,-'Operating Inputs'!$C$225:$C$235)/12)</f>
        <v>0</v>
      </c>
      <c r="BK158" s="407" cm="1">
        <f t="array" ref="BK158">IF(SUM('Operating Inputs'!$C$225:$C$235)=0,0,LOOKUP(BK317,'Operating Inputs'!$B$225:$B$235,-'Operating Inputs'!$C$225:$C$235)/12)</f>
        <v>0</v>
      </c>
      <c r="BL158" s="407" cm="1">
        <f t="array" ref="BL158">IF(SUM('Operating Inputs'!$C$225:$C$235)=0,0,LOOKUP(BL317,'Operating Inputs'!$B$225:$B$235,-'Operating Inputs'!$C$225:$C$235)/12)</f>
        <v>0</v>
      </c>
      <c r="BM158" s="407" cm="1">
        <f t="array" ref="BM158">IF(SUM('Operating Inputs'!$C$225:$C$235)=0,0,LOOKUP(BM317,'Operating Inputs'!$B$225:$B$235,-'Operating Inputs'!$C$225:$C$235)/12)</f>
        <v>0</v>
      </c>
      <c r="BN158" s="407" cm="1">
        <f t="array" ref="BN158">IF(SUM('Operating Inputs'!$C$225:$C$235)=0,0,LOOKUP(BN317,'Operating Inputs'!$B$225:$B$235,-'Operating Inputs'!$C$225:$C$235)/12)</f>
        <v>0</v>
      </c>
      <c r="BO158" s="407" cm="1">
        <f t="array" ref="BO158">IF(SUM('Operating Inputs'!$C$225:$C$235)=0,0,LOOKUP(BO317,'Operating Inputs'!$B$225:$B$235,-'Operating Inputs'!$C$225:$C$235)/12)</f>
        <v>0</v>
      </c>
      <c r="BP158" s="407" cm="1">
        <f t="array" ref="BP158">IF(SUM('Operating Inputs'!$C$225:$C$235)=0,0,LOOKUP(BP317,'Operating Inputs'!$B$225:$B$235,-'Operating Inputs'!$C$225:$C$235)/12)</f>
        <v>0</v>
      </c>
      <c r="BQ158" s="407" cm="1">
        <f t="array" ref="BQ158">IF(SUM('Operating Inputs'!$C$225:$C$235)=0,0,LOOKUP(BQ317,'Operating Inputs'!$B$225:$B$235,-'Operating Inputs'!$C$225:$C$235)/12)</f>
        <v>0</v>
      </c>
      <c r="BR158" s="407" cm="1">
        <f t="array" ref="BR158">IF(SUM('Operating Inputs'!$C$225:$C$235)=0,0,LOOKUP(BR317,'Operating Inputs'!$B$225:$B$235,-'Operating Inputs'!$C$225:$C$235)/12)</f>
        <v>0</v>
      </c>
      <c r="BS158" s="407" cm="1">
        <f t="array" ref="BS158">IF(SUM('Operating Inputs'!$C$225:$C$235)=0,0,LOOKUP(BS317,'Operating Inputs'!$B$225:$B$235,-'Operating Inputs'!$C$225:$C$235)/12)</f>
        <v>0</v>
      </c>
      <c r="BT158" s="407" cm="1">
        <f t="array" ref="BT158">IF(SUM('Operating Inputs'!$C$225:$C$235)=0,0,LOOKUP(BT317,'Operating Inputs'!$B$225:$B$235,-'Operating Inputs'!$C$225:$C$235)/12)</f>
        <v>0</v>
      </c>
      <c r="BU158" s="407" cm="1">
        <f t="array" ref="BU158">IF(SUM('Operating Inputs'!$C$225:$C$235)=0,0,LOOKUP(BU317,'Operating Inputs'!$B$225:$B$235,-'Operating Inputs'!$C$225:$C$235)/12)</f>
        <v>0</v>
      </c>
      <c r="BV158" s="407" cm="1">
        <f t="array" ref="BV158">IF(SUM('Operating Inputs'!$C$225:$C$235)=0,0,LOOKUP(BV317,'Operating Inputs'!$B$225:$B$235,-'Operating Inputs'!$C$225:$C$235)/12)</f>
        <v>0</v>
      </c>
      <c r="BW158" s="407" cm="1">
        <f t="array" ref="BW158">IF(SUM('Operating Inputs'!$C$225:$C$235)=0,0,LOOKUP(BW317,'Operating Inputs'!$B$225:$B$235,-'Operating Inputs'!$C$225:$C$235)/12)</f>
        <v>0</v>
      </c>
      <c r="BX158" s="407" cm="1">
        <f t="array" ref="BX158">IF(SUM('Operating Inputs'!$C$225:$C$235)=0,0,LOOKUP(BX317,'Operating Inputs'!$B$225:$B$235,-'Operating Inputs'!$C$225:$C$235)/12)</f>
        <v>0</v>
      </c>
      <c r="BY158" s="407" cm="1">
        <f t="array" ref="BY158">IF(SUM('Operating Inputs'!$C$225:$C$235)=0,0,LOOKUP(BY317,'Operating Inputs'!$B$225:$B$235,-'Operating Inputs'!$C$225:$C$235)/12)</f>
        <v>0</v>
      </c>
      <c r="BZ158" s="407" cm="1">
        <f t="array" ref="BZ158">IF(SUM('Operating Inputs'!$C$225:$C$235)=0,0,LOOKUP(BZ317,'Operating Inputs'!$B$225:$B$235,-'Operating Inputs'!$C$225:$C$235)/12)</f>
        <v>0</v>
      </c>
      <c r="CA158" s="407" cm="1">
        <f t="array" ref="CA158">IF(SUM('Operating Inputs'!$C$225:$C$235)=0,0,LOOKUP(CA317,'Operating Inputs'!$B$225:$B$235,-'Operating Inputs'!$C$225:$C$235)/12)</f>
        <v>0</v>
      </c>
      <c r="CB158" s="407" cm="1">
        <f t="array" ref="CB158">IF(SUM('Operating Inputs'!$C$225:$C$235)=0,0,LOOKUP(CB317,'Operating Inputs'!$B$225:$B$235,-'Operating Inputs'!$C$225:$C$235)/12)</f>
        <v>0</v>
      </c>
      <c r="CC158" s="407" cm="1">
        <f t="array" ref="CC158">IF(SUM('Operating Inputs'!$C$225:$C$235)=0,0,LOOKUP(CC317,'Operating Inputs'!$B$225:$B$235,-'Operating Inputs'!$C$225:$C$235)/12)</f>
        <v>0</v>
      </c>
      <c r="CD158" s="407" cm="1">
        <f t="array" ref="CD158">IF(SUM('Operating Inputs'!$C$225:$C$235)=0,0,LOOKUP(CD317,'Operating Inputs'!$B$225:$B$235,-'Operating Inputs'!$C$225:$C$235)/12)</f>
        <v>0</v>
      </c>
      <c r="CE158" s="407" cm="1">
        <f t="array" ref="CE158">IF(SUM('Operating Inputs'!$C$225:$C$235)=0,0,LOOKUP(CE317,'Operating Inputs'!$B$225:$B$235,-'Operating Inputs'!$C$225:$C$235)/12)</f>
        <v>0</v>
      </c>
      <c r="CF158" s="407" cm="1">
        <f t="array" ref="CF158">IF(SUM('Operating Inputs'!$C$225:$C$235)=0,0,LOOKUP(CF317,'Operating Inputs'!$B$225:$B$235,-'Operating Inputs'!$C$225:$C$235)/12)</f>
        <v>0</v>
      </c>
      <c r="CG158" s="407" cm="1">
        <f t="array" ref="CG158">IF(SUM('Operating Inputs'!$C$225:$C$235)=0,0,LOOKUP(CG317,'Operating Inputs'!$B$225:$B$235,-'Operating Inputs'!$C$225:$C$235)/12)</f>
        <v>0</v>
      </c>
      <c r="CH158" s="407" cm="1">
        <f t="array" ref="CH158">IF(SUM('Operating Inputs'!$C$225:$C$235)=0,0,LOOKUP(CH317,'Operating Inputs'!$B$225:$B$235,-'Operating Inputs'!$C$225:$C$235)/12)</f>
        <v>0</v>
      </c>
      <c r="CI158" s="407" cm="1">
        <f t="array" ref="CI158">IF(SUM('Operating Inputs'!$C$225:$C$235)=0,0,LOOKUP(CI317,'Operating Inputs'!$B$225:$B$235,-'Operating Inputs'!$C$225:$C$235)/12)</f>
        <v>0</v>
      </c>
      <c r="CJ158" s="407" cm="1">
        <f t="array" ref="CJ158">IF(SUM('Operating Inputs'!$C$225:$C$235)=0,0,LOOKUP(CJ317,'Operating Inputs'!$B$225:$B$235,-'Operating Inputs'!$C$225:$C$235)/12)</f>
        <v>0</v>
      </c>
      <c r="CK158" s="407" cm="1">
        <f t="array" ref="CK158">IF(SUM('Operating Inputs'!$C$225:$C$235)=0,0,LOOKUP(CK317,'Operating Inputs'!$B$225:$B$235,-'Operating Inputs'!$C$225:$C$235)/12)</f>
        <v>0</v>
      </c>
      <c r="CL158" s="407" cm="1">
        <f t="array" ref="CL158">IF(SUM('Operating Inputs'!$C$225:$C$235)=0,0,LOOKUP(CL317,'Operating Inputs'!$B$225:$B$235,-'Operating Inputs'!$C$225:$C$235)/12)</f>
        <v>0</v>
      </c>
      <c r="CM158" s="407" cm="1">
        <f t="array" ref="CM158">IF(SUM('Operating Inputs'!$C$225:$C$235)=0,0,LOOKUP(CM317,'Operating Inputs'!$B$225:$B$235,-'Operating Inputs'!$C$225:$C$235)/12)</f>
        <v>0</v>
      </c>
      <c r="CN158" s="407" cm="1">
        <f t="array" ref="CN158">IF(SUM('Operating Inputs'!$C$225:$C$235)=0,0,LOOKUP(CN317,'Operating Inputs'!$B$225:$B$235,-'Operating Inputs'!$C$225:$C$235)/12)</f>
        <v>0</v>
      </c>
      <c r="CO158" s="407" cm="1">
        <f t="array" ref="CO158">IF(SUM('Operating Inputs'!$C$225:$C$235)=0,0,LOOKUP(CO317,'Operating Inputs'!$B$225:$B$235,-'Operating Inputs'!$C$225:$C$235)/12)</f>
        <v>0</v>
      </c>
      <c r="CP158" s="407" cm="1">
        <f t="array" ref="CP158">IF(SUM('Operating Inputs'!$C$225:$C$235)=0,0,LOOKUP(CP317,'Operating Inputs'!$B$225:$B$235,-'Operating Inputs'!$C$225:$C$235)/12)</f>
        <v>0</v>
      </c>
      <c r="CQ158" s="407" cm="1">
        <f t="array" ref="CQ158">IF(SUM('Operating Inputs'!$C$225:$C$235)=0,0,LOOKUP(CQ317,'Operating Inputs'!$B$225:$B$235,-'Operating Inputs'!$C$225:$C$235)/12)</f>
        <v>0</v>
      </c>
      <c r="CR158" s="407" cm="1">
        <f t="array" ref="CR158">IF(SUM('Operating Inputs'!$C$225:$C$235)=0,0,LOOKUP(CR317,'Operating Inputs'!$B$225:$B$235,-'Operating Inputs'!$C$225:$C$235)/12)</f>
        <v>0</v>
      </c>
      <c r="CS158" s="407" cm="1">
        <f t="array" ref="CS158">IF(SUM('Operating Inputs'!$C$225:$C$235)=0,0,LOOKUP(CS317,'Operating Inputs'!$B$225:$B$235,-'Operating Inputs'!$C$225:$C$235)/12)</f>
        <v>0</v>
      </c>
      <c r="CT158" s="407" cm="1">
        <f t="array" ref="CT158">IF(SUM('Operating Inputs'!$C$225:$C$235)=0,0,LOOKUP(CT317,'Operating Inputs'!$B$225:$B$235,-'Operating Inputs'!$C$225:$C$235)/12)</f>
        <v>0</v>
      </c>
      <c r="CU158" s="407" cm="1">
        <f t="array" ref="CU158">IF(SUM('Operating Inputs'!$C$225:$C$235)=0,0,LOOKUP(CU317,'Operating Inputs'!$B$225:$B$235,-'Operating Inputs'!$C$225:$C$235)/12)</f>
        <v>0</v>
      </c>
      <c r="CV158" s="407" cm="1">
        <f t="array" ref="CV158">IF(SUM('Operating Inputs'!$C$225:$C$235)=0,0,LOOKUP(CV317,'Operating Inputs'!$B$225:$B$235,-'Operating Inputs'!$C$225:$C$235)/12)</f>
        <v>0</v>
      </c>
      <c r="CW158" s="407" cm="1">
        <f t="array" ref="CW158">IF(SUM('Operating Inputs'!$C$225:$C$235)=0,0,LOOKUP(CW317,'Operating Inputs'!$B$225:$B$235,-'Operating Inputs'!$C$225:$C$235)/12)</f>
        <v>0</v>
      </c>
      <c r="CX158" s="407" cm="1">
        <f t="array" ref="CX158">IF(SUM('Operating Inputs'!$C$225:$C$235)=0,0,LOOKUP(CX317,'Operating Inputs'!$B$225:$B$235,-'Operating Inputs'!$C$225:$C$235)/12)</f>
        <v>0</v>
      </c>
      <c r="CY158" s="407" cm="1">
        <f t="array" ref="CY158">IF(SUM('Operating Inputs'!$C$225:$C$235)=0,0,LOOKUP(CY317,'Operating Inputs'!$B$225:$B$235,-'Operating Inputs'!$C$225:$C$235)/12)</f>
        <v>0</v>
      </c>
      <c r="CZ158" s="407" cm="1">
        <f t="array" ref="CZ158">IF(SUM('Operating Inputs'!$C$225:$C$235)=0,0,LOOKUP(CZ317,'Operating Inputs'!$B$225:$B$235,-'Operating Inputs'!$C$225:$C$235)/12)</f>
        <v>0</v>
      </c>
      <c r="DA158" s="407" cm="1">
        <f t="array" ref="DA158">IF(SUM('Operating Inputs'!$C$225:$C$235)=0,0,LOOKUP(DA317,'Operating Inputs'!$B$225:$B$235,-'Operating Inputs'!$C$225:$C$235)/12)</f>
        <v>0</v>
      </c>
      <c r="DB158" s="407" cm="1">
        <f t="array" ref="DB158">IF(SUM('Operating Inputs'!$C$225:$C$235)=0,0,LOOKUP(DB317,'Operating Inputs'!$B$225:$B$235,-'Operating Inputs'!$C$225:$C$235)/12)</f>
        <v>0</v>
      </c>
      <c r="DC158" s="407" cm="1">
        <f t="array" ref="DC158">IF(SUM('Operating Inputs'!$C$225:$C$235)=0,0,LOOKUP(DC317,'Operating Inputs'!$B$225:$B$235,-'Operating Inputs'!$C$225:$C$235)/12)</f>
        <v>0</v>
      </c>
      <c r="DD158" s="407" cm="1">
        <f t="array" ref="DD158">IF(SUM('Operating Inputs'!$C$225:$C$235)=0,0,LOOKUP(DD317,'Operating Inputs'!$B$225:$B$235,-'Operating Inputs'!$C$225:$C$235)/12)</f>
        <v>0</v>
      </c>
      <c r="DE158" s="407" cm="1">
        <f t="array" ref="DE158">IF(SUM('Operating Inputs'!$C$225:$C$235)=0,0,LOOKUP(DE317,'Operating Inputs'!$B$225:$B$235,-'Operating Inputs'!$C$225:$C$235)/12)</f>
        <v>0</v>
      </c>
      <c r="DF158" s="407" cm="1">
        <f t="array" ref="DF158">IF(SUM('Operating Inputs'!$C$225:$C$235)=0,0,LOOKUP(DF317,'Operating Inputs'!$B$225:$B$235,-'Operating Inputs'!$C$225:$C$235)/12)</f>
        <v>0</v>
      </c>
      <c r="DG158" s="407" cm="1">
        <f t="array" ref="DG158">IF(SUM('Operating Inputs'!$C$225:$C$235)=0,0,LOOKUP(DG317,'Operating Inputs'!$B$225:$B$235,-'Operating Inputs'!$C$225:$C$235)/12)</f>
        <v>0</v>
      </c>
      <c r="DH158" s="407" cm="1">
        <f t="array" ref="DH158">IF(SUM('Operating Inputs'!$C$225:$C$235)=0,0,LOOKUP(DH317,'Operating Inputs'!$B$225:$B$235,-'Operating Inputs'!$C$225:$C$235)/12)</f>
        <v>0</v>
      </c>
      <c r="DI158" s="407" cm="1">
        <f t="array" ref="DI158">IF(SUM('Operating Inputs'!$C$225:$C$235)=0,0,LOOKUP(DI317,'Operating Inputs'!$B$225:$B$235,-'Operating Inputs'!$C$225:$C$235)/12)</f>
        <v>0</v>
      </c>
      <c r="DJ158" s="407" cm="1">
        <f t="array" ref="DJ158">IF(SUM('Operating Inputs'!$C$225:$C$235)=0,0,LOOKUP(DJ317,'Operating Inputs'!$B$225:$B$235,-'Operating Inputs'!$C$225:$C$235)/12)</f>
        <v>0</v>
      </c>
      <c r="DK158" s="407" cm="1">
        <f t="array" ref="DK158">IF(SUM('Operating Inputs'!$C$225:$C$235)=0,0,LOOKUP(DK317,'Operating Inputs'!$B$225:$B$235,-'Operating Inputs'!$C$225:$C$235)/12)</f>
        <v>0</v>
      </c>
      <c r="DL158" s="407" cm="1">
        <f t="array" ref="DL158">IF(SUM('Operating Inputs'!$C$225:$C$235)=0,0,LOOKUP(DL317,'Operating Inputs'!$B$225:$B$235,-'Operating Inputs'!$C$225:$C$235)/12)</f>
        <v>0</v>
      </c>
      <c r="DM158" s="407" cm="1">
        <f t="array" ref="DM158">IF(SUM('Operating Inputs'!$C$225:$C$235)=0,0,LOOKUP(DM317,'Operating Inputs'!$B$225:$B$235,-'Operating Inputs'!$C$225:$C$235)/12)</f>
        <v>0</v>
      </c>
      <c r="DN158" s="407" cm="1">
        <f t="array" ref="DN158">IF(SUM('Operating Inputs'!$C$225:$C$235)=0,0,LOOKUP(DN317,'Operating Inputs'!$B$225:$B$235,-'Operating Inputs'!$C$225:$C$235)/12)</f>
        <v>0</v>
      </c>
      <c r="DO158" s="407" cm="1">
        <f t="array" ref="DO158">IF(SUM('Operating Inputs'!$C$225:$C$235)=0,0,LOOKUP(DO317,'Operating Inputs'!$B$225:$B$235,-'Operating Inputs'!$C$225:$C$235)/12)</f>
        <v>0</v>
      </c>
      <c r="DP158" s="407" cm="1">
        <f t="array" ref="DP158">IF(SUM('Operating Inputs'!$C$225:$C$235)=0,0,LOOKUP(DP317,'Operating Inputs'!$B$225:$B$235,-'Operating Inputs'!$C$225:$C$235)/12)</f>
        <v>0</v>
      </c>
      <c r="DQ158" s="407" cm="1">
        <f t="array" ref="DQ158">IF(SUM('Operating Inputs'!$C$225:$C$235)=0,0,LOOKUP(DQ317,'Operating Inputs'!$B$225:$B$235,-'Operating Inputs'!$C$225:$C$235)/12)</f>
        <v>0</v>
      </c>
      <c r="DR158" s="407" cm="1">
        <f t="array" ref="DR158">IF(SUM('Operating Inputs'!$C$225:$C$235)=0,0,LOOKUP(DR317,'Operating Inputs'!$B$225:$B$235,-'Operating Inputs'!$C$225:$C$235)/12)</f>
        <v>0</v>
      </c>
      <c r="DS158" s="407" cm="1">
        <f t="array" ref="DS158">IF(SUM('Operating Inputs'!$C$225:$C$235)=0,0,LOOKUP(DS317,'Operating Inputs'!$B$225:$B$235,-'Operating Inputs'!$C$225:$C$235)/12)</f>
        <v>0</v>
      </c>
      <c r="DT158" s="407" cm="1">
        <f t="array" ref="DT158">IF(SUM('Operating Inputs'!$C$225:$C$235)=0,0,LOOKUP(DT317,'Operating Inputs'!$B$225:$B$235,-'Operating Inputs'!$C$225:$C$235)/12)</f>
        <v>0</v>
      </c>
      <c r="DU158" s="407" cm="1">
        <f t="array" ref="DU158">IF(SUM('Operating Inputs'!$C$225:$C$235)=0,0,LOOKUP(DU317,'Operating Inputs'!$B$225:$B$235,-'Operating Inputs'!$C$225:$C$235)/12)</f>
        <v>0</v>
      </c>
      <c r="DV158" s="407" cm="1">
        <f t="array" ref="DV158">IF(SUM('Operating Inputs'!$C$225:$C$235)=0,0,LOOKUP(DV317,'Operating Inputs'!$B$225:$B$235,-'Operating Inputs'!$C$225:$C$235)/12)</f>
        <v>0</v>
      </c>
      <c r="DW158" s="407" cm="1">
        <f t="array" ref="DW158">IF(SUM('Operating Inputs'!$C$225:$C$235)=0,0,LOOKUP(DW317,'Operating Inputs'!$B$225:$B$235,-'Operating Inputs'!$C$225:$C$235)/12)</f>
        <v>0</v>
      </c>
      <c r="DX158" s="407" cm="1">
        <f t="array" ref="DX158">IF(SUM('Operating Inputs'!$C$225:$C$235)=0,0,LOOKUP(DX317,'Operating Inputs'!$B$225:$B$235,-'Operating Inputs'!$C$225:$C$235)/12)</f>
        <v>0</v>
      </c>
      <c r="DY158" s="407" cm="1">
        <f t="array" ref="DY158">IF(SUM('Operating Inputs'!$C$225:$C$235)=0,0,LOOKUP(DY317,'Operating Inputs'!$B$225:$B$235,-'Operating Inputs'!$C$225:$C$235)/12)</f>
        <v>0</v>
      </c>
      <c r="DZ158" s="407" cm="1">
        <f t="array" ref="DZ158">IF(SUM('Operating Inputs'!$C$225:$C$235)=0,0,LOOKUP(DZ317,'Operating Inputs'!$B$225:$B$235,-'Operating Inputs'!$C$225:$C$235)/12)</f>
        <v>0</v>
      </c>
      <c r="EA158" s="407" cm="1">
        <f t="array" ref="EA158">IF(SUM('Operating Inputs'!$C$225:$C$235)=0,0,LOOKUP(EA317,'Operating Inputs'!$B$225:$B$235,-'Operating Inputs'!$C$225:$C$235)/12)</f>
        <v>0</v>
      </c>
      <c r="EB158" s="407" cm="1">
        <f t="array" ref="EB158">IF(SUM('Operating Inputs'!$C$225:$C$235)=0,0,LOOKUP(EB317,'Operating Inputs'!$B$225:$B$235,-'Operating Inputs'!$C$225:$C$235)/12)</f>
        <v>0</v>
      </c>
      <c r="EC158" s="407" cm="1">
        <f t="array" ref="EC158">IF(SUM('Operating Inputs'!$C$225:$C$235)=0,0,LOOKUP(EC317,'Operating Inputs'!$B$225:$B$235,-'Operating Inputs'!$C$225:$C$235)/12)</f>
        <v>0</v>
      </c>
      <c r="ED158" s="407" cm="1">
        <f t="array" ref="ED158">IF(SUM('Operating Inputs'!$C$225:$C$235)=0,0,LOOKUP(ED317,'Operating Inputs'!$B$225:$B$235,-'Operating Inputs'!$C$225:$C$235)/12)</f>
        <v>0</v>
      </c>
      <c r="EE158" s="407" cm="1">
        <f t="array" ref="EE158">IF(SUM('Operating Inputs'!$C$225:$C$235)=0,0,LOOKUP(EE317,'Operating Inputs'!$B$225:$B$235,-'Operating Inputs'!$C$225:$C$235)/12)</f>
        <v>0</v>
      </c>
      <c r="EF158" s="407" cm="1">
        <f t="array" ref="EF158">IF(SUM('Operating Inputs'!$C$225:$C$235)=0,0,LOOKUP(EF317,'Operating Inputs'!$B$225:$B$235,-'Operating Inputs'!$C$225:$C$235)/12)</f>
        <v>0</v>
      </c>
      <c r="EG158" s="407" cm="1">
        <f t="array" ref="EG158">IF(SUM('Operating Inputs'!$C$225:$C$235)=0,0,LOOKUP(EG317,'Operating Inputs'!$B$225:$B$235,-'Operating Inputs'!$C$225:$C$235)/12)</f>
        <v>0</v>
      </c>
      <c r="EH158" s="644"/>
      <c r="EI158" s="280"/>
    </row>
    <row r="159" spans="1:139" s="229" customFormat="1" x14ac:dyDescent="0.3">
      <c r="A159" s="705" t="s">
        <v>2493</v>
      </c>
      <c r="B159" s="705"/>
      <c r="C159" s="709"/>
      <c r="D159" s="648"/>
      <c r="E159" s="705">
        <f>IF(AND(E$5&gt;0,E$6&gt;='General Inputs'!$C$51,E$6&lt;'General Inputs'!$C$48),-'General Inputs'!$C$50,IF(DevBdgt!E$7&gt;='General Inputs'!$C$48,-'General Inputs'!$C$47*SUM(D$48:$E48,D$67:$E67)/12,0))</f>
        <v>0</v>
      </c>
      <c r="F159" s="705">
        <f>IF(AND(F$5&gt;0,F$6&gt;='General Inputs'!$C$51,F$6&lt;'General Inputs'!$C$48),-'General Inputs'!$C$50,IF(DevBdgt!F$7&gt;='General Inputs'!$C$48,-'General Inputs'!$C$47*SUM(E$48:$E48,E$67:$E67)/12,0))</f>
        <v>0</v>
      </c>
      <c r="G159" s="705">
        <f>IF(AND(G$5&gt;0,G$6&gt;='General Inputs'!$C$51,G$6&lt;'General Inputs'!$C$48),-'General Inputs'!$C$50,IF(DevBdgt!G$7&gt;='General Inputs'!$C$48,-'General Inputs'!$C$47*SUM($E$48:F48,$E$67:F67)/12,0))</f>
        <v>0</v>
      </c>
      <c r="H159" s="705">
        <f>IF(AND(H$5&gt;0,H$6&gt;='General Inputs'!$C$51,H$6&lt;'General Inputs'!$C$48),-'General Inputs'!$C$50,IF(DevBdgt!H$7&gt;='General Inputs'!$C$48,-'General Inputs'!$C$47*SUM($E$48:G48,$E$67:G67)/12,0))</f>
        <v>0</v>
      </c>
      <c r="I159" s="705">
        <f>IF(AND(I$5&gt;0,I$6&gt;='General Inputs'!$C$51,I$6&lt;'General Inputs'!$C$48),-'General Inputs'!$C$50,IF(DevBdgt!I$7&gt;='General Inputs'!$C$48,-'General Inputs'!$C$47*SUM($E$48:H48,$E$67:H67)/12,0))</f>
        <v>0</v>
      </c>
      <c r="J159" s="705">
        <f>IF(AND(J$5&gt;0,J$6&gt;='General Inputs'!$C$51,J$6&lt;'General Inputs'!$C$48),-'General Inputs'!$C$50,IF(DevBdgt!J$7&gt;='General Inputs'!$C$48,-'General Inputs'!$C$47*SUM($E$48:I48,$E$67:I67)/12,0))</f>
        <v>0</v>
      </c>
      <c r="K159" s="705">
        <f>IF(AND(K$5&gt;0,K$6&gt;='General Inputs'!$C$51,K$6&lt;'General Inputs'!$C$48),-'General Inputs'!$C$50,IF(DevBdgt!K$7&gt;='General Inputs'!$C$48,-'General Inputs'!$C$47*SUM($E$48:J48,$E$67:J67)/12,0))</f>
        <v>0</v>
      </c>
      <c r="L159" s="705">
        <f>IF(AND(L$5&gt;0,L$6&gt;='General Inputs'!$C$51,L$6&lt;'General Inputs'!$C$48),-'General Inputs'!$C$50,IF(DevBdgt!L$7&gt;='General Inputs'!$C$48,-'General Inputs'!$C$47*SUM($E$48:K48,$E$67:K67)/12,0))</f>
        <v>0</v>
      </c>
      <c r="M159" s="705">
        <f>IF(AND(M$5&gt;0,M$6&gt;='General Inputs'!$C$51,M$6&lt;'General Inputs'!$C$48),-'General Inputs'!$C$50,IF(DevBdgt!M$7&gt;='General Inputs'!$C$48,-'General Inputs'!$C$47*SUM($E$48:L48,$E$67:L67)/12,0))</f>
        <v>0</v>
      </c>
      <c r="N159" s="705">
        <f>IF(AND(N$5&gt;0,N$6&gt;='General Inputs'!$C$51,N$6&lt;'General Inputs'!$C$48),-'General Inputs'!$C$50,IF(DevBdgt!N$7&gt;='General Inputs'!$C$48,-'General Inputs'!$C$47*SUM($E$48:M48,$E$67:M67)/12,0))</f>
        <v>0</v>
      </c>
      <c r="O159" s="705">
        <f>IF(AND(O$5&gt;0,O$6&gt;='General Inputs'!$C$51,O$6&lt;'General Inputs'!$C$48),-'General Inputs'!$C$50,IF(DevBdgt!O$7&gt;='General Inputs'!$C$48,-'General Inputs'!$C$47*SUM($E$48:N48,$E$67:N67)/12,0))</f>
        <v>0</v>
      </c>
      <c r="P159" s="705">
        <f>IF(AND(P$5&gt;0,P$6&gt;='General Inputs'!$C$51,P$6&lt;'General Inputs'!$C$48),-'General Inputs'!$C$50,IF(DevBdgt!P$7&gt;='General Inputs'!$C$48,-'General Inputs'!$C$47*SUM($E$48:O48,$E$67:O67)/12,0))</f>
        <v>0</v>
      </c>
      <c r="Q159" s="705">
        <f>IF(AND(Q$5&gt;0,Q$6&gt;='General Inputs'!$C$51,Q$6&lt;'General Inputs'!$C$48),-'General Inputs'!$C$50,IF(DevBdgt!Q$7&gt;='General Inputs'!$C$48,-'General Inputs'!$C$47*SUM($E$48:P48,$E$67:P67)/12,0))</f>
        <v>0</v>
      </c>
      <c r="R159" s="705">
        <f>IF(AND(R$5&gt;0,R$6&gt;='General Inputs'!$C$51,R$6&lt;'General Inputs'!$C$48),-'General Inputs'!$C$50,IF(DevBdgt!R$7&gt;='General Inputs'!$C$48,-'General Inputs'!$C$47*SUM($E$48:Q48,$E$67:Q67)/12,0))</f>
        <v>0</v>
      </c>
      <c r="S159" s="705">
        <f>IF(AND(S$5&gt;0,S$6&gt;='General Inputs'!$C$51,S$6&lt;'General Inputs'!$C$48),-'General Inputs'!$C$50,IF(DevBdgt!S$7&gt;='General Inputs'!$C$48,-'General Inputs'!$C$47*SUM($E$48:R48,$E$67:R67)/12,0))</f>
        <v>0</v>
      </c>
      <c r="T159" s="705">
        <f>IF(AND(T$5&gt;0,T$6&gt;='General Inputs'!$C$51,T$6&lt;'General Inputs'!$C$48),-'General Inputs'!$C$50,IF(DevBdgt!T$7&gt;='General Inputs'!$C$48,-'General Inputs'!$C$47*SUM($E$48:S48,$E$67:S67)/12,0))</f>
        <v>0</v>
      </c>
      <c r="U159" s="705">
        <f>IF(AND(U$5&gt;0,U$6&gt;='General Inputs'!$C$51,U$6&lt;'General Inputs'!$C$48),-'General Inputs'!$C$50,IF(DevBdgt!U$7&gt;='General Inputs'!$C$48,-'General Inputs'!$C$47*SUM($E$48:T48,$E$67:T67)/12,0))</f>
        <v>0</v>
      </c>
      <c r="V159" s="705">
        <f>IF(AND(V$5&gt;0,V$6&gt;='General Inputs'!$C$51,V$6&lt;'General Inputs'!$C$48),-'General Inputs'!$C$50,IF(DevBdgt!V$7&gt;='General Inputs'!$C$48,-'General Inputs'!$C$47*SUM($E$48:U48,$E$67:U67)/12,0))</f>
        <v>0</v>
      </c>
      <c r="W159" s="705">
        <f>IF(AND(W$5&gt;0,W$6&gt;='General Inputs'!$C$51,W$6&lt;'General Inputs'!$C$48),-'General Inputs'!$C$50,IF(DevBdgt!W$7&gt;='General Inputs'!$C$48,-'General Inputs'!$C$47*SUM($E$48:V48,$E$67:V67)/12,0))</f>
        <v>0</v>
      </c>
      <c r="X159" s="705">
        <f>IF(AND(X$5&gt;0,X$6&gt;='General Inputs'!$C$51,X$6&lt;'General Inputs'!$C$48),-'General Inputs'!$C$50,IF(DevBdgt!X$7&gt;='General Inputs'!$C$48,-'General Inputs'!$C$47*SUM($E$48:W48,$E$67:W67)/12,0))</f>
        <v>0</v>
      </c>
      <c r="Y159" s="705">
        <f>IF(AND(Y$5&gt;0,Y$6&gt;='General Inputs'!$C$51,Y$6&lt;'General Inputs'!$C$48),-'General Inputs'!$C$50,IF(DevBdgt!Y$7&gt;='General Inputs'!$C$48,-'General Inputs'!$C$47*SUM($E$48:X48,$E$67:X67)/12,0))</f>
        <v>0</v>
      </c>
      <c r="Z159" s="705">
        <f>IF(AND(Z$5&gt;0,Z$6&gt;='General Inputs'!$C$51,Z$6&lt;'General Inputs'!$C$48),-'General Inputs'!$C$50,IF(DevBdgt!Z$7&gt;='General Inputs'!$C$48,-'General Inputs'!$C$47*SUM($E$48:Y48,$E$67:Y67)/12,0))</f>
        <v>0</v>
      </c>
      <c r="AA159" s="705">
        <f>IF(AND(AA$5&gt;0,AA$6&gt;='General Inputs'!$C$51,AA$6&lt;'General Inputs'!$C$48),-'General Inputs'!$C$50,IF(DevBdgt!AA$7&gt;='General Inputs'!$C$48,-'General Inputs'!$C$47*SUM($E$48:Z48,$E$67:Z67)/12,0))</f>
        <v>0</v>
      </c>
      <c r="AB159" s="705">
        <f>IF(AND(AB$5&gt;0,AB$6&gt;='General Inputs'!$C$51,AB$6&lt;'General Inputs'!$C$48),-'General Inputs'!$C$50,IF(DevBdgt!AB$7&gt;='General Inputs'!$C$48,-'General Inputs'!$C$47*SUM($E$48:AA48,$E$67:AA67)/12,0))</f>
        <v>0</v>
      </c>
      <c r="AC159" s="705">
        <f>IF(AND(AC$5&gt;0,AC$6&gt;='General Inputs'!$C$51,AC$6&lt;'General Inputs'!$C$48),-'General Inputs'!$C$50,IF(DevBdgt!AC$7&gt;='General Inputs'!$C$48,-'General Inputs'!$C$47*SUM($E$48:AB48,$E$67:AB67)/12,0))</f>
        <v>0</v>
      </c>
      <c r="AD159" s="705">
        <f ca="1">IF(AND(AD$5&gt;0,AD$6&gt;='General Inputs'!$C$51,AD$6&lt;'General Inputs'!$C$48),-'General Inputs'!$C$50,IF(DevBdgt!AD$7&gt;='General Inputs'!$C$48,-'General Inputs'!$C$47*SUM($E$48:AC48,$E$67:AC67)/12,0))</f>
        <v>0</v>
      </c>
      <c r="AE159" s="705">
        <f ca="1">IF(AND(AE$5&gt;0,AE$6&gt;='General Inputs'!$C$51,AE$6&lt;'General Inputs'!$C$48),-'General Inputs'!$C$50,IF(DevBdgt!AE$7&gt;='General Inputs'!$C$48,-'General Inputs'!$C$47*SUM($E$48:AD48,$E$67:AD67)/12,0))</f>
        <v>0</v>
      </c>
      <c r="AF159" s="705">
        <f ca="1">IF(AND(AF$5&gt;0,AF$6&gt;='General Inputs'!$C$51,AF$6&lt;'General Inputs'!$C$48),-'General Inputs'!$C$50,IF(DevBdgt!AF$7&gt;='General Inputs'!$C$48,-'General Inputs'!$C$47*SUM($E$48:AE48,$E$67:AE67)/12,0))</f>
        <v>0</v>
      </c>
      <c r="AG159" s="705">
        <f ca="1">IF(AND(AG$5&gt;0,AG$6&gt;='General Inputs'!$C$51,AG$6&lt;'General Inputs'!$C$48),-'General Inputs'!$C$50,IF(DevBdgt!AG$7&gt;='General Inputs'!$C$48,-'General Inputs'!$C$47*SUM($E$48:AF48,$E$67:AF67)/12,0))</f>
        <v>0</v>
      </c>
      <c r="AH159" s="705">
        <f ca="1">IF(AND(AH$5&gt;0,AH$6&gt;='General Inputs'!$C$51,AH$6&lt;'General Inputs'!$C$48),-'General Inputs'!$C$50,IF(DevBdgt!AH$7&gt;='General Inputs'!$C$48,-'General Inputs'!$C$47*SUM($E$48:AG48,$E$67:AG67)/12,0))</f>
        <v>0</v>
      </c>
      <c r="AI159" s="705">
        <f ca="1">IF(AND(AI$5&gt;0,AI$6&gt;='General Inputs'!$C$51,AI$6&lt;'General Inputs'!$C$48),-'General Inputs'!$C$50,IF(DevBdgt!AI$7&gt;='General Inputs'!$C$48,-'General Inputs'!$C$47*SUM($E$48:AH48,$E$67:AH67)/12,0))</f>
        <v>0</v>
      </c>
      <c r="AJ159" s="705">
        <f ca="1">IF(AND(AJ$5&gt;0,AJ$6&gt;='General Inputs'!$C$51,AJ$6&lt;'General Inputs'!$C$48),-'General Inputs'!$C$50,IF(DevBdgt!AJ$7&gt;='General Inputs'!$C$48,-'General Inputs'!$C$47*SUM($E$48:AI48,$E$67:AI67)/12,0))</f>
        <v>0</v>
      </c>
      <c r="AK159" s="705">
        <f ca="1">IF(AND(AK$5&gt;0,AK$6&gt;='General Inputs'!$C$51,AK$6&lt;'General Inputs'!$C$48),-'General Inputs'!$C$50,IF(DevBdgt!AK$7&gt;='General Inputs'!$C$48,-'General Inputs'!$C$47*SUM($E$48:AJ48,$E$67:AJ67)/12,0))</f>
        <v>0</v>
      </c>
      <c r="AL159" s="705">
        <f ca="1">IF(AND(AL$5&gt;0,AL$6&gt;='General Inputs'!$C$51,AL$6&lt;'General Inputs'!$C$48),-'General Inputs'!$C$50,IF(DevBdgt!AL$7&gt;='General Inputs'!$C$48,-'General Inputs'!$C$47*SUM($E$48:AK48,$E$67:AK67)/12,0))</f>
        <v>0</v>
      </c>
      <c r="AM159" s="705">
        <f ca="1">IF(AND(AM$5&gt;0,AM$6&gt;='General Inputs'!$C$51,AM$6&lt;'General Inputs'!$C$48),-'General Inputs'!$C$50,IF(DevBdgt!AM$7&gt;='General Inputs'!$C$48,-'General Inputs'!$C$47*SUM($E$48:AL48,$E$67:AL67)/12,0))</f>
        <v>0</v>
      </c>
      <c r="AN159" s="705">
        <f ca="1">IF(AND(AN$5&gt;0,AN$6&gt;='General Inputs'!$C$51,AN$6&lt;'General Inputs'!$C$48),-'General Inputs'!$C$50,IF(DevBdgt!AN$7&gt;='General Inputs'!$C$48,-'General Inputs'!$C$47*SUM($E$48:AM48,$E$67:AM67)/12,0))</f>
        <v>0</v>
      </c>
      <c r="AO159" s="705">
        <f ca="1">IF(AND(AO$5&gt;0,AO$6&gt;='General Inputs'!$C$51,AO$6&lt;'General Inputs'!$C$48),-'General Inputs'!$C$50,IF(DevBdgt!AO$7&gt;='General Inputs'!$C$48,-'General Inputs'!$C$47*SUM($E$48:AN48,$E$67:AN67)/12,0))</f>
        <v>0</v>
      </c>
      <c r="AP159" s="705">
        <f ca="1">IF(AND(AP$5&gt;0,AP$6&gt;='General Inputs'!$C$51,AP$6&lt;'General Inputs'!$C$48),-'General Inputs'!$C$50,IF(DevBdgt!AP$7&gt;='General Inputs'!$C$48,-'General Inputs'!$C$47*SUM($E$48:AO48,$E$67:AO67)/12,0))</f>
        <v>0</v>
      </c>
      <c r="AQ159" s="705">
        <f ca="1">IF(AND(AQ$5&gt;0,AQ$6&gt;='General Inputs'!$C$51,AQ$6&lt;'General Inputs'!$C$48),-'General Inputs'!$C$50,IF(DevBdgt!AQ$7&gt;='General Inputs'!$C$48,-'General Inputs'!$C$47*SUM($E$48:AP48,$E$67:AP67)/12,0))</f>
        <v>0</v>
      </c>
      <c r="AR159" s="705">
        <f ca="1">IF(AND(AR$5&gt;0,AR$6&gt;='General Inputs'!$C$51,AR$6&lt;'General Inputs'!$C$48),-'General Inputs'!$C$50,IF(DevBdgt!AR$7&gt;='General Inputs'!$C$48,-'General Inputs'!$C$47*SUM($E$48:AQ48,$E$67:AQ67)/12,0))</f>
        <v>0</v>
      </c>
      <c r="AS159" s="705">
        <f ca="1">IF(AND(AS$5&gt;0,AS$6&gt;='General Inputs'!$C$51,AS$6&lt;'General Inputs'!$C$48),-'General Inputs'!$C$50,IF(DevBdgt!AS$7&gt;='General Inputs'!$C$48,-'General Inputs'!$C$47*SUM($E$48:AR48,$E$67:AR67)/12,0))</f>
        <v>0</v>
      </c>
      <c r="AT159" s="705">
        <f ca="1">IF(AND(AT$5&gt;0,AT$6&gt;='General Inputs'!$C$51,AT$6&lt;'General Inputs'!$C$48),-'General Inputs'!$C$50,IF(DevBdgt!AT$7&gt;='General Inputs'!$C$48,-'General Inputs'!$C$47*SUM($E$48:AS48,$E$67:AS67)/12,0))</f>
        <v>0</v>
      </c>
      <c r="AU159" s="705">
        <f ca="1">IF(AND(AU$5&gt;0,AU$6&gt;='General Inputs'!$C$51,AU$6&lt;'General Inputs'!$C$48),-'General Inputs'!$C$50,IF(DevBdgt!AU$7&gt;='General Inputs'!$C$48,-'General Inputs'!$C$47*SUM($E$48:AT48,$E$67:AT67)/12,0))</f>
        <v>0</v>
      </c>
      <c r="AV159" s="705">
        <f ca="1">IF(AND(AV$5&gt;0,AV$6&gt;='General Inputs'!$C$51,AV$6&lt;'General Inputs'!$C$48),-'General Inputs'!$C$50,IF(DevBdgt!AV$7&gt;='General Inputs'!$C$48,-'General Inputs'!$C$47*SUM($E$48:AU48,$E$67:AU67)/12,0))</f>
        <v>0</v>
      </c>
      <c r="AW159" s="705">
        <f ca="1">IF(AND(AW$5&gt;0,AW$6&gt;='General Inputs'!$C$51,AW$6&lt;'General Inputs'!$C$48),-'General Inputs'!$C$50,IF(DevBdgt!AW$7&gt;='General Inputs'!$C$48,-'General Inputs'!$C$47*SUM($E$48:AV48,$E$67:AV67)/12,0))</f>
        <v>0</v>
      </c>
      <c r="AX159" s="705">
        <f ca="1">IF(AND(AX$5&gt;0,AX$6&gt;='General Inputs'!$C$51,AX$6&lt;'General Inputs'!$C$48),-'General Inputs'!$C$50,IF(DevBdgt!AX$7&gt;='General Inputs'!$C$48,-'General Inputs'!$C$47*SUM($E$48:AW48,$E$67:AW67)/12,0))</f>
        <v>0</v>
      </c>
      <c r="AY159" s="705">
        <f ca="1">IF(AND(AY$5&gt;0,AY$6&gt;='General Inputs'!$C$51,AY$6&lt;'General Inputs'!$C$48),-'General Inputs'!$C$50,IF(DevBdgt!AY$7&gt;='General Inputs'!$C$48,-'General Inputs'!$C$47*SUM($E$48:AX48,$E$67:AX67)/12,0))</f>
        <v>0</v>
      </c>
      <c r="AZ159" s="705">
        <f ca="1">IF(AND(AZ$5&gt;0,AZ$6&gt;='General Inputs'!$C$51,AZ$6&lt;'General Inputs'!$C$48),-'General Inputs'!$C$50,IF(DevBdgt!AZ$7&gt;='General Inputs'!$C$48,-'General Inputs'!$C$47*SUM($E$48:AY48,$E$67:AY67)/12,0))</f>
        <v>0</v>
      </c>
      <c r="BA159" s="705">
        <f ca="1">IF(AND(BA$5&gt;0,BA$6&gt;='General Inputs'!$C$51,BA$6&lt;'General Inputs'!$C$48),-'General Inputs'!$C$50,IF(DevBdgt!BA$7&gt;='General Inputs'!$C$48,-'General Inputs'!$C$47*SUM($E$48:AZ48,$E$67:AZ67)/12,0))</f>
        <v>0</v>
      </c>
      <c r="BB159" s="705">
        <f ca="1">IF(AND(BB$5&gt;0,BB$6&gt;='General Inputs'!$C$51,BB$6&lt;'General Inputs'!$C$48),-'General Inputs'!$C$50,IF(DevBdgt!BB$7&gt;='General Inputs'!$C$48,-'General Inputs'!$C$47*SUM($E$48:BA48,$E$67:BA67)/12,0))</f>
        <v>0</v>
      </c>
      <c r="BC159" s="705">
        <f ca="1">IF(AND(BC$5&gt;0,BC$6&gt;='General Inputs'!$C$51,BC$6&lt;'General Inputs'!$C$48),-'General Inputs'!$C$50,IF(DevBdgt!BC$7&gt;='General Inputs'!$C$48,-'General Inputs'!$C$47*SUM($E$48:BB48,$E$67:BB67)/12,0))</f>
        <v>0</v>
      </c>
      <c r="BD159" s="705">
        <f ca="1">IF(AND(BD$5&gt;0,BD$6&gt;='General Inputs'!$C$51,BD$6&lt;'General Inputs'!$C$48),-'General Inputs'!$C$50,IF(DevBdgt!BD$7&gt;='General Inputs'!$C$48,-'General Inputs'!$C$47*SUM($E$48:BC48,$E$67:BC67)/12,0))</f>
        <v>0</v>
      </c>
      <c r="BE159" s="705">
        <f ca="1">IF(AND(BE$5&gt;0,BE$6&gt;='General Inputs'!$C$51,BE$6&lt;'General Inputs'!$C$48),-'General Inputs'!$C$50,IF(DevBdgt!BE$7&gt;='General Inputs'!$C$48,-'General Inputs'!$C$47*SUM($E$48:BD48,$E$67:BD67)/12,0))</f>
        <v>0</v>
      </c>
      <c r="BF159" s="705">
        <f ca="1">IF(AND(BF$5&gt;0,BF$6&gt;='General Inputs'!$C$51,BF$6&lt;'General Inputs'!$C$48),-'General Inputs'!$C$50,IF(DevBdgt!BF$7&gt;='General Inputs'!$C$48,-'General Inputs'!$C$47*SUM($E$48:BE48,$E$67:BE67)/12,0))</f>
        <v>0</v>
      </c>
      <c r="BG159" s="705">
        <f ca="1">IF(AND(BG$5&gt;0,BG$6&gt;='General Inputs'!$C$51,BG$6&lt;'General Inputs'!$C$48),-'General Inputs'!$C$50,IF(DevBdgt!BG$7&gt;='General Inputs'!$C$48,-'General Inputs'!$C$47*SUM($E$48:BF48,$E$67:BF67)/12,0))</f>
        <v>0</v>
      </c>
      <c r="BH159" s="705">
        <f ca="1">IF(AND(BH$5&gt;0,BH$6&gt;='General Inputs'!$C$51,BH$6&lt;'General Inputs'!$C$48),-'General Inputs'!$C$50,IF(DevBdgt!BH$7&gt;='General Inputs'!$C$48,-'General Inputs'!$C$47*SUM($E$48:BG48,$E$67:BG67)/12,0))</f>
        <v>0</v>
      </c>
      <c r="BI159" s="705">
        <f ca="1">IF(AND(BI$5&gt;0,BI$6&gt;='General Inputs'!$C$51,BI$6&lt;'General Inputs'!$C$48),-'General Inputs'!$C$50,IF(DevBdgt!BI$7&gt;='General Inputs'!$C$48,-'General Inputs'!$C$47*SUM($E$48:BH48,$E$67:BH67)/12,0))</f>
        <v>0</v>
      </c>
      <c r="BJ159" s="705">
        <f ca="1">IF(AND(BJ$5&gt;0,BJ$6&gt;='General Inputs'!$C$51,BJ$6&lt;'General Inputs'!$C$48),-'General Inputs'!$C$50,IF(DevBdgt!BJ$7&gt;='General Inputs'!$C$48,-'General Inputs'!$C$47*SUM($E$48:BI48,$E$67:BI67)/12,0))</f>
        <v>0</v>
      </c>
      <c r="BK159" s="705">
        <f ca="1">IF(AND(BK$5&gt;0,BK$6&gt;='General Inputs'!$C$51,BK$6&lt;'General Inputs'!$C$48),-'General Inputs'!$C$50,IF(DevBdgt!BK$7&gt;='General Inputs'!$C$48,-'General Inputs'!$C$47*SUM($E$48:BJ48,$E$67:BJ67)/12,0))</f>
        <v>0</v>
      </c>
      <c r="BL159" s="705">
        <f ca="1">IF(AND(BL$5&gt;0,BL$6&gt;='General Inputs'!$C$51,BL$6&lt;'General Inputs'!$C$48),-'General Inputs'!$C$50,IF(DevBdgt!BL$7&gt;='General Inputs'!$C$48,-'General Inputs'!$C$47*SUM($E$48:BK48,$E$67:BK67)/12,0))</f>
        <v>0</v>
      </c>
      <c r="BM159" s="705">
        <f ca="1">IF(AND(BM$5&gt;0,BM$6&gt;='General Inputs'!$C$51,BM$6&lt;'General Inputs'!$C$48),-'General Inputs'!$C$50,IF(DevBdgt!BM$7&gt;='General Inputs'!$C$48,-'General Inputs'!$C$47*SUM($E$48:BL48,$E$67:BL67)/12,0))</f>
        <v>0</v>
      </c>
      <c r="BN159" s="705">
        <f ca="1">IF(AND(BN$5&gt;0,BN$6&gt;='General Inputs'!$C$51,BN$6&lt;'General Inputs'!$C$48),-'General Inputs'!$C$50,IF(DevBdgt!BN$7&gt;='General Inputs'!$C$48,-'General Inputs'!$C$47*SUM($E$48:BM48,$E$67:BM67)/12,0))</f>
        <v>0</v>
      </c>
      <c r="BO159" s="705">
        <f ca="1">IF(AND(BO$5&gt;0,BO$6&gt;='General Inputs'!$C$51,BO$6&lt;'General Inputs'!$C$48),-'General Inputs'!$C$50,IF(DevBdgt!BO$7&gt;='General Inputs'!$C$48,-'General Inputs'!$C$47*SUM($E$48:BN48,$E$67:BN67)/12,0))</f>
        <v>0</v>
      </c>
      <c r="BP159" s="705">
        <f ca="1">IF(AND(BP$5&gt;0,BP$6&gt;='General Inputs'!$C$51,BP$6&lt;'General Inputs'!$C$48),-'General Inputs'!$C$50,IF(DevBdgt!BP$7&gt;='General Inputs'!$C$48,-'General Inputs'!$C$47*SUM($E$48:BO48,$E$67:BO67)/12,0))</f>
        <v>0</v>
      </c>
      <c r="BQ159" s="705">
        <f ca="1">IF(AND(BQ$5&gt;0,BQ$6&gt;='General Inputs'!$C$51,BQ$6&lt;'General Inputs'!$C$48),-'General Inputs'!$C$50,IF(DevBdgt!BQ$7&gt;='General Inputs'!$C$48,-'General Inputs'!$C$47*SUM($E$48:BP48,$E$67:BP67)/12,0))</f>
        <v>0</v>
      </c>
      <c r="BR159" s="705">
        <f ca="1">IF(AND(BR$5&gt;0,BR$6&gt;='General Inputs'!$C$51,BR$6&lt;'General Inputs'!$C$48),-'General Inputs'!$C$50,IF(DevBdgt!BR$7&gt;='General Inputs'!$C$48,-'General Inputs'!$C$47*SUM($E$48:BQ48,$E$67:BQ67)/12,0))</f>
        <v>0</v>
      </c>
      <c r="BS159" s="705">
        <f ca="1">IF(AND(BS$5&gt;0,BS$6&gt;='General Inputs'!$C$51,BS$6&lt;'General Inputs'!$C$48),-'General Inputs'!$C$50,IF(DevBdgt!BS$7&gt;='General Inputs'!$C$48,-'General Inputs'!$C$47*SUM($E$48:BR48,$E$67:BR67)/12,0))</f>
        <v>0</v>
      </c>
      <c r="BT159" s="705">
        <f ca="1">IF(AND(BT$5&gt;0,BT$6&gt;='General Inputs'!$C$51,BT$6&lt;'General Inputs'!$C$48),-'General Inputs'!$C$50,IF(DevBdgt!BT$7&gt;='General Inputs'!$C$48,-'General Inputs'!$C$47*SUM($E$48:BS48,$E$67:BS67)/12,0))</f>
        <v>0</v>
      </c>
      <c r="BU159" s="705">
        <f ca="1">IF(AND(BU$5&gt;0,BU$6&gt;='General Inputs'!$C$51,BU$6&lt;'General Inputs'!$C$48),-'General Inputs'!$C$50,IF(DevBdgt!BU$7&gt;='General Inputs'!$C$48,-'General Inputs'!$C$47*SUM($E$48:BT48,$E$67:BT67)/12,0))</f>
        <v>0</v>
      </c>
      <c r="BV159" s="705">
        <f ca="1">IF(AND(BV$5&gt;0,BV$6&gt;='General Inputs'!$C$51,BV$6&lt;'General Inputs'!$C$48),-'General Inputs'!$C$50,IF(DevBdgt!BV$7&gt;='General Inputs'!$C$48,-'General Inputs'!$C$47*SUM($E$48:BU48,$E$67:BU67)/12,0))</f>
        <v>0</v>
      </c>
      <c r="BW159" s="705">
        <f ca="1">IF(AND(BW$5&gt;0,BW$6&gt;='General Inputs'!$C$51,BW$6&lt;'General Inputs'!$C$48),-'General Inputs'!$C$50,IF(DevBdgt!BW$7&gt;='General Inputs'!$C$48,-'General Inputs'!$C$47*SUM($E$48:BV48,$E$67:BV67)/12,0))</f>
        <v>0</v>
      </c>
      <c r="BX159" s="705">
        <f ca="1">IF(AND(BX$5&gt;0,BX$6&gt;='General Inputs'!$C$51,BX$6&lt;'General Inputs'!$C$48),-'General Inputs'!$C$50,IF(DevBdgt!BX$7&gt;='General Inputs'!$C$48,-'General Inputs'!$C$47*SUM($E$48:BW48,$E$67:BW67)/12,0))</f>
        <v>0</v>
      </c>
      <c r="BY159" s="705">
        <f ca="1">IF(AND(BY$5&gt;0,BY$6&gt;='General Inputs'!$C$51,BY$6&lt;'General Inputs'!$C$48),-'General Inputs'!$C$50,IF(DevBdgt!BY$7&gt;='General Inputs'!$C$48,-'General Inputs'!$C$47*SUM($E$48:BX48,$E$67:BX67)/12,0))</f>
        <v>0</v>
      </c>
      <c r="BZ159" s="705">
        <f ca="1">IF(AND(BZ$5&gt;0,BZ$6&gt;='General Inputs'!$C$51,BZ$6&lt;'General Inputs'!$C$48),-'General Inputs'!$C$50,IF(DevBdgt!BZ$7&gt;='General Inputs'!$C$48,-'General Inputs'!$C$47*SUM($E$48:BY48,$E$67:BY67)/12,0))</f>
        <v>0</v>
      </c>
      <c r="CA159" s="705">
        <f ca="1">IF(AND(CA$5&gt;0,CA$6&gt;='General Inputs'!$C$51,CA$6&lt;'General Inputs'!$C$48),-'General Inputs'!$C$50,IF(DevBdgt!CA$7&gt;='General Inputs'!$C$48,-'General Inputs'!$C$47*SUM($E$48:BZ48,$E$67:BZ67)/12,0))</f>
        <v>0</v>
      </c>
      <c r="CB159" s="705">
        <f ca="1">IF(AND(CB$5&gt;0,CB$6&gt;='General Inputs'!$C$51,CB$6&lt;'General Inputs'!$C$48),-'General Inputs'!$C$50,IF(DevBdgt!CB$7&gt;='General Inputs'!$C$48,-'General Inputs'!$C$47*SUM($E$48:CA48,$E$67:CA67)/12,0))</f>
        <v>0</v>
      </c>
      <c r="CC159" s="705">
        <f ca="1">IF(AND(CC$5&gt;0,CC$6&gt;='General Inputs'!$C$51,CC$6&lt;'General Inputs'!$C$48),-'General Inputs'!$C$50,IF(DevBdgt!CC$7&gt;='General Inputs'!$C$48,-'General Inputs'!$C$47*SUM($E$48:CB48,$E$67:CB67)/12,0))</f>
        <v>0</v>
      </c>
      <c r="CD159" s="705">
        <f ca="1">IF(AND(CD$5&gt;0,CD$6&gt;='General Inputs'!$C$51,CD$6&lt;'General Inputs'!$C$48),-'General Inputs'!$C$50,IF(DevBdgt!CD$7&gt;='General Inputs'!$C$48,-'General Inputs'!$C$47*SUM($E$48:CC48,$E$67:CC67)/12,0))</f>
        <v>0</v>
      </c>
      <c r="CE159" s="705">
        <f ca="1">IF(AND(CE$5&gt;0,CE$6&gt;='General Inputs'!$C$51,CE$6&lt;'General Inputs'!$C$48),-'General Inputs'!$C$50,IF(DevBdgt!CE$7&gt;='General Inputs'!$C$48,-'General Inputs'!$C$47*SUM($E$48:CD48,$E$67:CD67)/12,0))</f>
        <v>0</v>
      </c>
      <c r="CF159" s="705">
        <f ca="1">IF(AND(CF$5&gt;0,CF$6&gt;='General Inputs'!$C$51,CF$6&lt;'General Inputs'!$C$48),-'General Inputs'!$C$50,IF(DevBdgt!CF$7&gt;='General Inputs'!$C$48,-'General Inputs'!$C$47*SUM($E$48:CE48,$E$67:CE67)/12,0))</f>
        <v>0</v>
      </c>
      <c r="CG159" s="705">
        <f ca="1">IF(AND(CG$5&gt;0,CG$6&gt;='General Inputs'!$C$51,CG$6&lt;'General Inputs'!$C$48),-'General Inputs'!$C$50,IF(DevBdgt!CG$7&gt;='General Inputs'!$C$48,-'General Inputs'!$C$47*SUM($E$48:CF48,$E$67:CF67)/12,0))</f>
        <v>0</v>
      </c>
      <c r="CH159" s="705">
        <f ca="1">IF(AND(CH$5&gt;0,CH$6&gt;='General Inputs'!$C$51,CH$6&lt;'General Inputs'!$C$48),-'General Inputs'!$C$50,IF(DevBdgt!CH$7&gt;='General Inputs'!$C$48,-'General Inputs'!$C$47*SUM($E$48:CG48,$E$67:CG67)/12,0))</f>
        <v>0</v>
      </c>
      <c r="CI159" s="705">
        <f ca="1">IF(AND(CI$5&gt;0,CI$6&gt;='General Inputs'!$C$51,CI$6&lt;'General Inputs'!$C$48),-'General Inputs'!$C$50,IF(DevBdgt!CI$7&gt;='General Inputs'!$C$48,-'General Inputs'!$C$47*SUM($E$48:CH48,$E$67:CH67)/12,0))</f>
        <v>0</v>
      </c>
      <c r="CJ159" s="705">
        <f ca="1">IF(AND(CJ$5&gt;0,CJ$6&gt;='General Inputs'!$C$51,CJ$6&lt;'General Inputs'!$C$48),-'General Inputs'!$C$50,IF(DevBdgt!CJ$7&gt;='General Inputs'!$C$48,-'General Inputs'!$C$47*SUM($E$48:CI48,$E$67:CI67)/12,0))</f>
        <v>0</v>
      </c>
      <c r="CK159" s="705">
        <f ca="1">IF(AND(CK$5&gt;0,CK$6&gt;='General Inputs'!$C$51,CK$6&lt;'General Inputs'!$C$48),-'General Inputs'!$C$50,IF(DevBdgt!CK$7&gt;='General Inputs'!$C$48,-'General Inputs'!$C$47*SUM($E$48:CJ48,$E$67:CJ67)/12,0))</f>
        <v>0</v>
      </c>
      <c r="CL159" s="705">
        <f ca="1">IF(AND(CL$5&gt;0,CL$6&gt;='General Inputs'!$C$51,CL$6&lt;'General Inputs'!$C$48),-'General Inputs'!$C$50,IF(DevBdgt!CL$7&gt;='General Inputs'!$C$48,-'General Inputs'!$C$47*SUM($E$48:CK48,$E$67:CK67)/12,0))</f>
        <v>0</v>
      </c>
      <c r="CM159" s="705">
        <f ca="1">IF(AND(CM$5&gt;0,CM$6&gt;='General Inputs'!$C$51,CM$6&lt;'General Inputs'!$C$48),-'General Inputs'!$C$50,IF(DevBdgt!CM$7&gt;='General Inputs'!$C$48,-'General Inputs'!$C$47*SUM($E$48:CL48,$E$67:CL67)/12,0))</f>
        <v>0</v>
      </c>
      <c r="CN159" s="705">
        <f ca="1">IF(AND(CN$5&gt;0,CN$6&gt;='General Inputs'!$C$51,CN$6&lt;'General Inputs'!$C$48),-'General Inputs'!$C$50,IF(DevBdgt!CN$7&gt;='General Inputs'!$C$48,-'General Inputs'!$C$47*SUM($E$48:CM48,$E$67:CM67)/12,0))</f>
        <v>0</v>
      </c>
      <c r="CO159" s="705">
        <f ca="1">IF(AND(CO$5&gt;0,CO$6&gt;='General Inputs'!$C$51,CO$6&lt;'General Inputs'!$C$48),-'General Inputs'!$C$50,IF(DevBdgt!CO$7&gt;='General Inputs'!$C$48,-'General Inputs'!$C$47*SUM($E$48:CN48,$E$67:CN67)/12,0))</f>
        <v>0</v>
      </c>
      <c r="CP159" s="705">
        <f ca="1">IF(AND(CP$5&gt;0,CP$6&gt;='General Inputs'!$C$51,CP$6&lt;'General Inputs'!$C$48),-'General Inputs'!$C$50,IF(DevBdgt!CP$7&gt;='General Inputs'!$C$48,-'General Inputs'!$C$47*SUM($E$48:CO48,$E$67:CO67)/12,0))</f>
        <v>0</v>
      </c>
      <c r="CQ159" s="705">
        <f ca="1">IF(AND(CQ$5&gt;0,CQ$6&gt;='General Inputs'!$C$51,CQ$6&lt;'General Inputs'!$C$48),-'General Inputs'!$C$50,IF(DevBdgt!CQ$7&gt;='General Inputs'!$C$48,-'General Inputs'!$C$47*SUM($E$48:CP48,$E$67:CP67)/12,0))</f>
        <v>0</v>
      </c>
      <c r="CR159" s="705">
        <f ca="1">IF(AND(CR$5&gt;0,CR$6&gt;='General Inputs'!$C$51,CR$6&lt;'General Inputs'!$C$48),-'General Inputs'!$C$50,IF(DevBdgt!CR$7&gt;='General Inputs'!$C$48,-'General Inputs'!$C$47*SUM($E$48:CQ48,$E$67:CQ67)/12,0))</f>
        <v>0</v>
      </c>
      <c r="CS159" s="705">
        <f ca="1">IF(AND(CS$5&gt;0,CS$6&gt;='General Inputs'!$C$51,CS$6&lt;'General Inputs'!$C$48),-'General Inputs'!$C$50,IF(DevBdgt!CS$7&gt;='General Inputs'!$C$48,-'General Inputs'!$C$47*SUM($E$48:CR48,$E$67:CR67)/12,0))</f>
        <v>0</v>
      </c>
      <c r="CT159" s="705">
        <f ca="1">IF(AND(CT$5&gt;0,CT$6&gt;='General Inputs'!$C$51,CT$6&lt;'General Inputs'!$C$48),-'General Inputs'!$C$50,IF(DevBdgt!CT$7&gt;='General Inputs'!$C$48,-'General Inputs'!$C$47*SUM($E$48:CS48,$E$67:CS67)/12,0))</f>
        <v>0</v>
      </c>
      <c r="CU159" s="705">
        <f ca="1">IF(AND(CU$5&gt;0,CU$6&gt;='General Inputs'!$C$51,CU$6&lt;'General Inputs'!$C$48),-'General Inputs'!$C$50,IF(DevBdgt!CU$7&gt;='General Inputs'!$C$48,-'General Inputs'!$C$47*SUM($E$48:CT48,$E$67:CT67)/12,0))</f>
        <v>0</v>
      </c>
      <c r="CV159" s="705">
        <f ca="1">IF(AND(CV$5&gt;0,CV$6&gt;='General Inputs'!$C$51,CV$6&lt;'General Inputs'!$C$48),-'General Inputs'!$C$50,IF(DevBdgt!CV$7&gt;='General Inputs'!$C$48,-'General Inputs'!$C$47*SUM($E$48:CU48,$E$67:CU67)/12,0))</f>
        <v>0</v>
      </c>
      <c r="CW159" s="705">
        <f ca="1">IF(AND(CW$5&gt;0,CW$6&gt;='General Inputs'!$C$51,CW$6&lt;'General Inputs'!$C$48),-'General Inputs'!$C$50,IF(DevBdgt!CW$7&gt;='General Inputs'!$C$48,-'General Inputs'!$C$47*SUM($E$48:CV48,$E$67:CV67)/12,0))</f>
        <v>0</v>
      </c>
      <c r="CX159" s="705">
        <f ca="1">IF(AND(CX$5&gt;0,CX$6&gt;='General Inputs'!$C$51,CX$6&lt;'General Inputs'!$C$48),-'General Inputs'!$C$50,IF(DevBdgt!CX$7&gt;='General Inputs'!$C$48,-'General Inputs'!$C$47*SUM($E$48:CW48,$E$67:CW67)/12,0))</f>
        <v>0</v>
      </c>
      <c r="CY159" s="705">
        <f ca="1">IF(AND(CY$5&gt;0,CY$6&gt;='General Inputs'!$C$51,CY$6&lt;'General Inputs'!$C$48),-'General Inputs'!$C$50,IF(DevBdgt!CY$7&gt;='General Inputs'!$C$48,-'General Inputs'!$C$47*SUM($E$48:CX48,$E$67:CX67)/12,0))</f>
        <v>0</v>
      </c>
      <c r="CZ159" s="705">
        <f ca="1">IF(AND(CZ$5&gt;0,CZ$6&gt;='General Inputs'!$C$51,CZ$6&lt;'General Inputs'!$C$48),-'General Inputs'!$C$50,IF(DevBdgt!CZ$7&gt;='General Inputs'!$C$48,-'General Inputs'!$C$47*SUM($E$48:CY48,$E$67:CY67)/12,0))</f>
        <v>0</v>
      </c>
      <c r="DA159" s="705">
        <f ca="1">IF(AND(DA$5&gt;0,DA$6&gt;='General Inputs'!$C$51,DA$6&lt;'General Inputs'!$C$48),-'General Inputs'!$C$50,IF(DevBdgt!DA$7&gt;='General Inputs'!$C$48,-'General Inputs'!$C$47*SUM($E$48:CZ48,$E$67:CZ67)/12,0))</f>
        <v>0</v>
      </c>
      <c r="DB159" s="705">
        <f ca="1">IF(AND(DB$5&gt;0,DB$6&gt;='General Inputs'!$C$51,DB$6&lt;'General Inputs'!$C$48),-'General Inputs'!$C$50,IF(DevBdgt!DB$7&gt;='General Inputs'!$C$48,-'General Inputs'!$C$47*SUM($E$48:DA48,$E$67:DA67)/12,0))</f>
        <v>0</v>
      </c>
      <c r="DC159" s="705">
        <f ca="1">IF(AND(DC$5&gt;0,DC$6&gt;='General Inputs'!$C$51,DC$6&lt;'General Inputs'!$C$48),-'General Inputs'!$C$50,IF(DevBdgt!DC$7&gt;='General Inputs'!$C$48,-'General Inputs'!$C$47*SUM($E$48:DB48,$E$67:DB67)/12,0))</f>
        <v>0</v>
      </c>
      <c r="DD159" s="705">
        <f ca="1">IF(AND(DD$5&gt;0,DD$6&gt;='General Inputs'!$C$51,DD$6&lt;'General Inputs'!$C$48),-'General Inputs'!$C$50,IF(DevBdgt!DD$7&gt;='General Inputs'!$C$48,-'General Inputs'!$C$47*SUM($E$48:DC48,$E$67:DC67)/12,0))</f>
        <v>0</v>
      </c>
      <c r="DE159" s="705">
        <f ca="1">IF(AND(DE$5&gt;0,DE$6&gt;='General Inputs'!$C$51,DE$6&lt;'General Inputs'!$C$48),-'General Inputs'!$C$50,IF(DevBdgt!DE$7&gt;='General Inputs'!$C$48,-'General Inputs'!$C$47*SUM($E$48:DD48,$E$67:DD67)/12,0))</f>
        <v>0</v>
      </c>
      <c r="DF159" s="705">
        <f ca="1">IF(AND(DF$5&gt;0,DF$6&gt;='General Inputs'!$C$51,DF$6&lt;'General Inputs'!$C$48),-'General Inputs'!$C$50,IF(DevBdgt!DF$7&gt;='General Inputs'!$C$48,-'General Inputs'!$C$47*SUM($E$48:DE48,$E$67:DE67)/12,0))</f>
        <v>0</v>
      </c>
      <c r="DG159" s="705">
        <f ca="1">IF(AND(DG$5&gt;0,DG$6&gt;='General Inputs'!$C$51,DG$6&lt;'General Inputs'!$C$48),-'General Inputs'!$C$50,IF(DevBdgt!DG$7&gt;='General Inputs'!$C$48,-'General Inputs'!$C$47*SUM($E$48:DF48,$E$67:DF67)/12,0))</f>
        <v>0</v>
      </c>
      <c r="DH159" s="705">
        <f ca="1">IF(AND(DH$5&gt;0,DH$6&gt;='General Inputs'!$C$51,DH$6&lt;'General Inputs'!$C$48),-'General Inputs'!$C$50,IF(DevBdgt!DH$7&gt;='General Inputs'!$C$48,-'General Inputs'!$C$47*SUM($E$48:DG48,$E$67:DG67)/12,0))</f>
        <v>0</v>
      </c>
      <c r="DI159" s="705">
        <f ca="1">IF(AND(DI$5&gt;0,DI$6&gt;='General Inputs'!$C$51,DI$6&lt;'General Inputs'!$C$48),-'General Inputs'!$C$50,IF(DevBdgt!DI$7&gt;='General Inputs'!$C$48,-'General Inputs'!$C$47*SUM($E$48:DH48,$E$67:DH67)/12,0))</f>
        <v>0</v>
      </c>
      <c r="DJ159" s="705">
        <f ca="1">IF(AND(DJ$5&gt;0,DJ$6&gt;='General Inputs'!$C$51,DJ$6&lt;'General Inputs'!$C$48),-'General Inputs'!$C$50,IF(DevBdgt!DJ$7&gt;='General Inputs'!$C$48,-'General Inputs'!$C$47*SUM($E$48:DI48,$E$67:DI67)/12,0))</f>
        <v>0</v>
      </c>
      <c r="DK159" s="705">
        <f ca="1">IF(AND(DK$5&gt;0,DK$6&gt;='General Inputs'!$C$51,DK$6&lt;'General Inputs'!$C$48),-'General Inputs'!$C$50,IF(DevBdgt!DK$7&gt;='General Inputs'!$C$48,-'General Inputs'!$C$47*SUM($E$48:DJ48,$E$67:DJ67)/12,0))</f>
        <v>0</v>
      </c>
      <c r="DL159" s="705">
        <f ca="1">IF(AND(DL$5&gt;0,DL$6&gt;='General Inputs'!$C$51,DL$6&lt;'General Inputs'!$C$48),-'General Inputs'!$C$50,IF(DevBdgt!DL$7&gt;='General Inputs'!$C$48,-'General Inputs'!$C$47*SUM($E$48:DK48,$E$67:DK67)/12,0))</f>
        <v>0</v>
      </c>
      <c r="DM159" s="705">
        <f ca="1">IF(AND(DM$5&gt;0,DM$6&gt;='General Inputs'!$C$51,DM$6&lt;'General Inputs'!$C$48),-'General Inputs'!$C$50,IF(DevBdgt!DM$7&gt;='General Inputs'!$C$48,-'General Inputs'!$C$47*SUM($E$48:DL48,$E$67:DL67)/12,0))</f>
        <v>0</v>
      </c>
      <c r="DN159" s="705">
        <f ca="1">IF(AND(DN$5&gt;0,DN$6&gt;='General Inputs'!$C$51,DN$6&lt;'General Inputs'!$C$48),-'General Inputs'!$C$50,IF(DevBdgt!DN$7&gt;='General Inputs'!$C$48,-'General Inputs'!$C$47*SUM($E$48:DM48,$E$67:DM67)/12,0))</f>
        <v>0</v>
      </c>
      <c r="DO159" s="705">
        <f ca="1">IF(AND(DO$5&gt;0,DO$6&gt;='General Inputs'!$C$51,DO$6&lt;'General Inputs'!$C$48),-'General Inputs'!$C$50,IF(DevBdgt!DO$7&gt;='General Inputs'!$C$48,-'General Inputs'!$C$47*SUM($E$48:DN48,$E$67:DN67)/12,0))</f>
        <v>0</v>
      </c>
      <c r="DP159" s="705">
        <f ca="1">IF(AND(DP$5&gt;0,DP$6&gt;='General Inputs'!$C$51,DP$6&lt;'General Inputs'!$C$48),-'General Inputs'!$C$50,IF(DevBdgt!DP$7&gt;='General Inputs'!$C$48,-'General Inputs'!$C$47*SUM($E$48:DO48,$E$67:DO67)/12,0))</f>
        <v>0</v>
      </c>
      <c r="DQ159" s="705">
        <f ca="1">IF(AND(DQ$5&gt;0,DQ$6&gt;='General Inputs'!$C$51,DQ$6&lt;'General Inputs'!$C$48),-'General Inputs'!$C$50,IF(DevBdgt!DQ$7&gt;='General Inputs'!$C$48,-'General Inputs'!$C$47*SUM($E$48:DP48,$E$67:DP67)/12,0))</f>
        <v>0</v>
      </c>
      <c r="DR159" s="705">
        <f ca="1">IF(AND(DR$5&gt;0,DR$6&gt;='General Inputs'!$C$51,DR$6&lt;'General Inputs'!$C$48),-'General Inputs'!$C$50,IF(DevBdgt!DR$7&gt;='General Inputs'!$C$48,-'General Inputs'!$C$47*SUM($E$48:DQ48,$E$67:DQ67)/12,0))</f>
        <v>0</v>
      </c>
      <c r="DS159" s="705">
        <f ca="1">IF(AND(DS$5&gt;0,DS$6&gt;='General Inputs'!$C$51,DS$6&lt;'General Inputs'!$C$48),-'General Inputs'!$C$50,IF(DevBdgt!DS$7&gt;='General Inputs'!$C$48,-'General Inputs'!$C$47*SUM($E$48:DR48,$E$67:DR67)/12,0))</f>
        <v>0</v>
      </c>
      <c r="DT159" s="705">
        <f ca="1">IF(AND(DT$5&gt;0,DT$6&gt;='General Inputs'!$C$51,DT$6&lt;'General Inputs'!$C$48),-'General Inputs'!$C$50,IF(DevBdgt!DT$7&gt;='General Inputs'!$C$48,-'General Inputs'!$C$47*SUM($E$48:DS48,$E$67:DS67)/12,0))</f>
        <v>0</v>
      </c>
      <c r="DU159" s="705">
        <f ca="1">IF(AND(DU$5&gt;0,DU$6&gt;='General Inputs'!$C$51,DU$6&lt;'General Inputs'!$C$48),-'General Inputs'!$C$50,IF(DevBdgt!DU$7&gt;='General Inputs'!$C$48,-'General Inputs'!$C$47*SUM($E$48:DT48,$E$67:DT67)/12,0))</f>
        <v>0</v>
      </c>
      <c r="DV159" s="705">
        <f ca="1">IF(AND(DV$5&gt;0,DV$6&gt;='General Inputs'!$C$51,DV$6&lt;'General Inputs'!$C$48),-'General Inputs'!$C$50,IF(DevBdgt!DV$7&gt;='General Inputs'!$C$48,-'General Inputs'!$C$47*SUM($E$48:DU48,$E$67:DU67)/12,0))</f>
        <v>0</v>
      </c>
      <c r="DW159" s="705">
        <f ca="1">IF(AND(DW$5&gt;0,DW$6&gt;='General Inputs'!$C$51,DW$6&lt;'General Inputs'!$C$48),-'General Inputs'!$C$50,IF(DevBdgt!DW$7&gt;='General Inputs'!$C$48,-'General Inputs'!$C$47*SUM($E$48:DV48,$E$67:DV67)/12,0))</f>
        <v>0</v>
      </c>
      <c r="DX159" s="705">
        <f ca="1">IF(AND(DX$5&gt;0,DX$6&gt;='General Inputs'!$C$51,DX$6&lt;'General Inputs'!$C$48),-'General Inputs'!$C$50,IF(DevBdgt!DX$7&gt;='General Inputs'!$C$48,-'General Inputs'!$C$47*SUM($E$48:DW48,$E$67:DW67)/12,0))</f>
        <v>0</v>
      </c>
      <c r="DY159" s="705">
        <f ca="1">IF(AND(DY$5&gt;0,DY$6&gt;='General Inputs'!$C$51,DY$6&lt;'General Inputs'!$C$48),-'General Inputs'!$C$50,IF(DevBdgt!DY$7&gt;='General Inputs'!$C$48,-'General Inputs'!$C$47*SUM($E$48:DX48,$E$67:DX67)/12,0))</f>
        <v>0</v>
      </c>
      <c r="DZ159" s="705">
        <f ca="1">IF(AND(DZ$5&gt;0,DZ$6&gt;='General Inputs'!$C$51,DZ$6&lt;'General Inputs'!$C$48),-'General Inputs'!$C$50,IF(DevBdgt!DZ$7&gt;='General Inputs'!$C$48,-'General Inputs'!$C$47*SUM($E$48:DY48,$E$67:DY67)/12,0))</f>
        <v>0</v>
      </c>
      <c r="EA159" s="705">
        <f ca="1">IF(AND(EA$5&gt;0,EA$6&gt;='General Inputs'!$C$51,EA$6&lt;'General Inputs'!$C$48),-'General Inputs'!$C$50,IF(DevBdgt!EA$7&gt;='General Inputs'!$C$48,-'General Inputs'!$C$47*SUM($E$48:DZ48,$E$67:DZ67)/12,0))</f>
        <v>0</v>
      </c>
      <c r="EB159" s="705">
        <f ca="1">IF(AND(EB$5&gt;0,EB$6&gt;='General Inputs'!$C$51,EB$6&lt;'General Inputs'!$C$48),-'General Inputs'!$C$50,IF(DevBdgt!EB$7&gt;='General Inputs'!$C$48,-'General Inputs'!$C$47*SUM($E$48:EA48,$E$67:EA67)/12,0))</f>
        <v>0</v>
      </c>
      <c r="EC159" s="705">
        <f ca="1">IF(AND(EC$5&gt;0,EC$6&gt;='General Inputs'!$C$51,EC$6&lt;'General Inputs'!$C$48),-'General Inputs'!$C$50,IF(DevBdgt!EC$7&gt;='General Inputs'!$C$48,-'General Inputs'!$C$47*SUM($E$48:EB48,$E$67:EB67)/12,0))</f>
        <v>0</v>
      </c>
      <c r="ED159" s="705">
        <f ca="1">IF(AND(ED$5&gt;0,ED$6&gt;='General Inputs'!$C$51,ED$6&lt;'General Inputs'!$C$48),-'General Inputs'!$C$50,IF(DevBdgt!ED$7&gt;='General Inputs'!$C$48,-'General Inputs'!$C$47*SUM($E$48:EC48,$E$67:EC67)/12,0))</f>
        <v>0</v>
      </c>
      <c r="EE159" s="705">
        <f ca="1">IF(AND(EE$5&gt;0,EE$6&gt;='General Inputs'!$C$51,EE$6&lt;'General Inputs'!$C$48),-'General Inputs'!$C$50,IF(DevBdgt!EE$7&gt;='General Inputs'!$C$48,-'General Inputs'!$C$47*SUM($E$48:ED48,$E$67:ED67)/12,0))</f>
        <v>0</v>
      </c>
      <c r="EF159" s="705">
        <f ca="1">IF(AND(EF$5&gt;0,EF$6&gt;='General Inputs'!$C$51,EF$6&lt;'General Inputs'!$C$48),-'General Inputs'!$C$50,IF(DevBdgt!EF$7&gt;='General Inputs'!$C$48,-'General Inputs'!$C$47*SUM($E$48:EE48,$E$67:EE67)/12,0))</f>
        <v>0</v>
      </c>
      <c r="EG159" s="705">
        <f ca="1">IF(AND(EG$5&gt;0,EG$6&gt;='General Inputs'!$C$51,EG$6&lt;'General Inputs'!$C$48),-'General Inputs'!$C$50,IF(DevBdgt!EG$7&gt;='General Inputs'!$C$48,-'General Inputs'!$C$47*SUM($E$48:EF48,$E$67:EF67)/12,0))</f>
        <v>0</v>
      </c>
      <c r="EH159" s="644"/>
      <c r="EI159" s="722"/>
    </row>
    <row r="160" spans="1:139" s="227" customFormat="1" x14ac:dyDescent="0.3">
      <c r="A160" s="703" t="s">
        <v>2494</v>
      </c>
      <c r="B160" s="706"/>
      <c r="C160" s="703"/>
      <c r="D160" s="686"/>
      <c r="E160" s="408">
        <f t="shared" ref="E160:BP160" si="258">E155+E158+E159</f>
        <v>0</v>
      </c>
      <c r="F160" s="408">
        <f t="shared" ca="1" si="258"/>
        <v>0</v>
      </c>
      <c r="G160" s="408">
        <f t="shared" ca="1" si="258"/>
        <v>0</v>
      </c>
      <c r="H160" s="408">
        <f t="shared" ca="1" si="258"/>
        <v>0</v>
      </c>
      <c r="I160" s="408">
        <f t="shared" ca="1" si="258"/>
        <v>0</v>
      </c>
      <c r="J160" s="408">
        <f t="shared" ca="1" si="258"/>
        <v>0</v>
      </c>
      <c r="K160" s="408">
        <f t="shared" ca="1" si="258"/>
        <v>0</v>
      </c>
      <c r="L160" s="408">
        <f t="shared" ca="1" si="258"/>
        <v>0</v>
      </c>
      <c r="M160" s="408">
        <f t="shared" ca="1" si="258"/>
        <v>0</v>
      </c>
      <c r="N160" s="408">
        <f t="shared" ca="1" si="258"/>
        <v>0</v>
      </c>
      <c r="O160" s="408">
        <f t="shared" ca="1" si="258"/>
        <v>0</v>
      </c>
      <c r="P160" s="408">
        <f t="shared" ca="1" si="258"/>
        <v>-9271.8618416666668</v>
      </c>
      <c r="Q160" s="408">
        <f t="shared" ca="1" si="258"/>
        <v>-30859.985503750006</v>
      </c>
      <c r="R160" s="408">
        <f t="shared" ca="1" si="258"/>
        <v>-52721.499257916672</v>
      </c>
      <c r="S160" s="408">
        <f t="shared" ca="1" si="258"/>
        <v>-154708.14298147411</v>
      </c>
      <c r="T160" s="408">
        <f t="shared" ca="1" si="258"/>
        <v>-177514.15449958813</v>
      </c>
      <c r="U160" s="408">
        <f t="shared" ca="1" si="258"/>
        <v>-202129.96264906003</v>
      </c>
      <c r="V160" s="408">
        <f t="shared" ca="1" si="258"/>
        <v>-190563.27609614152</v>
      </c>
      <c r="W160" s="408">
        <f t="shared" ca="1" si="258"/>
        <v>-175070.20331637809</v>
      </c>
      <c r="X160" s="408">
        <f t="shared" ca="1" si="258"/>
        <v>-149468.47362206239</v>
      </c>
      <c r="Y160" s="408">
        <f t="shared" ca="1" si="258"/>
        <v>-126565.92720762049</v>
      </c>
      <c r="Z160" s="408">
        <f t="shared" ca="1" si="258"/>
        <v>-93159.022734660248</v>
      </c>
      <c r="AA160" s="408">
        <f t="shared" ca="1" si="258"/>
        <v>-49426.25748972423</v>
      </c>
      <c r="AB160" s="408">
        <f t="shared" ca="1" si="258"/>
        <v>-3883.9078558211913</v>
      </c>
      <c r="AC160" s="408">
        <f t="shared" ca="1" si="258"/>
        <v>44113.029490091343</v>
      </c>
      <c r="AD160" s="408">
        <f t="shared" ca="1" si="258"/>
        <v>84330.422386363207</v>
      </c>
      <c r="AE160" s="408">
        <f t="shared" ca="1" si="258"/>
        <v>130124.26310856765</v>
      </c>
      <c r="AF160" s="408">
        <f t="shared" ca="1" si="258"/>
        <v>219562.23728908136</v>
      </c>
      <c r="AG160" s="408">
        <f t="shared" ca="1" si="258"/>
        <v>223208.57894093162</v>
      </c>
      <c r="AH160" s="408">
        <f t="shared" ca="1" si="258"/>
        <v>224511.72787867484</v>
      </c>
      <c r="AI160" s="408">
        <f t="shared" ca="1" si="258"/>
        <v>191557.41751984309</v>
      </c>
      <c r="AJ160" s="408">
        <f t="shared" ca="1" si="258"/>
        <v>194146.36504078674</v>
      </c>
      <c r="AK160" s="408">
        <f t="shared" ca="1" si="258"/>
        <v>196941.98951452575</v>
      </c>
      <c r="AL160" s="408">
        <f t="shared" ca="1" si="258"/>
        <v>199727.00232916453</v>
      </c>
      <c r="AM160" s="408">
        <f t="shared" ca="1" si="258"/>
        <v>202501.21446340531</v>
      </c>
      <c r="AN160" s="408">
        <f t="shared" ca="1" si="258"/>
        <v>205264.4351941343</v>
      </c>
      <c r="AO160" s="408">
        <f t="shared" ca="1" si="258"/>
        <v>208016.47208368964</v>
      </c>
      <c r="AP160" s="408">
        <f t="shared" ca="1" si="258"/>
        <v>209919.96727767988</v>
      </c>
      <c r="AQ160" s="408">
        <f t="shared" ca="1" si="258"/>
        <v>213487.56472790998</v>
      </c>
      <c r="AR160" s="408">
        <f t="shared" ca="1" si="258"/>
        <v>216603.53672195377</v>
      </c>
      <c r="AS160" s="408">
        <f t="shared" ca="1" si="258"/>
        <v>212051.19180538459</v>
      </c>
      <c r="AT160" s="408">
        <f t="shared" ca="1" si="258"/>
        <v>213905.93757415481</v>
      </c>
      <c r="AU160" s="408">
        <f t="shared" ca="1" si="258"/>
        <v>215726.39458598819</v>
      </c>
      <c r="AV160" s="408">
        <f t="shared" ca="1" si="258"/>
        <v>218289.05220082233</v>
      </c>
      <c r="AW160" s="408">
        <f t="shared" ca="1" si="258"/>
        <v>220772.92673389061</v>
      </c>
      <c r="AX160" s="408">
        <f t="shared" ca="1" si="258"/>
        <v>223177.32311075157</v>
      </c>
      <c r="AY160" s="408">
        <f t="shared" ca="1" si="258"/>
        <v>225501.54178493761</v>
      </c>
      <c r="AZ160" s="408">
        <f t="shared" ca="1" si="258"/>
        <v>227744.87871226569</v>
      </c>
      <c r="BA160" s="408">
        <f t="shared" ca="1" si="258"/>
        <v>229906.62532500736</v>
      </c>
      <c r="BB160" s="408">
        <f t="shared" ca="1" si="258"/>
        <v>231371.60172885668</v>
      </c>
      <c r="BC160" s="408">
        <f t="shared" ca="1" si="258"/>
        <v>233991.77981436049</v>
      </c>
      <c r="BD160" s="408">
        <f t="shared" ca="1" si="258"/>
        <v>236231.56056684104</v>
      </c>
      <c r="BE160" s="408">
        <f t="shared" ca="1" si="258"/>
        <v>232413.96003512084</v>
      </c>
      <c r="BF160" s="408">
        <f t="shared" ca="1" si="258"/>
        <v>233792.35967828042</v>
      </c>
      <c r="BG160" s="408">
        <f t="shared" ca="1" si="258"/>
        <v>235194.65631538397</v>
      </c>
      <c r="BH160" s="408">
        <f t="shared" ca="1" si="258"/>
        <v>237214.33255777939</v>
      </c>
      <c r="BI160" s="408">
        <f t="shared" ca="1" si="258"/>
        <v>239287.5327954411</v>
      </c>
      <c r="BJ160" s="408">
        <f t="shared" ca="1" si="258"/>
        <v>241414.62629154953</v>
      </c>
      <c r="BK160" s="408">
        <f t="shared" ca="1" si="258"/>
        <v>243595.98432095937</v>
      </c>
      <c r="BL160" s="408">
        <f t="shared" ca="1" si="258"/>
        <v>245831.98018010752</v>
      </c>
      <c r="BM160" s="408">
        <f t="shared" ca="1" si="258"/>
        <v>248122.98919696768</v>
      </c>
      <c r="BN160" s="408">
        <f t="shared" ca="1" si="258"/>
        <v>249768.29693809513</v>
      </c>
      <c r="BO160" s="408">
        <f t="shared" ca="1" si="258"/>
        <v>252865.4281958323</v>
      </c>
      <c r="BP160" s="408">
        <f t="shared" ca="1" si="258"/>
        <v>255627.41870890046</v>
      </c>
      <c r="BQ160" s="408">
        <f t="shared" ref="BQ160:EB160" ca="1" si="259">BQ155+BQ158+BQ159</f>
        <v>251911.10262718727</v>
      </c>
      <c r="BR160" s="408">
        <f t="shared" ca="1" si="259"/>
        <v>253636.79770327162</v>
      </c>
      <c r="BS160" s="408">
        <f t="shared" ca="1" si="259"/>
        <v>255367.1909785716</v>
      </c>
      <c r="BT160" s="408">
        <f t="shared" ca="1" si="259"/>
        <v>257846.4753805272</v>
      </c>
      <c r="BU160" s="408">
        <f t="shared" ca="1" si="259"/>
        <v>260335.62778098683</v>
      </c>
      <c r="BV160" s="408">
        <f t="shared" ca="1" si="259"/>
        <v>262834.68808438315</v>
      </c>
      <c r="BW160" s="408">
        <f t="shared" ca="1" si="259"/>
        <v>265343.6963581288</v>
      </c>
      <c r="BX160" s="408">
        <f t="shared" ca="1" si="259"/>
        <v>267862.69283328683</v>
      </c>
      <c r="BY160" s="408">
        <f t="shared" ca="1" si="259"/>
        <v>270391.71790524246</v>
      </c>
      <c r="BZ160" s="408">
        <f t="shared" ca="1" si="259"/>
        <v>272167.92001109081</v>
      </c>
      <c r="CA160" s="408">
        <f t="shared" ca="1" si="259"/>
        <v>275478.96154839685</v>
      </c>
      <c r="CB160" s="408">
        <f t="shared" ca="1" si="259"/>
        <v>278392.08507062017</v>
      </c>
      <c r="CC160" s="408">
        <f t="shared" ca="1" si="259"/>
        <v>274566.92738257023</v>
      </c>
      <c r="CD160" s="408">
        <f t="shared" ca="1" si="259"/>
        <v>276362.55432707479</v>
      </c>
      <c r="CE160" s="408">
        <f t="shared" ca="1" si="259"/>
        <v>278163.07063198113</v>
      </c>
      <c r="CF160" s="408">
        <f t="shared" ca="1" si="259"/>
        <v>280744.12594409822</v>
      </c>
      <c r="CG160" s="408">
        <f t="shared" ca="1" si="259"/>
        <v>283335.45890456287</v>
      </c>
      <c r="CH160" s="408">
        <f t="shared" ca="1" si="259"/>
        <v>285937.11108613724</v>
      </c>
      <c r="CI160" s="408">
        <f t="shared" ca="1" si="259"/>
        <v>288549.12423140812</v>
      </c>
      <c r="CJ160" s="408">
        <f t="shared" ca="1" si="259"/>
        <v>291171.54025348381</v>
      </c>
      <c r="CK160" s="408">
        <f t="shared" ca="1" si="259"/>
        <v>293804.40123669547</v>
      </c>
      <c r="CL160" s="408">
        <f t="shared" ca="1" si="259"/>
        <v>295652.61016878253</v>
      </c>
      <c r="CM160" s="408">
        <f t="shared" ca="1" si="259"/>
        <v>299100.52800415398</v>
      </c>
      <c r="CN160" s="408">
        <f t="shared" ca="1" si="259"/>
        <v>302133.70039256744</v>
      </c>
      <c r="CO160" s="408">
        <f t="shared" ca="1" si="259"/>
        <v>298195.87397498253</v>
      </c>
      <c r="CP160" s="408">
        <f t="shared" ca="1" si="259"/>
        <v>300064.29840285529</v>
      </c>
      <c r="CQ160" s="408">
        <f t="shared" ca="1" si="259"/>
        <v>301937.81120972894</v>
      </c>
      <c r="CR160" s="408">
        <f t="shared" ca="1" si="259"/>
        <v>304624.84842418984</v>
      </c>
      <c r="CS160" s="408">
        <f t="shared" ca="1" si="259"/>
        <v>307322.59002858156</v>
      </c>
      <c r="CT160" s="408">
        <f t="shared" ca="1" si="259"/>
        <v>310031.07933396345</v>
      </c>
      <c r="CU160" s="408">
        <f t="shared" ca="1" si="259"/>
        <v>312750.35982835095</v>
      </c>
      <c r="CV160" s="408">
        <f t="shared" ca="1" si="259"/>
        <v>315480.47517744231</v>
      </c>
      <c r="CW160" s="408">
        <f t="shared" ca="1" si="259"/>
        <v>318221.46922534914</v>
      </c>
      <c r="CX160" s="408">
        <f t="shared" ca="1" si="259"/>
        <v>320144.63650763652</v>
      </c>
      <c r="CY160" s="408">
        <f t="shared" ca="1" si="259"/>
        <v>323735.12394435913</v>
      </c>
      <c r="CZ160" s="408">
        <f t="shared" ca="1" si="259"/>
        <v>326893.32698553684</v>
      </c>
      <c r="DA160" s="408">
        <f t="shared" ca="1" si="259"/>
        <v>322838.79676200682</v>
      </c>
      <c r="DB160" s="408">
        <f t="shared" ca="1" si="259"/>
        <v>324783.00270527974</v>
      </c>
      <c r="DC160" s="408">
        <f t="shared" ca="1" si="259"/>
        <v>326732.50422900717</v>
      </c>
      <c r="DD160" s="408">
        <f t="shared" ca="1" si="259"/>
        <v>329529.90961024573</v>
      </c>
      <c r="DE160" s="408">
        <f t="shared" ca="1" si="259"/>
        <v>332338.46393047902</v>
      </c>
      <c r="DF160" s="408">
        <f t="shared" ca="1" si="259"/>
        <v>335158.21231197228</v>
      </c>
      <c r="DG160" s="408">
        <f t="shared" ca="1" si="259"/>
        <v>337989.20006137749</v>
      </c>
      <c r="DH160" s="408">
        <f t="shared" ca="1" si="259"/>
        <v>340831.47267049237</v>
      </c>
      <c r="DI160" s="408">
        <f t="shared" ca="1" si="259"/>
        <v>343685.07581702096</v>
      </c>
      <c r="DJ160" s="408">
        <f t="shared" ca="1" si="259"/>
        <v>345686.27496793435</v>
      </c>
      <c r="DK160" s="408">
        <f t="shared" ca="1" si="259"/>
        <v>349425.26319085585</v>
      </c>
      <c r="DL160" s="408">
        <f t="shared" ca="1" si="259"/>
        <v>352713.6864705676</v>
      </c>
      <c r="DM160" s="408">
        <f t="shared" ca="1" si="259"/>
        <v>348538.19223049027</v>
      </c>
      <c r="DN160" s="408">
        <f t="shared" ca="1" si="259"/>
        <v>350561.28706238139</v>
      </c>
      <c r="DO160" s="408">
        <f t="shared" ca="1" si="259"/>
        <v>352589.89319803461</v>
      </c>
      <c r="DP160" s="408">
        <f t="shared" ca="1" si="259"/>
        <v>355502.23560968239</v>
      </c>
      <c r="DQ160" s="408">
        <f t="shared" ca="1" si="259"/>
        <v>358426.19006266387</v>
      </c>
      <c r="DR160" s="408">
        <f t="shared" ca="1" si="259"/>
        <v>361361.8035664222</v>
      </c>
      <c r="DS160" s="408">
        <f t="shared" ca="1" si="259"/>
        <v>364309.12332253216</v>
      </c>
      <c r="DT160" s="408">
        <f t="shared" ca="1" si="259"/>
        <v>367268.19672549015</v>
      </c>
      <c r="DU160" s="408">
        <f t="shared" ca="1" si="259"/>
        <v>370239.07136350719</v>
      </c>
      <c r="DV160" s="408">
        <f t="shared" ca="1" si="259"/>
        <v>372321.50296963623</v>
      </c>
      <c r="DW160" s="408">
        <f t="shared" ca="1" si="259"/>
        <v>376215.17101715982</v>
      </c>
      <c r="DX160" s="408">
        <f t="shared" ca="1" si="259"/>
        <v>379639.22062059399</v>
      </c>
      <c r="DY160" s="408">
        <f t="shared" ca="1" si="259"/>
        <v>375338.25815748912</v>
      </c>
      <c r="DZ160" s="408">
        <f t="shared" ca="1" si="259"/>
        <v>377443.47772220627</v>
      </c>
      <c r="EA160" s="408">
        <f t="shared" ca="1" si="259"/>
        <v>379554.43318896834</v>
      </c>
      <c r="EB160" s="408">
        <f t="shared" ca="1" si="259"/>
        <v>382586.47172805632</v>
      </c>
      <c r="EC160" s="408">
        <f ca="1">EC155+EC158+EC159</f>
        <v>385630.60474120232</v>
      </c>
      <c r="ED160" s="408">
        <f ca="1">ED155+ED158+ED159</f>
        <v>388686.88120419416</v>
      </c>
      <c r="EE160" s="408">
        <f ca="1">EE155+EE158+EE159</f>
        <v>391755.35029302142</v>
      </c>
      <c r="EF160" s="408">
        <f ca="1">EF155+EF158+EF159</f>
        <v>394836.06138469838</v>
      </c>
      <c r="EG160" s="408">
        <f ca="1">EG155+EG158+EG159</f>
        <v>397929.06406458234</v>
      </c>
      <c r="EH160" s="644"/>
      <c r="EI160" s="280"/>
    </row>
    <row r="161" spans="1:139" ht="6.75" customHeight="1" x14ac:dyDescent="0.3">
      <c r="A161" s="408"/>
      <c r="B161" s="408"/>
      <c r="C161" s="408"/>
      <c r="D161" s="686"/>
      <c r="E161" s="408"/>
      <c r="F161" s="408"/>
      <c r="EH161" s="644"/>
      <c r="EI161" s="722"/>
    </row>
    <row r="162" spans="1:139" x14ac:dyDescent="0.3">
      <c r="A162" s="704" t="s">
        <v>2495</v>
      </c>
      <c r="B162" s="704"/>
      <c r="C162" s="704"/>
      <c r="D162" s="729">
        <f>IF(AND(OperBgt!E$38&lt;(1-Vacancy),D160&lt;0),-D160,0)</f>
        <v>0</v>
      </c>
      <c r="E162" s="704">
        <f>IF(AND(OperBgt!F$38&lt;(1-Vacancy),E160&lt;0),-E160,0)</f>
        <v>0</v>
      </c>
      <c r="F162" s="704">
        <f ca="1">IF(AND(OperBgt!G$38&lt;(1-Vacancy),F160&lt;0),-F160,0)</f>
        <v>0</v>
      </c>
      <c r="G162" s="704">
        <f ca="1">IF(AND(OperBgt!H$38&lt;(1-Vacancy),G160&lt;0),-G160,0)</f>
        <v>0</v>
      </c>
      <c r="H162" s="704">
        <f ca="1">IF(AND(OperBgt!I$38&lt;(1-Vacancy),H160&lt;0),-H160,0)</f>
        <v>0</v>
      </c>
      <c r="I162" s="704">
        <f ca="1">IF(AND(OperBgt!J$38&lt;(1-Vacancy),I160&lt;0),-I160,0)</f>
        <v>0</v>
      </c>
      <c r="J162" s="704">
        <f ca="1">IF(AND(OperBgt!K$38&lt;(1-Vacancy),J160&lt;0),-J160,0)</f>
        <v>0</v>
      </c>
      <c r="K162" s="704">
        <f ca="1">IF(AND(OperBgt!L$38&lt;(1-Vacancy),K160&lt;0),-K160,0)</f>
        <v>0</v>
      </c>
      <c r="L162" s="704">
        <f ca="1">IF(AND(OperBgt!M$38&lt;(1-Vacancy),L160&lt;0),-L160,0)</f>
        <v>0</v>
      </c>
      <c r="M162" s="704">
        <f ca="1">IF(AND(OperBgt!N$38&lt;(1-Vacancy),M160&lt;0),-M160,0)</f>
        <v>0</v>
      </c>
      <c r="N162" s="704">
        <f ca="1">IF(AND(OperBgt!O$38&lt;(1-Vacancy),N160&lt;0),-N160,0)</f>
        <v>0</v>
      </c>
      <c r="O162" s="704">
        <f ca="1">IF(AND(OperBgt!P$38&lt;(1-Vacancy),O160&lt;0),-O160,0)</f>
        <v>0</v>
      </c>
      <c r="P162" s="704">
        <f ca="1">IF(AND(OperBgt!Q$38&lt;(1-Vacancy),P160&lt;0),-P160,0)</f>
        <v>9271.8618416666668</v>
      </c>
      <c r="Q162" s="704">
        <f ca="1">IF(AND(OperBgt!R$38&lt;(1-Vacancy),Q160&lt;0),-Q160,0)</f>
        <v>30859.985503750006</v>
      </c>
      <c r="R162" s="704">
        <f ca="1">IF(AND(OperBgt!S$38&lt;(1-Vacancy),R160&lt;0),-R160,0)</f>
        <v>52721.499257916672</v>
      </c>
      <c r="S162" s="704">
        <f ca="1">IF(AND(OperBgt!T$38&lt;(1-Vacancy),S160&lt;0),-S160,0)</f>
        <v>154708.14298147411</v>
      </c>
      <c r="T162" s="704">
        <f ca="1">IF(AND(OperBgt!U$38&lt;(1-Vacancy),T160&lt;0),-T160,0)</f>
        <v>177514.15449958813</v>
      </c>
      <c r="U162" s="704">
        <f ca="1">IF(AND(OperBgt!V$38&lt;(1-Vacancy),U160&lt;0),-U160,0)</f>
        <v>202129.96264906003</v>
      </c>
      <c r="V162" s="704">
        <f ca="1">IF(AND(OperBgt!W$38&lt;(1-Vacancy),V160&lt;0),-V160,0)</f>
        <v>190563.27609614152</v>
      </c>
      <c r="W162" s="704">
        <f ca="1">IF(AND(OperBgt!X$38&lt;(1-Vacancy),W160&lt;0),-W160,0)</f>
        <v>175070.20331637809</v>
      </c>
      <c r="X162" s="704">
        <f ca="1">IF(AND(OperBgt!Y$38&lt;(1-Vacancy),X160&lt;0),-X160,0)</f>
        <v>149468.47362206239</v>
      </c>
      <c r="Y162" s="704">
        <f ca="1">IF(AND(OperBgt!Z$38&lt;(1-Vacancy),Y160&lt;0),-Y160,0)</f>
        <v>126565.92720762049</v>
      </c>
      <c r="Z162" s="704">
        <f ca="1">IF(AND(OperBgt!AA$38&lt;(1-Vacancy),Z160&lt;0),-Z160,0)</f>
        <v>93159.022734660248</v>
      </c>
      <c r="AA162" s="704">
        <f ca="1">IF(AND(OperBgt!AB$38&lt;(1-Vacancy),AA160&lt;0),-AA160,0)</f>
        <v>49426.25748972423</v>
      </c>
      <c r="AB162" s="704">
        <f ca="1">IF(AND(OperBgt!AC$38&lt;(1-Vacancy),AB160&lt;0),-AB160,0)</f>
        <v>3883.9078558211913</v>
      </c>
      <c r="AC162" s="704">
        <f ca="1">IF(AND(OperBgt!AD$38&lt;(1-Vacancy),AC160&lt;0),-AC160,0)</f>
        <v>0</v>
      </c>
      <c r="AD162" s="704">
        <f ca="1">IF(AND(OperBgt!AE$38&lt;(1-Vacancy),AD160&lt;0),-AD160,0)</f>
        <v>0</v>
      </c>
      <c r="AE162" s="704">
        <f ca="1">IF(AND(OperBgt!AF$38&lt;(1-Vacancy),AE160&lt;0),-AE160,0)</f>
        <v>0</v>
      </c>
      <c r="AF162" s="704">
        <f ca="1">IF(AND(OperBgt!AG$38&lt;(1-Vacancy),AF160&lt;0),-AF160,0)</f>
        <v>0</v>
      </c>
      <c r="AG162" s="704">
        <f ca="1">IF(AND(OperBgt!AH$38&lt;(1-Vacancy),AG160&lt;0),-AG160,0)</f>
        <v>0</v>
      </c>
      <c r="AH162" s="704">
        <f ca="1">IF(AND(OperBgt!AI$38&lt;(1-Vacancy),AH160&lt;0),-AH160,0)</f>
        <v>0</v>
      </c>
      <c r="AI162" s="704">
        <f ca="1">IF(AND(OperBgt!AJ$38&lt;(1-Vacancy),AI160&lt;0),-AI160,0)</f>
        <v>0</v>
      </c>
      <c r="AJ162" s="704">
        <f ca="1">IF(AND(OperBgt!AK$38&lt;(1-Vacancy),AJ160&lt;0),-AJ160,0)</f>
        <v>0</v>
      </c>
      <c r="AK162" s="704">
        <f ca="1">IF(AND(OperBgt!AL$38&lt;(1-Vacancy),AK160&lt;0),-AK160,0)</f>
        <v>0</v>
      </c>
      <c r="AL162" s="704">
        <f ca="1">IF(AND(OperBgt!AM$38&lt;(1-Vacancy),AL160&lt;0),-AL160,0)</f>
        <v>0</v>
      </c>
      <c r="AM162" s="704">
        <f ca="1">IF(AND(OperBgt!AN$38&lt;(1-Vacancy),AM160&lt;0),-AM160,0)</f>
        <v>0</v>
      </c>
      <c r="AN162" s="704">
        <f ca="1">IF(AND(OperBgt!AO$38&lt;(1-Vacancy),AN160&lt;0),-AN160,0)</f>
        <v>0</v>
      </c>
      <c r="AO162" s="704">
        <f ca="1">IF(AND(OperBgt!AP$38&lt;(1-Vacancy),AO160&lt;0),-AO160,0)</f>
        <v>0</v>
      </c>
      <c r="AP162" s="704">
        <f ca="1">IF(AND(OperBgt!AQ$38&lt;(1-Vacancy),AP160&lt;0),-AP160,0)</f>
        <v>0</v>
      </c>
      <c r="AQ162" s="704">
        <f ca="1">IF(AND(OperBgt!AR$38&lt;(1-Vacancy),AQ160&lt;0),-AQ160,0)</f>
        <v>0</v>
      </c>
      <c r="AR162" s="704">
        <f ca="1">IF(AND(OperBgt!AS$38&lt;(1-Vacancy),AR160&lt;0),-AR160,0)</f>
        <v>0</v>
      </c>
      <c r="AS162" s="704">
        <f ca="1">IF(AND(OperBgt!AT$38&lt;(1-Vacancy),AS160&lt;0),-AS160,0)</f>
        <v>0</v>
      </c>
      <c r="AT162" s="704">
        <f ca="1">IF(AND(OperBgt!AU$38&lt;(1-Vacancy),AT160&lt;0),-AT160,0)</f>
        <v>0</v>
      </c>
      <c r="AU162" s="704">
        <f ca="1">IF(AND(OperBgt!AV$38&lt;(1-Vacancy),AU160&lt;0),-AU160,0)</f>
        <v>0</v>
      </c>
      <c r="AV162" s="704">
        <f ca="1">IF(AND(OperBgt!AW$38&lt;(1-Vacancy),AV160&lt;0),-AV160,0)</f>
        <v>0</v>
      </c>
      <c r="AW162" s="704">
        <f ca="1">IF(AND(OperBgt!AX$38&lt;(1-Vacancy),AW160&lt;0),-AW160,0)</f>
        <v>0</v>
      </c>
      <c r="AX162" s="704">
        <f ca="1">IF(AND(OperBgt!AY$38&lt;(1-Vacancy),AX160&lt;0),-AX160,0)</f>
        <v>0</v>
      </c>
      <c r="AY162" s="704">
        <f ca="1">IF(AND(OperBgt!AZ$38&lt;(1-Vacancy),AY160&lt;0),-AY160,0)</f>
        <v>0</v>
      </c>
      <c r="AZ162" s="704">
        <f ca="1">IF(AND(OperBgt!BA$38&lt;(1-Vacancy),AZ160&lt;0),-AZ160,0)</f>
        <v>0</v>
      </c>
      <c r="BA162" s="704">
        <f ca="1">IF(AND(OperBgt!BB$38&lt;(1-Vacancy),BA160&lt;0),-BA160,0)</f>
        <v>0</v>
      </c>
      <c r="BB162" s="704">
        <f ca="1">IF(AND(OperBgt!BC$38&lt;(1-Vacancy),BB160&lt;0),-BB160,0)</f>
        <v>0</v>
      </c>
      <c r="BC162" s="704">
        <f ca="1">IF(AND(OperBgt!BD$38&lt;(1-Vacancy),BC160&lt;0),-BC160,0)</f>
        <v>0</v>
      </c>
      <c r="BD162" s="704">
        <f ca="1">IF(AND(OperBgt!BE$38&lt;(1-Vacancy),BD160&lt;0),-BD160,0)</f>
        <v>0</v>
      </c>
      <c r="BE162" s="704">
        <f ca="1">IF(AND(OperBgt!BF$38&lt;(1-Vacancy),BE160&lt;0),-BE160,0)</f>
        <v>0</v>
      </c>
      <c r="BF162" s="704">
        <f ca="1">IF(AND(OperBgt!BG$38&lt;(1-Vacancy),BF160&lt;0),-BF160,0)</f>
        <v>0</v>
      </c>
      <c r="BG162" s="704">
        <f ca="1">IF(AND(OperBgt!BH$38&lt;(1-Vacancy),BG160&lt;0),-BG160,0)</f>
        <v>0</v>
      </c>
      <c r="BH162" s="704">
        <f ca="1">IF(AND(OperBgt!BI$38&lt;(1-Vacancy),BH160&lt;0),-BH160,0)</f>
        <v>0</v>
      </c>
      <c r="BI162" s="704">
        <f ca="1">IF(AND(OperBgt!BJ$38&lt;(1-Vacancy),BI160&lt;0),-BI160,0)</f>
        <v>0</v>
      </c>
      <c r="BJ162" s="704">
        <f ca="1">IF(AND(OperBgt!BK$38&lt;(1-Vacancy),BJ160&lt;0),-BJ160,0)</f>
        <v>0</v>
      </c>
      <c r="BK162" s="704">
        <f ca="1">IF(AND(OperBgt!BL$38&lt;(1-Vacancy),BK160&lt;0),-BK160,0)</f>
        <v>0</v>
      </c>
      <c r="BL162" s="704">
        <f ca="1">IF(AND(OperBgt!BM$38&lt;(1-Vacancy),BL160&lt;0),-BL160,0)</f>
        <v>0</v>
      </c>
      <c r="BM162" s="704">
        <f ca="1">IF(AND(OperBgt!BN$38&lt;(1-Vacancy),BM160&lt;0),-BM160,0)</f>
        <v>0</v>
      </c>
      <c r="BN162" s="704">
        <f ca="1">IF(AND(OperBgt!BO$38&lt;(1-Vacancy),BN160&lt;0),-BN160,0)</f>
        <v>0</v>
      </c>
      <c r="BO162" s="704">
        <f ca="1">IF(AND(OperBgt!BP$38&lt;(1-Vacancy),BO160&lt;0),-BO160,0)</f>
        <v>0</v>
      </c>
      <c r="BP162" s="704">
        <f ca="1">IF(AND(OperBgt!BQ$38&lt;(1-Vacancy),BP160&lt;0),-BP160,0)</f>
        <v>0</v>
      </c>
      <c r="BQ162" s="704">
        <f ca="1">IF(AND(OperBgt!BR$38&lt;(1-Vacancy),BQ160&lt;0),-BQ160,0)</f>
        <v>0</v>
      </c>
      <c r="BR162" s="704">
        <f ca="1">IF(AND(OperBgt!BS$38&lt;(1-Vacancy),BR160&lt;0),-BR160,0)</f>
        <v>0</v>
      </c>
      <c r="BS162" s="704">
        <f ca="1">IF(AND(OperBgt!BT$38&lt;(1-Vacancy),BS160&lt;0),-BS160,0)</f>
        <v>0</v>
      </c>
      <c r="BT162" s="704">
        <f ca="1">IF(AND(OperBgt!BU$38&lt;(1-Vacancy),BT160&lt;0),-BT160,0)</f>
        <v>0</v>
      </c>
      <c r="BU162" s="704">
        <f ca="1">IF(AND(OperBgt!BV$38&lt;(1-Vacancy),BU160&lt;0),-BU160,0)</f>
        <v>0</v>
      </c>
      <c r="BV162" s="704">
        <f ca="1">IF(AND(OperBgt!BW$38&lt;(1-Vacancy),BV160&lt;0),-BV160,0)</f>
        <v>0</v>
      </c>
      <c r="BW162" s="704">
        <f ca="1">IF(AND(OperBgt!BX$38&lt;(1-Vacancy),BW160&lt;0),-BW160,0)</f>
        <v>0</v>
      </c>
      <c r="BX162" s="704">
        <f ca="1">IF(AND(OperBgt!BY$38&lt;(1-Vacancy),BX160&lt;0),-BX160,0)</f>
        <v>0</v>
      </c>
      <c r="BY162" s="704">
        <f ca="1">IF(AND(OperBgt!BZ$38&lt;(1-Vacancy),BY160&lt;0),-BY160,0)</f>
        <v>0</v>
      </c>
      <c r="BZ162" s="704">
        <f ca="1">IF(AND(OperBgt!CA$38&lt;(1-Vacancy),BZ160&lt;0),-BZ160,0)</f>
        <v>0</v>
      </c>
      <c r="CA162" s="704">
        <f ca="1">IF(AND(OperBgt!CB$38&lt;(1-Vacancy),CA160&lt;0),-CA160,0)</f>
        <v>0</v>
      </c>
      <c r="CB162" s="704">
        <f ca="1">IF(AND(OperBgt!CC$38&lt;(1-Vacancy),CB160&lt;0),-CB160,0)</f>
        <v>0</v>
      </c>
      <c r="CC162" s="704">
        <f ca="1">IF(AND(OperBgt!CD$38&lt;(1-Vacancy),CC160&lt;0),-CC160,0)</f>
        <v>0</v>
      </c>
      <c r="CD162" s="704">
        <f ca="1">IF(AND(OperBgt!CE$38&lt;(1-Vacancy),CD160&lt;0),-CD160,0)</f>
        <v>0</v>
      </c>
      <c r="CE162" s="704">
        <f ca="1">IF(AND(OperBgt!CF$38&lt;(1-Vacancy),CE160&lt;0),-CE160,0)</f>
        <v>0</v>
      </c>
      <c r="CF162" s="704">
        <f ca="1">IF(AND(OperBgt!CG$38&lt;(1-Vacancy),CF160&lt;0),-CF160,0)</f>
        <v>0</v>
      </c>
      <c r="CG162" s="704">
        <f ca="1">IF(AND(OperBgt!CH$38&lt;(1-Vacancy),CG160&lt;0),-CG160,0)</f>
        <v>0</v>
      </c>
      <c r="CH162" s="704">
        <f ca="1">IF(AND(OperBgt!CI$38&lt;(1-Vacancy),CH160&lt;0),-CH160,0)</f>
        <v>0</v>
      </c>
      <c r="CI162" s="704">
        <f ca="1">IF(AND(OperBgt!CJ$38&lt;(1-Vacancy),CI160&lt;0),-CI160,0)</f>
        <v>0</v>
      </c>
      <c r="CJ162" s="704">
        <f ca="1">IF(AND(OperBgt!CK$38&lt;(1-Vacancy),CJ160&lt;0),-CJ160,0)</f>
        <v>0</v>
      </c>
      <c r="CK162" s="704">
        <f ca="1">IF(AND(OperBgt!CL$38&lt;(1-Vacancy),CK160&lt;0),-CK160,0)</f>
        <v>0</v>
      </c>
      <c r="CL162" s="704">
        <f ca="1">IF(AND(OperBgt!CM$38&lt;(1-Vacancy),CL160&lt;0),-CL160,0)</f>
        <v>0</v>
      </c>
      <c r="CM162" s="704">
        <f ca="1">IF(AND(OperBgt!CN$38&lt;(1-Vacancy),CM160&lt;0),-CM160,0)</f>
        <v>0</v>
      </c>
      <c r="CN162" s="704">
        <f ca="1">IF(AND(OperBgt!CO$38&lt;(1-Vacancy),CN160&lt;0),-CN160,0)</f>
        <v>0</v>
      </c>
      <c r="CO162" s="704">
        <f ca="1">IF(AND(OperBgt!CP$38&lt;(1-Vacancy),CO160&lt;0),-CO160,0)</f>
        <v>0</v>
      </c>
      <c r="CP162" s="704">
        <f ca="1">IF(AND(OperBgt!CQ$38&lt;(1-Vacancy),CP160&lt;0),-CP160,0)</f>
        <v>0</v>
      </c>
      <c r="CQ162" s="704">
        <f ca="1">IF(AND(OperBgt!CR$38&lt;(1-Vacancy),CQ160&lt;0),-CQ160,0)</f>
        <v>0</v>
      </c>
      <c r="CR162" s="704">
        <f ca="1">IF(AND(OperBgt!CS$38&lt;(1-Vacancy),CR160&lt;0),-CR160,0)</f>
        <v>0</v>
      </c>
      <c r="CS162" s="704">
        <f ca="1">IF(AND(OperBgt!CT$38&lt;(1-Vacancy),CS160&lt;0),-CS160,0)</f>
        <v>0</v>
      </c>
      <c r="CT162" s="704">
        <f ca="1">IF(AND(OperBgt!CU$38&lt;(1-Vacancy),CT160&lt;0),-CT160,0)</f>
        <v>0</v>
      </c>
      <c r="CU162" s="704">
        <f ca="1">IF(AND(OperBgt!CV$38&lt;(1-Vacancy),CU160&lt;0),-CU160,0)</f>
        <v>0</v>
      </c>
      <c r="CV162" s="704">
        <f ca="1">IF(AND(OperBgt!CW$38&lt;(1-Vacancy),CV160&lt;0),-CV160,0)</f>
        <v>0</v>
      </c>
      <c r="CW162" s="704">
        <f ca="1">IF(AND(OperBgt!CX$38&lt;(1-Vacancy),CW160&lt;0),-CW160,0)</f>
        <v>0</v>
      </c>
      <c r="CX162" s="704">
        <f ca="1">IF(AND(OperBgt!CY$38&lt;(1-Vacancy),CX160&lt;0),-CX160,0)</f>
        <v>0</v>
      </c>
      <c r="CY162" s="704">
        <f ca="1">IF(AND(OperBgt!CZ$38&lt;(1-Vacancy),CY160&lt;0),-CY160,0)</f>
        <v>0</v>
      </c>
      <c r="CZ162" s="704">
        <f ca="1">IF(AND(OperBgt!DA$38&lt;(1-Vacancy),CZ160&lt;0),-CZ160,0)</f>
        <v>0</v>
      </c>
      <c r="DA162" s="704">
        <f ca="1">IF(AND(OperBgt!DB$38&lt;(1-Vacancy),DA160&lt;0),-DA160,0)</f>
        <v>0</v>
      </c>
      <c r="DB162" s="704">
        <f ca="1">IF(AND(OperBgt!DC$38&lt;(1-Vacancy),DB160&lt;0),-DB160,0)</f>
        <v>0</v>
      </c>
      <c r="DC162" s="704">
        <f ca="1">IF(AND(OperBgt!DD$38&lt;(1-Vacancy),DC160&lt;0),-DC160,0)</f>
        <v>0</v>
      </c>
      <c r="DD162" s="704">
        <f ca="1">IF(AND(OperBgt!DE$38&lt;(1-Vacancy),DD160&lt;0),-DD160,0)</f>
        <v>0</v>
      </c>
      <c r="DE162" s="704">
        <f ca="1">IF(AND(OperBgt!DF$38&lt;(1-Vacancy),DE160&lt;0),-DE160,0)</f>
        <v>0</v>
      </c>
      <c r="DF162" s="704">
        <f ca="1">IF(AND(OperBgt!DG$38&lt;(1-Vacancy),DF160&lt;0),-DF160,0)</f>
        <v>0</v>
      </c>
      <c r="DG162" s="704">
        <f ca="1">IF(AND(OperBgt!DH$38&lt;(1-Vacancy),DG160&lt;0),-DG160,0)</f>
        <v>0</v>
      </c>
      <c r="DH162" s="704">
        <f ca="1">IF(AND(OperBgt!DI$38&lt;(1-Vacancy),DH160&lt;0),-DH160,0)</f>
        <v>0</v>
      </c>
      <c r="DI162" s="704">
        <f ca="1">IF(AND(OperBgt!DJ$38&lt;(1-Vacancy),DI160&lt;0),-DI160,0)</f>
        <v>0</v>
      </c>
      <c r="DJ162" s="704">
        <f ca="1">IF(AND(OperBgt!DK$38&lt;(1-Vacancy),DJ160&lt;0),-DJ160,0)</f>
        <v>0</v>
      </c>
      <c r="DK162" s="704">
        <f ca="1">IF(AND(OperBgt!DL$38&lt;(1-Vacancy),DK160&lt;0),-DK160,0)</f>
        <v>0</v>
      </c>
      <c r="DL162" s="704">
        <f ca="1">IF(AND(OperBgt!DM$38&lt;(1-Vacancy),DL160&lt;0),-DL160,0)</f>
        <v>0</v>
      </c>
      <c r="DM162" s="704">
        <f ca="1">IF(AND(OperBgt!DN$38&lt;(1-Vacancy),DM160&lt;0),-DM160,0)</f>
        <v>0</v>
      </c>
      <c r="DN162" s="704">
        <f ca="1">IF(AND(OperBgt!DO$38&lt;(1-Vacancy),DN160&lt;0),-DN160,0)</f>
        <v>0</v>
      </c>
      <c r="DO162" s="704">
        <f ca="1">IF(AND(OperBgt!DP$38&lt;(1-Vacancy),DO160&lt;0),-DO160,0)</f>
        <v>0</v>
      </c>
      <c r="DP162" s="704">
        <f ca="1">IF(AND(OperBgt!DQ$38&lt;(1-Vacancy),DP160&lt;0),-DP160,0)</f>
        <v>0</v>
      </c>
      <c r="DQ162" s="704">
        <f ca="1">IF(AND(OperBgt!DR$38&lt;(1-Vacancy),DQ160&lt;0),-DQ160,0)</f>
        <v>0</v>
      </c>
      <c r="DR162" s="704">
        <f ca="1">IF(AND(OperBgt!DS$38&lt;(1-Vacancy),DR160&lt;0),-DR160,0)</f>
        <v>0</v>
      </c>
      <c r="DS162" s="704">
        <f ca="1">IF(AND(OperBgt!DT$38&lt;(1-Vacancy),DS160&lt;0),-DS160,0)</f>
        <v>0</v>
      </c>
      <c r="DT162" s="704">
        <f ca="1">IF(AND(OperBgt!DU$38&lt;(1-Vacancy),DT160&lt;0),-DT160,0)</f>
        <v>0</v>
      </c>
      <c r="DU162" s="704">
        <f ca="1">IF(AND(OperBgt!DV$38&lt;(1-Vacancy),DU160&lt;0),-DU160,0)</f>
        <v>0</v>
      </c>
      <c r="DV162" s="704">
        <f ca="1">IF(AND(OperBgt!DW$38&lt;(1-Vacancy),DV160&lt;0),-DV160,0)</f>
        <v>0</v>
      </c>
      <c r="DW162" s="704">
        <f ca="1">IF(AND(OperBgt!DX$38&lt;(1-Vacancy),DW160&lt;0),-DW160,0)</f>
        <v>0</v>
      </c>
      <c r="DX162" s="704">
        <f ca="1">IF(AND(OperBgt!DY$38&lt;(1-Vacancy),DX160&lt;0),-DX160,0)</f>
        <v>0</v>
      </c>
      <c r="DY162" s="704">
        <f ca="1">IF(AND(OperBgt!DZ$38&lt;(1-Vacancy),DY160&lt;0),-DY160,0)</f>
        <v>0</v>
      </c>
      <c r="DZ162" s="704">
        <f ca="1">IF(AND(OperBgt!EA$38&lt;(1-Vacancy),DZ160&lt;0),-DZ160,0)</f>
        <v>0</v>
      </c>
      <c r="EA162" s="704">
        <f ca="1">IF(AND(OperBgt!EB$38&lt;(1-Vacancy),EA160&lt;0),-EA160,0)</f>
        <v>0</v>
      </c>
      <c r="EB162" s="704">
        <f ca="1">IF(AND(OperBgt!EC$38&lt;(1-Vacancy),EB160&lt;0),-EB160,0)</f>
        <v>0</v>
      </c>
      <c r="EC162" s="704">
        <f ca="1">IF(AND(OperBgt!ED$38&lt;(1-Vacancy),EC160&lt;0),-EC160,0)</f>
        <v>0</v>
      </c>
      <c r="ED162" s="704">
        <f ca="1">IF(AND(OperBgt!EE$38&lt;(1-Vacancy),ED160&lt;0),-ED160,0)</f>
        <v>0</v>
      </c>
      <c r="EE162" s="704">
        <f ca="1">IF(AND(OperBgt!EF$38&lt;(1-Vacancy),EE160&lt;0),-EE160,0)</f>
        <v>0</v>
      </c>
      <c r="EF162" s="704">
        <f ca="1">IF(AND(OperBgt!EG$38&lt;(1-Vacancy),EF160&lt;0),-EF160,0)</f>
        <v>0</v>
      </c>
      <c r="EG162" s="704">
        <f ca="1">IF(AND(OperBgt!EH$38&lt;(1-Vacancy),EG160&lt;0),-EG160,0)</f>
        <v>0</v>
      </c>
      <c r="EH162" s="644"/>
      <c r="EI162" s="280"/>
    </row>
    <row r="163" spans="1:139" x14ac:dyDescent="0.3">
      <c r="A163" s="703" t="s">
        <v>867</v>
      </c>
      <c r="B163" s="706"/>
      <c r="C163" s="703"/>
      <c r="D163" s="686"/>
      <c r="E163" s="2558">
        <f>IF('Development Inputs'!$N$97="Merchant",E160+E162,IF(AND(E$6=DateDisposition,'Development Inputs'!$N$97="PropCo"),SUM($E$160:E$160,$E$162:E$162)-SUM(D$163:$E$163),IF(AND(OR(MONTH(Waterfalls!E$6)=3,MONTH(Waterfalls!E$6)=6,MONTH(Waterfalls!E$6)=9,MONTH(Waterfalls!E$6)=12),'Development Inputs'!$N$97="PropCo"),SUM(C160:E160,C162:E162),0)))</f>
        <v>0</v>
      </c>
      <c r="F163" s="2558">
        <f ca="1">IF('Development Inputs'!$N$97="Merchant",F160+F162,IF(AND(F$6=DateDisposition,'Development Inputs'!$N$97="PropCo"),SUM($E$160:F$160,$E$162:F$162)-SUM($E$163:E$163),IF(AND(OR(MONTH(Waterfalls!F$6)=3,MONTH(Waterfalls!F$6)=6,MONTH(Waterfalls!F$6)=9,MONTH(Waterfalls!F$6)=12),'Development Inputs'!$N$97="PropCo"),SUM(D160:F160,D162:F162),0)))</f>
        <v>0</v>
      </c>
      <c r="G163" s="2558">
        <f ca="1">IF('Development Inputs'!$N$97="Merchant",G160+G162,IF(AND(G$6=DateDisposition,'Development Inputs'!$N$97="PropCo"),SUM($E$160:G$160,$E$162:G$162)-SUM($E$163:F$163),IF(AND(OR(MONTH(Waterfalls!G$6)=3,MONTH(Waterfalls!G$6)=6,MONTH(Waterfalls!G$6)=9,MONTH(Waterfalls!G$6)=12),'Development Inputs'!$N$97="PropCo"),SUM(E160:G160,E162:G162),0)))</f>
        <v>0</v>
      </c>
      <c r="H163" s="2558">
        <f ca="1">IF('Development Inputs'!$N$97="Merchant",H160+H162,IF(AND(H$6=DateDisposition,'Development Inputs'!$N$97="PropCo"),SUM($E$160:H$160,$E$162:H$162)-SUM($E$163:G$163),IF(AND(OR(MONTH(Waterfalls!H$6)=3,MONTH(Waterfalls!H$6)=6,MONTH(Waterfalls!H$6)=9,MONTH(Waterfalls!H$6)=12),'Development Inputs'!$N$97="PropCo"),SUM(F160:H160,F162:H162),0)))</f>
        <v>0</v>
      </c>
      <c r="I163" s="2558">
        <f ca="1">IF('Development Inputs'!$N$97="Merchant",I160+I162,IF(AND(I$6=DateDisposition,'Development Inputs'!$N$97="PropCo"),SUM($E$160:I$160,$E$162:I$162)-SUM($E$163:H$163),IF(AND(OR(MONTH(Waterfalls!I$6)=3,MONTH(Waterfalls!I$6)=6,MONTH(Waterfalls!I$6)=9,MONTH(Waterfalls!I$6)=12),'Development Inputs'!$N$97="PropCo"),SUM(G160:I160,G162:I162),0)))</f>
        <v>0</v>
      </c>
      <c r="J163" s="2558">
        <f ca="1">IF('Development Inputs'!$N$97="Merchant",J160+J162,IF(AND(J$6=DateDisposition,'Development Inputs'!$N$97="PropCo"),SUM($E$160:J$160,$E$162:J$162)-SUM($E$163:I$163),IF(AND(OR(MONTH(Waterfalls!J$6)=3,MONTH(Waterfalls!J$6)=6,MONTH(Waterfalls!J$6)=9,MONTH(Waterfalls!J$6)=12),'Development Inputs'!$N$97="PropCo"),SUM(H160:J160,H162:J162),0)))</f>
        <v>0</v>
      </c>
      <c r="K163" s="2558">
        <f ca="1">IF('Development Inputs'!$N$97="Merchant",K160+K162,IF(AND(K$6=DateDisposition,'Development Inputs'!$N$97="PropCo"),SUM($E$160:K$160,$E$162:K$162)-SUM($E$163:J$163),IF(AND(OR(MONTH(Waterfalls!K$6)=3,MONTH(Waterfalls!K$6)=6,MONTH(Waterfalls!K$6)=9,MONTH(Waterfalls!K$6)=12),'Development Inputs'!$N$97="PropCo"),SUM(I160:K160,I162:K162),0)))</f>
        <v>0</v>
      </c>
      <c r="L163" s="2558">
        <f ca="1">IF('Development Inputs'!$N$97="Merchant",L160+L162,IF(AND(L$6=DateDisposition,'Development Inputs'!$N$97="PropCo"),SUM($E$160:L$160,$E$162:L$162)-SUM($E$163:K$163),IF(AND(OR(MONTH(Waterfalls!L$6)=3,MONTH(Waterfalls!L$6)=6,MONTH(Waterfalls!L$6)=9,MONTH(Waterfalls!L$6)=12),'Development Inputs'!$N$97="PropCo"),SUM(J160:L160,J162:L162),0)))</f>
        <v>0</v>
      </c>
      <c r="M163" s="2558">
        <f ca="1">IF('Development Inputs'!$N$97="Merchant",M160+M162,IF(AND(M$6=DateDisposition,'Development Inputs'!$N$97="PropCo"),SUM($E$160:M$160,$E$162:M$162)-SUM($E$163:L$163),IF(AND(OR(MONTH(Waterfalls!M$6)=3,MONTH(Waterfalls!M$6)=6,MONTH(Waterfalls!M$6)=9,MONTH(Waterfalls!M$6)=12),'Development Inputs'!$N$97="PropCo"),SUM(K160:M160,K162:M162),0)))</f>
        <v>0</v>
      </c>
      <c r="N163" s="2558">
        <f ca="1">IF('Development Inputs'!$N$97="Merchant",N160+N162,IF(AND(N$6=DateDisposition,'Development Inputs'!$N$97="PropCo"),SUM($E$160:N$160,$E$162:N$162)-SUM($E$163:M$163),IF(AND(OR(MONTH(Waterfalls!N$6)=3,MONTH(Waterfalls!N$6)=6,MONTH(Waterfalls!N$6)=9,MONTH(Waterfalls!N$6)=12),'Development Inputs'!$N$97="PropCo"),SUM(L160:N160,L162:N162),0)))</f>
        <v>0</v>
      </c>
      <c r="O163" s="2558">
        <f ca="1">IF('Development Inputs'!$N$97="Merchant",O160+O162,IF(AND(O$6=DateDisposition,'Development Inputs'!$N$97="PropCo"),SUM($E$160:O$160,$E$162:O$162)-SUM($E$163:N$163),IF(AND(OR(MONTH(Waterfalls!O$6)=3,MONTH(Waterfalls!O$6)=6,MONTH(Waterfalls!O$6)=9,MONTH(Waterfalls!O$6)=12),'Development Inputs'!$N$97="PropCo"),SUM(M160:O160,M162:O162),0)))</f>
        <v>0</v>
      </c>
      <c r="P163" s="2558">
        <f ca="1">IF('Development Inputs'!$N$97="Merchant",P160+P162,IF(AND(P$6=DateDisposition,'Development Inputs'!$N$97="PropCo"),SUM($E$160:P$160,$E$162:P$162)-SUM($E$163:O$163),IF(AND(OR(MONTH(Waterfalls!P$6)=3,MONTH(Waterfalls!P$6)=6,MONTH(Waterfalls!P$6)=9,MONTH(Waterfalls!P$6)=12),'Development Inputs'!$N$97="PropCo"),SUM(N160:P160,N162:P162),0)))</f>
        <v>0</v>
      </c>
      <c r="Q163" s="2558">
        <f ca="1">IF('Development Inputs'!$N$97="Merchant",Q160+Q162,IF(AND(Q$6=DateDisposition,'Development Inputs'!$N$97="PropCo"),SUM($E$160:Q$160,$E$162:Q$162)-SUM($E$163:P$163),IF(AND(OR(MONTH(Waterfalls!Q$6)=3,MONTH(Waterfalls!Q$6)=6,MONTH(Waterfalls!Q$6)=9,MONTH(Waterfalls!Q$6)=12),'Development Inputs'!$N$97="PropCo"),SUM(O160:Q160,O162:Q162),0)))</f>
        <v>0</v>
      </c>
      <c r="R163" s="2558">
        <f ca="1">IF('Development Inputs'!$N$97="Merchant",R160+R162,IF(AND(R$6=DateDisposition,'Development Inputs'!$N$97="PropCo"),SUM($E$160:R$160,$E$162:R$162)-SUM($E$163:Q$163),IF(AND(OR(MONTH(Waterfalls!R$6)=3,MONTH(Waterfalls!R$6)=6,MONTH(Waterfalls!R$6)=9,MONTH(Waterfalls!R$6)=12),'Development Inputs'!$N$97="PropCo"),SUM(P160:R160,P162:R162),0)))</f>
        <v>0</v>
      </c>
      <c r="S163" s="2558">
        <f ca="1">IF('Development Inputs'!$N$97="Merchant",S160+S162,IF(AND(S$6=DateDisposition,'Development Inputs'!$N$97="PropCo"),SUM($E$160:S$160,$E$162:S$162)-SUM($E$163:R$163),IF(AND(OR(MONTH(Waterfalls!S$6)=3,MONTH(Waterfalls!S$6)=6,MONTH(Waterfalls!S$6)=9,MONTH(Waterfalls!S$6)=12),'Development Inputs'!$N$97="PropCo"),SUM(Q160:S160,Q162:S162),0)))</f>
        <v>0</v>
      </c>
      <c r="T163" s="2558">
        <f ca="1">IF('Development Inputs'!$N$97="Merchant",T160+T162,IF(AND(T$6=DateDisposition,'Development Inputs'!$N$97="PropCo"),SUM($E$160:T$160,$E$162:T$162)-SUM($E$163:S$163),IF(AND(OR(MONTH(Waterfalls!T$6)=3,MONTH(Waterfalls!T$6)=6,MONTH(Waterfalls!T$6)=9,MONTH(Waterfalls!T$6)=12),'Development Inputs'!$N$97="PropCo"),SUM(R160:T160,R162:T162),0)))</f>
        <v>0</v>
      </c>
      <c r="U163" s="2558">
        <f ca="1">IF('Development Inputs'!$N$97="Merchant",U160+U162,IF(AND(U$6=DateDisposition,'Development Inputs'!$N$97="PropCo"),SUM($E$160:U$160,$E$162:U$162)-SUM($E$163:T$163),IF(AND(OR(MONTH(Waterfalls!U$6)=3,MONTH(Waterfalls!U$6)=6,MONTH(Waterfalls!U$6)=9,MONTH(Waterfalls!U$6)=12),'Development Inputs'!$N$97="PropCo"),SUM(S160:U160,S162:U162),0)))</f>
        <v>0</v>
      </c>
      <c r="V163" s="2558">
        <f ca="1">IF('Development Inputs'!$N$97="Merchant",V160+V162,IF(AND(V$6=DateDisposition,'Development Inputs'!$N$97="PropCo"),SUM($E$160:V$160,$E$162:V$162)-SUM($E$163:U$163),IF(AND(OR(MONTH(Waterfalls!V$6)=3,MONTH(Waterfalls!V$6)=6,MONTH(Waterfalls!V$6)=9,MONTH(Waterfalls!V$6)=12),'Development Inputs'!$N$97="PropCo"),SUM(T160:V160,T162:V162),0)))</f>
        <v>0</v>
      </c>
      <c r="W163" s="2558">
        <f ca="1">IF('Development Inputs'!$N$97="Merchant",W160+W162,IF(AND(W$6=DateDisposition,'Development Inputs'!$N$97="PropCo"),SUM($E$160:W$160,$E$162:W$162)-SUM($E$163:V$163),IF(AND(OR(MONTH(Waterfalls!W$6)=3,MONTH(Waterfalls!W$6)=6,MONTH(Waterfalls!W$6)=9,MONTH(Waterfalls!W$6)=12),'Development Inputs'!$N$97="PropCo"),SUM(U160:W160,U162:W162),0)))</f>
        <v>0</v>
      </c>
      <c r="X163" s="2558">
        <f ca="1">IF('Development Inputs'!$N$97="Merchant",X160+X162,IF(AND(X$6=DateDisposition,'Development Inputs'!$N$97="PropCo"),SUM($E$160:X$160,$E$162:X$162)-SUM($E$163:W$163),IF(AND(OR(MONTH(Waterfalls!X$6)=3,MONTH(Waterfalls!X$6)=6,MONTH(Waterfalls!X$6)=9,MONTH(Waterfalls!X$6)=12),'Development Inputs'!$N$97="PropCo"),SUM(V160:X160,V162:X162),0)))</f>
        <v>0</v>
      </c>
      <c r="Y163" s="2558">
        <f ca="1">IF('Development Inputs'!$N$97="Merchant",Y160+Y162,IF(AND(Y$6=DateDisposition,'Development Inputs'!$N$97="PropCo"),SUM($E$160:Y$160,$E$162:Y$162)-SUM($E$163:X$163),IF(AND(OR(MONTH(Waterfalls!Y$6)=3,MONTH(Waterfalls!Y$6)=6,MONTH(Waterfalls!Y$6)=9,MONTH(Waterfalls!Y$6)=12),'Development Inputs'!$N$97="PropCo"),SUM(W160:Y160,W162:Y162),0)))</f>
        <v>0</v>
      </c>
      <c r="Z163" s="2558">
        <f ca="1">IF('Development Inputs'!$N$97="Merchant",Z160+Z162,IF(AND(Z$6=DateDisposition,'Development Inputs'!$N$97="PropCo"),SUM($E$160:Z$160,$E$162:Z$162)-SUM($E$163:Y$163),IF(AND(OR(MONTH(Waterfalls!Z$6)=3,MONTH(Waterfalls!Z$6)=6,MONTH(Waterfalls!Z$6)=9,MONTH(Waterfalls!Z$6)=12),'Development Inputs'!$N$97="PropCo"),SUM(X160:Z160,X162:Z162),0)))</f>
        <v>0</v>
      </c>
      <c r="AA163" s="2558">
        <f ca="1">IF('Development Inputs'!$N$97="Merchant",AA160+AA162,IF(AND(AA$6=DateDisposition,'Development Inputs'!$N$97="PropCo"),SUM($E$160:AA$160,$E$162:AA$162)-SUM($E$163:Z$163),IF(AND(OR(MONTH(Waterfalls!AA$6)=3,MONTH(Waterfalls!AA$6)=6,MONTH(Waterfalls!AA$6)=9,MONTH(Waterfalls!AA$6)=12),'Development Inputs'!$N$97="PropCo"),SUM(Y160:AA160,Y162:AA162),0)))</f>
        <v>0</v>
      </c>
      <c r="AB163" s="2558">
        <f ca="1">IF('Development Inputs'!$N$97="Merchant",AB160+AB162,IF(AND(AB$6=DateDisposition,'Development Inputs'!$N$97="PropCo"),SUM($E$160:AB$160,$E$162:AB$162)-SUM($E$163:AA$163),IF(AND(OR(MONTH(Waterfalls!AB$6)=3,MONTH(Waterfalls!AB$6)=6,MONTH(Waterfalls!AB$6)=9,MONTH(Waterfalls!AB$6)=12),'Development Inputs'!$N$97="PropCo"),SUM(Z160:AB160,Z162:AB162),0)))</f>
        <v>0</v>
      </c>
      <c r="AC163" s="2558">
        <f ca="1">IF('Development Inputs'!$N$97="Merchant",AC160+AC162,IF(AND(AC$6=DateDisposition,'Development Inputs'!$N$97="PropCo"),SUM($E$160:AC$160,$E$162:AC$162)-SUM($E$163:AB$163),IF(AND(OR(MONTH(Waterfalls!AC$6)=3,MONTH(Waterfalls!AC$6)=6,MONTH(Waterfalls!AC$6)=9,MONTH(Waterfalls!AC$6)=12),'Development Inputs'!$N$97="PropCo"),SUM(AA160:AC160,AA162:AC162),0)))</f>
        <v>44113.029490091343</v>
      </c>
      <c r="AD163" s="2558">
        <f ca="1">IF('Development Inputs'!$N$97="Merchant",AD160+AD162,IF(AND(AD$6=DateDisposition,'Development Inputs'!$N$97="PropCo"),SUM($E$160:AD$160,$E$162:AD$162)-SUM($E$163:AC$163),IF(AND(OR(MONTH(Waterfalls!AD$6)=3,MONTH(Waterfalls!AD$6)=6,MONTH(Waterfalls!AD$6)=9,MONTH(Waterfalls!AD$6)=12),'Development Inputs'!$N$97="PropCo"),SUM(AB160:AD160,AB162:AD162),0)))</f>
        <v>84330.422386363207</v>
      </c>
      <c r="AE163" s="2558">
        <f ca="1">IF('Development Inputs'!$N$97="Merchant",AE160+AE162,IF(AND(AE$6=DateDisposition,'Development Inputs'!$N$97="PropCo"),SUM($E$160:AE$160,$E$162:AE$162)-SUM($E$163:AD$163),IF(AND(OR(MONTH(Waterfalls!AE$6)=3,MONTH(Waterfalls!AE$6)=6,MONTH(Waterfalls!AE$6)=9,MONTH(Waterfalls!AE$6)=12),'Development Inputs'!$N$97="PropCo"),SUM(AC160:AE160,AC162:AE162),0)))</f>
        <v>130124.26310856765</v>
      </c>
      <c r="AF163" s="2558">
        <f ca="1">IF('Development Inputs'!$N$97="Merchant",AF160+AF162,IF(AND(AF$6=DateDisposition,'Development Inputs'!$N$97="PropCo"),SUM($E$160:AF$160,$E$162:AF$162)-SUM($E$163:AE$163),IF(AND(OR(MONTH(Waterfalls!AF$6)=3,MONTH(Waterfalls!AF$6)=6,MONTH(Waterfalls!AF$6)=9,MONTH(Waterfalls!AF$6)=12),'Development Inputs'!$N$97="PropCo"),SUM(AD160:AF160,AD162:AF162),0)))</f>
        <v>219562.23728908136</v>
      </c>
      <c r="AG163" s="2558">
        <f ca="1">IF('Development Inputs'!$N$97="Merchant",AG160+AG162,IF(AND(AG$6=DateDisposition,'Development Inputs'!$N$97="PropCo"),SUM($E$160:AG$160,$E$162:AG$162)-SUM($E$163:AF$163),IF(AND(OR(MONTH(Waterfalls!AG$6)=3,MONTH(Waterfalls!AG$6)=6,MONTH(Waterfalls!AG$6)=9,MONTH(Waterfalls!AG$6)=12),'Development Inputs'!$N$97="PropCo"),SUM(AE160:AG160,AE162:AG162),0)))</f>
        <v>223208.57894093162</v>
      </c>
      <c r="AH163" s="2558">
        <f ca="1">IF('Development Inputs'!$N$97="Merchant",AH160+AH162,IF(AND(AH$6=DateDisposition,'Development Inputs'!$N$97="PropCo"),SUM($E$160:AH$160,$E$162:AH$162)-SUM($E$163:AG$163),IF(AND(OR(MONTH(Waterfalls!AH$6)=3,MONTH(Waterfalls!AH$6)=6,MONTH(Waterfalls!AH$6)=9,MONTH(Waterfalls!AH$6)=12),'Development Inputs'!$N$97="PropCo"),SUM(AF160:AH160,AF162:AH162),0)))</f>
        <v>224511.72787867484</v>
      </c>
      <c r="AI163" s="2558">
        <f ca="1">IF('Development Inputs'!$N$97="Merchant",AI160+AI162,IF(AND(AI$6=DateDisposition,'Development Inputs'!$N$97="PropCo"),SUM($E$160:AI$160,$E$162:AI$162)-SUM($E$163:AH$163),IF(AND(OR(MONTH(Waterfalls!AI$6)=3,MONTH(Waterfalls!AI$6)=6,MONTH(Waterfalls!AI$6)=9,MONTH(Waterfalls!AI$6)=12),'Development Inputs'!$N$97="PropCo"),SUM(AG160:AI160,AG162:AI162),0)))</f>
        <v>191557.41751984309</v>
      </c>
      <c r="AJ163" s="2558">
        <f ca="1">IF('Development Inputs'!$N$97="Merchant",AJ160+AJ162,IF(AND(AJ$6=DateDisposition,'Development Inputs'!$N$97="PropCo"),SUM($E$160:AJ$160,$E$162:AJ$162)-SUM($E$163:AI$163),IF(AND(OR(MONTH(Waterfalls!AJ$6)=3,MONTH(Waterfalls!AJ$6)=6,MONTH(Waterfalls!AJ$6)=9,MONTH(Waterfalls!AJ$6)=12),'Development Inputs'!$N$97="PropCo"),SUM(AH160:AJ160,AH162:AJ162),0)))</f>
        <v>194146.36504078674</v>
      </c>
      <c r="AK163" s="2558">
        <f ca="1">IF('Development Inputs'!$N$97="Merchant",AK160+AK162,IF(AND(AK$6=DateDisposition,'Development Inputs'!$N$97="PropCo"),SUM($E$160:AK$160,$E$162:AK$162)-SUM($E$163:AJ$163),IF(AND(OR(MONTH(Waterfalls!AK$6)=3,MONTH(Waterfalls!AK$6)=6,MONTH(Waterfalls!AK$6)=9,MONTH(Waterfalls!AK$6)=12),'Development Inputs'!$N$97="PropCo"),SUM(AI160:AK160,AI162:AK162),0)))</f>
        <v>196941.98951452575</v>
      </c>
      <c r="AL163" s="2558">
        <f ca="1">IF('Development Inputs'!$N$97="Merchant",AL160+AL162,IF(AND(AL$6=DateDisposition,'Development Inputs'!$N$97="PropCo"),SUM($E$160:AL$160,$E$162:AL$162)-SUM($E$163:AK$163),IF(AND(OR(MONTH(Waterfalls!AL$6)=3,MONTH(Waterfalls!AL$6)=6,MONTH(Waterfalls!AL$6)=9,MONTH(Waterfalls!AL$6)=12),'Development Inputs'!$N$97="PropCo"),SUM(AJ160:AL160,AJ162:AL162),0)))</f>
        <v>199727.00232916453</v>
      </c>
      <c r="AM163" s="2558">
        <f ca="1">IF('Development Inputs'!$N$97="Merchant",AM160+AM162,IF(AND(AM$6=DateDisposition,'Development Inputs'!$N$97="PropCo"),SUM($E$160:AM$160,$E$162:AM$162)-SUM($E$163:AL$163),IF(AND(OR(MONTH(Waterfalls!AM$6)=3,MONTH(Waterfalls!AM$6)=6,MONTH(Waterfalls!AM$6)=9,MONTH(Waterfalls!AM$6)=12),'Development Inputs'!$N$97="PropCo"),SUM(AK160:AM160,AK162:AM162),0)))</f>
        <v>202501.21446340531</v>
      </c>
      <c r="AN163" s="2558">
        <f ca="1">IF('Development Inputs'!$N$97="Merchant",AN160+AN162,IF(AND(AN$6=DateDisposition,'Development Inputs'!$N$97="PropCo"),SUM($E$160:AN$160,$E$162:AN$162)-SUM($E$163:AM$163),IF(AND(OR(MONTH(Waterfalls!AN$6)=3,MONTH(Waterfalls!AN$6)=6,MONTH(Waterfalls!AN$6)=9,MONTH(Waterfalls!AN$6)=12),'Development Inputs'!$N$97="PropCo"),SUM(AL160:AN160,AL162:AN162),0)))</f>
        <v>205264.4351941343</v>
      </c>
      <c r="AO163" s="2558">
        <f ca="1">IF('Development Inputs'!$N$97="Merchant",AO160+AO162,IF(AND(AO$6=DateDisposition,'Development Inputs'!$N$97="PropCo"),SUM($E$160:AO$160,$E$162:AO$162)-SUM($E$163:AN$163),IF(AND(OR(MONTH(Waterfalls!AO$6)=3,MONTH(Waterfalls!AO$6)=6,MONTH(Waterfalls!AO$6)=9,MONTH(Waterfalls!AO$6)=12),'Development Inputs'!$N$97="PropCo"),SUM(AM160:AO160,AM162:AO162),0)))</f>
        <v>208016.47208368964</v>
      </c>
      <c r="AP163" s="2558">
        <f ca="1">IF('Development Inputs'!$N$97="Merchant",AP160+AP162,IF(AND(AP$6=DateDisposition,'Development Inputs'!$N$97="PropCo"),SUM($E$160:AP$160,$E$162:AP$162)-SUM($E$163:AO$163),IF(AND(OR(MONTH(Waterfalls!AP$6)=3,MONTH(Waterfalls!AP$6)=6,MONTH(Waterfalls!AP$6)=9,MONTH(Waterfalls!AP$6)=12),'Development Inputs'!$N$97="PropCo"),SUM(AN160:AP160,AN162:AP162),0)))</f>
        <v>209919.96727767988</v>
      </c>
      <c r="AQ163" s="2558">
        <f ca="1">IF('Development Inputs'!$N$97="Merchant",AQ160+AQ162,IF(AND(AQ$6=DateDisposition,'Development Inputs'!$N$97="PropCo"),SUM($E$160:AQ$160,$E$162:AQ$162)-SUM($E$163:AP$163),IF(AND(OR(MONTH(Waterfalls!AQ$6)=3,MONTH(Waterfalls!AQ$6)=6,MONTH(Waterfalls!AQ$6)=9,MONTH(Waterfalls!AQ$6)=12),'Development Inputs'!$N$97="PropCo"),SUM(AO160:AQ160,AO162:AQ162),0)))</f>
        <v>213487.56472790998</v>
      </c>
      <c r="AR163" s="2558">
        <f ca="1">IF('Development Inputs'!$N$97="Merchant",AR160+AR162,IF(AND(AR$6=DateDisposition,'Development Inputs'!$N$97="PropCo"),SUM($E$160:AR$160,$E$162:AR$162)-SUM($E$163:AQ$163),IF(AND(OR(MONTH(Waterfalls!AR$6)=3,MONTH(Waterfalls!AR$6)=6,MONTH(Waterfalls!AR$6)=9,MONTH(Waterfalls!AR$6)=12),'Development Inputs'!$N$97="PropCo"),SUM(AP160:AR160,AP162:AR162),0)))</f>
        <v>216603.53672195377</v>
      </c>
      <c r="AS163" s="2558">
        <f ca="1">IF('Development Inputs'!$N$97="Merchant",AS160+AS162,IF(AND(AS$6=DateDisposition,'Development Inputs'!$N$97="PropCo"),SUM($E$160:AS$160,$E$162:AS$162)-SUM($E$163:AR$163),IF(AND(OR(MONTH(Waterfalls!AS$6)=3,MONTH(Waterfalls!AS$6)=6,MONTH(Waterfalls!AS$6)=9,MONTH(Waterfalls!AS$6)=12),'Development Inputs'!$N$97="PropCo"),SUM(AQ160:AS160,AQ162:AS162),0)))</f>
        <v>212051.19180538459</v>
      </c>
      <c r="AT163" s="2558">
        <f ca="1">IF('Development Inputs'!$N$97="Merchant",AT160+AT162,IF(AND(AT$6=DateDisposition,'Development Inputs'!$N$97="PropCo"),SUM($E$160:AT$160,$E$162:AT$162)-SUM($E$163:AS$163),IF(AND(OR(MONTH(Waterfalls!AT$6)=3,MONTH(Waterfalls!AT$6)=6,MONTH(Waterfalls!AT$6)=9,MONTH(Waterfalls!AT$6)=12),'Development Inputs'!$N$97="PropCo"),SUM(AR160:AT160,AR162:AT162),0)))</f>
        <v>213905.93757415481</v>
      </c>
      <c r="AU163" s="2558">
        <f ca="1">IF('Development Inputs'!$N$97="Merchant",AU160+AU162,IF(AND(AU$6=DateDisposition,'Development Inputs'!$N$97="PropCo"),SUM($E$160:AU$160,$E$162:AU$162)-SUM($E$163:AT$163),IF(AND(OR(MONTH(Waterfalls!AU$6)=3,MONTH(Waterfalls!AU$6)=6,MONTH(Waterfalls!AU$6)=9,MONTH(Waterfalls!AU$6)=12),'Development Inputs'!$N$97="PropCo"),SUM(AS160:AU160,AS162:AU162),0)))</f>
        <v>215726.39458598819</v>
      </c>
      <c r="AV163" s="2558">
        <f ca="1">IF('Development Inputs'!$N$97="Merchant",AV160+AV162,IF(AND(AV$6=DateDisposition,'Development Inputs'!$N$97="PropCo"),SUM($E$160:AV$160,$E$162:AV$162)-SUM($E$163:AU$163),IF(AND(OR(MONTH(Waterfalls!AV$6)=3,MONTH(Waterfalls!AV$6)=6,MONTH(Waterfalls!AV$6)=9,MONTH(Waterfalls!AV$6)=12),'Development Inputs'!$N$97="PropCo"),SUM(AT160:AV160,AT162:AV162),0)))</f>
        <v>218289.05220082233</v>
      </c>
      <c r="AW163" s="2558">
        <f ca="1">IF('Development Inputs'!$N$97="Merchant",AW160+AW162,IF(AND(AW$6=DateDisposition,'Development Inputs'!$N$97="PropCo"),SUM($E$160:AW$160,$E$162:AW$162)-SUM($E$163:AV$163),IF(AND(OR(MONTH(Waterfalls!AW$6)=3,MONTH(Waterfalls!AW$6)=6,MONTH(Waterfalls!AW$6)=9,MONTH(Waterfalls!AW$6)=12),'Development Inputs'!$N$97="PropCo"),SUM(AU160:AW160,AU162:AW162),0)))</f>
        <v>220772.92673389061</v>
      </c>
      <c r="AX163" s="2558">
        <f ca="1">IF('Development Inputs'!$N$97="Merchant",AX160+AX162,IF(AND(AX$6=DateDisposition,'Development Inputs'!$N$97="PropCo"),SUM($E$160:AX$160,$E$162:AX$162)-SUM($E$163:AW$163),IF(AND(OR(MONTH(Waterfalls!AX$6)=3,MONTH(Waterfalls!AX$6)=6,MONTH(Waterfalls!AX$6)=9,MONTH(Waterfalls!AX$6)=12),'Development Inputs'!$N$97="PropCo"),SUM(AV160:AX160,AV162:AX162),0)))</f>
        <v>223177.32311075157</v>
      </c>
      <c r="AY163" s="2558">
        <f ca="1">IF('Development Inputs'!$N$97="Merchant",AY160+AY162,IF(AND(AY$6=DateDisposition,'Development Inputs'!$N$97="PropCo"),SUM($E$160:AY$160,$E$162:AY$162)-SUM($E$163:AX$163),IF(AND(OR(MONTH(Waterfalls!AY$6)=3,MONTH(Waterfalls!AY$6)=6,MONTH(Waterfalls!AY$6)=9,MONTH(Waterfalls!AY$6)=12),'Development Inputs'!$N$97="PropCo"),SUM(AW160:AY160,AW162:AY162),0)))</f>
        <v>225501.54178493761</v>
      </c>
      <c r="AZ163" s="2558">
        <f ca="1">IF('Development Inputs'!$N$97="Merchant",AZ160+AZ162,IF(AND(AZ$6=DateDisposition,'Development Inputs'!$N$97="PropCo"),SUM($E$160:AZ$160,$E$162:AZ$162)-SUM($E$163:AY$163),IF(AND(OR(MONTH(Waterfalls!AZ$6)=3,MONTH(Waterfalls!AZ$6)=6,MONTH(Waterfalls!AZ$6)=9,MONTH(Waterfalls!AZ$6)=12),'Development Inputs'!$N$97="PropCo"),SUM(AX160:AZ160,AX162:AZ162),0)))</f>
        <v>227744.87871226569</v>
      </c>
      <c r="BA163" s="2558">
        <f ca="1">IF('Development Inputs'!$N$97="Merchant",BA160+BA162,IF(AND(BA$6=DateDisposition,'Development Inputs'!$N$97="PropCo"),SUM($E$160:BA$160,$E$162:BA$162)-SUM($E$163:AZ$163),IF(AND(OR(MONTH(Waterfalls!BA$6)=3,MONTH(Waterfalls!BA$6)=6,MONTH(Waterfalls!BA$6)=9,MONTH(Waterfalls!BA$6)=12),'Development Inputs'!$N$97="PropCo"),SUM(AY160:BA160,AY162:BA162),0)))</f>
        <v>229906.62532500736</v>
      </c>
      <c r="BB163" s="2558">
        <f ca="1">IF('Development Inputs'!$N$97="Merchant",BB160+BB162,IF(AND(BB$6=DateDisposition,'Development Inputs'!$N$97="PropCo"),SUM($E$160:BB$160,$E$162:BB$162)-SUM($E$163:BA$163),IF(AND(OR(MONTH(Waterfalls!BB$6)=3,MONTH(Waterfalls!BB$6)=6,MONTH(Waterfalls!BB$6)=9,MONTH(Waterfalls!BB$6)=12),'Development Inputs'!$N$97="PropCo"),SUM(AZ160:BB160,AZ162:BB162),0)))</f>
        <v>231371.60172885668</v>
      </c>
      <c r="BC163" s="2558">
        <f ca="1">IF('Development Inputs'!$N$97="Merchant",BC160+BC162,IF(AND(BC$6=DateDisposition,'Development Inputs'!$N$97="PropCo"),SUM($E$160:BC$160,$E$162:BC$162)-SUM($E$163:BB$163),IF(AND(OR(MONTH(Waterfalls!BC$6)=3,MONTH(Waterfalls!BC$6)=6,MONTH(Waterfalls!BC$6)=9,MONTH(Waterfalls!BC$6)=12),'Development Inputs'!$N$97="PropCo"),SUM(BA160:BC160,BA162:BC162),0)))</f>
        <v>233991.77981436049</v>
      </c>
      <c r="BD163" s="2558">
        <f ca="1">IF('Development Inputs'!$N$97="Merchant",BD160+BD162,IF(AND(BD$6=DateDisposition,'Development Inputs'!$N$97="PropCo"),SUM($E$160:BD$160,$E$162:BD$162)-SUM($E$163:BC$163),IF(AND(OR(MONTH(Waterfalls!BD$6)=3,MONTH(Waterfalls!BD$6)=6,MONTH(Waterfalls!BD$6)=9,MONTH(Waterfalls!BD$6)=12),'Development Inputs'!$N$97="PropCo"),SUM(BB160:BD160,BB162:BD162),0)))</f>
        <v>236231.56056684104</v>
      </c>
      <c r="BE163" s="2558">
        <f ca="1">IF('Development Inputs'!$N$97="Merchant",BE160+BE162,IF(AND(BE$6=DateDisposition,'Development Inputs'!$N$97="PropCo"),SUM($E$160:BE$160,$E$162:BE$162)-SUM($E$163:BD$163),IF(AND(OR(MONTH(Waterfalls!BE$6)=3,MONTH(Waterfalls!BE$6)=6,MONTH(Waterfalls!BE$6)=9,MONTH(Waterfalls!BE$6)=12),'Development Inputs'!$N$97="PropCo"),SUM(BC160:BE160,BC162:BE162),0)))</f>
        <v>232413.96003512084</v>
      </c>
      <c r="BF163" s="2558">
        <f ca="1">IF('Development Inputs'!$N$97="Merchant",BF160+BF162,IF(AND(BF$6=DateDisposition,'Development Inputs'!$N$97="PropCo"),SUM($E$160:BF$160,$E$162:BF$162)-SUM($E$163:BE$163),IF(AND(OR(MONTH(Waterfalls!BF$6)=3,MONTH(Waterfalls!BF$6)=6,MONTH(Waterfalls!BF$6)=9,MONTH(Waterfalls!BF$6)=12),'Development Inputs'!$N$97="PropCo"),SUM(BD160:BF160,BD162:BF162),0)))</f>
        <v>233792.35967828042</v>
      </c>
      <c r="BG163" s="2558">
        <f ca="1">IF('Development Inputs'!$N$97="Merchant",BG160+BG162,IF(AND(BG$6=DateDisposition,'Development Inputs'!$N$97="PropCo"),SUM($E$160:BG$160,$E$162:BG$162)-SUM($E$163:BF$163),IF(AND(OR(MONTH(Waterfalls!BG$6)=3,MONTH(Waterfalls!BG$6)=6,MONTH(Waterfalls!BG$6)=9,MONTH(Waterfalls!BG$6)=12),'Development Inputs'!$N$97="PropCo"),SUM(BE160:BG160,BE162:BG162),0)))</f>
        <v>235194.65631538397</v>
      </c>
      <c r="BH163" s="2558">
        <f ca="1">IF('Development Inputs'!$N$97="Merchant",BH160+BH162,IF(AND(BH$6=DateDisposition,'Development Inputs'!$N$97="PropCo"),SUM($E$160:BH$160,$E$162:BH$162)-SUM($E$163:BG$163),IF(AND(OR(MONTH(Waterfalls!BH$6)=3,MONTH(Waterfalls!BH$6)=6,MONTH(Waterfalls!BH$6)=9,MONTH(Waterfalls!BH$6)=12),'Development Inputs'!$N$97="PropCo"),SUM(BF160:BH160,BF162:BH162),0)))</f>
        <v>237214.33255777939</v>
      </c>
      <c r="BI163" s="2558">
        <f ca="1">IF('Development Inputs'!$N$97="Merchant",BI160+BI162,IF(AND(BI$6=DateDisposition,'Development Inputs'!$N$97="PropCo"),SUM($E$160:BI$160,$E$162:BI$162)-SUM($E$163:BH$163),IF(AND(OR(MONTH(Waterfalls!BI$6)=3,MONTH(Waterfalls!BI$6)=6,MONTH(Waterfalls!BI$6)=9,MONTH(Waterfalls!BI$6)=12),'Development Inputs'!$N$97="PropCo"),SUM(BG160:BI160,BG162:BI162),0)))</f>
        <v>239287.5327954411</v>
      </c>
      <c r="BJ163" s="2558">
        <f ca="1">IF('Development Inputs'!$N$97="Merchant",BJ160+BJ162,IF(AND(BJ$6=DateDisposition,'Development Inputs'!$N$97="PropCo"),SUM($E$160:BJ$160,$E$162:BJ$162)-SUM($E$163:BI$163),IF(AND(OR(MONTH(Waterfalls!BJ$6)=3,MONTH(Waterfalls!BJ$6)=6,MONTH(Waterfalls!BJ$6)=9,MONTH(Waterfalls!BJ$6)=12),'Development Inputs'!$N$97="PropCo"),SUM(BH160:BJ160,BH162:BJ162),0)))</f>
        <v>241414.62629154953</v>
      </c>
      <c r="BK163" s="2558">
        <f ca="1">IF('Development Inputs'!$N$97="Merchant",BK160+BK162,IF(AND(BK$6=DateDisposition,'Development Inputs'!$N$97="PropCo"),SUM($E$160:BK$160,$E$162:BK$162)-SUM($E$163:BJ$163),IF(AND(OR(MONTH(Waterfalls!BK$6)=3,MONTH(Waterfalls!BK$6)=6,MONTH(Waterfalls!BK$6)=9,MONTH(Waterfalls!BK$6)=12),'Development Inputs'!$N$97="PropCo"),SUM(BI160:BK160,BI162:BK162),0)))</f>
        <v>243595.98432095937</v>
      </c>
      <c r="BL163" s="2558">
        <f ca="1">IF('Development Inputs'!$N$97="Merchant",BL160+BL162,IF(AND(BL$6=DateDisposition,'Development Inputs'!$N$97="PropCo"),SUM($E$160:BL$160,$E$162:BL$162)-SUM($E$163:BK$163),IF(AND(OR(MONTH(Waterfalls!BL$6)=3,MONTH(Waterfalls!BL$6)=6,MONTH(Waterfalls!BL$6)=9,MONTH(Waterfalls!BL$6)=12),'Development Inputs'!$N$97="PropCo"),SUM(BJ160:BL160,BJ162:BL162),0)))</f>
        <v>245831.98018010752</v>
      </c>
      <c r="BM163" s="2558">
        <f ca="1">IF('Development Inputs'!$N$97="Merchant",BM160+BM162,IF(AND(BM$6=DateDisposition,'Development Inputs'!$N$97="PropCo"),SUM($E$160:BM$160,$E$162:BM$162)-SUM($E$163:BL$163),IF(AND(OR(MONTH(Waterfalls!BM$6)=3,MONTH(Waterfalls!BM$6)=6,MONTH(Waterfalls!BM$6)=9,MONTH(Waterfalls!BM$6)=12),'Development Inputs'!$N$97="PropCo"),SUM(BK160:BM160,BK162:BM162),0)))</f>
        <v>248122.98919696768</v>
      </c>
      <c r="BN163" s="2558">
        <f ca="1">IF('Development Inputs'!$N$97="Merchant",BN160+BN162,IF(AND(BN$6=DateDisposition,'Development Inputs'!$N$97="PropCo"),SUM($E$160:BN$160,$E$162:BN$162)-SUM($E$163:BM$163),IF(AND(OR(MONTH(Waterfalls!BN$6)=3,MONTH(Waterfalls!BN$6)=6,MONTH(Waterfalls!BN$6)=9,MONTH(Waterfalls!BN$6)=12),'Development Inputs'!$N$97="PropCo"),SUM(BL160:BN160,BL162:BN162),0)))</f>
        <v>249768.29693809513</v>
      </c>
      <c r="BO163" s="2558">
        <f ca="1">IF('Development Inputs'!$N$97="Merchant",BO160+BO162,IF(AND(BO$6=DateDisposition,'Development Inputs'!$N$97="PropCo"),SUM($E$160:BO$160,$E$162:BO$162)-SUM($E$163:BN$163),IF(AND(OR(MONTH(Waterfalls!BO$6)=3,MONTH(Waterfalls!BO$6)=6,MONTH(Waterfalls!BO$6)=9,MONTH(Waterfalls!BO$6)=12),'Development Inputs'!$N$97="PropCo"),SUM(BM160:BO160,BM162:BO162),0)))</f>
        <v>252865.4281958323</v>
      </c>
      <c r="BP163" s="2558">
        <f ca="1">IF('Development Inputs'!$N$97="Merchant",BP160+BP162,IF(AND(BP$6=DateDisposition,'Development Inputs'!$N$97="PropCo"),SUM($E$160:BP$160,$E$162:BP$162)-SUM($E$163:BO$163),IF(AND(OR(MONTH(Waterfalls!BP$6)=3,MONTH(Waterfalls!BP$6)=6,MONTH(Waterfalls!BP$6)=9,MONTH(Waterfalls!BP$6)=12),'Development Inputs'!$N$97="PropCo"),SUM(BN160:BP160,BN162:BP162),0)))</f>
        <v>255627.41870890046</v>
      </c>
      <c r="BQ163" s="2558">
        <f ca="1">IF('Development Inputs'!$N$97="Merchant",BQ160+BQ162,IF(AND(BQ$6=DateDisposition,'Development Inputs'!$N$97="PropCo"),SUM($E$160:BQ$160,$E$162:BQ$162)-SUM($E$163:BP$163),IF(AND(OR(MONTH(Waterfalls!BQ$6)=3,MONTH(Waterfalls!BQ$6)=6,MONTH(Waterfalls!BQ$6)=9,MONTH(Waterfalls!BQ$6)=12),'Development Inputs'!$N$97="PropCo"),SUM(BO160:BQ160,BO162:BQ162),0)))</f>
        <v>251911.10262718727</v>
      </c>
      <c r="BR163" s="2558">
        <f ca="1">IF('Development Inputs'!$N$97="Merchant",BR160+BR162,IF(AND(BR$6=DateDisposition,'Development Inputs'!$N$97="PropCo"),SUM($E$160:BR$160,$E$162:BR$162)-SUM($E$163:BQ$163),IF(AND(OR(MONTH(Waterfalls!BR$6)=3,MONTH(Waterfalls!BR$6)=6,MONTH(Waterfalls!BR$6)=9,MONTH(Waterfalls!BR$6)=12),'Development Inputs'!$N$97="PropCo"),SUM(BP160:BR160,BP162:BR162),0)))</f>
        <v>253636.79770327162</v>
      </c>
      <c r="BS163" s="2558">
        <f ca="1">IF('Development Inputs'!$N$97="Merchant",BS160+BS162,IF(AND(BS$6=DateDisposition,'Development Inputs'!$N$97="PropCo"),SUM($E$160:BS$160,$E$162:BS$162)-SUM($E$163:BR$163),IF(AND(OR(MONTH(Waterfalls!BS$6)=3,MONTH(Waterfalls!BS$6)=6,MONTH(Waterfalls!BS$6)=9,MONTH(Waterfalls!BS$6)=12),'Development Inputs'!$N$97="PropCo"),SUM(BQ160:BS160,BQ162:BS162),0)))</f>
        <v>255367.1909785716</v>
      </c>
      <c r="BT163" s="2558">
        <f ca="1">IF('Development Inputs'!$N$97="Merchant",BT160+BT162,IF(AND(BT$6=DateDisposition,'Development Inputs'!$N$97="PropCo"),SUM($E$160:BT$160,$E$162:BT$162)-SUM($E$163:BS$163),IF(AND(OR(MONTH(Waterfalls!BT$6)=3,MONTH(Waterfalls!BT$6)=6,MONTH(Waterfalls!BT$6)=9,MONTH(Waterfalls!BT$6)=12),'Development Inputs'!$N$97="PropCo"),SUM(BR160:BT160,BR162:BT162),0)))</f>
        <v>257846.4753805272</v>
      </c>
      <c r="BU163" s="2558">
        <f ca="1">IF('Development Inputs'!$N$97="Merchant",BU160+BU162,IF(AND(BU$6=DateDisposition,'Development Inputs'!$N$97="PropCo"),SUM($E$160:BU$160,$E$162:BU$162)-SUM($E$163:BT$163),IF(AND(OR(MONTH(Waterfalls!BU$6)=3,MONTH(Waterfalls!BU$6)=6,MONTH(Waterfalls!BU$6)=9,MONTH(Waterfalls!BU$6)=12),'Development Inputs'!$N$97="PropCo"),SUM(BS160:BU160,BS162:BU162),0)))</f>
        <v>260335.62778098683</v>
      </c>
      <c r="BV163" s="2558">
        <f ca="1">IF('Development Inputs'!$N$97="Merchant",BV160+BV162,IF(AND(BV$6=DateDisposition,'Development Inputs'!$N$97="PropCo"),SUM($E$160:BV$160,$E$162:BV$162)-SUM($E$163:BU$163),IF(AND(OR(MONTH(Waterfalls!BV$6)=3,MONTH(Waterfalls!BV$6)=6,MONTH(Waterfalls!BV$6)=9,MONTH(Waterfalls!BV$6)=12),'Development Inputs'!$N$97="PropCo"),SUM(BT160:BV160,BT162:BV162),0)))</f>
        <v>262834.68808438315</v>
      </c>
      <c r="BW163" s="2558">
        <f ca="1">IF('Development Inputs'!$N$97="Merchant",BW160+BW162,IF(AND(BW$6=DateDisposition,'Development Inputs'!$N$97="PropCo"),SUM($E$160:BW$160,$E$162:BW$162)-SUM($E$163:BV$163),IF(AND(OR(MONTH(Waterfalls!BW$6)=3,MONTH(Waterfalls!BW$6)=6,MONTH(Waterfalls!BW$6)=9,MONTH(Waterfalls!BW$6)=12),'Development Inputs'!$N$97="PropCo"),SUM(BU160:BW160,BU162:BW162),0)))</f>
        <v>265343.6963581288</v>
      </c>
      <c r="BX163" s="2558">
        <f ca="1">IF('Development Inputs'!$N$97="Merchant",BX160+BX162,IF(AND(BX$6=DateDisposition,'Development Inputs'!$N$97="PropCo"),SUM($E$160:BX$160,$E$162:BX$162)-SUM($E$163:BW$163),IF(AND(OR(MONTH(Waterfalls!BX$6)=3,MONTH(Waterfalls!BX$6)=6,MONTH(Waterfalls!BX$6)=9,MONTH(Waterfalls!BX$6)=12),'Development Inputs'!$N$97="PropCo"),SUM(BV160:BX160,BV162:BX162),0)))</f>
        <v>267862.69283328683</v>
      </c>
      <c r="BY163" s="2558">
        <f ca="1">IF('Development Inputs'!$N$97="Merchant",BY160+BY162,IF(AND(BY$6=DateDisposition,'Development Inputs'!$N$97="PropCo"),SUM($E$160:BY$160,$E$162:BY$162)-SUM($E$163:BX$163),IF(AND(OR(MONTH(Waterfalls!BY$6)=3,MONTH(Waterfalls!BY$6)=6,MONTH(Waterfalls!BY$6)=9,MONTH(Waterfalls!BY$6)=12),'Development Inputs'!$N$97="PropCo"),SUM(BW160:BY160,BW162:BY162),0)))</f>
        <v>270391.71790524246</v>
      </c>
      <c r="BZ163" s="2558">
        <f ca="1">IF('Development Inputs'!$N$97="Merchant",BZ160+BZ162,IF(AND(BZ$6=DateDisposition,'Development Inputs'!$N$97="PropCo"),SUM($E$160:BZ$160,$E$162:BZ$162)-SUM($E$163:BY$163),IF(AND(OR(MONTH(Waterfalls!BZ$6)=3,MONTH(Waterfalls!BZ$6)=6,MONTH(Waterfalls!BZ$6)=9,MONTH(Waterfalls!BZ$6)=12),'Development Inputs'!$N$97="PropCo"),SUM(BX160:BZ160,BX162:BZ162),0)))</f>
        <v>272167.92001109081</v>
      </c>
      <c r="CA163" s="2558">
        <f ca="1">IF('Development Inputs'!$N$97="Merchant",CA160+CA162,IF(AND(CA$6=DateDisposition,'Development Inputs'!$N$97="PropCo"),SUM($E$160:CA$160,$E$162:CA$162)-SUM($E$163:BZ$163),IF(AND(OR(MONTH(Waterfalls!CA$6)=3,MONTH(Waterfalls!CA$6)=6,MONTH(Waterfalls!CA$6)=9,MONTH(Waterfalls!CA$6)=12),'Development Inputs'!$N$97="PropCo"),SUM(BY160:CA160,BY162:CA162),0)))</f>
        <v>275478.96154839685</v>
      </c>
      <c r="CB163" s="2558">
        <f ca="1">IF('Development Inputs'!$N$97="Merchant",CB160+CB162,IF(AND(CB$6=DateDisposition,'Development Inputs'!$N$97="PropCo"),SUM($E$160:CB$160,$E$162:CB$162)-SUM($E$163:CA$163),IF(AND(OR(MONTH(Waterfalls!CB$6)=3,MONTH(Waterfalls!CB$6)=6,MONTH(Waterfalls!CB$6)=9,MONTH(Waterfalls!CB$6)=12),'Development Inputs'!$N$97="PropCo"),SUM(BZ160:CB160,BZ162:CB162),0)))</f>
        <v>278392.08507062017</v>
      </c>
      <c r="CC163" s="2558">
        <f ca="1">IF('Development Inputs'!$N$97="Merchant",CC160+CC162,IF(AND(CC$6=DateDisposition,'Development Inputs'!$N$97="PropCo"),SUM($E$160:CC$160,$E$162:CC$162)-SUM($E$163:CB$163),IF(AND(OR(MONTH(Waterfalls!CC$6)=3,MONTH(Waterfalls!CC$6)=6,MONTH(Waterfalls!CC$6)=9,MONTH(Waterfalls!CC$6)=12),'Development Inputs'!$N$97="PropCo"),SUM(CA160:CC160,CA162:CC162),0)))</f>
        <v>274566.92738257023</v>
      </c>
      <c r="CD163" s="2558">
        <f ca="1">IF('Development Inputs'!$N$97="Merchant",CD160+CD162,IF(AND(CD$6=DateDisposition,'Development Inputs'!$N$97="PropCo"),SUM($E$160:CD$160,$E$162:CD$162)-SUM($E$163:CC$163),IF(AND(OR(MONTH(Waterfalls!CD$6)=3,MONTH(Waterfalls!CD$6)=6,MONTH(Waterfalls!CD$6)=9,MONTH(Waterfalls!CD$6)=12),'Development Inputs'!$N$97="PropCo"),SUM(CB160:CD160,CB162:CD162),0)))</f>
        <v>276362.55432707479</v>
      </c>
      <c r="CE163" s="2558">
        <f ca="1">IF('Development Inputs'!$N$97="Merchant",CE160+CE162,IF(AND(CE$6=DateDisposition,'Development Inputs'!$N$97="PropCo"),SUM($E$160:CE$160,$E$162:CE$162)-SUM($E$163:CD$163),IF(AND(OR(MONTH(Waterfalls!CE$6)=3,MONTH(Waterfalls!CE$6)=6,MONTH(Waterfalls!CE$6)=9,MONTH(Waterfalls!CE$6)=12),'Development Inputs'!$N$97="PropCo"),SUM(CC160:CE160,CC162:CE162),0)))</f>
        <v>278163.07063198113</v>
      </c>
      <c r="CF163" s="2558">
        <f ca="1">IF('Development Inputs'!$N$97="Merchant",CF160+CF162,IF(AND(CF$6=DateDisposition,'Development Inputs'!$N$97="PropCo"),SUM($E$160:CF$160,$E$162:CF$162)-SUM($E$163:CE$163),IF(AND(OR(MONTH(Waterfalls!CF$6)=3,MONTH(Waterfalls!CF$6)=6,MONTH(Waterfalls!CF$6)=9,MONTH(Waterfalls!CF$6)=12),'Development Inputs'!$N$97="PropCo"),SUM(CD160:CF160,CD162:CF162),0)))</f>
        <v>280744.12594409822</v>
      </c>
      <c r="CG163" s="2558">
        <f ca="1">IF('Development Inputs'!$N$97="Merchant",CG160+CG162,IF(AND(CG$6=DateDisposition,'Development Inputs'!$N$97="PropCo"),SUM($E$160:CG$160,$E$162:CG$162)-SUM($E$163:CF$163),IF(AND(OR(MONTH(Waterfalls!CG$6)=3,MONTH(Waterfalls!CG$6)=6,MONTH(Waterfalls!CG$6)=9,MONTH(Waterfalls!CG$6)=12),'Development Inputs'!$N$97="PropCo"),SUM(CE160:CG160,CE162:CG162),0)))</f>
        <v>283335.45890456287</v>
      </c>
      <c r="CH163" s="2558">
        <f ca="1">IF('Development Inputs'!$N$97="Merchant",CH160+CH162,IF(AND(CH$6=DateDisposition,'Development Inputs'!$N$97="PropCo"),SUM($E$160:CH$160,$E$162:CH$162)-SUM($E$163:CG$163),IF(AND(OR(MONTH(Waterfalls!CH$6)=3,MONTH(Waterfalls!CH$6)=6,MONTH(Waterfalls!CH$6)=9,MONTH(Waterfalls!CH$6)=12),'Development Inputs'!$N$97="PropCo"),SUM(CF160:CH160,CF162:CH162),0)))</f>
        <v>285937.11108613724</v>
      </c>
      <c r="CI163" s="2558">
        <f ca="1">IF('Development Inputs'!$N$97="Merchant",CI160+CI162,IF(AND(CI$6=DateDisposition,'Development Inputs'!$N$97="PropCo"),SUM($E$160:CI$160,$E$162:CI$162)-SUM($E$163:CH$163),IF(AND(OR(MONTH(Waterfalls!CI$6)=3,MONTH(Waterfalls!CI$6)=6,MONTH(Waterfalls!CI$6)=9,MONTH(Waterfalls!CI$6)=12),'Development Inputs'!$N$97="PropCo"),SUM(CG160:CI160,CG162:CI162),0)))</f>
        <v>288549.12423140812</v>
      </c>
      <c r="CJ163" s="2558">
        <f ca="1">IF('Development Inputs'!$N$97="Merchant",CJ160+CJ162,IF(AND(CJ$6=DateDisposition,'Development Inputs'!$N$97="PropCo"),SUM($E$160:CJ$160,$E$162:CJ$162)-SUM($E$163:CI$163),IF(AND(OR(MONTH(Waterfalls!CJ$6)=3,MONTH(Waterfalls!CJ$6)=6,MONTH(Waterfalls!CJ$6)=9,MONTH(Waterfalls!CJ$6)=12),'Development Inputs'!$N$97="PropCo"),SUM(CH160:CJ160,CH162:CJ162),0)))</f>
        <v>291171.54025348381</v>
      </c>
      <c r="CK163" s="2558">
        <f ca="1">IF('Development Inputs'!$N$97="Merchant",CK160+CK162,IF(AND(CK$6=DateDisposition,'Development Inputs'!$N$97="PropCo"),SUM($E$160:CK$160,$E$162:CK$162)-SUM($E$163:CJ$163),IF(AND(OR(MONTH(Waterfalls!CK$6)=3,MONTH(Waterfalls!CK$6)=6,MONTH(Waterfalls!CK$6)=9,MONTH(Waterfalls!CK$6)=12),'Development Inputs'!$N$97="PropCo"),SUM(CI160:CK160,CI162:CK162),0)))</f>
        <v>293804.40123669547</v>
      </c>
      <c r="CL163" s="2558">
        <f ca="1">IF('Development Inputs'!$N$97="Merchant",CL160+CL162,IF(AND(CL$6=DateDisposition,'Development Inputs'!$N$97="PropCo"),SUM($E$160:CL$160,$E$162:CL$162)-SUM($E$163:CK$163),IF(AND(OR(MONTH(Waterfalls!CL$6)=3,MONTH(Waterfalls!CL$6)=6,MONTH(Waterfalls!CL$6)=9,MONTH(Waterfalls!CL$6)=12),'Development Inputs'!$N$97="PropCo"),SUM(CJ160:CL160,CJ162:CL162),0)))</f>
        <v>295652.61016878253</v>
      </c>
      <c r="CM163" s="2558">
        <f ca="1">IF('Development Inputs'!$N$97="Merchant",CM160+CM162,IF(AND(CM$6=DateDisposition,'Development Inputs'!$N$97="PropCo"),SUM($E$160:CM$160,$E$162:CM$162)-SUM($E$163:CL$163),IF(AND(OR(MONTH(Waterfalls!CM$6)=3,MONTH(Waterfalls!CM$6)=6,MONTH(Waterfalls!CM$6)=9,MONTH(Waterfalls!CM$6)=12),'Development Inputs'!$N$97="PropCo"),SUM(CK160:CM160,CK162:CM162),0)))</f>
        <v>299100.52800415398</v>
      </c>
      <c r="CN163" s="2558">
        <f ca="1">IF('Development Inputs'!$N$97="Merchant",CN160+CN162,IF(AND(CN$6=DateDisposition,'Development Inputs'!$N$97="PropCo"),SUM($E$160:CN$160,$E$162:CN$162)-SUM($E$163:CM$163),IF(AND(OR(MONTH(Waterfalls!CN$6)=3,MONTH(Waterfalls!CN$6)=6,MONTH(Waterfalls!CN$6)=9,MONTH(Waterfalls!CN$6)=12),'Development Inputs'!$N$97="PropCo"),SUM(CL160:CN160,CL162:CN162),0)))</f>
        <v>302133.70039256744</v>
      </c>
      <c r="CO163" s="2558">
        <f ca="1">IF('Development Inputs'!$N$97="Merchant",CO160+CO162,IF(AND(CO$6=DateDisposition,'Development Inputs'!$N$97="PropCo"),SUM($E$160:CO$160,$E$162:CO$162)-SUM($E$163:CN$163),IF(AND(OR(MONTH(Waterfalls!CO$6)=3,MONTH(Waterfalls!CO$6)=6,MONTH(Waterfalls!CO$6)=9,MONTH(Waterfalls!CO$6)=12),'Development Inputs'!$N$97="PropCo"),SUM(CM160:CO160,CM162:CO162),0)))</f>
        <v>298195.87397498253</v>
      </c>
      <c r="CP163" s="2558">
        <f ca="1">IF('Development Inputs'!$N$97="Merchant",CP160+CP162,IF(AND(CP$6=DateDisposition,'Development Inputs'!$N$97="PropCo"),SUM($E$160:CP$160,$E$162:CP$162)-SUM($E$163:CO$163),IF(AND(OR(MONTH(Waterfalls!CP$6)=3,MONTH(Waterfalls!CP$6)=6,MONTH(Waterfalls!CP$6)=9,MONTH(Waterfalls!CP$6)=12),'Development Inputs'!$N$97="PropCo"),SUM(CN160:CP160,CN162:CP162),0)))</f>
        <v>300064.29840285529</v>
      </c>
      <c r="CQ163" s="2558">
        <f ca="1">IF('Development Inputs'!$N$97="Merchant",CQ160+CQ162,IF(AND(CQ$6=DateDisposition,'Development Inputs'!$N$97="PropCo"),SUM($E$160:CQ$160,$E$162:CQ$162)-SUM($E$163:CP$163),IF(AND(OR(MONTH(Waterfalls!CQ$6)=3,MONTH(Waterfalls!CQ$6)=6,MONTH(Waterfalls!CQ$6)=9,MONTH(Waterfalls!CQ$6)=12),'Development Inputs'!$N$97="PropCo"),SUM(CO160:CQ160,CO162:CQ162),0)))</f>
        <v>301937.81120972894</v>
      </c>
      <c r="CR163" s="2558">
        <f ca="1">IF('Development Inputs'!$N$97="Merchant",CR160+CR162,IF(AND(CR$6=DateDisposition,'Development Inputs'!$N$97="PropCo"),SUM($E$160:CR$160,$E$162:CR$162)-SUM($E$163:CQ$163),IF(AND(OR(MONTH(Waterfalls!CR$6)=3,MONTH(Waterfalls!CR$6)=6,MONTH(Waterfalls!CR$6)=9,MONTH(Waterfalls!CR$6)=12),'Development Inputs'!$N$97="PropCo"),SUM(CP160:CR160,CP162:CR162),0)))</f>
        <v>304624.84842418984</v>
      </c>
      <c r="CS163" s="2558">
        <f ca="1">IF('Development Inputs'!$N$97="Merchant",CS160+CS162,IF(AND(CS$6=DateDisposition,'Development Inputs'!$N$97="PropCo"),SUM($E$160:CS$160,$E$162:CS$162)-SUM($E$163:CR$163),IF(AND(OR(MONTH(Waterfalls!CS$6)=3,MONTH(Waterfalls!CS$6)=6,MONTH(Waterfalls!CS$6)=9,MONTH(Waterfalls!CS$6)=12),'Development Inputs'!$N$97="PropCo"),SUM(CQ160:CS160,CQ162:CS162),0)))</f>
        <v>307322.59002858156</v>
      </c>
      <c r="CT163" s="2558">
        <f ca="1">IF('Development Inputs'!$N$97="Merchant",CT160+CT162,IF(AND(CT$6=DateDisposition,'Development Inputs'!$N$97="PropCo"),SUM($E$160:CT$160,$E$162:CT$162)-SUM($E$163:CS$163),IF(AND(OR(MONTH(Waterfalls!CT$6)=3,MONTH(Waterfalls!CT$6)=6,MONTH(Waterfalls!CT$6)=9,MONTH(Waterfalls!CT$6)=12),'Development Inputs'!$N$97="PropCo"),SUM(CR160:CT160,CR162:CT162),0)))</f>
        <v>310031.07933396345</v>
      </c>
      <c r="CU163" s="2558">
        <f ca="1">IF('Development Inputs'!$N$97="Merchant",CU160+CU162,IF(AND(CU$6=DateDisposition,'Development Inputs'!$N$97="PropCo"),SUM($E$160:CU$160,$E$162:CU$162)-SUM($E$163:CT$163),IF(AND(OR(MONTH(Waterfalls!CU$6)=3,MONTH(Waterfalls!CU$6)=6,MONTH(Waterfalls!CU$6)=9,MONTH(Waterfalls!CU$6)=12),'Development Inputs'!$N$97="PropCo"),SUM(CS160:CU160,CS162:CU162),0)))</f>
        <v>312750.35982835095</v>
      </c>
      <c r="CV163" s="2558">
        <f ca="1">IF('Development Inputs'!$N$97="Merchant",CV160+CV162,IF(AND(CV$6=DateDisposition,'Development Inputs'!$N$97="PropCo"),SUM($E$160:CV$160,$E$162:CV$162)-SUM($E$163:CU$163),IF(AND(OR(MONTH(Waterfalls!CV$6)=3,MONTH(Waterfalls!CV$6)=6,MONTH(Waterfalls!CV$6)=9,MONTH(Waterfalls!CV$6)=12),'Development Inputs'!$N$97="PropCo"),SUM(CT160:CV160,CT162:CV162),0)))</f>
        <v>315480.47517744231</v>
      </c>
      <c r="CW163" s="2558">
        <f ca="1">IF('Development Inputs'!$N$97="Merchant",CW160+CW162,IF(AND(CW$6=DateDisposition,'Development Inputs'!$N$97="PropCo"),SUM($E$160:CW$160,$E$162:CW$162)-SUM($E$163:CV$163),IF(AND(OR(MONTH(Waterfalls!CW$6)=3,MONTH(Waterfalls!CW$6)=6,MONTH(Waterfalls!CW$6)=9,MONTH(Waterfalls!CW$6)=12),'Development Inputs'!$N$97="PropCo"),SUM(CU160:CW160,CU162:CW162),0)))</f>
        <v>318221.46922534914</v>
      </c>
      <c r="CX163" s="2558">
        <f ca="1">IF('Development Inputs'!$N$97="Merchant",CX160+CX162,IF(AND(CX$6=DateDisposition,'Development Inputs'!$N$97="PropCo"),SUM($E$160:CX$160,$E$162:CX$162)-SUM($E$163:CW$163),IF(AND(OR(MONTH(Waterfalls!CX$6)=3,MONTH(Waterfalls!CX$6)=6,MONTH(Waterfalls!CX$6)=9,MONTH(Waterfalls!CX$6)=12),'Development Inputs'!$N$97="PropCo"),SUM(CV160:CX160,CV162:CX162),0)))</f>
        <v>320144.63650763652</v>
      </c>
      <c r="CY163" s="2558">
        <f ca="1">IF('Development Inputs'!$N$97="Merchant",CY160+CY162,IF(AND(CY$6=DateDisposition,'Development Inputs'!$N$97="PropCo"),SUM($E$160:CY$160,$E$162:CY$162)-SUM($E$163:CX$163),IF(AND(OR(MONTH(Waterfalls!CY$6)=3,MONTH(Waterfalls!CY$6)=6,MONTH(Waterfalls!CY$6)=9,MONTH(Waterfalls!CY$6)=12),'Development Inputs'!$N$97="PropCo"),SUM(CW160:CY160,CW162:CY162),0)))</f>
        <v>323735.12394435913</v>
      </c>
      <c r="CZ163" s="2558">
        <f ca="1">IF('Development Inputs'!$N$97="Merchant",CZ160+CZ162,IF(AND(CZ$6=DateDisposition,'Development Inputs'!$N$97="PropCo"),SUM($E$160:CZ$160,$E$162:CZ$162)-SUM($E$163:CY$163),IF(AND(OR(MONTH(Waterfalls!CZ$6)=3,MONTH(Waterfalls!CZ$6)=6,MONTH(Waterfalls!CZ$6)=9,MONTH(Waterfalls!CZ$6)=12),'Development Inputs'!$N$97="PropCo"),SUM(CX160:CZ160,CX162:CZ162),0)))</f>
        <v>326893.32698553684</v>
      </c>
      <c r="DA163" s="2558">
        <f ca="1">IF('Development Inputs'!$N$97="Merchant",DA160+DA162,IF(AND(DA$6=DateDisposition,'Development Inputs'!$N$97="PropCo"),SUM($E$160:DA$160,$E$162:DA$162)-SUM($E$163:CZ$163),IF(AND(OR(MONTH(Waterfalls!DA$6)=3,MONTH(Waterfalls!DA$6)=6,MONTH(Waterfalls!DA$6)=9,MONTH(Waterfalls!DA$6)=12),'Development Inputs'!$N$97="PropCo"),SUM(CY160:DA160,CY162:DA162),0)))</f>
        <v>322838.79676200682</v>
      </c>
      <c r="DB163" s="2558">
        <f ca="1">IF('Development Inputs'!$N$97="Merchant",DB160+DB162,IF(AND(DB$6=DateDisposition,'Development Inputs'!$N$97="PropCo"),SUM($E$160:DB$160,$E$162:DB$162)-SUM($E$163:DA$163),IF(AND(OR(MONTH(Waterfalls!DB$6)=3,MONTH(Waterfalls!DB$6)=6,MONTH(Waterfalls!DB$6)=9,MONTH(Waterfalls!DB$6)=12),'Development Inputs'!$N$97="PropCo"),SUM(CZ160:DB160,CZ162:DB162),0)))</f>
        <v>324783.00270527974</v>
      </c>
      <c r="DC163" s="2558">
        <f ca="1">IF('Development Inputs'!$N$97="Merchant",DC160+DC162,IF(AND(DC$6=DateDisposition,'Development Inputs'!$N$97="PropCo"),SUM($E$160:DC$160,$E$162:DC$162)-SUM($E$163:DB$163),IF(AND(OR(MONTH(Waterfalls!DC$6)=3,MONTH(Waterfalls!DC$6)=6,MONTH(Waterfalls!DC$6)=9,MONTH(Waterfalls!DC$6)=12),'Development Inputs'!$N$97="PropCo"),SUM(DA160:DC160,DA162:DC162),0)))</f>
        <v>326732.50422900717</v>
      </c>
      <c r="DD163" s="2558">
        <f ca="1">IF('Development Inputs'!$N$97="Merchant",DD160+DD162,IF(AND(DD$6=DateDisposition,'Development Inputs'!$N$97="PropCo"),SUM($E$160:DD$160,$E$162:DD$162)-SUM($E$163:DC$163),IF(AND(OR(MONTH(Waterfalls!DD$6)=3,MONTH(Waterfalls!DD$6)=6,MONTH(Waterfalls!DD$6)=9,MONTH(Waterfalls!DD$6)=12),'Development Inputs'!$N$97="PropCo"),SUM(DB160:DD160,DB162:DD162),0)))</f>
        <v>329529.90961024573</v>
      </c>
      <c r="DE163" s="2558">
        <f ca="1">IF('Development Inputs'!$N$97="Merchant",DE160+DE162,IF(AND(DE$6=DateDisposition,'Development Inputs'!$N$97="PropCo"),SUM($E$160:DE$160,$E$162:DE$162)-SUM($E$163:DD$163),IF(AND(OR(MONTH(Waterfalls!DE$6)=3,MONTH(Waterfalls!DE$6)=6,MONTH(Waterfalls!DE$6)=9,MONTH(Waterfalls!DE$6)=12),'Development Inputs'!$N$97="PropCo"),SUM(DC160:DE160,DC162:DE162),0)))</f>
        <v>332338.46393047902</v>
      </c>
      <c r="DF163" s="2558">
        <f ca="1">IF('Development Inputs'!$N$97="Merchant",DF160+DF162,IF(AND(DF$6=DateDisposition,'Development Inputs'!$N$97="PropCo"),SUM($E$160:DF$160,$E$162:DF$162)-SUM($E$163:DE$163),IF(AND(OR(MONTH(Waterfalls!DF$6)=3,MONTH(Waterfalls!DF$6)=6,MONTH(Waterfalls!DF$6)=9,MONTH(Waterfalls!DF$6)=12),'Development Inputs'!$N$97="PropCo"),SUM(DD160:DF160,DD162:DF162),0)))</f>
        <v>335158.21231197228</v>
      </c>
      <c r="DG163" s="2558">
        <f ca="1">IF('Development Inputs'!$N$97="Merchant",DG160+DG162,IF(AND(DG$6=DateDisposition,'Development Inputs'!$N$97="PropCo"),SUM($E$160:DG$160,$E$162:DG$162)-SUM($E$163:DF$163),IF(AND(OR(MONTH(Waterfalls!DG$6)=3,MONTH(Waterfalls!DG$6)=6,MONTH(Waterfalls!DG$6)=9,MONTH(Waterfalls!DG$6)=12),'Development Inputs'!$N$97="PropCo"),SUM(DE160:DG160,DE162:DG162),0)))</f>
        <v>337989.20006137749</v>
      </c>
      <c r="DH163" s="2558">
        <f ca="1">IF('Development Inputs'!$N$97="Merchant",DH160+DH162,IF(AND(DH$6=DateDisposition,'Development Inputs'!$N$97="PropCo"),SUM($E$160:DH$160,$E$162:DH$162)-SUM($E$163:DG$163),IF(AND(OR(MONTH(Waterfalls!DH$6)=3,MONTH(Waterfalls!DH$6)=6,MONTH(Waterfalls!DH$6)=9,MONTH(Waterfalls!DH$6)=12),'Development Inputs'!$N$97="PropCo"),SUM(DF160:DH160,DF162:DH162),0)))</f>
        <v>340831.47267049237</v>
      </c>
      <c r="DI163" s="2558">
        <f ca="1">IF('Development Inputs'!$N$97="Merchant",DI160+DI162,IF(AND(DI$6=DateDisposition,'Development Inputs'!$N$97="PropCo"),SUM($E$160:DI$160,$E$162:DI$162)-SUM($E$163:DH$163),IF(AND(OR(MONTH(Waterfalls!DI$6)=3,MONTH(Waterfalls!DI$6)=6,MONTH(Waterfalls!DI$6)=9,MONTH(Waterfalls!DI$6)=12),'Development Inputs'!$N$97="PropCo"),SUM(DG160:DI160,DG162:DI162),0)))</f>
        <v>343685.07581702096</v>
      </c>
      <c r="DJ163" s="2558">
        <f ca="1">IF('Development Inputs'!$N$97="Merchant",DJ160+DJ162,IF(AND(DJ$6=DateDisposition,'Development Inputs'!$N$97="PropCo"),SUM($E$160:DJ$160,$E$162:DJ$162)-SUM($E$163:DI$163),IF(AND(OR(MONTH(Waterfalls!DJ$6)=3,MONTH(Waterfalls!DJ$6)=6,MONTH(Waterfalls!DJ$6)=9,MONTH(Waterfalls!DJ$6)=12),'Development Inputs'!$N$97="PropCo"),SUM(DH160:DJ160,DH162:DJ162),0)))</f>
        <v>345686.27496793435</v>
      </c>
      <c r="DK163" s="2558">
        <f ca="1">IF('Development Inputs'!$N$97="Merchant",DK160+DK162,IF(AND(DK$6=DateDisposition,'Development Inputs'!$N$97="PropCo"),SUM($E$160:DK$160,$E$162:DK$162)-SUM($E$163:DJ$163),IF(AND(OR(MONTH(Waterfalls!DK$6)=3,MONTH(Waterfalls!DK$6)=6,MONTH(Waterfalls!DK$6)=9,MONTH(Waterfalls!DK$6)=12),'Development Inputs'!$N$97="PropCo"),SUM(DI160:DK160,DI162:DK162),0)))</f>
        <v>349425.26319085585</v>
      </c>
      <c r="DL163" s="2558">
        <f ca="1">IF('Development Inputs'!$N$97="Merchant",DL160+DL162,IF(AND(DL$6=DateDisposition,'Development Inputs'!$N$97="PropCo"),SUM($E$160:DL$160,$E$162:DL$162)-SUM($E$163:DK$163),IF(AND(OR(MONTH(Waterfalls!DL$6)=3,MONTH(Waterfalls!DL$6)=6,MONTH(Waterfalls!DL$6)=9,MONTH(Waterfalls!DL$6)=12),'Development Inputs'!$N$97="PropCo"),SUM(DJ160:DL160,DJ162:DL162),0)))</f>
        <v>352713.6864705676</v>
      </c>
      <c r="DM163" s="2558">
        <f ca="1">IF('Development Inputs'!$N$97="Merchant",DM160+DM162,IF(AND(DM$6=DateDisposition,'Development Inputs'!$N$97="PropCo"),SUM($E$160:DM$160,$E$162:DM$162)-SUM($E$163:DL$163),IF(AND(OR(MONTH(Waterfalls!DM$6)=3,MONTH(Waterfalls!DM$6)=6,MONTH(Waterfalls!DM$6)=9,MONTH(Waterfalls!DM$6)=12),'Development Inputs'!$N$97="PropCo"),SUM(DK160:DM160,DK162:DM162),0)))</f>
        <v>348538.19223049027</v>
      </c>
      <c r="DN163" s="2558">
        <f ca="1">IF('Development Inputs'!$N$97="Merchant",DN160+DN162,IF(AND(DN$6=DateDisposition,'Development Inputs'!$N$97="PropCo"),SUM($E$160:DN$160,$E$162:DN$162)-SUM($E$163:DM$163),IF(AND(OR(MONTH(Waterfalls!DN$6)=3,MONTH(Waterfalls!DN$6)=6,MONTH(Waterfalls!DN$6)=9,MONTH(Waterfalls!DN$6)=12),'Development Inputs'!$N$97="PropCo"),SUM(DL160:DN160,DL162:DN162),0)))</f>
        <v>350561.28706238139</v>
      </c>
      <c r="DO163" s="2558">
        <f ca="1">IF('Development Inputs'!$N$97="Merchant",DO160+DO162,IF(AND(DO$6=DateDisposition,'Development Inputs'!$N$97="PropCo"),SUM($E$160:DO$160,$E$162:DO$162)-SUM($E$163:DN$163),IF(AND(OR(MONTH(Waterfalls!DO$6)=3,MONTH(Waterfalls!DO$6)=6,MONTH(Waterfalls!DO$6)=9,MONTH(Waterfalls!DO$6)=12),'Development Inputs'!$N$97="PropCo"),SUM(DM160:DO160,DM162:DO162),0)))</f>
        <v>352589.89319803461</v>
      </c>
      <c r="DP163" s="2558">
        <f ca="1">IF('Development Inputs'!$N$97="Merchant",DP160+DP162,IF(AND(DP$6=DateDisposition,'Development Inputs'!$N$97="PropCo"),SUM($E$160:DP$160,$E$162:DP$162)-SUM($E$163:DO$163),IF(AND(OR(MONTH(Waterfalls!DP$6)=3,MONTH(Waterfalls!DP$6)=6,MONTH(Waterfalls!DP$6)=9,MONTH(Waterfalls!DP$6)=12),'Development Inputs'!$N$97="PropCo"),SUM(DN160:DP160,DN162:DP162),0)))</f>
        <v>355502.23560968239</v>
      </c>
      <c r="DQ163" s="2558">
        <f ca="1">IF('Development Inputs'!$N$97="Merchant",DQ160+DQ162,IF(AND(DQ$6=DateDisposition,'Development Inputs'!$N$97="PropCo"),SUM($E$160:DQ$160,$E$162:DQ$162)-SUM($E$163:DP$163),IF(AND(OR(MONTH(Waterfalls!DQ$6)=3,MONTH(Waterfalls!DQ$6)=6,MONTH(Waterfalls!DQ$6)=9,MONTH(Waterfalls!DQ$6)=12),'Development Inputs'!$N$97="PropCo"),SUM(DO160:DQ160,DO162:DQ162),0)))</f>
        <v>358426.19006266387</v>
      </c>
      <c r="DR163" s="2558">
        <f ca="1">IF('Development Inputs'!$N$97="Merchant",DR160+DR162,IF(AND(DR$6=DateDisposition,'Development Inputs'!$N$97="PropCo"),SUM($E$160:DR$160,$E$162:DR$162)-SUM($E$163:DQ$163),IF(AND(OR(MONTH(Waterfalls!DR$6)=3,MONTH(Waterfalls!DR$6)=6,MONTH(Waterfalls!DR$6)=9,MONTH(Waterfalls!DR$6)=12),'Development Inputs'!$N$97="PropCo"),SUM(DP160:DR160,DP162:DR162),0)))</f>
        <v>361361.8035664222</v>
      </c>
      <c r="DS163" s="2558">
        <f ca="1">IF('Development Inputs'!$N$97="Merchant",DS160+DS162,IF(AND(DS$6=DateDisposition,'Development Inputs'!$N$97="PropCo"),SUM($E$160:DS$160,$E$162:DS$162)-SUM($E$163:DR$163),IF(AND(OR(MONTH(Waterfalls!DS$6)=3,MONTH(Waterfalls!DS$6)=6,MONTH(Waterfalls!DS$6)=9,MONTH(Waterfalls!DS$6)=12),'Development Inputs'!$N$97="PropCo"),SUM(DQ160:DS160,DQ162:DS162),0)))</f>
        <v>364309.12332253216</v>
      </c>
      <c r="DT163" s="2558">
        <f ca="1">IF('Development Inputs'!$N$97="Merchant",DT160+DT162,IF(AND(DT$6=DateDisposition,'Development Inputs'!$N$97="PropCo"),SUM($E$160:DT$160,$E$162:DT$162)-SUM($E$163:DS$163),IF(AND(OR(MONTH(Waterfalls!DT$6)=3,MONTH(Waterfalls!DT$6)=6,MONTH(Waterfalls!DT$6)=9,MONTH(Waterfalls!DT$6)=12),'Development Inputs'!$N$97="PropCo"),SUM(DR160:DT160,DR162:DT162),0)))</f>
        <v>367268.19672549015</v>
      </c>
      <c r="DU163" s="2558">
        <f ca="1">IF('Development Inputs'!$N$97="Merchant",DU160+DU162,IF(AND(DU$6=DateDisposition,'Development Inputs'!$N$97="PropCo"),SUM($E$160:DU$160,$E$162:DU$162)-SUM($E$163:DT$163),IF(AND(OR(MONTH(Waterfalls!DU$6)=3,MONTH(Waterfalls!DU$6)=6,MONTH(Waterfalls!DU$6)=9,MONTH(Waterfalls!DU$6)=12),'Development Inputs'!$N$97="PropCo"),SUM(DS160:DU160,DS162:DU162),0)))</f>
        <v>370239.07136350719</v>
      </c>
      <c r="DV163" s="2558">
        <f ca="1">IF('Development Inputs'!$N$97="Merchant",DV160+DV162,IF(AND(DV$6=DateDisposition,'Development Inputs'!$N$97="PropCo"),SUM($E$160:DV$160,$E$162:DV$162)-SUM($E$163:DU$163),IF(AND(OR(MONTH(Waterfalls!DV$6)=3,MONTH(Waterfalls!DV$6)=6,MONTH(Waterfalls!DV$6)=9,MONTH(Waterfalls!DV$6)=12),'Development Inputs'!$N$97="PropCo"),SUM(DT160:DV160,DT162:DV162),0)))</f>
        <v>372321.50296963623</v>
      </c>
      <c r="DW163" s="2558">
        <f ca="1">IF('Development Inputs'!$N$97="Merchant",DW160+DW162,IF(AND(DW$6=DateDisposition,'Development Inputs'!$N$97="PropCo"),SUM($E$160:DW$160,$E$162:DW$162)-SUM($E$163:DV$163),IF(AND(OR(MONTH(Waterfalls!DW$6)=3,MONTH(Waterfalls!DW$6)=6,MONTH(Waterfalls!DW$6)=9,MONTH(Waterfalls!DW$6)=12),'Development Inputs'!$N$97="PropCo"),SUM(DU160:DW160,DU162:DW162),0)))</f>
        <v>376215.17101715982</v>
      </c>
      <c r="DX163" s="2558">
        <f ca="1">IF('Development Inputs'!$N$97="Merchant",DX160+DX162,IF(AND(DX$6=DateDisposition,'Development Inputs'!$N$97="PropCo"),SUM($E$160:DX$160,$E$162:DX$162)-SUM($E$163:DW$163),IF(AND(OR(MONTH(Waterfalls!DX$6)=3,MONTH(Waterfalls!DX$6)=6,MONTH(Waterfalls!DX$6)=9,MONTH(Waterfalls!DX$6)=12),'Development Inputs'!$N$97="PropCo"),SUM(DV160:DX160,DV162:DX162),0)))</f>
        <v>379639.22062059399</v>
      </c>
      <c r="DY163" s="2558">
        <f ca="1">IF('Development Inputs'!$N$97="Merchant",DY160+DY162,IF(AND(DY$6=DateDisposition,'Development Inputs'!$N$97="PropCo"),SUM($E$160:DY$160,$E$162:DY$162)-SUM($E$163:DX$163),IF(AND(OR(MONTH(Waterfalls!DY$6)=3,MONTH(Waterfalls!DY$6)=6,MONTH(Waterfalls!DY$6)=9,MONTH(Waterfalls!DY$6)=12),'Development Inputs'!$N$97="PropCo"),SUM(DW160:DY160,DW162:DY162),0)))</f>
        <v>375338.25815748912</v>
      </c>
      <c r="DZ163" s="2558">
        <f ca="1">IF('Development Inputs'!$N$97="Merchant",DZ160+DZ162,IF(AND(DZ$6=DateDisposition,'Development Inputs'!$N$97="PropCo"),SUM($E$160:DZ$160,$E$162:DZ$162)-SUM($E$163:DY$163),IF(AND(OR(MONTH(Waterfalls!DZ$6)=3,MONTH(Waterfalls!DZ$6)=6,MONTH(Waterfalls!DZ$6)=9,MONTH(Waterfalls!DZ$6)=12),'Development Inputs'!$N$97="PropCo"),SUM(DX160:DZ160,DX162:DZ162),0)))</f>
        <v>377443.47772220627</v>
      </c>
      <c r="EA163" s="2558">
        <f ca="1">IF('Development Inputs'!$N$97="Merchant",EA160+EA162,IF(AND(EA$6=DateDisposition,'Development Inputs'!$N$97="PropCo"),SUM($E$160:EA$160,$E$162:EA$162)-SUM($E$163:DZ$163),IF(AND(OR(MONTH(Waterfalls!EA$6)=3,MONTH(Waterfalls!EA$6)=6,MONTH(Waterfalls!EA$6)=9,MONTH(Waterfalls!EA$6)=12),'Development Inputs'!$N$97="PropCo"),SUM(DY160:EA160,DY162:EA162),0)))</f>
        <v>379554.43318896834</v>
      </c>
      <c r="EB163" s="2558">
        <f ca="1">IF('Development Inputs'!$N$97="Merchant",EB160+EB162,IF(AND(EB$6=DateDisposition,'Development Inputs'!$N$97="PropCo"),SUM($E$160:EB$160,$E$162:EB$162)-SUM($E$163:EA$163),IF(AND(OR(MONTH(Waterfalls!EB$6)=3,MONTH(Waterfalls!EB$6)=6,MONTH(Waterfalls!EB$6)=9,MONTH(Waterfalls!EB$6)=12),'Development Inputs'!$N$97="PropCo"),SUM(DZ160:EB160,DZ162:EB162),0)))</f>
        <v>382586.47172805632</v>
      </c>
      <c r="EC163" s="2558">
        <f ca="1">IF('Development Inputs'!$N$97="Merchant",EC160+EC162,IF(AND(EC$6=DateDisposition,'Development Inputs'!$N$97="PropCo"),SUM($E$160:EC$160,$E$162:EC$162)-SUM($E$163:EB$163),IF(AND(OR(MONTH(Waterfalls!EC$6)=3,MONTH(Waterfalls!EC$6)=6,MONTH(Waterfalls!EC$6)=9,MONTH(Waterfalls!EC$6)=12),'Development Inputs'!$N$97="PropCo"),SUM(EA160:EC160,EA162:EC162),0)))</f>
        <v>385630.60474120232</v>
      </c>
      <c r="ED163" s="2558">
        <f ca="1">IF('Development Inputs'!$N$97="Merchant",ED160+ED162,IF(AND(ED$6=DateDisposition,'Development Inputs'!$N$97="PropCo"),SUM($E$160:ED$160,$E$162:ED$162)-SUM($E$163:EC$163),IF(AND(OR(MONTH(Waterfalls!ED$6)=3,MONTH(Waterfalls!ED$6)=6,MONTH(Waterfalls!ED$6)=9,MONTH(Waterfalls!ED$6)=12),'Development Inputs'!$N$97="PropCo"),SUM(EB160:ED160,EB162:ED162),0)))</f>
        <v>388686.88120419416</v>
      </c>
      <c r="EE163" s="2558">
        <f ca="1">IF('Development Inputs'!$N$97="Merchant",EE160+EE162,IF(AND(EE$6=DateDisposition,'Development Inputs'!$N$97="PropCo"),SUM($E$160:EE$160,$E$162:EE$162)-SUM($E$163:ED$163),IF(AND(OR(MONTH(Waterfalls!EE$6)=3,MONTH(Waterfalls!EE$6)=6,MONTH(Waterfalls!EE$6)=9,MONTH(Waterfalls!EE$6)=12),'Development Inputs'!$N$97="PropCo"),SUM(EC160:EE160,EC162:EE162),0)))</f>
        <v>391755.35029302142</v>
      </c>
      <c r="EF163" s="2558">
        <f ca="1">IF('Development Inputs'!$N$97="Merchant",EF160+EF162,IF(AND(EF$6=DateDisposition,'Development Inputs'!$N$97="PropCo"),SUM($E$160:EF$160,$E$162:EF$162)-SUM($E$163:EE$163),IF(AND(OR(MONTH(Waterfalls!EF$6)=3,MONTH(Waterfalls!EF$6)=6,MONTH(Waterfalls!EF$6)=9,MONTH(Waterfalls!EF$6)=12),'Development Inputs'!$N$97="PropCo"),SUM(ED160:EF160,ED162:EF162),0)))</f>
        <v>394836.06138469838</v>
      </c>
      <c r="EG163" s="2558">
        <f ca="1">IF('Development Inputs'!$N$97="Merchant",EG160+EG162,IF(AND(EG$6=DateDisposition,'Development Inputs'!$N$97="PropCo"),SUM($E$160:EG$160,$E$162:EG$162)-SUM($E$163:EF$163),IF(AND(OR(MONTH(Waterfalls!EG$6)=3,MONTH(Waterfalls!EG$6)=6,MONTH(Waterfalls!EG$6)=9,MONTH(Waterfalls!EG$6)=12),'Development Inputs'!$N$97="PropCo"),SUM(EE160:EG160,EE162:EG162),0)))</f>
        <v>397929.06406458234</v>
      </c>
      <c r="EH163" s="644"/>
      <c r="EI163" s="722"/>
    </row>
    <row r="164" spans="1:139" ht="6.75" customHeight="1" x14ac:dyDescent="0.3">
      <c r="A164" s="408"/>
      <c r="B164" s="408"/>
      <c r="C164" s="408"/>
      <c r="D164" s="686"/>
      <c r="E164" s="408"/>
      <c r="F164" s="408"/>
      <c r="EH164" s="644"/>
      <c r="EI164" s="280"/>
    </row>
    <row r="165" spans="1:139" x14ac:dyDescent="0.3">
      <c r="A165" s="704" t="str">
        <f>'General Inputs'!$J$29&amp;" Preference Paid From NCF"</f>
        <v>LP Preference Paid From NCF</v>
      </c>
      <c r="B165" s="704"/>
      <c r="C165" s="704"/>
      <c r="D165" s="729"/>
      <c r="E165" s="704">
        <f ca="1">IF('General Inputs'!$J$8=0,0,IF(E$163&gt;0,-MIN(ContrEquity*E$163,E$59),0))</f>
        <v>0</v>
      </c>
      <c r="F165" s="704">
        <f ca="1">IF('General Inputs'!$J$8=0,0,IF(F$163&gt;0,-MIN(ContrEquity*F$163,F$59),0))</f>
        <v>0</v>
      </c>
      <c r="G165" s="704">
        <f ca="1">IF('General Inputs'!$J$8=0,0,IF(G$163&gt;0,-MIN(ContrEquity*G$163,G$59),0))</f>
        <v>0</v>
      </c>
      <c r="H165" s="704">
        <f ca="1">IF('General Inputs'!$J$8=0,0,IF(H$163&gt;0,-MIN(ContrEquity*H$163,H$59),0))</f>
        <v>0</v>
      </c>
      <c r="I165" s="704">
        <f ca="1">IF('General Inputs'!$J$8=0,0,IF(I$163&gt;0,-MIN(ContrEquity*I$163,I$59),0))</f>
        <v>0</v>
      </c>
      <c r="J165" s="704">
        <f ca="1">IF('General Inputs'!$J$8=0,0,IF(J$163&gt;0,-MIN(ContrEquity*J$163,J$59),0))</f>
        <v>0</v>
      </c>
      <c r="K165" s="704">
        <f ca="1">IF('General Inputs'!$J$8=0,0,IF(K$163&gt;0,-MIN(ContrEquity*K$163,K$59),0))</f>
        <v>0</v>
      </c>
      <c r="L165" s="704">
        <f ca="1">IF('General Inputs'!$J$8=0,0,IF(L$163&gt;0,-MIN(ContrEquity*L$163,L$59),0))</f>
        <v>0</v>
      </c>
      <c r="M165" s="704">
        <f ca="1">IF('General Inputs'!$J$8=0,0,IF(M$163&gt;0,-MIN(ContrEquity*M$163,M$59),0))</f>
        <v>0</v>
      </c>
      <c r="N165" s="704">
        <f ca="1">IF('General Inputs'!$J$8=0,0,IF(N$163&gt;0,-MIN(ContrEquity*N$163,N$59),0))</f>
        <v>0</v>
      </c>
      <c r="O165" s="704">
        <f ca="1">IF('General Inputs'!$J$8=0,0,IF(O$163&gt;0,-MIN(ContrEquity*O$163,O$59),0))</f>
        <v>0</v>
      </c>
      <c r="P165" s="704">
        <f ca="1">IF('General Inputs'!$J$8=0,0,IF(P$163&gt;0,-MIN(ContrEquity*P$163,P$59),0))</f>
        <v>0</v>
      </c>
      <c r="Q165" s="704">
        <f ca="1">IF('General Inputs'!$J$8=0,0,IF(Q$163&gt;0,-MIN(ContrEquity*Q$163,Q$59),0))</f>
        <v>0</v>
      </c>
      <c r="R165" s="704">
        <f ca="1">IF('General Inputs'!$J$8=0,0,IF(R$163&gt;0,-MIN(ContrEquity*R$163,R$59),0))</f>
        <v>0</v>
      </c>
      <c r="S165" s="704">
        <f ca="1">IF('General Inputs'!$J$8=0,0,IF(S$163&gt;0,-MIN(ContrEquity*S$163,S$59),0))</f>
        <v>0</v>
      </c>
      <c r="T165" s="704">
        <f ca="1">IF('General Inputs'!$J$8=0,0,IF(T$163&gt;0,-MIN(ContrEquity*T$163,T$59),0))</f>
        <v>0</v>
      </c>
      <c r="U165" s="704">
        <f ca="1">IF('General Inputs'!$J$8=0,0,IF(U$163&gt;0,-MIN(ContrEquity*U$163,U$59),0))</f>
        <v>0</v>
      </c>
      <c r="V165" s="704">
        <f ca="1">IF('General Inputs'!$J$8=0,0,IF(V$163&gt;0,-MIN(ContrEquity*V$163,V$59),0))</f>
        <v>0</v>
      </c>
      <c r="W165" s="704">
        <f ca="1">IF('General Inputs'!$J$8=0,0,IF(W$163&gt;0,-MIN(ContrEquity*W$163,W$59),0))</f>
        <v>0</v>
      </c>
      <c r="X165" s="704">
        <f ca="1">IF('General Inputs'!$J$8=0,0,IF(X$163&gt;0,-MIN(ContrEquity*X$163,X$59),0))</f>
        <v>0</v>
      </c>
      <c r="Y165" s="704">
        <f ca="1">IF('General Inputs'!$J$8=0,0,IF(Y$163&gt;0,-MIN(ContrEquity*Y$163,Y$59),0))</f>
        <v>0</v>
      </c>
      <c r="Z165" s="704">
        <f ca="1">IF('General Inputs'!$J$8=0,0,IF(Z$163&gt;0,-MIN(ContrEquity*Z$163,Z$59),0))</f>
        <v>0</v>
      </c>
      <c r="AA165" s="704">
        <f ca="1">IF('General Inputs'!$J$8=0,0,IF(AA$163&gt;0,-MIN(ContrEquity*AA$163,AA$59),0))</f>
        <v>0</v>
      </c>
      <c r="AB165" s="704">
        <f ca="1">IF('General Inputs'!$J$8=0,0,IF(AB$163&gt;0,-MIN(ContrEquity*AB$163,AB$59),0))</f>
        <v>0</v>
      </c>
      <c r="AC165" s="704">
        <f ca="1">IF('General Inputs'!$J$8=0,0,IF(AC$163&gt;0,-MIN(ContrEquity*AC$163,AC$59),0))</f>
        <v>-39701.726541082207</v>
      </c>
      <c r="AD165" s="704">
        <f ca="1">IF('General Inputs'!$J$8=0,0,IF(AD$163&gt;0,-MIN(ContrEquity*AD$163,AD$59),0))</f>
        <v>-75897.380147726886</v>
      </c>
      <c r="AE165" s="704">
        <f ca="1">IF('General Inputs'!$J$8=0,0,IF(AE$163&gt;0,-MIN(ContrEquity*AE$163,AE$59),0))</f>
        <v>-117111.83679771089</v>
      </c>
      <c r="AF165" s="704">
        <f ca="1">IF('General Inputs'!$J$8=0,0,IF(AF$163&gt;0,-MIN(ContrEquity*AF$163,AF$59),0))</f>
        <v>-197606.01356017322</v>
      </c>
      <c r="AG165" s="704">
        <f ca="1">IF('General Inputs'!$J$8=0,0,IF(AG$163&gt;0,-MIN(ContrEquity*AG$163,AG$59),0))</f>
        <v>-200887.72104683847</v>
      </c>
      <c r="AH165" s="704">
        <f ca="1">IF('General Inputs'!$J$8=0,0,IF(AH$163&gt;0,-MIN(ContrEquity*AH$163,AH$59),0))</f>
        <v>-202060.55509080735</v>
      </c>
      <c r="AI165" s="704">
        <f ca="1">IF('General Inputs'!$J$8=0,0,IF(AI$163&gt;0,-MIN(ContrEquity*AI$163,AI$59),0))</f>
        <v>-172401.67576785877</v>
      </c>
      <c r="AJ165" s="704">
        <f ca="1">IF('General Inputs'!$J$8=0,0,IF(AJ$163&gt;0,-MIN(ContrEquity*AJ$163,AJ$59),0))</f>
        <v>-174731.72853670808</v>
      </c>
      <c r="AK165" s="704">
        <f ca="1">IF('General Inputs'!$J$8=0,0,IF(AK$163&gt;0,-MIN(ContrEquity*AK$163,AK$59),0))</f>
        <v>-177247.79056307318</v>
      </c>
      <c r="AL165" s="704">
        <f ca="1">IF('General Inputs'!$J$8=0,0,IF(AL$163&gt;0,-MIN(ContrEquity*AL$163,AL$59),0))</f>
        <v>-179754.30209624808</v>
      </c>
      <c r="AM165" s="704">
        <f ca="1">IF('General Inputs'!$J$8=0,0,IF(AM$163&gt;0,-MIN(ContrEquity*AM$163,AM$59),0))</f>
        <v>-182251.09301706479</v>
      </c>
      <c r="AN165" s="704">
        <f ca="1">IF('General Inputs'!$J$8=0,0,IF(AN$163&gt;0,-MIN(ContrEquity*AN$163,AN$59),0))</f>
        <v>-184737.99167472089</v>
      </c>
      <c r="AO165" s="704">
        <f ca="1">IF('General Inputs'!$J$8=0,0,IF(AO$163&gt;0,-MIN(ContrEquity*AO$163,AO$59),0))</f>
        <v>-187214.82487532069</v>
      </c>
      <c r="AP165" s="704">
        <f ca="1">IF('General Inputs'!$J$8=0,0,IF(AP$163&gt;0,-MIN(ContrEquity*AP$163,AP$59),0))</f>
        <v>-188927.9705499119</v>
      </c>
      <c r="AQ165" s="704">
        <f ca="1">IF('General Inputs'!$J$8=0,0,IF(AQ$163&gt;0,-MIN(ContrEquity*AQ$163,AQ$59),0))</f>
        <v>-192138.80825511899</v>
      </c>
      <c r="AR165" s="704">
        <f ca="1">IF('General Inputs'!$J$8=0,0,IF(AR$163&gt;0,-MIN(ContrEquity*AR$163,AR$59),0))</f>
        <v>-194943.1830497584</v>
      </c>
      <c r="AS165" s="704">
        <f ca="1">IF('General Inputs'!$J$8=0,0,IF(AS$163&gt;0,-MIN(ContrEquity*AS$163,AS$59),0))</f>
        <v>-190846.07262484613</v>
      </c>
      <c r="AT165" s="704">
        <f ca="1">IF('General Inputs'!$J$8=0,0,IF(AT$163&gt;0,-MIN(ContrEquity*AT$163,AT$59),0))</f>
        <v>-192515.34381673933</v>
      </c>
      <c r="AU165" s="704">
        <f ca="1">IF('General Inputs'!$J$8=0,0,IF(AU$163&gt;0,-MIN(ContrEquity*AU$163,AU$59),0))</f>
        <v>-194153.75512738939</v>
      </c>
      <c r="AV165" s="704">
        <f ca="1">IF('General Inputs'!$J$8=0,0,IF(AV$163&gt;0,-MIN(ContrEquity*AV$163,AV$59),0))</f>
        <v>-196460.1469807401</v>
      </c>
      <c r="AW165" s="704">
        <f ca="1">IF('General Inputs'!$J$8=0,0,IF(AW$163&gt;0,-MIN(ContrEquity*AW$163,AW$59),0))</f>
        <v>-198695.63406050156</v>
      </c>
      <c r="AX165" s="704">
        <f ca="1">IF('General Inputs'!$J$8=0,0,IF(AX$163&gt;0,-MIN(ContrEquity*AX$163,AX$59),0))</f>
        <v>-200859.59079967643</v>
      </c>
      <c r="AY165" s="704">
        <f ca="1">IF('General Inputs'!$J$8=0,0,IF(AY$163&gt;0,-MIN(ContrEquity*AY$163,AY$59),0))</f>
        <v>-202951.38760644387</v>
      </c>
      <c r="AZ165" s="704">
        <f ca="1">IF('General Inputs'!$J$8=0,0,IF(AZ$163&gt;0,-MIN(ContrEquity*AZ$163,AZ$59),0))</f>
        <v>-204970.39084103913</v>
      </c>
      <c r="BA165" s="704">
        <f ca="1">IF('General Inputs'!$J$8=0,0,IF(BA$163&gt;0,-MIN(ContrEquity*BA$163,BA$59),0))</f>
        <v>-206915.96279250665</v>
      </c>
      <c r="BB165" s="704">
        <f ca="1">IF('General Inputs'!$J$8=0,0,IF(BB$163&gt;0,-MIN(ContrEquity*BB$163,BB$59),0))</f>
        <v>-208234.44155597102</v>
      </c>
      <c r="BC165" s="704">
        <f ca="1">IF('General Inputs'!$J$8=0,0,IF(BC$163&gt;0,-MIN(ContrEquity*BC$163,BC$59),0))</f>
        <v>-210592.60183292444</v>
      </c>
      <c r="BD165" s="704">
        <f ca="1">IF('General Inputs'!$J$8=0,0,IF(BD$163&gt;0,-MIN(ContrEquity*BD$163,BD$59),0))</f>
        <v>-212608.40451015695</v>
      </c>
      <c r="BE165" s="704">
        <f ca="1">IF('General Inputs'!$J$8=0,0,IF(BE$163&gt;0,-MIN(ContrEquity*BE$163,BE$59),0))</f>
        <v>-209172.56403160875</v>
      </c>
      <c r="BF165" s="704">
        <f ca="1">IF('General Inputs'!$J$8=0,0,IF(BF$163&gt;0,-MIN(ContrEquity*BF$163,BF$59),0))</f>
        <v>-210413.12371045238</v>
      </c>
      <c r="BG165" s="704">
        <f ca="1">IF('General Inputs'!$J$8=0,0,IF(BG$163&gt;0,-MIN(ContrEquity*BG$163,BG$59),0))</f>
        <v>-211675.19068384558</v>
      </c>
      <c r="BH165" s="704">
        <f ca="1">IF('General Inputs'!$J$8=0,0,IF(BH$163&gt;0,-MIN(ContrEquity*BH$163,BH$59),0))</f>
        <v>-213492.89930200146</v>
      </c>
      <c r="BI165" s="704">
        <f ca="1">IF('General Inputs'!$J$8=0,0,IF(BI$163&gt;0,-MIN(ContrEquity*BI$163,BI$59),0))</f>
        <v>-215358.77951589701</v>
      </c>
      <c r="BJ165" s="704">
        <f ca="1">IF('General Inputs'!$J$8=0,0,IF(BJ$163&gt;0,-MIN(ContrEquity*BJ$163,BJ$59),0))</f>
        <v>-217273.1636623946</v>
      </c>
      <c r="BK165" s="704">
        <f ca="1">IF('General Inputs'!$J$8=0,0,IF(BK$163&gt;0,-MIN(ContrEquity*BK$163,BK$59),0))</f>
        <v>-219236.38588886344</v>
      </c>
      <c r="BL165" s="704">
        <f ca="1">IF('General Inputs'!$J$8=0,0,IF(BL$163&gt;0,-MIN(ContrEquity*BL$163,BL$59),0))</f>
        <v>-221248.78216209679</v>
      </c>
      <c r="BM165" s="704">
        <f ca="1">IF('General Inputs'!$J$8=0,0,IF(BM$163&gt;0,-MIN(ContrEquity*BM$163,BM$59),0))</f>
        <v>-223310.69027727091</v>
      </c>
      <c r="BN165" s="704">
        <f ca="1">IF('General Inputs'!$J$8=0,0,IF(BN$163&gt;0,-MIN(ContrEquity*BN$163,BN$59),0))</f>
        <v>-224791.46724428562</v>
      </c>
      <c r="BO165" s="704">
        <f ca="1">IF('General Inputs'!$J$8=0,0,IF(BO$163&gt;0,-MIN(ContrEquity*BO$163,BO$59),0))</f>
        <v>-227578.88537624906</v>
      </c>
      <c r="BP165" s="704">
        <f ca="1">IF('General Inputs'!$J$8=0,0,IF(BP$163&gt;0,-MIN(ContrEquity*BP$163,BP$59),0))</f>
        <v>-230064.6768380104</v>
      </c>
      <c r="BQ165" s="704">
        <f ca="1">IF('General Inputs'!$J$8=0,0,IF(BQ$163&gt;0,-MIN(ContrEquity*BQ$163,BQ$59),0))</f>
        <v>-226719.99236446855</v>
      </c>
      <c r="BR165" s="704">
        <f ca="1">IF('General Inputs'!$J$8=0,0,IF(BR$163&gt;0,-MIN(ContrEquity*BR$163,BR$59),0))</f>
        <v>-228273.11793294447</v>
      </c>
      <c r="BS165" s="704">
        <f ca="1">IF('General Inputs'!$J$8=0,0,IF(BS$163&gt;0,-MIN(ContrEquity*BS$163,BS$59),0))</f>
        <v>-229830.47188071444</v>
      </c>
      <c r="BT165" s="704">
        <f ca="1">IF('General Inputs'!$J$8=0,0,IF(BT$163&gt;0,-MIN(ContrEquity*BT$163,BT$59),0))</f>
        <v>-232061.82784247448</v>
      </c>
      <c r="BU165" s="704">
        <f ca="1">IF('General Inputs'!$J$8=0,0,IF(BU$163&gt;0,-MIN(ContrEquity*BU$163,BU$59),0))</f>
        <v>-234302.06500288815</v>
      </c>
      <c r="BV165" s="704">
        <f ca="1">IF('General Inputs'!$J$8=0,0,IF(BV$163&gt;0,-MIN(ContrEquity*BV$163,BV$59),0))</f>
        <v>-236551.21927594484</v>
      </c>
      <c r="BW165" s="704">
        <f ca="1">IF('General Inputs'!$J$8=0,0,IF(BW$163&gt;0,-MIN(ContrEquity*BW$163,BW$59),0))</f>
        <v>-238809.32672231592</v>
      </c>
      <c r="BX165" s="704">
        <f ca="1">IF('General Inputs'!$J$8=0,0,IF(BX$163&gt;0,-MIN(ContrEquity*BX$163,BX$59),0))</f>
        <v>-241076.42354995816</v>
      </c>
      <c r="BY165" s="704">
        <f ca="1">IF('General Inputs'!$J$8=0,0,IF(BY$163&gt;0,-MIN(ContrEquity*BY$163,BY$59),0))</f>
        <v>-243352.54611471822</v>
      </c>
      <c r="BZ165" s="704">
        <f ca="1">IF('General Inputs'!$J$8=0,0,IF(BZ$163&gt;0,-MIN(ContrEquity*BZ$163,BZ$59),0))</f>
        <v>-244951.12800998174</v>
      </c>
      <c r="CA165" s="704">
        <f ca="1">IF('General Inputs'!$J$8=0,0,IF(CA$163&gt;0,-MIN(ContrEquity*CA$163,CA$59),0))</f>
        <v>-247931.06539355716</v>
      </c>
      <c r="CB165" s="704">
        <f ca="1">IF('General Inputs'!$J$8=0,0,IF(CB$163&gt;0,-MIN(ContrEquity*CB$163,CB$59),0))</f>
        <v>-250552.87656355815</v>
      </c>
      <c r="CC165" s="704">
        <f ca="1">IF('General Inputs'!$J$8=0,0,IF(CC$163&gt;0,-MIN(ContrEquity*CC$163,CC$59),0))</f>
        <v>-247110.2346443132</v>
      </c>
      <c r="CD165" s="704">
        <f ca="1">IF('General Inputs'!$J$8=0,0,IF(CD$163&gt;0,-MIN(ContrEquity*CD$163,CD$59),0))</f>
        <v>-248726.29889436733</v>
      </c>
      <c r="CE165" s="704">
        <f ca="1">IF('General Inputs'!$J$8=0,0,IF(CE$163&gt;0,-MIN(ContrEquity*CE$163,CE$59),0))</f>
        <v>-250346.76356878303</v>
      </c>
      <c r="CF165" s="704">
        <f ca="1">IF('General Inputs'!$J$8=0,0,IF(CF$163&gt;0,-MIN(ContrEquity*CF$163,CF$59),0))</f>
        <v>-252669.71334968842</v>
      </c>
      <c r="CG165" s="704">
        <f ca="1">IF('General Inputs'!$J$8=0,0,IF(CG$163&gt;0,-MIN(ContrEquity*CG$163,CG$59),0))</f>
        <v>-255001.9130141066</v>
      </c>
      <c r="CH165" s="704">
        <f ca="1">IF('General Inputs'!$J$8=0,0,IF(CH$163&gt;0,-MIN(ContrEquity*CH$163,CH$59),0))</f>
        <v>-257343.39997752351</v>
      </c>
      <c r="CI165" s="704">
        <f ca="1">IF('General Inputs'!$J$8=0,0,IF(CI$163&gt;0,-MIN(ContrEquity*CI$163,CI$59),0))</f>
        <v>-259694.21180826731</v>
      </c>
      <c r="CJ165" s="704">
        <f ca="1">IF('General Inputs'!$J$8=0,0,IF(CJ$163&gt;0,-MIN(ContrEquity*CJ$163,CJ$59),0))</f>
        <v>-262054.38622813544</v>
      </c>
      <c r="CK165" s="704">
        <f ca="1">IF('General Inputs'!$J$8=0,0,IF(CK$163&gt;0,-MIN(ContrEquity*CK$163,CK$59),0))</f>
        <v>-264423.96111302596</v>
      </c>
      <c r="CL165" s="704">
        <f ca="1">IF('General Inputs'!$J$8=0,0,IF(CL$163&gt;0,-MIN(ContrEquity*CL$163,CL$59),0))</f>
        <v>-266087.34915190429</v>
      </c>
      <c r="CM165" s="704">
        <f ca="1">IF('General Inputs'!$J$8=0,0,IF(CM$163&gt;0,-MIN(ContrEquity*CM$163,CM$59),0))</f>
        <v>-269190.47520373861</v>
      </c>
      <c r="CN165" s="704">
        <f ca="1">IF('General Inputs'!$J$8=0,0,IF(CN$163&gt;0,-MIN(ContrEquity*CN$163,CN$59),0))</f>
        <v>-271920.33035331068</v>
      </c>
      <c r="CO165" s="704">
        <f ca="1">IF('General Inputs'!$J$8=0,0,IF(CO$163&gt;0,-MIN(ContrEquity*CO$163,CO$59),0))</f>
        <v>-268376.28657748428</v>
      </c>
      <c r="CP165" s="704">
        <f ca="1">IF('General Inputs'!$J$8=0,0,IF(CP$163&gt;0,-MIN(ContrEquity*CP$163,CP$59),0))</f>
        <v>-270057.86856256978</v>
      </c>
      <c r="CQ165" s="704">
        <f ca="1">IF('General Inputs'!$J$8=0,0,IF(CQ$163&gt;0,-MIN(ContrEquity*CQ$163,CQ$59),0))</f>
        <v>-271744.03008875606</v>
      </c>
      <c r="CR165" s="704">
        <f ca="1">IF('General Inputs'!$J$8=0,0,IF(CR$163&gt;0,-MIN(ContrEquity*CR$163,CR$59),0))</f>
        <v>-274162.36358177086</v>
      </c>
      <c r="CS165" s="704">
        <f ca="1">IF('General Inputs'!$J$8=0,0,IF(CS$163&gt;0,-MIN(ContrEquity*CS$163,CS$59),0))</f>
        <v>-276590.33102572343</v>
      </c>
      <c r="CT165" s="704">
        <f ca="1">IF('General Inputs'!$J$8=0,0,IF(CT$163&gt;0,-MIN(ContrEquity*CT$163,CT$59),0))</f>
        <v>-279027.9714005671</v>
      </c>
      <c r="CU165" s="704">
        <f ca="1">IF('General Inputs'!$J$8=0,0,IF(CU$163&gt;0,-MIN(ContrEquity*CU$163,CU$59),0))</f>
        <v>-281475.32384551584</v>
      </c>
      <c r="CV165" s="704">
        <f ca="1">IF('General Inputs'!$J$8=0,0,IF(CV$163&gt;0,-MIN(ContrEquity*CV$163,CV$59),0))</f>
        <v>-283932.42765969806</v>
      </c>
      <c r="CW165" s="704">
        <f ca="1">IF('General Inputs'!$J$8=0,0,IF(CW$163&gt;0,-MIN(ContrEquity*CW$163,CW$59),0))</f>
        <v>-286399.32230281422</v>
      </c>
      <c r="CX165" s="704">
        <f ca="1">IF('General Inputs'!$J$8=0,0,IF(CX$163&gt;0,-MIN(ContrEquity*CX$163,CX$59),0))</f>
        <v>-288130.1728568729</v>
      </c>
      <c r="CY165" s="704">
        <f ca="1">IF('General Inputs'!$J$8=0,0,IF(CY$163&gt;0,-MIN(ContrEquity*CY$163,CY$59),0))</f>
        <v>-291361.61154992325</v>
      </c>
      <c r="CZ165" s="704">
        <f ca="1">IF('General Inputs'!$J$8=0,0,IF(CZ$163&gt;0,-MIN(ContrEquity*CZ$163,CZ$59),0))</f>
        <v>-294203.99428698316</v>
      </c>
      <c r="DA165" s="704">
        <f ca="1">IF('General Inputs'!$J$8=0,0,IF(DA$163&gt;0,-MIN(ContrEquity*DA$163,DA$59),0))</f>
        <v>-290554.91708580614</v>
      </c>
      <c r="DB165" s="704">
        <f ca="1">IF('General Inputs'!$J$8=0,0,IF(DB$163&gt;0,-MIN(ContrEquity*DB$163,DB$59),0))</f>
        <v>-292304.70243475179</v>
      </c>
      <c r="DC165" s="704">
        <f ca="1">IF('General Inputs'!$J$8=0,0,IF(DC$163&gt;0,-MIN(ContrEquity*DC$163,DC$59),0))</f>
        <v>-294059.25380610646</v>
      </c>
      <c r="DD165" s="704">
        <f ca="1">IF('General Inputs'!$J$8=0,0,IF(DD$163&gt;0,-MIN(ContrEquity*DD$163,DD$59),0))</f>
        <v>-296576.91864922119</v>
      </c>
      <c r="DE165" s="704">
        <f ca="1">IF('General Inputs'!$J$8=0,0,IF(DE$163&gt;0,-MIN(ContrEquity*DE$163,DE$59),0))</f>
        <v>-299104.61753743113</v>
      </c>
      <c r="DF165" s="704">
        <f ca="1">IF('General Inputs'!$J$8=0,0,IF(DF$163&gt;0,-MIN(ContrEquity*DF$163,DF$59),0))</f>
        <v>-301642.39108077507</v>
      </c>
      <c r="DG165" s="704">
        <f ca="1">IF('General Inputs'!$J$8=0,0,IF(DG$163&gt;0,-MIN(ContrEquity*DG$163,DG$59),0))</f>
        <v>-304190.28005523974</v>
      </c>
      <c r="DH165" s="704">
        <f ca="1">IF('General Inputs'!$J$8=0,0,IF(DH$163&gt;0,-MIN(ContrEquity*DH$163,DH$59),0))</f>
        <v>-306748.32540344313</v>
      </c>
      <c r="DI165" s="704">
        <f ca="1">IF('General Inputs'!$J$8=0,0,IF(DI$163&gt;0,-MIN(ContrEquity*DI$163,DI$59),0))</f>
        <v>-309316.56823531887</v>
      </c>
      <c r="DJ165" s="704">
        <f ca="1">IF('General Inputs'!$J$8=0,0,IF(DJ$163&gt;0,-MIN(ContrEquity*DJ$163,DJ$59),0))</f>
        <v>-311117.64747114095</v>
      </c>
      <c r="DK165" s="704">
        <f ca="1">IF('General Inputs'!$J$8=0,0,IF(DK$163&gt;0,-MIN(ContrEquity*DK$163,DK$59),0))</f>
        <v>-314482.73687177029</v>
      </c>
      <c r="DL165" s="704">
        <f ca="1">IF('General Inputs'!$J$8=0,0,IF(DL$163&gt;0,-MIN(ContrEquity*DL$163,DL$59),0))</f>
        <v>-317442.31782351085</v>
      </c>
      <c r="DM165" s="704">
        <f ca="1">IF('General Inputs'!$J$8=0,0,IF(DM$163&gt;0,-MIN(ContrEquity*DM$163,DM$59),0))</f>
        <v>-313684.37300744123</v>
      </c>
      <c r="DN165" s="704">
        <f ca="1">IF('General Inputs'!$J$8=0,0,IF(DN$163&gt;0,-MIN(ContrEquity*DN$163,DN$59),0))</f>
        <v>-315505.15835614328</v>
      </c>
      <c r="DO165" s="704">
        <f ca="1">IF('General Inputs'!$J$8=0,0,IF(DO$163&gt;0,-MIN(ContrEquity*DO$163,DO$59),0))</f>
        <v>-317330.90387823118</v>
      </c>
      <c r="DP165" s="704">
        <f ca="1">IF('General Inputs'!$J$8=0,0,IF(DP$163&gt;0,-MIN(ContrEquity*DP$163,DP$59),0))</f>
        <v>-319952.01204871415</v>
      </c>
      <c r="DQ165" s="704">
        <f ca="1">IF('General Inputs'!$J$8=0,0,IF(DQ$163&gt;0,-MIN(ContrEquity*DQ$163,DQ$59),0))</f>
        <v>-322583.57105639752</v>
      </c>
      <c r="DR165" s="704">
        <f ca="1">IF('General Inputs'!$J$8=0,0,IF(DR$163&gt;0,-MIN(ContrEquity*DR$163,DR$59),0))</f>
        <v>-325225.62320977997</v>
      </c>
      <c r="DS165" s="704">
        <f ca="1">IF('General Inputs'!$J$8=0,0,IF(DS$163&gt;0,-MIN(ContrEquity*DS$163,DS$59),0))</f>
        <v>-327878.21099027898</v>
      </c>
      <c r="DT165" s="704">
        <f ca="1">IF('General Inputs'!$J$8=0,0,IF(DT$163&gt;0,-MIN(ContrEquity*DT$163,DT$59),0))</f>
        <v>-330541.37705294113</v>
      </c>
      <c r="DU165" s="704">
        <f ca="1">IF('General Inputs'!$J$8=0,0,IF(DU$163&gt;0,-MIN(ContrEquity*DU$163,DU$59),0))</f>
        <v>-333215.16422715649</v>
      </c>
      <c r="DV165" s="704">
        <f ca="1">IF('General Inputs'!$J$8=0,0,IF(DV$163&gt;0,-MIN(ContrEquity*DV$163,DV$59),0))</f>
        <v>-335089.3526726726</v>
      </c>
      <c r="DW165" s="704">
        <f ca="1">IF('General Inputs'!$J$8=0,0,IF(DW$163&gt;0,-MIN(ContrEquity*DW$163,DW$59),0))</f>
        <v>-338593.65391544387</v>
      </c>
      <c r="DX165" s="704">
        <f ca="1">IF('General Inputs'!$J$8=0,0,IF(DX$163&gt;0,-MIN(ContrEquity*DX$163,DX$59),0))</f>
        <v>-341675.29855853459</v>
      </c>
      <c r="DY165" s="704">
        <f ca="1">IF('General Inputs'!$J$8=0,0,IF(DY$163&gt;0,-MIN(ContrEquity*DY$163,DY$59),0))</f>
        <v>-337804.43234174023</v>
      </c>
      <c r="DZ165" s="704">
        <f ca="1">IF('General Inputs'!$J$8=0,0,IF(DZ$163&gt;0,-MIN(ContrEquity*DZ$163,DZ$59),0))</f>
        <v>-339699.12994998565</v>
      </c>
      <c r="EA165" s="704">
        <f ca="1">IF('General Inputs'!$J$8=0,0,IF(EA$163&gt;0,-MIN(ContrEquity*EA$163,EA$59),0))</f>
        <v>-341598.98987007153</v>
      </c>
      <c r="EB165" s="704">
        <f ca="1">IF('General Inputs'!$J$8=0,0,IF(EB$163&gt;0,-MIN(ContrEquity*EB$163,EB$59),0))</f>
        <v>-344327.8245552507</v>
      </c>
      <c r="EC165" s="704">
        <f ca="1">IF('General Inputs'!$J$8=0,0,IF(EC$163&gt;0,-MIN(ContrEquity*EC$163,EC$59),0))</f>
        <v>-347067.54426708212</v>
      </c>
      <c r="ED165" s="704">
        <f ca="1">IF('General Inputs'!$J$8=0,0,IF(ED$163&gt;0,-MIN(ContrEquity*ED$163,ED$59),0))</f>
        <v>-349818.19308377476</v>
      </c>
      <c r="EE165" s="704">
        <f ca="1">IF('General Inputs'!$J$8=0,0,IF(EE$163&gt;0,-MIN(ContrEquity*EE$163,EE$59),0))</f>
        <v>-352579.8152637193</v>
      </c>
      <c r="EF165" s="704">
        <f ca="1">IF('General Inputs'!$J$8=0,0,IF(EF$163&gt;0,-MIN(ContrEquity*EF$163,EF$59),0))</f>
        <v>-355352.45524622855</v>
      </c>
      <c r="EG165" s="704">
        <f ca="1">IF('General Inputs'!$J$8=0,0,IF(EG$163&gt;0,-MIN(ContrEquity*EG$163,EG$59),0))</f>
        <v>-358136.15765812411</v>
      </c>
      <c r="EH165" s="644"/>
      <c r="EI165" s="722"/>
    </row>
    <row r="166" spans="1:139" x14ac:dyDescent="0.3">
      <c r="A166" s="710" t="s">
        <v>972</v>
      </c>
      <c r="B166" s="706"/>
      <c r="C166" s="703"/>
      <c r="D166" s="686"/>
      <c r="E166" s="408">
        <f t="shared" ref="E166:BP166" ca="1" si="260">E163+E165</f>
        <v>0</v>
      </c>
      <c r="F166" s="408">
        <f t="shared" ca="1" si="260"/>
        <v>0</v>
      </c>
      <c r="G166" s="408">
        <f t="shared" ca="1" si="260"/>
        <v>0</v>
      </c>
      <c r="H166" s="408">
        <f t="shared" ca="1" si="260"/>
        <v>0</v>
      </c>
      <c r="I166" s="408">
        <f t="shared" ca="1" si="260"/>
        <v>0</v>
      </c>
      <c r="J166" s="408">
        <f t="shared" ca="1" si="260"/>
        <v>0</v>
      </c>
      <c r="K166" s="408">
        <f t="shared" ca="1" si="260"/>
        <v>0</v>
      </c>
      <c r="L166" s="408">
        <f t="shared" ca="1" si="260"/>
        <v>0</v>
      </c>
      <c r="M166" s="408">
        <f t="shared" ca="1" si="260"/>
        <v>0</v>
      </c>
      <c r="N166" s="408">
        <f t="shared" ca="1" si="260"/>
        <v>0</v>
      </c>
      <c r="O166" s="408">
        <f t="shared" ca="1" si="260"/>
        <v>0</v>
      </c>
      <c r="P166" s="408">
        <f t="shared" ca="1" si="260"/>
        <v>0</v>
      </c>
      <c r="Q166" s="408">
        <f t="shared" ca="1" si="260"/>
        <v>0</v>
      </c>
      <c r="R166" s="408">
        <f t="shared" ca="1" si="260"/>
        <v>0</v>
      </c>
      <c r="S166" s="408">
        <f t="shared" ca="1" si="260"/>
        <v>0</v>
      </c>
      <c r="T166" s="408">
        <f t="shared" ca="1" si="260"/>
        <v>0</v>
      </c>
      <c r="U166" s="408">
        <f t="shared" ca="1" si="260"/>
        <v>0</v>
      </c>
      <c r="V166" s="408">
        <f t="shared" ca="1" si="260"/>
        <v>0</v>
      </c>
      <c r="W166" s="408">
        <f t="shared" ca="1" si="260"/>
        <v>0</v>
      </c>
      <c r="X166" s="408">
        <f t="shared" ca="1" si="260"/>
        <v>0</v>
      </c>
      <c r="Y166" s="408">
        <f t="shared" ca="1" si="260"/>
        <v>0</v>
      </c>
      <c r="Z166" s="408">
        <f t="shared" ca="1" si="260"/>
        <v>0</v>
      </c>
      <c r="AA166" s="408">
        <f t="shared" ca="1" si="260"/>
        <v>0</v>
      </c>
      <c r="AB166" s="408">
        <f t="shared" ca="1" si="260"/>
        <v>0</v>
      </c>
      <c r="AC166" s="408">
        <f t="shared" ca="1" si="260"/>
        <v>4411.3029490091358</v>
      </c>
      <c r="AD166" s="408">
        <f t="shared" ca="1" si="260"/>
        <v>8433.0422386363207</v>
      </c>
      <c r="AE166" s="408">
        <f t="shared" ca="1" si="260"/>
        <v>13012.426310856768</v>
      </c>
      <c r="AF166" s="408">
        <f t="shared" ca="1" si="260"/>
        <v>21956.223728908139</v>
      </c>
      <c r="AG166" s="408">
        <f t="shared" ca="1" si="260"/>
        <v>22320.857894093147</v>
      </c>
      <c r="AH166" s="408">
        <f t="shared" ca="1" si="260"/>
        <v>22451.172787867486</v>
      </c>
      <c r="AI166" s="408">
        <f t="shared" ca="1" si="260"/>
        <v>19155.741751984315</v>
      </c>
      <c r="AJ166" s="408">
        <f t="shared" ca="1" si="260"/>
        <v>19414.636504078662</v>
      </c>
      <c r="AK166" s="408">
        <f t="shared" ca="1" si="260"/>
        <v>19694.198951452563</v>
      </c>
      <c r="AL166" s="408">
        <f t="shared" ca="1" si="260"/>
        <v>19972.700232916453</v>
      </c>
      <c r="AM166" s="408">
        <f t="shared" ca="1" si="260"/>
        <v>20250.121446340519</v>
      </c>
      <c r="AN166" s="408">
        <f t="shared" ca="1" si="260"/>
        <v>20526.443519413413</v>
      </c>
      <c r="AO166" s="408">
        <f t="shared" ca="1" si="260"/>
        <v>20801.647208368959</v>
      </c>
      <c r="AP166" s="408">
        <f t="shared" ca="1" si="260"/>
        <v>20991.996727767983</v>
      </c>
      <c r="AQ166" s="408">
        <f t="shared" ca="1" si="260"/>
        <v>21348.756472790992</v>
      </c>
      <c r="AR166" s="408">
        <f t="shared" ca="1" si="260"/>
        <v>21660.353672195371</v>
      </c>
      <c r="AS166" s="408">
        <f t="shared" ca="1" si="260"/>
        <v>21205.119180538459</v>
      </c>
      <c r="AT166" s="408">
        <f t="shared" ca="1" si="260"/>
        <v>21390.593757415481</v>
      </c>
      <c r="AU166" s="408">
        <f t="shared" ca="1" si="260"/>
        <v>21572.639458598802</v>
      </c>
      <c r="AV166" s="408">
        <f t="shared" ca="1" si="260"/>
        <v>21828.905220082233</v>
      </c>
      <c r="AW166" s="408">
        <f t="shared" ca="1" si="260"/>
        <v>22077.292673389049</v>
      </c>
      <c r="AX166" s="408">
        <f t="shared" ca="1" si="260"/>
        <v>22317.732311075146</v>
      </c>
      <c r="AY166" s="408">
        <f t="shared" ca="1" si="260"/>
        <v>22550.154178493744</v>
      </c>
      <c r="AZ166" s="408">
        <f t="shared" ca="1" si="260"/>
        <v>22774.487871226564</v>
      </c>
      <c r="BA166" s="408">
        <f t="shared" ca="1" si="260"/>
        <v>22990.662532500719</v>
      </c>
      <c r="BB166" s="408">
        <f t="shared" ca="1" si="260"/>
        <v>23137.160172885662</v>
      </c>
      <c r="BC166" s="408">
        <f t="shared" ca="1" si="260"/>
        <v>23399.177981436049</v>
      </c>
      <c r="BD166" s="408">
        <f t="shared" ca="1" si="260"/>
        <v>23623.156056684093</v>
      </c>
      <c r="BE166" s="408">
        <f t="shared" ca="1" si="260"/>
        <v>23241.396003512084</v>
      </c>
      <c r="BF166" s="408">
        <f t="shared" ca="1" si="260"/>
        <v>23379.235967828048</v>
      </c>
      <c r="BG166" s="408">
        <f t="shared" ca="1" si="260"/>
        <v>23519.465631538391</v>
      </c>
      <c r="BH166" s="408">
        <f t="shared" ca="1" si="260"/>
        <v>23721.433255777927</v>
      </c>
      <c r="BI166" s="408">
        <f t="shared" ca="1" si="260"/>
        <v>23928.753279544093</v>
      </c>
      <c r="BJ166" s="408">
        <f t="shared" ca="1" si="260"/>
        <v>24141.462629154936</v>
      </c>
      <c r="BK166" s="408">
        <f t="shared" ca="1" si="260"/>
        <v>24359.598432095925</v>
      </c>
      <c r="BL166" s="408">
        <f t="shared" ca="1" si="260"/>
        <v>24583.198018010735</v>
      </c>
      <c r="BM166" s="408">
        <f t="shared" ca="1" si="260"/>
        <v>24812.298919696768</v>
      </c>
      <c r="BN166" s="408">
        <f t="shared" ca="1" si="260"/>
        <v>24976.829693809501</v>
      </c>
      <c r="BO166" s="408">
        <f t="shared" ca="1" si="260"/>
        <v>25286.542819583236</v>
      </c>
      <c r="BP166" s="408">
        <f t="shared" ca="1" si="260"/>
        <v>25562.741870890051</v>
      </c>
      <c r="BQ166" s="408">
        <f t="shared" ref="BQ166:EB166" ca="1" si="261">BQ163+BQ165</f>
        <v>25191.110262718721</v>
      </c>
      <c r="BR166" s="408">
        <f t="shared" ca="1" si="261"/>
        <v>25363.679770327144</v>
      </c>
      <c r="BS166" s="408">
        <f t="shared" ca="1" si="261"/>
        <v>25536.71909785716</v>
      </c>
      <c r="BT166" s="408">
        <f t="shared" ca="1" si="261"/>
        <v>25784.647538052726</v>
      </c>
      <c r="BU166" s="408">
        <f t="shared" ca="1" si="261"/>
        <v>26033.562778098683</v>
      </c>
      <c r="BV166" s="408">
        <f t="shared" ca="1" si="261"/>
        <v>26283.468808438309</v>
      </c>
      <c r="BW166" s="408">
        <f t="shared" ca="1" si="261"/>
        <v>26534.36963581288</v>
      </c>
      <c r="BX166" s="408">
        <f t="shared" ca="1" si="261"/>
        <v>26786.269283328671</v>
      </c>
      <c r="BY166" s="408">
        <f t="shared" ca="1" si="261"/>
        <v>27039.17179052424</v>
      </c>
      <c r="BZ166" s="408">
        <f t="shared" ca="1" si="261"/>
        <v>27216.792001109075</v>
      </c>
      <c r="CA166" s="408">
        <f t="shared" ca="1" si="261"/>
        <v>27547.896154839691</v>
      </c>
      <c r="CB166" s="408">
        <f t="shared" ca="1" si="261"/>
        <v>27839.208507062023</v>
      </c>
      <c r="CC166" s="408">
        <f t="shared" ca="1" si="261"/>
        <v>27456.692738257028</v>
      </c>
      <c r="CD166" s="408">
        <f t="shared" ca="1" si="261"/>
        <v>27636.255432707461</v>
      </c>
      <c r="CE166" s="408">
        <f t="shared" ca="1" si="261"/>
        <v>27816.307063198095</v>
      </c>
      <c r="CF166" s="408">
        <f t="shared" ca="1" si="261"/>
        <v>28074.412594409805</v>
      </c>
      <c r="CG166" s="408">
        <f t="shared" ca="1" si="261"/>
        <v>28333.545890456269</v>
      </c>
      <c r="CH166" s="408">
        <f t="shared" ca="1" si="261"/>
        <v>28593.71110861373</v>
      </c>
      <c r="CI166" s="408">
        <f t="shared" ca="1" si="261"/>
        <v>28854.912423140806</v>
      </c>
      <c r="CJ166" s="408">
        <f t="shared" ca="1" si="261"/>
        <v>29117.154025348369</v>
      </c>
      <c r="CK166" s="408">
        <f t="shared" ca="1" si="261"/>
        <v>29380.440123669512</v>
      </c>
      <c r="CL166" s="408">
        <f t="shared" ca="1" si="261"/>
        <v>29565.261016878241</v>
      </c>
      <c r="CM166" s="408">
        <f t="shared" ca="1" si="261"/>
        <v>29910.052800415375</v>
      </c>
      <c r="CN166" s="408">
        <f t="shared" ca="1" si="261"/>
        <v>30213.370039256755</v>
      </c>
      <c r="CO166" s="408">
        <f t="shared" ca="1" si="261"/>
        <v>29819.587397498253</v>
      </c>
      <c r="CP166" s="408">
        <f t="shared" ca="1" si="261"/>
        <v>30006.429840285506</v>
      </c>
      <c r="CQ166" s="408">
        <f t="shared" ca="1" si="261"/>
        <v>30193.781120972882</v>
      </c>
      <c r="CR166" s="408">
        <f t="shared" ca="1" si="261"/>
        <v>30462.484842418984</v>
      </c>
      <c r="CS166" s="408">
        <f t="shared" ca="1" si="261"/>
        <v>30732.259002858133</v>
      </c>
      <c r="CT166" s="408">
        <f t="shared" ca="1" si="261"/>
        <v>31003.107933396357</v>
      </c>
      <c r="CU166" s="408">
        <f t="shared" ca="1" si="261"/>
        <v>31275.035982835107</v>
      </c>
      <c r="CV166" s="408">
        <f t="shared" ca="1" si="261"/>
        <v>31548.047517744242</v>
      </c>
      <c r="CW166" s="408">
        <f t="shared" ca="1" si="261"/>
        <v>31822.146922534914</v>
      </c>
      <c r="CX166" s="408">
        <f t="shared" ca="1" si="261"/>
        <v>32014.463650763617</v>
      </c>
      <c r="CY166" s="408">
        <f t="shared" ca="1" si="261"/>
        <v>32373.512394435878</v>
      </c>
      <c r="CZ166" s="408">
        <f t="shared" ca="1" si="261"/>
        <v>32689.332698553684</v>
      </c>
      <c r="DA166" s="408">
        <f t="shared" ca="1" si="261"/>
        <v>32283.879676200682</v>
      </c>
      <c r="DB166" s="408">
        <f t="shared" ca="1" si="261"/>
        <v>32478.30027052795</v>
      </c>
      <c r="DC166" s="408">
        <f t="shared" ca="1" si="261"/>
        <v>32673.250422900717</v>
      </c>
      <c r="DD166" s="408">
        <f t="shared" ca="1" si="261"/>
        <v>32952.990961024538</v>
      </c>
      <c r="DE166" s="408">
        <f t="shared" ca="1" si="261"/>
        <v>33233.84639304789</v>
      </c>
      <c r="DF166" s="408">
        <f t="shared" ca="1" si="261"/>
        <v>33515.821231197217</v>
      </c>
      <c r="DG166" s="408">
        <f t="shared" ca="1" si="261"/>
        <v>33798.920006137749</v>
      </c>
      <c r="DH166" s="408">
        <f t="shared" ca="1" si="261"/>
        <v>34083.147267049237</v>
      </c>
      <c r="DI166" s="408">
        <f t="shared" ca="1" si="261"/>
        <v>34368.507581702084</v>
      </c>
      <c r="DJ166" s="408">
        <f t="shared" ca="1" si="261"/>
        <v>34568.6274967934</v>
      </c>
      <c r="DK166" s="408">
        <f t="shared" ca="1" si="261"/>
        <v>34942.526319085562</v>
      </c>
      <c r="DL166" s="408">
        <f t="shared" ca="1" si="261"/>
        <v>35271.368647056748</v>
      </c>
      <c r="DM166" s="408">
        <f t="shared" ca="1" si="261"/>
        <v>34853.819223049039</v>
      </c>
      <c r="DN166" s="408">
        <f t="shared" ca="1" si="261"/>
        <v>35056.128706238116</v>
      </c>
      <c r="DO166" s="408">
        <f t="shared" ca="1" si="261"/>
        <v>35258.989319803426</v>
      </c>
      <c r="DP166" s="408">
        <f t="shared" ca="1" si="261"/>
        <v>35550.223560968239</v>
      </c>
      <c r="DQ166" s="408">
        <f t="shared" ca="1" si="261"/>
        <v>35842.619006266352</v>
      </c>
      <c r="DR166" s="408">
        <f t="shared" ca="1" si="261"/>
        <v>36136.180356642231</v>
      </c>
      <c r="DS166" s="408">
        <f t="shared" ca="1" si="261"/>
        <v>36430.912332253181</v>
      </c>
      <c r="DT166" s="408">
        <f t="shared" ca="1" si="261"/>
        <v>36726.819672549027</v>
      </c>
      <c r="DU166" s="408">
        <f t="shared" ca="1" si="261"/>
        <v>37023.907136350696</v>
      </c>
      <c r="DV166" s="408">
        <f t="shared" ca="1" si="261"/>
        <v>37232.150296963635</v>
      </c>
      <c r="DW166" s="408">
        <f t="shared" ca="1" si="261"/>
        <v>37621.517101715959</v>
      </c>
      <c r="DX166" s="408">
        <f t="shared" ca="1" si="261"/>
        <v>37963.922062059399</v>
      </c>
      <c r="DY166" s="408">
        <f t="shared" ca="1" si="261"/>
        <v>37533.825815748889</v>
      </c>
      <c r="DZ166" s="408">
        <f t="shared" ca="1" si="261"/>
        <v>37744.347772220615</v>
      </c>
      <c r="EA166" s="408">
        <f t="shared" ca="1" si="261"/>
        <v>37955.443318896811</v>
      </c>
      <c r="EB166" s="408">
        <f t="shared" ca="1" si="261"/>
        <v>38258.64717280562</v>
      </c>
      <c r="EC166" s="408">
        <f ca="1">EC163+EC165</f>
        <v>38563.060474120197</v>
      </c>
      <c r="ED166" s="408">
        <f ca="1">ED163+ED165</f>
        <v>38868.688120419392</v>
      </c>
      <c r="EE166" s="408">
        <f ca="1">EE163+EE165</f>
        <v>39175.535029302118</v>
      </c>
      <c r="EF166" s="408">
        <f ca="1">EF163+EF165</f>
        <v>39483.606138469826</v>
      </c>
      <c r="EG166" s="408">
        <f ca="1">EG163+EG165</f>
        <v>39792.906406458234</v>
      </c>
      <c r="EH166" s="644"/>
      <c r="EI166" s="280"/>
    </row>
    <row r="167" spans="1:139" ht="6.75" customHeight="1" x14ac:dyDescent="0.3">
      <c r="A167" s="408"/>
      <c r="B167" s="408"/>
      <c r="C167" s="408"/>
      <c r="D167" s="686"/>
      <c r="E167" s="408"/>
      <c r="F167" s="408"/>
      <c r="EH167" s="644"/>
      <c r="EI167" s="722"/>
    </row>
    <row r="168" spans="1:139" x14ac:dyDescent="0.3">
      <c r="A168" s="704" t="str">
        <f>'General Inputs'!$K$29&amp;" Preference Paid From NCF"</f>
        <v>Quarterra Preference Paid From NCF</v>
      </c>
      <c r="B168" s="704"/>
      <c r="C168" s="704"/>
      <c r="D168" s="729"/>
      <c r="E168" s="704">
        <f ca="1">IF('General Inputs'!$K$8=0,0,IF(E$163&gt;0,-MIN(ContrLennar*E$163,E$84),0))</f>
        <v>0</v>
      </c>
      <c r="F168" s="704">
        <f ca="1">IF('General Inputs'!$K$8=0,0,IF(F$163&gt;0,-MIN(ContrLennar*F$163,F$84),0))</f>
        <v>0</v>
      </c>
      <c r="G168" s="704">
        <f ca="1">IF('General Inputs'!$K$8=0,0,IF(G$163&gt;0,-MIN(ContrLennar*G$163,G$84),0))</f>
        <v>0</v>
      </c>
      <c r="H168" s="704">
        <f ca="1">IF('General Inputs'!$K$8=0,0,IF(H$163&gt;0,-MIN(ContrLennar*H$163,H$84),0))</f>
        <v>0</v>
      </c>
      <c r="I168" s="704">
        <f ca="1">IF('General Inputs'!$K$8=0,0,IF(I$163&gt;0,-MIN(ContrLennar*I$163,I$84),0))</f>
        <v>0</v>
      </c>
      <c r="J168" s="704">
        <f ca="1">IF('General Inputs'!$K$8=0,0,IF(J$163&gt;0,-MIN(ContrLennar*J$163,J$84),0))</f>
        <v>0</v>
      </c>
      <c r="K168" s="704">
        <f ca="1">IF('General Inputs'!$K$8=0,0,IF(K$163&gt;0,-MIN(ContrLennar*K$163,K$84),0))</f>
        <v>0</v>
      </c>
      <c r="L168" s="704">
        <f ca="1">IF('General Inputs'!$K$8=0,0,IF(L$163&gt;0,-MIN(ContrLennar*L$163,L$84),0))</f>
        <v>0</v>
      </c>
      <c r="M168" s="704">
        <f ca="1">IF('General Inputs'!$K$8=0,0,IF(M$163&gt;0,-MIN(ContrLennar*M$163,M$84),0))</f>
        <v>0</v>
      </c>
      <c r="N168" s="704">
        <f ca="1">IF('General Inputs'!$K$8=0,0,IF(N$163&gt;0,-MIN(ContrLennar*N$163,N$84),0))</f>
        <v>0</v>
      </c>
      <c r="O168" s="704">
        <f ca="1">IF('General Inputs'!$K$8=0,0,IF(O$163&gt;0,-MIN(ContrLennar*O$163,O$84),0))</f>
        <v>0</v>
      </c>
      <c r="P168" s="704">
        <f ca="1">IF('General Inputs'!$K$8=0,0,IF(P$163&gt;0,-MIN(ContrLennar*P$163,P$84),0))</f>
        <v>0</v>
      </c>
      <c r="Q168" s="704">
        <f ca="1">IF('General Inputs'!$K$8=0,0,IF(Q$163&gt;0,-MIN(ContrLennar*Q$163,Q$84),0))</f>
        <v>0</v>
      </c>
      <c r="R168" s="704">
        <f ca="1">IF('General Inputs'!$K$8=0,0,IF(R$163&gt;0,-MIN(ContrLennar*R$163,R$84),0))</f>
        <v>0</v>
      </c>
      <c r="S168" s="704">
        <f ca="1">IF('General Inputs'!$K$8=0,0,IF(S$163&gt;0,-MIN(ContrLennar*S$163,S$84),0))</f>
        <v>0</v>
      </c>
      <c r="T168" s="704">
        <f ca="1">IF('General Inputs'!$K$8=0,0,IF(T$163&gt;0,-MIN(ContrLennar*T$163,T$84),0))</f>
        <v>0</v>
      </c>
      <c r="U168" s="704">
        <f ca="1">IF('General Inputs'!$K$8=0,0,IF(U$163&gt;0,-MIN(ContrLennar*U$163,U$84),0))</f>
        <v>0</v>
      </c>
      <c r="V168" s="704">
        <f ca="1">IF('General Inputs'!$K$8=0,0,IF(V$163&gt;0,-MIN(ContrLennar*V$163,V$84),0))</f>
        <v>0</v>
      </c>
      <c r="W168" s="704">
        <f ca="1">IF('General Inputs'!$K$8=0,0,IF(W$163&gt;0,-MIN(ContrLennar*W$163,W$84),0))</f>
        <v>0</v>
      </c>
      <c r="X168" s="704">
        <f ca="1">IF('General Inputs'!$K$8=0,0,IF(X$163&gt;0,-MIN(ContrLennar*X$163,X$84),0))</f>
        <v>0</v>
      </c>
      <c r="Y168" s="704">
        <f ca="1">IF('General Inputs'!$K$8=0,0,IF(Y$163&gt;0,-MIN(ContrLennar*Y$163,Y$84),0))</f>
        <v>0</v>
      </c>
      <c r="Z168" s="704">
        <f ca="1">IF('General Inputs'!$K$8=0,0,IF(Z$163&gt;0,-MIN(ContrLennar*Z$163,Z$84),0))</f>
        <v>0</v>
      </c>
      <c r="AA168" s="704">
        <f ca="1">IF('General Inputs'!$K$8=0,0,IF(AA$163&gt;0,-MIN(ContrLennar*AA$163,AA$84),0))</f>
        <v>0</v>
      </c>
      <c r="AB168" s="704">
        <f ca="1">IF('General Inputs'!$K$8=0,0,IF(AB$163&gt;0,-MIN(ContrLennar*AB$163,AB$84),0))</f>
        <v>0</v>
      </c>
      <c r="AC168" s="704">
        <f ca="1">IF('General Inputs'!$K$8=0,0,IF(AC$163&gt;0,-MIN(ContrLennar*AC$163,AC$84),0))</f>
        <v>-4411.302949009133</v>
      </c>
      <c r="AD168" s="704">
        <f ca="1">IF('General Inputs'!$K$8=0,0,IF(AD$163&gt;0,-MIN(ContrLennar*AD$163,AD$84),0))</f>
        <v>-8433.0422386363189</v>
      </c>
      <c r="AE168" s="704">
        <f ca="1">IF('General Inputs'!$K$8=0,0,IF(AE$163&gt;0,-MIN(ContrLennar*AE$163,AE$84),0))</f>
        <v>-13012.426310856763</v>
      </c>
      <c r="AF168" s="704">
        <f ca="1">IF('General Inputs'!$K$8=0,0,IF(AF$163&gt;0,-MIN(ContrLennar*AF$163,AF$84),0))</f>
        <v>-21956.223728908131</v>
      </c>
      <c r="AG168" s="704">
        <f ca="1">IF('General Inputs'!$K$8=0,0,IF(AG$163&gt;0,-MIN(ContrLennar*AG$163,AG$84),0))</f>
        <v>-22320.857894093158</v>
      </c>
      <c r="AH168" s="704">
        <f ca="1">IF('General Inputs'!$K$8=0,0,IF(AH$163&gt;0,-MIN(ContrLennar*AH$163,AH$84),0))</f>
        <v>-22451.172787867479</v>
      </c>
      <c r="AI168" s="704">
        <f ca="1">IF('General Inputs'!$K$8=0,0,IF(AI$163&gt;0,-MIN(ContrLennar*AI$163,AI$84),0))</f>
        <v>-19155.741751984304</v>
      </c>
      <c r="AJ168" s="704">
        <f ca="1">IF('General Inputs'!$K$8=0,0,IF(AJ$163&gt;0,-MIN(ContrLennar*AJ$163,AJ$84),0))</f>
        <v>-19414.63650407867</v>
      </c>
      <c r="AK168" s="704">
        <f ca="1">IF('General Inputs'!$K$8=0,0,IF(AK$163&gt;0,-MIN(ContrLennar*AK$163,AK$84),0))</f>
        <v>-19694.19895145257</v>
      </c>
      <c r="AL168" s="704">
        <f ca="1">IF('General Inputs'!$K$8=0,0,IF(AL$163&gt;0,-MIN(ContrLennar*AL$163,AL$84),0))</f>
        <v>-19972.70023291645</v>
      </c>
      <c r="AM168" s="704">
        <f ca="1">IF('General Inputs'!$K$8=0,0,IF(AM$163&gt;0,-MIN(ContrLennar*AM$163,AM$84),0))</f>
        <v>-20250.121446340527</v>
      </c>
      <c r="AN168" s="704">
        <f ca="1">IF('General Inputs'!$K$8=0,0,IF(AN$163&gt;0,-MIN(ContrLennar*AN$163,AN$84),0))</f>
        <v>-20526.443519413428</v>
      </c>
      <c r="AO168" s="704">
        <f ca="1">IF('General Inputs'!$K$8=0,0,IF(AO$163&gt;0,-MIN(ContrLennar*AO$163,AO$84),0))</f>
        <v>-20801.647208368959</v>
      </c>
      <c r="AP168" s="704">
        <f ca="1">IF('General Inputs'!$K$8=0,0,IF(AP$163&gt;0,-MIN(ContrLennar*AP$163,AP$84),0))</f>
        <v>-20991.996727767983</v>
      </c>
      <c r="AQ168" s="704">
        <f ca="1">IF('General Inputs'!$K$8=0,0,IF(AQ$163&gt;0,-MIN(ContrLennar*AQ$163,AQ$84),0))</f>
        <v>-21348.756472790992</v>
      </c>
      <c r="AR168" s="704">
        <f ca="1">IF('General Inputs'!$K$8=0,0,IF(AR$163&gt;0,-MIN(ContrLennar*AR$163,AR$84),0))</f>
        <v>-21660.353672195371</v>
      </c>
      <c r="AS168" s="704">
        <f ca="1">IF('General Inputs'!$K$8=0,0,IF(AS$163&gt;0,-MIN(ContrLennar*AS$163,AS$84),0))</f>
        <v>-21205.119180538455</v>
      </c>
      <c r="AT168" s="704">
        <f ca="1">IF('General Inputs'!$K$8=0,0,IF(AT$163&gt;0,-MIN(ContrLennar*AT$163,AT$84),0))</f>
        <v>-21390.593757415478</v>
      </c>
      <c r="AU168" s="704">
        <f ca="1">IF('General Inputs'!$K$8=0,0,IF(AU$163&gt;0,-MIN(ContrLennar*AU$163,AU$84),0))</f>
        <v>-21572.639458598813</v>
      </c>
      <c r="AV168" s="704">
        <f ca="1">IF('General Inputs'!$K$8=0,0,IF(AV$163&gt;0,-MIN(ContrLennar*AV$163,AV$84),0))</f>
        <v>-21828.90522008223</v>
      </c>
      <c r="AW168" s="704">
        <f ca="1">IF('General Inputs'!$K$8=0,0,IF(AW$163&gt;0,-MIN(ContrLennar*AW$163,AW$84),0))</f>
        <v>-22077.292673389056</v>
      </c>
      <c r="AX168" s="704">
        <f ca="1">IF('General Inputs'!$K$8=0,0,IF(AX$163&gt;0,-MIN(ContrLennar*AX$163,AX$84),0))</f>
        <v>-22317.732311075153</v>
      </c>
      <c r="AY168" s="704">
        <f ca="1">IF('General Inputs'!$K$8=0,0,IF(AY$163&gt;0,-MIN(ContrLennar*AY$163,AY$84),0))</f>
        <v>-22550.154178493754</v>
      </c>
      <c r="AZ168" s="704">
        <f ca="1">IF('General Inputs'!$K$8=0,0,IF(AZ$163&gt;0,-MIN(ContrLennar*AZ$163,AZ$84),0))</f>
        <v>-22774.487871226564</v>
      </c>
      <c r="BA168" s="704">
        <f ca="1">IF('General Inputs'!$K$8=0,0,IF(BA$163&gt;0,-MIN(ContrLennar*BA$163,BA$84),0))</f>
        <v>-22990.66253250073</v>
      </c>
      <c r="BB168" s="704">
        <f ca="1">IF('General Inputs'!$K$8=0,0,IF(BB$163&gt;0,-MIN(ContrLennar*BB$163,BB$84),0))</f>
        <v>-23137.160172885662</v>
      </c>
      <c r="BC168" s="704">
        <f ca="1">IF('General Inputs'!$K$8=0,0,IF(BC$163&gt;0,-MIN(ContrLennar*BC$163,BC$84),0))</f>
        <v>-23399.177981436045</v>
      </c>
      <c r="BD168" s="704">
        <f ca="1">IF('General Inputs'!$K$8=0,0,IF(BD$163&gt;0,-MIN(ContrLennar*BD$163,BD$84),0))</f>
        <v>-23623.1560566841</v>
      </c>
      <c r="BE168" s="704">
        <f ca="1">IF('General Inputs'!$K$8=0,0,IF(BE$163&gt;0,-MIN(ContrLennar*BE$163,BE$84),0))</f>
        <v>-23241.39600351208</v>
      </c>
      <c r="BF168" s="704">
        <f ca="1">IF('General Inputs'!$K$8=0,0,IF(BF$163&gt;0,-MIN(ContrLennar*BF$163,BF$84),0))</f>
        <v>-23379.235967828037</v>
      </c>
      <c r="BG168" s="704">
        <f ca="1">IF('General Inputs'!$K$8=0,0,IF(BG$163&gt;0,-MIN(ContrLennar*BG$163,BG$84),0))</f>
        <v>-23519.465631538391</v>
      </c>
      <c r="BH168" s="704">
        <f ca="1">IF('General Inputs'!$K$8=0,0,IF(BH$163&gt;0,-MIN(ContrLennar*BH$163,BH$84),0))</f>
        <v>-23721.433255777934</v>
      </c>
      <c r="BI168" s="704">
        <f ca="1">IF('General Inputs'!$K$8=0,0,IF(BI$163&gt;0,-MIN(ContrLennar*BI$163,BI$84),0))</f>
        <v>-23928.753279544104</v>
      </c>
      <c r="BJ168" s="704">
        <f ca="1">IF('General Inputs'!$K$8=0,0,IF(BJ$163&gt;0,-MIN(ContrLennar*BJ$163,BJ$84),0))</f>
        <v>-24141.462629154947</v>
      </c>
      <c r="BK168" s="704">
        <f ca="1">IF('General Inputs'!$K$8=0,0,IF(BK$163&gt;0,-MIN(ContrLennar*BK$163,BK$84),0))</f>
        <v>-24359.598432095932</v>
      </c>
      <c r="BL168" s="704">
        <f ca="1">IF('General Inputs'!$K$8=0,0,IF(BL$163&gt;0,-MIN(ContrLennar*BL$163,BL$84),0))</f>
        <v>-24583.198018010746</v>
      </c>
      <c r="BM168" s="704">
        <f ca="1">IF('General Inputs'!$K$8=0,0,IF(BM$163&gt;0,-MIN(ContrLennar*BM$163,BM$84),0))</f>
        <v>-24812.298919696761</v>
      </c>
      <c r="BN168" s="704">
        <f ca="1">IF('General Inputs'!$K$8=0,0,IF(BN$163&gt;0,-MIN(ContrLennar*BN$163,BN$84),0))</f>
        <v>-24976.829693809508</v>
      </c>
      <c r="BO168" s="704">
        <f ca="1">IF('General Inputs'!$K$8=0,0,IF(BO$163&gt;0,-MIN(ContrLennar*BO$163,BO$84),0))</f>
        <v>-25286.542819583225</v>
      </c>
      <c r="BP168" s="704">
        <f ca="1">IF('General Inputs'!$K$8=0,0,IF(BP$163&gt;0,-MIN(ContrLennar*BP$163,BP$84),0))</f>
        <v>-25562.74187089004</v>
      </c>
      <c r="BQ168" s="704">
        <f ca="1">IF('General Inputs'!$K$8=0,0,IF(BQ$163&gt;0,-MIN(ContrLennar*BQ$163,BQ$84),0))</f>
        <v>-25191.110262718721</v>
      </c>
      <c r="BR168" s="704">
        <f ca="1">IF('General Inputs'!$K$8=0,0,IF(BR$163&gt;0,-MIN(ContrLennar*BR$163,BR$84),0))</f>
        <v>-25363.679770327155</v>
      </c>
      <c r="BS168" s="704">
        <f ca="1">IF('General Inputs'!$K$8=0,0,IF(BS$163&gt;0,-MIN(ContrLennar*BS$163,BS$84),0))</f>
        <v>-25536.719097857153</v>
      </c>
      <c r="BT168" s="704">
        <f ca="1">IF('General Inputs'!$K$8=0,0,IF(BT$163&gt;0,-MIN(ContrLennar*BT$163,BT$84),0))</f>
        <v>-25784.647538052715</v>
      </c>
      <c r="BU168" s="704">
        <f ca="1">IF('General Inputs'!$K$8=0,0,IF(BU$163&gt;0,-MIN(ContrLennar*BU$163,BU$84),0))</f>
        <v>-26033.562778098676</v>
      </c>
      <c r="BV168" s="704">
        <f ca="1">IF('General Inputs'!$K$8=0,0,IF(BV$163&gt;0,-MIN(ContrLennar*BV$163,BV$84),0))</f>
        <v>-26283.468808438309</v>
      </c>
      <c r="BW168" s="704">
        <f ca="1">IF('General Inputs'!$K$8=0,0,IF(BW$163&gt;0,-MIN(ContrLennar*BW$163,BW$84),0))</f>
        <v>-26534.369635812873</v>
      </c>
      <c r="BX168" s="704">
        <f ca="1">IF('General Inputs'!$K$8=0,0,IF(BX$163&gt;0,-MIN(ContrLennar*BX$163,BX$84),0))</f>
        <v>-26786.269283328678</v>
      </c>
      <c r="BY168" s="704">
        <f ca="1">IF('General Inputs'!$K$8=0,0,IF(BY$163&gt;0,-MIN(ContrLennar*BY$163,BY$84),0))</f>
        <v>-27039.17179052424</v>
      </c>
      <c r="BZ168" s="704">
        <f ca="1">IF('General Inputs'!$K$8=0,0,IF(BZ$163&gt;0,-MIN(ContrLennar*BZ$163,BZ$84),0))</f>
        <v>-27216.792001109075</v>
      </c>
      <c r="CA168" s="704">
        <f ca="1">IF('General Inputs'!$K$8=0,0,IF(CA$163&gt;0,-MIN(ContrLennar*CA$163,CA$84),0))</f>
        <v>-27547.89615483968</v>
      </c>
      <c r="CB168" s="704">
        <f ca="1">IF('General Inputs'!$K$8=0,0,IF(CB$163&gt;0,-MIN(ContrLennar*CB$163,CB$84),0))</f>
        <v>-27839.208507062012</v>
      </c>
      <c r="CC168" s="704">
        <f ca="1">IF('General Inputs'!$K$8=0,0,IF(CC$163&gt;0,-MIN(ContrLennar*CC$163,CC$84),0))</f>
        <v>-27456.692738257017</v>
      </c>
      <c r="CD168" s="704">
        <f ca="1">IF('General Inputs'!$K$8=0,0,IF(CD$163&gt;0,-MIN(ContrLennar*CD$163,CD$84),0))</f>
        <v>-27636.255432707472</v>
      </c>
      <c r="CE168" s="704">
        <f ca="1">IF('General Inputs'!$K$8=0,0,IF(CE$163&gt;0,-MIN(ContrLennar*CE$163,CE$84),0))</f>
        <v>-27816.307063198106</v>
      </c>
      <c r="CF168" s="704">
        <f ca="1">IF('General Inputs'!$K$8=0,0,IF(CF$163&gt;0,-MIN(ContrLennar*CF$163,CF$84),0))</f>
        <v>-28074.412594409816</v>
      </c>
      <c r="CG168" s="704">
        <f ca="1">IF('General Inputs'!$K$8=0,0,IF(CG$163&gt;0,-MIN(ContrLennar*CG$163,CG$84),0))</f>
        <v>-28333.54589045628</v>
      </c>
      <c r="CH168" s="704">
        <f ca="1">IF('General Inputs'!$K$8=0,0,IF(CH$163&gt;0,-MIN(ContrLennar*CH$163,CH$84),0))</f>
        <v>-28593.711108613719</v>
      </c>
      <c r="CI168" s="704">
        <f ca="1">IF('General Inputs'!$K$8=0,0,IF(CI$163&gt;0,-MIN(ContrLennar*CI$163,CI$84),0))</f>
        <v>-28854.912423140806</v>
      </c>
      <c r="CJ168" s="704">
        <f ca="1">IF('General Inputs'!$K$8=0,0,IF(CJ$163&gt;0,-MIN(ContrLennar*CJ$163,CJ$84),0))</f>
        <v>-29117.154025348373</v>
      </c>
      <c r="CK168" s="704">
        <f ca="1">IF('General Inputs'!$K$8=0,0,IF(CK$163&gt;0,-MIN(ContrLennar*CK$163,CK$84),0))</f>
        <v>-29380.440123669541</v>
      </c>
      <c r="CL168" s="704">
        <f ca="1">IF('General Inputs'!$K$8=0,0,IF(CL$163&gt;0,-MIN(ContrLennar*CL$163,CL$84),0))</f>
        <v>-29565.261016878245</v>
      </c>
      <c r="CM168" s="704">
        <f ca="1">IF('General Inputs'!$K$8=0,0,IF(CM$163&gt;0,-MIN(ContrLennar*CM$163,CM$84),0))</f>
        <v>-29910.052800415393</v>
      </c>
      <c r="CN168" s="704">
        <f ca="1">IF('General Inputs'!$K$8=0,0,IF(CN$163&gt;0,-MIN(ContrLennar*CN$163,CN$84),0))</f>
        <v>-30213.370039256737</v>
      </c>
      <c r="CO168" s="704">
        <f ca="1">IF('General Inputs'!$K$8=0,0,IF(CO$163&gt;0,-MIN(ContrLennar*CO$163,CO$84),0))</f>
        <v>-29819.587397498246</v>
      </c>
      <c r="CP168" s="704">
        <f ca="1">IF('General Inputs'!$K$8=0,0,IF(CP$163&gt;0,-MIN(ContrLennar*CP$163,CP$84),0))</f>
        <v>-30006.429840285524</v>
      </c>
      <c r="CQ168" s="704">
        <f ca="1">IF('General Inputs'!$K$8=0,0,IF(CQ$163&gt;0,-MIN(ContrLennar*CQ$163,CQ$84),0))</f>
        <v>-30193.781120972886</v>
      </c>
      <c r="CR168" s="704">
        <f ca="1">IF('General Inputs'!$K$8=0,0,IF(CR$163&gt;0,-MIN(ContrLennar*CR$163,CR$84),0))</f>
        <v>-30462.484842418977</v>
      </c>
      <c r="CS168" s="704">
        <f ca="1">IF('General Inputs'!$K$8=0,0,IF(CS$163&gt;0,-MIN(ContrLennar*CS$163,CS$84),0))</f>
        <v>-30732.259002858151</v>
      </c>
      <c r="CT168" s="704">
        <f ca="1">IF('General Inputs'!$K$8=0,0,IF(CT$163&gt;0,-MIN(ContrLennar*CT$163,CT$84),0))</f>
        <v>-31003.107933396339</v>
      </c>
      <c r="CU168" s="704">
        <f ca="1">IF('General Inputs'!$K$8=0,0,IF(CU$163&gt;0,-MIN(ContrLennar*CU$163,CU$84),0))</f>
        <v>-31275.035982835088</v>
      </c>
      <c r="CV168" s="704">
        <f ca="1">IF('General Inputs'!$K$8=0,0,IF(CV$163&gt;0,-MIN(ContrLennar*CV$163,CV$84),0))</f>
        <v>-31548.047517744224</v>
      </c>
      <c r="CW168" s="704">
        <f ca="1">IF('General Inputs'!$K$8=0,0,IF(CW$163&gt;0,-MIN(ContrLennar*CW$163,CW$84),0))</f>
        <v>-31822.146922534906</v>
      </c>
      <c r="CX168" s="704">
        <f ca="1">IF('General Inputs'!$K$8=0,0,IF(CX$163&gt;0,-MIN(ContrLennar*CX$163,CX$84),0))</f>
        <v>-32014.463650763646</v>
      </c>
      <c r="CY168" s="704">
        <f ca="1">IF('General Inputs'!$K$8=0,0,IF(CY$163&gt;0,-MIN(ContrLennar*CY$163,CY$84),0))</f>
        <v>-32373.512394435907</v>
      </c>
      <c r="CZ168" s="704">
        <f ca="1">IF('General Inputs'!$K$8=0,0,IF(CZ$163&gt;0,-MIN(ContrLennar*CZ$163,CZ$84),0))</f>
        <v>-32689.332698553677</v>
      </c>
      <c r="DA168" s="704">
        <f ca="1">IF('General Inputs'!$K$8=0,0,IF(DA$163&gt;0,-MIN(ContrLennar*DA$163,DA$84),0))</f>
        <v>-32283.879676200675</v>
      </c>
      <c r="DB168" s="704">
        <f ca="1">IF('General Inputs'!$K$8=0,0,IF(DB$163&gt;0,-MIN(ContrLennar*DB$163,DB$84),0))</f>
        <v>-32478.300270527965</v>
      </c>
      <c r="DC168" s="704">
        <f ca="1">IF('General Inputs'!$K$8=0,0,IF(DC$163&gt;0,-MIN(ContrLennar*DC$163,DC$84),0))</f>
        <v>-32673.25042290071</v>
      </c>
      <c r="DD168" s="704">
        <f ca="1">IF('General Inputs'!$K$8=0,0,IF(DD$163&gt;0,-MIN(ContrLennar*DD$163,DD$84),0))</f>
        <v>-32952.990961024567</v>
      </c>
      <c r="DE168" s="704">
        <f ca="1">IF('General Inputs'!$K$8=0,0,IF(DE$163&gt;0,-MIN(ContrLennar*DE$163,DE$84),0))</f>
        <v>-33233.846393047897</v>
      </c>
      <c r="DF168" s="704">
        <f ca="1">IF('General Inputs'!$K$8=0,0,IF(DF$163&gt;0,-MIN(ContrLennar*DF$163,DF$84),0))</f>
        <v>-33515.821231197224</v>
      </c>
      <c r="DG168" s="704">
        <f ca="1">IF('General Inputs'!$K$8=0,0,IF(DG$163&gt;0,-MIN(ContrLennar*DG$163,DG$84),0))</f>
        <v>-33798.920006137741</v>
      </c>
      <c r="DH168" s="704">
        <f ca="1">IF('General Inputs'!$K$8=0,0,IF(DH$163&gt;0,-MIN(ContrLennar*DH$163,DH$84),0))</f>
        <v>-34083.147267049229</v>
      </c>
      <c r="DI168" s="704">
        <f ca="1">IF('General Inputs'!$K$8=0,0,IF(DI$163&gt;0,-MIN(ContrLennar*DI$163,DI$84),0))</f>
        <v>-34368.507581702092</v>
      </c>
      <c r="DJ168" s="704">
        <f ca="1">IF('General Inputs'!$K$8=0,0,IF(DJ$163&gt;0,-MIN(ContrLennar*DJ$163,DJ$84),0))</f>
        <v>-34568.62749679343</v>
      </c>
      <c r="DK168" s="704">
        <f ca="1">IF('General Inputs'!$K$8=0,0,IF(DK$163&gt;0,-MIN(ContrLennar*DK$163,DK$84),0))</f>
        <v>-34942.526319085577</v>
      </c>
      <c r="DL168" s="704">
        <f ca="1">IF('General Inputs'!$K$8=0,0,IF(DL$163&gt;0,-MIN(ContrLennar*DL$163,DL$84),0))</f>
        <v>-35271.368647056755</v>
      </c>
      <c r="DM168" s="704">
        <f ca="1">IF('General Inputs'!$K$8=0,0,IF(DM$163&gt;0,-MIN(ContrLennar*DM$163,DM$84),0))</f>
        <v>-34853.819223049017</v>
      </c>
      <c r="DN168" s="704">
        <f ca="1">IF('General Inputs'!$K$8=0,0,IF(DN$163&gt;0,-MIN(ContrLennar*DN$163,DN$84),0))</f>
        <v>-35056.128706238131</v>
      </c>
      <c r="DO168" s="704">
        <f ca="1">IF('General Inputs'!$K$8=0,0,IF(DO$163&gt;0,-MIN(ContrLennar*DO$163,DO$84),0))</f>
        <v>-35258.989319803455</v>
      </c>
      <c r="DP168" s="704">
        <f ca="1">IF('General Inputs'!$K$8=0,0,IF(DP$163&gt;0,-MIN(ContrLennar*DP$163,DP$84),0))</f>
        <v>-35550.223560968232</v>
      </c>
      <c r="DQ168" s="704">
        <f ca="1">IF('General Inputs'!$K$8=0,0,IF(DQ$163&gt;0,-MIN(ContrLennar*DQ$163,DQ$84),0))</f>
        <v>-35842.619006266381</v>
      </c>
      <c r="DR168" s="704">
        <f ca="1">IF('General Inputs'!$K$8=0,0,IF(DR$163&gt;0,-MIN(ContrLennar*DR$163,DR$84),0))</f>
        <v>-36136.18035664221</v>
      </c>
      <c r="DS168" s="704">
        <f ca="1">IF('General Inputs'!$K$8=0,0,IF(DS$163&gt;0,-MIN(ContrLennar*DS$163,DS$84),0))</f>
        <v>-36430.91233225321</v>
      </c>
      <c r="DT168" s="704">
        <f ca="1">IF('General Inputs'!$K$8=0,0,IF(DT$163&gt;0,-MIN(ContrLennar*DT$163,DT$84),0))</f>
        <v>-36726.819672549005</v>
      </c>
      <c r="DU168" s="704">
        <f ca="1">IF('General Inputs'!$K$8=0,0,IF(DU$163&gt;0,-MIN(ContrLennar*DU$163,DU$84),0))</f>
        <v>-37023.90713635071</v>
      </c>
      <c r="DV168" s="704">
        <f ca="1">IF('General Inputs'!$K$8=0,0,IF(DV$163&gt;0,-MIN(ContrLennar*DV$163,DV$84),0))</f>
        <v>-37232.150296963613</v>
      </c>
      <c r="DW168" s="704">
        <f ca="1">IF('General Inputs'!$K$8=0,0,IF(DW$163&gt;0,-MIN(ContrLennar*DW$163,DW$84),0))</f>
        <v>-37621.517101715974</v>
      </c>
      <c r="DX168" s="704">
        <f ca="1">IF('General Inputs'!$K$8=0,0,IF(DX$163&gt;0,-MIN(ContrLennar*DX$163,DX$84),0))</f>
        <v>-37963.922062059391</v>
      </c>
      <c r="DY168" s="704">
        <f ca="1">IF('General Inputs'!$K$8=0,0,IF(DY$163&gt;0,-MIN(ContrLennar*DY$163,DY$84),0))</f>
        <v>-37533.825815748904</v>
      </c>
      <c r="DZ168" s="704">
        <f ca="1">IF('General Inputs'!$K$8=0,0,IF(DZ$163&gt;0,-MIN(ContrLennar*DZ$163,DZ$84),0))</f>
        <v>-37744.347772220615</v>
      </c>
      <c r="EA168" s="704">
        <f ca="1">IF('General Inputs'!$K$8=0,0,IF(EA$163&gt;0,-MIN(ContrLennar*EA$163,EA$84),0))</f>
        <v>-37955.443318896825</v>
      </c>
      <c r="EB168" s="704">
        <f ca="1">IF('General Inputs'!$K$8=0,0,IF(EB$163&gt;0,-MIN(ContrLennar*EB$163,EB$84),0))</f>
        <v>-38258.64717280562</v>
      </c>
      <c r="EC168" s="704">
        <f ca="1">IF('General Inputs'!$K$8=0,0,IF(EC$163&gt;0,-MIN(ContrLennar*EC$163,EC$84),0))</f>
        <v>-38563.060474120226</v>
      </c>
      <c r="ED168" s="704">
        <f ca="1">IF('General Inputs'!$K$8=0,0,IF(ED$163&gt;0,-MIN(ContrLennar*ED$163,ED$84),0))</f>
        <v>-38868.688120419407</v>
      </c>
      <c r="EE168" s="704">
        <f ca="1">IF('General Inputs'!$K$8=0,0,IF(EE$163&gt;0,-MIN(ContrLennar*EE$163,EE$84),0))</f>
        <v>-39175.535029302133</v>
      </c>
      <c r="EF168" s="704">
        <f ca="1">IF('General Inputs'!$K$8=0,0,IF(EF$163&gt;0,-MIN(ContrLennar*EF$163,EF$84),0))</f>
        <v>-39483.606138469826</v>
      </c>
      <c r="EG168" s="704">
        <f ca="1">IF('General Inputs'!$K$8=0,0,IF(EG$163&gt;0,-MIN(ContrLennar*EG$163,EG$84),0))</f>
        <v>-39792.906406458227</v>
      </c>
      <c r="EH168" s="644"/>
      <c r="EI168" s="280"/>
    </row>
    <row r="169" spans="1:139" x14ac:dyDescent="0.3">
      <c r="A169" s="710" t="s">
        <v>972</v>
      </c>
      <c r="B169" s="706"/>
      <c r="C169" s="703"/>
      <c r="D169" s="686"/>
      <c r="E169" s="408">
        <f t="shared" ref="E169:BP169" ca="1" si="262">E166+E168</f>
        <v>0</v>
      </c>
      <c r="F169" s="408">
        <f t="shared" ca="1" si="262"/>
        <v>0</v>
      </c>
      <c r="G169" s="408">
        <f t="shared" ca="1" si="262"/>
        <v>0</v>
      </c>
      <c r="H169" s="408">
        <f t="shared" ca="1" si="262"/>
        <v>0</v>
      </c>
      <c r="I169" s="408">
        <f t="shared" ca="1" si="262"/>
        <v>0</v>
      </c>
      <c r="J169" s="408">
        <f t="shared" ca="1" si="262"/>
        <v>0</v>
      </c>
      <c r="K169" s="408">
        <f t="shared" ca="1" si="262"/>
        <v>0</v>
      </c>
      <c r="L169" s="408">
        <f t="shared" ca="1" si="262"/>
        <v>0</v>
      </c>
      <c r="M169" s="408">
        <f t="shared" ca="1" si="262"/>
        <v>0</v>
      </c>
      <c r="N169" s="408">
        <f t="shared" ca="1" si="262"/>
        <v>0</v>
      </c>
      <c r="O169" s="408">
        <f t="shared" ca="1" si="262"/>
        <v>0</v>
      </c>
      <c r="P169" s="408">
        <f t="shared" ca="1" si="262"/>
        <v>0</v>
      </c>
      <c r="Q169" s="408">
        <f t="shared" ca="1" si="262"/>
        <v>0</v>
      </c>
      <c r="R169" s="408">
        <f t="shared" ca="1" si="262"/>
        <v>0</v>
      </c>
      <c r="S169" s="408">
        <f t="shared" ca="1" si="262"/>
        <v>0</v>
      </c>
      <c r="T169" s="408">
        <f t="shared" ca="1" si="262"/>
        <v>0</v>
      </c>
      <c r="U169" s="408">
        <f t="shared" ca="1" si="262"/>
        <v>0</v>
      </c>
      <c r="V169" s="408">
        <f t="shared" ca="1" si="262"/>
        <v>0</v>
      </c>
      <c r="W169" s="408">
        <f t="shared" ca="1" si="262"/>
        <v>0</v>
      </c>
      <c r="X169" s="408">
        <f t="shared" ca="1" si="262"/>
        <v>0</v>
      </c>
      <c r="Y169" s="408">
        <f t="shared" ca="1" si="262"/>
        <v>0</v>
      </c>
      <c r="Z169" s="408">
        <f t="shared" ca="1" si="262"/>
        <v>0</v>
      </c>
      <c r="AA169" s="408">
        <f t="shared" ca="1" si="262"/>
        <v>0</v>
      </c>
      <c r="AB169" s="408">
        <f t="shared" ca="1" si="262"/>
        <v>0</v>
      </c>
      <c r="AC169" s="408">
        <f t="shared" ca="1" si="262"/>
        <v>0</v>
      </c>
      <c r="AD169" s="408">
        <f t="shared" ca="1" si="262"/>
        <v>0</v>
      </c>
      <c r="AE169" s="408">
        <f t="shared" ca="1" si="262"/>
        <v>0</v>
      </c>
      <c r="AF169" s="408">
        <f t="shared" ca="1" si="262"/>
        <v>0</v>
      </c>
      <c r="AG169" s="408">
        <f t="shared" ca="1" si="262"/>
        <v>0</v>
      </c>
      <c r="AH169" s="408">
        <f t="shared" ca="1" si="262"/>
        <v>0</v>
      </c>
      <c r="AI169" s="408">
        <f t="shared" ca="1" si="262"/>
        <v>0</v>
      </c>
      <c r="AJ169" s="408">
        <f t="shared" ca="1" si="262"/>
        <v>0</v>
      </c>
      <c r="AK169" s="408">
        <f t="shared" ca="1" si="262"/>
        <v>0</v>
      </c>
      <c r="AL169" s="408">
        <f t="shared" ca="1" si="262"/>
        <v>0</v>
      </c>
      <c r="AM169" s="408">
        <f t="shared" ca="1" si="262"/>
        <v>0</v>
      </c>
      <c r="AN169" s="408">
        <f t="shared" ca="1" si="262"/>
        <v>0</v>
      </c>
      <c r="AO169" s="408">
        <f t="shared" ca="1" si="262"/>
        <v>0</v>
      </c>
      <c r="AP169" s="408">
        <f t="shared" ca="1" si="262"/>
        <v>0</v>
      </c>
      <c r="AQ169" s="408">
        <f t="shared" ca="1" si="262"/>
        <v>0</v>
      </c>
      <c r="AR169" s="408">
        <f t="shared" ca="1" si="262"/>
        <v>0</v>
      </c>
      <c r="AS169" s="408">
        <f t="shared" ca="1" si="262"/>
        <v>0</v>
      </c>
      <c r="AT169" s="408">
        <f t="shared" ca="1" si="262"/>
        <v>0</v>
      </c>
      <c r="AU169" s="408">
        <f t="shared" ca="1" si="262"/>
        <v>0</v>
      </c>
      <c r="AV169" s="408">
        <f t="shared" ca="1" si="262"/>
        <v>0</v>
      </c>
      <c r="AW169" s="408">
        <f t="shared" ca="1" si="262"/>
        <v>0</v>
      </c>
      <c r="AX169" s="408">
        <f t="shared" ca="1" si="262"/>
        <v>0</v>
      </c>
      <c r="AY169" s="408">
        <f t="shared" ca="1" si="262"/>
        <v>0</v>
      </c>
      <c r="AZ169" s="408">
        <f t="shared" ca="1" si="262"/>
        <v>0</v>
      </c>
      <c r="BA169" s="408">
        <f t="shared" ca="1" si="262"/>
        <v>0</v>
      </c>
      <c r="BB169" s="408">
        <f t="shared" ca="1" si="262"/>
        <v>0</v>
      </c>
      <c r="BC169" s="408">
        <f t="shared" ca="1" si="262"/>
        <v>0</v>
      </c>
      <c r="BD169" s="408">
        <f t="shared" ca="1" si="262"/>
        <v>0</v>
      </c>
      <c r="BE169" s="408">
        <f t="shared" ca="1" si="262"/>
        <v>0</v>
      </c>
      <c r="BF169" s="408">
        <f t="shared" ca="1" si="262"/>
        <v>0</v>
      </c>
      <c r="BG169" s="408">
        <f t="shared" ca="1" si="262"/>
        <v>0</v>
      </c>
      <c r="BH169" s="408">
        <f t="shared" ca="1" si="262"/>
        <v>0</v>
      </c>
      <c r="BI169" s="408">
        <f t="shared" ca="1" si="262"/>
        <v>0</v>
      </c>
      <c r="BJ169" s="408">
        <f t="shared" ca="1" si="262"/>
        <v>0</v>
      </c>
      <c r="BK169" s="408">
        <f t="shared" ca="1" si="262"/>
        <v>0</v>
      </c>
      <c r="BL169" s="408">
        <f t="shared" ca="1" si="262"/>
        <v>0</v>
      </c>
      <c r="BM169" s="408">
        <f t="shared" ca="1" si="262"/>
        <v>0</v>
      </c>
      <c r="BN169" s="408">
        <f t="shared" ca="1" si="262"/>
        <v>0</v>
      </c>
      <c r="BO169" s="408">
        <f t="shared" ca="1" si="262"/>
        <v>0</v>
      </c>
      <c r="BP169" s="408">
        <f t="shared" ca="1" si="262"/>
        <v>0</v>
      </c>
      <c r="BQ169" s="408">
        <f t="shared" ref="BQ169:EB169" ca="1" si="263">BQ166+BQ168</f>
        <v>0</v>
      </c>
      <c r="BR169" s="408">
        <f t="shared" ca="1" si="263"/>
        <v>0</v>
      </c>
      <c r="BS169" s="408">
        <f t="shared" ca="1" si="263"/>
        <v>0</v>
      </c>
      <c r="BT169" s="408">
        <f t="shared" ca="1" si="263"/>
        <v>0</v>
      </c>
      <c r="BU169" s="408">
        <f t="shared" ca="1" si="263"/>
        <v>0</v>
      </c>
      <c r="BV169" s="408">
        <f t="shared" ca="1" si="263"/>
        <v>0</v>
      </c>
      <c r="BW169" s="408">
        <f t="shared" ca="1" si="263"/>
        <v>0</v>
      </c>
      <c r="BX169" s="408">
        <f t="shared" ca="1" si="263"/>
        <v>0</v>
      </c>
      <c r="BY169" s="408">
        <f t="shared" ca="1" si="263"/>
        <v>0</v>
      </c>
      <c r="BZ169" s="408">
        <f t="shared" ca="1" si="263"/>
        <v>0</v>
      </c>
      <c r="CA169" s="408">
        <f t="shared" ca="1" si="263"/>
        <v>0</v>
      </c>
      <c r="CB169" s="408">
        <f t="shared" ca="1" si="263"/>
        <v>0</v>
      </c>
      <c r="CC169" s="408">
        <f t="shared" ca="1" si="263"/>
        <v>0</v>
      </c>
      <c r="CD169" s="408">
        <f t="shared" ca="1" si="263"/>
        <v>0</v>
      </c>
      <c r="CE169" s="408">
        <f t="shared" ca="1" si="263"/>
        <v>0</v>
      </c>
      <c r="CF169" s="408">
        <f t="shared" ca="1" si="263"/>
        <v>0</v>
      </c>
      <c r="CG169" s="408">
        <f t="shared" ca="1" si="263"/>
        <v>0</v>
      </c>
      <c r="CH169" s="408">
        <f t="shared" ca="1" si="263"/>
        <v>0</v>
      </c>
      <c r="CI169" s="408">
        <f t="shared" ca="1" si="263"/>
        <v>0</v>
      </c>
      <c r="CJ169" s="408">
        <f t="shared" ca="1" si="263"/>
        <v>0</v>
      </c>
      <c r="CK169" s="408">
        <f t="shared" ca="1" si="263"/>
        <v>-2.9103830456733704E-11</v>
      </c>
      <c r="CL169" s="408">
        <f t="shared" ca="1" si="263"/>
        <v>0</v>
      </c>
      <c r="CM169" s="408">
        <f t="shared" ca="1" si="263"/>
        <v>0</v>
      </c>
      <c r="CN169" s="408">
        <f t="shared" ca="1" si="263"/>
        <v>0</v>
      </c>
      <c r="CO169" s="408">
        <f t="shared" ca="1" si="263"/>
        <v>0</v>
      </c>
      <c r="CP169" s="408">
        <f t="shared" ca="1" si="263"/>
        <v>0</v>
      </c>
      <c r="CQ169" s="408">
        <f t="shared" ca="1" si="263"/>
        <v>0</v>
      </c>
      <c r="CR169" s="408">
        <f t="shared" ca="1" si="263"/>
        <v>0</v>
      </c>
      <c r="CS169" s="408">
        <f t="shared" ca="1" si="263"/>
        <v>0</v>
      </c>
      <c r="CT169" s="408">
        <f t="shared" ca="1" si="263"/>
        <v>0</v>
      </c>
      <c r="CU169" s="408">
        <f t="shared" ca="1" si="263"/>
        <v>0</v>
      </c>
      <c r="CV169" s="408">
        <f t="shared" ca="1" si="263"/>
        <v>0</v>
      </c>
      <c r="CW169" s="408">
        <f t="shared" ca="1" si="263"/>
        <v>0</v>
      </c>
      <c r="CX169" s="408">
        <f t="shared" ca="1" si="263"/>
        <v>-2.9103830456733704E-11</v>
      </c>
      <c r="CY169" s="408">
        <f t="shared" ca="1" si="263"/>
        <v>-2.9103830456733704E-11</v>
      </c>
      <c r="CZ169" s="408">
        <f t="shared" ca="1" si="263"/>
        <v>0</v>
      </c>
      <c r="DA169" s="408">
        <f t="shared" ca="1" si="263"/>
        <v>0</v>
      </c>
      <c r="DB169" s="408">
        <f t="shared" ca="1" si="263"/>
        <v>0</v>
      </c>
      <c r="DC169" s="408">
        <f t="shared" ca="1" si="263"/>
        <v>0</v>
      </c>
      <c r="DD169" s="408">
        <f t="shared" ca="1" si="263"/>
        <v>0</v>
      </c>
      <c r="DE169" s="408">
        <f t="shared" ca="1" si="263"/>
        <v>0</v>
      </c>
      <c r="DF169" s="408">
        <f t="shared" ca="1" si="263"/>
        <v>0</v>
      </c>
      <c r="DG169" s="408">
        <f t="shared" ca="1" si="263"/>
        <v>0</v>
      </c>
      <c r="DH169" s="408">
        <f t="shared" ca="1" si="263"/>
        <v>0</v>
      </c>
      <c r="DI169" s="408">
        <f t="shared" ca="1" si="263"/>
        <v>0</v>
      </c>
      <c r="DJ169" s="408">
        <f t="shared" ca="1" si="263"/>
        <v>0</v>
      </c>
      <c r="DK169" s="408">
        <f t="shared" ca="1" si="263"/>
        <v>0</v>
      </c>
      <c r="DL169" s="408">
        <f t="shared" ca="1" si="263"/>
        <v>0</v>
      </c>
      <c r="DM169" s="408">
        <f t="shared" ca="1" si="263"/>
        <v>0</v>
      </c>
      <c r="DN169" s="408">
        <f t="shared" ca="1" si="263"/>
        <v>0</v>
      </c>
      <c r="DO169" s="408">
        <f t="shared" ca="1" si="263"/>
        <v>0</v>
      </c>
      <c r="DP169" s="408">
        <f t="shared" ca="1" si="263"/>
        <v>0</v>
      </c>
      <c r="DQ169" s="408">
        <f t="shared" ca="1" si="263"/>
        <v>0</v>
      </c>
      <c r="DR169" s="408">
        <f t="shared" ca="1" si="263"/>
        <v>0</v>
      </c>
      <c r="DS169" s="408">
        <f t="shared" ca="1" si="263"/>
        <v>0</v>
      </c>
      <c r="DT169" s="408">
        <f t="shared" ca="1" si="263"/>
        <v>0</v>
      </c>
      <c r="DU169" s="408">
        <f t="shared" ca="1" si="263"/>
        <v>0</v>
      </c>
      <c r="DV169" s="408">
        <f t="shared" ca="1" si="263"/>
        <v>0</v>
      </c>
      <c r="DW169" s="408">
        <f t="shared" ca="1" si="263"/>
        <v>0</v>
      </c>
      <c r="DX169" s="408">
        <f t="shared" ca="1" si="263"/>
        <v>0</v>
      </c>
      <c r="DY169" s="408">
        <f t="shared" ca="1" si="263"/>
        <v>0</v>
      </c>
      <c r="DZ169" s="408">
        <f t="shared" ca="1" si="263"/>
        <v>0</v>
      </c>
      <c r="EA169" s="408">
        <f t="shared" ca="1" si="263"/>
        <v>0</v>
      </c>
      <c r="EB169" s="408">
        <f t="shared" ca="1" si="263"/>
        <v>0</v>
      </c>
      <c r="EC169" s="408">
        <f ca="1">EC166+EC168</f>
        <v>0</v>
      </c>
      <c r="ED169" s="408">
        <f ca="1">ED166+ED168</f>
        <v>0</v>
      </c>
      <c r="EE169" s="408">
        <f ca="1">EE166+EE168</f>
        <v>0</v>
      </c>
      <c r="EF169" s="408">
        <f ca="1">EF166+EF168</f>
        <v>0</v>
      </c>
      <c r="EG169" s="408">
        <f ca="1">EG166+EG168</f>
        <v>0</v>
      </c>
      <c r="EH169" s="644"/>
      <c r="EI169" s="722"/>
    </row>
    <row r="170" spans="1:139" ht="6.75" customHeight="1" x14ac:dyDescent="0.3">
      <c r="A170" s="408"/>
      <c r="B170" s="408"/>
      <c r="C170" s="408"/>
      <c r="D170" s="686"/>
      <c r="E170" s="408"/>
      <c r="F170" s="408"/>
      <c r="EH170" s="644"/>
      <c r="EI170" s="280"/>
    </row>
    <row r="171" spans="1:139" s="227" customFormat="1" x14ac:dyDescent="0.3">
      <c r="A171" s="704" t="str">
        <f>'General Inputs'!$L$29&amp;" Preference Paid From NCF"</f>
        <v>LAND Preference Paid From NCF</v>
      </c>
      <c r="B171" s="704"/>
      <c r="C171" s="704"/>
      <c r="D171" s="729"/>
      <c r="E171" s="704">
        <f ca="1">IF('General Inputs'!$L$8=0,0,IF(E$163&gt;0,-MIN(ContrLand*E$163,E$109),0))</f>
        <v>0</v>
      </c>
      <c r="F171" s="704">
        <f ca="1">IF('General Inputs'!$L$8=0,0,IF(F$163&gt;0,-MIN(ContrLand*F$163,F$109),0))</f>
        <v>0</v>
      </c>
      <c r="G171" s="704">
        <f ca="1">IF('General Inputs'!$L$8=0,0,IF(G$163&gt;0,-MIN(ContrLand*G$163,G$109),0))</f>
        <v>0</v>
      </c>
      <c r="H171" s="704">
        <f ca="1">IF('General Inputs'!$L$8=0,0,IF(H$163&gt;0,-MIN(ContrLand*H$163,H$109),0))</f>
        <v>0</v>
      </c>
      <c r="I171" s="704">
        <f ca="1">IF('General Inputs'!$L$8=0,0,IF(I$163&gt;0,-MIN(ContrLand*I$163,I$109),0))</f>
        <v>0</v>
      </c>
      <c r="J171" s="704">
        <f ca="1">IF('General Inputs'!$L$8=0,0,IF(J$163&gt;0,-MIN(ContrLand*J$163,J$109),0))</f>
        <v>0</v>
      </c>
      <c r="K171" s="704">
        <f ca="1">IF('General Inputs'!$L$8=0,0,IF(K$163&gt;0,-MIN(ContrLand*K$163,K$109),0))</f>
        <v>0</v>
      </c>
      <c r="L171" s="704">
        <f ca="1">IF('General Inputs'!$L$8=0,0,IF(L$163&gt;0,-MIN(ContrLand*L$163,L$109),0))</f>
        <v>0</v>
      </c>
      <c r="M171" s="704">
        <f ca="1">IF('General Inputs'!$L$8=0,0,IF(M$163&gt;0,-MIN(ContrLand*M$163,M$109),0))</f>
        <v>0</v>
      </c>
      <c r="N171" s="704">
        <f ca="1">IF('General Inputs'!$L$8=0,0,IF(N$163&gt;0,-MIN(ContrLand*N$163,N$109),0))</f>
        <v>0</v>
      </c>
      <c r="O171" s="704">
        <f ca="1">IF('General Inputs'!$L$8=0,0,IF(O$163&gt;0,-MIN(ContrLand*O$163,O$109),0))</f>
        <v>0</v>
      </c>
      <c r="P171" s="704">
        <f ca="1">IF('General Inputs'!$L$8=0,0,IF(P$163&gt;0,-MIN(ContrLand*P$163,P$109),0))</f>
        <v>0</v>
      </c>
      <c r="Q171" s="704">
        <f ca="1">IF('General Inputs'!$L$8=0,0,IF(Q$163&gt;0,-MIN(ContrLand*Q$163,Q$109),0))</f>
        <v>0</v>
      </c>
      <c r="R171" s="704">
        <f ca="1">IF('General Inputs'!$L$8=0,0,IF(R$163&gt;0,-MIN(ContrLand*R$163,R$109),0))</f>
        <v>0</v>
      </c>
      <c r="S171" s="704">
        <f ca="1">IF('General Inputs'!$L$8=0,0,IF(S$163&gt;0,-MIN(ContrLand*S$163,S$109),0))</f>
        <v>0</v>
      </c>
      <c r="T171" s="704">
        <f ca="1">IF('General Inputs'!$L$8=0,0,IF(T$163&gt;0,-MIN(ContrLand*T$163,T$109),0))</f>
        <v>0</v>
      </c>
      <c r="U171" s="704">
        <f ca="1">IF('General Inputs'!$L$8=0,0,IF(U$163&gt;0,-MIN(ContrLand*U$163,U$109),0))</f>
        <v>0</v>
      </c>
      <c r="V171" s="704">
        <f ca="1">IF('General Inputs'!$L$8=0,0,IF(V$163&gt;0,-MIN(ContrLand*V$163,V$109),0))</f>
        <v>0</v>
      </c>
      <c r="W171" s="704">
        <f ca="1">IF('General Inputs'!$L$8=0,0,IF(W$163&gt;0,-MIN(ContrLand*W$163,W$109),0))</f>
        <v>0</v>
      </c>
      <c r="X171" s="704">
        <f ca="1">IF('General Inputs'!$L$8=0,0,IF(X$163&gt;0,-MIN(ContrLand*X$163,X$109),0))</f>
        <v>0</v>
      </c>
      <c r="Y171" s="704">
        <f ca="1">IF('General Inputs'!$L$8=0,0,IF(Y$163&gt;0,-MIN(ContrLand*Y$163,Y$109),0))</f>
        <v>0</v>
      </c>
      <c r="Z171" s="704">
        <f ca="1">IF('General Inputs'!$L$8=0,0,IF(Z$163&gt;0,-MIN(ContrLand*Z$163,Z$109),0))</f>
        <v>0</v>
      </c>
      <c r="AA171" s="704">
        <f ca="1">IF('General Inputs'!$L$8=0,0,IF(AA$163&gt;0,-MIN(ContrLand*AA$163,AA$109),0))</f>
        <v>0</v>
      </c>
      <c r="AB171" s="704">
        <f ca="1">IF('General Inputs'!$L$8=0,0,IF(AB$163&gt;0,-MIN(ContrLand*AB$163,AB$109),0))</f>
        <v>0</v>
      </c>
      <c r="AC171" s="704">
        <f ca="1">IF('General Inputs'!$L$8=0,0,IF(AC$163&gt;0,-MIN(ContrLand*AC$163,AC$109),0))</f>
        <v>0</v>
      </c>
      <c r="AD171" s="704">
        <f ca="1">IF('General Inputs'!$L$8=0,0,IF(AD$163&gt;0,-MIN(ContrLand*AD$163,AD$109),0))</f>
        <v>0</v>
      </c>
      <c r="AE171" s="704">
        <f ca="1">IF('General Inputs'!$L$8=0,0,IF(AE$163&gt;0,-MIN(ContrLand*AE$163,AE$109),0))</f>
        <v>0</v>
      </c>
      <c r="AF171" s="704">
        <f ca="1">IF('General Inputs'!$L$8=0,0,IF(AF$163&gt;0,-MIN(ContrLand*AF$163,AF$109),0))</f>
        <v>0</v>
      </c>
      <c r="AG171" s="704">
        <f ca="1">IF('General Inputs'!$L$8=0,0,IF(AG$163&gt;0,-MIN(ContrLand*AG$163,AG$109),0))</f>
        <v>0</v>
      </c>
      <c r="AH171" s="704">
        <f ca="1">IF('General Inputs'!$L$8=0,0,IF(AH$163&gt;0,-MIN(ContrLand*AH$163,AH$109),0))</f>
        <v>0</v>
      </c>
      <c r="AI171" s="704">
        <f ca="1">IF('General Inputs'!$L$8=0,0,IF(AI$163&gt;0,-MIN(ContrLand*AI$163,AI$109),0))</f>
        <v>0</v>
      </c>
      <c r="AJ171" s="704">
        <f ca="1">IF('General Inputs'!$L$8=0,0,IF(AJ$163&gt;0,-MIN(ContrLand*AJ$163,AJ$109),0))</f>
        <v>0</v>
      </c>
      <c r="AK171" s="704">
        <f ca="1">IF('General Inputs'!$L$8=0,0,IF(AK$163&gt;0,-MIN(ContrLand*AK$163,AK$109),0))</f>
        <v>0</v>
      </c>
      <c r="AL171" s="704">
        <f ca="1">IF('General Inputs'!$L$8=0,0,IF(AL$163&gt;0,-MIN(ContrLand*AL$163,AL$109),0))</f>
        <v>0</v>
      </c>
      <c r="AM171" s="704">
        <f ca="1">IF('General Inputs'!$L$8=0,0,IF(AM$163&gt;0,-MIN(ContrLand*AM$163,AM$109),0))</f>
        <v>0</v>
      </c>
      <c r="AN171" s="704">
        <f ca="1">IF('General Inputs'!$L$8=0,0,IF(AN$163&gt;0,-MIN(ContrLand*AN$163,AN$109),0))</f>
        <v>0</v>
      </c>
      <c r="AO171" s="704">
        <f ca="1">IF('General Inputs'!$L$8=0,0,IF(AO$163&gt;0,-MIN(ContrLand*AO$163,AO$109),0))</f>
        <v>0</v>
      </c>
      <c r="AP171" s="704">
        <f ca="1">IF('General Inputs'!$L$8=0,0,IF(AP$163&gt;0,-MIN(ContrLand*AP$163,AP$109),0))</f>
        <v>0</v>
      </c>
      <c r="AQ171" s="704">
        <f ca="1">IF('General Inputs'!$L$8=0,0,IF(AQ$163&gt;0,-MIN(ContrLand*AQ$163,AQ$109),0))</f>
        <v>0</v>
      </c>
      <c r="AR171" s="704">
        <f ca="1">IF('General Inputs'!$L$8=0,0,IF(AR$163&gt;0,-MIN(ContrLand*AR$163,AR$109),0))</f>
        <v>0</v>
      </c>
      <c r="AS171" s="704">
        <f ca="1">IF('General Inputs'!$L$8=0,0,IF(AS$163&gt;0,-MIN(ContrLand*AS$163,AS$109),0))</f>
        <v>0</v>
      </c>
      <c r="AT171" s="704">
        <f ca="1">IF('General Inputs'!$L$8=0,0,IF(AT$163&gt;0,-MIN(ContrLand*AT$163,AT$109),0))</f>
        <v>0</v>
      </c>
      <c r="AU171" s="704">
        <f ca="1">IF('General Inputs'!$L$8=0,0,IF(AU$163&gt;0,-MIN(ContrLand*AU$163,AU$109),0))</f>
        <v>0</v>
      </c>
      <c r="AV171" s="704">
        <f ca="1">IF('General Inputs'!$L$8=0,0,IF(AV$163&gt;0,-MIN(ContrLand*AV$163,AV$109),0))</f>
        <v>0</v>
      </c>
      <c r="AW171" s="704">
        <f ca="1">IF('General Inputs'!$L$8=0,0,IF(AW$163&gt;0,-MIN(ContrLand*AW$163,AW$109),0))</f>
        <v>0</v>
      </c>
      <c r="AX171" s="704">
        <f ca="1">IF('General Inputs'!$L$8=0,0,IF(AX$163&gt;0,-MIN(ContrLand*AX$163,AX$109),0))</f>
        <v>0</v>
      </c>
      <c r="AY171" s="704">
        <f ca="1">IF('General Inputs'!$L$8=0,0,IF(AY$163&gt;0,-MIN(ContrLand*AY$163,AY$109),0))</f>
        <v>0</v>
      </c>
      <c r="AZ171" s="704">
        <f ca="1">IF('General Inputs'!$L$8=0,0,IF(AZ$163&gt;0,-MIN(ContrLand*AZ$163,AZ$109),0))</f>
        <v>0</v>
      </c>
      <c r="BA171" s="704">
        <f ca="1">IF('General Inputs'!$L$8=0,0,IF(BA$163&gt;0,-MIN(ContrLand*BA$163,BA$109),0))</f>
        <v>0</v>
      </c>
      <c r="BB171" s="704">
        <f ca="1">IF('General Inputs'!$L$8=0,0,IF(BB$163&gt;0,-MIN(ContrLand*BB$163,BB$109),0))</f>
        <v>0</v>
      </c>
      <c r="BC171" s="704">
        <f ca="1">IF('General Inputs'!$L$8=0,0,IF(BC$163&gt;0,-MIN(ContrLand*BC$163,BC$109),0))</f>
        <v>0</v>
      </c>
      <c r="BD171" s="704">
        <f ca="1">IF('General Inputs'!$L$8=0,0,IF(BD$163&gt;0,-MIN(ContrLand*BD$163,BD$109),0))</f>
        <v>0</v>
      </c>
      <c r="BE171" s="704">
        <f ca="1">IF('General Inputs'!$L$8=0,0,IF(BE$163&gt;0,-MIN(ContrLand*BE$163,BE$109),0))</f>
        <v>0</v>
      </c>
      <c r="BF171" s="704">
        <f ca="1">IF('General Inputs'!$L$8=0,0,IF(BF$163&gt;0,-MIN(ContrLand*BF$163,BF$109),0))</f>
        <v>0</v>
      </c>
      <c r="BG171" s="704">
        <f ca="1">IF('General Inputs'!$L$8=0,0,IF(BG$163&gt;0,-MIN(ContrLand*BG$163,BG$109),0))</f>
        <v>0</v>
      </c>
      <c r="BH171" s="704">
        <f ca="1">IF('General Inputs'!$L$8=0,0,IF(BH$163&gt;0,-MIN(ContrLand*BH$163,BH$109),0))</f>
        <v>0</v>
      </c>
      <c r="BI171" s="704">
        <f ca="1">IF('General Inputs'!$L$8=0,0,IF(BI$163&gt;0,-MIN(ContrLand*BI$163,BI$109),0))</f>
        <v>0</v>
      </c>
      <c r="BJ171" s="704">
        <f ca="1">IF('General Inputs'!$L$8=0,0,IF(BJ$163&gt;0,-MIN(ContrLand*BJ$163,BJ$109),0))</f>
        <v>0</v>
      </c>
      <c r="BK171" s="704">
        <f ca="1">IF('General Inputs'!$L$8=0,0,IF(BK$163&gt;0,-MIN(ContrLand*BK$163,BK$109),0))</f>
        <v>0</v>
      </c>
      <c r="BL171" s="704">
        <f ca="1">IF('General Inputs'!$L$8=0,0,IF(BL$163&gt;0,-MIN(ContrLand*BL$163,BL$109),0))</f>
        <v>0</v>
      </c>
      <c r="BM171" s="704">
        <f ca="1">IF('General Inputs'!$L$8=0,0,IF(BM$163&gt;0,-MIN(ContrLand*BM$163,BM$109),0))</f>
        <v>0</v>
      </c>
      <c r="BN171" s="704">
        <f ca="1">IF('General Inputs'!$L$8=0,0,IF(BN$163&gt;0,-MIN(ContrLand*BN$163,BN$109),0))</f>
        <v>0</v>
      </c>
      <c r="BO171" s="704">
        <f ca="1">IF('General Inputs'!$L$8=0,0,IF(BO$163&gt;0,-MIN(ContrLand*BO$163,BO$109),0))</f>
        <v>0</v>
      </c>
      <c r="BP171" s="704">
        <f ca="1">IF('General Inputs'!$L$8=0,0,IF(BP$163&gt;0,-MIN(ContrLand*BP$163,BP$109),0))</f>
        <v>0</v>
      </c>
      <c r="BQ171" s="704">
        <f ca="1">IF('General Inputs'!$L$8=0,0,IF(BQ$163&gt;0,-MIN(ContrLand*BQ$163,BQ$109),0))</f>
        <v>0</v>
      </c>
      <c r="BR171" s="704">
        <f ca="1">IF('General Inputs'!$L$8=0,0,IF(BR$163&gt;0,-MIN(ContrLand*BR$163,BR$109),0))</f>
        <v>0</v>
      </c>
      <c r="BS171" s="704">
        <f ca="1">IF('General Inputs'!$L$8=0,0,IF(BS$163&gt;0,-MIN(ContrLand*BS$163,BS$109),0))</f>
        <v>0</v>
      </c>
      <c r="BT171" s="704">
        <f ca="1">IF('General Inputs'!$L$8=0,0,IF(BT$163&gt;0,-MIN(ContrLand*BT$163,BT$109),0))</f>
        <v>0</v>
      </c>
      <c r="BU171" s="704">
        <f ca="1">IF('General Inputs'!$L$8=0,0,IF(BU$163&gt;0,-MIN(ContrLand*BU$163,BU$109),0))</f>
        <v>0</v>
      </c>
      <c r="BV171" s="704">
        <f ca="1">IF('General Inputs'!$L$8=0,0,IF(BV$163&gt;0,-MIN(ContrLand*BV$163,BV$109),0))</f>
        <v>0</v>
      </c>
      <c r="BW171" s="704">
        <f ca="1">IF('General Inputs'!$L$8=0,0,IF(BW$163&gt;0,-MIN(ContrLand*BW$163,BW$109),0))</f>
        <v>0</v>
      </c>
      <c r="BX171" s="704">
        <f ca="1">IF('General Inputs'!$L$8=0,0,IF(BX$163&gt;0,-MIN(ContrLand*BX$163,BX$109),0))</f>
        <v>0</v>
      </c>
      <c r="BY171" s="704">
        <f ca="1">IF('General Inputs'!$L$8=0,0,IF(BY$163&gt;0,-MIN(ContrLand*BY$163,BY$109),0))</f>
        <v>0</v>
      </c>
      <c r="BZ171" s="704">
        <f ca="1">IF('General Inputs'!$L$8=0,0,IF(BZ$163&gt;0,-MIN(ContrLand*BZ$163,BZ$109),0))</f>
        <v>0</v>
      </c>
      <c r="CA171" s="704">
        <f ca="1">IF('General Inputs'!$L$8=0,0,IF(CA$163&gt;0,-MIN(ContrLand*CA$163,CA$109),0))</f>
        <v>0</v>
      </c>
      <c r="CB171" s="704">
        <f ca="1">IF('General Inputs'!$L$8=0,0,IF(CB$163&gt;0,-MIN(ContrLand*CB$163,CB$109),0))</f>
        <v>0</v>
      </c>
      <c r="CC171" s="704">
        <f ca="1">IF('General Inputs'!$L$8=0,0,IF(CC$163&gt;0,-MIN(ContrLand*CC$163,CC$109),0))</f>
        <v>0</v>
      </c>
      <c r="CD171" s="704">
        <f ca="1">IF('General Inputs'!$L$8=0,0,IF(CD$163&gt;0,-MIN(ContrLand*CD$163,CD$109),0))</f>
        <v>0</v>
      </c>
      <c r="CE171" s="704">
        <f ca="1">IF('General Inputs'!$L$8=0,0,IF(CE$163&gt;0,-MIN(ContrLand*CE$163,CE$109),0))</f>
        <v>0</v>
      </c>
      <c r="CF171" s="704">
        <f ca="1">IF('General Inputs'!$L$8=0,0,IF(CF$163&gt;0,-MIN(ContrLand*CF$163,CF$109),0))</f>
        <v>0</v>
      </c>
      <c r="CG171" s="704">
        <f ca="1">IF('General Inputs'!$L$8=0,0,IF(CG$163&gt;0,-MIN(ContrLand*CG$163,CG$109),0))</f>
        <v>0</v>
      </c>
      <c r="CH171" s="704">
        <f ca="1">IF('General Inputs'!$L$8=0,0,IF(CH$163&gt;0,-MIN(ContrLand*CH$163,CH$109),0))</f>
        <v>0</v>
      </c>
      <c r="CI171" s="704">
        <f ca="1">IF('General Inputs'!$L$8=0,0,IF(CI$163&gt;0,-MIN(ContrLand*CI$163,CI$109),0))</f>
        <v>0</v>
      </c>
      <c r="CJ171" s="704">
        <f ca="1">IF('General Inputs'!$L$8=0,0,IF(CJ$163&gt;0,-MIN(ContrLand*CJ$163,CJ$109),0))</f>
        <v>0</v>
      </c>
      <c r="CK171" s="704">
        <f ca="1">IF('General Inputs'!$L$8=0,0,IF(CK$163&gt;0,-MIN(ContrLand*CK$163,CK$109),0))</f>
        <v>0</v>
      </c>
      <c r="CL171" s="704">
        <f ca="1">IF('General Inputs'!$L$8=0,0,IF(CL$163&gt;0,-MIN(ContrLand*CL$163,CL$109),0))</f>
        <v>0</v>
      </c>
      <c r="CM171" s="704">
        <f ca="1">IF('General Inputs'!$L$8=0,0,IF(CM$163&gt;0,-MIN(ContrLand*CM$163,CM$109),0))</f>
        <v>0</v>
      </c>
      <c r="CN171" s="704">
        <f ca="1">IF('General Inputs'!$L$8=0,0,IF(CN$163&gt;0,-MIN(ContrLand*CN$163,CN$109),0))</f>
        <v>0</v>
      </c>
      <c r="CO171" s="704">
        <f ca="1">IF('General Inputs'!$L$8=0,0,IF(CO$163&gt;0,-MIN(ContrLand*CO$163,CO$109),0))</f>
        <v>0</v>
      </c>
      <c r="CP171" s="704">
        <f ca="1">IF('General Inputs'!$L$8=0,0,IF(CP$163&gt;0,-MIN(ContrLand*CP$163,CP$109),0))</f>
        <v>0</v>
      </c>
      <c r="CQ171" s="704">
        <f ca="1">IF('General Inputs'!$L$8=0,0,IF(CQ$163&gt;0,-MIN(ContrLand*CQ$163,CQ$109),0))</f>
        <v>0</v>
      </c>
      <c r="CR171" s="704">
        <f ca="1">IF('General Inputs'!$L$8=0,0,IF(CR$163&gt;0,-MIN(ContrLand*CR$163,CR$109),0))</f>
        <v>0</v>
      </c>
      <c r="CS171" s="704">
        <f ca="1">IF('General Inputs'!$L$8=0,0,IF(CS$163&gt;0,-MIN(ContrLand*CS$163,CS$109),0))</f>
        <v>0</v>
      </c>
      <c r="CT171" s="704">
        <f ca="1">IF('General Inputs'!$L$8=0,0,IF(CT$163&gt;0,-MIN(ContrLand*CT$163,CT$109),0))</f>
        <v>0</v>
      </c>
      <c r="CU171" s="704">
        <f ca="1">IF('General Inputs'!$L$8=0,0,IF(CU$163&gt;0,-MIN(ContrLand*CU$163,CU$109),0))</f>
        <v>0</v>
      </c>
      <c r="CV171" s="704">
        <f ca="1">IF('General Inputs'!$L$8=0,0,IF(CV$163&gt;0,-MIN(ContrLand*CV$163,CV$109),0))</f>
        <v>0</v>
      </c>
      <c r="CW171" s="704">
        <f ca="1">IF('General Inputs'!$L$8=0,0,IF(CW$163&gt;0,-MIN(ContrLand*CW$163,CW$109),0))</f>
        <v>0</v>
      </c>
      <c r="CX171" s="704">
        <f ca="1">IF('General Inputs'!$L$8=0,0,IF(CX$163&gt;0,-MIN(ContrLand*CX$163,CX$109),0))</f>
        <v>0</v>
      </c>
      <c r="CY171" s="704">
        <f ca="1">IF('General Inputs'!$L$8=0,0,IF(CY$163&gt;0,-MIN(ContrLand*CY$163,CY$109),0))</f>
        <v>0</v>
      </c>
      <c r="CZ171" s="704">
        <f ca="1">IF('General Inputs'!$L$8=0,0,IF(CZ$163&gt;0,-MIN(ContrLand*CZ$163,CZ$109),0))</f>
        <v>0</v>
      </c>
      <c r="DA171" s="704">
        <f ca="1">IF('General Inputs'!$L$8=0,0,IF(DA$163&gt;0,-MIN(ContrLand*DA$163,DA$109),0))</f>
        <v>0</v>
      </c>
      <c r="DB171" s="704">
        <f ca="1">IF('General Inputs'!$L$8=0,0,IF(DB$163&gt;0,-MIN(ContrLand*DB$163,DB$109),0))</f>
        <v>0</v>
      </c>
      <c r="DC171" s="704">
        <f ca="1">IF('General Inputs'!$L$8=0,0,IF(DC$163&gt;0,-MIN(ContrLand*DC$163,DC$109),0))</f>
        <v>0</v>
      </c>
      <c r="DD171" s="704">
        <f ca="1">IF('General Inputs'!$L$8=0,0,IF(DD$163&gt;0,-MIN(ContrLand*DD$163,DD$109),0))</f>
        <v>0</v>
      </c>
      <c r="DE171" s="704">
        <f ca="1">IF('General Inputs'!$L$8=0,0,IF(DE$163&gt;0,-MIN(ContrLand*DE$163,DE$109),0))</f>
        <v>0</v>
      </c>
      <c r="DF171" s="704">
        <f ca="1">IF('General Inputs'!$L$8=0,0,IF(DF$163&gt;0,-MIN(ContrLand*DF$163,DF$109),0))</f>
        <v>0</v>
      </c>
      <c r="DG171" s="704">
        <f ca="1">IF('General Inputs'!$L$8=0,0,IF(DG$163&gt;0,-MIN(ContrLand*DG$163,DG$109),0))</f>
        <v>0</v>
      </c>
      <c r="DH171" s="704">
        <f ca="1">IF('General Inputs'!$L$8=0,0,IF(DH$163&gt;0,-MIN(ContrLand*DH$163,DH$109),0))</f>
        <v>0</v>
      </c>
      <c r="DI171" s="704">
        <f ca="1">IF('General Inputs'!$L$8=0,0,IF(DI$163&gt;0,-MIN(ContrLand*DI$163,DI$109),0))</f>
        <v>0</v>
      </c>
      <c r="DJ171" s="704">
        <f ca="1">IF('General Inputs'!$L$8=0,0,IF(DJ$163&gt;0,-MIN(ContrLand*DJ$163,DJ$109),0))</f>
        <v>0</v>
      </c>
      <c r="DK171" s="704">
        <f ca="1">IF('General Inputs'!$L$8=0,0,IF(DK$163&gt;0,-MIN(ContrLand*DK$163,DK$109),0))</f>
        <v>0</v>
      </c>
      <c r="DL171" s="704">
        <f ca="1">IF('General Inputs'!$L$8=0,0,IF(DL$163&gt;0,-MIN(ContrLand*DL$163,DL$109),0))</f>
        <v>0</v>
      </c>
      <c r="DM171" s="704">
        <f ca="1">IF('General Inputs'!$L$8=0,0,IF(DM$163&gt;0,-MIN(ContrLand*DM$163,DM$109),0))</f>
        <v>0</v>
      </c>
      <c r="DN171" s="704">
        <f ca="1">IF('General Inputs'!$L$8=0,0,IF(DN$163&gt;0,-MIN(ContrLand*DN$163,DN$109),0))</f>
        <v>0</v>
      </c>
      <c r="DO171" s="704">
        <f ca="1">IF('General Inputs'!$L$8=0,0,IF(DO$163&gt;0,-MIN(ContrLand*DO$163,DO$109),0))</f>
        <v>0</v>
      </c>
      <c r="DP171" s="704">
        <f ca="1">IF('General Inputs'!$L$8=0,0,IF(DP$163&gt;0,-MIN(ContrLand*DP$163,DP$109),0))</f>
        <v>0</v>
      </c>
      <c r="DQ171" s="704">
        <f ca="1">IF('General Inputs'!$L$8=0,0,IF(DQ$163&gt;0,-MIN(ContrLand*DQ$163,DQ$109),0))</f>
        <v>0</v>
      </c>
      <c r="DR171" s="704">
        <f ca="1">IF('General Inputs'!$L$8=0,0,IF(DR$163&gt;0,-MIN(ContrLand*DR$163,DR$109),0))</f>
        <v>0</v>
      </c>
      <c r="DS171" s="704">
        <f ca="1">IF('General Inputs'!$L$8=0,0,IF(DS$163&gt;0,-MIN(ContrLand*DS$163,DS$109),0))</f>
        <v>0</v>
      </c>
      <c r="DT171" s="704">
        <f ca="1">IF('General Inputs'!$L$8=0,0,IF(DT$163&gt;0,-MIN(ContrLand*DT$163,DT$109),0))</f>
        <v>0</v>
      </c>
      <c r="DU171" s="704">
        <f ca="1">IF('General Inputs'!$L$8=0,0,IF(DU$163&gt;0,-MIN(ContrLand*DU$163,DU$109),0))</f>
        <v>0</v>
      </c>
      <c r="DV171" s="704">
        <f ca="1">IF('General Inputs'!$L$8=0,0,IF(DV$163&gt;0,-MIN(ContrLand*DV$163,DV$109),0))</f>
        <v>0</v>
      </c>
      <c r="DW171" s="704">
        <f ca="1">IF('General Inputs'!$L$8=0,0,IF(DW$163&gt;0,-MIN(ContrLand*DW$163,DW$109),0))</f>
        <v>0</v>
      </c>
      <c r="DX171" s="704">
        <f ca="1">IF('General Inputs'!$L$8=0,0,IF(DX$163&gt;0,-MIN(ContrLand*DX$163,DX$109),0))</f>
        <v>0</v>
      </c>
      <c r="DY171" s="704">
        <f ca="1">IF('General Inputs'!$L$8=0,0,IF(DY$163&gt;0,-MIN(ContrLand*DY$163,DY$109),0))</f>
        <v>0</v>
      </c>
      <c r="DZ171" s="704">
        <f ca="1">IF('General Inputs'!$L$8=0,0,IF(DZ$163&gt;0,-MIN(ContrLand*DZ$163,DZ$109),0))</f>
        <v>0</v>
      </c>
      <c r="EA171" s="704">
        <f ca="1">IF('General Inputs'!$L$8=0,0,IF(EA$163&gt;0,-MIN(ContrLand*EA$163,EA$109),0))</f>
        <v>0</v>
      </c>
      <c r="EB171" s="704">
        <f ca="1">IF('General Inputs'!$L$8=0,0,IF(EB$163&gt;0,-MIN(ContrLand*EB$163,EB$109),0))</f>
        <v>0</v>
      </c>
      <c r="EC171" s="704">
        <f ca="1">IF('General Inputs'!$L$8=0,0,IF(EC$163&gt;0,-MIN(ContrLand*EC$163,EC$109),0))</f>
        <v>0</v>
      </c>
      <c r="ED171" s="704">
        <f ca="1">IF('General Inputs'!$L$8=0,0,IF(ED$163&gt;0,-MIN(ContrLand*ED$163,ED$109),0))</f>
        <v>0</v>
      </c>
      <c r="EE171" s="704">
        <f ca="1">IF('General Inputs'!$L$8=0,0,IF(EE$163&gt;0,-MIN(ContrLand*EE$163,EE$109),0))</f>
        <v>0</v>
      </c>
      <c r="EF171" s="704">
        <f ca="1">IF('General Inputs'!$L$8=0,0,IF(EF$163&gt;0,-MIN(ContrLand*EF$163,EF$109),0))</f>
        <v>0</v>
      </c>
      <c r="EG171" s="704">
        <f ca="1">IF('General Inputs'!$L$8=0,0,IF(EG$163&gt;0,-MIN(ContrLand*EG$163,EG$109),0))</f>
        <v>0</v>
      </c>
      <c r="EH171" s="644"/>
      <c r="EI171" s="722"/>
    </row>
    <row r="172" spans="1:139" s="227" customFormat="1" ht="15" thickBot="1" x14ac:dyDescent="0.35">
      <c r="A172" s="433" t="s">
        <v>857</v>
      </c>
      <c r="B172" s="433"/>
      <c r="C172" s="433"/>
      <c r="D172" s="731"/>
      <c r="E172" s="433">
        <f t="shared" ref="E172:BP172" ca="1" si="264">E169+E171</f>
        <v>0</v>
      </c>
      <c r="F172" s="433">
        <f t="shared" ca="1" si="264"/>
        <v>0</v>
      </c>
      <c r="G172" s="433">
        <f t="shared" ca="1" si="264"/>
        <v>0</v>
      </c>
      <c r="H172" s="433">
        <f t="shared" ca="1" si="264"/>
        <v>0</v>
      </c>
      <c r="I172" s="433">
        <f t="shared" ca="1" si="264"/>
        <v>0</v>
      </c>
      <c r="J172" s="433">
        <f t="shared" ca="1" si="264"/>
        <v>0</v>
      </c>
      <c r="K172" s="433">
        <f t="shared" ca="1" si="264"/>
        <v>0</v>
      </c>
      <c r="L172" s="433">
        <f t="shared" ca="1" si="264"/>
        <v>0</v>
      </c>
      <c r="M172" s="433">
        <f t="shared" ca="1" si="264"/>
        <v>0</v>
      </c>
      <c r="N172" s="433">
        <f t="shared" ca="1" si="264"/>
        <v>0</v>
      </c>
      <c r="O172" s="433">
        <f t="shared" ca="1" si="264"/>
        <v>0</v>
      </c>
      <c r="P172" s="433">
        <f t="shared" ca="1" si="264"/>
        <v>0</v>
      </c>
      <c r="Q172" s="433">
        <f t="shared" ca="1" si="264"/>
        <v>0</v>
      </c>
      <c r="R172" s="433">
        <f t="shared" ca="1" si="264"/>
        <v>0</v>
      </c>
      <c r="S172" s="433">
        <f t="shared" ca="1" si="264"/>
        <v>0</v>
      </c>
      <c r="T172" s="433">
        <f t="shared" ca="1" si="264"/>
        <v>0</v>
      </c>
      <c r="U172" s="433">
        <f t="shared" ca="1" si="264"/>
        <v>0</v>
      </c>
      <c r="V172" s="433">
        <f t="shared" ca="1" si="264"/>
        <v>0</v>
      </c>
      <c r="W172" s="433">
        <f t="shared" ca="1" si="264"/>
        <v>0</v>
      </c>
      <c r="X172" s="433">
        <f t="shared" ca="1" si="264"/>
        <v>0</v>
      </c>
      <c r="Y172" s="433">
        <f t="shared" ca="1" si="264"/>
        <v>0</v>
      </c>
      <c r="Z172" s="433">
        <f t="shared" ca="1" si="264"/>
        <v>0</v>
      </c>
      <c r="AA172" s="433">
        <f t="shared" ca="1" si="264"/>
        <v>0</v>
      </c>
      <c r="AB172" s="433">
        <f t="shared" ca="1" si="264"/>
        <v>0</v>
      </c>
      <c r="AC172" s="433">
        <f t="shared" ca="1" si="264"/>
        <v>0</v>
      </c>
      <c r="AD172" s="433">
        <f t="shared" ca="1" si="264"/>
        <v>0</v>
      </c>
      <c r="AE172" s="433">
        <f t="shared" ca="1" si="264"/>
        <v>0</v>
      </c>
      <c r="AF172" s="433">
        <f t="shared" ca="1" si="264"/>
        <v>0</v>
      </c>
      <c r="AG172" s="433">
        <f t="shared" ca="1" si="264"/>
        <v>0</v>
      </c>
      <c r="AH172" s="433">
        <f t="shared" ca="1" si="264"/>
        <v>0</v>
      </c>
      <c r="AI172" s="433">
        <f t="shared" ca="1" si="264"/>
        <v>0</v>
      </c>
      <c r="AJ172" s="433">
        <f t="shared" ca="1" si="264"/>
        <v>0</v>
      </c>
      <c r="AK172" s="433">
        <f t="shared" ca="1" si="264"/>
        <v>0</v>
      </c>
      <c r="AL172" s="433">
        <f t="shared" ca="1" si="264"/>
        <v>0</v>
      </c>
      <c r="AM172" s="433">
        <f t="shared" ca="1" si="264"/>
        <v>0</v>
      </c>
      <c r="AN172" s="433">
        <f t="shared" ca="1" si="264"/>
        <v>0</v>
      </c>
      <c r="AO172" s="433">
        <f t="shared" ca="1" si="264"/>
        <v>0</v>
      </c>
      <c r="AP172" s="433">
        <f t="shared" ca="1" si="264"/>
        <v>0</v>
      </c>
      <c r="AQ172" s="433">
        <f t="shared" ca="1" si="264"/>
        <v>0</v>
      </c>
      <c r="AR172" s="433">
        <f t="shared" ca="1" si="264"/>
        <v>0</v>
      </c>
      <c r="AS172" s="433">
        <f t="shared" ca="1" si="264"/>
        <v>0</v>
      </c>
      <c r="AT172" s="433">
        <f t="shared" ca="1" si="264"/>
        <v>0</v>
      </c>
      <c r="AU172" s="433">
        <f t="shared" ca="1" si="264"/>
        <v>0</v>
      </c>
      <c r="AV172" s="433">
        <f t="shared" ca="1" si="264"/>
        <v>0</v>
      </c>
      <c r="AW172" s="433">
        <f t="shared" ca="1" si="264"/>
        <v>0</v>
      </c>
      <c r="AX172" s="433">
        <f t="shared" ca="1" si="264"/>
        <v>0</v>
      </c>
      <c r="AY172" s="433">
        <f t="shared" ca="1" si="264"/>
        <v>0</v>
      </c>
      <c r="AZ172" s="433">
        <f t="shared" ca="1" si="264"/>
        <v>0</v>
      </c>
      <c r="BA172" s="433">
        <f t="shared" ca="1" si="264"/>
        <v>0</v>
      </c>
      <c r="BB172" s="433">
        <f t="shared" ca="1" si="264"/>
        <v>0</v>
      </c>
      <c r="BC172" s="433">
        <f t="shared" ca="1" si="264"/>
        <v>0</v>
      </c>
      <c r="BD172" s="433">
        <f t="shared" ca="1" si="264"/>
        <v>0</v>
      </c>
      <c r="BE172" s="433">
        <f t="shared" ca="1" si="264"/>
        <v>0</v>
      </c>
      <c r="BF172" s="433">
        <f t="shared" ca="1" si="264"/>
        <v>0</v>
      </c>
      <c r="BG172" s="433">
        <f t="shared" ca="1" si="264"/>
        <v>0</v>
      </c>
      <c r="BH172" s="433">
        <f t="shared" ca="1" si="264"/>
        <v>0</v>
      </c>
      <c r="BI172" s="433">
        <f t="shared" ca="1" si="264"/>
        <v>0</v>
      </c>
      <c r="BJ172" s="433">
        <f t="shared" ca="1" si="264"/>
        <v>0</v>
      </c>
      <c r="BK172" s="433">
        <f t="shared" ca="1" si="264"/>
        <v>0</v>
      </c>
      <c r="BL172" s="433">
        <f t="shared" ca="1" si="264"/>
        <v>0</v>
      </c>
      <c r="BM172" s="433">
        <f t="shared" ca="1" si="264"/>
        <v>0</v>
      </c>
      <c r="BN172" s="433">
        <f t="shared" ca="1" si="264"/>
        <v>0</v>
      </c>
      <c r="BO172" s="433">
        <f t="shared" ca="1" si="264"/>
        <v>0</v>
      </c>
      <c r="BP172" s="433">
        <f t="shared" ca="1" si="264"/>
        <v>0</v>
      </c>
      <c r="BQ172" s="433">
        <f t="shared" ref="BQ172:EB172" ca="1" si="265">BQ169+BQ171</f>
        <v>0</v>
      </c>
      <c r="BR172" s="433">
        <f t="shared" ca="1" si="265"/>
        <v>0</v>
      </c>
      <c r="BS172" s="433">
        <f t="shared" ca="1" si="265"/>
        <v>0</v>
      </c>
      <c r="BT172" s="433">
        <f t="shared" ca="1" si="265"/>
        <v>0</v>
      </c>
      <c r="BU172" s="433">
        <f t="shared" ca="1" si="265"/>
        <v>0</v>
      </c>
      <c r="BV172" s="433">
        <f t="shared" ca="1" si="265"/>
        <v>0</v>
      </c>
      <c r="BW172" s="433">
        <f t="shared" ca="1" si="265"/>
        <v>0</v>
      </c>
      <c r="BX172" s="433">
        <f t="shared" ca="1" si="265"/>
        <v>0</v>
      </c>
      <c r="BY172" s="433">
        <f t="shared" ca="1" si="265"/>
        <v>0</v>
      </c>
      <c r="BZ172" s="433">
        <f t="shared" ca="1" si="265"/>
        <v>0</v>
      </c>
      <c r="CA172" s="433">
        <f t="shared" ca="1" si="265"/>
        <v>0</v>
      </c>
      <c r="CB172" s="433">
        <f t="shared" ca="1" si="265"/>
        <v>0</v>
      </c>
      <c r="CC172" s="433">
        <f t="shared" ca="1" si="265"/>
        <v>0</v>
      </c>
      <c r="CD172" s="433">
        <f t="shared" ca="1" si="265"/>
        <v>0</v>
      </c>
      <c r="CE172" s="433">
        <f t="shared" ca="1" si="265"/>
        <v>0</v>
      </c>
      <c r="CF172" s="433">
        <f t="shared" ca="1" si="265"/>
        <v>0</v>
      </c>
      <c r="CG172" s="433">
        <f t="shared" ca="1" si="265"/>
        <v>0</v>
      </c>
      <c r="CH172" s="433">
        <f t="shared" ca="1" si="265"/>
        <v>0</v>
      </c>
      <c r="CI172" s="433">
        <f t="shared" ca="1" si="265"/>
        <v>0</v>
      </c>
      <c r="CJ172" s="433">
        <f t="shared" ca="1" si="265"/>
        <v>0</v>
      </c>
      <c r="CK172" s="433">
        <f t="shared" ca="1" si="265"/>
        <v>-2.9103830456733704E-11</v>
      </c>
      <c r="CL172" s="433">
        <f t="shared" ca="1" si="265"/>
        <v>0</v>
      </c>
      <c r="CM172" s="433">
        <f t="shared" ca="1" si="265"/>
        <v>0</v>
      </c>
      <c r="CN172" s="433">
        <f t="shared" ca="1" si="265"/>
        <v>0</v>
      </c>
      <c r="CO172" s="433">
        <f t="shared" ca="1" si="265"/>
        <v>0</v>
      </c>
      <c r="CP172" s="433">
        <f t="shared" ca="1" si="265"/>
        <v>0</v>
      </c>
      <c r="CQ172" s="433">
        <f t="shared" ca="1" si="265"/>
        <v>0</v>
      </c>
      <c r="CR172" s="433">
        <f t="shared" ca="1" si="265"/>
        <v>0</v>
      </c>
      <c r="CS172" s="433">
        <f t="shared" ca="1" si="265"/>
        <v>0</v>
      </c>
      <c r="CT172" s="433">
        <f t="shared" ca="1" si="265"/>
        <v>0</v>
      </c>
      <c r="CU172" s="433">
        <f t="shared" ca="1" si="265"/>
        <v>0</v>
      </c>
      <c r="CV172" s="433">
        <f t="shared" ca="1" si="265"/>
        <v>0</v>
      </c>
      <c r="CW172" s="433">
        <f t="shared" ca="1" si="265"/>
        <v>0</v>
      </c>
      <c r="CX172" s="433">
        <f t="shared" ca="1" si="265"/>
        <v>-2.9103830456733704E-11</v>
      </c>
      <c r="CY172" s="433">
        <f t="shared" ca="1" si="265"/>
        <v>-2.9103830456733704E-11</v>
      </c>
      <c r="CZ172" s="433">
        <f t="shared" ca="1" si="265"/>
        <v>0</v>
      </c>
      <c r="DA172" s="433">
        <f t="shared" ca="1" si="265"/>
        <v>0</v>
      </c>
      <c r="DB172" s="433">
        <f t="shared" ca="1" si="265"/>
        <v>0</v>
      </c>
      <c r="DC172" s="433">
        <f t="shared" ca="1" si="265"/>
        <v>0</v>
      </c>
      <c r="DD172" s="433">
        <f t="shared" ca="1" si="265"/>
        <v>0</v>
      </c>
      <c r="DE172" s="433">
        <f t="shared" ca="1" si="265"/>
        <v>0</v>
      </c>
      <c r="DF172" s="433">
        <f t="shared" ca="1" si="265"/>
        <v>0</v>
      </c>
      <c r="DG172" s="433">
        <f t="shared" ca="1" si="265"/>
        <v>0</v>
      </c>
      <c r="DH172" s="433">
        <f t="shared" ca="1" si="265"/>
        <v>0</v>
      </c>
      <c r="DI172" s="433">
        <f t="shared" ca="1" si="265"/>
        <v>0</v>
      </c>
      <c r="DJ172" s="433">
        <f t="shared" ca="1" si="265"/>
        <v>0</v>
      </c>
      <c r="DK172" s="433">
        <f t="shared" ca="1" si="265"/>
        <v>0</v>
      </c>
      <c r="DL172" s="433">
        <f t="shared" ca="1" si="265"/>
        <v>0</v>
      </c>
      <c r="DM172" s="433">
        <f t="shared" ca="1" si="265"/>
        <v>0</v>
      </c>
      <c r="DN172" s="433">
        <f t="shared" ca="1" si="265"/>
        <v>0</v>
      </c>
      <c r="DO172" s="433">
        <f t="shared" ca="1" si="265"/>
        <v>0</v>
      </c>
      <c r="DP172" s="433">
        <f t="shared" ca="1" si="265"/>
        <v>0</v>
      </c>
      <c r="DQ172" s="433">
        <f t="shared" ca="1" si="265"/>
        <v>0</v>
      </c>
      <c r="DR172" s="433">
        <f t="shared" ca="1" si="265"/>
        <v>0</v>
      </c>
      <c r="DS172" s="433">
        <f t="shared" ca="1" si="265"/>
        <v>0</v>
      </c>
      <c r="DT172" s="433">
        <f t="shared" ca="1" si="265"/>
        <v>0</v>
      </c>
      <c r="DU172" s="433">
        <f t="shared" ca="1" si="265"/>
        <v>0</v>
      </c>
      <c r="DV172" s="433">
        <f t="shared" ca="1" si="265"/>
        <v>0</v>
      </c>
      <c r="DW172" s="433">
        <f t="shared" ca="1" si="265"/>
        <v>0</v>
      </c>
      <c r="DX172" s="433">
        <f t="shared" ca="1" si="265"/>
        <v>0</v>
      </c>
      <c r="DY172" s="433">
        <f t="shared" ca="1" si="265"/>
        <v>0</v>
      </c>
      <c r="DZ172" s="433">
        <f t="shared" ca="1" si="265"/>
        <v>0</v>
      </c>
      <c r="EA172" s="433">
        <f t="shared" ca="1" si="265"/>
        <v>0</v>
      </c>
      <c r="EB172" s="433">
        <f t="shared" ca="1" si="265"/>
        <v>0</v>
      </c>
      <c r="EC172" s="433">
        <f ca="1">EC169+EC171</f>
        <v>0</v>
      </c>
      <c r="ED172" s="433">
        <f ca="1">ED169+ED171</f>
        <v>0</v>
      </c>
      <c r="EE172" s="433">
        <f ca="1">EE169+EE171</f>
        <v>0</v>
      </c>
      <c r="EF172" s="433">
        <f ca="1">EF169+EF171</f>
        <v>0</v>
      </c>
      <c r="EG172" s="433">
        <f ca="1">EG169+EG171</f>
        <v>0</v>
      </c>
      <c r="EH172" s="644"/>
      <c r="EI172" s="280"/>
    </row>
    <row r="173" spans="1:139" s="711" customFormat="1" ht="6.75" customHeight="1" thickTop="1" x14ac:dyDescent="0.3">
      <c r="A173" s="522"/>
      <c r="B173" s="522"/>
      <c r="C173" s="522"/>
      <c r="D173" s="732"/>
      <c r="E173" s="522"/>
      <c r="F173" s="522"/>
      <c r="EH173" s="644"/>
      <c r="EI173" s="722"/>
    </row>
    <row r="174" spans="1:139" s="711" customFormat="1" x14ac:dyDescent="0.3">
      <c r="A174" s="700" t="s">
        <v>2496</v>
      </c>
      <c r="B174" s="522"/>
      <c r="C174" s="522"/>
      <c r="D174" s="732"/>
      <c r="E174" s="522"/>
      <c r="F174" s="522"/>
      <c r="EH174" s="644"/>
      <c r="EI174" s="280"/>
    </row>
    <row r="175" spans="1:139" s="711" customFormat="1" x14ac:dyDescent="0.3">
      <c r="A175" s="522" t="str">
        <f>'General Inputs'!$J$29</f>
        <v>LP</v>
      </c>
      <c r="B175" s="522"/>
      <c r="C175" s="522"/>
      <c r="D175" s="732"/>
      <c r="E175" s="408">
        <f ca="1">'General Inputs'!$J$8/SUM('General Inputs'!$J$8:$L$8)*E$172</f>
        <v>0</v>
      </c>
      <c r="F175" s="408">
        <f ca="1">'General Inputs'!$J$8/SUM('General Inputs'!$J$8:$L$8)*F$172</f>
        <v>0</v>
      </c>
      <c r="G175" s="408">
        <f ca="1">'General Inputs'!$J$8/SUM('General Inputs'!$J$8:$L$8)*G$172</f>
        <v>0</v>
      </c>
      <c r="H175" s="408">
        <f ca="1">'General Inputs'!$J$8/SUM('General Inputs'!$J$8:$L$8)*H$172</f>
        <v>0</v>
      </c>
      <c r="I175" s="408">
        <f ca="1">'General Inputs'!$J$8/SUM('General Inputs'!$J$8:$L$8)*I$172</f>
        <v>0</v>
      </c>
      <c r="J175" s="408">
        <f ca="1">'General Inputs'!$J$8/SUM('General Inputs'!$J$8:$L$8)*J$172</f>
        <v>0</v>
      </c>
      <c r="K175" s="408">
        <f ca="1">'General Inputs'!$J$8/SUM('General Inputs'!$J$8:$L$8)*K$172</f>
        <v>0</v>
      </c>
      <c r="L175" s="408">
        <f ca="1">'General Inputs'!$J$8/SUM('General Inputs'!$J$8:$L$8)*L$172</f>
        <v>0</v>
      </c>
      <c r="M175" s="408">
        <f ca="1">'General Inputs'!$J$8/SUM('General Inputs'!$J$8:$L$8)*M$172</f>
        <v>0</v>
      </c>
      <c r="N175" s="408">
        <f ca="1">'General Inputs'!$J$8/SUM('General Inputs'!$J$8:$L$8)*N$172</f>
        <v>0</v>
      </c>
      <c r="O175" s="408">
        <f ca="1">'General Inputs'!$J$8/SUM('General Inputs'!$J$8:$L$8)*O$172</f>
        <v>0</v>
      </c>
      <c r="P175" s="408">
        <f ca="1">'General Inputs'!$J$8/SUM('General Inputs'!$J$8:$L$8)*P$172</f>
        <v>0</v>
      </c>
      <c r="Q175" s="408">
        <f ca="1">'General Inputs'!$J$8/SUM('General Inputs'!$J$8:$L$8)*Q$172</f>
        <v>0</v>
      </c>
      <c r="R175" s="408">
        <f ca="1">'General Inputs'!$J$8/SUM('General Inputs'!$J$8:$L$8)*R$172</f>
        <v>0</v>
      </c>
      <c r="S175" s="408">
        <f ca="1">'General Inputs'!$J$8/SUM('General Inputs'!$J$8:$L$8)*S$172</f>
        <v>0</v>
      </c>
      <c r="T175" s="408">
        <f ca="1">'General Inputs'!$J$8/SUM('General Inputs'!$J$8:$L$8)*T$172</f>
        <v>0</v>
      </c>
      <c r="U175" s="408">
        <f ca="1">'General Inputs'!$J$8/SUM('General Inputs'!$J$8:$L$8)*U$172</f>
        <v>0</v>
      </c>
      <c r="V175" s="408">
        <f ca="1">'General Inputs'!$J$8/SUM('General Inputs'!$J$8:$L$8)*V$172</f>
        <v>0</v>
      </c>
      <c r="W175" s="408">
        <f ca="1">'General Inputs'!$J$8/SUM('General Inputs'!$J$8:$L$8)*W$172</f>
        <v>0</v>
      </c>
      <c r="X175" s="408">
        <f ca="1">'General Inputs'!$J$8/SUM('General Inputs'!$J$8:$L$8)*X$172</f>
        <v>0</v>
      </c>
      <c r="Y175" s="408">
        <f ca="1">'General Inputs'!$J$8/SUM('General Inputs'!$J$8:$L$8)*Y$172</f>
        <v>0</v>
      </c>
      <c r="Z175" s="408">
        <f ca="1">'General Inputs'!$J$8/SUM('General Inputs'!$J$8:$L$8)*Z$172</f>
        <v>0</v>
      </c>
      <c r="AA175" s="408">
        <f ca="1">'General Inputs'!$J$8/SUM('General Inputs'!$J$8:$L$8)*AA$172</f>
        <v>0</v>
      </c>
      <c r="AB175" s="408">
        <f ca="1">'General Inputs'!$J$8/SUM('General Inputs'!$J$8:$L$8)*AB$172</f>
        <v>0</v>
      </c>
      <c r="AC175" s="408">
        <f ca="1">'General Inputs'!$J$8/SUM('General Inputs'!$J$8:$L$8)*AC$172</f>
        <v>0</v>
      </c>
      <c r="AD175" s="408">
        <f ca="1">'General Inputs'!$J$8/SUM('General Inputs'!$J$8:$L$8)*AD$172</f>
        <v>0</v>
      </c>
      <c r="AE175" s="408">
        <f ca="1">'General Inputs'!$J$8/SUM('General Inputs'!$J$8:$L$8)*AE$172</f>
        <v>0</v>
      </c>
      <c r="AF175" s="408">
        <f ca="1">'General Inputs'!$J$8/SUM('General Inputs'!$J$8:$L$8)*AF$172</f>
        <v>0</v>
      </c>
      <c r="AG175" s="408">
        <f ca="1">'General Inputs'!$J$8/SUM('General Inputs'!$J$8:$L$8)*AG$172</f>
        <v>0</v>
      </c>
      <c r="AH175" s="408">
        <f ca="1">'General Inputs'!$J$8/SUM('General Inputs'!$J$8:$L$8)*AH$172</f>
        <v>0</v>
      </c>
      <c r="AI175" s="408">
        <f ca="1">'General Inputs'!$J$8/SUM('General Inputs'!$J$8:$L$8)*AI$172</f>
        <v>0</v>
      </c>
      <c r="AJ175" s="408">
        <f ca="1">'General Inputs'!$J$8/SUM('General Inputs'!$J$8:$L$8)*AJ$172</f>
        <v>0</v>
      </c>
      <c r="AK175" s="408">
        <f ca="1">'General Inputs'!$J$8/SUM('General Inputs'!$J$8:$L$8)*AK$172</f>
        <v>0</v>
      </c>
      <c r="AL175" s="408">
        <f ca="1">'General Inputs'!$J$8/SUM('General Inputs'!$J$8:$L$8)*AL$172</f>
        <v>0</v>
      </c>
      <c r="AM175" s="408">
        <f ca="1">'General Inputs'!$J$8/SUM('General Inputs'!$J$8:$L$8)*AM$172</f>
        <v>0</v>
      </c>
      <c r="AN175" s="408">
        <f ca="1">'General Inputs'!$J$8/SUM('General Inputs'!$J$8:$L$8)*AN$172</f>
        <v>0</v>
      </c>
      <c r="AO175" s="408">
        <f ca="1">'General Inputs'!$J$8/SUM('General Inputs'!$J$8:$L$8)*AO$172</f>
        <v>0</v>
      </c>
      <c r="AP175" s="408">
        <f ca="1">'General Inputs'!$J$8/SUM('General Inputs'!$J$8:$L$8)*AP$172</f>
        <v>0</v>
      </c>
      <c r="AQ175" s="408">
        <f ca="1">'General Inputs'!$J$8/SUM('General Inputs'!$J$8:$L$8)*AQ$172</f>
        <v>0</v>
      </c>
      <c r="AR175" s="408">
        <f ca="1">'General Inputs'!$J$8/SUM('General Inputs'!$J$8:$L$8)*AR$172</f>
        <v>0</v>
      </c>
      <c r="AS175" s="408">
        <f ca="1">'General Inputs'!$J$8/SUM('General Inputs'!$J$8:$L$8)*AS$172</f>
        <v>0</v>
      </c>
      <c r="AT175" s="408">
        <f ca="1">'General Inputs'!$J$8/SUM('General Inputs'!$J$8:$L$8)*AT$172</f>
        <v>0</v>
      </c>
      <c r="AU175" s="408">
        <f ca="1">'General Inputs'!$J$8/SUM('General Inputs'!$J$8:$L$8)*AU$172</f>
        <v>0</v>
      </c>
      <c r="AV175" s="408">
        <f ca="1">'General Inputs'!$J$8/SUM('General Inputs'!$J$8:$L$8)*AV$172</f>
        <v>0</v>
      </c>
      <c r="AW175" s="408">
        <f ca="1">'General Inputs'!$J$8/SUM('General Inputs'!$J$8:$L$8)*AW$172</f>
        <v>0</v>
      </c>
      <c r="AX175" s="408">
        <f ca="1">'General Inputs'!$J$8/SUM('General Inputs'!$J$8:$L$8)*AX$172</f>
        <v>0</v>
      </c>
      <c r="AY175" s="408">
        <f ca="1">'General Inputs'!$J$8/SUM('General Inputs'!$J$8:$L$8)*AY$172</f>
        <v>0</v>
      </c>
      <c r="AZ175" s="408">
        <f ca="1">'General Inputs'!$J$8/SUM('General Inputs'!$J$8:$L$8)*AZ$172</f>
        <v>0</v>
      </c>
      <c r="BA175" s="408">
        <f ca="1">'General Inputs'!$J$8/SUM('General Inputs'!$J$8:$L$8)*BA$172</f>
        <v>0</v>
      </c>
      <c r="BB175" s="408">
        <f ca="1">'General Inputs'!$J$8/SUM('General Inputs'!$J$8:$L$8)*BB$172</f>
        <v>0</v>
      </c>
      <c r="BC175" s="408">
        <f ca="1">'General Inputs'!$J$8/SUM('General Inputs'!$J$8:$L$8)*BC$172</f>
        <v>0</v>
      </c>
      <c r="BD175" s="408">
        <f ca="1">'General Inputs'!$J$8/SUM('General Inputs'!$J$8:$L$8)*BD$172</f>
        <v>0</v>
      </c>
      <c r="BE175" s="408">
        <f ca="1">'General Inputs'!$J$8/SUM('General Inputs'!$J$8:$L$8)*BE$172</f>
        <v>0</v>
      </c>
      <c r="BF175" s="408">
        <f ca="1">'General Inputs'!$J$8/SUM('General Inputs'!$J$8:$L$8)*BF$172</f>
        <v>0</v>
      </c>
      <c r="BG175" s="408">
        <f ca="1">'General Inputs'!$J$8/SUM('General Inputs'!$J$8:$L$8)*BG$172</f>
        <v>0</v>
      </c>
      <c r="BH175" s="408">
        <f ca="1">'General Inputs'!$J$8/SUM('General Inputs'!$J$8:$L$8)*BH$172</f>
        <v>0</v>
      </c>
      <c r="BI175" s="408">
        <f ca="1">'General Inputs'!$J$8/SUM('General Inputs'!$J$8:$L$8)*BI$172</f>
        <v>0</v>
      </c>
      <c r="BJ175" s="408">
        <f ca="1">'General Inputs'!$J$8/SUM('General Inputs'!$J$8:$L$8)*BJ$172</f>
        <v>0</v>
      </c>
      <c r="BK175" s="408">
        <f ca="1">'General Inputs'!$J$8/SUM('General Inputs'!$J$8:$L$8)*BK$172</f>
        <v>0</v>
      </c>
      <c r="BL175" s="408">
        <f ca="1">'General Inputs'!$J$8/SUM('General Inputs'!$J$8:$L$8)*BL$172</f>
        <v>0</v>
      </c>
      <c r="BM175" s="408">
        <f ca="1">'General Inputs'!$J$8/SUM('General Inputs'!$J$8:$L$8)*BM$172</f>
        <v>0</v>
      </c>
      <c r="BN175" s="408">
        <f ca="1">'General Inputs'!$J$8/SUM('General Inputs'!$J$8:$L$8)*BN$172</f>
        <v>0</v>
      </c>
      <c r="BO175" s="408">
        <f ca="1">'General Inputs'!$J$8/SUM('General Inputs'!$J$8:$L$8)*BO$172</f>
        <v>0</v>
      </c>
      <c r="BP175" s="408">
        <f ca="1">'General Inputs'!$J$8/SUM('General Inputs'!$J$8:$L$8)*BP$172</f>
        <v>0</v>
      </c>
      <c r="BQ175" s="408">
        <f ca="1">'General Inputs'!$J$8/SUM('General Inputs'!$J$8:$L$8)*BQ$172</f>
        <v>0</v>
      </c>
      <c r="BR175" s="408">
        <f ca="1">'General Inputs'!$J$8/SUM('General Inputs'!$J$8:$L$8)*BR$172</f>
        <v>0</v>
      </c>
      <c r="BS175" s="408">
        <f ca="1">'General Inputs'!$J$8/SUM('General Inputs'!$J$8:$L$8)*BS$172</f>
        <v>0</v>
      </c>
      <c r="BT175" s="408">
        <f ca="1">'General Inputs'!$J$8/SUM('General Inputs'!$J$8:$L$8)*BT$172</f>
        <v>0</v>
      </c>
      <c r="BU175" s="408">
        <f ca="1">'General Inputs'!$J$8/SUM('General Inputs'!$J$8:$L$8)*BU$172</f>
        <v>0</v>
      </c>
      <c r="BV175" s="408">
        <f ca="1">'General Inputs'!$J$8/SUM('General Inputs'!$J$8:$L$8)*BV$172</f>
        <v>0</v>
      </c>
      <c r="BW175" s="408">
        <f ca="1">'General Inputs'!$J$8/SUM('General Inputs'!$J$8:$L$8)*BW$172</f>
        <v>0</v>
      </c>
      <c r="BX175" s="408">
        <f ca="1">'General Inputs'!$J$8/SUM('General Inputs'!$J$8:$L$8)*BX$172</f>
        <v>0</v>
      </c>
      <c r="BY175" s="408">
        <f ca="1">'General Inputs'!$J$8/SUM('General Inputs'!$J$8:$L$8)*BY$172</f>
        <v>0</v>
      </c>
      <c r="BZ175" s="408">
        <f ca="1">'General Inputs'!$J$8/SUM('General Inputs'!$J$8:$L$8)*BZ$172</f>
        <v>0</v>
      </c>
      <c r="CA175" s="408">
        <f ca="1">'General Inputs'!$J$8/SUM('General Inputs'!$J$8:$L$8)*CA$172</f>
        <v>0</v>
      </c>
      <c r="CB175" s="408">
        <f ca="1">'General Inputs'!$J$8/SUM('General Inputs'!$J$8:$L$8)*CB$172</f>
        <v>0</v>
      </c>
      <c r="CC175" s="408">
        <f ca="1">'General Inputs'!$J$8/SUM('General Inputs'!$J$8:$L$8)*CC$172</f>
        <v>0</v>
      </c>
      <c r="CD175" s="408">
        <f ca="1">'General Inputs'!$J$8/SUM('General Inputs'!$J$8:$L$8)*CD$172</f>
        <v>0</v>
      </c>
      <c r="CE175" s="408">
        <f ca="1">'General Inputs'!$J$8/SUM('General Inputs'!$J$8:$L$8)*CE$172</f>
        <v>0</v>
      </c>
      <c r="CF175" s="408">
        <f ca="1">'General Inputs'!$J$8/SUM('General Inputs'!$J$8:$L$8)*CF$172</f>
        <v>0</v>
      </c>
      <c r="CG175" s="408">
        <f ca="1">'General Inputs'!$J$8/SUM('General Inputs'!$J$8:$L$8)*CG$172</f>
        <v>0</v>
      </c>
      <c r="CH175" s="408">
        <f ca="1">'General Inputs'!$J$8/SUM('General Inputs'!$J$8:$L$8)*CH$172</f>
        <v>0</v>
      </c>
      <c r="CI175" s="408">
        <f ca="1">'General Inputs'!$J$8/SUM('General Inputs'!$J$8:$L$8)*CI$172</f>
        <v>0</v>
      </c>
      <c r="CJ175" s="408">
        <f ca="1">'General Inputs'!$J$8/SUM('General Inputs'!$J$8:$L$8)*CJ$172</f>
        <v>0</v>
      </c>
      <c r="CK175" s="408">
        <f ca="1">'General Inputs'!$J$8/SUM('General Inputs'!$J$8:$L$8)*CK$172</f>
        <v>-2.6193447411060334E-11</v>
      </c>
      <c r="CL175" s="408">
        <f ca="1">'General Inputs'!$J$8/SUM('General Inputs'!$J$8:$L$8)*CL$172</f>
        <v>0</v>
      </c>
      <c r="CM175" s="408">
        <f ca="1">'General Inputs'!$J$8/SUM('General Inputs'!$J$8:$L$8)*CM$172</f>
        <v>0</v>
      </c>
      <c r="CN175" s="408">
        <f ca="1">'General Inputs'!$J$8/SUM('General Inputs'!$J$8:$L$8)*CN$172</f>
        <v>0</v>
      </c>
      <c r="CO175" s="408">
        <f ca="1">'General Inputs'!$J$8/SUM('General Inputs'!$J$8:$L$8)*CO$172</f>
        <v>0</v>
      </c>
      <c r="CP175" s="408">
        <f ca="1">'General Inputs'!$J$8/SUM('General Inputs'!$J$8:$L$8)*CP$172</f>
        <v>0</v>
      </c>
      <c r="CQ175" s="408">
        <f ca="1">'General Inputs'!$J$8/SUM('General Inputs'!$J$8:$L$8)*CQ$172</f>
        <v>0</v>
      </c>
      <c r="CR175" s="408">
        <f ca="1">'General Inputs'!$J$8/SUM('General Inputs'!$J$8:$L$8)*CR$172</f>
        <v>0</v>
      </c>
      <c r="CS175" s="408">
        <f ca="1">'General Inputs'!$J$8/SUM('General Inputs'!$J$8:$L$8)*CS$172</f>
        <v>0</v>
      </c>
      <c r="CT175" s="408">
        <f ca="1">'General Inputs'!$J$8/SUM('General Inputs'!$J$8:$L$8)*CT$172</f>
        <v>0</v>
      </c>
      <c r="CU175" s="408">
        <f ca="1">'General Inputs'!$J$8/SUM('General Inputs'!$J$8:$L$8)*CU$172</f>
        <v>0</v>
      </c>
      <c r="CV175" s="408">
        <f ca="1">'General Inputs'!$J$8/SUM('General Inputs'!$J$8:$L$8)*CV$172</f>
        <v>0</v>
      </c>
      <c r="CW175" s="408">
        <f ca="1">'General Inputs'!$J$8/SUM('General Inputs'!$J$8:$L$8)*CW$172</f>
        <v>0</v>
      </c>
      <c r="CX175" s="408">
        <f ca="1">'General Inputs'!$J$8/SUM('General Inputs'!$J$8:$L$8)*CX$172</f>
        <v>-2.6193447411060334E-11</v>
      </c>
      <c r="CY175" s="408">
        <f ca="1">'General Inputs'!$J$8/SUM('General Inputs'!$J$8:$L$8)*CY$172</f>
        <v>-2.6193447411060334E-11</v>
      </c>
      <c r="CZ175" s="408">
        <f ca="1">'General Inputs'!$J$8/SUM('General Inputs'!$J$8:$L$8)*CZ$172</f>
        <v>0</v>
      </c>
      <c r="DA175" s="408">
        <f ca="1">'General Inputs'!$J$8/SUM('General Inputs'!$J$8:$L$8)*DA$172</f>
        <v>0</v>
      </c>
      <c r="DB175" s="408">
        <f ca="1">'General Inputs'!$J$8/SUM('General Inputs'!$J$8:$L$8)*DB$172</f>
        <v>0</v>
      </c>
      <c r="DC175" s="408">
        <f ca="1">'General Inputs'!$J$8/SUM('General Inputs'!$J$8:$L$8)*DC$172</f>
        <v>0</v>
      </c>
      <c r="DD175" s="408">
        <f ca="1">'General Inputs'!$J$8/SUM('General Inputs'!$J$8:$L$8)*DD$172</f>
        <v>0</v>
      </c>
      <c r="DE175" s="408">
        <f ca="1">'General Inputs'!$J$8/SUM('General Inputs'!$J$8:$L$8)*DE$172</f>
        <v>0</v>
      </c>
      <c r="DF175" s="408">
        <f ca="1">'General Inputs'!$J$8/SUM('General Inputs'!$J$8:$L$8)*DF$172</f>
        <v>0</v>
      </c>
      <c r="DG175" s="408">
        <f ca="1">'General Inputs'!$J$8/SUM('General Inputs'!$J$8:$L$8)*DG$172</f>
        <v>0</v>
      </c>
      <c r="DH175" s="408">
        <f ca="1">'General Inputs'!$J$8/SUM('General Inputs'!$J$8:$L$8)*DH$172</f>
        <v>0</v>
      </c>
      <c r="DI175" s="408">
        <f ca="1">'General Inputs'!$J$8/SUM('General Inputs'!$J$8:$L$8)*DI$172</f>
        <v>0</v>
      </c>
      <c r="DJ175" s="408">
        <f ca="1">'General Inputs'!$J$8/SUM('General Inputs'!$J$8:$L$8)*DJ$172</f>
        <v>0</v>
      </c>
      <c r="DK175" s="408">
        <f ca="1">'General Inputs'!$J$8/SUM('General Inputs'!$J$8:$L$8)*DK$172</f>
        <v>0</v>
      </c>
      <c r="DL175" s="408">
        <f ca="1">'General Inputs'!$J$8/SUM('General Inputs'!$J$8:$L$8)*DL$172</f>
        <v>0</v>
      </c>
      <c r="DM175" s="408">
        <f ca="1">'General Inputs'!$J$8/SUM('General Inputs'!$J$8:$L$8)*DM$172</f>
        <v>0</v>
      </c>
      <c r="DN175" s="408">
        <f ca="1">'General Inputs'!$J$8/SUM('General Inputs'!$J$8:$L$8)*DN$172</f>
        <v>0</v>
      </c>
      <c r="DO175" s="408">
        <f ca="1">'General Inputs'!$J$8/SUM('General Inputs'!$J$8:$L$8)*DO$172</f>
        <v>0</v>
      </c>
      <c r="DP175" s="408">
        <f ca="1">'General Inputs'!$J$8/SUM('General Inputs'!$J$8:$L$8)*DP$172</f>
        <v>0</v>
      </c>
      <c r="DQ175" s="408">
        <f ca="1">'General Inputs'!$J$8/SUM('General Inputs'!$J$8:$L$8)*DQ$172</f>
        <v>0</v>
      </c>
      <c r="DR175" s="408">
        <f ca="1">'General Inputs'!$J$8/SUM('General Inputs'!$J$8:$L$8)*DR$172</f>
        <v>0</v>
      </c>
      <c r="DS175" s="408">
        <f ca="1">'General Inputs'!$J$8/SUM('General Inputs'!$J$8:$L$8)*DS$172</f>
        <v>0</v>
      </c>
      <c r="DT175" s="408">
        <f ca="1">'General Inputs'!$J$8/SUM('General Inputs'!$J$8:$L$8)*DT$172</f>
        <v>0</v>
      </c>
      <c r="DU175" s="408">
        <f ca="1">'General Inputs'!$J$8/SUM('General Inputs'!$J$8:$L$8)*DU$172</f>
        <v>0</v>
      </c>
      <c r="DV175" s="408">
        <f ca="1">'General Inputs'!$J$8/SUM('General Inputs'!$J$8:$L$8)*DV$172</f>
        <v>0</v>
      </c>
      <c r="DW175" s="408">
        <f ca="1">'General Inputs'!$J$8/SUM('General Inputs'!$J$8:$L$8)*DW$172</f>
        <v>0</v>
      </c>
      <c r="DX175" s="408">
        <f ca="1">'General Inputs'!$J$8/SUM('General Inputs'!$J$8:$L$8)*DX$172</f>
        <v>0</v>
      </c>
      <c r="DY175" s="408">
        <f ca="1">'General Inputs'!$J$8/SUM('General Inputs'!$J$8:$L$8)*DY$172</f>
        <v>0</v>
      </c>
      <c r="DZ175" s="408">
        <f ca="1">'General Inputs'!$J$8/SUM('General Inputs'!$J$8:$L$8)*DZ$172</f>
        <v>0</v>
      </c>
      <c r="EA175" s="408">
        <f ca="1">'General Inputs'!$J$8/SUM('General Inputs'!$J$8:$L$8)*EA$172</f>
        <v>0</v>
      </c>
      <c r="EB175" s="408">
        <f ca="1">'General Inputs'!$J$8/SUM('General Inputs'!$J$8:$L$8)*EB$172</f>
        <v>0</v>
      </c>
      <c r="EC175" s="408">
        <f ca="1">'General Inputs'!$J$8/SUM('General Inputs'!$J$8:$L$8)*EC$172</f>
        <v>0</v>
      </c>
      <c r="ED175" s="408">
        <f ca="1">'General Inputs'!$J$8/SUM('General Inputs'!$J$8:$L$8)*ED$172</f>
        <v>0</v>
      </c>
      <c r="EE175" s="408">
        <f ca="1">'General Inputs'!$J$8/SUM('General Inputs'!$J$8:$L$8)*EE$172</f>
        <v>0</v>
      </c>
      <c r="EF175" s="408">
        <f ca="1">'General Inputs'!$J$8/SUM('General Inputs'!$J$8:$L$8)*EF$172</f>
        <v>0</v>
      </c>
      <c r="EG175" s="408">
        <f ca="1">'General Inputs'!$J$8/SUM('General Inputs'!$J$8:$L$8)*EG$172</f>
        <v>0</v>
      </c>
      <c r="EH175" s="644"/>
      <c r="EI175" s="722"/>
    </row>
    <row r="176" spans="1:139" s="711" customFormat="1" x14ac:dyDescent="0.3">
      <c r="A176" s="522" t="str">
        <f>'General Inputs'!$K$29</f>
        <v>Quarterra</v>
      </c>
      <c r="B176" s="522"/>
      <c r="C176" s="522"/>
      <c r="D176" s="732"/>
      <c r="E176" s="408">
        <f ca="1">'General Inputs'!$K$8/SUM('General Inputs'!$J$8:$L$8)*E$172</f>
        <v>0</v>
      </c>
      <c r="F176" s="408">
        <f ca="1">'General Inputs'!$K$8/SUM('General Inputs'!$J$8:$L$8)*F$172</f>
        <v>0</v>
      </c>
      <c r="G176" s="408">
        <f ca="1">'General Inputs'!$K$8/SUM('General Inputs'!$J$8:$L$8)*G$172</f>
        <v>0</v>
      </c>
      <c r="H176" s="408">
        <f ca="1">'General Inputs'!$K$8/SUM('General Inputs'!$J$8:$L$8)*H$172</f>
        <v>0</v>
      </c>
      <c r="I176" s="408">
        <f ca="1">'General Inputs'!$K$8/SUM('General Inputs'!$J$8:$L$8)*I$172</f>
        <v>0</v>
      </c>
      <c r="J176" s="408">
        <f ca="1">'General Inputs'!$K$8/SUM('General Inputs'!$J$8:$L$8)*J$172</f>
        <v>0</v>
      </c>
      <c r="K176" s="408">
        <f ca="1">'General Inputs'!$K$8/SUM('General Inputs'!$J$8:$L$8)*K$172</f>
        <v>0</v>
      </c>
      <c r="L176" s="408">
        <f ca="1">'General Inputs'!$K$8/SUM('General Inputs'!$J$8:$L$8)*L$172</f>
        <v>0</v>
      </c>
      <c r="M176" s="408">
        <f ca="1">'General Inputs'!$K$8/SUM('General Inputs'!$J$8:$L$8)*M$172</f>
        <v>0</v>
      </c>
      <c r="N176" s="408">
        <f ca="1">'General Inputs'!$K$8/SUM('General Inputs'!$J$8:$L$8)*N$172</f>
        <v>0</v>
      </c>
      <c r="O176" s="408">
        <f ca="1">'General Inputs'!$K$8/SUM('General Inputs'!$J$8:$L$8)*O$172</f>
        <v>0</v>
      </c>
      <c r="P176" s="408">
        <f ca="1">'General Inputs'!$K$8/SUM('General Inputs'!$J$8:$L$8)*P$172</f>
        <v>0</v>
      </c>
      <c r="Q176" s="408">
        <f ca="1">'General Inputs'!$K$8/SUM('General Inputs'!$J$8:$L$8)*Q$172</f>
        <v>0</v>
      </c>
      <c r="R176" s="408">
        <f ca="1">'General Inputs'!$K$8/SUM('General Inputs'!$J$8:$L$8)*R$172</f>
        <v>0</v>
      </c>
      <c r="S176" s="408">
        <f ca="1">'General Inputs'!$K$8/SUM('General Inputs'!$J$8:$L$8)*S$172</f>
        <v>0</v>
      </c>
      <c r="T176" s="408">
        <f ca="1">'General Inputs'!$K$8/SUM('General Inputs'!$J$8:$L$8)*T$172</f>
        <v>0</v>
      </c>
      <c r="U176" s="408">
        <f ca="1">'General Inputs'!$K$8/SUM('General Inputs'!$J$8:$L$8)*U$172</f>
        <v>0</v>
      </c>
      <c r="V176" s="408">
        <f ca="1">'General Inputs'!$K$8/SUM('General Inputs'!$J$8:$L$8)*V$172</f>
        <v>0</v>
      </c>
      <c r="W176" s="408">
        <f ca="1">'General Inputs'!$K$8/SUM('General Inputs'!$J$8:$L$8)*W$172</f>
        <v>0</v>
      </c>
      <c r="X176" s="408">
        <f ca="1">'General Inputs'!$K$8/SUM('General Inputs'!$J$8:$L$8)*X$172</f>
        <v>0</v>
      </c>
      <c r="Y176" s="408">
        <f ca="1">'General Inputs'!$K$8/SUM('General Inputs'!$J$8:$L$8)*Y$172</f>
        <v>0</v>
      </c>
      <c r="Z176" s="408">
        <f ca="1">'General Inputs'!$K$8/SUM('General Inputs'!$J$8:$L$8)*Z$172</f>
        <v>0</v>
      </c>
      <c r="AA176" s="408">
        <f ca="1">'General Inputs'!$K$8/SUM('General Inputs'!$J$8:$L$8)*AA$172</f>
        <v>0</v>
      </c>
      <c r="AB176" s="408">
        <f ca="1">'General Inputs'!$K$8/SUM('General Inputs'!$J$8:$L$8)*AB$172</f>
        <v>0</v>
      </c>
      <c r="AC176" s="408">
        <f ca="1">'General Inputs'!$K$8/SUM('General Inputs'!$J$8:$L$8)*AC$172</f>
        <v>0</v>
      </c>
      <c r="AD176" s="408">
        <f ca="1">'General Inputs'!$K$8/SUM('General Inputs'!$J$8:$L$8)*AD$172</f>
        <v>0</v>
      </c>
      <c r="AE176" s="408">
        <f ca="1">'General Inputs'!$K$8/SUM('General Inputs'!$J$8:$L$8)*AE$172</f>
        <v>0</v>
      </c>
      <c r="AF176" s="408">
        <f ca="1">'General Inputs'!$K$8/SUM('General Inputs'!$J$8:$L$8)*AF$172</f>
        <v>0</v>
      </c>
      <c r="AG176" s="408">
        <f ca="1">'General Inputs'!$K$8/SUM('General Inputs'!$J$8:$L$8)*AG$172</f>
        <v>0</v>
      </c>
      <c r="AH176" s="408">
        <f ca="1">'General Inputs'!$K$8/SUM('General Inputs'!$J$8:$L$8)*AH$172</f>
        <v>0</v>
      </c>
      <c r="AI176" s="408">
        <f ca="1">'General Inputs'!$K$8/SUM('General Inputs'!$J$8:$L$8)*AI$172</f>
        <v>0</v>
      </c>
      <c r="AJ176" s="408">
        <f ca="1">'General Inputs'!$K$8/SUM('General Inputs'!$J$8:$L$8)*AJ$172</f>
        <v>0</v>
      </c>
      <c r="AK176" s="408">
        <f ca="1">'General Inputs'!$K$8/SUM('General Inputs'!$J$8:$L$8)*AK$172</f>
        <v>0</v>
      </c>
      <c r="AL176" s="408">
        <f ca="1">'General Inputs'!$K$8/SUM('General Inputs'!$J$8:$L$8)*AL$172</f>
        <v>0</v>
      </c>
      <c r="AM176" s="408">
        <f ca="1">'General Inputs'!$K$8/SUM('General Inputs'!$J$8:$L$8)*AM$172</f>
        <v>0</v>
      </c>
      <c r="AN176" s="408">
        <f ca="1">'General Inputs'!$K$8/SUM('General Inputs'!$J$8:$L$8)*AN$172</f>
        <v>0</v>
      </c>
      <c r="AO176" s="408">
        <f ca="1">'General Inputs'!$K$8/SUM('General Inputs'!$J$8:$L$8)*AO$172</f>
        <v>0</v>
      </c>
      <c r="AP176" s="408">
        <f ca="1">'General Inputs'!$K$8/SUM('General Inputs'!$J$8:$L$8)*AP$172</f>
        <v>0</v>
      </c>
      <c r="AQ176" s="408">
        <f ca="1">'General Inputs'!$K$8/SUM('General Inputs'!$J$8:$L$8)*AQ$172</f>
        <v>0</v>
      </c>
      <c r="AR176" s="408">
        <f ca="1">'General Inputs'!$K$8/SUM('General Inputs'!$J$8:$L$8)*AR$172</f>
        <v>0</v>
      </c>
      <c r="AS176" s="408">
        <f ca="1">'General Inputs'!$K$8/SUM('General Inputs'!$J$8:$L$8)*AS$172</f>
        <v>0</v>
      </c>
      <c r="AT176" s="408">
        <f ca="1">'General Inputs'!$K$8/SUM('General Inputs'!$J$8:$L$8)*AT$172</f>
        <v>0</v>
      </c>
      <c r="AU176" s="408">
        <f ca="1">'General Inputs'!$K$8/SUM('General Inputs'!$J$8:$L$8)*AU$172</f>
        <v>0</v>
      </c>
      <c r="AV176" s="408">
        <f ca="1">'General Inputs'!$K$8/SUM('General Inputs'!$J$8:$L$8)*AV$172</f>
        <v>0</v>
      </c>
      <c r="AW176" s="408">
        <f ca="1">'General Inputs'!$K$8/SUM('General Inputs'!$J$8:$L$8)*AW$172</f>
        <v>0</v>
      </c>
      <c r="AX176" s="408">
        <f ca="1">'General Inputs'!$K$8/SUM('General Inputs'!$J$8:$L$8)*AX$172</f>
        <v>0</v>
      </c>
      <c r="AY176" s="408">
        <f ca="1">'General Inputs'!$K$8/SUM('General Inputs'!$J$8:$L$8)*AY$172</f>
        <v>0</v>
      </c>
      <c r="AZ176" s="408">
        <f ca="1">'General Inputs'!$K$8/SUM('General Inputs'!$J$8:$L$8)*AZ$172</f>
        <v>0</v>
      </c>
      <c r="BA176" s="408">
        <f ca="1">'General Inputs'!$K$8/SUM('General Inputs'!$J$8:$L$8)*BA$172</f>
        <v>0</v>
      </c>
      <c r="BB176" s="408">
        <f ca="1">'General Inputs'!$K$8/SUM('General Inputs'!$J$8:$L$8)*BB$172</f>
        <v>0</v>
      </c>
      <c r="BC176" s="408">
        <f ca="1">'General Inputs'!$K$8/SUM('General Inputs'!$J$8:$L$8)*BC$172</f>
        <v>0</v>
      </c>
      <c r="BD176" s="408">
        <f ca="1">'General Inputs'!$K$8/SUM('General Inputs'!$J$8:$L$8)*BD$172</f>
        <v>0</v>
      </c>
      <c r="BE176" s="408">
        <f ca="1">'General Inputs'!$K$8/SUM('General Inputs'!$J$8:$L$8)*BE$172</f>
        <v>0</v>
      </c>
      <c r="BF176" s="408">
        <f ca="1">'General Inputs'!$K$8/SUM('General Inputs'!$J$8:$L$8)*BF$172</f>
        <v>0</v>
      </c>
      <c r="BG176" s="408">
        <f ca="1">'General Inputs'!$K$8/SUM('General Inputs'!$J$8:$L$8)*BG$172</f>
        <v>0</v>
      </c>
      <c r="BH176" s="408">
        <f ca="1">'General Inputs'!$K$8/SUM('General Inputs'!$J$8:$L$8)*BH$172</f>
        <v>0</v>
      </c>
      <c r="BI176" s="408">
        <f ca="1">'General Inputs'!$K$8/SUM('General Inputs'!$J$8:$L$8)*BI$172</f>
        <v>0</v>
      </c>
      <c r="BJ176" s="408">
        <f ca="1">'General Inputs'!$K$8/SUM('General Inputs'!$J$8:$L$8)*BJ$172</f>
        <v>0</v>
      </c>
      <c r="BK176" s="408">
        <f ca="1">'General Inputs'!$K$8/SUM('General Inputs'!$J$8:$L$8)*BK$172</f>
        <v>0</v>
      </c>
      <c r="BL176" s="408">
        <f ca="1">'General Inputs'!$K$8/SUM('General Inputs'!$J$8:$L$8)*BL$172</f>
        <v>0</v>
      </c>
      <c r="BM176" s="408">
        <f ca="1">'General Inputs'!$K$8/SUM('General Inputs'!$J$8:$L$8)*BM$172</f>
        <v>0</v>
      </c>
      <c r="BN176" s="408">
        <f ca="1">'General Inputs'!$K$8/SUM('General Inputs'!$J$8:$L$8)*BN$172</f>
        <v>0</v>
      </c>
      <c r="BO176" s="408">
        <f ca="1">'General Inputs'!$K$8/SUM('General Inputs'!$J$8:$L$8)*BO$172</f>
        <v>0</v>
      </c>
      <c r="BP176" s="408">
        <f ca="1">'General Inputs'!$K$8/SUM('General Inputs'!$J$8:$L$8)*BP$172</f>
        <v>0</v>
      </c>
      <c r="BQ176" s="408">
        <f ca="1">'General Inputs'!$K$8/SUM('General Inputs'!$J$8:$L$8)*BQ$172</f>
        <v>0</v>
      </c>
      <c r="BR176" s="408">
        <f ca="1">'General Inputs'!$K$8/SUM('General Inputs'!$J$8:$L$8)*BR$172</f>
        <v>0</v>
      </c>
      <c r="BS176" s="408">
        <f ca="1">'General Inputs'!$K$8/SUM('General Inputs'!$J$8:$L$8)*BS$172</f>
        <v>0</v>
      </c>
      <c r="BT176" s="408">
        <f ca="1">'General Inputs'!$K$8/SUM('General Inputs'!$J$8:$L$8)*BT$172</f>
        <v>0</v>
      </c>
      <c r="BU176" s="408">
        <f ca="1">'General Inputs'!$K$8/SUM('General Inputs'!$J$8:$L$8)*BU$172</f>
        <v>0</v>
      </c>
      <c r="BV176" s="408">
        <f ca="1">'General Inputs'!$K$8/SUM('General Inputs'!$J$8:$L$8)*BV$172</f>
        <v>0</v>
      </c>
      <c r="BW176" s="408">
        <f ca="1">'General Inputs'!$K$8/SUM('General Inputs'!$J$8:$L$8)*BW$172</f>
        <v>0</v>
      </c>
      <c r="BX176" s="408">
        <f ca="1">'General Inputs'!$K$8/SUM('General Inputs'!$J$8:$L$8)*BX$172</f>
        <v>0</v>
      </c>
      <c r="BY176" s="408">
        <f ca="1">'General Inputs'!$K$8/SUM('General Inputs'!$J$8:$L$8)*BY$172</f>
        <v>0</v>
      </c>
      <c r="BZ176" s="408">
        <f ca="1">'General Inputs'!$K$8/SUM('General Inputs'!$J$8:$L$8)*BZ$172</f>
        <v>0</v>
      </c>
      <c r="CA176" s="408">
        <f ca="1">'General Inputs'!$K$8/SUM('General Inputs'!$J$8:$L$8)*CA$172</f>
        <v>0</v>
      </c>
      <c r="CB176" s="408">
        <f ca="1">'General Inputs'!$K$8/SUM('General Inputs'!$J$8:$L$8)*CB$172</f>
        <v>0</v>
      </c>
      <c r="CC176" s="408">
        <f ca="1">'General Inputs'!$K$8/SUM('General Inputs'!$J$8:$L$8)*CC$172</f>
        <v>0</v>
      </c>
      <c r="CD176" s="408">
        <f ca="1">'General Inputs'!$K$8/SUM('General Inputs'!$J$8:$L$8)*CD$172</f>
        <v>0</v>
      </c>
      <c r="CE176" s="408">
        <f ca="1">'General Inputs'!$K$8/SUM('General Inputs'!$J$8:$L$8)*CE$172</f>
        <v>0</v>
      </c>
      <c r="CF176" s="408">
        <f ca="1">'General Inputs'!$K$8/SUM('General Inputs'!$J$8:$L$8)*CF$172</f>
        <v>0</v>
      </c>
      <c r="CG176" s="408">
        <f ca="1">'General Inputs'!$K$8/SUM('General Inputs'!$J$8:$L$8)*CG$172</f>
        <v>0</v>
      </c>
      <c r="CH176" s="408">
        <f ca="1">'General Inputs'!$K$8/SUM('General Inputs'!$J$8:$L$8)*CH$172</f>
        <v>0</v>
      </c>
      <c r="CI176" s="408">
        <f ca="1">'General Inputs'!$K$8/SUM('General Inputs'!$J$8:$L$8)*CI$172</f>
        <v>0</v>
      </c>
      <c r="CJ176" s="408">
        <f ca="1">'General Inputs'!$K$8/SUM('General Inputs'!$J$8:$L$8)*CJ$172</f>
        <v>0</v>
      </c>
      <c r="CK176" s="408">
        <f ca="1">'General Inputs'!$K$8/SUM('General Inputs'!$J$8:$L$8)*CK$172</f>
        <v>-2.9103830456733697E-12</v>
      </c>
      <c r="CL176" s="408">
        <f ca="1">'General Inputs'!$K$8/SUM('General Inputs'!$J$8:$L$8)*CL$172</f>
        <v>0</v>
      </c>
      <c r="CM176" s="408">
        <f ca="1">'General Inputs'!$K$8/SUM('General Inputs'!$J$8:$L$8)*CM$172</f>
        <v>0</v>
      </c>
      <c r="CN176" s="408">
        <f ca="1">'General Inputs'!$K$8/SUM('General Inputs'!$J$8:$L$8)*CN$172</f>
        <v>0</v>
      </c>
      <c r="CO176" s="408">
        <f ca="1">'General Inputs'!$K$8/SUM('General Inputs'!$J$8:$L$8)*CO$172</f>
        <v>0</v>
      </c>
      <c r="CP176" s="408">
        <f ca="1">'General Inputs'!$K$8/SUM('General Inputs'!$J$8:$L$8)*CP$172</f>
        <v>0</v>
      </c>
      <c r="CQ176" s="408">
        <f ca="1">'General Inputs'!$K$8/SUM('General Inputs'!$J$8:$L$8)*CQ$172</f>
        <v>0</v>
      </c>
      <c r="CR176" s="408">
        <f ca="1">'General Inputs'!$K$8/SUM('General Inputs'!$J$8:$L$8)*CR$172</f>
        <v>0</v>
      </c>
      <c r="CS176" s="408">
        <f ca="1">'General Inputs'!$K$8/SUM('General Inputs'!$J$8:$L$8)*CS$172</f>
        <v>0</v>
      </c>
      <c r="CT176" s="408">
        <f ca="1">'General Inputs'!$K$8/SUM('General Inputs'!$J$8:$L$8)*CT$172</f>
        <v>0</v>
      </c>
      <c r="CU176" s="408">
        <f ca="1">'General Inputs'!$K$8/SUM('General Inputs'!$J$8:$L$8)*CU$172</f>
        <v>0</v>
      </c>
      <c r="CV176" s="408">
        <f ca="1">'General Inputs'!$K$8/SUM('General Inputs'!$J$8:$L$8)*CV$172</f>
        <v>0</v>
      </c>
      <c r="CW176" s="408">
        <f ca="1">'General Inputs'!$K$8/SUM('General Inputs'!$J$8:$L$8)*CW$172</f>
        <v>0</v>
      </c>
      <c r="CX176" s="408">
        <f ca="1">'General Inputs'!$K$8/SUM('General Inputs'!$J$8:$L$8)*CX$172</f>
        <v>-2.9103830456733697E-12</v>
      </c>
      <c r="CY176" s="408">
        <f ca="1">'General Inputs'!$K$8/SUM('General Inputs'!$J$8:$L$8)*CY$172</f>
        <v>-2.9103830456733697E-12</v>
      </c>
      <c r="CZ176" s="408">
        <f ca="1">'General Inputs'!$K$8/SUM('General Inputs'!$J$8:$L$8)*CZ$172</f>
        <v>0</v>
      </c>
      <c r="DA176" s="408">
        <f ca="1">'General Inputs'!$K$8/SUM('General Inputs'!$J$8:$L$8)*DA$172</f>
        <v>0</v>
      </c>
      <c r="DB176" s="408">
        <f ca="1">'General Inputs'!$K$8/SUM('General Inputs'!$J$8:$L$8)*DB$172</f>
        <v>0</v>
      </c>
      <c r="DC176" s="408">
        <f ca="1">'General Inputs'!$K$8/SUM('General Inputs'!$J$8:$L$8)*DC$172</f>
        <v>0</v>
      </c>
      <c r="DD176" s="408">
        <f ca="1">'General Inputs'!$K$8/SUM('General Inputs'!$J$8:$L$8)*DD$172</f>
        <v>0</v>
      </c>
      <c r="DE176" s="408">
        <f ca="1">'General Inputs'!$K$8/SUM('General Inputs'!$J$8:$L$8)*DE$172</f>
        <v>0</v>
      </c>
      <c r="DF176" s="408">
        <f ca="1">'General Inputs'!$K$8/SUM('General Inputs'!$J$8:$L$8)*DF$172</f>
        <v>0</v>
      </c>
      <c r="DG176" s="408">
        <f ca="1">'General Inputs'!$K$8/SUM('General Inputs'!$J$8:$L$8)*DG$172</f>
        <v>0</v>
      </c>
      <c r="DH176" s="408">
        <f ca="1">'General Inputs'!$K$8/SUM('General Inputs'!$J$8:$L$8)*DH$172</f>
        <v>0</v>
      </c>
      <c r="DI176" s="408">
        <f ca="1">'General Inputs'!$K$8/SUM('General Inputs'!$J$8:$L$8)*DI$172</f>
        <v>0</v>
      </c>
      <c r="DJ176" s="408">
        <f ca="1">'General Inputs'!$K$8/SUM('General Inputs'!$J$8:$L$8)*DJ$172</f>
        <v>0</v>
      </c>
      <c r="DK176" s="408">
        <f ca="1">'General Inputs'!$K$8/SUM('General Inputs'!$J$8:$L$8)*DK$172</f>
        <v>0</v>
      </c>
      <c r="DL176" s="408">
        <f ca="1">'General Inputs'!$K$8/SUM('General Inputs'!$J$8:$L$8)*DL$172</f>
        <v>0</v>
      </c>
      <c r="DM176" s="408">
        <f ca="1">'General Inputs'!$K$8/SUM('General Inputs'!$J$8:$L$8)*DM$172</f>
        <v>0</v>
      </c>
      <c r="DN176" s="408">
        <f ca="1">'General Inputs'!$K$8/SUM('General Inputs'!$J$8:$L$8)*DN$172</f>
        <v>0</v>
      </c>
      <c r="DO176" s="408">
        <f ca="1">'General Inputs'!$K$8/SUM('General Inputs'!$J$8:$L$8)*DO$172</f>
        <v>0</v>
      </c>
      <c r="DP176" s="408">
        <f ca="1">'General Inputs'!$K$8/SUM('General Inputs'!$J$8:$L$8)*DP$172</f>
        <v>0</v>
      </c>
      <c r="DQ176" s="408">
        <f ca="1">'General Inputs'!$K$8/SUM('General Inputs'!$J$8:$L$8)*DQ$172</f>
        <v>0</v>
      </c>
      <c r="DR176" s="408">
        <f ca="1">'General Inputs'!$K$8/SUM('General Inputs'!$J$8:$L$8)*DR$172</f>
        <v>0</v>
      </c>
      <c r="DS176" s="408">
        <f ca="1">'General Inputs'!$K$8/SUM('General Inputs'!$J$8:$L$8)*DS$172</f>
        <v>0</v>
      </c>
      <c r="DT176" s="408">
        <f ca="1">'General Inputs'!$K$8/SUM('General Inputs'!$J$8:$L$8)*DT$172</f>
        <v>0</v>
      </c>
      <c r="DU176" s="408">
        <f ca="1">'General Inputs'!$K$8/SUM('General Inputs'!$J$8:$L$8)*DU$172</f>
        <v>0</v>
      </c>
      <c r="DV176" s="408">
        <f ca="1">'General Inputs'!$K$8/SUM('General Inputs'!$J$8:$L$8)*DV$172</f>
        <v>0</v>
      </c>
      <c r="DW176" s="408">
        <f ca="1">'General Inputs'!$K$8/SUM('General Inputs'!$J$8:$L$8)*DW$172</f>
        <v>0</v>
      </c>
      <c r="DX176" s="408">
        <f ca="1">'General Inputs'!$K$8/SUM('General Inputs'!$J$8:$L$8)*DX$172</f>
        <v>0</v>
      </c>
      <c r="DY176" s="408">
        <f ca="1">'General Inputs'!$K$8/SUM('General Inputs'!$J$8:$L$8)*DY$172</f>
        <v>0</v>
      </c>
      <c r="DZ176" s="408">
        <f ca="1">'General Inputs'!$K$8/SUM('General Inputs'!$J$8:$L$8)*DZ$172</f>
        <v>0</v>
      </c>
      <c r="EA176" s="408">
        <f ca="1">'General Inputs'!$K$8/SUM('General Inputs'!$J$8:$L$8)*EA$172</f>
        <v>0</v>
      </c>
      <c r="EB176" s="408">
        <f ca="1">'General Inputs'!$K$8/SUM('General Inputs'!$J$8:$L$8)*EB$172</f>
        <v>0</v>
      </c>
      <c r="EC176" s="408">
        <f ca="1">'General Inputs'!$K$8/SUM('General Inputs'!$J$8:$L$8)*EC$172</f>
        <v>0</v>
      </c>
      <c r="ED176" s="408">
        <f ca="1">'General Inputs'!$K$8/SUM('General Inputs'!$J$8:$L$8)*ED$172</f>
        <v>0</v>
      </c>
      <c r="EE176" s="408">
        <f ca="1">'General Inputs'!$K$8/SUM('General Inputs'!$J$8:$L$8)*EE$172</f>
        <v>0</v>
      </c>
      <c r="EF176" s="408">
        <f ca="1">'General Inputs'!$K$8/SUM('General Inputs'!$J$8:$L$8)*EF$172</f>
        <v>0</v>
      </c>
      <c r="EG176" s="408">
        <f ca="1">'General Inputs'!$K$8/SUM('General Inputs'!$J$8:$L$8)*EG$172</f>
        <v>0</v>
      </c>
      <c r="EH176" s="644"/>
      <c r="EI176" s="280"/>
    </row>
    <row r="177" spans="1:139" s="711" customFormat="1" x14ac:dyDescent="0.3">
      <c r="A177" s="522" t="str">
        <f>'General Inputs'!$L$29</f>
        <v>LAND</v>
      </c>
      <c r="B177" s="522"/>
      <c r="C177" s="522"/>
      <c r="D177" s="732"/>
      <c r="E177" s="408">
        <f ca="1">'General Inputs'!$L$8/SUM('General Inputs'!$J$8:$L$8)*E$172</f>
        <v>0</v>
      </c>
      <c r="F177" s="408">
        <f ca="1">'General Inputs'!$L$8/SUM('General Inputs'!$J$8:$L$8)*F$172</f>
        <v>0</v>
      </c>
      <c r="G177" s="408">
        <f ca="1">'General Inputs'!$L$8/SUM('General Inputs'!$J$8:$L$8)*G$172</f>
        <v>0</v>
      </c>
      <c r="H177" s="408">
        <f ca="1">'General Inputs'!$L$8/SUM('General Inputs'!$J$8:$L$8)*H$172</f>
        <v>0</v>
      </c>
      <c r="I177" s="408">
        <f ca="1">'General Inputs'!$L$8/SUM('General Inputs'!$J$8:$L$8)*I$172</f>
        <v>0</v>
      </c>
      <c r="J177" s="408">
        <f ca="1">'General Inputs'!$L$8/SUM('General Inputs'!$J$8:$L$8)*J$172</f>
        <v>0</v>
      </c>
      <c r="K177" s="408">
        <f ca="1">'General Inputs'!$L$8/SUM('General Inputs'!$J$8:$L$8)*K$172</f>
        <v>0</v>
      </c>
      <c r="L177" s="408">
        <f ca="1">'General Inputs'!$L$8/SUM('General Inputs'!$J$8:$L$8)*L$172</f>
        <v>0</v>
      </c>
      <c r="M177" s="408">
        <f ca="1">'General Inputs'!$L$8/SUM('General Inputs'!$J$8:$L$8)*M$172</f>
        <v>0</v>
      </c>
      <c r="N177" s="408">
        <f ca="1">'General Inputs'!$L$8/SUM('General Inputs'!$J$8:$L$8)*N$172</f>
        <v>0</v>
      </c>
      <c r="O177" s="408">
        <f ca="1">'General Inputs'!$L$8/SUM('General Inputs'!$J$8:$L$8)*O$172</f>
        <v>0</v>
      </c>
      <c r="P177" s="408">
        <f ca="1">'General Inputs'!$L$8/SUM('General Inputs'!$J$8:$L$8)*P$172</f>
        <v>0</v>
      </c>
      <c r="Q177" s="408">
        <f ca="1">'General Inputs'!$L$8/SUM('General Inputs'!$J$8:$L$8)*Q$172</f>
        <v>0</v>
      </c>
      <c r="R177" s="408">
        <f ca="1">'General Inputs'!$L$8/SUM('General Inputs'!$J$8:$L$8)*R$172</f>
        <v>0</v>
      </c>
      <c r="S177" s="408">
        <f ca="1">'General Inputs'!$L$8/SUM('General Inputs'!$J$8:$L$8)*S$172</f>
        <v>0</v>
      </c>
      <c r="T177" s="408">
        <f ca="1">'General Inputs'!$L$8/SUM('General Inputs'!$J$8:$L$8)*T$172</f>
        <v>0</v>
      </c>
      <c r="U177" s="408">
        <f ca="1">'General Inputs'!$L$8/SUM('General Inputs'!$J$8:$L$8)*U$172</f>
        <v>0</v>
      </c>
      <c r="V177" s="408">
        <f ca="1">'General Inputs'!$L$8/SUM('General Inputs'!$J$8:$L$8)*V$172</f>
        <v>0</v>
      </c>
      <c r="W177" s="408">
        <f ca="1">'General Inputs'!$L$8/SUM('General Inputs'!$J$8:$L$8)*W$172</f>
        <v>0</v>
      </c>
      <c r="X177" s="408">
        <f ca="1">'General Inputs'!$L$8/SUM('General Inputs'!$J$8:$L$8)*X$172</f>
        <v>0</v>
      </c>
      <c r="Y177" s="408">
        <f ca="1">'General Inputs'!$L$8/SUM('General Inputs'!$J$8:$L$8)*Y$172</f>
        <v>0</v>
      </c>
      <c r="Z177" s="408">
        <f ca="1">'General Inputs'!$L$8/SUM('General Inputs'!$J$8:$L$8)*Z$172</f>
        <v>0</v>
      </c>
      <c r="AA177" s="408">
        <f ca="1">'General Inputs'!$L$8/SUM('General Inputs'!$J$8:$L$8)*AA$172</f>
        <v>0</v>
      </c>
      <c r="AB177" s="408">
        <f ca="1">'General Inputs'!$L$8/SUM('General Inputs'!$J$8:$L$8)*AB$172</f>
        <v>0</v>
      </c>
      <c r="AC177" s="408">
        <f ca="1">'General Inputs'!$L$8/SUM('General Inputs'!$J$8:$L$8)*AC$172</f>
        <v>0</v>
      </c>
      <c r="AD177" s="408">
        <f ca="1">'General Inputs'!$L$8/SUM('General Inputs'!$J$8:$L$8)*AD$172</f>
        <v>0</v>
      </c>
      <c r="AE177" s="408">
        <f ca="1">'General Inputs'!$L$8/SUM('General Inputs'!$J$8:$L$8)*AE$172</f>
        <v>0</v>
      </c>
      <c r="AF177" s="408">
        <f ca="1">'General Inputs'!$L$8/SUM('General Inputs'!$J$8:$L$8)*AF$172</f>
        <v>0</v>
      </c>
      <c r="AG177" s="408">
        <f ca="1">'General Inputs'!$L$8/SUM('General Inputs'!$J$8:$L$8)*AG$172</f>
        <v>0</v>
      </c>
      <c r="AH177" s="408">
        <f ca="1">'General Inputs'!$L$8/SUM('General Inputs'!$J$8:$L$8)*AH$172</f>
        <v>0</v>
      </c>
      <c r="AI177" s="408">
        <f ca="1">'General Inputs'!$L$8/SUM('General Inputs'!$J$8:$L$8)*AI$172</f>
        <v>0</v>
      </c>
      <c r="AJ177" s="408">
        <f ca="1">'General Inputs'!$L$8/SUM('General Inputs'!$J$8:$L$8)*AJ$172</f>
        <v>0</v>
      </c>
      <c r="AK177" s="408">
        <f ca="1">'General Inputs'!$L$8/SUM('General Inputs'!$J$8:$L$8)*AK$172</f>
        <v>0</v>
      </c>
      <c r="AL177" s="408">
        <f ca="1">'General Inputs'!$L$8/SUM('General Inputs'!$J$8:$L$8)*AL$172</f>
        <v>0</v>
      </c>
      <c r="AM177" s="408">
        <f ca="1">'General Inputs'!$L$8/SUM('General Inputs'!$J$8:$L$8)*AM$172</f>
        <v>0</v>
      </c>
      <c r="AN177" s="408">
        <f ca="1">'General Inputs'!$L$8/SUM('General Inputs'!$J$8:$L$8)*AN$172</f>
        <v>0</v>
      </c>
      <c r="AO177" s="408">
        <f ca="1">'General Inputs'!$L$8/SUM('General Inputs'!$J$8:$L$8)*AO$172</f>
        <v>0</v>
      </c>
      <c r="AP177" s="408">
        <f ca="1">'General Inputs'!$L$8/SUM('General Inputs'!$J$8:$L$8)*AP$172</f>
        <v>0</v>
      </c>
      <c r="AQ177" s="408">
        <f ca="1">'General Inputs'!$L$8/SUM('General Inputs'!$J$8:$L$8)*AQ$172</f>
        <v>0</v>
      </c>
      <c r="AR177" s="408">
        <f ca="1">'General Inputs'!$L$8/SUM('General Inputs'!$J$8:$L$8)*AR$172</f>
        <v>0</v>
      </c>
      <c r="AS177" s="408">
        <f ca="1">'General Inputs'!$L$8/SUM('General Inputs'!$J$8:$L$8)*AS$172</f>
        <v>0</v>
      </c>
      <c r="AT177" s="408">
        <f ca="1">'General Inputs'!$L$8/SUM('General Inputs'!$J$8:$L$8)*AT$172</f>
        <v>0</v>
      </c>
      <c r="AU177" s="408">
        <f ca="1">'General Inputs'!$L$8/SUM('General Inputs'!$J$8:$L$8)*AU$172</f>
        <v>0</v>
      </c>
      <c r="AV177" s="408">
        <f ca="1">'General Inputs'!$L$8/SUM('General Inputs'!$J$8:$L$8)*AV$172</f>
        <v>0</v>
      </c>
      <c r="AW177" s="408">
        <f ca="1">'General Inputs'!$L$8/SUM('General Inputs'!$J$8:$L$8)*AW$172</f>
        <v>0</v>
      </c>
      <c r="AX177" s="408">
        <f ca="1">'General Inputs'!$L$8/SUM('General Inputs'!$J$8:$L$8)*AX$172</f>
        <v>0</v>
      </c>
      <c r="AY177" s="408">
        <f ca="1">'General Inputs'!$L$8/SUM('General Inputs'!$J$8:$L$8)*AY$172</f>
        <v>0</v>
      </c>
      <c r="AZ177" s="408">
        <f ca="1">'General Inputs'!$L$8/SUM('General Inputs'!$J$8:$L$8)*AZ$172</f>
        <v>0</v>
      </c>
      <c r="BA177" s="408">
        <f ca="1">'General Inputs'!$L$8/SUM('General Inputs'!$J$8:$L$8)*BA$172</f>
        <v>0</v>
      </c>
      <c r="BB177" s="408">
        <f ca="1">'General Inputs'!$L$8/SUM('General Inputs'!$J$8:$L$8)*BB$172</f>
        <v>0</v>
      </c>
      <c r="BC177" s="408">
        <f ca="1">'General Inputs'!$L$8/SUM('General Inputs'!$J$8:$L$8)*BC$172</f>
        <v>0</v>
      </c>
      <c r="BD177" s="408">
        <f ca="1">'General Inputs'!$L$8/SUM('General Inputs'!$J$8:$L$8)*BD$172</f>
        <v>0</v>
      </c>
      <c r="BE177" s="408">
        <f ca="1">'General Inputs'!$L$8/SUM('General Inputs'!$J$8:$L$8)*BE$172</f>
        <v>0</v>
      </c>
      <c r="BF177" s="408">
        <f ca="1">'General Inputs'!$L$8/SUM('General Inputs'!$J$8:$L$8)*BF$172</f>
        <v>0</v>
      </c>
      <c r="BG177" s="408">
        <f ca="1">'General Inputs'!$L$8/SUM('General Inputs'!$J$8:$L$8)*BG$172</f>
        <v>0</v>
      </c>
      <c r="BH177" s="408">
        <f ca="1">'General Inputs'!$L$8/SUM('General Inputs'!$J$8:$L$8)*BH$172</f>
        <v>0</v>
      </c>
      <c r="BI177" s="408">
        <f ca="1">'General Inputs'!$L$8/SUM('General Inputs'!$J$8:$L$8)*BI$172</f>
        <v>0</v>
      </c>
      <c r="BJ177" s="408">
        <f ca="1">'General Inputs'!$L$8/SUM('General Inputs'!$J$8:$L$8)*BJ$172</f>
        <v>0</v>
      </c>
      <c r="BK177" s="408">
        <f ca="1">'General Inputs'!$L$8/SUM('General Inputs'!$J$8:$L$8)*BK$172</f>
        <v>0</v>
      </c>
      <c r="BL177" s="408">
        <f ca="1">'General Inputs'!$L$8/SUM('General Inputs'!$J$8:$L$8)*BL$172</f>
        <v>0</v>
      </c>
      <c r="BM177" s="408">
        <f ca="1">'General Inputs'!$L$8/SUM('General Inputs'!$J$8:$L$8)*BM$172</f>
        <v>0</v>
      </c>
      <c r="BN177" s="408">
        <f ca="1">'General Inputs'!$L$8/SUM('General Inputs'!$J$8:$L$8)*BN$172</f>
        <v>0</v>
      </c>
      <c r="BO177" s="408">
        <f ca="1">'General Inputs'!$L$8/SUM('General Inputs'!$J$8:$L$8)*BO$172</f>
        <v>0</v>
      </c>
      <c r="BP177" s="408">
        <f ca="1">'General Inputs'!$L$8/SUM('General Inputs'!$J$8:$L$8)*BP$172</f>
        <v>0</v>
      </c>
      <c r="BQ177" s="408">
        <f ca="1">'General Inputs'!$L$8/SUM('General Inputs'!$J$8:$L$8)*BQ$172</f>
        <v>0</v>
      </c>
      <c r="BR177" s="408">
        <f ca="1">'General Inputs'!$L$8/SUM('General Inputs'!$J$8:$L$8)*BR$172</f>
        <v>0</v>
      </c>
      <c r="BS177" s="408">
        <f ca="1">'General Inputs'!$L$8/SUM('General Inputs'!$J$8:$L$8)*BS$172</f>
        <v>0</v>
      </c>
      <c r="BT177" s="408">
        <f ca="1">'General Inputs'!$L$8/SUM('General Inputs'!$J$8:$L$8)*BT$172</f>
        <v>0</v>
      </c>
      <c r="BU177" s="408">
        <f ca="1">'General Inputs'!$L$8/SUM('General Inputs'!$J$8:$L$8)*BU$172</f>
        <v>0</v>
      </c>
      <c r="BV177" s="408">
        <f ca="1">'General Inputs'!$L$8/SUM('General Inputs'!$J$8:$L$8)*BV$172</f>
        <v>0</v>
      </c>
      <c r="BW177" s="408">
        <f ca="1">'General Inputs'!$L$8/SUM('General Inputs'!$J$8:$L$8)*BW$172</f>
        <v>0</v>
      </c>
      <c r="BX177" s="408">
        <f ca="1">'General Inputs'!$L$8/SUM('General Inputs'!$J$8:$L$8)*BX$172</f>
        <v>0</v>
      </c>
      <c r="BY177" s="408">
        <f ca="1">'General Inputs'!$L$8/SUM('General Inputs'!$J$8:$L$8)*BY$172</f>
        <v>0</v>
      </c>
      <c r="BZ177" s="408">
        <f ca="1">'General Inputs'!$L$8/SUM('General Inputs'!$J$8:$L$8)*BZ$172</f>
        <v>0</v>
      </c>
      <c r="CA177" s="408">
        <f ca="1">'General Inputs'!$L$8/SUM('General Inputs'!$J$8:$L$8)*CA$172</f>
        <v>0</v>
      </c>
      <c r="CB177" s="408">
        <f ca="1">'General Inputs'!$L$8/SUM('General Inputs'!$J$8:$L$8)*CB$172</f>
        <v>0</v>
      </c>
      <c r="CC177" s="408">
        <f ca="1">'General Inputs'!$L$8/SUM('General Inputs'!$J$8:$L$8)*CC$172</f>
        <v>0</v>
      </c>
      <c r="CD177" s="408">
        <f ca="1">'General Inputs'!$L$8/SUM('General Inputs'!$J$8:$L$8)*CD$172</f>
        <v>0</v>
      </c>
      <c r="CE177" s="408">
        <f ca="1">'General Inputs'!$L$8/SUM('General Inputs'!$J$8:$L$8)*CE$172</f>
        <v>0</v>
      </c>
      <c r="CF177" s="408">
        <f ca="1">'General Inputs'!$L$8/SUM('General Inputs'!$J$8:$L$8)*CF$172</f>
        <v>0</v>
      </c>
      <c r="CG177" s="408">
        <f ca="1">'General Inputs'!$L$8/SUM('General Inputs'!$J$8:$L$8)*CG$172</f>
        <v>0</v>
      </c>
      <c r="CH177" s="408">
        <f ca="1">'General Inputs'!$L$8/SUM('General Inputs'!$J$8:$L$8)*CH$172</f>
        <v>0</v>
      </c>
      <c r="CI177" s="408">
        <f ca="1">'General Inputs'!$L$8/SUM('General Inputs'!$J$8:$L$8)*CI$172</f>
        <v>0</v>
      </c>
      <c r="CJ177" s="408">
        <f ca="1">'General Inputs'!$L$8/SUM('General Inputs'!$J$8:$L$8)*CJ$172</f>
        <v>0</v>
      </c>
      <c r="CK177" s="408">
        <f ca="1">'General Inputs'!$L$8/SUM('General Inputs'!$J$8:$L$8)*CK$172</f>
        <v>0</v>
      </c>
      <c r="CL177" s="408">
        <f ca="1">'General Inputs'!$L$8/SUM('General Inputs'!$J$8:$L$8)*CL$172</f>
        <v>0</v>
      </c>
      <c r="CM177" s="408">
        <f ca="1">'General Inputs'!$L$8/SUM('General Inputs'!$J$8:$L$8)*CM$172</f>
        <v>0</v>
      </c>
      <c r="CN177" s="408">
        <f ca="1">'General Inputs'!$L$8/SUM('General Inputs'!$J$8:$L$8)*CN$172</f>
        <v>0</v>
      </c>
      <c r="CO177" s="408">
        <f ca="1">'General Inputs'!$L$8/SUM('General Inputs'!$J$8:$L$8)*CO$172</f>
        <v>0</v>
      </c>
      <c r="CP177" s="408">
        <f ca="1">'General Inputs'!$L$8/SUM('General Inputs'!$J$8:$L$8)*CP$172</f>
        <v>0</v>
      </c>
      <c r="CQ177" s="408">
        <f ca="1">'General Inputs'!$L$8/SUM('General Inputs'!$J$8:$L$8)*CQ$172</f>
        <v>0</v>
      </c>
      <c r="CR177" s="408">
        <f ca="1">'General Inputs'!$L$8/SUM('General Inputs'!$J$8:$L$8)*CR$172</f>
        <v>0</v>
      </c>
      <c r="CS177" s="408">
        <f ca="1">'General Inputs'!$L$8/SUM('General Inputs'!$J$8:$L$8)*CS$172</f>
        <v>0</v>
      </c>
      <c r="CT177" s="408">
        <f ca="1">'General Inputs'!$L$8/SUM('General Inputs'!$J$8:$L$8)*CT$172</f>
        <v>0</v>
      </c>
      <c r="CU177" s="408">
        <f ca="1">'General Inputs'!$L$8/SUM('General Inputs'!$J$8:$L$8)*CU$172</f>
        <v>0</v>
      </c>
      <c r="CV177" s="408">
        <f ca="1">'General Inputs'!$L$8/SUM('General Inputs'!$J$8:$L$8)*CV$172</f>
        <v>0</v>
      </c>
      <c r="CW177" s="408">
        <f ca="1">'General Inputs'!$L$8/SUM('General Inputs'!$J$8:$L$8)*CW$172</f>
        <v>0</v>
      </c>
      <c r="CX177" s="408">
        <f ca="1">'General Inputs'!$L$8/SUM('General Inputs'!$J$8:$L$8)*CX$172</f>
        <v>0</v>
      </c>
      <c r="CY177" s="408">
        <f ca="1">'General Inputs'!$L$8/SUM('General Inputs'!$J$8:$L$8)*CY$172</f>
        <v>0</v>
      </c>
      <c r="CZ177" s="408">
        <f ca="1">'General Inputs'!$L$8/SUM('General Inputs'!$J$8:$L$8)*CZ$172</f>
        <v>0</v>
      </c>
      <c r="DA177" s="408">
        <f ca="1">'General Inputs'!$L$8/SUM('General Inputs'!$J$8:$L$8)*DA$172</f>
        <v>0</v>
      </c>
      <c r="DB177" s="408">
        <f ca="1">'General Inputs'!$L$8/SUM('General Inputs'!$J$8:$L$8)*DB$172</f>
        <v>0</v>
      </c>
      <c r="DC177" s="408">
        <f ca="1">'General Inputs'!$L$8/SUM('General Inputs'!$J$8:$L$8)*DC$172</f>
        <v>0</v>
      </c>
      <c r="DD177" s="408">
        <f ca="1">'General Inputs'!$L$8/SUM('General Inputs'!$J$8:$L$8)*DD$172</f>
        <v>0</v>
      </c>
      <c r="DE177" s="408">
        <f ca="1">'General Inputs'!$L$8/SUM('General Inputs'!$J$8:$L$8)*DE$172</f>
        <v>0</v>
      </c>
      <c r="DF177" s="408">
        <f ca="1">'General Inputs'!$L$8/SUM('General Inputs'!$J$8:$L$8)*DF$172</f>
        <v>0</v>
      </c>
      <c r="DG177" s="408">
        <f ca="1">'General Inputs'!$L$8/SUM('General Inputs'!$J$8:$L$8)*DG$172</f>
        <v>0</v>
      </c>
      <c r="DH177" s="408">
        <f ca="1">'General Inputs'!$L$8/SUM('General Inputs'!$J$8:$L$8)*DH$172</f>
        <v>0</v>
      </c>
      <c r="DI177" s="408">
        <f ca="1">'General Inputs'!$L$8/SUM('General Inputs'!$J$8:$L$8)*DI$172</f>
        <v>0</v>
      </c>
      <c r="DJ177" s="408">
        <f ca="1">'General Inputs'!$L$8/SUM('General Inputs'!$J$8:$L$8)*DJ$172</f>
        <v>0</v>
      </c>
      <c r="DK177" s="408">
        <f ca="1">'General Inputs'!$L$8/SUM('General Inputs'!$J$8:$L$8)*DK$172</f>
        <v>0</v>
      </c>
      <c r="DL177" s="408">
        <f ca="1">'General Inputs'!$L$8/SUM('General Inputs'!$J$8:$L$8)*DL$172</f>
        <v>0</v>
      </c>
      <c r="DM177" s="408">
        <f ca="1">'General Inputs'!$L$8/SUM('General Inputs'!$J$8:$L$8)*DM$172</f>
        <v>0</v>
      </c>
      <c r="DN177" s="408">
        <f ca="1">'General Inputs'!$L$8/SUM('General Inputs'!$J$8:$L$8)*DN$172</f>
        <v>0</v>
      </c>
      <c r="DO177" s="408">
        <f ca="1">'General Inputs'!$L$8/SUM('General Inputs'!$J$8:$L$8)*DO$172</f>
        <v>0</v>
      </c>
      <c r="DP177" s="408">
        <f ca="1">'General Inputs'!$L$8/SUM('General Inputs'!$J$8:$L$8)*DP$172</f>
        <v>0</v>
      </c>
      <c r="DQ177" s="408">
        <f ca="1">'General Inputs'!$L$8/SUM('General Inputs'!$J$8:$L$8)*DQ$172</f>
        <v>0</v>
      </c>
      <c r="DR177" s="408">
        <f ca="1">'General Inputs'!$L$8/SUM('General Inputs'!$J$8:$L$8)*DR$172</f>
        <v>0</v>
      </c>
      <c r="DS177" s="408">
        <f ca="1">'General Inputs'!$L$8/SUM('General Inputs'!$J$8:$L$8)*DS$172</f>
        <v>0</v>
      </c>
      <c r="DT177" s="408">
        <f ca="1">'General Inputs'!$L$8/SUM('General Inputs'!$J$8:$L$8)*DT$172</f>
        <v>0</v>
      </c>
      <c r="DU177" s="408">
        <f ca="1">'General Inputs'!$L$8/SUM('General Inputs'!$J$8:$L$8)*DU$172</f>
        <v>0</v>
      </c>
      <c r="DV177" s="408">
        <f ca="1">'General Inputs'!$L$8/SUM('General Inputs'!$J$8:$L$8)*DV$172</f>
        <v>0</v>
      </c>
      <c r="DW177" s="408">
        <f ca="1">'General Inputs'!$L$8/SUM('General Inputs'!$J$8:$L$8)*DW$172</f>
        <v>0</v>
      </c>
      <c r="DX177" s="408">
        <f ca="1">'General Inputs'!$L$8/SUM('General Inputs'!$J$8:$L$8)*DX$172</f>
        <v>0</v>
      </c>
      <c r="DY177" s="408">
        <f ca="1">'General Inputs'!$L$8/SUM('General Inputs'!$J$8:$L$8)*DY$172</f>
        <v>0</v>
      </c>
      <c r="DZ177" s="408">
        <f ca="1">'General Inputs'!$L$8/SUM('General Inputs'!$J$8:$L$8)*DZ$172</f>
        <v>0</v>
      </c>
      <c r="EA177" s="408">
        <f ca="1">'General Inputs'!$L$8/SUM('General Inputs'!$J$8:$L$8)*EA$172</f>
        <v>0</v>
      </c>
      <c r="EB177" s="408">
        <f ca="1">'General Inputs'!$L$8/SUM('General Inputs'!$J$8:$L$8)*EB$172</f>
        <v>0</v>
      </c>
      <c r="EC177" s="408">
        <f ca="1">'General Inputs'!$L$8/SUM('General Inputs'!$J$8:$L$8)*EC$172</f>
        <v>0</v>
      </c>
      <c r="ED177" s="408">
        <f ca="1">'General Inputs'!$L$8/SUM('General Inputs'!$J$8:$L$8)*ED$172</f>
        <v>0</v>
      </c>
      <c r="EE177" s="408">
        <f ca="1">'General Inputs'!$L$8/SUM('General Inputs'!$J$8:$L$8)*EE$172</f>
        <v>0</v>
      </c>
      <c r="EF177" s="408">
        <f ca="1">'General Inputs'!$L$8/SUM('General Inputs'!$J$8:$L$8)*EF$172</f>
        <v>0</v>
      </c>
      <c r="EG177" s="408">
        <f ca="1">'General Inputs'!$L$8/SUM('General Inputs'!$J$8:$L$8)*EG$172</f>
        <v>0</v>
      </c>
      <c r="EH177" s="644"/>
      <c r="EI177" s="722"/>
    </row>
    <row r="178" spans="1:139" s="735" customFormat="1" hidden="1" x14ac:dyDescent="0.3">
      <c r="A178" s="732"/>
      <c r="B178" s="732"/>
      <c r="C178" s="732"/>
      <c r="D178" s="732"/>
      <c r="E178" s="686">
        <f t="shared" ref="E178:BP178" ca="1" si="266">SUMIF(E175:E177,"&lt;0",E175:E177)</f>
        <v>0</v>
      </c>
      <c r="F178" s="686">
        <f t="shared" ca="1" si="266"/>
        <v>0</v>
      </c>
      <c r="G178" s="686">
        <f t="shared" ca="1" si="266"/>
        <v>0</v>
      </c>
      <c r="H178" s="686">
        <f t="shared" ca="1" si="266"/>
        <v>0</v>
      </c>
      <c r="I178" s="686">
        <f t="shared" ca="1" si="266"/>
        <v>0</v>
      </c>
      <c r="J178" s="686">
        <f t="shared" ca="1" si="266"/>
        <v>0</v>
      </c>
      <c r="K178" s="686">
        <f t="shared" ca="1" si="266"/>
        <v>0</v>
      </c>
      <c r="L178" s="686">
        <f t="shared" ca="1" si="266"/>
        <v>0</v>
      </c>
      <c r="M178" s="686">
        <f t="shared" ca="1" si="266"/>
        <v>0</v>
      </c>
      <c r="N178" s="686">
        <f t="shared" ca="1" si="266"/>
        <v>0</v>
      </c>
      <c r="O178" s="686">
        <f t="shared" ca="1" si="266"/>
        <v>0</v>
      </c>
      <c r="P178" s="686">
        <f t="shared" ca="1" si="266"/>
        <v>0</v>
      </c>
      <c r="Q178" s="686">
        <f t="shared" ca="1" si="266"/>
        <v>0</v>
      </c>
      <c r="R178" s="686">
        <f t="shared" ca="1" si="266"/>
        <v>0</v>
      </c>
      <c r="S178" s="686">
        <f t="shared" ca="1" si="266"/>
        <v>0</v>
      </c>
      <c r="T178" s="686">
        <f t="shared" ca="1" si="266"/>
        <v>0</v>
      </c>
      <c r="U178" s="686">
        <f t="shared" ca="1" si="266"/>
        <v>0</v>
      </c>
      <c r="V178" s="686">
        <f t="shared" ca="1" si="266"/>
        <v>0</v>
      </c>
      <c r="W178" s="686">
        <f t="shared" ca="1" si="266"/>
        <v>0</v>
      </c>
      <c r="X178" s="686">
        <f t="shared" ca="1" si="266"/>
        <v>0</v>
      </c>
      <c r="Y178" s="686">
        <f t="shared" ca="1" si="266"/>
        <v>0</v>
      </c>
      <c r="Z178" s="686">
        <f t="shared" ca="1" si="266"/>
        <v>0</v>
      </c>
      <c r="AA178" s="686">
        <f t="shared" ca="1" si="266"/>
        <v>0</v>
      </c>
      <c r="AB178" s="686">
        <f t="shared" ca="1" si="266"/>
        <v>0</v>
      </c>
      <c r="AC178" s="686">
        <f t="shared" ca="1" si="266"/>
        <v>0</v>
      </c>
      <c r="AD178" s="686">
        <f t="shared" ca="1" si="266"/>
        <v>0</v>
      </c>
      <c r="AE178" s="686">
        <f t="shared" ca="1" si="266"/>
        <v>0</v>
      </c>
      <c r="AF178" s="686">
        <f t="shared" ca="1" si="266"/>
        <v>0</v>
      </c>
      <c r="AG178" s="686">
        <f t="shared" ca="1" si="266"/>
        <v>0</v>
      </c>
      <c r="AH178" s="686">
        <f t="shared" ca="1" si="266"/>
        <v>0</v>
      </c>
      <c r="AI178" s="686">
        <f t="shared" ca="1" si="266"/>
        <v>0</v>
      </c>
      <c r="AJ178" s="686">
        <f t="shared" ca="1" si="266"/>
        <v>0</v>
      </c>
      <c r="AK178" s="686">
        <f t="shared" ca="1" si="266"/>
        <v>0</v>
      </c>
      <c r="AL178" s="686">
        <f t="shared" ca="1" si="266"/>
        <v>0</v>
      </c>
      <c r="AM178" s="686">
        <f t="shared" ca="1" si="266"/>
        <v>0</v>
      </c>
      <c r="AN178" s="686">
        <f t="shared" ca="1" si="266"/>
        <v>0</v>
      </c>
      <c r="AO178" s="686">
        <f t="shared" ca="1" si="266"/>
        <v>0</v>
      </c>
      <c r="AP178" s="686">
        <f t="shared" ca="1" si="266"/>
        <v>0</v>
      </c>
      <c r="AQ178" s="686">
        <f t="shared" ca="1" si="266"/>
        <v>0</v>
      </c>
      <c r="AR178" s="686">
        <f t="shared" ca="1" si="266"/>
        <v>0</v>
      </c>
      <c r="AS178" s="686">
        <f t="shared" ca="1" si="266"/>
        <v>0</v>
      </c>
      <c r="AT178" s="686">
        <f t="shared" ca="1" si="266"/>
        <v>0</v>
      </c>
      <c r="AU178" s="686">
        <f t="shared" ca="1" si="266"/>
        <v>0</v>
      </c>
      <c r="AV178" s="686">
        <f t="shared" ca="1" si="266"/>
        <v>0</v>
      </c>
      <c r="AW178" s="686">
        <f t="shared" ca="1" si="266"/>
        <v>0</v>
      </c>
      <c r="AX178" s="686">
        <f t="shared" ca="1" si="266"/>
        <v>0</v>
      </c>
      <c r="AY178" s="686">
        <f t="shared" ca="1" si="266"/>
        <v>0</v>
      </c>
      <c r="AZ178" s="686">
        <f t="shared" ca="1" si="266"/>
        <v>0</v>
      </c>
      <c r="BA178" s="686">
        <f t="shared" ca="1" si="266"/>
        <v>0</v>
      </c>
      <c r="BB178" s="686">
        <f t="shared" ca="1" si="266"/>
        <v>0</v>
      </c>
      <c r="BC178" s="686">
        <f t="shared" ca="1" si="266"/>
        <v>0</v>
      </c>
      <c r="BD178" s="686">
        <f t="shared" ca="1" si="266"/>
        <v>0</v>
      </c>
      <c r="BE178" s="686">
        <f t="shared" ca="1" si="266"/>
        <v>0</v>
      </c>
      <c r="BF178" s="686">
        <f t="shared" ca="1" si="266"/>
        <v>0</v>
      </c>
      <c r="BG178" s="686">
        <f t="shared" ca="1" si="266"/>
        <v>0</v>
      </c>
      <c r="BH178" s="686">
        <f t="shared" ca="1" si="266"/>
        <v>0</v>
      </c>
      <c r="BI178" s="686">
        <f t="shared" ca="1" si="266"/>
        <v>0</v>
      </c>
      <c r="BJ178" s="686">
        <f t="shared" ca="1" si="266"/>
        <v>0</v>
      </c>
      <c r="BK178" s="686">
        <f t="shared" ca="1" si="266"/>
        <v>0</v>
      </c>
      <c r="BL178" s="686">
        <f t="shared" ca="1" si="266"/>
        <v>0</v>
      </c>
      <c r="BM178" s="686">
        <f t="shared" ca="1" si="266"/>
        <v>0</v>
      </c>
      <c r="BN178" s="686">
        <f t="shared" ca="1" si="266"/>
        <v>0</v>
      </c>
      <c r="BO178" s="686">
        <f t="shared" ca="1" si="266"/>
        <v>0</v>
      </c>
      <c r="BP178" s="686">
        <f t="shared" ca="1" si="266"/>
        <v>0</v>
      </c>
      <c r="BQ178" s="686">
        <f t="shared" ref="BQ178:EB178" ca="1" si="267">SUMIF(BQ175:BQ177,"&lt;0",BQ175:BQ177)</f>
        <v>0</v>
      </c>
      <c r="BR178" s="686">
        <f t="shared" ca="1" si="267"/>
        <v>0</v>
      </c>
      <c r="BS178" s="686">
        <f t="shared" ca="1" si="267"/>
        <v>0</v>
      </c>
      <c r="BT178" s="686">
        <f t="shared" ca="1" si="267"/>
        <v>0</v>
      </c>
      <c r="BU178" s="686">
        <f t="shared" ca="1" si="267"/>
        <v>0</v>
      </c>
      <c r="BV178" s="686">
        <f t="shared" ca="1" si="267"/>
        <v>0</v>
      </c>
      <c r="BW178" s="686">
        <f t="shared" ca="1" si="267"/>
        <v>0</v>
      </c>
      <c r="BX178" s="686">
        <f t="shared" ca="1" si="267"/>
        <v>0</v>
      </c>
      <c r="BY178" s="686">
        <f t="shared" ca="1" si="267"/>
        <v>0</v>
      </c>
      <c r="BZ178" s="686">
        <f t="shared" ca="1" si="267"/>
        <v>0</v>
      </c>
      <c r="CA178" s="686">
        <f t="shared" ca="1" si="267"/>
        <v>0</v>
      </c>
      <c r="CB178" s="686">
        <f t="shared" ca="1" si="267"/>
        <v>0</v>
      </c>
      <c r="CC178" s="686">
        <f t="shared" ca="1" si="267"/>
        <v>0</v>
      </c>
      <c r="CD178" s="686">
        <f t="shared" ca="1" si="267"/>
        <v>0</v>
      </c>
      <c r="CE178" s="686">
        <f t="shared" ca="1" si="267"/>
        <v>0</v>
      </c>
      <c r="CF178" s="686">
        <f t="shared" ca="1" si="267"/>
        <v>0</v>
      </c>
      <c r="CG178" s="686">
        <f t="shared" ca="1" si="267"/>
        <v>0</v>
      </c>
      <c r="CH178" s="686">
        <f t="shared" ca="1" si="267"/>
        <v>0</v>
      </c>
      <c r="CI178" s="686">
        <f t="shared" ca="1" si="267"/>
        <v>0</v>
      </c>
      <c r="CJ178" s="686">
        <f t="shared" ca="1" si="267"/>
        <v>0</v>
      </c>
      <c r="CK178" s="686">
        <f t="shared" ca="1" si="267"/>
        <v>-2.9103830456733704E-11</v>
      </c>
      <c r="CL178" s="686">
        <f t="shared" ca="1" si="267"/>
        <v>0</v>
      </c>
      <c r="CM178" s="686">
        <f t="shared" ca="1" si="267"/>
        <v>0</v>
      </c>
      <c r="CN178" s="686">
        <f t="shared" ca="1" si="267"/>
        <v>0</v>
      </c>
      <c r="CO178" s="686">
        <f t="shared" ca="1" si="267"/>
        <v>0</v>
      </c>
      <c r="CP178" s="686">
        <f t="shared" ca="1" si="267"/>
        <v>0</v>
      </c>
      <c r="CQ178" s="686">
        <f t="shared" ca="1" si="267"/>
        <v>0</v>
      </c>
      <c r="CR178" s="686">
        <f t="shared" ca="1" si="267"/>
        <v>0</v>
      </c>
      <c r="CS178" s="686">
        <f t="shared" ca="1" si="267"/>
        <v>0</v>
      </c>
      <c r="CT178" s="686">
        <f t="shared" ca="1" si="267"/>
        <v>0</v>
      </c>
      <c r="CU178" s="686">
        <f t="shared" ca="1" si="267"/>
        <v>0</v>
      </c>
      <c r="CV178" s="686">
        <f t="shared" ca="1" si="267"/>
        <v>0</v>
      </c>
      <c r="CW178" s="686">
        <f t="shared" ca="1" si="267"/>
        <v>0</v>
      </c>
      <c r="CX178" s="686">
        <f t="shared" ca="1" si="267"/>
        <v>-2.9103830456733704E-11</v>
      </c>
      <c r="CY178" s="686">
        <f t="shared" ca="1" si="267"/>
        <v>-2.9103830456733704E-11</v>
      </c>
      <c r="CZ178" s="686">
        <f t="shared" ca="1" si="267"/>
        <v>0</v>
      </c>
      <c r="DA178" s="686">
        <f t="shared" ca="1" si="267"/>
        <v>0</v>
      </c>
      <c r="DB178" s="686">
        <f t="shared" ca="1" si="267"/>
        <v>0</v>
      </c>
      <c r="DC178" s="686">
        <f t="shared" ca="1" si="267"/>
        <v>0</v>
      </c>
      <c r="DD178" s="686">
        <f t="shared" ca="1" si="267"/>
        <v>0</v>
      </c>
      <c r="DE178" s="686">
        <f t="shared" ca="1" si="267"/>
        <v>0</v>
      </c>
      <c r="DF178" s="686">
        <f t="shared" ca="1" si="267"/>
        <v>0</v>
      </c>
      <c r="DG178" s="686">
        <f t="shared" ca="1" si="267"/>
        <v>0</v>
      </c>
      <c r="DH178" s="686">
        <f t="shared" ca="1" si="267"/>
        <v>0</v>
      </c>
      <c r="DI178" s="686">
        <f t="shared" ca="1" si="267"/>
        <v>0</v>
      </c>
      <c r="DJ178" s="686">
        <f t="shared" ca="1" si="267"/>
        <v>0</v>
      </c>
      <c r="DK178" s="686">
        <f t="shared" ca="1" si="267"/>
        <v>0</v>
      </c>
      <c r="DL178" s="686">
        <f t="shared" ca="1" si="267"/>
        <v>0</v>
      </c>
      <c r="DM178" s="686">
        <f t="shared" ca="1" si="267"/>
        <v>0</v>
      </c>
      <c r="DN178" s="686">
        <f t="shared" ca="1" si="267"/>
        <v>0</v>
      </c>
      <c r="DO178" s="686">
        <f t="shared" ca="1" si="267"/>
        <v>0</v>
      </c>
      <c r="DP178" s="686">
        <f t="shared" ca="1" si="267"/>
        <v>0</v>
      </c>
      <c r="DQ178" s="686">
        <f t="shared" ca="1" si="267"/>
        <v>0</v>
      </c>
      <c r="DR178" s="686">
        <f t="shared" ca="1" si="267"/>
        <v>0</v>
      </c>
      <c r="DS178" s="686">
        <f t="shared" ca="1" si="267"/>
        <v>0</v>
      </c>
      <c r="DT178" s="686">
        <f t="shared" ca="1" si="267"/>
        <v>0</v>
      </c>
      <c r="DU178" s="686">
        <f t="shared" ca="1" si="267"/>
        <v>0</v>
      </c>
      <c r="DV178" s="686">
        <f t="shared" ca="1" si="267"/>
        <v>0</v>
      </c>
      <c r="DW178" s="686">
        <f t="shared" ca="1" si="267"/>
        <v>0</v>
      </c>
      <c r="DX178" s="686">
        <f t="shared" ca="1" si="267"/>
        <v>0</v>
      </c>
      <c r="DY178" s="686">
        <f t="shared" ca="1" si="267"/>
        <v>0</v>
      </c>
      <c r="DZ178" s="686">
        <f t="shared" ca="1" si="267"/>
        <v>0</v>
      </c>
      <c r="EA178" s="686">
        <f t="shared" ca="1" si="267"/>
        <v>0</v>
      </c>
      <c r="EB178" s="686">
        <f t="shared" ca="1" si="267"/>
        <v>0</v>
      </c>
      <c r="EC178" s="686">
        <f ca="1">SUMIF(EC175:EC177,"&lt;0",EC175:EC177)</f>
        <v>0</v>
      </c>
      <c r="ED178" s="686">
        <f ca="1">SUMIF(ED175:ED177,"&lt;0",ED175:ED177)</f>
        <v>0</v>
      </c>
      <c r="EE178" s="686">
        <f ca="1">SUMIF(EE175:EE177,"&lt;0",EE175:EE177)</f>
        <v>0</v>
      </c>
      <c r="EF178" s="686">
        <f ca="1">SUMIF(EF175:EF177,"&lt;0",EF175:EF177)</f>
        <v>0</v>
      </c>
      <c r="EG178" s="686">
        <f ca="1">SUMIF(EG175:EG177,"&lt;0",EG175:EG177)</f>
        <v>0</v>
      </c>
      <c r="EH178" s="733"/>
      <c r="EI178" s="734"/>
    </row>
    <row r="179" spans="1:139" ht="7.5" customHeight="1" thickBot="1" x14ac:dyDescent="0.35">
      <c r="D179" s="282"/>
      <c r="EH179" s="644"/>
      <c r="EI179" s="280"/>
    </row>
    <row r="180" spans="1:139" ht="15" thickTop="1" x14ac:dyDescent="0.3">
      <c r="A180" s="318" t="s">
        <v>2497</v>
      </c>
      <c r="B180" s="635"/>
      <c r="C180" s="321"/>
      <c r="D180" s="728"/>
      <c r="E180" s="322"/>
      <c r="F180" s="322"/>
      <c r="G180" s="322"/>
      <c r="H180" s="322"/>
      <c r="I180" s="322"/>
      <c r="J180" s="322"/>
      <c r="K180" s="322"/>
      <c r="L180" s="322"/>
      <c r="M180" s="322"/>
      <c r="N180" s="322"/>
      <c r="O180" s="322"/>
      <c r="P180" s="322"/>
      <c r="Q180" s="322"/>
      <c r="R180" s="322"/>
      <c r="S180" s="322"/>
      <c r="T180" s="322"/>
      <c r="U180" s="322"/>
      <c r="V180" s="322"/>
      <c r="W180" s="322"/>
      <c r="X180" s="322"/>
      <c r="Y180" s="322"/>
      <c r="Z180" s="322"/>
      <c r="AA180" s="322"/>
      <c r="AB180" s="322"/>
      <c r="AC180" s="322"/>
      <c r="AD180" s="322"/>
      <c r="AE180" s="322"/>
      <c r="AF180" s="322"/>
      <c r="AG180" s="322"/>
      <c r="AH180" s="322"/>
      <c r="AI180" s="322"/>
      <c r="AJ180" s="322"/>
      <c r="AK180" s="322"/>
      <c r="AL180" s="322"/>
      <c r="AM180" s="322"/>
      <c r="AN180" s="322"/>
      <c r="AO180" s="322"/>
      <c r="AP180" s="322"/>
      <c r="AQ180" s="322"/>
      <c r="AR180" s="322"/>
      <c r="AS180" s="322"/>
      <c r="AT180" s="322"/>
      <c r="AU180" s="322"/>
      <c r="AV180" s="322"/>
      <c r="AW180" s="322"/>
      <c r="AX180" s="322"/>
      <c r="AY180" s="322"/>
      <c r="AZ180" s="322"/>
      <c r="BA180" s="322"/>
      <c r="BB180" s="322"/>
      <c r="BC180" s="322"/>
      <c r="BD180" s="322"/>
      <c r="BE180" s="322"/>
      <c r="BF180" s="322"/>
      <c r="BG180" s="322"/>
      <c r="BH180" s="322"/>
      <c r="BI180" s="322"/>
      <c r="BJ180" s="322"/>
      <c r="BK180" s="322"/>
      <c r="BL180" s="322"/>
      <c r="BM180" s="322"/>
      <c r="BN180" s="322"/>
      <c r="BO180" s="322"/>
      <c r="BP180" s="322"/>
      <c r="BQ180" s="322"/>
      <c r="BR180" s="322"/>
      <c r="BS180" s="322"/>
      <c r="BT180" s="322"/>
      <c r="BU180" s="322"/>
      <c r="BV180" s="322"/>
      <c r="BW180" s="322"/>
      <c r="BX180" s="322"/>
      <c r="BY180" s="322"/>
      <c r="BZ180" s="322"/>
      <c r="CA180" s="322"/>
      <c r="CB180" s="322"/>
      <c r="CC180" s="322"/>
      <c r="CD180" s="322"/>
      <c r="CE180" s="322"/>
      <c r="CF180" s="322"/>
      <c r="CG180" s="322"/>
      <c r="CH180" s="322"/>
      <c r="CI180" s="322"/>
      <c r="CJ180" s="322"/>
      <c r="CK180" s="322"/>
      <c r="CL180" s="322"/>
      <c r="CM180" s="322"/>
      <c r="CN180" s="322"/>
      <c r="CO180" s="322"/>
      <c r="CP180" s="322"/>
      <c r="CQ180" s="322"/>
      <c r="CR180" s="322"/>
      <c r="CS180" s="322"/>
      <c r="CT180" s="322"/>
      <c r="CU180" s="322"/>
      <c r="CV180" s="322"/>
      <c r="CW180" s="322"/>
      <c r="CX180" s="322"/>
      <c r="CY180" s="322"/>
      <c r="CZ180" s="322"/>
      <c r="DA180" s="322"/>
      <c r="DB180" s="322"/>
      <c r="DC180" s="322"/>
      <c r="DD180" s="322"/>
      <c r="DE180" s="322"/>
      <c r="DF180" s="322"/>
      <c r="DG180" s="322"/>
      <c r="DH180" s="322"/>
      <c r="DI180" s="322"/>
      <c r="DJ180" s="322"/>
      <c r="DK180" s="322"/>
      <c r="DL180" s="322"/>
      <c r="DM180" s="322"/>
      <c r="DN180" s="322"/>
      <c r="DO180" s="322"/>
      <c r="DP180" s="322"/>
      <c r="DQ180" s="322"/>
      <c r="DR180" s="322"/>
      <c r="DS180" s="322"/>
      <c r="DT180" s="322"/>
      <c r="DU180" s="322"/>
      <c r="DV180" s="322"/>
      <c r="DW180" s="322"/>
      <c r="DX180" s="322"/>
      <c r="DY180" s="322"/>
      <c r="DZ180" s="322"/>
      <c r="EA180" s="322"/>
      <c r="EB180" s="322"/>
      <c r="EC180" s="322"/>
      <c r="ED180" s="322"/>
      <c r="EE180" s="322"/>
      <c r="EF180" s="322"/>
      <c r="EG180" s="322"/>
      <c r="EH180" s="644"/>
      <c r="EI180" s="722"/>
    </row>
    <row r="181" spans="1:139" x14ac:dyDescent="0.3">
      <c r="A181" t="s">
        <v>113</v>
      </c>
      <c r="D181" s="282"/>
      <c r="E181" s="712"/>
      <c r="F181" s="712"/>
      <c r="G181" s="712"/>
      <c r="H181" s="712"/>
      <c r="I181" s="712"/>
      <c r="J181" s="712"/>
      <c r="K181" s="712"/>
      <c r="L181" s="712"/>
      <c r="M181" s="712"/>
      <c r="N181" s="712"/>
      <c r="O181" s="712"/>
      <c r="P181" s="712"/>
      <c r="Q181" s="227">
        <f ca="1">IF('General Inputs'!$H$48="Next Year",SUM(R151:AC151),IF('General Inputs'!$H$48="Current Year",SUM(F151:Q151),SUM(L151:W151)))-IF('General Inputs'!$H$48="Next Year",SUM(OperBgt!S65:AD65),IF('General Inputs'!$H$48="Current Year",SUM(OperBgt!G65:R65),SUM(OperBgt!M65:X65)))</f>
        <v>486603.63326172775</v>
      </c>
      <c r="R181" s="227">
        <f ca="1">IF('General Inputs'!$H$48="Next Year",SUM(S151:AD151),IF('General Inputs'!$H$48="Current Year",SUM(G151:R151),SUM(M151:X151)))-IF('General Inputs'!$H$48="Next Year",SUM(OperBgt!T65:AE65),IF('General Inputs'!$H$48="Current Year",SUM(OperBgt!H65:S65),SUM(OperBgt!N65:Y65)))</f>
        <v>799517.8716226744</v>
      </c>
      <c r="S181" s="227">
        <f ca="1">IF('General Inputs'!$H$48="Next Year",SUM(T151:AE151),IF('General Inputs'!$H$48="Current Year",SUM(H151:S151),SUM(N151:Y151)))-IF('General Inputs'!$H$48="Next Year",SUM(OperBgt!U65:AF65),IF('General Inputs'!$H$48="Current Year",SUM(OperBgt!I65:T65),SUM(OperBgt!O65:Z65)))</f>
        <v>1241811.1657072995</v>
      </c>
      <c r="T181" s="227">
        <f ca="1">IF('General Inputs'!$H$48="Next Year",SUM(U151:AF151),IF('General Inputs'!$H$48="Current Year",SUM(I151:T151),SUM(O151:Z151)))-IF('General Inputs'!$H$48="Next Year",SUM(OperBgt!V65:AG65),IF('General Inputs'!$H$48="Current Year",SUM(OperBgt!J65:U65),SUM(OperBgt!P65:AA65)))</f>
        <v>1775688.3625134691</v>
      </c>
      <c r="U181" s="227">
        <f ca="1">IF('General Inputs'!$H$48="Next Year",SUM(V151:AG151),IF('General Inputs'!$H$48="Current Year",SUM(J151:U151),SUM(P151:AA151)))-IF('General Inputs'!$H$48="Next Year",SUM(OperBgt!W65:AH65),IF('General Inputs'!$H$48="Current Year",SUM(OperBgt!K65:V65),SUM(OperBgt!Q65:AB65)))</f>
        <v>2317746.8141580438</v>
      </c>
      <c r="V181" s="227">
        <f ca="1">IF('General Inputs'!$H$48="Next Year",SUM(W151:AH151),IF('General Inputs'!$H$48="Current Year",SUM(K151:V151),SUM(Q151:AB151)))-IF('General Inputs'!$H$48="Next Year",SUM(OperBgt!X65:AI65),IF('General Inputs'!$H$48="Current Year",SUM(OperBgt!L65:W65),SUM(OperBgt!R65:AC65)))</f>
        <v>2830915.7502216105</v>
      </c>
      <c r="W181" s="227">
        <f ca="1">IF('General Inputs'!$H$48="Next Year",SUM(X151:AI151),IF('General Inputs'!$H$48="Current Year",SUM(L151:W151),SUM(R151:AC151)))-IF('General Inputs'!$H$48="Next Year",SUM(OperBgt!Y65:AJ65),IF('General Inputs'!$H$48="Current Year",SUM(OperBgt!M65:X65),SUM(OperBgt!S65:AD65)))</f>
        <v>3313089.445044463</v>
      </c>
      <c r="X181" s="227">
        <f ca="1">IF('General Inputs'!$H$48="Next Year",SUM(Y151:AJ151),IF('General Inputs'!$H$48="Current Year",SUM(M151:X151),SUM(S151:AD151)))-IF('General Inputs'!$H$48="Next Year",SUM(OperBgt!Z65:AK65),IF('General Inputs'!$H$48="Current Year",SUM(OperBgt!N65:Y65),SUM(OperBgt!T65:AE65)))</f>
        <v>3755533.9131818605</v>
      </c>
      <c r="Y181" s="227">
        <f ca="1">IF('General Inputs'!$H$48="Next Year",SUM(Z151:AK151),IF('General Inputs'!$H$48="Current Year",SUM(N151:Y151),SUM(T151:AE151)))-IF('General Inputs'!$H$48="Next Year",SUM(OperBgt!AA65:AL65),IF('General Inputs'!$H$48="Current Year",SUM(OperBgt!O65:Z65),SUM(OperBgt!U65:AF65)))</f>
        <v>4162483.7173877214</v>
      </c>
      <c r="Z181" s="227">
        <f ca="1">IF('General Inputs'!$H$48="Next Year",SUM(AA151:AL151),IF('General Inputs'!$H$48="Current Year",SUM(O151:Z151),SUM(U151:AF151)))-IF('General Inputs'!$H$48="Next Year",SUM(OperBgt!AB65:AM65),IF('General Inputs'!$H$48="Current Year",SUM(OperBgt!P65:AA65),SUM(OperBgt!V65:AG65)))</f>
        <v>4525771.8702856777</v>
      </c>
      <c r="AA181" s="227">
        <f ca="1">IF('General Inputs'!$H$48="Next Year",SUM(AB151:AM151),IF('General Inputs'!$H$48="Current Year",SUM(P151:AA151),SUM(V151:AG151)))-IF('General Inputs'!$H$48="Next Year",SUM(OperBgt!AC65:AN65),IF('General Inputs'!$H$48="Current Year",SUM(OperBgt!Q65:AB65),SUM(OperBgt!W65:AH65)))</f>
        <v>4836905.6686216881</v>
      </c>
      <c r="AB181" s="227">
        <f ca="1">IF('General Inputs'!$H$48="Next Year",SUM(AC151:AN151),IF('General Inputs'!$H$48="Current Year",SUM(Q151:AB151),SUM(W151:AH151)))-IF('General Inputs'!$H$48="Next Year",SUM(OperBgt!AD65:AO65),IF('General Inputs'!$H$48="Current Year",SUM(OperBgt!R65:AC65),SUM(OperBgt!X65:AI65)))</f>
        <v>5095856.1903470261</v>
      </c>
      <c r="AC181" s="227">
        <f ca="1">IF('General Inputs'!$H$48="Next Year",SUM(AD151:AO151),IF('General Inputs'!$H$48="Current Year",SUM(R151:AC151),SUM(X151:AI151)))-IF('General Inputs'!$H$48="Next Year",SUM(OperBgt!AE65:AP65),IF('General Inputs'!$H$48="Current Year",SUM(OperBgt!S65:AD65),SUM(OperBgt!Y65:AJ65)))</f>
        <v>5303050.5038964218</v>
      </c>
      <c r="AD181" s="227">
        <f ca="1">IF('General Inputs'!$H$48="Next Year",SUM(AE151:AP151),IF('General Inputs'!$H$48="Current Year",SUM(S151:AD151),SUM(Y151:AJ151)))-IF('General Inputs'!$H$48="Next Year",SUM(OperBgt!AF65:AQ65),IF('General Inputs'!$H$48="Current Year",SUM(OperBgt!T65:AE65),SUM(OperBgt!Z65:AK65)))</f>
        <v>5466564.1907352023</v>
      </c>
      <c r="AE181" s="227">
        <f ca="1">IF('General Inputs'!$H$48="Next Year",SUM(AF151:AQ151),IF('General Inputs'!$H$48="Current Year",SUM(T151:AE151),SUM(Z151:AK151)))-IF('General Inputs'!$H$48="Next Year",SUM(OperBgt!AG65:AR65),IF('General Inputs'!$H$48="Current Year",SUM(OperBgt!U65:AF65),SUM(OperBgt!AA65:AL65)))</f>
        <v>5584180.7360970089</v>
      </c>
      <c r="AF181" s="227">
        <f ca="1">IF('General Inputs'!$H$48="Next Year",SUM(AG151:AR151),IF('General Inputs'!$H$48="Current Year",SUM(U151:AF151),SUM(AA151:AL151)))-IF('General Inputs'!$H$48="Next Year",SUM(OperBgt!AH65:AS65),IF('General Inputs'!$H$48="Current Year",SUM(OperBgt!V65:AG65),SUM(OperBgt!AB65:AM65)))</f>
        <v>5615475.2792723458</v>
      </c>
      <c r="AG181" s="227">
        <f ca="1">IF('General Inputs'!$H$48="Next Year",SUM(AH151:AS151),IF('General Inputs'!$H$48="Current Year",SUM(V151:AG151),SUM(AB151:AM151)))-IF('General Inputs'!$H$48="Next Year",SUM(OperBgt!AI65:AT65),IF('General Inputs'!$H$48="Current Year",SUM(OperBgt!W65:AH65),SUM(OperBgt!AC65:AN65)))</f>
        <v>5638571.1358792642</v>
      </c>
      <c r="AH181" s="227">
        <f ca="1">IF('General Inputs'!$H$48="Next Year",SUM(AI151:AT151),IF('General Inputs'!$H$48="Current Year",SUM(W151:AH151),SUM(AC151:AN151)))-IF('General Inputs'!$H$48="Next Year",SUM(OperBgt!AJ65:AU65),IF('General Inputs'!$H$48="Current Year",SUM(OperBgt!X65:AI65),SUM(OperBgt!AD65:AO65)))</f>
        <v>5662218.5893172091</v>
      </c>
      <c r="AI181" s="227">
        <f ca="1">IF('General Inputs'!$H$48="Next Year",SUM(AJ151:AU151),IF('General Inputs'!$H$48="Current Year",SUM(X151:AI151),SUM(AD151:AO151)))-IF('General Inputs'!$H$48="Next Year",SUM(OperBgt!AK65:AV65),IF('General Inputs'!$H$48="Current Year",SUM(OperBgt!Y65:AJ65),SUM(OperBgt!AE65:AP65)))</f>
        <v>5686387.5663833544</v>
      </c>
      <c r="AJ181" s="227">
        <f ca="1">IF('General Inputs'!$H$48="Next Year",SUM(AK151:AV151),IF('General Inputs'!$H$48="Current Year",SUM(Y151:AJ151),SUM(AE151:AP151)))-IF('General Inputs'!$H$48="Next Year",SUM(OperBgt!AL65:AW65),IF('General Inputs'!$H$48="Current Year",SUM(OperBgt!Z65:AK65),SUM(OperBgt!AF65:AQ65)))</f>
        <v>5710530.25354339</v>
      </c>
      <c r="AK181" s="227">
        <f ca="1">IF('General Inputs'!$H$48="Next Year",SUM(AL151:AW151),IF('General Inputs'!$H$48="Current Year",SUM(Z151:AK151),SUM(AF151:AQ151)))-IF('General Inputs'!$H$48="Next Year",SUM(OperBgt!AM65:AX65),IF('General Inputs'!$H$48="Current Year",SUM(OperBgt!AA65:AL65),SUM(OperBgt!AG65:AR65)))</f>
        <v>5734361.1907627545</v>
      </c>
      <c r="AL181" s="227">
        <f ca="1">IF('General Inputs'!$H$48="Next Year",SUM(AM151:AX151),IF('General Inputs'!$H$48="Current Year",SUM(AA151:AL151),SUM(AG151:AR151)))-IF('General Inputs'!$H$48="Next Year",SUM(OperBgt!AN65:AY65),IF('General Inputs'!$H$48="Current Year",SUM(OperBgt!AB65:AM65),SUM(OperBgt!AH65:AS65)))</f>
        <v>5757811.5115443422</v>
      </c>
      <c r="AM181" s="227">
        <f ca="1">IF('General Inputs'!$H$48="Next Year",SUM(AN151:AY151),IF('General Inputs'!$H$48="Current Year",SUM(AB151:AM151),SUM(AH151:AS151)))-IF('General Inputs'!$H$48="Next Year",SUM(OperBgt!AO65:AZ65),IF('General Inputs'!$H$48="Current Year",SUM(OperBgt!AC65:AN65),SUM(OperBgt!AI65:AT65)))</f>
        <v>5780811.8388658734</v>
      </c>
      <c r="AN181" s="227">
        <f ca="1">IF('General Inputs'!$H$48="Next Year",SUM(AO151:AZ151),IF('General Inputs'!$H$48="Current Year",SUM(AC151:AN151),SUM(AI151:AT151)))-IF('General Inputs'!$H$48="Next Year",SUM(OperBgt!AP65:BA65),IF('General Inputs'!$H$48="Current Year",SUM(OperBgt!AD65:AO65),SUM(OperBgt!AJ65:AU65)))</f>
        <v>5803292.2823840054</v>
      </c>
      <c r="AO181" s="227">
        <f ca="1">IF('General Inputs'!$H$48="Next Year",SUM(AP151:BA151),IF('General Inputs'!$H$48="Current Year",SUM(AD151:AO151),SUM(AJ151:AU151)))-IF('General Inputs'!$H$48="Next Year",SUM(OperBgt!AQ65:BB65),IF('General Inputs'!$H$48="Current Year",SUM(OperBgt!AE65:AP65),SUM(OperBgt!AK65:AV65)))</f>
        <v>5825182.4356253222</v>
      </c>
      <c r="AP181" s="227">
        <f ca="1">IF('General Inputs'!$H$48="Next Year",SUM(AQ151:BB151),IF('General Inputs'!$H$48="Current Year",SUM(AE151:AP151),SUM(AK151:AV151)))-IF('General Inputs'!$H$48="Next Year",SUM(OperBgt!AR65:BC65),IF('General Inputs'!$H$48="Current Year",SUM(OperBgt!AF65:AQ65),SUM(OperBgt!AL65:AW65)))</f>
        <v>5846634.0700764991</v>
      </c>
      <c r="AQ181" s="227">
        <f ca="1">IF('General Inputs'!$H$48="Next Year",SUM(AR151:BC151),IF('General Inputs'!$H$48="Current Year",SUM(AF151:AQ151),SUM(AL151:AW151)))-IF('General Inputs'!$H$48="Next Year",SUM(OperBgt!AS65:BD65),IF('General Inputs'!$H$48="Current Year",SUM(OperBgt!AG65:AR65),SUM(OperBgt!AM65:AX65)))</f>
        <v>5867138.2851629499</v>
      </c>
      <c r="AR181" s="227">
        <f ca="1">IF('General Inputs'!$H$48="Next Year",SUM(AS151:BD151),IF('General Inputs'!$H$48="Current Year",SUM(AG151:AR151),SUM(AM151:AX151)))-IF('General Inputs'!$H$48="Next Year",SUM(OperBgt!AT65:BE65),IF('General Inputs'!$H$48="Current Year",SUM(OperBgt!AH65:AS65),SUM(OperBgt!AN65:AY65)))</f>
        <v>5886766.3090078365</v>
      </c>
      <c r="AS181" s="227">
        <f ca="1">IF('General Inputs'!$H$48="Next Year",SUM(AT151:BE151),IF('General Inputs'!$H$48="Current Year",SUM(AH151:AS151),SUM(AN151:AY151)))-IF('General Inputs'!$H$48="Next Year",SUM(OperBgt!AU65:BF65),IF('General Inputs'!$H$48="Current Year",SUM(OperBgt!AI65:AT65),SUM(OperBgt!AO65:AZ65)))</f>
        <v>5907129.0772375735</v>
      </c>
      <c r="AT181" s="227">
        <f ca="1">IF('General Inputs'!$H$48="Next Year",SUM(AU151:BF151),IF('General Inputs'!$H$48="Current Year",SUM(AI151:AT151),SUM(AO151:AZ151)))-IF('General Inputs'!$H$48="Next Year",SUM(OperBgt!AV65:BG65),IF('General Inputs'!$H$48="Current Year",SUM(OperBgt!AJ65:AU65),SUM(OperBgt!AP65:BA65)))</f>
        <v>5927015.4993416993</v>
      </c>
      <c r="AU181" s="227">
        <f ca="1">IF('General Inputs'!$H$48="Next Year",SUM(AV151:BG151),IF('General Inputs'!$H$48="Current Year",SUM(AJ151:AU151),SUM(AP151:BA151)))-IF('General Inputs'!$H$48="Next Year",SUM(OperBgt!AW65:BH65),IF('General Inputs'!$H$48="Current Year",SUM(OperBgt!AK65:AV65),SUM(OperBgt!AQ65:BB65)))</f>
        <v>5946483.7610710952</v>
      </c>
      <c r="AV181" s="227">
        <f ca="1">IF('General Inputs'!$H$48="Next Year",SUM(AW151:BH151),IF('General Inputs'!$H$48="Current Year",SUM(AK151:AV151),SUM(AQ151:BB151)))-IF('General Inputs'!$H$48="Next Year",SUM(OperBgt!AX65:BI65),IF('General Inputs'!$H$48="Current Year",SUM(OperBgt!AL65:AW65),SUM(OperBgt!AR65:BC65)))</f>
        <v>5965409.0414280528</v>
      </c>
      <c r="AW181" s="227">
        <f ca="1">IF('General Inputs'!$H$48="Next Year",SUM(AX151:BI151),IF('General Inputs'!$H$48="Current Year",SUM(AL151:AW151),SUM(AR151:BC151)))-IF('General Inputs'!$H$48="Next Year",SUM(OperBgt!AY65:BJ65),IF('General Inputs'!$H$48="Current Year",SUM(OperBgt!AM65:AX65),SUM(OperBgt!AS65:BD65)))</f>
        <v>5983923.6474896045</v>
      </c>
      <c r="AX181" s="227">
        <f ca="1">IF('General Inputs'!$H$48="Next Year",SUM(AY151:BJ151),IF('General Inputs'!$H$48="Current Year",SUM(AM151:AX151),SUM(AS151:BD151)))-IF('General Inputs'!$H$48="Next Year",SUM(OperBgt!AZ65:BK65),IF('General Inputs'!$H$48="Current Year",SUM(OperBgt!AN65:AY65),SUM(OperBgt!AT65:BE65)))</f>
        <v>6002160.9506704016</v>
      </c>
      <c r="AY181" s="227">
        <f ca="1">IF('General Inputs'!$H$48="Next Year",SUM(AZ151:BK151),IF('General Inputs'!$H$48="Current Year",SUM(AN151:AY151),SUM(AT151:BE151)))-IF('General Inputs'!$H$48="Next Year",SUM(OperBgt!BA65:BL65),IF('General Inputs'!$H$48="Current Year",SUM(OperBgt!AO65:AZ65),SUM(OperBgt!AU65:BF65)))</f>
        <v>6020255.3932064222</v>
      </c>
      <c r="AZ181" s="227">
        <f ca="1">IF('General Inputs'!$H$48="Next Year",SUM(BA151:BL151),IF('General Inputs'!$H$48="Current Year",SUM(AO151:AZ151),SUM(AU151:BF151)))-IF('General Inputs'!$H$48="Next Year",SUM(OperBgt!BB65:BM65),IF('General Inputs'!$H$48="Current Year",SUM(OperBgt!AP65:BA65),SUM(OperBgt!AV65:BG65)))</f>
        <v>6038342.4946742645</v>
      </c>
      <c r="BA181" s="227">
        <f ca="1">IF('General Inputs'!$H$48="Next Year",SUM(BB151:BM151),IF('General Inputs'!$H$48="Current Year",SUM(AP151:BA151),SUM(AV151:BG151)))-IF('General Inputs'!$H$48="Next Year",SUM(OperBgt!BC65:BN65),IF('General Inputs'!$H$48="Current Year",SUM(OperBgt!AQ65:BB65),SUM(OperBgt!AW65:BH65)))</f>
        <v>6056558.8585462254</v>
      </c>
      <c r="BB181" s="227">
        <f ca="1">IF('General Inputs'!$H$48="Next Year",SUM(BC151:BN151),IF('General Inputs'!$H$48="Current Year",SUM(AQ151:BB151),SUM(AW151:BH151)))-IF('General Inputs'!$H$48="Next Year",SUM(OperBgt!BD65:BO65),IF('General Inputs'!$H$48="Current Year",SUM(OperBgt!AR65:BC65),SUM(OperBgt!AX65:BI65)))</f>
        <v>6074955.5537554631</v>
      </c>
      <c r="BC181" s="227">
        <f ca="1">IF('General Inputs'!$H$48="Next Year",SUM(BD151:BO151),IF('General Inputs'!$H$48="Current Year",SUM(AR151:BC151),SUM(AX151:BI151)))-IF('General Inputs'!$H$48="Next Year",SUM(OperBgt!BE65:BP65),IF('General Inputs'!$H$48="Current Year",SUM(OperBgt!AS65:BD65),SUM(OperBgt!AY65:BJ65)))</f>
        <v>6093829.2021369357</v>
      </c>
      <c r="BD181" s="227">
        <f ca="1">IF('General Inputs'!$H$48="Next Year",SUM(BE151:BP151),IF('General Inputs'!$H$48="Current Year",SUM(AS151:BD151),SUM(AY151:BJ151)))-IF('General Inputs'!$H$48="Next Year",SUM(OperBgt!BF65:BQ65),IF('General Inputs'!$H$48="Current Year",SUM(OperBgt!AT65:BE65),SUM(OperBgt!AZ65:BK65)))</f>
        <v>6113225.060278995</v>
      </c>
      <c r="BE181" s="227">
        <f ca="1">IF('General Inputs'!$H$48="Next Year",SUM(BF151:BQ151),IF('General Inputs'!$H$48="Current Year",SUM(AT151:BE151),SUM(AZ151:BK151)))-IF('General Inputs'!$H$48="Next Year",SUM(OperBgt!BG65:BR65),IF('General Inputs'!$H$48="Current Year",SUM(OperBgt!AU65:BF65),SUM(OperBgt!BA65:BL65)))</f>
        <v>6132722.2028710609</v>
      </c>
      <c r="BF181" s="227">
        <f ca="1">IF('General Inputs'!$H$48="Next Year",SUM(BG151:BR151),IF('General Inputs'!$H$48="Current Year",SUM(AU151:BF151),SUM(BA151:BL151)))-IF('General Inputs'!$H$48="Next Year",SUM(OperBgt!BH65:BS65),IF('General Inputs'!$H$48="Current Year",SUM(OperBgt!AV65:BG65),SUM(OperBgt!BB65:BM65)))</f>
        <v>6152566.6408960521</v>
      </c>
      <c r="BG181" s="227">
        <f ca="1">IF('General Inputs'!$H$48="Next Year",SUM(BH151:BS151),IF('General Inputs'!$H$48="Current Year",SUM(AV151:BG151),SUM(BB151:BM151)))-IF('General Inputs'!$H$48="Next Year",SUM(OperBgt!BI65:BT65),IF('General Inputs'!$H$48="Current Year",SUM(OperBgt!AW65:BH65),SUM(OperBgt!BC65:BN65)))</f>
        <v>6172739.1755592395</v>
      </c>
      <c r="BH181" s="227">
        <f ca="1">IF('General Inputs'!$H$48="Next Year",SUM(BI151:BT151),IF('General Inputs'!$H$48="Current Year",SUM(AW151:BH151),SUM(BC151:BN151)))-IF('General Inputs'!$H$48="Next Year",SUM(OperBgt!BJ65:BU65),IF('General Inputs'!$H$48="Current Year",SUM(OperBgt!AX65:BI65),SUM(OperBgt!BD65:BO65)))</f>
        <v>6193371.3183819875</v>
      </c>
      <c r="BI181" s="227">
        <f ca="1">IF('General Inputs'!$H$48="Next Year",SUM(BJ151:BU151),IF('General Inputs'!$H$48="Current Year",SUM(AX151:BI151),SUM(BD151:BO151)))-IF('General Inputs'!$H$48="Next Year",SUM(OperBgt!BK65:BV65),IF('General Inputs'!$H$48="Current Year",SUM(OperBgt!AY65:BJ65),SUM(OperBgt!BE65:BP65)))</f>
        <v>6214419.4133675331</v>
      </c>
      <c r="BJ181" s="227">
        <f ca="1">IF('General Inputs'!$H$48="Next Year",SUM(BK151:BV151),IF('General Inputs'!$H$48="Current Year",SUM(AY151:BJ151),SUM(BE151:BP151)))-IF('General Inputs'!$H$48="Next Year",SUM(OperBgt!BL65:BW65),IF('General Inputs'!$H$48="Current Year",SUM(OperBgt!AZ65:BK65),SUM(OperBgt!BF65:BQ65)))</f>
        <v>6235839.4751603669</v>
      </c>
      <c r="BK181" s="227">
        <f ca="1">IF('General Inputs'!$H$48="Next Year",SUM(BL151:BW151),IF('General Inputs'!$H$48="Current Year",SUM(AZ151:BK151),SUM(BF151:BQ151)))-IF('General Inputs'!$H$48="Next Year",SUM(OperBgt!BM65:BX65),IF('General Inputs'!$H$48="Current Year",SUM(OperBgt!BA65:BL65),SUM(OperBgt!BG65:BR65)))</f>
        <v>6257587.1871975362</v>
      </c>
      <c r="BL181" s="227">
        <f ca="1">IF('General Inputs'!$H$48="Next Year",SUM(BM151:BX151),IF('General Inputs'!$H$48="Current Year",SUM(BA151:BL151),SUM(BG151:BR151)))-IF('General Inputs'!$H$48="Next Year",SUM(OperBgt!BN65:BY65),IF('General Inputs'!$H$48="Current Year",SUM(OperBgt!BB65:BM65),SUM(OperBgt!BH65:BS65)))</f>
        <v>6279617.899850715</v>
      </c>
      <c r="BM181" s="227">
        <f ca="1">IF('General Inputs'!$H$48="Next Year",SUM(BN151:BY151),IF('General Inputs'!$H$48="Current Year",SUM(BB151:BM151),SUM(BH151:BS151)))-IF('General Inputs'!$H$48="Next Year",SUM(OperBgt!BO65:BZ65),IF('General Inputs'!$H$48="Current Year",SUM(OperBgt!BC65:BN65),SUM(OperBgt!BI65:BT65)))</f>
        <v>6301886.6285589896</v>
      </c>
      <c r="BN181" s="227">
        <f ca="1">IF('General Inputs'!$H$48="Next Year",SUM(BO151:BZ151),IF('General Inputs'!$H$48="Current Year",SUM(BC151:BN151),SUM(BI151:BT151)))-IF('General Inputs'!$H$48="Next Year",SUM(OperBgt!BP65:CA65),IF('General Inputs'!$H$48="Current Year",SUM(OperBgt!BD65:BO65),SUM(OperBgt!BJ65:BU65)))</f>
        <v>6324286.2516319863</v>
      </c>
      <c r="BO181" s="227">
        <f ca="1">IF('General Inputs'!$H$48="Next Year",SUM(BP151:CA151),IF('General Inputs'!$H$48="Current Year",SUM(BD151:BO151),SUM(BJ151:BU151)))-IF('General Inputs'!$H$48="Next Year",SUM(OperBgt!BQ65:CB65),IF('General Inputs'!$H$48="Current Year",SUM(OperBgt!BE65:BP65),SUM(OperBgt!BK65:BV65)))</f>
        <v>6346899.7849845504</v>
      </c>
      <c r="BP181" s="227">
        <f ca="1">IF('General Inputs'!$H$48="Next Year",SUM(BQ151:CB151),IF('General Inputs'!$H$48="Current Year",SUM(BE151:BP151),SUM(BK151:BV151)))-IF('General Inputs'!$H$48="Next Year",SUM(OperBgt!BR65:CC65),IF('General Inputs'!$H$48="Current Year",SUM(OperBgt!BF65:BQ65),SUM(OperBgt!BL65:BW65)))</f>
        <v>6369664.4513462717</v>
      </c>
      <c r="BQ181" s="227">
        <f ca="1">IF('General Inputs'!$H$48="Next Year",SUM(BR151:CC151),IF('General Inputs'!$H$48="Current Year",SUM(BF151:BQ151),SUM(BL151:BW151)))-IF('General Inputs'!$H$48="Next Year",SUM(OperBgt!BS65:CD65),IF('General Inputs'!$H$48="Current Year",SUM(OperBgt!BG65:BR65),SUM(OperBgt!BM65:BX65)))</f>
        <v>6392320.2761016544</v>
      </c>
      <c r="BR181" s="227">
        <f ca="1">IF('General Inputs'!$H$48="Next Year",SUM(BS151:CD151),IF('General Inputs'!$H$48="Current Year",SUM(BG151:BR151),SUM(BM151:BX151)))-IF('General Inputs'!$H$48="Next Year",SUM(OperBgt!BT65:CE65),IF('General Inputs'!$H$48="Current Year",SUM(OperBgt!BH65:BS65),SUM(OperBgt!BN65:BY65)))</f>
        <v>6415046.0327254571</v>
      </c>
      <c r="BS181" s="227">
        <f ca="1">IF('General Inputs'!$H$48="Next Year",SUM(BT151:CE151),IF('General Inputs'!$H$48="Current Year",SUM(BH151:BS151),SUM(BN151:BY151)))-IF('General Inputs'!$H$48="Next Year",SUM(OperBgt!BU65:CF65),IF('General Inputs'!$H$48="Current Year",SUM(OperBgt!BI65:BT65),SUM(OperBgt!BO65:BZ65)))</f>
        <v>6437841.9123788653</v>
      </c>
      <c r="BT181" s="227">
        <f ca="1">IF('General Inputs'!$H$48="Next Year",SUM(BU151:CF151),IF('General Inputs'!$H$48="Current Year",SUM(BI151:BT151),SUM(BO151:BZ151)))-IF('General Inputs'!$H$48="Next Year",SUM(OperBgt!BV65:CG65),IF('General Inputs'!$H$48="Current Year",SUM(OperBgt!BJ65:BU65),SUM(OperBgt!BP65:CA65)))</f>
        <v>6460739.5629424378</v>
      </c>
      <c r="BU181" s="227">
        <f ca="1">IF('General Inputs'!$H$48="Next Year",SUM(BV151:CG151),IF('General Inputs'!$H$48="Current Year",SUM(BJ151:BU151),SUM(BP151:CA151)))-IF('General Inputs'!$H$48="Next Year",SUM(OperBgt!BW65:CH65),IF('General Inputs'!$H$48="Current Year",SUM(OperBgt!BK65:BV65),SUM(OperBgt!BQ65:CB65)))</f>
        <v>6483739.3940660134</v>
      </c>
      <c r="BV181" s="227">
        <f ca="1">IF('General Inputs'!$H$48="Next Year",SUM(BW151:CH151),IF('General Inputs'!$H$48="Current Year",SUM(BK151:BV151),SUM(BQ151:CB151)))-IF('General Inputs'!$H$48="Next Year",SUM(OperBgt!BX65:CI65),IF('General Inputs'!$H$48="Current Year",SUM(OperBgt!BL65:BW65),SUM(OperBgt!BR65:CC65)))</f>
        <v>6506841.8170677675</v>
      </c>
      <c r="BW181" s="227">
        <f ca="1">IF('General Inputs'!$H$48="Next Year",SUM(BX151:CI151),IF('General Inputs'!$H$48="Current Year",SUM(BL151:BW151),SUM(BR151:CC151)))-IF('General Inputs'!$H$48="Next Year",SUM(OperBgt!BY65:CJ65),IF('General Inputs'!$H$48="Current Year",SUM(OperBgt!BM65:BX65),SUM(OperBgt!BS65:CD65)))</f>
        <v>6530047.2449410474</v>
      </c>
      <c r="BX181" s="227">
        <f ca="1">IF('General Inputs'!$H$48="Next Year",SUM(BY151:CJ151),IF('General Inputs'!$H$48="Current Year",SUM(BM151:BX151),SUM(BS151:CD151)))-IF('General Inputs'!$H$48="Next Year",SUM(OperBgt!BZ65:CK65),IF('General Inputs'!$H$48="Current Year",SUM(OperBgt!BN65:BY65),SUM(OperBgt!BT65:CE65)))</f>
        <v>6553356.0923612425</v>
      </c>
      <c r="BY181" s="227">
        <f ca="1">IF('General Inputs'!$H$48="Next Year",SUM(BZ151:CK151),IF('General Inputs'!$H$48="Current Year",SUM(BN151:BY151),SUM(BT151:CE151)))-IF('General Inputs'!$H$48="Next Year",SUM(OperBgt!CA65:CL65),IF('General Inputs'!$H$48="Current Year",SUM(OperBgt!BO65:BZ65),SUM(OperBgt!BU65:CF65)))</f>
        <v>6576768.7756926967</v>
      </c>
      <c r="BZ181" s="227">
        <f ca="1">IF('General Inputs'!$H$48="Next Year",SUM(CA151:CL151),IF('General Inputs'!$H$48="Current Year",SUM(BO151:BZ151),SUM(BU151:CF151)))-IF('General Inputs'!$H$48="Next Year",SUM(OperBgt!CB65:CM65),IF('General Inputs'!$H$48="Current Year",SUM(OperBgt!BP65:CA65),SUM(OperBgt!BV65:CG65)))</f>
        <v>6600253.4658503877</v>
      </c>
      <c r="CA181" s="227">
        <f ca="1">IF('General Inputs'!$H$48="Next Year",SUM(CB151:CM151),IF('General Inputs'!$H$48="Current Year",SUM(BP151:CA151),SUM(BV151:CG151)))-IF('General Inputs'!$H$48="Next Year",SUM(OperBgt!CC65:CN65),IF('General Inputs'!$H$48="Current Year",SUM(OperBgt!BQ65:CB65),SUM(OperBgt!BW65:CH65)))</f>
        <v>6623875.0323061459</v>
      </c>
      <c r="CB181" s="227">
        <f ca="1">IF('General Inputs'!$H$48="Next Year",SUM(CC151:CN151),IF('General Inputs'!$H$48="Current Year",SUM(BQ151:CB151),SUM(BW151:CH151)))-IF('General Inputs'!$H$48="Next Year",SUM(OperBgt!CD65:CO65),IF('General Inputs'!$H$48="Current Year",SUM(OperBgt!BR65:CC65),SUM(OperBgt!BX65:CI65)))</f>
        <v>6647616.6476280931</v>
      </c>
      <c r="CC181" s="227">
        <f ca="1">IF('General Inputs'!$H$48="Next Year",SUM(CD151:CO151),IF('General Inputs'!$H$48="Current Year",SUM(BR151:CC151),SUM(BX151:CI151)))-IF('General Inputs'!$H$48="Next Year",SUM(OperBgt!CE65:CP65),IF('General Inputs'!$H$48="Current Year",SUM(OperBgt!BS65:CD65),SUM(OperBgt!BY65:CJ65)))</f>
        <v>6671245.5942205051</v>
      </c>
      <c r="CD181" s="227">
        <f ca="1">IF('General Inputs'!$H$48="Next Year",SUM(CE151:CP151),IF('General Inputs'!$H$48="Current Year",SUM(BS151:CD151),SUM(BY151:CJ151)))-IF('General Inputs'!$H$48="Next Year",SUM(OperBgt!CF65:CQ65),IF('General Inputs'!$H$48="Current Year",SUM(OperBgt!BT65:CE65),SUM(OperBgt!BZ65:CK65)))</f>
        <v>6694947.3382962849</v>
      </c>
      <c r="CE181" s="227">
        <f ca="1">IF('General Inputs'!$H$48="Next Year",SUM(CF151:CQ151),IF('General Inputs'!$H$48="Current Year",SUM(BT151:CE151),SUM(BZ151:CK151)))-IF('General Inputs'!$H$48="Next Year",SUM(OperBgt!CG65:CR65),IF('General Inputs'!$H$48="Current Year",SUM(OperBgt!BU65:CF65),SUM(OperBgt!CA65:CL65)))</f>
        <v>6718722.078874032</v>
      </c>
      <c r="CF181" s="227">
        <f ca="1">IF('General Inputs'!$H$48="Next Year",SUM(CG151:CR151),IF('General Inputs'!$H$48="Current Year",SUM(BU151:CF151),SUM(CA151:CL151)))-IF('General Inputs'!$H$48="Next Year",SUM(OperBgt!CH65:CS65),IF('General Inputs'!$H$48="Current Year",SUM(OperBgt!BV65:CG65),SUM(OperBgt!CB65:CM65)))</f>
        <v>6742602.8013541242</v>
      </c>
      <c r="CG181" s="227">
        <f ca="1">IF('General Inputs'!$H$48="Next Year",SUM(CH151:CS151),IF('General Inputs'!$H$48="Current Year",SUM(BV151:CG151),SUM(CB151:CM151)))-IF('General Inputs'!$H$48="Next Year",SUM(OperBgt!CI65:CT65),IF('General Inputs'!$H$48="Current Year",SUM(OperBgt!BW65:CH65),SUM(OperBgt!CC65:CN65)))</f>
        <v>6766589.9324781429</v>
      </c>
      <c r="CH181" s="227">
        <f ca="1">IF('General Inputs'!$H$48="Next Year",SUM(CI151:CT151),IF('General Inputs'!$H$48="Current Year",SUM(BW151:CH151),SUM(CC151:CN151)))-IF('General Inputs'!$H$48="Next Year",SUM(OperBgt!CJ65:CU65),IF('General Inputs'!$H$48="Current Year",SUM(OperBgt!BX65:CI65),SUM(OperBgt!CD65:CO65)))</f>
        <v>6790683.90072597</v>
      </c>
      <c r="CI181" s="227">
        <f ca="1">IF('General Inputs'!$H$48="Next Year",SUM(CJ151:CU151),IF('General Inputs'!$H$48="Current Year",SUM(BX151:CI151),SUM(CD151:CO151)))-IF('General Inputs'!$H$48="Next Year",SUM(OperBgt!CK65:CV65),IF('General Inputs'!$H$48="Current Year",SUM(OperBgt!BY65:CJ65),SUM(OperBgt!CE65:CP65)))</f>
        <v>6814885.1363229128</v>
      </c>
      <c r="CJ181" s="227">
        <f ca="1">IF('General Inputs'!$H$48="Next Year",SUM(CK151:CV151),IF('General Inputs'!$H$48="Current Year",SUM(BY151:CJ151),SUM(CE151:CP151)))-IF('General Inputs'!$H$48="Next Year",SUM(OperBgt!CL65:CW65),IF('General Inputs'!$H$48="Current Year",SUM(OperBgt!BZ65:CK65),SUM(OperBgt!CF65:CQ65)))</f>
        <v>6839194.0712468717</v>
      </c>
      <c r="CK181" s="227">
        <f ca="1">IF('General Inputs'!$H$48="Next Year",SUM(CL151:CW151),IF('General Inputs'!$H$48="Current Year",SUM(BZ151:CK151),SUM(CF151:CQ151)))-IF('General Inputs'!$H$48="Next Year",SUM(OperBgt!CM65:CX65),IF('General Inputs'!$H$48="Current Year",SUM(OperBgt!CA65:CL65),SUM(OperBgt!CG65:CR65)))</f>
        <v>6863611.1392355235</v>
      </c>
      <c r="CL181" s="227">
        <f ca="1">IF('General Inputs'!$H$48="Next Year",SUM(CM151:CX151),IF('General Inputs'!$H$48="Current Year",SUM(CA151:CL151),SUM(CG151:CR151)))-IF('General Inputs'!$H$48="Next Year",SUM(OperBgt!CN65:CY65),IF('General Inputs'!$H$48="Current Year",SUM(OperBgt!CB65:CM65),SUM(OperBgt!CH65:CS65)))</f>
        <v>6888103.1655743783</v>
      </c>
      <c r="CM181" s="227">
        <f ca="1">IF('General Inputs'!$H$48="Next Year",SUM(CN151:CY151),IF('General Inputs'!$H$48="Current Year",SUM(CB151:CM151),SUM(CH151:CS151)))-IF('General Inputs'!$H$48="Next Year",SUM(OperBgt!CO65:CZ65),IF('General Inputs'!$H$48="Current Year",SUM(OperBgt!CC65:CN65),SUM(OperBgt!CI65:CT65)))</f>
        <v>6912737.7615145836</v>
      </c>
      <c r="CN181" s="227">
        <f ca="1">IF('General Inputs'!$H$48="Next Year",SUM(CO151:CZ151),IF('General Inputs'!$H$48="Current Year",SUM(CC151:CN151),SUM(CI151:CT151)))-IF('General Inputs'!$H$48="Next Year",SUM(OperBgt!CP65:DA65),IF('General Inputs'!$H$48="Current Year",SUM(OperBgt!CD65:CO65),SUM(OperBgt!CJ65:CU65)))</f>
        <v>6937497.3881075531</v>
      </c>
      <c r="CO181" s="227">
        <f ca="1">IF('General Inputs'!$H$48="Next Year",SUM(CP151:DA151),IF('General Inputs'!$H$48="Current Year",SUM(CD151:CO151),SUM(CJ151:CU151)))-IF('General Inputs'!$H$48="Next Year",SUM(OperBgt!CQ65:DB65),IF('General Inputs'!$H$48="Current Year",SUM(OperBgt!CE65:CP65),SUM(OperBgt!CK65:CV65)))</f>
        <v>6962140.3108945778</v>
      </c>
      <c r="CP181" s="227">
        <f ca="1">IF('General Inputs'!$H$48="Next Year",SUM(CQ151:DB151),IF('General Inputs'!$H$48="Current Year",SUM(CE151:CP151),SUM(CK151:CV151)))-IF('General Inputs'!$H$48="Next Year",SUM(OperBgt!CR65:DC65),IF('General Inputs'!$H$48="Current Year",SUM(OperBgt!CF65:CQ65),SUM(OperBgt!CL65:CW65)))</f>
        <v>6986859.0151970023</v>
      </c>
      <c r="CQ181" s="227">
        <f ca="1">IF('General Inputs'!$H$48="Next Year",SUM(CR151:DC151),IF('General Inputs'!$H$48="Current Year",SUM(CF151:CQ151),SUM(CL151:CW151)))-IF('General Inputs'!$H$48="Next Year",SUM(OperBgt!CS65:DD65),IF('General Inputs'!$H$48="Current Year",SUM(OperBgt!CG65:CR65),SUM(OperBgt!CM65:CX65)))</f>
        <v>7011653.7082162797</v>
      </c>
      <c r="CR181" s="227">
        <f ca="1">IF('General Inputs'!$H$48="Next Year",SUM(CS151:DD151),IF('General Inputs'!$H$48="Current Year",SUM(CG151:CR151),SUM(CM151:CX151)))-IF('General Inputs'!$H$48="Next Year",SUM(OperBgt!CT65:DE65),IF('General Inputs'!$H$48="Current Year",SUM(OperBgt!CH65:CS65),SUM(OperBgt!CN65:CY65)))</f>
        <v>7036558.7694023363</v>
      </c>
      <c r="CS181" s="227">
        <f ca="1">IF('General Inputs'!$H$48="Next Year",SUM(CT151:DE151),IF('General Inputs'!$H$48="Current Year",SUM(CH151:CS151),SUM(CN151:CY151)))-IF('General Inputs'!$H$48="Next Year",SUM(OperBgt!CU65:DF65),IF('General Inputs'!$H$48="Current Year",SUM(OperBgt!CI65:CT65),SUM(OperBgt!CO65:CZ65)))</f>
        <v>7061574.6433042344</v>
      </c>
      <c r="CT181" s="227">
        <f ca="1">IF('General Inputs'!$H$48="Next Year",SUM(CU151:DF151),IF('General Inputs'!$H$48="Current Year",SUM(CI151:CT151),SUM(CO151:CZ151)))-IF('General Inputs'!$H$48="Next Year",SUM(OperBgt!CV65:DG65),IF('General Inputs'!$H$48="Current Year",SUM(OperBgt!CJ65:CU65),SUM(OperBgt!CP65:DA65)))</f>
        <v>7086701.7762822434</v>
      </c>
      <c r="CU181" s="227">
        <f ca="1">IF('General Inputs'!$H$48="Next Year",SUM(CV151:DG151),IF('General Inputs'!$H$48="Current Year",SUM(CJ151:CU151),SUM(CP151:DA151)))-IF('General Inputs'!$H$48="Next Year",SUM(OperBgt!CW65:DH65),IF('General Inputs'!$H$48="Current Year",SUM(OperBgt!CK65:CV65),SUM(OperBgt!CQ65:DB65)))</f>
        <v>7111940.6165152695</v>
      </c>
      <c r="CV181" s="227">
        <f ca="1">IF('General Inputs'!$H$48="Next Year",SUM(CW151:DH151),IF('General Inputs'!$H$48="Current Year",SUM(CK151:CV151),SUM(CQ151:DB151)))-IF('General Inputs'!$H$48="Next Year",SUM(OperBgt!CX65:DI65),IF('General Inputs'!$H$48="Current Year",SUM(OperBgt!CL65:CW65),SUM(OperBgt!CR65:DC65)))</f>
        <v>7137291.6140083205</v>
      </c>
      <c r="CW181" s="227">
        <f ca="1">IF('General Inputs'!$H$48="Next Year",SUM(CX151:DI151),IF('General Inputs'!$H$48="Current Year",SUM(CL151:CW151),SUM(CR151:DC151)))-IF('General Inputs'!$H$48="Next Year",SUM(OperBgt!CY65:DJ65),IF('General Inputs'!$H$48="Current Year",SUM(OperBgt!CM65:CX65),SUM(OperBgt!CS65:DD65)))</f>
        <v>7162755.2205999922</v>
      </c>
      <c r="CX181" s="227">
        <f ca="1">IF('General Inputs'!$H$48="Next Year",SUM(CY151:DJ151),IF('General Inputs'!$H$48="Current Year",SUM(CM151:CX151),SUM(CS151:DD151)))-IF('General Inputs'!$H$48="Next Year",SUM(OperBgt!CZ65:DK65),IF('General Inputs'!$H$48="Current Year",SUM(OperBgt!CN65:CY65),SUM(OperBgt!CT65:DE65)))</f>
        <v>7188296.8590602893</v>
      </c>
      <c r="CY181" s="227">
        <f ca="1">IF('General Inputs'!$H$48="Next Year",SUM(CZ151:DK151),IF('General Inputs'!$H$48="Current Year",SUM(CN151:CY151),SUM(CT151:DE151)))-IF('General Inputs'!$H$48="Next Year",SUM(OperBgt!DA65:DL65),IF('General Inputs'!$H$48="Current Year",SUM(OperBgt!CO65:CZ65),SUM(OperBgt!CU65:DF65)))</f>
        <v>7213986.9983067857</v>
      </c>
      <c r="CZ181" s="227">
        <f ca="1">IF('General Inputs'!$H$48="Next Year",SUM(DA151:DL151),IF('General Inputs'!$H$48="Current Year",SUM(CO151:CZ151),SUM(CU151:DF151)))-IF('General Inputs'!$H$48="Next Year",SUM(OperBgt!DB65:DM65),IF('General Inputs'!$H$48="Current Year",SUM(OperBgt!CP65:DA65),SUM(OperBgt!CV65:DG65)))</f>
        <v>7239807.3577918168</v>
      </c>
      <c r="DA181" s="227">
        <f ca="1">IF('General Inputs'!$H$48="Next Year",SUM(DB151:DM151),IF('General Inputs'!$H$48="Current Year",SUM(CP151:DA151),SUM(CV151:DG151)))-IF('General Inputs'!$H$48="Next Year",SUM(OperBgt!DC65:DN65),IF('General Inputs'!$H$48="Current Year",SUM(OperBgt!CQ65:DB65),SUM(OperBgt!CW65:DH65)))</f>
        <v>7265506.7532602996</v>
      </c>
      <c r="DB181" s="227">
        <f ca="1">IF('General Inputs'!$H$48="Next Year",SUM(DC151:DN151),IF('General Inputs'!$H$48="Current Year",SUM(CQ151:DB151),SUM(CW151:DH151)))-IF('General Inputs'!$H$48="Next Year",SUM(OperBgt!DD65:DO65),IF('General Inputs'!$H$48="Current Year",SUM(OperBgt!CR65:DC65),SUM(OperBgt!CX65:DI65)))</f>
        <v>7291285.0376174003</v>
      </c>
      <c r="DC181" s="227">
        <f ca="1">IF('General Inputs'!$H$48="Next Year",SUM(DD151:DO151),IF('General Inputs'!$H$48="Current Year",SUM(CR151:DC151),SUM(CX151:DI151)))-IF('General Inputs'!$H$48="Next Year",SUM(OperBgt!DE65:DP65),IF('General Inputs'!$H$48="Current Year",SUM(OperBgt!CS65:DD65),SUM(OperBgt!CY65:DJ65)))</f>
        <v>7317142.4265864287</v>
      </c>
      <c r="DD181" s="227">
        <f ca="1">IF('General Inputs'!$H$48="Next Year",SUM(DE151:DP151),IF('General Inputs'!$H$48="Current Year",SUM(CS151:DD151),SUM(CY151:DJ151)))-IF('General Inputs'!$H$48="Next Year",SUM(OperBgt!DF65:DQ65),IF('General Inputs'!$H$48="Current Year",SUM(OperBgt!CT65:DE65),SUM(OperBgt!CZ65:DK65)))</f>
        <v>7343114.7525858646</v>
      </c>
      <c r="DE181" s="227">
        <f ca="1">IF('General Inputs'!$H$48="Next Year",SUM(DF151:DQ151),IF('General Inputs'!$H$48="Current Year",SUM(CT151:DE151),SUM(CZ151:DK151)))-IF('General Inputs'!$H$48="Next Year",SUM(OperBgt!DG65:DR65),IF('General Inputs'!$H$48="Current Year",SUM(OperBgt!CU65:DF65),SUM(OperBgt!DA65:DL65)))</f>
        <v>7369202.4787180498</v>
      </c>
      <c r="DF181" s="227">
        <f ca="1">IF('General Inputs'!$H$48="Next Year",SUM(DG151:DR151),IF('General Inputs'!$H$48="Current Year",SUM(CU151:DF151),SUM(DA151:DL151)))-IF('General Inputs'!$H$48="Next Year",SUM(OperBgt!DH65:DS65),IF('General Inputs'!$H$48="Current Year",SUM(OperBgt!CV65:DG65),SUM(OperBgt!DB65:DM65)))</f>
        <v>7395406.0699724993</v>
      </c>
      <c r="DG181" s="227">
        <f ca="1">IF('General Inputs'!$H$48="Next Year",SUM(DH151:DS151),IF('General Inputs'!$H$48="Current Year",SUM(CV151:DG151),SUM(DB151:DM151)))-IF('General Inputs'!$H$48="Next Year",SUM(OperBgt!DI65:DT65),IF('General Inputs'!$H$48="Current Year",SUM(OperBgt!CW65:DH65),SUM(OperBgt!DC65:DN65)))</f>
        <v>7421725.9932336556</v>
      </c>
      <c r="DH181" s="227">
        <f ca="1">IF('General Inputs'!$H$48="Next Year",SUM(DI151:DT151),IF('General Inputs'!$H$48="Current Year",SUM(CW151:DH151),SUM(DC151:DN151)))-IF('General Inputs'!$H$48="Next Year",SUM(OperBgt!DJ65:DU65),IF('General Inputs'!$H$48="Current Year",SUM(OperBgt!CX65:DI65),SUM(OperBgt!DD65:DO65)))</f>
        <v>7448162.7172886534</v>
      </c>
      <c r="DI181" s="227">
        <f ca="1">IF('General Inputs'!$H$48="Next Year",SUM(DJ151:DU151),IF('General Inputs'!$H$48="Current Year",SUM(CX151:DI151),SUM(DD151:DO151)))-IF('General Inputs'!$H$48="Next Year",SUM(OperBgt!DK65:DV65),IF('General Inputs'!$H$48="Current Year",SUM(OperBgt!CY65:DJ65),SUM(OperBgt!DE65:DP65)))</f>
        <v>7474716.7128351387</v>
      </c>
      <c r="DJ181" s="227">
        <f ca="1">IF('General Inputs'!$H$48="Next Year",SUM(DK151:DV151),IF('General Inputs'!$H$48="Current Year",SUM(CY151:DJ151),SUM(DE151:DP151)))-IF('General Inputs'!$H$48="Next Year",SUM(OperBgt!DL65:DW65),IF('General Inputs'!$H$48="Current Year",SUM(OperBgt!CZ65:DK65),SUM(OperBgt!DF65:DQ65)))</f>
        <v>7501351.9408368412</v>
      </c>
      <c r="DK181" s="227">
        <f ca="1">IF('General Inputs'!$H$48="Next Year",SUM(DL151:DW151),IF('General Inputs'!$H$48="Current Year",SUM(CZ151:DK151),SUM(DF151:DQ151)))-IF('General Inputs'!$H$48="Next Year",SUM(OperBgt!DM65:DX65),IF('General Inputs'!$H$48="Current Year",SUM(OperBgt!DA65:DL65),SUM(OperBgt!DG65:DR65)))</f>
        <v>7528141.8486631457</v>
      </c>
      <c r="DL181" s="227">
        <f ca="1">IF('General Inputs'!$H$48="Next Year",SUM(DM151:DX151),IF('General Inputs'!$H$48="Current Year",SUM(DA151:DL151),SUM(DG151:DR151)))-IF('General Inputs'!$H$48="Next Year",SUM(OperBgt!DN65:DY65),IF('General Inputs'!$H$48="Current Year",SUM(OperBgt!DB65:DM65),SUM(OperBgt!DH65:DS65)))</f>
        <v>7555067.3828131706</v>
      </c>
      <c r="DM181" s="227">
        <f ca="1">IF('General Inputs'!$H$48="Next Year",SUM(DN151:DY151),IF('General Inputs'!$H$48="Current Year",SUM(DB151:DM151),SUM(DH151:DS151)))-IF('General Inputs'!$H$48="Next Year",SUM(OperBgt!DO65:DZ65),IF('General Inputs'!$H$48="Current Year",SUM(OperBgt!DC65:DN65),SUM(OperBgt!DI65:DT65)))</f>
        <v>7581867.4487401694</v>
      </c>
      <c r="DN181" s="227">
        <f ca="1">IF('General Inputs'!$H$48="Next Year",SUM(DO151:DZ151),IF('General Inputs'!$H$48="Current Year",SUM(DC151:DN151),SUM(DI151:DT151)))-IF('General Inputs'!$H$48="Next Year",SUM(OperBgt!DP65:EA65),IF('General Inputs'!$H$48="Current Year",SUM(OperBgt!DD65:DO65),SUM(OperBgt!DJ65:DU65)))</f>
        <v>7608749.6393999942</v>
      </c>
      <c r="DO181" s="227">
        <f ca="1">IF('General Inputs'!$H$48="Next Year",SUM(DP151:EA151),IF('General Inputs'!$H$48="Current Year",SUM(DD151:DO151),SUM(DJ151:DU151)))-IF('General Inputs'!$H$48="Next Year",SUM(OperBgt!DQ65:EB65),IF('General Inputs'!$H$48="Current Year",SUM(OperBgt!DE65:DP65),SUM(OperBgt!DK65:DV65)))</f>
        <v>7635714.1793909268</v>
      </c>
      <c r="DP181" s="227">
        <f ca="1">IF('General Inputs'!$H$48="Next Year",SUM(DQ151:EB151),IF('General Inputs'!$H$48="Current Year",SUM(DE151:DP151),SUM(DK151:DV151)))-IF('General Inputs'!$H$48="Next Year",SUM(OperBgt!DR65:EC65),IF('General Inputs'!$H$48="Current Year",SUM(OperBgt!DF65:DQ65),SUM(OperBgt!DL65:DW65)))</f>
        <v>7662798.4155093012</v>
      </c>
      <c r="DQ181" s="227">
        <f ca="1">IF('General Inputs'!$H$48="Next Year",SUM(DR151:EC151),IF('General Inputs'!$H$48="Current Year",SUM(DF151:DQ151),SUM(DL151:DW151)))-IF('General Inputs'!$H$48="Next Year",SUM(OperBgt!DS65:ED65),IF('General Inputs'!$H$48="Current Year",SUM(OperBgt!DG65:DR65),SUM(OperBgt!DM65:DX65)))</f>
        <v>7690002.8301878404</v>
      </c>
      <c r="DR181" s="227">
        <f ca="1">IF('General Inputs'!$H$48="Next Year",SUM(DS151:ED151),IF('General Inputs'!$H$48="Current Year",SUM(DG151:DR151),SUM(DM151:DX151)))-IF('General Inputs'!$H$48="Next Year",SUM(OperBgt!DT65:EE65),IF('General Inputs'!$H$48="Current Year",SUM(OperBgt!DH65:DS65),SUM(OperBgt!DN65:DY65)))</f>
        <v>7717327.9078256125</v>
      </c>
      <c r="DS181" s="227">
        <f ca="1">IF('General Inputs'!$H$48="Next Year",SUM(DT151:EE151),IF('General Inputs'!$H$48="Current Year",SUM(DH151:DS151),SUM(DN151:DY151)))-IF('General Inputs'!$H$48="Next Year",SUM(OperBgt!DU65:EF65),IF('General Inputs'!$H$48="Current Year",SUM(OperBgt!DI65:DT65),SUM(OperBgt!DO65:DZ65)))</f>
        <v>7744774.1347961025</v>
      </c>
      <c r="DT181" s="227">
        <f ca="1">IF('General Inputs'!$H$48="Next Year",SUM(DU151:EF151),IF('General Inputs'!$H$48="Current Year",SUM(DI151:DT151),SUM(DO151:DZ151)))-IF('General Inputs'!$H$48="Next Year",SUM(OperBgt!DV65:EG65),IF('General Inputs'!$H$48="Current Year",SUM(OperBgt!DJ65:DU65),SUM(OperBgt!DP65:EA65)))</f>
        <v>7772341.9994553104</v>
      </c>
      <c r="DU181" s="227">
        <f ca="1">IF('General Inputs'!$H$48="Next Year",SUM(DV151:EG151),IF('General Inputs'!$H$48="Current Year",SUM(DJ151:DU151),SUM(DP151:EA151)))-IF('General Inputs'!$H$48="Next Year",SUM(OperBgt!DW65:EH65),IF('General Inputs'!$H$48="Current Year",SUM(OperBgt!DK65:DV65),SUM(OperBgt!DQ65:EB65)))</f>
        <v>7800031.992149896</v>
      </c>
      <c r="EH181" s="644"/>
      <c r="EI181" s="280"/>
    </row>
    <row r="182" spans="1:139" x14ac:dyDescent="0.3">
      <c r="A182" t="s">
        <v>114</v>
      </c>
      <c r="D182" s="282"/>
      <c r="E182" s="712"/>
      <c r="F182" s="712"/>
      <c r="G182" s="712"/>
      <c r="H182" s="712"/>
      <c r="I182" s="712"/>
      <c r="J182" s="712"/>
      <c r="K182" s="712"/>
      <c r="L182" s="712"/>
      <c r="M182" s="712"/>
      <c r="N182" s="712"/>
      <c r="O182" s="712"/>
      <c r="P182" s="712"/>
      <c r="Q182" s="407">
        <f>IF('General Inputs'!$H$49="Yes",IF('General Inputs'!$H$48="Next Year",SUM(OperBgt!S75:AD75),IF('General Inputs'!$H$48="Current Year",SUM(OperBgt!G75:R75),SUM(OperBgt!M75:X75))),0)</f>
        <v>0</v>
      </c>
      <c r="R182" s="407">
        <f>IF('General Inputs'!$H$49="Yes",IF('General Inputs'!$H$48="Next Year",SUM(OperBgt!T75:AE75),IF('General Inputs'!$H$48="Current Year",SUM(OperBgt!H75:S75),SUM(OperBgt!N75:Y75))),0)</f>
        <v>0</v>
      </c>
      <c r="S182" s="407">
        <f>IF('General Inputs'!$H$49="Yes",IF('General Inputs'!$H$48="Next Year",SUM(OperBgt!U75:AF75),IF('General Inputs'!$H$48="Current Year",SUM(OperBgt!I75:T75),SUM(OperBgt!O75:Z75))),0)</f>
        <v>0</v>
      </c>
      <c r="T182" s="407">
        <f>IF('General Inputs'!$H$49="Yes",IF('General Inputs'!$H$48="Next Year",SUM(OperBgt!V75:AG75),IF('General Inputs'!$H$48="Current Year",SUM(OperBgt!J75:U75),SUM(OperBgt!P75:AA75))),0)</f>
        <v>0</v>
      </c>
      <c r="U182" s="407">
        <f>IF('General Inputs'!$H$49="Yes",IF('General Inputs'!$H$48="Next Year",SUM(OperBgt!W75:AH75),IF('General Inputs'!$H$48="Current Year",SUM(OperBgt!K75:V75),SUM(OperBgt!Q75:AB75))),0)</f>
        <v>0</v>
      </c>
      <c r="V182" s="407">
        <f>IF('General Inputs'!$H$49="Yes",IF('General Inputs'!$H$48="Next Year",SUM(OperBgt!X75:AI75),IF('General Inputs'!$H$48="Current Year",SUM(OperBgt!L75:W75),SUM(OperBgt!R75:AC75))),0)</f>
        <v>0</v>
      </c>
      <c r="W182" s="407">
        <f>IF('General Inputs'!$H$49="Yes",IF('General Inputs'!$H$48="Next Year",SUM(OperBgt!Y75:AJ75),IF('General Inputs'!$H$48="Current Year",SUM(OperBgt!M75:X75),SUM(OperBgt!S75:AD75))),0)</f>
        <v>0</v>
      </c>
      <c r="X182" s="407">
        <f>IF('General Inputs'!$H$49="Yes",IF('General Inputs'!$H$48="Next Year",SUM(OperBgt!Z75:AK75),IF('General Inputs'!$H$48="Current Year",SUM(OperBgt!N75:Y75),SUM(OperBgt!T75:AE75))),0)</f>
        <v>0</v>
      </c>
      <c r="Y182" s="407">
        <f>IF('General Inputs'!$H$49="Yes",IF('General Inputs'!$H$48="Next Year",SUM(OperBgt!AA75:AL75),IF('General Inputs'!$H$48="Current Year",SUM(OperBgt!O75:Z75),SUM(OperBgt!U75:AF75))),0)</f>
        <v>0</v>
      </c>
      <c r="Z182" s="407">
        <f>IF('General Inputs'!$H$49="Yes",IF('General Inputs'!$H$48="Next Year",SUM(OperBgt!AB75:AM75),IF('General Inputs'!$H$48="Current Year",SUM(OperBgt!P75:AA75),SUM(OperBgt!V75:AG75))),0)</f>
        <v>0</v>
      </c>
      <c r="AA182" s="407">
        <f>IF('General Inputs'!$H$49="Yes",IF('General Inputs'!$H$48="Next Year",SUM(OperBgt!AC75:AN75),IF('General Inputs'!$H$48="Current Year",SUM(OperBgt!Q75:AB75),SUM(OperBgt!W75:AH75))),0)</f>
        <v>0</v>
      </c>
      <c r="AB182" s="407">
        <f>IF('General Inputs'!$H$49="Yes",IF('General Inputs'!$H$48="Next Year",SUM(OperBgt!AD75:AO75),IF('General Inputs'!$H$48="Current Year",SUM(OperBgt!R75:AC75),SUM(OperBgt!X75:AI75))),0)</f>
        <v>0</v>
      </c>
      <c r="AC182" s="407">
        <f>IF('General Inputs'!$H$49="Yes",IF('General Inputs'!$H$48="Next Year",SUM(OperBgt!AE75:AP75),IF('General Inputs'!$H$48="Current Year",SUM(OperBgt!S75:AD75),SUM(OperBgt!Y75:AJ75))),0)</f>
        <v>0</v>
      </c>
      <c r="AD182" s="407">
        <f>IF('General Inputs'!$H$49="Yes",IF('General Inputs'!$H$48="Next Year",SUM(OperBgt!AF75:AQ75),IF('General Inputs'!$H$48="Current Year",SUM(OperBgt!T75:AE75),SUM(OperBgt!Z75:AK75))),0)</f>
        <v>0</v>
      </c>
      <c r="AE182" s="407">
        <f>IF('General Inputs'!$H$49="Yes",IF('General Inputs'!$H$48="Next Year",SUM(OperBgt!AG75:AR75),IF('General Inputs'!$H$48="Current Year",SUM(OperBgt!U75:AF75),SUM(OperBgt!AA75:AL75))),0)</f>
        <v>0</v>
      </c>
      <c r="AF182" s="407">
        <f>IF('General Inputs'!$H$49="Yes",IF('General Inputs'!$H$48="Next Year",SUM(OperBgt!AH75:AS75),IF('General Inputs'!$H$48="Current Year",SUM(OperBgt!V75:AG75),SUM(OperBgt!AB75:AM75))),0)</f>
        <v>0</v>
      </c>
      <c r="AG182" s="407">
        <f>IF('General Inputs'!$H$49="Yes",IF('General Inputs'!$H$48="Next Year",SUM(OperBgt!AI75:AT75),IF('General Inputs'!$H$48="Current Year",SUM(OperBgt!W75:AH75),SUM(OperBgt!AC75:AN75))),0)</f>
        <v>0</v>
      </c>
      <c r="AH182" s="407">
        <f>IF('General Inputs'!$H$49="Yes",IF('General Inputs'!$H$48="Next Year",SUM(OperBgt!AJ75:AU75),IF('General Inputs'!$H$48="Current Year",SUM(OperBgt!X75:AI75),SUM(OperBgt!AD75:AO75))),0)</f>
        <v>0</v>
      </c>
      <c r="AI182" s="407">
        <f>IF('General Inputs'!$H$49="Yes",IF('General Inputs'!$H$48="Next Year",SUM(OperBgt!AK75:AV75),IF('General Inputs'!$H$48="Current Year",SUM(OperBgt!Y75:AJ75),SUM(OperBgt!AE75:AP75))),0)</f>
        <v>0</v>
      </c>
      <c r="AJ182" s="407">
        <f>IF('General Inputs'!$H$49="Yes",IF('General Inputs'!$H$48="Next Year",SUM(OperBgt!AL75:AW75),IF('General Inputs'!$H$48="Current Year",SUM(OperBgt!Z75:AK75),SUM(OperBgt!AF75:AQ75))),0)</f>
        <v>0</v>
      </c>
      <c r="AK182" s="407">
        <f>IF('General Inputs'!$H$49="Yes",IF('General Inputs'!$H$48="Next Year",SUM(OperBgt!AM75:AX75),IF('General Inputs'!$H$48="Current Year",SUM(OperBgt!AA75:AL75),SUM(OperBgt!AG75:AR75))),0)</f>
        <v>0</v>
      </c>
      <c r="AL182" s="407">
        <f>IF('General Inputs'!$H$49="Yes",IF('General Inputs'!$H$48="Next Year",SUM(OperBgt!AN75:AY75),IF('General Inputs'!$H$48="Current Year",SUM(OperBgt!AB75:AM75),SUM(OperBgt!AH75:AS75))),0)</f>
        <v>0</v>
      </c>
      <c r="AM182" s="407">
        <f>IF('General Inputs'!$H$49="Yes",IF('General Inputs'!$H$48="Next Year",SUM(OperBgt!AO75:AZ75),IF('General Inputs'!$H$48="Current Year",SUM(OperBgt!AC75:AN75),SUM(OperBgt!AI75:AT75))),0)</f>
        <v>0</v>
      </c>
      <c r="AN182" s="407">
        <f>IF('General Inputs'!$H$49="Yes",IF('General Inputs'!$H$48="Next Year",SUM(OperBgt!AP75:BA75),IF('General Inputs'!$H$48="Current Year",SUM(OperBgt!AD75:AO75),SUM(OperBgt!AJ75:AU75))),0)</f>
        <v>0</v>
      </c>
      <c r="AO182" s="407">
        <f>IF('General Inputs'!$H$49="Yes",IF('General Inputs'!$H$48="Next Year",SUM(OperBgt!AQ75:BB75),IF('General Inputs'!$H$48="Current Year",SUM(OperBgt!AE75:AP75),SUM(OperBgt!AK75:AV75))),0)</f>
        <v>0</v>
      </c>
      <c r="AP182" s="407">
        <f>IF('General Inputs'!$H$49="Yes",IF('General Inputs'!$H$48="Next Year",SUM(OperBgt!AR75:BC75),IF('General Inputs'!$H$48="Current Year",SUM(OperBgt!AF75:AQ75),SUM(OperBgt!AL75:AW75))),0)</f>
        <v>0</v>
      </c>
      <c r="AQ182" s="407">
        <f>IF('General Inputs'!$H$49="Yes",IF('General Inputs'!$H$48="Next Year",SUM(OperBgt!AS75:BD75),IF('General Inputs'!$H$48="Current Year",SUM(OperBgt!AG75:AR75),SUM(OperBgt!AM75:AX75))),0)</f>
        <v>0</v>
      </c>
      <c r="AR182" s="407">
        <f>IF('General Inputs'!$H$49="Yes",IF('General Inputs'!$H$48="Next Year",SUM(OperBgt!AT75:BE75),IF('General Inputs'!$H$48="Current Year",SUM(OperBgt!AH75:AS75),SUM(OperBgt!AN75:AY75))),0)</f>
        <v>0</v>
      </c>
      <c r="AS182" s="407">
        <f>IF('General Inputs'!$H$49="Yes",IF('General Inputs'!$H$48="Next Year",SUM(OperBgt!AU75:BF75),IF('General Inputs'!$H$48="Current Year",SUM(OperBgt!AI75:AT75),SUM(OperBgt!AO75:AZ75))),0)</f>
        <v>0</v>
      </c>
      <c r="AT182" s="407">
        <f>IF('General Inputs'!$H$49="Yes",IF('General Inputs'!$H$48="Next Year",SUM(OperBgt!AV75:BG75),IF('General Inputs'!$H$48="Current Year",SUM(OperBgt!AJ75:AU75),SUM(OperBgt!AP75:BA75))),0)</f>
        <v>0</v>
      </c>
      <c r="AU182" s="407">
        <f>IF('General Inputs'!$H$49="Yes",IF('General Inputs'!$H$48="Next Year",SUM(OperBgt!AW75:BH75),IF('General Inputs'!$H$48="Current Year",SUM(OperBgt!AK75:AV75),SUM(OperBgt!AQ75:BB75))),0)</f>
        <v>0</v>
      </c>
      <c r="AV182" s="407">
        <f>IF('General Inputs'!$H$49="Yes",IF('General Inputs'!$H$48="Next Year",SUM(OperBgt!AX75:BI75),IF('General Inputs'!$H$48="Current Year",SUM(OperBgt!AL75:AW75),SUM(OperBgt!AR75:BC75))),0)</f>
        <v>0</v>
      </c>
      <c r="AW182" s="407">
        <f>IF('General Inputs'!$H$49="Yes",IF('General Inputs'!$H$48="Next Year",SUM(OperBgt!AY75:BJ75),IF('General Inputs'!$H$48="Current Year",SUM(OperBgt!AM75:AX75),SUM(OperBgt!AS75:BD75))),0)</f>
        <v>0</v>
      </c>
      <c r="AX182" s="407">
        <f>IF('General Inputs'!$H$49="Yes",IF('General Inputs'!$H$48="Next Year",SUM(OperBgt!AZ75:BK75),IF('General Inputs'!$H$48="Current Year",SUM(OperBgt!AN75:AY75),SUM(OperBgt!AT75:BE75))),0)</f>
        <v>0</v>
      </c>
      <c r="AY182" s="407">
        <f>IF('General Inputs'!$H$49="Yes",IF('General Inputs'!$H$48="Next Year",SUM(OperBgt!BA75:BL75),IF('General Inputs'!$H$48="Current Year",SUM(OperBgt!AO75:AZ75),SUM(OperBgt!AU75:BF75))),0)</f>
        <v>0</v>
      </c>
      <c r="AZ182" s="407">
        <f>IF('General Inputs'!$H$49="Yes",IF('General Inputs'!$H$48="Next Year",SUM(OperBgt!BB75:BM75),IF('General Inputs'!$H$48="Current Year",SUM(OperBgt!AP75:BA75),SUM(OperBgt!AV75:BG75))),0)</f>
        <v>0</v>
      </c>
      <c r="BA182" s="407">
        <f>IF('General Inputs'!$H$49="Yes",IF('General Inputs'!$H$48="Next Year",SUM(OperBgt!BC75:BN75),IF('General Inputs'!$H$48="Current Year",SUM(OperBgt!AQ75:BB75),SUM(OperBgt!AW75:BH75))),0)</f>
        <v>0</v>
      </c>
      <c r="BB182" s="407">
        <f>IF('General Inputs'!$H$49="Yes",IF('General Inputs'!$H$48="Next Year",SUM(OperBgt!BD75:BO75),IF('General Inputs'!$H$48="Current Year",SUM(OperBgt!AR75:BC75),SUM(OperBgt!AX75:BI75))),0)</f>
        <v>0</v>
      </c>
      <c r="BC182" s="407">
        <f>IF('General Inputs'!$H$49="Yes",IF('General Inputs'!$H$48="Next Year",SUM(OperBgt!BE75:BP75),IF('General Inputs'!$H$48="Current Year",SUM(OperBgt!AS75:BD75),SUM(OperBgt!AY75:BJ75))),0)</f>
        <v>0</v>
      </c>
      <c r="BD182" s="407">
        <f>IF('General Inputs'!$H$49="Yes",IF('General Inputs'!$H$48="Next Year",SUM(OperBgt!BF75:BQ75),IF('General Inputs'!$H$48="Current Year",SUM(OperBgt!AT75:BE75),SUM(OperBgt!AZ75:BK75))),0)</f>
        <v>0</v>
      </c>
      <c r="BE182" s="407">
        <f>IF('General Inputs'!$H$49="Yes",IF('General Inputs'!$H$48="Next Year",SUM(OperBgt!BG75:BR75),IF('General Inputs'!$H$48="Current Year",SUM(OperBgt!AU75:BF75),SUM(OperBgt!BA75:BL75))),0)</f>
        <v>0</v>
      </c>
      <c r="BF182" s="407">
        <f>IF('General Inputs'!$H$49="Yes",IF('General Inputs'!$H$48="Next Year",SUM(OperBgt!BH75:BS75),IF('General Inputs'!$H$48="Current Year",SUM(OperBgt!AV75:BG75),SUM(OperBgt!BB75:BM75))),0)</f>
        <v>0</v>
      </c>
      <c r="BG182" s="407">
        <f>IF('General Inputs'!$H$49="Yes",IF('General Inputs'!$H$48="Next Year",SUM(OperBgt!BI75:BT75),IF('General Inputs'!$H$48="Current Year",SUM(OperBgt!AW75:BH75),SUM(OperBgt!BC75:BN75))),0)</f>
        <v>0</v>
      </c>
      <c r="BH182" s="407">
        <f>IF('General Inputs'!$H$49="Yes",IF('General Inputs'!$H$48="Next Year",SUM(OperBgt!BJ75:BU75),IF('General Inputs'!$H$48="Current Year",SUM(OperBgt!AX75:BI75),SUM(OperBgt!BD75:BO75))),0)</f>
        <v>0</v>
      </c>
      <c r="BI182" s="407">
        <f>IF('General Inputs'!$H$49="Yes",IF('General Inputs'!$H$48="Next Year",SUM(OperBgt!BK75:BV75),IF('General Inputs'!$H$48="Current Year",SUM(OperBgt!AY75:BJ75),SUM(OperBgt!BE75:BP75))),0)</f>
        <v>0</v>
      </c>
      <c r="BJ182" s="407">
        <f>IF('General Inputs'!$H$49="Yes",IF('General Inputs'!$H$48="Next Year",SUM(OperBgt!BL75:BW75),IF('General Inputs'!$H$48="Current Year",SUM(OperBgt!AZ75:BK75),SUM(OperBgt!BF75:BQ75))),0)</f>
        <v>0</v>
      </c>
      <c r="BK182" s="407">
        <f>IF('General Inputs'!$H$49="Yes",IF('General Inputs'!$H$48="Next Year",SUM(OperBgt!BM75:BX75),IF('General Inputs'!$H$48="Current Year",SUM(OperBgt!BA75:BL75),SUM(OperBgt!BG75:BR75))),0)</f>
        <v>0</v>
      </c>
      <c r="BL182" s="407">
        <f>IF('General Inputs'!$H$49="Yes",IF('General Inputs'!$H$48="Next Year",SUM(OperBgt!BN75:BY75),IF('General Inputs'!$H$48="Current Year",SUM(OperBgt!BB75:BM75),SUM(OperBgt!BH75:BS75))),0)</f>
        <v>0</v>
      </c>
      <c r="BM182" s="407">
        <f>IF('General Inputs'!$H$49="Yes",IF('General Inputs'!$H$48="Next Year",SUM(OperBgt!BO75:BZ75),IF('General Inputs'!$H$48="Current Year",SUM(OperBgt!BC75:BN75),SUM(OperBgt!BI75:BT75))),0)</f>
        <v>0</v>
      </c>
      <c r="BN182" s="407">
        <f>IF('General Inputs'!$H$49="Yes",IF('General Inputs'!$H$48="Next Year",SUM(OperBgt!BP75:CA75),IF('General Inputs'!$H$48="Current Year",SUM(OperBgt!BD75:BO75),SUM(OperBgt!BJ75:BU75))),0)</f>
        <v>0</v>
      </c>
      <c r="BO182" s="407">
        <f>IF('General Inputs'!$H$49="Yes",IF('General Inputs'!$H$48="Next Year",SUM(OperBgt!BQ75:CB75),IF('General Inputs'!$H$48="Current Year",SUM(OperBgt!BE75:BP75),SUM(OperBgt!BK75:BV75))),0)</f>
        <v>0</v>
      </c>
      <c r="BP182" s="407">
        <f>IF('General Inputs'!$H$49="Yes",IF('General Inputs'!$H$48="Next Year",SUM(OperBgt!BR75:CC75),IF('General Inputs'!$H$48="Current Year",SUM(OperBgt!BF75:BQ75),SUM(OperBgt!BL75:BW75))),0)</f>
        <v>0</v>
      </c>
      <c r="BQ182" s="407">
        <f>IF('General Inputs'!$H$49="Yes",IF('General Inputs'!$H$48="Next Year",SUM(OperBgt!BS75:CD75),IF('General Inputs'!$H$48="Current Year",SUM(OperBgt!BG75:BR75),SUM(OperBgt!BM75:BX75))),0)</f>
        <v>0</v>
      </c>
      <c r="BR182" s="407">
        <f>IF('General Inputs'!$H$49="Yes",IF('General Inputs'!$H$48="Next Year",SUM(OperBgt!BT75:CE75),IF('General Inputs'!$H$48="Current Year",SUM(OperBgt!BH75:BS75),SUM(OperBgt!BN75:BY75))),0)</f>
        <v>0</v>
      </c>
      <c r="BS182" s="407">
        <f>IF('General Inputs'!$H$49="Yes",IF('General Inputs'!$H$48="Next Year",SUM(OperBgt!BU75:CF75),IF('General Inputs'!$H$48="Current Year",SUM(OperBgt!BI75:BT75),SUM(OperBgt!BO75:BZ75))),0)</f>
        <v>0</v>
      </c>
      <c r="BT182" s="407">
        <f>IF('General Inputs'!$H$49="Yes",IF('General Inputs'!$H$48="Next Year",SUM(OperBgt!BV75:CG75),IF('General Inputs'!$H$48="Current Year",SUM(OperBgt!BJ75:BU75),SUM(OperBgt!BP75:CA75))),0)</f>
        <v>0</v>
      </c>
      <c r="BU182" s="407">
        <f>IF('General Inputs'!$H$49="Yes",IF('General Inputs'!$H$48="Next Year",SUM(OperBgt!BW75:CH75),IF('General Inputs'!$H$48="Current Year",SUM(OperBgt!BK75:BV75),SUM(OperBgt!BQ75:CB75))),0)</f>
        <v>0</v>
      </c>
      <c r="BV182" s="407">
        <f>IF('General Inputs'!$H$49="Yes",IF('General Inputs'!$H$48="Next Year",SUM(OperBgt!BX75:CI75),IF('General Inputs'!$H$48="Current Year",SUM(OperBgt!BL75:BW75),SUM(OperBgt!BR75:CC75))),0)</f>
        <v>0</v>
      </c>
      <c r="BW182" s="407">
        <f>IF('General Inputs'!$H$49="Yes",IF('General Inputs'!$H$48="Next Year",SUM(OperBgt!BY75:CJ75),IF('General Inputs'!$H$48="Current Year",SUM(OperBgt!BM75:BX75),SUM(OperBgt!BS75:CD75))),0)</f>
        <v>0</v>
      </c>
      <c r="BX182" s="407">
        <f>IF('General Inputs'!$H$49="Yes",IF('General Inputs'!$H$48="Next Year",SUM(OperBgt!BZ75:CK75),IF('General Inputs'!$H$48="Current Year",SUM(OperBgt!BN75:BY75),SUM(OperBgt!BT75:CE75))),0)</f>
        <v>0</v>
      </c>
      <c r="BY182" s="407">
        <f>IF('General Inputs'!$H$49="Yes",IF('General Inputs'!$H$48="Next Year",SUM(OperBgt!CA75:CL75),IF('General Inputs'!$H$48="Current Year",SUM(OperBgt!BO75:BZ75),SUM(OperBgt!BU75:CF75))),0)</f>
        <v>0</v>
      </c>
      <c r="BZ182" s="407">
        <f>IF('General Inputs'!$H$49="Yes",IF('General Inputs'!$H$48="Next Year",SUM(OperBgt!CB75:CM75),IF('General Inputs'!$H$48="Current Year",SUM(OperBgt!BP75:CA75),SUM(OperBgt!BV75:CG75))),0)</f>
        <v>0</v>
      </c>
      <c r="CA182" s="407">
        <f>IF('General Inputs'!$H$49="Yes",IF('General Inputs'!$H$48="Next Year",SUM(OperBgt!CC75:CN75),IF('General Inputs'!$H$48="Current Year",SUM(OperBgt!BQ75:CB75),SUM(OperBgt!BW75:CH75))),0)</f>
        <v>0</v>
      </c>
      <c r="CB182" s="407">
        <f>IF('General Inputs'!$H$49="Yes",IF('General Inputs'!$H$48="Next Year",SUM(OperBgt!CD75:CO75),IF('General Inputs'!$H$48="Current Year",SUM(OperBgt!BR75:CC75),SUM(OperBgt!BX75:CI75))),0)</f>
        <v>0</v>
      </c>
      <c r="CC182" s="407">
        <f>IF('General Inputs'!$H$49="Yes",IF('General Inputs'!$H$48="Next Year",SUM(OperBgt!CE75:CP75),IF('General Inputs'!$H$48="Current Year",SUM(OperBgt!BS75:CD75),SUM(OperBgt!BY75:CJ75))),0)</f>
        <v>0</v>
      </c>
      <c r="CD182" s="407">
        <f>IF('General Inputs'!$H$49="Yes",IF('General Inputs'!$H$48="Next Year",SUM(OperBgt!CF75:CQ75),IF('General Inputs'!$H$48="Current Year",SUM(OperBgt!BT75:CE75),SUM(OperBgt!BZ75:CK75))),0)</f>
        <v>0</v>
      </c>
      <c r="CE182" s="407">
        <f>IF('General Inputs'!$H$49="Yes",IF('General Inputs'!$H$48="Next Year",SUM(OperBgt!CG75:CR75),IF('General Inputs'!$H$48="Current Year",SUM(OperBgt!BU75:CF75),SUM(OperBgt!CA75:CL75))),0)</f>
        <v>0</v>
      </c>
      <c r="CF182" s="407">
        <f>IF('General Inputs'!$H$49="Yes",IF('General Inputs'!$H$48="Next Year",SUM(OperBgt!CH75:CS75),IF('General Inputs'!$H$48="Current Year",SUM(OperBgt!BV75:CG75),SUM(OperBgt!CB75:CM75))),0)</f>
        <v>0</v>
      </c>
      <c r="CG182" s="407">
        <f>IF('General Inputs'!$H$49="Yes",IF('General Inputs'!$H$48="Next Year",SUM(OperBgt!CI75:CT75),IF('General Inputs'!$H$48="Current Year",SUM(OperBgt!BW75:CH75),SUM(OperBgt!CC75:CN75))),0)</f>
        <v>0</v>
      </c>
      <c r="CH182" s="407">
        <f>IF('General Inputs'!$H$49="Yes",IF('General Inputs'!$H$48="Next Year",SUM(OperBgt!CJ75:CU75),IF('General Inputs'!$H$48="Current Year",SUM(OperBgt!BX75:CI75),SUM(OperBgt!CD75:CO75))),0)</f>
        <v>0</v>
      </c>
      <c r="CI182" s="407">
        <f>IF('General Inputs'!$H$49="Yes",IF('General Inputs'!$H$48="Next Year",SUM(OperBgt!CK75:CV75),IF('General Inputs'!$H$48="Current Year",SUM(OperBgt!BY75:CJ75),SUM(OperBgt!CE75:CP75))),0)</f>
        <v>0</v>
      </c>
      <c r="CJ182" s="407">
        <f>IF('General Inputs'!$H$49="Yes",IF('General Inputs'!$H$48="Next Year",SUM(OperBgt!CL75:CW75),IF('General Inputs'!$H$48="Current Year",SUM(OperBgt!BZ75:CK75),SUM(OperBgt!CF75:CQ75))),0)</f>
        <v>0</v>
      </c>
      <c r="CK182" s="407">
        <f>IF('General Inputs'!$H$49="Yes",IF('General Inputs'!$H$48="Next Year",SUM(OperBgt!CM75:CX75),IF('General Inputs'!$H$48="Current Year",SUM(OperBgt!CA75:CL75),SUM(OperBgt!CG75:CR75))),0)</f>
        <v>0</v>
      </c>
      <c r="CL182" s="407">
        <f>IF('General Inputs'!$H$49="Yes",IF('General Inputs'!$H$48="Next Year",SUM(OperBgt!CN75:CY75),IF('General Inputs'!$H$48="Current Year",SUM(OperBgt!CB75:CM75),SUM(OperBgt!CH75:CS75))),0)</f>
        <v>0</v>
      </c>
      <c r="CM182" s="407">
        <f>IF('General Inputs'!$H$49="Yes",IF('General Inputs'!$H$48="Next Year",SUM(OperBgt!CO75:CZ75),IF('General Inputs'!$H$48="Current Year",SUM(OperBgt!CC75:CN75),SUM(OperBgt!CI75:CT75))),0)</f>
        <v>0</v>
      </c>
      <c r="CN182" s="407">
        <f>IF('General Inputs'!$H$49="Yes",IF('General Inputs'!$H$48="Next Year",SUM(OperBgt!CP75:DA75),IF('General Inputs'!$H$48="Current Year",SUM(OperBgt!CD75:CO75),SUM(OperBgt!CJ75:CU75))),0)</f>
        <v>0</v>
      </c>
      <c r="CO182" s="407">
        <f>IF('General Inputs'!$H$49="Yes",IF('General Inputs'!$H$48="Next Year",SUM(OperBgt!CQ75:DB75),IF('General Inputs'!$H$48="Current Year",SUM(OperBgt!CE75:CP75),SUM(OperBgt!CK75:CV75))),0)</f>
        <v>0</v>
      </c>
      <c r="CP182" s="407">
        <f>IF('General Inputs'!$H$49="Yes",IF('General Inputs'!$H$48="Next Year",SUM(OperBgt!CR75:DC75),IF('General Inputs'!$H$48="Current Year",SUM(OperBgt!CF75:CQ75),SUM(OperBgt!CL75:CW75))),0)</f>
        <v>0</v>
      </c>
      <c r="CQ182" s="407">
        <f>IF('General Inputs'!$H$49="Yes",IF('General Inputs'!$H$48="Next Year",SUM(OperBgt!CS75:DD75),IF('General Inputs'!$H$48="Current Year",SUM(OperBgt!CG75:CR75),SUM(OperBgt!CM75:CX75))),0)</f>
        <v>0</v>
      </c>
      <c r="CR182" s="407">
        <f>IF('General Inputs'!$H$49="Yes",IF('General Inputs'!$H$48="Next Year",SUM(OperBgt!CT75:DE75),IF('General Inputs'!$H$48="Current Year",SUM(OperBgt!CH75:CS75),SUM(OperBgt!CN75:CY75))),0)</f>
        <v>0</v>
      </c>
      <c r="CS182" s="407">
        <f>IF('General Inputs'!$H$49="Yes",IF('General Inputs'!$H$48="Next Year",SUM(OperBgt!CU75:DF75),IF('General Inputs'!$H$48="Current Year",SUM(OperBgt!CI75:CT75),SUM(OperBgt!CO75:CZ75))),0)</f>
        <v>0</v>
      </c>
      <c r="CT182" s="407">
        <f>IF('General Inputs'!$H$49="Yes",IF('General Inputs'!$H$48="Next Year",SUM(OperBgt!CV75:DG75),IF('General Inputs'!$H$48="Current Year",SUM(OperBgt!CJ75:CU75),SUM(OperBgt!CP75:DA75))),0)</f>
        <v>0</v>
      </c>
      <c r="CU182" s="407">
        <f>IF('General Inputs'!$H$49="Yes",IF('General Inputs'!$H$48="Next Year",SUM(OperBgt!CW75:DH75),IF('General Inputs'!$H$48="Current Year",SUM(OperBgt!CK75:CV75),SUM(OperBgt!CQ75:DB75))),0)</f>
        <v>0</v>
      </c>
      <c r="CV182" s="407">
        <f>IF('General Inputs'!$H$49="Yes",IF('General Inputs'!$H$48="Next Year",SUM(OperBgt!CX75:DI75),IF('General Inputs'!$H$48="Current Year",SUM(OperBgt!CL75:CW75),SUM(OperBgt!CR75:DC75))),0)</f>
        <v>0</v>
      </c>
      <c r="CW182" s="407">
        <f>IF('General Inputs'!$H$49="Yes",IF('General Inputs'!$H$48="Next Year",SUM(OperBgt!CY75:DJ75),IF('General Inputs'!$H$48="Current Year",SUM(OperBgt!CM75:CX75),SUM(OperBgt!CS75:DD75))),0)</f>
        <v>0</v>
      </c>
      <c r="CX182" s="407">
        <f>IF('General Inputs'!$H$49="Yes",IF('General Inputs'!$H$48="Next Year",SUM(OperBgt!CZ75:DK75),IF('General Inputs'!$H$48="Current Year",SUM(OperBgt!CN75:CY75),SUM(OperBgt!CT75:DE75))),0)</f>
        <v>0</v>
      </c>
      <c r="CY182" s="407">
        <f>IF('General Inputs'!$H$49="Yes",IF('General Inputs'!$H$48="Next Year",SUM(OperBgt!DA75:DL75),IF('General Inputs'!$H$48="Current Year",SUM(OperBgt!CO75:CZ75),SUM(OperBgt!CU75:DF75))),0)</f>
        <v>0</v>
      </c>
      <c r="CZ182" s="407">
        <f>IF('General Inputs'!$H$49="Yes",IF('General Inputs'!$H$48="Next Year",SUM(OperBgt!DB75:DM75),IF('General Inputs'!$H$48="Current Year",SUM(OperBgt!CP75:DA75),SUM(OperBgt!CV75:DG75))),0)</f>
        <v>0</v>
      </c>
      <c r="DA182" s="407">
        <f>IF('General Inputs'!$H$49="Yes",IF('General Inputs'!$H$48="Next Year",SUM(OperBgt!DC75:DN75),IF('General Inputs'!$H$48="Current Year",SUM(OperBgt!CQ75:DB75),SUM(OperBgt!CW75:DH75))),0)</f>
        <v>0</v>
      </c>
      <c r="DB182" s="407">
        <f>IF('General Inputs'!$H$49="Yes",IF('General Inputs'!$H$48="Next Year",SUM(OperBgt!DD75:DO75),IF('General Inputs'!$H$48="Current Year",SUM(OperBgt!CR75:DC75),SUM(OperBgt!CX75:DI75))),0)</f>
        <v>0</v>
      </c>
      <c r="DC182" s="407">
        <f>IF('General Inputs'!$H$49="Yes",IF('General Inputs'!$H$48="Next Year",SUM(OperBgt!DE75:DP75),IF('General Inputs'!$H$48="Current Year",SUM(OperBgt!CS75:DD75),SUM(OperBgt!CY75:DJ75))),0)</f>
        <v>0</v>
      </c>
      <c r="DD182" s="407">
        <f>IF('General Inputs'!$H$49="Yes",IF('General Inputs'!$H$48="Next Year",SUM(OperBgt!DF75:DQ75),IF('General Inputs'!$H$48="Current Year",SUM(OperBgt!CT75:DE75),SUM(OperBgt!CZ75:DK75))),0)</f>
        <v>0</v>
      </c>
      <c r="DE182" s="407">
        <f>IF('General Inputs'!$H$49="Yes",IF('General Inputs'!$H$48="Next Year",SUM(OperBgt!DG75:DR75),IF('General Inputs'!$H$48="Current Year",SUM(OperBgt!CU75:DF75),SUM(OperBgt!DA75:DL75))),0)</f>
        <v>0</v>
      </c>
      <c r="DF182" s="407">
        <f>IF('General Inputs'!$H$49="Yes",IF('General Inputs'!$H$48="Next Year",SUM(OperBgt!DH75:DS75),IF('General Inputs'!$H$48="Current Year",SUM(OperBgt!CV75:DG75),SUM(OperBgt!DB75:DM75))),0)</f>
        <v>0</v>
      </c>
      <c r="DG182" s="407">
        <f>IF('General Inputs'!$H$49="Yes",IF('General Inputs'!$H$48="Next Year",SUM(OperBgt!DI75:DT75),IF('General Inputs'!$H$48="Current Year",SUM(OperBgt!CW75:DH75),SUM(OperBgt!DC75:DN75))),0)</f>
        <v>0</v>
      </c>
      <c r="DH182" s="407">
        <f>IF('General Inputs'!$H$49="Yes",IF('General Inputs'!$H$48="Next Year",SUM(OperBgt!DJ75:DU75),IF('General Inputs'!$H$48="Current Year",SUM(OperBgt!CX75:DI75),SUM(OperBgt!DD75:DO75))),0)</f>
        <v>0</v>
      </c>
      <c r="DI182" s="407">
        <f>IF('General Inputs'!$H$49="Yes",IF('General Inputs'!$H$48="Next Year",SUM(OperBgt!DK75:DV75),IF('General Inputs'!$H$48="Current Year",SUM(OperBgt!CY75:DJ75),SUM(OperBgt!DE75:DP75))),0)</f>
        <v>0</v>
      </c>
      <c r="DJ182" s="407">
        <f>IF('General Inputs'!$H$49="Yes",IF('General Inputs'!$H$48="Next Year",SUM(OperBgt!DL75:DW75),IF('General Inputs'!$H$48="Current Year",SUM(OperBgt!CZ75:DK75),SUM(OperBgt!DF75:DQ75))),0)</f>
        <v>0</v>
      </c>
      <c r="DK182" s="407">
        <f>IF('General Inputs'!$H$49="Yes",IF('General Inputs'!$H$48="Next Year",SUM(OperBgt!DM75:DX75),IF('General Inputs'!$H$48="Current Year",SUM(OperBgt!DA75:DL75),SUM(OperBgt!DG75:DR75))),0)</f>
        <v>0</v>
      </c>
      <c r="DL182" s="407">
        <f>IF('General Inputs'!$H$49="Yes",IF('General Inputs'!$H$48="Next Year",SUM(OperBgt!DN75:DY75),IF('General Inputs'!$H$48="Current Year",SUM(OperBgt!DB75:DM75),SUM(OperBgt!DH75:DS75))),0)</f>
        <v>0</v>
      </c>
      <c r="DM182" s="407">
        <f>IF('General Inputs'!$H$49="Yes",IF('General Inputs'!$H$48="Next Year",SUM(OperBgt!DO75:DZ75),IF('General Inputs'!$H$48="Current Year",SUM(OperBgt!DC75:DN75),SUM(OperBgt!DI75:DT75))),0)</f>
        <v>0</v>
      </c>
      <c r="DN182" s="407">
        <f>IF('General Inputs'!$H$49="Yes",IF('General Inputs'!$H$48="Next Year",SUM(OperBgt!DP75:EA75),IF('General Inputs'!$H$48="Current Year",SUM(OperBgt!DD75:DO75),SUM(OperBgt!DJ75:DU75))),0)</f>
        <v>0</v>
      </c>
      <c r="DO182" s="407">
        <f>IF('General Inputs'!$H$49="Yes",IF('General Inputs'!$H$48="Next Year",SUM(OperBgt!DQ75:EB75),IF('General Inputs'!$H$48="Current Year",SUM(OperBgt!DE75:DP75),SUM(OperBgt!DK75:DV75))),0)</f>
        <v>0</v>
      </c>
      <c r="DP182" s="407">
        <f>IF('General Inputs'!$H$49="Yes",IF('General Inputs'!$H$48="Next Year",SUM(OperBgt!DR75:EC75),IF('General Inputs'!$H$48="Current Year",SUM(OperBgt!DF75:DQ75),SUM(OperBgt!DL75:DW75))),0)</f>
        <v>0</v>
      </c>
      <c r="DQ182" s="407">
        <f>IF('General Inputs'!$H$49="Yes",IF('General Inputs'!$H$48="Next Year",SUM(OperBgt!DS75:ED75),IF('General Inputs'!$H$48="Current Year",SUM(OperBgt!DG75:DR75),SUM(OperBgt!DM75:DX75))),0)</f>
        <v>0</v>
      </c>
      <c r="DR182" s="407">
        <f>IF('General Inputs'!$H$49="Yes",IF('General Inputs'!$H$48="Next Year",SUM(OperBgt!DT75:EE75),IF('General Inputs'!$H$48="Current Year",SUM(OperBgt!DH75:DS75),SUM(OperBgt!DN75:DY75))),0)</f>
        <v>0</v>
      </c>
      <c r="DS182" s="407">
        <f>IF('General Inputs'!$H$49="Yes",IF('General Inputs'!$H$48="Next Year",SUM(OperBgt!DU75:EF75),IF('General Inputs'!$H$48="Current Year",SUM(OperBgt!DI75:DT75),SUM(OperBgt!DO75:DZ75))),0)</f>
        <v>0</v>
      </c>
      <c r="DT182" s="407">
        <f>IF('General Inputs'!$H$49="Yes",IF('General Inputs'!$H$48="Next Year",SUM(OperBgt!DV75:EG75),IF('General Inputs'!$H$48="Current Year",SUM(OperBgt!DJ75:DU75),SUM(OperBgt!DP75:EA75))),0)</f>
        <v>0</v>
      </c>
      <c r="DU182" s="407">
        <f>IF('General Inputs'!$H$49="Yes",IF('General Inputs'!$H$48="Next Year",SUM(OperBgt!DW75:EH75),IF('General Inputs'!$H$48="Current Year",SUM(OperBgt!DK75:DV75),SUM(OperBgt!DQ75:EB75))),0)</f>
        <v>0</v>
      </c>
      <c r="EH182" s="644"/>
      <c r="EI182" s="722"/>
    </row>
    <row r="183" spans="1:139" x14ac:dyDescent="0.3">
      <c r="A183" t="s">
        <v>115</v>
      </c>
      <c r="D183" s="282"/>
      <c r="E183" s="712"/>
      <c r="F183" s="712"/>
      <c r="G183" s="712"/>
      <c r="H183" s="712"/>
      <c r="I183" s="712"/>
      <c r="J183" s="712"/>
      <c r="K183" s="712"/>
      <c r="L183" s="712"/>
      <c r="M183" s="712"/>
      <c r="N183" s="712"/>
      <c r="O183" s="712"/>
      <c r="P183" s="736">
        <f>IF('General Inputs'!$H$49="Yes",-(P184*'General Inputs'!$I$49/100*MillRate+'Operating Inputs'!$I$178),0)</f>
        <v>0</v>
      </c>
      <c r="Q183" s="407">
        <f>IF(Macros!$B$3=2,1,IF('General Inputs'!$H$49="Yes",-(Q184*'General Inputs'!$I$49/100*MillRate+'Operating Inputs'!$I$178),0))</f>
        <v>0</v>
      </c>
      <c r="R183" s="407">
        <f>IF(Macros!$B$3=2,1,IF('General Inputs'!$H$49="Yes",-(R184*'General Inputs'!$I$49/100*MillRate+'Operating Inputs'!$I$178),0))</f>
        <v>0</v>
      </c>
      <c r="S183" s="407">
        <f>IF(Macros!$B$3=2,1,IF('General Inputs'!$H$49="Yes",-(S184*'General Inputs'!$I$49/100*MillRate+'Operating Inputs'!$I$178),0))</f>
        <v>0</v>
      </c>
      <c r="T183" s="407">
        <f>IF(Macros!$B$3=2,1,IF('General Inputs'!$H$49="Yes",-(T184*'General Inputs'!$I$49/100*MillRate+'Operating Inputs'!$I$178),0))</f>
        <v>0</v>
      </c>
      <c r="U183" s="407">
        <f>IF(Macros!$B$3=2,1,IF('General Inputs'!$H$49="Yes",-(U184*'General Inputs'!$I$49/100*MillRate+'Operating Inputs'!$I$178),0))</f>
        <v>0</v>
      </c>
      <c r="V183" s="407">
        <f>IF(Macros!$B$3=2,1,IF('General Inputs'!$H$49="Yes",-(V184*'General Inputs'!$I$49/100*MillRate+'Operating Inputs'!$I$178),0))</f>
        <v>0</v>
      </c>
      <c r="W183" s="407">
        <f>IF(Macros!$B$3=2,1,IF('General Inputs'!$H$49="Yes",-(W184*'General Inputs'!$I$49/100*MillRate+'Operating Inputs'!$I$178),0))</f>
        <v>0</v>
      </c>
      <c r="X183" s="407">
        <f>IF(Macros!$B$3=2,1,IF('General Inputs'!$H$49="Yes",-(X184*'General Inputs'!$I$49/100*MillRate+'Operating Inputs'!$I$178),0))</f>
        <v>0</v>
      </c>
      <c r="Y183" s="407">
        <f>IF(Macros!$B$3=2,1,IF('General Inputs'!$H$49="Yes",-(Y184*'General Inputs'!$I$49/100*MillRate+'Operating Inputs'!$I$178),0))</f>
        <v>0</v>
      </c>
      <c r="Z183" s="407">
        <f>IF(Macros!$B$3=2,1,IF('General Inputs'!$H$49="Yes",-(Z184*'General Inputs'!$I$49/100*MillRate+'Operating Inputs'!$I$178),0))</f>
        <v>0</v>
      </c>
      <c r="AA183" s="407">
        <f>IF(Macros!$B$3=2,1,IF('General Inputs'!$H$49="Yes",-(AA184*'General Inputs'!$I$49/100*MillRate+'Operating Inputs'!$I$178),0))</f>
        <v>0</v>
      </c>
      <c r="AB183" s="407">
        <f>IF(Macros!$B$3=2,1,IF('General Inputs'!$H$49="Yes",-(AB184*'General Inputs'!$I$49/100*MillRate+'Operating Inputs'!$I$178),0))</f>
        <v>0</v>
      </c>
      <c r="AC183" s="407">
        <f>IF(Macros!$B$3=2,1,IF('General Inputs'!$H$49="Yes",-(AC184*'General Inputs'!$I$49/100*MillRate+'Operating Inputs'!$I$178),0))</f>
        <v>0</v>
      </c>
      <c r="AD183" s="407">
        <f>IF(Macros!$B$3=2,1,IF('General Inputs'!$H$49="Yes",-(AD184*'General Inputs'!$I$49/100*MillRate+'Operating Inputs'!$I$178),0))</f>
        <v>0</v>
      </c>
      <c r="AE183" s="407">
        <f>IF(Macros!$B$3=2,1,IF('General Inputs'!$H$49="Yes",-(AE184*'General Inputs'!$I$49/100*MillRate+'Operating Inputs'!$I$178),0))</f>
        <v>0</v>
      </c>
      <c r="AF183" s="407">
        <f>IF(Macros!$B$3=2,1,IF('General Inputs'!$H$49="Yes",-(AF184*'General Inputs'!$I$49/100*MillRate+'Operating Inputs'!$I$178),0))</f>
        <v>0</v>
      </c>
      <c r="AG183" s="407">
        <f>IF(Macros!$B$3=2,1,IF('General Inputs'!$H$49="Yes",-(AG184*'General Inputs'!$I$49/100*MillRate+'Operating Inputs'!$I$178),0))</f>
        <v>0</v>
      </c>
      <c r="AH183" s="407">
        <f>IF(Macros!$B$3=2,1,IF('General Inputs'!$H$49="Yes",-(AH184*'General Inputs'!$I$49/100*MillRate+'Operating Inputs'!$I$178),0))</f>
        <v>0</v>
      </c>
      <c r="AI183" s="407">
        <f>IF(Macros!$B$3=2,1,IF('General Inputs'!$H$49="Yes",-(AI184*'General Inputs'!$I$49/100*MillRate+'Operating Inputs'!$I$178),0))</f>
        <v>0</v>
      </c>
      <c r="AJ183" s="407">
        <f>IF(Macros!$B$3=2,1,IF('General Inputs'!$H$49="Yes",-(AJ184*'General Inputs'!$I$49/100*MillRate+'Operating Inputs'!$I$178),0))</f>
        <v>0</v>
      </c>
      <c r="AK183" s="407">
        <f>IF(Macros!$B$3=2,1,IF('General Inputs'!$H$49="Yes",-(AK184*'General Inputs'!$I$49/100*MillRate+'Operating Inputs'!$I$178),0))</f>
        <v>0</v>
      </c>
      <c r="AL183" s="407">
        <f>IF(Macros!$B$3=2,1,IF('General Inputs'!$H$49="Yes",-(AL184*'General Inputs'!$I$49/100*MillRate+'Operating Inputs'!$I$178),0))</f>
        <v>0</v>
      </c>
      <c r="AM183" s="407">
        <f>IF(Macros!$B$3=2,1,IF('General Inputs'!$H$49="Yes",-(AM184*'General Inputs'!$I$49/100*MillRate+'Operating Inputs'!$I$178),0))</f>
        <v>0</v>
      </c>
      <c r="AN183" s="407">
        <f>IF(Macros!$B$3=2,1,IF('General Inputs'!$H$49="Yes",-(AN184*'General Inputs'!$I$49/100*MillRate+'Operating Inputs'!$I$178),0))</f>
        <v>0</v>
      </c>
      <c r="AO183" s="407">
        <f>IF(Macros!$B$3=2,1,IF('General Inputs'!$H$49="Yes",-(AO184*'General Inputs'!$I$49/100*MillRate+'Operating Inputs'!$I$178),0))</f>
        <v>0</v>
      </c>
      <c r="AP183" s="407">
        <f>IF(Macros!$B$3=2,1,IF('General Inputs'!$H$49="Yes",-(AP184*'General Inputs'!$I$49/100*MillRate+'Operating Inputs'!$I$178),0))</f>
        <v>0</v>
      </c>
      <c r="AQ183" s="407">
        <f>IF(Macros!$B$3=2,1,IF('General Inputs'!$H$49="Yes",-(AQ184*'General Inputs'!$I$49/100*MillRate+'Operating Inputs'!$I$178),0))</f>
        <v>0</v>
      </c>
      <c r="AR183" s="407">
        <f>IF(Macros!$B$3=2,1,IF('General Inputs'!$H$49="Yes",-(AR184*'General Inputs'!$I$49/100*MillRate+'Operating Inputs'!$I$178),0))</f>
        <v>0</v>
      </c>
      <c r="AS183" s="407">
        <f>IF(Macros!$B$3=2,1,IF('General Inputs'!$H$49="Yes",-(AS184*'General Inputs'!$I$49/100*MillRate+'Operating Inputs'!$I$178),0))</f>
        <v>0</v>
      </c>
      <c r="AT183" s="407">
        <f>IF(Macros!$B$3=2,1,IF('General Inputs'!$H$49="Yes",-(AT184*'General Inputs'!$I$49/100*MillRate+'Operating Inputs'!$I$178),0))</f>
        <v>0</v>
      </c>
      <c r="AU183" s="407">
        <f>IF(Macros!$B$3=2,1,IF('General Inputs'!$H$49="Yes",-(AU184*'General Inputs'!$I$49/100*MillRate+'Operating Inputs'!$I$178),0))</f>
        <v>0</v>
      </c>
      <c r="AV183" s="407">
        <f>IF(Macros!$B$3=2,1,IF('General Inputs'!$H$49="Yes",-(AV184*'General Inputs'!$I$49/100*MillRate+'Operating Inputs'!$I$178),0))</f>
        <v>0</v>
      </c>
      <c r="AW183" s="407">
        <f>IF(Macros!$B$3=2,1,IF('General Inputs'!$H$49="Yes",-(AW184*'General Inputs'!$I$49/100*MillRate+'Operating Inputs'!$I$178),0))</f>
        <v>0</v>
      </c>
      <c r="AX183" s="407">
        <f>IF(Macros!$B$3=2,1,IF('General Inputs'!$H$49="Yes",-(AX184*'General Inputs'!$I$49/100*MillRate+'Operating Inputs'!$I$178),0))</f>
        <v>0</v>
      </c>
      <c r="AY183" s="407">
        <f>IF(Macros!$B$3=2,1,IF('General Inputs'!$H$49="Yes",-(AY184*'General Inputs'!$I$49/100*MillRate+'Operating Inputs'!$I$178),0))</f>
        <v>0</v>
      </c>
      <c r="AZ183" s="407">
        <f>IF(Macros!$B$3=2,1,IF('General Inputs'!$H$49="Yes",-(AZ184*'General Inputs'!$I$49/100*MillRate+'Operating Inputs'!$I$178),0))</f>
        <v>0</v>
      </c>
      <c r="BA183" s="407">
        <f>IF(Macros!$B$3=2,1,IF('General Inputs'!$H$49="Yes",-(BA184*'General Inputs'!$I$49/100*MillRate+'Operating Inputs'!$I$178),0))</f>
        <v>0</v>
      </c>
      <c r="BB183" s="407">
        <f>IF(Macros!$B$3=2,1,IF('General Inputs'!$H$49="Yes",-(BB184*'General Inputs'!$I$49/100*MillRate+'Operating Inputs'!$I$178),0))</f>
        <v>0</v>
      </c>
      <c r="BC183" s="407">
        <f>IF(Macros!$B$3=2,1,IF('General Inputs'!$H$49="Yes",-(BC184*'General Inputs'!$I$49/100*MillRate+'Operating Inputs'!$I$178),0))</f>
        <v>0</v>
      </c>
      <c r="BD183" s="407">
        <f>IF(Macros!$B$3=2,1,IF('General Inputs'!$H$49="Yes",-(BD184*'General Inputs'!$I$49/100*MillRate+'Operating Inputs'!$I$178),0))</f>
        <v>0</v>
      </c>
      <c r="BE183" s="407">
        <f>IF(Macros!$B$3=2,1,IF('General Inputs'!$H$49="Yes",-(BE184*'General Inputs'!$I$49/100*MillRate+'Operating Inputs'!$I$178),0))</f>
        <v>0</v>
      </c>
      <c r="BF183" s="407">
        <f>IF(Macros!$B$3=2,1,IF('General Inputs'!$H$49="Yes",-(BF184*'General Inputs'!$I$49/100*MillRate+'Operating Inputs'!$I$178),0))</f>
        <v>0</v>
      </c>
      <c r="BG183" s="407">
        <f>IF(Macros!$B$3=2,1,IF('General Inputs'!$H$49="Yes",-(BG184*'General Inputs'!$I$49/100*MillRate+'Operating Inputs'!$I$178),0))</f>
        <v>0</v>
      </c>
      <c r="BH183" s="407">
        <f>IF(Macros!$B$3=2,1,IF('General Inputs'!$H$49="Yes",-(BH184*'General Inputs'!$I$49/100*MillRate+'Operating Inputs'!$I$178),0))</f>
        <v>0</v>
      </c>
      <c r="BI183" s="407">
        <f>IF(Macros!$B$3=2,1,IF('General Inputs'!$H$49="Yes",-(BI184*'General Inputs'!$I$49/100*MillRate+'Operating Inputs'!$I$178),0))</f>
        <v>0</v>
      </c>
      <c r="BJ183" s="407">
        <f>IF(Macros!$B$3=2,1,IF('General Inputs'!$H$49="Yes",-(BJ184*'General Inputs'!$I$49/100*MillRate+'Operating Inputs'!$I$178),0))</f>
        <v>0</v>
      </c>
      <c r="BK183" s="407">
        <f>IF(Macros!$B$3=2,1,IF('General Inputs'!$H$49="Yes",-(BK184*'General Inputs'!$I$49/100*MillRate+'Operating Inputs'!$I$178),0))</f>
        <v>0</v>
      </c>
      <c r="BL183" s="407">
        <f>IF(Macros!$B$3=2,1,IF('General Inputs'!$H$49="Yes",-(BL184*'General Inputs'!$I$49/100*MillRate+'Operating Inputs'!$I$178),0))</f>
        <v>0</v>
      </c>
      <c r="BM183" s="407">
        <f>IF(Macros!$B$3=2,1,IF('General Inputs'!$H$49="Yes",-(BM184*'General Inputs'!$I$49/100*MillRate+'Operating Inputs'!$I$178),0))</f>
        <v>0</v>
      </c>
      <c r="BN183" s="407">
        <f>IF(Macros!$B$3=2,1,IF('General Inputs'!$H$49="Yes",-(BN184*'General Inputs'!$I$49/100*MillRate+'Operating Inputs'!$I$178),0))</f>
        <v>0</v>
      </c>
      <c r="BO183" s="407">
        <f>IF(Macros!$B$3=2,1,IF('General Inputs'!$H$49="Yes",-(BO184*'General Inputs'!$I$49/100*MillRate+'Operating Inputs'!$I$178),0))</f>
        <v>0</v>
      </c>
      <c r="BP183" s="407">
        <f>IF(Macros!$B$3=2,1,IF('General Inputs'!$H$49="Yes",-(BP184*'General Inputs'!$I$49/100*MillRate+'Operating Inputs'!$I$178),0))</f>
        <v>0</v>
      </c>
      <c r="BQ183" s="407">
        <f>IF(Macros!$B$3=2,1,IF('General Inputs'!$H$49="Yes",-(BQ184*'General Inputs'!$I$49/100*MillRate+'Operating Inputs'!$I$178),0))</f>
        <v>0</v>
      </c>
      <c r="BR183" s="407">
        <f>IF(Macros!$B$3=2,1,IF('General Inputs'!$H$49="Yes",-(BR184*'General Inputs'!$I$49/100*MillRate+'Operating Inputs'!$I$178),0))</f>
        <v>0</v>
      </c>
      <c r="BS183" s="407">
        <f>IF(Macros!$B$3=2,1,IF('General Inputs'!$H$49="Yes",-(BS184*'General Inputs'!$I$49/100*MillRate+'Operating Inputs'!$I$178),0))</f>
        <v>0</v>
      </c>
      <c r="BT183" s="407">
        <f>IF(Macros!$B$3=2,1,IF('General Inputs'!$H$49="Yes",-(BT184*'General Inputs'!$I$49/100*MillRate+'Operating Inputs'!$I$178),0))</f>
        <v>0</v>
      </c>
      <c r="BU183" s="407">
        <f>IF(Macros!$B$3=2,1,IF('General Inputs'!$H$49="Yes",-(BU184*'General Inputs'!$I$49/100*MillRate+'Operating Inputs'!$I$178),0))</f>
        <v>0</v>
      </c>
      <c r="BV183" s="407">
        <f>IF(Macros!$B$3=2,1,IF('General Inputs'!$H$49="Yes",-(BV184*'General Inputs'!$I$49/100*MillRate+'Operating Inputs'!$I$178),0))</f>
        <v>0</v>
      </c>
      <c r="BW183" s="407">
        <f>IF(Macros!$B$3=2,1,IF('General Inputs'!$H$49="Yes",-(BW184*'General Inputs'!$I$49/100*MillRate+'Operating Inputs'!$I$178),0))</f>
        <v>0</v>
      </c>
      <c r="BX183" s="407">
        <f>IF(Macros!$B$3=2,1,IF('General Inputs'!$H$49="Yes",-(BX184*'General Inputs'!$I$49/100*MillRate+'Operating Inputs'!$I$178),0))</f>
        <v>0</v>
      </c>
      <c r="BY183" s="407">
        <f>IF(Macros!$B$3=2,1,IF('General Inputs'!$H$49="Yes",-(BY184*'General Inputs'!$I$49/100*MillRate+'Operating Inputs'!$I$178),0))</f>
        <v>0</v>
      </c>
      <c r="BZ183" s="407">
        <f>IF(Macros!$B$3=2,1,IF('General Inputs'!$H$49="Yes",-(BZ184*'General Inputs'!$I$49/100*MillRate+'Operating Inputs'!$I$178),0))</f>
        <v>0</v>
      </c>
      <c r="CA183" s="407">
        <f>IF(Macros!$B$3=2,1,IF('General Inputs'!$H$49="Yes",-(CA184*'General Inputs'!$I$49/100*MillRate+'Operating Inputs'!$I$178),0))</f>
        <v>0</v>
      </c>
      <c r="CB183" s="407">
        <f>IF(Macros!$B$3=2,1,IF('General Inputs'!$H$49="Yes",-(CB184*'General Inputs'!$I$49/100*MillRate+'Operating Inputs'!$I$178),0))</f>
        <v>0</v>
      </c>
      <c r="CC183" s="407">
        <f>IF(Macros!$B$3=2,1,IF('General Inputs'!$H$49="Yes",-(CC184*'General Inputs'!$I$49/100*MillRate+'Operating Inputs'!$I$178),0))</f>
        <v>0</v>
      </c>
      <c r="CD183" s="407">
        <f>IF(Macros!$B$3=2,1,IF('General Inputs'!$H$49="Yes",-(CD184*'General Inputs'!$I$49/100*MillRate+'Operating Inputs'!$I$178),0))</f>
        <v>0</v>
      </c>
      <c r="CE183" s="407">
        <f>IF(Macros!$B$3=2,1,IF('General Inputs'!$H$49="Yes",-(CE184*'General Inputs'!$I$49/100*MillRate+'Operating Inputs'!$I$178),0))</f>
        <v>0</v>
      </c>
      <c r="CF183" s="407">
        <f>IF(Macros!$B$3=2,1,IF('General Inputs'!$H$49="Yes",-(CF184*'General Inputs'!$I$49/100*MillRate+'Operating Inputs'!$I$178),0))</f>
        <v>0</v>
      </c>
      <c r="CG183" s="407">
        <f>IF(Macros!$B$3=2,1,IF('General Inputs'!$H$49="Yes",-(CG184*'General Inputs'!$I$49/100*MillRate+'Operating Inputs'!$I$178),0))</f>
        <v>0</v>
      </c>
      <c r="CH183" s="407">
        <f>IF(Macros!$B$3=2,1,IF('General Inputs'!$H$49="Yes",-(CH184*'General Inputs'!$I$49/100*MillRate+'Operating Inputs'!$I$178),0))</f>
        <v>0</v>
      </c>
      <c r="CI183" s="407">
        <f>IF(Macros!$B$3=2,1,IF('General Inputs'!$H$49="Yes",-(CI184*'General Inputs'!$I$49/100*MillRate+'Operating Inputs'!$I$178),0))</f>
        <v>0</v>
      </c>
      <c r="CJ183" s="407">
        <f>IF(Macros!$B$3=2,1,IF('General Inputs'!$H$49="Yes",-(CJ184*'General Inputs'!$I$49/100*MillRate+'Operating Inputs'!$I$178),0))</f>
        <v>0</v>
      </c>
      <c r="CK183" s="407">
        <f>IF(Macros!$B$3=2,1,IF('General Inputs'!$H$49="Yes",-(CK184*'General Inputs'!$I$49/100*MillRate+'Operating Inputs'!$I$178),0))</f>
        <v>0</v>
      </c>
      <c r="CL183" s="407">
        <f>IF(Macros!$B$3=2,1,IF('General Inputs'!$H$49="Yes",-(CL184*'General Inputs'!$I$49/100*MillRate+'Operating Inputs'!$I$178),0))</f>
        <v>0</v>
      </c>
      <c r="CM183" s="407">
        <f>IF(Macros!$B$3=2,1,IF('General Inputs'!$H$49="Yes",-(CM184*'General Inputs'!$I$49/100*MillRate+'Operating Inputs'!$I$178),0))</f>
        <v>0</v>
      </c>
      <c r="CN183" s="407">
        <f>IF(Macros!$B$3=2,1,IF('General Inputs'!$H$49="Yes",-(CN184*'General Inputs'!$I$49/100*MillRate+'Operating Inputs'!$I$178),0))</f>
        <v>0</v>
      </c>
      <c r="CO183" s="407">
        <f>IF(Macros!$B$3=2,1,IF('General Inputs'!$H$49="Yes",-(CO184*'General Inputs'!$I$49/100*MillRate+'Operating Inputs'!$I$178),0))</f>
        <v>0</v>
      </c>
      <c r="CP183" s="407">
        <f>IF(Macros!$B$3=2,1,IF('General Inputs'!$H$49="Yes",-(CP184*'General Inputs'!$I$49/100*MillRate+'Operating Inputs'!$I$178),0))</f>
        <v>0</v>
      </c>
      <c r="CQ183" s="407">
        <f>IF(Macros!$B$3=2,1,IF('General Inputs'!$H$49="Yes",-(CQ184*'General Inputs'!$I$49/100*MillRate+'Operating Inputs'!$I$178),0))</f>
        <v>0</v>
      </c>
      <c r="CR183" s="407">
        <f>IF(Macros!$B$3=2,1,IF('General Inputs'!$H$49="Yes",-(CR184*'General Inputs'!$I$49/100*MillRate+'Operating Inputs'!$I$178),0))</f>
        <v>0</v>
      </c>
      <c r="CS183" s="407">
        <f>IF(Macros!$B$3=2,1,IF('General Inputs'!$H$49="Yes",-(CS184*'General Inputs'!$I$49/100*MillRate+'Operating Inputs'!$I$178),0))</f>
        <v>0</v>
      </c>
      <c r="CT183" s="407">
        <f>IF(Macros!$B$3=2,1,IF('General Inputs'!$H$49="Yes",-(CT184*'General Inputs'!$I$49/100*MillRate+'Operating Inputs'!$I$178),0))</f>
        <v>0</v>
      </c>
      <c r="CU183" s="407">
        <f>IF(Macros!$B$3=2,1,IF('General Inputs'!$H$49="Yes",-(CU184*'General Inputs'!$I$49/100*MillRate+'Operating Inputs'!$I$178),0))</f>
        <v>0</v>
      </c>
      <c r="CV183" s="407">
        <f>IF(Macros!$B$3=2,1,IF('General Inputs'!$H$49="Yes",-(CV184*'General Inputs'!$I$49/100*MillRate+'Operating Inputs'!$I$178),0))</f>
        <v>0</v>
      </c>
      <c r="CW183" s="407">
        <f>IF(Macros!$B$3=2,1,IF('General Inputs'!$H$49="Yes",-(CW184*'General Inputs'!$I$49/100*MillRate+'Operating Inputs'!$I$178),0))</f>
        <v>0</v>
      </c>
      <c r="CX183" s="407">
        <f>IF(Macros!$B$3=2,1,IF('General Inputs'!$H$49="Yes",-(CX184*'General Inputs'!$I$49/100*MillRate+'Operating Inputs'!$I$178),0))</f>
        <v>0</v>
      </c>
      <c r="CY183" s="407">
        <f>IF(Macros!$B$3=2,1,IF('General Inputs'!$H$49="Yes",-(CY184*'General Inputs'!$I$49/100*MillRate+'Operating Inputs'!$I$178),0))</f>
        <v>0</v>
      </c>
      <c r="CZ183" s="407">
        <f>IF(Macros!$B$3=2,1,IF('General Inputs'!$H$49="Yes",-(CZ184*'General Inputs'!$I$49/100*MillRate+'Operating Inputs'!$I$178),0))</f>
        <v>0</v>
      </c>
      <c r="DA183" s="407">
        <f>IF(Macros!$B$3=2,1,IF('General Inputs'!$H$49="Yes",-(DA184*'General Inputs'!$I$49/100*MillRate+'Operating Inputs'!$I$178),0))</f>
        <v>0</v>
      </c>
      <c r="DB183" s="407">
        <f>IF(Macros!$B$3=2,1,IF('General Inputs'!$H$49="Yes",-(DB184*'General Inputs'!$I$49/100*MillRate+'Operating Inputs'!$I$178),0))</f>
        <v>0</v>
      </c>
      <c r="DC183" s="407">
        <f>IF(Macros!$B$3=2,1,IF('General Inputs'!$H$49="Yes",-(DC184*'General Inputs'!$I$49/100*MillRate+'Operating Inputs'!$I$178),0))</f>
        <v>0</v>
      </c>
      <c r="DD183" s="407">
        <f>IF(Macros!$B$3=2,1,IF('General Inputs'!$H$49="Yes",-(DD184*'General Inputs'!$I$49/100*MillRate+'Operating Inputs'!$I$178),0))</f>
        <v>0</v>
      </c>
      <c r="DE183" s="407">
        <f>IF(Macros!$B$3=2,1,IF('General Inputs'!$H$49="Yes",-(DE184*'General Inputs'!$I$49/100*MillRate+'Operating Inputs'!$I$178),0))</f>
        <v>0</v>
      </c>
      <c r="DF183" s="407">
        <f>IF(Macros!$B$3=2,1,IF('General Inputs'!$H$49="Yes",-(DF184*'General Inputs'!$I$49/100*MillRate+'Operating Inputs'!$I$178),0))</f>
        <v>0</v>
      </c>
      <c r="DG183" s="407">
        <f>IF(Macros!$B$3=2,1,IF('General Inputs'!$H$49="Yes",-(DG184*'General Inputs'!$I$49/100*MillRate+'Operating Inputs'!$I$178),0))</f>
        <v>0</v>
      </c>
      <c r="DH183" s="407">
        <f>IF(Macros!$B$3=2,1,IF('General Inputs'!$H$49="Yes",-(DH184*'General Inputs'!$I$49/100*MillRate+'Operating Inputs'!$I$178),0))</f>
        <v>0</v>
      </c>
      <c r="DI183" s="407">
        <f>IF(Macros!$B$3=2,1,IF('General Inputs'!$H$49="Yes",-(DI184*'General Inputs'!$I$49/100*MillRate+'Operating Inputs'!$I$178),0))</f>
        <v>0</v>
      </c>
      <c r="DJ183" s="407">
        <f>IF(Macros!$B$3=2,1,IF('General Inputs'!$H$49="Yes",-(DJ184*'General Inputs'!$I$49/100*MillRate+'Operating Inputs'!$I$178),0))</f>
        <v>0</v>
      </c>
      <c r="DK183" s="407">
        <f>IF(Macros!$B$3=2,1,IF('General Inputs'!$H$49="Yes",-(DK184*'General Inputs'!$I$49/100*MillRate+'Operating Inputs'!$I$178),0))</f>
        <v>0</v>
      </c>
      <c r="DL183" s="407">
        <f>IF(Macros!$B$3=2,1,IF('General Inputs'!$H$49="Yes",-(DL184*'General Inputs'!$I$49/100*MillRate+'Operating Inputs'!$I$178),0))</f>
        <v>0</v>
      </c>
      <c r="DM183" s="407">
        <f>IF(Macros!$B$3=2,1,IF('General Inputs'!$H$49="Yes",-(DM184*'General Inputs'!$I$49/100*MillRate+'Operating Inputs'!$I$178),0))</f>
        <v>0</v>
      </c>
      <c r="DN183" s="407">
        <f>IF(Macros!$B$3=2,1,IF('General Inputs'!$H$49="Yes",-(DN184*'General Inputs'!$I$49/100*MillRate+'Operating Inputs'!$I$178),0))</f>
        <v>0</v>
      </c>
      <c r="DO183" s="407">
        <f>IF(Macros!$B$3=2,1,IF('General Inputs'!$H$49="Yes",-(DO184*'General Inputs'!$I$49/100*MillRate+'Operating Inputs'!$I$178),0))</f>
        <v>0</v>
      </c>
      <c r="DP183" s="407">
        <f>IF(Macros!$B$3=2,1,IF('General Inputs'!$H$49="Yes",-(DP184*'General Inputs'!$I$49/100*MillRate+'Operating Inputs'!$I$178),0))</f>
        <v>0</v>
      </c>
      <c r="DQ183" s="407">
        <f>IF(Macros!$B$3=2,1,IF('General Inputs'!$H$49="Yes",-(DQ184*'General Inputs'!$I$49/100*MillRate+'Operating Inputs'!$I$178),0))</f>
        <v>0</v>
      </c>
      <c r="DR183" s="407">
        <f>IF(Macros!$B$3=2,1,IF('General Inputs'!$H$49="Yes",-(DR184*'General Inputs'!$I$49/100*MillRate+'Operating Inputs'!$I$178),0))</f>
        <v>0</v>
      </c>
      <c r="DS183" s="407">
        <f>IF(Macros!$B$3=2,1,IF('General Inputs'!$H$49="Yes",-(DS184*'General Inputs'!$I$49/100*MillRate+'Operating Inputs'!$I$178),0))</f>
        <v>0</v>
      </c>
      <c r="DT183" s="407">
        <f>IF(Macros!$B$3=2,1,IF('General Inputs'!$H$49="Yes",-(DT184*'General Inputs'!$I$49/100*MillRate+'Operating Inputs'!$I$178),0))</f>
        <v>0</v>
      </c>
      <c r="DU183" s="407">
        <f>IF(Macros!$B$3=2,1,IF('General Inputs'!$H$49="Yes",-(DU184*'General Inputs'!$I$49/100*MillRate+'Operating Inputs'!$I$178),0))</f>
        <v>0</v>
      </c>
      <c r="EH183" s="644"/>
      <c r="EI183" s="280"/>
    </row>
    <row r="184" spans="1:139" collapsed="1" x14ac:dyDescent="0.3">
      <c r="A184" t="s">
        <v>116</v>
      </c>
      <c r="D184" s="282"/>
      <c r="E184" s="712"/>
      <c r="F184" s="712"/>
      <c r="G184" s="712"/>
      <c r="H184" s="712"/>
      <c r="I184" s="712"/>
      <c r="J184" s="712"/>
      <c r="K184" s="712"/>
      <c r="L184" s="712"/>
      <c r="M184" s="712"/>
      <c r="N184" s="712"/>
      <c r="O184" s="712"/>
      <c r="P184" s="712"/>
      <c r="Q184" s="407">
        <f t="shared" ref="Q184:AV184" ca="1" si="268">((Q181+Q182+Q183)/ExitCap)</f>
        <v>8847338.786576869</v>
      </c>
      <c r="R184" s="407">
        <f t="shared" ca="1" si="268"/>
        <v>14536688.574957717</v>
      </c>
      <c r="S184" s="407">
        <f t="shared" ca="1" si="268"/>
        <v>22578384.831041809</v>
      </c>
      <c r="T184" s="407">
        <f t="shared" ca="1" si="268"/>
        <v>32285242.954790346</v>
      </c>
      <c r="U184" s="407">
        <f t="shared" ca="1" si="268"/>
        <v>42140851.166509889</v>
      </c>
      <c r="V184" s="407">
        <f t="shared" ca="1" si="268"/>
        <v>51471195.458574735</v>
      </c>
      <c r="W184" s="407">
        <f t="shared" ca="1" si="268"/>
        <v>60237989.909899324</v>
      </c>
      <c r="X184" s="407">
        <f t="shared" ca="1" si="268"/>
        <v>68282434.785124734</v>
      </c>
      <c r="Y184" s="407">
        <f t="shared" ca="1" si="268"/>
        <v>75681522.134322211</v>
      </c>
      <c r="Z184" s="407">
        <f t="shared" ca="1" si="268"/>
        <v>82286761.277921408</v>
      </c>
      <c r="AA184" s="407">
        <f t="shared" ca="1" si="268"/>
        <v>87943739.429485232</v>
      </c>
      <c r="AB184" s="407">
        <f t="shared" ca="1" si="268"/>
        <v>92651930.733582288</v>
      </c>
      <c r="AC184" s="407">
        <f t="shared" ca="1" si="268"/>
        <v>96419100.070844024</v>
      </c>
      <c r="AD184" s="407">
        <f t="shared" ca="1" si="268"/>
        <v>99392076.195185497</v>
      </c>
      <c r="AE184" s="407">
        <f t="shared" ca="1" si="268"/>
        <v>101530558.83812743</v>
      </c>
      <c r="AF184" s="407">
        <f t="shared" ca="1" si="268"/>
        <v>102099550.53222448</v>
      </c>
      <c r="AG184" s="407">
        <f t="shared" ca="1" si="268"/>
        <v>102519475.19780481</v>
      </c>
      <c r="AH184" s="407">
        <f t="shared" ca="1" si="268"/>
        <v>102949428.89667653</v>
      </c>
      <c r="AI184" s="407">
        <f t="shared" ca="1" si="268"/>
        <v>103388864.84333372</v>
      </c>
      <c r="AJ184" s="407">
        <f t="shared" ca="1" si="268"/>
        <v>103827822.79169799</v>
      </c>
      <c r="AK184" s="407">
        <f t="shared" ca="1" si="268"/>
        <v>104261112.5593228</v>
      </c>
      <c r="AL184" s="407">
        <f t="shared" ca="1" si="268"/>
        <v>104687482.02807894</v>
      </c>
      <c r="AM184" s="407">
        <f t="shared" ca="1" si="268"/>
        <v>105105669.79756133</v>
      </c>
      <c r="AN184" s="407">
        <f t="shared" ca="1" si="268"/>
        <v>105514405.13425465</v>
      </c>
      <c r="AO184" s="407">
        <f t="shared" ca="1" si="268"/>
        <v>105912407.9204604</v>
      </c>
      <c r="AP184" s="407">
        <f t="shared" ca="1" si="268"/>
        <v>106302437.63775453</v>
      </c>
      <c r="AQ184" s="407">
        <f t="shared" ca="1" si="268"/>
        <v>106675241.54841727</v>
      </c>
      <c r="AR184" s="407">
        <f t="shared" ca="1" si="268"/>
        <v>107032114.70923339</v>
      </c>
      <c r="AS184" s="407">
        <f t="shared" ca="1" si="268"/>
        <v>107402346.85886498</v>
      </c>
      <c r="AT184" s="407">
        <f t="shared" ca="1" si="268"/>
        <v>107763918.16984908</v>
      </c>
      <c r="AU184" s="407">
        <f t="shared" ca="1" si="268"/>
        <v>108117886.56492901</v>
      </c>
      <c r="AV184" s="407">
        <f t="shared" ca="1" si="268"/>
        <v>108461982.57141913</v>
      </c>
      <c r="AW184" s="407">
        <f t="shared" ref="AW184:CB184" ca="1" si="269">((AW181+AW182+AW183)/ExitCap)</f>
        <v>108798611.77253826</v>
      </c>
      <c r="AX184" s="407">
        <f t="shared" ca="1" si="269"/>
        <v>109130199.10309821</v>
      </c>
      <c r="AY184" s="407">
        <f t="shared" ca="1" si="269"/>
        <v>109459188.96738949</v>
      </c>
      <c r="AZ184" s="407">
        <f t="shared" ca="1" si="269"/>
        <v>109788045.35771389</v>
      </c>
      <c r="BA184" s="407">
        <f t="shared" ca="1" si="269"/>
        <v>110119251.97356774</v>
      </c>
      <c r="BB184" s="407">
        <f t="shared" ca="1" si="269"/>
        <v>110453737.34100842</v>
      </c>
      <c r="BC184" s="407">
        <f t="shared" ca="1" si="269"/>
        <v>110796894.58430792</v>
      </c>
      <c r="BD184" s="407">
        <f t="shared" ca="1" si="269"/>
        <v>111149546.55052719</v>
      </c>
      <c r="BE184" s="407">
        <f t="shared" ca="1" si="269"/>
        <v>111504040.05220111</v>
      </c>
      <c r="BF184" s="407">
        <f t="shared" ca="1" si="269"/>
        <v>111864848.01629186</v>
      </c>
      <c r="BG184" s="407">
        <f t="shared" ca="1" si="269"/>
        <v>112231621.37380436</v>
      </c>
      <c r="BH184" s="407">
        <f t="shared" ca="1" si="269"/>
        <v>112606751.24330886</v>
      </c>
      <c r="BI184" s="407">
        <f t="shared" ca="1" si="269"/>
        <v>112989443.87940969</v>
      </c>
      <c r="BJ184" s="407">
        <f t="shared" ca="1" si="269"/>
        <v>113378899.5483703</v>
      </c>
      <c r="BK184" s="407">
        <f t="shared" ca="1" si="269"/>
        <v>113774312.49450065</v>
      </c>
      <c r="BL184" s="407">
        <f t="shared" ca="1" si="269"/>
        <v>114174870.90637663</v>
      </c>
      <c r="BM184" s="407">
        <f t="shared" ca="1" si="269"/>
        <v>114579756.88289072</v>
      </c>
      <c r="BN184" s="407">
        <f t="shared" ca="1" si="269"/>
        <v>114987022.75694521</v>
      </c>
      <c r="BO184" s="407">
        <f t="shared" ca="1" si="269"/>
        <v>115398177.90881</v>
      </c>
      <c r="BP184" s="407">
        <f t="shared" ca="1" si="269"/>
        <v>115812080.93356858</v>
      </c>
      <c r="BQ184" s="407">
        <f t="shared" ca="1" si="269"/>
        <v>116224005.02003008</v>
      </c>
      <c r="BR184" s="407">
        <f t="shared" ca="1" si="269"/>
        <v>116637200.59500831</v>
      </c>
      <c r="BS184" s="407">
        <f t="shared" ca="1" si="269"/>
        <v>117051671.13416119</v>
      </c>
      <c r="BT184" s="407">
        <f t="shared" ca="1" si="269"/>
        <v>117467992.05349886</v>
      </c>
      <c r="BU184" s="407">
        <f t="shared" ca="1" si="269"/>
        <v>117886170.80120024</v>
      </c>
      <c r="BV184" s="407">
        <f t="shared" ca="1" si="269"/>
        <v>118306214.85577759</v>
      </c>
      <c r="BW184" s="407">
        <f t="shared" ca="1" si="269"/>
        <v>118728131.72620086</v>
      </c>
      <c r="BX184" s="407">
        <f t="shared" ca="1" si="269"/>
        <v>119151928.9520226</v>
      </c>
      <c r="BY184" s="407">
        <f t="shared" ca="1" si="269"/>
        <v>119577614.10350357</v>
      </c>
      <c r="BZ184" s="407">
        <f t="shared" ca="1" si="269"/>
        <v>120004608.47000705</v>
      </c>
      <c r="CA184" s="407">
        <f t="shared" ca="1" si="269"/>
        <v>120434091.49647538</v>
      </c>
      <c r="CB184" s="407">
        <f t="shared" ca="1" si="269"/>
        <v>120865757.2296017</v>
      </c>
      <c r="CC184" s="407">
        <f t="shared" ref="CC184:DH184" ca="1" si="270">((CC181+CC182+CC183)/ExitCap)</f>
        <v>121295374.44037282</v>
      </c>
      <c r="CD184" s="407">
        <f t="shared" ca="1" si="270"/>
        <v>121726315.24175063</v>
      </c>
      <c r="CE184" s="407">
        <f t="shared" ca="1" si="270"/>
        <v>122158583.25225513</v>
      </c>
      <c r="CF184" s="407">
        <f t="shared" ca="1" si="270"/>
        <v>122592778.20643862</v>
      </c>
      <c r="CG184" s="407">
        <f t="shared" ca="1" si="270"/>
        <v>123028907.86323896</v>
      </c>
      <c r="CH184" s="407">
        <f t="shared" ca="1" si="270"/>
        <v>123466980.01319945</v>
      </c>
      <c r="CI184" s="407">
        <f t="shared" ca="1" si="270"/>
        <v>123907002.47859842</v>
      </c>
      <c r="CJ184" s="407">
        <f t="shared" ca="1" si="270"/>
        <v>124348983.11357948</v>
      </c>
      <c r="CK184" s="407">
        <f t="shared" ca="1" si="270"/>
        <v>124792929.80428225</v>
      </c>
      <c r="CL184" s="407">
        <f t="shared" ca="1" si="270"/>
        <v>125238239.3740796</v>
      </c>
      <c r="CM184" s="407">
        <f t="shared" ca="1" si="270"/>
        <v>125686141.11844698</v>
      </c>
      <c r="CN184" s="407">
        <f t="shared" ca="1" si="270"/>
        <v>126136316.14741005</v>
      </c>
      <c r="CO184" s="407">
        <f t="shared" ca="1" si="270"/>
        <v>126584369.28899232</v>
      </c>
      <c r="CP184" s="407">
        <f t="shared" ca="1" si="270"/>
        <v>127033800.27630913</v>
      </c>
      <c r="CQ184" s="407">
        <f t="shared" ca="1" si="270"/>
        <v>127484612.87665963</v>
      </c>
      <c r="CR184" s="407">
        <f t="shared" ca="1" si="270"/>
        <v>127937432.17095158</v>
      </c>
      <c r="CS184" s="407">
        <f t="shared" ca="1" si="270"/>
        <v>128392266.24189517</v>
      </c>
      <c r="CT184" s="407">
        <f t="shared" ca="1" si="270"/>
        <v>128849123.20513169</v>
      </c>
      <c r="CU184" s="407">
        <f t="shared" ca="1" si="270"/>
        <v>129308011.20936854</v>
      </c>
      <c r="CV184" s="407">
        <f t="shared" ca="1" si="270"/>
        <v>129768938.43651491</v>
      </c>
      <c r="CW184" s="407">
        <f t="shared" ca="1" si="270"/>
        <v>130231913.10181804</v>
      </c>
      <c r="CX184" s="407">
        <f t="shared" ca="1" si="270"/>
        <v>130696306.52836889</v>
      </c>
      <c r="CY184" s="407">
        <f t="shared" ca="1" si="270"/>
        <v>131163399.96921429</v>
      </c>
      <c r="CZ184" s="407">
        <f t="shared" ca="1" si="270"/>
        <v>131632861.0507603</v>
      </c>
      <c r="DA184" s="407">
        <f t="shared" ca="1" si="270"/>
        <v>132100122.78655089</v>
      </c>
      <c r="DB184" s="407">
        <f t="shared" ca="1" si="270"/>
        <v>132568818.86577092</v>
      </c>
      <c r="DC184" s="407">
        <f t="shared" ca="1" si="270"/>
        <v>133038953.21066234</v>
      </c>
      <c r="DD184" s="407">
        <f t="shared" ca="1" si="270"/>
        <v>133511177.31974299</v>
      </c>
      <c r="DE184" s="407">
        <f t="shared" ca="1" si="270"/>
        <v>133985499.61305545</v>
      </c>
      <c r="DF184" s="407">
        <f t="shared" ca="1" si="270"/>
        <v>134461928.54495454</v>
      </c>
      <c r="DG184" s="407">
        <f t="shared" ca="1" si="270"/>
        <v>134940472.60424829</v>
      </c>
      <c r="DH184" s="407">
        <f t="shared" ca="1" si="270"/>
        <v>135421140.31433916</v>
      </c>
      <c r="DI184" s="407">
        <f t="shared" ref="DI184:DU184" ca="1" si="271">((DI181+DI182+DI183)/ExitCap)</f>
        <v>135903940.23336616</v>
      </c>
      <c r="DJ184" s="407">
        <f t="shared" ca="1" si="271"/>
        <v>136388217.10612437</v>
      </c>
      <c r="DK184" s="407">
        <f t="shared" ca="1" si="271"/>
        <v>136875306.33932993</v>
      </c>
      <c r="DL184" s="407">
        <f t="shared" ca="1" si="271"/>
        <v>137364861.505694</v>
      </c>
      <c r="DM184" s="407">
        <f t="shared" ca="1" si="271"/>
        <v>137852135.43163943</v>
      </c>
      <c r="DN184" s="407">
        <f t="shared" ca="1" si="271"/>
        <v>138340902.53454536</v>
      </c>
      <c r="DO184" s="407">
        <f t="shared" ca="1" si="271"/>
        <v>138831166.89801684</v>
      </c>
      <c r="DP184" s="407">
        <f t="shared" ca="1" si="271"/>
        <v>139323607.55471456</v>
      </c>
      <c r="DQ184" s="407">
        <f t="shared" ca="1" si="271"/>
        <v>139818233.27614254</v>
      </c>
      <c r="DR184" s="407">
        <f t="shared" ca="1" si="271"/>
        <v>140315052.86955658</v>
      </c>
      <c r="DS184" s="407">
        <f t="shared" ca="1" si="271"/>
        <v>140814075.17811096</v>
      </c>
      <c r="DT184" s="407">
        <f t="shared" ca="1" si="271"/>
        <v>141315309.08100563</v>
      </c>
      <c r="DU184" s="407">
        <f t="shared" ca="1" si="271"/>
        <v>141818763.49363446</v>
      </c>
      <c r="EH184" s="644"/>
      <c r="EI184" s="722"/>
    </row>
    <row r="185" spans="1:139" x14ac:dyDescent="0.3">
      <c r="A185" t="s">
        <v>117</v>
      </c>
      <c r="D185" s="282"/>
      <c r="E185" s="712"/>
      <c r="F185" s="712"/>
      <c r="G185" s="712"/>
      <c r="H185" s="712"/>
      <c r="I185" s="712"/>
      <c r="J185" s="712"/>
      <c r="K185" s="712"/>
      <c r="L185" s="712"/>
      <c r="M185" s="712"/>
      <c r="N185" s="712"/>
      <c r="O185" s="712"/>
      <c r="P185" s="712"/>
      <c r="Q185" s="407">
        <f>IF('General Inputs'!$H$48="Next Year",SUM(OperBgt!S$65:AD$65),IF('General Inputs'!$H$48="Current Year",SUM(OperBgt!G$65:R$65),SUM(OperBgt!M$65:X$65)))</f>
        <v>0</v>
      </c>
      <c r="R185" s="407">
        <f>IF('General Inputs'!$H$48="Next Year",SUM(OperBgt!T$65:AE$65),IF('General Inputs'!$H$48="Current Year",SUM(OperBgt!H$65:S$65),SUM(OperBgt!N$65:Y$65)))</f>
        <v>0</v>
      </c>
      <c r="S185" s="407">
        <f>IF('General Inputs'!$H$48="Next Year",SUM(OperBgt!U$65:AF$65),IF('General Inputs'!$H$48="Current Year",SUM(OperBgt!I$65:T$65),SUM(OperBgt!O$65:Z$65)))</f>
        <v>0</v>
      </c>
      <c r="T185" s="407">
        <f>IF('General Inputs'!$H$48="Next Year",SUM(OperBgt!V$65:AG$65),IF('General Inputs'!$H$48="Current Year",SUM(OperBgt!J$65:U$65),SUM(OperBgt!P$65:AA$65)))</f>
        <v>0</v>
      </c>
      <c r="U185" s="407">
        <f>IF('General Inputs'!$H$48="Next Year",SUM(OperBgt!W$65:AH$65),IF('General Inputs'!$H$48="Current Year",SUM(OperBgt!K$65:V$65),SUM(OperBgt!Q$65:AB$65)))</f>
        <v>0</v>
      </c>
      <c r="V185" s="407">
        <f>IF('General Inputs'!$H$48="Next Year",SUM(OperBgt!X$65:AI$65),IF('General Inputs'!$H$48="Current Year",SUM(OperBgt!L$65:W$65),SUM(OperBgt!R$65:AC$65)))</f>
        <v>0</v>
      </c>
      <c r="W185" s="407">
        <f>IF('General Inputs'!$H$48="Next Year",SUM(OperBgt!Y$65:AJ$65),IF('General Inputs'!$H$48="Current Year",SUM(OperBgt!M$65:X$65),SUM(OperBgt!S$65:AD$65)))</f>
        <v>0</v>
      </c>
      <c r="X185" s="407">
        <f>IF('General Inputs'!$H$48="Next Year",SUM(OperBgt!Z$65:AK$65),IF('General Inputs'!$H$48="Current Year",SUM(OperBgt!N$65:Y$65),SUM(OperBgt!T$65:AE$65)))</f>
        <v>0</v>
      </c>
      <c r="Y185" s="407">
        <f>IF('General Inputs'!$H$48="Next Year",SUM(OperBgt!AA$65:AL$65),IF('General Inputs'!$H$48="Current Year",SUM(OperBgt!O$65:Z$65),SUM(OperBgt!U$65:AF$65)))</f>
        <v>0</v>
      </c>
      <c r="Z185" s="407">
        <f>IF('General Inputs'!$H$48="Next Year",SUM(OperBgt!AB$65:AM$65),IF('General Inputs'!$H$48="Current Year",SUM(OperBgt!P$65:AA$65),SUM(OperBgt!V$65:AG$65)))</f>
        <v>0</v>
      </c>
      <c r="AA185" s="407">
        <f>IF('General Inputs'!$H$48="Next Year",SUM(OperBgt!AC$65:AN$65),IF('General Inputs'!$H$48="Current Year",SUM(OperBgt!Q$65:AB$65),SUM(OperBgt!W$65:AH$65)))</f>
        <v>0</v>
      </c>
      <c r="AB185" s="407">
        <f>IF('General Inputs'!$H$48="Next Year",SUM(OperBgt!AD$65:AO$65),IF('General Inputs'!$H$48="Current Year",SUM(OperBgt!R$65:AC$65),SUM(OperBgt!X$65:AI$65)))</f>
        <v>0</v>
      </c>
      <c r="AC185" s="407">
        <f>IF('General Inputs'!$H$48="Next Year",SUM(OperBgt!AE$65:AP$65),IF('General Inputs'!$H$48="Current Year",SUM(OperBgt!S$65:AD$65),SUM(OperBgt!Y$65:AJ$65)))</f>
        <v>0</v>
      </c>
      <c r="AD185" s="407">
        <f>IF('General Inputs'!$H$48="Next Year",SUM(OperBgt!AF$65:AQ$65),IF('General Inputs'!$H$48="Current Year",SUM(OperBgt!T$65:AE$65),SUM(OperBgt!Z$65:AK$65)))</f>
        <v>0</v>
      </c>
      <c r="AE185" s="407">
        <f>IF('General Inputs'!$H$48="Next Year",SUM(OperBgt!AG$65:AR$65),IF('General Inputs'!$H$48="Current Year",SUM(OperBgt!U$65:AF$65),SUM(OperBgt!AA$65:AL$65)))</f>
        <v>0</v>
      </c>
      <c r="AF185" s="407">
        <f>IF('General Inputs'!$H$48="Next Year",SUM(OperBgt!AH$65:AS$65),IF('General Inputs'!$H$48="Current Year",SUM(OperBgt!V$65:AG$65),SUM(OperBgt!AB$65:AM$65)))</f>
        <v>0</v>
      </c>
      <c r="AG185" s="407">
        <f>IF('General Inputs'!$H$48="Next Year",SUM(OperBgt!AI$65:AT$65),IF('General Inputs'!$H$48="Current Year",SUM(OperBgt!W$65:AH$65),SUM(OperBgt!AC$65:AN$65)))</f>
        <v>0</v>
      </c>
      <c r="AH185" s="407">
        <f>IF('General Inputs'!$H$48="Next Year",SUM(OperBgt!AJ$65:AU$65),IF('General Inputs'!$H$48="Current Year",SUM(OperBgt!X$65:AI$65),SUM(OperBgt!AD$65:AO$65)))</f>
        <v>0</v>
      </c>
      <c r="AI185" s="407">
        <f>IF('General Inputs'!$H$48="Next Year",SUM(OperBgt!AK$65:AV$65),IF('General Inputs'!$H$48="Current Year",SUM(OperBgt!Y$65:AJ$65),SUM(OperBgt!AE$65:AP$65)))</f>
        <v>0</v>
      </c>
      <c r="AJ185" s="407">
        <f>IF('General Inputs'!$H$48="Next Year",SUM(OperBgt!AL$65:AW$65),IF('General Inputs'!$H$48="Current Year",SUM(OperBgt!Z$65:AK$65),SUM(OperBgt!AF$65:AQ$65)))</f>
        <v>0</v>
      </c>
      <c r="AK185" s="407">
        <f>IF('General Inputs'!$H$48="Next Year",SUM(OperBgt!AM$65:AX$65),IF('General Inputs'!$H$48="Current Year",SUM(OperBgt!AA$65:AL$65),SUM(OperBgt!AG$65:AR$65)))</f>
        <v>0</v>
      </c>
      <c r="AL185" s="407">
        <f>IF('General Inputs'!$H$48="Next Year",SUM(OperBgt!AN$65:AY$65),IF('General Inputs'!$H$48="Current Year",SUM(OperBgt!AB$65:AM$65),SUM(OperBgt!AH$65:AS$65)))</f>
        <v>0</v>
      </c>
      <c r="AM185" s="407">
        <f>IF('General Inputs'!$H$48="Next Year",SUM(OperBgt!AO$65:AZ$65),IF('General Inputs'!$H$48="Current Year",SUM(OperBgt!AC$65:AN$65),SUM(OperBgt!AI$65:AT$65)))</f>
        <v>0</v>
      </c>
      <c r="AN185" s="407">
        <f>IF('General Inputs'!$H$48="Next Year",SUM(OperBgt!AP$65:BA$65),IF('General Inputs'!$H$48="Current Year",SUM(OperBgt!AD$65:AO$65),SUM(OperBgt!AJ$65:AU$65)))</f>
        <v>0</v>
      </c>
      <c r="AO185" s="407">
        <f>IF('General Inputs'!$H$48="Next Year",SUM(OperBgt!AQ$65:BB$65),IF('General Inputs'!$H$48="Current Year",SUM(OperBgt!AE$65:AP$65),SUM(OperBgt!AK$65:AV$65)))</f>
        <v>0</v>
      </c>
      <c r="AP185" s="407">
        <f>IF('General Inputs'!$H$48="Next Year",SUM(OperBgt!AR$65:BC$65),IF('General Inputs'!$H$48="Current Year",SUM(OperBgt!AF$65:AQ$65),SUM(OperBgt!AL$65:AW$65)))</f>
        <v>0</v>
      </c>
      <c r="AQ185" s="407">
        <f>IF('General Inputs'!$H$48="Next Year",SUM(OperBgt!AS$65:BD$65),IF('General Inputs'!$H$48="Current Year",SUM(OperBgt!AG$65:AR$65),SUM(OperBgt!AM$65:AX$65)))</f>
        <v>0</v>
      </c>
      <c r="AR185" s="407">
        <f>IF('General Inputs'!$H$48="Next Year",SUM(OperBgt!AT$65:BE$65),IF('General Inputs'!$H$48="Current Year",SUM(OperBgt!AH$65:AS$65),SUM(OperBgt!AN$65:AY$65)))</f>
        <v>0</v>
      </c>
      <c r="AS185" s="407">
        <f>IF('General Inputs'!$H$48="Next Year",SUM(OperBgt!AU$65:BF$65),IF('General Inputs'!$H$48="Current Year",SUM(OperBgt!AI$65:AT$65),SUM(OperBgt!AO$65:AZ$65)))</f>
        <v>0</v>
      </c>
      <c r="AT185" s="407">
        <f>IF('General Inputs'!$H$48="Next Year",SUM(OperBgt!AV$65:BG$65),IF('General Inputs'!$H$48="Current Year",SUM(OperBgt!AJ$65:AU$65),SUM(OperBgt!AP$65:BA$65)))</f>
        <v>0</v>
      </c>
      <c r="AU185" s="407">
        <f>IF('General Inputs'!$H$48="Next Year",SUM(OperBgt!AW$65:BH$65),IF('General Inputs'!$H$48="Current Year",SUM(OperBgt!AK$65:AV$65),SUM(OperBgt!AQ$65:BB$65)))</f>
        <v>0</v>
      </c>
      <c r="AV185" s="407">
        <f>IF('General Inputs'!$H$48="Next Year",SUM(OperBgt!AX$65:BI$65),IF('General Inputs'!$H$48="Current Year",SUM(OperBgt!AL$65:AW$65),SUM(OperBgt!AR$65:BC$65)))</f>
        <v>0</v>
      </c>
      <c r="AW185" s="407">
        <f>IF('General Inputs'!$H$48="Next Year",SUM(OperBgt!AY$65:BJ$65),IF('General Inputs'!$H$48="Current Year",SUM(OperBgt!AM$65:AX$65),SUM(OperBgt!AS$65:BD$65)))</f>
        <v>0</v>
      </c>
      <c r="AX185" s="407">
        <f>IF('General Inputs'!$H$48="Next Year",SUM(OperBgt!AZ$65:BK$65),IF('General Inputs'!$H$48="Current Year",SUM(OperBgt!AN$65:AY$65),SUM(OperBgt!AT$65:BE$65)))</f>
        <v>0</v>
      </c>
      <c r="AY185" s="407">
        <f>IF('General Inputs'!$H$48="Next Year",SUM(OperBgt!BA$65:BL$65),IF('General Inputs'!$H$48="Current Year",SUM(OperBgt!AO$65:AZ$65),SUM(OperBgt!AU$65:BF$65)))</f>
        <v>0</v>
      </c>
      <c r="AZ185" s="407">
        <f>IF('General Inputs'!$H$48="Next Year",SUM(OperBgt!BB$65:BM$65),IF('General Inputs'!$H$48="Current Year",SUM(OperBgt!AP$65:BA$65),SUM(OperBgt!AV$65:BG$65)))</f>
        <v>0</v>
      </c>
      <c r="BA185" s="407">
        <f>IF('General Inputs'!$H$48="Next Year",SUM(OperBgt!BC$65:BN$65),IF('General Inputs'!$H$48="Current Year",SUM(OperBgt!AQ$65:BB$65),SUM(OperBgt!AW$65:BH$65)))</f>
        <v>0</v>
      </c>
      <c r="BB185" s="407">
        <f>IF('General Inputs'!$H$48="Next Year",SUM(OperBgt!BD$65:BO$65),IF('General Inputs'!$H$48="Current Year",SUM(OperBgt!AR$65:BC$65),SUM(OperBgt!AX$65:BI$65)))</f>
        <v>0</v>
      </c>
      <c r="BC185" s="407">
        <f>IF('General Inputs'!$H$48="Next Year",SUM(OperBgt!BE$65:BP$65),IF('General Inputs'!$H$48="Current Year",SUM(OperBgt!AS$65:BD$65),SUM(OperBgt!AY$65:BJ$65)))</f>
        <v>0</v>
      </c>
      <c r="BD185" s="407">
        <f>IF('General Inputs'!$H$48="Next Year",SUM(OperBgt!BF$65:BQ$65),IF('General Inputs'!$H$48="Current Year",SUM(OperBgt!AT$65:BE$65),SUM(OperBgt!AZ$65:BK$65)))</f>
        <v>0</v>
      </c>
      <c r="BE185" s="407">
        <f>IF('General Inputs'!$H$48="Next Year",SUM(OperBgt!BG$65:BR$65),IF('General Inputs'!$H$48="Current Year",SUM(OperBgt!AU$65:BF$65),SUM(OperBgt!BA$65:BL$65)))</f>
        <v>0</v>
      </c>
      <c r="BF185" s="407">
        <f>IF('General Inputs'!$H$48="Next Year",SUM(OperBgt!BH$65:BS$65),IF('General Inputs'!$H$48="Current Year",SUM(OperBgt!AV$65:BG$65),SUM(OperBgt!BB$65:BM$65)))</f>
        <v>0</v>
      </c>
      <c r="BG185" s="407">
        <f>IF('General Inputs'!$H$48="Next Year",SUM(OperBgt!BI$65:BT$65),IF('General Inputs'!$H$48="Current Year",SUM(OperBgt!AW$65:BH$65),SUM(OperBgt!BC$65:BN$65)))</f>
        <v>0</v>
      </c>
      <c r="BH185" s="407">
        <f>IF('General Inputs'!$H$48="Next Year",SUM(OperBgt!BJ$65:BU$65),IF('General Inputs'!$H$48="Current Year",SUM(OperBgt!AX$65:BI$65),SUM(OperBgt!BD$65:BO$65)))</f>
        <v>0</v>
      </c>
      <c r="BI185" s="407">
        <f>IF('General Inputs'!$H$48="Next Year",SUM(OperBgt!BK$65:BV$65),IF('General Inputs'!$H$48="Current Year",SUM(OperBgt!AY$65:BJ$65),SUM(OperBgt!BE$65:BP$65)))</f>
        <v>0</v>
      </c>
      <c r="BJ185" s="407">
        <f>IF('General Inputs'!$H$48="Next Year",SUM(OperBgt!BL$65:BW$65),IF('General Inputs'!$H$48="Current Year",SUM(OperBgt!AZ$65:BK$65),SUM(OperBgt!BF$65:BQ$65)))</f>
        <v>0</v>
      </c>
      <c r="BK185" s="407">
        <f>IF('General Inputs'!$H$48="Next Year",SUM(OperBgt!BM$65:BX$65),IF('General Inputs'!$H$48="Current Year",SUM(OperBgt!BA$65:BL$65),SUM(OperBgt!BG$65:BR$65)))</f>
        <v>0</v>
      </c>
      <c r="BL185" s="407">
        <f>IF('General Inputs'!$H$48="Next Year",SUM(OperBgt!BN$65:BY$65),IF('General Inputs'!$H$48="Current Year",SUM(OperBgt!BB$65:BM$65),SUM(OperBgt!BH$65:BS$65)))</f>
        <v>0</v>
      </c>
      <c r="BM185" s="407">
        <f>IF('General Inputs'!$H$48="Next Year",SUM(OperBgt!BO$65:BZ$65),IF('General Inputs'!$H$48="Current Year",SUM(OperBgt!BC$65:BN$65),SUM(OperBgt!BI$65:BT$65)))</f>
        <v>0</v>
      </c>
      <c r="BN185" s="407">
        <f>IF('General Inputs'!$H$48="Next Year",SUM(OperBgt!BP$65:CA$65),IF('General Inputs'!$H$48="Current Year",SUM(OperBgt!BD$65:BO$65),SUM(OperBgt!BJ$65:BU$65)))</f>
        <v>0</v>
      </c>
      <c r="BO185" s="407">
        <f>IF('General Inputs'!$H$48="Next Year",SUM(OperBgt!BQ$65:CB$65),IF('General Inputs'!$H$48="Current Year",SUM(OperBgt!BE$65:BP$65),SUM(OperBgt!BK$65:BV$65)))</f>
        <v>0</v>
      </c>
      <c r="BP185" s="407">
        <f>IF('General Inputs'!$H$48="Next Year",SUM(OperBgt!BR$65:CC$65),IF('General Inputs'!$H$48="Current Year",SUM(OperBgt!BF$65:BQ$65),SUM(OperBgt!BL$65:BW$65)))</f>
        <v>0</v>
      </c>
      <c r="BQ185" s="407">
        <f>IF('General Inputs'!$H$48="Next Year",SUM(OperBgt!BS$65:CD$65),IF('General Inputs'!$H$48="Current Year",SUM(OperBgt!BG$65:BR$65),SUM(OperBgt!BM$65:BX$65)))</f>
        <v>0</v>
      </c>
      <c r="BR185" s="407">
        <f>IF('General Inputs'!$H$48="Next Year",SUM(OperBgt!BT$65:CE$65),IF('General Inputs'!$H$48="Current Year",SUM(OperBgt!BH$65:BS$65),SUM(OperBgt!BN$65:BY$65)))</f>
        <v>0</v>
      </c>
      <c r="BS185" s="407">
        <f>IF('General Inputs'!$H$48="Next Year",SUM(OperBgt!BU$65:CF$65),IF('General Inputs'!$H$48="Current Year",SUM(OperBgt!BI$65:BT$65),SUM(OperBgt!BO$65:BZ$65)))</f>
        <v>0</v>
      </c>
      <c r="BT185" s="407">
        <f>IF('General Inputs'!$H$48="Next Year",SUM(OperBgt!BV$65:CG$65),IF('General Inputs'!$H$48="Current Year",SUM(OperBgt!BJ$65:BU$65),SUM(OperBgt!BP$65:CA$65)))</f>
        <v>0</v>
      </c>
      <c r="BU185" s="407">
        <f>IF('General Inputs'!$H$48="Next Year",SUM(OperBgt!BW$65:CH$65),IF('General Inputs'!$H$48="Current Year",SUM(OperBgt!BK$65:BV$65),SUM(OperBgt!BQ$65:CB$65)))</f>
        <v>0</v>
      </c>
      <c r="BV185" s="407">
        <f>IF('General Inputs'!$H$48="Next Year",SUM(OperBgt!BX$65:CI$65),IF('General Inputs'!$H$48="Current Year",SUM(OperBgt!BL$65:BW$65),SUM(OperBgt!BR$65:CC$65)))</f>
        <v>0</v>
      </c>
      <c r="BW185" s="407">
        <f>IF('General Inputs'!$H$48="Next Year",SUM(OperBgt!BY$65:CJ$65),IF('General Inputs'!$H$48="Current Year",SUM(OperBgt!BM$65:BX$65),SUM(OperBgt!BS$65:CD$65)))</f>
        <v>0</v>
      </c>
      <c r="BX185" s="407">
        <f>IF('General Inputs'!$H$48="Next Year",SUM(OperBgt!BZ$65:CK$65),IF('General Inputs'!$H$48="Current Year",SUM(OperBgt!BN$65:BY$65),SUM(OperBgt!BT$65:CE$65)))</f>
        <v>0</v>
      </c>
      <c r="BY185" s="407">
        <f>IF('General Inputs'!$H$48="Next Year",SUM(OperBgt!CA$65:CL$65),IF('General Inputs'!$H$48="Current Year",SUM(OperBgt!BO$65:BZ$65),SUM(OperBgt!BU$65:CF$65)))</f>
        <v>0</v>
      </c>
      <c r="BZ185" s="407">
        <f>IF('General Inputs'!$H$48="Next Year",SUM(OperBgt!CB$65:CM$65),IF('General Inputs'!$H$48="Current Year",SUM(OperBgt!BP$65:CA$65),SUM(OperBgt!BV$65:CG$65)))</f>
        <v>0</v>
      </c>
      <c r="CA185" s="407">
        <f>IF('General Inputs'!$H$48="Next Year",SUM(OperBgt!CC$65:CN$65),IF('General Inputs'!$H$48="Current Year",SUM(OperBgt!BQ$65:CB$65),SUM(OperBgt!BW$65:CH$65)))</f>
        <v>0</v>
      </c>
      <c r="CB185" s="407">
        <f>IF('General Inputs'!$H$48="Next Year",SUM(OperBgt!CD$65:CO$65),IF('General Inputs'!$H$48="Current Year",SUM(OperBgt!BR$65:CC$65),SUM(OperBgt!BX$65:CI$65)))</f>
        <v>0</v>
      </c>
      <c r="CC185" s="407">
        <f>IF('General Inputs'!$H$48="Next Year",SUM(OperBgt!CE$65:CP$65),IF('General Inputs'!$H$48="Current Year",SUM(OperBgt!BS$65:CD$65),SUM(OperBgt!BY$65:CJ$65)))</f>
        <v>0</v>
      </c>
      <c r="CD185" s="407">
        <f>IF('General Inputs'!$H$48="Next Year",SUM(OperBgt!CF$65:CQ$65),IF('General Inputs'!$H$48="Current Year",SUM(OperBgt!BT$65:CE$65),SUM(OperBgt!BZ$65:CK$65)))</f>
        <v>0</v>
      </c>
      <c r="CE185" s="407">
        <f>IF('General Inputs'!$H$48="Next Year",SUM(OperBgt!CG$65:CR$65),IF('General Inputs'!$H$48="Current Year",SUM(OperBgt!BU$65:CF$65),SUM(OperBgt!CA$65:CL$65)))</f>
        <v>0</v>
      </c>
      <c r="CF185" s="407">
        <f>IF('General Inputs'!$H$48="Next Year",SUM(OperBgt!CH$65:CS$65),IF('General Inputs'!$H$48="Current Year",SUM(OperBgt!BV$65:CG$65),SUM(OperBgt!CB$65:CM$65)))</f>
        <v>0</v>
      </c>
      <c r="CG185" s="407">
        <f>IF('General Inputs'!$H$48="Next Year",SUM(OperBgt!CI$65:CT$65),IF('General Inputs'!$H$48="Current Year",SUM(OperBgt!BW$65:CH$65),SUM(OperBgt!CC$65:CN$65)))</f>
        <v>0</v>
      </c>
      <c r="CH185" s="407">
        <f>IF('General Inputs'!$H$48="Next Year",SUM(OperBgt!CJ$65:CU$65),IF('General Inputs'!$H$48="Current Year",SUM(OperBgt!BX$65:CI$65),SUM(OperBgt!CD$65:CO$65)))</f>
        <v>0</v>
      </c>
      <c r="CI185" s="407">
        <f>IF('General Inputs'!$H$48="Next Year",SUM(OperBgt!CK$65:CV$65),IF('General Inputs'!$H$48="Current Year",SUM(OperBgt!BY$65:CJ$65),SUM(OperBgt!CE$65:CP$65)))</f>
        <v>0</v>
      </c>
      <c r="CJ185" s="407">
        <f>IF('General Inputs'!$H$48="Next Year",SUM(OperBgt!CL$65:CW$65),IF('General Inputs'!$H$48="Current Year",SUM(OperBgt!BZ$65:CK$65),SUM(OperBgt!CF$65:CQ$65)))</f>
        <v>0</v>
      </c>
      <c r="CK185" s="407">
        <f>IF('General Inputs'!$H$48="Next Year",SUM(OperBgt!CM$65:CX$65),IF('General Inputs'!$H$48="Current Year",SUM(OperBgt!CA$65:CL$65),SUM(OperBgt!CG$65:CR$65)))</f>
        <v>0</v>
      </c>
      <c r="CL185" s="407">
        <f>IF('General Inputs'!$H$48="Next Year",SUM(OperBgt!CN$65:CY$65),IF('General Inputs'!$H$48="Current Year",SUM(OperBgt!CB$65:CM$65),SUM(OperBgt!CH$65:CS$65)))</f>
        <v>0</v>
      </c>
      <c r="CM185" s="407">
        <f>IF('General Inputs'!$H$48="Next Year",SUM(OperBgt!CO$65:CZ$65),IF('General Inputs'!$H$48="Current Year",SUM(OperBgt!CC$65:CN$65),SUM(OperBgt!CI$65:CT$65)))</f>
        <v>0</v>
      </c>
      <c r="CN185" s="407">
        <f>IF('General Inputs'!$H$48="Next Year",SUM(OperBgt!CP$65:DA$65),IF('General Inputs'!$H$48="Current Year",SUM(OperBgt!CD$65:CO$65),SUM(OperBgt!CJ$65:CU$65)))</f>
        <v>0</v>
      </c>
      <c r="CO185" s="407">
        <f>IF('General Inputs'!$H$48="Next Year",SUM(OperBgt!CQ$65:DB$65),IF('General Inputs'!$H$48="Current Year",SUM(OperBgt!CE$65:CP$65),SUM(OperBgt!CK$65:CV$65)))</f>
        <v>0</v>
      </c>
      <c r="CP185" s="407">
        <f>IF('General Inputs'!$H$48="Next Year",SUM(OperBgt!CR$65:DC$65),IF('General Inputs'!$H$48="Current Year",SUM(OperBgt!CF$65:CQ$65),SUM(OperBgt!CL$65:CW$65)))</f>
        <v>0</v>
      </c>
      <c r="CQ185" s="407">
        <f>IF('General Inputs'!$H$48="Next Year",SUM(OperBgt!CS$65:DD$65),IF('General Inputs'!$H$48="Current Year",SUM(OperBgt!CG$65:CR$65),SUM(OperBgt!CM$65:CX$65)))</f>
        <v>0</v>
      </c>
      <c r="CR185" s="407">
        <f>IF('General Inputs'!$H$48="Next Year",SUM(OperBgt!CT$65:DE$65),IF('General Inputs'!$H$48="Current Year",SUM(OperBgt!CH$65:CS$65),SUM(OperBgt!CN$65:CY$65)))</f>
        <v>0</v>
      </c>
      <c r="CS185" s="407">
        <f>IF('General Inputs'!$H$48="Next Year",SUM(OperBgt!CU$65:DF$65),IF('General Inputs'!$H$48="Current Year",SUM(OperBgt!CI$65:CT$65),SUM(OperBgt!CO$65:CZ$65)))</f>
        <v>0</v>
      </c>
      <c r="CT185" s="407">
        <f>IF('General Inputs'!$H$48="Next Year",SUM(OperBgt!CV$65:DG$65),IF('General Inputs'!$H$48="Current Year",SUM(OperBgt!CJ$65:CU$65),SUM(OperBgt!CP$65:DA$65)))</f>
        <v>0</v>
      </c>
      <c r="CU185" s="407">
        <f>IF('General Inputs'!$H$48="Next Year",SUM(OperBgt!CW$65:DH$65),IF('General Inputs'!$H$48="Current Year",SUM(OperBgt!CK$65:CV$65),SUM(OperBgt!CQ$65:DB$65)))</f>
        <v>0</v>
      </c>
      <c r="CV185" s="407">
        <f>IF('General Inputs'!$H$48="Next Year",SUM(OperBgt!CX$65:DI$65),IF('General Inputs'!$H$48="Current Year",SUM(OperBgt!CL$65:CW$65),SUM(OperBgt!CR$65:DC$65)))</f>
        <v>0</v>
      </c>
      <c r="CW185" s="407">
        <f>IF('General Inputs'!$H$48="Next Year",SUM(OperBgt!CY$65:DJ$65),IF('General Inputs'!$H$48="Current Year",SUM(OperBgt!CM$65:CX$65),SUM(OperBgt!CS$65:DD$65)))</f>
        <v>0</v>
      </c>
      <c r="CX185" s="407">
        <f>IF('General Inputs'!$H$48="Next Year",SUM(OperBgt!CZ$65:DK$65),IF('General Inputs'!$H$48="Current Year",SUM(OperBgt!CN$65:CY$65),SUM(OperBgt!CT$65:DE$65)))</f>
        <v>0</v>
      </c>
      <c r="CY185" s="407">
        <f>IF('General Inputs'!$H$48="Next Year",SUM(OperBgt!DA$65:DL$65),IF('General Inputs'!$H$48="Current Year",SUM(OperBgt!CO$65:CZ$65),SUM(OperBgt!CU$65:DF$65)))</f>
        <v>0</v>
      </c>
      <c r="CZ185" s="407">
        <f>IF('General Inputs'!$H$48="Next Year",SUM(OperBgt!DB$65:DM$65),IF('General Inputs'!$H$48="Current Year",SUM(OperBgt!CP$65:DA$65),SUM(OperBgt!CV$65:DG$65)))</f>
        <v>0</v>
      </c>
      <c r="DA185" s="407">
        <f>IF('General Inputs'!$H$48="Next Year",SUM(OperBgt!DC$65:DN$65),IF('General Inputs'!$H$48="Current Year",SUM(OperBgt!CQ$65:DB$65),SUM(OperBgt!CW$65:DH$65)))</f>
        <v>0</v>
      </c>
      <c r="DB185" s="407">
        <f>IF('General Inputs'!$H$48="Next Year",SUM(OperBgt!DD$65:DO$65),IF('General Inputs'!$H$48="Current Year",SUM(OperBgt!CR$65:DC$65),SUM(OperBgt!CX$65:DI$65)))</f>
        <v>0</v>
      </c>
      <c r="DC185" s="407">
        <f>IF('General Inputs'!$H$48="Next Year",SUM(OperBgt!DE$65:DP$65),IF('General Inputs'!$H$48="Current Year",SUM(OperBgt!CS$65:DD$65),SUM(OperBgt!CY$65:DJ$65)))</f>
        <v>0</v>
      </c>
      <c r="DD185" s="407">
        <f>IF('General Inputs'!$H$48="Next Year",SUM(OperBgt!DF$65:DQ$65),IF('General Inputs'!$H$48="Current Year",SUM(OperBgt!CT$65:DE$65),SUM(OperBgt!CZ$65:DK$65)))</f>
        <v>0</v>
      </c>
      <c r="DE185" s="407">
        <f>IF('General Inputs'!$H$48="Next Year",SUM(OperBgt!DG$65:DR$65),IF('General Inputs'!$H$48="Current Year",SUM(OperBgt!CU$65:DF$65),SUM(OperBgt!DA$65:DL$65)))</f>
        <v>0</v>
      </c>
      <c r="DF185" s="407">
        <f>IF('General Inputs'!$H$48="Next Year",SUM(OperBgt!DH$65:DS$65),IF('General Inputs'!$H$48="Current Year",SUM(OperBgt!CV$65:DG$65),SUM(OperBgt!DB$65:DM$65)))</f>
        <v>0</v>
      </c>
      <c r="DG185" s="407">
        <f>IF('General Inputs'!$H$48="Next Year",SUM(OperBgt!DI$65:DT$65),IF('General Inputs'!$H$48="Current Year",SUM(OperBgt!CW$65:DH$65),SUM(OperBgt!DC$65:DN$65)))</f>
        <v>0</v>
      </c>
      <c r="DH185" s="407">
        <f>IF('General Inputs'!$H$48="Next Year",SUM(OperBgt!DJ$65:DU$65),IF('General Inputs'!$H$48="Current Year",SUM(OperBgt!CX$65:DI$65),SUM(OperBgt!DD$65:DO$65)))</f>
        <v>0</v>
      </c>
      <c r="DI185" s="407">
        <f>IF('General Inputs'!$H$48="Next Year",SUM(OperBgt!DK$65:DV$65),IF('General Inputs'!$H$48="Current Year",SUM(OperBgt!CY$65:DJ$65),SUM(OperBgt!DE$65:DP$65)))</f>
        <v>0</v>
      </c>
      <c r="DJ185" s="407">
        <f>IF('General Inputs'!$H$48="Next Year",SUM(OperBgt!DL$65:DW$65),IF('General Inputs'!$H$48="Current Year",SUM(OperBgt!CZ$65:DK$65),SUM(OperBgt!DF$65:DQ$65)))</f>
        <v>0</v>
      </c>
      <c r="DK185" s="407">
        <f>IF('General Inputs'!$H$48="Next Year",SUM(OperBgt!DM$65:DX$65),IF('General Inputs'!$H$48="Current Year",SUM(OperBgt!DA$65:DL$65),SUM(OperBgt!DG$65:DR$65)))</f>
        <v>0</v>
      </c>
      <c r="DL185" s="407">
        <f>IF('General Inputs'!$H$48="Next Year",SUM(OperBgt!DN$65:DY$65),IF('General Inputs'!$H$48="Current Year",SUM(OperBgt!DB$65:DM$65),SUM(OperBgt!DH$65:DS$65)))</f>
        <v>0</v>
      </c>
      <c r="DM185" s="407">
        <f>IF('General Inputs'!$H$48="Next Year",SUM(OperBgt!DO$65:DZ$65),IF('General Inputs'!$H$48="Current Year",SUM(OperBgt!DC$65:DN$65),SUM(OperBgt!DI$65:DT$65)))</f>
        <v>0</v>
      </c>
      <c r="DN185" s="407">
        <f>IF('General Inputs'!$H$48="Next Year",SUM(OperBgt!DP$65:EA$65),IF('General Inputs'!$H$48="Current Year",SUM(OperBgt!DD$65:DO$65),SUM(OperBgt!DJ$65:DU$65)))</f>
        <v>0</v>
      </c>
      <c r="DO185" s="407">
        <f>IF('General Inputs'!$H$48="Next Year",SUM(OperBgt!DQ$65:EB$65),IF('General Inputs'!$H$48="Current Year",SUM(OperBgt!DE$65:DP$65),SUM(OperBgt!DK$65:DV$65)))</f>
        <v>0</v>
      </c>
      <c r="DP185" s="407">
        <f>IF('General Inputs'!$H$48="Next Year",SUM(OperBgt!DR$65:EC$65),IF('General Inputs'!$H$48="Current Year",SUM(OperBgt!DF$65:DQ$65),SUM(OperBgt!DL$65:DW$65)))</f>
        <v>0</v>
      </c>
      <c r="DQ185" s="407">
        <f>IF('General Inputs'!$H$48="Next Year",SUM(OperBgt!DS$65:ED$65),IF('General Inputs'!$H$48="Current Year",SUM(OperBgt!DG$65:DR$65),SUM(OperBgt!DM$65:DX$65)))</f>
        <v>0</v>
      </c>
      <c r="DR185" s="407">
        <f>IF('General Inputs'!$H$48="Next Year",SUM(OperBgt!DT$65:EE$65),IF('General Inputs'!$H$48="Current Year",SUM(OperBgt!DH$65:DS$65),SUM(OperBgt!DN$65:DY$65)))</f>
        <v>0</v>
      </c>
      <c r="DS185" s="407">
        <f>IF('General Inputs'!$H$48="Next Year",SUM(OperBgt!DU$65:EF$65),IF('General Inputs'!$H$48="Current Year",SUM(OperBgt!DI$65:DT$65),SUM(OperBgt!DO$65:DZ$65)))</f>
        <v>0</v>
      </c>
      <c r="DT185" s="407">
        <f>IF('General Inputs'!$H$48="Next Year",SUM(OperBgt!DV$65:EG$65),IF('General Inputs'!$H$48="Current Year",SUM(OperBgt!DJ$65:DU$65),SUM(OperBgt!DP$65:EA$65)))</f>
        <v>0</v>
      </c>
      <c r="DU185" s="407">
        <f>IF('General Inputs'!$H$48="Next Year",SUM(OperBgt!DW$65:EH$65),IF('General Inputs'!$H$48="Current Year",SUM(OperBgt!DK$65:DV$65),SUM(OperBgt!DQ$65:EB$65)))</f>
        <v>0</v>
      </c>
      <c r="EH185" s="644"/>
      <c r="EI185" s="280"/>
    </row>
    <row r="186" spans="1:139" collapsed="1" x14ac:dyDescent="0.3">
      <c r="A186" s="241" t="s">
        <v>118</v>
      </c>
      <c r="B186" s="241"/>
      <c r="C186" s="241"/>
      <c r="D186" s="737"/>
      <c r="E186" s="713"/>
      <c r="F186" s="713"/>
      <c r="G186" s="713"/>
      <c r="H186" s="713"/>
      <c r="I186" s="713"/>
      <c r="J186" s="713"/>
      <c r="K186" s="713"/>
      <c r="L186" s="713"/>
      <c r="M186" s="713"/>
      <c r="N186" s="713"/>
      <c r="O186" s="713"/>
      <c r="P186" s="713"/>
      <c r="Q186" s="705">
        <f t="shared" ref="Q186:AV186" si="272">Q185/ExitCapRetail</f>
        <v>0</v>
      </c>
      <c r="R186" s="705">
        <f t="shared" si="272"/>
        <v>0</v>
      </c>
      <c r="S186" s="705">
        <f t="shared" si="272"/>
        <v>0</v>
      </c>
      <c r="T186" s="705">
        <f t="shared" si="272"/>
        <v>0</v>
      </c>
      <c r="U186" s="705">
        <f t="shared" si="272"/>
        <v>0</v>
      </c>
      <c r="V186" s="705">
        <f t="shared" si="272"/>
        <v>0</v>
      </c>
      <c r="W186" s="705">
        <f t="shared" si="272"/>
        <v>0</v>
      </c>
      <c r="X186" s="705">
        <f t="shared" si="272"/>
        <v>0</v>
      </c>
      <c r="Y186" s="705">
        <f t="shared" si="272"/>
        <v>0</v>
      </c>
      <c r="Z186" s="705">
        <f t="shared" si="272"/>
        <v>0</v>
      </c>
      <c r="AA186" s="705">
        <f t="shared" si="272"/>
        <v>0</v>
      </c>
      <c r="AB186" s="705">
        <f t="shared" si="272"/>
        <v>0</v>
      </c>
      <c r="AC186" s="705">
        <f t="shared" si="272"/>
        <v>0</v>
      </c>
      <c r="AD186" s="705">
        <f t="shared" si="272"/>
        <v>0</v>
      </c>
      <c r="AE186" s="705">
        <f t="shared" si="272"/>
        <v>0</v>
      </c>
      <c r="AF186" s="705">
        <f t="shared" si="272"/>
        <v>0</v>
      </c>
      <c r="AG186" s="705">
        <f t="shared" si="272"/>
        <v>0</v>
      </c>
      <c r="AH186" s="705">
        <f t="shared" si="272"/>
        <v>0</v>
      </c>
      <c r="AI186" s="705">
        <f t="shared" si="272"/>
        <v>0</v>
      </c>
      <c r="AJ186" s="705">
        <f t="shared" si="272"/>
        <v>0</v>
      </c>
      <c r="AK186" s="705">
        <f t="shared" si="272"/>
        <v>0</v>
      </c>
      <c r="AL186" s="705">
        <f t="shared" si="272"/>
        <v>0</v>
      </c>
      <c r="AM186" s="705">
        <f t="shared" si="272"/>
        <v>0</v>
      </c>
      <c r="AN186" s="705">
        <f t="shared" si="272"/>
        <v>0</v>
      </c>
      <c r="AO186" s="705">
        <f t="shared" si="272"/>
        <v>0</v>
      </c>
      <c r="AP186" s="705">
        <f t="shared" si="272"/>
        <v>0</v>
      </c>
      <c r="AQ186" s="705">
        <f t="shared" si="272"/>
        <v>0</v>
      </c>
      <c r="AR186" s="705">
        <f t="shared" si="272"/>
        <v>0</v>
      </c>
      <c r="AS186" s="705">
        <f t="shared" si="272"/>
        <v>0</v>
      </c>
      <c r="AT186" s="705">
        <f t="shared" si="272"/>
        <v>0</v>
      </c>
      <c r="AU186" s="705">
        <f t="shared" si="272"/>
        <v>0</v>
      </c>
      <c r="AV186" s="705">
        <f t="shared" si="272"/>
        <v>0</v>
      </c>
      <c r="AW186" s="705">
        <f t="shared" ref="AW186:CB186" si="273">AW185/ExitCapRetail</f>
        <v>0</v>
      </c>
      <c r="AX186" s="705">
        <f t="shared" si="273"/>
        <v>0</v>
      </c>
      <c r="AY186" s="705">
        <f t="shared" si="273"/>
        <v>0</v>
      </c>
      <c r="AZ186" s="705">
        <f t="shared" si="273"/>
        <v>0</v>
      </c>
      <c r="BA186" s="705">
        <f t="shared" si="273"/>
        <v>0</v>
      </c>
      <c r="BB186" s="705">
        <f t="shared" si="273"/>
        <v>0</v>
      </c>
      <c r="BC186" s="705">
        <f t="shared" si="273"/>
        <v>0</v>
      </c>
      <c r="BD186" s="705">
        <f t="shared" si="273"/>
        <v>0</v>
      </c>
      <c r="BE186" s="705">
        <f t="shared" si="273"/>
        <v>0</v>
      </c>
      <c r="BF186" s="705">
        <f t="shared" si="273"/>
        <v>0</v>
      </c>
      <c r="BG186" s="705">
        <f t="shared" si="273"/>
        <v>0</v>
      </c>
      <c r="BH186" s="705">
        <f t="shared" si="273"/>
        <v>0</v>
      </c>
      <c r="BI186" s="705">
        <f t="shared" si="273"/>
        <v>0</v>
      </c>
      <c r="BJ186" s="705">
        <f t="shared" si="273"/>
        <v>0</v>
      </c>
      <c r="BK186" s="705">
        <f t="shared" si="273"/>
        <v>0</v>
      </c>
      <c r="BL186" s="705">
        <f t="shared" si="273"/>
        <v>0</v>
      </c>
      <c r="BM186" s="705">
        <f t="shared" si="273"/>
        <v>0</v>
      </c>
      <c r="BN186" s="705">
        <f t="shared" si="273"/>
        <v>0</v>
      </c>
      <c r="BO186" s="705">
        <f t="shared" si="273"/>
        <v>0</v>
      </c>
      <c r="BP186" s="705">
        <f t="shared" si="273"/>
        <v>0</v>
      </c>
      <c r="BQ186" s="705">
        <f t="shared" si="273"/>
        <v>0</v>
      </c>
      <c r="BR186" s="705">
        <f t="shared" si="273"/>
        <v>0</v>
      </c>
      <c r="BS186" s="705">
        <f t="shared" si="273"/>
        <v>0</v>
      </c>
      <c r="BT186" s="705">
        <f t="shared" si="273"/>
        <v>0</v>
      </c>
      <c r="BU186" s="705">
        <f t="shared" si="273"/>
        <v>0</v>
      </c>
      <c r="BV186" s="705">
        <f t="shared" si="273"/>
        <v>0</v>
      </c>
      <c r="BW186" s="705">
        <f t="shared" si="273"/>
        <v>0</v>
      </c>
      <c r="BX186" s="705">
        <f t="shared" si="273"/>
        <v>0</v>
      </c>
      <c r="BY186" s="705">
        <f t="shared" si="273"/>
        <v>0</v>
      </c>
      <c r="BZ186" s="705">
        <f t="shared" si="273"/>
        <v>0</v>
      </c>
      <c r="CA186" s="705">
        <f t="shared" si="273"/>
        <v>0</v>
      </c>
      <c r="CB186" s="705">
        <f t="shared" si="273"/>
        <v>0</v>
      </c>
      <c r="CC186" s="705">
        <f t="shared" ref="CC186:DH186" si="274">CC185/ExitCapRetail</f>
        <v>0</v>
      </c>
      <c r="CD186" s="705">
        <f t="shared" si="274"/>
        <v>0</v>
      </c>
      <c r="CE186" s="705">
        <f t="shared" si="274"/>
        <v>0</v>
      </c>
      <c r="CF186" s="705">
        <f t="shared" si="274"/>
        <v>0</v>
      </c>
      <c r="CG186" s="705">
        <f t="shared" si="274"/>
        <v>0</v>
      </c>
      <c r="CH186" s="705">
        <f t="shared" si="274"/>
        <v>0</v>
      </c>
      <c r="CI186" s="705">
        <f t="shared" si="274"/>
        <v>0</v>
      </c>
      <c r="CJ186" s="705">
        <f t="shared" si="274"/>
        <v>0</v>
      </c>
      <c r="CK186" s="705">
        <f t="shared" si="274"/>
        <v>0</v>
      </c>
      <c r="CL186" s="705">
        <f t="shared" si="274"/>
        <v>0</v>
      </c>
      <c r="CM186" s="705">
        <f t="shared" si="274"/>
        <v>0</v>
      </c>
      <c r="CN186" s="705">
        <f t="shared" si="274"/>
        <v>0</v>
      </c>
      <c r="CO186" s="705">
        <f t="shared" si="274"/>
        <v>0</v>
      </c>
      <c r="CP186" s="705">
        <f t="shared" si="274"/>
        <v>0</v>
      </c>
      <c r="CQ186" s="705">
        <f t="shared" si="274"/>
        <v>0</v>
      </c>
      <c r="CR186" s="705">
        <f t="shared" si="274"/>
        <v>0</v>
      </c>
      <c r="CS186" s="705">
        <f t="shared" si="274"/>
        <v>0</v>
      </c>
      <c r="CT186" s="705">
        <f t="shared" si="274"/>
        <v>0</v>
      </c>
      <c r="CU186" s="705">
        <f t="shared" si="274"/>
        <v>0</v>
      </c>
      <c r="CV186" s="705">
        <f t="shared" si="274"/>
        <v>0</v>
      </c>
      <c r="CW186" s="705">
        <f t="shared" si="274"/>
        <v>0</v>
      </c>
      <c r="CX186" s="705">
        <f t="shared" si="274"/>
        <v>0</v>
      </c>
      <c r="CY186" s="705">
        <f t="shared" si="274"/>
        <v>0</v>
      </c>
      <c r="CZ186" s="705">
        <f t="shared" si="274"/>
        <v>0</v>
      </c>
      <c r="DA186" s="705">
        <f t="shared" si="274"/>
        <v>0</v>
      </c>
      <c r="DB186" s="705">
        <f t="shared" si="274"/>
        <v>0</v>
      </c>
      <c r="DC186" s="705">
        <f t="shared" si="274"/>
        <v>0</v>
      </c>
      <c r="DD186" s="705">
        <f t="shared" si="274"/>
        <v>0</v>
      </c>
      <c r="DE186" s="705">
        <f t="shared" si="274"/>
        <v>0</v>
      </c>
      <c r="DF186" s="705">
        <f t="shared" si="274"/>
        <v>0</v>
      </c>
      <c r="DG186" s="705">
        <f t="shared" si="274"/>
        <v>0</v>
      </c>
      <c r="DH186" s="705">
        <f t="shared" si="274"/>
        <v>0</v>
      </c>
      <c r="DI186" s="705">
        <f t="shared" ref="DI186:DU186" si="275">DI185/ExitCapRetail</f>
        <v>0</v>
      </c>
      <c r="DJ186" s="705">
        <f t="shared" si="275"/>
        <v>0</v>
      </c>
      <c r="DK186" s="705">
        <f t="shared" si="275"/>
        <v>0</v>
      </c>
      <c r="DL186" s="705">
        <f t="shared" si="275"/>
        <v>0</v>
      </c>
      <c r="DM186" s="705">
        <f t="shared" si="275"/>
        <v>0</v>
      </c>
      <c r="DN186" s="705">
        <f t="shared" si="275"/>
        <v>0</v>
      </c>
      <c r="DO186" s="705">
        <f t="shared" si="275"/>
        <v>0</v>
      </c>
      <c r="DP186" s="705">
        <f t="shared" si="275"/>
        <v>0</v>
      </c>
      <c r="DQ186" s="705">
        <f t="shared" si="275"/>
        <v>0</v>
      </c>
      <c r="DR186" s="705">
        <f t="shared" si="275"/>
        <v>0</v>
      </c>
      <c r="DS186" s="705">
        <f t="shared" si="275"/>
        <v>0</v>
      </c>
      <c r="DT186" s="705">
        <f t="shared" si="275"/>
        <v>0</v>
      </c>
      <c r="DU186" s="705">
        <f t="shared" si="275"/>
        <v>0</v>
      </c>
      <c r="EH186" s="644"/>
      <c r="EI186" s="722"/>
    </row>
    <row r="187" spans="1:139" x14ac:dyDescent="0.3">
      <c r="A187" t="s">
        <v>840</v>
      </c>
      <c r="D187" s="282"/>
      <c r="E187" s="712"/>
      <c r="F187" s="712"/>
      <c r="G187" s="712"/>
      <c r="H187" s="712"/>
      <c r="I187" s="712"/>
      <c r="J187" s="712"/>
      <c r="K187" s="712"/>
      <c r="L187" s="712"/>
      <c r="M187" s="712"/>
      <c r="N187" s="712"/>
      <c r="O187" s="712"/>
      <c r="P187" s="712"/>
      <c r="Q187" s="227">
        <f t="shared" ref="Q187:CB187" ca="1" si="276">Q184+Q186</f>
        <v>8847338.786576869</v>
      </c>
      <c r="R187" s="227">
        <f t="shared" ca="1" si="276"/>
        <v>14536688.574957717</v>
      </c>
      <c r="S187" s="227">
        <f t="shared" ca="1" si="276"/>
        <v>22578384.831041809</v>
      </c>
      <c r="T187" s="227">
        <f t="shared" ca="1" si="276"/>
        <v>32285242.954790346</v>
      </c>
      <c r="U187" s="227">
        <f t="shared" ca="1" si="276"/>
        <v>42140851.166509889</v>
      </c>
      <c r="V187" s="227">
        <f t="shared" ca="1" si="276"/>
        <v>51471195.458574735</v>
      </c>
      <c r="W187" s="227">
        <f t="shared" ca="1" si="276"/>
        <v>60237989.909899324</v>
      </c>
      <c r="X187" s="227">
        <f t="shared" ca="1" si="276"/>
        <v>68282434.785124734</v>
      </c>
      <c r="Y187" s="227">
        <f t="shared" ca="1" si="276"/>
        <v>75681522.134322211</v>
      </c>
      <c r="Z187" s="227">
        <f t="shared" ca="1" si="276"/>
        <v>82286761.277921408</v>
      </c>
      <c r="AA187" s="227">
        <f t="shared" ca="1" si="276"/>
        <v>87943739.429485232</v>
      </c>
      <c r="AB187" s="227">
        <f t="shared" ca="1" si="276"/>
        <v>92651930.733582288</v>
      </c>
      <c r="AC187" s="227">
        <f t="shared" ca="1" si="276"/>
        <v>96419100.070844024</v>
      </c>
      <c r="AD187" s="227">
        <f t="shared" ca="1" si="276"/>
        <v>99392076.195185497</v>
      </c>
      <c r="AE187" s="227">
        <f t="shared" ca="1" si="276"/>
        <v>101530558.83812743</v>
      </c>
      <c r="AF187" s="227">
        <f t="shared" ca="1" si="276"/>
        <v>102099550.53222448</v>
      </c>
      <c r="AG187" s="227">
        <f t="shared" ca="1" si="276"/>
        <v>102519475.19780481</v>
      </c>
      <c r="AH187" s="227">
        <f t="shared" ca="1" si="276"/>
        <v>102949428.89667653</v>
      </c>
      <c r="AI187" s="227">
        <f t="shared" ca="1" si="276"/>
        <v>103388864.84333372</v>
      </c>
      <c r="AJ187" s="227">
        <f t="shared" ca="1" si="276"/>
        <v>103827822.79169799</v>
      </c>
      <c r="AK187" s="227">
        <f t="shared" ca="1" si="276"/>
        <v>104261112.5593228</v>
      </c>
      <c r="AL187" s="227">
        <f t="shared" ca="1" si="276"/>
        <v>104687482.02807894</v>
      </c>
      <c r="AM187" s="227">
        <f t="shared" ca="1" si="276"/>
        <v>105105669.79756133</v>
      </c>
      <c r="AN187" s="227">
        <f t="shared" ca="1" si="276"/>
        <v>105514405.13425465</v>
      </c>
      <c r="AO187" s="227">
        <f t="shared" ca="1" si="276"/>
        <v>105912407.9204604</v>
      </c>
      <c r="AP187" s="227">
        <f t="shared" ca="1" si="276"/>
        <v>106302437.63775453</v>
      </c>
      <c r="AQ187" s="227">
        <f t="shared" ca="1" si="276"/>
        <v>106675241.54841727</v>
      </c>
      <c r="AR187" s="227">
        <f t="shared" ca="1" si="276"/>
        <v>107032114.70923339</v>
      </c>
      <c r="AS187" s="227">
        <f t="shared" ca="1" si="276"/>
        <v>107402346.85886498</v>
      </c>
      <c r="AT187" s="227">
        <f t="shared" ca="1" si="276"/>
        <v>107763918.16984908</v>
      </c>
      <c r="AU187" s="227">
        <f t="shared" ca="1" si="276"/>
        <v>108117886.56492901</v>
      </c>
      <c r="AV187" s="227">
        <f t="shared" ca="1" si="276"/>
        <v>108461982.57141913</v>
      </c>
      <c r="AW187" s="227">
        <f t="shared" ca="1" si="276"/>
        <v>108798611.77253826</v>
      </c>
      <c r="AX187" s="227">
        <f t="shared" ca="1" si="276"/>
        <v>109130199.10309821</v>
      </c>
      <c r="AY187" s="227">
        <f t="shared" ca="1" si="276"/>
        <v>109459188.96738949</v>
      </c>
      <c r="AZ187" s="227">
        <f t="shared" ca="1" si="276"/>
        <v>109788045.35771389</v>
      </c>
      <c r="BA187" s="227">
        <f t="shared" ca="1" si="276"/>
        <v>110119251.97356774</v>
      </c>
      <c r="BB187" s="227">
        <f t="shared" ca="1" si="276"/>
        <v>110453737.34100842</v>
      </c>
      <c r="BC187" s="227">
        <f t="shared" ca="1" si="276"/>
        <v>110796894.58430792</v>
      </c>
      <c r="BD187" s="227">
        <f t="shared" ca="1" si="276"/>
        <v>111149546.55052719</v>
      </c>
      <c r="BE187" s="227">
        <f t="shared" ca="1" si="276"/>
        <v>111504040.05220111</v>
      </c>
      <c r="BF187" s="227">
        <f t="shared" ca="1" si="276"/>
        <v>111864848.01629186</v>
      </c>
      <c r="BG187" s="227">
        <f t="shared" ca="1" si="276"/>
        <v>112231621.37380436</v>
      </c>
      <c r="BH187" s="227">
        <f t="shared" ca="1" si="276"/>
        <v>112606751.24330886</v>
      </c>
      <c r="BI187" s="227">
        <f t="shared" ca="1" si="276"/>
        <v>112989443.87940969</v>
      </c>
      <c r="BJ187" s="227">
        <f t="shared" ca="1" si="276"/>
        <v>113378899.5483703</v>
      </c>
      <c r="BK187" s="227">
        <f t="shared" ca="1" si="276"/>
        <v>113774312.49450065</v>
      </c>
      <c r="BL187" s="227">
        <f t="shared" ca="1" si="276"/>
        <v>114174870.90637663</v>
      </c>
      <c r="BM187" s="227">
        <f t="shared" ca="1" si="276"/>
        <v>114579756.88289072</v>
      </c>
      <c r="BN187" s="227">
        <f t="shared" ca="1" si="276"/>
        <v>114987022.75694521</v>
      </c>
      <c r="BO187" s="227">
        <f t="shared" ca="1" si="276"/>
        <v>115398177.90881</v>
      </c>
      <c r="BP187" s="227">
        <f t="shared" ca="1" si="276"/>
        <v>115812080.93356858</v>
      </c>
      <c r="BQ187" s="227">
        <f t="shared" ca="1" si="276"/>
        <v>116224005.02003008</v>
      </c>
      <c r="BR187" s="227">
        <f t="shared" ca="1" si="276"/>
        <v>116637200.59500831</v>
      </c>
      <c r="BS187" s="227">
        <f t="shared" ca="1" si="276"/>
        <v>117051671.13416119</v>
      </c>
      <c r="BT187" s="227">
        <f t="shared" ca="1" si="276"/>
        <v>117467992.05349886</v>
      </c>
      <c r="BU187" s="227">
        <f t="shared" ca="1" si="276"/>
        <v>117886170.80120024</v>
      </c>
      <c r="BV187" s="227">
        <f t="shared" ca="1" si="276"/>
        <v>118306214.85577759</v>
      </c>
      <c r="BW187" s="227">
        <f t="shared" ca="1" si="276"/>
        <v>118728131.72620086</v>
      </c>
      <c r="BX187" s="227">
        <f t="shared" ca="1" si="276"/>
        <v>119151928.9520226</v>
      </c>
      <c r="BY187" s="227">
        <f t="shared" ca="1" si="276"/>
        <v>119577614.10350357</v>
      </c>
      <c r="BZ187" s="227">
        <f t="shared" ca="1" si="276"/>
        <v>120004608.47000705</v>
      </c>
      <c r="CA187" s="227">
        <f t="shared" ca="1" si="276"/>
        <v>120434091.49647538</v>
      </c>
      <c r="CB187" s="227">
        <f t="shared" ca="1" si="276"/>
        <v>120865757.2296017</v>
      </c>
      <c r="CC187" s="227">
        <f t="shared" ref="CC187:DU187" ca="1" si="277">CC184+CC186</f>
        <v>121295374.44037282</v>
      </c>
      <c r="CD187" s="227">
        <f t="shared" ca="1" si="277"/>
        <v>121726315.24175063</v>
      </c>
      <c r="CE187" s="227">
        <f t="shared" ca="1" si="277"/>
        <v>122158583.25225513</v>
      </c>
      <c r="CF187" s="227">
        <f t="shared" ca="1" si="277"/>
        <v>122592778.20643862</v>
      </c>
      <c r="CG187" s="227">
        <f t="shared" ca="1" si="277"/>
        <v>123028907.86323896</v>
      </c>
      <c r="CH187" s="227">
        <f t="shared" ca="1" si="277"/>
        <v>123466980.01319945</v>
      </c>
      <c r="CI187" s="227">
        <f t="shared" ca="1" si="277"/>
        <v>123907002.47859842</v>
      </c>
      <c r="CJ187" s="227">
        <f t="shared" ca="1" si="277"/>
        <v>124348983.11357948</v>
      </c>
      <c r="CK187" s="227">
        <f t="shared" ca="1" si="277"/>
        <v>124792929.80428225</v>
      </c>
      <c r="CL187" s="227">
        <f t="shared" ca="1" si="277"/>
        <v>125238239.3740796</v>
      </c>
      <c r="CM187" s="227">
        <f t="shared" ca="1" si="277"/>
        <v>125686141.11844698</v>
      </c>
      <c r="CN187" s="227">
        <f t="shared" ca="1" si="277"/>
        <v>126136316.14741005</v>
      </c>
      <c r="CO187" s="227">
        <f t="shared" ca="1" si="277"/>
        <v>126584369.28899232</v>
      </c>
      <c r="CP187" s="227">
        <f t="shared" ca="1" si="277"/>
        <v>127033800.27630913</v>
      </c>
      <c r="CQ187" s="227">
        <f t="shared" ca="1" si="277"/>
        <v>127484612.87665963</v>
      </c>
      <c r="CR187" s="227">
        <f t="shared" ca="1" si="277"/>
        <v>127937432.17095158</v>
      </c>
      <c r="CS187" s="227">
        <f t="shared" ca="1" si="277"/>
        <v>128392266.24189517</v>
      </c>
      <c r="CT187" s="227">
        <f t="shared" ca="1" si="277"/>
        <v>128849123.20513169</v>
      </c>
      <c r="CU187" s="227">
        <f t="shared" ca="1" si="277"/>
        <v>129308011.20936854</v>
      </c>
      <c r="CV187" s="227">
        <f t="shared" ca="1" si="277"/>
        <v>129768938.43651491</v>
      </c>
      <c r="CW187" s="227">
        <f t="shared" ca="1" si="277"/>
        <v>130231913.10181804</v>
      </c>
      <c r="CX187" s="227">
        <f t="shared" ca="1" si="277"/>
        <v>130696306.52836889</v>
      </c>
      <c r="CY187" s="227">
        <f t="shared" ca="1" si="277"/>
        <v>131163399.96921429</v>
      </c>
      <c r="CZ187" s="227">
        <f t="shared" ca="1" si="277"/>
        <v>131632861.0507603</v>
      </c>
      <c r="DA187" s="227">
        <f t="shared" ca="1" si="277"/>
        <v>132100122.78655089</v>
      </c>
      <c r="DB187" s="227">
        <f t="shared" ca="1" si="277"/>
        <v>132568818.86577092</v>
      </c>
      <c r="DC187" s="227">
        <f t="shared" ca="1" si="277"/>
        <v>133038953.21066234</v>
      </c>
      <c r="DD187" s="227">
        <f t="shared" ca="1" si="277"/>
        <v>133511177.31974299</v>
      </c>
      <c r="DE187" s="227">
        <f t="shared" ca="1" si="277"/>
        <v>133985499.61305545</v>
      </c>
      <c r="DF187" s="227">
        <f t="shared" ca="1" si="277"/>
        <v>134461928.54495454</v>
      </c>
      <c r="DG187" s="227">
        <f t="shared" ca="1" si="277"/>
        <v>134940472.60424829</v>
      </c>
      <c r="DH187" s="227">
        <f t="shared" ca="1" si="277"/>
        <v>135421140.31433916</v>
      </c>
      <c r="DI187" s="227">
        <f t="shared" ca="1" si="277"/>
        <v>135903940.23336616</v>
      </c>
      <c r="DJ187" s="227">
        <f t="shared" ca="1" si="277"/>
        <v>136388217.10612437</v>
      </c>
      <c r="DK187" s="227">
        <f t="shared" ca="1" si="277"/>
        <v>136875306.33932993</v>
      </c>
      <c r="DL187" s="227">
        <f t="shared" ca="1" si="277"/>
        <v>137364861.505694</v>
      </c>
      <c r="DM187" s="227">
        <f t="shared" ca="1" si="277"/>
        <v>137852135.43163943</v>
      </c>
      <c r="DN187" s="227">
        <f t="shared" ca="1" si="277"/>
        <v>138340902.53454536</v>
      </c>
      <c r="DO187" s="227">
        <f t="shared" ca="1" si="277"/>
        <v>138831166.89801684</v>
      </c>
      <c r="DP187" s="227">
        <f t="shared" ca="1" si="277"/>
        <v>139323607.55471456</v>
      </c>
      <c r="DQ187" s="227">
        <f t="shared" ca="1" si="277"/>
        <v>139818233.27614254</v>
      </c>
      <c r="DR187" s="227">
        <f t="shared" ca="1" si="277"/>
        <v>140315052.86955658</v>
      </c>
      <c r="DS187" s="227">
        <f t="shared" ca="1" si="277"/>
        <v>140814075.17811096</v>
      </c>
      <c r="DT187" s="227">
        <f t="shared" ca="1" si="277"/>
        <v>141315309.08100563</v>
      </c>
      <c r="DU187" s="227">
        <f t="shared" ca="1" si="277"/>
        <v>141818763.49363446</v>
      </c>
      <c r="EH187" s="644"/>
      <c r="EI187" s="280"/>
    </row>
    <row r="188" spans="1:139" x14ac:dyDescent="0.3">
      <c r="A188" t="s">
        <v>123</v>
      </c>
      <c r="D188" s="282"/>
      <c r="E188" s="712"/>
      <c r="F188" s="712"/>
      <c r="G188" s="712"/>
      <c r="H188" s="712"/>
      <c r="I188" s="712"/>
      <c r="J188" s="712"/>
      <c r="K188" s="712"/>
      <c r="L188" s="712"/>
      <c r="M188" s="712"/>
      <c r="N188" s="712"/>
      <c r="O188" s="712"/>
      <c r="P188" s="712"/>
      <c r="Q188" s="229">
        <f t="shared" ref="Q188:AV188" ca="1" si="278">-SaleTransferTax*Q187</f>
        <v>0</v>
      </c>
      <c r="R188" s="229">
        <f t="shared" ca="1" si="278"/>
        <v>0</v>
      </c>
      <c r="S188" s="229">
        <f t="shared" ca="1" si="278"/>
        <v>0</v>
      </c>
      <c r="T188" s="229">
        <f t="shared" ca="1" si="278"/>
        <v>0</v>
      </c>
      <c r="U188" s="229">
        <f t="shared" ca="1" si="278"/>
        <v>0</v>
      </c>
      <c r="V188" s="229">
        <f t="shared" ca="1" si="278"/>
        <v>0</v>
      </c>
      <c r="W188" s="229">
        <f t="shared" ca="1" si="278"/>
        <v>0</v>
      </c>
      <c r="X188" s="229">
        <f t="shared" ca="1" si="278"/>
        <v>0</v>
      </c>
      <c r="Y188" s="229">
        <f t="shared" ca="1" si="278"/>
        <v>0</v>
      </c>
      <c r="Z188" s="229">
        <f t="shared" ca="1" si="278"/>
        <v>0</v>
      </c>
      <c r="AA188" s="229">
        <f t="shared" ca="1" si="278"/>
        <v>0</v>
      </c>
      <c r="AB188" s="229">
        <f t="shared" ca="1" si="278"/>
        <v>0</v>
      </c>
      <c r="AC188" s="229">
        <f t="shared" ca="1" si="278"/>
        <v>0</v>
      </c>
      <c r="AD188" s="229">
        <f t="shared" ca="1" si="278"/>
        <v>0</v>
      </c>
      <c r="AE188" s="229">
        <f t="shared" ca="1" si="278"/>
        <v>0</v>
      </c>
      <c r="AF188" s="229">
        <f t="shared" ca="1" si="278"/>
        <v>0</v>
      </c>
      <c r="AG188" s="229">
        <f t="shared" ca="1" si="278"/>
        <v>0</v>
      </c>
      <c r="AH188" s="229">
        <f t="shared" ca="1" si="278"/>
        <v>0</v>
      </c>
      <c r="AI188" s="229">
        <f t="shared" ca="1" si="278"/>
        <v>0</v>
      </c>
      <c r="AJ188" s="229">
        <f t="shared" ca="1" si="278"/>
        <v>0</v>
      </c>
      <c r="AK188" s="229">
        <f t="shared" ca="1" si="278"/>
        <v>0</v>
      </c>
      <c r="AL188" s="229">
        <f t="shared" ca="1" si="278"/>
        <v>0</v>
      </c>
      <c r="AM188" s="229">
        <f t="shared" ca="1" si="278"/>
        <v>0</v>
      </c>
      <c r="AN188" s="229">
        <f t="shared" ca="1" si="278"/>
        <v>0</v>
      </c>
      <c r="AO188" s="229">
        <f t="shared" ca="1" si="278"/>
        <v>0</v>
      </c>
      <c r="AP188" s="229">
        <f t="shared" ca="1" si="278"/>
        <v>0</v>
      </c>
      <c r="AQ188" s="229">
        <f t="shared" ca="1" si="278"/>
        <v>0</v>
      </c>
      <c r="AR188" s="229">
        <f t="shared" ca="1" si="278"/>
        <v>0</v>
      </c>
      <c r="AS188" s="229">
        <f ca="1">-SaleTransferTax*AS187</f>
        <v>0</v>
      </c>
      <c r="AT188" s="229">
        <f t="shared" ca="1" si="278"/>
        <v>0</v>
      </c>
      <c r="AU188" s="229">
        <f t="shared" ca="1" si="278"/>
        <v>0</v>
      </c>
      <c r="AV188" s="229">
        <f t="shared" ca="1" si="278"/>
        <v>0</v>
      </c>
      <c r="AW188" s="229">
        <f t="shared" ref="AW188:CB188" ca="1" si="279">-SaleTransferTax*AW187</f>
        <v>0</v>
      </c>
      <c r="AX188" s="229">
        <f t="shared" ca="1" si="279"/>
        <v>0</v>
      </c>
      <c r="AY188" s="229">
        <f t="shared" ca="1" si="279"/>
        <v>0</v>
      </c>
      <c r="AZ188" s="229">
        <f t="shared" ca="1" si="279"/>
        <v>0</v>
      </c>
      <c r="BA188" s="229">
        <f t="shared" ca="1" si="279"/>
        <v>0</v>
      </c>
      <c r="BB188" s="229">
        <f t="shared" ca="1" si="279"/>
        <v>0</v>
      </c>
      <c r="BC188" s="229">
        <f t="shared" ca="1" si="279"/>
        <v>0</v>
      </c>
      <c r="BD188" s="229">
        <f t="shared" ca="1" si="279"/>
        <v>0</v>
      </c>
      <c r="BE188" s="229">
        <f t="shared" ca="1" si="279"/>
        <v>0</v>
      </c>
      <c r="BF188" s="229">
        <f t="shared" ca="1" si="279"/>
        <v>0</v>
      </c>
      <c r="BG188" s="229">
        <f t="shared" ca="1" si="279"/>
        <v>0</v>
      </c>
      <c r="BH188" s="229">
        <f t="shared" ca="1" si="279"/>
        <v>0</v>
      </c>
      <c r="BI188" s="229">
        <f t="shared" ca="1" si="279"/>
        <v>0</v>
      </c>
      <c r="BJ188" s="229">
        <f t="shared" ca="1" si="279"/>
        <v>0</v>
      </c>
      <c r="BK188" s="229">
        <f t="shared" ca="1" si="279"/>
        <v>0</v>
      </c>
      <c r="BL188" s="229">
        <f t="shared" ca="1" si="279"/>
        <v>0</v>
      </c>
      <c r="BM188" s="229">
        <f t="shared" ca="1" si="279"/>
        <v>0</v>
      </c>
      <c r="BN188" s="229">
        <f t="shared" ca="1" si="279"/>
        <v>0</v>
      </c>
      <c r="BO188" s="229">
        <f t="shared" ca="1" si="279"/>
        <v>0</v>
      </c>
      <c r="BP188" s="229">
        <f t="shared" ca="1" si="279"/>
        <v>0</v>
      </c>
      <c r="BQ188" s="229">
        <f t="shared" ca="1" si="279"/>
        <v>0</v>
      </c>
      <c r="BR188" s="229">
        <f t="shared" ca="1" si="279"/>
        <v>0</v>
      </c>
      <c r="BS188" s="229">
        <f t="shared" ca="1" si="279"/>
        <v>0</v>
      </c>
      <c r="BT188" s="229">
        <f t="shared" ca="1" si="279"/>
        <v>0</v>
      </c>
      <c r="BU188" s="229">
        <f t="shared" ca="1" si="279"/>
        <v>0</v>
      </c>
      <c r="BV188" s="229">
        <f t="shared" ca="1" si="279"/>
        <v>0</v>
      </c>
      <c r="BW188" s="229">
        <f t="shared" ca="1" si="279"/>
        <v>0</v>
      </c>
      <c r="BX188" s="229">
        <f t="shared" ca="1" si="279"/>
        <v>0</v>
      </c>
      <c r="BY188" s="229">
        <f t="shared" ca="1" si="279"/>
        <v>0</v>
      </c>
      <c r="BZ188" s="229">
        <f t="shared" ca="1" si="279"/>
        <v>0</v>
      </c>
      <c r="CA188" s="229">
        <f t="shared" ca="1" si="279"/>
        <v>0</v>
      </c>
      <c r="CB188" s="229">
        <f t="shared" ca="1" si="279"/>
        <v>0</v>
      </c>
      <c r="CC188" s="229">
        <f t="shared" ref="CC188:DH188" ca="1" si="280">-SaleTransferTax*CC187</f>
        <v>0</v>
      </c>
      <c r="CD188" s="229">
        <f t="shared" ca="1" si="280"/>
        <v>0</v>
      </c>
      <c r="CE188" s="229">
        <f t="shared" ca="1" si="280"/>
        <v>0</v>
      </c>
      <c r="CF188" s="229">
        <f t="shared" ca="1" si="280"/>
        <v>0</v>
      </c>
      <c r="CG188" s="229">
        <f t="shared" ca="1" si="280"/>
        <v>0</v>
      </c>
      <c r="CH188" s="229">
        <f t="shared" ca="1" si="280"/>
        <v>0</v>
      </c>
      <c r="CI188" s="229">
        <f t="shared" ca="1" si="280"/>
        <v>0</v>
      </c>
      <c r="CJ188" s="229">
        <f t="shared" ca="1" si="280"/>
        <v>0</v>
      </c>
      <c r="CK188" s="229">
        <f t="shared" ca="1" si="280"/>
        <v>0</v>
      </c>
      <c r="CL188" s="229">
        <f t="shared" ca="1" si="280"/>
        <v>0</v>
      </c>
      <c r="CM188" s="229">
        <f t="shared" ca="1" si="280"/>
        <v>0</v>
      </c>
      <c r="CN188" s="229">
        <f t="shared" ca="1" si="280"/>
        <v>0</v>
      </c>
      <c r="CO188" s="229">
        <f t="shared" ca="1" si="280"/>
        <v>0</v>
      </c>
      <c r="CP188" s="229">
        <f t="shared" ca="1" si="280"/>
        <v>0</v>
      </c>
      <c r="CQ188" s="229">
        <f t="shared" ca="1" si="280"/>
        <v>0</v>
      </c>
      <c r="CR188" s="229">
        <f t="shared" ca="1" si="280"/>
        <v>0</v>
      </c>
      <c r="CS188" s="229">
        <f t="shared" ca="1" si="280"/>
        <v>0</v>
      </c>
      <c r="CT188" s="229">
        <f t="shared" ca="1" si="280"/>
        <v>0</v>
      </c>
      <c r="CU188" s="229">
        <f t="shared" ca="1" si="280"/>
        <v>0</v>
      </c>
      <c r="CV188" s="229">
        <f t="shared" ca="1" si="280"/>
        <v>0</v>
      </c>
      <c r="CW188" s="229">
        <f t="shared" ca="1" si="280"/>
        <v>0</v>
      </c>
      <c r="CX188" s="229">
        <f t="shared" ca="1" si="280"/>
        <v>0</v>
      </c>
      <c r="CY188" s="229">
        <f t="shared" ca="1" si="280"/>
        <v>0</v>
      </c>
      <c r="CZ188" s="229">
        <f t="shared" ca="1" si="280"/>
        <v>0</v>
      </c>
      <c r="DA188" s="229">
        <f t="shared" ca="1" si="280"/>
        <v>0</v>
      </c>
      <c r="DB188" s="229">
        <f t="shared" ca="1" si="280"/>
        <v>0</v>
      </c>
      <c r="DC188" s="229">
        <f t="shared" ca="1" si="280"/>
        <v>0</v>
      </c>
      <c r="DD188" s="229">
        <f t="shared" ca="1" si="280"/>
        <v>0</v>
      </c>
      <c r="DE188" s="229">
        <f t="shared" ca="1" si="280"/>
        <v>0</v>
      </c>
      <c r="DF188" s="229">
        <f t="shared" ca="1" si="280"/>
        <v>0</v>
      </c>
      <c r="DG188" s="229">
        <f t="shared" ca="1" si="280"/>
        <v>0</v>
      </c>
      <c r="DH188" s="229">
        <f t="shared" ca="1" si="280"/>
        <v>0</v>
      </c>
      <c r="DI188" s="229">
        <f t="shared" ref="DI188:DU188" ca="1" si="281">-SaleTransferTax*DI187</f>
        <v>0</v>
      </c>
      <c r="DJ188" s="229">
        <f t="shared" ca="1" si="281"/>
        <v>0</v>
      </c>
      <c r="DK188" s="229">
        <f t="shared" ca="1" si="281"/>
        <v>0</v>
      </c>
      <c r="DL188" s="229">
        <f t="shared" ca="1" si="281"/>
        <v>0</v>
      </c>
      <c r="DM188" s="229">
        <f t="shared" ca="1" si="281"/>
        <v>0</v>
      </c>
      <c r="DN188" s="229">
        <f t="shared" ca="1" si="281"/>
        <v>0</v>
      </c>
      <c r="DO188" s="229">
        <f t="shared" ca="1" si="281"/>
        <v>0</v>
      </c>
      <c r="DP188" s="229">
        <f t="shared" ca="1" si="281"/>
        <v>0</v>
      </c>
      <c r="DQ188" s="229">
        <f t="shared" ca="1" si="281"/>
        <v>0</v>
      </c>
      <c r="DR188" s="229">
        <f t="shared" ca="1" si="281"/>
        <v>0</v>
      </c>
      <c r="DS188" s="229">
        <f t="shared" ca="1" si="281"/>
        <v>0</v>
      </c>
      <c r="DT188" s="229">
        <f t="shared" ca="1" si="281"/>
        <v>0</v>
      </c>
      <c r="DU188" s="229">
        <f t="shared" ca="1" si="281"/>
        <v>0</v>
      </c>
      <c r="EH188" s="644"/>
      <c r="EI188" s="722"/>
    </row>
    <row r="189" spans="1:139" x14ac:dyDescent="0.3">
      <c r="A189" t="s">
        <v>124</v>
      </c>
      <c r="D189" s="282"/>
      <c r="E189" s="712"/>
      <c r="F189" s="712"/>
      <c r="G189" s="712"/>
      <c r="H189" s="712"/>
      <c r="I189" s="712"/>
      <c r="J189" s="712"/>
      <c r="K189" s="712"/>
      <c r="L189" s="712"/>
      <c r="M189" s="712"/>
      <c r="N189" s="712"/>
      <c r="O189" s="712"/>
      <c r="P189" s="712"/>
      <c r="Q189" s="229">
        <f t="shared" ref="Q189:AV189" ca="1" si="282">-+SaleTitleIns*Q187</f>
        <v>-8847.3387865768691</v>
      </c>
      <c r="R189" s="229">
        <f t="shared" ca="1" si="282"/>
        <v>-14536.688574957718</v>
      </c>
      <c r="S189" s="229">
        <f t="shared" ca="1" si="282"/>
        <v>-22578.384831041811</v>
      </c>
      <c r="T189" s="229">
        <f t="shared" ca="1" si="282"/>
        <v>-32285.242954790348</v>
      </c>
      <c r="U189" s="229">
        <f t="shared" ca="1" si="282"/>
        <v>-42140.851166509892</v>
      </c>
      <c r="V189" s="229">
        <f t="shared" ca="1" si="282"/>
        <v>-51471.195458574737</v>
      </c>
      <c r="W189" s="229">
        <f t="shared" ca="1" si="282"/>
        <v>-60237.989909899326</v>
      </c>
      <c r="X189" s="229">
        <f t="shared" ca="1" si="282"/>
        <v>-68282.434785124729</v>
      </c>
      <c r="Y189" s="229">
        <f t="shared" ca="1" si="282"/>
        <v>-75681.522134322207</v>
      </c>
      <c r="Z189" s="229">
        <f t="shared" ca="1" si="282"/>
        <v>-82286.761277921411</v>
      </c>
      <c r="AA189" s="229">
        <f t="shared" ca="1" si="282"/>
        <v>-87943.739429485227</v>
      </c>
      <c r="AB189" s="229">
        <f t="shared" ca="1" si="282"/>
        <v>-92651.930733582296</v>
      </c>
      <c r="AC189" s="229">
        <f t="shared" ca="1" si="282"/>
        <v>-96419.100070844026</v>
      </c>
      <c r="AD189" s="229">
        <f t="shared" ca="1" si="282"/>
        <v>-99392.076195185495</v>
      </c>
      <c r="AE189" s="229">
        <f t="shared" ca="1" si="282"/>
        <v>-101530.55883812744</v>
      </c>
      <c r="AF189" s="229">
        <f t="shared" ca="1" si="282"/>
        <v>-102099.55053222447</v>
      </c>
      <c r="AG189" s="229">
        <f t="shared" ca="1" si="282"/>
        <v>-102519.47519780482</v>
      </c>
      <c r="AH189" s="229">
        <f t="shared" ca="1" si="282"/>
        <v>-102949.42889667653</v>
      </c>
      <c r="AI189" s="229">
        <f t="shared" ca="1" si="282"/>
        <v>-103388.86484333372</v>
      </c>
      <c r="AJ189" s="229">
        <f t="shared" ca="1" si="282"/>
        <v>-103827.822791698</v>
      </c>
      <c r="AK189" s="229">
        <f t="shared" ca="1" si="282"/>
        <v>-104261.11255932281</v>
      </c>
      <c r="AL189" s="229">
        <f t="shared" ca="1" si="282"/>
        <v>-104687.48202807894</v>
      </c>
      <c r="AM189" s="229">
        <f t="shared" ca="1" si="282"/>
        <v>-105105.66979756134</v>
      </c>
      <c r="AN189" s="229">
        <f t="shared" ca="1" si="282"/>
        <v>-105514.40513425464</v>
      </c>
      <c r="AO189" s="229">
        <f t="shared" ca="1" si="282"/>
        <v>-105912.40792046041</v>
      </c>
      <c r="AP189" s="229">
        <f t="shared" ca="1" si="282"/>
        <v>-106302.43763775453</v>
      </c>
      <c r="AQ189" s="229">
        <f t="shared" ca="1" si="282"/>
        <v>-106675.24154841727</v>
      </c>
      <c r="AR189" s="229">
        <f t="shared" ca="1" si="282"/>
        <v>-107032.11470923338</v>
      </c>
      <c r="AS189" s="229">
        <f t="shared" ca="1" si="282"/>
        <v>-107402.34685886498</v>
      </c>
      <c r="AT189" s="229">
        <f t="shared" ca="1" si="282"/>
        <v>-107763.91816984909</v>
      </c>
      <c r="AU189" s="229">
        <f t="shared" ca="1" si="282"/>
        <v>-108117.88656492901</v>
      </c>
      <c r="AV189" s="229">
        <f t="shared" ca="1" si="282"/>
        <v>-108461.98257141914</v>
      </c>
      <c r="AW189" s="229">
        <f t="shared" ref="AW189:CB189" ca="1" si="283">-+SaleTitleIns*AW187</f>
        <v>-108798.61177253826</v>
      </c>
      <c r="AX189" s="229">
        <f t="shared" ca="1" si="283"/>
        <v>-109130.19910309822</v>
      </c>
      <c r="AY189" s="229">
        <f t="shared" ca="1" si="283"/>
        <v>-109459.18896738949</v>
      </c>
      <c r="AZ189" s="229">
        <f t="shared" ca="1" si="283"/>
        <v>-109788.0453577139</v>
      </c>
      <c r="BA189" s="229">
        <f t="shared" ca="1" si="283"/>
        <v>-110119.25197356773</v>
      </c>
      <c r="BB189" s="229">
        <f t="shared" ca="1" si="283"/>
        <v>-110453.73734100843</v>
      </c>
      <c r="BC189" s="229">
        <f t="shared" ca="1" si="283"/>
        <v>-110796.89458430793</v>
      </c>
      <c r="BD189" s="229">
        <f t="shared" ca="1" si="283"/>
        <v>-111149.54655052719</v>
      </c>
      <c r="BE189" s="229">
        <f t="shared" ca="1" si="283"/>
        <v>-111504.0400522011</v>
      </c>
      <c r="BF189" s="229">
        <f t="shared" ca="1" si="283"/>
        <v>-111864.84801629186</v>
      </c>
      <c r="BG189" s="229">
        <f t="shared" ca="1" si="283"/>
        <v>-112231.62137380436</v>
      </c>
      <c r="BH189" s="229">
        <f t="shared" ca="1" si="283"/>
        <v>-112606.75124330886</v>
      </c>
      <c r="BI189" s="229">
        <f t="shared" ca="1" si="283"/>
        <v>-112989.44387940969</v>
      </c>
      <c r="BJ189" s="229">
        <f t="shared" ca="1" si="283"/>
        <v>-113378.8995483703</v>
      </c>
      <c r="BK189" s="229">
        <f t="shared" ca="1" si="283"/>
        <v>-113774.31249450066</v>
      </c>
      <c r="BL189" s="229">
        <f t="shared" ca="1" si="283"/>
        <v>-114174.87090637663</v>
      </c>
      <c r="BM189" s="229">
        <f t="shared" ca="1" si="283"/>
        <v>-114579.75688289072</v>
      </c>
      <c r="BN189" s="229">
        <f t="shared" ca="1" si="283"/>
        <v>-114987.02275694521</v>
      </c>
      <c r="BO189" s="229">
        <f t="shared" ca="1" si="283"/>
        <v>-115398.17790881</v>
      </c>
      <c r="BP189" s="229">
        <f t="shared" ca="1" si="283"/>
        <v>-115812.08093356858</v>
      </c>
      <c r="BQ189" s="229">
        <f t="shared" ca="1" si="283"/>
        <v>-116224.00502003009</v>
      </c>
      <c r="BR189" s="229">
        <f t="shared" ca="1" si="283"/>
        <v>-116637.20059500831</v>
      </c>
      <c r="BS189" s="229">
        <f t="shared" ca="1" si="283"/>
        <v>-117051.6711341612</v>
      </c>
      <c r="BT189" s="229">
        <f t="shared" ca="1" si="283"/>
        <v>-117467.99205349886</v>
      </c>
      <c r="BU189" s="229">
        <f t="shared" ca="1" si="283"/>
        <v>-117886.17080120025</v>
      </c>
      <c r="BV189" s="229">
        <f t="shared" ca="1" si="283"/>
        <v>-118306.21485577759</v>
      </c>
      <c r="BW189" s="229">
        <f t="shared" ca="1" si="283"/>
        <v>-118728.13172620087</v>
      </c>
      <c r="BX189" s="229">
        <f t="shared" ca="1" si="283"/>
        <v>-119151.9289520226</v>
      </c>
      <c r="BY189" s="229">
        <f t="shared" ca="1" si="283"/>
        <v>-119577.61410350357</v>
      </c>
      <c r="BZ189" s="229">
        <f t="shared" ca="1" si="283"/>
        <v>-120004.60847000705</v>
      </c>
      <c r="CA189" s="229">
        <f t="shared" ca="1" si="283"/>
        <v>-120434.09149647539</v>
      </c>
      <c r="CB189" s="229">
        <f t="shared" ca="1" si="283"/>
        <v>-120865.7572296017</v>
      </c>
      <c r="CC189" s="229">
        <f t="shared" ref="CC189:DH189" ca="1" si="284">-+SaleTitleIns*CC187</f>
        <v>-121295.37444037283</v>
      </c>
      <c r="CD189" s="229">
        <f t="shared" ca="1" si="284"/>
        <v>-121726.31524175064</v>
      </c>
      <c r="CE189" s="229">
        <f t="shared" ca="1" si="284"/>
        <v>-122158.58325225514</v>
      </c>
      <c r="CF189" s="229">
        <f t="shared" ca="1" si="284"/>
        <v>-122592.77820643861</v>
      </c>
      <c r="CG189" s="229">
        <f t="shared" ca="1" si="284"/>
        <v>-123028.90786323896</v>
      </c>
      <c r="CH189" s="229">
        <f t="shared" ca="1" si="284"/>
        <v>-123466.98001319946</v>
      </c>
      <c r="CI189" s="229">
        <f t="shared" ca="1" si="284"/>
        <v>-123907.00247859841</v>
      </c>
      <c r="CJ189" s="229">
        <f t="shared" ca="1" si="284"/>
        <v>-124348.98311357948</v>
      </c>
      <c r="CK189" s="229">
        <f t="shared" ca="1" si="284"/>
        <v>-124792.92980428225</v>
      </c>
      <c r="CL189" s="229">
        <f t="shared" ca="1" si="284"/>
        <v>-125238.2393740796</v>
      </c>
      <c r="CM189" s="229">
        <f t="shared" ca="1" si="284"/>
        <v>-125686.14111844698</v>
      </c>
      <c r="CN189" s="229">
        <f t="shared" ca="1" si="284"/>
        <v>-126136.31614741005</v>
      </c>
      <c r="CO189" s="229">
        <f t="shared" ca="1" si="284"/>
        <v>-126584.36928899231</v>
      </c>
      <c r="CP189" s="229">
        <f t="shared" ca="1" si="284"/>
        <v>-127033.80027630914</v>
      </c>
      <c r="CQ189" s="229">
        <f t="shared" ca="1" si="284"/>
        <v>-127484.61287665964</v>
      </c>
      <c r="CR189" s="229">
        <f t="shared" ca="1" si="284"/>
        <v>-127937.43217095158</v>
      </c>
      <c r="CS189" s="229">
        <f t="shared" ca="1" si="284"/>
        <v>-128392.26624189517</v>
      </c>
      <c r="CT189" s="229">
        <f t="shared" ca="1" si="284"/>
        <v>-128849.12320513169</v>
      </c>
      <c r="CU189" s="229">
        <f t="shared" ca="1" si="284"/>
        <v>-129308.01120936855</v>
      </c>
      <c r="CV189" s="229">
        <f t="shared" ca="1" si="284"/>
        <v>-129768.93843651492</v>
      </c>
      <c r="CW189" s="229">
        <f t="shared" ca="1" si="284"/>
        <v>-130231.91310181805</v>
      </c>
      <c r="CX189" s="229">
        <f t="shared" ca="1" si="284"/>
        <v>-130696.30652836889</v>
      </c>
      <c r="CY189" s="229">
        <f t="shared" ca="1" si="284"/>
        <v>-131163.39996921428</v>
      </c>
      <c r="CZ189" s="229">
        <f t="shared" ca="1" si="284"/>
        <v>-131632.86105076032</v>
      </c>
      <c r="DA189" s="229">
        <f t="shared" ca="1" si="284"/>
        <v>-132100.1227865509</v>
      </c>
      <c r="DB189" s="229">
        <f t="shared" ca="1" si="284"/>
        <v>-132568.81886577091</v>
      </c>
      <c r="DC189" s="229">
        <f t="shared" ca="1" si="284"/>
        <v>-133038.95321066235</v>
      </c>
      <c r="DD189" s="229">
        <f t="shared" ca="1" si="284"/>
        <v>-133511.177319743</v>
      </c>
      <c r="DE189" s="229">
        <f t="shared" ca="1" si="284"/>
        <v>-133985.49961305546</v>
      </c>
      <c r="DF189" s="229">
        <f t="shared" ca="1" si="284"/>
        <v>-134461.92854495454</v>
      </c>
      <c r="DG189" s="229">
        <f t="shared" ca="1" si="284"/>
        <v>-134940.47260424829</v>
      </c>
      <c r="DH189" s="229">
        <f t="shared" ca="1" si="284"/>
        <v>-135421.14031433917</v>
      </c>
      <c r="DI189" s="229">
        <f t="shared" ref="DI189:DU189" ca="1" si="285">-+SaleTitleIns*DI187</f>
        <v>-135903.94023336616</v>
      </c>
      <c r="DJ189" s="229">
        <f t="shared" ca="1" si="285"/>
        <v>-136388.21710612439</v>
      </c>
      <c r="DK189" s="229">
        <f t="shared" ca="1" si="285"/>
        <v>-136875.30633932992</v>
      </c>
      <c r="DL189" s="229">
        <f t="shared" ca="1" si="285"/>
        <v>-137364.86150569402</v>
      </c>
      <c r="DM189" s="229">
        <f t="shared" ca="1" si="285"/>
        <v>-137852.13543163944</v>
      </c>
      <c r="DN189" s="229">
        <f t="shared" ca="1" si="285"/>
        <v>-138340.90253454537</v>
      </c>
      <c r="DO189" s="229">
        <f t="shared" ca="1" si="285"/>
        <v>-138831.16689801685</v>
      </c>
      <c r="DP189" s="229">
        <f t="shared" ca="1" si="285"/>
        <v>-139323.60755471457</v>
      </c>
      <c r="DQ189" s="229">
        <f t="shared" ca="1" si="285"/>
        <v>-139818.23327614254</v>
      </c>
      <c r="DR189" s="229">
        <f t="shared" ca="1" si="285"/>
        <v>-140315.05286955659</v>
      </c>
      <c r="DS189" s="229">
        <f t="shared" ca="1" si="285"/>
        <v>-140814.07517811097</v>
      </c>
      <c r="DT189" s="229">
        <f t="shared" ca="1" si="285"/>
        <v>-141315.30908100563</v>
      </c>
      <c r="DU189" s="229">
        <f t="shared" ca="1" si="285"/>
        <v>-141818.76349363447</v>
      </c>
      <c r="EH189" s="644"/>
      <c r="EI189" s="280"/>
    </row>
    <row r="190" spans="1:139" x14ac:dyDescent="0.3">
      <c r="A190" t="s">
        <v>125</v>
      </c>
      <c r="D190" s="282"/>
      <c r="E190" s="712"/>
      <c r="F190" s="712"/>
      <c r="G190" s="712"/>
      <c r="H190" s="712"/>
      <c r="I190" s="712"/>
      <c r="J190" s="712"/>
      <c r="K190" s="712"/>
      <c r="L190" s="712"/>
      <c r="M190" s="712"/>
      <c r="N190" s="712"/>
      <c r="O190" s="712"/>
      <c r="P190" s="712"/>
      <c r="Q190" s="229">
        <f t="shared" ref="Q190:AV190" si="286">-SaleClosingCosts</f>
        <v>-50000</v>
      </c>
      <c r="R190" s="229">
        <f t="shared" si="286"/>
        <v>-50000</v>
      </c>
      <c r="S190" s="229">
        <f t="shared" si="286"/>
        <v>-50000</v>
      </c>
      <c r="T190" s="229">
        <f t="shared" si="286"/>
        <v>-50000</v>
      </c>
      <c r="U190" s="229">
        <f t="shared" si="286"/>
        <v>-50000</v>
      </c>
      <c r="V190" s="229">
        <f t="shared" si="286"/>
        <v>-50000</v>
      </c>
      <c r="W190" s="229">
        <f t="shared" si="286"/>
        <v>-50000</v>
      </c>
      <c r="X190" s="229">
        <f t="shared" si="286"/>
        <v>-50000</v>
      </c>
      <c r="Y190" s="229">
        <f t="shared" si="286"/>
        <v>-50000</v>
      </c>
      <c r="Z190" s="229">
        <f t="shared" si="286"/>
        <v>-50000</v>
      </c>
      <c r="AA190" s="229">
        <f t="shared" si="286"/>
        <v>-50000</v>
      </c>
      <c r="AB190" s="229">
        <f t="shared" si="286"/>
        <v>-50000</v>
      </c>
      <c r="AC190" s="229">
        <f t="shared" si="286"/>
        <v>-50000</v>
      </c>
      <c r="AD190" s="229">
        <f t="shared" si="286"/>
        <v>-50000</v>
      </c>
      <c r="AE190" s="229">
        <f t="shared" si="286"/>
        <v>-50000</v>
      </c>
      <c r="AF190" s="229">
        <f t="shared" si="286"/>
        <v>-50000</v>
      </c>
      <c r="AG190" s="229">
        <f t="shared" si="286"/>
        <v>-50000</v>
      </c>
      <c r="AH190" s="229">
        <f t="shared" si="286"/>
        <v>-50000</v>
      </c>
      <c r="AI190" s="229">
        <f t="shared" si="286"/>
        <v>-50000</v>
      </c>
      <c r="AJ190" s="229">
        <f t="shared" si="286"/>
        <v>-50000</v>
      </c>
      <c r="AK190" s="229">
        <f t="shared" si="286"/>
        <v>-50000</v>
      </c>
      <c r="AL190" s="229">
        <f t="shared" si="286"/>
        <v>-50000</v>
      </c>
      <c r="AM190" s="229">
        <f t="shared" si="286"/>
        <v>-50000</v>
      </c>
      <c r="AN190" s="229">
        <f t="shared" si="286"/>
        <v>-50000</v>
      </c>
      <c r="AO190" s="229">
        <f t="shared" si="286"/>
        <v>-50000</v>
      </c>
      <c r="AP190" s="229">
        <f t="shared" si="286"/>
        <v>-50000</v>
      </c>
      <c r="AQ190" s="229">
        <f t="shared" si="286"/>
        <v>-50000</v>
      </c>
      <c r="AR190" s="229">
        <f t="shared" si="286"/>
        <v>-50000</v>
      </c>
      <c r="AS190" s="229">
        <f t="shared" si="286"/>
        <v>-50000</v>
      </c>
      <c r="AT190" s="229">
        <f t="shared" si="286"/>
        <v>-50000</v>
      </c>
      <c r="AU190" s="229">
        <f t="shared" si="286"/>
        <v>-50000</v>
      </c>
      <c r="AV190" s="229">
        <f t="shared" si="286"/>
        <v>-50000</v>
      </c>
      <c r="AW190" s="229">
        <f t="shared" ref="AW190:CB190" si="287">-SaleClosingCosts</f>
        <v>-50000</v>
      </c>
      <c r="AX190" s="229">
        <f t="shared" si="287"/>
        <v>-50000</v>
      </c>
      <c r="AY190" s="229">
        <f t="shared" si="287"/>
        <v>-50000</v>
      </c>
      <c r="AZ190" s="229">
        <f t="shared" si="287"/>
        <v>-50000</v>
      </c>
      <c r="BA190" s="229">
        <f t="shared" si="287"/>
        <v>-50000</v>
      </c>
      <c r="BB190" s="229">
        <f t="shared" si="287"/>
        <v>-50000</v>
      </c>
      <c r="BC190" s="229">
        <f t="shared" si="287"/>
        <v>-50000</v>
      </c>
      <c r="BD190" s="229">
        <f t="shared" si="287"/>
        <v>-50000</v>
      </c>
      <c r="BE190" s="229">
        <f t="shared" si="287"/>
        <v>-50000</v>
      </c>
      <c r="BF190" s="229">
        <f t="shared" si="287"/>
        <v>-50000</v>
      </c>
      <c r="BG190" s="229">
        <f t="shared" si="287"/>
        <v>-50000</v>
      </c>
      <c r="BH190" s="229">
        <f t="shared" si="287"/>
        <v>-50000</v>
      </c>
      <c r="BI190" s="229">
        <f t="shared" si="287"/>
        <v>-50000</v>
      </c>
      <c r="BJ190" s="229">
        <f t="shared" si="287"/>
        <v>-50000</v>
      </c>
      <c r="BK190" s="229">
        <f t="shared" si="287"/>
        <v>-50000</v>
      </c>
      <c r="BL190" s="229">
        <f t="shared" si="287"/>
        <v>-50000</v>
      </c>
      <c r="BM190" s="229">
        <f t="shared" si="287"/>
        <v>-50000</v>
      </c>
      <c r="BN190" s="229">
        <f t="shared" si="287"/>
        <v>-50000</v>
      </c>
      <c r="BO190" s="229">
        <f t="shared" si="287"/>
        <v>-50000</v>
      </c>
      <c r="BP190" s="229">
        <f t="shared" si="287"/>
        <v>-50000</v>
      </c>
      <c r="BQ190" s="229">
        <f t="shared" si="287"/>
        <v>-50000</v>
      </c>
      <c r="BR190" s="229">
        <f t="shared" si="287"/>
        <v>-50000</v>
      </c>
      <c r="BS190" s="229">
        <f t="shared" si="287"/>
        <v>-50000</v>
      </c>
      <c r="BT190" s="229">
        <f t="shared" si="287"/>
        <v>-50000</v>
      </c>
      <c r="BU190" s="229">
        <f t="shared" si="287"/>
        <v>-50000</v>
      </c>
      <c r="BV190" s="229">
        <f t="shared" si="287"/>
        <v>-50000</v>
      </c>
      <c r="BW190" s="229">
        <f t="shared" si="287"/>
        <v>-50000</v>
      </c>
      <c r="BX190" s="229">
        <f t="shared" si="287"/>
        <v>-50000</v>
      </c>
      <c r="BY190" s="229">
        <f t="shared" si="287"/>
        <v>-50000</v>
      </c>
      <c r="BZ190" s="229">
        <f t="shared" si="287"/>
        <v>-50000</v>
      </c>
      <c r="CA190" s="229">
        <f t="shared" si="287"/>
        <v>-50000</v>
      </c>
      <c r="CB190" s="229">
        <f t="shared" si="287"/>
        <v>-50000</v>
      </c>
      <c r="CC190" s="229">
        <f t="shared" ref="CC190:DH190" si="288">-SaleClosingCosts</f>
        <v>-50000</v>
      </c>
      <c r="CD190" s="229">
        <f t="shared" si="288"/>
        <v>-50000</v>
      </c>
      <c r="CE190" s="229">
        <f t="shared" si="288"/>
        <v>-50000</v>
      </c>
      <c r="CF190" s="229">
        <f t="shared" si="288"/>
        <v>-50000</v>
      </c>
      <c r="CG190" s="229">
        <f t="shared" si="288"/>
        <v>-50000</v>
      </c>
      <c r="CH190" s="229">
        <f t="shared" si="288"/>
        <v>-50000</v>
      </c>
      <c r="CI190" s="229">
        <f t="shared" si="288"/>
        <v>-50000</v>
      </c>
      <c r="CJ190" s="229">
        <f t="shared" si="288"/>
        <v>-50000</v>
      </c>
      <c r="CK190" s="229">
        <f t="shared" si="288"/>
        <v>-50000</v>
      </c>
      <c r="CL190" s="229">
        <f t="shared" si="288"/>
        <v>-50000</v>
      </c>
      <c r="CM190" s="229">
        <f t="shared" si="288"/>
        <v>-50000</v>
      </c>
      <c r="CN190" s="229">
        <f t="shared" si="288"/>
        <v>-50000</v>
      </c>
      <c r="CO190" s="229">
        <f t="shared" si="288"/>
        <v>-50000</v>
      </c>
      <c r="CP190" s="229">
        <f t="shared" si="288"/>
        <v>-50000</v>
      </c>
      <c r="CQ190" s="229">
        <f t="shared" si="288"/>
        <v>-50000</v>
      </c>
      <c r="CR190" s="229">
        <f t="shared" si="288"/>
        <v>-50000</v>
      </c>
      <c r="CS190" s="229">
        <f t="shared" si="288"/>
        <v>-50000</v>
      </c>
      <c r="CT190" s="229">
        <f t="shared" si="288"/>
        <v>-50000</v>
      </c>
      <c r="CU190" s="229">
        <f t="shared" si="288"/>
        <v>-50000</v>
      </c>
      <c r="CV190" s="229">
        <f t="shared" si="288"/>
        <v>-50000</v>
      </c>
      <c r="CW190" s="229">
        <f t="shared" si="288"/>
        <v>-50000</v>
      </c>
      <c r="CX190" s="229">
        <f t="shared" si="288"/>
        <v>-50000</v>
      </c>
      <c r="CY190" s="229">
        <f t="shared" si="288"/>
        <v>-50000</v>
      </c>
      <c r="CZ190" s="229">
        <f t="shared" si="288"/>
        <v>-50000</v>
      </c>
      <c r="DA190" s="229">
        <f t="shared" si="288"/>
        <v>-50000</v>
      </c>
      <c r="DB190" s="229">
        <f t="shared" si="288"/>
        <v>-50000</v>
      </c>
      <c r="DC190" s="229">
        <f t="shared" si="288"/>
        <v>-50000</v>
      </c>
      <c r="DD190" s="229">
        <f t="shared" si="288"/>
        <v>-50000</v>
      </c>
      <c r="DE190" s="229">
        <f t="shared" si="288"/>
        <v>-50000</v>
      </c>
      <c r="DF190" s="229">
        <f t="shared" si="288"/>
        <v>-50000</v>
      </c>
      <c r="DG190" s="229">
        <f t="shared" si="288"/>
        <v>-50000</v>
      </c>
      <c r="DH190" s="229">
        <f t="shared" si="288"/>
        <v>-50000</v>
      </c>
      <c r="DI190" s="229">
        <f t="shared" ref="DI190:DU190" si="289">-SaleClosingCosts</f>
        <v>-50000</v>
      </c>
      <c r="DJ190" s="229">
        <f t="shared" si="289"/>
        <v>-50000</v>
      </c>
      <c r="DK190" s="229">
        <f t="shared" si="289"/>
        <v>-50000</v>
      </c>
      <c r="DL190" s="229">
        <f t="shared" si="289"/>
        <v>-50000</v>
      </c>
      <c r="DM190" s="229">
        <f t="shared" si="289"/>
        <v>-50000</v>
      </c>
      <c r="DN190" s="229">
        <f t="shared" si="289"/>
        <v>-50000</v>
      </c>
      <c r="DO190" s="229">
        <f t="shared" si="289"/>
        <v>-50000</v>
      </c>
      <c r="DP190" s="229">
        <f t="shared" si="289"/>
        <v>-50000</v>
      </c>
      <c r="DQ190" s="229">
        <f t="shared" si="289"/>
        <v>-50000</v>
      </c>
      <c r="DR190" s="229">
        <f t="shared" si="289"/>
        <v>-50000</v>
      </c>
      <c r="DS190" s="229">
        <f t="shared" si="289"/>
        <v>-50000</v>
      </c>
      <c r="DT190" s="229">
        <f t="shared" si="289"/>
        <v>-50000</v>
      </c>
      <c r="DU190" s="229">
        <f t="shared" si="289"/>
        <v>-50000</v>
      </c>
      <c r="EH190" s="644"/>
      <c r="EI190" s="722"/>
    </row>
    <row r="191" spans="1:139" x14ac:dyDescent="0.3">
      <c r="A191" t="s">
        <v>126</v>
      </c>
      <c r="D191" s="282"/>
      <c r="E191" s="712"/>
      <c r="F191" s="712"/>
      <c r="G191" s="712"/>
      <c r="H191" s="712"/>
      <c r="I191" s="712"/>
      <c r="J191" s="712"/>
      <c r="K191" s="712"/>
      <c r="L191" s="712"/>
      <c r="M191" s="712"/>
      <c r="N191" s="712"/>
      <c r="O191" s="712"/>
      <c r="P191" s="712"/>
      <c r="Q191" s="229">
        <f t="shared" ref="Q191:AV191" ca="1" si="290">-SaleCommissions*Q187</f>
        <v>-26542.016359730609</v>
      </c>
      <c r="R191" s="229">
        <f t="shared" ca="1" si="290"/>
        <v>-43610.065724873151</v>
      </c>
      <c r="S191" s="229">
        <f t="shared" ca="1" si="290"/>
        <v>-67735.154493125432</v>
      </c>
      <c r="T191" s="229">
        <f t="shared" ca="1" si="290"/>
        <v>-96855.728864371034</v>
      </c>
      <c r="U191" s="229">
        <f t="shared" ca="1" si="290"/>
        <v>-126422.55349952968</v>
      </c>
      <c r="V191" s="229">
        <f t="shared" ca="1" si="290"/>
        <v>-154413.5863757242</v>
      </c>
      <c r="W191" s="229">
        <f t="shared" ca="1" si="290"/>
        <v>-180713.96972969797</v>
      </c>
      <c r="X191" s="229">
        <f t="shared" ca="1" si="290"/>
        <v>-204847.30435537422</v>
      </c>
      <c r="Y191" s="229">
        <f t="shared" ca="1" si="290"/>
        <v>-227044.56640296665</v>
      </c>
      <c r="Z191" s="229">
        <f t="shared" ca="1" si="290"/>
        <v>-246860.28383376423</v>
      </c>
      <c r="AA191" s="229">
        <f t="shared" ca="1" si="290"/>
        <v>-263831.21828845568</v>
      </c>
      <c r="AB191" s="229">
        <f t="shared" ca="1" si="290"/>
        <v>-277955.79220074689</v>
      </c>
      <c r="AC191" s="229">
        <f t="shared" ca="1" si="290"/>
        <v>-289257.30021253211</v>
      </c>
      <c r="AD191" s="229">
        <f t="shared" ca="1" si="290"/>
        <v>-298176.2285855565</v>
      </c>
      <c r="AE191" s="229">
        <f t="shared" ca="1" si="290"/>
        <v>-304591.6765143823</v>
      </c>
      <c r="AF191" s="229">
        <f t="shared" ca="1" si="290"/>
        <v>-306298.65159667342</v>
      </c>
      <c r="AG191" s="229">
        <f t="shared" ca="1" si="290"/>
        <v>-307558.42559341446</v>
      </c>
      <c r="AH191" s="229">
        <f t="shared" ca="1" si="290"/>
        <v>-308848.28669002961</v>
      </c>
      <c r="AI191" s="229">
        <f t="shared" ca="1" si="290"/>
        <v>-310166.59453000117</v>
      </c>
      <c r="AJ191" s="229">
        <f t="shared" ca="1" si="290"/>
        <v>-311483.468375094</v>
      </c>
      <c r="AK191" s="229">
        <f t="shared" ca="1" si="290"/>
        <v>-312783.33767796843</v>
      </c>
      <c r="AL191" s="229">
        <f t="shared" ca="1" si="290"/>
        <v>-314062.44608423684</v>
      </c>
      <c r="AM191" s="229">
        <f t="shared" ca="1" si="290"/>
        <v>-315317.00939268398</v>
      </c>
      <c r="AN191" s="229">
        <f t="shared" ca="1" si="290"/>
        <v>-316543.21540276398</v>
      </c>
      <c r="AO191" s="229">
        <f t="shared" ca="1" si="290"/>
        <v>-317737.22376138123</v>
      </c>
      <c r="AP191" s="229">
        <f t="shared" ca="1" si="290"/>
        <v>-318907.31291326362</v>
      </c>
      <c r="AQ191" s="229">
        <f t="shared" ca="1" si="290"/>
        <v>-320025.72464525182</v>
      </c>
      <c r="AR191" s="229">
        <f t="shared" ca="1" si="290"/>
        <v>-321096.3441277002</v>
      </c>
      <c r="AS191" s="229">
        <f t="shared" ca="1" si="290"/>
        <v>-322207.04057659494</v>
      </c>
      <c r="AT191" s="229">
        <f t="shared" ca="1" si="290"/>
        <v>-323291.75450954726</v>
      </c>
      <c r="AU191" s="229">
        <f t="shared" ca="1" si="290"/>
        <v>-324353.65969478706</v>
      </c>
      <c r="AV191" s="229">
        <f t="shared" ca="1" si="290"/>
        <v>-325385.9477142574</v>
      </c>
      <c r="AW191" s="229">
        <f t="shared" ref="AW191:CB191" ca="1" si="291">-SaleCommissions*AW187</f>
        <v>-326395.83531761478</v>
      </c>
      <c r="AX191" s="229">
        <f t="shared" ca="1" si="291"/>
        <v>-327390.59730929462</v>
      </c>
      <c r="AY191" s="229">
        <f t="shared" ca="1" si="291"/>
        <v>-328377.5669021685</v>
      </c>
      <c r="AZ191" s="229">
        <f t="shared" ca="1" si="291"/>
        <v>-329364.13607314171</v>
      </c>
      <c r="BA191" s="229">
        <f t="shared" ca="1" si="291"/>
        <v>-330357.75592070323</v>
      </c>
      <c r="BB191" s="229">
        <f t="shared" ca="1" si="291"/>
        <v>-331361.21202302526</v>
      </c>
      <c r="BC191" s="229">
        <f t="shared" ca="1" si="291"/>
        <v>-332390.6837529238</v>
      </c>
      <c r="BD191" s="229">
        <f t="shared" ca="1" si="291"/>
        <v>-333448.63965158159</v>
      </c>
      <c r="BE191" s="229">
        <f t="shared" ca="1" si="291"/>
        <v>-334512.12015660334</v>
      </c>
      <c r="BF191" s="229">
        <f t="shared" ca="1" si="291"/>
        <v>-335594.54404887557</v>
      </c>
      <c r="BG191" s="229">
        <f t="shared" ca="1" si="291"/>
        <v>-336694.86412141309</v>
      </c>
      <c r="BH191" s="229">
        <f t="shared" ca="1" si="291"/>
        <v>-337820.2537299266</v>
      </c>
      <c r="BI191" s="229">
        <f t="shared" ca="1" si="291"/>
        <v>-338968.33163822908</v>
      </c>
      <c r="BJ191" s="229">
        <f t="shared" ca="1" si="291"/>
        <v>-340136.69864511094</v>
      </c>
      <c r="BK191" s="229">
        <f t="shared" ca="1" si="291"/>
        <v>-341322.93748350197</v>
      </c>
      <c r="BL191" s="229">
        <f t="shared" ca="1" si="291"/>
        <v>-342524.61271912989</v>
      </c>
      <c r="BM191" s="229">
        <f t="shared" ca="1" si="291"/>
        <v>-343739.27064867213</v>
      </c>
      <c r="BN191" s="229">
        <f t="shared" ca="1" si="291"/>
        <v>-344961.06827083562</v>
      </c>
      <c r="BO191" s="229">
        <f t="shared" ca="1" si="291"/>
        <v>-346194.53372643003</v>
      </c>
      <c r="BP191" s="229">
        <f t="shared" ca="1" si="291"/>
        <v>-347436.24280070578</v>
      </c>
      <c r="BQ191" s="229">
        <f t="shared" ca="1" si="291"/>
        <v>-348672.01506009023</v>
      </c>
      <c r="BR191" s="229">
        <f t="shared" ca="1" si="291"/>
        <v>-349911.60178502498</v>
      </c>
      <c r="BS191" s="229">
        <f t="shared" ca="1" si="291"/>
        <v>-351155.0134024836</v>
      </c>
      <c r="BT191" s="229">
        <f t="shared" ca="1" si="291"/>
        <v>-352403.97616049659</v>
      </c>
      <c r="BU191" s="229">
        <f t="shared" ca="1" si="291"/>
        <v>-353658.51240360073</v>
      </c>
      <c r="BV191" s="229">
        <f t="shared" ca="1" si="291"/>
        <v>-354918.64456733275</v>
      </c>
      <c r="BW191" s="229">
        <f t="shared" ca="1" si="291"/>
        <v>-356184.3951786026</v>
      </c>
      <c r="BX191" s="229">
        <f t="shared" ca="1" si="291"/>
        <v>-357455.78685606777</v>
      </c>
      <c r="BY191" s="229">
        <f t="shared" ca="1" si="291"/>
        <v>-358732.84231051069</v>
      </c>
      <c r="BZ191" s="229">
        <f t="shared" ca="1" si="291"/>
        <v>-360013.82541002112</v>
      </c>
      <c r="CA191" s="229">
        <f t="shared" ca="1" si="291"/>
        <v>-361302.27448942617</v>
      </c>
      <c r="CB191" s="229">
        <f t="shared" ca="1" si="291"/>
        <v>-362597.27168880508</v>
      </c>
      <c r="CC191" s="229">
        <f t="shared" ref="CC191:DH191" ca="1" si="292">-SaleCommissions*CC187</f>
        <v>-363886.12332111847</v>
      </c>
      <c r="CD191" s="229">
        <f t="shared" ca="1" si="292"/>
        <v>-365178.94572525186</v>
      </c>
      <c r="CE191" s="229">
        <f t="shared" ca="1" si="292"/>
        <v>-366475.74975676538</v>
      </c>
      <c r="CF191" s="229">
        <f t="shared" ca="1" si="292"/>
        <v>-367778.33461931586</v>
      </c>
      <c r="CG191" s="229">
        <f t="shared" ca="1" si="292"/>
        <v>-369086.72358971689</v>
      </c>
      <c r="CH191" s="229">
        <f t="shared" ca="1" si="292"/>
        <v>-370400.94003959832</v>
      </c>
      <c r="CI191" s="229">
        <f t="shared" ca="1" si="292"/>
        <v>-371721.00743579527</v>
      </c>
      <c r="CJ191" s="229">
        <f t="shared" ca="1" si="292"/>
        <v>-373046.94934073847</v>
      </c>
      <c r="CK191" s="229">
        <f t="shared" ca="1" si="292"/>
        <v>-374378.78941284673</v>
      </c>
      <c r="CL191" s="229">
        <f t="shared" ca="1" si="292"/>
        <v>-375714.71812223882</v>
      </c>
      <c r="CM191" s="229">
        <f t="shared" ca="1" si="292"/>
        <v>-377058.42335534096</v>
      </c>
      <c r="CN191" s="229">
        <f t="shared" ca="1" si="292"/>
        <v>-378408.94844223018</v>
      </c>
      <c r="CO191" s="229">
        <f t="shared" ca="1" si="292"/>
        <v>-379753.10786697693</v>
      </c>
      <c r="CP191" s="229">
        <f t="shared" ca="1" si="292"/>
        <v>-381101.40082892741</v>
      </c>
      <c r="CQ191" s="229">
        <f t="shared" ca="1" si="292"/>
        <v>-382453.83862997888</v>
      </c>
      <c r="CR191" s="229">
        <f t="shared" ca="1" si="292"/>
        <v>-383812.29651285475</v>
      </c>
      <c r="CS191" s="229">
        <f t="shared" ca="1" si="292"/>
        <v>-385176.79872568551</v>
      </c>
      <c r="CT191" s="229">
        <f t="shared" ca="1" si="292"/>
        <v>-386547.36961539509</v>
      </c>
      <c r="CU191" s="229">
        <f t="shared" ca="1" si="292"/>
        <v>-387924.03362810565</v>
      </c>
      <c r="CV191" s="229">
        <f t="shared" ca="1" si="292"/>
        <v>-389306.81530954473</v>
      </c>
      <c r="CW191" s="229">
        <f t="shared" ca="1" si="292"/>
        <v>-390695.73930545413</v>
      </c>
      <c r="CX191" s="229">
        <f t="shared" ca="1" si="292"/>
        <v>-392088.91958510666</v>
      </c>
      <c r="CY191" s="229">
        <f t="shared" ca="1" si="292"/>
        <v>-393490.19990764291</v>
      </c>
      <c r="CZ191" s="229">
        <f t="shared" ca="1" si="292"/>
        <v>-394898.58315228089</v>
      </c>
      <c r="DA191" s="229">
        <f t="shared" ca="1" si="292"/>
        <v>-396300.3683596527</v>
      </c>
      <c r="DB191" s="229">
        <f t="shared" ca="1" si="292"/>
        <v>-397706.45659731276</v>
      </c>
      <c r="DC191" s="229">
        <f t="shared" ca="1" si="292"/>
        <v>-399116.859631987</v>
      </c>
      <c r="DD191" s="229">
        <f t="shared" ca="1" si="292"/>
        <v>-400533.53195922897</v>
      </c>
      <c r="DE191" s="229">
        <f t="shared" ca="1" si="292"/>
        <v>-401956.49883916636</v>
      </c>
      <c r="DF191" s="229">
        <f t="shared" ca="1" si="292"/>
        <v>-403385.7856348636</v>
      </c>
      <c r="DG191" s="229">
        <f t="shared" ca="1" si="292"/>
        <v>-404821.41781274485</v>
      </c>
      <c r="DH191" s="229">
        <f t="shared" ca="1" si="292"/>
        <v>-406263.42094301747</v>
      </c>
      <c r="DI191" s="229">
        <f t="shared" ref="DI191:DU191" ca="1" si="293">-SaleCommissions*DI187</f>
        <v>-407711.82070009847</v>
      </c>
      <c r="DJ191" s="229">
        <f t="shared" ca="1" si="293"/>
        <v>-409164.6513183731</v>
      </c>
      <c r="DK191" s="229">
        <f t="shared" ca="1" si="293"/>
        <v>-410625.91901798977</v>
      </c>
      <c r="DL191" s="229">
        <f t="shared" ca="1" si="293"/>
        <v>-412094.58451708202</v>
      </c>
      <c r="DM191" s="229">
        <f t="shared" ca="1" si="293"/>
        <v>-413556.40629491833</v>
      </c>
      <c r="DN191" s="229">
        <f t="shared" ca="1" si="293"/>
        <v>-415022.70760363608</v>
      </c>
      <c r="DO191" s="229">
        <f t="shared" ca="1" si="293"/>
        <v>-416493.50069405051</v>
      </c>
      <c r="DP191" s="229">
        <f t="shared" ca="1" si="293"/>
        <v>-417970.82266414369</v>
      </c>
      <c r="DQ191" s="229">
        <f t="shared" ca="1" si="293"/>
        <v>-419454.69982842763</v>
      </c>
      <c r="DR191" s="229">
        <f t="shared" ca="1" si="293"/>
        <v>-420945.15860866976</v>
      </c>
      <c r="DS191" s="229">
        <f t="shared" ca="1" si="293"/>
        <v>-422442.22553433286</v>
      </c>
      <c r="DT191" s="229">
        <f t="shared" ca="1" si="293"/>
        <v>-423945.92724301689</v>
      </c>
      <c r="DU191" s="229">
        <f t="shared" ca="1" si="293"/>
        <v>-425456.29048090341</v>
      </c>
      <c r="EH191" s="644"/>
      <c r="EI191" s="280"/>
    </row>
    <row r="192" spans="1:139" x14ac:dyDescent="0.3">
      <c r="A192" t="str">
        <f>"PV Ground Lease Payments @ "&amp;TEXT('Operating Inputs'!$C$236,"#0.00%")</f>
        <v>PV Ground Lease Payments @ 6.25%</v>
      </c>
      <c r="D192" s="282"/>
      <c r="E192" s="712"/>
      <c r="F192" s="712"/>
      <c r="G192" s="712"/>
      <c r="H192" s="712"/>
      <c r="I192" s="712"/>
      <c r="J192" s="712"/>
      <c r="K192" s="712"/>
      <c r="L192" s="712"/>
      <c r="M192" s="712"/>
      <c r="N192" s="712"/>
      <c r="O192" s="712"/>
      <c r="P192" s="712"/>
      <c r="Q192" s="229">
        <f>IF(LandPrice=0,-LOOKUP(Q5,'Operating Inputs'!$P$248:$P$1430,'Operating Inputs'!$T$248:$T$1430),0)</f>
        <v>0</v>
      </c>
      <c r="R192" s="229">
        <f>IF(LandPrice=0,-LOOKUP(R5,'Operating Inputs'!$P$248:$P$1430,'Operating Inputs'!$T$248:$T$1430),0)</f>
        <v>0</v>
      </c>
      <c r="S192" s="229">
        <f>IF(LandPrice=0,-LOOKUP(S5,'Operating Inputs'!$P$248:$P$1430,'Operating Inputs'!$T$248:$T$1430),0)</f>
        <v>0</v>
      </c>
      <c r="T192" s="229">
        <f>IF(LandPrice=0,-LOOKUP(T5,'Operating Inputs'!$P$248:$P$1430,'Operating Inputs'!$T$248:$T$1430),0)</f>
        <v>0</v>
      </c>
      <c r="U192" s="229">
        <f>IF(LandPrice=0,-LOOKUP(U5,'Operating Inputs'!$P$248:$P$1430,'Operating Inputs'!$T$248:$T$1430),0)</f>
        <v>0</v>
      </c>
      <c r="V192" s="229">
        <f>IF(LandPrice=0,-LOOKUP(V5,'Operating Inputs'!$P$248:$P$1430,'Operating Inputs'!$T$248:$T$1430),0)</f>
        <v>0</v>
      </c>
      <c r="W192" s="229">
        <f>IF(LandPrice=0,-LOOKUP(W5,'Operating Inputs'!$P$248:$P$1430,'Operating Inputs'!$T$248:$T$1430),0)</f>
        <v>0</v>
      </c>
      <c r="X192" s="229">
        <f>IF(LandPrice=0,-LOOKUP(X5,'Operating Inputs'!$P$248:$P$1430,'Operating Inputs'!$T$248:$T$1430),0)</f>
        <v>0</v>
      </c>
      <c r="Y192" s="229">
        <f>IF(LandPrice=0,-LOOKUP(Y5,'Operating Inputs'!$P$248:$P$1430,'Operating Inputs'!$T$248:$T$1430),0)</f>
        <v>0</v>
      </c>
      <c r="Z192" s="229">
        <f>IF(LandPrice=0,-LOOKUP(Z5,'Operating Inputs'!$P$248:$P$1430,'Operating Inputs'!$T$248:$T$1430),0)</f>
        <v>0</v>
      </c>
      <c r="AA192" s="229">
        <f>IF(LandPrice=0,-LOOKUP(AA5,'Operating Inputs'!$P$248:$P$1430,'Operating Inputs'!$T$248:$T$1430),0)</f>
        <v>0</v>
      </c>
      <c r="AB192" s="229">
        <f>IF(LandPrice=0,-LOOKUP(AB5,'Operating Inputs'!$P$248:$P$1430,'Operating Inputs'!$T$248:$T$1430),0)</f>
        <v>0</v>
      </c>
      <c r="AC192" s="229">
        <f>IF(LandPrice=0,-LOOKUP(AC5,'Operating Inputs'!$P$248:$P$1430,'Operating Inputs'!$T$248:$T$1430),0)</f>
        <v>0</v>
      </c>
      <c r="AD192" s="229">
        <f>IF(LandPrice=0,-LOOKUP(AD5,'Operating Inputs'!$P$248:$P$1430,'Operating Inputs'!$T$248:$T$1430),0)</f>
        <v>0</v>
      </c>
      <c r="AE192" s="229">
        <f>IF(LandPrice=0,-LOOKUP(AE5,'Operating Inputs'!$P$248:$P$1430,'Operating Inputs'!$T$248:$T$1430),0)</f>
        <v>0</v>
      </c>
      <c r="AF192" s="229">
        <f>IF(LandPrice=0,-LOOKUP(AF5,'Operating Inputs'!$P$248:$P$1430,'Operating Inputs'!$T$248:$T$1430),0)</f>
        <v>0</v>
      </c>
      <c r="AG192" s="229">
        <f>IF(LandPrice=0,-LOOKUP(AG5,'Operating Inputs'!$P$248:$P$1430,'Operating Inputs'!$T$248:$T$1430),0)</f>
        <v>0</v>
      </c>
      <c r="AH192" s="229">
        <f>IF(LandPrice=0,-LOOKUP(AH5,'Operating Inputs'!$P$248:$P$1430,'Operating Inputs'!$T$248:$T$1430),0)</f>
        <v>0</v>
      </c>
      <c r="AI192" s="229">
        <f>IF(LandPrice=0,-LOOKUP(AI5,'Operating Inputs'!$P$248:$P$1430,'Operating Inputs'!$T$248:$T$1430),0)</f>
        <v>0</v>
      </c>
      <c r="AJ192" s="229">
        <f>IF(LandPrice=0,-LOOKUP(AJ5,'Operating Inputs'!$P$248:$P$1430,'Operating Inputs'!$T$248:$T$1430),0)</f>
        <v>0</v>
      </c>
      <c r="AK192" s="229">
        <f>IF(LandPrice=0,-LOOKUP(AK5,'Operating Inputs'!$P$248:$P$1430,'Operating Inputs'!$T$248:$T$1430),0)</f>
        <v>0</v>
      </c>
      <c r="AL192" s="229">
        <f>IF(LandPrice=0,-LOOKUP(AL5,'Operating Inputs'!$P$248:$P$1430,'Operating Inputs'!$T$248:$T$1430),0)</f>
        <v>0</v>
      </c>
      <c r="AM192" s="229">
        <f>IF(LandPrice=0,-LOOKUP(AM5,'Operating Inputs'!$P$248:$P$1430,'Operating Inputs'!$T$248:$T$1430),0)</f>
        <v>0</v>
      </c>
      <c r="AN192" s="229">
        <f>IF(LandPrice=0,-LOOKUP(AN5,'Operating Inputs'!$P$248:$P$1430,'Operating Inputs'!$T$248:$T$1430),0)</f>
        <v>0</v>
      </c>
      <c r="AO192" s="229">
        <f>IF(LandPrice=0,-LOOKUP(AO5,'Operating Inputs'!$P$248:$P$1430,'Operating Inputs'!$T$248:$T$1430),0)</f>
        <v>0</v>
      </c>
      <c r="AP192" s="229">
        <f>IF(LandPrice=0,-LOOKUP(AP5,'Operating Inputs'!$P$248:$P$1430,'Operating Inputs'!$T$248:$T$1430),0)</f>
        <v>0</v>
      </c>
      <c r="AQ192" s="229">
        <f>IF(LandPrice=0,-LOOKUP(AQ5,'Operating Inputs'!$P$248:$P$1430,'Operating Inputs'!$T$248:$T$1430),0)</f>
        <v>0</v>
      </c>
      <c r="AR192" s="229">
        <f>IF(LandPrice=0,-LOOKUP(AR5,'Operating Inputs'!$P$248:$P$1430,'Operating Inputs'!$T$248:$T$1430),0)</f>
        <v>0</v>
      </c>
      <c r="AS192" s="229">
        <f>IF(LandPrice=0,-LOOKUP(AS5,'Operating Inputs'!$P$248:$P$1430,'Operating Inputs'!$T$248:$T$1430),0)</f>
        <v>0</v>
      </c>
      <c r="AT192" s="229">
        <f>IF(LandPrice=0,-LOOKUP(AT5,'Operating Inputs'!$P$248:$P$1430,'Operating Inputs'!$T$248:$T$1430),0)</f>
        <v>0</v>
      </c>
      <c r="AU192" s="229">
        <f>IF(LandPrice=0,-LOOKUP(AU5,'Operating Inputs'!$P$248:$P$1430,'Operating Inputs'!$T$248:$T$1430),0)</f>
        <v>0</v>
      </c>
      <c r="AV192" s="229">
        <f>IF(LandPrice=0,-LOOKUP(AV5,'Operating Inputs'!$P$248:$P$1430,'Operating Inputs'!$T$248:$T$1430),0)</f>
        <v>0</v>
      </c>
      <c r="AW192" s="229">
        <f>IF(LandPrice=0,-LOOKUP(AW5,'Operating Inputs'!$P$248:$P$1430,'Operating Inputs'!$T$248:$T$1430),0)</f>
        <v>0</v>
      </c>
      <c r="AX192" s="229">
        <f>IF(LandPrice=0,-LOOKUP(AX5,'Operating Inputs'!$P$248:$P$1430,'Operating Inputs'!$T$248:$T$1430),0)</f>
        <v>0</v>
      </c>
      <c r="AY192" s="229">
        <f>IF(LandPrice=0,-LOOKUP(AY5,'Operating Inputs'!$P$248:$P$1430,'Operating Inputs'!$T$248:$T$1430),0)</f>
        <v>0</v>
      </c>
      <c r="AZ192" s="229">
        <f>IF(LandPrice=0,-LOOKUP(AZ5,'Operating Inputs'!$P$248:$P$1430,'Operating Inputs'!$T$248:$T$1430),0)</f>
        <v>0</v>
      </c>
      <c r="BA192" s="229">
        <f>IF(LandPrice=0,-LOOKUP(BA5,'Operating Inputs'!$P$248:$P$1430,'Operating Inputs'!$T$248:$T$1430),0)</f>
        <v>0</v>
      </c>
      <c r="BB192" s="229">
        <f>IF(LandPrice=0,-LOOKUP(BB5,'Operating Inputs'!$P$248:$P$1430,'Operating Inputs'!$T$248:$T$1430),0)</f>
        <v>0</v>
      </c>
      <c r="BC192" s="229">
        <f>IF(LandPrice=0,-LOOKUP(BC5,'Operating Inputs'!$P$248:$P$1430,'Operating Inputs'!$T$248:$T$1430),0)</f>
        <v>0</v>
      </c>
      <c r="BD192" s="229">
        <f>IF(LandPrice=0,-LOOKUP(BD5,'Operating Inputs'!$P$248:$P$1430,'Operating Inputs'!$T$248:$T$1430),0)</f>
        <v>0</v>
      </c>
      <c r="BE192" s="229">
        <f>IF(LandPrice=0,-LOOKUP(BE5,'Operating Inputs'!$P$248:$P$1430,'Operating Inputs'!$T$248:$T$1430),0)</f>
        <v>0</v>
      </c>
      <c r="BF192" s="229">
        <f>IF(LandPrice=0,-LOOKUP(BF5,'Operating Inputs'!$P$248:$P$1430,'Operating Inputs'!$T$248:$T$1430),0)</f>
        <v>0</v>
      </c>
      <c r="BG192" s="229">
        <f>IF(LandPrice=0,-LOOKUP(BG5,'Operating Inputs'!$P$248:$P$1430,'Operating Inputs'!$T$248:$T$1430),0)</f>
        <v>0</v>
      </c>
      <c r="BH192" s="229">
        <f>IF(LandPrice=0,-LOOKUP(BH5,'Operating Inputs'!$P$248:$P$1430,'Operating Inputs'!$T$248:$T$1430),0)</f>
        <v>0</v>
      </c>
      <c r="BI192" s="229">
        <f>IF(LandPrice=0,-LOOKUP(BI5,'Operating Inputs'!$P$248:$P$1430,'Operating Inputs'!$T$248:$T$1430),0)</f>
        <v>0</v>
      </c>
      <c r="BJ192" s="229">
        <f>IF(LandPrice=0,-LOOKUP(BJ5,'Operating Inputs'!$P$248:$P$1430,'Operating Inputs'!$T$248:$T$1430),0)</f>
        <v>0</v>
      </c>
      <c r="BK192" s="229">
        <f>IF(LandPrice=0,-LOOKUP(BK5,'Operating Inputs'!$P$248:$P$1430,'Operating Inputs'!$T$248:$T$1430),0)</f>
        <v>0</v>
      </c>
      <c r="BL192" s="229">
        <f>IF(LandPrice=0,-LOOKUP(BL5,'Operating Inputs'!$P$248:$P$1430,'Operating Inputs'!$T$248:$T$1430),0)</f>
        <v>0</v>
      </c>
      <c r="BM192" s="229">
        <f>IF(LandPrice=0,-LOOKUP(BM5,'Operating Inputs'!$P$248:$P$1430,'Operating Inputs'!$T$248:$T$1430),0)</f>
        <v>0</v>
      </c>
      <c r="BN192" s="229">
        <f>IF(LandPrice=0,-LOOKUP(BN5,'Operating Inputs'!$P$248:$P$1430,'Operating Inputs'!$T$248:$T$1430),0)</f>
        <v>0</v>
      </c>
      <c r="BO192" s="229">
        <f>IF(LandPrice=0,-LOOKUP(BO5,'Operating Inputs'!$P$248:$P$1430,'Operating Inputs'!$T$248:$T$1430),0)</f>
        <v>0</v>
      </c>
      <c r="BP192" s="229">
        <f>IF(LandPrice=0,-LOOKUP(BP5,'Operating Inputs'!$P$248:$P$1430,'Operating Inputs'!$T$248:$T$1430),0)</f>
        <v>0</v>
      </c>
      <c r="BQ192" s="229">
        <f>IF(LandPrice=0,-LOOKUP(BQ5,'Operating Inputs'!$P$248:$P$1430,'Operating Inputs'!$T$248:$T$1430),0)</f>
        <v>0</v>
      </c>
      <c r="BR192" s="229">
        <f>IF(LandPrice=0,-LOOKUP(BR5,'Operating Inputs'!$P$248:$P$1430,'Operating Inputs'!$T$248:$T$1430),0)</f>
        <v>0</v>
      </c>
      <c r="BS192" s="229">
        <f>IF(LandPrice=0,-LOOKUP(BS5,'Operating Inputs'!$P$248:$P$1430,'Operating Inputs'!$T$248:$T$1430),0)</f>
        <v>0</v>
      </c>
      <c r="BT192" s="229">
        <f>IF(LandPrice=0,-LOOKUP(BT5,'Operating Inputs'!$P$248:$P$1430,'Operating Inputs'!$T$248:$T$1430),0)</f>
        <v>0</v>
      </c>
      <c r="BU192" s="229">
        <f>IF(LandPrice=0,-LOOKUP(BU5,'Operating Inputs'!$P$248:$P$1430,'Operating Inputs'!$T$248:$T$1430),0)</f>
        <v>0</v>
      </c>
      <c r="BV192" s="229">
        <f>IF(LandPrice=0,-LOOKUP(BV5,'Operating Inputs'!$P$248:$P$1430,'Operating Inputs'!$T$248:$T$1430),0)</f>
        <v>0</v>
      </c>
      <c r="BW192" s="229">
        <f>IF(LandPrice=0,-LOOKUP(BW5,'Operating Inputs'!$P$248:$P$1430,'Operating Inputs'!$T$248:$T$1430),0)</f>
        <v>0</v>
      </c>
      <c r="BX192" s="229">
        <f>IF(LandPrice=0,-LOOKUP(BX5,'Operating Inputs'!$P$248:$P$1430,'Operating Inputs'!$T$248:$T$1430),0)</f>
        <v>0</v>
      </c>
      <c r="BY192" s="229">
        <f>IF(LandPrice=0,-LOOKUP(BY5,'Operating Inputs'!$P$248:$P$1430,'Operating Inputs'!$T$248:$T$1430),0)</f>
        <v>0</v>
      </c>
      <c r="BZ192" s="229">
        <f>IF(LandPrice=0,-LOOKUP(BZ5,'Operating Inputs'!$P$248:$P$1430,'Operating Inputs'!$T$248:$T$1430),0)</f>
        <v>0</v>
      </c>
      <c r="CA192" s="229">
        <f>IF(LandPrice=0,-LOOKUP(CA5,'Operating Inputs'!$P$248:$P$1430,'Operating Inputs'!$T$248:$T$1430),0)</f>
        <v>0</v>
      </c>
      <c r="CB192" s="229">
        <f>IF(LandPrice=0,-LOOKUP(CB5,'Operating Inputs'!$P$248:$P$1430,'Operating Inputs'!$T$248:$T$1430),0)</f>
        <v>0</v>
      </c>
      <c r="CC192" s="229">
        <f>IF(LandPrice=0,-LOOKUP(CC5,'Operating Inputs'!$P$248:$P$1430,'Operating Inputs'!$T$248:$T$1430),0)</f>
        <v>0</v>
      </c>
      <c r="CD192" s="229">
        <f>IF(LandPrice=0,-LOOKUP(CD5,'Operating Inputs'!$P$248:$P$1430,'Operating Inputs'!$T$248:$T$1430),0)</f>
        <v>0</v>
      </c>
      <c r="CE192" s="229">
        <f>IF(LandPrice=0,-LOOKUP(CE5,'Operating Inputs'!$P$248:$P$1430,'Operating Inputs'!$T$248:$T$1430),0)</f>
        <v>0</v>
      </c>
      <c r="CF192" s="229">
        <f>IF(LandPrice=0,-LOOKUP(CF5,'Operating Inputs'!$P$248:$P$1430,'Operating Inputs'!$T$248:$T$1430),0)</f>
        <v>0</v>
      </c>
      <c r="CG192" s="229">
        <f>IF(LandPrice=0,-LOOKUP(CG5,'Operating Inputs'!$P$248:$P$1430,'Operating Inputs'!$T$248:$T$1430),0)</f>
        <v>0</v>
      </c>
      <c r="CH192" s="229">
        <f>IF(LandPrice=0,-LOOKUP(CH5,'Operating Inputs'!$P$248:$P$1430,'Operating Inputs'!$T$248:$T$1430),0)</f>
        <v>0</v>
      </c>
      <c r="CI192" s="229">
        <f>IF(LandPrice=0,-LOOKUP(CI5,'Operating Inputs'!$P$248:$P$1430,'Operating Inputs'!$T$248:$T$1430),0)</f>
        <v>0</v>
      </c>
      <c r="CJ192" s="229">
        <f>IF(LandPrice=0,-LOOKUP(CJ5,'Operating Inputs'!$P$248:$P$1430,'Operating Inputs'!$T$248:$T$1430),0)</f>
        <v>0</v>
      </c>
      <c r="CK192" s="229">
        <f>IF(LandPrice=0,-LOOKUP(CK5,'Operating Inputs'!$P$248:$P$1430,'Operating Inputs'!$T$248:$T$1430),0)</f>
        <v>0</v>
      </c>
      <c r="CL192" s="229">
        <f>IF(LandPrice=0,-LOOKUP(CL5,'Operating Inputs'!$P$248:$P$1430,'Operating Inputs'!$T$248:$T$1430),0)</f>
        <v>0</v>
      </c>
      <c r="CM192" s="229">
        <f>IF(LandPrice=0,-LOOKUP(CM5,'Operating Inputs'!$P$248:$P$1430,'Operating Inputs'!$T$248:$T$1430),0)</f>
        <v>0</v>
      </c>
      <c r="CN192" s="229">
        <f>IF(LandPrice=0,-LOOKUP(CN5,'Operating Inputs'!$P$248:$P$1430,'Operating Inputs'!$T$248:$T$1430),0)</f>
        <v>0</v>
      </c>
      <c r="CO192" s="229">
        <f>IF(LandPrice=0,-LOOKUP(CO5,'Operating Inputs'!$P$248:$P$1430,'Operating Inputs'!$T$248:$T$1430),0)</f>
        <v>0</v>
      </c>
      <c r="CP192" s="229">
        <f>IF(LandPrice=0,-LOOKUP(CP5,'Operating Inputs'!$P$248:$P$1430,'Operating Inputs'!$T$248:$T$1430),0)</f>
        <v>0</v>
      </c>
      <c r="CQ192" s="229">
        <f>IF(LandPrice=0,-LOOKUP(CQ5,'Operating Inputs'!$P$248:$P$1430,'Operating Inputs'!$T$248:$T$1430),0)</f>
        <v>0</v>
      </c>
      <c r="CR192" s="229">
        <f>IF(LandPrice=0,-LOOKUP(CR5,'Operating Inputs'!$P$248:$P$1430,'Operating Inputs'!$T$248:$T$1430),0)</f>
        <v>0</v>
      </c>
      <c r="CS192" s="229">
        <f>IF(LandPrice=0,-LOOKUP(CS5,'Operating Inputs'!$P$248:$P$1430,'Operating Inputs'!$T$248:$T$1430),0)</f>
        <v>0</v>
      </c>
      <c r="CT192" s="229">
        <f>IF(LandPrice=0,-LOOKUP(CT5,'Operating Inputs'!$P$248:$P$1430,'Operating Inputs'!$T$248:$T$1430),0)</f>
        <v>0</v>
      </c>
      <c r="CU192" s="229">
        <f>IF(LandPrice=0,-LOOKUP(CU5,'Operating Inputs'!$P$248:$P$1430,'Operating Inputs'!$T$248:$T$1430),0)</f>
        <v>0</v>
      </c>
      <c r="CV192" s="229">
        <f>IF(LandPrice=0,-LOOKUP(CV5,'Operating Inputs'!$P$248:$P$1430,'Operating Inputs'!$T$248:$T$1430),0)</f>
        <v>0</v>
      </c>
      <c r="CW192" s="229">
        <f>IF(LandPrice=0,-LOOKUP(CW5,'Operating Inputs'!$P$248:$P$1430,'Operating Inputs'!$T$248:$T$1430),0)</f>
        <v>0</v>
      </c>
      <c r="CX192" s="229">
        <f>IF(LandPrice=0,-LOOKUP(CX5,'Operating Inputs'!$P$248:$P$1430,'Operating Inputs'!$T$248:$T$1430),0)</f>
        <v>0</v>
      </c>
      <c r="CY192" s="229">
        <f>IF(LandPrice=0,-LOOKUP(CY5,'Operating Inputs'!$P$248:$P$1430,'Operating Inputs'!$T$248:$T$1430),0)</f>
        <v>0</v>
      </c>
      <c r="CZ192" s="229">
        <f>IF(LandPrice=0,-LOOKUP(CZ5,'Operating Inputs'!$P$248:$P$1430,'Operating Inputs'!$T$248:$T$1430),0)</f>
        <v>0</v>
      </c>
      <c r="DA192" s="229">
        <f>IF(LandPrice=0,-LOOKUP(DA5,'Operating Inputs'!$P$248:$P$1430,'Operating Inputs'!$T$248:$T$1430),0)</f>
        <v>0</v>
      </c>
      <c r="DB192" s="229">
        <f>IF(LandPrice=0,-LOOKUP(DB5,'Operating Inputs'!$P$248:$P$1430,'Operating Inputs'!$T$248:$T$1430),0)</f>
        <v>0</v>
      </c>
      <c r="DC192" s="229">
        <f>IF(LandPrice=0,-LOOKUP(DC5,'Operating Inputs'!$P$248:$P$1430,'Operating Inputs'!$T$248:$T$1430),0)</f>
        <v>0</v>
      </c>
      <c r="DD192" s="229">
        <f>IF(LandPrice=0,-LOOKUP(DD5,'Operating Inputs'!$P$248:$P$1430,'Operating Inputs'!$T$248:$T$1430),0)</f>
        <v>0</v>
      </c>
      <c r="DE192" s="229">
        <f>IF(LandPrice=0,-LOOKUP(DE5,'Operating Inputs'!$P$248:$P$1430,'Operating Inputs'!$T$248:$T$1430),0)</f>
        <v>0</v>
      </c>
      <c r="DF192" s="229">
        <f>IF(LandPrice=0,-LOOKUP(DF5,'Operating Inputs'!$P$248:$P$1430,'Operating Inputs'!$T$248:$T$1430),0)</f>
        <v>0</v>
      </c>
      <c r="DG192" s="229">
        <f>IF(LandPrice=0,-LOOKUP(DG5,'Operating Inputs'!$P$248:$P$1430,'Operating Inputs'!$T$248:$T$1430),0)</f>
        <v>0</v>
      </c>
      <c r="DH192" s="229">
        <f>IF(LandPrice=0,-LOOKUP(DH5,'Operating Inputs'!$P$248:$P$1430,'Operating Inputs'!$T$248:$T$1430),0)</f>
        <v>0</v>
      </c>
      <c r="DI192" s="229">
        <f>IF(LandPrice=0,-LOOKUP(DI5,'Operating Inputs'!$P$248:$P$1430,'Operating Inputs'!$T$248:$T$1430),0)</f>
        <v>0</v>
      </c>
      <c r="DJ192" s="229">
        <f>IF(LandPrice=0,-LOOKUP(DJ5,'Operating Inputs'!$P$248:$P$1430,'Operating Inputs'!$T$248:$T$1430),0)</f>
        <v>0</v>
      </c>
      <c r="DK192" s="229">
        <f>IF(LandPrice=0,-LOOKUP(DK5,'Operating Inputs'!$P$248:$P$1430,'Operating Inputs'!$T$248:$T$1430),0)</f>
        <v>0</v>
      </c>
      <c r="DL192" s="229">
        <f>IF(LandPrice=0,-LOOKUP(DL5,'Operating Inputs'!$P$248:$P$1430,'Operating Inputs'!$T$248:$T$1430),0)</f>
        <v>0</v>
      </c>
      <c r="DM192" s="229">
        <f>IF(LandPrice=0,-LOOKUP(DM5,'Operating Inputs'!$P$248:$P$1430,'Operating Inputs'!$T$248:$T$1430),0)</f>
        <v>0</v>
      </c>
      <c r="DN192" s="229">
        <f>IF(LandPrice=0,-LOOKUP(DN5,'Operating Inputs'!$P$248:$P$1430,'Operating Inputs'!$T$248:$T$1430),0)</f>
        <v>0</v>
      </c>
      <c r="DO192" s="229">
        <f>IF(LandPrice=0,-LOOKUP(DO5,'Operating Inputs'!$P$248:$P$1430,'Operating Inputs'!$T$248:$T$1430),0)</f>
        <v>0</v>
      </c>
      <c r="DP192" s="229">
        <f>IF(LandPrice=0,-LOOKUP(DP5,'Operating Inputs'!$P$248:$P$1430,'Operating Inputs'!$T$248:$T$1430),0)</f>
        <v>0</v>
      </c>
      <c r="DQ192" s="229">
        <f>IF(LandPrice=0,-LOOKUP(DQ5,'Operating Inputs'!$P$248:$P$1430,'Operating Inputs'!$T$248:$T$1430),0)</f>
        <v>0</v>
      </c>
      <c r="DR192" s="229">
        <f>IF(LandPrice=0,-LOOKUP(DR5,'Operating Inputs'!$P$248:$P$1430,'Operating Inputs'!$T$248:$T$1430),0)</f>
        <v>0</v>
      </c>
      <c r="DS192" s="229">
        <f>IF(LandPrice=0,-LOOKUP(DS5,'Operating Inputs'!$P$248:$P$1430,'Operating Inputs'!$T$248:$T$1430),0)</f>
        <v>0</v>
      </c>
      <c r="DT192" s="229">
        <f>IF(LandPrice=0,-LOOKUP(DT5,'Operating Inputs'!$P$248:$P$1430,'Operating Inputs'!$T$248:$T$1430),0)</f>
        <v>0</v>
      </c>
      <c r="DU192" s="229">
        <f>IF(LandPrice=0,-LOOKUP(DU5,'Operating Inputs'!$P$248:$P$1430,'Operating Inputs'!$T$248:$T$1430),0)</f>
        <v>0</v>
      </c>
      <c r="EH192" s="644"/>
      <c r="EI192" s="280"/>
    </row>
    <row r="193" spans="1:141" x14ac:dyDescent="0.3">
      <c r="A193" t="s">
        <v>849</v>
      </c>
      <c r="D193" s="282"/>
      <c r="E193" s="712"/>
      <c r="F193" s="712"/>
      <c r="G193" s="712"/>
      <c r="H193" s="712"/>
      <c r="I193" s="712"/>
      <c r="J193" s="712"/>
      <c r="K193" s="712"/>
      <c r="L193" s="712"/>
      <c r="M193" s="712"/>
      <c r="N193" s="712"/>
      <c r="O193" s="712"/>
      <c r="P193" s="712"/>
      <c r="Q193" s="229">
        <f t="shared" ref="Q193:AN193" ca="1" si="294">-(Q18+Q24+Q38)</f>
        <v>-9733199.8629999999</v>
      </c>
      <c r="R193" s="229">
        <f t="shared" ca="1" si="294"/>
        <v>-13808090.988</v>
      </c>
      <c r="S193" s="229">
        <f t="shared" ca="1" si="294"/>
        <v>-17622260.153000001</v>
      </c>
      <c r="T193" s="229">
        <f t="shared" ca="1" si="294"/>
        <v>-21329502.300000001</v>
      </c>
      <c r="U193" s="229">
        <f t="shared" ca="1" si="294"/>
        <v>-24768144.386</v>
      </c>
      <c r="V193" s="229">
        <f t="shared" ca="1" si="294"/>
        <v>-27869886.265000001</v>
      </c>
      <c r="W193" s="229">
        <f t="shared" ca="1" si="294"/>
        <v>-30955999.098000001</v>
      </c>
      <c r="X193" s="229">
        <f t="shared" ca="1" si="294"/>
        <v>-33796813.004000001</v>
      </c>
      <c r="Y193" s="229">
        <f t="shared" ca="1" si="294"/>
        <v>-36204153.247000001</v>
      </c>
      <c r="Z193" s="229">
        <f t="shared" ca="1" si="294"/>
        <v>-38271070.438000001</v>
      </c>
      <c r="AA193" s="229">
        <f t="shared" ca="1" si="294"/>
        <v>-40007220.784000002</v>
      </c>
      <c r="AB193" s="229">
        <f t="shared" ca="1" si="294"/>
        <v>-41209308.363000005</v>
      </c>
      <c r="AC193" s="229">
        <f t="shared" ca="1" si="294"/>
        <v>-42200089.103000008</v>
      </c>
      <c r="AD193" s="229">
        <f t="shared" ca="1" si="294"/>
        <v>-42877793.387000009</v>
      </c>
      <c r="AE193" s="229">
        <f t="shared" ca="1" si="294"/>
        <v>-42877793.387000009</v>
      </c>
      <c r="AF193" s="229">
        <f t="shared" ca="1" si="294"/>
        <v>-42877793.387000009</v>
      </c>
      <c r="AG193" s="229">
        <f t="shared" ca="1" si="294"/>
        <v>-42877793.387000009</v>
      </c>
      <c r="AH193" s="229">
        <f t="shared" ca="1" si="294"/>
        <v>-43199376.838609651</v>
      </c>
      <c r="AI193" s="229">
        <f t="shared" ca="1" si="294"/>
        <v>-43158534.145411938</v>
      </c>
      <c r="AJ193" s="229">
        <f t="shared" ca="1" si="294"/>
        <v>-43117478.097813144</v>
      </c>
      <c r="AK193" s="229">
        <f t="shared" ca="1" si="294"/>
        <v>-43076207.581290767</v>
      </c>
      <c r="AL193" s="229">
        <f t="shared" ca="1" si="294"/>
        <v>-43034721.475500263</v>
      </c>
      <c r="AM193" s="229">
        <f t="shared" ca="1" si="294"/>
        <v>-42993018.654244609</v>
      </c>
      <c r="AN193" s="229">
        <f t="shared" ca="1" si="294"/>
        <v>-42951097.985443756</v>
      </c>
      <c r="AO193" s="229">
        <f ca="1">-(AO18+AO24+AO38)</f>
        <v>-42908958.331103884</v>
      </c>
      <c r="AP193" s="229">
        <f t="shared" ref="AP193:DA193" ca="1" si="295">-(AP18+AP24+AP38)</f>
        <v>-42866598.54728651</v>
      </c>
      <c r="AQ193" s="229">
        <f t="shared" ca="1" si="295"/>
        <v>-42824017.484077431</v>
      </c>
      <c r="AR193" s="229">
        <f t="shared" ca="1" si="295"/>
        <v>-42781213.985555522</v>
      </c>
      <c r="AS193" s="229">
        <f t="shared" ca="1" si="295"/>
        <v>-42738186.889761336</v>
      </c>
      <c r="AT193" s="229">
        <f t="shared" ca="1" si="295"/>
        <v>-42694935.02866558</v>
      </c>
      <c r="AU193" s="229">
        <f t="shared" ca="1" si="295"/>
        <v>-42651457.228137404</v>
      </c>
      <c r="AV193" s="229">
        <f t="shared" ca="1" si="295"/>
        <v>-42607752.307912514</v>
      </c>
      <c r="AW193" s="229">
        <f t="shared" ca="1" si="295"/>
        <v>-42563819.081561141</v>
      </c>
      <c r="AX193" s="229">
        <f t="shared" ca="1" si="295"/>
        <v>-42519656.356455848</v>
      </c>
      <c r="AY193" s="229">
        <f t="shared" ca="1" si="295"/>
        <v>-42475262.933739126</v>
      </c>
      <c r="AZ193" s="229">
        <f t="shared" ca="1" si="295"/>
        <v>-42430637.608290866</v>
      </c>
      <c r="BA193" s="229">
        <f t="shared" ca="1" si="295"/>
        <v>-42385779.168695651</v>
      </c>
      <c r="BB193" s="229">
        <f t="shared" ca="1" si="295"/>
        <v>-42340686.39720986</v>
      </c>
      <c r="BC193" s="229">
        <f t="shared" ca="1" si="295"/>
        <v>-42295358.069728613</v>
      </c>
      <c r="BD193" s="229">
        <f t="shared" ca="1" si="295"/>
        <v>-42249792.955752529</v>
      </c>
      <c r="BE193" s="229">
        <f t="shared" ca="1" si="295"/>
        <v>-42203989.818354346</v>
      </c>
      <c r="BF193" s="229">
        <f t="shared" ca="1" si="295"/>
        <v>-42157947.414145336</v>
      </c>
      <c r="BG193" s="229">
        <f t="shared" ca="1" si="295"/>
        <v>-42111664.493241526</v>
      </c>
      <c r="BH193" s="229">
        <f t="shared" ca="1" si="295"/>
        <v>-42065139.799229808</v>
      </c>
      <c r="BI193" s="229">
        <f t="shared" ca="1" si="295"/>
        <v>-42018372.069133811</v>
      </c>
      <c r="BJ193" s="229">
        <f t="shared" ca="1" si="295"/>
        <v>-41971360.033379607</v>
      </c>
      <c r="BK193" s="229">
        <f t="shared" ca="1" si="295"/>
        <v>-41924102.415761262</v>
      </c>
      <c r="BL193" s="229">
        <f t="shared" ca="1" si="295"/>
        <v>-41876597.933406189</v>
      </c>
      <c r="BM193" s="229">
        <f t="shared" ca="1" si="295"/>
        <v>-41828845.296740316</v>
      </c>
      <c r="BN193" s="229">
        <f t="shared" ca="1" si="295"/>
        <v>-41780843.209453091</v>
      </c>
      <c r="BO193" s="229">
        <f t="shared" ca="1" si="295"/>
        <v>-41732590.368462279</v>
      </c>
      <c r="BP193" s="229">
        <f t="shared" ca="1" si="295"/>
        <v>-41684085.463878594</v>
      </c>
      <c r="BQ193" s="229">
        <f t="shared" ca="1" si="295"/>
        <v>-41635327.178970136</v>
      </c>
      <c r="BR193" s="229">
        <f t="shared" ca="1" si="295"/>
        <v>-41586314.19012665</v>
      </c>
      <c r="BS193" s="229">
        <f t="shared" ca="1" si="295"/>
        <v>-41537045.166823603</v>
      </c>
      <c r="BT193" s="229">
        <f t="shared" ca="1" si="295"/>
        <v>-41487518.771586053</v>
      </c>
      <c r="BU193" s="229">
        <f t="shared" ca="1" si="295"/>
        <v>-41437733.659952343</v>
      </c>
      <c r="BV193" s="229">
        <f t="shared" ca="1" si="295"/>
        <v>-41387688.480437599</v>
      </c>
      <c r="BW193" s="229">
        <f t="shared" ca="1" si="295"/>
        <v>-41337381.874497063</v>
      </c>
      <c r="BX193" s="229">
        <f t="shared" ca="1" si="295"/>
        <v>-41286812.476489194</v>
      </c>
      <c r="BY193" s="229">
        <f t="shared" ca="1" si="295"/>
        <v>-41235978.913638599</v>
      </c>
      <c r="BZ193" s="229">
        <f t="shared" ca="1" si="295"/>
        <v>-41184879.805998772</v>
      </c>
      <c r="CA193" s="229">
        <f t="shared" ca="1" si="295"/>
        <v>-41133513.766414635</v>
      </c>
      <c r="CB193" s="229">
        <f t="shared" ca="1" si="295"/>
        <v>-41081879.400484867</v>
      </c>
      <c r="CC193" s="229">
        <f t="shared" ca="1" si="295"/>
        <v>-41029975.306524068</v>
      </c>
      <c r="CD193" s="229">
        <f t="shared" ca="1" si="295"/>
        <v>-40977800.075524703</v>
      </c>
      <c r="CE193" s="229">
        <f t="shared" ca="1" si="295"/>
        <v>-40925352.291118845</v>
      </c>
      <c r="CF193" s="229">
        <f t="shared" ca="1" si="295"/>
        <v>-40872630.529539749</v>
      </c>
      <c r="CG193" s="229">
        <f t="shared" ca="1" si="295"/>
        <v>-40819633.359583162</v>
      </c>
      <c r="CH193" s="229">
        <f t="shared" ca="1" si="295"/>
        <v>-40766359.342568517</v>
      </c>
      <c r="CI193" s="229">
        <f t="shared" ca="1" si="295"/>
        <v>-40712807.032299839</v>
      </c>
      <c r="CJ193" s="229">
        <f t="shared" ca="1" si="295"/>
        <v>-40658974.975026511</v>
      </c>
      <c r="CK193" s="229">
        <f t="shared" ca="1" si="295"/>
        <v>-40604861.709403798</v>
      </c>
      <c r="CL193" s="229">
        <f t="shared" ca="1" si="295"/>
        <v>-40550465.766453184</v>
      </c>
      <c r="CM193" s="229">
        <f t="shared" ca="1" si="295"/>
        <v>-40495785.669522479</v>
      </c>
      <c r="CN193" s="229">
        <f t="shared" ca="1" si="295"/>
        <v>-40440819.934245765</v>
      </c>
      <c r="CO193" s="229">
        <f t="shared" ca="1" si="295"/>
        <v>-40385567.068503059</v>
      </c>
      <c r="CP193" s="229">
        <f t="shared" ca="1" si="295"/>
        <v>-40330025.57237985</v>
      </c>
      <c r="CQ193" s="229">
        <f t="shared" ca="1" si="295"/>
        <v>-40274193.938126348</v>
      </c>
      <c r="CR193" s="229">
        <f t="shared" ca="1" si="295"/>
        <v>-40218070.65011657</v>
      </c>
      <c r="CS193" s="229">
        <f t="shared" ca="1" si="295"/>
        <v>-40161654.184807189</v>
      </c>
      <c r="CT193" s="229">
        <f t="shared" ca="1" si="295"/>
        <v>-40104943.010696188</v>
      </c>
      <c r="CU193" s="229">
        <f t="shared" ca="1" si="295"/>
        <v>-40047935.588281274</v>
      </c>
      <c r="CV193" s="229">
        <f t="shared" ca="1" si="295"/>
        <v>-39990630.370018087</v>
      </c>
      <c r="CW193" s="229">
        <f t="shared" ca="1" si="295"/>
        <v>-39933025.800278194</v>
      </c>
      <c r="CX193" s="229">
        <f t="shared" ca="1" si="295"/>
        <v>-39875120.315306857</v>
      </c>
      <c r="CY193" s="229">
        <f t="shared" ca="1" si="295"/>
        <v>-39816912.343180582</v>
      </c>
      <c r="CZ193" s="229">
        <f t="shared" ca="1" si="295"/>
        <v>-39758400.30376444</v>
      </c>
      <c r="DA193" s="229">
        <f t="shared" ca="1" si="295"/>
        <v>-39699582.608669199</v>
      </c>
      <c r="DB193" s="229">
        <f t="shared" ref="DB193:DU193" ca="1" si="296">-(DB18+DB24+DB38)</f>
        <v>-39640457.661208175</v>
      </c>
      <c r="DC193" s="229">
        <f t="shared" ca="1" si="296"/>
        <v>-39581023.856353894</v>
      </c>
      <c r="DD193" s="229">
        <f t="shared" ca="1" si="296"/>
        <v>-39521279.580694534</v>
      </c>
      <c r="DE193" s="229">
        <f t="shared" ca="1" si="296"/>
        <v>-39461223.212390117</v>
      </c>
      <c r="DF193" s="229">
        <f t="shared" ca="1" si="296"/>
        <v>-39400853.121128477</v>
      </c>
      <c r="DG193" s="229">
        <f t="shared" ca="1" si="296"/>
        <v>-39340167.668081023</v>
      </c>
      <c r="DH193" s="229">
        <f t="shared" ca="1" si="296"/>
        <v>-39279165.205858223</v>
      </c>
      <c r="DI193" s="229">
        <f t="shared" ca="1" si="296"/>
        <v>-39217844.07846491</v>
      </c>
      <c r="DJ193" s="229">
        <f t="shared" ca="1" si="296"/>
        <v>-39156202.621255316</v>
      </c>
      <c r="DK193" s="229">
        <f t="shared" ca="1" si="296"/>
        <v>-39094239.160887867</v>
      </c>
      <c r="DL193" s="229">
        <f t="shared" ca="1" si="296"/>
        <v>-39031952.015279792</v>
      </c>
      <c r="DM193" s="229">
        <f t="shared" ca="1" si="296"/>
        <v>-38969339.493561432</v>
      </c>
      <c r="DN193" s="229">
        <f t="shared" ca="1" si="296"/>
        <v>-38906399.896030344</v>
      </c>
      <c r="DO193" s="229">
        <f t="shared" ca="1" si="296"/>
        <v>-38843131.514105178</v>
      </c>
      <c r="DP193" s="229">
        <f t="shared" ca="1" si="296"/>
        <v>-38779532.630279273</v>
      </c>
      <c r="DQ193" s="229">
        <f t="shared" ca="1" si="296"/>
        <v>-38715601.518074051</v>
      </c>
      <c r="DR193" s="229">
        <f t="shared" ca="1" si="296"/>
        <v>-38651336.441992134</v>
      </c>
      <c r="DS193" s="229">
        <f t="shared" ca="1" si="296"/>
        <v>-38586735.657470234</v>
      </c>
      <c r="DT193" s="229">
        <f t="shared" ca="1" si="296"/>
        <v>-38521797.410831809</v>
      </c>
      <c r="DU193" s="229">
        <f t="shared" ca="1" si="296"/>
        <v>-38456519.939239442</v>
      </c>
      <c r="EH193" s="644"/>
      <c r="EI193" s="722"/>
    </row>
    <row r="194" spans="1:141" x14ac:dyDescent="0.3">
      <c r="A194" t="s">
        <v>2498</v>
      </c>
      <c r="D194" s="282"/>
      <c r="E194" s="712"/>
      <c r="F194" s="712"/>
      <c r="G194" s="712"/>
      <c r="H194" s="712"/>
      <c r="I194" s="712"/>
      <c r="J194" s="712"/>
      <c r="K194" s="712"/>
      <c r="L194" s="712"/>
      <c r="M194" s="712"/>
      <c r="N194" s="712"/>
      <c r="O194" s="712"/>
      <c r="P194" s="712"/>
      <c r="Q194" s="229">
        <f ca="1">-('General Inputs'!$I$22*Q38)</f>
        <v>0</v>
      </c>
      <c r="R194" s="229">
        <f ca="1">-('General Inputs'!$I$22*R38)</f>
        <v>0</v>
      </c>
      <c r="S194" s="229">
        <f ca="1">-('General Inputs'!$I$22*S38)</f>
        <v>0</v>
      </c>
      <c r="T194" s="229">
        <f ca="1">-('General Inputs'!$I$22*T38)</f>
        <v>0</v>
      </c>
      <c r="U194" s="229">
        <f ca="1">-('General Inputs'!$I$22*U38)</f>
        <v>0</v>
      </c>
      <c r="V194" s="229">
        <f ca="1">-('General Inputs'!$I$22*V38)</f>
        <v>0</v>
      </c>
      <c r="W194" s="229">
        <f ca="1">-('General Inputs'!$I$22*W38)</f>
        <v>0</v>
      </c>
      <c r="X194" s="229">
        <f ca="1">-('General Inputs'!$I$22*X38)</f>
        <v>0</v>
      </c>
      <c r="Y194" s="229">
        <f ca="1">-('General Inputs'!$I$22*Y38)</f>
        <v>0</v>
      </c>
      <c r="Z194" s="229">
        <f ca="1">-('General Inputs'!$I$22*Z38)</f>
        <v>0</v>
      </c>
      <c r="AA194" s="229">
        <f ca="1">-('General Inputs'!$I$22*AA38)</f>
        <v>0</v>
      </c>
      <c r="AB194" s="229">
        <f ca="1">-('General Inputs'!$I$22*AB38)</f>
        <v>0</v>
      </c>
      <c r="AC194" s="229">
        <f ca="1">-('General Inputs'!$I$22*AC38)</f>
        <v>0</v>
      </c>
      <c r="AD194" s="229">
        <f ca="1">-('General Inputs'!$I$22*AD38)</f>
        <v>0</v>
      </c>
      <c r="AE194" s="229">
        <f ca="1">-('General Inputs'!$I$22*AE38)</f>
        <v>0</v>
      </c>
      <c r="AF194" s="229">
        <f ca="1">-('General Inputs'!$I$22*AF38)</f>
        <v>0</v>
      </c>
      <c r="AG194" s="229">
        <f ca="1">-('General Inputs'!$I$22*AG38)</f>
        <v>0</v>
      </c>
      <c r="AH194" s="229">
        <f ca="1">-('General Inputs'!$I$22*AH38)</f>
        <v>0</v>
      </c>
      <c r="AI194" s="229">
        <f ca="1">-('General Inputs'!$I$22*AI38)</f>
        <v>0</v>
      </c>
      <c r="AJ194" s="229">
        <f ca="1">-('General Inputs'!$I$22*AJ38)</f>
        <v>0</v>
      </c>
      <c r="AK194" s="229">
        <f ca="1">-('General Inputs'!$I$22*AK38)</f>
        <v>0</v>
      </c>
      <c r="AL194" s="229">
        <f ca="1">-('General Inputs'!$I$22*AL38)</f>
        <v>0</v>
      </c>
      <c r="AM194" s="229">
        <f ca="1">-('General Inputs'!$I$22*AM38)</f>
        <v>0</v>
      </c>
      <c r="AN194" s="229">
        <f ca="1">-('General Inputs'!$I$22*AN38)</f>
        <v>0</v>
      </c>
      <c r="AO194" s="229">
        <f ca="1">-('General Inputs'!$I$22*AO38)</f>
        <v>0</v>
      </c>
      <c r="AP194" s="229">
        <f ca="1">-('General Inputs'!$I$22*AP38)</f>
        <v>0</v>
      </c>
      <c r="AQ194" s="229">
        <f ca="1">-('General Inputs'!$I$22*AQ38)</f>
        <v>0</v>
      </c>
      <c r="AR194" s="229">
        <f ca="1">-('General Inputs'!$I$22*AR38)</f>
        <v>0</v>
      </c>
      <c r="AS194" s="229">
        <f ca="1">-('General Inputs'!$I$22*AS38)</f>
        <v>0</v>
      </c>
      <c r="AT194" s="229">
        <f ca="1">-('General Inputs'!$I$22*AT38)</f>
        <v>0</v>
      </c>
      <c r="AU194" s="229">
        <f ca="1">-('General Inputs'!$I$22*AU38)</f>
        <v>0</v>
      </c>
      <c r="AV194" s="229">
        <f ca="1">-('General Inputs'!$I$22*AV38)</f>
        <v>0</v>
      </c>
      <c r="AW194" s="229">
        <f ca="1">-('General Inputs'!$I$22*AW38)</f>
        <v>0</v>
      </c>
      <c r="AX194" s="229">
        <f ca="1">-('General Inputs'!$I$22*AX38)</f>
        <v>0</v>
      </c>
      <c r="AY194" s="229">
        <f ca="1">-('General Inputs'!$I$22*AY38)</f>
        <v>0</v>
      </c>
      <c r="AZ194" s="229">
        <f ca="1">-('General Inputs'!$I$22*AZ38)</f>
        <v>0</v>
      </c>
      <c r="BA194" s="229">
        <f ca="1">-('General Inputs'!$I$22*BA38)</f>
        <v>0</v>
      </c>
      <c r="BB194" s="229">
        <f ca="1">-('General Inputs'!$I$22*BB38)</f>
        <v>0</v>
      </c>
      <c r="BC194" s="229">
        <f ca="1">-('General Inputs'!$I$22*BC38)</f>
        <v>0</v>
      </c>
      <c r="BD194" s="229">
        <f ca="1">-('General Inputs'!$I$22*BD38)</f>
        <v>0</v>
      </c>
      <c r="BE194" s="229">
        <f ca="1">-('General Inputs'!$I$22*BE38)</f>
        <v>0</v>
      </c>
      <c r="BF194" s="229">
        <f ca="1">-('General Inputs'!$I$22*BF38)</f>
        <v>0</v>
      </c>
      <c r="BG194" s="229">
        <f ca="1">-('General Inputs'!$I$22*BG38)</f>
        <v>0</v>
      </c>
      <c r="BH194" s="229">
        <f ca="1">-('General Inputs'!$I$22*BH38)</f>
        <v>0</v>
      </c>
      <c r="BI194" s="229">
        <f ca="1">-('General Inputs'!$I$22*BI38)</f>
        <v>0</v>
      </c>
      <c r="BJ194" s="229">
        <f ca="1">-('General Inputs'!$I$22*BJ38)</f>
        <v>0</v>
      </c>
      <c r="BK194" s="229">
        <f ca="1">-('General Inputs'!$I$22*BK38)</f>
        <v>0</v>
      </c>
      <c r="BL194" s="229">
        <f ca="1">-('General Inputs'!$I$22*BL38)</f>
        <v>0</v>
      </c>
      <c r="BM194" s="229">
        <f ca="1">-('General Inputs'!$I$22*BM38)</f>
        <v>0</v>
      </c>
      <c r="BN194" s="229">
        <f ca="1">-('General Inputs'!$I$22*BN38)</f>
        <v>0</v>
      </c>
      <c r="BO194" s="229">
        <f ca="1">-('General Inputs'!$I$22*BO38)</f>
        <v>0</v>
      </c>
      <c r="BP194" s="229">
        <f ca="1">-('General Inputs'!$I$22*BP38)</f>
        <v>0</v>
      </c>
      <c r="BQ194" s="229">
        <f ca="1">-('General Inputs'!$I$22*BQ38)</f>
        <v>0</v>
      </c>
      <c r="BR194" s="229">
        <f ca="1">-('General Inputs'!$I$22*BR38)</f>
        <v>0</v>
      </c>
      <c r="BS194" s="229">
        <f ca="1">-('General Inputs'!$I$22*BS38)</f>
        <v>0</v>
      </c>
      <c r="BT194" s="229">
        <f ca="1">-('General Inputs'!$I$22*BT38)</f>
        <v>0</v>
      </c>
      <c r="BU194" s="229">
        <f ca="1">-('General Inputs'!$I$22*BU38)</f>
        <v>0</v>
      </c>
      <c r="BV194" s="229">
        <f ca="1">-('General Inputs'!$I$22*BV38)</f>
        <v>0</v>
      </c>
      <c r="BW194" s="229">
        <f ca="1">-('General Inputs'!$I$22*BW38)</f>
        <v>0</v>
      </c>
      <c r="BX194" s="229">
        <f ca="1">-('General Inputs'!$I$22*BX38)</f>
        <v>0</v>
      </c>
      <c r="BY194" s="229">
        <f ca="1">-('General Inputs'!$I$22*BY38)</f>
        <v>0</v>
      </c>
      <c r="BZ194" s="229">
        <f ca="1">-('General Inputs'!$I$22*BZ38)</f>
        <v>0</v>
      </c>
      <c r="CA194" s="229">
        <f ca="1">-('General Inputs'!$I$22*CA38)</f>
        <v>0</v>
      </c>
      <c r="CB194" s="229">
        <f ca="1">-('General Inputs'!$I$22*CB38)</f>
        <v>0</v>
      </c>
      <c r="CC194" s="229">
        <f ca="1">-('General Inputs'!$I$22*CC38)</f>
        <v>0</v>
      </c>
      <c r="CD194" s="229">
        <f ca="1">-('General Inputs'!$I$22*CD38)</f>
        <v>0</v>
      </c>
      <c r="CE194" s="229">
        <f ca="1">-('General Inputs'!$I$22*CE38)</f>
        <v>0</v>
      </c>
      <c r="CF194" s="229">
        <f ca="1">-('General Inputs'!$I$22*CF38)</f>
        <v>0</v>
      </c>
      <c r="CG194" s="229">
        <f ca="1">-('General Inputs'!$I$22*CG38)</f>
        <v>0</v>
      </c>
      <c r="CH194" s="229">
        <f ca="1">-('General Inputs'!$I$22*CH38)</f>
        <v>0</v>
      </c>
      <c r="CI194" s="229">
        <f ca="1">-('General Inputs'!$I$22*CI38)</f>
        <v>0</v>
      </c>
      <c r="CJ194" s="229">
        <f ca="1">-('General Inputs'!$I$22*CJ38)</f>
        <v>0</v>
      </c>
      <c r="CK194" s="229">
        <f ca="1">-('General Inputs'!$I$22*CK38)</f>
        <v>0</v>
      </c>
      <c r="CL194" s="229">
        <f ca="1">-('General Inputs'!$I$22*CL38)</f>
        <v>0</v>
      </c>
      <c r="CM194" s="229">
        <f ca="1">-('General Inputs'!$I$22*CM38)</f>
        <v>0</v>
      </c>
      <c r="CN194" s="229">
        <f ca="1">-('General Inputs'!$I$22*CN38)</f>
        <v>0</v>
      </c>
      <c r="CO194" s="229">
        <f ca="1">-('General Inputs'!$I$22*CO38)</f>
        <v>0</v>
      </c>
      <c r="CP194" s="229">
        <f ca="1">-('General Inputs'!$I$22*CP38)</f>
        <v>0</v>
      </c>
      <c r="CQ194" s="229">
        <f ca="1">-('General Inputs'!$I$22*CQ38)</f>
        <v>0</v>
      </c>
      <c r="CR194" s="229">
        <f ca="1">-('General Inputs'!$I$22*CR38)</f>
        <v>0</v>
      </c>
      <c r="CS194" s="229">
        <f ca="1">-('General Inputs'!$I$22*CS38)</f>
        <v>0</v>
      </c>
      <c r="CT194" s="229">
        <f ca="1">-('General Inputs'!$I$22*CT38)</f>
        <v>0</v>
      </c>
      <c r="CU194" s="229">
        <f ca="1">-('General Inputs'!$I$22*CU38)</f>
        <v>0</v>
      </c>
      <c r="CV194" s="229">
        <f ca="1">-('General Inputs'!$I$22*CV38)</f>
        <v>0</v>
      </c>
      <c r="CW194" s="229">
        <f ca="1">-('General Inputs'!$I$22*CW38)</f>
        <v>0</v>
      </c>
      <c r="CX194" s="229">
        <f ca="1">-('General Inputs'!$I$22*CX38)</f>
        <v>0</v>
      </c>
      <c r="CY194" s="229">
        <f ca="1">-('General Inputs'!$I$22*CY38)</f>
        <v>0</v>
      </c>
      <c r="CZ194" s="229">
        <f ca="1">-('General Inputs'!$I$22*CZ38)</f>
        <v>0</v>
      </c>
      <c r="DA194" s="229">
        <f ca="1">-('General Inputs'!$I$22*DA38)</f>
        <v>0</v>
      </c>
      <c r="DB194" s="229">
        <f ca="1">-('General Inputs'!$I$22*DB38)</f>
        <v>0</v>
      </c>
      <c r="DC194" s="229">
        <f ca="1">-('General Inputs'!$I$22*DC38)</f>
        <v>0</v>
      </c>
      <c r="DD194" s="229">
        <f ca="1">-('General Inputs'!$I$22*DD38)</f>
        <v>0</v>
      </c>
      <c r="DE194" s="229">
        <f ca="1">-('General Inputs'!$I$22*DE38)</f>
        <v>0</v>
      </c>
      <c r="DF194" s="229">
        <f ca="1">-('General Inputs'!$I$22*DF38)</f>
        <v>0</v>
      </c>
      <c r="DG194" s="229">
        <f ca="1">-('General Inputs'!$I$22*DG38)</f>
        <v>0</v>
      </c>
      <c r="DH194" s="229">
        <f ca="1">-('General Inputs'!$I$22*DH38)</f>
        <v>0</v>
      </c>
      <c r="DI194" s="229">
        <f ca="1">-('General Inputs'!$I$22*DI38)</f>
        <v>0</v>
      </c>
      <c r="DJ194" s="229">
        <f ca="1">-('General Inputs'!$I$22*DJ38)</f>
        <v>0</v>
      </c>
      <c r="DK194" s="229">
        <f ca="1">-('General Inputs'!$I$22*DK38)</f>
        <v>0</v>
      </c>
      <c r="DL194" s="229">
        <f ca="1">-('General Inputs'!$I$22*DL38)</f>
        <v>0</v>
      </c>
      <c r="DM194" s="229">
        <f ca="1">-('General Inputs'!$I$22*DM38)</f>
        <v>0</v>
      </c>
      <c r="DN194" s="229">
        <f ca="1">-('General Inputs'!$I$22*DN38)</f>
        <v>0</v>
      </c>
      <c r="DO194" s="229">
        <f ca="1">-('General Inputs'!$I$22*DO38)</f>
        <v>0</v>
      </c>
      <c r="DP194" s="229">
        <f ca="1">-('General Inputs'!$I$22*DP38)</f>
        <v>0</v>
      </c>
      <c r="DQ194" s="229">
        <f ca="1">-('General Inputs'!$I$22*DQ38)</f>
        <v>0</v>
      </c>
      <c r="DR194" s="229">
        <f ca="1">-('General Inputs'!$I$22*DR38)</f>
        <v>0</v>
      </c>
      <c r="DS194" s="229">
        <f ca="1">-('General Inputs'!$I$22*DS38)</f>
        <v>0</v>
      </c>
      <c r="DT194" s="229">
        <f ca="1">-('General Inputs'!$I$22*DT38)</f>
        <v>0</v>
      </c>
      <c r="DU194" s="229">
        <f ca="1">-('General Inputs'!$I$22*DU38)</f>
        <v>0</v>
      </c>
      <c r="EH194" s="644"/>
      <c r="EI194" s="280"/>
    </row>
    <row r="195" spans="1:141" x14ac:dyDescent="0.3">
      <c r="A195" t="s">
        <v>2499</v>
      </c>
      <c r="D195" s="282"/>
      <c r="E195" s="712"/>
      <c r="F195" s="712"/>
      <c r="G195" s="712"/>
      <c r="H195" s="712"/>
      <c r="I195" s="712"/>
      <c r="J195" s="712"/>
      <c r="K195" s="712"/>
      <c r="L195" s="712"/>
      <c r="M195" s="712"/>
      <c r="N195" s="712"/>
      <c r="O195" s="712"/>
      <c r="P195" s="712"/>
      <c r="Q195" s="229">
        <f t="shared" ref="Q195:AV195" ca="1" si="297">-Q187*DispositionFee</f>
        <v>0</v>
      </c>
      <c r="R195" s="229">
        <f t="shared" ca="1" si="297"/>
        <v>0</v>
      </c>
      <c r="S195" s="229">
        <f t="shared" ca="1" si="297"/>
        <v>0</v>
      </c>
      <c r="T195" s="229">
        <f t="shared" ca="1" si="297"/>
        <v>0</v>
      </c>
      <c r="U195" s="229">
        <f t="shared" ca="1" si="297"/>
        <v>0</v>
      </c>
      <c r="V195" s="229">
        <f t="shared" ca="1" si="297"/>
        <v>0</v>
      </c>
      <c r="W195" s="229">
        <f t="shared" ca="1" si="297"/>
        <v>0</v>
      </c>
      <c r="X195" s="229">
        <f t="shared" ca="1" si="297"/>
        <v>0</v>
      </c>
      <c r="Y195" s="229">
        <f t="shared" ca="1" si="297"/>
        <v>0</v>
      </c>
      <c r="Z195" s="229">
        <f t="shared" ca="1" si="297"/>
        <v>0</v>
      </c>
      <c r="AA195" s="229">
        <f t="shared" ca="1" si="297"/>
        <v>0</v>
      </c>
      <c r="AB195" s="229">
        <f t="shared" ca="1" si="297"/>
        <v>0</v>
      </c>
      <c r="AC195" s="229">
        <f t="shared" ca="1" si="297"/>
        <v>0</v>
      </c>
      <c r="AD195" s="229">
        <f t="shared" ca="1" si="297"/>
        <v>0</v>
      </c>
      <c r="AE195" s="229">
        <f t="shared" ca="1" si="297"/>
        <v>0</v>
      </c>
      <c r="AF195" s="229">
        <f t="shared" ca="1" si="297"/>
        <v>0</v>
      </c>
      <c r="AG195" s="229">
        <f t="shared" ca="1" si="297"/>
        <v>0</v>
      </c>
      <c r="AH195" s="229">
        <f t="shared" ca="1" si="297"/>
        <v>0</v>
      </c>
      <c r="AI195" s="229">
        <f t="shared" ca="1" si="297"/>
        <v>0</v>
      </c>
      <c r="AJ195" s="229">
        <f t="shared" ca="1" si="297"/>
        <v>0</v>
      </c>
      <c r="AK195" s="229">
        <f t="shared" ca="1" si="297"/>
        <v>0</v>
      </c>
      <c r="AL195" s="229">
        <f t="shared" ca="1" si="297"/>
        <v>0</v>
      </c>
      <c r="AM195" s="229">
        <f t="shared" ca="1" si="297"/>
        <v>0</v>
      </c>
      <c r="AN195" s="229">
        <f t="shared" ca="1" si="297"/>
        <v>0</v>
      </c>
      <c r="AO195" s="229">
        <f t="shared" ca="1" si="297"/>
        <v>0</v>
      </c>
      <c r="AP195" s="229">
        <f t="shared" ca="1" si="297"/>
        <v>0</v>
      </c>
      <c r="AQ195" s="229">
        <f t="shared" ca="1" si="297"/>
        <v>0</v>
      </c>
      <c r="AR195" s="229">
        <f t="shared" ca="1" si="297"/>
        <v>0</v>
      </c>
      <c r="AS195" s="229">
        <f t="shared" ca="1" si="297"/>
        <v>0</v>
      </c>
      <c r="AT195" s="229">
        <f t="shared" ca="1" si="297"/>
        <v>0</v>
      </c>
      <c r="AU195" s="229">
        <f t="shared" ca="1" si="297"/>
        <v>0</v>
      </c>
      <c r="AV195" s="229">
        <f t="shared" ca="1" si="297"/>
        <v>0</v>
      </c>
      <c r="AW195" s="229">
        <f t="shared" ref="AW195:CB195" ca="1" si="298">-AW187*DispositionFee</f>
        <v>0</v>
      </c>
      <c r="AX195" s="229">
        <f t="shared" ca="1" si="298"/>
        <v>0</v>
      </c>
      <c r="AY195" s="229">
        <f t="shared" ca="1" si="298"/>
        <v>0</v>
      </c>
      <c r="AZ195" s="229">
        <f t="shared" ca="1" si="298"/>
        <v>0</v>
      </c>
      <c r="BA195" s="229">
        <f t="shared" ca="1" si="298"/>
        <v>0</v>
      </c>
      <c r="BB195" s="229">
        <f t="shared" ca="1" si="298"/>
        <v>0</v>
      </c>
      <c r="BC195" s="229">
        <f t="shared" ca="1" si="298"/>
        <v>0</v>
      </c>
      <c r="BD195" s="229">
        <f t="shared" ca="1" si="298"/>
        <v>0</v>
      </c>
      <c r="BE195" s="229">
        <f t="shared" ca="1" si="298"/>
        <v>0</v>
      </c>
      <c r="BF195" s="229">
        <f t="shared" ca="1" si="298"/>
        <v>0</v>
      </c>
      <c r="BG195" s="229">
        <f t="shared" ca="1" si="298"/>
        <v>0</v>
      </c>
      <c r="BH195" s="229">
        <f t="shared" ca="1" si="298"/>
        <v>0</v>
      </c>
      <c r="BI195" s="229">
        <f t="shared" ca="1" si="298"/>
        <v>0</v>
      </c>
      <c r="BJ195" s="229">
        <f t="shared" ca="1" si="298"/>
        <v>0</v>
      </c>
      <c r="BK195" s="229">
        <f t="shared" ca="1" si="298"/>
        <v>0</v>
      </c>
      <c r="BL195" s="229">
        <f t="shared" ca="1" si="298"/>
        <v>0</v>
      </c>
      <c r="BM195" s="229">
        <f t="shared" ca="1" si="298"/>
        <v>0</v>
      </c>
      <c r="BN195" s="229">
        <f t="shared" ca="1" si="298"/>
        <v>0</v>
      </c>
      <c r="BO195" s="229">
        <f t="shared" ca="1" si="298"/>
        <v>0</v>
      </c>
      <c r="BP195" s="229">
        <f t="shared" ca="1" si="298"/>
        <v>0</v>
      </c>
      <c r="BQ195" s="229">
        <f t="shared" ca="1" si="298"/>
        <v>0</v>
      </c>
      <c r="BR195" s="229">
        <f t="shared" ca="1" si="298"/>
        <v>0</v>
      </c>
      <c r="BS195" s="229">
        <f t="shared" ca="1" si="298"/>
        <v>0</v>
      </c>
      <c r="BT195" s="229">
        <f t="shared" ca="1" si="298"/>
        <v>0</v>
      </c>
      <c r="BU195" s="229">
        <f t="shared" ca="1" si="298"/>
        <v>0</v>
      </c>
      <c r="BV195" s="229">
        <f t="shared" ca="1" si="298"/>
        <v>0</v>
      </c>
      <c r="BW195" s="229">
        <f t="shared" ca="1" si="298"/>
        <v>0</v>
      </c>
      <c r="BX195" s="229">
        <f t="shared" ca="1" si="298"/>
        <v>0</v>
      </c>
      <c r="BY195" s="229">
        <f t="shared" ca="1" si="298"/>
        <v>0</v>
      </c>
      <c r="BZ195" s="229">
        <f t="shared" ca="1" si="298"/>
        <v>0</v>
      </c>
      <c r="CA195" s="229">
        <f t="shared" ca="1" si="298"/>
        <v>0</v>
      </c>
      <c r="CB195" s="229">
        <f t="shared" ca="1" si="298"/>
        <v>0</v>
      </c>
      <c r="CC195" s="229">
        <f t="shared" ref="CC195:DH195" ca="1" si="299">-CC187*DispositionFee</f>
        <v>0</v>
      </c>
      <c r="CD195" s="229">
        <f t="shared" ca="1" si="299"/>
        <v>0</v>
      </c>
      <c r="CE195" s="229">
        <f t="shared" ca="1" si="299"/>
        <v>0</v>
      </c>
      <c r="CF195" s="229">
        <f t="shared" ca="1" si="299"/>
        <v>0</v>
      </c>
      <c r="CG195" s="229">
        <f t="shared" ca="1" si="299"/>
        <v>0</v>
      </c>
      <c r="CH195" s="229">
        <f t="shared" ca="1" si="299"/>
        <v>0</v>
      </c>
      <c r="CI195" s="229">
        <f t="shared" ca="1" si="299"/>
        <v>0</v>
      </c>
      <c r="CJ195" s="229">
        <f t="shared" ca="1" si="299"/>
        <v>0</v>
      </c>
      <c r="CK195" s="229">
        <f t="shared" ca="1" si="299"/>
        <v>0</v>
      </c>
      <c r="CL195" s="229">
        <f t="shared" ca="1" si="299"/>
        <v>0</v>
      </c>
      <c r="CM195" s="229">
        <f t="shared" ca="1" si="299"/>
        <v>0</v>
      </c>
      <c r="CN195" s="229">
        <f t="shared" ca="1" si="299"/>
        <v>0</v>
      </c>
      <c r="CO195" s="229">
        <f t="shared" ca="1" si="299"/>
        <v>0</v>
      </c>
      <c r="CP195" s="229">
        <f t="shared" ca="1" si="299"/>
        <v>0</v>
      </c>
      <c r="CQ195" s="229">
        <f t="shared" ca="1" si="299"/>
        <v>0</v>
      </c>
      <c r="CR195" s="229">
        <f t="shared" ca="1" si="299"/>
        <v>0</v>
      </c>
      <c r="CS195" s="229">
        <f t="shared" ca="1" si="299"/>
        <v>0</v>
      </c>
      <c r="CT195" s="229">
        <f t="shared" ca="1" si="299"/>
        <v>0</v>
      </c>
      <c r="CU195" s="229">
        <f t="shared" ca="1" si="299"/>
        <v>0</v>
      </c>
      <c r="CV195" s="229">
        <f t="shared" ca="1" si="299"/>
        <v>0</v>
      </c>
      <c r="CW195" s="229">
        <f t="shared" ca="1" si="299"/>
        <v>0</v>
      </c>
      <c r="CX195" s="229">
        <f t="shared" ca="1" si="299"/>
        <v>0</v>
      </c>
      <c r="CY195" s="229">
        <f t="shared" ca="1" si="299"/>
        <v>0</v>
      </c>
      <c r="CZ195" s="229">
        <f t="shared" ca="1" si="299"/>
        <v>0</v>
      </c>
      <c r="DA195" s="229">
        <f t="shared" ca="1" si="299"/>
        <v>0</v>
      </c>
      <c r="DB195" s="229">
        <f t="shared" ca="1" si="299"/>
        <v>0</v>
      </c>
      <c r="DC195" s="229">
        <f t="shared" ca="1" si="299"/>
        <v>0</v>
      </c>
      <c r="DD195" s="229">
        <f t="shared" ca="1" si="299"/>
        <v>0</v>
      </c>
      <c r="DE195" s="229">
        <f t="shared" ca="1" si="299"/>
        <v>0</v>
      </c>
      <c r="DF195" s="229">
        <f t="shared" ca="1" si="299"/>
        <v>0</v>
      </c>
      <c r="DG195" s="229">
        <f t="shared" ca="1" si="299"/>
        <v>0</v>
      </c>
      <c r="DH195" s="229">
        <f t="shared" ca="1" si="299"/>
        <v>0</v>
      </c>
      <c r="DI195" s="229">
        <f t="shared" ref="DI195:DU195" ca="1" si="300">-DI187*DispositionFee</f>
        <v>0</v>
      </c>
      <c r="DJ195" s="229">
        <f t="shared" ca="1" si="300"/>
        <v>0</v>
      </c>
      <c r="DK195" s="229">
        <f t="shared" ca="1" si="300"/>
        <v>0</v>
      </c>
      <c r="DL195" s="229">
        <f t="shared" ca="1" si="300"/>
        <v>0</v>
      </c>
      <c r="DM195" s="229">
        <f t="shared" ca="1" si="300"/>
        <v>0</v>
      </c>
      <c r="DN195" s="229">
        <f t="shared" ca="1" si="300"/>
        <v>0</v>
      </c>
      <c r="DO195" s="229">
        <f t="shared" ca="1" si="300"/>
        <v>0</v>
      </c>
      <c r="DP195" s="229">
        <f t="shared" ca="1" si="300"/>
        <v>0</v>
      </c>
      <c r="DQ195" s="229">
        <f t="shared" ca="1" si="300"/>
        <v>0</v>
      </c>
      <c r="DR195" s="229">
        <f t="shared" ca="1" si="300"/>
        <v>0</v>
      </c>
      <c r="DS195" s="229">
        <f t="shared" ca="1" si="300"/>
        <v>0</v>
      </c>
      <c r="DT195" s="229">
        <f t="shared" ca="1" si="300"/>
        <v>0</v>
      </c>
      <c r="DU195" s="229">
        <f t="shared" ca="1" si="300"/>
        <v>0</v>
      </c>
      <c r="EH195" s="644"/>
      <c r="EI195" s="722"/>
    </row>
    <row r="196" spans="1:141" x14ac:dyDescent="0.3">
      <c r="A196" t="str">
        <f>'General Inputs'!$J$29&amp;"  Equity &amp; Pref Retirement"</f>
        <v>LP  Equity &amp; Pref Retirement</v>
      </c>
      <c r="D196" s="282"/>
      <c r="E196" s="712"/>
      <c r="F196" s="712"/>
      <c r="G196" s="712"/>
      <c r="H196" s="712"/>
      <c r="I196" s="712"/>
      <c r="J196" s="712"/>
      <c r="K196" s="712"/>
      <c r="L196" s="712"/>
      <c r="M196" s="712"/>
      <c r="N196" s="712"/>
      <c r="O196" s="712"/>
      <c r="P196" s="712"/>
      <c r="Q196" s="229">
        <f t="shared" ref="Q196:AV196" ca="1" si="301">IF(SUM(Q$187:Q$195)&lt;0,0,IF(SUM(Q$54,Q$79,Q$104)&gt;SUM(Q$187:Q$195),-SUM(Q$187:Q$195)*ContrEquity,-Q$54))</f>
        <v>0</v>
      </c>
      <c r="R196" s="229">
        <f t="shared" ca="1" si="301"/>
        <v>-558405.7493920963</v>
      </c>
      <c r="S196" s="229">
        <f t="shared" ca="1" si="301"/>
        <v>-4334230.0248458767</v>
      </c>
      <c r="T196" s="229">
        <f t="shared" ca="1" si="301"/>
        <v>-9698939.7146740649</v>
      </c>
      <c r="U196" s="229">
        <f t="shared" ca="1" si="301"/>
        <v>-15438729.038259467</v>
      </c>
      <c r="V196" s="229">
        <f t="shared" ca="1" si="301"/>
        <v>-21010881.970566396</v>
      </c>
      <c r="W196" s="229">
        <f t="shared" ca="1" si="301"/>
        <v>-26091934.967033751</v>
      </c>
      <c r="X196" s="229">
        <f t="shared" ca="1" si="301"/>
        <v>-30746242.837785814</v>
      </c>
      <c r="Y196" s="229">
        <f t="shared" ca="1" si="301"/>
        <v>-35212178.518906429</v>
      </c>
      <c r="Z196" s="229">
        <f t="shared" ca="1" si="301"/>
        <v>-36350544.16899363</v>
      </c>
      <c r="AA196" s="229">
        <f t="shared" ca="1" si="301"/>
        <v>-36653465.370401911</v>
      </c>
      <c r="AB196" s="229">
        <f t="shared" ca="1" si="301"/>
        <v>-36958910.915155262</v>
      </c>
      <c r="AC196" s="229">
        <f t="shared" ca="1" si="301"/>
        <v>-37227200.112907141</v>
      </c>
      <c r="AD196" s="229">
        <f t="shared" ca="1" si="301"/>
        <v>-37461529.400366977</v>
      </c>
      <c r="AE196" s="229">
        <f t="shared" ca="1" si="301"/>
        <v>-37656596.975238986</v>
      </c>
      <c r="AF196" s="229">
        <f t="shared" ca="1" si="301"/>
        <v>-37772795.936472468</v>
      </c>
      <c r="AG196" s="229">
        <f t="shared" ca="1" si="301"/>
        <v>-37886681.514896236</v>
      </c>
      <c r="AH196" s="229">
        <f t="shared" ca="1" si="301"/>
        <v>-38000343.30468455</v>
      </c>
      <c r="AI196" s="229">
        <f t="shared" ca="1" si="301"/>
        <v>-38144611.156455725</v>
      </c>
      <c r="AJ196" s="229">
        <f t="shared" ca="1" si="301"/>
        <v>-38287751.187556148</v>
      </c>
      <c r="AK196" s="229">
        <f t="shared" ca="1" si="301"/>
        <v>-38429567.990222707</v>
      </c>
      <c r="AL196" s="229">
        <f t="shared" ca="1" si="301"/>
        <v>-38570060.088044979</v>
      </c>
      <c r="AM196" s="229">
        <f t="shared" ca="1" si="301"/>
        <v>-38709226.16242829</v>
      </c>
      <c r="AN196" s="229">
        <f t="shared" ca="1" si="301"/>
        <v>-38847065.055440471</v>
      </c>
      <c r="AO196" s="229">
        <f t="shared" ca="1" si="301"/>
        <v>-38983575.77269382</v>
      </c>
      <c r="AP196" s="229">
        <f t="shared" ca="1" si="301"/>
        <v>-39119510.933583021</v>
      </c>
      <c r="AQ196" s="229">
        <f t="shared" ca="1" si="301"/>
        <v>-39253368.049774423</v>
      </c>
      <c r="AR196" s="229">
        <f t="shared" ca="1" si="301"/>
        <v>-39385536.26713945</v>
      </c>
      <c r="AS196" s="229">
        <f t="shared" ca="1" si="301"/>
        <v>-39522902.996740766</v>
      </c>
      <c r="AT196" s="229">
        <f t="shared" ca="1" si="301"/>
        <v>-39659745.177896865</v>
      </c>
      <c r="AU196" s="229">
        <f t="shared" ca="1" si="301"/>
        <v>-39796089.299251944</v>
      </c>
      <c r="AV196" s="229">
        <f t="shared" ca="1" si="301"/>
        <v>-39931263.229764968</v>
      </c>
      <c r="AW196" s="229">
        <f t="shared" ref="AW196:CB196" ca="1" si="302">IF(SUM(AW$187:AW$195)&lt;0,0,IF(SUM(AW$54,AW$79,AW$104)&gt;SUM(AW$187:AW$195),-SUM(AW$187:AW$195)*ContrEquity,-AW$54))</f>
        <v>-40065328.122619174</v>
      </c>
      <c r="AX196" s="229">
        <f t="shared" ca="1" si="302"/>
        <v>-40198346.266174659</v>
      </c>
      <c r="AY196" s="229">
        <f t="shared" ca="1" si="302"/>
        <v>-40330381.097453006</v>
      </c>
      <c r="AZ196" s="229">
        <f t="shared" ca="1" si="302"/>
        <v>-40461497.215757407</v>
      </c>
      <c r="BA196" s="229">
        <f t="shared" ca="1" si="302"/>
        <v>-40591760.396429546</v>
      </c>
      <c r="BB196" s="229">
        <f t="shared" ca="1" si="302"/>
        <v>-40721790.624843821</v>
      </c>
      <c r="BC196" s="229">
        <f t="shared" ca="1" si="302"/>
        <v>-40850546.278217927</v>
      </c>
      <c r="BD196" s="229">
        <f t="shared" ca="1" si="302"/>
        <v>-40978359.092692919</v>
      </c>
      <c r="BE196" s="229">
        <f t="shared" ca="1" si="302"/>
        <v>-41110672.854433753</v>
      </c>
      <c r="BF196" s="229">
        <f t="shared" ca="1" si="302"/>
        <v>-41242848.67117691</v>
      </c>
      <c r="BG196" s="229">
        <f t="shared" ca="1" si="302"/>
        <v>-41374863.886086203</v>
      </c>
      <c r="BH196" s="229">
        <f t="shared" ca="1" si="302"/>
        <v>-41506161.519168258</v>
      </c>
      <c r="BI196" s="229">
        <f t="shared" ca="1" si="302"/>
        <v>-41636687.418978758</v>
      </c>
      <c r="BJ196" s="229">
        <f t="shared" ca="1" si="302"/>
        <v>-41766386.650474519</v>
      </c>
      <c r="BK196" s="229">
        <f t="shared" ca="1" si="302"/>
        <v>-41895203.486672938</v>
      </c>
      <c r="BL196" s="229">
        <f t="shared" ca="1" si="302"/>
        <v>-42023081.400233112</v>
      </c>
      <c r="BM196" s="229">
        <f ca="1">IF(SUM(BM$187:BM$195)&lt;0,0,IF(SUM(BM$54,BM$79,BM$104)&gt;SUM(BM$187:BM$195),-SUM(BM$187:BM$195)*ContrEquity,-BM$54))</f>
        <v>-42149963.054957785</v>
      </c>
      <c r="BN196" s="229">
        <f t="shared" ca="1" si="302"/>
        <v>-42276421.279838152</v>
      </c>
      <c r="BO196" s="229">
        <f t="shared" ca="1" si="302"/>
        <v>-42401145.90512722</v>
      </c>
      <c r="BP196" s="229">
        <f t="shared" ca="1" si="302"/>
        <v>-42524424.110831939</v>
      </c>
      <c r="BQ196" s="229">
        <f t="shared" ca="1" si="302"/>
        <v>-42652074.319391072</v>
      </c>
      <c r="BR196" s="229">
        <f t="shared" ca="1" si="302"/>
        <v>-42779235.154119715</v>
      </c>
      <c r="BS196" s="229">
        <f t="shared" ca="1" si="302"/>
        <v>-42905898.308523335</v>
      </c>
      <c r="BT196" s="229">
        <f t="shared" ca="1" si="302"/>
        <v>-43031385.633251891</v>
      </c>
      <c r="BU196" s="229">
        <f t="shared" ca="1" si="302"/>
        <v>-43155678.448526099</v>
      </c>
      <c r="BV196" s="229">
        <f t="shared" ca="1" si="302"/>
        <v>-43278757.882987872</v>
      </c>
      <c r="BW196" s="229">
        <f t="shared" ca="1" si="302"/>
        <v>-43400604.871957123</v>
      </c>
      <c r="BX196" s="229">
        <f t="shared" ca="1" si="302"/>
        <v>-43521200.155673474</v>
      </c>
      <c r="BY196" s="229">
        <f t="shared" ca="1" si="302"/>
        <v>-43640524.277522698</v>
      </c>
      <c r="BZ196" s="229">
        <f t="shared" ca="1" si="302"/>
        <v>-43759244.185158737</v>
      </c>
      <c r="CA196" s="229">
        <f t="shared" ca="1" si="302"/>
        <v>-43875973.48797483</v>
      </c>
      <c r="CB196" s="229">
        <f t="shared" ca="1" si="302"/>
        <v>-43991053.72381106</v>
      </c>
      <c r="CC196" s="229">
        <f t="shared" ref="CC196:DH196" ca="1" si="303">IF(SUM(CC$187:CC$195)&lt;0,0,IF(SUM(CC$54,CC$79,CC$104)&gt;SUM(CC$187:CC$195),-SUM(CC$187:CC$195)*ContrEquity,-CC$54))</f>
        <v>-44110535.603531837</v>
      </c>
      <c r="CD196" s="229">
        <f t="shared" ca="1" si="303"/>
        <v>-44229397.101333566</v>
      </c>
      <c r="CE196" s="229">
        <f t="shared" ca="1" si="303"/>
        <v>-44347628.646942563</v>
      </c>
      <c r="CF196" s="229">
        <f t="shared" ca="1" si="303"/>
        <v>-44464522.505650736</v>
      </c>
      <c r="CG196" s="229">
        <f t="shared" ca="1" si="303"/>
        <v>-44580058.280183718</v>
      </c>
      <c r="CH196" s="229">
        <f t="shared" ca="1" si="303"/>
        <v>-44694215.365874395</v>
      </c>
      <c r="CI196" s="229">
        <f t="shared" ca="1" si="303"/>
        <v>-44806972.948781751</v>
      </c>
      <c r="CJ196" s="229">
        <f t="shared" ca="1" si="303"/>
        <v>-44918310.003793463</v>
      </c>
      <c r="CK196" s="229">
        <f t="shared" ca="1" si="303"/>
        <v>-45028205.292712048</v>
      </c>
      <c r="CL196" s="229">
        <f t="shared" ca="1" si="303"/>
        <v>-45137352.987666078</v>
      </c>
      <c r="CM196" s="229">
        <f t="shared" ca="1" si="303"/>
        <v>-45244307.120692894</v>
      </c>
      <c r="CN196" s="229">
        <f t="shared" ca="1" si="303"/>
        <v>-45349422.683012024</v>
      </c>
      <c r="CO196" s="229">
        <f t="shared" ca="1" si="303"/>
        <v>-45458958.252126306</v>
      </c>
      <c r="CP196" s="229">
        <f t="shared" ca="1" si="303"/>
        <v>-45567725.035664789</v>
      </c>
      <c r="CQ196" s="229">
        <f t="shared" ca="1" si="303"/>
        <v>-45675712.047539912</v>
      </c>
      <c r="CR196" s="229">
        <f t="shared" ca="1" si="303"/>
        <v>-45782180.617687643</v>
      </c>
      <c r="CS196" s="229">
        <f t="shared" ca="1" si="303"/>
        <v>-45887108.458475977</v>
      </c>
      <c r="CT196" s="229">
        <f t="shared" ca="1" si="303"/>
        <v>-45990473.057562709</v>
      </c>
      <c r="CU196" s="229">
        <f t="shared" ca="1" si="303"/>
        <v>-46092251.675863549</v>
      </c>
      <c r="CV196" s="229">
        <f t="shared" ca="1" si="303"/>
        <v>-46192421.345502712</v>
      </c>
      <c r="CW196" s="229">
        <f t="shared" ca="1" si="303"/>
        <v>-46290958.867745757</v>
      </c>
      <c r="CX196" s="229">
        <f t="shared" ca="1" si="303"/>
        <v>-46388586.68545343</v>
      </c>
      <c r="CY196" s="229">
        <f t="shared" ca="1" si="303"/>
        <v>-46483796.62961562</v>
      </c>
      <c r="CZ196" s="229">
        <f t="shared" ca="1" si="303"/>
        <v>-46576957.6072421</v>
      </c>
      <c r="DA196" s="229">
        <f t="shared" ca="1" si="303"/>
        <v>-46674544.003549978</v>
      </c>
      <c r="DB196" s="229">
        <f t="shared" ca="1" si="303"/>
        <v>-46771193.834478147</v>
      </c>
      <c r="DC196" s="229">
        <f t="shared" ca="1" si="303"/>
        <v>-46866894.529292695</v>
      </c>
      <c r="DD196" s="229">
        <f t="shared" ca="1" si="303"/>
        <v>-46960875.065054245</v>
      </c>
      <c r="DE196" s="229">
        <f t="shared" ca="1" si="303"/>
        <v>-47053111.073058933</v>
      </c>
      <c r="DF196" s="229">
        <f t="shared" ca="1" si="303"/>
        <v>-47143577.940920316</v>
      </c>
      <c r="DG196" s="229">
        <f t="shared" ca="1" si="303"/>
        <v>-47232250.810372747</v>
      </c>
      <c r="DH196" s="229">
        <f t="shared" ca="1" si="303"/>
        <v>-47319104.575055845</v>
      </c>
      <c r="DI196" s="229">
        <f t="shared" ref="DI196:DU196" ca="1" si="304">IF(SUM(DI$187:DI$195)&lt;0,0,IF(SUM(DI$54,DI$79,DI$104)&gt;SUM(DI$187:DI$195),-SUM(DI$187:DI$195)*ContrEquity,-DI$54))</f>
        <v>-47404113.878279574</v>
      </c>
      <c r="DJ196" s="229">
        <f t="shared" ca="1" si="304"/>
        <v>-47488030.513127588</v>
      </c>
      <c r="DK196" s="229">
        <f t="shared" ca="1" si="304"/>
        <v>-47569281.363865711</v>
      </c>
      <c r="DL196" s="229">
        <f t="shared" ca="1" si="304"/>
        <v>-47648249.724074833</v>
      </c>
      <c r="DM196" s="229">
        <f t="shared" ca="1" si="304"/>
        <v>-47731634.09876857</v>
      </c>
      <c r="DN196" s="229">
        <f t="shared" ca="1" si="304"/>
        <v>-47813892.557902686</v>
      </c>
      <c r="DO196" s="229">
        <f t="shared" ca="1" si="304"/>
        <v>-47895010.758674279</v>
      </c>
      <c r="DP196" s="229">
        <f t="shared" ca="1" si="304"/>
        <v>-47974183.83628168</v>
      </c>
      <c r="DQ196" s="229">
        <f t="shared" ca="1" si="304"/>
        <v>-48051385.130527258</v>
      </c>
      <c r="DR196" s="229">
        <f t="shared" ca="1" si="304"/>
        <v>-48126587.716737054</v>
      </c>
      <c r="DS196" s="229">
        <f t="shared" ca="1" si="304"/>
        <v>-48199764.403383061</v>
      </c>
      <c r="DT196" s="229">
        <f t="shared" ca="1" si="304"/>
        <v>-48270887.729697384</v>
      </c>
      <c r="DU196" s="229">
        <f t="shared" ca="1" si="304"/>
        <v>-48339929.963211209</v>
      </c>
      <c r="EH196" s="644"/>
      <c r="EI196" s="280"/>
    </row>
    <row r="197" spans="1:141" x14ac:dyDescent="0.3">
      <c r="A197" t="str">
        <f>'General Inputs'!$K$29&amp;"  Equity &amp; Pref Retirement"</f>
        <v>Quarterra  Equity &amp; Pref Retirement</v>
      </c>
      <c r="D197" s="282"/>
      <c r="E197" s="712"/>
      <c r="F197" s="712"/>
      <c r="G197" s="712"/>
      <c r="H197" s="712"/>
      <c r="I197" s="712"/>
      <c r="J197" s="712"/>
      <c r="K197" s="712"/>
      <c r="L197" s="712"/>
      <c r="M197" s="712"/>
      <c r="N197" s="712"/>
      <c r="O197" s="712"/>
      <c r="P197" s="712"/>
      <c r="Q197" s="229">
        <f t="shared" ref="Q197:AV197" ca="1" si="305">IF(SUM(Q$187:Q$195)&lt;0,0,IF(SUM(Q$54,Q$79,Q$104)&gt;SUM(Q$187:Q$195),-SUM(Q$187:Q$195)*ContrLennar,-Q$79))</f>
        <v>0</v>
      </c>
      <c r="R197" s="229">
        <f t="shared" ca="1" si="305"/>
        <v>-62045.083265788468</v>
      </c>
      <c r="S197" s="229">
        <f t="shared" ca="1" si="305"/>
        <v>-481581.11387176393</v>
      </c>
      <c r="T197" s="229">
        <f t="shared" ca="1" si="305"/>
        <v>-1077659.9682971181</v>
      </c>
      <c r="U197" s="229">
        <f t="shared" ca="1" si="305"/>
        <v>-1715414.3375843849</v>
      </c>
      <c r="V197" s="229">
        <f t="shared" ca="1" si="305"/>
        <v>-2334542.4411740433</v>
      </c>
      <c r="W197" s="229">
        <f t="shared" ca="1" si="305"/>
        <v>-2899103.8852259717</v>
      </c>
      <c r="X197" s="229">
        <f t="shared" ca="1" si="305"/>
        <v>-3416249.2041984228</v>
      </c>
      <c r="Y197" s="229">
        <f t="shared" ca="1" si="305"/>
        <v>-3912464.2798784911</v>
      </c>
      <c r="Z197" s="229">
        <f t="shared" ca="1" si="305"/>
        <v>-4038949.3521104013</v>
      </c>
      <c r="AA197" s="229">
        <f t="shared" ca="1" si="305"/>
        <v>-4072607.2633779878</v>
      </c>
      <c r="AB197" s="229">
        <f t="shared" ca="1" si="305"/>
        <v>-4106545.6572394711</v>
      </c>
      <c r="AC197" s="229">
        <f t="shared" ca="1" si="305"/>
        <v>-4136355.568100791</v>
      </c>
      <c r="AD197" s="229">
        <f t="shared" ca="1" si="305"/>
        <v>-4162392.155596328</v>
      </c>
      <c r="AE197" s="229">
        <f t="shared" ca="1" si="305"/>
        <v>-4184066.3305821074</v>
      </c>
      <c r="AF197" s="229">
        <f t="shared" ca="1" si="305"/>
        <v>-4196977.3262747163</v>
      </c>
      <c r="AG197" s="229">
        <f t="shared" ca="1" si="305"/>
        <v>-4209631.2794329124</v>
      </c>
      <c r="AH197" s="229">
        <f t="shared" ca="1" si="305"/>
        <v>-4222260.3671871703</v>
      </c>
      <c r="AI197" s="229">
        <f t="shared" ca="1" si="305"/>
        <v>-4238290.1284950785</v>
      </c>
      <c r="AJ197" s="229">
        <f t="shared" ca="1" si="305"/>
        <v>-4254194.5763951261</v>
      </c>
      <c r="AK197" s="229">
        <f t="shared" ca="1" si="305"/>
        <v>-4269951.9989136327</v>
      </c>
      <c r="AL197" s="229">
        <f t="shared" ca="1" si="305"/>
        <v>-4285562.2320049964</v>
      </c>
      <c r="AM197" s="229">
        <f t="shared" ca="1" si="305"/>
        <v>-4301025.129158698</v>
      </c>
      <c r="AN197" s="229">
        <f t="shared" ca="1" si="305"/>
        <v>-4316340.5617156066</v>
      </c>
      <c r="AO197" s="229">
        <f t="shared" ca="1" si="305"/>
        <v>-4331508.4191882005</v>
      </c>
      <c r="AP197" s="229">
        <f t="shared" ca="1" si="305"/>
        <v>-4346612.3259536671</v>
      </c>
      <c r="AQ197" s="229">
        <f t="shared" ca="1" si="305"/>
        <v>-4361485.3388638236</v>
      </c>
      <c r="AR197" s="229">
        <f t="shared" ca="1" si="305"/>
        <v>-4376170.6963488273</v>
      </c>
      <c r="AS197" s="229">
        <f t="shared" ca="1" si="305"/>
        <v>-4391433.6663045287</v>
      </c>
      <c r="AT197" s="229">
        <f t="shared" ca="1" si="305"/>
        <v>-4406638.3530996516</v>
      </c>
      <c r="AU197" s="229">
        <f t="shared" ca="1" si="305"/>
        <v>-4421787.6999168834</v>
      </c>
      <c r="AV197" s="229">
        <f t="shared" ca="1" si="305"/>
        <v>-4436807.0255294424</v>
      </c>
      <c r="AW197" s="229">
        <f t="shared" ref="AW197:CB197" ca="1" si="306">IF(SUM(AW$187:AW$195)&lt;0,0,IF(SUM(AW$54,AW$79,AW$104)&gt;SUM(AW$187:AW$195),-SUM(AW$187:AW$195)*ContrLennar,-AW$79))</f>
        <v>-4451703.1247354653</v>
      </c>
      <c r="AX197" s="229">
        <f t="shared" ca="1" si="306"/>
        <v>-4466482.9184638523</v>
      </c>
      <c r="AY197" s="229">
        <f t="shared" ca="1" si="306"/>
        <v>-4481153.4552725572</v>
      </c>
      <c r="AZ197" s="229">
        <f t="shared" ca="1" si="306"/>
        <v>-4495721.9128619349</v>
      </c>
      <c r="BA197" s="229">
        <f t="shared" ca="1" si="306"/>
        <v>-4510195.5996032832</v>
      </c>
      <c r="BB197" s="229">
        <f t="shared" ca="1" si="306"/>
        <v>-4524643.4027604256</v>
      </c>
      <c r="BC197" s="229">
        <f t="shared" ca="1" si="306"/>
        <v>-4538949.5864686593</v>
      </c>
      <c r="BD197" s="229">
        <f t="shared" ca="1" si="306"/>
        <v>-4553151.0102992142</v>
      </c>
      <c r="BE197" s="229">
        <f t="shared" ca="1" si="306"/>
        <v>-4567852.5393815292</v>
      </c>
      <c r="BF197" s="229">
        <f t="shared" ca="1" si="306"/>
        <v>-4582538.7412418807</v>
      </c>
      <c r="BG197" s="229">
        <f t="shared" ca="1" si="306"/>
        <v>-4597207.0984540246</v>
      </c>
      <c r="BH197" s="229">
        <f t="shared" ca="1" si="306"/>
        <v>-4611795.7243520301</v>
      </c>
      <c r="BI197" s="229">
        <f t="shared" ca="1" si="306"/>
        <v>-4626298.6021087524</v>
      </c>
      <c r="BJ197" s="229">
        <f t="shared" ca="1" si="306"/>
        <v>-4640709.6278305035</v>
      </c>
      <c r="BK197" s="229">
        <f t="shared" ca="1" si="306"/>
        <v>-4655022.6096303286</v>
      </c>
      <c r="BL197" s="229">
        <f t="shared" ca="1" si="306"/>
        <v>-4669231.2666925704</v>
      </c>
      <c r="BM197" s="229">
        <f t="shared" ca="1" si="306"/>
        <v>-4683329.2283286452</v>
      </c>
      <c r="BN197" s="229">
        <f t="shared" ca="1" si="306"/>
        <v>-4697380.1422042418</v>
      </c>
      <c r="BO197" s="229">
        <f t="shared" ca="1" si="306"/>
        <v>-4711238.4339030273</v>
      </c>
      <c r="BP197" s="229">
        <f t="shared" ca="1" si="306"/>
        <v>-4724936.0123146623</v>
      </c>
      <c r="BQ197" s="229">
        <f t="shared" ca="1" si="306"/>
        <v>-4739119.3688212326</v>
      </c>
      <c r="BR197" s="229">
        <f t="shared" ca="1" si="306"/>
        <v>-4753248.3504577493</v>
      </c>
      <c r="BS197" s="229">
        <f t="shared" ca="1" si="306"/>
        <v>-4767322.0342803728</v>
      </c>
      <c r="BT197" s="229">
        <f t="shared" ca="1" si="306"/>
        <v>-4781265.0703613227</v>
      </c>
      <c r="BU197" s="229">
        <f t="shared" ca="1" si="306"/>
        <v>-4795075.3831695681</v>
      </c>
      <c r="BV197" s="229">
        <f t="shared" ca="1" si="306"/>
        <v>-4808750.875887543</v>
      </c>
      <c r="BW197" s="229">
        <f t="shared" ca="1" si="306"/>
        <v>-4822289.4302174598</v>
      </c>
      <c r="BX197" s="229">
        <f t="shared" ca="1" si="306"/>
        <v>-4835688.9061859427</v>
      </c>
      <c r="BY197" s="229">
        <f t="shared" ca="1" si="306"/>
        <v>-4848947.1419469677</v>
      </c>
      <c r="BZ197" s="229">
        <f t="shared" ca="1" si="306"/>
        <v>-4862138.2427954171</v>
      </c>
      <c r="CA197" s="229">
        <f t="shared" ca="1" si="306"/>
        <v>-4875108.1653305395</v>
      </c>
      <c r="CB197" s="229">
        <f t="shared" ca="1" si="306"/>
        <v>-4887894.8582012318</v>
      </c>
      <c r="CC197" s="229">
        <f t="shared" ref="CC197:DH197" ca="1" si="307">IF(SUM(CC$187:CC$195)&lt;0,0,IF(SUM(CC$54,CC$79,CC$104)&gt;SUM(CC$187:CC$195),-SUM(CC$187:CC$195)*ContrLennar,-CC$79))</f>
        <v>-4901170.622614651</v>
      </c>
      <c r="CD197" s="229">
        <f t="shared" ca="1" si="307"/>
        <v>-4914377.4557037326</v>
      </c>
      <c r="CE197" s="229">
        <f t="shared" ca="1" si="307"/>
        <v>-4927514.2941047326</v>
      </c>
      <c r="CF197" s="229">
        <f t="shared" ca="1" si="307"/>
        <v>-4940502.5006278623</v>
      </c>
      <c r="CG197" s="229">
        <f t="shared" ca="1" si="307"/>
        <v>-4953339.8089093054</v>
      </c>
      <c r="CH197" s="229">
        <f t="shared" ca="1" si="307"/>
        <v>-4966023.9295416027</v>
      </c>
      <c r="CI197" s="229">
        <f t="shared" ca="1" si="307"/>
        <v>-4978552.5498646423</v>
      </c>
      <c r="CJ197" s="229">
        <f t="shared" ca="1" si="307"/>
        <v>-4990923.3337548319</v>
      </c>
      <c r="CK197" s="229">
        <f t="shared" ca="1" si="307"/>
        <v>-5003133.9214124521</v>
      </c>
      <c r="CL197" s="229">
        <f t="shared" ca="1" si="307"/>
        <v>-5015261.4430740112</v>
      </c>
      <c r="CM197" s="229">
        <f t="shared" ca="1" si="307"/>
        <v>-5027145.2356325462</v>
      </c>
      <c r="CN197" s="229">
        <f t="shared" ca="1" si="307"/>
        <v>-5038824.7425568942</v>
      </c>
      <c r="CO197" s="229">
        <f t="shared" ca="1" si="307"/>
        <v>-5050995.3613473698</v>
      </c>
      <c r="CP197" s="229">
        <f t="shared" ca="1" si="307"/>
        <v>-5063080.559518313</v>
      </c>
      <c r="CQ197" s="229">
        <f t="shared" ca="1" si="307"/>
        <v>-5075079.1163933259</v>
      </c>
      <c r="CR197" s="229">
        <f t="shared" ca="1" si="307"/>
        <v>-5086908.9575208519</v>
      </c>
      <c r="CS197" s="229">
        <f t="shared" ca="1" si="307"/>
        <v>-5098567.6064973343</v>
      </c>
      <c r="CT197" s="229">
        <f t="shared" ca="1" si="307"/>
        <v>-5110052.5619514156</v>
      </c>
      <c r="CU197" s="229">
        <f t="shared" ca="1" si="307"/>
        <v>-5121361.2973181754</v>
      </c>
      <c r="CV197" s="229">
        <f t="shared" ca="1" si="307"/>
        <v>-5132491.2606114168</v>
      </c>
      <c r="CW197" s="229">
        <f t="shared" ca="1" si="307"/>
        <v>-5143439.8741939766</v>
      </c>
      <c r="CX197" s="229">
        <f t="shared" ca="1" si="307"/>
        <v>-5154287.4094948294</v>
      </c>
      <c r="CY197" s="229">
        <f t="shared" ca="1" si="307"/>
        <v>-5164866.2921795174</v>
      </c>
      <c r="CZ197" s="229">
        <f t="shared" ca="1" si="307"/>
        <v>-5175217.5119157927</v>
      </c>
      <c r="DA197" s="229">
        <f t="shared" ca="1" si="307"/>
        <v>-5186060.4448388908</v>
      </c>
      <c r="DB197" s="229">
        <f t="shared" ca="1" si="307"/>
        <v>-5196799.3149420209</v>
      </c>
      <c r="DC197" s="229">
        <f t="shared" ca="1" si="307"/>
        <v>-5207432.7254769709</v>
      </c>
      <c r="DD197" s="229">
        <f t="shared" ca="1" si="307"/>
        <v>-5217875.0072282543</v>
      </c>
      <c r="DE197" s="229">
        <f t="shared" ca="1" si="307"/>
        <v>-5228123.4525621086</v>
      </c>
      <c r="DF197" s="229">
        <f t="shared" ca="1" si="307"/>
        <v>-5238175.3267689282</v>
      </c>
      <c r="DG197" s="229">
        <f t="shared" ca="1" si="307"/>
        <v>-5248027.8678191984</v>
      </c>
      <c r="DH197" s="229">
        <f t="shared" ca="1" si="307"/>
        <v>-5257678.2861173255</v>
      </c>
      <c r="DI197" s="229">
        <f t="shared" ref="DI197:DU197" ca="1" si="308">IF(SUM(DI$187:DI$195)&lt;0,0,IF(SUM(DI$54,DI$79,DI$104)&gt;SUM(DI$187:DI$195),-SUM(DI$187:DI$195)*ContrLennar,-DI$79))</f>
        <v>-5267123.7642532941</v>
      </c>
      <c r="DJ197" s="229">
        <f t="shared" ca="1" si="308"/>
        <v>-5276447.8347919555</v>
      </c>
      <c r="DK197" s="229">
        <f t="shared" ca="1" si="308"/>
        <v>-5285475.7070961883</v>
      </c>
      <c r="DL197" s="229">
        <f t="shared" ca="1" si="308"/>
        <v>-5294249.9693416478</v>
      </c>
      <c r="DM197" s="229">
        <f t="shared" ca="1" si="308"/>
        <v>-5303514.8998631667</v>
      </c>
      <c r="DN197" s="229">
        <f t="shared" ca="1" si="308"/>
        <v>-5312654.728655857</v>
      </c>
      <c r="DO197" s="229">
        <f t="shared" ca="1" si="308"/>
        <v>-5321667.8620749144</v>
      </c>
      <c r="DP197" s="229">
        <f t="shared" ca="1" si="308"/>
        <v>-5330464.8706979724</v>
      </c>
      <c r="DQ197" s="229">
        <f t="shared" ca="1" si="308"/>
        <v>-5339042.7922808118</v>
      </c>
      <c r="DR197" s="229">
        <f t="shared" ca="1" si="308"/>
        <v>-5347398.6351930033</v>
      </c>
      <c r="DS197" s="229">
        <f t="shared" ca="1" si="308"/>
        <v>-5355529.3781536892</v>
      </c>
      <c r="DT197" s="229">
        <f t="shared" ca="1" si="308"/>
        <v>-5363431.9699663864</v>
      </c>
      <c r="DU197" s="229">
        <f t="shared" ca="1" si="308"/>
        <v>-5371103.3292456903</v>
      </c>
      <c r="EH197" s="644"/>
      <c r="EI197" s="722"/>
    </row>
    <row r="198" spans="1:141" x14ac:dyDescent="0.3">
      <c r="A198" t="str">
        <f>'General Inputs'!$L$29&amp;"  Equity &amp; Pref Retirement"</f>
        <v>LAND  Equity &amp; Pref Retirement</v>
      </c>
      <c r="D198" s="282"/>
      <c r="E198" s="712"/>
      <c r="F198" s="712"/>
      <c r="G198" s="712"/>
      <c r="H198" s="712"/>
      <c r="I198" s="712"/>
      <c r="J198" s="712"/>
      <c r="K198" s="712"/>
      <c r="L198" s="712"/>
      <c r="M198" s="712"/>
      <c r="N198" s="712"/>
      <c r="O198" s="712"/>
      <c r="P198" s="712"/>
      <c r="Q198" s="229">
        <f t="shared" ref="Q198:AV198" ca="1" si="309">IF(SUM(Q$187:Q$195)&lt;0,0,IF(SUM(Q$54,Q$79,Q$104)&gt;SUM(Q$187:Q$195),-SUM(Q$187:Q$195)*ContrLand,-Q$104))</f>
        <v>0</v>
      </c>
      <c r="R198" s="229">
        <f t="shared" ca="1" si="309"/>
        <v>0</v>
      </c>
      <c r="S198" s="229">
        <f t="shared" ca="1" si="309"/>
        <v>0</v>
      </c>
      <c r="T198" s="229">
        <f t="shared" ca="1" si="309"/>
        <v>0</v>
      </c>
      <c r="U198" s="229">
        <f t="shared" ca="1" si="309"/>
        <v>0</v>
      </c>
      <c r="V198" s="229">
        <f t="shared" ca="1" si="309"/>
        <v>0</v>
      </c>
      <c r="W198" s="229">
        <f t="shared" ca="1" si="309"/>
        <v>0</v>
      </c>
      <c r="X198" s="229">
        <f t="shared" ca="1" si="309"/>
        <v>0</v>
      </c>
      <c r="Y198" s="229">
        <f t="shared" ca="1" si="309"/>
        <v>0</v>
      </c>
      <c r="Z198" s="229">
        <f t="shared" ca="1" si="309"/>
        <v>0</v>
      </c>
      <c r="AA198" s="229">
        <f t="shared" ca="1" si="309"/>
        <v>0</v>
      </c>
      <c r="AB198" s="229">
        <f t="shared" ca="1" si="309"/>
        <v>0</v>
      </c>
      <c r="AC198" s="229">
        <f t="shared" ca="1" si="309"/>
        <v>0</v>
      </c>
      <c r="AD198" s="229">
        <f t="shared" ca="1" si="309"/>
        <v>0</v>
      </c>
      <c r="AE198" s="229">
        <f t="shared" ca="1" si="309"/>
        <v>0</v>
      </c>
      <c r="AF198" s="229">
        <f t="shared" ca="1" si="309"/>
        <v>0</v>
      </c>
      <c r="AG198" s="229">
        <f t="shared" ca="1" si="309"/>
        <v>0</v>
      </c>
      <c r="AH198" s="229">
        <f t="shared" ca="1" si="309"/>
        <v>0</v>
      </c>
      <c r="AI198" s="229">
        <f t="shared" ca="1" si="309"/>
        <v>0</v>
      </c>
      <c r="AJ198" s="229">
        <f t="shared" ca="1" si="309"/>
        <v>0</v>
      </c>
      <c r="AK198" s="229">
        <f t="shared" ca="1" si="309"/>
        <v>0</v>
      </c>
      <c r="AL198" s="229">
        <f t="shared" ca="1" si="309"/>
        <v>0</v>
      </c>
      <c r="AM198" s="229">
        <f t="shared" ca="1" si="309"/>
        <v>0</v>
      </c>
      <c r="AN198" s="229">
        <f t="shared" ca="1" si="309"/>
        <v>0</v>
      </c>
      <c r="AO198" s="229">
        <f t="shared" ca="1" si="309"/>
        <v>0</v>
      </c>
      <c r="AP198" s="229">
        <f t="shared" ca="1" si="309"/>
        <v>0</v>
      </c>
      <c r="AQ198" s="229">
        <f t="shared" ca="1" si="309"/>
        <v>0</v>
      </c>
      <c r="AR198" s="229">
        <f t="shared" ca="1" si="309"/>
        <v>0</v>
      </c>
      <c r="AS198" s="229">
        <f t="shared" ca="1" si="309"/>
        <v>0</v>
      </c>
      <c r="AT198" s="229">
        <f t="shared" ca="1" si="309"/>
        <v>0</v>
      </c>
      <c r="AU198" s="229">
        <f t="shared" ca="1" si="309"/>
        <v>0</v>
      </c>
      <c r="AV198" s="229">
        <f t="shared" ca="1" si="309"/>
        <v>0</v>
      </c>
      <c r="AW198" s="229">
        <f t="shared" ref="AW198:CB198" ca="1" si="310">IF(SUM(AW$187:AW$195)&lt;0,0,IF(SUM(AW$54,AW$79,AW$104)&gt;SUM(AW$187:AW$195),-SUM(AW$187:AW$195)*ContrLand,-AW$104))</f>
        <v>0</v>
      </c>
      <c r="AX198" s="229">
        <f t="shared" ca="1" si="310"/>
        <v>0</v>
      </c>
      <c r="AY198" s="229">
        <f t="shared" ca="1" si="310"/>
        <v>0</v>
      </c>
      <c r="AZ198" s="229">
        <f t="shared" ca="1" si="310"/>
        <v>0</v>
      </c>
      <c r="BA198" s="229">
        <f t="shared" ca="1" si="310"/>
        <v>0</v>
      </c>
      <c r="BB198" s="229">
        <f t="shared" ca="1" si="310"/>
        <v>0</v>
      </c>
      <c r="BC198" s="229">
        <f t="shared" ca="1" si="310"/>
        <v>0</v>
      </c>
      <c r="BD198" s="229">
        <f t="shared" ca="1" si="310"/>
        <v>0</v>
      </c>
      <c r="BE198" s="229">
        <f t="shared" ca="1" si="310"/>
        <v>0</v>
      </c>
      <c r="BF198" s="229">
        <f t="shared" ca="1" si="310"/>
        <v>0</v>
      </c>
      <c r="BG198" s="229">
        <f t="shared" ca="1" si="310"/>
        <v>0</v>
      </c>
      <c r="BH198" s="229">
        <f t="shared" ca="1" si="310"/>
        <v>0</v>
      </c>
      <c r="BI198" s="229">
        <f t="shared" ca="1" si="310"/>
        <v>0</v>
      </c>
      <c r="BJ198" s="229">
        <f t="shared" ca="1" si="310"/>
        <v>0</v>
      </c>
      <c r="BK198" s="229">
        <f t="shared" ca="1" si="310"/>
        <v>0</v>
      </c>
      <c r="BL198" s="229">
        <f t="shared" ca="1" si="310"/>
        <v>0</v>
      </c>
      <c r="BM198" s="229">
        <f t="shared" ca="1" si="310"/>
        <v>0</v>
      </c>
      <c r="BN198" s="229">
        <f t="shared" ca="1" si="310"/>
        <v>0</v>
      </c>
      <c r="BO198" s="229">
        <f t="shared" ca="1" si="310"/>
        <v>0</v>
      </c>
      <c r="BP198" s="229">
        <f t="shared" ca="1" si="310"/>
        <v>0</v>
      </c>
      <c r="BQ198" s="229">
        <f t="shared" ca="1" si="310"/>
        <v>0</v>
      </c>
      <c r="BR198" s="229">
        <f t="shared" ca="1" si="310"/>
        <v>0</v>
      </c>
      <c r="BS198" s="229">
        <f t="shared" ca="1" si="310"/>
        <v>0</v>
      </c>
      <c r="BT198" s="229">
        <f t="shared" ca="1" si="310"/>
        <v>0</v>
      </c>
      <c r="BU198" s="229">
        <f t="shared" ca="1" si="310"/>
        <v>0</v>
      </c>
      <c r="BV198" s="229">
        <f t="shared" ca="1" si="310"/>
        <v>0</v>
      </c>
      <c r="BW198" s="229">
        <f t="shared" ca="1" si="310"/>
        <v>0</v>
      </c>
      <c r="BX198" s="229">
        <f t="shared" ca="1" si="310"/>
        <v>0</v>
      </c>
      <c r="BY198" s="229">
        <f t="shared" ca="1" si="310"/>
        <v>0</v>
      </c>
      <c r="BZ198" s="229">
        <f t="shared" ca="1" si="310"/>
        <v>0</v>
      </c>
      <c r="CA198" s="229">
        <f t="shared" ca="1" si="310"/>
        <v>0</v>
      </c>
      <c r="CB198" s="229">
        <f t="shared" ca="1" si="310"/>
        <v>0</v>
      </c>
      <c r="CC198" s="229">
        <f t="shared" ref="CC198:DH198" ca="1" si="311">IF(SUM(CC$187:CC$195)&lt;0,0,IF(SUM(CC$54,CC$79,CC$104)&gt;SUM(CC$187:CC$195),-SUM(CC$187:CC$195)*ContrLand,-CC$104))</f>
        <v>0</v>
      </c>
      <c r="CD198" s="229">
        <f t="shared" ca="1" si="311"/>
        <v>0</v>
      </c>
      <c r="CE198" s="229">
        <f t="shared" ca="1" si="311"/>
        <v>0</v>
      </c>
      <c r="CF198" s="229">
        <f t="shared" ca="1" si="311"/>
        <v>0</v>
      </c>
      <c r="CG198" s="229">
        <f t="shared" ca="1" si="311"/>
        <v>0</v>
      </c>
      <c r="CH198" s="229">
        <f t="shared" ca="1" si="311"/>
        <v>0</v>
      </c>
      <c r="CI198" s="229">
        <f t="shared" ca="1" si="311"/>
        <v>0</v>
      </c>
      <c r="CJ198" s="229">
        <f t="shared" ca="1" si="311"/>
        <v>0</v>
      </c>
      <c r="CK198" s="229">
        <f t="shared" ca="1" si="311"/>
        <v>0</v>
      </c>
      <c r="CL198" s="229">
        <f t="shared" ca="1" si="311"/>
        <v>0</v>
      </c>
      <c r="CM198" s="229">
        <f t="shared" ca="1" si="311"/>
        <v>0</v>
      </c>
      <c r="CN198" s="229">
        <f t="shared" ca="1" si="311"/>
        <v>0</v>
      </c>
      <c r="CO198" s="229">
        <f t="shared" ca="1" si="311"/>
        <v>0</v>
      </c>
      <c r="CP198" s="229">
        <f t="shared" ca="1" si="311"/>
        <v>0</v>
      </c>
      <c r="CQ198" s="229">
        <f t="shared" ca="1" si="311"/>
        <v>0</v>
      </c>
      <c r="CR198" s="229">
        <f t="shared" ca="1" si="311"/>
        <v>0</v>
      </c>
      <c r="CS198" s="229">
        <f t="shared" ca="1" si="311"/>
        <v>0</v>
      </c>
      <c r="CT198" s="229">
        <f t="shared" ca="1" si="311"/>
        <v>0</v>
      </c>
      <c r="CU198" s="229">
        <f t="shared" ca="1" si="311"/>
        <v>0</v>
      </c>
      <c r="CV198" s="229">
        <f t="shared" ca="1" si="311"/>
        <v>0</v>
      </c>
      <c r="CW198" s="229">
        <f t="shared" ca="1" si="311"/>
        <v>0</v>
      </c>
      <c r="CX198" s="229">
        <f t="shared" ca="1" si="311"/>
        <v>0</v>
      </c>
      <c r="CY198" s="229">
        <f t="shared" ca="1" si="311"/>
        <v>0</v>
      </c>
      <c r="CZ198" s="229">
        <f t="shared" ca="1" si="311"/>
        <v>0</v>
      </c>
      <c r="DA198" s="229">
        <f t="shared" ca="1" si="311"/>
        <v>0</v>
      </c>
      <c r="DB198" s="229">
        <f t="shared" ca="1" si="311"/>
        <v>0</v>
      </c>
      <c r="DC198" s="229">
        <f t="shared" ca="1" si="311"/>
        <v>0</v>
      </c>
      <c r="DD198" s="229">
        <f t="shared" ca="1" si="311"/>
        <v>0</v>
      </c>
      <c r="DE198" s="229">
        <f t="shared" ca="1" si="311"/>
        <v>0</v>
      </c>
      <c r="DF198" s="229">
        <f t="shared" ca="1" si="311"/>
        <v>0</v>
      </c>
      <c r="DG198" s="229">
        <f t="shared" ca="1" si="311"/>
        <v>0</v>
      </c>
      <c r="DH198" s="229">
        <f t="shared" ca="1" si="311"/>
        <v>0</v>
      </c>
      <c r="DI198" s="229">
        <f t="shared" ref="DI198:DU198" ca="1" si="312">IF(SUM(DI$187:DI$195)&lt;0,0,IF(SUM(DI$54,DI$79,DI$104)&gt;SUM(DI$187:DI$195),-SUM(DI$187:DI$195)*ContrLand,-DI$104))</f>
        <v>0</v>
      </c>
      <c r="DJ198" s="229">
        <f t="shared" ca="1" si="312"/>
        <v>0</v>
      </c>
      <c r="DK198" s="229">
        <f t="shared" ca="1" si="312"/>
        <v>0</v>
      </c>
      <c r="DL198" s="229">
        <f t="shared" ca="1" si="312"/>
        <v>0</v>
      </c>
      <c r="DM198" s="229">
        <f t="shared" ca="1" si="312"/>
        <v>0</v>
      </c>
      <c r="DN198" s="229">
        <f t="shared" ca="1" si="312"/>
        <v>0</v>
      </c>
      <c r="DO198" s="229">
        <f t="shared" ca="1" si="312"/>
        <v>0</v>
      </c>
      <c r="DP198" s="229">
        <f t="shared" ca="1" si="312"/>
        <v>0</v>
      </c>
      <c r="DQ198" s="229">
        <f t="shared" ca="1" si="312"/>
        <v>0</v>
      </c>
      <c r="DR198" s="229">
        <f t="shared" ca="1" si="312"/>
        <v>0</v>
      </c>
      <c r="DS198" s="229">
        <f t="shared" ca="1" si="312"/>
        <v>0</v>
      </c>
      <c r="DT198" s="229">
        <f t="shared" ca="1" si="312"/>
        <v>0</v>
      </c>
      <c r="DU198" s="229">
        <f t="shared" ca="1" si="312"/>
        <v>0</v>
      </c>
      <c r="EH198" s="644"/>
      <c r="EI198" s="280"/>
    </row>
    <row r="199" spans="1:141" ht="15" thickBot="1" x14ac:dyDescent="0.35">
      <c r="A199" s="248" t="s">
        <v>2500</v>
      </c>
      <c r="B199" s="248"/>
      <c r="C199" s="248"/>
      <c r="D199" s="654"/>
      <c r="E199" s="714"/>
      <c r="F199" s="714"/>
      <c r="G199" s="714"/>
      <c r="H199" s="714"/>
      <c r="I199" s="714"/>
      <c r="J199" s="714"/>
      <c r="K199" s="714"/>
      <c r="L199" s="714"/>
      <c r="M199" s="714"/>
      <c r="N199" s="714"/>
      <c r="O199" s="714"/>
      <c r="P199" s="714"/>
      <c r="Q199" s="250">
        <f t="shared" ref="Q199:CB199" ca="1" si="313">ROUND(SUM(Q187:Q198),0)</f>
        <v>-971250</v>
      </c>
      <c r="R199" s="250">
        <f t="shared" ca="1" si="313"/>
        <v>0</v>
      </c>
      <c r="S199" s="250">
        <f t="shared" ca="1" si="313"/>
        <v>0</v>
      </c>
      <c r="T199" s="250">
        <f t="shared" ca="1" si="313"/>
        <v>0</v>
      </c>
      <c r="U199" s="250">
        <f t="shared" ca="1" si="313"/>
        <v>0</v>
      </c>
      <c r="V199" s="250">
        <f t="shared" ca="1" si="313"/>
        <v>0</v>
      </c>
      <c r="W199" s="250">
        <f t="shared" ca="1" si="313"/>
        <v>0</v>
      </c>
      <c r="X199" s="250">
        <f t="shared" ca="1" si="313"/>
        <v>0</v>
      </c>
      <c r="Y199" s="250">
        <f t="shared" ca="1" si="313"/>
        <v>0</v>
      </c>
      <c r="Z199" s="250">
        <f t="shared" ca="1" si="313"/>
        <v>3247050</v>
      </c>
      <c r="AA199" s="250">
        <f t="shared" ca="1" si="313"/>
        <v>6808671</v>
      </c>
      <c r="AB199" s="250">
        <f t="shared" ca="1" si="313"/>
        <v>9956558</v>
      </c>
      <c r="AC199" s="250">
        <f t="shared" ca="1" si="313"/>
        <v>12419779</v>
      </c>
      <c r="AD199" s="250">
        <f t="shared" ca="1" si="313"/>
        <v>14442793</v>
      </c>
      <c r="AE199" s="250">
        <f t="shared" ca="1" si="313"/>
        <v>16355980</v>
      </c>
      <c r="AF199" s="250">
        <f t="shared" ca="1" si="313"/>
        <v>16793586</v>
      </c>
      <c r="AG199" s="250">
        <f t="shared" ca="1" si="313"/>
        <v>17085291</v>
      </c>
      <c r="AH199" s="250">
        <f t="shared" ca="1" si="313"/>
        <v>17065651</v>
      </c>
      <c r="AI199" s="250">
        <f t="shared" ca="1" si="313"/>
        <v>17383874</v>
      </c>
      <c r="AJ199" s="250">
        <f t="shared" ca="1" si="313"/>
        <v>17703088</v>
      </c>
      <c r="AK199" s="250">
        <f t="shared" ca="1" si="313"/>
        <v>18018341</v>
      </c>
      <c r="AL199" s="250">
        <f t="shared" ca="1" si="313"/>
        <v>18328388</v>
      </c>
      <c r="AM199" s="250">
        <f t="shared" ca="1" si="313"/>
        <v>18631977</v>
      </c>
      <c r="AN199" s="250">
        <f t="shared" ca="1" si="313"/>
        <v>18927844</v>
      </c>
      <c r="AO199" s="250">
        <f t="shared" ca="1" si="313"/>
        <v>19214716</v>
      </c>
      <c r="AP199" s="250">
        <f t="shared" ca="1" si="313"/>
        <v>19494506</v>
      </c>
      <c r="AQ199" s="250">
        <f t="shared" ca="1" si="313"/>
        <v>19759670</v>
      </c>
      <c r="AR199" s="250">
        <f t="shared" ca="1" si="313"/>
        <v>20011065</v>
      </c>
      <c r="AS199" s="250">
        <f t="shared" ca="1" si="313"/>
        <v>20270214</v>
      </c>
      <c r="AT199" s="250">
        <f t="shared" ca="1" si="313"/>
        <v>20521544</v>
      </c>
      <c r="AU199" s="250">
        <f t="shared" ca="1" si="313"/>
        <v>20766081</v>
      </c>
      <c r="AV199" s="250">
        <f t="shared" ca="1" si="313"/>
        <v>21002312</v>
      </c>
      <c r="AW199" s="250">
        <f t="shared" ca="1" si="313"/>
        <v>21232567</v>
      </c>
      <c r="AX199" s="250">
        <f t="shared" ca="1" si="313"/>
        <v>21459193</v>
      </c>
      <c r="AY199" s="250">
        <f t="shared" ca="1" si="313"/>
        <v>21684555</v>
      </c>
      <c r="AZ199" s="250">
        <f t="shared" ca="1" si="313"/>
        <v>21911036</v>
      </c>
      <c r="BA199" s="250">
        <f t="shared" ca="1" si="313"/>
        <v>22141040</v>
      </c>
      <c r="BB199" s="250">
        <f t="shared" ca="1" si="313"/>
        <v>22374802</v>
      </c>
      <c r="BC199" s="250">
        <f t="shared" ca="1" si="313"/>
        <v>22618853</v>
      </c>
      <c r="BD199" s="250">
        <f t="shared" ca="1" si="313"/>
        <v>22873645</v>
      </c>
      <c r="BE199" s="250">
        <f t="shared" ca="1" si="313"/>
        <v>23125509</v>
      </c>
      <c r="BF199" s="250">
        <f t="shared" ca="1" si="313"/>
        <v>23384054</v>
      </c>
      <c r="BG199" s="250">
        <f t="shared" ca="1" si="313"/>
        <v>23648959</v>
      </c>
      <c r="BH199" s="250">
        <f t="shared" ca="1" si="313"/>
        <v>23923227</v>
      </c>
      <c r="BI199" s="250">
        <f t="shared" ca="1" si="313"/>
        <v>24206128</v>
      </c>
      <c r="BJ199" s="250">
        <f t="shared" ca="1" si="313"/>
        <v>24496928</v>
      </c>
      <c r="BK199" s="250">
        <f t="shared" ca="1" si="313"/>
        <v>24794887</v>
      </c>
      <c r="BL199" s="250">
        <f t="shared" ca="1" si="313"/>
        <v>25099261</v>
      </c>
      <c r="BM199" s="250">
        <f t="shared" ca="1" si="313"/>
        <v>25409300</v>
      </c>
      <c r="BN199" s="250">
        <f t="shared" ca="1" si="313"/>
        <v>25722430</v>
      </c>
      <c r="BO199" s="250">
        <f t="shared" ca="1" si="313"/>
        <v>26041610</v>
      </c>
      <c r="BP199" s="250">
        <f t="shared" ca="1" si="313"/>
        <v>26365387</v>
      </c>
      <c r="BQ199" s="250">
        <f t="shared" ca="1" si="313"/>
        <v>26682588</v>
      </c>
      <c r="BR199" s="250">
        <f t="shared" ca="1" si="313"/>
        <v>27001854</v>
      </c>
      <c r="BS199" s="250">
        <f t="shared" ca="1" si="313"/>
        <v>27323199</v>
      </c>
      <c r="BT199" s="250">
        <f t="shared" ca="1" si="313"/>
        <v>27647951</v>
      </c>
      <c r="BU199" s="250">
        <f t="shared" ca="1" si="313"/>
        <v>27976139</v>
      </c>
      <c r="BV199" s="250">
        <f t="shared" ca="1" si="313"/>
        <v>28307793</v>
      </c>
      <c r="BW199" s="250">
        <f t="shared" ca="1" si="313"/>
        <v>28642943</v>
      </c>
      <c r="BX199" s="250">
        <f t="shared" ca="1" si="313"/>
        <v>28981620</v>
      </c>
      <c r="BY199" s="250">
        <f t="shared" ca="1" si="313"/>
        <v>29323853</v>
      </c>
      <c r="BZ199" s="250">
        <f t="shared" ca="1" si="313"/>
        <v>29668328</v>
      </c>
      <c r="CA199" s="250">
        <f t="shared" ca="1" si="313"/>
        <v>30017760</v>
      </c>
      <c r="CB199" s="250">
        <f t="shared" ca="1" si="313"/>
        <v>30371466</v>
      </c>
      <c r="CC199" s="250">
        <f t="shared" ref="CC199:DU199" ca="1" si="314">ROUND(SUM(CC187:CC198),0)</f>
        <v>30718511</v>
      </c>
      <c r="CD199" s="250">
        <f t="shared" ca="1" si="314"/>
        <v>31067835</v>
      </c>
      <c r="CE199" s="250">
        <f t="shared" ca="1" si="314"/>
        <v>31419454</v>
      </c>
      <c r="CF199" s="250">
        <f t="shared" ca="1" si="314"/>
        <v>31774752</v>
      </c>
      <c r="CG199" s="250">
        <f t="shared" ca="1" si="314"/>
        <v>32133761</v>
      </c>
      <c r="CH199" s="250">
        <f t="shared" ca="1" si="314"/>
        <v>32496513</v>
      </c>
      <c r="CI199" s="250">
        <f t="shared" ca="1" si="314"/>
        <v>32863042</v>
      </c>
      <c r="CJ199" s="250">
        <f t="shared" ca="1" si="314"/>
        <v>33233379</v>
      </c>
      <c r="CK199" s="250">
        <f t="shared" ca="1" si="314"/>
        <v>33607557</v>
      </c>
      <c r="CL199" s="250">
        <f t="shared" ca="1" si="314"/>
        <v>33984206</v>
      </c>
      <c r="CM199" s="250">
        <f t="shared" ca="1" si="314"/>
        <v>34366159</v>
      </c>
      <c r="CN199" s="250">
        <f t="shared" ca="1" si="314"/>
        <v>34752704</v>
      </c>
      <c r="CO199" s="250">
        <f t="shared" ca="1" si="314"/>
        <v>35132511</v>
      </c>
      <c r="CP199" s="250">
        <f t="shared" ca="1" si="314"/>
        <v>35514834</v>
      </c>
      <c r="CQ199" s="250">
        <f t="shared" ca="1" si="314"/>
        <v>35899689</v>
      </c>
      <c r="CR199" s="250">
        <f t="shared" ca="1" si="314"/>
        <v>36288522</v>
      </c>
      <c r="CS199" s="250">
        <f t="shared" ca="1" si="314"/>
        <v>36681367</v>
      </c>
      <c r="CT199" s="250">
        <f t="shared" ca="1" si="314"/>
        <v>37078258</v>
      </c>
      <c r="CU199" s="250">
        <f t="shared" ca="1" si="314"/>
        <v>37479231</v>
      </c>
      <c r="CV199" s="250">
        <f t="shared" ca="1" si="314"/>
        <v>37884320</v>
      </c>
      <c r="CW199" s="250">
        <f t="shared" ca="1" si="314"/>
        <v>38293561</v>
      </c>
      <c r="CX199" s="250">
        <f t="shared" ca="1" si="314"/>
        <v>38705527</v>
      </c>
      <c r="CY199" s="250">
        <f t="shared" ca="1" si="314"/>
        <v>39123171</v>
      </c>
      <c r="CZ199" s="250">
        <f t="shared" ca="1" si="314"/>
        <v>39545754</v>
      </c>
      <c r="DA199" s="250">
        <f t="shared" ca="1" si="314"/>
        <v>39961535</v>
      </c>
      <c r="DB199" s="250">
        <f t="shared" ca="1" si="314"/>
        <v>40380093</v>
      </c>
      <c r="DC199" s="250">
        <f t="shared" ca="1" si="314"/>
        <v>40801446</v>
      </c>
      <c r="DD199" s="250">
        <f t="shared" ca="1" si="314"/>
        <v>41227103</v>
      </c>
      <c r="DE199" s="250">
        <f t="shared" ca="1" si="314"/>
        <v>41657100</v>
      </c>
      <c r="DF199" s="250">
        <f t="shared" ca="1" si="314"/>
        <v>42091474</v>
      </c>
      <c r="DG199" s="250">
        <f t="shared" ca="1" si="314"/>
        <v>42530264</v>
      </c>
      <c r="DH199" s="250">
        <f t="shared" ca="1" si="314"/>
        <v>42973508</v>
      </c>
      <c r="DI199" s="250">
        <f t="shared" ca="1" si="314"/>
        <v>43421243</v>
      </c>
      <c r="DJ199" s="250">
        <f t="shared" ca="1" si="314"/>
        <v>43871983</v>
      </c>
      <c r="DK199" s="250">
        <f t="shared" ca="1" si="314"/>
        <v>44328809</v>
      </c>
      <c r="DL199" s="250">
        <f t="shared" ca="1" si="314"/>
        <v>44790950</v>
      </c>
      <c r="DM199" s="250">
        <f t="shared" ca="1" si="314"/>
        <v>45246238</v>
      </c>
      <c r="DN199" s="250">
        <f t="shared" ca="1" si="314"/>
        <v>45704592</v>
      </c>
      <c r="DO199" s="250">
        <f t="shared" ca="1" si="314"/>
        <v>46166032</v>
      </c>
      <c r="DP199" s="250">
        <f t="shared" ca="1" si="314"/>
        <v>46632132</v>
      </c>
      <c r="DQ199" s="250">
        <f t="shared" ca="1" si="314"/>
        <v>47102931</v>
      </c>
      <c r="DR199" s="250">
        <f t="shared" ca="1" si="314"/>
        <v>47578470</v>
      </c>
      <c r="DS199" s="250">
        <f t="shared" ca="1" si="314"/>
        <v>48058789</v>
      </c>
      <c r="DT199" s="250">
        <f t="shared" ca="1" si="314"/>
        <v>48543931</v>
      </c>
      <c r="DU199" s="250">
        <f t="shared" ca="1" si="314"/>
        <v>49033935</v>
      </c>
      <c r="EH199" s="644"/>
      <c r="EI199" s="722"/>
    </row>
    <row r="200" spans="1:141" ht="7.5" customHeight="1" thickTop="1" x14ac:dyDescent="0.3">
      <c r="N200" s="280"/>
      <c r="O200" s="280"/>
      <c r="P200" s="280"/>
      <c r="Q200" s="280"/>
      <c r="R200" s="280"/>
      <c r="S200" s="280"/>
      <c r="T200" s="280"/>
      <c r="U200" s="280"/>
      <c r="V200" s="280"/>
      <c r="W200" s="280"/>
      <c r="X200" s="280"/>
      <c r="Y200" s="280"/>
      <c r="Z200" s="280"/>
      <c r="AA200" s="280"/>
      <c r="AB200" s="280"/>
      <c r="AC200" s="280"/>
      <c r="AD200" s="280"/>
      <c r="AE200" s="280"/>
      <c r="AF200" s="280"/>
      <c r="AG200" s="280"/>
      <c r="AH200" s="280"/>
      <c r="AI200" s="280"/>
      <c r="AJ200" s="280"/>
      <c r="AK200" s="280"/>
      <c r="AL200" s="280"/>
      <c r="AM200" s="280"/>
      <c r="AN200" s="280"/>
      <c r="AO200" s="280"/>
      <c r="AP200" s="280"/>
      <c r="AQ200" s="280"/>
      <c r="AR200" s="280"/>
      <c r="AS200" s="280"/>
      <c r="AT200" s="280"/>
      <c r="AU200" s="280"/>
      <c r="AV200" s="280"/>
      <c r="AW200" s="280"/>
      <c r="AX200" s="280"/>
      <c r="AY200" s="280"/>
      <c r="AZ200" s="280"/>
      <c r="BA200" s="280"/>
      <c r="BB200" s="280"/>
      <c r="BC200" s="280"/>
      <c r="BD200" s="280"/>
      <c r="BE200" s="280"/>
      <c r="BF200" s="280"/>
      <c r="BG200" s="280"/>
      <c r="BH200" s="280"/>
      <c r="BI200" s="280"/>
      <c r="BJ200" s="280"/>
      <c r="BK200" s="280"/>
      <c r="BL200" s="280"/>
      <c r="BM200" s="280"/>
      <c r="BN200" s="280"/>
      <c r="BO200" s="280"/>
      <c r="BP200" s="280"/>
      <c r="BQ200" s="280"/>
      <c r="BR200" s="280"/>
      <c r="BS200" s="280"/>
      <c r="BT200" s="280"/>
      <c r="BU200" s="280"/>
      <c r="BV200" s="280"/>
      <c r="BW200" s="280"/>
      <c r="BX200" s="280"/>
      <c r="BY200" s="280"/>
      <c r="BZ200" s="280"/>
      <c r="CA200" s="280"/>
      <c r="CB200" s="280"/>
      <c r="CC200" s="280"/>
      <c r="CD200" s="280"/>
      <c r="CE200" s="280"/>
      <c r="CF200" s="280"/>
      <c r="CG200" s="280"/>
      <c r="CH200" s="280"/>
      <c r="CI200" s="280"/>
      <c r="CJ200" s="280"/>
      <c r="CK200" s="280"/>
      <c r="CL200" s="280"/>
      <c r="CM200" s="280"/>
      <c r="CN200" s="280"/>
      <c r="CO200" s="280"/>
      <c r="CP200" s="280"/>
      <c r="CQ200" s="280"/>
      <c r="CR200" s="280"/>
      <c r="CS200" s="280"/>
      <c r="CT200" s="280"/>
      <c r="CU200" s="280"/>
      <c r="CV200" s="280"/>
      <c r="CW200" s="280"/>
      <c r="CX200" s="280"/>
      <c r="CY200" s="280"/>
      <c r="CZ200" s="280"/>
      <c r="DA200" s="280"/>
      <c r="DB200" s="280"/>
      <c r="DC200" s="280"/>
      <c r="DD200" s="280"/>
      <c r="DE200" s="280"/>
      <c r="DF200" s="280"/>
      <c r="DG200" s="280"/>
      <c r="DH200" s="280"/>
      <c r="DI200" s="280"/>
      <c r="DJ200" s="280"/>
      <c r="DK200" s="280"/>
      <c r="DL200" s="280"/>
      <c r="DM200" s="280"/>
      <c r="DN200" s="280"/>
      <c r="DO200" s="280"/>
      <c r="DP200" s="280"/>
      <c r="DQ200" s="280"/>
      <c r="DR200" s="280"/>
      <c r="DS200" s="280"/>
      <c r="DT200" s="280"/>
      <c r="DU200" s="280"/>
      <c r="DV200" s="280"/>
      <c r="DW200" s="280"/>
      <c r="DX200" s="280"/>
      <c r="DY200" s="280"/>
      <c r="DZ200" s="280"/>
      <c r="EA200" s="280"/>
      <c r="EB200" s="280"/>
      <c r="EC200" s="280"/>
      <c r="ED200" s="280"/>
      <c r="EE200" s="280"/>
      <c r="EF200" s="280"/>
      <c r="EG200" s="280"/>
      <c r="EH200" s="644"/>
      <c r="EI200" s="280"/>
      <c r="EJ200" s="280"/>
      <c r="EK200" s="280"/>
    </row>
    <row r="201" spans="1:141" ht="15.6" x14ac:dyDescent="0.3">
      <c r="A201" s="115" t="s">
        <v>1009</v>
      </c>
      <c r="B201" s="204"/>
      <c r="C201" s="204"/>
      <c r="D201" s="738"/>
      <c r="E201" s="204"/>
      <c r="F201" s="204"/>
      <c r="G201" s="204"/>
      <c r="H201" s="204"/>
      <c r="I201" s="204"/>
      <c r="J201" s="204"/>
      <c r="K201" s="204"/>
      <c r="L201" s="204"/>
      <c r="M201" s="204"/>
      <c r="N201" s="204"/>
      <c r="O201" s="204"/>
      <c r="P201" s="204"/>
      <c r="Q201" s="204"/>
      <c r="R201" s="204"/>
      <c r="S201" s="204"/>
      <c r="T201" s="204"/>
      <c r="U201" s="204"/>
      <c r="V201" s="204"/>
      <c r="W201" s="204"/>
      <c r="X201" s="204"/>
      <c r="Y201" s="204"/>
      <c r="Z201" s="204"/>
      <c r="AA201" s="204"/>
      <c r="AB201" s="204"/>
      <c r="AC201" s="204"/>
      <c r="AD201" s="204"/>
      <c r="AE201" s="204"/>
      <c r="AF201" s="204"/>
      <c r="AG201" s="204"/>
      <c r="AH201" s="204"/>
      <c r="AI201" s="204"/>
      <c r="AJ201" s="204"/>
      <c r="AK201" s="204"/>
      <c r="AL201" s="204"/>
      <c r="AM201" s="204"/>
      <c r="AN201" s="204"/>
      <c r="AO201" s="204"/>
      <c r="AP201" s="204"/>
      <c r="AQ201" s="204"/>
      <c r="AR201" s="204"/>
      <c r="AS201" s="204"/>
      <c r="AT201" s="204"/>
      <c r="AU201" s="204"/>
      <c r="AV201" s="204"/>
      <c r="AW201" s="204"/>
      <c r="AX201" s="204"/>
      <c r="AY201" s="204"/>
      <c r="AZ201" s="204"/>
      <c r="BA201" s="204"/>
      <c r="BB201" s="204"/>
      <c r="BC201" s="204"/>
      <c r="BD201" s="204"/>
      <c r="BE201" s="204"/>
      <c r="BF201" s="204"/>
      <c r="BG201" s="204"/>
      <c r="BH201" s="204"/>
      <c r="BI201" s="204"/>
      <c r="BJ201" s="204"/>
      <c r="BK201" s="204"/>
      <c r="BL201" s="204"/>
      <c r="BM201" s="204"/>
      <c r="BN201" s="204"/>
      <c r="BO201" s="204"/>
      <c r="BP201" s="204"/>
      <c r="BQ201" s="204"/>
      <c r="BR201" s="204"/>
      <c r="BS201" s="204"/>
      <c r="BT201" s="204"/>
      <c r="BU201" s="204"/>
      <c r="BV201" s="204"/>
      <c r="BW201" s="204"/>
      <c r="BX201" s="204"/>
      <c r="BY201" s="204"/>
      <c r="BZ201" s="204"/>
      <c r="CA201" s="204"/>
      <c r="CB201" s="204"/>
      <c r="CC201" s="204"/>
      <c r="CD201" s="204"/>
      <c r="CE201" s="204"/>
      <c r="CF201" s="204"/>
      <c r="CG201" s="204"/>
      <c r="CH201" s="204"/>
      <c r="CI201" s="204"/>
      <c r="CJ201" s="204"/>
      <c r="CK201" s="204"/>
      <c r="CL201" s="204"/>
      <c r="CM201" s="204"/>
      <c r="CN201" s="204"/>
      <c r="CO201" s="204"/>
      <c r="CP201" s="204"/>
      <c r="CQ201" s="204"/>
      <c r="CR201" s="204"/>
      <c r="CS201" s="204"/>
      <c r="CT201" s="204"/>
      <c r="CU201" s="204"/>
      <c r="CV201" s="204"/>
      <c r="CW201" s="204"/>
      <c r="CX201" s="204"/>
      <c r="CY201" s="204"/>
      <c r="CZ201" s="204"/>
      <c r="DA201" s="204"/>
      <c r="DB201" s="204"/>
      <c r="DC201" s="204"/>
      <c r="DD201" s="204"/>
      <c r="DE201" s="204"/>
      <c r="DF201" s="204"/>
      <c r="DG201" s="204"/>
      <c r="DH201" s="204"/>
      <c r="DI201" s="204"/>
      <c r="DJ201" s="204"/>
      <c r="DK201" s="204"/>
      <c r="DL201" s="204"/>
      <c r="DM201" s="204"/>
      <c r="DN201" s="204"/>
      <c r="DO201" s="204"/>
      <c r="DP201" s="204"/>
      <c r="DQ201" s="204"/>
      <c r="DR201" s="204"/>
      <c r="DS201" s="204"/>
      <c r="DT201" s="204"/>
      <c r="DU201" s="444"/>
      <c r="EH201" s="644"/>
      <c r="EI201" s="722"/>
    </row>
    <row r="202" spans="1:141" ht="3.75" customHeight="1" thickBot="1" x14ac:dyDescent="0.35">
      <c r="A202" s="715"/>
      <c r="B202" s="715"/>
      <c r="C202" s="715"/>
      <c r="D202" s="739"/>
      <c r="E202" s="715"/>
      <c r="F202" s="715"/>
      <c r="G202" s="715"/>
      <c r="H202" s="715"/>
      <c r="I202" s="715"/>
      <c r="J202" s="715"/>
      <c r="K202" s="715"/>
      <c r="L202" s="715"/>
      <c r="M202" s="715"/>
      <c r="N202" s="715"/>
      <c r="O202" s="715"/>
      <c r="P202" s="715"/>
      <c r="Q202" s="715"/>
      <c r="R202" s="715"/>
      <c r="S202" s="715"/>
      <c r="T202" s="715"/>
      <c r="U202" s="715"/>
      <c r="V202" s="715"/>
      <c r="W202" s="715"/>
      <c r="X202" s="715"/>
      <c r="Y202" s="715"/>
      <c r="Z202" s="715"/>
      <c r="AA202" s="715"/>
      <c r="AB202" s="715"/>
      <c r="AC202" s="715"/>
      <c r="AD202" s="715"/>
      <c r="AE202" s="715"/>
      <c r="AF202" s="715"/>
      <c r="AG202" s="715"/>
      <c r="AH202" s="715"/>
      <c r="AI202" s="715"/>
      <c r="AJ202" s="715"/>
      <c r="AK202" s="715"/>
      <c r="AL202" s="715"/>
      <c r="AM202" s="715"/>
      <c r="AN202" s="715"/>
      <c r="AO202" s="715"/>
      <c r="AP202" s="715"/>
      <c r="AQ202" s="715"/>
      <c r="AR202" s="715"/>
      <c r="AS202" s="715"/>
      <c r="AT202" s="715"/>
      <c r="AU202" s="715"/>
      <c r="AV202" s="715"/>
      <c r="AW202" s="715"/>
      <c r="AX202" s="715"/>
      <c r="AY202" s="715"/>
      <c r="AZ202" s="715"/>
      <c r="BA202" s="715"/>
      <c r="BB202" s="715"/>
      <c r="BC202" s="715"/>
      <c r="BD202" s="715"/>
      <c r="BE202" s="715"/>
      <c r="BF202" s="715"/>
      <c r="BG202" s="715"/>
      <c r="BH202" s="715"/>
      <c r="BI202" s="715"/>
      <c r="BJ202" s="715"/>
      <c r="BK202" s="715"/>
      <c r="BL202" s="715"/>
      <c r="BM202" s="715"/>
      <c r="BN202" s="715"/>
      <c r="BO202" s="715"/>
      <c r="BP202" s="715"/>
      <c r="BQ202" s="715"/>
      <c r="BR202" s="715"/>
      <c r="BS202" s="715"/>
      <c r="BT202" s="715"/>
      <c r="BU202" s="715"/>
      <c r="BV202" s="715"/>
      <c r="BW202" s="715"/>
      <c r="BX202" s="715"/>
      <c r="BY202" s="715"/>
      <c r="BZ202" s="715"/>
      <c r="CA202" s="715"/>
      <c r="CB202" s="715"/>
      <c r="CC202" s="715"/>
      <c r="CD202" s="715"/>
      <c r="CE202" s="715"/>
      <c r="CF202" s="715"/>
      <c r="CG202" s="715"/>
      <c r="CH202" s="715"/>
      <c r="CI202" s="715"/>
      <c r="CJ202" s="715"/>
      <c r="CK202" s="715"/>
      <c r="CL202" s="715"/>
      <c r="CM202" s="715"/>
      <c r="CN202" s="715"/>
      <c r="CO202" s="715"/>
      <c r="CP202" s="715"/>
      <c r="CQ202" s="715"/>
      <c r="CR202" s="715"/>
      <c r="CS202" s="715"/>
      <c r="CT202" s="715"/>
      <c r="CU202" s="715"/>
      <c r="CV202" s="715"/>
      <c r="CW202" s="715"/>
      <c r="CX202" s="715"/>
      <c r="CY202" s="715"/>
      <c r="CZ202" s="715"/>
      <c r="DA202" s="715"/>
      <c r="DB202" s="715"/>
      <c r="DC202" s="715"/>
      <c r="DD202" s="715"/>
      <c r="DE202" s="715"/>
      <c r="DF202" s="715"/>
      <c r="DG202" s="715"/>
      <c r="DH202" s="715"/>
      <c r="DI202" s="715"/>
      <c r="DJ202" s="715"/>
      <c r="DK202" s="715"/>
      <c r="DL202" s="715"/>
      <c r="DM202" s="715"/>
      <c r="DN202" s="715"/>
      <c r="DO202" s="715"/>
      <c r="DP202" s="715"/>
      <c r="DQ202" s="715"/>
      <c r="DR202" s="715"/>
      <c r="DS202" s="715"/>
      <c r="DT202" s="715"/>
      <c r="DU202" s="715"/>
      <c r="EH202" s="644"/>
      <c r="EI202" s="722"/>
    </row>
    <row r="203" spans="1:141" s="226" customFormat="1" ht="7.5" customHeight="1" thickTop="1" x14ac:dyDescent="0.3">
      <c r="A203"/>
      <c r="B203"/>
      <c r="C203"/>
      <c r="D203" s="200"/>
      <c r="E203"/>
      <c r="F203"/>
      <c r="G203"/>
      <c r="H203"/>
      <c r="I203"/>
      <c r="J203"/>
      <c r="K203"/>
      <c r="M203"/>
      <c r="N203"/>
      <c r="O203"/>
      <c r="P203"/>
      <c r="Q203"/>
      <c r="EH203" s="644"/>
      <c r="EI203" s="280"/>
      <c r="EK203"/>
    </row>
    <row r="204" spans="1:141" x14ac:dyDescent="0.3">
      <c r="A204" s="182" t="s">
        <v>2501</v>
      </c>
      <c r="B204" s="182"/>
      <c r="C204" s="400">
        <f ca="1">(1+IRR(E204:DU204,0.01))^12-1</f>
        <v>0.30587547483465172</v>
      </c>
      <c r="D204" s="647"/>
      <c r="E204" s="408">
        <f t="shared" ref="E204:AJ204" ca="1" si="315">IF(E$5&lt;DispositionMonth,-E$42-E$67-E$92-E$132-E$134-E$136-E$138-E$140-E$142+E$146+E$147+E$148-E$165-E$168-E$171+E$175+E$176+E$177,IF(E$5=DispositionMonth,SUM(E$187:E$195)-E$42-E$67-E$92-E$132-E$134-E$136-E$138-E$140-E$142+E$146+E$147+E$148-E$165-E$168-E$171+E$175+E$176+E$177,0))</f>
        <v>-1872006.950411486</v>
      </c>
      <c r="F204" s="408">
        <f t="shared" ca="1" si="315"/>
        <v>-15199690.31702359</v>
      </c>
      <c r="G204" s="408">
        <f t="shared" ca="1" si="315"/>
        <v>-477509.54329989548</v>
      </c>
      <c r="H204" s="408">
        <f t="shared" ca="1" si="315"/>
        <v>-725018.0475038616</v>
      </c>
      <c r="I204" s="408">
        <f t="shared" ca="1" si="315"/>
        <v>-1231351.4260033614</v>
      </c>
      <c r="J204" s="408">
        <f t="shared" ca="1" si="315"/>
        <v>-2009445.0862433794</v>
      </c>
      <c r="K204" s="408">
        <f t="shared" ca="1" si="315"/>
        <v>-2068277.2828140815</v>
      </c>
      <c r="L204" s="408">
        <f t="shared" ca="1" si="315"/>
        <v>-2635556.0946173389</v>
      </c>
      <c r="M204" s="408">
        <f t="shared" ca="1" si="315"/>
        <v>-3126311.3752459437</v>
      </c>
      <c r="N204" s="408">
        <f t="shared" ca="1" si="315"/>
        <v>-3659644.6239059586</v>
      </c>
      <c r="O204" s="408">
        <f t="shared" ca="1" si="315"/>
        <v>-2077020.2069114102</v>
      </c>
      <c r="P204" s="408">
        <f t="shared" ca="1" si="315"/>
        <v>0</v>
      </c>
      <c r="Q204" s="408">
        <f t="shared" ca="1" si="315"/>
        <v>0</v>
      </c>
      <c r="R204" s="408">
        <f t="shared" ca="1" si="315"/>
        <v>0</v>
      </c>
      <c r="S204" s="408">
        <f t="shared" ca="1" si="315"/>
        <v>0</v>
      </c>
      <c r="T204" s="408">
        <f t="shared" ca="1" si="315"/>
        <v>0</v>
      </c>
      <c r="U204" s="408">
        <f t="shared" ca="1" si="315"/>
        <v>0</v>
      </c>
      <c r="V204" s="408">
        <f t="shared" ca="1" si="315"/>
        <v>0</v>
      </c>
      <c r="W204" s="408">
        <f t="shared" ca="1" si="315"/>
        <v>0</v>
      </c>
      <c r="X204" s="408">
        <f t="shared" ca="1" si="315"/>
        <v>0</v>
      </c>
      <c r="Y204" s="408">
        <f t="shared" ca="1" si="315"/>
        <v>0</v>
      </c>
      <c r="Z204" s="408">
        <f ca="1">IF(Z$5&lt;DispositionMonth,-Z$42-Z$67-Z$92-Z$132-Z$134-Z$136-Z$138-Z$140-Z$142+Z$146+Z$147+Z$148-Z$165-Z$168-Z$171+Z$175+Z$176+Z$177,IF(Z$5=DispositionMonth,SUM(Z$187:Z$195)-Z$42-Z$67-Z$92-Z$132-Z$134-Z$136-Z$138-Z$140-Z$142+Z$146+Z$147+Z$148-Z$165-Z$168-Z$171+Z$175+Z$176+Z$177,0))</f>
        <v>0</v>
      </c>
      <c r="AA204" s="408">
        <f t="shared" ca="1" si="315"/>
        <v>0</v>
      </c>
      <c r="AB204" s="408">
        <f t="shared" ca="1" si="315"/>
        <v>0</v>
      </c>
      <c r="AC204" s="408">
        <f t="shared" ca="1" si="315"/>
        <v>44113.029490091343</v>
      </c>
      <c r="AD204" s="408">
        <f t="shared" ca="1" si="315"/>
        <v>84330.422386363207</v>
      </c>
      <c r="AE204" s="408">
        <f t="shared" ca="1" si="315"/>
        <v>130124.26310856765</v>
      </c>
      <c r="AF204" s="408">
        <f t="shared" ca="1" si="315"/>
        <v>219562.23728908136</v>
      </c>
      <c r="AG204" s="408">
        <f t="shared" ca="1" si="315"/>
        <v>59404812.488954499</v>
      </c>
      <c r="AH204" s="408">
        <f t="shared" si="315"/>
        <v>0</v>
      </c>
      <c r="AI204" s="408">
        <f t="shared" si="315"/>
        <v>0</v>
      </c>
      <c r="AJ204" s="408">
        <f t="shared" si="315"/>
        <v>0</v>
      </c>
      <c r="AK204" s="408">
        <f t="shared" ref="AK204:BP204" si="316">IF(AK$5&lt;DispositionMonth,-AK$42-AK$67-AK$92-AK$132-AK$134-AK$136-AK$138-AK$140-AK$142+AK$146+AK$147+AK$148-AK$165-AK$168-AK$171+AK$175+AK$176+AK$177,IF(AK$5=DispositionMonth,SUM(AK$187:AK$195)-AK$42-AK$67-AK$92-AK$132-AK$134-AK$136-AK$138-AK$140-AK$142+AK$146+AK$147+AK$148-AK$165-AK$168-AK$171+AK$175+AK$176+AK$177,0))</f>
        <v>0</v>
      </c>
      <c r="AL204" s="408">
        <f t="shared" si="316"/>
        <v>0</v>
      </c>
      <c r="AM204" s="408">
        <f t="shared" si="316"/>
        <v>0</v>
      </c>
      <c r="AN204" s="408">
        <f t="shared" si="316"/>
        <v>0</v>
      </c>
      <c r="AO204" s="408">
        <f t="shared" si="316"/>
        <v>0</v>
      </c>
      <c r="AP204" s="408">
        <f t="shared" si="316"/>
        <v>0</v>
      </c>
      <c r="AQ204" s="408">
        <f t="shared" si="316"/>
        <v>0</v>
      </c>
      <c r="AR204" s="408">
        <f t="shared" si="316"/>
        <v>0</v>
      </c>
      <c r="AS204" s="408">
        <f t="shared" si="316"/>
        <v>0</v>
      </c>
      <c r="AT204" s="408">
        <f t="shared" si="316"/>
        <v>0</v>
      </c>
      <c r="AU204" s="408">
        <f t="shared" si="316"/>
        <v>0</v>
      </c>
      <c r="AV204" s="408">
        <f t="shared" si="316"/>
        <v>0</v>
      </c>
      <c r="AW204" s="408">
        <f t="shared" si="316"/>
        <v>0</v>
      </c>
      <c r="AX204" s="408">
        <f t="shared" si="316"/>
        <v>0</v>
      </c>
      <c r="AY204" s="408">
        <f>IF(AY$5&lt;DispositionMonth,-AY$42-AY$67-AY$92-AY$132-AY$134-AY$136-AY$138-AY$140-AY$142+AY$146+AY$147+AY$148-AY$165-AY$168-AY$171+AY$175+AY$176+AY$177,IF(AY$5=DispositionMonth,SUM(AY$187:AY$195)-AY$42-AY$67-AY$92-AY$132-AY$134-AY$136-AY$138-AY$140-AY$142+AY$146+AY$147+AY$148-AY$165-AY$168-AY$171+AY$175+AY$176+AY$177,0))</f>
        <v>0</v>
      </c>
      <c r="AZ204" s="408">
        <f t="shared" si="316"/>
        <v>0</v>
      </c>
      <c r="BA204" s="408">
        <f>IF(BA$5&lt;DispositionMonth,-BA$42-BA$67-BA$92-BA$132-BA$134-BA$136-BA$138-BA$140-BA$142+BA$146+BA$147+BA$148-BA$165-BA$168-BA$171+BA$175+BA$176+BA$177,IF(BA$5=DispositionMonth,SUM(BA$187:BA$195)-BA$42-BA$67-BA$92-BA$132-BA$134-BA$136-BA$138-BA$140-BA$142+BA$146+BA$147+BA$148-BA$165-BA$168-BA$171+BA$175+BA$176+BA$177,0))</f>
        <v>0</v>
      </c>
      <c r="BB204" s="408">
        <f t="shared" si="316"/>
        <v>0</v>
      </c>
      <c r="BC204" s="408">
        <f t="shared" si="316"/>
        <v>0</v>
      </c>
      <c r="BD204" s="408">
        <f t="shared" si="316"/>
        <v>0</v>
      </c>
      <c r="BE204" s="408">
        <f t="shared" si="316"/>
        <v>0</v>
      </c>
      <c r="BF204" s="408">
        <f t="shared" si="316"/>
        <v>0</v>
      </c>
      <c r="BG204" s="408">
        <f t="shared" si="316"/>
        <v>0</v>
      </c>
      <c r="BH204" s="408">
        <f t="shared" si="316"/>
        <v>0</v>
      </c>
      <c r="BI204" s="408">
        <f t="shared" si="316"/>
        <v>0</v>
      </c>
      <c r="BJ204" s="408">
        <f t="shared" si="316"/>
        <v>0</v>
      </c>
      <c r="BK204" s="408">
        <f t="shared" si="316"/>
        <v>0</v>
      </c>
      <c r="BL204" s="408">
        <f t="shared" si="316"/>
        <v>0</v>
      </c>
      <c r="BM204" s="408">
        <f t="shared" si="316"/>
        <v>0</v>
      </c>
      <c r="BN204" s="408">
        <f t="shared" si="316"/>
        <v>0</v>
      </c>
      <c r="BO204" s="408">
        <f t="shared" si="316"/>
        <v>0</v>
      </c>
      <c r="BP204" s="408">
        <f t="shared" si="316"/>
        <v>0</v>
      </c>
      <c r="BQ204" s="408">
        <f t="shared" ref="BQ204:CV204" si="317">IF(BQ$5&lt;DispositionMonth,-BQ$42-BQ$67-BQ$92-BQ$132-BQ$134-BQ$136-BQ$138-BQ$140-BQ$142+BQ$146+BQ$147+BQ$148-BQ$165-BQ$168-BQ$171+BQ$175+BQ$176+BQ$177,IF(BQ$5=DispositionMonth,SUM(BQ$187:BQ$195)-BQ$42-BQ$67-BQ$92-BQ$132-BQ$134-BQ$136-BQ$138-BQ$140-BQ$142+BQ$146+BQ$147+BQ$148-BQ$165-BQ$168-BQ$171+BQ$175+BQ$176+BQ$177,0))</f>
        <v>0</v>
      </c>
      <c r="BR204" s="408">
        <f t="shared" si="317"/>
        <v>0</v>
      </c>
      <c r="BS204" s="408">
        <f t="shared" si="317"/>
        <v>0</v>
      </c>
      <c r="BT204" s="408">
        <f t="shared" si="317"/>
        <v>0</v>
      </c>
      <c r="BU204" s="408">
        <f t="shared" si="317"/>
        <v>0</v>
      </c>
      <c r="BV204" s="408">
        <f t="shared" si="317"/>
        <v>0</v>
      </c>
      <c r="BW204" s="408">
        <f t="shared" si="317"/>
        <v>0</v>
      </c>
      <c r="BX204" s="408">
        <f t="shared" si="317"/>
        <v>0</v>
      </c>
      <c r="BY204" s="408">
        <f t="shared" si="317"/>
        <v>0</v>
      </c>
      <c r="BZ204" s="408">
        <f t="shared" si="317"/>
        <v>0</v>
      </c>
      <c r="CA204" s="408">
        <f t="shared" si="317"/>
        <v>0</v>
      </c>
      <c r="CB204" s="408">
        <f t="shared" si="317"/>
        <v>0</v>
      </c>
      <c r="CC204" s="408">
        <f t="shared" si="317"/>
        <v>0</v>
      </c>
      <c r="CD204" s="408">
        <f t="shared" si="317"/>
        <v>0</v>
      </c>
      <c r="CE204" s="408">
        <f t="shared" si="317"/>
        <v>0</v>
      </c>
      <c r="CF204" s="408">
        <f t="shared" si="317"/>
        <v>0</v>
      </c>
      <c r="CG204" s="408">
        <f t="shared" si="317"/>
        <v>0</v>
      </c>
      <c r="CH204" s="408">
        <f t="shared" si="317"/>
        <v>0</v>
      </c>
      <c r="CI204" s="408">
        <f t="shared" si="317"/>
        <v>0</v>
      </c>
      <c r="CJ204" s="408">
        <f t="shared" si="317"/>
        <v>0</v>
      </c>
      <c r="CK204" s="408">
        <f t="shared" si="317"/>
        <v>0</v>
      </c>
      <c r="CL204" s="408">
        <f t="shared" si="317"/>
        <v>0</v>
      </c>
      <c r="CM204" s="408">
        <f t="shared" si="317"/>
        <v>0</v>
      </c>
      <c r="CN204" s="408">
        <f t="shared" si="317"/>
        <v>0</v>
      </c>
      <c r="CO204" s="408">
        <f t="shared" si="317"/>
        <v>0</v>
      </c>
      <c r="CP204" s="408">
        <f t="shared" si="317"/>
        <v>0</v>
      </c>
      <c r="CQ204" s="408">
        <f t="shared" si="317"/>
        <v>0</v>
      </c>
      <c r="CR204" s="408">
        <f t="shared" si="317"/>
        <v>0</v>
      </c>
      <c r="CS204" s="408">
        <f t="shared" si="317"/>
        <v>0</v>
      </c>
      <c r="CT204" s="408">
        <f t="shared" si="317"/>
        <v>0</v>
      </c>
      <c r="CU204" s="408">
        <f t="shared" si="317"/>
        <v>0</v>
      </c>
      <c r="CV204" s="408">
        <f t="shared" si="317"/>
        <v>0</v>
      </c>
      <c r="CW204" s="408">
        <f t="shared" ref="CW204:DU204" si="318">IF(CW$5&lt;DispositionMonth,-CW$42-CW$67-CW$92-CW$132-CW$134-CW$136-CW$138-CW$140-CW$142+CW$146+CW$147+CW$148-CW$165-CW$168-CW$171+CW$175+CW$176+CW$177,IF(CW$5=DispositionMonth,SUM(CW$187:CW$195)-CW$42-CW$67-CW$92-CW$132-CW$134-CW$136-CW$138-CW$140-CW$142+CW$146+CW$147+CW$148-CW$165-CW$168-CW$171+CW$175+CW$176+CW$177,0))</f>
        <v>0</v>
      </c>
      <c r="CX204" s="408">
        <f t="shared" si="318"/>
        <v>0</v>
      </c>
      <c r="CY204" s="408">
        <f t="shared" si="318"/>
        <v>0</v>
      </c>
      <c r="CZ204" s="408">
        <f t="shared" si="318"/>
        <v>0</v>
      </c>
      <c r="DA204" s="408">
        <f t="shared" si="318"/>
        <v>0</v>
      </c>
      <c r="DB204" s="408">
        <f t="shared" si="318"/>
        <v>0</v>
      </c>
      <c r="DC204" s="408">
        <f t="shared" si="318"/>
        <v>0</v>
      </c>
      <c r="DD204" s="408">
        <f t="shared" si="318"/>
        <v>0</v>
      </c>
      <c r="DE204" s="408">
        <f t="shared" si="318"/>
        <v>0</v>
      </c>
      <c r="DF204" s="408">
        <f t="shared" si="318"/>
        <v>0</v>
      </c>
      <c r="DG204" s="408">
        <f t="shared" si="318"/>
        <v>0</v>
      </c>
      <c r="DH204" s="408">
        <f t="shared" si="318"/>
        <v>0</v>
      </c>
      <c r="DI204" s="408">
        <f t="shared" si="318"/>
        <v>0</v>
      </c>
      <c r="DJ204" s="408">
        <f t="shared" si="318"/>
        <v>0</v>
      </c>
      <c r="DK204" s="408">
        <f t="shared" si="318"/>
        <v>0</v>
      </c>
      <c r="DL204" s="408">
        <f t="shared" si="318"/>
        <v>0</v>
      </c>
      <c r="DM204" s="408">
        <f t="shared" si="318"/>
        <v>0</v>
      </c>
      <c r="DN204" s="408">
        <f t="shared" si="318"/>
        <v>0</v>
      </c>
      <c r="DO204" s="408">
        <f t="shared" si="318"/>
        <v>0</v>
      </c>
      <c r="DP204" s="408">
        <f t="shared" si="318"/>
        <v>0</v>
      </c>
      <c r="DQ204" s="408">
        <f t="shared" si="318"/>
        <v>0</v>
      </c>
      <c r="DR204" s="408">
        <f t="shared" si="318"/>
        <v>0</v>
      </c>
      <c r="DS204" s="408">
        <f t="shared" si="318"/>
        <v>0</v>
      </c>
      <c r="DT204" s="408">
        <f t="shared" si="318"/>
        <v>0</v>
      </c>
      <c r="DU204" s="408">
        <f t="shared" si="318"/>
        <v>0</v>
      </c>
      <c r="EH204" s="644"/>
      <c r="EI204" s="722"/>
    </row>
    <row r="205" spans="1:141" ht="16.5" customHeight="1" thickBot="1" x14ac:dyDescent="0.35">
      <c r="A205" s="1509"/>
      <c r="D205" s="282"/>
      <c r="E205" s="227"/>
      <c r="F205" s="227"/>
      <c r="G205" s="227"/>
      <c r="H205" s="227"/>
      <c r="I205" s="227"/>
      <c r="J205" s="227"/>
      <c r="K205" s="227"/>
      <c r="L205" s="227"/>
      <c r="M205" s="227"/>
      <c r="N205" s="227"/>
      <c r="O205" s="227"/>
      <c r="P205" s="227"/>
      <c r="Q205" s="227"/>
      <c r="R205" s="227"/>
      <c r="S205" s="227"/>
      <c r="T205" s="227"/>
      <c r="U205" s="227"/>
      <c r="V205" s="227"/>
      <c r="W205" s="227"/>
      <c r="X205" s="227"/>
      <c r="Y205" s="227"/>
      <c r="Z205" s="227"/>
      <c r="AA205" s="227"/>
      <c r="AB205" s="227"/>
      <c r="AC205" s="227"/>
      <c r="AD205" s="227"/>
      <c r="AE205" s="227"/>
      <c r="AF205" s="227"/>
      <c r="AG205" s="227"/>
      <c r="AH205" s="227"/>
      <c r="AI205" s="227"/>
      <c r="AJ205" s="227"/>
      <c r="AK205" s="227"/>
      <c r="AL205" s="227"/>
      <c r="AM205" s="227"/>
      <c r="AN205" s="227"/>
      <c r="AO205" s="227"/>
      <c r="AP205" s="227"/>
      <c r="AQ205" s="227"/>
      <c r="AR205" s="227"/>
      <c r="AS205" s="227"/>
      <c r="AT205" s="227"/>
      <c r="AU205" s="227"/>
      <c r="AV205" s="227"/>
      <c r="AW205" s="227"/>
      <c r="AX205" s="227"/>
      <c r="AY205" s="227"/>
      <c r="AZ205" s="227"/>
      <c r="BA205" s="227"/>
      <c r="BB205" s="227"/>
      <c r="BC205" s="227"/>
      <c r="BD205" s="227"/>
      <c r="BE205" s="227"/>
      <c r="BF205" s="227"/>
      <c r="BG205" s="227"/>
      <c r="BH205" s="227"/>
      <c r="BI205" s="227"/>
      <c r="BJ205" s="227"/>
      <c r="BK205" s="227"/>
      <c r="BL205" s="227"/>
      <c r="BM205" s="227"/>
      <c r="BN205" s="227"/>
      <c r="BO205" s="227"/>
      <c r="BP205" s="227"/>
      <c r="BQ205" s="227"/>
      <c r="BR205" s="227"/>
      <c r="BS205" s="227"/>
      <c r="BT205" s="227"/>
      <c r="BU205" s="227"/>
      <c r="BV205" s="227"/>
      <c r="BW205" s="227"/>
      <c r="BX205" s="227"/>
      <c r="BY205" s="227"/>
      <c r="BZ205" s="227"/>
      <c r="CA205" s="227"/>
      <c r="CB205" s="227"/>
      <c r="CC205" s="227"/>
      <c r="CD205" s="227"/>
      <c r="CE205" s="227"/>
      <c r="CF205" s="227"/>
      <c r="CG205" s="227"/>
      <c r="CH205" s="227"/>
      <c r="CI205" s="227"/>
      <c r="CJ205" s="227"/>
      <c r="CK205" s="227"/>
      <c r="CL205" s="227"/>
      <c r="CM205" s="227"/>
      <c r="CN205" s="227"/>
      <c r="CO205" s="227"/>
      <c r="CP205" s="227"/>
      <c r="CQ205" s="227"/>
      <c r="CR205" s="227"/>
      <c r="CS205" s="227"/>
      <c r="CT205" s="227"/>
      <c r="CU205" s="227"/>
      <c r="CV205" s="227"/>
      <c r="CW205" s="227"/>
      <c r="CX205" s="227"/>
      <c r="CY205" s="227"/>
      <c r="CZ205" s="227"/>
      <c r="DA205" s="227"/>
      <c r="DB205" s="227"/>
      <c r="DC205" s="227"/>
      <c r="DD205" s="227"/>
      <c r="DE205" s="227"/>
      <c r="DF205" s="227"/>
      <c r="DG205" s="227"/>
      <c r="DH205" s="227"/>
      <c r="DI205" s="227"/>
      <c r="DJ205" s="227"/>
      <c r="DK205" s="227"/>
      <c r="DL205" s="227"/>
      <c r="DM205" s="227"/>
      <c r="DN205" s="227"/>
      <c r="DO205" s="227"/>
      <c r="DP205" s="227"/>
      <c r="DQ205" s="227"/>
      <c r="DR205" s="227"/>
      <c r="DS205" s="227"/>
      <c r="DT205" s="227"/>
      <c r="DU205" s="227"/>
      <c r="EH205" s="644"/>
      <c r="EI205" s="280"/>
    </row>
    <row r="206" spans="1:141" ht="15" thickTop="1" x14ac:dyDescent="0.3">
      <c r="A206" s="318" t="s">
        <v>2502</v>
      </c>
      <c r="B206" s="635"/>
      <c r="C206" s="321"/>
      <c r="D206" s="728"/>
      <c r="E206" s="322"/>
      <c r="F206" s="322"/>
      <c r="G206" s="322"/>
      <c r="H206" s="322"/>
      <c r="I206" s="322"/>
      <c r="J206" s="322"/>
      <c r="K206" s="322"/>
      <c r="L206" s="322"/>
      <c r="M206" s="322"/>
      <c r="N206" s="322"/>
      <c r="O206" s="322"/>
      <c r="P206" s="322"/>
      <c r="Q206" s="322"/>
      <c r="R206" s="322"/>
      <c r="S206" s="322"/>
      <c r="T206" s="322"/>
      <c r="U206" s="322"/>
      <c r="V206" s="322"/>
      <c r="W206" s="322"/>
      <c r="X206" s="322"/>
      <c r="Y206" s="322"/>
      <c r="Z206" s="322"/>
      <c r="AA206" s="322"/>
      <c r="AB206" s="322"/>
      <c r="AC206" s="322"/>
      <c r="AD206" s="322"/>
      <c r="AE206" s="322"/>
      <c r="AF206" s="322"/>
      <c r="AG206" s="322"/>
      <c r="AH206" s="322"/>
      <c r="AI206" s="322"/>
      <c r="AJ206" s="322"/>
      <c r="AK206" s="322"/>
      <c r="AL206" s="322"/>
      <c r="AM206" s="322"/>
      <c r="AN206" s="322"/>
      <c r="AO206" s="322"/>
      <c r="AP206" s="322"/>
      <c r="AQ206" s="322"/>
      <c r="AR206" s="322"/>
      <c r="AS206" s="322"/>
      <c r="AT206" s="322"/>
      <c r="AU206" s="322"/>
      <c r="AV206" s="322"/>
      <c r="AW206" s="322"/>
      <c r="AX206" s="322"/>
      <c r="AY206" s="322"/>
      <c r="AZ206" s="322"/>
      <c r="BA206" s="322"/>
      <c r="BB206" s="322"/>
      <c r="BC206" s="322"/>
      <c r="BD206" s="322"/>
      <c r="BE206" s="322"/>
      <c r="BF206" s="322"/>
      <c r="BG206" s="322"/>
      <c r="BH206" s="322"/>
      <c r="BI206" s="322"/>
      <c r="BJ206" s="322"/>
      <c r="BK206" s="322"/>
      <c r="BL206" s="322"/>
      <c r="BM206" s="322"/>
      <c r="BN206" s="322"/>
      <c r="BO206" s="322"/>
      <c r="BP206" s="322"/>
      <c r="BQ206" s="322"/>
      <c r="BR206" s="322"/>
      <c r="BS206" s="322"/>
      <c r="BT206" s="322"/>
      <c r="BU206" s="322"/>
      <c r="BV206" s="322"/>
      <c r="BW206" s="322"/>
      <c r="BX206" s="322"/>
      <c r="BY206" s="322"/>
      <c r="BZ206" s="322"/>
      <c r="CA206" s="322"/>
      <c r="CB206" s="322"/>
      <c r="CC206" s="322"/>
      <c r="CD206" s="322"/>
      <c r="CE206" s="322"/>
      <c r="CF206" s="322"/>
      <c r="CG206" s="322"/>
      <c r="CH206" s="322"/>
      <c r="CI206" s="322"/>
      <c r="CJ206" s="322"/>
      <c r="CK206" s="322"/>
      <c r="CL206" s="322"/>
      <c r="CM206" s="322"/>
      <c r="CN206" s="322"/>
      <c r="CO206" s="322"/>
      <c r="CP206" s="322"/>
      <c r="CQ206" s="322"/>
      <c r="CR206" s="322"/>
      <c r="CS206" s="322"/>
      <c r="CT206" s="322"/>
      <c r="CU206" s="322"/>
      <c r="CV206" s="322"/>
      <c r="CW206" s="322"/>
      <c r="CX206" s="322"/>
      <c r="CY206" s="322"/>
      <c r="CZ206" s="322"/>
      <c r="DA206" s="322"/>
      <c r="DB206" s="322"/>
      <c r="DC206" s="322"/>
      <c r="DD206" s="322"/>
      <c r="DE206" s="322"/>
      <c r="DF206" s="322"/>
      <c r="DG206" s="322"/>
      <c r="DH206" s="322"/>
      <c r="DI206" s="322"/>
      <c r="DJ206" s="322"/>
      <c r="DK206" s="322"/>
      <c r="DL206" s="322"/>
      <c r="DM206" s="322"/>
      <c r="DN206" s="322"/>
      <c r="DO206" s="322"/>
      <c r="DP206" s="322"/>
      <c r="DQ206" s="322"/>
      <c r="DR206" s="322"/>
      <c r="DS206" s="322"/>
      <c r="DT206" s="322"/>
      <c r="DU206" s="322"/>
      <c r="EH206" s="644"/>
      <c r="EI206" s="722"/>
    </row>
    <row r="207" spans="1:141" x14ac:dyDescent="0.3">
      <c r="A207" s="182" t="str">
        <f>'General Inputs'!$J$29&amp;" Contributions"</f>
        <v>LP Contributions</v>
      </c>
      <c r="B207" s="182"/>
      <c r="C207" s="182"/>
      <c r="D207" s="686"/>
      <c r="E207" s="408">
        <f t="shared" ref="E207:AJ207" ca="1" si="319">IF(E$5&lt;=DispositionMonth,-E$42,0)</f>
        <v>-1684806.2553703375</v>
      </c>
      <c r="F207" s="408">
        <f t="shared" ca="1" si="319"/>
        <v>-13679721.285321232</v>
      </c>
      <c r="G207" s="408">
        <f t="shared" ca="1" si="319"/>
        <v>-429758.58896990592</v>
      </c>
      <c r="H207" s="408">
        <f t="shared" ca="1" si="319"/>
        <v>-652516.24275347544</v>
      </c>
      <c r="I207" s="408">
        <f t="shared" ca="1" si="319"/>
        <v>-1108216.2834030252</v>
      </c>
      <c r="J207" s="408">
        <f t="shared" ca="1" si="319"/>
        <v>-1808500.5776190415</v>
      </c>
      <c r="K207" s="408">
        <f t="shared" ca="1" si="319"/>
        <v>-1861449.5545326734</v>
      </c>
      <c r="L207" s="408">
        <f t="shared" ca="1" si="319"/>
        <v>-2372000.4851556052</v>
      </c>
      <c r="M207" s="408">
        <f t="shared" ca="1" si="319"/>
        <v>-2813680.2377213496</v>
      </c>
      <c r="N207" s="408">
        <f t="shared" ca="1" si="319"/>
        <v>-3293680.161515363</v>
      </c>
      <c r="O207" s="408">
        <f t="shared" ca="1" si="319"/>
        <v>-1869318.1862202697</v>
      </c>
      <c r="P207" s="408">
        <f t="shared" ca="1" si="319"/>
        <v>0</v>
      </c>
      <c r="Q207" s="408">
        <f t="shared" ca="1" si="319"/>
        <v>0</v>
      </c>
      <c r="R207" s="408">
        <f t="shared" ca="1" si="319"/>
        <v>0</v>
      </c>
      <c r="S207" s="408">
        <f t="shared" ca="1" si="319"/>
        <v>0</v>
      </c>
      <c r="T207" s="408">
        <f t="shared" ca="1" si="319"/>
        <v>0</v>
      </c>
      <c r="U207" s="408">
        <f t="shared" ca="1" si="319"/>
        <v>0</v>
      </c>
      <c r="V207" s="408">
        <f t="shared" ca="1" si="319"/>
        <v>0</v>
      </c>
      <c r="W207" s="408">
        <f t="shared" ca="1" si="319"/>
        <v>0</v>
      </c>
      <c r="X207" s="408">
        <f t="shared" ca="1" si="319"/>
        <v>0</v>
      </c>
      <c r="Y207" s="408">
        <f t="shared" ca="1" si="319"/>
        <v>0</v>
      </c>
      <c r="Z207" s="408">
        <f t="shared" ca="1" si="319"/>
        <v>0</v>
      </c>
      <c r="AA207" s="408">
        <f t="shared" ca="1" si="319"/>
        <v>0</v>
      </c>
      <c r="AB207" s="408">
        <f t="shared" ca="1" si="319"/>
        <v>0</v>
      </c>
      <c r="AC207" s="408">
        <f t="shared" ca="1" si="319"/>
        <v>0</v>
      </c>
      <c r="AD207" s="408">
        <f t="shared" ca="1" si="319"/>
        <v>0</v>
      </c>
      <c r="AE207" s="408">
        <f t="shared" ca="1" si="319"/>
        <v>0</v>
      </c>
      <c r="AF207" s="408">
        <f t="shared" ca="1" si="319"/>
        <v>0</v>
      </c>
      <c r="AG207" s="408">
        <f t="shared" ca="1" si="319"/>
        <v>0</v>
      </c>
      <c r="AH207" s="408">
        <f t="shared" si="319"/>
        <v>0</v>
      </c>
      <c r="AI207" s="408">
        <f t="shared" si="319"/>
        <v>0</v>
      </c>
      <c r="AJ207" s="408">
        <f t="shared" si="319"/>
        <v>0</v>
      </c>
      <c r="AK207" s="408">
        <f t="shared" ref="AK207:BP207" si="320">IF(AK$5&lt;=DispositionMonth,-AK$42,0)</f>
        <v>0</v>
      </c>
      <c r="AL207" s="408">
        <f t="shared" si="320"/>
        <v>0</v>
      </c>
      <c r="AM207" s="408">
        <f t="shared" si="320"/>
        <v>0</v>
      </c>
      <c r="AN207" s="408">
        <f t="shared" si="320"/>
        <v>0</v>
      </c>
      <c r="AO207" s="408">
        <f t="shared" si="320"/>
        <v>0</v>
      </c>
      <c r="AP207" s="408">
        <f t="shared" si="320"/>
        <v>0</v>
      </c>
      <c r="AQ207" s="408">
        <f t="shared" si="320"/>
        <v>0</v>
      </c>
      <c r="AR207" s="408">
        <f t="shared" si="320"/>
        <v>0</v>
      </c>
      <c r="AS207" s="408">
        <f t="shared" si="320"/>
        <v>0</v>
      </c>
      <c r="AT207" s="408">
        <f t="shared" si="320"/>
        <v>0</v>
      </c>
      <c r="AU207" s="408">
        <f t="shared" si="320"/>
        <v>0</v>
      </c>
      <c r="AV207" s="408">
        <f t="shared" si="320"/>
        <v>0</v>
      </c>
      <c r="AW207" s="408">
        <f t="shared" si="320"/>
        <v>0</v>
      </c>
      <c r="AX207" s="408">
        <f t="shared" si="320"/>
        <v>0</v>
      </c>
      <c r="AY207" s="408">
        <f t="shared" si="320"/>
        <v>0</v>
      </c>
      <c r="AZ207" s="408">
        <f t="shared" si="320"/>
        <v>0</v>
      </c>
      <c r="BA207" s="408">
        <f t="shared" si="320"/>
        <v>0</v>
      </c>
      <c r="BB207" s="408">
        <f t="shared" si="320"/>
        <v>0</v>
      </c>
      <c r="BC207" s="408">
        <f t="shared" si="320"/>
        <v>0</v>
      </c>
      <c r="BD207" s="408">
        <f t="shared" si="320"/>
        <v>0</v>
      </c>
      <c r="BE207" s="408">
        <f t="shared" si="320"/>
        <v>0</v>
      </c>
      <c r="BF207" s="408">
        <f t="shared" si="320"/>
        <v>0</v>
      </c>
      <c r="BG207" s="408">
        <f t="shared" si="320"/>
        <v>0</v>
      </c>
      <c r="BH207" s="408">
        <f t="shared" si="320"/>
        <v>0</v>
      </c>
      <c r="BI207" s="408">
        <f t="shared" si="320"/>
        <v>0</v>
      </c>
      <c r="BJ207" s="408">
        <f t="shared" si="320"/>
        <v>0</v>
      </c>
      <c r="BK207" s="408">
        <f t="shared" si="320"/>
        <v>0</v>
      </c>
      <c r="BL207" s="408">
        <f t="shared" si="320"/>
        <v>0</v>
      </c>
      <c r="BM207" s="408">
        <f t="shared" si="320"/>
        <v>0</v>
      </c>
      <c r="BN207" s="408">
        <f t="shared" si="320"/>
        <v>0</v>
      </c>
      <c r="BO207" s="408">
        <f t="shared" si="320"/>
        <v>0</v>
      </c>
      <c r="BP207" s="408">
        <f t="shared" si="320"/>
        <v>0</v>
      </c>
      <c r="BQ207" s="408">
        <f t="shared" ref="BQ207:CV207" si="321">IF(BQ$5&lt;=DispositionMonth,-BQ$42,0)</f>
        <v>0</v>
      </c>
      <c r="BR207" s="408">
        <f t="shared" si="321"/>
        <v>0</v>
      </c>
      <c r="BS207" s="408">
        <f t="shared" si="321"/>
        <v>0</v>
      </c>
      <c r="BT207" s="408">
        <f t="shared" si="321"/>
        <v>0</v>
      </c>
      <c r="BU207" s="408">
        <f t="shared" si="321"/>
        <v>0</v>
      </c>
      <c r="BV207" s="408">
        <f t="shared" si="321"/>
        <v>0</v>
      </c>
      <c r="BW207" s="408">
        <f t="shared" si="321"/>
        <v>0</v>
      </c>
      <c r="BX207" s="408">
        <f t="shared" si="321"/>
        <v>0</v>
      </c>
      <c r="BY207" s="408">
        <f t="shared" si="321"/>
        <v>0</v>
      </c>
      <c r="BZ207" s="408">
        <f t="shared" si="321"/>
        <v>0</v>
      </c>
      <c r="CA207" s="408">
        <f t="shared" si="321"/>
        <v>0</v>
      </c>
      <c r="CB207" s="408">
        <f t="shared" si="321"/>
        <v>0</v>
      </c>
      <c r="CC207" s="408">
        <f t="shared" si="321"/>
        <v>0</v>
      </c>
      <c r="CD207" s="408">
        <f t="shared" si="321"/>
        <v>0</v>
      </c>
      <c r="CE207" s="408">
        <f t="shared" si="321"/>
        <v>0</v>
      </c>
      <c r="CF207" s="408">
        <f t="shared" si="321"/>
        <v>0</v>
      </c>
      <c r="CG207" s="408">
        <f t="shared" si="321"/>
        <v>0</v>
      </c>
      <c r="CH207" s="408">
        <f t="shared" si="321"/>
        <v>0</v>
      </c>
      <c r="CI207" s="408">
        <f t="shared" si="321"/>
        <v>0</v>
      </c>
      <c r="CJ207" s="408">
        <f t="shared" si="321"/>
        <v>0</v>
      </c>
      <c r="CK207" s="408">
        <f t="shared" si="321"/>
        <v>0</v>
      </c>
      <c r="CL207" s="408">
        <f t="shared" si="321"/>
        <v>0</v>
      </c>
      <c r="CM207" s="408">
        <f t="shared" si="321"/>
        <v>0</v>
      </c>
      <c r="CN207" s="408">
        <f t="shared" si="321"/>
        <v>0</v>
      </c>
      <c r="CO207" s="408">
        <f t="shared" si="321"/>
        <v>0</v>
      </c>
      <c r="CP207" s="408">
        <f t="shared" si="321"/>
        <v>0</v>
      </c>
      <c r="CQ207" s="408">
        <f t="shared" si="321"/>
        <v>0</v>
      </c>
      <c r="CR207" s="408">
        <f t="shared" si="321"/>
        <v>0</v>
      </c>
      <c r="CS207" s="408">
        <f t="shared" si="321"/>
        <v>0</v>
      </c>
      <c r="CT207" s="408">
        <f t="shared" si="321"/>
        <v>0</v>
      </c>
      <c r="CU207" s="408">
        <f t="shared" si="321"/>
        <v>0</v>
      </c>
      <c r="CV207" s="408">
        <f t="shared" si="321"/>
        <v>0</v>
      </c>
      <c r="CW207" s="408">
        <f t="shared" ref="CW207:DU207" si="322">IF(CW$5&lt;=DispositionMonth,-CW$42,0)</f>
        <v>0</v>
      </c>
      <c r="CX207" s="408">
        <f t="shared" si="322"/>
        <v>0</v>
      </c>
      <c r="CY207" s="408">
        <f t="shared" si="322"/>
        <v>0</v>
      </c>
      <c r="CZ207" s="408">
        <f t="shared" si="322"/>
        <v>0</v>
      </c>
      <c r="DA207" s="408">
        <f t="shared" si="322"/>
        <v>0</v>
      </c>
      <c r="DB207" s="408">
        <f t="shared" si="322"/>
        <v>0</v>
      </c>
      <c r="DC207" s="408">
        <f t="shared" si="322"/>
        <v>0</v>
      </c>
      <c r="DD207" s="408">
        <f t="shared" si="322"/>
        <v>0</v>
      </c>
      <c r="DE207" s="408">
        <f t="shared" si="322"/>
        <v>0</v>
      </c>
      <c r="DF207" s="408">
        <f t="shared" si="322"/>
        <v>0</v>
      </c>
      <c r="DG207" s="408">
        <f t="shared" si="322"/>
        <v>0</v>
      </c>
      <c r="DH207" s="408">
        <f t="shared" si="322"/>
        <v>0</v>
      </c>
      <c r="DI207" s="408">
        <f t="shared" si="322"/>
        <v>0</v>
      </c>
      <c r="DJ207" s="408">
        <f t="shared" si="322"/>
        <v>0</v>
      </c>
      <c r="DK207" s="408">
        <f t="shared" si="322"/>
        <v>0</v>
      </c>
      <c r="DL207" s="408">
        <f t="shared" si="322"/>
        <v>0</v>
      </c>
      <c r="DM207" s="408">
        <f t="shared" si="322"/>
        <v>0</v>
      </c>
      <c r="DN207" s="408">
        <f t="shared" si="322"/>
        <v>0</v>
      </c>
      <c r="DO207" s="408">
        <f t="shared" si="322"/>
        <v>0</v>
      </c>
      <c r="DP207" s="408">
        <f t="shared" si="322"/>
        <v>0</v>
      </c>
      <c r="DQ207" s="408">
        <f t="shared" si="322"/>
        <v>0</v>
      </c>
      <c r="DR207" s="408">
        <f t="shared" si="322"/>
        <v>0</v>
      </c>
      <c r="DS207" s="408">
        <f t="shared" si="322"/>
        <v>0</v>
      </c>
      <c r="DT207" s="408">
        <f t="shared" si="322"/>
        <v>0</v>
      </c>
      <c r="DU207" s="408">
        <f t="shared" si="322"/>
        <v>0</v>
      </c>
      <c r="EH207" s="644"/>
      <c r="EI207" s="280"/>
    </row>
    <row r="208" spans="1:141" x14ac:dyDescent="0.3">
      <c r="A208" s="182" t="str">
        <f>'General Inputs'!$J$29&amp;" Distribution from Operations"</f>
        <v>LP Distribution from Operations</v>
      </c>
      <c r="B208" s="182"/>
      <c r="C208" s="182"/>
      <c r="D208" s="686"/>
      <c r="E208" s="407">
        <f t="shared" ref="E208:AJ208" ca="1" si="323">IF(E$5&lt;=DispositionMonth,E175,0)</f>
        <v>0</v>
      </c>
      <c r="F208" s="407">
        <f t="shared" ca="1" si="323"/>
        <v>0</v>
      </c>
      <c r="G208" s="407">
        <f t="shared" ca="1" si="323"/>
        <v>0</v>
      </c>
      <c r="H208" s="407">
        <f t="shared" ca="1" si="323"/>
        <v>0</v>
      </c>
      <c r="I208" s="407">
        <f t="shared" ca="1" si="323"/>
        <v>0</v>
      </c>
      <c r="J208" s="407">
        <f t="shared" ca="1" si="323"/>
        <v>0</v>
      </c>
      <c r="K208" s="407">
        <f t="shared" ca="1" si="323"/>
        <v>0</v>
      </c>
      <c r="L208" s="407">
        <f t="shared" ca="1" si="323"/>
        <v>0</v>
      </c>
      <c r="M208" s="407">
        <f t="shared" ca="1" si="323"/>
        <v>0</v>
      </c>
      <c r="N208" s="407">
        <f t="shared" ca="1" si="323"/>
        <v>0</v>
      </c>
      <c r="O208" s="407">
        <f t="shared" ca="1" si="323"/>
        <v>0</v>
      </c>
      <c r="P208" s="407">
        <f t="shared" ca="1" si="323"/>
        <v>0</v>
      </c>
      <c r="Q208" s="407">
        <f t="shared" ca="1" si="323"/>
        <v>0</v>
      </c>
      <c r="R208" s="407">
        <f t="shared" ca="1" si="323"/>
        <v>0</v>
      </c>
      <c r="S208" s="407">
        <f t="shared" ca="1" si="323"/>
        <v>0</v>
      </c>
      <c r="T208" s="407">
        <f t="shared" ca="1" si="323"/>
        <v>0</v>
      </c>
      <c r="U208" s="407">
        <f t="shared" ca="1" si="323"/>
        <v>0</v>
      </c>
      <c r="V208" s="407">
        <f t="shared" ca="1" si="323"/>
        <v>0</v>
      </c>
      <c r="W208" s="407">
        <f t="shared" ca="1" si="323"/>
        <v>0</v>
      </c>
      <c r="X208" s="407">
        <f t="shared" ca="1" si="323"/>
        <v>0</v>
      </c>
      <c r="Y208" s="407">
        <f t="shared" ca="1" si="323"/>
        <v>0</v>
      </c>
      <c r="Z208" s="407">
        <f t="shared" ca="1" si="323"/>
        <v>0</v>
      </c>
      <c r="AA208" s="407">
        <f t="shared" ca="1" si="323"/>
        <v>0</v>
      </c>
      <c r="AB208" s="407">
        <f t="shared" ca="1" si="323"/>
        <v>0</v>
      </c>
      <c r="AC208" s="407">
        <f t="shared" ca="1" si="323"/>
        <v>0</v>
      </c>
      <c r="AD208" s="407">
        <f t="shared" ca="1" si="323"/>
        <v>0</v>
      </c>
      <c r="AE208" s="407">
        <f t="shared" ca="1" si="323"/>
        <v>0</v>
      </c>
      <c r="AF208" s="407">
        <f t="shared" ca="1" si="323"/>
        <v>0</v>
      </c>
      <c r="AG208" s="407">
        <f t="shared" ca="1" si="323"/>
        <v>0</v>
      </c>
      <c r="AH208" s="407">
        <f t="shared" si="323"/>
        <v>0</v>
      </c>
      <c r="AI208" s="407">
        <f t="shared" si="323"/>
        <v>0</v>
      </c>
      <c r="AJ208" s="407">
        <f t="shared" si="323"/>
        <v>0</v>
      </c>
      <c r="AK208" s="407">
        <f t="shared" ref="AK208:BP208" si="324">IF(AK$5&lt;=DispositionMonth,AK175,0)</f>
        <v>0</v>
      </c>
      <c r="AL208" s="407">
        <f t="shared" si="324"/>
        <v>0</v>
      </c>
      <c r="AM208" s="407">
        <f t="shared" si="324"/>
        <v>0</v>
      </c>
      <c r="AN208" s="407">
        <f t="shared" si="324"/>
        <v>0</v>
      </c>
      <c r="AO208" s="407">
        <f t="shared" si="324"/>
        <v>0</v>
      </c>
      <c r="AP208" s="407">
        <f t="shared" si="324"/>
        <v>0</v>
      </c>
      <c r="AQ208" s="407">
        <f t="shared" si="324"/>
        <v>0</v>
      </c>
      <c r="AR208" s="407">
        <f t="shared" si="324"/>
        <v>0</v>
      </c>
      <c r="AS208" s="407">
        <f t="shared" si="324"/>
        <v>0</v>
      </c>
      <c r="AT208" s="407">
        <f t="shared" si="324"/>
        <v>0</v>
      </c>
      <c r="AU208" s="407">
        <f t="shared" si="324"/>
        <v>0</v>
      </c>
      <c r="AV208" s="407">
        <f t="shared" si="324"/>
        <v>0</v>
      </c>
      <c r="AW208" s="407">
        <f t="shared" si="324"/>
        <v>0</v>
      </c>
      <c r="AX208" s="407">
        <f t="shared" si="324"/>
        <v>0</v>
      </c>
      <c r="AY208" s="407">
        <f t="shared" si="324"/>
        <v>0</v>
      </c>
      <c r="AZ208" s="407">
        <f t="shared" si="324"/>
        <v>0</v>
      </c>
      <c r="BA208" s="407">
        <f t="shared" si="324"/>
        <v>0</v>
      </c>
      <c r="BB208" s="407">
        <f t="shared" si="324"/>
        <v>0</v>
      </c>
      <c r="BC208" s="407">
        <f t="shared" si="324"/>
        <v>0</v>
      </c>
      <c r="BD208" s="407">
        <f t="shared" si="324"/>
        <v>0</v>
      </c>
      <c r="BE208" s="407">
        <f t="shared" si="324"/>
        <v>0</v>
      </c>
      <c r="BF208" s="407">
        <f t="shared" si="324"/>
        <v>0</v>
      </c>
      <c r="BG208" s="407">
        <f t="shared" si="324"/>
        <v>0</v>
      </c>
      <c r="BH208" s="407">
        <f t="shared" si="324"/>
        <v>0</v>
      </c>
      <c r="BI208" s="407">
        <f t="shared" si="324"/>
        <v>0</v>
      </c>
      <c r="BJ208" s="407">
        <f t="shared" si="324"/>
        <v>0</v>
      </c>
      <c r="BK208" s="407">
        <f t="shared" si="324"/>
        <v>0</v>
      </c>
      <c r="BL208" s="407">
        <f t="shared" si="324"/>
        <v>0</v>
      </c>
      <c r="BM208" s="407">
        <f t="shared" si="324"/>
        <v>0</v>
      </c>
      <c r="BN208" s="407">
        <f t="shared" si="324"/>
        <v>0</v>
      </c>
      <c r="BO208" s="407">
        <f t="shared" si="324"/>
        <v>0</v>
      </c>
      <c r="BP208" s="407">
        <f t="shared" si="324"/>
        <v>0</v>
      </c>
      <c r="BQ208" s="407">
        <f t="shared" ref="BQ208:CV208" si="325">IF(BQ$5&lt;=DispositionMonth,BQ175,0)</f>
        <v>0</v>
      </c>
      <c r="BR208" s="407">
        <f t="shared" si="325"/>
        <v>0</v>
      </c>
      <c r="BS208" s="407">
        <f t="shared" si="325"/>
        <v>0</v>
      </c>
      <c r="BT208" s="407">
        <f t="shared" si="325"/>
        <v>0</v>
      </c>
      <c r="BU208" s="407">
        <f t="shared" si="325"/>
        <v>0</v>
      </c>
      <c r="BV208" s="407">
        <f t="shared" si="325"/>
        <v>0</v>
      </c>
      <c r="BW208" s="407">
        <f t="shared" si="325"/>
        <v>0</v>
      </c>
      <c r="BX208" s="407">
        <f t="shared" si="325"/>
        <v>0</v>
      </c>
      <c r="BY208" s="407">
        <f t="shared" si="325"/>
        <v>0</v>
      </c>
      <c r="BZ208" s="407">
        <f t="shared" si="325"/>
        <v>0</v>
      </c>
      <c r="CA208" s="407">
        <f t="shared" si="325"/>
        <v>0</v>
      </c>
      <c r="CB208" s="407">
        <f t="shared" si="325"/>
        <v>0</v>
      </c>
      <c r="CC208" s="407">
        <f t="shared" si="325"/>
        <v>0</v>
      </c>
      <c r="CD208" s="407">
        <f t="shared" si="325"/>
        <v>0</v>
      </c>
      <c r="CE208" s="407">
        <f t="shared" si="325"/>
        <v>0</v>
      </c>
      <c r="CF208" s="407">
        <f t="shared" si="325"/>
        <v>0</v>
      </c>
      <c r="CG208" s="407">
        <f t="shared" si="325"/>
        <v>0</v>
      </c>
      <c r="CH208" s="407">
        <f t="shared" si="325"/>
        <v>0</v>
      </c>
      <c r="CI208" s="407">
        <f t="shared" si="325"/>
        <v>0</v>
      </c>
      <c r="CJ208" s="407">
        <f t="shared" si="325"/>
        <v>0</v>
      </c>
      <c r="CK208" s="407">
        <f t="shared" si="325"/>
        <v>0</v>
      </c>
      <c r="CL208" s="407">
        <f t="shared" si="325"/>
        <v>0</v>
      </c>
      <c r="CM208" s="407">
        <f t="shared" si="325"/>
        <v>0</v>
      </c>
      <c r="CN208" s="407">
        <f t="shared" si="325"/>
        <v>0</v>
      </c>
      <c r="CO208" s="407">
        <f t="shared" si="325"/>
        <v>0</v>
      </c>
      <c r="CP208" s="407">
        <f t="shared" si="325"/>
        <v>0</v>
      </c>
      <c r="CQ208" s="407">
        <f t="shared" si="325"/>
        <v>0</v>
      </c>
      <c r="CR208" s="407">
        <f t="shared" si="325"/>
        <v>0</v>
      </c>
      <c r="CS208" s="407">
        <f t="shared" si="325"/>
        <v>0</v>
      </c>
      <c r="CT208" s="407">
        <f t="shared" si="325"/>
        <v>0</v>
      </c>
      <c r="CU208" s="407">
        <f t="shared" si="325"/>
        <v>0</v>
      </c>
      <c r="CV208" s="407">
        <f t="shared" si="325"/>
        <v>0</v>
      </c>
      <c r="CW208" s="407">
        <f t="shared" ref="CW208:DU208" si="326">IF(CW$5&lt;=DispositionMonth,CW175,0)</f>
        <v>0</v>
      </c>
      <c r="CX208" s="407">
        <f t="shared" si="326"/>
        <v>0</v>
      </c>
      <c r="CY208" s="407">
        <f t="shared" si="326"/>
        <v>0</v>
      </c>
      <c r="CZ208" s="407">
        <f t="shared" si="326"/>
        <v>0</v>
      </c>
      <c r="DA208" s="407">
        <f t="shared" si="326"/>
        <v>0</v>
      </c>
      <c r="DB208" s="407">
        <f t="shared" si="326"/>
        <v>0</v>
      </c>
      <c r="DC208" s="407">
        <f t="shared" si="326"/>
        <v>0</v>
      </c>
      <c r="DD208" s="407">
        <f t="shared" si="326"/>
        <v>0</v>
      </c>
      <c r="DE208" s="407">
        <f t="shared" si="326"/>
        <v>0</v>
      </c>
      <c r="DF208" s="407">
        <f t="shared" si="326"/>
        <v>0</v>
      </c>
      <c r="DG208" s="407">
        <f t="shared" si="326"/>
        <v>0</v>
      </c>
      <c r="DH208" s="407">
        <f t="shared" si="326"/>
        <v>0</v>
      </c>
      <c r="DI208" s="407">
        <f t="shared" si="326"/>
        <v>0</v>
      </c>
      <c r="DJ208" s="407">
        <f t="shared" si="326"/>
        <v>0</v>
      </c>
      <c r="DK208" s="407">
        <f t="shared" si="326"/>
        <v>0</v>
      </c>
      <c r="DL208" s="407">
        <f t="shared" si="326"/>
        <v>0</v>
      </c>
      <c r="DM208" s="407">
        <f t="shared" si="326"/>
        <v>0</v>
      </c>
      <c r="DN208" s="407">
        <f t="shared" si="326"/>
        <v>0</v>
      </c>
      <c r="DO208" s="407">
        <f t="shared" si="326"/>
        <v>0</v>
      </c>
      <c r="DP208" s="407">
        <f t="shared" si="326"/>
        <v>0</v>
      </c>
      <c r="DQ208" s="407">
        <f t="shared" si="326"/>
        <v>0</v>
      </c>
      <c r="DR208" s="407">
        <f t="shared" si="326"/>
        <v>0</v>
      </c>
      <c r="DS208" s="407">
        <f t="shared" si="326"/>
        <v>0</v>
      </c>
      <c r="DT208" s="407">
        <f t="shared" si="326"/>
        <v>0</v>
      </c>
      <c r="DU208" s="407">
        <f t="shared" si="326"/>
        <v>0</v>
      </c>
      <c r="EH208" s="644"/>
      <c r="EI208" s="280"/>
    </row>
    <row r="209" spans="1:139" x14ac:dyDescent="0.3">
      <c r="A209" s="182" t="str">
        <f>'General Inputs'!$J$29&amp;" Pref Paid From Cash Flows"</f>
        <v>LP Pref Paid From Cash Flows</v>
      </c>
      <c r="B209" s="182"/>
      <c r="C209" s="182"/>
      <c r="D209" s="647"/>
      <c r="E209" s="407">
        <f t="shared" ref="E209:AJ209" ca="1" si="327">IF(E$5&lt;=DispositionMonth,-E$49,0)</f>
        <v>0</v>
      </c>
      <c r="F209" s="407">
        <f t="shared" ca="1" si="327"/>
        <v>0</v>
      </c>
      <c r="G209" s="407">
        <f t="shared" ca="1" si="327"/>
        <v>0</v>
      </c>
      <c r="H209" s="407">
        <f t="shared" ca="1" si="327"/>
        <v>0</v>
      </c>
      <c r="I209" s="407">
        <f t="shared" ca="1" si="327"/>
        <v>0</v>
      </c>
      <c r="J209" s="407">
        <f t="shared" ca="1" si="327"/>
        <v>0</v>
      </c>
      <c r="K209" s="407">
        <f t="shared" ca="1" si="327"/>
        <v>0</v>
      </c>
      <c r="L209" s="407">
        <f t="shared" ca="1" si="327"/>
        <v>0</v>
      </c>
      <c r="M209" s="407">
        <f t="shared" ca="1" si="327"/>
        <v>0</v>
      </c>
      <c r="N209" s="407">
        <f t="shared" ca="1" si="327"/>
        <v>0</v>
      </c>
      <c r="O209" s="407">
        <f t="shared" ca="1" si="327"/>
        <v>0</v>
      </c>
      <c r="P209" s="407">
        <f t="shared" ca="1" si="327"/>
        <v>0</v>
      </c>
      <c r="Q209" s="407">
        <f t="shared" ca="1" si="327"/>
        <v>0</v>
      </c>
      <c r="R209" s="407">
        <f t="shared" ca="1" si="327"/>
        <v>0</v>
      </c>
      <c r="S209" s="407">
        <f t="shared" ca="1" si="327"/>
        <v>0</v>
      </c>
      <c r="T209" s="407">
        <f t="shared" ca="1" si="327"/>
        <v>0</v>
      </c>
      <c r="U209" s="407">
        <f t="shared" ca="1" si="327"/>
        <v>0</v>
      </c>
      <c r="V209" s="407">
        <f t="shared" ca="1" si="327"/>
        <v>0</v>
      </c>
      <c r="W209" s="407">
        <f t="shared" ca="1" si="327"/>
        <v>0</v>
      </c>
      <c r="X209" s="407">
        <f t="shared" ca="1" si="327"/>
        <v>0</v>
      </c>
      <c r="Y209" s="407">
        <f t="shared" ca="1" si="327"/>
        <v>0</v>
      </c>
      <c r="Z209" s="407">
        <f t="shared" ca="1" si="327"/>
        <v>0</v>
      </c>
      <c r="AA209" s="407">
        <f t="shared" ca="1" si="327"/>
        <v>0</v>
      </c>
      <c r="AB209" s="407">
        <f t="shared" ca="1" si="327"/>
        <v>0</v>
      </c>
      <c r="AC209" s="407">
        <f t="shared" ca="1" si="327"/>
        <v>39701.726541082207</v>
      </c>
      <c r="AD209" s="407">
        <f t="shared" ca="1" si="327"/>
        <v>75897.380147726886</v>
      </c>
      <c r="AE209" s="407">
        <f t="shared" ca="1" si="327"/>
        <v>117111.83679771089</v>
      </c>
      <c r="AF209" s="407">
        <f t="shared" ca="1" si="327"/>
        <v>197606.01356017322</v>
      </c>
      <c r="AG209" s="407">
        <f t="shared" ca="1" si="327"/>
        <v>200887.72104683847</v>
      </c>
      <c r="AH209" s="407">
        <f t="shared" si="327"/>
        <v>0</v>
      </c>
      <c r="AI209" s="407">
        <f t="shared" si="327"/>
        <v>0</v>
      </c>
      <c r="AJ209" s="407">
        <f t="shared" si="327"/>
        <v>0</v>
      </c>
      <c r="AK209" s="407">
        <f t="shared" ref="AK209:BP209" si="328">IF(AK$5&lt;=DispositionMonth,-AK$49,0)</f>
        <v>0</v>
      </c>
      <c r="AL209" s="407">
        <f t="shared" si="328"/>
        <v>0</v>
      </c>
      <c r="AM209" s="407">
        <f t="shared" si="328"/>
        <v>0</v>
      </c>
      <c r="AN209" s="407">
        <f t="shared" si="328"/>
        <v>0</v>
      </c>
      <c r="AO209" s="407">
        <f t="shared" si="328"/>
        <v>0</v>
      </c>
      <c r="AP209" s="407">
        <f t="shared" si="328"/>
        <v>0</v>
      </c>
      <c r="AQ209" s="407">
        <f t="shared" si="328"/>
        <v>0</v>
      </c>
      <c r="AR209" s="407">
        <f t="shared" si="328"/>
        <v>0</v>
      </c>
      <c r="AS209" s="407">
        <f t="shared" si="328"/>
        <v>0</v>
      </c>
      <c r="AT209" s="407">
        <f t="shared" si="328"/>
        <v>0</v>
      </c>
      <c r="AU209" s="407">
        <f t="shared" si="328"/>
        <v>0</v>
      </c>
      <c r="AV209" s="407">
        <f t="shared" si="328"/>
        <v>0</v>
      </c>
      <c r="AW209" s="407">
        <f t="shared" si="328"/>
        <v>0</v>
      </c>
      <c r="AX209" s="407">
        <f t="shared" si="328"/>
        <v>0</v>
      </c>
      <c r="AY209" s="407">
        <f t="shared" si="328"/>
        <v>0</v>
      </c>
      <c r="AZ209" s="407">
        <f t="shared" si="328"/>
        <v>0</v>
      </c>
      <c r="BA209" s="407">
        <f t="shared" si="328"/>
        <v>0</v>
      </c>
      <c r="BB209" s="407">
        <f t="shared" si="328"/>
        <v>0</v>
      </c>
      <c r="BC209" s="407">
        <f t="shared" si="328"/>
        <v>0</v>
      </c>
      <c r="BD209" s="407">
        <f t="shared" si="328"/>
        <v>0</v>
      </c>
      <c r="BE209" s="407">
        <f t="shared" si="328"/>
        <v>0</v>
      </c>
      <c r="BF209" s="407">
        <f t="shared" si="328"/>
        <v>0</v>
      </c>
      <c r="BG209" s="407">
        <f t="shared" si="328"/>
        <v>0</v>
      </c>
      <c r="BH209" s="407">
        <f t="shared" si="328"/>
        <v>0</v>
      </c>
      <c r="BI209" s="407">
        <f t="shared" si="328"/>
        <v>0</v>
      </c>
      <c r="BJ209" s="407">
        <f t="shared" si="328"/>
        <v>0</v>
      </c>
      <c r="BK209" s="407">
        <f t="shared" si="328"/>
        <v>0</v>
      </c>
      <c r="BL209" s="407">
        <f t="shared" si="328"/>
        <v>0</v>
      </c>
      <c r="BM209" s="407">
        <f t="shared" si="328"/>
        <v>0</v>
      </c>
      <c r="BN209" s="407">
        <f t="shared" si="328"/>
        <v>0</v>
      </c>
      <c r="BO209" s="407">
        <f t="shared" si="328"/>
        <v>0</v>
      </c>
      <c r="BP209" s="407">
        <f t="shared" si="328"/>
        <v>0</v>
      </c>
      <c r="BQ209" s="407">
        <f t="shared" ref="BQ209:CV209" si="329">IF(BQ$5&lt;=DispositionMonth,-BQ$49,0)</f>
        <v>0</v>
      </c>
      <c r="BR209" s="407">
        <f t="shared" si="329"/>
        <v>0</v>
      </c>
      <c r="BS209" s="407">
        <f t="shared" si="329"/>
        <v>0</v>
      </c>
      <c r="BT209" s="407">
        <f t="shared" si="329"/>
        <v>0</v>
      </c>
      <c r="BU209" s="407">
        <f t="shared" si="329"/>
        <v>0</v>
      </c>
      <c r="BV209" s="407">
        <f t="shared" si="329"/>
        <v>0</v>
      </c>
      <c r="BW209" s="407">
        <f t="shared" si="329"/>
        <v>0</v>
      </c>
      <c r="BX209" s="407">
        <f t="shared" si="329"/>
        <v>0</v>
      </c>
      <c r="BY209" s="407">
        <f t="shared" si="329"/>
        <v>0</v>
      </c>
      <c r="BZ209" s="407">
        <f t="shared" si="329"/>
        <v>0</v>
      </c>
      <c r="CA209" s="407">
        <f t="shared" si="329"/>
        <v>0</v>
      </c>
      <c r="CB209" s="407">
        <f t="shared" si="329"/>
        <v>0</v>
      </c>
      <c r="CC209" s="407">
        <f t="shared" si="329"/>
        <v>0</v>
      </c>
      <c r="CD209" s="407">
        <f t="shared" si="329"/>
        <v>0</v>
      </c>
      <c r="CE209" s="407">
        <f t="shared" si="329"/>
        <v>0</v>
      </c>
      <c r="CF209" s="407">
        <f t="shared" si="329"/>
        <v>0</v>
      </c>
      <c r="CG209" s="407">
        <f t="shared" si="329"/>
        <v>0</v>
      </c>
      <c r="CH209" s="407">
        <f t="shared" si="329"/>
        <v>0</v>
      </c>
      <c r="CI209" s="407">
        <f t="shared" si="329"/>
        <v>0</v>
      </c>
      <c r="CJ209" s="407">
        <f t="shared" si="329"/>
        <v>0</v>
      </c>
      <c r="CK209" s="407">
        <f t="shared" si="329"/>
        <v>0</v>
      </c>
      <c r="CL209" s="407">
        <f t="shared" si="329"/>
        <v>0</v>
      </c>
      <c r="CM209" s="407">
        <f t="shared" si="329"/>
        <v>0</v>
      </c>
      <c r="CN209" s="407">
        <f t="shared" si="329"/>
        <v>0</v>
      </c>
      <c r="CO209" s="407">
        <f t="shared" si="329"/>
        <v>0</v>
      </c>
      <c r="CP209" s="407">
        <f t="shared" si="329"/>
        <v>0</v>
      </c>
      <c r="CQ209" s="407">
        <f t="shared" si="329"/>
        <v>0</v>
      </c>
      <c r="CR209" s="407">
        <f t="shared" si="329"/>
        <v>0</v>
      </c>
      <c r="CS209" s="407">
        <f t="shared" si="329"/>
        <v>0</v>
      </c>
      <c r="CT209" s="407">
        <f t="shared" si="329"/>
        <v>0</v>
      </c>
      <c r="CU209" s="407">
        <f t="shared" si="329"/>
        <v>0</v>
      </c>
      <c r="CV209" s="407">
        <f t="shared" si="329"/>
        <v>0</v>
      </c>
      <c r="CW209" s="407">
        <f t="shared" ref="CW209:DU209" si="330">IF(CW$5&lt;=DispositionMonth,-CW$49,0)</f>
        <v>0</v>
      </c>
      <c r="CX209" s="407">
        <f t="shared" si="330"/>
        <v>0</v>
      </c>
      <c r="CY209" s="407">
        <f t="shared" si="330"/>
        <v>0</v>
      </c>
      <c r="CZ209" s="407">
        <f t="shared" si="330"/>
        <v>0</v>
      </c>
      <c r="DA209" s="407">
        <f t="shared" si="330"/>
        <v>0</v>
      </c>
      <c r="DB209" s="407">
        <f t="shared" si="330"/>
        <v>0</v>
      </c>
      <c r="DC209" s="407">
        <f t="shared" si="330"/>
        <v>0</v>
      </c>
      <c r="DD209" s="407">
        <f t="shared" si="330"/>
        <v>0</v>
      </c>
      <c r="DE209" s="407">
        <f t="shared" si="330"/>
        <v>0</v>
      </c>
      <c r="DF209" s="407">
        <f t="shared" si="330"/>
        <v>0</v>
      </c>
      <c r="DG209" s="407">
        <f t="shared" si="330"/>
        <v>0</v>
      </c>
      <c r="DH209" s="407">
        <f t="shared" si="330"/>
        <v>0</v>
      </c>
      <c r="DI209" s="407">
        <f t="shared" si="330"/>
        <v>0</v>
      </c>
      <c r="DJ209" s="407">
        <f t="shared" si="330"/>
        <v>0</v>
      </c>
      <c r="DK209" s="407">
        <f t="shared" si="330"/>
        <v>0</v>
      </c>
      <c r="DL209" s="407">
        <f t="shared" si="330"/>
        <v>0</v>
      </c>
      <c r="DM209" s="407">
        <f t="shared" si="330"/>
        <v>0</v>
      </c>
      <c r="DN209" s="407">
        <f t="shared" si="330"/>
        <v>0</v>
      </c>
      <c r="DO209" s="407">
        <f t="shared" si="330"/>
        <v>0</v>
      </c>
      <c r="DP209" s="407">
        <f t="shared" si="330"/>
        <v>0</v>
      </c>
      <c r="DQ209" s="407">
        <f t="shared" si="330"/>
        <v>0</v>
      </c>
      <c r="DR209" s="407">
        <f t="shared" si="330"/>
        <v>0</v>
      </c>
      <c r="DS209" s="407">
        <f t="shared" si="330"/>
        <v>0</v>
      </c>
      <c r="DT209" s="407">
        <f t="shared" si="330"/>
        <v>0</v>
      </c>
      <c r="DU209" s="407">
        <f t="shared" si="330"/>
        <v>0</v>
      </c>
      <c r="EH209" s="644"/>
      <c r="EI209" s="722"/>
    </row>
    <row r="210" spans="1:139" x14ac:dyDescent="0.3">
      <c r="A210" s="182" t="str">
        <f>'General Inputs'!$J$29&amp;" Pref Paid From Refi"</f>
        <v>LP Pref Paid From Refi</v>
      </c>
      <c r="B210" s="182"/>
      <c r="C210" s="182"/>
      <c r="D210" s="647"/>
      <c r="E210" s="407">
        <f t="shared" ref="E210:AJ210" si="331">IF(E$5&lt;=DispositionMonth,-E$51,0)</f>
        <v>0</v>
      </c>
      <c r="F210" s="407">
        <f t="shared" si="331"/>
        <v>0</v>
      </c>
      <c r="G210" s="407">
        <f t="shared" si="331"/>
        <v>0</v>
      </c>
      <c r="H210" s="407">
        <f t="shared" si="331"/>
        <v>0</v>
      </c>
      <c r="I210" s="407">
        <f t="shared" si="331"/>
        <v>0</v>
      </c>
      <c r="J210" s="407">
        <f t="shared" si="331"/>
        <v>0</v>
      </c>
      <c r="K210" s="407">
        <f t="shared" si="331"/>
        <v>0</v>
      </c>
      <c r="L210" s="407">
        <f t="shared" si="331"/>
        <v>0</v>
      </c>
      <c r="M210" s="407">
        <f t="shared" si="331"/>
        <v>0</v>
      </c>
      <c r="N210" s="407">
        <f t="shared" si="331"/>
        <v>0</v>
      </c>
      <c r="O210" s="407">
        <f t="shared" si="331"/>
        <v>0</v>
      </c>
      <c r="P210" s="407">
        <f t="shared" si="331"/>
        <v>0</v>
      </c>
      <c r="Q210" s="407">
        <f t="shared" si="331"/>
        <v>0</v>
      </c>
      <c r="R210" s="407">
        <f t="shared" si="331"/>
        <v>0</v>
      </c>
      <c r="S210" s="407">
        <f t="shared" si="331"/>
        <v>0</v>
      </c>
      <c r="T210" s="407">
        <f t="shared" si="331"/>
        <v>0</v>
      </c>
      <c r="U210" s="407">
        <f t="shared" si="331"/>
        <v>0</v>
      </c>
      <c r="V210" s="407">
        <f t="shared" si="331"/>
        <v>0</v>
      </c>
      <c r="W210" s="407">
        <f t="shared" si="331"/>
        <v>0</v>
      </c>
      <c r="X210" s="407">
        <f t="shared" si="331"/>
        <v>0</v>
      </c>
      <c r="Y210" s="407">
        <f t="shared" si="331"/>
        <v>0</v>
      </c>
      <c r="Z210" s="407">
        <f t="shared" si="331"/>
        <v>0</v>
      </c>
      <c r="AA210" s="407">
        <f t="shared" si="331"/>
        <v>0</v>
      </c>
      <c r="AB210" s="407">
        <f t="shared" si="331"/>
        <v>0</v>
      </c>
      <c r="AC210" s="407">
        <f t="shared" si="331"/>
        <v>0</v>
      </c>
      <c r="AD210" s="407">
        <f t="shared" si="331"/>
        <v>0</v>
      </c>
      <c r="AE210" s="407">
        <f t="shared" si="331"/>
        <v>0</v>
      </c>
      <c r="AF210" s="407">
        <f t="shared" si="331"/>
        <v>0</v>
      </c>
      <c r="AG210" s="407">
        <f t="shared" si="331"/>
        <v>0</v>
      </c>
      <c r="AH210" s="407">
        <f t="shared" si="331"/>
        <v>0</v>
      </c>
      <c r="AI210" s="407">
        <f t="shared" si="331"/>
        <v>0</v>
      </c>
      <c r="AJ210" s="407">
        <f t="shared" si="331"/>
        <v>0</v>
      </c>
      <c r="AK210" s="407">
        <f t="shared" ref="AK210:BP210" si="332">IF(AK$5&lt;=DispositionMonth,-AK$51,0)</f>
        <v>0</v>
      </c>
      <c r="AL210" s="407">
        <f t="shared" si="332"/>
        <v>0</v>
      </c>
      <c r="AM210" s="407">
        <f t="shared" si="332"/>
        <v>0</v>
      </c>
      <c r="AN210" s="407">
        <f t="shared" si="332"/>
        <v>0</v>
      </c>
      <c r="AO210" s="407">
        <f t="shared" si="332"/>
        <v>0</v>
      </c>
      <c r="AP210" s="407">
        <f t="shared" si="332"/>
        <v>0</v>
      </c>
      <c r="AQ210" s="407">
        <f t="shared" si="332"/>
        <v>0</v>
      </c>
      <c r="AR210" s="407">
        <f t="shared" si="332"/>
        <v>0</v>
      </c>
      <c r="AS210" s="407">
        <f t="shared" si="332"/>
        <v>0</v>
      </c>
      <c r="AT210" s="407">
        <f t="shared" si="332"/>
        <v>0</v>
      </c>
      <c r="AU210" s="407">
        <f t="shared" si="332"/>
        <v>0</v>
      </c>
      <c r="AV210" s="407">
        <f t="shared" si="332"/>
        <v>0</v>
      </c>
      <c r="AW210" s="407">
        <f t="shared" si="332"/>
        <v>0</v>
      </c>
      <c r="AX210" s="407">
        <f t="shared" si="332"/>
        <v>0</v>
      </c>
      <c r="AY210" s="407">
        <f t="shared" si="332"/>
        <v>0</v>
      </c>
      <c r="AZ210" s="407">
        <f t="shared" si="332"/>
        <v>0</v>
      </c>
      <c r="BA210" s="407">
        <f t="shared" si="332"/>
        <v>0</v>
      </c>
      <c r="BB210" s="407">
        <f t="shared" si="332"/>
        <v>0</v>
      </c>
      <c r="BC210" s="407">
        <f t="shared" si="332"/>
        <v>0</v>
      </c>
      <c r="BD210" s="407">
        <f t="shared" si="332"/>
        <v>0</v>
      </c>
      <c r="BE210" s="407">
        <f t="shared" si="332"/>
        <v>0</v>
      </c>
      <c r="BF210" s="407">
        <f t="shared" si="332"/>
        <v>0</v>
      </c>
      <c r="BG210" s="407">
        <f t="shared" si="332"/>
        <v>0</v>
      </c>
      <c r="BH210" s="407">
        <f t="shared" si="332"/>
        <v>0</v>
      </c>
      <c r="BI210" s="407">
        <f t="shared" si="332"/>
        <v>0</v>
      </c>
      <c r="BJ210" s="407">
        <f t="shared" si="332"/>
        <v>0</v>
      </c>
      <c r="BK210" s="407">
        <f t="shared" si="332"/>
        <v>0</v>
      </c>
      <c r="BL210" s="407">
        <f t="shared" si="332"/>
        <v>0</v>
      </c>
      <c r="BM210" s="407">
        <f t="shared" si="332"/>
        <v>0</v>
      </c>
      <c r="BN210" s="407">
        <f t="shared" si="332"/>
        <v>0</v>
      </c>
      <c r="BO210" s="407">
        <f t="shared" si="332"/>
        <v>0</v>
      </c>
      <c r="BP210" s="407">
        <f t="shared" si="332"/>
        <v>0</v>
      </c>
      <c r="BQ210" s="407">
        <f t="shared" ref="BQ210:CV210" si="333">IF(BQ$5&lt;=DispositionMonth,-BQ$51,0)</f>
        <v>0</v>
      </c>
      <c r="BR210" s="407">
        <f t="shared" si="333"/>
        <v>0</v>
      </c>
      <c r="BS210" s="407">
        <f t="shared" si="333"/>
        <v>0</v>
      </c>
      <c r="BT210" s="407">
        <f t="shared" si="333"/>
        <v>0</v>
      </c>
      <c r="BU210" s="407">
        <f t="shared" si="333"/>
        <v>0</v>
      </c>
      <c r="BV210" s="407">
        <f t="shared" si="333"/>
        <v>0</v>
      </c>
      <c r="BW210" s="407">
        <f t="shared" si="333"/>
        <v>0</v>
      </c>
      <c r="BX210" s="407">
        <f t="shared" si="333"/>
        <v>0</v>
      </c>
      <c r="BY210" s="407">
        <f t="shared" si="333"/>
        <v>0</v>
      </c>
      <c r="BZ210" s="407">
        <f t="shared" si="333"/>
        <v>0</v>
      </c>
      <c r="CA210" s="407">
        <f t="shared" si="333"/>
        <v>0</v>
      </c>
      <c r="CB210" s="407">
        <f t="shared" si="333"/>
        <v>0</v>
      </c>
      <c r="CC210" s="407">
        <f t="shared" si="333"/>
        <v>0</v>
      </c>
      <c r="CD210" s="407">
        <f t="shared" si="333"/>
        <v>0</v>
      </c>
      <c r="CE210" s="407">
        <f t="shared" si="333"/>
        <v>0</v>
      </c>
      <c r="CF210" s="407">
        <f t="shared" si="333"/>
        <v>0</v>
      </c>
      <c r="CG210" s="407">
        <f t="shared" si="333"/>
        <v>0</v>
      </c>
      <c r="CH210" s="407">
        <f t="shared" si="333"/>
        <v>0</v>
      </c>
      <c r="CI210" s="407">
        <f t="shared" si="333"/>
        <v>0</v>
      </c>
      <c r="CJ210" s="407">
        <f t="shared" si="333"/>
        <v>0</v>
      </c>
      <c r="CK210" s="407">
        <f t="shared" si="333"/>
        <v>0</v>
      </c>
      <c r="CL210" s="407">
        <f t="shared" si="333"/>
        <v>0</v>
      </c>
      <c r="CM210" s="407">
        <f t="shared" si="333"/>
        <v>0</v>
      </c>
      <c r="CN210" s="407">
        <f t="shared" si="333"/>
        <v>0</v>
      </c>
      <c r="CO210" s="407">
        <f t="shared" si="333"/>
        <v>0</v>
      </c>
      <c r="CP210" s="407">
        <f t="shared" si="333"/>
        <v>0</v>
      </c>
      <c r="CQ210" s="407">
        <f t="shared" si="333"/>
        <v>0</v>
      </c>
      <c r="CR210" s="407">
        <f t="shared" si="333"/>
        <v>0</v>
      </c>
      <c r="CS210" s="407">
        <f t="shared" si="333"/>
        <v>0</v>
      </c>
      <c r="CT210" s="407">
        <f t="shared" si="333"/>
        <v>0</v>
      </c>
      <c r="CU210" s="407">
        <f t="shared" si="333"/>
        <v>0</v>
      </c>
      <c r="CV210" s="407">
        <f t="shared" si="333"/>
        <v>0</v>
      </c>
      <c r="CW210" s="407">
        <f t="shared" ref="CW210:DU210" si="334">IF(CW$5&lt;=DispositionMonth,-CW$51,0)</f>
        <v>0</v>
      </c>
      <c r="CX210" s="407">
        <f t="shared" si="334"/>
        <v>0</v>
      </c>
      <c r="CY210" s="407">
        <f t="shared" si="334"/>
        <v>0</v>
      </c>
      <c r="CZ210" s="407">
        <f t="shared" si="334"/>
        <v>0</v>
      </c>
      <c r="DA210" s="407">
        <f t="shared" si="334"/>
        <v>0</v>
      </c>
      <c r="DB210" s="407">
        <f t="shared" si="334"/>
        <v>0</v>
      </c>
      <c r="DC210" s="407">
        <f t="shared" si="334"/>
        <v>0</v>
      </c>
      <c r="DD210" s="407">
        <f t="shared" si="334"/>
        <v>0</v>
      </c>
      <c r="DE210" s="407">
        <f t="shared" si="334"/>
        <v>0</v>
      </c>
      <c r="DF210" s="407">
        <f t="shared" si="334"/>
        <v>0</v>
      </c>
      <c r="DG210" s="407">
        <f t="shared" si="334"/>
        <v>0</v>
      </c>
      <c r="DH210" s="407">
        <f t="shared" si="334"/>
        <v>0</v>
      </c>
      <c r="DI210" s="407">
        <f t="shared" si="334"/>
        <v>0</v>
      </c>
      <c r="DJ210" s="407">
        <f t="shared" si="334"/>
        <v>0</v>
      </c>
      <c r="DK210" s="407">
        <f t="shared" si="334"/>
        <v>0</v>
      </c>
      <c r="DL210" s="407">
        <f t="shared" si="334"/>
        <v>0</v>
      </c>
      <c r="DM210" s="407">
        <f t="shared" si="334"/>
        <v>0</v>
      </c>
      <c r="DN210" s="407">
        <f t="shared" si="334"/>
        <v>0</v>
      </c>
      <c r="DO210" s="407">
        <f t="shared" si="334"/>
        <v>0</v>
      </c>
      <c r="DP210" s="407">
        <f t="shared" si="334"/>
        <v>0</v>
      </c>
      <c r="DQ210" s="407">
        <f t="shared" si="334"/>
        <v>0</v>
      </c>
      <c r="DR210" s="407">
        <f t="shared" si="334"/>
        <v>0</v>
      </c>
      <c r="DS210" s="407">
        <f t="shared" si="334"/>
        <v>0</v>
      </c>
      <c r="DT210" s="407">
        <f t="shared" si="334"/>
        <v>0</v>
      </c>
      <c r="DU210" s="407">
        <f t="shared" si="334"/>
        <v>0</v>
      </c>
      <c r="EH210" s="644"/>
      <c r="EI210" s="280"/>
    </row>
    <row r="211" spans="1:139" x14ac:dyDescent="0.3">
      <c r="A211" s="182" t="str">
        <f>'General Inputs'!$J$29&amp;" Contribution Returned From Refi"</f>
        <v>LP Contribution Returned From Refi</v>
      </c>
      <c r="B211" s="182"/>
      <c r="C211" s="182"/>
      <c r="D211" s="647"/>
      <c r="E211" s="407">
        <f t="shared" ref="E211:AJ211" si="335">IF(E$5&lt;=DispositionMonth,-E$53,0)</f>
        <v>0</v>
      </c>
      <c r="F211" s="407">
        <f t="shared" si="335"/>
        <v>0</v>
      </c>
      <c r="G211" s="407">
        <f t="shared" si="335"/>
        <v>0</v>
      </c>
      <c r="H211" s="407">
        <f t="shared" si="335"/>
        <v>0</v>
      </c>
      <c r="I211" s="407">
        <f t="shared" si="335"/>
        <v>0</v>
      </c>
      <c r="J211" s="407">
        <f t="shared" si="335"/>
        <v>0</v>
      </c>
      <c r="K211" s="407">
        <f t="shared" si="335"/>
        <v>0</v>
      </c>
      <c r="L211" s="407">
        <f t="shared" si="335"/>
        <v>0</v>
      </c>
      <c r="M211" s="407">
        <f t="shared" si="335"/>
        <v>0</v>
      </c>
      <c r="N211" s="407">
        <f t="shared" si="335"/>
        <v>0</v>
      </c>
      <c r="O211" s="407">
        <f t="shared" si="335"/>
        <v>0</v>
      </c>
      <c r="P211" s="407">
        <f t="shared" si="335"/>
        <v>0</v>
      </c>
      <c r="Q211" s="407">
        <f t="shared" si="335"/>
        <v>0</v>
      </c>
      <c r="R211" s="407">
        <f t="shared" si="335"/>
        <v>0</v>
      </c>
      <c r="S211" s="407">
        <f t="shared" si="335"/>
        <v>0</v>
      </c>
      <c r="T211" s="407">
        <f t="shared" si="335"/>
        <v>0</v>
      </c>
      <c r="U211" s="407">
        <f t="shared" si="335"/>
        <v>0</v>
      </c>
      <c r="V211" s="407">
        <f t="shared" si="335"/>
        <v>0</v>
      </c>
      <c r="W211" s="407">
        <f t="shared" si="335"/>
        <v>0</v>
      </c>
      <c r="X211" s="407">
        <f t="shared" si="335"/>
        <v>0</v>
      </c>
      <c r="Y211" s="407">
        <f t="shared" si="335"/>
        <v>0</v>
      </c>
      <c r="Z211" s="407">
        <f t="shared" si="335"/>
        <v>0</v>
      </c>
      <c r="AA211" s="407">
        <f t="shared" si="335"/>
        <v>0</v>
      </c>
      <c r="AB211" s="407">
        <f t="shared" si="335"/>
        <v>0</v>
      </c>
      <c r="AC211" s="407">
        <f t="shared" si="335"/>
        <v>0</v>
      </c>
      <c r="AD211" s="407">
        <f t="shared" si="335"/>
        <v>0</v>
      </c>
      <c r="AE211" s="407">
        <f t="shared" si="335"/>
        <v>0</v>
      </c>
      <c r="AF211" s="407">
        <f t="shared" si="335"/>
        <v>0</v>
      </c>
      <c r="AG211" s="407">
        <f t="shared" si="335"/>
        <v>0</v>
      </c>
      <c r="AH211" s="407">
        <f t="shared" si="335"/>
        <v>0</v>
      </c>
      <c r="AI211" s="407">
        <f t="shared" si="335"/>
        <v>0</v>
      </c>
      <c r="AJ211" s="407">
        <f t="shared" si="335"/>
        <v>0</v>
      </c>
      <c r="AK211" s="407">
        <f t="shared" ref="AK211:BP211" si="336">IF(AK$5&lt;=DispositionMonth,-AK$53,0)</f>
        <v>0</v>
      </c>
      <c r="AL211" s="407">
        <f t="shared" si="336"/>
        <v>0</v>
      </c>
      <c r="AM211" s="407">
        <f t="shared" si="336"/>
        <v>0</v>
      </c>
      <c r="AN211" s="407">
        <f t="shared" si="336"/>
        <v>0</v>
      </c>
      <c r="AO211" s="407">
        <f t="shared" si="336"/>
        <v>0</v>
      </c>
      <c r="AP211" s="407">
        <f t="shared" si="336"/>
        <v>0</v>
      </c>
      <c r="AQ211" s="407">
        <f t="shared" si="336"/>
        <v>0</v>
      </c>
      <c r="AR211" s="407">
        <f t="shared" si="336"/>
        <v>0</v>
      </c>
      <c r="AS211" s="407">
        <f t="shared" si="336"/>
        <v>0</v>
      </c>
      <c r="AT211" s="407">
        <f t="shared" si="336"/>
        <v>0</v>
      </c>
      <c r="AU211" s="407">
        <f t="shared" si="336"/>
        <v>0</v>
      </c>
      <c r="AV211" s="407">
        <f t="shared" si="336"/>
        <v>0</v>
      </c>
      <c r="AW211" s="407">
        <f t="shared" si="336"/>
        <v>0</v>
      </c>
      <c r="AX211" s="407">
        <f t="shared" si="336"/>
        <v>0</v>
      </c>
      <c r="AY211" s="407">
        <f t="shared" si="336"/>
        <v>0</v>
      </c>
      <c r="AZ211" s="407">
        <f t="shared" si="336"/>
        <v>0</v>
      </c>
      <c r="BA211" s="407">
        <f t="shared" si="336"/>
        <v>0</v>
      </c>
      <c r="BB211" s="407">
        <f t="shared" si="336"/>
        <v>0</v>
      </c>
      <c r="BC211" s="407">
        <f t="shared" si="336"/>
        <v>0</v>
      </c>
      <c r="BD211" s="407">
        <f t="shared" si="336"/>
        <v>0</v>
      </c>
      <c r="BE211" s="407">
        <f t="shared" si="336"/>
        <v>0</v>
      </c>
      <c r="BF211" s="407">
        <f t="shared" si="336"/>
        <v>0</v>
      </c>
      <c r="BG211" s="407">
        <f t="shared" si="336"/>
        <v>0</v>
      </c>
      <c r="BH211" s="407">
        <f t="shared" si="336"/>
        <v>0</v>
      </c>
      <c r="BI211" s="407">
        <f t="shared" si="336"/>
        <v>0</v>
      </c>
      <c r="BJ211" s="407">
        <f t="shared" si="336"/>
        <v>0</v>
      </c>
      <c r="BK211" s="407">
        <f t="shared" si="336"/>
        <v>0</v>
      </c>
      <c r="BL211" s="407">
        <f t="shared" si="336"/>
        <v>0</v>
      </c>
      <c r="BM211" s="407">
        <f t="shared" si="336"/>
        <v>0</v>
      </c>
      <c r="BN211" s="407">
        <f t="shared" si="336"/>
        <v>0</v>
      </c>
      <c r="BO211" s="407">
        <f t="shared" si="336"/>
        <v>0</v>
      </c>
      <c r="BP211" s="407">
        <f t="shared" si="336"/>
        <v>0</v>
      </c>
      <c r="BQ211" s="407">
        <f t="shared" ref="BQ211:CV211" si="337">IF(BQ$5&lt;=DispositionMonth,-BQ$53,0)</f>
        <v>0</v>
      </c>
      <c r="BR211" s="407">
        <f t="shared" si="337"/>
        <v>0</v>
      </c>
      <c r="BS211" s="407">
        <f t="shared" si="337"/>
        <v>0</v>
      </c>
      <c r="BT211" s="407">
        <f t="shared" si="337"/>
        <v>0</v>
      </c>
      <c r="BU211" s="407">
        <f t="shared" si="337"/>
        <v>0</v>
      </c>
      <c r="BV211" s="407">
        <f t="shared" si="337"/>
        <v>0</v>
      </c>
      <c r="BW211" s="407">
        <f t="shared" si="337"/>
        <v>0</v>
      </c>
      <c r="BX211" s="407">
        <f t="shared" si="337"/>
        <v>0</v>
      </c>
      <c r="BY211" s="407">
        <f t="shared" si="337"/>
        <v>0</v>
      </c>
      <c r="BZ211" s="407">
        <f t="shared" si="337"/>
        <v>0</v>
      </c>
      <c r="CA211" s="407">
        <f t="shared" si="337"/>
        <v>0</v>
      </c>
      <c r="CB211" s="407">
        <f t="shared" si="337"/>
        <v>0</v>
      </c>
      <c r="CC211" s="407">
        <f t="shared" si="337"/>
        <v>0</v>
      </c>
      <c r="CD211" s="407">
        <f t="shared" si="337"/>
        <v>0</v>
      </c>
      <c r="CE211" s="407">
        <f t="shared" si="337"/>
        <v>0</v>
      </c>
      <c r="CF211" s="407">
        <f t="shared" si="337"/>
        <v>0</v>
      </c>
      <c r="CG211" s="407">
        <f t="shared" si="337"/>
        <v>0</v>
      </c>
      <c r="CH211" s="407">
        <f t="shared" si="337"/>
        <v>0</v>
      </c>
      <c r="CI211" s="407">
        <f t="shared" si="337"/>
        <v>0</v>
      </c>
      <c r="CJ211" s="407">
        <f t="shared" si="337"/>
        <v>0</v>
      </c>
      <c r="CK211" s="407">
        <f t="shared" si="337"/>
        <v>0</v>
      </c>
      <c r="CL211" s="407">
        <f t="shared" si="337"/>
        <v>0</v>
      </c>
      <c r="CM211" s="407">
        <f t="shared" si="337"/>
        <v>0</v>
      </c>
      <c r="CN211" s="407">
        <f t="shared" si="337"/>
        <v>0</v>
      </c>
      <c r="CO211" s="407">
        <f t="shared" si="337"/>
        <v>0</v>
      </c>
      <c r="CP211" s="407">
        <f t="shared" si="337"/>
        <v>0</v>
      </c>
      <c r="CQ211" s="407">
        <f t="shared" si="337"/>
        <v>0</v>
      </c>
      <c r="CR211" s="407">
        <f t="shared" si="337"/>
        <v>0</v>
      </c>
      <c r="CS211" s="407">
        <f t="shared" si="337"/>
        <v>0</v>
      </c>
      <c r="CT211" s="407">
        <f t="shared" si="337"/>
        <v>0</v>
      </c>
      <c r="CU211" s="407">
        <f t="shared" si="337"/>
        <v>0</v>
      </c>
      <c r="CV211" s="407">
        <f t="shared" si="337"/>
        <v>0</v>
      </c>
      <c r="CW211" s="407">
        <f t="shared" ref="CW211:DU211" si="338">IF(CW$5&lt;=DispositionMonth,-CW$53,0)</f>
        <v>0</v>
      </c>
      <c r="CX211" s="407">
        <f t="shared" si="338"/>
        <v>0</v>
      </c>
      <c r="CY211" s="407">
        <f t="shared" si="338"/>
        <v>0</v>
      </c>
      <c r="CZ211" s="407">
        <f t="shared" si="338"/>
        <v>0</v>
      </c>
      <c r="DA211" s="407">
        <f t="shared" si="338"/>
        <v>0</v>
      </c>
      <c r="DB211" s="407">
        <f t="shared" si="338"/>
        <v>0</v>
      </c>
      <c r="DC211" s="407">
        <f t="shared" si="338"/>
        <v>0</v>
      </c>
      <c r="DD211" s="407">
        <f t="shared" si="338"/>
        <v>0</v>
      </c>
      <c r="DE211" s="407">
        <f t="shared" si="338"/>
        <v>0</v>
      </c>
      <c r="DF211" s="407">
        <f t="shared" si="338"/>
        <v>0</v>
      </c>
      <c r="DG211" s="407">
        <f t="shared" si="338"/>
        <v>0</v>
      </c>
      <c r="DH211" s="407">
        <f t="shared" si="338"/>
        <v>0</v>
      </c>
      <c r="DI211" s="407">
        <f t="shared" si="338"/>
        <v>0</v>
      </c>
      <c r="DJ211" s="407">
        <f t="shared" si="338"/>
        <v>0</v>
      </c>
      <c r="DK211" s="407">
        <f t="shared" si="338"/>
        <v>0</v>
      </c>
      <c r="DL211" s="407">
        <f t="shared" si="338"/>
        <v>0</v>
      </c>
      <c r="DM211" s="407">
        <f t="shared" si="338"/>
        <v>0</v>
      </c>
      <c r="DN211" s="407">
        <f t="shared" si="338"/>
        <v>0</v>
      </c>
      <c r="DO211" s="407">
        <f t="shared" si="338"/>
        <v>0</v>
      </c>
      <c r="DP211" s="407">
        <f t="shared" si="338"/>
        <v>0</v>
      </c>
      <c r="DQ211" s="407">
        <f t="shared" si="338"/>
        <v>0</v>
      </c>
      <c r="DR211" s="407">
        <f t="shared" si="338"/>
        <v>0</v>
      </c>
      <c r="DS211" s="407">
        <f t="shared" si="338"/>
        <v>0</v>
      </c>
      <c r="DT211" s="407">
        <f t="shared" si="338"/>
        <v>0</v>
      </c>
      <c r="DU211" s="407">
        <f t="shared" si="338"/>
        <v>0</v>
      </c>
      <c r="EH211" s="644"/>
      <c r="EI211" s="280"/>
    </row>
    <row r="212" spans="1:139" x14ac:dyDescent="0.3">
      <c r="A212" s="182" t="str">
        <f>'General Inputs'!$J$29&amp;" Equity &amp; Pref Retirement"</f>
        <v>LP Equity &amp; Pref Retirement</v>
      </c>
      <c r="B212" s="182"/>
      <c r="C212" s="182"/>
      <c r="D212" s="685"/>
      <c r="E212" s="407">
        <f t="shared" ref="E212:AJ212" si="339">IF(E$5=DispositionMonth,MIN(-E$196,E$204),0)</f>
        <v>0</v>
      </c>
      <c r="F212" s="407">
        <f t="shared" si="339"/>
        <v>0</v>
      </c>
      <c r="G212" s="407">
        <f t="shared" si="339"/>
        <v>0</v>
      </c>
      <c r="H212" s="407">
        <f t="shared" si="339"/>
        <v>0</v>
      </c>
      <c r="I212" s="407">
        <f t="shared" si="339"/>
        <v>0</v>
      </c>
      <c r="J212" s="407">
        <f t="shared" si="339"/>
        <v>0</v>
      </c>
      <c r="K212" s="407">
        <f t="shared" si="339"/>
        <v>0</v>
      </c>
      <c r="L212" s="407">
        <f t="shared" si="339"/>
        <v>0</v>
      </c>
      <c r="M212" s="407">
        <f t="shared" si="339"/>
        <v>0</v>
      </c>
      <c r="N212" s="407">
        <f t="shared" si="339"/>
        <v>0</v>
      </c>
      <c r="O212" s="407">
        <f t="shared" si="339"/>
        <v>0</v>
      </c>
      <c r="P212" s="407">
        <f t="shared" si="339"/>
        <v>0</v>
      </c>
      <c r="Q212" s="407">
        <f t="shared" si="339"/>
        <v>0</v>
      </c>
      <c r="R212" s="407">
        <f t="shared" si="339"/>
        <v>0</v>
      </c>
      <c r="S212" s="407">
        <f t="shared" si="339"/>
        <v>0</v>
      </c>
      <c r="T212" s="407">
        <f t="shared" si="339"/>
        <v>0</v>
      </c>
      <c r="U212" s="407">
        <f t="shared" si="339"/>
        <v>0</v>
      </c>
      <c r="V212" s="407">
        <f t="shared" si="339"/>
        <v>0</v>
      </c>
      <c r="W212" s="407">
        <f t="shared" si="339"/>
        <v>0</v>
      </c>
      <c r="X212" s="407">
        <f t="shared" si="339"/>
        <v>0</v>
      </c>
      <c r="Y212" s="407">
        <f t="shared" si="339"/>
        <v>0</v>
      </c>
      <c r="Z212" s="407">
        <f t="shared" si="339"/>
        <v>0</v>
      </c>
      <c r="AA212" s="407">
        <f t="shared" si="339"/>
        <v>0</v>
      </c>
      <c r="AB212" s="407">
        <f t="shared" si="339"/>
        <v>0</v>
      </c>
      <c r="AC212" s="407">
        <f t="shared" si="339"/>
        <v>0</v>
      </c>
      <c r="AD212" s="407">
        <f t="shared" si="339"/>
        <v>0</v>
      </c>
      <c r="AE212" s="407">
        <f t="shared" si="339"/>
        <v>0</v>
      </c>
      <c r="AF212" s="407">
        <f t="shared" si="339"/>
        <v>0</v>
      </c>
      <c r="AG212" s="407">
        <f t="shared" ca="1" si="339"/>
        <v>37886681.514896236</v>
      </c>
      <c r="AH212" s="407">
        <f t="shared" si="339"/>
        <v>0</v>
      </c>
      <c r="AI212" s="407">
        <f t="shared" si="339"/>
        <v>0</v>
      </c>
      <c r="AJ212" s="407">
        <f t="shared" si="339"/>
        <v>0</v>
      </c>
      <c r="AK212" s="407">
        <f t="shared" ref="AK212:BP212" si="340">IF(AK$5=DispositionMonth,MIN(-AK$196,AK$204),0)</f>
        <v>0</v>
      </c>
      <c r="AL212" s="407">
        <f t="shared" si="340"/>
        <v>0</v>
      </c>
      <c r="AM212" s="407">
        <f t="shared" si="340"/>
        <v>0</v>
      </c>
      <c r="AN212" s="407">
        <f t="shared" si="340"/>
        <v>0</v>
      </c>
      <c r="AO212" s="407">
        <f t="shared" si="340"/>
        <v>0</v>
      </c>
      <c r="AP212" s="407">
        <f t="shared" si="340"/>
        <v>0</v>
      </c>
      <c r="AQ212" s="407">
        <f t="shared" si="340"/>
        <v>0</v>
      </c>
      <c r="AR212" s="407">
        <f t="shared" si="340"/>
        <v>0</v>
      </c>
      <c r="AS212" s="407">
        <f t="shared" si="340"/>
        <v>0</v>
      </c>
      <c r="AT212" s="407">
        <f t="shared" si="340"/>
        <v>0</v>
      </c>
      <c r="AU212" s="407">
        <f t="shared" si="340"/>
        <v>0</v>
      </c>
      <c r="AV212" s="407">
        <f t="shared" si="340"/>
        <v>0</v>
      </c>
      <c r="AW212" s="407">
        <f t="shared" si="340"/>
        <v>0</v>
      </c>
      <c r="AX212" s="407">
        <f t="shared" si="340"/>
        <v>0</v>
      </c>
      <c r="AY212" s="407">
        <f t="shared" si="340"/>
        <v>0</v>
      </c>
      <c r="AZ212" s="407">
        <f t="shared" si="340"/>
        <v>0</v>
      </c>
      <c r="BA212" s="407">
        <f t="shared" si="340"/>
        <v>0</v>
      </c>
      <c r="BB212" s="407">
        <f t="shared" si="340"/>
        <v>0</v>
      </c>
      <c r="BC212" s="407">
        <f t="shared" si="340"/>
        <v>0</v>
      </c>
      <c r="BD212" s="407">
        <f t="shared" si="340"/>
        <v>0</v>
      </c>
      <c r="BE212" s="407">
        <f t="shared" si="340"/>
        <v>0</v>
      </c>
      <c r="BF212" s="407">
        <f t="shared" si="340"/>
        <v>0</v>
      </c>
      <c r="BG212" s="407">
        <f t="shared" si="340"/>
        <v>0</v>
      </c>
      <c r="BH212" s="407">
        <f t="shared" si="340"/>
        <v>0</v>
      </c>
      <c r="BI212" s="407">
        <f t="shared" si="340"/>
        <v>0</v>
      </c>
      <c r="BJ212" s="407">
        <f t="shared" si="340"/>
        <v>0</v>
      </c>
      <c r="BK212" s="407">
        <f t="shared" si="340"/>
        <v>0</v>
      </c>
      <c r="BL212" s="407">
        <f t="shared" si="340"/>
        <v>0</v>
      </c>
      <c r="BM212" s="407">
        <f t="shared" si="340"/>
        <v>0</v>
      </c>
      <c r="BN212" s="407">
        <f t="shared" si="340"/>
        <v>0</v>
      </c>
      <c r="BO212" s="407">
        <f t="shared" si="340"/>
        <v>0</v>
      </c>
      <c r="BP212" s="407">
        <f t="shared" si="340"/>
        <v>0</v>
      </c>
      <c r="BQ212" s="407">
        <f t="shared" ref="BQ212:CV212" si="341">IF(BQ$5=DispositionMonth,MIN(-BQ$196,BQ$204),0)</f>
        <v>0</v>
      </c>
      <c r="BR212" s="407">
        <f t="shared" si="341"/>
        <v>0</v>
      </c>
      <c r="BS212" s="407">
        <f t="shared" si="341"/>
        <v>0</v>
      </c>
      <c r="BT212" s="407">
        <f t="shared" si="341"/>
        <v>0</v>
      </c>
      <c r="BU212" s="407">
        <f t="shared" si="341"/>
        <v>0</v>
      </c>
      <c r="BV212" s="407">
        <f t="shared" si="341"/>
        <v>0</v>
      </c>
      <c r="BW212" s="407">
        <f t="shared" si="341"/>
        <v>0</v>
      </c>
      <c r="BX212" s="407">
        <f t="shared" si="341"/>
        <v>0</v>
      </c>
      <c r="BY212" s="407">
        <f t="shared" si="341"/>
        <v>0</v>
      </c>
      <c r="BZ212" s="407">
        <f t="shared" si="341"/>
        <v>0</v>
      </c>
      <c r="CA212" s="407">
        <f t="shared" si="341"/>
        <v>0</v>
      </c>
      <c r="CB212" s="407">
        <f t="shared" si="341"/>
        <v>0</v>
      </c>
      <c r="CC212" s="407">
        <f t="shared" si="341"/>
        <v>0</v>
      </c>
      <c r="CD212" s="407">
        <f t="shared" si="341"/>
        <v>0</v>
      </c>
      <c r="CE212" s="407">
        <f t="shared" si="341"/>
        <v>0</v>
      </c>
      <c r="CF212" s="407">
        <f t="shared" si="341"/>
        <v>0</v>
      </c>
      <c r="CG212" s="407">
        <f t="shared" si="341"/>
        <v>0</v>
      </c>
      <c r="CH212" s="407">
        <f t="shared" si="341"/>
        <v>0</v>
      </c>
      <c r="CI212" s="407">
        <f t="shared" si="341"/>
        <v>0</v>
      </c>
      <c r="CJ212" s="407">
        <f t="shared" si="341"/>
        <v>0</v>
      </c>
      <c r="CK212" s="407">
        <f t="shared" si="341"/>
        <v>0</v>
      </c>
      <c r="CL212" s="407">
        <f t="shared" si="341"/>
        <v>0</v>
      </c>
      <c r="CM212" s="407">
        <f t="shared" si="341"/>
        <v>0</v>
      </c>
      <c r="CN212" s="407">
        <f t="shared" si="341"/>
        <v>0</v>
      </c>
      <c r="CO212" s="407">
        <f t="shared" si="341"/>
        <v>0</v>
      </c>
      <c r="CP212" s="407">
        <f t="shared" si="341"/>
        <v>0</v>
      </c>
      <c r="CQ212" s="407">
        <f t="shared" si="341"/>
        <v>0</v>
      </c>
      <c r="CR212" s="407">
        <f t="shared" si="341"/>
        <v>0</v>
      </c>
      <c r="CS212" s="407">
        <f t="shared" si="341"/>
        <v>0</v>
      </c>
      <c r="CT212" s="407">
        <f t="shared" si="341"/>
        <v>0</v>
      </c>
      <c r="CU212" s="407">
        <f t="shared" si="341"/>
        <v>0</v>
      </c>
      <c r="CV212" s="407">
        <f t="shared" si="341"/>
        <v>0</v>
      </c>
      <c r="CW212" s="407">
        <f t="shared" ref="CW212:DU212" si="342">IF(CW$5=DispositionMonth,MIN(-CW$196,CW$204),0)</f>
        <v>0</v>
      </c>
      <c r="CX212" s="407">
        <f t="shared" si="342"/>
        <v>0</v>
      </c>
      <c r="CY212" s="407">
        <f t="shared" si="342"/>
        <v>0</v>
      </c>
      <c r="CZ212" s="407">
        <f t="shared" si="342"/>
        <v>0</v>
      </c>
      <c r="DA212" s="407">
        <f t="shared" si="342"/>
        <v>0</v>
      </c>
      <c r="DB212" s="407">
        <f t="shared" si="342"/>
        <v>0</v>
      </c>
      <c r="DC212" s="407">
        <f t="shared" si="342"/>
        <v>0</v>
      </c>
      <c r="DD212" s="407">
        <f t="shared" si="342"/>
        <v>0</v>
      </c>
      <c r="DE212" s="407">
        <f t="shared" si="342"/>
        <v>0</v>
      </c>
      <c r="DF212" s="407">
        <f t="shared" si="342"/>
        <v>0</v>
      </c>
      <c r="DG212" s="407">
        <f t="shared" si="342"/>
        <v>0</v>
      </c>
      <c r="DH212" s="407">
        <f t="shared" si="342"/>
        <v>0</v>
      </c>
      <c r="DI212" s="407">
        <f t="shared" si="342"/>
        <v>0</v>
      </c>
      <c r="DJ212" s="407">
        <f t="shared" si="342"/>
        <v>0</v>
      </c>
      <c r="DK212" s="407">
        <f t="shared" si="342"/>
        <v>0</v>
      </c>
      <c r="DL212" s="407">
        <f t="shared" si="342"/>
        <v>0</v>
      </c>
      <c r="DM212" s="407">
        <f t="shared" si="342"/>
        <v>0</v>
      </c>
      <c r="DN212" s="407">
        <f t="shared" si="342"/>
        <v>0</v>
      </c>
      <c r="DO212" s="407">
        <f t="shared" si="342"/>
        <v>0</v>
      </c>
      <c r="DP212" s="407">
        <f t="shared" si="342"/>
        <v>0</v>
      </c>
      <c r="DQ212" s="407">
        <f t="shared" si="342"/>
        <v>0</v>
      </c>
      <c r="DR212" s="407">
        <f t="shared" si="342"/>
        <v>0</v>
      </c>
      <c r="DS212" s="407">
        <f t="shared" si="342"/>
        <v>0</v>
      </c>
      <c r="DT212" s="407">
        <f t="shared" si="342"/>
        <v>0</v>
      </c>
      <c r="DU212" s="407">
        <f t="shared" si="342"/>
        <v>0</v>
      </c>
      <c r="EH212" s="644"/>
      <c r="EI212" s="722"/>
    </row>
    <row r="213" spans="1:139" ht="15" thickBot="1" x14ac:dyDescent="0.35">
      <c r="A213" s="436" t="str">
        <f>'General Inputs'!$J$29&amp;" Return ON &amp; OF Equity"</f>
        <v>LP Return ON &amp; OF Equity</v>
      </c>
      <c r="B213" s="436"/>
      <c r="C213" s="439"/>
      <c r="D213" s="740">
        <f ca="1">(1+IRR(E213:DU213,0.01))^12-1</f>
        <v>0.10471306744129683</v>
      </c>
      <c r="E213" s="433">
        <f t="shared" ref="E213:AZ213" ca="1" si="343">SUM(E207:E212)</f>
        <v>-1684806.2553703375</v>
      </c>
      <c r="F213" s="433">
        <f t="shared" ca="1" si="343"/>
        <v>-13679721.285321232</v>
      </c>
      <c r="G213" s="433">
        <f t="shared" ca="1" si="343"/>
        <v>-429758.58896990592</v>
      </c>
      <c r="H213" s="433">
        <f t="shared" ca="1" si="343"/>
        <v>-652516.24275347544</v>
      </c>
      <c r="I213" s="433">
        <f t="shared" ca="1" si="343"/>
        <v>-1108216.2834030252</v>
      </c>
      <c r="J213" s="433">
        <f t="shared" ca="1" si="343"/>
        <v>-1808500.5776190415</v>
      </c>
      <c r="K213" s="433">
        <f t="shared" ca="1" si="343"/>
        <v>-1861449.5545326734</v>
      </c>
      <c r="L213" s="433">
        <f t="shared" ca="1" si="343"/>
        <v>-2372000.4851556052</v>
      </c>
      <c r="M213" s="433">
        <f t="shared" ca="1" si="343"/>
        <v>-2813680.2377213496</v>
      </c>
      <c r="N213" s="433">
        <f t="shared" ca="1" si="343"/>
        <v>-3293680.161515363</v>
      </c>
      <c r="O213" s="433">
        <f t="shared" ca="1" si="343"/>
        <v>-1869318.1862202697</v>
      </c>
      <c r="P213" s="433">
        <f t="shared" ca="1" si="343"/>
        <v>0</v>
      </c>
      <c r="Q213" s="433">
        <f t="shared" ca="1" si="343"/>
        <v>0</v>
      </c>
      <c r="R213" s="433">
        <f t="shared" ca="1" si="343"/>
        <v>0</v>
      </c>
      <c r="S213" s="433">
        <f t="shared" ca="1" si="343"/>
        <v>0</v>
      </c>
      <c r="T213" s="433">
        <f t="shared" ca="1" si="343"/>
        <v>0</v>
      </c>
      <c r="U213" s="433">
        <f t="shared" ca="1" si="343"/>
        <v>0</v>
      </c>
      <c r="V213" s="433">
        <f t="shared" ca="1" si="343"/>
        <v>0</v>
      </c>
      <c r="W213" s="433">
        <f t="shared" ca="1" si="343"/>
        <v>0</v>
      </c>
      <c r="X213" s="433">
        <f t="shared" ca="1" si="343"/>
        <v>0</v>
      </c>
      <c r="Y213" s="433">
        <f t="shared" ca="1" si="343"/>
        <v>0</v>
      </c>
      <c r="Z213" s="433">
        <f t="shared" ca="1" si="343"/>
        <v>0</v>
      </c>
      <c r="AA213" s="433">
        <f t="shared" ca="1" si="343"/>
        <v>0</v>
      </c>
      <c r="AB213" s="433">
        <f t="shared" ca="1" si="343"/>
        <v>0</v>
      </c>
      <c r="AC213" s="433">
        <f t="shared" ca="1" si="343"/>
        <v>39701.726541082207</v>
      </c>
      <c r="AD213" s="433">
        <f t="shared" ca="1" si="343"/>
        <v>75897.380147726886</v>
      </c>
      <c r="AE213" s="433">
        <f t="shared" ca="1" si="343"/>
        <v>117111.83679771089</v>
      </c>
      <c r="AF213" s="433">
        <f t="shared" ca="1" si="343"/>
        <v>197606.01356017322</v>
      </c>
      <c r="AG213" s="433">
        <f t="shared" ca="1" si="343"/>
        <v>38087569.235943072</v>
      </c>
      <c r="AH213" s="433">
        <f t="shared" si="343"/>
        <v>0</v>
      </c>
      <c r="AI213" s="433">
        <f t="shared" si="343"/>
        <v>0</v>
      </c>
      <c r="AJ213" s="433">
        <f t="shared" si="343"/>
        <v>0</v>
      </c>
      <c r="AK213" s="433">
        <f t="shared" si="343"/>
        <v>0</v>
      </c>
      <c r="AL213" s="433">
        <f t="shared" si="343"/>
        <v>0</v>
      </c>
      <c r="AM213" s="433">
        <f t="shared" si="343"/>
        <v>0</v>
      </c>
      <c r="AN213" s="433">
        <f t="shared" si="343"/>
        <v>0</v>
      </c>
      <c r="AO213" s="433">
        <f t="shared" si="343"/>
        <v>0</v>
      </c>
      <c r="AP213" s="433">
        <f t="shared" si="343"/>
        <v>0</v>
      </c>
      <c r="AQ213" s="433">
        <f t="shared" si="343"/>
        <v>0</v>
      </c>
      <c r="AR213" s="433">
        <f t="shared" si="343"/>
        <v>0</v>
      </c>
      <c r="AS213" s="433">
        <f t="shared" si="343"/>
        <v>0</v>
      </c>
      <c r="AT213" s="433">
        <f t="shared" si="343"/>
        <v>0</v>
      </c>
      <c r="AU213" s="433">
        <f t="shared" si="343"/>
        <v>0</v>
      </c>
      <c r="AV213" s="433">
        <f t="shared" si="343"/>
        <v>0</v>
      </c>
      <c r="AW213" s="433">
        <f t="shared" si="343"/>
        <v>0</v>
      </c>
      <c r="AX213" s="433">
        <f t="shared" si="343"/>
        <v>0</v>
      </c>
      <c r="AY213" s="433">
        <f t="shared" si="343"/>
        <v>0</v>
      </c>
      <c r="AZ213" s="433">
        <f t="shared" si="343"/>
        <v>0</v>
      </c>
      <c r="BA213" s="433">
        <f>SUM(BA207:BA212)</f>
        <v>0</v>
      </c>
      <c r="BB213" s="433">
        <f t="shared" ref="BB213:DM213" si="344">SUM(BB207:BB212)</f>
        <v>0</v>
      </c>
      <c r="BC213" s="433">
        <f t="shared" si="344"/>
        <v>0</v>
      </c>
      <c r="BD213" s="433">
        <f t="shared" si="344"/>
        <v>0</v>
      </c>
      <c r="BE213" s="433">
        <f t="shared" si="344"/>
        <v>0</v>
      </c>
      <c r="BF213" s="433">
        <f t="shared" si="344"/>
        <v>0</v>
      </c>
      <c r="BG213" s="433">
        <f t="shared" si="344"/>
        <v>0</v>
      </c>
      <c r="BH213" s="433">
        <f t="shared" si="344"/>
        <v>0</v>
      </c>
      <c r="BI213" s="433">
        <f t="shared" si="344"/>
        <v>0</v>
      </c>
      <c r="BJ213" s="433">
        <f t="shared" si="344"/>
        <v>0</v>
      </c>
      <c r="BK213" s="433">
        <f t="shared" si="344"/>
        <v>0</v>
      </c>
      <c r="BL213" s="433">
        <f t="shared" si="344"/>
        <v>0</v>
      </c>
      <c r="BM213" s="433">
        <f t="shared" si="344"/>
        <v>0</v>
      </c>
      <c r="BN213" s="433">
        <f t="shared" si="344"/>
        <v>0</v>
      </c>
      <c r="BO213" s="433">
        <f t="shared" si="344"/>
        <v>0</v>
      </c>
      <c r="BP213" s="433">
        <f t="shared" si="344"/>
        <v>0</v>
      </c>
      <c r="BQ213" s="433">
        <f t="shared" si="344"/>
        <v>0</v>
      </c>
      <c r="BR213" s="433">
        <f t="shared" si="344"/>
        <v>0</v>
      </c>
      <c r="BS213" s="433">
        <f t="shared" si="344"/>
        <v>0</v>
      </c>
      <c r="BT213" s="433">
        <f t="shared" si="344"/>
        <v>0</v>
      </c>
      <c r="BU213" s="433">
        <f t="shared" si="344"/>
        <v>0</v>
      </c>
      <c r="BV213" s="433">
        <f t="shared" si="344"/>
        <v>0</v>
      </c>
      <c r="BW213" s="433">
        <f t="shared" si="344"/>
        <v>0</v>
      </c>
      <c r="BX213" s="433">
        <f t="shared" si="344"/>
        <v>0</v>
      </c>
      <c r="BY213" s="433">
        <f t="shared" si="344"/>
        <v>0</v>
      </c>
      <c r="BZ213" s="433">
        <f t="shared" si="344"/>
        <v>0</v>
      </c>
      <c r="CA213" s="433">
        <f t="shared" si="344"/>
        <v>0</v>
      </c>
      <c r="CB213" s="433">
        <f t="shared" si="344"/>
        <v>0</v>
      </c>
      <c r="CC213" s="433">
        <f t="shared" si="344"/>
        <v>0</v>
      </c>
      <c r="CD213" s="433">
        <f t="shared" si="344"/>
        <v>0</v>
      </c>
      <c r="CE213" s="433">
        <f t="shared" si="344"/>
        <v>0</v>
      </c>
      <c r="CF213" s="433">
        <f t="shared" si="344"/>
        <v>0</v>
      </c>
      <c r="CG213" s="433">
        <f t="shared" si="344"/>
        <v>0</v>
      </c>
      <c r="CH213" s="433">
        <f t="shared" si="344"/>
        <v>0</v>
      </c>
      <c r="CI213" s="433">
        <f t="shared" si="344"/>
        <v>0</v>
      </c>
      <c r="CJ213" s="433">
        <f t="shared" si="344"/>
        <v>0</v>
      </c>
      <c r="CK213" s="433">
        <f t="shared" si="344"/>
        <v>0</v>
      </c>
      <c r="CL213" s="433">
        <f t="shared" si="344"/>
        <v>0</v>
      </c>
      <c r="CM213" s="433">
        <f t="shared" si="344"/>
        <v>0</v>
      </c>
      <c r="CN213" s="433">
        <f t="shared" si="344"/>
        <v>0</v>
      </c>
      <c r="CO213" s="433">
        <f t="shared" si="344"/>
        <v>0</v>
      </c>
      <c r="CP213" s="433">
        <f t="shared" si="344"/>
        <v>0</v>
      </c>
      <c r="CQ213" s="433">
        <f t="shared" si="344"/>
        <v>0</v>
      </c>
      <c r="CR213" s="433">
        <f t="shared" si="344"/>
        <v>0</v>
      </c>
      <c r="CS213" s="433">
        <f t="shared" si="344"/>
        <v>0</v>
      </c>
      <c r="CT213" s="433">
        <f t="shared" si="344"/>
        <v>0</v>
      </c>
      <c r="CU213" s="433">
        <f t="shared" si="344"/>
        <v>0</v>
      </c>
      <c r="CV213" s="433">
        <f t="shared" si="344"/>
        <v>0</v>
      </c>
      <c r="CW213" s="433">
        <f t="shared" si="344"/>
        <v>0</v>
      </c>
      <c r="CX213" s="433">
        <f t="shared" si="344"/>
        <v>0</v>
      </c>
      <c r="CY213" s="433">
        <f t="shared" si="344"/>
        <v>0</v>
      </c>
      <c r="CZ213" s="433">
        <f t="shared" si="344"/>
        <v>0</v>
      </c>
      <c r="DA213" s="433">
        <f t="shared" si="344"/>
        <v>0</v>
      </c>
      <c r="DB213" s="433">
        <f t="shared" si="344"/>
        <v>0</v>
      </c>
      <c r="DC213" s="433">
        <f t="shared" si="344"/>
        <v>0</v>
      </c>
      <c r="DD213" s="433">
        <f t="shared" si="344"/>
        <v>0</v>
      </c>
      <c r="DE213" s="433">
        <f t="shared" si="344"/>
        <v>0</v>
      </c>
      <c r="DF213" s="433">
        <f t="shared" si="344"/>
        <v>0</v>
      </c>
      <c r="DG213" s="433">
        <f t="shared" si="344"/>
        <v>0</v>
      </c>
      <c r="DH213" s="433">
        <f t="shared" si="344"/>
        <v>0</v>
      </c>
      <c r="DI213" s="433">
        <f t="shared" si="344"/>
        <v>0</v>
      </c>
      <c r="DJ213" s="433">
        <f t="shared" si="344"/>
        <v>0</v>
      </c>
      <c r="DK213" s="433">
        <f t="shared" si="344"/>
        <v>0</v>
      </c>
      <c r="DL213" s="433">
        <f t="shared" si="344"/>
        <v>0</v>
      </c>
      <c r="DM213" s="433">
        <f t="shared" si="344"/>
        <v>0</v>
      </c>
      <c r="DN213" s="433">
        <f t="shared" ref="DN213:DU213" si="345">SUM(DN207:DN212)</f>
        <v>0</v>
      </c>
      <c r="DO213" s="433">
        <f t="shared" si="345"/>
        <v>0</v>
      </c>
      <c r="DP213" s="433">
        <f t="shared" si="345"/>
        <v>0</v>
      </c>
      <c r="DQ213" s="433">
        <f t="shared" si="345"/>
        <v>0</v>
      </c>
      <c r="DR213" s="433">
        <f t="shared" si="345"/>
        <v>0</v>
      </c>
      <c r="DS213" s="433">
        <f t="shared" si="345"/>
        <v>0</v>
      </c>
      <c r="DT213" s="433">
        <f t="shared" si="345"/>
        <v>0</v>
      </c>
      <c r="DU213" s="433">
        <f t="shared" si="345"/>
        <v>0</v>
      </c>
      <c r="EH213" s="644"/>
      <c r="EI213" s="280"/>
    </row>
    <row r="214" spans="1:139" ht="7.5" customHeight="1" thickTop="1" x14ac:dyDescent="0.3">
      <c r="D214" s="685"/>
      <c r="EH214" s="644"/>
      <c r="EI214" s="722"/>
    </row>
    <row r="215" spans="1:139" x14ac:dyDescent="0.3">
      <c r="A215" s="182" t="str">
        <f>'General Inputs'!$K$29&amp;" Contributions"</f>
        <v>Quarterra Contributions</v>
      </c>
      <c r="B215" s="182"/>
      <c r="C215" s="182"/>
      <c r="D215" s="685"/>
      <c r="E215" s="408">
        <f t="shared" ref="E215:AJ215" ca="1" si="346">IF(E$5&lt;=DispositionMonth,-E$67,0)</f>
        <v>-187200.69504114857</v>
      </c>
      <c r="F215" s="408">
        <f t="shared" ca="1" si="346"/>
        <v>-1519969.0317023587</v>
      </c>
      <c r="G215" s="408">
        <f t="shared" ca="1" si="346"/>
        <v>-47750.954329989538</v>
      </c>
      <c r="H215" s="408">
        <f t="shared" ca="1" si="346"/>
        <v>-72501.804750386145</v>
      </c>
      <c r="I215" s="408">
        <f t="shared" ca="1" si="346"/>
        <v>-123135.14260033611</v>
      </c>
      <c r="J215" s="408">
        <f t="shared" ca="1" si="346"/>
        <v>-200944.5086243379</v>
      </c>
      <c r="K215" s="408">
        <f t="shared" ca="1" si="346"/>
        <v>-206827.72828140811</v>
      </c>
      <c r="L215" s="408">
        <f t="shared" ca="1" si="346"/>
        <v>-263555.60946173384</v>
      </c>
      <c r="M215" s="408">
        <f t="shared" ca="1" si="346"/>
        <v>-312631.13752459432</v>
      </c>
      <c r="N215" s="408">
        <f t="shared" ca="1" si="346"/>
        <v>-365964.46239059581</v>
      </c>
      <c r="O215" s="408">
        <f t="shared" ca="1" si="346"/>
        <v>-207702.02069114055</v>
      </c>
      <c r="P215" s="408">
        <f t="shared" ca="1" si="346"/>
        <v>0</v>
      </c>
      <c r="Q215" s="408">
        <f t="shared" ca="1" si="346"/>
        <v>0</v>
      </c>
      <c r="R215" s="408">
        <f t="shared" ca="1" si="346"/>
        <v>0</v>
      </c>
      <c r="S215" s="408">
        <f t="shared" ca="1" si="346"/>
        <v>0</v>
      </c>
      <c r="T215" s="408">
        <f t="shared" ca="1" si="346"/>
        <v>0</v>
      </c>
      <c r="U215" s="408">
        <f t="shared" ca="1" si="346"/>
        <v>0</v>
      </c>
      <c r="V215" s="408">
        <f t="shared" ca="1" si="346"/>
        <v>0</v>
      </c>
      <c r="W215" s="408">
        <f t="shared" ca="1" si="346"/>
        <v>0</v>
      </c>
      <c r="X215" s="408">
        <f t="shared" ca="1" si="346"/>
        <v>0</v>
      </c>
      <c r="Y215" s="408">
        <f t="shared" ca="1" si="346"/>
        <v>0</v>
      </c>
      <c r="Z215" s="408">
        <f t="shared" ca="1" si="346"/>
        <v>0</v>
      </c>
      <c r="AA215" s="408">
        <f t="shared" ca="1" si="346"/>
        <v>0</v>
      </c>
      <c r="AB215" s="408">
        <f t="shared" ca="1" si="346"/>
        <v>0</v>
      </c>
      <c r="AC215" s="408">
        <f t="shared" ca="1" si="346"/>
        <v>0</v>
      </c>
      <c r="AD215" s="408">
        <f t="shared" ca="1" si="346"/>
        <v>0</v>
      </c>
      <c r="AE215" s="408">
        <f t="shared" ca="1" si="346"/>
        <v>0</v>
      </c>
      <c r="AF215" s="408">
        <f t="shared" ca="1" si="346"/>
        <v>0</v>
      </c>
      <c r="AG215" s="408">
        <f t="shared" ca="1" si="346"/>
        <v>0</v>
      </c>
      <c r="AH215" s="408">
        <f t="shared" si="346"/>
        <v>0</v>
      </c>
      <c r="AI215" s="408">
        <f t="shared" si="346"/>
        <v>0</v>
      </c>
      <c r="AJ215" s="408">
        <f t="shared" si="346"/>
        <v>0</v>
      </c>
      <c r="AK215" s="408">
        <f t="shared" ref="AK215:BP215" si="347">IF(AK$5&lt;=DispositionMonth,-AK$67,0)</f>
        <v>0</v>
      </c>
      <c r="AL215" s="408">
        <f t="shared" si="347"/>
        <v>0</v>
      </c>
      <c r="AM215" s="408">
        <f t="shared" si="347"/>
        <v>0</v>
      </c>
      <c r="AN215" s="408">
        <f t="shared" si="347"/>
        <v>0</v>
      </c>
      <c r="AO215" s="408">
        <f t="shared" si="347"/>
        <v>0</v>
      </c>
      <c r="AP215" s="408">
        <f t="shared" si="347"/>
        <v>0</v>
      </c>
      <c r="AQ215" s="408">
        <f t="shared" si="347"/>
        <v>0</v>
      </c>
      <c r="AR215" s="408">
        <f t="shared" si="347"/>
        <v>0</v>
      </c>
      <c r="AS215" s="408">
        <f t="shared" si="347"/>
        <v>0</v>
      </c>
      <c r="AT215" s="408">
        <f t="shared" si="347"/>
        <v>0</v>
      </c>
      <c r="AU215" s="408">
        <f t="shared" si="347"/>
        <v>0</v>
      </c>
      <c r="AV215" s="408">
        <f t="shared" si="347"/>
        <v>0</v>
      </c>
      <c r="AW215" s="408">
        <f t="shared" si="347"/>
        <v>0</v>
      </c>
      <c r="AX215" s="408">
        <f t="shared" si="347"/>
        <v>0</v>
      </c>
      <c r="AY215" s="408">
        <f t="shared" si="347"/>
        <v>0</v>
      </c>
      <c r="AZ215" s="408">
        <f t="shared" si="347"/>
        <v>0</v>
      </c>
      <c r="BA215" s="408">
        <f t="shared" si="347"/>
        <v>0</v>
      </c>
      <c r="BB215" s="408">
        <f t="shared" si="347"/>
        <v>0</v>
      </c>
      <c r="BC215" s="408">
        <f t="shared" si="347"/>
        <v>0</v>
      </c>
      <c r="BD215" s="408">
        <f t="shared" si="347"/>
        <v>0</v>
      </c>
      <c r="BE215" s="408">
        <f t="shared" si="347"/>
        <v>0</v>
      </c>
      <c r="BF215" s="408">
        <f t="shared" si="347"/>
        <v>0</v>
      </c>
      <c r="BG215" s="408">
        <f t="shared" si="347"/>
        <v>0</v>
      </c>
      <c r="BH215" s="408">
        <f t="shared" si="347"/>
        <v>0</v>
      </c>
      <c r="BI215" s="408">
        <f t="shared" si="347"/>
        <v>0</v>
      </c>
      <c r="BJ215" s="408">
        <f t="shared" si="347"/>
        <v>0</v>
      </c>
      <c r="BK215" s="408">
        <f t="shared" si="347"/>
        <v>0</v>
      </c>
      <c r="BL215" s="408">
        <f t="shared" si="347"/>
        <v>0</v>
      </c>
      <c r="BM215" s="408">
        <f t="shared" si="347"/>
        <v>0</v>
      </c>
      <c r="BN215" s="408">
        <f t="shared" si="347"/>
        <v>0</v>
      </c>
      <c r="BO215" s="408">
        <f t="shared" si="347"/>
        <v>0</v>
      </c>
      <c r="BP215" s="408">
        <f t="shared" si="347"/>
        <v>0</v>
      </c>
      <c r="BQ215" s="408">
        <f t="shared" ref="BQ215:CV215" si="348">IF(BQ$5&lt;=DispositionMonth,-BQ$67,0)</f>
        <v>0</v>
      </c>
      <c r="BR215" s="408">
        <f t="shared" si="348"/>
        <v>0</v>
      </c>
      <c r="BS215" s="408">
        <f t="shared" si="348"/>
        <v>0</v>
      </c>
      <c r="BT215" s="408">
        <f t="shared" si="348"/>
        <v>0</v>
      </c>
      <c r="BU215" s="408">
        <f t="shared" si="348"/>
        <v>0</v>
      </c>
      <c r="BV215" s="408">
        <f t="shared" si="348"/>
        <v>0</v>
      </c>
      <c r="BW215" s="408">
        <f t="shared" si="348"/>
        <v>0</v>
      </c>
      <c r="BX215" s="408">
        <f t="shared" si="348"/>
        <v>0</v>
      </c>
      <c r="BY215" s="408">
        <f t="shared" si="348"/>
        <v>0</v>
      </c>
      <c r="BZ215" s="408">
        <f t="shared" si="348"/>
        <v>0</v>
      </c>
      <c r="CA215" s="408">
        <f t="shared" si="348"/>
        <v>0</v>
      </c>
      <c r="CB215" s="408">
        <f t="shared" si="348"/>
        <v>0</v>
      </c>
      <c r="CC215" s="408">
        <f t="shared" si="348"/>
        <v>0</v>
      </c>
      <c r="CD215" s="408">
        <f t="shared" si="348"/>
        <v>0</v>
      </c>
      <c r="CE215" s="408">
        <f t="shared" si="348"/>
        <v>0</v>
      </c>
      <c r="CF215" s="408">
        <f t="shared" si="348"/>
        <v>0</v>
      </c>
      <c r="CG215" s="408">
        <f t="shared" si="348"/>
        <v>0</v>
      </c>
      <c r="CH215" s="408">
        <f t="shared" si="348"/>
        <v>0</v>
      </c>
      <c r="CI215" s="408">
        <f t="shared" si="348"/>
        <v>0</v>
      </c>
      <c r="CJ215" s="408">
        <f t="shared" si="348"/>
        <v>0</v>
      </c>
      <c r="CK215" s="408">
        <f t="shared" si="348"/>
        <v>0</v>
      </c>
      <c r="CL215" s="408">
        <f t="shared" si="348"/>
        <v>0</v>
      </c>
      <c r="CM215" s="408">
        <f t="shared" si="348"/>
        <v>0</v>
      </c>
      <c r="CN215" s="408">
        <f t="shared" si="348"/>
        <v>0</v>
      </c>
      <c r="CO215" s="408">
        <f t="shared" si="348"/>
        <v>0</v>
      </c>
      <c r="CP215" s="408">
        <f t="shared" si="348"/>
        <v>0</v>
      </c>
      <c r="CQ215" s="408">
        <f t="shared" si="348"/>
        <v>0</v>
      </c>
      <c r="CR215" s="408">
        <f t="shared" si="348"/>
        <v>0</v>
      </c>
      <c r="CS215" s="408">
        <f t="shared" si="348"/>
        <v>0</v>
      </c>
      <c r="CT215" s="408">
        <f t="shared" si="348"/>
        <v>0</v>
      </c>
      <c r="CU215" s="408">
        <f t="shared" si="348"/>
        <v>0</v>
      </c>
      <c r="CV215" s="408">
        <f t="shared" si="348"/>
        <v>0</v>
      </c>
      <c r="CW215" s="408">
        <f t="shared" ref="CW215:DU215" si="349">IF(CW$5&lt;=DispositionMonth,-CW$67,0)</f>
        <v>0</v>
      </c>
      <c r="CX215" s="408">
        <f t="shared" si="349"/>
        <v>0</v>
      </c>
      <c r="CY215" s="408">
        <f t="shared" si="349"/>
        <v>0</v>
      </c>
      <c r="CZ215" s="408">
        <f t="shared" si="349"/>
        <v>0</v>
      </c>
      <c r="DA215" s="408">
        <f t="shared" si="349"/>
        <v>0</v>
      </c>
      <c r="DB215" s="408">
        <f t="shared" si="349"/>
        <v>0</v>
      </c>
      <c r="DC215" s="408">
        <f t="shared" si="349"/>
        <v>0</v>
      </c>
      <c r="DD215" s="408">
        <f t="shared" si="349"/>
        <v>0</v>
      </c>
      <c r="DE215" s="408">
        <f t="shared" si="349"/>
        <v>0</v>
      </c>
      <c r="DF215" s="408">
        <f t="shared" si="349"/>
        <v>0</v>
      </c>
      <c r="DG215" s="408">
        <f t="shared" si="349"/>
        <v>0</v>
      </c>
      <c r="DH215" s="408">
        <f t="shared" si="349"/>
        <v>0</v>
      </c>
      <c r="DI215" s="408">
        <f t="shared" si="349"/>
        <v>0</v>
      </c>
      <c r="DJ215" s="408">
        <f t="shared" si="349"/>
        <v>0</v>
      </c>
      <c r="DK215" s="408">
        <f t="shared" si="349"/>
        <v>0</v>
      </c>
      <c r="DL215" s="408">
        <f t="shared" si="349"/>
        <v>0</v>
      </c>
      <c r="DM215" s="408">
        <f t="shared" si="349"/>
        <v>0</v>
      </c>
      <c r="DN215" s="408">
        <f t="shared" si="349"/>
        <v>0</v>
      </c>
      <c r="DO215" s="408">
        <f t="shared" si="349"/>
        <v>0</v>
      </c>
      <c r="DP215" s="408">
        <f t="shared" si="349"/>
        <v>0</v>
      </c>
      <c r="DQ215" s="408">
        <f t="shared" si="349"/>
        <v>0</v>
      </c>
      <c r="DR215" s="408">
        <f t="shared" si="349"/>
        <v>0</v>
      </c>
      <c r="DS215" s="408">
        <f t="shared" si="349"/>
        <v>0</v>
      </c>
      <c r="DT215" s="408">
        <f t="shared" si="349"/>
        <v>0</v>
      </c>
      <c r="DU215" s="408">
        <f t="shared" si="349"/>
        <v>0</v>
      </c>
      <c r="EH215" s="644"/>
      <c r="EI215" s="280"/>
    </row>
    <row r="216" spans="1:139" x14ac:dyDescent="0.3">
      <c r="A216" s="182" t="str">
        <f>'General Inputs'!$K$29&amp;" Distribution from Operations"</f>
        <v>Quarterra Distribution from Operations</v>
      </c>
      <c r="B216" s="182"/>
      <c r="C216" s="182"/>
      <c r="D216" s="685"/>
      <c r="E216" s="407">
        <f t="shared" ref="E216:AJ216" ca="1" si="350">IF(E$5&lt;=DispositionMonth,E176,0)</f>
        <v>0</v>
      </c>
      <c r="F216" s="407">
        <f t="shared" ca="1" si="350"/>
        <v>0</v>
      </c>
      <c r="G216" s="407">
        <f t="shared" ca="1" si="350"/>
        <v>0</v>
      </c>
      <c r="H216" s="407">
        <f t="shared" ca="1" si="350"/>
        <v>0</v>
      </c>
      <c r="I216" s="407">
        <f t="shared" ca="1" si="350"/>
        <v>0</v>
      </c>
      <c r="J216" s="407">
        <f t="shared" ca="1" si="350"/>
        <v>0</v>
      </c>
      <c r="K216" s="407">
        <f t="shared" ca="1" si="350"/>
        <v>0</v>
      </c>
      <c r="L216" s="407">
        <f t="shared" ca="1" si="350"/>
        <v>0</v>
      </c>
      <c r="M216" s="407">
        <f t="shared" ca="1" si="350"/>
        <v>0</v>
      </c>
      <c r="N216" s="407">
        <f t="shared" ca="1" si="350"/>
        <v>0</v>
      </c>
      <c r="O216" s="407">
        <f t="shared" ca="1" si="350"/>
        <v>0</v>
      </c>
      <c r="P216" s="407">
        <f t="shared" ca="1" si="350"/>
        <v>0</v>
      </c>
      <c r="Q216" s="407">
        <f t="shared" ca="1" si="350"/>
        <v>0</v>
      </c>
      <c r="R216" s="407">
        <f t="shared" ca="1" si="350"/>
        <v>0</v>
      </c>
      <c r="S216" s="407">
        <f t="shared" ca="1" si="350"/>
        <v>0</v>
      </c>
      <c r="T216" s="407">
        <f t="shared" ca="1" si="350"/>
        <v>0</v>
      </c>
      <c r="U216" s="407">
        <f t="shared" ca="1" si="350"/>
        <v>0</v>
      </c>
      <c r="V216" s="407">
        <f t="shared" ca="1" si="350"/>
        <v>0</v>
      </c>
      <c r="W216" s="407">
        <f t="shared" ca="1" si="350"/>
        <v>0</v>
      </c>
      <c r="X216" s="407">
        <f t="shared" ca="1" si="350"/>
        <v>0</v>
      </c>
      <c r="Y216" s="407">
        <f t="shared" ca="1" si="350"/>
        <v>0</v>
      </c>
      <c r="Z216" s="407">
        <f t="shared" ca="1" si="350"/>
        <v>0</v>
      </c>
      <c r="AA216" s="407">
        <f t="shared" ca="1" si="350"/>
        <v>0</v>
      </c>
      <c r="AB216" s="407">
        <f t="shared" ca="1" si="350"/>
        <v>0</v>
      </c>
      <c r="AC216" s="407">
        <f t="shared" ca="1" si="350"/>
        <v>0</v>
      </c>
      <c r="AD216" s="407">
        <f t="shared" ca="1" si="350"/>
        <v>0</v>
      </c>
      <c r="AE216" s="407">
        <f t="shared" ca="1" si="350"/>
        <v>0</v>
      </c>
      <c r="AF216" s="407">
        <f t="shared" ca="1" si="350"/>
        <v>0</v>
      </c>
      <c r="AG216" s="407">
        <f t="shared" ca="1" si="350"/>
        <v>0</v>
      </c>
      <c r="AH216" s="407">
        <f t="shared" si="350"/>
        <v>0</v>
      </c>
      <c r="AI216" s="407">
        <f t="shared" si="350"/>
        <v>0</v>
      </c>
      <c r="AJ216" s="407">
        <f t="shared" si="350"/>
        <v>0</v>
      </c>
      <c r="AK216" s="407">
        <f t="shared" ref="AK216:BP216" si="351">IF(AK$5&lt;=DispositionMonth,AK176,0)</f>
        <v>0</v>
      </c>
      <c r="AL216" s="407">
        <f t="shared" si="351"/>
        <v>0</v>
      </c>
      <c r="AM216" s="407">
        <f t="shared" si="351"/>
        <v>0</v>
      </c>
      <c r="AN216" s="407">
        <f t="shared" si="351"/>
        <v>0</v>
      </c>
      <c r="AO216" s="407">
        <f t="shared" si="351"/>
        <v>0</v>
      </c>
      <c r="AP216" s="407">
        <f t="shared" si="351"/>
        <v>0</v>
      </c>
      <c r="AQ216" s="407">
        <f t="shared" si="351"/>
        <v>0</v>
      </c>
      <c r="AR216" s="407">
        <f t="shared" si="351"/>
        <v>0</v>
      </c>
      <c r="AS216" s="407">
        <f t="shared" si="351"/>
        <v>0</v>
      </c>
      <c r="AT216" s="407">
        <f t="shared" si="351"/>
        <v>0</v>
      </c>
      <c r="AU216" s="407">
        <f t="shared" si="351"/>
        <v>0</v>
      </c>
      <c r="AV216" s="407">
        <f t="shared" si="351"/>
        <v>0</v>
      </c>
      <c r="AW216" s="407">
        <f t="shared" si="351"/>
        <v>0</v>
      </c>
      <c r="AX216" s="407">
        <f t="shared" si="351"/>
        <v>0</v>
      </c>
      <c r="AY216" s="407">
        <f t="shared" si="351"/>
        <v>0</v>
      </c>
      <c r="AZ216" s="407">
        <f t="shared" si="351"/>
        <v>0</v>
      </c>
      <c r="BA216" s="407">
        <f t="shared" si="351"/>
        <v>0</v>
      </c>
      <c r="BB216" s="407">
        <f t="shared" si="351"/>
        <v>0</v>
      </c>
      <c r="BC216" s="407">
        <f t="shared" si="351"/>
        <v>0</v>
      </c>
      <c r="BD216" s="407">
        <f t="shared" si="351"/>
        <v>0</v>
      </c>
      <c r="BE216" s="407">
        <f t="shared" si="351"/>
        <v>0</v>
      </c>
      <c r="BF216" s="407">
        <f t="shared" si="351"/>
        <v>0</v>
      </c>
      <c r="BG216" s="407">
        <f t="shared" si="351"/>
        <v>0</v>
      </c>
      <c r="BH216" s="407">
        <f t="shared" si="351"/>
        <v>0</v>
      </c>
      <c r="BI216" s="407">
        <f t="shared" si="351"/>
        <v>0</v>
      </c>
      <c r="BJ216" s="407">
        <f t="shared" si="351"/>
        <v>0</v>
      </c>
      <c r="BK216" s="407">
        <f t="shared" si="351"/>
        <v>0</v>
      </c>
      <c r="BL216" s="407">
        <f t="shared" si="351"/>
        <v>0</v>
      </c>
      <c r="BM216" s="407">
        <f t="shared" si="351"/>
        <v>0</v>
      </c>
      <c r="BN216" s="407">
        <f t="shared" si="351"/>
        <v>0</v>
      </c>
      <c r="BO216" s="407">
        <f t="shared" si="351"/>
        <v>0</v>
      </c>
      <c r="BP216" s="407">
        <f t="shared" si="351"/>
        <v>0</v>
      </c>
      <c r="BQ216" s="407">
        <f t="shared" ref="BQ216:CV216" si="352">IF(BQ$5&lt;=DispositionMonth,BQ176,0)</f>
        <v>0</v>
      </c>
      <c r="BR216" s="407">
        <f t="shared" si="352"/>
        <v>0</v>
      </c>
      <c r="BS216" s="407">
        <f t="shared" si="352"/>
        <v>0</v>
      </c>
      <c r="BT216" s="407">
        <f t="shared" si="352"/>
        <v>0</v>
      </c>
      <c r="BU216" s="407">
        <f t="shared" si="352"/>
        <v>0</v>
      </c>
      <c r="BV216" s="407">
        <f t="shared" si="352"/>
        <v>0</v>
      </c>
      <c r="BW216" s="407">
        <f t="shared" si="352"/>
        <v>0</v>
      </c>
      <c r="BX216" s="407">
        <f t="shared" si="352"/>
        <v>0</v>
      </c>
      <c r="BY216" s="407">
        <f t="shared" si="352"/>
        <v>0</v>
      </c>
      <c r="BZ216" s="407">
        <f t="shared" si="352"/>
        <v>0</v>
      </c>
      <c r="CA216" s="407">
        <f t="shared" si="352"/>
        <v>0</v>
      </c>
      <c r="CB216" s="407">
        <f t="shared" si="352"/>
        <v>0</v>
      </c>
      <c r="CC216" s="407">
        <f t="shared" si="352"/>
        <v>0</v>
      </c>
      <c r="CD216" s="407">
        <f t="shared" si="352"/>
        <v>0</v>
      </c>
      <c r="CE216" s="407">
        <f t="shared" si="352"/>
        <v>0</v>
      </c>
      <c r="CF216" s="407">
        <f t="shared" si="352"/>
        <v>0</v>
      </c>
      <c r="CG216" s="407">
        <f t="shared" si="352"/>
        <v>0</v>
      </c>
      <c r="CH216" s="407">
        <f t="shared" si="352"/>
        <v>0</v>
      </c>
      <c r="CI216" s="407">
        <f t="shared" si="352"/>
        <v>0</v>
      </c>
      <c r="CJ216" s="407">
        <f t="shared" si="352"/>
        <v>0</v>
      </c>
      <c r="CK216" s="407">
        <f t="shared" si="352"/>
        <v>0</v>
      </c>
      <c r="CL216" s="407">
        <f t="shared" si="352"/>
        <v>0</v>
      </c>
      <c r="CM216" s="407">
        <f t="shared" si="352"/>
        <v>0</v>
      </c>
      <c r="CN216" s="407">
        <f t="shared" si="352"/>
        <v>0</v>
      </c>
      <c r="CO216" s="407">
        <f t="shared" si="352"/>
        <v>0</v>
      </c>
      <c r="CP216" s="407">
        <f t="shared" si="352"/>
        <v>0</v>
      </c>
      <c r="CQ216" s="407">
        <f t="shared" si="352"/>
        <v>0</v>
      </c>
      <c r="CR216" s="407">
        <f t="shared" si="352"/>
        <v>0</v>
      </c>
      <c r="CS216" s="407">
        <f t="shared" si="352"/>
        <v>0</v>
      </c>
      <c r="CT216" s="407">
        <f t="shared" si="352"/>
        <v>0</v>
      </c>
      <c r="CU216" s="407">
        <f t="shared" si="352"/>
        <v>0</v>
      </c>
      <c r="CV216" s="407">
        <f t="shared" si="352"/>
        <v>0</v>
      </c>
      <c r="CW216" s="407">
        <f t="shared" ref="CW216:DU216" si="353">IF(CW$5&lt;=DispositionMonth,CW176,0)</f>
        <v>0</v>
      </c>
      <c r="CX216" s="407">
        <f t="shared" si="353"/>
        <v>0</v>
      </c>
      <c r="CY216" s="407">
        <f t="shared" si="353"/>
        <v>0</v>
      </c>
      <c r="CZ216" s="407">
        <f t="shared" si="353"/>
        <v>0</v>
      </c>
      <c r="DA216" s="407">
        <f t="shared" si="353"/>
        <v>0</v>
      </c>
      <c r="DB216" s="407">
        <f t="shared" si="353"/>
        <v>0</v>
      </c>
      <c r="DC216" s="407">
        <f t="shared" si="353"/>
        <v>0</v>
      </c>
      <c r="DD216" s="407">
        <f t="shared" si="353"/>
        <v>0</v>
      </c>
      <c r="DE216" s="407">
        <f t="shared" si="353"/>
        <v>0</v>
      </c>
      <c r="DF216" s="407">
        <f t="shared" si="353"/>
        <v>0</v>
      </c>
      <c r="DG216" s="407">
        <f t="shared" si="353"/>
        <v>0</v>
      </c>
      <c r="DH216" s="407">
        <f t="shared" si="353"/>
        <v>0</v>
      </c>
      <c r="DI216" s="407">
        <f t="shared" si="353"/>
        <v>0</v>
      </c>
      <c r="DJ216" s="407">
        <f t="shared" si="353"/>
        <v>0</v>
      </c>
      <c r="DK216" s="407">
        <f t="shared" si="353"/>
        <v>0</v>
      </c>
      <c r="DL216" s="407">
        <f t="shared" si="353"/>
        <v>0</v>
      </c>
      <c r="DM216" s="407">
        <f t="shared" si="353"/>
        <v>0</v>
      </c>
      <c r="DN216" s="407">
        <f t="shared" si="353"/>
        <v>0</v>
      </c>
      <c r="DO216" s="407">
        <f t="shared" si="353"/>
        <v>0</v>
      </c>
      <c r="DP216" s="407">
        <f t="shared" si="353"/>
        <v>0</v>
      </c>
      <c r="DQ216" s="407">
        <f t="shared" si="353"/>
        <v>0</v>
      </c>
      <c r="DR216" s="407">
        <f t="shared" si="353"/>
        <v>0</v>
      </c>
      <c r="DS216" s="407">
        <f t="shared" si="353"/>
        <v>0</v>
      </c>
      <c r="DT216" s="407">
        <f t="shared" si="353"/>
        <v>0</v>
      </c>
      <c r="DU216" s="407">
        <f t="shared" si="353"/>
        <v>0</v>
      </c>
      <c r="EH216" s="644"/>
      <c r="EI216" s="280"/>
    </row>
    <row r="217" spans="1:139" x14ac:dyDescent="0.3">
      <c r="A217" s="182" t="str">
        <f>'General Inputs'!$K$29&amp;" Pref Paid From Cash Flows"</f>
        <v>Quarterra Pref Paid From Cash Flows</v>
      </c>
      <c r="B217" s="182"/>
      <c r="C217" s="182"/>
      <c r="D217" s="685"/>
      <c r="E217" s="407">
        <f t="shared" ref="E217:AJ217" ca="1" si="354">IF(E$5&lt;=DispositionMonth,-E$74,0)</f>
        <v>0</v>
      </c>
      <c r="F217" s="407">
        <f t="shared" ca="1" si="354"/>
        <v>0</v>
      </c>
      <c r="G217" s="407">
        <f t="shared" ca="1" si="354"/>
        <v>0</v>
      </c>
      <c r="H217" s="407">
        <f t="shared" ca="1" si="354"/>
        <v>0</v>
      </c>
      <c r="I217" s="407">
        <f t="shared" ca="1" si="354"/>
        <v>0</v>
      </c>
      <c r="J217" s="407">
        <f t="shared" ca="1" si="354"/>
        <v>0</v>
      </c>
      <c r="K217" s="407">
        <f t="shared" ca="1" si="354"/>
        <v>0</v>
      </c>
      <c r="L217" s="407">
        <f t="shared" ca="1" si="354"/>
        <v>0</v>
      </c>
      <c r="M217" s="407">
        <f t="shared" ca="1" si="354"/>
        <v>0</v>
      </c>
      <c r="N217" s="407">
        <f t="shared" ca="1" si="354"/>
        <v>0</v>
      </c>
      <c r="O217" s="407">
        <f t="shared" ca="1" si="354"/>
        <v>0</v>
      </c>
      <c r="P217" s="407">
        <f t="shared" ca="1" si="354"/>
        <v>0</v>
      </c>
      <c r="Q217" s="407">
        <f t="shared" ca="1" si="354"/>
        <v>0</v>
      </c>
      <c r="R217" s="407">
        <f t="shared" ca="1" si="354"/>
        <v>0</v>
      </c>
      <c r="S217" s="407">
        <f t="shared" ca="1" si="354"/>
        <v>0</v>
      </c>
      <c r="T217" s="407">
        <f t="shared" ca="1" si="354"/>
        <v>0</v>
      </c>
      <c r="U217" s="407">
        <f t="shared" ca="1" si="354"/>
        <v>0</v>
      </c>
      <c r="V217" s="407">
        <f t="shared" ca="1" si="354"/>
        <v>0</v>
      </c>
      <c r="W217" s="407">
        <f t="shared" ca="1" si="354"/>
        <v>0</v>
      </c>
      <c r="X217" s="407">
        <f t="shared" ca="1" si="354"/>
        <v>0</v>
      </c>
      <c r="Y217" s="407">
        <f t="shared" ca="1" si="354"/>
        <v>0</v>
      </c>
      <c r="Z217" s="407">
        <f t="shared" ca="1" si="354"/>
        <v>0</v>
      </c>
      <c r="AA217" s="407">
        <f t="shared" ca="1" si="354"/>
        <v>0</v>
      </c>
      <c r="AB217" s="407">
        <f t="shared" ca="1" si="354"/>
        <v>0</v>
      </c>
      <c r="AC217" s="407">
        <f t="shared" ca="1" si="354"/>
        <v>4411.302949009133</v>
      </c>
      <c r="AD217" s="407">
        <f t="shared" ca="1" si="354"/>
        <v>8433.0422386363189</v>
      </c>
      <c r="AE217" s="407">
        <f t="shared" ca="1" si="354"/>
        <v>13012.426310856763</v>
      </c>
      <c r="AF217" s="407">
        <f t="shared" ca="1" si="354"/>
        <v>21956.223728908131</v>
      </c>
      <c r="AG217" s="407">
        <f t="shared" ca="1" si="354"/>
        <v>22320.857894093158</v>
      </c>
      <c r="AH217" s="407">
        <f t="shared" si="354"/>
        <v>0</v>
      </c>
      <c r="AI217" s="407">
        <f t="shared" si="354"/>
        <v>0</v>
      </c>
      <c r="AJ217" s="407">
        <f t="shared" si="354"/>
        <v>0</v>
      </c>
      <c r="AK217" s="407">
        <f t="shared" ref="AK217:BP217" si="355">IF(AK$5&lt;=DispositionMonth,-AK$74,0)</f>
        <v>0</v>
      </c>
      <c r="AL217" s="407">
        <f t="shared" si="355"/>
        <v>0</v>
      </c>
      <c r="AM217" s="407">
        <f t="shared" si="355"/>
        <v>0</v>
      </c>
      <c r="AN217" s="407">
        <f t="shared" si="355"/>
        <v>0</v>
      </c>
      <c r="AO217" s="407">
        <f t="shared" si="355"/>
        <v>0</v>
      </c>
      <c r="AP217" s="407">
        <f t="shared" si="355"/>
        <v>0</v>
      </c>
      <c r="AQ217" s="407">
        <f t="shared" si="355"/>
        <v>0</v>
      </c>
      <c r="AR217" s="407">
        <f t="shared" si="355"/>
        <v>0</v>
      </c>
      <c r="AS217" s="407">
        <f t="shared" si="355"/>
        <v>0</v>
      </c>
      <c r="AT217" s="407">
        <f t="shared" si="355"/>
        <v>0</v>
      </c>
      <c r="AU217" s="407">
        <f t="shared" si="355"/>
        <v>0</v>
      </c>
      <c r="AV217" s="407">
        <f t="shared" si="355"/>
        <v>0</v>
      </c>
      <c r="AW217" s="407">
        <f t="shared" si="355"/>
        <v>0</v>
      </c>
      <c r="AX217" s="407">
        <f t="shared" si="355"/>
        <v>0</v>
      </c>
      <c r="AY217" s="407">
        <f t="shared" si="355"/>
        <v>0</v>
      </c>
      <c r="AZ217" s="407">
        <f t="shared" si="355"/>
        <v>0</v>
      </c>
      <c r="BA217" s="407">
        <f t="shared" si="355"/>
        <v>0</v>
      </c>
      <c r="BB217" s="407">
        <f t="shared" si="355"/>
        <v>0</v>
      </c>
      <c r="BC217" s="407">
        <f t="shared" si="355"/>
        <v>0</v>
      </c>
      <c r="BD217" s="407">
        <f t="shared" si="355"/>
        <v>0</v>
      </c>
      <c r="BE217" s="407">
        <f t="shared" si="355"/>
        <v>0</v>
      </c>
      <c r="BF217" s="407">
        <f t="shared" si="355"/>
        <v>0</v>
      </c>
      <c r="BG217" s="407">
        <f t="shared" si="355"/>
        <v>0</v>
      </c>
      <c r="BH217" s="407">
        <f t="shared" si="355"/>
        <v>0</v>
      </c>
      <c r="BI217" s="407">
        <f t="shared" si="355"/>
        <v>0</v>
      </c>
      <c r="BJ217" s="407">
        <f t="shared" si="355"/>
        <v>0</v>
      </c>
      <c r="BK217" s="407">
        <f t="shared" si="355"/>
        <v>0</v>
      </c>
      <c r="BL217" s="407">
        <f t="shared" si="355"/>
        <v>0</v>
      </c>
      <c r="BM217" s="407">
        <f t="shared" si="355"/>
        <v>0</v>
      </c>
      <c r="BN217" s="407">
        <f t="shared" si="355"/>
        <v>0</v>
      </c>
      <c r="BO217" s="407">
        <f t="shared" si="355"/>
        <v>0</v>
      </c>
      <c r="BP217" s="407">
        <f t="shared" si="355"/>
        <v>0</v>
      </c>
      <c r="BQ217" s="407">
        <f t="shared" ref="BQ217:CV217" si="356">IF(BQ$5&lt;=DispositionMonth,-BQ$74,0)</f>
        <v>0</v>
      </c>
      <c r="BR217" s="407">
        <f t="shared" si="356"/>
        <v>0</v>
      </c>
      <c r="BS217" s="407">
        <f t="shared" si="356"/>
        <v>0</v>
      </c>
      <c r="BT217" s="407">
        <f t="shared" si="356"/>
        <v>0</v>
      </c>
      <c r="BU217" s="407">
        <f t="shared" si="356"/>
        <v>0</v>
      </c>
      <c r="BV217" s="407">
        <f t="shared" si="356"/>
        <v>0</v>
      </c>
      <c r="BW217" s="407">
        <f t="shared" si="356"/>
        <v>0</v>
      </c>
      <c r="BX217" s="407">
        <f t="shared" si="356"/>
        <v>0</v>
      </c>
      <c r="BY217" s="407">
        <f t="shared" si="356"/>
        <v>0</v>
      </c>
      <c r="BZ217" s="407">
        <f t="shared" si="356"/>
        <v>0</v>
      </c>
      <c r="CA217" s="407">
        <f t="shared" si="356"/>
        <v>0</v>
      </c>
      <c r="CB217" s="407">
        <f t="shared" si="356"/>
        <v>0</v>
      </c>
      <c r="CC217" s="407">
        <f t="shared" si="356"/>
        <v>0</v>
      </c>
      <c r="CD217" s="407">
        <f t="shared" si="356"/>
        <v>0</v>
      </c>
      <c r="CE217" s="407">
        <f t="shared" si="356"/>
        <v>0</v>
      </c>
      <c r="CF217" s="407">
        <f t="shared" si="356"/>
        <v>0</v>
      </c>
      <c r="CG217" s="407">
        <f t="shared" si="356"/>
        <v>0</v>
      </c>
      <c r="CH217" s="407">
        <f t="shared" si="356"/>
        <v>0</v>
      </c>
      <c r="CI217" s="407">
        <f t="shared" si="356"/>
        <v>0</v>
      </c>
      <c r="CJ217" s="407">
        <f t="shared" si="356"/>
        <v>0</v>
      </c>
      <c r="CK217" s="407">
        <f t="shared" si="356"/>
        <v>0</v>
      </c>
      <c r="CL217" s="407">
        <f t="shared" si="356"/>
        <v>0</v>
      </c>
      <c r="CM217" s="407">
        <f t="shared" si="356"/>
        <v>0</v>
      </c>
      <c r="CN217" s="407">
        <f t="shared" si="356"/>
        <v>0</v>
      </c>
      <c r="CO217" s="407">
        <f t="shared" si="356"/>
        <v>0</v>
      </c>
      <c r="CP217" s="407">
        <f t="shared" si="356"/>
        <v>0</v>
      </c>
      <c r="CQ217" s="407">
        <f t="shared" si="356"/>
        <v>0</v>
      </c>
      <c r="CR217" s="407">
        <f t="shared" si="356"/>
        <v>0</v>
      </c>
      <c r="CS217" s="407">
        <f t="shared" si="356"/>
        <v>0</v>
      </c>
      <c r="CT217" s="407">
        <f t="shared" si="356"/>
        <v>0</v>
      </c>
      <c r="CU217" s="407">
        <f t="shared" si="356"/>
        <v>0</v>
      </c>
      <c r="CV217" s="407">
        <f t="shared" si="356"/>
        <v>0</v>
      </c>
      <c r="CW217" s="407">
        <f t="shared" ref="CW217:DU217" si="357">IF(CW$5&lt;=DispositionMonth,-CW$74,0)</f>
        <v>0</v>
      </c>
      <c r="CX217" s="407">
        <f t="shared" si="357"/>
        <v>0</v>
      </c>
      <c r="CY217" s="407">
        <f t="shared" si="357"/>
        <v>0</v>
      </c>
      <c r="CZ217" s="407">
        <f t="shared" si="357"/>
        <v>0</v>
      </c>
      <c r="DA217" s="407">
        <f t="shared" si="357"/>
        <v>0</v>
      </c>
      <c r="DB217" s="407">
        <f t="shared" si="357"/>
        <v>0</v>
      </c>
      <c r="DC217" s="407">
        <f t="shared" si="357"/>
        <v>0</v>
      </c>
      <c r="DD217" s="407">
        <f t="shared" si="357"/>
        <v>0</v>
      </c>
      <c r="DE217" s="407">
        <f t="shared" si="357"/>
        <v>0</v>
      </c>
      <c r="DF217" s="407">
        <f t="shared" si="357"/>
        <v>0</v>
      </c>
      <c r="DG217" s="407">
        <f t="shared" si="357"/>
        <v>0</v>
      </c>
      <c r="DH217" s="407">
        <f t="shared" si="357"/>
        <v>0</v>
      </c>
      <c r="DI217" s="407">
        <f t="shared" si="357"/>
        <v>0</v>
      </c>
      <c r="DJ217" s="407">
        <f t="shared" si="357"/>
        <v>0</v>
      </c>
      <c r="DK217" s="407">
        <f t="shared" si="357"/>
        <v>0</v>
      </c>
      <c r="DL217" s="407">
        <f t="shared" si="357"/>
        <v>0</v>
      </c>
      <c r="DM217" s="407">
        <f t="shared" si="357"/>
        <v>0</v>
      </c>
      <c r="DN217" s="407">
        <f t="shared" si="357"/>
        <v>0</v>
      </c>
      <c r="DO217" s="407">
        <f t="shared" si="357"/>
        <v>0</v>
      </c>
      <c r="DP217" s="407">
        <f t="shared" si="357"/>
        <v>0</v>
      </c>
      <c r="DQ217" s="407">
        <f t="shared" si="357"/>
        <v>0</v>
      </c>
      <c r="DR217" s="407">
        <f t="shared" si="357"/>
        <v>0</v>
      </c>
      <c r="DS217" s="407">
        <f t="shared" si="357"/>
        <v>0</v>
      </c>
      <c r="DT217" s="407">
        <f t="shared" si="357"/>
        <v>0</v>
      </c>
      <c r="DU217" s="407">
        <f t="shared" si="357"/>
        <v>0</v>
      </c>
      <c r="EH217" s="644"/>
      <c r="EI217" s="280"/>
    </row>
    <row r="218" spans="1:139" x14ac:dyDescent="0.3">
      <c r="A218" s="182" t="str">
        <f>'General Inputs'!$K$29&amp;" Pref Paid From Refi"</f>
        <v>Quarterra Pref Paid From Refi</v>
      </c>
      <c r="B218" s="182"/>
      <c r="C218" s="182"/>
      <c r="D218" s="685"/>
      <c r="E218" s="407">
        <f t="shared" ref="E218:AJ218" si="358">IF(E$5&lt;=DispositionMonth,-E$76,0)</f>
        <v>0</v>
      </c>
      <c r="F218" s="407">
        <f t="shared" si="358"/>
        <v>0</v>
      </c>
      <c r="G218" s="407">
        <f t="shared" si="358"/>
        <v>0</v>
      </c>
      <c r="H218" s="407">
        <f t="shared" si="358"/>
        <v>0</v>
      </c>
      <c r="I218" s="407">
        <f t="shared" si="358"/>
        <v>0</v>
      </c>
      <c r="J218" s="407">
        <f t="shared" si="358"/>
        <v>0</v>
      </c>
      <c r="K218" s="407">
        <f t="shared" si="358"/>
        <v>0</v>
      </c>
      <c r="L218" s="407">
        <f t="shared" si="358"/>
        <v>0</v>
      </c>
      <c r="M218" s="407">
        <f t="shared" si="358"/>
        <v>0</v>
      </c>
      <c r="N218" s="407">
        <f t="shared" si="358"/>
        <v>0</v>
      </c>
      <c r="O218" s="407">
        <f t="shared" si="358"/>
        <v>0</v>
      </c>
      <c r="P218" s="407">
        <f t="shared" si="358"/>
        <v>0</v>
      </c>
      <c r="Q218" s="407">
        <f t="shared" si="358"/>
        <v>0</v>
      </c>
      <c r="R218" s="407">
        <f t="shared" si="358"/>
        <v>0</v>
      </c>
      <c r="S218" s="407">
        <f t="shared" si="358"/>
        <v>0</v>
      </c>
      <c r="T218" s="407">
        <f t="shared" si="358"/>
        <v>0</v>
      </c>
      <c r="U218" s="407">
        <f t="shared" si="358"/>
        <v>0</v>
      </c>
      <c r="V218" s="407">
        <f t="shared" si="358"/>
        <v>0</v>
      </c>
      <c r="W218" s="407">
        <f t="shared" si="358"/>
        <v>0</v>
      </c>
      <c r="X218" s="407">
        <f t="shared" si="358"/>
        <v>0</v>
      </c>
      <c r="Y218" s="407">
        <f t="shared" si="358"/>
        <v>0</v>
      </c>
      <c r="Z218" s="407">
        <f t="shared" si="358"/>
        <v>0</v>
      </c>
      <c r="AA218" s="407">
        <f t="shared" si="358"/>
        <v>0</v>
      </c>
      <c r="AB218" s="407">
        <f t="shared" si="358"/>
        <v>0</v>
      </c>
      <c r="AC218" s="407">
        <f t="shared" si="358"/>
        <v>0</v>
      </c>
      <c r="AD218" s="407">
        <f t="shared" si="358"/>
        <v>0</v>
      </c>
      <c r="AE218" s="407">
        <f t="shared" si="358"/>
        <v>0</v>
      </c>
      <c r="AF218" s="407">
        <f t="shared" si="358"/>
        <v>0</v>
      </c>
      <c r="AG218" s="407">
        <f t="shared" si="358"/>
        <v>0</v>
      </c>
      <c r="AH218" s="407">
        <f t="shared" si="358"/>
        <v>0</v>
      </c>
      <c r="AI218" s="407">
        <f t="shared" si="358"/>
        <v>0</v>
      </c>
      <c r="AJ218" s="407">
        <f t="shared" si="358"/>
        <v>0</v>
      </c>
      <c r="AK218" s="407">
        <f t="shared" ref="AK218:BP218" si="359">IF(AK$5&lt;=DispositionMonth,-AK$76,0)</f>
        <v>0</v>
      </c>
      <c r="AL218" s="407">
        <f t="shared" si="359"/>
        <v>0</v>
      </c>
      <c r="AM218" s="407">
        <f t="shared" si="359"/>
        <v>0</v>
      </c>
      <c r="AN218" s="407">
        <f t="shared" si="359"/>
        <v>0</v>
      </c>
      <c r="AO218" s="407">
        <f t="shared" si="359"/>
        <v>0</v>
      </c>
      <c r="AP218" s="407">
        <f t="shared" si="359"/>
        <v>0</v>
      </c>
      <c r="AQ218" s="407">
        <f t="shared" si="359"/>
        <v>0</v>
      </c>
      <c r="AR218" s="407">
        <f t="shared" si="359"/>
        <v>0</v>
      </c>
      <c r="AS218" s="407">
        <f t="shared" si="359"/>
        <v>0</v>
      </c>
      <c r="AT218" s="407">
        <f t="shared" si="359"/>
        <v>0</v>
      </c>
      <c r="AU218" s="407">
        <f t="shared" si="359"/>
        <v>0</v>
      </c>
      <c r="AV218" s="407">
        <f t="shared" si="359"/>
        <v>0</v>
      </c>
      <c r="AW218" s="407">
        <f t="shared" si="359"/>
        <v>0</v>
      </c>
      <c r="AX218" s="407">
        <f t="shared" si="359"/>
        <v>0</v>
      </c>
      <c r="AY218" s="407">
        <f t="shared" si="359"/>
        <v>0</v>
      </c>
      <c r="AZ218" s="407">
        <f t="shared" si="359"/>
        <v>0</v>
      </c>
      <c r="BA218" s="407">
        <f t="shared" si="359"/>
        <v>0</v>
      </c>
      <c r="BB218" s="407">
        <f t="shared" si="359"/>
        <v>0</v>
      </c>
      <c r="BC218" s="407">
        <f t="shared" si="359"/>
        <v>0</v>
      </c>
      <c r="BD218" s="407">
        <f t="shared" si="359"/>
        <v>0</v>
      </c>
      <c r="BE218" s="407">
        <f t="shared" si="359"/>
        <v>0</v>
      </c>
      <c r="BF218" s="407">
        <f t="shared" si="359"/>
        <v>0</v>
      </c>
      <c r="BG218" s="407">
        <f t="shared" si="359"/>
        <v>0</v>
      </c>
      <c r="BH218" s="407">
        <f t="shared" si="359"/>
        <v>0</v>
      </c>
      <c r="BI218" s="407">
        <f t="shared" si="359"/>
        <v>0</v>
      </c>
      <c r="BJ218" s="407">
        <f t="shared" si="359"/>
        <v>0</v>
      </c>
      <c r="BK218" s="407">
        <f t="shared" si="359"/>
        <v>0</v>
      </c>
      <c r="BL218" s="407">
        <f t="shared" si="359"/>
        <v>0</v>
      </c>
      <c r="BM218" s="407">
        <f t="shared" si="359"/>
        <v>0</v>
      </c>
      <c r="BN218" s="407">
        <f t="shared" si="359"/>
        <v>0</v>
      </c>
      <c r="BO218" s="407">
        <f t="shared" si="359"/>
        <v>0</v>
      </c>
      <c r="BP218" s="407">
        <f t="shared" si="359"/>
        <v>0</v>
      </c>
      <c r="BQ218" s="407">
        <f t="shared" ref="BQ218:CV218" si="360">IF(BQ$5&lt;=DispositionMonth,-BQ$76,0)</f>
        <v>0</v>
      </c>
      <c r="BR218" s="407">
        <f t="shared" si="360"/>
        <v>0</v>
      </c>
      <c r="BS218" s="407">
        <f t="shared" si="360"/>
        <v>0</v>
      </c>
      <c r="BT218" s="407">
        <f t="shared" si="360"/>
        <v>0</v>
      </c>
      <c r="BU218" s="407">
        <f t="shared" si="360"/>
        <v>0</v>
      </c>
      <c r="BV218" s="407">
        <f t="shared" si="360"/>
        <v>0</v>
      </c>
      <c r="BW218" s="407">
        <f t="shared" si="360"/>
        <v>0</v>
      </c>
      <c r="BX218" s="407">
        <f t="shared" si="360"/>
        <v>0</v>
      </c>
      <c r="BY218" s="407">
        <f t="shared" si="360"/>
        <v>0</v>
      </c>
      <c r="BZ218" s="407">
        <f t="shared" si="360"/>
        <v>0</v>
      </c>
      <c r="CA218" s="407">
        <f t="shared" si="360"/>
        <v>0</v>
      </c>
      <c r="CB218" s="407">
        <f t="shared" si="360"/>
        <v>0</v>
      </c>
      <c r="CC218" s="407">
        <f t="shared" si="360"/>
        <v>0</v>
      </c>
      <c r="CD218" s="407">
        <f t="shared" si="360"/>
        <v>0</v>
      </c>
      <c r="CE218" s="407">
        <f t="shared" si="360"/>
        <v>0</v>
      </c>
      <c r="CF218" s="407">
        <f t="shared" si="360"/>
        <v>0</v>
      </c>
      <c r="CG218" s="407">
        <f t="shared" si="360"/>
        <v>0</v>
      </c>
      <c r="CH218" s="407">
        <f t="shared" si="360"/>
        <v>0</v>
      </c>
      <c r="CI218" s="407">
        <f t="shared" si="360"/>
        <v>0</v>
      </c>
      <c r="CJ218" s="407">
        <f t="shared" si="360"/>
        <v>0</v>
      </c>
      <c r="CK218" s="407">
        <f t="shared" si="360"/>
        <v>0</v>
      </c>
      <c r="CL218" s="407">
        <f t="shared" si="360"/>
        <v>0</v>
      </c>
      <c r="CM218" s="407">
        <f t="shared" si="360"/>
        <v>0</v>
      </c>
      <c r="CN218" s="407">
        <f t="shared" si="360"/>
        <v>0</v>
      </c>
      <c r="CO218" s="407">
        <f t="shared" si="360"/>
        <v>0</v>
      </c>
      <c r="CP218" s="407">
        <f t="shared" si="360"/>
        <v>0</v>
      </c>
      <c r="CQ218" s="407">
        <f t="shared" si="360"/>
        <v>0</v>
      </c>
      <c r="CR218" s="407">
        <f t="shared" si="360"/>
        <v>0</v>
      </c>
      <c r="CS218" s="407">
        <f t="shared" si="360"/>
        <v>0</v>
      </c>
      <c r="CT218" s="407">
        <f t="shared" si="360"/>
        <v>0</v>
      </c>
      <c r="CU218" s="407">
        <f t="shared" si="360"/>
        <v>0</v>
      </c>
      <c r="CV218" s="407">
        <f t="shared" si="360"/>
        <v>0</v>
      </c>
      <c r="CW218" s="407">
        <f t="shared" ref="CW218:DU218" si="361">IF(CW$5&lt;=DispositionMonth,-CW$76,0)</f>
        <v>0</v>
      </c>
      <c r="CX218" s="407">
        <f t="shared" si="361"/>
        <v>0</v>
      </c>
      <c r="CY218" s="407">
        <f t="shared" si="361"/>
        <v>0</v>
      </c>
      <c r="CZ218" s="407">
        <f t="shared" si="361"/>
        <v>0</v>
      </c>
      <c r="DA218" s="407">
        <f t="shared" si="361"/>
        <v>0</v>
      </c>
      <c r="DB218" s="407">
        <f t="shared" si="361"/>
        <v>0</v>
      </c>
      <c r="DC218" s="407">
        <f t="shared" si="361"/>
        <v>0</v>
      </c>
      <c r="DD218" s="407">
        <f t="shared" si="361"/>
        <v>0</v>
      </c>
      <c r="DE218" s="407">
        <f t="shared" si="361"/>
        <v>0</v>
      </c>
      <c r="DF218" s="407">
        <f t="shared" si="361"/>
        <v>0</v>
      </c>
      <c r="DG218" s="407">
        <f t="shared" si="361"/>
        <v>0</v>
      </c>
      <c r="DH218" s="407">
        <f t="shared" si="361"/>
        <v>0</v>
      </c>
      <c r="DI218" s="407">
        <f t="shared" si="361"/>
        <v>0</v>
      </c>
      <c r="DJ218" s="407">
        <f t="shared" si="361"/>
        <v>0</v>
      </c>
      <c r="DK218" s="407">
        <f t="shared" si="361"/>
        <v>0</v>
      </c>
      <c r="DL218" s="407">
        <f t="shared" si="361"/>
        <v>0</v>
      </c>
      <c r="DM218" s="407">
        <f t="shared" si="361"/>
        <v>0</v>
      </c>
      <c r="DN218" s="407">
        <f t="shared" si="361"/>
        <v>0</v>
      </c>
      <c r="DO218" s="407">
        <f t="shared" si="361"/>
        <v>0</v>
      </c>
      <c r="DP218" s="407">
        <f t="shared" si="361"/>
        <v>0</v>
      </c>
      <c r="DQ218" s="407">
        <f t="shared" si="361"/>
        <v>0</v>
      </c>
      <c r="DR218" s="407">
        <f t="shared" si="361"/>
        <v>0</v>
      </c>
      <c r="DS218" s="407">
        <f t="shared" si="361"/>
        <v>0</v>
      </c>
      <c r="DT218" s="407">
        <f t="shared" si="361"/>
        <v>0</v>
      </c>
      <c r="DU218" s="407">
        <f t="shared" si="361"/>
        <v>0</v>
      </c>
      <c r="EH218" s="644"/>
      <c r="EI218" s="722"/>
    </row>
    <row r="219" spans="1:139" x14ac:dyDescent="0.3">
      <c r="A219" s="182" t="str">
        <f>'General Inputs'!$K$29&amp;" Contribution Returned From Refi"</f>
        <v>Quarterra Contribution Returned From Refi</v>
      </c>
      <c r="B219" s="182"/>
      <c r="C219" s="182"/>
      <c r="D219" s="685"/>
      <c r="E219" s="407">
        <f t="shared" ref="E219:AJ219" si="362">IF(E$5&lt;=DispositionMonth,-E$78,0)</f>
        <v>0</v>
      </c>
      <c r="F219" s="407">
        <f t="shared" si="362"/>
        <v>0</v>
      </c>
      <c r="G219" s="407">
        <f t="shared" si="362"/>
        <v>0</v>
      </c>
      <c r="H219" s="407">
        <f t="shared" si="362"/>
        <v>0</v>
      </c>
      <c r="I219" s="407">
        <f t="shared" si="362"/>
        <v>0</v>
      </c>
      <c r="J219" s="407">
        <f t="shared" si="362"/>
        <v>0</v>
      </c>
      <c r="K219" s="407">
        <f t="shared" si="362"/>
        <v>0</v>
      </c>
      <c r="L219" s="407">
        <f t="shared" si="362"/>
        <v>0</v>
      </c>
      <c r="M219" s="407">
        <f t="shared" si="362"/>
        <v>0</v>
      </c>
      <c r="N219" s="407">
        <f t="shared" si="362"/>
        <v>0</v>
      </c>
      <c r="O219" s="407">
        <f t="shared" si="362"/>
        <v>0</v>
      </c>
      <c r="P219" s="407">
        <f t="shared" si="362"/>
        <v>0</v>
      </c>
      <c r="Q219" s="407">
        <f t="shared" si="362"/>
        <v>0</v>
      </c>
      <c r="R219" s="407">
        <f t="shared" si="362"/>
        <v>0</v>
      </c>
      <c r="S219" s="407">
        <f t="shared" si="362"/>
        <v>0</v>
      </c>
      <c r="T219" s="407">
        <f t="shared" si="362"/>
        <v>0</v>
      </c>
      <c r="U219" s="407">
        <f t="shared" si="362"/>
        <v>0</v>
      </c>
      <c r="V219" s="407">
        <f t="shared" si="362"/>
        <v>0</v>
      </c>
      <c r="W219" s="407">
        <f t="shared" si="362"/>
        <v>0</v>
      </c>
      <c r="X219" s="407">
        <f t="shared" si="362"/>
        <v>0</v>
      </c>
      <c r="Y219" s="407">
        <f t="shared" si="362"/>
        <v>0</v>
      </c>
      <c r="Z219" s="407">
        <f t="shared" si="362"/>
        <v>0</v>
      </c>
      <c r="AA219" s="407">
        <f t="shared" si="362"/>
        <v>0</v>
      </c>
      <c r="AB219" s="407">
        <f t="shared" si="362"/>
        <v>0</v>
      </c>
      <c r="AC219" s="407">
        <f t="shared" si="362"/>
        <v>0</v>
      </c>
      <c r="AD219" s="407">
        <f t="shared" si="362"/>
        <v>0</v>
      </c>
      <c r="AE219" s="407">
        <f t="shared" si="362"/>
        <v>0</v>
      </c>
      <c r="AF219" s="407">
        <f t="shared" si="362"/>
        <v>0</v>
      </c>
      <c r="AG219" s="407">
        <f t="shared" si="362"/>
        <v>0</v>
      </c>
      <c r="AH219" s="407">
        <f t="shared" si="362"/>
        <v>0</v>
      </c>
      <c r="AI219" s="407">
        <f t="shared" si="362"/>
        <v>0</v>
      </c>
      <c r="AJ219" s="407">
        <f t="shared" si="362"/>
        <v>0</v>
      </c>
      <c r="AK219" s="407">
        <f t="shared" ref="AK219:BP219" si="363">IF(AK$5&lt;=DispositionMonth,-AK$78,0)</f>
        <v>0</v>
      </c>
      <c r="AL219" s="407">
        <f t="shared" si="363"/>
        <v>0</v>
      </c>
      <c r="AM219" s="407">
        <f t="shared" si="363"/>
        <v>0</v>
      </c>
      <c r="AN219" s="407">
        <f t="shared" si="363"/>
        <v>0</v>
      </c>
      <c r="AO219" s="407">
        <f t="shared" si="363"/>
        <v>0</v>
      </c>
      <c r="AP219" s="407">
        <f t="shared" si="363"/>
        <v>0</v>
      </c>
      <c r="AQ219" s="407">
        <f t="shared" si="363"/>
        <v>0</v>
      </c>
      <c r="AR219" s="407">
        <f t="shared" si="363"/>
        <v>0</v>
      </c>
      <c r="AS219" s="407">
        <f t="shared" si="363"/>
        <v>0</v>
      </c>
      <c r="AT219" s="407">
        <f t="shared" si="363"/>
        <v>0</v>
      </c>
      <c r="AU219" s="407">
        <f t="shared" si="363"/>
        <v>0</v>
      </c>
      <c r="AV219" s="407">
        <f t="shared" si="363"/>
        <v>0</v>
      </c>
      <c r="AW219" s="407">
        <f t="shared" si="363"/>
        <v>0</v>
      </c>
      <c r="AX219" s="407">
        <f t="shared" si="363"/>
        <v>0</v>
      </c>
      <c r="AY219" s="407">
        <f t="shared" si="363"/>
        <v>0</v>
      </c>
      <c r="AZ219" s="407">
        <f t="shared" si="363"/>
        <v>0</v>
      </c>
      <c r="BA219" s="407">
        <f t="shared" si="363"/>
        <v>0</v>
      </c>
      <c r="BB219" s="407">
        <f t="shared" si="363"/>
        <v>0</v>
      </c>
      <c r="BC219" s="407">
        <f t="shared" si="363"/>
        <v>0</v>
      </c>
      <c r="BD219" s="407">
        <f t="shared" si="363"/>
        <v>0</v>
      </c>
      <c r="BE219" s="407">
        <f t="shared" si="363"/>
        <v>0</v>
      </c>
      <c r="BF219" s="407">
        <f t="shared" si="363"/>
        <v>0</v>
      </c>
      <c r="BG219" s="407">
        <f t="shared" si="363"/>
        <v>0</v>
      </c>
      <c r="BH219" s="407">
        <f t="shared" si="363"/>
        <v>0</v>
      </c>
      <c r="BI219" s="407">
        <f t="shared" si="363"/>
        <v>0</v>
      </c>
      <c r="BJ219" s="407">
        <f t="shared" si="363"/>
        <v>0</v>
      </c>
      <c r="BK219" s="407">
        <f t="shared" si="363"/>
        <v>0</v>
      </c>
      <c r="BL219" s="407">
        <f t="shared" si="363"/>
        <v>0</v>
      </c>
      <c r="BM219" s="407">
        <f t="shared" si="363"/>
        <v>0</v>
      </c>
      <c r="BN219" s="407">
        <f t="shared" si="363"/>
        <v>0</v>
      </c>
      <c r="BO219" s="407">
        <f t="shared" si="363"/>
        <v>0</v>
      </c>
      <c r="BP219" s="407">
        <f t="shared" si="363"/>
        <v>0</v>
      </c>
      <c r="BQ219" s="407">
        <f t="shared" ref="BQ219:CV219" si="364">IF(BQ$5&lt;=DispositionMonth,-BQ$78,0)</f>
        <v>0</v>
      </c>
      <c r="BR219" s="407">
        <f t="shared" si="364"/>
        <v>0</v>
      </c>
      <c r="BS219" s="407">
        <f t="shared" si="364"/>
        <v>0</v>
      </c>
      <c r="BT219" s="407">
        <f t="shared" si="364"/>
        <v>0</v>
      </c>
      <c r="BU219" s="407">
        <f t="shared" si="364"/>
        <v>0</v>
      </c>
      <c r="BV219" s="407">
        <f t="shared" si="364"/>
        <v>0</v>
      </c>
      <c r="BW219" s="407">
        <f t="shared" si="364"/>
        <v>0</v>
      </c>
      <c r="BX219" s="407">
        <f t="shared" si="364"/>
        <v>0</v>
      </c>
      <c r="BY219" s="407">
        <f t="shared" si="364"/>
        <v>0</v>
      </c>
      <c r="BZ219" s="407">
        <f t="shared" si="364"/>
        <v>0</v>
      </c>
      <c r="CA219" s="407">
        <f t="shared" si="364"/>
        <v>0</v>
      </c>
      <c r="CB219" s="407">
        <f t="shared" si="364"/>
        <v>0</v>
      </c>
      <c r="CC219" s="407">
        <f t="shared" si="364"/>
        <v>0</v>
      </c>
      <c r="CD219" s="407">
        <f t="shared" si="364"/>
        <v>0</v>
      </c>
      <c r="CE219" s="407">
        <f t="shared" si="364"/>
        <v>0</v>
      </c>
      <c r="CF219" s="407">
        <f t="shared" si="364"/>
        <v>0</v>
      </c>
      <c r="CG219" s="407">
        <f t="shared" si="364"/>
        <v>0</v>
      </c>
      <c r="CH219" s="407">
        <f t="shared" si="364"/>
        <v>0</v>
      </c>
      <c r="CI219" s="407">
        <f t="shared" si="364"/>
        <v>0</v>
      </c>
      <c r="CJ219" s="407">
        <f t="shared" si="364"/>
        <v>0</v>
      </c>
      <c r="CK219" s="407">
        <f t="shared" si="364"/>
        <v>0</v>
      </c>
      <c r="CL219" s="407">
        <f t="shared" si="364"/>
        <v>0</v>
      </c>
      <c r="CM219" s="407">
        <f t="shared" si="364"/>
        <v>0</v>
      </c>
      <c r="CN219" s="407">
        <f t="shared" si="364"/>
        <v>0</v>
      </c>
      <c r="CO219" s="407">
        <f t="shared" si="364"/>
        <v>0</v>
      </c>
      <c r="CP219" s="407">
        <f t="shared" si="364"/>
        <v>0</v>
      </c>
      <c r="CQ219" s="407">
        <f t="shared" si="364"/>
        <v>0</v>
      </c>
      <c r="CR219" s="407">
        <f t="shared" si="364"/>
        <v>0</v>
      </c>
      <c r="CS219" s="407">
        <f t="shared" si="364"/>
        <v>0</v>
      </c>
      <c r="CT219" s="407">
        <f t="shared" si="364"/>
        <v>0</v>
      </c>
      <c r="CU219" s="407">
        <f t="shared" si="364"/>
        <v>0</v>
      </c>
      <c r="CV219" s="407">
        <f t="shared" si="364"/>
        <v>0</v>
      </c>
      <c r="CW219" s="407">
        <f t="shared" ref="CW219:DU219" si="365">IF(CW$5&lt;=DispositionMonth,-CW$78,0)</f>
        <v>0</v>
      </c>
      <c r="CX219" s="407">
        <f t="shared" si="365"/>
        <v>0</v>
      </c>
      <c r="CY219" s="407">
        <f t="shared" si="365"/>
        <v>0</v>
      </c>
      <c r="CZ219" s="407">
        <f t="shared" si="365"/>
        <v>0</v>
      </c>
      <c r="DA219" s="407">
        <f t="shared" si="365"/>
        <v>0</v>
      </c>
      <c r="DB219" s="407">
        <f t="shared" si="365"/>
        <v>0</v>
      </c>
      <c r="DC219" s="407">
        <f t="shared" si="365"/>
        <v>0</v>
      </c>
      <c r="DD219" s="407">
        <f t="shared" si="365"/>
        <v>0</v>
      </c>
      <c r="DE219" s="407">
        <f t="shared" si="365"/>
        <v>0</v>
      </c>
      <c r="DF219" s="407">
        <f t="shared" si="365"/>
        <v>0</v>
      </c>
      <c r="DG219" s="407">
        <f t="shared" si="365"/>
        <v>0</v>
      </c>
      <c r="DH219" s="407">
        <f t="shared" si="365"/>
        <v>0</v>
      </c>
      <c r="DI219" s="407">
        <f t="shared" si="365"/>
        <v>0</v>
      </c>
      <c r="DJ219" s="407">
        <f t="shared" si="365"/>
        <v>0</v>
      </c>
      <c r="DK219" s="407">
        <f t="shared" si="365"/>
        <v>0</v>
      </c>
      <c r="DL219" s="407">
        <f t="shared" si="365"/>
        <v>0</v>
      </c>
      <c r="DM219" s="407">
        <f t="shared" si="365"/>
        <v>0</v>
      </c>
      <c r="DN219" s="407">
        <f t="shared" si="365"/>
        <v>0</v>
      </c>
      <c r="DO219" s="407">
        <f t="shared" si="365"/>
        <v>0</v>
      </c>
      <c r="DP219" s="407">
        <f t="shared" si="365"/>
        <v>0</v>
      </c>
      <c r="DQ219" s="407">
        <f t="shared" si="365"/>
        <v>0</v>
      </c>
      <c r="DR219" s="407">
        <f t="shared" si="365"/>
        <v>0</v>
      </c>
      <c r="DS219" s="407">
        <f t="shared" si="365"/>
        <v>0</v>
      </c>
      <c r="DT219" s="407">
        <f t="shared" si="365"/>
        <v>0</v>
      </c>
      <c r="DU219" s="407">
        <f t="shared" si="365"/>
        <v>0</v>
      </c>
      <c r="EH219" s="644"/>
      <c r="EI219" s="280"/>
    </row>
    <row r="220" spans="1:139" x14ac:dyDescent="0.3">
      <c r="A220" s="182" t="str">
        <f>'General Inputs'!$K$29&amp;" Equity &amp; Pref Retirement"</f>
        <v>Quarterra Equity &amp; Pref Retirement</v>
      </c>
      <c r="B220" s="182"/>
      <c r="C220" s="182"/>
      <c r="D220" s="685"/>
      <c r="E220" s="407">
        <f t="shared" ref="E220:AJ220" si="366">IF(E$5=DispositionMonth,MIN(-E$197,E$204),0)</f>
        <v>0</v>
      </c>
      <c r="F220" s="407">
        <f t="shared" si="366"/>
        <v>0</v>
      </c>
      <c r="G220" s="407">
        <f t="shared" si="366"/>
        <v>0</v>
      </c>
      <c r="H220" s="407">
        <f t="shared" si="366"/>
        <v>0</v>
      </c>
      <c r="I220" s="407">
        <f t="shared" si="366"/>
        <v>0</v>
      </c>
      <c r="J220" s="407">
        <f t="shared" si="366"/>
        <v>0</v>
      </c>
      <c r="K220" s="407">
        <f t="shared" si="366"/>
        <v>0</v>
      </c>
      <c r="L220" s="407">
        <f t="shared" si="366"/>
        <v>0</v>
      </c>
      <c r="M220" s="407">
        <f t="shared" si="366"/>
        <v>0</v>
      </c>
      <c r="N220" s="407">
        <f t="shared" si="366"/>
        <v>0</v>
      </c>
      <c r="O220" s="407">
        <f t="shared" si="366"/>
        <v>0</v>
      </c>
      <c r="P220" s="407">
        <f t="shared" si="366"/>
        <v>0</v>
      </c>
      <c r="Q220" s="407">
        <f t="shared" si="366"/>
        <v>0</v>
      </c>
      <c r="R220" s="407">
        <f t="shared" si="366"/>
        <v>0</v>
      </c>
      <c r="S220" s="407">
        <f t="shared" si="366"/>
        <v>0</v>
      </c>
      <c r="T220" s="407">
        <f t="shared" si="366"/>
        <v>0</v>
      </c>
      <c r="U220" s="407">
        <f t="shared" si="366"/>
        <v>0</v>
      </c>
      <c r="V220" s="407">
        <f t="shared" si="366"/>
        <v>0</v>
      </c>
      <c r="W220" s="407">
        <f t="shared" si="366"/>
        <v>0</v>
      </c>
      <c r="X220" s="407">
        <f t="shared" si="366"/>
        <v>0</v>
      </c>
      <c r="Y220" s="407">
        <f t="shared" si="366"/>
        <v>0</v>
      </c>
      <c r="Z220" s="407">
        <f t="shared" si="366"/>
        <v>0</v>
      </c>
      <c r="AA220" s="407">
        <f t="shared" si="366"/>
        <v>0</v>
      </c>
      <c r="AB220" s="407">
        <f t="shared" si="366"/>
        <v>0</v>
      </c>
      <c r="AC220" s="407">
        <f t="shared" si="366"/>
        <v>0</v>
      </c>
      <c r="AD220" s="407">
        <f t="shared" si="366"/>
        <v>0</v>
      </c>
      <c r="AE220" s="407">
        <f t="shared" si="366"/>
        <v>0</v>
      </c>
      <c r="AF220" s="407">
        <f t="shared" si="366"/>
        <v>0</v>
      </c>
      <c r="AG220" s="407">
        <f t="shared" ca="1" si="366"/>
        <v>4209631.2794329124</v>
      </c>
      <c r="AH220" s="407">
        <f t="shared" si="366"/>
        <v>0</v>
      </c>
      <c r="AI220" s="407">
        <f t="shared" si="366"/>
        <v>0</v>
      </c>
      <c r="AJ220" s="407">
        <f t="shared" si="366"/>
        <v>0</v>
      </c>
      <c r="AK220" s="407">
        <f t="shared" ref="AK220:BP220" si="367">IF(AK$5=DispositionMonth,MIN(-AK$197,AK$204),0)</f>
        <v>0</v>
      </c>
      <c r="AL220" s="407">
        <f t="shared" si="367"/>
        <v>0</v>
      </c>
      <c r="AM220" s="407">
        <f t="shared" si="367"/>
        <v>0</v>
      </c>
      <c r="AN220" s="407">
        <f t="shared" si="367"/>
        <v>0</v>
      </c>
      <c r="AO220" s="407">
        <f t="shared" si="367"/>
        <v>0</v>
      </c>
      <c r="AP220" s="407">
        <f t="shared" si="367"/>
        <v>0</v>
      </c>
      <c r="AQ220" s="407">
        <f t="shared" si="367"/>
        <v>0</v>
      </c>
      <c r="AR220" s="407">
        <f t="shared" si="367"/>
        <v>0</v>
      </c>
      <c r="AS220" s="407">
        <f t="shared" si="367"/>
        <v>0</v>
      </c>
      <c r="AT220" s="407">
        <f t="shared" si="367"/>
        <v>0</v>
      </c>
      <c r="AU220" s="407">
        <f t="shared" si="367"/>
        <v>0</v>
      </c>
      <c r="AV220" s="407">
        <f t="shared" si="367"/>
        <v>0</v>
      </c>
      <c r="AW220" s="407">
        <f t="shared" si="367"/>
        <v>0</v>
      </c>
      <c r="AX220" s="407">
        <f t="shared" si="367"/>
        <v>0</v>
      </c>
      <c r="AY220" s="407">
        <f t="shared" si="367"/>
        <v>0</v>
      </c>
      <c r="AZ220" s="407">
        <f t="shared" si="367"/>
        <v>0</v>
      </c>
      <c r="BA220" s="407">
        <f t="shared" si="367"/>
        <v>0</v>
      </c>
      <c r="BB220" s="407">
        <f t="shared" si="367"/>
        <v>0</v>
      </c>
      <c r="BC220" s="407">
        <f t="shared" si="367"/>
        <v>0</v>
      </c>
      <c r="BD220" s="407">
        <f t="shared" si="367"/>
        <v>0</v>
      </c>
      <c r="BE220" s="407">
        <f t="shared" si="367"/>
        <v>0</v>
      </c>
      <c r="BF220" s="407">
        <f t="shared" si="367"/>
        <v>0</v>
      </c>
      <c r="BG220" s="407">
        <f t="shared" si="367"/>
        <v>0</v>
      </c>
      <c r="BH220" s="407">
        <f t="shared" si="367"/>
        <v>0</v>
      </c>
      <c r="BI220" s="407">
        <f t="shared" si="367"/>
        <v>0</v>
      </c>
      <c r="BJ220" s="407">
        <f t="shared" si="367"/>
        <v>0</v>
      </c>
      <c r="BK220" s="407">
        <f t="shared" si="367"/>
        <v>0</v>
      </c>
      <c r="BL220" s="407">
        <f t="shared" si="367"/>
        <v>0</v>
      </c>
      <c r="BM220" s="407">
        <f t="shared" si="367"/>
        <v>0</v>
      </c>
      <c r="BN220" s="407">
        <f t="shared" si="367"/>
        <v>0</v>
      </c>
      <c r="BO220" s="407">
        <f t="shared" si="367"/>
        <v>0</v>
      </c>
      <c r="BP220" s="407">
        <f t="shared" si="367"/>
        <v>0</v>
      </c>
      <c r="BQ220" s="407">
        <f t="shared" ref="BQ220:CV220" si="368">IF(BQ$5=DispositionMonth,MIN(-BQ$197,BQ$204),0)</f>
        <v>0</v>
      </c>
      <c r="BR220" s="407">
        <f t="shared" si="368"/>
        <v>0</v>
      </c>
      <c r="BS220" s="407">
        <f t="shared" si="368"/>
        <v>0</v>
      </c>
      <c r="BT220" s="407">
        <f t="shared" si="368"/>
        <v>0</v>
      </c>
      <c r="BU220" s="407">
        <f t="shared" si="368"/>
        <v>0</v>
      </c>
      <c r="BV220" s="407">
        <f t="shared" si="368"/>
        <v>0</v>
      </c>
      <c r="BW220" s="407">
        <f t="shared" si="368"/>
        <v>0</v>
      </c>
      <c r="BX220" s="407">
        <f t="shared" si="368"/>
        <v>0</v>
      </c>
      <c r="BY220" s="407">
        <f t="shared" si="368"/>
        <v>0</v>
      </c>
      <c r="BZ220" s="407">
        <f t="shared" si="368"/>
        <v>0</v>
      </c>
      <c r="CA220" s="407">
        <f t="shared" si="368"/>
        <v>0</v>
      </c>
      <c r="CB220" s="407">
        <f t="shared" si="368"/>
        <v>0</v>
      </c>
      <c r="CC220" s="407">
        <f t="shared" si="368"/>
        <v>0</v>
      </c>
      <c r="CD220" s="407">
        <f t="shared" si="368"/>
        <v>0</v>
      </c>
      <c r="CE220" s="407">
        <f t="shared" si="368"/>
        <v>0</v>
      </c>
      <c r="CF220" s="407">
        <f t="shared" si="368"/>
        <v>0</v>
      </c>
      <c r="CG220" s="407">
        <f t="shared" si="368"/>
        <v>0</v>
      </c>
      <c r="CH220" s="407">
        <f t="shared" si="368"/>
        <v>0</v>
      </c>
      <c r="CI220" s="407">
        <f t="shared" si="368"/>
        <v>0</v>
      </c>
      <c r="CJ220" s="407">
        <f t="shared" si="368"/>
        <v>0</v>
      </c>
      <c r="CK220" s="407">
        <f t="shared" si="368"/>
        <v>0</v>
      </c>
      <c r="CL220" s="407">
        <f t="shared" si="368"/>
        <v>0</v>
      </c>
      <c r="CM220" s="407">
        <f t="shared" si="368"/>
        <v>0</v>
      </c>
      <c r="CN220" s="407">
        <f t="shared" si="368"/>
        <v>0</v>
      </c>
      <c r="CO220" s="407">
        <f t="shared" si="368"/>
        <v>0</v>
      </c>
      <c r="CP220" s="407">
        <f t="shared" si="368"/>
        <v>0</v>
      </c>
      <c r="CQ220" s="407">
        <f t="shared" si="368"/>
        <v>0</v>
      </c>
      <c r="CR220" s="407">
        <f t="shared" si="368"/>
        <v>0</v>
      </c>
      <c r="CS220" s="407">
        <f t="shared" si="368"/>
        <v>0</v>
      </c>
      <c r="CT220" s="407">
        <f t="shared" si="368"/>
        <v>0</v>
      </c>
      <c r="CU220" s="407">
        <f t="shared" si="368"/>
        <v>0</v>
      </c>
      <c r="CV220" s="407">
        <f t="shared" si="368"/>
        <v>0</v>
      </c>
      <c r="CW220" s="407">
        <f t="shared" ref="CW220:DU220" si="369">IF(CW$5=DispositionMonth,MIN(-CW$197,CW$204),0)</f>
        <v>0</v>
      </c>
      <c r="CX220" s="407">
        <f t="shared" si="369"/>
        <v>0</v>
      </c>
      <c r="CY220" s="407">
        <f t="shared" si="369"/>
        <v>0</v>
      </c>
      <c r="CZ220" s="407">
        <f t="shared" si="369"/>
        <v>0</v>
      </c>
      <c r="DA220" s="407">
        <f t="shared" si="369"/>
        <v>0</v>
      </c>
      <c r="DB220" s="407">
        <f t="shared" si="369"/>
        <v>0</v>
      </c>
      <c r="DC220" s="407">
        <f t="shared" si="369"/>
        <v>0</v>
      </c>
      <c r="DD220" s="407">
        <f t="shared" si="369"/>
        <v>0</v>
      </c>
      <c r="DE220" s="407">
        <f t="shared" si="369"/>
        <v>0</v>
      </c>
      <c r="DF220" s="407">
        <f t="shared" si="369"/>
        <v>0</v>
      </c>
      <c r="DG220" s="407">
        <f t="shared" si="369"/>
        <v>0</v>
      </c>
      <c r="DH220" s="407">
        <f t="shared" si="369"/>
        <v>0</v>
      </c>
      <c r="DI220" s="407">
        <f t="shared" si="369"/>
        <v>0</v>
      </c>
      <c r="DJ220" s="407">
        <f t="shared" si="369"/>
        <v>0</v>
      </c>
      <c r="DK220" s="407">
        <f t="shared" si="369"/>
        <v>0</v>
      </c>
      <c r="DL220" s="407">
        <f t="shared" si="369"/>
        <v>0</v>
      </c>
      <c r="DM220" s="407">
        <f t="shared" si="369"/>
        <v>0</v>
      </c>
      <c r="DN220" s="407">
        <f t="shared" si="369"/>
        <v>0</v>
      </c>
      <c r="DO220" s="407">
        <f t="shared" si="369"/>
        <v>0</v>
      </c>
      <c r="DP220" s="407">
        <f t="shared" si="369"/>
        <v>0</v>
      </c>
      <c r="DQ220" s="407">
        <f t="shared" si="369"/>
        <v>0</v>
      </c>
      <c r="DR220" s="407">
        <f t="shared" si="369"/>
        <v>0</v>
      </c>
      <c r="DS220" s="407">
        <f t="shared" si="369"/>
        <v>0</v>
      </c>
      <c r="DT220" s="407">
        <f t="shared" si="369"/>
        <v>0</v>
      </c>
      <c r="DU220" s="407">
        <f t="shared" si="369"/>
        <v>0</v>
      </c>
      <c r="EH220" s="644"/>
      <c r="EI220" s="722"/>
    </row>
    <row r="221" spans="1:139" ht="15" thickBot="1" x14ac:dyDescent="0.35">
      <c r="A221" s="436" t="str">
        <f>'General Inputs'!$K$29&amp;" Return ON &amp; OF Equity"</f>
        <v>Quarterra Return ON &amp; OF Equity</v>
      </c>
      <c r="B221" s="436"/>
      <c r="C221" s="439"/>
      <c r="D221" s="740">
        <f ca="1">(1+IRR(E221:DU221,0.01))^12-1</f>
        <v>0.10471306744129683</v>
      </c>
      <c r="E221" s="433">
        <f t="shared" ref="E221:AZ221" ca="1" si="370">SUM(E215:E220)</f>
        <v>-187200.69504114857</v>
      </c>
      <c r="F221" s="433">
        <f t="shared" ca="1" si="370"/>
        <v>-1519969.0317023587</v>
      </c>
      <c r="G221" s="433">
        <f t="shared" ca="1" si="370"/>
        <v>-47750.954329989538</v>
      </c>
      <c r="H221" s="433">
        <f t="shared" ca="1" si="370"/>
        <v>-72501.804750386145</v>
      </c>
      <c r="I221" s="433">
        <f t="shared" ca="1" si="370"/>
        <v>-123135.14260033611</v>
      </c>
      <c r="J221" s="433">
        <f t="shared" ca="1" si="370"/>
        <v>-200944.5086243379</v>
      </c>
      <c r="K221" s="433">
        <f t="shared" ca="1" si="370"/>
        <v>-206827.72828140811</v>
      </c>
      <c r="L221" s="433">
        <f t="shared" ca="1" si="370"/>
        <v>-263555.60946173384</v>
      </c>
      <c r="M221" s="433">
        <f t="shared" ca="1" si="370"/>
        <v>-312631.13752459432</v>
      </c>
      <c r="N221" s="433">
        <f t="shared" ca="1" si="370"/>
        <v>-365964.46239059581</v>
      </c>
      <c r="O221" s="433">
        <f t="shared" ca="1" si="370"/>
        <v>-207702.02069114055</v>
      </c>
      <c r="P221" s="433">
        <f t="shared" ca="1" si="370"/>
        <v>0</v>
      </c>
      <c r="Q221" s="433">
        <f t="shared" ca="1" si="370"/>
        <v>0</v>
      </c>
      <c r="R221" s="433">
        <f t="shared" ca="1" si="370"/>
        <v>0</v>
      </c>
      <c r="S221" s="433">
        <f t="shared" ca="1" si="370"/>
        <v>0</v>
      </c>
      <c r="T221" s="433">
        <f t="shared" ca="1" si="370"/>
        <v>0</v>
      </c>
      <c r="U221" s="433">
        <f t="shared" ca="1" si="370"/>
        <v>0</v>
      </c>
      <c r="V221" s="433">
        <f t="shared" ca="1" si="370"/>
        <v>0</v>
      </c>
      <c r="W221" s="433">
        <f t="shared" ca="1" si="370"/>
        <v>0</v>
      </c>
      <c r="X221" s="433">
        <f t="shared" ca="1" si="370"/>
        <v>0</v>
      </c>
      <c r="Y221" s="433">
        <f t="shared" ca="1" si="370"/>
        <v>0</v>
      </c>
      <c r="Z221" s="433">
        <f t="shared" ca="1" si="370"/>
        <v>0</v>
      </c>
      <c r="AA221" s="433">
        <f t="shared" ca="1" si="370"/>
        <v>0</v>
      </c>
      <c r="AB221" s="433">
        <f t="shared" ca="1" si="370"/>
        <v>0</v>
      </c>
      <c r="AC221" s="433">
        <f t="shared" ca="1" si="370"/>
        <v>4411.302949009133</v>
      </c>
      <c r="AD221" s="433">
        <f t="shared" ca="1" si="370"/>
        <v>8433.0422386363189</v>
      </c>
      <c r="AE221" s="433">
        <f t="shared" ca="1" si="370"/>
        <v>13012.426310856763</v>
      </c>
      <c r="AF221" s="433">
        <f t="shared" ca="1" si="370"/>
        <v>21956.223728908131</v>
      </c>
      <c r="AG221" s="433">
        <f t="shared" ca="1" si="370"/>
        <v>4231952.1373270052</v>
      </c>
      <c r="AH221" s="433">
        <f t="shared" si="370"/>
        <v>0</v>
      </c>
      <c r="AI221" s="433">
        <f t="shared" si="370"/>
        <v>0</v>
      </c>
      <c r="AJ221" s="433">
        <f t="shared" si="370"/>
        <v>0</v>
      </c>
      <c r="AK221" s="433">
        <f t="shared" si="370"/>
        <v>0</v>
      </c>
      <c r="AL221" s="433">
        <f t="shared" si="370"/>
        <v>0</v>
      </c>
      <c r="AM221" s="433">
        <f t="shared" si="370"/>
        <v>0</v>
      </c>
      <c r="AN221" s="433">
        <f t="shared" si="370"/>
        <v>0</v>
      </c>
      <c r="AO221" s="433">
        <f t="shared" si="370"/>
        <v>0</v>
      </c>
      <c r="AP221" s="433">
        <f t="shared" si="370"/>
        <v>0</v>
      </c>
      <c r="AQ221" s="433">
        <f t="shared" si="370"/>
        <v>0</v>
      </c>
      <c r="AR221" s="433">
        <f t="shared" si="370"/>
        <v>0</v>
      </c>
      <c r="AS221" s="433">
        <f t="shared" si="370"/>
        <v>0</v>
      </c>
      <c r="AT221" s="433">
        <f t="shared" si="370"/>
        <v>0</v>
      </c>
      <c r="AU221" s="433">
        <f t="shared" si="370"/>
        <v>0</v>
      </c>
      <c r="AV221" s="433">
        <f t="shared" si="370"/>
        <v>0</v>
      </c>
      <c r="AW221" s="433">
        <f t="shared" si="370"/>
        <v>0</v>
      </c>
      <c r="AX221" s="433">
        <f t="shared" si="370"/>
        <v>0</v>
      </c>
      <c r="AY221" s="433">
        <f t="shared" si="370"/>
        <v>0</v>
      </c>
      <c r="AZ221" s="433">
        <f t="shared" si="370"/>
        <v>0</v>
      </c>
      <c r="BA221" s="433">
        <f>SUM(BA215:BA220)</f>
        <v>0</v>
      </c>
      <c r="BB221" s="433">
        <f t="shared" ref="BB221:DM221" si="371">SUM(BB215:BB220)</f>
        <v>0</v>
      </c>
      <c r="BC221" s="433">
        <f t="shared" si="371"/>
        <v>0</v>
      </c>
      <c r="BD221" s="433">
        <f t="shared" si="371"/>
        <v>0</v>
      </c>
      <c r="BE221" s="433">
        <f t="shared" si="371"/>
        <v>0</v>
      </c>
      <c r="BF221" s="433">
        <f t="shared" si="371"/>
        <v>0</v>
      </c>
      <c r="BG221" s="433">
        <f t="shared" si="371"/>
        <v>0</v>
      </c>
      <c r="BH221" s="433">
        <f t="shared" si="371"/>
        <v>0</v>
      </c>
      <c r="BI221" s="433">
        <f t="shared" si="371"/>
        <v>0</v>
      </c>
      <c r="BJ221" s="433">
        <f t="shared" si="371"/>
        <v>0</v>
      </c>
      <c r="BK221" s="433">
        <f t="shared" si="371"/>
        <v>0</v>
      </c>
      <c r="BL221" s="433">
        <f t="shared" si="371"/>
        <v>0</v>
      </c>
      <c r="BM221" s="433">
        <f t="shared" si="371"/>
        <v>0</v>
      </c>
      <c r="BN221" s="433">
        <f t="shared" si="371"/>
        <v>0</v>
      </c>
      <c r="BO221" s="433">
        <f t="shared" si="371"/>
        <v>0</v>
      </c>
      <c r="BP221" s="433">
        <f t="shared" si="371"/>
        <v>0</v>
      </c>
      <c r="BQ221" s="433">
        <f t="shared" si="371"/>
        <v>0</v>
      </c>
      <c r="BR221" s="433">
        <f t="shared" si="371"/>
        <v>0</v>
      </c>
      <c r="BS221" s="433">
        <f t="shared" si="371"/>
        <v>0</v>
      </c>
      <c r="BT221" s="433">
        <f t="shared" si="371"/>
        <v>0</v>
      </c>
      <c r="BU221" s="433">
        <f t="shared" si="371"/>
        <v>0</v>
      </c>
      <c r="BV221" s="433">
        <f t="shared" si="371"/>
        <v>0</v>
      </c>
      <c r="BW221" s="433">
        <f t="shared" si="371"/>
        <v>0</v>
      </c>
      <c r="BX221" s="433">
        <f t="shared" si="371"/>
        <v>0</v>
      </c>
      <c r="BY221" s="433">
        <f t="shared" si="371"/>
        <v>0</v>
      </c>
      <c r="BZ221" s="433">
        <f t="shared" si="371"/>
        <v>0</v>
      </c>
      <c r="CA221" s="433">
        <f t="shared" si="371"/>
        <v>0</v>
      </c>
      <c r="CB221" s="433">
        <f t="shared" si="371"/>
        <v>0</v>
      </c>
      <c r="CC221" s="433">
        <f t="shared" si="371"/>
        <v>0</v>
      </c>
      <c r="CD221" s="433">
        <f t="shared" si="371"/>
        <v>0</v>
      </c>
      <c r="CE221" s="433">
        <f t="shared" si="371"/>
        <v>0</v>
      </c>
      <c r="CF221" s="433">
        <f t="shared" si="371"/>
        <v>0</v>
      </c>
      <c r="CG221" s="433">
        <f t="shared" si="371"/>
        <v>0</v>
      </c>
      <c r="CH221" s="433">
        <f t="shared" si="371"/>
        <v>0</v>
      </c>
      <c r="CI221" s="433">
        <f t="shared" si="371"/>
        <v>0</v>
      </c>
      <c r="CJ221" s="433">
        <f t="shared" si="371"/>
        <v>0</v>
      </c>
      <c r="CK221" s="433">
        <f t="shared" si="371"/>
        <v>0</v>
      </c>
      <c r="CL221" s="433">
        <f t="shared" si="371"/>
        <v>0</v>
      </c>
      <c r="CM221" s="433">
        <f t="shared" si="371"/>
        <v>0</v>
      </c>
      <c r="CN221" s="433">
        <f t="shared" si="371"/>
        <v>0</v>
      </c>
      <c r="CO221" s="433">
        <f t="shared" si="371"/>
        <v>0</v>
      </c>
      <c r="CP221" s="433">
        <f t="shared" si="371"/>
        <v>0</v>
      </c>
      <c r="CQ221" s="433">
        <f t="shared" si="371"/>
        <v>0</v>
      </c>
      <c r="CR221" s="433">
        <f t="shared" si="371"/>
        <v>0</v>
      </c>
      <c r="CS221" s="433">
        <f t="shared" si="371"/>
        <v>0</v>
      </c>
      <c r="CT221" s="433">
        <f t="shared" si="371"/>
        <v>0</v>
      </c>
      <c r="CU221" s="433">
        <f t="shared" si="371"/>
        <v>0</v>
      </c>
      <c r="CV221" s="433">
        <f t="shared" si="371"/>
        <v>0</v>
      </c>
      <c r="CW221" s="433">
        <f t="shared" si="371"/>
        <v>0</v>
      </c>
      <c r="CX221" s="433">
        <f t="shared" si="371"/>
        <v>0</v>
      </c>
      <c r="CY221" s="433">
        <f t="shared" si="371"/>
        <v>0</v>
      </c>
      <c r="CZ221" s="433">
        <f t="shared" si="371"/>
        <v>0</v>
      </c>
      <c r="DA221" s="433">
        <f t="shared" si="371"/>
        <v>0</v>
      </c>
      <c r="DB221" s="433">
        <f t="shared" si="371"/>
        <v>0</v>
      </c>
      <c r="DC221" s="433">
        <f t="shared" si="371"/>
        <v>0</v>
      </c>
      <c r="DD221" s="433">
        <f t="shared" si="371"/>
        <v>0</v>
      </c>
      <c r="DE221" s="433">
        <f t="shared" si="371"/>
        <v>0</v>
      </c>
      <c r="DF221" s="433">
        <f t="shared" si="371"/>
        <v>0</v>
      </c>
      <c r="DG221" s="433">
        <f t="shared" si="371"/>
        <v>0</v>
      </c>
      <c r="DH221" s="433">
        <f t="shared" si="371"/>
        <v>0</v>
      </c>
      <c r="DI221" s="433">
        <f t="shared" si="371"/>
        <v>0</v>
      </c>
      <c r="DJ221" s="433">
        <f t="shared" si="371"/>
        <v>0</v>
      </c>
      <c r="DK221" s="433">
        <f t="shared" si="371"/>
        <v>0</v>
      </c>
      <c r="DL221" s="433">
        <f t="shared" si="371"/>
        <v>0</v>
      </c>
      <c r="DM221" s="433">
        <f t="shared" si="371"/>
        <v>0</v>
      </c>
      <c r="DN221" s="433">
        <f t="shared" ref="DN221:DU221" si="372">SUM(DN215:DN220)</f>
        <v>0</v>
      </c>
      <c r="DO221" s="433">
        <f t="shared" si="372"/>
        <v>0</v>
      </c>
      <c r="DP221" s="433">
        <f t="shared" si="372"/>
        <v>0</v>
      </c>
      <c r="DQ221" s="433">
        <f t="shared" si="372"/>
        <v>0</v>
      </c>
      <c r="DR221" s="433">
        <f t="shared" si="372"/>
        <v>0</v>
      </c>
      <c r="DS221" s="433">
        <f t="shared" si="372"/>
        <v>0</v>
      </c>
      <c r="DT221" s="433">
        <f t="shared" si="372"/>
        <v>0</v>
      </c>
      <c r="DU221" s="433">
        <f t="shared" si="372"/>
        <v>0</v>
      </c>
      <c r="EH221" s="644"/>
      <c r="EI221" s="280"/>
    </row>
    <row r="222" spans="1:139" ht="7.5" customHeight="1" thickTop="1" x14ac:dyDescent="0.3">
      <c r="A222" s="182"/>
      <c r="B222" s="182"/>
      <c r="C222" s="400"/>
      <c r="D222" s="685"/>
      <c r="E222" s="408"/>
      <c r="F222" s="408"/>
      <c r="G222" s="408"/>
      <c r="H222" s="408"/>
      <c r="I222" s="408"/>
      <c r="J222" s="408"/>
      <c r="K222" s="408"/>
      <c r="L222" s="408"/>
      <c r="M222" s="408"/>
      <c r="N222" s="408"/>
      <c r="O222" s="408"/>
      <c r="P222" s="408"/>
      <c r="Q222" s="408"/>
      <c r="R222" s="408"/>
      <c r="S222" s="408"/>
      <c r="T222" s="408"/>
      <c r="U222" s="408"/>
      <c r="V222" s="408"/>
      <c r="W222" s="408"/>
      <c r="X222" s="408"/>
      <c r="Y222" s="408"/>
      <c r="Z222" s="408"/>
      <c r="AA222" s="408"/>
      <c r="AB222" s="408"/>
      <c r="AC222" s="408"/>
      <c r="AD222" s="408"/>
      <c r="AE222" s="408"/>
      <c r="AF222" s="408"/>
      <c r="AG222" s="408"/>
      <c r="AH222" s="408"/>
      <c r="AI222" s="408"/>
      <c r="AJ222" s="408"/>
      <c r="AK222" s="408"/>
      <c r="AL222" s="408"/>
      <c r="AM222" s="408"/>
      <c r="AN222" s="408"/>
      <c r="AO222" s="408"/>
      <c r="AP222" s="408"/>
      <c r="AQ222" s="408"/>
      <c r="AR222" s="408"/>
      <c r="AS222" s="408"/>
      <c r="AT222" s="408"/>
      <c r="AU222" s="408"/>
      <c r="AV222" s="408"/>
      <c r="AW222" s="408"/>
      <c r="AX222" s="408"/>
      <c r="AY222" s="408"/>
      <c r="AZ222" s="408"/>
      <c r="BA222" s="408"/>
      <c r="BB222" s="408"/>
      <c r="BC222" s="408"/>
      <c r="BD222" s="408"/>
      <c r="BE222" s="408"/>
      <c r="BF222" s="408"/>
      <c r="BG222" s="408"/>
      <c r="BH222" s="408"/>
      <c r="BI222" s="408"/>
      <c r="BJ222" s="408"/>
      <c r="BK222" s="408"/>
      <c r="BL222" s="408"/>
      <c r="BM222" s="408"/>
      <c r="BN222" s="408"/>
      <c r="BO222" s="408"/>
      <c r="BP222" s="408"/>
      <c r="BQ222" s="408"/>
      <c r="BR222" s="408"/>
      <c r="BS222" s="408"/>
      <c r="BT222" s="408"/>
      <c r="BU222" s="408"/>
      <c r="BV222" s="408"/>
      <c r="BW222" s="408"/>
      <c r="BX222" s="408"/>
      <c r="BY222" s="408"/>
      <c r="BZ222" s="408"/>
      <c r="CA222" s="408"/>
      <c r="CB222" s="408"/>
      <c r="CC222" s="408"/>
      <c r="CD222" s="408"/>
      <c r="CE222" s="408"/>
      <c r="CF222" s="408"/>
      <c r="CG222" s="408"/>
      <c r="CH222" s="408"/>
      <c r="CI222" s="408"/>
      <c r="CJ222" s="408"/>
      <c r="CK222" s="408"/>
      <c r="CL222" s="408"/>
      <c r="CM222" s="408"/>
      <c r="CN222" s="408"/>
      <c r="CO222" s="408"/>
      <c r="CP222" s="408"/>
      <c r="CQ222" s="408"/>
      <c r="CR222" s="408"/>
      <c r="CS222" s="408"/>
      <c r="CT222" s="408"/>
      <c r="CU222" s="408"/>
      <c r="CV222" s="408"/>
      <c r="CW222" s="408"/>
      <c r="CX222" s="408"/>
      <c r="CY222" s="408"/>
      <c r="CZ222" s="408"/>
      <c r="DA222" s="408"/>
      <c r="DB222" s="408"/>
      <c r="DC222" s="408"/>
      <c r="DD222" s="408"/>
      <c r="DE222" s="408"/>
      <c r="DF222" s="408"/>
      <c r="DG222" s="408"/>
      <c r="DH222" s="408"/>
      <c r="DI222" s="408"/>
      <c r="DJ222" s="408"/>
      <c r="DK222" s="408"/>
      <c r="DL222" s="408"/>
      <c r="DM222" s="408"/>
      <c r="DN222" s="408"/>
      <c r="DO222" s="408"/>
      <c r="DP222" s="408"/>
      <c r="DQ222" s="408"/>
      <c r="DR222" s="408"/>
      <c r="DS222" s="408"/>
      <c r="DT222" s="408"/>
      <c r="DU222" s="408"/>
      <c r="EH222" s="644"/>
      <c r="EI222" s="722"/>
    </row>
    <row r="223" spans="1:139" x14ac:dyDescent="0.3">
      <c r="A223" s="182" t="str">
        <f>'General Inputs'!$L$29&amp;" Contributions"</f>
        <v>LAND Contributions</v>
      </c>
      <c r="B223" s="182"/>
      <c r="C223" s="182"/>
      <c r="D223" s="685"/>
      <c r="E223" s="408">
        <f t="shared" ref="E223:AJ223" si="373">IF(E$5&lt;=DispositionMonth,-E$92,0)</f>
        <v>0</v>
      </c>
      <c r="F223" s="408">
        <f t="shared" si="373"/>
        <v>0</v>
      </c>
      <c r="G223" s="408">
        <f t="shared" si="373"/>
        <v>0</v>
      </c>
      <c r="H223" s="408">
        <f t="shared" si="373"/>
        <v>0</v>
      </c>
      <c r="I223" s="408">
        <f t="shared" si="373"/>
        <v>0</v>
      </c>
      <c r="J223" s="408">
        <f t="shared" si="373"/>
        <v>0</v>
      </c>
      <c r="K223" s="408">
        <f t="shared" si="373"/>
        <v>0</v>
      </c>
      <c r="L223" s="408">
        <f t="shared" si="373"/>
        <v>0</v>
      </c>
      <c r="M223" s="408">
        <f t="shared" si="373"/>
        <v>0</v>
      </c>
      <c r="N223" s="408">
        <f t="shared" si="373"/>
        <v>0</v>
      </c>
      <c r="O223" s="408">
        <f t="shared" si="373"/>
        <v>0</v>
      </c>
      <c r="P223" s="408">
        <f t="shared" si="373"/>
        <v>0</v>
      </c>
      <c r="Q223" s="408">
        <f t="shared" si="373"/>
        <v>0</v>
      </c>
      <c r="R223" s="408">
        <f t="shared" si="373"/>
        <v>0</v>
      </c>
      <c r="S223" s="408">
        <f t="shared" si="373"/>
        <v>0</v>
      </c>
      <c r="T223" s="408">
        <f t="shared" si="373"/>
        <v>0</v>
      </c>
      <c r="U223" s="408">
        <f t="shared" si="373"/>
        <v>0</v>
      </c>
      <c r="V223" s="408">
        <f t="shared" si="373"/>
        <v>0</v>
      </c>
      <c r="W223" s="408">
        <f t="shared" si="373"/>
        <v>0</v>
      </c>
      <c r="X223" s="408">
        <f t="shared" si="373"/>
        <v>0</v>
      </c>
      <c r="Y223" s="408">
        <f t="shared" si="373"/>
        <v>0</v>
      </c>
      <c r="Z223" s="408">
        <f t="shared" si="373"/>
        <v>0</v>
      </c>
      <c r="AA223" s="408">
        <f t="shared" si="373"/>
        <v>0</v>
      </c>
      <c r="AB223" s="408">
        <f t="shared" si="373"/>
        <v>0</v>
      </c>
      <c r="AC223" s="408">
        <f t="shared" si="373"/>
        <v>0</v>
      </c>
      <c r="AD223" s="408">
        <f t="shared" si="373"/>
        <v>0</v>
      </c>
      <c r="AE223" s="408">
        <f t="shared" si="373"/>
        <v>0</v>
      </c>
      <c r="AF223" s="408">
        <f t="shared" si="373"/>
        <v>0</v>
      </c>
      <c r="AG223" s="408">
        <f t="shared" si="373"/>
        <v>0</v>
      </c>
      <c r="AH223" s="408">
        <f t="shared" si="373"/>
        <v>0</v>
      </c>
      <c r="AI223" s="408">
        <f t="shared" si="373"/>
        <v>0</v>
      </c>
      <c r="AJ223" s="408">
        <f t="shared" si="373"/>
        <v>0</v>
      </c>
      <c r="AK223" s="408">
        <f t="shared" ref="AK223:BP223" si="374">IF(AK$5&lt;=DispositionMonth,-AK$92,0)</f>
        <v>0</v>
      </c>
      <c r="AL223" s="408">
        <f t="shared" si="374"/>
        <v>0</v>
      </c>
      <c r="AM223" s="408">
        <f t="shared" si="374"/>
        <v>0</v>
      </c>
      <c r="AN223" s="408">
        <f t="shared" si="374"/>
        <v>0</v>
      </c>
      <c r="AO223" s="408">
        <f t="shared" si="374"/>
        <v>0</v>
      </c>
      <c r="AP223" s="408">
        <f t="shared" si="374"/>
        <v>0</v>
      </c>
      <c r="AQ223" s="408">
        <f t="shared" si="374"/>
        <v>0</v>
      </c>
      <c r="AR223" s="408">
        <f t="shared" si="374"/>
        <v>0</v>
      </c>
      <c r="AS223" s="408">
        <f t="shared" si="374"/>
        <v>0</v>
      </c>
      <c r="AT223" s="408">
        <f t="shared" si="374"/>
        <v>0</v>
      </c>
      <c r="AU223" s="408">
        <f t="shared" si="374"/>
        <v>0</v>
      </c>
      <c r="AV223" s="408">
        <f t="shared" si="374"/>
        <v>0</v>
      </c>
      <c r="AW223" s="408">
        <f t="shared" si="374"/>
        <v>0</v>
      </c>
      <c r="AX223" s="408">
        <f t="shared" si="374"/>
        <v>0</v>
      </c>
      <c r="AY223" s="408">
        <f t="shared" si="374"/>
        <v>0</v>
      </c>
      <c r="AZ223" s="408">
        <f t="shared" si="374"/>
        <v>0</v>
      </c>
      <c r="BA223" s="408">
        <f t="shared" si="374"/>
        <v>0</v>
      </c>
      <c r="BB223" s="408">
        <f t="shared" si="374"/>
        <v>0</v>
      </c>
      <c r="BC223" s="408">
        <f t="shared" si="374"/>
        <v>0</v>
      </c>
      <c r="BD223" s="408">
        <f t="shared" si="374"/>
        <v>0</v>
      </c>
      <c r="BE223" s="408">
        <f t="shared" si="374"/>
        <v>0</v>
      </c>
      <c r="BF223" s="408">
        <f t="shared" si="374"/>
        <v>0</v>
      </c>
      <c r="BG223" s="408">
        <f t="shared" si="374"/>
        <v>0</v>
      </c>
      <c r="BH223" s="408">
        <f t="shared" si="374"/>
        <v>0</v>
      </c>
      <c r="BI223" s="408">
        <f t="shared" si="374"/>
        <v>0</v>
      </c>
      <c r="BJ223" s="408">
        <f t="shared" si="374"/>
        <v>0</v>
      </c>
      <c r="BK223" s="408">
        <f t="shared" si="374"/>
        <v>0</v>
      </c>
      <c r="BL223" s="408">
        <f t="shared" si="374"/>
        <v>0</v>
      </c>
      <c r="BM223" s="408">
        <f t="shared" si="374"/>
        <v>0</v>
      </c>
      <c r="BN223" s="408">
        <f t="shared" si="374"/>
        <v>0</v>
      </c>
      <c r="BO223" s="408">
        <f t="shared" si="374"/>
        <v>0</v>
      </c>
      <c r="BP223" s="408">
        <f t="shared" si="374"/>
        <v>0</v>
      </c>
      <c r="BQ223" s="408">
        <f t="shared" ref="BQ223:CV223" si="375">IF(BQ$5&lt;=DispositionMonth,-BQ$92,0)</f>
        <v>0</v>
      </c>
      <c r="BR223" s="408">
        <f t="shared" si="375"/>
        <v>0</v>
      </c>
      <c r="BS223" s="408">
        <f t="shared" si="375"/>
        <v>0</v>
      </c>
      <c r="BT223" s="408">
        <f t="shared" si="375"/>
        <v>0</v>
      </c>
      <c r="BU223" s="408">
        <f t="shared" si="375"/>
        <v>0</v>
      </c>
      <c r="BV223" s="408">
        <f t="shared" si="375"/>
        <v>0</v>
      </c>
      <c r="BW223" s="408">
        <f t="shared" si="375"/>
        <v>0</v>
      </c>
      <c r="BX223" s="408">
        <f t="shared" si="375"/>
        <v>0</v>
      </c>
      <c r="BY223" s="408">
        <f t="shared" si="375"/>
        <v>0</v>
      </c>
      <c r="BZ223" s="408">
        <f t="shared" si="375"/>
        <v>0</v>
      </c>
      <c r="CA223" s="408">
        <f t="shared" si="375"/>
        <v>0</v>
      </c>
      <c r="CB223" s="408">
        <f t="shared" si="375"/>
        <v>0</v>
      </c>
      <c r="CC223" s="408">
        <f t="shared" si="375"/>
        <v>0</v>
      </c>
      <c r="CD223" s="408">
        <f t="shared" si="375"/>
        <v>0</v>
      </c>
      <c r="CE223" s="408">
        <f t="shared" si="375"/>
        <v>0</v>
      </c>
      <c r="CF223" s="408">
        <f t="shared" si="375"/>
        <v>0</v>
      </c>
      <c r="CG223" s="408">
        <f t="shared" si="375"/>
        <v>0</v>
      </c>
      <c r="CH223" s="408">
        <f t="shared" si="375"/>
        <v>0</v>
      </c>
      <c r="CI223" s="408">
        <f t="shared" si="375"/>
        <v>0</v>
      </c>
      <c r="CJ223" s="408">
        <f t="shared" si="375"/>
        <v>0</v>
      </c>
      <c r="CK223" s="408">
        <f t="shared" si="375"/>
        <v>0</v>
      </c>
      <c r="CL223" s="408">
        <f t="shared" si="375"/>
        <v>0</v>
      </c>
      <c r="CM223" s="408">
        <f t="shared" si="375"/>
        <v>0</v>
      </c>
      <c r="CN223" s="408">
        <f t="shared" si="375"/>
        <v>0</v>
      </c>
      <c r="CO223" s="408">
        <f t="shared" si="375"/>
        <v>0</v>
      </c>
      <c r="CP223" s="408">
        <f t="shared" si="375"/>
        <v>0</v>
      </c>
      <c r="CQ223" s="408">
        <f t="shared" si="375"/>
        <v>0</v>
      </c>
      <c r="CR223" s="408">
        <f t="shared" si="375"/>
        <v>0</v>
      </c>
      <c r="CS223" s="408">
        <f t="shared" si="375"/>
        <v>0</v>
      </c>
      <c r="CT223" s="408">
        <f t="shared" si="375"/>
        <v>0</v>
      </c>
      <c r="CU223" s="408">
        <f t="shared" si="375"/>
        <v>0</v>
      </c>
      <c r="CV223" s="408">
        <f t="shared" si="375"/>
        <v>0</v>
      </c>
      <c r="CW223" s="408">
        <f t="shared" ref="CW223:DU223" si="376">IF(CW$5&lt;=DispositionMonth,-CW$92,0)</f>
        <v>0</v>
      </c>
      <c r="CX223" s="408">
        <f t="shared" si="376"/>
        <v>0</v>
      </c>
      <c r="CY223" s="408">
        <f t="shared" si="376"/>
        <v>0</v>
      </c>
      <c r="CZ223" s="408">
        <f t="shared" si="376"/>
        <v>0</v>
      </c>
      <c r="DA223" s="408">
        <f t="shared" si="376"/>
        <v>0</v>
      </c>
      <c r="DB223" s="408">
        <f t="shared" si="376"/>
        <v>0</v>
      </c>
      <c r="DC223" s="408">
        <f t="shared" si="376"/>
        <v>0</v>
      </c>
      <c r="DD223" s="408">
        <f t="shared" si="376"/>
        <v>0</v>
      </c>
      <c r="DE223" s="408">
        <f t="shared" si="376"/>
        <v>0</v>
      </c>
      <c r="DF223" s="408">
        <f t="shared" si="376"/>
        <v>0</v>
      </c>
      <c r="DG223" s="408">
        <f t="shared" si="376"/>
        <v>0</v>
      </c>
      <c r="DH223" s="408">
        <f t="shared" si="376"/>
        <v>0</v>
      </c>
      <c r="DI223" s="408">
        <f t="shared" si="376"/>
        <v>0</v>
      </c>
      <c r="DJ223" s="408">
        <f t="shared" si="376"/>
        <v>0</v>
      </c>
      <c r="DK223" s="408">
        <f t="shared" si="376"/>
        <v>0</v>
      </c>
      <c r="DL223" s="408">
        <f t="shared" si="376"/>
        <v>0</v>
      </c>
      <c r="DM223" s="408">
        <f t="shared" si="376"/>
        <v>0</v>
      </c>
      <c r="DN223" s="408">
        <f t="shared" si="376"/>
        <v>0</v>
      </c>
      <c r="DO223" s="408">
        <f t="shared" si="376"/>
        <v>0</v>
      </c>
      <c r="DP223" s="408">
        <f t="shared" si="376"/>
        <v>0</v>
      </c>
      <c r="DQ223" s="408">
        <f t="shared" si="376"/>
        <v>0</v>
      </c>
      <c r="DR223" s="408">
        <f t="shared" si="376"/>
        <v>0</v>
      </c>
      <c r="DS223" s="408">
        <f t="shared" si="376"/>
        <v>0</v>
      </c>
      <c r="DT223" s="408">
        <f t="shared" si="376"/>
        <v>0</v>
      </c>
      <c r="DU223" s="408">
        <f t="shared" si="376"/>
        <v>0</v>
      </c>
      <c r="EH223" s="644"/>
      <c r="EI223" s="280"/>
    </row>
    <row r="224" spans="1:139" x14ac:dyDescent="0.3">
      <c r="A224" s="182" t="str">
        <f>'General Inputs'!$L$29&amp;" Distribution from Operations"</f>
        <v>LAND Distribution from Operations</v>
      </c>
      <c r="B224" s="182"/>
      <c r="C224" s="182"/>
      <c r="D224" s="685"/>
      <c r="E224" s="407">
        <f t="shared" ref="E224:AJ224" ca="1" si="377">IF(E$5&lt;=DispositionMonth,E177,0)</f>
        <v>0</v>
      </c>
      <c r="F224" s="407">
        <f t="shared" ca="1" si="377"/>
        <v>0</v>
      </c>
      <c r="G224" s="407">
        <f t="shared" ca="1" si="377"/>
        <v>0</v>
      </c>
      <c r="H224" s="407">
        <f t="shared" ca="1" si="377"/>
        <v>0</v>
      </c>
      <c r="I224" s="407">
        <f t="shared" ca="1" si="377"/>
        <v>0</v>
      </c>
      <c r="J224" s="407">
        <f t="shared" ca="1" si="377"/>
        <v>0</v>
      </c>
      <c r="K224" s="407">
        <f t="shared" ca="1" si="377"/>
        <v>0</v>
      </c>
      <c r="L224" s="407">
        <f t="shared" ca="1" si="377"/>
        <v>0</v>
      </c>
      <c r="M224" s="407">
        <f t="shared" ca="1" si="377"/>
        <v>0</v>
      </c>
      <c r="N224" s="407">
        <f t="shared" ca="1" si="377"/>
        <v>0</v>
      </c>
      <c r="O224" s="407">
        <f t="shared" ca="1" si="377"/>
        <v>0</v>
      </c>
      <c r="P224" s="407">
        <f t="shared" ca="1" si="377"/>
        <v>0</v>
      </c>
      <c r="Q224" s="407">
        <f t="shared" ca="1" si="377"/>
        <v>0</v>
      </c>
      <c r="R224" s="407">
        <f t="shared" ca="1" si="377"/>
        <v>0</v>
      </c>
      <c r="S224" s="407">
        <f t="shared" ca="1" si="377"/>
        <v>0</v>
      </c>
      <c r="T224" s="407">
        <f t="shared" ca="1" si="377"/>
        <v>0</v>
      </c>
      <c r="U224" s="407">
        <f t="shared" ca="1" si="377"/>
        <v>0</v>
      </c>
      <c r="V224" s="407">
        <f t="shared" ca="1" si="377"/>
        <v>0</v>
      </c>
      <c r="W224" s="407">
        <f t="shared" ca="1" si="377"/>
        <v>0</v>
      </c>
      <c r="X224" s="407">
        <f t="shared" ca="1" si="377"/>
        <v>0</v>
      </c>
      <c r="Y224" s="407">
        <f t="shared" ca="1" si="377"/>
        <v>0</v>
      </c>
      <c r="Z224" s="407">
        <f t="shared" ca="1" si="377"/>
        <v>0</v>
      </c>
      <c r="AA224" s="407">
        <f t="shared" ca="1" si="377"/>
        <v>0</v>
      </c>
      <c r="AB224" s="407">
        <f t="shared" ca="1" si="377"/>
        <v>0</v>
      </c>
      <c r="AC224" s="407">
        <f t="shared" ca="1" si="377"/>
        <v>0</v>
      </c>
      <c r="AD224" s="407">
        <f t="shared" ca="1" si="377"/>
        <v>0</v>
      </c>
      <c r="AE224" s="407">
        <f t="shared" ca="1" si="377"/>
        <v>0</v>
      </c>
      <c r="AF224" s="407">
        <f t="shared" ca="1" si="377"/>
        <v>0</v>
      </c>
      <c r="AG224" s="407">
        <f t="shared" ca="1" si="377"/>
        <v>0</v>
      </c>
      <c r="AH224" s="407">
        <f t="shared" si="377"/>
        <v>0</v>
      </c>
      <c r="AI224" s="407">
        <f t="shared" si="377"/>
        <v>0</v>
      </c>
      <c r="AJ224" s="407">
        <f t="shared" si="377"/>
        <v>0</v>
      </c>
      <c r="AK224" s="407">
        <f t="shared" ref="AK224:BP224" si="378">IF(AK$5&lt;=DispositionMonth,AK177,0)</f>
        <v>0</v>
      </c>
      <c r="AL224" s="407">
        <f t="shared" si="378"/>
        <v>0</v>
      </c>
      <c r="AM224" s="407">
        <f t="shared" si="378"/>
        <v>0</v>
      </c>
      <c r="AN224" s="407">
        <f t="shared" si="378"/>
        <v>0</v>
      </c>
      <c r="AO224" s="407">
        <f t="shared" si="378"/>
        <v>0</v>
      </c>
      <c r="AP224" s="407">
        <f t="shared" si="378"/>
        <v>0</v>
      </c>
      <c r="AQ224" s="407">
        <f t="shared" si="378"/>
        <v>0</v>
      </c>
      <c r="AR224" s="407">
        <f t="shared" si="378"/>
        <v>0</v>
      </c>
      <c r="AS224" s="407">
        <f t="shared" si="378"/>
        <v>0</v>
      </c>
      <c r="AT224" s="407">
        <f t="shared" si="378"/>
        <v>0</v>
      </c>
      <c r="AU224" s="407">
        <f t="shared" si="378"/>
        <v>0</v>
      </c>
      <c r="AV224" s="407">
        <f t="shared" si="378"/>
        <v>0</v>
      </c>
      <c r="AW224" s="407">
        <f t="shared" si="378"/>
        <v>0</v>
      </c>
      <c r="AX224" s="407">
        <f t="shared" si="378"/>
        <v>0</v>
      </c>
      <c r="AY224" s="407">
        <f t="shared" si="378"/>
        <v>0</v>
      </c>
      <c r="AZ224" s="407">
        <f t="shared" si="378"/>
        <v>0</v>
      </c>
      <c r="BA224" s="407">
        <f t="shared" si="378"/>
        <v>0</v>
      </c>
      <c r="BB224" s="407">
        <f t="shared" si="378"/>
        <v>0</v>
      </c>
      <c r="BC224" s="407">
        <f t="shared" si="378"/>
        <v>0</v>
      </c>
      <c r="BD224" s="407">
        <f t="shared" si="378"/>
        <v>0</v>
      </c>
      <c r="BE224" s="407">
        <f t="shared" si="378"/>
        <v>0</v>
      </c>
      <c r="BF224" s="407">
        <f t="shared" si="378"/>
        <v>0</v>
      </c>
      <c r="BG224" s="407">
        <f t="shared" si="378"/>
        <v>0</v>
      </c>
      <c r="BH224" s="407">
        <f t="shared" si="378"/>
        <v>0</v>
      </c>
      <c r="BI224" s="407">
        <f t="shared" si="378"/>
        <v>0</v>
      </c>
      <c r="BJ224" s="407">
        <f t="shared" si="378"/>
        <v>0</v>
      </c>
      <c r="BK224" s="407">
        <f t="shared" si="378"/>
        <v>0</v>
      </c>
      <c r="BL224" s="407">
        <f t="shared" si="378"/>
        <v>0</v>
      </c>
      <c r="BM224" s="407">
        <f t="shared" si="378"/>
        <v>0</v>
      </c>
      <c r="BN224" s="407">
        <f t="shared" si="378"/>
        <v>0</v>
      </c>
      <c r="BO224" s="407">
        <f t="shared" si="378"/>
        <v>0</v>
      </c>
      <c r="BP224" s="407">
        <f t="shared" si="378"/>
        <v>0</v>
      </c>
      <c r="BQ224" s="407">
        <f t="shared" ref="BQ224:CV224" si="379">IF(BQ$5&lt;=DispositionMonth,BQ177,0)</f>
        <v>0</v>
      </c>
      <c r="BR224" s="407">
        <f t="shared" si="379"/>
        <v>0</v>
      </c>
      <c r="BS224" s="407">
        <f t="shared" si="379"/>
        <v>0</v>
      </c>
      <c r="BT224" s="407">
        <f t="shared" si="379"/>
        <v>0</v>
      </c>
      <c r="BU224" s="407">
        <f t="shared" si="379"/>
        <v>0</v>
      </c>
      <c r="BV224" s="407">
        <f t="shared" si="379"/>
        <v>0</v>
      </c>
      <c r="BW224" s="407">
        <f t="shared" si="379"/>
        <v>0</v>
      </c>
      <c r="BX224" s="407">
        <f t="shared" si="379"/>
        <v>0</v>
      </c>
      <c r="BY224" s="407">
        <f t="shared" si="379"/>
        <v>0</v>
      </c>
      <c r="BZ224" s="407">
        <f t="shared" si="379"/>
        <v>0</v>
      </c>
      <c r="CA224" s="407">
        <f t="shared" si="379"/>
        <v>0</v>
      </c>
      <c r="CB224" s="407">
        <f t="shared" si="379"/>
        <v>0</v>
      </c>
      <c r="CC224" s="407">
        <f t="shared" si="379"/>
        <v>0</v>
      </c>
      <c r="CD224" s="407">
        <f t="shared" si="379"/>
        <v>0</v>
      </c>
      <c r="CE224" s="407">
        <f t="shared" si="379"/>
        <v>0</v>
      </c>
      <c r="CF224" s="407">
        <f t="shared" si="379"/>
        <v>0</v>
      </c>
      <c r="CG224" s="407">
        <f t="shared" si="379"/>
        <v>0</v>
      </c>
      <c r="CH224" s="407">
        <f t="shared" si="379"/>
        <v>0</v>
      </c>
      <c r="CI224" s="407">
        <f t="shared" si="379"/>
        <v>0</v>
      </c>
      <c r="CJ224" s="407">
        <f t="shared" si="379"/>
        <v>0</v>
      </c>
      <c r="CK224" s="407">
        <f t="shared" si="379"/>
        <v>0</v>
      </c>
      <c r="CL224" s="407">
        <f t="shared" si="379"/>
        <v>0</v>
      </c>
      <c r="CM224" s="407">
        <f t="shared" si="379"/>
        <v>0</v>
      </c>
      <c r="CN224" s="407">
        <f t="shared" si="379"/>
        <v>0</v>
      </c>
      <c r="CO224" s="407">
        <f t="shared" si="379"/>
        <v>0</v>
      </c>
      <c r="CP224" s="407">
        <f t="shared" si="379"/>
        <v>0</v>
      </c>
      <c r="CQ224" s="407">
        <f t="shared" si="379"/>
        <v>0</v>
      </c>
      <c r="CR224" s="407">
        <f t="shared" si="379"/>
        <v>0</v>
      </c>
      <c r="CS224" s="407">
        <f t="shared" si="379"/>
        <v>0</v>
      </c>
      <c r="CT224" s="407">
        <f t="shared" si="379"/>
        <v>0</v>
      </c>
      <c r="CU224" s="407">
        <f t="shared" si="379"/>
        <v>0</v>
      </c>
      <c r="CV224" s="407">
        <f t="shared" si="379"/>
        <v>0</v>
      </c>
      <c r="CW224" s="407">
        <f t="shared" ref="CW224:DU224" si="380">IF(CW$5&lt;=DispositionMonth,CW177,0)</f>
        <v>0</v>
      </c>
      <c r="CX224" s="407">
        <f t="shared" si="380"/>
        <v>0</v>
      </c>
      <c r="CY224" s="407">
        <f t="shared" si="380"/>
        <v>0</v>
      </c>
      <c r="CZ224" s="407">
        <f t="shared" si="380"/>
        <v>0</v>
      </c>
      <c r="DA224" s="407">
        <f t="shared" si="380"/>
        <v>0</v>
      </c>
      <c r="DB224" s="407">
        <f t="shared" si="380"/>
        <v>0</v>
      </c>
      <c r="DC224" s="407">
        <f t="shared" si="380"/>
        <v>0</v>
      </c>
      <c r="DD224" s="407">
        <f t="shared" si="380"/>
        <v>0</v>
      </c>
      <c r="DE224" s="407">
        <f t="shared" si="380"/>
        <v>0</v>
      </c>
      <c r="DF224" s="407">
        <f t="shared" si="380"/>
        <v>0</v>
      </c>
      <c r="DG224" s="407">
        <f t="shared" si="380"/>
        <v>0</v>
      </c>
      <c r="DH224" s="407">
        <f t="shared" si="380"/>
        <v>0</v>
      </c>
      <c r="DI224" s="407">
        <f t="shared" si="380"/>
        <v>0</v>
      </c>
      <c r="DJ224" s="407">
        <f t="shared" si="380"/>
        <v>0</v>
      </c>
      <c r="DK224" s="407">
        <f t="shared" si="380"/>
        <v>0</v>
      </c>
      <c r="DL224" s="407">
        <f t="shared" si="380"/>
        <v>0</v>
      </c>
      <c r="DM224" s="407">
        <f t="shared" si="380"/>
        <v>0</v>
      </c>
      <c r="DN224" s="407">
        <f t="shared" si="380"/>
        <v>0</v>
      </c>
      <c r="DO224" s="407">
        <f t="shared" si="380"/>
        <v>0</v>
      </c>
      <c r="DP224" s="407">
        <f t="shared" si="380"/>
        <v>0</v>
      </c>
      <c r="DQ224" s="407">
        <f t="shared" si="380"/>
        <v>0</v>
      </c>
      <c r="DR224" s="407">
        <f t="shared" si="380"/>
        <v>0</v>
      </c>
      <c r="DS224" s="407">
        <f t="shared" si="380"/>
        <v>0</v>
      </c>
      <c r="DT224" s="407">
        <f t="shared" si="380"/>
        <v>0</v>
      </c>
      <c r="DU224" s="407">
        <f t="shared" si="380"/>
        <v>0</v>
      </c>
      <c r="EH224" s="644"/>
      <c r="EI224" s="280"/>
    </row>
    <row r="225" spans="1:139" x14ac:dyDescent="0.3">
      <c r="A225" s="182" t="str">
        <f>'General Inputs'!$L$29&amp;" Pref Paid From Cash Flows"</f>
        <v>LAND Pref Paid From Cash Flows</v>
      </c>
      <c r="B225" s="182"/>
      <c r="C225" s="182"/>
      <c r="D225" s="685"/>
      <c r="E225" s="407">
        <f t="shared" ref="E225:AJ225" ca="1" si="381">IF(E$5&lt;=DispositionMonth,-E$99,0)</f>
        <v>0</v>
      </c>
      <c r="F225" s="407">
        <f t="shared" ca="1" si="381"/>
        <v>0</v>
      </c>
      <c r="G225" s="407">
        <f t="shared" ca="1" si="381"/>
        <v>0</v>
      </c>
      <c r="H225" s="407">
        <f t="shared" ca="1" si="381"/>
        <v>0</v>
      </c>
      <c r="I225" s="407">
        <f t="shared" ca="1" si="381"/>
        <v>0</v>
      </c>
      <c r="J225" s="407">
        <f t="shared" ca="1" si="381"/>
        <v>0</v>
      </c>
      <c r="K225" s="407">
        <f t="shared" ca="1" si="381"/>
        <v>0</v>
      </c>
      <c r="L225" s="407">
        <f t="shared" ca="1" si="381"/>
        <v>0</v>
      </c>
      <c r="M225" s="407">
        <f t="shared" ca="1" si="381"/>
        <v>0</v>
      </c>
      <c r="N225" s="407">
        <f t="shared" ca="1" si="381"/>
        <v>0</v>
      </c>
      <c r="O225" s="407">
        <f t="shared" ca="1" si="381"/>
        <v>0</v>
      </c>
      <c r="P225" s="407">
        <f t="shared" ca="1" si="381"/>
        <v>0</v>
      </c>
      <c r="Q225" s="407">
        <f t="shared" ca="1" si="381"/>
        <v>0</v>
      </c>
      <c r="R225" s="407">
        <f t="shared" ca="1" si="381"/>
        <v>0</v>
      </c>
      <c r="S225" s="407">
        <f t="shared" ca="1" si="381"/>
        <v>0</v>
      </c>
      <c r="T225" s="407">
        <f t="shared" ca="1" si="381"/>
        <v>0</v>
      </c>
      <c r="U225" s="407">
        <f t="shared" ca="1" si="381"/>
        <v>0</v>
      </c>
      <c r="V225" s="407">
        <f t="shared" ca="1" si="381"/>
        <v>0</v>
      </c>
      <c r="W225" s="407">
        <f t="shared" ca="1" si="381"/>
        <v>0</v>
      </c>
      <c r="X225" s="407">
        <f t="shared" ca="1" si="381"/>
        <v>0</v>
      </c>
      <c r="Y225" s="407">
        <f t="shared" ca="1" si="381"/>
        <v>0</v>
      </c>
      <c r="Z225" s="407">
        <f t="shared" ca="1" si="381"/>
        <v>0</v>
      </c>
      <c r="AA225" s="407">
        <f t="shared" ca="1" si="381"/>
        <v>0</v>
      </c>
      <c r="AB225" s="407">
        <f t="shared" ca="1" si="381"/>
        <v>0</v>
      </c>
      <c r="AC225" s="407">
        <f t="shared" ca="1" si="381"/>
        <v>0</v>
      </c>
      <c r="AD225" s="407">
        <f t="shared" ca="1" si="381"/>
        <v>0</v>
      </c>
      <c r="AE225" s="407">
        <f t="shared" ca="1" si="381"/>
        <v>0</v>
      </c>
      <c r="AF225" s="407">
        <f t="shared" ca="1" si="381"/>
        <v>0</v>
      </c>
      <c r="AG225" s="407">
        <f t="shared" ca="1" si="381"/>
        <v>0</v>
      </c>
      <c r="AH225" s="407">
        <f t="shared" si="381"/>
        <v>0</v>
      </c>
      <c r="AI225" s="407">
        <f t="shared" si="381"/>
        <v>0</v>
      </c>
      <c r="AJ225" s="407">
        <f t="shared" si="381"/>
        <v>0</v>
      </c>
      <c r="AK225" s="407">
        <f t="shared" ref="AK225:BP225" si="382">IF(AK$5&lt;=DispositionMonth,-AK$99,0)</f>
        <v>0</v>
      </c>
      <c r="AL225" s="407">
        <f t="shared" si="382"/>
        <v>0</v>
      </c>
      <c r="AM225" s="407">
        <f t="shared" si="382"/>
        <v>0</v>
      </c>
      <c r="AN225" s="407">
        <f t="shared" si="382"/>
        <v>0</v>
      </c>
      <c r="AO225" s="407">
        <f t="shared" si="382"/>
        <v>0</v>
      </c>
      <c r="AP225" s="407">
        <f t="shared" si="382"/>
        <v>0</v>
      </c>
      <c r="AQ225" s="407">
        <f t="shared" si="382"/>
        <v>0</v>
      </c>
      <c r="AR225" s="407">
        <f t="shared" si="382"/>
        <v>0</v>
      </c>
      <c r="AS225" s="407">
        <f t="shared" si="382"/>
        <v>0</v>
      </c>
      <c r="AT225" s="407">
        <f t="shared" si="382"/>
        <v>0</v>
      </c>
      <c r="AU225" s="407">
        <f t="shared" si="382"/>
        <v>0</v>
      </c>
      <c r="AV225" s="407">
        <f t="shared" si="382"/>
        <v>0</v>
      </c>
      <c r="AW225" s="407">
        <f t="shared" si="382"/>
        <v>0</v>
      </c>
      <c r="AX225" s="407">
        <f t="shared" si="382"/>
        <v>0</v>
      </c>
      <c r="AY225" s="407">
        <f t="shared" si="382"/>
        <v>0</v>
      </c>
      <c r="AZ225" s="407">
        <f t="shared" si="382"/>
        <v>0</v>
      </c>
      <c r="BA225" s="407">
        <f t="shared" si="382"/>
        <v>0</v>
      </c>
      <c r="BB225" s="407">
        <f t="shared" si="382"/>
        <v>0</v>
      </c>
      <c r="BC225" s="407">
        <f t="shared" si="382"/>
        <v>0</v>
      </c>
      <c r="BD225" s="407">
        <f t="shared" si="382"/>
        <v>0</v>
      </c>
      <c r="BE225" s="407">
        <f t="shared" si="382"/>
        <v>0</v>
      </c>
      <c r="BF225" s="407">
        <f t="shared" si="382"/>
        <v>0</v>
      </c>
      <c r="BG225" s="407">
        <f t="shared" si="382"/>
        <v>0</v>
      </c>
      <c r="BH225" s="407">
        <f t="shared" si="382"/>
        <v>0</v>
      </c>
      <c r="BI225" s="407">
        <f t="shared" si="382"/>
        <v>0</v>
      </c>
      <c r="BJ225" s="407">
        <f t="shared" si="382"/>
        <v>0</v>
      </c>
      <c r="BK225" s="407">
        <f t="shared" si="382"/>
        <v>0</v>
      </c>
      <c r="BL225" s="407">
        <f t="shared" si="382"/>
        <v>0</v>
      </c>
      <c r="BM225" s="407">
        <f t="shared" si="382"/>
        <v>0</v>
      </c>
      <c r="BN225" s="407">
        <f t="shared" si="382"/>
        <v>0</v>
      </c>
      <c r="BO225" s="407">
        <f t="shared" si="382"/>
        <v>0</v>
      </c>
      <c r="BP225" s="407">
        <f t="shared" si="382"/>
        <v>0</v>
      </c>
      <c r="BQ225" s="407">
        <f t="shared" ref="BQ225:CV225" si="383">IF(BQ$5&lt;=DispositionMonth,-BQ$99,0)</f>
        <v>0</v>
      </c>
      <c r="BR225" s="407">
        <f t="shared" si="383"/>
        <v>0</v>
      </c>
      <c r="BS225" s="407">
        <f t="shared" si="383"/>
        <v>0</v>
      </c>
      <c r="BT225" s="407">
        <f t="shared" si="383"/>
        <v>0</v>
      </c>
      <c r="BU225" s="407">
        <f t="shared" si="383"/>
        <v>0</v>
      </c>
      <c r="BV225" s="407">
        <f t="shared" si="383"/>
        <v>0</v>
      </c>
      <c r="BW225" s="407">
        <f t="shared" si="383"/>
        <v>0</v>
      </c>
      <c r="BX225" s="407">
        <f t="shared" si="383"/>
        <v>0</v>
      </c>
      <c r="BY225" s="407">
        <f t="shared" si="383"/>
        <v>0</v>
      </c>
      <c r="BZ225" s="407">
        <f t="shared" si="383"/>
        <v>0</v>
      </c>
      <c r="CA225" s="407">
        <f t="shared" si="383"/>
        <v>0</v>
      </c>
      <c r="CB225" s="407">
        <f t="shared" si="383"/>
        <v>0</v>
      </c>
      <c r="CC225" s="407">
        <f t="shared" si="383"/>
        <v>0</v>
      </c>
      <c r="CD225" s="407">
        <f t="shared" si="383"/>
        <v>0</v>
      </c>
      <c r="CE225" s="407">
        <f t="shared" si="383"/>
        <v>0</v>
      </c>
      <c r="CF225" s="407">
        <f t="shared" si="383"/>
        <v>0</v>
      </c>
      <c r="CG225" s="407">
        <f t="shared" si="383"/>
        <v>0</v>
      </c>
      <c r="CH225" s="407">
        <f t="shared" si="383"/>
        <v>0</v>
      </c>
      <c r="CI225" s="407">
        <f t="shared" si="383"/>
        <v>0</v>
      </c>
      <c r="CJ225" s="407">
        <f t="shared" si="383"/>
        <v>0</v>
      </c>
      <c r="CK225" s="407">
        <f t="shared" si="383"/>
        <v>0</v>
      </c>
      <c r="CL225" s="407">
        <f t="shared" si="383"/>
        <v>0</v>
      </c>
      <c r="CM225" s="407">
        <f t="shared" si="383"/>
        <v>0</v>
      </c>
      <c r="CN225" s="407">
        <f t="shared" si="383"/>
        <v>0</v>
      </c>
      <c r="CO225" s="407">
        <f t="shared" si="383"/>
        <v>0</v>
      </c>
      <c r="CP225" s="407">
        <f t="shared" si="383"/>
        <v>0</v>
      </c>
      <c r="CQ225" s="407">
        <f t="shared" si="383"/>
        <v>0</v>
      </c>
      <c r="CR225" s="407">
        <f t="shared" si="383"/>
        <v>0</v>
      </c>
      <c r="CS225" s="407">
        <f t="shared" si="383"/>
        <v>0</v>
      </c>
      <c r="CT225" s="407">
        <f t="shared" si="383"/>
        <v>0</v>
      </c>
      <c r="CU225" s="407">
        <f t="shared" si="383"/>
        <v>0</v>
      </c>
      <c r="CV225" s="407">
        <f t="shared" si="383"/>
        <v>0</v>
      </c>
      <c r="CW225" s="407">
        <f t="shared" ref="CW225:DU225" si="384">IF(CW$5&lt;=DispositionMonth,-CW$99,0)</f>
        <v>0</v>
      </c>
      <c r="CX225" s="407">
        <f t="shared" si="384"/>
        <v>0</v>
      </c>
      <c r="CY225" s="407">
        <f t="shared" si="384"/>
        <v>0</v>
      </c>
      <c r="CZ225" s="407">
        <f t="shared" si="384"/>
        <v>0</v>
      </c>
      <c r="DA225" s="407">
        <f t="shared" si="384"/>
        <v>0</v>
      </c>
      <c r="DB225" s="407">
        <f t="shared" si="384"/>
        <v>0</v>
      </c>
      <c r="DC225" s="407">
        <f t="shared" si="384"/>
        <v>0</v>
      </c>
      <c r="DD225" s="407">
        <f t="shared" si="384"/>
        <v>0</v>
      </c>
      <c r="DE225" s="407">
        <f t="shared" si="384"/>
        <v>0</v>
      </c>
      <c r="DF225" s="407">
        <f t="shared" si="384"/>
        <v>0</v>
      </c>
      <c r="DG225" s="407">
        <f t="shared" si="384"/>
        <v>0</v>
      </c>
      <c r="DH225" s="407">
        <f t="shared" si="384"/>
        <v>0</v>
      </c>
      <c r="DI225" s="407">
        <f t="shared" si="384"/>
        <v>0</v>
      </c>
      <c r="DJ225" s="407">
        <f t="shared" si="384"/>
        <v>0</v>
      </c>
      <c r="DK225" s="407">
        <f t="shared" si="384"/>
        <v>0</v>
      </c>
      <c r="DL225" s="407">
        <f t="shared" si="384"/>
        <v>0</v>
      </c>
      <c r="DM225" s="407">
        <f t="shared" si="384"/>
        <v>0</v>
      </c>
      <c r="DN225" s="407">
        <f t="shared" si="384"/>
        <v>0</v>
      </c>
      <c r="DO225" s="407">
        <f t="shared" si="384"/>
        <v>0</v>
      </c>
      <c r="DP225" s="407">
        <f t="shared" si="384"/>
        <v>0</v>
      </c>
      <c r="DQ225" s="407">
        <f t="shared" si="384"/>
        <v>0</v>
      </c>
      <c r="DR225" s="407">
        <f t="shared" si="384"/>
        <v>0</v>
      </c>
      <c r="DS225" s="407">
        <f t="shared" si="384"/>
        <v>0</v>
      </c>
      <c r="DT225" s="407">
        <f t="shared" si="384"/>
        <v>0</v>
      </c>
      <c r="DU225" s="407">
        <f t="shared" si="384"/>
        <v>0</v>
      </c>
      <c r="EH225" s="644"/>
      <c r="EI225" s="280"/>
    </row>
    <row r="226" spans="1:139" x14ac:dyDescent="0.3">
      <c r="A226" s="182" t="str">
        <f>'General Inputs'!$L$29&amp;" Pref Paid From Refi"</f>
        <v>LAND Pref Paid From Refi</v>
      </c>
      <c r="B226" s="182"/>
      <c r="C226" s="182"/>
      <c r="D226" s="685"/>
      <c r="E226" s="407">
        <f t="shared" ref="E226:AJ226" si="385">IF(E$5&lt;=DispositionMonth,-E$101,0)</f>
        <v>0</v>
      </c>
      <c r="F226" s="407">
        <f t="shared" si="385"/>
        <v>0</v>
      </c>
      <c r="G226" s="407">
        <f t="shared" si="385"/>
        <v>0</v>
      </c>
      <c r="H226" s="407">
        <f t="shared" si="385"/>
        <v>0</v>
      </c>
      <c r="I226" s="407">
        <f t="shared" si="385"/>
        <v>0</v>
      </c>
      <c r="J226" s="407">
        <f t="shared" si="385"/>
        <v>0</v>
      </c>
      <c r="K226" s="407">
        <f t="shared" si="385"/>
        <v>0</v>
      </c>
      <c r="L226" s="407">
        <f t="shared" si="385"/>
        <v>0</v>
      </c>
      <c r="M226" s="407">
        <f t="shared" si="385"/>
        <v>0</v>
      </c>
      <c r="N226" s="407">
        <f t="shared" si="385"/>
        <v>0</v>
      </c>
      <c r="O226" s="407">
        <f t="shared" si="385"/>
        <v>0</v>
      </c>
      <c r="P226" s="407">
        <f t="shared" si="385"/>
        <v>0</v>
      </c>
      <c r="Q226" s="407">
        <f t="shared" si="385"/>
        <v>0</v>
      </c>
      <c r="R226" s="407">
        <f t="shared" si="385"/>
        <v>0</v>
      </c>
      <c r="S226" s="407">
        <f t="shared" si="385"/>
        <v>0</v>
      </c>
      <c r="T226" s="407">
        <f t="shared" si="385"/>
        <v>0</v>
      </c>
      <c r="U226" s="407">
        <f t="shared" si="385"/>
        <v>0</v>
      </c>
      <c r="V226" s="407">
        <f t="shared" si="385"/>
        <v>0</v>
      </c>
      <c r="W226" s="407">
        <f t="shared" si="385"/>
        <v>0</v>
      </c>
      <c r="X226" s="407">
        <f t="shared" si="385"/>
        <v>0</v>
      </c>
      <c r="Y226" s="407">
        <f t="shared" si="385"/>
        <v>0</v>
      </c>
      <c r="Z226" s="407">
        <f t="shared" si="385"/>
        <v>0</v>
      </c>
      <c r="AA226" s="407">
        <f t="shared" si="385"/>
        <v>0</v>
      </c>
      <c r="AB226" s="407">
        <f t="shared" si="385"/>
        <v>0</v>
      </c>
      <c r="AC226" s="407">
        <f t="shared" si="385"/>
        <v>0</v>
      </c>
      <c r="AD226" s="407">
        <f t="shared" si="385"/>
        <v>0</v>
      </c>
      <c r="AE226" s="407">
        <f t="shared" si="385"/>
        <v>0</v>
      </c>
      <c r="AF226" s="407">
        <f t="shared" si="385"/>
        <v>0</v>
      </c>
      <c r="AG226" s="407">
        <f t="shared" si="385"/>
        <v>0</v>
      </c>
      <c r="AH226" s="407">
        <f t="shared" si="385"/>
        <v>0</v>
      </c>
      <c r="AI226" s="407">
        <f t="shared" si="385"/>
        <v>0</v>
      </c>
      <c r="AJ226" s="407">
        <f t="shared" si="385"/>
        <v>0</v>
      </c>
      <c r="AK226" s="407">
        <f t="shared" ref="AK226:BP226" si="386">IF(AK$5&lt;=DispositionMonth,-AK$101,0)</f>
        <v>0</v>
      </c>
      <c r="AL226" s="407">
        <f t="shared" si="386"/>
        <v>0</v>
      </c>
      <c r="AM226" s="407">
        <f t="shared" si="386"/>
        <v>0</v>
      </c>
      <c r="AN226" s="407">
        <f t="shared" si="386"/>
        <v>0</v>
      </c>
      <c r="AO226" s="407">
        <f t="shared" si="386"/>
        <v>0</v>
      </c>
      <c r="AP226" s="407">
        <f t="shared" si="386"/>
        <v>0</v>
      </c>
      <c r="AQ226" s="407">
        <f t="shared" si="386"/>
        <v>0</v>
      </c>
      <c r="AR226" s="407">
        <f t="shared" si="386"/>
        <v>0</v>
      </c>
      <c r="AS226" s="407">
        <f t="shared" si="386"/>
        <v>0</v>
      </c>
      <c r="AT226" s="407">
        <f t="shared" si="386"/>
        <v>0</v>
      </c>
      <c r="AU226" s="407">
        <f t="shared" si="386"/>
        <v>0</v>
      </c>
      <c r="AV226" s="407">
        <f t="shared" si="386"/>
        <v>0</v>
      </c>
      <c r="AW226" s="407">
        <f t="shared" si="386"/>
        <v>0</v>
      </c>
      <c r="AX226" s="407">
        <f t="shared" si="386"/>
        <v>0</v>
      </c>
      <c r="AY226" s="407">
        <f t="shared" si="386"/>
        <v>0</v>
      </c>
      <c r="AZ226" s="407">
        <f t="shared" si="386"/>
        <v>0</v>
      </c>
      <c r="BA226" s="407">
        <f t="shared" si="386"/>
        <v>0</v>
      </c>
      <c r="BB226" s="407">
        <f t="shared" si="386"/>
        <v>0</v>
      </c>
      <c r="BC226" s="407">
        <f t="shared" si="386"/>
        <v>0</v>
      </c>
      <c r="BD226" s="407">
        <f t="shared" si="386"/>
        <v>0</v>
      </c>
      <c r="BE226" s="407">
        <f t="shared" si="386"/>
        <v>0</v>
      </c>
      <c r="BF226" s="407">
        <f t="shared" si="386"/>
        <v>0</v>
      </c>
      <c r="BG226" s="407">
        <f t="shared" si="386"/>
        <v>0</v>
      </c>
      <c r="BH226" s="407">
        <f t="shared" si="386"/>
        <v>0</v>
      </c>
      <c r="BI226" s="407">
        <f t="shared" si="386"/>
        <v>0</v>
      </c>
      <c r="BJ226" s="407">
        <f t="shared" si="386"/>
        <v>0</v>
      </c>
      <c r="BK226" s="407">
        <f t="shared" si="386"/>
        <v>0</v>
      </c>
      <c r="BL226" s="407">
        <f t="shared" si="386"/>
        <v>0</v>
      </c>
      <c r="BM226" s="407">
        <f t="shared" si="386"/>
        <v>0</v>
      </c>
      <c r="BN226" s="407">
        <f t="shared" si="386"/>
        <v>0</v>
      </c>
      <c r="BO226" s="407">
        <f t="shared" si="386"/>
        <v>0</v>
      </c>
      <c r="BP226" s="407">
        <f t="shared" si="386"/>
        <v>0</v>
      </c>
      <c r="BQ226" s="407">
        <f t="shared" ref="BQ226:CV226" si="387">IF(BQ$5&lt;=DispositionMonth,-BQ$101,0)</f>
        <v>0</v>
      </c>
      <c r="BR226" s="407">
        <f t="shared" si="387"/>
        <v>0</v>
      </c>
      <c r="BS226" s="407">
        <f t="shared" si="387"/>
        <v>0</v>
      </c>
      <c r="BT226" s="407">
        <f t="shared" si="387"/>
        <v>0</v>
      </c>
      <c r="BU226" s="407">
        <f t="shared" si="387"/>
        <v>0</v>
      </c>
      <c r="BV226" s="407">
        <f t="shared" si="387"/>
        <v>0</v>
      </c>
      <c r="BW226" s="407">
        <f t="shared" si="387"/>
        <v>0</v>
      </c>
      <c r="BX226" s="407">
        <f t="shared" si="387"/>
        <v>0</v>
      </c>
      <c r="BY226" s="407">
        <f t="shared" si="387"/>
        <v>0</v>
      </c>
      <c r="BZ226" s="407">
        <f t="shared" si="387"/>
        <v>0</v>
      </c>
      <c r="CA226" s="407">
        <f t="shared" si="387"/>
        <v>0</v>
      </c>
      <c r="CB226" s="407">
        <f t="shared" si="387"/>
        <v>0</v>
      </c>
      <c r="CC226" s="407">
        <f t="shared" si="387"/>
        <v>0</v>
      </c>
      <c r="CD226" s="407">
        <f t="shared" si="387"/>
        <v>0</v>
      </c>
      <c r="CE226" s="407">
        <f t="shared" si="387"/>
        <v>0</v>
      </c>
      <c r="CF226" s="407">
        <f t="shared" si="387"/>
        <v>0</v>
      </c>
      <c r="CG226" s="407">
        <f t="shared" si="387"/>
        <v>0</v>
      </c>
      <c r="CH226" s="407">
        <f t="shared" si="387"/>
        <v>0</v>
      </c>
      <c r="CI226" s="407">
        <f t="shared" si="387"/>
        <v>0</v>
      </c>
      <c r="CJ226" s="407">
        <f t="shared" si="387"/>
        <v>0</v>
      </c>
      <c r="CK226" s="407">
        <f t="shared" si="387"/>
        <v>0</v>
      </c>
      <c r="CL226" s="407">
        <f t="shared" si="387"/>
        <v>0</v>
      </c>
      <c r="CM226" s="407">
        <f t="shared" si="387"/>
        <v>0</v>
      </c>
      <c r="CN226" s="407">
        <f t="shared" si="387"/>
        <v>0</v>
      </c>
      <c r="CO226" s="407">
        <f t="shared" si="387"/>
        <v>0</v>
      </c>
      <c r="CP226" s="407">
        <f t="shared" si="387"/>
        <v>0</v>
      </c>
      <c r="CQ226" s="407">
        <f t="shared" si="387"/>
        <v>0</v>
      </c>
      <c r="CR226" s="407">
        <f t="shared" si="387"/>
        <v>0</v>
      </c>
      <c r="CS226" s="407">
        <f t="shared" si="387"/>
        <v>0</v>
      </c>
      <c r="CT226" s="407">
        <f t="shared" si="387"/>
        <v>0</v>
      </c>
      <c r="CU226" s="407">
        <f t="shared" si="387"/>
        <v>0</v>
      </c>
      <c r="CV226" s="407">
        <f t="shared" si="387"/>
        <v>0</v>
      </c>
      <c r="CW226" s="407">
        <f t="shared" ref="CW226:DU226" si="388">IF(CW$5&lt;=DispositionMonth,-CW$101,0)</f>
        <v>0</v>
      </c>
      <c r="CX226" s="407">
        <f t="shared" si="388"/>
        <v>0</v>
      </c>
      <c r="CY226" s="407">
        <f t="shared" si="388"/>
        <v>0</v>
      </c>
      <c r="CZ226" s="407">
        <f t="shared" si="388"/>
        <v>0</v>
      </c>
      <c r="DA226" s="407">
        <f t="shared" si="388"/>
        <v>0</v>
      </c>
      <c r="DB226" s="407">
        <f t="shared" si="388"/>
        <v>0</v>
      </c>
      <c r="DC226" s="407">
        <f t="shared" si="388"/>
        <v>0</v>
      </c>
      <c r="DD226" s="407">
        <f t="shared" si="388"/>
        <v>0</v>
      </c>
      <c r="DE226" s="407">
        <f t="shared" si="388"/>
        <v>0</v>
      </c>
      <c r="DF226" s="407">
        <f t="shared" si="388"/>
        <v>0</v>
      </c>
      <c r="DG226" s="407">
        <f t="shared" si="388"/>
        <v>0</v>
      </c>
      <c r="DH226" s="407">
        <f t="shared" si="388"/>
        <v>0</v>
      </c>
      <c r="DI226" s="407">
        <f t="shared" si="388"/>
        <v>0</v>
      </c>
      <c r="DJ226" s="407">
        <f t="shared" si="388"/>
        <v>0</v>
      </c>
      <c r="DK226" s="407">
        <f t="shared" si="388"/>
        <v>0</v>
      </c>
      <c r="DL226" s="407">
        <f t="shared" si="388"/>
        <v>0</v>
      </c>
      <c r="DM226" s="407">
        <f t="shared" si="388"/>
        <v>0</v>
      </c>
      <c r="DN226" s="407">
        <f t="shared" si="388"/>
        <v>0</v>
      </c>
      <c r="DO226" s="407">
        <f t="shared" si="388"/>
        <v>0</v>
      </c>
      <c r="DP226" s="407">
        <f t="shared" si="388"/>
        <v>0</v>
      </c>
      <c r="DQ226" s="407">
        <f t="shared" si="388"/>
        <v>0</v>
      </c>
      <c r="DR226" s="407">
        <f t="shared" si="388"/>
        <v>0</v>
      </c>
      <c r="DS226" s="407">
        <f t="shared" si="388"/>
        <v>0</v>
      </c>
      <c r="DT226" s="407">
        <f t="shared" si="388"/>
        <v>0</v>
      </c>
      <c r="DU226" s="407">
        <f t="shared" si="388"/>
        <v>0</v>
      </c>
      <c r="EH226" s="644"/>
      <c r="EI226" s="722"/>
    </row>
    <row r="227" spans="1:139" x14ac:dyDescent="0.3">
      <c r="A227" s="182" t="str">
        <f>'General Inputs'!$L$29&amp;" Contribution Returned From Refi"</f>
        <v>LAND Contribution Returned From Refi</v>
      </c>
      <c r="B227" s="182"/>
      <c r="C227" s="182"/>
      <c r="D227" s="685"/>
      <c r="E227" s="407">
        <f t="shared" ref="E227:AJ227" si="389">IF(E$5&lt;=DispositionMonth,-E$103,0)</f>
        <v>0</v>
      </c>
      <c r="F227" s="407">
        <f t="shared" si="389"/>
        <v>0</v>
      </c>
      <c r="G227" s="407">
        <f t="shared" si="389"/>
        <v>0</v>
      </c>
      <c r="H227" s="407">
        <f t="shared" si="389"/>
        <v>0</v>
      </c>
      <c r="I227" s="407">
        <f t="shared" si="389"/>
        <v>0</v>
      </c>
      <c r="J227" s="407">
        <f t="shared" si="389"/>
        <v>0</v>
      </c>
      <c r="K227" s="407">
        <f t="shared" si="389"/>
        <v>0</v>
      </c>
      <c r="L227" s="407">
        <f t="shared" si="389"/>
        <v>0</v>
      </c>
      <c r="M227" s="407">
        <f t="shared" si="389"/>
        <v>0</v>
      </c>
      <c r="N227" s="407">
        <f t="shared" si="389"/>
        <v>0</v>
      </c>
      <c r="O227" s="407">
        <f t="shared" si="389"/>
        <v>0</v>
      </c>
      <c r="P227" s="407">
        <f t="shared" si="389"/>
        <v>0</v>
      </c>
      <c r="Q227" s="407">
        <f t="shared" si="389"/>
        <v>0</v>
      </c>
      <c r="R227" s="407">
        <f t="shared" si="389"/>
        <v>0</v>
      </c>
      <c r="S227" s="407">
        <f t="shared" si="389"/>
        <v>0</v>
      </c>
      <c r="T227" s="407">
        <f t="shared" si="389"/>
        <v>0</v>
      </c>
      <c r="U227" s="407">
        <f t="shared" si="389"/>
        <v>0</v>
      </c>
      <c r="V227" s="407">
        <f t="shared" si="389"/>
        <v>0</v>
      </c>
      <c r="W227" s="407">
        <f t="shared" si="389"/>
        <v>0</v>
      </c>
      <c r="X227" s="407">
        <f t="shared" si="389"/>
        <v>0</v>
      </c>
      <c r="Y227" s="407">
        <f t="shared" si="389"/>
        <v>0</v>
      </c>
      <c r="Z227" s="407">
        <f t="shared" si="389"/>
        <v>0</v>
      </c>
      <c r="AA227" s="407">
        <f t="shared" si="389"/>
        <v>0</v>
      </c>
      <c r="AB227" s="407">
        <f t="shared" si="389"/>
        <v>0</v>
      </c>
      <c r="AC227" s="407">
        <f t="shared" si="389"/>
        <v>0</v>
      </c>
      <c r="AD227" s="407">
        <f t="shared" si="389"/>
        <v>0</v>
      </c>
      <c r="AE227" s="407">
        <f t="shared" si="389"/>
        <v>0</v>
      </c>
      <c r="AF227" s="407">
        <f t="shared" si="389"/>
        <v>0</v>
      </c>
      <c r="AG227" s="407">
        <f t="shared" si="389"/>
        <v>0</v>
      </c>
      <c r="AH227" s="407">
        <f t="shared" si="389"/>
        <v>0</v>
      </c>
      <c r="AI227" s="407">
        <f t="shared" si="389"/>
        <v>0</v>
      </c>
      <c r="AJ227" s="407">
        <f t="shared" si="389"/>
        <v>0</v>
      </c>
      <c r="AK227" s="407">
        <f t="shared" ref="AK227:BP227" si="390">IF(AK$5&lt;=DispositionMonth,-AK$103,0)</f>
        <v>0</v>
      </c>
      <c r="AL227" s="407">
        <f t="shared" si="390"/>
        <v>0</v>
      </c>
      <c r="AM227" s="407">
        <f t="shared" si="390"/>
        <v>0</v>
      </c>
      <c r="AN227" s="407">
        <f t="shared" si="390"/>
        <v>0</v>
      </c>
      <c r="AO227" s="407">
        <f t="shared" si="390"/>
        <v>0</v>
      </c>
      <c r="AP227" s="407">
        <f t="shared" si="390"/>
        <v>0</v>
      </c>
      <c r="AQ227" s="407">
        <f t="shared" si="390"/>
        <v>0</v>
      </c>
      <c r="AR227" s="407">
        <f t="shared" si="390"/>
        <v>0</v>
      </c>
      <c r="AS227" s="407">
        <f t="shared" si="390"/>
        <v>0</v>
      </c>
      <c r="AT227" s="407">
        <f t="shared" si="390"/>
        <v>0</v>
      </c>
      <c r="AU227" s="407">
        <f t="shared" si="390"/>
        <v>0</v>
      </c>
      <c r="AV227" s="407">
        <f t="shared" si="390"/>
        <v>0</v>
      </c>
      <c r="AW227" s="407">
        <f t="shared" si="390"/>
        <v>0</v>
      </c>
      <c r="AX227" s="407">
        <f t="shared" si="390"/>
        <v>0</v>
      </c>
      <c r="AY227" s="407">
        <f t="shared" si="390"/>
        <v>0</v>
      </c>
      <c r="AZ227" s="407">
        <f t="shared" si="390"/>
        <v>0</v>
      </c>
      <c r="BA227" s="407">
        <f t="shared" si="390"/>
        <v>0</v>
      </c>
      <c r="BB227" s="407">
        <f t="shared" si="390"/>
        <v>0</v>
      </c>
      <c r="BC227" s="407">
        <f t="shared" si="390"/>
        <v>0</v>
      </c>
      <c r="BD227" s="407">
        <f t="shared" si="390"/>
        <v>0</v>
      </c>
      <c r="BE227" s="407">
        <f t="shared" si="390"/>
        <v>0</v>
      </c>
      <c r="BF227" s="407">
        <f t="shared" si="390"/>
        <v>0</v>
      </c>
      <c r="BG227" s="407">
        <f t="shared" si="390"/>
        <v>0</v>
      </c>
      <c r="BH227" s="407">
        <f t="shared" si="390"/>
        <v>0</v>
      </c>
      <c r="BI227" s="407">
        <f t="shared" si="390"/>
        <v>0</v>
      </c>
      <c r="BJ227" s="407">
        <f t="shared" si="390"/>
        <v>0</v>
      </c>
      <c r="BK227" s="407">
        <f t="shared" si="390"/>
        <v>0</v>
      </c>
      <c r="BL227" s="407">
        <f t="shared" si="390"/>
        <v>0</v>
      </c>
      <c r="BM227" s="407">
        <f t="shared" si="390"/>
        <v>0</v>
      </c>
      <c r="BN227" s="407">
        <f t="shared" si="390"/>
        <v>0</v>
      </c>
      <c r="BO227" s="407">
        <f t="shared" si="390"/>
        <v>0</v>
      </c>
      <c r="BP227" s="407">
        <f t="shared" si="390"/>
        <v>0</v>
      </c>
      <c r="BQ227" s="407">
        <f t="shared" ref="BQ227:CV227" si="391">IF(BQ$5&lt;=DispositionMonth,-BQ$103,0)</f>
        <v>0</v>
      </c>
      <c r="BR227" s="407">
        <f t="shared" si="391"/>
        <v>0</v>
      </c>
      <c r="BS227" s="407">
        <f t="shared" si="391"/>
        <v>0</v>
      </c>
      <c r="BT227" s="407">
        <f t="shared" si="391"/>
        <v>0</v>
      </c>
      <c r="BU227" s="407">
        <f t="shared" si="391"/>
        <v>0</v>
      </c>
      <c r="BV227" s="407">
        <f t="shared" si="391"/>
        <v>0</v>
      </c>
      <c r="BW227" s="407">
        <f t="shared" si="391"/>
        <v>0</v>
      </c>
      <c r="BX227" s="407">
        <f t="shared" si="391"/>
        <v>0</v>
      </c>
      <c r="BY227" s="407">
        <f t="shared" si="391"/>
        <v>0</v>
      </c>
      <c r="BZ227" s="407">
        <f t="shared" si="391"/>
        <v>0</v>
      </c>
      <c r="CA227" s="407">
        <f t="shared" si="391"/>
        <v>0</v>
      </c>
      <c r="CB227" s="407">
        <f t="shared" si="391"/>
        <v>0</v>
      </c>
      <c r="CC227" s="407">
        <f t="shared" si="391"/>
        <v>0</v>
      </c>
      <c r="CD227" s="407">
        <f t="shared" si="391"/>
        <v>0</v>
      </c>
      <c r="CE227" s="407">
        <f t="shared" si="391"/>
        <v>0</v>
      </c>
      <c r="CF227" s="407">
        <f t="shared" si="391"/>
        <v>0</v>
      </c>
      <c r="CG227" s="407">
        <f t="shared" si="391"/>
        <v>0</v>
      </c>
      <c r="CH227" s="407">
        <f t="shared" si="391"/>
        <v>0</v>
      </c>
      <c r="CI227" s="407">
        <f t="shared" si="391"/>
        <v>0</v>
      </c>
      <c r="CJ227" s="407">
        <f t="shared" si="391"/>
        <v>0</v>
      </c>
      <c r="CK227" s="407">
        <f t="shared" si="391"/>
        <v>0</v>
      </c>
      <c r="CL227" s="407">
        <f t="shared" si="391"/>
        <v>0</v>
      </c>
      <c r="CM227" s="407">
        <f t="shared" si="391"/>
        <v>0</v>
      </c>
      <c r="CN227" s="407">
        <f t="shared" si="391"/>
        <v>0</v>
      </c>
      <c r="CO227" s="407">
        <f t="shared" si="391"/>
        <v>0</v>
      </c>
      <c r="CP227" s="407">
        <f t="shared" si="391"/>
        <v>0</v>
      </c>
      <c r="CQ227" s="407">
        <f t="shared" si="391"/>
        <v>0</v>
      </c>
      <c r="CR227" s="407">
        <f t="shared" si="391"/>
        <v>0</v>
      </c>
      <c r="CS227" s="407">
        <f t="shared" si="391"/>
        <v>0</v>
      </c>
      <c r="CT227" s="407">
        <f t="shared" si="391"/>
        <v>0</v>
      </c>
      <c r="CU227" s="407">
        <f t="shared" si="391"/>
        <v>0</v>
      </c>
      <c r="CV227" s="407">
        <f t="shared" si="391"/>
        <v>0</v>
      </c>
      <c r="CW227" s="407">
        <f t="shared" ref="CW227:DU227" si="392">IF(CW$5&lt;=DispositionMonth,-CW$103,0)</f>
        <v>0</v>
      </c>
      <c r="CX227" s="407">
        <f t="shared" si="392"/>
        <v>0</v>
      </c>
      <c r="CY227" s="407">
        <f t="shared" si="392"/>
        <v>0</v>
      </c>
      <c r="CZ227" s="407">
        <f t="shared" si="392"/>
        <v>0</v>
      </c>
      <c r="DA227" s="407">
        <f t="shared" si="392"/>
        <v>0</v>
      </c>
      <c r="DB227" s="407">
        <f t="shared" si="392"/>
        <v>0</v>
      </c>
      <c r="DC227" s="407">
        <f t="shared" si="392"/>
        <v>0</v>
      </c>
      <c r="DD227" s="407">
        <f t="shared" si="392"/>
        <v>0</v>
      </c>
      <c r="DE227" s="407">
        <f t="shared" si="392"/>
        <v>0</v>
      </c>
      <c r="DF227" s="407">
        <f t="shared" si="392"/>
        <v>0</v>
      </c>
      <c r="DG227" s="407">
        <f t="shared" si="392"/>
        <v>0</v>
      </c>
      <c r="DH227" s="407">
        <f t="shared" si="392"/>
        <v>0</v>
      </c>
      <c r="DI227" s="407">
        <f t="shared" si="392"/>
        <v>0</v>
      </c>
      <c r="DJ227" s="407">
        <f t="shared" si="392"/>
        <v>0</v>
      </c>
      <c r="DK227" s="407">
        <f t="shared" si="392"/>
        <v>0</v>
      </c>
      <c r="DL227" s="407">
        <f t="shared" si="392"/>
        <v>0</v>
      </c>
      <c r="DM227" s="407">
        <f t="shared" si="392"/>
        <v>0</v>
      </c>
      <c r="DN227" s="407">
        <f t="shared" si="392"/>
        <v>0</v>
      </c>
      <c r="DO227" s="407">
        <f t="shared" si="392"/>
        <v>0</v>
      </c>
      <c r="DP227" s="407">
        <f t="shared" si="392"/>
        <v>0</v>
      </c>
      <c r="DQ227" s="407">
        <f t="shared" si="392"/>
        <v>0</v>
      </c>
      <c r="DR227" s="407">
        <f t="shared" si="392"/>
        <v>0</v>
      </c>
      <c r="DS227" s="407">
        <f t="shared" si="392"/>
        <v>0</v>
      </c>
      <c r="DT227" s="407">
        <f t="shared" si="392"/>
        <v>0</v>
      </c>
      <c r="DU227" s="407">
        <f t="shared" si="392"/>
        <v>0</v>
      </c>
      <c r="EH227" s="644"/>
      <c r="EI227" s="280"/>
    </row>
    <row r="228" spans="1:139" x14ac:dyDescent="0.3">
      <c r="A228" s="182" t="str">
        <f>'General Inputs'!$L$29&amp;" Equity &amp; Pref Retirement"</f>
        <v>LAND Equity &amp; Pref Retirement</v>
      </c>
      <c r="B228" s="182"/>
      <c r="C228" s="182"/>
      <c r="D228" s="685"/>
      <c r="E228" s="407">
        <f t="shared" ref="E228:AJ228" si="393">IF(E$5=DispositionMonth,MIN(-E$198,E$204),0)</f>
        <v>0</v>
      </c>
      <c r="F228" s="407">
        <f t="shared" si="393"/>
        <v>0</v>
      </c>
      <c r="G228" s="407">
        <f t="shared" si="393"/>
        <v>0</v>
      </c>
      <c r="H228" s="407">
        <f t="shared" si="393"/>
        <v>0</v>
      </c>
      <c r="I228" s="407">
        <f t="shared" si="393"/>
        <v>0</v>
      </c>
      <c r="J228" s="407">
        <f t="shared" si="393"/>
        <v>0</v>
      </c>
      <c r="K228" s="407">
        <f t="shared" si="393"/>
        <v>0</v>
      </c>
      <c r="L228" s="407">
        <f t="shared" si="393"/>
        <v>0</v>
      </c>
      <c r="M228" s="407">
        <f t="shared" si="393"/>
        <v>0</v>
      </c>
      <c r="N228" s="407">
        <f t="shared" si="393"/>
        <v>0</v>
      </c>
      <c r="O228" s="407">
        <f t="shared" si="393"/>
        <v>0</v>
      </c>
      <c r="P228" s="407">
        <f t="shared" si="393"/>
        <v>0</v>
      </c>
      <c r="Q228" s="407">
        <f t="shared" si="393"/>
        <v>0</v>
      </c>
      <c r="R228" s="407">
        <f t="shared" si="393"/>
        <v>0</v>
      </c>
      <c r="S228" s="407">
        <f t="shared" si="393"/>
        <v>0</v>
      </c>
      <c r="T228" s="407">
        <f t="shared" si="393"/>
        <v>0</v>
      </c>
      <c r="U228" s="407">
        <f t="shared" si="393"/>
        <v>0</v>
      </c>
      <c r="V228" s="407">
        <f t="shared" si="393"/>
        <v>0</v>
      </c>
      <c r="W228" s="407">
        <f t="shared" si="393"/>
        <v>0</v>
      </c>
      <c r="X228" s="407">
        <f t="shared" si="393"/>
        <v>0</v>
      </c>
      <c r="Y228" s="407">
        <f t="shared" si="393"/>
        <v>0</v>
      </c>
      <c r="Z228" s="407">
        <f t="shared" si="393"/>
        <v>0</v>
      </c>
      <c r="AA228" s="407">
        <f t="shared" si="393"/>
        <v>0</v>
      </c>
      <c r="AB228" s="407">
        <f t="shared" si="393"/>
        <v>0</v>
      </c>
      <c r="AC228" s="407">
        <f t="shared" si="393"/>
        <v>0</v>
      </c>
      <c r="AD228" s="407">
        <f t="shared" si="393"/>
        <v>0</v>
      </c>
      <c r="AE228" s="407">
        <f t="shared" si="393"/>
        <v>0</v>
      </c>
      <c r="AF228" s="407">
        <f t="shared" si="393"/>
        <v>0</v>
      </c>
      <c r="AG228" s="407">
        <f t="shared" ca="1" si="393"/>
        <v>0</v>
      </c>
      <c r="AH228" s="407">
        <f t="shared" si="393"/>
        <v>0</v>
      </c>
      <c r="AI228" s="407">
        <f t="shared" si="393"/>
        <v>0</v>
      </c>
      <c r="AJ228" s="407">
        <f t="shared" si="393"/>
        <v>0</v>
      </c>
      <c r="AK228" s="407">
        <f t="shared" ref="AK228:BP228" si="394">IF(AK$5=DispositionMonth,MIN(-AK$198,AK$204),0)</f>
        <v>0</v>
      </c>
      <c r="AL228" s="407">
        <f t="shared" si="394"/>
        <v>0</v>
      </c>
      <c r="AM228" s="407">
        <f t="shared" si="394"/>
        <v>0</v>
      </c>
      <c r="AN228" s="407">
        <f t="shared" si="394"/>
        <v>0</v>
      </c>
      <c r="AO228" s="407">
        <f t="shared" si="394"/>
        <v>0</v>
      </c>
      <c r="AP228" s="407">
        <f t="shared" si="394"/>
        <v>0</v>
      </c>
      <c r="AQ228" s="407">
        <f t="shared" si="394"/>
        <v>0</v>
      </c>
      <c r="AR228" s="407">
        <f t="shared" si="394"/>
        <v>0</v>
      </c>
      <c r="AS228" s="407">
        <f t="shared" si="394"/>
        <v>0</v>
      </c>
      <c r="AT228" s="407">
        <f t="shared" si="394"/>
        <v>0</v>
      </c>
      <c r="AU228" s="407">
        <f t="shared" si="394"/>
        <v>0</v>
      </c>
      <c r="AV228" s="407">
        <f t="shared" si="394"/>
        <v>0</v>
      </c>
      <c r="AW228" s="407">
        <f t="shared" si="394"/>
        <v>0</v>
      </c>
      <c r="AX228" s="407">
        <f t="shared" si="394"/>
        <v>0</v>
      </c>
      <c r="AY228" s="407">
        <f t="shared" si="394"/>
        <v>0</v>
      </c>
      <c r="AZ228" s="407">
        <f t="shared" si="394"/>
        <v>0</v>
      </c>
      <c r="BA228" s="407">
        <f t="shared" si="394"/>
        <v>0</v>
      </c>
      <c r="BB228" s="407">
        <f t="shared" si="394"/>
        <v>0</v>
      </c>
      <c r="BC228" s="407">
        <f t="shared" si="394"/>
        <v>0</v>
      </c>
      <c r="BD228" s="407">
        <f t="shared" si="394"/>
        <v>0</v>
      </c>
      <c r="BE228" s="407">
        <f t="shared" si="394"/>
        <v>0</v>
      </c>
      <c r="BF228" s="407">
        <f t="shared" si="394"/>
        <v>0</v>
      </c>
      <c r="BG228" s="407">
        <f t="shared" si="394"/>
        <v>0</v>
      </c>
      <c r="BH228" s="407">
        <f t="shared" si="394"/>
        <v>0</v>
      </c>
      <c r="BI228" s="407">
        <f t="shared" si="394"/>
        <v>0</v>
      </c>
      <c r="BJ228" s="407">
        <f t="shared" si="394"/>
        <v>0</v>
      </c>
      <c r="BK228" s="407">
        <f t="shared" si="394"/>
        <v>0</v>
      </c>
      <c r="BL228" s="407">
        <f t="shared" si="394"/>
        <v>0</v>
      </c>
      <c r="BM228" s="407">
        <f t="shared" si="394"/>
        <v>0</v>
      </c>
      <c r="BN228" s="407">
        <f t="shared" si="394"/>
        <v>0</v>
      </c>
      <c r="BO228" s="407">
        <f t="shared" si="394"/>
        <v>0</v>
      </c>
      <c r="BP228" s="407">
        <f t="shared" si="394"/>
        <v>0</v>
      </c>
      <c r="BQ228" s="407">
        <f t="shared" ref="BQ228:CV228" si="395">IF(BQ$5=DispositionMonth,MIN(-BQ$198,BQ$204),0)</f>
        <v>0</v>
      </c>
      <c r="BR228" s="407">
        <f t="shared" si="395"/>
        <v>0</v>
      </c>
      <c r="BS228" s="407">
        <f t="shared" si="395"/>
        <v>0</v>
      </c>
      <c r="BT228" s="407">
        <f t="shared" si="395"/>
        <v>0</v>
      </c>
      <c r="BU228" s="407">
        <f t="shared" si="395"/>
        <v>0</v>
      </c>
      <c r="BV228" s="407">
        <f t="shared" si="395"/>
        <v>0</v>
      </c>
      <c r="BW228" s="407">
        <f t="shared" si="395"/>
        <v>0</v>
      </c>
      <c r="BX228" s="407">
        <f t="shared" si="395"/>
        <v>0</v>
      </c>
      <c r="BY228" s="407">
        <f t="shared" si="395"/>
        <v>0</v>
      </c>
      <c r="BZ228" s="407">
        <f t="shared" si="395"/>
        <v>0</v>
      </c>
      <c r="CA228" s="407">
        <f t="shared" si="395"/>
        <v>0</v>
      </c>
      <c r="CB228" s="407">
        <f t="shared" si="395"/>
        <v>0</v>
      </c>
      <c r="CC228" s="407">
        <f t="shared" si="395"/>
        <v>0</v>
      </c>
      <c r="CD228" s="407">
        <f t="shared" si="395"/>
        <v>0</v>
      </c>
      <c r="CE228" s="407">
        <f t="shared" si="395"/>
        <v>0</v>
      </c>
      <c r="CF228" s="407">
        <f t="shared" si="395"/>
        <v>0</v>
      </c>
      <c r="CG228" s="407">
        <f t="shared" si="395"/>
        <v>0</v>
      </c>
      <c r="CH228" s="407">
        <f t="shared" si="395"/>
        <v>0</v>
      </c>
      <c r="CI228" s="407">
        <f t="shared" si="395"/>
        <v>0</v>
      </c>
      <c r="CJ228" s="407">
        <f t="shared" si="395"/>
        <v>0</v>
      </c>
      <c r="CK228" s="407">
        <f t="shared" si="395"/>
        <v>0</v>
      </c>
      <c r="CL228" s="407">
        <f t="shared" si="395"/>
        <v>0</v>
      </c>
      <c r="CM228" s="407">
        <f t="shared" si="395"/>
        <v>0</v>
      </c>
      <c r="CN228" s="407">
        <f t="shared" si="395"/>
        <v>0</v>
      </c>
      <c r="CO228" s="407">
        <f t="shared" si="395"/>
        <v>0</v>
      </c>
      <c r="CP228" s="407">
        <f t="shared" si="395"/>
        <v>0</v>
      </c>
      <c r="CQ228" s="407">
        <f t="shared" si="395"/>
        <v>0</v>
      </c>
      <c r="CR228" s="407">
        <f t="shared" si="395"/>
        <v>0</v>
      </c>
      <c r="CS228" s="407">
        <f t="shared" si="395"/>
        <v>0</v>
      </c>
      <c r="CT228" s="407">
        <f t="shared" si="395"/>
        <v>0</v>
      </c>
      <c r="CU228" s="407">
        <f t="shared" si="395"/>
        <v>0</v>
      </c>
      <c r="CV228" s="407">
        <f t="shared" si="395"/>
        <v>0</v>
      </c>
      <c r="CW228" s="407">
        <f t="shared" ref="CW228:DU228" si="396">IF(CW$5=DispositionMonth,MIN(-CW$198,CW$204),0)</f>
        <v>0</v>
      </c>
      <c r="CX228" s="407">
        <f t="shared" si="396"/>
        <v>0</v>
      </c>
      <c r="CY228" s="407">
        <f t="shared" si="396"/>
        <v>0</v>
      </c>
      <c r="CZ228" s="407">
        <f t="shared" si="396"/>
        <v>0</v>
      </c>
      <c r="DA228" s="407">
        <f t="shared" si="396"/>
        <v>0</v>
      </c>
      <c r="DB228" s="407">
        <f t="shared" si="396"/>
        <v>0</v>
      </c>
      <c r="DC228" s="407">
        <f t="shared" si="396"/>
        <v>0</v>
      </c>
      <c r="DD228" s="407">
        <f t="shared" si="396"/>
        <v>0</v>
      </c>
      <c r="DE228" s="407">
        <f t="shared" si="396"/>
        <v>0</v>
      </c>
      <c r="DF228" s="407">
        <f t="shared" si="396"/>
        <v>0</v>
      </c>
      <c r="DG228" s="407">
        <f t="shared" si="396"/>
        <v>0</v>
      </c>
      <c r="DH228" s="407">
        <f t="shared" si="396"/>
        <v>0</v>
      </c>
      <c r="DI228" s="407">
        <f t="shared" si="396"/>
        <v>0</v>
      </c>
      <c r="DJ228" s="407">
        <f t="shared" si="396"/>
        <v>0</v>
      </c>
      <c r="DK228" s="407">
        <f t="shared" si="396"/>
        <v>0</v>
      </c>
      <c r="DL228" s="407">
        <f t="shared" si="396"/>
        <v>0</v>
      </c>
      <c r="DM228" s="407">
        <f t="shared" si="396"/>
        <v>0</v>
      </c>
      <c r="DN228" s="407">
        <f t="shared" si="396"/>
        <v>0</v>
      </c>
      <c r="DO228" s="407">
        <f t="shared" si="396"/>
        <v>0</v>
      </c>
      <c r="DP228" s="407">
        <f t="shared" si="396"/>
        <v>0</v>
      </c>
      <c r="DQ228" s="407">
        <f t="shared" si="396"/>
        <v>0</v>
      </c>
      <c r="DR228" s="407">
        <f t="shared" si="396"/>
        <v>0</v>
      </c>
      <c r="DS228" s="407">
        <f t="shared" si="396"/>
        <v>0</v>
      </c>
      <c r="DT228" s="407">
        <f t="shared" si="396"/>
        <v>0</v>
      </c>
      <c r="DU228" s="407">
        <f t="shared" si="396"/>
        <v>0</v>
      </c>
      <c r="EH228" s="644"/>
      <c r="EI228" s="722"/>
    </row>
    <row r="229" spans="1:139" ht="15" thickBot="1" x14ac:dyDescent="0.35">
      <c r="A229" s="436" t="str">
        <f>'General Inputs'!$L$29&amp;" Return ON &amp; OF Equity"</f>
        <v>LAND Return ON &amp; OF Equity</v>
      </c>
      <c r="B229" s="436"/>
      <c r="C229" s="439"/>
      <c r="D229" s="740" t="e">
        <f ca="1">(1+IRR(E229:DU229,0.01))^12-1</f>
        <v>#NUM!</v>
      </c>
      <c r="E229" s="433">
        <f t="shared" ref="E229:AZ229" ca="1" si="397">SUM(E223:E228)</f>
        <v>0</v>
      </c>
      <c r="F229" s="433">
        <f t="shared" ca="1" si="397"/>
        <v>0</v>
      </c>
      <c r="G229" s="433">
        <f t="shared" ca="1" si="397"/>
        <v>0</v>
      </c>
      <c r="H229" s="433">
        <f t="shared" ca="1" si="397"/>
        <v>0</v>
      </c>
      <c r="I229" s="433">
        <f t="shared" ca="1" si="397"/>
        <v>0</v>
      </c>
      <c r="J229" s="433">
        <f t="shared" ca="1" si="397"/>
        <v>0</v>
      </c>
      <c r="K229" s="433">
        <f t="shared" ca="1" si="397"/>
        <v>0</v>
      </c>
      <c r="L229" s="433">
        <f t="shared" ca="1" si="397"/>
        <v>0</v>
      </c>
      <c r="M229" s="433">
        <f t="shared" ca="1" si="397"/>
        <v>0</v>
      </c>
      <c r="N229" s="433">
        <f t="shared" ca="1" si="397"/>
        <v>0</v>
      </c>
      <c r="O229" s="433">
        <f t="shared" ca="1" si="397"/>
        <v>0</v>
      </c>
      <c r="P229" s="433">
        <f t="shared" ca="1" si="397"/>
        <v>0</v>
      </c>
      <c r="Q229" s="433">
        <f t="shared" ca="1" si="397"/>
        <v>0</v>
      </c>
      <c r="R229" s="433">
        <f t="shared" ca="1" si="397"/>
        <v>0</v>
      </c>
      <c r="S229" s="433">
        <f t="shared" ca="1" si="397"/>
        <v>0</v>
      </c>
      <c r="T229" s="433">
        <f t="shared" ca="1" si="397"/>
        <v>0</v>
      </c>
      <c r="U229" s="433">
        <f t="shared" ca="1" si="397"/>
        <v>0</v>
      </c>
      <c r="V229" s="433">
        <f t="shared" ca="1" si="397"/>
        <v>0</v>
      </c>
      <c r="W229" s="433">
        <f t="shared" ca="1" si="397"/>
        <v>0</v>
      </c>
      <c r="X229" s="433">
        <f t="shared" ca="1" si="397"/>
        <v>0</v>
      </c>
      <c r="Y229" s="433">
        <f t="shared" ca="1" si="397"/>
        <v>0</v>
      </c>
      <c r="Z229" s="433">
        <f t="shared" ca="1" si="397"/>
        <v>0</v>
      </c>
      <c r="AA229" s="433">
        <f t="shared" ca="1" si="397"/>
        <v>0</v>
      </c>
      <c r="AB229" s="433">
        <f t="shared" ca="1" si="397"/>
        <v>0</v>
      </c>
      <c r="AC229" s="433">
        <f t="shared" ca="1" si="397"/>
        <v>0</v>
      </c>
      <c r="AD229" s="433">
        <f t="shared" ca="1" si="397"/>
        <v>0</v>
      </c>
      <c r="AE229" s="433">
        <f t="shared" ca="1" si="397"/>
        <v>0</v>
      </c>
      <c r="AF229" s="433">
        <f t="shared" ca="1" si="397"/>
        <v>0</v>
      </c>
      <c r="AG229" s="433">
        <f t="shared" ca="1" si="397"/>
        <v>0</v>
      </c>
      <c r="AH229" s="433">
        <f t="shared" si="397"/>
        <v>0</v>
      </c>
      <c r="AI229" s="433">
        <f t="shared" si="397"/>
        <v>0</v>
      </c>
      <c r="AJ229" s="433">
        <f t="shared" si="397"/>
        <v>0</v>
      </c>
      <c r="AK229" s="433">
        <f t="shared" si="397"/>
        <v>0</v>
      </c>
      <c r="AL229" s="433">
        <f t="shared" si="397"/>
        <v>0</v>
      </c>
      <c r="AM229" s="433">
        <f t="shared" si="397"/>
        <v>0</v>
      </c>
      <c r="AN229" s="433">
        <f t="shared" si="397"/>
        <v>0</v>
      </c>
      <c r="AO229" s="433">
        <f t="shared" si="397"/>
        <v>0</v>
      </c>
      <c r="AP229" s="433">
        <f t="shared" si="397"/>
        <v>0</v>
      </c>
      <c r="AQ229" s="433">
        <f t="shared" si="397"/>
        <v>0</v>
      </c>
      <c r="AR229" s="433">
        <f t="shared" si="397"/>
        <v>0</v>
      </c>
      <c r="AS229" s="433">
        <f t="shared" si="397"/>
        <v>0</v>
      </c>
      <c r="AT229" s="433">
        <f t="shared" si="397"/>
        <v>0</v>
      </c>
      <c r="AU229" s="433">
        <f t="shared" si="397"/>
        <v>0</v>
      </c>
      <c r="AV229" s="433">
        <f t="shared" si="397"/>
        <v>0</v>
      </c>
      <c r="AW229" s="433">
        <f t="shared" si="397"/>
        <v>0</v>
      </c>
      <c r="AX229" s="433">
        <f t="shared" si="397"/>
        <v>0</v>
      </c>
      <c r="AY229" s="433">
        <f t="shared" si="397"/>
        <v>0</v>
      </c>
      <c r="AZ229" s="433">
        <f t="shared" si="397"/>
        <v>0</v>
      </c>
      <c r="BA229" s="433">
        <f>SUM(BA223:BA228)</f>
        <v>0</v>
      </c>
      <c r="BB229" s="433">
        <f t="shared" ref="BB229:DM229" si="398">SUM(BB223:BB228)</f>
        <v>0</v>
      </c>
      <c r="BC229" s="433">
        <f t="shared" si="398"/>
        <v>0</v>
      </c>
      <c r="BD229" s="433">
        <f t="shared" si="398"/>
        <v>0</v>
      </c>
      <c r="BE229" s="433">
        <f t="shared" si="398"/>
        <v>0</v>
      </c>
      <c r="BF229" s="433">
        <f t="shared" si="398"/>
        <v>0</v>
      </c>
      <c r="BG229" s="433">
        <f t="shared" si="398"/>
        <v>0</v>
      </c>
      <c r="BH229" s="433">
        <f t="shared" si="398"/>
        <v>0</v>
      </c>
      <c r="BI229" s="433">
        <f t="shared" si="398"/>
        <v>0</v>
      </c>
      <c r="BJ229" s="433">
        <f t="shared" si="398"/>
        <v>0</v>
      </c>
      <c r="BK229" s="433">
        <f t="shared" si="398"/>
        <v>0</v>
      </c>
      <c r="BL229" s="433">
        <f t="shared" si="398"/>
        <v>0</v>
      </c>
      <c r="BM229" s="433">
        <f t="shared" si="398"/>
        <v>0</v>
      </c>
      <c r="BN229" s="433">
        <f t="shared" si="398"/>
        <v>0</v>
      </c>
      <c r="BO229" s="433">
        <f t="shared" si="398"/>
        <v>0</v>
      </c>
      <c r="BP229" s="433">
        <f t="shared" si="398"/>
        <v>0</v>
      </c>
      <c r="BQ229" s="433">
        <f t="shared" si="398"/>
        <v>0</v>
      </c>
      <c r="BR229" s="433">
        <f t="shared" si="398"/>
        <v>0</v>
      </c>
      <c r="BS229" s="433">
        <f t="shared" si="398"/>
        <v>0</v>
      </c>
      <c r="BT229" s="433">
        <f t="shared" si="398"/>
        <v>0</v>
      </c>
      <c r="BU229" s="433">
        <f t="shared" si="398"/>
        <v>0</v>
      </c>
      <c r="BV229" s="433">
        <f t="shared" si="398"/>
        <v>0</v>
      </c>
      <c r="BW229" s="433">
        <f t="shared" si="398"/>
        <v>0</v>
      </c>
      <c r="BX229" s="433">
        <f t="shared" si="398"/>
        <v>0</v>
      </c>
      <c r="BY229" s="433">
        <f t="shared" si="398"/>
        <v>0</v>
      </c>
      <c r="BZ229" s="433">
        <f t="shared" si="398"/>
        <v>0</v>
      </c>
      <c r="CA229" s="433">
        <f t="shared" si="398"/>
        <v>0</v>
      </c>
      <c r="CB229" s="433">
        <f t="shared" si="398"/>
        <v>0</v>
      </c>
      <c r="CC229" s="433">
        <f t="shared" si="398"/>
        <v>0</v>
      </c>
      <c r="CD229" s="433">
        <f t="shared" si="398"/>
        <v>0</v>
      </c>
      <c r="CE229" s="433">
        <f t="shared" si="398"/>
        <v>0</v>
      </c>
      <c r="CF229" s="433">
        <f t="shared" si="398"/>
        <v>0</v>
      </c>
      <c r="CG229" s="433">
        <f t="shared" si="398"/>
        <v>0</v>
      </c>
      <c r="CH229" s="433">
        <f t="shared" si="398"/>
        <v>0</v>
      </c>
      <c r="CI229" s="433">
        <f t="shared" si="398"/>
        <v>0</v>
      </c>
      <c r="CJ229" s="433">
        <f t="shared" si="398"/>
        <v>0</v>
      </c>
      <c r="CK229" s="433">
        <f t="shared" si="398"/>
        <v>0</v>
      </c>
      <c r="CL229" s="433">
        <f t="shared" si="398"/>
        <v>0</v>
      </c>
      <c r="CM229" s="433">
        <f t="shared" si="398"/>
        <v>0</v>
      </c>
      <c r="CN229" s="433">
        <f t="shared" si="398"/>
        <v>0</v>
      </c>
      <c r="CO229" s="433">
        <f t="shared" si="398"/>
        <v>0</v>
      </c>
      <c r="CP229" s="433">
        <f t="shared" si="398"/>
        <v>0</v>
      </c>
      <c r="CQ229" s="433">
        <f t="shared" si="398"/>
        <v>0</v>
      </c>
      <c r="CR229" s="433">
        <f t="shared" si="398"/>
        <v>0</v>
      </c>
      <c r="CS229" s="433">
        <f t="shared" si="398"/>
        <v>0</v>
      </c>
      <c r="CT229" s="433">
        <f t="shared" si="398"/>
        <v>0</v>
      </c>
      <c r="CU229" s="433">
        <f t="shared" si="398"/>
        <v>0</v>
      </c>
      <c r="CV229" s="433">
        <f t="shared" si="398"/>
        <v>0</v>
      </c>
      <c r="CW229" s="433">
        <f t="shared" si="398"/>
        <v>0</v>
      </c>
      <c r="CX229" s="433">
        <f t="shared" si="398"/>
        <v>0</v>
      </c>
      <c r="CY229" s="433">
        <f t="shared" si="398"/>
        <v>0</v>
      </c>
      <c r="CZ229" s="433">
        <f t="shared" si="398"/>
        <v>0</v>
      </c>
      <c r="DA229" s="433">
        <f t="shared" si="398"/>
        <v>0</v>
      </c>
      <c r="DB229" s="433">
        <f t="shared" si="398"/>
        <v>0</v>
      </c>
      <c r="DC229" s="433">
        <f t="shared" si="398"/>
        <v>0</v>
      </c>
      <c r="DD229" s="433">
        <f t="shared" si="398"/>
        <v>0</v>
      </c>
      <c r="DE229" s="433">
        <f t="shared" si="398"/>
        <v>0</v>
      </c>
      <c r="DF229" s="433">
        <f t="shared" si="398"/>
        <v>0</v>
      </c>
      <c r="DG229" s="433">
        <f t="shared" si="398"/>
        <v>0</v>
      </c>
      <c r="DH229" s="433">
        <f t="shared" si="398"/>
        <v>0</v>
      </c>
      <c r="DI229" s="433">
        <f t="shared" si="398"/>
        <v>0</v>
      </c>
      <c r="DJ229" s="433">
        <f t="shared" si="398"/>
        <v>0</v>
      </c>
      <c r="DK229" s="433">
        <f t="shared" si="398"/>
        <v>0</v>
      </c>
      <c r="DL229" s="433">
        <f t="shared" si="398"/>
        <v>0</v>
      </c>
      <c r="DM229" s="433">
        <f t="shared" si="398"/>
        <v>0</v>
      </c>
      <c r="DN229" s="433">
        <f t="shared" ref="DN229:DU229" si="399">SUM(DN223:DN228)</f>
        <v>0</v>
      </c>
      <c r="DO229" s="433">
        <f t="shared" si="399"/>
        <v>0</v>
      </c>
      <c r="DP229" s="433">
        <f t="shared" si="399"/>
        <v>0</v>
      </c>
      <c r="DQ229" s="433">
        <f t="shared" si="399"/>
        <v>0</v>
      </c>
      <c r="DR229" s="433">
        <f t="shared" si="399"/>
        <v>0</v>
      </c>
      <c r="DS229" s="433">
        <f t="shared" si="399"/>
        <v>0</v>
      </c>
      <c r="DT229" s="433">
        <f t="shared" si="399"/>
        <v>0</v>
      </c>
      <c r="DU229" s="433">
        <f t="shared" si="399"/>
        <v>0</v>
      </c>
      <c r="EI229" s="280"/>
    </row>
    <row r="230" spans="1:139" ht="7.5" customHeight="1" thickTop="1" thickBot="1" x14ac:dyDescent="0.35">
      <c r="D230" s="282"/>
      <c r="EI230" s="722"/>
    </row>
    <row r="231" spans="1:139" ht="15.75" customHeight="1" thickTop="1" x14ac:dyDescent="0.3">
      <c r="A231" s="318" t="s">
        <v>2503</v>
      </c>
      <c r="B231" s="635"/>
      <c r="C231" s="322"/>
      <c r="D231" s="728"/>
      <c r="E231" s="322"/>
      <c r="F231" s="322"/>
      <c r="G231" s="322"/>
      <c r="H231" s="322"/>
      <c r="I231" s="322"/>
      <c r="J231" s="322"/>
      <c r="K231" s="322"/>
      <c r="L231" s="322"/>
      <c r="M231" s="322"/>
      <c r="N231" s="322"/>
      <c r="O231" s="322"/>
      <c r="P231" s="322"/>
      <c r="Q231" s="322"/>
      <c r="R231" s="322"/>
      <c r="S231" s="322"/>
      <c r="T231" s="322"/>
      <c r="U231" s="322"/>
      <c r="V231" s="322"/>
      <c r="W231" s="322"/>
      <c r="X231" s="322"/>
      <c r="Y231" s="322"/>
      <c r="Z231" s="322"/>
      <c r="AA231" s="322"/>
      <c r="AB231" s="322"/>
      <c r="AC231" s="322"/>
      <c r="AD231" s="322"/>
      <c r="AE231" s="322"/>
      <c r="AF231" s="322"/>
      <c r="AG231" s="322"/>
      <c r="AH231" s="322"/>
      <c r="AI231" s="322"/>
      <c r="AJ231" s="322"/>
      <c r="AK231" s="322"/>
      <c r="AL231" s="322"/>
      <c r="AM231" s="322"/>
      <c r="AN231" s="322"/>
      <c r="AO231" s="322"/>
      <c r="AP231" s="322"/>
      <c r="AQ231" s="322"/>
      <c r="AR231" s="322"/>
      <c r="AS231" s="322"/>
      <c r="AT231" s="322"/>
      <c r="AU231" s="322"/>
      <c r="AV231" s="322"/>
      <c r="AW231" s="322"/>
      <c r="AX231" s="322"/>
      <c r="AY231" s="322"/>
      <c r="AZ231" s="322"/>
      <c r="BA231" s="322"/>
      <c r="BB231" s="322"/>
      <c r="BC231" s="322"/>
      <c r="BD231" s="322"/>
      <c r="BE231" s="322"/>
      <c r="BF231" s="322"/>
      <c r="BG231" s="322"/>
      <c r="BH231" s="322"/>
      <c r="BI231" s="322"/>
      <c r="BJ231" s="322"/>
      <c r="BK231" s="322"/>
      <c r="BL231" s="322"/>
      <c r="BM231" s="322"/>
      <c r="BN231" s="322"/>
      <c r="BO231" s="322"/>
      <c r="BP231" s="322"/>
      <c r="BQ231" s="322"/>
      <c r="BR231" s="322"/>
      <c r="BS231" s="322"/>
      <c r="BT231" s="322"/>
      <c r="BU231" s="322"/>
      <c r="BV231" s="322"/>
      <c r="BW231" s="322"/>
      <c r="BX231" s="322"/>
      <c r="BY231" s="322"/>
      <c r="BZ231" s="322"/>
      <c r="CA231" s="322"/>
      <c r="CB231" s="322"/>
      <c r="CC231" s="322"/>
      <c r="CD231" s="322"/>
      <c r="CE231" s="322"/>
      <c r="CF231" s="322"/>
      <c r="CG231" s="322"/>
      <c r="CH231" s="322"/>
      <c r="CI231" s="322"/>
      <c r="CJ231" s="322"/>
      <c r="CK231" s="322"/>
      <c r="CL231" s="322"/>
      <c r="CM231" s="322"/>
      <c r="CN231" s="322"/>
      <c r="CO231" s="322"/>
      <c r="CP231" s="322"/>
      <c r="CQ231" s="322"/>
      <c r="CR231" s="322"/>
      <c r="CS231" s="322"/>
      <c r="CT231" s="322"/>
      <c r="CU231" s="322"/>
      <c r="CV231" s="322"/>
      <c r="CW231" s="322"/>
      <c r="CX231" s="322"/>
      <c r="CY231" s="322"/>
      <c r="CZ231" s="322"/>
      <c r="DA231" s="322"/>
      <c r="DB231" s="322"/>
      <c r="DC231" s="322"/>
      <c r="DD231" s="322"/>
      <c r="DE231" s="322"/>
      <c r="DF231" s="322"/>
      <c r="DG231" s="322"/>
      <c r="DH231" s="322"/>
      <c r="DI231" s="322"/>
      <c r="DJ231" s="322"/>
      <c r="DK231" s="322"/>
      <c r="DL231" s="322"/>
      <c r="DM231" s="322"/>
      <c r="DN231" s="322"/>
      <c r="DO231" s="322"/>
      <c r="DP231" s="322"/>
      <c r="DQ231" s="322"/>
      <c r="DR231" s="322"/>
      <c r="DS231" s="322"/>
      <c r="DT231" s="322"/>
      <c r="DU231" s="322"/>
      <c r="EH231" s="644"/>
      <c r="EI231" s="722"/>
    </row>
    <row r="232" spans="1:139" x14ac:dyDescent="0.3">
      <c r="A232" s="182" t="str">
        <f>'General Inputs'!$J$29&amp;" Contributions"</f>
        <v>LP Contributions</v>
      </c>
      <c r="B232" s="182"/>
      <c r="C232" s="426"/>
      <c r="D232" s="686"/>
      <c r="E232" s="408">
        <f t="shared" ref="E232:AJ232" ca="1" si="400">IF(E$5&lt;=DispositionMonth,E$207,0)</f>
        <v>-1684806.2553703375</v>
      </c>
      <c r="F232" s="408">
        <f t="shared" ca="1" si="400"/>
        <v>-13679721.285321232</v>
      </c>
      <c r="G232" s="408">
        <f t="shared" ca="1" si="400"/>
        <v>-429758.58896990592</v>
      </c>
      <c r="H232" s="408">
        <f t="shared" ca="1" si="400"/>
        <v>-652516.24275347544</v>
      </c>
      <c r="I232" s="408">
        <f t="shared" ca="1" si="400"/>
        <v>-1108216.2834030252</v>
      </c>
      <c r="J232" s="408">
        <f t="shared" ca="1" si="400"/>
        <v>-1808500.5776190415</v>
      </c>
      <c r="K232" s="408">
        <f t="shared" ca="1" si="400"/>
        <v>-1861449.5545326734</v>
      </c>
      <c r="L232" s="408">
        <f t="shared" ca="1" si="400"/>
        <v>-2372000.4851556052</v>
      </c>
      <c r="M232" s="408">
        <f t="shared" ca="1" si="400"/>
        <v>-2813680.2377213496</v>
      </c>
      <c r="N232" s="408">
        <f t="shared" ca="1" si="400"/>
        <v>-3293680.161515363</v>
      </c>
      <c r="O232" s="408">
        <f t="shared" ca="1" si="400"/>
        <v>-1869318.1862202697</v>
      </c>
      <c r="P232" s="408">
        <f t="shared" ca="1" si="400"/>
        <v>0</v>
      </c>
      <c r="Q232" s="408">
        <f t="shared" ca="1" si="400"/>
        <v>0</v>
      </c>
      <c r="R232" s="408">
        <f t="shared" ca="1" si="400"/>
        <v>0</v>
      </c>
      <c r="S232" s="408">
        <f t="shared" ca="1" si="400"/>
        <v>0</v>
      </c>
      <c r="T232" s="408">
        <f t="shared" ca="1" si="400"/>
        <v>0</v>
      </c>
      <c r="U232" s="408">
        <f t="shared" ca="1" si="400"/>
        <v>0</v>
      </c>
      <c r="V232" s="408">
        <f t="shared" ca="1" si="400"/>
        <v>0</v>
      </c>
      <c r="W232" s="408">
        <f t="shared" ca="1" si="400"/>
        <v>0</v>
      </c>
      <c r="X232" s="408">
        <f t="shared" ca="1" si="400"/>
        <v>0</v>
      </c>
      <c r="Y232" s="408">
        <f t="shared" ca="1" si="400"/>
        <v>0</v>
      </c>
      <c r="Z232" s="408">
        <f t="shared" ca="1" si="400"/>
        <v>0</v>
      </c>
      <c r="AA232" s="408">
        <f t="shared" ca="1" si="400"/>
        <v>0</v>
      </c>
      <c r="AB232" s="408">
        <f t="shared" ca="1" si="400"/>
        <v>0</v>
      </c>
      <c r="AC232" s="408">
        <f t="shared" ca="1" si="400"/>
        <v>0</v>
      </c>
      <c r="AD232" s="408">
        <f t="shared" ca="1" si="400"/>
        <v>0</v>
      </c>
      <c r="AE232" s="408">
        <f t="shared" ca="1" si="400"/>
        <v>0</v>
      </c>
      <c r="AF232" s="408">
        <f t="shared" ca="1" si="400"/>
        <v>0</v>
      </c>
      <c r="AG232" s="408">
        <f t="shared" ca="1" si="400"/>
        <v>0</v>
      </c>
      <c r="AH232" s="408">
        <f t="shared" si="400"/>
        <v>0</v>
      </c>
      <c r="AI232" s="408">
        <f t="shared" si="400"/>
        <v>0</v>
      </c>
      <c r="AJ232" s="408">
        <f t="shared" si="400"/>
        <v>0</v>
      </c>
      <c r="AK232" s="408">
        <f t="shared" ref="AK232:BP232" si="401">IF(AK$5&lt;=DispositionMonth,AK$207,0)</f>
        <v>0</v>
      </c>
      <c r="AL232" s="408">
        <f t="shared" si="401"/>
        <v>0</v>
      </c>
      <c r="AM232" s="408">
        <f t="shared" si="401"/>
        <v>0</v>
      </c>
      <c r="AN232" s="408">
        <f t="shared" si="401"/>
        <v>0</v>
      </c>
      <c r="AO232" s="408">
        <f t="shared" si="401"/>
        <v>0</v>
      </c>
      <c r="AP232" s="408">
        <f t="shared" si="401"/>
        <v>0</v>
      </c>
      <c r="AQ232" s="408">
        <f t="shared" si="401"/>
        <v>0</v>
      </c>
      <c r="AR232" s="408">
        <f t="shared" si="401"/>
        <v>0</v>
      </c>
      <c r="AS232" s="408">
        <f t="shared" si="401"/>
        <v>0</v>
      </c>
      <c r="AT232" s="408">
        <f t="shared" si="401"/>
        <v>0</v>
      </c>
      <c r="AU232" s="408">
        <f t="shared" si="401"/>
        <v>0</v>
      </c>
      <c r="AV232" s="408">
        <f t="shared" si="401"/>
        <v>0</v>
      </c>
      <c r="AW232" s="408">
        <f t="shared" si="401"/>
        <v>0</v>
      </c>
      <c r="AX232" s="408">
        <f t="shared" si="401"/>
        <v>0</v>
      </c>
      <c r="AY232" s="408">
        <f t="shared" si="401"/>
        <v>0</v>
      </c>
      <c r="AZ232" s="408">
        <f t="shared" si="401"/>
        <v>0</v>
      </c>
      <c r="BA232" s="408">
        <f t="shared" si="401"/>
        <v>0</v>
      </c>
      <c r="BB232" s="408">
        <f t="shared" si="401"/>
        <v>0</v>
      </c>
      <c r="BC232" s="408">
        <f t="shared" si="401"/>
        <v>0</v>
      </c>
      <c r="BD232" s="408">
        <f t="shared" si="401"/>
        <v>0</v>
      </c>
      <c r="BE232" s="408">
        <f t="shared" si="401"/>
        <v>0</v>
      </c>
      <c r="BF232" s="408">
        <f t="shared" si="401"/>
        <v>0</v>
      </c>
      <c r="BG232" s="408">
        <f t="shared" si="401"/>
        <v>0</v>
      </c>
      <c r="BH232" s="408">
        <f t="shared" si="401"/>
        <v>0</v>
      </c>
      <c r="BI232" s="408">
        <f t="shared" si="401"/>
        <v>0</v>
      </c>
      <c r="BJ232" s="408">
        <f t="shared" si="401"/>
        <v>0</v>
      </c>
      <c r="BK232" s="408">
        <f t="shared" si="401"/>
        <v>0</v>
      </c>
      <c r="BL232" s="408">
        <f t="shared" si="401"/>
        <v>0</v>
      </c>
      <c r="BM232" s="408">
        <f t="shared" si="401"/>
        <v>0</v>
      </c>
      <c r="BN232" s="408">
        <f t="shared" si="401"/>
        <v>0</v>
      </c>
      <c r="BO232" s="408">
        <f t="shared" si="401"/>
        <v>0</v>
      </c>
      <c r="BP232" s="408">
        <f t="shared" si="401"/>
        <v>0</v>
      </c>
      <c r="BQ232" s="408">
        <f t="shared" ref="BQ232:CV232" si="402">IF(BQ$5&lt;=DispositionMonth,BQ$207,0)</f>
        <v>0</v>
      </c>
      <c r="BR232" s="408">
        <f t="shared" si="402"/>
        <v>0</v>
      </c>
      <c r="BS232" s="408">
        <f t="shared" si="402"/>
        <v>0</v>
      </c>
      <c r="BT232" s="408">
        <f t="shared" si="402"/>
        <v>0</v>
      </c>
      <c r="BU232" s="408">
        <f t="shared" si="402"/>
        <v>0</v>
      </c>
      <c r="BV232" s="408">
        <f t="shared" si="402"/>
        <v>0</v>
      </c>
      <c r="BW232" s="408">
        <f t="shared" si="402"/>
        <v>0</v>
      </c>
      <c r="BX232" s="408">
        <f t="shared" si="402"/>
        <v>0</v>
      </c>
      <c r="BY232" s="408">
        <f t="shared" si="402"/>
        <v>0</v>
      </c>
      <c r="BZ232" s="408">
        <f t="shared" si="402"/>
        <v>0</v>
      </c>
      <c r="CA232" s="408">
        <f t="shared" si="402"/>
        <v>0</v>
      </c>
      <c r="CB232" s="408">
        <f t="shared" si="402"/>
        <v>0</v>
      </c>
      <c r="CC232" s="408">
        <f t="shared" si="402"/>
        <v>0</v>
      </c>
      <c r="CD232" s="408">
        <f t="shared" si="402"/>
        <v>0</v>
      </c>
      <c r="CE232" s="408">
        <f t="shared" si="402"/>
        <v>0</v>
      </c>
      <c r="CF232" s="408">
        <f t="shared" si="402"/>
        <v>0</v>
      </c>
      <c r="CG232" s="408">
        <f t="shared" si="402"/>
        <v>0</v>
      </c>
      <c r="CH232" s="408">
        <f t="shared" si="402"/>
        <v>0</v>
      </c>
      <c r="CI232" s="408">
        <f t="shared" si="402"/>
        <v>0</v>
      </c>
      <c r="CJ232" s="408">
        <f t="shared" si="402"/>
        <v>0</v>
      </c>
      <c r="CK232" s="408">
        <f t="shared" si="402"/>
        <v>0</v>
      </c>
      <c r="CL232" s="408">
        <f t="shared" si="402"/>
        <v>0</v>
      </c>
      <c r="CM232" s="408">
        <f t="shared" si="402"/>
        <v>0</v>
      </c>
      <c r="CN232" s="408">
        <f t="shared" si="402"/>
        <v>0</v>
      </c>
      <c r="CO232" s="408">
        <f t="shared" si="402"/>
        <v>0</v>
      </c>
      <c r="CP232" s="408">
        <f t="shared" si="402"/>
        <v>0</v>
      </c>
      <c r="CQ232" s="408">
        <f t="shared" si="402"/>
        <v>0</v>
      </c>
      <c r="CR232" s="408">
        <f t="shared" si="402"/>
        <v>0</v>
      </c>
      <c r="CS232" s="408">
        <f t="shared" si="402"/>
        <v>0</v>
      </c>
      <c r="CT232" s="408">
        <f t="shared" si="402"/>
        <v>0</v>
      </c>
      <c r="CU232" s="408">
        <f t="shared" si="402"/>
        <v>0</v>
      </c>
      <c r="CV232" s="408">
        <f t="shared" si="402"/>
        <v>0</v>
      </c>
      <c r="CW232" s="408">
        <f t="shared" ref="CW232:DU232" si="403">IF(CW$5&lt;=DispositionMonth,CW$207,0)</f>
        <v>0</v>
      </c>
      <c r="CX232" s="408">
        <f t="shared" si="403"/>
        <v>0</v>
      </c>
      <c r="CY232" s="408">
        <f t="shared" si="403"/>
        <v>0</v>
      </c>
      <c r="CZ232" s="408">
        <f t="shared" si="403"/>
        <v>0</v>
      </c>
      <c r="DA232" s="408">
        <f t="shared" si="403"/>
        <v>0</v>
      </c>
      <c r="DB232" s="408">
        <f t="shared" si="403"/>
        <v>0</v>
      </c>
      <c r="DC232" s="408">
        <f t="shared" si="403"/>
        <v>0</v>
      </c>
      <c r="DD232" s="408">
        <f t="shared" si="403"/>
        <v>0</v>
      </c>
      <c r="DE232" s="408">
        <f t="shared" si="403"/>
        <v>0</v>
      </c>
      <c r="DF232" s="408">
        <f t="shared" si="403"/>
        <v>0</v>
      </c>
      <c r="DG232" s="408">
        <f t="shared" si="403"/>
        <v>0</v>
      </c>
      <c r="DH232" s="408">
        <f t="shared" si="403"/>
        <v>0</v>
      </c>
      <c r="DI232" s="408">
        <f t="shared" si="403"/>
        <v>0</v>
      </c>
      <c r="DJ232" s="408">
        <f t="shared" si="403"/>
        <v>0</v>
      </c>
      <c r="DK232" s="408">
        <f t="shared" si="403"/>
        <v>0</v>
      </c>
      <c r="DL232" s="408">
        <f t="shared" si="403"/>
        <v>0</v>
      </c>
      <c r="DM232" s="408">
        <f t="shared" si="403"/>
        <v>0</v>
      </c>
      <c r="DN232" s="408">
        <f t="shared" si="403"/>
        <v>0</v>
      </c>
      <c r="DO232" s="408">
        <f t="shared" si="403"/>
        <v>0</v>
      </c>
      <c r="DP232" s="408">
        <f t="shared" si="403"/>
        <v>0</v>
      </c>
      <c r="DQ232" s="408">
        <f t="shared" si="403"/>
        <v>0</v>
      </c>
      <c r="DR232" s="408">
        <f t="shared" si="403"/>
        <v>0</v>
      </c>
      <c r="DS232" s="408">
        <f t="shared" si="403"/>
        <v>0</v>
      </c>
      <c r="DT232" s="408">
        <f t="shared" si="403"/>
        <v>0</v>
      </c>
      <c r="DU232" s="408">
        <f t="shared" si="403"/>
        <v>0</v>
      </c>
      <c r="EI232" s="722"/>
    </row>
    <row r="233" spans="1:139" x14ac:dyDescent="0.3">
      <c r="A233" s="182" t="str">
        <f>"Operating Cash Distributions to "&amp;'General Inputs'!$J$29</f>
        <v>Operating Cash Distributions to LP</v>
      </c>
      <c r="B233" s="182"/>
      <c r="C233" s="182"/>
      <c r="D233" s="647"/>
      <c r="E233" s="407">
        <f t="shared" ref="E233:AJ233" ca="1" si="404">IF(E$5&lt;=DispositionMonth,SUM(E$208:E$211),0)</f>
        <v>0</v>
      </c>
      <c r="F233" s="407">
        <f t="shared" ca="1" si="404"/>
        <v>0</v>
      </c>
      <c r="G233" s="407">
        <f t="shared" ca="1" si="404"/>
        <v>0</v>
      </c>
      <c r="H233" s="407">
        <f t="shared" ca="1" si="404"/>
        <v>0</v>
      </c>
      <c r="I233" s="407">
        <f t="shared" ca="1" si="404"/>
        <v>0</v>
      </c>
      <c r="J233" s="407">
        <f t="shared" ca="1" si="404"/>
        <v>0</v>
      </c>
      <c r="K233" s="407">
        <f t="shared" ca="1" si="404"/>
        <v>0</v>
      </c>
      <c r="L233" s="407">
        <f t="shared" ca="1" si="404"/>
        <v>0</v>
      </c>
      <c r="M233" s="407">
        <f t="shared" ca="1" si="404"/>
        <v>0</v>
      </c>
      <c r="N233" s="407">
        <f t="shared" ca="1" si="404"/>
        <v>0</v>
      </c>
      <c r="O233" s="407">
        <f t="shared" ca="1" si="404"/>
        <v>0</v>
      </c>
      <c r="P233" s="407">
        <f t="shared" ca="1" si="404"/>
        <v>0</v>
      </c>
      <c r="Q233" s="407">
        <f t="shared" ca="1" si="404"/>
        <v>0</v>
      </c>
      <c r="R233" s="407">
        <f t="shared" ca="1" si="404"/>
        <v>0</v>
      </c>
      <c r="S233" s="407">
        <f t="shared" ca="1" si="404"/>
        <v>0</v>
      </c>
      <c r="T233" s="407">
        <f t="shared" ca="1" si="404"/>
        <v>0</v>
      </c>
      <c r="U233" s="407">
        <f t="shared" ca="1" si="404"/>
        <v>0</v>
      </c>
      <c r="V233" s="407">
        <f t="shared" ca="1" si="404"/>
        <v>0</v>
      </c>
      <c r="W233" s="407">
        <f t="shared" ca="1" si="404"/>
        <v>0</v>
      </c>
      <c r="X233" s="407">
        <f t="shared" ca="1" si="404"/>
        <v>0</v>
      </c>
      <c r="Y233" s="407">
        <f t="shared" ca="1" si="404"/>
        <v>0</v>
      </c>
      <c r="Z233" s="407">
        <f t="shared" ca="1" si="404"/>
        <v>0</v>
      </c>
      <c r="AA233" s="407">
        <f t="shared" ca="1" si="404"/>
        <v>0</v>
      </c>
      <c r="AB233" s="407">
        <f t="shared" ca="1" si="404"/>
        <v>0</v>
      </c>
      <c r="AC233" s="407">
        <f t="shared" ca="1" si="404"/>
        <v>39701.726541082207</v>
      </c>
      <c r="AD233" s="407">
        <f t="shared" ca="1" si="404"/>
        <v>75897.380147726886</v>
      </c>
      <c r="AE233" s="407">
        <f t="shared" ca="1" si="404"/>
        <v>117111.83679771089</v>
      </c>
      <c r="AF233" s="407">
        <f t="shared" ca="1" si="404"/>
        <v>197606.01356017322</v>
      </c>
      <c r="AG233" s="407">
        <f t="shared" ca="1" si="404"/>
        <v>200887.72104683847</v>
      </c>
      <c r="AH233" s="407">
        <f t="shared" si="404"/>
        <v>0</v>
      </c>
      <c r="AI233" s="407">
        <f t="shared" si="404"/>
        <v>0</v>
      </c>
      <c r="AJ233" s="407">
        <f t="shared" si="404"/>
        <v>0</v>
      </c>
      <c r="AK233" s="407">
        <f t="shared" ref="AK233:BP233" si="405">IF(AK$5&lt;=DispositionMonth,SUM(AK$208:AK$211),0)</f>
        <v>0</v>
      </c>
      <c r="AL233" s="407">
        <f t="shared" si="405"/>
        <v>0</v>
      </c>
      <c r="AM233" s="407">
        <f t="shared" si="405"/>
        <v>0</v>
      </c>
      <c r="AN233" s="407">
        <f t="shared" si="405"/>
        <v>0</v>
      </c>
      <c r="AO233" s="407">
        <f t="shared" si="405"/>
        <v>0</v>
      </c>
      <c r="AP233" s="407">
        <f t="shared" si="405"/>
        <v>0</v>
      </c>
      <c r="AQ233" s="407">
        <f t="shared" si="405"/>
        <v>0</v>
      </c>
      <c r="AR233" s="407">
        <f t="shared" si="405"/>
        <v>0</v>
      </c>
      <c r="AS233" s="407">
        <f t="shared" si="405"/>
        <v>0</v>
      </c>
      <c r="AT233" s="407">
        <f t="shared" si="405"/>
        <v>0</v>
      </c>
      <c r="AU233" s="407">
        <f t="shared" si="405"/>
        <v>0</v>
      </c>
      <c r="AV233" s="407">
        <f t="shared" si="405"/>
        <v>0</v>
      </c>
      <c r="AW233" s="407">
        <f t="shared" si="405"/>
        <v>0</v>
      </c>
      <c r="AX233" s="407">
        <f t="shared" si="405"/>
        <v>0</v>
      </c>
      <c r="AY233" s="407">
        <f t="shared" si="405"/>
        <v>0</v>
      </c>
      <c r="AZ233" s="407">
        <f t="shared" si="405"/>
        <v>0</v>
      </c>
      <c r="BA233" s="407">
        <f t="shared" si="405"/>
        <v>0</v>
      </c>
      <c r="BB233" s="407">
        <f t="shared" si="405"/>
        <v>0</v>
      </c>
      <c r="BC233" s="407">
        <f t="shared" si="405"/>
        <v>0</v>
      </c>
      <c r="BD233" s="407">
        <f t="shared" si="405"/>
        <v>0</v>
      </c>
      <c r="BE233" s="407">
        <f t="shared" si="405"/>
        <v>0</v>
      </c>
      <c r="BF233" s="407">
        <f t="shared" si="405"/>
        <v>0</v>
      </c>
      <c r="BG233" s="407">
        <f t="shared" si="405"/>
        <v>0</v>
      </c>
      <c r="BH233" s="407">
        <f t="shared" si="405"/>
        <v>0</v>
      </c>
      <c r="BI233" s="407">
        <f t="shared" si="405"/>
        <v>0</v>
      </c>
      <c r="BJ233" s="407">
        <f t="shared" si="405"/>
        <v>0</v>
      </c>
      <c r="BK233" s="407">
        <f t="shared" si="405"/>
        <v>0</v>
      </c>
      <c r="BL233" s="407">
        <f t="shared" si="405"/>
        <v>0</v>
      </c>
      <c r="BM233" s="407">
        <f t="shared" si="405"/>
        <v>0</v>
      </c>
      <c r="BN233" s="407">
        <f t="shared" si="405"/>
        <v>0</v>
      </c>
      <c r="BO233" s="407">
        <f t="shared" si="405"/>
        <v>0</v>
      </c>
      <c r="BP233" s="407">
        <f t="shared" si="405"/>
        <v>0</v>
      </c>
      <c r="BQ233" s="407">
        <f t="shared" ref="BQ233:CV233" si="406">IF(BQ$5&lt;=DispositionMonth,SUM(BQ$208:BQ$211),0)</f>
        <v>0</v>
      </c>
      <c r="BR233" s="407">
        <f t="shared" si="406"/>
        <v>0</v>
      </c>
      <c r="BS233" s="407">
        <f t="shared" si="406"/>
        <v>0</v>
      </c>
      <c r="BT233" s="407">
        <f t="shared" si="406"/>
        <v>0</v>
      </c>
      <c r="BU233" s="407">
        <f t="shared" si="406"/>
        <v>0</v>
      </c>
      <c r="BV233" s="407">
        <f t="shared" si="406"/>
        <v>0</v>
      </c>
      <c r="BW233" s="407">
        <f t="shared" si="406"/>
        <v>0</v>
      </c>
      <c r="BX233" s="407">
        <f t="shared" si="406"/>
        <v>0</v>
      </c>
      <c r="BY233" s="407">
        <f t="shared" si="406"/>
        <v>0</v>
      </c>
      <c r="BZ233" s="407">
        <f t="shared" si="406"/>
        <v>0</v>
      </c>
      <c r="CA233" s="407">
        <f t="shared" si="406"/>
        <v>0</v>
      </c>
      <c r="CB233" s="407">
        <f t="shared" si="406"/>
        <v>0</v>
      </c>
      <c r="CC233" s="407">
        <f t="shared" si="406"/>
        <v>0</v>
      </c>
      <c r="CD233" s="407">
        <f t="shared" si="406"/>
        <v>0</v>
      </c>
      <c r="CE233" s="407">
        <f t="shared" si="406"/>
        <v>0</v>
      </c>
      <c r="CF233" s="407">
        <f t="shared" si="406"/>
        <v>0</v>
      </c>
      <c r="CG233" s="407">
        <f t="shared" si="406"/>
        <v>0</v>
      </c>
      <c r="CH233" s="407">
        <f t="shared" si="406"/>
        <v>0</v>
      </c>
      <c r="CI233" s="407">
        <f t="shared" si="406"/>
        <v>0</v>
      </c>
      <c r="CJ233" s="407">
        <f t="shared" si="406"/>
        <v>0</v>
      </c>
      <c r="CK233" s="407">
        <f t="shared" si="406"/>
        <v>0</v>
      </c>
      <c r="CL233" s="407">
        <f t="shared" si="406"/>
        <v>0</v>
      </c>
      <c r="CM233" s="407">
        <f t="shared" si="406"/>
        <v>0</v>
      </c>
      <c r="CN233" s="407">
        <f t="shared" si="406"/>
        <v>0</v>
      </c>
      <c r="CO233" s="407">
        <f t="shared" si="406"/>
        <v>0</v>
      </c>
      <c r="CP233" s="407">
        <f t="shared" si="406"/>
        <v>0</v>
      </c>
      <c r="CQ233" s="407">
        <f t="shared" si="406"/>
        <v>0</v>
      </c>
      <c r="CR233" s="407">
        <f t="shared" si="406"/>
        <v>0</v>
      </c>
      <c r="CS233" s="407">
        <f t="shared" si="406"/>
        <v>0</v>
      </c>
      <c r="CT233" s="407">
        <f t="shared" si="406"/>
        <v>0</v>
      </c>
      <c r="CU233" s="407">
        <f t="shared" si="406"/>
        <v>0</v>
      </c>
      <c r="CV233" s="407">
        <f t="shared" si="406"/>
        <v>0</v>
      </c>
      <c r="CW233" s="407">
        <f t="shared" ref="CW233:DU233" si="407">IF(CW$5&lt;=DispositionMonth,SUM(CW$208:CW$211),0)</f>
        <v>0</v>
      </c>
      <c r="CX233" s="407">
        <f t="shared" si="407"/>
        <v>0</v>
      </c>
      <c r="CY233" s="407">
        <f t="shared" si="407"/>
        <v>0</v>
      </c>
      <c r="CZ233" s="407">
        <f t="shared" si="407"/>
        <v>0</v>
      </c>
      <c r="DA233" s="407">
        <f t="shared" si="407"/>
        <v>0</v>
      </c>
      <c r="DB233" s="407">
        <f t="shared" si="407"/>
        <v>0</v>
      </c>
      <c r="DC233" s="407">
        <f t="shared" si="407"/>
        <v>0</v>
      </c>
      <c r="DD233" s="407">
        <f t="shared" si="407"/>
        <v>0</v>
      </c>
      <c r="DE233" s="407">
        <f t="shared" si="407"/>
        <v>0</v>
      </c>
      <c r="DF233" s="407">
        <f t="shared" si="407"/>
        <v>0</v>
      </c>
      <c r="DG233" s="407">
        <f t="shared" si="407"/>
        <v>0</v>
      </c>
      <c r="DH233" s="407">
        <f t="shared" si="407"/>
        <v>0</v>
      </c>
      <c r="DI233" s="407">
        <f t="shared" si="407"/>
        <v>0</v>
      </c>
      <c r="DJ233" s="407">
        <f t="shared" si="407"/>
        <v>0</v>
      </c>
      <c r="DK233" s="407">
        <f t="shared" si="407"/>
        <v>0</v>
      </c>
      <c r="DL233" s="407">
        <f t="shared" si="407"/>
        <v>0</v>
      </c>
      <c r="DM233" s="407">
        <f t="shared" si="407"/>
        <v>0</v>
      </c>
      <c r="DN233" s="407">
        <f t="shared" si="407"/>
        <v>0</v>
      </c>
      <c r="DO233" s="407">
        <f t="shared" si="407"/>
        <v>0</v>
      </c>
      <c r="DP233" s="407">
        <f t="shared" si="407"/>
        <v>0</v>
      </c>
      <c r="DQ233" s="407">
        <f t="shared" si="407"/>
        <v>0</v>
      </c>
      <c r="DR233" s="407">
        <f t="shared" si="407"/>
        <v>0</v>
      </c>
      <c r="DS233" s="407">
        <f t="shared" si="407"/>
        <v>0</v>
      </c>
      <c r="DT233" s="407">
        <f t="shared" si="407"/>
        <v>0</v>
      </c>
      <c r="DU233" s="407">
        <f t="shared" si="407"/>
        <v>0</v>
      </c>
      <c r="EI233" s="280"/>
    </row>
    <row r="234" spans="1:139" s="200" customFormat="1" hidden="1" x14ac:dyDescent="0.3">
      <c r="A234" s="282" t="s">
        <v>2504</v>
      </c>
      <c r="B234" s="282"/>
      <c r="C234" s="282"/>
      <c r="D234" s="647"/>
      <c r="E234" s="647">
        <f t="shared" ref="E234:AN234" ca="1" si="408">SUM(E232:E233)</f>
        <v>-1684806.2553703375</v>
      </c>
      <c r="F234" s="647">
        <f t="shared" ca="1" si="408"/>
        <v>-13679721.285321232</v>
      </c>
      <c r="G234" s="647">
        <f t="shared" ca="1" si="408"/>
        <v>-429758.58896990592</v>
      </c>
      <c r="H234" s="647">
        <f t="shared" ca="1" si="408"/>
        <v>-652516.24275347544</v>
      </c>
      <c r="I234" s="647">
        <f t="shared" ca="1" si="408"/>
        <v>-1108216.2834030252</v>
      </c>
      <c r="J234" s="647">
        <f t="shared" ca="1" si="408"/>
        <v>-1808500.5776190415</v>
      </c>
      <c r="K234" s="647">
        <f t="shared" ca="1" si="408"/>
        <v>-1861449.5545326734</v>
      </c>
      <c r="L234" s="647">
        <f t="shared" ca="1" si="408"/>
        <v>-2372000.4851556052</v>
      </c>
      <c r="M234" s="647">
        <f t="shared" ca="1" si="408"/>
        <v>-2813680.2377213496</v>
      </c>
      <c r="N234" s="647">
        <f t="shared" ca="1" si="408"/>
        <v>-3293680.161515363</v>
      </c>
      <c r="O234" s="647">
        <f t="shared" ca="1" si="408"/>
        <v>-1869318.1862202697</v>
      </c>
      <c r="P234" s="647">
        <f t="shared" ca="1" si="408"/>
        <v>0</v>
      </c>
      <c r="Q234" s="647">
        <f t="shared" ca="1" si="408"/>
        <v>0</v>
      </c>
      <c r="R234" s="647">
        <f t="shared" ca="1" si="408"/>
        <v>0</v>
      </c>
      <c r="S234" s="647">
        <f t="shared" ca="1" si="408"/>
        <v>0</v>
      </c>
      <c r="T234" s="647">
        <f t="shared" ca="1" si="408"/>
        <v>0</v>
      </c>
      <c r="U234" s="647">
        <f t="shared" ca="1" si="408"/>
        <v>0</v>
      </c>
      <c r="V234" s="647">
        <f t="shared" ca="1" si="408"/>
        <v>0</v>
      </c>
      <c r="W234" s="647">
        <f t="shared" ca="1" si="408"/>
        <v>0</v>
      </c>
      <c r="X234" s="647">
        <f t="shared" ca="1" si="408"/>
        <v>0</v>
      </c>
      <c r="Y234" s="647">
        <f t="shared" ca="1" si="408"/>
        <v>0</v>
      </c>
      <c r="Z234" s="647">
        <f t="shared" ca="1" si="408"/>
        <v>0</v>
      </c>
      <c r="AA234" s="647">
        <f t="shared" ca="1" si="408"/>
        <v>0</v>
      </c>
      <c r="AB234" s="647">
        <f t="shared" ca="1" si="408"/>
        <v>0</v>
      </c>
      <c r="AC234" s="647">
        <f t="shared" ca="1" si="408"/>
        <v>39701.726541082207</v>
      </c>
      <c r="AD234" s="647">
        <f t="shared" ca="1" si="408"/>
        <v>75897.380147726886</v>
      </c>
      <c r="AE234" s="647">
        <f t="shared" ca="1" si="408"/>
        <v>117111.83679771089</v>
      </c>
      <c r="AF234" s="647">
        <f t="shared" ca="1" si="408"/>
        <v>197606.01356017322</v>
      </c>
      <c r="AG234" s="647">
        <f t="shared" ca="1" si="408"/>
        <v>200887.72104683847</v>
      </c>
      <c r="AH234" s="647">
        <f t="shared" si="408"/>
        <v>0</v>
      </c>
      <c r="AI234" s="647">
        <f t="shared" si="408"/>
        <v>0</v>
      </c>
      <c r="AJ234" s="647">
        <f t="shared" si="408"/>
        <v>0</v>
      </c>
      <c r="AK234" s="647">
        <f t="shared" si="408"/>
        <v>0</v>
      </c>
      <c r="AL234" s="647">
        <f t="shared" si="408"/>
        <v>0</v>
      </c>
      <c r="AM234" s="647">
        <f t="shared" si="408"/>
        <v>0</v>
      </c>
      <c r="AN234" s="647">
        <f t="shared" si="408"/>
        <v>0</v>
      </c>
      <c r="AO234" s="647">
        <f>SUM(AO232:AO233)</f>
        <v>0</v>
      </c>
      <c r="AP234" s="647">
        <f t="shared" ref="AP234:DA234" si="409">SUM(AP232:AP233)</f>
        <v>0</v>
      </c>
      <c r="AQ234" s="647">
        <f t="shared" si="409"/>
        <v>0</v>
      </c>
      <c r="AR234" s="647">
        <f t="shared" si="409"/>
        <v>0</v>
      </c>
      <c r="AS234" s="647">
        <f t="shared" si="409"/>
        <v>0</v>
      </c>
      <c r="AT234" s="647">
        <f t="shared" si="409"/>
        <v>0</v>
      </c>
      <c r="AU234" s="647">
        <f t="shared" si="409"/>
        <v>0</v>
      </c>
      <c r="AV234" s="647">
        <f t="shared" si="409"/>
        <v>0</v>
      </c>
      <c r="AW234" s="647">
        <f t="shared" si="409"/>
        <v>0</v>
      </c>
      <c r="AX234" s="647">
        <f t="shared" si="409"/>
        <v>0</v>
      </c>
      <c r="AY234" s="647">
        <f t="shared" si="409"/>
        <v>0</v>
      </c>
      <c r="AZ234" s="647">
        <f t="shared" si="409"/>
        <v>0</v>
      </c>
      <c r="BA234" s="647">
        <f t="shared" si="409"/>
        <v>0</v>
      </c>
      <c r="BB234" s="647">
        <f t="shared" si="409"/>
        <v>0</v>
      </c>
      <c r="BC234" s="647">
        <f t="shared" si="409"/>
        <v>0</v>
      </c>
      <c r="BD234" s="647">
        <f t="shared" si="409"/>
        <v>0</v>
      </c>
      <c r="BE234" s="647">
        <f t="shared" si="409"/>
        <v>0</v>
      </c>
      <c r="BF234" s="647">
        <f t="shared" si="409"/>
        <v>0</v>
      </c>
      <c r="BG234" s="647">
        <f t="shared" si="409"/>
        <v>0</v>
      </c>
      <c r="BH234" s="647">
        <f t="shared" si="409"/>
        <v>0</v>
      </c>
      <c r="BI234" s="647">
        <f t="shared" si="409"/>
        <v>0</v>
      </c>
      <c r="BJ234" s="647">
        <f t="shared" si="409"/>
        <v>0</v>
      </c>
      <c r="BK234" s="647">
        <f t="shared" si="409"/>
        <v>0</v>
      </c>
      <c r="BL234" s="647">
        <f t="shared" si="409"/>
        <v>0</v>
      </c>
      <c r="BM234" s="647">
        <f t="shared" si="409"/>
        <v>0</v>
      </c>
      <c r="BN234" s="647">
        <f t="shared" si="409"/>
        <v>0</v>
      </c>
      <c r="BO234" s="647">
        <f t="shared" si="409"/>
        <v>0</v>
      </c>
      <c r="BP234" s="647">
        <f t="shared" si="409"/>
        <v>0</v>
      </c>
      <c r="BQ234" s="647">
        <f t="shared" si="409"/>
        <v>0</v>
      </c>
      <c r="BR234" s="647">
        <f t="shared" si="409"/>
        <v>0</v>
      </c>
      <c r="BS234" s="647">
        <f t="shared" si="409"/>
        <v>0</v>
      </c>
      <c r="BT234" s="647">
        <f t="shared" si="409"/>
        <v>0</v>
      </c>
      <c r="BU234" s="647">
        <f t="shared" si="409"/>
        <v>0</v>
      </c>
      <c r="BV234" s="647">
        <f t="shared" si="409"/>
        <v>0</v>
      </c>
      <c r="BW234" s="647">
        <f t="shared" si="409"/>
        <v>0</v>
      </c>
      <c r="BX234" s="647">
        <f t="shared" si="409"/>
        <v>0</v>
      </c>
      <c r="BY234" s="647">
        <f t="shared" si="409"/>
        <v>0</v>
      </c>
      <c r="BZ234" s="647">
        <f t="shared" si="409"/>
        <v>0</v>
      </c>
      <c r="CA234" s="647">
        <f t="shared" si="409"/>
        <v>0</v>
      </c>
      <c r="CB234" s="647">
        <f t="shared" si="409"/>
        <v>0</v>
      </c>
      <c r="CC234" s="647">
        <f t="shared" si="409"/>
        <v>0</v>
      </c>
      <c r="CD234" s="647">
        <f t="shared" si="409"/>
        <v>0</v>
      </c>
      <c r="CE234" s="647">
        <f t="shared" si="409"/>
        <v>0</v>
      </c>
      <c r="CF234" s="647">
        <f t="shared" si="409"/>
        <v>0</v>
      </c>
      <c r="CG234" s="647">
        <f t="shared" si="409"/>
        <v>0</v>
      </c>
      <c r="CH234" s="647">
        <f t="shared" si="409"/>
        <v>0</v>
      </c>
      <c r="CI234" s="647">
        <f t="shared" si="409"/>
        <v>0</v>
      </c>
      <c r="CJ234" s="647">
        <f t="shared" si="409"/>
        <v>0</v>
      </c>
      <c r="CK234" s="647">
        <f t="shared" si="409"/>
        <v>0</v>
      </c>
      <c r="CL234" s="647">
        <f t="shared" si="409"/>
        <v>0</v>
      </c>
      <c r="CM234" s="647">
        <f t="shared" si="409"/>
        <v>0</v>
      </c>
      <c r="CN234" s="647">
        <f t="shared" si="409"/>
        <v>0</v>
      </c>
      <c r="CO234" s="647">
        <f t="shared" si="409"/>
        <v>0</v>
      </c>
      <c r="CP234" s="647">
        <f t="shared" si="409"/>
        <v>0</v>
      </c>
      <c r="CQ234" s="647">
        <f t="shared" si="409"/>
        <v>0</v>
      </c>
      <c r="CR234" s="647">
        <f t="shared" si="409"/>
        <v>0</v>
      </c>
      <c r="CS234" s="647">
        <f t="shared" si="409"/>
        <v>0</v>
      </c>
      <c r="CT234" s="647">
        <f t="shared" si="409"/>
        <v>0</v>
      </c>
      <c r="CU234" s="647">
        <f t="shared" si="409"/>
        <v>0</v>
      </c>
      <c r="CV234" s="647">
        <f t="shared" si="409"/>
        <v>0</v>
      </c>
      <c r="CW234" s="647">
        <f t="shared" si="409"/>
        <v>0</v>
      </c>
      <c r="CX234" s="647">
        <f t="shared" si="409"/>
        <v>0</v>
      </c>
      <c r="CY234" s="647">
        <f t="shared" si="409"/>
        <v>0</v>
      </c>
      <c r="CZ234" s="647">
        <f t="shared" si="409"/>
        <v>0</v>
      </c>
      <c r="DA234" s="647">
        <f t="shared" si="409"/>
        <v>0</v>
      </c>
      <c r="DB234" s="647">
        <f t="shared" ref="DB234:DU234" si="410">SUM(DB232:DB233)</f>
        <v>0</v>
      </c>
      <c r="DC234" s="647">
        <f t="shared" si="410"/>
        <v>0</v>
      </c>
      <c r="DD234" s="647">
        <f t="shared" si="410"/>
        <v>0</v>
      </c>
      <c r="DE234" s="647">
        <f t="shared" si="410"/>
        <v>0</v>
      </c>
      <c r="DF234" s="647">
        <f t="shared" si="410"/>
        <v>0</v>
      </c>
      <c r="DG234" s="647">
        <f t="shared" si="410"/>
        <v>0</v>
      </c>
      <c r="DH234" s="647">
        <f t="shared" si="410"/>
        <v>0</v>
      </c>
      <c r="DI234" s="647">
        <f t="shared" si="410"/>
        <v>0</v>
      </c>
      <c r="DJ234" s="647">
        <f t="shared" si="410"/>
        <v>0</v>
      </c>
      <c r="DK234" s="647">
        <f t="shared" si="410"/>
        <v>0</v>
      </c>
      <c r="DL234" s="647">
        <f t="shared" si="410"/>
        <v>0</v>
      </c>
      <c r="DM234" s="647">
        <f t="shared" si="410"/>
        <v>0</v>
      </c>
      <c r="DN234" s="647">
        <f t="shared" si="410"/>
        <v>0</v>
      </c>
      <c r="DO234" s="647">
        <f t="shared" si="410"/>
        <v>0</v>
      </c>
      <c r="DP234" s="647">
        <f t="shared" si="410"/>
        <v>0</v>
      </c>
      <c r="DQ234" s="647">
        <f t="shared" si="410"/>
        <v>0</v>
      </c>
      <c r="DR234" s="647">
        <f t="shared" si="410"/>
        <v>0</v>
      </c>
      <c r="DS234" s="647">
        <f t="shared" si="410"/>
        <v>0</v>
      </c>
      <c r="DT234" s="647">
        <f t="shared" si="410"/>
        <v>0</v>
      </c>
      <c r="DU234" s="647">
        <f t="shared" si="410"/>
        <v>0</v>
      </c>
      <c r="EI234" s="680"/>
    </row>
    <row r="235" spans="1:139" x14ac:dyDescent="0.3">
      <c r="A235" s="717" t="str">
        <f>'General Inputs'!$J$29&amp;" Return OF and ON Equity"</f>
        <v>LP Return OF and ON Equity</v>
      </c>
      <c r="B235" s="717"/>
      <c r="C235" s="717"/>
      <c r="D235" s="741"/>
      <c r="E235" s="718">
        <f t="shared" ref="E235:AJ235" si="411">IF(E$5&lt;=DispositionMonth,E212,0)</f>
        <v>0</v>
      </c>
      <c r="F235" s="718">
        <f t="shared" si="411"/>
        <v>0</v>
      </c>
      <c r="G235" s="718">
        <f t="shared" si="411"/>
        <v>0</v>
      </c>
      <c r="H235" s="718">
        <f t="shared" si="411"/>
        <v>0</v>
      </c>
      <c r="I235" s="718">
        <f t="shared" si="411"/>
        <v>0</v>
      </c>
      <c r="J235" s="718">
        <f t="shared" si="411"/>
        <v>0</v>
      </c>
      <c r="K235" s="718">
        <f t="shared" si="411"/>
        <v>0</v>
      </c>
      <c r="L235" s="718">
        <f t="shared" si="411"/>
        <v>0</v>
      </c>
      <c r="M235" s="718">
        <f t="shared" si="411"/>
        <v>0</v>
      </c>
      <c r="N235" s="718">
        <f t="shared" si="411"/>
        <v>0</v>
      </c>
      <c r="O235" s="718">
        <f t="shared" si="411"/>
        <v>0</v>
      </c>
      <c r="P235" s="718">
        <f t="shared" si="411"/>
        <v>0</v>
      </c>
      <c r="Q235" s="718">
        <f t="shared" si="411"/>
        <v>0</v>
      </c>
      <c r="R235" s="718">
        <f t="shared" si="411"/>
        <v>0</v>
      </c>
      <c r="S235" s="718">
        <f t="shared" si="411"/>
        <v>0</v>
      </c>
      <c r="T235" s="718">
        <f t="shared" si="411"/>
        <v>0</v>
      </c>
      <c r="U235" s="718">
        <f t="shared" si="411"/>
        <v>0</v>
      </c>
      <c r="V235" s="718">
        <f t="shared" si="411"/>
        <v>0</v>
      </c>
      <c r="W235" s="718">
        <f t="shared" si="411"/>
        <v>0</v>
      </c>
      <c r="X235" s="718">
        <f t="shared" si="411"/>
        <v>0</v>
      </c>
      <c r="Y235" s="718">
        <f t="shared" si="411"/>
        <v>0</v>
      </c>
      <c r="Z235" s="718">
        <f t="shared" si="411"/>
        <v>0</v>
      </c>
      <c r="AA235" s="718">
        <f t="shared" si="411"/>
        <v>0</v>
      </c>
      <c r="AB235" s="718">
        <f t="shared" si="411"/>
        <v>0</v>
      </c>
      <c r="AC235" s="718">
        <f t="shared" si="411"/>
        <v>0</v>
      </c>
      <c r="AD235" s="718">
        <f t="shared" si="411"/>
        <v>0</v>
      </c>
      <c r="AE235" s="718">
        <f t="shared" si="411"/>
        <v>0</v>
      </c>
      <c r="AF235" s="718">
        <f t="shared" si="411"/>
        <v>0</v>
      </c>
      <c r="AG235" s="718">
        <f t="shared" ca="1" si="411"/>
        <v>37886681.514896236</v>
      </c>
      <c r="AH235" s="718">
        <f t="shared" si="411"/>
        <v>0</v>
      </c>
      <c r="AI235" s="718">
        <f t="shared" si="411"/>
        <v>0</v>
      </c>
      <c r="AJ235" s="718">
        <f t="shared" si="411"/>
        <v>0</v>
      </c>
      <c r="AK235" s="718">
        <f t="shared" ref="AK235:BP235" si="412">IF(AK$5&lt;=DispositionMonth,AK212,0)</f>
        <v>0</v>
      </c>
      <c r="AL235" s="718">
        <f t="shared" si="412"/>
        <v>0</v>
      </c>
      <c r="AM235" s="718">
        <f t="shared" si="412"/>
        <v>0</v>
      </c>
      <c r="AN235" s="718">
        <f t="shared" si="412"/>
        <v>0</v>
      </c>
      <c r="AO235" s="718">
        <f t="shared" si="412"/>
        <v>0</v>
      </c>
      <c r="AP235" s="718">
        <f t="shared" si="412"/>
        <v>0</v>
      </c>
      <c r="AQ235" s="718">
        <f t="shared" si="412"/>
        <v>0</v>
      </c>
      <c r="AR235" s="718">
        <f t="shared" si="412"/>
        <v>0</v>
      </c>
      <c r="AS235" s="718">
        <f t="shared" si="412"/>
        <v>0</v>
      </c>
      <c r="AT235" s="718">
        <f t="shared" si="412"/>
        <v>0</v>
      </c>
      <c r="AU235" s="718">
        <f t="shared" si="412"/>
        <v>0</v>
      </c>
      <c r="AV235" s="718">
        <f t="shared" si="412"/>
        <v>0</v>
      </c>
      <c r="AW235" s="718">
        <f t="shared" si="412"/>
        <v>0</v>
      </c>
      <c r="AX235" s="718">
        <f t="shared" si="412"/>
        <v>0</v>
      </c>
      <c r="AY235" s="718">
        <f t="shared" si="412"/>
        <v>0</v>
      </c>
      <c r="AZ235" s="718">
        <f t="shared" si="412"/>
        <v>0</v>
      </c>
      <c r="BA235" s="718">
        <f t="shared" si="412"/>
        <v>0</v>
      </c>
      <c r="BB235" s="718">
        <f t="shared" si="412"/>
        <v>0</v>
      </c>
      <c r="BC235" s="718">
        <f t="shared" si="412"/>
        <v>0</v>
      </c>
      <c r="BD235" s="718">
        <f t="shared" si="412"/>
        <v>0</v>
      </c>
      <c r="BE235" s="718">
        <f t="shared" si="412"/>
        <v>0</v>
      </c>
      <c r="BF235" s="718">
        <f t="shared" si="412"/>
        <v>0</v>
      </c>
      <c r="BG235" s="718">
        <f t="shared" si="412"/>
        <v>0</v>
      </c>
      <c r="BH235" s="718">
        <f t="shared" si="412"/>
        <v>0</v>
      </c>
      <c r="BI235" s="718">
        <f t="shared" si="412"/>
        <v>0</v>
      </c>
      <c r="BJ235" s="718">
        <f t="shared" si="412"/>
        <v>0</v>
      </c>
      <c r="BK235" s="718">
        <f t="shared" si="412"/>
        <v>0</v>
      </c>
      <c r="BL235" s="718">
        <f t="shared" si="412"/>
        <v>0</v>
      </c>
      <c r="BM235" s="718">
        <f t="shared" si="412"/>
        <v>0</v>
      </c>
      <c r="BN235" s="718">
        <f t="shared" si="412"/>
        <v>0</v>
      </c>
      <c r="BO235" s="718">
        <f t="shared" si="412"/>
        <v>0</v>
      </c>
      <c r="BP235" s="718">
        <f t="shared" si="412"/>
        <v>0</v>
      </c>
      <c r="BQ235" s="718">
        <f t="shared" ref="BQ235:CV235" si="413">IF(BQ$5&lt;=DispositionMonth,BQ212,0)</f>
        <v>0</v>
      </c>
      <c r="BR235" s="718">
        <f t="shared" si="413"/>
        <v>0</v>
      </c>
      <c r="BS235" s="718">
        <f t="shared" si="413"/>
        <v>0</v>
      </c>
      <c r="BT235" s="718">
        <f t="shared" si="413"/>
        <v>0</v>
      </c>
      <c r="BU235" s="718">
        <f t="shared" si="413"/>
        <v>0</v>
      </c>
      <c r="BV235" s="718">
        <f t="shared" si="413"/>
        <v>0</v>
      </c>
      <c r="BW235" s="718">
        <f t="shared" si="413"/>
        <v>0</v>
      </c>
      <c r="BX235" s="718">
        <f t="shared" si="413"/>
        <v>0</v>
      </c>
      <c r="BY235" s="718">
        <f t="shared" si="413"/>
        <v>0</v>
      </c>
      <c r="BZ235" s="718">
        <f t="shared" si="413"/>
        <v>0</v>
      </c>
      <c r="CA235" s="718">
        <f t="shared" si="413"/>
        <v>0</v>
      </c>
      <c r="CB235" s="718">
        <f t="shared" si="413"/>
        <v>0</v>
      </c>
      <c r="CC235" s="718">
        <f t="shared" si="413"/>
        <v>0</v>
      </c>
      <c r="CD235" s="718">
        <f t="shared" si="413"/>
        <v>0</v>
      </c>
      <c r="CE235" s="718">
        <f t="shared" si="413"/>
        <v>0</v>
      </c>
      <c r="CF235" s="718">
        <f t="shared" si="413"/>
        <v>0</v>
      </c>
      <c r="CG235" s="718">
        <f t="shared" si="413"/>
        <v>0</v>
      </c>
      <c r="CH235" s="718">
        <f t="shared" si="413"/>
        <v>0</v>
      </c>
      <c r="CI235" s="718">
        <f t="shared" si="413"/>
        <v>0</v>
      </c>
      <c r="CJ235" s="718">
        <f t="shared" si="413"/>
        <v>0</v>
      </c>
      <c r="CK235" s="718">
        <f t="shared" si="413"/>
        <v>0</v>
      </c>
      <c r="CL235" s="718">
        <f t="shared" si="413"/>
        <v>0</v>
      </c>
      <c r="CM235" s="718">
        <f t="shared" si="413"/>
        <v>0</v>
      </c>
      <c r="CN235" s="718">
        <f t="shared" si="413"/>
        <v>0</v>
      </c>
      <c r="CO235" s="718">
        <f t="shared" si="413"/>
        <v>0</v>
      </c>
      <c r="CP235" s="718">
        <f t="shared" si="413"/>
        <v>0</v>
      </c>
      <c r="CQ235" s="718">
        <f t="shared" si="413"/>
        <v>0</v>
      </c>
      <c r="CR235" s="718">
        <f t="shared" si="413"/>
        <v>0</v>
      </c>
      <c r="CS235" s="718">
        <f t="shared" si="413"/>
        <v>0</v>
      </c>
      <c r="CT235" s="718">
        <f t="shared" si="413"/>
        <v>0</v>
      </c>
      <c r="CU235" s="718">
        <f t="shared" si="413"/>
        <v>0</v>
      </c>
      <c r="CV235" s="718">
        <f t="shared" si="413"/>
        <v>0</v>
      </c>
      <c r="CW235" s="718">
        <f t="shared" ref="CW235:DU235" si="414">IF(CW$5&lt;=DispositionMonth,CW212,0)</f>
        <v>0</v>
      </c>
      <c r="CX235" s="718">
        <f t="shared" si="414"/>
        <v>0</v>
      </c>
      <c r="CY235" s="718">
        <f t="shared" si="414"/>
        <v>0</v>
      </c>
      <c r="CZ235" s="718">
        <f t="shared" si="414"/>
        <v>0</v>
      </c>
      <c r="DA235" s="718">
        <f t="shared" si="414"/>
        <v>0</v>
      </c>
      <c r="DB235" s="718">
        <f t="shared" si="414"/>
        <v>0</v>
      </c>
      <c r="DC235" s="718">
        <f t="shared" si="414"/>
        <v>0</v>
      </c>
      <c r="DD235" s="718">
        <f t="shared" si="414"/>
        <v>0</v>
      </c>
      <c r="DE235" s="718">
        <f t="shared" si="414"/>
        <v>0</v>
      </c>
      <c r="DF235" s="718">
        <f t="shared" si="414"/>
        <v>0</v>
      </c>
      <c r="DG235" s="718">
        <f t="shared" si="414"/>
        <v>0</v>
      </c>
      <c r="DH235" s="718">
        <f t="shared" si="414"/>
        <v>0</v>
      </c>
      <c r="DI235" s="718">
        <f t="shared" si="414"/>
        <v>0</v>
      </c>
      <c r="DJ235" s="718">
        <f t="shared" si="414"/>
        <v>0</v>
      </c>
      <c r="DK235" s="718">
        <f t="shared" si="414"/>
        <v>0</v>
      </c>
      <c r="DL235" s="718">
        <f t="shared" si="414"/>
        <v>0</v>
      </c>
      <c r="DM235" s="718">
        <f t="shared" si="414"/>
        <v>0</v>
      </c>
      <c r="DN235" s="718">
        <f t="shared" si="414"/>
        <v>0</v>
      </c>
      <c r="DO235" s="718">
        <f t="shared" si="414"/>
        <v>0</v>
      </c>
      <c r="DP235" s="718">
        <f t="shared" si="414"/>
        <v>0</v>
      </c>
      <c r="DQ235" s="718">
        <f t="shared" si="414"/>
        <v>0</v>
      </c>
      <c r="DR235" s="718">
        <f t="shared" si="414"/>
        <v>0</v>
      </c>
      <c r="DS235" s="718">
        <f t="shared" si="414"/>
        <v>0</v>
      </c>
      <c r="DT235" s="718">
        <f t="shared" si="414"/>
        <v>0</v>
      </c>
      <c r="DU235" s="718">
        <f t="shared" si="414"/>
        <v>0</v>
      </c>
      <c r="EI235" s="280"/>
    </row>
    <row r="236" spans="1:139" x14ac:dyDescent="0.3">
      <c r="A236" s="182" t="str">
        <f>'General Inputs'!$J$29&amp;" Cash Flows Before Promote"</f>
        <v>LP Cash Flows Before Promote</v>
      </c>
      <c r="B236" s="182"/>
      <c r="C236" s="182"/>
      <c r="D236" s="686"/>
      <c r="E236" s="408">
        <f t="shared" ref="E236:AN236" ca="1" si="415">SUM(E234:E235)</f>
        <v>-1684806.2553703375</v>
      </c>
      <c r="F236" s="408">
        <f t="shared" ca="1" si="415"/>
        <v>-13679721.285321232</v>
      </c>
      <c r="G236" s="408">
        <f t="shared" ca="1" si="415"/>
        <v>-429758.58896990592</v>
      </c>
      <c r="H236" s="408">
        <f t="shared" ca="1" si="415"/>
        <v>-652516.24275347544</v>
      </c>
      <c r="I236" s="408">
        <f t="shared" ca="1" si="415"/>
        <v>-1108216.2834030252</v>
      </c>
      <c r="J236" s="408">
        <f t="shared" ca="1" si="415"/>
        <v>-1808500.5776190415</v>
      </c>
      <c r="K236" s="408">
        <f t="shared" ca="1" si="415"/>
        <v>-1861449.5545326734</v>
      </c>
      <c r="L236" s="408">
        <f t="shared" ca="1" si="415"/>
        <v>-2372000.4851556052</v>
      </c>
      <c r="M236" s="408">
        <f t="shared" ca="1" si="415"/>
        <v>-2813680.2377213496</v>
      </c>
      <c r="N236" s="408">
        <f t="shared" ca="1" si="415"/>
        <v>-3293680.161515363</v>
      </c>
      <c r="O236" s="408">
        <f t="shared" ca="1" si="415"/>
        <v>-1869318.1862202697</v>
      </c>
      <c r="P236" s="408">
        <f t="shared" ca="1" si="415"/>
        <v>0</v>
      </c>
      <c r="Q236" s="408">
        <f t="shared" ca="1" si="415"/>
        <v>0</v>
      </c>
      <c r="R236" s="408">
        <f t="shared" ca="1" si="415"/>
        <v>0</v>
      </c>
      <c r="S236" s="408">
        <f t="shared" ca="1" si="415"/>
        <v>0</v>
      </c>
      <c r="T236" s="408">
        <f t="shared" ca="1" si="415"/>
        <v>0</v>
      </c>
      <c r="U236" s="408">
        <f t="shared" ca="1" si="415"/>
        <v>0</v>
      </c>
      <c r="V236" s="408">
        <f t="shared" ca="1" si="415"/>
        <v>0</v>
      </c>
      <c r="W236" s="408">
        <f t="shared" ca="1" si="415"/>
        <v>0</v>
      </c>
      <c r="X236" s="408">
        <f t="shared" ca="1" si="415"/>
        <v>0</v>
      </c>
      <c r="Y236" s="408">
        <f t="shared" ca="1" si="415"/>
        <v>0</v>
      </c>
      <c r="Z236" s="408">
        <f t="shared" ca="1" si="415"/>
        <v>0</v>
      </c>
      <c r="AA236" s="408">
        <f t="shared" ca="1" si="415"/>
        <v>0</v>
      </c>
      <c r="AB236" s="408">
        <f t="shared" ca="1" si="415"/>
        <v>0</v>
      </c>
      <c r="AC236" s="408">
        <f t="shared" ca="1" si="415"/>
        <v>39701.726541082207</v>
      </c>
      <c r="AD236" s="408">
        <f t="shared" ca="1" si="415"/>
        <v>75897.380147726886</v>
      </c>
      <c r="AE236" s="408">
        <f t="shared" ca="1" si="415"/>
        <v>117111.83679771089</v>
      </c>
      <c r="AF236" s="408">
        <f t="shared" ca="1" si="415"/>
        <v>197606.01356017322</v>
      </c>
      <c r="AG236" s="408">
        <f t="shared" ca="1" si="415"/>
        <v>38087569.235943072</v>
      </c>
      <c r="AH236" s="408">
        <f t="shared" si="415"/>
        <v>0</v>
      </c>
      <c r="AI236" s="408">
        <f t="shared" si="415"/>
        <v>0</v>
      </c>
      <c r="AJ236" s="408">
        <f t="shared" si="415"/>
        <v>0</v>
      </c>
      <c r="AK236" s="408">
        <f t="shared" si="415"/>
        <v>0</v>
      </c>
      <c r="AL236" s="408">
        <f t="shared" si="415"/>
        <v>0</v>
      </c>
      <c r="AM236" s="408">
        <f t="shared" si="415"/>
        <v>0</v>
      </c>
      <c r="AN236" s="408">
        <f t="shared" si="415"/>
        <v>0</v>
      </c>
      <c r="AO236" s="408">
        <f>SUM(AO234:AO235)</f>
        <v>0</v>
      </c>
      <c r="AP236" s="408">
        <f t="shared" ref="AP236:DA236" si="416">SUM(AP234:AP235)</f>
        <v>0</v>
      </c>
      <c r="AQ236" s="408">
        <f t="shared" si="416"/>
        <v>0</v>
      </c>
      <c r="AR236" s="408">
        <f t="shared" si="416"/>
        <v>0</v>
      </c>
      <c r="AS236" s="408">
        <f t="shared" si="416"/>
        <v>0</v>
      </c>
      <c r="AT236" s="408">
        <f t="shared" si="416"/>
        <v>0</v>
      </c>
      <c r="AU236" s="408">
        <f t="shared" si="416"/>
        <v>0</v>
      </c>
      <c r="AV236" s="408">
        <f t="shared" si="416"/>
        <v>0</v>
      </c>
      <c r="AW236" s="408">
        <f t="shared" si="416"/>
        <v>0</v>
      </c>
      <c r="AX236" s="408">
        <f t="shared" si="416"/>
        <v>0</v>
      </c>
      <c r="AY236" s="408">
        <f t="shared" si="416"/>
        <v>0</v>
      </c>
      <c r="AZ236" s="408">
        <f t="shared" si="416"/>
        <v>0</v>
      </c>
      <c r="BA236" s="408">
        <f t="shared" si="416"/>
        <v>0</v>
      </c>
      <c r="BB236" s="408">
        <f t="shared" si="416"/>
        <v>0</v>
      </c>
      <c r="BC236" s="408">
        <f t="shared" si="416"/>
        <v>0</v>
      </c>
      <c r="BD236" s="408">
        <f t="shared" si="416"/>
        <v>0</v>
      </c>
      <c r="BE236" s="408">
        <f t="shared" si="416"/>
        <v>0</v>
      </c>
      <c r="BF236" s="408">
        <f t="shared" si="416"/>
        <v>0</v>
      </c>
      <c r="BG236" s="408">
        <f t="shared" si="416"/>
        <v>0</v>
      </c>
      <c r="BH236" s="408">
        <f t="shared" si="416"/>
        <v>0</v>
      </c>
      <c r="BI236" s="408">
        <f t="shared" si="416"/>
        <v>0</v>
      </c>
      <c r="BJ236" s="408">
        <f t="shared" si="416"/>
        <v>0</v>
      </c>
      <c r="BK236" s="408">
        <f t="shared" si="416"/>
        <v>0</v>
      </c>
      <c r="BL236" s="408">
        <f t="shared" si="416"/>
        <v>0</v>
      </c>
      <c r="BM236" s="408">
        <f t="shared" si="416"/>
        <v>0</v>
      </c>
      <c r="BN236" s="408">
        <f t="shared" si="416"/>
        <v>0</v>
      </c>
      <c r="BO236" s="408">
        <f t="shared" si="416"/>
        <v>0</v>
      </c>
      <c r="BP236" s="408">
        <f t="shared" si="416"/>
        <v>0</v>
      </c>
      <c r="BQ236" s="408">
        <f t="shared" si="416"/>
        <v>0</v>
      </c>
      <c r="BR236" s="408">
        <f t="shared" si="416"/>
        <v>0</v>
      </c>
      <c r="BS236" s="408">
        <f t="shared" si="416"/>
        <v>0</v>
      </c>
      <c r="BT236" s="408">
        <f t="shared" si="416"/>
        <v>0</v>
      </c>
      <c r="BU236" s="408">
        <f t="shared" si="416"/>
        <v>0</v>
      </c>
      <c r="BV236" s="408">
        <f t="shared" si="416"/>
        <v>0</v>
      </c>
      <c r="BW236" s="408">
        <f t="shared" si="416"/>
        <v>0</v>
      </c>
      <c r="BX236" s="408">
        <f t="shared" si="416"/>
        <v>0</v>
      </c>
      <c r="BY236" s="408">
        <f t="shared" si="416"/>
        <v>0</v>
      </c>
      <c r="BZ236" s="408">
        <f t="shared" si="416"/>
        <v>0</v>
      </c>
      <c r="CA236" s="408">
        <f t="shared" si="416"/>
        <v>0</v>
      </c>
      <c r="CB236" s="408">
        <f t="shared" si="416"/>
        <v>0</v>
      </c>
      <c r="CC236" s="408">
        <f t="shared" si="416"/>
        <v>0</v>
      </c>
      <c r="CD236" s="408">
        <f t="shared" si="416"/>
        <v>0</v>
      </c>
      <c r="CE236" s="408">
        <f t="shared" si="416"/>
        <v>0</v>
      </c>
      <c r="CF236" s="408">
        <f t="shared" si="416"/>
        <v>0</v>
      </c>
      <c r="CG236" s="408">
        <f t="shared" si="416"/>
        <v>0</v>
      </c>
      <c r="CH236" s="408">
        <f t="shared" si="416"/>
        <v>0</v>
      </c>
      <c r="CI236" s="408">
        <f t="shared" si="416"/>
        <v>0</v>
      </c>
      <c r="CJ236" s="408">
        <f t="shared" si="416"/>
        <v>0</v>
      </c>
      <c r="CK236" s="408">
        <f t="shared" si="416"/>
        <v>0</v>
      </c>
      <c r="CL236" s="408">
        <f t="shared" si="416"/>
        <v>0</v>
      </c>
      <c r="CM236" s="408">
        <f t="shared" si="416"/>
        <v>0</v>
      </c>
      <c r="CN236" s="408">
        <f t="shared" si="416"/>
        <v>0</v>
      </c>
      <c r="CO236" s="408">
        <f t="shared" si="416"/>
        <v>0</v>
      </c>
      <c r="CP236" s="408">
        <f t="shared" si="416"/>
        <v>0</v>
      </c>
      <c r="CQ236" s="408">
        <f t="shared" si="416"/>
        <v>0</v>
      </c>
      <c r="CR236" s="408">
        <f t="shared" si="416"/>
        <v>0</v>
      </c>
      <c r="CS236" s="408">
        <f t="shared" si="416"/>
        <v>0</v>
      </c>
      <c r="CT236" s="408">
        <f t="shared" si="416"/>
        <v>0</v>
      </c>
      <c r="CU236" s="408">
        <f t="shared" si="416"/>
        <v>0</v>
      </c>
      <c r="CV236" s="408">
        <f t="shared" si="416"/>
        <v>0</v>
      </c>
      <c r="CW236" s="408">
        <f t="shared" si="416"/>
        <v>0</v>
      </c>
      <c r="CX236" s="408">
        <f t="shared" si="416"/>
        <v>0</v>
      </c>
      <c r="CY236" s="408">
        <f t="shared" si="416"/>
        <v>0</v>
      </c>
      <c r="CZ236" s="408">
        <f t="shared" si="416"/>
        <v>0</v>
      </c>
      <c r="DA236" s="408">
        <f t="shared" si="416"/>
        <v>0</v>
      </c>
      <c r="DB236" s="408">
        <f t="shared" ref="DB236:DU236" si="417">SUM(DB234:DB235)</f>
        <v>0</v>
      </c>
      <c r="DC236" s="408">
        <f t="shared" si="417"/>
        <v>0</v>
      </c>
      <c r="DD236" s="408">
        <f t="shared" si="417"/>
        <v>0</v>
      </c>
      <c r="DE236" s="408">
        <f t="shared" si="417"/>
        <v>0</v>
      </c>
      <c r="DF236" s="408">
        <f t="shared" si="417"/>
        <v>0</v>
      </c>
      <c r="DG236" s="408">
        <f t="shared" si="417"/>
        <v>0</v>
      </c>
      <c r="DH236" s="408">
        <f t="shared" si="417"/>
        <v>0</v>
      </c>
      <c r="DI236" s="408">
        <f t="shared" si="417"/>
        <v>0</v>
      </c>
      <c r="DJ236" s="408">
        <f t="shared" si="417"/>
        <v>0</v>
      </c>
      <c r="DK236" s="408">
        <f t="shared" si="417"/>
        <v>0</v>
      </c>
      <c r="DL236" s="408">
        <f t="shared" si="417"/>
        <v>0</v>
      </c>
      <c r="DM236" s="408">
        <f t="shared" si="417"/>
        <v>0</v>
      </c>
      <c r="DN236" s="408">
        <f t="shared" si="417"/>
        <v>0</v>
      </c>
      <c r="DO236" s="408">
        <f t="shared" si="417"/>
        <v>0</v>
      </c>
      <c r="DP236" s="408">
        <f t="shared" si="417"/>
        <v>0</v>
      </c>
      <c r="DQ236" s="408">
        <f t="shared" si="417"/>
        <v>0</v>
      </c>
      <c r="DR236" s="408">
        <f t="shared" si="417"/>
        <v>0</v>
      </c>
      <c r="DS236" s="408">
        <f t="shared" si="417"/>
        <v>0</v>
      </c>
      <c r="DT236" s="408">
        <f t="shared" si="417"/>
        <v>0</v>
      </c>
      <c r="DU236" s="408">
        <f t="shared" si="417"/>
        <v>0</v>
      </c>
      <c r="EI236" s="722"/>
    </row>
    <row r="237" spans="1:139" s="200" customFormat="1" hidden="1" x14ac:dyDescent="0.3">
      <c r="A237" s="282" t="s">
        <v>2505</v>
      </c>
      <c r="B237" s="282"/>
      <c r="C237" s="686">
        <f ca="1">NPV((1+C238)^(1/12)-1,F234:DU234)+E234</f>
        <v>-29907883.819571588</v>
      </c>
      <c r="D237" s="647"/>
      <c r="E237" s="647"/>
      <c r="F237" s="647"/>
      <c r="G237" s="647"/>
      <c r="H237" s="647"/>
      <c r="I237" s="647"/>
      <c r="J237" s="647"/>
      <c r="K237" s="647"/>
      <c r="L237" s="647"/>
      <c r="M237" s="647"/>
      <c r="N237" s="647"/>
      <c r="O237" s="647"/>
      <c r="P237" s="647"/>
      <c r="Q237" s="647"/>
      <c r="R237" s="647"/>
      <c r="S237" s="647"/>
      <c r="T237" s="647"/>
      <c r="U237" s="647"/>
      <c r="V237" s="647"/>
      <c r="W237" s="647"/>
      <c r="X237" s="647"/>
      <c r="Y237" s="647"/>
      <c r="Z237" s="647"/>
      <c r="AA237" s="647"/>
      <c r="AB237" s="647"/>
      <c r="AC237" s="647"/>
      <c r="AD237" s="647"/>
      <c r="AE237" s="647"/>
      <c r="AF237" s="647"/>
      <c r="AG237" s="647"/>
      <c r="AH237" s="647"/>
      <c r="AI237" s="647"/>
      <c r="AJ237" s="647"/>
      <c r="AK237" s="647"/>
      <c r="AL237" s="647"/>
      <c r="AM237" s="647"/>
      <c r="AN237" s="647"/>
      <c r="AO237" s="647"/>
      <c r="AP237" s="647"/>
      <c r="AQ237" s="647"/>
      <c r="AR237" s="647"/>
      <c r="AS237" s="647"/>
      <c r="AT237" s="647"/>
      <c r="AU237" s="647"/>
      <c r="AV237" s="647"/>
      <c r="AW237" s="647"/>
      <c r="AX237" s="647"/>
      <c r="AY237" s="647"/>
      <c r="AZ237" s="647"/>
      <c r="BA237" s="647"/>
      <c r="BB237" s="647"/>
      <c r="BC237" s="647"/>
      <c r="BD237" s="647"/>
      <c r="BE237" s="647"/>
      <c r="BF237" s="647"/>
      <c r="BG237" s="647"/>
      <c r="BH237" s="647"/>
      <c r="BI237" s="647"/>
      <c r="BJ237" s="647"/>
      <c r="BK237" s="647"/>
      <c r="BL237" s="647"/>
      <c r="BM237" s="647"/>
      <c r="BN237" s="647"/>
      <c r="BO237" s="647"/>
      <c r="BP237" s="647"/>
      <c r="BQ237" s="647"/>
      <c r="BR237" s="647"/>
      <c r="BS237" s="647"/>
      <c r="BT237" s="647"/>
      <c r="BU237" s="647"/>
      <c r="BV237" s="647"/>
      <c r="BW237" s="647"/>
      <c r="BX237" s="647"/>
      <c r="BY237" s="647"/>
      <c r="BZ237" s="647"/>
      <c r="CA237" s="647"/>
      <c r="CB237" s="647"/>
      <c r="CC237" s="647"/>
      <c r="CD237" s="647"/>
      <c r="CE237" s="647"/>
      <c r="CF237" s="647"/>
      <c r="CG237" s="647"/>
      <c r="CH237" s="647"/>
      <c r="CI237" s="647"/>
      <c r="CJ237" s="647"/>
      <c r="CK237" s="647"/>
      <c r="CL237" s="647"/>
      <c r="CM237" s="647"/>
      <c r="CN237" s="647"/>
      <c r="CO237" s="647"/>
      <c r="CP237" s="647"/>
      <c r="CQ237" s="647"/>
      <c r="CR237" s="647"/>
      <c r="CS237" s="647"/>
      <c r="CT237" s="647"/>
      <c r="CU237" s="647"/>
      <c r="CV237" s="647"/>
      <c r="CW237" s="647"/>
      <c r="CX237" s="647"/>
      <c r="CY237" s="647"/>
      <c r="CZ237" s="647"/>
      <c r="DA237" s="647"/>
      <c r="DB237" s="647"/>
      <c r="DC237" s="647"/>
      <c r="DD237" s="647"/>
      <c r="DE237" s="647"/>
      <c r="DF237" s="647"/>
      <c r="DG237" s="647"/>
      <c r="DH237" s="647"/>
      <c r="DI237" s="647"/>
      <c r="DJ237" s="647"/>
      <c r="DK237" s="647"/>
      <c r="DL237" s="647"/>
      <c r="DM237" s="647"/>
      <c r="DN237" s="647"/>
      <c r="DO237" s="647"/>
      <c r="DP237" s="647"/>
      <c r="DQ237" s="647"/>
      <c r="DR237" s="647"/>
      <c r="DS237" s="647"/>
      <c r="DT237" s="647"/>
      <c r="DU237" s="647"/>
      <c r="EI237" s="680"/>
    </row>
    <row r="238" spans="1:139" s="200" customFormat="1" hidden="1" x14ac:dyDescent="0.3">
      <c r="A238" s="282" t="s">
        <v>2506</v>
      </c>
      <c r="B238" s="282"/>
      <c r="C238" s="742">
        <f>'General Inputs'!I30</f>
        <v>0.12</v>
      </c>
      <c r="D238" s="647"/>
      <c r="E238" s="647">
        <f ca="1">IF($C$204&lt;'General Inputs'!$J$11,E$212,IF(E$5=DispositionMonth,FV((1+$C238)^(1/12)-1,E$5,0,$C237),0))</f>
        <v>0</v>
      </c>
      <c r="F238" s="647">
        <f ca="1">IF($C$204&lt;'General Inputs'!$J$11,F$212,IF(F$5=DispositionMonth,FV((1+$C238)^(1/12)-1,F$5,0,$C237),0))</f>
        <v>0</v>
      </c>
      <c r="G238" s="647">
        <f ca="1">IF($C$204&lt;'General Inputs'!$J$11,G$212,IF(G$5=DispositionMonth,FV((1+$C238)^(1/12)-1,G$5,0,$C237),0))</f>
        <v>0</v>
      </c>
      <c r="H238" s="647">
        <f ca="1">IF($C$204&lt;'General Inputs'!$J$11,H$212,IF(H$5=DispositionMonth,FV((1+$C238)^(1/12)-1,H$5,0,$C237),0))</f>
        <v>0</v>
      </c>
      <c r="I238" s="647">
        <f ca="1">IF($C$204&lt;'General Inputs'!$J$11,I$212,IF(I$5=DispositionMonth,FV((1+$C238)^(1/12)-1,I$5,0,$C237),0))</f>
        <v>0</v>
      </c>
      <c r="J238" s="647">
        <f ca="1">IF($C$204&lt;'General Inputs'!$J$11,J$212,IF(J$5=DispositionMonth,FV((1+$C238)^(1/12)-1,J$5,0,$C237),0))</f>
        <v>0</v>
      </c>
      <c r="K238" s="647">
        <f ca="1">IF($C$204&lt;'General Inputs'!$J$11,K$212,IF(K$5=DispositionMonth,FV((1+$C238)^(1/12)-1,K$5,0,$C237),0))</f>
        <v>0</v>
      </c>
      <c r="L238" s="647">
        <f ca="1">IF($C$204&lt;'General Inputs'!$J$11,L$212,IF(L$5=DispositionMonth,FV((1+$C238)^(1/12)-1,L$5,0,$C237),0))</f>
        <v>0</v>
      </c>
      <c r="M238" s="647">
        <f ca="1">IF($C$204&lt;'General Inputs'!$J$11,M$212,IF(M$5=DispositionMonth,FV((1+$C238)^(1/12)-1,M$5,0,$C237),0))</f>
        <v>0</v>
      </c>
      <c r="N238" s="647">
        <f ca="1">IF($C$204&lt;'General Inputs'!$J$11,N$212,IF(N$5=DispositionMonth,FV((1+$C238)^(1/12)-1,N$5,0,$C237),0))</f>
        <v>0</v>
      </c>
      <c r="O238" s="647">
        <f ca="1">IF($C$204&lt;'General Inputs'!$J$11,O$212,IF(O$5=DispositionMonth,FV((1+$C238)^(1/12)-1,O$5,0,$C237),0))</f>
        <v>0</v>
      </c>
      <c r="P238" s="647">
        <f ca="1">IF($C$204&lt;'General Inputs'!$J$11,P$212,IF(P$5=DispositionMonth,FV((1+$C238)^(1/12)-1,P$5,0,$C237),0))</f>
        <v>0</v>
      </c>
      <c r="Q238" s="647">
        <f ca="1">IF($C$204&lt;'General Inputs'!$J$11,Q$212,IF(Q$5=DispositionMonth,FV((1+$C238)^(1/12)-1,Q$5,0,$C237),0))</f>
        <v>0</v>
      </c>
      <c r="R238" s="647">
        <f ca="1">IF($C$204&lt;'General Inputs'!$J$11,R$212,IF(R$5=DispositionMonth,FV((1+$C238)^(1/12)-1,R$5,0,$C237),0))</f>
        <v>0</v>
      </c>
      <c r="S238" s="647">
        <f ca="1">IF($C$204&lt;'General Inputs'!$J$11,S$212,IF(S$5=DispositionMonth,FV((1+$C238)^(1/12)-1,S$5,0,$C237),0))</f>
        <v>0</v>
      </c>
      <c r="T238" s="647">
        <f ca="1">IF($C$204&lt;'General Inputs'!$J$11,T$212,IF(T$5=DispositionMonth,FV((1+$C238)^(1/12)-1,T$5,0,$C237),0))</f>
        <v>0</v>
      </c>
      <c r="U238" s="647">
        <f ca="1">IF($C$204&lt;'General Inputs'!$J$11,U$212,IF(U$5=DispositionMonth,FV((1+$C238)^(1/12)-1,U$5,0,$C237),0))</f>
        <v>0</v>
      </c>
      <c r="V238" s="647">
        <f ca="1">IF($C$204&lt;'General Inputs'!$J$11,V$212,IF(V$5=DispositionMonth,FV((1+$C238)^(1/12)-1,V$5,0,$C237),0))</f>
        <v>0</v>
      </c>
      <c r="W238" s="647">
        <f ca="1">IF($C$204&lt;'General Inputs'!$J$11,W$212,IF(W$5=DispositionMonth,FV((1+$C238)^(1/12)-1,W$5,0,$C237),0))</f>
        <v>0</v>
      </c>
      <c r="X238" s="647">
        <f ca="1">IF($C$204&lt;'General Inputs'!$J$11,X$212,IF(X$5=DispositionMonth,FV((1+$C238)^(1/12)-1,X$5,0,$C237),0))</f>
        <v>0</v>
      </c>
      <c r="Y238" s="647">
        <f ca="1">IF($C$204&lt;'General Inputs'!$J$11,Y$212,IF(Y$5=DispositionMonth,FV((1+$C238)^(1/12)-1,Y$5,0,$C237),0))</f>
        <v>0</v>
      </c>
      <c r="Z238" s="647">
        <f ca="1">IF($C$204&lt;'General Inputs'!$J$11,Z$212,IF(Z$5=DispositionMonth,FV((1+$C238)^(1/12)-1,Z$5,0,$C237),0))</f>
        <v>0</v>
      </c>
      <c r="AA238" s="647">
        <f ca="1">IF($C$204&lt;'General Inputs'!$J$11,AA$212,IF(AA$5=DispositionMonth,FV((1+$C238)^(1/12)-1,AA$5,0,$C237),0))</f>
        <v>0</v>
      </c>
      <c r="AB238" s="647">
        <f ca="1">IF($C$204&lt;'General Inputs'!$J$11,AB$212,IF(AB$5=DispositionMonth,FV((1+$C238)^(1/12)-1,AB$5,0,$C237),0))</f>
        <v>0</v>
      </c>
      <c r="AC238" s="647">
        <f ca="1">IF($C$204&lt;'General Inputs'!$J$11,AC$212,IF(AC$5=DispositionMonth,FV((1+$C238)^(1/12)-1,AC$5,0,$C237),0))</f>
        <v>0</v>
      </c>
      <c r="AD238" s="647">
        <f ca="1">IF($C$204&lt;'General Inputs'!$J$11,AD$212,IF(AD$5=DispositionMonth,FV((1+$C238)^(1/12)-1,AD$5,0,$C237),0))</f>
        <v>0</v>
      </c>
      <c r="AE238" s="647">
        <f ca="1">IF($C$204&lt;'General Inputs'!$J$11,AE$212,IF(AE$5=DispositionMonth,FV((1+$C238)^(1/12)-1,AE$5,0,$C237),0))</f>
        <v>0</v>
      </c>
      <c r="AF238" s="647">
        <f ca="1">IF($C$204&lt;'General Inputs'!$J$11,AF$212,IF(AF$5=DispositionMonth,FV((1+$C238)^(1/12)-1,AF$5,0,$C237),0))</f>
        <v>0</v>
      </c>
      <c r="AG238" s="647">
        <f ca="1">IF($C$204&lt;'General Inputs'!$J$11,AG$212,IF(AG$5=DispositionMonth,FV((1+$C238)^(1/12)-1,AG$5,0,$C237),0))</f>
        <v>38960788.512085639</v>
      </c>
      <c r="AH238" s="647">
        <f ca="1">IF($C$204&lt;'General Inputs'!$J$11,AH$212,IF(AH$5=DispositionMonth,FV((1+$C238)^(1/12)-1,AH$5,0,$C237),0))</f>
        <v>0</v>
      </c>
      <c r="AI238" s="647">
        <f ca="1">IF($C$204&lt;'General Inputs'!$J$11,AI$212,IF(AI$5=DispositionMonth,FV((1+$C238)^(1/12)-1,AI$5,0,$C237),0))</f>
        <v>0</v>
      </c>
      <c r="AJ238" s="647">
        <f ca="1">IF($C$204&lt;'General Inputs'!$J$11,AJ$212,IF(AJ$5=DispositionMonth,FV((1+$C238)^(1/12)-1,AJ$5,0,$C237),0))</f>
        <v>0</v>
      </c>
      <c r="AK238" s="647">
        <f ca="1">IF($C$204&lt;'General Inputs'!$J$11,AK$212,IF(AK$5=DispositionMonth,FV((1+$C238)^(1/12)-1,AK$5,0,$C237),0))</f>
        <v>0</v>
      </c>
      <c r="AL238" s="647">
        <f ca="1">IF($C$204&lt;'General Inputs'!$J$11,AL$212,IF(AL$5=DispositionMonth,FV((1+$C238)^(1/12)-1,AL$5,0,$C237),0))</f>
        <v>0</v>
      </c>
      <c r="AM238" s="647">
        <f ca="1">IF($C$204&lt;'General Inputs'!$J$11,AM$212,IF(AM$5=DispositionMonth,FV((1+$C238)^(1/12)-1,AM$5,0,$C237),0))</f>
        <v>0</v>
      </c>
      <c r="AN238" s="647">
        <f ca="1">IF($C$204&lt;'General Inputs'!$J$11,AN$212,IF(AN$5=DispositionMonth,FV((1+$C238)^(1/12)-1,AN$5,0,$C237),0))</f>
        <v>0</v>
      </c>
      <c r="AO238" s="647">
        <f ca="1">IF($C$204&lt;'General Inputs'!$J$11,AO$212,IF(AO$5=DispositionMonth,FV((1+$C238)^(1/12)-1,AO$5,0,$C237),0))</f>
        <v>0</v>
      </c>
      <c r="AP238" s="647">
        <f ca="1">IF($C$204&lt;'General Inputs'!$J$11,AP$212,IF(AP$5=DispositionMonth,FV((1+$C238)^(1/12)-1,AP$5,0,$C237),0))</f>
        <v>0</v>
      </c>
      <c r="AQ238" s="647">
        <f ca="1">IF($C$204&lt;'General Inputs'!$J$11,AQ$212,IF(AQ$5=DispositionMonth,FV((1+$C238)^(1/12)-1,AQ$5,0,$C237),0))</f>
        <v>0</v>
      </c>
      <c r="AR238" s="647">
        <f ca="1">IF($C$204&lt;'General Inputs'!$J$11,AR$212,IF(AR$5=DispositionMonth,FV((1+$C238)^(1/12)-1,AR$5,0,$C237),0))</f>
        <v>0</v>
      </c>
      <c r="AS238" s="647">
        <f ca="1">IF($C$204&lt;'General Inputs'!$J$11,AS$212,IF(AS$5=DispositionMonth,FV((1+$C238)^(1/12)-1,AS$5,0,$C237),0))</f>
        <v>0</v>
      </c>
      <c r="AT238" s="647">
        <f ca="1">IF($C$204&lt;'General Inputs'!$J$11,AT$212,IF(AT$5=DispositionMonth,FV((1+$C238)^(1/12)-1,AT$5,0,$C237),0))</f>
        <v>0</v>
      </c>
      <c r="AU238" s="647">
        <f ca="1">IF($C$204&lt;'General Inputs'!$J$11,AU$212,IF(AU$5=DispositionMonth,FV((1+$C238)^(1/12)-1,AU$5,0,$C237),0))</f>
        <v>0</v>
      </c>
      <c r="AV238" s="647">
        <f ca="1">IF($C$204&lt;'General Inputs'!$J$11,AV$212,IF(AV$5=DispositionMonth,FV((1+$C238)^(1/12)-1,AV$5,0,$C237),0))</f>
        <v>0</v>
      </c>
      <c r="AW238" s="647">
        <f ca="1">IF($C$204&lt;'General Inputs'!$J$11,AW$212,IF(AW$5=DispositionMonth,FV((1+$C238)^(1/12)-1,AW$5,0,$C237),0))</f>
        <v>0</v>
      </c>
      <c r="AX238" s="647">
        <f ca="1">IF($C$204&lt;'General Inputs'!$J$11,AX$212,IF(AX$5=DispositionMonth,FV((1+$C238)^(1/12)-1,AX$5,0,$C237),0))</f>
        <v>0</v>
      </c>
      <c r="AY238" s="647">
        <f ca="1">IF($C$204&lt;'General Inputs'!$J$11,AY$212,IF(AY$5=DispositionMonth,FV((1+$C238)^(1/12)-1,AY$5,0,$C237),0))</f>
        <v>0</v>
      </c>
      <c r="AZ238" s="647">
        <f ca="1">IF($C$204&lt;'General Inputs'!$J$11,AZ$212,IF(AZ$5=DispositionMonth,FV((1+$C238)^(1/12)-1,AZ$5,0,$C237),0))</f>
        <v>0</v>
      </c>
      <c r="BA238" s="647">
        <f ca="1">IF($C$204&lt;'General Inputs'!$J$11,BA$212,IF(BA$5=DispositionMonth,FV((1+$C238)^(1/12)-1,BA$5,0,$C237),0))</f>
        <v>0</v>
      </c>
      <c r="BB238" s="647">
        <f ca="1">IF($C$204&lt;'General Inputs'!$J$11,BB$212,IF(BB$5=DispositionMonth,FV((1+$C238)^(1/12)-1,BB$5,0,$C237),0))</f>
        <v>0</v>
      </c>
      <c r="BC238" s="647">
        <f ca="1">IF($C$204&lt;'General Inputs'!$J$11,BC$212,IF(BC$5=DispositionMonth,FV((1+$C238)^(1/12)-1,BC$5,0,$C237),0))</f>
        <v>0</v>
      </c>
      <c r="BD238" s="647">
        <f ca="1">IF($C$204&lt;'General Inputs'!$J$11,BD$212,IF(BD$5=DispositionMonth,FV((1+$C238)^(1/12)-1,BD$5,0,$C237),0))</f>
        <v>0</v>
      </c>
      <c r="BE238" s="647">
        <f ca="1">IF($C$204&lt;'General Inputs'!$J$11,BE$212,IF(BE$5=DispositionMonth,FV((1+$C238)^(1/12)-1,BE$5,0,$C237),0))</f>
        <v>0</v>
      </c>
      <c r="BF238" s="647">
        <f ca="1">IF($C$204&lt;'General Inputs'!$J$11,BF$212,IF(BF$5=DispositionMonth,FV((1+$C238)^(1/12)-1,BF$5,0,$C237),0))</f>
        <v>0</v>
      </c>
      <c r="BG238" s="647">
        <f ca="1">IF($C$204&lt;'General Inputs'!$J$11,BG$212,IF(BG$5=DispositionMonth,FV((1+$C238)^(1/12)-1,BG$5,0,$C237),0))</f>
        <v>0</v>
      </c>
      <c r="BH238" s="647">
        <f ca="1">IF($C$204&lt;'General Inputs'!$J$11,BH$212,IF(BH$5=DispositionMonth,FV((1+$C238)^(1/12)-1,BH$5,0,$C237),0))</f>
        <v>0</v>
      </c>
      <c r="BI238" s="647">
        <f ca="1">IF($C$204&lt;'General Inputs'!$J$11,BI$212,IF(BI$5=DispositionMonth,FV((1+$C238)^(1/12)-1,BI$5,0,$C237),0))</f>
        <v>0</v>
      </c>
      <c r="BJ238" s="647">
        <f ca="1">IF($C$204&lt;'General Inputs'!$J$11,BJ$212,IF(BJ$5=DispositionMonth,FV((1+$C238)^(1/12)-1,BJ$5,0,$C237),0))</f>
        <v>0</v>
      </c>
      <c r="BK238" s="647">
        <f ca="1">IF($C$204&lt;'General Inputs'!$J$11,BK$212,IF(BK$5=DispositionMonth,FV((1+$C238)^(1/12)-1,BK$5,0,$C237),0))</f>
        <v>0</v>
      </c>
      <c r="BL238" s="647">
        <f ca="1">IF($C$204&lt;'General Inputs'!$J$11,BL$212,IF(BL$5=DispositionMonth,FV((1+$C238)^(1/12)-1,BL$5,0,$C237),0))</f>
        <v>0</v>
      </c>
      <c r="BM238" s="647">
        <f ca="1">IF($C$204&lt;'General Inputs'!$J$11,BM$212,IF(BM$5=DispositionMonth,FV((1+$C238)^(1/12)-1,BM$5,0,$C237),0))</f>
        <v>0</v>
      </c>
      <c r="BN238" s="647">
        <f ca="1">IF($C$204&lt;'General Inputs'!$J$11,BN$212,IF(BN$5=DispositionMonth,FV((1+$C238)^(1/12)-1,BN$5,0,$C237),0))</f>
        <v>0</v>
      </c>
      <c r="BO238" s="647">
        <f ca="1">IF($C$204&lt;'General Inputs'!$J$11,BO$212,IF(BO$5=DispositionMonth,FV((1+$C238)^(1/12)-1,BO$5,0,$C237),0))</f>
        <v>0</v>
      </c>
      <c r="BP238" s="647">
        <f ca="1">IF($C$204&lt;'General Inputs'!$J$11,BP$212,IF(BP$5=DispositionMonth,FV((1+$C238)^(1/12)-1,BP$5,0,$C237),0))</f>
        <v>0</v>
      </c>
      <c r="BQ238" s="647">
        <f ca="1">IF($C$204&lt;'General Inputs'!$J$11,BQ$212,IF(BQ$5=DispositionMonth,FV((1+$C238)^(1/12)-1,BQ$5,0,$C237),0))</f>
        <v>0</v>
      </c>
      <c r="BR238" s="647">
        <f ca="1">IF($C$204&lt;'General Inputs'!$J$11,BR$212,IF(BR$5=DispositionMonth,FV((1+$C238)^(1/12)-1,BR$5,0,$C237),0))</f>
        <v>0</v>
      </c>
      <c r="BS238" s="647">
        <f ca="1">IF($C$204&lt;'General Inputs'!$J$11,BS$212,IF(BS$5=DispositionMonth,FV((1+$C238)^(1/12)-1,BS$5,0,$C237),0))</f>
        <v>0</v>
      </c>
      <c r="BT238" s="647">
        <f ca="1">IF($C$204&lt;'General Inputs'!$J$11,BT$212,IF(BT$5=DispositionMonth,FV((1+$C238)^(1/12)-1,BT$5,0,$C237),0))</f>
        <v>0</v>
      </c>
      <c r="BU238" s="647">
        <f ca="1">IF($C$204&lt;'General Inputs'!$J$11,BU$212,IF(BU$5=DispositionMonth,FV((1+$C238)^(1/12)-1,BU$5,0,$C237),0))</f>
        <v>0</v>
      </c>
      <c r="BV238" s="647">
        <f ca="1">IF($C$204&lt;'General Inputs'!$J$11,BV$212,IF(BV$5=DispositionMonth,FV((1+$C238)^(1/12)-1,BV$5,0,$C237),0))</f>
        <v>0</v>
      </c>
      <c r="BW238" s="647">
        <f ca="1">IF($C$204&lt;'General Inputs'!$J$11,BW$212,IF(BW$5=DispositionMonth,FV((1+$C238)^(1/12)-1,BW$5,0,$C237),0))</f>
        <v>0</v>
      </c>
      <c r="BX238" s="647">
        <f ca="1">IF($C$204&lt;'General Inputs'!$J$11,BX$212,IF(BX$5=DispositionMonth,FV((1+$C238)^(1/12)-1,BX$5,0,$C237),0))</f>
        <v>0</v>
      </c>
      <c r="BY238" s="647">
        <f ca="1">IF($C$204&lt;'General Inputs'!$J$11,BY$212,IF(BY$5=DispositionMonth,FV((1+$C238)^(1/12)-1,BY$5,0,$C237),0))</f>
        <v>0</v>
      </c>
      <c r="BZ238" s="647">
        <f ca="1">IF($C$204&lt;'General Inputs'!$J$11,BZ$212,IF(BZ$5=DispositionMonth,FV((1+$C238)^(1/12)-1,BZ$5,0,$C237),0))</f>
        <v>0</v>
      </c>
      <c r="CA238" s="647">
        <f ca="1">IF($C$204&lt;'General Inputs'!$J$11,CA$212,IF(CA$5=DispositionMonth,FV((1+$C238)^(1/12)-1,CA$5,0,$C237),0))</f>
        <v>0</v>
      </c>
      <c r="CB238" s="647">
        <f ca="1">IF($C$204&lt;'General Inputs'!$J$11,CB$212,IF(CB$5=DispositionMonth,FV((1+$C238)^(1/12)-1,CB$5,0,$C237),0))</f>
        <v>0</v>
      </c>
      <c r="CC238" s="647">
        <f ca="1">IF($C$204&lt;'General Inputs'!$J$11,CC$212,IF(CC$5=DispositionMonth,FV((1+$C238)^(1/12)-1,CC$5,0,$C237),0))</f>
        <v>0</v>
      </c>
      <c r="CD238" s="647">
        <f ca="1">IF($C$204&lt;'General Inputs'!$J$11,CD$212,IF(CD$5=DispositionMonth,FV((1+$C238)^(1/12)-1,CD$5,0,$C237),0))</f>
        <v>0</v>
      </c>
      <c r="CE238" s="647">
        <f ca="1">IF($C$204&lt;'General Inputs'!$J$11,CE$212,IF(CE$5=DispositionMonth,FV((1+$C238)^(1/12)-1,CE$5,0,$C237),0))</f>
        <v>0</v>
      </c>
      <c r="CF238" s="647">
        <f ca="1">IF($C$204&lt;'General Inputs'!$J$11,CF$212,IF(CF$5=DispositionMonth,FV((1+$C238)^(1/12)-1,CF$5,0,$C237),0))</f>
        <v>0</v>
      </c>
      <c r="CG238" s="647">
        <f ca="1">IF($C$204&lt;'General Inputs'!$J$11,CG$212,IF(CG$5=DispositionMonth,FV((1+$C238)^(1/12)-1,CG$5,0,$C237),0))</f>
        <v>0</v>
      </c>
      <c r="CH238" s="647">
        <f ca="1">IF($C$204&lt;'General Inputs'!$J$11,CH$212,IF(CH$5=DispositionMonth,FV((1+$C238)^(1/12)-1,CH$5,0,$C237),0))</f>
        <v>0</v>
      </c>
      <c r="CI238" s="647">
        <f ca="1">IF($C$204&lt;'General Inputs'!$J$11,CI$212,IF(CI$5=DispositionMonth,FV((1+$C238)^(1/12)-1,CI$5,0,$C237),0))</f>
        <v>0</v>
      </c>
      <c r="CJ238" s="647">
        <f ca="1">IF($C$204&lt;'General Inputs'!$J$11,CJ$212,IF(CJ$5=DispositionMonth,FV((1+$C238)^(1/12)-1,CJ$5,0,$C237),0))</f>
        <v>0</v>
      </c>
      <c r="CK238" s="647">
        <f ca="1">IF($C$204&lt;'General Inputs'!$J$11,CK$212,IF(CK$5=DispositionMonth,FV((1+$C238)^(1/12)-1,CK$5,0,$C237),0))</f>
        <v>0</v>
      </c>
      <c r="CL238" s="647">
        <f ca="1">IF($C$204&lt;'General Inputs'!$J$11,CL$212,IF(CL$5=DispositionMonth,FV((1+$C238)^(1/12)-1,CL$5,0,$C237),0))</f>
        <v>0</v>
      </c>
      <c r="CM238" s="647">
        <f ca="1">IF($C$204&lt;'General Inputs'!$J$11,CM$212,IF(CM$5=DispositionMonth,FV((1+$C238)^(1/12)-1,CM$5,0,$C237),0))</f>
        <v>0</v>
      </c>
      <c r="CN238" s="647">
        <f ca="1">IF($C$204&lt;'General Inputs'!$J$11,CN$212,IF(CN$5=DispositionMonth,FV((1+$C238)^(1/12)-1,CN$5,0,$C237),0))</f>
        <v>0</v>
      </c>
      <c r="CO238" s="647">
        <f ca="1">IF($C$204&lt;'General Inputs'!$J$11,CO$212,IF(CO$5=DispositionMonth,FV((1+$C238)^(1/12)-1,CO$5,0,$C237),0))</f>
        <v>0</v>
      </c>
      <c r="CP238" s="647">
        <f ca="1">IF($C$204&lt;'General Inputs'!$J$11,CP$212,IF(CP$5=DispositionMonth,FV((1+$C238)^(1/12)-1,CP$5,0,$C237),0))</f>
        <v>0</v>
      </c>
      <c r="CQ238" s="647">
        <f ca="1">IF($C$204&lt;'General Inputs'!$J$11,CQ$212,IF(CQ$5=DispositionMonth,FV((1+$C238)^(1/12)-1,CQ$5,0,$C237),0))</f>
        <v>0</v>
      </c>
      <c r="CR238" s="647">
        <f ca="1">IF($C$204&lt;'General Inputs'!$J$11,CR$212,IF(CR$5=DispositionMonth,FV((1+$C238)^(1/12)-1,CR$5,0,$C237),0))</f>
        <v>0</v>
      </c>
      <c r="CS238" s="647">
        <f ca="1">IF($C$204&lt;'General Inputs'!$J$11,CS$212,IF(CS$5=DispositionMonth,FV((1+$C238)^(1/12)-1,CS$5,0,$C237),0))</f>
        <v>0</v>
      </c>
      <c r="CT238" s="647">
        <f ca="1">IF($C$204&lt;'General Inputs'!$J$11,CT$212,IF(CT$5=DispositionMonth,FV((1+$C238)^(1/12)-1,CT$5,0,$C237),0))</f>
        <v>0</v>
      </c>
      <c r="CU238" s="647">
        <f ca="1">IF($C$204&lt;'General Inputs'!$J$11,CU$212,IF(CU$5=DispositionMonth,FV((1+$C238)^(1/12)-1,CU$5,0,$C237),0))</f>
        <v>0</v>
      </c>
      <c r="CV238" s="647">
        <f ca="1">IF($C$204&lt;'General Inputs'!$J$11,CV$212,IF(CV$5=DispositionMonth,FV((1+$C238)^(1/12)-1,CV$5,0,$C237),0))</f>
        <v>0</v>
      </c>
      <c r="CW238" s="647">
        <f ca="1">IF($C$204&lt;'General Inputs'!$J$11,CW$212,IF(CW$5=DispositionMonth,FV((1+$C238)^(1/12)-1,CW$5,0,$C237),0))</f>
        <v>0</v>
      </c>
      <c r="CX238" s="647">
        <f ca="1">IF($C$204&lt;'General Inputs'!$J$11,CX$212,IF(CX$5=DispositionMonth,FV((1+$C238)^(1/12)-1,CX$5,0,$C237),0))</f>
        <v>0</v>
      </c>
      <c r="CY238" s="647">
        <f ca="1">IF($C$204&lt;'General Inputs'!$J$11,CY$212,IF(CY$5=DispositionMonth,FV((1+$C238)^(1/12)-1,CY$5,0,$C237),0))</f>
        <v>0</v>
      </c>
      <c r="CZ238" s="647">
        <f ca="1">IF($C$204&lt;'General Inputs'!$J$11,CZ$212,IF(CZ$5=DispositionMonth,FV((1+$C238)^(1/12)-1,CZ$5,0,$C237),0))</f>
        <v>0</v>
      </c>
      <c r="DA238" s="647">
        <f ca="1">IF($C$204&lt;'General Inputs'!$J$11,DA$212,IF(DA$5=DispositionMonth,FV((1+$C238)^(1/12)-1,DA$5,0,$C237),0))</f>
        <v>0</v>
      </c>
      <c r="DB238" s="647">
        <f ca="1">IF($C$204&lt;'General Inputs'!$J$11,DB$212,IF(DB$5=DispositionMonth,FV((1+$C238)^(1/12)-1,DB$5,0,$C237),0))</f>
        <v>0</v>
      </c>
      <c r="DC238" s="647">
        <f ca="1">IF($C$204&lt;'General Inputs'!$J$11,DC$212,IF(DC$5=DispositionMonth,FV((1+$C238)^(1/12)-1,DC$5,0,$C237),0))</f>
        <v>0</v>
      </c>
      <c r="DD238" s="647">
        <f ca="1">IF($C$204&lt;'General Inputs'!$J$11,DD$212,IF(DD$5=DispositionMonth,FV((1+$C238)^(1/12)-1,DD$5,0,$C237),0))</f>
        <v>0</v>
      </c>
      <c r="DE238" s="647">
        <f ca="1">IF($C$204&lt;'General Inputs'!$J$11,DE$212,IF(DE$5=DispositionMonth,FV((1+$C238)^(1/12)-1,DE$5,0,$C237),0))</f>
        <v>0</v>
      </c>
      <c r="DF238" s="647">
        <f ca="1">IF($C$204&lt;'General Inputs'!$J$11,DF$212,IF(DF$5=DispositionMonth,FV((1+$C238)^(1/12)-1,DF$5,0,$C237),0))</f>
        <v>0</v>
      </c>
      <c r="DG238" s="647">
        <f ca="1">IF($C$204&lt;'General Inputs'!$J$11,DG$212,IF(DG$5=DispositionMonth,FV((1+$C238)^(1/12)-1,DG$5,0,$C237),0))</f>
        <v>0</v>
      </c>
      <c r="DH238" s="647">
        <f ca="1">IF($C$204&lt;'General Inputs'!$J$11,DH$212,IF(DH$5=DispositionMonth,FV((1+$C238)^(1/12)-1,DH$5,0,$C237),0))</f>
        <v>0</v>
      </c>
      <c r="DI238" s="647">
        <f ca="1">IF($C$204&lt;'General Inputs'!$J$11,DI$212,IF(DI$5=DispositionMonth,FV((1+$C238)^(1/12)-1,DI$5,0,$C237),0))</f>
        <v>0</v>
      </c>
      <c r="DJ238" s="647">
        <f ca="1">IF($C$204&lt;'General Inputs'!$J$11,DJ$212,IF(DJ$5=DispositionMonth,FV((1+$C238)^(1/12)-1,DJ$5,0,$C237),0))</f>
        <v>0</v>
      </c>
      <c r="DK238" s="647">
        <f ca="1">IF($C$204&lt;'General Inputs'!$J$11,DK$212,IF(DK$5=DispositionMonth,FV((1+$C238)^(1/12)-1,DK$5,0,$C237),0))</f>
        <v>0</v>
      </c>
      <c r="DL238" s="647">
        <f ca="1">IF($C$204&lt;'General Inputs'!$J$11,DL$212,IF(DL$5=DispositionMonth,FV((1+$C238)^(1/12)-1,DL$5,0,$C237),0))</f>
        <v>0</v>
      </c>
      <c r="DM238" s="647">
        <f ca="1">IF($C$204&lt;'General Inputs'!$J$11,DM$212,IF(DM$5=DispositionMonth,FV((1+$C238)^(1/12)-1,DM$5,0,$C237),0))</f>
        <v>0</v>
      </c>
      <c r="DN238" s="647">
        <f ca="1">IF($C$204&lt;'General Inputs'!$J$11,DN$212,IF(DN$5=DispositionMonth,FV((1+$C238)^(1/12)-1,DN$5,0,$C237),0))</f>
        <v>0</v>
      </c>
      <c r="DO238" s="647">
        <f ca="1">IF($C$204&lt;'General Inputs'!$J$11,DO$212,IF(DO$5=DispositionMonth,FV((1+$C238)^(1/12)-1,DO$5,0,$C237),0))</f>
        <v>0</v>
      </c>
      <c r="DP238" s="647">
        <f ca="1">IF($C$204&lt;'General Inputs'!$J$11,DP$212,IF(DP$5=DispositionMonth,FV((1+$C238)^(1/12)-1,DP$5,0,$C237),0))</f>
        <v>0</v>
      </c>
      <c r="DQ238" s="647">
        <f ca="1">IF($C$204&lt;'General Inputs'!$J$11,DQ$212,IF(DQ$5=DispositionMonth,FV((1+$C238)^(1/12)-1,DQ$5,0,$C237),0))</f>
        <v>0</v>
      </c>
      <c r="DR238" s="647">
        <f ca="1">IF($C$204&lt;'General Inputs'!$J$11,DR$212,IF(DR$5=DispositionMonth,FV((1+$C238)^(1/12)-1,DR$5,0,$C237),0))</f>
        <v>0</v>
      </c>
      <c r="DS238" s="647">
        <f ca="1">IF($C$204&lt;'General Inputs'!$J$11,DS$212,IF(DS$5=DispositionMonth,FV((1+$C238)^(1/12)-1,DS$5,0,$C237),0))</f>
        <v>0</v>
      </c>
      <c r="DT238" s="647">
        <f ca="1">IF($C$204&lt;'General Inputs'!$J$11,DT$212,IF(DT$5=DispositionMonth,FV((1+$C238)^(1/12)-1,DT$5,0,$C237),0))</f>
        <v>0</v>
      </c>
      <c r="DU238" s="647">
        <f ca="1">IF($C$204&lt;'General Inputs'!$J$11,DU$212,IF(DU$5=DispositionMonth,FV((1+$C238)^(1/12)-1,DU$5,0,$C237),0))</f>
        <v>0</v>
      </c>
      <c r="EI238" s="734"/>
    </row>
    <row r="239" spans="1:139" s="200" customFormat="1" hidden="1" x14ac:dyDescent="0.3">
      <c r="A239" s="282" t="s">
        <v>2507</v>
      </c>
      <c r="B239" s="282"/>
      <c r="C239" s="743">
        <f>'General Inputs'!H30</f>
        <v>0</v>
      </c>
      <c r="D239" s="647"/>
      <c r="E239" s="647">
        <f ca="1">IF($C$204&lt;'General Inputs'!$J$11,E$212,IF(E$5=DispositionMonth,('General Inputs'!$J$8*(Waterfalls!$C$239-1))-SUM(Waterfalls!$E234:E234),0))</f>
        <v>0</v>
      </c>
      <c r="F239" s="647">
        <f ca="1">IF($C$204&lt;'General Inputs'!$J$11,F$212,IF(F$5=DispositionMonth,('General Inputs'!$J$8*(Waterfalls!$C$239-1))-SUM(Waterfalls!$E234:F234),0))</f>
        <v>0</v>
      </c>
      <c r="G239" s="647">
        <f ca="1">IF($C$204&lt;'General Inputs'!$J$11,G$212,IF(G$5=DispositionMonth,('General Inputs'!$J$8*(Waterfalls!$C$239-1))-SUM(Waterfalls!$E234:G234),0))</f>
        <v>0</v>
      </c>
      <c r="H239" s="647">
        <f ca="1">IF($C$204&lt;'General Inputs'!$J$11,H$212,IF(H$5=DispositionMonth,('General Inputs'!$J$8*(Waterfalls!$C$239-1))-SUM(Waterfalls!$E234:H234),0))</f>
        <v>0</v>
      </c>
      <c r="I239" s="647">
        <f ca="1">IF($C$204&lt;'General Inputs'!$J$11,I$212,IF(I$5=DispositionMonth,('General Inputs'!$J$8*(Waterfalls!$C$239-1))-SUM(Waterfalls!$E234:I234),0))</f>
        <v>0</v>
      </c>
      <c r="J239" s="647">
        <f ca="1">IF($C$204&lt;'General Inputs'!$J$11,J$212,IF(J$5=DispositionMonth,('General Inputs'!$J$8*(Waterfalls!$C$239-1))-SUM(Waterfalls!$E234:J234),0))</f>
        <v>0</v>
      </c>
      <c r="K239" s="647">
        <f ca="1">IF($C$204&lt;'General Inputs'!$J$11,K$212,IF(K$5=DispositionMonth,('General Inputs'!$J$8*(Waterfalls!$C$239-1))-SUM(Waterfalls!$E234:K234),0))</f>
        <v>0</v>
      </c>
      <c r="L239" s="647">
        <f ca="1">IF($C$204&lt;'General Inputs'!$J$11,L$212,IF(L$5=DispositionMonth,('General Inputs'!$J$8*(Waterfalls!$C$239-1))-SUM(Waterfalls!$E234:L234),0))</f>
        <v>0</v>
      </c>
      <c r="M239" s="647">
        <f ca="1">IF($C$204&lt;'General Inputs'!$J$11,M$212,IF(M$5=DispositionMonth,('General Inputs'!$J$8*(Waterfalls!$C$239-1))-SUM(Waterfalls!$E234:M234),0))</f>
        <v>0</v>
      </c>
      <c r="N239" s="647">
        <f ca="1">IF($C$204&lt;'General Inputs'!$J$11,N$212,IF(N$5=DispositionMonth,('General Inputs'!$J$8*(Waterfalls!$C$239-1))-SUM(Waterfalls!$E234:N234),0))</f>
        <v>0</v>
      </c>
      <c r="O239" s="647">
        <f ca="1">IF($C$204&lt;'General Inputs'!$J$11,O$212,IF(O$5=DispositionMonth,('General Inputs'!$J$8*(Waterfalls!$C$239-1))-SUM(Waterfalls!$E234:O234),0))</f>
        <v>0</v>
      </c>
      <c r="P239" s="647">
        <f ca="1">IF($C$204&lt;'General Inputs'!$J$11,P$212,IF(P$5=DispositionMonth,('General Inputs'!$J$8*(Waterfalls!$C$239-1))-SUM(Waterfalls!$E234:P234),0))</f>
        <v>0</v>
      </c>
      <c r="Q239" s="647">
        <f ca="1">IF($C$204&lt;'General Inputs'!$J$11,Q$212,IF(Q$5=DispositionMonth,('General Inputs'!$J$8*(Waterfalls!$C$239-1))-SUM(Waterfalls!$E234:Q234),0))</f>
        <v>0</v>
      </c>
      <c r="R239" s="647">
        <f ca="1">IF($C$204&lt;'General Inputs'!$J$11,R$212,IF(R$5=DispositionMonth,('General Inputs'!$J$8*(Waterfalls!$C$239-1))-SUM(Waterfalls!$E234:R234),0))</f>
        <v>0</v>
      </c>
      <c r="S239" s="647">
        <f ca="1">IF($C$204&lt;'General Inputs'!$J$11,S$212,IF(S$5=DispositionMonth,('General Inputs'!$J$8*(Waterfalls!$C$239-1))-SUM(Waterfalls!$E234:S234),0))</f>
        <v>0</v>
      </c>
      <c r="T239" s="647">
        <f ca="1">IF($C$204&lt;'General Inputs'!$J$11,T$212,IF(T$5=DispositionMonth,('General Inputs'!$J$8*(Waterfalls!$C$239-1))-SUM(Waterfalls!$E234:T234),0))</f>
        <v>0</v>
      </c>
      <c r="U239" s="647">
        <f ca="1">IF($C$204&lt;'General Inputs'!$J$11,U$212,IF(U$5=DispositionMonth,('General Inputs'!$J$8*(Waterfalls!$C$239-1))-SUM(Waterfalls!$E234:U234),0))</f>
        <v>0</v>
      </c>
      <c r="V239" s="647">
        <f ca="1">IF($C$204&lt;'General Inputs'!$J$11,V$212,IF(V$5=DispositionMonth,('General Inputs'!$J$8*(Waterfalls!$C$239-1))-SUM(Waterfalls!$E234:V234),0))</f>
        <v>0</v>
      </c>
      <c r="W239" s="647">
        <f ca="1">IF($C$204&lt;'General Inputs'!$J$11,W$212,IF(W$5=DispositionMonth,('General Inputs'!$J$8*(Waterfalls!$C$239-1))-SUM(Waterfalls!$E234:W234),0))</f>
        <v>0</v>
      </c>
      <c r="X239" s="647">
        <f ca="1">IF($C$204&lt;'General Inputs'!$J$11,X$212,IF(X$5=DispositionMonth,('General Inputs'!$J$8*(Waterfalls!$C$239-1))-SUM(Waterfalls!$E234:X234),0))</f>
        <v>0</v>
      </c>
      <c r="Y239" s="647">
        <f ca="1">IF($C$204&lt;'General Inputs'!$J$11,Y$212,IF(Y$5=DispositionMonth,('General Inputs'!$J$8*(Waterfalls!$C$239-1))-SUM(Waterfalls!$E234:Y234),0))</f>
        <v>0</v>
      </c>
      <c r="Z239" s="647">
        <f ca="1">IF($C$204&lt;'General Inputs'!$J$11,Z$212,IF(Z$5=DispositionMonth,('General Inputs'!$J$8*(Waterfalls!$C$239-1))-SUM(Waterfalls!$E234:Z234),0))</f>
        <v>0</v>
      </c>
      <c r="AA239" s="647">
        <f ca="1">IF($C$204&lt;'General Inputs'!$J$11,AA$212,IF(AA$5=DispositionMonth,('General Inputs'!$J$8*(Waterfalls!$C$239-1))-SUM(Waterfalls!$E234:AA234),0))</f>
        <v>0</v>
      </c>
      <c r="AB239" s="647">
        <f ca="1">IF($C$204&lt;'General Inputs'!$J$11,AB$212,IF(AB$5=DispositionMonth,('General Inputs'!$J$8*(Waterfalls!$C$239-1))-SUM(Waterfalls!$E234:AB234),0))</f>
        <v>0</v>
      </c>
      <c r="AC239" s="647">
        <f ca="1">IF($C$204&lt;'General Inputs'!$J$11,AC$212,IF(AC$5=DispositionMonth,('General Inputs'!$J$8*(Waterfalls!$C$239-1))-SUM(Waterfalls!$E234:AC234),0))</f>
        <v>0</v>
      </c>
      <c r="AD239" s="647">
        <f ca="1">IF($C$204&lt;'General Inputs'!$J$11,AD$212,IF(AD$5=DispositionMonth,('General Inputs'!$J$8*(Waterfalls!$C$239-1))-SUM(Waterfalls!$E234:AD234),0))</f>
        <v>0</v>
      </c>
      <c r="AE239" s="647">
        <f ca="1">IF($C$204&lt;'General Inputs'!$J$11,AE$212,IF(AE$5=DispositionMonth,('General Inputs'!$J$8*(Waterfalls!$C$239-1))-SUM(Waterfalls!$E234:AE234),0))</f>
        <v>0</v>
      </c>
      <c r="AF239" s="647">
        <f ca="1">IF($C$204&lt;'General Inputs'!$J$11,AF$212,IF(AF$5=DispositionMonth,('General Inputs'!$J$8*(Waterfalls!$C$239-1))-SUM(Waterfalls!$E234:AF234),0))</f>
        <v>0</v>
      </c>
      <c r="AG239" s="647">
        <f ca="1">IF($C$204&lt;'General Inputs'!$J$11,AG$212,IF(AG$5=DispositionMonth,('General Inputs'!$J$8*(Waterfalls!$C$239-1))-SUM(Waterfalls!$E234:AG234),0))</f>
        <v>-631204.67809353024</v>
      </c>
      <c r="AH239" s="647">
        <f ca="1">IF($C$204&lt;'General Inputs'!$J$11,AH$212,IF(AH$5=DispositionMonth,('General Inputs'!$J$8*(Waterfalls!$C$239-1))-SUM(Waterfalls!$E234:AH234),0))</f>
        <v>0</v>
      </c>
      <c r="AI239" s="647">
        <f ca="1">IF($C$204&lt;'General Inputs'!$J$11,AI$212,IF(AI$5=DispositionMonth,('General Inputs'!$J$8*(Waterfalls!$C$239-1))-SUM(Waterfalls!$E234:AI234),0))</f>
        <v>0</v>
      </c>
      <c r="AJ239" s="647">
        <f ca="1">IF($C$204&lt;'General Inputs'!$J$11,AJ$212,IF(AJ$5=DispositionMonth,('General Inputs'!$J$8*(Waterfalls!$C$239-1))-SUM(Waterfalls!$E234:AJ234),0))</f>
        <v>0</v>
      </c>
      <c r="AK239" s="647">
        <f ca="1">IF($C$204&lt;'General Inputs'!$J$11,AK$212,IF(AK$5=DispositionMonth,('General Inputs'!$J$8*(Waterfalls!$C$239-1))-SUM(Waterfalls!$E234:AK234),0))</f>
        <v>0</v>
      </c>
      <c r="AL239" s="647">
        <f ca="1">IF($C$204&lt;'General Inputs'!$J$11,AL$212,IF(AL$5=DispositionMonth,('General Inputs'!$J$8*(Waterfalls!$C$239-1))-SUM(Waterfalls!$E234:AL234),0))</f>
        <v>0</v>
      </c>
      <c r="AM239" s="647">
        <f ca="1">IF($C$204&lt;'General Inputs'!$J$11,AM$212,IF(AM$5=DispositionMonth,('General Inputs'!$J$8*(Waterfalls!$C$239-1))-SUM(Waterfalls!$E234:AM234),0))</f>
        <v>0</v>
      </c>
      <c r="AN239" s="647">
        <f ca="1">IF($C$204&lt;'General Inputs'!$J$11,AN$212,IF(AN$5=DispositionMonth,('General Inputs'!$J$8*(Waterfalls!$C$239-1))-SUM(Waterfalls!$E234:AN234),0))</f>
        <v>0</v>
      </c>
      <c r="AO239" s="647">
        <f ca="1">IF($C$204&lt;'General Inputs'!$J$11,AO$212,IF(AO$5=DispositionMonth,('General Inputs'!$J$8*(Waterfalls!$C$239-1))-SUM(Waterfalls!$E234:AO234),0))</f>
        <v>0</v>
      </c>
      <c r="AP239" s="647">
        <f ca="1">IF($C$204&lt;'General Inputs'!$J$11,AP$212,IF(AP$5=DispositionMonth,('General Inputs'!$J$8*(Waterfalls!$C$239-1))-SUM(Waterfalls!$E234:AP234),0))</f>
        <v>0</v>
      </c>
      <c r="AQ239" s="647">
        <f ca="1">IF($C$204&lt;'General Inputs'!$J$11,AQ$212,IF(AQ$5=DispositionMonth,('General Inputs'!$J$8*(Waterfalls!$C$239-1))-SUM(Waterfalls!$E234:AQ234),0))</f>
        <v>0</v>
      </c>
      <c r="AR239" s="647">
        <f ca="1">IF($C$204&lt;'General Inputs'!$J$11,AR$212,IF(AR$5=DispositionMonth,('General Inputs'!$J$8*(Waterfalls!$C$239-1))-SUM(Waterfalls!$E234:AR234),0))</f>
        <v>0</v>
      </c>
      <c r="AS239" s="647">
        <f ca="1">IF($C$204&lt;'General Inputs'!$J$11,AS$212,IF(AS$5=DispositionMonth,('General Inputs'!$J$8*(Waterfalls!$C$239-1))-SUM(Waterfalls!$E234:AS234),0))</f>
        <v>0</v>
      </c>
      <c r="AT239" s="647">
        <f ca="1">IF($C$204&lt;'General Inputs'!$J$11,AT$212,IF(AT$5=DispositionMonth,('General Inputs'!$J$8*(Waterfalls!$C$239-1))-SUM(Waterfalls!$E234:AT234),0))</f>
        <v>0</v>
      </c>
      <c r="AU239" s="647">
        <f ca="1">IF($C$204&lt;'General Inputs'!$J$11,AU$212,IF(AU$5=DispositionMonth,('General Inputs'!$J$8*(Waterfalls!$C$239-1))-SUM(Waterfalls!$E234:AU234),0))</f>
        <v>0</v>
      </c>
      <c r="AV239" s="647">
        <f ca="1">IF($C$204&lt;'General Inputs'!$J$11,AV$212,IF(AV$5=DispositionMonth,('General Inputs'!$J$8*(Waterfalls!$C$239-1))-SUM(Waterfalls!$E234:AV234),0))</f>
        <v>0</v>
      </c>
      <c r="AW239" s="647">
        <f ca="1">IF($C$204&lt;'General Inputs'!$J$11,AW$212,IF(AW$5=DispositionMonth,('General Inputs'!$J$8*(Waterfalls!$C$239-1))-SUM(Waterfalls!$E234:AW234),0))</f>
        <v>0</v>
      </c>
      <c r="AX239" s="647">
        <f ca="1">IF($C$204&lt;'General Inputs'!$J$11,AX$212,IF(AX$5=DispositionMonth,('General Inputs'!$J$8*(Waterfalls!$C$239-1))-SUM(Waterfalls!$E234:AX234),0))</f>
        <v>0</v>
      </c>
      <c r="AY239" s="647">
        <f ca="1">IF($C$204&lt;'General Inputs'!$J$11,AY$212,IF(AY$5=DispositionMonth,('General Inputs'!$J$8*(Waterfalls!$C$239-1))-SUM(Waterfalls!$E234:AY234),0))</f>
        <v>0</v>
      </c>
      <c r="AZ239" s="647">
        <f ca="1">IF($C$204&lt;'General Inputs'!$J$11,AZ$212,IF(AZ$5=DispositionMonth,('General Inputs'!$J$8*(Waterfalls!$C$239-1))-SUM(Waterfalls!$E234:AZ234),0))</f>
        <v>0</v>
      </c>
      <c r="BA239" s="647">
        <f ca="1">IF($C$204&lt;'General Inputs'!$J$11,BA$212,IF(BA$5=DispositionMonth,('General Inputs'!$J$8*(Waterfalls!$C$239-1))-SUM(Waterfalls!$E234:BA234),0))</f>
        <v>0</v>
      </c>
      <c r="BB239" s="647">
        <f ca="1">IF($C$204&lt;'General Inputs'!$J$11,BB$212,IF(BB$5=DispositionMonth,('General Inputs'!$J$8*(Waterfalls!$C$239-1))-SUM(Waterfalls!$E234:BB234),0))</f>
        <v>0</v>
      </c>
      <c r="BC239" s="647">
        <f ca="1">IF($C$204&lt;'General Inputs'!$J$11,BC$212,IF(BC$5=DispositionMonth,('General Inputs'!$J$8*(Waterfalls!$C$239-1))-SUM(Waterfalls!$E234:BC234),0))</f>
        <v>0</v>
      </c>
      <c r="BD239" s="647">
        <f ca="1">IF($C$204&lt;'General Inputs'!$J$11,BD$212,IF(BD$5=DispositionMonth,('General Inputs'!$J$8*(Waterfalls!$C$239-1))-SUM(Waterfalls!$E234:BD234),0))</f>
        <v>0</v>
      </c>
      <c r="BE239" s="647">
        <f ca="1">IF($C$204&lt;'General Inputs'!$J$11,BE$212,IF(BE$5=DispositionMonth,('General Inputs'!$J$8*(Waterfalls!$C$239-1))-SUM(Waterfalls!$E234:BE234),0))</f>
        <v>0</v>
      </c>
      <c r="BF239" s="647">
        <f ca="1">IF($C$204&lt;'General Inputs'!$J$11,BF$212,IF(BF$5=DispositionMonth,('General Inputs'!$J$8*(Waterfalls!$C$239-1))-SUM(Waterfalls!$E234:BF234),0))</f>
        <v>0</v>
      </c>
      <c r="BG239" s="647">
        <f ca="1">IF($C$204&lt;'General Inputs'!$J$11,BG$212,IF(BG$5=DispositionMonth,('General Inputs'!$J$8*(Waterfalls!$C$239-1))-SUM(Waterfalls!$E234:BG234),0))</f>
        <v>0</v>
      </c>
      <c r="BH239" s="647">
        <f ca="1">IF($C$204&lt;'General Inputs'!$J$11,BH$212,IF(BH$5=DispositionMonth,('General Inputs'!$J$8*(Waterfalls!$C$239-1))-SUM(Waterfalls!$E234:BH234),0))</f>
        <v>0</v>
      </c>
      <c r="BI239" s="647">
        <f ca="1">IF($C$204&lt;'General Inputs'!$J$11,BI$212,IF(BI$5=DispositionMonth,('General Inputs'!$J$8*(Waterfalls!$C$239-1))-SUM(Waterfalls!$E234:BI234),0))</f>
        <v>0</v>
      </c>
      <c r="BJ239" s="647">
        <f ca="1">IF($C$204&lt;'General Inputs'!$J$11,BJ$212,IF(BJ$5=DispositionMonth,('General Inputs'!$J$8*(Waterfalls!$C$239-1))-SUM(Waterfalls!$E234:BJ234),0))</f>
        <v>0</v>
      </c>
      <c r="BK239" s="647">
        <f ca="1">IF($C$204&lt;'General Inputs'!$J$11,BK$212,IF(BK$5=DispositionMonth,('General Inputs'!$J$8*(Waterfalls!$C$239-1))-SUM(Waterfalls!$E234:BK234),0))</f>
        <v>0</v>
      </c>
      <c r="BL239" s="647">
        <f ca="1">IF($C$204&lt;'General Inputs'!$J$11,BL$212,IF(BL$5=DispositionMonth,('General Inputs'!$J$8*(Waterfalls!$C$239-1))-SUM(Waterfalls!$E234:BL234),0))</f>
        <v>0</v>
      </c>
      <c r="BM239" s="647">
        <f ca="1">IF($C$204&lt;'General Inputs'!$J$11,BM$212,IF(BM$5=DispositionMonth,('General Inputs'!$J$8*(Waterfalls!$C$239-1))-SUM(Waterfalls!$E234:BM234),0))</f>
        <v>0</v>
      </c>
      <c r="BN239" s="647">
        <f ca="1">IF($C$204&lt;'General Inputs'!$J$11,BN$212,IF(BN$5=DispositionMonth,('General Inputs'!$J$8*(Waterfalls!$C$239-1))-SUM(Waterfalls!$E234:BN234),0))</f>
        <v>0</v>
      </c>
      <c r="BO239" s="647">
        <f ca="1">IF($C$204&lt;'General Inputs'!$J$11,BO$212,IF(BO$5=DispositionMonth,('General Inputs'!$J$8*(Waterfalls!$C$239-1))-SUM(Waterfalls!$E234:BO234),0))</f>
        <v>0</v>
      </c>
      <c r="BP239" s="647">
        <f ca="1">IF($C$204&lt;'General Inputs'!$J$11,BP$212,IF(BP$5=DispositionMonth,('General Inputs'!$J$8*(Waterfalls!$C$239-1))-SUM(Waterfalls!$E234:BP234),0))</f>
        <v>0</v>
      </c>
      <c r="BQ239" s="647">
        <f ca="1">IF($C$204&lt;'General Inputs'!$J$11,BQ$212,IF(BQ$5=DispositionMonth,('General Inputs'!$J$8*(Waterfalls!$C$239-1))-SUM(Waterfalls!$E234:BQ234),0))</f>
        <v>0</v>
      </c>
      <c r="BR239" s="647">
        <f ca="1">IF($C$204&lt;'General Inputs'!$J$11,BR$212,IF(BR$5=DispositionMonth,('General Inputs'!$J$8*(Waterfalls!$C$239-1))-SUM(Waterfalls!$E234:BR234),0))</f>
        <v>0</v>
      </c>
      <c r="BS239" s="647">
        <f ca="1">IF($C$204&lt;'General Inputs'!$J$11,BS$212,IF(BS$5=DispositionMonth,('General Inputs'!$J$8*(Waterfalls!$C$239-1))-SUM(Waterfalls!$E234:BS234),0))</f>
        <v>0</v>
      </c>
      <c r="BT239" s="647">
        <f ca="1">IF($C$204&lt;'General Inputs'!$J$11,BT$212,IF(BT$5=DispositionMonth,('General Inputs'!$J$8*(Waterfalls!$C$239-1))-SUM(Waterfalls!$E234:BT234),0))</f>
        <v>0</v>
      </c>
      <c r="BU239" s="647">
        <f ca="1">IF($C$204&lt;'General Inputs'!$J$11,BU$212,IF(BU$5=DispositionMonth,('General Inputs'!$J$8*(Waterfalls!$C$239-1))-SUM(Waterfalls!$E234:BU234),0))</f>
        <v>0</v>
      </c>
      <c r="BV239" s="647">
        <f ca="1">IF($C$204&lt;'General Inputs'!$J$11,BV$212,IF(BV$5=DispositionMonth,('General Inputs'!$J$8*(Waterfalls!$C$239-1))-SUM(Waterfalls!$E234:BV234),0))</f>
        <v>0</v>
      </c>
      <c r="BW239" s="647">
        <f ca="1">IF($C$204&lt;'General Inputs'!$J$11,BW$212,IF(BW$5=DispositionMonth,('General Inputs'!$J$8*(Waterfalls!$C$239-1))-SUM(Waterfalls!$E234:BW234),0))</f>
        <v>0</v>
      </c>
      <c r="BX239" s="647">
        <f ca="1">IF($C$204&lt;'General Inputs'!$J$11,BX$212,IF(BX$5=DispositionMonth,('General Inputs'!$J$8*(Waterfalls!$C$239-1))-SUM(Waterfalls!$E234:BX234),0))</f>
        <v>0</v>
      </c>
      <c r="BY239" s="647">
        <f ca="1">IF($C$204&lt;'General Inputs'!$J$11,BY$212,IF(BY$5=DispositionMonth,('General Inputs'!$J$8*(Waterfalls!$C$239-1))-SUM(Waterfalls!$E234:BY234),0))</f>
        <v>0</v>
      </c>
      <c r="BZ239" s="647">
        <f ca="1">IF($C$204&lt;'General Inputs'!$J$11,BZ$212,IF(BZ$5=DispositionMonth,('General Inputs'!$J$8*(Waterfalls!$C$239-1))-SUM(Waterfalls!$E234:BZ234),0))</f>
        <v>0</v>
      </c>
      <c r="CA239" s="647">
        <f ca="1">IF($C$204&lt;'General Inputs'!$J$11,CA$212,IF(CA$5=DispositionMonth,('General Inputs'!$J$8*(Waterfalls!$C$239-1))-SUM(Waterfalls!$E234:CA234),0))</f>
        <v>0</v>
      </c>
      <c r="CB239" s="647">
        <f ca="1">IF($C$204&lt;'General Inputs'!$J$11,CB$212,IF(CB$5=DispositionMonth,('General Inputs'!$J$8*(Waterfalls!$C$239-1))-SUM(Waterfalls!$E234:CB234),0))</f>
        <v>0</v>
      </c>
      <c r="CC239" s="647">
        <f ca="1">IF($C$204&lt;'General Inputs'!$J$11,CC$212,IF(CC$5=DispositionMonth,('General Inputs'!$J$8*(Waterfalls!$C$239-1))-SUM(Waterfalls!$E234:CC234),0))</f>
        <v>0</v>
      </c>
      <c r="CD239" s="647">
        <f ca="1">IF($C$204&lt;'General Inputs'!$J$11,CD$212,IF(CD$5=DispositionMonth,('General Inputs'!$J$8*(Waterfalls!$C$239-1))-SUM(Waterfalls!$E234:CD234),0))</f>
        <v>0</v>
      </c>
      <c r="CE239" s="647">
        <f ca="1">IF($C$204&lt;'General Inputs'!$J$11,CE$212,IF(CE$5=DispositionMonth,('General Inputs'!$J$8*(Waterfalls!$C$239-1))-SUM(Waterfalls!$E234:CE234),0))</f>
        <v>0</v>
      </c>
      <c r="CF239" s="647">
        <f ca="1">IF($C$204&lt;'General Inputs'!$J$11,CF$212,IF(CF$5=DispositionMonth,('General Inputs'!$J$8*(Waterfalls!$C$239-1))-SUM(Waterfalls!$E234:CF234),0))</f>
        <v>0</v>
      </c>
      <c r="CG239" s="647">
        <f ca="1">IF($C$204&lt;'General Inputs'!$J$11,CG$212,IF(CG$5=DispositionMonth,('General Inputs'!$J$8*(Waterfalls!$C$239-1))-SUM(Waterfalls!$E234:CG234),0))</f>
        <v>0</v>
      </c>
      <c r="CH239" s="647">
        <f ca="1">IF($C$204&lt;'General Inputs'!$J$11,CH$212,IF(CH$5=DispositionMonth,('General Inputs'!$J$8*(Waterfalls!$C$239-1))-SUM(Waterfalls!$E234:CH234),0))</f>
        <v>0</v>
      </c>
      <c r="CI239" s="647">
        <f ca="1">IF($C$204&lt;'General Inputs'!$J$11,CI$212,IF(CI$5=DispositionMonth,('General Inputs'!$J$8*(Waterfalls!$C$239-1))-SUM(Waterfalls!$E234:CI234),0))</f>
        <v>0</v>
      </c>
      <c r="CJ239" s="647">
        <f ca="1">IF($C$204&lt;'General Inputs'!$J$11,CJ$212,IF(CJ$5=DispositionMonth,('General Inputs'!$J$8*(Waterfalls!$C$239-1))-SUM(Waterfalls!$E234:CJ234),0))</f>
        <v>0</v>
      </c>
      <c r="CK239" s="647">
        <f ca="1">IF($C$204&lt;'General Inputs'!$J$11,CK$212,IF(CK$5=DispositionMonth,('General Inputs'!$J$8*(Waterfalls!$C$239-1))-SUM(Waterfalls!$E234:CK234),0))</f>
        <v>0</v>
      </c>
      <c r="CL239" s="647">
        <f ca="1">IF($C$204&lt;'General Inputs'!$J$11,CL$212,IF(CL$5=DispositionMonth,('General Inputs'!$J$8*(Waterfalls!$C$239-1))-SUM(Waterfalls!$E234:CL234),0))</f>
        <v>0</v>
      </c>
      <c r="CM239" s="647">
        <f ca="1">IF($C$204&lt;'General Inputs'!$J$11,CM$212,IF(CM$5=DispositionMonth,('General Inputs'!$J$8*(Waterfalls!$C$239-1))-SUM(Waterfalls!$E234:CM234),0))</f>
        <v>0</v>
      </c>
      <c r="CN239" s="647">
        <f ca="1">IF($C$204&lt;'General Inputs'!$J$11,CN$212,IF(CN$5=DispositionMonth,('General Inputs'!$J$8*(Waterfalls!$C$239-1))-SUM(Waterfalls!$E234:CN234),0))</f>
        <v>0</v>
      </c>
      <c r="CO239" s="647">
        <f ca="1">IF($C$204&lt;'General Inputs'!$J$11,CO$212,IF(CO$5=DispositionMonth,('General Inputs'!$J$8*(Waterfalls!$C$239-1))-SUM(Waterfalls!$E234:CO234),0))</f>
        <v>0</v>
      </c>
      <c r="CP239" s="647">
        <f ca="1">IF($C$204&lt;'General Inputs'!$J$11,CP$212,IF(CP$5=DispositionMonth,('General Inputs'!$J$8*(Waterfalls!$C$239-1))-SUM(Waterfalls!$E234:CP234),0))</f>
        <v>0</v>
      </c>
      <c r="CQ239" s="647">
        <f ca="1">IF($C$204&lt;'General Inputs'!$J$11,CQ$212,IF(CQ$5=DispositionMonth,('General Inputs'!$J$8*(Waterfalls!$C$239-1))-SUM(Waterfalls!$E234:CQ234),0))</f>
        <v>0</v>
      </c>
      <c r="CR239" s="647">
        <f ca="1">IF($C$204&lt;'General Inputs'!$J$11,CR$212,IF(CR$5=DispositionMonth,('General Inputs'!$J$8*(Waterfalls!$C$239-1))-SUM(Waterfalls!$E234:CR234),0))</f>
        <v>0</v>
      </c>
      <c r="CS239" s="647">
        <f ca="1">IF($C$204&lt;'General Inputs'!$J$11,CS$212,IF(CS$5=DispositionMonth,('General Inputs'!$J$8*(Waterfalls!$C$239-1))-SUM(Waterfalls!$E234:CS234),0))</f>
        <v>0</v>
      </c>
      <c r="CT239" s="647">
        <f ca="1">IF($C$204&lt;'General Inputs'!$J$11,CT$212,IF(CT$5=DispositionMonth,('General Inputs'!$J$8*(Waterfalls!$C$239-1))-SUM(Waterfalls!$E234:CT234),0))</f>
        <v>0</v>
      </c>
      <c r="CU239" s="647">
        <f ca="1">IF($C$204&lt;'General Inputs'!$J$11,CU$212,IF(CU$5=DispositionMonth,('General Inputs'!$J$8*(Waterfalls!$C$239-1))-SUM(Waterfalls!$E234:CU234),0))</f>
        <v>0</v>
      </c>
      <c r="CV239" s="647">
        <f ca="1">IF($C$204&lt;'General Inputs'!$J$11,CV$212,IF(CV$5=DispositionMonth,('General Inputs'!$J$8*(Waterfalls!$C$239-1))-SUM(Waterfalls!$E234:CV234),0))</f>
        <v>0</v>
      </c>
      <c r="CW239" s="647">
        <f ca="1">IF($C$204&lt;'General Inputs'!$J$11,CW$212,IF(CW$5=DispositionMonth,('General Inputs'!$J$8*(Waterfalls!$C$239-1))-SUM(Waterfalls!$E234:CW234),0))</f>
        <v>0</v>
      </c>
      <c r="CX239" s="647">
        <f ca="1">IF($C$204&lt;'General Inputs'!$J$11,CX$212,IF(CX$5=DispositionMonth,('General Inputs'!$J$8*(Waterfalls!$C$239-1))-SUM(Waterfalls!$E234:CX234),0))</f>
        <v>0</v>
      </c>
      <c r="CY239" s="647">
        <f ca="1">IF($C$204&lt;'General Inputs'!$J$11,CY$212,IF(CY$5=DispositionMonth,('General Inputs'!$J$8*(Waterfalls!$C$239-1))-SUM(Waterfalls!$E234:CY234),0))</f>
        <v>0</v>
      </c>
      <c r="CZ239" s="647">
        <f ca="1">IF($C$204&lt;'General Inputs'!$J$11,CZ$212,IF(CZ$5=DispositionMonth,('General Inputs'!$J$8*(Waterfalls!$C$239-1))-SUM(Waterfalls!$E234:CZ234),0))</f>
        <v>0</v>
      </c>
      <c r="DA239" s="647">
        <f ca="1">IF($C$204&lt;'General Inputs'!$J$11,DA$212,IF(DA$5=DispositionMonth,('General Inputs'!$J$8*(Waterfalls!$C$239-1))-SUM(Waterfalls!$E234:DA234),0))</f>
        <v>0</v>
      </c>
      <c r="DB239" s="647">
        <f ca="1">IF($C$204&lt;'General Inputs'!$J$11,DB$212,IF(DB$5=DispositionMonth,('General Inputs'!$J$8*(Waterfalls!$C$239-1))-SUM(Waterfalls!$E234:DB234),0))</f>
        <v>0</v>
      </c>
      <c r="DC239" s="647">
        <f ca="1">IF($C$204&lt;'General Inputs'!$J$11,DC$212,IF(DC$5=DispositionMonth,('General Inputs'!$J$8*(Waterfalls!$C$239-1))-SUM(Waterfalls!$E234:DC234),0))</f>
        <v>0</v>
      </c>
      <c r="DD239" s="647">
        <f ca="1">IF($C$204&lt;'General Inputs'!$J$11,DD$212,IF(DD$5=DispositionMonth,('General Inputs'!$J$8*(Waterfalls!$C$239-1))-SUM(Waterfalls!$E234:DD234),0))</f>
        <v>0</v>
      </c>
      <c r="DE239" s="647">
        <f ca="1">IF($C$204&lt;'General Inputs'!$J$11,DE$212,IF(DE$5=DispositionMonth,('General Inputs'!$J$8*(Waterfalls!$C$239-1))-SUM(Waterfalls!$E234:DE234),0))</f>
        <v>0</v>
      </c>
      <c r="DF239" s="647">
        <f ca="1">IF($C$204&lt;'General Inputs'!$J$11,DF$212,IF(DF$5=DispositionMonth,('General Inputs'!$J$8*(Waterfalls!$C$239-1))-SUM(Waterfalls!$E234:DF234),0))</f>
        <v>0</v>
      </c>
      <c r="DG239" s="647">
        <f ca="1">IF($C$204&lt;'General Inputs'!$J$11,DG$212,IF(DG$5=DispositionMonth,('General Inputs'!$J$8*(Waterfalls!$C$239-1))-SUM(Waterfalls!$E234:DG234),0))</f>
        <v>0</v>
      </c>
      <c r="DH239" s="647">
        <f ca="1">IF($C$204&lt;'General Inputs'!$J$11,DH$212,IF(DH$5=DispositionMonth,('General Inputs'!$J$8*(Waterfalls!$C$239-1))-SUM(Waterfalls!$E234:DH234),0))</f>
        <v>0</v>
      </c>
      <c r="DI239" s="647">
        <f ca="1">IF($C$204&lt;'General Inputs'!$J$11,DI$212,IF(DI$5=DispositionMonth,('General Inputs'!$J$8*(Waterfalls!$C$239-1))-SUM(Waterfalls!$E234:DI234),0))</f>
        <v>0</v>
      </c>
      <c r="DJ239" s="647">
        <f ca="1">IF($C$204&lt;'General Inputs'!$J$11,DJ$212,IF(DJ$5=DispositionMonth,('General Inputs'!$J$8*(Waterfalls!$C$239-1))-SUM(Waterfalls!$E234:DJ234),0))</f>
        <v>0</v>
      </c>
      <c r="DK239" s="647">
        <f ca="1">IF($C$204&lt;'General Inputs'!$J$11,DK$212,IF(DK$5=DispositionMonth,('General Inputs'!$J$8*(Waterfalls!$C$239-1))-SUM(Waterfalls!$E234:DK234),0))</f>
        <v>0</v>
      </c>
      <c r="DL239" s="647">
        <f ca="1">IF($C$204&lt;'General Inputs'!$J$11,DL$212,IF(DL$5=DispositionMonth,('General Inputs'!$J$8*(Waterfalls!$C$239-1))-SUM(Waterfalls!$E234:DL234),0))</f>
        <v>0</v>
      </c>
      <c r="DM239" s="647">
        <f ca="1">IF($C$204&lt;'General Inputs'!$J$11,DM$212,IF(DM$5=DispositionMonth,('General Inputs'!$J$8*(Waterfalls!$C$239-1))-SUM(Waterfalls!$E234:DM234),0))</f>
        <v>0</v>
      </c>
      <c r="DN239" s="647">
        <f ca="1">IF($C$204&lt;'General Inputs'!$J$11,DN$212,IF(DN$5=DispositionMonth,('General Inputs'!$J$8*(Waterfalls!$C$239-1))-SUM(Waterfalls!$E234:DN234),0))</f>
        <v>0</v>
      </c>
      <c r="DO239" s="647">
        <f ca="1">IF($C$204&lt;'General Inputs'!$J$11,DO$212,IF(DO$5=DispositionMonth,('General Inputs'!$J$8*(Waterfalls!$C$239-1))-SUM(Waterfalls!$E234:DO234),0))</f>
        <v>0</v>
      </c>
      <c r="DP239" s="647">
        <f ca="1">IF($C$204&lt;'General Inputs'!$J$11,DP$212,IF(DP$5=DispositionMonth,('General Inputs'!$J$8*(Waterfalls!$C$239-1))-SUM(Waterfalls!$E234:DP234),0))</f>
        <v>0</v>
      </c>
      <c r="DQ239" s="647">
        <f ca="1">IF($C$204&lt;'General Inputs'!$J$11,DQ$212,IF(DQ$5=DispositionMonth,('General Inputs'!$J$8*(Waterfalls!$C$239-1))-SUM(Waterfalls!$E234:DQ234),0))</f>
        <v>0</v>
      </c>
      <c r="DR239" s="647">
        <f ca="1">IF($C$204&lt;'General Inputs'!$J$11,DR$212,IF(DR$5=DispositionMonth,('General Inputs'!$J$8*(Waterfalls!$C$239-1))-SUM(Waterfalls!$E234:DR234),0))</f>
        <v>0</v>
      </c>
      <c r="DS239" s="647">
        <f ca="1">IF($C$204&lt;'General Inputs'!$J$11,DS$212,IF(DS$5=DispositionMonth,('General Inputs'!$J$8*(Waterfalls!$C$239-1))-SUM(Waterfalls!$E234:DS234),0))</f>
        <v>0</v>
      </c>
      <c r="DT239" s="647">
        <f ca="1">IF($C$204&lt;'General Inputs'!$J$11,DT$212,IF(DT$5=DispositionMonth,('General Inputs'!$J$8*(Waterfalls!$C$239-1))-SUM(Waterfalls!$E234:DT234),0))</f>
        <v>0</v>
      </c>
      <c r="DU239" s="647">
        <f ca="1">IF($C$204&lt;'General Inputs'!$J$11,DU$212,IF(DU$5=DispositionMonth,('General Inputs'!$J$8*(Waterfalls!$C$239-1))-SUM(Waterfalls!$E234:DU234),0))</f>
        <v>0</v>
      </c>
      <c r="EI239" s="734"/>
    </row>
    <row r="240" spans="1:139" x14ac:dyDescent="0.3">
      <c r="A240" s="182" t="str">
        <f>'General Inputs'!$J$29&amp;" Tier 1 Promote"</f>
        <v>LP Tier 1 Promote</v>
      </c>
      <c r="B240" s="182"/>
      <c r="C240" s="719"/>
      <c r="D240" s="647"/>
      <c r="E240" s="407">
        <f t="shared" ref="E240:AN240" si="418">E243</f>
        <v>0</v>
      </c>
      <c r="F240" s="407">
        <f t="shared" si="418"/>
        <v>0</v>
      </c>
      <c r="G240" s="407">
        <f t="shared" si="418"/>
        <v>0</v>
      </c>
      <c r="H240" s="407">
        <f t="shared" si="418"/>
        <v>0</v>
      </c>
      <c r="I240" s="407">
        <f t="shared" si="418"/>
        <v>0</v>
      </c>
      <c r="J240" s="407">
        <f t="shared" si="418"/>
        <v>0</v>
      </c>
      <c r="K240" s="407">
        <f t="shared" si="418"/>
        <v>0</v>
      </c>
      <c r="L240" s="407">
        <f t="shared" si="418"/>
        <v>0</v>
      </c>
      <c r="M240" s="407">
        <f t="shared" si="418"/>
        <v>0</v>
      </c>
      <c r="N240" s="407">
        <f t="shared" si="418"/>
        <v>0</v>
      </c>
      <c r="O240" s="407">
        <f t="shared" si="418"/>
        <v>0</v>
      </c>
      <c r="P240" s="407">
        <f t="shared" si="418"/>
        <v>0</v>
      </c>
      <c r="Q240" s="407">
        <f t="shared" si="418"/>
        <v>0</v>
      </c>
      <c r="R240" s="407">
        <f t="shared" si="418"/>
        <v>0</v>
      </c>
      <c r="S240" s="407">
        <f t="shared" si="418"/>
        <v>0</v>
      </c>
      <c r="T240" s="407">
        <f t="shared" si="418"/>
        <v>0</v>
      </c>
      <c r="U240" s="407">
        <f t="shared" si="418"/>
        <v>0</v>
      </c>
      <c r="V240" s="407">
        <f t="shared" si="418"/>
        <v>0</v>
      </c>
      <c r="W240" s="407">
        <f t="shared" si="418"/>
        <v>0</v>
      </c>
      <c r="X240" s="407">
        <f t="shared" si="418"/>
        <v>0</v>
      </c>
      <c r="Y240" s="407">
        <f t="shared" si="418"/>
        <v>0</v>
      </c>
      <c r="Z240" s="407">
        <f t="shared" si="418"/>
        <v>0</v>
      </c>
      <c r="AA240" s="407">
        <f t="shared" si="418"/>
        <v>0</v>
      </c>
      <c r="AB240" s="407">
        <f t="shared" si="418"/>
        <v>0</v>
      </c>
      <c r="AC240" s="407">
        <f t="shared" si="418"/>
        <v>0</v>
      </c>
      <c r="AD240" s="407">
        <f t="shared" si="418"/>
        <v>0</v>
      </c>
      <c r="AE240" s="407">
        <f t="shared" si="418"/>
        <v>0</v>
      </c>
      <c r="AF240" s="407">
        <f t="shared" si="418"/>
        <v>0</v>
      </c>
      <c r="AG240" s="407">
        <f t="shared" ca="1" si="418"/>
        <v>1074106.9971894026</v>
      </c>
      <c r="AH240" s="407">
        <f t="shared" si="418"/>
        <v>0</v>
      </c>
      <c r="AI240" s="407">
        <f t="shared" si="418"/>
        <v>0</v>
      </c>
      <c r="AJ240" s="407">
        <f t="shared" si="418"/>
        <v>0</v>
      </c>
      <c r="AK240" s="407">
        <f t="shared" si="418"/>
        <v>0</v>
      </c>
      <c r="AL240" s="407">
        <f t="shared" si="418"/>
        <v>0</v>
      </c>
      <c r="AM240" s="407">
        <f t="shared" si="418"/>
        <v>0</v>
      </c>
      <c r="AN240" s="407">
        <f t="shared" si="418"/>
        <v>0</v>
      </c>
      <c r="AO240" s="407">
        <f>AO243</f>
        <v>0</v>
      </c>
      <c r="AP240" s="407">
        <f t="shared" ref="AP240:DA240" si="419">AP243</f>
        <v>0</v>
      </c>
      <c r="AQ240" s="407">
        <f t="shared" si="419"/>
        <v>0</v>
      </c>
      <c r="AR240" s="407">
        <f t="shared" si="419"/>
        <v>0</v>
      </c>
      <c r="AS240" s="407">
        <f t="shared" si="419"/>
        <v>0</v>
      </c>
      <c r="AT240" s="407">
        <f t="shared" si="419"/>
        <v>0</v>
      </c>
      <c r="AU240" s="407">
        <f t="shared" si="419"/>
        <v>0</v>
      </c>
      <c r="AV240" s="407">
        <f t="shared" si="419"/>
        <v>0</v>
      </c>
      <c r="AW240" s="407">
        <f t="shared" si="419"/>
        <v>0</v>
      </c>
      <c r="AX240" s="407">
        <f t="shared" si="419"/>
        <v>0</v>
      </c>
      <c r="AY240" s="407">
        <f t="shared" si="419"/>
        <v>0</v>
      </c>
      <c r="AZ240" s="407">
        <f t="shared" si="419"/>
        <v>0</v>
      </c>
      <c r="BA240" s="407">
        <f t="shared" si="419"/>
        <v>0</v>
      </c>
      <c r="BB240" s="407">
        <f t="shared" si="419"/>
        <v>0</v>
      </c>
      <c r="BC240" s="407">
        <f t="shared" si="419"/>
        <v>0</v>
      </c>
      <c r="BD240" s="407">
        <f t="shared" si="419"/>
        <v>0</v>
      </c>
      <c r="BE240" s="407">
        <f t="shared" si="419"/>
        <v>0</v>
      </c>
      <c r="BF240" s="407">
        <f t="shared" si="419"/>
        <v>0</v>
      </c>
      <c r="BG240" s="407">
        <f t="shared" si="419"/>
        <v>0</v>
      </c>
      <c r="BH240" s="407">
        <f t="shared" si="419"/>
        <v>0</v>
      </c>
      <c r="BI240" s="407">
        <f t="shared" si="419"/>
        <v>0</v>
      </c>
      <c r="BJ240" s="407">
        <f t="shared" si="419"/>
        <v>0</v>
      </c>
      <c r="BK240" s="407">
        <f t="shared" si="419"/>
        <v>0</v>
      </c>
      <c r="BL240" s="407">
        <f t="shared" si="419"/>
        <v>0</v>
      </c>
      <c r="BM240" s="407">
        <f t="shared" si="419"/>
        <v>0</v>
      </c>
      <c r="BN240" s="407">
        <f t="shared" si="419"/>
        <v>0</v>
      </c>
      <c r="BO240" s="407">
        <f t="shared" si="419"/>
        <v>0</v>
      </c>
      <c r="BP240" s="407">
        <f t="shared" si="419"/>
        <v>0</v>
      </c>
      <c r="BQ240" s="407">
        <f t="shared" si="419"/>
        <v>0</v>
      </c>
      <c r="BR240" s="407">
        <f t="shared" si="419"/>
        <v>0</v>
      </c>
      <c r="BS240" s="407">
        <f t="shared" si="419"/>
        <v>0</v>
      </c>
      <c r="BT240" s="407">
        <f t="shared" si="419"/>
        <v>0</v>
      </c>
      <c r="BU240" s="407">
        <f t="shared" si="419"/>
        <v>0</v>
      </c>
      <c r="BV240" s="407">
        <f t="shared" si="419"/>
        <v>0</v>
      </c>
      <c r="BW240" s="407">
        <f t="shared" si="419"/>
        <v>0</v>
      </c>
      <c r="BX240" s="407">
        <f t="shared" si="419"/>
        <v>0</v>
      </c>
      <c r="BY240" s="407">
        <f t="shared" si="419"/>
        <v>0</v>
      </c>
      <c r="BZ240" s="407">
        <f t="shared" si="419"/>
        <v>0</v>
      </c>
      <c r="CA240" s="407">
        <f t="shared" si="419"/>
        <v>0</v>
      </c>
      <c r="CB240" s="407">
        <f t="shared" si="419"/>
        <v>0</v>
      </c>
      <c r="CC240" s="407">
        <f t="shared" si="419"/>
        <v>0</v>
      </c>
      <c r="CD240" s="407">
        <f t="shared" si="419"/>
        <v>0</v>
      </c>
      <c r="CE240" s="407">
        <f t="shared" si="419"/>
        <v>0</v>
      </c>
      <c r="CF240" s="407">
        <f t="shared" si="419"/>
        <v>0</v>
      </c>
      <c r="CG240" s="407">
        <f t="shared" si="419"/>
        <v>0</v>
      </c>
      <c r="CH240" s="407">
        <f t="shared" si="419"/>
        <v>0</v>
      </c>
      <c r="CI240" s="407">
        <f t="shared" si="419"/>
        <v>0</v>
      </c>
      <c r="CJ240" s="407">
        <f t="shared" si="419"/>
        <v>0</v>
      </c>
      <c r="CK240" s="407">
        <f t="shared" si="419"/>
        <v>0</v>
      </c>
      <c r="CL240" s="407">
        <f t="shared" si="419"/>
        <v>0</v>
      </c>
      <c r="CM240" s="407">
        <f t="shared" si="419"/>
        <v>0</v>
      </c>
      <c r="CN240" s="407">
        <f t="shared" si="419"/>
        <v>0</v>
      </c>
      <c r="CO240" s="407">
        <f t="shared" si="419"/>
        <v>0</v>
      </c>
      <c r="CP240" s="407">
        <f t="shared" si="419"/>
        <v>0</v>
      </c>
      <c r="CQ240" s="407">
        <f t="shared" si="419"/>
        <v>0</v>
      </c>
      <c r="CR240" s="407">
        <f t="shared" si="419"/>
        <v>0</v>
      </c>
      <c r="CS240" s="407">
        <f t="shared" si="419"/>
        <v>0</v>
      </c>
      <c r="CT240" s="407">
        <f t="shared" si="419"/>
        <v>0</v>
      </c>
      <c r="CU240" s="407">
        <f t="shared" si="419"/>
        <v>0</v>
      </c>
      <c r="CV240" s="407">
        <f t="shared" si="419"/>
        <v>0</v>
      </c>
      <c r="CW240" s="407">
        <f t="shared" si="419"/>
        <v>0</v>
      </c>
      <c r="CX240" s="407">
        <f t="shared" si="419"/>
        <v>0</v>
      </c>
      <c r="CY240" s="407">
        <f t="shared" si="419"/>
        <v>0</v>
      </c>
      <c r="CZ240" s="407">
        <f t="shared" si="419"/>
        <v>0</v>
      </c>
      <c r="DA240" s="407">
        <f t="shared" si="419"/>
        <v>0</v>
      </c>
      <c r="DB240" s="407">
        <f t="shared" ref="DB240:DU240" si="420">DB243</f>
        <v>0</v>
      </c>
      <c r="DC240" s="407">
        <f t="shared" si="420"/>
        <v>0</v>
      </c>
      <c r="DD240" s="407">
        <f t="shared" si="420"/>
        <v>0</v>
      </c>
      <c r="DE240" s="407">
        <f t="shared" si="420"/>
        <v>0</v>
      </c>
      <c r="DF240" s="407">
        <f t="shared" si="420"/>
        <v>0</v>
      </c>
      <c r="DG240" s="407">
        <f t="shared" si="420"/>
        <v>0</v>
      </c>
      <c r="DH240" s="407">
        <f t="shared" si="420"/>
        <v>0</v>
      </c>
      <c r="DI240" s="407">
        <f t="shared" si="420"/>
        <v>0</v>
      </c>
      <c r="DJ240" s="407">
        <f t="shared" si="420"/>
        <v>0</v>
      </c>
      <c r="DK240" s="407">
        <f t="shared" si="420"/>
        <v>0</v>
      </c>
      <c r="DL240" s="407">
        <f t="shared" si="420"/>
        <v>0</v>
      </c>
      <c r="DM240" s="407">
        <f t="shared" si="420"/>
        <v>0</v>
      </c>
      <c r="DN240" s="407">
        <f t="shared" si="420"/>
        <v>0</v>
      </c>
      <c r="DO240" s="407">
        <f t="shared" si="420"/>
        <v>0</v>
      </c>
      <c r="DP240" s="407">
        <f t="shared" si="420"/>
        <v>0</v>
      </c>
      <c r="DQ240" s="407">
        <f t="shared" si="420"/>
        <v>0</v>
      </c>
      <c r="DR240" s="407">
        <f t="shared" si="420"/>
        <v>0</v>
      </c>
      <c r="DS240" s="407">
        <f t="shared" si="420"/>
        <v>0</v>
      </c>
      <c r="DT240" s="407">
        <f t="shared" si="420"/>
        <v>0</v>
      </c>
      <c r="DU240" s="407">
        <f t="shared" si="420"/>
        <v>0</v>
      </c>
      <c r="EI240" s="280"/>
    </row>
    <row r="241" spans="1:139" ht="15" thickBot="1" x14ac:dyDescent="0.35">
      <c r="A241" s="436" t="str">
        <f>'General Inputs'!$J$29&amp;" Tier 1 Cash Flows"</f>
        <v>LP Tier 1 Cash Flows</v>
      </c>
      <c r="B241" s="436"/>
      <c r="C241" s="720" t="str">
        <f ca="1">TEXT((1+IRR(E241:DU241,0.01))^12-1,"0.00%")&amp;"/"&amp;TEXT(SUM(E241:DU241)/'General Inputs'!$J$8+1,"0.00x")</f>
        <v>12.00%/1.25x</v>
      </c>
      <c r="D241" s="654"/>
      <c r="E241" s="433">
        <f t="shared" ref="E241:AN241" ca="1" si="421">E236+E240</f>
        <v>-1684806.2553703375</v>
      </c>
      <c r="F241" s="433">
        <f t="shared" ca="1" si="421"/>
        <v>-13679721.285321232</v>
      </c>
      <c r="G241" s="433">
        <f t="shared" ca="1" si="421"/>
        <v>-429758.58896990592</v>
      </c>
      <c r="H241" s="433">
        <f t="shared" ca="1" si="421"/>
        <v>-652516.24275347544</v>
      </c>
      <c r="I241" s="433">
        <f t="shared" ca="1" si="421"/>
        <v>-1108216.2834030252</v>
      </c>
      <c r="J241" s="433">
        <f t="shared" ca="1" si="421"/>
        <v>-1808500.5776190415</v>
      </c>
      <c r="K241" s="433">
        <f t="shared" ca="1" si="421"/>
        <v>-1861449.5545326734</v>
      </c>
      <c r="L241" s="433">
        <f t="shared" ca="1" si="421"/>
        <v>-2372000.4851556052</v>
      </c>
      <c r="M241" s="433">
        <f t="shared" ca="1" si="421"/>
        <v>-2813680.2377213496</v>
      </c>
      <c r="N241" s="433">
        <f t="shared" ca="1" si="421"/>
        <v>-3293680.161515363</v>
      </c>
      <c r="O241" s="433">
        <f t="shared" ca="1" si="421"/>
        <v>-1869318.1862202697</v>
      </c>
      <c r="P241" s="433">
        <f t="shared" ca="1" si="421"/>
        <v>0</v>
      </c>
      <c r="Q241" s="433">
        <f t="shared" ca="1" si="421"/>
        <v>0</v>
      </c>
      <c r="R241" s="433">
        <f t="shared" ca="1" si="421"/>
        <v>0</v>
      </c>
      <c r="S241" s="433">
        <f t="shared" ca="1" si="421"/>
        <v>0</v>
      </c>
      <c r="T241" s="433">
        <f t="shared" ca="1" si="421"/>
        <v>0</v>
      </c>
      <c r="U241" s="433">
        <f t="shared" ca="1" si="421"/>
        <v>0</v>
      </c>
      <c r="V241" s="433">
        <f t="shared" ca="1" si="421"/>
        <v>0</v>
      </c>
      <c r="W241" s="433">
        <f t="shared" ca="1" si="421"/>
        <v>0</v>
      </c>
      <c r="X241" s="433">
        <f t="shared" ca="1" si="421"/>
        <v>0</v>
      </c>
      <c r="Y241" s="433">
        <f t="shared" ca="1" si="421"/>
        <v>0</v>
      </c>
      <c r="Z241" s="433">
        <f t="shared" ca="1" si="421"/>
        <v>0</v>
      </c>
      <c r="AA241" s="433">
        <f t="shared" ca="1" si="421"/>
        <v>0</v>
      </c>
      <c r="AB241" s="433">
        <f t="shared" ca="1" si="421"/>
        <v>0</v>
      </c>
      <c r="AC241" s="433">
        <f t="shared" ca="1" si="421"/>
        <v>39701.726541082207</v>
      </c>
      <c r="AD241" s="433">
        <f t="shared" ca="1" si="421"/>
        <v>75897.380147726886</v>
      </c>
      <c r="AE241" s="433">
        <f t="shared" ca="1" si="421"/>
        <v>117111.83679771089</v>
      </c>
      <c r="AF241" s="433">
        <f t="shared" ca="1" si="421"/>
        <v>197606.01356017322</v>
      </c>
      <c r="AG241" s="433">
        <f t="shared" ca="1" si="421"/>
        <v>39161676.233132474</v>
      </c>
      <c r="AH241" s="433">
        <f t="shared" si="421"/>
        <v>0</v>
      </c>
      <c r="AI241" s="433">
        <f t="shared" si="421"/>
        <v>0</v>
      </c>
      <c r="AJ241" s="433">
        <f t="shared" si="421"/>
        <v>0</v>
      </c>
      <c r="AK241" s="433">
        <f t="shared" si="421"/>
        <v>0</v>
      </c>
      <c r="AL241" s="433">
        <f t="shared" si="421"/>
        <v>0</v>
      </c>
      <c r="AM241" s="433">
        <f t="shared" si="421"/>
        <v>0</v>
      </c>
      <c r="AN241" s="433">
        <f t="shared" si="421"/>
        <v>0</v>
      </c>
      <c r="AO241" s="433">
        <f>AO236+AO240</f>
        <v>0</v>
      </c>
      <c r="AP241" s="433">
        <f t="shared" ref="AP241:DA241" si="422">AP236+AP240</f>
        <v>0</v>
      </c>
      <c r="AQ241" s="433">
        <f t="shared" si="422"/>
        <v>0</v>
      </c>
      <c r="AR241" s="433">
        <f t="shared" si="422"/>
        <v>0</v>
      </c>
      <c r="AS241" s="433">
        <f t="shared" si="422"/>
        <v>0</v>
      </c>
      <c r="AT241" s="433">
        <f t="shared" si="422"/>
        <v>0</v>
      </c>
      <c r="AU241" s="433">
        <f t="shared" si="422"/>
        <v>0</v>
      </c>
      <c r="AV241" s="433">
        <f t="shared" si="422"/>
        <v>0</v>
      </c>
      <c r="AW241" s="433">
        <f t="shared" si="422"/>
        <v>0</v>
      </c>
      <c r="AX241" s="433">
        <f t="shared" si="422"/>
        <v>0</v>
      </c>
      <c r="AY241" s="433">
        <f t="shared" si="422"/>
        <v>0</v>
      </c>
      <c r="AZ241" s="433">
        <f t="shared" si="422"/>
        <v>0</v>
      </c>
      <c r="BA241" s="433">
        <f t="shared" si="422"/>
        <v>0</v>
      </c>
      <c r="BB241" s="433">
        <f t="shared" si="422"/>
        <v>0</v>
      </c>
      <c r="BC241" s="433">
        <f t="shared" si="422"/>
        <v>0</v>
      </c>
      <c r="BD241" s="433">
        <f t="shared" si="422"/>
        <v>0</v>
      </c>
      <c r="BE241" s="433">
        <f t="shared" si="422"/>
        <v>0</v>
      </c>
      <c r="BF241" s="433">
        <f t="shared" si="422"/>
        <v>0</v>
      </c>
      <c r="BG241" s="433">
        <f t="shared" si="422"/>
        <v>0</v>
      </c>
      <c r="BH241" s="433">
        <f t="shared" si="422"/>
        <v>0</v>
      </c>
      <c r="BI241" s="433">
        <f t="shared" si="422"/>
        <v>0</v>
      </c>
      <c r="BJ241" s="433">
        <f t="shared" si="422"/>
        <v>0</v>
      </c>
      <c r="BK241" s="433">
        <f t="shared" si="422"/>
        <v>0</v>
      </c>
      <c r="BL241" s="433">
        <f t="shared" si="422"/>
        <v>0</v>
      </c>
      <c r="BM241" s="433">
        <f t="shared" si="422"/>
        <v>0</v>
      </c>
      <c r="BN241" s="433">
        <f t="shared" si="422"/>
        <v>0</v>
      </c>
      <c r="BO241" s="433">
        <f t="shared" si="422"/>
        <v>0</v>
      </c>
      <c r="BP241" s="433">
        <f t="shared" si="422"/>
        <v>0</v>
      </c>
      <c r="BQ241" s="433">
        <f t="shared" si="422"/>
        <v>0</v>
      </c>
      <c r="BR241" s="433">
        <f t="shared" si="422"/>
        <v>0</v>
      </c>
      <c r="BS241" s="433">
        <f t="shared" si="422"/>
        <v>0</v>
      </c>
      <c r="BT241" s="433">
        <f t="shared" si="422"/>
        <v>0</v>
      </c>
      <c r="BU241" s="433">
        <f t="shared" si="422"/>
        <v>0</v>
      </c>
      <c r="BV241" s="433">
        <f t="shared" si="422"/>
        <v>0</v>
      </c>
      <c r="BW241" s="433">
        <f t="shared" si="422"/>
        <v>0</v>
      </c>
      <c r="BX241" s="433">
        <f t="shared" si="422"/>
        <v>0</v>
      </c>
      <c r="BY241" s="433">
        <f t="shared" si="422"/>
        <v>0</v>
      </c>
      <c r="BZ241" s="433">
        <f t="shared" si="422"/>
        <v>0</v>
      </c>
      <c r="CA241" s="433">
        <f t="shared" si="422"/>
        <v>0</v>
      </c>
      <c r="CB241" s="433">
        <f t="shared" si="422"/>
        <v>0</v>
      </c>
      <c r="CC241" s="433">
        <f t="shared" si="422"/>
        <v>0</v>
      </c>
      <c r="CD241" s="433">
        <f t="shared" si="422"/>
        <v>0</v>
      </c>
      <c r="CE241" s="433">
        <f t="shared" si="422"/>
        <v>0</v>
      </c>
      <c r="CF241" s="433">
        <f t="shared" si="422"/>
        <v>0</v>
      </c>
      <c r="CG241" s="433">
        <f t="shared" si="422"/>
        <v>0</v>
      </c>
      <c r="CH241" s="433">
        <f t="shared" si="422"/>
        <v>0</v>
      </c>
      <c r="CI241" s="433">
        <f t="shared" si="422"/>
        <v>0</v>
      </c>
      <c r="CJ241" s="433">
        <f t="shared" si="422"/>
        <v>0</v>
      </c>
      <c r="CK241" s="433">
        <f t="shared" si="422"/>
        <v>0</v>
      </c>
      <c r="CL241" s="433">
        <f t="shared" si="422"/>
        <v>0</v>
      </c>
      <c r="CM241" s="433">
        <f t="shared" si="422"/>
        <v>0</v>
      </c>
      <c r="CN241" s="433">
        <f t="shared" si="422"/>
        <v>0</v>
      </c>
      <c r="CO241" s="433">
        <f t="shared" si="422"/>
        <v>0</v>
      </c>
      <c r="CP241" s="433">
        <f t="shared" si="422"/>
        <v>0</v>
      </c>
      <c r="CQ241" s="433">
        <f t="shared" si="422"/>
        <v>0</v>
      </c>
      <c r="CR241" s="433">
        <f t="shared" si="422"/>
        <v>0</v>
      </c>
      <c r="CS241" s="433">
        <f t="shared" si="422"/>
        <v>0</v>
      </c>
      <c r="CT241" s="433">
        <f t="shared" si="422"/>
        <v>0</v>
      </c>
      <c r="CU241" s="433">
        <f t="shared" si="422"/>
        <v>0</v>
      </c>
      <c r="CV241" s="433">
        <f t="shared" si="422"/>
        <v>0</v>
      </c>
      <c r="CW241" s="433">
        <f t="shared" si="422"/>
        <v>0</v>
      </c>
      <c r="CX241" s="433">
        <f t="shared" si="422"/>
        <v>0</v>
      </c>
      <c r="CY241" s="433">
        <f t="shared" si="422"/>
        <v>0</v>
      </c>
      <c r="CZ241" s="433">
        <f t="shared" si="422"/>
        <v>0</v>
      </c>
      <c r="DA241" s="433">
        <f t="shared" si="422"/>
        <v>0</v>
      </c>
      <c r="DB241" s="433">
        <f t="shared" ref="DB241:DU241" si="423">DB236+DB240</f>
        <v>0</v>
      </c>
      <c r="DC241" s="433">
        <f t="shared" si="423"/>
        <v>0</v>
      </c>
      <c r="DD241" s="433">
        <f t="shared" si="423"/>
        <v>0</v>
      </c>
      <c r="DE241" s="433">
        <f t="shared" si="423"/>
        <v>0</v>
      </c>
      <c r="DF241" s="433">
        <f t="shared" si="423"/>
        <v>0</v>
      </c>
      <c r="DG241" s="433">
        <f t="shared" si="423"/>
        <v>0</v>
      </c>
      <c r="DH241" s="433">
        <f t="shared" si="423"/>
        <v>0</v>
      </c>
      <c r="DI241" s="433">
        <f t="shared" si="423"/>
        <v>0</v>
      </c>
      <c r="DJ241" s="433">
        <f t="shared" si="423"/>
        <v>0</v>
      </c>
      <c r="DK241" s="433">
        <f t="shared" si="423"/>
        <v>0</v>
      </c>
      <c r="DL241" s="433">
        <f t="shared" si="423"/>
        <v>0</v>
      </c>
      <c r="DM241" s="433">
        <f t="shared" si="423"/>
        <v>0</v>
      </c>
      <c r="DN241" s="433">
        <f t="shared" si="423"/>
        <v>0</v>
      </c>
      <c r="DO241" s="433">
        <f t="shared" si="423"/>
        <v>0</v>
      </c>
      <c r="DP241" s="433">
        <f t="shared" si="423"/>
        <v>0</v>
      </c>
      <c r="DQ241" s="433">
        <f t="shared" si="423"/>
        <v>0</v>
      </c>
      <c r="DR241" s="433">
        <f t="shared" si="423"/>
        <v>0</v>
      </c>
      <c r="DS241" s="433">
        <f t="shared" si="423"/>
        <v>0</v>
      </c>
      <c r="DT241" s="433">
        <f t="shared" si="423"/>
        <v>0</v>
      </c>
      <c r="DU241" s="433">
        <f t="shared" si="423"/>
        <v>0</v>
      </c>
      <c r="EI241" s="280"/>
    </row>
    <row r="242" spans="1:139" ht="7.5" customHeight="1" thickTop="1" x14ac:dyDescent="0.3">
      <c r="D242" s="282"/>
      <c r="EI242" s="722"/>
    </row>
    <row r="243" spans="1:139" x14ac:dyDescent="0.3">
      <c r="A243" s="182" t="str">
        <f>'General Inputs'!J29&amp;" Tier 1 Promote"</f>
        <v>LP Tier 1 Promote</v>
      </c>
      <c r="B243" s="182"/>
      <c r="C243" s="400">
        <f>'General Inputs'!$J$30</f>
        <v>0.65</v>
      </c>
      <c r="D243" s="647"/>
      <c r="E243" s="408">
        <f t="shared" ref="E243:AN243" si="424">E246*$C243</f>
        <v>0</v>
      </c>
      <c r="F243" s="408">
        <f t="shared" si="424"/>
        <v>0</v>
      </c>
      <c r="G243" s="408">
        <f t="shared" si="424"/>
        <v>0</v>
      </c>
      <c r="H243" s="408">
        <f t="shared" si="424"/>
        <v>0</v>
      </c>
      <c r="I243" s="408">
        <f t="shared" si="424"/>
        <v>0</v>
      </c>
      <c r="J243" s="408">
        <f t="shared" si="424"/>
        <v>0</v>
      </c>
      <c r="K243" s="408">
        <f t="shared" si="424"/>
        <v>0</v>
      </c>
      <c r="L243" s="408">
        <f t="shared" si="424"/>
        <v>0</v>
      </c>
      <c r="M243" s="408">
        <f t="shared" si="424"/>
        <v>0</v>
      </c>
      <c r="N243" s="408">
        <f t="shared" si="424"/>
        <v>0</v>
      </c>
      <c r="O243" s="408">
        <f t="shared" si="424"/>
        <v>0</v>
      </c>
      <c r="P243" s="408">
        <f t="shared" si="424"/>
        <v>0</v>
      </c>
      <c r="Q243" s="408">
        <f t="shared" si="424"/>
        <v>0</v>
      </c>
      <c r="R243" s="408">
        <f t="shared" si="424"/>
        <v>0</v>
      </c>
      <c r="S243" s="408">
        <f t="shared" si="424"/>
        <v>0</v>
      </c>
      <c r="T243" s="408">
        <f t="shared" si="424"/>
        <v>0</v>
      </c>
      <c r="U243" s="408">
        <f t="shared" si="424"/>
        <v>0</v>
      </c>
      <c r="V243" s="408">
        <f t="shared" si="424"/>
        <v>0</v>
      </c>
      <c r="W243" s="408">
        <f t="shared" si="424"/>
        <v>0</v>
      </c>
      <c r="X243" s="408">
        <f t="shared" si="424"/>
        <v>0</v>
      </c>
      <c r="Y243" s="408">
        <f t="shared" si="424"/>
        <v>0</v>
      </c>
      <c r="Z243" s="408">
        <f t="shared" si="424"/>
        <v>0</v>
      </c>
      <c r="AA243" s="408">
        <f t="shared" si="424"/>
        <v>0</v>
      </c>
      <c r="AB243" s="408">
        <f t="shared" si="424"/>
        <v>0</v>
      </c>
      <c r="AC243" s="408">
        <f t="shared" si="424"/>
        <v>0</v>
      </c>
      <c r="AD243" s="408">
        <f t="shared" si="424"/>
        <v>0</v>
      </c>
      <c r="AE243" s="408">
        <f t="shared" si="424"/>
        <v>0</v>
      </c>
      <c r="AF243" s="408">
        <f t="shared" si="424"/>
        <v>0</v>
      </c>
      <c r="AG243" s="408">
        <f t="shared" ca="1" si="424"/>
        <v>1074106.9971894026</v>
      </c>
      <c r="AH243" s="408">
        <f t="shared" si="424"/>
        <v>0</v>
      </c>
      <c r="AI243" s="408">
        <f t="shared" si="424"/>
        <v>0</v>
      </c>
      <c r="AJ243" s="408">
        <f t="shared" si="424"/>
        <v>0</v>
      </c>
      <c r="AK243" s="408">
        <f t="shared" si="424"/>
        <v>0</v>
      </c>
      <c r="AL243" s="408">
        <f t="shared" si="424"/>
        <v>0</v>
      </c>
      <c r="AM243" s="408">
        <f t="shared" si="424"/>
        <v>0</v>
      </c>
      <c r="AN243" s="408">
        <f t="shared" si="424"/>
        <v>0</v>
      </c>
      <c r="AO243" s="408">
        <f>AO246*$C243</f>
        <v>0</v>
      </c>
      <c r="AP243" s="408">
        <f t="shared" ref="AP243:DA243" si="425">AP246*$C243</f>
        <v>0</v>
      </c>
      <c r="AQ243" s="408">
        <f t="shared" si="425"/>
        <v>0</v>
      </c>
      <c r="AR243" s="408">
        <f t="shared" si="425"/>
        <v>0</v>
      </c>
      <c r="AS243" s="408">
        <f t="shared" si="425"/>
        <v>0</v>
      </c>
      <c r="AT243" s="408">
        <f t="shared" si="425"/>
        <v>0</v>
      </c>
      <c r="AU243" s="408">
        <f t="shared" si="425"/>
        <v>0</v>
      </c>
      <c r="AV243" s="408">
        <f t="shared" si="425"/>
        <v>0</v>
      </c>
      <c r="AW243" s="408">
        <f t="shared" si="425"/>
        <v>0</v>
      </c>
      <c r="AX243" s="408">
        <f t="shared" si="425"/>
        <v>0</v>
      </c>
      <c r="AY243" s="408">
        <f t="shared" si="425"/>
        <v>0</v>
      </c>
      <c r="AZ243" s="408">
        <f t="shared" si="425"/>
        <v>0</v>
      </c>
      <c r="BA243" s="408">
        <f t="shared" si="425"/>
        <v>0</v>
      </c>
      <c r="BB243" s="408">
        <f t="shared" si="425"/>
        <v>0</v>
      </c>
      <c r="BC243" s="408">
        <f t="shared" si="425"/>
        <v>0</v>
      </c>
      <c r="BD243" s="408">
        <f t="shared" si="425"/>
        <v>0</v>
      </c>
      <c r="BE243" s="408">
        <f t="shared" si="425"/>
        <v>0</v>
      </c>
      <c r="BF243" s="408">
        <f t="shared" si="425"/>
        <v>0</v>
      </c>
      <c r="BG243" s="408">
        <f t="shared" si="425"/>
        <v>0</v>
      </c>
      <c r="BH243" s="408">
        <f t="shared" si="425"/>
        <v>0</v>
      </c>
      <c r="BI243" s="408">
        <f t="shared" si="425"/>
        <v>0</v>
      </c>
      <c r="BJ243" s="408">
        <f t="shared" si="425"/>
        <v>0</v>
      </c>
      <c r="BK243" s="408">
        <f t="shared" si="425"/>
        <v>0</v>
      </c>
      <c r="BL243" s="408">
        <f t="shared" si="425"/>
        <v>0</v>
      </c>
      <c r="BM243" s="408">
        <f t="shared" si="425"/>
        <v>0</v>
      </c>
      <c r="BN243" s="408">
        <f t="shared" si="425"/>
        <v>0</v>
      </c>
      <c r="BO243" s="408">
        <f t="shared" si="425"/>
        <v>0</v>
      </c>
      <c r="BP243" s="408">
        <f t="shared" si="425"/>
        <v>0</v>
      </c>
      <c r="BQ243" s="408">
        <f t="shared" si="425"/>
        <v>0</v>
      </c>
      <c r="BR243" s="408">
        <f t="shared" si="425"/>
        <v>0</v>
      </c>
      <c r="BS243" s="408">
        <f t="shared" si="425"/>
        <v>0</v>
      </c>
      <c r="BT243" s="408">
        <f t="shared" si="425"/>
        <v>0</v>
      </c>
      <c r="BU243" s="408">
        <f t="shared" si="425"/>
        <v>0</v>
      </c>
      <c r="BV243" s="408">
        <f t="shared" si="425"/>
        <v>0</v>
      </c>
      <c r="BW243" s="408">
        <f t="shared" si="425"/>
        <v>0</v>
      </c>
      <c r="BX243" s="408">
        <f t="shared" si="425"/>
        <v>0</v>
      </c>
      <c r="BY243" s="408">
        <f t="shared" si="425"/>
        <v>0</v>
      </c>
      <c r="BZ243" s="408">
        <f t="shared" si="425"/>
        <v>0</v>
      </c>
      <c r="CA243" s="408">
        <f t="shared" si="425"/>
        <v>0</v>
      </c>
      <c r="CB243" s="408">
        <f t="shared" si="425"/>
        <v>0</v>
      </c>
      <c r="CC243" s="408">
        <f t="shared" si="425"/>
        <v>0</v>
      </c>
      <c r="CD243" s="408">
        <f t="shared" si="425"/>
        <v>0</v>
      </c>
      <c r="CE243" s="408">
        <f t="shared" si="425"/>
        <v>0</v>
      </c>
      <c r="CF243" s="408">
        <f t="shared" si="425"/>
        <v>0</v>
      </c>
      <c r="CG243" s="408">
        <f t="shared" si="425"/>
        <v>0</v>
      </c>
      <c r="CH243" s="408">
        <f t="shared" si="425"/>
        <v>0</v>
      </c>
      <c r="CI243" s="408">
        <f t="shared" si="425"/>
        <v>0</v>
      </c>
      <c r="CJ243" s="408">
        <f t="shared" si="425"/>
        <v>0</v>
      </c>
      <c r="CK243" s="408">
        <f t="shared" si="425"/>
        <v>0</v>
      </c>
      <c r="CL243" s="408">
        <f t="shared" si="425"/>
        <v>0</v>
      </c>
      <c r="CM243" s="408">
        <f t="shared" si="425"/>
        <v>0</v>
      </c>
      <c r="CN243" s="408">
        <f t="shared" si="425"/>
        <v>0</v>
      </c>
      <c r="CO243" s="408">
        <f t="shared" si="425"/>
        <v>0</v>
      </c>
      <c r="CP243" s="408">
        <f t="shared" si="425"/>
        <v>0</v>
      </c>
      <c r="CQ243" s="408">
        <f t="shared" si="425"/>
        <v>0</v>
      </c>
      <c r="CR243" s="408">
        <f t="shared" si="425"/>
        <v>0</v>
      </c>
      <c r="CS243" s="408">
        <f t="shared" si="425"/>
        <v>0</v>
      </c>
      <c r="CT243" s="408">
        <f t="shared" si="425"/>
        <v>0</v>
      </c>
      <c r="CU243" s="408">
        <f t="shared" si="425"/>
        <v>0</v>
      </c>
      <c r="CV243" s="408">
        <f t="shared" si="425"/>
        <v>0</v>
      </c>
      <c r="CW243" s="408">
        <f t="shared" si="425"/>
        <v>0</v>
      </c>
      <c r="CX243" s="408">
        <f t="shared" si="425"/>
        <v>0</v>
      </c>
      <c r="CY243" s="408">
        <f t="shared" si="425"/>
        <v>0</v>
      </c>
      <c r="CZ243" s="408">
        <f t="shared" si="425"/>
        <v>0</v>
      </c>
      <c r="DA243" s="408">
        <f t="shared" si="425"/>
        <v>0</v>
      </c>
      <c r="DB243" s="408">
        <f t="shared" ref="DB243:DU243" si="426">DB246*$C243</f>
        <v>0</v>
      </c>
      <c r="DC243" s="408">
        <f t="shared" si="426"/>
        <v>0</v>
      </c>
      <c r="DD243" s="408">
        <f t="shared" si="426"/>
        <v>0</v>
      </c>
      <c r="DE243" s="408">
        <f t="shared" si="426"/>
        <v>0</v>
      </c>
      <c r="DF243" s="408">
        <f t="shared" si="426"/>
        <v>0</v>
      </c>
      <c r="DG243" s="408">
        <f t="shared" si="426"/>
        <v>0</v>
      </c>
      <c r="DH243" s="408">
        <f t="shared" si="426"/>
        <v>0</v>
      </c>
      <c r="DI243" s="408">
        <f t="shared" si="426"/>
        <v>0</v>
      </c>
      <c r="DJ243" s="408">
        <f t="shared" si="426"/>
        <v>0</v>
      </c>
      <c r="DK243" s="408">
        <f t="shared" si="426"/>
        <v>0</v>
      </c>
      <c r="DL243" s="408">
        <f t="shared" si="426"/>
        <v>0</v>
      </c>
      <c r="DM243" s="408">
        <f t="shared" si="426"/>
        <v>0</v>
      </c>
      <c r="DN243" s="408">
        <f t="shared" si="426"/>
        <v>0</v>
      </c>
      <c r="DO243" s="408">
        <f t="shared" si="426"/>
        <v>0</v>
      </c>
      <c r="DP243" s="408">
        <f t="shared" si="426"/>
        <v>0</v>
      </c>
      <c r="DQ243" s="408">
        <f t="shared" si="426"/>
        <v>0</v>
      </c>
      <c r="DR243" s="408">
        <f t="shared" si="426"/>
        <v>0</v>
      </c>
      <c r="DS243" s="408">
        <f t="shared" si="426"/>
        <v>0</v>
      </c>
      <c r="DT243" s="408">
        <f t="shared" si="426"/>
        <v>0</v>
      </c>
      <c r="DU243" s="408">
        <f t="shared" si="426"/>
        <v>0</v>
      </c>
      <c r="EI243" s="280"/>
    </row>
    <row r="244" spans="1:139" x14ac:dyDescent="0.3">
      <c r="A244" s="182" t="str">
        <f>'General Inputs'!K29&amp;" Tier 1 Promote"</f>
        <v>Quarterra Tier 1 Promote</v>
      </c>
      <c r="B244" s="182"/>
      <c r="C244" s="400">
        <f>'General Inputs'!$K$30</f>
        <v>0.35</v>
      </c>
      <c r="D244" s="647"/>
      <c r="E244" s="407">
        <f t="shared" ref="E244:AN244" si="427">E246*$C244</f>
        <v>0</v>
      </c>
      <c r="F244" s="407">
        <f t="shared" si="427"/>
        <v>0</v>
      </c>
      <c r="G244" s="407">
        <f t="shared" si="427"/>
        <v>0</v>
      </c>
      <c r="H244" s="407">
        <f t="shared" si="427"/>
        <v>0</v>
      </c>
      <c r="I244" s="407">
        <f t="shared" si="427"/>
        <v>0</v>
      </c>
      <c r="J244" s="407">
        <f t="shared" si="427"/>
        <v>0</v>
      </c>
      <c r="K244" s="407">
        <f t="shared" si="427"/>
        <v>0</v>
      </c>
      <c r="L244" s="407">
        <f t="shared" si="427"/>
        <v>0</v>
      </c>
      <c r="M244" s="407">
        <f t="shared" si="427"/>
        <v>0</v>
      </c>
      <c r="N244" s="407">
        <f t="shared" si="427"/>
        <v>0</v>
      </c>
      <c r="O244" s="407">
        <f t="shared" si="427"/>
        <v>0</v>
      </c>
      <c r="P244" s="407">
        <f t="shared" si="427"/>
        <v>0</v>
      </c>
      <c r="Q244" s="407">
        <f t="shared" si="427"/>
        <v>0</v>
      </c>
      <c r="R244" s="407">
        <f t="shared" si="427"/>
        <v>0</v>
      </c>
      <c r="S244" s="407">
        <f t="shared" si="427"/>
        <v>0</v>
      </c>
      <c r="T244" s="407">
        <f t="shared" si="427"/>
        <v>0</v>
      </c>
      <c r="U244" s="407">
        <f t="shared" si="427"/>
        <v>0</v>
      </c>
      <c r="V244" s="407">
        <f t="shared" si="427"/>
        <v>0</v>
      </c>
      <c r="W244" s="407">
        <f t="shared" si="427"/>
        <v>0</v>
      </c>
      <c r="X244" s="407">
        <f t="shared" si="427"/>
        <v>0</v>
      </c>
      <c r="Y244" s="407">
        <f t="shared" si="427"/>
        <v>0</v>
      </c>
      <c r="Z244" s="407">
        <f t="shared" si="427"/>
        <v>0</v>
      </c>
      <c r="AA244" s="407">
        <f t="shared" si="427"/>
        <v>0</v>
      </c>
      <c r="AB244" s="407">
        <f t="shared" si="427"/>
        <v>0</v>
      </c>
      <c r="AC244" s="407">
        <f t="shared" si="427"/>
        <v>0</v>
      </c>
      <c r="AD244" s="407">
        <f t="shared" si="427"/>
        <v>0</v>
      </c>
      <c r="AE244" s="407">
        <f t="shared" si="427"/>
        <v>0</v>
      </c>
      <c r="AF244" s="407">
        <f t="shared" si="427"/>
        <v>0</v>
      </c>
      <c r="AG244" s="407">
        <f t="shared" ca="1" si="427"/>
        <v>578365.30617890903</v>
      </c>
      <c r="AH244" s="407">
        <f t="shared" si="427"/>
        <v>0</v>
      </c>
      <c r="AI244" s="407">
        <f t="shared" si="427"/>
        <v>0</v>
      </c>
      <c r="AJ244" s="407">
        <f t="shared" si="427"/>
        <v>0</v>
      </c>
      <c r="AK244" s="407">
        <f t="shared" si="427"/>
        <v>0</v>
      </c>
      <c r="AL244" s="407">
        <f t="shared" si="427"/>
        <v>0</v>
      </c>
      <c r="AM244" s="407">
        <f t="shared" si="427"/>
        <v>0</v>
      </c>
      <c r="AN244" s="407">
        <f t="shared" si="427"/>
        <v>0</v>
      </c>
      <c r="AO244" s="407">
        <f>AO246*$C244</f>
        <v>0</v>
      </c>
      <c r="AP244" s="407">
        <f t="shared" ref="AP244:DA244" si="428">AP246*$C244</f>
        <v>0</v>
      </c>
      <c r="AQ244" s="407">
        <f t="shared" si="428"/>
        <v>0</v>
      </c>
      <c r="AR244" s="407">
        <f t="shared" si="428"/>
        <v>0</v>
      </c>
      <c r="AS244" s="407">
        <f t="shared" si="428"/>
        <v>0</v>
      </c>
      <c r="AT244" s="407">
        <f t="shared" si="428"/>
        <v>0</v>
      </c>
      <c r="AU244" s="407">
        <f t="shared" si="428"/>
        <v>0</v>
      </c>
      <c r="AV244" s="407">
        <f t="shared" si="428"/>
        <v>0</v>
      </c>
      <c r="AW244" s="407">
        <f t="shared" si="428"/>
        <v>0</v>
      </c>
      <c r="AX244" s="407">
        <f t="shared" si="428"/>
        <v>0</v>
      </c>
      <c r="AY244" s="407">
        <f t="shared" si="428"/>
        <v>0</v>
      </c>
      <c r="AZ244" s="407">
        <f t="shared" si="428"/>
        <v>0</v>
      </c>
      <c r="BA244" s="407">
        <f t="shared" si="428"/>
        <v>0</v>
      </c>
      <c r="BB244" s="407">
        <f t="shared" si="428"/>
        <v>0</v>
      </c>
      <c r="BC244" s="407">
        <f t="shared" si="428"/>
        <v>0</v>
      </c>
      <c r="BD244" s="407">
        <f t="shared" si="428"/>
        <v>0</v>
      </c>
      <c r="BE244" s="407">
        <f t="shared" si="428"/>
        <v>0</v>
      </c>
      <c r="BF244" s="407">
        <f t="shared" si="428"/>
        <v>0</v>
      </c>
      <c r="BG244" s="407">
        <f t="shared" si="428"/>
        <v>0</v>
      </c>
      <c r="BH244" s="407">
        <f t="shared" si="428"/>
        <v>0</v>
      </c>
      <c r="BI244" s="407">
        <f t="shared" si="428"/>
        <v>0</v>
      </c>
      <c r="BJ244" s="407">
        <f t="shared" si="428"/>
        <v>0</v>
      </c>
      <c r="BK244" s="407">
        <f t="shared" si="428"/>
        <v>0</v>
      </c>
      <c r="BL244" s="407">
        <f t="shared" si="428"/>
        <v>0</v>
      </c>
      <c r="BM244" s="407">
        <f t="shared" si="428"/>
        <v>0</v>
      </c>
      <c r="BN244" s="407">
        <f t="shared" si="428"/>
        <v>0</v>
      </c>
      <c r="BO244" s="407">
        <f t="shared" si="428"/>
        <v>0</v>
      </c>
      <c r="BP244" s="407">
        <f t="shared" si="428"/>
        <v>0</v>
      </c>
      <c r="BQ244" s="407">
        <f t="shared" si="428"/>
        <v>0</v>
      </c>
      <c r="BR244" s="407">
        <f t="shared" si="428"/>
        <v>0</v>
      </c>
      <c r="BS244" s="407">
        <f t="shared" si="428"/>
        <v>0</v>
      </c>
      <c r="BT244" s="407">
        <f t="shared" si="428"/>
        <v>0</v>
      </c>
      <c r="BU244" s="407">
        <f t="shared" si="428"/>
        <v>0</v>
      </c>
      <c r="BV244" s="407">
        <f t="shared" si="428"/>
        <v>0</v>
      </c>
      <c r="BW244" s="407">
        <f t="shared" si="428"/>
        <v>0</v>
      </c>
      <c r="BX244" s="407">
        <f t="shared" si="428"/>
        <v>0</v>
      </c>
      <c r="BY244" s="407">
        <f t="shared" si="428"/>
        <v>0</v>
      </c>
      <c r="BZ244" s="407">
        <f t="shared" si="428"/>
        <v>0</v>
      </c>
      <c r="CA244" s="407">
        <f t="shared" si="428"/>
        <v>0</v>
      </c>
      <c r="CB244" s="407">
        <f t="shared" si="428"/>
        <v>0</v>
      </c>
      <c r="CC244" s="407">
        <f t="shared" si="428"/>
        <v>0</v>
      </c>
      <c r="CD244" s="407">
        <f t="shared" si="428"/>
        <v>0</v>
      </c>
      <c r="CE244" s="407">
        <f t="shared" si="428"/>
        <v>0</v>
      </c>
      <c r="CF244" s="407">
        <f t="shared" si="428"/>
        <v>0</v>
      </c>
      <c r="CG244" s="407">
        <f t="shared" si="428"/>
        <v>0</v>
      </c>
      <c r="CH244" s="407">
        <f t="shared" si="428"/>
        <v>0</v>
      </c>
      <c r="CI244" s="407">
        <f t="shared" si="428"/>
        <v>0</v>
      </c>
      <c r="CJ244" s="407">
        <f t="shared" si="428"/>
        <v>0</v>
      </c>
      <c r="CK244" s="407">
        <f t="shared" si="428"/>
        <v>0</v>
      </c>
      <c r="CL244" s="407">
        <f t="shared" si="428"/>
        <v>0</v>
      </c>
      <c r="CM244" s="407">
        <f t="shared" si="428"/>
        <v>0</v>
      </c>
      <c r="CN244" s="407">
        <f t="shared" si="428"/>
        <v>0</v>
      </c>
      <c r="CO244" s="407">
        <f t="shared" si="428"/>
        <v>0</v>
      </c>
      <c r="CP244" s="407">
        <f t="shared" si="428"/>
        <v>0</v>
      </c>
      <c r="CQ244" s="407">
        <f t="shared" si="428"/>
        <v>0</v>
      </c>
      <c r="CR244" s="407">
        <f t="shared" si="428"/>
        <v>0</v>
      </c>
      <c r="CS244" s="407">
        <f t="shared" si="428"/>
        <v>0</v>
      </c>
      <c r="CT244" s="407">
        <f t="shared" si="428"/>
        <v>0</v>
      </c>
      <c r="CU244" s="407">
        <f t="shared" si="428"/>
        <v>0</v>
      </c>
      <c r="CV244" s="407">
        <f t="shared" si="428"/>
        <v>0</v>
      </c>
      <c r="CW244" s="407">
        <f t="shared" si="428"/>
        <v>0</v>
      </c>
      <c r="CX244" s="407">
        <f t="shared" si="428"/>
        <v>0</v>
      </c>
      <c r="CY244" s="407">
        <f t="shared" si="428"/>
        <v>0</v>
      </c>
      <c r="CZ244" s="407">
        <f t="shared" si="428"/>
        <v>0</v>
      </c>
      <c r="DA244" s="407">
        <f t="shared" si="428"/>
        <v>0</v>
      </c>
      <c r="DB244" s="407">
        <f t="shared" ref="DB244:DU244" si="429">DB246*$C244</f>
        <v>0</v>
      </c>
      <c r="DC244" s="407">
        <f t="shared" si="429"/>
        <v>0</v>
      </c>
      <c r="DD244" s="407">
        <f t="shared" si="429"/>
        <v>0</v>
      </c>
      <c r="DE244" s="407">
        <f t="shared" si="429"/>
        <v>0</v>
      </c>
      <c r="DF244" s="407">
        <f t="shared" si="429"/>
        <v>0</v>
      </c>
      <c r="DG244" s="407">
        <f t="shared" si="429"/>
        <v>0</v>
      </c>
      <c r="DH244" s="407">
        <f t="shared" si="429"/>
        <v>0</v>
      </c>
      <c r="DI244" s="407">
        <f t="shared" si="429"/>
        <v>0</v>
      </c>
      <c r="DJ244" s="407">
        <f t="shared" si="429"/>
        <v>0</v>
      </c>
      <c r="DK244" s="407">
        <f t="shared" si="429"/>
        <v>0</v>
      </c>
      <c r="DL244" s="407">
        <f t="shared" si="429"/>
        <v>0</v>
      </c>
      <c r="DM244" s="407">
        <f t="shared" si="429"/>
        <v>0</v>
      </c>
      <c r="DN244" s="407">
        <f t="shared" si="429"/>
        <v>0</v>
      </c>
      <c r="DO244" s="407">
        <f t="shared" si="429"/>
        <v>0</v>
      </c>
      <c r="DP244" s="407">
        <f t="shared" si="429"/>
        <v>0</v>
      </c>
      <c r="DQ244" s="407">
        <f t="shared" si="429"/>
        <v>0</v>
      </c>
      <c r="DR244" s="407">
        <f t="shared" si="429"/>
        <v>0</v>
      </c>
      <c r="DS244" s="407">
        <f t="shared" si="429"/>
        <v>0</v>
      </c>
      <c r="DT244" s="407">
        <f t="shared" si="429"/>
        <v>0</v>
      </c>
      <c r="DU244" s="407">
        <f t="shared" si="429"/>
        <v>0</v>
      </c>
      <c r="EI244" s="722"/>
    </row>
    <row r="245" spans="1:139" x14ac:dyDescent="0.3">
      <c r="A245" s="477" t="str">
        <f>'General Inputs'!L29&amp;" Tier 1 Promote"</f>
        <v>LAND Tier 1 Promote</v>
      </c>
      <c r="B245" s="477"/>
      <c r="C245" s="721">
        <f>'General Inputs'!$L$30</f>
        <v>0</v>
      </c>
      <c r="D245" s="648"/>
      <c r="E245" s="705">
        <f t="shared" ref="E245:AN245" si="430">E246*$C245</f>
        <v>0</v>
      </c>
      <c r="F245" s="705">
        <f t="shared" si="430"/>
        <v>0</v>
      </c>
      <c r="G245" s="705">
        <f t="shared" si="430"/>
        <v>0</v>
      </c>
      <c r="H245" s="705">
        <f t="shared" si="430"/>
        <v>0</v>
      </c>
      <c r="I245" s="705">
        <f t="shared" si="430"/>
        <v>0</v>
      </c>
      <c r="J245" s="705">
        <f t="shared" si="430"/>
        <v>0</v>
      </c>
      <c r="K245" s="705">
        <f t="shared" si="430"/>
        <v>0</v>
      </c>
      <c r="L245" s="705">
        <f t="shared" si="430"/>
        <v>0</v>
      </c>
      <c r="M245" s="705">
        <f t="shared" si="430"/>
        <v>0</v>
      </c>
      <c r="N245" s="705">
        <f t="shared" si="430"/>
        <v>0</v>
      </c>
      <c r="O245" s="705">
        <f t="shared" si="430"/>
        <v>0</v>
      </c>
      <c r="P245" s="705">
        <f t="shared" si="430"/>
        <v>0</v>
      </c>
      <c r="Q245" s="705">
        <f t="shared" si="430"/>
        <v>0</v>
      </c>
      <c r="R245" s="705">
        <f t="shared" si="430"/>
        <v>0</v>
      </c>
      <c r="S245" s="705">
        <f t="shared" si="430"/>
        <v>0</v>
      </c>
      <c r="T245" s="705">
        <f t="shared" si="430"/>
        <v>0</v>
      </c>
      <c r="U245" s="705">
        <f t="shared" si="430"/>
        <v>0</v>
      </c>
      <c r="V245" s="705">
        <f t="shared" si="430"/>
        <v>0</v>
      </c>
      <c r="W245" s="705">
        <f t="shared" si="430"/>
        <v>0</v>
      </c>
      <c r="X245" s="705">
        <f t="shared" si="430"/>
        <v>0</v>
      </c>
      <c r="Y245" s="705">
        <f t="shared" si="430"/>
        <v>0</v>
      </c>
      <c r="Z245" s="705">
        <f t="shared" si="430"/>
        <v>0</v>
      </c>
      <c r="AA245" s="705">
        <f t="shared" si="430"/>
        <v>0</v>
      </c>
      <c r="AB245" s="705">
        <f t="shared" si="430"/>
        <v>0</v>
      </c>
      <c r="AC245" s="705">
        <f t="shared" si="430"/>
        <v>0</v>
      </c>
      <c r="AD245" s="705">
        <f t="shared" si="430"/>
        <v>0</v>
      </c>
      <c r="AE245" s="705">
        <f t="shared" si="430"/>
        <v>0</v>
      </c>
      <c r="AF245" s="705">
        <f t="shared" si="430"/>
        <v>0</v>
      </c>
      <c r="AG245" s="705">
        <f t="shared" ca="1" si="430"/>
        <v>0</v>
      </c>
      <c r="AH245" s="705">
        <f t="shared" si="430"/>
        <v>0</v>
      </c>
      <c r="AI245" s="705">
        <f t="shared" si="430"/>
        <v>0</v>
      </c>
      <c r="AJ245" s="705">
        <f t="shared" si="430"/>
        <v>0</v>
      </c>
      <c r="AK245" s="705">
        <f t="shared" si="430"/>
        <v>0</v>
      </c>
      <c r="AL245" s="705">
        <f t="shared" si="430"/>
        <v>0</v>
      </c>
      <c r="AM245" s="705">
        <f t="shared" si="430"/>
        <v>0</v>
      </c>
      <c r="AN245" s="705">
        <f t="shared" si="430"/>
        <v>0</v>
      </c>
      <c r="AO245" s="705">
        <f>AO246*$C245</f>
        <v>0</v>
      </c>
      <c r="AP245" s="705">
        <f t="shared" ref="AP245:DA245" si="431">AP246*$C245</f>
        <v>0</v>
      </c>
      <c r="AQ245" s="705">
        <f t="shared" si="431"/>
        <v>0</v>
      </c>
      <c r="AR245" s="705">
        <f t="shared" si="431"/>
        <v>0</v>
      </c>
      <c r="AS245" s="705">
        <f t="shared" si="431"/>
        <v>0</v>
      </c>
      <c r="AT245" s="705">
        <f t="shared" si="431"/>
        <v>0</v>
      </c>
      <c r="AU245" s="705">
        <f t="shared" si="431"/>
        <v>0</v>
      </c>
      <c r="AV245" s="705">
        <f t="shared" si="431"/>
        <v>0</v>
      </c>
      <c r="AW245" s="705">
        <f t="shared" si="431"/>
        <v>0</v>
      </c>
      <c r="AX245" s="705">
        <f t="shared" si="431"/>
        <v>0</v>
      </c>
      <c r="AY245" s="705">
        <f t="shared" si="431"/>
        <v>0</v>
      </c>
      <c r="AZ245" s="705">
        <f t="shared" si="431"/>
        <v>0</v>
      </c>
      <c r="BA245" s="705">
        <f t="shared" si="431"/>
        <v>0</v>
      </c>
      <c r="BB245" s="705">
        <f t="shared" si="431"/>
        <v>0</v>
      </c>
      <c r="BC245" s="705">
        <f t="shared" si="431"/>
        <v>0</v>
      </c>
      <c r="BD245" s="705">
        <f t="shared" si="431"/>
        <v>0</v>
      </c>
      <c r="BE245" s="705">
        <f t="shared" si="431"/>
        <v>0</v>
      </c>
      <c r="BF245" s="705">
        <f t="shared" si="431"/>
        <v>0</v>
      </c>
      <c r="BG245" s="705">
        <f t="shared" si="431"/>
        <v>0</v>
      </c>
      <c r="BH245" s="705">
        <f t="shared" si="431"/>
        <v>0</v>
      </c>
      <c r="BI245" s="705">
        <f t="shared" si="431"/>
        <v>0</v>
      </c>
      <c r="BJ245" s="705">
        <f t="shared" si="431"/>
        <v>0</v>
      </c>
      <c r="BK245" s="705">
        <f t="shared" si="431"/>
        <v>0</v>
      </c>
      <c r="BL245" s="705">
        <f t="shared" si="431"/>
        <v>0</v>
      </c>
      <c r="BM245" s="705">
        <f t="shared" si="431"/>
        <v>0</v>
      </c>
      <c r="BN245" s="705">
        <f t="shared" si="431"/>
        <v>0</v>
      </c>
      <c r="BO245" s="705">
        <f t="shared" si="431"/>
        <v>0</v>
      </c>
      <c r="BP245" s="705">
        <f t="shared" si="431"/>
        <v>0</v>
      </c>
      <c r="BQ245" s="705">
        <f t="shared" si="431"/>
        <v>0</v>
      </c>
      <c r="BR245" s="705">
        <f t="shared" si="431"/>
        <v>0</v>
      </c>
      <c r="BS245" s="705">
        <f t="shared" si="431"/>
        <v>0</v>
      </c>
      <c r="BT245" s="705">
        <f t="shared" si="431"/>
        <v>0</v>
      </c>
      <c r="BU245" s="705">
        <f t="shared" si="431"/>
        <v>0</v>
      </c>
      <c r="BV245" s="705">
        <f t="shared" si="431"/>
        <v>0</v>
      </c>
      <c r="BW245" s="705">
        <f t="shared" si="431"/>
        <v>0</v>
      </c>
      <c r="BX245" s="705">
        <f t="shared" si="431"/>
        <v>0</v>
      </c>
      <c r="BY245" s="705">
        <f t="shared" si="431"/>
        <v>0</v>
      </c>
      <c r="BZ245" s="705">
        <f t="shared" si="431"/>
        <v>0</v>
      </c>
      <c r="CA245" s="705">
        <f t="shared" si="431"/>
        <v>0</v>
      </c>
      <c r="CB245" s="705">
        <f t="shared" si="431"/>
        <v>0</v>
      </c>
      <c r="CC245" s="705">
        <f t="shared" si="431"/>
        <v>0</v>
      </c>
      <c r="CD245" s="705">
        <f t="shared" si="431"/>
        <v>0</v>
      </c>
      <c r="CE245" s="705">
        <f t="shared" si="431"/>
        <v>0</v>
      </c>
      <c r="CF245" s="705">
        <f t="shared" si="431"/>
        <v>0</v>
      </c>
      <c r="CG245" s="705">
        <f t="shared" si="431"/>
        <v>0</v>
      </c>
      <c r="CH245" s="705">
        <f t="shared" si="431"/>
        <v>0</v>
      </c>
      <c r="CI245" s="705">
        <f t="shared" si="431"/>
        <v>0</v>
      </c>
      <c r="CJ245" s="705">
        <f t="shared" si="431"/>
        <v>0</v>
      </c>
      <c r="CK245" s="705">
        <f t="shared" si="431"/>
        <v>0</v>
      </c>
      <c r="CL245" s="705">
        <f t="shared" si="431"/>
        <v>0</v>
      </c>
      <c r="CM245" s="705">
        <f t="shared" si="431"/>
        <v>0</v>
      </c>
      <c r="CN245" s="705">
        <f t="shared" si="431"/>
        <v>0</v>
      </c>
      <c r="CO245" s="705">
        <f t="shared" si="431"/>
        <v>0</v>
      </c>
      <c r="CP245" s="705">
        <f t="shared" si="431"/>
        <v>0</v>
      </c>
      <c r="CQ245" s="705">
        <f t="shared" si="431"/>
        <v>0</v>
      </c>
      <c r="CR245" s="705">
        <f t="shared" si="431"/>
        <v>0</v>
      </c>
      <c r="CS245" s="705">
        <f t="shared" si="431"/>
        <v>0</v>
      </c>
      <c r="CT245" s="705">
        <f t="shared" si="431"/>
        <v>0</v>
      </c>
      <c r="CU245" s="705">
        <f t="shared" si="431"/>
        <v>0</v>
      </c>
      <c r="CV245" s="705">
        <f t="shared" si="431"/>
        <v>0</v>
      </c>
      <c r="CW245" s="705">
        <f t="shared" si="431"/>
        <v>0</v>
      </c>
      <c r="CX245" s="705">
        <f t="shared" si="431"/>
        <v>0</v>
      </c>
      <c r="CY245" s="705">
        <f t="shared" si="431"/>
        <v>0</v>
      </c>
      <c r="CZ245" s="705">
        <f t="shared" si="431"/>
        <v>0</v>
      </c>
      <c r="DA245" s="705">
        <f t="shared" si="431"/>
        <v>0</v>
      </c>
      <c r="DB245" s="705">
        <f t="shared" ref="DB245:DU245" si="432">DB246*$C245</f>
        <v>0</v>
      </c>
      <c r="DC245" s="705">
        <f t="shared" si="432"/>
        <v>0</v>
      </c>
      <c r="DD245" s="705">
        <f t="shared" si="432"/>
        <v>0</v>
      </c>
      <c r="DE245" s="705">
        <f t="shared" si="432"/>
        <v>0</v>
      </c>
      <c r="DF245" s="705">
        <f t="shared" si="432"/>
        <v>0</v>
      </c>
      <c r="DG245" s="705">
        <f t="shared" si="432"/>
        <v>0</v>
      </c>
      <c r="DH245" s="705">
        <f t="shared" si="432"/>
        <v>0</v>
      </c>
      <c r="DI245" s="705">
        <f t="shared" si="432"/>
        <v>0</v>
      </c>
      <c r="DJ245" s="705">
        <f t="shared" si="432"/>
        <v>0</v>
      </c>
      <c r="DK245" s="705">
        <f t="shared" si="432"/>
        <v>0</v>
      </c>
      <c r="DL245" s="705">
        <f t="shared" si="432"/>
        <v>0</v>
      </c>
      <c r="DM245" s="705">
        <f t="shared" si="432"/>
        <v>0</v>
      </c>
      <c r="DN245" s="705">
        <f t="shared" si="432"/>
        <v>0</v>
      </c>
      <c r="DO245" s="705">
        <f t="shared" si="432"/>
        <v>0</v>
      </c>
      <c r="DP245" s="705">
        <f t="shared" si="432"/>
        <v>0</v>
      </c>
      <c r="DQ245" s="705">
        <f t="shared" si="432"/>
        <v>0</v>
      </c>
      <c r="DR245" s="705">
        <f t="shared" si="432"/>
        <v>0</v>
      </c>
      <c r="DS245" s="705">
        <f t="shared" si="432"/>
        <v>0</v>
      </c>
      <c r="DT245" s="705">
        <f t="shared" si="432"/>
        <v>0</v>
      </c>
      <c r="DU245" s="705">
        <f t="shared" si="432"/>
        <v>0</v>
      </c>
      <c r="EI245" s="280"/>
    </row>
    <row r="246" spans="1:139" x14ac:dyDescent="0.3">
      <c r="A246" s="182" t="s">
        <v>2508</v>
      </c>
      <c r="B246" s="182"/>
      <c r="C246" s="182"/>
      <c r="D246" s="744"/>
      <c r="E246" s="620">
        <f t="shared" ref="E246:AJ246" si="433">IF(E$5=MonthDisposition,MIN((MAX(E238:E239)-E$212)/$C$243,E$199),0)</f>
        <v>0</v>
      </c>
      <c r="F246" s="620">
        <f t="shared" si="433"/>
        <v>0</v>
      </c>
      <c r="G246" s="620">
        <f t="shared" si="433"/>
        <v>0</v>
      </c>
      <c r="H246" s="620">
        <f t="shared" si="433"/>
        <v>0</v>
      </c>
      <c r="I246" s="620">
        <f t="shared" si="433"/>
        <v>0</v>
      </c>
      <c r="J246" s="620">
        <f t="shared" si="433"/>
        <v>0</v>
      </c>
      <c r="K246" s="620">
        <f t="shared" si="433"/>
        <v>0</v>
      </c>
      <c r="L246" s="620">
        <f t="shared" si="433"/>
        <v>0</v>
      </c>
      <c r="M246" s="620">
        <f t="shared" si="433"/>
        <v>0</v>
      </c>
      <c r="N246" s="620">
        <f t="shared" si="433"/>
        <v>0</v>
      </c>
      <c r="O246" s="620">
        <f t="shared" si="433"/>
        <v>0</v>
      </c>
      <c r="P246" s="620">
        <f t="shared" si="433"/>
        <v>0</v>
      </c>
      <c r="Q246" s="620">
        <f t="shared" si="433"/>
        <v>0</v>
      </c>
      <c r="R246" s="620">
        <f t="shared" si="433"/>
        <v>0</v>
      </c>
      <c r="S246" s="620">
        <f t="shared" si="433"/>
        <v>0</v>
      </c>
      <c r="T246" s="620">
        <f t="shared" si="433"/>
        <v>0</v>
      </c>
      <c r="U246" s="620">
        <f t="shared" si="433"/>
        <v>0</v>
      </c>
      <c r="V246" s="620">
        <f t="shared" si="433"/>
        <v>0</v>
      </c>
      <c r="W246" s="620">
        <f t="shared" si="433"/>
        <v>0</v>
      </c>
      <c r="X246" s="620">
        <f t="shared" si="433"/>
        <v>0</v>
      </c>
      <c r="Y246" s="620">
        <f t="shared" si="433"/>
        <v>0</v>
      </c>
      <c r="Z246" s="620">
        <f t="shared" si="433"/>
        <v>0</v>
      </c>
      <c r="AA246" s="620">
        <f t="shared" si="433"/>
        <v>0</v>
      </c>
      <c r="AB246" s="620">
        <f t="shared" si="433"/>
        <v>0</v>
      </c>
      <c r="AC246" s="620">
        <f t="shared" si="433"/>
        <v>0</v>
      </c>
      <c r="AD246" s="620">
        <f t="shared" si="433"/>
        <v>0</v>
      </c>
      <c r="AE246" s="620">
        <f t="shared" si="433"/>
        <v>0</v>
      </c>
      <c r="AF246" s="620">
        <f t="shared" si="433"/>
        <v>0</v>
      </c>
      <c r="AG246" s="620">
        <f t="shared" ca="1" si="433"/>
        <v>1652472.3033683116</v>
      </c>
      <c r="AH246" s="620">
        <f t="shared" si="433"/>
        <v>0</v>
      </c>
      <c r="AI246" s="620">
        <f t="shared" si="433"/>
        <v>0</v>
      </c>
      <c r="AJ246" s="620">
        <f t="shared" si="433"/>
        <v>0</v>
      </c>
      <c r="AK246" s="620">
        <f t="shared" ref="AK246:BP246" si="434">IF(AK$5=MonthDisposition,MIN((MAX(AK238:AK239)-AK$212)/$C$243,AK$199),0)</f>
        <v>0</v>
      </c>
      <c r="AL246" s="620">
        <f t="shared" si="434"/>
        <v>0</v>
      </c>
      <c r="AM246" s="620">
        <f t="shared" si="434"/>
        <v>0</v>
      </c>
      <c r="AN246" s="620">
        <f t="shared" si="434"/>
        <v>0</v>
      </c>
      <c r="AO246" s="620">
        <f t="shared" si="434"/>
        <v>0</v>
      </c>
      <c r="AP246" s="620">
        <f t="shared" si="434"/>
        <v>0</v>
      </c>
      <c r="AQ246" s="620">
        <f t="shared" si="434"/>
        <v>0</v>
      </c>
      <c r="AR246" s="620">
        <f t="shared" si="434"/>
        <v>0</v>
      </c>
      <c r="AS246" s="620">
        <f t="shared" si="434"/>
        <v>0</v>
      </c>
      <c r="AT246" s="620">
        <f t="shared" si="434"/>
        <v>0</v>
      </c>
      <c r="AU246" s="620">
        <f t="shared" si="434"/>
        <v>0</v>
      </c>
      <c r="AV246" s="620">
        <f t="shared" si="434"/>
        <v>0</v>
      </c>
      <c r="AW246" s="620">
        <f t="shared" si="434"/>
        <v>0</v>
      </c>
      <c r="AX246" s="620">
        <f t="shared" si="434"/>
        <v>0</v>
      </c>
      <c r="AY246" s="620">
        <f t="shared" si="434"/>
        <v>0</v>
      </c>
      <c r="AZ246" s="620">
        <f t="shared" si="434"/>
        <v>0</v>
      </c>
      <c r="BA246" s="620">
        <f t="shared" si="434"/>
        <v>0</v>
      </c>
      <c r="BB246" s="620">
        <f t="shared" si="434"/>
        <v>0</v>
      </c>
      <c r="BC246" s="620">
        <f t="shared" si="434"/>
        <v>0</v>
      </c>
      <c r="BD246" s="620">
        <f t="shared" si="434"/>
        <v>0</v>
      </c>
      <c r="BE246" s="620">
        <f t="shared" si="434"/>
        <v>0</v>
      </c>
      <c r="BF246" s="620">
        <f t="shared" si="434"/>
        <v>0</v>
      </c>
      <c r="BG246" s="620">
        <f t="shared" si="434"/>
        <v>0</v>
      </c>
      <c r="BH246" s="620">
        <f t="shared" si="434"/>
        <v>0</v>
      </c>
      <c r="BI246" s="620">
        <f t="shared" si="434"/>
        <v>0</v>
      </c>
      <c r="BJ246" s="620">
        <f t="shared" si="434"/>
        <v>0</v>
      </c>
      <c r="BK246" s="620">
        <f t="shared" si="434"/>
        <v>0</v>
      </c>
      <c r="BL246" s="620">
        <f t="shared" si="434"/>
        <v>0</v>
      </c>
      <c r="BM246" s="620">
        <f t="shared" si="434"/>
        <v>0</v>
      </c>
      <c r="BN246" s="620">
        <f t="shared" si="434"/>
        <v>0</v>
      </c>
      <c r="BO246" s="620">
        <f t="shared" si="434"/>
        <v>0</v>
      </c>
      <c r="BP246" s="620">
        <f t="shared" si="434"/>
        <v>0</v>
      </c>
      <c r="BQ246" s="620">
        <f t="shared" ref="BQ246:CV246" si="435">IF(BQ$5=MonthDisposition,MIN((MAX(BQ238:BQ239)-BQ$212)/$C$243,BQ$199),0)</f>
        <v>0</v>
      </c>
      <c r="BR246" s="620">
        <f t="shared" si="435"/>
        <v>0</v>
      </c>
      <c r="BS246" s="620">
        <f t="shared" si="435"/>
        <v>0</v>
      </c>
      <c r="BT246" s="620">
        <f t="shared" si="435"/>
        <v>0</v>
      </c>
      <c r="BU246" s="620">
        <f t="shared" si="435"/>
        <v>0</v>
      </c>
      <c r="BV246" s="620">
        <f t="shared" si="435"/>
        <v>0</v>
      </c>
      <c r="BW246" s="620">
        <f t="shared" si="435"/>
        <v>0</v>
      </c>
      <c r="BX246" s="620">
        <f t="shared" si="435"/>
        <v>0</v>
      </c>
      <c r="BY246" s="620">
        <f t="shared" si="435"/>
        <v>0</v>
      </c>
      <c r="BZ246" s="620">
        <f t="shared" si="435"/>
        <v>0</v>
      </c>
      <c r="CA246" s="620">
        <f t="shared" si="435"/>
        <v>0</v>
      </c>
      <c r="CB246" s="620">
        <f t="shared" si="435"/>
        <v>0</v>
      </c>
      <c r="CC246" s="620">
        <f t="shared" si="435"/>
        <v>0</v>
      </c>
      <c r="CD246" s="620">
        <f t="shared" si="435"/>
        <v>0</v>
      </c>
      <c r="CE246" s="620">
        <f t="shared" si="435"/>
        <v>0</v>
      </c>
      <c r="CF246" s="620">
        <f t="shared" si="435"/>
        <v>0</v>
      </c>
      <c r="CG246" s="620">
        <f t="shared" si="435"/>
        <v>0</v>
      </c>
      <c r="CH246" s="620">
        <f t="shared" si="435"/>
        <v>0</v>
      </c>
      <c r="CI246" s="620">
        <f t="shared" si="435"/>
        <v>0</v>
      </c>
      <c r="CJ246" s="620">
        <f t="shared" si="435"/>
        <v>0</v>
      </c>
      <c r="CK246" s="620">
        <f t="shared" si="435"/>
        <v>0</v>
      </c>
      <c r="CL246" s="620">
        <f t="shared" si="435"/>
        <v>0</v>
      </c>
      <c r="CM246" s="620">
        <f t="shared" si="435"/>
        <v>0</v>
      </c>
      <c r="CN246" s="620">
        <f t="shared" si="435"/>
        <v>0</v>
      </c>
      <c r="CO246" s="620">
        <f t="shared" si="435"/>
        <v>0</v>
      </c>
      <c r="CP246" s="620">
        <f t="shared" si="435"/>
        <v>0</v>
      </c>
      <c r="CQ246" s="620">
        <f t="shared" si="435"/>
        <v>0</v>
      </c>
      <c r="CR246" s="620">
        <f t="shared" si="435"/>
        <v>0</v>
      </c>
      <c r="CS246" s="620">
        <f t="shared" si="435"/>
        <v>0</v>
      </c>
      <c r="CT246" s="620">
        <f t="shared" si="435"/>
        <v>0</v>
      </c>
      <c r="CU246" s="620">
        <f t="shared" si="435"/>
        <v>0</v>
      </c>
      <c r="CV246" s="620">
        <f t="shared" si="435"/>
        <v>0</v>
      </c>
      <c r="CW246" s="620">
        <f t="shared" ref="CW246:DU246" si="436">IF(CW$5=MonthDisposition,MIN((MAX(CW238:CW239)-CW$212)/$C$243,CW$199),0)</f>
        <v>0</v>
      </c>
      <c r="CX246" s="620">
        <f t="shared" si="436"/>
        <v>0</v>
      </c>
      <c r="CY246" s="620">
        <f t="shared" si="436"/>
        <v>0</v>
      </c>
      <c r="CZ246" s="620">
        <f t="shared" si="436"/>
        <v>0</v>
      </c>
      <c r="DA246" s="620">
        <f t="shared" si="436"/>
        <v>0</v>
      </c>
      <c r="DB246" s="620">
        <f t="shared" si="436"/>
        <v>0</v>
      </c>
      <c r="DC246" s="620">
        <f t="shared" si="436"/>
        <v>0</v>
      </c>
      <c r="DD246" s="620">
        <f t="shared" si="436"/>
        <v>0</v>
      </c>
      <c r="DE246" s="620">
        <f t="shared" si="436"/>
        <v>0</v>
      </c>
      <c r="DF246" s="620">
        <f t="shared" si="436"/>
        <v>0</v>
      </c>
      <c r="DG246" s="620">
        <f t="shared" si="436"/>
        <v>0</v>
      </c>
      <c r="DH246" s="620">
        <f t="shared" si="436"/>
        <v>0</v>
      </c>
      <c r="DI246" s="620">
        <f t="shared" si="436"/>
        <v>0</v>
      </c>
      <c r="DJ246" s="620">
        <f t="shared" si="436"/>
        <v>0</v>
      </c>
      <c r="DK246" s="620">
        <f t="shared" si="436"/>
        <v>0</v>
      </c>
      <c r="DL246" s="620">
        <f t="shared" si="436"/>
        <v>0</v>
      </c>
      <c r="DM246" s="620">
        <f t="shared" si="436"/>
        <v>0</v>
      </c>
      <c r="DN246" s="620">
        <f t="shared" si="436"/>
        <v>0</v>
      </c>
      <c r="DO246" s="620">
        <f t="shared" si="436"/>
        <v>0</v>
      </c>
      <c r="DP246" s="620">
        <f t="shared" si="436"/>
        <v>0</v>
      </c>
      <c r="DQ246" s="620">
        <f t="shared" si="436"/>
        <v>0</v>
      </c>
      <c r="DR246" s="620">
        <f t="shared" si="436"/>
        <v>0</v>
      </c>
      <c r="DS246" s="620">
        <f t="shared" si="436"/>
        <v>0</v>
      </c>
      <c r="DT246" s="620">
        <f t="shared" si="436"/>
        <v>0</v>
      </c>
      <c r="DU246" s="620">
        <f t="shared" si="436"/>
        <v>0</v>
      </c>
      <c r="EI246" s="722"/>
    </row>
    <row r="247" spans="1:139" ht="7.5" customHeight="1" thickBot="1" x14ac:dyDescent="0.35">
      <c r="D247" s="282"/>
      <c r="EI247" s="280"/>
    </row>
    <row r="248" spans="1:139" ht="15.75" customHeight="1" thickTop="1" x14ac:dyDescent="0.3">
      <c r="A248" s="318" t="s">
        <v>2509</v>
      </c>
      <c r="B248" s="635"/>
      <c r="C248" s="322"/>
      <c r="D248" s="728"/>
      <c r="E248" s="322"/>
      <c r="F248" s="322"/>
      <c r="G248" s="322"/>
      <c r="H248" s="322"/>
      <c r="I248" s="322"/>
      <c r="J248" s="322"/>
      <c r="K248" s="322"/>
      <c r="L248" s="322"/>
      <c r="M248" s="322"/>
      <c r="N248" s="322"/>
      <c r="O248" s="322"/>
      <c r="P248" s="322"/>
      <c r="Q248" s="322"/>
      <c r="R248" s="322"/>
      <c r="S248" s="322"/>
      <c r="T248" s="322"/>
      <c r="U248" s="322"/>
      <c r="V248" s="322"/>
      <c r="W248" s="322"/>
      <c r="X248" s="322"/>
      <c r="Y248" s="322"/>
      <c r="Z248" s="322"/>
      <c r="AA248" s="322"/>
      <c r="AB248" s="322"/>
      <c r="AC248" s="322"/>
      <c r="AD248" s="322"/>
      <c r="AE248" s="322"/>
      <c r="AF248" s="322"/>
      <c r="AG248" s="322"/>
      <c r="AH248" s="322"/>
      <c r="AI248" s="322"/>
      <c r="AJ248" s="322"/>
      <c r="AK248" s="322"/>
      <c r="AL248" s="322"/>
      <c r="AM248" s="322"/>
      <c r="AN248" s="322"/>
      <c r="AO248" s="322"/>
      <c r="AP248" s="322"/>
      <c r="AQ248" s="322"/>
      <c r="AR248" s="322"/>
      <c r="AS248" s="322"/>
      <c r="AT248" s="322"/>
      <c r="AU248" s="322"/>
      <c r="AV248" s="322"/>
      <c r="AW248" s="322"/>
      <c r="AX248" s="322"/>
      <c r="AY248" s="322"/>
      <c r="AZ248" s="322"/>
      <c r="BA248" s="322"/>
      <c r="BB248" s="322"/>
      <c r="BC248" s="322"/>
      <c r="BD248" s="322"/>
      <c r="BE248" s="322"/>
      <c r="BF248" s="322"/>
      <c r="BG248" s="322"/>
      <c r="BH248" s="322"/>
      <c r="BI248" s="322"/>
      <c r="BJ248" s="322"/>
      <c r="BK248" s="322"/>
      <c r="BL248" s="322"/>
      <c r="BM248" s="322"/>
      <c r="BN248" s="322"/>
      <c r="BO248" s="322"/>
      <c r="BP248" s="322"/>
      <c r="BQ248" s="322"/>
      <c r="BR248" s="322"/>
      <c r="BS248" s="322"/>
      <c r="BT248" s="322"/>
      <c r="BU248" s="322"/>
      <c r="BV248" s="322"/>
      <c r="BW248" s="322"/>
      <c r="BX248" s="322"/>
      <c r="BY248" s="322"/>
      <c r="BZ248" s="322"/>
      <c r="CA248" s="322"/>
      <c r="CB248" s="322"/>
      <c r="CC248" s="322"/>
      <c r="CD248" s="322"/>
      <c r="CE248" s="322"/>
      <c r="CF248" s="322"/>
      <c r="CG248" s="322"/>
      <c r="CH248" s="322"/>
      <c r="CI248" s="322"/>
      <c r="CJ248" s="322"/>
      <c r="CK248" s="322"/>
      <c r="CL248" s="322"/>
      <c r="CM248" s="322"/>
      <c r="CN248" s="322"/>
      <c r="CO248" s="322"/>
      <c r="CP248" s="322"/>
      <c r="CQ248" s="322"/>
      <c r="CR248" s="322"/>
      <c r="CS248" s="322"/>
      <c r="CT248" s="322"/>
      <c r="CU248" s="322"/>
      <c r="CV248" s="322"/>
      <c r="CW248" s="322"/>
      <c r="CX248" s="322"/>
      <c r="CY248" s="322"/>
      <c r="CZ248" s="322"/>
      <c r="DA248" s="322"/>
      <c r="DB248" s="322"/>
      <c r="DC248" s="322"/>
      <c r="DD248" s="322"/>
      <c r="DE248" s="322"/>
      <c r="DF248" s="322"/>
      <c r="DG248" s="322"/>
      <c r="DH248" s="322"/>
      <c r="DI248" s="322"/>
      <c r="DJ248" s="322"/>
      <c r="DK248" s="322"/>
      <c r="DL248" s="322"/>
      <c r="DM248" s="322"/>
      <c r="DN248" s="322"/>
      <c r="DO248" s="322"/>
      <c r="DP248" s="322"/>
      <c r="DQ248" s="322"/>
      <c r="DR248" s="322"/>
      <c r="DS248" s="322"/>
      <c r="DT248" s="322"/>
      <c r="DU248" s="322"/>
      <c r="EH248" s="644"/>
      <c r="EI248" s="722"/>
    </row>
    <row r="249" spans="1:139" x14ac:dyDescent="0.3">
      <c r="A249" s="182" t="str">
        <f>'General Inputs'!$J$29&amp;" Tier 1 Cash Flows"</f>
        <v>LP Tier 1 Cash Flows</v>
      </c>
      <c r="B249" s="182"/>
      <c r="C249" s="182"/>
      <c r="D249" s="686"/>
      <c r="E249" s="408">
        <f t="shared" ref="E249:AN249" ca="1" si="437">E241</f>
        <v>-1684806.2553703375</v>
      </c>
      <c r="F249" s="408">
        <f t="shared" ca="1" si="437"/>
        <v>-13679721.285321232</v>
      </c>
      <c r="G249" s="408">
        <f t="shared" ca="1" si="437"/>
        <v>-429758.58896990592</v>
      </c>
      <c r="H249" s="408">
        <f t="shared" ca="1" si="437"/>
        <v>-652516.24275347544</v>
      </c>
      <c r="I249" s="408">
        <f t="shared" ca="1" si="437"/>
        <v>-1108216.2834030252</v>
      </c>
      <c r="J249" s="408">
        <f t="shared" ca="1" si="437"/>
        <v>-1808500.5776190415</v>
      </c>
      <c r="K249" s="408">
        <f t="shared" ca="1" si="437"/>
        <v>-1861449.5545326734</v>
      </c>
      <c r="L249" s="408">
        <f t="shared" ca="1" si="437"/>
        <v>-2372000.4851556052</v>
      </c>
      <c r="M249" s="408">
        <f t="shared" ca="1" si="437"/>
        <v>-2813680.2377213496</v>
      </c>
      <c r="N249" s="408">
        <f t="shared" ca="1" si="437"/>
        <v>-3293680.161515363</v>
      </c>
      <c r="O249" s="408">
        <f t="shared" ca="1" si="437"/>
        <v>-1869318.1862202697</v>
      </c>
      <c r="P249" s="408">
        <f t="shared" ca="1" si="437"/>
        <v>0</v>
      </c>
      <c r="Q249" s="408">
        <f t="shared" ca="1" si="437"/>
        <v>0</v>
      </c>
      <c r="R249" s="408">
        <f t="shared" ca="1" si="437"/>
        <v>0</v>
      </c>
      <c r="S249" s="408">
        <f t="shared" ca="1" si="437"/>
        <v>0</v>
      </c>
      <c r="T249" s="408">
        <f t="shared" ca="1" si="437"/>
        <v>0</v>
      </c>
      <c r="U249" s="408">
        <f t="shared" ca="1" si="437"/>
        <v>0</v>
      </c>
      <c r="V249" s="408">
        <f t="shared" ca="1" si="437"/>
        <v>0</v>
      </c>
      <c r="W249" s="408">
        <f t="shared" ca="1" si="437"/>
        <v>0</v>
      </c>
      <c r="X249" s="408">
        <f t="shared" ca="1" si="437"/>
        <v>0</v>
      </c>
      <c r="Y249" s="408">
        <f t="shared" ca="1" si="437"/>
        <v>0</v>
      </c>
      <c r="Z249" s="408">
        <f t="shared" ca="1" si="437"/>
        <v>0</v>
      </c>
      <c r="AA249" s="408">
        <f t="shared" ca="1" si="437"/>
        <v>0</v>
      </c>
      <c r="AB249" s="408">
        <f t="shared" ca="1" si="437"/>
        <v>0</v>
      </c>
      <c r="AC249" s="408">
        <f t="shared" ca="1" si="437"/>
        <v>39701.726541082207</v>
      </c>
      <c r="AD249" s="408">
        <f t="shared" ca="1" si="437"/>
        <v>75897.380147726886</v>
      </c>
      <c r="AE249" s="408">
        <f t="shared" ca="1" si="437"/>
        <v>117111.83679771089</v>
      </c>
      <c r="AF249" s="408">
        <f t="shared" ca="1" si="437"/>
        <v>197606.01356017322</v>
      </c>
      <c r="AG249" s="408">
        <f t="shared" ca="1" si="437"/>
        <v>39161676.233132474</v>
      </c>
      <c r="AH249" s="408">
        <f t="shared" si="437"/>
        <v>0</v>
      </c>
      <c r="AI249" s="408">
        <f t="shared" si="437"/>
        <v>0</v>
      </c>
      <c r="AJ249" s="408">
        <f t="shared" si="437"/>
        <v>0</v>
      </c>
      <c r="AK249" s="408">
        <f t="shared" si="437"/>
        <v>0</v>
      </c>
      <c r="AL249" s="408">
        <f t="shared" si="437"/>
        <v>0</v>
      </c>
      <c r="AM249" s="408">
        <f t="shared" si="437"/>
        <v>0</v>
      </c>
      <c r="AN249" s="408">
        <f t="shared" si="437"/>
        <v>0</v>
      </c>
      <c r="AO249" s="408">
        <f>AO241</f>
        <v>0</v>
      </c>
      <c r="AP249" s="408">
        <f t="shared" ref="AP249:DA249" si="438">AP241</f>
        <v>0</v>
      </c>
      <c r="AQ249" s="408">
        <f t="shared" si="438"/>
        <v>0</v>
      </c>
      <c r="AR249" s="408">
        <f t="shared" si="438"/>
        <v>0</v>
      </c>
      <c r="AS249" s="408">
        <f t="shared" si="438"/>
        <v>0</v>
      </c>
      <c r="AT249" s="408">
        <f t="shared" si="438"/>
        <v>0</v>
      </c>
      <c r="AU249" s="408">
        <f t="shared" si="438"/>
        <v>0</v>
      </c>
      <c r="AV249" s="408">
        <f t="shared" si="438"/>
        <v>0</v>
      </c>
      <c r="AW249" s="408">
        <f t="shared" si="438"/>
        <v>0</v>
      </c>
      <c r="AX249" s="408">
        <f t="shared" si="438"/>
        <v>0</v>
      </c>
      <c r="AY249" s="408">
        <f t="shared" si="438"/>
        <v>0</v>
      </c>
      <c r="AZ249" s="408">
        <f t="shared" si="438"/>
        <v>0</v>
      </c>
      <c r="BA249" s="408">
        <f t="shared" si="438"/>
        <v>0</v>
      </c>
      <c r="BB249" s="408">
        <f t="shared" si="438"/>
        <v>0</v>
      </c>
      <c r="BC249" s="408">
        <f t="shared" si="438"/>
        <v>0</v>
      </c>
      <c r="BD249" s="408">
        <f t="shared" si="438"/>
        <v>0</v>
      </c>
      <c r="BE249" s="408">
        <f t="shared" si="438"/>
        <v>0</v>
      </c>
      <c r="BF249" s="408">
        <f t="shared" si="438"/>
        <v>0</v>
      </c>
      <c r="BG249" s="408">
        <f t="shared" si="438"/>
        <v>0</v>
      </c>
      <c r="BH249" s="408">
        <f t="shared" si="438"/>
        <v>0</v>
      </c>
      <c r="BI249" s="408">
        <f t="shared" si="438"/>
        <v>0</v>
      </c>
      <c r="BJ249" s="408">
        <f t="shared" si="438"/>
        <v>0</v>
      </c>
      <c r="BK249" s="408">
        <f t="shared" si="438"/>
        <v>0</v>
      </c>
      <c r="BL249" s="408">
        <f t="shared" si="438"/>
        <v>0</v>
      </c>
      <c r="BM249" s="408">
        <f t="shared" si="438"/>
        <v>0</v>
      </c>
      <c r="BN249" s="408">
        <f t="shared" si="438"/>
        <v>0</v>
      </c>
      <c r="BO249" s="408">
        <f t="shared" si="438"/>
        <v>0</v>
      </c>
      <c r="BP249" s="408">
        <f t="shared" si="438"/>
        <v>0</v>
      </c>
      <c r="BQ249" s="408">
        <f t="shared" si="438"/>
        <v>0</v>
      </c>
      <c r="BR249" s="408">
        <f t="shared" si="438"/>
        <v>0</v>
      </c>
      <c r="BS249" s="408">
        <f t="shared" si="438"/>
        <v>0</v>
      </c>
      <c r="BT249" s="408">
        <f t="shared" si="438"/>
        <v>0</v>
      </c>
      <c r="BU249" s="408">
        <f t="shared" si="438"/>
        <v>0</v>
      </c>
      <c r="BV249" s="408">
        <f t="shared" si="438"/>
        <v>0</v>
      </c>
      <c r="BW249" s="408">
        <f t="shared" si="438"/>
        <v>0</v>
      </c>
      <c r="BX249" s="408">
        <f t="shared" si="438"/>
        <v>0</v>
      </c>
      <c r="BY249" s="408">
        <f t="shared" si="438"/>
        <v>0</v>
      </c>
      <c r="BZ249" s="408">
        <f t="shared" si="438"/>
        <v>0</v>
      </c>
      <c r="CA249" s="408">
        <f t="shared" si="438"/>
        <v>0</v>
      </c>
      <c r="CB249" s="408">
        <f t="shared" si="438"/>
        <v>0</v>
      </c>
      <c r="CC249" s="408">
        <f t="shared" si="438"/>
        <v>0</v>
      </c>
      <c r="CD249" s="408">
        <f t="shared" si="438"/>
        <v>0</v>
      </c>
      <c r="CE249" s="408">
        <f t="shared" si="438"/>
        <v>0</v>
      </c>
      <c r="CF249" s="408">
        <f t="shared" si="438"/>
        <v>0</v>
      </c>
      <c r="CG249" s="408">
        <f t="shared" si="438"/>
        <v>0</v>
      </c>
      <c r="CH249" s="408">
        <f t="shared" si="438"/>
        <v>0</v>
      </c>
      <c r="CI249" s="408">
        <f t="shared" si="438"/>
        <v>0</v>
      </c>
      <c r="CJ249" s="408">
        <f t="shared" si="438"/>
        <v>0</v>
      </c>
      <c r="CK249" s="408">
        <f t="shared" si="438"/>
        <v>0</v>
      </c>
      <c r="CL249" s="408">
        <f t="shared" si="438"/>
        <v>0</v>
      </c>
      <c r="CM249" s="408">
        <f t="shared" si="438"/>
        <v>0</v>
      </c>
      <c r="CN249" s="408">
        <f t="shared" si="438"/>
        <v>0</v>
      </c>
      <c r="CO249" s="408">
        <f t="shared" si="438"/>
        <v>0</v>
      </c>
      <c r="CP249" s="408">
        <f t="shared" si="438"/>
        <v>0</v>
      </c>
      <c r="CQ249" s="408">
        <f t="shared" si="438"/>
        <v>0</v>
      </c>
      <c r="CR249" s="408">
        <f t="shared" si="438"/>
        <v>0</v>
      </c>
      <c r="CS249" s="408">
        <f t="shared" si="438"/>
        <v>0</v>
      </c>
      <c r="CT249" s="408">
        <f t="shared" si="438"/>
        <v>0</v>
      </c>
      <c r="CU249" s="408">
        <f t="shared" si="438"/>
        <v>0</v>
      </c>
      <c r="CV249" s="408">
        <f t="shared" si="438"/>
        <v>0</v>
      </c>
      <c r="CW249" s="408">
        <f t="shared" si="438"/>
        <v>0</v>
      </c>
      <c r="CX249" s="408">
        <f t="shared" si="438"/>
        <v>0</v>
      </c>
      <c r="CY249" s="408">
        <f t="shared" si="438"/>
        <v>0</v>
      </c>
      <c r="CZ249" s="408">
        <f t="shared" si="438"/>
        <v>0</v>
      </c>
      <c r="DA249" s="408">
        <f t="shared" si="438"/>
        <v>0</v>
      </c>
      <c r="DB249" s="408">
        <f t="shared" ref="DB249:DU249" si="439">DB241</f>
        <v>0</v>
      </c>
      <c r="DC249" s="408">
        <f t="shared" si="439"/>
        <v>0</v>
      </c>
      <c r="DD249" s="408">
        <f t="shared" si="439"/>
        <v>0</v>
      </c>
      <c r="DE249" s="408">
        <f t="shared" si="439"/>
        <v>0</v>
      </c>
      <c r="DF249" s="408">
        <f t="shared" si="439"/>
        <v>0</v>
      </c>
      <c r="DG249" s="408">
        <f t="shared" si="439"/>
        <v>0</v>
      </c>
      <c r="DH249" s="408">
        <f t="shared" si="439"/>
        <v>0</v>
      </c>
      <c r="DI249" s="408">
        <f t="shared" si="439"/>
        <v>0</v>
      </c>
      <c r="DJ249" s="408">
        <f t="shared" si="439"/>
        <v>0</v>
      </c>
      <c r="DK249" s="408">
        <f t="shared" si="439"/>
        <v>0</v>
      </c>
      <c r="DL249" s="408">
        <f t="shared" si="439"/>
        <v>0</v>
      </c>
      <c r="DM249" s="408">
        <f t="shared" si="439"/>
        <v>0</v>
      </c>
      <c r="DN249" s="408">
        <f t="shared" si="439"/>
        <v>0</v>
      </c>
      <c r="DO249" s="408">
        <f t="shared" si="439"/>
        <v>0</v>
      </c>
      <c r="DP249" s="408">
        <f t="shared" si="439"/>
        <v>0</v>
      </c>
      <c r="DQ249" s="408">
        <f t="shared" si="439"/>
        <v>0</v>
      </c>
      <c r="DR249" s="408">
        <f t="shared" si="439"/>
        <v>0</v>
      </c>
      <c r="DS249" s="408">
        <f t="shared" si="439"/>
        <v>0</v>
      </c>
      <c r="DT249" s="408">
        <f t="shared" si="439"/>
        <v>0</v>
      </c>
      <c r="DU249" s="408">
        <f t="shared" si="439"/>
        <v>0</v>
      </c>
      <c r="EI249" s="280"/>
    </row>
    <row r="250" spans="1:139" s="200" customFormat="1" hidden="1" x14ac:dyDescent="0.3">
      <c r="A250" s="282" t="s">
        <v>2510</v>
      </c>
      <c r="B250" s="282"/>
      <c r="C250" s="686">
        <f ca="1">NPV((1+C251)^(1/12)-1,F249:DU249)+E249</f>
        <v>-1553731.4455256825</v>
      </c>
      <c r="D250" s="647"/>
      <c r="EI250" s="734"/>
    </row>
    <row r="251" spans="1:139" s="200" customFormat="1" hidden="1" x14ac:dyDescent="0.3">
      <c r="A251" s="282" t="s">
        <v>2511</v>
      </c>
      <c r="B251" s="282"/>
      <c r="C251" s="742">
        <f>'General Inputs'!I31</f>
        <v>0.15</v>
      </c>
      <c r="D251" s="647"/>
      <c r="E251" s="647">
        <f ca="1">IF($C$204&lt;'General Inputs'!$J$11,0,IF(DevBdgt!E$6=DispositionMonth,FV((1+$C251)^(1/12)-1,DevBdgt!E$6,0,$C250),0))</f>
        <v>0</v>
      </c>
      <c r="F251" s="647">
        <f ca="1">IF($C$204&lt;'General Inputs'!$J$11,0,IF(DevBdgt!F$6=DispositionMonth,FV((1+$C251)^(1/12)-1,DevBdgt!F$6,0,$C250),0))</f>
        <v>0</v>
      </c>
      <c r="G251" s="647">
        <f ca="1">IF($C$204&lt;'General Inputs'!$J$11,0,IF(DevBdgt!G$6=DispositionMonth,FV((1+$C251)^(1/12)-1,DevBdgt!G$6,0,$C250),0))</f>
        <v>0</v>
      </c>
      <c r="H251" s="647">
        <f ca="1">IF($C$204&lt;'General Inputs'!$J$11,0,IF(DevBdgt!H$6=DispositionMonth,FV((1+$C251)^(1/12)-1,DevBdgt!H$6,0,$C250),0))</f>
        <v>0</v>
      </c>
      <c r="I251" s="647">
        <f ca="1">IF($C$204&lt;'General Inputs'!$J$11,0,IF(DevBdgt!I$6=DispositionMonth,FV((1+$C251)^(1/12)-1,DevBdgt!I$6,0,$C250),0))</f>
        <v>0</v>
      </c>
      <c r="J251" s="647">
        <f ca="1">IF($C$204&lt;'General Inputs'!$J$11,0,IF(DevBdgt!J$6=DispositionMonth,FV((1+$C251)^(1/12)-1,DevBdgt!J$6,0,$C250),0))</f>
        <v>0</v>
      </c>
      <c r="K251" s="647">
        <f ca="1">IF($C$204&lt;'General Inputs'!$J$11,0,IF(DevBdgt!K$6=DispositionMonth,FV((1+$C251)^(1/12)-1,DevBdgt!K$6,0,$C250),0))</f>
        <v>0</v>
      </c>
      <c r="L251" s="647">
        <f ca="1">IF($C$204&lt;'General Inputs'!$J$11,0,IF(DevBdgt!L$6=DispositionMonth,FV((1+$C251)^(1/12)-1,DevBdgt!L$6,0,$C250),0))</f>
        <v>0</v>
      </c>
      <c r="M251" s="647">
        <f ca="1">IF($C$204&lt;'General Inputs'!$J$11,0,IF(DevBdgt!M$6=DispositionMonth,FV((1+$C251)^(1/12)-1,DevBdgt!M$6,0,$C250),0))</f>
        <v>0</v>
      </c>
      <c r="N251" s="647">
        <f ca="1">IF($C$204&lt;'General Inputs'!$J$11,0,IF(DevBdgt!N$6=DispositionMonth,FV((1+$C251)^(1/12)-1,DevBdgt!N$6,0,$C250),0))</f>
        <v>0</v>
      </c>
      <c r="O251" s="647">
        <f ca="1">IF($C$204&lt;'General Inputs'!$J$11,0,IF(DevBdgt!O$6=DispositionMonth,FV((1+$C251)^(1/12)-1,DevBdgt!O$6,0,$C250),0))</f>
        <v>0</v>
      </c>
      <c r="P251" s="647">
        <f ca="1">IF($C$204&lt;'General Inputs'!$J$11,0,IF(DevBdgt!P$6=DispositionMonth,FV((1+$C251)^(1/12)-1,DevBdgt!P$6,0,$C250),0))</f>
        <v>0</v>
      </c>
      <c r="Q251" s="647">
        <f ca="1">IF($C$204&lt;'General Inputs'!$J$11,0,IF(DevBdgt!Q$6=DispositionMonth,FV((1+$C251)^(1/12)-1,DevBdgt!Q$6,0,$C250),0))</f>
        <v>0</v>
      </c>
      <c r="R251" s="647">
        <f ca="1">IF($C$204&lt;'General Inputs'!$J$11,0,IF(DevBdgt!R$6=DispositionMonth,FV((1+$C251)^(1/12)-1,DevBdgt!R$6,0,$C250),0))</f>
        <v>0</v>
      </c>
      <c r="S251" s="647">
        <f ca="1">IF($C$204&lt;'General Inputs'!$J$11,0,IF(DevBdgt!S$6=DispositionMonth,FV((1+$C251)^(1/12)-1,DevBdgt!S$6,0,$C250),0))</f>
        <v>0</v>
      </c>
      <c r="T251" s="647">
        <f ca="1">IF($C$204&lt;'General Inputs'!$J$11,0,IF(DevBdgt!T$6=DispositionMonth,FV((1+$C251)^(1/12)-1,DevBdgt!T$6,0,$C250),0))</f>
        <v>0</v>
      </c>
      <c r="U251" s="647">
        <f ca="1">IF($C$204&lt;'General Inputs'!$J$11,0,IF(DevBdgt!U$6=DispositionMonth,FV((1+$C251)^(1/12)-1,DevBdgt!U$6,0,$C250),0))</f>
        <v>0</v>
      </c>
      <c r="V251" s="647">
        <f ca="1">IF($C$204&lt;'General Inputs'!$J$11,0,IF(DevBdgt!V$6=DispositionMonth,FV((1+$C251)^(1/12)-1,DevBdgt!V$6,0,$C250),0))</f>
        <v>0</v>
      </c>
      <c r="W251" s="647">
        <f ca="1">IF($C$204&lt;'General Inputs'!$J$11,0,IF(DevBdgt!W$6=DispositionMonth,FV((1+$C251)^(1/12)-1,DevBdgt!W$6,0,$C250),0))</f>
        <v>0</v>
      </c>
      <c r="X251" s="647">
        <f ca="1">IF($C$204&lt;'General Inputs'!$J$11,0,IF(DevBdgt!X$6=DispositionMonth,FV((1+$C251)^(1/12)-1,DevBdgt!X$6,0,$C250),0))</f>
        <v>0</v>
      </c>
      <c r="Y251" s="647">
        <f ca="1">IF($C$204&lt;'General Inputs'!$J$11,0,IF(DevBdgt!Y$6=DispositionMonth,FV((1+$C251)^(1/12)-1,DevBdgt!Y$6,0,$C250),0))</f>
        <v>0</v>
      </c>
      <c r="Z251" s="647">
        <f ca="1">IF($C$204&lt;'General Inputs'!$J$11,0,IF(DevBdgt!Z$6=DispositionMonth,FV((1+$C251)^(1/12)-1,DevBdgt!Z$6,0,$C250),0))</f>
        <v>0</v>
      </c>
      <c r="AA251" s="647">
        <f ca="1">IF($C$204&lt;'General Inputs'!$J$11,0,IF(DevBdgt!AA$6=DispositionMonth,FV((1+$C251)^(1/12)-1,DevBdgt!AA$6,0,$C250),0))</f>
        <v>0</v>
      </c>
      <c r="AB251" s="647">
        <f ca="1">IF($C$204&lt;'General Inputs'!$J$11,0,IF(DevBdgt!AB$6=DispositionMonth,FV((1+$C251)^(1/12)-1,DevBdgt!AB$6,0,$C250),0))</f>
        <v>0</v>
      </c>
      <c r="AC251" s="647">
        <f ca="1">IF($C$204&lt;'General Inputs'!$J$11,0,IF(DevBdgt!AC$6=DispositionMonth,FV((1+$C251)^(1/12)-1,DevBdgt!AC$6,0,$C250),0))</f>
        <v>0</v>
      </c>
      <c r="AD251" s="647">
        <f ca="1">IF($C$204&lt;'General Inputs'!$J$11,0,IF(DevBdgt!AD$6=DispositionMonth,FV((1+$C251)^(1/12)-1,DevBdgt!AD$6,0,$C250),0))</f>
        <v>0</v>
      </c>
      <c r="AE251" s="647">
        <f ca="1">IF($C$204&lt;'General Inputs'!$J$11,0,IF(DevBdgt!AE$6=DispositionMonth,FV((1+$C251)^(1/12)-1,DevBdgt!AE$6,0,$C250),0))</f>
        <v>0</v>
      </c>
      <c r="AF251" s="647">
        <f ca="1">IF($C$204&lt;'General Inputs'!$J$11,0,IF(DevBdgt!AF$6=DispositionMonth,FV((1+$C251)^(1/12)-1,DevBdgt!AF$6,0,$C250),0))</f>
        <v>0</v>
      </c>
      <c r="AG251" s="647">
        <f ca="1">IF($C$204&lt;'General Inputs'!$J$11,0,IF(DevBdgt!AG$6=DispositionMonth,FV((1+$C251)^(1/12)-1,DevBdgt!AG$6,0,$C250),0))</f>
        <v>2152802.7996730176</v>
      </c>
      <c r="AH251" s="647">
        <f ca="1">IF($C$204&lt;'General Inputs'!$J$11,0,IF(DevBdgt!AH$6=DispositionMonth,FV((1+$C251)^(1/12)-1,DevBdgt!AH$6,0,$C250),0))</f>
        <v>0</v>
      </c>
      <c r="AI251" s="647">
        <f ca="1">IF($C$204&lt;'General Inputs'!$J$11,0,IF(DevBdgt!AI$6=DispositionMonth,FV((1+$C251)^(1/12)-1,DevBdgt!AI$6,0,$C250),0))</f>
        <v>0</v>
      </c>
      <c r="AJ251" s="647">
        <f ca="1">IF($C$204&lt;'General Inputs'!$J$11,0,IF(DevBdgt!AJ$6=DispositionMonth,FV((1+$C251)^(1/12)-1,DevBdgt!AJ$6,0,$C250),0))</f>
        <v>0</v>
      </c>
      <c r="AK251" s="647">
        <f ca="1">IF($C$204&lt;'General Inputs'!$J$11,0,IF(DevBdgt!AK$6=DispositionMonth,FV((1+$C251)^(1/12)-1,DevBdgt!AK$6,0,$C250),0))</f>
        <v>0</v>
      </c>
      <c r="AL251" s="647">
        <f ca="1">IF($C$204&lt;'General Inputs'!$J$11,0,IF(DevBdgt!AL$6=DispositionMonth,FV((1+$C251)^(1/12)-1,DevBdgt!AL$6,0,$C250),0))</f>
        <v>0</v>
      </c>
      <c r="AM251" s="647">
        <f ca="1">IF($C$204&lt;'General Inputs'!$J$11,0,IF(DevBdgt!AM$6=DispositionMonth,FV((1+$C251)^(1/12)-1,DevBdgt!AM$6,0,$C250),0))</f>
        <v>0</v>
      </c>
      <c r="AN251" s="647">
        <f ca="1">IF($C$204&lt;'General Inputs'!$J$11,0,IF(DevBdgt!AN$6=DispositionMonth,FV((1+$C251)^(1/12)-1,DevBdgt!AN$6,0,$C250),0))</f>
        <v>0</v>
      </c>
      <c r="AO251" s="647">
        <f ca="1">IF($C$204&lt;'General Inputs'!$J$11,0,IF(DevBdgt!AO$6=DispositionMonth,FV((1+$C251)^(1/12)-1,DevBdgt!AO$6,0,$C250),0))</f>
        <v>0</v>
      </c>
      <c r="AP251" s="647">
        <f ca="1">IF($C$204&lt;'General Inputs'!$J$11,0,IF(DevBdgt!AP$6=DispositionMonth,FV((1+$C251)^(1/12)-1,DevBdgt!AP$6,0,$C250),0))</f>
        <v>0</v>
      </c>
      <c r="AQ251" s="647">
        <f ca="1">IF($C$204&lt;'General Inputs'!$J$11,0,IF(DevBdgt!AQ$6=DispositionMonth,FV((1+$C251)^(1/12)-1,DevBdgt!AQ$6,0,$C250),0))</f>
        <v>0</v>
      </c>
      <c r="AR251" s="647">
        <f ca="1">IF($C$204&lt;'General Inputs'!$J$11,0,IF(DevBdgt!AR$6=DispositionMonth,FV((1+$C251)^(1/12)-1,DevBdgt!AR$6,0,$C250),0))</f>
        <v>0</v>
      </c>
      <c r="AS251" s="647">
        <f ca="1">IF($C$204&lt;'General Inputs'!$J$11,0,IF(DevBdgt!AS$6=DispositionMonth,FV((1+$C251)^(1/12)-1,DevBdgt!AS$6,0,$C250),0))</f>
        <v>0</v>
      </c>
      <c r="AT251" s="647">
        <f ca="1">IF($C$204&lt;'General Inputs'!$J$11,0,IF(DevBdgt!AT$6=DispositionMonth,FV((1+$C251)^(1/12)-1,DevBdgt!AT$6,0,$C250),0))</f>
        <v>0</v>
      </c>
      <c r="AU251" s="647">
        <f ca="1">IF($C$204&lt;'General Inputs'!$J$11,0,IF(DevBdgt!AU$6=DispositionMonth,FV((1+$C251)^(1/12)-1,DevBdgt!AU$6,0,$C250),0))</f>
        <v>0</v>
      </c>
      <c r="AV251" s="647">
        <f ca="1">IF($C$204&lt;'General Inputs'!$J$11,0,IF(DevBdgt!AV$6=DispositionMonth,FV((1+$C251)^(1/12)-1,DevBdgt!AV$6,0,$C250),0))</f>
        <v>0</v>
      </c>
      <c r="AW251" s="647">
        <f ca="1">IF($C$204&lt;'General Inputs'!$J$11,0,IF(DevBdgt!AW$6=DispositionMonth,FV((1+$C251)^(1/12)-1,DevBdgt!AW$6,0,$C250),0))</f>
        <v>0</v>
      </c>
      <c r="AX251" s="647">
        <f ca="1">IF($C$204&lt;'General Inputs'!$J$11,0,IF(DevBdgt!AX$6=DispositionMonth,FV((1+$C251)^(1/12)-1,DevBdgt!AX$6,0,$C250),0))</f>
        <v>0</v>
      </c>
      <c r="AY251" s="647">
        <f ca="1">IF($C$204&lt;'General Inputs'!$J$11,0,IF(DevBdgt!AY$6=DispositionMonth,FV((1+$C251)^(1/12)-1,DevBdgt!AY$6,0,$C250),0))</f>
        <v>0</v>
      </c>
      <c r="AZ251" s="647">
        <f ca="1">IF($C$204&lt;'General Inputs'!$J$11,0,IF(DevBdgt!AZ$6=DispositionMonth,FV((1+$C251)^(1/12)-1,DevBdgt!AZ$6,0,$C250),0))</f>
        <v>0</v>
      </c>
      <c r="BA251" s="647">
        <f ca="1">IF($C$204&lt;'General Inputs'!$J$11,0,IF(DevBdgt!BA$6=DispositionMonth,FV((1+$C251)^(1/12)-1,DevBdgt!BA$6,0,$C250),0))</f>
        <v>0</v>
      </c>
      <c r="BB251" s="647">
        <f ca="1">IF($C$204&lt;'General Inputs'!$J$11,0,IF(DevBdgt!BB$6=DispositionMonth,FV((1+$C251)^(1/12)-1,DevBdgt!BB$6,0,$C250),0))</f>
        <v>0</v>
      </c>
      <c r="BC251" s="647">
        <f ca="1">IF($C$204&lt;'General Inputs'!$J$11,0,IF(DevBdgt!BC$6=DispositionMonth,FV((1+$C251)^(1/12)-1,DevBdgt!BC$6,0,$C250),0))</f>
        <v>0</v>
      </c>
      <c r="BD251" s="647">
        <f ca="1">IF($C$204&lt;'General Inputs'!$J$11,0,IF(DevBdgt!BD$6=DispositionMonth,FV((1+$C251)^(1/12)-1,DevBdgt!BD$6,0,$C250),0))</f>
        <v>0</v>
      </c>
      <c r="BE251" s="647">
        <f ca="1">IF($C$204&lt;'General Inputs'!$J$11,0,IF(DevBdgt!BE$6=DispositionMonth,FV((1+$C251)^(1/12)-1,DevBdgt!BE$6,0,$C250),0))</f>
        <v>0</v>
      </c>
      <c r="BF251" s="647">
        <f ca="1">IF($C$204&lt;'General Inputs'!$J$11,0,IF(DevBdgt!BF$6=DispositionMonth,FV((1+$C251)^(1/12)-1,DevBdgt!BF$6,0,$C250),0))</f>
        <v>0</v>
      </c>
      <c r="BG251" s="647">
        <f ca="1">IF($C$204&lt;'General Inputs'!$J$11,0,IF(DevBdgt!BG$6=DispositionMonth,FV((1+$C251)^(1/12)-1,DevBdgt!BG$6,0,$C250),0))</f>
        <v>0</v>
      </c>
      <c r="BH251" s="647">
        <f ca="1">IF($C$204&lt;'General Inputs'!$J$11,0,IF(DevBdgt!BH$6=DispositionMonth,FV((1+$C251)^(1/12)-1,DevBdgt!BH$6,0,$C250),0))</f>
        <v>0</v>
      </c>
      <c r="BI251" s="647">
        <f ca="1">IF($C$204&lt;'General Inputs'!$J$11,0,IF(DevBdgt!BI$6=DispositionMonth,FV((1+$C251)^(1/12)-1,DevBdgt!BI$6,0,$C250),0))</f>
        <v>0</v>
      </c>
      <c r="BJ251" s="647">
        <f ca="1">IF($C$204&lt;'General Inputs'!$J$11,0,IF(DevBdgt!BJ$6=DispositionMonth,FV((1+$C251)^(1/12)-1,DevBdgt!BJ$6,0,$C250),0))</f>
        <v>0</v>
      </c>
      <c r="BK251" s="647">
        <f ca="1">IF($C$204&lt;'General Inputs'!$J$11,0,IF(DevBdgt!BK$6=DispositionMonth,FV((1+$C251)^(1/12)-1,DevBdgt!BK$6,0,$C250),0))</f>
        <v>0</v>
      </c>
      <c r="BL251" s="647">
        <f ca="1">IF($C$204&lt;'General Inputs'!$J$11,0,IF(DevBdgt!BL$6=DispositionMonth,FV((1+$C251)^(1/12)-1,DevBdgt!BL$6,0,$C250),0))</f>
        <v>0</v>
      </c>
      <c r="BM251" s="647">
        <f ca="1">IF($C$204&lt;'General Inputs'!$J$11,0,IF(DevBdgt!BM$6=DispositionMonth,FV((1+$C251)^(1/12)-1,DevBdgt!BM$6,0,$C250),0))</f>
        <v>0</v>
      </c>
      <c r="BN251" s="647">
        <f ca="1">IF($C$204&lt;'General Inputs'!$J$11,0,IF(DevBdgt!BN$6=DispositionMonth,FV((1+$C251)^(1/12)-1,DevBdgt!BN$6,0,$C250),0))</f>
        <v>0</v>
      </c>
      <c r="BO251" s="647">
        <f ca="1">IF($C$204&lt;'General Inputs'!$J$11,0,IF(DevBdgt!BO$6=DispositionMonth,FV((1+$C251)^(1/12)-1,DevBdgt!BO$6,0,$C250),0))</f>
        <v>0</v>
      </c>
      <c r="BP251" s="647">
        <f ca="1">IF($C$204&lt;'General Inputs'!$J$11,0,IF(DevBdgt!BP$6=DispositionMonth,FV((1+$C251)^(1/12)-1,DevBdgt!BP$6,0,$C250),0))</f>
        <v>0</v>
      </c>
      <c r="BQ251" s="647">
        <f ca="1">IF($C$204&lt;'General Inputs'!$J$11,0,IF(DevBdgt!BQ$6=DispositionMonth,FV((1+$C251)^(1/12)-1,DevBdgt!BQ$6,0,$C250),0))</f>
        <v>0</v>
      </c>
      <c r="BR251" s="647">
        <f ca="1">IF($C$204&lt;'General Inputs'!$J$11,0,IF(DevBdgt!BR$6=DispositionMonth,FV((1+$C251)^(1/12)-1,DevBdgt!BR$6,0,$C250),0))</f>
        <v>0</v>
      </c>
      <c r="BS251" s="647">
        <f ca="1">IF($C$204&lt;'General Inputs'!$J$11,0,IF(DevBdgt!BS$6=DispositionMonth,FV((1+$C251)^(1/12)-1,DevBdgt!BS$6,0,$C250),0))</f>
        <v>0</v>
      </c>
      <c r="BT251" s="647">
        <f ca="1">IF($C$204&lt;'General Inputs'!$J$11,0,IF(DevBdgt!BT$6=DispositionMonth,FV((1+$C251)^(1/12)-1,DevBdgt!BT$6,0,$C250),0))</f>
        <v>0</v>
      </c>
      <c r="BU251" s="647">
        <f ca="1">IF($C$204&lt;'General Inputs'!$J$11,0,IF(DevBdgt!BU$6=DispositionMonth,FV((1+$C251)^(1/12)-1,DevBdgt!BU$6,0,$C250),0))</f>
        <v>0</v>
      </c>
      <c r="BV251" s="647">
        <f ca="1">IF($C$204&lt;'General Inputs'!$J$11,0,IF(DevBdgt!BV$6=DispositionMonth,FV((1+$C251)^(1/12)-1,DevBdgt!BV$6,0,$C250),0))</f>
        <v>0</v>
      </c>
      <c r="BW251" s="647">
        <f ca="1">IF($C$204&lt;'General Inputs'!$J$11,0,IF(DevBdgt!BW$6=DispositionMonth,FV((1+$C251)^(1/12)-1,DevBdgt!BW$6,0,$C250),0))</f>
        <v>0</v>
      </c>
      <c r="BX251" s="647">
        <f ca="1">IF($C$204&lt;'General Inputs'!$J$11,0,IF(DevBdgt!BX$6=DispositionMonth,FV((1+$C251)^(1/12)-1,DevBdgt!BX$6,0,$C250),0))</f>
        <v>0</v>
      </c>
      <c r="BY251" s="647">
        <f ca="1">IF($C$204&lt;'General Inputs'!$J$11,0,IF(DevBdgt!BY$6=DispositionMonth,FV((1+$C251)^(1/12)-1,DevBdgt!BY$6,0,$C250),0))</f>
        <v>0</v>
      </c>
      <c r="BZ251" s="647">
        <f ca="1">IF($C$204&lt;'General Inputs'!$J$11,0,IF(DevBdgt!BZ$6=DispositionMonth,FV((1+$C251)^(1/12)-1,DevBdgt!BZ$6,0,$C250),0))</f>
        <v>0</v>
      </c>
      <c r="CA251" s="647">
        <f ca="1">IF($C$204&lt;'General Inputs'!$J$11,0,IF(DevBdgt!CA$6=DispositionMonth,FV((1+$C251)^(1/12)-1,DevBdgt!CA$6,0,$C250),0))</f>
        <v>0</v>
      </c>
      <c r="CB251" s="647">
        <f ca="1">IF($C$204&lt;'General Inputs'!$J$11,0,IF(DevBdgt!CB$6=DispositionMonth,FV((1+$C251)^(1/12)-1,DevBdgt!CB$6,0,$C250),0))</f>
        <v>0</v>
      </c>
      <c r="CC251" s="647">
        <f ca="1">IF($C$204&lt;'General Inputs'!$J$11,0,IF(DevBdgt!CC$6=DispositionMonth,FV((1+$C251)^(1/12)-1,DevBdgt!CC$6,0,$C250),0))</f>
        <v>0</v>
      </c>
      <c r="CD251" s="647">
        <f ca="1">IF($C$204&lt;'General Inputs'!$J$11,0,IF(DevBdgt!CD$6=DispositionMonth,FV((1+$C251)^(1/12)-1,DevBdgt!CD$6,0,$C250),0))</f>
        <v>0</v>
      </c>
      <c r="CE251" s="647">
        <f ca="1">IF($C$204&lt;'General Inputs'!$J$11,0,IF(DevBdgt!CE$6=DispositionMonth,FV((1+$C251)^(1/12)-1,DevBdgt!CE$6,0,$C250),0))</f>
        <v>0</v>
      </c>
      <c r="CF251" s="647">
        <f ca="1">IF($C$204&lt;'General Inputs'!$J$11,0,IF(DevBdgt!CF$6=DispositionMonth,FV((1+$C251)^(1/12)-1,DevBdgt!CF$6,0,$C250),0))</f>
        <v>0</v>
      </c>
      <c r="CG251" s="647">
        <f ca="1">IF($C$204&lt;'General Inputs'!$J$11,0,IF(DevBdgt!CG$6=DispositionMonth,FV((1+$C251)^(1/12)-1,DevBdgt!CG$6,0,$C250),0))</f>
        <v>0</v>
      </c>
      <c r="CH251" s="647">
        <f ca="1">IF($C$204&lt;'General Inputs'!$J$11,0,IF(DevBdgt!CH$6=DispositionMonth,FV((1+$C251)^(1/12)-1,DevBdgt!CH$6,0,$C250),0))</f>
        <v>0</v>
      </c>
      <c r="CI251" s="647">
        <f ca="1">IF($C$204&lt;'General Inputs'!$J$11,0,IF(DevBdgt!CI$6=DispositionMonth,FV((1+$C251)^(1/12)-1,DevBdgt!CI$6,0,$C250),0))</f>
        <v>0</v>
      </c>
      <c r="CJ251" s="647">
        <f ca="1">IF($C$204&lt;'General Inputs'!$J$11,0,IF(DevBdgt!CJ$6=DispositionMonth,FV((1+$C251)^(1/12)-1,DevBdgt!CJ$6,0,$C250),0))</f>
        <v>0</v>
      </c>
      <c r="CK251" s="647">
        <f ca="1">IF($C$204&lt;'General Inputs'!$J$11,0,IF(DevBdgt!CK$6=DispositionMonth,FV((1+$C251)^(1/12)-1,DevBdgt!CK$6,0,$C250),0))</f>
        <v>0</v>
      </c>
      <c r="CL251" s="647">
        <f ca="1">IF($C$204&lt;'General Inputs'!$J$11,0,IF(DevBdgt!CL$6=DispositionMonth,FV((1+$C251)^(1/12)-1,DevBdgt!CL$6,0,$C250),0))</f>
        <v>0</v>
      </c>
      <c r="CM251" s="647">
        <f ca="1">IF($C$204&lt;'General Inputs'!$J$11,0,IF(DevBdgt!CM$6=DispositionMonth,FV((1+$C251)^(1/12)-1,DevBdgt!CM$6,0,$C250),0))</f>
        <v>0</v>
      </c>
      <c r="CN251" s="647">
        <f ca="1">IF($C$204&lt;'General Inputs'!$J$11,0,IF(DevBdgt!CN$6=DispositionMonth,FV((1+$C251)^(1/12)-1,DevBdgt!CN$6,0,$C250),0))</f>
        <v>0</v>
      </c>
      <c r="CO251" s="647">
        <f ca="1">IF($C$204&lt;'General Inputs'!$J$11,0,IF(DevBdgt!CO$6=DispositionMonth,FV((1+$C251)^(1/12)-1,DevBdgt!CO$6,0,$C250),0))</f>
        <v>0</v>
      </c>
      <c r="CP251" s="647">
        <f ca="1">IF($C$204&lt;'General Inputs'!$J$11,0,IF(DevBdgt!CP$6=DispositionMonth,FV((1+$C251)^(1/12)-1,DevBdgt!CP$6,0,$C250),0))</f>
        <v>0</v>
      </c>
      <c r="CQ251" s="647">
        <f ca="1">IF($C$204&lt;'General Inputs'!$J$11,0,IF(DevBdgt!CQ$6=DispositionMonth,FV((1+$C251)^(1/12)-1,DevBdgt!CQ$6,0,$C250),0))</f>
        <v>0</v>
      </c>
      <c r="CR251" s="647">
        <f ca="1">IF($C$204&lt;'General Inputs'!$J$11,0,IF(DevBdgt!CR$6=DispositionMonth,FV((1+$C251)^(1/12)-1,DevBdgt!CR$6,0,$C250),0))</f>
        <v>0</v>
      </c>
      <c r="CS251" s="647">
        <f ca="1">IF($C$204&lt;'General Inputs'!$J$11,0,IF(DevBdgt!CS$6=DispositionMonth,FV((1+$C251)^(1/12)-1,DevBdgt!CS$6,0,$C250),0))</f>
        <v>0</v>
      </c>
      <c r="CT251" s="647">
        <f ca="1">IF($C$204&lt;'General Inputs'!$J$11,0,IF(DevBdgt!CT$6=DispositionMonth,FV((1+$C251)^(1/12)-1,DevBdgt!CT$6,0,$C250),0))</f>
        <v>0</v>
      </c>
      <c r="CU251" s="647">
        <f ca="1">IF($C$204&lt;'General Inputs'!$J$11,0,IF(DevBdgt!CU$6=DispositionMonth,FV((1+$C251)^(1/12)-1,DevBdgt!CU$6,0,$C250),0))</f>
        <v>0</v>
      </c>
      <c r="CV251" s="647">
        <f ca="1">IF($C$204&lt;'General Inputs'!$J$11,0,IF(DevBdgt!CV$6=DispositionMonth,FV((1+$C251)^(1/12)-1,DevBdgt!CV$6,0,$C250),0))</f>
        <v>0</v>
      </c>
      <c r="CW251" s="647">
        <f ca="1">IF($C$204&lt;'General Inputs'!$J$11,0,IF(DevBdgt!CW$6=DispositionMonth,FV((1+$C251)^(1/12)-1,DevBdgt!CW$6,0,$C250),0))</f>
        <v>0</v>
      </c>
      <c r="CX251" s="647">
        <f ca="1">IF($C$204&lt;'General Inputs'!$J$11,0,IF(DevBdgt!CX$6=DispositionMonth,FV((1+$C251)^(1/12)-1,DevBdgt!CX$6,0,$C250),0))</f>
        <v>0</v>
      </c>
      <c r="CY251" s="647">
        <f ca="1">IF($C$204&lt;'General Inputs'!$J$11,0,IF(DevBdgt!CY$6=DispositionMonth,FV((1+$C251)^(1/12)-1,DevBdgt!CY$6,0,$C250),0))</f>
        <v>0</v>
      </c>
      <c r="CZ251" s="647">
        <f ca="1">IF($C$204&lt;'General Inputs'!$J$11,0,IF(DevBdgt!CZ$6=DispositionMonth,FV((1+$C251)^(1/12)-1,DevBdgt!CZ$6,0,$C250),0))</f>
        <v>0</v>
      </c>
      <c r="DA251" s="647">
        <f ca="1">IF($C$204&lt;'General Inputs'!$J$11,0,IF(DevBdgt!DA$6=DispositionMonth,FV((1+$C251)^(1/12)-1,DevBdgt!DA$6,0,$C250),0))</f>
        <v>0</v>
      </c>
      <c r="DB251" s="647">
        <f ca="1">IF($C$204&lt;'General Inputs'!$J$11,0,IF(DevBdgt!DB$6=DispositionMonth,FV((1+$C251)^(1/12)-1,DevBdgt!DB$6,0,$C250),0))</f>
        <v>0</v>
      </c>
      <c r="DC251" s="647">
        <f ca="1">IF($C$204&lt;'General Inputs'!$J$11,0,IF(DevBdgt!DC$6=DispositionMonth,FV((1+$C251)^(1/12)-1,DevBdgt!DC$6,0,$C250),0))</f>
        <v>0</v>
      </c>
      <c r="DD251" s="647">
        <f ca="1">IF($C$204&lt;'General Inputs'!$J$11,0,IF(DevBdgt!DD$6=DispositionMonth,FV((1+$C251)^(1/12)-1,DevBdgt!DD$6,0,$C250),0))</f>
        <v>0</v>
      </c>
      <c r="DE251" s="647">
        <f ca="1">IF($C$204&lt;'General Inputs'!$J$11,0,IF(DevBdgt!DE$6=DispositionMonth,FV((1+$C251)^(1/12)-1,DevBdgt!DE$6,0,$C250),0))</f>
        <v>0</v>
      </c>
      <c r="DF251" s="647">
        <f ca="1">IF($C$204&lt;'General Inputs'!$J$11,0,IF(DevBdgt!DF$6=DispositionMonth,FV((1+$C251)^(1/12)-1,DevBdgt!DF$6,0,$C250),0))</f>
        <v>0</v>
      </c>
      <c r="DG251" s="647">
        <f ca="1">IF($C$204&lt;'General Inputs'!$J$11,0,IF(DevBdgt!DG$6=DispositionMonth,FV((1+$C251)^(1/12)-1,DevBdgt!DG$6,0,$C250),0))</f>
        <v>0</v>
      </c>
      <c r="DH251" s="647">
        <f ca="1">IF($C$204&lt;'General Inputs'!$J$11,0,IF(DevBdgt!DH$6=DispositionMonth,FV((1+$C251)^(1/12)-1,DevBdgt!DH$6,0,$C250),0))</f>
        <v>0</v>
      </c>
      <c r="DI251" s="647">
        <f ca="1">IF($C$204&lt;'General Inputs'!$J$11,0,IF(DevBdgt!DI$6=DispositionMonth,FV((1+$C251)^(1/12)-1,DevBdgt!DI$6,0,$C250),0))</f>
        <v>0</v>
      </c>
      <c r="DJ251" s="647">
        <f ca="1">IF($C$204&lt;'General Inputs'!$J$11,0,IF(DevBdgt!DJ$6=DispositionMonth,FV((1+$C251)^(1/12)-1,DevBdgt!DJ$6,0,$C250),0))</f>
        <v>0</v>
      </c>
      <c r="DK251" s="647">
        <f ca="1">IF($C$204&lt;'General Inputs'!$J$11,0,IF(DevBdgt!DK$6=DispositionMonth,FV((1+$C251)^(1/12)-1,DevBdgt!DK$6,0,$C250),0))</f>
        <v>0</v>
      </c>
      <c r="DL251" s="647">
        <f ca="1">IF($C$204&lt;'General Inputs'!$J$11,0,IF(DevBdgt!DL$6=DispositionMonth,FV((1+$C251)^(1/12)-1,DevBdgt!DL$6,0,$C250),0))</f>
        <v>0</v>
      </c>
      <c r="DM251" s="647">
        <f ca="1">IF($C$204&lt;'General Inputs'!$J$11,0,IF(DevBdgt!DM$6=DispositionMonth,FV((1+$C251)^(1/12)-1,DevBdgt!DM$6,0,$C250),0))</f>
        <v>0</v>
      </c>
      <c r="DN251" s="647">
        <f ca="1">IF($C$204&lt;'General Inputs'!$J$11,0,IF(DevBdgt!DN$6=DispositionMonth,FV((1+$C251)^(1/12)-1,DevBdgt!DN$6,0,$C250),0))</f>
        <v>0</v>
      </c>
      <c r="DO251" s="647">
        <f ca="1">IF($C$204&lt;'General Inputs'!$J$11,0,IF(DevBdgt!DO$6=DispositionMonth,FV((1+$C251)^(1/12)-1,DevBdgt!DO$6,0,$C250),0))</f>
        <v>0</v>
      </c>
      <c r="DP251" s="647">
        <f ca="1">IF($C$204&lt;'General Inputs'!$J$11,0,IF(DevBdgt!DP$6=DispositionMonth,FV((1+$C251)^(1/12)-1,DevBdgt!DP$6,0,$C250),0))</f>
        <v>0</v>
      </c>
      <c r="DQ251" s="647">
        <f ca="1">IF($C$204&lt;'General Inputs'!$J$11,0,IF(DevBdgt!DQ$6=DispositionMonth,FV((1+$C251)^(1/12)-1,DevBdgt!DQ$6,0,$C250),0))</f>
        <v>0</v>
      </c>
      <c r="DR251" s="647">
        <f ca="1">IF($C$204&lt;'General Inputs'!$J$11,0,IF(DevBdgt!DR$6=DispositionMonth,FV((1+$C251)^(1/12)-1,DevBdgt!DR$6,0,$C250),0))</f>
        <v>0</v>
      </c>
      <c r="DS251" s="647">
        <f ca="1">IF($C$204&lt;'General Inputs'!$J$11,0,IF(DevBdgt!DS$6=DispositionMonth,FV((1+$C251)^(1/12)-1,DevBdgt!DS$6,0,$C250),0))</f>
        <v>0</v>
      </c>
      <c r="DT251" s="647">
        <f ca="1">IF($C$204&lt;'General Inputs'!$J$11,0,IF(DevBdgt!DT$6=DispositionMonth,FV((1+$C251)^(1/12)-1,DevBdgt!DT$6,0,$C250),0))</f>
        <v>0</v>
      </c>
      <c r="DU251" s="647">
        <f ca="1">IF($C$204&lt;'General Inputs'!$J$11,0,IF(DevBdgt!DU$6=DispositionMonth,FV((1+$C251)^(1/12)-1,DevBdgt!DU$6,0,$C250),0))</f>
        <v>0</v>
      </c>
      <c r="EI251" s="680"/>
    </row>
    <row r="252" spans="1:139" s="200" customFormat="1" hidden="1" x14ac:dyDescent="0.3">
      <c r="A252" s="282" t="s">
        <v>2507</v>
      </c>
      <c r="B252" s="282"/>
      <c r="C252" s="743">
        <f>'General Inputs'!H31</f>
        <v>0</v>
      </c>
      <c r="D252" s="647"/>
      <c r="E252" s="647">
        <f ca="1">IF($C$204&lt;'General Inputs'!$J$11,0,IF(E$5=DispositionMonth,('General Inputs'!$J$8*(Waterfalls!$C$252-1))-SUM(Waterfalls!$E249:E249),0))</f>
        <v>0</v>
      </c>
      <c r="F252" s="647">
        <f ca="1">IF($C$204&lt;'General Inputs'!$J$11,0,IF(F$5=DispositionMonth,('General Inputs'!$J$8*(Waterfalls!$C$252-1))-SUM(Waterfalls!$E249:F249),0))</f>
        <v>0</v>
      </c>
      <c r="G252" s="647">
        <f ca="1">IF($C$204&lt;'General Inputs'!$J$11,0,IF(G$5=DispositionMonth,('General Inputs'!$J$8*(Waterfalls!$C$252-1))-SUM(Waterfalls!$E249:G249),0))</f>
        <v>0</v>
      </c>
      <c r="H252" s="647">
        <f ca="1">IF($C$204&lt;'General Inputs'!$J$11,0,IF(H$5=DispositionMonth,('General Inputs'!$J$8*(Waterfalls!$C$252-1))-SUM(Waterfalls!$E249:H249),0))</f>
        <v>0</v>
      </c>
      <c r="I252" s="647">
        <f ca="1">IF($C$204&lt;'General Inputs'!$J$11,0,IF(I$5=DispositionMonth,('General Inputs'!$J$8*(Waterfalls!$C$252-1))-SUM(Waterfalls!$E249:I249),0))</f>
        <v>0</v>
      </c>
      <c r="J252" s="647">
        <f ca="1">IF($C$204&lt;'General Inputs'!$J$11,0,IF(J$5=DispositionMonth,('General Inputs'!$J$8*(Waterfalls!$C$252-1))-SUM(Waterfalls!$E249:J249),0))</f>
        <v>0</v>
      </c>
      <c r="K252" s="647">
        <f ca="1">IF($C$204&lt;'General Inputs'!$J$11,0,IF(K$5=DispositionMonth,('General Inputs'!$J$8*(Waterfalls!$C$252-1))-SUM(Waterfalls!$E249:K249),0))</f>
        <v>0</v>
      </c>
      <c r="L252" s="647">
        <f ca="1">IF($C$204&lt;'General Inputs'!$J$11,0,IF(L$5=DispositionMonth,('General Inputs'!$J$8*(Waterfalls!$C$252-1))-SUM(Waterfalls!$E249:L249),0))</f>
        <v>0</v>
      </c>
      <c r="M252" s="647">
        <f ca="1">IF($C$204&lt;'General Inputs'!$J$11,0,IF(M$5=DispositionMonth,('General Inputs'!$J$8*(Waterfalls!$C$252-1))-SUM(Waterfalls!$E249:M249),0))</f>
        <v>0</v>
      </c>
      <c r="N252" s="647">
        <f ca="1">IF($C$204&lt;'General Inputs'!$J$11,0,IF(N$5=DispositionMonth,('General Inputs'!$J$8*(Waterfalls!$C$252-1))-SUM(Waterfalls!$E249:N249),0))</f>
        <v>0</v>
      </c>
      <c r="O252" s="647">
        <f ca="1">IF($C$204&lt;'General Inputs'!$J$11,0,IF(O$5=DispositionMonth,('General Inputs'!$J$8*(Waterfalls!$C$252-1))-SUM(Waterfalls!$E249:O249),0))</f>
        <v>0</v>
      </c>
      <c r="P252" s="647">
        <f ca="1">IF($C$204&lt;'General Inputs'!$J$11,0,IF(P$5=DispositionMonth,('General Inputs'!$J$8*(Waterfalls!$C$252-1))-SUM(Waterfalls!$E249:P249),0))</f>
        <v>0</v>
      </c>
      <c r="Q252" s="647">
        <f ca="1">IF($C$204&lt;'General Inputs'!$J$11,0,IF(Q$5=DispositionMonth,('General Inputs'!$J$8*(Waterfalls!$C$252-1))-SUM(Waterfalls!$E249:Q249),0))</f>
        <v>0</v>
      </c>
      <c r="R252" s="647">
        <f ca="1">IF($C$204&lt;'General Inputs'!$J$11,0,IF(R$5=DispositionMonth,('General Inputs'!$J$8*(Waterfalls!$C$252-1))-SUM(Waterfalls!$E249:R249),0))</f>
        <v>0</v>
      </c>
      <c r="S252" s="647">
        <f ca="1">IF($C$204&lt;'General Inputs'!$J$11,0,IF(S$5=DispositionMonth,('General Inputs'!$J$8*(Waterfalls!$C$252-1))-SUM(Waterfalls!$E249:S249),0))</f>
        <v>0</v>
      </c>
      <c r="T252" s="647">
        <f ca="1">IF($C$204&lt;'General Inputs'!$J$11,0,IF(T$5=DispositionMonth,('General Inputs'!$J$8*(Waterfalls!$C$252-1))-SUM(Waterfalls!$E249:T249),0))</f>
        <v>0</v>
      </c>
      <c r="U252" s="647">
        <f ca="1">IF($C$204&lt;'General Inputs'!$J$11,0,IF(U$5=DispositionMonth,('General Inputs'!$J$8*(Waterfalls!$C$252-1))-SUM(Waterfalls!$E249:U249),0))</f>
        <v>0</v>
      </c>
      <c r="V252" s="647">
        <f ca="1">IF($C$204&lt;'General Inputs'!$J$11,0,IF(V$5=DispositionMonth,('General Inputs'!$J$8*(Waterfalls!$C$252-1))-SUM(Waterfalls!$E249:V249),0))</f>
        <v>0</v>
      </c>
      <c r="W252" s="647">
        <f ca="1">IF($C$204&lt;'General Inputs'!$J$11,0,IF(W$5=DispositionMonth,('General Inputs'!$J$8*(Waterfalls!$C$252-1))-SUM(Waterfalls!$E249:W249),0))</f>
        <v>0</v>
      </c>
      <c r="X252" s="647">
        <f ca="1">IF($C$204&lt;'General Inputs'!$J$11,0,IF(X$5=DispositionMonth,('General Inputs'!$J$8*(Waterfalls!$C$252-1))-SUM(Waterfalls!$E249:X249),0))</f>
        <v>0</v>
      </c>
      <c r="Y252" s="647">
        <f ca="1">IF($C$204&lt;'General Inputs'!$J$11,0,IF(Y$5=DispositionMonth,('General Inputs'!$J$8*(Waterfalls!$C$252-1))-SUM(Waterfalls!$E249:Y249),0))</f>
        <v>0</v>
      </c>
      <c r="Z252" s="647">
        <f ca="1">IF($C$204&lt;'General Inputs'!$J$11,0,IF(Z$5=DispositionMonth,('General Inputs'!$J$8*(Waterfalls!$C$252-1))-SUM(Waterfalls!$E249:Z249),0))</f>
        <v>0</v>
      </c>
      <c r="AA252" s="647">
        <f ca="1">IF($C$204&lt;'General Inputs'!$J$11,0,IF(AA$5=DispositionMonth,('General Inputs'!$J$8*(Waterfalls!$C$252-1))-SUM(Waterfalls!$E249:AA249),0))</f>
        <v>0</v>
      </c>
      <c r="AB252" s="647">
        <f ca="1">IF($C$204&lt;'General Inputs'!$J$11,0,IF(AB$5=DispositionMonth,('General Inputs'!$J$8*(Waterfalls!$C$252-1))-SUM(Waterfalls!$E249:AB249),0))</f>
        <v>0</v>
      </c>
      <c r="AC252" s="647">
        <f ca="1">IF($C$204&lt;'General Inputs'!$J$11,0,IF(AC$5=DispositionMonth,('General Inputs'!$J$8*(Waterfalls!$C$252-1))-SUM(Waterfalls!$E249:AC249),0))</f>
        <v>0</v>
      </c>
      <c r="AD252" s="647">
        <f ca="1">IF($C$204&lt;'General Inputs'!$J$11,0,IF(AD$5=DispositionMonth,('General Inputs'!$J$8*(Waterfalls!$C$252-1))-SUM(Waterfalls!$E249:AD249),0))</f>
        <v>0</v>
      </c>
      <c r="AE252" s="647">
        <f ca="1">IF($C$204&lt;'General Inputs'!$J$11,0,IF(AE$5=DispositionMonth,('General Inputs'!$J$8*(Waterfalls!$C$252-1))-SUM(Waterfalls!$E249:AE249),0))</f>
        <v>0</v>
      </c>
      <c r="AF252" s="647">
        <f ca="1">IF($C$204&lt;'General Inputs'!$J$11,0,IF(AF$5=DispositionMonth,('General Inputs'!$J$8*(Waterfalls!$C$252-1))-SUM(Waterfalls!$E249:AF249),0))</f>
        <v>0</v>
      </c>
      <c r="AG252" s="647">
        <f ca="1">IF($C$204&lt;'General Inputs'!$J$11,0,IF(AG$5=DispositionMonth,('General Inputs'!$J$8*(Waterfalls!$C$252-1))-SUM(Waterfalls!$E249:AG249),0))</f>
        <v>-39591993.190179169</v>
      </c>
      <c r="AH252" s="647">
        <f ca="1">IF($C$204&lt;'General Inputs'!$J$11,0,IF(AH$5=DispositionMonth,('General Inputs'!$J$8*(Waterfalls!$C$252-1))-SUM(Waterfalls!$E249:AH249),0))</f>
        <v>0</v>
      </c>
      <c r="AI252" s="647">
        <f ca="1">IF($C$204&lt;'General Inputs'!$J$11,0,IF(AI$5=DispositionMonth,('General Inputs'!$J$8*(Waterfalls!$C$252-1))-SUM(Waterfalls!$E249:AI249),0))</f>
        <v>0</v>
      </c>
      <c r="AJ252" s="647">
        <f ca="1">IF($C$204&lt;'General Inputs'!$J$11,0,IF(AJ$5=DispositionMonth,('General Inputs'!$J$8*(Waterfalls!$C$252-1))-SUM(Waterfalls!$E249:AJ249),0))</f>
        <v>0</v>
      </c>
      <c r="AK252" s="647">
        <f ca="1">IF($C$204&lt;'General Inputs'!$J$11,0,IF(AK$5=DispositionMonth,('General Inputs'!$J$8*(Waterfalls!$C$252-1))-SUM(Waterfalls!$E249:AK249),0))</f>
        <v>0</v>
      </c>
      <c r="AL252" s="647">
        <f ca="1">IF($C$204&lt;'General Inputs'!$J$11,0,IF(AL$5=DispositionMonth,('General Inputs'!$J$8*(Waterfalls!$C$252-1))-SUM(Waterfalls!$E249:AL249),0))</f>
        <v>0</v>
      </c>
      <c r="AM252" s="647">
        <f ca="1">IF($C$204&lt;'General Inputs'!$J$11,0,IF(AM$5=DispositionMonth,('General Inputs'!$J$8*(Waterfalls!$C$252-1))-SUM(Waterfalls!$E249:AM249),0))</f>
        <v>0</v>
      </c>
      <c r="AN252" s="647">
        <f ca="1">IF($C$204&lt;'General Inputs'!$J$11,0,IF(AN$5=DispositionMonth,('General Inputs'!$J$8*(Waterfalls!$C$252-1))-SUM(Waterfalls!$E249:AN249),0))</f>
        <v>0</v>
      </c>
      <c r="AO252" s="647">
        <f ca="1">IF($C$204&lt;'General Inputs'!$J$11,0,IF(AO$5=DispositionMonth,('General Inputs'!$J$8*(Waterfalls!$C$252-1))-SUM(Waterfalls!$E249:AO249),0))</f>
        <v>0</v>
      </c>
      <c r="AP252" s="647">
        <f ca="1">IF($C$204&lt;'General Inputs'!$J$11,0,IF(AP$5=DispositionMonth,('General Inputs'!$J$8*(Waterfalls!$C$252-1))-SUM(Waterfalls!$E249:AP249),0))</f>
        <v>0</v>
      </c>
      <c r="AQ252" s="647">
        <f ca="1">IF($C$204&lt;'General Inputs'!$J$11,0,IF(AQ$5=DispositionMonth,('General Inputs'!$J$8*(Waterfalls!$C$252-1))-SUM(Waterfalls!$E249:AQ249),0))</f>
        <v>0</v>
      </c>
      <c r="AR252" s="647">
        <f ca="1">IF($C$204&lt;'General Inputs'!$J$11,0,IF(AR$5=DispositionMonth,('General Inputs'!$J$8*(Waterfalls!$C$252-1))-SUM(Waterfalls!$E249:AR249),0))</f>
        <v>0</v>
      </c>
      <c r="AS252" s="647">
        <f ca="1">IF($C$204&lt;'General Inputs'!$J$11,0,IF(AS$5=DispositionMonth,('General Inputs'!$J$8*(Waterfalls!$C$252-1))-SUM(Waterfalls!$E249:AS249),0))</f>
        <v>0</v>
      </c>
      <c r="AT252" s="647">
        <f ca="1">IF($C$204&lt;'General Inputs'!$J$11,0,IF(AT$5=DispositionMonth,('General Inputs'!$J$8*(Waterfalls!$C$252-1))-SUM(Waterfalls!$E249:AT249),0))</f>
        <v>0</v>
      </c>
      <c r="AU252" s="647">
        <f ca="1">IF($C$204&lt;'General Inputs'!$J$11,0,IF(AU$5=DispositionMonth,('General Inputs'!$J$8*(Waterfalls!$C$252-1))-SUM(Waterfalls!$E249:AU249),0))</f>
        <v>0</v>
      </c>
      <c r="AV252" s="647">
        <f ca="1">IF($C$204&lt;'General Inputs'!$J$11,0,IF(AV$5=DispositionMonth,('General Inputs'!$J$8*(Waterfalls!$C$252-1))-SUM(Waterfalls!$E249:AV249),0))</f>
        <v>0</v>
      </c>
      <c r="AW252" s="647">
        <f ca="1">IF($C$204&lt;'General Inputs'!$J$11,0,IF(AW$5=DispositionMonth,('General Inputs'!$J$8*(Waterfalls!$C$252-1))-SUM(Waterfalls!$E249:AW249),0))</f>
        <v>0</v>
      </c>
      <c r="AX252" s="647">
        <f ca="1">IF($C$204&lt;'General Inputs'!$J$11,0,IF(AX$5=DispositionMonth,('General Inputs'!$J$8*(Waterfalls!$C$252-1))-SUM(Waterfalls!$E249:AX249),0))</f>
        <v>0</v>
      </c>
      <c r="AY252" s="647">
        <f ca="1">IF($C$204&lt;'General Inputs'!$J$11,0,IF(AY$5=DispositionMonth,('General Inputs'!$J$8*(Waterfalls!$C$252-1))-SUM(Waterfalls!$E249:AY249),0))</f>
        <v>0</v>
      </c>
      <c r="AZ252" s="647">
        <f ca="1">IF($C$204&lt;'General Inputs'!$J$11,0,IF(AZ$5=DispositionMonth,('General Inputs'!$J$8*(Waterfalls!$C$252-1))-SUM(Waterfalls!$E249:AZ249),0))</f>
        <v>0</v>
      </c>
      <c r="BA252" s="647">
        <f ca="1">IF($C$204&lt;'General Inputs'!$J$11,0,IF(BA$5=DispositionMonth,('General Inputs'!$J$8*(Waterfalls!$C$252-1))-SUM(Waterfalls!$E249:BA249),0))</f>
        <v>0</v>
      </c>
      <c r="BB252" s="647">
        <f ca="1">IF($C$204&lt;'General Inputs'!$J$11,0,IF(BB$5=DispositionMonth,('General Inputs'!$J$8*(Waterfalls!$C$252-1))-SUM(Waterfalls!$E249:BB249),0))</f>
        <v>0</v>
      </c>
      <c r="BC252" s="647">
        <f ca="1">IF($C$204&lt;'General Inputs'!$J$11,0,IF(BC$5=DispositionMonth,('General Inputs'!$J$8*(Waterfalls!$C$252-1))-SUM(Waterfalls!$E249:BC249),0))</f>
        <v>0</v>
      </c>
      <c r="BD252" s="647">
        <f ca="1">IF($C$204&lt;'General Inputs'!$J$11,0,IF(BD$5=DispositionMonth,('General Inputs'!$J$8*(Waterfalls!$C$252-1))-SUM(Waterfalls!$E249:BD249),0))</f>
        <v>0</v>
      </c>
      <c r="BE252" s="647">
        <f ca="1">IF($C$204&lt;'General Inputs'!$J$11,0,IF(BE$5=DispositionMonth,('General Inputs'!$J$8*(Waterfalls!$C$252-1))-SUM(Waterfalls!$E249:BE249),0))</f>
        <v>0</v>
      </c>
      <c r="BF252" s="647">
        <f ca="1">IF($C$204&lt;'General Inputs'!$J$11,0,IF(BF$5=DispositionMonth,('General Inputs'!$J$8*(Waterfalls!$C$252-1))-SUM(Waterfalls!$E249:BF249),0))</f>
        <v>0</v>
      </c>
      <c r="BG252" s="647">
        <f ca="1">IF($C$204&lt;'General Inputs'!$J$11,0,IF(BG$5=DispositionMonth,('General Inputs'!$J$8*(Waterfalls!$C$252-1))-SUM(Waterfalls!$E249:BG249),0))</f>
        <v>0</v>
      </c>
      <c r="BH252" s="647">
        <f ca="1">IF($C$204&lt;'General Inputs'!$J$11,0,IF(BH$5=DispositionMonth,('General Inputs'!$J$8*(Waterfalls!$C$252-1))-SUM(Waterfalls!$E249:BH249),0))</f>
        <v>0</v>
      </c>
      <c r="BI252" s="647">
        <f ca="1">IF($C$204&lt;'General Inputs'!$J$11,0,IF(BI$5=DispositionMonth,('General Inputs'!$J$8*(Waterfalls!$C$252-1))-SUM(Waterfalls!$E249:BI249),0))</f>
        <v>0</v>
      </c>
      <c r="BJ252" s="647">
        <f ca="1">IF($C$204&lt;'General Inputs'!$J$11,0,IF(BJ$5=DispositionMonth,('General Inputs'!$J$8*(Waterfalls!$C$252-1))-SUM(Waterfalls!$E249:BJ249),0))</f>
        <v>0</v>
      </c>
      <c r="BK252" s="647">
        <f ca="1">IF($C$204&lt;'General Inputs'!$J$11,0,IF(BK$5=DispositionMonth,('General Inputs'!$J$8*(Waterfalls!$C$252-1))-SUM(Waterfalls!$E249:BK249),0))</f>
        <v>0</v>
      </c>
      <c r="BL252" s="647">
        <f ca="1">IF($C$204&lt;'General Inputs'!$J$11,0,IF(BL$5=DispositionMonth,('General Inputs'!$J$8*(Waterfalls!$C$252-1))-SUM(Waterfalls!$E249:BL249),0))</f>
        <v>0</v>
      </c>
      <c r="BM252" s="647">
        <f ca="1">IF($C$204&lt;'General Inputs'!$J$11,0,IF(BM$5=DispositionMonth,('General Inputs'!$J$8*(Waterfalls!$C$252-1))-SUM(Waterfalls!$E249:BM249),0))</f>
        <v>0</v>
      </c>
      <c r="BN252" s="647">
        <f ca="1">IF($C$204&lt;'General Inputs'!$J$11,0,IF(BN$5=DispositionMonth,('General Inputs'!$J$8*(Waterfalls!$C$252-1))-SUM(Waterfalls!$E249:BN249),0))</f>
        <v>0</v>
      </c>
      <c r="BO252" s="647">
        <f ca="1">IF($C$204&lt;'General Inputs'!$J$11,0,IF(BO$5=DispositionMonth,('General Inputs'!$J$8*(Waterfalls!$C$252-1))-SUM(Waterfalls!$E249:BO249),0))</f>
        <v>0</v>
      </c>
      <c r="BP252" s="647">
        <f ca="1">IF($C$204&lt;'General Inputs'!$J$11,0,IF(BP$5=DispositionMonth,('General Inputs'!$J$8*(Waterfalls!$C$252-1))-SUM(Waterfalls!$E249:BP249),0))</f>
        <v>0</v>
      </c>
      <c r="BQ252" s="647">
        <f ca="1">IF($C$204&lt;'General Inputs'!$J$11,0,IF(BQ$5=DispositionMonth,('General Inputs'!$J$8*(Waterfalls!$C$252-1))-SUM(Waterfalls!$E249:BQ249),0))</f>
        <v>0</v>
      </c>
      <c r="BR252" s="647">
        <f ca="1">IF($C$204&lt;'General Inputs'!$J$11,0,IF(BR$5=DispositionMonth,('General Inputs'!$J$8*(Waterfalls!$C$252-1))-SUM(Waterfalls!$E249:BR249),0))</f>
        <v>0</v>
      </c>
      <c r="BS252" s="647">
        <f ca="1">IF($C$204&lt;'General Inputs'!$J$11,0,IF(BS$5=DispositionMonth,('General Inputs'!$J$8*(Waterfalls!$C$252-1))-SUM(Waterfalls!$E249:BS249),0))</f>
        <v>0</v>
      </c>
      <c r="BT252" s="647">
        <f ca="1">IF($C$204&lt;'General Inputs'!$J$11,0,IF(BT$5=DispositionMonth,('General Inputs'!$J$8*(Waterfalls!$C$252-1))-SUM(Waterfalls!$E249:BT249),0))</f>
        <v>0</v>
      </c>
      <c r="BU252" s="647">
        <f ca="1">IF($C$204&lt;'General Inputs'!$J$11,0,IF(BU$5=DispositionMonth,('General Inputs'!$J$8*(Waterfalls!$C$252-1))-SUM(Waterfalls!$E249:BU249),0))</f>
        <v>0</v>
      </c>
      <c r="BV252" s="647">
        <f ca="1">IF($C$204&lt;'General Inputs'!$J$11,0,IF(BV$5=DispositionMonth,('General Inputs'!$J$8*(Waterfalls!$C$252-1))-SUM(Waterfalls!$E249:BV249),0))</f>
        <v>0</v>
      </c>
      <c r="BW252" s="647">
        <f ca="1">IF($C$204&lt;'General Inputs'!$J$11,0,IF(BW$5=DispositionMonth,('General Inputs'!$J$8*(Waterfalls!$C$252-1))-SUM(Waterfalls!$E249:BW249),0))</f>
        <v>0</v>
      </c>
      <c r="BX252" s="647">
        <f ca="1">IF($C$204&lt;'General Inputs'!$J$11,0,IF(BX$5=DispositionMonth,('General Inputs'!$J$8*(Waterfalls!$C$252-1))-SUM(Waterfalls!$E249:BX249),0))</f>
        <v>0</v>
      </c>
      <c r="BY252" s="647">
        <f ca="1">IF($C$204&lt;'General Inputs'!$J$11,0,IF(BY$5=DispositionMonth,('General Inputs'!$J$8*(Waterfalls!$C$252-1))-SUM(Waterfalls!$E249:BY249),0))</f>
        <v>0</v>
      </c>
      <c r="BZ252" s="647">
        <f ca="1">IF($C$204&lt;'General Inputs'!$J$11,0,IF(BZ$5=DispositionMonth,('General Inputs'!$J$8*(Waterfalls!$C$252-1))-SUM(Waterfalls!$E249:BZ249),0))</f>
        <v>0</v>
      </c>
      <c r="CA252" s="647">
        <f ca="1">IF($C$204&lt;'General Inputs'!$J$11,0,IF(CA$5=DispositionMonth,('General Inputs'!$J$8*(Waterfalls!$C$252-1))-SUM(Waterfalls!$E249:CA249),0))</f>
        <v>0</v>
      </c>
      <c r="CB252" s="647">
        <f ca="1">IF($C$204&lt;'General Inputs'!$J$11,0,IF(CB$5=DispositionMonth,('General Inputs'!$J$8*(Waterfalls!$C$252-1))-SUM(Waterfalls!$E249:CB249),0))</f>
        <v>0</v>
      </c>
      <c r="CC252" s="647">
        <f ca="1">IF($C$204&lt;'General Inputs'!$J$11,0,IF(CC$5=DispositionMonth,('General Inputs'!$J$8*(Waterfalls!$C$252-1))-SUM(Waterfalls!$E249:CC249),0))</f>
        <v>0</v>
      </c>
      <c r="CD252" s="647">
        <f ca="1">IF($C$204&lt;'General Inputs'!$J$11,0,IF(CD$5=DispositionMonth,('General Inputs'!$J$8*(Waterfalls!$C$252-1))-SUM(Waterfalls!$E249:CD249),0))</f>
        <v>0</v>
      </c>
      <c r="CE252" s="647">
        <f ca="1">IF($C$204&lt;'General Inputs'!$J$11,0,IF(CE$5=DispositionMonth,('General Inputs'!$J$8*(Waterfalls!$C$252-1))-SUM(Waterfalls!$E249:CE249),0))</f>
        <v>0</v>
      </c>
      <c r="CF252" s="647">
        <f ca="1">IF($C$204&lt;'General Inputs'!$J$11,0,IF(CF$5=DispositionMonth,('General Inputs'!$J$8*(Waterfalls!$C$252-1))-SUM(Waterfalls!$E249:CF249),0))</f>
        <v>0</v>
      </c>
      <c r="CG252" s="647">
        <f ca="1">IF($C$204&lt;'General Inputs'!$J$11,0,IF(CG$5=DispositionMonth,('General Inputs'!$J$8*(Waterfalls!$C$252-1))-SUM(Waterfalls!$E249:CG249),0))</f>
        <v>0</v>
      </c>
      <c r="CH252" s="647">
        <f ca="1">IF($C$204&lt;'General Inputs'!$J$11,0,IF(CH$5=DispositionMonth,('General Inputs'!$J$8*(Waterfalls!$C$252-1))-SUM(Waterfalls!$E249:CH249),0))</f>
        <v>0</v>
      </c>
      <c r="CI252" s="647">
        <f ca="1">IF($C$204&lt;'General Inputs'!$J$11,0,IF(CI$5=DispositionMonth,('General Inputs'!$J$8*(Waterfalls!$C$252-1))-SUM(Waterfalls!$E249:CI249),0))</f>
        <v>0</v>
      </c>
      <c r="CJ252" s="647">
        <f ca="1">IF($C$204&lt;'General Inputs'!$J$11,0,IF(CJ$5=DispositionMonth,('General Inputs'!$J$8*(Waterfalls!$C$252-1))-SUM(Waterfalls!$E249:CJ249),0))</f>
        <v>0</v>
      </c>
      <c r="CK252" s="647">
        <f ca="1">IF($C$204&lt;'General Inputs'!$J$11,0,IF(CK$5=DispositionMonth,('General Inputs'!$J$8*(Waterfalls!$C$252-1))-SUM(Waterfalls!$E249:CK249),0))</f>
        <v>0</v>
      </c>
      <c r="CL252" s="647">
        <f ca="1">IF($C$204&lt;'General Inputs'!$J$11,0,IF(CL$5=DispositionMonth,('General Inputs'!$J$8*(Waterfalls!$C$252-1))-SUM(Waterfalls!$E249:CL249),0))</f>
        <v>0</v>
      </c>
      <c r="CM252" s="647">
        <f ca="1">IF($C$204&lt;'General Inputs'!$J$11,0,IF(CM$5=DispositionMonth,('General Inputs'!$J$8*(Waterfalls!$C$252-1))-SUM(Waterfalls!$E249:CM249),0))</f>
        <v>0</v>
      </c>
      <c r="CN252" s="647">
        <f ca="1">IF($C$204&lt;'General Inputs'!$J$11,0,IF(CN$5=DispositionMonth,('General Inputs'!$J$8*(Waterfalls!$C$252-1))-SUM(Waterfalls!$E249:CN249),0))</f>
        <v>0</v>
      </c>
      <c r="CO252" s="647">
        <f ca="1">IF($C$204&lt;'General Inputs'!$J$11,0,IF(CO$5=DispositionMonth,('General Inputs'!$J$8*(Waterfalls!$C$252-1))-SUM(Waterfalls!$E249:CO249),0))</f>
        <v>0</v>
      </c>
      <c r="CP252" s="647">
        <f ca="1">IF($C$204&lt;'General Inputs'!$J$11,0,IF(CP$5=DispositionMonth,('General Inputs'!$J$8*(Waterfalls!$C$252-1))-SUM(Waterfalls!$E249:CP249),0))</f>
        <v>0</v>
      </c>
      <c r="CQ252" s="647">
        <f ca="1">IF($C$204&lt;'General Inputs'!$J$11,0,IF(CQ$5=DispositionMonth,('General Inputs'!$J$8*(Waterfalls!$C$252-1))-SUM(Waterfalls!$E249:CQ249),0))</f>
        <v>0</v>
      </c>
      <c r="CR252" s="647">
        <f ca="1">IF($C$204&lt;'General Inputs'!$J$11,0,IF(CR$5=DispositionMonth,('General Inputs'!$J$8*(Waterfalls!$C$252-1))-SUM(Waterfalls!$E249:CR249),0))</f>
        <v>0</v>
      </c>
      <c r="CS252" s="647">
        <f ca="1">IF($C$204&lt;'General Inputs'!$J$11,0,IF(CS$5=DispositionMonth,('General Inputs'!$J$8*(Waterfalls!$C$252-1))-SUM(Waterfalls!$E249:CS249),0))</f>
        <v>0</v>
      </c>
      <c r="CT252" s="647">
        <f ca="1">IF($C$204&lt;'General Inputs'!$J$11,0,IF(CT$5=DispositionMonth,('General Inputs'!$J$8*(Waterfalls!$C$252-1))-SUM(Waterfalls!$E249:CT249),0))</f>
        <v>0</v>
      </c>
      <c r="CU252" s="647">
        <f ca="1">IF($C$204&lt;'General Inputs'!$J$11,0,IF(CU$5=DispositionMonth,('General Inputs'!$J$8*(Waterfalls!$C$252-1))-SUM(Waterfalls!$E249:CU249),0))</f>
        <v>0</v>
      </c>
      <c r="CV252" s="647">
        <f ca="1">IF($C$204&lt;'General Inputs'!$J$11,0,IF(CV$5=DispositionMonth,('General Inputs'!$J$8*(Waterfalls!$C$252-1))-SUM(Waterfalls!$E249:CV249),0))</f>
        <v>0</v>
      </c>
      <c r="CW252" s="647">
        <f ca="1">IF($C$204&lt;'General Inputs'!$J$11,0,IF(CW$5=DispositionMonth,('General Inputs'!$J$8*(Waterfalls!$C$252-1))-SUM(Waterfalls!$E249:CW249),0))</f>
        <v>0</v>
      </c>
      <c r="CX252" s="647">
        <f ca="1">IF($C$204&lt;'General Inputs'!$J$11,0,IF(CX$5=DispositionMonth,('General Inputs'!$J$8*(Waterfalls!$C$252-1))-SUM(Waterfalls!$E249:CX249),0))</f>
        <v>0</v>
      </c>
      <c r="CY252" s="647">
        <f ca="1">IF($C$204&lt;'General Inputs'!$J$11,0,IF(CY$5=DispositionMonth,('General Inputs'!$J$8*(Waterfalls!$C$252-1))-SUM(Waterfalls!$E249:CY249),0))</f>
        <v>0</v>
      </c>
      <c r="CZ252" s="647">
        <f ca="1">IF($C$204&lt;'General Inputs'!$J$11,0,IF(CZ$5=DispositionMonth,('General Inputs'!$J$8*(Waterfalls!$C$252-1))-SUM(Waterfalls!$E249:CZ249),0))</f>
        <v>0</v>
      </c>
      <c r="DA252" s="647">
        <f ca="1">IF($C$204&lt;'General Inputs'!$J$11,0,IF(DA$5=DispositionMonth,('General Inputs'!$J$8*(Waterfalls!$C$252-1))-SUM(Waterfalls!$E249:DA249),0))</f>
        <v>0</v>
      </c>
      <c r="DB252" s="647">
        <f ca="1">IF($C$204&lt;'General Inputs'!$J$11,0,IF(DB$5=DispositionMonth,('General Inputs'!$J$8*(Waterfalls!$C$252-1))-SUM(Waterfalls!$E249:DB249),0))</f>
        <v>0</v>
      </c>
      <c r="DC252" s="647">
        <f ca="1">IF($C$204&lt;'General Inputs'!$J$11,0,IF(DC$5=DispositionMonth,('General Inputs'!$J$8*(Waterfalls!$C$252-1))-SUM(Waterfalls!$E249:DC249),0))</f>
        <v>0</v>
      </c>
      <c r="DD252" s="647">
        <f ca="1">IF($C$204&lt;'General Inputs'!$J$11,0,IF(DD$5=DispositionMonth,('General Inputs'!$J$8*(Waterfalls!$C$252-1))-SUM(Waterfalls!$E249:DD249),0))</f>
        <v>0</v>
      </c>
      <c r="DE252" s="647">
        <f ca="1">IF($C$204&lt;'General Inputs'!$J$11,0,IF(DE$5=DispositionMonth,('General Inputs'!$J$8*(Waterfalls!$C$252-1))-SUM(Waterfalls!$E249:DE249),0))</f>
        <v>0</v>
      </c>
      <c r="DF252" s="647">
        <f ca="1">IF($C$204&lt;'General Inputs'!$J$11,0,IF(DF$5=DispositionMonth,('General Inputs'!$J$8*(Waterfalls!$C$252-1))-SUM(Waterfalls!$E249:DF249),0))</f>
        <v>0</v>
      </c>
      <c r="DG252" s="647">
        <f ca="1">IF($C$204&lt;'General Inputs'!$J$11,0,IF(DG$5=DispositionMonth,('General Inputs'!$J$8*(Waterfalls!$C$252-1))-SUM(Waterfalls!$E249:DG249),0))</f>
        <v>0</v>
      </c>
      <c r="DH252" s="647">
        <f ca="1">IF($C$204&lt;'General Inputs'!$J$11,0,IF(DH$5=DispositionMonth,('General Inputs'!$J$8*(Waterfalls!$C$252-1))-SUM(Waterfalls!$E249:DH249),0))</f>
        <v>0</v>
      </c>
      <c r="DI252" s="647">
        <f ca="1">IF($C$204&lt;'General Inputs'!$J$11,0,IF(DI$5=DispositionMonth,('General Inputs'!$J$8*(Waterfalls!$C$252-1))-SUM(Waterfalls!$E249:DI249),0))</f>
        <v>0</v>
      </c>
      <c r="DJ252" s="647">
        <f ca="1">IF($C$204&lt;'General Inputs'!$J$11,0,IF(DJ$5=DispositionMonth,('General Inputs'!$J$8*(Waterfalls!$C$252-1))-SUM(Waterfalls!$E249:DJ249),0))</f>
        <v>0</v>
      </c>
      <c r="DK252" s="647">
        <f ca="1">IF($C$204&lt;'General Inputs'!$J$11,0,IF(DK$5=DispositionMonth,('General Inputs'!$J$8*(Waterfalls!$C$252-1))-SUM(Waterfalls!$E249:DK249),0))</f>
        <v>0</v>
      </c>
      <c r="DL252" s="647">
        <f ca="1">IF($C$204&lt;'General Inputs'!$J$11,0,IF(DL$5=DispositionMonth,('General Inputs'!$J$8*(Waterfalls!$C$252-1))-SUM(Waterfalls!$E249:DL249),0))</f>
        <v>0</v>
      </c>
      <c r="DM252" s="647">
        <f ca="1">IF($C$204&lt;'General Inputs'!$J$11,0,IF(DM$5=DispositionMonth,('General Inputs'!$J$8*(Waterfalls!$C$252-1))-SUM(Waterfalls!$E249:DM249),0))</f>
        <v>0</v>
      </c>
      <c r="DN252" s="647">
        <f ca="1">IF($C$204&lt;'General Inputs'!$J$11,0,IF(DN$5=DispositionMonth,('General Inputs'!$J$8*(Waterfalls!$C$252-1))-SUM(Waterfalls!$E249:DN249),0))</f>
        <v>0</v>
      </c>
      <c r="DO252" s="647">
        <f ca="1">IF($C$204&lt;'General Inputs'!$J$11,0,IF(DO$5=DispositionMonth,('General Inputs'!$J$8*(Waterfalls!$C$252-1))-SUM(Waterfalls!$E249:DO249),0))</f>
        <v>0</v>
      </c>
      <c r="DP252" s="647">
        <f ca="1">IF($C$204&lt;'General Inputs'!$J$11,0,IF(DP$5=DispositionMonth,('General Inputs'!$J$8*(Waterfalls!$C$252-1))-SUM(Waterfalls!$E249:DP249),0))</f>
        <v>0</v>
      </c>
      <c r="DQ252" s="647">
        <f ca="1">IF($C$204&lt;'General Inputs'!$J$11,0,IF(DQ$5=DispositionMonth,('General Inputs'!$J$8*(Waterfalls!$C$252-1))-SUM(Waterfalls!$E249:DQ249),0))</f>
        <v>0</v>
      </c>
      <c r="DR252" s="647">
        <f ca="1">IF($C$204&lt;'General Inputs'!$J$11,0,IF(DR$5=DispositionMonth,('General Inputs'!$J$8*(Waterfalls!$C$252-1))-SUM(Waterfalls!$E249:DR249),0))</f>
        <v>0</v>
      </c>
      <c r="DS252" s="647">
        <f ca="1">IF($C$204&lt;'General Inputs'!$J$11,0,IF(DS$5=DispositionMonth,('General Inputs'!$J$8*(Waterfalls!$C$252-1))-SUM(Waterfalls!$E249:DS249),0))</f>
        <v>0</v>
      </c>
      <c r="DT252" s="647">
        <f ca="1">IF($C$204&lt;'General Inputs'!$J$11,0,IF(DT$5=DispositionMonth,('General Inputs'!$J$8*(Waterfalls!$C$252-1))-SUM(Waterfalls!$E249:DT249),0))</f>
        <v>0</v>
      </c>
      <c r="DU252" s="647">
        <f ca="1">IF($C$204&lt;'General Inputs'!$J$11,0,IF(DU$5=DispositionMonth,('General Inputs'!$J$8*(Waterfalls!$C$252-1))-SUM(Waterfalls!$E249:DU249),0))</f>
        <v>0</v>
      </c>
      <c r="EI252" s="680"/>
    </row>
    <row r="253" spans="1:139" x14ac:dyDescent="0.3">
      <c r="A253" s="182" t="str">
        <f>'General Inputs'!$J$29&amp;" Tier 2 Promote"</f>
        <v>LP Tier 2 Promote</v>
      </c>
      <c r="B253" s="182"/>
      <c r="C253" s="182"/>
      <c r="D253" s="647"/>
      <c r="E253" s="407">
        <f t="shared" ref="E253:AN253" ca="1" si="440">MAX(E251:E252)</f>
        <v>0</v>
      </c>
      <c r="F253" s="407">
        <f t="shared" ca="1" si="440"/>
        <v>0</v>
      </c>
      <c r="G253" s="407">
        <f t="shared" ca="1" si="440"/>
        <v>0</v>
      </c>
      <c r="H253" s="407">
        <f t="shared" ca="1" si="440"/>
        <v>0</v>
      </c>
      <c r="I253" s="407">
        <f t="shared" ca="1" si="440"/>
        <v>0</v>
      </c>
      <c r="J253" s="407">
        <f t="shared" ca="1" si="440"/>
        <v>0</v>
      </c>
      <c r="K253" s="407">
        <f t="shared" ca="1" si="440"/>
        <v>0</v>
      </c>
      <c r="L253" s="407">
        <f t="shared" ca="1" si="440"/>
        <v>0</v>
      </c>
      <c r="M253" s="407">
        <f t="shared" ca="1" si="440"/>
        <v>0</v>
      </c>
      <c r="N253" s="407">
        <f t="shared" ca="1" si="440"/>
        <v>0</v>
      </c>
      <c r="O253" s="407">
        <f t="shared" ca="1" si="440"/>
        <v>0</v>
      </c>
      <c r="P253" s="407">
        <f t="shared" ca="1" si="440"/>
        <v>0</v>
      </c>
      <c r="Q253" s="407">
        <f t="shared" ca="1" si="440"/>
        <v>0</v>
      </c>
      <c r="R253" s="407">
        <f t="shared" ca="1" si="440"/>
        <v>0</v>
      </c>
      <c r="S253" s="407">
        <f t="shared" ca="1" si="440"/>
        <v>0</v>
      </c>
      <c r="T253" s="407">
        <f t="shared" ca="1" si="440"/>
        <v>0</v>
      </c>
      <c r="U253" s="407">
        <f t="shared" ca="1" si="440"/>
        <v>0</v>
      </c>
      <c r="V253" s="407">
        <f t="shared" ca="1" si="440"/>
        <v>0</v>
      </c>
      <c r="W253" s="407">
        <f t="shared" ca="1" si="440"/>
        <v>0</v>
      </c>
      <c r="X253" s="407">
        <f t="shared" ca="1" si="440"/>
        <v>0</v>
      </c>
      <c r="Y253" s="407">
        <f t="shared" ca="1" si="440"/>
        <v>0</v>
      </c>
      <c r="Z253" s="407">
        <f t="shared" ca="1" si="440"/>
        <v>0</v>
      </c>
      <c r="AA253" s="407">
        <f t="shared" ca="1" si="440"/>
        <v>0</v>
      </c>
      <c r="AB253" s="407">
        <f t="shared" ca="1" si="440"/>
        <v>0</v>
      </c>
      <c r="AC253" s="407">
        <f t="shared" ca="1" si="440"/>
        <v>0</v>
      </c>
      <c r="AD253" s="407">
        <f t="shared" ca="1" si="440"/>
        <v>0</v>
      </c>
      <c r="AE253" s="407">
        <f t="shared" ca="1" si="440"/>
        <v>0</v>
      </c>
      <c r="AF253" s="407">
        <f t="shared" ca="1" si="440"/>
        <v>0</v>
      </c>
      <c r="AG253" s="407">
        <f t="shared" ca="1" si="440"/>
        <v>2152802.7996730176</v>
      </c>
      <c r="AH253" s="407">
        <f t="shared" ca="1" si="440"/>
        <v>0</v>
      </c>
      <c r="AI253" s="407">
        <f t="shared" ca="1" si="440"/>
        <v>0</v>
      </c>
      <c r="AJ253" s="407">
        <f t="shared" ca="1" si="440"/>
        <v>0</v>
      </c>
      <c r="AK253" s="407">
        <f t="shared" ca="1" si="440"/>
        <v>0</v>
      </c>
      <c r="AL253" s="407">
        <f t="shared" ca="1" si="440"/>
        <v>0</v>
      </c>
      <c r="AM253" s="407">
        <f t="shared" ca="1" si="440"/>
        <v>0</v>
      </c>
      <c r="AN253" s="407">
        <f t="shared" ca="1" si="440"/>
        <v>0</v>
      </c>
      <c r="AO253" s="407">
        <f ca="1">MAX(AO251:AO252)</f>
        <v>0</v>
      </c>
      <c r="AP253" s="407">
        <f t="shared" ref="AP253:DA253" ca="1" si="441">MAX(AP251:AP252)</f>
        <v>0</v>
      </c>
      <c r="AQ253" s="407">
        <f t="shared" ca="1" si="441"/>
        <v>0</v>
      </c>
      <c r="AR253" s="407">
        <f t="shared" ca="1" si="441"/>
        <v>0</v>
      </c>
      <c r="AS253" s="407">
        <f t="shared" ca="1" si="441"/>
        <v>0</v>
      </c>
      <c r="AT253" s="407">
        <f t="shared" ca="1" si="441"/>
        <v>0</v>
      </c>
      <c r="AU253" s="407">
        <f t="shared" ca="1" si="441"/>
        <v>0</v>
      </c>
      <c r="AV253" s="407">
        <f t="shared" ca="1" si="441"/>
        <v>0</v>
      </c>
      <c r="AW253" s="407">
        <f t="shared" ca="1" si="441"/>
        <v>0</v>
      </c>
      <c r="AX253" s="407">
        <f t="shared" ca="1" si="441"/>
        <v>0</v>
      </c>
      <c r="AY253" s="407">
        <f t="shared" ca="1" si="441"/>
        <v>0</v>
      </c>
      <c r="AZ253" s="407">
        <f t="shared" ca="1" si="441"/>
        <v>0</v>
      </c>
      <c r="BA253" s="407">
        <f t="shared" ca="1" si="441"/>
        <v>0</v>
      </c>
      <c r="BB253" s="407">
        <f t="shared" ca="1" si="441"/>
        <v>0</v>
      </c>
      <c r="BC253" s="407">
        <f t="shared" ca="1" si="441"/>
        <v>0</v>
      </c>
      <c r="BD253" s="407">
        <f t="shared" ca="1" si="441"/>
        <v>0</v>
      </c>
      <c r="BE253" s="407">
        <f t="shared" ca="1" si="441"/>
        <v>0</v>
      </c>
      <c r="BF253" s="407">
        <f t="shared" ca="1" si="441"/>
        <v>0</v>
      </c>
      <c r="BG253" s="407">
        <f t="shared" ca="1" si="441"/>
        <v>0</v>
      </c>
      <c r="BH253" s="407">
        <f t="shared" ca="1" si="441"/>
        <v>0</v>
      </c>
      <c r="BI253" s="407">
        <f t="shared" ca="1" si="441"/>
        <v>0</v>
      </c>
      <c r="BJ253" s="407">
        <f t="shared" ca="1" si="441"/>
        <v>0</v>
      </c>
      <c r="BK253" s="407">
        <f t="shared" ca="1" si="441"/>
        <v>0</v>
      </c>
      <c r="BL253" s="407">
        <f t="shared" ca="1" si="441"/>
        <v>0</v>
      </c>
      <c r="BM253" s="407">
        <f t="shared" ca="1" si="441"/>
        <v>0</v>
      </c>
      <c r="BN253" s="407">
        <f t="shared" ca="1" si="441"/>
        <v>0</v>
      </c>
      <c r="BO253" s="407">
        <f t="shared" ca="1" si="441"/>
        <v>0</v>
      </c>
      <c r="BP253" s="407">
        <f t="shared" ca="1" si="441"/>
        <v>0</v>
      </c>
      <c r="BQ253" s="407">
        <f t="shared" ca="1" si="441"/>
        <v>0</v>
      </c>
      <c r="BR253" s="407">
        <f t="shared" ca="1" si="441"/>
        <v>0</v>
      </c>
      <c r="BS253" s="407">
        <f t="shared" ca="1" si="441"/>
        <v>0</v>
      </c>
      <c r="BT253" s="407">
        <f t="shared" ca="1" si="441"/>
        <v>0</v>
      </c>
      <c r="BU253" s="407">
        <f t="shared" ca="1" si="441"/>
        <v>0</v>
      </c>
      <c r="BV253" s="407">
        <f t="shared" ca="1" si="441"/>
        <v>0</v>
      </c>
      <c r="BW253" s="407">
        <f t="shared" ca="1" si="441"/>
        <v>0</v>
      </c>
      <c r="BX253" s="407">
        <f t="shared" ca="1" si="441"/>
        <v>0</v>
      </c>
      <c r="BY253" s="407">
        <f t="shared" ca="1" si="441"/>
        <v>0</v>
      </c>
      <c r="BZ253" s="407">
        <f t="shared" ca="1" si="441"/>
        <v>0</v>
      </c>
      <c r="CA253" s="407">
        <f t="shared" ca="1" si="441"/>
        <v>0</v>
      </c>
      <c r="CB253" s="407">
        <f t="shared" ca="1" si="441"/>
        <v>0</v>
      </c>
      <c r="CC253" s="407">
        <f t="shared" ca="1" si="441"/>
        <v>0</v>
      </c>
      <c r="CD253" s="407">
        <f t="shared" ca="1" si="441"/>
        <v>0</v>
      </c>
      <c r="CE253" s="407">
        <f t="shared" ca="1" si="441"/>
        <v>0</v>
      </c>
      <c r="CF253" s="407">
        <f t="shared" ca="1" si="441"/>
        <v>0</v>
      </c>
      <c r="CG253" s="407">
        <f t="shared" ca="1" si="441"/>
        <v>0</v>
      </c>
      <c r="CH253" s="407">
        <f t="shared" ca="1" si="441"/>
        <v>0</v>
      </c>
      <c r="CI253" s="407">
        <f t="shared" ca="1" si="441"/>
        <v>0</v>
      </c>
      <c r="CJ253" s="407">
        <f t="shared" ca="1" si="441"/>
        <v>0</v>
      </c>
      <c r="CK253" s="407">
        <f t="shared" ca="1" si="441"/>
        <v>0</v>
      </c>
      <c r="CL253" s="407">
        <f t="shared" ca="1" si="441"/>
        <v>0</v>
      </c>
      <c r="CM253" s="407">
        <f t="shared" ca="1" si="441"/>
        <v>0</v>
      </c>
      <c r="CN253" s="407">
        <f t="shared" ca="1" si="441"/>
        <v>0</v>
      </c>
      <c r="CO253" s="407">
        <f t="shared" ca="1" si="441"/>
        <v>0</v>
      </c>
      <c r="CP253" s="407">
        <f t="shared" ca="1" si="441"/>
        <v>0</v>
      </c>
      <c r="CQ253" s="407">
        <f t="shared" ca="1" si="441"/>
        <v>0</v>
      </c>
      <c r="CR253" s="407">
        <f t="shared" ca="1" si="441"/>
        <v>0</v>
      </c>
      <c r="CS253" s="407">
        <f t="shared" ca="1" si="441"/>
        <v>0</v>
      </c>
      <c r="CT253" s="407">
        <f t="shared" ca="1" si="441"/>
        <v>0</v>
      </c>
      <c r="CU253" s="407">
        <f t="shared" ca="1" si="441"/>
        <v>0</v>
      </c>
      <c r="CV253" s="407">
        <f t="shared" ca="1" si="441"/>
        <v>0</v>
      </c>
      <c r="CW253" s="407">
        <f t="shared" ca="1" si="441"/>
        <v>0</v>
      </c>
      <c r="CX253" s="407">
        <f t="shared" ca="1" si="441"/>
        <v>0</v>
      </c>
      <c r="CY253" s="407">
        <f t="shared" ca="1" si="441"/>
        <v>0</v>
      </c>
      <c r="CZ253" s="407">
        <f t="shared" ca="1" si="441"/>
        <v>0</v>
      </c>
      <c r="DA253" s="407">
        <f t="shared" ca="1" si="441"/>
        <v>0</v>
      </c>
      <c r="DB253" s="407">
        <f t="shared" ref="DB253:DU253" ca="1" si="442">MAX(DB251:DB252)</f>
        <v>0</v>
      </c>
      <c r="DC253" s="407">
        <f t="shared" ca="1" si="442"/>
        <v>0</v>
      </c>
      <c r="DD253" s="407">
        <f t="shared" ca="1" si="442"/>
        <v>0</v>
      </c>
      <c r="DE253" s="407">
        <f t="shared" ca="1" si="442"/>
        <v>0</v>
      </c>
      <c r="DF253" s="407">
        <f t="shared" ca="1" si="442"/>
        <v>0</v>
      </c>
      <c r="DG253" s="407">
        <f t="shared" ca="1" si="442"/>
        <v>0</v>
      </c>
      <c r="DH253" s="407">
        <f t="shared" ca="1" si="442"/>
        <v>0</v>
      </c>
      <c r="DI253" s="407">
        <f t="shared" ca="1" si="442"/>
        <v>0</v>
      </c>
      <c r="DJ253" s="407">
        <f t="shared" ca="1" si="442"/>
        <v>0</v>
      </c>
      <c r="DK253" s="407">
        <f t="shared" ca="1" si="442"/>
        <v>0</v>
      </c>
      <c r="DL253" s="407">
        <f t="shared" ca="1" si="442"/>
        <v>0</v>
      </c>
      <c r="DM253" s="407">
        <f t="shared" ca="1" si="442"/>
        <v>0</v>
      </c>
      <c r="DN253" s="407">
        <f t="shared" ca="1" si="442"/>
        <v>0</v>
      </c>
      <c r="DO253" s="407">
        <f t="shared" ca="1" si="442"/>
        <v>0</v>
      </c>
      <c r="DP253" s="407">
        <f t="shared" ca="1" si="442"/>
        <v>0</v>
      </c>
      <c r="DQ253" s="407">
        <f t="shared" ca="1" si="442"/>
        <v>0</v>
      </c>
      <c r="DR253" s="407">
        <f t="shared" ca="1" si="442"/>
        <v>0</v>
      </c>
      <c r="DS253" s="407">
        <f t="shared" ca="1" si="442"/>
        <v>0</v>
      </c>
      <c r="DT253" s="407">
        <f t="shared" ca="1" si="442"/>
        <v>0</v>
      </c>
      <c r="DU253" s="407">
        <f t="shared" ca="1" si="442"/>
        <v>0</v>
      </c>
      <c r="EI253" s="280"/>
    </row>
    <row r="254" spans="1:139" ht="15" thickBot="1" x14ac:dyDescent="0.35">
      <c r="A254" s="436" t="str">
        <f>'General Inputs'!$J$29&amp;" Tier 2 Cash Flows"</f>
        <v>LP Tier 2 Cash Flows</v>
      </c>
      <c r="B254" s="436"/>
      <c r="C254" s="720" t="str">
        <f ca="1">TEXT((1+IRR(E254:DU254,0.01))^12-1,"0.00%")&amp;"/"&amp;TEXT(SUM(E254:DU254)/'General Inputs'!$J$8+1,"0.00x")</f>
        <v>15.00%/1.32x</v>
      </c>
      <c r="D254" s="745"/>
      <c r="E254" s="433">
        <f t="shared" ref="E254:AN254" ca="1" si="443">E249+E253</f>
        <v>-1684806.2553703375</v>
      </c>
      <c r="F254" s="433">
        <f t="shared" ca="1" si="443"/>
        <v>-13679721.285321232</v>
      </c>
      <c r="G254" s="433">
        <f t="shared" ca="1" si="443"/>
        <v>-429758.58896990592</v>
      </c>
      <c r="H254" s="433">
        <f t="shared" ca="1" si="443"/>
        <v>-652516.24275347544</v>
      </c>
      <c r="I254" s="433">
        <f t="shared" ca="1" si="443"/>
        <v>-1108216.2834030252</v>
      </c>
      <c r="J254" s="433">
        <f t="shared" ca="1" si="443"/>
        <v>-1808500.5776190415</v>
      </c>
      <c r="K254" s="433">
        <f t="shared" ca="1" si="443"/>
        <v>-1861449.5545326734</v>
      </c>
      <c r="L254" s="433">
        <f t="shared" ca="1" si="443"/>
        <v>-2372000.4851556052</v>
      </c>
      <c r="M254" s="433">
        <f t="shared" ca="1" si="443"/>
        <v>-2813680.2377213496</v>
      </c>
      <c r="N254" s="433">
        <f t="shared" ca="1" si="443"/>
        <v>-3293680.161515363</v>
      </c>
      <c r="O254" s="433">
        <f t="shared" ca="1" si="443"/>
        <v>-1869318.1862202697</v>
      </c>
      <c r="P254" s="433">
        <f t="shared" ca="1" si="443"/>
        <v>0</v>
      </c>
      <c r="Q254" s="433">
        <f t="shared" ca="1" si="443"/>
        <v>0</v>
      </c>
      <c r="R254" s="433">
        <f t="shared" ca="1" si="443"/>
        <v>0</v>
      </c>
      <c r="S254" s="433">
        <f t="shared" ca="1" si="443"/>
        <v>0</v>
      </c>
      <c r="T254" s="433">
        <f t="shared" ca="1" si="443"/>
        <v>0</v>
      </c>
      <c r="U254" s="433">
        <f t="shared" ca="1" si="443"/>
        <v>0</v>
      </c>
      <c r="V254" s="433">
        <f t="shared" ca="1" si="443"/>
        <v>0</v>
      </c>
      <c r="W254" s="433">
        <f t="shared" ca="1" si="443"/>
        <v>0</v>
      </c>
      <c r="X254" s="433">
        <f t="shared" ca="1" si="443"/>
        <v>0</v>
      </c>
      <c r="Y254" s="433">
        <f t="shared" ca="1" si="443"/>
        <v>0</v>
      </c>
      <c r="Z254" s="433">
        <f t="shared" ca="1" si="443"/>
        <v>0</v>
      </c>
      <c r="AA254" s="433">
        <f t="shared" ca="1" si="443"/>
        <v>0</v>
      </c>
      <c r="AB254" s="433">
        <f t="shared" ca="1" si="443"/>
        <v>0</v>
      </c>
      <c r="AC254" s="433">
        <f t="shared" ca="1" si="443"/>
        <v>39701.726541082207</v>
      </c>
      <c r="AD254" s="433">
        <f t="shared" ca="1" si="443"/>
        <v>75897.380147726886</v>
      </c>
      <c r="AE254" s="433">
        <f t="shared" ca="1" si="443"/>
        <v>117111.83679771089</v>
      </c>
      <c r="AF254" s="433">
        <f t="shared" ca="1" si="443"/>
        <v>197606.01356017322</v>
      </c>
      <c r="AG254" s="433">
        <f t="shared" ca="1" si="443"/>
        <v>41314479.032805495</v>
      </c>
      <c r="AH254" s="433">
        <f t="shared" ca="1" si="443"/>
        <v>0</v>
      </c>
      <c r="AI254" s="433">
        <f t="shared" ca="1" si="443"/>
        <v>0</v>
      </c>
      <c r="AJ254" s="433">
        <f t="shared" ca="1" si="443"/>
        <v>0</v>
      </c>
      <c r="AK254" s="433">
        <f t="shared" ca="1" si="443"/>
        <v>0</v>
      </c>
      <c r="AL254" s="433">
        <f t="shared" ca="1" si="443"/>
        <v>0</v>
      </c>
      <c r="AM254" s="433">
        <f t="shared" ca="1" si="443"/>
        <v>0</v>
      </c>
      <c r="AN254" s="433">
        <f t="shared" ca="1" si="443"/>
        <v>0</v>
      </c>
      <c r="AO254" s="433">
        <f ca="1">AO249+AO253</f>
        <v>0</v>
      </c>
      <c r="AP254" s="433">
        <f t="shared" ref="AP254:DA254" ca="1" si="444">AP249+AP253</f>
        <v>0</v>
      </c>
      <c r="AQ254" s="433">
        <f t="shared" ca="1" si="444"/>
        <v>0</v>
      </c>
      <c r="AR254" s="433">
        <f t="shared" ca="1" si="444"/>
        <v>0</v>
      </c>
      <c r="AS254" s="433">
        <f t="shared" ca="1" si="444"/>
        <v>0</v>
      </c>
      <c r="AT254" s="433">
        <f t="shared" ca="1" si="444"/>
        <v>0</v>
      </c>
      <c r="AU254" s="433">
        <f t="shared" ca="1" si="444"/>
        <v>0</v>
      </c>
      <c r="AV254" s="433">
        <f t="shared" ca="1" si="444"/>
        <v>0</v>
      </c>
      <c r="AW254" s="433">
        <f t="shared" ca="1" si="444"/>
        <v>0</v>
      </c>
      <c r="AX254" s="433">
        <f t="shared" ca="1" si="444"/>
        <v>0</v>
      </c>
      <c r="AY254" s="433">
        <f t="shared" ca="1" si="444"/>
        <v>0</v>
      </c>
      <c r="AZ254" s="433">
        <f t="shared" ca="1" si="444"/>
        <v>0</v>
      </c>
      <c r="BA254" s="433">
        <f t="shared" ca="1" si="444"/>
        <v>0</v>
      </c>
      <c r="BB254" s="433">
        <f t="shared" ca="1" si="444"/>
        <v>0</v>
      </c>
      <c r="BC254" s="433">
        <f t="shared" ca="1" si="444"/>
        <v>0</v>
      </c>
      <c r="BD254" s="433">
        <f t="shared" ca="1" si="444"/>
        <v>0</v>
      </c>
      <c r="BE254" s="433">
        <f t="shared" ca="1" si="444"/>
        <v>0</v>
      </c>
      <c r="BF254" s="433">
        <f t="shared" ca="1" si="444"/>
        <v>0</v>
      </c>
      <c r="BG254" s="433">
        <f t="shared" ca="1" si="444"/>
        <v>0</v>
      </c>
      <c r="BH254" s="433">
        <f t="shared" ca="1" si="444"/>
        <v>0</v>
      </c>
      <c r="BI254" s="433">
        <f t="shared" ca="1" si="444"/>
        <v>0</v>
      </c>
      <c r="BJ254" s="433">
        <f t="shared" ca="1" si="444"/>
        <v>0</v>
      </c>
      <c r="BK254" s="433">
        <f t="shared" ca="1" si="444"/>
        <v>0</v>
      </c>
      <c r="BL254" s="433">
        <f t="shared" ca="1" si="444"/>
        <v>0</v>
      </c>
      <c r="BM254" s="433">
        <f t="shared" ca="1" si="444"/>
        <v>0</v>
      </c>
      <c r="BN254" s="433">
        <f t="shared" ca="1" si="444"/>
        <v>0</v>
      </c>
      <c r="BO254" s="433">
        <f t="shared" ca="1" si="444"/>
        <v>0</v>
      </c>
      <c r="BP254" s="433">
        <f t="shared" ca="1" si="444"/>
        <v>0</v>
      </c>
      <c r="BQ254" s="433">
        <f t="shared" ca="1" si="444"/>
        <v>0</v>
      </c>
      <c r="BR254" s="433">
        <f t="shared" ca="1" si="444"/>
        <v>0</v>
      </c>
      <c r="BS254" s="433">
        <f t="shared" ca="1" si="444"/>
        <v>0</v>
      </c>
      <c r="BT254" s="433">
        <f t="shared" ca="1" si="444"/>
        <v>0</v>
      </c>
      <c r="BU254" s="433">
        <f t="shared" ca="1" si="444"/>
        <v>0</v>
      </c>
      <c r="BV254" s="433">
        <f t="shared" ca="1" si="444"/>
        <v>0</v>
      </c>
      <c r="BW254" s="433">
        <f t="shared" ca="1" si="444"/>
        <v>0</v>
      </c>
      <c r="BX254" s="433">
        <f t="shared" ca="1" si="444"/>
        <v>0</v>
      </c>
      <c r="BY254" s="433">
        <f t="shared" ca="1" si="444"/>
        <v>0</v>
      </c>
      <c r="BZ254" s="433">
        <f t="shared" ca="1" si="444"/>
        <v>0</v>
      </c>
      <c r="CA254" s="433">
        <f t="shared" ca="1" si="444"/>
        <v>0</v>
      </c>
      <c r="CB254" s="433">
        <f t="shared" ca="1" si="444"/>
        <v>0</v>
      </c>
      <c r="CC254" s="433">
        <f t="shared" ca="1" si="444"/>
        <v>0</v>
      </c>
      <c r="CD254" s="433">
        <f t="shared" ca="1" si="444"/>
        <v>0</v>
      </c>
      <c r="CE254" s="433">
        <f t="shared" ca="1" si="444"/>
        <v>0</v>
      </c>
      <c r="CF254" s="433">
        <f t="shared" ca="1" si="444"/>
        <v>0</v>
      </c>
      <c r="CG254" s="433">
        <f t="shared" ca="1" si="444"/>
        <v>0</v>
      </c>
      <c r="CH254" s="433">
        <f t="shared" ca="1" si="444"/>
        <v>0</v>
      </c>
      <c r="CI254" s="433">
        <f t="shared" ca="1" si="444"/>
        <v>0</v>
      </c>
      <c r="CJ254" s="433">
        <f t="shared" ca="1" si="444"/>
        <v>0</v>
      </c>
      <c r="CK254" s="433">
        <f t="shared" ca="1" si="444"/>
        <v>0</v>
      </c>
      <c r="CL254" s="433">
        <f t="shared" ca="1" si="444"/>
        <v>0</v>
      </c>
      <c r="CM254" s="433">
        <f t="shared" ca="1" si="444"/>
        <v>0</v>
      </c>
      <c r="CN254" s="433">
        <f t="shared" ca="1" si="444"/>
        <v>0</v>
      </c>
      <c r="CO254" s="433">
        <f t="shared" ca="1" si="444"/>
        <v>0</v>
      </c>
      <c r="CP254" s="433">
        <f t="shared" ca="1" si="444"/>
        <v>0</v>
      </c>
      <c r="CQ254" s="433">
        <f t="shared" ca="1" si="444"/>
        <v>0</v>
      </c>
      <c r="CR254" s="433">
        <f t="shared" ca="1" si="444"/>
        <v>0</v>
      </c>
      <c r="CS254" s="433">
        <f t="shared" ca="1" si="444"/>
        <v>0</v>
      </c>
      <c r="CT254" s="433">
        <f t="shared" ca="1" si="444"/>
        <v>0</v>
      </c>
      <c r="CU254" s="433">
        <f t="shared" ca="1" si="444"/>
        <v>0</v>
      </c>
      <c r="CV254" s="433">
        <f t="shared" ca="1" si="444"/>
        <v>0</v>
      </c>
      <c r="CW254" s="433">
        <f t="shared" ca="1" si="444"/>
        <v>0</v>
      </c>
      <c r="CX254" s="433">
        <f t="shared" ca="1" si="444"/>
        <v>0</v>
      </c>
      <c r="CY254" s="433">
        <f t="shared" ca="1" si="444"/>
        <v>0</v>
      </c>
      <c r="CZ254" s="433">
        <f t="shared" ca="1" si="444"/>
        <v>0</v>
      </c>
      <c r="DA254" s="433">
        <f t="shared" ca="1" si="444"/>
        <v>0</v>
      </c>
      <c r="DB254" s="433">
        <f t="shared" ref="DB254:DU254" ca="1" si="445">DB249+DB253</f>
        <v>0</v>
      </c>
      <c r="DC254" s="433">
        <f t="shared" ca="1" si="445"/>
        <v>0</v>
      </c>
      <c r="DD254" s="433">
        <f t="shared" ca="1" si="445"/>
        <v>0</v>
      </c>
      <c r="DE254" s="433">
        <f t="shared" ca="1" si="445"/>
        <v>0</v>
      </c>
      <c r="DF254" s="433">
        <f t="shared" ca="1" si="445"/>
        <v>0</v>
      </c>
      <c r="DG254" s="433">
        <f t="shared" ca="1" si="445"/>
        <v>0</v>
      </c>
      <c r="DH254" s="433">
        <f t="shared" ca="1" si="445"/>
        <v>0</v>
      </c>
      <c r="DI254" s="433">
        <f t="shared" ca="1" si="445"/>
        <v>0</v>
      </c>
      <c r="DJ254" s="433">
        <f t="shared" ca="1" si="445"/>
        <v>0</v>
      </c>
      <c r="DK254" s="433">
        <f t="shared" ca="1" si="445"/>
        <v>0</v>
      </c>
      <c r="DL254" s="433">
        <f t="shared" ca="1" si="445"/>
        <v>0</v>
      </c>
      <c r="DM254" s="433">
        <f t="shared" ca="1" si="445"/>
        <v>0</v>
      </c>
      <c r="DN254" s="433">
        <f t="shared" ca="1" si="445"/>
        <v>0</v>
      </c>
      <c r="DO254" s="433">
        <f t="shared" ca="1" si="445"/>
        <v>0</v>
      </c>
      <c r="DP254" s="433">
        <f t="shared" ca="1" si="445"/>
        <v>0</v>
      </c>
      <c r="DQ254" s="433">
        <f t="shared" ca="1" si="445"/>
        <v>0</v>
      </c>
      <c r="DR254" s="433">
        <f t="shared" ca="1" si="445"/>
        <v>0</v>
      </c>
      <c r="DS254" s="433">
        <f t="shared" ca="1" si="445"/>
        <v>0</v>
      </c>
      <c r="DT254" s="433">
        <f t="shared" ca="1" si="445"/>
        <v>0</v>
      </c>
      <c r="DU254" s="433">
        <f t="shared" ca="1" si="445"/>
        <v>0</v>
      </c>
      <c r="EI254" s="722"/>
    </row>
    <row r="255" spans="1:139" ht="7.5" customHeight="1" thickTop="1" x14ac:dyDescent="0.3">
      <c r="D255" s="282"/>
      <c r="EI255" s="280"/>
    </row>
    <row r="256" spans="1:139" x14ac:dyDescent="0.3">
      <c r="A256" s="182" t="str">
        <f>'General Inputs'!J29&amp;" Tier 2 Promote"</f>
        <v>LP Tier 2 Promote</v>
      </c>
      <c r="B256" s="182"/>
      <c r="C256" s="400">
        <f>'General Inputs'!$J$31</f>
        <v>0.6</v>
      </c>
      <c r="D256" s="647"/>
      <c r="E256" s="408">
        <f t="shared" ref="E256:AN256" si="446">E259*$C256</f>
        <v>0</v>
      </c>
      <c r="F256" s="408">
        <f t="shared" si="446"/>
        <v>0</v>
      </c>
      <c r="G256" s="408">
        <f t="shared" si="446"/>
        <v>0</v>
      </c>
      <c r="H256" s="408">
        <f t="shared" si="446"/>
        <v>0</v>
      </c>
      <c r="I256" s="408">
        <f t="shared" si="446"/>
        <v>0</v>
      </c>
      <c r="J256" s="408">
        <f t="shared" si="446"/>
        <v>0</v>
      </c>
      <c r="K256" s="408">
        <f t="shared" si="446"/>
        <v>0</v>
      </c>
      <c r="L256" s="408">
        <f t="shared" si="446"/>
        <v>0</v>
      </c>
      <c r="M256" s="408">
        <f t="shared" si="446"/>
        <v>0</v>
      </c>
      <c r="N256" s="408">
        <f t="shared" si="446"/>
        <v>0</v>
      </c>
      <c r="O256" s="408">
        <f t="shared" si="446"/>
        <v>0</v>
      </c>
      <c r="P256" s="408">
        <f t="shared" si="446"/>
        <v>0</v>
      </c>
      <c r="Q256" s="408">
        <f t="shared" si="446"/>
        <v>0</v>
      </c>
      <c r="R256" s="408">
        <f t="shared" si="446"/>
        <v>0</v>
      </c>
      <c r="S256" s="408">
        <f t="shared" si="446"/>
        <v>0</v>
      </c>
      <c r="T256" s="408">
        <f t="shared" si="446"/>
        <v>0</v>
      </c>
      <c r="U256" s="408">
        <f t="shared" si="446"/>
        <v>0</v>
      </c>
      <c r="V256" s="408">
        <f t="shared" si="446"/>
        <v>0</v>
      </c>
      <c r="W256" s="408">
        <f t="shared" si="446"/>
        <v>0</v>
      </c>
      <c r="X256" s="408">
        <f t="shared" si="446"/>
        <v>0</v>
      </c>
      <c r="Y256" s="408">
        <f t="shared" si="446"/>
        <v>0</v>
      </c>
      <c r="Z256" s="408">
        <f t="shared" si="446"/>
        <v>0</v>
      </c>
      <c r="AA256" s="408">
        <f t="shared" si="446"/>
        <v>0</v>
      </c>
      <c r="AB256" s="408">
        <f t="shared" si="446"/>
        <v>0</v>
      </c>
      <c r="AC256" s="408">
        <f t="shared" si="446"/>
        <v>0</v>
      </c>
      <c r="AD256" s="408">
        <f t="shared" si="446"/>
        <v>0</v>
      </c>
      <c r="AE256" s="408">
        <f t="shared" si="446"/>
        <v>0</v>
      </c>
      <c r="AF256" s="408">
        <f t="shared" si="446"/>
        <v>0</v>
      </c>
      <c r="AG256" s="408">
        <f t="shared" ca="1" si="446"/>
        <v>2152802.7996730208</v>
      </c>
      <c r="AH256" s="408">
        <f t="shared" si="446"/>
        <v>0</v>
      </c>
      <c r="AI256" s="408">
        <f t="shared" si="446"/>
        <v>0</v>
      </c>
      <c r="AJ256" s="408">
        <f t="shared" si="446"/>
        <v>0</v>
      </c>
      <c r="AK256" s="408">
        <f t="shared" si="446"/>
        <v>0</v>
      </c>
      <c r="AL256" s="408">
        <f t="shared" si="446"/>
        <v>0</v>
      </c>
      <c r="AM256" s="408">
        <f t="shared" si="446"/>
        <v>0</v>
      </c>
      <c r="AN256" s="408">
        <f t="shared" si="446"/>
        <v>0</v>
      </c>
      <c r="AO256" s="408">
        <f>AO259*$C256</f>
        <v>0</v>
      </c>
      <c r="AP256" s="408">
        <f t="shared" ref="AP256:DA256" si="447">AP259*$C256</f>
        <v>0</v>
      </c>
      <c r="AQ256" s="408">
        <f t="shared" si="447"/>
        <v>0</v>
      </c>
      <c r="AR256" s="408">
        <f t="shared" si="447"/>
        <v>0</v>
      </c>
      <c r="AS256" s="408">
        <f t="shared" si="447"/>
        <v>0</v>
      </c>
      <c r="AT256" s="408">
        <f t="shared" si="447"/>
        <v>0</v>
      </c>
      <c r="AU256" s="408">
        <f t="shared" si="447"/>
        <v>0</v>
      </c>
      <c r="AV256" s="408">
        <f t="shared" si="447"/>
        <v>0</v>
      </c>
      <c r="AW256" s="408">
        <f t="shared" si="447"/>
        <v>0</v>
      </c>
      <c r="AX256" s="408">
        <f t="shared" si="447"/>
        <v>0</v>
      </c>
      <c r="AY256" s="408">
        <f t="shared" si="447"/>
        <v>0</v>
      </c>
      <c r="AZ256" s="408">
        <f t="shared" si="447"/>
        <v>0</v>
      </c>
      <c r="BA256" s="408">
        <f t="shared" si="447"/>
        <v>0</v>
      </c>
      <c r="BB256" s="408">
        <f t="shared" si="447"/>
        <v>0</v>
      </c>
      <c r="BC256" s="408">
        <f t="shared" si="447"/>
        <v>0</v>
      </c>
      <c r="BD256" s="408">
        <f t="shared" si="447"/>
        <v>0</v>
      </c>
      <c r="BE256" s="408">
        <f t="shared" si="447"/>
        <v>0</v>
      </c>
      <c r="BF256" s="408">
        <f t="shared" si="447"/>
        <v>0</v>
      </c>
      <c r="BG256" s="408">
        <f t="shared" si="447"/>
        <v>0</v>
      </c>
      <c r="BH256" s="408">
        <f t="shared" si="447"/>
        <v>0</v>
      </c>
      <c r="BI256" s="408">
        <f t="shared" si="447"/>
        <v>0</v>
      </c>
      <c r="BJ256" s="408">
        <f t="shared" si="447"/>
        <v>0</v>
      </c>
      <c r="BK256" s="408">
        <f t="shared" si="447"/>
        <v>0</v>
      </c>
      <c r="BL256" s="408">
        <f t="shared" si="447"/>
        <v>0</v>
      </c>
      <c r="BM256" s="408">
        <f t="shared" si="447"/>
        <v>0</v>
      </c>
      <c r="BN256" s="408">
        <f t="shared" si="447"/>
        <v>0</v>
      </c>
      <c r="BO256" s="408">
        <f t="shared" si="447"/>
        <v>0</v>
      </c>
      <c r="BP256" s="408">
        <f t="shared" si="447"/>
        <v>0</v>
      </c>
      <c r="BQ256" s="408">
        <f t="shared" si="447"/>
        <v>0</v>
      </c>
      <c r="BR256" s="408">
        <f t="shared" si="447"/>
        <v>0</v>
      </c>
      <c r="BS256" s="408">
        <f t="shared" si="447"/>
        <v>0</v>
      </c>
      <c r="BT256" s="408">
        <f t="shared" si="447"/>
        <v>0</v>
      </c>
      <c r="BU256" s="408">
        <f t="shared" si="447"/>
        <v>0</v>
      </c>
      <c r="BV256" s="408">
        <f t="shared" si="447"/>
        <v>0</v>
      </c>
      <c r="BW256" s="408">
        <f t="shared" si="447"/>
        <v>0</v>
      </c>
      <c r="BX256" s="408">
        <f t="shared" si="447"/>
        <v>0</v>
      </c>
      <c r="BY256" s="408">
        <f t="shared" si="447"/>
        <v>0</v>
      </c>
      <c r="BZ256" s="408">
        <f t="shared" si="447"/>
        <v>0</v>
      </c>
      <c r="CA256" s="408">
        <f t="shared" si="447"/>
        <v>0</v>
      </c>
      <c r="CB256" s="408">
        <f t="shared" si="447"/>
        <v>0</v>
      </c>
      <c r="CC256" s="408">
        <f t="shared" si="447"/>
        <v>0</v>
      </c>
      <c r="CD256" s="408">
        <f t="shared" si="447"/>
        <v>0</v>
      </c>
      <c r="CE256" s="408">
        <f t="shared" si="447"/>
        <v>0</v>
      </c>
      <c r="CF256" s="408">
        <f t="shared" si="447"/>
        <v>0</v>
      </c>
      <c r="CG256" s="408">
        <f t="shared" si="447"/>
        <v>0</v>
      </c>
      <c r="CH256" s="408">
        <f t="shared" si="447"/>
        <v>0</v>
      </c>
      <c r="CI256" s="408">
        <f t="shared" si="447"/>
        <v>0</v>
      </c>
      <c r="CJ256" s="408">
        <f t="shared" si="447"/>
        <v>0</v>
      </c>
      <c r="CK256" s="408">
        <f t="shared" si="447"/>
        <v>0</v>
      </c>
      <c r="CL256" s="408">
        <f t="shared" si="447"/>
        <v>0</v>
      </c>
      <c r="CM256" s="408">
        <f t="shared" si="447"/>
        <v>0</v>
      </c>
      <c r="CN256" s="408">
        <f t="shared" si="447"/>
        <v>0</v>
      </c>
      <c r="CO256" s="408">
        <f t="shared" si="447"/>
        <v>0</v>
      </c>
      <c r="CP256" s="408">
        <f t="shared" si="447"/>
        <v>0</v>
      </c>
      <c r="CQ256" s="408">
        <f t="shared" si="447"/>
        <v>0</v>
      </c>
      <c r="CR256" s="408">
        <f t="shared" si="447"/>
        <v>0</v>
      </c>
      <c r="CS256" s="408">
        <f t="shared" si="447"/>
        <v>0</v>
      </c>
      <c r="CT256" s="408">
        <f t="shared" si="447"/>
        <v>0</v>
      </c>
      <c r="CU256" s="408">
        <f t="shared" si="447"/>
        <v>0</v>
      </c>
      <c r="CV256" s="408">
        <f t="shared" si="447"/>
        <v>0</v>
      </c>
      <c r="CW256" s="408">
        <f t="shared" si="447"/>
        <v>0</v>
      </c>
      <c r="CX256" s="408">
        <f t="shared" si="447"/>
        <v>0</v>
      </c>
      <c r="CY256" s="408">
        <f t="shared" si="447"/>
        <v>0</v>
      </c>
      <c r="CZ256" s="408">
        <f t="shared" si="447"/>
        <v>0</v>
      </c>
      <c r="DA256" s="408">
        <f t="shared" si="447"/>
        <v>0</v>
      </c>
      <c r="DB256" s="408">
        <f t="shared" ref="DB256:DU256" si="448">DB259*$C256</f>
        <v>0</v>
      </c>
      <c r="DC256" s="408">
        <f t="shared" si="448"/>
        <v>0</v>
      </c>
      <c r="DD256" s="408">
        <f t="shared" si="448"/>
        <v>0</v>
      </c>
      <c r="DE256" s="408">
        <f t="shared" si="448"/>
        <v>0</v>
      </c>
      <c r="DF256" s="408">
        <f t="shared" si="448"/>
        <v>0</v>
      </c>
      <c r="DG256" s="408">
        <f t="shared" si="448"/>
        <v>0</v>
      </c>
      <c r="DH256" s="408">
        <f t="shared" si="448"/>
        <v>0</v>
      </c>
      <c r="DI256" s="408">
        <f t="shared" si="448"/>
        <v>0</v>
      </c>
      <c r="DJ256" s="408">
        <f t="shared" si="448"/>
        <v>0</v>
      </c>
      <c r="DK256" s="408">
        <f t="shared" si="448"/>
        <v>0</v>
      </c>
      <c r="DL256" s="408">
        <f t="shared" si="448"/>
        <v>0</v>
      </c>
      <c r="DM256" s="408">
        <f t="shared" si="448"/>
        <v>0</v>
      </c>
      <c r="DN256" s="408">
        <f t="shared" si="448"/>
        <v>0</v>
      </c>
      <c r="DO256" s="408">
        <f t="shared" si="448"/>
        <v>0</v>
      </c>
      <c r="DP256" s="408">
        <f t="shared" si="448"/>
        <v>0</v>
      </c>
      <c r="DQ256" s="408">
        <f t="shared" si="448"/>
        <v>0</v>
      </c>
      <c r="DR256" s="408">
        <f t="shared" si="448"/>
        <v>0</v>
      </c>
      <c r="DS256" s="408">
        <f t="shared" si="448"/>
        <v>0</v>
      </c>
      <c r="DT256" s="408">
        <f t="shared" si="448"/>
        <v>0</v>
      </c>
      <c r="DU256" s="408">
        <f t="shared" si="448"/>
        <v>0</v>
      </c>
      <c r="EI256" s="722"/>
    </row>
    <row r="257" spans="1:139" x14ac:dyDescent="0.3">
      <c r="A257" s="182" t="str">
        <f>'General Inputs'!K29&amp;" Tier 2 Promote"</f>
        <v>Quarterra Tier 2 Promote</v>
      </c>
      <c r="B257" s="182"/>
      <c r="C257" s="400">
        <f>'General Inputs'!$K$31</f>
        <v>0.4</v>
      </c>
      <c r="D257" s="647"/>
      <c r="E257" s="407">
        <f t="shared" ref="E257:AN257" si="449">E259*$C257</f>
        <v>0</v>
      </c>
      <c r="F257" s="407">
        <f t="shared" si="449"/>
        <v>0</v>
      </c>
      <c r="G257" s="407">
        <f t="shared" si="449"/>
        <v>0</v>
      </c>
      <c r="H257" s="407">
        <f t="shared" si="449"/>
        <v>0</v>
      </c>
      <c r="I257" s="407">
        <f t="shared" si="449"/>
        <v>0</v>
      </c>
      <c r="J257" s="407">
        <f t="shared" si="449"/>
        <v>0</v>
      </c>
      <c r="K257" s="407">
        <f t="shared" si="449"/>
        <v>0</v>
      </c>
      <c r="L257" s="407">
        <f t="shared" si="449"/>
        <v>0</v>
      </c>
      <c r="M257" s="407">
        <f t="shared" si="449"/>
        <v>0</v>
      </c>
      <c r="N257" s="407">
        <f t="shared" si="449"/>
        <v>0</v>
      </c>
      <c r="O257" s="407">
        <f t="shared" si="449"/>
        <v>0</v>
      </c>
      <c r="P257" s="407">
        <f t="shared" si="449"/>
        <v>0</v>
      </c>
      <c r="Q257" s="407">
        <f t="shared" si="449"/>
        <v>0</v>
      </c>
      <c r="R257" s="407">
        <f t="shared" si="449"/>
        <v>0</v>
      </c>
      <c r="S257" s="407">
        <f t="shared" si="449"/>
        <v>0</v>
      </c>
      <c r="T257" s="407">
        <f t="shared" si="449"/>
        <v>0</v>
      </c>
      <c r="U257" s="407">
        <f t="shared" si="449"/>
        <v>0</v>
      </c>
      <c r="V257" s="407">
        <f t="shared" si="449"/>
        <v>0</v>
      </c>
      <c r="W257" s="407">
        <f t="shared" si="449"/>
        <v>0</v>
      </c>
      <c r="X257" s="407">
        <f t="shared" si="449"/>
        <v>0</v>
      </c>
      <c r="Y257" s="407">
        <f t="shared" si="449"/>
        <v>0</v>
      </c>
      <c r="Z257" s="407">
        <f t="shared" si="449"/>
        <v>0</v>
      </c>
      <c r="AA257" s="407">
        <f t="shared" si="449"/>
        <v>0</v>
      </c>
      <c r="AB257" s="407">
        <f t="shared" si="449"/>
        <v>0</v>
      </c>
      <c r="AC257" s="407">
        <f t="shared" si="449"/>
        <v>0</v>
      </c>
      <c r="AD257" s="407">
        <f t="shared" si="449"/>
        <v>0</v>
      </c>
      <c r="AE257" s="407">
        <f t="shared" si="449"/>
        <v>0</v>
      </c>
      <c r="AF257" s="407">
        <f t="shared" si="449"/>
        <v>0</v>
      </c>
      <c r="AG257" s="407">
        <f t="shared" ca="1" si="449"/>
        <v>1435201.8664486809</v>
      </c>
      <c r="AH257" s="407">
        <f t="shared" si="449"/>
        <v>0</v>
      </c>
      <c r="AI257" s="407">
        <f t="shared" si="449"/>
        <v>0</v>
      </c>
      <c r="AJ257" s="407">
        <f t="shared" si="449"/>
        <v>0</v>
      </c>
      <c r="AK257" s="407">
        <f t="shared" si="449"/>
        <v>0</v>
      </c>
      <c r="AL257" s="407">
        <f t="shared" si="449"/>
        <v>0</v>
      </c>
      <c r="AM257" s="407">
        <f t="shared" si="449"/>
        <v>0</v>
      </c>
      <c r="AN257" s="407">
        <f t="shared" si="449"/>
        <v>0</v>
      </c>
      <c r="AO257" s="407">
        <f>AO259*$C257</f>
        <v>0</v>
      </c>
      <c r="AP257" s="407">
        <f t="shared" ref="AP257:DA257" si="450">AP259*$C257</f>
        <v>0</v>
      </c>
      <c r="AQ257" s="407">
        <f t="shared" si="450"/>
        <v>0</v>
      </c>
      <c r="AR257" s="407">
        <f t="shared" si="450"/>
        <v>0</v>
      </c>
      <c r="AS257" s="407">
        <f t="shared" si="450"/>
        <v>0</v>
      </c>
      <c r="AT257" s="407">
        <f t="shared" si="450"/>
        <v>0</v>
      </c>
      <c r="AU257" s="407">
        <f t="shared" si="450"/>
        <v>0</v>
      </c>
      <c r="AV257" s="407">
        <f t="shared" si="450"/>
        <v>0</v>
      </c>
      <c r="AW257" s="407">
        <f t="shared" si="450"/>
        <v>0</v>
      </c>
      <c r="AX257" s="407">
        <f t="shared" si="450"/>
        <v>0</v>
      </c>
      <c r="AY257" s="407">
        <f t="shared" si="450"/>
        <v>0</v>
      </c>
      <c r="AZ257" s="407">
        <f t="shared" si="450"/>
        <v>0</v>
      </c>
      <c r="BA257" s="407">
        <f t="shared" si="450"/>
        <v>0</v>
      </c>
      <c r="BB257" s="407">
        <f t="shared" si="450"/>
        <v>0</v>
      </c>
      <c r="BC257" s="407">
        <f t="shared" si="450"/>
        <v>0</v>
      </c>
      <c r="BD257" s="407">
        <f t="shared" si="450"/>
        <v>0</v>
      </c>
      <c r="BE257" s="407">
        <f t="shared" si="450"/>
        <v>0</v>
      </c>
      <c r="BF257" s="407">
        <f t="shared" si="450"/>
        <v>0</v>
      </c>
      <c r="BG257" s="407">
        <f t="shared" si="450"/>
        <v>0</v>
      </c>
      <c r="BH257" s="407">
        <f t="shared" si="450"/>
        <v>0</v>
      </c>
      <c r="BI257" s="407">
        <f t="shared" si="450"/>
        <v>0</v>
      </c>
      <c r="BJ257" s="407">
        <f t="shared" si="450"/>
        <v>0</v>
      </c>
      <c r="BK257" s="407">
        <f t="shared" si="450"/>
        <v>0</v>
      </c>
      <c r="BL257" s="407">
        <f t="shared" si="450"/>
        <v>0</v>
      </c>
      <c r="BM257" s="407">
        <f t="shared" si="450"/>
        <v>0</v>
      </c>
      <c r="BN257" s="407">
        <f t="shared" si="450"/>
        <v>0</v>
      </c>
      <c r="BO257" s="407">
        <f t="shared" si="450"/>
        <v>0</v>
      </c>
      <c r="BP257" s="407">
        <f t="shared" si="450"/>
        <v>0</v>
      </c>
      <c r="BQ257" s="407">
        <f t="shared" si="450"/>
        <v>0</v>
      </c>
      <c r="BR257" s="407">
        <f t="shared" si="450"/>
        <v>0</v>
      </c>
      <c r="BS257" s="407">
        <f t="shared" si="450"/>
        <v>0</v>
      </c>
      <c r="BT257" s="407">
        <f t="shared" si="450"/>
        <v>0</v>
      </c>
      <c r="BU257" s="407">
        <f t="shared" si="450"/>
        <v>0</v>
      </c>
      <c r="BV257" s="407">
        <f t="shared" si="450"/>
        <v>0</v>
      </c>
      <c r="BW257" s="407">
        <f t="shared" si="450"/>
        <v>0</v>
      </c>
      <c r="BX257" s="407">
        <f t="shared" si="450"/>
        <v>0</v>
      </c>
      <c r="BY257" s="407">
        <f t="shared" si="450"/>
        <v>0</v>
      </c>
      <c r="BZ257" s="407">
        <f t="shared" si="450"/>
        <v>0</v>
      </c>
      <c r="CA257" s="407">
        <f t="shared" si="450"/>
        <v>0</v>
      </c>
      <c r="CB257" s="407">
        <f t="shared" si="450"/>
        <v>0</v>
      </c>
      <c r="CC257" s="407">
        <f t="shared" si="450"/>
        <v>0</v>
      </c>
      <c r="CD257" s="407">
        <f t="shared" si="450"/>
        <v>0</v>
      </c>
      <c r="CE257" s="407">
        <f t="shared" si="450"/>
        <v>0</v>
      </c>
      <c r="CF257" s="407">
        <f t="shared" si="450"/>
        <v>0</v>
      </c>
      <c r="CG257" s="407">
        <f t="shared" si="450"/>
        <v>0</v>
      </c>
      <c r="CH257" s="407">
        <f t="shared" si="450"/>
        <v>0</v>
      </c>
      <c r="CI257" s="407">
        <f t="shared" si="450"/>
        <v>0</v>
      </c>
      <c r="CJ257" s="407">
        <f t="shared" si="450"/>
        <v>0</v>
      </c>
      <c r="CK257" s="407">
        <f t="shared" si="450"/>
        <v>0</v>
      </c>
      <c r="CL257" s="407">
        <f t="shared" si="450"/>
        <v>0</v>
      </c>
      <c r="CM257" s="407">
        <f t="shared" si="450"/>
        <v>0</v>
      </c>
      <c r="CN257" s="407">
        <f t="shared" si="450"/>
        <v>0</v>
      </c>
      <c r="CO257" s="407">
        <f t="shared" si="450"/>
        <v>0</v>
      </c>
      <c r="CP257" s="407">
        <f t="shared" si="450"/>
        <v>0</v>
      </c>
      <c r="CQ257" s="407">
        <f t="shared" si="450"/>
        <v>0</v>
      </c>
      <c r="CR257" s="407">
        <f t="shared" si="450"/>
        <v>0</v>
      </c>
      <c r="CS257" s="407">
        <f t="shared" si="450"/>
        <v>0</v>
      </c>
      <c r="CT257" s="407">
        <f t="shared" si="450"/>
        <v>0</v>
      </c>
      <c r="CU257" s="407">
        <f t="shared" si="450"/>
        <v>0</v>
      </c>
      <c r="CV257" s="407">
        <f t="shared" si="450"/>
        <v>0</v>
      </c>
      <c r="CW257" s="407">
        <f t="shared" si="450"/>
        <v>0</v>
      </c>
      <c r="CX257" s="407">
        <f t="shared" si="450"/>
        <v>0</v>
      </c>
      <c r="CY257" s="407">
        <f t="shared" si="450"/>
        <v>0</v>
      </c>
      <c r="CZ257" s="407">
        <f t="shared" si="450"/>
        <v>0</v>
      </c>
      <c r="DA257" s="407">
        <f t="shared" si="450"/>
        <v>0</v>
      </c>
      <c r="DB257" s="407">
        <f t="shared" ref="DB257:DU257" si="451">DB259*$C257</f>
        <v>0</v>
      </c>
      <c r="DC257" s="407">
        <f t="shared" si="451"/>
        <v>0</v>
      </c>
      <c r="DD257" s="407">
        <f t="shared" si="451"/>
        <v>0</v>
      </c>
      <c r="DE257" s="407">
        <f t="shared" si="451"/>
        <v>0</v>
      </c>
      <c r="DF257" s="407">
        <f t="shared" si="451"/>
        <v>0</v>
      </c>
      <c r="DG257" s="407">
        <f t="shared" si="451"/>
        <v>0</v>
      </c>
      <c r="DH257" s="407">
        <f t="shared" si="451"/>
        <v>0</v>
      </c>
      <c r="DI257" s="407">
        <f t="shared" si="451"/>
        <v>0</v>
      </c>
      <c r="DJ257" s="407">
        <f t="shared" si="451"/>
        <v>0</v>
      </c>
      <c r="DK257" s="407">
        <f t="shared" si="451"/>
        <v>0</v>
      </c>
      <c r="DL257" s="407">
        <f t="shared" si="451"/>
        <v>0</v>
      </c>
      <c r="DM257" s="407">
        <f t="shared" si="451"/>
        <v>0</v>
      </c>
      <c r="DN257" s="407">
        <f t="shared" si="451"/>
        <v>0</v>
      </c>
      <c r="DO257" s="407">
        <f t="shared" si="451"/>
        <v>0</v>
      </c>
      <c r="DP257" s="407">
        <f t="shared" si="451"/>
        <v>0</v>
      </c>
      <c r="DQ257" s="407">
        <f t="shared" si="451"/>
        <v>0</v>
      </c>
      <c r="DR257" s="407">
        <f t="shared" si="451"/>
        <v>0</v>
      </c>
      <c r="DS257" s="407">
        <f t="shared" si="451"/>
        <v>0</v>
      </c>
      <c r="DT257" s="407">
        <f t="shared" si="451"/>
        <v>0</v>
      </c>
      <c r="DU257" s="407">
        <f t="shared" si="451"/>
        <v>0</v>
      </c>
      <c r="EI257" s="280"/>
    </row>
    <row r="258" spans="1:139" x14ac:dyDescent="0.3">
      <c r="A258" s="477" t="str">
        <f>'General Inputs'!L29&amp;" Tier 2 Promote"</f>
        <v>LAND Tier 2 Promote</v>
      </c>
      <c r="B258" s="477"/>
      <c r="C258" s="721">
        <f>'General Inputs'!$L$31</f>
        <v>0</v>
      </c>
      <c r="D258" s="648"/>
      <c r="E258" s="705">
        <f t="shared" ref="E258:AN258" si="452">E259*$C258</f>
        <v>0</v>
      </c>
      <c r="F258" s="705">
        <f t="shared" si="452"/>
        <v>0</v>
      </c>
      <c r="G258" s="705">
        <f t="shared" si="452"/>
        <v>0</v>
      </c>
      <c r="H258" s="705">
        <f t="shared" si="452"/>
        <v>0</v>
      </c>
      <c r="I258" s="705">
        <f t="shared" si="452"/>
        <v>0</v>
      </c>
      <c r="J258" s="705">
        <f t="shared" si="452"/>
        <v>0</v>
      </c>
      <c r="K258" s="705">
        <f t="shared" si="452"/>
        <v>0</v>
      </c>
      <c r="L258" s="705">
        <f t="shared" si="452"/>
        <v>0</v>
      </c>
      <c r="M258" s="705">
        <f t="shared" si="452"/>
        <v>0</v>
      </c>
      <c r="N258" s="705">
        <f t="shared" si="452"/>
        <v>0</v>
      </c>
      <c r="O258" s="705">
        <f t="shared" si="452"/>
        <v>0</v>
      </c>
      <c r="P258" s="705">
        <f t="shared" si="452"/>
        <v>0</v>
      </c>
      <c r="Q258" s="705">
        <f t="shared" si="452"/>
        <v>0</v>
      </c>
      <c r="R258" s="705">
        <f t="shared" si="452"/>
        <v>0</v>
      </c>
      <c r="S258" s="705">
        <f t="shared" si="452"/>
        <v>0</v>
      </c>
      <c r="T258" s="705">
        <f t="shared" si="452"/>
        <v>0</v>
      </c>
      <c r="U258" s="705">
        <f t="shared" si="452"/>
        <v>0</v>
      </c>
      <c r="V258" s="705">
        <f t="shared" si="452"/>
        <v>0</v>
      </c>
      <c r="W258" s="705">
        <f t="shared" si="452"/>
        <v>0</v>
      </c>
      <c r="X258" s="705">
        <f t="shared" si="452"/>
        <v>0</v>
      </c>
      <c r="Y258" s="705">
        <f t="shared" si="452"/>
        <v>0</v>
      </c>
      <c r="Z258" s="705">
        <f t="shared" si="452"/>
        <v>0</v>
      </c>
      <c r="AA258" s="705">
        <f t="shared" si="452"/>
        <v>0</v>
      </c>
      <c r="AB258" s="705">
        <f t="shared" si="452"/>
        <v>0</v>
      </c>
      <c r="AC258" s="705">
        <f t="shared" si="452"/>
        <v>0</v>
      </c>
      <c r="AD258" s="705">
        <f t="shared" si="452"/>
        <v>0</v>
      </c>
      <c r="AE258" s="705">
        <f t="shared" si="452"/>
        <v>0</v>
      </c>
      <c r="AF258" s="705">
        <f t="shared" si="452"/>
        <v>0</v>
      </c>
      <c r="AG258" s="705">
        <f t="shared" ca="1" si="452"/>
        <v>0</v>
      </c>
      <c r="AH258" s="705">
        <f t="shared" si="452"/>
        <v>0</v>
      </c>
      <c r="AI258" s="705">
        <f t="shared" si="452"/>
        <v>0</v>
      </c>
      <c r="AJ258" s="705">
        <f t="shared" si="452"/>
        <v>0</v>
      </c>
      <c r="AK258" s="705">
        <f t="shared" si="452"/>
        <v>0</v>
      </c>
      <c r="AL258" s="705">
        <f t="shared" si="452"/>
        <v>0</v>
      </c>
      <c r="AM258" s="705">
        <f t="shared" si="452"/>
        <v>0</v>
      </c>
      <c r="AN258" s="705">
        <f t="shared" si="452"/>
        <v>0</v>
      </c>
      <c r="AO258" s="705">
        <f>AO259*$C258</f>
        <v>0</v>
      </c>
      <c r="AP258" s="705">
        <f t="shared" ref="AP258:DA258" si="453">AP259*$C258</f>
        <v>0</v>
      </c>
      <c r="AQ258" s="705">
        <f t="shared" si="453"/>
        <v>0</v>
      </c>
      <c r="AR258" s="705">
        <f t="shared" si="453"/>
        <v>0</v>
      </c>
      <c r="AS258" s="705">
        <f t="shared" si="453"/>
        <v>0</v>
      </c>
      <c r="AT258" s="705">
        <f t="shared" si="453"/>
        <v>0</v>
      </c>
      <c r="AU258" s="705">
        <f t="shared" si="453"/>
        <v>0</v>
      </c>
      <c r="AV258" s="705">
        <f t="shared" si="453"/>
        <v>0</v>
      </c>
      <c r="AW258" s="705">
        <f t="shared" si="453"/>
        <v>0</v>
      </c>
      <c r="AX258" s="705">
        <f t="shared" si="453"/>
        <v>0</v>
      </c>
      <c r="AY258" s="705">
        <f t="shared" si="453"/>
        <v>0</v>
      </c>
      <c r="AZ258" s="705">
        <f t="shared" si="453"/>
        <v>0</v>
      </c>
      <c r="BA258" s="705">
        <f t="shared" si="453"/>
        <v>0</v>
      </c>
      <c r="BB258" s="705">
        <f t="shared" si="453"/>
        <v>0</v>
      </c>
      <c r="BC258" s="705">
        <f t="shared" si="453"/>
        <v>0</v>
      </c>
      <c r="BD258" s="705">
        <f t="shared" si="453"/>
        <v>0</v>
      </c>
      <c r="BE258" s="705">
        <f t="shared" si="453"/>
        <v>0</v>
      </c>
      <c r="BF258" s="705">
        <f t="shared" si="453"/>
        <v>0</v>
      </c>
      <c r="BG258" s="705">
        <f t="shared" si="453"/>
        <v>0</v>
      </c>
      <c r="BH258" s="705">
        <f t="shared" si="453"/>
        <v>0</v>
      </c>
      <c r="BI258" s="705">
        <f t="shared" si="453"/>
        <v>0</v>
      </c>
      <c r="BJ258" s="705">
        <f t="shared" si="453"/>
        <v>0</v>
      </c>
      <c r="BK258" s="705">
        <f t="shared" si="453"/>
        <v>0</v>
      </c>
      <c r="BL258" s="705">
        <f t="shared" si="453"/>
        <v>0</v>
      </c>
      <c r="BM258" s="705">
        <f t="shared" si="453"/>
        <v>0</v>
      </c>
      <c r="BN258" s="705">
        <f t="shared" si="453"/>
        <v>0</v>
      </c>
      <c r="BO258" s="705">
        <f t="shared" si="453"/>
        <v>0</v>
      </c>
      <c r="BP258" s="705">
        <f t="shared" si="453"/>
        <v>0</v>
      </c>
      <c r="BQ258" s="705">
        <f t="shared" si="453"/>
        <v>0</v>
      </c>
      <c r="BR258" s="705">
        <f t="shared" si="453"/>
        <v>0</v>
      </c>
      <c r="BS258" s="705">
        <f t="shared" si="453"/>
        <v>0</v>
      </c>
      <c r="BT258" s="705">
        <f t="shared" si="453"/>
        <v>0</v>
      </c>
      <c r="BU258" s="705">
        <f t="shared" si="453"/>
        <v>0</v>
      </c>
      <c r="BV258" s="705">
        <f t="shared" si="453"/>
        <v>0</v>
      </c>
      <c r="BW258" s="705">
        <f t="shared" si="453"/>
        <v>0</v>
      </c>
      <c r="BX258" s="705">
        <f t="shared" si="453"/>
        <v>0</v>
      </c>
      <c r="BY258" s="705">
        <f t="shared" si="453"/>
        <v>0</v>
      </c>
      <c r="BZ258" s="705">
        <f t="shared" si="453"/>
        <v>0</v>
      </c>
      <c r="CA258" s="705">
        <f t="shared" si="453"/>
        <v>0</v>
      </c>
      <c r="CB258" s="705">
        <f t="shared" si="453"/>
        <v>0</v>
      </c>
      <c r="CC258" s="705">
        <f t="shared" si="453"/>
        <v>0</v>
      </c>
      <c r="CD258" s="705">
        <f t="shared" si="453"/>
        <v>0</v>
      </c>
      <c r="CE258" s="705">
        <f t="shared" si="453"/>
        <v>0</v>
      </c>
      <c r="CF258" s="705">
        <f t="shared" si="453"/>
        <v>0</v>
      </c>
      <c r="CG258" s="705">
        <f t="shared" si="453"/>
        <v>0</v>
      </c>
      <c r="CH258" s="705">
        <f t="shared" si="453"/>
        <v>0</v>
      </c>
      <c r="CI258" s="705">
        <f t="shared" si="453"/>
        <v>0</v>
      </c>
      <c r="CJ258" s="705">
        <f t="shared" si="453"/>
        <v>0</v>
      </c>
      <c r="CK258" s="705">
        <f t="shared" si="453"/>
        <v>0</v>
      </c>
      <c r="CL258" s="705">
        <f t="shared" si="453"/>
        <v>0</v>
      </c>
      <c r="CM258" s="705">
        <f t="shared" si="453"/>
        <v>0</v>
      </c>
      <c r="CN258" s="705">
        <f t="shared" si="453"/>
        <v>0</v>
      </c>
      <c r="CO258" s="705">
        <f t="shared" si="453"/>
        <v>0</v>
      </c>
      <c r="CP258" s="705">
        <f t="shared" si="453"/>
        <v>0</v>
      </c>
      <c r="CQ258" s="705">
        <f t="shared" si="453"/>
        <v>0</v>
      </c>
      <c r="CR258" s="705">
        <f t="shared" si="453"/>
        <v>0</v>
      </c>
      <c r="CS258" s="705">
        <f t="shared" si="453"/>
        <v>0</v>
      </c>
      <c r="CT258" s="705">
        <f t="shared" si="453"/>
        <v>0</v>
      </c>
      <c r="CU258" s="705">
        <f t="shared" si="453"/>
        <v>0</v>
      </c>
      <c r="CV258" s="705">
        <f t="shared" si="453"/>
        <v>0</v>
      </c>
      <c r="CW258" s="705">
        <f t="shared" si="453"/>
        <v>0</v>
      </c>
      <c r="CX258" s="705">
        <f t="shared" si="453"/>
        <v>0</v>
      </c>
      <c r="CY258" s="705">
        <f t="shared" si="453"/>
        <v>0</v>
      </c>
      <c r="CZ258" s="705">
        <f t="shared" si="453"/>
        <v>0</v>
      </c>
      <c r="DA258" s="705">
        <f t="shared" si="453"/>
        <v>0</v>
      </c>
      <c r="DB258" s="705">
        <f t="shared" ref="DB258:DU258" si="454">DB259*$C258</f>
        <v>0</v>
      </c>
      <c r="DC258" s="705">
        <f t="shared" si="454"/>
        <v>0</v>
      </c>
      <c r="DD258" s="705">
        <f t="shared" si="454"/>
        <v>0</v>
      </c>
      <c r="DE258" s="705">
        <f t="shared" si="454"/>
        <v>0</v>
      </c>
      <c r="DF258" s="705">
        <f t="shared" si="454"/>
        <v>0</v>
      </c>
      <c r="DG258" s="705">
        <f t="shared" si="454"/>
        <v>0</v>
      </c>
      <c r="DH258" s="705">
        <f t="shared" si="454"/>
        <v>0</v>
      </c>
      <c r="DI258" s="705">
        <f t="shared" si="454"/>
        <v>0</v>
      </c>
      <c r="DJ258" s="705">
        <f t="shared" si="454"/>
        <v>0</v>
      </c>
      <c r="DK258" s="705">
        <f t="shared" si="454"/>
        <v>0</v>
      </c>
      <c r="DL258" s="705">
        <f t="shared" si="454"/>
        <v>0</v>
      </c>
      <c r="DM258" s="705">
        <f t="shared" si="454"/>
        <v>0</v>
      </c>
      <c r="DN258" s="705">
        <f t="shared" si="454"/>
        <v>0</v>
      </c>
      <c r="DO258" s="705">
        <f t="shared" si="454"/>
        <v>0</v>
      </c>
      <c r="DP258" s="705">
        <f t="shared" si="454"/>
        <v>0</v>
      </c>
      <c r="DQ258" s="705">
        <f t="shared" si="454"/>
        <v>0</v>
      </c>
      <c r="DR258" s="705">
        <f t="shared" si="454"/>
        <v>0</v>
      </c>
      <c r="DS258" s="705">
        <f t="shared" si="454"/>
        <v>0</v>
      </c>
      <c r="DT258" s="705">
        <f t="shared" si="454"/>
        <v>0</v>
      </c>
      <c r="DU258" s="705">
        <f t="shared" si="454"/>
        <v>0</v>
      </c>
      <c r="EI258" s="722"/>
    </row>
    <row r="259" spans="1:139" x14ac:dyDescent="0.3">
      <c r="A259" s="182" t="s">
        <v>2512</v>
      </c>
      <c r="B259" s="182"/>
      <c r="C259" s="182"/>
      <c r="D259" s="744"/>
      <c r="E259" s="620">
        <f t="shared" ref="E259:AJ259" si="455">IF(E$5=MonthDisposition,MIN((E$254-E$213-E$243)/$C$256,E199-E246),0)</f>
        <v>0</v>
      </c>
      <c r="F259" s="620">
        <f t="shared" si="455"/>
        <v>0</v>
      </c>
      <c r="G259" s="620">
        <f t="shared" si="455"/>
        <v>0</v>
      </c>
      <c r="H259" s="620">
        <f t="shared" si="455"/>
        <v>0</v>
      </c>
      <c r="I259" s="620">
        <f t="shared" si="455"/>
        <v>0</v>
      </c>
      <c r="J259" s="620">
        <f t="shared" si="455"/>
        <v>0</v>
      </c>
      <c r="K259" s="620">
        <f t="shared" si="455"/>
        <v>0</v>
      </c>
      <c r="L259" s="620">
        <f t="shared" si="455"/>
        <v>0</v>
      </c>
      <c r="M259" s="620">
        <f t="shared" si="455"/>
        <v>0</v>
      </c>
      <c r="N259" s="620">
        <f t="shared" si="455"/>
        <v>0</v>
      </c>
      <c r="O259" s="620">
        <f t="shared" si="455"/>
        <v>0</v>
      </c>
      <c r="P259" s="620">
        <f t="shared" si="455"/>
        <v>0</v>
      </c>
      <c r="Q259" s="620">
        <f t="shared" si="455"/>
        <v>0</v>
      </c>
      <c r="R259" s="620">
        <f t="shared" si="455"/>
        <v>0</v>
      </c>
      <c r="S259" s="620">
        <f t="shared" si="455"/>
        <v>0</v>
      </c>
      <c r="T259" s="620">
        <f t="shared" si="455"/>
        <v>0</v>
      </c>
      <c r="U259" s="620">
        <f t="shared" si="455"/>
        <v>0</v>
      </c>
      <c r="V259" s="620">
        <f t="shared" si="455"/>
        <v>0</v>
      </c>
      <c r="W259" s="620">
        <f t="shared" si="455"/>
        <v>0</v>
      </c>
      <c r="X259" s="620">
        <f t="shared" si="455"/>
        <v>0</v>
      </c>
      <c r="Y259" s="620">
        <f t="shared" si="455"/>
        <v>0</v>
      </c>
      <c r="Z259" s="620">
        <f t="shared" si="455"/>
        <v>0</v>
      </c>
      <c r="AA259" s="620">
        <f t="shared" si="455"/>
        <v>0</v>
      </c>
      <c r="AB259" s="620">
        <f t="shared" si="455"/>
        <v>0</v>
      </c>
      <c r="AC259" s="620">
        <f t="shared" si="455"/>
        <v>0</v>
      </c>
      <c r="AD259" s="620">
        <f t="shared" si="455"/>
        <v>0</v>
      </c>
      <c r="AE259" s="620">
        <f t="shared" si="455"/>
        <v>0</v>
      </c>
      <c r="AF259" s="620">
        <f t="shared" si="455"/>
        <v>0</v>
      </c>
      <c r="AG259" s="620">
        <f t="shared" ca="1" si="455"/>
        <v>3588004.6661217017</v>
      </c>
      <c r="AH259" s="620">
        <f t="shared" si="455"/>
        <v>0</v>
      </c>
      <c r="AI259" s="620">
        <f t="shared" si="455"/>
        <v>0</v>
      </c>
      <c r="AJ259" s="620">
        <f t="shared" si="455"/>
        <v>0</v>
      </c>
      <c r="AK259" s="620">
        <f t="shared" ref="AK259:BP259" si="456">IF(AK$5=MonthDisposition,MIN((AK$254-AK$213-AK$243)/$C$256,AK199-AK246),0)</f>
        <v>0</v>
      </c>
      <c r="AL259" s="620">
        <f t="shared" si="456"/>
        <v>0</v>
      </c>
      <c r="AM259" s="620">
        <f t="shared" si="456"/>
        <v>0</v>
      </c>
      <c r="AN259" s="620">
        <f t="shared" si="456"/>
        <v>0</v>
      </c>
      <c r="AO259" s="620">
        <f t="shared" si="456"/>
        <v>0</v>
      </c>
      <c r="AP259" s="620">
        <f t="shared" si="456"/>
        <v>0</v>
      </c>
      <c r="AQ259" s="620">
        <f t="shared" si="456"/>
        <v>0</v>
      </c>
      <c r="AR259" s="620">
        <f t="shared" si="456"/>
        <v>0</v>
      </c>
      <c r="AS259" s="620">
        <f t="shared" si="456"/>
        <v>0</v>
      </c>
      <c r="AT259" s="620">
        <f t="shared" si="456"/>
        <v>0</v>
      </c>
      <c r="AU259" s="620">
        <f t="shared" si="456"/>
        <v>0</v>
      </c>
      <c r="AV259" s="620">
        <f t="shared" si="456"/>
        <v>0</v>
      </c>
      <c r="AW259" s="620">
        <f t="shared" si="456"/>
        <v>0</v>
      </c>
      <c r="AX259" s="620">
        <f t="shared" si="456"/>
        <v>0</v>
      </c>
      <c r="AY259" s="620">
        <f t="shared" si="456"/>
        <v>0</v>
      </c>
      <c r="AZ259" s="620">
        <f t="shared" si="456"/>
        <v>0</v>
      </c>
      <c r="BA259" s="620">
        <f t="shared" si="456"/>
        <v>0</v>
      </c>
      <c r="BB259" s="620">
        <f t="shared" si="456"/>
        <v>0</v>
      </c>
      <c r="BC259" s="620">
        <f t="shared" si="456"/>
        <v>0</v>
      </c>
      <c r="BD259" s="620">
        <f t="shared" si="456"/>
        <v>0</v>
      </c>
      <c r="BE259" s="620">
        <f t="shared" si="456"/>
        <v>0</v>
      </c>
      <c r="BF259" s="620">
        <f t="shared" si="456"/>
        <v>0</v>
      </c>
      <c r="BG259" s="620">
        <f t="shared" si="456"/>
        <v>0</v>
      </c>
      <c r="BH259" s="620">
        <f t="shared" si="456"/>
        <v>0</v>
      </c>
      <c r="BI259" s="620">
        <f t="shared" si="456"/>
        <v>0</v>
      </c>
      <c r="BJ259" s="620">
        <f t="shared" si="456"/>
        <v>0</v>
      </c>
      <c r="BK259" s="620">
        <f t="shared" si="456"/>
        <v>0</v>
      </c>
      <c r="BL259" s="620">
        <f t="shared" si="456"/>
        <v>0</v>
      </c>
      <c r="BM259" s="620">
        <f t="shared" si="456"/>
        <v>0</v>
      </c>
      <c r="BN259" s="620">
        <f t="shared" si="456"/>
        <v>0</v>
      </c>
      <c r="BO259" s="620">
        <f t="shared" si="456"/>
        <v>0</v>
      </c>
      <c r="BP259" s="620">
        <f t="shared" si="456"/>
        <v>0</v>
      </c>
      <c r="BQ259" s="620">
        <f t="shared" ref="BQ259:CV259" si="457">IF(BQ$5=MonthDisposition,MIN((BQ$254-BQ$213-BQ$243)/$C$256,BQ199-BQ246),0)</f>
        <v>0</v>
      </c>
      <c r="BR259" s="620">
        <f t="shared" si="457"/>
        <v>0</v>
      </c>
      <c r="BS259" s="620">
        <f t="shared" si="457"/>
        <v>0</v>
      </c>
      <c r="BT259" s="620">
        <f t="shared" si="457"/>
        <v>0</v>
      </c>
      <c r="BU259" s="620">
        <f t="shared" si="457"/>
        <v>0</v>
      </c>
      <c r="BV259" s="620">
        <f t="shared" si="457"/>
        <v>0</v>
      </c>
      <c r="BW259" s="620">
        <f t="shared" si="457"/>
        <v>0</v>
      </c>
      <c r="BX259" s="620">
        <f t="shared" si="457"/>
        <v>0</v>
      </c>
      <c r="BY259" s="620">
        <f t="shared" si="457"/>
        <v>0</v>
      </c>
      <c r="BZ259" s="620">
        <f t="shared" si="457"/>
        <v>0</v>
      </c>
      <c r="CA259" s="620">
        <f t="shared" si="457"/>
        <v>0</v>
      </c>
      <c r="CB259" s="620">
        <f t="shared" si="457"/>
        <v>0</v>
      </c>
      <c r="CC259" s="620">
        <f t="shared" si="457"/>
        <v>0</v>
      </c>
      <c r="CD259" s="620">
        <f t="shared" si="457"/>
        <v>0</v>
      </c>
      <c r="CE259" s="620">
        <f t="shared" si="457"/>
        <v>0</v>
      </c>
      <c r="CF259" s="620">
        <f t="shared" si="457"/>
        <v>0</v>
      </c>
      <c r="CG259" s="620">
        <f t="shared" si="457"/>
        <v>0</v>
      </c>
      <c r="CH259" s="620">
        <f t="shared" si="457"/>
        <v>0</v>
      </c>
      <c r="CI259" s="620">
        <f t="shared" si="457"/>
        <v>0</v>
      </c>
      <c r="CJ259" s="620">
        <f t="shared" si="457"/>
        <v>0</v>
      </c>
      <c r="CK259" s="620">
        <f t="shared" si="457"/>
        <v>0</v>
      </c>
      <c r="CL259" s="620">
        <f t="shared" si="457"/>
        <v>0</v>
      </c>
      <c r="CM259" s="620">
        <f t="shared" si="457"/>
        <v>0</v>
      </c>
      <c r="CN259" s="620">
        <f t="shared" si="457"/>
        <v>0</v>
      </c>
      <c r="CO259" s="620">
        <f t="shared" si="457"/>
        <v>0</v>
      </c>
      <c r="CP259" s="620">
        <f t="shared" si="457"/>
        <v>0</v>
      </c>
      <c r="CQ259" s="620">
        <f t="shared" si="457"/>
        <v>0</v>
      </c>
      <c r="CR259" s="620">
        <f t="shared" si="457"/>
        <v>0</v>
      </c>
      <c r="CS259" s="620">
        <f t="shared" si="457"/>
        <v>0</v>
      </c>
      <c r="CT259" s="620">
        <f t="shared" si="457"/>
        <v>0</v>
      </c>
      <c r="CU259" s="620">
        <f t="shared" si="457"/>
        <v>0</v>
      </c>
      <c r="CV259" s="620">
        <f t="shared" si="457"/>
        <v>0</v>
      </c>
      <c r="CW259" s="620">
        <f t="shared" ref="CW259:DU259" si="458">IF(CW$5=MonthDisposition,MIN((CW$254-CW$213-CW$243)/$C$256,CW199-CW246),0)</f>
        <v>0</v>
      </c>
      <c r="CX259" s="620">
        <f t="shared" si="458"/>
        <v>0</v>
      </c>
      <c r="CY259" s="620">
        <f t="shared" si="458"/>
        <v>0</v>
      </c>
      <c r="CZ259" s="620">
        <f t="shared" si="458"/>
        <v>0</v>
      </c>
      <c r="DA259" s="620">
        <f t="shared" si="458"/>
        <v>0</v>
      </c>
      <c r="DB259" s="620">
        <f t="shared" si="458"/>
        <v>0</v>
      </c>
      <c r="DC259" s="620">
        <f t="shared" si="458"/>
        <v>0</v>
      </c>
      <c r="DD259" s="620">
        <f t="shared" si="458"/>
        <v>0</v>
      </c>
      <c r="DE259" s="620">
        <f t="shared" si="458"/>
        <v>0</v>
      </c>
      <c r="DF259" s="620">
        <f t="shared" si="458"/>
        <v>0</v>
      </c>
      <c r="DG259" s="620">
        <f t="shared" si="458"/>
        <v>0</v>
      </c>
      <c r="DH259" s="620">
        <f t="shared" si="458"/>
        <v>0</v>
      </c>
      <c r="DI259" s="620">
        <f t="shared" si="458"/>
        <v>0</v>
      </c>
      <c r="DJ259" s="620">
        <f t="shared" si="458"/>
        <v>0</v>
      </c>
      <c r="DK259" s="620">
        <f t="shared" si="458"/>
        <v>0</v>
      </c>
      <c r="DL259" s="620">
        <f t="shared" si="458"/>
        <v>0</v>
      </c>
      <c r="DM259" s="620">
        <f t="shared" si="458"/>
        <v>0</v>
      </c>
      <c r="DN259" s="620">
        <f t="shared" si="458"/>
        <v>0</v>
      </c>
      <c r="DO259" s="620">
        <f t="shared" si="458"/>
        <v>0</v>
      </c>
      <c r="DP259" s="620">
        <f t="shared" si="458"/>
        <v>0</v>
      </c>
      <c r="DQ259" s="620">
        <f t="shared" si="458"/>
        <v>0</v>
      </c>
      <c r="DR259" s="620">
        <f t="shared" si="458"/>
        <v>0</v>
      </c>
      <c r="DS259" s="620">
        <f t="shared" si="458"/>
        <v>0</v>
      </c>
      <c r="DT259" s="620">
        <f t="shared" si="458"/>
        <v>0</v>
      </c>
      <c r="DU259" s="620">
        <f t="shared" si="458"/>
        <v>0</v>
      </c>
      <c r="EI259" s="280"/>
    </row>
    <row r="260" spans="1:139" ht="7.5" customHeight="1" thickBot="1" x14ac:dyDescent="0.35">
      <c r="D260" s="282"/>
      <c r="EI260" s="722"/>
    </row>
    <row r="261" spans="1:139" ht="15.75" customHeight="1" thickTop="1" x14ac:dyDescent="0.3">
      <c r="A261" s="318" t="s">
        <v>2513</v>
      </c>
      <c r="B261" s="635"/>
      <c r="C261" s="322"/>
      <c r="D261" s="728"/>
      <c r="E261" s="322"/>
      <c r="F261" s="322"/>
      <c r="G261" s="322"/>
      <c r="H261" s="322"/>
      <c r="I261" s="322"/>
      <c r="J261" s="322"/>
      <c r="K261" s="322"/>
      <c r="L261" s="322"/>
      <c r="M261" s="322"/>
      <c r="N261" s="322"/>
      <c r="O261" s="322"/>
      <c r="P261" s="322"/>
      <c r="Q261" s="322"/>
      <c r="R261" s="322"/>
      <c r="S261" s="322"/>
      <c r="T261" s="322"/>
      <c r="U261" s="322"/>
      <c r="V261" s="322"/>
      <c r="W261" s="322"/>
      <c r="X261" s="322"/>
      <c r="Y261" s="322"/>
      <c r="Z261" s="322"/>
      <c r="AA261" s="322"/>
      <c r="AB261" s="322"/>
      <c r="AC261" s="322"/>
      <c r="AD261" s="322"/>
      <c r="AE261" s="322"/>
      <c r="AF261" s="322"/>
      <c r="AG261" s="322"/>
      <c r="AH261" s="322"/>
      <c r="AI261" s="322"/>
      <c r="AJ261" s="322"/>
      <c r="AK261" s="322"/>
      <c r="AL261" s="322"/>
      <c r="AM261" s="322"/>
      <c r="AN261" s="322"/>
      <c r="AO261" s="322"/>
      <c r="AP261" s="322"/>
      <c r="AQ261" s="322"/>
      <c r="AR261" s="322"/>
      <c r="AS261" s="322"/>
      <c r="AT261" s="322"/>
      <c r="AU261" s="322"/>
      <c r="AV261" s="322"/>
      <c r="AW261" s="322"/>
      <c r="AX261" s="322"/>
      <c r="AY261" s="322"/>
      <c r="AZ261" s="322"/>
      <c r="BA261" s="322"/>
      <c r="BB261" s="322"/>
      <c r="BC261" s="322"/>
      <c r="BD261" s="322"/>
      <c r="BE261" s="322"/>
      <c r="BF261" s="322"/>
      <c r="BG261" s="322"/>
      <c r="BH261" s="322"/>
      <c r="BI261" s="322"/>
      <c r="BJ261" s="322"/>
      <c r="BK261" s="322"/>
      <c r="BL261" s="322"/>
      <c r="BM261" s="322"/>
      <c r="BN261" s="322"/>
      <c r="BO261" s="322"/>
      <c r="BP261" s="322"/>
      <c r="BQ261" s="322"/>
      <c r="BR261" s="322"/>
      <c r="BS261" s="322"/>
      <c r="BT261" s="322"/>
      <c r="BU261" s="322"/>
      <c r="BV261" s="322"/>
      <c r="BW261" s="322"/>
      <c r="BX261" s="322"/>
      <c r="BY261" s="322"/>
      <c r="BZ261" s="322"/>
      <c r="CA261" s="322"/>
      <c r="CB261" s="322"/>
      <c r="CC261" s="322"/>
      <c r="CD261" s="322"/>
      <c r="CE261" s="322"/>
      <c r="CF261" s="322"/>
      <c r="CG261" s="322"/>
      <c r="CH261" s="322"/>
      <c r="CI261" s="322"/>
      <c r="CJ261" s="322"/>
      <c r="CK261" s="322"/>
      <c r="CL261" s="322"/>
      <c r="CM261" s="322"/>
      <c r="CN261" s="322"/>
      <c r="CO261" s="322"/>
      <c r="CP261" s="322"/>
      <c r="CQ261" s="322"/>
      <c r="CR261" s="322"/>
      <c r="CS261" s="322"/>
      <c r="CT261" s="322"/>
      <c r="CU261" s="322"/>
      <c r="CV261" s="322"/>
      <c r="CW261" s="322"/>
      <c r="CX261" s="322"/>
      <c r="CY261" s="322"/>
      <c r="CZ261" s="322"/>
      <c r="DA261" s="322"/>
      <c r="DB261" s="322"/>
      <c r="DC261" s="322"/>
      <c r="DD261" s="322"/>
      <c r="DE261" s="322"/>
      <c r="DF261" s="322"/>
      <c r="DG261" s="322"/>
      <c r="DH261" s="322"/>
      <c r="DI261" s="322"/>
      <c r="DJ261" s="322"/>
      <c r="DK261" s="322"/>
      <c r="DL261" s="322"/>
      <c r="DM261" s="322"/>
      <c r="DN261" s="322"/>
      <c r="DO261" s="322"/>
      <c r="DP261" s="322"/>
      <c r="DQ261" s="322"/>
      <c r="DR261" s="322"/>
      <c r="DS261" s="322"/>
      <c r="DT261" s="322"/>
      <c r="DU261" s="322"/>
      <c r="EH261" s="644"/>
      <c r="EI261" s="722"/>
    </row>
    <row r="262" spans="1:139" x14ac:dyDescent="0.3">
      <c r="A262" s="182" t="str">
        <f>'General Inputs'!$J$29&amp;" Tier 2 Cash Flows"</f>
        <v>LP Tier 2 Cash Flows</v>
      </c>
      <c r="B262" s="182"/>
      <c r="C262" s="182"/>
      <c r="D262" s="686"/>
      <c r="E262" s="408">
        <f t="shared" ref="E262:AN262" ca="1" si="459">E254</f>
        <v>-1684806.2553703375</v>
      </c>
      <c r="F262" s="408">
        <f t="shared" ca="1" si="459"/>
        <v>-13679721.285321232</v>
      </c>
      <c r="G262" s="408">
        <f t="shared" ca="1" si="459"/>
        <v>-429758.58896990592</v>
      </c>
      <c r="H262" s="408">
        <f t="shared" ca="1" si="459"/>
        <v>-652516.24275347544</v>
      </c>
      <c r="I262" s="408">
        <f t="shared" ca="1" si="459"/>
        <v>-1108216.2834030252</v>
      </c>
      <c r="J262" s="408">
        <f t="shared" ca="1" si="459"/>
        <v>-1808500.5776190415</v>
      </c>
      <c r="K262" s="408">
        <f t="shared" ca="1" si="459"/>
        <v>-1861449.5545326734</v>
      </c>
      <c r="L262" s="408">
        <f t="shared" ca="1" si="459"/>
        <v>-2372000.4851556052</v>
      </c>
      <c r="M262" s="408">
        <f t="shared" ca="1" si="459"/>
        <v>-2813680.2377213496</v>
      </c>
      <c r="N262" s="408">
        <f t="shared" ca="1" si="459"/>
        <v>-3293680.161515363</v>
      </c>
      <c r="O262" s="408">
        <f t="shared" ca="1" si="459"/>
        <v>-1869318.1862202697</v>
      </c>
      <c r="P262" s="408">
        <f t="shared" ca="1" si="459"/>
        <v>0</v>
      </c>
      <c r="Q262" s="408">
        <f t="shared" ca="1" si="459"/>
        <v>0</v>
      </c>
      <c r="R262" s="408">
        <f t="shared" ca="1" si="459"/>
        <v>0</v>
      </c>
      <c r="S262" s="408">
        <f t="shared" ca="1" si="459"/>
        <v>0</v>
      </c>
      <c r="T262" s="408">
        <f t="shared" ca="1" si="459"/>
        <v>0</v>
      </c>
      <c r="U262" s="408">
        <f t="shared" ca="1" si="459"/>
        <v>0</v>
      </c>
      <c r="V262" s="408">
        <f t="shared" ca="1" si="459"/>
        <v>0</v>
      </c>
      <c r="W262" s="408">
        <f t="shared" ca="1" si="459"/>
        <v>0</v>
      </c>
      <c r="X262" s="408">
        <f t="shared" ca="1" si="459"/>
        <v>0</v>
      </c>
      <c r="Y262" s="408">
        <f t="shared" ca="1" si="459"/>
        <v>0</v>
      </c>
      <c r="Z262" s="408">
        <f t="shared" ca="1" si="459"/>
        <v>0</v>
      </c>
      <c r="AA262" s="408">
        <f t="shared" ca="1" si="459"/>
        <v>0</v>
      </c>
      <c r="AB262" s="408">
        <f t="shared" ca="1" si="459"/>
        <v>0</v>
      </c>
      <c r="AC262" s="408">
        <f t="shared" ca="1" si="459"/>
        <v>39701.726541082207</v>
      </c>
      <c r="AD262" s="408">
        <f t="shared" ca="1" si="459"/>
        <v>75897.380147726886</v>
      </c>
      <c r="AE262" s="408">
        <f t="shared" ca="1" si="459"/>
        <v>117111.83679771089</v>
      </c>
      <c r="AF262" s="408">
        <f t="shared" ca="1" si="459"/>
        <v>197606.01356017322</v>
      </c>
      <c r="AG262" s="408">
        <f t="shared" ca="1" si="459"/>
        <v>41314479.032805495</v>
      </c>
      <c r="AH262" s="408">
        <f t="shared" ca="1" si="459"/>
        <v>0</v>
      </c>
      <c r="AI262" s="408">
        <f t="shared" ca="1" si="459"/>
        <v>0</v>
      </c>
      <c r="AJ262" s="408">
        <f t="shared" ca="1" si="459"/>
        <v>0</v>
      </c>
      <c r="AK262" s="408">
        <f t="shared" ca="1" si="459"/>
        <v>0</v>
      </c>
      <c r="AL262" s="408">
        <f t="shared" ca="1" si="459"/>
        <v>0</v>
      </c>
      <c r="AM262" s="408">
        <f t="shared" ca="1" si="459"/>
        <v>0</v>
      </c>
      <c r="AN262" s="408">
        <f t="shared" ca="1" si="459"/>
        <v>0</v>
      </c>
      <c r="AO262" s="408">
        <f ca="1">AO254</f>
        <v>0</v>
      </c>
      <c r="AP262" s="408">
        <f t="shared" ref="AP262:DA262" ca="1" si="460">AP254</f>
        <v>0</v>
      </c>
      <c r="AQ262" s="408">
        <f t="shared" ca="1" si="460"/>
        <v>0</v>
      </c>
      <c r="AR262" s="408">
        <f t="shared" ca="1" si="460"/>
        <v>0</v>
      </c>
      <c r="AS262" s="408">
        <f t="shared" ca="1" si="460"/>
        <v>0</v>
      </c>
      <c r="AT262" s="408">
        <f t="shared" ca="1" si="460"/>
        <v>0</v>
      </c>
      <c r="AU262" s="408">
        <f t="shared" ca="1" si="460"/>
        <v>0</v>
      </c>
      <c r="AV262" s="408">
        <f t="shared" ca="1" si="460"/>
        <v>0</v>
      </c>
      <c r="AW262" s="408">
        <f t="shared" ca="1" si="460"/>
        <v>0</v>
      </c>
      <c r="AX262" s="408">
        <f t="shared" ca="1" si="460"/>
        <v>0</v>
      </c>
      <c r="AY262" s="408">
        <f t="shared" ca="1" si="460"/>
        <v>0</v>
      </c>
      <c r="AZ262" s="408">
        <f t="shared" ca="1" si="460"/>
        <v>0</v>
      </c>
      <c r="BA262" s="408">
        <f t="shared" ca="1" si="460"/>
        <v>0</v>
      </c>
      <c r="BB262" s="408">
        <f t="shared" ca="1" si="460"/>
        <v>0</v>
      </c>
      <c r="BC262" s="408">
        <f t="shared" ca="1" si="460"/>
        <v>0</v>
      </c>
      <c r="BD262" s="408">
        <f t="shared" ca="1" si="460"/>
        <v>0</v>
      </c>
      <c r="BE262" s="408">
        <f t="shared" ca="1" si="460"/>
        <v>0</v>
      </c>
      <c r="BF262" s="408">
        <f t="shared" ca="1" si="460"/>
        <v>0</v>
      </c>
      <c r="BG262" s="408">
        <f t="shared" ca="1" si="460"/>
        <v>0</v>
      </c>
      <c r="BH262" s="408">
        <f t="shared" ca="1" si="460"/>
        <v>0</v>
      </c>
      <c r="BI262" s="408">
        <f t="shared" ca="1" si="460"/>
        <v>0</v>
      </c>
      <c r="BJ262" s="408">
        <f t="shared" ca="1" si="460"/>
        <v>0</v>
      </c>
      <c r="BK262" s="408">
        <f t="shared" ca="1" si="460"/>
        <v>0</v>
      </c>
      <c r="BL262" s="408">
        <f t="shared" ca="1" si="460"/>
        <v>0</v>
      </c>
      <c r="BM262" s="408">
        <f t="shared" ca="1" si="460"/>
        <v>0</v>
      </c>
      <c r="BN262" s="408">
        <f t="shared" ca="1" si="460"/>
        <v>0</v>
      </c>
      <c r="BO262" s="408">
        <f t="shared" ca="1" si="460"/>
        <v>0</v>
      </c>
      <c r="BP262" s="408">
        <f t="shared" ca="1" si="460"/>
        <v>0</v>
      </c>
      <c r="BQ262" s="408">
        <f t="shared" ca="1" si="460"/>
        <v>0</v>
      </c>
      <c r="BR262" s="408">
        <f t="shared" ca="1" si="460"/>
        <v>0</v>
      </c>
      <c r="BS262" s="408">
        <f t="shared" ca="1" si="460"/>
        <v>0</v>
      </c>
      <c r="BT262" s="408">
        <f t="shared" ca="1" si="460"/>
        <v>0</v>
      </c>
      <c r="BU262" s="408">
        <f t="shared" ca="1" si="460"/>
        <v>0</v>
      </c>
      <c r="BV262" s="408">
        <f t="shared" ca="1" si="460"/>
        <v>0</v>
      </c>
      <c r="BW262" s="408">
        <f t="shared" ca="1" si="460"/>
        <v>0</v>
      </c>
      <c r="BX262" s="408">
        <f t="shared" ca="1" si="460"/>
        <v>0</v>
      </c>
      <c r="BY262" s="408">
        <f t="shared" ca="1" si="460"/>
        <v>0</v>
      </c>
      <c r="BZ262" s="408">
        <f t="shared" ca="1" si="460"/>
        <v>0</v>
      </c>
      <c r="CA262" s="408">
        <f t="shared" ca="1" si="460"/>
        <v>0</v>
      </c>
      <c r="CB262" s="408">
        <f t="shared" ca="1" si="460"/>
        <v>0</v>
      </c>
      <c r="CC262" s="408">
        <f t="shared" ca="1" si="460"/>
        <v>0</v>
      </c>
      <c r="CD262" s="408">
        <f t="shared" ca="1" si="460"/>
        <v>0</v>
      </c>
      <c r="CE262" s="408">
        <f t="shared" ca="1" si="460"/>
        <v>0</v>
      </c>
      <c r="CF262" s="408">
        <f t="shared" ca="1" si="460"/>
        <v>0</v>
      </c>
      <c r="CG262" s="408">
        <f t="shared" ca="1" si="460"/>
        <v>0</v>
      </c>
      <c r="CH262" s="408">
        <f t="shared" ca="1" si="460"/>
        <v>0</v>
      </c>
      <c r="CI262" s="408">
        <f t="shared" ca="1" si="460"/>
        <v>0</v>
      </c>
      <c r="CJ262" s="408">
        <f t="shared" ca="1" si="460"/>
        <v>0</v>
      </c>
      <c r="CK262" s="408">
        <f t="shared" ca="1" si="460"/>
        <v>0</v>
      </c>
      <c r="CL262" s="408">
        <f t="shared" ca="1" si="460"/>
        <v>0</v>
      </c>
      <c r="CM262" s="408">
        <f t="shared" ca="1" si="460"/>
        <v>0</v>
      </c>
      <c r="CN262" s="408">
        <f t="shared" ca="1" si="460"/>
        <v>0</v>
      </c>
      <c r="CO262" s="408">
        <f t="shared" ca="1" si="460"/>
        <v>0</v>
      </c>
      <c r="CP262" s="408">
        <f t="shared" ca="1" si="460"/>
        <v>0</v>
      </c>
      <c r="CQ262" s="408">
        <f t="shared" ca="1" si="460"/>
        <v>0</v>
      </c>
      <c r="CR262" s="408">
        <f t="shared" ca="1" si="460"/>
        <v>0</v>
      </c>
      <c r="CS262" s="408">
        <f t="shared" ca="1" si="460"/>
        <v>0</v>
      </c>
      <c r="CT262" s="408">
        <f t="shared" ca="1" si="460"/>
        <v>0</v>
      </c>
      <c r="CU262" s="408">
        <f t="shared" ca="1" si="460"/>
        <v>0</v>
      </c>
      <c r="CV262" s="408">
        <f t="shared" ca="1" si="460"/>
        <v>0</v>
      </c>
      <c r="CW262" s="408">
        <f t="shared" ca="1" si="460"/>
        <v>0</v>
      </c>
      <c r="CX262" s="408">
        <f t="shared" ca="1" si="460"/>
        <v>0</v>
      </c>
      <c r="CY262" s="408">
        <f t="shared" ca="1" si="460"/>
        <v>0</v>
      </c>
      <c r="CZ262" s="408">
        <f t="shared" ca="1" si="460"/>
        <v>0</v>
      </c>
      <c r="DA262" s="408">
        <f t="shared" ca="1" si="460"/>
        <v>0</v>
      </c>
      <c r="DB262" s="408">
        <f t="shared" ref="DB262:DU262" ca="1" si="461">DB254</f>
        <v>0</v>
      </c>
      <c r="DC262" s="408">
        <f t="shared" ca="1" si="461"/>
        <v>0</v>
      </c>
      <c r="DD262" s="408">
        <f t="shared" ca="1" si="461"/>
        <v>0</v>
      </c>
      <c r="DE262" s="408">
        <f t="shared" ca="1" si="461"/>
        <v>0</v>
      </c>
      <c r="DF262" s="408">
        <f t="shared" ca="1" si="461"/>
        <v>0</v>
      </c>
      <c r="DG262" s="408">
        <f t="shared" ca="1" si="461"/>
        <v>0</v>
      </c>
      <c r="DH262" s="408">
        <f t="shared" ca="1" si="461"/>
        <v>0</v>
      </c>
      <c r="DI262" s="408">
        <f t="shared" ca="1" si="461"/>
        <v>0</v>
      </c>
      <c r="DJ262" s="408">
        <f t="shared" ca="1" si="461"/>
        <v>0</v>
      </c>
      <c r="DK262" s="408">
        <f t="shared" ca="1" si="461"/>
        <v>0</v>
      </c>
      <c r="DL262" s="408">
        <f t="shared" ca="1" si="461"/>
        <v>0</v>
      </c>
      <c r="DM262" s="408">
        <f t="shared" ca="1" si="461"/>
        <v>0</v>
      </c>
      <c r="DN262" s="408">
        <f t="shared" ca="1" si="461"/>
        <v>0</v>
      </c>
      <c r="DO262" s="408">
        <f t="shared" ca="1" si="461"/>
        <v>0</v>
      </c>
      <c r="DP262" s="408">
        <f t="shared" ca="1" si="461"/>
        <v>0</v>
      </c>
      <c r="DQ262" s="408">
        <f t="shared" ca="1" si="461"/>
        <v>0</v>
      </c>
      <c r="DR262" s="408">
        <f t="shared" ca="1" si="461"/>
        <v>0</v>
      </c>
      <c r="DS262" s="408">
        <f t="shared" ca="1" si="461"/>
        <v>0</v>
      </c>
      <c r="DT262" s="408">
        <f t="shared" ca="1" si="461"/>
        <v>0</v>
      </c>
      <c r="DU262" s="408">
        <f t="shared" ca="1" si="461"/>
        <v>0</v>
      </c>
      <c r="EI262" s="722"/>
    </row>
    <row r="263" spans="1:139" s="200" customFormat="1" hidden="1" x14ac:dyDescent="0.3">
      <c r="A263" s="282" t="s">
        <v>2514</v>
      </c>
      <c r="B263" s="282"/>
      <c r="C263" s="686">
        <f ca="1">NPV((1+C264)^(1/12)-1,F262:DU262)+E262</f>
        <v>-2431438.2299984572</v>
      </c>
      <c r="D263" s="647"/>
      <c r="E263" s="647"/>
      <c r="F263" s="647"/>
      <c r="G263" s="647"/>
      <c r="H263" s="647"/>
      <c r="I263" s="647"/>
      <c r="J263" s="647"/>
      <c r="K263" s="647"/>
      <c r="L263" s="647"/>
      <c r="M263" s="647"/>
      <c r="N263" s="647"/>
      <c r="O263" s="647"/>
      <c r="P263" s="647"/>
      <c r="Q263" s="647"/>
      <c r="R263" s="647"/>
      <c r="S263" s="647"/>
      <c r="T263" s="647"/>
      <c r="U263" s="647"/>
      <c r="V263" s="647"/>
      <c r="W263" s="647"/>
      <c r="X263" s="647"/>
      <c r="Y263" s="647"/>
      <c r="Z263" s="647"/>
      <c r="AA263" s="647"/>
      <c r="AB263" s="647"/>
      <c r="AC263" s="647"/>
      <c r="AD263" s="647"/>
      <c r="AE263" s="647"/>
      <c r="AF263" s="647"/>
      <c r="AG263" s="647"/>
      <c r="AH263" s="647"/>
      <c r="AI263" s="647"/>
      <c r="AJ263" s="647"/>
      <c r="AK263" s="647"/>
      <c r="AL263" s="647"/>
      <c r="AM263" s="647"/>
      <c r="AN263" s="647"/>
      <c r="AO263" s="647"/>
      <c r="AP263" s="647"/>
      <c r="AQ263" s="647"/>
      <c r="AR263" s="647"/>
      <c r="AS263" s="647"/>
      <c r="AT263" s="647"/>
      <c r="AU263" s="647"/>
      <c r="AV263" s="647"/>
      <c r="AW263" s="647"/>
      <c r="AX263" s="647"/>
      <c r="AY263" s="647"/>
      <c r="AZ263" s="647"/>
      <c r="BA263" s="647"/>
      <c r="BB263" s="647"/>
      <c r="BC263" s="647"/>
      <c r="BD263" s="647"/>
      <c r="BE263" s="647"/>
      <c r="BF263" s="647"/>
      <c r="BG263" s="647"/>
      <c r="BH263" s="647"/>
      <c r="BI263" s="647"/>
      <c r="BJ263" s="647"/>
      <c r="BK263" s="647"/>
      <c r="BL263" s="647"/>
      <c r="BM263" s="647"/>
      <c r="BN263" s="647"/>
      <c r="BO263" s="647"/>
      <c r="BP263" s="647"/>
      <c r="BQ263" s="647"/>
      <c r="BR263" s="647"/>
      <c r="BS263" s="647"/>
      <c r="BT263" s="647"/>
      <c r="BU263" s="647"/>
      <c r="BV263" s="647"/>
      <c r="BW263" s="647"/>
      <c r="BX263" s="647"/>
      <c r="BY263" s="647"/>
      <c r="BZ263" s="647"/>
      <c r="CA263" s="647"/>
      <c r="CB263" s="647"/>
      <c r="CC263" s="647"/>
      <c r="CD263" s="647"/>
      <c r="CE263" s="647"/>
      <c r="CF263" s="647"/>
      <c r="CG263" s="647"/>
      <c r="CH263" s="647"/>
      <c r="CI263" s="647"/>
      <c r="CJ263" s="647"/>
      <c r="CK263" s="647"/>
      <c r="CL263" s="647"/>
      <c r="CM263" s="647"/>
      <c r="CN263" s="647"/>
      <c r="CO263" s="647"/>
      <c r="CP263" s="647"/>
      <c r="CQ263" s="647"/>
      <c r="CR263" s="647"/>
      <c r="CS263" s="647"/>
      <c r="CT263" s="647"/>
      <c r="CU263" s="647"/>
      <c r="CV263" s="647"/>
      <c r="CW263" s="647"/>
      <c r="CX263" s="647"/>
      <c r="CY263" s="647"/>
      <c r="CZ263" s="647"/>
      <c r="DA263" s="647"/>
      <c r="DB263" s="647"/>
      <c r="DC263" s="647"/>
      <c r="DD263" s="647"/>
      <c r="DE263" s="647"/>
      <c r="DF263" s="647"/>
      <c r="DG263" s="647"/>
      <c r="DH263" s="647"/>
      <c r="DI263" s="647"/>
      <c r="DJ263" s="647"/>
      <c r="DK263" s="647"/>
      <c r="DL263" s="647"/>
      <c r="DM263" s="647"/>
      <c r="DN263" s="647"/>
      <c r="DO263" s="647"/>
      <c r="DP263" s="647"/>
      <c r="DQ263" s="647"/>
      <c r="DR263" s="647"/>
      <c r="DS263" s="647"/>
      <c r="DT263" s="647"/>
      <c r="DU263" s="647"/>
      <c r="EI263" s="680"/>
    </row>
    <row r="264" spans="1:139" s="200" customFormat="1" hidden="1" x14ac:dyDescent="0.3">
      <c r="A264" s="282" t="s">
        <v>2515</v>
      </c>
      <c r="B264" s="282"/>
      <c r="C264" s="742">
        <f>'General Inputs'!I32</f>
        <v>0.2</v>
      </c>
      <c r="D264" s="647"/>
      <c r="E264" s="647">
        <f ca="1">IF($C$204&lt;'General Inputs'!$J$11,0,IF(DevBdgt!E$6=DispositionMonth,FV((1+$C264)^(1/12)-1,DevBdgt!E$6,0,$C263),0))</f>
        <v>0</v>
      </c>
      <c r="F264" s="647">
        <f ca="1">IF($C$204&lt;'General Inputs'!$J$11,0,IF(DevBdgt!F$6=DispositionMonth,FV((1+$C264)^(1/12)-1,DevBdgt!F$6,0,$C263),0))</f>
        <v>0</v>
      </c>
      <c r="G264" s="647">
        <f ca="1">IF($C$204&lt;'General Inputs'!$J$11,0,IF(DevBdgt!G$6=DispositionMonth,FV((1+$C264)^(1/12)-1,DevBdgt!G$6,0,$C263),0))</f>
        <v>0</v>
      </c>
      <c r="H264" s="647">
        <f ca="1">IF($C$204&lt;'General Inputs'!$J$11,0,IF(DevBdgt!H$6=DispositionMonth,FV((1+$C264)^(1/12)-1,DevBdgt!H$6,0,$C263),0))</f>
        <v>0</v>
      </c>
      <c r="I264" s="647">
        <f ca="1">IF($C$204&lt;'General Inputs'!$J$11,0,IF(DevBdgt!I$6=DispositionMonth,FV((1+$C264)^(1/12)-1,DevBdgt!I$6,0,$C263),0))</f>
        <v>0</v>
      </c>
      <c r="J264" s="647">
        <f ca="1">IF($C$204&lt;'General Inputs'!$J$11,0,IF(DevBdgt!J$6=DispositionMonth,FV((1+$C264)^(1/12)-1,DevBdgt!J$6,0,$C263),0))</f>
        <v>0</v>
      </c>
      <c r="K264" s="647">
        <f ca="1">IF($C$204&lt;'General Inputs'!$J$11,0,IF(DevBdgt!K$6=DispositionMonth,FV((1+$C264)^(1/12)-1,DevBdgt!K$6,0,$C263),0))</f>
        <v>0</v>
      </c>
      <c r="L264" s="647">
        <f ca="1">IF($C$204&lt;'General Inputs'!$J$11,0,IF(DevBdgt!L$6=DispositionMonth,FV((1+$C264)^(1/12)-1,DevBdgt!L$6,0,$C263),0))</f>
        <v>0</v>
      </c>
      <c r="M264" s="647">
        <f ca="1">IF($C$204&lt;'General Inputs'!$J$11,0,IF(DevBdgt!M$6=DispositionMonth,FV((1+$C264)^(1/12)-1,DevBdgt!M$6,0,$C263),0))</f>
        <v>0</v>
      </c>
      <c r="N264" s="647">
        <f ca="1">IF($C$204&lt;'General Inputs'!$J$11,0,IF(DevBdgt!N$6=DispositionMonth,FV((1+$C264)^(1/12)-1,DevBdgt!N$6,0,$C263),0))</f>
        <v>0</v>
      </c>
      <c r="O264" s="647">
        <f ca="1">IF($C$204&lt;'General Inputs'!$J$11,0,IF(DevBdgt!O$6=DispositionMonth,FV((1+$C264)^(1/12)-1,DevBdgt!O$6,0,$C263),0))</f>
        <v>0</v>
      </c>
      <c r="P264" s="647">
        <f ca="1">IF($C$204&lt;'General Inputs'!$J$11,0,IF(DevBdgt!P$6=DispositionMonth,FV((1+$C264)^(1/12)-1,DevBdgt!P$6,0,$C263),0))</f>
        <v>0</v>
      </c>
      <c r="Q264" s="647">
        <f ca="1">IF($C$204&lt;'General Inputs'!$J$11,0,IF(DevBdgt!Q$6=DispositionMonth,FV((1+$C264)^(1/12)-1,DevBdgt!Q$6,0,$C263),0))</f>
        <v>0</v>
      </c>
      <c r="R264" s="647">
        <f ca="1">IF($C$204&lt;'General Inputs'!$J$11,0,IF(DevBdgt!R$6=DispositionMonth,FV((1+$C264)^(1/12)-1,DevBdgt!R$6,0,$C263),0))</f>
        <v>0</v>
      </c>
      <c r="S264" s="647">
        <f ca="1">IF($C$204&lt;'General Inputs'!$J$11,0,IF(DevBdgt!S$6=DispositionMonth,FV((1+$C264)^(1/12)-1,DevBdgt!S$6,0,$C263),0))</f>
        <v>0</v>
      </c>
      <c r="T264" s="647">
        <f ca="1">IF($C$204&lt;'General Inputs'!$J$11,0,IF(DevBdgt!T$6=DispositionMonth,FV((1+$C264)^(1/12)-1,DevBdgt!T$6,0,$C263),0))</f>
        <v>0</v>
      </c>
      <c r="U264" s="647">
        <f ca="1">IF($C$204&lt;'General Inputs'!$J$11,0,IF(DevBdgt!U$6=DispositionMonth,FV((1+$C264)^(1/12)-1,DevBdgt!U$6,0,$C263),0))</f>
        <v>0</v>
      </c>
      <c r="V264" s="647">
        <f ca="1">IF($C$204&lt;'General Inputs'!$J$11,0,IF(DevBdgt!V$6=DispositionMonth,FV((1+$C264)^(1/12)-1,DevBdgt!V$6,0,$C263),0))</f>
        <v>0</v>
      </c>
      <c r="W264" s="647">
        <f ca="1">IF($C$204&lt;'General Inputs'!$J$11,0,IF(DevBdgt!W$6=DispositionMonth,FV((1+$C264)^(1/12)-1,DevBdgt!W$6,0,$C263),0))</f>
        <v>0</v>
      </c>
      <c r="X264" s="647">
        <f ca="1">IF($C$204&lt;'General Inputs'!$J$11,0,IF(DevBdgt!X$6=DispositionMonth,FV((1+$C264)^(1/12)-1,DevBdgt!X$6,0,$C263),0))</f>
        <v>0</v>
      </c>
      <c r="Y264" s="647">
        <f ca="1">IF($C$204&lt;'General Inputs'!$J$11,0,IF(DevBdgt!Y$6=DispositionMonth,FV((1+$C264)^(1/12)-1,DevBdgt!Y$6,0,$C263),0))</f>
        <v>0</v>
      </c>
      <c r="Z264" s="647">
        <f ca="1">IF($C$204&lt;'General Inputs'!$J$11,0,IF(DevBdgt!Z$6=DispositionMonth,FV((1+$C264)^(1/12)-1,DevBdgt!Z$6,0,$C263),0))</f>
        <v>0</v>
      </c>
      <c r="AA264" s="647">
        <f ca="1">IF($C$204&lt;'General Inputs'!$J$11,0,IF(DevBdgt!AA$6=DispositionMonth,FV((1+$C264)^(1/12)-1,DevBdgt!AA$6,0,$C263),0))</f>
        <v>0</v>
      </c>
      <c r="AB264" s="647">
        <f ca="1">IF($C$204&lt;'General Inputs'!$J$11,0,IF(DevBdgt!AB$6=DispositionMonth,FV((1+$C264)^(1/12)-1,DevBdgt!AB$6,0,$C263),0))</f>
        <v>0</v>
      </c>
      <c r="AC264" s="647">
        <f ca="1">IF($C$204&lt;'General Inputs'!$J$11,0,IF(DevBdgt!AC$6=DispositionMonth,FV((1+$C264)^(1/12)-1,DevBdgt!AC$6,0,$C263),0))</f>
        <v>0</v>
      </c>
      <c r="AD264" s="647">
        <f ca="1">IF($C$204&lt;'General Inputs'!$J$11,0,IF(DevBdgt!AD$6=DispositionMonth,FV((1+$C264)^(1/12)-1,DevBdgt!AD$6,0,$C263),0))</f>
        <v>0</v>
      </c>
      <c r="AE264" s="647">
        <f ca="1">IF($C$204&lt;'General Inputs'!$J$11,0,IF(DevBdgt!AE$6=DispositionMonth,FV((1+$C264)^(1/12)-1,DevBdgt!AE$6,0,$C263),0))</f>
        <v>0</v>
      </c>
      <c r="AF264" s="647">
        <f ca="1">IF($C$204&lt;'General Inputs'!$J$11,0,IF(DevBdgt!AF$6=DispositionMonth,FV((1+$C264)^(1/12)-1,DevBdgt!AF$6,0,$C263),0))</f>
        <v>0</v>
      </c>
      <c r="AG264" s="647">
        <f ca="1">IF($C$204&lt;'General Inputs'!$J$11,0,IF(DevBdgt!AG$6=DispositionMonth,FV((1+$C264)^(1/12)-1,DevBdgt!AG$6,0,$C263),0))</f>
        <v>3720655.6855863244</v>
      </c>
      <c r="AH264" s="647">
        <f ca="1">IF($C$204&lt;'General Inputs'!$J$11,0,IF(DevBdgt!AH$6=DispositionMonth,FV((1+$C264)^(1/12)-1,DevBdgt!AH$6,0,$C263),0))</f>
        <v>0</v>
      </c>
      <c r="AI264" s="647">
        <f ca="1">IF($C$204&lt;'General Inputs'!$J$11,0,IF(DevBdgt!AI$6=DispositionMonth,FV((1+$C264)^(1/12)-1,DevBdgt!AI$6,0,$C263),0))</f>
        <v>0</v>
      </c>
      <c r="AJ264" s="647">
        <f ca="1">IF($C$204&lt;'General Inputs'!$J$11,0,IF(DevBdgt!AJ$6=DispositionMonth,FV((1+$C264)^(1/12)-1,DevBdgt!AJ$6,0,$C263),0))</f>
        <v>0</v>
      </c>
      <c r="AK264" s="647">
        <f ca="1">IF($C$204&lt;'General Inputs'!$J$11,0,IF(DevBdgt!AK$6=DispositionMonth,FV((1+$C264)^(1/12)-1,DevBdgt!AK$6,0,$C263),0))</f>
        <v>0</v>
      </c>
      <c r="AL264" s="647">
        <f ca="1">IF($C$204&lt;'General Inputs'!$J$11,0,IF(DevBdgt!AL$6=DispositionMonth,FV((1+$C264)^(1/12)-1,DevBdgt!AL$6,0,$C263),0))</f>
        <v>0</v>
      </c>
      <c r="AM264" s="647">
        <f ca="1">IF($C$204&lt;'General Inputs'!$J$11,0,IF(DevBdgt!AM$6=DispositionMonth,FV((1+$C264)^(1/12)-1,DevBdgt!AM$6,0,$C263),0))</f>
        <v>0</v>
      </c>
      <c r="AN264" s="647">
        <f ca="1">IF($C$204&lt;'General Inputs'!$J$11,0,IF(DevBdgt!AN$6=DispositionMonth,FV((1+$C264)^(1/12)-1,DevBdgt!AN$6,0,$C263),0))</f>
        <v>0</v>
      </c>
      <c r="AO264" s="647">
        <f ca="1">IF($C$204&lt;'General Inputs'!$J$11,0,IF(DevBdgt!AO$6=DispositionMonth,FV((1+$C264)^(1/12)-1,DevBdgt!AO$6,0,$C263),0))</f>
        <v>0</v>
      </c>
      <c r="AP264" s="647">
        <f ca="1">IF($C$204&lt;'General Inputs'!$J$11,0,IF(DevBdgt!AP$6=DispositionMonth,FV((1+$C264)^(1/12)-1,DevBdgt!AP$6,0,$C263),0))</f>
        <v>0</v>
      </c>
      <c r="AQ264" s="647">
        <f ca="1">IF($C$204&lt;'General Inputs'!$J$11,0,IF(DevBdgt!AQ$6=DispositionMonth,FV((1+$C264)^(1/12)-1,DevBdgt!AQ$6,0,$C263),0))</f>
        <v>0</v>
      </c>
      <c r="AR264" s="647">
        <f ca="1">IF($C$204&lt;'General Inputs'!$J$11,0,IF(DevBdgt!AR$6=DispositionMonth,FV((1+$C264)^(1/12)-1,DevBdgt!AR$6,0,$C263),0))</f>
        <v>0</v>
      </c>
      <c r="AS264" s="647">
        <f ca="1">IF($C$204&lt;'General Inputs'!$J$11,0,IF(DevBdgt!AS$6=DispositionMonth,FV((1+$C264)^(1/12)-1,DevBdgt!AS$6,0,$C263),0))</f>
        <v>0</v>
      </c>
      <c r="AT264" s="647">
        <f ca="1">IF($C$204&lt;'General Inputs'!$J$11,0,IF(DevBdgt!AT$6=DispositionMonth,FV((1+$C264)^(1/12)-1,DevBdgt!AT$6,0,$C263),0))</f>
        <v>0</v>
      </c>
      <c r="AU264" s="647">
        <f ca="1">IF($C$204&lt;'General Inputs'!$J$11,0,IF(DevBdgt!AU$6=DispositionMonth,FV((1+$C264)^(1/12)-1,DevBdgt!AU$6,0,$C263),0))</f>
        <v>0</v>
      </c>
      <c r="AV264" s="647">
        <f ca="1">IF($C$204&lt;'General Inputs'!$J$11,0,IF(DevBdgt!AV$6=DispositionMonth,FV((1+$C264)^(1/12)-1,DevBdgt!AV$6,0,$C263),0))</f>
        <v>0</v>
      </c>
      <c r="AW264" s="647">
        <f ca="1">IF($C$204&lt;'General Inputs'!$J$11,0,IF(DevBdgt!AW$6=DispositionMonth,FV((1+$C264)^(1/12)-1,DevBdgt!AW$6,0,$C263),0))</f>
        <v>0</v>
      </c>
      <c r="AX264" s="647">
        <f ca="1">IF($C$204&lt;'General Inputs'!$J$11,0,IF(DevBdgt!AX$6=DispositionMonth,FV((1+$C264)^(1/12)-1,DevBdgt!AX$6,0,$C263),0))</f>
        <v>0</v>
      </c>
      <c r="AY264" s="647">
        <f ca="1">IF($C$204&lt;'General Inputs'!$J$11,0,IF(DevBdgt!AY$6=DispositionMonth,FV((1+$C264)^(1/12)-1,DevBdgt!AY$6,0,$C263),0))</f>
        <v>0</v>
      </c>
      <c r="AZ264" s="647">
        <f ca="1">IF($C$204&lt;'General Inputs'!$J$11,0,IF(DevBdgt!AZ$6=DispositionMonth,FV((1+$C264)^(1/12)-1,DevBdgt!AZ$6,0,$C263),0))</f>
        <v>0</v>
      </c>
      <c r="BA264" s="647">
        <f ca="1">IF($C$204&lt;'General Inputs'!$J$11,0,IF(DevBdgt!BA$6=DispositionMonth,FV((1+$C264)^(1/12)-1,DevBdgt!BA$6,0,$C263),0))</f>
        <v>0</v>
      </c>
      <c r="BB264" s="647">
        <f ca="1">IF($C$204&lt;'General Inputs'!$J$11,0,IF(DevBdgt!BB$6=DispositionMonth,FV((1+$C264)^(1/12)-1,DevBdgt!BB$6,0,$C263),0))</f>
        <v>0</v>
      </c>
      <c r="BC264" s="647">
        <f ca="1">IF($C$204&lt;'General Inputs'!$J$11,0,IF(DevBdgt!BC$6=DispositionMonth,FV((1+$C264)^(1/12)-1,DevBdgt!BC$6,0,$C263),0))</f>
        <v>0</v>
      </c>
      <c r="BD264" s="647">
        <f ca="1">IF($C$204&lt;'General Inputs'!$J$11,0,IF(DevBdgt!BD$6=DispositionMonth,FV((1+$C264)^(1/12)-1,DevBdgt!BD$6,0,$C263),0))</f>
        <v>0</v>
      </c>
      <c r="BE264" s="647">
        <f ca="1">IF($C$204&lt;'General Inputs'!$J$11,0,IF(DevBdgt!BE$6=DispositionMonth,FV((1+$C264)^(1/12)-1,DevBdgt!BE$6,0,$C263),0))</f>
        <v>0</v>
      </c>
      <c r="BF264" s="647">
        <f ca="1">IF($C$204&lt;'General Inputs'!$J$11,0,IF(DevBdgt!BF$6=DispositionMonth,FV((1+$C264)^(1/12)-1,DevBdgt!BF$6,0,$C263),0))</f>
        <v>0</v>
      </c>
      <c r="BG264" s="647">
        <f ca="1">IF($C$204&lt;'General Inputs'!$J$11,0,IF(DevBdgt!BG$6=DispositionMonth,FV((1+$C264)^(1/12)-1,DevBdgt!BG$6,0,$C263),0))</f>
        <v>0</v>
      </c>
      <c r="BH264" s="647">
        <f ca="1">IF($C$204&lt;'General Inputs'!$J$11,0,IF(DevBdgt!BH$6=DispositionMonth,FV((1+$C264)^(1/12)-1,DevBdgt!BH$6,0,$C263),0))</f>
        <v>0</v>
      </c>
      <c r="BI264" s="647">
        <f ca="1">IF($C$204&lt;'General Inputs'!$J$11,0,IF(DevBdgt!BI$6=DispositionMonth,FV((1+$C264)^(1/12)-1,DevBdgt!BI$6,0,$C263),0))</f>
        <v>0</v>
      </c>
      <c r="BJ264" s="647">
        <f ca="1">IF($C$204&lt;'General Inputs'!$J$11,0,IF(DevBdgt!BJ$6=DispositionMonth,FV((1+$C264)^(1/12)-1,DevBdgt!BJ$6,0,$C263),0))</f>
        <v>0</v>
      </c>
      <c r="BK264" s="647">
        <f ca="1">IF($C$204&lt;'General Inputs'!$J$11,0,IF(DevBdgt!BK$6=DispositionMonth,FV((1+$C264)^(1/12)-1,DevBdgt!BK$6,0,$C263),0))</f>
        <v>0</v>
      </c>
      <c r="BL264" s="647">
        <f ca="1">IF($C$204&lt;'General Inputs'!$J$11,0,IF(DevBdgt!BL$6=DispositionMonth,FV((1+$C264)^(1/12)-1,DevBdgt!BL$6,0,$C263),0))</f>
        <v>0</v>
      </c>
      <c r="BM264" s="647">
        <f ca="1">IF($C$204&lt;'General Inputs'!$J$11,0,IF(DevBdgt!BM$6=DispositionMonth,FV((1+$C264)^(1/12)-1,DevBdgt!BM$6,0,$C263),0))</f>
        <v>0</v>
      </c>
      <c r="BN264" s="647">
        <f ca="1">IF($C$204&lt;'General Inputs'!$J$11,0,IF(DevBdgt!BN$6=DispositionMonth,FV((1+$C264)^(1/12)-1,DevBdgt!BN$6,0,$C263),0))</f>
        <v>0</v>
      </c>
      <c r="BO264" s="647">
        <f ca="1">IF($C$204&lt;'General Inputs'!$J$11,0,IF(DevBdgt!BO$6=DispositionMonth,FV((1+$C264)^(1/12)-1,DevBdgt!BO$6,0,$C263),0))</f>
        <v>0</v>
      </c>
      <c r="BP264" s="647">
        <f ca="1">IF($C$204&lt;'General Inputs'!$J$11,0,IF(DevBdgt!BP$6=DispositionMonth,FV((1+$C264)^(1/12)-1,DevBdgt!BP$6,0,$C263),0))</f>
        <v>0</v>
      </c>
      <c r="BQ264" s="647">
        <f ca="1">IF($C$204&lt;'General Inputs'!$J$11,0,IF(DevBdgt!BQ$6=DispositionMonth,FV((1+$C264)^(1/12)-1,DevBdgt!BQ$6,0,$C263),0))</f>
        <v>0</v>
      </c>
      <c r="BR264" s="647">
        <f ca="1">IF($C$204&lt;'General Inputs'!$J$11,0,IF(DevBdgt!BR$6=DispositionMonth,FV((1+$C264)^(1/12)-1,DevBdgt!BR$6,0,$C263),0))</f>
        <v>0</v>
      </c>
      <c r="BS264" s="647">
        <f ca="1">IF($C$204&lt;'General Inputs'!$J$11,0,IF(DevBdgt!BS$6=DispositionMonth,FV((1+$C264)^(1/12)-1,DevBdgt!BS$6,0,$C263),0))</f>
        <v>0</v>
      </c>
      <c r="BT264" s="647">
        <f ca="1">IF($C$204&lt;'General Inputs'!$J$11,0,IF(DevBdgt!BT$6=DispositionMonth,FV((1+$C264)^(1/12)-1,DevBdgt!BT$6,0,$C263),0))</f>
        <v>0</v>
      </c>
      <c r="BU264" s="647">
        <f ca="1">IF($C$204&lt;'General Inputs'!$J$11,0,IF(DevBdgt!BU$6=DispositionMonth,FV((1+$C264)^(1/12)-1,DevBdgt!BU$6,0,$C263),0))</f>
        <v>0</v>
      </c>
      <c r="BV264" s="647">
        <f ca="1">IF($C$204&lt;'General Inputs'!$J$11,0,IF(DevBdgt!BV$6=DispositionMonth,FV((1+$C264)^(1/12)-1,DevBdgt!BV$6,0,$C263),0))</f>
        <v>0</v>
      </c>
      <c r="BW264" s="647">
        <f ca="1">IF($C$204&lt;'General Inputs'!$J$11,0,IF(DevBdgt!BW$6=DispositionMonth,FV((1+$C264)^(1/12)-1,DevBdgt!BW$6,0,$C263),0))</f>
        <v>0</v>
      </c>
      <c r="BX264" s="647">
        <f ca="1">IF($C$204&lt;'General Inputs'!$J$11,0,IF(DevBdgt!BX$6=DispositionMonth,FV((1+$C264)^(1/12)-1,DevBdgt!BX$6,0,$C263),0))</f>
        <v>0</v>
      </c>
      <c r="BY264" s="647">
        <f ca="1">IF($C$204&lt;'General Inputs'!$J$11,0,IF(DevBdgt!BY$6=DispositionMonth,FV((1+$C264)^(1/12)-1,DevBdgt!BY$6,0,$C263),0))</f>
        <v>0</v>
      </c>
      <c r="BZ264" s="647">
        <f ca="1">IF($C$204&lt;'General Inputs'!$J$11,0,IF(DevBdgt!BZ$6=DispositionMonth,FV((1+$C264)^(1/12)-1,DevBdgt!BZ$6,0,$C263),0))</f>
        <v>0</v>
      </c>
      <c r="CA264" s="647">
        <f ca="1">IF($C$204&lt;'General Inputs'!$J$11,0,IF(DevBdgt!CA$6=DispositionMonth,FV((1+$C264)^(1/12)-1,DevBdgt!CA$6,0,$C263),0))</f>
        <v>0</v>
      </c>
      <c r="CB264" s="647">
        <f ca="1">IF($C$204&lt;'General Inputs'!$J$11,0,IF(DevBdgt!CB$6=DispositionMonth,FV((1+$C264)^(1/12)-1,DevBdgt!CB$6,0,$C263),0))</f>
        <v>0</v>
      </c>
      <c r="CC264" s="647">
        <f ca="1">IF($C$204&lt;'General Inputs'!$J$11,0,IF(DevBdgt!CC$6=DispositionMonth,FV((1+$C264)^(1/12)-1,DevBdgt!CC$6,0,$C263),0))</f>
        <v>0</v>
      </c>
      <c r="CD264" s="647">
        <f ca="1">IF($C$204&lt;'General Inputs'!$J$11,0,IF(DevBdgt!CD$6=DispositionMonth,FV((1+$C264)^(1/12)-1,DevBdgt!CD$6,0,$C263),0))</f>
        <v>0</v>
      </c>
      <c r="CE264" s="647">
        <f ca="1">IF($C$204&lt;'General Inputs'!$J$11,0,IF(DevBdgt!CE$6=DispositionMonth,FV((1+$C264)^(1/12)-1,DevBdgt!CE$6,0,$C263),0))</f>
        <v>0</v>
      </c>
      <c r="CF264" s="647">
        <f ca="1">IF($C$204&lt;'General Inputs'!$J$11,0,IF(DevBdgt!CF$6=DispositionMonth,FV((1+$C264)^(1/12)-1,DevBdgt!CF$6,0,$C263),0))</f>
        <v>0</v>
      </c>
      <c r="CG264" s="647">
        <f ca="1">IF($C$204&lt;'General Inputs'!$J$11,0,IF(DevBdgt!CG$6=DispositionMonth,FV((1+$C264)^(1/12)-1,DevBdgt!CG$6,0,$C263),0))</f>
        <v>0</v>
      </c>
      <c r="CH264" s="647">
        <f ca="1">IF($C$204&lt;'General Inputs'!$J$11,0,IF(DevBdgt!CH$6=DispositionMonth,FV((1+$C264)^(1/12)-1,DevBdgt!CH$6,0,$C263),0))</f>
        <v>0</v>
      </c>
      <c r="CI264" s="647">
        <f ca="1">IF($C$204&lt;'General Inputs'!$J$11,0,IF(DevBdgt!CI$6=DispositionMonth,FV((1+$C264)^(1/12)-1,DevBdgt!CI$6,0,$C263),0))</f>
        <v>0</v>
      </c>
      <c r="CJ264" s="647">
        <f ca="1">IF($C$204&lt;'General Inputs'!$J$11,0,IF(DevBdgt!CJ$6=DispositionMonth,FV((1+$C264)^(1/12)-1,DevBdgt!CJ$6,0,$C263),0))</f>
        <v>0</v>
      </c>
      <c r="CK264" s="647">
        <f ca="1">IF($C$204&lt;'General Inputs'!$J$11,0,IF(DevBdgt!CK$6=DispositionMonth,FV((1+$C264)^(1/12)-1,DevBdgt!CK$6,0,$C263),0))</f>
        <v>0</v>
      </c>
      <c r="CL264" s="647">
        <f ca="1">IF($C$204&lt;'General Inputs'!$J$11,0,IF(DevBdgt!CL$6=DispositionMonth,FV((1+$C264)^(1/12)-1,DevBdgt!CL$6,0,$C263),0))</f>
        <v>0</v>
      </c>
      <c r="CM264" s="647">
        <f ca="1">IF($C$204&lt;'General Inputs'!$J$11,0,IF(DevBdgt!CM$6=DispositionMonth,FV((1+$C264)^(1/12)-1,DevBdgt!CM$6,0,$C263),0))</f>
        <v>0</v>
      </c>
      <c r="CN264" s="647">
        <f ca="1">IF($C$204&lt;'General Inputs'!$J$11,0,IF(DevBdgt!CN$6=DispositionMonth,FV((1+$C264)^(1/12)-1,DevBdgt!CN$6,0,$C263),0))</f>
        <v>0</v>
      </c>
      <c r="CO264" s="647">
        <f ca="1">IF($C$204&lt;'General Inputs'!$J$11,0,IF(DevBdgt!CO$6=DispositionMonth,FV((1+$C264)^(1/12)-1,DevBdgt!CO$6,0,$C263),0))</f>
        <v>0</v>
      </c>
      <c r="CP264" s="647">
        <f ca="1">IF($C$204&lt;'General Inputs'!$J$11,0,IF(DevBdgt!CP$6=DispositionMonth,FV((1+$C264)^(1/12)-1,DevBdgt!CP$6,0,$C263),0))</f>
        <v>0</v>
      </c>
      <c r="CQ264" s="647">
        <f ca="1">IF($C$204&lt;'General Inputs'!$J$11,0,IF(DevBdgt!CQ$6=DispositionMonth,FV((1+$C264)^(1/12)-1,DevBdgt!CQ$6,0,$C263),0))</f>
        <v>0</v>
      </c>
      <c r="CR264" s="647">
        <f ca="1">IF($C$204&lt;'General Inputs'!$J$11,0,IF(DevBdgt!CR$6=DispositionMonth,FV((1+$C264)^(1/12)-1,DevBdgt!CR$6,0,$C263),0))</f>
        <v>0</v>
      </c>
      <c r="CS264" s="647">
        <f ca="1">IF($C$204&lt;'General Inputs'!$J$11,0,IF(DevBdgt!CS$6=DispositionMonth,FV((1+$C264)^(1/12)-1,DevBdgt!CS$6,0,$C263),0))</f>
        <v>0</v>
      </c>
      <c r="CT264" s="647">
        <f ca="1">IF($C$204&lt;'General Inputs'!$J$11,0,IF(DevBdgt!CT$6=DispositionMonth,FV((1+$C264)^(1/12)-1,DevBdgt!CT$6,0,$C263),0))</f>
        <v>0</v>
      </c>
      <c r="CU264" s="647">
        <f ca="1">IF($C$204&lt;'General Inputs'!$J$11,0,IF(DevBdgt!CU$6=DispositionMonth,FV((1+$C264)^(1/12)-1,DevBdgt!CU$6,0,$C263),0))</f>
        <v>0</v>
      </c>
      <c r="CV264" s="647">
        <f ca="1">IF($C$204&lt;'General Inputs'!$J$11,0,IF(DevBdgt!CV$6=DispositionMonth,FV((1+$C264)^(1/12)-1,DevBdgt!CV$6,0,$C263),0))</f>
        <v>0</v>
      </c>
      <c r="CW264" s="647">
        <f ca="1">IF($C$204&lt;'General Inputs'!$J$11,0,IF(DevBdgt!CW$6=DispositionMonth,FV((1+$C264)^(1/12)-1,DevBdgt!CW$6,0,$C263),0))</f>
        <v>0</v>
      </c>
      <c r="CX264" s="647">
        <f ca="1">IF($C$204&lt;'General Inputs'!$J$11,0,IF(DevBdgt!CX$6=DispositionMonth,FV((1+$C264)^(1/12)-1,DevBdgt!CX$6,0,$C263),0))</f>
        <v>0</v>
      </c>
      <c r="CY264" s="647">
        <f ca="1">IF($C$204&lt;'General Inputs'!$J$11,0,IF(DevBdgt!CY$6=DispositionMonth,FV((1+$C264)^(1/12)-1,DevBdgt!CY$6,0,$C263),0))</f>
        <v>0</v>
      </c>
      <c r="CZ264" s="647">
        <f ca="1">IF($C$204&lt;'General Inputs'!$J$11,0,IF(DevBdgt!CZ$6=DispositionMonth,FV((1+$C264)^(1/12)-1,DevBdgt!CZ$6,0,$C263),0))</f>
        <v>0</v>
      </c>
      <c r="DA264" s="647">
        <f ca="1">IF($C$204&lt;'General Inputs'!$J$11,0,IF(DevBdgt!DA$6=DispositionMonth,FV((1+$C264)^(1/12)-1,DevBdgt!DA$6,0,$C263),0))</f>
        <v>0</v>
      </c>
      <c r="DB264" s="647">
        <f ca="1">IF($C$204&lt;'General Inputs'!$J$11,0,IF(DevBdgt!DB$6=DispositionMonth,FV((1+$C264)^(1/12)-1,DevBdgt!DB$6,0,$C263),0))</f>
        <v>0</v>
      </c>
      <c r="DC264" s="647">
        <f ca="1">IF($C$204&lt;'General Inputs'!$J$11,0,IF(DevBdgt!DC$6=DispositionMonth,FV((1+$C264)^(1/12)-1,DevBdgt!DC$6,0,$C263),0))</f>
        <v>0</v>
      </c>
      <c r="DD264" s="647">
        <f ca="1">IF($C$204&lt;'General Inputs'!$J$11,0,IF(DevBdgt!DD$6=DispositionMonth,FV((1+$C264)^(1/12)-1,DevBdgt!DD$6,0,$C263),0))</f>
        <v>0</v>
      </c>
      <c r="DE264" s="647">
        <f ca="1">IF($C$204&lt;'General Inputs'!$J$11,0,IF(DevBdgt!DE$6=DispositionMonth,FV((1+$C264)^(1/12)-1,DevBdgt!DE$6,0,$C263),0))</f>
        <v>0</v>
      </c>
      <c r="DF264" s="647">
        <f ca="1">IF($C$204&lt;'General Inputs'!$J$11,0,IF(DevBdgt!DF$6=DispositionMonth,FV((1+$C264)^(1/12)-1,DevBdgt!DF$6,0,$C263),0))</f>
        <v>0</v>
      </c>
      <c r="DG264" s="647">
        <f ca="1">IF($C$204&lt;'General Inputs'!$J$11,0,IF(DevBdgt!DG$6=DispositionMonth,FV((1+$C264)^(1/12)-1,DevBdgt!DG$6,0,$C263),0))</f>
        <v>0</v>
      </c>
      <c r="DH264" s="647">
        <f ca="1">IF($C$204&lt;'General Inputs'!$J$11,0,IF(DevBdgt!DH$6=DispositionMonth,FV((1+$C264)^(1/12)-1,DevBdgt!DH$6,0,$C263),0))</f>
        <v>0</v>
      </c>
      <c r="DI264" s="647">
        <f ca="1">IF($C$204&lt;'General Inputs'!$J$11,0,IF(DevBdgt!DI$6=DispositionMonth,FV((1+$C264)^(1/12)-1,DevBdgt!DI$6,0,$C263),0))</f>
        <v>0</v>
      </c>
      <c r="DJ264" s="647">
        <f ca="1">IF($C$204&lt;'General Inputs'!$J$11,0,IF(DevBdgt!DJ$6=DispositionMonth,FV((1+$C264)^(1/12)-1,DevBdgt!DJ$6,0,$C263),0))</f>
        <v>0</v>
      </c>
      <c r="DK264" s="647">
        <f ca="1">IF($C$204&lt;'General Inputs'!$J$11,0,IF(DevBdgt!DK$6=DispositionMonth,FV((1+$C264)^(1/12)-1,DevBdgt!DK$6,0,$C263),0))</f>
        <v>0</v>
      </c>
      <c r="DL264" s="647">
        <f ca="1">IF($C$204&lt;'General Inputs'!$J$11,0,IF(DevBdgt!DL$6=DispositionMonth,FV((1+$C264)^(1/12)-1,DevBdgt!DL$6,0,$C263),0))</f>
        <v>0</v>
      </c>
      <c r="DM264" s="647">
        <f ca="1">IF($C$204&lt;'General Inputs'!$J$11,0,IF(DevBdgt!DM$6=DispositionMonth,FV((1+$C264)^(1/12)-1,DevBdgt!DM$6,0,$C263),0))</f>
        <v>0</v>
      </c>
      <c r="DN264" s="647">
        <f ca="1">IF($C$204&lt;'General Inputs'!$J$11,0,IF(DevBdgt!DN$6=DispositionMonth,FV((1+$C264)^(1/12)-1,DevBdgt!DN$6,0,$C263),0))</f>
        <v>0</v>
      </c>
      <c r="DO264" s="647">
        <f ca="1">IF($C$204&lt;'General Inputs'!$J$11,0,IF(DevBdgt!DO$6=DispositionMonth,FV((1+$C264)^(1/12)-1,DevBdgt!DO$6,0,$C263),0))</f>
        <v>0</v>
      </c>
      <c r="DP264" s="647">
        <f ca="1">IF($C$204&lt;'General Inputs'!$J$11,0,IF(DevBdgt!DP$6=DispositionMonth,FV((1+$C264)^(1/12)-1,DevBdgt!DP$6,0,$C263),0))</f>
        <v>0</v>
      </c>
      <c r="DQ264" s="647">
        <f ca="1">IF($C$204&lt;'General Inputs'!$J$11,0,IF(DevBdgt!DQ$6=DispositionMonth,FV((1+$C264)^(1/12)-1,DevBdgt!DQ$6,0,$C263),0))</f>
        <v>0</v>
      </c>
      <c r="DR264" s="647">
        <f ca="1">IF($C$204&lt;'General Inputs'!$J$11,0,IF(DevBdgt!DR$6=DispositionMonth,FV((1+$C264)^(1/12)-1,DevBdgt!DR$6,0,$C263),0))</f>
        <v>0</v>
      </c>
      <c r="DS264" s="647">
        <f ca="1">IF($C$204&lt;'General Inputs'!$J$11,0,IF(DevBdgt!DS$6=DispositionMonth,FV((1+$C264)^(1/12)-1,DevBdgt!DS$6,0,$C263),0))</f>
        <v>0</v>
      </c>
      <c r="DT264" s="647">
        <f ca="1">IF($C$204&lt;'General Inputs'!$J$11,0,IF(DevBdgt!DT$6=DispositionMonth,FV((1+$C264)^(1/12)-1,DevBdgt!DT$6,0,$C263),0))</f>
        <v>0</v>
      </c>
      <c r="DU264" s="647">
        <f ca="1">IF($C$204&lt;'General Inputs'!$J$11,0,IF(DevBdgt!DU$6=DispositionMonth,FV((1+$C264)^(1/12)-1,DevBdgt!DU$6,0,$C263),0))</f>
        <v>0</v>
      </c>
      <c r="EI264" s="734"/>
    </row>
    <row r="265" spans="1:139" s="200" customFormat="1" hidden="1" x14ac:dyDescent="0.3">
      <c r="A265" s="282" t="s">
        <v>2507</v>
      </c>
      <c r="B265" s="282"/>
      <c r="C265" s="743">
        <f>'General Inputs'!H32</f>
        <v>0</v>
      </c>
      <c r="D265" s="686"/>
      <c r="E265" s="647">
        <f ca="1">IF($C$204&lt;'General Inputs'!$J$11,0,IF(E$5=DispositionMonth,('General Inputs'!$J$8*(Waterfalls!$C$265-1))-SUM(Waterfalls!$E262:E262),0))</f>
        <v>0</v>
      </c>
      <c r="F265" s="647">
        <f ca="1">IF($C$204&lt;'General Inputs'!$J$11,0,IF(F$5=DispositionMonth,('General Inputs'!$J$8*(Waterfalls!$C$265-1))-SUM(Waterfalls!$E262:F262),0))</f>
        <v>0</v>
      </c>
      <c r="G265" s="647">
        <f ca="1">IF($C$204&lt;'General Inputs'!$J$11,0,IF(G$5=DispositionMonth,('General Inputs'!$J$8*(Waterfalls!$C$265-1))-SUM(Waterfalls!$E262:G262),0))</f>
        <v>0</v>
      </c>
      <c r="H265" s="647">
        <f ca="1">IF($C$204&lt;'General Inputs'!$J$11,0,IF(H$5=DispositionMonth,('General Inputs'!$J$8*(Waterfalls!$C$265-1))-SUM(Waterfalls!$E262:H262),0))</f>
        <v>0</v>
      </c>
      <c r="I265" s="647">
        <f ca="1">IF($C$204&lt;'General Inputs'!$J$11,0,IF(I$5=DispositionMonth,('General Inputs'!$J$8*(Waterfalls!$C$265-1))-SUM(Waterfalls!$E262:I262),0))</f>
        <v>0</v>
      </c>
      <c r="J265" s="647">
        <f ca="1">IF($C$204&lt;'General Inputs'!$J$11,0,IF(J$5=DispositionMonth,('General Inputs'!$J$8*(Waterfalls!$C$265-1))-SUM(Waterfalls!$E262:J262),0))</f>
        <v>0</v>
      </c>
      <c r="K265" s="647">
        <f ca="1">IF($C$204&lt;'General Inputs'!$J$11,0,IF(K$5=DispositionMonth,('General Inputs'!$J$8*(Waterfalls!$C$265-1))-SUM(Waterfalls!$E262:K262),0))</f>
        <v>0</v>
      </c>
      <c r="L265" s="647">
        <f ca="1">IF($C$204&lt;'General Inputs'!$J$11,0,IF(L$5=DispositionMonth,('General Inputs'!$J$8*(Waterfalls!$C$265-1))-SUM(Waterfalls!$E262:L262),0))</f>
        <v>0</v>
      </c>
      <c r="M265" s="647">
        <f ca="1">IF($C$204&lt;'General Inputs'!$J$11,0,IF(M$5=DispositionMonth,('General Inputs'!$J$8*(Waterfalls!$C$265-1))-SUM(Waterfalls!$E262:M262),0))</f>
        <v>0</v>
      </c>
      <c r="N265" s="647">
        <f ca="1">IF($C$204&lt;'General Inputs'!$J$11,0,IF(N$5=DispositionMonth,('General Inputs'!$J$8*(Waterfalls!$C$265-1))-SUM(Waterfalls!$E262:N262),0))</f>
        <v>0</v>
      </c>
      <c r="O265" s="647">
        <f ca="1">IF($C$204&lt;'General Inputs'!$J$11,0,IF(O$5=DispositionMonth,('General Inputs'!$J$8*(Waterfalls!$C$265-1))-SUM(Waterfalls!$E262:O262),0))</f>
        <v>0</v>
      </c>
      <c r="P265" s="647">
        <f ca="1">IF($C$204&lt;'General Inputs'!$J$11,0,IF(P$5=DispositionMonth,('General Inputs'!$J$8*(Waterfalls!$C$265-1))-SUM(Waterfalls!$E262:P262),0))</f>
        <v>0</v>
      </c>
      <c r="Q265" s="647">
        <f ca="1">IF($C$204&lt;'General Inputs'!$J$11,0,IF(Q$5=DispositionMonth,('General Inputs'!$J$8*(Waterfalls!$C$265-1))-SUM(Waterfalls!$E262:Q262),0))</f>
        <v>0</v>
      </c>
      <c r="R265" s="647">
        <f ca="1">IF($C$204&lt;'General Inputs'!$J$11,0,IF(R$5=DispositionMonth,('General Inputs'!$J$8*(Waterfalls!$C$265-1))-SUM(Waterfalls!$E262:R262),0))</f>
        <v>0</v>
      </c>
      <c r="S265" s="647">
        <f ca="1">IF($C$204&lt;'General Inputs'!$J$11,0,IF(S$5=DispositionMonth,('General Inputs'!$J$8*(Waterfalls!$C$265-1))-SUM(Waterfalls!$E262:S262),0))</f>
        <v>0</v>
      </c>
      <c r="T265" s="647">
        <f ca="1">IF($C$204&lt;'General Inputs'!$J$11,0,IF(T$5=DispositionMonth,('General Inputs'!$J$8*(Waterfalls!$C$265-1))-SUM(Waterfalls!$E262:T262),0))</f>
        <v>0</v>
      </c>
      <c r="U265" s="647">
        <f ca="1">IF($C$204&lt;'General Inputs'!$J$11,0,IF(U$5=DispositionMonth,('General Inputs'!$J$8*(Waterfalls!$C$265-1))-SUM(Waterfalls!$E262:U262),0))</f>
        <v>0</v>
      </c>
      <c r="V265" s="647">
        <f ca="1">IF($C$204&lt;'General Inputs'!$J$11,0,IF(V$5=DispositionMonth,('General Inputs'!$J$8*(Waterfalls!$C$265-1))-SUM(Waterfalls!$E262:V262),0))</f>
        <v>0</v>
      </c>
      <c r="W265" s="647">
        <f ca="1">IF($C$204&lt;'General Inputs'!$J$11,0,IF(W$5=DispositionMonth,('General Inputs'!$J$8*(Waterfalls!$C$265-1))-SUM(Waterfalls!$E262:W262),0))</f>
        <v>0</v>
      </c>
      <c r="X265" s="647">
        <f ca="1">IF($C$204&lt;'General Inputs'!$J$11,0,IF(X$5=DispositionMonth,('General Inputs'!$J$8*(Waterfalls!$C$265-1))-SUM(Waterfalls!$E262:X262),0))</f>
        <v>0</v>
      </c>
      <c r="Y265" s="647">
        <f ca="1">IF($C$204&lt;'General Inputs'!$J$11,0,IF(Y$5=DispositionMonth,('General Inputs'!$J$8*(Waterfalls!$C$265-1))-SUM(Waterfalls!$E262:Y262),0))</f>
        <v>0</v>
      </c>
      <c r="Z265" s="647">
        <f ca="1">IF($C$204&lt;'General Inputs'!$J$11,0,IF(Z$5=DispositionMonth,('General Inputs'!$J$8*(Waterfalls!$C$265-1))-SUM(Waterfalls!$E262:Z262),0))</f>
        <v>0</v>
      </c>
      <c r="AA265" s="647">
        <f ca="1">IF($C$204&lt;'General Inputs'!$J$11,0,IF(AA$5=DispositionMonth,('General Inputs'!$J$8*(Waterfalls!$C$265-1))-SUM(Waterfalls!$E262:AA262),0))</f>
        <v>0</v>
      </c>
      <c r="AB265" s="647">
        <f ca="1">IF($C$204&lt;'General Inputs'!$J$11,0,IF(AB$5=DispositionMonth,('General Inputs'!$J$8*(Waterfalls!$C$265-1))-SUM(Waterfalls!$E262:AB262),0))</f>
        <v>0</v>
      </c>
      <c r="AC265" s="647">
        <f ca="1">IF($C$204&lt;'General Inputs'!$J$11,0,IF(AC$5=DispositionMonth,('General Inputs'!$J$8*(Waterfalls!$C$265-1))-SUM(Waterfalls!$E262:AC262),0))</f>
        <v>0</v>
      </c>
      <c r="AD265" s="647">
        <f ca="1">IF($C$204&lt;'General Inputs'!$J$11,0,IF(AD$5=DispositionMonth,('General Inputs'!$J$8*(Waterfalls!$C$265-1))-SUM(Waterfalls!$E262:AD262),0))</f>
        <v>0</v>
      </c>
      <c r="AE265" s="647">
        <f ca="1">IF($C$204&lt;'General Inputs'!$J$11,0,IF(AE$5=DispositionMonth,('General Inputs'!$J$8*(Waterfalls!$C$265-1))-SUM(Waterfalls!$E262:AE262),0))</f>
        <v>0</v>
      </c>
      <c r="AF265" s="647">
        <f ca="1">IF($C$204&lt;'General Inputs'!$J$11,0,IF(AF$5=DispositionMonth,('General Inputs'!$J$8*(Waterfalls!$C$265-1))-SUM(Waterfalls!$E262:AF262),0))</f>
        <v>0</v>
      </c>
      <c r="AG265" s="647">
        <f ca="1">IF($C$204&lt;'General Inputs'!$J$11,0,IF(AG$5=DispositionMonth,('General Inputs'!$J$8*(Waterfalls!$C$265-1))-SUM(Waterfalls!$E262:AG262),0))</f>
        <v>-41744795.98985219</v>
      </c>
      <c r="AH265" s="647">
        <f ca="1">IF($C$204&lt;'General Inputs'!$J$11,0,IF(AH$5=DispositionMonth,('General Inputs'!$J$8*(Waterfalls!$C$265-1))-SUM(Waterfalls!$E262:AH262),0))</f>
        <v>0</v>
      </c>
      <c r="AI265" s="647">
        <f ca="1">IF($C$204&lt;'General Inputs'!$J$11,0,IF(AI$5=DispositionMonth,('General Inputs'!$J$8*(Waterfalls!$C$265-1))-SUM(Waterfalls!$E262:AI262),0))</f>
        <v>0</v>
      </c>
      <c r="AJ265" s="647">
        <f ca="1">IF($C$204&lt;'General Inputs'!$J$11,0,IF(AJ$5=DispositionMonth,('General Inputs'!$J$8*(Waterfalls!$C$265-1))-SUM(Waterfalls!$E262:AJ262),0))</f>
        <v>0</v>
      </c>
      <c r="AK265" s="647">
        <f ca="1">IF($C$204&lt;'General Inputs'!$J$11,0,IF(AK$5=DispositionMonth,('General Inputs'!$J$8*(Waterfalls!$C$265-1))-SUM(Waterfalls!$E262:AK262),0))</f>
        <v>0</v>
      </c>
      <c r="AL265" s="647">
        <f ca="1">IF($C$204&lt;'General Inputs'!$J$11,0,IF(AL$5=DispositionMonth,('General Inputs'!$J$8*(Waterfalls!$C$265-1))-SUM(Waterfalls!$E262:AL262),0))</f>
        <v>0</v>
      </c>
      <c r="AM265" s="647">
        <f ca="1">IF($C$204&lt;'General Inputs'!$J$11,0,IF(AM$5=DispositionMonth,('General Inputs'!$J$8*(Waterfalls!$C$265-1))-SUM(Waterfalls!$E262:AM262),0))</f>
        <v>0</v>
      </c>
      <c r="AN265" s="647">
        <f ca="1">IF($C$204&lt;'General Inputs'!$J$11,0,IF(AN$5=DispositionMonth,('General Inputs'!$J$8*(Waterfalls!$C$265-1))-SUM(Waterfalls!$E262:AN262),0))</f>
        <v>0</v>
      </c>
      <c r="AO265" s="647">
        <f ca="1">IF($C$204&lt;'General Inputs'!$J$11,0,IF(AO$5=DispositionMonth,('General Inputs'!$J$8*(Waterfalls!$C$265-1))-SUM(Waterfalls!$E262:AO262),0))</f>
        <v>0</v>
      </c>
      <c r="AP265" s="647">
        <f ca="1">IF($C$204&lt;'General Inputs'!$J$11,0,IF(AP$5=DispositionMonth,('General Inputs'!$J$8*(Waterfalls!$C$265-1))-SUM(Waterfalls!$E262:AP262),0))</f>
        <v>0</v>
      </c>
      <c r="AQ265" s="647">
        <f ca="1">IF($C$204&lt;'General Inputs'!$J$11,0,IF(AQ$5=DispositionMonth,('General Inputs'!$J$8*(Waterfalls!$C$265-1))-SUM(Waterfalls!$E262:AQ262),0))</f>
        <v>0</v>
      </c>
      <c r="AR265" s="647">
        <f ca="1">IF($C$204&lt;'General Inputs'!$J$11,0,IF(AR$5=DispositionMonth,('General Inputs'!$J$8*(Waterfalls!$C$265-1))-SUM(Waterfalls!$E262:AR262),0))</f>
        <v>0</v>
      </c>
      <c r="AS265" s="647">
        <f ca="1">IF($C$204&lt;'General Inputs'!$J$11,0,IF(AS$5=DispositionMonth,('General Inputs'!$J$8*(Waterfalls!$C$265-1))-SUM(Waterfalls!$E262:AS262),0))</f>
        <v>0</v>
      </c>
      <c r="AT265" s="647">
        <f ca="1">IF($C$204&lt;'General Inputs'!$J$11,0,IF(AT$5=DispositionMonth,('General Inputs'!$J$8*(Waterfalls!$C$265-1))-SUM(Waterfalls!$E262:AT262),0))</f>
        <v>0</v>
      </c>
      <c r="AU265" s="647">
        <f ca="1">IF($C$204&lt;'General Inputs'!$J$11,0,IF(AU$5=DispositionMonth,('General Inputs'!$J$8*(Waterfalls!$C$265-1))-SUM(Waterfalls!$E262:AU262),0))</f>
        <v>0</v>
      </c>
      <c r="AV265" s="647">
        <f ca="1">IF($C$204&lt;'General Inputs'!$J$11,0,IF(AV$5=DispositionMonth,('General Inputs'!$J$8*(Waterfalls!$C$265-1))-SUM(Waterfalls!$E262:AV262),0))</f>
        <v>0</v>
      </c>
      <c r="AW265" s="647">
        <f ca="1">IF($C$204&lt;'General Inputs'!$J$11,0,IF(AW$5=DispositionMonth,('General Inputs'!$J$8*(Waterfalls!$C$265-1))-SUM(Waterfalls!$E262:AW262),0))</f>
        <v>0</v>
      </c>
      <c r="AX265" s="647">
        <f ca="1">IF($C$204&lt;'General Inputs'!$J$11,0,IF(AX$5=DispositionMonth,('General Inputs'!$J$8*(Waterfalls!$C$265-1))-SUM(Waterfalls!$E262:AX262),0))</f>
        <v>0</v>
      </c>
      <c r="AY265" s="647">
        <f ca="1">IF($C$204&lt;'General Inputs'!$J$11,0,IF(AY$5=DispositionMonth,('General Inputs'!$J$8*(Waterfalls!$C$265-1))-SUM(Waterfalls!$E262:AY262),0))</f>
        <v>0</v>
      </c>
      <c r="AZ265" s="647">
        <f ca="1">IF($C$204&lt;'General Inputs'!$J$11,0,IF(AZ$5=DispositionMonth,('General Inputs'!$J$8*(Waterfalls!$C$265-1))-SUM(Waterfalls!$E262:AZ262),0))</f>
        <v>0</v>
      </c>
      <c r="BA265" s="647">
        <f ca="1">IF($C$204&lt;'General Inputs'!$J$11,0,IF(BA$5=DispositionMonth,('General Inputs'!$J$8*(Waterfalls!$C$265-1))-SUM(Waterfalls!$E262:BA262),0))</f>
        <v>0</v>
      </c>
      <c r="BB265" s="647">
        <f ca="1">IF($C$204&lt;'General Inputs'!$J$11,0,IF(BB$5=DispositionMonth,('General Inputs'!$J$8*(Waterfalls!$C$265-1))-SUM(Waterfalls!$E262:BB262),0))</f>
        <v>0</v>
      </c>
      <c r="BC265" s="647">
        <f ca="1">IF($C$204&lt;'General Inputs'!$J$11,0,IF(BC$5=DispositionMonth,('General Inputs'!$J$8*(Waterfalls!$C$265-1))-SUM(Waterfalls!$E262:BC262),0))</f>
        <v>0</v>
      </c>
      <c r="BD265" s="647">
        <f ca="1">IF($C$204&lt;'General Inputs'!$J$11,0,IF(BD$5=DispositionMonth,('General Inputs'!$J$8*(Waterfalls!$C$265-1))-SUM(Waterfalls!$E262:BD262),0))</f>
        <v>0</v>
      </c>
      <c r="BE265" s="647">
        <f ca="1">IF($C$204&lt;'General Inputs'!$J$11,0,IF(BE$5=DispositionMonth,('General Inputs'!$J$8*(Waterfalls!$C$265-1))-SUM(Waterfalls!$E262:BE262),0))</f>
        <v>0</v>
      </c>
      <c r="BF265" s="647">
        <f ca="1">IF($C$204&lt;'General Inputs'!$J$11,0,IF(BF$5=DispositionMonth,('General Inputs'!$J$8*(Waterfalls!$C$265-1))-SUM(Waterfalls!$E262:BF262),0))</f>
        <v>0</v>
      </c>
      <c r="BG265" s="647">
        <f ca="1">IF($C$204&lt;'General Inputs'!$J$11,0,IF(BG$5=DispositionMonth,('General Inputs'!$J$8*(Waterfalls!$C$265-1))-SUM(Waterfalls!$E262:BG262),0))</f>
        <v>0</v>
      </c>
      <c r="BH265" s="647">
        <f ca="1">IF($C$204&lt;'General Inputs'!$J$11,0,IF(BH$5=DispositionMonth,('General Inputs'!$J$8*(Waterfalls!$C$265-1))-SUM(Waterfalls!$E262:BH262),0))</f>
        <v>0</v>
      </c>
      <c r="BI265" s="647">
        <f ca="1">IF($C$204&lt;'General Inputs'!$J$11,0,IF(BI$5=DispositionMonth,('General Inputs'!$J$8*(Waterfalls!$C$265-1))-SUM(Waterfalls!$E262:BI262),0))</f>
        <v>0</v>
      </c>
      <c r="BJ265" s="647">
        <f ca="1">IF($C$204&lt;'General Inputs'!$J$11,0,IF(BJ$5=DispositionMonth,('General Inputs'!$J$8*(Waterfalls!$C$265-1))-SUM(Waterfalls!$E262:BJ262),0))</f>
        <v>0</v>
      </c>
      <c r="BK265" s="647">
        <f ca="1">IF($C$204&lt;'General Inputs'!$J$11,0,IF(BK$5=DispositionMonth,('General Inputs'!$J$8*(Waterfalls!$C$265-1))-SUM(Waterfalls!$E262:BK262),0))</f>
        <v>0</v>
      </c>
      <c r="BL265" s="647">
        <f ca="1">IF($C$204&lt;'General Inputs'!$J$11,0,IF(BL$5=DispositionMonth,('General Inputs'!$J$8*(Waterfalls!$C$265-1))-SUM(Waterfalls!$E262:BL262),0))</f>
        <v>0</v>
      </c>
      <c r="BM265" s="647">
        <f ca="1">IF($C$204&lt;'General Inputs'!$J$11,0,IF(BM$5=DispositionMonth,('General Inputs'!$J$8*(Waterfalls!$C$265-1))-SUM(Waterfalls!$E262:BM262),0))</f>
        <v>0</v>
      </c>
      <c r="BN265" s="647">
        <f ca="1">IF($C$204&lt;'General Inputs'!$J$11,0,IF(BN$5=DispositionMonth,('General Inputs'!$J$8*(Waterfalls!$C$265-1))-SUM(Waterfalls!$E262:BN262),0))</f>
        <v>0</v>
      </c>
      <c r="BO265" s="647">
        <f ca="1">IF($C$204&lt;'General Inputs'!$J$11,0,IF(BO$5=DispositionMonth,('General Inputs'!$J$8*(Waterfalls!$C$265-1))-SUM(Waterfalls!$E262:BO262),0))</f>
        <v>0</v>
      </c>
      <c r="BP265" s="647">
        <f ca="1">IF($C$204&lt;'General Inputs'!$J$11,0,IF(BP$5=DispositionMonth,('General Inputs'!$J$8*(Waterfalls!$C$265-1))-SUM(Waterfalls!$E262:BP262),0))</f>
        <v>0</v>
      </c>
      <c r="BQ265" s="647">
        <f ca="1">IF($C$204&lt;'General Inputs'!$J$11,0,IF(BQ$5=DispositionMonth,('General Inputs'!$J$8*(Waterfalls!$C$265-1))-SUM(Waterfalls!$E262:BQ262),0))</f>
        <v>0</v>
      </c>
      <c r="BR265" s="647">
        <f ca="1">IF($C$204&lt;'General Inputs'!$J$11,0,IF(BR$5=DispositionMonth,('General Inputs'!$J$8*(Waterfalls!$C$265-1))-SUM(Waterfalls!$E262:BR262),0))</f>
        <v>0</v>
      </c>
      <c r="BS265" s="647">
        <f ca="1">IF($C$204&lt;'General Inputs'!$J$11,0,IF(BS$5=DispositionMonth,('General Inputs'!$J$8*(Waterfalls!$C$265-1))-SUM(Waterfalls!$E262:BS262),0))</f>
        <v>0</v>
      </c>
      <c r="BT265" s="647">
        <f ca="1">IF($C$204&lt;'General Inputs'!$J$11,0,IF(BT$5=DispositionMonth,('General Inputs'!$J$8*(Waterfalls!$C$265-1))-SUM(Waterfalls!$E262:BT262),0))</f>
        <v>0</v>
      </c>
      <c r="BU265" s="647">
        <f ca="1">IF($C$204&lt;'General Inputs'!$J$11,0,IF(BU$5=DispositionMonth,('General Inputs'!$J$8*(Waterfalls!$C$265-1))-SUM(Waterfalls!$E262:BU262),0))</f>
        <v>0</v>
      </c>
      <c r="BV265" s="647">
        <f ca="1">IF($C$204&lt;'General Inputs'!$J$11,0,IF(BV$5=DispositionMonth,('General Inputs'!$J$8*(Waterfalls!$C$265-1))-SUM(Waterfalls!$E262:BV262),0))</f>
        <v>0</v>
      </c>
      <c r="BW265" s="647">
        <f ca="1">IF($C$204&lt;'General Inputs'!$J$11,0,IF(BW$5=DispositionMonth,('General Inputs'!$J$8*(Waterfalls!$C$265-1))-SUM(Waterfalls!$E262:BW262),0))</f>
        <v>0</v>
      </c>
      <c r="BX265" s="647">
        <f ca="1">IF($C$204&lt;'General Inputs'!$J$11,0,IF(BX$5=DispositionMonth,('General Inputs'!$J$8*(Waterfalls!$C$265-1))-SUM(Waterfalls!$E262:BX262),0))</f>
        <v>0</v>
      </c>
      <c r="BY265" s="647">
        <f ca="1">IF($C$204&lt;'General Inputs'!$J$11,0,IF(BY$5=DispositionMonth,('General Inputs'!$J$8*(Waterfalls!$C$265-1))-SUM(Waterfalls!$E262:BY262),0))</f>
        <v>0</v>
      </c>
      <c r="BZ265" s="647">
        <f ca="1">IF($C$204&lt;'General Inputs'!$J$11,0,IF(BZ$5=DispositionMonth,('General Inputs'!$J$8*(Waterfalls!$C$265-1))-SUM(Waterfalls!$E262:BZ262),0))</f>
        <v>0</v>
      </c>
      <c r="CA265" s="647">
        <f ca="1">IF($C$204&lt;'General Inputs'!$J$11,0,IF(CA$5=DispositionMonth,('General Inputs'!$J$8*(Waterfalls!$C$265-1))-SUM(Waterfalls!$E262:CA262),0))</f>
        <v>0</v>
      </c>
      <c r="CB265" s="647">
        <f ca="1">IF($C$204&lt;'General Inputs'!$J$11,0,IF(CB$5=DispositionMonth,('General Inputs'!$J$8*(Waterfalls!$C$265-1))-SUM(Waterfalls!$E262:CB262),0))</f>
        <v>0</v>
      </c>
      <c r="CC265" s="647">
        <f ca="1">IF($C$204&lt;'General Inputs'!$J$11,0,IF(CC$5=DispositionMonth,('General Inputs'!$J$8*(Waterfalls!$C$265-1))-SUM(Waterfalls!$E262:CC262),0))</f>
        <v>0</v>
      </c>
      <c r="CD265" s="647">
        <f ca="1">IF($C$204&lt;'General Inputs'!$J$11,0,IF(CD$5=DispositionMonth,('General Inputs'!$J$8*(Waterfalls!$C$265-1))-SUM(Waterfalls!$E262:CD262),0))</f>
        <v>0</v>
      </c>
      <c r="CE265" s="647">
        <f ca="1">IF($C$204&lt;'General Inputs'!$J$11,0,IF(CE$5=DispositionMonth,('General Inputs'!$J$8*(Waterfalls!$C$265-1))-SUM(Waterfalls!$E262:CE262),0))</f>
        <v>0</v>
      </c>
      <c r="CF265" s="647">
        <f ca="1">IF($C$204&lt;'General Inputs'!$J$11,0,IF(CF$5=DispositionMonth,('General Inputs'!$J$8*(Waterfalls!$C$265-1))-SUM(Waterfalls!$E262:CF262),0))</f>
        <v>0</v>
      </c>
      <c r="CG265" s="647">
        <f ca="1">IF($C$204&lt;'General Inputs'!$J$11,0,IF(CG$5=DispositionMonth,('General Inputs'!$J$8*(Waterfalls!$C$265-1))-SUM(Waterfalls!$E262:CG262),0))</f>
        <v>0</v>
      </c>
      <c r="CH265" s="647">
        <f ca="1">IF($C$204&lt;'General Inputs'!$J$11,0,IF(CH$5=DispositionMonth,('General Inputs'!$J$8*(Waterfalls!$C$265-1))-SUM(Waterfalls!$E262:CH262),0))</f>
        <v>0</v>
      </c>
      <c r="CI265" s="647">
        <f ca="1">IF($C$204&lt;'General Inputs'!$J$11,0,IF(CI$5=DispositionMonth,('General Inputs'!$J$8*(Waterfalls!$C$265-1))-SUM(Waterfalls!$E262:CI262),0))</f>
        <v>0</v>
      </c>
      <c r="CJ265" s="647">
        <f ca="1">IF($C$204&lt;'General Inputs'!$J$11,0,IF(CJ$5=DispositionMonth,('General Inputs'!$J$8*(Waterfalls!$C$265-1))-SUM(Waterfalls!$E262:CJ262),0))</f>
        <v>0</v>
      </c>
      <c r="CK265" s="647">
        <f ca="1">IF($C$204&lt;'General Inputs'!$J$11,0,IF(CK$5=DispositionMonth,('General Inputs'!$J$8*(Waterfalls!$C$265-1))-SUM(Waterfalls!$E262:CK262),0))</f>
        <v>0</v>
      </c>
      <c r="CL265" s="647">
        <f ca="1">IF($C$204&lt;'General Inputs'!$J$11,0,IF(CL$5=DispositionMonth,('General Inputs'!$J$8*(Waterfalls!$C$265-1))-SUM(Waterfalls!$E262:CL262),0))</f>
        <v>0</v>
      </c>
      <c r="CM265" s="647">
        <f ca="1">IF($C$204&lt;'General Inputs'!$J$11,0,IF(CM$5=DispositionMonth,('General Inputs'!$J$8*(Waterfalls!$C$265-1))-SUM(Waterfalls!$E262:CM262),0))</f>
        <v>0</v>
      </c>
      <c r="CN265" s="647">
        <f ca="1">IF($C$204&lt;'General Inputs'!$J$11,0,IF(CN$5=DispositionMonth,('General Inputs'!$J$8*(Waterfalls!$C$265-1))-SUM(Waterfalls!$E262:CN262),0))</f>
        <v>0</v>
      </c>
      <c r="CO265" s="647">
        <f ca="1">IF($C$204&lt;'General Inputs'!$J$11,0,IF(CO$5=DispositionMonth,('General Inputs'!$J$8*(Waterfalls!$C$265-1))-SUM(Waterfalls!$E262:CO262),0))</f>
        <v>0</v>
      </c>
      <c r="CP265" s="647">
        <f ca="1">IF($C$204&lt;'General Inputs'!$J$11,0,IF(CP$5=DispositionMonth,('General Inputs'!$J$8*(Waterfalls!$C$265-1))-SUM(Waterfalls!$E262:CP262),0))</f>
        <v>0</v>
      </c>
      <c r="CQ265" s="647">
        <f ca="1">IF($C$204&lt;'General Inputs'!$J$11,0,IF(CQ$5=DispositionMonth,('General Inputs'!$J$8*(Waterfalls!$C$265-1))-SUM(Waterfalls!$E262:CQ262),0))</f>
        <v>0</v>
      </c>
      <c r="CR265" s="647">
        <f ca="1">IF($C$204&lt;'General Inputs'!$J$11,0,IF(CR$5=DispositionMonth,('General Inputs'!$J$8*(Waterfalls!$C$265-1))-SUM(Waterfalls!$E262:CR262),0))</f>
        <v>0</v>
      </c>
      <c r="CS265" s="647">
        <f ca="1">IF($C$204&lt;'General Inputs'!$J$11,0,IF(CS$5=DispositionMonth,('General Inputs'!$J$8*(Waterfalls!$C$265-1))-SUM(Waterfalls!$E262:CS262),0))</f>
        <v>0</v>
      </c>
      <c r="CT265" s="647">
        <f ca="1">IF($C$204&lt;'General Inputs'!$J$11,0,IF(CT$5=DispositionMonth,('General Inputs'!$J$8*(Waterfalls!$C$265-1))-SUM(Waterfalls!$E262:CT262),0))</f>
        <v>0</v>
      </c>
      <c r="CU265" s="647">
        <f ca="1">IF($C$204&lt;'General Inputs'!$J$11,0,IF(CU$5=DispositionMonth,('General Inputs'!$J$8*(Waterfalls!$C$265-1))-SUM(Waterfalls!$E262:CU262),0))</f>
        <v>0</v>
      </c>
      <c r="CV265" s="647">
        <f ca="1">IF($C$204&lt;'General Inputs'!$J$11,0,IF(CV$5=DispositionMonth,('General Inputs'!$J$8*(Waterfalls!$C$265-1))-SUM(Waterfalls!$E262:CV262),0))</f>
        <v>0</v>
      </c>
      <c r="CW265" s="647">
        <f ca="1">IF($C$204&lt;'General Inputs'!$J$11,0,IF(CW$5=DispositionMonth,('General Inputs'!$J$8*(Waterfalls!$C$265-1))-SUM(Waterfalls!$E262:CW262),0))</f>
        <v>0</v>
      </c>
      <c r="CX265" s="647">
        <f ca="1">IF($C$204&lt;'General Inputs'!$J$11,0,IF(CX$5=DispositionMonth,('General Inputs'!$J$8*(Waterfalls!$C$265-1))-SUM(Waterfalls!$E262:CX262),0))</f>
        <v>0</v>
      </c>
      <c r="CY265" s="647">
        <f ca="1">IF($C$204&lt;'General Inputs'!$J$11,0,IF(CY$5=DispositionMonth,('General Inputs'!$J$8*(Waterfalls!$C$265-1))-SUM(Waterfalls!$E262:CY262),0))</f>
        <v>0</v>
      </c>
      <c r="CZ265" s="647">
        <f ca="1">IF($C$204&lt;'General Inputs'!$J$11,0,IF(CZ$5=DispositionMonth,('General Inputs'!$J$8*(Waterfalls!$C$265-1))-SUM(Waterfalls!$E262:CZ262),0))</f>
        <v>0</v>
      </c>
      <c r="DA265" s="647">
        <f ca="1">IF($C$204&lt;'General Inputs'!$J$11,0,IF(DA$5=DispositionMonth,('General Inputs'!$J$8*(Waterfalls!$C$265-1))-SUM(Waterfalls!$E262:DA262),0))</f>
        <v>0</v>
      </c>
      <c r="DB265" s="647">
        <f ca="1">IF($C$204&lt;'General Inputs'!$J$11,0,IF(DB$5=DispositionMonth,('General Inputs'!$J$8*(Waterfalls!$C$265-1))-SUM(Waterfalls!$E262:DB262),0))</f>
        <v>0</v>
      </c>
      <c r="DC265" s="647">
        <f ca="1">IF($C$204&lt;'General Inputs'!$J$11,0,IF(DC$5=DispositionMonth,('General Inputs'!$J$8*(Waterfalls!$C$265-1))-SUM(Waterfalls!$E262:DC262),0))</f>
        <v>0</v>
      </c>
      <c r="DD265" s="647">
        <f ca="1">IF($C$204&lt;'General Inputs'!$J$11,0,IF(DD$5=DispositionMonth,('General Inputs'!$J$8*(Waterfalls!$C$265-1))-SUM(Waterfalls!$E262:DD262),0))</f>
        <v>0</v>
      </c>
      <c r="DE265" s="647">
        <f ca="1">IF($C$204&lt;'General Inputs'!$J$11,0,IF(DE$5=DispositionMonth,('General Inputs'!$J$8*(Waterfalls!$C$265-1))-SUM(Waterfalls!$E262:DE262),0))</f>
        <v>0</v>
      </c>
      <c r="DF265" s="647">
        <f ca="1">IF($C$204&lt;'General Inputs'!$J$11,0,IF(DF$5=DispositionMonth,('General Inputs'!$J$8*(Waterfalls!$C$265-1))-SUM(Waterfalls!$E262:DF262),0))</f>
        <v>0</v>
      </c>
      <c r="DG265" s="647">
        <f ca="1">IF($C$204&lt;'General Inputs'!$J$11,0,IF(DG$5=DispositionMonth,('General Inputs'!$J$8*(Waterfalls!$C$265-1))-SUM(Waterfalls!$E262:DG262),0))</f>
        <v>0</v>
      </c>
      <c r="DH265" s="647">
        <f ca="1">IF($C$204&lt;'General Inputs'!$J$11,0,IF(DH$5=DispositionMonth,('General Inputs'!$J$8*(Waterfalls!$C$265-1))-SUM(Waterfalls!$E262:DH262),0))</f>
        <v>0</v>
      </c>
      <c r="DI265" s="647">
        <f ca="1">IF($C$204&lt;'General Inputs'!$J$11,0,IF(DI$5=DispositionMonth,('General Inputs'!$J$8*(Waterfalls!$C$265-1))-SUM(Waterfalls!$E262:DI262),0))</f>
        <v>0</v>
      </c>
      <c r="DJ265" s="647">
        <f ca="1">IF($C$204&lt;'General Inputs'!$J$11,0,IF(DJ$5=DispositionMonth,('General Inputs'!$J$8*(Waterfalls!$C$265-1))-SUM(Waterfalls!$E262:DJ262),0))</f>
        <v>0</v>
      </c>
      <c r="DK265" s="647">
        <f ca="1">IF($C$204&lt;'General Inputs'!$J$11,0,IF(DK$5=DispositionMonth,('General Inputs'!$J$8*(Waterfalls!$C$265-1))-SUM(Waterfalls!$E262:DK262),0))</f>
        <v>0</v>
      </c>
      <c r="DL265" s="647">
        <f ca="1">IF($C$204&lt;'General Inputs'!$J$11,0,IF(DL$5=DispositionMonth,('General Inputs'!$J$8*(Waterfalls!$C$265-1))-SUM(Waterfalls!$E262:DL262),0))</f>
        <v>0</v>
      </c>
      <c r="DM265" s="647">
        <f ca="1">IF($C$204&lt;'General Inputs'!$J$11,0,IF(DM$5=DispositionMonth,('General Inputs'!$J$8*(Waterfalls!$C$265-1))-SUM(Waterfalls!$E262:DM262),0))</f>
        <v>0</v>
      </c>
      <c r="DN265" s="647">
        <f ca="1">IF($C$204&lt;'General Inputs'!$J$11,0,IF(DN$5=DispositionMonth,('General Inputs'!$J$8*(Waterfalls!$C$265-1))-SUM(Waterfalls!$E262:DN262),0))</f>
        <v>0</v>
      </c>
      <c r="DO265" s="647">
        <f ca="1">IF($C$204&lt;'General Inputs'!$J$11,0,IF(DO$5=DispositionMonth,('General Inputs'!$J$8*(Waterfalls!$C$265-1))-SUM(Waterfalls!$E262:DO262),0))</f>
        <v>0</v>
      </c>
      <c r="DP265" s="647">
        <f ca="1">IF($C$204&lt;'General Inputs'!$J$11,0,IF(DP$5=DispositionMonth,('General Inputs'!$J$8*(Waterfalls!$C$265-1))-SUM(Waterfalls!$E262:DP262),0))</f>
        <v>0</v>
      </c>
      <c r="DQ265" s="647">
        <f ca="1">IF($C$204&lt;'General Inputs'!$J$11,0,IF(DQ$5=DispositionMonth,('General Inputs'!$J$8*(Waterfalls!$C$265-1))-SUM(Waterfalls!$E262:DQ262),0))</f>
        <v>0</v>
      </c>
      <c r="DR265" s="647">
        <f ca="1">IF($C$204&lt;'General Inputs'!$J$11,0,IF(DR$5=DispositionMonth,('General Inputs'!$J$8*(Waterfalls!$C$265-1))-SUM(Waterfalls!$E262:DR262),0))</f>
        <v>0</v>
      </c>
      <c r="DS265" s="647">
        <f ca="1">IF($C$204&lt;'General Inputs'!$J$11,0,IF(DS$5=DispositionMonth,('General Inputs'!$J$8*(Waterfalls!$C$265-1))-SUM(Waterfalls!$E262:DS262),0))</f>
        <v>0</v>
      </c>
      <c r="DT265" s="647">
        <f ca="1">IF($C$204&lt;'General Inputs'!$J$11,0,IF(DT$5=DispositionMonth,('General Inputs'!$J$8*(Waterfalls!$C$265-1))-SUM(Waterfalls!$E262:DT262),0))</f>
        <v>0</v>
      </c>
      <c r="DU265" s="647">
        <f ca="1">IF($C$204&lt;'General Inputs'!$J$11,0,IF(DU$5=DispositionMonth,('General Inputs'!$J$8*(Waterfalls!$C$265-1))-SUM(Waterfalls!$E262:DU262),0))</f>
        <v>0</v>
      </c>
      <c r="EI265" s="734"/>
    </row>
    <row r="266" spans="1:139" x14ac:dyDescent="0.3">
      <c r="A266" s="182" t="str">
        <f>'General Inputs'!$J$29&amp;" Tier 3 Promote"</f>
        <v>LP Tier 3 Promote</v>
      </c>
      <c r="B266" s="182"/>
      <c r="C266" s="182"/>
      <c r="D266" s="647"/>
      <c r="E266" s="407">
        <f t="shared" ref="E266:AN266" ca="1" si="462">MAX(E264:E265)</f>
        <v>0</v>
      </c>
      <c r="F266" s="407">
        <f t="shared" ca="1" si="462"/>
        <v>0</v>
      </c>
      <c r="G266" s="407">
        <f t="shared" ca="1" si="462"/>
        <v>0</v>
      </c>
      <c r="H266" s="407">
        <f t="shared" ca="1" si="462"/>
        <v>0</v>
      </c>
      <c r="I266" s="407">
        <f t="shared" ca="1" si="462"/>
        <v>0</v>
      </c>
      <c r="J266" s="407">
        <f t="shared" ca="1" si="462"/>
        <v>0</v>
      </c>
      <c r="K266" s="407">
        <f t="shared" ca="1" si="462"/>
        <v>0</v>
      </c>
      <c r="L266" s="407">
        <f t="shared" ca="1" si="462"/>
        <v>0</v>
      </c>
      <c r="M266" s="407">
        <f t="shared" ca="1" si="462"/>
        <v>0</v>
      </c>
      <c r="N266" s="407">
        <f t="shared" ca="1" si="462"/>
        <v>0</v>
      </c>
      <c r="O266" s="407">
        <f t="shared" ca="1" si="462"/>
        <v>0</v>
      </c>
      <c r="P266" s="407">
        <f t="shared" ca="1" si="462"/>
        <v>0</v>
      </c>
      <c r="Q266" s="407">
        <f t="shared" ca="1" si="462"/>
        <v>0</v>
      </c>
      <c r="R266" s="407">
        <f t="shared" ca="1" si="462"/>
        <v>0</v>
      </c>
      <c r="S266" s="407">
        <f t="shared" ca="1" si="462"/>
        <v>0</v>
      </c>
      <c r="T266" s="407">
        <f t="shared" ca="1" si="462"/>
        <v>0</v>
      </c>
      <c r="U266" s="407">
        <f t="shared" ca="1" si="462"/>
        <v>0</v>
      </c>
      <c r="V266" s="407">
        <f t="shared" ca="1" si="462"/>
        <v>0</v>
      </c>
      <c r="W266" s="407">
        <f t="shared" ca="1" si="462"/>
        <v>0</v>
      </c>
      <c r="X266" s="407">
        <f t="shared" ca="1" si="462"/>
        <v>0</v>
      </c>
      <c r="Y266" s="407">
        <f t="shared" ca="1" si="462"/>
        <v>0</v>
      </c>
      <c r="Z266" s="407">
        <f t="shared" ca="1" si="462"/>
        <v>0</v>
      </c>
      <c r="AA266" s="407">
        <f t="shared" ca="1" si="462"/>
        <v>0</v>
      </c>
      <c r="AB266" s="407">
        <f t="shared" ca="1" si="462"/>
        <v>0</v>
      </c>
      <c r="AC266" s="407">
        <f t="shared" ca="1" si="462"/>
        <v>0</v>
      </c>
      <c r="AD266" s="407">
        <f t="shared" ca="1" si="462"/>
        <v>0</v>
      </c>
      <c r="AE266" s="407">
        <f t="shared" ca="1" si="462"/>
        <v>0</v>
      </c>
      <c r="AF266" s="407">
        <f t="shared" ca="1" si="462"/>
        <v>0</v>
      </c>
      <c r="AG266" s="407">
        <f t="shared" ca="1" si="462"/>
        <v>3720655.6855863244</v>
      </c>
      <c r="AH266" s="407">
        <f t="shared" ca="1" si="462"/>
        <v>0</v>
      </c>
      <c r="AI266" s="407">
        <f t="shared" ca="1" si="462"/>
        <v>0</v>
      </c>
      <c r="AJ266" s="407">
        <f t="shared" ca="1" si="462"/>
        <v>0</v>
      </c>
      <c r="AK266" s="407">
        <f t="shared" ca="1" si="462"/>
        <v>0</v>
      </c>
      <c r="AL266" s="407">
        <f t="shared" ca="1" si="462"/>
        <v>0</v>
      </c>
      <c r="AM266" s="407">
        <f t="shared" ca="1" si="462"/>
        <v>0</v>
      </c>
      <c r="AN266" s="407">
        <f t="shared" ca="1" si="462"/>
        <v>0</v>
      </c>
      <c r="AO266" s="407">
        <f ca="1">MAX(AO264:AO265)</f>
        <v>0</v>
      </c>
      <c r="AP266" s="407">
        <f t="shared" ref="AP266:DA266" ca="1" si="463">MAX(AP264:AP265)</f>
        <v>0</v>
      </c>
      <c r="AQ266" s="407">
        <f t="shared" ca="1" si="463"/>
        <v>0</v>
      </c>
      <c r="AR266" s="407">
        <f t="shared" ca="1" si="463"/>
        <v>0</v>
      </c>
      <c r="AS266" s="407">
        <f t="shared" ca="1" si="463"/>
        <v>0</v>
      </c>
      <c r="AT266" s="407">
        <f t="shared" ca="1" si="463"/>
        <v>0</v>
      </c>
      <c r="AU266" s="407">
        <f t="shared" ca="1" si="463"/>
        <v>0</v>
      </c>
      <c r="AV266" s="407">
        <f t="shared" ca="1" si="463"/>
        <v>0</v>
      </c>
      <c r="AW266" s="407">
        <f t="shared" ca="1" si="463"/>
        <v>0</v>
      </c>
      <c r="AX266" s="407">
        <f t="shared" ca="1" si="463"/>
        <v>0</v>
      </c>
      <c r="AY266" s="407">
        <f t="shared" ca="1" si="463"/>
        <v>0</v>
      </c>
      <c r="AZ266" s="407">
        <f t="shared" ca="1" si="463"/>
        <v>0</v>
      </c>
      <c r="BA266" s="407">
        <f t="shared" ca="1" si="463"/>
        <v>0</v>
      </c>
      <c r="BB266" s="407">
        <f t="shared" ca="1" si="463"/>
        <v>0</v>
      </c>
      <c r="BC266" s="407">
        <f t="shared" ca="1" si="463"/>
        <v>0</v>
      </c>
      <c r="BD266" s="407">
        <f t="shared" ca="1" si="463"/>
        <v>0</v>
      </c>
      <c r="BE266" s="407">
        <f t="shared" ca="1" si="463"/>
        <v>0</v>
      </c>
      <c r="BF266" s="407">
        <f t="shared" ca="1" si="463"/>
        <v>0</v>
      </c>
      <c r="BG266" s="407">
        <f t="shared" ca="1" si="463"/>
        <v>0</v>
      </c>
      <c r="BH266" s="407">
        <f t="shared" ca="1" si="463"/>
        <v>0</v>
      </c>
      <c r="BI266" s="407">
        <f t="shared" ca="1" si="463"/>
        <v>0</v>
      </c>
      <c r="BJ266" s="407">
        <f t="shared" ca="1" si="463"/>
        <v>0</v>
      </c>
      <c r="BK266" s="407">
        <f t="shared" ca="1" si="463"/>
        <v>0</v>
      </c>
      <c r="BL266" s="407">
        <f t="shared" ca="1" si="463"/>
        <v>0</v>
      </c>
      <c r="BM266" s="407">
        <f t="shared" ca="1" si="463"/>
        <v>0</v>
      </c>
      <c r="BN266" s="407">
        <f t="shared" ca="1" si="463"/>
        <v>0</v>
      </c>
      <c r="BO266" s="407">
        <f t="shared" ca="1" si="463"/>
        <v>0</v>
      </c>
      <c r="BP266" s="407">
        <f t="shared" ca="1" si="463"/>
        <v>0</v>
      </c>
      <c r="BQ266" s="407">
        <f t="shared" ca="1" si="463"/>
        <v>0</v>
      </c>
      <c r="BR266" s="407">
        <f t="shared" ca="1" si="463"/>
        <v>0</v>
      </c>
      <c r="BS266" s="407">
        <f t="shared" ca="1" si="463"/>
        <v>0</v>
      </c>
      <c r="BT266" s="407">
        <f t="shared" ca="1" si="463"/>
        <v>0</v>
      </c>
      <c r="BU266" s="407">
        <f t="shared" ca="1" si="463"/>
        <v>0</v>
      </c>
      <c r="BV266" s="407">
        <f t="shared" ca="1" si="463"/>
        <v>0</v>
      </c>
      <c r="BW266" s="407">
        <f t="shared" ca="1" si="463"/>
        <v>0</v>
      </c>
      <c r="BX266" s="407">
        <f t="shared" ca="1" si="463"/>
        <v>0</v>
      </c>
      <c r="BY266" s="407">
        <f t="shared" ca="1" si="463"/>
        <v>0</v>
      </c>
      <c r="BZ266" s="407">
        <f t="shared" ca="1" si="463"/>
        <v>0</v>
      </c>
      <c r="CA266" s="407">
        <f t="shared" ca="1" si="463"/>
        <v>0</v>
      </c>
      <c r="CB266" s="407">
        <f t="shared" ca="1" si="463"/>
        <v>0</v>
      </c>
      <c r="CC266" s="407">
        <f t="shared" ca="1" si="463"/>
        <v>0</v>
      </c>
      <c r="CD266" s="407">
        <f t="shared" ca="1" si="463"/>
        <v>0</v>
      </c>
      <c r="CE266" s="407">
        <f t="shared" ca="1" si="463"/>
        <v>0</v>
      </c>
      <c r="CF266" s="407">
        <f t="shared" ca="1" si="463"/>
        <v>0</v>
      </c>
      <c r="CG266" s="407">
        <f t="shared" ca="1" si="463"/>
        <v>0</v>
      </c>
      <c r="CH266" s="407">
        <f t="shared" ca="1" si="463"/>
        <v>0</v>
      </c>
      <c r="CI266" s="407">
        <f t="shared" ca="1" si="463"/>
        <v>0</v>
      </c>
      <c r="CJ266" s="407">
        <f t="shared" ca="1" si="463"/>
        <v>0</v>
      </c>
      <c r="CK266" s="407">
        <f t="shared" ca="1" si="463"/>
        <v>0</v>
      </c>
      <c r="CL266" s="407">
        <f t="shared" ca="1" si="463"/>
        <v>0</v>
      </c>
      <c r="CM266" s="407">
        <f t="shared" ca="1" si="463"/>
        <v>0</v>
      </c>
      <c r="CN266" s="407">
        <f t="shared" ca="1" si="463"/>
        <v>0</v>
      </c>
      <c r="CO266" s="407">
        <f t="shared" ca="1" si="463"/>
        <v>0</v>
      </c>
      <c r="CP266" s="407">
        <f t="shared" ca="1" si="463"/>
        <v>0</v>
      </c>
      <c r="CQ266" s="407">
        <f t="shared" ca="1" si="463"/>
        <v>0</v>
      </c>
      <c r="CR266" s="407">
        <f t="shared" ca="1" si="463"/>
        <v>0</v>
      </c>
      <c r="CS266" s="407">
        <f t="shared" ca="1" si="463"/>
        <v>0</v>
      </c>
      <c r="CT266" s="407">
        <f t="shared" ca="1" si="463"/>
        <v>0</v>
      </c>
      <c r="CU266" s="407">
        <f t="shared" ca="1" si="463"/>
        <v>0</v>
      </c>
      <c r="CV266" s="407">
        <f t="shared" ca="1" si="463"/>
        <v>0</v>
      </c>
      <c r="CW266" s="407">
        <f t="shared" ca="1" si="463"/>
        <v>0</v>
      </c>
      <c r="CX266" s="407">
        <f t="shared" ca="1" si="463"/>
        <v>0</v>
      </c>
      <c r="CY266" s="407">
        <f t="shared" ca="1" si="463"/>
        <v>0</v>
      </c>
      <c r="CZ266" s="407">
        <f t="shared" ca="1" si="463"/>
        <v>0</v>
      </c>
      <c r="DA266" s="407">
        <f t="shared" ca="1" si="463"/>
        <v>0</v>
      </c>
      <c r="DB266" s="407">
        <f t="shared" ref="DB266:DU266" ca="1" si="464">MAX(DB264:DB265)</f>
        <v>0</v>
      </c>
      <c r="DC266" s="407">
        <f t="shared" ca="1" si="464"/>
        <v>0</v>
      </c>
      <c r="DD266" s="407">
        <f t="shared" ca="1" si="464"/>
        <v>0</v>
      </c>
      <c r="DE266" s="407">
        <f t="shared" ca="1" si="464"/>
        <v>0</v>
      </c>
      <c r="DF266" s="407">
        <f t="shared" ca="1" si="464"/>
        <v>0</v>
      </c>
      <c r="DG266" s="407">
        <f t="shared" ca="1" si="464"/>
        <v>0</v>
      </c>
      <c r="DH266" s="407">
        <f t="shared" ca="1" si="464"/>
        <v>0</v>
      </c>
      <c r="DI266" s="407">
        <f t="shared" ca="1" si="464"/>
        <v>0</v>
      </c>
      <c r="DJ266" s="407">
        <f t="shared" ca="1" si="464"/>
        <v>0</v>
      </c>
      <c r="DK266" s="407">
        <f t="shared" ca="1" si="464"/>
        <v>0</v>
      </c>
      <c r="DL266" s="407">
        <f t="shared" ca="1" si="464"/>
        <v>0</v>
      </c>
      <c r="DM266" s="407">
        <f t="shared" ca="1" si="464"/>
        <v>0</v>
      </c>
      <c r="DN266" s="407">
        <f t="shared" ca="1" si="464"/>
        <v>0</v>
      </c>
      <c r="DO266" s="407">
        <f t="shared" ca="1" si="464"/>
        <v>0</v>
      </c>
      <c r="DP266" s="407">
        <f t="shared" ca="1" si="464"/>
        <v>0</v>
      </c>
      <c r="DQ266" s="407">
        <f t="shared" ca="1" si="464"/>
        <v>0</v>
      </c>
      <c r="DR266" s="407">
        <f t="shared" ca="1" si="464"/>
        <v>0</v>
      </c>
      <c r="DS266" s="407">
        <f t="shared" ca="1" si="464"/>
        <v>0</v>
      </c>
      <c r="DT266" s="407">
        <f t="shared" ca="1" si="464"/>
        <v>0</v>
      </c>
      <c r="DU266" s="407">
        <f t="shared" ca="1" si="464"/>
        <v>0</v>
      </c>
      <c r="EI266" s="722"/>
    </row>
    <row r="267" spans="1:139" ht="15" thickBot="1" x14ac:dyDescent="0.35">
      <c r="A267" s="436" t="str">
        <f>'General Inputs'!$J$29&amp;" Tier 3 Cash Flows"</f>
        <v>LP Tier 3 Cash Flows</v>
      </c>
      <c r="B267" s="436"/>
      <c r="C267" s="720" t="str">
        <f ca="1">TEXT((1+IRR(E267:DU267,0.01))^12-1,"0.00%")&amp;"/"&amp;TEXT(SUM(E267:DU267)/'General Inputs'!$J$8+1,"0.00x")</f>
        <v>20.00%/1.44x</v>
      </c>
      <c r="D267" s="745"/>
      <c r="E267" s="433">
        <f t="shared" ref="E267:AN267" ca="1" si="465">E262+E266</f>
        <v>-1684806.2553703375</v>
      </c>
      <c r="F267" s="433">
        <f t="shared" ca="1" si="465"/>
        <v>-13679721.285321232</v>
      </c>
      <c r="G267" s="433">
        <f t="shared" ca="1" si="465"/>
        <v>-429758.58896990592</v>
      </c>
      <c r="H267" s="433">
        <f t="shared" ca="1" si="465"/>
        <v>-652516.24275347544</v>
      </c>
      <c r="I267" s="433">
        <f t="shared" ca="1" si="465"/>
        <v>-1108216.2834030252</v>
      </c>
      <c r="J267" s="433">
        <f t="shared" ca="1" si="465"/>
        <v>-1808500.5776190415</v>
      </c>
      <c r="K267" s="433">
        <f t="shared" ca="1" si="465"/>
        <v>-1861449.5545326734</v>
      </c>
      <c r="L267" s="433">
        <f t="shared" ca="1" si="465"/>
        <v>-2372000.4851556052</v>
      </c>
      <c r="M267" s="433">
        <f t="shared" ca="1" si="465"/>
        <v>-2813680.2377213496</v>
      </c>
      <c r="N267" s="433">
        <f t="shared" ca="1" si="465"/>
        <v>-3293680.161515363</v>
      </c>
      <c r="O267" s="433">
        <f t="shared" ca="1" si="465"/>
        <v>-1869318.1862202697</v>
      </c>
      <c r="P267" s="433">
        <f t="shared" ca="1" si="465"/>
        <v>0</v>
      </c>
      <c r="Q267" s="433">
        <f t="shared" ca="1" si="465"/>
        <v>0</v>
      </c>
      <c r="R267" s="433">
        <f t="shared" ca="1" si="465"/>
        <v>0</v>
      </c>
      <c r="S267" s="433">
        <f t="shared" ca="1" si="465"/>
        <v>0</v>
      </c>
      <c r="T267" s="433">
        <f t="shared" ca="1" si="465"/>
        <v>0</v>
      </c>
      <c r="U267" s="433">
        <f t="shared" ca="1" si="465"/>
        <v>0</v>
      </c>
      <c r="V267" s="433">
        <f t="shared" ca="1" si="465"/>
        <v>0</v>
      </c>
      <c r="W267" s="433">
        <f t="shared" ca="1" si="465"/>
        <v>0</v>
      </c>
      <c r="X267" s="433">
        <f t="shared" ca="1" si="465"/>
        <v>0</v>
      </c>
      <c r="Y267" s="433">
        <f t="shared" ca="1" si="465"/>
        <v>0</v>
      </c>
      <c r="Z267" s="433">
        <f t="shared" ca="1" si="465"/>
        <v>0</v>
      </c>
      <c r="AA267" s="433">
        <f t="shared" ca="1" si="465"/>
        <v>0</v>
      </c>
      <c r="AB267" s="433">
        <f t="shared" ca="1" si="465"/>
        <v>0</v>
      </c>
      <c r="AC267" s="433">
        <f t="shared" ca="1" si="465"/>
        <v>39701.726541082207</v>
      </c>
      <c r="AD267" s="433">
        <f t="shared" ca="1" si="465"/>
        <v>75897.380147726886</v>
      </c>
      <c r="AE267" s="433">
        <f t="shared" ca="1" si="465"/>
        <v>117111.83679771089</v>
      </c>
      <c r="AF267" s="433">
        <f t="shared" ca="1" si="465"/>
        <v>197606.01356017322</v>
      </c>
      <c r="AG267" s="433">
        <f t="shared" ca="1" si="465"/>
        <v>45035134.718391821</v>
      </c>
      <c r="AH267" s="433">
        <f t="shared" ca="1" si="465"/>
        <v>0</v>
      </c>
      <c r="AI267" s="433">
        <f t="shared" ca="1" si="465"/>
        <v>0</v>
      </c>
      <c r="AJ267" s="433">
        <f t="shared" ca="1" si="465"/>
        <v>0</v>
      </c>
      <c r="AK267" s="433">
        <f t="shared" ca="1" si="465"/>
        <v>0</v>
      </c>
      <c r="AL267" s="433">
        <f t="shared" ca="1" si="465"/>
        <v>0</v>
      </c>
      <c r="AM267" s="433">
        <f t="shared" ca="1" si="465"/>
        <v>0</v>
      </c>
      <c r="AN267" s="433">
        <f t="shared" ca="1" si="465"/>
        <v>0</v>
      </c>
      <c r="AO267" s="433">
        <f ca="1">AO262+AO266</f>
        <v>0</v>
      </c>
      <c r="AP267" s="433">
        <f t="shared" ref="AP267:DA267" ca="1" si="466">AP262+AP266</f>
        <v>0</v>
      </c>
      <c r="AQ267" s="433">
        <f t="shared" ca="1" si="466"/>
        <v>0</v>
      </c>
      <c r="AR267" s="433">
        <f t="shared" ca="1" si="466"/>
        <v>0</v>
      </c>
      <c r="AS267" s="433">
        <f t="shared" ca="1" si="466"/>
        <v>0</v>
      </c>
      <c r="AT267" s="433">
        <f t="shared" ca="1" si="466"/>
        <v>0</v>
      </c>
      <c r="AU267" s="433">
        <f t="shared" ca="1" si="466"/>
        <v>0</v>
      </c>
      <c r="AV267" s="433">
        <f t="shared" ca="1" si="466"/>
        <v>0</v>
      </c>
      <c r="AW267" s="433">
        <f t="shared" ca="1" si="466"/>
        <v>0</v>
      </c>
      <c r="AX267" s="433">
        <f t="shared" ca="1" si="466"/>
        <v>0</v>
      </c>
      <c r="AY267" s="433">
        <f t="shared" ca="1" si="466"/>
        <v>0</v>
      </c>
      <c r="AZ267" s="433">
        <f t="shared" ca="1" si="466"/>
        <v>0</v>
      </c>
      <c r="BA267" s="433">
        <f t="shared" ca="1" si="466"/>
        <v>0</v>
      </c>
      <c r="BB267" s="433">
        <f t="shared" ca="1" si="466"/>
        <v>0</v>
      </c>
      <c r="BC267" s="433">
        <f t="shared" ca="1" si="466"/>
        <v>0</v>
      </c>
      <c r="BD267" s="433">
        <f t="shared" ca="1" si="466"/>
        <v>0</v>
      </c>
      <c r="BE267" s="433">
        <f t="shared" ca="1" si="466"/>
        <v>0</v>
      </c>
      <c r="BF267" s="433">
        <f t="shared" ca="1" si="466"/>
        <v>0</v>
      </c>
      <c r="BG267" s="433">
        <f t="shared" ca="1" si="466"/>
        <v>0</v>
      </c>
      <c r="BH267" s="433">
        <f t="shared" ca="1" si="466"/>
        <v>0</v>
      </c>
      <c r="BI267" s="433">
        <f t="shared" ca="1" si="466"/>
        <v>0</v>
      </c>
      <c r="BJ267" s="433">
        <f t="shared" ca="1" si="466"/>
        <v>0</v>
      </c>
      <c r="BK267" s="433">
        <f t="shared" ca="1" si="466"/>
        <v>0</v>
      </c>
      <c r="BL267" s="433">
        <f t="shared" ca="1" si="466"/>
        <v>0</v>
      </c>
      <c r="BM267" s="433">
        <f t="shared" ca="1" si="466"/>
        <v>0</v>
      </c>
      <c r="BN267" s="433">
        <f t="shared" ca="1" si="466"/>
        <v>0</v>
      </c>
      <c r="BO267" s="433">
        <f t="shared" ca="1" si="466"/>
        <v>0</v>
      </c>
      <c r="BP267" s="433">
        <f t="shared" ca="1" si="466"/>
        <v>0</v>
      </c>
      <c r="BQ267" s="433">
        <f t="shared" ca="1" si="466"/>
        <v>0</v>
      </c>
      <c r="BR267" s="433">
        <f t="shared" ca="1" si="466"/>
        <v>0</v>
      </c>
      <c r="BS267" s="433">
        <f t="shared" ca="1" si="466"/>
        <v>0</v>
      </c>
      <c r="BT267" s="433">
        <f t="shared" ca="1" si="466"/>
        <v>0</v>
      </c>
      <c r="BU267" s="433">
        <f t="shared" ca="1" si="466"/>
        <v>0</v>
      </c>
      <c r="BV267" s="433">
        <f t="shared" ca="1" si="466"/>
        <v>0</v>
      </c>
      <c r="BW267" s="433">
        <f t="shared" ca="1" si="466"/>
        <v>0</v>
      </c>
      <c r="BX267" s="433">
        <f t="shared" ca="1" si="466"/>
        <v>0</v>
      </c>
      <c r="BY267" s="433">
        <f t="shared" ca="1" si="466"/>
        <v>0</v>
      </c>
      <c r="BZ267" s="433">
        <f t="shared" ca="1" si="466"/>
        <v>0</v>
      </c>
      <c r="CA267" s="433">
        <f t="shared" ca="1" si="466"/>
        <v>0</v>
      </c>
      <c r="CB267" s="433">
        <f t="shared" ca="1" si="466"/>
        <v>0</v>
      </c>
      <c r="CC267" s="433">
        <f t="shared" ca="1" si="466"/>
        <v>0</v>
      </c>
      <c r="CD267" s="433">
        <f t="shared" ca="1" si="466"/>
        <v>0</v>
      </c>
      <c r="CE267" s="433">
        <f t="shared" ca="1" si="466"/>
        <v>0</v>
      </c>
      <c r="CF267" s="433">
        <f t="shared" ca="1" si="466"/>
        <v>0</v>
      </c>
      <c r="CG267" s="433">
        <f t="shared" ca="1" si="466"/>
        <v>0</v>
      </c>
      <c r="CH267" s="433">
        <f t="shared" ca="1" si="466"/>
        <v>0</v>
      </c>
      <c r="CI267" s="433">
        <f t="shared" ca="1" si="466"/>
        <v>0</v>
      </c>
      <c r="CJ267" s="433">
        <f t="shared" ca="1" si="466"/>
        <v>0</v>
      </c>
      <c r="CK267" s="433">
        <f t="shared" ca="1" si="466"/>
        <v>0</v>
      </c>
      <c r="CL267" s="433">
        <f t="shared" ca="1" si="466"/>
        <v>0</v>
      </c>
      <c r="CM267" s="433">
        <f t="shared" ca="1" si="466"/>
        <v>0</v>
      </c>
      <c r="CN267" s="433">
        <f t="shared" ca="1" si="466"/>
        <v>0</v>
      </c>
      <c r="CO267" s="433">
        <f t="shared" ca="1" si="466"/>
        <v>0</v>
      </c>
      <c r="CP267" s="433">
        <f t="shared" ca="1" si="466"/>
        <v>0</v>
      </c>
      <c r="CQ267" s="433">
        <f t="shared" ca="1" si="466"/>
        <v>0</v>
      </c>
      <c r="CR267" s="433">
        <f t="shared" ca="1" si="466"/>
        <v>0</v>
      </c>
      <c r="CS267" s="433">
        <f t="shared" ca="1" si="466"/>
        <v>0</v>
      </c>
      <c r="CT267" s="433">
        <f t="shared" ca="1" si="466"/>
        <v>0</v>
      </c>
      <c r="CU267" s="433">
        <f t="shared" ca="1" si="466"/>
        <v>0</v>
      </c>
      <c r="CV267" s="433">
        <f t="shared" ca="1" si="466"/>
        <v>0</v>
      </c>
      <c r="CW267" s="433">
        <f t="shared" ca="1" si="466"/>
        <v>0</v>
      </c>
      <c r="CX267" s="433">
        <f t="shared" ca="1" si="466"/>
        <v>0</v>
      </c>
      <c r="CY267" s="433">
        <f t="shared" ca="1" si="466"/>
        <v>0</v>
      </c>
      <c r="CZ267" s="433">
        <f t="shared" ca="1" si="466"/>
        <v>0</v>
      </c>
      <c r="DA267" s="433">
        <f t="shared" ca="1" si="466"/>
        <v>0</v>
      </c>
      <c r="DB267" s="433">
        <f t="shared" ref="DB267:DU267" ca="1" si="467">DB262+DB266</f>
        <v>0</v>
      </c>
      <c r="DC267" s="433">
        <f t="shared" ca="1" si="467"/>
        <v>0</v>
      </c>
      <c r="DD267" s="433">
        <f t="shared" ca="1" si="467"/>
        <v>0</v>
      </c>
      <c r="DE267" s="433">
        <f t="shared" ca="1" si="467"/>
        <v>0</v>
      </c>
      <c r="DF267" s="433">
        <f t="shared" ca="1" si="467"/>
        <v>0</v>
      </c>
      <c r="DG267" s="433">
        <f t="shared" ca="1" si="467"/>
        <v>0</v>
      </c>
      <c r="DH267" s="433">
        <f t="shared" ca="1" si="467"/>
        <v>0</v>
      </c>
      <c r="DI267" s="433">
        <f t="shared" ca="1" si="467"/>
        <v>0</v>
      </c>
      <c r="DJ267" s="433">
        <f t="shared" ca="1" si="467"/>
        <v>0</v>
      </c>
      <c r="DK267" s="433">
        <f t="shared" ca="1" si="467"/>
        <v>0</v>
      </c>
      <c r="DL267" s="433">
        <f t="shared" ca="1" si="467"/>
        <v>0</v>
      </c>
      <c r="DM267" s="433">
        <f t="shared" ca="1" si="467"/>
        <v>0</v>
      </c>
      <c r="DN267" s="433">
        <f t="shared" ca="1" si="467"/>
        <v>0</v>
      </c>
      <c r="DO267" s="433">
        <f t="shared" ca="1" si="467"/>
        <v>0</v>
      </c>
      <c r="DP267" s="433">
        <f t="shared" ca="1" si="467"/>
        <v>0</v>
      </c>
      <c r="DQ267" s="433">
        <f t="shared" ca="1" si="467"/>
        <v>0</v>
      </c>
      <c r="DR267" s="433">
        <f t="shared" ca="1" si="467"/>
        <v>0</v>
      </c>
      <c r="DS267" s="433">
        <f t="shared" ca="1" si="467"/>
        <v>0</v>
      </c>
      <c r="DT267" s="433">
        <f t="shared" ca="1" si="467"/>
        <v>0</v>
      </c>
      <c r="DU267" s="433">
        <f t="shared" ca="1" si="467"/>
        <v>0</v>
      </c>
      <c r="EI267" s="280"/>
    </row>
    <row r="268" spans="1:139" ht="7.5" customHeight="1" thickTop="1" x14ac:dyDescent="0.3">
      <c r="D268" s="282"/>
      <c r="EI268" s="722"/>
    </row>
    <row r="269" spans="1:139" x14ac:dyDescent="0.3">
      <c r="A269" s="182" t="str">
        <f>'General Inputs'!J29&amp;" Tier 3 Distribution"</f>
        <v>LP Tier 3 Distribution</v>
      </c>
      <c r="B269" s="182"/>
      <c r="C269" s="400">
        <f>'General Inputs'!$J$32</f>
        <v>0.5</v>
      </c>
      <c r="D269" s="647"/>
      <c r="E269" s="408">
        <f t="shared" ref="E269:BP269" si="468">E272*$C269</f>
        <v>0</v>
      </c>
      <c r="F269" s="408">
        <f t="shared" si="468"/>
        <v>0</v>
      </c>
      <c r="G269" s="408">
        <f t="shared" si="468"/>
        <v>0</v>
      </c>
      <c r="H269" s="408">
        <f t="shared" si="468"/>
        <v>0</v>
      </c>
      <c r="I269" s="408">
        <f t="shared" si="468"/>
        <v>0</v>
      </c>
      <c r="J269" s="408">
        <f t="shared" si="468"/>
        <v>0</v>
      </c>
      <c r="K269" s="408">
        <f t="shared" si="468"/>
        <v>0</v>
      </c>
      <c r="L269" s="408">
        <f t="shared" si="468"/>
        <v>0</v>
      </c>
      <c r="M269" s="408">
        <f t="shared" si="468"/>
        <v>0</v>
      </c>
      <c r="N269" s="408">
        <f t="shared" si="468"/>
        <v>0</v>
      </c>
      <c r="O269" s="408">
        <f t="shared" si="468"/>
        <v>0</v>
      </c>
      <c r="P269" s="408">
        <f t="shared" si="468"/>
        <v>0</v>
      </c>
      <c r="Q269" s="408">
        <f t="shared" si="468"/>
        <v>0</v>
      </c>
      <c r="R269" s="408">
        <f t="shared" si="468"/>
        <v>0</v>
      </c>
      <c r="S269" s="408">
        <f t="shared" si="468"/>
        <v>0</v>
      </c>
      <c r="T269" s="408">
        <f t="shared" si="468"/>
        <v>0</v>
      </c>
      <c r="U269" s="408">
        <f t="shared" si="468"/>
        <v>0</v>
      </c>
      <c r="V269" s="408">
        <f t="shared" si="468"/>
        <v>0</v>
      </c>
      <c r="W269" s="408">
        <f t="shared" si="468"/>
        <v>0</v>
      </c>
      <c r="X269" s="408">
        <f t="shared" si="468"/>
        <v>0</v>
      </c>
      <c r="Y269" s="408">
        <f t="shared" si="468"/>
        <v>0</v>
      </c>
      <c r="Z269" s="408">
        <f t="shared" si="468"/>
        <v>0</v>
      </c>
      <c r="AA269" s="408">
        <f t="shared" si="468"/>
        <v>0</v>
      </c>
      <c r="AB269" s="408">
        <f t="shared" si="468"/>
        <v>0</v>
      </c>
      <c r="AC269" s="408">
        <f t="shared" si="468"/>
        <v>0</v>
      </c>
      <c r="AD269" s="408">
        <f t="shared" si="468"/>
        <v>0</v>
      </c>
      <c r="AE269" s="408">
        <f t="shared" si="468"/>
        <v>0</v>
      </c>
      <c r="AF269" s="408">
        <f t="shared" si="468"/>
        <v>0</v>
      </c>
      <c r="AG269" s="408">
        <f t="shared" ca="1" si="468"/>
        <v>3720655.6855863258</v>
      </c>
      <c r="AH269" s="408">
        <f t="shared" si="468"/>
        <v>0</v>
      </c>
      <c r="AI269" s="408">
        <f t="shared" si="468"/>
        <v>0</v>
      </c>
      <c r="AJ269" s="408">
        <f t="shared" si="468"/>
        <v>0</v>
      </c>
      <c r="AK269" s="408">
        <f t="shared" si="468"/>
        <v>0</v>
      </c>
      <c r="AL269" s="408">
        <f t="shared" si="468"/>
        <v>0</v>
      </c>
      <c r="AM269" s="408">
        <f t="shared" si="468"/>
        <v>0</v>
      </c>
      <c r="AN269" s="408">
        <f t="shared" si="468"/>
        <v>0</v>
      </c>
      <c r="AO269" s="408">
        <f t="shared" si="468"/>
        <v>0</v>
      </c>
      <c r="AP269" s="408">
        <f t="shared" si="468"/>
        <v>0</v>
      </c>
      <c r="AQ269" s="408">
        <f t="shared" si="468"/>
        <v>0</v>
      </c>
      <c r="AR269" s="408">
        <f t="shared" si="468"/>
        <v>0</v>
      </c>
      <c r="AS269" s="408">
        <f t="shared" si="468"/>
        <v>0</v>
      </c>
      <c r="AT269" s="408">
        <f t="shared" si="468"/>
        <v>0</v>
      </c>
      <c r="AU269" s="408">
        <f t="shared" si="468"/>
        <v>0</v>
      </c>
      <c r="AV269" s="408">
        <f t="shared" si="468"/>
        <v>0</v>
      </c>
      <c r="AW269" s="408">
        <f t="shared" si="468"/>
        <v>0</v>
      </c>
      <c r="AX269" s="408">
        <f t="shared" si="468"/>
        <v>0</v>
      </c>
      <c r="AY269" s="408">
        <f t="shared" si="468"/>
        <v>0</v>
      </c>
      <c r="AZ269" s="408">
        <f t="shared" si="468"/>
        <v>0</v>
      </c>
      <c r="BA269" s="408">
        <f t="shared" si="468"/>
        <v>0</v>
      </c>
      <c r="BB269" s="408">
        <f t="shared" si="468"/>
        <v>0</v>
      </c>
      <c r="BC269" s="408">
        <f t="shared" si="468"/>
        <v>0</v>
      </c>
      <c r="BD269" s="408">
        <f t="shared" si="468"/>
        <v>0</v>
      </c>
      <c r="BE269" s="408">
        <f t="shared" si="468"/>
        <v>0</v>
      </c>
      <c r="BF269" s="408">
        <f t="shared" si="468"/>
        <v>0</v>
      </c>
      <c r="BG269" s="408">
        <f t="shared" si="468"/>
        <v>0</v>
      </c>
      <c r="BH269" s="408">
        <f t="shared" si="468"/>
        <v>0</v>
      </c>
      <c r="BI269" s="408">
        <f t="shared" si="468"/>
        <v>0</v>
      </c>
      <c r="BJ269" s="408">
        <f t="shared" si="468"/>
        <v>0</v>
      </c>
      <c r="BK269" s="408">
        <f t="shared" si="468"/>
        <v>0</v>
      </c>
      <c r="BL269" s="408">
        <f t="shared" si="468"/>
        <v>0</v>
      </c>
      <c r="BM269" s="408">
        <f t="shared" si="468"/>
        <v>0</v>
      </c>
      <c r="BN269" s="408">
        <f t="shared" si="468"/>
        <v>0</v>
      </c>
      <c r="BO269" s="408">
        <f t="shared" si="468"/>
        <v>0</v>
      </c>
      <c r="BP269" s="408">
        <f t="shared" si="468"/>
        <v>0</v>
      </c>
      <c r="BQ269" s="408">
        <f t="shared" ref="BQ269:DU269" si="469">BQ272*$C269</f>
        <v>0</v>
      </c>
      <c r="BR269" s="408">
        <f t="shared" si="469"/>
        <v>0</v>
      </c>
      <c r="BS269" s="408">
        <f t="shared" si="469"/>
        <v>0</v>
      </c>
      <c r="BT269" s="408">
        <f t="shared" si="469"/>
        <v>0</v>
      </c>
      <c r="BU269" s="408">
        <f t="shared" si="469"/>
        <v>0</v>
      </c>
      <c r="BV269" s="408">
        <f t="shared" si="469"/>
        <v>0</v>
      </c>
      <c r="BW269" s="408">
        <f t="shared" si="469"/>
        <v>0</v>
      </c>
      <c r="BX269" s="408">
        <f t="shared" si="469"/>
        <v>0</v>
      </c>
      <c r="BY269" s="408">
        <f t="shared" si="469"/>
        <v>0</v>
      </c>
      <c r="BZ269" s="408">
        <f t="shared" si="469"/>
        <v>0</v>
      </c>
      <c r="CA269" s="408">
        <f t="shared" si="469"/>
        <v>0</v>
      </c>
      <c r="CB269" s="408">
        <f t="shared" si="469"/>
        <v>0</v>
      </c>
      <c r="CC269" s="408">
        <f t="shared" si="469"/>
        <v>0</v>
      </c>
      <c r="CD269" s="408">
        <f t="shared" si="469"/>
        <v>0</v>
      </c>
      <c r="CE269" s="408">
        <f t="shared" si="469"/>
        <v>0</v>
      </c>
      <c r="CF269" s="408">
        <f t="shared" si="469"/>
        <v>0</v>
      </c>
      <c r="CG269" s="408">
        <f t="shared" si="469"/>
        <v>0</v>
      </c>
      <c r="CH269" s="408">
        <f t="shared" si="469"/>
        <v>0</v>
      </c>
      <c r="CI269" s="408">
        <f t="shared" si="469"/>
        <v>0</v>
      </c>
      <c r="CJ269" s="408">
        <f t="shared" si="469"/>
        <v>0</v>
      </c>
      <c r="CK269" s="408">
        <f t="shared" si="469"/>
        <v>0</v>
      </c>
      <c r="CL269" s="408">
        <f t="shared" si="469"/>
        <v>0</v>
      </c>
      <c r="CM269" s="408">
        <f t="shared" si="469"/>
        <v>0</v>
      </c>
      <c r="CN269" s="408">
        <f t="shared" si="469"/>
        <v>0</v>
      </c>
      <c r="CO269" s="408">
        <f t="shared" si="469"/>
        <v>0</v>
      </c>
      <c r="CP269" s="408">
        <f t="shared" si="469"/>
        <v>0</v>
      </c>
      <c r="CQ269" s="408">
        <f t="shared" si="469"/>
        <v>0</v>
      </c>
      <c r="CR269" s="408">
        <f t="shared" si="469"/>
        <v>0</v>
      </c>
      <c r="CS269" s="408">
        <f t="shared" si="469"/>
        <v>0</v>
      </c>
      <c r="CT269" s="408">
        <f t="shared" si="469"/>
        <v>0</v>
      </c>
      <c r="CU269" s="408">
        <f t="shared" si="469"/>
        <v>0</v>
      </c>
      <c r="CV269" s="408">
        <f t="shared" si="469"/>
        <v>0</v>
      </c>
      <c r="CW269" s="408">
        <f t="shared" si="469"/>
        <v>0</v>
      </c>
      <c r="CX269" s="408">
        <f t="shared" si="469"/>
        <v>0</v>
      </c>
      <c r="CY269" s="408">
        <f t="shared" si="469"/>
        <v>0</v>
      </c>
      <c r="CZ269" s="408">
        <f t="shared" si="469"/>
        <v>0</v>
      </c>
      <c r="DA269" s="408">
        <f t="shared" si="469"/>
        <v>0</v>
      </c>
      <c r="DB269" s="408">
        <f t="shared" si="469"/>
        <v>0</v>
      </c>
      <c r="DC269" s="408">
        <f t="shared" si="469"/>
        <v>0</v>
      </c>
      <c r="DD269" s="408">
        <f t="shared" si="469"/>
        <v>0</v>
      </c>
      <c r="DE269" s="408">
        <f t="shared" si="469"/>
        <v>0</v>
      </c>
      <c r="DF269" s="408">
        <f t="shared" si="469"/>
        <v>0</v>
      </c>
      <c r="DG269" s="408">
        <f t="shared" si="469"/>
        <v>0</v>
      </c>
      <c r="DH269" s="408">
        <f t="shared" si="469"/>
        <v>0</v>
      </c>
      <c r="DI269" s="408">
        <f t="shared" si="469"/>
        <v>0</v>
      </c>
      <c r="DJ269" s="408">
        <f t="shared" si="469"/>
        <v>0</v>
      </c>
      <c r="DK269" s="408">
        <f t="shared" si="469"/>
        <v>0</v>
      </c>
      <c r="DL269" s="408">
        <f t="shared" si="469"/>
        <v>0</v>
      </c>
      <c r="DM269" s="408">
        <f t="shared" si="469"/>
        <v>0</v>
      </c>
      <c r="DN269" s="408">
        <f t="shared" si="469"/>
        <v>0</v>
      </c>
      <c r="DO269" s="408">
        <f t="shared" si="469"/>
        <v>0</v>
      </c>
      <c r="DP269" s="408">
        <f t="shared" si="469"/>
        <v>0</v>
      </c>
      <c r="DQ269" s="408">
        <f t="shared" si="469"/>
        <v>0</v>
      </c>
      <c r="DR269" s="408">
        <f t="shared" si="469"/>
        <v>0</v>
      </c>
      <c r="DS269" s="408">
        <f t="shared" si="469"/>
        <v>0</v>
      </c>
      <c r="DT269" s="408">
        <f t="shared" si="469"/>
        <v>0</v>
      </c>
      <c r="DU269" s="408">
        <f t="shared" si="469"/>
        <v>0</v>
      </c>
      <c r="EI269" s="280"/>
    </row>
    <row r="270" spans="1:139" x14ac:dyDescent="0.3">
      <c r="A270" s="182" t="str">
        <f>'General Inputs'!K29&amp;" Tier 3 Distribution"</f>
        <v>Quarterra Tier 3 Distribution</v>
      </c>
      <c r="B270" s="182"/>
      <c r="C270" s="400">
        <f>'General Inputs'!$K$32</f>
        <v>0.5</v>
      </c>
      <c r="D270" s="647"/>
      <c r="E270" s="407">
        <f t="shared" ref="E270:BP270" si="470">E272*$C270</f>
        <v>0</v>
      </c>
      <c r="F270" s="407">
        <f t="shared" si="470"/>
        <v>0</v>
      </c>
      <c r="G270" s="407">
        <f t="shared" si="470"/>
        <v>0</v>
      </c>
      <c r="H270" s="407">
        <f t="shared" si="470"/>
        <v>0</v>
      </c>
      <c r="I270" s="407">
        <f t="shared" si="470"/>
        <v>0</v>
      </c>
      <c r="J270" s="407">
        <f t="shared" si="470"/>
        <v>0</v>
      </c>
      <c r="K270" s="407">
        <f t="shared" si="470"/>
        <v>0</v>
      </c>
      <c r="L270" s="407">
        <f t="shared" si="470"/>
        <v>0</v>
      </c>
      <c r="M270" s="407">
        <f t="shared" si="470"/>
        <v>0</v>
      </c>
      <c r="N270" s="407">
        <f t="shared" si="470"/>
        <v>0</v>
      </c>
      <c r="O270" s="407">
        <f t="shared" si="470"/>
        <v>0</v>
      </c>
      <c r="P270" s="407">
        <f t="shared" si="470"/>
        <v>0</v>
      </c>
      <c r="Q270" s="407">
        <f t="shared" si="470"/>
        <v>0</v>
      </c>
      <c r="R270" s="407">
        <f t="shared" si="470"/>
        <v>0</v>
      </c>
      <c r="S270" s="407">
        <f t="shared" si="470"/>
        <v>0</v>
      </c>
      <c r="T270" s="407">
        <f t="shared" si="470"/>
        <v>0</v>
      </c>
      <c r="U270" s="407">
        <f t="shared" si="470"/>
        <v>0</v>
      </c>
      <c r="V270" s="407">
        <f t="shared" si="470"/>
        <v>0</v>
      </c>
      <c r="W270" s="407">
        <f t="shared" si="470"/>
        <v>0</v>
      </c>
      <c r="X270" s="407">
        <f t="shared" si="470"/>
        <v>0</v>
      </c>
      <c r="Y270" s="407">
        <f t="shared" si="470"/>
        <v>0</v>
      </c>
      <c r="Z270" s="407">
        <f t="shared" si="470"/>
        <v>0</v>
      </c>
      <c r="AA270" s="407">
        <f t="shared" si="470"/>
        <v>0</v>
      </c>
      <c r="AB270" s="407">
        <f t="shared" si="470"/>
        <v>0</v>
      </c>
      <c r="AC270" s="407">
        <f t="shared" si="470"/>
        <v>0</v>
      </c>
      <c r="AD270" s="407">
        <f t="shared" si="470"/>
        <v>0</v>
      </c>
      <c r="AE270" s="407">
        <f t="shared" si="470"/>
        <v>0</v>
      </c>
      <c r="AF270" s="407">
        <f t="shared" si="470"/>
        <v>0</v>
      </c>
      <c r="AG270" s="407">
        <f t="shared" ca="1" si="470"/>
        <v>3720655.6855863258</v>
      </c>
      <c r="AH270" s="407">
        <f t="shared" si="470"/>
        <v>0</v>
      </c>
      <c r="AI270" s="407">
        <f t="shared" si="470"/>
        <v>0</v>
      </c>
      <c r="AJ270" s="407">
        <f t="shared" si="470"/>
        <v>0</v>
      </c>
      <c r="AK270" s="407">
        <f t="shared" si="470"/>
        <v>0</v>
      </c>
      <c r="AL270" s="407">
        <f t="shared" si="470"/>
        <v>0</v>
      </c>
      <c r="AM270" s="407">
        <f t="shared" si="470"/>
        <v>0</v>
      </c>
      <c r="AN270" s="407">
        <f t="shared" si="470"/>
        <v>0</v>
      </c>
      <c r="AO270" s="407">
        <f t="shared" si="470"/>
        <v>0</v>
      </c>
      <c r="AP270" s="407">
        <f t="shared" si="470"/>
        <v>0</v>
      </c>
      <c r="AQ270" s="407">
        <f t="shared" si="470"/>
        <v>0</v>
      </c>
      <c r="AR270" s="407">
        <f t="shared" si="470"/>
        <v>0</v>
      </c>
      <c r="AS270" s="407">
        <f t="shared" si="470"/>
        <v>0</v>
      </c>
      <c r="AT270" s="407">
        <f t="shared" si="470"/>
        <v>0</v>
      </c>
      <c r="AU270" s="407">
        <f t="shared" si="470"/>
        <v>0</v>
      </c>
      <c r="AV270" s="407">
        <f t="shared" si="470"/>
        <v>0</v>
      </c>
      <c r="AW270" s="407">
        <f t="shared" si="470"/>
        <v>0</v>
      </c>
      <c r="AX270" s="407">
        <f t="shared" si="470"/>
        <v>0</v>
      </c>
      <c r="AY270" s="407">
        <f t="shared" si="470"/>
        <v>0</v>
      </c>
      <c r="AZ270" s="407">
        <f t="shared" si="470"/>
        <v>0</v>
      </c>
      <c r="BA270" s="407">
        <f t="shared" si="470"/>
        <v>0</v>
      </c>
      <c r="BB270" s="407">
        <f t="shared" si="470"/>
        <v>0</v>
      </c>
      <c r="BC270" s="407">
        <f t="shared" si="470"/>
        <v>0</v>
      </c>
      <c r="BD270" s="407">
        <f t="shared" si="470"/>
        <v>0</v>
      </c>
      <c r="BE270" s="407">
        <f t="shared" si="470"/>
        <v>0</v>
      </c>
      <c r="BF270" s="407">
        <f t="shared" si="470"/>
        <v>0</v>
      </c>
      <c r="BG270" s="407">
        <f t="shared" si="470"/>
        <v>0</v>
      </c>
      <c r="BH270" s="407">
        <f t="shared" si="470"/>
        <v>0</v>
      </c>
      <c r="BI270" s="407">
        <f t="shared" si="470"/>
        <v>0</v>
      </c>
      <c r="BJ270" s="407">
        <f t="shared" si="470"/>
        <v>0</v>
      </c>
      <c r="BK270" s="407">
        <f t="shared" si="470"/>
        <v>0</v>
      </c>
      <c r="BL270" s="407">
        <f t="shared" si="470"/>
        <v>0</v>
      </c>
      <c r="BM270" s="407">
        <f t="shared" si="470"/>
        <v>0</v>
      </c>
      <c r="BN270" s="407">
        <f t="shared" si="470"/>
        <v>0</v>
      </c>
      <c r="BO270" s="407">
        <f t="shared" si="470"/>
        <v>0</v>
      </c>
      <c r="BP270" s="407">
        <f t="shared" si="470"/>
        <v>0</v>
      </c>
      <c r="BQ270" s="407">
        <f t="shared" ref="BQ270:DU270" si="471">BQ272*$C270</f>
        <v>0</v>
      </c>
      <c r="BR270" s="407">
        <f t="shared" si="471"/>
        <v>0</v>
      </c>
      <c r="BS270" s="407">
        <f t="shared" si="471"/>
        <v>0</v>
      </c>
      <c r="BT270" s="407">
        <f t="shared" si="471"/>
        <v>0</v>
      </c>
      <c r="BU270" s="407">
        <f t="shared" si="471"/>
        <v>0</v>
      </c>
      <c r="BV270" s="407">
        <f t="shared" si="471"/>
        <v>0</v>
      </c>
      <c r="BW270" s="407">
        <f t="shared" si="471"/>
        <v>0</v>
      </c>
      <c r="BX270" s="407">
        <f t="shared" si="471"/>
        <v>0</v>
      </c>
      <c r="BY270" s="407">
        <f t="shared" si="471"/>
        <v>0</v>
      </c>
      <c r="BZ270" s="407">
        <f t="shared" si="471"/>
        <v>0</v>
      </c>
      <c r="CA270" s="407">
        <f t="shared" si="471"/>
        <v>0</v>
      </c>
      <c r="CB270" s="407">
        <f t="shared" si="471"/>
        <v>0</v>
      </c>
      <c r="CC270" s="407">
        <f t="shared" si="471"/>
        <v>0</v>
      </c>
      <c r="CD270" s="407">
        <f t="shared" si="471"/>
        <v>0</v>
      </c>
      <c r="CE270" s="407">
        <f t="shared" si="471"/>
        <v>0</v>
      </c>
      <c r="CF270" s="407">
        <f t="shared" si="471"/>
        <v>0</v>
      </c>
      <c r="CG270" s="407">
        <f t="shared" si="471"/>
        <v>0</v>
      </c>
      <c r="CH270" s="407">
        <f t="shared" si="471"/>
        <v>0</v>
      </c>
      <c r="CI270" s="407">
        <f t="shared" si="471"/>
        <v>0</v>
      </c>
      <c r="CJ270" s="407">
        <f t="shared" si="471"/>
        <v>0</v>
      </c>
      <c r="CK270" s="407">
        <f t="shared" si="471"/>
        <v>0</v>
      </c>
      <c r="CL270" s="407">
        <f t="shared" si="471"/>
        <v>0</v>
      </c>
      <c r="CM270" s="407">
        <f t="shared" si="471"/>
        <v>0</v>
      </c>
      <c r="CN270" s="407">
        <f t="shared" si="471"/>
        <v>0</v>
      </c>
      <c r="CO270" s="407">
        <f t="shared" si="471"/>
        <v>0</v>
      </c>
      <c r="CP270" s="407">
        <f t="shared" si="471"/>
        <v>0</v>
      </c>
      <c r="CQ270" s="407">
        <f t="shared" si="471"/>
        <v>0</v>
      </c>
      <c r="CR270" s="407">
        <f t="shared" si="471"/>
        <v>0</v>
      </c>
      <c r="CS270" s="407">
        <f t="shared" si="471"/>
        <v>0</v>
      </c>
      <c r="CT270" s="407">
        <f t="shared" si="471"/>
        <v>0</v>
      </c>
      <c r="CU270" s="407">
        <f t="shared" si="471"/>
        <v>0</v>
      </c>
      <c r="CV270" s="407">
        <f t="shared" si="471"/>
        <v>0</v>
      </c>
      <c r="CW270" s="407">
        <f t="shared" si="471"/>
        <v>0</v>
      </c>
      <c r="CX270" s="407">
        <f t="shared" si="471"/>
        <v>0</v>
      </c>
      <c r="CY270" s="407">
        <f t="shared" si="471"/>
        <v>0</v>
      </c>
      <c r="CZ270" s="407">
        <f t="shared" si="471"/>
        <v>0</v>
      </c>
      <c r="DA270" s="407">
        <f t="shared" si="471"/>
        <v>0</v>
      </c>
      <c r="DB270" s="407">
        <f t="shared" si="471"/>
        <v>0</v>
      </c>
      <c r="DC270" s="407">
        <f t="shared" si="471"/>
        <v>0</v>
      </c>
      <c r="DD270" s="407">
        <f t="shared" si="471"/>
        <v>0</v>
      </c>
      <c r="DE270" s="407">
        <f t="shared" si="471"/>
        <v>0</v>
      </c>
      <c r="DF270" s="407">
        <f t="shared" si="471"/>
        <v>0</v>
      </c>
      <c r="DG270" s="407">
        <f t="shared" si="471"/>
        <v>0</v>
      </c>
      <c r="DH270" s="407">
        <f t="shared" si="471"/>
        <v>0</v>
      </c>
      <c r="DI270" s="407">
        <f t="shared" si="471"/>
        <v>0</v>
      </c>
      <c r="DJ270" s="407">
        <f t="shared" si="471"/>
        <v>0</v>
      </c>
      <c r="DK270" s="407">
        <f t="shared" si="471"/>
        <v>0</v>
      </c>
      <c r="DL270" s="407">
        <f t="shared" si="471"/>
        <v>0</v>
      </c>
      <c r="DM270" s="407">
        <f t="shared" si="471"/>
        <v>0</v>
      </c>
      <c r="DN270" s="407">
        <f t="shared" si="471"/>
        <v>0</v>
      </c>
      <c r="DO270" s="407">
        <f t="shared" si="471"/>
        <v>0</v>
      </c>
      <c r="DP270" s="407">
        <f t="shared" si="471"/>
        <v>0</v>
      </c>
      <c r="DQ270" s="407">
        <f t="shared" si="471"/>
        <v>0</v>
      </c>
      <c r="DR270" s="407">
        <f t="shared" si="471"/>
        <v>0</v>
      </c>
      <c r="DS270" s="407">
        <f t="shared" si="471"/>
        <v>0</v>
      </c>
      <c r="DT270" s="407">
        <f t="shared" si="471"/>
        <v>0</v>
      </c>
      <c r="DU270" s="407">
        <f t="shared" si="471"/>
        <v>0</v>
      </c>
      <c r="EI270" s="722"/>
    </row>
    <row r="271" spans="1:139" x14ac:dyDescent="0.3">
      <c r="A271" s="477" t="str">
        <f>'General Inputs'!L29&amp;" Tier 3 Distribution"</f>
        <v>LAND Tier 3 Distribution</v>
      </c>
      <c r="B271" s="477"/>
      <c r="C271" s="721">
        <f>'General Inputs'!$L$32</f>
        <v>0</v>
      </c>
      <c r="D271" s="648"/>
      <c r="E271" s="705">
        <f t="shared" ref="E271:BP271" si="472">E272*$C271</f>
        <v>0</v>
      </c>
      <c r="F271" s="705">
        <f t="shared" si="472"/>
        <v>0</v>
      </c>
      <c r="G271" s="705">
        <f t="shared" si="472"/>
        <v>0</v>
      </c>
      <c r="H271" s="705">
        <f t="shared" si="472"/>
        <v>0</v>
      </c>
      <c r="I271" s="705">
        <f t="shared" si="472"/>
        <v>0</v>
      </c>
      <c r="J271" s="705">
        <f t="shared" si="472"/>
        <v>0</v>
      </c>
      <c r="K271" s="705">
        <f t="shared" si="472"/>
        <v>0</v>
      </c>
      <c r="L271" s="705">
        <f t="shared" si="472"/>
        <v>0</v>
      </c>
      <c r="M271" s="705">
        <f t="shared" si="472"/>
        <v>0</v>
      </c>
      <c r="N271" s="705">
        <f t="shared" si="472"/>
        <v>0</v>
      </c>
      <c r="O271" s="705">
        <f t="shared" si="472"/>
        <v>0</v>
      </c>
      <c r="P271" s="705">
        <f t="shared" si="472"/>
        <v>0</v>
      </c>
      <c r="Q271" s="705">
        <f t="shared" si="472"/>
        <v>0</v>
      </c>
      <c r="R271" s="705">
        <f t="shared" si="472"/>
        <v>0</v>
      </c>
      <c r="S271" s="705">
        <f t="shared" si="472"/>
        <v>0</v>
      </c>
      <c r="T271" s="705">
        <f t="shared" si="472"/>
        <v>0</v>
      </c>
      <c r="U271" s="705">
        <f t="shared" si="472"/>
        <v>0</v>
      </c>
      <c r="V271" s="705">
        <f t="shared" si="472"/>
        <v>0</v>
      </c>
      <c r="W271" s="705">
        <f t="shared" si="472"/>
        <v>0</v>
      </c>
      <c r="X271" s="705">
        <f t="shared" si="472"/>
        <v>0</v>
      </c>
      <c r="Y271" s="705">
        <f t="shared" si="472"/>
        <v>0</v>
      </c>
      <c r="Z271" s="705">
        <f t="shared" si="472"/>
        <v>0</v>
      </c>
      <c r="AA271" s="705">
        <f t="shared" si="472"/>
        <v>0</v>
      </c>
      <c r="AB271" s="705">
        <f t="shared" si="472"/>
        <v>0</v>
      </c>
      <c r="AC271" s="705">
        <f t="shared" si="472"/>
        <v>0</v>
      </c>
      <c r="AD271" s="705">
        <f t="shared" si="472"/>
        <v>0</v>
      </c>
      <c r="AE271" s="705">
        <f t="shared" si="472"/>
        <v>0</v>
      </c>
      <c r="AF271" s="705">
        <f t="shared" si="472"/>
        <v>0</v>
      </c>
      <c r="AG271" s="705">
        <f t="shared" ca="1" si="472"/>
        <v>0</v>
      </c>
      <c r="AH271" s="705">
        <f t="shared" si="472"/>
        <v>0</v>
      </c>
      <c r="AI271" s="705">
        <f t="shared" si="472"/>
        <v>0</v>
      </c>
      <c r="AJ271" s="705">
        <f t="shared" si="472"/>
        <v>0</v>
      </c>
      <c r="AK271" s="705">
        <f t="shared" si="472"/>
        <v>0</v>
      </c>
      <c r="AL271" s="705">
        <f t="shared" si="472"/>
        <v>0</v>
      </c>
      <c r="AM271" s="705">
        <f t="shared" si="472"/>
        <v>0</v>
      </c>
      <c r="AN271" s="705">
        <f t="shared" si="472"/>
        <v>0</v>
      </c>
      <c r="AO271" s="705">
        <f t="shared" si="472"/>
        <v>0</v>
      </c>
      <c r="AP271" s="705">
        <f t="shared" si="472"/>
        <v>0</v>
      </c>
      <c r="AQ271" s="705">
        <f t="shared" si="472"/>
        <v>0</v>
      </c>
      <c r="AR271" s="705">
        <f t="shared" si="472"/>
        <v>0</v>
      </c>
      <c r="AS271" s="705">
        <f t="shared" si="472"/>
        <v>0</v>
      </c>
      <c r="AT271" s="705">
        <f t="shared" si="472"/>
        <v>0</v>
      </c>
      <c r="AU271" s="705">
        <f t="shared" si="472"/>
        <v>0</v>
      </c>
      <c r="AV271" s="705">
        <f t="shared" si="472"/>
        <v>0</v>
      </c>
      <c r="AW271" s="705">
        <f t="shared" si="472"/>
        <v>0</v>
      </c>
      <c r="AX271" s="705">
        <f t="shared" si="472"/>
        <v>0</v>
      </c>
      <c r="AY271" s="705">
        <f t="shared" si="472"/>
        <v>0</v>
      </c>
      <c r="AZ271" s="705">
        <f t="shared" si="472"/>
        <v>0</v>
      </c>
      <c r="BA271" s="705">
        <f t="shared" si="472"/>
        <v>0</v>
      </c>
      <c r="BB271" s="705">
        <f t="shared" si="472"/>
        <v>0</v>
      </c>
      <c r="BC271" s="705">
        <f t="shared" si="472"/>
        <v>0</v>
      </c>
      <c r="BD271" s="705">
        <f t="shared" si="472"/>
        <v>0</v>
      </c>
      <c r="BE271" s="705">
        <f t="shared" si="472"/>
        <v>0</v>
      </c>
      <c r="BF271" s="705">
        <f t="shared" si="472"/>
        <v>0</v>
      </c>
      <c r="BG271" s="705">
        <f t="shared" si="472"/>
        <v>0</v>
      </c>
      <c r="BH271" s="705">
        <f t="shared" si="472"/>
        <v>0</v>
      </c>
      <c r="BI271" s="705">
        <f t="shared" si="472"/>
        <v>0</v>
      </c>
      <c r="BJ271" s="705">
        <f t="shared" si="472"/>
        <v>0</v>
      </c>
      <c r="BK271" s="705">
        <f t="shared" si="472"/>
        <v>0</v>
      </c>
      <c r="BL271" s="705">
        <f t="shared" si="472"/>
        <v>0</v>
      </c>
      <c r="BM271" s="705">
        <f t="shared" si="472"/>
        <v>0</v>
      </c>
      <c r="BN271" s="705">
        <f t="shared" si="472"/>
        <v>0</v>
      </c>
      <c r="BO271" s="705">
        <f t="shared" si="472"/>
        <v>0</v>
      </c>
      <c r="BP271" s="705">
        <f t="shared" si="472"/>
        <v>0</v>
      </c>
      <c r="BQ271" s="705">
        <f t="shared" ref="BQ271:DU271" si="473">BQ272*$C271</f>
        <v>0</v>
      </c>
      <c r="BR271" s="705">
        <f t="shared" si="473"/>
        <v>0</v>
      </c>
      <c r="BS271" s="705">
        <f t="shared" si="473"/>
        <v>0</v>
      </c>
      <c r="BT271" s="705">
        <f t="shared" si="473"/>
        <v>0</v>
      </c>
      <c r="BU271" s="705">
        <f t="shared" si="473"/>
        <v>0</v>
      </c>
      <c r="BV271" s="705">
        <f t="shared" si="473"/>
        <v>0</v>
      </c>
      <c r="BW271" s="705">
        <f t="shared" si="473"/>
        <v>0</v>
      </c>
      <c r="BX271" s="705">
        <f t="shared" si="473"/>
        <v>0</v>
      </c>
      <c r="BY271" s="705">
        <f t="shared" si="473"/>
        <v>0</v>
      </c>
      <c r="BZ271" s="705">
        <f t="shared" si="473"/>
        <v>0</v>
      </c>
      <c r="CA271" s="705">
        <f t="shared" si="473"/>
        <v>0</v>
      </c>
      <c r="CB271" s="705">
        <f t="shared" si="473"/>
        <v>0</v>
      </c>
      <c r="CC271" s="705">
        <f t="shared" si="473"/>
        <v>0</v>
      </c>
      <c r="CD271" s="705">
        <f t="shared" si="473"/>
        <v>0</v>
      </c>
      <c r="CE271" s="705">
        <f t="shared" si="473"/>
        <v>0</v>
      </c>
      <c r="CF271" s="705">
        <f t="shared" si="473"/>
        <v>0</v>
      </c>
      <c r="CG271" s="705">
        <f t="shared" si="473"/>
        <v>0</v>
      </c>
      <c r="CH271" s="705">
        <f t="shared" si="473"/>
        <v>0</v>
      </c>
      <c r="CI271" s="705">
        <f t="shared" si="473"/>
        <v>0</v>
      </c>
      <c r="CJ271" s="705">
        <f t="shared" si="473"/>
        <v>0</v>
      </c>
      <c r="CK271" s="705">
        <f t="shared" si="473"/>
        <v>0</v>
      </c>
      <c r="CL271" s="705">
        <f t="shared" si="473"/>
        <v>0</v>
      </c>
      <c r="CM271" s="705">
        <f t="shared" si="473"/>
        <v>0</v>
      </c>
      <c r="CN271" s="705">
        <f t="shared" si="473"/>
        <v>0</v>
      </c>
      <c r="CO271" s="705">
        <f t="shared" si="473"/>
        <v>0</v>
      </c>
      <c r="CP271" s="705">
        <f t="shared" si="473"/>
        <v>0</v>
      </c>
      <c r="CQ271" s="705">
        <f t="shared" si="473"/>
        <v>0</v>
      </c>
      <c r="CR271" s="705">
        <f t="shared" si="473"/>
        <v>0</v>
      </c>
      <c r="CS271" s="705">
        <f t="shared" si="473"/>
        <v>0</v>
      </c>
      <c r="CT271" s="705">
        <f t="shared" si="473"/>
        <v>0</v>
      </c>
      <c r="CU271" s="705">
        <f t="shared" si="473"/>
        <v>0</v>
      </c>
      <c r="CV271" s="705">
        <f t="shared" si="473"/>
        <v>0</v>
      </c>
      <c r="CW271" s="705">
        <f t="shared" si="473"/>
        <v>0</v>
      </c>
      <c r="CX271" s="705">
        <f t="shared" si="473"/>
        <v>0</v>
      </c>
      <c r="CY271" s="705">
        <f t="shared" si="473"/>
        <v>0</v>
      </c>
      <c r="CZ271" s="705">
        <f t="shared" si="473"/>
        <v>0</v>
      </c>
      <c r="DA271" s="705">
        <f t="shared" si="473"/>
        <v>0</v>
      </c>
      <c r="DB271" s="705">
        <f t="shared" si="473"/>
        <v>0</v>
      </c>
      <c r="DC271" s="705">
        <f t="shared" si="473"/>
        <v>0</v>
      </c>
      <c r="DD271" s="705">
        <f t="shared" si="473"/>
        <v>0</v>
      </c>
      <c r="DE271" s="705">
        <f t="shared" si="473"/>
        <v>0</v>
      </c>
      <c r="DF271" s="705">
        <f t="shared" si="473"/>
        <v>0</v>
      </c>
      <c r="DG271" s="705">
        <f t="shared" si="473"/>
        <v>0</v>
      </c>
      <c r="DH271" s="705">
        <f t="shared" si="473"/>
        <v>0</v>
      </c>
      <c r="DI271" s="705">
        <f t="shared" si="473"/>
        <v>0</v>
      </c>
      <c r="DJ271" s="705">
        <f t="shared" si="473"/>
        <v>0</v>
      </c>
      <c r="DK271" s="705">
        <f t="shared" si="473"/>
        <v>0</v>
      </c>
      <c r="DL271" s="705">
        <f t="shared" si="473"/>
        <v>0</v>
      </c>
      <c r="DM271" s="705">
        <f t="shared" si="473"/>
        <v>0</v>
      </c>
      <c r="DN271" s="705">
        <f t="shared" si="473"/>
        <v>0</v>
      </c>
      <c r="DO271" s="705">
        <f t="shared" si="473"/>
        <v>0</v>
      </c>
      <c r="DP271" s="705">
        <f t="shared" si="473"/>
        <v>0</v>
      </c>
      <c r="DQ271" s="705">
        <f t="shared" si="473"/>
        <v>0</v>
      </c>
      <c r="DR271" s="705">
        <f t="shared" si="473"/>
        <v>0</v>
      </c>
      <c r="DS271" s="705">
        <f t="shared" si="473"/>
        <v>0</v>
      </c>
      <c r="DT271" s="705">
        <f t="shared" si="473"/>
        <v>0</v>
      </c>
      <c r="DU271" s="705">
        <f t="shared" si="473"/>
        <v>0</v>
      </c>
      <c r="EI271" s="280"/>
    </row>
    <row r="272" spans="1:139" x14ac:dyDescent="0.3">
      <c r="A272" s="182" t="s">
        <v>2516</v>
      </c>
      <c r="B272" s="182"/>
      <c r="C272" s="182"/>
      <c r="D272" s="744"/>
      <c r="E272" s="620">
        <f t="shared" ref="E272:AJ272" si="474">IF(E$5=MonthDisposition,MIN((E$267-E$213-E$243-E$256)/$C$269,E199-E246-E259),0)</f>
        <v>0</v>
      </c>
      <c r="F272" s="620">
        <f t="shared" si="474"/>
        <v>0</v>
      </c>
      <c r="G272" s="620">
        <f t="shared" si="474"/>
        <v>0</v>
      </c>
      <c r="H272" s="620">
        <f t="shared" si="474"/>
        <v>0</v>
      </c>
      <c r="I272" s="620">
        <f t="shared" si="474"/>
        <v>0</v>
      </c>
      <c r="J272" s="620">
        <f t="shared" si="474"/>
        <v>0</v>
      </c>
      <c r="K272" s="620">
        <f t="shared" si="474"/>
        <v>0</v>
      </c>
      <c r="L272" s="620">
        <f t="shared" si="474"/>
        <v>0</v>
      </c>
      <c r="M272" s="620">
        <f t="shared" si="474"/>
        <v>0</v>
      </c>
      <c r="N272" s="620">
        <f t="shared" si="474"/>
        <v>0</v>
      </c>
      <c r="O272" s="620">
        <f t="shared" si="474"/>
        <v>0</v>
      </c>
      <c r="P272" s="620">
        <f t="shared" si="474"/>
        <v>0</v>
      </c>
      <c r="Q272" s="620">
        <f t="shared" si="474"/>
        <v>0</v>
      </c>
      <c r="R272" s="620">
        <f t="shared" si="474"/>
        <v>0</v>
      </c>
      <c r="S272" s="620">
        <f t="shared" si="474"/>
        <v>0</v>
      </c>
      <c r="T272" s="620">
        <f t="shared" si="474"/>
        <v>0</v>
      </c>
      <c r="U272" s="620">
        <f t="shared" si="474"/>
        <v>0</v>
      </c>
      <c r="V272" s="620">
        <f t="shared" si="474"/>
        <v>0</v>
      </c>
      <c r="W272" s="620">
        <f t="shared" si="474"/>
        <v>0</v>
      </c>
      <c r="X272" s="620">
        <f t="shared" si="474"/>
        <v>0</v>
      </c>
      <c r="Y272" s="620">
        <f t="shared" si="474"/>
        <v>0</v>
      </c>
      <c r="Z272" s="620">
        <f t="shared" si="474"/>
        <v>0</v>
      </c>
      <c r="AA272" s="620">
        <f t="shared" si="474"/>
        <v>0</v>
      </c>
      <c r="AB272" s="620">
        <f t="shared" si="474"/>
        <v>0</v>
      </c>
      <c r="AC272" s="620">
        <f t="shared" si="474"/>
        <v>0</v>
      </c>
      <c r="AD272" s="620">
        <f t="shared" si="474"/>
        <v>0</v>
      </c>
      <c r="AE272" s="620">
        <f t="shared" si="474"/>
        <v>0</v>
      </c>
      <c r="AF272" s="620">
        <f t="shared" si="474"/>
        <v>0</v>
      </c>
      <c r="AG272" s="620">
        <f t="shared" ca="1" si="474"/>
        <v>7441311.3711726516</v>
      </c>
      <c r="AH272" s="620">
        <f t="shared" si="474"/>
        <v>0</v>
      </c>
      <c r="AI272" s="620">
        <f t="shared" si="474"/>
        <v>0</v>
      </c>
      <c r="AJ272" s="620">
        <f t="shared" si="474"/>
        <v>0</v>
      </c>
      <c r="AK272" s="620">
        <f t="shared" ref="AK272:BP272" si="475">IF(AK$5=MonthDisposition,MIN((AK$267-AK$213-AK$243-AK$256)/$C$269,AK199-AK246-AK259),0)</f>
        <v>0</v>
      </c>
      <c r="AL272" s="620">
        <f t="shared" si="475"/>
        <v>0</v>
      </c>
      <c r="AM272" s="620">
        <f t="shared" si="475"/>
        <v>0</v>
      </c>
      <c r="AN272" s="620">
        <f t="shared" si="475"/>
        <v>0</v>
      </c>
      <c r="AO272" s="620">
        <f t="shared" si="475"/>
        <v>0</v>
      </c>
      <c r="AP272" s="620">
        <f t="shared" si="475"/>
        <v>0</v>
      </c>
      <c r="AQ272" s="620">
        <f t="shared" si="475"/>
        <v>0</v>
      </c>
      <c r="AR272" s="620">
        <f t="shared" si="475"/>
        <v>0</v>
      </c>
      <c r="AS272" s="620">
        <f t="shared" si="475"/>
        <v>0</v>
      </c>
      <c r="AT272" s="620">
        <f t="shared" si="475"/>
        <v>0</v>
      </c>
      <c r="AU272" s="620">
        <f t="shared" si="475"/>
        <v>0</v>
      </c>
      <c r="AV272" s="620">
        <f t="shared" si="475"/>
        <v>0</v>
      </c>
      <c r="AW272" s="620">
        <f t="shared" si="475"/>
        <v>0</v>
      </c>
      <c r="AX272" s="620">
        <f t="shared" si="475"/>
        <v>0</v>
      </c>
      <c r="AY272" s="620">
        <f t="shared" si="475"/>
        <v>0</v>
      </c>
      <c r="AZ272" s="620">
        <f t="shared" si="475"/>
        <v>0</v>
      </c>
      <c r="BA272" s="620">
        <f t="shared" si="475"/>
        <v>0</v>
      </c>
      <c r="BB272" s="620">
        <f t="shared" si="475"/>
        <v>0</v>
      </c>
      <c r="BC272" s="620">
        <f t="shared" si="475"/>
        <v>0</v>
      </c>
      <c r="BD272" s="620">
        <f t="shared" si="475"/>
        <v>0</v>
      </c>
      <c r="BE272" s="620">
        <f t="shared" si="475"/>
        <v>0</v>
      </c>
      <c r="BF272" s="620">
        <f t="shared" si="475"/>
        <v>0</v>
      </c>
      <c r="BG272" s="620">
        <f t="shared" si="475"/>
        <v>0</v>
      </c>
      <c r="BH272" s="620">
        <f t="shared" si="475"/>
        <v>0</v>
      </c>
      <c r="BI272" s="620">
        <f t="shared" si="475"/>
        <v>0</v>
      </c>
      <c r="BJ272" s="620">
        <f t="shared" si="475"/>
        <v>0</v>
      </c>
      <c r="BK272" s="620">
        <f t="shared" si="475"/>
        <v>0</v>
      </c>
      <c r="BL272" s="620">
        <f t="shared" si="475"/>
        <v>0</v>
      </c>
      <c r="BM272" s="620">
        <f t="shared" si="475"/>
        <v>0</v>
      </c>
      <c r="BN272" s="620">
        <f t="shared" si="475"/>
        <v>0</v>
      </c>
      <c r="BO272" s="620">
        <f t="shared" si="475"/>
        <v>0</v>
      </c>
      <c r="BP272" s="620">
        <f t="shared" si="475"/>
        <v>0</v>
      </c>
      <c r="BQ272" s="620">
        <f t="shared" ref="BQ272:CV272" si="476">IF(BQ$5=MonthDisposition,MIN((BQ$267-BQ$213-BQ$243-BQ$256)/$C$269,BQ199-BQ246-BQ259),0)</f>
        <v>0</v>
      </c>
      <c r="BR272" s="620">
        <f t="shared" si="476"/>
        <v>0</v>
      </c>
      <c r="BS272" s="620">
        <f t="shared" si="476"/>
        <v>0</v>
      </c>
      <c r="BT272" s="620">
        <f t="shared" si="476"/>
        <v>0</v>
      </c>
      <c r="BU272" s="620">
        <f t="shared" si="476"/>
        <v>0</v>
      </c>
      <c r="BV272" s="620">
        <f t="shared" si="476"/>
        <v>0</v>
      </c>
      <c r="BW272" s="620">
        <f t="shared" si="476"/>
        <v>0</v>
      </c>
      <c r="BX272" s="620">
        <f t="shared" si="476"/>
        <v>0</v>
      </c>
      <c r="BY272" s="620">
        <f t="shared" si="476"/>
        <v>0</v>
      </c>
      <c r="BZ272" s="620">
        <f t="shared" si="476"/>
        <v>0</v>
      </c>
      <c r="CA272" s="620">
        <f t="shared" si="476"/>
        <v>0</v>
      </c>
      <c r="CB272" s="620">
        <f t="shared" si="476"/>
        <v>0</v>
      </c>
      <c r="CC272" s="620">
        <f t="shared" si="476"/>
        <v>0</v>
      </c>
      <c r="CD272" s="620">
        <f t="shared" si="476"/>
        <v>0</v>
      </c>
      <c r="CE272" s="620">
        <f t="shared" si="476"/>
        <v>0</v>
      </c>
      <c r="CF272" s="620">
        <f t="shared" si="476"/>
        <v>0</v>
      </c>
      <c r="CG272" s="620">
        <f t="shared" si="476"/>
        <v>0</v>
      </c>
      <c r="CH272" s="620">
        <f t="shared" si="476"/>
        <v>0</v>
      </c>
      <c r="CI272" s="620">
        <f t="shared" si="476"/>
        <v>0</v>
      </c>
      <c r="CJ272" s="620">
        <f t="shared" si="476"/>
        <v>0</v>
      </c>
      <c r="CK272" s="620">
        <f t="shared" si="476"/>
        <v>0</v>
      </c>
      <c r="CL272" s="620">
        <f t="shared" si="476"/>
        <v>0</v>
      </c>
      <c r="CM272" s="620">
        <f t="shared" si="476"/>
        <v>0</v>
      </c>
      <c r="CN272" s="620">
        <f t="shared" si="476"/>
        <v>0</v>
      </c>
      <c r="CO272" s="620">
        <f t="shared" si="476"/>
        <v>0</v>
      </c>
      <c r="CP272" s="620">
        <f t="shared" si="476"/>
        <v>0</v>
      </c>
      <c r="CQ272" s="620">
        <f t="shared" si="476"/>
        <v>0</v>
      </c>
      <c r="CR272" s="620">
        <f t="shared" si="476"/>
        <v>0</v>
      </c>
      <c r="CS272" s="620">
        <f t="shared" si="476"/>
        <v>0</v>
      </c>
      <c r="CT272" s="620">
        <f t="shared" si="476"/>
        <v>0</v>
      </c>
      <c r="CU272" s="620">
        <f t="shared" si="476"/>
        <v>0</v>
      </c>
      <c r="CV272" s="620">
        <f t="shared" si="476"/>
        <v>0</v>
      </c>
      <c r="CW272" s="620">
        <f t="shared" ref="CW272:DU272" si="477">IF(CW$5=MonthDisposition,MIN((CW$267-CW$213-CW$243-CW$256)/$C$269,CW199-CW246-CW259),0)</f>
        <v>0</v>
      </c>
      <c r="CX272" s="620">
        <f t="shared" si="477"/>
        <v>0</v>
      </c>
      <c r="CY272" s="620">
        <f t="shared" si="477"/>
        <v>0</v>
      </c>
      <c r="CZ272" s="620">
        <f t="shared" si="477"/>
        <v>0</v>
      </c>
      <c r="DA272" s="620">
        <f t="shared" si="477"/>
        <v>0</v>
      </c>
      <c r="DB272" s="620">
        <f t="shared" si="477"/>
        <v>0</v>
      </c>
      <c r="DC272" s="620">
        <f t="shared" si="477"/>
        <v>0</v>
      </c>
      <c r="DD272" s="620">
        <f t="shared" si="477"/>
        <v>0</v>
      </c>
      <c r="DE272" s="620">
        <f t="shared" si="477"/>
        <v>0</v>
      </c>
      <c r="DF272" s="620">
        <f t="shared" si="477"/>
        <v>0</v>
      </c>
      <c r="DG272" s="620">
        <f t="shared" si="477"/>
        <v>0</v>
      </c>
      <c r="DH272" s="620">
        <f t="shared" si="477"/>
        <v>0</v>
      </c>
      <c r="DI272" s="620">
        <f t="shared" si="477"/>
        <v>0</v>
      </c>
      <c r="DJ272" s="620">
        <f t="shared" si="477"/>
        <v>0</v>
      </c>
      <c r="DK272" s="620">
        <f t="shared" si="477"/>
        <v>0</v>
      </c>
      <c r="DL272" s="620">
        <f t="shared" si="477"/>
        <v>0</v>
      </c>
      <c r="DM272" s="620">
        <f t="shared" si="477"/>
        <v>0</v>
      </c>
      <c r="DN272" s="620">
        <f t="shared" si="477"/>
        <v>0</v>
      </c>
      <c r="DO272" s="620">
        <f t="shared" si="477"/>
        <v>0</v>
      </c>
      <c r="DP272" s="620">
        <f t="shared" si="477"/>
        <v>0</v>
      </c>
      <c r="DQ272" s="620">
        <f t="shared" si="477"/>
        <v>0</v>
      </c>
      <c r="DR272" s="620">
        <f t="shared" si="477"/>
        <v>0</v>
      </c>
      <c r="DS272" s="620">
        <f t="shared" si="477"/>
        <v>0</v>
      </c>
      <c r="DT272" s="620">
        <f t="shared" si="477"/>
        <v>0</v>
      </c>
      <c r="DU272" s="620">
        <f t="shared" si="477"/>
        <v>0</v>
      </c>
      <c r="EI272" s="722"/>
    </row>
    <row r="273" spans="1:139" ht="7.5" customHeight="1" thickBot="1" x14ac:dyDescent="0.35">
      <c r="D273" s="282"/>
      <c r="EI273" s="280"/>
    </row>
    <row r="274" spans="1:139" ht="15.75" customHeight="1" thickTop="1" x14ac:dyDescent="0.3">
      <c r="A274" s="318" t="s">
        <v>2517</v>
      </c>
      <c r="B274" s="635"/>
      <c r="C274" s="716"/>
      <c r="D274" s="728"/>
      <c r="E274" s="322"/>
      <c r="F274" s="322"/>
      <c r="G274" s="322"/>
      <c r="H274" s="322"/>
      <c r="I274" s="322"/>
      <c r="J274" s="322"/>
      <c r="K274" s="322"/>
      <c r="L274" s="322"/>
      <c r="M274" s="322"/>
      <c r="N274" s="322"/>
      <c r="O274" s="322"/>
      <c r="P274" s="322"/>
      <c r="Q274" s="322"/>
      <c r="R274" s="322"/>
      <c r="S274" s="322"/>
      <c r="T274" s="322"/>
      <c r="U274" s="322"/>
      <c r="V274" s="322"/>
      <c r="W274" s="322"/>
      <c r="X274" s="322"/>
      <c r="Y274" s="322"/>
      <c r="Z274" s="322"/>
      <c r="AA274" s="322"/>
      <c r="AB274" s="322"/>
      <c r="AC274" s="322"/>
      <c r="AD274" s="322"/>
      <c r="AE274" s="322"/>
      <c r="AF274" s="322"/>
      <c r="AG274" s="322"/>
      <c r="AH274" s="322"/>
      <c r="AI274" s="322"/>
      <c r="AJ274" s="322"/>
      <c r="AK274" s="322"/>
      <c r="AL274" s="322"/>
      <c r="AM274" s="322"/>
      <c r="AN274" s="322"/>
      <c r="AO274" s="322"/>
      <c r="AP274" s="322"/>
      <c r="AQ274" s="322"/>
      <c r="AR274" s="322"/>
      <c r="AS274" s="322"/>
      <c r="AT274" s="322"/>
      <c r="AU274" s="322"/>
      <c r="AV274" s="322"/>
      <c r="AW274" s="322"/>
      <c r="AX274" s="322"/>
      <c r="AY274" s="322"/>
      <c r="AZ274" s="322"/>
      <c r="BA274" s="322"/>
      <c r="BB274" s="322"/>
      <c r="BC274" s="322"/>
      <c r="BD274" s="322"/>
      <c r="BE274" s="322"/>
      <c r="BF274" s="322"/>
      <c r="BG274" s="322"/>
      <c r="BH274" s="322"/>
      <c r="BI274" s="322"/>
      <c r="BJ274" s="322"/>
      <c r="BK274" s="322"/>
      <c r="BL274" s="322"/>
      <c r="BM274" s="322"/>
      <c r="BN274" s="322"/>
      <c r="BO274" s="322"/>
      <c r="BP274" s="322"/>
      <c r="BQ274" s="322"/>
      <c r="BR274" s="322"/>
      <c r="BS274" s="322"/>
      <c r="BT274" s="322"/>
      <c r="BU274" s="322"/>
      <c r="BV274" s="322"/>
      <c r="BW274" s="322"/>
      <c r="BX274" s="322"/>
      <c r="BY274" s="322"/>
      <c r="BZ274" s="322"/>
      <c r="CA274" s="322"/>
      <c r="CB274" s="322"/>
      <c r="CC274" s="322"/>
      <c r="CD274" s="322"/>
      <c r="CE274" s="322"/>
      <c r="CF274" s="322"/>
      <c r="CG274" s="322"/>
      <c r="CH274" s="322"/>
      <c r="CI274" s="322"/>
      <c r="CJ274" s="322"/>
      <c r="CK274" s="322"/>
      <c r="CL274" s="322"/>
      <c r="CM274" s="322"/>
      <c r="CN274" s="322"/>
      <c r="CO274" s="322"/>
      <c r="CP274" s="322"/>
      <c r="CQ274" s="322"/>
      <c r="CR274" s="322"/>
      <c r="CS274" s="322"/>
      <c r="CT274" s="322"/>
      <c r="CU274" s="322"/>
      <c r="CV274" s="322"/>
      <c r="CW274" s="322"/>
      <c r="CX274" s="322"/>
      <c r="CY274" s="322"/>
      <c r="CZ274" s="322"/>
      <c r="DA274" s="322"/>
      <c r="DB274" s="322"/>
      <c r="DC274" s="322"/>
      <c r="DD274" s="322"/>
      <c r="DE274" s="322"/>
      <c r="DF274" s="322"/>
      <c r="DG274" s="322"/>
      <c r="DH274" s="322"/>
      <c r="DI274" s="322"/>
      <c r="DJ274" s="322"/>
      <c r="DK274" s="322"/>
      <c r="DL274" s="322"/>
      <c r="DM274" s="322"/>
      <c r="DN274" s="322"/>
      <c r="DO274" s="322"/>
      <c r="DP274" s="322"/>
      <c r="DQ274" s="322"/>
      <c r="DR274" s="322"/>
      <c r="DS274" s="322"/>
      <c r="DT274" s="322"/>
      <c r="DU274" s="322"/>
      <c r="EH274" s="644"/>
      <c r="EI274" s="722"/>
    </row>
    <row r="275" spans="1:139" ht="15" thickBot="1" x14ac:dyDescent="0.35">
      <c r="A275" s="436" t="s">
        <v>2518</v>
      </c>
      <c r="B275" s="436"/>
      <c r="C275" s="439" t="str">
        <f ca="1">TEXT((1+IRR(E275:DU275,0.01))^12-1,"0.00%")&amp;"/"&amp;TEXT(SUM(E275:DU275)/'General Inputs'!$J$8+1,"0.00x")</f>
        <v>30.59%/1.79x</v>
      </c>
      <c r="D275" s="745"/>
      <c r="E275" s="433">
        <f t="shared" ref="E275:AN275" ca="1" si="478">E204</f>
        <v>-1872006.950411486</v>
      </c>
      <c r="F275" s="433">
        <f t="shared" ca="1" si="478"/>
        <v>-15199690.31702359</v>
      </c>
      <c r="G275" s="433">
        <f t="shared" ca="1" si="478"/>
        <v>-477509.54329989548</v>
      </c>
      <c r="H275" s="433">
        <f t="shared" ca="1" si="478"/>
        <v>-725018.0475038616</v>
      </c>
      <c r="I275" s="433">
        <f t="shared" ca="1" si="478"/>
        <v>-1231351.4260033614</v>
      </c>
      <c r="J275" s="433">
        <f t="shared" ca="1" si="478"/>
        <v>-2009445.0862433794</v>
      </c>
      <c r="K275" s="433">
        <f t="shared" ca="1" si="478"/>
        <v>-2068277.2828140815</v>
      </c>
      <c r="L275" s="433">
        <f t="shared" ca="1" si="478"/>
        <v>-2635556.0946173389</v>
      </c>
      <c r="M275" s="433">
        <f t="shared" ca="1" si="478"/>
        <v>-3126311.3752459437</v>
      </c>
      <c r="N275" s="433">
        <f t="shared" ca="1" si="478"/>
        <v>-3659644.6239059586</v>
      </c>
      <c r="O275" s="433">
        <f t="shared" ca="1" si="478"/>
        <v>-2077020.2069114102</v>
      </c>
      <c r="P275" s="433">
        <f t="shared" ca="1" si="478"/>
        <v>0</v>
      </c>
      <c r="Q275" s="433">
        <f t="shared" ca="1" si="478"/>
        <v>0</v>
      </c>
      <c r="R275" s="433">
        <f t="shared" ca="1" si="478"/>
        <v>0</v>
      </c>
      <c r="S275" s="433">
        <f t="shared" ca="1" si="478"/>
        <v>0</v>
      </c>
      <c r="T275" s="433">
        <f t="shared" ca="1" si="478"/>
        <v>0</v>
      </c>
      <c r="U275" s="433">
        <f t="shared" ca="1" si="478"/>
        <v>0</v>
      </c>
      <c r="V275" s="433">
        <f t="shared" ca="1" si="478"/>
        <v>0</v>
      </c>
      <c r="W275" s="433">
        <f t="shared" ca="1" si="478"/>
        <v>0</v>
      </c>
      <c r="X275" s="433">
        <f t="shared" ca="1" si="478"/>
        <v>0</v>
      </c>
      <c r="Y275" s="433">
        <f t="shared" ca="1" si="478"/>
        <v>0</v>
      </c>
      <c r="Z275" s="433">
        <f t="shared" ca="1" si="478"/>
        <v>0</v>
      </c>
      <c r="AA275" s="433">
        <f t="shared" ca="1" si="478"/>
        <v>0</v>
      </c>
      <c r="AB275" s="433">
        <f t="shared" ca="1" si="478"/>
        <v>0</v>
      </c>
      <c r="AC275" s="433">
        <f t="shared" ca="1" si="478"/>
        <v>44113.029490091343</v>
      </c>
      <c r="AD275" s="433">
        <f t="shared" ca="1" si="478"/>
        <v>84330.422386363207</v>
      </c>
      <c r="AE275" s="433">
        <f t="shared" ca="1" si="478"/>
        <v>130124.26310856765</v>
      </c>
      <c r="AF275" s="433">
        <f t="shared" ca="1" si="478"/>
        <v>219562.23728908136</v>
      </c>
      <c r="AG275" s="433">
        <f t="shared" ca="1" si="478"/>
        <v>59404812.488954499</v>
      </c>
      <c r="AH275" s="433">
        <f t="shared" si="478"/>
        <v>0</v>
      </c>
      <c r="AI275" s="433">
        <f t="shared" si="478"/>
        <v>0</v>
      </c>
      <c r="AJ275" s="433">
        <f t="shared" si="478"/>
        <v>0</v>
      </c>
      <c r="AK275" s="433">
        <f t="shared" si="478"/>
        <v>0</v>
      </c>
      <c r="AL275" s="433">
        <f t="shared" si="478"/>
        <v>0</v>
      </c>
      <c r="AM275" s="433">
        <f t="shared" si="478"/>
        <v>0</v>
      </c>
      <c r="AN275" s="433">
        <f t="shared" si="478"/>
        <v>0</v>
      </c>
      <c r="AO275" s="433">
        <f>AO204</f>
        <v>0</v>
      </c>
      <c r="AP275" s="433">
        <f t="shared" ref="AP275:DA275" si="479">AP204</f>
        <v>0</v>
      </c>
      <c r="AQ275" s="433">
        <f t="shared" si="479"/>
        <v>0</v>
      </c>
      <c r="AR275" s="433">
        <f t="shared" si="479"/>
        <v>0</v>
      </c>
      <c r="AS275" s="433">
        <f t="shared" si="479"/>
        <v>0</v>
      </c>
      <c r="AT275" s="433">
        <f t="shared" si="479"/>
        <v>0</v>
      </c>
      <c r="AU275" s="433">
        <f t="shared" si="479"/>
        <v>0</v>
      </c>
      <c r="AV275" s="433">
        <f t="shared" si="479"/>
        <v>0</v>
      </c>
      <c r="AW275" s="433">
        <f t="shared" si="479"/>
        <v>0</v>
      </c>
      <c r="AX275" s="433">
        <f t="shared" si="479"/>
        <v>0</v>
      </c>
      <c r="AY275" s="433">
        <f t="shared" si="479"/>
        <v>0</v>
      </c>
      <c r="AZ275" s="433">
        <f t="shared" si="479"/>
        <v>0</v>
      </c>
      <c r="BA275" s="433">
        <f t="shared" si="479"/>
        <v>0</v>
      </c>
      <c r="BB275" s="433">
        <f t="shared" si="479"/>
        <v>0</v>
      </c>
      <c r="BC275" s="433">
        <f t="shared" si="479"/>
        <v>0</v>
      </c>
      <c r="BD275" s="433">
        <f t="shared" si="479"/>
        <v>0</v>
      </c>
      <c r="BE275" s="433">
        <f t="shared" si="479"/>
        <v>0</v>
      </c>
      <c r="BF275" s="433">
        <f t="shared" si="479"/>
        <v>0</v>
      </c>
      <c r="BG275" s="433">
        <f t="shared" si="479"/>
        <v>0</v>
      </c>
      <c r="BH275" s="433">
        <f t="shared" si="479"/>
        <v>0</v>
      </c>
      <c r="BI275" s="433">
        <f t="shared" si="479"/>
        <v>0</v>
      </c>
      <c r="BJ275" s="433">
        <f t="shared" si="479"/>
        <v>0</v>
      </c>
      <c r="BK275" s="433">
        <f t="shared" si="479"/>
        <v>0</v>
      </c>
      <c r="BL275" s="433">
        <f t="shared" si="479"/>
        <v>0</v>
      </c>
      <c r="BM275" s="433">
        <f t="shared" si="479"/>
        <v>0</v>
      </c>
      <c r="BN275" s="433">
        <f t="shared" si="479"/>
        <v>0</v>
      </c>
      <c r="BO275" s="433">
        <f t="shared" si="479"/>
        <v>0</v>
      </c>
      <c r="BP275" s="433">
        <f t="shared" si="479"/>
        <v>0</v>
      </c>
      <c r="BQ275" s="433">
        <f t="shared" si="479"/>
        <v>0</v>
      </c>
      <c r="BR275" s="433">
        <f t="shared" si="479"/>
        <v>0</v>
      </c>
      <c r="BS275" s="433">
        <f t="shared" si="479"/>
        <v>0</v>
      </c>
      <c r="BT275" s="433">
        <f t="shared" si="479"/>
        <v>0</v>
      </c>
      <c r="BU275" s="433">
        <f t="shared" si="479"/>
        <v>0</v>
      </c>
      <c r="BV275" s="433">
        <f t="shared" si="479"/>
        <v>0</v>
      </c>
      <c r="BW275" s="433">
        <f t="shared" si="479"/>
        <v>0</v>
      </c>
      <c r="BX275" s="433">
        <f t="shared" si="479"/>
        <v>0</v>
      </c>
      <c r="BY275" s="433">
        <f t="shared" si="479"/>
        <v>0</v>
      </c>
      <c r="BZ275" s="433">
        <f t="shared" si="479"/>
        <v>0</v>
      </c>
      <c r="CA275" s="433">
        <f t="shared" si="479"/>
        <v>0</v>
      </c>
      <c r="CB275" s="433">
        <f t="shared" si="479"/>
        <v>0</v>
      </c>
      <c r="CC275" s="433">
        <f t="shared" si="479"/>
        <v>0</v>
      </c>
      <c r="CD275" s="433">
        <f t="shared" si="479"/>
        <v>0</v>
      </c>
      <c r="CE275" s="433">
        <f t="shared" si="479"/>
        <v>0</v>
      </c>
      <c r="CF275" s="433">
        <f t="shared" si="479"/>
        <v>0</v>
      </c>
      <c r="CG275" s="433">
        <f t="shared" si="479"/>
        <v>0</v>
      </c>
      <c r="CH275" s="433">
        <f t="shared" si="479"/>
        <v>0</v>
      </c>
      <c r="CI275" s="433">
        <f t="shared" si="479"/>
        <v>0</v>
      </c>
      <c r="CJ275" s="433">
        <f t="shared" si="479"/>
        <v>0</v>
      </c>
      <c r="CK275" s="433">
        <f t="shared" si="479"/>
        <v>0</v>
      </c>
      <c r="CL275" s="433">
        <f t="shared" si="479"/>
        <v>0</v>
      </c>
      <c r="CM275" s="433">
        <f t="shared" si="479"/>
        <v>0</v>
      </c>
      <c r="CN275" s="433">
        <f t="shared" si="479"/>
        <v>0</v>
      </c>
      <c r="CO275" s="433">
        <f t="shared" si="479"/>
        <v>0</v>
      </c>
      <c r="CP275" s="433">
        <f t="shared" si="479"/>
        <v>0</v>
      </c>
      <c r="CQ275" s="433">
        <f t="shared" si="479"/>
        <v>0</v>
      </c>
      <c r="CR275" s="433">
        <f t="shared" si="479"/>
        <v>0</v>
      </c>
      <c r="CS275" s="433">
        <f t="shared" si="479"/>
        <v>0</v>
      </c>
      <c r="CT275" s="433">
        <f t="shared" si="479"/>
        <v>0</v>
      </c>
      <c r="CU275" s="433">
        <f t="shared" si="479"/>
        <v>0</v>
      </c>
      <c r="CV275" s="433">
        <f t="shared" si="479"/>
        <v>0</v>
      </c>
      <c r="CW275" s="433">
        <f t="shared" si="479"/>
        <v>0</v>
      </c>
      <c r="CX275" s="433">
        <f t="shared" si="479"/>
        <v>0</v>
      </c>
      <c r="CY275" s="433">
        <f t="shared" si="479"/>
        <v>0</v>
      </c>
      <c r="CZ275" s="433">
        <f t="shared" si="479"/>
        <v>0</v>
      </c>
      <c r="DA275" s="433">
        <f t="shared" si="479"/>
        <v>0</v>
      </c>
      <c r="DB275" s="433">
        <f t="shared" ref="DB275:DU275" si="480">DB204</f>
        <v>0</v>
      </c>
      <c r="DC275" s="433">
        <f t="shared" si="480"/>
        <v>0</v>
      </c>
      <c r="DD275" s="433">
        <f t="shared" si="480"/>
        <v>0</v>
      </c>
      <c r="DE275" s="433">
        <f t="shared" si="480"/>
        <v>0</v>
      </c>
      <c r="DF275" s="433">
        <f t="shared" si="480"/>
        <v>0</v>
      </c>
      <c r="DG275" s="433">
        <f t="shared" si="480"/>
        <v>0</v>
      </c>
      <c r="DH275" s="433">
        <f t="shared" si="480"/>
        <v>0</v>
      </c>
      <c r="DI275" s="433">
        <f t="shared" si="480"/>
        <v>0</v>
      </c>
      <c r="DJ275" s="433">
        <f t="shared" si="480"/>
        <v>0</v>
      </c>
      <c r="DK275" s="433">
        <f t="shared" si="480"/>
        <v>0</v>
      </c>
      <c r="DL275" s="433">
        <f t="shared" si="480"/>
        <v>0</v>
      </c>
      <c r="DM275" s="433">
        <f t="shared" si="480"/>
        <v>0</v>
      </c>
      <c r="DN275" s="433">
        <f t="shared" si="480"/>
        <v>0</v>
      </c>
      <c r="DO275" s="433">
        <f t="shared" si="480"/>
        <v>0</v>
      </c>
      <c r="DP275" s="433">
        <f t="shared" si="480"/>
        <v>0</v>
      </c>
      <c r="DQ275" s="433">
        <f t="shared" si="480"/>
        <v>0</v>
      </c>
      <c r="DR275" s="433">
        <f t="shared" si="480"/>
        <v>0</v>
      </c>
      <c r="DS275" s="433">
        <f t="shared" si="480"/>
        <v>0</v>
      </c>
      <c r="DT275" s="433">
        <f t="shared" si="480"/>
        <v>0</v>
      </c>
      <c r="DU275" s="433">
        <f t="shared" si="480"/>
        <v>0</v>
      </c>
      <c r="EI275" s="280"/>
    </row>
    <row r="276" spans="1:139" ht="7.5" customHeight="1" thickTop="1" x14ac:dyDescent="0.3">
      <c r="D276" s="282"/>
      <c r="EI276" s="722"/>
    </row>
    <row r="277" spans="1:139" x14ac:dyDescent="0.3">
      <c r="A277" s="182" t="str">
        <f>'General Inputs'!$J$29&amp;" Residual Distribution"</f>
        <v>LP Residual Distribution</v>
      </c>
      <c r="B277" s="182"/>
      <c r="C277" s="400">
        <f>'General Inputs'!$J$33</f>
        <v>0.4</v>
      </c>
      <c r="D277" s="647"/>
      <c r="E277" s="408">
        <f t="shared" ref="E277:AN277" si="481">E280*$C277</f>
        <v>0</v>
      </c>
      <c r="F277" s="408">
        <f t="shared" si="481"/>
        <v>0</v>
      </c>
      <c r="G277" s="408">
        <f t="shared" si="481"/>
        <v>0</v>
      </c>
      <c r="H277" s="408">
        <f t="shared" si="481"/>
        <v>0</v>
      </c>
      <c r="I277" s="408">
        <f t="shared" si="481"/>
        <v>0</v>
      </c>
      <c r="J277" s="408">
        <f t="shared" si="481"/>
        <v>0</v>
      </c>
      <c r="K277" s="408">
        <f t="shared" si="481"/>
        <v>0</v>
      </c>
      <c r="L277" s="408">
        <f t="shared" si="481"/>
        <v>0</v>
      </c>
      <c r="M277" s="408">
        <f t="shared" si="481"/>
        <v>0</v>
      </c>
      <c r="N277" s="408">
        <f t="shared" si="481"/>
        <v>0</v>
      </c>
      <c r="O277" s="408">
        <f t="shared" si="481"/>
        <v>0</v>
      </c>
      <c r="P277" s="408">
        <f t="shared" si="481"/>
        <v>0</v>
      </c>
      <c r="Q277" s="408">
        <f t="shared" si="481"/>
        <v>0</v>
      </c>
      <c r="R277" s="408">
        <f t="shared" si="481"/>
        <v>0</v>
      </c>
      <c r="S277" s="408">
        <f t="shared" si="481"/>
        <v>0</v>
      </c>
      <c r="T277" s="408">
        <f t="shared" si="481"/>
        <v>0</v>
      </c>
      <c r="U277" s="408">
        <f t="shared" si="481"/>
        <v>0</v>
      </c>
      <c r="V277" s="408">
        <f t="shared" si="481"/>
        <v>0</v>
      </c>
      <c r="W277" s="408">
        <f t="shared" si="481"/>
        <v>0</v>
      </c>
      <c r="X277" s="408">
        <f t="shared" si="481"/>
        <v>0</v>
      </c>
      <c r="Y277" s="408">
        <f t="shared" si="481"/>
        <v>0</v>
      </c>
      <c r="Z277" s="408">
        <f t="shared" si="481"/>
        <v>0</v>
      </c>
      <c r="AA277" s="408">
        <f t="shared" si="481"/>
        <v>0</v>
      </c>
      <c r="AB277" s="408">
        <f t="shared" si="481"/>
        <v>0</v>
      </c>
      <c r="AC277" s="408">
        <f t="shared" si="481"/>
        <v>0</v>
      </c>
      <c r="AD277" s="408">
        <f t="shared" si="481"/>
        <v>0</v>
      </c>
      <c r="AE277" s="408">
        <f t="shared" si="481"/>
        <v>0</v>
      </c>
      <c r="AF277" s="408">
        <f t="shared" si="481"/>
        <v>0</v>
      </c>
      <c r="AG277" s="408">
        <f t="shared" ca="1" si="481"/>
        <v>1761401.0637349337</v>
      </c>
      <c r="AH277" s="408">
        <f t="shared" si="481"/>
        <v>0</v>
      </c>
      <c r="AI277" s="408">
        <f t="shared" si="481"/>
        <v>0</v>
      </c>
      <c r="AJ277" s="408">
        <f t="shared" si="481"/>
        <v>0</v>
      </c>
      <c r="AK277" s="408">
        <f t="shared" si="481"/>
        <v>0</v>
      </c>
      <c r="AL277" s="408">
        <f t="shared" si="481"/>
        <v>0</v>
      </c>
      <c r="AM277" s="408">
        <f t="shared" si="481"/>
        <v>0</v>
      </c>
      <c r="AN277" s="408">
        <f t="shared" si="481"/>
        <v>0</v>
      </c>
      <c r="AO277" s="408">
        <f>AO280*$C277</f>
        <v>0</v>
      </c>
      <c r="AP277" s="408">
        <f t="shared" ref="AP277:DA277" si="482">AP280*$C277</f>
        <v>0</v>
      </c>
      <c r="AQ277" s="408">
        <f t="shared" si="482"/>
        <v>0</v>
      </c>
      <c r="AR277" s="408">
        <f t="shared" si="482"/>
        <v>0</v>
      </c>
      <c r="AS277" s="408">
        <f t="shared" si="482"/>
        <v>0</v>
      </c>
      <c r="AT277" s="408">
        <f t="shared" si="482"/>
        <v>0</v>
      </c>
      <c r="AU277" s="408">
        <f t="shared" si="482"/>
        <v>0</v>
      </c>
      <c r="AV277" s="408">
        <f t="shared" si="482"/>
        <v>0</v>
      </c>
      <c r="AW277" s="408">
        <f t="shared" si="482"/>
        <v>0</v>
      </c>
      <c r="AX277" s="408">
        <f t="shared" si="482"/>
        <v>0</v>
      </c>
      <c r="AY277" s="408">
        <f t="shared" si="482"/>
        <v>0</v>
      </c>
      <c r="AZ277" s="408">
        <f t="shared" si="482"/>
        <v>0</v>
      </c>
      <c r="BA277" s="408">
        <f t="shared" si="482"/>
        <v>0</v>
      </c>
      <c r="BB277" s="408">
        <f t="shared" si="482"/>
        <v>0</v>
      </c>
      <c r="BC277" s="408">
        <f t="shared" si="482"/>
        <v>0</v>
      </c>
      <c r="BD277" s="408">
        <f t="shared" si="482"/>
        <v>0</v>
      </c>
      <c r="BE277" s="408">
        <f t="shared" si="482"/>
        <v>0</v>
      </c>
      <c r="BF277" s="408">
        <f t="shared" si="482"/>
        <v>0</v>
      </c>
      <c r="BG277" s="408">
        <f t="shared" si="482"/>
        <v>0</v>
      </c>
      <c r="BH277" s="408">
        <f t="shared" si="482"/>
        <v>0</v>
      </c>
      <c r="BI277" s="408">
        <f t="shared" si="482"/>
        <v>0</v>
      </c>
      <c r="BJ277" s="408">
        <f t="shared" si="482"/>
        <v>0</v>
      </c>
      <c r="BK277" s="408">
        <f t="shared" si="482"/>
        <v>0</v>
      </c>
      <c r="BL277" s="408">
        <f t="shared" si="482"/>
        <v>0</v>
      </c>
      <c r="BM277" s="408">
        <f t="shared" si="482"/>
        <v>0</v>
      </c>
      <c r="BN277" s="408">
        <f t="shared" si="482"/>
        <v>0</v>
      </c>
      <c r="BO277" s="408">
        <f t="shared" si="482"/>
        <v>0</v>
      </c>
      <c r="BP277" s="408">
        <f t="shared" si="482"/>
        <v>0</v>
      </c>
      <c r="BQ277" s="408">
        <f t="shared" si="482"/>
        <v>0</v>
      </c>
      <c r="BR277" s="408">
        <f t="shared" si="482"/>
        <v>0</v>
      </c>
      <c r="BS277" s="408">
        <f t="shared" si="482"/>
        <v>0</v>
      </c>
      <c r="BT277" s="408">
        <f t="shared" si="482"/>
        <v>0</v>
      </c>
      <c r="BU277" s="408">
        <f t="shared" si="482"/>
        <v>0</v>
      </c>
      <c r="BV277" s="408">
        <f t="shared" si="482"/>
        <v>0</v>
      </c>
      <c r="BW277" s="408">
        <f t="shared" si="482"/>
        <v>0</v>
      </c>
      <c r="BX277" s="408">
        <f t="shared" si="482"/>
        <v>0</v>
      </c>
      <c r="BY277" s="408">
        <f t="shared" si="482"/>
        <v>0</v>
      </c>
      <c r="BZ277" s="408">
        <f t="shared" si="482"/>
        <v>0</v>
      </c>
      <c r="CA277" s="408">
        <f t="shared" si="482"/>
        <v>0</v>
      </c>
      <c r="CB277" s="408">
        <f t="shared" si="482"/>
        <v>0</v>
      </c>
      <c r="CC277" s="408">
        <f t="shared" si="482"/>
        <v>0</v>
      </c>
      <c r="CD277" s="408">
        <f t="shared" si="482"/>
        <v>0</v>
      </c>
      <c r="CE277" s="408">
        <f t="shared" si="482"/>
        <v>0</v>
      </c>
      <c r="CF277" s="408">
        <f t="shared" si="482"/>
        <v>0</v>
      </c>
      <c r="CG277" s="408">
        <f t="shared" si="482"/>
        <v>0</v>
      </c>
      <c r="CH277" s="408">
        <f t="shared" si="482"/>
        <v>0</v>
      </c>
      <c r="CI277" s="408">
        <f t="shared" si="482"/>
        <v>0</v>
      </c>
      <c r="CJ277" s="408">
        <f t="shared" si="482"/>
        <v>0</v>
      </c>
      <c r="CK277" s="408">
        <f t="shared" si="482"/>
        <v>0</v>
      </c>
      <c r="CL277" s="408">
        <f t="shared" si="482"/>
        <v>0</v>
      </c>
      <c r="CM277" s="408">
        <f t="shared" si="482"/>
        <v>0</v>
      </c>
      <c r="CN277" s="408">
        <f t="shared" si="482"/>
        <v>0</v>
      </c>
      <c r="CO277" s="408">
        <f t="shared" si="482"/>
        <v>0</v>
      </c>
      <c r="CP277" s="408">
        <f t="shared" si="482"/>
        <v>0</v>
      </c>
      <c r="CQ277" s="408">
        <f t="shared" si="482"/>
        <v>0</v>
      </c>
      <c r="CR277" s="408">
        <f t="shared" si="482"/>
        <v>0</v>
      </c>
      <c r="CS277" s="408">
        <f t="shared" si="482"/>
        <v>0</v>
      </c>
      <c r="CT277" s="408">
        <f t="shared" si="482"/>
        <v>0</v>
      </c>
      <c r="CU277" s="408">
        <f t="shared" si="482"/>
        <v>0</v>
      </c>
      <c r="CV277" s="408">
        <f t="shared" si="482"/>
        <v>0</v>
      </c>
      <c r="CW277" s="408">
        <f t="shared" si="482"/>
        <v>0</v>
      </c>
      <c r="CX277" s="408">
        <f t="shared" si="482"/>
        <v>0</v>
      </c>
      <c r="CY277" s="408">
        <f t="shared" si="482"/>
        <v>0</v>
      </c>
      <c r="CZ277" s="408">
        <f t="shared" si="482"/>
        <v>0</v>
      </c>
      <c r="DA277" s="408">
        <f t="shared" si="482"/>
        <v>0</v>
      </c>
      <c r="DB277" s="408">
        <f t="shared" ref="DB277:DU277" si="483">DB280*$C277</f>
        <v>0</v>
      </c>
      <c r="DC277" s="408">
        <f t="shared" si="483"/>
        <v>0</v>
      </c>
      <c r="DD277" s="408">
        <f t="shared" si="483"/>
        <v>0</v>
      </c>
      <c r="DE277" s="408">
        <f t="shared" si="483"/>
        <v>0</v>
      </c>
      <c r="DF277" s="408">
        <f t="shared" si="483"/>
        <v>0</v>
      </c>
      <c r="DG277" s="408">
        <f t="shared" si="483"/>
        <v>0</v>
      </c>
      <c r="DH277" s="408">
        <f t="shared" si="483"/>
        <v>0</v>
      </c>
      <c r="DI277" s="408">
        <f t="shared" si="483"/>
        <v>0</v>
      </c>
      <c r="DJ277" s="408">
        <f t="shared" si="483"/>
        <v>0</v>
      </c>
      <c r="DK277" s="408">
        <f t="shared" si="483"/>
        <v>0</v>
      </c>
      <c r="DL277" s="408">
        <f t="shared" si="483"/>
        <v>0</v>
      </c>
      <c r="DM277" s="408">
        <f t="shared" si="483"/>
        <v>0</v>
      </c>
      <c r="DN277" s="408">
        <f t="shared" si="483"/>
        <v>0</v>
      </c>
      <c r="DO277" s="408">
        <f t="shared" si="483"/>
        <v>0</v>
      </c>
      <c r="DP277" s="408">
        <f t="shared" si="483"/>
        <v>0</v>
      </c>
      <c r="DQ277" s="408">
        <f t="shared" si="483"/>
        <v>0</v>
      </c>
      <c r="DR277" s="408">
        <f t="shared" si="483"/>
        <v>0</v>
      </c>
      <c r="DS277" s="408">
        <f t="shared" si="483"/>
        <v>0</v>
      </c>
      <c r="DT277" s="408">
        <f t="shared" si="483"/>
        <v>0</v>
      </c>
      <c r="DU277" s="408">
        <f t="shared" si="483"/>
        <v>0</v>
      </c>
      <c r="EI277" s="280"/>
    </row>
    <row r="278" spans="1:139" x14ac:dyDescent="0.3">
      <c r="A278" s="182" t="str">
        <f>'General Inputs'!$K$29&amp;" Residual Distribution"</f>
        <v>Quarterra Residual Distribution</v>
      </c>
      <c r="B278" s="182"/>
      <c r="C278" s="400">
        <f>'General Inputs'!$K$33</f>
        <v>0.6</v>
      </c>
      <c r="D278" s="647"/>
      <c r="E278" s="407">
        <f t="shared" ref="E278:AN278" si="484">E280*$C278</f>
        <v>0</v>
      </c>
      <c r="F278" s="407">
        <f t="shared" si="484"/>
        <v>0</v>
      </c>
      <c r="G278" s="407">
        <f t="shared" si="484"/>
        <v>0</v>
      </c>
      <c r="H278" s="407">
        <f t="shared" si="484"/>
        <v>0</v>
      </c>
      <c r="I278" s="407">
        <f t="shared" si="484"/>
        <v>0</v>
      </c>
      <c r="J278" s="407">
        <f t="shared" si="484"/>
        <v>0</v>
      </c>
      <c r="K278" s="407">
        <f t="shared" si="484"/>
        <v>0</v>
      </c>
      <c r="L278" s="407">
        <f t="shared" si="484"/>
        <v>0</v>
      </c>
      <c r="M278" s="407">
        <f t="shared" si="484"/>
        <v>0</v>
      </c>
      <c r="N278" s="407">
        <f t="shared" si="484"/>
        <v>0</v>
      </c>
      <c r="O278" s="407">
        <f t="shared" si="484"/>
        <v>0</v>
      </c>
      <c r="P278" s="407">
        <f t="shared" si="484"/>
        <v>0</v>
      </c>
      <c r="Q278" s="407">
        <f t="shared" si="484"/>
        <v>0</v>
      </c>
      <c r="R278" s="407">
        <f t="shared" si="484"/>
        <v>0</v>
      </c>
      <c r="S278" s="407">
        <f t="shared" si="484"/>
        <v>0</v>
      </c>
      <c r="T278" s="407">
        <f t="shared" si="484"/>
        <v>0</v>
      </c>
      <c r="U278" s="407">
        <f t="shared" si="484"/>
        <v>0</v>
      </c>
      <c r="V278" s="407">
        <f t="shared" si="484"/>
        <v>0</v>
      </c>
      <c r="W278" s="407">
        <f t="shared" si="484"/>
        <v>0</v>
      </c>
      <c r="X278" s="407">
        <f t="shared" si="484"/>
        <v>0</v>
      </c>
      <c r="Y278" s="407">
        <f t="shared" si="484"/>
        <v>0</v>
      </c>
      <c r="Z278" s="407">
        <f t="shared" si="484"/>
        <v>0</v>
      </c>
      <c r="AA278" s="407">
        <f t="shared" si="484"/>
        <v>0</v>
      </c>
      <c r="AB278" s="407">
        <f t="shared" si="484"/>
        <v>0</v>
      </c>
      <c r="AC278" s="407">
        <f t="shared" si="484"/>
        <v>0</v>
      </c>
      <c r="AD278" s="407">
        <f t="shared" si="484"/>
        <v>0</v>
      </c>
      <c r="AE278" s="407">
        <f t="shared" si="484"/>
        <v>0</v>
      </c>
      <c r="AF278" s="407">
        <f t="shared" si="484"/>
        <v>0</v>
      </c>
      <c r="AG278" s="407">
        <f t="shared" ca="1" si="484"/>
        <v>2642101.5956024006</v>
      </c>
      <c r="AH278" s="407">
        <f t="shared" si="484"/>
        <v>0</v>
      </c>
      <c r="AI278" s="407">
        <f t="shared" si="484"/>
        <v>0</v>
      </c>
      <c r="AJ278" s="407">
        <f t="shared" si="484"/>
        <v>0</v>
      </c>
      <c r="AK278" s="407">
        <f t="shared" si="484"/>
        <v>0</v>
      </c>
      <c r="AL278" s="407">
        <f t="shared" si="484"/>
        <v>0</v>
      </c>
      <c r="AM278" s="407">
        <f t="shared" si="484"/>
        <v>0</v>
      </c>
      <c r="AN278" s="407">
        <f t="shared" si="484"/>
        <v>0</v>
      </c>
      <c r="AO278" s="407">
        <f>AO280*$C278</f>
        <v>0</v>
      </c>
      <c r="AP278" s="407">
        <f t="shared" ref="AP278:DA278" si="485">AP280*$C278</f>
        <v>0</v>
      </c>
      <c r="AQ278" s="407">
        <f t="shared" si="485"/>
        <v>0</v>
      </c>
      <c r="AR278" s="407">
        <f t="shared" si="485"/>
        <v>0</v>
      </c>
      <c r="AS278" s="407">
        <f t="shared" si="485"/>
        <v>0</v>
      </c>
      <c r="AT278" s="407">
        <f t="shared" si="485"/>
        <v>0</v>
      </c>
      <c r="AU278" s="407">
        <f t="shared" si="485"/>
        <v>0</v>
      </c>
      <c r="AV278" s="407">
        <f t="shared" si="485"/>
        <v>0</v>
      </c>
      <c r="AW278" s="407">
        <f t="shared" si="485"/>
        <v>0</v>
      </c>
      <c r="AX278" s="407">
        <f t="shared" si="485"/>
        <v>0</v>
      </c>
      <c r="AY278" s="407">
        <f t="shared" si="485"/>
        <v>0</v>
      </c>
      <c r="AZ278" s="407">
        <f t="shared" si="485"/>
        <v>0</v>
      </c>
      <c r="BA278" s="407">
        <f t="shared" si="485"/>
        <v>0</v>
      </c>
      <c r="BB278" s="407">
        <f t="shared" si="485"/>
        <v>0</v>
      </c>
      <c r="BC278" s="407">
        <f t="shared" si="485"/>
        <v>0</v>
      </c>
      <c r="BD278" s="407">
        <f t="shared" si="485"/>
        <v>0</v>
      </c>
      <c r="BE278" s="407">
        <f t="shared" si="485"/>
        <v>0</v>
      </c>
      <c r="BF278" s="407">
        <f t="shared" si="485"/>
        <v>0</v>
      </c>
      <c r="BG278" s="407">
        <f t="shared" si="485"/>
        <v>0</v>
      </c>
      <c r="BH278" s="407">
        <f t="shared" si="485"/>
        <v>0</v>
      </c>
      <c r="BI278" s="407">
        <f t="shared" si="485"/>
        <v>0</v>
      </c>
      <c r="BJ278" s="407">
        <f t="shared" si="485"/>
        <v>0</v>
      </c>
      <c r="BK278" s="407">
        <f t="shared" si="485"/>
        <v>0</v>
      </c>
      <c r="BL278" s="407">
        <f t="shared" si="485"/>
        <v>0</v>
      </c>
      <c r="BM278" s="407">
        <f t="shared" si="485"/>
        <v>0</v>
      </c>
      <c r="BN278" s="407">
        <f t="shared" si="485"/>
        <v>0</v>
      </c>
      <c r="BO278" s="407">
        <f t="shared" si="485"/>
        <v>0</v>
      </c>
      <c r="BP278" s="407">
        <f t="shared" si="485"/>
        <v>0</v>
      </c>
      <c r="BQ278" s="407">
        <f t="shared" si="485"/>
        <v>0</v>
      </c>
      <c r="BR278" s="407">
        <f t="shared" si="485"/>
        <v>0</v>
      </c>
      <c r="BS278" s="407">
        <f t="shared" si="485"/>
        <v>0</v>
      </c>
      <c r="BT278" s="407">
        <f t="shared" si="485"/>
        <v>0</v>
      </c>
      <c r="BU278" s="407">
        <f t="shared" si="485"/>
        <v>0</v>
      </c>
      <c r="BV278" s="407">
        <f t="shared" si="485"/>
        <v>0</v>
      </c>
      <c r="BW278" s="407">
        <f t="shared" si="485"/>
        <v>0</v>
      </c>
      <c r="BX278" s="407">
        <f t="shared" si="485"/>
        <v>0</v>
      </c>
      <c r="BY278" s="407">
        <f t="shared" si="485"/>
        <v>0</v>
      </c>
      <c r="BZ278" s="407">
        <f t="shared" si="485"/>
        <v>0</v>
      </c>
      <c r="CA278" s="407">
        <f t="shared" si="485"/>
        <v>0</v>
      </c>
      <c r="CB278" s="407">
        <f t="shared" si="485"/>
        <v>0</v>
      </c>
      <c r="CC278" s="407">
        <f t="shared" si="485"/>
        <v>0</v>
      </c>
      <c r="CD278" s="407">
        <f t="shared" si="485"/>
        <v>0</v>
      </c>
      <c r="CE278" s="407">
        <f t="shared" si="485"/>
        <v>0</v>
      </c>
      <c r="CF278" s="407">
        <f t="shared" si="485"/>
        <v>0</v>
      </c>
      <c r="CG278" s="407">
        <f t="shared" si="485"/>
        <v>0</v>
      </c>
      <c r="CH278" s="407">
        <f t="shared" si="485"/>
        <v>0</v>
      </c>
      <c r="CI278" s="407">
        <f t="shared" si="485"/>
        <v>0</v>
      </c>
      <c r="CJ278" s="407">
        <f t="shared" si="485"/>
        <v>0</v>
      </c>
      <c r="CK278" s="407">
        <f t="shared" si="485"/>
        <v>0</v>
      </c>
      <c r="CL278" s="407">
        <f t="shared" si="485"/>
        <v>0</v>
      </c>
      <c r="CM278" s="407">
        <f t="shared" si="485"/>
        <v>0</v>
      </c>
      <c r="CN278" s="407">
        <f t="shared" si="485"/>
        <v>0</v>
      </c>
      <c r="CO278" s="407">
        <f t="shared" si="485"/>
        <v>0</v>
      </c>
      <c r="CP278" s="407">
        <f t="shared" si="485"/>
        <v>0</v>
      </c>
      <c r="CQ278" s="407">
        <f t="shared" si="485"/>
        <v>0</v>
      </c>
      <c r="CR278" s="407">
        <f t="shared" si="485"/>
        <v>0</v>
      </c>
      <c r="CS278" s="407">
        <f t="shared" si="485"/>
        <v>0</v>
      </c>
      <c r="CT278" s="407">
        <f t="shared" si="485"/>
        <v>0</v>
      </c>
      <c r="CU278" s="407">
        <f t="shared" si="485"/>
        <v>0</v>
      </c>
      <c r="CV278" s="407">
        <f t="shared" si="485"/>
        <v>0</v>
      </c>
      <c r="CW278" s="407">
        <f t="shared" si="485"/>
        <v>0</v>
      </c>
      <c r="CX278" s="407">
        <f t="shared" si="485"/>
        <v>0</v>
      </c>
      <c r="CY278" s="407">
        <f t="shared" si="485"/>
        <v>0</v>
      </c>
      <c r="CZ278" s="407">
        <f t="shared" si="485"/>
        <v>0</v>
      </c>
      <c r="DA278" s="407">
        <f t="shared" si="485"/>
        <v>0</v>
      </c>
      <c r="DB278" s="407">
        <f t="shared" ref="DB278:DU278" si="486">DB280*$C278</f>
        <v>0</v>
      </c>
      <c r="DC278" s="407">
        <f t="shared" si="486"/>
        <v>0</v>
      </c>
      <c r="DD278" s="407">
        <f t="shared" si="486"/>
        <v>0</v>
      </c>
      <c r="DE278" s="407">
        <f t="shared" si="486"/>
        <v>0</v>
      </c>
      <c r="DF278" s="407">
        <f t="shared" si="486"/>
        <v>0</v>
      </c>
      <c r="DG278" s="407">
        <f t="shared" si="486"/>
        <v>0</v>
      </c>
      <c r="DH278" s="407">
        <f t="shared" si="486"/>
        <v>0</v>
      </c>
      <c r="DI278" s="407">
        <f t="shared" si="486"/>
        <v>0</v>
      </c>
      <c r="DJ278" s="407">
        <f t="shared" si="486"/>
        <v>0</v>
      </c>
      <c r="DK278" s="407">
        <f t="shared" si="486"/>
        <v>0</v>
      </c>
      <c r="DL278" s="407">
        <f t="shared" si="486"/>
        <v>0</v>
      </c>
      <c r="DM278" s="407">
        <f t="shared" si="486"/>
        <v>0</v>
      </c>
      <c r="DN278" s="407">
        <f t="shared" si="486"/>
        <v>0</v>
      </c>
      <c r="DO278" s="407">
        <f t="shared" si="486"/>
        <v>0</v>
      </c>
      <c r="DP278" s="407">
        <f t="shared" si="486"/>
        <v>0</v>
      </c>
      <c r="DQ278" s="407">
        <f t="shared" si="486"/>
        <v>0</v>
      </c>
      <c r="DR278" s="407">
        <f t="shared" si="486"/>
        <v>0</v>
      </c>
      <c r="DS278" s="407">
        <f t="shared" si="486"/>
        <v>0</v>
      </c>
      <c r="DT278" s="407">
        <f t="shared" si="486"/>
        <v>0</v>
      </c>
      <c r="DU278" s="407">
        <f t="shared" si="486"/>
        <v>0</v>
      </c>
      <c r="EI278" s="722"/>
    </row>
    <row r="279" spans="1:139" x14ac:dyDescent="0.3">
      <c r="A279" s="477" t="str">
        <f>'General Inputs'!$L$29&amp;" Residual Distribution"</f>
        <v>LAND Residual Distribution</v>
      </c>
      <c r="B279" s="477"/>
      <c r="C279" s="721">
        <f>'General Inputs'!$L$33</f>
        <v>0</v>
      </c>
      <c r="D279" s="648"/>
      <c r="E279" s="705">
        <f t="shared" ref="E279:AN279" si="487">E280*$C279</f>
        <v>0</v>
      </c>
      <c r="F279" s="705">
        <f t="shared" si="487"/>
        <v>0</v>
      </c>
      <c r="G279" s="705">
        <f t="shared" si="487"/>
        <v>0</v>
      </c>
      <c r="H279" s="705">
        <f t="shared" si="487"/>
        <v>0</v>
      </c>
      <c r="I279" s="705">
        <f t="shared" si="487"/>
        <v>0</v>
      </c>
      <c r="J279" s="705">
        <f t="shared" si="487"/>
        <v>0</v>
      </c>
      <c r="K279" s="705">
        <f t="shared" si="487"/>
        <v>0</v>
      </c>
      <c r="L279" s="705">
        <f t="shared" si="487"/>
        <v>0</v>
      </c>
      <c r="M279" s="705">
        <f t="shared" si="487"/>
        <v>0</v>
      </c>
      <c r="N279" s="705">
        <f t="shared" si="487"/>
        <v>0</v>
      </c>
      <c r="O279" s="705">
        <f t="shared" si="487"/>
        <v>0</v>
      </c>
      <c r="P279" s="705">
        <f t="shared" si="487"/>
        <v>0</v>
      </c>
      <c r="Q279" s="705">
        <f t="shared" si="487"/>
        <v>0</v>
      </c>
      <c r="R279" s="705">
        <f t="shared" si="487"/>
        <v>0</v>
      </c>
      <c r="S279" s="705">
        <f t="shared" si="487"/>
        <v>0</v>
      </c>
      <c r="T279" s="705">
        <f t="shared" si="487"/>
        <v>0</v>
      </c>
      <c r="U279" s="705">
        <f t="shared" si="487"/>
        <v>0</v>
      </c>
      <c r="V279" s="705">
        <f t="shared" si="487"/>
        <v>0</v>
      </c>
      <c r="W279" s="705">
        <f t="shared" si="487"/>
        <v>0</v>
      </c>
      <c r="X279" s="705">
        <f t="shared" si="487"/>
        <v>0</v>
      </c>
      <c r="Y279" s="705">
        <f t="shared" si="487"/>
        <v>0</v>
      </c>
      <c r="Z279" s="705">
        <f t="shared" si="487"/>
        <v>0</v>
      </c>
      <c r="AA279" s="705">
        <f t="shared" si="487"/>
        <v>0</v>
      </c>
      <c r="AB279" s="705">
        <f t="shared" si="487"/>
        <v>0</v>
      </c>
      <c r="AC279" s="705">
        <f t="shared" si="487"/>
        <v>0</v>
      </c>
      <c r="AD279" s="705">
        <f t="shared" si="487"/>
        <v>0</v>
      </c>
      <c r="AE279" s="705">
        <f t="shared" si="487"/>
        <v>0</v>
      </c>
      <c r="AF279" s="705">
        <f t="shared" si="487"/>
        <v>0</v>
      </c>
      <c r="AG279" s="705">
        <f t="shared" ca="1" si="487"/>
        <v>0</v>
      </c>
      <c r="AH279" s="705">
        <f t="shared" si="487"/>
        <v>0</v>
      </c>
      <c r="AI279" s="705">
        <f t="shared" si="487"/>
        <v>0</v>
      </c>
      <c r="AJ279" s="705">
        <f t="shared" si="487"/>
        <v>0</v>
      </c>
      <c r="AK279" s="705">
        <f t="shared" si="487"/>
        <v>0</v>
      </c>
      <c r="AL279" s="705">
        <f t="shared" si="487"/>
        <v>0</v>
      </c>
      <c r="AM279" s="705">
        <f t="shared" si="487"/>
        <v>0</v>
      </c>
      <c r="AN279" s="705">
        <f t="shared" si="487"/>
        <v>0</v>
      </c>
      <c r="AO279" s="705">
        <f>AO280*$C279</f>
        <v>0</v>
      </c>
      <c r="AP279" s="705">
        <f t="shared" ref="AP279:DA279" si="488">AP280*$C279</f>
        <v>0</v>
      </c>
      <c r="AQ279" s="705">
        <f t="shared" si="488"/>
        <v>0</v>
      </c>
      <c r="AR279" s="705">
        <f t="shared" si="488"/>
        <v>0</v>
      </c>
      <c r="AS279" s="705">
        <f t="shared" si="488"/>
        <v>0</v>
      </c>
      <c r="AT279" s="705">
        <f t="shared" si="488"/>
        <v>0</v>
      </c>
      <c r="AU279" s="705">
        <f t="shared" si="488"/>
        <v>0</v>
      </c>
      <c r="AV279" s="705">
        <f t="shared" si="488"/>
        <v>0</v>
      </c>
      <c r="AW279" s="705">
        <f t="shared" si="488"/>
        <v>0</v>
      </c>
      <c r="AX279" s="705">
        <f t="shared" si="488"/>
        <v>0</v>
      </c>
      <c r="AY279" s="705">
        <f t="shared" si="488"/>
        <v>0</v>
      </c>
      <c r="AZ279" s="705">
        <f t="shared" si="488"/>
        <v>0</v>
      </c>
      <c r="BA279" s="705">
        <f t="shared" si="488"/>
        <v>0</v>
      </c>
      <c r="BB279" s="705">
        <f t="shared" si="488"/>
        <v>0</v>
      </c>
      <c r="BC279" s="705">
        <f t="shared" si="488"/>
        <v>0</v>
      </c>
      <c r="BD279" s="705">
        <f t="shared" si="488"/>
        <v>0</v>
      </c>
      <c r="BE279" s="705">
        <f t="shared" si="488"/>
        <v>0</v>
      </c>
      <c r="BF279" s="705">
        <f t="shared" si="488"/>
        <v>0</v>
      </c>
      <c r="BG279" s="705">
        <f t="shared" si="488"/>
        <v>0</v>
      </c>
      <c r="BH279" s="705">
        <f t="shared" si="488"/>
        <v>0</v>
      </c>
      <c r="BI279" s="705">
        <f t="shared" si="488"/>
        <v>0</v>
      </c>
      <c r="BJ279" s="705">
        <f t="shared" si="488"/>
        <v>0</v>
      </c>
      <c r="BK279" s="705">
        <f t="shared" si="488"/>
        <v>0</v>
      </c>
      <c r="BL279" s="705">
        <f t="shared" si="488"/>
        <v>0</v>
      </c>
      <c r="BM279" s="705">
        <f t="shared" si="488"/>
        <v>0</v>
      </c>
      <c r="BN279" s="705">
        <f t="shared" si="488"/>
        <v>0</v>
      </c>
      <c r="BO279" s="705">
        <f t="shared" si="488"/>
        <v>0</v>
      </c>
      <c r="BP279" s="705">
        <f t="shared" si="488"/>
        <v>0</v>
      </c>
      <c r="BQ279" s="705">
        <f t="shared" si="488"/>
        <v>0</v>
      </c>
      <c r="BR279" s="705">
        <f t="shared" si="488"/>
        <v>0</v>
      </c>
      <c r="BS279" s="705">
        <f t="shared" si="488"/>
        <v>0</v>
      </c>
      <c r="BT279" s="705">
        <f t="shared" si="488"/>
        <v>0</v>
      </c>
      <c r="BU279" s="705">
        <f t="shared" si="488"/>
        <v>0</v>
      </c>
      <c r="BV279" s="705">
        <f t="shared" si="488"/>
        <v>0</v>
      </c>
      <c r="BW279" s="705">
        <f t="shared" si="488"/>
        <v>0</v>
      </c>
      <c r="BX279" s="705">
        <f t="shared" si="488"/>
        <v>0</v>
      </c>
      <c r="BY279" s="705">
        <f t="shared" si="488"/>
        <v>0</v>
      </c>
      <c r="BZ279" s="705">
        <f t="shared" si="488"/>
        <v>0</v>
      </c>
      <c r="CA279" s="705">
        <f t="shared" si="488"/>
        <v>0</v>
      </c>
      <c r="CB279" s="705">
        <f t="shared" si="488"/>
        <v>0</v>
      </c>
      <c r="CC279" s="705">
        <f t="shared" si="488"/>
        <v>0</v>
      </c>
      <c r="CD279" s="705">
        <f t="shared" si="488"/>
        <v>0</v>
      </c>
      <c r="CE279" s="705">
        <f t="shared" si="488"/>
        <v>0</v>
      </c>
      <c r="CF279" s="705">
        <f t="shared" si="488"/>
        <v>0</v>
      </c>
      <c r="CG279" s="705">
        <f t="shared" si="488"/>
        <v>0</v>
      </c>
      <c r="CH279" s="705">
        <f t="shared" si="488"/>
        <v>0</v>
      </c>
      <c r="CI279" s="705">
        <f t="shared" si="488"/>
        <v>0</v>
      </c>
      <c r="CJ279" s="705">
        <f t="shared" si="488"/>
        <v>0</v>
      </c>
      <c r="CK279" s="705">
        <f t="shared" si="488"/>
        <v>0</v>
      </c>
      <c r="CL279" s="705">
        <f t="shared" si="488"/>
        <v>0</v>
      </c>
      <c r="CM279" s="705">
        <f t="shared" si="488"/>
        <v>0</v>
      </c>
      <c r="CN279" s="705">
        <f t="shared" si="488"/>
        <v>0</v>
      </c>
      <c r="CO279" s="705">
        <f t="shared" si="488"/>
        <v>0</v>
      </c>
      <c r="CP279" s="705">
        <f t="shared" si="488"/>
        <v>0</v>
      </c>
      <c r="CQ279" s="705">
        <f t="shared" si="488"/>
        <v>0</v>
      </c>
      <c r="CR279" s="705">
        <f t="shared" si="488"/>
        <v>0</v>
      </c>
      <c r="CS279" s="705">
        <f t="shared" si="488"/>
        <v>0</v>
      </c>
      <c r="CT279" s="705">
        <f t="shared" si="488"/>
        <v>0</v>
      </c>
      <c r="CU279" s="705">
        <f t="shared" si="488"/>
        <v>0</v>
      </c>
      <c r="CV279" s="705">
        <f t="shared" si="488"/>
        <v>0</v>
      </c>
      <c r="CW279" s="705">
        <f t="shared" si="488"/>
        <v>0</v>
      </c>
      <c r="CX279" s="705">
        <f t="shared" si="488"/>
        <v>0</v>
      </c>
      <c r="CY279" s="705">
        <f t="shared" si="488"/>
        <v>0</v>
      </c>
      <c r="CZ279" s="705">
        <f t="shared" si="488"/>
        <v>0</v>
      </c>
      <c r="DA279" s="705">
        <f t="shared" si="488"/>
        <v>0</v>
      </c>
      <c r="DB279" s="705">
        <f t="shared" ref="DB279:DU279" si="489">DB280*$C279</f>
        <v>0</v>
      </c>
      <c r="DC279" s="705">
        <f t="shared" si="489"/>
        <v>0</v>
      </c>
      <c r="DD279" s="705">
        <f t="shared" si="489"/>
        <v>0</v>
      </c>
      <c r="DE279" s="705">
        <f t="shared" si="489"/>
        <v>0</v>
      </c>
      <c r="DF279" s="705">
        <f t="shared" si="489"/>
        <v>0</v>
      </c>
      <c r="DG279" s="705">
        <f t="shared" si="489"/>
        <v>0</v>
      </c>
      <c r="DH279" s="705">
        <f t="shared" si="489"/>
        <v>0</v>
      </c>
      <c r="DI279" s="705">
        <f t="shared" si="489"/>
        <v>0</v>
      </c>
      <c r="DJ279" s="705">
        <f t="shared" si="489"/>
        <v>0</v>
      </c>
      <c r="DK279" s="705">
        <f t="shared" si="489"/>
        <v>0</v>
      </c>
      <c r="DL279" s="705">
        <f t="shared" si="489"/>
        <v>0</v>
      </c>
      <c r="DM279" s="705">
        <f t="shared" si="489"/>
        <v>0</v>
      </c>
      <c r="DN279" s="705">
        <f t="shared" si="489"/>
        <v>0</v>
      </c>
      <c r="DO279" s="705">
        <f t="shared" si="489"/>
        <v>0</v>
      </c>
      <c r="DP279" s="705">
        <f t="shared" si="489"/>
        <v>0</v>
      </c>
      <c r="DQ279" s="705">
        <f t="shared" si="489"/>
        <v>0</v>
      </c>
      <c r="DR279" s="705">
        <f t="shared" si="489"/>
        <v>0</v>
      </c>
      <c r="DS279" s="705">
        <f t="shared" si="489"/>
        <v>0</v>
      </c>
      <c r="DT279" s="705">
        <f t="shared" si="489"/>
        <v>0</v>
      </c>
      <c r="DU279" s="705">
        <f t="shared" si="489"/>
        <v>0</v>
      </c>
      <c r="EI279" s="280"/>
    </row>
    <row r="280" spans="1:139" x14ac:dyDescent="0.3">
      <c r="A280" s="182" t="s">
        <v>2519</v>
      </c>
      <c r="B280" s="182"/>
      <c r="C280" s="182"/>
      <c r="D280" s="744"/>
      <c r="E280" s="620">
        <f t="shared" ref="E280:AJ280" si="490">IF(E5=MonthDisposition,E199-E246-E259-E272,0)</f>
        <v>0</v>
      </c>
      <c r="F280" s="620">
        <f t="shared" si="490"/>
        <v>0</v>
      </c>
      <c r="G280" s="620">
        <f t="shared" si="490"/>
        <v>0</v>
      </c>
      <c r="H280" s="620">
        <f t="shared" si="490"/>
        <v>0</v>
      </c>
      <c r="I280" s="620">
        <f t="shared" si="490"/>
        <v>0</v>
      </c>
      <c r="J280" s="620">
        <f t="shared" si="490"/>
        <v>0</v>
      </c>
      <c r="K280" s="620">
        <f t="shared" si="490"/>
        <v>0</v>
      </c>
      <c r="L280" s="620">
        <f t="shared" si="490"/>
        <v>0</v>
      </c>
      <c r="M280" s="620">
        <f t="shared" si="490"/>
        <v>0</v>
      </c>
      <c r="N280" s="620">
        <f t="shared" si="490"/>
        <v>0</v>
      </c>
      <c r="O280" s="620">
        <f t="shared" si="490"/>
        <v>0</v>
      </c>
      <c r="P280" s="620">
        <f t="shared" si="490"/>
        <v>0</v>
      </c>
      <c r="Q280" s="620">
        <f t="shared" si="490"/>
        <v>0</v>
      </c>
      <c r="R280" s="620">
        <f t="shared" si="490"/>
        <v>0</v>
      </c>
      <c r="S280" s="620">
        <f t="shared" si="490"/>
        <v>0</v>
      </c>
      <c r="T280" s="620">
        <f t="shared" si="490"/>
        <v>0</v>
      </c>
      <c r="U280" s="620">
        <f t="shared" si="490"/>
        <v>0</v>
      </c>
      <c r="V280" s="620">
        <f t="shared" si="490"/>
        <v>0</v>
      </c>
      <c r="W280" s="620">
        <f t="shared" si="490"/>
        <v>0</v>
      </c>
      <c r="X280" s="620">
        <f t="shared" si="490"/>
        <v>0</v>
      </c>
      <c r="Y280" s="620">
        <f t="shared" si="490"/>
        <v>0</v>
      </c>
      <c r="Z280" s="620">
        <f t="shared" si="490"/>
        <v>0</v>
      </c>
      <c r="AA280" s="620">
        <f t="shared" si="490"/>
        <v>0</v>
      </c>
      <c r="AB280" s="620">
        <f t="shared" si="490"/>
        <v>0</v>
      </c>
      <c r="AC280" s="620">
        <f t="shared" si="490"/>
        <v>0</v>
      </c>
      <c r="AD280" s="620">
        <f t="shared" si="490"/>
        <v>0</v>
      </c>
      <c r="AE280" s="620">
        <f t="shared" si="490"/>
        <v>0</v>
      </c>
      <c r="AF280" s="620">
        <f t="shared" si="490"/>
        <v>0</v>
      </c>
      <c r="AG280" s="620">
        <f t="shared" ca="1" si="490"/>
        <v>4403502.6593373343</v>
      </c>
      <c r="AH280" s="620">
        <f t="shared" si="490"/>
        <v>0</v>
      </c>
      <c r="AI280" s="620">
        <f t="shared" si="490"/>
        <v>0</v>
      </c>
      <c r="AJ280" s="620">
        <f t="shared" si="490"/>
        <v>0</v>
      </c>
      <c r="AK280" s="620">
        <f t="shared" ref="AK280:BP280" si="491">IF(AK5=MonthDisposition,AK199-AK246-AK259-AK272,0)</f>
        <v>0</v>
      </c>
      <c r="AL280" s="620">
        <f t="shared" si="491"/>
        <v>0</v>
      </c>
      <c r="AM280" s="620">
        <f t="shared" si="491"/>
        <v>0</v>
      </c>
      <c r="AN280" s="620">
        <f t="shared" si="491"/>
        <v>0</v>
      </c>
      <c r="AO280" s="620">
        <f t="shared" si="491"/>
        <v>0</v>
      </c>
      <c r="AP280" s="620">
        <f t="shared" si="491"/>
        <v>0</v>
      </c>
      <c r="AQ280" s="620">
        <f t="shared" si="491"/>
        <v>0</v>
      </c>
      <c r="AR280" s="620">
        <f t="shared" si="491"/>
        <v>0</v>
      </c>
      <c r="AS280" s="620">
        <f t="shared" si="491"/>
        <v>0</v>
      </c>
      <c r="AT280" s="620">
        <f t="shared" si="491"/>
        <v>0</v>
      </c>
      <c r="AU280" s="620">
        <f t="shared" si="491"/>
        <v>0</v>
      </c>
      <c r="AV280" s="620">
        <f t="shared" si="491"/>
        <v>0</v>
      </c>
      <c r="AW280" s="620">
        <f t="shared" si="491"/>
        <v>0</v>
      </c>
      <c r="AX280" s="620">
        <f t="shared" si="491"/>
        <v>0</v>
      </c>
      <c r="AY280" s="620">
        <f t="shared" si="491"/>
        <v>0</v>
      </c>
      <c r="AZ280" s="620">
        <f t="shared" si="491"/>
        <v>0</v>
      </c>
      <c r="BA280" s="620">
        <f t="shared" si="491"/>
        <v>0</v>
      </c>
      <c r="BB280" s="620">
        <f t="shared" si="491"/>
        <v>0</v>
      </c>
      <c r="BC280" s="620">
        <f t="shared" si="491"/>
        <v>0</v>
      </c>
      <c r="BD280" s="620">
        <f t="shared" si="491"/>
        <v>0</v>
      </c>
      <c r="BE280" s="620">
        <f t="shared" si="491"/>
        <v>0</v>
      </c>
      <c r="BF280" s="620">
        <f t="shared" si="491"/>
        <v>0</v>
      </c>
      <c r="BG280" s="620">
        <f t="shared" si="491"/>
        <v>0</v>
      </c>
      <c r="BH280" s="620">
        <f t="shared" si="491"/>
        <v>0</v>
      </c>
      <c r="BI280" s="620">
        <f t="shared" si="491"/>
        <v>0</v>
      </c>
      <c r="BJ280" s="620">
        <f t="shared" si="491"/>
        <v>0</v>
      </c>
      <c r="BK280" s="620">
        <f t="shared" si="491"/>
        <v>0</v>
      </c>
      <c r="BL280" s="620">
        <f t="shared" si="491"/>
        <v>0</v>
      </c>
      <c r="BM280" s="620">
        <f t="shared" si="491"/>
        <v>0</v>
      </c>
      <c r="BN280" s="620">
        <f t="shared" si="491"/>
        <v>0</v>
      </c>
      <c r="BO280" s="620">
        <f t="shared" si="491"/>
        <v>0</v>
      </c>
      <c r="BP280" s="620">
        <f t="shared" si="491"/>
        <v>0</v>
      </c>
      <c r="BQ280" s="620">
        <f t="shared" ref="BQ280:CV280" si="492">IF(BQ5=MonthDisposition,BQ199-BQ246-BQ259-BQ272,0)</f>
        <v>0</v>
      </c>
      <c r="BR280" s="620">
        <f t="shared" si="492"/>
        <v>0</v>
      </c>
      <c r="BS280" s="620">
        <f t="shared" si="492"/>
        <v>0</v>
      </c>
      <c r="BT280" s="620">
        <f t="shared" si="492"/>
        <v>0</v>
      </c>
      <c r="BU280" s="620">
        <f t="shared" si="492"/>
        <v>0</v>
      </c>
      <c r="BV280" s="620">
        <f t="shared" si="492"/>
        <v>0</v>
      </c>
      <c r="BW280" s="620">
        <f t="shared" si="492"/>
        <v>0</v>
      </c>
      <c r="BX280" s="620">
        <f t="shared" si="492"/>
        <v>0</v>
      </c>
      <c r="BY280" s="620">
        <f t="shared" si="492"/>
        <v>0</v>
      </c>
      <c r="BZ280" s="620">
        <f t="shared" si="492"/>
        <v>0</v>
      </c>
      <c r="CA280" s="620">
        <f t="shared" si="492"/>
        <v>0</v>
      </c>
      <c r="CB280" s="620">
        <f t="shared" si="492"/>
        <v>0</v>
      </c>
      <c r="CC280" s="620">
        <f t="shared" si="492"/>
        <v>0</v>
      </c>
      <c r="CD280" s="620">
        <f t="shared" si="492"/>
        <v>0</v>
      </c>
      <c r="CE280" s="620">
        <f t="shared" si="492"/>
        <v>0</v>
      </c>
      <c r="CF280" s="620">
        <f t="shared" si="492"/>
        <v>0</v>
      </c>
      <c r="CG280" s="620">
        <f t="shared" si="492"/>
        <v>0</v>
      </c>
      <c r="CH280" s="620">
        <f t="shared" si="492"/>
        <v>0</v>
      </c>
      <c r="CI280" s="620">
        <f t="shared" si="492"/>
        <v>0</v>
      </c>
      <c r="CJ280" s="620">
        <f t="shared" si="492"/>
        <v>0</v>
      </c>
      <c r="CK280" s="620">
        <f t="shared" si="492"/>
        <v>0</v>
      </c>
      <c r="CL280" s="620">
        <f t="shared" si="492"/>
        <v>0</v>
      </c>
      <c r="CM280" s="620">
        <f t="shared" si="492"/>
        <v>0</v>
      </c>
      <c r="CN280" s="620">
        <f t="shared" si="492"/>
        <v>0</v>
      </c>
      <c r="CO280" s="620">
        <f t="shared" si="492"/>
        <v>0</v>
      </c>
      <c r="CP280" s="620">
        <f t="shared" si="492"/>
        <v>0</v>
      </c>
      <c r="CQ280" s="620">
        <f t="shared" si="492"/>
        <v>0</v>
      </c>
      <c r="CR280" s="620">
        <f t="shared" si="492"/>
        <v>0</v>
      </c>
      <c r="CS280" s="620">
        <f t="shared" si="492"/>
        <v>0</v>
      </c>
      <c r="CT280" s="620">
        <f t="shared" si="492"/>
        <v>0</v>
      </c>
      <c r="CU280" s="620">
        <f t="shared" si="492"/>
        <v>0</v>
      </c>
      <c r="CV280" s="620">
        <f t="shared" si="492"/>
        <v>0</v>
      </c>
      <c r="CW280" s="620">
        <f t="shared" ref="CW280:DU280" si="493">IF(CW5=MonthDisposition,CW199-CW246-CW259-CW272,0)</f>
        <v>0</v>
      </c>
      <c r="CX280" s="620">
        <f t="shared" si="493"/>
        <v>0</v>
      </c>
      <c r="CY280" s="620">
        <f t="shared" si="493"/>
        <v>0</v>
      </c>
      <c r="CZ280" s="620">
        <f t="shared" si="493"/>
        <v>0</v>
      </c>
      <c r="DA280" s="620">
        <f t="shared" si="493"/>
        <v>0</v>
      </c>
      <c r="DB280" s="620">
        <f t="shared" si="493"/>
        <v>0</v>
      </c>
      <c r="DC280" s="620">
        <f t="shared" si="493"/>
        <v>0</v>
      </c>
      <c r="DD280" s="620">
        <f t="shared" si="493"/>
        <v>0</v>
      </c>
      <c r="DE280" s="620">
        <f t="shared" si="493"/>
        <v>0</v>
      </c>
      <c r="DF280" s="620">
        <f t="shared" si="493"/>
        <v>0</v>
      </c>
      <c r="DG280" s="620">
        <f t="shared" si="493"/>
        <v>0</v>
      </c>
      <c r="DH280" s="620">
        <f t="shared" si="493"/>
        <v>0</v>
      </c>
      <c r="DI280" s="620">
        <f t="shared" si="493"/>
        <v>0</v>
      </c>
      <c r="DJ280" s="620">
        <f t="shared" si="493"/>
        <v>0</v>
      </c>
      <c r="DK280" s="620">
        <f t="shared" si="493"/>
        <v>0</v>
      </c>
      <c r="DL280" s="620">
        <f t="shared" si="493"/>
        <v>0</v>
      </c>
      <c r="DM280" s="620">
        <f t="shared" si="493"/>
        <v>0</v>
      </c>
      <c r="DN280" s="620">
        <f t="shared" si="493"/>
        <v>0</v>
      </c>
      <c r="DO280" s="620">
        <f t="shared" si="493"/>
        <v>0</v>
      </c>
      <c r="DP280" s="620">
        <f t="shared" si="493"/>
        <v>0</v>
      </c>
      <c r="DQ280" s="620">
        <f t="shared" si="493"/>
        <v>0</v>
      </c>
      <c r="DR280" s="620">
        <f t="shared" si="493"/>
        <v>0</v>
      </c>
      <c r="DS280" s="620">
        <f t="shared" si="493"/>
        <v>0</v>
      </c>
      <c r="DT280" s="620">
        <f t="shared" si="493"/>
        <v>0</v>
      </c>
      <c r="DU280" s="620">
        <f t="shared" si="493"/>
        <v>0</v>
      </c>
      <c r="EI280" s="722"/>
    </row>
    <row r="281" spans="1:139" ht="7.5" customHeight="1" x14ac:dyDescent="0.3">
      <c r="D281" s="282"/>
      <c r="EI281" s="280"/>
    </row>
    <row r="282" spans="1:139" ht="15.6" x14ac:dyDescent="0.3">
      <c r="A282" s="115" t="s">
        <v>2520</v>
      </c>
      <c r="B282" s="204"/>
      <c r="C282" s="204"/>
      <c r="D282" s="738"/>
      <c r="E282" s="204"/>
      <c r="F282" s="204"/>
      <c r="G282" s="204"/>
      <c r="H282" s="204"/>
      <c r="I282" s="204"/>
      <c r="J282" s="204"/>
      <c r="K282" s="204"/>
      <c r="L282" s="204"/>
      <c r="M282" s="204"/>
      <c r="N282" s="204"/>
      <c r="O282" s="204"/>
      <c r="P282" s="204"/>
      <c r="Q282" s="204"/>
      <c r="R282" s="204"/>
      <c r="S282" s="204"/>
      <c r="T282" s="204"/>
      <c r="U282" s="204"/>
      <c r="V282" s="204"/>
      <c r="W282" s="204"/>
      <c r="X282" s="204"/>
      <c r="Y282" s="204"/>
      <c r="Z282" s="204"/>
      <c r="AA282" s="204"/>
      <c r="AB282" s="204"/>
      <c r="AC282" s="204"/>
      <c r="AD282" s="204"/>
      <c r="AE282" s="204"/>
      <c r="AF282" s="204"/>
      <c r="AG282" s="204"/>
      <c r="AH282" s="204"/>
      <c r="AI282" s="204"/>
      <c r="AJ282" s="204"/>
      <c r="AK282" s="204"/>
      <c r="AL282" s="204"/>
      <c r="AM282" s="204"/>
      <c r="AN282" s="204"/>
      <c r="AO282" s="204"/>
      <c r="AP282" s="204"/>
      <c r="AQ282" s="204"/>
      <c r="AR282" s="204"/>
      <c r="AS282" s="204"/>
      <c r="AT282" s="204"/>
      <c r="AU282" s="204"/>
      <c r="AV282" s="204"/>
      <c r="AW282" s="204"/>
      <c r="AX282" s="204"/>
      <c r="AY282" s="204"/>
      <c r="AZ282" s="204"/>
      <c r="BA282" s="204"/>
      <c r="BB282" s="204"/>
      <c r="BC282" s="204"/>
      <c r="BD282" s="204"/>
      <c r="BE282" s="204"/>
      <c r="BF282" s="204"/>
      <c r="BG282" s="204"/>
      <c r="BH282" s="204"/>
      <c r="BI282" s="204"/>
      <c r="BJ282" s="204"/>
      <c r="BK282" s="204"/>
      <c r="BL282" s="204"/>
      <c r="BM282" s="204"/>
      <c r="BN282" s="204"/>
      <c r="BO282" s="204"/>
      <c r="BP282" s="204"/>
      <c r="BQ282" s="204"/>
      <c r="BR282" s="204"/>
      <c r="BS282" s="204"/>
      <c r="BT282" s="204"/>
      <c r="BU282" s="204"/>
      <c r="BV282" s="204"/>
      <c r="BW282" s="204"/>
      <c r="BX282" s="204"/>
      <c r="BY282" s="204"/>
      <c r="BZ282" s="204"/>
      <c r="CA282" s="204"/>
      <c r="CB282" s="204"/>
      <c r="CC282" s="204"/>
      <c r="CD282" s="204"/>
      <c r="CE282" s="204"/>
      <c r="CF282" s="204"/>
      <c r="CG282" s="204"/>
      <c r="CH282" s="204"/>
      <c r="CI282" s="204"/>
      <c r="CJ282" s="204"/>
      <c r="CK282" s="204"/>
      <c r="CL282" s="204"/>
      <c r="CM282" s="204"/>
      <c r="CN282" s="204"/>
      <c r="CO282" s="204"/>
      <c r="CP282" s="204"/>
      <c r="CQ282" s="204"/>
      <c r="CR282" s="204"/>
      <c r="CS282" s="204"/>
      <c r="CT282" s="204"/>
      <c r="CU282" s="204"/>
      <c r="CV282" s="204"/>
      <c r="CW282" s="204"/>
      <c r="CX282" s="204"/>
      <c r="CY282" s="204"/>
      <c r="CZ282" s="204"/>
      <c r="DA282" s="204"/>
      <c r="DB282" s="204"/>
      <c r="DC282" s="204"/>
      <c r="DD282" s="204"/>
      <c r="DE282" s="204"/>
      <c r="DF282" s="204"/>
      <c r="DG282" s="204"/>
      <c r="DH282" s="204"/>
      <c r="DI282" s="204"/>
      <c r="DJ282" s="204"/>
      <c r="DK282" s="204"/>
      <c r="DL282" s="204"/>
      <c r="DM282" s="204"/>
      <c r="DN282" s="204"/>
      <c r="DO282" s="204"/>
      <c r="DP282" s="204"/>
      <c r="DQ282" s="204"/>
      <c r="DR282" s="204"/>
      <c r="DS282" s="204"/>
      <c r="DT282" s="204"/>
      <c r="DU282" s="444"/>
      <c r="EH282" s="644"/>
      <c r="EI282" s="722"/>
    </row>
    <row r="283" spans="1:139" ht="3.75" customHeight="1" thickBot="1" x14ac:dyDescent="0.35">
      <c r="A283" s="715"/>
      <c r="B283" s="715"/>
      <c r="C283" s="715"/>
      <c r="D283" s="739"/>
      <c r="E283" s="715"/>
      <c r="F283" s="715"/>
      <c r="G283" s="715"/>
      <c r="H283" s="715"/>
      <c r="I283" s="715"/>
      <c r="J283" s="715"/>
      <c r="K283" s="715"/>
      <c r="L283" s="715"/>
      <c r="M283" s="715"/>
      <c r="N283" s="715"/>
      <c r="O283" s="715"/>
      <c r="P283" s="715"/>
      <c r="Q283" s="715"/>
      <c r="R283" s="715"/>
      <c r="S283" s="715"/>
      <c r="T283" s="715"/>
      <c r="U283" s="715"/>
      <c r="V283" s="715"/>
      <c r="W283" s="715"/>
      <c r="X283" s="715"/>
      <c r="Y283" s="715"/>
      <c r="Z283" s="715"/>
      <c r="AA283" s="715"/>
      <c r="AB283" s="715"/>
      <c r="AC283" s="715"/>
      <c r="AD283" s="715"/>
      <c r="AE283" s="715"/>
      <c r="AF283" s="715"/>
      <c r="AG283" s="715"/>
      <c r="AH283" s="715"/>
      <c r="AI283" s="715"/>
      <c r="AJ283" s="715"/>
      <c r="AK283" s="715"/>
      <c r="AL283" s="715"/>
      <c r="AM283" s="715"/>
      <c r="AN283" s="715"/>
      <c r="AO283" s="715"/>
      <c r="AP283" s="715"/>
      <c r="AQ283" s="715"/>
      <c r="AR283" s="715"/>
      <c r="AS283" s="715"/>
      <c r="AT283" s="715"/>
      <c r="AU283" s="715"/>
      <c r="AV283" s="715"/>
      <c r="AW283" s="715"/>
      <c r="AX283" s="715"/>
      <c r="AY283" s="715"/>
      <c r="AZ283" s="715"/>
      <c r="BA283" s="715"/>
      <c r="BB283" s="715"/>
      <c r="BC283" s="715"/>
      <c r="BD283" s="715"/>
      <c r="BE283" s="715"/>
      <c r="BF283" s="715"/>
      <c r="BG283" s="715"/>
      <c r="BH283" s="715"/>
      <c r="BI283" s="715"/>
      <c r="BJ283" s="715"/>
      <c r="BK283" s="715"/>
      <c r="BL283" s="715"/>
      <c r="BM283" s="715"/>
      <c r="BN283" s="715"/>
      <c r="BO283" s="715"/>
      <c r="BP283" s="715"/>
      <c r="BQ283" s="715"/>
      <c r="BR283" s="715"/>
      <c r="BS283" s="715"/>
      <c r="BT283" s="715"/>
      <c r="BU283" s="715"/>
      <c r="BV283" s="715"/>
      <c r="BW283" s="715"/>
      <c r="BX283" s="715"/>
      <c r="BY283" s="715"/>
      <c r="BZ283" s="715"/>
      <c r="CA283" s="715"/>
      <c r="CB283" s="715"/>
      <c r="CC283" s="715"/>
      <c r="CD283" s="715"/>
      <c r="CE283" s="715"/>
      <c r="CF283" s="715"/>
      <c r="CG283" s="715"/>
      <c r="CH283" s="715"/>
      <c r="CI283" s="715"/>
      <c r="CJ283" s="715"/>
      <c r="CK283" s="715"/>
      <c r="CL283" s="715"/>
      <c r="CM283" s="715"/>
      <c r="CN283" s="715"/>
      <c r="CO283" s="715"/>
      <c r="CP283" s="715"/>
      <c r="CQ283" s="715"/>
      <c r="CR283" s="715"/>
      <c r="CS283" s="715"/>
      <c r="CT283" s="715"/>
      <c r="CU283" s="715"/>
      <c r="CV283" s="715"/>
      <c r="CW283" s="715"/>
      <c r="CX283" s="715"/>
      <c r="CY283" s="715"/>
      <c r="CZ283" s="715"/>
      <c r="DA283" s="715"/>
      <c r="DB283" s="715"/>
      <c r="DC283" s="715"/>
      <c r="DD283" s="715"/>
      <c r="DE283" s="715"/>
      <c r="DF283" s="715"/>
      <c r="DG283" s="715"/>
      <c r="DH283" s="715"/>
      <c r="DI283" s="715"/>
      <c r="DJ283" s="715"/>
      <c r="DK283" s="715"/>
      <c r="DL283" s="715"/>
      <c r="DM283" s="715"/>
      <c r="DN283" s="715"/>
      <c r="DO283" s="715"/>
      <c r="DP283" s="715"/>
      <c r="DQ283" s="715"/>
      <c r="DR283" s="715"/>
      <c r="DS283" s="715"/>
      <c r="DT283" s="715"/>
      <c r="DU283" s="715"/>
      <c r="EH283" s="644"/>
      <c r="EI283" s="722"/>
    </row>
    <row r="284" spans="1:139" ht="7.5" customHeight="1" thickTop="1" thickBot="1" x14ac:dyDescent="0.35">
      <c r="D284" s="282"/>
      <c r="EI284" s="280"/>
    </row>
    <row r="285" spans="1:139" ht="15.75" customHeight="1" thickTop="1" x14ac:dyDescent="0.3">
      <c r="A285" s="2782" t="s">
        <v>1009</v>
      </c>
      <c r="B285" s="2783"/>
      <c r="C285" s="2784"/>
      <c r="D285" s="728"/>
      <c r="E285" s="322"/>
      <c r="F285" s="322"/>
      <c r="G285" s="322"/>
      <c r="H285" s="322"/>
      <c r="I285" s="322"/>
      <c r="J285" s="322"/>
      <c r="K285" s="322"/>
      <c r="L285" s="322"/>
      <c r="M285" s="322"/>
      <c r="N285" s="322"/>
      <c r="O285" s="322"/>
      <c r="P285" s="322"/>
      <c r="Q285" s="322"/>
      <c r="R285" s="322"/>
      <c r="S285" s="322"/>
      <c r="T285" s="322"/>
      <c r="U285" s="322"/>
      <c r="V285" s="322"/>
      <c r="W285" s="322"/>
      <c r="X285" s="322"/>
      <c r="Y285" s="322"/>
      <c r="Z285" s="322"/>
      <c r="AA285" s="322"/>
      <c r="AB285" s="322"/>
      <c r="AC285" s="322"/>
      <c r="AD285" s="322"/>
      <c r="AE285" s="322"/>
      <c r="AF285" s="322"/>
      <c r="AG285" s="322"/>
      <c r="AH285" s="322"/>
      <c r="AI285" s="322"/>
      <c r="AJ285" s="322"/>
      <c r="AK285" s="322"/>
      <c r="AL285" s="322"/>
      <c r="AM285" s="322"/>
      <c r="AN285" s="322"/>
      <c r="AO285" s="322"/>
      <c r="AP285" s="322"/>
      <c r="AQ285" s="322"/>
      <c r="AR285" s="322"/>
      <c r="AS285" s="322"/>
      <c r="AT285" s="322"/>
      <c r="AU285" s="322"/>
      <c r="AV285" s="322"/>
      <c r="AW285" s="322"/>
      <c r="AX285" s="322"/>
      <c r="AY285" s="322"/>
      <c r="AZ285" s="322"/>
      <c r="BA285" s="322"/>
      <c r="BB285" s="322"/>
      <c r="BC285" s="322"/>
      <c r="BD285" s="322"/>
      <c r="BE285" s="322"/>
      <c r="BF285" s="322"/>
      <c r="BG285" s="322"/>
      <c r="BH285" s="322"/>
      <c r="BI285" s="322"/>
      <c r="BJ285" s="322"/>
      <c r="BK285" s="322"/>
      <c r="BL285" s="322"/>
      <c r="BM285" s="322"/>
      <c r="BN285" s="322"/>
      <c r="BO285" s="322"/>
      <c r="BP285" s="322"/>
      <c r="BQ285" s="322"/>
      <c r="BR285" s="322"/>
      <c r="BS285" s="322"/>
      <c r="BT285" s="322"/>
      <c r="BU285" s="322"/>
      <c r="BV285" s="322"/>
      <c r="BW285" s="322"/>
      <c r="BX285" s="322"/>
      <c r="BY285" s="322"/>
      <c r="BZ285" s="322"/>
      <c r="CA285" s="322"/>
      <c r="CB285" s="322"/>
      <c r="CC285" s="322"/>
      <c r="CD285" s="322"/>
      <c r="CE285" s="322"/>
      <c r="CF285" s="322"/>
      <c r="CG285" s="322"/>
      <c r="CH285" s="322"/>
      <c r="CI285" s="322"/>
      <c r="CJ285" s="322"/>
      <c r="CK285" s="322"/>
      <c r="CL285" s="322"/>
      <c r="CM285" s="322"/>
      <c r="CN285" s="322"/>
      <c r="CO285" s="322"/>
      <c r="CP285" s="322"/>
      <c r="CQ285" s="322"/>
      <c r="CR285" s="322"/>
      <c r="CS285" s="322"/>
      <c r="CT285" s="322"/>
      <c r="CU285" s="322"/>
      <c r="CV285" s="322"/>
      <c r="CW285" s="322"/>
      <c r="CX285" s="322"/>
      <c r="CY285" s="322"/>
      <c r="CZ285" s="322"/>
      <c r="DA285" s="322"/>
      <c r="DB285" s="322"/>
      <c r="DC285" s="322"/>
      <c r="DD285" s="322"/>
      <c r="DE285" s="322"/>
      <c r="DF285" s="322"/>
      <c r="DG285" s="322"/>
      <c r="DH285" s="322"/>
      <c r="DI285" s="322"/>
      <c r="DJ285" s="322"/>
      <c r="DK285" s="322"/>
      <c r="DL285" s="322"/>
      <c r="DM285" s="322"/>
      <c r="DN285" s="322"/>
      <c r="DO285" s="322"/>
      <c r="DP285" s="322"/>
      <c r="DQ285" s="322"/>
      <c r="DR285" s="322"/>
      <c r="DS285" s="322"/>
      <c r="DT285" s="322"/>
      <c r="DU285" s="322"/>
      <c r="EH285" s="644"/>
      <c r="EI285" s="722"/>
    </row>
    <row r="286" spans="1:139" x14ac:dyDescent="0.3">
      <c r="A286" s="407" t="str">
        <f>'General Inputs'!$J$29</f>
        <v>LP</v>
      </c>
      <c r="B286" s="182"/>
      <c r="C286" s="182"/>
      <c r="D286" s="686"/>
      <c r="E286" s="408">
        <f t="shared" ref="E286:BP288" si="494">E243+E256+E269+E277</f>
        <v>0</v>
      </c>
      <c r="F286" s="408">
        <f t="shared" si="494"/>
        <v>0</v>
      </c>
      <c r="G286" s="408">
        <f t="shared" si="494"/>
        <v>0</v>
      </c>
      <c r="H286" s="408">
        <f t="shared" si="494"/>
        <v>0</v>
      </c>
      <c r="I286" s="408">
        <f t="shared" si="494"/>
        <v>0</v>
      </c>
      <c r="J286" s="408">
        <f t="shared" si="494"/>
        <v>0</v>
      </c>
      <c r="K286" s="408">
        <f t="shared" si="494"/>
        <v>0</v>
      </c>
      <c r="L286" s="408">
        <f t="shared" si="494"/>
        <v>0</v>
      </c>
      <c r="M286" s="408">
        <f t="shared" si="494"/>
        <v>0</v>
      </c>
      <c r="N286" s="408">
        <f t="shared" si="494"/>
        <v>0</v>
      </c>
      <c r="O286" s="408">
        <f t="shared" si="494"/>
        <v>0</v>
      </c>
      <c r="P286" s="408">
        <f t="shared" si="494"/>
        <v>0</v>
      </c>
      <c r="Q286" s="408">
        <f t="shared" si="494"/>
        <v>0</v>
      </c>
      <c r="R286" s="408">
        <f t="shared" si="494"/>
        <v>0</v>
      </c>
      <c r="S286" s="408">
        <f t="shared" si="494"/>
        <v>0</v>
      </c>
      <c r="T286" s="408">
        <f t="shared" si="494"/>
        <v>0</v>
      </c>
      <c r="U286" s="408">
        <f t="shared" si="494"/>
        <v>0</v>
      </c>
      <c r="V286" s="408">
        <f t="shared" si="494"/>
        <v>0</v>
      </c>
      <c r="W286" s="408">
        <f t="shared" si="494"/>
        <v>0</v>
      </c>
      <c r="X286" s="408">
        <f t="shared" si="494"/>
        <v>0</v>
      </c>
      <c r="Y286" s="408">
        <f t="shared" si="494"/>
        <v>0</v>
      </c>
      <c r="Z286" s="408">
        <f t="shared" si="494"/>
        <v>0</v>
      </c>
      <c r="AA286" s="408">
        <f t="shared" si="494"/>
        <v>0</v>
      </c>
      <c r="AB286" s="408">
        <f t="shared" si="494"/>
        <v>0</v>
      </c>
      <c r="AC286" s="408">
        <f t="shared" si="494"/>
        <v>0</v>
      </c>
      <c r="AD286" s="408">
        <f t="shared" si="494"/>
        <v>0</v>
      </c>
      <c r="AE286" s="408">
        <f t="shared" si="494"/>
        <v>0</v>
      </c>
      <c r="AF286" s="408">
        <f t="shared" si="494"/>
        <v>0</v>
      </c>
      <c r="AG286" s="408">
        <f t="shared" ca="1" si="494"/>
        <v>8708966.546183683</v>
      </c>
      <c r="AH286" s="408">
        <f t="shared" si="494"/>
        <v>0</v>
      </c>
      <c r="AI286" s="408">
        <f t="shared" si="494"/>
        <v>0</v>
      </c>
      <c r="AJ286" s="408">
        <f t="shared" si="494"/>
        <v>0</v>
      </c>
      <c r="AK286" s="408">
        <f t="shared" si="494"/>
        <v>0</v>
      </c>
      <c r="AL286" s="408">
        <f t="shared" si="494"/>
        <v>0</v>
      </c>
      <c r="AM286" s="408">
        <f t="shared" si="494"/>
        <v>0</v>
      </c>
      <c r="AN286" s="408">
        <f t="shared" si="494"/>
        <v>0</v>
      </c>
      <c r="AO286" s="408">
        <f t="shared" si="494"/>
        <v>0</v>
      </c>
      <c r="AP286" s="408">
        <f t="shared" si="494"/>
        <v>0</v>
      </c>
      <c r="AQ286" s="408">
        <f t="shared" si="494"/>
        <v>0</v>
      </c>
      <c r="AR286" s="408">
        <f t="shared" si="494"/>
        <v>0</v>
      </c>
      <c r="AS286" s="408">
        <f t="shared" si="494"/>
        <v>0</v>
      </c>
      <c r="AT286" s="408">
        <f t="shared" si="494"/>
        <v>0</v>
      </c>
      <c r="AU286" s="408">
        <f t="shared" si="494"/>
        <v>0</v>
      </c>
      <c r="AV286" s="408">
        <f t="shared" si="494"/>
        <v>0</v>
      </c>
      <c r="AW286" s="408">
        <f t="shared" si="494"/>
        <v>0</v>
      </c>
      <c r="AX286" s="408">
        <f t="shared" si="494"/>
        <v>0</v>
      </c>
      <c r="AY286" s="408">
        <f t="shared" si="494"/>
        <v>0</v>
      </c>
      <c r="AZ286" s="408">
        <f t="shared" si="494"/>
        <v>0</v>
      </c>
      <c r="BA286" s="408">
        <f t="shared" si="494"/>
        <v>0</v>
      </c>
      <c r="BB286" s="408">
        <f t="shared" si="494"/>
        <v>0</v>
      </c>
      <c r="BC286" s="408">
        <f t="shared" si="494"/>
        <v>0</v>
      </c>
      <c r="BD286" s="408">
        <f t="shared" si="494"/>
        <v>0</v>
      </c>
      <c r="BE286" s="408">
        <f t="shared" si="494"/>
        <v>0</v>
      </c>
      <c r="BF286" s="408">
        <f t="shared" si="494"/>
        <v>0</v>
      </c>
      <c r="BG286" s="408">
        <f t="shared" si="494"/>
        <v>0</v>
      </c>
      <c r="BH286" s="408">
        <f t="shared" si="494"/>
        <v>0</v>
      </c>
      <c r="BI286" s="408">
        <f t="shared" si="494"/>
        <v>0</v>
      </c>
      <c r="BJ286" s="408">
        <f t="shared" si="494"/>
        <v>0</v>
      </c>
      <c r="BK286" s="408">
        <f t="shared" si="494"/>
        <v>0</v>
      </c>
      <c r="BL286" s="408">
        <f t="shared" si="494"/>
        <v>0</v>
      </c>
      <c r="BM286" s="408">
        <f t="shared" si="494"/>
        <v>0</v>
      </c>
      <c r="BN286" s="408">
        <f t="shared" si="494"/>
        <v>0</v>
      </c>
      <c r="BO286" s="408">
        <f t="shared" si="494"/>
        <v>0</v>
      </c>
      <c r="BP286" s="408">
        <f t="shared" si="494"/>
        <v>0</v>
      </c>
      <c r="BQ286" s="408">
        <f t="shared" ref="BQ286:DU288" si="495">BQ243+BQ256+BQ269+BQ277</f>
        <v>0</v>
      </c>
      <c r="BR286" s="408">
        <f t="shared" si="495"/>
        <v>0</v>
      </c>
      <c r="BS286" s="408">
        <f t="shared" si="495"/>
        <v>0</v>
      </c>
      <c r="BT286" s="408">
        <f t="shared" si="495"/>
        <v>0</v>
      </c>
      <c r="BU286" s="408">
        <f t="shared" si="495"/>
        <v>0</v>
      </c>
      <c r="BV286" s="408">
        <f t="shared" si="495"/>
        <v>0</v>
      </c>
      <c r="BW286" s="408">
        <f t="shared" si="495"/>
        <v>0</v>
      </c>
      <c r="BX286" s="408">
        <f t="shared" si="495"/>
        <v>0</v>
      </c>
      <c r="BY286" s="408">
        <f t="shared" si="495"/>
        <v>0</v>
      </c>
      <c r="BZ286" s="408">
        <f t="shared" si="495"/>
        <v>0</v>
      </c>
      <c r="CA286" s="408">
        <f t="shared" si="495"/>
        <v>0</v>
      </c>
      <c r="CB286" s="408">
        <f t="shared" si="495"/>
        <v>0</v>
      </c>
      <c r="CC286" s="408">
        <f t="shared" si="495"/>
        <v>0</v>
      </c>
      <c r="CD286" s="408">
        <f t="shared" si="495"/>
        <v>0</v>
      </c>
      <c r="CE286" s="408">
        <f t="shared" si="495"/>
        <v>0</v>
      </c>
      <c r="CF286" s="408">
        <f t="shared" si="495"/>
        <v>0</v>
      </c>
      <c r="CG286" s="408">
        <f t="shared" si="495"/>
        <v>0</v>
      </c>
      <c r="CH286" s="408">
        <f t="shared" si="495"/>
        <v>0</v>
      </c>
      <c r="CI286" s="408">
        <f t="shared" si="495"/>
        <v>0</v>
      </c>
      <c r="CJ286" s="408">
        <f t="shared" si="495"/>
        <v>0</v>
      </c>
      <c r="CK286" s="408">
        <f t="shared" si="495"/>
        <v>0</v>
      </c>
      <c r="CL286" s="408">
        <f t="shared" si="495"/>
        <v>0</v>
      </c>
      <c r="CM286" s="408">
        <f t="shared" si="495"/>
        <v>0</v>
      </c>
      <c r="CN286" s="408">
        <f t="shared" si="495"/>
        <v>0</v>
      </c>
      <c r="CO286" s="408">
        <f t="shared" si="495"/>
        <v>0</v>
      </c>
      <c r="CP286" s="408">
        <f t="shared" si="495"/>
        <v>0</v>
      </c>
      <c r="CQ286" s="408">
        <f t="shared" si="495"/>
        <v>0</v>
      </c>
      <c r="CR286" s="408">
        <f t="shared" si="495"/>
        <v>0</v>
      </c>
      <c r="CS286" s="408">
        <f t="shared" si="495"/>
        <v>0</v>
      </c>
      <c r="CT286" s="408">
        <f t="shared" si="495"/>
        <v>0</v>
      </c>
      <c r="CU286" s="408">
        <f t="shared" si="495"/>
        <v>0</v>
      </c>
      <c r="CV286" s="408">
        <f t="shared" si="495"/>
        <v>0</v>
      </c>
      <c r="CW286" s="408">
        <f t="shared" si="495"/>
        <v>0</v>
      </c>
      <c r="CX286" s="408">
        <f t="shared" si="495"/>
        <v>0</v>
      </c>
      <c r="CY286" s="408">
        <f t="shared" si="495"/>
        <v>0</v>
      </c>
      <c r="CZ286" s="408">
        <f t="shared" si="495"/>
        <v>0</v>
      </c>
      <c r="DA286" s="408">
        <f t="shared" si="495"/>
        <v>0</v>
      </c>
      <c r="DB286" s="408">
        <f t="shared" si="495"/>
        <v>0</v>
      </c>
      <c r="DC286" s="408">
        <f t="shared" si="495"/>
        <v>0</v>
      </c>
      <c r="DD286" s="408">
        <f t="shared" si="495"/>
        <v>0</v>
      </c>
      <c r="DE286" s="408">
        <f t="shared" si="495"/>
        <v>0</v>
      </c>
      <c r="DF286" s="408">
        <f t="shared" si="495"/>
        <v>0</v>
      </c>
      <c r="DG286" s="408">
        <f t="shared" si="495"/>
        <v>0</v>
      </c>
      <c r="DH286" s="408">
        <f t="shared" si="495"/>
        <v>0</v>
      </c>
      <c r="DI286" s="408">
        <f t="shared" si="495"/>
        <v>0</v>
      </c>
      <c r="DJ286" s="408">
        <f t="shared" si="495"/>
        <v>0</v>
      </c>
      <c r="DK286" s="408">
        <f t="shared" si="495"/>
        <v>0</v>
      </c>
      <c r="DL286" s="408">
        <f t="shared" si="495"/>
        <v>0</v>
      </c>
      <c r="DM286" s="408">
        <f t="shared" si="495"/>
        <v>0</v>
      </c>
      <c r="DN286" s="408">
        <f t="shared" si="495"/>
        <v>0</v>
      </c>
      <c r="DO286" s="408">
        <f t="shared" si="495"/>
        <v>0</v>
      </c>
      <c r="DP286" s="408">
        <f t="shared" si="495"/>
        <v>0</v>
      </c>
      <c r="DQ286" s="408">
        <f t="shared" si="495"/>
        <v>0</v>
      </c>
      <c r="DR286" s="408">
        <f t="shared" si="495"/>
        <v>0</v>
      </c>
      <c r="DS286" s="408">
        <f t="shared" si="495"/>
        <v>0</v>
      </c>
      <c r="DT286" s="408">
        <f t="shared" si="495"/>
        <v>0</v>
      </c>
      <c r="DU286" s="408">
        <f t="shared" si="495"/>
        <v>0</v>
      </c>
      <c r="EI286" s="280"/>
    </row>
    <row r="287" spans="1:139" x14ac:dyDescent="0.3">
      <c r="A287" s="407" t="str">
        <f>'General Inputs'!$K$29</f>
        <v>Quarterra</v>
      </c>
      <c r="B287" s="182"/>
      <c r="C287" s="182"/>
      <c r="D287" s="686"/>
      <c r="E287" s="407">
        <f t="shared" si="494"/>
        <v>0</v>
      </c>
      <c r="F287" s="407">
        <f t="shared" si="494"/>
        <v>0</v>
      </c>
      <c r="G287" s="407">
        <f t="shared" si="494"/>
        <v>0</v>
      </c>
      <c r="H287" s="407">
        <f t="shared" si="494"/>
        <v>0</v>
      </c>
      <c r="I287" s="407">
        <f t="shared" si="494"/>
        <v>0</v>
      </c>
      <c r="J287" s="407">
        <f t="shared" si="494"/>
        <v>0</v>
      </c>
      <c r="K287" s="407">
        <f t="shared" si="494"/>
        <v>0</v>
      </c>
      <c r="L287" s="407">
        <f t="shared" si="494"/>
        <v>0</v>
      </c>
      <c r="M287" s="407">
        <f t="shared" si="494"/>
        <v>0</v>
      </c>
      <c r="N287" s="407">
        <f t="shared" si="494"/>
        <v>0</v>
      </c>
      <c r="O287" s="407">
        <f t="shared" si="494"/>
        <v>0</v>
      </c>
      <c r="P287" s="407">
        <f t="shared" si="494"/>
        <v>0</v>
      </c>
      <c r="Q287" s="407">
        <f t="shared" si="494"/>
        <v>0</v>
      </c>
      <c r="R287" s="407">
        <f t="shared" si="494"/>
        <v>0</v>
      </c>
      <c r="S287" s="407">
        <f t="shared" si="494"/>
        <v>0</v>
      </c>
      <c r="T287" s="407">
        <f t="shared" si="494"/>
        <v>0</v>
      </c>
      <c r="U287" s="407">
        <f t="shared" si="494"/>
        <v>0</v>
      </c>
      <c r="V287" s="407">
        <f t="shared" si="494"/>
        <v>0</v>
      </c>
      <c r="W287" s="407">
        <f t="shared" si="494"/>
        <v>0</v>
      </c>
      <c r="X287" s="407">
        <f t="shared" si="494"/>
        <v>0</v>
      </c>
      <c r="Y287" s="407">
        <f t="shared" si="494"/>
        <v>0</v>
      </c>
      <c r="Z287" s="407">
        <f t="shared" si="494"/>
        <v>0</v>
      </c>
      <c r="AA287" s="407">
        <f t="shared" si="494"/>
        <v>0</v>
      </c>
      <c r="AB287" s="407">
        <f t="shared" si="494"/>
        <v>0</v>
      </c>
      <c r="AC287" s="407">
        <f t="shared" si="494"/>
        <v>0</v>
      </c>
      <c r="AD287" s="407">
        <f t="shared" si="494"/>
        <v>0</v>
      </c>
      <c r="AE287" s="407">
        <f t="shared" si="494"/>
        <v>0</v>
      </c>
      <c r="AF287" s="407">
        <f t="shared" si="494"/>
        <v>0</v>
      </c>
      <c r="AG287" s="407">
        <f t="shared" ca="1" si="494"/>
        <v>8376324.4538163161</v>
      </c>
      <c r="AH287" s="407">
        <f t="shared" si="494"/>
        <v>0</v>
      </c>
      <c r="AI287" s="407">
        <f t="shared" si="494"/>
        <v>0</v>
      </c>
      <c r="AJ287" s="407">
        <f t="shared" si="494"/>
        <v>0</v>
      </c>
      <c r="AK287" s="407">
        <f t="shared" si="494"/>
        <v>0</v>
      </c>
      <c r="AL287" s="407">
        <f t="shared" si="494"/>
        <v>0</v>
      </c>
      <c r="AM287" s="407">
        <f t="shared" si="494"/>
        <v>0</v>
      </c>
      <c r="AN287" s="407">
        <f t="shared" si="494"/>
        <v>0</v>
      </c>
      <c r="AO287" s="407">
        <f t="shared" si="494"/>
        <v>0</v>
      </c>
      <c r="AP287" s="407">
        <f t="shared" si="494"/>
        <v>0</v>
      </c>
      <c r="AQ287" s="407">
        <f t="shared" si="494"/>
        <v>0</v>
      </c>
      <c r="AR287" s="407">
        <f t="shared" si="494"/>
        <v>0</v>
      </c>
      <c r="AS287" s="407">
        <f t="shared" si="494"/>
        <v>0</v>
      </c>
      <c r="AT287" s="407">
        <f t="shared" si="494"/>
        <v>0</v>
      </c>
      <c r="AU287" s="407">
        <f t="shared" si="494"/>
        <v>0</v>
      </c>
      <c r="AV287" s="407">
        <f t="shared" si="494"/>
        <v>0</v>
      </c>
      <c r="AW287" s="407">
        <f t="shared" si="494"/>
        <v>0</v>
      </c>
      <c r="AX287" s="407">
        <f t="shared" si="494"/>
        <v>0</v>
      </c>
      <c r="AY287" s="407">
        <f t="shared" si="494"/>
        <v>0</v>
      </c>
      <c r="AZ287" s="407">
        <f t="shared" si="494"/>
        <v>0</v>
      </c>
      <c r="BA287" s="407">
        <f t="shared" si="494"/>
        <v>0</v>
      </c>
      <c r="BB287" s="407">
        <f t="shared" si="494"/>
        <v>0</v>
      </c>
      <c r="BC287" s="407">
        <f t="shared" si="494"/>
        <v>0</v>
      </c>
      <c r="BD287" s="407">
        <f t="shared" si="494"/>
        <v>0</v>
      </c>
      <c r="BE287" s="407">
        <f t="shared" si="494"/>
        <v>0</v>
      </c>
      <c r="BF287" s="407">
        <f t="shared" si="494"/>
        <v>0</v>
      </c>
      <c r="BG287" s="407">
        <f t="shared" si="494"/>
        <v>0</v>
      </c>
      <c r="BH287" s="407">
        <f t="shared" si="494"/>
        <v>0</v>
      </c>
      <c r="BI287" s="407">
        <f t="shared" si="494"/>
        <v>0</v>
      </c>
      <c r="BJ287" s="407">
        <f t="shared" si="494"/>
        <v>0</v>
      </c>
      <c r="BK287" s="407">
        <f t="shared" si="494"/>
        <v>0</v>
      </c>
      <c r="BL287" s="407">
        <f t="shared" si="494"/>
        <v>0</v>
      </c>
      <c r="BM287" s="407">
        <f t="shared" si="494"/>
        <v>0</v>
      </c>
      <c r="BN287" s="407">
        <f t="shared" si="494"/>
        <v>0</v>
      </c>
      <c r="BO287" s="407">
        <f t="shared" si="494"/>
        <v>0</v>
      </c>
      <c r="BP287" s="407">
        <f t="shared" si="494"/>
        <v>0</v>
      </c>
      <c r="BQ287" s="407">
        <f t="shared" si="495"/>
        <v>0</v>
      </c>
      <c r="BR287" s="407">
        <f t="shared" si="495"/>
        <v>0</v>
      </c>
      <c r="BS287" s="407">
        <f t="shared" si="495"/>
        <v>0</v>
      </c>
      <c r="BT287" s="407">
        <f t="shared" si="495"/>
        <v>0</v>
      </c>
      <c r="BU287" s="407">
        <f t="shared" si="495"/>
        <v>0</v>
      </c>
      <c r="BV287" s="407">
        <f t="shared" si="495"/>
        <v>0</v>
      </c>
      <c r="BW287" s="407">
        <f t="shared" si="495"/>
        <v>0</v>
      </c>
      <c r="BX287" s="407">
        <f t="shared" si="495"/>
        <v>0</v>
      </c>
      <c r="BY287" s="407">
        <f t="shared" si="495"/>
        <v>0</v>
      </c>
      <c r="BZ287" s="407">
        <f t="shared" si="495"/>
        <v>0</v>
      </c>
      <c r="CA287" s="407">
        <f t="shared" si="495"/>
        <v>0</v>
      </c>
      <c r="CB287" s="407">
        <f t="shared" si="495"/>
        <v>0</v>
      </c>
      <c r="CC287" s="407">
        <f t="shared" si="495"/>
        <v>0</v>
      </c>
      <c r="CD287" s="407">
        <f t="shared" si="495"/>
        <v>0</v>
      </c>
      <c r="CE287" s="407">
        <f t="shared" si="495"/>
        <v>0</v>
      </c>
      <c r="CF287" s="407">
        <f t="shared" si="495"/>
        <v>0</v>
      </c>
      <c r="CG287" s="407">
        <f t="shared" si="495"/>
        <v>0</v>
      </c>
      <c r="CH287" s="407">
        <f t="shared" si="495"/>
        <v>0</v>
      </c>
      <c r="CI287" s="407">
        <f t="shared" si="495"/>
        <v>0</v>
      </c>
      <c r="CJ287" s="407">
        <f t="shared" si="495"/>
        <v>0</v>
      </c>
      <c r="CK287" s="407">
        <f t="shared" si="495"/>
        <v>0</v>
      </c>
      <c r="CL287" s="407">
        <f t="shared" si="495"/>
        <v>0</v>
      </c>
      <c r="CM287" s="407">
        <f t="shared" si="495"/>
        <v>0</v>
      </c>
      <c r="CN287" s="407">
        <f t="shared" si="495"/>
        <v>0</v>
      </c>
      <c r="CO287" s="407">
        <f t="shared" si="495"/>
        <v>0</v>
      </c>
      <c r="CP287" s="407">
        <f t="shared" si="495"/>
        <v>0</v>
      </c>
      <c r="CQ287" s="407">
        <f t="shared" si="495"/>
        <v>0</v>
      </c>
      <c r="CR287" s="407">
        <f t="shared" si="495"/>
        <v>0</v>
      </c>
      <c r="CS287" s="407">
        <f t="shared" si="495"/>
        <v>0</v>
      </c>
      <c r="CT287" s="407">
        <f t="shared" si="495"/>
        <v>0</v>
      </c>
      <c r="CU287" s="407">
        <f t="shared" si="495"/>
        <v>0</v>
      </c>
      <c r="CV287" s="407">
        <f t="shared" si="495"/>
        <v>0</v>
      </c>
      <c r="CW287" s="407">
        <f t="shared" si="495"/>
        <v>0</v>
      </c>
      <c r="CX287" s="407">
        <f t="shared" si="495"/>
        <v>0</v>
      </c>
      <c r="CY287" s="407">
        <f t="shared" si="495"/>
        <v>0</v>
      </c>
      <c r="CZ287" s="407">
        <f t="shared" si="495"/>
        <v>0</v>
      </c>
      <c r="DA287" s="407">
        <f t="shared" si="495"/>
        <v>0</v>
      </c>
      <c r="DB287" s="407">
        <f t="shared" si="495"/>
        <v>0</v>
      </c>
      <c r="DC287" s="407">
        <f t="shared" si="495"/>
        <v>0</v>
      </c>
      <c r="DD287" s="407">
        <f t="shared" si="495"/>
        <v>0</v>
      </c>
      <c r="DE287" s="407">
        <f t="shared" si="495"/>
        <v>0</v>
      </c>
      <c r="DF287" s="407">
        <f t="shared" si="495"/>
        <v>0</v>
      </c>
      <c r="DG287" s="407">
        <f t="shared" si="495"/>
        <v>0</v>
      </c>
      <c r="DH287" s="407">
        <f t="shared" si="495"/>
        <v>0</v>
      </c>
      <c r="DI287" s="407">
        <f t="shared" si="495"/>
        <v>0</v>
      </c>
      <c r="DJ287" s="407">
        <f t="shared" si="495"/>
        <v>0</v>
      </c>
      <c r="DK287" s="407">
        <f t="shared" si="495"/>
        <v>0</v>
      </c>
      <c r="DL287" s="407">
        <f t="shared" si="495"/>
        <v>0</v>
      </c>
      <c r="DM287" s="407">
        <f t="shared" si="495"/>
        <v>0</v>
      </c>
      <c r="DN287" s="407">
        <f t="shared" si="495"/>
        <v>0</v>
      </c>
      <c r="DO287" s="407">
        <f t="shared" si="495"/>
        <v>0</v>
      </c>
      <c r="DP287" s="407">
        <f t="shared" si="495"/>
        <v>0</v>
      </c>
      <c r="DQ287" s="407">
        <f t="shared" si="495"/>
        <v>0</v>
      </c>
      <c r="DR287" s="407">
        <f t="shared" si="495"/>
        <v>0</v>
      </c>
      <c r="DS287" s="407">
        <f t="shared" si="495"/>
        <v>0</v>
      </c>
      <c r="DT287" s="407">
        <f t="shared" si="495"/>
        <v>0</v>
      </c>
      <c r="DU287" s="407">
        <f t="shared" si="495"/>
        <v>0</v>
      </c>
      <c r="EI287" s="722"/>
    </row>
    <row r="288" spans="1:139" x14ac:dyDescent="0.3">
      <c r="A288" s="407" t="str">
        <f>'General Inputs'!$L$29</f>
        <v>LAND</v>
      </c>
      <c r="B288" s="182"/>
      <c r="C288" s="182"/>
      <c r="D288" s="686"/>
      <c r="E288" s="407">
        <f t="shared" si="494"/>
        <v>0</v>
      </c>
      <c r="F288" s="407">
        <f t="shared" si="494"/>
        <v>0</v>
      </c>
      <c r="G288" s="407">
        <f t="shared" si="494"/>
        <v>0</v>
      </c>
      <c r="H288" s="407">
        <f t="shared" si="494"/>
        <v>0</v>
      </c>
      <c r="I288" s="407">
        <f t="shared" si="494"/>
        <v>0</v>
      </c>
      <c r="J288" s="407">
        <f t="shared" si="494"/>
        <v>0</v>
      </c>
      <c r="K288" s="407">
        <f t="shared" si="494"/>
        <v>0</v>
      </c>
      <c r="L288" s="407">
        <f t="shared" si="494"/>
        <v>0</v>
      </c>
      <c r="M288" s="407">
        <f t="shared" si="494"/>
        <v>0</v>
      </c>
      <c r="N288" s="407">
        <f t="shared" si="494"/>
        <v>0</v>
      </c>
      <c r="O288" s="407">
        <f t="shared" si="494"/>
        <v>0</v>
      </c>
      <c r="P288" s="407">
        <f t="shared" si="494"/>
        <v>0</v>
      </c>
      <c r="Q288" s="407">
        <f t="shared" si="494"/>
        <v>0</v>
      </c>
      <c r="R288" s="407">
        <f t="shared" si="494"/>
        <v>0</v>
      </c>
      <c r="S288" s="407">
        <f t="shared" si="494"/>
        <v>0</v>
      </c>
      <c r="T288" s="407">
        <f t="shared" si="494"/>
        <v>0</v>
      </c>
      <c r="U288" s="407">
        <f t="shared" si="494"/>
        <v>0</v>
      </c>
      <c r="V288" s="407">
        <f t="shared" si="494"/>
        <v>0</v>
      </c>
      <c r="W288" s="407">
        <f t="shared" si="494"/>
        <v>0</v>
      </c>
      <c r="X288" s="407">
        <f t="shared" si="494"/>
        <v>0</v>
      </c>
      <c r="Y288" s="407">
        <f t="shared" si="494"/>
        <v>0</v>
      </c>
      <c r="Z288" s="407">
        <f t="shared" si="494"/>
        <v>0</v>
      </c>
      <c r="AA288" s="407">
        <f t="shared" si="494"/>
        <v>0</v>
      </c>
      <c r="AB288" s="407">
        <f t="shared" si="494"/>
        <v>0</v>
      </c>
      <c r="AC288" s="407">
        <f t="shared" si="494"/>
        <v>0</v>
      </c>
      <c r="AD288" s="407">
        <f t="shared" si="494"/>
        <v>0</v>
      </c>
      <c r="AE288" s="407">
        <f t="shared" si="494"/>
        <v>0</v>
      </c>
      <c r="AF288" s="407">
        <f t="shared" si="494"/>
        <v>0</v>
      </c>
      <c r="AG288" s="407">
        <f t="shared" ca="1" si="494"/>
        <v>0</v>
      </c>
      <c r="AH288" s="407">
        <f t="shared" si="494"/>
        <v>0</v>
      </c>
      <c r="AI288" s="407">
        <f t="shared" si="494"/>
        <v>0</v>
      </c>
      <c r="AJ288" s="407">
        <f t="shared" si="494"/>
        <v>0</v>
      </c>
      <c r="AK288" s="407">
        <f t="shared" si="494"/>
        <v>0</v>
      </c>
      <c r="AL288" s="407">
        <f t="shared" si="494"/>
        <v>0</v>
      </c>
      <c r="AM288" s="407">
        <f t="shared" si="494"/>
        <v>0</v>
      </c>
      <c r="AN288" s="407">
        <f t="shared" si="494"/>
        <v>0</v>
      </c>
      <c r="AO288" s="407">
        <f t="shared" si="494"/>
        <v>0</v>
      </c>
      <c r="AP288" s="407">
        <f t="shared" si="494"/>
        <v>0</v>
      </c>
      <c r="AQ288" s="407">
        <f t="shared" si="494"/>
        <v>0</v>
      </c>
      <c r="AR288" s="407">
        <f t="shared" si="494"/>
        <v>0</v>
      </c>
      <c r="AS288" s="407">
        <f t="shared" si="494"/>
        <v>0</v>
      </c>
      <c r="AT288" s="407">
        <f t="shared" si="494"/>
        <v>0</v>
      </c>
      <c r="AU288" s="407">
        <f t="shared" si="494"/>
        <v>0</v>
      </c>
      <c r="AV288" s="407">
        <f t="shared" si="494"/>
        <v>0</v>
      </c>
      <c r="AW288" s="407">
        <f t="shared" si="494"/>
        <v>0</v>
      </c>
      <c r="AX288" s="407">
        <f t="shared" si="494"/>
        <v>0</v>
      </c>
      <c r="AY288" s="407">
        <f t="shared" si="494"/>
        <v>0</v>
      </c>
      <c r="AZ288" s="407">
        <f t="shared" si="494"/>
        <v>0</v>
      </c>
      <c r="BA288" s="407">
        <f t="shared" si="494"/>
        <v>0</v>
      </c>
      <c r="BB288" s="407">
        <f t="shared" si="494"/>
        <v>0</v>
      </c>
      <c r="BC288" s="407">
        <f t="shared" si="494"/>
        <v>0</v>
      </c>
      <c r="BD288" s="407">
        <f t="shared" si="494"/>
        <v>0</v>
      </c>
      <c r="BE288" s="407">
        <f t="shared" si="494"/>
        <v>0</v>
      </c>
      <c r="BF288" s="407">
        <f t="shared" si="494"/>
        <v>0</v>
      </c>
      <c r="BG288" s="407">
        <f t="shared" si="494"/>
        <v>0</v>
      </c>
      <c r="BH288" s="407">
        <f t="shared" si="494"/>
        <v>0</v>
      </c>
      <c r="BI288" s="407">
        <f t="shared" si="494"/>
        <v>0</v>
      </c>
      <c r="BJ288" s="407">
        <f t="shared" si="494"/>
        <v>0</v>
      </c>
      <c r="BK288" s="407">
        <f t="shared" si="494"/>
        <v>0</v>
      </c>
      <c r="BL288" s="407">
        <f t="shared" si="494"/>
        <v>0</v>
      </c>
      <c r="BM288" s="407">
        <f t="shared" si="494"/>
        <v>0</v>
      </c>
      <c r="BN288" s="407">
        <f t="shared" si="494"/>
        <v>0</v>
      </c>
      <c r="BO288" s="407">
        <f t="shared" si="494"/>
        <v>0</v>
      </c>
      <c r="BP288" s="407">
        <f t="shared" si="494"/>
        <v>0</v>
      </c>
      <c r="BQ288" s="407">
        <f t="shared" si="495"/>
        <v>0</v>
      </c>
      <c r="BR288" s="407">
        <f t="shared" si="495"/>
        <v>0</v>
      </c>
      <c r="BS288" s="407">
        <f t="shared" si="495"/>
        <v>0</v>
      </c>
      <c r="BT288" s="407">
        <f t="shared" si="495"/>
        <v>0</v>
      </c>
      <c r="BU288" s="407">
        <f t="shared" si="495"/>
        <v>0</v>
      </c>
      <c r="BV288" s="407">
        <f t="shared" si="495"/>
        <v>0</v>
      </c>
      <c r="BW288" s="407">
        <f t="shared" si="495"/>
        <v>0</v>
      </c>
      <c r="BX288" s="407">
        <f t="shared" si="495"/>
        <v>0</v>
      </c>
      <c r="BY288" s="407">
        <f t="shared" si="495"/>
        <v>0</v>
      </c>
      <c r="BZ288" s="407">
        <f t="shared" si="495"/>
        <v>0</v>
      </c>
      <c r="CA288" s="407">
        <f t="shared" si="495"/>
        <v>0</v>
      </c>
      <c r="CB288" s="407">
        <f t="shared" si="495"/>
        <v>0</v>
      </c>
      <c r="CC288" s="407">
        <f t="shared" si="495"/>
        <v>0</v>
      </c>
      <c r="CD288" s="407">
        <f t="shared" si="495"/>
        <v>0</v>
      </c>
      <c r="CE288" s="407">
        <f t="shared" si="495"/>
        <v>0</v>
      </c>
      <c r="CF288" s="407">
        <f t="shared" si="495"/>
        <v>0</v>
      </c>
      <c r="CG288" s="407">
        <f t="shared" si="495"/>
        <v>0</v>
      </c>
      <c r="CH288" s="407">
        <f t="shared" si="495"/>
        <v>0</v>
      </c>
      <c r="CI288" s="407">
        <f t="shared" si="495"/>
        <v>0</v>
      </c>
      <c r="CJ288" s="407">
        <f t="shared" si="495"/>
        <v>0</v>
      </c>
      <c r="CK288" s="407">
        <f t="shared" si="495"/>
        <v>0</v>
      </c>
      <c r="CL288" s="407">
        <f t="shared" si="495"/>
        <v>0</v>
      </c>
      <c r="CM288" s="407">
        <f t="shared" si="495"/>
        <v>0</v>
      </c>
      <c r="CN288" s="407">
        <f t="shared" si="495"/>
        <v>0</v>
      </c>
      <c r="CO288" s="407">
        <f t="shared" si="495"/>
        <v>0</v>
      </c>
      <c r="CP288" s="407">
        <f t="shared" si="495"/>
        <v>0</v>
      </c>
      <c r="CQ288" s="407">
        <f t="shared" si="495"/>
        <v>0</v>
      </c>
      <c r="CR288" s="407">
        <f t="shared" si="495"/>
        <v>0</v>
      </c>
      <c r="CS288" s="407">
        <f t="shared" si="495"/>
        <v>0</v>
      </c>
      <c r="CT288" s="407">
        <f t="shared" si="495"/>
        <v>0</v>
      </c>
      <c r="CU288" s="407">
        <f t="shared" si="495"/>
        <v>0</v>
      </c>
      <c r="CV288" s="407">
        <f t="shared" si="495"/>
        <v>0</v>
      </c>
      <c r="CW288" s="407">
        <f t="shared" si="495"/>
        <v>0</v>
      </c>
      <c r="CX288" s="407">
        <f t="shared" si="495"/>
        <v>0</v>
      </c>
      <c r="CY288" s="407">
        <f t="shared" si="495"/>
        <v>0</v>
      </c>
      <c r="CZ288" s="407">
        <f t="shared" si="495"/>
        <v>0</v>
      </c>
      <c r="DA288" s="407">
        <f t="shared" si="495"/>
        <v>0</v>
      </c>
      <c r="DB288" s="407">
        <f t="shared" si="495"/>
        <v>0</v>
      </c>
      <c r="DC288" s="407">
        <f t="shared" si="495"/>
        <v>0</v>
      </c>
      <c r="DD288" s="407">
        <f t="shared" si="495"/>
        <v>0</v>
      </c>
      <c r="DE288" s="407">
        <f t="shared" si="495"/>
        <v>0</v>
      </c>
      <c r="DF288" s="407">
        <f t="shared" si="495"/>
        <v>0</v>
      </c>
      <c r="DG288" s="407">
        <f t="shared" si="495"/>
        <v>0</v>
      </c>
      <c r="DH288" s="407">
        <f t="shared" si="495"/>
        <v>0</v>
      </c>
      <c r="DI288" s="407">
        <f t="shared" si="495"/>
        <v>0</v>
      </c>
      <c r="DJ288" s="407">
        <f t="shared" si="495"/>
        <v>0</v>
      </c>
      <c r="DK288" s="407">
        <f t="shared" si="495"/>
        <v>0</v>
      </c>
      <c r="DL288" s="407">
        <f t="shared" si="495"/>
        <v>0</v>
      </c>
      <c r="DM288" s="407">
        <f t="shared" si="495"/>
        <v>0</v>
      </c>
      <c r="DN288" s="407">
        <f t="shared" si="495"/>
        <v>0</v>
      </c>
      <c r="DO288" s="407">
        <f t="shared" si="495"/>
        <v>0</v>
      </c>
      <c r="DP288" s="407">
        <f t="shared" si="495"/>
        <v>0</v>
      </c>
      <c r="DQ288" s="407">
        <f t="shared" si="495"/>
        <v>0</v>
      </c>
      <c r="DR288" s="407">
        <f t="shared" si="495"/>
        <v>0</v>
      </c>
      <c r="DS288" s="407">
        <f t="shared" si="495"/>
        <v>0</v>
      </c>
      <c r="DT288" s="407">
        <f t="shared" si="495"/>
        <v>0</v>
      </c>
      <c r="DU288" s="407">
        <f t="shared" si="495"/>
        <v>0</v>
      </c>
      <c r="EI288" s="280"/>
    </row>
    <row r="289" spans="1:139" ht="7.5" customHeight="1" thickBot="1" x14ac:dyDescent="0.35">
      <c r="D289" s="282"/>
      <c r="EI289" s="722"/>
    </row>
    <row r="290" spans="1:139" ht="15.75" customHeight="1" thickTop="1" x14ac:dyDescent="0.3">
      <c r="A290" s="2782" t="str">
        <f>"INTERNAL RATE OF RETURN - "&amp;'General Inputs'!$J$29</f>
        <v>INTERNAL RATE OF RETURN - LP</v>
      </c>
      <c r="B290" s="2783"/>
      <c r="C290" s="2784"/>
      <c r="D290" s="728"/>
      <c r="E290" s="322"/>
      <c r="F290" s="322"/>
      <c r="G290" s="322"/>
      <c r="H290" s="322"/>
      <c r="I290" s="322"/>
      <c r="J290" s="322"/>
      <c r="K290" s="322"/>
      <c r="L290" s="322"/>
      <c r="M290" s="322"/>
      <c r="N290" s="322"/>
      <c r="O290" s="322"/>
      <c r="P290" s="322"/>
      <c r="Q290" s="322"/>
      <c r="R290" s="322"/>
      <c r="S290" s="322"/>
      <c r="T290" s="322"/>
      <c r="U290" s="322"/>
      <c r="V290" s="322"/>
      <c r="W290" s="322"/>
      <c r="X290" s="322"/>
      <c r="Y290" s="322"/>
      <c r="Z290" s="322"/>
      <c r="AA290" s="322"/>
      <c r="AB290" s="322"/>
      <c r="AC290" s="322"/>
      <c r="AD290" s="322"/>
      <c r="AE290" s="322"/>
      <c r="AF290" s="322"/>
      <c r="AG290" s="322"/>
      <c r="AH290" s="322"/>
      <c r="AI290" s="322"/>
      <c r="AJ290" s="322"/>
      <c r="AK290" s="322"/>
      <c r="AL290" s="322"/>
      <c r="AM290" s="322"/>
      <c r="AN290" s="322"/>
      <c r="AO290" s="322"/>
      <c r="AP290" s="322"/>
      <c r="AQ290" s="322"/>
      <c r="AR290" s="322"/>
      <c r="AS290" s="322"/>
      <c r="AT290" s="322"/>
      <c r="AU290" s="322"/>
      <c r="AV290" s="322"/>
      <c r="AW290" s="322"/>
      <c r="AX290" s="322"/>
      <c r="AY290" s="322"/>
      <c r="AZ290" s="322"/>
      <c r="BA290" s="322"/>
      <c r="BB290" s="322"/>
      <c r="BC290" s="322"/>
      <c r="BD290" s="322"/>
      <c r="BE290" s="322"/>
      <c r="BF290" s="322"/>
      <c r="BG290" s="322"/>
      <c r="BH290" s="322"/>
      <c r="BI290" s="322"/>
      <c r="BJ290" s="322"/>
      <c r="BK290" s="322"/>
      <c r="BL290" s="322"/>
      <c r="BM290" s="322"/>
      <c r="BN290" s="322"/>
      <c r="BO290" s="322"/>
      <c r="BP290" s="322"/>
      <c r="BQ290" s="322"/>
      <c r="BR290" s="322"/>
      <c r="BS290" s="322"/>
      <c r="BT290" s="322"/>
      <c r="BU290" s="322"/>
      <c r="BV290" s="322"/>
      <c r="BW290" s="322"/>
      <c r="BX290" s="322"/>
      <c r="BY290" s="322"/>
      <c r="BZ290" s="322"/>
      <c r="CA290" s="322"/>
      <c r="CB290" s="322"/>
      <c r="CC290" s="322"/>
      <c r="CD290" s="322"/>
      <c r="CE290" s="322"/>
      <c r="CF290" s="322"/>
      <c r="CG290" s="322"/>
      <c r="CH290" s="322"/>
      <c r="CI290" s="322"/>
      <c r="CJ290" s="322"/>
      <c r="CK290" s="322"/>
      <c r="CL290" s="322"/>
      <c r="CM290" s="322"/>
      <c r="CN290" s="322"/>
      <c r="CO290" s="322"/>
      <c r="CP290" s="322"/>
      <c r="CQ290" s="322"/>
      <c r="CR290" s="322"/>
      <c r="CS290" s="322"/>
      <c r="CT290" s="322"/>
      <c r="CU290" s="322"/>
      <c r="CV290" s="322"/>
      <c r="CW290" s="322"/>
      <c r="CX290" s="322"/>
      <c r="CY290" s="322"/>
      <c r="CZ290" s="322"/>
      <c r="DA290" s="322"/>
      <c r="DB290" s="322"/>
      <c r="DC290" s="322"/>
      <c r="DD290" s="322"/>
      <c r="DE290" s="322"/>
      <c r="DF290" s="322"/>
      <c r="DG290" s="322"/>
      <c r="DH290" s="322"/>
      <c r="DI290" s="322"/>
      <c r="DJ290" s="322"/>
      <c r="DK290" s="322"/>
      <c r="DL290" s="322"/>
      <c r="DM290" s="322"/>
      <c r="DN290" s="322"/>
      <c r="DO290" s="322"/>
      <c r="DP290" s="322"/>
      <c r="DQ290" s="322"/>
      <c r="DR290" s="322"/>
      <c r="DS290" s="322"/>
      <c r="DT290" s="322"/>
      <c r="DU290" s="322"/>
      <c r="EH290" s="644"/>
      <c r="EI290" s="722"/>
    </row>
    <row r="291" spans="1:139" x14ac:dyDescent="0.3">
      <c r="A291" s="182" t="s">
        <v>2474</v>
      </c>
      <c r="B291" s="182"/>
      <c r="C291" s="182"/>
      <c r="D291" s="647"/>
      <c r="E291" s="408">
        <f ca="1">IF(DevBdgt!E$6&lt;=DispositionMonth,E207,0)</f>
        <v>-1684806.2553703375</v>
      </c>
      <c r="F291" s="408">
        <f ca="1">IF(DevBdgt!F$6&lt;=DispositionMonth,F207,0)</f>
        <v>-13679721.285321232</v>
      </c>
      <c r="G291" s="408">
        <f ca="1">IF(DevBdgt!G$6&lt;=DispositionMonth,G207,0)</f>
        <v>-429758.58896990592</v>
      </c>
      <c r="H291" s="408">
        <f ca="1">IF(DevBdgt!H$6&lt;=DispositionMonth,H207,0)</f>
        <v>-652516.24275347544</v>
      </c>
      <c r="I291" s="408">
        <f ca="1">IF(DevBdgt!I$6&lt;=DispositionMonth,I207,0)</f>
        <v>-1108216.2834030252</v>
      </c>
      <c r="J291" s="408">
        <f ca="1">IF(DevBdgt!J$6&lt;=DispositionMonth,J207,0)</f>
        <v>-1808500.5776190415</v>
      </c>
      <c r="K291" s="408">
        <f ca="1">IF(DevBdgt!K$6&lt;=DispositionMonth,K207,0)</f>
        <v>-1861449.5545326734</v>
      </c>
      <c r="L291" s="408">
        <f ca="1">IF(DevBdgt!L$6&lt;=DispositionMonth,L207,0)</f>
        <v>-2372000.4851556052</v>
      </c>
      <c r="M291" s="408">
        <f ca="1">IF(DevBdgt!M$6&lt;=DispositionMonth,M207,0)</f>
        <v>-2813680.2377213496</v>
      </c>
      <c r="N291" s="408">
        <f ca="1">IF(DevBdgt!N$6&lt;=DispositionMonth,N207,0)</f>
        <v>-3293680.161515363</v>
      </c>
      <c r="O291" s="408">
        <f ca="1">IF(DevBdgt!O$6&lt;=DispositionMonth,O207,0)</f>
        <v>-1869318.1862202697</v>
      </c>
      <c r="P291" s="408">
        <f ca="1">IF(DevBdgt!P$6&lt;=DispositionMonth,P207,0)</f>
        <v>0</v>
      </c>
      <c r="Q291" s="408">
        <f ca="1">IF(DevBdgt!Q$6&lt;=DispositionMonth,Q207,0)</f>
        <v>0</v>
      </c>
      <c r="R291" s="408">
        <f ca="1">IF(DevBdgt!R$6&lt;=DispositionMonth,R207,0)</f>
        <v>0</v>
      </c>
      <c r="S291" s="408">
        <f ca="1">IF(DevBdgt!S$6&lt;=DispositionMonth,S207,0)</f>
        <v>0</v>
      </c>
      <c r="T291" s="408">
        <f ca="1">IF(DevBdgt!T$6&lt;=DispositionMonth,T207,0)</f>
        <v>0</v>
      </c>
      <c r="U291" s="408">
        <f ca="1">IF(DevBdgt!U$6&lt;=DispositionMonth,U207,0)</f>
        <v>0</v>
      </c>
      <c r="V291" s="408">
        <f ca="1">IF(DevBdgt!V$6&lt;=DispositionMonth,V207,0)</f>
        <v>0</v>
      </c>
      <c r="W291" s="408">
        <f ca="1">IF(DevBdgt!W$6&lt;=DispositionMonth,W207,0)</f>
        <v>0</v>
      </c>
      <c r="X291" s="408">
        <f ca="1">IF(DevBdgt!X$6&lt;=DispositionMonth,X207,0)</f>
        <v>0</v>
      </c>
      <c r="Y291" s="408">
        <f ca="1">IF(DevBdgt!Y$6&lt;=DispositionMonth,Y207,0)</f>
        <v>0</v>
      </c>
      <c r="Z291" s="408">
        <f ca="1">IF(DevBdgt!Z$6&lt;=DispositionMonth,Z207,0)</f>
        <v>0</v>
      </c>
      <c r="AA291" s="408">
        <f ca="1">IF(DevBdgt!AA$6&lt;=DispositionMonth,AA207,0)</f>
        <v>0</v>
      </c>
      <c r="AB291" s="408">
        <f ca="1">IF(DevBdgt!AB$6&lt;=DispositionMonth,AB207,0)</f>
        <v>0</v>
      </c>
      <c r="AC291" s="408">
        <f ca="1">IF(DevBdgt!AC$6&lt;=DispositionMonth,AC207,0)</f>
        <v>0</v>
      </c>
      <c r="AD291" s="408">
        <f ca="1">IF(DevBdgt!AD$6&lt;=DispositionMonth,AD207,0)</f>
        <v>0</v>
      </c>
      <c r="AE291" s="408">
        <f ca="1">IF(DevBdgt!AE$6&lt;=DispositionMonth,AE207,0)</f>
        <v>0</v>
      </c>
      <c r="AF291" s="408">
        <f ca="1">IF(DevBdgt!AF$6&lt;=DispositionMonth,AF207,0)</f>
        <v>0</v>
      </c>
      <c r="AG291" s="408">
        <f ca="1">IF(DevBdgt!AG$6&lt;=DispositionMonth,AG207,0)</f>
        <v>0</v>
      </c>
      <c r="AH291" s="408">
        <f>IF(DevBdgt!AH$6&lt;=DispositionMonth,AH207,0)</f>
        <v>0</v>
      </c>
      <c r="AI291" s="408">
        <f>IF(DevBdgt!AI$6&lt;=DispositionMonth,AI207,0)</f>
        <v>0</v>
      </c>
      <c r="AJ291" s="408">
        <f>IF(DevBdgt!AJ$6&lt;=DispositionMonth,AJ207,0)</f>
        <v>0</v>
      </c>
      <c r="AK291" s="408">
        <f>IF(DevBdgt!AK$6&lt;=DispositionMonth,AK207,0)</f>
        <v>0</v>
      </c>
      <c r="AL291" s="408">
        <f>IF(DevBdgt!AL$6&lt;=DispositionMonth,AL207,0)</f>
        <v>0</v>
      </c>
      <c r="AM291" s="408">
        <f>IF(DevBdgt!AM$6&lt;=DispositionMonth,AM207,0)</f>
        <v>0</v>
      </c>
      <c r="AN291" s="408">
        <f>IF(DevBdgt!AN$6&lt;=DispositionMonth,AN207,0)</f>
        <v>0</v>
      </c>
      <c r="AO291" s="408">
        <f>IF(DevBdgt!AO$6&lt;=DispositionMonth,AO207,0)</f>
        <v>0</v>
      </c>
      <c r="AP291" s="408">
        <f>IF(DevBdgt!AP$6&lt;=DispositionMonth,AP207,0)</f>
        <v>0</v>
      </c>
      <c r="AQ291" s="408">
        <f>IF(DevBdgt!AQ$6&lt;=DispositionMonth,AQ207,0)</f>
        <v>0</v>
      </c>
      <c r="AR291" s="408">
        <f>IF(DevBdgt!AR$6&lt;=DispositionMonth,AR207,0)</f>
        <v>0</v>
      </c>
      <c r="AS291" s="408">
        <f>IF(DevBdgt!AS$6&lt;=DispositionMonth,AS207,0)</f>
        <v>0</v>
      </c>
      <c r="AT291" s="408">
        <f>IF(DevBdgt!AT$6&lt;=DispositionMonth,AT207,0)</f>
        <v>0</v>
      </c>
      <c r="AU291" s="408">
        <f>IF(DevBdgt!AU$6&lt;=DispositionMonth,AU207,0)</f>
        <v>0</v>
      </c>
      <c r="AV291" s="408">
        <f>IF(DevBdgt!AV$6&lt;=DispositionMonth,AV207,0)</f>
        <v>0</v>
      </c>
      <c r="AW291" s="408">
        <f>IF(DevBdgt!AW$6&lt;=DispositionMonth,AW207,0)</f>
        <v>0</v>
      </c>
      <c r="AX291" s="408">
        <f>IF(DevBdgt!AX$6&lt;=DispositionMonth,AX207,0)</f>
        <v>0</v>
      </c>
      <c r="AY291" s="408">
        <f>IF(DevBdgt!AY$6&lt;=DispositionMonth,AY207,0)</f>
        <v>0</v>
      </c>
      <c r="AZ291" s="408">
        <f>IF(DevBdgt!AZ$6&lt;=DispositionMonth,AZ207,0)</f>
        <v>0</v>
      </c>
      <c r="BA291" s="408">
        <f>IF(DevBdgt!BA$6&lt;=DispositionMonth,BA207,0)</f>
        <v>0</v>
      </c>
      <c r="BB291" s="408">
        <f>IF(DevBdgt!BB$6&lt;=DispositionMonth,BB207,0)</f>
        <v>0</v>
      </c>
      <c r="BC291" s="408">
        <f>IF(DevBdgt!BC$6&lt;=DispositionMonth,BC207,0)</f>
        <v>0</v>
      </c>
      <c r="BD291" s="408">
        <f>IF(DevBdgt!BD$6&lt;=DispositionMonth,BD207,0)</f>
        <v>0</v>
      </c>
      <c r="BE291" s="408">
        <f>IF(DevBdgt!BE$6&lt;=DispositionMonth,BE207,0)</f>
        <v>0</v>
      </c>
      <c r="BF291" s="408">
        <f>IF(DevBdgt!BF$6&lt;=DispositionMonth,BF207,0)</f>
        <v>0</v>
      </c>
      <c r="BG291" s="408">
        <f>IF(DevBdgt!BG$6&lt;=DispositionMonth,BG207,0)</f>
        <v>0</v>
      </c>
      <c r="BH291" s="408">
        <f>IF(DevBdgt!BH$6&lt;=DispositionMonth,BH207,0)</f>
        <v>0</v>
      </c>
      <c r="BI291" s="408">
        <f>IF(DevBdgt!BI$6&lt;=DispositionMonth,BI207,0)</f>
        <v>0</v>
      </c>
      <c r="BJ291" s="408">
        <f>IF(DevBdgt!BJ$6&lt;=DispositionMonth,BJ207,0)</f>
        <v>0</v>
      </c>
      <c r="BK291" s="408">
        <f>IF(DevBdgt!BK$6&lt;=DispositionMonth,BK207,0)</f>
        <v>0</v>
      </c>
      <c r="BL291" s="408">
        <f>IF(DevBdgt!BL$6&lt;=DispositionMonth,BL207,0)</f>
        <v>0</v>
      </c>
      <c r="BM291" s="408">
        <f>IF(DevBdgt!BM$6&lt;=DispositionMonth,BM207,0)</f>
        <v>0</v>
      </c>
      <c r="BN291" s="408">
        <f>IF(DevBdgt!BN$6&lt;=DispositionMonth,BN207,0)</f>
        <v>0</v>
      </c>
      <c r="BO291" s="408">
        <f>IF(DevBdgt!BO$6&lt;=DispositionMonth,BO207,0)</f>
        <v>0</v>
      </c>
      <c r="BP291" s="408">
        <f>IF(DevBdgt!BP$6&lt;=DispositionMonth,BP207,0)</f>
        <v>0</v>
      </c>
      <c r="BQ291" s="408">
        <f>IF(DevBdgt!BQ$6&lt;=DispositionMonth,BQ207,0)</f>
        <v>0</v>
      </c>
      <c r="BR291" s="408">
        <f>IF(DevBdgt!BR$6&lt;=DispositionMonth,BR207,0)</f>
        <v>0</v>
      </c>
      <c r="BS291" s="408">
        <f>IF(DevBdgt!BS$6&lt;=DispositionMonth,BS207,0)</f>
        <v>0</v>
      </c>
      <c r="BT291" s="408">
        <f>IF(DevBdgt!BT$6&lt;=DispositionMonth,BT207,0)</f>
        <v>0</v>
      </c>
      <c r="BU291" s="408">
        <f>IF(DevBdgt!BU$6&lt;=DispositionMonth,BU207,0)</f>
        <v>0</v>
      </c>
      <c r="BV291" s="408">
        <f>IF(DevBdgt!BV$6&lt;=DispositionMonth,BV207,0)</f>
        <v>0</v>
      </c>
      <c r="BW291" s="408">
        <f>IF(DevBdgt!BW$6&lt;=DispositionMonth,BW207,0)</f>
        <v>0</v>
      </c>
      <c r="BX291" s="408">
        <f>IF(DevBdgt!BX$6&lt;=DispositionMonth,BX207,0)</f>
        <v>0</v>
      </c>
      <c r="BY291" s="408">
        <f>IF(DevBdgt!BY$6&lt;=DispositionMonth,BY207,0)</f>
        <v>0</v>
      </c>
      <c r="BZ291" s="408">
        <f>IF(DevBdgt!BZ$6&lt;=DispositionMonth,BZ207,0)</f>
        <v>0</v>
      </c>
      <c r="CA291" s="408">
        <f>IF(DevBdgt!CA$6&lt;=DispositionMonth,CA207,0)</f>
        <v>0</v>
      </c>
      <c r="CB291" s="408">
        <f>IF(DevBdgt!CB$6&lt;=DispositionMonth,CB207,0)</f>
        <v>0</v>
      </c>
      <c r="CC291" s="408">
        <f>IF(DevBdgt!CC$6&lt;=DispositionMonth,CC207,0)</f>
        <v>0</v>
      </c>
      <c r="CD291" s="408">
        <f>IF(DevBdgt!CD$6&lt;=DispositionMonth,CD207,0)</f>
        <v>0</v>
      </c>
      <c r="CE291" s="408">
        <f>IF(DevBdgt!CE$6&lt;=DispositionMonth,CE207,0)</f>
        <v>0</v>
      </c>
      <c r="CF291" s="408">
        <f>IF(DevBdgt!CF$6&lt;=DispositionMonth,CF207,0)</f>
        <v>0</v>
      </c>
      <c r="CG291" s="408">
        <f>IF(DevBdgt!CG$6&lt;=DispositionMonth,CG207,0)</f>
        <v>0</v>
      </c>
      <c r="CH291" s="408">
        <f>IF(DevBdgt!CH$6&lt;=DispositionMonth,CH207,0)</f>
        <v>0</v>
      </c>
      <c r="CI291" s="408">
        <f>IF(DevBdgt!CI$6&lt;=DispositionMonth,CI207,0)</f>
        <v>0</v>
      </c>
      <c r="CJ291" s="408">
        <f>IF(DevBdgt!CJ$6&lt;=DispositionMonth,CJ207,0)</f>
        <v>0</v>
      </c>
      <c r="CK291" s="408">
        <f>IF(DevBdgt!CK$6&lt;=DispositionMonth,CK207,0)</f>
        <v>0</v>
      </c>
      <c r="CL291" s="408">
        <f>IF(DevBdgt!CL$6&lt;=DispositionMonth,CL207,0)</f>
        <v>0</v>
      </c>
      <c r="CM291" s="408">
        <f>IF(DevBdgt!CM$6&lt;=DispositionMonth,CM207,0)</f>
        <v>0</v>
      </c>
      <c r="CN291" s="408">
        <f>IF(DevBdgt!CN$6&lt;=DispositionMonth,CN207,0)</f>
        <v>0</v>
      </c>
      <c r="CO291" s="408">
        <f>IF(DevBdgt!CO$6&lt;=DispositionMonth,CO207,0)</f>
        <v>0</v>
      </c>
      <c r="CP291" s="408">
        <f>IF(DevBdgt!CP$6&lt;=DispositionMonth,CP207,0)</f>
        <v>0</v>
      </c>
      <c r="CQ291" s="408">
        <f>IF(DevBdgt!CQ$6&lt;=DispositionMonth,CQ207,0)</f>
        <v>0</v>
      </c>
      <c r="CR291" s="408">
        <f>IF(DevBdgt!CR$6&lt;=DispositionMonth,CR207,0)</f>
        <v>0</v>
      </c>
      <c r="CS291" s="408">
        <f>IF(DevBdgt!CS$6&lt;=DispositionMonth,CS207,0)</f>
        <v>0</v>
      </c>
      <c r="CT291" s="408">
        <f>IF(DevBdgt!CT$6&lt;=DispositionMonth,CT207,0)</f>
        <v>0</v>
      </c>
      <c r="CU291" s="408">
        <f>IF(DevBdgt!CU$6&lt;=DispositionMonth,CU207,0)</f>
        <v>0</v>
      </c>
      <c r="CV291" s="408">
        <f>IF(DevBdgt!CV$6&lt;=DispositionMonth,CV207,0)</f>
        <v>0</v>
      </c>
      <c r="CW291" s="408">
        <f>IF(DevBdgt!CW$6&lt;=DispositionMonth,CW207,0)</f>
        <v>0</v>
      </c>
      <c r="CX291" s="408">
        <f>IF(DevBdgt!CX$6&lt;=DispositionMonth,CX207,0)</f>
        <v>0</v>
      </c>
      <c r="CY291" s="408">
        <f>IF(DevBdgt!CY$6&lt;=DispositionMonth,CY207,0)</f>
        <v>0</v>
      </c>
      <c r="CZ291" s="408">
        <f>IF(DevBdgt!CZ$6&lt;=DispositionMonth,CZ207,0)</f>
        <v>0</v>
      </c>
      <c r="DA291" s="408">
        <f>IF(DevBdgt!DA$6&lt;=DispositionMonth,DA207,0)</f>
        <v>0</v>
      </c>
      <c r="DB291" s="408">
        <f>IF(DevBdgt!DB$6&lt;=DispositionMonth,DB207,0)</f>
        <v>0</v>
      </c>
      <c r="DC291" s="408">
        <f>IF(DevBdgt!DC$6&lt;=DispositionMonth,DC207,0)</f>
        <v>0</v>
      </c>
      <c r="DD291" s="408">
        <f>IF(DevBdgt!DD$6&lt;=DispositionMonth,DD207,0)</f>
        <v>0</v>
      </c>
      <c r="DE291" s="408">
        <f>IF(DevBdgt!DE$6&lt;=DispositionMonth,DE207,0)</f>
        <v>0</v>
      </c>
      <c r="DF291" s="408">
        <f>IF(DevBdgt!DF$6&lt;=DispositionMonth,DF207,0)</f>
        <v>0</v>
      </c>
      <c r="DG291" s="408">
        <f>IF(DevBdgt!DG$6&lt;=DispositionMonth,DG207,0)</f>
        <v>0</v>
      </c>
      <c r="DH291" s="408">
        <f>IF(DevBdgt!DH$6&lt;=DispositionMonth,DH207,0)</f>
        <v>0</v>
      </c>
      <c r="DI291" s="408">
        <f>IF(DevBdgt!DI$6&lt;=DispositionMonth,DI207,0)</f>
        <v>0</v>
      </c>
      <c r="DJ291" s="408">
        <f>IF(DevBdgt!DJ$6&lt;=DispositionMonth,DJ207,0)</f>
        <v>0</v>
      </c>
      <c r="DK291" s="408">
        <f>IF(DevBdgt!DK$6&lt;=DispositionMonth,DK207,0)</f>
        <v>0</v>
      </c>
      <c r="DL291" s="408">
        <f>IF(DevBdgt!DL$6&lt;=DispositionMonth,DL207,0)</f>
        <v>0</v>
      </c>
      <c r="DM291" s="408">
        <f>IF(DevBdgt!DM$6&lt;=DispositionMonth,DM207,0)</f>
        <v>0</v>
      </c>
      <c r="DN291" s="408">
        <f>IF(DevBdgt!DN$6&lt;=DispositionMonth,DN207,0)</f>
        <v>0</v>
      </c>
      <c r="DO291" s="408">
        <f>IF(DevBdgt!DO$6&lt;=DispositionMonth,DO207,0)</f>
        <v>0</v>
      </c>
      <c r="DP291" s="408">
        <f>IF(DevBdgt!DP$6&lt;=DispositionMonth,DP207,0)</f>
        <v>0</v>
      </c>
      <c r="DQ291" s="408">
        <f>IF(DevBdgt!DQ$6&lt;=DispositionMonth,DQ207,0)</f>
        <v>0</v>
      </c>
      <c r="DR291" s="408">
        <f>IF(DevBdgt!DR$6&lt;=DispositionMonth,DR207,0)</f>
        <v>0</v>
      </c>
      <c r="DS291" s="408">
        <f>IF(DevBdgt!DS$6&lt;=DispositionMonth,DS207,0)</f>
        <v>0</v>
      </c>
      <c r="DT291" s="408">
        <f>IF(DevBdgt!DT$6&lt;=DispositionMonth,DT207,0)</f>
        <v>0</v>
      </c>
      <c r="DU291" s="408">
        <f>IF(DevBdgt!DU$6&lt;=DispositionMonth,DU207,0)</f>
        <v>0</v>
      </c>
      <c r="EI291" s="722"/>
    </row>
    <row r="292" spans="1:139" x14ac:dyDescent="0.3">
      <c r="A292" s="182" t="s">
        <v>2521</v>
      </c>
      <c r="B292" s="182"/>
      <c r="C292" s="182"/>
      <c r="D292" s="647"/>
      <c r="E292" s="407">
        <f ca="1">IF(DevBdgt!E$6&lt;=DispositionMonth,SUM(E208:E211),0)</f>
        <v>0</v>
      </c>
      <c r="F292" s="407">
        <f ca="1">IF(DevBdgt!F$6&lt;=DispositionMonth,SUM(F208:F211),0)</f>
        <v>0</v>
      </c>
      <c r="G292" s="407">
        <f ca="1">IF(DevBdgt!G$6&lt;=DispositionMonth,SUM(G208:G211),0)</f>
        <v>0</v>
      </c>
      <c r="H292" s="407">
        <f ca="1">IF(DevBdgt!H$6&lt;=DispositionMonth,SUM(H208:H211),0)</f>
        <v>0</v>
      </c>
      <c r="I292" s="407">
        <f ca="1">IF(DevBdgt!I$6&lt;=DispositionMonth,SUM(I208:I211),0)</f>
        <v>0</v>
      </c>
      <c r="J292" s="407">
        <f ca="1">IF(DevBdgt!J$6&lt;=DispositionMonth,SUM(J208:J211),0)</f>
        <v>0</v>
      </c>
      <c r="K292" s="407">
        <f ca="1">IF(DevBdgt!K$6&lt;=DispositionMonth,SUM(K208:K211),0)</f>
        <v>0</v>
      </c>
      <c r="L292" s="407">
        <f ca="1">IF(DevBdgt!L$6&lt;=DispositionMonth,SUM(L208:L211),0)</f>
        <v>0</v>
      </c>
      <c r="M292" s="407">
        <f ca="1">IF(DevBdgt!M$6&lt;=DispositionMonth,SUM(M208:M211),0)</f>
        <v>0</v>
      </c>
      <c r="N292" s="407">
        <f ca="1">IF(DevBdgt!N$6&lt;=DispositionMonth,SUM(N208:N211),0)</f>
        <v>0</v>
      </c>
      <c r="O292" s="407">
        <f ca="1">IF(DevBdgt!O$6&lt;=DispositionMonth,SUM(O208:O211),0)</f>
        <v>0</v>
      </c>
      <c r="P292" s="407">
        <f ca="1">IF(DevBdgt!P$6&lt;=DispositionMonth,SUM(P208:P211),0)</f>
        <v>0</v>
      </c>
      <c r="Q292" s="407">
        <f ca="1">IF(DevBdgt!Q$6&lt;=DispositionMonth,SUM(Q208:Q211),0)</f>
        <v>0</v>
      </c>
      <c r="R292" s="407">
        <f ca="1">IF(DevBdgt!R$6&lt;=DispositionMonth,SUM(R208:R211),0)</f>
        <v>0</v>
      </c>
      <c r="S292" s="407">
        <f ca="1">IF(DevBdgt!S$6&lt;=DispositionMonth,SUM(S208:S211),0)</f>
        <v>0</v>
      </c>
      <c r="T292" s="407">
        <f ca="1">IF(DevBdgt!T$6&lt;=DispositionMonth,SUM(T208:T211),0)</f>
        <v>0</v>
      </c>
      <c r="U292" s="407">
        <f ca="1">IF(DevBdgt!U$6&lt;=DispositionMonth,SUM(U208:U211),0)</f>
        <v>0</v>
      </c>
      <c r="V292" s="407">
        <f ca="1">IF(DevBdgt!V$6&lt;=DispositionMonth,SUM(V208:V211),0)</f>
        <v>0</v>
      </c>
      <c r="W292" s="407">
        <f ca="1">IF(DevBdgt!W$6&lt;=DispositionMonth,SUM(W208:W211),0)</f>
        <v>0</v>
      </c>
      <c r="X292" s="407">
        <f ca="1">IF(DevBdgt!X$6&lt;=DispositionMonth,SUM(X208:X211),0)</f>
        <v>0</v>
      </c>
      <c r="Y292" s="407">
        <f ca="1">IF(DevBdgt!Y$6&lt;=DispositionMonth,SUM(Y208:Y211),0)</f>
        <v>0</v>
      </c>
      <c r="Z292" s="407">
        <f ca="1">IF(DevBdgt!Z$6&lt;=DispositionMonth,SUM(Z208:Z211),0)</f>
        <v>0</v>
      </c>
      <c r="AA292" s="407">
        <f ca="1">IF(DevBdgt!AA$6&lt;=DispositionMonth,SUM(AA208:AA211),0)</f>
        <v>0</v>
      </c>
      <c r="AB292" s="407">
        <f ca="1">IF(DevBdgt!AB$6&lt;=DispositionMonth,SUM(AB208:AB211),0)</f>
        <v>0</v>
      </c>
      <c r="AC292" s="407">
        <f ca="1">IF(DevBdgt!AC$6&lt;=DispositionMonth,SUM(AC208:AC211),0)</f>
        <v>39701.726541082207</v>
      </c>
      <c r="AD292" s="407">
        <f ca="1">IF(DevBdgt!AD$6&lt;=DispositionMonth,SUM(AD208:AD211),0)</f>
        <v>75897.380147726886</v>
      </c>
      <c r="AE292" s="407">
        <f ca="1">IF(DevBdgt!AE$6&lt;=DispositionMonth,SUM(AE208:AE211),0)</f>
        <v>117111.83679771089</v>
      </c>
      <c r="AF292" s="407">
        <f ca="1">IF(DevBdgt!AF$6&lt;=DispositionMonth,SUM(AF208:AF211),0)</f>
        <v>197606.01356017322</v>
      </c>
      <c r="AG292" s="407">
        <f ca="1">IF(DevBdgt!AG$6&lt;=DispositionMonth,SUM(AG208:AG211),0)</f>
        <v>200887.72104683847</v>
      </c>
      <c r="AH292" s="407">
        <f>IF(DevBdgt!AH$6&lt;=DispositionMonth,SUM(AH208:AH211),0)</f>
        <v>0</v>
      </c>
      <c r="AI292" s="407">
        <f>IF(DevBdgt!AI$6&lt;=DispositionMonth,SUM(AI208:AI211),0)</f>
        <v>0</v>
      </c>
      <c r="AJ292" s="407">
        <f>IF(DevBdgt!AJ$6&lt;=DispositionMonth,SUM(AJ208:AJ211),0)</f>
        <v>0</v>
      </c>
      <c r="AK292" s="407">
        <f>IF(DevBdgt!AK$6&lt;=DispositionMonth,SUM(AK208:AK211),0)</f>
        <v>0</v>
      </c>
      <c r="AL292" s="407">
        <f>IF(DevBdgt!AL$6&lt;=DispositionMonth,SUM(AL208:AL211),0)</f>
        <v>0</v>
      </c>
      <c r="AM292" s="407">
        <f>IF(DevBdgt!AM$6&lt;=DispositionMonth,SUM(AM208:AM211),0)</f>
        <v>0</v>
      </c>
      <c r="AN292" s="407">
        <f>IF(DevBdgt!AN$6&lt;=DispositionMonth,SUM(AN208:AN211),0)</f>
        <v>0</v>
      </c>
      <c r="AO292" s="407">
        <f>IF(DevBdgt!AO$6&lt;=DispositionMonth,SUM(AO208:AO211),0)</f>
        <v>0</v>
      </c>
      <c r="AP292" s="407">
        <f>IF(DevBdgt!AP$6&lt;=DispositionMonth,SUM(AP208:AP211),0)</f>
        <v>0</v>
      </c>
      <c r="AQ292" s="407">
        <f>IF(DevBdgt!AQ$6&lt;=DispositionMonth,SUM(AQ208:AQ211),0)</f>
        <v>0</v>
      </c>
      <c r="AR292" s="407">
        <f>IF(DevBdgt!AR$6&lt;=DispositionMonth,SUM(AR208:AR211),0)</f>
        <v>0</v>
      </c>
      <c r="AS292" s="407">
        <f>IF(DevBdgt!AS$6&lt;=DispositionMonth,SUM(AS208:AS211),0)</f>
        <v>0</v>
      </c>
      <c r="AT292" s="407">
        <f>IF(DevBdgt!AT$6&lt;=DispositionMonth,SUM(AT208:AT211),0)</f>
        <v>0</v>
      </c>
      <c r="AU292" s="407">
        <f>IF(DevBdgt!AU$6&lt;=DispositionMonth,SUM(AU208:AU211),0)</f>
        <v>0</v>
      </c>
      <c r="AV292" s="407">
        <f>IF(DevBdgt!AV$6&lt;=DispositionMonth,SUM(AV208:AV211),0)</f>
        <v>0</v>
      </c>
      <c r="AW292" s="407">
        <f>IF(DevBdgt!AW$6&lt;=DispositionMonth,SUM(AW208:AW211),0)</f>
        <v>0</v>
      </c>
      <c r="AX292" s="407">
        <f>IF(DevBdgt!AX$6&lt;=DispositionMonth,SUM(AX208:AX211),0)</f>
        <v>0</v>
      </c>
      <c r="AY292" s="407">
        <f>IF(DevBdgt!AY$6&lt;=DispositionMonth,SUM(AY208:AY211),0)</f>
        <v>0</v>
      </c>
      <c r="AZ292" s="407">
        <f>IF(DevBdgt!AZ$6&lt;=DispositionMonth,SUM(AZ208:AZ211),0)</f>
        <v>0</v>
      </c>
      <c r="BA292" s="407">
        <f>IF(DevBdgt!BA$6&lt;=DispositionMonth,SUM(BA208:BA211),0)</f>
        <v>0</v>
      </c>
      <c r="BB292" s="407">
        <f>IF(DevBdgt!BB$6&lt;=DispositionMonth,SUM(BB208:BB211),0)</f>
        <v>0</v>
      </c>
      <c r="BC292" s="407">
        <f>IF(DevBdgt!BC$6&lt;=DispositionMonth,SUM(BC208:BC211),0)</f>
        <v>0</v>
      </c>
      <c r="BD292" s="407">
        <f>IF(DevBdgt!BD$6&lt;=DispositionMonth,SUM(BD208:BD211),0)</f>
        <v>0</v>
      </c>
      <c r="BE292" s="407">
        <f>IF(DevBdgt!BE$6&lt;=DispositionMonth,SUM(BE208:BE211),0)</f>
        <v>0</v>
      </c>
      <c r="BF292" s="407">
        <f>IF(DevBdgt!BF$6&lt;=DispositionMonth,SUM(BF208:BF211),0)</f>
        <v>0</v>
      </c>
      <c r="BG292" s="407">
        <f>IF(DevBdgt!BG$6&lt;=DispositionMonth,SUM(BG208:BG211),0)</f>
        <v>0</v>
      </c>
      <c r="BH292" s="407">
        <f>IF(DevBdgt!BH$6&lt;=DispositionMonth,SUM(BH208:BH211),0)</f>
        <v>0</v>
      </c>
      <c r="BI292" s="407">
        <f>IF(DevBdgt!BI$6&lt;=DispositionMonth,SUM(BI208:BI211),0)</f>
        <v>0</v>
      </c>
      <c r="BJ292" s="407">
        <f>IF(DevBdgt!BJ$6&lt;=DispositionMonth,SUM(BJ208:BJ211),0)</f>
        <v>0</v>
      </c>
      <c r="BK292" s="407">
        <f>IF(DevBdgt!BK$6&lt;=DispositionMonth,SUM(BK208:BK211),0)</f>
        <v>0</v>
      </c>
      <c r="BL292" s="407">
        <f>IF(DevBdgt!BL$6&lt;=DispositionMonth,SUM(BL208:BL211),0)</f>
        <v>0</v>
      </c>
      <c r="BM292" s="407">
        <f>IF(DevBdgt!BM$6&lt;=DispositionMonth,SUM(BM208:BM211),0)</f>
        <v>0</v>
      </c>
      <c r="BN292" s="407">
        <f>IF(DevBdgt!BN$6&lt;=DispositionMonth,SUM(BN208:BN211),0)</f>
        <v>0</v>
      </c>
      <c r="BO292" s="407">
        <f>IF(DevBdgt!BO$6&lt;=DispositionMonth,SUM(BO208:BO211),0)</f>
        <v>0</v>
      </c>
      <c r="BP292" s="407">
        <f>IF(DevBdgt!BP$6&lt;=DispositionMonth,SUM(BP208:BP211),0)</f>
        <v>0</v>
      </c>
      <c r="BQ292" s="407">
        <f>IF(DevBdgt!BQ$6&lt;=DispositionMonth,SUM(BQ208:BQ211),0)</f>
        <v>0</v>
      </c>
      <c r="BR292" s="407">
        <f>IF(DevBdgt!BR$6&lt;=DispositionMonth,SUM(BR208:BR211),0)</f>
        <v>0</v>
      </c>
      <c r="BS292" s="407">
        <f>IF(DevBdgt!BS$6&lt;=DispositionMonth,SUM(BS208:BS211),0)</f>
        <v>0</v>
      </c>
      <c r="BT292" s="407">
        <f>IF(DevBdgt!BT$6&lt;=DispositionMonth,SUM(BT208:BT211),0)</f>
        <v>0</v>
      </c>
      <c r="BU292" s="407">
        <f>IF(DevBdgt!BU$6&lt;=DispositionMonth,SUM(BU208:BU211),0)</f>
        <v>0</v>
      </c>
      <c r="BV292" s="407">
        <f>IF(DevBdgt!BV$6&lt;=DispositionMonth,SUM(BV208:BV211),0)</f>
        <v>0</v>
      </c>
      <c r="BW292" s="407">
        <f>IF(DevBdgt!BW$6&lt;=DispositionMonth,SUM(BW208:BW211),0)</f>
        <v>0</v>
      </c>
      <c r="BX292" s="407">
        <f>IF(DevBdgt!BX$6&lt;=DispositionMonth,SUM(BX208:BX211),0)</f>
        <v>0</v>
      </c>
      <c r="BY292" s="407">
        <f>IF(DevBdgt!BY$6&lt;=DispositionMonth,SUM(BY208:BY211),0)</f>
        <v>0</v>
      </c>
      <c r="BZ292" s="407">
        <f>IF(DevBdgt!BZ$6&lt;=DispositionMonth,SUM(BZ208:BZ211),0)</f>
        <v>0</v>
      </c>
      <c r="CA292" s="407">
        <f>IF(DevBdgt!CA$6&lt;=DispositionMonth,SUM(CA208:CA211),0)</f>
        <v>0</v>
      </c>
      <c r="CB292" s="407">
        <f>IF(DevBdgt!CB$6&lt;=DispositionMonth,SUM(CB208:CB211),0)</f>
        <v>0</v>
      </c>
      <c r="CC292" s="407">
        <f>IF(DevBdgt!CC$6&lt;=DispositionMonth,SUM(CC208:CC211),0)</f>
        <v>0</v>
      </c>
      <c r="CD292" s="407">
        <f>IF(DevBdgt!CD$6&lt;=DispositionMonth,SUM(CD208:CD211),0)</f>
        <v>0</v>
      </c>
      <c r="CE292" s="407">
        <f>IF(DevBdgt!CE$6&lt;=DispositionMonth,SUM(CE208:CE211),0)</f>
        <v>0</v>
      </c>
      <c r="CF292" s="407">
        <f>IF(DevBdgt!CF$6&lt;=DispositionMonth,SUM(CF208:CF211),0)</f>
        <v>0</v>
      </c>
      <c r="CG292" s="407">
        <f>IF(DevBdgt!CG$6&lt;=DispositionMonth,SUM(CG208:CG211),0)</f>
        <v>0</v>
      </c>
      <c r="CH292" s="407">
        <f>IF(DevBdgt!CH$6&lt;=DispositionMonth,SUM(CH208:CH211),0)</f>
        <v>0</v>
      </c>
      <c r="CI292" s="407">
        <f>IF(DevBdgt!CI$6&lt;=DispositionMonth,SUM(CI208:CI211),0)</f>
        <v>0</v>
      </c>
      <c r="CJ292" s="407">
        <f>IF(DevBdgt!CJ$6&lt;=DispositionMonth,SUM(CJ208:CJ211),0)</f>
        <v>0</v>
      </c>
      <c r="CK292" s="407">
        <f>IF(DevBdgt!CK$6&lt;=DispositionMonth,SUM(CK208:CK211),0)</f>
        <v>0</v>
      </c>
      <c r="CL292" s="407">
        <f>IF(DevBdgt!CL$6&lt;=DispositionMonth,SUM(CL208:CL211),0)</f>
        <v>0</v>
      </c>
      <c r="CM292" s="407">
        <f>IF(DevBdgt!CM$6&lt;=DispositionMonth,SUM(CM208:CM211),0)</f>
        <v>0</v>
      </c>
      <c r="CN292" s="407">
        <f>IF(DevBdgt!CN$6&lt;=DispositionMonth,SUM(CN208:CN211),0)</f>
        <v>0</v>
      </c>
      <c r="CO292" s="407">
        <f>IF(DevBdgt!CO$6&lt;=DispositionMonth,SUM(CO208:CO211),0)</f>
        <v>0</v>
      </c>
      <c r="CP292" s="407">
        <f>IF(DevBdgt!CP$6&lt;=DispositionMonth,SUM(CP208:CP211),0)</f>
        <v>0</v>
      </c>
      <c r="CQ292" s="407">
        <f>IF(DevBdgt!CQ$6&lt;=DispositionMonth,SUM(CQ208:CQ211),0)</f>
        <v>0</v>
      </c>
      <c r="CR292" s="407">
        <f>IF(DevBdgt!CR$6&lt;=DispositionMonth,SUM(CR208:CR211),0)</f>
        <v>0</v>
      </c>
      <c r="CS292" s="407">
        <f>IF(DevBdgt!CS$6&lt;=DispositionMonth,SUM(CS208:CS211),0)</f>
        <v>0</v>
      </c>
      <c r="CT292" s="407">
        <f>IF(DevBdgt!CT$6&lt;=DispositionMonth,SUM(CT208:CT211),0)</f>
        <v>0</v>
      </c>
      <c r="CU292" s="407">
        <f>IF(DevBdgt!CU$6&lt;=DispositionMonth,SUM(CU208:CU211),0)</f>
        <v>0</v>
      </c>
      <c r="CV292" s="407">
        <f>IF(DevBdgt!CV$6&lt;=DispositionMonth,SUM(CV208:CV211),0)</f>
        <v>0</v>
      </c>
      <c r="CW292" s="407">
        <f>IF(DevBdgt!CW$6&lt;=DispositionMonth,SUM(CW208:CW211),0)</f>
        <v>0</v>
      </c>
      <c r="CX292" s="407">
        <f>IF(DevBdgt!CX$6&lt;=DispositionMonth,SUM(CX208:CX211),0)</f>
        <v>0</v>
      </c>
      <c r="CY292" s="407">
        <f>IF(DevBdgt!CY$6&lt;=DispositionMonth,SUM(CY208:CY211),0)</f>
        <v>0</v>
      </c>
      <c r="CZ292" s="407">
        <f>IF(DevBdgt!CZ$6&lt;=DispositionMonth,SUM(CZ208:CZ211),0)</f>
        <v>0</v>
      </c>
      <c r="DA292" s="407">
        <f>IF(DevBdgt!DA$6&lt;=DispositionMonth,SUM(DA208:DA211),0)</f>
        <v>0</v>
      </c>
      <c r="DB292" s="407">
        <f>IF(DevBdgt!DB$6&lt;=DispositionMonth,SUM(DB208:DB211),0)</f>
        <v>0</v>
      </c>
      <c r="DC292" s="407">
        <f>IF(DevBdgt!DC$6&lt;=DispositionMonth,SUM(DC208:DC211),0)</f>
        <v>0</v>
      </c>
      <c r="DD292" s="407">
        <f>IF(DevBdgt!DD$6&lt;=DispositionMonth,SUM(DD208:DD211),0)</f>
        <v>0</v>
      </c>
      <c r="DE292" s="407">
        <f>IF(DevBdgt!DE$6&lt;=DispositionMonth,SUM(DE208:DE211),0)</f>
        <v>0</v>
      </c>
      <c r="DF292" s="407">
        <f>IF(DevBdgt!DF$6&lt;=DispositionMonth,SUM(DF208:DF211),0)</f>
        <v>0</v>
      </c>
      <c r="DG292" s="407">
        <f>IF(DevBdgt!DG$6&lt;=DispositionMonth,SUM(DG208:DG211),0)</f>
        <v>0</v>
      </c>
      <c r="DH292" s="407">
        <f>IF(DevBdgt!DH$6&lt;=DispositionMonth,SUM(DH208:DH211),0)</f>
        <v>0</v>
      </c>
      <c r="DI292" s="407">
        <f>IF(DevBdgt!DI$6&lt;=DispositionMonth,SUM(DI208:DI211),0)</f>
        <v>0</v>
      </c>
      <c r="DJ292" s="407">
        <f>IF(DevBdgt!DJ$6&lt;=DispositionMonth,SUM(DJ208:DJ211),0)</f>
        <v>0</v>
      </c>
      <c r="DK292" s="407">
        <f>IF(DevBdgt!DK$6&lt;=DispositionMonth,SUM(DK208:DK211),0)</f>
        <v>0</v>
      </c>
      <c r="DL292" s="407">
        <f>IF(DevBdgt!DL$6&lt;=DispositionMonth,SUM(DL208:DL211),0)</f>
        <v>0</v>
      </c>
      <c r="DM292" s="407">
        <f>IF(DevBdgt!DM$6&lt;=DispositionMonth,SUM(DM208:DM211),0)</f>
        <v>0</v>
      </c>
      <c r="DN292" s="407">
        <f>IF(DevBdgt!DN$6&lt;=DispositionMonth,SUM(DN208:DN211),0)</f>
        <v>0</v>
      </c>
      <c r="DO292" s="407">
        <f>IF(DevBdgt!DO$6&lt;=DispositionMonth,SUM(DO208:DO211),0)</f>
        <v>0</v>
      </c>
      <c r="DP292" s="407">
        <f>IF(DevBdgt!DP$6&lt;=DispositionMonth,SUM(DP208:DP211),0)</f>
        <v>0</v>
      </c>
      <c r="DQ292" s="407">
        <f>IF(DevBdgt!DQ$6&lt;=DispositionMonth,SUM(DQ208:DQ211),0)</f>
        <v>0</v>
      </c>
      <c r="DR292" s="407">
        <f>IF(DevBdgt!DR$6&lt;=DispositionMonth,SUM(DR208:DR211),0)</f>
        <v>0</v>
      </c>
      <c r="DS292" s="407">
        <f>IF(DevBdgt!DS$6&lt;=DispositionMonth,SUM(DS208:DS211),0)</f>
        <v>0</v>
      </c>
      <c r="DT292" s="407">
        <f>IF(DevBdgt!DT$6&lt;=DispositionMonth,SUM(DT208:DT211),0)</f>
        <v>0</v>
      </c>
      <c r="DU292" s="407">
        <f>IF(DevBdgt!DU$6&lt;=DispositionMonth,SUM(DU208:DU211),0)</f>
        <v>0</v>
      </c>
      <c r="EI292" s="280"/>
    </row>
    <row r="293" spans="1:139" x14ac:dyDescent="0.3">
      <c r="A293" s="182" t="s">
        <v>2522</v>
      </c>
      <c r="B293" s="182"/>
      <c r="C293" s="182"/>
      <c r="D293" s="647"/>
      <c r="E293" s="407">
        <f>IF(DevBdgt!E$6&lt;=DispositionMonth,E212,0)</f>
        <v>0</v>
      </c>
      <c r="F293" s="407">
        <f>IF(DevBdgt!F$6&lt;=DispositionMonth,F212,0)</f>
        <v>0</v>
      </c>
      <c r="G293" s="407">
        <f>IF(DevBdgt!G$6&lt;=DispositionMonth,G212,0)</f>
        <v>0</v>
      </c>
      <c r="H293" s="407">
        <f>IF(DevBdgt!H$6&lt;=DispositionMonth,H212,0)</f>
        <v>0</v>
      </c>
      <c r="I293" s="407">
        <f>IF(DevBdgt!I$6&lt;=DispositionMonth,I212,0)</f>
        <v>0</v>
      </c>
      <c r="J293" s="407">
        <f>IF(DevBdgt!J$6&lt;=DispositionMonth,J212,0)</f>
        <v>0</v>
      </c>
      <c r="K293" s="407">
        <f>IF(DevBdgt!K$6&lt;=DispositionMonth,K212,0)</f>
        <v>0</v>
      </c>
      <c r="L293" s="407">
        <f>IF(DevBdgt!L$6&lt;=DispositionMonth,L212,0)</f>
        <v>0</v>
      </c>
      <c r="M293" s="407">
        <f>IF(DevBdgt!M$6&lt;=DispositionMonth,M212,0)</f>
        <v>0</v>
      </c>
      <c r="N293" s="407">
        <f>IF(DevBdgt!N$6&lt;=DispositionMonth,N212,0)</f>
        <v>0</v>
      </c>
      <c r="O293" s="407">
        <f>IF(DevBdgt!O$6&lt;=DispositionMonth,O212,0)</f>
        <v>0</v>
      </c>
      <c r="P293" s="407">
        <f>IF(DevBdgt!P$6&lt;=DispositionMonth,P212,0)</f>
        <v>0</v>
      </c>
      <c r="Q293" s="407">
        <f>IF(DevBdgt!Q$6&lt;=DispositionMonth,Q212,0)</f>
        <v>0</v>
      </c>
      <c r="R293" s="407">
        <f>IF(DevBdgt!R$6&lt;=DispositionMonth,R212,0)</f>
        <v>0</v>
      </c>
      <c r="S293" s="407">
        <f>IF(DevBdgt!S$6&lt;=DispositionMonth,S212,0)</f>
        <v>0</v>
      </c>
      <c r="T293" s="407">
        <f>IF(DevBdgt!T$6&lt;=DispositionMonth,T212,0)</f>
        <v>0</v>
      </c>
      <c r="U293" s="407">
        <f>IF(DevBdgt!U$6&lt;=DispositionMonth,U212,0)</f>
        <v>0</v>
      </c>
      <c r="V293" s="407">
        <f>IF(DevBdgt!V$6&lt;=DispositionMonth,V212,0)</f>
        <v>0</v>
      </c>
      <c r="W293" s="407">
        <f>IF(DevBdgt!W$6&lt;=DispositionMonth,W212,0)</f>
        <v>0</v>
      </c>
      <c r="X293" s="407">
        <f>IF(DevBdgt!X$6&lt;=DispositionMonth,X212,0)</f>
        <v>0</v>
      </c>
      <c r="Y293" s="407">
        <f>IF(DevBdgt!Y$6&lt;=DispositionMonth,Y212,0)</f>
        <v>0</v>
      </c>
      <c r="Z293" s="407">
        <f>IF(DevBdgt!Z$6&lt;=DispositionMonth,Z212,0)</f>
        <v>0</v>
      </c>
      <c r="AA293" s="407">
        <f>IF(DevBdgt!AA$6&lt;=DispositionMonth,AA212,0)</f>
        <v>0</v>
      </c>
      <c r="AB293" s="407">
        <f>IF(DevBdgt!AB$6&lt;=DispositionMonth,AB212,0)</f>
        <v>0</v>
      </c>
      <c r="AC293" s="407">
        <f>IF(DevBdgt!AC$6&lt;=DispositionMonth,AC212,0)</f>
        <v>0</v>
      </c>
      <c r="AD293" s="407">
        <f>IF(DevBdgt!AD$6&lt;=DispositionMonth,AD212,0)</f>
        <v>0</v>
      </c>
      <c r="AE293" s="407">
        <f>IF(DevBdgt!AE$6&lt;=DispositionMonth,AE212,0)</f>
        <v>0</v>
      </c>
      <c r="AF293" s="407">
        <f>IF(DevBdgt!AF$6&lt;=DispositionMonth,AF212,0)</f>
        <v>0</v>
      </c>
      <c r="AG293" s="407">
        <f ca="1">IF(DevBdgt!AG$6&lt;=DispositionMonth,AG212,0)</f>
        <v>37886681.514896236</v>
      </c>
      <c r="AH293" s="407">
        <f>IF(DevBdgt!AH$6&lt;=DispositionMonth,AH212,0)</f>
        <v>0</v>
      </c>
      <c r="AI293" s="407">
        <f>IF(DevBdgt!AI$6&lt;=DispositionMonth,AI212,0)</f>
        <v>0</v>
      </c>
      <c r="AJ293" s="407">
        <f>IF(DevBdgt!AJ$6&lt;=DispositionMonth,AJ212,0)</f>
        <v>0</v>
      </c>
      <c r="AK293" s="407">
        <f>IF(DevBdgt!AK$6&lt;=DispositionMonth,AK212,0)</f>
        <v>0</v>
      </c>
      <c r="AL293" s="407">
        <f>IF(DevBdgt!AL$6&lt;=DispositionMonth,AL212,0)</f>
        <v>0</v>
      </c>
      <c r="AM293" s="407">
        <f>IF(DevBdgt!AM$6&lt;=DispositionMonth,AM212,0)</f>
        <v>0</v>
      </c>
      <c r="AN293" s="407">
        <f>IF(DevBdgt!AN$6&lt;=DispositionMonth,AN212,0)</f>
        <v>0</v>
      </c>
      <c r="AO293" s="407">
        <f>IF(DevBdgt!AO$6&lt;=DispositionMonth,AO212,0)</f>
        <v>0</v>
      </c>
      <c r="AP293" s="407">
        <f>IF(DevBdgt!AP$6&lt;=DispositionMonth,AP212,0)</f>
        <v>0</v>
      </c>
      <c r="AQ293" s="407">
        <f>IF(DevBdgt!AQ$6&lt;=DispositionMonth,AQ212,0)</f>
        <v>0</v>
      </c>
      <c r="AR293" s="407">
        <f>IF(DevBdgt!AR$6&lt;=DispositionMonth,AR212,0)</f>
        <v>0</v>
      </c>
      <c r="AS293" s="407">
        <f>IF(DevBdgt!AS$6&lt;=DispositionMonth,AS212,0)</f>
        <v>0</v>
      </c>
      <c r="AT293" s="407">
        <f>IF(DevBdgt!AT$6&lt;=DispositionMonth,AT212,0)</f>
        <v>0</v>
      </c>
      <c r="AU293" s="407">
        <f>IF(DevBdgt!AU$6&lt;=DispositionMonth,AU212,0)</f>
        <v>0</v>
      </c>
      <c r="AV293" s="407">
        <f>IF(DevBdgt!AV$6&lt;=DispositionMonth,AV212,0)</f>
        <v>0</v>
      </c>
      <c r="AW293" s="407">
        <f>IF(DevBdgt!AW$6&lt;=DispositionMonth,AW212,0)</f>
        <v>0</v>
      </c>
      <c r="AX293" s="407">
        <f>IF(DevBdgt!AX$6&lt;=DispositionMonth,AX212,0)</f>
        <v>0</v>
      </c>
      <c r="AY293" s="407">
        <f>IF(DevBdgt!AY$6&lt;=DispositionMonth,AY212,0)</f>
        <v>0</v>
      </c>
      <c r="AZ293" s="407">
        <f>IF(DevBdgt!AZ$6&lt;=DispositionMonth,AZ212,0)</f>
        <v>0</v>
      </c>
      <c r="BA293" s="407">
        <f>IF(DevBdgt!BA$6&lt;=DispositionMonth,BA212,0)</f>
        <v>0</v>
      </c>
      <c r="BB293" s="407">
        <f>IF(DevBdgt!BB$6&lt;=DispositionMonth,BB212,0)</f>
        <v>0</v>
      </c>
      <c r="BC293" s="407">
        <f>IF(DevBdgt!BC$6&lt;=DispositionMonth,BC212,0)</f>
        <v>0</v>
      </c>
      <c r="BD293" s="407">
        <f>IF(DevBdgt!BD$6&lt;=DispositionMonth,BD212,0)</f>
        <v>0</v>
      </c>
      <c r="BE293" s="407">
        <f>IF(DevBdgt!BE$6&lt;=DispositionMonth,BE212,0)</f>
        <v>0</v>
      </c>
      <c r="BF293" s="407">
        <f>IF(DevBdgt!BF$6&lt;=DispositionMonth,BF212,0)</f>
        <v>0</v>
      </c>
      <c r="BG293" s="407">
        <f>IF(DevBdgt!BG$6&lt;=DispositionMonth,BG212,0)</f>
        <v>0</v>
      </c>
      <c r="BH293" s="407">
        <f>IF(DevBdgt!BH$6&lt;=DispositionMonth,BH212,0)</f>
        <v>0</v>
      </c>
      <c r="BI293" s="407">
        <f>IF(DevBdgt!BI$6&lt;=DispositionMonth,BI212,0)</f>
        <v>0</v>
      </c>
      <c r="BJ293" s="407">
        <f>IF(DevBdgt!BJ$6&lt;=DispositionMonth,BJ212,0)</f>
        <v>0</v>
      </c>
      <c r="BK293" s="407">
        <f>IF(DevBdgt!BK$6&lt;=DispositionMonth,BK212,0)</f>
        <v>0</v>
      </c>
      <c r="BL293" s="407">
        <f>IF(DevBdgt!BL$6&lt;=DispositionMonth,BL212,0)</f>
        <v>0</v>
      </c>
      <c r="BM293" s="407">
        <f>IF(DevBdgt!BM$6&lt;=DispositionMonth,BM212,0)</f>
        <v>0</v>
      </c>
      <c r="BN293" s="407">
        <f>IF(DevBdgt!BN$6&lt;=DispositionMonth,BN212,0)</f>
        <v>0</v>
      </c>
      <c r="BO293" s="407">
        <f>IF(DevBdgt!BO$6&lt;=DispositionMonth,BO212,0)</f>
        <v>0</v>
      </c>
      <c r="BP293" s="407">
        <f>IF(DevBdgt!BP$6&lt;=DispositionMonth,BP212,0)</f>
        <v>0</v>
      </c>
      <c r="BQ293" s="407">
        <f>IF(DevBdgt!BQ$6&lt;=DispositionMonth,BQ212,0)</f>
        <v>0</v>
      </c>
      <c r="BR293" s="407">
        <f>IF(DevBdgt!BR$6&lt;=DispositionMonth,BR212,0)</f>
        <v>0</v>
      </c>
      <c r="BS293" s="407">
        <f>IF(DevBdgt!BS$6&lt;=DispositionMonth,BS212,0)</f>
        <v>0</v>
      </c>
      <c r="BT293" s="407">
        <f>IF(DevBdgt!BT$6&lt;=DispositionMonth,BT212,0)</f>
        <v>0</v>
      </c>
      <c r="BU293" s="407">
        <f>IF(DevBdgt!BU$6&lt;=DispositionMonth,BU212,0)</f>
        <v>0</v>
      </c>
      <c r="BV293" s="407">
        <f>IF(DevBdgt!BV$6&lt;=DispositionMonth,BV212,0)</f>
        <v>0</v>
      </c>
      <c r="BW293" s="407">
        <f>IF(DevBdgt!BW$6&lt;=DispositionMonth,BW212,0)</f>
        <v>0</v>
      </c>
      <c r="BX293" s="407">
        <f>IF(DevBdgt!BX$6&lt;=DispositionMonth,BX212,0)</f>
        <v>0</v>
      </c>
      <c r="BY293" s="407">
        <f>IF(DevBdgt!BY$6&lt;=DispositionMonth,BY212,0)</f>
        <v>0</v>
      </c>
      <c r="BZ293" s="407">
        <f>IF(DevBdgt!BZ$6&lt;=DispositionMonth,BZ212,0)</f>
        <v>0</v>
      </c>
      <c r="CA293" s="407">
        <f>IF(DevBdgt!CA$6&lt;=DispositionMonth,CA212,0)</f>
        <v>0</v>
      </c>
      <c r="CB293" s="407">
        <f>IF(DevBdgt!CB$6&lt;=DispositionMonth,CB212,0)</f>
        <v>0</v>
      </c>
      <c r="CC293" s="407">
        <f>IF(DevBdgt!CC$6&lt;=DispositionMonth,CC212,0)</f>
        <v>0</v>
      </c>
      <c r="CD293" s="407">
        <f>IF(DevBdgt!CD$6&lt;=DispositionMonth,CD212,0)</f>
        <v>0</v>
      </c>
      <c r="CE293" s="407">
        <f>IF(DevBdgt!CE$6&lt;=DispositionMonth,CE212,0)</f>
        <v>0</v>
      </c>
      <c r="CF293" s="407">
        <f>IF(DevBdgt!CF$6&lt;=DispositionMonth,CF212,0)</f>
        <v>0</v>
      </c>
      <c r="CG293" s="407">
        <f>IF(DevBdgt!CG$6&lt;=DispositionMonth,CG212,0)</f>
        <v>0</v>
      </c>
      <c r="CH293" s="407">
        <f>IF(DevBdgt!CH$6&lt;=DispositionMonth,CH212,0)</f>
        <v>0</v>
      </c>
      <c r="CI293" s="407">
        <f>IF(DevBdgt!CI$6&lt;=DispositionMonth,CI212,0)</f>
        <v>0</v>
      </c>
      <c r="CJ293" s="407">
        <f>IF(DevBdgt!CJ$6&lt;=DispositionMonth,CJ212,0)</f>
        <v>0</v>
      </c>
      <c r="CK293" s="407">
        <f>IF(DevBdgt!CK$6&lt;=DispositionMonth,CK212,0)</f>
        <v>0</v>
      </c>
      <c r="CL293" s="407">
        <f>IF(DevBdgt!CL$6&lt;=DispositionMonth,CL212,0)</f>
        <v>0</v>
      </c>
      <c r="CM293" s="407">
        <f>IF(DevBdgt!CM$6&lt;=DispositionMonth,CM212,0)</f>
        <v>0</v>
      </c>
      <c r="CN293" s="407">
        <f>IF(DevBdgt!CN$6&lt;=DispositionMonth,CN212,0)</f>
        <v>0</v>
      </c>
      <c r="CO293" s="407">
        <f>IF(DevBdgt!CO$6&lt;=DispositionMonth,CO212,0)</f>
        <v>0</v>
      </c>
      <c r="CP293" s="407">
        <f>IF(DevBdgt!CP$6&lt;=DispositionMonth,CP212,0)</f>
        <v>0</v>
      </c>
      <c r="CQ293" s="407">
        <f>IF(DevBdgt!CQ$6&lt;=DispositionMonth,CQ212,0)</f>
        <v>0</v>
      </c>
      <c r="CR293" s="407">
        <f>IF(DevBdgt!CR$6&lt;=DispositionMonth,CR212,0)</f>
        <v>0</v>
      </c>
      <c r="CS293" s="407">
        <f>IF(DevBdgt!CS$6&lt;=DispositionMonth,CS212,0)</f>
        <v>0</v>
      </c>
      <c r="CT293" s="407">
        <f>IF(DevBdgt!CT$6&lt;=DispositionMonth,CT212,0)</f>
        <v>0</v>
      </c>
      <c r="CU293" s="407">
        <f>IF(DevBdgt!CU$6&lt;=DispositionMonth,CU212,0)</f>
        <v>0</v>
      </c>
      <c r="CV293" s="407">
        <f>IF(DevBdgt!CV$6&lt;=DispositionMonth,CV212,0)</f>
        <v>0</v>
      </c>
      <c r="CW293" s="407">
        <f>IF(DevBdgt!CW$6&lt;=DispositionMonth,CW212,0)</f>
        <v>0</v>
      </c>
      <c r="CX293" s="407">
        <f>IF(DevBdgt!CX$6&lt;=DispositionMonth,CX212,0)</f>
        <v>0</v>
      </c>
      <c r="CY293" s="407">
        <f>IF(DevBdgt!CY$6&lt;=DispositionMonth,CY212,0)</f>
        <v>0</v>
      </c>
      <c r="CZ293" s="407">
        <f>IF(DevBdgt!CZ$6&lt;=DispositionMonth,CZ212,0)</f>
        <v>0</v>
      </c>
      <c r="DA293" s="407">
        <f>IF(DevBdgt!DA$6&lt;=DispositionMonth,DA212,0)</f>
        <v>0</v>
      </c>
      <c r="DB293" s="407">
        <f>IF(DevBdgt!DB$6&lt;=DispositionMonth,DB212,0)</f>
        <v>0</v>
      </c>
      <c r="DC293" s="407">
        <f>IF(DevBdgt!DC$6&lt;=DispositionMonth,DC212,0)</f>
        <v>0</v>
      </c>
      <c r="DD293" s="407">
        <f>IF(DevBdgt!DD$6&lt;=DispositionMonth,DD212,0)</f>
        <v>0</v>
      </c>
      <c r="DE293" s="407">
        <f>IF(DevBdgt!DE$6&lt;=DispositionMonth,DE212,0)</f>
        <v>0</v>
      </c>
      <c r="DF293" s="407">
        <f>IF(DevBdgt!DF$6&lt;=DispositionMonth,DF212,0)</f>
        <v>0</v>
      </c>
      <c r="DG293" s="407">
        <f>IF(DevBdgt!DG$6&lt;=DispositionMonth,DG212,0)</f>
        <v>0</v>
      </c>
      <c r="DH293" s="407">
        <f>IF(DevBdgt!DH$6&lt;=DispositionMonth,DH212,0)</f>
        <v>0</v>
      </c>
      <c r="DI293" s="407">
        <f>IF(DevBdgt!DI$6&lt;=DispositionMonth,DI212,0)</f>
        <v>0</v>
      </c>
      <c r="DJ293" s="407">
        <f>IF(DevBdgt!DJ$6&lt;=DispositionMonth,DJ212,0)</f>
        <v>0</v>
      </c>
      <c r="DK293" s="407">
        <f>IF(DevBdgt!DK$6&lt;=DispositionMonth,DK212,0)</f>
        <v>0</v>
      </c>
      <c r="DL293" s="407">
        <f>IF(DevBdgt!DL$6&lt;=DispositionMonth,DL212,0)</f>
        <v>0</v>
      </c>
      <c r="DM293" s="407">
        <f>IF(DevBdgt!DM$6&lt;=DispositionMonth,DM212,0)</f>
        <v>0</v>
      </c>
      <c r="DN293" s="407">
        <f>IF(DevBdgt!DN$6&lt;=DispositionMonth,DN212,0)</f>
        <v>0</v>
      </c>
      <c r="DO293" s="407">
        <f>IF(DevBdgt!DO$6&lt;=DispositionMonth,DO212,0)</f>
        <v>0</v>
      </c>
      <c r="DP293" s="407">
        <f>IF(DevBdgt!DP$6&lt;=DispositionMonth,DP212,0)</f>
        <v>0</v>
      </c>
      <c r="DQ293" s="407">
        <f>IF(DevBdgt!DQ$6&lt;=DispositionMonth,DQ212,0)</f>
        <v>0</v>
      </c>
      <c r="DR293" s="407">
        <f>IF(DevBdgt!DR$6&lt;=DispositionMonth,DR212,0)</f>
        <v>0</v>
      </c>
      <c r="DS293" s="407">
        <f>IF(DevBdgt!DS$6&lt;=DispositionMonth,DS212,0)</f>
        <v>0</v>
      </c>
      <c r="DT293" s="407">
        <f>IF(DevBdgt!DT$6&lt;=DispositionMonth,DT212,0)</f>
        <v>0</v>
      </c>
      <c r="DU293" s="407">
        <f>IF(DevBdgt!DU$6&lt;=DispositionMonth,DU212,0)</f>
        <v>0</v>
      </c>
      <c r="EI293" s="722"/>
    </row>
    <row r="294" spans="1:139" x14ac:dyDescent="0.3">
      <c r="A294" s="182" t="s">
        <v>2523</v>
      </c>
      <c r="B294" s="182"/>
      <c r="C294" s="182"/>
      <c r="D294" s="647"/>
      <c r="E294" s="407">
        <f>IF(DevBdgt!E$6&lt;=DispositionMonth,E286,0)</f>
        <v>0</v>
      </c>
      <c r="F294" s="407">
        <f>IF(DevBdgt!F$6&lt;=DispositionMonth,F286,0)</f>
        <v>0</v>
      </c>
      <c r="G294" s="407">
        <f>IF(DevBdgt!G$6&lt;=DispositionMonth,G286,0)</f>
        <v>0</v>
      </c>
      <c r="H294" s="407">
        <f>IF(DevBdgt!H$6&lt;=DispositionMonth,H286,0)</f>
        <v>0</v>
      </c>
      <c r="I294" s="407">
        <f>IF(DevBdgt!I$6&lt;=DispositionMonth,I286,0)</f>
        <v>0</v>
      </c>
      <c r="J294" s="407">
        <f>IF(DevBdgt!J$6&lt;=DispositionMonth,J286,0)</f>
        <v>0</v>
      </c>
      <c r="K294" s="407">
        <f>IF(DevBdgt!K$6&lt;=DispositionMonth,K286,0)</f>
        <v>0</v>
      </c>
      <c r="L294" s="407">
        <f>IF(DevBdgt!L$6&lt;=DispositionMonth,L286,0)</f>
        <v>0</v>
      </c>
      <c r="M294" s="407">
        <f>IF(DevBdgt!M$6&lt;=DispositionMonth,M286,0)</f>
        <v>0</v>
      </c>
      <c r="N294" s="407">
        <f>IF(DevBdgt!N$6&lt;=DispositionMonth,N286,0)</f>
        <v>0</v>
      </c>
      <c r="O294" s="407">
        <f>IF(DevBdgt!O$6&lt;=DispositionMonth,O286,0)</f>
        <v>0</v>
      </c>
      <c r="P294" s="407">
        <f>IF(DevBdgt!P$6&lt;=DispositionMonth,P286,0)</f>
        <v>0</v>
      </c>
      <c r="Q294" s="407">
        <f>IF(DevBdgt!Q$6&lt;=DispositionMonth,Q286,0)</f>
        <v>0</v>
      </c>
      <c r="R294" s="407">
        <f>IF(DevBdgt!R$6&lt;=DispositionMonth,R286,0)</f>
        <v>0</v>
      </c>
      <c r="S294" s="407">
        <f>IF(DevBdgt!S$6&lt;=DispositionMonth,S286,0)</f>
        <v>0</v>
      </c>
      <c r="T294" s="407">
        <f>IF(DevBdgt!T$6&lt;=DispositionMonth,T286,0)</f>
        <v>0</v>
      </c>
      <c r="U294" s="407">
        <f>IF(DevBdgt!U$6&lt;=DispositionMonth,U286,0)</f>
        <v>0</v>
      </c>
      <c r="V294" s="407">
        <f>IF(DevBdgt!V$6&lt;=DispositionMonth,V286,0)</f>
        <v>0</v>
      </c>
      <c r="W294" s="407">
        <f>IF(DevBdgt!W$6&lt;=DispositionMonth,W286,0)</f>
        <v>0</v>
      </c>
      <c r="X294" s="407">
        <f>IF(DevBdgt!X$6&lt;=DispositionMonth,X286,0)</f>
        <v>0</v>
      </c>
      <c r="Y294" s="407">
        <f>IF(DevBdgt!Y$6&lt;=DispositionMonth,Y286,0)</f>
        <v>0</v>
      </c>
      <c r="Z294" s="407">
        <f>IF(DevBdgt!Z$6&lt;=DispositionMonth,Z286,0)</f>
        <v>0</v>
      </c>
      <c r="AA294" s="407">
        <f>IF(DevBdgt!AA$6&lt;=DispositionMonth,AA286,0)</f>
        <v>0</v>
      </c>
      <c r="AB294" s="407">
        <f>IF(DevBdgt!AB$6&lt;=DispositionMonth,AB286,0)</f>
        <v>0</v>
      </c>
      <c r="AC294" s="407">
        <f>IF(DevBdgt!AC$6&lt;=DispositionMonth,AC286,0)</f>
        <v>0</v>
      </c>
      <c r="AD294" s="407">
        <f>IF(DevBdgt!AD$6&lt;=DispositionMonth,AD286,0)</f>
        <v>0</v>
      </c>
      <c r="AE294" s="407">
        <f>IF(DevBdgt!AE$6&lt;=DispositionMonth,AE286,0)</f>
        <v>0</v>
      </c>
      <c r="AF294" s="407">
        <f>IF(DevBdgt!AF$6&lt;=DispositionMonth,AF286,0)</f>
        <v>0</v>
      </c>
      <c r="AG294" s="407">
        <f ca="1">IF(DevBdgt!AG$6&lt;=DispositionMonth,AG286,0)</f>
        <v>8708966.546183683</v>
      </c>
      <c r="AH294" s="407">
        <f>IF(DevBdgt!AH$6&lt;=DispositionMonth,AH286,0)</f>
        <v>0</v>
      </c>
      <c r="AI294" s="407">
        <f>IF(DevBdgt!AI$6&lt;=DispositionMonth,AI286,0)</f>
        <v>0</v>
      </c>
      <c r="AJ294" s="407">
        <f>IF(DevBdgt!AJ$6&lt;=DispositionMonth,AJ286,0)</f>
        <v>0</v>
      </c>
      <c r="AK294" s="407">
        <f>IF(DevBdgt!AK$6&lt;=DispositionMonth,AK286,0)</f>
        <v>0</v>
      </c>
      <c r="AL294" s="407">
        <f>IF(DevBdgt!AL$6&lt;=DispositionMonth,AL286,0)</f>
        <v>0</v>
      </c>
      <c r="AM294" s="407">
        <f>IF(DevBdgt!AM$6&lt;=DispositionMonth,AM286,0)</f>
        <v>0</v>
      </c>
      <c r="AN294" s="407">
        <f>IF(DevBdgt!AN$6&lt;=DispositionMonth,AN286,0)</f>
        <v>0</v>
      </c>
      <c r="AO294" s="407">
        <f>IF(DevBdgt!AO$6&lt;=DispositionMonth,AO286,0)</f>
        <v>0</v>
      </c>
      <c r="AP294" s="407">
        <f>IF(DevBdgt!AP$6&lt;=DispositionMonth,AP286,0)</f>
        <v>0</v>
      </c>
      <c r="AQ294" s="407">
        <f>IF(DevBdgt!AQ$6&lt;=DispositionMonth,AQ286,0)</f>
        <v>0</v>
      </c>
      <c r="AR294" s="407">
        <f>IF(DevBdgt!AR$6&lt;=DispositionMonth,AR286,0)</f>
        <v>0</v>
      </c>
      <c r="AS294" s="407">
        <f>IF(DevBdgt!AS$6&lt;=DispositionMonth,AS286,0)</f>
        <v>0</v>
      </c>
      <c r="AT294" s="407">
        <f>IF(DevBdgt!AT$6&lt;=DispositionMonth,AT286,0)</f>
        <v>0</v>
      </c>
      <c r="AU294" s="407">
        <f>IF(DevBdgt!AU$6&lt;=DispositionMonth,AU286,0)</f>
        <v>0</v>
      </c>
      <c r="AV294" s="407">
        <f>IF(DevBdgt!AV$6&lt;=DispositionMonth,AV286,0)</f>
        <v>0</v>
      </c>
      <c r="AW294" s="407">
        <f>IF(DevBdgt!AW$6&lt;=DispositionMonth,AW286,0)</f>
        <v>0</v>
      </c>
      <c r="AX294" s="407">
        <f>IF(DevBdgt!AX$6&lt;=DispositionMonth,AX286,0)</f>
        <v>0</v>
      </c>
      <c r="AY294" s="407">
        <f>IF(DevBdgt!AY$6&lt;=DispositionMonth,AY286,0)</f>
        <v>0</v>
      </c>
      <c r="AZ294" s="407">
        <f>IF(DevBdgt!AZ$6&lt;=DispositionMonth,AZ286,0)</f>
        <v>0</v>
      </c>
      <c r="BA294" s="407">
        <f>IF(DevBdgt!BA$6&lt;=DispositionMonth,BA286,0)</f>
        <v>0</v>
      </c>
      <c r="BB294" s="407">
        <f>IF(DevBdgt!BB$6&lt;=DispositionMonth,BB286,0)</f>
        <v>0</v>
      </c>
      <c r="BC294" s="407">
        <f>IF(DevBdgt!BC$6&lt;=DispositionMonth,BC286,0)</f>
        <v>0</v>
      </c>
      <c r="BD294" s="407">
        <f>IF(DevBdgt!BD$6&lt;=DispositionMonth,BD286,0)</f>
        <v>0</v>
      </c>
      <c r="BE294" s="407">
        <f>IF(DevBdgt!BE$6&lt;=DispositionMonth,BE286,0)</f>
        <v>0</v>
      </c>
      <c r="BF294" s="407">
        <f>IF(DevBdgt!BF$6&lt;=DispositionMonth,BF286,0)</f>
        <v>0</v>
      </c>
      <c r="BG294" s="407">
        <f>IF(DevBdgt!BG$6&lt;=DispositionMonth,BG286,0)</f>
        <v>0</v>
      </c>
      <c r="BH294" s="407">
        <f>IF(DevBdgt!BH$6&lt;=DispositionMonth,BH286,0)</f>
        <v>0</v>
      </c>
      <c r="BI294" s="407">
        <f>IF(DevBdgt!BI$6&lt;=DispositionMonth,BI286,0)</f>
        <v>0</v>
      </c>
      <c r="BJ294" s="407">
        <f>IF(DevBdgt!BJ$6&lt;=DispositionMonth,BJ286,0)</f>
        <v>0</v>
      </c>
      <c r="BK294" s="407">
        <f>IF(DevBdgt!BK$6&lt;=DispositionMonth,BK286,0)</f>
        <v>0</v>
      </c>
      <c r="BL294" s="407">
        <f>IF(DevBdgt!BL$6&lt;=DispositionMonth,BL286,0)</f>
        <v>0</v>
      </c>
      <c r="BM294" s="407">
        <f>IF(DevBdgt!BM$6&lt;=DispositionMonth,BM286,0)</f>
        <v>0</v>
      </c>
      <c r="BN294" s="407">
        <f>IF(DevBdgt!BN$6&lt;=DispositionMonth,BN286,0)</f>
        <v>0</v>
      </c>
      <c r="BO294" s="407">
        <f>IF(DevBdgt!BO$6&lt;=DispositionMonth,BO286,0)</f>
        <v>0</v>
      </c>
      <c r="BP294" s="407">
        <f>IF(DevBdgt!BP$6&lt;=DispositionMonth,BP286,0)</f>
        <v>0</v>
      </c>
      <c r="BQ294" s="407">
        <f>IF(DevBdgt!BQ$6&lt;=DispositionMonth,BQ286,0)</f>
        <v>0</v>
      </c>
      <c r="BR294" s="407">
        <f>IF(DevBdgt!BR$6&lt;=DispositionMonth,BR286,0)</f>
        <v>0</v>
      </c>
      <c r="BS294" s="407">
        <f>IF(DevBdgt!BS$6&lt;=DispositionMonth,BS286,0)</f>
        <v>0</v>
      </c>
      <c r="BT294" s="407">
        <f>IF(DevBdgt!BT$6&lt;=DispositionMonth,BT286,0)</f>
        <v>0</v>
      </c>
      <c r="BU294" s="407">
        <f>IF(DevBdgt!BU$6&lt;=DispositionMonth,BU286,0)</f>
        <v>0</v>
      </c>
      <c r="BV294" s="407">
        <f>IF(DevBdgt!BV$6&lt;=DispositionMonth,BV286,0)</f>
        <v>0</v>
      </c>
      <c r="BW294" s="407">
        <f>IF(DevBdgt!BW$6&lt;=DispositionMonth,BW286,0)</f>
        <v>0</v>
      </c>
      <c r="BX294" s="407">
        <f>IF(DevBdgt!BX$6&lt;=DispositionMonth,BX286,0)</f>
        <v>0</v>
      </c>
      <c r="BY294" s="407">
        <f>IF(DevBdgt!BY$6&lt;=DispositionMonth,BY286,0)</f>
        <v>0</v>
      </c>
      <c r="BZ294" s="407">
        <f>IF(DevBdgt!BZ$6&lt;=DispositionMonth,BZ286,0)</f>
        <v>0</v>
      </c>
      <c r="CA294" s="407">
        <f>IF(DevBdgt!CA$6&lt;=DispositionMonth,CA286,0)</f>
        <v>0</v>
      </c>
      <c r="CB294" s="407">
        <f>IF(DevBdgt!CB$6&lt;=DispositionMonth,CB286,0)</f>
        <v>0</v>
      </c>
      <c r="CC294" s="407">
        <f>IF(DevBdgt!CC$6&lt;=DispositionMonth,CC286,0)</f>
        <v>0</v>
      </c>
      <c r="CD294" s="407">
        <f>IF(DevBdgt!CD$6&lt;=DispositionMonth,CD286,0)</f>
        <v>0</v>
      </c>
      <c r="CE294" s="407">
        <f>IF(DevBdgt!CE$6&lt;=DispositionMonth,CE286,0)</f>
        <v>0</v>
      </c>
      <c r="CF294" s="407">
        <f>IF(DevBdgt!CF$6&lt;=DispositionMonth,CF286,0)</f>
        <v>0</v>
      </c>
      <c r="CG294" s="407">
        <f>IF(DevBdgt!CG$6&lt;=DispositionMonth,CG286,0)</f>
        <v>0</v>
      </c>
      <c r="CH294" s="407">
        <f>IF(DevBdgt!CH$6&lt;=DispositionMonth,CH286,0)</f>
        <v>0</v>
      </c>
      <c r="CI294" s="407">
        <f>IF(DevBdgt!CI$6&lt;=DispositionMonth,CI286,0)</f>
        <v>0</v>
      </c>
      <c r="CJ294" s="407">
        <f>IF(DevBdgt!CJ$6&lt;=DispositionMonth,CJ286,0)</f>
        <v>0</v>
      </c>
      <c r="CK294" s="407">
        <f>IF(DevBdgt!CK$6&lt;=DispositionMonth,CK286,0)</f>
        <v>0</v>
      </c>
      <c r="CL294" s="407">
        <f>IF(DevBdgt!CL$6&lt;=DispositionMonth,CL286,0)</f>
        <v>0</v>
      </c>
      <c r="CM294" s="407">
        <f>IF(DevBdgt!CM$6&lt;=DispositionMonth,CM286,0)</f>
        <v>0</v>
      </c>
      <c r="CN294" s="407">
        <f>IF(DevBdgt!CN$6&lt;=DispositionMonth,CN286,0)</f>
        <v>0</v>
      </c>
      <c r="CO294" s="407">
        <f>IF(DevBdgt!CO$6&lt;=DispositionMonth,CO286,0)</f>
        <v>0</v>
      </c>
      <c r="CP294" s="407">
        <f>IF(DevBdgt!CP$6&lt;=DispositionMonth,CP286,0)</f>
        <v>0</v>
      </c>
      <c r="CQ294" s="407">
        <f>IF(DevBdgt!CQ$6&lt;=DispositionMonth,CQ286,0)</f>
        <v>0</v>
      </c>
      <c r="CR294" s="407">
        <f>IF(DevBdgt!CR$6&lt;=DispositionMonth,CR286,0)</f>
        <v>0</v>
      </c>
      <c r="CS294" s="407">
        <f>IF(DevBdgt!CS$6&lt;=DispositionMonth,CS286,0)</f>
        <v>0</v>
      </c>
      <c r="CT294" s="407">
        <f>IF(DevBdgt!CT$6&lt;=DispositionMonth,CT286,0)</f>
        <v>0</v>
      </c>
      <c r="CU294" s="407">
        <f>IF(DevBdgt!CU$6&lt;=DispositionMonth,CU286,0)</f>
        <v>0</v>
      </c>
      <c r="CV294" s="407">
        <f>IF(DevBdgt!CV$6&lt;=DispositionMonth,CV286,0)</f>
        <v>0</v>
      </c>
      <c r="CW294" s="407">
        <f>IF(DevBdgt!CW$6&lt;=DispositionMonth,CW286,0)</f>
        <v>0</v>
      </c>
      <c r="CX294" s="407">
        <f>IF(DevBdgt!CX$6&lt;=DispositionMonth,CX286,0)</f>
        <v>0</v>
      </c>
      <c r="CY294" s="407">
        <f>IF(DevBdgt!CY$6&lt;=DispositionMonth,CY286,0)</f>
        <v>0</v>
      </c>
      <c r="CZ294" s="407">
        <f>IF(DevBdgt!CZ$6&lt;=DispositionMonth,CZ286,0)</f>
        <v>0</v>
      </c>
      <c r="DA294" s="407">
        <f>IF(DevBdgt!DA$6&lt;=DispositionMonth,DA286,0)</f>
        <v>0</v>
      </c>
      <c r="DB294" s="407">
        <f>IF(DevBdgt!DB$6&lt;=DispositionMonth,DB286,0)</f>
        <v>0</v>
      </c>
      <c r="DC294" s="407">
        <f>IF(DevBdgt!DC$6&lt;=DispositionMonth,DC286,0)</f>
        <v>0</v>
      </c>
      <c r="DD294" s="407">
        <f>IF(DevBdgt!DD$6&lt;=DispositionMonth,DD286,0)</f>
        <v>0</v>
      </c>
      <c r="DE294" s="407">
        <f>IF(DevBdgt!DE$6&lt;=DispositionMonth,DE286,0)</f>
        <v>0</v>
      </c>
      <c r="DF294" s="407">
        <f>IF(DevBdgt!DF$6&lt;=DispositionMonth,DF286,0)</f>
        <v>0</v>
      </c>
      <c r="DG294" s="407">
        <f>IF(DevBdgt!DG$6&lt;=DispositionMonth,DG286,0)</f>
        <v>0</v>
      </c>
      <c r="DH294" s="407">
        <f>IF(DevBdgt!DH$6&lt;=DispositionMonth,DH286,0)</f>
        <v>0</v>
      </c>
      <c r="DI294" s="407">
        <f>IF(DevBdgt!DI$6&lt;=DispositionMonth,DI286,0)</f>
        <v>0</v>
      </c>
      <c r="DJ294" s="407">
        <f>IF(DevBdgt!DJ$6&lt;=DispositionMonth,DJ286,0)</f>
        <v>0</v>
      </c>
      <c r="DK294" s="407">
        <f>IF(DevBdgt!DK$6&lt;=DispositionMonth,DK286,0)</f>
        <v>0</v>
      </c>
      <c r="DL294" s="407">
        <f>IF(DevBdgt!DL$6&lt;=DispositionMonth,DL286,0)</f>
        <v>0</v>
      </c>
      <c r="DM294" s="407">
        <f>IF(DevBdgt!DM$6&lt;=DispositionMonth,DM286,0)</f>
        <v>0</v>
      </c>
      <c r="DN294" s="407">
        <f>IF(DevBdgt!DN$6&lt;=DispositionMonth,DN286,0)</f>
        <v>0</v>
      </c>
      <c r="DO294" s="407">
        <f>IF(DevBdgt!DO$6&lt;=DispositionMonth,DO286,0)</f>
        <v>0</v>
      </c>
      <c r="DP294" s="407">
        <f>IF(DevBdgt!DP$6&lt;=DispositionMonth,DP286,0)</f>
        <v>0</v>
      </c>
      <c r="DQ294" s="407">
        <f>IF(DevBdgt!DQ$6&lt;=DispositionMonth,DQ286,0)</f>
        <v>0</v>
      </c>
      <c r="DR294" s="407">
        <f>IF(DevBdgt!DR$6&lt;=DispositionMonth,DR286,0)</f>
        <v>0</v>
      </c>
      <c r="DS294" s="407">
        <f>IF(DevBdgt!DS$6&lt;=DispositionMonth,DS286,0)</f>
        <v>0</v>
      </c>
      <c r="DT294" s="407">
        <f>IF(DevBdgt!DT$6&lt;=DispositionMonth,DT286,0)</f>
        <v>0</v>
      </c>
      <c r="DU294" s="407">
        <f>IF(DevBdgt!DU$6&lt;=DispositionMonth,DU286,0)</f>
        <v>0</v>
      </c>
      <c r="EI294" s="280"/>
    </row>
    <row r="295" spans="1:139" ht="15" thickBot="1" x14ac:dyDescent="0.35">
      <c r="A295" s="436" t="s">
        <v>2524</v>
      </c>
      <c r="B295" s="436"/>
      <c r="C295" s="439">
        <f ca="1">(1+IRR(E295:DU295,0.01))^12-1</f>
        <v>0.22292304302199129</v>
      </c>
      <c r="D295" s="745"/>
      <c r="E295" s="433">
        <f t="shared" ref="E295:AZ295" ca="1" si="496">SUM(E291:E294)</f>
        <v>-1684806.2553703375</v>
      </c>
      <c r="F295" s="433">
        <f t="shared" ca="1" si="496"/>
        <v>-13679721.285321232</v>
      </c>
      <c r="G295" s="433">
        <f t="shared" ca="1" si="496"/>
        <v>-429758.58896990592</v>
      </c>
      <c r="H295" s="433">
        <f t="shared" ca="1" si="496"/>
        <v>-652516.24275347544</v>
      </c>
      <c r="I295" s="433">
        <f t="shared" ca="1" si="496"/>
        <v>-1108216.2834030252</v>
      </c>
      <c r="J295" s="433">
        <f t="shared" ca="1" si="496"/>
        <v>-1808500.5776190415</v>
      </c>
      <c r="K295" s="433">
        <f t="shared" ca="1" si="496"/>
        <v>-1861449.5545326734</v>
      </c>
      <c r="L295" s="433">
        <f t="shared" ca="1" si="496"/>
        <v>-2372000.4851556052</v>
      </c>
      <c r="M295" s="433">
        <f t="shared" ca="1" si="496"/>
        <v>-2813680.2377213496</v>
      </c>
      <c r="N295" s="433">
        <f t="shared" ca="1" si="496"/>
        <v>-3293680.161515363</v>
      </c>
      <c r="O295" s="433">
        <f t="shared" ca="1" si="496"/>
        <v>-1869318.1862202697</v>
      </c>
      <c r="P295" s="433">
        <f t="shared" ca="1" si="496"/>
        <v>0</v>
      </c>
      <c r="Q295" s="433">
        <f t="shared" ca="1" si="496"/>
        <v>0</v>
      </c>
      <c r="R295" s="433">
        <f t="shared" ca="1" si="496"/>
        <v>0</v>
      </c>
      <c r="S295" s="433">
        <f t="shared" ca="1" si="496"/>
        <v>0</v>
      </c>
      <c r="T295" s="433">
        <f t="shared" ca="1" si="496"/>
        <v>0</v>
      </c>
      <c r="U295" s="433">
        <f t="shared" ca="1" si="496"/>
        <v>0</v>
      </c>
      <c r="V295" s="433">
        <f t="shared" ca="1" si="496"/>
        <v>0</v>
      </c>
      <c r="W295" s="433">
        <f t="shared" ca="1" si="496"/>
        <v>0</v>
      </c>
      <c r="X295" s="433">
        <f t="shared" ca="1" si="496"/>
        <v>0</v>
      </c>
      <c r="Y295" s="433">
        <f t="shared" ca="1" si="496"/>
        <v>0</v>
      </c>
      <c r="Z295" s="433">
        <f t="shared" ca="1" si="496"/>
        <v>0</v>
      </c>
      <c r="AA295" s="433">
        <f t="shared" ca="1" si="496"/>
        <v>0</v>
      </c>
      <c r="AB295" s="433">
        <f t="shared" ca="1" si="496"/>
        <v>0</v>
      </c>
      <c r="AC295" s="433">
        <f t="shared" ca="1" si="496"/>
        <v>39701.726541082207</v>
      </c>
      <c r="AD295" s="433">
        <f t="shared" ca="1" si="496"/>
        <v>75897.380147726886</v>
      </c>
      <c r="AE295" s="433">
        <f t="shared" ca="1" si="496"/>
        <v>117111.83679771089</v>
      </c>
      <c r="AF295" s="433">
        <f t="shared" ca="1" si="496"/>
        <v>197606.01356017322</v>
      </c>
      <c r="AG295" s="433">
        <f t="shared" ca="1" si="496"/>
        <v>46796535.782126755</v>
      </c>
      <c r="AH295" s="433">
        <f t="shared" si="496"/>
        <v>0</v>
      </c>
      <c r="AI295" s="433">
        <f t="shared" si="496"/>
        <v>0</v>
      </c>
      <c r="AJ295" s="433">
        <f t="shared" si="496"/>
        <v>0</v>
      </c>
      <c r="AK295" s="433">
        <f t="shared" si="496"/>
        <v>0</v>
      </c>
      <c r="AL295" s="433">
        <f t="shared" si="496"/>
        <v>0</v>
      </c>
      <c r="AM295" s="433">
        <f t="shared" si="496"/>
        <v>0</v>
      </c>
      <c r="AN295" s="433">
        <f t="shared" si="496"/>
        <v>0</v>
      </c>
      <c r="AO295" s="433">
        <f t="shared" si="496"/>
        <v>0</v>
      </c>
      <c r="AP295" s="433">
        <f t="shared" si="496"/>
        <v>0</v>
      </c>
      <c r="AQ295" s="433">
        <f t="shared" si="496"/>
        <v>0</v>
      </c>
      <c r="AR295" s="433">
        <f t="shared" si="496"/>
        <v>0</v>
      </c>
      <c r="AS295" s="433">
        <f t="shared" si="496"/>
        <v>0</v>
      </c>
      <c r="AT295" s="433">
        <f t="shared" si="496"/>
        <v>0</v>
      </c>
      <c r="AU295" s="433">
        <f t="shared" si="496"/>
        <v>0</v>
      </c>
      <c r="AV295" s="433">
        <f t="shared" si="496"/>
        <v>0</v>
      </c>
      <c r="AW295" s="433">
        <f t="shared" si="496"/>
        <v>0</v>
      </c>
      <c r="AX295" s="433">
        <f t="shared" si="496"/>
        <v>0</v>
      </c>
      <c r="AY295" s="433">
        <f t="shared" si="496"/>
        <v>0</v>
      </c>
      <c r="AZ295" s="433">
        <f t="shared" si="496"/>
        <v>0</v>
      </c>
      <c r="BA295" s="433">
        <f>SUM(BA291:BA294)</f>
        <v>0</v>
      </c>
      <c r="BB295" s="433">
        <f t="shared" ref="BB295:DM295" si="497">SUM(BB291:BB294)</f>
        <v>0</v>
      </c>
      <c r="BC295" s="433">
        <f t="shared" si="497"/>
        <v>0</v>
      </c>
      <c r="BD295" s="433">
        <f t="shared" si="497"/>
        <v>0</v>
      </c>
      <c r="BE295" s="433">
        <f t="shared" si="497"/>
        <v>0</v>
      </c>
      <c r="BF295" s="433">
        <f t="shared" si="497"/>
        <v>0</v>
      </c>
      <c r="BG295" s="433">
        <f t="shared" si="497"/>
        <v>0</v>
      </c>
      <c r="BH295" s="433">
        <f t="shared" si="497"/>
        <v>0</v>
      </c>
      <c r="BI295" s="433">
        <f t="shared" si="497"/>
        <v>0</v>
      </c>
      <c r="BJ295" s="433">
        <f t="shared" si="497"/>
        <v>0</v>
      </c>
      <c r="BK295" s="433">
        <f t="shared" si="497"/>
        <v>0</v>
      </c>
      <c r="BL295" s="433">
        <f t="shared" si="497"/>
        <v>0</v>
      </c>
      <c r="BM295" s="433">
        <f t="shared" si="497"/>
        <v>0</v>
      </c>
      <c r="BN295" s="433">
        <f t="shared" si="497"/>
        <v>0</v>
      </c>
      <c r="BO295" s="433">
        <f t="shared" si="497"/>
        <v>0</v>
      </c>
      <c r="BP295" s="433">
        <f t="shared" si="497"/>
        <v>0</v>
      </c>
      <c r="BQ295" s="433">
        <f t="shared" si="497"/>
        <v>0</v>
      </c>
      <c r="BR295" s="433">
        <f t="shared" si="497"/>
        <v>0</v>
      </c>
      <c r="BS295" s="433">
        <f t="shared" si="497"/>
        <v>0</v>
      </c>
      <c r="BT295" s="433">
        <f t="shared" si="497"/>
        <v>0</v>
      </c>
      <c r="BU295" s="433">
        <f t="shared" si="497"/>
        <v>0</v>
      </c>
      <c r="BV295" s="433">
        <f t="shared" si="497"/>
        <v>0</v>
      </c>
      <c r="BW295" s="433">
        <f t="shared" si="497"/>
        <v>0</v>
      </c>
      <c r="BX295" s="433">
        <f t="shared" si="497"/>
        <v>0</v>
      </c>
      <c r="BY295" s="433">
        <f t="shared" si="497"/>
        <v>0</v>
      </c>
      <c r="BZ295" s="433">
        <f t="shared" si="497"/>
        <v>0</v>
      </c>
      <c r="CA295" s="433">
        <f t="shared" si="497"/>
        <v>0</v>
      </c>
      <c r="CB295" s="433">
        <f t="shared" si="497"/>
        <v>0</v>
      </c>
      <c r="CC295" s="433">
        <f t="shared" si="497"/>
        <v>0</v>
      </c>
      <c r="CD295" s="433">
        <f t="shared" si="497"/>
        <v>0</v>
      </c>
      <c r="CE295" s="433">
        <f t="shared" si="497"/>
        <v>0</v>
      </c>
      <c r="CF295" s="433">
        <f t="shared" si="497"/>
        <v>0</v>
      </c>
      <c r="CG295" s="433">
        <f t="shared" si="497"/>
        <v>0</v>
      </c>
      <c r="CH295" s="433">
        <f t="shared" si="497"/>
        <v>0</v>
      </c>
      <c r="CI295" s="433">
        <f t="shared" si="497"/>
        <v>0</v>
      </c>
      <c r="CJ295" s="433">
        <f t="shared" si="497"/>
        <v>0</v>
      </c>
      <c r="CK295" s="433">
        <f t="shared" si="497"/>
        <v>0</v>
      </c>
      <c r="CL295" s="433">
        <f t="shared" si="497"/>
        <v>0</v>
      </c>
      <c r="CM295" s="433">
        <f t="shared" si="497"/>
        <v>0</v>
      </c>
      <c r="CN295" s="433">
        <f t="shared" si="497"/>
        <v>0</v>
      </c>
      <c r="CO295" s="433">
        <f t="shared" si="497"/>
        <v>0</v>
      </c>
      <c r="CP295" s="433">
        <f t="shared" si="497"/>
        <v>0</v>
      </c>
      <c r="CQ295" s="433">
        <f t="shared" si="497"/>
        <v>0</v>
      </c>
      <c r="CR295" s="433">
        <f t="shared" si="497"/>
        <v>0</v>
      </c>
      <c r="CS295" s="433">
        <f t="shared" si="497"/>
        <v>0</v>
      </c>
      <c r="CT295" s="433">
        <f t="shared" si="497"/>
        <v>0</v>
      </c>
      <c r="CU295" s="433">
        <f t="shared" si="497"/>
        <v>0</v>
      </c>
      <c r="CV295" s="433">
        <f t="shared" si="497"/>
        <v>0</v>
      </c>
      <c r="CW295" s="433">
        <f t="shared" si="497"/>
        <v>0</v>
      </c>
      <c r="CX295" s="433">
        <f t="shared" si="497"/>
        <v>0</v>
      </c>
      <c r="CY295" s="433">
        <f t="shared" si="497"/>
        <v>0</v>
      </c>
      <c r="CZ295" s="433">
        <f t="shared" si="497"/>
        <v>0</v>
      </c>
      <c r="DA295" s="433">
        <f t="shared" si="497"/>
        <v>0</v>
      </c>
      <c r="DB295" s="433">
        <f t="shared" si="497"/>
        <v>0</v>
      </c>
      <c r="DC295" s="433">
        <f t="shared" si="497"/>
        <v>0</v>
      </c>
      <c r="DD295" s="433">
        <f t="shared" si="497"/>
        <v>0</v>
      </c>
      <c r="DE295" s="433">
        <f t="shared" si="497"/>
        <v>0</v>
      </c>
      <c r="DF295" s="433">
        <f t="shared" si="497"/>
        <v>0</v>
      </c>
      <c r="DG295" s="433">
        <f t="shared" si="497"/>
        <v>0</v>
      </c>
      <c r="DH295" s="433">
        <f t="shared" si="497"/>
        <v>0</v>
      </c>
      <c r="DI295" s="433">
        <f t="shared" si="497"/>
        <v>0</v>
      </c>
      <c r="DJ295" s="433">
        <f t="shared" si="497"/>
        <v>0</v>
      </c>
      <c r="DK295" s="433">
        <f t="shared" si="497"/>
        <v>0</v>
      </c>
      <c r="DL295" s="433">
        <f t="shared" si="497"/>
        <v>0</v>
      </c>
      <c r="DM295" s="433">
        <f t="shared" si="497"/>
        <v>0</v>
      </c>
      <c r="DN295" s="433">
        <f t="shared" ref="DN295:DU295" si="498">SUM(DN291:DN294)</f>
        <v>0</v>
      </c>
      <c r="DO295" s="433">
        <f t="shared" si="498"/>
        <v>0</v>
      </c>
      <c r="DP295" s="433">
        <f t="shared" si="498"/>
        <v>0</v>
      </c>
      <c r="DQ295" s="433">
        <f t="shared" si="498"/>
        <v>0</v>
      </c>
      <c r="DR295" s="433">
        <f t="shared" si="498"/>
        <v>0</v>
      </c>
      <c r="DS295" s="433">
        <f t="shared" si="498"/>
        <v>0</v>
      </c>
      <c r="DT295" s="433">
        <f t="shared" si="498"/>
        <v>0</v>
      </c>
      <c r="DU295" s="433">
        <f t="shared" si="498"/>
        <v>0</v>
      </c>
      <c r="EI295" s="722"/>
    </row>
    <row r="296" spans="1:139" ht="7.5" customHeight="1" thickTop="1" thickBot="1" x14ac:dyDescent="0.35">
      <c r="D296" s="282"/>
      <c r="EI296" s="280"/>
    </row>
    <row r="297" spans="1:139" ht="15.75" customHeight="1" thickTop="1" x14ac:dyDescent="0.3">
      <c r="A297" s="2782" t="str">
        <f>"INTERNAL RATE OF RETURN - "&amp;'General Inputs'!$K$29</f>
        <v>INTERNAL RATE OF RETURN - Quarterra</v>
      </c>
      <c r="B297" s="2783"/>
      <c r="C297" s="2784"/>
      <c r="D297" s="728"/>
      <c r="E297" s="322"/>
      <c r="F297" s="322"/>
      <c r="G297" s="322"/>
      <c r="H297" s="322"/>
      <c r="I297" s="322"/>
      <c r="J297" s="322"/>
      <c r="K297" s="322"/>
      <c r="L297" s="322"/>
      <c r="M297" s="322"/>
      <c r="N297" s="322"/>
      <c r="O297" s="322"/>
      <c r="P297" s="322"/>
      <c r="Q297" s="322"/>
      <c r="R297" s="322"/>
      <c r="S297" s="322"/>
      <c r="T297" s="322"/>
      <c r="U297" s="322"/>
      <c r="V297" s="322"/>
      <c r="W297" s="322"/>
      <c r="X297" s="322"/>
      <c r="Y297" s="322"/>
      <c r="Z297" s="322"/>
      <c r="AA297" s="322"/>
      <c r="AB297" s="322"/>
      <c r="AC297" s="322"/>
      <c r="AD297" s="322"/>
      <c r="AE297" s="322"/>
      <c r="AF297" s="322"/>
      <c r="AG297" s="322"/>
      <c r="AH297" s="322"/>
      <c r="AI297" s="322"/>
      <c r="AJ297" s="322"/>
      <c r="AK297" s="322"/>
      <c r="AL297" s="322"/>
      <c r="AM297" s="322"/>
      <c r="AN297" s="322"/>
      <c r="AO297" s="322"/>
      <c r="AP297" s="322"/>
      <c r="AQ297" s="322"/>
      <c r="AR297" s="322"/>
      <c r="AS297" s="322"/>
      <c r="AT297" s="322"/>
      <c r="AU297" s="322"/>
      <c r="AV297" s="322"/>
      <c r="AW297" s="322"/>
      <c r="AX297" s="322"/>
      <c r="AY297" s="322"/>
      <c r="AZ297" s="322"/>
      <c r="BA297" s="322"/>
      <c r="BB297" s="322"/>
      <c r="BC297" s="322"/>
      <c r="BD297" s="322"/>
      <c r="BE297" s="322"/>
      <c r="BF297" s="322"/>
      <c r="BG297" s="322"/>
      <c r="BH297" s="322"/>
      <c r="BI297" s="322"/>
      <c r="BJ297" s="322"/>
      <c r="BK297" s="322"/>
      <c r="BL297" s="322"/>
      <c r="BM297" s="322"/>
      <c r="BN297" s="322"/>
      <c r="BO297" s="322"/>
      <c r="BP297" s="322"/>
      <c r="BQ297" s="322"/>
      <c r="BR297" s="322"/>
      <c r="BS297" s="322"/>
      <c r="BT297" s="322"/>
      <c r="BU297" s="322"/>
      <c r="BV297" s="322"/>
      <c r="BW297" s="322"/>
      <c r="BX297" s="322"/>
      <c r="BY297" s="322"/>
      <c r="BZ297" s="322"/>
      <c r="CA297" s="322"/>
      <c r="CB297" s="322"/>
      <c r="CC297" s="322"/>
      <c r="CD297" s="322"/>
      <c r="CE297" s="322"/>
      <c r="CF297" s="322"/>
      <c r="CG297" s="322"/>
      <c r="CH297" s="322"/>
      <c r="CI297" s="322"/>
      <c r="CJ297" s="322"/>
      <c r="CK297" s="322"/>
      <c r="CL297" s="322"/>
      <c r="CM297" s="322"/>
      <c r="CN297" s="322"/>
      <c r="CO297" s="322"/>
      <c r="CP297" s="322"/>
      <c r="CQ297" s="322"/>
      <c r="CR297" s="322"/>
      <c r="CS297" s="322"/>
      <c r="CT297" s="322"/>
      <c r="CU297" s="322"/>
      <c r="CV297" s="322"/>
      <c r="CW297" s="322"/>
      <c r="CX297" s="322"/>
      <c r="CY297" s="322"/>
      <c r="CZ297" s="322"/>
      <c r="DA297" s="322"/>
      <c r="DB297" s="322"/>
      <c r="DC297" s="322"/>
      <c r="DD297" s="322"/>
      <c r="DE297" s="322"/>
      <c r="DF297" s="322"/>
      <c r="DG297" s="322"/>
      <c r="DH297" s="322"/>
      <c r="DI297" s="322"/>
      <c r="DJ297" s="322"/>
      <c r="DK297" s="322"/>
      <c r="DL297" s="322"/>
      <c r="DM297" s="322"/>
      <c r="DN297" s="322"/>
      <c r="DO297" s="322"/>
      <c r="DP297" s="322"/>
      <c r="DQ297" s="322"/>
      <c r="DR297" s="322"/>
      <c r="DS297" s="322"/>
      <c r="DT297" s="322"/>
      <c r="DU297" s="322"/>
      <c r="EH297" s="644"/>
      <c r="EI297" s="722"/>
    </row>
    <row r="298" spans="1:139" x14ac:dyDescent="0.3">
      <c r="A298" s="182" t="s">
        <v>2474</v>
      </c>
      <c r="B298" s="182"/>
      <c r="C298" s="182"/>
      <c r="D298" s="647"/>
      <c r="E298" s="408">
        <f ca="1">IF(DevBdgt!E$6&lt;=DispositionMonth,E215,0)</f>
        <v>-187200.69504114857</v>
      </c>
      <c r="F298" s="408">
        <f ca="1">IF(DevBdgt!F$6&lt;=DispositionMonth,F215,0)</f>
        <v>-1519969.0317023587</v>
      </c>
      <c r="G298" s="408">
        <f ca="1">IF(DevBdgt!G$6&lt;=DispositionMonth,G215,0)</f>
        <v>-47750.954329989538</v>
      </c>
      <c r="H298" s="408">
        <f ca="1">IF(DevBdgt!H$6&lt;=DispositionMonth,H215,0)</f>
        <v>-72501.804750386145</v>
      </c>
      <c r="I298" s="408">
        <f ca="1">IF(DevBdgt!I$6&lt;=DispositionMonth,I215,0)</f>
        <v>-123135.14260033611</v>
      </c>
      <c r="J298" s="408">
        <f ca="1">IF(DevBdgt!J$6&lt;=DispositionMonth,J215,0)</f>
        <v>-200944.5086243379</v>
      </c>
      <c r="K298" s="408">
        <f ca="1">IF(DevBdgt!K$6&lt;=DispositionMonth,K215,0)</f>
        <v>-206827.72828140811</v>
      </c>
      <c r="L298" s="408">
        <f ca="1">IF(DevBdgt!L$6&lt;=DispositionMonth,L215,0)</f>
        <v>-263555.60946173384</v>
      </c>
      <c r="M298" s="408">
        <f ca="1">IF(DevBdgt!M$6&lt;=DispositionMonth,M215,0)</f>
        <v>-312631.13752459432</v>
      </c>
      <c r="N298" s="408">
        <f ca="1">IF(DevBdgt!N$6&lt;=DispositionMonth,N215,0)</f>
        <v>-365964.46239059581</v>
      </c>
      <c r="O298" s="408">
        <f ca="1">IF(DevBdgt!O$6&lt;=DispositionMonth,O215,0)</f>
        <v>-207702.02069114055</v>
      </c>
      <c r="P298" s="408">
        <f ca="1">IF(DevBdgt!P$6&lt;=DispositionMonth,P215,0)</f>
        <v>0</v>
      </c>
      <c r="Q298" s="408">
        <f ca="1">IF(DevBdgt!Q$6&lt;=DispositionMonth,Q215,0)</f>
        <v>0</v>
      </c>
      <c r="R298" s="408">
        <f ca="1">IF(DevBdgt!R$6&lt;=DispositionMonth,R215,0)</f>
        <v>0</v>
      </c>
      <c r="S298" s="408">
        <f ca="1">IF(DevBdgt!S$6&lt;=DispositionMonth,S215,0)</f>
        <v>0</v>
      </c>
      <c r="T298" s="408">
        <f ca="1">IF(DevBdgt!T$6&lt;=DispositionMonth,T215,0)</f>
        <v>0</v>
      </c>
      <c r="U298" s="408">
        <f ca="1">IF(DevBdgt!U$6&lt;=DispositionMonth,U215,0)</f>
        <v>0</v>
      </c>
      <c r="V298" s="408">
        <f ca="1">IF(DevBdgt!V$6&lt;=DispositionMonth,V215,0)</f>
        <v>0</v>
      </c>
      <c r="W298" s="408">
        <f ca="1">IF(DevBdgt!W$6&lt;=DispositionMonth,W215,0)</f>
        <v>0</v>
      </c>
      <c r="X298" s="408">
        <f ca="1">IF(DevBdgt!X$6&lt;=DispositionMonth,X215,0)</f>
        <v>0</v>
      </c>
      <c r="Y298" s="408">
        <f ca="1">IF(DevBdgt!Y$6&lt;=DispositionMonth,Y215,0)</f>
        <v>0</v>
      </c>
      <c r="Z298" s="408">
        <f ca="1">IF(DevBdgt!Z$6&lt;=DispositionMonth,Z215,0)</f>
        <v>0</v>
      </c>
      <c r="AA298" s="408">
        <f ca="1">IF(DevBdgt!AA$6&lt;=DispositionMonth,AA215,0)</f>
        <v>0</v>
      </c>
      <c r="AB298" s="408">
        <f ca="1">IF(DevBdgt!AB$6&lt;=DispositionMonth,AB215,0)</f>
        <v>0</v>
      </c>
      <c r="AC298" s="408">
        <f ca="1">IF(DevBdgt!AC$6&lt;=DispositionMonth,AC215,0)</f>
        <v>0</v>
      </c>
      <c r="AD298" s="408">
        <f ca="1">IF(DevBdgt!AD$6&lt;=DispositionMonth,AD215,0)</f>
        <v>0</v>
      </c>
      <c r="AE298" s="408">
        <f ca="1">IF(DevBdgt!AE$6&lt;=DispositionMonth,AE215,0)</f>
        <v>0</v>
      </c>
      <c r="AF298" s="408">
        <f ca="1">IF(DevBdgt!AF$6&lt;=DispositionMonth,AF215,0)</f>
        <v>0</v>
      </c>
      <c r="AG298" s="408">
        <f ca="1">IF(DevBdgt!AG$6&lt;=DispositionMonth,AG215,0)</f>
        <v>0</v>
      </c>
      <c r="AH298" s="408">
        <f>IF(DevBdgt!AH$6&lt;=DispositionMonth,AH215,0)</f>
        <v>0</v>
      </c>
      <c r="AI298" s="408">
        <f>IF(DevBdgt!AI$6&lt;=DispositionMonth,AI215,0)</f>
        <v>0</v>
      </c>
      <c r="AJ298" s="408">
        <f>IF(DevBdgt!AJ$6&lt;=DispositionMonth,AJ215,0)</f>
        <v>0</v>
      </c>
      <c r="AK298" s="408">
        <f>IF(DevBdgt!AK$6&lt;=DispositionMonth,AK215,0)</f>
        <v>0</v>
      </c>
      <c r="AL298" s="408">
        <f>IF(DevBdgt!AL$6&lt;=DispositionMonth,AL215,0)</f>
        <v>0</v>
      </c>
      <c r="AM298" s="408">
        <f>IF(DevBdgt!AM$6&lt;=DispositionMonth,AM215,0)</f>
        <v>0</v>
      </c>
      <c r="AN298" s="408">
        <f>IF(DevBdgt!AN$6&lt;=DispositionMonth,AN215,0)</f>
        <v>0</v>
      </c>
      <c r="AO298" s="408">
        <f>IF(DevBdgt!AO$6&lt;=DispositionMonth,AO215,0)</f>
        <v>0</v>
      </c>
      <c r="AP298" s="408">
        <f>IF(DevBdgt!AP$6&lt;=DispositionMonth,AP215,0)</f>
        <v>0</v>
      </c>
      <c r="AQ298" s="408">
        <f>IF(DevBdgt!AQ$6&lt;=DispositionMonth,AQ215,0)</f>
        <v>0</v>
      </c>
      <c r="AR298" s="408">
        <f>IF(DevBdgt!AR$6&lt;=DispositionMonth,AR215,0)</f>
        <v>0</v>
      </c>
      <c r="AS298" s="408">
        <f>IF(DevBdgt!AS$6&lt;=DispositionMonth,AS215,0)</f>
        <v>0</v>
      </c>
      <c r="AT298" s="408">
        <f>IF(DevBdgt!AT$6&lt;=DispositionMonth,AT215,0)</f>
        <v>0</v>
      </c>
      <c r="AU298" s="408">
        <f>IF(DevBdgt!AU$6&lt;=DispositionMonth,AU215,0)</f>
        <v>0</v>
      </c>
      <c r="AV298" s="408">
        <f>IF(DevBdgt!AV$6&lt;=DispositionMonth,AV215,0)</f>
        <v>0</v>
      </c>
      <c r="AW298" s="408">
        <f>IF(DevBdgt!AW$6&lt;=DispositionMonth,AW215,0)</f>
        <v>0</v>
      </c>
      <c r="AX298" s="408">
        <f>IF(DevBdgt!AX$6&lt;=DispositionMonth,AX215,0)</f>
        <v>0</v>
      </c>
      <c r="AY298" s="408">
        <f>IF(DevBdgt!AY$6&lt;=DispositionMonth,AY215,0)</f>
        <v>0</v>
      </c>
      <c r="AZ298" s="408">
        <f>IF(DevBdgt!AZ$6&lt;=DispositionMonth,AZ215,0)</f>
        <v>0</v>
      </c>
      <c r="BA298" s="408">
        <f>IF(DevBdgt!BA$6&lt;=DispositionMonth,BA215,0)</f>
        <v>0</v>
      </c>
      <c r="BB298" s="408">
        <f>IF(DevBdgt!BB$6&lt;=DispositionMonth,BB215,0)</f>
        <v>0</v>
      </c>
      <c r="BC298" s="408">
        <f>IF(DevBdgt!BC$6&lt;=DispositionMonth,BC215,0)</f>
        <v>0</v>
      </c>
      <c r="BD298" s="408">
        <f>IF(DevBdgt!BD$6&lt;=DispositionMonth,BD215,0)</f>
        <v>0</v>
      </c>
      <c r="BE298" s="408">
        <f>IF(DevBdgt!BE$6&lt;=DispositionMonth,BE215,0)</f>
        <v>0</v>
      </c>
      <c r="BF298" s="408">
        <f>IF(DevBdgt!BF$6&lt;=DispositionMonth,BF215,0)</f>
        <v>0</v>
      </c>
      <c r="BG298" s="408">
        <f>IF(DevBdgt!BG$6&lt;=DispositionMonth,BG215,0)</f>
        <v>0</v>
      </c>
      <c r="BH298" s="408">
        <f>IF(DevBdgt!BH$6&lt;=DispositionMonth,BH215,0)</f>
        <v>0</v>
      </c>
      <c r="BI298" s="408">
        <f>IF(DevBdgt!BI$6&lt;=DispositionMonth,BI215,0)</f>
        <v>0</v>
      </c>
      <c r="BJ298" s="408">
        <f>IF(DevBdgt!BJ$6&lt;=DispositionMonth,BJ215,0)</f>
        <v>0</v>
      </c>
      <c r="BK298" s="408">
        <f>IF(DevBdgt!BK$6&lt;=DispositionMonth,BK215,0)</f>
        <v>0</v>
      </c>
      <c r="BL298" s="408">
        <f>IF(DevBdgt!BL$6&lt;=DispositionMonth,BL215,0)</f>
        <v>0</v>
      </c>
      <c r="BM298" s="408">
        <f>IF(DevBdgt!BM$6&lt;=DispositionMonth,BM215,0)</f>
        <v>0</v>
      </c>
      <c r="BN298" s="408">
        <f>IF(DevBdgt!BN$6&lt;=DispositionMonth,BN215,0)</f>
        <v>0</v>
      </c>
      <c r="BO298" s="408">
        <f>IF(DevBdgt!BO$6&lt;=DispositionMonth,BO215,0)</f>
        <v>0</v>
      </c>
      <c r="BP298" s="408">
        <f>IF(DevBdgt!BP$6&lt;=DispositionMonth,BP215,0)</f>
        <v>0</v>
      </c>
      <c r="BQ298" s="408">
        <f>IF(DevBdgt!BQ$6&lt;=DispositionMonth,BQ215,0)</f>
        <v>0</v>
      </c>
      <c r="BR298" s="408">
        <f>IF(DevBdgt!BR$6&lt;=DispositionMonth,BR215,0)</f>
        <v>0</v>
      </c>
      <c r="BS298" s="408">
        <f>IF(DevBdgt!BS$6&lt;=DispositionMonth,BS215,0)</f>
        <v>0</v>
      </c>
      <c r="BT298" s="408">
        <f>IF(DevBdgt!BT$6&lt;=DispositionMonth,BT215,0)</f>
        <v>0</v>
      </c>
      <c r="BU298" s="408">
        <f>IF(DevBdgt!BU$6&lt;=DispositionMonth,BU215,0)</f>
        <v>0</v>
      </c>
      <c r="BV298" s="408">
        <f>IF(DevBdgt!BV$6&lt;=DispositionMonth,BV215,0)</f>
        <v>0</v>
      </c>
      <c r="BW298" s="408">
        <f>IF(DevBdgt!BW$6&lt;=DispositionMonth,BW215,0)</f>
        <v>0</v>
      </c>
      <c r="BX298" s="408">
        <f>IF(DevBdgt!BX$6&lt;=DispositionMonth,BX215,0)</f>
        <v>0</v>
      </c>
      <c r="BY298" s="408">
        <f>IF(DevBdgt!BY$6&lt;=DispositionMonth,BY215,0)</f>
        <v>0</v>
      </c>
      <c r="BZ298" s="408">
        <f>IF(DevBdgt!BZ$6&lt;=DispositionMonth,BZ215,0)</f>
        <v>0</v>
      </c>
      <c r="CA298" s="408">
        <f>IF(DevBdgt!CA$6&lt;=DispositionMonth,CA215,0)</f>
        <v>0</v>
      </c>
      <c r="CB298" s="408">
        <f>IF(DevBdgt!CB$6&lt;=DispositionMonth,CB215,0)</f>
        <v>0</v>
      </c>
      <c r="CC298" s="408">
        <f>IF(DevBdgt!CC$6&lt;=DispositionMonth,CC215,0)</f>
        <v>0</v>
      </c>
      <c r="CD298" s="408">
        <f>IF(DevBdgt!CD$6&lt;=DispositionMonth,CD215,0)</f>
        <v>0</v>
      </c>
      <c r="CE298" s="408">
        <f>IF(DevBdgt!CE$6&lt;=DispositionMonth,CE215,0)</f>
        <v>0</v>
      </c>
      <c r="CF298" s="408">
        <f>IF(DevBdgt!CF$6&lt;=DispositionMonth,CF215,0)</f>
        <v>0</v>
      </c>
      <c r="CG298" s="408">
        <f>IF(DevBdgt!CG$6&lt;=DispositionMonth,CG215,0)</f>
        <v>0</v>
      </c>
      <c r="CH298" s="408">
        <f>IF(DevBdgt!CH$6&lt;=DispositionMonth,CH215,0)</f>
        <v>0</v>
      </c>
      <c r="CI298" s="408">
        <f>IF(DevBdgt!CI$6&lt;=DispositionMonth,CI215,0)</f>
        <v>0</v>
      </c>
      <c r="CJ298" s="408">
        <f>IF(DevBdgt!CJ$6&lt;=DispositionMonth,CJ215,0)</f>
        <v>0</v>
      </c>
      <c r="CK298" s="408">
        <f>IF(DevBdgt!CK$6&lt;=DispositionMonth,CK215,0)</f>
        <v>0</v>
      </c>
      <c r="CL298" s="408">
        <f>IF(DevBdgt!CL$6&lt;=DispositionMonth,CL215,0)</f>
        <v>0</v>
      </c>
      <c r="CM298" s="408">
        <f>IF(DevBdgt!CM$6&lt;=DispositionMonth,CM215,0)</f>
        <v>0</v>
      </c>
      <c r="CN298" s="408">
        <f>IF(DevBdgt!CN$6&lt;=DispositionMonth,CN215,0)</f>
        <v>0</v>
      </c>
      <c r="CO298" s="408">
        <f>IF(DevBdgt!CO$6&lt;=DispositionMonth,CO215,0)</f>
        <v>0</v>
      </c>
      <c r="CP298" s="408">
        <f>IF(DevBdgt!CP$6&lt;=DispositionMonth,CP215,0)</f>
        <v>0</v>
      </c>
      <c r="CQ298" s="408">
        <f>IF(DevBdgt!CQ$6&lt;=DispositionMonth,CQ215,0)</f>
        <v>0</v>
      </c>
      <c r="CR298" s="408">
        <f>IF(DevBdgt!CR$6&lt;=DispositionMonth,CR215,0)</f>
        <v>0</v>
      </c>
      <c r="CS298" s="408">
        <f>IF(DevBdgt!CS$6&lt;=DispositionMonth,CS215,0)</f>
        <v>0</v>
      </c>
      <c r="CT298" s="408">
        <f>IF(DevBdgt!CT$6&lt;=DispositionMonth,CT215,0)</f>
        <v>0</v>
      </c>
      <c r="CU298" s="408">
        <f>IF(DevBdgt!CU$6&lt;=DispositionMonth,CU215,0)</f>
        <v>0</v>
      </c>
      <c r="CV298" s="408">
        <f>IF(DevBdgt!CV$6&lt;=DispositionMonth,CV215,0)</f>
        <v>0</v>
      </c>
      <c r="CW298" s="408">
        <f>IF(DevBdgt!CW$6&lt;=DispositionMonth,CW215,0)</f>
        <v>0</v>
      </c>
      <c r="CX298" s="408">
        <f>IF(DevBdgt!CX$6&lt;=DispositionMonth,CX215,0)</f>
        <v>0</v>
      </c>
      <c r="CY298" s="408">
        <f>IF(DevBdgt!CY$6&lt;=DispositionMonth,CY215,0)</f>
        <v>0</v>
      </c>
      <c r="CZ298" s="408">
        <f>IF(DevBdgt!CZ$6&lt;=DispositionMonth,CZ215,0)</f>
        <v>0</v>
      </c>
      <c r="DA298" s="408">
        <f>IF(DevBdgt!DA$6&lt;=DispositionMonth,DA215,0)</f>
        <v>0</v>
      </c>
      <c r="DB298" s="408">
        <f>IF(DevBdgt!DB$6&lt;=DispositionMonth,DB215,0)</f>
        <v>0</v>
      </c>
      <c r="DC298" s="408">
        <f>IF(DevBdgt!DC$6&lt;=DispositionMonth,DC215,0)</f>
        <v>0</v>
      </c>
      <c r="DD298" s="408">
        <f>IF(DevBdgt!DD$6&lt;=DispositionMonth,DD215,0)</f>
        <v>0</v>
      </c>
      <c r="DE298" s="408">
        <f>IF(DevBdgt!DE$6&lt;=DispositionMonth,DE215,0)</f>
        <v>0</v>
      </c>
      <c r="DF298" s="408">
        <f>IF(DevBdgt!DF$6&lt;=DispositionMonth,DF215,0)</f>
        <v>0</v>
      </c>
      <c r="DG298" s="408">
        <f>IF(DevBdgt!DG$6&lt;=DispositionMonth,DG215,0)</f>
        <v>0</v>
      </c>
      <c r="DH298" s="408">
        <f>IF(DevBdgt!DH$6&lt;=DispositionMonth,DH215,0)</f>
        <v>0</v>
      </c>
      <c r="DI298" s="408">
        <f>IF(DevBdgt!DI$6&lt;=DispositionMonth,DI215,0)</f>
        <v>0</v>
      </c>
      <c r="DJ298" s="408">
        <f>IF(DevBdgt!DJ$6&lt;=DispositionMonth,DJ215,0)</f>
        <v>0</v>
      </c>
      <c r="DK298" s="408">
        <f>IF(DevBdgt!DK$6&lt;=DispositionMonth,DK215,0)</f>
        <v>0</v>
      </c>
      <c r="DL298" s="408">
        <f>IF(DevBdgt!DL$6&lt;=DispositionMonth,DL215,0)</f>
        <v>0</v>
      </c>
      <c r="DM298" s="408">
        <f>IF(DevBdgt!DM$6&lt;=DispositionMonth,DM215,0)</f>
        <v>0</v>
      </c>
      <c r="DN298" s="408">
        <f>IF(DevBdgt!DN$6&lt;=DispositionMonth,DN215,0)</f>
        <v>0</v>
      </c>
      <c r="DO298" s="408">
        <f>IF(DevBdgt!DO$6&lt;=DispositionMonth,DO215,0)</f>
        <v>0</v>
      </c>
      <c r="DP298" s="408">
        <f>IF(DevBdgt!DP$6&lt;=DispositionMonth,DP215,0)</f>
        <v>0</v>
      </c>
      <c r="DQ298" s="408">
        <f>IF(DevBdgt!DQ$6&lt;=DispositionMonth,DQ215,0)</f>
        <v>0</v>
      </c>
      <c r="DR298" s="408">
        <f>IF(DevBdgt!DR$6&lt;=DispositionMonth,DR215,0)</f>
        <v>0</v>
      </c>
      <c r="DS298" s="408">
        <f>IF(DevBdgt!DS$6&lt;=DispositionMonth,DS215,0)</f>
        <v>0</v>
      </c>
      <c r="DT298" s="408">
        <f>IF(DevBdgt!DT$6&lt;=DispositionMonth,DT215,0)</f>
        <v>0</v>
      </c>
      <c r="DU298" s="408">
        <f>IF(DevBdgt!DU$6&lt;=DispositionMonth,DU215,0)</f>
        <v>0</v>
      </c>
      <c r="EI298" s="280"/>
    </row>
    <row r="299" spans="1:139" x14ac:dyDescent="0.3">
      <c r="A299" s="182" t="s">
        <v>2521</v>
      </c>
      <c r="B299" s="182"/>
      <c r="C299" s="182"/>
      <c r="D299" s="647"/>
      <c r="E299" s="407">
        <f ca="1">IF(DevBdgt!E$6&lt;=DispositionMonth,SUM(E216:E219),0)</f>
        <v>0</v>
      </c>
      <c r="F299" s="407">
        <f ca="1">IF(DevBdgt!F$6&lt;=DispositionMonth,SUM(F216:F219),0)</f>
        <v>0</v>
      </c>
      <c r="G299" s="407">
        <f ca="1">IF(DevBdgt!G$6&lt;=DispositionMonth,SUM(G216:G219),0)</f>
        <v>0</v>
      </c>
      <c r="H299" s="407">
        <f ca="1">IF(DevBdgt!H$6&lt;=DispositionMonth,SUM(H216:H219),0)</f>
        <v>0</v>
      </c>
      <c r="I299" s="407">
        <f ca="1">IF(DevBdgt!I$6&lt;=DispositionMonth,SUM(I216:I219),0)</f>
        <v>0</v>
      </c>
      <c r="J299" s="407">
        <f ca="1">IF(DevBdgt!J$6&lt;=DispositionMonth,SUM(J216:J219),0)</f>
        <v>0</v>
      </c>
      <c r="K299" s="407">
        <f ca="1">IF(DevBdgt!K$6&lt;=DispositionMonth,SUM(K216:K219),0)</f>
        <v>0</v>
      </c>
      <c r="L299" s="407">
        <f ca="1">IF(DevBdgt!L$6&lt;=DispositionMonth,SUM(L216:L219),0)</f>
        <v>0</v>
      </c>
      <c r="M299" s="407">
        <f ca="1">IF(DevBdgt!M$6&lt;=DispositionMonth,SUM(M216:M219),0)</f>
        <v>0</v>
      </c>
      <c r="N299" s="407">
        <f ca="1">IF(DevBdgt!N$6&lt;=DispositionMonth,SUM(N216:N219),0)</f>
        <v>0</v>
      </c>
      <c r="O299" s="407">
        <f ca="1">IF(DevBdgt!O$6&lt;=DispositionMonth,SUM(O216:O219),0)</f>
        <v>0</v>
      </c>
      <c r="P299" s="407">
        <f ca="1">IF(DevBdgt!P$6&lt;=DispositionMonth,SUM(P216:P219),0)</f>
        <v>0</v>
      </c>
      <c r="Q299" s="407">
        <f ca="1">IF(DevBdgt!Q$6&lt;=DispositionMonth,SUM(Q216:Q219),0)</f>
        <v>0</v>
      </c>
      <c r="R299" s="407">
        <f ca="1">IF(DevBdgt!R$6&lt;=DispositionMonth,SUM(R216:R219),0)</f>
        <v>0</v>
      </c>
      <c r="S299" s="407">
        <f ca="1">IF(DevBdgt!S$6&lt;=DispositionMonth,SUM(S216:S219),0)</f>
        <v>0</v>
      </c>
      <c r="T299" s="407">
        <f ca="1">IF(DevBdgt!T$6&lt;=DispositionMonth,SUM(T216:T219),0)</f>
        <v>0</v>
      </c>
      <c r="U299" s="407">
        <f ca="1">IF(DevBdgt!U$6&lt;=DispositionMonth,SUM(U216:U219),0)</f>
        <v>0</v>
      </c>
      <c r="V299" s="407">
        <f ca="1">IF(DevBdgt!V$6&lt;=DispositionMonth,SUM(V216:V219),0)</f>
        <v>0</v>
      </c>
      <c r="W299" s="407">
        <f ca="1">IF(DevBdgt!W$6&lt;=DispositionMonth,SUM(W216:W219),0)</f>
        <v>0</v>
      </c>
      <c r="X299" s="407">
        <f ca="1">IF(DevBdgt!X$6&lt;=DispositionMonth,SUM(X216:X219),0)</f>
        <v>0</v>
      </c>
      <c r="Y299" s="407">
        <f ca="1">IF(DevBdgt!Y$6&lt;=DispositionMonth,SUM(Y216:Y219),0)</f>
        <v>0</v>
      </c>
      <c r="Z299" s="407">
        <f ca="1">IF(DevBdgt!Z$6&lt;=DispositionMonth,SUM(Z216:Z219),0)</f>
        <v>0</v>
      </c>
      <c r="AA299" s="407">
        <f ca="1">IF(DevBdgt!AA$6&lt;=DispositionMonth,SUM(AA216:AA219),0)</f>
        <v>0</v>
      </c>
      <c r="AB299" s="407">
        <f ca="1">IF(DevBdgt!AB$6&lt;=DispositionMonth,SUM(AB216:AB219),0)</f>
        <v>0</v>
      </c>
      <c r="AC299" s="407">
        <f ca="1">IF(DevBdgt!AC$6&lt;=DispositionMonth,SUM(AC216:AC219),0)</f>
        <v>4411.302949009133</v>
      </c>
      <c r="AD299" s="407">
        <f ca="1">IF(DevBdgt!AD$6&lt;=DispositionMonth,SUM(AD216:AD219),0)</f>
        <v>8433.0422386363189</v>
      </c>
      <c r="AE299" s="407">
        <f ca="1">IF(DevBdgt!AE$6&lt;=DispositionMonth,SUM(AE216:AE219),0)</f>
        <v>13012.426310856763</v>
      </c>
      <c r="AF299" s="407">
        <f ca="1">IF(DevBdgt!AF$6&lt;=DispositionMonth,SUM(AF216:AF219),0)</f>
        <v>21956.223728908131</v>
      </c>
      <c r="AG299" s="407">
        <f ca="1">IF(DevBdgt!AG$6&lt;=DispositionMonth,SUM(AG216:AG219),0)</f>
        <v>22320.857894093158</v>
      </c>
      <c r="AH299" s="407">
        <f>IF(DevBdgt!AH$6&lt;=DispositionMonth,SUM(AH216:AH219),0)</f>
        <v>0</v>
      </c>
      <c r="AI299" s="407">
        <f>IF(DevBdgt!AI$6&lt;=DispositionMonth,SUM(AI216:AI219),0)</f>
        <v>0</v>
      </c>
      <c r="AJ299" s="407">
        <f>IF(DevBdgt!AJ$6&lt;=DispositionMonth,SUM(AJ216:AJ219),0)</f>
        <v>0</v>
      </c>
      <c r="AK299" s="407">
        <f>IF(DevBdgt!AK$6&lt;=DispositionMonth,SUM(AK216:AK219),0)</f>
        <v>0</v>
      </c>
      <c r="AL299" s="407">
        <f>IF(DevBdgt!AL$6&lt;=DispositionMonth,SUM(AL216:AL219),0)</f>
        <v>0</v>
      </c>
      <c r="AM299" s="407">
        <f>IF(DevBdgt!AM$6&lt;=DispositionMonth,SUM(AM216:AM219),0)</f>
        <v>0</v>
      </c>
      <c r="AN299" s="407">
        <f>IF(DevBdgt!AN$6&lt;=DispositionMonth,SUM(AN216:AN219),0)</f>
        <v>0</v>
      </c>
      <c r="AO299" s="407">
        <f>IF(DevBdgt!AO$6&lt;=DispositionMonth,SUM(AO216:AO219),0)</f>
        <v>0</v>
      </c>
      <c r="AP299" s="407">
        <f>IF(DevBdgt!AP$6&lt;=DispositionMonth,SUM(AP216:AP219),0)</f>
        <v>0</v>
      </c>
      <c r="AQ299" s="407">
        <f>IF(DevBdgt!AQ$6&lt;=DispositionMonth,SUM(AQ216:AQ219),0)</f>
        <v>0</v>
      </c>
      <c r="AR299" s="407">
        <f>IF(DevBdgt!AR$6&lt;=DispositionMonth,SUM(AR216:AR219),0)</f>
        <v>0</v>
      </c>
      <c r="AS299" s="407">
        <f>IF(DevBdgt!AS$6&lt;=DispositionMonth,SUM(AS216:AS219),0)</f>
        <v>0</v>
      </c>
      <c r="AT299" s="407">
        <f>IF(DevBdgt!AT$6&lt;=DispositionMonth,SUM(AT216:AT219),0)</f>
        <v>0</v>
      </c>
      <c r="AU299" s="407">
        <f>IF(DevBdgt!AU$6&lt;=DispositionMonth,SUM(AU216:AU219),0)</f>
        <v>0</v>
      </c>
      <c r="AV299" s="407">
        <f>IF(DevBdgt!AV$6&lt;=DispositionMonth,SUM(AV216:AV219),0)</f>
        <v>0</v>
      </c>
      <c r="AW299" s="407">
        <f>IF(DevBdgt!AW$6&lt;=DispositionMonth,SUM(AW216:AW219),0)</f>
        <v>0</v>
      </c>
      <c r="AX299" s="407">
        <f>IF(DevBdgt!AX$6&lt;=DispositionMonth,SUM(AX216:AX219),0)</f>
        <v>0</v>
      </c>
      <c r="AY299" s="407">
        <f>IF(DevBdgt!AY$6&lt;=DispositionMonth,SUM(AY216:AY219),0)</f>
        <v>0</v>
      </c>
      <c r="AZ299" s="407">
        <f>IF(DevBdgt!AZ$6&lt;=DispositionMonth,SUM(AZ216:AZ219),0)</f>
        <v>0</v>
      </c>
      <c r="BA299" s="407">
        <f>IF(DevBdgt!BA$6&lt;=DispositionMonth,SUM(BA216:BA219),0)</f>
        <v>0</v>
      </c>
      <c r="BB299" s="407">
        <f>IF(DevBdgt!BB$6&lt;=DispositionMonth,SUM(BB216:BB219),0)</f>
        <v>0</v>
      </c>
      <c r="BC299" s="407">
        <f>IF(DevBdgt!BC$6&lt;=DispositionMonth,SUM(BC216:BC219),0)</f>
        <v>0</v>
      </c>
      <c r="BD299" s="407">
        <f>IF(DevBdgt!BD$6&lt;=DispositionMonth,SUM(BD216:BD219),0)</f>
        <v>0</v>
      </c>
      <c r="BE299" s="407">
        <f>IF(DevBdgt!BE$6&lt;=DispositionMonth,SUM(BE216:BE219),0)</f>
        <v>0</v>
      </c>
      <c r="BF299" s="407">
        <f>IF(DevBdgt!BF$6&lt;=DispositionMonth,SUM(BF216:BF219),0)</f>
        <v>0</v>
      </c>
      <c r="BG299" s="407">
        <f>IF(DevBdgt!BG$6&lt;=DispositionMonth,SUM(BG216:BG219),0)</f>
        <v>0</v>
      </c>
      <c r="BH299" s="407">
        <f>IF(DevBdgt!BH$6&lt;=DispositionMonth,SUM(BH216:BH219),0)</f>
        <v>0</v>
      </c>
      <c r="BI299" s="407">
        <f>IF(DevBdgt!BI$6&lt;=DispositionMonth,SUM(BI216:BI219),0)</f>
        <v>0</v>
      </c>
      <c r="BJ299" s="407">
        <f>IF(DevBdgt!BJ$6&lt;=DispositionMonth,SUM(BJ216:BJ219),0)</f>
        <v>0</v>
      </c>
      <c r="BK299" s="407">
        <f>IF(DevBdgt!BK$6&lt;=DispositionMonth,SUM(BK216:BK219),0)</f>
        <v>0</v>
      </c>
      <c r="BL299" s="407">
        <f>IF(DevBdgt!BL$6&lt;=DispositionMonth,SUM(BL216:BL219),0)</f>
        <v>0</v>
      </c>
      <c r="BM299" s="407">
        <f>IF(DevBdgt!BM$6&lt;=DispositionMonth,SUM(BM216:BM219),0)</f>
        <v>0</v>
      </c>
      <c r="BN299" s="407">
        <f>IF(DevBdgt!BN$6&lt;=DispositionMonth,SUM(BN216:BN219),0)</f>
        <v>0</v>
      </c>
      <c r="BO299" s="407">
        <f>IF(DevBdgt!BO$6&lt;=DispositionMonth,SUM(BO216:BO219),0)</f>
        <v>0</v>
      </c>
      <c r="BP299" s="407">
        <f>IF(DevBdgt!BP$6&lt;=DispositionMonth,SUM(BP216:BP219),0)</f>
        <v>0</v>
      </c>
      <c r="BQ299" s="407">
        <f>IF(DevBdgt!BQ$6&lt;=DispositionMonth,SUM(BQ216:BQ219),0)</f>
        <v>0</v>
      </c>
      <c r="BR299" s="407">
        <f>IF(DevBdgt!BR$6&lt;=DispositionMonth,SUM(BR216:BR219),0)</f>
        <v>0</v>
      </c>
      <c r="BS299" s="407">
        <f>IF(DevBdgt!BS$6&lt;=DispositionMonth,SUM(BS216:BS219),0)</f>
        <v>0</v>
      </c>
      <c r="BT299" s="407">
        <f>IF(DevBdgt!BT$6&lt;=DispositionMonth,SUM(BT216:BT219),0)</f>
        <v>0</v>
      </c>
      <c r="BU299" s="407">
        <f>IF(DevBdgt!BU$6&lt;=DispositionMonth,SUM(BU216:BU219),0)</f>
        <v>0</v>
      </c>
      <c r="BV299" s="407">
        <f>IF(DevBdgt!BV$6&lt;=DispositionMonth,SUM(BV216:BV219),0)</f>
        <v>0</v>
      </c>
      <c r="BW299" s="407">
        <f>IF(DevBdgt!BW$6&lt;=DispositionMonth,SUM(BW216:BW219),0)</f>
        <v>0</v>
      </c>
      <c r="BX299" s="407">
        <f>IF(DevBdgt!BX$6&lt;=DispositionMonth,SUM(BX216:BX219),0)</f>
        <v>0</v>
      </c>
      <c r="BY299" s="407">
        <f>IF(DevBdgt!BY$6&lt;=DispositionMonth,SUM(BY216:BY219),0)</f>
        <v>0</v>
      </c>
      <c r="BZ299" s="407">
        <f>IF(DevBdgt!BZ$6&lt;=DispositionMonth,SUM(BZ216:BZ219),0)</f>
        <v>0</v>
      </c>
      <c r="CA299" s="407">
        <f>IF(DevBdgt!CA$6&lt;=DispositionMonth,SUM(CA216:CA219),0)</f>
        <v>0</v>
      </c>
      <c r="CB299" s="407">
        <f>IF(DevBdgt!CB$6&lt;=DispositionMonth,SUM(CB216:CB219),0)</f>
        <v>0</v>
      </c>
      <c r="CC299" s="407">
        <f>IF(DevBdgt!CC$6&lt;=DispositionMonth,SUM(CC216:CC219),0)</f>
        <v>0</v>
      </c>
      <c r="CD299" s="407">
        <f>IF(DevBdgt!CD$6&lt;=DispositionMonth,SUM(CD216:CD219),0)</f>
        <v>0</v>
      </c>
      <c r="CE299" s="407">
        <f>IF(DevBdgt!CE$6&lt;=DispositionMonth,SUM(CE216:CE219),0)</f>
        <v>0</v>
      </c>
      <c r="CF299" s="407">
        <f>IF(DevBdgt!CF$6&lt;=DispositionMonth,SUM(CF216:CF219),0)</f>
        <v>0</v>
      </c>
      <c r="CG299" s="407">
        <f>IF(DevBdgt!CG$6&lt;=DispositionMonth,SUM(CG216:CG219),0)</f>
        <v>0</v>
      </c>
      <c r="CH299" s="407">
        <f>IF(DevBdgt!CH$6&lt;=DispositionMonth,SUM(CH216:CH219),0)</f>
        <v>0</v>
      </c>
      <c r="CI299" s="407">
        <f>IF(DevBdgt!CI$6&lt;=DispositionMonth,SUM(CI216:CI219),0)</f>
        <v>0</v>
      </c>
      <c r="CJ299" s="407">
        <f>IF(DevBdgt!CJ$6&lt;=DispositionMonth,SUM(CJ216:CJ219),0)</f>
        <v>0</v>
      </c>
      <c r="CK299" s="407">
        <f>IF(DevBdgt!CK$6&lt;=DispositionMonth,SUM(CK216:CK219),0)</f>
        <v>0</v>
      </c>
      <c r="CL299" s="407">
        <f>IF(DevBdgt!CL$6&lt;=DispositionMonth,SUM(CL216:CL219),0)</f>
        <v>0</v>
      </c>
      <c r="CM299" s="407">
        <f>IF(DevBdgt!CM$6&lt;=DispositionMonth,SUM(CM216:CM219),0)</f>
        <v>0</v>
      </c>
      <c r="CN299" s="407">
        <f>IF(DevBdgt!CN$6&lt;=DispositionMonth,SUM(CN216:CN219),0)</f>
        <v>0</v>
      </c>
      <c r="CO299" s="407">
        <f>IF(DevBdgt!CO$6&lt;=DispositionMonth,SUM(CO216:CO219),0)</f>
        <v>0</v>
      </c>
      <c r="CP299" s="407">
        <f>IF(DevBdgt!CP$6&lt;=DispositionMonth,SUM(CP216:CP219),0)</f>
        <v>0</v>
      </c>
      <c r="CQ299" s="407">
        <f>IF(DevBdgt!CQ$6&lt;=DispositionMonth,SUM(CQ216:CQ219),0)</f>
        <v>0</v>
      </c>
      <c r="CR299" s="407">
        <f>IF(DevBdgt!CR$6&lt;=DispositionMonth,SUM(CR216:CR219),0)</f>
        <v>0</v>
      </c>
      <c r="CS299" s="407">
        <f>IF(DevBdgt!CS$6&lt;=DispositionMonth,SUM(CS216:CS219),0)</f>
        <v>0</v>
      </c>
      <c r="CT299" s="407">
        <f>IF(DevBdgt!CT$6&lt;=DispositionMonth,SUM(CT216:CT219),0)</f>
        <v>0</v>
      </c>
      <c r="CU299" s="407">
        <f>IF(DevBdgt!CU$6&lt;=DispositionMonth,SUM(CU216:CU219),0)</f>
        <v>0</v>
      </c>
      <c r="CV299" s="407">
        <f>IF(DevBdgt!CV$6&lt;=DispositionMonth,SUM(CV216:CV219),0)</f>
        <v>0</v>
      </c>
      <c r="CW299" s="407">
        <f>IF(DevBdgt!CW$6&lt;=DispositionMonth,SUM(CW216:CW219),0)</f>
        <v>0</v>
      </c>
      <c r="CX299" s="407">
        <f>IF(DevBdgt!CX$6&lt;=DispositionMonth,SUM(CX216:CX219),0)</f>
        <v>0</v>
      </c>
      <c r="CY299" s="407">
        <f>IF(DevBdgt!CY$6&lt;=DispositionMonth,SUM(CY216:CY219),0)</f>
        <v>0</v>
      </c>
      <c r="CZ299" s="407">
        <f>IF(DevBdgt!CZ$6&lt;=DispositionMonth,SUM(CZ216:CZ219),0)</f>
        <v>0</v>
      </c>
      <c r="DA299" s="407">
        <f>IF(DevBdgt!DA$6&lt;=DispositionMonth,SUM(DA216:DA219),0)</f>
        <v>0</v>
      </c>
      <c r="DB299" s="407">
        <f>IF(DevBdgt!DB$6&lt;=DispositionMonth,SUM(DB216:DB219),0)</f>
        <v>0</v>
      </c>
      <c r="DC299" s="407">
        <f>IF(DevBdgt!DC$6&lt;=DispositionMonth,SUM(DC216:DC219),0)</f>
        <v>0</v>
      </c>
      <c r="DD299" s="407">
        <f>IF(DevBdgt!DD$6&lt;=DispositionMonth,SUM(DD216:DD219),0)</f>
        <v>0</v>
      </c>
      <c r="DE299" s="407">
        <f>IF(DevBdgt!DE$6&lt;=DispositionMonth,SUM(DE216:DE219),0)</f>
        <v>0</v>
      </c>
      <c r="DF299" s="407">
        <f>IF(DevBdgt!DF$6&lt;=DispositionMonth,SUM(DF216:DF219),0)</f>
        <v>0</v>
      </c>
      <c r="DG299" s="407">
        <f>IF(DevBdgt!DG$6&lt;=DispositionMonth,SUM(DG216:DG219),0)</f>
        <v>0</v>
      </c>
      <c r="DH299" s="407">
        <f>IF(DevBdgt!DH$6&lt;=DispositionMonth,SUM(DH216:DH219),0)</f>
        <v>0</v>
      </c>
      <c r="DI299" s="407">
        <f>IF(DevBdgt!DI$6&lt;=DispositionMonth,SUM(DI216:DI219),0)</f>
        <v>0</v>
      </c>
      <c r="DJ299" s="407">
        <f>IF(DevBdgt!DJ$6&lt;=DispositionMonth,SUM(DJ216:DJ219),0)</f>
        <v>0</v>
      </c>
      <c r="DK299" s="407">
        <f>IF(DevBdgt!DK$6&lt;=DispositionMonth,SUM(DK216:DK219),0)</f>
        <v>0</v>
      </c>
      <c r="DL299" s="407">
        <f>IF(DevBdgt!DL$6&lt;=DispositionMonth,SUM(DL216:DL219),0)</f>
        <v>0</v>
      </c>
      <c r="DM299" s="407">
        <f>IF(DevBdgt!DM$6&lt;=DispositionMonth,SUM(DM216:DM219),0)</f>
        <v>0</v>
      </c>
      <c r="DN299" s="407">
        <f>IF(DevBdgt!DN$6&lt;=DispositionMonth,SUM(DN216:DN219),0)</f>
        <v>0</v>
      </c>
      <c r="DO299" s="407">
        <f>IF(DevBdgt!DO$6&lt;=DispositionMonth,SUM(DO216:DO219),0)</f>
        <v>0</v>
      </c>
      <c r="DP299" s="407">
        <f>IF(DevBdgt!DP$6&lt;=DispositionMonth,SUM(DP216:DP219),0)</f>
        <v>0</v>
      </c>
      <c r="DQ299" s="407">
        <f>IF(DevBdgt!DQ$6&lt;=DispositionMonth,SUM(DQ216:DQ219),0)</f>
        <v>0</v>
      </c>
      <c r="DR299" s="407">
        <f>IF(DevBdgt!DR$6&lt;=DispositionMonth,SUM(DR216:DR219),0)</f>
        <v>0</v>
      </c>
      <c r="DS299" s="407">
        <f>IF(DevBdgt!DS$6&lt;=DispositionMonth,SUM(DS216:DS219),0)</f>
        <v>0</v>
      </c>
      <c r="DT299" s="407">
        <f>IF(DevBdgt!DT$6&lt;=DispositionMonth,SUM(DT216:DT219),0)</f>
        <v>0</v>
      </c>
      <c r="DU299" s="407">
        <f>IF(DevBdgt!DU$6&lt;=DispositionMonth,SUM(DU216:DU219),0)</f>
        <v>0</v>
      </c>
      <c r="EI299" s="722"/>
    </row>
    <row r="300" spans="1:139" x14ac:dyDescent="0.3">
      <c r="A300" s="182" t="s">
        <v>2522</v>
      </c>
      <c r="B300" s="182"/>
      <c r="C300" s="182"/>
      <c r="D300" s="647"/>
      <c r="E300" s="407">
        <f>IF(DevBdgt!E$6&lt;=DispositionMonth,E220,0)</f>
        <v>0</v>
      </c>
      <c r="F300" s="407">
        <f>IF(DevBdgt!F$6&lt;=DispositionMonth,F220,0)</f>
        <v>0</v>
      </c>
      <c r="G300" s="407">
        <f>IF(DevBdgt!G$6&lt;=DispositionMonth,G220,0)</f>
        <v>0</v>
      </c>
      <c r="H300" s="407">
        <f>IF(DevBdgt!H$6&lt;=DispositionMonth,H220,0)</f>
        <v>0</v>
      </c>
      <c r="I300" s="407">
        <f>IF(DevBdgt!I$6&lt;=DispositionMonth,I220,0)</f>
        <v>0</v>
      </c>
      <c r="J300" s="407">
        <f>IF(DevBdgt!J$6&lt;=DispositionMonth,J220,0)</f>
        <v>0</v>
      </c>
      <c r="K300" s="407">
        <f>IF(DevBdgt!K$6&lt;=DispositionMonth,K220,0)</f>
        <v>0</v>
      </c>
      <c r="L300" s="407">
        <f>IF(DevBdgt!L$6&lt;=DispositionMonth,L220,0)</f>
        <v>0</v>
      </c>
      <c r="M300" s="407">
        <f>IF(DevBdgt!M$6&lt;=DispositionMonth,M220,0)</f>
        <v>0</v>
      </c>
      <c r="N300" s="407">
        <f>IF(DevBdgt!N$6&lt;=DispositionMonth,N220,0)</f>
        <v>0</v>
      </c>
      <c r="O300" s="407">
        <f>IF(DevBdgt!O$6&lt;=DispositionMonth,O220,0)</f>
        <v>0</v>
      </c>
      <c r="P300" s="407">
        <f>IF(DevBdgt!P$6&lt;=DispositionMonth,P220,0)</f>
        <v>0</v>
      </c>
      <c r="Q300" s="407">
        <f>IF(DevBdgt!Q$6&lt;=DispositionMonth,Q220,0)</f>
        <v>0</v>
      </c>
      <c r="R300" s="407">
        <f>IF(DevBdgt!R$6&lt;=DispositionMonth,R220,0)</f>
        <v>0</v>
      </c>
      <c r="S300" s="407">
        <f>IF(DevBdgt!S$6&lt;=DispositionMonth,S220,0)</f>
        <v>0</v>
      </c>
      <c r="T300" s="407">
        <f>IF(DevBdgt!T$6&lt;=DispositionMonth,T220,0)</f>
        <v>0</v>
      </c>
      <c r="U300" s="407">
        <f>IF(DevBdgt!U$6&lt;=DispositionMonth,U220,0)</f>
        <v>0</v>
      </c>
      <c r="V300" s="407">
        <f>IF(DevBdgt!V$6&lt;=DispositionMonth,V220,0)</f>
        <v>0</v>
      </c>
      <c r="W300" s="407">
        <f>IF(DevBdgt!W$6&lt;=DispositionMonth,W220,0)</f>
        <v>0</v>
      </c>
      <c r="X300" s="407">
        <f>IF(DevBdgt!X$6&lt;=DispositionMonth,X220,0)</f>
        <v>0</v>
      </c>
      <c r="Y300" s="407">
        <f>IF(DevBdgt!Y$6&lt;=DispositionMonth,Y220,0)</f>
        <v>0</v>
      </c>
      <c r="Z300" s="407">
        <f>IF(DevBdgt!Z$6&lt;=DispositionMonth,Z220,0)</f>
        <v>0</v>
      </c>
      <c r="AA300" s="407">
        <f>IF(DevBdgt!AA$6&lt;=DispositionMonth,AA220,0)</f>
        <v>0</v>
      </c>
      <c r="AB300" s="407">
        <f>IF(DevBdgt!AB$6&lt;=DispositionMonth,AB220,0)</f>
        <v>0</v>
      </c>
      <c r="AC300" s="407">
        <f>IF(DevBdgt!AC$6&lt;=DispositionMonth,AC220,0)</f>
        <v>0</v>
      </c>
      <c r="AD300" s="407">
        <f>IF(DevBdgt!AD$6&lt;=DispositionMonth,AD220,0)</f>
        <v>0</v>
      </c>
      <c r="AE300" s="407">
        <f>IF(DevBdgt!AE$6&lt;=DispositionMonth,AE220,0)</f>
        <v>0</v>
      </c>
      <c r="AF300" s="407">
        <f>IF(DevBdgt!AF$6&lt;=DispositionMonth,AF220,0)</f>
        <v>0</v>
      </c>
      <c r="AG300" s="407">
        <f ca="1">IF(DevBdgt!AG$6&lt;=DispositionMonth,AG220,0)</f>
        <v>4209631.2794329124</v>
      </c>
      <c r="AH300" s="407">
        <f>IF(DevBdgt!AH$6&lt;=DispositionMonth,AH220,0)</f>
        <v>0</v>
      </c>
      <c r="AI300" s="407">
        <f>IF(DevBdgt!AI$6&lt;=DispositionMonth,AI220,0)</f>
        <v>0</v>
      </c>
      <c r="AJ300" s="407">
        <f>IF(DevBdgt!AJ$6&lt;=DispositionMonth,AJ220,0)</f>
        <v>0</v>
      </c>
      <c r="AK300" s="407">
        <f>IF(DevBdgt!AK$6&lt;=DispositionMonth,AK220,0)</f>
        <v>0</v>
      </c>
      <c r="AL300" s="407">
        <f>IF(DevBdgt!AL$6&lt;=DispositionMonth,AL220,0)</f>
        <v>0</v>
      </c>
      <c r="AM300" s="407">
        <f>IF(DevBdgt!AM$6&lt;=DispositionMonth,AM220,0)</f>
        <v>0</v>
      </c>
      <c r="AN300" s="407">
        <f>IF(DevBdgt!AN$6&lt;=DispositionMonth,AN220,0)</f>
        <v>0</v>
      </c>
      <c r="AO300" s="407">
        <f>IF(DevBdgt!AO$6&lt;=DispositionMonth,AO220,0)</f>
        <v>0</v>
      </c>
      <c r="AP300" s="407">
        <f>IF(DevBdgt!AP$6&lt;=DispositionMonth,AP220,0)</f>
        <v>0</v>
      </c>
      <c r="AQ300" s="407">
        <f>IF(DevBdgt!AQ$6&lt;=DispositionMonth,AQ220,0)</f>
        <v>0</v>
      </c>
      <c r="AR300" s="407">
        <f>IF(DevBdgt!AR$6&lt;=DispositionMonth,AR220,0)</f>
        <v>0</v>
      </c>
      <c r="AS300" s="407">
        <f>IF(DevBdgt!AS$6&lt;=DispositionMonth,AS220,0)</f>
        <v>0</v>
      </c>
      <c r="AT300" s="407">
        <f>IF(DevBdgt!AT$6&lt;=DispositionMonth,AT220,0)</f>
        <v>0</v>
      </c>
      <c r="AU300" s="407">
        <f>IF(DevBdgt!AU$6&lt;=DispositionMonth,AU220,0)</f>
        <v>0</v>
      </c>
      <c r="AV300" s="407">
        <f>IF(DevBdgt!AV$6&lt;=DispositionMonth,AV220,0)</f>
        <v>0</v>
      </c>
      <c r="AW300" s="407">
        <f>IF(DevBdgt!AW$6&lt;=DispositionMonth,AW220,0)</f>
        <v>0</v>
      </c>
      <c r="AX300" s="407">
        <f>IF(DevBdgt!AX$6&lt;=DispositionMonth,AX220,0)</f>
        <v>0</v>
      </c>
      <c r="AY300" s="407">
        <f>IF(DevBdgt!AY$6&lt;=DispositionMonth,AY220,0)</f>
        <v>0</v>
      </c>
      <c r="AZ300" s="407">
        <f>IF(DevBdgt!AZ$6&lt;=DispositionMonth,AZ220,0)</f>
        <v>0</v>
      </c>
      <c r="BA300" s="407">
        <f>IF(DevBdgt!BA$6&lt;=DispositionMonth,BA220,0)</f>
        <v>0</v>
      </c>
      <c r="BB300" s="407">
        <f>IF(DevBdgt!BB$6&lt;=DispositionMonth,BB220,0)</f>
        <v>0</v>
      </c>
      <c r="BC300" s="407">
        <f>IF(DevBdgt!BC$6&lt;=DispositionMonth,BC220,0)</f>
        <v>0</v>
      </c>
      <c r="BD300" s="407">
        <f>IF(DevBdgt!BD$6&lt;=DispositionMonth,BD220,0)</f>
        <v>0</v>
      </c>
      <c r="BE300" s="407">
        <f>IF(DevBdgt!BE$6&lt;=DispositionMonth,BE220,0)</f>
        <v>0</v>
      </c>
      <c r="BF300" s="407">
        <f>IF(DevBdgt!BF$6&lt;=DispositionMonth,BF220,0)</f>
        <v>0</v>
      </c>
      <c r="BG300" s="407">
        <f>IF(DevBdgt!BG$6&lt;=DispositionMonth,BG220,0)</f>
        <v>0</v>
      </c>
      <c r="BH300" s="407">
        <f>IF(DevBdgt!BH$6&lt;=DispositionMonth,BH220,0)</f>
        <v>0</v>
      </c>
      <c r="BI300" s="407">
        <f>IF(DevBdgt!BI$6&lt;=DispositionMonth,BI220,0)</f>
        <v>0</v>
      </c>
      <c r="BJ300" s="407">
        <f>IF(DevBdgt!BJ$6&lt;=DispositionMonth,BJ220,0)</f>
        <v>0</v>
      </c>
      <c r="BK300" s="407">
        <f>IF(DevBdgt!BK$6&lt;=DispositionMonth,BK220,0)</f>
        <v>0</v>
      </c>
      <c r="BL300" s="407">
        <f>IF(DevBdgt!BL$6&lt;=DispositionMonth,BL220,0)</f>
        <v>0</v>
      </c>
      <c r="BM300" s="407">
        <f>IF(DevBdgt!BM$6&lt;=DispositionMonth,BM220,0)</f>
        <v>0</v>
      </c>
      <c r="BN300" s="407">
        <f>IF(DevBdgt!BN$6&lt;=DispositionMonth,BN220,0)</f>
        <v>0</v>
      </c>
      <c r="BO300" s="407">
        <f>IF(DevBdgt!BO$6&lt;=DispositionMonth,BO220,0)</f>
        <v>0</v>
      </c>
      <c r="BP300" s="407">
        <f>IF(DevBdgt!BP$6&lt;=DispositionMonth,BP220,0)</f>
        <v>0</v>
      </c>
      <c r="BQ300" s="407">
        <f>IF(DevBdgt!BQ$6&lt;=DispositionMonth,BQ220,0)</f>
        <v>0</v>
      </c>
      <c r="BR300" s="407">
        <f>IF(DevBdgt!BR$6&lt;=DispositionMonth,BR220,0)</f>
        <v>0</v>
      </c>
      <c r="BS300" s="407">
        <f>IF(DevBdgt!BS$6&lt;=DispositionMonth,BS220,0)</f>
        <v>0</v>
      </c>
      <c r="BT300" s="407">
        <f>IF(DevBdgt!BT$6&lt;=DispositionMonth,BT220,0)</f>
        <v>0</v>
      </c>
      <c r="BU300" s="407">
        <f>IF(DevBdgt!BU$6&lt;=DispositionMonth,BU220,0)</f>
        <v>0</v>
      </c>
      <c r="BV300" s="407">
        <f>IF(DevBdgt!BV$6&lt;=DispositionMonth,BV220,0)</f>
        <v>0</v>
      </c>
      <c r="BW300" s="407">
        <f>IF(DevBdgt!BW$6&lt;=DispositionMonth,BW220,0)</f>
        <v>0</v>
      </c>
      <c r="BX300" s="407">
        <f>IF(DevBdgt!BX$6&lt;=DispositionMonth,BX220,0)</f>
        <v>0</v>
      </c>
      <c r="BY300" s="407">
        <f>IF(DevBdgt!BY$6&lt;=DispositionMonth,BY220,0)</f>
        <v>0</v>
      </c>
      <c r="BZ300" s="407">
        <f>IF(DevBdgt!BZ$6&lt;=DispositionMonth,BZ220,0)</f>
        <v>0</v>
      </c>
      <c r="CA300" s="407">
        <f>IF(DevBdgt!CA$6&lt;=DispositionMonth,CA220,0)</f>
        <v>0</v>
      </c>
      <c r="CB300" s="407">
        <f>IF(DevBdgt!CB$6&lt;=DispositionMonth,CB220,0)</f>
        <v>0</v>
      </c>
      <c r="CC300" s="407">
        <f>IF(DevBdgt!CC$6&lt;=DispositionMonth,CC220,0)</f>
        <v>0</v>
      </c>
      <c r="CD300" s="407">
        <f>IF(DevBdgt!CD$6&lt;=DispositionMonth,CD220,0)</f>
        <v>0</v>
      </c>
      <c r="CE300" s="407">
        <f>IF(DevBdgt!CE$6&lt;=DispositionMonth,CE220,0)</f>
        <v>0</v>
      </c>
      <c r="CF300" s="407">
        <f>IF(DevBdgt!CF$6&lt;=DispositionMonth,CF220,0)</f>
        <v>0</v>
      </c>
      <c r="CG300" s="407">
        <f>IF(DevBdgt!CG$6&lt;=DispositionMonth,CG220,0)</f>
        <v>0</v>
      </c>
      <c r="CH300" s="407">
        <f>IF(DevBdgt!CH$6&lt;=DispositionMonth,CH220,0)</f>
        <v>0</v>
      </c>
      <c r="CI300" s="407">
        <f>IF(DevBdgt!CI$6&lt;=DispositionMonth,CI220,0)</f>
        <v>0</v>
      </c>
      <c r="CJ300" s="407">
        <f>IF(DevBdgt!CJ$6&lt;=DispositionMonth,CJ220,0)</f>
        <v>0</v>
      </c>
      <c r="CK300" s="407">
        <f>IF(DevBdgt!CK$6&lt;=DispositionMonth,CK220,0)</f>
        <v>0</v>
      </c>
      <c r="CL300" s="407">
        <f>IF(DevBdgt!CL$6&lt;=DispositionMonth,CL220,0)</f>
        <v>0</v>
      </c>
      <c r="CM300" s="407">
        <f>IF(DevBdgt!CM$6&lt;=DispositionMonth,CM220,0)</f>
        <v>0</v>
      </c>
      <c r="CN300" s="407">
        <f>IF(DevBdgt!CN$6&lt;=DispositionMonth,CN220,0)</f>
        <v>0</v>
      </c>
      <c r="CO300" s="407">
        <f>IF(DevBdgt!CO$6&lt;=DispositionMonth,CO220,0)</f>
        <v>0</v>
      </c>
      <c r="CP300" s="407">
        <f>IF(DevBdgt!CP$6&lt;=DispositionMonth,CP220,0)</f>
        <v>0</v>
      </c>
      <c r="CQ300" s="407">
        <f>IF(DevBdgt!CQ$6&lt;=DispositionMonth,CQ220,0)</f>
        <v>0</v>
      </c>
      <c r="CR300" s="407">
        <f>IF(DevBdgt!CR$6&lt;=DispositionMonth,CR220,0)</f>
        <v>0</v>
      </c>
      <c r="CS300" s="407">
        <f>IF(DevBdgt!CS$6&lt;=DispositionMonth,CS220,0)</f>
        <v>0</v>
      </c>
      <c r="CT300" s="407">
        <f>IF(DevBdgt!CT$6&lt;=DispositionMonth,CT220,0)</f>
        <v>0</v>
      </c>
      <c r="CU300" s="407">
        <f>IF(DevBdgt!CU$6&lt;=DispositionMonth,CU220,0)</f>
        <v>0</v>
      </c>
      <c r="CV300" s="407">
        <f>IF(DevBdgt!CV$6&lt;=DispositionMonth,CV220,0)</f>
        <v>0</v>
      </c>
      <c r="CW300" s="407">
        <f>IF(DevBdgt!CW$6&lt;=DispositionMonth,CW220,0)</f>
        <v>0</v>
      </c>
      <c r="CX300" s="407">
        <f>IF(DevBdgt!CX$6&lt;=DispositionMonth,CX220,0)</f>
        <v>0</v>
      </c>
      <c r="CY300" s="407">
        <f>IF(DevBdgt!CY$6&lt;=DispositionMonth,CY220,0)</f>
        <v>0</v>
      </c>
      <c r="CZ300" s="407">
        <f>IF(DevBdgt!CZ$6&lt;=DispositionMonth,CZ220,0)</f>
        <v>0</v>
      </c>
      <c r="DA300" s="407">
        <f>IF(DevBdgt!DA$6&lt;=DispositionMonth,DA220,0)</f>
        <v>0</v>
      </c>
      <c r="DB300" s="407">
        <f>IF(DevBdgt!DB$6&lt;=DispositionMonth,DB220,0)</f>
        <v>0</v>
      </c>
      <c r="DC300" s="407">
        <f>IF(DevBdgt!DC$6&lt;=DispositionMonth,DC220,0)</f>
        <v>0</v>
      </c>
      <c r="DD300" s="407">
        <f>IF(DevBdgt!DD$6&lt;=DispositionMonth,DD220,0)</f>
        <v>0</v>
      </c>
      <c r="DE300" s="407">
        <f>IF(DevBdgt!DE$6&lt;=DispositionMonth,DE220,0)</f>
        <v>0</v>
      </c>
      <c r="DF300" s="407">
        <f>IF(DevBdgt!DF$6&lt;=DispositionMonth,DF220,0)</f>
        <v>0</v>
      </c>
      <c r="DG300" s="407">
        <f>IF(DevBdgt!DG$6&lt;=DispositionMonth,DG220,0)</f>
        <v>0</v>
      </c>
      <c r="DH300" s="407">
        <f>IF(DevBdgt!DH$6&lt;=DispositionMonth,DH220,0)</f>
        <v>0</v>
      </c>
      <c r="DI300" s="407">
        <f>IF(DevBdgt!DI$6&lt;=DispositionMonth,DI220,0)</f>
        <v>0</v>
      </c>
      <c r="DJ300" s="407">
        <f>IF(DevBdgt!DJ$6&lt;=DispositionMonth,DJ220,0)</f>
        <v>0</v>
      </c>
      <c r="DK300" s="407">
        <f>IF(DevBdgt!DK$6&lt;=DispositionMonth,DK220,0)</f>
        <v>0</v>
      </c>
      <c r="DL300" s="407">
        <f>IF(DevBdgt!DL$6&lt;=DispositionMonth,DL220,0)</f>
        <v>0</v>
      </c>
      <c r="DM300" s="407">
        <f>IF(DevBdgt!DM$6&lt;=DispositionMonth,DM220,0)</f>
        <v>0</v>
      </c>
      <c r="DN300" s="407">
        <f>IF(DevBdgt!DN$6&lt;=DispositionMonth,DN220,0)</f>
        <v>0</v>
      </c>
      <c r="DO300" s="407">
        <f>IF(DevBdgt!DO$6&lt;=DispositionMonth,DO220,0)</f>
        <v>0</v>
      </c>
      <c r="DP300" s="407">
        <f>IF(DevBdgt!DP$6&lt;=DispositionMonth,DP220,0)</f>
        <v>0</v>
      </c>
      <c r="DQ300" s="407">
        <f>IF(DevBdgt!DQ$6&lt;=DispositionMonth,DQ220,0)</f>
        <v>0</v>
      </c>
      <c r="DR300" s="407">
        <f>IF(DevBdgt!DR$6&lt;=DispositionMonth,DR220,0)</f>
        <v>0</v>
      </c>
      <c r="DS300" s="407">
        <f>IF(DevBdgt!DS$6&lt;=DispositionMonth,DS220,0)</f>
        <v>0</v>
      </c>
      <c r="DT300" s="407">
        <f>IF(DevBdgt!DT$6&lt;=DispositionMonth,DT220,0)</f>
        <v>0</v>
      </c>
      <c r="DU300" s="407">
        <f>IF(DevBdgt!DU$6&lt;=DispositionMonth,DU220,0)</f>
        <v>0</v>
      </c>
      <c r="EI300" s="280"/>
    </row>
    <row r="301" spans="1:139" x14ac:dyDescent="0.3">
      <c r="A301" s="182" t="s">
        <v>2523</v>
      </c>
      <c r="B301" s="182"/>
      <c r="C301" s="182"/>
      <c r="D301" s="647"/>
      <c r="E301" s="407">
        <f>IF(DevBdgt!E$6&lt;=DispositionMonth,E287,0)</f>
        <v>0</v>
      </c>
      <c r="F301" s="407">
        <f>IF(DevBdgt!F$6&lt;=DispositionMonth,F287,0)</f>
        <v>0</v>
      </c>
      <c r="G301" s="407">
        <f>IF(DevBdgt!G$6&lt;=DispositionMonth,G287,0)</f>
        <v>0</v>
      </c>
      <c r="H301" s="407">
        <f>IF(DevBdgt!H$6&lt;=DispositionMonth,H287,0)</f>
        <v>0</v>
      </c>
      <c r="I301" s="407">
        <f>IF(DevBdgt!I$6&lt;=DispositionMonth,I287,0)</f>
        <v>0</v>
      </c>
      <c r="J301" s="407">
        <f>IF(DevBdgt!J$6&lt;=DispositionMonth,J287,0)</f>
        <v>0</v>
      </c>
      <c r="K301" s="407">
        <f>IF(DevBdgt!K$6&lt;=DispositionMonth,K287,0)</f>
        <v>0</v>
      </c>
      <c r="L301" s="407">
        <f>IF(DevBdgt!L$6&lt;=DispositionMonth,L287,0)</f>
        <v>0</v>
      </c>
      <c r="M301" s="407">
        <f>IF(DevBdgt!M$6&lt;=DispositionMonth,M287,0)</f>
        <v>0</v>
      </c>
      <c r="N301" s="407">
        <f>IF(DevBdgt!N$6&lt;=DispositionMonth,N287,0)</f>
        <v>0</v>
      </c>
      <c r="O301" s="407">
        <f>IF(DevBdgt!O$6&lt;=DispositionMonth,O287,0)</f>
        <v>0</v>
      </c>
      <c r="P301" s="407">
        <f>IF(DevBdgt!P$6&lt;=DispositionMonth,P287,0)</f>
        <v>0</v>
      </c>
      <c r="Q301" s="407">
        <f>IF(DevBdgt!Q$6&lt;=DispositionMonth,Q287,0)</f>
        <v>0</v>
      </c>
      <c r="R301" s="407">
        <f>IF(DevBdgt!R$6&lt;=DispositionMonth,R287,0)</f>
        <v>0</v>
      </c>
      <c r="S301" s="407">
        <f>IF(DevBdgt!S$6&lt;=DispositionMonth,S287,0)</f>
        <v>0</v>
      </c>
      <c r="T301" s="407">
        <f>IF(DevBdgt!T$6&lt;=DispositionMonth,T287,0)</f>
        <v>0</v>
      </c>
      <c r="U301" s="407">
        <f>IF(DevBdgt!U$6&lt;=DispositionMonth,U287,0)</f>
        <v>0</v>
      </c>
      <c r="V301" s="407">
        <f>IF(DevBdgt!V$6&lt;=DispositionMonth,V287,0)</f>
        <v>0</v>
      </c>
      <c r="W301" s="407">
        <f>IF(DevBdgt!W$6&lt;=DispositionMonth,W287,0)</f>
        <v>0</v>
      </c>
      <c r="X301" s="407">
        <f>IF(DevBdgt!X$6&lt;=DispositionMonth,X287,0)</f>
        <v>0</v>
      </c>
      <c r="Y301" s="407">
        <f>IF(DevBdgt!Y$6&lt;=DispositionMonth,Y287,0)</f>
        <v>0</v>
      </c>
      <c r="Z301" s="407">
        <f>IF(DevBdgt!Z$6&lt;=DispositionMonth,Z287,0)</f>
        <v>0</v>
      </c>
      <c r="AA301" s="407">
        <f>IF(DevBdgt!AA$6&lt;=DispositionMonth,AA287,0)</f>
        <v>0</v>
      </c>
      <c r="AB301" s="407">
        <f>IF(DevBdgt!AB$6&lt;=DispositionMonth,AB287,0)</f>
        <v>0</v>
      </c>
      <c r="AC301" s="407">
        <f>IF(DevBdgt!AC$6&lt;=DispositionMonth,AC287,0)</f>
        <v>0</v>
      </c>
      <c r="AD301" s="407">
        <f>IF(DevBdgt!AD$6&lt;=DispositionMonth,AD287,0)</f>
        <v>0</v>
      </c>
      <c r="AE301" s="407">
        <f>IF(DevBdgt!AE$6&lt;=DispositionMonth,AE287,0)</f>
        <v>0</v>
      </c>
      <c r="AF301" s="407">
        <f>IF(DevBdgt!AF$6&lt;=DispositionMonth,AF287,0)</f>
        <v>0</v>
      </c>
      <c r="AG301" s="407">
        <f ca="1">IF(DevBdgt!AG$6&lt;=DispositionMonth,AG287,0)</f>
        <v>8376324.4538163161</v>
      </c>
      <c r="AH301" s="407">
        <f>IF(DevBdgt!AH$6&lt;=DispositionMonth,AH287,0)</f>
        <v>0</v>
      </c>
      <c r="AI301" s="407">
        <f>IF(DevBdgt!AI$6&lt;=DispositionMonth,AI287,0)</f>
        <v>0</v>
      </c>
      <c r="AJ301" s="407">
        <f>IF(DevBdgt!AJ$6&lt;=DispositionMonth,AJ287,0)</f>
        <v>0</v>
      </c>
      <c r="AK301" s="407">
        <f>IF(DevBdgt!AK$6&lt;=DispositionMonth,AK287,0)</f>
        <v>0</v>
      </c>
      <c r="AL301" s="407">
        <f>IF(DevBdgt!AL$6&lt;=DispositionMonth,AL287,0)</f>
        <v>0</v>
      </c>
      <c r="AM301" s="407">
        <f>IF(DevBdgt!AM$6&lt;=DispositionMonth,AM287,0)</f>
        <v>0</v>
      </c>
      <c r="AN301" s="407">
        <f>IF(DevBdgt!AN$6&lt;=DispositionMonth,AN287,0)</f>
        <v>0</v>
      </c>
      <c r="AO301" s="407">
        <f>IF(DevBdgt!AO$6&lt;=DispositionMonth,AO287,0)</f>
        <v>0</v>
      </c>
      <c r="AP301" s="407">
        <f>IF(DevBdgt!AP$6&lt;=DispositionMonth,AP287,0)</f>
        <v>0</v>
      </c>
      <c r="AQ301" s="407">
        <f>IF(DevBdgt!AQ$6&lt;=DispositionMonth,AQ287,0)</f>
        <v>0</v>
      </c>
      <c r="AR301" s="407">
        <f>IF(DevBdgt!AR$6&lt;=DispositionMonth,AR287,0)</f>
        <v>0</v>
      </c>
      <c r="AS301" s="407">
        <f>IF(DevBdgt!AS$6&lt;=DispositionMonth,AS287,0)</f>
        <v>0</v>
      </c>
      <c r="AT301" s="407">
        <f>IF(DevBdgt!AT$6&lt;=DispositionMonth,AT287,0)</f>
        <v>0</v>
      </c>
      <c r="AU301" s="407">
        <f>IF(DevBdgt!AU$6&lt;=DispositionMonth,AU287,0)</f>
        <v>0</v>
      </c>
      <c r="AV301" s="407">
        <f>IF(DevBdgt!AV$6&lt;=DispositionMonth,AV287,0)</f>
        <v>0</v>
      </c>
      <c r="AW301" s="407">
        <f>IF(DevBdgt!AW$6&lt;=DispositionMonth,AW287,0)</f>
        <v>0</v>
      </c>
      <c r="AX301" s="407">
        <f>IF(DevBdgt!AX$6&lt;=DispositionMonth,AX287,0)</f>
        <v>0</v>
      </c>
      <c r="AY301" s="407">
        <f>IF(DevBdgt!AY$6&lt;=DispositionMonth,AY287,0)</f>
        <v>0</v>
      </c>
      <c r="AZ301" s="407">
        <f>IF(DevBdgt!AZ$6&lt;=DispositionMonth,AZ287,0)</f>
        <v>0</v>
      </c>
      <c r="BA301" s="407">
        <f>IF(DevBdgt!BA$6&lt;=DispositionMonth,BA287,0)</f>
        <v>0</v>
      </c>
      <c r="BB301" s="407">
        <f>IF(DevBdgt!BB$6&lt;=DispositionMonth,BB287,0)</f>
        <v>0</v>
      </c>
      <c r="BC301" s="407">
        <f>IF(DevBdgt!BC$6&lt;=DispositionMonth,BC287,0)</f>
        <v>0</v>
      </c>
      <c r="BD301" s="407">
        <f>IF(DevBdgt!BD$6&lt;=DispositionMonth,BD287,0)</f>
        <v>0</v>
      </c>
      <c r="BE301" s="407">
        <f>IF(DevBdgt!BE$6&lt;=DispositionMonth,BE287,0)</f>
        <v>0</v>
      </c>
      <c r="BF301" s="407">
        <f>IF(DevBdgt!BF$6&lt;=DispositionMonth,BF287,0)</f>
        <v>0</v>
      </c>
      <c r="BG301" s="407">
        <f>IF(DevBdgt!BG$6&lt;=DispositionMonth,BG287,0)</f>
        <v>0</v>
      </c>
      <c r="BH301" s="407">
        <f>IF(DevBdgt!BH$6&lt;=DispositionMonth,BH287,0)</f>
        <v>0</v>
      </c>
      <c r="BI301" s="407">
        <f>IF(DevBdgt!BI$6&lt;=DispositionMonth,BI287,0)</f>
        <v>0</v>
      </c>
      <c r="BJ301" s="407">
        <f>IF(DevBdgt!BJ$6&lt;=DispositionMonth,BJ287,0)</f>
        <v>0</v>
      </c>
      <c r="BK301" s="407">
        <f>IF(DevBdgt!BK$6&lt;=DispositionMonth,BK287,0)</f>
        <v>0</v>
      </c>
      <c r="BL301" s="407">
        <f>IF(DevBdgt!BL$6&lt;=DispositionMonth,BL287,0)</f>
        <v>0</v>
      </c>
      <c r="BM301" s="407">
        <f>IF(DevBdgt!BM$6&lt;=DispositionMonth,BM287,0)</f>
        <v>0</v>
      </c>
      <c r="BN301" s="407">
        <f>IF(DevBdgt!BN$6&lt;=DispositionMonth,BN287,0)</f>
        <v>0</v>
      </c>
      <c r="BO301" s="407">
        <f>IF(DevBdgt!BO$6&lt;=DispositionMonth,BO287,0)</f>
        <v>0</v>
      </c>
      <c r="BP301" s="407">
        <f>IF(DevBdgt!BP$6&lt;=DispositionMonth,BP287,0)</f>
        <v>0</v>
      </c>
      <c r="BQ301" s="407">
        <f>IF(DevBdgt!BQ$6&lt;=DispositionMonth,BQ287,0)</f>
        <v>0</v>
      </c>
      <c r="BR301" s="407">
        <f>IF(DevBdgt!BR$6&lt;=DispositionMonth,BR287,0)</f>
        <v>0</v>
      </c>
      <c r="BS301" s="407">
        <f>IF(DevBdgt!BS$6&lt;=DispositionMonth,BS287,0)</f>
        <v>0</v>
      </c>
      <c r="BT301" s="407">
        <f>IF(DevBdgt!BT$6&lt;=DispositionMonth,BT287,0)</f>
        <v>0</v>
      </c>
      <c r="BU301" s="407">
        <f>IF(DevBdgt!BU$6&lt;=DispositionMonth,BU287,0)</f>
        <v>0</v>
      </c>
      <c r="BV301" s="407">
        <f>IF(DevBdgt!BV$6&lt;=DispositionMonth,BV287,0)</f>
        <v>0</v>
      </c>
      <c r="BW301" s="407">
        <f>IF(DevBdgt!BW$6&lt;=DispositionMonth,BW287,0)</f>
        <v>0</v>
      </c>
      <c r="BX301" s="407">
        <f>IF(DevBdgt!BX$6&lt;=DispositionMonth,BX287,0)</f>
        <v>0</v>
      </c>
      <c r="BY301" s="407">
        <f>IF(DevBdgt!BY$6&lt;=DispositionMonth,BY287,0)</f>
        <v>0</v>
      </c>
      <c r="BZ301" s="407">
        <f>IF(DevBdgt!BZ$6&lt;=DispositionMonth,BZ287,0)</f>
        <v>0</v>
      </c>
      <c r="CA301" s="407">
        <f>IF(DevBdgt!CA$6&lt;=DispositionMonth,CA287,0)</f>
        <v>0</v>
      </c>
      <c r="CB301" s="407">
        <f>IF(DevBdgt!CB$6&lt;=DispositionMonth,CB287,0)</f>
        <v>0</v>
      </c>
      <c r="CC301" s="407">
        <f>IF(DevBdgt!CC$6&lt;=DispositionMonth,CC287,0)</f>
        <v>0</v>
      </c>
      <c r="CD301" s="407">
        <f>IF(DevBdgt!CD$6&lt;=DispositionMonth,CD287,0)</f>
        <v>0</v>
      </c>
      <c r="CE301" s="407">
        <f>IF(DevBdgt!CE$6&lt;=DispositionMonth,CE287,0)</f>
        <v>0</v>
      </c>
      <c r="CF301" s="407">
        <f>IF(DevBdgt!CF$6&lt;=DispositionMonth,CF287,0)</f>
        <v>0</v>
      </c>
      <c r="CG301" s="407">
        <f>IF(DevBdgt!CG$6&lt;=DispositionMonth,CG287,0)</f>
        <v>0</v>
      </c>
      <c r="CH301" s="407">
        <f>IF(DevBdgt!CH$6&lt;=DispositionMonth,CH287,0)</f>
        <v>0</v>
      </c>
      <c r="CI301" s="407">
        <f>IF(DevBdgt!CI$6&lt;=DispositionMonth,CI287,0)</f>
        <v>0</v>
      </c>
      <c r="CJ301" s="407">
        <f>IF(DevBdgt!CJ$6&lt;=DispositionMonth,CJ287,0)</f>
        <v>0</v>
      </c>
      <c r="CK301" s="407">
        <f>IF(DevBdgt!CK$6&lt;=DispositionMonth,CK287,0)</f>
        <v>0</v>
      </c>
      <c r="CL301" s="407">
        <f>IF(DevBdgt!CL$6&lt;=DispositionMonth,CL287,0)</f>
        <v>0</v>
      </c>
      <c r="CM301" s="407">
        <f>IF(DevBdgt!CM$6&lt;=DispositionMonth,CM287,0)</f>
        <v>0</v>
      </c>
      <c r="CN301" s="407">
        <f>IF(DevBdgt!CN$6&lt;=DispositionMonth,CN287,0)</f>
        <v>0</v>
      </c>
      <c r="CO301" s="407">
        <f>IF(DevBdgt!CO$6&lt;=DispositionMonth,CO287,0)</f>
        <v>0</v>
      </c>
      <c r="CP301" s="407">
        <f>IF(DevBdgt!CP$6&lt;=DispositionMonth,CP287,0)</f>
        <v>0</v>
      </c>
      <c r="CQ301" s="407">
        <f>IF(DevBdgt!CQ$6&lt;=DispositionMonth,CQ287,0)</f>
        <v>0</v>
      </c>
      <c r="CR301" s="407">
        <f>IF(DevBdgt!CR$6&lt;=DispositionMonth,CR287,0)</f>
        <v>0</v>
      </c>
      <c r="CS301" s="407">
        <f>IF(DevBdgt!CS$6&lt;=DispositionMonth,CS287,0)</f>
        <v>0</v>
      </c>
      <c r="CT301" s="407">
        <f>IF(DevBdgt!CT$6&lt;=DispositionMonth,CT287,0)</f>
        <v>0</v>
      </c>
      <c r="CU301" s="407">
        <f>IF(DevBdgt!CU$6&lt;=DispositionMonth,CU287,0)</f>
        <v>0</v>
      </c>
      <c r="CV301" s="407">
        <f>IF(DevBdgt!CV$6&lt;=DispositionMonth,CV287,0)</f>
        <v>0</v>
      </c>
      <c r="CW301" s="407">
        <f>IF(DevBdgt!CW$6&lt;=DispositionMonth,CW287,0)</f>
        <v>0</v>
      </c>
      <c r="CX301" s="407">
        <f>IF(DevBdgt!CX$6&lt;=DispositionMonth,CX287,0)</f>
        <v>0</v>
      </c>
      <c r="CY301" s="407">
        <f>IF(DevBdgt!CY$6&lt;=DispositionMonth,CY287,0)</f>
        <v>0</v>
      </c>
      <c r="CZ301" s="407">
        <f>IF(DevBdgt!CZ$6&lt;=DispositionMonth,CZ287,0)</f>
        <v>0</v>
      </c>
      <c r="DA301" s="407">
        <f>IF(DevBdgt!DA$6&lt;=DispositionMonth,DA287,0)</f>
        <v>0</v>
      </c>
      <c r="DB301" s="407">
        <f>IF(DevBdgt!DB$6&lt;=DispositionMonth,DB287,0)</f>
        <v>0</v>
      </c>
      <c r="DC301" s="407">
        <f>IF(DevBdgt!DC$6&lt;=DispositionMonth,DC287,0)</f>
        <v>0</v>
      </c>
      <c r="DD301" s="407">
        <f>IF(DevBdgt!DD$6&lt;=DispositionMonth,DD287,0)</f>
        <v>0</v>
      </c>
      <c r="DE301" s="407">
        <f>IF(DevBdgt!DE$6&lt;=DispositionMonth,DE287,0)</f>
        <v>0</v>
      </c>
      <c r="DF301" s="407">
        <f>IF(DevBdgt!DF$6&lt;=DispositionMonth,DF287,0)</f>
        <v>0</v>
      </c>
      <c r="DG301" s="407">
        <f>IF(DevBdgt!DG$6&lt;=DispositionMonth,DG287,0)</f>
        <v>0</v>
      </c>
      <c r="DH301" s="407">
        <f>IF(DevBdgt!DH$6&lt;=DispositionMonth,DH287,0)</f>
        <v>0</v>
      </c>
      <c r="DI301" s="407">
        <f>IF(DevBdgt!DI$6&lt;=DispositionMonth,DI287,0)</f>
        <v>0</v>
      </c>
      <c r="DJ301" s="407">
        <f>IF(DevBdgt!DJ$6&lt;=DispositionMonth,DJ287,0)</f>
        <v>0</v>
      </c>
      <c r="DK301" s="407">
        <f>IF(DevBdgt!DK$6&lt;=DispositionMonth,DK287,0)</f>
        <v>0</v>
      </c>
      <c r="DL301" s="407">
        <f>IF(DevBdgt!DL$6&lt;=DispositionMonth,DL287,0)</f>
        <v>0</v>
      </c>
      <c r="DM301" s="407">
        <f>IF(DevBdgt!DM$6&lt;=DispositionMonth,DM287,0)</f>
        <v>0</v>
      </c>
      <c r="DN301" s="407">
        <f>IF(DevBdgt!DN$6&lt;=DispositionMonth,DN287,0)</f>
        <v>0</v>
      </c>
      <c r="DO301" s="407">
        <f>IF(DevBdgt!DO$6&lt;=DispositionMonth,DO287,0)</f>
        <v>0</v>
      </c>
      <c r="DP301" s="407">
        <f>IF(DevBdgt!DP$6&lt;=DispositionMonth,DP287,0)</f>
        <v>0</v>
      </c>
      <c r="DQ301" s="407">
        <f>IF(DevBdgt!DQ$6&lt;=DispositionMonth,DQ287,0)</f>
        <v>0</v>
      </c>
      <c r="DR301" s="407">
        <f>IF(DevBdgt!DR$6&lt;=DispositionMonth,DR287,0)</f>
        <v>0</v>
      </c>
      <c r="DS301" s="407">
        <f>IF(DevBdgt!DS$6&lt;=DispositionMonth,DS287,0)</f>
        <v>0</v>
      </c>
      <c r="DT301" s="407">
        <f>IF(DevBdgt!DT$6&lt;=DispositionMonth,DT287,0)</f>
        <v>0</v>
      </c>
      <c r="DU301" s="407">
        <f>IF(DevBdgt!DU$6&lt;=DispositionMonth,DU287,0)</f>
        <v>0</v>
      </c>
      <c r="EI301" s="722"/>
    </row>
    <row r="302" spans="1:139" ht="15" thickBot="1" x14ac:dyDescent="0.35">
      <c r="A302" s="436" t="s">
        <v>2524</v>
      </c>
      <c r="B302" s="436"/>
      <c r="C302" s="439">
        <f ca="1">(1+IRR(E302:DU302,0.01))^12-1</f>
        <v>0.88796279652512533</v>
      </c>
      <c r="D302" s="745"/>
      <c r="E302" s="433">
        <f t="shared" ref="E302:AZ302" ca="1" si="499">SUM(E298:E301)</f>
        <v>-187200.69504114857</v>
      </c>
      <c r="F302" s="433">
        <f t="shared" ca="1" si="499"/>
        <v>-1519969.0317023587</v>
      </c>
      <c r="G302" s="433">
        <f t="shared" ca="1" si="499"/>
        <v>-47750.954329989538</v>
      </c>
      <c r="H302" s="433">
        <f t="shared" ca="1" si="499"/>
        <v>-72501.804750386145</v>
      </c>
      <c r="I302" s="433">
        <f t="shared" ca="1" si="499"/>
        <v>-123135.14260033611</v>
      </c>
      <c r="J302" s="433">
        <f t="shared" ca="1" si="499"/>
        <v>-200944.5086243379</v>
      </c>
      <c r="K302" s="433">
        <f t="shared" ca="1" si="499"/>
        <v>-206827.72828140811</v>
      </c>
      <c r="L302" s="433">
        <f t="shared" ca="1" si="499"/>
        <v>-263555.60946173384</v>
      </c>
      <c r="M302" s="433">
        <f t="shared" ca="1" si="499"/>
        <v>-312631.13752459432</v>
      </c>
      <c r="N302" s="433">
        <f t="shared" ca="1" si="499"/>
        <v>-365964.46239059581</v>
      </c>
      <c r="O302" s="433">
        <f t="shared" ca="1" si="499"/>
        <v>-207702.02069114055</v>
      </c>
      <c r="P302" s="433">
        <f t="shared" ca="1" si="499"/>
        <v>0</v>
      </c>
      <c r="Q302" s="433">
        <f t="shared" ca="1" si="499"/>
        <v>0</v>
      </c>
      <c r="R302" s="433">
        <f t="shared" ca="1" si="499"/>
        <v>0</v>
      </c>
      <c r="S302" s="433">
        <f t="shared" ca="1" si="499"/>
        <v>0</v>
      </c>
      <c r="T302" s="433">
        <f t="shared" ca="1" si="499"/>
        <v>0</v>
      </c>
      <c r="U302" s="433">
        <f t="shared" ca="1" si="499"/>
        <v>0</v>
      </c>
      <c r="V302" s="433">
        <f t="shared" ca="1" si="499"/>
        <v>0</v>
      </c>
      <c r="W302" s="433">
        <f t="shared" ca="1" si="499"/>
        <v>0</v>
      </c>
      <c r="X302" s="433">
        <f t="shared" ca="1" si="499"/>
        <v>0</v>
      </c>
      <c r="Y302" s="433">
        <f t="shared" ca="1" si="499"/>
        <v>0</v>
      </c>
      <c r="Z302" s="433">
        <f t="shared" ca="1" si="499"/>
        <v>0</v>
      </c>
      <c r="AA302" s="433">
        <f t="shared" ca="1" si="499"/>
        <v>0</v>
      </c>
      <c r="AB302" s="433">
        <f t="shared" ca="1" si="499"/>
        <v>0</v>
      </c>
      <c r="AC302" s="433">
        <f t="shared" ca="1" si="499"/>
        <v>4411.302949009133</v>
      </c>
      <c r="AD302" s="433">
        <f t="shared" ca="1" si="499"/>
        <v>8433.0422386363189</v>
      </c>
      <c r="AE302" s="433">
        <f t="shared" ca="1" si="499"/>
        <v>13012.426310856763</v>
      </c>
      <c r="AF302" s="433">
        <f t="shared" ca="1" si="499"/>
        <v>21956.223728908131</v>
      </c>
      <c r="AG302" s="433">
        <f t="shared" ca="1" si="499"/>
        <v>12608276.591143321</v>
      </c>
      <c r="AH302" s="433">
        <f t="shared" si="499"/>
        <v>0</v>
      </c>
      <c r="AI302" s="433">
        <f t="shared" si="499"/>
        <v>0</v>
      </c>
      <c r="AJ302" s="433">
        <f t="shared" si="499"/>
        <v>0</v>
      </c>
      <c r="AK302" s="433">
        <f t="shared" si="499"/>
        <v>0</v>
      </c>
      <c r="AL302" s="433">
        <f t="shared" si="499"/>
        <v>0</v>
      </c>
      <c r="AM302" s="433">
        <f t="shared" si="499"/>
        <v>0</v>
      </c>
      <c r="AN302" s="433">
        <f t="shared" si="499"/>
        <v>0</v>
      </c>
      <c r="AO302" s="433">
        <f t="shared" si="499"/>
        <v>0</v>
      </c>
      <c r="AP302" s="433">
        <f t="shared" si="499"/>
        <v>0</v>
      </c>
      <c r="AQ302" s="433">
        <f t="shared" si="499"/>
        <v>0</v>
      </c>
      <c r="AR302" s="433">
        <f t="shared" si="499"/>
        <v>0</v>
      </c>
      <c r="AS302" s="433">
        <f t="shared" si="499"/>
        <v>0</v>
      </c>
      <c r="AT302" s="433">
        <f t="shared" si="499"/>
        <v>0</v>
      </c>
      <c r="AU302" s="433">
        <f t="shared" si="499"/>
        <v>0</v>
      </c>
      <c r="AV302" s="433">
        <f t="shared" si="499"/>
        <v>0</v>
      </c>
      <c r="AW302" s="433">
        <f t="shared" si="499"/>
        <v>0</v>
      </c>
      <c r="AX302" s="433">
        <f t="shared" si="499"/>
        <v>0</v>
      </c>
      <c r="AY302" s="433">
        <f t="shared" si="499"/>
        <v>0</v>
      </c>
      <c r="AZ302" s="433">
        <f t="shared" si="499"/>
        <v>0</v>
      </c>
      <c r="BA302" s="433">
        <f>SUM(BA298:BA301)</f>
        <v>0</v>
      </c>
      <c r="BB302" s="433">
        <f t="shared" ref="BB302:DM302" si="500">SUM(BB298:BB301)</f>
        <v>0</v>
      </c>
      <c r="BC302" s="433">
        <f t="shared" si="500"/>
        <v>0</v>
      </c>
      <c r="BD302" s="433">
        <f t="shared" si="500"/>
        <v>0</v>
      </c>
      <c r="BE302" s="433">
        <f t="shared" si="500"/>
        <v>0</v>
      </c>
      <c r="BF302" s="433">
        <f t="shared" si="500"/>
        <v>0</v>
      </c>
      <c r="BG302" s="433">
        <f t="shared" si="500"/>
        <v>0</v>
      </c>
      <c r="BH302" s="433">
        <f t="shared" si="500"/>
        <v>0</v>
      </c>
      <c r="BI302" s="433">
        <f t="shared" si="500"/>
        <v>0</v>
      </c>
      <c r="BJ302" s="433">
        <f t="shared" si="500"/>
        <v>0</v>
      </c>
      <c r="BK302" s="433">
        <f t="shared" si="500"/>
        <v>0</v>
      </c>
      <c r="BL302" s="433">
        <f t="shared" si="500"/>
        <v>0</v>
      </c>
      <c r="BM302" s="433">
        <f t="shared" si="500"/>
        <v>0</v>
      </c>
      <c r="BN302" s="433">
        <f t="shared" si="500"/>
        <v>0</v>
      </c>
      <c r="BO302" s="433">
        <f t="shared" si="500"/>
        <v>0</v>
      </c>
      <c r="BP302" s="433">
        <f t="shared" si="500"/>
        <v>0</v>
      </c>
      <c r="BQ302" s="433">
        <f t="shared" si="500"/>
        <v>0</v>
      </c>
      <c r="BR302" s="433">
        <f t="shared" si="500"/>
        <v>0</v>
      </c>
      <c r="BS302" s="433">
        <f t="shared" si="500"/>
        <v>0</v>
      </c>
      <c r="BT302" s="433">
        <f t="shared" si="500"/>
        <v>0</v>
      </c>
      <c r="BU302" s="433">
        <f t="shared" si="500"/>
        <v>0</v>
      </c>
      <c r="BV302" s="433">
        <f t="shared" si="500"/>
        <v>0</v>
      </c>
      <c r="BW302" s="433">
        <f t="shared" si="500"/>
        <v>0</v>
      </c>
      <c r="BX302" s="433">
        <f t="shared" si="500"/>
        <v>0</v>
      </c>
      <c r="BY302" s="433">
        <f t="shared" si="500"/>
        <v>0</v>
      </c>
      <c r="BZ302" s="433">
        <f t="shared" si="500"/>
        <v>0</v>
      </c>
      <c r="CA302" s="433">
        <f t="shared" si="500"/>
        <v>0</v>
      </c>
      <c r="CB302" s="433">
        <f t="shared" si="500"/>
        <v>0</v>
      </c>
      <c r="CC302" s="433">
        <f t="shared" si="500"/>
        <v>0</v>
      </c>
      <c r="CD302" s="433">
        <f t="shared" si="500"/>
        <v>0</v>
      </c>
      <c r="CE302" s="433">
        <f t="shared" si="500"/>
        <v>0</v>
      </c>
      <c r="CF302" s="433">
        <f t="shared" si="500"/>
        <v>0</v>
      </c>
      <c r="CG302" s="433">
        <f t="shared" si="500"/>
        <v>0</v>
      </c>
      <c r="CH302" s="433">
        <f t="shared" si="500"/>
        <v>0</v>
      </c>
      <c r="CI302" s="433">
        <f t="shared" si="500"/>
        <v>0</v>
      </c>
      <c r="CJ302" s="433">
        <f t="shared" si="500"/>
        <v>0</v>
      </c>
      <c r="CK302" s="433">
        <f t="shared" si="500"/>
        <v>0</v>
      </c>
      <c r="CL302" s="433">
        <f t="shared" si="500"/>
        <v>0</v>
      </c>
      <c r="CM302" s="433">
        <f t="shared" si="500"/>
        <v>0</v>
      </c>
      <c r="CN302" s="433">
        <f t="shared" si="500"/>
        <v>0</v>
      </c>
      <c r="CO302" s="433">
        <f t="shared" si="500"/>
        <v>0</v>
      </c>
      <c r="CP302" s="433">
        <f t="shared" si="500"/>
        <v>0</v>
      </c>
      <c r="CQ302" s="433">
        <f t="shared" si="500"/>
        <v>0</v>
      </c>
      <c r="CR302" s="433">
        <f t="shared" si="500"/>
        <v>0</v>
      </c>
      <c r="CS302" s="433">
        <f t="shared" si="500"/>
        <v>0</v>
      </c>
      <c r="CT302" s="433">
        <f t="shared" si="500"/>
        <v>0</v>
      </c>
      <c r="CU302" s="433">
        <f t="shared" si="500"/>
        <v>0</v>
      </c>
      <c r="CV302" s="433">
        <f t="shared" si="500"/>
        <v>0</v>
      </c>
      <c r="CW302" s="433">
        <f t="shared" si="500"/>
        <v>0</v>
      </c>
      <c r="CX302" s="433">
        <f t="shared" si="500"/>
        <v>0</v>
      </c>
      <c r="CY302" s="433">
        <f t="shared" si="500"/>
        <v>0</v>
      </c>
      <c r="CZ302" s="433">
        <f t="shared" si="500"/>
        <v>0</v>
      </c>
      <c r="DA302" s="433">
        <f t="shared" si="500"/>
        <v>0</v>
      </c>
      <c r="DB302" s="433">
        <f t="shared" si="500"/>
        <v>0</v>
      </c>
      <c r="DC302" s="433">
        <f t="shared" si="500"/>
        <v>0</v>
      </c>
      <c r="DD302" s="433">
        <f t="shared" si="500"/>
        <v>0</v>
      </c>
      <c r="DE302" s="433">
        <f t="shared" si="500"/>
        <v>0</v>
      </c>
      <c r="DF302" s="433">
        <f t="shared" si="500"/>
        <v>0</v>
      </c>
      <c r="DG302" s="433">
        <f t="shared" si="500"/>
        <v>0</v>
      </c>
      <c r="DH302" s="433">
        <f t="shared" si="500"/>
        <v>0</v>
      </c>
      <c r="DI302" s="433">
        <f t="shared" si="500"/>
        <v>0</v>
      </c>
      <c r="DJ302" s="433">
        <f t="shared" si="500"/>
        <v>0</v>
      </c>
      <c r="DK302" s="433">
        <f t="shared" si="500"/>
        <v>0</v>
      </c>
      <c r="DL302" s="433">
        <f t="shared" si="500"/>
        <v>0</v>
      </c>
      <c r="DM302" s="433">
        <f t="shared" si="500"/>
        <v>0</v>
      </c>
      <c r="DN302" s="433">
        <f t="shared" ref="DN302:DU302" si="501">SUM(DN298:DN301)</f>
        <v>0</v>
      </c>
      <c r="DO302" s="433">
        <f t="shared" si="501"/>
        <v>0</v>
      </c>
      <c r="DP302" s="433">
        <f t="shared" si="501"/>
        <v>0</v>
      </c>
      <c r="DQ302" s="433">
        <f t="shared" si="501"/>
        <v>0</v>
      </c>
      <c r="DR302" s="433">
        <f t="shared" si="501"/>
        <v>0</v>
      </c>
      <c r="DS302" s="433">
        <f t="shared" si="501"/>
        <v>0</v>
      </c>
      <c r="DT302" s="433">
        <f t="shared" si="501"/>
        <v>0</v>
      </c>
      <c r="DU302" s="433">
        <f t="shared" si="501"/>
        <v>0</v>
      </c>
      <c r="EI302" s="280"/>
    </row>
    <row r="303" spans="1:139" ht="7.5" customHeight="1" thickTop="1" thickBot="1" x14ac:dyDescent="0.35">
      <c r="D303" s="282"/>
      <c r="EI303" s="722"/>
    </row>
    <row r="304" spans="1:139" ht="15.75" customHeight="1" thickTop="1" x14ac:dyDescent="0.3">
      <c r="A304" s="2782" t="str">
        <f>"INTERNAL RATE OF RETURN - "&amp;'General Inputs'!$L$29</f>
        <v>INTERNAL RATE OF RETURN - LAND</v>
      </c>
      <c r="B304" s="2783"/>
      <c r="C304" s="2784"/>
      <c r="D304" s="728"/>
      <c r="E304" s="322"/>
      <c r="F304" s="322"/>
      <c r="G304" s="322"/>
      <c r="H304" s="322"/>
      <c r="I304" s="322"/>
      <c r="J304" s="322"/>
      <c r="K304" s="322"/>
      <c r="L304" s="322"/>
      <c r="M304" s="322"/>
      <c r="N304" s="322"/>
      <c r="O304" s="322"/>
      <c r="P304" s="322"/>
      <c r="Q304" s="322"/>
      <c r="R304" s="322"/>
      <c r="S304" s="322"/>
      <c r="T304" s="322"/>
      <c r="U304" s="322"/>
      <c r="V304" s="322"/>
      <c r="W304" s="322"/>
      <c r="X304" s="322"/>
      <c r="Y304" s="322"/>
      <c r="Z304" s="322"/>
      <c r="AA304" s="322"/>
      <c r="AB304" s="322"/>
      <c r="AC304" s="322"/>
      <c r="AD304" s="322"/>
      <c r="AE304" s="322"/>
      <c r="AF304" s="322"/>
      <c r="AG304" s="322"/>
      <c r="AH304" s="322"/>
      <c r="AI304" s="322"/>
      <c r="AJ304" s="322"/>
      <c r="AK304" s="322"/>
      <c r="AL304" s="322"/>
      <c r="AM304" s="322"/>
      <c r="AN304" s="322"/>
      <c r="AO304" s="322"/>
      <c r="AP304" s="322"/>
      <c r="AQ304" s="322"/>
      <c r="AR304" s="322"/>
      <c r="AS304" s="322"/>
      <c r="AT304" s="322"/>
      <c r="AU304" s="322"/>
      <c r="AV304" s="322"/>
      <c r="AW304" s="322"/>
      <c r="AX304" s="322"/>
      <c r="AY304" s="322"/>
      <c r="AZ304" s="322"/>
      <c r="BA304" s="322"/>
      <c r="BB304" s="322"/>
      <c r="BC304" s="322"/>
      <c r="BD304" s="322"/>
      <c r="BE304" s="322"/>
      <c r="BF304" s="322"/>
      <c r="BG304" s="322"/>
      <c r="BH304" s="322"/>
      <c r="BI304" s="322"/>
      <c r="BJ304" s="322"/>
      <c r="BK304" s="322"/>
      <c r="BL304" s="322"/>
      <c r="BM304" s="322"/>
      <c r="BN304" s="322"/>
      <c r="BO304" s="322"/>
      <c r="BP304" s="322"/>
      <c r="BQ304" s="322"/>
      <c r="BR304" s="322"/>
      <c r="BS304" s="322"/>
      <c r="BT304" s="322"/>
      <c r="BU304" s="322"/>
      <c r="BV304" s="322"/>
      <c r="BW304" s="322"/>
      <c r="BX304" s="322"/>
      <c r="BY304" s="322"/>
      <c r="BZ304" s="322"/>
      <c r="CA304" s="322"/>
      <c r="CB304" s="322"/>
      <c r="CC304" s="322"/>
      <c r="CD304" s="322"/>
      <c r="CE304" s="322"/>
      <c r="CF304" s="322"/>
      <c r="CG304" s="322"/>
      <c r="CH304" s="322"/>
      <c r="CI304" s="322"/>
      <c r="CJ304" s="322"/>
      <c r="CK304" s="322"/>
      <c r="CL304" s="322"/>
      <c r="CM304" s="322"/>
      <c r="CN304" s="322"/>
      <c r="CO304" s="322"/>
      <c r="CP304" s="322"/>
      <c r="CQ304" s="322"/>
      <c r="CR304" s="322"/>
      <c r="CS304" s="322"/>
      <c r="CT304" s="322"/>
      <c r="CU304" s="322"/>
      <c r="CV304" s="322"/>
      <c r="CW304" s="322"/>
      <c r="CX304" s="322"/>
      <c r="CY304" s="322"/>
      <c r="CZ304" s="322"/>
      <c r="DA304" s="322"/>
      <c r="DB304" s="322"/>
      <c r="DC304" s="322"/>
      <c r="DD304" s="322"/>
      <c r="DE304" s="322"/>
      <c r="DF304" s="322"/>
      <c r="DG304" s="322"/>
      <c r="DH304" s="322"/>
      <c r="DI304" s="322"/>
      <c r="DJ304" s="322"/>
      <c r="DK304" s="322"/>
      <c r="DL304" s="322"/>
      <c r="DM304" s="322"/>
      <c r="DN304" s="322"/>
      <c r="DO304" s="322"/>
      <c r="DP304" s="322"/>
      <c r="DQ304" s="322"/>
      <c r="DR304" s="322"/>
      <c r="DS304" s="322"/>
      <c r="DT304" s="322"/>
      <c r="DU304" s="322"/>
      <c r="EH304" s="644"/>
      <c r="EI304" s="722"/>
    </row>
    <row r="305" spans="1:139" x14ac:dyDescent="0.3">
      <c r="A305" s="182" t="s">
        <v>2474</v>
      </c>
      <c r="B305" s="182"/>
      <c r="C305" s="182"/>
      <c r="D305" s="647"/>
      <c r="E305" s="408">
        <f>IF(DevBdgt!E$6&lt;=DispositionMonth,E223,0)</f>
        <v>0</v>
      </c>
      <c r="F305" s="408">
        <f>IF(DevBdgt!F$6&lt;=DispositionMonth,F223,0)</f>
        <v>0</v>
      </c>
      <c r="G305" s="408">
        <f>IF(DevBdgt!G$6&lt;=DispositionMonth,G223,0)</f>
        <v>0</v>
      </c>
      <c r="H305" s="408">
        <f>IF(DevBdgt!H$6&lt;=DispositionMonth,H223,0)</f>
        <v>0</v>
      </c>
      <c r="I305" s="408">
        <f>IF(DevBdgt!I$6&lt;=DispositionMonth,I223,0)</f>
        <v>0</v>
      </c>
      <c r="J305" s="408">
        <f>IF(DevBdgt!J$6&lt;=DispositionMonth,J223,0)</f>
        <v>0</v>
      </c>
      <c r="K305" s="408">
        <f>IF(DevBdgt!K$6&lt;=DispositionMonth,K223,0)</f>
        <v>0</v>
      </c>
      <c r="L305" s="408">
        <f>IF(DevBdgt!L$6&lt;=DispositionMonth,L223,0)</f>
        <v>0</v>
      </c>
      <c r="M305" s="408">
        <f>IF(DevBdgt!M$6&lt;=DispositionMonth,M223,0)</f>
        <v>0</v>
      </c>
      <c r="N305" s="408">
        <f>IF(DevBdgt!N$6&lt;=DispositionMonth,N223,0)</f>
        <v>0</v>
      </c>
      <c r="O305" s="408">
        <f>IF(DevBdgt!O$6&lt;=DispositionMonth,O223,0)</f>
        <v>0</v>
      </c>
      <c r="P305" s="408">
        <f>IF(DevBdgt!P$6&lt;=DispositionMonth,P223,0)</f>
        <v>0</v>
      </c>
      <c r="Q305" s="408">
        <f>IF(DevBdgt!Q$6&lt;=DispositionMonth,Q223,0)</f>
        <v>0</v>
      </c>
      <c r="R305" s="408">
        <f>IF(DevBdgt!R$6&lt;=DispositionMonth,R223,0)</f>
        <v>0</v>
      </c>
      <c r="S305" s="408">
        <f>IF(DevBdgt!S$6&lt;=DispositionMonth,S223,0)</f>
        <v>0</v>
      </c>
      <c r="T305" s="408">
        <f>IF(DevBdgt!T$6&lt;=DispositionMonth,T223,0)</f>
        <v>0</v>
      </c>
      <c r="U305" s="408">
        <f>IF(DevBdgt!U$6&lt;=DispositionMonth,U223,0)</f>
        <v>0</v>
      </c>
      <c r="V305" s="408">
        <f>IF(DevBdgt!V$6&lt;=DispositionMonth,V223,0)</f>
        <v>0</v>
      </c>
      <c r="W305" s="408">
        <f>IF(DevBdgt!W$6&lt;=DispositionMonth,W223,0)</f>
        <v>0</v>
      </c>
      <c r="X305" s="408">
        <f>IF(DevBdgt!X$6&lt;=DispositionMonth,X223,0)</f>
        <v>0</v>
      </c>
      <c r="Y305" s="408">
        <f>IF(DevBdgt!Y$6&lt;=DispositionMonth,Y223,0)</f>
        <v>0</v>
      </c>
      <c r="Z305" s="408">
        <f>IF(DevBdgt!Z$6&lt;=DispositionMonth,Z223,0)</f>
        <v>0</v>
      </c>
      <c r="AA305" s="408">
        <f>IF(DevBdgt!AA$6&lt;=DispositionMonth,AA223,0)</f>
        <v>0</v>
      </c>
      <c r="AB305" s="408">
        <f>IF(DevBdgt!AB$6&lt;=DispositionMonth,AB223,0)</f>
        <v>0</v>
      </c>
      <c r="AC305" s="408">
        <f>IF(DevBdgt!AC$6&lt;=DispositionMonth,AC223,0)</f>
        <v>0</v>
      </c>
      <c r="AD305" s="408">
        <f>IF(DevBdgt!AD$6&lt;=DispositionMonth,AD223,0)</f>
        <v>0</v>
      </c>
      <c r="AE305" s="408">
        <f>IF(DevBdgt!AE$6&lt;=DispositionMonth,AE223,0)</f>
        <v>0</v>
      </c>
      <c r="AF305" s="408">
        <f>IF(DevBdgt!AF$6&lt;=DispositionMonth,AF223,0)</f>
        <v>0</v>
      </c>
      <c r="AG305" s="408">
        <f>IF(DevBdgt!AG$6&lt;=DispositionMonth,AG223,0)</f>
        <v>0</v>
      </c>
      <c r="AH305" s="408">
        <f>IF(DevBdgt!AH$6&lt;=DispositionMonth,AH223,0)</f>
        <v>0</v>
      </c>
      <c r="AI305" s="408">
        <f>IF(DevBdgt!AI$6&lt;=DispositionMonth,AI223,0)</f>
        <v>0</v>
      </c>
      <c r="AJ305" s="408">
        <f>IF(DevBdgt!AJ$6&lt;=DispositionMonth,AJ223,0)</f>
        <v>0</v>
      </c>
      <c r="AK305" s="408">
        <f>IF(DevBdgt!AK$6&lt;=DispositionMonth,AK223,0)</f>
        <v>0</v>
      </c>
      <c r="AL305" s="408">
        <f>IF(DevBdgt!AL$6&lt;=DispositionMonth,AL223,0)</f>
        <v>0</v>
      </c>
      <c r="AM305" s="408">
        <f>IF(DevBdgt!AM$6&lt;=DispositionMonth,AM223,0)</f>
        <v>0</v>
      </c>
      <c r="AN305" s="408">
        <f>IF(DevBdgt!AN$6&lt;=DispositionMonth,AN223,0)</f>
        <v>0</v>
      </c>
      <c r="AO305" s="408">
        <f>IF(DevBdgt!AO$6&lt;=DispositionMonth,AO223,0)</f>
        <v>0</v>
      </c>
      <c r="AP305" s="408">
        <f>IF(DevBdgt!AP$6&lt;=DispositionMonth,AP223,0)</f>
        <v>0</v>
      </c>
      <c r="AQ305" s="408">
        <f>IF(DevBdgt!AQ$6&lt;=DispositionMonth,AQ223,0)</f>
        <v>0</v>
      </c>
      <c r="AR305" s="408">
        <f>IF(DevBdgt!AR$6&lt;=DispositionMonth,AR223,0)</f>
        <v>0</v>
      </c>
      <c r="AS305" s="408">
        <f>IF(DevBdgt!AS$6&lt;=DispositionMonth,AS223,0)</f>
        <v>0</v>
      </c>
      <c r="AT305" s="408">
        <f>IF(DevBdgt!AT$6&lt;=DispositionMonth,AT223,0)</f>
        <v>0</v>
      </c>
      <c r="AU305" s="408">
        <f>IF(DevBdgt!AU$6&lt;=DispositionMonth,AU223,0)</f>
        <v>0</v>
      </c>
      <c r="AV305" s="408">
        <f>IF(DevBdgt!AV$6&lt;=DispositionMonth,AV223,0)</f>
        <v>0</v>
      </c>
      <c r="AW305" s="408">
        <f>IF(DevBdgt!AW$6&lt;=DispositionMonth,AW223,0)</f>
        <v>0</v>
      </c>
      <c r="AX305" s="408">
        <f>IF(DevBdgt!AX$6&lt;=DispositionMonth,AX223,0)</f>
        <v>0</v>
      </c>
      <c r="AY305" s="408">
        <f>IF(DevBdgt!AY$6&lt;=DispositionMonth,AY223,0)</f>
        <v>0</v>
      </c>
      <c r="AZ305" s="408">
        <f>IF(DevBdgt!AZ$6&lt;=DispositionMonth,AZ223,0)</f>
        <v>0</v>
      </c>
      <c r="BA305" s="408">
        <f>IF(DevBdgt!BA$6&lt;=DispositionMonth,BA223,0)</f>
        <v>0</v>
      </c>
      <c r="BB305" s="408">
        <f>IF(DevBdgt!BB$6&lt;=DispositionMonth,BB223,0)</f>
        <v>0</v>
      </c>
      <c r="BC305" s="408">
        <f>IF(DevBdgt!BC$6&lt;=DispositionMonth,BC223,0)</f>
        <v>0</v>
      </c>
      <c r="BD305" s="408">
        <f>IF(DevBdgt!BD$6&lt;=DispositionMonth,BD223,0)</f>
        <v>0</v>
      </c>
      <c r="BE305" s="408">
        <f>IF(DevBdgt!BE$6&lt;=DispositionMonth,BE223,0)</f>
        <v>0</v>
      </c>
      <c r="BF305" s="408">
        <f>IF(DevBdgt!BF$6&lt;=DispositionMonth,BF223,0)</f>
        <v>0</v>
      </c>
      <c r="BG305" s="408">
        <f>IF(DevBdgt!BG$6&lt;=DispositionMonth,BG223,0)</f>
        <v>0</v>
      </c>
      <c r="BH305" s="408">
        <f>IF(DevBdgt!BH$6&lt;=DispositionMonth,BH223,0)</f>
        <v>0</v>
      </c>
      <c r="BI305" s="408">
        <f>IF(DevBdgt!BI$6&lt;=DispositionMonth,BI223,0)</f>
        <v>0</v>
      </c>
      <c r="BJ305" s="408">
        <f>IF(DevBdgt!BJ$6&lt;=DispositionMonth,BJ223,0)</f>
        <v>0</v>
      </c>
      <c r="BK305" s="408">
        <f>IF(DevBdgt!BK$6&lt;=DispositionMonth,BK223,0)</f>
        <v>0</v>
      </c>
      <c r="BL305" s="408">
        <f>IF(DevBdgt!BL$6&lt;=DispositionMonth,BL223,0)</f>
        <v>0</v>
      </c>
      <c r="BM305" s="408">
        <f>IF(DevBdgt!BM$6&lt;=DispositionMonth,BM223,0)</f>
        <v>0</v>
      </c>
      <c r="BN305" s="408">
        <f>IF(DevBdgt!BN$6&lt;=DispositionMonth,BN223,0)</f>
        <v>0</v>
      </c>
      <c r="BO305" s="408">
        <f>IF(DevBdgt!BO$6&lt;=DispositionMonth,BO223,0)</f>
        <v>0</v>
      </c>
      <c r="BP305" s="408">
        <f>IF(DevBdgt!BP$6&lt;=DispositionMonth,BP223,0)</f>
        <v>0</v>
      </c>
      <c r="BQ305" s="408">
        <f>IF(DevBdgt!BQ$6&lt;=DispositionMonth,BQ223,0)</f>
        <v>0</v>
      </c>
      <c r="BR305" s="408">
        <f>IF(DevBdgt!BR$6&lt;=DispositionMonth,BR223,0)</f>
        <v>0</v>
      </c>
      <c r="BS305" s="408">
        <f>IF(DevBdgt!BS$6&lt;=DispositionMonth,BS223,0)</f>
        <v>0</v>
      </c>
      <c r="BT305" s="408">
        <f>IF(DevBdgt!BT$6&lt;=DispositionMonth,BT223,0)</f>
        <v>0</v>
      </c>
      <c r="BU305" s="408">
        <f>IF(DevBdgt!BU$6&lt;=DispositionMonth,BU223,0)</f>
        <v>0</v>
      </c>
      <c r="BV305" s="408">
        <f>IF(DevBdgt!BV$6&lt;=DispositionMonth,BV223,0)</f>
        <v>0</v>
      </c>
      <c r="BW305" s="408">
        <f>IF(DevBdgt!BW$6&lt;=DispositionMonth,BW223,0)</f>
        <v>0</v>
      </c>
      <c r="BX305" s="408">
        <f>IF(DevBdgt!BX$6&lt;=DispositionMonth,BX223,0)</f>
        <v>0</v>
      </c>
      <c r="BY305" s="408">
        <f>IF(DevBdgt!BY$6&lt;=DispositionMonth,BY223,0)</f>
        <v>0</v>
      </c>
      <c r="BZ305" s="408">
        <f>IF(DevBdgt!BZ$6&lt;=DispositionMonth,BZ223,0)</f>
        <v>0</v>
      </c>
      <c r="CA305" s="408">
        <f>IF(DevBdgt!CA$6&lt;=DispositionMonth,CA223,0)</f>
        <v>0</v>
      </c>
      <c r="CB305" s="408">
        <f>IF(DevBdgt!CB$6&lt;=DispositionMonth,CB223,0)</f>
        <v>0</v>
      </c>
      <c r="CC305" s="408">
        <f>IF(DevBdgt!CC$6&lt;=DispositionMonth,CC223,0)</f>
        <v>0</v>
      </c>
      <c r="CD305" s="408">
        <f>IF(DevBdgt!CD$6&lt;=DispositionMonth,CD223,0)</f>
        <v>0</v>
      </c>
      <c r="CE305" s="408">
        <f>IF(DevBdgt!CE$6&lt;=DispositionMonth,CE223,0)</f>
        <v>0</v>
      </c>
      <c r="CF305" s="408">
        <f>IF(DevBdgt!CF$6&lt;=DispositionMonth,CF223,0)</f>
        <v>0</v>
      </c>
      <c r="CG305" s="408">
        <f>IF(DevBdgt!CG$6&lt;=DispositionMonth,CG223,0)</f>
        <v>0</v>
      </c>
      <c r="CH305" s="408">
        <f>IF(DevBdgt!CH$6&lt;=DispositionMonth,CH223,0)</f>
        <v>0</v>
      </c>
      <c r="CI305" s="408">
        <f>IF(DevBdgt!CI$6&lt;=DispositionMonth,CI223,0)</f>
        <v>0</v>
      </c>
      <c r="CJ305" s="408">
        <f>IF(DevBdgt!CJ$6&lt;=DispositionMonth,CJ223,0)</f>
        <v>0</v>
      </c>
      <c r="CK305" s="408">
        <f>IF(DevBdgt!CK$6&lt;=DispositionMonth,CK223,0)</f>
        <v>0</v>
      </c>
      <c r="CL305" s="408">
        <f>IF(DevBdgt!CL$6&lt;=DispositionMonth,CL223,0)</f>
        <v>0</v>
      </c>
      <c r="CM305" s="408">
        <f>IF(DevBdgt!CM$6&lt;=DispositionMonth,CM223,0)</f>
        <v>0</v>
      </c>
      <c r="CN305" s="408">
        <f>IF(DevBdgt!CN$6&lt;=DispositionMonth,CN223,0)</f>
        <v>0</v>
      </c>
      <c r="CO305" s="408">
        <f>IF(DevBdgt!CO$6&lt;=DispositionMonth,CO223,0)</f>
        <v>0</v>
      </c>
      <c r="CP305" s="408">
        <f>IF(DevBdgt!CP$6&lt;=DispositionMonth,CP223,0)</f>
        <v>0</v>
      </c>
      <c r="CQ305" s="408">
        <f>IF(DevBdgt!CQ$6&lt;=DispositionMonth,CQ223,0)</f>
        <v>0</v>
      </c>
      <c r="CR305" s="408">
        <f>IF(DevBdgt!CR$6&lt;=DispositionMonth,CR223,0)</f>
        <v>0</v>
      </c>
      <c r="CS305" s="408">
        <f>IF(DevBdgt!CS$6&lt;=DispositionMonth,CS223,0)</f>
        <v>0</v>
      </c>
      <c r="CT305" s="408">
        <f>IF(DevBdgt!CT$6&lt;=DispositionMonth,CT223,0)</f>
        <v>0</v>
      </c>
      <c r="CU305" s="408">
        <f>IF(DevBdgt!CU$6&lt;=DispositionMonth,CU223,0)</f>
        <v>0</v>
      </c>
      <c r="CV305" s="408">
        <f>IF(DevBdgt!CV$6&lt;=DispositionMonth,CV223,0)</f>
        <v>0</v>
      </c>
      <c r="CW305" s="408">
        <f>IF(DevBdgt!CW$6&lt;=DispositionMonth,CW223,0)</f>
        <v>0</v>
      </c>
      <c r="CX305" s="408">
        <f>IF(DevBdgt!CX$6&lt;=DispositionMonth,CX223,0)</f>
        <v>0</v>
      </c>
      <c r="CY305" s="408">
        <f>IF(DevBdgt!CY$6&lt;=DispositionMonth,CY223,0)</f>
        <v>0</v>
      </c>
      <c r="CZ305" s="408">
        <f>IF(DevBdgt!CZ$6&lt;=DispositionMonth,CZ223,0)</f>
        <v>0</v>
      </c>
      <c r="DA305" s="408">
        <f>IF(DevBdgt!DA$6&lt;=DispositionMonth,DA223,0)</f>
        <v>0</v>
      </c>
      <c r="DB305" s="408">
        <f>IF(DevBdgt!DB$6&lt;=DispositionMonth,DB223,0)</f>
        <v>0</v>
      </c>
      <c r="DC305" s="408">
        <f>IF(DevBdgt!DC$6&lt;=DispositionMonth,DC223,0)</f>
        <v>0</v>
      </c>
      <c r="DD305" s="408">
        <f>IF(DevBdgt!DD$6&lt;=DispositionMonth,DD223,0)</f>
        <v>0</v>
      </c>
      <c r="DE305" s="408">
        <f>IF(DevBdgt!DE$6&lt;=DispositionMonth,DE223,0)</f>
        <v>0</v>
      </c>
      <c r="DF305" s="408">
        <f>IF(DevBdgt!DF$6&lt;=DispositionMonth,DF223,0)</f>
        <v>0</v>
      </c>
      <c r="DG305" s="408">
        <f>IF(DevBdgt!DG$6&lt;=DispositionMonth,DG223,0)</f>
        <v>0</v>
      </c>
      <c r="DH305" s="408">
        <f>IF(DevBdgt!DH$6&lt;=DispositionMonth,DH223,0)</f>
        <v>0</v>
      </c>
      <c r="DI305" s="408">
        <f>IF(DevBdgt!DI$6&lt;=DispositionMonth,DI223,0)</f>
        <v>0</v>
      </c>
      <c r="DJ305" s="408">
        <f>IF(DevBdgt!DJ$6&lt;=DispositionMonth,DJ223,0)</f>
        <v>0</v>
      </c>
      <c r="DK305" s="408">
        <f>IF(DevBdgt!DK$6&lt;=DispositionMonth,DK223,0)</f>
        <v>0</v>
      </c>
      <c r="DL305" s="408">
        <f>IF(DevBdgt!DL$6&lt;=DispositionMonth,DL223,0)</f>
        <v>0</v>
      </c>
      <c r="DM305" s="408">
        <f>IF(DevBdgt!DM$6&lt;=DispositionMonth,DM223,0)</f>
        <v>0</v>
      </c>
      <c r="DN305" s="408">
        <f>IF(DevBdgt!DN$6&lt;=DispositionMonth,DN223,0)</f>
        <v>0</v>
      </c>
      <c r="DO305" s="408">
        <f>IF(DevBdgt!DO$6&lt;=DispositionMonth,DO223,0)</f>
        <v>0</v>
      </c>
      <c r="DP305" s="408">
        <f>IF(DevBdgt!DP$6&lt;=DispositionMonth,DP223,0)</f>
        <v>0</v>
      </c>
      <c r="DQ305" s="408">
        <f>IF(DevBdgt!DQ$6&lt;=DispositionMonth,DQ223,0)</f>
        <v>0</v>
      </c>
      <c r="DR305" s="408">
        <f>IF(DevBdgt!DR$6&lt;=DispositionMonth,DR223,0)</f>
        <v>0</v>
      </c>
      <c r="DS305" s="408">
        <f>IF(DevBdgt!DS$6&lt;=DispositionMonth,DS223,0)</f>
        <v>0</v>
      </c>
      <c r="DT305" s="408">
        <f>IF(DevBdgt!DT$6&lt;=DispositionMonth,DT223,0)</f>
        <v>0</v>
      </c>
      <c r="DU305" s="408">
        <f>IF(DevBdgt!DU$6&lt;=DispositionMonth,DU223,0)</f>
        <v>0</v>
      </c>
      <c r="EI305" s="722"/>
    </row>
    <row r="306" spans="1:139" x14ac:dyDescent="0.3">
      <c r="A306" s="182" t="s">
        <v>2521</v>
      </c>
      <c r="B306" s="182"/>
      <c r="C306" s="182"/>
      <c r="D306" s="647"/>
      <c r="E306" s="407">
        <f ca="1">IF(DevBdgt!E$6&lt;=DispositionMonth,SUM(E224:E227),0)</f>
        <v>0</v>
      </c>
      <c r="F306" s="407">
        <f ca="1">IF(DevBdgt!F$6&lt;=DispositionMonth,SUM(F224:F227),0)</f>
        <v>0</v>
      </c>
      <c r="G306" s="407">
        <f ca="1">IF(DevBdgt!G$6&lt;=DispositionMonth,SUM(G224:G227),0)</f>
        <v>0</v>
      </c>
      <c r="H306" s="407">
        <f ca="1">IF(DevBdgt!H$6&lt;=DispositionMonth,SUM(H224:H227),0)</f>
        <v>0</v>
      </c>
      <c r="I306" s="407">
        <f ca="1">IF(DevBdgt!I$6&lt;=DispositionMonth,SUM(I224:I227),0)</f>
        <v>0</v>
      </c>
      <c r="J306" s="407">
        <f ca="1">IF(DevBdgt!J$6&lt;=DispositionMonth,SUM(J224:J227),0)</f>
        <v>0</v>
      </c>
      <c r="K306" s="407">
        <f ca="1">IF(DevBdgt!K$6&lt;=DispositionMonth,SUM(K224:K227),0)</f>
        <v>0</v>
      </c>
      <c r="L306" s="407">
        <f ca="1">IF(DevBdgt!L$6&lt;=DispositionMonth,SUM(L224:L227),0)</f>
        <v>0</v>
      </c>
      <c r="M306" s="407">
        <f ca="1">IF(DevBdgt!M$6&lt;=DispositionMonth,SUM(M224:M227),0)</f>
        <v>0</v>
      </c>
      <c r="N306" s="407">
        <f ca="1">IF(DevBdgt!N$6&lt;=DispositionMonth,SUM(N224:N227),0)</f>
        <v>0</v>
      </c>
      <c r="O306" s="407">
        <f ca="1">IF(DevBdgt!O$6&lt;=DispositionMonth,SUM(O224:O227),0)</f>
        <v>0</v>
      </c>
      <c r="P306" s="407">
        <f ca="1">IF(DevBdgt!P$6&lt;=DispositionMonth,SUM(P224:P227),0)</f>
        <v>0</v>
      </c>
      <c r="Q306" s="407">
        <f ca="1">IF(DevBdgt!Q$6&lt;=DispositionMonth,SUM(Q224:Q227),0)</f>
        <v>0</v>
      </c>
      <c r="R306" s="407">
        <f ca="1">IF(DevBdgt!R$6&lt;=DispositionMonth,SUM(R224:R227),0)</f>
        <v>0</v>
      </c>
      <c r="S306" s="407">
        <f ca="1">IF(DevBdgt!S$6&lt;=DispositionMonth,SUM(S224:S227),0)</f>
        <v>0</v>
      </c>
      <c r="T306" s="407">
        <f ca="1">IF(DevBdgt!T$6&lt;=DispositionMonth,SUM(T224:T227),0)</f>
        <v>0</v>
      </c>
      <c r="U306" s="407">
        <f ca="1">IF(DevBdgt!U$6&lt;=DispositionMonth,SUM(U224:U227),0)</f>
        <v>0</v>
      </c>
      <c r="V306" s="407">
        <f ca="1">IF(DevBdgt!V$6&lt;=DispositionMonth,SUM(V224:V227),0)</f>
        <v>0</v>
      </c>
      <c r="W306" s="407">
        <f ca="1">IF(DevBdgt!W$6&lt;=DispositionMonth,SUM(W224:W227),0)</f>
        <v>0</v>
      </c>
      <c r="X306" s="407">
        <f ca="1">IF(DevBdgt!X$6&lt;=DispositionMonth,SUM(X224:X227),0)</f>
        <v>0</v>
      </c>
      <c r="Y306" s="407">
        <f ca="1">IF(DevBdgt!Y$6&lt;=DispositionMonth,SUM(Y224:Y227),0)</f>
        <v>0</v>
      </c>
      <c r="Z306" s="407">
        <f ca="1">IF(DevBdgt!Z$6&lt;=DispositionMonth,SUM(Z224:Z227),0)</f>
        <v>0</v>
      </c>
      <c r="AA306" s="407">
        <f ca="1">IF(DevBdgt!AA$6&lt;=DispositionMonth,SUM(AA224:AA227),0)</f>
        <v>0</v>
      </c>
      <c r="AB306" s="407">
        <f ca="1">IF(DevBdgt!AB$6&lt;=DispositionMonth,SUM(AB224:AB227),0)</f>
        <v>0</v>
      </c>
      <c r="AC306" s="407">
        <f ca="1">IF(DevBdgt!AC$6&lt;=DispositionMonth,SUM(AC224:AC227),0)</f>
        <v>0</v>
      </c>
      <c r="AD306" s="407">
        <f ca="1">IF(DevBdgt!AD$6&lt;=DispositionMonth,SUM(AD224:AD227),0)</f>
        <v>0</v>
      </c>
      <c r="AE306" s="407">
        <f ca="1">IF(DevBdgt!AE$6&lt;=DispositionMonth,SUM(AE224:AE227),0)</f>
        <v>0</v>
      </c>
      <c r="AF306" s="407">
        <f ca="1">IF(DevBdgt!AF$6&lt;=DispositionMonth,SUM(AF224:AF227),0)</f>
        <v>0</v>
      </c>
      <c r="AG306" s="407">
        <f ca="1">IF(DevBdgt!AG$6&lt;=DispositionMonth,SUM(AG224:AG227),0)</f>
        <v>0</v>
      </c>
      <c r="AH306" s="407">
        <f>IF(DevBdgt!AH$6&lt;=DispositionMonth,SUM(AH224:AH227),0)</f>
        <v>0</v>
      </c>
      <c r="AI306" s="407">
        <f>IF(DevBdgt!AI$6&lt;=DispositionMonth,SUM(AI224:AI227),0)</f>
        <v>0</v>
      </c>
      <c r="AJ306" s="407">
        <f>IF(DevBdgt!AJ$6&lt;=DispositionMonth,SUM(AJ224:AJ227),0)</f>
        <v>0</v>
      </c>
      <c r="AK306" s="407">
        <f>IF(DevBdgt!AK$6&lt;=DispositionMonth,SUM(AK224:AK227),0)</f>
        <v>0</v>
      </c>
      <c r="AL306" s="407">
        <f>IF(DevBdgt!AL$6&lt;=DispositionMonth,SUM(AL224:AL227),0)</f>
        <v>0</v>
      </c>
      <c r="AM306" s="407">
        <f>IF(DevBdgt!AM$6&lt;=DispositionMonth,SUM(AM224:AM227),0)</f>
        <v>0</v>
      </c>
      <c r="AN306" s="407">
        <f>IF(DevBdgt!AN$6&lt;=DispositionMonth,SUM(AN224:AN227),0)</f>
        <v>0</v>
      </c>
      <c r="AO306" s="407">
        <f>IF(DevBdgt!AO$6&lt;=DispositionMonth,SUM(AO224:AO227),0)</f>
        <v>0</v>
      </c>
      <c r="AP306" s="407">
        <f>IF(DevBdgt!AP$6&lt;=DispositionMonth,SUM(AP224:AP227),0)</f>
        <v>0</v>
      </c>
      <c r="AQ306" s="407">
        <f>IF(DevBdgt!AQ$6&lt;=DispositionMonth,SUM(AQ224:AQ227),0)</f>
        <v>0</v>
      </c>
      <c r="AR306" s="407">
        <f>IF(DevBdgt!AR$6&lt;=DispositionMonth,SUM(AR224:AR227),0)</f>
        <v>0</v>
      </c>
      <c r="AS306" s="407">
        <f>IF(DevBdgt!AS$6&lt;=DispositionMonth,SUM(AS224:AS227),0)</f>
        <v>0</v>
      </c>
      <c r="AT306" s="407">
        <f>IF(DevBdgt!AT$6&lt;=DispositionMonth,SUM(AT224:AT227),0)</f>
        <v>0</v>
      </c>
      <c r="AU306" s="407">
        <f>IF(DevBdgt!AU$6&lt;=DispositionMonth,SUM(AU224:AU227),0)</f>
        <v>0</v>
      </c>
      <c r="AV306" s="407">
        <f>IF(DevBdgt!AV$6&lt;=DispositionMonth,SUM(AV224:AV227),0)</f>
        <v>0</v>
      </c>
      <c r="AW306" s="407">
        <f>IF(DevBdgt!AW$6&lt;=DispositionMonth,SUM(AW224:AW227),0)</f>
        <v>0</v>
      </c>
      <c r="AX306" s="407">
        <f>IF(DevBdgt!AX$6&lt;=DispositionMonth,SUM(AX224:AX227),0)</f>
        <v>0</v>
      </c>
      <c r="AY306" s="407">
        <f>IF(DevBdgt!AY$6&lt;=DispositionMonth,SUM(AY224:AY227),0)</f>
        <v>0</v>
      </c>
      <c r="AZ306" s="407">
        <f>IF(DevBdgt!AZ$6&lt;=DispositionMonth,SUM(AZ224:AZ227),0)</f>
        <v>0</v>
      </c>
      <c r="BA306" s="407">
        <f>IF(DevBdgt!BA$6&lt;=DispositionMonth,SUM(BA224:BA227),0)</f>
        <v>0</v>
      </c>
      <c r="BB306" s="407">
        <f>IF(DevBdgt!BB$6&lt;=DispositionMonth,SUM(BB224:BB227),0)</f>
        <v>0</v>
      </c>
      <c r="BC306" s="407">
        <f>IF(DevBdgt!BC$6&lt;=DispositionMonth,SUM(BC224:BC227),0)</f>
        <v>0</v>
      </c>
      <c r="BD306" s="407">
        <f>IF(DevBdgt!BD$6&lt;=DispositionMonth,SUM(BD224:BD227),0)</f>
        <v>0</v>
      </c>
      <c r="BE306" s="407">
        <f>IF(DevBdgt!BE$6&lt;=DispositionMonth,SUM(BE224:BE227),0)</f>
        <v>0</v>
      </c>
      <c r="BF306" s="407">
        <f>IF(DevBdgt!BF$6&lt;=DispositionMonth,SUM(BF224:BF227),0)</f>
        <v>0</v>
      </c>
      <c r="BG306" s="407">
        <f>IF(DevBdgt!BG$6&lt;=DispositionMonth,SUM(BG224:BG227),0)</f>
        <v>0</v>
      </c>
      <c r="BH306" s="407">
        <f>IF(DevBdgt!BH$6&lt;=DispositionMonth,SUM(BH224:BH227),0)</f>
        <v>0</v>
      </c>
      <c r="BI306" s="407">
        <f>IF(DevBdgt!BI$6&lt;=DispositionMonth,SUM(BI224:BI227),0)</f>
        <v>0</v>
      </c>
      <c r="BJ306" s="407">
        <f>IF(DevBdgt!BJ$6&lt;=DispositionMonth,SUM(BJ224:BJ227),0)</f>
        <v>0</v>
      </c>
      <c r="BK306" s="407">
        <f>IF(DevBdgt!BK$6&lt;=DispositionMonth,SUM(BK224:BK227),0)</f>
        <v>0</v>
      </c>
      <c r="BL306" s="407">
        <f>IF(DevBdgt!BL$6&lt;=DispositionMonth,SUM(BL224:BL227),0)</f>
        <v>0</v>
      </c>
      <c r="BM306" s="407">
        <f>IF(DevBdgt!BM$6&lt;=DispositionMonth,SUM(BM224:BM227),0)</f>
        <v>0</v>
      </c>
      <c r="BN306" s="407">
        <f>IF(DevBdgt!BN$6&lt;=DispositionMonth,SUM(BN224:BN227),0)</f>
        <v>0</v>
      </c>
      <c r="BO306" s="407">
        <f>IF(DevBdgt!BO$6&lt;=DispositionMonth,SUM(BO224:BO227),0)</f>
        <v>0</v>
      </c>
      <c r="BP306" s="407">
        <f>IF(DevBdgt!BP$6&lt;=DispositionMonth,SUM(BP224:BP227),0)</f>
        <v>0</v>
      </c>
      <c r="BQ306" s="407">
        <f>IF(DevBdgt!BQ$6&lt;=DispositionMonth,SUM(BQ224:BQ227),0)</f>
        <v>0</v>
      </c>
      <c r="BR306" s="407">
        <f>IF(DevBdgt!BR$6&lt;=DispositionMonth,SUM(BR224:BR227),0)</f>
        <v>0</v>
      </c>
      <c r="BS306" s="407">
        <f>IF(DevBdgt!BS$6&lt;=DispositionMonth,SUM(BS224:BS227),0)</f>
        <v>0</v>
      </c>
      <c r="BT306" s="407">
        <f>IF(DevBdgt!BT$6&lt;=DispositionMonth,SUM(BT224:BT227),0)</f>
        <v>0</v>
      </c>
      <c r="BU306" s="407">
        <f>IF(DevBdgt!BU$6&lt;=DispositionMonth,SUM(BU224:BU227),0)</f>
        <v>0</v>
      </c>
      <c r="BV306" s="407">
        <f>IF(DevBdgt!BV$6&lt;=DispositionMonth,SUM(BV224:BV227),0)</f>
        <v>0</v>
      </c>
      <c r="BW306" s="407">
        <f>IF(DevBdgt!BW$6&lt;=DispositionMonth,SUM(BW224:BW227),0)</f>
        <v>0</v>
      </c>
      <c r="BX306" s="407">
        <f>IF(DevBdgt!BX$6&lt;=DispositionMonth,SUM(BX224:BX227),0)</f>
        <v>0</v>
      </c>
      <c r="BY306" s="407">
        <f>IF(DevBdgt!BY$6&lt;=DispositionMonth,SUM(BY224:BY227),0)</f>
        <v>0</v>
      </c>
      <c r="BZ306" s="407">
        <f>IF(DevBdgt!BZ$6&lt;=DispositionMonth,SUM(BZ224:BZ227),0)</f>
        <v>0</v>
      </c>
      <c r="CA306" s="407">
        <f>IF(DevBdgt!CA$6&lt;=DispositionMonth,SUM(CA224:CA227),0)</f>
        <v>0</v>
      </c>
      <c r="CB306" s="407">
        <f>IF(DevBdgt!CB$6&lt;=DispositionMonth,SUM(CB224:CB227),0)</f>
        <v>0</v>
      </c>
      <c r="CC306" s="407">
        <f>IF(DevBdgt!CC$6&lt;=DispositionMonth,SUM(CC224:CC227),0)</f>
        <v>0</v>
      </c>
      <c r="CD306" s="407">
        <f>IF(DevBdgt!CD$6&lt;=DispositionMonth,SUM(CD224:CD227),0)</f>
        <v>0</v>
      </c>
      <c r="CE306" s="407">
        <f>IF(DevBdgt!CE$6&lt;=DispositionMonth,SUM(CE224:CE227),0)</f>
        <v>0</v>
      </c>
      <c r="CF306" s="407">
        <f>IF(DevBdgt!CF$6&lt;=DispositionMonth,SUM(CF224:CF227),0)</f>
        <v>0</v>
      </c>
      <c r="CG306" s="407">
        <f>IF(DevBdgt!CG$6&lt;=DispositionMonth,SUM(CG224:CG227),0)</f>
        <v>0</v>
      </c>
      <c r="CH306" s="407">
        <f>IF(DevBdgt!CH$6&lt;=DispositionMonth,SUM(CH224:CH227),0)</f>
        <v>0</v>
      </c>
      <c r="CI306" s="407">
        <f>IF(DevBdgt!CI$6&lt;=DispositionMonth,SUM(CI224:CI227),0)</f>
        <v>0</v>
      </c>
      <c r="CJ306" s="407">
        <f>IF(DevBdgt!CJ$6&lt;=DispositionMonth,SUM(CJ224:CJ227),0)</f>
        <v>0</v>
      </c>
      <c r="CK306" s="407">
        <f>IF(DevBdgt!CK$6&lt;=DispositionMonth,SUM(CK224:CK227),0)</f>
        <v>0</v>
      </c>
      <c r="CL306" s="407">
        <f>IF(DevBdgt!CL$6&lt;=DispositionMonth,SUM(CL224:CL227),0)</f>
        <v>0</v>
      </c>
      <c r="CM306" s="407">
        <f>IF(DevBdgt!CM$6&lt;=DispositionMonth,SUM(CM224:CM227),0)</f>
        <v>0</v>
      </c>
      <c r="CN306" s="407">
        <f>IF(DevBdgt!CN$6&lt;=DispositionMonth,SUM(CN224:CN227),0)</f>
        <v>0</v>
      </c>
      <c r="CO306" s="407">
        <f>IF(DevBdgt!CO$6&lt;=DispositionMonth,SUM(CO224:CO227),0)</f>
        <v>0</v>
      </c>
      <c r="CP306" s="407">
        <f>IF(DevBdgt!CP$6&lt;=DispositionMonth,SUM(CP224:CP227),0)</f>
        <v>0</v>
      </c>
      <c r="CQ306" s="407">
        <f>IF(DevBdgt!CQ$6&lt;=DispositionMonth,SUM(CQ224:CQ227),0)</f>
        <v>0</v>
      </c>
      <c r="CR306" s="407">
        <f>IF(DevBdgt!CR$6&lt;=DispositionMonth,SUM(CR224:CR227),0)</f>
        <v>0</v>
      </c>
      <c r="CS306" s="407">
        <f>IF(DevBdgt!CS$6&lt;=DispositionMonth,SUM(CS224:CS227),0)</f>
        <v>0</v>
      </c>
      <c r="CT306" s="407">
        <f>IF(DevBdgt!CT$6&lt;=DispositionMonth,SUM(CT224:CT227),0)</f>
        <v>0</v>
      </c>
      <c r="CU306" s="407">
        <f>IF(DevBdgt!CU$6&lt;=DispositionMonth,SUM(CU224:CU227),0)</f>
        <v>0</v>
      </c>
      <c r="CV306" s="407">
        <f>IF(DevBdgt!CV$6&lt;=DispositionMonth,SUM(CV224:CV227),0)</f>
        <v>0</v>
      </c>
      <c r="CW306" s="407">
        <f>IF(DevBdgt!CW$6&lt;=DispositionMonth,SUM(CW224:CW227),0)</f>
        <v>0</v>
      </c>
      <c r="CX306" s="407">
        <f>IF(DevBdgt!CX$6&lt;=DispositionMonth,SUM(CX224:CX227),0)</f>
        <v>0</v>
      </c>
      <c r="CY306" s="407">
        <f>IF(DevBdgt!CY$6&lt;=DispositionMonth,SUM(CY224:CY227),0)</f>
        <v>0</v>
      </c>
      <c r="CZ306" s="407">
        <f>IF(DevBdgt!CZ$6&lt;=DispositionMonth,SUM(CZ224:CZ227),0)</f>
        <v>0</v>
      </c>
      <c r="DA306" s="407">
        <f>IF(DevBdgt!DA$6&lt;=DispositionMonth,SUM(DA224:DA227),0)</f>
        <v>0</v>
      </c>
      <c r="DB306" s="407">
        <f>IF(DevBdgt!DB$6&lt;=DispositionMonth,SUM(DB224:DB227),0)</f>
        <v>0</v>
      </c>
      <c r="DC306" s="407">
        <f>IF(DevBdgt!DC$6&lt;=DispositionMonth,SUM(DC224:DC227),0)</f>
        <v>0</v>
      </c>
      <c r="DD306" s="407">
        <f>IF(DevBdgt!DD$6&lt;=DispositionMonth,SUM(DD224:DD227),0)</f>
        <v>0</v>
      </c>
      <c r="DE306" s="407">
        <f>IF(DevBdgt!DE$6&lt;=DispositionMonth,SUM(DE224:DE227),0)</f>
        <v>0</v>
      </c>
      <c r="DF306" s="407">
        <f>IF(DevBdgt!DF$6&lt;=DispositionMonth,SUM(DF224:DF227),0)</f>
        <v>0</v>
      </c>
      <c r="DG306" s="407">
        <f>IF(DevBdgt!DG$6&lt;=DispositionMonth,SUM(DG224:DG227),0)</f>
        <v>0</v>
      </c>
      <c r="DH306" s="407">
        <f>IF(DevBdgt!DH$6&lt;=DispositionMonth,SUM(DH224:DH227),0)</f>
        <v>0</v>
      </c>
      <c r="DI306" s="407">
        <f>IF(DevBdgt!DI$6&lt;=DispositionMonth,SUM(DI224:DI227),0)</f>
        <v>0</v>
      </c>
      <c r="DJ306" s="407">
        <f>IF(DevBdgt!DJ$6&lt;=DispositionMonth,SUM(DJ224:DJ227),0)</f>
        <v>0</v>
      </c>
      <c r="DK306" s="407">
        <f>IF(DevBdgt!DK$6&lt;=DispositionMonth,SUM(DK224:DK227),0)</f>
        <v>0</v>
      </c>
      <c r="DL306" s="407">
        <f>IF(DevBdgt!DL$6&lt;=DispositionMonth,SUM(DL224:DL227),0)</f>
        <v>0</v>
      </c>
      <c r="DM306" s="407">
        <f>IF(DevBdgt!DM$6&lt;=DispositionMonth,SUM(DM224:DM227),0)</f>
        <v>0</v>
      </c>
      <c r="DN306" s="407">
        <f>IF(DevBdgt!DN$6&lt;=DispositionMonth,SUM(DN224:DN227),0)</f>
        <v>0</v>
      </c>
      <c r="DO306" s="407">
        <f>IF(DevBdgt!DO$6&lt;=DispositionMonth,SUM(DO224:DO227),0)</f>
        <v>0</v>
      </c>
      <c r="DP306" s="407">
        <f>IF(DevBdgt!DP$6&lt;=DispositionMonth,SUM(DP224:DP227),0)</f>
        <v>0</v>
      </c>
      <c r="DQ306" s="407">
        <f>IF(DevBdgt!DQ$6&lt;=DispositionMonth,SUM(DQ224:DQ227),0)</f>
        <v>0</v>
      </c>
      <c r="DR306" s="407">
        <f>IF(DevBdgt!DR$6&lt;=DispositionMonth,SUM(DR224:DR227),0)</f>
        <v>0</v>
      </c>
      <c r="DS306" s="407">
        <f>IF(DevBdgt!DS$6&lt;=DispositionMonth,SUM(DS224:DS227),0)</f>
        <v>0</v>
      </c>
      <c r="DT306" s="407">
        <f>IF(DevBdgt!DT$6&lt;=DispositionMonth,SUM(DT224:DT227),0)</f>
        <v>0</v>
      </c>
      <c r="DU306" s="407">
        <f>IF(DevBdgt!DU$6&lt;=DispositionMonth,SUM(DU224:DU227),0)</f>
        <v>0</v>
      </c>
      <c r="EI306" s="280"/>
    </row>
    <row r="307" spans="1:139" x14ac:dyDescent="0.3">
      <c r="A307" s="182" t="s">
        <v>2522</v>
      </c>
      <c r="B307" s="182"/>
      <c r="C307" s="182"/>
      <c r="D307" s="647"/>
      <c r="E307" s="407">
        <f>IF(DevBdgt!E$6&lt;=DispositionMonth,E228,0)</f>
        <v>0</v>
      </c>
      <c r="F307" s="407">
        <f>IF(DevBdgt!F$6&lt;=DispositionMonth,F228,0)</f>
        <v>0</v>
      </c>
      <c r="G307" s="407">
        <f>IF(DevBdgt!G$6&lt;=DispositionMonth,G228,0)</f>
        <v>0</v>
      </c>
      <c r="H307" s="407">
        <f>IF(DevBdgt!H$6&lt;=DispositionMonth,H228,0)</f>
        <v>0</v>
      </c>
      <c r="I307" s="407">
        <f>IF(DevBdgt!I$6&lt;=DispositionMonth,I228,0)</f>
        <v>0</v>
      </c>
      <c r="J307" s="407">
        <f>IF(DevBdgt!J$6&lt;=DispositionMonth,J228,0)</f>
        <v>0</v>
      </c>
      <c r="K307" s="407">
        <f>IF(DevBdgt!K$6&lt;=DispositionMonth,K228,0)</f>
        <v>0</v>
      </c>
      <c r="L307" s="407">
        <f>IF(DevBdgt!L$6&lt;=DispositionMonth,L228,0)</f>
        <v>0</v>
      </c>
      <c r="M307" s="407">
        <f>IF(DevBdgt!M$6&lt;=DispositionMonth,M228,0)</f>
        <v>0</v>
      </c>
      <c r="N307" s="407">
        <f>IF(DevBdgt!N$6&lt;=DispositionMonth,N228,0)</f>
        <v>0</v>
      </c>
      <c r="O307" s="407">
        <f>IF(DevBdgt!O$6&lt;=DispositionMonth,O228,0)</f>
        <v>0</v>
      </c>
      <c r="P307" s="407">
        <f>IF(DevBdgt!P$6&lt;=DispositionMonth,P228,0)</f>
        <v>0</v>
      </c>
      <c r="Q307" s="407">
        <f>IF(DevBdgt!Q$6&lt;=DispositionMonth,Q228,0)</f>
        <v>0</v>
      </c>
      <c r="R307" s="407">
        <f>IF(DevBdgt!R$6&lt;=DispositionMonth,R228,0)</f>
        <v>0</v>
      </c>
      <c r="S307" s="407">
        <f>IF(DevBdgt!S$6&lt;=DispositionMonth,S228,0)</f>
        <v>0</v>
      </c>
      <c r="T307" s="407">
        <f>IF(DevBdgt!T$6&lt;=DispositionMonth,T228,0)</f>
        <v>0</v>
      </c>
      <c r="U307" s="407">
        <f>IF(DevBdgt!U$6&lt;=DispositionMonth,U228,0)</f>
        <v>0</v>
      </c>
      <c r="V307" s="407">
        <f>IF(DevBdgt!V$6&lt;=DispositionMonth,V228,0)</f>
        <v>0</v>
      </c>
      <c r="W307" s="407">
        <f>IF(DevBdgt!W$6&lt;=DispositionMonth,W228,0)</f>
        <v>0</v>
      </c>
      <c r="X307" s="407">
        <f>IF(DevBdgt!X$6&lt;=DispositionMonth,X228,0)</f>
        <v>0</v>
      </c>
      <c r="Y307" s="407">
        <f>IF(DevBdgt!Y$6&lt;=DispositionMonth,Y228,0)</f>
        <v>0</v>
      </c>
      <c r="Z307" s="407">
        <f>IF(DevBdgt!Z$6&lt;=DispositionMonth,Z228,0)</f>
        <v>0</v>
      </c>
      <c r="AA307" s="407">
        <f>IF(DevBdgt!AA$6&lt;=DispositionMonth,AA228,0)</f>
        <v>0</v>
      </c>
      <c r="AB307" s="407">
        <f>IF(DevBdgt!AB$6&lt;=DispositionMonth,AB228,0)</f>
        <v>0</v>
      </c>
      <c r="AC307" s="407">
        <f>IF(DevBdgt!AC$6&lt;=DispositionMonth,AC228,0)</f>
        <v>0</v>
      </c>
      <c r="AD307" s="407">
        <f>IF(DevBdgt!AD$6&lt;=DispositionMonth,AD228,0)</f>
        <v>0</v>
      </c>
      <c r="AE307" s="407">
        <f>IF(DevBdgt!AE$6&lt;=DispositionMonth,AE228,0)</f>
        <v>0</v>
      </c>
      <c r="AF307" s="407">
        <f>IF(DevBdgt!AF$6&lt;=DispositionMonth,AF228,0)</f>
        <v>0</v>
      </c>
      <c r="AG307" s="407">
        <f ca="1">IF(DevBdgt!AG$6&lt;=DispositionMonth,AG228,0)</f>
        <v>0</v>
      </c>
      <c r="AH307" s="407">
        <f>IF(DevBdgt!AH$6&lt;=DispositionMonth,AH228,0)</f>
        <v>0</v>
      </c>
      <c r="AI307" s="407">
        <f>IF(DevBdgt!AI$6&lt;=DispositionMonth,AI228,0)</f>
        <v>0</v>
      </c>
      <c r="AJ307" s="407">
        <f>IF(DevBdgt!AJ$6&lt;=DispositionMonth,AJ228,0)</f>
        <v>0</v>
      </c>
      <c r="AK307" s="407">
        <f>IF(DevBdgt!AK$6&lt;=DispositionMonth,AK228,0)</f>
        <v>0</v>
      </c>
      <c r="AL307" s="407">
        <f>IF(DevBdgt!AL$6&lt;=DispositionMonth,AL228,0)</f>
        <v>0</v>
      </c>
      <c r="AM307" s="407">
        <f>IF(DevBdgt!AM$6&lt;=DispositionMonth,AM228,0)</f>
        <v>0</v>
      </c>
      <c r="AN307" s="407">
        <f>IF(DevBdgt!AN$6&lt;=DispositionMonth,AN228,0)</f>
        <v>0</v>
      </c>
      <c r="AO307" s="407">
        <f>IF(DevBdgt!AO$6&lt;=DispositionMonth,AO228,0)</f>
        <v>0</v>
      </c>
      <c r="AP307" s="407">
        <f>IF(DevBdgt!AP$6&lt;=DispositionMonth,AP228,0)</f>
        <v>0</v>
      </c>
      <c r="AQ307" s="407">
        <f>IF(DevBdgt!AQ$6&lt;=DispositionMonth,AQ228,0)</f>
        <v>0</v>
      </c>
      <c r="AR307" s="407">
        <f>IF(DevBdgt!AR$6&lt;=DispositionMonth,AR228,0)</f>
        <v>0</v>
      </c>
      <c r="AS307" s="407">
        <f>IF(DevBdgt!AS$6&lt;=DispositionMonth,AS228,0)</f>
        <v>0</v>
      </c>
      <c r="AT307" s="407">
        <f>IF(DevBdgt!AT$6&lt;=DispositionMonth,AT228,0)</f>
        <v>0</v>
      </c>
      <c r="AU307" s="407">
        <f>IF(DevBdgt!AU$6&lt;=DispositionMonth,AU228,0)</f>
        <v>0</v>
      </c>
      <c r="AV307" s="407">
        <f>IF(DevBdgt!AV$6&lt;=DispositionMonth,AV228,0)</f>
        <v>0</v>
      </c>
      <c r="AW307" s="407">
        <f>IF(DevBdgt!AW$6&lt;=DispositionMonth,AW228,0)</f>
        <v>0</v>
      </c>
      <c r="AX307" s="407">
        <f>IF(DevBdgt!AX$6&lt;=DispositionMonth,AX228,0)</f>
        <v>0</v>
      </c>
      <c r="AY307" s="407">
        <f>IF(DevBdgt!AY$6&lt;=DispositionMonth,AY228,0)</f>
        <v>0</v>
      </c>
      <c r="AZ307" s="407">
        <f>IF(DevBdgt!AZ$6&lt;=DispositionMonth,AZ228,0)</f>
        <v>0</v>
      </c>
      <c r="BA307" s="407">
        <f>IF(DevBdgt!BA$6&lt;=DispositionMonth,BA228,0)</f>
        <v>0</v>
      </c>
      <c r="BB307" s="407">
        <f>IF(DevBdgt!BB$6&lt;=DispositionMonth,BB228,0)</f>
        <v>0</v>
      </c>
      <c r="BC307" s="407">
        <f>IF(DevBdgt!BC$6&lt;=DispositionMonth,BC228,0)</f>
        <v>0</v>
      </c>
      <c r="BD307" s="407">
        <f>IF(DevBdgt!BD$6&lt;=DispositionMonth,BD228,0)</f>
        <v>0</v>
      </c>
      <c r="BE307" s="407">
        <f>IF(DevBdgt!BE$6&lt;=DispositionMonth,BE228,0)</f>
        <v>0</v>
      </c>
      <c r="BF307" s="407">
        <f>IF(DevBdgt!BF$6&lt;=DispositionMonth,BF228,0)</f>
        <v>0</v>
      </c>
      <c r="BG307" s="407">
        <f>IF(DevBdgt!BG$6&lt;=DispositionMonth,BG228,0)</f>
        <v>0</v>
      </c>
      <c r="BH307" s="407">
        <f>IF(DevBdgt!BH$6&lt;=DispositionMonth,BH228,0)</f>
        <v>0</v>
      </c>
      <c r="BI307" s="407">
        <f>IF(DevBdgt!BI$6&lt;=DispositionMonth,BI228,0)</f>
        <v>0</v>
      </c>
      <c r="BJ307" s="407">
        <f>IF(DevBdgt!BJ$6&lt;=DispositionMonth,BJ228,0)</f>
        <v>0</v>
      </c>
      <c r="BK307" s="407">
        <f>IF(DevBdgt!BK$6&lt;=DispositionMonth,BK228,0)</f>
        <v>0</v>
      </c>
      <c r="BL307" s="407">
        <f>IF(DevBdgt!BL$6&lt;=DispositionMonth,BL228,0)</f>
        <v>0</v>
      </c>
      <c r="BM307" s="407">
        <f>IF(DevBdgt!BM$6&lt;=DispositionMonth,BM228,0)</f>
        <v>0</v>
      </c>
      <c r="BN307" s="407">
        <f>IF(DevBdgt!BN$6&lt;=DispositionMonth,BN228,0)</f>
        <v>0</v>
      </c>
      <c r="BO307" s="407">
        <f>IF(DevBdgt!BO$6&lt;=DispositionMonth,BO228,0)</f>
        <v>0</v>
      </c>
      <c r="BP307" s="407">
        <f>IF(DevBdgt!BP$6&lt;=DispositionMonth,BP228,0)</f>
        <v>0</v>
      </c>
      <c r="BQ307" s="407">
        <f>IF(DevBdgt!BQ$6&lt;=DispositionMonth,BQ228,0)</f>
        <v>0</v>
      </c>
      <c r="BR307" s="407">
        <f>IF(DevBdgt!BR$6&lt;=DispositionMonth,BR228,0)</f>
        <v>0</v>
      </c>
      <c r="BS307" s="407">
        <f>IF(DevBdgt!BS$6&lt;=DispositionMonth,BS228,0)</f>
        <v>0</v>
      </c>
      <c r="BT307" s="407">
        <f>IF(DevBdgt!BT$6&lt;=DispositionMonth,BT228,0)</f>
        <v>0</v>
      </c>
      <c r="BU307" s="407">
        <f>IF(DevBdgt!BU$6&lt;=DispositionMonth,BU228,0)</f>
        <v>0</v>
      </c>
      <c r="BV307" s="407">
        <f>IF(DevBdgt!BV$6&lt;=DispositionMonth,BV228,0)</f>
        <v>0</v>
      </c>
      <c r="BW307" s="407">
        <f>IF(DevBdgt!BW$6&lt;=DispositionMonth,BW228,0)</f>
        <v>0</v>
      </c>
      <c r="BX307" s="407">
        <f>IF(DevBdgt!BX$6&lt;=DispositionMonth,BX228,0)</f>
        <v>0</v>
      </c>
      <c r="BY307" s="407">
        <f>IF(DevBdgt!BY$6&lt;=DispositionMonth,BY228,0)</f>
        <v>0</v>
      </c>
      <c r="BZ307" s="407">
        <f>IF(DevBdgt!BZ$6&lt;=DispositionMonth,BZ228,0)</f>
        <v>0</v>
      </c>
      <c r="CA307" s="407">
        <f>IF(DevBdgt!CA$6&lt;=DispositionMonth,CA228,0)</f>
        <v>0</v>
      </c>
      <c r="CB307" s="407">
        <f>IF(DevBdgt!CB$6&lt;=DispositionMonth,CB228,0)</f>
        <v>0</v>
      </c>
      <c r="CC307" s="407">
        <f>IF(DevBdgt!CC$6&lt;=DispositionMonth,CC228,0)</f>
        <v>0</v>
      </c>
      <c r="CD307" s="407">
        <f>IF(DevBdgt!CD$6&lt;=DispositionMonth,CD228,0)</f>
        <v>0</v>
      </c>
      <c r="CE307" s="407">
        <f>IF(DevBdgt!CE$6&lt;=DispositionMonth,CE228,0)</f>
        <v>0</v>
      </c>
      <c r="CF307" s="407">
        <f>IF(DevBdgt!CF$6&lt;=DispositionMonth,CF228,0)</f>
        <v>0</v>
      </c>
      <c r="CG307" s="407">
        <f>IF(DevBdgt!CG$6&lt;=DispositionMonth,CG228,0)</f>
        <v>0</v>
      </c>
      <c r="CH307" s="407">
        <f>IF(DevBdgt!CH$6&lt;=DispositionMonth,CH228,0)</f>
        <v>0</v>
      </c>
      <c r="CI307" s="407">
        <f>IF(DevBdgt!CI$6&lt;=DispositionMonth,CI228,0)</f>
        <v>0</v>
      </c>
      <c r="CJ307" s="407">
        <f>IF(DevBdgt!CJ$6&lt;=DispositionMonth,CJ228,0)</f>
        <v>0</v>
      </c>
      <c r="CK307" s="407">
        <f>IF(DevBdgt!CK$6&lt;=DispositionMonth,CK228,0)</f>
        <v>0</v>
      </c>
      <c r="CL307" s="407">
        <f>IF(DevBdgt!CL$6&lt;=DispositionMonth,CL228,0)</f>
        <v>0</v>
      </c>
      <c r="CM307" s="407">
        <f>IF(DevBdgt!CM$6&lt;=DispositionMonth,CM228,0)</f>
        <v>0</v>
      </c>
      <c r="CN307" s="407">
        <f>IF(DevBdgt!CN$6&lt;=DispositionMonth,CN228,0)</f>
        <v>0</v>
      </c>
      <c r="CO307" s="407">
        <f>IF(DevBdgt!CO$6&lt;=DispositionMonth,CO228,0)</f>
        <v>0</v>
      </c>
      <c r="CP307" s="407">
        <f>IF(DevBdgt!CP$6&lt;=DispositionMonth,CP228,0)</f>
        <v>0</v>
      </c>
      <c r="CQ307" s="407">
        <f>IF(DevBdgt!CQ$6&lt;=DispositionMonth,CQ228,0)</f>
        <v>0</v>
      </c>
      <c r="CR307" s="407">
        <f>IF(DevBdgt!CR$6&lt;=DispositionMonth,CR228,0)</f>
        <v>0</v>
      </c>
      <c r="CS307" s="407">
        <f>IF(DevBdgt!CS$6&lt;=DispositionMonth,CS228,0)</f>
        <v>0</v>
      </c>
      <c r="CT307" s="407">
        <f>IF(DevBdgt!CT$6&lt;=DispositionMonth,CT228,0)</f>
        <v>0</v>
      </c>
      <c r="CU307" s="407">
        <f>IF(DevBdgt!CU$6&lt;=DispositionMonth,CU228,0)</f>
        <v>0</v>
      </c>
      <c r="CV307" s="407">
        <f>IF(DevBdgt!CV$6&lt;=DispositionMonth,CV228,0)</f>
        <v>0</v>
      </c>
      <c r="CW307" s="407">
        <f>IF(DevBdgt!CW$6&lt;=DispositionMonth,CW228,0)</f>
        <v>0</v>
      </c>
      <c r="CX307" s="407">
        <f>IF(DevBdgt!CX$6&lt;=DispositionMonth,CX228,0)</f>
        <v>0</v>
      </c>
      <c r="CY307" s="407">
        <f>IF(DevBdgt!CY$6&lt;=DispositionMonth,CY228,0)</f>
        <v>0</v>
      </c>
      <c r="CZ307" s="407">
        <f>IF(DevBdgt!CZ$6&lt;=DispositionMonth,CZ228,0)</f>
        <v>0</v>
      </c>
      <c r="DA307" s="407">
        <f>IF(DevBdgt!DA$6&lt;=DispositionMonth,DA228,0)</f>
        <v>0</v>
      </c>
      <c r="DB307" s="407">
        <f>IF(DevBdgt!DB$6&lt;=DispositionMonth,DB228,0)</f>
        <v>0</v>
      </c>
      <c r="DC307" s="407">
        <f>IF(DevBdgt!DC$6&lt;=DispositionMonth,DC228,0)</f>
        <v>0</v>
      </c>
      <c r="DD307" s="407">
        <f>IF(DevBdgt!DD$6&lt;=DispositionMonth,DD228,0)</f>
        <v>0</v>
      </c>
      <c r="DE307" s="407">
        <f>IF(DevBdgt!DE$6&lt;=DispositionMonth,DE228,0)</f>
        <v>0</v>
      </c>
      <c r="DF307" s="407">
        <f>IF(DevBdgt!DF$6&lt;=DispositionMonth,DF228,0)</f>
        <v>0</v>
      </c>
      <c r="DG307" s="407">
        <f>IF(DevBdgt!DG$6&lt;=DispositionMonth,DG228,0)</f>
        <v>0</v>
      </c>
      <c r="DH307" s="407">
        <f>IF(DevBdgt!DH$6&lt;=DispositionMonth,DH228,0)</f>
        <v>0</v>
      </c>
      <c r="DI307" s="407">
        <f>IF(DevBdgt!DI$6&lt;=DispositionMonth,DI228,0)</f>
        <v>0</v>
      </c>
      <c r="DJ307" s="407">
        <f>IF(DevBdgt!DJ$6&lt;=DispositionMonth,DJ228,0)</f>
        <v>0</v>
      </c>
      <c r="DK307" s="407">
        <f>IF(DevBdgt!DK$6&lt;=DispositionMonth,DK228,0)</f>
        <v>0</v>
      </c>
      <c r="DL307" s="407">
        <f>IF(DevBdgt!DL$6&lt;=DispositionMonth,DL228,0)</f>
        <v>0</v>
      </c>
      <c r="DM307" s="407">
        <f>IF(DevBdgt!DM$6&lt;=DispositionMonth,DM228,0)</f>
        <v>0</v>
      </c>
      <c r="DN307" s="407">
        <f>IF(DevBdgt!DN$6&lt;=DispositionMonth,DN228,0)</f>
        <v>0</v>
      </c>
      <c r="DO307" s="407">
        <f>IF(DevBdgt!DO$6&lt;=DispositionMonth,DO228,0)</f>
        <v>0</v>
      </c>
      <c r="DP307" s="407">
        <f>IF(DevBdgt!DP$6&lt;=DispositionMonth,DP228,0)</f>
        <v>0</v>
      </c>
      <c r="DQ307" s="407">
        <f>IF(DevBdgt!DQ$6&lt;=DispositionMonth,DQ228,0)</f>
        <v>0</v>
      </c>
      <c r="DR307" s="407">
        <f>IF(DevBdgt!DR$6&lt;=DispositionMonth,DR228,0)</f>
        <v>0</v>
      </c>
      <c r="DS307" s="407">
        <f>IF(DevBdgt!DS$6&lt;=DispositionMonth,DS228,0)</f>
        <v>0</v>
      </c>
      <c r="DT307" s="407">
        <f>IF(DevBdgt!DT$6&lt;=DispositionMonth,DT228,0)</f>
        <v>0</v>
      </c>
      <c r="DU307" s="407">
        <f>IF(DevBdgt!DU$6&lt;=DispositionMonth,DU228,0)</f>
        <v>0</v>
      </c>
      <c r="EI307" s="722"/>
    </row>
    <row r="308" spans="1:139" x14ac:dyDescent="0.3">
      <c r="A308" s="182" t="s">
        <v>2523</v>
      </c>
      <c r="B308" s="182"/>
      <c r="C308" s="182"/>
      <c r="D308" s="647"/>
      <c r="E308" s="407">
        <f>IF(DevBdgt!E$6&lt;=DispositionMonth,E288,0)</f>
        <v>0</v>
      </c>
      <c r="F308" s="407">
        <f>IF(DevBdgt!F$6&lt;=DispositionMonth,F288,0)</f>
        <v>0</v>
      </c>
      <c r="G308" s="407">
        <f>IF(DevBdgt!G$6&lt;=DispositionMonth,G288,0)</f>
        <v>0</v>
      </c>
      <c r="H308" s="407">
        <f>IF(DevBdgt!H$6&lt;=DispositionMonth,H288,0)</f>
        <v>0</v>
      </c>
      <c r="I308" s="407">
        <f>IF(DevBdgt!I$6&lt;=DispositionMonth,I288,0)</f>
        <v>0</v>
      </c>
      <c r="J308" s="407">
        <f>IF(DevBdgt!J$6&lt;=DispositionMonth,J288,0)</f>
        <v>0</v>
      </c>
      <c r="K308" s="407">
        <f>IF(DevBdgt!K$6&lt;=DispositionMonth,K288,0)</f>
        <v>0</v>
      </c>
      <c r="L308" s="407">
        <f>IF(DevBdgt!L$6&lt;=DispositionMonth,L288,0)</f>
        <v>0</v>
      </c>
      <c r="M308" s="407">
        <f>IF(DevBdgt!M$6&lt;=DispositionMonth,M288,0)</f>
        <v>0</v>
      </c>
      <c r="N308" s="407">
        <f>IF(DevBdgt!N$6&lt;=DispositionMonth,N288,0)</f>
        <v>0</v>
      </c>
      <c r="O308" s="407">
        <f>IF(DevBdgt!O$6&lt;=DispositionMonth,O288,0)</f>
        <v>0</v>
      </c>
      <c r="P308" s="407">
        <f>IF(DevBdgt!P$6&lt;=DispositionMonth,P288,0)</f>
        <v>0</v>
      </c>
      <c r="Q308" s="407">
        <f>IF(DevBdgt!Q$6&lt;=DispositionMonth,Q288,0)</f>
        <v>0</v>
      </c>
      <c r="R308" s="407">
        <f>IF(DevBdgt!R$6&lt;=DispositionMonth,R288,0)</f>
        <v>0</v>
      </c>
      <c r="S308" s="407">
        <f>IF(DevBdgt!S$6&lt;=DispositionMonth,S288,0)</f>
        <v>0</v>
      </c>
      <c r="T308" s="407">
        <f>IF(DevBdgt!T$6&lt;=DispositionMonth,T288,0)</f>
        <v>0</v>
      </c>
      <c r="U308" s="407">
        <f>IF(DevBdgt!U$6&lt;=DispositionMonth,U288,0)</f>
        <v>0</v>
      </c>
      <c r="V308" s="407">
        <f>IF(DevBdgt!V$6&lt;=DispositionMonth,V288,0)</f>
        <v>0</v>
      </c>
      <c r="W308" s="407">
        <f>IF(DevBdgt!W$6&lt;=DispositionMonth,W288,0)</f>
        <v>0</v>
      </c>
      <c r="X308" s="407">
        <f>IF(DevBdgt!X$6&lt;=DispositionMonth,X288,0)</f>
        <v>0</v>
      </c>
      <c r="Y308" s="407">
        <f>IF(DevBdgt!Y$6&lt;=DispositionMonth,Y288,0)</f>
        <v>0</v>
      </c>
      <c r="Z308" s="407">
        <f>IF(DevBdgt!Z$6&lt;=DispositionMonth,Z288,0)</f>
        <v>0</v>
      </c>
      <c r="AA308" s="407">
        <f>IF(DevBdgt!AA$6&lt;=DispositionMonth,AA288,0)</f>
        <v>0</v>
      </c>
      <c r="AB308" s="407">
        <f>IF(DevBdgt!AB$6&lt;=DispositionMonth,AB288,0)</f>
        <v>0</v>
      </c>
      <c r="AC308" s="407">
        <f>IF(DevBdgt!AC$6&lt;=DispositionMonth,AC288,0)</f>
        <v>0</v>
      </c>
      <c r="AD308" s="407">
        <f>IF(DevBdgt!AD$6&lt;=DispositionMonth,AD288,0)</f>
        <v>0</v>
      </c>
      <c r="AE308" s="407">
        <f>IF(DevBdgt!AE$6&lt;=DispositionMonth,AE288,0)</f>
        <v>0</v>
      </c>
      <c r="AF308" s="407">
        <f>IF(DevBdgt!AF$6&lt;=DispositionMonth,AF288,0)</f>
        <v>0</v>
      </c>
      <c r="AG308" s="407">
        <f ca="1">IF(DevBdgt!AG$6&lt;=DispositionMonth,AG288,0)</f>
        <v>0</v>
      </c>
      <c r="AH308" s="407">
        <f>IF(DevBdgt!AH$6&lt;=DispositionMonth,AH288,0)</f>
        <v>0</v>
      </c>
      <c r="AI308" s="407">
        <f>IF(DevBdgt!AI$6&lt;=DispositionMonth,AI288,0)</f>
        <v>0</v>
      </c>
      <c r="AJ308" s="407">
        <f>IF(DevBdgt!AJ$6&lt;=DispositionMonth,AJ288,0)</f>
        <v>0</v>
      </c>
      <c r="AK308" s="407">
        <f>IF(DevBdgt!AK$6&lt;=DispositionMonth,AK288,0)</f>
        <v>0</v>
      </c>
      <c r="AL308" s="407">
        <f>IF(DevBdgt!AL$6&lt;=DispositionMonth,AL288,0)</f>
        <v>0</v>
      </c>
      <c r="AM308" s="407">
        <f>IF(DevBdgt!AM$6&lt;=DispositionMonth,AM288,0)</f>
        <v>0</v>
      </c>
      <c r="AN308" s="407">
        <f>IF(DevBdgt!AN$6&lt;=DispositionMonth,AN288,0)</f>
        <v>0</v>
      </c>
      <c r="AO308" s="407">
        <f>IF(DevBdgt!AO$6&lt;=DispositionMonth,AO288,0)</f>
        <v>0</v>
      </c>
      <c r="AP308" s="407">
        <f>IF(DevBdgt!AP$6&lt;=DispositionMonth,AP288,0)</f>
        <v>0</v>
      </c>
      <c r="AQ308" s="407">
        <f>IF(DevBdgt!AQ$6&lt;=DispositionMonth,AQ288,0)</f>
        <v>0</v>
      </c>
      <c r="AR308" s="407">
        <f>IF(DevBdgt!AR$6&lt;=DispositionMonth,AR288,0)</f>
        <v>0</v>
      </c>
      <c r="AS308" s="407">
        <f>IF(DevBdgt!AS$6&lt;=DispositionMonth,AS288,0)</f>
        <v>0</v>
      </c>
      <c r="AT308" s="407">
        <f>IF(DevBdgt!AT$6&lt;=DispositionMonth,AT288,0)</f>
        <v>0</v>
      </c>
      <c r="AU308" s="407">
        <f>IF(DevBdgt!AU$6&lt;=DispositionMonth,AU288,0)</f>
        <v>0</v>
      </c>
      <c r="AV308" s="407">
        <f>IF(DevBdgt!AV$6&lt;=DispositionMonth,AV288,0)</f>
        <v>0</v>
      </c>
      <c r="AW308" s="407">
        <f>IF(DevBdgt!AW$6&lt;=DispositionMonth,AW288,0)</f>
        <v>0</v>
      </c>
      <c r="AX308" s="407">
        <f>IF(DevBdgt!AX$6&lt;=DispositionMonth,AX288,0)</f>
        <v>0</v>
      </c>
      <c r="AY308" s="407">
        <f>IF(DevBdgt!AY$6&lt;=DispositionMonth,AY288,0)</f>
        <v>0</v>
      </c>
      <c r="AZ308" s="407">
        <f>IF(DevBdgt!AZ$6&lt;=DispositionMonth,AZ288,0)</f>
        <v>0</v>
      </c>
      <c r="BA308" s="407">
        <f>IF(DevBdgt!BA$6&lt;=DispositionMonth,BA288,0)</f>
        <v>0</v>
      </c>
      <c r="BB308" s="407">
        <f>IF(DevBdgt!BB$6&lt;=DispositionMonth,BB288,0)</f>
        <v>0</v>
      </c>
      <c r="BC308" s="407">
        <f>IF(DevBdgt!BC$6&lt;=DispositionMonth,BC288,0)</f>
        <v>0</v>
      </c>
      <c r="BD308" s="407">
        <f>IF(DevBdgt!BD$6&lt;=DispositionMonth,BD288,0)</f>
        <v>0</v>
      </c>
      <c r="BE308" s="407">
        <f>IF(DevBdgt!BE$6&lt;=DispositionMonth,BE288,0)</f>
        <v>0</v>
      </c>
      <c r="BF308" s="407">
        <f>IF(DevBdgt!BF$6&lt;=DispositionMonth,BF288,0)</f>
        <v>0</v>
      </c>
      <c r="BG308" s="407">
        <f>IF(DevBdgt!BG$6&lt;=DispositionMonth,BG288,0)</f>
        <v>0</v>
      </c>
      <c r="BH308" s="407">
        <f>IF(DevBdgt!BH$6&lt;=DispositionMonth,BH288,0)</f>
        <v>0</v>
      </c>
      <c r="BI308" s="407">
        <f>IF(DevBdgt!BI$6&lt;=DispositionMonth,BI288,0)</f>
        <v>0</v>
      </c>
      <c r="BJ308" s="407">
        <f>IF(DevBdgt!BJ$6&lt;=DispositionMonth,BJ288,0)</f>
        <v>0</v>
      </c>
      <c r="BK308" s="407">
        <f>IF(DevBdgt!BK$6&lt;=DispositionMonth,BK288,0)</f>
        <v>0</v>
      </c>
      <c r="BL308" s="407">
        <f>IF(DevBdgt!BL$6&lt;=DispositionMonth,BL288,0)</f>
        <v>0</v>
      </c>
      <c r="BM308" s="407">
        <f>IF(DevBdgt!BM$6&lt;=DispositionMonth,BM288,0)</f>
        <v>0</v>
      </c>
      <c r="BN308" s="407">
        <f>IF(DevBdgt!BN$6&lt;=DispositionMonth,BN288,0)</f>
        <v>0</v>
      </c>
      <c r="BO308" s="407">
        <f>IF(DevBdgt!BO$6&lt;=DispositionMonth,BO288,0)</f>
        <v>0</v>
      </c>
      <c r="BP308" s="407">
        <f>IF(DevBdgt!BP$6&lt;=DispositionMonth,BP288,0)</f>
        <v>0</v>
      </c>
      <c r="BQ308" s="407">
        <f>IF(DevBdgt!BQ$6&lt;=DispositionMonth,BQ288,0)</f>
        <v>0</v>
      </c>
      <c r="BR308" s="407">
        <f>IF(DevBdgt!BR$6&lt;=DispositionMonth,BR288,0)</f>
        <v>0</v>
      </c>
      <c r="BS308" s="407">
        <f>IF(DevBdgt!BS$6&lt;=DispositionMonth,BS288,0)</f>
        <v>0</v>
      </c>
      <c r="BT308" s="407">
        <f>IF(DevBdgt!BT$6&lt;=DispositionMonth,BT288,0)</f>
        <v>0</v>
      </c>
      <c r="BU308" s="407">
        <f>IF(DevBdgt!BU$6&lt;=DispositionMonth,BU288,0)</f>
        <v>0</v>
      </c>
      <c r="BV308" s="407">
        <f>IF(DevBdgt!BV$6&lt;=DispositionMonth,BV288,0)</f>
        <v>0</v>
      </c>
      <c r="BW308" s="407">
        <f>IF(DevBdgt!BW$6&lt;=DispositionMonth,BW288,0)</f>
        <v>0</v>
      </c>
      <c r="BX308" s="407">
        <f>IF(DevBdgt!BX$6&lt;=DispositionMonth,BX288,0)</f>
        <v>0</v>
      </c>
      <c r="BY308" s="407">
        <f>IF(DevBdgt!BY$6&lt;=DispositionMonth,BY288,0)</f>
        <v>0</v>
      </c>
      <c r="BZ308" s="407">
        <f>IF(DevBdgt!BZ$6&lt;=DispositionMonth,BZ288,0)</f>
        <v>0</v>
      </c>
      <c r="CA308" s="407">
        <f>IF(DevBdgt!CA$6&lt;=DispositionMonth,CA288,0)</f>
        <v>0</v>
      </c>
      <c r="CB308" s="407">
        <f>IF(DevBdgt!CB$6&lt;=DispositionMonth,CB288,0)</f>
        <v>0</v>
      </c>
      <c r="CC308" s="407">
        <f>IF(DevBdgt!CC$6&lt;=DispositionMonth,CC288,0)</f>
        <v>0</v>
      </c>
      <c r="CD308" s="407">
        <f>IF(DevBdgt!CD$6&lt;=DispositionMonth,CD288,0)</f>
        <v>0</v>
      </c>
      <c r="CE308" s="407">
        <f>IF(DevBdgt!CE$6&lt;=DispositionMonth,CE288,0)</f>
        <v>0</v>
      </c>
      <c r="CF308" s="407">
        <f>IF(DevBdgt!CF$6&lt;=DispositionMonth,CF288,0)</f>
        <v>0</v>
      </c>
      <c r="CG308" s="407">
        <f>IF(DevBdgt!CG$6&lt;=DispositionMonth,CG288,0)</f>
        <v>0</v>
      </c>
      <c r="CH308" s="407">
        <f>IF(DevBdgt!CH$6&lt;=DispositionMonth,CH288,0)</f>
        <v>0</v>
      </c>
      <c r="CI308" s="407">
        <f>IF(DevBdgt!CI$6&lt;=DispositionMonth,CI288,0)</f>
        <v>0</v>
      </c>
      <c r="CJ308" s="407">
        <f>IF(DevBdgt!CJ$6&lt;=DispositionMonth,CJ288,0)</f>
        <v>0</v>
      </c>
      <c r="CK308" s="407">
        <f>IF(DevBdgt!CK$6&lt;=DispositionMonth,CK288,0)</f>
        <v>0</v>
      </c>
      <c r="CL308" s="407">
        <f>IF(DevBdgt!CL$6&lt;=DispositionMonth,CL288,0)</f>
        <v>0</v>
      </c>
      <c r="CM308" s="407">
        <f>IF(DevBdgt!CM$6&lt;=DispositionMonth,CM288,0)</f>
        <v>0</v>
      </c>
      <c r="CN308" s="407">
        <f>IF(DevBdgt!CN$6&lt;=DispositionMonth,CN288,0)</f>
        <v>0</v>
      </c>
      <c r="CO308" s="407">
        <f>IF(DevBdgt!CO$6&lt;=DispositionMonth,CO288,0)</f>
        <v>0</v>
      </c>
      <c r="CP308" s="407">
        <f>IF(DevBdgt!CP$6&lt;=DispositionMonth,CP288,0)</f>
        <v>0</v>
      </c>
      <c r="CQ308" s="407">
        <f>IF(DevBdgt!CQ$6&lt;=DispositionMonth,CQ288,0)</f>
        <v>0</v>
      </c>
      <c r="CR308" s="407">
        <f>IF(DevBdgt!CR$6&lt;=DispositionMonth,CR288,0)</f>
        <v>0</v>
      </c>
      <c r="CS308" s="407">
        <f>IF(DevBdgt!CS$6&lt;=DispositionMonth,CS288,0)</f>
        <v>0</v>
      </c>
      <c r="CT308" s="407">
        <f>IF(DevBdgt!CT$6&lt;=DispositionMonth,CT288,0)</f>
        <v>0</v>
      </c>
      <c r="CU308" s="407">
        <f>IF(DevBdgt!CU$6&lt;=DispositionMonth,CU288,0)</f>
        <v>0</v>
      </c>
      <c r="CV308" s="407">
        <f>IF(DevBdgt!CV$6&lt;=DispositionMonth,CV288,0)</f>
        <v>0</v>
      </c>
      <c r="CW308" s="407">
        <f>IF(DevBdgt!CW$6&lt;=DispositionMonth,CW288,0)</f>
        <v>0</v>
      </c>
      <c r="CX308" s="407">
        <f>IF(DevBdgt!CX$6&lt;=DispositionMonth,CX288,0)</f>
        <v>0</v>
      </c>
      <c r="CY308" s="407">
        <f>IF(DevBdgt!CY$6&lt;=DispositionMonth,CY288,0)</f>
        <v>0</v>
      </c>
      <c r="CZ308" s="407">
        <f>IF(DevBdgt!CZ$6&lt;=DispositionMonth,CZ288,0)</f>
        <v>0</v>
      </c>
      <c r="DA308" s="407">
        <f>IF(DevBdgt!DA$6&lt;=DispositionMonth,DA288,0)</f>
        <v>0</v>
      </c>
      <c r="DB308" s="407">
        <f>IF(DevBdgt!DB$6&lt;=DispositionMonth,DB288,0)</f>
        <v>0</v>
      </c>
      <c r="DC308" s="407">
        <f>IF(DevBdgt!DC$6&lt;=DispositionMonth,DC288,0)</f>
        <v>0</v>
      </c>
      <c r="DD308" s="407">
        <f>IF(DevBdgt!DD$6&lt;=DispositionMonth,DD288,0)</f>
        <v>0</v>
      </c>
      <c r="DE308" s="407">
        <f>IF(DevBdgt!DE$6&lt;=DispositionMonth,DE288,0)</f>
        <v>0</v>
      </c>
      <c r="DF308" s="407">
        <f>IF(DevBdgt!DF$6&lt;=DispositionMonth,DF288,0)</f>
        <v>0</v>
      </c>
      <c r="DG308" s="407">
        <f>IF(DevBdgt!DG$6&lt;=DispositionMonth,DG288,0)</f>
        <v>0</v>
      </c>
      <c r="DH308" s="407">
        <f>IF(DevBdgt!DH$6&lt;=DispositionMonth,DH288,0)</f>
        <v>0</v>
      </c>
      <c r="DI308" s="407">
        <f>IF(DevBdgt!DI$6&lt;=DispositionMonth,DI288,0)</f>
        <v>0</v>
      </c>
      <c r="DJ308" s="407">
        <f>IF(DevBdgt!DJ$6&lt;=DispositionMonth,DJ288,0)</f>
        <v>0</v>
      </c>
      <c r="DK308" s="407">
        <f>IF(DevBdgt!DK$6&lt;=DispositionMonth,DK288,0)</f>
        <v>0</v>
      </c>
      <c r="DL308" s="407">
        <f>IF(DevBdgt!DL$6&lt;=DispositionMonth,DL288,0)</f>
        <v>0</v>
      </c>
      <c r="DM308" s="407">
        <f>IF(DevBdgt!DM$6&lt;=DispositionMonth,DM288,0)</f>
        <v>0</v>
      </c>
      <c r="DN308" s="407">
        <f>IF(DevBdgt!DN$6&lt;=DispositionMonth,DN288,0)</f>
        <v>0</v>
      </c>
      <c r="DO308" s="407">
        <f>IF(DevBdgt!DO$6&lt;=DispositionMonth,DO288,0)</f>
        <v>0</v>
      </c>
      <c r="DP308" s="407">
        <f>IF(DevBdgt!DP$6&lt;=DispositionMonth,DP288,0)</f>
        <v>0</v>
      </c>
      <c r="DQ308" s="407">
        <f>IF(DevBdgt!DQ$6&lt;=DispositionMonth,DQ288,0)</f>
        <v>0</v>
      </c>
      <c r="DR308" s="407">
        <f>IF(DevBdgt!DR$6&lt;=DispositionMonth,DR288,0)</f>
        <v>0</v>
      </c>
      <c r="DS308" s="407">
        <f>IF(DevBdgt!DS$6&lt;=DispositionMonth,DS288,0)</f>
        <v>0</v>
      </c>
      <c r="DT308" s="407">
        <f>IF(DevBdgt!DT$6&lt;=DispositionMonth,DT288,0)</f>
        <v>0</v>
      </c>
      <c r="DU308" s="407">
        <f>IF(DevBdgt!DU$6&lt;=DispositionMonth,DU288,0)</f>
        <v>0</v>
      </c>
      <c r="EI308" s="280"/>
    </row>
    <row r="309" spans="1:139" ht="15" thickBot="1" x14ac:dyDescent="0.35">
      <c r="A309" s="436" t="s">
        <v>2524</v>
      </c>
      <c r="B309" s="436"/>
      <c r="C309" s="439">
        <f ca="1">IF('General Inputs'!L8=0,0,(1+IRR(E309:DU309,0.01))^12-1)</f>
        <v>0</v>
      </c>
      <c r="D309" s="745"/>
      <c r="E309" s="433">
        <f t="shared" ref="E309:AZ309" ca="1" si="502">SUM(E305:E308)</f>
        <v>0</v>
      </c>
      <c r="F309" s="433">
        <f t="shared" ca="1" si="502"/>
        <v>0</v>
      </c>
      <c r="G309" s="433">
        <f t="shared" ca="1" si="502"/>
        <v>0</v>
      </c>
      <c r="H309" s="433">
        <f t="shared" ca="1" si="502"/>
        <v>0</v>
      </c>
      <c r="I309" s="433">
        <f t="shared" ca="1" si="502"/>
        <v>0</v>
      </c>
      <c r="J309" s="433">
        <f t="shared" ca="1" si="502"/>
        <v>0</v>
      </c>
      <c r="K309" s="433">
        <f t="shared" ca="1" si="502"/>
        <v>0</v>
      </c>
      <c r="L309" s="433">
        <f t="shared" ca="1" si="502"/>
        <v>0</v>
      </c>
      <c r="M309" s="433">
        <f t="shared" ca="1" si="502"/>
        <v>0</v>
      </c>
      <c r="N309" s="433">
        <f t="shared" ca="1" si="502"/>
        <v>0</v>
      </c>
      <c r="O309" s="433">
        <f t="shared" ca="1" si="502"/>
        <v>0</v>
      </c>
      <c r="P309" s="433">
        <f t="shared" ca="1" si="502"/>
        <v>0</v>
      </c>
      <c r="Q309" s="433">
        <f t="shared" ca="1" si="502"/>
        <v>0</v>
      </c>
      <c r="R309" s="433">
        <f t="shared" ca="1" si="502"/>
        <v>0</v>
      </c>
      <c r="S309" s="433">
        <f t="shared" ca="1" si="502"/>
        <v>0</v>
      </c>
      <c r="T309" s="433">
        <f t="shared" ca="1" si="502"/>
        <v>0</v>
      </c>
      <c r="U309" s="433">
        <f t="shared" ca="1" si="502"/>
        <v>0</v>
      </c>
      <c r="V309" s="433">
        <f t="shared" ca="1" si="502"/>
        <v>0</v>
      </c>
      <c r="W309" s="433">
        <f t="shared" ca="1" si="502"/>
        <v>0</v>
      </c>
      <c r="X309" s="433">
        <f t="shared" ca="1" si="502"/>
        <v>0</v>
      </c>
      <c r="Y309" s="433">
        <f t="shared" ca="1" si="502"/>
        <v>0</v>
      </c>
      <c r="Z309" s="433">
        <f t="shared" ca="1" si="502"/>
        <v>0</v>
      </c>
      <c r="AA309" s="433">
        <f t="shared" ca="1" si="502"/>
        <v>0</v>
      </c>
      <c r="AB309" s="433">
        <f t="shared" ca="1" si="502"/>
        <v>0</v>
      </c>
      <c r="AC309" s="433">
        <f t="shared" ca="1" si="502"/>
        <v>0</v>
      </c>
      <c r="AD309" s="433">
        <f t="shared" ca="1" si="502"/>
        <v>0</v>
      </c>
      <c r="AE309" s="433">
        <f t="shared" ca="1" si="502"/>
        <v>0</v>
      </c>
      <c r="AF309" s="433">
        <f t="shared" ca="1" si="502"/>
        <v>0</v>
      </c>
      <c r="AG309" s="433">
        <f t="shared" ca="1" si="502"/>
        <v>0</v>
      </c>
      <c r="AH309" s="433">
        <f t="shared" si="502"/>
        <v>0</v>
      </c>
      <c r="AI309" s="433">
        <f t="shared" si="502"/>
        <v>0</v>
      </c>
      <c r="AJ309" s="433">
        <f t="shared" si="502"/>
        <v>0</v>
      </c>
      <c r="AK309" s="433">
        <f t="shared" si="502"/>
        <v>0</v>
      </c>
      <c r="AL309" s="433">
        <f t="shared" si="502"/>
        <v>0</v>
      </c>
      <c r="AM309" s="433">
        <f t="shared" si="502"/>
        <v>0</v>
      </c>
      <c r="AN309" s="433">
        <f t="shared" si="502"/>
        <v>0</v>
      </c>
      <c r="AO309" s="433">
        <f t="shared" si="502"/>
        <v>0</v>
      </c>
      <c r="AP309" s="433">
        <f t="shared" si="502"/>
        <v>0</v>
      </c>
      <c r="AQ309" s="433">
        <f t="shared" si="502"/>
        <v>0</v>
      </c>
      <c r="AR309" s="433">
        <f t="shared" si="502"/>
        <v>0</v>
      </c>
      <c r="AS309" s="433">
        <f t="shared" si="502"/>
        <v>0</v>
      </c>
      <c r="AT309" s="433">
        <f t="shared" si="502"/>
        <v>0</v>
      </c>
      <c r="AU309" s="433">
        <f t="shared" si="502"/>
        <v>0</v>
      </c>
      <c r="AV309" s="433">
        <f t="shared" si="502"/>
        <v>0</v>
      </c>
      <c r="AW309" s="433">
        <f t="shared" si="502"/>
        <v>0</v>
      </c>
      <c r="AX309" s="433">
        <f t="shared" si="502"/>
        <v>0</v>
      </c>
      <c r="AY309" s="433">
        <f t="shared" si="502"/>
        <v>0</v>
      </c>
      <c r="AZ309" s="433">
        <f t="shared" si="502"/>
        <v>0</v>
      </c>
      <c r="BA309" s="433">
        <f>SUM(BA305:BA308)</f>
        <v>0</v>
      </c>
      <c r="BB309" s="433">
        <f t="shared" ref="BB309:DM309" si="503">SUM(BB305:BB308)</f>
        <v>0</v>
      </c>
      <c r="BC309" s="433">
        <f t="shared" si="503"/>
        <v>0</v>
      </c>
      <c r="BD309" s="433">
        <f t="shared" si="503"/>
        <v>0</v>
      </c>
      <c r="BE309" s="433">
        <f t="shared" si="503"/>
        <v>0</v>
      </c>
      <c r="BF309" s="433">
        <f t="shared" si="503"/>
        <v>0</v>
      </c>
      <c r="BG309" s="433">
        <f t="shared" si="503"/>
        <v>0</v>
      </c>
      <c r="BH309" s="433">
        <f t="shared" si="503"/>
        <v>0</v>
      </c>
      <c r="BI309" s="433">
        <f t="shared" si="503"/>
        <v>0</v>
      </c>
      <c r="BJ309" s="433">
        <f t="shared" si="503"/>
        <v>0</v>
      </c>
      <c r="BK309" s="433">
        <f t="shared" si="503"/>
        <v>0</v>
      </c>
      <c r="BL309" s="433">
        <f t="shared" si="503"/>
        <v>0</v>
      </c>
      <c r="BM309" s="433">
        <f t="shared" si="503"/>
        <v>0</v>
      </c>
      <c r="BN309" s="433">
        <f t="shared" si="503"/>
        <v>0</v>
      </c>
      <c r="BO309" s="433">
        <f t="shared" si="503"/>
        <v>0</v>
      </c>
      <c r="BP309" s="433">
        <f t="shared" si="503"/>
        <v>0</v>
      </c>
      <c r="BQ309" s="433">
        <f t="shared" si="503"/>
        <v>0</v>
      </c>
      <c r="BR309" s="433">
        <f t="shared" si="503"/>
        <v>0</v>
      </c>
      <c r="BS309" s="433">
        <f t="shared" si="503"/>
        <v>0</v>
      </c>
      <c r="BT309" s="433">
        <f t="shared" si="503"/>
        <v>0</v>
      </c>
      <c r="BU309" s="433">
        <f t="shared" si="503"/>
        <v>0</v>
      </c>
      <c r="BV309" s="433">
        <f t="shared" si="503"/>
        <v>0</v>
      </c>
      <c r="BW309" s="433">
        <f t="shared" si="503"/>
        <v>0</v>
      </c>
      <c r="BX309" s="433">
        <f t="shared" si="503"/>
        <v>0</v>
      </c>
      <c r="BY309" s="433">
        <f t="shared" si="503"/>
        <v>0</v>
      </c>
      <c r="BZ309" s="433">
        <f t="shared" si="503"/>
        <v>0</v>
      </c>
      <c r="CA309" s="433">
        <f t="shared" si="503"/>
        <v>0</v>
      </c>
      <c r="CB309" s="433">
        <f t="shared" si="503"/>
        <v>0</v>
      </c>
      <c r="CC309" s="433">
        <f t="shared" si="503"/>
        <v>0</v>
      </c>
      <c r="CD309" s="433">
        <f t="shared" si="503"/>
        <v>0</v>
      </c>
      <c r="CE309" s="433">
        <f t="shared" si="503"/>
        <v>0</v>
      </c>
      <c r="CF309" s="433">
        <f t="shared" si="503"/>
        <v>0</v>
      </c>
      <c r="CG309" s="433">
        <f t="shared" si="503"/>
        <v>0</v>
      </c>
      <c r="CH309" s="433">
        <f t="shared" si="503"/>
        <v>0</v>
      </c>
      <c r="CI309" s="433">
        <f t="shared" si="503"/>
        <v>0</v>
      </c>
      <c r="CJ309" s="433">
        <f t="shared" si="503"/>
        <v>0</v>
      </c>
      <c r="CK309" s="433">
        <f t="shared" si="503"/>
        <v>0</v>
      </c>
      <c r="CL309" s="433">
        <f t="shared" si="503"/>
        <v>0</v>
      </c>
      <c r="CM309" s="433">
        <f t="shared" si="503"/>
        <v>0</v>
      </c>
      <c r="CN309" s="433">
        <f t="shared" si="503"/>
        <v>0</v>
      </c>
      <c r="CO309" s="433">
        <f t="shared" si="503"/>
        <v>0</v>
      </c>
      <c r="CP309" s="433">
        <f t="shared" si="503"/>
        <v>0</v>
      </c>
      <c r="CQ309" s="433">
        <f t="shared" si="503"/>
        <v>0</v>
      </c>
      <c r="CR309" s="433">
        <f t="shared" si="503"/>
        <v>0</v>
      </c>
      <c r="CS309" s="433">
        <f t="shared" si="503"/>
        <v>0</v>
      </c>
      <c r="CT309" s="433">
        <f t="shared" si="503"/>
        <v>0</v>
      </c>
      <c r="CU309" s="433">
        <f t="shared" si="503"/>
        <v>0</v>
      </c>
      <c r="CV309" s="433">
        <f t="shared" si="503"/>
        <v>0</v>
      </c>
      <c r="CW309" s="433">
        <f t="shared" si="503"/>
        <v>0</v>
      </c>
      <c r="CX309" s="433">
        <f t="shared" si="503"/>
        <v>0</v>
      </c>
      <c r="CY309" s="433">
        <f t="shared" si="503"/>
        <v>0</v>
      </c>
      <c r="CZ309" s="433">
        <f t="shared" si="503"/>
        <v>0</v>
      </c>
      <c r="DA309" s="433">
        <f t="shared" si="503"/>
        <v>0</v>
      </c>
      <c r="DB309" s="433">
        <f t="shared" si="503"/>
        <v>0</v>
      </c>
      <c r="DC309" s="433">
        <f t="shared" si="503"/>
        <v>0</v>
      </c>
      <c r="DD309" s="433">
        <f t="shared" si="503"/>
        <v>0</v>
      </c>
      <c r="DE309" s="433">
        <f t="shared" si="503"/>
        <v>0</v>
      </c>
      <c r="DF309" s="433">
        <f t="shared" si="503"/>
        <v>0</v>
      </c>
      <c r="DG309" s="433">
        <f t="shared" si="503"/>
        <v>0</v>
      </c>
      <c r="DH309" s="433">
        <f t="shared" si="503"/>
        <v>0</v>
      </c>
      <c r="DI309" s="433">
        <f t="shared" si="503"/>
        <v>0</v>
      </c>
      <c r="DJ309" s="433">
        <f t="shared" si="503"/>
        <v>0</v>
      </c>
      <c r="DK309" s="433">
        <f t="shared" si="503"/>
        <v>0</v>
      </c>
      <c r="DL309" s="433">
        <f t="shared" si="503"/>
        <v>0</v>
      </c>
      <c r="DM309" s="433">
        <f t="shared" si="503"/>
        <v>0</v>
      </c>
      <c r="DN309" s="433">
        <f t="shared" ref="DN309:DU309" si="504">SUM(DN305:DN308)</f>
        <v>0</v>
      </c>
      <c r="DO309" s="433">
        <f t="shared" si="504"/>
        <v>0</v>
      </c>
      <c r="DP309" s="433">
        <f t="shared" si="504"/>
        <v>0</v>
      </c>
      <c r="DQ309" s="433">
        <f t="shared" si="504"/>
        <v>0</v>
      </c>
      <c r="DR309" s="433">
        <f t="shared" si="504"/>
        <v>0</v>
      </c>
      <c r="DS309" s="433">
        <f t="shared" si="504"/>
        <v>0</v>
      </c>
      <c r="DT309" s="433">
        <f t="shared" si="504"/>
        <v>0</v>
      </c>
      <c r="DU309" s="433">
        <f t="shared" si="504"/>
        <v>0</v>
      </c>
      <c r="EI309" s="722"/>
    </row>
    <row r="310" spans="1:139" ht="7.5" customHeight="1" thickTop="1" thickBot="1" x14ac:dyDescent="0.35">
      <c r="EI310" s="280"/>
    </row>
    <row r="311" spans="1:139" ht="15.75" customHeight="1" thickTop="1" x14ac:dyDescent="0.3">
      <c r="A311" s="2782" t="s">
        <v>2525</v>
      </c>
      <c r="B311" s="2783"/>
      <c r="C311" s="2784"/>
      <c r="D311" s="728"/>
      <c r="E311" s="322"/>
      <c r="F311" s="322"/>
      <c r="G311" s="322"/>
      <c r="H311" s="322"/>
      <c r="I311" s="322"/>
      <c r="J311" s="322"/>
      <c r="K311" s="322"/>
      <c r="L311" s="322"/>
      <c r="M311" s="322"/>
      <c r="N311" s="322"/>
      <c r="O311" s="322"/>
      <c r="P311" s="322"/>
      <c r="Q311" s="322"/>
      <c r="R311" s="322"/>
      <c r="S311" s="322"/>
      <c r="T311" s="322"/>
      <c r="U311" s="322"/>
      <c r="V311" s="322"/>
      <c r="W311" s="322"/>
      <c r="X311" s="322"/>
      <c r="Y311" s="322"/>
      <c r="Z311" s="322"/>
      <c r="AA311" s="322"/>
      <c r="AB311" s="322"/>
      <c r="AC311" s="322"/>
      <c r="AD311" s="322"/>
      <c r="AE311" s="322"/>
      <c r="AF311" s="322"/>
      <c r="AG311" s="322"/>
      <c r="AH311" s="322"/>
      <c r="AI311" s="322"/>
      <c r="AJ311" s="322"/>
      <c r="AK311" s="322"/>
      <c r="AL311" s="322"/>
      <c r="AM311" s="322"/>
      <c r="AN311" s="322"/>
      <c r="AO311" s="322"/>
      <c r="AP311" s="322"/>
      <c r="AQ311" s="322"/>
      <c r="AR311" s="322"/>
      <c r="AS311" s="322"/>
      <c r="AT311" s="322"/>
      <c r="AU311" s="322"/>
      <c r="AV311" s="322"/>
      <c r="AW311" s="322"/>
      <c r="AX311" s="322"/>
      <c r="AY311" s="322"/>
      <c r="AZ311" s="322"/>
      <c r="BA311" s="322"/>
      <c r="BB311" s="322"/>
      <c r="BC311" s="322"/>
      <c r="BD311" s="322"/>
      <c r="BE311" s="322"/>
      <c r="BF311" s="322"/>
      <c r="BG311" s="322"/>
      <c r="BH311" s="322"/>
      <c r="BI311" s="322"/>
      <c r="BJ311" s="322"/>
      <c r="BK311" s="322"/>
      <c r="BL311" s="322"/>
      <c r="BM311" s="322"/>
      <c r="BN311" s="322"/>
      <c r="BO311" s="322"/>
      <c r="BP311" s="322"/>
      <c r="BQ311" s="322"/>
      <c r="BR311" s="322"/>
      <c r="BS311" s="322"/>
      <c r="BT311" s="322"/>
      <c r="BU311" s="322"/>
      <c r="BV311" s="322"/>
      <c r="BW311" s="322"/>
      <c r="BX311" s="322"/>
      <c r="BY311" s="322"/>
      <c r="BZ311" s="322"/>
      <c r="CA311" s="322"/>
      <c r="CB311" s="322"/>
      <c r="CC311" s="322"/>
      <c r="CD311" s="322"/>
      <c r="CE311" s="322"/>
      <c r="CF311" s="322"/>
      <c r="CG311" s="322"/>
      <c r="CH311" s="322"/>
      <c r="CI311" s="322"/>
      <c r="CJ311" s="322"/>
      <c r="CK311" s="322"/>
      <c r="CL311" s="322"/>
      <c r="CM311" s="322"/>
      <c r="CN311" s="322"/>
      <c r="CO311" s="322"/>
      <c r="CP311" s="322"/>
      <c r="CQ311" s="322"/>
      <c r="CR311" s="322"/>
      <c r="CS311" s="322"/>
      <c r="CT311" s="322"/>
      <c r="CU311" s="322"/>
      <c r="CV311" s="322"/>
      <c r="CW311" s="322"/>
      <c r="CX311" s="322"/>
      <c r="CY311" s="322"/>
      <c r="CZ311" s="322"/>
      <c r="DA311" s="322"/>
      <c r="DB311" s="322"/>
      <c r="DC311" s="322"/>
      <c r="DD311" s="322"/>
      <c r="DE311" s="322"/>
      <c r="DF311" s="322"/>
      <c r="DG311" s="322"/>
      <c r="DH311" s="322"/>
      <c r="DI311" s="322"/>
      <c r="DJ311" s="322"/>
      <c r="DK311" s="322"/>
      <c r="DL311" s="322"/>
      <c r="DM311" s="322"/>
      <c r="DN311" s="322"/>
      <c r="DO311" s="322"/>
      <c r="DP311" s="322"/>
      <c r="DQ311" s="322"/>
      <c r="DR311" s="322"/>
      <c r="DS311" s="322"/>
      <c r="DT311" s="322"/>
      <c r="DU311" s="322"/>
      <c r="EH311" s="644"/>
      <c r="EI311" s="722"/>
    </row>
    <row r="312" spans="1:139" x14ac:dyDescent="0.3">
      <c r="A312" t="s">
        <v>2474</v>
      </c>
      <c r="C312" s="2559"/>
      <c r="D312" s="2560">
        <f ca="1">SUM(E312:DU312)</f>
        <v>-75798322.647527367</v>
      </c>
      <c r="E312" s="227">
        <f ca="1">IF(E$6&lt;=DateDisposition,-DevBdgt!E48+(DevBdgt!E35*(1+'Development Inputs'!$B$13+'Development Inputs'!$K$99))+(DevBdgt!E36*(1+'Development Inputs'!$B$13+'Development Inputs'!$K$99)),0)</f>
        <v>-976480.98946296622</v>
      </c>
      <c r="F312" s="227">
        <f ca="1">IF(F$6&lt;=DateDisposition,-DevBdgt!F48+(DevBdgt!F35*(1+'Development Inputs'!$B$13+'Development Inputs'!$K$99))+(DevBdgt!F36*(1+'Development Inputs'!$B$13+'Development Inputs'!$K$99)),0)</f>
        <v>-15196420.31702359</v>
      </c>
      <c r="G312" s="227">
        <f ca="1">IF(G$6&lt;=DateDisposition,-DevBdgt!G48+(DevBdgt!G35*(1+'Development Inputs'!$B$13+'Development Inputs'!$K$99))+(DevBdgt!G36*(1+'Development Inputs'!$B$13+'Development Inputs'!$K$99)),0)</f>
        <v>-474239.54329989548</v>
      </c>
      <c r="H312" s="227">
        <f ca="1">IF(H$6&lt;=DateDisposition,-DevBdgt!H48+(DevBdgt!H35*(1+'Development Inputs'!$B$13+'Development Inputs'!$K$99))+(DevBdgt!H36*(1+'Development Inputs'!$B$13+'Development Inputs'!$K$99)),0)</f>
        <v>-721748.0475038616</v>
      </c>
      <c r="I312" s="227">
        <f ca="1">IF(I$6&lt;=DateDisposition,-DevBdgt!I48+(DevBdgt!I35*(1+'Development Inputs'!$B$13+'Development Inputs'!$K$99))+(DevBdgt!I36*(1+'Development Inputs'!$B$13+'Development Inputs'!$K$99)),0)</f>
        <v>-1228081.4260033614</v>
      </c>
      <c r="J312" s="227">
        <f ca="1">IF(J$6&lt;=DateDisposition,-DevBdgt!J48+(DevBdgt!J35*(1+'Development Inputs'!$B$13+'Development Inputs'!$K$99))+(DevBdgt!J36*(1+'Development Inputs'!$B$13+'Development Inputs'!$K$99)),0)</f>
        <v>-2006175.0862433794</v>
      </c>
      <c r="K312" s="227">
        <f ca="1">IF(K$6&lt;=DateDisposition,-DevBdgt!K48+(DevBdgt!K35*(1+'Development Inputs'!$B$13+'Development Inputs'!$K$99))+(DevBdgt!K36*(1+'Development Inputs'!$B$13+'Development Inputs'!$K$99)),0)</f>
        <v>-2065007.2828140815</v>
      </c>
      <c r="L312" s="227">
        <f ca="1">IF(L$6&lt;=DateDisposition,-DevBdgt!L48+(DevBdgt!L35*(1+'Development Inputs'!$B$13+'Development Inputs'!$K$99))+(DevBdgt!L36*(1+'Development Inputs'!$B$13+'Development Inputs'!$K$99)),0)</f>
        <v>-2632286.0946173389</v>
      </c>
      <c r="M312" s="227">
        <f ca="1">IF(M$6&lt;=DateDisposition,-DevBdgt!M48+(DevBdgt!M35*(1+'Development Inputs'!$B$13+'Development Inputs'!$K$99))+(DevBdgt!M36*(1+'Development Inputs'!$B$13+'Development Inputs'!$K$99)),0)</f>
        <v>-3123041.3752459437</v>
      </c>
      <c r="N312" s="227">
        <f ca="1">IF(N$6&lt;=DateDisposition,-DevBdgt!N48+(DevBdgt!N35*(1+'Development Inputs'!$B$13+'Development Inputs'!$K$99))+(DevBdgt!N36*(1+'Development Inputs'!$B$13+'Development Inputs'!$K$99)),0)</f>
        <v>-3656374.6239059591</v>
      </c>
      <c r="O312" s="227">
        <f ca="1">IF(O$6&lt;=DateDisposition,-DevBdgt!O48+(DevBdgt!O35*(1+'Development Inputs'!$B$13+'Development Inputs'!$K$99))+(DevBdgt!O36*(1+'Development Inputs'!$B$13+'Development Inputs'!$K$99)),0)</f>
        <v>-3785478.5469404557</v>
      </c>
      <c r="P312" s="227">
        <f ca="1">IF(P$6&lt;=DateDisposition,-DevBdgt!P48+(DevBdgt!P35*(1+'Development Inputs'!$B$13+'Development Inputs'!$K$99))+(DevBdgt!P36*(1+'Development Inputs'!$B$13+'Development Inputs'!$K$99)),0)</f>
        <v>-3972123.4240676542</v>
      </c>
      <c r="Q312" s="227">
        <f ca="1">IF(Q$6&lt;=DateDisposition,-DevBdgt!Q48+(DevBdgt!Q35*(1+'Development Inputs'!$B$13+'Development Inputs'!$K$99))+(DevBdgt!Q36*(1+'Development Inputs'!$B$13+'Development Inputs'!$K$99)),0)</f>
        <v>-3999064.3859817842</v>
      </c>
      <c r="R312" s="227">
        <f ca="1">IF(R$6&lt;=DateDisposition,-DevBdgt!R48+(DevBdgt!R35*(1+'Development Inputs'!$B$13+'Development Inputs'!$K$99))+(DevBdgt!R36*(1+'Development Inputs'!$B$13+'Development Inputs'!$K$99)),0)</f>
        <v>-4014154.6910651959</v>
      </c>
      <c r="S312" s="227">
        <f ca="1">IF(S$6&lt;=DateDisposition,-DevBdgt!S48+(DevBdgt!S35*(1+'Development Inputs'!$B$13+'Development Inputs'!$K$99))+(DevBdgt!S36*(1+'Development Inputs'!$B$13+'Development Inputs'!$K$99)),0)</f>
        <v>-3729373.8942700066</v>
      </c>
      <c r="T312" s="227">
        <f ca="1">IF(T$6&lt;=DateDisposition,-DevBdgt!T48+(DevBdgt!T35*(1+'Development Inputs'!$B$13+'Development Inputs'!$K$99))+(DevBdgt!T36*(1+'Development Inputs'!$B$13+'Development Inputs'!$K$99)),0)</f>
        <v>-3599927.3861139896</v>
      </c>
      <c r="U312" s="227">
        <f ca="1">IF(U$6&lt;=DateDisposition,-DevBdgt!U48+(DevBdgt!U35*(1+'Development Inputs'!$B$13+'Development Inputs'!$K$99))+(DevBdgt!U36*(1+'Development Inputs'!$B$13+'Development Inputs'!$K$99)),0)</f>
        <v>-3309439.1491722479</v>
      </c>
      <c r="V312" s="227">
        <f ca="1">IF(V$6&lt;=DateDisposition,-DevBdgt!V48+(DevBdgt!V35*(1+'Development Inputs'!$B$13+'Development Inputs'!$K$99))+(DevBdgt!V36*(1+'Development Inputs'!$B$13+'Development Inputs'!$K$99)),0)</f>
        <v>-2952236.6266668998</v>
      </c>
      <c r="W312" s="227">
        <f ca="1">IF(W$6&lt;=DateDisposition,-DevBdgt!W48+(DevBdgt!W35*(1+'Development Inputs'!$B$13+'Development Inputs'!$K$99))+(DevBdgt!W36*(1+'Development Inputs'!$B$13+'Development Inputs'!$K$99)),0)</f>
        <v>-2918294.3797108978</v>
      </c>
      <c r="X312" s="227">
        <f ca="1">IF(X$6&lt;=DateDisposition,-DevBdgt!X48+(DevBdgt!X35*(1+'Development Inputs'!$B$13+'Development Inputs'!$K$99))+(DevBdgt!X36*(1+'Development Inputs'!$B$13+'Development Inputs'!$K$99)),0)</f>
        <v>-2674623.2695976538</v>
      </c>
      <c r="Y312" s="227">
        <f ca="1">IF(Y$6&lt;=DateDisposition,-DevBdgt!Y48+(DevBdgt!Y35*(1+'Development Inputs'!$B$13+'Development Inputs'!$K$99))+(DevBdgt!Y36*(1+'Development Inputs'!$B$13+'Development Inputs'!$K$99)),0)</f>
        <v>-2266113.3825888955</v>
      </c>
      <c r="Z312" s="227">
        <f ca="1">IF(Z$6&lt;=DateDisposition,-DevBdgt!Z48+(DevBdgt!Z35*(1+'Development Inputs'!$B$13+'Development Inputs'!$K$99))+(DevBdgt!Z36*(1+'Development Inputs'!$B$13+'Development Inputs'!$K$99)),0)</f>
        <v>-1962103.855803825</v>
      </c>
      <c r="AA312" s="227">
        <f ca="1">IF(AA$6&lt;=DateDisposition,-DevBdgt!AA48+(DevBdgt!AA35*(1+'Development Inputs'!$B$13+'Development Inputs'!$K$99))+(DevBdgt!AA36*(1+'Development Inputs'!$B$13+'Development Inputs'!$K$99)),0)</f>
        <v>-1679005.7255976256</v>
      </c>
      <c r="AB312" s="227">
        <f ca="1">IF(AB$6&lt;=DateDisposition,-DevBdgt!AB48+(DevBdgt!AB35*(1+'Development Inputs'!$B$13+'Development Inputs'!$K$99))+(DevBdgt!AB36*(1+'Development Inputs'!$B$13+'Development Inputs'!$K$99)),0)</f>
        <v>-1194584.1193682139</v>
      </c>
      <c r="AC312" s="227">
        <f ca="1">IF(AC$6&lt;=DateDisposition,-DevBdgt!AC48+(DevBdgt!AC35*(1+'Development Inputs'!$B$13+'Development Inputs'!$K$99))+(DevBdgt!AC36*(1+'Development Inputs'!$B$13+'Development Inputs'!$K$99)),0)</f>
        <v>-987510.74024430034</v>
      </c>
      <c r="AD312" s="227">
        <f ca="1">IF(AD$6&lt;=DateDisposition,-DevBdgt!AD48+(DevBdgt!AD35*(1+'Development Inputs'!$B$13+'Development Inputs'!$K$99))+(DevBdgt!AD36*(1+'Development Inputs'!$B$13+'Development Inputs'!$K$99)),0)</f>
        <v>-674434.28421734134</v>
      </c>
      <c r="AE312" s="227">
        <f ca="1">IF(AE$6&lt;=DateDisposition,-DevBdgt!AE48+(DevBdgt!AE35*(1+'Development Inputs'!$B$13+'Development Inputs'!$K$99))+(DevBdgt!AE36*(1+'Development Inputs'!$B$13+'Development Inputs'!$K$99)),0)</f>
        <v>0</v>
      </c>
      <c r="AF312" s="227">
        <f ca="1">IF(AF$6&lt;=DateDisposition,-DevBdgt!AF48+(DevBdgt!AF35*(1+'Development Inputs'!$B$13+'Development Inputs'!$K$99))+(DevBdgt!AF36*(1+'Development Inputs'!$B$13+'Development Inputs'!$K$99)),0)</f>
        <v>0</v>
      </c>
      <c r="AG312" s="227">
        <f ca="1">IF(AG$6&lt;=DateDisposition,-DevBdgt!AG48+(DevBdgt!AG35*(1+'Development Inputs'!$B$13+'Development Inputs'!$K$99))+(DevBdgt!AG36*(1+'Development Inputs'!$B$13+'Development Inputs'!$K$99)),0)</f>
        <v>0</v>
      </c>
      <c r="AH312" s="227">
        <f>IF(AH$6&lt;=DateDisposition,-DevBdgt!AH48+(DevBdgt!AH35*(1+'Development Inputs'!$B$13+'Development Inputs'!$K$99))+(DevBdgt!AH36*(1+'Development Inputs'!$B$13+'Development Inputs'!$K$99)),0)</f>
        <v>0</v>
      </c>
      <c r="AI312" s="227">
        <f>IF(AI$6&lt;=DateDisposition,-DevBdgt!AI48+(DevBdgt!AI35*(1+'Development Inputs'!$B$13+'Development Inputs'!$K$99))+(DevBdgt!AI36*(1+'Development Inputs'!$B$13+'Development Inputs'!$K$99)),0)</f>
        <v>0</v>
      </c>
      <c r="AJ312" s="227">
        <f>IF(AJ$6&lt;=DateDisposition,-DevBdgt!AJ48+(DevBdgt!AJ35*(1+'Development Inputs'!$B$13+'Development Inputs'!$K$99))+(DevBdgt!AJ36*(1+'Development Inputs'!$B$13+'Development Inputs'!$K$99)),0)</f>
        <v>0</v>
      </c>
      <c r="AK312" s="227">
        <f>IF(AK$6&lt;=DateDisposition,-DevBdgt!AK48+(DevBdgt!AK35*(1+'Development Inputs'!$B$13+'Development Inputs'!$K$99))+(DevBdgt!AK36*(1+'Development Inputs'!$B$13+'Development Inputs'!$K$99)),0)</f>
        <v>0</v>
      </c>
      <c r="AL312" s="227">
        <f>IF(AL$6&lt;=DateDisposition,-DevBdgt!AL48+(DevBdgt!AL35*(1+'Development Inputs'!$B$13+'Development Inputs'!$K$99))+(DevBdgt!AL36*(1+'Development Inputs'!$B$13+'Development Inputs'!$K$99)),0)</f>
        <v>0</v>
      </c>
      <c r="AM312" s="227">
        <f>IF(AM$6&lt;=DateDisposition,-DevBdgt!AM48+(DevBdgt!AM35*(1+'Development Inputs'!$B$13+'Development Inputs'!$K$99))+(DevBdgt!AM36*(1+'Development Inputs'!$B$13+'Development Inputs'!$K$99)),0)</f>
        <v>0</v>
      </c>
      <c r="AN312" s="227">
        <f>IF(AN$6&lt;=DateDisposition,-DevBdgt!AN48+(DevBdgt!AN35*(1+'Development Inputs'!$B$13+'Development Inputs'!$K$99))+(DevBdgt!AN36*(1+'Development Inputs'!$B$13+'Development Inputs'!$K$99)),0)</f>
        <v>0</v>
      </c>
      <c r="AO312" s="227">
        <f>IF(AO$6&lt;=DateDisposition,-DevBdgt!AO48+(DevBdgt!AO35*(1+'Development Inputs'!$B$13+'Development Inputs'!$K$99))+(DevBdgt!AO36*(1+'Development Inputs'!$B$13+'Development Inputs'!$K$99)),0)</f>
        <v>0</v>
      </c>
      <c r="AP312" s="227">
        <f>IF(AP$6&lt;=DateDisposition,-DevBdgt!AP48+(DevBdgt!AP35*(1+'Development Inputs'!$B$13+'Development Inputs'!$K$99))+(DevBdgt!AP36*(1+'Development Inputs'!$B$13+'Development Inputs'!$K$99)),0)</f>
        <v>0</v>
      </c>
      <c r="AQ312" s="227">
        <f>IF(AQ$6&lt;=DateDisposition,-DevBdgt!AQ48+(DevBdgt!AQ35*(1+'Development Inputs'!$B$13+'Development Inputs'!$K$99))+(DevBdgt!AQ36*(1+'Development Inputs'!$B$13+'Development Inputs'!$K$99)),0)</f>
        <v>0</v>
      </c>
      <c r="AR312" s="227">
        <f>IF(AR$6&lt;=DateDisposition,-DevBdgt!AR48+(DevBdgt!AR35*(1+'Development Inputs'!$B$13+'Development Inputs'!$K$99))+(DevBdgt!AR36*(1+'Development Inputs'!$B$13+'Development Inputs'!$K$99)),0)</f>
        <v>0</v>
      </c>
      <c r="AS312" s="227">
        <f>IF(AS$6&lt;=DateDisposition,-DevBdgt!AS48+(DevBdgt!AS35*(1+'Development Inputs'!$B$13+'Development Inputs'!$K$99))+(DevBdgt!AS36*(1+'Development Inputs'!$B$13+'Development Inputs'!$K$99)),0)</f>
        <v>0</v>
      </c>
      <c r="AT312" s="227">
        <f>IF(AT$6&lt;=DateDisposition,-DevBdgt!AT48+(DevBdgt!AT35*(1+'Development Inputs'!$B$13+'Development Inputs'!$K$99))+(DevBdgt!AT36*(1+'Development Inputs'!$B$13+'Development Inputs'!$K$99)),0)</f>
        <v>0</v>
      </c>
      <c r="AU312" s="227">
        <f>IF(AU$6&lt;=DateDisposition,-DevBdgt!AU48+(DevBdgt!AU35*(1+'Development Inputs'!$B$13+'Development Inputs'!$K$99))+(DevBdgt!AU36*(1+'Development Inputs'!$B$13+'Development Inputs'!$K$99)),0)</f>
        <v>0</v>
      </c>
      <c r="AV312" s="227">
        <f>IF(AV$6&lt;=DateDisposition,-DevBdgt!AV48+(DevBdgt!AV35*(1+'Development Inputs'!$B$13+'Development Inputs'!$K$99))+(DevBdgt!AV36*(1+'Development Inputs'!$B$13+'Development Inputs'!$K$99)),0)</f>
        <v>0</v>
      </c>
      <c r="AW312" s="227">
        <f>IF(AW$6&lt;=DateDisposition,-DevBdgt!AW48+(DevBdgt!AW35*(1+'Development Inputs'!$B$13+'Development Inputs'!$K$99))+(DevBdgt!AW36*(1+'Development Inputs'!$B$13+'Development Inputs'!$K$99)),0)</f>
        <v>0</v>
      </c>
      <c r="AX312" s="227">
        <f>IF(AX$6&lt;=DateDisposition,-DevBdgt!AX48+(DevBdgt!AX35*(1+'Development Inputs'!$B$13+'Development Inputs'!$K$99))+(DevBdgt!AX36*(1+'Development Inputs'!$B$13+'Development Inputs'!$K$99)),0)</f>
        <v>0</v>
      </c>
      <c r="AY312" s="227">
        <f>IF(AY$6&lt;=DateDisposition,-DevBdgt!AY48+(DevBdgt!AY35*(1+'Development Inputs'!$B$13+'Development Inputs'!$K$99))+(DevBdgt!AY36*(1+'Development Inputs'!$B$13+'Development Inputs'!$K$99)),0)</f>
        <v>0</v>
      </c>
      <c r="AZ312" s="227">
        <f>IF(AZ$6&lt;=DateDisposition,-DevBdgt!AZ48+(DevBdgt!AZ35*(1+'Development Inputs'!$B$13+'Development Inputs'!$K$99))+(DevBdgt!AZ36*(1+'Development Inputs'!$B$13+'Development Inputs'!$K$99)),0)</f>
        <v>0</v>
      </c>
      <c r="BA312" s="227">
        <f>IF(BA$6&lt;=DateDisposition,-DevBdgt!BA48+(DevBdgt!BA35*(1+'Development Inputs'!$B$13+'Development Inputs'!$K$99))+(DevBdgt!BA36*(1+'Development Inputs'!$B$13+'Development Inputs'!$K$99)),0)</f>
        <v>0</v>
      </c>
      <c r="BB312" s="227">
        <f>IF(BB$6&lt;=DateDisposition,-DevBdgt!BB48+(DevBdgt!BB35*(1+'Development Inputs'!$B$13+'Development Inputs'!$K$99))+(DevBdgt!BB36*(1+'Development Inputs'!$B$13+'Development Inputs'!$K$99)),0)</f>
        <v>0</v>
      </c>
      <c r="BC312" s="227">
        <f>IF(BC$6&lt;=DateDisposition,-DevBdgt!BC48+(DevBdgt!BC35*(1+'Development Inputs'!$B$13+'Development Inputs'!$K$99))+(DevBdgt!BC36*(1+'Development Inputs'!$B$13+'Development Inputs'!$K$99)),0)</f>
        <v>0</v>
      </c>
      <c r="BD312" s="227">
        <f>IF(BD$6&lt;=DateDisposition,-DevBdgt!BD48+(DevBdgt!BD35*(1+'Development Inputs'!$B$13+'Development Inputs'!$K$99))+(DevBdgt!BD36*(1+'Development Inputs'!$B$13+'Development Inputs'!$K$99)),0)</f>
        <v>0</v>
      </c>
      <c r="BE312" s="227">
        <f>IF(BE$6&lt;=DateDisposition,-DevBdgt!BE48+(DevBdgt!BE35*(1+'Development Inputs'!$B$13+'Development Inputs'!$K$99))+(DevBdgt!BE36*(1+'Development Inputs'!$B$13+'Development Inputs'!$K$99)),0)</f>
        <v>0</v>
      </c>
      <c r="BF312" s="227">
        <f>IF(BF$6&lt;=DateDisposition,-DevBdgt!BF48+(DevBdgt!BF35*(1+'Development Inputs'!$B$13+'Development Inputs'!$K$99))+(DevBdgt!BF36*(1+'Development Inputs'!$B$13+'Development Inputs'!$K$99)),0)</f>
        <v>0</v>
      </c>
      <c r="BG312" s="227">
        <f>IF(BG$6&lt;=DateDisposition,-DevBdgt!BG48+(DevBdgt!BG35*(1+'Development Inputs'!$B$13+'Development Inputs'!$K$99))+(DevBdgt!BG36*(1+'Development Inputs'!$B$13+'Development Inputs'!$K$99)),0)</f>
        <v>0</v>
      </c>
      <c r="BH312" s="227">
        <f>IF(BH$6&lt;=DateDisposition,-DevBdgt!BH48+(DevBdgt!BH35*(1+'Development Inputs'!$B$13+'Development Inputs'!$K$99))+(DevBdgt!BH36*(1+'Development Inputs'!$B$13+'Development Inputs'!$K$99)),0)</f>
        <v>0</v>
      </c>
      <c r="BI312" s="227">
        <f>IF(BI$6&lt;=DateDisposition,-DevBdgt!BI48+(DevBdgt!BI35*(1+'Development Inputs'!$B$13+'Development Inputs'!$K$99))+(DevBdgt!BI36*(1+'Development Inputs'!$B$13+'Development Inputs'!$K$99)),0)</f>
        <v>0</v>
      </c>
      <c r="BJ312" s="227">
        <f>IF(BJ$6&lt;=DateDisposition,-DevBdgt!BJ48+(DevBdgt!BJ35*(1+'Development Inputs'!$B$13+'Development Inputs'!$K$99))+(DevBdgt!BJ36*(1+'Development Inputs'!$B$13+'Development Inputs'!$K$99)),0)</f>
        <v>0</v>
      </c>
      <c r="BK312" s="227">
        <f>IF(BK$6&lt;=DateDisposition,-DevBdgt!BK48+(DevBdgt!BK35*(1+'Development Inputs'!$B$13+'Development Inputs'!$K$99))+(DevBdgt!BK36*(1+'Development Inputs'!$B$13+'Development Inputs'!$K$99)),0)</f>
        <v>0</v>
      </c>
      <c r="BL312" s="227">
        <f>IF(BL$6&lt;=DateDisposition,-DevBdgt!BL48+(DevBdgt!BL35*(1+'Development Inputs'!$B$13+'Development Inputs'!$K$99))+(DevBdgt!BL36*(1+'Development Inputs'!$B$13+'Development Inputs'!$K$99)),0)</f>
        <v>0</v>
      </c>
      <c r="BM312" s="227">
        <f>IF(BM$6&lt;=DateDisposition,-DevBdgt!BM48+(DevBdgt!BM35*(1+'Development Inputs'!$B$13+'Development Inputs'!$K$99))+(DevBdgt!BM36*(1+'Development Inputs'!$B$13+'Development Inputs'!$K$99)),0)</f>
        <v>0</v>
      </c>
      <c r="BN312" s="227">
        <f>IF(BN$6&lt;=DateDisposition,-DevBdgt!BN48+(DevBdgt!BN35*(1+'Development Inputs'!$B$13+'Development Inputs'!$K$99))+(DevBdgt!BN36*(1+'Development Inputs'!$B$13+'Development Inputs'!$K$99)),0)</f>
        <v>0</v>
      </c>
      <c r="BO312" s="227">
        <f>IF(BO$6&lt;=DateDisposition,-DevBdgt!BO48+(DevBdgt!BO35*(1+'Development Inputs'!$B$13+'Development Inputs'!$K$99))+(DevBdgt!BO36*(1+'Development Inputs'!$B$13+'Development Inputs'!$K$99)),0)</f>
        <v>0</v>
      </c>
      <c r="BP312" s="227">
        <f>IF(BP$6&lt;=DateDisposition,-DevBdgt!BP48+(DevBdgt!BP35*(1+'Development Inputs'!$B$13+'Development Inputs'!$K$99))+(DevBdgt!BP36*(1+'Development Inputs'!$B$13+'Development Inputs'!$K$99)),0)</f>
        <v>0</v>
      </c>
      <c r="BQ312" s="227">
        <f>IF(BQ$6&lt;=DateDisposition,-DevBdgt!BQ48+(DevBdgt!BQ35*(1+'Development Inputs'!$B$13+'Development Inputs'!$K$99))+(DevBdgt!BQ36*(1+'Development Inputs'!$B$13+'Development Inputs'!$K$99)),0)</f>
        <v>0</v>
      </c>
      <c r="BR312" s="227">
        <f>IF(BR$6&lt;=DateDisposition,-DevBdgt!BR48+(DevBdgt!BR35*(1+'Development Inputs'!$B$13+'Development Inputs'!$K$99))+(DevBdgt!BR36*(1+'Development Inputs'!$B$13+'Development Inputs'!$K$99)),0)</f>
        <v>0</v>
      </c>
      <c r="BS312" s="227">
        <f>IF(BS$6&lt;=DateDisposition,-DevBdgt!BS48+(DevBdgt!BS35*(1+'Development Inputs'!$B$13+'Development Inputs'!$K$99))+(DevBdgt!BS36*(1+'Development Inputs'!$B$13+'Development Inputs'!$K$99)),0)</f>
        <v>0</v>
      </c>
      <c r="BT312" s="227">
        <f>IF(BT$6&lt;=DateDisposition,-DevBdgt!BT48+(DevBdgt!BT35*(1+'Development Inputs'!$B$13+'Development Inputs'!$K$99))+(DevBdgt!BT36*(1+'Development Inputs'!$B$13+'Development Inputs'!$K$99)),0)</f>
        <v>0</v>
      </c>
      <c r="BU312" s="227">
        <f>IF(BU$6&lt;=DateDisposition,-DevBdgt!BU48+(DevBdgt!BU35*(1+'Development Inputs'!$B$13+'Development Inputs'!$K$99))+(DevBdgt!BU36*(1+'Development Inputs'!$B$13+'Development Inputs'!$K$99)),0)</f>
        <v>0</v>
      </c>
      <c r="BV312" s="227">
        <f>IF(BV$6&lt;=DateDisposition,-DevBdgt!BV48+(DevBdgt!BV35*(1+'Development Inputs'!$B$13+'Development Inputs'!$K$99))+(DevBdgt!BV36*(1+'Development Inputs'!$B$13+'Development Inputs'!$K$99)),0)</f>
        <v>0</v>
      </c>
      <c r="BW312" s="227">
        <f>IF(BW$6&lt;=DateDisposition,-DevBdgt!BW48+(DevBdgt!BW35*(1+'Development Inputs'!$B$13+'Development Inputs'!$K$99))+(DevBdgt!BW36*(1+'Development Inputs'!$B$13+'Development Inputs'!$K$99)),0)</f>
        <v>0</v>
      </c>
      <c r="BX312" s="227">
        <f>IF(BX$6&lt;=DateDisposition,-DevBdgt!BX48+(DevBdgt!BX35*(1+'Development Inputs'!$B$13+'Development Inputs'!$K$99))+(DevBdgt!BX36*(1+'Development Inputs'!$B$13+'Development Inputs'!$K$99)),0)</f>
        <v>0</v>
      </c>
      <c r="BY312" s="227">
        <f>IF(BY$6&lt;=DateDisposition,-DevBdgt!BY48+(DevBdgt!BY35*(1+'Development Inputs'!$B$13+'Development Inputs'!$K$99))+(DevBdgt!BY36*(1+'Development Inputs'!$B$13+'Development Inputs'!$K$99)),0)</f>
        <v>0</v>
      </c>
      <c r="BZ312" s="227">
        <f>IF(BZ$6&lt;=DateDisposition,-DevBdgt!BZ48+(DevBdgt!BZ35*(1+'Development Inputs'!$B$13+'Development Inputs'!$K$99))+(DevBdgt!BZ36*(1+'Development Inputs'!$B$13+'Development Inputs'!$K$99)),0)</f>
        <v>0</v>
      </c>
      <c r="CA312" s="227">
        <f>IF(CA$6&lt;=DateDisposition,-DevBdgt!CA48+(DevBdgt!CA35*(1+'Development Inputs'!$B$13+'Development Inputs'!$K$99))+(DevBdgt!CA36*(1+'Development Inputs'!$B$13+'Development Inputs'!$K$99)),0)</f>
        <v>0</v>
      </c>
      <c r="CB312" s="227">
        <f>IF(CB$6&lt;=DateDisposition,-DevBdgt!CB48+(DevBdgt!CB35*(1+'Development Inputs'!$B$13+'Development Inputs'!$K$99))+(DevBdgt!CB36*(1+'Development Inputs'!$B$13+'Development Inputs'!$K$99)),0)</f>
        <v>0</v>
      </c>
      <c r="CC312" s="227">
        <f>IF(CC$6&lt;=DateDisposition,-DevBdgt!CC48+(DevBdgt!CC35*(1+'Development Inputs'!$B$13+'Development Inputs'!$K$99))+(DevBdgt!CC36*(1+'Development Inputs'!$B$13+'Development Inputs'!$K$99)),0)</f>
        <v>0</v>
      </c>
      <c r="CD312" s="227">
        <f>IF(CD$6&lt;=DateDisposition,-DevBdgt!CD48+(DevBdgt!CD35*(1+'Development Inputs'!$B$13+'Development Inputs'!$K$99))+(DevBdgt!CD36*(1+'Development Inputs'!$B$13+'Development Inputs'!$K$99)),0)</f>
        <v>0</v>
      </c>
      <c r="CE312" s="227">
        <f>IF(CE$6&lt;=DateDisposition,-DevBdgt!CE48+(DevBdgt!CE35*(1+'Development Inputs'!$B$13+'Development Inputs'!$K$99))+(DevBdgt!CE36*(1+'Development Inputs'!$B$13+'Development Inputs'!$K$99)),0)</f>
        <v>0</v>
      </c>
      <c r="CF312" s="227">
        <f>IF(CF$6&lt;=DateDisposition,-DevBdgt!CF48+(DevBdgt!CF35*(1+'Development Inputs'!$B$13+'Development Inputs'!$K$99))+(DevBdgt!CF36*(1+'Development Inputs'!$B$13+'Development Inputs'!$K$99)),0)</f>
        <v>0</v>
      </c>
      <c r="CG312" s="227">
        <f>IF(CG$6&lt;=DateDisposition,-DevBdgt!CG48+(DevBdgt!CG35*(1+'Development Inputs'!$B$13+'Development Inputs'!$K$99))+(DevBdgt!CG36*(1+'Development Inputs'!$B$13+'Development Inputs'!$K$99)),0)</f>
        <v>0</v>
      </c>
      <c r="CH312" s="227">
        <f>IF(CH$6&lt;=DateDisposition,-DevBdgt!CH48+(DevBdgt!CH35*(1+'Development Inputs'!$B$13+'Development Inputs'!$K$99))+(DevBdgt!CH36*(1+'Development Inputs'!$B$13+'Development Inputs'!$K$99)),0)</f>
        <v>0</v>
      </c>
      <c r="CI312" s="227">
        <f>IF(CI$6&lt;=DateDisposition,-DevBdgt!CI48+(DevBdgt!CI35*(1+'Development Inputs'!$B$13+'Development Inputs'!$K$99))+(DevBdgt!CI36*(1+'Development Inputs'!$B$13+'Development Inputs'!$K$99)),0)</f>
        <v>0</v>
      </c>
      <c r="CJ312" s="227">
        <f>IF(CJ$6&lt;=DateDisposition,-DevBdgt!CJ48+(DevBdgt!CJ35*(1+'Development Inputs'!$B$13+'Development Inputs'!$K$99))+(DevBdgt!CJ36*(1+'Development Inputs'!$B$13+'Development Inputs'!$K$99)),0)</f>
        <v>0</v>
      </c>
      <c r="CK312" s="227">
        <f>IF(CK$6&lt;=DateDisposition,-DevBdgt!CK48+(DevBdgt!CK35*(1+'Development Inputs'!$B$13+'Development Inputs'!$K$99))+(DevBdgt!CK36*(1+'Development Inputs'!$B$13+'Development Inputs'!$K$99)),0)</f>
        <v>0</v>
      </c>
      <c r="CL312" s="227">
        <f>IF(CL$6&lt;=DateDisposition,-DevBdgt!CL48+(DevBdgt!CL35*(1+'Development Inputs'!$B$13+'Development Inputs'!$K$99))+(DevBdgt!CL36*(1+'Development Inputs'!$B$13+'Development Inputs'!$K$99)),0)</f>
        <v>0</v>
      </c>
      <c r="CM312" s="227">
        <f>IF(CM$6&lt;=DateDisposition,-DevBdgt!CM48+(DevBdgt!CM35*(1+'Development Inputs'!$B$13+'Development Inputs'!$K$99))+(DevBdgt!CM36*(1+'Development Inputs'!$B$13+'Development Inputs'!$K$99)),0)</f>
        <v>0</v>
      </c>
      <c r="CN312" s="227">
        <f>IF(CN$6&lt;=DateDisposition,-DevBdgt!CN48+(DevBdgt!CN35*(1+'Development Inputs'!$B$13+'Development Inputs'!$K$99))+(DevBdgt!CN36*(1+'Development Inputs'!$B$13+'Development Inputs'!$K$99)),0)</f>
        <v>0</v>
      </c>
      <c r="CO312" s="227">
        <f>IF(CO$6&lt;=DateDisposition,-DevBdgt!CO48+(DevBdgt!CO35*(1+'Development Inputs'!$B$13+'Development Inputs'!$K$99))+(DevBdgt!CO36*(1+'Development Inputs'!$B$13+'Development Inputs'!$K$99)),0)</f>
        <v>0</v>
      </c>
      <c r="CP312" s="227">
        <f>IF(CP$6&lt;=DateDisposition,-DevBdgt!CP48+(DevBdgt!CP35*(1+'Development Inputs'!$B$13+'Development Inputs'!$K$99))+(DevBdgt!CP36*(1+'Development Inputs'!$B$13+'Development Inputs'!$K$99)),0)</f>
        <v>0</v>
      </c>
      <c r="CQ312" s="227">
        <f>IF(CQ$6&lt;=DateDisposition,-DevBdgt!CQ48+(DevBdgt!CQ35*(1+'Development Inputs'!$B$13+'Development Inputs'!$K$99))+(DevBdgt!CQ36*(1+'Development Inputs'!$B$13+'Development Inputs'!$K$99)),0)</f>
        <v>0</v>
      </c>
      <c r="CR312" s="227">
        <f>IF(CR$6&lt;=DateDisposition,-DevBdgt!CR48+(DevBdgt!CR35*(1+'Development Inputs'!$B$13+'Development Inputs'!$K$99))+(DevBdgt!CR36*(1+'Development Inputs'!$B$13+'Development Inputs'!$K$99)),0)</f>
        <v>0</v>
      </c>
      <c r="CS312" s="227">
        <f>IF(CS$6&lt;=DateDisposition,-DevBdgt!CS48+(DevBdgt!CS35*(1+'Development Inputs'!$B$13+'Development Inputs'!$K$99))+(DevBdgt!CS36*(1+'Development Inputs'!$B$13+'Development Inputs'!$K$99)),0)</f>
        <v>0</v>
      </c>
      <c r="CT312" s="227">
        <f>IF(CT$6&lt;=DateDisposition,-DevBdgt!CT48+(DevBdgt!CT35*(1+'Development Inputs'!$B$13+'Development Inputs'!$K$99))+(DevBdgt!CT36*(1+'Development Inputs'!$B$13+'Development Inputs'!$K$99)),0)</f>
        <v>0</v>
      </c>
      <c r="CU312" s="227">
        <f>IF(CU$6&lt;=DateDisposition,-DevBdgt!CU48+(DevBdgt!CU35*(1+'Development Inputs'!$B$13+'Development Inputs'!$K$99))+(DevBdgt!CU36*(1+'Development Inputs'!$B$13+'Development Inputs'!$K$99)),0)</f>
        <v>0</v>
      </c>
      <c r="CV312" s="227">
        <f>IF(CV$6&lt;=DateDisposition,-DevBdgt!CV48+(DevBdgt!CV35*(1+'Development Inputs'!$B$13+'Development Inputs'!$K$99))+(DevBdgt!CV36*(1+'Development Inputs'!$B$13+'Development Inputs'!$K$99)),0)</f>
        <v>0</v>
      </c>
      <c r="CW312" s="227">
        <f>IF(CW$6&lt;=DateDisposition,-DevBdgt!CW48+(DevBdgt!CW35*(1+'Development Inputs'!$B$13+'Development Inputs'!$K$99))+(DevBdgt!CW36*(1+'Development Inputs'!$B$13+'Development Inputs'!$K$99)),0)</f>
        <v>0</v>
      </c>
      <c r="CX312" s="227">
        <f>IF(CX$6&lt;=DateDisposition,-DevBdgt!CX48+(DevBdgt!CX35*(1+'Development Inputs'!$B$13+'Development Inputs'!$K$99))+(DevBdgt!CX36*(1+'Development Inputs'!$B$13+'Development Inputs'!$K$99)),0)</f>
        <v>0</v>
      </c>
      <c r="CY312" s="227">
        <f>IF(CY$6&lt;=DateDisposition,-DevBdgt!CY48+(DevBdgt!CY35*(1+'Development Inputs'!$B$13+'Development Inputs'!$K$99))+(DevBdgt!CY36*(1+'Development Inputs'!$B$13+'Development Inputs'!$K$99)),0)</f>
        <v>0</v>
      </c>
      <c r="CZ312" s="227">
        <f>IF(CZ$6&lt;=DateDisposition,-DevBdgt!CZ48+(DevBdgt!CZ35*(1+'Development Inputs'!$B$13+'Development Inputs'!$K$99))+(DevBdgt!CZ36*(1+'Development Inputs'!$B$13+'Development Inputs'!$K$99)),0)</f>
        <v>0</v>
      </c>
      <c r="DA312" s="227">
        <f>IF(DA$6&lt;=DateDisposition,-DevBdgt!DA48+(DevBdgt!DA35*(1+'Development Inputs'!$B$13+'Development Inputs'!$K$99))+(DevBdgt!DA36*(1+'Development Inputs'!$B$13+'Development Inputs'!$K$99)),0)</f>
        <v>0</v>
      </c>
      <c r="DB312" s="227">
        <f>IF(DB$6&lt;=DateDisposition,-DevBdgt!DB48+(DevBdgt!DB35*(1+'Development Inputs'!$B$13+'Development Inputs'!$K$99))+(DevBdgt!DB36*(1+'Development Inputs'!$B$13+'Development Inputs'!$K$99)),0)</f>
        <v>0</v>
      </c>
      <c r="DC312" s="227">
        <f>IF(DC$6&lt;=DateDisposition,-DevBdgt!DC48+(DevBdgt!DC35*(1+'Development Inputs'!$B$13+'Development Inputs'!$K$99))+(DevBdgt!DC36*(1+'Development Inputs'!$B$13+'Development Inputs'!$K$99)),0)</f>
        <v>0</v>
      </c>
      <c r="DD312" s="227">
        <f>IF(DD$6&lt;=DateDisposition,-DevBdgt!DD48+(DevBdgt!DD35*(1+'Development Inputs'!$B$13+'Development Inputs'!$K$99))+(DevBdgt!DD36*(1+'Development Inputs'!$B$13+'Development Inputs'!$K$99)),0)</f>
        <v>0</v>
      </c>
      <c r="DE312" s="227">
        <f>IF(DE$6&lt;=DateDisposition,-DevBdgt!DE48+(DevBdgt!DE35*(1+'Development Inputs'!$B$13+'Development Inputs'!$K$99))+(DevBdgt!DE36*(1+'Development Inputs'!$B$13+'Development Inputs'!$K$99)),0)</f>
        <v>0</v>
      </c>
      <c r="DF312" s="227">
        <f>IF(DF$6&lt;=DateDisposition,-DevBdgt!DF48+(DevBdgt!DF35*(1+'Development Inputs'!$B$13+'Development Inputs'!$K$99))+(DevBdgt!DF36*(1+'Development Inputs'!$B$13+'Development Inputs'!$K$99)),0)</f>
        <v>0</v>
      </c>
      <c r="DG312" s="227">
        <f>IF(DG$6&lt;=DateDisposition,-DevBdgt!DG48+(DevBdgt!DG35*(1+'Development Inputs'!$B$13+'Development Inputs'!$K$99))+(DevBdgt!DG36*(1+'Development Inputs'!$B$13+'Development Inputs'!$K$99)),0)</f>
        <v>0</v>
      </c>
      <c r="DH312" s="227">
        <f>IF(DH$6&lt;=DateDisposition,-DevBdgt!DH48+(DevBdgt!DH35*(1+'Development Inputs'!$B$13+'Development Inputs'!$K$99))+(DevBdgt!DH36*(1+'Development Inputs'!$B$13+'Development Inputs'!$K$99)),0)</f>
        <v>0</v>
      </c>
      <c r="DI312" s="227">
        <f>IF(DI$6&lt;=DateDisposition,-DevBdgt!DI48+(DevBdgt!DI35*(1+'Development Inputs'!$B$13+'Development Inputs'!$K$99))+(DevBdgt!DI36*(1+'Development Inputs'!$B$13+'Development Inputs'!$K$99)),0)</f>
        <v>0</v>
      </c>
      <c r="DJ312" s="227">
        <f>IF(DJ$6&lt;=DateDisposition,-DevBdgt!DJ48+(DevBdgt!DJ35*(1+'Development Inputs'!$B$13+'Development Inputs'!$K$99))+(DevBdgt!DJ36*(1+'Development Inputs'!$B$13+'Development Inputs'!$K$99)),0)</f>
        <v>0</v>
      </c>
      <c r="DK312" s="227">
        <f>IF(DK$6&lt;=DateDisposition,-DevBdgt!DK48+(DevBdgt!DK35*(1+'Development Inputs'!$B$13+'Development Inputs'!$K$99))+(DevBdgt!DK36*(1+'Development Inputs'!$B$13+'Development Inputs'!$K$99)),0)</f>
        <v>0</v>
      </c>
      <c r="DL312" s="227">
        <f>IF(DL$6&lt;=DateDisposition,-DevBdgt!DL48+(DevBdgt!DL35*(1+'Development Inputs'!$B$13+'Development Inputs'!$K$99))+(DevBdgt!DL36*(1+'Development Inputs'!$B$13+'Development Inputs'!$K$99)),0)</f>
        <v>0</v>
      </c>
      <c r="DM312" s="227">
        <f>IF(DM$6&lt;=DateDisposition,-DevBdgt!DM48+(DevBdgt!DM35*(1+'Development Inputs'!$B$13+'Development Inputs'!$K$99))+(DevBdgt!DM36*(1+'Development Inputs'!$B$13+'Development Inputs'!$K$99)),0)</f>
        <v>0</v>
      </c>
      <c r="DN312" s="227">
        <f>IF(DN$6&lt;=DateDisposition,-DevBdgt!DN48+(DevBdgt!DN35*(1+'Development Inputs'!$B$13+'Development Inputs'!$K$99))+(DevBdgt!DN36*(1+'Development Inputs'!$B$13+'Development Inputs'!$K$99)),0)</f>
        <v>0</v>
      </c>
      <c r="DO312" s="227">
        <f>IF(DO$6&lt;=DateDisposition,-DevBdgt!DO48+(DevBdgt!DO35*(1+'Development Inputs'!$B$13+'Development Inputs'!$K$99))+(DevBdgt!DO36*(1+'Development Inputs'!$B$13+'Development Inputs'!$K$99)),0)</f>
        <v>0</v>
      </c>
      <c r="DP312" s="227">
        <f>IF(DP$6&lt;=DateDisposition,-DevBdgt!DP48+(DevBdgt!DP35*(1+'Development Inputs'!$B$13+'Development Inputs'!$K$99))+(DevBdgt!DP36*(1+'Development Inputs'!$B$13+'Development Inputs'!$K$99)),0)</f>
        <v>0</v>
      </c>
      <c r="DQ312" s="227">
        <f>IF(DQ$6&lt;=DateDisposition,-DevBdgt!DQ48+(DevBdgt!DQ35*(1+'Development Inputs'!$B$13+'Development Inputs'!$K$99))+(DevBdgt!DQ36*(1+'Development Inputs'!$B$13+'Development Inputs'!$K$99)),0)</f>
        <v>0</v>
      </c>
      <c r="DR312" s="227">
        <f>IF(DR$6&lt;=DateDisposition,-DevBdgt!DR48+(DevBdgt!DR35*(1+'Development Inputs'!$B$13+'Development Inputs'!$K$99))+(DevBdgt!DR36*(1+'Development Inputs'!$B$13+'Development Inputs'!$K$99)),0)</f>
        <v>0</v>
      </c>
      <c r="DS312" s="227">
        <f>IF(DS$6&lt;=DateDisposition,-DevBdgt!DS48+(DevBdgt!DS35*(1+'Development Inputs'!$B$13+'Development Inputs'!$K$99))+(DevBdgt!DS36*(1+'Development Inputs'!$B$13+'Development Inputs'!$K$99)),0)</f>
        <v>0</v>
      </c>
      <c r="DT312" s="227">
        <f>IF(DT$6&lt;=DateDisposition,-DevBdgt!DT48+(DevBdgt!DT35*(1+'Development Inputs'!$B$13+'Development Inputs'!$K$99))+(DevBdgt!DT36*(1+'Development Inputs'!$B$13+'Development Inputs'!$K$99)),0)</f>
        <v>0</v>
      </c>
      <c r="DU312" s="227">
        <f>IF(DU$6&lt;=DateDisposition,-DevBdgt!DU48+(DevBdgt!DU35*(1+'Development Inputs'!$B$13+'Development Inputs'!$K$99))+(DevBdgt!DU36*(1+'Development Inputs'!$B$13+'Development Inputs'!$K$99)),0)</f>
        <v>0</v>
      </c>
      <c r="EI312" s="280"/>
    </row>
    <row r="313" spans="1:139" x14ac:dyDescent="0.3">
      <c r="A313" t="s">
        <v>2526</v>
      </c>
      <c r="C313" s="227">
        <f ca="1">SUMIF($E$313:$DU$313,"&lt;0",$E$313:$DU$313)</f>
        <v>0</v>
      </c>
      <c r="D313" s="2561">
        <f ca="1">SUMIF($E$313:$DU$313,"&gt;0",$E$313:$DU$313)</f>
        <v>2398257.6275443137</v>
      </c>
      <c r="E313" s="229">
        <f ca="1">IF(AND(E$5&gt;0,E$6&lt;=DateDisposition,OperBgt!F81&gt;0),OperBgt!F81,0)+IF(AND(E$5&gt;0,E$6&lt;=DateDisposition,E312=0),E159,0)</f>
        <v>0</v>
      </c>
      <c r="F313" s="229">
        <f ca="1">IF(AND(F$5&gt;0,F$6&lt;=DateDisposition,OperBgt!G81&gt;0),OperBgt!G81,0)+IF(AND(F$5&gt;0,F$6&lt;=DateDisposition,F312=0),F159,0)</f>
        <v>0</v>
      </c>
      <c r="G313" s="229">
        <f ca="1">IF(AND(G$5&gt;0,G$6&lt;=DateDisposition,OperBgt!H81&gt;0),OperBgt!H81,0)+IF(AND(G$5&gt;0,G$6&lt;=DateDisposition,G312=0),G159,0)</f>
        <v>0</v>
      </c>
      <c r="H313" s="229">
        <f ca="1">IF(AND(H$5&gt;0,H$6&lt;=DateDisposition,OperBgt!I81&gt;0),OperBgt!I81,0)+IF(AND(H$5&gt;0,H$6&lt;=DateDisposition,H312=0),H159,0)</f>
        <v>0</v>
      </c>
      <c r="I313" s="229">
        <f ca="1">IF(AND(I$5&gt;0,I$6&lt;=DateDisposition,OperBgt!J81&gt;0),OperBgt!J81,0)+IF(AND(I$5&gt;0,I$6&lt;=DateDisposition,I312=0),I159,0)</f>
        <v>0</v>
      </c>
      <c r="J313" s="229">
        <f ca="1">IF(AND(J$5&gt;0,J$6&lt;=DateDisposition,OperBgt!K81&gt;0),OperBgt!K81,0)+IF(AND(J$5&gt;0,J$6&lt;=DateDisposition,J312=0),J159,0)</f>
        <v>0</v>
      </c>
      <c r="K313" s="229">
        <f ca="1">IF(AND(K$5&gt;0,K$6&lt;=DateDisposition,OperBgt!L81&gt;0),OperBgt!L81,0)+IF(AND(K$5&gt;0,K$6&lt;=DateDisposition,K312=0),K159,0)</f>
        <v>0</v>
      </c>
      <c r="L313" s="229">
        <f ca="1">IF(AND(L$5&gt;0,L$6&lt;=DateDisposition,OperBgt!M81&gt;0),OperBgt!M81,0)+IF(AND(L$5&gt;0,L$6&lt;=DateDisposition,L312=0),L159,0)</f>
        <v>0</v>
      </c>
      <c r="M313" s="229">
        <f ca="1">IF(AND(M$5&gt;0,M$6&lt;=DateDisposition,OperBgt!N81&gt;0),OperBgt!N81,0)+IF(AND(M$5&gt;0,M$6&lt;=DateDisposition,M312=0),M159,0)</f>
        <v>0</v>
      </c>
      <c r="N313" s="229">
        <f ca="1">IF(AND(N$5&gt;0,N$6&lt;=DateDisposition,OperBgt!O81&gt;0),OperBgt!O81,0)+IF(AND(N$5&gt;0,N$6&lt;=DateDisposition,N312=0),N159,0)</f>
        <v>0</v>
      </c>
      <c r="O313" s="229">
        <f ca="1">IF(AND(O$5&gt;0,O$6&lt;=DateDisposition,OperBgt!P81&gt;0),OperBgt!P81,0)+IF(AND(O$5&gt;0,O$6&lt;=DateDisposition,O312=0),O159,0)</f>
        <v>0</v>
      </c>
      <c r="P313" s="229">
        <f ca="1">IF(AND(P$5&gt;0,P$6&lt;=DateDisposition,OperBgt!Q81&gt;0),OperBgt!Q81,0)+IF(AND(P$5&gt;0,P$6&lt;=DateDisposition,P312=0),P159,0)</f>
        <v>0</v>
      </c>
      <c r="Q313" s="229">
        <f ca="1">IF(AND(Q$5&gt;0,Q$6&lt;=DateDisposition,OperBgt!R81&gt;0),OperBgt!R81,0)+IF(AND(Q$5&gt;0,Q$6&lt;=DateDisposition,Q312=0),Q159,0)</f>
        <v>0</v>
      </c>
      <c r="R313" s="229">
        <f ca="1">IF(AND(R$5&gt;0,R$6&lt;=DateDisposition,OperBgt!S81&gt;0),OperBgt!S81,0)+IF(AND(R$5&gt;0,R$6&lt;=DateDisposition,R312=0),R159,0)</f>
        <v>0</v>
      </c>
      <c r="S313" s="229">
        <f ca="1">IF(AND(S$5&gt;0,S$6&lt;=DateDisposition,OperBgt!T81&gt;0),OperBgt!T81,0)+IF(AND(S$5&gt;0,S$6&lt;=DateDisposition,S312=0),S159,0)</f>
        <v>0</v>
      </c>
      <c r="T313" s="229">
        <f ca="1">IF(AND(T$5&gt;0,T$6&lt;=DateDisposition,OperBgt!U81&gt;0),OperBgt!U81,0)+IF(AND(T$5&gt;0,T$6&lt;=DateDisposition,T312=0),T159,0)</f>
        <v>0</v>
      </c>
      <c r="U313" s="229">
        <f ca="1">IF(AND(U$5&gt;0,U$6&lt;=DateDisposition,OperBgt!V81&gt;0),OperBgt!V81,0)+IF(AND(U$5&gt;0,U$6&lt;=DateDisposition,U312=0),U159,0)</f>
        <v>0</v>
      </c>
      <c r="V313" s="229">
        <f ca="1">IF(AND(V$5&gt;0,V$6&lt;=DateDisposition,OperBgt!W81&gt;0),OperBgt!W81,0)+IF(AND(V$5&gt;0,V$6&lt;=DateDisposition,V312=0),V159,0)</f>
        <v>0</v>
      </c>
      <c r="W313" s="229">
        <f ca="1">IF(AND(W$5&gt;0,W$6&lt;=DateDisposition,OperBgt!X81&gt;0),OperBgt!X81,0)+IF(AND(W$5&gt;0,W$6&lt;=DateDisposition,W312=0),W159,0)</f>
        <v>0</v>
      </c>
      <c r="X313" s="229">
        <f ca="1">IF(AND(X$5&gt;0,X$6&lt;=DateDisposition,OperBgt!Y81&gt;0),OperBgt!Y81,0)+IF(AND(X$5&gt;0,X$6&lt;=DateDisposition,X312=0),X159,0)</f>
        <v>18209.854825437622</v>
      </c>
      <c r="Y313" s="229">
        <f ca="1">IF(AND(Y$5&gt;0,Y$6&lt;=DateDisposition,OperBgt!Z81&gt;0),OperBgt!Z81,0)+IF(AND(Y$5&gt;0,Y$6&lt;=DateDisposition,Y312=0),Y159,0)</f>
        <v>56500.143230712856</v>
      </c>
      <c r="Z313" s="229">
        <f ca="1">IF(AND(Z$5&gt;0,Z$6&lt;=DateDisposition,OperBgt!AA81&gt;0),OperBgt!AA81,0)+IF(AND(Z$5&gt;0,Z$6&lt;=DateDisposition,Z312=0),Z159,0)</f>
        <v>102946.80735325644</v>
      </c>
      <c r="AA313" s="229">
        <f ca="1">IF(AND(AA$5&gt;0,AA$6&lt;=DateDisposition,OperBgt!AB81&gt;0),OperBgt!AB81,0)+IF(AND(AA$5&gt;0,AA$6&lt;=DateDisposition,AA312=0),AA159,0)</f>
        <v>157875.37404944244</v>
      </c>
      <c r="AB313" s="229">
        <f ca="1">IF(AND(AB$5&gt;0,AB$6&lt;=DateDisposition,OperBgt!AC81&gt;0),OperBgt!AC81,0)+IF(AND(AB$5&gt;0,AB$6&lt;=DateDisposition,AB312=0),AB159,0)</f>
        <v>212821.87139084551</v>
      </c>
      <c r="AC313" s="229">
        <f ca="1">IF(AND(AC$5&gt;0,AC$6&lt;=DateDisposition,OperBgt!AD81&gt;0),OperBgt!AD81,0)+IF(AND(AC$5&gt;0,AC$6&lt;=DateDisposition,AC312=0),AC159,0)</f>
        <v>267330.11645634141</v>
      </c>
      <c r="AD313" s="229">
        <f ca="1">IF(AND(AD$5&gt;0,AD$6&lt;=DateDisposition,OperBgt!AE81&gt;0),OperBgt!AE81,0)+IF(AND(AD$5&gt;0,AD$6&lt;=DateDisposition,AD312=0),AD159,0)</f>
        <v>312914.23836094659</v>
      </c>
      <c r="AE313" s="229">
        <f ca="1">IF(AND(AE$5&gt;0,AE$6&lt;=DateDisposition,OperBgt!AF81&gt;0),OperBgt!AF81,0)+IF(AND(AE$5&gt;0,AE$6&lt;=DateDisposition,AE312=0),AE159,0)</f>
        <v>362378.97728815104</v>
      </c>
      <c r="AF313" s="229">
        <f ca="1">IF(AND(AF$5&gt;0,AF$6&lt;=DateDisposition,OperBgt!AG81&gt;0),OperBgt!AG81,0)+IF(AND(AF$5&gt;0,AF$6&lt;=DateDisposition,AF312=0),AF159,0)</f>
        <v>451816.95146866475</v>
      </c>
      <c r="AG313" s="229">
        <f ca="1">IF(AND(AG$5&gt;0,AG$6&lt;=DateDisposition,OperBgt!AH81&gt;0),OperBgt!AH81,0)+IF(AND(AG$5&gt;0,AG$6&lt;=DateDisposition,AG312=0),AG159,0)</f>
        <v>455463.29312051501</v>
      </c>
      <c r="AH313" s="229">
        <f ca="1">IF(AND(AH$5&gt;0,AH$6&lt;=DateDisposition,OperBgt!AI81&gt;0),OperBgt!AI81,0)+IF(AND(AH$5&gt;0,AH$6&lt;=DateDisposition,AH312=0),AH159,0)</f>
        <v>0</v>
      </c>
      <c r="AI313" s="229">
        <f ca="1">IF(AND(AI$5&gt;0,AI$6&lt;=DateDisposition,OperBgt!AJ81&gt;0),OperBgt!AJ81,0)+IF(AND(AI$5&gt;0,AI$6&lt;=DateDisposition,AI312=0),AI159,0)</f>
        <v>0</v>
      </c>
      <c r="AJ313" s="229">
        <f ca="1">IF(AND(AJ$5&gt;0,AJ$6&lt;=DateDisposition,OperBgt!AK81&gt;0),OperBgt!AK81,0)+IF(AND(AJ$5&gt;0,AJ$6&lt;=DateDisposition,AJ312=0),AJ159,0)</f>
        <v>0</v>
      </c>
      <c r="AK313" s="229">
        <f ca="1">IF(AND(AK$5&gt;0,AK$6&lt;=DateDisposition,OperBgt!AL81&gt;0),OperBgt!AL81,0)+IF(AND(AK$5&gt;0,AK$6&lt;=DateDisposition,AK312=0),AK159,0)</f>
        <v>0</v>
      </c>
      <c r="AL313" s="229">
        <f ca="1">IF(AND(AL$5&gt;0,AL$6&lt;=DateDisposition,OperBgt!AM81&gt;0),OperBgt!AM81,0)+IF(AND(AL$5&gt;0,AL$6&lt;=DateDisposition,AL312=0),AL159,0)</f>
        <v>0</v>
      </c>
      <c r="AM313" s="229">
        <f ca="1">IF(AND(AM$5&gt;0,AM$6&lt;=DateDisposition,OperBgt!AN81&gt;0),OperBgt!AN81,0)+IF(AND(AM$5&gt;0,AM$6&lt;=DateDisposition,AM312=0),AM159,0)</f>
        <v>0</v>
      </c>
      <c r="AN313" s="229">
        <f ca="1">IF(AND(AN$5&gt;0,AN$6&lt;=DateDisposition,OperBgt!AO81&gt;0),OperBgt!AO81,0)+IF(AND(AN$5&gt;0,AN$6&lt;=DateDisposition,AN312=0),AN159,0)</f>
        <v>0</v>
      </c>
      <c r="AO313" s="229">
        <f ca="1">IF(AND(AO$5&gt;0,AO$6&lt;=DateDisposition,OperBgt!AP81&gt;0),OperBgt!AP81,0)+IF(AND(AO$5&gt;0,AO$6&lt;=DateDisposition,AO312=0),AO159,0)</f>
        <v>0</v>
      </c>
      <c r="AP313" s="229">
        <f ca="1">IF(AND(AP$5&gt;0,AP$6&lt;=DateDisposition,OperBgt!AQ81&gt;0),OperBgt!AQ81,0)+IF(AND(AP$5&gt;0,AP$6&lt;=DateDisposition,AP312=0),AP159,0)</f>
        <v>0</v>
      </c>
      <c r="AQ313" s="229">
        <f ca="1">IF(AND(AQ$5&gt;0,AQ$6&lt;=DateDisposition,OperBgt!AR81&gt;0),OperBgt!AR81,0)+IF(AND(AQ$5&gt;0,AQ$6&lt;=DateDisposition,AQ312=0),AQ159,0)</f>
        <v>0</v>
      </c>
      <c r="AR313" s="229">
        <f ca="1">IF(AND(AR$5&gt;0,AR$6&lt;=DateDisposition,OperBgt!AS81&gt;0),OperBgt!AS81,0)+IF(AND(AR$5&gt;0,AR$6&lt;=DateDisposition,AR312=0),AR159,0)</f>
        <v>0</v>
      </c>
      <c r="AS313" s="229">
        <f ca="1">IF(AND(AS$5&gt;0,AS$6&lt;=DateDisposition,OperBgt!AT81&gt;0),OperBgt!AT81,0)+IF(AND(AS$5&gt;0,AS$6&lt;=DateDisposition,AS312=0),AS159,0)</f>
        <v>0</v>
      </c>
      <c r="AT313" s="229">
        <f ca="1">IF(AND(AT$5&gt;0,AT$6&lt;=DateDisposition,OperBgt!AU81&gt;0),OperBgt!AU81,0)+IF(AND(AT$5&gt;0,AT$6&lt;=DateDisposition,AT312=0),AT159,0)</f>
        <v>0</v>
      </c>
      <c r="AU313" s="229">
        <f ca="1">IF(AND(AU$5&gt;0,AU$6&lt;=DateDisposition,OperBgt!AV81&gt;0),OperBgt!AV81,0)+IF(AND(AU$5&gt;0,AU$6&lt;=DateDisposition,AU312=0),AU159,0)</f>
        <v>0</v>
      </c>
      <c r="AV313" s="229">
        <f ca="1">IF(AND(AV$5&gt;0,AV$6&lt;=DateDisposition,OperBgt!AW81&gt;0),OperBgt!AW81,0)+IF(AND(AV$5&gt;0,AV$6&lt;=DateDisposition,AV312=0),AV159,0)</f>
        <v>0</v>
      </c>
      <c r="AW313" s="229">
        <f ca="1">IF(AND(AW$5&gt;0,AW$6&lt;=DateDisposition,OperBgt!AX81&gt;0),OperBgt!AX81,0)+IF(AND(AW$5&gt;0,AW$6&lt;=DateDisposition,AW312=0),AW159,0)</f>
        <v>0</v>
      </c>
      <c r="AX313" s="229">
        <f ca="1">IF(AND(AX$5&gt;0,AX$6&lt;=DateDisposition,OperBgt!AY81&gt;0),OperBgt!AY81,0)+IF(AND(AX$5&gt;0,AX$6&lt;=DateDisposition,AX312=0),AX159,0)</f>
        <v>0</v>
      </c>
      <c r="AY313" s="229">
        <f ca="1">IF(AND(AY$5&gt;0,AY$6&lt;=DateDisposition,OperBgt!AZ81&gt;0),OperBgt!AZ81,0)+IF(AND(AY$5&gt;0,AY$6&lt;=DateDisposition,AY312=0),AY159,0)</f>
        <v>0</v>
      </c>
      <c r="AZ313" s="229">
        <f ca="1">IF(AND(AZ$5&gt;0,AZ$6&lt;=DateDisposition,OperBgt!BA81&gt;0),OperBgt!BA81,0)+IF(AND(AZ$5&gt;0,AZ$6&lt;=DateDisposition,AZ312=0),AZ159,0)</f>
        <v>0</v>
      </c>
      <c r="BA313" s="229">
        <f ca="1">IF(AND(BA$5&gt;0,BA$6&lt;=DateDisposition,OperBgt!BB81&gt;0),OperBgt!BB81,0)+IF(AND(BA$5&gt;0,BA$6&lt;=DateDisposition,BA312=0),BA159,0)</f>
        <v>0</v>
      </c>
      <c r="BB313" s="229">
        <f ca="1">IF(AND(BB$5&gt;0,BB$6&lt;=DateDisposition,OperBgt!BC81&gt;0),OperBgt!BC81,0)+IF(AND(BB$5&gt;0,BB$6&lt;=DateDisposition,BB312=0),BB159,0)</f>
        <v>0</v>
      </c>
      <c r="BC313" s="229">
        <f ca="1">IF(AND(BC$5&gt;0,BC$6&lt;=DateDisposition,OperBgt!BD81&gt;0),OperBgt!BD81,0)+IF(AND(BC$5&gt;0,BC$6&lt;=DateDisposition,BC312=0),BC159,0)</f>
        <v>0</v>
      </c>
      <c r="BD313" s="229">
        <f ca="1">IF(AND(BD$5&gt;0,BD$6&lt;=DateDisposition,OperBgt!BE81&gt;0),OperBgt!BE81,0)+IF(AND(BD$5&gt;0,BD$6&lt;=DateDisposition,BD312=0),BD159,0)</f>
        <v>0</v>
      </c>
      <c r="BE313" s="229">
        <f ca="1">IF(AND(BE$5&gt;0,BE$6&lt;=DateDisposition,OperBgt!BF81&gt;0),OperBgt!BF81,0)+IF(AND(BE$5&gt;0,BE$6&lt;=DateDisposition,BE312=0),BE159,0)</f>
        <v>0</v>
      </c>
      <c r="BF313" s="229">
        <f ca="1">IF(AND(BF$5&gt;0,BF$6&lt;=DateDisposition,OperBgt!BG81&gt;0),OperBgt!BG81,0)+IF(AND(BF$5&gt;0,BF$6&lt;=DateDisposition,BF312=0),BF159,0)</f>
        <v>0</v>
      </c>
      <c r="BG313" s="229">
        <f ca="1">IF(AND(BG$5&gt;0,BG$6&lt;=DateDisposition,OperBgt!BH81&gt;0),OperBgt!BH81,0)+IF(AND(BG$5&gt;0,BG$6&lt;=DateDisposition,BG312=0),BG159,0)</f>
        <v>0</v>
      </c>
      <c r="BH313" s="229">
        <f ca="1">IF(AND(BH$5&gt;0,BH$6&lt;=DateDisposition,OperBgt!BI81&gt;0),OperBgt!BI81,0)+IF(AND(BH$5&gt;0,BH$6&lt;=DateDisposition,BH312=0),BH159,0)</f>
        <v>0</v>
      </c>
      <c r="BI313" s="229">
        <f ca="1">IF(AND(BI$5&gt;0,BI$6&lt;=DateDisposition,OperBgt!BJ81&gt;0),OperBgt!BJ81,0)+IF(AND(BI$5&gt;0,BI$6&lt;=DateDisposition,BI312=0),BI159,0)</f>
        <v>0</v>
      </c>
      <c r="BJ313" s="229">
        <f ca="1">IF(AND(BJ$5&gt;0,BJ$6&lt;=DateDisposition,OperBgt!BK81&gt;0),OperBgt!BK81,0)+IF(AND(BJ$5&gt;0,BJ$6&lt;=DateDisposition,BJ312=0),BJ159,0)</f>
        <v>0</v>
      </c>
      <c r="BK313" s="229">
        <f ca="1">IF(AND(BK$5&gt;0,BK$6&lt;=DateDisposition,OperBgt!BL81&gt;0),OperBgt!BL81,0)+IF(AND(BK$5&gt;0,BK$6&lt;=DateDisposition,BK312=0),BK159,0)</f>
        <v>0</v>
      </c>
      <c r="BL313" s="229">
        <f ca="1">IF(AND(BL$5&gt;0,BL$6&lt;=DateDisposition,OperBgt!BM81&gt;0),OperBgt!BM81,0)+IF(AND(BL$5&gt;0,BL$6&lt;=DateDisposition,BL312=0),BL159,0)</f>
        <v>0</v>
      </c>
      <c r="BM313" s="229">
        <f ca="1">IF(AND(BM$5&gt;0,BM$6&lt;=DateDisposition,OperBgt!BN81&gt;0),OperBgt!BN81,0)+IF(AND(BM$5&gt;0,BM$6&lt;=DateDisposition,BM312=0),BM159,0)</f>
        <v>0</v>
      </c>
      <c r="BN313" s="229">
        <f ca="1">IF(AND(BN$5&gt;0,BN$6&lt;=DateDisposition,OperBgt!BO81&gt;0),OperBgt!BO81,0)+IF(AND(BN$5&gt;0,BN$6&lt;=DateDisposition,BN312=0),BN159,0)</f>
        <v>0</v>
      </c>
      <c r="BO313" s="229">
        <f ca="1">IF(AND(BO$5&gt;0,BO$6&lt;=DateDisposition,OperBgt!BP81&gt;0),OperBgt!BP81,0)+IF(AND(BO$5&gt;0,BO$6&lt;=DateDisposition,BO312=0),BO159,0)</f>
        <v>0</v>
      </c>
      <c r="BP313" s="229">
        <f ca="1">IF(AND(BP$5&gt;0,BP$6&lt;=DateDisposition,OperBgt!BQ81&gt;0),OperBgt!BQ81,0)+IF(AND(BP$5&gt;0,BP$6&lt;=DateDisposition,BP312=0),BP159,0)</f>
        <v>0</v>
      </c>
      <c r="BQ313" s="229">
        <f ca="1">IF(AND(BQ$5&gt;0,BQ$6&lt;=DateDisposition,OperBgt!BR81&gt;0),OperBgt!BR81,0)+IF(AND(BQ$5&gt;0,BQ$6&lt;=DateDisposition,BQ312=0),BQ159,0)</f>
        <v>0</v>
      </c>
      <c r="BR313" s="229">
        <f ca="1">IF(AND(BR$5&gt;0,BR$6&lt;=DateDisposition,OperBgt!BS81&gt;0),OperBgt!BS81,0)+IF(AND(BR$5&gt;0,BR$6&lt;=DateDisposition,BR312=0),BR159,0)</f>
        <v>0</v>
      </c>
      <c r="BS313" s="229">
        <f ca="1">IF(AND(BS$5&gt;0,BS$6&lt;=DateDisposition,OperBgt!BT81&gt;0),OperBgt!BT81,0)+IF(AND(BS$5&gt;0,BS$6&lt;=DateDisposition,BS312=0),BS159,0)</f>
        <v>0</v>
      </c>
      <c r="BT313" s="229">
        <f ca="1">IF(AND(BT$5&gt;0,BT$6&lt;=DateDisposition,OperBgt!BU81&gt;0),OperBgt!BU81,0)+IF(AND(BT$5&gt;0,BT$6&lt;=DateDisposition,BT312=0),BT159,0)</f>
        <v>0</v>
      </c>
      <c r="BU313" s="229">
        <f ca="1">IF(AND(BU$5&gt;0,BU$6&lt;=DateDisposition,OperBgt!BV81&gt;0),OperBgt!BV81,0)+IF(AND(BU$5&gt;0,BU$6&lt;=DateDisposition,BU312=0),BU159,0)</f>
        <v>0</v>
      </c>
      <c r="BV313" s="229">
        <f ca="1">IF(AND(BV$5&gt;0,BV$6&lt;=DateDisposition,OperBgt!BW81&gt;0),OperBgt!BW81,0)+IF(AND(BV$5&gt;0,BV$6&lt;=DateDisposition,BV312=0),BV159,0)</f>
        <v>0</v>
      </c>
      <c r="BW313" s="229">
        <f ca="1">IF(AND(BW$5&gt;0,BW$6&lt;=DateDisposition,OperBgt!BX81&gt;0),OperBgt!BX81,0)+IF(AND(BW$5&gt;0,BW$6&lt;=DateDisposition,BW312=0),BW159,0)</f>
        <v>0</v>
      </c>
      <c r="BX313" s="229">
        <f ca="1">IF(AND(BX$5&gt;0,BX$6&lt;=DateDisposition,OperBgt!BY81&gt;0),OperBgt!BY81,0)+IF(AND(BX$5&gt;0,BX$6&lt;=DateDisposition,BX312=0),BX159,0)</f>
        <v>0</v>
      </c>
      <c r="BY313" s="229">
        <f ca="1">IF(AND(BY$5&gt;0,BY$6&lt;=DateDisposition,OperBgt!BZ81&gt;0),OperBgt!BZ81,0)+IF(AND(BY$5&gt;0,BY$6&lt;=DateDisposition,BY312=0),BY159,0)</f>
        <v>0</v>
      </c>
      <c r="BZ313" s="229">
        <f ca="1">IF(AND(BZ$5&gt;0,BZ$6&lt;=DateDisposition,OperBgt!CA81&gt;0),OperBgt!CA81,0)+IF(AND(BZ$5&gt;0,BZ$6&lt;=DateDisposition,BZ312=0),BZ159,0)</f>
        <v>0</v>
      </c>
      <c r="CA313" s="229">
        <f ca="1">IF(AND(CA$5&gt;0,CA$6&lt;=DateDisposition,OperBgt!CB81&gt;0),OperBgt!CB81,0)+IF(AND(CA$5&gt;0,CA$6&lt;=DateDisposition,CA312=0),CA159,0)</f>
        <v>0</v>
      </c>
      <c r="CB313" s="229">
        <f ca="1">IF(AND(CB$5&gt;0,CB$6&lt;=DateDisposition,OperBgt!CC81&gt;0),OperBgt!CC81,0)+IF(AND(CB$5&gt;0,CB$6&lt;=DateDisposition,CB312=0),CB159,0)</f>
        <v>0</v>
      </c>
      <c r="CC313" s="229">
        <f ca="1">IF(AND(CC$5&gt;0,CC$6&lt;=DateDisposition,OperBgt!CD81&gt;0),OperBgt!CD81,0)+IF(AND(CC$5&gt;0,CC$6&lt;=DateDisposition,CC312=0),CC159,0)</f>
        <v>0</v>
      </c>
      <c r="CD313" s="229">
        <f ca="1">IF(AND(CD$5&gt;0,CD$6&lt;=DateDisposition,OperBgt!CE81&gt;0),OperBgt!CE81,0)+IF(AND(CD$5&gt;0,CD$6&lt;=DateDisposition,CD312=0),CD159,0)</f>
        <v>0</v>
      </c>
      <c r="CE313" s="229">
        <f ca="1">IF(AND(CE$5&gt;0,CE$6&lt;=DateDisposition,OperBgt!CF81&gt;0),OperBgt!CF81,0)+IF(AND(CE$5&gt;0,CE$6&lt;=DateDisposition,CE312=0),CE159,0)</f>
        <v>0</v>
      </c>
      <c r="CF313" s="229">
        <f ca="1">IF(AND(CF$5&gt;0,CF$6&lt;=DateDisposition,OperBgt!CG81&gt;0),OperBgt!CG81,0)+IF(AND(CF$5&gt;0,CF$6&lt;=DateDisposition,CF312=0),CF159,0)</f>
        <v>0</v>
      </c>
      <c r="CG313" s="229">
        <f ca="1">IF(AND(CG$5&gt;0,CG$6&lt;=DateDisposition,OperBgt!CH81&gt;0),OperBgt!CH81,0)+IF(AND(CG$5&gt;0,CG$6&lt;=DateDisposition,CG312=0),CG159,0)</f>
        <v>0</v>
      </c>
      <c r="CH313" s="229">
        <f ca="1">IF(AND(CH$5&gt;0,CH$6&lt;=DateDisposition,OperBgt!CI81&gt;0),OperBgt!CI81,0)+IF(AND(CH$5&gt;0,CH$6&lt;=DateDisposition,CH312=0),CH159,0)</f>
        <v>0</v>
      </c>
      <c r="CI313" s="229">
        <f ca="1">IF(AND(CI$5&gt;0,CI$6&lt;=DateDisposition,OperBgt!CJ81&gt;0),OperBgt!CJ81,0)+IF(AND(CI$5&gt;0,CI$6&lt;=DateDisposition,CI312=0),CI159,0)</f>
        <v>0</v>
      </c>
      <c r="CJ313" s="229">
        <f ca="1">IF(AND(CJ$5&gt;0,CJ$6&lt;=DateDisposition,OperBgt!CK81&gt;0),OperBgt!CK81,0)+IF(AND(CJ$5&gt;0,CJ$6&lt;=DateDisposition,CJ312=0),CJ159,0)</f>
        <v>0</v>
      </c>
      <c r="CK313" s="229">
        <f ca="1">IF(AND(CK$5&gt;0,CK$6&lt;=DateDisposition,OperBgt!CL81&gt;0),OperBgt!CL81,0)+IF(AND(CK$5&gt;0,CK$6&lt;=DateDisposition,CK312=0),CK159,0)</f>
        <v>0</v>
      </c>
      <c r="CL313" s="229">
        <f ca="1">IF(AND(CL$5&gt;0,CL$6&lt;=DateDisposition,OperBgt!CM81&gt;0),OperBgt!CM81,0)+IF(AND(CL$5&gt;0,CL$6&lt;=DateDisposition,CL312=0),CL159,0)</f>
        <v>0</v>
      </c>
      <c r="CM313" s="229">
        <f ca="1">IF(AND(CM$5&gt;0,CM$6&lt;=DateDisposition,OperBgt!CN81&gt;0),OperBgt!CN81,0)+IF(AND(CM$5&gt;0,CM$6&lt;=DateDisposition,CM312=0),CM159,0)</f>
        <v>0</v>
      </c>
      <c r="CN313" s="229">
        <f ca="1">IF(AND(CN$5&gt;0,CN$6&lt;=DateDisposition,OperBgt!CO81&gt;0),OperBgt!CO81,0)+IF(AND(CN$5&gt;0,CN$6&lt;=DateDisposition,CN312=0),CN159,0)</f>
        <v>0</v>
      </c>
      <c r="CO313" s="229">
        <f ca="1">IF(AND(CO$5&gt;0,CO$6&lt;=DateDisposition,OperBgt!CP81&gt;0),OperBgt!CP81,0)+IF(AND(CO$5&gt;0,CO$6&lt;=DateDisposition,CO312=0),CO159,0)</f>
        <v>0</v>
      </c>
      <c r="CP313" s="229">
        <f ca="1">IF(AND(CP$5&gt;0,CP$6&lt;=DateDisposition,OperBgt!CQ81&gt;0),OperBgt!CQ81,0)+IF(AND(CP$5&gt;0,CP$6&lt;=DateDisposition,CP312=0),CP159,0)</f>
        <v>0</v>
      </c>
      <c r="CQ313" s="229">
        <f ca="1">IF(AND(CQ$5&gt;0,CQ$6&lt;=DateDisposition,OperBgt!CR81&gt;0),OperBgt!CR81,0)+IF(AND(CQ$5&gt;0,CQ$6&lt;=DateDisposition,CQ312=0),CQ159,0)</f>
        <v>0</v>
      </c>
      <c r="CR313" s="229">
        <f ca="1">IF(AND(CR$5&gt;0,CR$6&lt;=DateDisposition,OperBgt!CS81&gt;0),OperBgt!CS81,0)+IF(AND(CR$5&gt;0,CR$6&lt;=DateDisposition,CR312=0),CR159,0)</f>
        <v>0</v>
      </c>
      <c r="CS313" s="229">
        <f ca="1">IF(AND(CS$5&gt;0,CS$6&lt;=DateDisposition,OperBgt!CT81&gt;0),OperBgt!CT81,0)+IF(AND(CS$5&gt;0,CS$6&lt;=DateDisposition,CS312=0),CS159,0)</f>
        <v>0</v>
      </c>
      <c r="CT313" s="229">
        <f ca="1">IF(AND(CT$5&gt;0,CT$6&lt;=DateDisposition,OperBgt!CU81&gt;0),OperBgt!CU81,0)+IF(AND(CT$5&gt;0,CT$6&lt;=DateDisposition,CT312=0),CT159,0)</f>
        <v>0</v>
      </c>
      <c r="CU313" s="229">
        <f ca="1">IF(AND(CU$5&gt;0,CU$6&lt;=DateDisposition,OperBgt!CV81&gt;0),OperBgt!CV81,0)+IF(AND(CU$5&gt;0,CU$6&lt;=DateDisposition,CU312=0),CU159,0)</f>
        <v>0</v>
      </c>
      <c r="CV313" s="229">
        <f ca="1">IF(AND(CV$5&gt;0,CV$6&lt;=DateDisposition,OperBgt!CW81&gt;0),OperBgt!CW81,0)+IF(AND(CV$5&gt;0,CV$6&lt;=DateDisposition,CV312=0),CV159,0)</f>
        <v>0</v>
      </c>
      <c r="CW313" s="229">
        <f ca="1">IF(AND(CW$5&gt;0,CW$6&lt;=DateDisposition,OperBgt!CX81&gt;0),OperBgt!CX81,0)+IF(AND(CW$5&gt;0,CW$6&lt;=DateDisposition,CW312=0),CW159,0)</f>
        <v>0</v>
      </c>
      <c r="CX313" s="229">
        <f ca="1">IF(AND(CX$5&gt;0,CX$6&lt;=DateDisposition,OperBgt!CY81&gt;0),OperBgt!CY81,0)+IF(AND(CX$5&gt;0,CX$6&lt;=DateDisposition,CX312=0),CX159,0)</f>
        <v>0</v>
      </c>
      <c r="CY313" s="229">
        <f ca="1">IF(AND(CY$5&gt;0,CY$6&lt;=DateDisposition,OperBgt!CZ81&gt;0),OperBgt!CZ81,0)+IF(AND(CY$5&gt;0,CY$6&lt;=DateDisposition,CY312=0),CY159,0)</f>
        <v>0</v>
      </c>
      <c r="CZ313" s="229">
        <f ca="1">IF(AND(CZ$5&gt;0,CZ$6&lt;=DateDisposition,OperBgt!DA81&gt;0),OperBgt!DA81,0)+IF(AND(CZ$5&gt;0,CZ$6&lt;=DateDisposition,CZ312=0),CZ159,0)</f>
        <v>0</v>
      </c>
      <c r="DA313" s="229">
        <f ca="1">IF(AND(DA$5&gt;0,DA$6&lt;=DateDisposition,OperBgt!DB81&gt;0),OperBgt!DB81,0)+IF(AND(DA$5&gt;0,DA$6&lt;=DateDisposition,DA312=0),DA159,0)</f>
        <v>0</v>
      </c>
      <c r="DB313" s="229">
        <f ca="1">IF(AND(DB$5&gt;0,DB$6&lt;=DateDisposition,OperBgt!DC81&gt;0),OperBgt!DC81,0)+IF(AND(DB$5&gt;0,DB$6&lt;=DateDisposition,DB312=0),DB159,0)</f>
        <v>0</v>
      </c>
      <c r="DC313" s="229">
        <f ca="1">IF(AND(DC$5&gt;0,DC$6&lt;=DateDisposition,OperBgt!DD81&gt;0),OperBgt!DD81,0)+IF(AND(DC$5&gt;0,DC$6&lt;=DateDisposition,DC312=0),DC159,0)</f>
        <v>0</v>
      </c>
      <c r="DD313" s="229">
        <f ca="1">IF(AND(DD$5&gt;0,DD$6&lt;=DateDisposition,OperBgt!DE81&gt;0),OperBgt!DE81,0)+IF(AND(DD$5&gt;0,DD$6&lt;=DateDisposition,DD312=0),DD159,0)</f>
        <v>0</v>
      </c>
      <c r="DE313" s="229">
        <f ca="1">IF(AND(DE$5&gt;0,DE$6&lt;=DateDisposition,OperBgt!DF81&gt;0),OperBgt!DF81,0)+IF(AND(DE$5&gt;0,DE$6&lt;=DateDisposition,DE312=0),DE159,0)</f>
        <v>0</v>
      </c>
      <c r="DF313" s="229">
        <f ca="1">IF(AND(DF$5&gt;0,DF$6&lt;=DateDisposition,OperBgt!DG81&gt;0),OperBgt!DG81,0)+IF(AND(DF$5&gt;0,DF$6&lt;=DateDisposition,DF312=0),DF159,0)</f>
        <v>0</v>
      </c>
      <c r="DG313" s="229">
        <f ca="1">IF(AND(DG$5&gt;0,DG$6&lt;=DateDisposition,OperBgt!DH81&gt;0),OperBgt!DH81,0)+IF(AND(DG$5&gt;0,DG$6&lt;=DateDisposition,DG312=0),DG159,0)</f>
        <v>0</v>
      </c>
      <c r="DH313" s="229">
        <f ca="1">IF(AND(DH$5&gt;0,DH$6&lt;=DateDisposition,OperBgt!DI81&gt;0),OperBgt!DI81,0)+IF(AND(DH$5&gt;0,DH$6&lt;=DateDisposition,DH312=0),DH159,0)</f>
        <v>0</v>
      </c>
      <c r="DI313" s="229">
        <f ca="1">IF(AND(DI$5&gt;0,DI$6&lt;=DateDisposition,OperBgt!DJ81&gt;0),OperBgt!DJ81,0)+IF(AND(DI$5&gt;0,DI$6&lt;=DateDisposition,DI312=0),DI159,0)</f>
        <v>0</v>
      </c>
      <c r="DJ313" s="229">
        <f ca="1">IF(AND(DJ$5&gt;0,DJ$6&lt;=DateDisposition,OperBgt!DK81&gt;0),OperBgt!DK81,0)+IF(AND(DJ$5&gt;0,DJ$6&lt;=DateDisposition,DJ312=0),DJ159,0)</f>
        <v>0</v>
      </c>
      <c r="DK313" s="229">
        <f ca="1">IF(AND(DK$5&gt;0,DK$6&lt;=DateDisposition,OperBgt!DL81&gt;0),OperBgt!DL81,0)+IF(AND(DK$5&gt;0,DK$6&lt;=DateDisposition,DK312=0),DK159,0)</f>
        <v>0</v>
      </c>
      <c r="DL313" s="229">
        <f ca="1">IF(AND(DL$5&gt;0,DL$6&lt;=DateDisposition,OperBgt!DM81&gt;0),OperBgt!DM81,0)+IF(AND(DL$5&gt;0,DL$6&lt;=DateDisposition,DL312=0),DL159,0)</f>
        <v>0</v>
      </c>
      <c r="DM313" s="229">
        <f ca="1">IF(AND(DM$5&gt;0,DM$6&lt;=DateDisposition,OperBgt!DN81&gt;0),OperBgt!DN81,0)+IF(AND(DM$5&gt;0,DM$6&lt;=DateDisposition,DM312=0),DM159,0)</f>
        <v>0</v>
      </c>
      <c r="DN313" s="229">
        <f ca="1">IF(AND(DN$5&gt;0,DN$6&lt;=DateDisposition,OperBgt!DO81&gt;0),OperBgt!DO81,0)+IF(AND(DN$5&gt;0,DN$6&lt;=DateDisposition,DN312=0),DN159,0)</f>
        <v>0</v>
      </c>
      <c r="DO313" s="229">
        <f ca="1">IF(AND(DO$5&gt;0,DO$6&lt;=DateDisposition,OperBgt!DP81&gt;0),OperBgt!DP81,0)+IF(AND(DO$5&gt;0,DO$6&lt;=DateDisposition,DO312=0),DO159,0)</f>
        <v>0</v>
      </c>
      <c r="DP313" s="229">
        <f ca="1">IF(AND(DP$5&gt;0,DP$6&lt;=DateDisposition,OperBgt!DQ81&gt;0),OperBgt!DQ81,0)+IF(AND(DP$5&gt;0,DP$6&lt;=DateDisposition,DP312=0),DP159,0)</f>
        <v>0</v>
      </c>
      <c r="DQ313" s="229">
        <f ca="1">IF(AND(DQ$5&gt;0,DQ$6&lt;=DateDisposition,OperBgt!DR81&gt;0),OperBgt!DR81,0)+IF(AND(DQ$5&gt;0,DQ$6&lt;=DateDisposition,DQ312=0),DQ159,0)</f>
        <v>0</v>
      </c>
      <c r="DR313" s="229">
        <f ca="1">IF(AND(DR$5&gt;0,DR$6&lt;=DateDisposition,OperBgt!DS81&gt;0),OperBgt!DS81,0)+IF(AND(DR$5&gt;0,DR$6&lt;=DateDisposition,DR312=0),DR159,0)</f>
        <v>0</v>
      </c>
      <c r="DS313" s="229">
        <f ca="1">IF(AND(DS$5&gt;0,DS$6&lt;=DateDisposition,OperBgt!DT81&gt;0),OperBgt!DT81,0)+IF(AND(DS$5&gt;0,DS$6&lt;=DateDisposition,DS312=0),DS159,0)</f>
        <v>0</v>
      </c>
      <c r="DT313" s="229">
        <f ca="1">IF(AND(DT$5&gt;0,DT$6&lt;=DateDisposition,OperBgt!DU81&gt;0),OperBgt!DU81,0)+IF(AND(DT$5&gt;0,DT$6&lt;=DateDisposition,DT312=0),DT159,0)</f>
        <v>0</v>
      </c>
      <c r="DU313" s="229">
        <f ca="1">IF(AND(DU$5&gt;0,DU$6&lt;=DateDisposition,OperBgt!DV81&gt;0),OperBgt!DV81,0)+IF(AND(DU$5&gt;0,DU$6&lt;=DateDisposition,DU312=0),DU159,0)</f>
        <v>0</v>
      </c>
      <c r="EI313" s="722"/>
    </row>
    <row r="314" spans="1:139" x14ac:dyDescent="0.3">
      <c r="A314" t="s">
        <v>2527</v>
      </c>
      <c r="D314" s="675"/>
      <c r="E314" s="229">
        <f>IF(E$7=DateDisposition,SUM(E187:E191,E195),0)</f>
        <v>0</v>
      </c>
      <c r="F314" s="229">
        <f>IF(F$7=DateDisposition,SUM(F187:F191,F195),0)</f>
        <v>0</v>
      </c>
      <c r="G314" s="229">
        <f>IF(G$7=DateDisposition,SUM(G187:G191,G195),0)</f>
        <v>0</v>
      </c>
      <c r="H314" s="229">
        <f t="shared" ref="H314:AM314" si="505">IF(H$6=DateDisposition,SUM(H187:H192,H195),0)</f>
        <v>0</v>
      </c>
      <c r="I314" s="229">
        <f t="shared" si="505"/>
        <v>0</v>
      </c>
      <c r="J314" s="229">
        <f t="shared" si="505"/>
        <v>0</v>
      </c>
      <c r="K314" s="229">
        <f t="shared" si="505"/>
        <v>0</v>
      </c>
      <c r="L314" s="229">
        <f t="shared" si="505"/>
        <v>0</v>
      </c>
      <c r="M314" s="229">
        <f t="shared" si="505"/>
        <v>0</v>
      </c>
      <c r="N314" s="229">
        <f t="shared" si="505"/>
        <v>0</v>
      </c>
      <c r="O314" s="229">
        <f t="shared" si="505"/>
        <v>0</v>
      </c>
      <c r="P314" s="229">
        <f t="shared" si="505"/>
        <v>0</v>
      </c>
      <c r="Q314" s="229">
        <f t="shared" si="505"/>
        <v>0</v>
      </c>
      <c r="R314" s="229">
        <f t="shared" si="505"/>
        <v>0</v>
      </c>
      <c r="S314" s="229">
        <f t="shared" si="505"/>
        <v>0</v>
      </c>
      <c r="T314" s="229">
        <f t="shared" si="505"/>
        <v>0</v>
      </c>
      <c r="U314" s="229">
        <f t="shared" si="505"/>
        <v>0</v>
      </c>
      <c r="V314" s="229">
        <f t="shared" si="505"/>
        <v>0</v>
      </c>
      <c r="W314" s="229">
        <f t="shared" si="505"/>
        <v>0</v>
      </c>
      <c r="X314" s="229">
        <f t="shared" si="505"/>
        <v>0</v>
      </c>
      <c r="Y314" s="229">
        <f t="shared" si="505"/>
        <v>0</v>
      </c>
      <c r="Z314" s="229">
        <f t="shared" si="505"/>
        <v>0</v>
      </c>
      <c r="AA314" s="229">
        <f t="shared" si="505"/>
        <v>0</v>
      </c>
      <c r="AB314" s="229">
        <f t="shared" si="505"/>
        <v>0</v>
      </c>
      <c r="AC314" s="229">
        <f t="shared" si="505"/>
        <v>0</v>
      </c>
      <c r="AD314" s="229">
        <f t="shared" si="505"/>
        <v>0</v>
      </c>
      <c r="AE314" s="229">
        <f t="shared" si="505"/>
        <v>0</v>
      </c>
      <c r="AF314" s="229">
        <f t="shared" si="505"/>
        <v>0</v>
      </c>
      <c r="AG314" s="229">
        <f t="shared" ca="1" si="505"/>
        <v>102059397.29701358</v>
      </c>
      <c r="AH314" s="229">
        <f t="shared" si="505"/>
        <v>0</v>
      </c>
      <c r="AI314" s="229">
        <f t="shared" si="505"/>
        <v>0</v>
      </c>
      <c r="AJ314" s="229">
        <f t="shared" si="505"/>
        <v>0</v>
      </c>
      <c r="AK314" s="229">
        <f t="shared" si="505"/>
        <v>0</v>
      </c>
      <c r="AL314" s="229">
        <f t="shared" si="505"/>
        <v>0</v>
      </c>
      <c r="AM314" s="229">
        <f t="shared" si="505"/>
        <v>0</v>
      </c>
      <c r="AN314" s="229">
        <f t="shared" ref="AN314:BS314" si="506">IF(AN$6=DateDisposition,SUM(AN187:AN192,AN195),0)</f>
        <v>0</v>
      </c>
      <c r="AO314" s="229">
        <f t="shared" si="506"/>
        <v>0</v>
      </c>
      <c r="AP314" s="229">
        <f t="shared" si="506"/>
        <v>0</v>
      </c>
      <c r="AQ314" s="229">
        <f t="shared" si="506"/>
        <v>0</v>
      </c>
      <c r="AR314" s="229">
        <f t="shared" si="506"/>
        <v>0</v>
      </c>
      <c r="AS314" s="229">
        <f t="shared" si="506"/>
        <v>0</v>
      </c>
      <c r="AT314" s="229">
        <f t="shared" si="506"/>
        <v>0</v>
      </c>
      <c r="AU314" s="229">
        <f t="shared" si="506"/>
        <v>0</v>
      </c>
      <c r="AV314" s="229">
        <f t="shared" si="506"/>
        <v>0</v>
      </c>
      <c r="AW314" s="229">
        <f t="shared" si="506"/>
        <v>0</v>
      </c>
      <c r="AX314" s="229">
        <f t="shared" si="506"/>
        <v>0</v>
      </c>
      <c r="AY314" s="229">
        <f t="shared" si="506"/>
        <v>0</v>
      </c>
      <c r="AZ314" s="229">
        <f t="shared" si="506"/>
        <v>0</v>
      </c>
      <c r="BA314" s="229">
        <f t="shared" si="506"/>
        <v>0</v>
      </c>
      <c r="BB314" s="229">
        <f t="shared" si="506"/>
        <v>0</v>
      </c>
      <c r="BC314" s="229">
        <f t="shared" si="506"/>
        <v>0</v>
      </c>
      <c r="BD314" s="229">
        <f t="shared" si="506"/>
        <v>0</v>
      </c>
      <c r="BE314" s="229">
        <f t="shared" si="506"/>
        <v>0</v>
      </c>
      <c r="BF314" s="229">
        <f t="shared" si="506"/>
        <v>0</v>
      </c>
      <c r="BG314" s="229">
        <f t="shared" si="506"/>
        <v>0</v>
      </c>
      <c r="BH314" s="229">
        <f t="shared" si="506"/>
        <v>0</v>
      </c>
      <c r="BI314" s="229">
        <f t="shared" si="506"/>
        <v>0</v>
      </c>
      <c r="BJ314" s="229">
        <f t="shared" si="506"/>
        <v>0</v>
      </c>
      <c r="BK314" s="229">
        <f t="shared" si="506"/>
        <v>0</v>
      </c>
      <c r="BL314" s="229">
        <f t="shared" si="506"/>
        <v>0</v>
      </c>
      <c r="BM314" s="229">
        <f t="shared" si="506"/>
        <v>0</v>
      </c>
      <c r="BN314" s="229">
        <f t="shared" si="506"/>
        <v>0</v>
      </c>
      <c r="BO314" s="229">
        <f t="shared" si="506"/>
        <v>0</v>
      </c>
      <c r="BP314" s="229">
        <f t="shared" si="506"/>
        <v>0</v>
      </c>
      <c r="BQ314" s="229">
        <f t="shared" si="506"/>
        <v>0</v>
      </c>
      <c r="BR314" s="229">
        <f t="shared" si="506"/>
        <v>0</v>
      </c>
      <c r="BS314" s="229">
        <f t="shared" si="506"/>
        <v>0</v>
      </c>
      <c r="BT314" s="229">
        <f t="shared" ref="BT314:CY314" si="507">IF(BT$6=DateDisposition,SUM(BT187:BT192,BT195),0)</f>
        <v>0</v>
      </c>
      <c r="BU314" s="229">
        <f t="shared" si="507"/>
        <v>0</v>
      </c>
      <c r="BV314" s="229">
        <f t="shared" si="507"/>
        <v>0</v>
      </c>
      <c r="BW314" s="229">
        <f t="shared" si="507"/>
        <v>0</v>
      </c>
      <c r="BX314" s="229">
        <f t="shared" si="507"/>
        <v>0</v>
      </c>
      <c r="BY314" s="229">
        <f t="shared" si="507"/>
        <v>0</v>
      </c>
      <c r="BZ314" s="229">
        <f t="shared" si="507"/>
        <v>0</v>
      </c>
      <c r="CA314" s="229">
        <f t="shared" si="507"/>
        <v>0</v>
      </c>
      <c r="CB314" s="229">
        <f t="shared" si="507"/>
        <v>0</v>
      </c>
      <c r="CC314" s="229">
        <f t="shared" si="507"/>
        <v>0</v>
      </c>
      <c r="CD314" s="229">
        <f t="shared" si="507"/>
        <v>0</v>
      </c>
      <c r="CE314" s="229">
        <f t="shared" si="507"/>
        <v>0</v>
      </c>
      <c r="CF314" s="229">
        <f t="shared" si="507"/>
        <v>0</v>
      </c>
      <c r="CG314" s="229">
        <f t="shared" si="507"/>
        <v>0</v>
      </c>
      <c r="CH314" s="229">
        <f t="shared" si="507"/>
        <v>0</v>
      </c>
      <c r="CI314" s="229">
        <f t="shared" si="507"/>
        <v>0</v>
      </c>
      <c r="CJ314" s="229">
        <f t="shared" si="507"/>
        <v>0</v>
      </c>
      <c r="CK314" s="229">
        <f t="shared" si="507"/>
        <v>0</v>
      </c>
      <c r="CL314" s="229">
        <f t="shared" si="507"/>
        <v>0</v>
      </c>
      <c r="CM314" s="229">
        <f t="shared" si="507"/>
        <v>0</v>
      </c>
      <c r="CN314" s="229">
        <f t="shared" si="507"/>
        <v>0</v>
      </c>
      <c r="CO314" s="229">
        <f t="shared" si="507"/>
        <v>0</v>
      </c>
      <c r="CP314" s="229">
        <f t="shared" si="507"/>
        <v>0</v>
      </c>
      <c r="CQ314" s="229">
        <f t="shared" si="507"/>
        <v>0</v>
      </c>
      <c r="CR314" s="229">
        <f t="shared" si="507"/>
        <v>0</v>
      </c>
      <c r="CS314" s="229">
        <f t="shared" si="507"/>
        <v>0</v>
      </c>
      <c r="CT314" s="229">
        <f t="shared" si="507"/>
        <v>0</v>
      </c>
      <c r="CU314" s="229">
        <f t="shared" si="507"/>
        <v>0</v>
      </c>
      <c r="CV314" s="229">
        <f t="shared" si="507"/>
        <v>0</v>
      </c>
      <c r="CW314" s="229">
        <f t="shared" si="507"/>
        <v>0</v>
      </c>
      <c r="CX314" s="229">
        <f t="shared" si="507"/>
        <v>0</v>
      </c>
      <c r="CY314" s="229">
        <f t="shared" si="507"/>
        <v>0</v>
      </c>
      <c r="CZ314" s="229">
        <f t="shared" ref="CZ314:DU314" si="508">IF(CZ$6=DateDisposition,SUM(CZ187:CZ192,CZ195),0)</f>
        <v>0</v>
      </c>
      <c r="DA314" s="229">
        <f t="shared" si="508"/>
        <v>0</v>
      </c>
      <c r="DB314" s="229">
        <f t="shared" si="508"/>
        <v>0</v>
      </c>
      <c r="DC314" s="229">
        <f t="shared" si="508"/>
        <v>0</v>
      </c>
      <c r="DD314" s="229">
        <f t="shared" si="508"/>
        <v>0</v>
      </c>
      <c r="DE314" s="229">
        <f t="shared" si="508"/>
        <v>0</v>
      </c>
      <c r="DF314" s="229">
        <f t="shared" si="508"/>
        <v>0</v>
      </c>
      <c r="DG314" s="229">
        <f t="shared" si="508"/>
        <v>0</v>
      </c>
      <c r="DH314" s="229">
        <f t="shared" si="508"/>
        <v>0</v>
      </c>
      <c r="DI314" s="229">
        <f t="shared" si="508"/>
        <v>0</v>
      </c>
      <c r="DJ314" s="229">
        <f t="shared" si="508"/>
        <v>0</v>
      </c>
      <c r="DK314" s="229">
        <f t="shared" si="508"/>
        <v>0</v>
      </c>
      <c r="DL314" s="229">
        <f t="shared" si="508"/>
        <v>0</v>
      </c>
      <c r="DM314" s="229">
        <f t="shared" si="508"/>
        <v>0</v>
      </c>
      <c r="DN314" s="229">
        <f t="shared" si="508"/>
        <v>0</v>
      </c>
      <c r="DO314" s="229">
        <f t="shared" si="508"/>
        <v>0</v>
      </c>
      <c r="DP314" s="229">
        <f t="shared" si="508"/>
        <v>0</v>
      </c>
      <c r="DQ314" s="229">
        <f t="shared" si="508"/>
        <v>0</v>
      </c>
      <c r="DR314" s="229">
        <f t="shared" si="508"/>
        <v>0</v>
      </c>
      <c r="DS314" s="229">
        <f t="shared" si="508"/>
        <v>0</v>
      </c>
      <c r="DT314" s="229">
        <f t="shared" si="508"/>
        <v>0</v>
      </c>
      <c r="DU314" s="229">
        <f t="shared" si="508"/>
        <v>0</v>
      </c>
      <c r="EI314" s="280"/>
    </row>
    <row r="315" spans="1:139" ht="15" thickBot="1" x14ac:dyDescent="0.35">
      <c r="A315" s="248" t="s">
        <v>2528</v>
      </c>
      <c r="B315" s="248"/>
      <c r="C315" s="1527">
        <f ca="1">(1+IRR(E315:DU315,0.01))^12-1</f>
        <v>0.24269524365049522</v>
      </c>
      <c r="D315" s="2562">
        <f ca="1">SUM(E315:DU315)</f>
        <v>28659332.277030542</v>
      </c>
      <c r="E315" s="250">
        <f ca="1">SUM(E312:E314)</f>
        <v>-976480.98946296622</v>
      </c>
      <c r="F315" s="250">
        <f t="shared" ref="F315:BQ315" ca="1" si="509">SUM(F312:F314)</f>
        <v>-15196420.31702359</v>
      </c>
      <c r="G315" s="250">
        <f t="shared" ca="1" si="509"/>
        <v>-474239.54329989548</v>
      </c>
      <c r="H315" s="250">
        <f t="shared" ca="1" si="509"/>
        <v>-721748.0475038616</v>
      </c>
      <c r="I315" s="250">
        <f t="shared" ca="1" si="509"/>
        <v>-1228081.4260033614</v>
      </c>
      <c r="J315" s="250">
        <f t="shared" ca="1" si="509"/>
        <v>-2006175.0862433794</v>
      </c>
      <c r="K315" s="250">
        <f t="shared" ca="1" si="509"/>
        <v>-2065007.2828140815</v>
      </c>
      <c r="L315" s="250">
        <f t="shared" ca="1" si="509"/>
        <v>-2632286.0946173389</v>
      </c>
      <c r="M315" s="250">
        <f t="shared" ca="1" si="509"/>
        <v>-3123041.3752459437</v>
      </c>
      <c r="N315" s="250">
        <f t="shared" ca="1" si="509"/>
        <v>-3656374.6239059591</v>
      </c>
      <c r="O315" s="250">
        <f t="shared" ca="1" si="509"/>
        <v>-3785478.5469404557</v>
      </c>
      <c r="P315" s="250">
        <f t="shared" ca="1" si="509"/>
        <v>-3972123.4240676542</v>
      </c>
      <c r="Q315" s="250">
        <f t="shared" ca="1" si="509"/>
        <v>-3999064.3859817842</v>
      </c>
      <c r="R315" s="250">
        <f t="shared" ca="1" si="509"/>
        <v>-4014154.6910651959</v>
      </c>
      <c r="S315" s="250">
        <f t="shared" ca="1" si="509"/>
        <v>-3729373.8942700066</v>
      </c>
      <c r="T315" s="250">
        <f t="shared" ca="1" si="509"/>
        <v>-3599927.3861139896</v>
      </c>
      <c r="U315" s="250">
        <f t="shared" ca="1" si="509"/>
        <v>-3309439.1491722479</v>
      </c>
      <c r="V315" s="250">
        <f t="shared" ca="1" si="509"/>
        <v>-2952236.6266668998</v>
      </c>
      <c r="W315" s="250">
        <f t="shared" ca="1" si="509"/>
        <v>-2918294.3797108978</v>
      </c>
      <c r="X315" s="250">
        <f t="shared" ca="1" si="509"/>
        <v>-2656413.4147722162</v>
      </c>
      <c r="Y315" s="250">
        <f t="shared" ca="1" si="509"/>
        <v>-2209613.2393581825</v>
      </c>
      <c r="Z315" s="250">
        <f t="shared" ca="1" si="509"/>
        <v>-1859157.0484505685</v>
      </c>
      <c r="AA315" s="250">
        <f t="shared" ca="1" si="509"/>
        <v>-1521130.3515481832</v>
      </c>
      <c r="AB315" s="250">
        <f t="shared" ca="1" si="509"/>
        <v>-981762.24797736842</v>
      </c>
      <c r="AC315" s="250">
        <f t="shared" ca="1" si="509"/>
        <v>-720180.62378795887</v>
      </c>
      <c r="AD315" s="250">
        <f t="shared" ca="1" si="509"/>
        <v>-361520.04585639475</v>
      </c>
      <c r="AE315" s="250">
        <f t="shared" ca="1" si="509"/>
        <v>362378.97728815104</v>
      </c>
      <c r="AF315" s="250">
        <f t="shared" ca="1" si="509"/>
        <v>451816.95146866475</v>
      </c>
      <c r="AG315" s="250">
        <f t="shared" ca="1" si="509"/>
        <v>102514860.5901341</v>
      </c>
      <c r="AH315" s="250">
        <f t="shared" ca="1" si="509"/>
        <v>0</v>
      </c>
      <c r="AI315" s="250">
        <f t="shared" ca="1" si="509"/>
        <v>0</v>
      </c>
      <c r="AJ315" s="250">
        <f t="shared" ca="1" si="509"/>
        <v>0</v>
      </c>
      <c r="AK315" s="250">
        <f t="shared" ca="1" si="509"/>
        <v>0</v>
      </c>
      <c r="AL315" s="250">
        <f t="shared" ca="1" si="509"/>
        <v>0</v>
      </c>
      <c r="AM315" s="250">
        <f t="shared" ca="1" si="509"/>
        <v>0</v>
      </c>
      <c r="AN315" s="250">
        <f t="shared" ca="1" si="509"/>
        <v>0</v>
      </c>
      <c r="AO315" s="250">
        <f t="shared" ca="1" si="509"/>
        <v>0</v>
      </c>
      <c r="AP315" s="250">
        <f t="shared" ca="1" si="509"/>
        <v>0</v>
      </c>
      <c r="AQ315" s="250">
        <f t="shared" ca="1" si="509"/>
        <v>0</v>
      </c>
      <c r="AR315" s="250">
        <f t="shared" ca="1" si="509"/>
        <v>0</v>
      </c>
      <c r="AS315" s="250">
        <f t="shared" ca="1" si="509"/>
        <v>0</v>
      </c>
      <c r="AT315" s="250">
        <f t="shared" ca="1" si="509"/>
        <v>0</v>
      </c>
      <c r="AU315" s="250">
        <f t="shared" ca="1" si="509"/>
        <v>0</v>
      </c>
      <c r="AV315" s="250">
        <f t="shared" ca="1" si="509"/>
        <v>0</v>
      </c>
      <c r="AW315" s="250">
        <f t="shared" ca="1" si="509"/>
        <v>0</v>
      </c>
      <c r="AX315" s="250">
        <f t="shared" ca="1" si="509"/>
        <v>0</v>
      </c>
      <c r="AY315" s="250">
        <f t="shared" ca="1" si="509"/>
        <v>0</v>
      </c>
      <c r="AZ315" s="250">
        <f t="shared" ca="1" si="509"/>
        <v>0</v>
      </c>
      <c r="BA315" s="250">
        <f t="shared" ca="1" si="509"/>
        <v>0</v>
      </c>
      <c r="BB315" s="250">
        <f t="shared" ca="1" si="509"/>
        <v>0</v>
      </c>
      <c r="BC315" s="250">
        <f t="shared" ca="1" si="509"/>
        <v>0</v>
      </c>
      <c r="BD315" s="250">
        <f t="shared" ca="1" si="509"/>
        <v>0</v>
      </c>
      <c r="BE315" s="250">
        <f t="shared" ca="1" si="509"/>
        <v>0</v>
      </c>
      <c r="BF315" s="250">
        <f t="shared" ca="1" si="509"/>
        <v>0</v>
      </c>
      <c r="BG315" s="250">
        <f t="shared" ca="1" si="509"/>
        <v>0</v>
      </c>
      <c r="BH315" s="250">
        <f t="shared" ca="1" si="509"/>
        <v>0</v>
      </c>
      <c r="BI315" s="250">
        <f t="shared" ca="1" si="509"/>
        <v>0</v>
      </c>
      <c r="BJ315" s="250">
        <f t="shared" ca="1" si="509"/>
        <v>0</v>
      </c>
      <c r="BK315" s="250">
        <f t="shared" ca="1" si="509"/>
        <v>0</v>
      </c>
      <c r="BL315" s="250">
        <f t="shared" ca="1" si="509"/>
        <v>0</v>
      </c>
      <c r="BM315" s="250">
        <f t="shared" ca="1" si="509"/>
        <v>0</v>
      </c>
      <c r="BN315" s="250">
        <f t="shared" ca="1" si="509"/>
        <v>0</v>
      </c>
      <c r="BO315" s="250">
        <f t="shared" ca="1" si="509"/>
        <v>0</v>
      </c>
      <c r="BP315" s="250">
        <f t="shared" ca="1" si="509"/>
        <v>0</v>
      </c>
      <c r="BQ315" s="250">
        <f t="shared" ca="1" si="509"/>
        <v>0</v>
      </c>
      <c r="BR315" s="250">
        <f t="shared" ref="BR315:DU315" ca="1" si="510">SUM(BR312:BR314)</f>
        <v>0</v>
      </c>
      <c r="BS315" s="250">
        <f t="shared" ca="1" si="510"/>
        <v>0</v>
      </c>
      <c r="BT315" s="250">
        <f t="shared" ca="1" si="510"/>
        <v>0</v>
      </c>
      <c r="BU315" s="250">
        <f t="shared" ca="1" si="510"/>
        <v>0</v>
      </c>
      <c r="BV315" s="250">
        <f t="shared" ca="1" si="510"/>
        <v>0</v>
      </c>
      <c r="BW315" s="250">
        <f t="shared" ca="1" si="510"/>
        <v>0</v>
      </c>
      <c r="BX315" s="250">
        <f t="shared" ca="1" si="510"/>
        <v>0</v>
      </c>
      <c r="BY315" s="250">
        <f t="shared" ca="1" si="510"/>
        <v>0</v>
      </c>
      <c r="BZ315" s="250">
        <f t="shared" ca="1" si="510"/>
        <v>0</v>
      </c>
      <c r="CA315" s="250">
        <f t="shared" ca="1" si="510"/>
        <v>0</v>
      </c>
      <c r="CB315" s="250">
        <f t="shared" ca="1" si="510"/>
        <v>0</v>
      </c>
      <c r="CC315" s="250">
        <f t="shared" ca="1" si="510"/>
        <v>0</v>
      </c>
      <c r="CD315" s="250">
        <f t="shared" ca="1" si="510"/>
        <v>0</v>
      </c>
      <c r="CE315" s="250">
        <f t="shared" ca="1" si="510"/>
        <v>0</v>
      </c>
      <c r="CF315" s="250">
        <f t="shared" ca="1" si="510"/>
        <v>0</v>
      </c>
      <c r="CG315" s="250">
        <f t="shared" ca="1" si="510"/>
        <v>0</v>
      </c>
      <c r="CH315" s="250">
        <f t="shared" ca="1" si="510"/>
        <v>0</v>
      </c>
      <c r="CI315" s="250">
        <f t="shared" ca="1" si="510"/>
        <v>0</v>
      </c>
      <c r="CJ315" s="250">
        <f t="shared" ca="1" si="510"/>
        <v>0</v>
      </c>
      <c r="CK315" s="250">
        <f t="shared" ca="1" si="510"/>
        <v>0</v>
      </c>
      <c r="CL315" s="250">
        <f t="shared" ca="1" si="510"/>
        <v>0</v>
      </c>
      <c r="CM315" s="250">
        <f t="shared" ca="1" si="510"/>
        <v>0</v>
      </c>
      <c r="CN315" s="250">
        <f t="shared" ca="1" si="510"/>
        <v>0</v>
      </c>
      <c r="CO315" s="250">
        <f t="shared" ca="1" si="510"/>
        <v>0</v>
      </c>
      <c r="CP315" s="250">
        <f t="shared" ca="1" si="510"/>
        <v>0</v>
      </c>
      <c r="CQ315" s="250">
        <f t="shared" ca="1" si="510"/>
        <v>0</v>
      </c>
      <c r="CR315" s="250">
        <f t="shared" ca="1" si="510"/>
        <v>0</v>
      </c>
      <c r="CS315" s="250">
        <f t="shared" ca="1" si="510"/>
        <v>0</v>
      </c>
      <c r="CT315" s="250">
        <f t="shared" ca="1" si="510"/>
        <v>0</v>
      </c>
      <c r="CU315" s="250">
        <f t="shared" ca="1" si="510"/>
        <v>0</v>
      </c>
      <c r="CV315" s="250">
        <f t="shared" ca="1" si="510"/>
        <v>0</v>
      </c>
      <c r="CW315" s="250">
        <f t="shared" ca="1" si="510"/>
        <v>0</v>
      </c>
      <c r="CX315" s="250">
        <f t="shared" ca="1" si="510"/>
        <v>0</v>
      </c>
      <c r="CY315" s="250">
        <f t="shared" ca="1" si="510"/>
        <v>0</v>
      </c>
      <c r="CZ315" s="250">
        <f t="shared" ca="1" si="510"/>
        <v>0</v>
      </c>
      <c r="DA315" s="250">
        <f t="shared" ca="1" si="510"/>
        <v>0</v>
      </c>
      <c r="DB315" s="250">
        <f t="shared" ca="1" si="510"/>
        <v>0</v>
      </c>
      <c r="DC315" s="250">
        <f t="shared" ca="1" si="510"/>
        <v>0</v>
      </c>
      <c r="DD315" s="250">
        <f t="shared" ca="1" si="510"/>
        <v>0</v>
      </c>
      <c r="DE315" s="250">
        <f t="shared" ca="1" si="510"/>
        <v>0</v>
      </c>
      <c r="DF315" s="250">
        <f t="shared" ca="1" si="510"/>
        <v>0</v>
      </c>
      <c r="DG315" s="250">
        <f t="shared" ca="1" si="510"/>
        <v>0</v>
      </c>
      <c r="DH315" s="250">
        <f t="shared" ca="1" si="510"/>
        <v>0</v>
      </c>
      <c r="DI315" s="250">
        <f t="shared" ca="1" si="510"/>
        <v>0</v>
      </c>
      <c r="DJ315" s="250">
        <f t="shared" ca="1" si="510"/>
        <v>0</v>
      </c>
      <c r="DK315" s="250">
        <f t="shared" ca="1" si="510"/>
        <v>0</v>
      </c>
      <c r="DL315" s="250">
        <f t="shared" ca="1" si="510"/>
        <v>0</v>
      </c>
      <c r="DM315" s="250">
        <f t="shared" ca="1" si="510"/>
        <v>0</v>
      </c>
      <c r="DN315" s="250">
        <f t="shared" ca="1" si="510"/>
        <v>0</v>
      </c>
      <c r="DO315" s="250">
        <f t="shared" ca="1" si="510"/>
        <v>0</v>
      </c>
      <c r="DP315" s="250">
        <f t="shared" ca="1" si="510"/>
        <v>0</v>
      </c>
      <c r="DQ315" s="250">
        <f t="shared" ca="1" si="510"/>
        <v>0</v>
      </c>
      <c r="DR315" s="250">
        <f t="shared" ca="1" si="510"/>
        <v>0</v>
      </c>
      <c r="DS315" s="250">
        <f t="shared" ca="1" si="510"/>
        <v>0</v>
      </c>
      <c r="DT315" s="250">
        <f t="shared" ca="1" si="510"/>
        <v>0</v>
      </c>
      <c r="DU315" s="250">
        <f t="shared" ca="1" si="510"/>
        <v>0</v>
      </c>
      <c r="EI315" s="722"/>
    </row>
    <row r="316" spans="1:139" ht="15" customHeight="1" thickTop="1" x14ac:dyDescent="0.3">
      <c r="D316" s="652"/>
    </row>
    <row r="317" spans="1:139" s="230" customFormat="1" hidden="1" x14ac:dyDescent="0.3">
      <c r="A317" s="647" t="s">
        <v>2529</v>
      </c>
      <c r="B317" s="647"/>
      <c r="C317" s="647"/>
      <c r="D317" s="647"/>
      <c r="E317" s="647"/>
      <c r="F317" s="647">
        <v>1</v>
      </c>
      <c r="G317" s="230">
        <v>1</v>
      </c>
      <c r="H317" s="230">
        <v>1</v>
      </c>
      <c r="I317" s="230">
        <v>1</v>
      </c>
      <c r="J317" s="230">
        <v>1</v>
      </c>
      <c r="K317" s="230">
        <v>1</v>
      </c>
      <c r="L317" s="230">
        <v>1</v>
      </c>
      <c r="M317" s="230">
        <v>1</v>
      </c>
      <c r="N317" s="230">
        <v>1</v>
      </c>
      <c r="O317" s="230">
        <v>1</v>
      </c>
      <c r="P317" s="230">
        <v>1</v>
      </c>
      <c r="Q317" s="230">
        <v>1</v>
      </c>
      <c r="R317" s="230">
        <f t="shared" ref="R317:CC317" si="511">F317+1</f>
        <v>2</v>
      </c>
      <c r="S317" s="230">
        <f t="shared" si="511"/>
        <v>2</v>
      </c>
      <c r="T317" s="230">
        <f t="shared" si="511"/>
        <v>2</v>
      </c>
      <c r="U317" s="230">
        <f t="shared" si="511"/>
        <v>2</v>
      </c>
      <c r="V317" s="230">
        <f t="shared" si="511"/>
        <v>2</v>
      </c>
      <c r="W317" s="230">
        <f t="shared" si="511"/>
        <v>2</v>
      </c>
      <c r="X317" s="230">
        <f t="shared" si="511"/>
        <v>2</v>
      </c>
      <c r="Y317" s="230">
        <f t="shared" si="511"/>
        <v>2</v>
      </c>
      <c r="Z317" s="230">
        <f t="shared" si="511"/>
        <v>2</v>
      </c>
      <c r="AA317" s="230">
        <f t="shared" si="511"/>
        <v>2</v>
      </c>
      <c r="AB317" s="230">
        <f t="shared" si="511"/>
        <v>2</v>
      </c>
      <c r="AC317" s="230">
        <f t="shared" si="511"/>
        <v>2</v>
      </c>
      <c r="AD317" s="230">
        <f t="shared" si="511"/>
        <v>3</v>
      </c>
      <c r="AE317" s="230">
        <f t="shared" si="511"/>
        <v>3</v>
      </c>
      <c r="AF317" s="230">
        <f t="shared" si="511"/>
        <v>3</v>
      </c>
      <c r="AG317" s="230">
        <f t="shared" si="511"/>
        <v>3</v>
      </c>
      <c r="AH317" s="230">
        <f t="shared" si="511"/>
        <v>3</v>
      </c>
      <c r="AI317" s="230">
        <f t="shared" si="511"/>
        <v>3</v>
      </c>
      <c r="AJ317" s="230">
        <f t="shared" si="511"/>
        <v>3</v>
      </c>
      <c r="AK317" s="230">
        <f t="shared" si="511"/>
        <v>3</v>
      </c>
      <c r="AL317" s="230">
        <f t="shared" si="511"/>
        <v>3</v>
      </c>
      <c r="AM317" s="230">
        <f t="shared" si="511"/>
        <v>3</v>
      </c>
      <c r="AN317" s="230">
        <f t="shared" si="511"/>
        <v>3</v>
      </c>
      <c r="AO317" s="230">
        <f t="shared" si="511"/>
        <v>3</v>
      </c>
      <c r="AP317" s="230">
        <f t="shared" si="511"/>
        <v>4</v>
      </c>
      <c r="AQ317" s="230">
        <f t="shared" si="511"/>
        <v>4</v>
      </c>
      <c r="AR317" s="230">
        <f t="shared" si="511"/>
        <v>4</v>
      </c>
      <c r="AS317" s="230">
        <f t="shared" si="511"/>
        <v>4</v>
      </c>
      <c r="AT317" s="230">
        <f t="shared" si="511"/>
        <v>4</v>
      </c>
      <c r="AU317" s="230">
        <f t="shared" si="511"/>
        <v>4</v>
      </c>
      <c r="AV317" s="230">
        <f t="shared" si="511"/>
        <v>4</v>
      </c>
      <c r="AW317" s="230">
        <f t="shared" si="511"/>
        <v>4</v>
      </c>
      <c r="AX317" s="230">
        <f t="shared" si="511"/>
        <v>4</v>
      </c>
      <c r="AY317" s="230">
        <f t="shared" si="511"/>
        <v>4</v>
      </c>
      <c r="AZ317" s="230">
        <f t="shared" si="511"/>
        <v>4</v>
      </c>
      <c r="BA317" s="230">
        <f t="shared" si="511"/>
        <v>4</v>
      </c>
      <c r="BB317" s="230">
        <f t="shared" si="511"/>
        <v>5</v>
      </c>
      <c r="BC317" s="230">
        <f t="shared" si="511"/>
        <v>5</v>
      </c>
      <c r="BD317" s="230">
        <f t="shared" si="511"/>
        <v>5</v>
      </c>
      <c r="BE317" s="230">
        <f t="shared" si="511"/>
        <v>5</v>
      </c>
      <c r="BF317" s="230">
        <f t="shared" si="511"/>
        <v>5</v>
      </c>
      <c r="BG317" s="230">
        <f t="shared" si="511"/>
        <v>5</v>
      </c>
      <c r="BH317" s="230">
        <f t="shared" si="511"/>
        <v>5</v>
      </c>
      <c r="BI317" s="230">
        <f t="shared" si="511"/>
        <v>5</v>
      </c>
      <c r="BJ317" s="230">
        <f t="shared" si="511"/>
        <v>5</v>
      </c>
      <c r="BK317" s="230">
        <f t="shared" si="511"/>
        <v>5</v>
      </c>
      <c r="BL317" s="230">
        <f t="shared" si="511"/>
        <v>5</v>
      </c>
      <c r="BM317" s="230">
        <f t="shared" si="511"/>
        <v>5</v>
      </c>
      <c r="BN317" s="230">
        <f t="shared" si="511"/>
        <v>6</v>
      </c>
      <c r="BO317" s="230">
        <f t="shared" si="511"/>
        <v>6</v>
      </c>
      <c r="BP317" s="230">
        <f t="shared" si="511"/>
        <v>6</v>
      </c>
      <c r="BQ317" s="230">
        <f t="shared" si="511"/>
        <v>6</v>
      </c>
      <c r="BR317" s="230">
        <f t="shared" si="511"/>
        <v>6</v>
      </c>
      <c r="BS317" s="230">
        <f t="shared" si="511"/>
        <v>6</v>
      </c>
      <c r="BT317" s="230">
        <f t="shared" si="511"/>
        <v>6</v>
      </c>
      <c r="BU317" s="230">
        <f t="shared" si="511"/>
        <v>6</v>
      </c>
      <c r="BV317" s="230">
        <f t="shared" si="511"/>
        <v>6</v>
      </c>
      <c r="BW317" s="230">
        <f t="shared" si="511"/>
        <v>6</v>
      </c>
      <c r="BX317" s="230">
        <f t="shared" si="511"/>
        <v>6</v>
      </c>
      <c r="BY317" s="230">
        <f t="shared" si="511"/>
        <v>6</v>
      </c>
      <c r="BZ317" s="230">
        <f t="shared" si="511"/>
        <v>7</v>
      </c>
      <c r="CA317" s="230">
        <f t="shared" si="511"/>
        <v>7</v>
      </c>
      <c r="CB317" s="230">
        <f t="shared" si="511"/>
        <v>7</v>
      </c>
      <c r="CC317" s="230">
        <f t="shared" si="511"/>
        <v>7</v>
      </c>
      <c r="CD317" s="230">
        <f t="shared" ref="CD317:EG317" si="512">BR317+1</f>
        <v>7</v>
      </c>
      <c r="CE317" s="230">
        <f t="shared" si="512"/>
        <v>7</v>
      </c>
      <c r="CF317" s="230">
        <f t="shared" si="512"/>
        <v>7</v>
      </c>
      <c r="CG317" s="230">
        <f t="shared" si="512"/>
        <v>7</v>
      </c>
      <c r="CH317" s="230">
        <f t="shared" si="512"/>
        <v>7</v>
      </c>
      <c r="CI317" s="230">
        <f t="shared" si="512"/>
        <v>7</v>
      </c>
      <c r="CJ317" s="230">
        <f t="shared" si="512"/>
        <v>7</v>
      </c>
      <c r="CK317" s="230">
        <f t="shared" si="512"/>
        <v>7</v>
      </c>
      <c r="CL317" s="230">
        <f t="shared" si="512"/>
        <v>8</v>
      </c>
      <c r="CM317" s="230">
        <f t="shared" si="512"/>
        <v>8</v>
      </c>
      <c r="CN317" s="230">
        <f t="shared" si="512"/>
        <v>8</v>
      </c>
      <c r="CO317" s="230">
        <f t="shared" si="512"/>
        <v>8</v>
      </c>
      <c r="CP317" s="230">
        <f t="shared" si="512"/>
        <v>8</v>
      </c>
      <c r="CQ317" s="230">
        <f t="shared" si="512"/>
        <v>8</v>
      </c>
      <c r="CR317" s="230">
        <f t="shared" si="512"/>
        <v>8</v>
      </c>
      <c r="CS317" s="230">
        <f t="shared" si="512"/>
        <v>8</v>
      </c>
      <c r="CT317" s="230">
        <f t="shared" si="512"/>
        <v>8</v>
      </c>
      <c r="CU317" s="230">
        <f t="shared" si="512"/>
        <v>8</v>
      </c>
      <c r="CV317" s="230">
        <f t="shared" si="512"/>
        <v>8</v>
      </c>
      <c r="CW317" s="230">
        <f t="shared" si="512"/>
        <v>8</v>
      </c>
      <c r="CX317" s="230">
        <f t="shared" si="512"/>
        <v>9</v>
      </c>
      <c r="CY317" s="230">
        <f t="shared" si="512"/>
        <v>9</v>
      </c>
      <c r="CZ317" s="230">
        <f t="shared" si="512"/>
        <v>9</v>
      </c>
      <c r="DA317" s="230">
        <f t="shared" si="512"/>
        <v>9</v>
      </c>
      <c r="DB317" s="230">
        <f t="shared" si="512"/>
        <v>9</v>
      </c>
      <c r="DC317" s="230">
        <f t="shared" si="512"/>
        <v>9</v>
      </c>
      <c r="DD317" s="230">
        <f t="shared" si="512"/>
        <v>9</v>
      </c>
      <c r="DE317" s="230">
        <f t="shared" si="512"/>
        <v>9</v>
      </c>
      <c r="DF317" s="230">
        <f t="shared" si="512"/>
        <v>9</v>
      </c>
      <c r="DG317" s="230">
        <f t="shared" si="512"/>
        <v>9</v>
      </c>
      <c r="DH317" s="230">
        <f t="shared" si="512"/>
        <v>9</v>
      </c>
      <c r="DI317" s="230">
        <f t="shared" si="512"/>
        <v>9</v>
      </c>
      <c r="DJ317" s="230">
        <f t="shared" si="512"/>
        <v>10</v>
      </c>
      <c r="DK317" s="230">
        <f t="shared" si="512"/>
        <v>10</v>
      </c>
      <c r="DL317" s="230">
        <f t="shared" si="512"/>
        <v>10</v>
      </c>
      <c r="DM317" s="230">
        <f t="shared" si="512"/>
        <v>10</v>
      </c>
      <c r="DN317" s="230">
        <f t="shared" si="512"/>
        <v>10</v>
      </c>
      <c r="DO317" s="230">
        <f t="shared" si="512"/>
        <v>10</v>
      </c>
      <c r="DP317" s="230">
        <f t="shared" si="512"/>
        <v>10</v>
      </c>
      <c r="DQ317" s="230">
        <f t="shared" si="512"/>
        <v>10</v>
      </c>
      <c r="DR317" s="230">
        <f t="shared" si="512"/>
        <v>10</v>
      </c>
      <c r="DS317" s="230">
        <f t="shared" si="512"/>
        <v>10</v>
      </c>
      <c r="DT317" s="230">
        <f t="shared" si="512"/>
        <v>10</v>
      </c>
      <c r="DU317" s="230">
        <f t="shared" si="512"/>
        <v>10</v>
      </c>
      <c r="DV317" s="230">
        <f t="shared" si="512"/>
        <v>11</v>
      </c>
      <c r="DW317" s="230">
        <f t="shared" si="512"/>
        <v>11</v>
      </c>
      <c r="DX317" s="230">
        <f t="shared" si="512"/>
        <v>11</v>
      </c>
      <c r="DY317" s="230">
        <f t="shared" si="512"/>
        <v>11</v>
      </c>
      <c r="DZ317" s="230">
        <f t="shared" si="512"/>
        <v>11</v>
      </c>
      <c r="EA317" s="230">
        <f t="shared" si="512"/>
        <v>11</v>
      </c>
      <c r="EB317" s="230">
        <f t="shared" si="512"/>
        <v>11</v>
      </c>
      <c r="EC317" s="230">
        <f t="shared" si="512"/>
        <v>11</v>
      </c>
      <c r="ED317" s="230">
        <f t="shared" si="512"/>
        <v>11</v>
      </c>
      <c r="EE317" s="230">
        <f t="shared" si="512"/>
        <v>11</v>
      </c>
      <c r="EF317" s="230">
        <f t="shared" si="512"/>
        <v>11</v>
      </c>
      <c r="EG317" s="230">
        <f t="shared" si="512"/>
        <v>11</v>
      </c>
      <c r="EH317" s="733"/>
      <c r="EI317" s="734"/>
    </row>
    <row r="318" spans="1:139" s="200" customFormat="1" hidden="1" x14ac:dyDescent="0.3">
      <c r="A318" s="200" t="s">
        <v>2530</v>
      </c>
      <c r="E318" s="652">
        <f t="shared" ref="E318:BP318" si="513">IF(E162&gt;0,MIN(-E158,E162),0)</f>
        <v>0</v>
      </c>
      <c r="F318" s="652">
        <f t="shared" ca="1" si="513"/>
        <v>0</v>
      </c>
      <c r="G318" s="652">
        <f t="shared" ca="1" si="513"/>
        <v>0</v>
      </c>
      <c r="H318" s="652">
        <f t="shared" ca="1" si="513"/>
        <v>0</v>
      </c>
      <c r="I318" s="652">
        <f t="shared" ca="1" si="513"/>
        <v>0</v>
      </c>
      <c r="J318" s="652">
        <f t="shared" ca="1" si="513"/>
        <v>0</v>
      </c>
      <c r="K318" s="652">
        <f t="shared" ca="1" si="513"/>
        <v>0</v>
      </c>
      <c r="L318" s="652">
        <f t="shared" ca="1" si="513"/>
        <v>0</v>
      </c>
      <c r="M318" s="652">
        <f t="shared" ca="1" si="513"/>
        <v>0</v>
      </c>
      <c r="N318" s="652">
        <f t="shared" ca="1" si="513"/>
        <v>0</v>
      </c>
      <c r="O318" s="652">
        <f t="shared" ca="1" si="513"/>
        <v>0</v>
      </c>
      <c r="P318" s="652">
        <f t="shared" ca="1" si="513"/>
        <v>0</v>
      </c>
      <c r="Q318" s="652">
        <f t="shared" ca="1" si="513"/>
        <v>0</v>
      </c>
      <c r="R318" s="652">
        <f t="shared" ca="1" si="513"/>
        <v>0</v>
      </c>
      <c r="S318" s="652">
        <f t="shared" ca="1" si="513"/>
        <v>0</v>
      </c>
      <c r="T318" s="652">
        <f t="shared" ca="1" si="513"/>
        <v>0</v>
      </c>
      <c r="U318" s="652">
        <f t="shared" ca="1" si="513"/>
        <v>0</v>
      </c>
      <c r="V318" s="652">
        <f t="shared" ca="1" si="513"/>
        <v>0</v>
      </c>
      <c r="W318" s="652">
        <f t="shared" ca="1" si="513"/>
        <v>0</v>
      </c>
      <c r="X318" s="652">
        <f t="shared" ca="1" si="513"/>
        <v>0</v>
      </c>
      <c r="Y318" s="652">
        <f t="shared" ca="1" si="513"/>
        <v>0</v>
      </c>
      <c r="Z318" s="652">
        <f t="shared" ca="1" si="513"/>
        <v>0</v>
      </c>
      <c r="AA318" s="652">
        <f t="shared" ca="1" si="513"/>
        <v>0</v>
      </c>
      <c r="AB318" s="652">
        <f t="shared" ca="1" si="513"/>
        <v>0</v>
      </c>
      <c r="AC318" s="652">
        <f t="shared" ca="1" si="513"/>
        <v>0</v>
      </c>
      <c r="AD318" s="652">
        <f t="shared" ca="1" si="513"/>
        <v>0</v>
      </c>
      <c r="AE318" s="652">
        <f t="shared" ca="1" si="513"/>
        <v>0</v>
      </c>
      <c r="AF318" s="652">
        <f t="shared" ca="1" si="513"/>
        <v>0</v>
      </c>
      <c r="AG318" s="652">
        <f t="shared" ca="1" si="513"/>
        <v>0</v>
      </c>
      <c r="AH318" s="652">
        <f t="shared" ca="1" si="513"/>
        <v>0</v>
      </c>
      <c r="AI318" s="652">
        <f t="shared" ca="1" si="513"/>
        <v>0</v>
      </c>
      <c r="AJ318" s="652">
        <f t="shared" ca="1" si="513"/>
        <v>0</v>
      </c>
      <c r="AK318" s="652">
        <f t="shared" ca="1" si="513"/>
        <v>0</v>
      </c>
      <c r="AL318" s="652">
        <f t="shared" ca="1" si="513"/>
        <v>0</v>
      </c>
      <c r="AM318" s="652">
        <f t="shared" ca="1" si="513"/>
        <v>0</v>
      </c>
      <c r="AN318" s="652">
        <f t="shared" ca="1" si="513"/>
        <v>0</v>
      </c>
      <c r="AO318" s="652">
        <f t="shared" ca="1" si="513"/>
        <v>0</v>
      </c>
      <c r="AP318" s="652">
        <f t="shared" ca="1" si="513"/>
        <v>0</v>
      </c>
      <c r="AQ318" s="652">
        <f t="shared" ca="1" si="513"/>
        <v>0</v>
      </c>
      <c r="AR318" s="652">
        <f t="shared" ca="1" si="513"/>
        <v>0</v>
      </c>
      <c r="AS318" s="652">
        <f t="shared" ca="1" si="513"/>
        <v>0</v>
      </c>
      <c r="AT318" s="652">
        <f t="shared" ca="1" si="513"/>
        <v>0</v>
      </c>
      <c r="AU318" s="652">
        <f t="shared" ca="1" si="513"/>
        <v>0</v>
      </c>
      <c r="AV318" s="652">
        <f t="shared" ca="1" si="513"/>
        <v>0</v>
      </c>
      <c r="AW318" s="652">
        <f t="shared" ca="1" si="513"/>
        <v>0</v>
      </c>
      <c r="AX318" s="652">
        <f t="shared" ca="1" si="513"/>
        <v>0</v>
      </c>
      <c r="AY318" s="652">
        <f t="shared" ca="1" si="513"/>
        <v>0</v>
      </c>
      <c r="AZ318" s="652">
        <f t="shared" ca="1" si="513"/>
        <v>0</v>
      </c>
      <c r="BA318" s="652">
        <f t="shared" ca="1" si="513"/>
        <v>0</v>
      </c>
      <c r="BB318" s="652">
        <f t="shared" ca="1" si="513"/>
        <v>0</v>
      </c>
      <c r="BC318" s="652">
        <f t="shared" ca="1" si="513"/>
        <v>0</v>
      </c>
      <c r="BD318" s="652">
        <f t="shared" ca="1" si="513"/>
        <v>0</v>
      </c>
      <c r="BE318" s="652">
        <f t="shared" ca="1" si="513"/>
        <v>0</v>
      </c>
      <c r="BF318" s="652">
        <f t="shared" ca="1" si="513"/>
        <v>0</v>
      </c>
      <c r="BG318" s="652">
        <f t="shared" ca="1" si="513"/>
        <v>0</v>
      </c>
      <c r="BH318" s="652">
        <f t="shared" ca="1" si="513"/>
        <v>0</v>
      </c>
      <c r="BI318" s="652">
        <f t="shared" ca="1" si="513"/>
        <v>0</v>
      </c>
      <c r="BJ318" s="652">
        <f t="shared" ca="1" si="513"/>
        <v>0</v>
      </c>
      <c r="BK318" s="652">
        <f t="shared" ca="1" si="513"/>
        <v>0</v>
      </c>
      <c r="BL318" s="652">
        <f t="shared" ca="1" si="513"/>
        <v>0</v>
      </c>
      <c r="BM318" s="652">
        <f t="shared" ca="1" si="513"/>
        <v>0</v>
      </c>
      <c r="BN318" s="652">
        <f t="shared" ca="1" si="513"/>
        <v>0</v>
      </c>
      <c r="BO318" s="652">
        <f t="shared" ca="1" si="513"/>
        <v>0</v>
      </c>
      <c r="BP318" s="652">
        <f t="shared" ca="1" si="513"/>
        <v>0</v>
      </c>
      <c r="BQ318" s="652">
        <f t="shared" ref="BQ318:DU318" ca="1" si="514">IF(BQ162&gt;0,MIN(-BQ158,BQ162),0)</f>
        <v>0</v>
      </c>
      <c r="BR318" s="652">
        <f t="shared" ca="1" si="514"/>
        <v>0</v>
      </c>
      <c r="BS318" s="652">
        <f t="shared" ca="1" si="514"/>
        <v>0</v>
      </c>
      <c r="BT318" s="652">
        <f t="shared" ca="1" si="514"/>
        <v>0</v>
      </c>
      <c r="BU318" s="652">
        <f t="shared" ca="1" si="514"/>
        <v>0</v>
      </c>
      <c r="BV318" s="652">
        <f t="shared" ca="1" si="514"/>
        <v>0</v>
      </c>
      <c r="BW318" s="652">
        <f t="shared" ca="1" si="514"/>
        <v>0</v>
      </c>
      <c r="BX318" s="652">
        <f t="shared" ca="1" si="514"/>
        <v>0</v>
      </c>
      <c r="BY318" s="652">
        <f t="shared" ca="1" si="514"/>
        <v>0</v>
      </c>
      <c r="BZ318" s="652">
        <f t="shared" ca="1" si="514"/>
        <v>0</v>
      </c>
      <c r="CA318" s="652">
        <f t="shared" ca="1" si="514"/>
        <v>0</v>
      </c>
      <c r="CB318" s="652">
        <f t="shared" ca="1" si="514"/>
        <v>0</v>
      </c>
      <c r="CC318" s="652">
        <f t="shared" ca="1" si="514"/>
        <v>0</v>
      </c>
      <c r="CD318" s="652">
        <f t="shared" ca="1" si="514"/>
        <v>0</v>
      </c>
      <c r="CE318" s="652">
        <f t="shared" ca="1" si="514"/>
        <v>0</v>
      </c>
      <c r="CF318" s="652">
        <f t="shared" ca="1" si="514"/>
        <v>0</v>
      </c>
      <c r="CG318" s="652">
        <f t="shared" ca="1" si="514"/>
        <v>0</v>
      </c>
      <c r="CH318" s="652">
        <f t="shared" ca="1" si="514"/>
        <v>0</v>
      </c>
      <c r="CI318" s="652">
        <f t="shared" ca="1" si="514"/>
        <v>0</v>
      </c>
      <c r="CJ318" s="652">
        <f t="shared" ca="1" si="514"/>
        <v>0</v>
      </c>
      <c r="CK318" s="652">
        <f t="shared" ca="1" si="514"/>
        <v>0</v>
      </c>
      <c r="CL318" s="652">
        <f t="shared" ca="1" si="514"/>
        <v>0</v>
      </c>
      <c r="CM318" s="652">
        <f t="shared" ca="1" si="514"/>
        <v>0</v>
      </c>
      <c r="CN318" s="652">
        <f t="shared" ca="1" si="514"/>
        <v>0</v>
      </c>
      <c r="CO318" s="652">
        <f t="shared" ca="1" si="514"/>
        <v>0</v>
      </c>
      <c r="CP318" s="652">
        <f t="shared" ca="1" si="514"/>
        <v>0</v>
      </c>
      <c r="CQ318" s="652">
        <f t="shared" ca="1" si="514"/>
        <v>0</v>
      </c>
      <c r="CR318" s="652">
        <f t="shared" ca="1" si="514"/>
        <v>0</v>
      </c>
      <c r="CS318" s="652">
        <f t="shared" ca="1" si="514"/>
        <v>0</v>
      </c>
      <c r="CT318" s="652">
        <f t="shared" ca="1" si="514"/>
        <v>0</v>
      </c>
      <c r="CU318" s="652">
        <f t="shared" ca="1" si="514"/>
        <v>0</v>
      </c>
      <c r="CV318" s="652">
        <f t="shared" ca="1" si="514"/>
        <v>0</v>
      </c>
      <c r="CW318" s="652">
        <f t="shared" ca="1" si="514"/>
        <v>0</v>
      </c>
      <c r="CX318" s="652">
        <f t="shared" ca="1" si="514"/>
        <v>0</v>
      </c>
      <c r="CY318" s="652">
        <f t="shared" ca="1" si="514"/>
        <v>0</v>
      </c>
      <c r="CZ318" s="652">
        <f t="shared" ca="1" si="514"/>
        <v>0</v>
      </c>
      <c r="DA318" s="652">
        <f t="shared" ca="1" si="514"/>
        <v>0</v>
      </c>
      <c r="DB318" s="652">
        <f t="shared" ca="1" si="514"/>
        <v>0</v>
      </c>
      <c r="DC318" s="652">
        <f t="shared" ca="1" si="514"/>
        <v>0</v>
      </c>
      <c r="DD318" s="652">
        <f t="shared" ca="1" si="514"/>
        <v>0</v>
      </c>
      <c r="DE318" s="652">
        <f t="shared" ca="1" si="514"/>
        <v>0</v>
      </c>
      <c r="DF318" s="652">
        <f t="shared" ca="1" si="514"/>
        <v>0</v>
      </c>
      <c r="DG318" s="652">
        <f t="shared" ca="1" si="514"/>
        <v>0</v>
      </c>
      <c r="DH318" s="652">
        <f t="shared" ca="1" si="514"/>
        <v>0</v>
      </c>
      <c r="DI318" s="652">
        <f t="shared" ca="1" si="514"/>
        <v>0</v>
      </c>
      <c r="DJ318" s="652">
        <f t="shared" ca="1" si="514"/>
        <v>0</v>
      </c>
      <c r="DK318" s="652">
        <f t="shared" ca="1" si="514"/>
        <v>0</v>
      </c>
      <c r="DL318" s="652">
        <f t="shared" ca="1" si="514"/>
        <v>0</v>
      </c>
      <c r="DM318" s="652">
        <f t="shared" ca="1" si="514"/>
        <v>0</v>
      </c>
      <c r="DN318" s="652">
        <f t="shared" ca="1" si="514"/>
        <v>0</v>
      </c>
      <c r="DO318" s="652">
        <f t="shared" ca="1" si="514"/>
        <v>0</v>
      </c>
      <c r="DP318" s="652">
        <f t="shared" ca="1" si="514"/>
        <v>0</v>
      </c>
      <c r="DQ318" s="652">
        <f t="shared" ca="1" si="514"/>
        <v>0</v>
      </c>
      <c r="DR318" s="652">
        <f t="shared" ca="1" si="514"/>
        <v>0</v>
      </c>
      <c r="DS318" s="652">
        <f t="shared" ca="1" si="514"/>
        <v>0</v>
      </c>
      <c r="DT318" s="652">
        <f t="shared" ca="1" si="514"/>
        <v>0</v>
      </c>
      <c r="DU318" s="652">
        <f t="shared" ca="1" si="514"/>
        <v>0</v>
      </c>
    </row>
    <row r="319" spans="1:139" s="200" customFormat="1" hidden="1" x14ac:dyDescent="0.3">
      <c r="A319" s="200" t="s">
        <v>2531</v>
      </c>
      <c r="E319" s="698">
        <f t="shared" ref="E319:BP319" si="515">SUM(E158:E159)</f>
        <v>0</v>
      </c>
      <c r="F319" s="698">
        <f t="shared" si="515"/>
        <v>0</v>
      </c>
      <c r="G319" s="698">
        <f t="shared" si="515"/>
        <v>0</v>
      </c>
      <c r="H319" s="698">
        <f t="shared" si="515"/>
        <v>0</v>
      </c>
      <c r="I319" s="698">
        <f t="shared" si="515"/>
        <v>0</v>
      </c>
      <c r="J319" s="698">
        <f t="shared" si="515"/>
        <v>0</v>
      </c>
      <c r="K319" s="698">
        <f t="shared" si="515"/>
        <v>0</v>
      </c>
      <c r="L319" s="698">
        <f t="shared" si="515"/>
        <v>0</v>
      </c>
      <c r="M319" s="698">
        <f t="shared" si="515"/>
        <v>0</v>
      </c>
      <c r="N319" s="698">
        <f t="shared" si="515"/>
        <v>0</v>
      </c>
      <c r="O319" s="698">
        <f t="shared" si="515"/>
        <v>0</v>
      </c>
      <c r="P319" s="698">
        <f t="shared" si="515"/>
        <v>0</v>
      </c>
      <c r="Q319" s="698">
        <f t="shared" si="515"/>
        <v>0</v>
      </c>
      <c r="R319" s="698">
        <f t="shared" si="515"/>
        <v>0</v>
      </c>
      <c r="S319" s="698">
        <f t="shared" si="515"/>
        <v>0</v>
      </c>
      <c r="T319" s="698">
        <f t="shared" si="515"/>
        <v>0</v>
      </c>
      <c r="U319" s="698">
        <f t="shared" si="515"/>
        <v>0</v>
      </c>
      <c r="V319" s="698">
        <f t="shared" si="515"/>
        <v>0</v>
      </c>
      <c r="W319" s="698">
        <f t="shared" si="515"/>
        <v>0</v>
      </c>
      <c r="X319" s="698">
        <f t="shared" si="515"/>
        <v>0</v>
      </c>
      <c r="Y319" s="698">
        <f t="shared" si="515"/>
        <v>0</v>
      </c>
      <c r="Z319" s="698">
        <f t="shared" si="515"/>
        <v>0</v>
      </c>
      <c r="AA319" s="698">
        <f t="shared" si="515"/>
        <v>0</v>
      </c>
      <c r="AB319" s="698">
        <f t="shared" si="515"/>
        <v>0</v>
      </c>
      <c r="AC319" s="698">
        <f t="shared" si="515"/>
        <v>0</v>
      </c>
      <c r="AD319" s="698">
        <f t="shared" ca="1" si="515"/>
        <v>0</v>
      </c>
      <c r="AE319" s="698">
        <f t="shared" ca="1" si="515"/>
        <v>0</v>
      </c>
      <c r="AF319" s="698">
        <f t="shared" ca="1" si="515"/>
        <v>0</v>
      </c>
      <c r="AG319" s="698">
        <f t="shared" ca="1" si="515"/>
        <v>0</v>
      </c>
      <c r="AH319" s="698">
        <f t="shared" ca="1" si="515"/>
        <v>0</v>
      </c>
      <c r="AI319" s="698">
        <f t="shared" ca="1" si="515"/>
        <v>0</v>
      </c>
      <c r="AJ319" s="698">
        <f t="shared" ca="1" si="515"/>
        <v>0</v>
      </c>
      <c r="AK319" s="698">
        <f t="shared" ca="1" si="515"/>
        <v>0</v>
      </c>
      <c r="AL319" s="698">
        <f t="shared" ca="1" si="515"/>
        <v>0</v>
      </c>
      <c r="AM319" s="698">
        <f t="shared" ca="1" si="515"/>
        <v>0</v>
      </c>
      <c r="AN319" s="698">
        <f t="shared" ca="1" si="515"/>
        <v>0</v>
      </c>
      <c r="AO319" s="698">
        <f t="shared" ca="1" si="515"/>
        <v>0</v>
      </c>
      <c r="AP319" s="698">
        <f t="shared" ca="1" si="515"/>
        <v>0</v>
      </c>
      <c r="AQ319" s="698">
        <f t="shared" ca="1" si="515"/>
        <v>0</v>
      </c>
      <c r="AR319" s="698">
        <f t="shared" ca="1" si="515"/>
        <v>0</v>
      </c>
      <c r="AS319" s="698">
        <f t="shared" ca="1" si="515"/>
        <v>0</v>
      </c>
      <c r="AT319" s="698">
        <f t="shared" ca="1" si="515"/>
        <v>0</v>
      </c>
      <c r="AU319" s="698">
        <f t="shared" ca="1" si="515"/>
        <v>0</v>
      </c>
      <c r="AV319" s="698">
        <f t="shared" ca="1" si="515"/>
        <v>0</v>
      </c>
      <c r="AW319" s="698">
        <f t="shared" ca="1" si="515"/>
        <v>0</v>
      </c>
      <c r="AX319" s="698">
        <f t="shared" ca="1" si="515"/>
        <v>0</v>
      </c>
      <c r="AY319" s="698">
        <f t="shared" ca="1" si="515"/>
        <v>0</v>
      </c>
      <c r="AZ319" s="698">
        <f t="shared" ca="1" si="515"/>
        <v>0</v>
      </c>
      <c r="BA319" s="698">
        <f t="shared" ca="1" si="515"/>
        <v>0</v>
      </c>
      <c r="BB319" s="698">
        <f t="shared" ca="1" si="515"/>
        <v>0</v>
      </c>
      <c r="BC319" s="698">
        <f t="shared" ca="1" si="515"/>
        <v>0</v>
      </c>
      <c r="BD319" s="698">
        <f t="shared" ca="1" si="515"/>
        <v>0</v>
      </c>
      <c r="BE319" s="698">
        <f t="shared" ca="1" si="515"/>
        <v>0</v>
      </c>
      <c r="BF319" s="698">
        <f t="shared" ca="1" si="515"/>
        <v>0</v>
      </c>
      <c r="BG319" s="698">
        <f t="shared" ca="1" si="515"/>
        <v>0</v>
      </c>
      <c r="BH319" s="698">
        <f t="shared" ca="1" si="515"/>
        <v>0</v>
      </c>
      <c r="BI319" s="698">
        <f t="shared" ca="1" si="515"/>
        <v>0</v>
      </c>
      <c r="BJ319" s="698">
        <f t="shared" ca="1" si="515"/>
        <v>0</v>
      </c>
      <c r="BK319" s="698">
        <f t="shared" ca="1" si="515"/>
        <v>0</v>
      </c>
      <c r="BL319" s="698">
        <f t="shared" ca="1" si="515"/>
        <v>0</v>
      </c>
      <c r="BM319" s="698">
        <f t="shared" ca="1" si="515"/>
        <v>0</v>
      </c>
      <c r="BN319" s="698">
        <f t="shared" ca="1" si="515"/>
        <v>0</v>
      </c>
      <c r="BO319" s="698">
        <f t="shared" ca="1" si="515"/>
        <v>0</v>
      </c>
      <c r="BP319" s="698">
        <f t="shared" ca="1" si="515"/>
        <v>0</v>
      </c>
      <c r="BQ319" s="698">
        <f t="shared" ref="BQ319:EB319" ca="1" si="516">SUM(BQ158:BQ159)</f>
        <v>0</v>
      </c>
      <c r="BR319" s="698">
        <f t="shared" ca="1" si="516"/>
        <v>0</v>
      </c>
      <c r="BS319" s="698">
        <f t="shared" ca="1" si="516"/>
        <v>0</v>
      </c>
      <c r="BT319" s="698">
        <f t="shared" ca="1" si="516"/>
        <v>0</v>
      </c>
      <c r="BU319" s="698">
        <f t="shared" ca="1" si="516"/>
        <v>0</v>
      </c>
      <c r="BV319" s="698">
        <f t="shared" ca="1" si="516"/>
        <v>0</v>
      </c>
      <c r="BW319" s="698">
        <f t="shared" ca="1" si="516"/>
        <v>0</v>
      </c>
      <c r="BX319" s="698">
        <f t="shared" ca="1" si="516"/>
        <v>0</v>
      </c>
      <c r="BY319" s="698">
        <f t="shared" ca="1" si="516"/>
        <v>0</v>
      </c>
      <c r="BZ319" s="698">
        <f t="shared" ca="1" si="516"/>
        <v>0</v>
      </c>
      <c r="CA319" s="698">
        <f t="shared" ca="1" si="516"/>
        <v>0</v>
      </c>
      <c r="CB319" s="698">
        <f t="shared" ca="1" si="516"/>
        <v>0</v>
      </c>
      <c r="CC319" s="698">
        <f t="shared" ca="1" si="516"/>
        <v>0</v>
      </c>
      <c r="CD319" s="698">
        <f t="shared" ca="1" si="516"/>
        <v>0</v>
      </c>
      <c r="CE319" s="698">
        <f t="shared" ca="1" si="516"/>
        <v>0</v>
      </c>
      <c r="CF319" s="698">
        <f t="shared" ca="1" si="516"/>
        <v>0</v>
      </c>
      <c r="CG319" s="698">
        <f t="shared" ca="1" si="516"/>
        <v>0</v>
      </c>
      <c r="CH319" s="698">
        <f t="shared" ca="1" si="516"/>
        <v>0</v>
      </c>
      <c r="CI319" s="698">
        <f t="shared" ca="1" si="516"/>
        <v>0</v>
      </c>
      <c r="CJ319" s="698">
        <f t="shared" ca="1" si="516"/>
        <v>0</v>
      </c>
      <c r="CK319" s="698">
        <f t="shared" ca="1" si="516"/>
        <v>0</v>
      </c>
      <c r="CL319" s="698">
        <f t="shared" ca="1" si="516"/>
        <v>0</v>
      </c>
      <c r="CM319" s="698">
        <f t="shared" ca="1" si="516"/>
        <v>0</v>
      </c>
      <c r="CN319" s="698">
        <f t="shared" ca="1" si="516"/>
        <v>0</v>
      </c>
      <c r="CO319" s="698">
        <f t="shared" ca="1" si="516"/>
        <v>0</v>
      </c>
      <c r="CP319" s="698">
        <f t="shared" ca="1" si="516"/>
        <v>0</v>
      </c>
      <c r="CQ319" s="698">
        <f t="shared" ca="1" si="516"/>
        <v>0</v>
      </c>
      <c r="CR319" s="698">
        <f t="shared" ca="1" si="516"/>
        <v>0</v>
      </c>
      <c r="CS319" s="698">
        <f t="shared" ca="1" si="516"/>
        <v>0</v>
      </c>
      <c r="CT319" s="698">
        <f t="shared" ca="1" si="516"/>
        <v>0</v>
      </c>
      <c r="CU319" s="698">
        <f t="shared" ca="1" si="516"/>
        <v>0</v>
      </c>
      <c r="CV319" s="698">
        <f t="shared" ca="1" si="516"/>
        <v>0</v>
      </c>
      <c r="CW319" s="698">
        <f t="shared" ca="1" si="516"/>
        <v>0</v>
      </c>
      <c r="CX319" s="698">
        <f t="shared" ca="1" si="516"/>
        <v>0</v>
      </c>
      <c r="CY319" s="698">
        <f t="shared" ca="1" si="516"/>
        <v>0</v>
      </c>
      <c r="CZ319" s="698">
        <f t="shared" ca="1" si="516"/>
        <v>0</v>
      </c>
      <c r="DA319" s="698">
        <f t="shared" ca="1" si="516"/>
        <v>0</v>
      </c>
      <c r="DB319" s="698">
        <f t="shared" ca="1" si="516"/>
        <v>0</v>
      </c>
      <c r="DC319" s="698">
        <f t="shared" ca="1" si="516"/>
        <v>0</v>
      </c>
      <c r="DD319" s="698">
        <f t="shared" ca="1" si="516"/>
        <v>0</v>
      </c>
      <c r="DE319" s="698">
        <f t="shared" ca="1" si="516"/>
        <v>0</v>
      </c>
      <c r="DF319" s="698">
        <f t="shared" ca="1" si="516"/>
        <v>0</v>
      </c>
      <c r="DG319" s="698">
        <f t="shared" ca="1" si="516"/>
        <v>0</v>
      </c>
      <c r="DH319" s="698">
        <f t="shared" ca="1" si="516"/>
        <v>0</v>
      </c>
      <c r="DI319" s="698">
        <f t="shared" ca="1" si="516"/>
        <v>0</v>
      </c>
      <c r="DJ319" s="698">
        <f t="shared" ca="1" si="516"/>
        <v>0</v>
      </c>
      <c r="DK319" s="698">
        <f t="shared" ca="1" si="516"/>
        <v>0</v>
      </c>
      <c r="DL319" s="698">
        <f t="shared" ca="1" si="516"/>
        <v>0</v>
      </c>
      <c r="DM319" s="698">
        <f t="shared" ca="1" si="516"/>
        <v>0</v>
      </c>
      <c r="DN319" s="698">
        <f t="shared" ca="1" si="516"/>
        <v>0</v>
      </c>
      <c r="DO319" s="698">
        <f t="shared" ca="1" si="516"/>
        <v>0</v>
      </c>
      <c r="DP319" s="698">
        <f t="shared" ca="1" si="516"/>
        <v>0</v>
      </c>
      <c r="DQ319" s="698">
        <f t="shared" ca="1" si="516"/>
        <v>0</v>
      </c>
      <c r="DR319" s="698">
        <f t="shared" ca="1" si="516"/>
        <v>0</v>
      </c>
      <c r="DS319" s="698">
        <f t="shared" ca="1" si="516"/>
        <v>0</v>
      </c>
      <c r="DT319" s="698">
        <f t="shared" ca="1" si="516"/>
        <v>0</v>
      </c>
      <c r="DU319" s="698">
        <f t="shared" ca="1" si="516"/>
        <v>0</v>
      </c>
      <c r="DV319" s="698">
        <f t="shared" ca="1" si="516"/>
        <v>0</v>
      </c>
      <c r="DW319" s="698">
        <f t="shared" ca="1" si="516"/>
        <v>0</v>
      </c>
      <c r="DX319" s="698">
        <f t="shared" ca="1" si="516"/>
        <v>0</v>
      </c>
      <c r="DY319" s="698">
        <f t="shared" ca="1" si="516"/>
        <v>0</v>
      </c>
      <c r="DZ319" s="698">
        <f t="shared" ca="1" si="516"/>
        <v>0</v>
      </c>
      <c r="EA319" s="698">
        <f t="shared" ca="1" si="516"/>
        <v>0</v>
      </c>
      <c r="EB319" s="698">
        <f t="shared" ca="1" si="516"/>
        <v>0</v>
      </c>
      <c r="EC319" s="698">
        <f t="shared" ref="EC319:EG319" ca="1" si="517">SUM(EC158:EC159)</f>
        <v>0</v>
      </c>
      <c r="ED319" s="698">
        <f t="shared" ca="1" si="517"/>
        <v>0</v>
      </c>
      <c r="EE319" s="698">
        <f t="shared" ca="1" si="517"/>
        <v>0</v>
      </c>
      <c r="EF319" s="698">
        <f t="shared" ca="1" si="517"/>
        <v>0</v>
      </c>
      <c r="EG319" s="698">
        <f t="shared" ca="1" si="517"/>
        <v>0</v>
      </c>
    </row>
    <row r="320" spans="1:139" s="200" customFormat="1" hidden="1" x14ac:dyDescent="0.3">
      <c r="E320" s="698" t="str">
        <f>'General Inputs'!$H$48</f>
        <v>Next Year</v>
      </c>
      <c r="F320" s="698" t="str">
        <f>'General Inputs'!$H$48</f>
        <v>Next Year</v>
      </c>
      <c r="G320" s="698" t="str">
        <f>'General Inputs'!$H$48</f>
        <v>Next Year</v>
      </c>
      <c r="H320" s="698" t="str">
        <f>'General Inputs'!$H$48</f>
        <v>Next Year</v>
      </c>
      <c r="I320" s="698" t="str">
        <f>'General Inputs'!$H$48</f>
        <v>Next Year</v>
      </c>
      <c r="J320" s="698" t="str">
        <f>'General Inputs'!$H$48</f>
        <v>Next Year</v>
      </c>
      <c r="K320" s="698" t="str">
        <f>'General Inputs'!$H$48</f>
        <v>Next Year</v>
      </c>
      <c r="L320" s="698" t="str">
        <f>'General Inputs'!$H$48</f>
        <v>Next Year</v>
      </c>
      <c r="M320" s="698" t="str">
        <f>'General Inputs'!$H$48</f>
        <v>Next Year</v>
      </c>
      <c r="N320" s="698" t="str">
        <f>'General Inputs'!$H$48</f>
        <v>Next Year</v>
      </c>
      <c r="O320" s="698" t="str">
        <f>'General Inputs'!$H$48</f>
        <v>Next Year</v>
      </c>
      <c r="P320" s="698" t="str">
        <f>'General Inputs'!$H$48</f>
        <v>Next Year</v>
      </c>
      <c r="Q320" s="698" t="str">
        <f>'General Inputs'!$H$48</f>
        <v>Next Year</v>
      </c>
      <c r="R320" s="698" t="str">
        <f>'General Inputs'!$H$48</f>
        <v>Next Year</v>
      </c>
      <c r="S320" s="698" t="str">
        <f>'General Inputs'!$H$48</f>
        <v>Next Year</v>
      </c>
      <c r="T320" s="698" t="str">
        <f>'General Inputs'!$H$48</f>
        <v>Next Year</v>
      </c>
      <c r="U320" s="698" t="str">
        <f>'General Inputs'!$H$48</f>
        <v>Next Year</v>
      </c>
      <c r="V320" s="698" t="str">
        <f>'General Inputs'!$H$48</f>
        <v>Next Year</v>
      </c>
      <c r="W320" s="698" t="str">
        <f>'General Inputs'!$H$48</f>
        <v>Next Year</v>
      </c>
      <c r="X320" s="698" t="str">
        <f>'General Inputs'!$H$48</f>
        <v>Next Year</v>
      </c>
      <c r="Y320" s="698" t="str">
        <f>'General Inputs'!$H$48</f>
        <v>Next Year</v>
      </c>
      <c r="Z320" s="698" t="str">
        <f>'General Inputs'!$H$48</f>
        <v>Next Year</v>
      </c>
      <c r="AA320" s="698" t="str">
        <f>'General Inputs'!$H$48</f>
        <v>Next Year</v>
      </c>
      <c r="AB320" s="698" t="str">
        <f>'General Inputs'!$H$48</f>
        <v>Next Year</v>
      </c>
      <c r="AC320" s="698" t="str">
        <f>'General Inputs'!$H$48</f>
        <v>Next Year</v>
      </c>
      <c r="AD320" s="698" t="str">
        <f>'General Inputs'!$H$48</f>
        <v>Next Year</v>
      </c>
      <c r="AE320" s="698" t="str">
        <f>'General Inputs'!$H$48</f>
        <v>Next Year</v>
      </c>
      <c r="AF320" s="698" t="str">
        <f>'General Inputs'!$H$48</f>
        <v>Next Year</v>
      </c>
      <c r="AG320" s="698" t="str">
        <f>'General Inputs'!$H$48</f>
        <v>Next Year</v>
      </c>
      <c r="AH320" s="698" t="str">
        <f>'General Inputs'!$H$48</f>
        <v>Next Year</v>
      </c>
      <c r="AI320" s="698" t="str">
        <f>'General Inputs'!$H$48</f>
        <v>Next Year</v>
      </c>
      <c r="AJ320" s="698" t="str">
        <f>'General Inputs'!$H$48</f>
        <v>Next Year</v>
      </c>
      <c r="AK320" s="698" t="str">
        <f>'General Inputs'!$H$48</f>
        <v>Next Year</v>
      </c>
      <c r="AL320" s="698" t="str">
        <f>'General Inputs'!$H$48</f>
        <v>Next Year</v>
      </c>
      <c r="AM320" s="698" t="str">
        <f>'General Inputs'!$H$48</f>
        <v>Next Year</v>
      </c>
      <c r="AN320" s="698" t="str">
        <f>'General Inputs'!$H$48</f>
        <v>Next Year</v>
      </c>
      <c r="AO320" s="698" t="str">
        <f>'General Inputs'!$H$48</f>
        <v>Next Year</v>
      </c>
      <c r="AP320" s="698" t="str">
        <f>'General Inputs'!$H$48</f>
        <v>Next Year</v>
      </c>
      <c r="AQ320" s="698" t="str">
        <f>'General Inputs'!$H$48</f>
        <v>Next Year</v>
      </c>
      <c r="AR320" s="698" t="str">
        <f>'General Inputs'!$H$48</f>
        <v>Next Year</v>
      </c>
      <c r="AS320" s="698" t="str">
        <f>'General Inputs'!$H$48</f>
        <v>Next Year</v>
      </c>
      <c r="AT320" s="698" t="str">
        <f>'General Inputs'!$H$48</f>
        <v>Next Year</v>
      </c>
      <c r="AU320" s="698" t="str">
        <f>'General Inputs'!$H$48</f>
        <v>Next Year</v>
      </c>
      <c r="AV320" s="698" t="str">
        <f>'General Inputs'!$H$48</f>
        <v>Next Year</v>
      </c>
      <c r="AW320" s="698" t="str">
        <f>'General Inputs'!$H$48</f>
        <v>Next Year</v>
      </c>
      <c r="AX320" s="698" t="str">
        <f>'General Inputs'!$H$48</f>
        <v>Next Year</v>
      </c>
      <c r="AY320" s="698" t="str">
        <f>'General Inputs'!$H$48</f>
        <v>Next Year</v>
      </c>
      <c r="AZ320" s="698" t="str">
        <f>'General Inputs'!$H$48</f>
        <v>Next Year</v>
      </c>
      <c r="BA320" s="698" t="str">
        <f>'General Inputs'!$H$48</f>
        <v>Next Year</v>
      </c>
      <c r="BB320" s="698" t="str">
        <f>'General Inputs'!$H$48</f>
        <v>Next Year</v>
      </c>
      <c r="BC320" s="698" t="str">
        <f>'General Inputs'!$H$48</f>
        <v>Next Year</v>
      </c>
      <c r="BD320" s="698" t="str">
        <f>'General Inputs'!$H$48</f>
        <v>Next Year</v>
      </c>
      <c r="BE320" s="698" t="str">
        <f>'General Inputs'!$H$48</f>
        <v>Next Year</v>
      </c>
      <c r="BF320" s="698" t="str">
        <f>'General Inputs'!$H$48</f>
        <v>Next Year</v>
      </c>
      <c r="BG320" s="698" t="str">
        <f>'General Inputs'!$H$48</f>
        <v>Next Year</v>
      </c>
      <c r="BH320" s="698" t="str">
        <f>'General Inputs'!$H$48</f>
        <v>Next Year</v>
      </c>
      <c r="BI320" s="698" t="str">
        <f>'General Inputs'!$H$48</f>
        <v>Next Year</v>
      </c>
      <c r="BJ320" s="698" t="str">
        <f>'General Inputs'!$H$48</f>
        <v>Next Year</v>
      </c>
      <c r="BK320" s="698" t="str">
        <f>'General Inputs'!$H$48</f>
        <v>Next Year</v>
      </c>
      <c r="BL320" s="698" t="str">
        <f>'General Inputs'!$H$48</f>
        <v>Next Year</v>
      </c>
      <c r="BM320" s="698" t="str">
        <f>'General Inputs'!$H$48</f>
        <v>Next Year</v>
      </c>
      <c r="BN320" s="698" t="str">
        <f>'General Inputs'!$H$48</f>
        <v>Next Year</v>
      </c>
      <c r="BO320" s="698" t="str">
        <f>'General Inputs'!$H$48</f>
        <v>Next Year</v>
      </c>
      <c r="BP320" s="698" t="str">
        <f>'General Inputs'!$H$48</f>
        <v>Next Year</v>
      </c>
      <c r="BQ320" s="698" t="str">
        <f>'General Inputs'!$H$48</f>
        <v>Next Year</v>
      </c>
      <c r="BR320" s="698" t="str">
        <f>'General Inputs'!$H$48</f>
        <v>Next Year</v>
      </c>
      <c r="BS320" s="698" t="str">
        <f>'General Inputs'!$H$48</f>
        <v>Next Year</v>
      </c>
      <c r="BT320" s="698" t="str">
        <f>'General Inputs'!$H$48</f>
        <v>Next Year</v>
      </c>
      <c r="BU320" s="698" t="str">
        <f>'General Inputs'!$H$48</f>
        <v>Next Year</v>
      </c>
      <c r="BV320" s="698" t="str">
        <f>'General Inputs'!$H$48</f>
        <v>Next Year</v>
      </c>
      <c r="BW320" s="698" t="str">
        <f>'General Inputs'!$H$48</f>
        <v>Next Year</v>
      </c>
      <c r="BX320" s="698" t="str">
        <f>'General Inputs'!$H$48</f>
        <v>Next Year</v>
      </c>
      <c r="BY320" s="698" t="str">
        <f>'General Inputs'!$H$48</f>
        <v>Next Year</v>
      </c>
      <c r="BZ320" s="698" t="str">
        <f>'General Inputs'!$H$48</f>
        <v>Next Year</v>
      </c>
      <c r="CA320" s="698" t="str">
        <f>'General Inputs'!$H$48</f>
        <v>Next Year</v>
      </c>
      <c r="CB320" s="698" t="str">
        <f>'General Inputs'!$H$48</f>
        <v>Next Year</v>
      </c>
      <c r="CC320" s="698" t="str">
        <f>'General Inputs'!$H$48</f>
        <v>Next Year</v>
      </c>
      <c r="CD320" s="698" t="str">
        <f>'General Inputs'!$H$48</f>
        <v>Next Year</v>
      </c>
      <c r="CE320" s="698" t="str">
        <f>'General Inputs'!$H$48</f>
        <v>Next Year</v>
      </c>
      <c r="CF320" s="698" t="str">
        <f>'General Inputs'!$H$48</f>
        <v>Next Year</v>
      </c>
      <c r="CG320" s="698" t="str">
        <f>'General Inputs'!$H$48</f>
        <v>Next Year</v>
      </c>
      <c r="CH320" s="698" t="str">
        <f>'General Inputs'!$H$48</f>
        <v>Next Year</v>
      </c>
      <c r="CI320" s="698" t="str">
        <f>'General Inputs'!$H$48</f>
        <v>Next Year</v>
      </c>
      <c r="CJ320" s="698" t="str">
        <f>'General Inputs'!$H$48</f>
        <v>Next Year</v>
      </c>
      <c r="CK320" s="698" t="str">
        <f>'General Inputs'!$H$48</f>
        <v>Next Year</v>
      </c>
      <c r="CL320" s="698" t="str">
        <f>'General Inputs'!$H$48</f>
        <v>Next Year</v>
      </c>
      <c r="CM320" s="698" t="str">
        <f>'General Inputs'!$H$48</f>
        <v>Next Year</v>
      </c>
      <c r="CN320" s="698" t="str">
        <f>'General Inputs'!$H$48</f>
        <v>Next Year</v>
      </c>
      <c r="CO320" s="698" t="str">
        <f>'General Inputs'!$H$48</f>
        <v>Next Year</v>
      </c>
      <c r="CP320" s="698" t="str">
        <f>'General Inputs'!$H$48</f>
        <v>Next Year</v>
      </c>
      <c r="CQ320" s="698" t="str">
        <f>'General Inputs'!$H$48</f>
        <v>Next Year</v>
      </c>
      <c r="CR320" s="698" t="str">
        <f>'General Inputs'!$H$48</f>
        <v>Next Year</v>
      </c>
      <c r="CS320" s="698" t="str">
        <f>'General Inputs'!$H$48</f>
        <v>Next Year</v>
      </c>
      <c r="CT320" s="698" t="str">
        <f>'General Inputs'!$H$48</f>
        <v>Next Year</v>
      </c>
      <c r="CU320" s="698" t="str">
        <f>'General Inputs'!$H$48</f>
        <v>Next Year</v>
      </c>
      <c r="CV320" s="698" t="str">
        <f>'General Inputs'!$H$48</f>
        <v>Next Year</v>
      </c>
      <c r="CW320" s="698" t="str">
        <f>'General Inputs'!$H$48</f>
        <v>Next Year</v>
      </c>
      <c r="CX320" s="698" t="str">
        <f>'General Inputs'!$H$48</f>
        <v>Next Year</v>
      </c>
      <c r="CY320" s="698" t="str">
        <f>'General Inputs'!$H$48</f>
        <v>Next Year</v>
      </c>
      <c r="CZ320" s="698" t="str">
        <f>'General Inputs'!$H$48</f>
        <v>Next Year</v>
      </c>
      <c r="DA320" s="698" t="str">
        <f>'General Inputs'!$H$48</f>
        <v>Next Year</v>
      </c>
      <c r="DB320" s="698" t="str">
        <f>'General Inputs'!$H$48</f>
        <v>Next Year</v>
      </c>
      <c r="DC320" s="698" t="str">
        <f>'General Inputs'!$H$48</f>
        <v>Next Year</v>
      </c>
      <c r="DD320" s="698" t="str">
        <f>'General Inputs'!$H$48</f>
        <v>Next Year</v>
      </c>
      <c r="DE320" s="698" t="str">
        <f>'General Inputs'!$H$48</f>
        <v>Next Year</v>
      </c>
      <c r="DF320" s="698" t="str">
        <f>'General Inputs'!$H$48</f>
        <v>Next Year</v>
      </c>
      <c r="DG320" s="698" t="str">
        <f>'General Inputs'!$H$48</f>
        <v>Next Year</v>
      </c>
      <c r="DH320" s="698" t="str">
        <f>'General Inputs'!$H$48</f>
        <v>Next Year</v>
      </c>
      <c r="DI320" s="698" t="str">
        <f>'General Inputs'!$H$48</f>
        <v>Next Year</v>
      </c>
      <c r="DJ320" s="698" t="str">
        <f>'General Inputs'!$H$48</f>
        <v>Next Year</v>
      </c>
      <c r="DK320" s="698" t="str">
        <f>'General Inputs'!$H$48</f>
        <v>Next Year</v>
      </c>
      <c r="DL320" s="698" t="str">
        <f>'General Inputs'!$H$48</f>
        <v>Next Year</v>
      </c>
      <c r="DM320" s="698" t="str">
        <f>'General Inputs'!$H$48</f>
        <v>Next Year</v>
      </c>
      <c r="DN320" s="698" t="str">
        <f>'General Inputs'!$H$48</f>
        <v>Next Year</v>
      </c>
      <c r="DO320" s="698" t="str">
        <f>'General Inputs'!$H$48</f>
        <v>Next Year</v>
      </c>
      <c r="DP320" s="698" t="str">
        <f>'General Inputs'!$H$48</f>
        <v>Next Year</v>
      </c>
      <c r="DQ320" s="698" t="str">
        <f>'General Inputs'!$H$48</f>
        <v>Next Year</v>
      </c>
      <c r="DR320" s="698" t="str">
        <f>'General Inputs'!$H$48</f>
        <v>Next Year</v>
      </c>
      <c r="DS320" s="698" t="str">
        <f>'General Inputs'!$H$48</f>
        <v>Next Year</v>
      </c>
      <c r="DT320" s="698" t="str">
        <f>'General Inputs'!$H$48</f>
        <v>Next Year</v>
      </c>
      <c r="DU320" s="698" t="str">
        <f>'General Inputs'!$H$48</f>
        <v>Next Year</v>
      </c>
      <c r="DV320" s="698" t="str">
        <f>'General Inputs'!$H$48</f>
        <v>Next Year</v>
      </c>
      <c r="DW320" s="698" t="str">
        <f>'General Inputs'!$H$48</f>
        <v>Next Year</v>
      </c>
      <c r="DX320" s="698" t="str">
        <f>'General Inputs'!$H$48</f>
        <v>Next Year</v>
      </c>
      <c r="DY320" s="698" t="str">
        <f>'General Inputs'!$H$48</f>
        <v>Next Year</v>
      </c>
      <c r="DZ320" s="698" t="str">
        <f>'General Inputs'!$H$48</f>
        <v>Next Year</v>
      </c>
      <c r="EA320" s="698" t="str">
        <f>'General Inputs'!$H$48</f>
        <v>Next Year</v>
      </c>
      <c r="EB320" s="698" t="str">
        <f>'General Inputs'!$H$48</f>
        <v>Next Year</v>
      </c>
      <c r="EC320" s="698" t="str">
        <f>'General Inputs'!$H$48</f>
        <v>Next Year</v>
      </c>
      <c r="ED320" s="698" t="str">
        <f>'General Inputs'!$H$48</f>
        <v>Next Year</v>
      </c>
      <c r="EE320" s="698" t="str">
        <f>'General Inputs'!$H$48</f>
        <v>Next Year</v>
      </c>
      <c r="EF320" s="698" t="str">
        <f>'General Inputs'!$H$48</f>
        <v>Next Year</v>
      </c>
      <c r="EG320" s="698" t="str">
        <f>'General Inputs'!$H$48</f>
        <v>Next Year</v>
      </c>
    </row>
    <row r="321" spans="1:139" x14ac:dyDescent="0.3">
      <c r="C321" s="227"/>
      <c r="D321" s="686"/>
      <c r="E321" s="227"/>
      <c r="F321" s="227"/>
      <c r="G321" s="227"/>
      <c r="H321" s="227"/>
      <c r="I321" s="227"/>
      <c r="J321" s="227"/>
      <c r="K321" s="227"/>
      <c r="L321" s="227"/>
      <c r="M321" s="227"/>
      <c r="N321" s="227"/>
      <c r="O321" s="227"/>
      <c r="P321" s="227"/>
      <c r="Q321" s="227"/>
      <c r="R321" s="227"/>
      <c r="S321" s="227"/>
      <c r="T321" s="227"/>
      <c r="U321" s="227"/>
      <c r="V321" s="227"/>
      <c r="W321" s="227"/>
      <c r="X321" s="227"/>
      <c r="Y321" s="227"/>
      <c r="Z321" s="227"/>
      <c r="AA321" s="227"/>
      <c r="AB321" s="227"/>
      <c r="AC321" s="227"/>
      <c r="AD321" s="227"/>
      <c r="AE321" s="227"/>
      <c r="EI321" s="722"/>
    </row>
    <row r="322" spans="1:139" x14ac:dyDescent="0.3">
      <c r="C322" s="228"/>
      <c r="D322" s="685"/>
      <c r="W322" s="227"/>
      <c r="EI322" s="280"/>
    </row>
    <row r="323" spans="1:139" x14ac:dyDescent="0.3">
      <c r="E323" s="746"/>
      <c r="F323" s="746"/>
      <c r="G323" s="746"/>
      <c r="H323" s="746"/>
      <c r="I323" s="746"/>
      <c r="J323" s="746"/>
      <c r="K323" s="746"/>
      <c r="L323" s="746"/>
      <c r="M323" s="746"/>
      <c r="N323" s="746"/>
      <c r="O323" s="746"/>
      <c r="P323" s="746"/>
      <c r="Q323" s="746"/>
      <c r="R323" s="746"/>
      <c r="S323" s="746"/>
      <c r="T323" s="746"/>
      <c r="U323" s="746"/>
      <c r="V323" s="746"/>
      <c r="W323" s="2563"/>
      <c r="X323" s="746"/>
      <c r="Y323" s="746"/>
      <c r="Z323" s="746"/>
      <c r="AA323" s="746"/>
      <c r="AB323" s="746"/>
      <c r="AC323" s="746"/>
      <c r="AD323" s="746"/>
      <c r="AE323" s="746"/>
      <c r="AF323" s="746"/>
      <c r="AG323" s="746"/>
      <c r="AH323" s="746"/>
      <c r="AI323" s="746"/>
      <c r="AJ323" s="746"/>
      <c r="AK323" s="746"/>
      <c r="AL323" s="746"/>
      <c r="AM323" s="746"/>
      <c r="AN323" s="746"/>
      <c r="AO323" s="746"/>
      <c r="AP323" s="746"/>
      <c r="AQ323" s="746"/>
      <c r="AR323" s="746"/>
      <c r="AS323" s="746"/>
      <c r="AT323" s="746"/>
      <c r="AU323" s="746"/>
      <c r="AV323" s="746"/>
      <c r="AW323" s="746"/>
      <c r="AX323" s="746"/>
      <c r="AY323" s="746"/>
      <c r="AZ323" s="746"/>
      <c r="BA323" s="746"/>
      <c r="BB323" s="746"/>
      <c r="BC323" s="746"/>
      <c r="BD323" s="746"/>
      <c r="BE323" s="746"/>
      <c r="BF323" s="746"/>
      <c r="BG323" s="746"/>
      <c r="BH323" s="746"/>
      <c r="BI323" s="746"/>
      <c r="BJ323" s="746"/>
      <c r="BK323" s="746"/>
      <c r="BL323" s="746"/>
      <c r="BM323" s="746"/>
      <c r="BN323" s="746"/>
      <c r="BO323" s="746"/>
      <c r="BP323" s="746"/>
      <c r="BQ323" s="746"/>
      <c r="BR323" s="746"/>
      <c r="BS323" s="746"/>
      <c r="BT323" s="746"/>
      <c r="BU323" s="746"/>
      <c r="BV323" s="746"/>
      <c r="BW323" s="746"/>
      <c r="BX323" s="746"/>
      <c r="BY323" s="746"/>
      <c r="BZ323" s="746"/>
      <c r="CA323" s="746"/>
      <c r="CB323" s="746"/>
      <c r="CC323" s="746"/>
      <c r="CD323" s="746"/>
      <c r="CE323" s="746"/>
      <c r="CF323" s="746"/>
      <c r="CG323" s="746"/>
      <c r="CH323" s="746"/>
      <c r="CI323" s="746"/>
      <c r="CJ323" s="746"/>
      <c r="CK323" s="746"/>
    </row>
    <row r="325" spans="1:139" s="2564" customFormat="1" x14ac:dyDescent="0.3"/>
    <row r="326" spans="1:139" x14ac:dyDescent="0.3">
      <c r="A326" s="273" t="s">
        <v>2532</v>
      </c>
    </row>
    <row r="327" spans="1:139" x14ac:dyDescent="0.3">
      <c r="A327" s="273" t="s">
        <v>2533</v>
      </c>
      <c r="C327" s="2565">
        <v>0.5</v>
      </c>
      <c r="AV327" s="227"/>
    </row>
    <row r="328" spans="1:139" x14ac:dyDescent="0.3">
      <c r="A328" s="273" t="s">
        <v>2534</v>
      </c>
      <c r="C328" s="2565">
        <v>0.5</v>
      </c>
      <c r="AU328" s="228"/>
      <c r="AV328" s="228"/>
    </row>
    <row r="330" spans="1:139" x14ac:dyDescent="0.3">
      <c r="A330" s="182" t="s">
        <v>2501</v>
      </c>
      <c r="B330" s="182"/>
      <c r="C330" s="400">
        <f ca="1">(1+IRR(E330:DU330,0.01))^12-1</f>
        <v>0.88796279652512533</v>
      </c>
      <c r="D330" s="647"/>
      <c r="E330" s="408">
        <f ca="1">E302</f>
        <v>-187200.69504114857</v>
      </c>
      <c r="F330" s="408">
        <f t="shared" ref="F330:BQ330" ca="1" si="518">F302</f>
        <v>-1519969.0317023587</v>
      </c>
      <c r="G330" s="408">
        <f t="shared" ca="1" si="518"/>
        <v>-47750.954329989538</v>
      </c>
      <c r="H330" s="408">
        <f t="shared" ca="1" si="518"/>
        <v>-72501.804750386145</v>
      </c>
      <c r="I330" s="408">
        <f t="shared" ca="1" si="518"/>
        <v>-123135.14260033611</v>
      </c>
      <c r="J330" s="408">
        <f t="shared" ca="1" si="518"/>
        <v>-200944.5086243379</v>
      </c>
      <c r="K330" s="408">
        <f t="shared" ca="1" si="518"/>
        <v>-206827.72828140811</v>
      </c>
      <c r="L330" s="408">
        <f t="shared" ca="1" si="518"/>
        <v>-263555.60946173384</v>
      </c>
      <c r="M330" s="408">
        <f t="shared" ca="1" si="518"/>
        <v>-312631.13752459432</v>
      </c>
      <c r="N330" s="408">
        <f t="shared" ca="1" si="518"/>
        <v>-365964.46239059581</v>
      </c>
      <c r="O330" s="408">
        <f t="shared" ca="1" si="518"/>
        <v>-207702.02069114055</v>
      </c>
      <c r="P330" s="408">
        <f t="shared" ca="1" si="518"/>
        <v>0</v>
      </c>
      <c r="Q330" s="408">
        <f t="shared" ca="1" si="518"/>
        <v>0</v>
      </c>
      <c r="R330" s="408">
        <f t="shared" ca="1" si="518"/>
        <v>0</v>
      </c>
      <c r="S330" s="408">
        <f t="shared" ca="1" si="518"/>
        <v>0</v>
      </c>
      <c r="T330" s="408">
        <f t="shared" ca="1" si="518"/>
        <v>0</v>
      </c>
      <c r="U330" s="408">
        <f t="shared" ca="1" si="518"/>
        <v>0</v>
      </c>
      <c r="V330" s="408">
        <f t="shared" ca="1" si="518"/>
        <v>0</v>
      </c>
      <c r="W330" s="408">
        <f t="shared" ca="1" si="518"/>
        <v>0</v>
      </c>
      <c r="X330" s="408">
        <f t="shared" ca="1" si="518"/>
        <v>0</v>
      </c>
      <c r="Y330" s="408">
        <f t="shared" ca="1" si="518"/>
        <v>0</v>
      </c>
      <c r="Z330" s="408">
        <f t="shared" ca="1" si="518"/>
        <v>0</v>
      </c>
      <c r="AA330" s="408">
        <f t="shared" ca="1" si="518"/>
        <v>0</v>
      </c>
      <c r="AB330" s="408">
        <f t="shared" ca="1" si="518"/>
        <v>0</v>
      </c>
      <c r="AC330" s="408">
        <f t="shared" ca="1" si="518"/>
        <v>4411.302949009133</v>
      </c>
      <c r="AD330" s="408">
        <f t="shared" ca="1" si="518"/>
        <v>8433.0422386363189</v>
      </c>
      <c r="AE330" s="408">
        <f t="shared" ca="1" si="518"/>
        <v>13012.426310856763</v>
      </c>
      <c r="AF330" s="408">
        <f t="shared" ca="1" si="518"/>
        <v>21956.223728908131</v>
      </c>
      <c r="AG330" s="408">
        <f t="shared" ca="1" si="518"/>
        <v>12608276.591143321</v>
      </c>
      <c r="AH330" s="408">
        <f t="shared" si="518"/>
        <v>0</v>
      </c>
      <c r="AI330" s="408">
        <f t="shared" si="518"/>
        <v>0</v>
      </c>
      <c r="AJ330" s="408">
        <f t="shared" si="518"/>
        <v>0</v>
      </c>
      <c r="AK330" s="408">
        <f t="shared" si="518"/>
        <v>0</v>
      </c>
      <c r="AL330" s="408">
        <f t="shared" si="518"/>
        <v>0</v>
      </c>
      <c r="AM330" s="408">
        <f t="shared" si="518"/>
        <v>0</v>
      </c>
      <c r="AN330" s="408">
        <f t="shared" si="518"/>
        <v>0</v>
      </c>
      <c r="AO330" s="408">
        <f t="shared" si="518"/>
        <v>0</v>
      </c>
      <c r="AP330" s="408">
        <f t="shared" si="518"/>
        <v>0</v>
      </c>
      <c r="AQ330" s="408">
        <f t="shared" si="518"/>
        <v>0</v>
      </c>
      <c r="AR330" s="408">
        <f t="shared" si="518"/>
        <v>0</v>
      </c>
      <c r="AS330" s="408">
        <f t="shared" si="518"/>
        <v>0</v>
      </c>
      <c r="AT330" s="408">
        <f t="shared" si="518"/>
        <v>0</v>
      </c>
      <c r="AU330" s="408">
        <f t="shared" si="518"/>
        <v>0</v>
      </c>
      <c r="AV330" s="408">
        <f t="shared" si="518"/>
        <v>0</v>
      </c>
      <c r="AW330" s="408">
        <f t="shared" si="518"/>
        <v>0</v>
      </c>
      <c r="AX330" s="408">
        <f t="shared" si="518"/>
        <v>0</v>
      </c>
      <c r="AY330" s="408">
        <f t="shared" si="518"/>
        <v>0</v>
      </c>
      <c r="AZ330" s="408">
        <f t="shared" si="518"/>
        <v>0</v>
      </c>
      <c r="BA330" s="408">
        <f t="shared" si="518"/>
        <v>0</v>
      </c>
      <c r="BB330" s="408">
        <f t="shared" si="518"/>
        <v>0</v>
      </c>
      <c r="BC330" s="408">
        <f t="shared" si="518"/>
        <v>0</v>
      </c>
      <c r="BD330" s="408">
        <f t="shared" si="518"/>
        <v>0</v>
      </c>
      <c r="BE330" s="408">
        <f t="shared" si="518"/>
        <v>0</v>
      </c>
      <c r="BF330" s="408">
        <f t="shared" si="518"/>
        <v>0</v>
      </c>
      <c r="BG330" s="408">
        <f t="shared" si="518"/>
        <v>0</v>
      </c>
      <c r="BH330" s="408">
        <f t="shared" si="518"/>
        <v>0</v>
      </c>
      <c r="BI330" s="408">
        <f t="shared" si="518"/>
        <v>0</v>
      </c>
      <c r="BJ330" s="408">
        <f t="shared" si="518"/>
        <v>0</v>
      </c>
      <c r="BK330" s="408">
        <f t="shared" si="518"/>
        <v>0</v>
      </c>
      <c r="BL330" s="408">
        <f t="shared" si="518"/>
        <v>0</v>
      </c>
      <c r="BM330" s="408">
        <f t="shared" si="518"/>
        <v>0</v>
      </c>
      <c r="BN330" s="408">
        <f t="shared" si="518"/>
        <v>0</v>
      </c>
      <c r="BO330" s="408">
        <f t="shared" si="518"/>
        <v>0</v>
      </c>
      <c r="BP330" s="408">
        <f t="shared" si="518"/>
        <v>0</v>
      </c>
      <c r="BQ330" s="408">
        <f t="shared" si="518"/>
        <v>0</v>
      </c>
      <c r="BR330" s="408">
        <f t="shared" ref="BR330:DU330" si="519">BR302</f>
        <v>0</v>
      </c>
      <c r="BS330" s="408">
        <f t="shared" si="519"/>
        <v>0</v>
      </c>
      <c r="BT330" s="408">
        <f t="shared" si="519"/>
        <v>0</v>
      </c>
      <c r="BU330" s="408">
        <f t="shared" si="519"/>
        <v>0</v>
      </c>
      <c r="BV330" s="408">
        <f t="shared" si="519"/>
        <v>0</v>
      </c>
      <c r="BW330" s="408">
        <f t="shared" si="519"/>
        <v>0</v>
      </c>
      <c r="BX330" s="408">
        <f t="shared" si="519"/>
        <v>0</v>
      </c>
      <c r="BY330" s="408">
        <f t="shared" si="519"/>
        <v>0</v>
      </c>
      <c r="BZ330" s="408">
        <f t="shared" si="519"/>
        <v>0</v>
      </c>
      <c r="CA330" s="408">
        <f t="shared" si="519"/>
        <v>0</v>
      </c>
      <c r="CB330" s="408">
        <f t="shared" si="519"/>
        <v>0</v>
      </c>
      <c r="CC330" s="408">
        <f t="shared" si="519"/>
        <v>0</v>
      </c>
      <c r="CD330" s="408">
        <f t="shared" si="519"/>
        <v>0</v>
      </c>
      <c r="CE330" s="408">
        <f t="shared" si="519"/>
        <v>0</v>
      </c>
      <c r="CF330" s="408">
        <f t="shared" si="519"/>
        <v>0</v>
      </c>
      <c r="CG330" s="408">
        <f t="shared" si="519"/>
        <v>0</v>
      </c>
      <c r="CH330" s="408">
        <f t="shared" si="519"/>
        <v>0</v>
      </c>
      <c r="CI330" s="408">
        <f t="shared" si="519"/>
        <v>0</v>
      </c>
      <c r="CJ330" s="408">
        <f t="shared" si="519"/>
        <v>0</v>
      </c>
      <c r="CK330" s="408">
        <f t="shared" si="519"/>
        <v>0</v>
      </c>
      <c r="CL330" s="408">
        <f t="shared" si="519"/>
        <v>0</v>
      </c>
      <c r="CM330" s="408">
        <f t="shared" si="519"/>
        <v>0</v>
      </c>
      <c r="CN330" s="408">
        <f t="shared" si="519"/>
        <v>0</v>
      </c>
      <c r="CO330" s="408">
        <f t="shared" si="519"/>
        <v>0</v>
      </c>
      <c r="CP330" s="408">
        <f t="shared" si="519"/>
        <v>0</v>
      </c>
      <c r="CQ330" s="408">
        <f t="shared" si="519"/>
        <v>0</v>
      </c>
      <c r="CR330" s="408">
        <f t="shared" si="519"/>
        <v>0</v>
      </c>
      <c r="CS330" s="408">
        <f t="shared" si="519"/>
        <v>0</v>
      </c>
      <c r="CT330" s="408">
        <f t="shared" si="519"/>
        <v>0</v>
      </c>
      <c r="CU330" s="408">
        <f t="shared" si="519"/>
        <v>0</v>
      </c>
      <c r="CV330" s="408">
        <f t="shared" si="519"/>
        <v>0</v>
      </c>
      <c r="CW330" s="408">
        <f t="shared" si="519"/>
        <v>0</v>
      </c>
      <c r="CX330" s="408">
        <f t="shared" si="519"/>
        <v>0</v>
      </c>
      <c r="CY330" s="408">
        <f t="shared" si="519"/>
        <v>0</v>
      </c>
      <c r="CZ330" s="408">
        <f t="shared" si="519"/>
        <v>0</v>
      </c>
      <c r="DA330" s="408">
        <f t="shared" si="519"/>
        <v>0</v>
      </c>
      <c r="DB330" s="408">
        <f t="shared" si="519"/>
        <v>0</v>
      </c>
      <c r="DC330" s="408">
        <f t="shared" si="519"/>
        <v>0</v>
      </c>
      <c r="DD330" s="408">
        <f t="shared" si="519"/>
        <v>0</v>
      </c>
      <c r="DE330" s="408">
        <f t="shared" si="519"/>
        <v>0</v>
      </c>
      <c r="DF330" s="408">
        <f t="shared" si="519"/>
        <v>0</v>
      </c>
      <c r="DG330" s="408">
        <f t="shared" si="519"/>
        <v>0</v>
      </c>
      <c r="DH330" s="408">
        <f t="shared" si="519"/>
        <v>0</v>
      </c>
      <c r="DI330" s="408">
        <f t="shared" si="519"/>
        <v>0</v>
      </c>
      <c r="DJ330" s="408">
        <f t="shared" si="519"/>
        <v>0</v>
      </c>
      <c r="DK330" s="408">
        <f t="shared" si="519"/>
        <v>0</v>
      </c>
      <c r="DL330" s="408">
        <f t="shared" si="519"/>
        <v>0</v>
      </c>
      <c r="DM330" s="408">
        <f t="shared" si="519"/>
        <v>0</v>
      </c>
      <c r="DN330" s="408">
        <f t="shared" si="519"/>
        <v>0</v>
      </c>
      <c r="DO330" s="408">
        <f t="shared" si="519"/>
        <v>0</v>
      </c>
      <c r="DP330" s="408">
        <f t="shared" si="519"/>
        <v>0</v>
      </c>
      <c r="DQ330" s="408">
        <f t="shared" si="519"/>
        <v>0</v>
      </c>
      <c r="DR330" s="408">
        <f t="shared" si="519"/>
        <v>0</v>
      </c>
      <c r="DS330" s="408">
        <f t="shared" si="519"/>
        <v>0</v>
      </c>
      <c r="DT330" s="408">
        <f t="shared" si="519"/>
        <v>0</v>
      </c>
      <c r="DU330" s="408">
        <f t="shared" si="519"/>
        <v>0</v>
      </c>
    </row>
    <row r="331" spans="1:139" x14ac:dyDescent="0.3">
      <c r="A331" s="182"/>
      <c r="B331" s="182"/>
      <c r="C331" s="400"/>
      <c r="D331" s="647"/>
      <c r="E331" s="408"/>
      <c r="F331" s="408"/>
      <c r="G331" s="408"/>
      <c r="H331" s="408"/>
      <c r="I331" s="408"/>
      <c r="J331" s="408"/>
      <c r="K331" s="408"/>
      <c r="L331" s="408"/>
      <c r="M331" s="408"/>
      <c r="N331" s="408"/>
      <c r="O331" s="408"/>
      <c r="P331" s="408"/>
      <c r="Q331" s="408"/>
      <c r="R331" s="408"/>
      <c r="S331" s="408"/>
      <c r="T331" s="408"/>
      <c r="U331" s="408"/>
      <c r="V331" s="408"/>
      <c r="W331" s="408"/>
      <c r="X331" s="408"/>
      <c r="Y331" s="408"/>
      <c r="Z331" s="408"/>
      <c r="AA331" s="408"/>
      <c r="AB331" s="408"/>
      <c r="AC331" s="408"/>
      <c r="AD331" s="408"/>
      <c r="AE331" s="408"/>
      <c r="AF331" s="408"/>
      <c r="AG331" s="408"/>
      <c r="AH331" s="408"/>
      <c r="AI331" s="408"/>
      <c r="AJ331" s="408"/>
      <c r="AK331" s="408"/>
      <c r="AL331" s="408"/>
      <c r="AM331" s="408"/>
      <c r="AN331" s="408"/>
      <c r="AO331" s="408"/>
      <c r="AP331" s="408"/>
      <c r="AQ331" s="408"/>
      <c r="AR331" s="408"/>
      <c r="AS331" s="408"/>
      <c r="AT331" s="408"/>
      <c r="AU331" s="408"/>
      <c r="AV331" s="408"/>
      <c r="AW331" s="408"/>
      <c r="AX331" s="408"/>
      <c r="AY331" s="408"/>
      <c r="AZ331" s="408"/>
      <c r="BA331" s="408"/>
      <c r="BB331" s="408"/>
      <c r="BC331" s="408"/>
      <c r="BD331" s="408"/>
      <c r="BE331" s="408"/>
      <c r="BF331" s="408"/>
      <c r="BG331" s="408"/>
      <c r="BH331" s="408"/>
      <c r="BI331" s="408"/>
      <c r="BJ331" s="408"/>
      <c r="BK331" s="408"/>
      <c r="BL331" s="408"/>
      <c r="BM331" s="408"/>
      <c r="BN331" s="408"/>
      <c r="BO331" s="408"/>
      <c r="BP331" s="408"/>
      <c r="BQ331" s="408"/>
      <c r="BR331" s="408"/>
      <c r="BS331" s="408"/>
      <c r="BT331" s="408"/>
      <c r="BU331" s="408"/>
      <c r="BV331" s="408"/>
      <c r="BW331" s="408"/>
      <c r="BX331" s="408"/>
      <c r="BY331" s="408"/>
      <c r="BZ331" s="408"/>
      <c r="CA331" s="408"/>
      <c r="CB331" s="408"/>
      <c r="CC331" s="408"/>
      <c r="CD331" s="408"/>
      <c r="CE331" s="408"/>
      <c r="CF331" s="408"/>
      <c r="CG331" s="408"/>
      <c r="CH331" s="408"/>
      <c r="CI331" s="408"/>
      <c r="CJ331" s="408"/>
      <c r="CK331" s="408"/>
      <c r="CL331" s="408"/>
      <c r="CM331" s="408"/>
      <c r="CN331" s="408"/>
      <c r="CO331" s="408"/>
      <c r="CP331" s="408"/>
      <c r="CQ331" s="408"/>
      <c r="CR331" s="408"/>
      <c r="CS331" s="408"/>
      <c r="CT331" s="408"/>
      <c r="CU331" s="408"/>
      <c r="CV331" s="408"/>
      <c r="CW331" s="408"/>
      <c r="CX331" s="408"/>
      <c r="CY331" s="408"/>
      <c r="CZ331" s="408"/>
      <c r="DA331" s="408"/>
      <c r="DB331" s="408"/>
      <c r="DC331" s="408"/>
      <c r="DD331" s="408"/>
      <c r="DE331" s="408"/>
      <c r="DF331" s="408"/>
      <c r="DG331" s="408"/>
      <c r="DH331" s="408"/>
      <c r="DI331" s="408"/>
      <c r="DJ331" s="408"/>
      <c r="DK331" s="408"/>
      <c r="DL331" s="408"/>
      <c r="DM331" s="408"/>
      <c r="DN331" s="408"/>
      <c r="DO331" s="408"/>
      <c r="DP331" s="408"/>
      <c r="DQ331" s="408"/>
      <c r="DR331" s="408"/>
      <c r="DS331" s="408"/>
      <c r="DT331" s="408"/>
      <c r="DU331" s="408"/>
    </row>
    <row r="332" spans="1:139" x14ac:dyDescent="0.3">
      <c r="A332" s="246" t="s">
        <v>2535</v>
      </c>
      <c r="B332" s="246"/>
      <c r="C332" s="246"/>
      <c r="D332" s="2566"/>
      <c r="E332" s="2567">
        <f t="shared" ref="E332:AI332" si="520">IF(E$5=MonthDisposition,E330-E217-E209,0)</f>
        <v>0</v>
      </c>
      <c r="F332" s="2567">
        <f t="shared" si="520"/>
        <v>0</v>
      </c>
      <c r="G332" s="2567">
        <f t="shared" si="520"/>
        <v>0</v>
      </c>
      <c r="H332" s="2567">
        <f t="shared" si="520"/>
        <v>0</v>
      </c>
      <c r="I332" s="2567">
        <f t="shared" si="520"/>
        <v>0</v>
      </c>
      <c r="J332" s="2567">
        <f t="shared" si="520"/>
        <v>0</v>
      </c>
      <c r="K332" s="2567">
        <f t="shared" si="520"/>
        <v>0</v>
      </c>
      <c r="L332" s="2567">
        <f t="shared" si="520"/>
        <v>0</v>
      </c>
      <c r="M332" s="2567">
        <f t="shared" si="520"/>
        <v>0</v>
      </c>
      <c r="N332" s="2567">
        <f t="shared" si="520"/>
        <v>0</v>
      </c>
      <c r="O332" s="2567">
        <f t="shared" si="520"/>
        <v>0</v>
      </c>
      <c r="P332" s="2567">
        <f t="shared" si="520"/>
        <v>0</v>
      </c>
      <c r="Q332" s="2567">
        <f t="shared" si="520"/>
        <v>0</v>
      </c>
      <c r="R332" s="2567">
        <f t="shared" si="520"/>
        <v>0</v>
      </c>
      <c r="S332" s="2567">
        <f t="shared" si="520"/>
        <v>0</v>
      </c>
      <c r="T332" s="2567">
        <f t="shared" si="520"/>
        <v>0</v>
      </c>
      <c r="U332" s="2567">
        <f t="shared" si="520"/>
        <v>0</v>
      </c>
      <c r="V332" s="2567">
        <f t="shared" si="520"/>
        <v>0</v>
      </c>
      <c r="W332" s="2567">
        <f t="shared" si="520"/>
        <v>0</v>
      </c>
      <c r="X332" s="2567">
        <f t="shared" si="520"/>
        <v>0</v>
      </c>
      <c r="Y332" s="2567">
        <f t="shared" si="520"/>
        <v>0</v>
      </c>
      <c r="Z332" s="2567">
        <f t="shared" si="520"/>
        <v>0</v>
      </c>
      <c r="AA332" s="2567">
        <f t="shared" si="520"/>
        <v>0</v>
      </c>
      <c r="AB332" s="2567">
        <f t="shared" si="520"/>
        <v>0</v>
      </c>
      <c r="AC332" s="2567">
        <f t="shared" si="520"/>
        <v>0</v>
      </c>
      <c r="AD332" s="2567">
        <f t="shared" si="520"/>
        <v>0</v>
      </c>
      <c r="AE332" s="2567">
        <f t="shared" si="520"/>
        <v>0</v>
      </c>
      <c r="AF332" s="2567">
        <f t="shared" si="520"/>
        <v>0</v>
      </c>
      <c r="AG332" s="2567">
        <f t="shared" ca="1" si="520"/>
        <v>12385068.01220239</v>
      </c>
      <c r="AH332" s="2567">
        <f t="shared" si="520"/>
        <v>0</v>
      </c>
      <c r="AI332" s="2567">
        <f t="shared" si="520"/>
        <v>0</v>
      </c>
      <c r="AJ332" s="2567">
        <f>IF(AJ$5=MonthDisposition,AJ330-AJ217-AJ209,0)</f>
        <v>0</v>
      </c>
      <c r="AK332" s="2567">
        <f t="shared" ref="AK332:BP332" si="521">IF(AK$5=MonthDisposition,AK330-AK217-AK209,0)</f>
        <v>0</v>
      </c>
      <c r="AL332" s="2567">
        <f t="shared" si="521"/>
        <v>0</v>
      </c>
      <c r="AM332" s="2567">
        <f t="shared" si="521"/>
        <v>0</v>
      </c>
      <c r="AN332" s="2567">
        <f t="shared" si="521"/>
        <v>0</v>
      </c>
      <c r="AO332" s="2567">
        <f t="shared" si="521"/>
        <v>0</v>
      </c>
      <c r="AP332" s="2567">
        <f t="shared" si="521"/>
        <v>0</v>
      </c>
      <c r="AQ332" s="2567">
        <f t="shared" si="521"/>
        <v>0</v>
      </c>
      <c r="AR332" s="2567">
        <f t="shared" si="521"/>
        <v>0</v>
      </c>
      <c r="AS332" s="2567">
        <f t="shared" si="521"/>
        <v>0</v>
      </c>
      <c r="AT332" s="2567">
        <f t="shared" si="521"/>
        <v>0</v>
      </c>
      <c r="AU332" s="2567">
        <f t="shared" si="521"/>
        <v>0</v>
      </c>
      <c r="AV332" s="2567">
        <f t="shared" si="521"/>
        <v>0</v>
      </c>
      <c r="AW332" s="2567">
        <f t="shared" si="521"/>
        <v>0</v>
      </c>
      <c r="AX332" s="2567">
        <f t="shared" si="521"/>
        <v>0</v>
      </c>
      <c r="AY332" s="2567">
        <f t="shared" si="521"/>
        <v>0</v>
      </c>
      <c r="AZ332" s="2567">
        <f t="shared" si="521"/>
        <v>0</v>
      </c>
      <c r="BA332" s="2567">
        <f t="shared" si="521"/>
        <v>0</v>
      </c>
      <c r="BB332" s="2567">
        <f t="shared" si="521"/>
        <v>0</v>
      </c>
      <c r="BC332" s="2567">
        <f t="shared" si="521"/>
        <v>0</v>
      </c>
      <c r="BD332" s="2567">
        <f t="shared" si="521"/>
        <v>0</v>
      </c>
      <c r="BE332" s="2567">
        <f t="shared" si="521"/>
        <v>0</v>
      </c>
      <c r="BF332" s="2567">
        <f t="shared" si="521"/>
        <v>0</v>
      </c>
      <c r="BG332" s="2567">
        <f t="shared" si="521"/>
        <v>0</v>
      </c>
      <c r="BH332" s="2567">
        <f t="shared" si="521"/>
        <v>0</v>
      </c>
      <c r="BI332" s="2567">
        <f t="shared" si="521"/>
        <v>0</v>
      </c>
      <c r="BJ332" s="2567">
        <f t="shared" si="521"/>
        <v>0</v>
      </c>
      <c r="BK332" s="2567">
        <f t="shared" si="521"/>
        <v>0</v>
      </c>
      <c r="BL332" s="2567">
        <f t="shared" si="521"/>
        <v>0</v>
      </c>
      <c r="BM332" s="2567">
        <f t="shared" si="521"/>
        <v>0</v>
      </c>
      <c r="BN332" s="2567">
        <f t="shared" si="521"/>
        <v>0</v>
      </c>
      <c r="BO332" s="2567">
        <f t="shared" si="521"/>
        <v>0</v>
      </c>
      <c r="BP332" s="2567">
        <f t="shared" si="521"/>
        <v>0</v>
      </c>
      <c r="BQ332" s="2567">
        <f t="shared" ref="BQ332:CV332" si="522">IF(BQ$5=MonthDisposition,BQ330-BQ217-BQ209,0)</f>
        <v>0</v>
      </c>
      <c r="BR332" s="2567">
        <f t="shared" si="522"/>
        <v>0</v>
      </c>
      <c r="BS332" s="2567">
        <f t="shared" si="522"/>
        <v>0</v>
      </c>
      <c r="BT332" s="2567">
        <f t="shared" si="522"/>
        <v>0</v>
      </c>
      <c r="BU332" s="2567">
        <f t="shared" si="522"/>
        <v>0</v>
      </c>
      <c r="BV332" s="2567">
        <f t="shared" si="522"/>
        <v>0</v>
      </c>
      <c r="BW332" s="2567">
        <f t="shared" si="522"/>
        <v>0</v>
      </c>
      <c r="BX332" s="2567">
        <f t="shared" si="522"/>
        <v>0</v>
      </c>
      <c r="BY332" s="2567">
        <f t="shared" si="522"/>
        <v>0</v>
      </c>
      <c r="BZ332" s="2567">
        <f t="shared" si="522"/>
        <v>0</v>
      </c>
      <c r="CA332" s="2567">
        <f t="shared" si="522"/>
        <v>0</v>
      </c>
      <c r="CB332" s="2567">
        <f t="shared" si="522"/>
        <v>0</v>
      </c>
      <c r="CC332" s="2567">
        <f t="shared" si="522"/>
        <v>0</v>
      </c>
      <c r="CD332" s="2567">
        <f t="shared" si="522"/>
        <v>0</v>
      </c>
      <c r="CE332" s="2567">
        <f t="shared" si="522"/>
        <v>0</v>
      </c>
      <c r="CF332" s="2567">
        <f t="shared" si="522"/>
        <v>0</v>
      </c>
      <c r="CG332" s="2567">
        <f t="shared" si="522"/>
        <v>0</v>
      </c>
      <c r="CH332" s="2567">
        <f t="shared" si="522"/>
        <v>0</v>
      </c>
      <c r="CI332" s="2567">
        <f t="shared" si="522"/>
        <v>0</v>
      </c>
      <c r="CJ332" s="2567">
        <f t="shared" si="522"/>
        <v>0</v>
      </c>
      <c r="CK332" s="2567">
        <f t="shared" si="522"/>
        <v>0</v>
      </c>
      <c r="CL332" s="2567">
        <f t="shared" si="522"/>
        <v>0</v>
      </c>
      <c r="CM332" s="2567">
        <f t="shared" si="522"/>
        <v>0</v>
      </c>
      <c r="CN332" s="2567">
        <f t="shared" si="522"/>
        <v>0</v>
      </c>
      <c r="CO332" s="2567">
        <f t="shared" si="522"/>
        <v>0</v>
      </c>
      <c r="CP332" s="2567">
        <f t="shared" si="522"/>
        <v>0</v>
      </c>
      <c r="CQ332" s="2567">
        <f t="shared" si="522"/>
        <v>0</v>
      </c>
      <c r="CR332" s="2567">
        <f t="shared" si="522"/>
        <v>0</v>
      </c>
      <c r="CS332" s="2567">
        <f t="shared" si="522"/>
        <v>0</v>
      </c>
      <c r="CT332" s="2567">
        <f t="shared" si="522"/>
        <v>0</v>
      </c>
      <c r="CU332" s="2567">
        <f t="shared" si="522"/>
        <v>0</v>
      </c>
      <c r="CV332" s="2567">
        <f t="shared" si="522"/>
        <v>0</v>
      </c>
      <c r="CW332" s="2567">
        <f t="shared" ref="CW332:DU332" si="523">IF(CW$5=MonthDisposition,CW330-CW217-CW209,0)</f>
        <v>0</v>
      </c>
      <c r="CX332" s="2567">
        <f t="shared" si="523"/>
        <v>0</v>
      </c>
      <c r="CY332" s="2567">
        <f t="shared" si="523"/>
        <v>0</v>
      </c>
      <c r="CZ332" s="2567">
        <f t="shared" si="523"/>
        <v>0</v>
      </c>
      <c r="DA332" s="2567">
        <f t="shared" si="523"/>
        <v>0</v>
      </c>
      <c r="DB332" s="2567">
        <f t="shared" si="523"/>
        <v>0</v>
      </c>
      <c r="DC332" s="2567">
        <f t="shared" si="523"/>
        <v>0</v>
      </c>
      <c r="DD332" s="2567">
        <f t="shared" si="523"/>
        <v>0</v>
      </c>
      <c r="DE332" s="2567">
        <f t="shared" si="523"/>
        <v>0</v>
      </c>
      <c r="DF332" s="2567">
        <f t="shared" si="523"/>
        <v>0</v>
      </c>
      <c r="DG332" s="2567">
        <f t="shared" si="523"/>
        <v>0</v>
      </c>
      <c r="DH332" s="2567">
        <f t="shared" si="523"/>
        <v>0</v>
      </c>
      <c r="DI332" s="2567">
        <f t="shared" si="523"/>
        <v>0</v>
      </c>
      <c r="DJ332" s="2567">
        <f t="shared" si="523"/>
        <v>0</v>
      </c>
      <c r="DK332" s="2567">
        <f t="shared" si="523"/>
        <v>0</v>
      </c>
      <c r="DL332" s="2567">
        <f t="shared" si="523"/>
        <v>0</v>
      </c>
      <c r="DM332" s="2567">
        <f t="shared" si="523"/>
        <v>0</v>
      </c>
      <c r="DN332" s="2567">
        <f t="shared" si="523"/>
        <v>0</v>
      </c>
      <c r="DO332" s="2567">
        <f t="shared" si="523"/>
        <v>0</v>
      </c>
      <c r="DP332" s="2567">
        <f t="shared" si="523"/>
        <v>0</v>
      </c>
      <c r="DQ332" s="2567">
        <f t="shared" si="523"/>
        <v>0</v>
      </c>
      <c r="DR332" s="2567">
        <f t="shared" si="523"/>
        <v>0</v>
      </c>
      <c r="DS332" s="2567">
        <f t="shared" si="523"/>
        <v>0</v>
      </c>
      <c r="DT332" s="2567">
        <f t="shared" si="523"/>
        <v>0</v>
      </c>
      <c r="DU332" s="2567">
        <f t="shared" si="523"/>
        <v>0</v>
      </c>
    </row>
    <row r="333" spans="1:139" x14ac:dyDescent="0.3">
      <c r="D333" s="2568"/>
      <c r="E333" s="229"/>
      <c r="F333" s="229"/>
      <c r="G333" s="229"/>
      <c r="H333" s="229"/>
      <c r="I333" s="229"/>
      <c r="J333" s="229"/>
      <c r="K333" s="229"/>
      <c r="L333" s="229"/>
      <c r="M333" s="229"/>
      <c r="N333" s="229"/>
      <c r="O333" s="229"/>
      <c r="P333" s="229"/>
      <c r="Q333" s="229"/>
      <c r="R333" s="229"/>
      <c r="S333" s="229"/>
      <c r="T333" s="229"/>
      <c r="U333" s="229"/>
      <c r="V333" s="229"/>
      <c r="W333" s="229"/>
      <c r="X333" s="229"/>
      <c r="Y333" s="229"/>
      <c r="Z333" s="229"/>
      <c r="AA333" s="229"/>
      <c r="AB333" s="229"/>
      <c r="AC333" s="229"/>
      <c r="AD333" s="229"/>
      <c r="AE333" s="229"/>
      <c r="AF333" s="229"/>
      <c r="AG333" s="229"/>
      <c r="AH333" s="229"/>
      <c r="AI333" s="229"/>
      <c r="AJ333" s="229"/>
      <c r="AK333" s="229"/>
      <c r="AL333" s="229"/>
      <c r="AM333" s="229"/>
      <c r="AN333" s="229"/>
      <c r="AO333" s="229"/>
      <c r="AP333" s="229"/>
      <c r="AQ333" s="229"/>
      <c r="AR333" s="229"/>
      <c r="AS333" s="229"/>
      <c r="AT333" s="229"/>
      <c r="AU333" s="229"/>
      <c r="AV333" s="229"/>
      <c r="AW333" s="229"/>
      <c r="AX333" s="229"/>
      <c r="AY333" s="229"/>
      <c r="AZ333" s="229"/>
      <c r="BA333" s="229"/>
      <c r="BB333" s="229"/>
      <c r="BC333" s="229"/>
      <c r="BD333" s="229"/>
      <c r="BE333" s="229"/>
      <c r="BF333" s="229"/>
      <c r="BG333" s="229"/>
      <c r="BH333" s="229"/>
      <c r="BI333" s="229"/>
      <c r="BJ333" s="229"/>
      <c r="BK333" s="229"/>
      <c r="BL333" s="229"/>
      <c r="BM333" s="229"/>
      <c r="BN333" s="229"/>
      <c r="BO333" s="229"/>
      <c r="BP333" s="229"/>
      <c r="BQ333" s="229"/>
      <c r="BR333" s="229"/>
      <c r="BS333" s="229"/>
      <c r="BT333" s="229"/>
      <c r="BU333" s="229"/>
      <c r="BV333" s="229"/>
      <c r="BW333" s="229"/>
      <c r="BX333" s="229"/>
      <c r="BY333" s="229"/>
      <c r="BZ333" s="229"/>
      <c r="CA333" s="229"/>
      <c r="CB333" s="229"/>
      <c r="CC333" s="229"/>
      <c r="CD333" s="229"/>
      <c r="CE333" s="229"/>
      <c r="CF333" s="229"/>
      <c r="CG333" s="229"/>
      <c r="CH333" s="229"/>
      <c r="CI333" s="229"/>
      <c r="CJ333" s="229"/>
      <c r="CK333" s="229"/>
      <c r="CL333" s="229"/>
      <c r="CM333" s="229"/>
      <c r="CN333" s="229"/>
      <c r="CO333" s="229"/>
      <c r="CP333" s="229"/>
      <c r="CQ333" s="229"/>
      <c r="CR333" s="229"/>
      <c r="CS333" s="229"/>
      <c r="CT333" s="229"/>
      <c r="CU333" s="229"/>
      <c r="CV333" s="229"/>
      <c r="CW333" s="229"/>
      <c r="CX333" s="229"/>
      <c r="CY333" s="229"/>
      <c r="CZ333" s="229"/>
      <c r="DA333" s="229"/>
      <c r="DB333" s="229"/>
      <c r="DC333" s="229"/>
      <c r="DD333" s="229"/>
      <c r="DE333" s="229"/>
      <c r="DF333" s="229"/>
      <c r="DG333" s="229"/>
      <c r="DH333" s="229"/>
      <c r="DI333" s="229"/>
      <c r="DJ333" s="229"/>
      <c r="DK333" s="229"/>
      <c r="DL333" s="229"/>
      <c r="DM333" s="229"/>
      <c r="DN333" s="229"/>
      <c r="DO333" s="229"/>
      <c r="DP333" s="229"/>
      <c r="DQ333" s="229"/>
      <c r="DR333" s="229"/>
      <c r="DS333" s="229"/>
      <c r="DT333" s="229"/>
      <c r="DU333" s="229"/>
    </row>
    <row r="334" spans="1:139" x14ac:dyDescent="0.3">
      <c r="A334" s="700" t="s">
        <v>2536</v>
      </c>
      <c r="C334" s="2569">
        <v>0.18</v>
      </c>
      <c r="D334" s="652"/>
      <c r="E334" s="229"/>
      <c r="F334" s="229"/>
      <c r="G334" s="229"/>
      <c r="H334" s="229"/>
      <c r="I334" s="229"/>
      <c r="J334" s="229"/>
      <c r="K334" s="229"/>
      <c r="L334" s="229"/>
      <c r="M334" s="229"/>
      <c r="N334" s="229"/>
      <c r="O334" s="229"/>
      <c r="P334" s="229"/>
      <c r="Q334" s="229"/>
      <c r="R334" s="229"/>
      <c r="S334" s="229"/>
      <c r="T334" s="229"/>
      <c r="U334" s="229"/>
      <c r="V334" s="229"/>
      <c r="W334" s="229"/>
      <c r="X334" s="229"/>
      <c r="Y334" s="229"/>
      <c r="Z334" s="229"/>
      <c r="AA334" s="229"/>
      <c r="AB334" s="229"/>
      <c r="AC334" s="229"/>
      <c r="AD334" s="229"/>
      <c r="AE334" s="229"/>
      <c r="AF334" s="229"/>
      <c r="AG334" s="229"/>
      <c r="AH334" s="229"/>
      <c r="AI334" s="229"/>
      <c r="AJ334" s="229"/>
      <c r="AK334" s="229"/>
      <c r="AL334" s="229"/>
      <c r="AM334" s="229"/>
      <c r="AN334" s="229"/>
      <c r="AO334" s="229"/>
      <c r="AP334" s="229"/>
      <c r="AQ334" s="229"/>
      <c r="AR334" s="229"/>
      <c r="AS334" s="229"/>
      <c r="AT334" s="229"/>
      <c r="AU334" s="229"/>
      <c r="AV334" s="229"/>
      <c r="AW334" s="229"/>
      <c r="AX334" s="229"/>
      <c r="AY334" s="229"/>
      <c r="AZ334" s="229"/>
      <c r="BA334" s="229"/>
      <c r="BB334" s="229"/>
      <c r="BC334" s="229"/>
      <c r="BD334" s="229"/>
      <c r="BE334" s="229"/>
      <c r="BF334" s="229"/>
      <c r="BG334" s="229"/>
      <c r="BH334" s="229"/>
      <c r="BI334" s="229"/>
      <c r="BJ334" s="229"/>
      <c r="BK334" s="229"/>
      <c r="BL334" s="229"/>
      <c r="BM334" s="229"/>
      <c r="BN334" s="229"/>
      <c r="BO334" s="229"/>
      <c r="BP334" s="229"/>
      <c r="BQ334" s="229"/>
      <c r="BR334" s="229"/>
      <c r="BS334" s="229"/>
      <c r="BT334" s="229"/>
      <c r="BU334" s="229"/>
      <c r="BV334" s="229"/>
      <c r="BW334" s="229"/>
      <c r="BX334" s="229"/>
      <c r="BY334" s="229"/>
      <c r="BZ334" s="229"/>
      <c r="CA334" s="229"/>
      <c r="CB334" s="229"/>
      <c r="CC334" s="229"/>
      <c r="CD334" s="229"/>
      <c r="CE334" s="229"/>
      <c r="CF334" s="229"/>
      <c r="CG334" s="229"/>
      <c r="CH334" s="229"/>
      <c r="CI334" s="229"/>
      <c r="CJ334" s="229"/>
      <c r="CK334" s="229"/>
      <c r="CL334" s="229"/>
      <c r="CM334" s="229"/>
      <c r="CN334" s="229"/>
      <c r="CO334" s="229"/>
      <c r="CP334" s="229"/>
      <c r="CQ334" s="229"/>
      <c r="CR334" s="229"/>
      <c r="CS334" s="229"/>
      <c r="CT334" s="229"/>
      <c r="CU334" s="229"/>
      <c r="CV334" s="229"/>
      <c r="CW334" s="229"/>
      <c r="CX334" s="229"/>
      <c r="CY334" s="229"/>
      <c r="CZ334" s="229"/>
      <c r="DA334" s="229"/>
      <c r="DB334" s="229"/>
      <c r="DC334" s="229"/>
      <c r="DD334" s="229"/>
      <c r="DE334" s="229"/>
      <c r="DF334" s="229"/>
      <c r="DG334" s="229"/>
      <c r="DH334" s="229"/>
      <c r="DI334" s="229"/>
      <c r="DJ334" s="229"/>
      <c r="DK334" s="229"/>
      <c r="DL334" s="229"/>
      <c r="DM334" s="229"/>
      <c r="DN334" s="229"/>
      <c r="DO334" s="229"/>
      <c r="DP334" s="229"/>
      <c r="DQ334" s="229"/>
      <c r="DR334" s="229"/>
      <c r="DS334" s="229"/>
      <c r="DT334" s="229"/>
      <c r="DU334" s="229"/>
    </row>
    <row r="335" spans="1:139" x14ac:dyDescent="0.3">
      <c r="A335" t="s">
        <v>2461</v>
      </c>
      <c r="E335">
        <v>0</v>
      </c>
      <c r="F335" s="229">
        <f ca="1">E340</f>
        <v>-93600.347520574287</v>
      </c>
      <c r="G335" s="229">
        <f t="shared" ref="G335:BR335" ca="1" si="524">F340</f>
        <v>-854884.82527888007</v>
      </c>
      <c r="H335" s="229">
        <f t="shared" ca="1" si="524"/>
        <v>-890633.31079567317</v>
      </c>
      <c r="I335" s="229">
        <f t="shared" ca="1" si="524"/>
        <v>-939253.71187382564</v>
      </c>
      <c r="J335" s="229">
        <f t="shared" ca="1" si="524"/>
        <v>-1013866.0429308388</v>
      </c>
      <c r="K335" s="229">
        <f t="shared" ca="1" si="524"/>
        <v>-1128419.3051628706</v>
      </c>
      <c r="L335" s="229">
        <f t="shared" ca="1" si="524"/>
        <v>-1247505.1422271302</v>
      </c>
      <c r="M335" s="229">
        <f t="shared" ca="1" si="524"/>
        <v>-1396608.8352351016</v>
      </c>
      <c r="N335" s="229">
        <f t="shared" ca="1" si="524"/>
        <v>-1572321.1085295356</v>
      </c>
      <c r="O335" s="229">
        <f t="shared" ca="1" si="524"/>
        <v>-1777140.4119259808</v>
      </c>
      <c r="P335" s="229">
        <f t="shared" ca="1" si="524"/>
        <v>-1905673.1131019297</v>
      </c>
      <c r="Q335" s="229">
        <f t="shared" ca="1" si="524"/>
        <v>-1932139.9214000832</v>
      </c>
      <c r="R335" s="229">
        <f t="shared" ca="1" si="524"/>
        <v>-1958974.3121218304</v>
      </c>
      <c r="S335" s="229">
        <f t="shared" ca="1" si="524"/>
        <v>-1986181.3904100587</v>
      </c>
      <c r="T335" s="229">
        <f t="shared" ca="1" si="524"/>
        <v>-2013766.3323100768</v>
      </c>
      <c r="U335" s="229">
        <f t="shared" ca="1" si="524"/>
        <v>-2041734.3857543382</v>
      </c>
      <c r="V335" s="229">
        <f t="shared" ca="1" si="524"/>
        <v>-2070090.8715608409</v>
      </c>
      <c r="W335" s="229">
        <f t="shared" ca="1" si="524"/>
        <v>-2098841.1844453928</v>
      </c>
      <c r="X335" s="229">
        <f t="shared" ca="1" si="524"/>
        <v>-2127990.7940479368</v>
      </c>
      <c r="Y335" s="229">
        <f t="shared" ca="1" si="524"/>
        <v>-2157545.2459731293</v>
      </c>
      <c r="Z335" s="229">
        <f t="shared" ca="1" si="524"/>
        <v>-2187510.1628453699</v>
      </c>
      <c r="AA335" s="229">
        <f t="shared" ca="1" si="524"/>
        <v>-2217891.2453784868</v>
      </c>
      <c r="AB335" s="229">
        <f t="shared" ca="1" si="524"/>
        <v>-2248694.2734602741</v>
      </c>
      <c r="AC335" s="229">
        <f t="shared" ca="1" si="524"/>
        <v>-2279925.1072520954</v>
      </c>
      <c r="AD335" s="229">
        <f t="shared" ca="1" si="524"/>
        <v>-2309384.0368292523</v>
      </c>
      <c r="AE335" s="229">
        <f t="shared" ca="1" si="524"/>
        <v>-2337241.2350531672</v>
      </c>
      <c r="AF335" s="229">
        <f t="shared" ca="1" si="524"/>
        <v>-2363195.6339982064</v>
      </c>
      <c r="AG335" s="229">
        <f t="shared" ca="1" si="524"/>
        <v>-2385038.6000962029</v>
      </c>
      <c r="AH335" s="229">
        <f t="shared" ca="1" si="524"/>
        <v>0</v>
      </c>
      <c r="AI335" s="229">
        <f t="shared" ca="1" si="524"/>
        <v>0</v>
      </c>
      <c r="AJ335" s="229">
        <f t="shared" ca="1" si="524"/>
        <v>0</v>
      </c>
      <c r="AK335" s="229">
        <f t="shared" ca="1" si="524"/>
        <v>0</v>
      </c>
      <c r="AL335" s="229">
        <f t="shared" ca="1" si="524"/>
        <v>0</v>
      </c>
      <c r="AM335" s="229">
        <f t="shared" ca="1" si="524"/>
        <v>0</v>
      </c>
      <c r="AN335" s="229">
        <f t="shared" ca="1" si="524"/>
        <v>0</v>
      </c>
      <c r="AO335" s="229">
        <f t="shared" ca="1" si="524"/>
        <v>0</v>
      </c>
      <c r="AP335" s="229">
        <f t="shared" ca="1" si="524"/>
        <v>0</v>
      </c>
      <c r="AQ335" s="229">
        <f t="shared" ca="1" si="524"/>
        <v>0</v>
      </c>
      <c r="AR335" s="229">
        <f t="shared" ca="1" si="524"/>
        <v>0</v>
      </c>
      <c r="AS335" s="229">
        <f t="shared" ca="1" si="524"/>
        <v>0</v>
      </c>
      <c r="AT335" s="229">
        <f t="shared" ca="1" si="524"/>
        <v>0</v>
      </c>
      <c r="AU335" s="229">
        <f t="shared" ca="1" si="524"/>
        <v>0</v>
      </c>
      <c r="AV335" s="229">
        <f t="shared" ca="1" si="524"/>
        <v>0</v>
      </c>
      <c r="AW335" s="229">
        <f t="shared" ca="1" si="524"/>
        <v>0</v>
      </c>
      <c r="AX335" s="229">
        <f t="shared" ca="1" si="524"/>
        <v>0</v>
      </c>
      <c r="AY335" s="229">
        <f t="shared" ca="1" si="524"/>
        <v>0</v>
      </c>
      <c r="AZ335" s="229">
        <f t="shared" ca="1" si="524"/>
        <v>0</v>
      </c>
      <c r="BA335" s="229">
        <f t="shared" ca="1" si="524"/>
        <v>0</v>
      </c>
      <c r="BB335" s="229">
        <f t="shared" ca="1" si="524"/>
        <v>0</v>
      </c>
      <c r="BC335" s="229">
        <f t="shared" ca="1" si="524"/>
        <v>0</v>
      </c>
      <c r="BD335" s="229">
        <f t="shared" ca="1" si="524"/>
        <v>0</v>
      </c>
      <c r="BE335" s="229">
        <f t="shared" ca="1" si="524"/>
        <v>0</v>
      </c>
      <c r="BF335" s="229">
        <f t="shared" ca="1" si="524"/>
        <v>0</v>
      </c>
      <c r="BG335" s="229">
        <f t="shared" ca="1" si="524"/>
        <v>0</v>
      </c>
      <c r="BH335" s="229">
        <f t="shared" ca="1" si="524"/>
        <v>0</v>
      </c>
      <c r="BI335" s="229">
        <f t="shared" ca="1" si="524"/>
        <v>0</v>
      </c>
      <c r="BJ335" s="229">
        <f t="shared" ca="1" si="524"/>
        <v>0</v>
      </c>
      <c r="BK335" s="229">
        <f t="shared" ca="1" si="524"/>
        <v>0</v>
      </c>
      <c r="BL335" s="229">
        <f t="shared" ca="1" si="524"/>
        <v>0</v>
      </c>
      <c r="BM335" s="229">
        <f t="shared" ca="1" si="524"/>
        <v>0</v>
      </c>
      <c r="BN335" s="229">
        <f t="shared" ca="1" si="524"/>
        <v>0</v>
      </c>
      <c r="BO335" s="229">
        <f t="shared" ca="1" si="524"/>
        <v>0</v>
      </c>
      <c r="BP335" s="229">
        <f t="shared" ca="1" si="524"/>
        <v>0</v>
      </c>
      <c r="BQ335" s="229">
        <f t="shared" ca="1" si="524"/>
        <v>0</v>
      </c>
      <c r="BR335" s="229">
        <f t="shared" ca="1" si="524"/>
        <v>0</v>
      </c>
      <c r="BS335" s="229">
        <f t="shared" ref="BS335:DU335" ca="1" si="525">BR340</f>
        <v>0</v>
      </c>
      <c r="BT335" s="229">
        <f t="shared" ca="1" si="525"/>
        <v>0</v>
      </c>
      <c r="BU335" s="229">
        <f t="shared" ca="1" si="525"/>
        <v>0</v>
      </c>
      <c r="BV335" s="229">
        <f t="shared" ca="1" si="525"/>
        <v>0</v>
      </c>
      <c r="BW335" s="229">
        <f t="shared" ca="1" si="525"/>
        <v>0</v>
      </c>
      <c r="BX335" s="229">
        <f t="shared" ca="1" si="525"/>
        <v>0</v>
      </c>
      <c r="BY335" s="229">
        <f t="shared" ca="1" si="525"/>
        <v>0</v>
      </c>
      <c r="BZ335" s="229">
        <f t="shared" ca="1" si="525"/>
        <v>0</v>
      </c>
      <c r="CA335" s="229">
        <f t="shared" ca="1" si="525"/>
        <v>0</v>
      </c>
      <c r="CB335" s="229">
        <f t="shared" ca="1" si="525"/>
        <v>0</v>
      </c>
      <c r="CC335" s="229">
        <f t="shared" ca="1" si="525"/>
        <v>0</v>
      </c>
      <c r="CD335" s="229">
        <f t="shared" ca="1" si="525"/>
        <v>0</v>
      </c>
      <c r="CE335" s="229">
        <f t="shared" ca="1" si="525"/>
        <v>0</v>
      </c>
      <c r="CF335" s="229">
        <f t="shared" ca="1" si="525"/>
        <v>0</v>
      </c>
      <c r="CG335" s="229">
        <f t="shared" ca="1" si="525"/>
        <v>0</v>
      </c>
      <c r="CH335" s="229">
        <f t="shared" ca="1" si="525"/>
        <v>0</v>
      </c>
      <c r="CI335" s="229">
        <f t="shared" ca="1" si="525"/>
        <v>0</v>
      </c>
      <c r="CJ335" s="229">
        <f t="shared" ca="1" si="525"/>
        <v>0</v>
      </c>
      <c r="CK335" s="229">
        <f t="shared" ca="1" si="525"/>
        <v>0</v>
      </c>
      <c r="CL335" s="229">
        <f t="shared" ca="1" si="525"/>
        <v>0</v>
      </c>
      <c r="CM335" s="229">
        <f t="shared" ca="1" si="525"/>
        <v>0</v>
      </c>
      <c r="CN335" s="229">
        <f t="shared" ca="1" si="525"/>
        <v>0</v>
      </c>
      <c r="CO335" s="229">
        <f t="shared" ca="1" si="525"/>
        <v>0</v>
      </c>
      <c r="CP335" s="229">
        <f t="shared" ca="1" si="525"/>
        <v>0</v>
      </c>
      <c r="CQ335" s="229">
        <f t="shared" ca="1" si="525"/>
        <v>0</v>
      </c>
      <c r="CR335" s="229">
        <f t="shared" ca="1" si="525"/>
        <v>0</v>
      </c>
      <c r="CS335" s="229">
        <f t="shared" ca="1" si="525"/>
        <v>0</v>
      </c>
      <c r="CT335" s="229">
        <f t="shared" ca="1" si="525"/>
        <v>0</v>
      </c>
      <c r="CU335" s="229">
        <f t="shared" ca="1" si="525"/>
        <v>0</v>
      </c>
      <c r="CV335" s="229">
        <f t="shared" ca="1" si="525"/>
        <v>0</v>
      </c>
      <c r="CW335" s="229">
        <f t="shared" ca="1" si="525"/>
        <v>0</v>
      </c>
      <c r="CX335" s="229">
        <f t="shared" ca="1" si="525"/>
        <v>0</v>
      </c>
      <c r="CY335" s="229">
        <f t="shared" ca="1" si="525"/>
        <v>0</v>
      </c>
      <c r="CZ335" s="229">
        <f t="shared" ca="1" si="525"/>
        <v>0</v>
      </c>
      <c r="DA335" s="229">
        <f t="shared" ca="1" si="525"/>
        <v>0</v>
      </c>
      <c r="DB335" s="229">
        <f t="shared" ca="1" si="525"/>
        <v>0</v>
      </c>
      <c r="DC335" s="229">
        <f t="shared" ca="1" si="525"/>
        <v>0</v>
      </c>
      <c r="DD335" s="229">
        <f t="shared" ca="1" si="525"/>
        <v>0</v>
      </c>
      <c r="DE335" s="229">
        <f t="shared" ca="1" si="525"/>
        <v>0</v>
      </c>
      <c r="DF335" s="229">
        <f t="shared" ca="1" si="525"/>
        <v>0</v>
      </c>
      <c r="DG335" s="229">
        <f t="shared" ca="1" si="525"/>
        <v>0</v>
      </c>
      <c r="DH335" s="229">
        <f t="shared" ca="1" si="525"/>
        <v>0</v>
      </c>
      <c r="DI335" s="229">
        <f t="shared" ca="1" si="525"/>
        <v>0</v>
      </c>
      <c r="DJ335" s="229">
        <f t="shared" ca="1" si="525"/>
        <v>0</v>
      </c>
      <c r="DK335" s="229">
        <f t="shared" ca="1" si="525"/>
        <v>0</v>
      </c>
      <c r="DL335" s="229">
        <f t="shared" ca="1" si="525"/>
        <v>0</v>
      </c>
      <c r="DM335" s="229">
        <f t="shared" ca="1" si="525"/>
        <v>0</v>
      </c>
      <c r="DN335" s="229">
        <f t="shared" ca="1" si="525"/>
        <v>0</v>
      </c>
      <c r="DO335" s="229">
        <f t="shared" ca="1" si="525"/>
        <v>0</v>
      </c>
      <c r="DP335" s="229">
        <f t="shared" ca="1" si="525"/>
        <v>0</v>
      </c>
      <c r="DQ335" s="229">
        <f t="shared" ca="1" si="525"/>
        <v>0</v>
      </c>
      <c r="DR335" s="229">
        <f t="shared" ca="1" si="525"/>
        <v>0</v>
      </c>
      <c r="DS335" s="229">
        <f t="shared" ca="1" si="525"/>
        <v>0</v>
      </c>
      <c r="DT335" s="229">
        <f t="shared" ca="1" si="525"/>
        <v>0</v>
      </c>
      <c r="DU335" s="229">
        <f t="shared" ca="1" si="525"/>
        <v>0</v>
      </c>
    </row>
    <row r="336" spans="1:139" x14ac:dyDescent="0.3">
      <c r="A336" t="s">
        <v>2537</v>
      </c>
      <c r="C336" s="2570"/>
      <c r="E336" s="229">
        <f ca="1">-E$73*$C$327</f>
        <v>-93600.347520574287</v>
      </c>
      <c r="F336" s="229">
        <f t="shared" ref="F336:BQ336" ca="1" si="526">-F$73*$C$327</f>
        <v>-759984.51585117937</v>
      </c>
      <c r="G336" s="229">
        <f t="shared" ca="1" si="526"/>
        <v>-23875.477164994769</v>
      </c>
      <c r="H336" s="229">
        <f t="shared" ca="1" si="526"/>
        <v>-36250.902375193073</v>
      </c>
      <c r="I336" s="229">
        <f t="shared" ca="1" si="526"/>
        <v>-61567.571300168056</v>
      </c>
      <c r="J336" s="229">
        <f t="shared" ca="1" si="526"/>
        <v>-100472.25431216895</v>
      </c>
      <c r="K336" s="229">
        <f t="shared" ca="1" si="526"/>
        <v>-103413.86414070406</v>
      </c>
      <c r="L336" s="229">
        <f t="shared" ca="1" si="526"/>
        <v>-131777.80473086692</v>
      </c>
      <c r="M336" s="229">
        <f t="shared" ca="1" si="526"/>
        <v>-156315.56876229716</v>
      </c>
      <c r="N336" s="229">
        <f t="shared" ca="1" si="526"/>
        <v>-182982.23119529791</v>
      </c>
      <c r="O336" s="229">
        <f t="shared" ca="1" si="526"/>
        <v>-103851.01034557028</v>
      </c>
      <c r="P336" s="229">
        <f t="shared" ca="1" si="526"/>
        <v>0</v>
      </c>
      <c r="Q336" s="229">
        <f t="shared" ca="1" si="526"/>
        <v>0</v>
      </c>
      <c r="R336" s="229">
        <f t="shared" ca="1" si="526"/>
        <v>0</v>
      </c>
      <c r="S336" s="229">
        <f t="shared" ca="1" si="526"/>
        <v>0</v>
      </c>
      <c r="T336" s="229">
        <f t="shared" ca="1" si="526"/>
        <v>0</v>
      </c>
      <c r="U336" s="229">
        <f t="shared" ca="1" si="526"/>
        <v>0</v>
      </c>
      <c r="V336" s="229">
        <f t="shared" ca="1" si="526"/>
        <v>0</v>
      </c>
      <c r="W336" s="229">
        <f t="shared" ca="1" si="526"/>
        <v>0</v>
      </c>
      <c r="X336" s="229">
        <f t="shared" ca="1" si="526"/>
        <v>0</v>
      </c>
      <c r="Y336" s="229">
        <f t="shared" ca="1" si="526"/>
        <v>0</v>
      </c>
      <c r="Z336" s="229">
        <f t="shared" ca="1" si="526"/>
        <v>0</v>
      </c>
      <c r="AA336" s="229">
        <f t="shared" ca="1" si="526"/>
        <v>0</v>
      </c>
      <c r="AB336" s="229">
        <f t="shared" ca="1" si="526"/>
        <v>0</v>
      </c>
      <c r="AC336" s="229">
        <f t="shared" ca="1" si="526"/>
        <v>0</v>
      </c>
      <c r="AD336" s="229">
        <f t="shared" ca="1" si="526"/>
        <v>0</v>
      </c>
      <c r="AE336" s="229">
        <f t="shared" ca="1" si="526"/>
        <v>0</v>
      </c>
      <c r="AF336" s="229">
        <f t="shared" ca="1" si="526"/>
        <v>0</v>
      </c>
      <c r="AG336" s="229">
        <f t="shared" ca="1" si="526"/>
        <v>0</v>
      </c>
      <c r="AH336" s="229">
        <f t="shared" ca="1" si="526"/>
        <v>0</v>
      </c>
      <c r="AI336" s="229">
        <f t="shared" ca="1" si="526"/>
        <v>0</v>
      </c>
      <c r="AJ336" s="229">
        <f t="shared" ca="1" si="526"/>
        <v>0</v>
      </c>
      <c r="AK336" s="229">
        <f t="shared" ca="1" si="526"/>
        <v>0</v>
      </c>
      <c r="AL336" s="229">
        <f t="shared" ca="1" si="526"/>
        <v>0</v>
      </c>
      <c r="AM336" s="229">
        <f t="shared" ca="1" si="526"/>
        <v>0</v>
      </c>
      <c r="AN336" s="229">
        <f t="shared" ca="1" si="526"/>
        <v>0</v>
      </c>
      <c r="AO336" s="229">
        <f t="shared" ca="1" si="526"/>
        <v>0</v>
      </c>
      <c r="AP336" s="229">
        <f t="shared" ca="1" si="526"/>
        <v>0</v>
      </c>
      <c r="AQ336" s="229">
        <f t="shared" ca="1" si="526"/>
        <v>0</v>
      </c>
      <c r="AR336" s="229">
        <f t="shared" ca="1" si="526"/>
        <v>0</v>
      </c>
      <c r="AS336" s="229">
        <f t="shared" ca="1" si="526"/>
        <v>0</v>
      </c>
      <c r="AT336" s="229">
        <f t="shared" ca="1" si="526"/>
        <v>0</v>
      </c>
      <c r="AU336" s="229">
        <f t="shared" ca="1" si="526"/>
        <v>0</v>
      </c>
      <c r="AV336" s="229">
        <f t="shared" ca="1" si="526"/>
        <v>0</v>
      </c>
      <c r="AW336" s="229">
        <f t="shared" ca="1" si="526"/>
        <v>0</v>
      </c>
      <c r="AX336" s="229">
        <f t="shared" ca="1" si="526"/>
        <v>0</v>
      </c>
      <c r="AY336" s="229">
        <f t="shared" ca="1" si="526"/>
        <v>0</v>
      </c>
      <c r="AZ336" s="229">
        <f t="shared" ca="1" si="526"/>
        <v>0</v>
      </c>
      <c r="BA336" s="229">
        <f t="shared" ca="1" si="526"/>
        <v>0</v>
      </c>
      <c r="BB336" s="229">
        <f t="shared" ca="1" si="526"/>
        <v>0</v>
      </c>
      <c r="BC336" s="229">
        <f t="shared" ca="1" si="526"/>
        <v>0</v>
      </c>
      <c r="BD336" s="229">
        <f t="shared" ca="1" si="526"/>
        <v>0</v>
      </c>
      <c r="BE336" s="229">
        <f t="shared" ca="1" si="526"/>
        <v>0</v>
      </c>
      <c r="BF336" s="229">
        <f t="shared" ca="1" si="526"/>
        <v>0</v>
      </c>
      <c r="BG336" s="229">
        <f t="shared" ca="1" si="526"/>
        <v>0</v>
      </c>
      <c r="BH336" s="229">
        <f t="shared" ca="1" si="526"/>
        <v>0</v>
      </c>
      <c r="BI336" s="229">
        <f t="shared" ca="1" si="526"/>
        <v>0</v>
      </c>
      <c r="BJ336" s="229">
        <f t="shared" ca="1" si="526"/>
        <v>0</v>
      </c>
      <c r="BK336" s="229">
        <f t="shared" ca="1" si="526"/>
        <v>0</v>
      </c>
      <c r="BL336" s="229">
        <f t="shared" ca="1" si="526"/>
        <v>0</v>
      </c>
      <c r="BM336" s="229">
        <f t="shared" ca="1" si="526"/>
        <v>0</v>
      </c>
      <c r="BN336" s="229">
        <f t="shared" ca="1" si="526"/>
        <v>0</v>
      </c>
      <c r="BO336" s="229">
        <f t="shared" ca="1" si="526"/>
        <v>0</v>
      </c>
      <c r="BP336" s="229">
        <f t="shared" ca="1" si="526"/>
        <v>0</v>
      </c>
      <c r="BQ336" s="229">
        <f t="shared" ca="1" si="526"/>
        <v>0</v>
      </c>
      <c r="BR336" s="229">
        <f t="shared" ref="BR336:DU336" ca="1" si="527">-BR$73*$C$327</f>
        <v>0</v>
      </c>
      <c r="BS336" s="229">
        <f t="shared" ca="1" si="527"/>
        <v>0</v>
      </c>
      <c r="BT336" s="229">
        <f t="shared" ca="1" si="527"/>
        <v>0</v>
      </c>
      <c r="BU336" s="229">
        <f t="shared" ca="1" si="527"/>
        <v>0</v>
      </c>
      <c r="BV336" s="229">
        <f t="shared" ca="1" si="527"/>
        <v>0</v>
      </c>
      <c r="BW336" s="229">
        <f t="shared" ca="1" si="527"/>
        <v>0</v>
      </c>
      <c r="BX336" s="229">
        <f t="shared" ca="1" si="527"/>
        <v>0</v>
      </c>
      <c r="BY336" s="229">
        <f t="shared" ca="1" si="527"/>
        <v>0</v>
      </c>
      <c r="BZ336" s="229">
        <f t="shared" ca="1" si="527"/>
        <v>0</v>
      </c>
      <c r="CA336" s="229">
        <f t="shared" ca="1" si="527"/>
        <v>0</v>
      </c>
      <c r="CB336" s="229">
        <f t="shared" ca="1" si="527"/>
        <v>0</v>
      </c>
      <c r="CC336" s="229">
        <f t="shared" ca="1" si="527"/>
        <v>0</v>
      </c>
      <c r="CD336" s="229">
        <f t="shared" ca="1" si="527"/>
        <v>0</v>
      </c>
      <c r="CE336" s="229">
        <f t="shared" ca="1" si="527"/>
        <v>0</v>
      </c>
      <c r="CF336" s="229">
        <f t="shared" ca="1" si="527"/>
        <v>0</v>
      </c>
      <c r="CG336" s="229">
        <f t="shared" ca="1" si="527"/>
        <v>0</v>
      </c>
      <c r="CH336" s="229">
        <f t="shared" ca="1" si="527"/>
        <v>0</v>
      </c>
      <c r="CI336" s="229">
        <f t="shared" ca="1" si="527"/>
        <v>0</v>
      </c>
      <c r="CJ336" s="229">
        <f t="shared" ca="1" si="527"/>
        <v>0</v>
      </c>
      <c r="CK336" s="229">
        <f t="shared" ca="1" si="527"/>
        <v>0</v>
      </c>
      <c r="CL336" s="229">
        <f t="shared" ca="1" si="527"/>
        <v>0</v>
      </c>
      <c r="CM336" s="229">
        <f t="shared" ca="1" si="527"/>
        <v>0</v>
      </c>
      <c r="CN336" s="229">
        <f t="shared" ca="1" si="527"/>
        <v>0</v>
      </c>
      <c r="CO336" s="229">
        <f t="shared" ca="1" si="527"/>
        <v>0</v>
      </c>
      <c r="CP336" s="229">
        <f t="shared" ca="1" si="527"/>
        <v>0</v>
      </c>
      <c r="CQ336" s="229">
        <f t="shared" ca="1" si="527"/>
        <v>0</v>
      </c>
      <c r="CR336" s="229">
        <f t="shared" ca="1" si="527"/>
        <v>0</v>
      </c>
      <c r="CS336" s="229">
        <f t="shared" ca="1" si="527"/>
        <v>0</v>
      </c>
      <c r="CT336" s="229">
        <f t="shared" ca="1" si="527"/>
        <v>0</v>
      </c>
      <c r="CU336" s="229">
        <f t="shared" ca="1" si="527"/>
        <v>0</v>
      </c>
      <c r="CV336" s="229">
        <f t="shared" ca="1" si="527"/>
        <v>0</v>
      </c>
      <c r="CW336" s="229">
        <f t="shared" ca="1" si="527"/>
        <v>0</v>
      </c>
      <c r="CX336" s="229">
        <f t="shared" ca="1" si="527"/>
        <v>0</v>
      </c>
      <c r="CY336" s="229">
        <f t="shared" ca="1" si="527"/>
        <v>0</v>
      </c>
      <c r="CZ336" s="229">
        <f t="shared" ca="1" si="527"/>
        <v>0</v>
      </c>
      <c r="DA336" s="229">
        <f t="shared" ca="1" si="527"/>
        <v>0</v>
      </c>
      <c r="DB336" s="229">
        <f t="shared" ca="1" si="527"/>
        <v>0</v>
      </c>
      <c r="DC336" s="229">
        <f t="shared" ca="1" si="527"/>
        <v>0</v>
      </c>
      <c r="DD336" s="229">
        <f t="shared" ca="1" si="527"/>
        <v>0</v>
      </c>
      <c r="DE336" s="229">
        <f t="shared" ca="1" si="527"/>
        <v>0</v>
      </c>
      <c r="DF336" s="229">
        <f t="shared" ca="1" si="527"/>
        <v>0</v>
      </c>
      <c r="DG336" s="229">
        <f t="shared" ca="1" si="527"/>
        <v>0</v>
      </c>
      <c r="DH336" s="229">
        <f t="shared" ca="1" si="527"/>
        <v>0</v>
      </c>
      <c r="DI336" s="229">
        <f t="shared" ca="1" si="527"/>
        <v>0</v>
      </c>
      <c r="DJ336" s="229">
        <f t="shared" ca="1" si="527"/>
        <v>0</v>
      </c>
      <c r="DK336" s="229">
        <f t="shared" ca="1" si="527"/>
        <v>0</v>
      </c>
      <c r="DL336" s="229">
        <f t="shared" ca="1" si="527"/>
        <v>0</v>
      </c>
      <c r="DM336" s="229">
        <f t="shared" ca="1" si="527"/>
        <v>0</v>
      </c>
      <c r="DN336" s="229">
        <f t="shared" ca="1" si="527"/>
        <v>0</v>
      </c>
      <c r="DO336" s="229">
        <f t="shared" ca="1" si="527"/>
        <v>0</v>
      </c>
      <c r="DP336" s="229">
        <f t="shared" ca="1" si="527"/>
        <v>0</v>
      </c>
      <c r="DQ336" s="229">
        <f t="shared" ca="1" si="527"/>
        <v>0</v>
      </c>
      <c r="DR336" s="229">
        <f t="shared" ca="1" si="527"/>
        <v>0</v>
      </c>
      <c r="DS336" s="229">
        <f t="shared" ca="1" si="527"/>
        <v>0</v>
      </c>
      <c r="DT336" s="229">
        <f t="shared" ca="1" si="527"/>
        <v>0</v>
      </c>
      <c r="DU336" s="229">
        <f t="shared" ca="1" si="527"/>
        <v>0</v>
      </c>
    </row>
    <row r="337" spans="1:125" x14ac:dyDescent="0.3">
      <c r="A337" s="241" t="s">
        <v>2538</v>
      </c>
      <c r="B337" s="241"/>
      <c r="C337" s="241"/>
      <c r="D337" s="687"/>
      <c r="E337" s="242">
        <f>E335*((1+$C334)^(1/12)-1)</f>
        <v>0</v>
      </c>
      <c r="F337" s="242">
        <f t="shared" ref="F337:BQ337" ca="1" si="528">F335*((1+$C334)^(1/12)-1)</f>
        <v>-1299.961907126459</v>
      </c>
      <c r="G337" s="242">
        <f t="shared" ca="1" si="528"/>
        <v>-11873.008351798309</v>
      </c>
      <c r="H337" s="242">
        <f t="shared" ca="1" si="528"/>
        <v>-12369.49870295943</v>
      </c>
      <c r="I337" s="242">
        <f t="shared" ca="1" si="528"/>
        <v>-13044.759756845106</v>
      </c>
      <c r="J337" s="242">
        <f t="shared" ca="1" si="528"/>
        <v>-14081.007919862936</v>
      </c>
      <c r="K337" s="242">
        <f t="shared" ca="1" si="528"/>
        <v>-15671.972923555646</v>
      </c>
      <c r="L337" s="242">
        <f t="shared" ca="1" si="528"/>
        <v>-17325.888277104707</v>
      </c>
      <c r="M337" s="242">
        <f t="shared" ca="1" si="528"/>
        <v>-19396.704532136613</v>
      </c>
      <c r="N337" s="242">
        <f t="shared" ca="1" si="528"/>
        <v>-21837.07220114713</v>
      </c>
      <c r="O337" s="242">
        <f t="shared" ca="1" si="528"/>
        <v>-24681.690830378499</v>
      </c>
      <c r="P337" s="242">
        <f t="shared" ca="1" si="528"/>
        <v>-26466.80829815365</v>
      </c>
      <c r="Q337" s="242">
        <f t="shared" ca="1" si="528"/>
        <v>-26834.390721747273</v>
      </c>
      <c r="R337" s="242">
        <f t="shared" ca="1" si="528"/>
        <v>-27207.078288228277</v>
      </c>
      <c r="S337" s="242">
        <f t="shared" ca="1" si="528"/>
        <v>-27584.941900018068</v>
      </c>
      <c r="T337" s="242">
        <f t="shared" ca="1" si="528"/>
        <v>-27968.053444261404</v>
      </c>
      <c r="U337" s="242">
        <f t="shared" ca="1" si="528"/>
        <v>-28356.485806502635</v>
      </c>
      <c r="V337" s="242">
        <f t="shared" ca="1" si="528"/>
        <v>-28750.312884551924</v>
      </c>
      <c r="W337" s="242">
        <f t="shared" ca="1" si="528"/>
        <v>-29149.609602544013</v>
      </c>
      <c r="X337" s="242">
        <f t="shared" ca="1" si="528"/>
        <v>-29554.451925192287</v>
      </c>
      <c r="Y337" s="242">
        <f t="shared" ca="1" si="528"/>
        <v>-29964.916872240752</v>
      </c>
      <c r="Z337" s="242">
        <f t="shared" ca="1" si="528"/>
        <v>-30381.082533116758</v>
      </c>
      <c r="AA337" s="242">
        <f t="shared" ca="1" si="528"/>
        <v>-30803.028081787248</v>
      </c>
      <c r="AB337" s="242">
        <f t="shared" ca="1" si="528"/>
        <v>-31230.833791821264</v>
      </c>
      <c r="AC337" s="242">
        <f t="shared" ca="1" si="528"/>
        <v>-31664.581051661742</v>
      </c>
      <c r="AD337" s="242">
        <f t="shared" ca="1" si="528"/>
        <v>-32073.719343232799</v>
      </c>
      <c r="AE337" s="242">
        <f t="shared" ca="1" si="528"/>
        <v>-32460.61210046749</v>
      </c>
      <c r="AF337" s="242">
        <f t="shared" ca="1" si="528"/>
        <v>-32821.077962450508</v>
      </c>
      <c r="AG337" s="242">
        <f t="shared" ca="1" si="528"/>
        <v>-33124.442475705211</v>
      </c>
      <c r="AH337" s="242">
        <f t="shared" ca="1" si="528"/>
        <v>0</v>
      </c>
      <c r="AI337" s="242">
        <f t="shared" ca="1" si="528"/>
        <v>0</v>
      </c>
      <c r="AJ337" s="242">
        <f t="shared" ca="1" si="528"/>
        <v>0</v>
      </c>
      <c r="AK337" s="242">
        <f t="shared" ca="1" si="528"/>
        <v>0</v>
      </c>
      <c r="AL337" s="242">
        <f t="shared" ca="1" si="528"/>
        <v>0</v>
      </c>
      <c r="AM337" s="242">
        <f t="shared" ca="1" si="528"/>
        <v>0</v>
      </c>
      <c r="AN337" s="242">
        <f t="shared" ca="1" si="528"/>
        <v>0</v>
      </c>
      <c r="AO337" s="242">
        <f t="shared" ca="1" si="528"/>
        <v>0</v>
      </c>
      <c r="AP337" s="242">
        <f t="shared" ca="1" si="528"/>
        <v>0</v>
      </c>
      <c r="AQ337" s="242">
        <f t="shared" ca="1" si="528"/>
        <v>0</v>
      </c>
      <c r="AR337" s="242">
        <f t="shared" ca="1" si="528"/>
        <v>0</v>
      </c>
      <c r="AS337" s="242">
        <f t="shared" ca="1" si="528"/>
        <v>0</v>
      </c>
      <c r="AT337" s="242">
        <f t="shared" ca="1" si="528"/>
        <v>0</v>
      </c>
      <c r="AU337" s="242">
        <f t="shared" ca="1" si="528"/>
        <v>0</v>
      </c>
      <c r="AV337" s="242">
        <f t="shared" ca="1" si="528"/>
        <v>0</v>
      </c>
      <c r="AW337" s="242">
        <f t="shared" ca="1" si="528"/>
        <v>0</v>
      </c>
      <c r="AX337" s="242">
        <f t="shared" ca="1" si="528"/>
        <v>0</v>
      </c>
      <c r="AY337" s="242">
        <f t="shared" ca="1" si="528"/>
        <v>0</v>
      </c>
      <c r="AZ337" s="242">
        <f t="shared" ca="1" si="528"/>
        <v>0</v>
      </c>
      <c r="BA337" s="242">
        <f t="shared" ca="1" si="528"/>
        <v>0</v>
      </c>
      <c r="BB337" s="242">
        <f t="shared" ca="1" si="528"/>
        <v>0</v>
      </c>
      <c r="BC337" s="242">
        <f t="shared" ca="1" si="528"/>
        <v>0</v>
      </c>
      <c r="BD337" s="242">
        <f t="shared" ca="1" si="528"/>
        <v>0</v>
      </c>
      <c r="BE337" s="242">
        <f t="shared" ca="1" si="528"/>
        <v>0</v>
      </c>
      <c r="BF337" s="242">
        <f t="shared" ca="1" si="528"/>
        <v>0</v>
      </c>
      <c r="BG337" s="242">
        <f t="shared" ca="1" si="528"/>
        <v>0</v>
      </c>
      <c r="BH337" s="242">
        <f t="shared" ca="1" si="528"/>
        <v>0</v>
      </c>
      <c r="BI337" s="242">
        <f t="shared" ca="1" si="528"/>
        <v>0</v>
      </c>
      <c r="BJ337" s="242">
        <f t="shared" ca="1" si="528"/>
        <v>0</v>
      </c>
      <c r="BK337" s="242">
        <f t="shared" ca="1" si="528"/>
        <v>0</v>
      </c>
      <c r="BL337" s="242">
        <f t="shared" ca="1" si="528"/>
        <v>0</v>
      </c>
      <c r="BM337" s="242">
        <f t="shared" ca="1" si="528"/>
        <v>0</v>
      </c>
      <c r="BN337" s="242">
        <f t="shared" ca="1" si="528"/>
        <v>0</v>
      </c>
      <c r="BO337" s="242">
        <f t="shared" ca="1" si="528"/>
        <v>0</v>
      </c>
      <c r="BP337" s="242">
        <f t="shared" ca="1" si="528"/>
        <v>0</v>
      </c>
      <c r="BQ337" s="242">
        <f t="shared" ca="1" si="528"/>
        <v>0</v>
      </c>
      <c r="BR337" s="242">
        <f t="shared" ref="BR337:DU337" ca="1" si="529">BR335*((1+$C334)^(1/12)-1)</f>
        <v>0</v>
      </c>
      <c r="BS337" s="242">
        <f t="shared" ca="1" si="529"/>
        <v>0</v>
      </c>
      <c r="BT337" s="242">
        <f t="shared" ca="1" si="529"/>
        <v>0</v>
      </c>
      <c r="BU337" s="242">
        <f t="shared" ca="1" si="529"/>
        <v>0</v>
      </c>
      <c r="BV337" s="242">
        <f t="shared" ca="1" si="529"/>
        <v>0</v>
      </c>
      <c r="BW337" s="242">
        <f t="shared" ca="1" si="529"/>
        <v>0</v>
      </c>
      <c r="BX337" s="242">
        <f t="shared" ca="1" si="529"/>
        <v>0</v>
      </c>
      <c r="BY337" s="242">
        <f t="shared" ca="1" si="529"/>
        <v>0</v>
      </c>
      <c r="BZ337" s="242">
        <f t="shared" ca="1" si="529"/>
        <v>0</v>
      </c>
      <c r="CA337" s="242">
        <f t="shared" ca="1" si="529"/>
        <v>0</v>
      </c>
      <c r="CB337" s="242">
        <f t="shared" ca="1" si="529"/>
        <v>0</v>
      </c>
      <c r="CC337" s="242">
        <f t="shared" ca="1" si="529"/>
        <v>0</v>
      </c>
      <c r="CD337" s="242">
        <f t="shared" ca="1" si="529"/>
        <v>0</v>
      </c>
      <c r="CE337" s="242">
        <f t="shared" ca="1" si="529"/>
        <v>0</v>
      </c>
      <c r="CF337" s="242">
        <f t="shared" ca="1" si="529"/>
        <v>0</v>
      </c>
      <c r="CG337" s="242">
        <f t="shared" ca="1" si="529"/>
        <v>0</v>
      </c>
      <c r="CH337" s="242">
        <f t="shared" ca="1" si="529"/>
        <v>0</v>
      </c>
      <c r="CI337" s="242">
        <f t="shared" ca="1" si="529"/>
        <v>0</v>
      </c>
      <c r="CJ337" s="242">
        <f t="shared" ca="1" si="529"/>
        <v>0</v>
      </c>
      <c r="CK337" s="242">
        <f t="shared" ca="1" si="529"/>
        <v>0</v>
      </c>
      <c r="CL337" s="242">
        <f t="shared" ca="1" si="529"/>
        <v>0</v>
      </c>
      <c r="CM337" s="242">
        <f t="shared" ca="1" si="529"/>
        <v>0</v>
      </c>
      <c r="CN337" s="242">
        <f t="shared" ca="1" si="529"/>
        <v>0</v>
      </c>
      <c r="CO337" s="242">
        <f t="shared" ca="1" si="529"/>
        <v>0</v>
      </c>
      <c r="CP337" s="242">
        <f t="shared" ca="1" si="529"/>
        <v>0</v>
      </c>
      <c r="CQ337" s="242">
        <f t="shared" ca="1" si="529"/>
        <v>0</v>
      </c>
      <c r="CR337" s="242">
        <f t="shared" ca="1" si="529"/>
        <v>0</v>
      </c>
      <c r="CS337" s="242">
        <f t="shared" ca="1" si="529"/>
        <v>0</v>
      </c>
      <c r="CT337" s="242">
        <f t="shared" ca="1" si="529"/>
        <v>0</v>
      </c>
      <c r="CU337" s="242">
        <f t="shared" ca="1" si="529"/>
        <v>0</v>
      </c>
      <c r="CV337" s="242">
        <f t="shared" ca="1" si="529"/>
        <v>0</v>
      </c>
      <c r="CW337" s="242">
        <f t="shared" ca="1" si="529"/>
        <v>0</v>
      </c>
      <c r="CX337" s="242">
        <f t="shared" ca="1" si="529"/>
        <v>0</v>
      </c>
      <c r="CY337" s="242">
        <f t="shared" ca="1" si="529"/>
        <v>0</v>
      </c>
      <c r="CZ337" s="242">
        <f t="shared" ca="1" si="529"/>
        <v>0</v>
      </c>
      <c r="DA337" s="242">
        <f t="shared" ca="1" si="529"/>
        <v>0</v>
      </c>
      <c r="DB337" s="242">
        <f t="shared" ca="1" si="529"/>
        <v>0</v>
      </c>
      <c r="DC337" s="242">
        <f t="shared" ca="1" si="529"/>
        <v>0</v>
      </c>
      <c r="DD337" s="242">
        <f t="shared" ca="1" si="529"/>
        <v>0</v>
      </c>
      <c r="DE337" s="242">
        <f t="shared" ca="1" si="529"/>
        <v>0</v>
      </c>
      <c r="DF337" s="242">
        <f t="shared" ca="1" si="529"/>
        <v>0</v>
      </c>
      <c r="DG337" s="242">
        <f t="shared" ca="1" si="529"/>
        <v>0</v>
      </c>
      <c r="DH337" s="242">
        <f t="shared" ca="1" si="529"/>
        <v>0</v>
      </c>
      <c r="DI337" s="242">
        <f t="shared" ca="1" si="529"/>
        <v>0</v>
      </c>
      <c r="DJ337" s="242">
        <f t="shared" ca="1" si="529"/>
        <v>0</v>
      </c>
      <c r="DK337" s="242">
        <f t="shared" ca="1" si="529"/>
        <v>0</v>
      </c>
      <c r="DL337" s="242">
        <f t="shared" ca="1" si="529"/>
        <v>0</v>
      </c>
      <c r="DM337" s="242">
        <f t="shared" ca="1" si="529"/>
        <v>0</v>
      </c>
      <c r="DN337" s="242">
        <f t="shared" ca="1" si="529"/>
        <v>0</v>
      </c>
      <c r="DO337" s="242">
        <f t="shared" ca="1" si="529"/>
        <v>0</v>
      </c>
      <c r="DP337" s="242">
        <f t="shared" ca="1" si="529"/>
        <v>0</v>
      </c>
      <c r="DQ337" s="242">
        <f t="shared" ca="1" si="529"/>
        <v>0</v>
      </c>
      <c r="DR337" s="242">
        <f t="shared" ca="1" si="529"/>
        <v>0</v>
      </c>
      <c r="DS337" s="242">
        <f t="shared" ca="1" si="529"/>
        <v>0</v>
      </c>
      <c r="DT337" s="242">
        <f t="shared" ca="1" si="529"/>
        <v>0</v>
      </c>
      <c r="DU337" s="242">
        <f t="shared" ca="1" si="529"/>
        <v>0</v>
      </c>
    </row>
    <row r="338" spans="1:125" x14ac:dyDescent="0.3">
      <c r="A338" t="s">
        <v>173</v>
      </c>
      <c r="E338" s="229">
        <f ca="1">SUM(E335:E337)</f>
        <v>-93600.347520574287</v>
      </c>
      <c r="F338" s="229">
        <f t="shared" ref="F338:BQ338" ca="1" si="530">SUM(F335:F337)</f>
        <v>-854884.82527888007</v>
      </c>
      <c r="G338" s="229">
        <f t="shared" ca="1" si="530"/>
        <v>-890633.31079567317</v>
      </c>
      <c r="H338" s="229">
        <f t="shared" ca="1" si="530"/>
        <v>-939253.71187382564</v>
      </c>
      <c r="I338" s="229">
        <f t="shared" ca="1" si="530"/>
        <v>-1013866.0429308388</v>
      </c>
      <c r="J338" s="229">
        <f t="shared" ca="1" si="530"/>
        <v>-1128419.3051628706</v>
      </c>
      <c r="K338" s="229">
        <f t="shared" ca="1" si="530"/>
        <v>-1247505.1422271302</v>
      </c>
      <c r="L338" s="229">
        <f t="shared" ca="1" si="530"/>
        <v>-1396608.8352351016</v>
      </c>
      <c r="M338" s="229">
        <f t="shared" ca="1" si="530"/>
        <v>-1572321.1085295356</v>
      </c>
      <c r="N338" s="229">
        <f t="shared" ca="1" si="530"/>
        <v>-1777140.4119259808</v>
      </c>
      <c r="O338" s="229">
        <f t="shared" ca="1" si="530"/>
        <v>-1905673.1131019297</v>
      </c>
      <c r="P338" s="229">
        <f t="shared" ca="1" si="530"/>
        <v>-1932139.9214000832</v>
      </c>
      <c r="Q338" s="229">
        <f t="shared" ca="1" si="530"/>
        <v>-1958974.3121218304</v>
      </c>
      <c r="R338" s="229">
        <f t="shared" ca="1" si="530"/>
        <v>-1986181.3904100587</v>
      </c>
      <c r="S338" s="229">
        <f t="shared" ca="1" si="530"/>
        <v>-2013766.3323100768</v>
      </c>
      <c r="T338" s="229">
        <f t="shared" ca="1" si="530"/>
        <v>-2041734.3857543382</v>
      </c>
      <c r="U338" s="229">
        <f t="shared" ca="1" si="530"/>
        <v>-2070090.8715608409</v>
      </c>
      <c r="V338" s="229">
        <f t="shared" ca="1" si="530"/>
        <v>-2098841.1844453928</v>
      </c>
      <c r="W338" s="229">
        <f t="shared" ca="1" si="530"/>
        <v>-2127990.7940479368</v>
      </c>
      <c r="X338" s="229">
        <f t="shared" ca="1" si="530"/>
        <v>-2157545.2459731293</v>
      </c>
      <c r="Y338" s="229">
        <f t="shared" ca="1" si="530"/>
        <v>-2187510.1628453699</v>
      </c>
      <c r="Z338" s="229">
        <f t="shared" ca="1" si="530"/>
        <v>-2217891.2453784868</v>
      </c>
      <c r="AA338" s="229">
        <f t="shared" ca="1" si="530"/>
        <v>-2248694.2734602741</v>
      </c>
      <c r="AB338" s="229">
        <f t="shared" ca="1" si="530"/>
        <v>-2279925.1072520954</v>
      </c>
      <c r="AC338" s="229">
        <f t="shared" ca="1" si="530"/>
        <v>-2311589.688303757</v>
      </c>
      <c r="AD338" s="229">
        <f t="shared" ca="1" si="530"/>
        <v>-2341457.7561724852</v>
      </c>
      <c r="AE338" s="229">
        <f t="shared" ca="1" si="530"/>
        <v>-2369701.8471536348</v>
      </c>
      <c r="AF338" s="229">
        <f t="shared" ca="1" si="530"/>
        <v>-2396016.711960657</v>
      </c>
      <c r="AG338" s="229">
        <f t="shared" ca="1" si="530"/>
        <v>-2418163.0425719083</v>
      </c>
      <c r="AH338" s="229">
        <f t="shared" ca="1" si="530"/>
        <v>0</v>
      </c>
      <c r="AI338" s="229">
        <f t="shared" ca="1" si="530"/>
        <v>0</v>
      </c>
      <c r="AJ338" s="229">
        <f t="shared" ca="1" si="530"/>
        <v>0</v>
      </c>
      <c r="AK338" s="229">
        <f t="shared" ca="1" si="530"/>
        <v>0</v>
      </c>
      <c r="AL338" s="229">
        <f t="shared" ca="1" si="530"/>
        <v>0</v>
      </c>
      <c r="AM338" s="229">
        <f t="shared" ca="1" si="530"/>
        <v>0</v>
      </c>
      <c r="AN338" s="229">
        <f t="shared" ca="1" si="530"/>
        <v>0</v>
      </c>
      <c r="AO338" s="229">
        <f t="shared" ca="1" si="530"/>
        <v>0</v>
      </c>
      <c r="AP338" s="229">
        <f t="shared" ca="1" si="530"/>
        <v>0</v>
      </c>
      <c r="AQ338" s="229">
        <f t="shared" ca="1" si="530"/>
        <v>0</v>
      </c>
      <c r="AR338" s="229">
        <f t="shared" ca="1" si="530"/>
        <v>0</v>
      </c>
      <c r="AS338" s="229">
        <f t="shared" ca="1" si="530"/>
        <v>0</v>
      </c>
      <c r="AT338" s="229">
        <f t="shared" ca="1" si="530"/>
        <v>0</v>
      </c>
      <c r="AU338" s="229">
        <f t="shared" ca="1" si="530"/>
        <v>0</v>
      </c>
      <c r="AV338" s="229">
        <f t="shared" ca="1" si="530"/>
        <v>0</v>
      </c>
      <c r="AW338" s="229">
        <f t="shared" ca="1" si="530"/>
        <v>0</v>
      </c>
      <c r="AX338" s="229">
        <f t="shared" ca="1" si="530"/>
        <v>0</v>
      </c>
      <c r="AY338" s="229">
        <f t="shared" ca="1" si="530"/>
        <v>0</v>
      </c>
      <c r="AZ338" s="229">
        <f t="shared" ca="1" si="530"/>
        <v>0</v>
      </c>
      <c r="BA338" s="229">
        <f t="shared" ca="1" si="530"/>
        <v>0</v>
      </c>
      <c r="BB338" s="229">
        <f t="shared" ca="1" si="530"/>
        <v>0</v>
      </c>
      <c r="BC338" s="229">
        <f t="shared" ca="1" si="530"/>
        <v>0</v>
      </c>
      <c r="BD338" s="229">
        <f t="shared" ca="1" si="530"/>
        <v>0</v>
      </c>
      <c r="BE338" s="229">
        <f t="shared" ca="1" si="530"/>
        <v>0</v>
      </c>
      <c r="BF338" s="229">
        <f t="shared" ca="1" si="530"/>
        <v>0</v>
      </c>
      <c r="BG338" s="229">
        <f t="shared" ca="1" si="530"/>
        <v>0</v>
      </c>
      <c r="BH338" s="229">
        <f t="shared" ca="1" si="530"/>
        <v>0</v>
      </c>
      <c r="BI338" s="229">
        <f t="shared" ca="1" si="530"/>
        <v>0</v>
      </c>
      <c r="BJ338" s="229">
        <f t="shared" ca="1" si="530"/>
        <v>0</v>
      </c>
      <c r="BK338" s="229">
        <f t="shared" ca="1" si="530"/>
        <v>0</v>
      </c>
      <c r="BL338" s="229">
        <f t="shared" ca="1" si="530"/>
        <v>0</v>
      </c>
      <c r="BM338" s="229">
        <f t="shared" ca="1" si="530"/>
        <v>0</v>
      </c>
      <c r="BN338" s="229">
        <f t="shared" ca="1" si="530"/>
        <v>0</v>
      </c>
      <c r="BO338" s="229">
        <f t="shared" ca="1" si="530"/>
        <v>0</v>
      </c>
      <c r="BP338" s="229">
        <f t="shared" ca="1" si="530"/>
        <v>0</v>
      </c>
      <c r="BQ338" s="229">
        <f t="shared" ca="1" si="530"/>
        <v>0</v>
      </c>
      <c r="BR338" s="229">
        <f t="shared" ref="BR338:DU338" ca="1" si="531">SUM(BR335:BR337)</f>
        <v>0</v>
      </c>
      <c r="BS338" s="229">
        <f t="shared" ca="1" si="531"/>
        <v>0</v>
      </c>
      <c r="BT338" s="229">
        <f t="shared" ca="1" si="531"/>
        <v>0</v>
      </c>
      <c r="BU338" s="229">
        <f t="shared" ca="1" si="531"/>
        <v>0</v>
      </c>
      <c r="BV338" s="229">
        <f t="shared" ca="1" si="531"/>
        <v>0</v>
      </c>
      <c r="BW338" s="229">
        <f t="shared" ca="1" si="531"/>
        <v>0</v>
      </c>
      <c r="BX338" s="229">
        <f t="shared" ca="1" si="531"/>
        <v>0</v>
      </c>
      <c r="BY338" s="229">
        <f t="shared" ca="1" si="531"/>
        <v>0</v>
      </c>
      <c r="BZ338" s="229">
        <f t="shared" ca="1" si="531"/>
        <v>0</v>
      </c>
      <c r="CA338" s="229">
        <f t="shared" ca="1" si="531"/>
        <v>0</v>
      </c>
      <c r="CB338" s="229">
        <f t="shared" ca="1" si="531"/>
        <v>0</v>
      </c>
      <c r="CC338" s="229">
        <f t="shared" ca="1" si="531"/>
        <v>0</v>
      </c>
      <c r="CD338" s="229">
        <f t="shared" ca="1" si="531"/>
        <v>0</v>
      </c>
      <c r="CE338" s="229">
        <f t="shared" ca="1" si="531"/>
        <v>0</v>
      </c>
      <c r="CF338" s="229">
        <f t="shared" ca="1" si="531"/>
        <v>0</v>
      </c>
      <c r="CG338" s="229">
        <f t="shared" ca="1" si="531"/>
        <v>0</v>
      </c>
      <c r="CH338" s="229">
        <f t="shared" ca="1" si="531"/>
        <v>0</v>
      </c>
      <c r="CI338" s="229">
        <f t="shared" ca="1" si="531"/>
        <v>0</v>
      </c>
      <c r="CJ338" s="229">
        <f t="shared" ca="1" si="531"/>
        <v>0</v>
      </c>
      <c r="CK338" s="229">
        <f t="shared" ca="1" si="531"/>
        <v>0</v>
      </c>
      <c r="CL338" s="229">
        <f t="shared" ca="1" si="531"/>
        <v>0</v>
      </c>
      <c r="CM338" s="229">
        <f t="shared" ca="1" si="531"/>
        <v>0</v>
      </c>
      <c r="CN338" s="229">
        <f t="shared" ca="1" si="531"/>
        <v>0</v>
      </c>
      <c r="CO338" s="229">
        <f t="shared" ca="1" si="531"/>
        <v>0</v>
      </c>
      <c r="CP338" s="229">
        <f t="shared" ca="1" si="531"/>
        <v>0</v>
      </c>
      <c r="CQ338" s="229">
        <f t="shared" ca="1" si="531"/>
        <v>0</v>
      </c>
      <c r="CR338" s="229">
        <f t="shared" ca="1" si="531"/>
        <v>0</v>
      </c>
      <c r="CS338" s="229">
        <f t="shared" ca="1" si="531"/>
        <v>0</v>
      </c>
      <c r="CT338" s="229">
        <f t="shared" ca="1" si="531"/>
        <v>0</v>
      </c>
      <c r="CU338" s="229">
        <f t="shared" ca="1" si="531"/>
        <v>0</v>
      </c>
      <c r="CV338" s="229">
        <f t="shared" ca="1" si="531"/>
        <v>0</v>
      </c>
      <c r="CW338" s="229">
        <f t="shared" ca="1" si="531"/>
        <v>0</v>
      </c>
      <c r="CX338" s="229">
        <f t="shared" ca="1" si="531"/>
        <v>0</v>
      </c>
      <c r="CY338" s="229">
        <f t="shared" ca="1" si="531"/>
        <v>0</v>
      </c>
      <c r="CZ338" s="229">
        <f t="shared" ca="1" si="531"/>
        <v>0</v>
      </c>
      <c r="DA338" s="229">
        <f t="shared" ca="1" si="531"/>
        <v>0</v>
      </c>
      <c r="DB338" s="229">
        <f t="shared" ca="1" si="531"/>
        <v>0</v>
      </c>
      <c r="DC338" s="229">
        <f t="shared" ca="1" si="531"/>
        <v>0</v>
      </c>
      <c r="DD338" s="229">
        <f t="shared" ca="1" si="531"/>
        <v>0</v>
      </c>
      <c r="DE338" s="229">
        <f t="shared" ca="1" si="531"/>
        <v>0</v>
      </c>
      <c r="DF338" s="229">
        <f t="shared" ca="1" si="531"/>
        <v>0</v>
      </c>
      <c r="DG338" s="229">
        <f t="shared" ca="1" si="531"/>
        <v>0</v>
      </c>
      <c r="DH338" s="229">
        <f t="shared" ca="1" si="531"/>
        <v>0</v>
      </c>
      <c r="DI338" s="229">
        <f t="shared" ca="1" si="531"/>
        <v>0</v>
      </c>
      <c r="DJ338" s="229">
        <f t="shared" ca="1" si="531"/>
        <v>0</v>
      </c>
      <c r="DK338" s="229">
        <f t="shared" ca="1" si="531"/>
        <v>0</v>
      </c>
      <c r="DL338" s="229">
        <f t="shared" ca="1" si="531"/>
        <v>0</v>
      </c>
      <c r="DM338" s="229">
        <f t="shared" ca="1" si="531"/>
        <v>0</v>
      </c>
      <c r="DN338" s="229">
        <f t="shared" ca="1" si="531"/>
        <v>0</v>
      </c>
      <c r="DO338" s="229">
        <f t="shared" ca="1" si="531"/>
        <v>0</v>
      </c>
      <c r="DP338" s="229">
        <f t="shared" ca="1" si="531"/>
        <v>0</v>
      </c>
      <c r="DQ338" s="229">
        <f t="shared" ca="1" si="531"/>
        <v>0</v>
      </c>
      <c r="DR338" s="229">
        <f t="shared" ca="1" si="531"/>
        <v>0</v>
      </c>
      <c r="DS338" s="229">
        <f t="shared" ca="1" si="531"/>
        <v>0</v>
      </c>
      <c r="DT338" s="229">
        <f t="shared" ca="1" si="531"/>
        <v>0</v>
      </c>
      <c r="DU338" s="229">
        <f t="shared" ca="1" si="531"/>
        <v>0</v>
      </c>
    </row>
    <row r="339" spans="1:125" x14ac:dyDescent="0.3">
      <c r="A339" t="s">
        <v>2539</v>
      </c>
      <c r="E339" s="229">
        <f ca="1">IF(E$330&lt;0,0,IF(E$330&gt;0,(E$330-E$332)*$C$327)+IF(E$332&gt;=-(E$338+E$349),-E338-(E$330-E$332)*$C$327,IF(E$332&lt;-(E$338+E$349),E$332*$C$327,0)))</f>
        <v>0</v>
      </c>
      <c r="F339" s="229">
        <f t="shared" ref="F339:BQ339" ca="1" si="532">IF(F$330&lt;0,0,IF(F$330&gt;0,(F$330-F$332)*$C$327)+IF(F$332&gt;=-(F$338+F$349),-F338-(F$330-F$332)*$C$327,IF(F$332&lt;-(F$338+F$349),F$332*$C$327,0)))</f>
        <v>0</v>
      </c>
      <c r="G339" s="229">
        <f t="shared" ca="1" si="532"/>
        <v>0</v>
      </c>
      <c r="H339" s="229">
        <f t="shared" ca="1" si="532"/>
        <v>0</v>
      </c>
      <c r="I339" s="229">
        <f t="shared" ca="1" si="532"/>
        <v>0</v>
      </c>
      <c r="J339" s="229">
        <f t="shared" ca="1" si="532"/>
        <v>0</v>
      </c>
      <c r="K339" s="229">
        <f t="shared" ca="1" si="532"/>
        <v>0</v>
      </c>
      <c r="L339" s="229">
        <f t="shared" ca="1" si="532"/>
        <v>0</v>
      </c>
      <c r="M339" s="229">
        <f t="shared" ca="1" si="532"/>
        <v>0</v>
      </c>
      <c r="N339" s="229">
        <f t="shared" ca="1" si="532"/>
        <v>0</v>
      </c>
      <c r="O339" s="229">
        <f t="shared" ca="1" si="532"/>
        <v>0</v>
      </c>
      <c r="P339" s="229">
        <f t="shared" ca="1" si="532"/>
        <v>0</v>
      </c>
      <c r="Q339" s="229">
        <f t="shared" ca="1" si="532"/>
        <v>0</v>
      </c>
      <c r="R339" s="229">
        <f t="shared" ca="1" si="532"/>
        <v>0</v>
      </c>
      <c r="S339" s="229">
        <f t="shared" ca="1" si="532"/>
        <v>0</v>
      </c>
      <c r="T339" s="229">
        <f t="shared" ca="1" si="532"/>
        <v>0</v>
      </c>
      <c r="U339" s="229">
        <f t="shared" ca="1" si="532"/>
        <v>0</v>
      </c>
      <c r="V339" s="229">
        <f t="shared" ca="1" si="532"/>
        <v>0</v>
      </c>
      <c r="W339" s="229">
        <f t="shared" ca="1" si="532"/>
        <v>0</v>
      </c>
      <c r="X339" s="229">
        <f t="shared" ca="1" si="532"/>
        <v>0</v>
      </c>
      <c r="Y339" s="229">
        <f t="shared" ca="1" si="532"/>
        <v>0</v>
      </c>
      <c r="Z339" s="229">
        <f t="shared" ca="1" si="532"/>
        <v>0</v>
      </c>
      <c r="AA339" s="229">
        <f t="shared" ca="1" si="532"/>
        <v>0</v>
      </c>
      <c r="AB339" s="229">
        <f t="shared" ca="1" si="532"/>
        <v>0</v>
      </c>
      <c r="AC339" s="229">
        <f t="shared" ca="1" si="532"/>
        <v>2205.6514745045665</v>
      </c>
      <c r="AD339" s="229">
        <f t="shared" ca="1" si="532"/>
        <v>4216.5211193181594</v>
      </c>
      <c r="AE339" s="229">
        <f t="shared" ca="1" si="532"/>
        <v>6506.2131554283815</v>
      </c>
      <c r="AF339" s="229">
        <f t="shared" ca="1" si="532"/>
        <v>10978.111864454066</v>
      </c>
      <c r="AG339" s="229">
        <f t="shared" ca="1" si="532"/>
        <v>2418163.0425719083</v>
      </c>
      <c r="AH339" s="229">
        <f t="shared" ca="1" si="532"/>
        <v>0</v>
      </c>
      <c r="AI339" s="229">
        <f t="shared" ca="1" si="532"/>
        <v>0</v>
      </c>
      <c r="AJ339" s="229">
        <f t="shared" ca="1" si="532"/>
        <v>0</v>
      </c>
      <c r="AK339" s="229">
        <f t="shared" ca="1" si="532"/>
        <v>0</v>
      </c>
      <c r="AL339" s="229">
        <f t="shared" ca="1" si="532"/>
        <v>0</v>
      </c>
      <c r="AM339" s="229">
        <f t="shared" ca="1" si="532"/>
        <v>0</v>
      </c>
      <c r="AN339" s="229">
        <f t="shared" ca="1" si="532"/>
        <v>0</v>
      </c>
      <c r="AO339" s="229">
        <f t="shared" ca="1" si="532"/>
        <v>0</v>
      </c>
      <c r="AP339" s="229">
        <f t="shared" ca="1" si="532"/>
        <v>0</v>
      </c>
      <c r="AQ339" s="229">
        <f t="shared" ca="1" si="532"/>
        <v>0</v>
      </c>
      <c r="AR339" s="229">
        <f t="shared" ca="1" si="532"/>
        <v>0</v>
      </c>
      <c r="AS339" s="229">
        <f t="shared" ca="1" si="532"/>
        <v>0</v>
      </c>
      <c r="AT339" s="229">
        <f t="shared" ca="1" si="532"/>
        <v>0</v>
      </c>
      <c r="AU339" s="229">
        <f t="shared" ca="1" si="532"/>
        <v>0</v>
      </c>
      <c r="AV339" s="229">
        <f t="shared" ca="1" si="532"/>
        <v>0</v>
      </c>
      <c r="AW339" s="229">
        <f t="shared" ca="1" si="532"/>
        <v>0</v>
      </c>
      <c r="AX339" s="229">
        <f t="shared" ca="1" si="532"/>
        <v>0</v>
      </c>
      <c r="AY339" s="229">
        <f t="shared" ca="1" si="532"/>
        <v>0</v>
      </c>
      <c r="AZ339" s="229">
        <f t="shared" ca="1" si="532"/>
        <v>0</v>
      </c>
      <c r="BA339" s="229">
        <f t="shared" ca="1" si="532"/>
        <v>0</v>
      </c>
      <c r="BB339" s="229">
        <f t="shared" ca="1" si="532"/>
        <v>0</v>
      </c>
      <c r="BC339" s="229">
        <f t="shared" ca="1" si="532"/>
        <v>0</v>
      </c>
      <c r="BD339" s="229">
        <f t="shared" ca="1" si="532"/>
        <v>0</v>
      </c>
      <c r="BE339" s="229">
        <f t="shared" ca="1" si="532"/>
        <v>0</v>
      </c>
      <c r="BF339" s="229">
        <f t="shared" ca="1" si="532"/>
        <v>0</v>
      </c>
      <c r="BG339" s="229">
        <f t="shared" ca="1" si="532"/>
        <v>0</v>
      </c>
      <c r="BH339" s="229">
        <f t="shared" ca="1" si="532"/>
        <v>0</v>
      </c>
      <c r="BI339" s="229">
        <f t="shared" ca="1" si="532"/>
        <v>0</v>
      </c>
      <c r="BJ339" s="229">
        <f t="shared" ca="1" si="532"/>
        <v>0</v>
      </c>
      <c r="BK339" s="229">
        <f t="shared" ca="1" si="532"/>
        <v>0</v>
      </c>
      <c r="BL339" s="229">
        <f t="shared" ca="1" si="532"/>
        <v>0</v>
      </c>
      <c r="BM339" s="229">
        <f t="shared" ca="1" si="532"/>
        <v>0</v>
      </c>
      <c r="BN339" s="229">
        <f t="shared" ca="1" si="532"/>
        <v>0</v>
      </c>
      <c r="BO339" s="229">
        <f t="shared" ca="1" si="532"/>
        <v>0</v>
      </c>
      <c r="BP339" s="229">
        <f t="shared" ca="1" si="532"/>
        <v>0</v>
      </c>
      <c r="BQ339" s="229">
        <f t="shared" ca="1" si="532"/>
        <v>0</v>
      </c>
      <c r="BR339" s="229">
        <f t="shared" ref="BR339:DU339" ca="1" si="533">IF(BR$330&lt;0,0,IF(BR$330&gt;0,(BR$330-BR$332)*$C$327)+IF(BR$332&gt;=-(BR$338+BR$349),-BR338-(BR$330-BR$332)*$C$327,IF(BR$332&lt;-(BR$338+BR$349),BR$332*$C$327,0)))</f>
        <v>0</v>
      </c>
      <c r="BS339" s="229">
        <f t="shared" ca="1" si="533"/>
        <v>0</v>
      </c>
      <c r="BT339" s="229">
        <f t="shared" ca="1" si="533"/>
        <v>0</v>
      </c>
      <c r="BU339" s="229">
        <f t="shared" ca="1" si="533"/>
        <v>0</v>
      </c>
      <c r="BV339" s="229">
        <f t="shared" ca="1" si="533"/>
        <v>0</v>
      </c>
      <c r="BW339" s="229">
        <f t="shared" ca="1" si="533"/>
        <v>0</v>
      </c>
      <c r="BX339" s="229">
        <f t="shared" ca="1" si="533"/>
        <v>0</v>
      </c>
      <c r="BY339" s="229">
        <f t="shared" ca="1" si="533"/>
        <v>0</v>
      </c>
      <c r="BZ339" s="229">
        <f t="shared" ca="1" si="533"/>
        <v>0</v>
      </c>
      <c r="CA339" s="229">
        <f t="shared" ca="1" si="533"/>
        <v>0</v>
      </c>
      <c r="CB339" s="229">
        <f t="shared" ca="1" si="533"/>
        <v>0</v>
      </c>
      <c r="CC339" s="229">
        <f t="shared" ca="1" si="533"/>
        <v>0</v>
      </c>
      <c r="CD339" s="229">
        <f t="shared" ca="1" si="533"/>
        <v>0</v>
      </c>
      <c r="CE339" s="229">
        <f t="shared" ca="1" si="533"/>
        <v>0</v>
      </c>
      <c r="CF339" s="229">
        <f t="shared" ca="1" si="533"/>
        <v>0</v>
      </c>
      <c r="CG339" s="229">
        <f t="shared" ca="1" si="533"/>
        <v>0</v>
      </c>
      <c r="CH339" s="229">
        <f t="shared" ca="1" si="533"/>
        <v>0</v>
      </c>
      <c r="CI339" s="229">
        <f t="shared" ca="1" si="533"/>
        <v>0</v>
      </c>
      <c r="CJ339" s="229">
        <f t="shared" ca="1" si="533"/>
        <v>0</v>
      </c>
      <c r="CK339" s="229">
        <f t="shared" ca="1" si="533"/>
        <v>0</v>
      </c>
      <c r="CL339" s="229">
        <f t="shared" ca="1" si="533"/>
        <v>0</v>
      </c>
      <c r="CM339" s="229">
        <f t="shared" ca="1" si="533"/>
        <v>0</v>
      </c>
      <c r="CN339" s="229">
        <f t="shared" ca="1" si="533"/>
        <v>0</v>
      </c>
      <c r="CO339" s="229">
        <f t="shared" ca="1" si="533"/>
        <v>0</v>
      </c>
      <c r="CP339" s="229">
        <f t="shared" ca="1" si="533"/>
        <v>0</v>
      </c>
      <c r="CQ339" s="229">
        <f t="shared" ca="1" si="533"/>
        <v>0</v>
      </c>
      <c r="CR339" s="229">
        <f t="shared" ca="1" si="533"/>
        <v>0</v>
      </c>
      <c r="CS339" s="229">
        <f t="shared" ca="1" si="533"/>
        <v>0</v>
      </c>
      <c r="CT339" s="229">
        <f t="shared" ca="1" si="533"/>
        <v>0</v>
      </c>
      <c r="CU339" s="229">
        <f t="shared" ca="1" si="533"/>
        <v>0</v>
      </c>
      <c r="CV339" s="229">
        <f t="shared" ca="1" si="533"/>
        <v>0</v>
      </c>
      <c r="CW339" s="229">
        <f t="shared" ca="1" si="533"/>
        <v>0</v>
      </c>
      <c r="CX339" s="229">
        <f t="shared" ca="1" si="533"/>
        <v>0</v>
      </c>
      <c r="CY339" s="229">
        <f t="shared" ca="1" si="533"/>
        <v>0</v>
      </c>
      <c r="CZ339" s="229">
        <f t="shared" ca="1" si="533"/>
        <v>0</v>
      </c>
      <c r="DA339" s="229">
        <f t="shared" ca="1" si="533"/>
        <v>0</v>
      </c>
      <c r="DB339" s="229">
        <f t="shared" ca="1" si="533"/>
        <v>0</v>
      </c>
      <c r="DC339" s="229">
        <f t="shared" ca="1" si="533"/>
        <v>0</v>
      </c>
      <c r="DD339" s="229">
        <f t="shared" ca="1" si="533"/>
        <v>0</v>
      </c>
      <c r="DE339" s="229">
        <f t="shared" ca="1" si="533"/>
        <v>0</v>
      </c>
      <c r="DF339" s="229">
        <f t="shared" ca="1" si="533"/>
        <v>0</v>
      </c>
      <c r="DG339" s="229">
        <f t="shared" ca="1" si="533"/>
        <v>0</v>
      </c>
      <c r="DH339" s="229">
        <f t="shared" ca="1" si="533"/>
        <v>0</v>
      </c>
      <c r="DI339" s="229">
        <f t="shared" ca="1" si="533"/>
        <v>0</v>
      </c>
      <c r="DJ339" s="229">
        <f t="shared" ca="1" si="533"/>
        <v>0</v>
      </c>
      <c r="DK339" s="229">
        <f t="shared" ca="1" si="533"/>
        <v>0</v>
      </c>
      <c r="DL339" s="229">
        <f t="shared" ca="1" si="533"/>
        <v>0</v>
      </c>
      <c r="DM339" s="229">
        <f t="shared" ca="1" si="533"/>
        <v>0</v>
      </c>
      <c r="DN339" s="229">
        <f t="shared" ca="1" si="533"/>
        <v>0</v>
      </c>
      <c r="DO339" s="229">
        <f t="shared" ca="1" si="533"/>
        <v>0</v>
      </c>
      <c r="DP339" s="229">
        <f t="shared" ca="1" si="533"/>
        <v>0</v>
      </c>
      <c r="DQ339" s="229">
        <f t="shared" ca="1" si="533"/>
        <v>0</v>
      </c>
      <c r="DR339" s="229">
        <f t="shared" ca="1" si="533"/>
        <v>0</v>
      </c>
      <c r="DS339" s="229">
        <f t="shared" ca="1" si="533"/>
        <v>0</v>
      </c>
      <c r="DT339" s="229">
        <f t="shared" ca="1" si="533"/>
        <v>0</v>
      </c>
      <c r="DU339" s="229">
        <f t="shared" ca="1" si="533"/>
        <v>0</v>
      </c>
    </row>
    <row r="340" spans="1:125" x14ac:dyDescent="0.3">
      <c r="A340" t="s">
        <v>2540</v>
      </c>
      <c r="E340" s="229">
        <f ca="1">SUM(E338:E339)</f>
        <v>-93600.347520574287</v>
      </c>
      <c r="F340" s="229">
        <f t="shared" ref="F340:BQ340" ca="1" si="534">SUM(F338:F339)</f>
        <v>-854884.82527888007</v>
      </c>
      <c r="G340" s="229">
        <f t="shared" ca="1" si="534"/>
        <v>-890633.31079567317</v>
      </c>
      <c r="H340" s="229">
        <f t="shared" ca="1" si="534"/>
        <v>-939253.71187382564</v>
      </c>
      <c r="I340" s="229">
        <f t="shared" ca="1" si="534"/>
        <v>-1013866.0429308388</v>
      </c>
      <c r="J340" s="229">
        <f t="shared" ca="1" si="534"/>
        <v>-1128419.3051628706</v>
      </c>
      <c r="K340" s="229">
        <f t="shared" ca="1" si="534"/>
        <v>-1247505.1422271302</v>
      </c>
      <c r="L340" s="229">
        <f t="shared" ca="1" si="534"/>
        <v>-1396608.8352351016</v>
      </c>
      <c r="M340" s="229">
        <f t="shared" ca="1" si="534"/>
        <v>-1572321.1085295356</v>
      </c>
      <c r="N340" s="229">
        <f t="shared" ca="1" si="534"/>
        <v>-1777140.4119259808</v>
      </c>
      <c r="O340" s="229">
        <f t="shared" ca="1" si="534"/>
        <v>-1905673.1131019297</v>
      </c>
      <c r="P340" s="229">
        <f t="shared" ca="1" si="534"/>
        <v>-1932139.9214000832</v>
      </c>
      <c r="Q340" s="229">
        <f t="shared" ca="1" si="534"/>
        <v>-1958974.3121218304</v>
      </c>
      <c r="R340" s="229">
        <f t="shared" ca="1" si="534"/>
        <v>-1986181.3904100587</v>
      </c>
      <c r="S340" s="229">
        <f t="shared" ca="1" si="534"/>
        <v>-2013766.3323100768</v>
      </c>
      <c r="T340" s="229">
        <f t="shared" ca="1" si="534"/>
        <v>-2041734.3857543382</v>
      </c>
      <c r="U340" s="229">
        <f t="shared" ca="1" si="534"/>
        <v>-2070090.8715608409</v>
      </c>
      <c r="V340" s="229">
        <f t="shared" ca="1" si="534"/>
        <v>-2098841.1844453928</v>
      </c>
      <c r="W340" s="229">
        <f t="shared" ca="1" si="534"/>
        <v>-2127990.7940479368</v>
      </c>
      <c r="X340" s="229">
        <f t="shared" ca="1" si="534"/>
        <v>-2157545.2459731293</v>
      </c>
      <c r="Y340" s="229">
        <f t="shared" ca="1" si="534"/>
        <v>-2187510.1628453699</v>
      </c>
      <c r="Z340" s="229">
        <f t="shared" ca="1" si="534"/>
        <v>-2217891.2453784868</v>
      </c>
      <c r="AA340" s="229">
        <f t="shared" ca="1" si="534"/>
        <v>-2248694.2734602741</v>
      </c>
      <c r="AB340" s="229">
        <f t="shared" ca="1" si="534"/>
        <v>-2279925.1072520954</v>
      </c>
      <c r="AC340" s="229">
        <f t="shared" ca="1" si="534"/>
        <v>-2309384.0368292523</v>
      </c>
      <c r="AD340" s="229">
        <f t="shared" ca="1" si="534"/>
        <v>-2337241.2350531672</v>
      </c>
      <c r="AE340" s="229">
        <f t="shared" ca="1" si="534"/>
        <v>-2363195.6339982064</v>
      </c>
      <c r="AF340" s="229">
        <f t="shared" ca="1" si="534"/>
        <v>-2385038.6000962029</v>
      </c>
      <c r="AG340" s="229">
        <f t="shared" ca="1" si="534"/>
        <v>0</v>
      </c>
      <c r="AH340" s="229">
        <f t="shared" ca="1" si="534"/>
        <v>0</v>
      </c>
      <c r="AI340" s="229">
        <f t="shared" ca="1" si="534"/>
        <v>0</v>
      </c>
      <c r="AJ340" s="229">
        <f t="shared" ca="1" si="534"/>
        <v>0</v>
      </c>
      <c r="AK340" s="229">
        <f t="shared" ca="1" si="534"/>
        <v>0</v>
      </c>
      <c r="AL340" s="229">
        <f t="shared" ca="1" si="534"/>
        <v>0</v>
      </c>
      <c r="AM340" s="229">
        <f t="shared" ca="1" si="534"/>
        <v>0</v>
      </c>
      <c r="AN340" s="229">
        <f t="shared" ca="1" si="534"/>
        <v>0</v>
      </c>
      <c r="AO340" s="229">
        <f t="shared" ca="1" si="534"/>
        <v>0</v>
      </c>
      <c r="AP340" s="229">
        <f t="shared" ca="1" si="534"/>
        <v>0</v>
      </c>
      <c r="AQ340" s="229">
        <f t="shared" ca="1" si="534"/>
        <v>0</v>
      </c>
      <c r="AR340" s="229">
        <f t="shared" ca="1" si="534"/>
        <v>0</v>
      </c>
      <c r="AS340" s="229">
        <f t="shared" ca="1" si="534"/>
        <v>0</v>
      </c>
      <c r="AT340" s="229">
        <f t="shared" ca="1" si="534"/>
        <v>0</v>
      </c>
      <c r="AU340" s="229">
        <f t="shared" ca="1" si="534"/>
        <v>0</v>
      </c>
      <c r="AV340" s="229">
        <f t="shared" ca="1" si="534"/>
        <v>0</v>
      </c>
      <c r="AW340" s="229">
        <f t="shared" ca="1" si="534"/>
        <v>0</v>
      </c>
      <c r="AX340" s="229">
        <f t="shared" ca="1" si="534"/>
        <v>0</v>
      </c>
      <c r="AY340" s="229">
        <f t="shared" ca="1" si="534"/>
        <v>0</v>
      </c>
      <c r="AZ340" s="229">
        <f t="shared" ca="1" si="534"/>
        <v>0</v>
      </c>
      <c r="BA340" s="229">
        <f t="shared" ca="1" si="534"/>
        <v>0</v>
      </c>
      <c r="BB340" s="229">
        <f t="shared" ca="1" si="534"/>
        <v>0</v>
      </c>
      <c r="BC340" s="229">
        <f t="shared" ca="1" si="534"/>
        <v>0</v>
      </c>
      <c r="BD340" s="229">
        <f t="shared" ca="1" si="534"/>
        <v>0</v>
      </c>
      <c r="BE340" s="229">
        <f t="shared" ca="1" si="534"/>
        <v>0</v>
      </c>
      <c r="BF340" s="229">
        <f t="shared" ca="1" si="534"/>
        <v>0</v>
      </c>
      <c r="BG340" s="229">
        <f t="shared" ca="1" si="534"/>
        <v>0</v>
      </c>
      <c r="BH340" s="229">
        <f t="shared" ca="1" si="534"/>
        <v>0</v>
      </c>
      <c r="BI340" s="229">
        <f t="shared" ca="1" si="534"/>
        <v>0</v>
      </c>
      <c r="BJ340" s="229">
        <f t="shared" ca="1" si="534"/>
        <v>0</v>
      </c>
      <c r="BK340" s="229">
        <f t="shared" ca="1" si="534"/>
        <v>0</v>
      </c>
      <c r="BL340" s="229">
        <f t="shared" ca="1" si="534"/>
        <v>0</v>
      </c>
      <c r="BM340" s="229">
        <f t="shared" ca="1" si="534"/>
        <v>0</v>
      </c>
      <c r="BN340" s="229">
        <f t="shared" ca="1" si="534"/>
        <v>0</v>
      </c>
      <c r="BO340" s="229">
        <f t="shared" ca="1" si="534"/>
        <v>0</v>
      </c>
      <c r="BP340" s="229">
        <f t="shared" ca="1" si="534"/>
        <v>0</v>
      </c>
      <c r="BQ340" s="229">
        <f t="shared" ca="1" si="534"/>
        <v>0</v>
      </c>
      <c r="BR340" s="229">
        <f t="shared" ref="BR340:DU340" ca="1" si="535">SUM(BR338:BR339)</f>
        <v>0</v>
      </c>
      <c r="BS340" s="229">
        <f t="shared" ca="1" si="535"/>
        <v>0</v>
      </c>
      <c r="BT340" s="229">
        <f t="shared" ca="1" si="535"/>
        <v>0</v>
      </c>
      <c r="BU340" s="229">
        <f t="shared" ca="1" si="535"/>
        <v>0</v>
      </c>
      <c r="BV340" s="229">
        <f t="shared" ca="1" si="535"/>
        <v>0</v>
      </c>
      <c r="BW340" s="229">
        <f t="shared" ca="1" si="535"/>
        <v>0</v>
      </c>
      <c r="BX340" s="229">
        <f t="shared" ca="1" si="535"/>
        <v>0</v>
      </c>
      <c r="BY340" s="229">
        <f t="shared" ca="1" si="535"/>
        <v>0</v>
      </c>
      <c r="BZ340" s="229">
        <f t="shared" ca="1" si="535"/>
        <v>0</v>
      </c>
      <c r="CA340" s="229">
        <f t="shared" ca="1" si="535"/>
        <v>0</v>
      </c>
      <c r="CB340" s="229">
        <f t="shared" ca="1" si="535"/>
        <v>0</v>
      </c>
      <c r="CC340" s="229">
        <f t="shared" ca="1" si="535"/>
        <v>0</v>
      </c>
      <c r="CD340" s="229">
        <f t="shared" ca="1" si="535"/>
        <v>0</v>
      </c>
      <c r="CE340" s="229">
        <f t="shared" ca="1" si="535"/>
        <v>0</v>
      </c>
      <c r="CF340" s="229">
        <f t="shared" ca="1" si="535"/>
        <v>0</v>
      </c>
      <c r="CG340" s="229">
        <f t="shared" ca="1" si="535"/>
        <v>0</v>
      </c>
      <c r="CH340" s="229">
        <f t="shared" ca="1" si="535"/>
        <v>0</v>
      </c>
      <c r="CI340" s="229">
        <f t="shared" ca="1" si="535"/>
        <v>0</v>
      </c>
      <c r="CJ340" s="229">
        <f t="shared" ca="1" si="535"/>
        <v>0</v>
      </c>
      <c r="CK340" s="229">
        <f t="shared" ca="1" si="535"/>
        <v>0</v>
      </c>
      <c r="CL340" s="229">
        <f t="shared" ca="1" si="535"/>
        <v>0</v>
      </c>
      <c r="CM340" s="229">
        <f t="shared" ca="1" si="535"/>
        <v>0</v>
      </c>
      <c r="CN340" s="229">
        <f t="shared" ca="1" si="535"/>
        <v>0</v>
      </c>
      <c r="CO340" s="229">
        <f t="shared" ca="1" si="535"/>
        <v>0</v>
      </c>
      <c r="CP340" s="229">
        <f t="shared" ca="1" si="535"/>
        <v>0</v>
      </c>
      <c r="CQ340" s="229">
        <f t="shared" ca="1" si="535"/>
        <v>0</v>
      </c>
      <c r="CR340" s="229">
        <f t="shared" ca="1" si="535"/>
        <v>0</v>
      </c>
      <c r="CS340" s="229">
        <f t="shared" ca="1" si="535"/>
        <v>0</v>
      </c>
      <c r="CT340" s="229">
        <f t="shared" ca="1" si="535"/>
        <v>0</v>
      </c>
      <c r="CU340" s="229">
        <f t="shared" ca="1" si="535"/>
        <v>0</v>
      </c>
      <c r="CV340" s="229">
        <f t="shared" ca="1" si="535"/>
        <v>0</v>
      </c>
      <c r="CW340" s="229">
        <f t="shared" ca="1" si="535"/>
        <v>0</v>
      </c>
      <c r="CX340" s="229">
        <f t="shared" ca="1" si="535"/>
        <v>0</v>
      </c>
      <c r="CY340" s="229">
        <f t="shared" ca="1" si="535"/>
        <v>0</v>
      </c>
      <c r="CZ340" s="229">
        <f t="shared" ca="1" si="535"/>
        <v>0</v>
      </c>
      <c r="DA340" s="229">
        <f t="shared" ca="1" si="535"/>
        <v>0</v>
      </c>
      <c r="DB340" s="229">
        <f t="shared" ca="1" si="535"/>
        <v>0</v>
      </c>
      <c r="DC340" s="229">
        <f t="shared" ca="1" si="535"/>
        <v>0</v>
      </c>
      <c r="DD340" s="229">
        <f t="shared" ca="1" si="535"/>
        <v>0</v>
      </c>
      <c r="DE340" s="229">
        <f t="shared" ca="1" si="535"/>
        <v>0</v>
      </c>
      <c r="DF340" s="229">
        <f t="shared" ca="1" si="535"/>
        <v>0</v>
      </c>
      <c r="DG340" s="229">
        <f t="shared" ca="1" si="535"/>
        <v>0</v>
      </c>
      <c r="DH340" s="229">
        <f t="shared" ca="1" si="535"/>
        <v>0</v>
      </c>
      <c r="DI340" s="229">
        <f t="shared" ca="1" si="535"/>
        <v>0</v>
      </c>
      <c r="DJ340" s="229">
        <f t="shared" ca="1" si="535"/>
        <v>0</v>
      </c>
      <c r="DK340" s="229">
        <f t="shared" ca="1" si="535"/>
        <v>0</v>
      </c>
      <c r="DL340" s="229">
        <f t="shared" ca="1" si="535"/>
        <v>0</v>
      </c>
      <c r="DM340" s="229">
        <f t="shared" ca="1" si="535"/>
        <v>0</v>
      </c>
      <c r="DN340" s="229">
        <f t="shared" ca="1" si="535"/>
        <v>0</v>
      </c>
      <c r="DO340" s="229">
        <f t="shared" ca="1" si="535"/>
        <v>0</v>
      </c>
      <c r="DP340" s="229">
        <f t="shared" ca="1" si="535"/>
        <v>0</v>
      </c>
      <c r="DQ340" s="229">
        <f t="shared" ca="1" si="535"/>
        <v>0</v>
      </c>
      <c r="DR340" s="229">
        <f t="shared" ca="1" si="535"/>
        <v>0</v>
      </c>
      <c r="DS340" s="229">
        <f t="shared" ca="1" si="535"/>
        <v>0</v>
      </c>
      <c r="DT340" s="229">
        <f t="shared" ca="1" si="535"/>
        <v>0</v>
      </c>
      <c r="DU340" s="229">
        <f t="shared" ca="1" si="535"/>
        <v>0</v>
      </c>
    </row>
    <row r="341" spans="1:125" x14ac:dyDescent="0.3">
      <c r="E341" s="229"/>
      <c r="F341" s="229"/>
      <c r="G341" s="229"/>
      <c r="H341" s="229"/>
      <c r="I341" s="229"/>
      <c r="J341" s="229"/>
      <c r="K341" s="229"/>
      <c r="L341" s="229"/>
      <c r="M341" s="229"/>
      <c r="N341" s="229"/>
      <c r="O341" s="229"/>
      <c r="P341" s="229"/>
      <c r="Q341" s="229"/>
      <c r="R341" s="229"/>
      <c r="S341" s="229"/>
      <c r="T341" s="229"/>
      <c r="U341" s="229"/>
      <c r="V341" s="229"/>
      <c r="W341" s="229"/>
      <c r="X341" s="229"/>
      <c r="Y341" s="229"/>
      <c r="Z341" s="229"/>
      <c r="AA341" s="229"/>
      <c r="AB341" s="229"/>
      <c r="AC341" s="229"/>
      <c r="AD341" s="229"/>
      <c r="AE341" s="229"/>
      <c r="AF341" s="229"/>
      <c r="AG341" s="229"/>
      <c r="AH341" s="229"/>
      <c r="AI341" s="229"/>
      <c r="AJ341" s="229"/>
      <c r="AK341" s="229"/>
      <c r="AL341" s="229"/>
      <c r="AM341" s="229"/>
      <c r="AN341" s="229"/>
      <c r="AO341" s="229"/>
      <c r="AP341" s="229"/>
      <c r="AQ341" s="229"/>
      <c r="AR341" s="229"/>
      <c r="AS341" s="229"/>
      <c r="AT341" s="229"/>
      <c r="AU341" s="229"/>
      <c r="AV341" s="229"/>
      <c r="AW341" s="229"/>
      <c r="AX341" s="229"/>
      <c r="AY341" s="229"/>
      <c r="AZ341" s="229"/>
      <c r="BA341" s="229"/>
      <c r="BB341" s="229"/>
      <c r="BC341" s="229"/>
      <c r="BD341" s="229"/>
      <c r="BE341" s="229"/>
      <c r="BF341" s="229"/>
      <c r="BG341" s="229"/>
      <c r="BH341" s="229"/>
      <c r="BI341" s="229"/>
      <c r="BJ341" s="229"/>
      <c r="BK341" s="229"/>
      <c r="BL341" s="229"/>
      <c r="BM341" s="229"/>
      <c r="BN341" s="229"/>
      <c r="BO341" s="229"/>
      <c r="BP341" s="229"/>
      <c r="BQ341" s="229"/>
      <c r="BR341" s="229"/>
      <c r="BS341" s="229"/>
      <c r="BT341" s="229"/>
      <c r="BU341" s="229"/>
      <c r="BV341" s="229"/>
      <c r="BW341" s="229"/>
      <c r="BX341" s="229"/>
      <c r="BY341" s="229"/>
      <c r="BZ341" s="229"/>
      <c r="CA341" s="229"/>
      <c r="CB341" s="229"/>
      <c r="CC341" s="229"/>
      <c r="CD341" s="229"/>
      <c r="CE341" s="229"/>
      <c r="CF341" s="229"/>
      <c r="CG341" s="229"/>
      <c r="CH341" s="229"/>
      <c r="CI341" s="229"/>
      <c r="CJ341" s="229"/>
      <c r="CK341" s="229"/>
      <c r="CL341" s="229"/>
      <c r="CM341" s="229"/>
      <c r="CN341" s="229"/>
      <c r="CO341" s="229"/>
      <c r="CP341" s="229"/>
      <c r="CQ341" s="229"/>
      <c r="CR341" s="229"/>
      <c r="CS341" s="229"/>
      <c r="CT341" s="229"/>
      <c r="CU341" s="229"/>
      <c r="CV341" s="229"/>
      <c r="CW341" s="229"/>
      <c r="CX341" s="229"/>
      <c r="CY341" s="229"/>
      <c r="CZ341" s="229"/>
      <c r="DA341" s="229"/>
      <c r="DB341" s="229"/>
      <c r="DC341" s="229"/>
      <c r="DD341" s="229"/>
      <c r="DE341" s="229"/>
      <c r="DF341" s="229"/>
      <c r="DG341" s="229"/>
      <c r="DH341" s="229"/>
      <c r="DI341" s="229"/>
      <c r="DJ341" s="229"/>
      <c r="DK341" s="229"/>
      <c r="DL341" s="229"/>
      <c r="DM341" s="229"/>
      <c r="DN341" s="229"/>
      <c r="DO341" s="229"/>
      <c r="DP341" s="229"/>
      <c r="DQ341" s="229"/>
      <c r="DR341" s="229"/>
      <c r="DS341" s="229"/>
      <c r="DT341" s="229"/>
      <c r="DU341" s="229"/>
    </row>
    <row r="342" spans="1:125" x14ac:dyDescent="0.3">
      <c r="A342" t="s">
        <v>2541</v>
      </c>
      <c r="C342" s="229">
        <f ca="1">SUM(E342:DU342)</f>
        <v>687977.99248659844</v>
      </c>
      <c r="E342" s="229">
        <f ca="1">E339+E336</f>
        <v>-93600.347520574287</v>
      </c>
      <c r="F342" s="229">
        <f t="shared" ref="F342:BQ342" ca="1" si="536">F339+F336</f>
        <v>-759984.51585117937</v>
      </c>
      <c r="G342" s="229">
        <f t="shared" ca="1" si="536"/>
        <v>-23875.477164994769</v>
      </c>
      <c r="H342" s="229">
        <f t="shared" ca="1" si="536"/>
        <v>-36250.902375193073</v>
      </c>
      <c r="I342" s="229">
        <f t="shared" ca="1" si="536"/>
        <v>-61567.571300168056</v>
      </c>
      <c r="J342" s="229">
        <f t="shared" ca="1" si="536"/>
        <v>-100472.25431216895</v>
      </c>
      <c r="K342" s="229">
        <f t="shared" ca="1" si="536"/>
        <v>-103413.86414070406</v>
      </c>
      <c r="L342" s="229">
        <f t="shared" ca="1" si="536"/>
        <v>-131777.80473086692</v>
      </c>
      <c r="M342" s="229">
        <f t="shared" ca="1" si="536"/>
        <v>-156315.56876229716</v>
      </c>
      <c r="N342" s="229">
        <f t="shared" ca="1" si="536"/>
        <v>-182982.23119529791</v>
      </c>
      <c r="O342" s="229">
        <f t="shared" ca="1" si="536"/>
        <v>-103851.01034557028</v>
      </c>
      <c r="P342" s="229">
        <f t="shared" ca="1" si="536"/>
        <v>0</v>
      </c>
      <c r="Q342" s="229">
        <f t="shared" ca="1" si="536"/>
        <v>0</v>
      </c>
      <c r="R342" s="229">
        <f t="shared" ca="1" si="536"/>
        <v>0</v>
      </c>
      <c r="S342" s="229">
        <f t="shared" ca="1" si="536"/>
        <v>0</v>
      </c>
      <c r="T342" s="229">
        <f t="shared" ca="1" si="536"/>
        <v>0</v>
      </c>
      <c r="U342" s="229">
        <f t="shared" ca="1" si="536"/>
        <v>0</v>
      </c>
      <c r="V342" s="229">
        <f t="shared" ca="1" si="536"/>
        <v>0</v>
      </c>
      <c r="W342" s="229">
        <f t="shared" ca="1" si="536"/>
        <v>0</v>
      </c>
      <c r="X342" s="229">
        <f t="shared" ca="1" si="536"/>
        <v>0</v>
      </c>
      <c r="Y342" s="229">
        <f t="shared" ca="1" si="536"/>
        <v>0</v>
      </c>
      <c r="Z342" s="229">
        <f t="shared" ca="1" si="536"/>
        <v>0</v>
      </c>
      <c r="AA342" s="229">
        <f t="shared" ca="1" si="536"/>
        <v>0</v>
      </c>
      <c r="AB342" s="229">
        <f t="shared" ca="1" si="536"/>
        <v>0</v>
      </c>
      <c r="AC342" s="229">
        <f t="shared" ca="1" si="536"/>
        <v>2205.6514745045665</v>
      </c>
      <c r="AD342" s="229">
        <f t="shared" ca="1" si="536"/>
        <v>4216.5211193181594</v>
      </c>
      <c r="AE342" s="229">
        <f t="shared" ca="1" si="536"/>
        <v>6506.2131554283815</v>
      </c>
      <c r="AF342" s="229">
        <f t="shared" ca="1" si="536"/>
        <v>10978.111864454066</v>
      </c>
      <c r="AG342" s="229">
        <f t="shared" ca="1" si="536"/>
        <v>2418163.0425719083</v>
      </c>
      <c r="AH342" s="229">
        <f t="shared" ca="1" si="536"/>
        <v>0</v>
      </c>
      <c r="AI342" s="229">
        <f t="shared" ca="1" si="536"/>
        <v>0</v>
      </c>
      <c r="AJ342" s="229">
        <f t="shared" ca="1" si="536"/>
        <v>0</v>
      </c>
      <c r="AK342" s="229">
        <f t="shared" ca="1" si="536"/>
        <v>0</v>
      </c>
      <c r="AL342" s="229">
        <f t="shared" ca="1" si="536"/>
        <v>0</v>
      </c>
      <c r="AM342" s="229">
        <f t="shared" ca="1" si="536"/>
        <v>0</v>
      </c>
      <c r="AN342" s="229">
        <f t="shared" ca="1" si="536"/>
        <v>0</v>
      </c>
      <c r="AO342" s="229">
        <f t="shared" ca="1" si="536"/>
        <v>0</v>
      </c>
      <c r="AP342" s="229">
        <f t="shared" ca="1" si="536"/>
        <v>0</v>
      </c>
      <c r="AQ342" s="229">
        <f t="shared" ca="1" si="536"/>
        <v>0</v>
      </c>
      <c r="AR342" s="229">
        <f t="shared" ca="1" si="536"/>
        <v>0</v>
      </c>
      <c r="AS342" s="229">
        <f t="shared" ca="1" si="536"/>
        <v>0</v>
      </c>
      <c r="AT342" s="229">
        <f t="shared" ca="1" si="536"/>
        <v>0</v>
      </c>
      <c r="AU342" s="229">
        <f t="shared" ca="1" si="536"/>
        <v>0</v>
      </c>
      <c r="AV342" s="229">
        <f t="shared" ca="1" si="536"/>
        <v>0</v>
      </c>
      <c r="AW342" s="229">
        <f t="shared" ca="1" si="536"/>
        <v>0</v>
      </c>
      <c r="AX342" s="229">
        <f t="shared" ca="1" si="536"/>
        <v>0</v>
      </c>
      <c r="AY342" s="229">
        <f t="shared" ca="1" si="536"/>
        <v>0</v>
      </c>
      <c r="AZ342" s="229">
        <f t="shared" ca="1" si="536"/>
        <v>0</v>
      </c>
      <c r="BA342" s="229">
        <f t="shared" ca="1" si="536"/>
        <v>0</v>
      </c>
      <c r="BB342" s="229">
        <f t="shared" ca="1" si="536"/>
        <v>0</v>
      </c>
      <c r="BC342" s="229">
        <f t="shared" ca="1" si="536"/>
        <v>0</v>
      </c>
      <c r="BD342" s="229">
        <f t="shared" ca="1" si="536"/>
        <v>0</v>
      </c>
      <c r="BE342" s="229">
        <f t="shared" ca="1" si="536"/>
        <v>0</v>
      </c>
      <c r="BF342" s="229">
        <f t="shared" ca="1" si="536"/>
        <v>0</v>
      </c>
      <c r="BG342" s="229">
        <f t="shared" ca="1" si="536"/>
        <v>0</v>
      </c>
      <c r="BH342" s="229">
        <f t="shared" ca="1" si="536"/>
        <v>0</v>
      </c>
      <c r="BI342" s="229">
        <f t="shared" ca="1" si="536"/>
        <v>0</v>
      </c>
      <c r="BJ342" s="229">
        <f t="shared" ca="1" si="536"/>
        <v>0</v>
      </c>
      <c r="BK342" s="229">
        <f t="shared" ca="1" si="536"/>
        <v>0</v>
      </c>
      <c r="BL342" s="229">
        <f t="shared" ca="1" si="536"/>
        <v>0</v>
      </c>
      <c r="BM342" s="229">
        <f t="shared" ca="1" si="536"/>
        <v>0</v>
      </c>
      <c r="BN342" s="229">
        <f t="shared" ca="1" si="536"/>
        <v>0</v>
      </c>
      <c r="BO342" s="229">
        <f t="shared" ca="1" si="536"/>
        <v>0</v>
      </c>
      <c r="BP342" s="229">
        <f t="shared" ca="1" si="536"/>
        <v>0</v>
      </c>
      <c r="BQ342" s="229">
        <f t="shared" ca="1" si="536"/>
        <v>0</v>
      </c>
      <c r="BR342" s="229">
        <f t="shared" ref="BR342:DU342" ca="1" si="537">BR339+BR336</f>
        <v>0</v>
      </c>
      <c r="BS342" s="229">
        <f t="shared" ca="1" si="537"/>
        <v>0</v>
      </c>
      <c r="BT342" s="229">
        <f t="shared" ca="1" si="537"/>
        <v>0</v>
      </c>
      <c r="BU342" s="229">
        <f t="shared" ca="1" si="537"/>
        <v>0</v>
      </c>
      <c r="BV342" s="229">
        <f t="shared" ca="1" si="537"/>
        <v>0</v>
      </c>
      <c r="BW342" s="229">
        <f t="shared" ca="1" si="537"/>
        <v>0</v>
      </c>
      <c r="BX342" s="229">
        <f t="shared" ca="1" si="537"/>
        <v>0</v>
      </c>
      <c r="BY342" s="229">
        <f t="shared" ca="1" si="537"/>
        <v>0</v>
      </c>
      <c r="BZ342" s="229">
        <f t="shared" ca="1" si="537"/>
        <v>0</v>
      </c>
      <c r="CA342" s="229">
        <f t="shared" ca="1" si="537"/>
        <v>0</v>
      </c>
      <c r="CB342" s="229">
        <f t="shared" ca="1" si="537"/>
        <v>0</v>
      </c>
      <c r="CC342" s="229">
        <f t="shared" ca="1" si="537"/>
        <v>0</v>
      </c>
      <c r="CD342" s="229">
        <f t="shared" ca="1" si="537"/>
        <v>0</v>
      </c>
      <c r="CE342" s="229">
        <f t="shared" ca="1" si="537"/>
        <v>0</v>
      </c>
      <c r="CF342" s="229">
        <f t="shared" ca="1" si="537"/>
        <v>0</v>
      </c>
      <c r="CG342" s="229">
        <f t="shared" ca="1" si="537"/>
        <v>0</v>
      </c>
      <c r="CH342" s="229">
        <f t="shared" ca="1" si="537"/>
        <v>0</v>
      </c>
      <c r="CI342" s="229">
        <f t="shared" ca="1" si="537"/>
        <v>0</v>
      </c>
      <c r="CJ342" s="229">
        <f t="shared" ca="1" si="537"/>
        <v>0</v>
      </c>
      <c r="CK342" s="229">
        <f t="shared" ca="1" si="537"/>
        <v>0</v>
      </c>
      <c r="CL342" s="229">
        <f t="shared" ca="1" si="537"/>
        <v>0</v>
      </c>
      <c r="CM342" s="229">
        <f t="shared" ca="1" si="537"/>
        <v>0</v>
      </c>
      <c r="CN342" s="229">
        <f t="shared" ca="1" si="537"/>
        <v>0</v>
      </c>
      <c r="CO342" s="229">
        <f t="shared" ca="1" si="537"/>
        <v>0</v>
      </c>
      <c r="CP342" s="229">
        <f t="shared" ca="1" si="537"/>
        <v>0</v>
      </c>
      <c r="CQ342" s="229">
        <f t="shared" ca="1" si="537"/>
        <v>0</v>
      </c>
      <c r="CR342" s="229">
        <f t="shared" ca="1" si="537"/>
        <v>0</v>
      </c>
      <c r="CS342" s="229">
        <f t="shared" ca="1" si="537"/>
        <v>0</v>
      </c>
      <c r="CT342" s="229">
        <f t="shared" ca="1" si="537"/>
        <v>0</v>
      </c>
      <c r="CU342" s="229">
        <f t="shared" ca="1" si="537"/>
        <v>0</v>
      </c>
      <c r="CV342" s="229">
        <f t="shared" ca="1" si="537"/>
        <v>0</v>
      </c>
      <c r="CW342" s="229">
        <f t="shared" ca="1" si="537"/>
        <v>0</v>
      </c>
      <c r="CX342" s="229">
        <f t="shared" ca="1" si="537"/>
        <v>0</v>
      </c>
      <c r="CY342" s="229">
        <f t="shared" ca="1" si="537"/>
        <v>0</v>
      </c>
      <c r="CZ342" s="229">
        <f t="shared" ca="1" si="537"/>
        <v>0</v>
      </c>
      <c r="DA342" s="229">
        <f t="shared" ca="1" si="537"/>
        <v>0</v>
      </c>
      <c r="DB342" s="229">
        <f t="shared" ca="1" si="537"/>
        <v>0</v>
      </c>
      <c r="DC342" s="229">
        <f t="shared" ca="1" si="537"/>
        <v>0</v>
      </c>
      <c r="DD342" s="229">
        <f t="shared" ca="1" si="537"/>
        <v>0</v>
      </c>
      <c r="DE342" s="229">
        <f t="shared" ca="1" si="537"/>
        <v>0</v>
      </c>
      <c r="DF342" s="229">
        <f t="shared" ca="1" si="537"/>
        <v>0</v>
      </c>
      <c r="DG342" s="229">
        <f t="shared" ca="1" si="537"/>
        <v>0</v>
      </c>
      <c r="DH342" s="229">
        <f t="shared" ca="1" si="537"/>
        <v>0</v>
      </c>
      <c r="DI342" s="229">
        <f t="shared" ca="1" si="537"/>
        <v>0</v>
      </c>
      <c r="DJ342" s="229">
        <f t="shared" ca="1" si="537"/>
        <v>0</v>
      </c>
      <c r="DK342" s="229">
        <f t="shared" ca="1" si="537"/>
        <v>0</v>
      </c>
      <c r="DL342" s="229">
        <f t="shared" ca="1" si="537"/>
        <v>0</v>
      </c>
      <c r="DM342" s="229">
        <f t="shared" ca="1" si="537"/>
        <v>0</v>
      </c>
      <c r="DN342" s="229">
        <f t="shared" ca="1" si="537"/>
        <v>0</v>
      </c>
      <c r="DO342" s="229">
        <f t="shared" ca="1" si="537"/>
        <v>0</v>
      </c>
      <c r="DP342" s="229">
        <f t="shared" ca="1" si="537"/>
        <v>0</v>
      </c>
      <c r="DQ342" s="229">
        <f t="shared" ca="1" si="537"/>
        <v>0</v>
      </c>
      <c r="DR342" s="229">
        <f t="shared" ca="1" si="537"/>
        <v>0</v>
      </c>
      <c r="DS342" s="229">
        <f t="shared" ca="1" si="537"/>
        <v>0</v>
      </c>
      <c r="DT342" s="229">
        <f t="shared" ca="1" si="537"/>
        <v>0</v>
      </c>
      <c r="DU342" s="229">
        <f t="shared" ca="1" si="537"/>
        <v>0</v>
      </c>
    </row>
    <row r="343" spans="1:125" x14ac:dyDescent="0.3">
      <c r="A343" t="s">
        <v>1143</v>
      </c>
      <c r="C343" s="199">
        <f ca="1">XIRR(OFFSET(E342,0,D343):DU342,OFFSET($E$6,0,D343):$DU$6)</f>
        <v>0.17960297465324404</v>
      </c>
      <c r="E343" s="229"/>
      <c r="F343" s="229"/>
      <c r="G343" s="229"/>
      <c r="H343" s="229"/>
      <c r="I343" s="229"/>
      <c r="J343" s="229"/>
      <c r="K343" s="229"/>
      <c r="L343" s="229"/>
      <c r="M343" s="229"/>
      <c r="N343" s="229"/>
      <c r="O343" s="229"/>
      <c r="P343" s="229"/>
      <c r="Q343" s="229"/>
      <c r="R343" s="229"/>
      <c r="S343" s="229"/>
      <c r="T343" s="229"/>
      <c r="U343" s="229"/>
      <c r="V343" s="229"/>
      <c r="W343" s="229"/>
      <c r="X343" s="229"/>
      <c r="Y343" s="229"/>
      <c r="Z343" s="229"/>
      <c r="AA343" s="229"/>
      <c r="AB343" s="229"/>
      <c r="AC343" s="229"/>
      <c r="AD343" s="229"/>
      <c r="AE343" s="229"/>
      <c r="AF343" s="229"/>
      <c r="AG343" s="229"/>
      <c r="AH343" s="229"/>
      <c r="AI343" s="229"/>
      <c r="AJ343" s="229"/>
      <c r="AK343" s="229"/>
      <c r="AL343" s="229"/>
      <c r="AM343" s="229"/>
      <c r="AN343" s="229"/>
      <c r="AO343" s="229"/>
      <c r="AP343" s="229"/>
      <c r="AQ343" s="229"/>
      <c r="AR343" s="229"/>
      <c r="AS343" s="229"/>
      <c r="AT343" s="229"/>
      <c r="AU343" s="229"/>
      <c r="AV343" s="229"/>
      <c r="AW343" s="229"/>
      <c r="AX343" s="229"/>
      <c r="AY343" s="229"/>
      <c r="AZ343" s="229"/>
      <c r="BA343" s="229"/>
      <c r="BB343" s="229"/>
      <c r="BC343" s="229"/>
      <c r="BD343" s="229"/>
      <c r="BE343" s="229"/>
      <c r="BF343" s="229"/>
      <c r="BG343" s="229"/>
      <c r="BH343" s="229"/>
      <c r="BI343" s="229"/>
      <c r="BJ343" s="229"/>
      <c r="BK343" s="229"/>
      <c r="BL343" s="229"/>
      <c r="BM343" s="229"/>
      <c r="BN343" s="229"/>
      <c r="BO343" s="229"/>
      <c r="BP343" s="229"/>
      <c r="BQ343" s="229"/>
      <c r="BR343" s="229"/>
      <c r="BS343" s="229"/>
      <c r="BT343" s="229"/>
      <c r="BU343" s="229"/>
      <c r="BV343" s="229"/>
      <c r="BW343" s="229"/>
      <c r="BX343" s="229"/>
      <c r="BY343" s="229"/>
      <c r="BZ343" s="229"/>
      <c r="CA343" s="229"/>
      <c r="CB343" s="229"/>
      <c r="CC343" s="229"/>
      <c r="CD343" s="229"/>
      <c r="CE343" s="229"/>
      <c r="CF343" s="229"/>
      <c r="CG343" s="229"/>
      <c r="CH343" s="229"/>
      <c r="CI343" s="229"/>
      <c r="CJ343" s="229"/>
      <c r="CK343" s="229"/>
      <c r="CL343" s="229"/>
      <c r="CM343" s="229"/>
      <c r="CN343" s="229"/>
      <c r="CO343" s="229"/>
      <c r="CP343" s="229"/>
      <c r="CQ343" s="229"/>
      <c r="CR343" s="229"/>
      <c r="CS343" s="229"/>
      <c r="CT343" s="229"/>
      <c r="CU343" s="229"/>
      <c r="CV343" s="229"/>
      <c r="CW343" s="229"/>
      <c r="CX343" s="229"/>
      <c r="CY343" s="229"/>
      <c r="CZ343" s="229"/>
      <c r="DA343" s="229"/>
      <c r="DB343" s="229"/>
      <c r="DC343" s="229"/>
      <c r="DD343" s="229"/>
      <c r="DE343" s="229"/>
      <c r="DF343" s="229"/>
      <c r="DG343" s="229"/>
      <c r="DH343" s="229"/>
      <c r="DI343" s="229"/>
      <c r="DJ343" s="229"/>
      <c r="DK343" s="229"/>
      <c r="DL343" s="229"/>
      <c r="DM343" s="229"/>
      <c r="DN343" s="229"/>
      <c r="DO343" s="229"/>
      <c r="DP343" s="229"/>
      <c r="DQ343" s="229"/>
      <c r="DR343" s="229"/>
      <c r="DS343" s="229"/>
      <c r="DT343" s="229"/>
      <c r="DU343" s="229"/>
    </row>
    <row r="344" spans="1:125" x14ac:dyDescent="0.3">
      <c r="C344" s="426"/>
      <c r="D344" s="2568"/>
      <c r="E344" s="229"/>
      <c r="F344" s="229"/>
      <c r="G344" s="229"/>
      <c r="H344" s="229"/>
      <c r="I344" s="229"/>
      <c r="J344" s="229"/>
      <c r="K344" s="229"/>
      <c r="L344" s="229"/>
      <c r="M344" s="229"/>
      <c r="N344" s="229"/>
      <c r="O344" s="229"/>
      <c r="P344" s="229"/>
      <c r="Q344" s="229"/>
      <c r="R344" s="229"/>
      <c r="S344" s="229"/>
      <c r="T344" s="229"/>
      <c r="U344" s="229"/>
      <c r="V344" s="229"/>
      <c r="W344" s="229"/>
      <c r="X344" s="229"/>
      <c r="Y344" s="229"/>
      <c r="Z344" s="229"/>
      <c r="AA344" s="229"/>
      <c r="AB344" s="229"/>
      <c r="AC344" s="229"/>
      <c r="AD344" s="229"/>
      <c r="AE344" s="229"/>
      <c r="AF344" s="229"/>
      <c r="AG344" s="229"/>
      <c r="AH344" s="229"/>
      <c r="AI344" s="229"/>
      <c r="AJ344" s="229"/>
      <c r="AK344" s="229"/>
      <c r="AL344" s="229"/>
      <c r="AM344" s="229"/>
      <c r="AN344" s="229"/>
      <c r="AO344" s="229"/>
      <c r="AP344" s="229"/>
      <c r="AQ344" s="229"/>
      <c r="AR344" s="229"/>
      <c r="AS344" s="229"/>
      <c r="AT344" s="229"/>
      <c r="AU344" s="229"/>
      <c r="AV344" s="229"/>
      <c r="AW344" s="229"/>
      <c r="AX344" s="229"/>
      <c r="AY344" s="229"/>
      <c r="AZ344" s="229"/>
      <c r="BA344" s="229"/>
      <c r="BB344" s="229"/>
      <c r="BC344" s="229"/>
      <c r="BD344" s="229"/>
      <c r="BE344" s="229"/>
      <c r="BF344" s="229"/>
      <c r="BG344" s="229"/>
      <c r="BH344" s="229"/>
      <c r="BI344" s="229"/>
      <c r="BJ344" s="229"/>
      <c r="BK344" s="229"/>
      <c r="BL344" s="229"/>
      <c r="BM344" s="229"/>
      <c r="BN344" s="229"/>
      <c r="BO344" s="229"/>
      <c r="BP344" s="229"/>
      <c r="BQ344" s="229"/>
      <c r="BR344" s="229"/>
      <c r="BS344" s="229"/>
      <c r="BT344" s="229"/>
      <c r="BU344" s="229"/>
      <c r="BV344" s="229"/>
      <c r="BW344" s="229"/>
      <c r="BX344" s="229"/>
      <c r="BY344" s="229"/>
      <c r="BZ344" s="229"/>
      <c r="CA344" s="229"/>
      <c r="CB344" s="229"/>
      <c r="CC344" s="229"/>
      <c r="CD344" s="229"/>
      <c r="CE344" s="229"/>
      <c r="CF344" s="229"/>
      <c r="CG344" s="229"/>
      <c r="CH344" s="229"/>
      <c r="CI344" s="229"/>
      <c r="CJ344" s="229"/>
      <c r="CK344" s="229"/>
      <c r="CL344" s="229"/>
      <c r="CM344" s="229"/>
      <c r="CN344" s="229"/>
      <c r="CO344" s="229"/>
      <c r="CP344" s="229"/>
      <c r="CQ344" s="229"/>
      <c r="CR344" s="229"/>
      <c r="CS344" s="229"/>
      <c r="CT344" s="229"/>
      <c r="CU344" s="229"/>
      <c r="CV344" s="229"/>
      <c r="CW344" s="229"/>
      <c r="CX344" s="229"/>
      <c r="CY344" s="229"/>
      <c r="CZ344" s="229"/>
      <c r="DA344" s="229"/>
      <c r="DB344" s="229"/>
      <c r="DC344" s="229"/>
      <c r="DD344" s="229"/>
      <c r="DE344" s="229"/>
      <c r="DF344" s="229"/>
      <c r="DG344" s="229"/>
      <c r="DH344" s="229"/>
      <c r="DI344" s="229"/>
      <c r="DJ344" s="229"/>
      <c r="DK344" s="229"/>
      <c r="DL344" s="229"/>
      <c r="DM344" s="229"/>
      <c r="DN344" s="229"/>
      <c r="DO344" s="229"/>
      <c r="DP344" s="229"/>
      <c r="DQ344" s="229"/>
      <c r="DR344" s="229"/>
      <c r="DS344" s="229"/>
      <c r="DT344" s="229"/>
      <c r="DU344" s="229"/>
    </row>
    <row r="345" spans="1:125" x14ac:dyDescent="0.3">
      <c r="A345" s="700" t="s">
        <v>2542</v>
      </c>
      <c r="C345" s="2569">
        <v>0.18</v>
      </c>
      <c r="D345" s="652"/>
      <c r="AU345" s="228"/>
    </row>
    <row r="346" spans="1:125" x14ac:dyDescent="0.3">
      <c r="A346" t="s">
        <v>2461</v>
      </c>
      <c r="E346">
        <v>0</v>
      </c>
      <c r="F346" s="229">
        <f ca="1">E351</f>
        <v>-93600.347520574287</v>
      </c>
      <c r="G346" s="229">
        <f t="shared" ref="G346:BR346" ca="1" si="538">F351</f>
        <v>-854884.82527888007</v>
      </c>
      <c r="H346" s="229">
        <f t="shared" ca="1" si="538"/>
        <v>-890633.31079567317</v>
      </c>
      <c r="I346" s="229">
        <f t="shared" ca="1" si="538"/>
        <v>-939253.71187382564</v>
      </c>
      <c r="J346" s="229">
        <f t="shared" ca="1" si="538"/>
        <v>-1013866.0429308388</v>
      </c>
      <c r="K346" s="229">
        <f t="shared" ca="1" si="538"/>
        <v>-1128419.3051628706</v>
      </c>
      <c r="L346" s="229">
        <f t="shared" ca="1" si="538"/>
        <v>-1247505.1422271302</v>
      </c>
      <c r="M346" s="229">
        <f t="shared" ca="1" si="538"/>
        <v>-1396608.8352351016</v>
      </c>
      <c r="N346" s="229">
        <f t="shared" ca="1" si="538"/>
        <v>-1572321.1085295356</v>
      </c>
      <c r="O346" s="229">
        <f t="shared" ca="1" si="538"/>
        <v>-1777140.4119259808</v>
      </c>
      <c r="P346" s="229">
        <f t="shared" ca="1" si="538"/>
        <v>-1905673.1131019297</v>
      </c>
      <c r="Q346" s="229">
        <f t="shared" ca="1" si="538"/>
        <v>-1932139.9214000832</v>
      </c>
      <c r="R346" s="229">
        <f t="shared" ca="1" si="538"/>
        <v>-1958974.3121218304</v>
      </c>
      <c r="S346" s="229">
        <f t="shared" ca="1" si="538"/>
        <v>-1986181.3904100587</v>
      </c>
      <c r="T346" s="229">
        <f t="shared" ca="1" si="538"/>
        <v>-2013766.3323100768</v>
      </c>
      <c r="U346" s="229">
        <f t="shared" ca="1" si="538"/>
        <v>-2041734.3857543382</v>
      </c>
      <c r="V346" s="229">
        <f t="shared" ca="1" si="538"/>
        <v>-2070090.8715608409</v>
      </c>
      <c r="W346" s="229">
        <f t="shared" ca="1" si="538"/>
        <v>-2098841.1844453928</v>
      </c>
      <c r="X346" s="229">
        <f t="shared" ca="1" si="538"/>
        <v>-2127990.7940479368</v>
      </c>
      <c r="Y346" s="229">
        <f t="shared" ca="1" si="538"/>
        <v>-2157545.2459731293</v>
      </c>
      <c r="Z346" s="229">
        <f t="shared" ca="1" si="538"/>
        <v>-2187510.1628453699</v>
      </c>
      <c r="AA346" s="229">
        <f t="shared" ca="1" si="538"/>
        <v>-2217891.2453784868</v>
      </c>
      <c r="AB346" s="229">
        <f t="shared" ca="1" si="538"/>
        <v>-2248694.2734602741</v>
      </c>
      <c r="AC346" s="229">
        <f t="shared" ca="1" si="538"/>
        <v>-2279925.1072520954</v>
      </c>
      <c r="AD346" s="229">
        <f t="shared" ca="1" si="538"/>
        <v>-2309384.0368292523</v>
      </c>
      <c r="AE346" s="229">
        <f t="shared" ca="1" si="538"/>
        <v>-2337241.2350531672</v>
      </c>
      <c r="AF346" s="229">
        <f t="shared" ca="1" si="538"/>
        <v>-2363195.6339982064</v>
      </c>
      <c r="AG346" s="229">
        <f t="shared" ca="1" si="538"/>
        <v>-2385038.6000962029</v>
      </c>
      <c r="AH346" s="229">
        <f t="shared" ca="1" si="538"/>
        <v>0</v>
      </c>
      <c r="AI346" s="229">
        <f t="shared" ca="1" si="538"/>
        <v>0</v>
      </c>
      <c r="AJ346" s="229">
        <f t="shared" ca="1" si="538"/>
        <v>0</v>
      </c>
      <c r="AK346" s="229">
        <f t="shared" ca="1" si="538"/>
        <v>0</v>
      </c>
      <c r="AL346" s="229">
        <f t="shared" ca="1" si="538"/>
        <v>0</v>
      </c>
      <c r="AM346" s="229">
        <f t="shared" ca="1" si="538"/>
        <v>0</v>
      </c>
      <c r="AN346" s="229">
        <f t="shared" ca="1" si="538"/>
        <v>0</v>
      </c>
      <c r="AO346" s="229">
        <f t="shared" ca="1" si="538"/>
        <v>0</v>
      </c>
      <c r="AP346" s="229">
        <f t="shared" ca="1" si="538"/>
        <v>0</v>
      </c>
      <c r="AQ346" s="229">
        <f t="shared" ca="1" si="538"/>
        <v>0</v>
      </c>
      <c r="AR346" s="229">
        <f t="shared" ca="1" si="538"/>
        <v>0</v>
      </c>
      <c r="AS346" s="229">
        <f t="shared" ca="1" si="538"/>
        <v>0</v>
      </c>
      <c r="AT346" s="229">
        <f t="shared" ca="1" si="538"/>
        <v>0</v>
      </c>
      <c r="AU346" s="229">
        <f t="shared" ca="1" si="538"/>
        <v>0</v>
      </c>
      <c r="AV346" s="229">
        <f t="shared" ca="1" si="538"/>
        <v>0</v>
      </c>
      <c r="AW346" s="229">
        <f t="shared" ca="1" si="538"/>
        <v>0</v>
      </c>
      <c r="AX346" s="229">
        <f t="shared" ca="1" si="538"/>
        <v>0</v>
      </c>
      <c r="AY346" s="229">
        <f t="shared" ca="1" si="538"/>
        <v>0</v>
      </c>
      <c r="AZ346" s="229">
        <f t="shared" ca="1" si="538"/>
        <v>0</v>
      </c>
      <c r="BA346" s="229">
        <f t="shared" ca="1" si="538"/>
        <v>0</v>
      </c>
      <c r="BB346" s="229">
        <f t="shared" ca="1" si="538"/>
        <v>0</v>
      </c>
      <c r="BC346" s="229">
        <f t="shared" ca="1" si="538"/>
        <v>0</v>
      </c>
      <c r="BD346" s="229">
        <f t="shared" ca="1" si="538"/>
        <v>0</v>
      </c>
      <c r="BE346" s="229">
        <f t="shared" ca="1" si="538"/>
        <v>0</v>
      </c>
      <c r="BF346" s="229">
        <f t="shared" ca="1" si="538"/>
        <v>0</v>
      </c>
      <c r="BG346" s="229">
        <f t="shared" ca="1" si="538"/>
        <v>0</v>
      </c>
      <c r="BH346" s="229">
        <f t="shared" ca="1" si="538"/>
        <v>0</v>
      </c>
      <c r="BI346" s="229">
        <f t="shared" ca="1" si="538"/>
        <v>0</v>
      </c>
      <c r="BJ346" s="229">
        <f t="shared" ca="1" si="538"/>
        <v>0</v>
      </c>
      <c r="BK346" s="229">
        <f t="shared" ca="1" si="538"/>
        <v>0</v>
      </c>
      <c r="BL346" s="229">
        <f t="shared" ca="1" si="538"/>
        <v>0</v>
      </c>
      <c r="BM346" s="229">
        <f t="shared" ca="1" si="538"/>
        <v>0</v>
      </c>
      <c r="BN346" s="229">
        <f t="shared" ca="1" si="538"/>
        <v>0</v>
      </c>
      <c r="BO346" s="229">
        <f t="shared" ca="1" si="538"/>
        <v>0</v>
      </c>
      <c r="BP346" s="229">
        <f t="shared" ca="1" si="538"/>
        <v>0</v>
      </c>
      <c r="BQ346" s="229">
        <f t="shared" ca="1" si="538"/>
        <v>0</v>
      </c>
      <c r="BR346" s="229">
        <f t="shared" ca="1" si="538"/>
        <v>0</v>
      </c>
      <c r="BS346" s="229">
        <f t="shared" ref="BS346:DU346" ca="1" si="539">BR351</f>
        <v>0</v>
      </c>
      <c r="BT346" s="229">
        <f t="shared" ca="1" si="539"/>
        <v>0</v>
      </c>
      <c r="BU346" s="229">
        <f t="shared" ca="1" si="539"/>
        <v>0</v>
      </c>
      <c r="BV346" s="229">
        <f t="shared" ca="1" si="539"/>
        <v>0</v>
      </c>
      <c r="BW346" s="229">
        <f t="shared" ca="1" si="539"/>
        <v>0</v>
      </c>
      <c r="BX346" s="229">
        <f t="shared" ca="1" si="539"/>
        <v>0</v>
      </c>
      <c r="BY346" s="229">
        <f t="shared" ca="1" si="539"/>
        <v>0</v>
      </c>
      <c r="BZ346" s="229">
        <f t="shared" ca="1" si="539"/>
        <v>0</v>
      </c>
      <c r="CA346" s="229">
        <f t="shared" ca="1" si="539"/>
        <v>0</v>
      </c>
      <c r="CB346" s="229">
        <f t="shared" ca="1" si="539"/>
        <v>0</v>
      </c>
      <c r="CC346" s="229">
        <f t="shared" ca="1" si="539"/>
        <v>0</v>
      </c>
      <c r="CD346" s="229">
        <f t="shared" ca="1" si="539"/>
        <v>0</v>
      </c>
      <c r="CE346" s="229">
        <f t="shared" ca="1" si="539"/>
        <v>0</v>
      </c>
      <c r="CF346" s="229">
        <f t="shared" ca="1" si="539"/>
        <v>0</v>
      </c>
      <c r="CG346" s="229">
        <f t="shared" ca="1" si="539"/>
        <v>0</v>
      </c>
      <c r="CH346" s="229">
        <f t="shared" ca="1" si="539"/>
        <v>0</v>
      </c>
      <c r="CI346" s="229">
        <f t="shared" ca="1" si="539"/>
        <v>0</v>
      </c>
      <c r="CJ346" s="229">
        <f t="shared" ca="1" si="539"/>
        <v>0</v>
      </c>
      <c r="CK346" s="229">
        <f t="shared" ca="1" si="539"/>
        <v>0</v>
      </c>
      <c r="CL346" s="229">
        <f t="shared" ca="1" si="539"/>
        <v>0</v>
      </c>
      <c r="CM346" s="229">
        <f t="shared" ca="1" si="539"/>
        <v>0</v>
      </c>
      <c r="CN346" s="229">
        <f t="shared" ca="1" si="539"/>
        <v>0</v>
      </c>
      <c r="CO346" s="229">
        <f t="shared" ca="1" si="539"/>
        <v>0</v>
      </c>
      <c r="CP346" s="229">
        <f t="shared" ca="1" si="539"/>
        <v>0</v>
      </c>
      <c r="CQ346" s="229">
        <f t="shared" ca="1" si="539"/>
        <v>0</v>
      </c>
      <c r="CR346" s="229">
        <f t="shared" ca="1" si="539"/>
        <v>0</v>
      </c>
      <c r="CS346" s="229">
        <f t="shared" ca="1" si="539"/>
        <v>0</v>
      </c>
      <c r="CT346" s="229">
        <f t="shared" ca="1" si="539"/>
        <v>0</v>
      </c>
      <c r="CU346" s="229">
        <f t="shared" ca="1" si="539"/>
        <v>0</v>
      </c>
      <c r="CV346" s="229">
        <f t="shared" ca="1" si="539"/>
        <v>0</v>
      </c>
      <c r="CW346" s="229">
        <f t="shared" ca="1" si="539"/>
        <v>0</v>
      </c>
      <c r="CX346" s="229">
        <f t="shared" ca="1" si="539"/>
        <v>0</v>
      </c>
      <c r="CY346" s="229">
        <f t="shared" ca="1" si="539"/>
        <v>0</v>
      </c>
      <c r="CZ346" s="229">
        <f t="shared" ca="1" si="539"/>
        <v>0</v>
      </c>
      <c r="DA346" s="229">
        <f t="shared" ca="1" si="539"/>
        <v>0</v>
      </c>
      <c r="DB346" s="229">
        <f t="shared" ca="1" si="539"/>
        <v>0</v>
      </c>
      <c r="DC346" s="229">
        <f t="shared" ca="1" si="539"/>
        <v>0</v>
      </c>
      <c r="DD346" s="229">
        <f t="shared" ca="1" si="539"/>
        <v>0</v>
      </c>
      <c r="DE346" s="229">
        <f t="shared" ca="1" si="539"/>
        <v>0</v>
      </c>
      <c r="DF346" s="229">
        <f t="shared" ca="1" si="539"/>
        <v>0</v>
      </c>
      <c r="DG346" s="229">
        <f t="shared" ca="1" si="539"/>
        <v>0</v>
      </c>
      <c r="DH346" s="229">
        <f t="shared" ca="1" si="539"/>
        <v>0</v>
      </c>
      <c r="DI346" s="229">
        <f t="shared" ca="1" si="539"/>
        <v>0</v>
      </c>
      <c r="DJ346" s="229">
        <f t="shared" ca="1" si="539"/>
        <v>0</v>
      </c>
      <c r="DK346" s="229">
        <f t="shared" ca="1" si="539"/>
        <v>0</v>
      </c>
      <c r="DL346" s="229">
        <f t="shared" ca="1" si="539"/>
        <v>0</v>
      </c>
      <c r="DM346" s="229">
        <f t="shared" ca="1" si="539"/>
        <v>0</v>
      </c>
      <c r="DN346" s="229">
        <f t="shared" ca="1" si="539"/>
        <v>0</v>
      </c>
      <c r="DO346" s="229">
        <f t="shared" ca="1" si="539"/>
        <v>0</v>
      </c>
      <c r="DP346" s="229">
        <f t="shared" ca="1" si="539"/>
        <v>0</v>
      </c>
      <c r="DQ346" s="229">
        <f t="shared" ca="1" si="539"/>
        <v>0</v>
      </c>
      <c r="DR346" s="229">
        <f t="shared" ca="1" si="539"/>
        <v>0</v>
      </c>
      <c r="DS346" s="229">
        <f t="shared" ca="1" si="539"/>
        <v>0</v>
      </c>
      <c r="DT346" s="229">
        <f t="shared" ca="1" si="539"/>
        <v>0</v>
      </c>
      <c r="DU346" s="229">
        <f t="shared" ca="1" si="539"/>
        <v>0</v>
      </c>
    </row>
    <row r="347" spans="1:125" x14ac:dyDescent="0.3">
      <c r="A347" t="s">
        <v>2537</v>
      </c>
      <c r="E347" s="229">
        <f ca="1">-E$73*$C$327</f>
        <v>-93600.347520574287</v>
      </c>
      <c r="F347" s="229">
        <f t="shared" ref="F347:BQ347" ca="1" si="540">-F$73*$C$327</f>
        <v>-759984.51585117937</v>
      </c>
      <c r="G347" s="229">
        <f t="shared" ca="1" si="540"/>
        <v>-23875.477164994769</v>
      </c>
      <c r="H347" s="229">
        <f t="shared" ca="1" si="540"/>
        <v>-36250.902375193073</v>
      </c>
      <c r="I347" s="229">
        <f t="shared" ca="1" si="540"/>
        <v>-61567.571300168056</v>
      </c>
      <c r="J347" s="229">
        <f t="shared" ca="1" si="540"/>
        <v>-100472.25431216895</v>
      </c>
      <c r="K347" s="229">
        <f t="shared" ca="1" si="540"/>
        <v>-103413.86414070406</v>
      </c>
      <c r="L347" s="229">
        <f t="shared" ca="1" si="540"/>
        <v>-131777.80473086692</v>
      </c>
      <c r="M347" s="229">
        <f t="shared" ca="1" si="540"/>
        <v>-156315.56876229716</v>
      </c>
      <c r="N347" s="229">
        <f t="shared" ca="1" si="540"/>
        <v>-182982.23119529791</v>
      </c>
      <c r="O347" s="229">
        <f t="shared" ca="1" si="540"/>
        <v>-103851.01034557028</v>
      </c>
      <c r="P347" s="229">
        <f t="shared" ca="1" si="540"/>
        <v>0</v>
      </c>
      <c r="Q347" s="229">
        <f t="shared" ca="1" si="540"/>
        <v>0</v>
      </c>
      <c r="R347" s="229">
        <f t="shared" ca="1" si="540"/>
        <v>0</v>
      </c>
      <c r="S347" s="229">
        <f t="shared" ca="1" si="540"/>
        <v>0</v>
      </c>
      <c r="T347" s="229">
        <f t="shared" ca="1" si="540"/>
        <v>0</v>
      </c>
      <c r="U347" s="229">
        <f t="shared" ca="1" si="540"/>
        <v>0</v>
      </c>
      <c r="V347" s="229">
        <f t="shared" ca="1" si="540"/>
        <v>0</v>
      </c>
      <c r="W347" s="229">
        <f t="shared" ca="1" si="540"/>
        <v>0</v>
      </c>
      <c r="X347" s="229">
        <f t="shared" ca="1" si="540"/>
        <v>0</v>
      </c>
      <c r="Y347" s="229">
        <f t="shared" ca="1" si="540"/>
        <v>0</v>
      </c>
      <c r="Z347" s="229">
        <f t="shared" ca="1" si="540"/>
        <v>0</v>
      </c>
      <c r="AA347" s="229">
        <f t="shared" ca="1" si="540"/>
        <v>0</v>
      </c>
      <c r="AB347" s="229">
        <f t="shared" ca="1" si="540"/>
        <v>0</v>
      </c>
      <c r="AC347" s="229">
        <f t="shared" ca="1" si="540"/>
        <v>0</v>
      </c>
      <c r="AD347" s="229">
        <f t="shared" ca="1" si="540"/>
        <v>0</v>
      </c>
      <c r="AE347" s="229">
        <f t="shared" ca="1" si="540"/>
        <v>0</v>
      </c>
      <c r="AF347" s="229">
        <f t="shared" ca="1" si="540"/>
        <v>0</v>
      </c>
      <c r="AG347" s="229">
        <f t="shared" ca="1" si="540"/>
        <v>0</v>
      </c>
      <c r="AH347" s="229">
        <f t="shared" ca="1" si="540"/>
        <v>0</v>
      </c>
      <c r="AI347" s="229">
        <f t="shared" ca="1" si="540"/>
        <v>0</v>
      </c>
      <c r="AJ347" s="229">
        <f t="shared" ca="1" si="540"/>
        <v>0</v>
      </c>
      <c r="AK347" s="229">
        <f t="shared" ca="1" si="540"/>
        <v>0</v>
      </c>
      <c r="AL347" s="229">
        <f t="shared" ca="1" si="540"/>
        <v>0</v>
      </c>
      <c r="AM347" s="229">
        <f t="shared" ca="1" si="540"/>
        <v>0</v>
      </c>
      <c r="AN347" s="229">
        <f t="shared" ca="1" si="540"/>
        <v>0</v>
      </c>
      <c r="AO347" s="229">
        <f t="shared" ca="1" si="540"/>
        <v>0</v>
      </c>
      <c r="AP347" s="229">
        <f t="shared" ca="1" si="540"/>
        <v>0</v>
      </c>
      <c r="AQ347" s="229">
        <f t="shared" ca="1" si="540"/>
        <v>0</v>
      </c>
      <c r="AR347" s="229">
        <f t="shared" ca="1" si="540"/>
        <v>0</v>
      </c>
      <c r="AS347" s="229">
        <f t="shared" ca="1" si="540"/>
        <v>0</v>
      </c>
      <c r="AT347" s="229">
        <f t="shared" ca="1" si="540"/>
        <v>0</v>
      </c>
      <c r="AU347" s="229">
        <f t="shared" ca="1" si="540"/>
        <v>0</v>
      </c>
      <c r="AV347" s="229">
        <f t="shared" ca="1" si="540"/>
        <v>0</v>
      </c>
      <c r="AW347" s="229">
        <f t="shared" ca="1" si="540"/>
        <v>0</v>
      </c>
      <c r="AX347" s="229">
        <f t="shared" ca="1" si="540"/>
        <v>0</v>
      </c>
      <c r="AY347" s="229">
        <f t="shared" ca="1" si="540"/>
        <v>0</v>
      </c>
      <c r="AZ347" s="229">
        <f t="shared" ca="1" si="540"/>
        <v>0</v>
      </c>
      <c r="BA347" s="229">
        <f t="shared" ca="1" si="540"/>
        <v>0</v>
      </c>
      <c r="BB347" s="229">
        <f t="shared" ca="1" si="540"/>
        <v>0</v>
      </c>
      <c r="BC347" s="229">
        <f t="shared" ca="1" si="540"/>
        <v>0</v>
      </c>
      <c r="BD347" s="229">
        <f t="shared" ca="1" si="540"/>
        <v>0</v>
      </c>
      <c r="BE347" s="229">
        <f t="shared" ca="1" si="540"/>
        <v>0</v>
      </c>
      <c r="BF347" s="229">
        <f t="shared" ca="1" si="540"/>
        <v>0</v>
      </c>
      <c r="BG347" s="229">
        <f t="shared" ca="1" si="540"/>
        <v>0</v>
      </c>
      <c r="BH347" s="229">
        <f t="shared" ca="1" si="540"/>
        <v>0</v>
      </c>
      <c r="BI347" s="229">
        <f t="shared" ca="1" si="540"/>
        <v>0</v>
      </c>
      <c r="BJ347" s="229">
        <f t="shared" ca="1" si="540"/>
        <v>0</v>
      </c>
      <c r="BK347" s="229">
        <f t="shared" ca="1" si="540"/>
        <v>0</v>
      </c>
      <c r="BL347" s="229">
        <f t="shared" ca="1" si="540"/>
        <v>0</v>
      </c>
      <c r="BM347" s="229">
        <f t="shared" ca="1" si="540"/>
        <v>0</v>
      </c>
      <c r="BN347" s="229">
        <f t="shared" ca="1" si="540"/>
        <v>0</v>
      </c>
      <c r="BO347" s="229">
        <f t="shared" ca="1" si="540"/>
        <v>0</v>
      </c>
      <c r="BP347" s="229">
        <f t="shared" ca="1" si="540"/>
        <v>0</v>
      </c>
      <c r="BQ347" s="229">
        <f t="shared" ca="1" si="540"/>
        <v>0</v>
      </c>
      <c r="BR347" s="229">
        <f t="shared" ref="BR347:DU347" ca="1" si="541">-BR$73*$C$327</f>
        <v>0</v>
      </c>
      <c r="BS347" s="229">
        <f t="shared" ca="1" si="541"/>
        <v>0</v>
      </c>
      <c r="BT347" s="229">
        <f t="shared" ca="1" si="541"/>
        <v>0</v>
      </c>
      <c r="BU347" s="229">
        <f t="shared" ca="1" si="541"/>
        <v>0</v>
      </c>
      <c r="BV347" s="229">
        <f t="shared" ca="1" si="541"/>
        <v>0</v>
      </c>
      <c r="BW347" s="229">
        <f t="shared" ca="1" si="541"/>
        <v>0</v>
      </c>
      <c r="BX347" s="229">
        <f t="shared" ca="1" si="541"/>
        <v>0</v>
      </c>
      <c r="BY347" s="229">
        <f t="shared" ca="1" si="541"/>
        <v>0</v>
      </c>
      <c r="BZ347" s="229">
        <f t="shared" ca="1" si="541"/>
        <v>0</v>
      </c>
      <c r="CA347" s="229">
        <f t="shared" ca="1" si="541"/>
        <v>0</v>
      </c>
      <c r="CB347" s="229">
        <f t="shared" ca="1" si="541"/>
        <v>0</v>
      </c>
      <c r="CC347" s="229">
        <f t="shared" ca="1" si="541"/>
        <v>0</v>
      </c>
      <c r="CD347" s="229">
        <f t="shared" ca="1" si="541"/>
        <v>0</v>
      </c>
      <c r="CE347" s="229">
        <f t="shared" ca="1" si="541"/>
        <v>0</v>
      </c>
      <c r="CF347" s="229">
        <f t="shared" ca="1" si="541"/>
        <v>0</v>
      </c>
      <c r="CG347" s="229">
        <f t="shared" ca="1" si="541"/>
        <v>0</v>
      </c>
      <c r="CH347" s="229">
        <f t="shared" ca="1" si="541"/>
        <v>0</v>
      </c>
      <c r="CI347" s="229">
        <f t="shared" ca="1" si="541"/>
        <v>0</v>
      </c>
      <c r="CJ347" s="229">
        <f t="shared" ca="1" si="541"/>
        <v>0</v>
      </c>
      <c r="CK347" s="229">
        <f t="shared" ca="1" si="541"/>
        <v>0</v>
      </c>
      <c r="CL347" s="229">
        <f t="shared" ca="1" si="541"/>
        <v>0</v>
      </c>
      <c r="CM347" s="229">
        <f t="shared" ca="1" si="541"/>
        <v>0</v>
      </c>
      <c r="CN347" s="229">
        <f t="shared" ca="1" si="541"/>
        <v>0</v>
      </c>
      <c r="CO347" s="229">
        <f t="shared" ca="1" si="541"/>
        <v>0</v>
      </c>
      <c r="CP347" s="229">
        <f t="shared" ca="1" si="541"/>
        <v>0</v>
      </c>
      <c r="CQ347" s="229">
        <f t="shared" ca="1" si="541"/>
        <v>0</v>
      </c>
      <c r="CR347" s="229">
        <f t="shared" ca="1" si="541"/>
        <v>0</v>
      </c>
      <c r="CS347" s="229">
        <f t="shared" ca="1" si="541"/>
        <v>0</v>
      </c>
      <c r="CT347" s="229">
        <f t="shared" ca="1" si="541"/>
        <v>0</v>
      </c>
      <c r="CU347" s="229">
        <f t="shared" ca="1" si="541"/>
        <v>0</v>
      </c>
      <c r="CV347" s="229">
        <f t="shared" ca="1" si="541"/>
        <v>0</v>
      </c>
      <c r="CW347" s="229">
        <f t="shared" ca="1" si="541"/>
        <v>0</v>
      </c>
      <c r="CX347" s="229">
        <f t="shared" ca="1" si="541"/>
        <v>0</v>
      </c>
      <c r="CY347" s="229">
        <f t="shared" ca="1" si="541"/>
        <v>0</v>
      </c>
      <c r="CZ347" s="229">
        <f t="shared" ca="1" si="541"/>
        <v>0</v>
      </c>
      <c r="DA347" s="229">
        <f t="shared" ca="1" si="541"/>
        <v>0</v>
      </c>
      <c r="DB347" s="229">
        <f t="shared" ca="1" si="541"/>
        <v>0</v>
      </c>
      <c r="DC347" s="229">
        <f t="shared" ca="1" si="541"/>
        <v>0</v>
      </c>
      <c r="DD347" s="229">
        <f t="shared" ca="1" si="541"/>
        <v>0</v>
      </c>
      <c r="DE347" s="229">
        <f t="shared" ca="1" si="541"/>
        <v>0</v>
      </c>
      <c r="DF347" s="229">
        <f t="shared" ca="1" si="541"/>
        <v>0</v>
      </c>
      <c r="DG347" s="229">
        <f t="shared" ca="1" si="541"/>
        <v>0</v>
      </c>
      <c r="DH347" s="229">
        <f t="shared" ca="1" si="541"/>
        <v>0</v>
      </c>
      <c r="DI347" s="229">
        <f t="shared" ca="1" si="541"/>
        <v>0</v>
      </c>
      <c r="DJ347" s="229">
        <f t="shared" ca="1" si="541"/>
        <v>0</v>
      </c>
      <c r="DK347" s="229">
        <f t="shared" ca="1" si="541"/>
        <v>0</v>
      </c>
      <c r="DL347" s="229">
        <f t="shared" ca="1" si="541"/>
        <v>0</v>
      </c>
      <c r="DM347" s="229">
        <f t="shared" ca="1" si="541"/>
        <v>0</v>
      </c>
      <c r="DN347" s="229">
        <f t="shared" ca="1" si="541"/>
        <v>0</v>
      </c>
      <c r="DO347" s="229">
        <f t="shared" ca="1" si="541"/>
        <v>0</v>
      </c>
      <c r="DP347" s="229">
        <f t="shared" ca="1" si="541"/>
        <v>0</v>
      </c>
      <c r="DQ347" s="229">
        <f t="shared" ca="1" si="541"/>
        <v>0</v>
      </c>
      <c r="DR347" s="229">
        <f t="shared" ca="1" si="541"/>
        <v>0</v>
      </c>
      <c r="DS347" s="229">
        <f t="shared" ca="1" si="541"/>
        <v>0</v>
      </c>
      <c r="DT347" s="229">
        <f t="shared" ca="1" si="541"/>
        <v>0</v>
      </c>
      <c r="DU347" s="229">
        <f t="shared" ca="1" si="541"/>
        <v>0</v>
      </c>
    </row>
    <row r="348" spans="1:125" x14ac:dyDescent="0.3">
      <c r="A348" s="241" t="s">
        <v>2538</v>
      </c>
      <c r="B348" s="241"/>
      <c r="C348" s="241"/>
      <c r="D348" s="687"/>
      <c r="E348" s="242">
        <f>E346*((1+$C345)^(1/12)-1)</f>
        <v>0</v>
      </c>
      <c r="F348" s="242">
        <f t="shared" ref="F348:BQ348" ca="1" si="542">F346*((1+$C345)^(1/12)-1)</f>
        <v>-1299.961907126459</v>
      </c>
      <c r="G348" s="242">
        <f t="shared" ca="1" si="542"/>
        <v>-11873.008351798309</v>
      </c>
      <c r="H348" s="242">
        <f t="shared" ca="1" si="542"/>
        <v>-12369.49870295943</v>
      </c>
      <c r="I348" s="242">
        <f t="shared" ca="1" si="542"/>
        <v>-13044.759756845106</v>
      </c>
      <c r="J348" s="242">
        <f t="shared" ca="1" si="542"/>
        <v>-14081.007919862936</v>
      </c>
      <c r="K348" s="242">
        <f t="shared" ca="1" si="542"/>
        <v>-15671.972923555646</v>
      </c>
      <c r="L348" s="242">
        <f t="shared" ca="1" si="542"/>
        <v>-17325.888277104707</v>
      </c>
      <c r="M348" s="242">
        <f t="shared" ca="1" si="542"/>
        <v>-19396.704532136613</v>
      </c>
      <c r="N348" s="242">
        <f t="shared" ca="1" si="542"/>
        <v>-21837.07220114713</v>
      </c>
      <c r="O348" s="242">
        <f t="shared" ca="1" si="542"/>
        <v>-24681.690830378499</v>
      </c>
      <c r="P348" s="242">
        <f t="shared" ca="1" si="542"/>
        <v>-26466.80829815365</v>
      </c>
      <c r="Q348" s="242">
        <f t="shared" ca="1" si="542"/>
        <v>-26834.390721747273</v>
      </c>
      <c r="R348" s="242">
        <f t="shared" ca="1" si="542"/>
        <v>-27207.078288228277</v>
      </c>
      <c r="S348" s="242">
        <f t="shared" ca="1" si="542"/>
        <v>-27584.941900018068</v>
      </c>
      <c r="T348" s="242">
        <f t="shared" ca="1" si="542"/>
        <v>-27968.053444261404</v>
      </c>
      <c r="U348" s="242">
        <f t="shared" ca="1" si="542"/>
        <v>-28356.485806502635</v>
      </c>
      <c r="V348" s="242">
        <f t="shared" ca="1" si="542"/>
        <v>-28750.312884551924</v>
      </c>
      <c r="W348" s="242">
        <f t="shared" ca="1" si="542"/>
        <v>-29149.609602544013</v>
      </c>
      <c r="X348" s="242">
        <f t="shared" ca="1" si="542"/>
        <v>-29554.451925192287</v>
      </c>
      <c r="Y348" s="242">
        <f t="shared" ca="1" si="542"/>
        <v>-29964.916872240752</v>
      </c>
      <c r="Z348" s="242">
        <f t="shared" ca="1" si="542"/>
        <v>-30381.082533116758</v>
      </c>
      <c r="AA348" s="242">
        <f t="shared" ca="1" si="542"/>
        <v>-30803.028081787248</v>
      </c>
      <c r="AB348" s="242">
        <f t="shared" ca="1" si="542"/>
        <v>-31230.833791821264</v>
      </c>
      <c r="AC348" s="242">
        <f t="shared" ca="1" si="542"/>
        <v>-31664.581051661742</v>
      </c>
      <c r="AD348" s="242">
        <f t="shared" ca="1" si="542"/>
        <v>-32073.719343232799</v>
      </c>
      <c r="AE348" s="242">
        <f t="shared" ca="1" si="542"/>
        <v>-32460.61210046749</v>
      </c>
      <c r="AF348" s="242">
        <f t="shared" ca="1" si="542"/>
        <v>-32821.077962450508</v>
      </c>
      <c r="AG348" s="242">
        <f t="shared" ca="1" si="542"/>
        <v>-33124.442475705211</v>
      </c>
      <c r="AH348" s="242">
        <f t="shared" ca="1" si="542"/>
        <v>0</v>
      </c>
      <c r="AI348" s="242">
        <f t="shared" ca="1" si="542"/>
        <v>0</v>
      </c>
      <c r="AJ348" s="242">
        <f t="shared" ca="1" si="542"/>
        <v>0</v>
      </c>
      <c r="AK348" s="242">
        <f t="shared" ca="1" si="542"/>
        <v>0</v>
      </c>
      <c r="AL348" s="242">
        <f t="shared" ca="1" si="542"/>
        <v>0</v>
      </c>
      <c r="AM348" s="242">
        <f t="shared" ca="1" si="542"/>
        <v>0</v>
      </c>
      <c r="AN348" s="242">
        <f t="shared" ca="1" si="542"/>
        <v>0</v>
      </c>
      <c r="AO348" s="242">
        <f t="shared" ca="1" si="542"/>
        <v>0</v>
      </c>
      <c r="AP348" s="242">
        <f t="shared" ca="1" si="542"/>
        <v>0</v>
      </c>
      <c r="AQ348" s="242">
        <f t="shared" ca="1" si="542"/>
        <v>0</v>
      </c>
      <c r="AR348" s="242">
        <f t="shared" ca="1" si="542"/>
        <v>0</v>
      </c>
      <c r="AS348" s="242">
        <f t="shared" ca="1" si="542"/>
        <v>0</v>
      </c>
      <c r="AT348" s="242">
        <f t="shared" ca="1" si="542"/>
        <v>0</v>
      </c>
      <c r="AU348" s="242">
        <f t="shared" ca="1" si="542"/>
        <v>0</v>
      </c>
      <c r="AV348" s="242">
        <f t="shared" ca="1" si="542"/>
        <v>0</v>
      </c>
      <c r="AW348" s="242">
        <f t="shared" ca="1" si="542"/>
        <v>0</v>
      </c>
      <c r="AX348" s="242">
        <f t="shared" ca="1" si="542"/>
        <v>0</v>
      </c>
      <c r="AY348" s="242">
        <f t="shared" ca="1" si="542"/>
        <v>0</v>
      </c>
      <c r="AZ348" s="242">
        <f t="shared" ca="1" si="542"/>
        <v>0</v>
      </c>
      <c r="BA348" s="242">
        <f t="shared" ca="1" si="542"/>
        <v>0</v>
      </c>
      <c r="BB348" s="242">
        <f t="shared" ca="1" si="542"/>
        <v>0</v>
      </c>
      <c r="BC348" s="242">
        <f t="shared" ca="1" si="542"/>
        <v>0</v>
      </c>
      <c r="BD348" s="242">
        <f t="shared" ca="1" si="542"/>
        <v>0</v>
      </c>
      <c r="BE348" s="242">
        <f t="shared" ca="1" si="542"/>
        <v>0</v>
      </c>
      <c r="BF348" s="242">
        <f t="shared" ca="1" si="542"/>
        <v>0</v>
      </c>
      <c r="BG348" s="242">
        <f t="shared" ca="1" si="542"/>
        <v>0</v>
      </c>
      <c r="BH348" s="242">
        <f t="shared" ca="1" si="542"/>
        <v>0</v>
      </c>
      <c r="BI348" s="242">
        <f t="shared" ca="1" si="542"/>
        <v>0</v>
      </c>
      <c r="BJ348" s="242">
        <f t="shared" ca="1" si="542"/>
        <v>0</v>
      </c>
      <c r="BK348" s="242">
        <f t="shared" ca="1" si="542"/>
        <v>0</v>
      </c>
      <c r="BL348" s="242">
        <f t="shared" ca="1" si="542"/>
        <v>0</v>
      </c>
      <c r="BM348" s="242">
        <f t="shared" ca="1" si="542"/>
        <v>0</v>
      </c>
      <c r="BN348" s="242">
        <f t="shared" ca="1" si="542"/>
        <v>0</v>
      </c>
      <c r="BO348" s="242">
        <f t="shared" ca="1" si="542"/>
        <v>0</v>
      </c>
      <c r="BP348" s="242">
        <f t="shared" ca="1" si="542"/>
        <v>0</v>
      </c>
      <c r="BQ348" s="242">
        <f t="shared" ca="1" si="542"/>
        <v>0</v>
      </c>
      <c r="BR348" s="242">
        <f t="shared" ref="BR348:DU348" ca="1" si="543">BR346*((1+$C345)^(1/12)-1)</f>
        <v>0</v>
      </c>
      <c r="BS348" s="242">
        <f t="shared" ca="1" si="543"/>
        <v>0</v>
      </c>
      <c r="BT348" s="242">
        <f t="shared" ca="1" si="543"/>
        <v>0</v>
      </c>
      <c r="BU348" s="242">
        <f t="shared" ca="1" si="543"/>
        <v>0</v>
      </c>
      <c r="BV348" s="242">
        <f t="shared" ca="1" si="543"/>
        <v>0</v>
      </c>
      <c r="BW348" s="242">
        <f t="shared" ca="1" si="543"/>
        <v>0</v>
      </c>
      <c r="BX348" s="242">
        <f t="shared" ca="1" si="543"/>
        <v>0</v>
      </c>
      <c r="BY348" s="242">
        <f t="shared" ca="1" si="543"/>
        <v>0</v>
      </c>
      <c r="BZ348" s="242">
        <f t="shared" ca="1" si="543"/>
        <v>0</v>
      </c>
      <c r="CA348" s="242">
        <f t="shared" ca="1" si="543"/>
        <v>0</v>
      </c>
      <c r="CB348" s="242">
        <f t="shared" ca="1" si="543"/>
        <v>0</v>
      </c>
      <c r="CC348" s="242">
        <f t="shared" ca="1" si="543"/>
        <v>0</v>
      </c>
      <c r="CD348" s="242">
        <f t="shared" ca="1" si="543"/>
        <v>0</v>
      </c>
      <c r="CE348" s="242">
        <f t="shared" ca="1" si="543"/>
        <v>0</v>
      </c>
      <c r="CF348" s="242">
        <f t="shared" ca="1" si="543"/>
        <v>0</v>
      </c>
      <c r="CG348" s="242">
        <f t="shared" ca="1" si="543"/>
        <v>0</v>
      </c>
      <c r="CH348" s="242">
        <f t="shared" ca="1" si="543"/>
        <v>0</v>
      </c>
      <c r="CI348" s="242">
        <f t="shared" ca="1" si="543"/>
        <v>0</v>
      </c>
      <c r="CJ348" s="242">
        <f t="shared" ca="1" si="543"/>
        <v>0</v>
      </c>
      <c r="CK348" s="242">
        <f t="shared" ca="1" si="543"/>
        <v>0</v>
      </c>
      <c r="CL348" s="242">
        <f t="shared" ca="1" si="543"/>
        <v>0</v>
      </c>
      <c r="CM348" s="242">
        <f t="shared" ca="1" si="543"/>
        <v>0</v>
      </c>
      <c r="CN348" s="242">
        <f t="shared" ca="1" si="543"/>
        <v>0</v>
      </c>
      <c r="CO348" s="242">
        <f t="shared" ca="1" si="543"/>
        <v>0</v>
      </c>
      <c r="CP348" s="242">
        <f t="shared" ca="1" si="543"/>
        <v>0</v>
      </c>
      <c r="CQ348" s="242">
        <f t="shared" ca="1" si="543"/>
        <v>0</v>
      </c>
      <c r="CR348" s="242">
        <f t="shared" ca="1" si="543"/>
        <v>0</v>
      </c>
      <c r="CS348" s="242">
        <f t="shared" ca="1" si="543"/>
        <v>0</v>
      </c>
      <c r="CT348" s="242">
        <f t="shared" ca="1" si="543"/>
        <v>0</v>
      </c>
      <c r="CU348" s="242">
        <f t="shared" ca="1" si="543"/>
        <v>0</v>
      </c>
      <c r="CV348" s="242">
        <f t="shared" ca="1" si="543"/>
        <v>0</v>
      </c>
      <c r="CW348" s="242">
        <f t="shared" ca="1" si="543"/>
        <v>0</v>
      </c>
      <c r="CX348" s="242">
        <f t="shared" ca="1" si="543"/>
        <v>0</v>
      </c>
      <c r="CY348" s="242">
        <f t="shared" ca="1" si="543"/>
        <v>0</v>
      </c>
      <c r="CZ348" s="242">
        <f t="shared" ca="1" si="543"/>
        <v>0</v>
      </c>
      <c r="DA348" s="242">
        <f t="shared" ca="1" si="543"/>
        <v>0</v>
      </c>
      <c r="DB348" s="242">
        <f t="shared" ca="1" si="543"/>
        <v>0</v>
      </c>
      <c r="DC348" s="242">
        <f t="shared" ca="1" si="543"/>
        <v>0</v>
      </c>
      <c r="DD348" s="242">
        <f t="shared" ca="1" si="543"/>
        <v>0</v>
      </c>
      <c r="DE348" s="242">
        <f t="shared" ca="1" si="543"/>
        <v>0</v>
      </c>
      <c r="DF348" s="242">
        <f t="shared" ca="1" si="543"/>
        <v>0</v>
      </c>
      <c r="DG348" s="242">
        <f t="shared" ca="1" si="543"/>
        <v>0</v>
      </c>
      <c r="DH348" s="242">
        <f t="shared" ca="1" si="543"/>
        <v>0</v>
      </c>
      <c r="DI348" s="242">
        <f t="shared" ca="1" si="543"/>
        <v>0</v>
      </c>
      <c r="DJ348" s="242">
        <f t="shared" ca="1" si="543"/>
        <v>0</v>
      </c>
      <c r="DK348" s="242">
        <f t="shared" ca="1" si="543"/>
        <v>0</v>
      </c>
      <c r="DL348" s="242">
        <f t="shared" ca="1" si="543"/>
        <v>0</v>
      </c>
      <c r="DM348" s="242">
        <f t="shared" ca="1" si="543"/>
        <v>0</v>
      </c>
      <c r="DN348" s="242">
        <f t="shared" ca="1" si="543"/>
        <v>0</v>
      </c>
      <c r="DO348" s="242">
        <f t="shared" ca="1" si="543"/>
        <v>0</v>
      </c>
      <c r="DP348" s="242">
        <f t="shared" ca="1" si="543"/>
        <v>0</v>
      </c>
      <c r="DQ348" s="242">
        <f t="shared" ca="1" si="543"/>
        <v>0</v>
      </c>
      <c r="DR348" s="242">
        <f t="shared" ca="1" si="543"/>
        <v>0</v>
      </c>
      <c r="DS348" s="242">
        <f t="shared" ca="1" si="543"/>
        <v>0</v>
      </c>
      <c r="DT348" s="242">
        <f t="shared" ca="1" si="543"/>
        <v>0</v>
      </c>
      <c r="DU348" s="242">
        <f t="shared" ca="1" si="543"/>
        <v>0</v>
      </c>
    </row>
    <row r="349" spans="1:125" x14ac:dyDescent="0.3">
      <c r="A349" t="s">
        <v>173</v>
      </c>
      <c r="E349" s="229">
        <f ca="1">SUM(E346:E348)</f>
        <v>-93600.347520574287</v>
      </c>
      <c r="F349" s="229">
        <f t="shared" ref="F349:BQ349" ca="1" si="544">SUM(F346:F348)</f>
        <v>-854884.82527888007</v>
      </c>
      <c r="G349" s="229">
        <f t="shared" ca="1" si="544"/>
        <v>-890633.31079567317</v>
      </c>
      <c r="H349" s="229">
        <f t="shared" ca="1" si="544"/>
        <v>-939253.71187382564</v>
      </c>
      <c r="I349" s="229">
        <f t="shared" ca="1" si="544"/>
        <v>-1013866.0429308388</v>
      </c>
      <c r="J349" s="229">
        <f t="shared" ca="1" si="544"/>
        <v>-1128419.3051628706</v>
      </c>
      <c r="K349" s="229">
        <f t="shared" ca="1" si="544"/>
        <v>-1247505.1422271302</v>
      </c>
      <c r="L349" s="229">
        <f t="shared" ca="1" si="544"/>
        <v>-1396608.8352351016</v>
      </c>
      <c r="M349" s="229">
        <f t="shared" ca="1" si="544"/>
        <v>-1572321.1085295356</v>
      </c>
      <c r="N349" s="229">
        <f t="shared" ca="1" si="544"/>
        <v>-1777140.4119259808</v>
      </c>
      <c r="O349" s="229">
        <f t="shared" ca="1" si="544"/>
        <v>-1905673.1131019297</v>
      </c>
      <c r="P349" s="229">
        <f t="shared" ca="1" si="544"/>
        <v>-1932139.9214000832</v>
      </c>
      <c r="Q349" s="229">
        <f t="shared" ca="1" si="544"/>
        <v>-1958974.3121218304</v>
      </c>
      <c r="R349" s="229">
        <f t="shared" ca="1" si="544"/>
        <v>-1986181.3904100587</v>
      </c>
      <c r="S349" s="229">
        <f t="shared" ca="1" si="544"/>
        <v>-2013766.3323100768</v>
      </c>
      <c r="T349" s="229">
        <f t="shared" ca="1" si="544"/>
        <v>-2041734.3857543382</v>
      </c>
      <c r="U349" s="229">
        <f t="shared" ca="1" si="544"/>
        <v>-2070090.8715608409</v>
      </c>
      <c r="V349" s="229">
        <f t="shared" ca="1" si="544"/>
        <v>-2098841.1844453928</v>
      </c>
      <c r="W349" s="229">
        <f t="shared" ca="1" si="544"/>
        <v>-2127990.7940479368</v>
      </c>
      <c r="X349" s="229">
        <f t="shared" ca="1" si="544"/>
        <v>-2157545.2459731293</v>
      </c>
      <c r="Y349" s="229">
        <f t="shared" ca="1" si="544"/>
        <v>-2187510.1628453699</v>
      </c>
      <c r="Z349" s="229">
        <f t="shared" ca="1" si="544"/>
        <v>-2217891.2453784868</v>
      </c>
      <c r="AA349" s="229">
        <f t="shared" ca="1" si="544"/>
        <v>-2248694.2734602741</v>
      </c>
      <c r="AB349" s="229">
        <f t="shared" ca="1" si="544"/>
        <v>-2279925.1072520954</v>
      </c>
      <c r="AC349" s="229">
        <f t="shared" ca="1" si="544"/>
        <v>-2311589.688303757</v>
      </c>
      <c r="AD349" s="229">
        <f t="shared" ca="1" si="544"/>
        <v>-2341457.7561724852</v>
      </c>
      <c r="AE349" s="229">
        <f t="shared" ca="1" si="544"/>
        <v>-2369701.8471536348</v>
      </c>
      <c r="AF349" s="229">
        <f t="shared" ca="1" si="544"/>
        <v>-2396016.711960657</v>
      </c>
      <c r="AG349" s="229">
        <f t="shared" ca="1" si="544"/>
        <v>-2418163.0425719083</v>
      </c>
      <c r="AH349" s="229">
        <f t="shared" ca="1" si="544"/>
        <v>0</v>
      </c>
      <c r="AI349" s="229">
        <f t="shared" ca="1" si="544"/>
        <v>0</v>
      </c>
      <c r="AJ349" s="229">
        <f t="shared" ca="1" si="544"/>
        <v>0</v>
      </c>
      <c r="AK349" s="229">
        <f t="shared" ca="1" si="544"/>
        <v>0</v>
      </c>
      <c r="AL349" s="229">
        <f t="shared" ca="1" si="544"/>
        <v>0</v>
      </c>
      <c r="AM349" s="229">
        <f t="shared" ca="1" si="544"/>
        <v>0</v>
      </c>
      <c r="AN349" s="229">
        <f t="shared" ca="1" si="544"/>
        <v>0</v>
      </c>
      <c r="AO349" s="229">
        <f t="shared" ca="1" si="544"/>
        <v>0</v>
      </c>
      <c r="AP349" s="229">
        <f t="shared" ca="1" si="544"/>
        <v>0</v>
      </c>
      <c r="AQ349" s="229">
        <f t="shared" ca="1" si="544"/>
        <v>0</v>
      </c>
      <c r="AR349" s="229">
        <f t="shared" ca="1" si="544"/>
        <v>0</v>
      </c>
      <c r="AS349" s="229">
        <f t="shared" ca="1" si="544"/>
        <v>0</v>
      </c>
      <c r="AT349" s="229">
        <f t="shared" ca="1" si="544"/>
        <v>0</v>
      </c>
      <c r="AU349" s="229">
        <f t="shared" ca="1" si="544"/>
        <v>0</v>
      </c>
      <c r="AV349" s="229">
        <f t="shared" ca="1" si="544"/>
        <v>0</v>
      </c>
      <c r="AW349" s="229">
        <f t="shared" ca="1" si="544"/>
        <v>0</v>
      </c>
      <c r="AX349" s="229">
        <f t="shared" ca="1" si="544"/>
        <v>0</v>
      </c>
      <c r="AY349" s="229">
        <f t="shared" ca="1" si="544"/>
        <v>0</v>
      </c>
      <c r="AZ349" s="229">
        <f t="shared" ca="1" si="544"/>
        <v>0</v>
      </c>
      <c r="BA349" s="229">
        <f t="shared" ca="1" si="544"/>
        <v>0</v>
      </c>
      <c r="BB349" s="229">
        <f t="shared" ca="1" si="544"/>
        <v>0</v>
      </c>
      <c r="BC349" s="229">
        <f t="shared" ca="1" si="544"/>
        <v>0</v>
      </c>
      <c r="BD349" s="229">
        <f t="shared" ca="1" si="544"/>
        <v>0</v>
      </c>
      <c r="BE349" s="229">
        <f t="shared" ca="1" si="544"/>
        <v>0</v>
      </c>
      <c r="BF349" s="229">
        <f t="shared" ca="1" si="544"/>
        <v>0</v>
      </c>
      <c r="BG349" s="229">
        <f t="shared" ca="1" si="544"/>
        <v>0</v>
      </c>
      <c r="BH349" s="229">
        <f t="shared" ca="1" si="544"/>
        <v>0</v>
      </c>
      <c r="BI349" s="229">
        <f t="shared" ca="1" si="544"/>
        <v>0</v>
      </c>
      <c r="BJ349" s="229">
        <f t="shared" ca="1" si="544"/>
        <v>0</v>
      </c>
      <c r="BK349" s="229">
        <f t="shared" ca="1" si="544"/>
        <v>0</v>
      </c>
      <c r="BL349" s="229">
        <f t="shared" ca="1" si="544"/>
        <v>0</v>
      </c>
      <c r="BM349" s="229">
        <f t="shared" ca="1" si="544"/>
        <v>0</v>
      </c>
      <c r="BN349" s="229">
        <f t="shared" ca="1" si="544"/>
        <v>0</v>
      </c>
      <c r="BO349" s="229">
        <f t="shared" ca="1" si="544"/>
        <v>0</v>
      </c>
      <c r="BP349" s="229">
        <f t="shared" ca="1" si="544"/>
        <v>0</v>
      </c>
      <c r="BQ349" s="229">
        <f t="shared" ca="1" si="544"/>
        <v>0</v>
      </c>
      <c r="BR349" s="229">
        <f t="shared" ref="BR349:DU349" ca="1" si="545">SUM(BR346:BR348)</f>
        <v>0</v>
      </c>
      <c r="BS349" s="229">
        <f t="shared" ca="1" si="545"/>
        <v>0</v>
      </c>
      <c r="BT349" s="229">
        <f t="shared" ca="1" si="545"/>
        <v>0</v>
      </c>
      <c r="BU349" s="229">
        <f t="shared" ca="1" si="545"/>
        <v>0</v>
      </c>
      <c r="BV349" s="229">
        <f t="shared" ca="1" si="545"/>
        <v>0</v>
      </c>
      <c r="BW349" s="229">
        <f t="shared" ca="1" si="545"/>
        <v>0</v>
      </c>
      <c r="BX349" s="229">
        <f t="shared" ca="1" si="545"/>
        <v>0</v>
      </c>
      <c r="BY349" s="229">
        <f t="shared" ca="1" si="545"/>
        <v>0</v>
      </c>
      <c r="BZ349" s="229">
        <f t="shared" ca="1" si="545"/>
        <v>0</v>
      </c>
      <c r="CA349" s="229">
        <f t="shared" ca="1" si="545"/>
        <v>0</v>
      </c>
      <c r="CB349" s="229">
        <f t="shared" ca="1" si="545"/>
        <v>0</v>
      </c>
      <c r="CC349" s="229">
        <f t="shared" ca="1" si="545"/>
        <v>0</v>
      </c>
      <c r="CD349" s="229">
        <f t="shared" ca="1" si="545"/>
        <v>0</v>
      </c>
      <c r="CE349" s="229">
        <f t="shared" ca="1" si="545"/>
        <v>0</v>
      </c>
      <c r="CF349" s="229">
        <f t="shared" ca="1" si="545"/>
        <v>0</v>
      </c>
      <c r="CG349" s="229">
        <f t="shared" ca="1" si="545"/>
        <v>0</v>
      </c>
      <c r="CH349" s="229">
        <f t="shared" ca="1" si="545"/>
        <v>0</v>
      </c>
      <c r="CI349" s="229">
        <f t="shared" ca="1" si="545"/>
        <v>0</v>
      </c>
      <c r="CJ349" s="229">
        <f t="shared" ca="1" si="545"/>
        <v>0</v>
      </c>
      <c r="CK349" s="229">
        <f t="shared" ca="1" si="545"/>
        <v>0</v>
      </c>
      <c r="CL349" s="229">
        <f t="shared" ca="1" si="545"/>
        <v>0</v>
      </c>
      <c r="CM349" s="229">
        <f t="shared" ca="1" si="545"/>
        <v>0</v>
      </c>
      <c r="CN349" s="229">
        <f t="shared" ca="1" si="545"/>
        <v>0</v>
      </c>
      <c r="CO349" s="229">
        <f t="shared" ca="1" si="545"/>
        <v>0</v>
      </c>
      <c r="CP349" s="229">
        <f t="shared" ca="1" si="545"/>
        <v>0</v>
      </c>
      <c r="CQ349" s="229">
        <f t="shared" ca="1" si="545"/>
        <v>0</v>
      </c>
      <c r="CR349" s="229">
        <f t="shared" ca="1" si="545"/>
        <v>0</v>
      </c>
      <c r="CS349" s="229">
        <f t="shared" ca="1" si="545"/>
        <v>0</v>
      </c>
      <c r="CT349" s="229">
        <f t="shared" ca="1" si="545"/>
        <v>0</v>
      </c>
      <c r="CU349" s="229">
        <f t="shared" ca="1" si="545"/>
        <v>0</v>
      </c>
      <c r="CV349" s="229">
        <f t="shared" ca="1" si="545"/>
        <v>0</v>
      </c>
      <c r="CW349" s="229">
        <f t="shared" ca="1" si="545"/>
        <v>0</v>
      </c>
      <c r="CX349" s="229">
        <f t="shared" ca="1" si="545"/>
        <v>0</v>
      </c>
      <c r="CY349" s="229">
        <f t="shared" ca="1" si="545"/>
        <v>0</v>
      </c>
      <c r="CZ349" s="229">
        <f t="shared" ca="1" si="545"/>
        <v>0</v>
      </c>
      <c r="DA349" s="229">
        <f t="shared" ca="1" si="545"/>
        <v>0</v>
      </c>
      <c r="DB349" s="229">
        <f t="shared" ca="1" si="545"/>
        <v>0</v>
      </c>
      <c r="DC349" s="229">
        <f t="shared" ca="1" si="545"/>
        <v>0</v>
      </c>
      <c r="DD349" s="229">
        <f t="shared" ca="1" si="545"/>
        <v>0</v>
      </c>
      <c r="DE349" s="229">
        <f t="shared" ca="1" si="545"/>
        <v>0</v>
      </c>
      <c r="DF349" s="229">
        <f t="shared" ca="1" si="545"/>
        <v>0</v>
      </c>
      <c r="DG349" s="229">
        <f t="shared" ca="1" si="545"/>
        <v>0</v>
      </c>
      <c r="DH349" s="229">
        <f t="shared" ca="1" si="545"/>
        <v>0</v>
      </c>
      <c r="DI349" s="229">
        <f t="shared" ca="1" si="545"/>
        <v>0</v>
      </c>
      <c r="DJ349" s="229">
        <f t="shared" ca="1" si="545"/>
        <v>0</v>
      </c>
      <c r="DK349" s="229">
        <f t="shared" ca="1" si="545"/>
        <v>0</v>
      </c>
      <c r="DL349" s="229">
        <f t="shared" ca="1" si="545"/>
        <v>0</v>
      </c>
      <c r="DM349" s="229">
        <f t="shared" ca="1" si="545"/>
        <v>0</v>
      </c>
      <c r="DN349" s="229">
        <f t="shared" ca="1" si="545"/>
        <v>0</v>
      </c>
      <c r="DO349" s="229">
        <f t="shared" ca="1" si="545"/>
        <v>0</v>
      </c>
      <c r="DP349" s="229">
        <f t="shared" ca="1" si="545"/>
        <v>0</v>
      </c>
      <c r="DQ349" s="229">
        <f t="shared" ca="1" si="545"/>
        <v>0</v>
      </c>
      <c r="DR349" s="229">
        <f t="shared" ca="1" si="545"/>
        <v>0</v>
      </c>
      <c r="DS349" s="229">
        <f t="shared" ca="1" si="545"/>
        <v>0</v>
      </c>
      <c r="DT349" s="229">
        <f t="shared" ca="1" si="545"/>
        <v>0</v>
      </c>
      <c r="DU349" s="229">
        <f t="shared" ca="1" si="545"/>
        <v>0</v>
      </c>
    </row>
    <row r="350" spans="1:125" x14ac:dyDescent="0.3">
      <c r="A350" t="s">
        <v>2543</v>
      </c>
      <c r="E350" s="229">
        <f ca="1">IF(E$330&lt;=0,0,IF(E$330&gt;0,(E$330-E$332)*(1-$C$327)+IF(E$332&gt;=-(E$338+E$349),-E349-(E$330-E$332)*(1-$C$327),IF(E$332&lt;-(E$338+E$349),E$332*$C$327,0))))</f>
        <v>0</v>
      </c>
      <c r="F350" s="229">
        <f t="shared" ref="F350:BQ350" ca="1" si="546">IF(F$330&lt;=0,0,IF(F$330&gt;0,(F$330-F$332)*(1-$C$327)+IF(F$332&gt;=-(F$338+F$349),-F349-(F$330-F$332)*(1-$C$327),IF(F$332&lt;-(F$338+F$349),F$332*$C$327,0))))</f>
        <v>0</v>
      </c>
      <c r="G350" s="229">
        <f t="shared" ca="1" si="546"/>
        <v>0</v>
      </c>
      <c r="H350" s="229">
        <f t="shared" ca="1" si="546"/>
        <v>0</v>
      </c>
      <c r="I350" s="229">
        <f t="shared" ca="1" si="546"/>
        <v>0</v>
      </c>
      <c r="J350" s="229">
        <f t="shared" ca="1" si="546"/>
        <v>0</v>
      </c>
      <c r="K350" s="229">
        <f t="shared" ca="1" si="546"/>
        <v>0</v>
      </c>
      <c r="L350" s="229">
        <f t="shared" ca="1" si="546"/>
        <v>0</v>
      </c>
      <c r="M350" s="229">
        <f t="shared" ca="1" si="546"/>
        <v>0</v>
      </c>
      <c r="N350" s="229">
        <f t="shared" ca="1" si="546"/>
        <v>0</v>
      </c>
      <c r="O350" s="229">
        <f t="shared" ca="1" si="546"/>
        <v>0</v>
      </c>
      <c r="P350" s="229">
        <f t="shared" ca="1" si="546"/>
        <v>0</v>
      </c>
      <c r="Q350" s="229">
        <f t="shared" ca="1" si="546"/>
        <v>0</v>
      </c>
      <c r="R350" s="229">
        <f t="shared" ca="1" si="546"/>
        <v>0</v>
      </c>
      <c r="S350" s="229">
        <f t="shared" ca="1" si="546"/>
        <v>0</v>
      </c>
      <c r="T350" s="229">
        <f t="shared" ca="1" si="546"/>
        <v>0</v>
      </c>
      <c r="U350" s="229">
        <f t="shared" ca="1" si="546"/>
        <v>0</v>
      </c>
      <c r="V350" s="229">
        <f t="shared" ca="1" si="546"/>
        <v>0</v>
      </c>
      <c r="W350" s="229">
        <f t="shared" ca="1" si="546"/>
        <v>0</v>
      </c>
      <c r="X350" s="229">
        <f t="shared" ca="1" si="546"/>
        <v>0</v>
      </c>
      <c r="Y350" s="229">
        <f t="shared" ca="1" si="546"/>
        <v>0</v>
      </c>
      <c r="Z350" s="229">
        <f t="shared" ca="1" si="546"/>
        <v>0</v>
      </c>
      <c r="AA350" s="229">
        <f t="shared" ca="1" si="546"/>
        <v>0</v>
      </c>
      <c r="AB350" s="229">
        <f t="shared" ca="1" si="546"/>
        <v>0</v>
      </c>
      <c r="AC350" s="229">
        <f t="shared" ca="1" si="546"/>
        <v>2205.6514745045665</v>
      </c>
      <c r="AD350" s="229">
        <f t="shared" ca="1" si="546"/>
        <v>4216.5211193181594</v>
      </c>
      <c r="AE350" s="229">
        <f t="shared" ca="1" si="546"/>
        <v>6506.2131554283815</v>
      </c>
      <c r="AF350" s="229">
        <f t="shared" ca="1" si="546"/>
        <v>10978.111864454066</v>
      </c>
      <c r="AG350" s="229">
        <f t="shared" ca="1" si="546"/>
        <v>2418163.0425719083</v>
      </c>
      <c r="AH350" s="229">
        <f t="shared" si="546"/>
        <v>0</v>
      </c>
      <c r="AI350" s="229">
        <f t="shared" si="546"/>
        <v>0</v>
      </c>
      <c r="AJ350" s="229">
        <f t="shared" si="546"/>
        <v>0</v>
      </c>
      <c r="AK350" s="229">
        <f t="shared" si="546"/>
        <v>0</v>
      </c>
      <c r="AL350" s="229">
        <f t="shared" si="546"/>
        <v>0</v>
      </c>
      <c r="AM350" s="229">
        <f t="shared" si="546"/>
        <v>0</v>
      </c>
      <c r="AN350" s="229">
        <f t="shared" si="546"/>
        <v>0</v>
      </c>
      <c r="AO350" s="229">
        <f t="shared" si="546"/>
        <v>0</v>
      </c>
      <c r="AP350" s="229">
        <f t="shared" si="546"/>
        <v>0</v>
      </c>
      <c r="AQ350" s="229">
        <f t="shared" si="546"/>
        <v>0</v>
      </c>
      <c r="AR350" s="229">
        <f t="shared" si="546"/>
        <v>0</v>
      </c>
      <c r="AS350" s="229">
        <f t="shared" si="546"/>
        <v>0</v>
      </c>
      <c r="AT350" s="229">
        <f t="shared" si="546"/>
        <v>0</v>
      </c>
      <c r="AU350" s="229">
        <f t="shared" si="546"/>
        <v>0</v>
      </c>
      <c r="AV350" s="229">
        <f t="shared" si="546"/>
        <v>0</v>
      </c>
      <c r="AW350" s="229">
        <f t="shared" si="546"/>
        <v>0</v>
      </c>
      <c r="AX350" s="229">
        <f t="shared" si="546"/>
        <v>0</v>
      </c>
      <c r="AY350" s="229">
        <f t="shared" si="546"/>
        <v>0</v>
      </c>
      <c r="AZ350" s="229">
        <f t="shared" si="546"/>
        <v>0</v>
      </c>
      <c r="BA350" s="229">
        <f t="shared" si="546"/>
        <v>0</v>
      </c>
      <c r="BB350" s="229">
        <f t="shared" si="546"/>
        <v>0</v>
      </c>
      <c r="BC350" s="229">
        <f t="shared" si="546"/>
        <v>0</v>
      </c>
      <c r="BD350" s="229">
        <f t="shared" si="546"/>
        <v>0</v>
      </c>
      <c r="BE350" s="229">
        <f t="shared" si="546"/>
        <v>0</v>
      </c>
      <c r="BF350" s="229">
        <f t="shared" si="546"/>
        <v>0</v>
      </c>
      <c r="BG350" s="229">
        <f t="shared" si="546"/>
        <v>0</v>
      </c>
      <c r="BH350" s="229">
        <f t="shared" si="546"/>
        <v>0</v>
      </c>
      <c r="BI350" s="229">
        <f t="shared" si="546"/>
        <v>0</v>
      </c>
      <c r="BJ350" s="229">
        <f t="shared" si="546"/>
        <v>0</v>
      </c>
      <c r="BK350" s="229">
        <f t="shared" si="546"/>
        <v>0</v>
      </c>
      <c r="BL350" s="229">
        <f t="shared" si="546"/>
        <v>0</v>
      </c>
      <c r="BM350" s="229">
        <f t="shared" si="546"/>
        <v>0</v>
      </c>
      <c r="BN350" s="229">
        <f t="shared" si="546"/>
        <v>0</v>
      </c>
      <c r="BO350" s="229">
        <f t="shared" si="546"/>
        <v>0</v>
      </c>
      <c r="BP350" s="229">
        <f t="shared" si="546"/>
        <v>0</v>
      </c>
      <c r="BQ350" s="229">
        <f t="shared" si="546"/>
        <v>0</v>
      </c>
      <c r="BR350" s="229">
        <f t="shared" ref="BR350:DU350" si="547">IF(BR$330&lt;=0,0,IF(BR$330&gt;0,(BR$330-BR$332)*(1-$C$327)+IF(BR$332&gt;=-(BR$338+BR$349),-BR349-(BR$330-BR$332)*(1-$C$327),IF(BR$332&lt;-(BR$338+BR$349),BR$332*$C$327,0))))</f>
        <v>0</v>
      </c>
      <c r="BS350" s="229">
        <f t="shared" si="547"/>
        <v>0</v>
      </c>
      <c r="BT350" s="229">
        <f t="shared" si="547"/>
        <v>0</v>
      </c>
      <c r="BU350" s="229">
        <f t="shared" si="547"/>
        <v>0</v>
      </c>
      <c r="BV350" s="229">
        <f t="shared" si="547"/>
        <v>0</v>
      </c>
      <c r="BW350" s="229">
        <f t="shared" si="547"/>
        <v>0</v>
      </c>
      <c r="BX350" s="229">
        <f t="shared" si="547"/>
        <v>0</v>
      </c>
      <c r="BY350" s="229">
        <f t="shared" si="547"/>
        <v>0</v>
      </c>
      <c r="BZ350" s="229">
        <f t="shared" si="547"/>
        <v>0</v>
      </c>
      <c r="CA350" s="229">
        <f t="shared" si="547"/>
        <v>0</v>
      </c>
      <c r="CB350" s="229">
        <f t="shared" si="547"/>
        <v>0</v>
      </c>
      <c r="CC350" s="229">
        <f t="shared" si="547"/>
        <v>0</v>
      </c>
      <c r="CD350" s="229">
        <f t="shared" si="547"/>
        <v>0</v>
      </c>
      <c r="CE350" s="229">
        <f t="shared" si="547"/>
        <v>0</v>
      </c>
      <c r="CF350" s="229">
        <f t="shared" si="547"/>
        <v>0</v>
      </c>
      <c r="CG350" s="229">
        <f t="shared" si="547"/>
        <v>0</v>
      </c>
      <c r="CH350" s="229">
        <f t="shared" si="547"/>
        <v>0</v>
      </c>
      <c r="CI350" s="229">
        <f t="shared" si="547"/>
        <v>0</v>
      </c>
      <c r="CJ350" s="229">
        <f t="shared" si="547"/>
        <v>0</v>
      </c>
      <c r="CK350" s="229">
        <f t="shared" si="547"/>
        <v>0</v>
      </c>
      <c r="CL350" s="229">
        <f t="shared" si="547"/>
        <v>0</v>
      </c>
      <c r="CM350" s="229">
        <f t="shared" si="547"/>
        <v>0</v>
      </c>
      <c r="CN350" s="229">
        <f t="shared" si="547"/>
        <v>0</v>
      </c>
      <c r="CO350" s="229">
        <f t="shared" si="547"/>
        <v>0</v>
      </c>
      <c r="CP350" s="229">
        <f t="shared" si="547"/>
        <v>0</v>
      </c>
      <c r="CQ350" s="229">
        <f t="shared" si="547"/>
        <v>0</v>
      </c>
      <c r="CR350" s="229">
        <f t="shared" si="547"/>
        <v>0</v>
      </c>
      <c r="CS350" s="229">
        <f t="shared" si="547"/>
        <v>0</v>
      </c>
      <c r="CT350" s="229">
        <f t="shared" si="547"/>
        <v>0</v>
      </c>
      <c r="CU350" s="229">
        <f t="shared" si="547"/>
        <v>0</v>
      </c>
      <c r="CV350" s="229">
        <f t="shared" si="547"/>
        <v>0</v>
      </c>
      <c r="CW350" s="229">
        <f t="shared" si="547"/>
        <v>0</v>
      </c>
      <c r="CX350" s="229">
        <f t="shared" si="547"/>
        <v>0</v>
      </c>
      <c r="CY350" s="229">
        <f t="shared" si="547"/>
        <v>0</v>
      </c>
      <c r="CZ350" s="229">
        <f t="shared" si="547"/>
        <v>0</v>
      </c>
      <c r="DA350" s="229">
        <f t="shared" si="547"/>
        <v>0</v>
      </c>
      <c r="DB350" s="229">
        <f t="shared" si="547"/>
        <v>0</v>
      </c>
      <c r="DC350" s="229">
        <f t="shared" si="547"/>
        <v>0</v>
      </c>
      <c r="DD350" s="229">
        <f t="shared" si="547"/>
        <v>0</v>
      </c>
      <c r="DE350" s="229">
        <f t="shared" si="547"/>
        <v>0</v>
      </c>
      <c r="DF350" s="229">
        <f t="shared" si="547"/>
        <v>0</v>
      </c>
      <c r="DG350" s="229">
        <f t="shared" si="547"/>
        <v>0</v>
      </c>
      <c r="DH350" s="229">
        <f t="shared" si="547"/>
        <v>0</v>
      </c>
      <c r="DI350" s="229">
        <f t="shared" si="547"/>
        <v>0</v>
      </c>
      <c r="DJ350" s="229">
        <f t="shared" si="547"/>
        <v>0</v>
      </c>
      <c r="DK350" s="229">
        <f t="shared" si="547"/>
        <v>0</v>
      </c>
      <c r="DL350" s="229">
        <f t="shared" si="547"/>
        <v>0</v>
      </c>
      <c r="DM350" s="229">
        <f t="shared" si="547"/>
        <v>0</v>
      </c>
      <c r="DN350" s="229">
        <f t="shared" si="547"/>
        <v>0</v>
      </c>
      <c r="DO350" s="229">
        <f t="shared" si="547"/>
        <v>0</v>
      </c>
      <c r="DP350" s="229">
        <f t="shared" si="547"/>
        <v>0</v>
      </c>
      <c r="DQ350" s="229">
        <f t="shared" si="547"/>
        <v>0</v>
      </c>
      <c r="DR350" s="229">
        <f t="shared" si="547"/>
        <v>0</v>
      </c>
      <c r="DS350" s="229">
        <f t="shared" si="547"/>
        <v>0</v>
      </c>
      <c r="DT350" s="229">
        <f t="shared" si="547"/>
        <v>0</v>
      </c>
      <c r="DU350" s="229">
        <f t="shared" si="547"/>
        <v>0</v>
      </c>
    </row>
    <row r="351" spans="1:125" x14ac:dyDescent="0.3">
      <c r="A351" t="s">
        <v>2540</v>
      </c>
      <c r="E351" s="229">
        <f ca="1">SUM(E349:E350)</f>
        <v>-93600.347520574287</v>
      </c>
      <c r="F351" s="229">
        <f t="shared" ref="F351:BQ351" ca="1" si="548">SUM(F349:F350)</f>
        <v>-854884.82527888007</v>
      </c>
      <c r="G351" s="229">
        <f t="shared" ca="1" si="548"/>
        <v>-890633.31079567317</v>
      </c>
      <c r="H351" s="229">
        <f t="shared" ca="1" si="548"/>
        <v>-939253.71187382564</v>
      </c>
      <c r="I351" s="229">
        <f t="shared" ca="1" si="548"/>
        <v>-1013866.0429308388</v>
      </c>
      <c r="J351" s="229">
        <f t="shared" ca="1" si="548"/>
        <v>-1128419.3051628706</v>
      </c>
      <c r="K351" s="229">
        <f t="shared" ca="1" si="548"/>
        <v>-1247505.1422271302</v>
      </c>
      <c r="L351" s="229">
        <f t="shared" ca="1" si="548"/>
        <v>-1396608.8352351016</v>
      </c>
      <c r="M351" s="229">
        <f t="shared" ca="1" si="548"/>
        <v>-1572321.1085295356</v>
      </c>
      <c r="N351" s="229">
        <f t="shared" ca="1" si="548"/>
        <v>-1777140.4119259808</v>
      </c>
      <c r="O351" s="229">
        <f t="shared" ca="1" si="548"/>
        <v>-1905673.1131019297</v>
      </c>
      <c r="P351" s="229">
        <f t="shared" ca="1" si="548"/>
        <v>-1932139.9214000832</v>
      </c>
      <c r="Q351" s="229">
        <f t="shared" ca="1" si="548"/>
        <v>-1958974.3121218304</v>
      </c>
      <c r="R351" s="229">
        <f t="shared" ca="1" si="548"/>
        <v>-1986181.3904100587</v>
      </c>
      <c r="S351" s="229">
        <f t="shared" ca="1" si="548"/>
        <v>-2013766.3323100768</v>
      </c>
      <c r="T351" s="229">
        <f t="shared" ca="1" si="548"/>
        <v>-2041734.3857543382</v>
      </c>
      <c r="U351" s="229">
        <f t="shared" ca="1" si="548"/>
        <v>-2070090.8715608409</v>
      </c>
      <c r="V351" s="229">
        <f t="shared" ca="1" si="548"/>
        <v>-2098841.1844453928</v>
      </c>
      <c r="W351" s="229">
        <f t="shared" ca="1" si="548"/>
        <v>-2127990.7940479368</v>
      </c>
      <c r="X351" s="229">
        <f t="shared" ca="1" si="548"/>
        <v>-2157545.2459731293</v>
      </c>
      <c r="Y351" s="229">
        <f t="shared" ca="1" si="548"/>
        <v>-2187510.1628453699</v>
      </c>
      <c r="Z351" s="229">
        <f t="shared" ca="1" si="548"/>
        <v>-2217891.2453784868</v>
      </c>
      <c r="AA351" s="229">
        <f t="shared" ca="1" si="548"/>
        <v>-2248694.2734602741</v>
      </c>
      <c r="AB351" s="229">
        <f t="shared" ca="1" si="548"/>
        <v>-2279925.1072520954</v>
      </c>
      <c r="AC351" s="229">
        <f t="shared" ca="1" si="548"/>
        <v>-2309384.0368292523</v>
      </c>
      <c r="AD351" s="229">
        <f t="shared" ca="1" si="548"/>
        <v>-2337241.2350531672</v>
      </c>
      <c r="AE351" s="229">
        <f t="shared" ca="1" si="548"/>
        <v>-2363195.6339982064</v>
      </c>
      <c r="AF351" s="229">
        <f t="shared" ca="1" si="548"/>
        <v>-2385038.6000962029</v>
      </c>
      <c r="AG351" s="229">
        <f t="shared" ca="1" si="548"/>
        <v>0</v>
      </c>
      <c r="AH351" s="229">
        <f t="shared" ca="1" si="548"/>
        <v>0</v>
      </c>
      <c r="AI351" s="229">
        <f t="shared" ca="1" si="548"/>
        <v>0</v>
      </c>
      <c r="AJ351" s="229">
        <f t="shared" ca="1" si="548"/>
        <v>0</v>
      </c>
      <c r="AK351" s="229">
        <f t="shared" ca="1" si="548"/>
        <v>0</v>
      </c>
      <c r="AL351" s="229">
        <f t="shared" ca="1" si="548"/>
        <v>0</v>
      </c>
      <c r="AM351" s="229">
        <f t="shared" ca="1" si="548"/>
        <v>0</v>
      </c>
      <c r="AN351" s="229">
        <f t="shared" ca="1" si="548"/>
        <v>0</v>
      </c>
      <c r="AO351" s="229">
        <f t="shared" ca="1" si="548"/>
        <v>0</v>
      </c>
      <c r="AP351" s="229">
        <f t="shared" ca="1" si="548"/>
        <v>0</v>
      </c>
      <c r="AQ351" s="229">
        <f t="shared" ca="1" si="548"/>
        <v>0</v>
      </c>
      <c r="AR351" s="229">
        <f t="shared" ca="1" si="548"/>
        <v>0</v>
      </c>
      <c r="AS351" s="229">
        <f t="shared" ca="1" si="548"/>
        <v>0</v>
      </c>
      <c r="AT351" s="229">
        <f t="shared" ca="1" si="548"/>
        <v>0</v>
      </c>
      <c r="AU351" s="229">
        <f t="shared" ca="1" si="548"/>
        <v>0</v>
      </c>
      <c r="AV351" s="229">
        <f t="shared" ca="1" si="548"/>
        <v>0</v>
      </c>
      <c r="AW351" s="229">
        <f t="shared" ca="1" si="548"/>
        <v>0</v>
      </c>
      <c r="AX351" s="229">
        <f t="shared" ca="1" si="548"/>
        <v>0</v>
      </c>
      <c r="AY351" s="229">
        <f t="shared" ca="1" si="548"/>
        <v>0</v>
      </c>
      <c r="AZ351" s="229">
        <f t="shared" ca="1" si="548"/>
        <v>0</v>
      </c>
      <c r="BA351" s="229">
        <f t="shared" ca="1" si="548"/>
        <v>0</v>
      </c>
      <c r="BB351" s="229">
        <f t="shared" ca="1" si="548"/>
        <v>0</v>
      </c>
      <c r="BC351" s="229">
        <f t="shared" ca="1" si="548"/>
        <v>0</v>
      </c>
      <c r="BD351" s="229">
        <f t="shared" ca="1" si="548"/>
        <v>0</v>
      </c>
      <c r="BE351" s="229">
        <f t="shared" ca="1" si="548"/>
        <v>0</v>
      </c>
      <c r="BF351" s="229">
        <f t="shared" ca="1" si="548"/>
        <v>0</v>
      </c>
      <c r="BG351" s="229">
        <f t="shared" ca="1" si="548"/>
        <v>0</v>
      </c>
      <c r="BH351" s="229">
        <f t="shared" ca="1" si="548"/>
        <v>0</v>
      </c>
      <c r="BI351" s="229">
        <f t="shared" ca="1" si="548"/>
        <v>0</v>
      </c>
      <c r="BJ351" s="229">
        <f t="shared" ca="1" si="548"/>
        <v>0</v>
      </c>
      <c r="BK351" s="229">
        <f t="shared" ca="1" si="548"/>
        <v>0</v>
      </c>
      <c r="BL351" s="229">
        <f t="shared" ca="1" si="548"/>
        <v>0</v>
      </c>
      <c r="BM351" s="229">
        <f t="shared" ca="1" si="548"/>
        <v>0</v>
      </c>
      <c r="BN351" s="229">
        <f t="shared" ca="1" si="548"/>
        <v>0</v>
      </c>
      <c r="BO351" s="229">
        <f t="shared" ca="1" si="548"/>
        <v>0</v>
      </c>
      <c r="BP351" s="229">
        <f t="shared" ca="1" si="548"/>
        <v>0</v>
      </c>
      <c r="BQ351" s="229">
        <f t="shared" ca="1" si="548"/>
        <v>0</v>
      </c>
      <c r="BR351" s="229">
        <f t="shared" ref="BR351:DU351" ca="1" si="549">SUM(BR349:BR350)</f>
        <v>0</v>
      </c>
      <c r="BS351" s="229">
        <f t="shared" ca="1" si="549"/>
        <v>0</v>
      </c>
      <c r="BT351" s="229">
        <f t="shared" ca="1" si="549"/>
        <v>0</v>
      </c>
      <c r="BU351" s="229">
        <f t="shared" ca="1" si="549"/>
        <v>0</v>
      </c>
      <c r="BV351" s="229">
        <f t="shared" ca="1" si="549"/>
        <v>0</v>
      </c>
      <c r="BW351" s="229">
        <f t="shared" ca="1" si="549"/>
        <v>0</v>
      </c>
      <c r="BX351" s="229">
        <f t="shared" ca="1" si="549"/>
        <v>0</v>
      </c>
      <c r="BY351" s="229">
        <f t="shared" ca="1" si="549"/>
        <v>0</v>
      </c>
      <c r="BZ351" s="229">
        <f t="shared" ca="1" si="549"/>
        <v>0</v>
      </c>
      <c r="CA351" s="229">
        <f t="shared" ca="1" si="549"/>
        <v>0</v>
      </c>
      <c r="CB351" s="229">
        <f t="shared" ca="1" si="549"/>
        <v>0</v>
      </c>
      <c r="CC351" s="229">
        <f t="shared" ca="1" si="549"/>
        <v>0</v>
      </c>
      <c r="CD351" s="229">
        <f t="shared" ca="1" si="549"/>
        <v>0</v>
      </c>
      <c r="CE351" s="229">
        <f t="shared" ca="1" si="549"/>
        <v>0</v>
      </c>
      <c r="CF351" s="229">
        <f t="shared" ca="1" si="549"/>
        <v>0</v>
      </c>
      <c r="CG351" s="229">
        <f t="shared" ca="1" si="549"/>
        <v>0</v>
      </c>
      <c r="CH351" s="229">
        <f t="shared" ca="1" si="549"/>
        <v>0</v>
      </c>
      <c r="CI351" s="229">
        <f t="shared" ca="1" si="549"/>
        <v>0</v>
      </c>
      <c r="CJ351" s="229">
        <f t="shared" ca="1" si="549"/>
        <v>0</v>
      </c>
      <c r="CK351" s="229">
        <f t="shared" ca="1" si="549"/>
        <v>0</v>
      </c>
      <c r="CL351" s="229">
        <f t="shared" ca="1" si="549"/>
        <v>0</v>
      </c>
      <c r="CM351" s="229">
        <f t="shared" ca="1" si="549"/>
        <v>0</v>
      </c>
      <c r="CN351" s="229">
        <f t="shared" ca="1" si="549"/>
        <v>0</v>
      </c>
      <c r="CO351" s="229">
        <f t="shared" ca="1" si="549"/>
        <v>0</v>
      </c>
      <c r="CP351" s="229">
        <f t="shared" ca="1" si="549"/>
        <v>0</v>
      </c>
      <c r="CQ351" s="229">
        <f t="shared" ca="1" si="549"/>
        <v>0</v>
      </c>
      <c r="CR351" s="229">
        <f t="shared" ca="1" si="549"/>
        <v>0</v>
      </c>
      <c r="CS351" s="229">
        <f t="shared" ca="1" si="549"/>
        <v>0</v>
      </c>
      <c r="CT351" s="229">
        <f t="shared" ca="1" si="549"/>
        <v>0</v>
      </c>
      <c r="CU351" s="229">
        <f t="shared" ca="1" si="549"/>
        <v>0</v>
      </c>
      <c r="CV351" s="229">
        <f t="shared" ca="1" si="549"/>
        <v>0</v>
      </c>
      <c r="CW351" s="229">
        <f t="shared" ca="1" si="549"/>
        <v>0</v>
      </c>
      <c r="CX351" s="229">
        <f t="shared" ca="1" si="549"/>
        <v>0</v>
      </c>
      <c r="CY351" s="229">
        <f t="shared" ca="1" si="549"/>
        <v>0</v>
      </c>
      <c r="CZ351" s="229">
        <f t="shared" ca="1" si="549"/>
        <v>0</v>
      </c>
      <c r="DA351" s="229">
        <f t="shared" ca="1" si="549"/>
        <v>0</v>
      </c>
      <c r="DB351" s="229">
        <f t="shared" ca="1" si="549"/>
        <v>0</v>
      </c>
      <c r="DC351" s="229">
        <f t="shared" ca="1" si="549"/>
        <v>0</v>
      </c>
      <c r="DD351" s="229">
        <f t="shared" ca="1" si="549"/>
        <v>0</v>
      </c>
      <c r="DE351" s="229">
        <f t="shared" ca="1" si="549"/>
        <v>0</v>
      </c>
      <c r="DF351" s="229">
        <f t="shared" ca="1" si="549"/>
        <v>0</v>
      </c>
      <c r="DG351" s="229">
        <f t="shared" ca="1" si="549"/>
        <v>0</v>
      </c>
      <c r="DH351" s="229">
        <f t="shared" ca="1" si="549"/>
        <v>0</v>
      </c>
      <c r="DI351" s="229">
        <f t="shared" ca="1" si="549"/>
        <v>0</v>
      </c>
      <c r="DJ351" s="229">
        <f t="shared" ca="1" si="549"/>
        <v>0</v>
      </c>
      <c r="DK351" s="229">
        <f t="shared" ca="1" si="549"/>
        <v>0</v>
      </c>
      <c r="DL351" s="229">
        <f t="shared" ca="1" si="549"/>
        <v>0</v>
      </c>
      <c r="DM351" s="229">
        <f t="shared" ca="1" si="549"/>
        <v>0</v>
      </c>
      <c r="DN351" s="229">
        <f t="shared" ca="1" si="549"/>
        <v>0</v>
      </c>
      <c r="DO351" s="229">
        <f t="shared" ca="1" si="549"/>
        <v>0</v>
      </c>
      <c r="DP351" s="229">
        <f t="shared" ca="1" si="549"/>
        <v>0</v>
      </c>
      <c r="DQ351" s="229">
        <f t="shared" ca="1" si="549"/>
        <v>0</v>
      </c>
      <c r="DR351" s="229">
        <f t="shared" ca="1" si="549"/>
        <v>0</v>
      </c>
      <c r="DS351" s="229">
        <f t="shared" ca="1" si="549"/>
        <v>0</v>
      </c>
      <c r="DT351" s="229">
        <f t="shared" ca="1" si="549"/>
        <v>0</v>
      </c>
      <c r="DU351" s="229">
        <f t="shared" ca="1" si="549"/>
        <v>0</v>
      </c>
    </row>
    <row r="352" spans="1:125" x14ac:dyDescent="0.3">
      <c r="E352" s="229"/>
      <c r="F352" s="229"/>
      <c r="G352" s="229"/>
      <c r="H352" s="229"/>
      <c r="I352" s="229"/>
      <c r="J352" s="229"/>
      <c r="K352" s="229"/>
      <c r="L352" s="229"/>
      <c r="M352" s="229"/>
      <c r="N352" s="229"/>
      <c r="O352" s="229"/>
      <c r="P352" s="229"/>
      <c r="Q352" s="229"/>
      <c r="R352" s="229"/>
      <c r="S352" s="229"/>
      <c r="T352" s="229"/>
      <c r="U352" s="229"/>
      <c r="V352" s="229"/>
      <c r="W352" s="229"/>
      <c r="X352" s="229"/>
      <c r="Y352" s="229"/>
      <c r="Z352" s="229"/>
      <c r="AA352" s="229"/>
      <c r="AB352" s="229"/>
      <c r="AC352" s="229"/>
      <c r="AD352" s="229"/>
      <c r="AE352" s="229"/>
      <c r="AF352" s="229"/>
      <c r="AG352" s="229"/>
      <c r="AH352" s="229"/>
      <c r="AI352" s="229"/>
      <c r="AJ352" s="229"/>
      <c r="AK352" s="229"/>
      <c r="AL352" s="229"/>
      <c r="AM352" s="229"/>
      <c r="AN352" s="229"/>
      <c r="AO352" s="229"/>
      <c r="AP352" s="229"/>
      <c r="AQ352" s="229"/>
      <c r="AR352" s="229"/>
      <c r="AS352" s="229"/>
      <c r="AT352" s="229"/>
      <c r="AU352" s="229"/>
      <c r="AV352" s="229"/>
      <c r="AW352" s="229"/>
      <c r="AX352" s="229"/>
      <c r="AY352" s="229"/>
      <c r="AZ352" s="229"/>
      <c r="BA352" s="229"/>
      <c r="BB352" s="229"/>
      <c r="BC352" s="229"/>
      <c r="BD352" s="229"/>
      <c r="BE352" s="229"/>
      <c r="BF352" s="229"/>
      <c r="BG352" s="229"/>
      <c r="BH352" s="229"/>
      <c r="BI352" s="229"/>
      <c r="BJ352" s="229"/>
      <c r="BK352" s="229"/>
      <c r="BL352" s="229"/>
      <c r="BM352" s="229"/>
      <c r="BN352" s="229"/>
      <c r="BO352" s="229"/>
      <c r="BP352" s="229"/>
      <c r="BQ352" s="229"/>
      <c r="BR352" s="229"/>
      <c r="BS352" s="229"/>
      <c r="BT352" s="229"/>
      <c r="BU352" s="229"/>
      <c r="BV352" s="229"/>
      <c r="BW352" s="229"/>
      <c r="BX352" s="229"/>
      <c r="BY352" s="229"/>
      <c r="BZ352" s="229"/>
      <c r="CA352" s="229"/>
      <c r="CB352" s="229"/>
      <c r="CC352" s="229"/>
      <c r="CD352" s="229"/>
      <c r="CE352" s="229"/>
      <c r="CF352" s="229"/>
      <c r="CG352" s="229"/>
      <c r="CH352" s="229"/>
      <c r="CI352" s="229"/>
      <c r="CJ352" s="229"/>
      <c r="CK352" s="229"/>
      <c r="CL352" s="229"/>
      <c r="CM352" s="229"/>
      <c r="CN352" s="229"/>
      <c r="CO352" s="229"/>
      <c r="CP352" s="229"/>
      <c r="CQ352" s="229"/>
      <c r="CR352" s="229"/>
      <c r="CS352" s="229"/>
      <c r="CT352" s="229"/>
      <c r="CU352" s="229"/>
      <c r="CV352" s="229"/>
      <c r="CW352" s="229"/>
      <c r="CX352" s="229"/>
      <c r="CY352" s="229"/>
      <c r="CZ352" s="229"/>
      <c r="DA352" s="229"/>
      <c r="DB352" s="229"/>
      <c r="DC352" s="229"/>
      <c r="DD352" s="229"/>
      <c r="DE352" s="229"/>
      <c r="DF352" s="229"/>
      <c r="DG352" s="229"/>
      <c r="DH352" s="229"/>
      <c r="DI352" s="229"/>
      <c r="DJ352" s="229"/>
      <c r="DK352" s="229"/>
      <c r="DL352" s="229"/>
      <c r="DM352" s="229"/>
      <c r="DN352" s="229"/>
      <c r="DO352" s="229"/>
      <c r="DP352" s="229"/>
      <c r="DQ352" s="229"/>
      <c r="DR352" s="229"/>
      <c r="DS352" s="229"/>
      <c r="DT352" s="229"/>
      <c r="DU352" s="229"/>
    </row>
    <row r="353" spans="1:125" x14ac:dyDescent="0.3">
      <c r="A353" t="s">
        <v>2544</v>
      </c>
      <c r="C353" s="229">
        <f ca="1">SUM(E353:DU353)</f>
        <v>687977.99248659844</v>
      </c>
      <c r="E353" s="229">
        <f ca="1">E350+E347</f>
        <v>-93600.347520574287</v>
      </c>
      <c r="F353" s="229">
        <f ca="1">F350+F347</f>
        <v>-759984.51585117937</v>
      </c>
      <c r="G353" s="229">
        <f t="shared" ref="G353:BR353" ca="1" si="550">G350+G347</f>
        <v>-23875.477164994769</v>
      </c>
      <c r="H353" s="229">
        <f t="shared" ca="1" si="550"/>
        <v>-36250.902375193073</v>
      </c>
      <c r="I353" s="229">
        <f t="shared" ca="1" si="550"/>
        <v>-61567.571300168056</v>
      </c>
      <c r="J353" s="229">
        <f t="shared" ca="1" si="550"/>
        <v>-100472.25431216895</v>
      </c>
      <c r="K353" s="229">
        <f t="shared" ca="1" si="550"/>
        <v>-103413.86414070406</v>
      </c>
      <c r="L353" s="229">
        <f t="shared" ca="1" si="550"/>
        <v>-131777.80473086692</v>
      </c>
      <c r="M353" s="229">
        <f t="shared" ca="1" si="550"/>
        <v>-156315.56876229716</v>
      </c>
      <c r="N353" s="229">
        <f t="shared" ca="1" si="550"/>
        <v>-182982.23119529791</v>
      </c>
      <c r="O353" s="229">
        <f t="shared" ca="1" si="550"/>
        <v>-103851.01034557028</v>
      </c>
      <c r="P353" s="229">
        <f t="shared" ca="1" si="550"/>
        <v>0</v>
      </c>
      <c r="Q353" s="229">
        <f t="shared" ca="1" si="550"/>
        <v>0</v>
      </c>
      <c r="R353" s="229">
        <f t="shared" ca="1" si="550"/>
        <v>0</v>
      </c>
      <c r="S353" s="229">
        <f t="shared" ca="1" si="550"/>
        <v>0</v>
      </c>
      <c r="T353" s="229">
        <f t="shared" ca="1" si="550"/>
        <v>0</v>
      </c>
      <c r="U353" s="229">
        <f t="shared" ca="1" si="550"/>
        <v>0</v>
      </c>
      <c r="V353" s="229">
        <f t="shared" ca="1" si="550"/>
        <v>0</v>
      </c>
      <c r="W353" s="229">
        <f t="shared" ca="1" si="550"/>
        <v>0</v>
      </c>
      <c r="X353" s="229">
        <f t="shared" ca="1" si="550"/>
        <v>0</v>
      </c>
      <c r="Y353" s="229">
        <f t="shared" ca="1" si="550"/>
        <v>0</v>
      </c>
      <c r="Z353" s="229">
        <f t="shared" ca="1" si="550"/>
        <v>0</v>
      </c>
      <c r="AA353" s="229">
        <f t="shared" ca="1" si="550"/>
        <v>0</v>
      </c>
      <c r="AB353" s="229">
        <f t="shared" ca="1" si="550"/>
        <v>0</v>
      </c>
      <c r="AC353" s="229">
        <f t="shared" ca="1" si="550"/>
        <v>2205.6514745045665</v>
      </c>
      <c r="AD353" s="229">
        <f t="shared" ca="1" si="550"/>
        <v>4216.5211193181594</v>
      </c>
      <c r="AE353" s="229">
        <f t="shared" ca="1" si="550"/>
        <v>6506.2131554283815</v>
      </c>
      <c r="AF353" s="229">
        <f t="shared" ca="1" si="550"/>
        <v>10978.111864454066</v>
      </c>
      <c r="AG353" s="229">
        <f t="shared" ca="1" si="550"/>
        <v>2418163.0425719083</v>
      </c>
      <c r="AH353" s="229">
        <f t="shared" ca="1" si="550"/>
        <v>0</v>
      </c>
      <c r="AI353" s="229">
        <f t="shared" ca="1" si="550"/>
        <v>0</v>
      </c>
      <c r="AJ353" s="229">
        <f t="shared" ca="1" si="550"/>
        <v>0</v>
      </c>
      <c r="AK353" s="229">
        <f t="shared" ca="1" si="550"/>
        <v>0</v>
      </c>
      <c r="AL353" s="229">
        <f t="shared" ca="1" si="550"/>
        <v>0</v>
      </c>
      <c r="AM353" s="229">
        <f t="shared" ca="1" si="550"/>
        <v>0</v>
      </c>
      <c r="AN353" s="229">
        <f t="shared" ca="1" si="550"/>
        <v>0</v>
      </c>
      <c r="AO353" s="229">
        <f t="shared" ca="1" si="550"/>
        <v>0</v>
      </c>
      <c r="AP353" s="229">
        <f t="shared" ca="1" si="550"/>
        <v>0</v>
      </c>
      <c r="AQ353" s="229">
        <f t="shared" ca="1" si="550"/>
        <v>0</v>
      </c>
      <c r="AR353" s="229">
        <f t="shared" ca="1" si="550"/>
        <v>0</v>
      </c>
      <c r="AS353" s="229">
        <f t="shared" ca="1" si="550"/>
        <v>0</v>
      </c>
      <c r="AT353" s="229">
        <f t="shared" ca="1" si="550"/>
        <v>0</v>
      </c>
      <c r="AU353" s="229">
        <f t="shared" ca="1" si="550"/>
        <v>0</v>
      </c>
      <c r="AV353" s="229">
        <f t="shared" ca="1" si="550"/>
        <v>0</v>
      </c>
      <c r="AW353" s="229">
        <f t="shared" ca="1" si="550"/>
        <v>0</v>
      </c>
      <c r="AX353" s="229">
        <f t="shared" ca="1" si="550"/>
        <v>0</v>
      </c>
      <c r="AY353" s="229">
        <f t="shared" ca="1" si="550"/>
        <v>0</v>
      </c>
      <c r="AZ353" s="229">
        <f t="shared" ca="1" si="550"/>
        <v>0</v>
      </c>
      <c r="BA353" s="229">
        <f t="shared" ca="1" si="550"/>
        <v>0</v>
      </c>
      <c r="BB353" s="229">
        <f t="shared" ca="1" si="550"/>
        <v>0</v>
      </c>
      <c r="BC353" s="229">
        <f t="shared" ca="1" si="550"/>
        <v>0</v>
      </c>
      <c r="BD353" s="229">
        <f t="shared" ca="1" si="550"/>
        <v>0</v>
      </c>
      <c r="BE353" s="229">
        <f t="shared" ca="1" si="550"/>
        <v>0</v>
      </c>
      <c r="BF353" s="229">
        <f t="shared" ca="1" si="550"/>
        <v>0</v>
      </c>
      <c r="BG353" s="229">
        <f t="shared" ca="1" si="550"/>
        <v>0</v>
      </c>
      <c r="BH353" s="229">
        <f t="shared" ca="1" si="550"/>
        <v>0</v>
      </c>
      <c r="BI353" s="229">
        <f t="shared" ca="1" si="550"/>
        <v>0</v>
      </c>
      <c r="BJ353" s="229">
        <f t="shared" ca="1" si="550"/>
        <v>0</v>
      </c>
      <c r="BK353" s="229">
        <f t="shared" ca="1" si="550"/>
        <v>0</v>
      </c>
      <c r="BL353" s="229">
        <f t="shared" ca="1" si="550"/>
        <v>0</v>
      </c>
      <c r="BM353" s="229">
        <f t="shared" ca="1" si="550"/>
        <v>0</v>
      </c>
      <c r="BN353" s="229">
        <f t="shared" ca="1" si="550"/>
        <v>0</v>
      </c>
      <c r="BO353" s="229">
        <f t="shared" ca="1" si="550"/>
        <v>0</v>
      </c>
      <c r="BP353" s="229">
        <f t="shared" ca="1" si="550"/>
        <v>0</v>
      </c>
      <c r="BQ353" s="229">
        <f t="shared" ca="1" si="550"/>
        <v>0</v>
      </c>
      <c r="BR353" s="229">
        <f t="shared" ca="1" si="550"/>
        <v>0</v>
      </c>
      <c r="BS353" s="229">
        <f t="shared" ref="BS353:DU353" ca="1" si="551">BS350+BS347</f>
        <v>0</v>
      </c>
      <c r="BT353" s="229">
        <f t="shared" ca="1" si="551"/>
        <v>0</v>
      </c>
      <c r="BU353" s="229">
        <f t="shared" ca="1" si="551"/>
        <v>0</v>
      </c>
      <c r="BV353" s="229">
        <f t="shared" ca="1" si="551"/>
        <v>0</v>
      </c>
      <c r="BW353" s="229">
        <f t="shared" ca="1" si="551"/>
        <v>0</v>
      </c>
      <c r="BX353" s="229">
        <f t="shared" ca="1" si="551"/>
        <v>0</v>
      </c>
      <c r="BY353" s="229">
        <f t="shared" ca="1" si="551"/>
        <v>0</v>
      </c>
      <c r="BZ353" s="229">
        <f t="shared" ca="1" si="551"/>
        <v>0</v>
      </c>
      <c r="CA353" s="229">
        <f t="shared" ca="1" si="551"/>
        <v>0</v>
      </c>
      <c r="CB353" s="229">
        <f t="shared" ca="1" si="551"/>
        <v>0</v>
      </c>
      <c r="CC353" s="229">
        <f t="shared" ca="1" si="551"/>
        <v>0</v>
      </c>
      <c r="CD353" s="229">
        <f t="shared" ca="1" si="551"/>
        <v>0</v>
      </c>
      <c r="CE353" s="229">
        <f t="shared" ca="1" si="551"/>
        <v>0</v>
      </c>
      <c r="CF353" s="229">
        <f t="shared" ca="1" si="551"/>
        <v>0</v>
      </c>
      <c r="CG353" s="229">
        <f t="shared" ca="1" si="551"/>
        <v>0</v>
      </c>
      <c r="CH353" s="229">
        <f t="shared" ca="1" si="551"/>
        <v>0</v>
      </c>
      <c r="CI353" s="229">
        <f t="shared" ca="1" si="551"/>
        <v>0</v>
      </c>
      <c r="CJ353" s="229">
        <f t="shared" ca="1" si="551"/>
        <v>0</v>
      </c>
      <c r="CK353" s="229">
        <f t="shared" ca="1" si="551"/>
        <v>0</v>
      </c>
      <c r="CL353" s="229">
        <f t="shared" ca="1" si="551"/>
        <v>0</v>
      </c>
      <c r="CM353" s="229">
        <f t="shared" ca="1" si="551"/>
        <v>0</v>
      </c>
      <c r="CN353" s="229">
        <f t="shared" ca="1" si="551"/>
        <v>0</v>
      </c>
      <c r="CO353" s="229">
        <f t="shared" ca="1" si="551"/>
        <v>0</v>
      </c>
      <c r="CP353" s="229">
        <f t="shared" ca="1" si="551"/>
        <v>0</v>
      </c>
      <c r="CQ353" s="229">
        <f t="shared" ca="1" si="551"/>
        <v>0</v>
      </c>
      <c r="CR353" s="229">
        <f t="shared" ca="1" si="551"/>
        <v>0</v>
      </c>
      <c r="CS353" s="229">
        <f t="shared" ca="1" si="551"/>
        <v>0</v>
      </c>
      <c r="CT353" s="229">
        <f t="shared" ca="1" si="551"/>
        <v>0</v>
      </c>
      <c r="CU353" s="229">
        <f t="shared" ca="1" si="551"/>
        <v>0</v>
      </c>
      <c r="CV353" s="229">
        <f t="shared" ca="1" si="551"/>
        <v>0</v>
      </c>
      <c r="CW353" s="229">
        <f t="shared" ca="1" si="551"/>
        <v>0</v>
      </c>
      <c r="CX353" s="229">
        <f t="shared" ca="1" si="551"/>
        <v>0</v>
      </c>
      <c r="CY353" s="229">
        <f t="shared" ca="1" si="551"/>
        <v>0</v>
      </c>
      <c r="CZ353" s="229">
        <f t="shared" ca="1" si="551"/>
        <v>0</v>
      </c>
      <c r="DA353" s="229">
        <f t="shared" ca="1" si="551"/>
        <v>0</v>
      </c>
      <c r="DB353" s="229">
        <f t="shared" ca="1" si="551"/>
        <v>0</v>
      </c>
      <c r="DC353" s="229">
        <f t="shared" ca="1" si="551"/>
        <v>0</v>
      </c>
      <c r="DD353" s="229">
        <f t="shared" ca="1" si="551"/>
        <v>0</v>
      </c>
      <c r="DE353" s="229">
        <f t="shared" ca="1" si="551"/>
        <v>0</v>
      </c>
      <c r="DF353" s="229">
        <f t="shared" ca="1" si="551"/>
        <v>0</v>
      </c>
      <c r="DG353" s="229">
        <f t="shared" ca="1" si="551"/>
        <v>0</v>
      </c>
      <c r="DH353" s="229">
        <f t="shared" ca="1" si="551"/>
        <v>0</v>
      </c>
      <c r="DI353" s="229">
        <f t="shared" ca="1" si="551"/>
        <v>0</v>
      </c>
      <c r="DJ353" s="229">
        <f t="shared" ca="1" si="551"/>
        <v>0</v>
      </c>
      <c r="DK353" s="229">
        <f t="shared" ca="1" si="551"/>
        <v>0</v>
      </c>
      <c r="DL353" s="229">
        <f t="shared" ca="1" si="551"/>
        <v>0</v>
      </c>
      <c r="DM353" s="229">
        <f t="shared" ca="1" si="551"/>
        <v>0</v>
      </c>
      <c r="DN353" s="229">
        <f t="shared" ca="1" si="551"/>
        <v>0</v>
      </c>
      <c r="DO353" s="229">
        <f t="shared" ca="1" si="551"/>
        <v>0</v>
      </c>
      <c r="DP353" s="229">
        <f t="shared" ca="1" si="551"/>
        <v>0</v>
      </c>
      <c r="DQ353" s="229">
        <f t="shared" ca="1" si="551"/>
        <v>0</v>
      </c>
      <c r="DR353" s="229">
        <f t="shared" ca="1" si="551"/>
        <v>0</v>
      </c>
      <c r="DS353" s="229">
        <f t="shared" ca="1" si="551"/>
        <v>0</v>
      </c>
      <c r="DT353" s="229">
        <f t="shared" ca="1" si="551"/>
        <v>0</v>
      </c>
      <c r="DU353" s="229">
        <f t="shared" ca="1" si="551"/>
        <v>0</v>
      </c>
    </row>
    <row r="354" spans="1:125" x14ac:dyDescent="0.3">
      <c r="A354" t="s">
        <v>1143</v>
      </c>
      <c r="C354" s="199">
        <f ca="1">XIRR(OFFSET(E353,0,D354):DU353,OFFSET($E$6,0,D354):$DU$6)</f>
        <v>0.17960297465324404</v>
      </c>
      <c r="E354" s="229"/>
      <c r="F354" s="229"/>
      <c r="G354" s="229"/>
      <c r="H354" s="229"/>
      <c r="I354" s="229"/>
      <c r="J354" s="229"/>
      <c r="K354" s="229"/>
      <c r="L354" s="229"/>
      <c r="M354" s="229"/>
      <c r="N354" s="229"/>
      <c r="O354" s="229"/>
      <c r="P354" s="229"/>
      <c r="Q354" s="229"/>
      <c r="R354" s="229"/>
      <c r="S354" s="229"/>
      <c r="T354" s="229"/>
      <c r="U354" s="229"/>
      <c r="V354" s="229"/>
      <c r="W354" s="229"/>
      <c r="X354" s="229"/>
      <c r="Y354" s="229"/>
      <c r="Z354" s="229"/>
      <c r="AA354" s="229"/>
      <c r="AB354" s="229"/>
      <c r="AC354" s="229"/>
      <c r="AD354" s="229"/>
      <c r="AE354" s="229"/>
      <c r="AF354" s="229"/>
      <c r="AG354" s="229"/>
      <c r="AH354" s="229"/>
      <c r="AI354" s="229"/>
      <c r="AJ354" s="229"/>
      <c r="AK354" s="229"/>
      <c r="AL354" s="229"/>
      <c r="AM354" s="229"/>
      <c r="AN354" s="229"/>
      <c r="AO354" s="229"/>
      <c r="AP354" s="229"/>
      <c r="AQ354" s="229"/>
      <c r="AR354" s="229"/>
      <c r="AS354" s="229"/>
      <c r="AT354" s="229"/>
      <c r="AU354" s="229"/>
      <c r="AV354" s="229"/>
      <c r="AW354" s="229"/>
      <c r="AX354" s="229"/>
      <c r="AY354" s="229"/>
      <c r="AZ354" s="229"/>
      <c r="BA354" s="229"/>
      <c r="BB354" s="229"/>
      <c r="BC354" s="229"/>
      <c r="BD354" s="229"/>
      <c r="BE354" s="229"/>
      <c r="BF354" s="229"/>
      <c r="BG354" s="229"/>
      <c r="BH354" s="229"/>
      <c r="BI354" s="229"/>
      <c r="BJ354" s="229"/>
      <c r="BK354" s="229"/>
      <c r="BL354" s="229"/>
      <c r="BM354" s="229"/>
      <c r="BN354" s="229"/>
      <c r="BO354" s="229"/>
      <c r="BP354" s="229"/>
      <c r="BQ354" s="229"/>
      <c r="BR354" s="229"/>
      <c r="BS354" s="229"/>
      <c r="BT354" s="229"/>
      <c r="BU354" s="229"/>
      <c r="BV354" s="229"/>
      <c r="BW354" s="229"/>
      <c r="BX354" s="229"/>
      <c r="BY354" s="229"/>
      <c r="BZ354" s="229"/>
      <c r="CA354" s="229"/>
      <c r="CB354" s="229"/>
      <c r="CC354" s="229"/>
      <c r="CD354" s="229"/>
      <c r="CE354" s="229"/>
      <c r="CF354" s="229"/>
      <c r="CG354" s="229"/>
      <c r="CH354" s="229"/>
      <c r="CI354" s="229"/>
      <c r="CJ354" s="229"/>
      <c r="CK354" s="229"/>
      <c r="CL354" s="229"/>
      <c r="CM354" s="229"/>
      <c r="CN354" s="229"/>
      <c r="CO354" s="229"/>
      <c r="CP354" s="229"/>
      <c r="CQ354" s="229"/>
      <c r="CR354" s="229"/>
      <c r="CS354" s="229"/>
      <c r="CT354" s="229"/>
      <c r="CU354" s="229"/>
      <c r="CV354" s="229"/>
      <c r="CW354" s="229"/>
      <c r="CX354" s="229"/>
      <c r="CY354" s="229"/>
      <c r="CZ354" s="229"/>
      <c r="DA354" s="229"/>
      <c r="DB354" s="229"/>
      <c r="DC354" s="229"/>
      <c r="DD354" s="229"/>
      <c r="DE354" s="229"/>
      <c r="DF354" s="229"/>
      <c r="DG354" s="229"/>
      <c r="DH354" s="229"/>
      <c r="DI354" s="229"/>
      <c r="DJ354" s="229"/>
      <c r="DK354" s="229"/>
      <c r="DL354" s="229"/>
      <c r="DM354" s="229"/>
      <c r="DN354" s="229"/>
      <c r="DO354" s="229"/>
      <c r="DP354" s="229"/>
      <c r="DQ354" s="229"/>
      <c r="DR354" s="229"/>
      <c r="DS354" s="229"/>
      <c r="DT354" s="229"/>
      <c r="DU354" s="229"/>
    </row>
    <row r="356" spans="1:125" s="246" customFormat="1" x14ac:dyDescent="0.3">
      <c r="A356" s="246" t="s">
        <v>2545</v>
      </c>
      <c r="D356" s="2566"/>
      <c r="E356" s="2567">
        <f t="shared" ref="E356:AI356" si="552">IF(E$5=DispositionMonth,E330-SUM(E339,E350),0)</f>
        <v>0</v>
      </c>
      <c r="F356" s="2567">
        <f t="shared" si="552"/>
        <v>0</v>
      </c>
      <c r="G356" s="2567">
        <f t="shared" si="552"/>
        <v>0</v>
      </c>
      <c r="H356" s="2567">
        <f t="shared" si="552"/>
        <v>0</v>
      </c>
      <c r="I356" s="2567">
        <f t="shared" si="552"/>
        <v>0</v>
      </c>
      <c r="J356" s="2567">
        <f t="shared" si="552"/>
        <v>0</v>
      </c>
      <c r="K356" s="2567">
        <f t="shared" si="552"/>
        <v>0</v>
      </c>
      <c r="L356" s="2567">
        <f t="shared" si="552"/>
        <v>0</v>
      </c>
      <c r="M356" s="2567">
        <f t="shared" si="552"/>
        <v>0</v>
      </c>
      <c r="N356" s="2567">
        <f t="shared" si="552"/>
        <v>0</v>
      </c>
      <c r="O356" s="2567">
        <f t="shared" si="552"/>
        <v>0</v>
      </c>
      <c r="P356" s="2567">
        <f t="shared" si="552"/>
        <v>0</v>
      </c>
      <c r="Q356" s="2567">
        <f t="shared" si="552"/>
        <v>0</v>
      </c>
      <c r="R356" s="2567">
        <f t="shared" si="552"/>
        <v>0</v>
      </c>
      <c r="S356" s="2567">
        <f t="shared" si="552"/>
        <v>0</v>
      </c>
      <c r="T356" s="2567">
        <f t="shared" si="552"/>
        <v>0</v>
      </c>
      <c r="U356" s="2567">
        <f t="shared" si="552"/>
        <v>0</v>
      </c>
      <c r="V356" s="2567">
        <f t="shared" si="552"/>
        <v>0</v>
      </c>
      <c r="W356" s="2567">
        <f t="shared" si="552"/>
        <v>0</v>
      </c>
      <c r="X356" s="2567">
        <f t="shared" si="552"/>
        <v>0</v>
      </c>
      <c r="Y356" s="2567">
        <f t="shared" si="552"/>
        <v>0</v>
      </c>
      <c r="Z356" s="2567">
        <f t="shared" si="552"/>
        <v>0</v>
      </c>
      <c r="AA356" s="2567">
        <f t="shared" si="552"/>
        <v>0</v>
      </c>
      <c r="AB356" s="2567">
        <f t="shared" si="552"/>
        <v>0</v>
      </c>
      <c r="AC356" s="2567">
        <f t="shared" si="552"/>
        <v>0</v>
      </c>
      <c r="AD356" s="2567">
        <f t="shared" si="552"/>
        <v>0</v>
      </c>
      <c r="AE356" s="2567">
        <f t="shared" si="552"/>
        <v>0</v>
      </c>
      <c r="AF356" s="2567">
        <f t="shared" si="552"/>
        <v>0</v>
      </c>
      <c r="AG356" s="2567">
        <f t="shared" ca="1" si="552"/>
        <v>7771950.5059995046</v>
      </c>
      <c r="AH356" s="2567">
        <f t="shared" si="552"/>
        <v>0</v>
      </c>
      <c r="AI356" s="2567">
        <f t="shared" si="552"/>
        <v>0</v>
      </c>
      <c r="AJ356" s="2567">
        <f>IF(AJ$5=DispositionMonth,AJ330-SUM(AJ339,AJ350),0)</f>
        <v>0</v>
      </c>
      <c r="AK356" s="2567">
        <f t="shared" ref="AK356:BP356" si="553">IF(AK$5=DispositionMonth,AK330-SUM(AK339,AK350),0)</f>
        <v>0</v>
      </c>
      <c r="AL356" s="2567">
        <f t="shared" si="553"/>
        <v>0</v>
      </c>
      <c r="AM356" s="2567">
        <f t="shared" si="553"/>
        <v>0</v>
      </c>
      <c r="AN356" s="2567">
        <f t="shared" si="553"/>
        <v>0</v>
      </c>
      <c r="AO356" s="2567">
        <f t="shared" si="553"/>
        <v>0</v>
      </c>
      <c r="AP356" s="2567">
        <f t="shared" si="553"/>
        <v>0</v>
      </c>
      <c r="AQ356" s="2567">
        <f t="shared" si="553"/>
        <v>0</v>
      </c>
      <c r="AR356" s="2567">
        <f t="shared" si="553"/>
        <v>0</v>
      </c>
      <c r="AS356" s="2567">
        <f t="shared" si="553"/>
        <v>0</v>
      </c>
      <c r="AT356" s="2567">
        <f t="shared" si="553"/>
        <v>0</v>
      </c>
      <c r="AU356" s="2567">
        <f t="shared" si="553"/>
        <v>0</v>
      </c>
      <c r="AV356" s="2567">
        <f t="shared" si="553"/>
        <v>0</v>
      </c>
      <c r="AW356" s="2567">
        <f t="shared" si="553"/>
        <v>0</v>
      </c>
      <c r="AX356" s="2567">
        <f t="shared" si="553"/>
        <v>0</v>
      </c>
      <c r="AY356" s="2567">
        <f t="shared" si="553"/>
        <v>0</v>
      </c>
      <c r="AZ356" s="2567">
        <f t="shared" si="553"/>
        <v>0</v>
      </c>
      <c r="BA356" s="2567">
        <f t="shared" si="553"/>
        <v>0</v>
      </c>
      <c r="BB356" s="2567">
        <f>IF(BB$5=DispositionMonth,BB330-SUM(BB339,BB350),0)</f>
        <v>0</v>
      </c>
      <c r="BC356" s="2567">
        <f t="shared" si="553"/>
        <v>0</v>
      </c>
      <c r="BD356" s="2567">
        <f t="shared" si="553"/>
        <v>0</v>
      </c>
      <c r="BE356" s="2567">
        <f t="shared" si="553"/>
        <v>0</v>
      </c>
      <c r="BF356" s="2567">
        <f t="shared" si="553"/>
        <v>0</v>
      </c>
      <c r="BG356" s="2567">
        <f t="shared" si="553"/>
        <v>0</v>
      </c>
      <c r="BH356" s="2567">
        <f t="shared" si="553"/>
        <v>0</v>
      </c>
      <c r="BI356" s="2567">
        <f t="shared" si="553"/>
        <v>0</v>
      </c>
      <c r="BJ356" s="2567">
        <f t="shared" si="553"/>
        <v>0</v>
      </c>
      <c r="BK356" s="2567">
        <f t="shared" si="553"/>
        <v>0</v>
      </c>
      <c r="BL356" s="2567">
        <f t="shared" si="553"/>
        <v>0</v>
      </c>
      <c r="BM356" s="2567">
        <f t="shared" si="553"/>
        <v>0</v>
      </c>
      <c r="BN356" s="2567">
        <f t="shared" si="553"/>
        <v>0</v>
      </c>
      <c r="BO356" s="2567">
        <f t="shared" si="553"/>
        <v>0</v>
      </c>
      <c r="BP356" s="2567">
        <f t="shared" si="553"/>
        <v>0</v>
      </c>
      <c r="BQ356" s="2567">
        <f t="shared" ref="BQ356:CV356" si="554">IF(BQ$5=DispositionMonth,BQ330-SUM(BQ339,BQ350),0)</f>
        <v>0</v>
      </c>
      <c r="BR356" s="2567">
        <f t="shared" si="554"/>
        <v>0</v>
      </c>
      <c r="BS356" s="2567">
        <f t="shared" si="554"/>
        <v>0</v>
      </c>
      <c r="BT356" s="2567">
        <f t="shared" si="554"/>
        <v>0</v>
      </c>
      <c r="BU356" s="2567">
        <f t="shared" si="554"/>
        <v>0</v>
      </c>
      <c r="BV356" s="2567">
        <f t="shared" si="554"/>
        <v>0</v>
      </c>
      <c r="BW356" s="2567">
        <f t="shared" si="554"/>
        <v>0</v>
      </c>
      <c r="BX356" s="2567">
        <f t="shared" si="554"/>
        <v>0</v>
      </c>
      <c r="BY356" s="2567">
        <f t="shared" si="554"/>
        <v>0</v>
      </c>
      <c r="BZ356" s="2567">
        <f t="shared" si="554"/>
        <v>0</v>
      </c>
      <c r="CA356" s="2567">
        <f t="shared" si="554"/>
        <v>0</v>
      </c>
      <c r="CB356" s="2567">
        <f t="shared" si="554"/>
        <v>0</v>
      </c>
      <c r="CC356" s="2567">
        <f t="shared" si="554"/>
        <v>0</v>
      </c>
      <c r="CD356" s="2567">
        <f t="shared" si="554"/>
        <v>0</v>
      </c>
      <c r="CE356" s="2567">
        <f t="shared" si="554"/>
        <v>0</v>
      </c>
      <c r="CF356" s="2567">
        <f t="shared" si="554"/>
        <v>0</v>
      </c>
      <c r="CG356" s="2567">
        <f t="shared" si="554"/>
        <v>0</v>
      </c>
      <c r="CH356" s="2567">
        <f t="shared" si="554"/>
        <v>0</v>
      </c>
      <c r="CI356" s="2567">
        <f t="shared" si="554"/>
        <v>0</v>
      </c>
      <c r="CJ356" s="2567">
        <f t="shared" si="554"/>
        <v>0</v>
      </c>
      <c r="CK356" s="2567">
        <f t="shared" si="554"/>
        <v>0</v>
      </c>
      <c r="CL356" s="2567">
        <f t="shared" si="554"/>
        <v>0</v>
      </c>
      <c r="CM356" s="2567">
        <f t="shared" si="554"/>
        <v>0</v>
      </c>
      <c r="CN356" s="2567">
        <f t="shared" si="554"/>
        <v>0</v>
      </c>
      <c r="CO356" s="2567">
        <f t="shared" si="554"/>
        <v>0</v>
      </c>
      <c r="CP356" s="2567">
        <f t="shared" si="554"/>
        <v>0</v>
      </c>
      <c r="CQ356" s="2567">
        <f t="shared" si="554"/>
        <v>0</v>
      </c>
      <c r="CR356" s="2567">
        <f t="shared" si="554"/>
        <v>0</v>
      </c>
      <c r="CS356" s="2567">
        <f t="shared" si="554"/>
        <v>0</v>
      </c>
      <c r="CT356" s="2567">
        <f t="shared" si="554"/>
        <v>0</v>
      </c>
      <c r="CU356" s="2567">
        <f t="shared" si="554"/>
        <v>0</v>
      </c>
      <c r="CV356" s="2567">
        <f t="shared" si="554"/>
        <v>0</v>
      </c>
      <c r="CW356" s="2567">
        <f t="shared" ref="CW356:DU356" si="555">IF(CW$5=DispositionMonth,CW330-SUM(CW339,CW350),0)</f>
        <v>0</v>
      </c>
      <c r="CX356" s="2567">
        <f t="shared" si="555"/>
        <v>0</v>
      </c>
      <c r="CY356" s="2567">
        <f t="shared" si="555"/>
        <v>0</v>
      </c>
      <c r="CZ356" s="2567">
        <f t="shared" si="555"/>
        <v>0</v>
      </c>
      <c r="DA356" s="2567">
        <f t="shared" si="555"/>
        <v>0</v>
      </c>
      <c r="DB356" s="2567">
        <f t="shared" si="555"/>
        <v>0</v>
      </c>
      <c r="DC356" s="2567">
        <f t="shared" si="555"/>
        <v>0</v>
      </c>
      <c r="DD356" s="2567">
        <f t="shared" si="555"/>
        <v>0</v>
      </c>
      <c r="DE356" s="2567">
        <f t="shared" si="555"/>
        <v>0</v>
      </c>
      <c r="DF356" s="2567">
        <f t="shared" si="555"/>
        <v>0</v>
      </c>
      <c r="DG356" s="2567">
        <f t="shared" si="555"/>
        <v>0</v>
      </c>
      <c r="DH356" s="2567">
        <f t="shared" si="555"/>
        <v>0</v>
      </c>
      <c r="DI356" s="2567">
        <f t="shared" si="555"/>
        <v>0</v>
      </c>
      <c r="DJ356" s="2567">
        <f t="shared" si="555"/>
        <v>0</v>
      </c>
      <c r="DK356" s="2567">
        <f t="shared" si="555"/>
        <v>0</v>
      </c>
      <c r="DL356" s="2567">
        <f t="shared" si="555"/>
        <v>0</v>
      </c>
      <c r="DM356" s="2567">
        <f t="shared" si="555"/>
        <v>0</v>
      </c>
      <c r="DN356" s="2567">
        <f t="shared" si="555"/>
        <v>0</v>
      </c>
      <c r="DO356" s="2567">
        <f t="shared" si="555"/>
        <v>0</v>
      </c>
      <c r="DP356" s="2567">
        <f t="shared" si="555"/>
        <v>0</v>
      </c>
      <c r="DQ356" s="2567">
        <f t="shared" si="555"/>
        <v>0</v>
      </c>
      <c r="DR356" s="2567">
        <f t="shared" si="555"/>
        <v>0</v>
      </c>
      <c r="DS356" s="2567">
        <f t="shared" si="555"/>
        <v>0</v>
      </c>
      <c r="DT356" s="2567">
        <f t="shared" si="555"/>
        <v>0</v>
      </c>
      <c r="DU356" s="2567">
        <f t="shared" si="555"/>
        <v>0</v>
      </c>
    </row>
    <row r="357" spans="1:125" x14ac:dyDescent="0.3">
      <c r="AU357" s="2571"/>
    </row>
    <row r="358" spans="1:125" x14ac:dyDescent="0.3">
      <c r="A358" s="182" t="s">
        <v>2546</v>
      </c>
      <c r="B358" s="182"/>
      <c r="C358" s="2572">
        <v>0.35</v>
      </c>
      <c r="D358" s="652">
        <f ca="1">SUM(E358:DU358)</f>
        <v>2720182.6770998263</v>
      </c>
      <c r="E358" s="227">
        <f t="shared" ref="E358:BA359" si="556">E$356*$C358</f>
        <v>0</v>
      </c>
      <c r="F358" s="227">
        <f t="shared" si="556"/>
        <v>0</v>
      </c>
      <c r="G358" s="227">
        <f t="shared" si="556"/>
        <v>0</v>
      </c>
      <c r="H358" s="227">
        <f t="shared" si="556"/>
        <v>0</v>
      </c>
      <c r="I358" s="227">
        <f t="shared" si="556"/>
        <v>0</v>
      </c>
      <c r="J358" s="227">
        <f t="shared" si="556"/>
        <v>0</v>
      </c>
      <c r="K358" s="227">
        <f t="shared" si="556"/>
        <v>0</v>
      </c>
      <c r="L358" s="227">
        <f t="shared" si="556"/>
        <v>0</v>
      </c>
      <c r="M358" s="227">
        <f t="shared" si="556"/>
        <v>0</v>
      </c>
      <c r="N358" s="227">
        <f t="shared" si="556"/>
        <v>0</v>
      </c>
      <c r="O358" s="227">
        <f t="shared" si="556"/>
        <v>0</v>
      </c>
      <c r="P358" s="227">
        <f t="shared" si="556"/>
        <v>0</v>
      </c>
      <c r="Q358" s="227">
        <f t="shared" si="556"/>
        <v>0</v>
      </c>
      <c r="R358" s="227">
        <f t="shared" si="556"/>
        <v>0</v>
      </c>
      <c r="S358" s="227">
        <f t="shared" si="556"/>
        <v>0</v>
      </c>
      <c r="T358" s="227">
        <f t="shared" si="556"/>
        <v>0</v>
      </c>
      <c r="U358" s="227">
        <f t="shared" si="556"/>
        <v>0</v>
      </c>
      <c r="V358" s="227">
        <f t="shared" si="556"/>
        <v>0</v>
      </c>
      <c r="W358" s="227">
        <f t="shared" si="556"/>
        <v>0</v>
      </c>
      <c r="X358" s="227">
        <f t="shared" si="556"/>
        <v>0</v>
      </c>
      <c r="Y358" s="227">
        <f t="shared" si="556"/>
        <v>0</v>
      </c>
      <c r="Z358" s="227">
        <f t="shared" si="556"/>
        <v>0</v>
      </c>
      <c r="AA358" s="227">
        <f t="shared" si="556"/>
        <v>0</v>
      </c>
      <c r="AB358" s="227">
        <f t="shared" si="556"/>
        <v>0</v>
      </c>
      <c r="AC358" s="227">
        <f t="shared" si="556"/>
        <v>0</v>
      </c>
      <c r="AD358" s="227">
        <f t="shared" si="556"/>
        <v>0</v>
      </c>
      <c r="AE358" s="227">
        <f t="shared" si="556"/>
        <v>0</v>
      </c>
      <c r="AF358" s="227">
        <f t="shared" si="556"/>
        <v>0</v>
      </c>
      <c r="AG358" s="227">
        <f t="shared" ca="1" si="556"/>
        <v>2720182.6770998263</v>
      </c>
      <c r="AH358" s="227">
        <f t="shared" si="556"/>
        <v>0</v>
      </c>
      <c r="AI358" s="227">
        <f t="shared" si="556"/>
        <v>0</v>
      </c>
      <c r="AJ358" s="227">
        <f t="shared" si="556"/>
        <v>0</v>
      </c>
      <c r="AK358" s="227">
        <f t="shared" si="556"/>
        <v>0</v>
      </c>
      <c r="AL358" s="227">
        <f t="shared" si="556"/>
        <v>0</v>
      </c>
      <c r="AM358" s="227">
        <f t="shared" si="556"/>
        <v>0</v>
      </c>
      <c r="AN358" s="227">
        <f t="shared" si="556"/>
        <v>0</v>
      </c>
      <c r="AO358" s="227">
        <f t="shared" si="556"/>
        <v>0</v>
      </c>
      <c r="AP358" s="227">
        <f t="shared" si="556"/>
        <v>0</v>
      </c>
      <c r="AQ358" s="227">
        <f t="shared" si="556"/>
        <v>0</v>
      </c>
      <c r="AR358" s="227">
        <f t="shared" si="556"/>
        <v>0</v>
      </c>
      <c r="AS358" s="227">
        <f t="shared" si="556"/>
        <v>0</v>
      </c>
      <c r="AT358" s="227">
        <f t="shared" si="556"/>
        <v>0</v>
      </c>
      <c r="AU358" s="227">
        <f t="shared" si="556"/>
        <v>0</v>
      </c>
      <c r="AV358" s="227">
        <f t="shared" si="556"/>
        <v>0</v>
      </c>
      <c r="AW358" s="227">
        <f t="shared" si="556"/>
        <v>0</v>
      </c>
      <c r="AX358" s="227">
        <f t="shared" si="556"/>
        <v>0</v>
      </c>
      <c r="AY358" s="227">
        <f t="shared" si="556"/>
        <v>0</v>
      </c>
      <c r="AZ358" s="227">
        <f t="shared" si="556"/>
        <v>0</v>
      </c>
      <c r="BA358" s="227">
        <f t="shared" si="556"/>
        <v>0</v>
      </c>
      <c r="BB358" s="227">
        <f>BB$356*$C358</f>
        <v>0</v>
      </c>
      <c r="BC358" s="227">
        <f t="shared" ref="BC358:DN359" si="557">BC$356*$C358</f>
        <v>0</v>
      </c>
      <c r="BD358" s="227">
        <f t="shared" si="557"/>
        <v>0</v>
      </c>
      <c r="BE358" s="227">
        <f t="shared" si="557"/>
        <v>0</v>
      </c>
      <c r="BF358" s="227">
        <f t="shared" si="557"/>
        <v>0</v>
      </c>
      <c r="BG358" s="227">
        <f t="shared" si="557"/>
        <v>0</v>
      </c>
      <c r="BH358" s="227">
        <f t="shared" si="557"/>
        <v>0</v>
      </c>
      <c r="BI358" s="227">
        <f t="shared" si="557"/>
        <v>0</v>
      </c>
      <c r="BJ358" s="227">
        <f t="shared" si="557"/>
        <v>0</v>
      </c>
      <c r="BK358" s="227">
        <f t="shared" si="557"/>
        <v>0</v>
      </c>
      <c r="BL358" s="227">
        <f t="shared" si="557"/>
        <v>0</v>
      </c>
      <c r="BM358" s="227">
        <f t="shared" si="557"/>
        <v>0</v>
      </c>
      <c r="BN358" s="227">
        <f t="shared" si="557"/>
        <v>0</v>
      </c>
      <c r="BO358" s="227">
        <f t="shared" si="557"/>
        <v>0</v>
      </c>
      <c r="BP358" s="227">
        <f t="shared" si="557"/>
        <v>0</v>
      </c>
      <c r="BQ358" s="227">
        <f t="shared" si="557"/>
        <v>0</v>
      </c>
      <c r="BR358" s="227">
        <f t="shared" si="557"/>
        <v>0</v>
      </c>
      <c r="BS358" s="227">
        <f t="shared" si="557"/>
        <v>0</v>
      </c>
      <c r="BT358" s="227">
        <f t="shared" si="557"/>
        <v>0</v>
      </c>
      <c r="BU358" s="227">
        <f t="shared" si="557"/>
        <v>0</v>
      </c>
      <c r="BV358" s="227">
        <f t="shared" si="557"/>
        <v>0</v>
      </c>
      <c r="BW358" s="227">
        <f t="shared" si="557"/>
        <v>0</v>
      </c>
      <c r="BX358" s="227">
        <f t="shared" si="557"/>
        <v>0</v>
      </c>
      <c r="BY358" s="227">
        <f t="shared" si="557"/>
        <v>0</v>
      </c>
      <c r="BZ358" s="227">
        <f t="shared" si="557"/>
        <v>0</v>
      </c>
      <c r="CA358" s="227">
        <f t="shared" si="557"/>
        <v>0</v>
      </c>
      <c r="CB358" s="227">
        <f t="shared" si="557"/>
        <v>0</v>
      </c>
      <c r="CC358" s="227">
        <f t="shared" si="557"/>
        <v>0</v>
      </c>
      <c r="CD358" s="227">
        <f t="shared" si="557"/>
        <v>0</v>
      </c>
      <c r="CE358" s="227">
        <f t="shared" si="557"/>
        <v>0</v>
      </c>
      <c r="CF358" s="227">
        <f t="shared" si="557"/>
        <v>0</v>
      </c>
      <c r="CG358" s="227">
        <f t="shared" si="557"/>
        <v>0</v>
      </c>
      <c r="CH358" s="227">
        <f t="shared" si="557"/>
        <v>0</v>
      </c>
      <c r="CI358" s="227">
        <f t="shared" si="557"/>
        <v>0</v>
      </c>
      <c r="CJ358" s="227">
        <f t="shared" si="557"/>
        <v>0</v>
      </c>
      <c r="CK358" s="227">
        <f t="shared" si="557"/>
        <v>0</v>
      </c>
      <c r="CL358" s="227">
        <f t="shared" si="557"/>
        <v>0</v>
      </c>
      <c r="CM358" s="227">
        <f t="shared" si="557"/>
        <v>0</v>
      </c>
      <c r="CN358" s="227">
        <f t="shared" si="557"/>
        <v>0</v>
      </c>
      <c r="CO358" s="227">
        <f t="shared" si="557"/>
        <v>0</v>
      </c>
      <c r="CP358" s="227">
        <f t="shared" si="557"/>
        <v>0</v>
      </c>
      <c r="CQ358" s="227">
        <f t="shared" si="557"/>
        <v>0</v>
      </c>
      <c r="CR358" s="227">
        <f t="shared" si="557"/>
        <v>0</v>
      </c>
      <c r="CS358" s="227">
        <f t="shared" si="557"/>
        <v>0</v>
      </c>
      <c r="CT358" s="227">
        <f t="shared" si="557"/>
        <v>0</v>
      </c>
      <c r="CU358" s="227">
        <f t="shared" si="557"/>
        <v>0</v>
      </c>
      <c r="CV358" s="227">
        <f t="shared" si="557"/>
        <v>0</v>
      </c>
      <c r="CW358" s="227">
        <f t="shared" si="557"/>
        <v>0</v>
      </c>
      <c r="CX358" s="227">
        <f t="shared" si="557"/>
        <v>0</v>
      </c>
      <c r="CY358" s="227">
        <f t="shared" si="557"/>
        <v>0</v>
      </c>
      <c r="CZ358" s="227">
        <f t="shared" si="557"/>
        <v>0</v>
      </c>
      <c r="DA358" s="227">
        <f t="shared" si="557"/>
        <v>0</v>
      </c>
      <c r="DB358" s="227">
        <f t="shared" si="557"/>
        <v>0</v>
      </c>
      <c r="DC358" s="227">
        <f t="shared" si="557"/>
        <v>0</v>
      </c>
      <c r="DD358" s="227">
        <f t="shared" si="557"/>
        <v>0</v>
      </c>
      <c r="DE358" s="227">
        <f t="shared" si="557"/>
        <v>0</v>
      </c>
      <c r="DF358" s="227">
        <f t="shared" si="557"/>
        <v>0</v>
      </c>
      <c r="DG358" s="227">
        <f t="shared" si="557"/>
        <v>0</v>
      </c>
      <c r="DH358" s="227">
        <f t="shared" si="557"/>
        <v>0</v>
      </c>
      <c r="DI358" s="227">
        <f t="shared" si="557"/>
        <v>0</v>
      </c>
      <c r="DJ358" s="227">
        <f t="shared" si="557"/>
        <v>0</v>
      </c>
      <c r="DK358" s="227">
        <f t="shared" si="557"/>
        <v>0</v>
      </c>
      <c r="DL358" s="227">
        <f t="shared" si="557"/>
        <v>0</v>
      </c>
      <c r="DM358" s="227">
        <f t="shared" si="557"/>
        <v>0</v>
      </c>
      <c r="DN358" s="227">
        <f t="shared" si="557"/>
        <v>0</v>
      </c>
      <c r="DO358" s="227">
        <f t="shared" ref="DO358:DU359" si="558">DO$356*$C358</f>
        <v>0</v>
      </c>
      <c r="DP358" s="227">
        <f t="shared" si="558"/>
        <v>0</v>
      </c>
      <c r="DQ358" s="227">
        <f t="shared" si="558"/>
        <v>0</v>
      </c>
      <c r="DR358" s="227">
        <f t="shared" si="558"/>
        <v>0</v>
      </c>
      <c r="DS358" s="227">
        <f t="shared" si="558"/>
        <v>0</v>
      </c>
      <c r="DT358" s="227">
        <f t="shared" si="558"/>
        <v>0</v>
      </c>
      <c r="DU358" s="227">
        <f t="shared" si="558"/>
        <v>0</v>
      </c>
    </row>
    <row r="359" spans="1:125" x14ac:dyDescent="0.3">
      <c r="A359" s="182" t="s">
        <v>2547</v>
      </c>
      <c r="B359" s="182"/>
      <c r="C359" s="2572">
        <v>0.65</v>
      </c>
      <c r="D359" s="652">
        <f ca="1">SUM(E359:DU359)</f>
        <v>5051767.8288996778</v>
      </c>
      <c r="E359" s="227">
        <f t="shared" si="556"/>
        <v>0</v>
      </c>
      <c r="F359" s="227">
        <f t="shared" si="556"/>
        <v>0</v>
      </c>
      <c r="G359" s="227">
        <f t="shared" si="556"/>
        <v>0</v>
      </c>
      <c r="H359" s="227">
        <f t="shared" si="556"/>
        <v>0</v>
      </c>
      <c r="I359" s="227">
        <f t="shared" si="556"/>
        <v>0</v>
      </c>
      <c r="J359" s="227">
        <f t="shared" si="556"/>
        <v>0</v>
      </c>
      <c r="K359" s="227">
        <f t="shared" si="556"/>
        <v>0</v>
      </c>
      <c r="L359" s="227">
        <f t="shared" si="556"/>
        <v>0</v>
      </c>
      <c r="M359" s="227">
        <f t="shared" si="556"/>
        <v>0</v>
      </c>
      <c r="N359" s="227">
        <f t="shared" si="556"/>
        <v>0</v>
      </c>
      <c r="O359" s="227">
        <f t="shared" si="556"/>
        <v>0</v>
      </c>
      <c r="P359" s="227">
        <f t="shared" si="556"/>
        <v>0</v>
      </c>
      <c r="Q359" s="227">
        <f t="shared" si="556"/>
        <v>0</v>
      </c>
      <c r="R359" s="227">
        <f t="shared" si="556"/>
        <v>0</v>
      </c>
      <c r="S359" s="227">
        <f t="shared" si="556"/>
        <v>0</v>
      </c>
      <c r="T359" s="227">
        <f t="shared" si="556"/>
        <v>0</v>
      </c>
      <c r="U359" s="227">
        <f t="shared" si="556"/>
        <v>0</v>
      </c>
      <c r="V359" s="227">
        <f t="shared" si="556"/>
        <v>0</v>
      </c>
      <c r="W359" s="227">
        <f t="shared" si="556"/>
        <v>0</v>
      </c>
      <c r="X359" s="227">
        <f t="shared" si="556"/>
        <v>0</v>
      </c>
      <c r="Y359" s="227">
        <f t="shared" si="556"/>
        <v>0</v>
      </c>
      <c r="Z359" s="227">
        <f t="shared" si="556"/>
        <v>0</v>
      </c>
      <c r="AA359" s="227">
        <f t="shared" si="556"/>
        <v>0</v>
      </c>
      <c r="AB359" s="227">
        <f t="shared" si="556"/>
        <v>0</v>
      </c>
      <c r="AC359" s="227">
        <f t="shared" si="556"/>
        <v>0</v>
      </c>
      <c r="AD359" s="227">
        <f t="shared" si="556"/>
        <v>0</v>
      </c>
      <c r="AE359" s="227">
        <f t="shared" si="556"/>
        <v>0</v>
      </c>
      <c r="AF359" s="227">
        <f t="shared" si="556"/>
        <v>0</v>
      </c>
      <c r="AG359" s="227">
        <f t="shared" ca="1" si="556"/>
        <v>5051767.8288996778</v>
      </c>
      <c r="AH359" s="227">
        <f t="shared" si="556"/>
        <v>0</v>
      </c>
      <c r="AI359" s="227">
        <f t="shared" si="556"/>
        <v>0</v>
      </c>
      <c r="AJ359" s="227">
        <f t="shared" si="556"/>
        <v>0</v>
      </c>
      <c r="AK359" s="227">
        <f t="shared" si="556"/>
        <v>0</v>
      </c>
      <c r="AL359" s="227">
        <f t="shared" si="556"/>
        <v>0</v>
      </c>
      <c r="AM359" s="227">
        <f t="shared" si="556"/>
        <v>0</v>
      </c>
      <c r="AN359" s="227">
        <f t="shared" si="556"/>
        <v>0</v>
      </c>
      <c r="AO359" s="227">
        <f t="shared" si="556"/>
        <v>0</v>
      </c>
      <c r="AP359" s="227">
        <f t="shared" si="556"/>
        <v>0</v>
      </c>
      <c r="AQ359" s="227">
        <f t="shared" si="556"/>
        <v>0</v>
      </c>
      <c r="AR359" s="227">
        <f t="shared" si="556"/>
        <v>0</v>
      </c>
      <c r="AS359" s="227">
        <f t="shared" si="556"/>
        <v>0</v>
      </c>
      <c r="AT359" s="227">
        <f t="shared" si="556"/>
        <v>0</v>
      </c>
      <c r="AU359" s="227">
        <f t="shared" si="556"/>
        <v>0</v>
      </c>
      <c r="AV359" s="227">
        <f t="shared" si="556"/>
        <v>0</v>
      </c>
      <c r="AW359" s="227">
        <f t="shared" si="556"/>
        <v>0</v>
      </c>
      <c r="AX359" s="227">
        <f t="shared" si="556"/>
        <v>0</v>
      </c>
      <c r="AY359" s="227">
        <f t="shared" si="556"/>
        <v>0</v>
      </c>
      <c r="AZ359" s="227">
        <f t="shared" si="556"/>
        <v>0</v>
      </c>
      <c r="BA359" s="227">
        <f t="shared" si="556"/>
        <v>0</v>
      </c>
      <c r="BB359" s="227">
        <f>BB$356*$C359</f>
        <v>0</v>
      </c>
      <c r="BC359" s="227">
        <f t="shared" si="557"/>
        <v>0</v>
      </c>
      <c r="BD359" s="227">
        <f t="shared" si="557"/>
        <v>0</v>
      </c>
      <c r="BE359" s="227">
        <f t="shared" si="557"/>
        <v>0</v>
      </c>
      <c r="BF359" s="227">
        <f t="shared" si="557"/>
        <v>0</v>
      </c>
      <c r="BG359" s="227">
        <f t="shared" si="557"/>
        <v>0</v>
      </c>
      <c r="BH359" s="227">
        <f t="shared" si="557"/>
        <v>0</v>
      </c>
      <c r="BI359" s="227">
        <f t="shared" si="557"/>
        <v>0</v>
      </c>
      <c r="BJ359" s="227">
        <f t="shared" si="557"/>
        <v>0</v>
      </c>
      <c r="BK359" s="227">
        <f t="shared" si="557"/>
        <v>0</v>
      </c>
      <c r="BL359" s="227">
        <f t="shared" si="557"/>
        <v>0</v>
      </c>
      <c r="BM359" s="227">
        <f t="shared" si="557"/>
        <v>0</v>
      </c>
      <c r="BN359" s="227">
        <f t="shared" si="557"/>
        <v>0</v>
      </c>
      <c r="BO359" s="227">
        <f t="shared" si="557"/>
        <v>0</v>
      </c>
      <c r="BP359" s="227">
        <f t="shared" si="557"/>
        <v>0</v>
      </c>
      <c r="BQ359" s="227">
        <f t="shared" si="557"/>
        <v>0</v>
      </c>
      <c r="BR359" s="227">
        <f t="shared" si="557"/>
        <v>0</v>
      </c>
      <c r="BS359" s="227">
        <f t="shared" si="557"/>
        <v>0</v>
      </c>
      <c r="BT359" s="227">
        <f t="shared" si="557"/>
        <v>0</v>
      </c>
      <c r="BU359" s="227">
        <f t="shared" si="557"/>
        <v>0</v>
      </c>
      <c r="BV359" s="227">
        <f t="shared" si="557"/>
        <v>0</v>
      </c>
      <c r="BW359" s="227">
        <f t="shared" si="557"/>
        <v>0</v>
      </c>
      <c r="BX359" s="227">
        <f t="shared" si="557"/>
        <v>0</v>
      </c>
      <c r="BY359" s="227">
        <f t="shared" si="557"/>
        <v>0</v>
      </c>
      <c r="BZ359" s="227">
        <f t="shared" si="557"/>
        <v>0</v>
      </c>
      <c r="CA359" s="227">
        <f t="shared" si="557"/>
        <v>0</v>
      </c>
      <c r="CB359" s="227">
        <f t="shared" si="557"/>
        <v>0</v>
      </c>
      <c r="CC359" s="227">
        <f t="shared" si="557"/>
        <v>0</v>
      </c>
      <c r="CD359" s="227">
        <f t="shared" si="557"/>
        <v>0</v>
      </c>
      <c r="CE359" s="227">
        <f t="shared" si="557"/>
        <v>0</v>
      </c>
      <c r="CF359" s="227">
        <f t="shared" si="557"/>
        <v>0</v>
      </c>
      <c r="CG359" s="227">
        <f t="shared" si="557"/>
        <v>0</v>
      </c>
      <c r="CH359" s="227">
        <f t="shared" si="557"/>
        <v>0</v>
      </c>
      <c r="CI359" s="227">
        <f t="shared" si="557"/>
        <v>0</v>
      </c>
      <c r="CJ359" s="227">
        <f t="shared" si="557"/>
        <v>0</v>
      </c>
      <c r="CK359" s="227">
        <f t="shared" si="557"/>
        <v>0</v>
      </c>
      <c r="CL359" s="227">
        <f t="shared" si="557"/>
        <v>0</v>
      </c>
      <c r="CM359" s="227">
        <f t="shared" si="557"/>
        <v>0</v>
      </c>
      <c r="CN359" s="227">
        <f t="shared" si="557"/>
        <v>0</v>
      </c>
      <c r="CO359" s="227">
        <f t="shared" si="557"/>
        <v>0</v>
      </c>
      <c r="CP359" s="227">
        <f t="shared" si="557"/>
        <v>0</v>
      </c>
      <c r="CQ359" s="227">
        <f t="shared" si="557"/>
        <v>0</v>
      </c>
      <c r="CR359" s="227">
        <f t="shared" si="557"/>
        <v>0</v>
      </c>
      <c r="CS359" s="227">
        <f t="shared" si="557"/>
        <v>0</v>
      </c>
      <c r="CT359" s="227">
        <f t="shared" si="557"/>
        <v>0</v>
      </c>
      <c r="CU359" s="227">
        <f t="shared" si="557"/>
        <v>0</v>
      </c>
      <c r="CV359" s="227">
        <f t="shared" si="557"/>
        <v>0</v>
      </c>
      <c r="CW359" s="227">
        <f t="shared" si="557"/>
        <v>0</v>
      </c>
      <c r="CX359" s="227">
        <f t="shared" si="557"/>
        <v>0</v>
      </c>
      <c r="CY359" s="227">
        <f t="shared" si="557"/>
        <v>0</v>
      </c>
      <c r="CZ359" s="227">
        <f t="shared" si="557"/>
        <v>0</v>
      </c>
      <c r="DA359" s="227">
        <f t="shared" si="557"/>
        <v>0</v>
      </c>
      <c r="DB359" s="227">
        <f t="shared" si="557"/>
        <v>0</v>
      </c>
      <c r="DC359" s="227">
        <f t="shared" si="557"/>
        <v>0</v>
      </c>
      <c r="DD359" s="227">
        <f t="shared" si="557"/>
        <v>0</v>
      </c>
      <c r="DE359" s="227">
        <f t="shared" si="557"/>
        <v>0</v>
      </c>
      <c r="DF359" s="227">
        <f t="shared" si="557"/>
        <v>0</v>
      </c>
      <c r="DG359" s="227">
        <f t="shared" si="557"/>
        <v>0</v>
      </c>
      <c r="DH359" s="227">
        <f t="shared" si="557"/>
        <v>0</v>
      </c>
      <c r="DI359" s="227">
        <f t="shared" si="557"/>
        <v>0</v>
      </c>
      <c r="DJ359" s="227">
        <f t="shared" si="557"/>
        <v>0</v>
      </c>
      <c r="DK359" s="227">
        <f t="shared" si="557"/>
        <v>0</v>
      </c>
      <c r="DL359" s="227">
        <f t="shared" si="557"/>
        <v>0</v>
      </c>
      <c r="DM359" s="227">
        <f t="shared" si="557"/>
        <v>0</v>
      </c>
      <c r="DN359" s="227">
        <f t="shared" si="557"/>
        <v>0</v>
      </c>
      <c r="DO359" s="227">
        <f t="shared" si="558"/>
        <v>0</v>
      </c>
      <c r="DP359" s="227">
        <f t="shared" si="558"/>
        <v>0</v>
      </c>
      <c r="DQ359" s="227">
        <f t="shared" si="558"/>
        <v>0</v>
      </c>
      <c r="DR359" s="227">
        <f t="shared" si="558"/>
        <v>0</v>
      </c>
      <c r="DS359" s="227">
        <f t="shared" si="558"/>
        <v>0</v>
      </c>
      <c r="DT359" s="227">
        <f t="shared" si="558"/>
        <v>0</v>
      </c>
      <c r="DU359" s="227">
        <f t="shared" si="558"/>
        <v>0</v>
      </c>
    </row>
    <row r="360" spans="1:125" x14ac:dyDescent="0.3">
      <c r="A360" s="182" t="s">
        <v>2548</v>
      </c>
      <c r="C360" s="227">
        <f ca="1">SUM(E360:DU360)</f>
        <v>7771950.5059995037</v>
      </c>
      <c r="E360" s="227">
        <f t="shared" ref="E360:AU360" si="559">SUM(E358:E359)</f>
        <v>0</v>
      </c>
      <c r="F360" s="227">
        <f t="shared" si="559"/>
        <v>0</v>
      </c>
      <c r="G360" s="227">
        <f t="shared" si="559"/>
        <v>0</v>
      </c>
      <c r="H360" s="227">
        <f t="shared" si="559"/>
        <v>0</v>
      </c>
      <c r="I360" s="227">
        <f t="shared" si="559"/>
        <v>0</v>
      </c>
      <c r="J360" s="227">
        <f t="shared" si="559"/>
        <v>0</v>
      </c>
      <c r="K360" s="227">
        <f t="shared" si="559"/>
        <v>0</v>
      </c>
      <c r="L360" s="227">
        <f t="shared" si="559"/>
        <v>0</v>
      </c>
      <c r="M360" s="227">
        <f t="shared" si="559"/>
        <v>0</v>
      </c>
      <c r="N360" s="227">
        <f t="shared" si="559"/>
        <v>0</v>
      </c>
      <c r="O360" s="227">
        <f t="shared" si="559"/>
        <v>0</v>
      </c>
      <c r="P360" s="227">
        <f t="shared" si="559"/>
        <v>0</v>
      </c>
      <c r="Q360" s="227">
        <f t="shared" si="559"/>
        <v>0</v>
      </c>
      <c r="R360" s="227">
        <f t="shared" si="559"/>
        <v>0</v>
      </c>
      <c r="S360" s="227">
        <f t="shared" si="559"/>
        <v>0</v>
      </c>
      <c r="T360" s="227">
        <f t="shared" si="559"/>
        <v>0</v>
      </c>
      <c r="U360" s="227">
        <f t="shared" si="559"/>
        <v>0</v>
      </c>
      <c r="V360" s="227">
        <f t="shared" si="559"/>
        <v>0</v>
      </c>
      <c r="W360" s="227">
        <f t="shared" si="559"/>
        <v>0</v>
      </c>
      <c r="X360" s="227">
        <f t="shared" si="559"/>
        <v>0</v>
      </c>
      <c r="Y360" s="227">
        <f t="shared" si="559"/>
        <v>0</v>
      </c>
      <c r="Z360" s="227">
        <f t="shared" si="559"/>
        <v>0</v>
      </c>
      <c r="AA360" s="227">
        <f t="shared" si="559"/>
        <v>0</v>
      </c>
      <c r="AB360" s="227">
        <f t="shared" si="559"/>
        <v>0</v>
      </c>
      <c r="AC360" s="227">
        <f t="shared" si="559"/>
        <v>0</v>
      </c>
      <c r="AD360" s="227">
        <f t="shared" si="559"/>
        <v>0</v>
      </c>
      <c r="AE360" s="227">
        <f t="shared" si="559"/>
        <v>0</v>
      </c>
      <c r="AF360" s="227">
        <f t="shared" si="559"/>
        <v>0</v>
      </c>
      <c r="AG360" s="227">
        <f t="shared" ca="1" si="559"/>
        <v>7771950.5059995037</v>
      </c>
      <c r="AH360" s="227">
        <f t="shared" si="559"/>
        <v>0</v>
      </c>
      <c r="AI360" s="227">
        <f t="shared" si="559"/>
        <v>0</v>
      </c>
      <c r="AJ360" s="227">
        <f>SUM(AJ358:AJ359)</f>
        <v>0</v>
      </c>
      <c r="AK360" s="227">
        <f t="shared" si="559"/>
        <v>0</v>
      </c>
      <c r="AL360" s="227">
        <f t="shared" si="559"/>
        <v>0</v>
      </c>
      <c r="AM360" s="227">
        <f t="shared" si="559"/>
        <v>0</v>
      </c>
      <c r="AN360" s="227">
        <f t="shared" si="559"/>
        <v>0</v>
      </c>
      <c r="AO360" s="227">
        <f t="shared" si="559"/>
        <v>0</v>
      </c>
      <c r="AP360" s="227">
        <f t="shared" si="559"/>
        <v>0</v>
      </c>
      <c r="AQ360" s="227">
        <f t="shared" si="559"/>
        <v>0</v>
      </c>
      <c r="AR360" s="227">
        <f t="shared" si="559"/>
        <v>0</v>
      </c>
      <c r="AS360" s="227">
        <f t="shared" si="559"/>
        <v>0</v>
      </c>
      <c r="AT360" s="227">
        <f t="shared" si="559"/>
        <v>0</v>
      </c>
      <c r="AU360" s="227">
        <f t="shared" si="559"/>
        <v>0</v>
      </c>
      <c r="AV360" s="227">
        <f>SUM(AV358:AV359)</f>
        <v>0</v>
      </c>
      <c r="AW360" s="227">
        <f t="shared" ref="AW360:DH360" si="560">SUM(AW358:AW359)</f>
        <v>0</v>
      </c>
      <c r="AX360" s="227">
        <f>SUM(AX358:AX359)</f>
        <v>0</v>
      </c>
      <c r="AY360" s="227">
        <f t="shared" si="560"/>
        <v>0</v>
      </c>
      <c r="AZ360" s="227">
        <f t="shared" si="560"/>
        <v>0</v>
      </c>
      <c r="BA360" s="227">
        <f t="shared" si="560"/>
        <v>0</v>
      </c>
      <c r="BB360" s="227">
        <f>SUM(BB358:BB359)</f>
        <v>0</v>
      </c>
      <c r="BC360" s="227">
        <f t="shared" si="560"/>
        <v>0</v>
      </c>
      <c r="BD360" s="227">
        <f t="shared" si="560"/>
        <v>0</v>
      </c>
      <c r="BE360" s="227">
        <f t="shared" si="560"/>
        <v>0</v>
      </c>
      <c r="BF360" s="227">
        <f t="shared" si="560"/>
        <v>0</v>
      </c>
      <c r="BG360" s="227">
        <f t="shared" si="560"/>
        <v>0</v>
      </c>
      <c r="BH360" s="227">
        <f t="shared" si="560"/>
        <v>0</v>
      </c>
      <c r="BI360" s="227">
        <f t="shared" si="560"/>
        <v>0</v>
      </c>
      <c r="BJ360" s="227">
        <f t="shared" si="560"/>
        <v>0</v>
      </c>
      <c r="BK360" s="227">
        <f t="shared" si="560"/>
        <v>0</v>
      </c>
      <c r="BL360" s="227">
        <f t="shared" si="560"/>
        <v>0</v>
      </c>
      <c r="BM360" s="227">
        <f t="shared" si="560"/>
        <v>0</v>
      </c>
      <c r="BN360" s="227">
        <f t="shared" si="560"/>
        <v>0</v>
      </c>
      <c r="BO360" s="227">
        <f t="shared" si="560"/>
        <v>0</v>
      </c>
      <c r="BP360" s="227">
        <f t="shared" si="560"/>
        <v>0</v>
      </c>
      <c r="BQ360" s="227">
        <f t="shared" si="560"/>
        <v>0</v>
      </c>
      <c r="BR360" s="227">
        <f t="shared" si="560"/>
        <v>0</v>
      </c>
      <c r="BS360" s="227">
        <f t="shared" si="560"/>
        <v>0</v>
      </c>
      <c r="BT360" s="227">
        <f t="shared" si="560"/>
        <v>0</v>
      </c>
      <c r="BU360" s="227">
        <f t="shared" si="560"/>
        <v>0</v>
      </c>
      <c r="BV360" s="227">
        <f t="shared" si="560"/>
        <v>0</v>
      </c>
      <c r="BW360" s="227">
        <f t="shared" si="560"/>
        <v>0</v>
      </c>
      <c r="BX360" s="227">
        <f t="shared" si="560"/>
        <v>0</v>
      </c>
      <c r="BY360" s="227">
        <f t="shared" si="560"/>
        <v>0</v>
      </c>
      <c r="BZ360" s="227">
        <f t="shared" si="560"/>
        <v>0</v>
      </c>
      <c r="CA360" s="227">
        <f t="shared" si="560"/>
        <v>0</v>
      </c>
      <c r="CB360" s="227">
        <f t="shared" si="560"/>
        <v>0</v>
      </c>
      <c r="CC360" s="227">
        <f t="shared" si="560"/>
        <v>0</v>
      </c>
      <c r="CD360" s="227">
        <f t="shared" si="560"/>
        <v>0</v>
      </c>
      <c r="CE360" s="227">
        <f t="shared" si="560"/>
        <v>0</v>
      </c>
      <c r="CF360" s="227">
        <f t="shared" si="560"/>
        <v>0</v>
      </c>
      <c r="CG360" s="227">
        <f t="shared" si="560"/>
        <v>0</v>
      </c>
      <c r="CH360" s="227">
        <f t="shared" si="560"/>
        <v>0</v>
      </c>
      <c r="CI360" s="227">
        <f t="shared" si="560"/>
        <v>0</v>
      </c>
      <c r="CJ360" s="227">
        <f t="shared" si="560"/>
        <v>0</v>
      </c>
      <c r="CK360" s="227">
        <f t="shared" si="560"/>
        <v>0</v>
      </c>
      <c r="CL360" s="227">
        <f t="shared" si="560"/>
        <v>0</v>
      </c>
      <c r="CM360" s="227">
        <f t="shared" si="560"/>
        <v>0</v>
      </c>
      <c r="CN360" s="227">
        <f t="shared" si="560"/>
        <v>0</v>
      </c>
      <c r="CO360" s="227">
        <f t="shared" si="560"/>
        <v>0</v>
      </c>
      <c r="CP360" s="227">
        <f t="shared" si="560"/>
        <v>0</v>
      </c>
      <c r="CQ360" s="227">
        <f t="shared" si="560"/>
        <v>0</v>
      </c>
      <c r="CR360" s="227">
        <f t="shared" si="560"/>
        <v>0</v>
      </c>
      <c r="CS360" s="227">
        <f t="shared" si="560"/>
        <v>0</v>
      </c>
      <c r="CT360" s="227">
        <f t="shared" si="560"/>
        <v>0</v>
      </c>
      <c r="CU360" s="227">
        <f t="shared" si="560"/>
        <v>0</v>
      </c>
      <c r="CV360" s="227">
        <f t="shared" si="560"/>
        <v>0</v>
      </c>
      <c r="CW360" s="227">
        <f t="shared" si="560"/>
        <v>0</v>
      </c>
      <c r="CX360" s="227">
        <f t="shared" si="560"/>
        <v>0</v>
      </c>
      <c r="CY360" s="227">
        <f t="shared" si="560"/>
        <v>0</v>
      </c>
      <c r="CZ360" s="227">
        <f t="shared" si="560"/>
        <v>0</v>
      </c>
      <c r="DA360" s="227">
        <f t="shared" si="560"/>
        <v>0</v>
      </c>
      <c r="DB360" s="227">
        <f t="shared" si="560"/>
        <v>0</v>
      </c>
      <c r="DC360" s="227">
        <f t="shared" si="560"/>
        <v>0</v>
      </c>
      <c r="DD360" s="227">
        <f t="shared" si="560"/>
        <v>0</v>
      </c>
      <c r="DE360" s="227">
        <f t="shared" si="560"/>
        <v>0</v>
      </c>
      <c r="DF360" s="227">
        <f t="shared" si="560"/>
        <v>0</v>
      </c>
      <c r="DG360" s="227">
        <f t="shared" si="560"/>
        <v>0</v>
      </c>
      <c r="DH360" s="227">
        <f t="shared" si="560"/>
        <v>0</v>
      </c>
      <c r="DI360" s="227">
        <f t="shared" ref="DI360:DU360" si="561">SUM(DI358:DI359)</f>
        <v>0</v>
      </c>
      <c r="DJ360" s="227">
        <f t="shared" si="561"/>
        <v>0</v>
      </c>
      <c r="DK360" s="227">
        <f t="shared" si="561"/>
        <v>0</v>
      </c>
      <c r="DL360" s="227">
        <f t="shared" si="561"/>
        <v>0</v>
      </c>
      <c r="DM360" s="227">
        <f t="shared" si="561"/>
        <v>0</v>
      </c>
      <c r="DN360" s="227">
        <f t="shared" si="561"/>
        <v>0</v>
      </c>
      <c r="DO360" s="227">
        <f t="shared" si="561"/>
        <v>0</v>
      </c>
      <c r="DP360" s="227">
        <f t="shared" si="561"/>
        <v>0</v>
      </c>
      <c r="DQ360" s="227">
        <f t="shared" si="561"/>
        <v>0</v>
      </c>
      <c r="DR360" s="227">
        <f t="shared" si="561"/>
        <v>0</v>
      </c>
      <c r="DS360" s="227">
        <f t="shared" si="561"/>
        <v>0</v>
      </c>
      <c r="DT360" s="227">
        <f t="shared" si="561"/>
        <v>0</v>
      </c>
      <c r="DU360" s="227">
        <f t="shared" si="561"/>
        <v>0</v>
      </c>
    </row>
    <row r="362" spans="1:125" x14ac:dyDescent="0.3">
      <c r="AU362" s="227"/>
    </row>
    <row r="363" spans="1:125" x14ac:dyDescent="0.3">
      <c r="A363" s="182" t="s">
        <v>2549</v>
      </c>
      <c r="C363" s="227">
        <f ca="1">SUM(E363:DU363)</f>
        <v>3408160.6695864247</v>
      </c>
      <c r="E363" s="227">
        <f t="shared" ref="E363:BA363" ca="1" si="562">E358+E339+E336</f>
        <v>-93600.347520574287</v>
      </c>
      <c r="F363" s="227">
        <f t="shared" ca="1" si="562"/>
        <v>-759984.51585117937</v>
      </c>
      <c r="G363" s="227">
        <f t="shared" ca="1" si="562"/>
        <v>-23875.477164994769</v>
      </c>
      <c r="H363" s="227">
        <f t="shared" ca="1" si="562"/>
        <v>-36250.902375193073</v>
      </c>
      <c r="I363" s="227">
        <f t="shared" ca="1" si="562"/>
        <v>-61567.571300168056</v>
      </c>
      <c r="J363" s="227">
        <f t="shared" ca="1" si="562"/>
        <v>-100472.25431216895</v>
      </c>
      <c r="K363" s="227">
        <f t="shared" ca="1" si="562"/>
        <v>-103413.86414070406</v>
      </c>
      <c r="L363" s="227">
        <f t="shared" ca="1" si="562"/>
        <v>-131777.80473086692</v>
      </c>
      <c r="M363" s="227">
        <f t="shared" ca="1" si="562"/>
        <v>-156315.56876229716</v>
      </c>
      <c r="N363" s="227">
        <f t="shared" ca="1" si="562"/>
        <v>-182982.23119529791</v>
      </c>
      <c r="O363" s="227">
        <f t="shared" ca="1" si="562"/>
        <v>-103851.01034557028</v>
      </c>
      <c r="P363" s="227">
        <f t="shared" ca="1" si="562"/>
        <v>0</v>
      </c>
      <c r="Q363" s="227">
        <f t="shared" ca="1" si="562"/>
        <v>0</v>
      </c>
      <c r="R363" s="227">
        <f t="shared" ca="1" si="562"/>
        <v>0</v>
      </c>
      <c r="S363" s="227">
        <f t="shared" ca="1" si="562"/>
        <v>0</v>
      </c>
      <c r="T363" s="227">
        <f t="shared" ca="1" si="562"/>
        <v>0</v>
      </c>
      <c r="U363" s="227">
        <f t="shared" ca="1" si="562"/>
        <v>0</v>
      </c>
      <c r="V363" s="227">
        <f t="shared" ca="1" si="562"/>
        <v>0</v>
      </c>
      <c r="W363" s="227">
        <f t="shared" ca="1" si="562"/>
        <v>0</v>
      </c>
      <c r="X363" s="227">
        <f t="shared" ca="1" si="562"/>
        <v>0</v>
      </c>
      <c r="Y363" s="227">
        <f t="shared" ca="1" si="562"/>
        <v>0</v>
      </c>
      <c r="Z363" s="227">
        <f t="shared" ca="1" si="562"/>
        <v>0</v>
      </c>
      <c r="AA363" s="227">
        <f t="shared" ca="1" si="562"/>
        <v>0</v>
      </c>
      <c r="AB363" s="227">
        <f t="shared" ca="1" si="562"/>
        <v>0</v>
      </c>
      <c r="AC363" s="227">
        <f t="shared" ca="1" si="562"/>
        <v>2205.6514745045665</v>
      </c>
      <c r="AD363" s="227">
        <f t="shared" ca="1" si="562"/>
        <v>4216.5211193181594</v>
      </c>
      <c r="AE363" s="227">
        <f t="shared" ca="1" si="562"/>
        <v>6506.2131554283815</v>
      </c>
      <c r="AF363" s="227">
        <f t="shared" ca="1" si="562"/>
        <v>10978.111864454066</v>
      </c>
      <c r="AG363" s="227">
        <f t="shared" ca="1" si="562"/>
        <v>5138345.7196717346</v>
      </c>
      <c r="AH363" s="227">
        <f t="shared" ca="1" si="562"/>
        <v>0</v>
      </c>
      <c r="AI363" s="227">
        <f t="shared" ca="1" si="562"/>
        <v>0</v>
      </c>
      <c r="AJ363" s="227">
        <f t="shared" ca="1" si="562"/>
        <v>0</v>
      </c>
      <c r="AK363" s="227">
        <f t="shared" ca="1" si="562"/>
        <v>0</v>
      </c>
      <c r="AL363" s="227">
        <f t="shared" ca="1" si="562"/>
        <v>0</v>
      </c>
      <c r="AM363" s="227">
        <f t="shared" ca="1" si="562"/>
        <v>0</v>
      </c>
      <c r="AN363" s="227">
        <f t="shared" ca="1" si="562"/>
        <v>0</v>
      </c>
      <c r="AO363" s="227">
        <f t="shared" ca="1" si="562"/>
        <v>0</v>
      </c>
      <c r="AP363" s="227">
        <f t="shared" ca="1" si="562"/>
        <v>0</v>
      </c>
      <c r="AQ363" s="227">
        <f t="shared" ca="1" si="562"/>
        <v>0</v>
      </c>
      <c r="AR363" s="227">
        <f t="shared" ca="1" si="562"/>
        <v>0</v>
      </c>
      <c r="AS363" s="227">
        <f t="shared" ca="1" si="562"/>
        <v>0</v>
      </c>
      <c r="AT363" s="227">
        <f t="shared" ca="1" si="562"/>
        <v>0</v>
      </c>
      <c r="AU363" s="227">
        <f t="shared" ca="1" si="562"/>
        <v>0</v>
      </c>
      <c r="AV363" s="227">
        <f t="shared" ca="1" si="562"/>
        <v>0</v>
      </c>
      <c r="AW363" s="227">
        <f t="shared" ca="1" si="562"/>
        <v>0</v>
      </c>
      <c r="AX363" s="227">
        <f t="shared" ca="1" si="562"/>
        <v>0</v>
      </c>
      <c r="AY363" s="227">
        <f t="shared" ca="1" si="562"/>
        <v>0</v>
      </c>
      <c r="AZ363" s="227">
        <f t="shared" ca="1" si="562"/>
        <v>0</v>
      </c>
      <c r="BA363" s="227">
        <f t="shared" ca="1" si="562"/>
        <v>0</v>
      </c>
      <c r="BB363" s="227">
        <f ca="1">BB358+BB339+BB336</f>
        <v>0</v>
      </c>
      <c r="BC363" s="227">
        <f t="shared" ref="BC363:DN363" ca="1" si="563">BC358+BC339+BC336</f>
        <v>0</v>
      </c>
      <c r="BD363" s="227">
        <f t="shared" ca="1" si="563"/>
        <v>0</v>
      </c>
      <c r="BE363" s="227">
        <f t="shared" ca="1" si="563"/>
        <v>0</v>
      </c>
      <c r="BF363" s="227">
        <f t="shared" ca="1" si="563"/>
        <v>0</v>
      </c>
      <c r="BG363" s="227">
        <f t="shared" ca="1" si="563"/>
        <v>0</v>
      </c>
      <c r="BH363" s="227">
        <f t="shared" ca="1" si="563"/>
        <v>0</v>
      </c>
      <c r="BI363" s="227">
        <f t="shared" ca="1" si="563"/>
        <v>0</v>
      </c>
      <c r="BJ363" s="227">
        <f t="shared" ca="1" si="563"/>
        <v>0</v>
      </c>
      <c r="BK363" s="227">
        <f t="shared" ca="1" si="563"/>
        <v>0</v>
      </c>
      <c r="BL363" s="227">
        <f t="shared" ca="1" si="563"/>
        <v>0</v>
      </c>
      <c r="BM363" s="227">
        <f t="shared" ca="1" si="563"/>
        <v>0</v>
      </c>
      <c r="BN363" s="227">
        <f t="shared" ca="1" si="563"/>
        <v>0</v>
      </c>
      <c r="BO363" s="227">
        <f t="shared" ca="1" si="563"/>
        <v>0</v>
      </c>
      <c r="BP363" s="227">
        <f t="shared" ca="1" si="563"/>
        <v>0</v>
      </c>
      <c r="BQ363" s="227">
        <f t="shared" ca="1" si="563"/>
        <v>0</v>
      </c>
      <c r="BR363" s="227">
        <f t="shared" ca="1" si="563"/>
        <v>0</v>
      </c>
      <c r="BS363" s="227">
        <f t="shared" ca="1" si="563"/>
        <v>0</v>
      </c>
      <c r="BT363" s="227">
        <f t="shared" ca="1" si="563"/>
        <v>0</v>
      </c>
      <c r="BU363" s="227">
        <f t="shared" ca="1" si="563"/>
        <v>0</v>
      </c>
      <c r="BV363" s="227">
        <f t="shared" ca="1" si="563"/>
        <v>0</v>
      </c>
      <c r="BW363" s="227">
        <f t="shared" ca="1" si="563"/>
        <v>0</v>
      </c>
      <c r="BX363" s="227">
        <f t="shared" ca="1" si="563"/>
        <v>0</v>
      </c>
      <c r="BY363" s="227">
        <f t="shared" ca="1" si="563"/>
        <v>0</v>
      </c>
      <c r="BZ363" s="227">
        <f t="shared" ca="1" si="563"/>
        <v>0</v>
      </c>
      <c r="CA363" s="227">
        <f t="shared" ca="1" si="563"/>
        <v>0</v>
      </c>
      <c r="CB363" s="227">
        <f t="shared" ca="1" si="563"/>
        <v>0</v>
      </c>
      <c r="CC363" s="227">
        <f t="shared" ca="1" si="563"/>
        <v>0</v>
      </c>
      <c r="CD363" s="227">
        <f t="shared" ca="1" si="563"/>
        <v>0</v>
      </c>
      <c r="CE363" s="227">
        <f t="shared" ca="1" si="563"/>
        <v>0</v>
      </c>
      <c r="CF363" s="227">
        <f t="shared" ca="1" si="563"/>
        <v>0</v>
      </c>
      <c r="CG363" s="227">
        <f t="shared" ca="1" si="563"/>
        <v>0</v>
      </c>
      <c r="CH363" s="227">
        <f t="shared" ca="1" si="563"/>
        <v>0</v>
      </c>
      <c r="CI363" s="227">
        <f t="shared" ca="1" si="563"/>
        <v>0</v>
      </c>
      <c r="CJ363" s="227">
        <f t="shared" ca="1" si="563"/>
        <v>0</v>
      </c>
      <c r="CK363" s="227">
        <f t="shared" ca="1" si="563"/>
        <v>0</v>
      </c>
      <c r="CL363" s="227">
        <f t="shared" ca="1" si="563"/>
        <v>0</v>
      </c>
      <c r="CM363" s="227">
        <f t="shared" ca="1" si="563"/>
        <v>0</v>
      </c>
      <c r="CN363" s="227">
        <f t="shared" ca="1" si="563"/>
        <v>0</v>
      </c>
      <c r="CO363" s="227">
        <f t="shared" ca="1" si="563"/>
        <v>0</v>
      </c>
      <c r="CP363" s="227">
        <f t="shared" ca="1" si="563"/>
        <v>0</v>
      </c>
      <c r="CQ363" s="227">
        <f t="shared" ca="1" si="563"/>
        <v>0</v>
      </c>
      <c r="CR363" s="227">
        <f t="shared" ca="1" si="563"/>
        <v>0</v>
      </c>
      <c r="CS363" s="227">
        <f t="shared" ca="1" si="563"/>
        <v>0</v>
      </c>
      <c r="CT363" s="227">
        <f t="shared" ca="1" si="563"/>
        <v>0</v>
      </c>
      <c r="CU363" s="227">
        <f t="shared" ca="1" si="563"/>
        <v>0</v>
      </c>
      <c r="CV363" s="227">
        <f t="shared" ca="1" si="563"/>
        <v>0</v>
      </c>
      <c r="CW363" s="227">
        <f t="shared" ca="1" si="563"/>
        <v>0</v>
      </c>
      <c r="CX363" s="227">
        <f t="shared" ca="1" si="563"/>
        <v>0</v>
      </c>
      <c r="CY363" s="227">
        <f t="shared" ca="1" si="563"/>
        <v>0</v>
      </c>
      <c r="CZ363" s="227">
        <f t="shared" ca="1" si="563"/>
        <v>0</v>
      </c>
      <c r="DA363" s="227">
        <f t="shared" ca="1" si="563"/>
        <v>0</v>
      </c>
      <c r="DB363" s="227">
        <f t="shared" ca="1" si="563"/>
        <v>0</v>
      </c>
      <c r="DC363" s="227">
        <f t="shared" ca="1" si="563"/>
        <v>0</v>
      </c>
      <c r="DD363" s="227">
        <f t="shared" ca="1" si="563"/>
        <v>0</v>
      </c>
      <c r="DE363" s="227">
        <f t="shared" ca="1" si="563"/>
        <v>0</v>
      </c>
      <c r="DF363" s="227">
        <f t="shared" ca="1" si="563"/>
        <v>0</v>
      </c>
      <c r="DG363" s="227">
        <f t="shared" ca="1" si="563"/>
        <v>0</v>
      </c>
      <c r="DH363" s="227">
        <f t="shared" ca="1" si="563"/>
        <v>0</v>
      </c>
      <c r="DI363" s="227">
        <f t="shared" ca="1" si="563"/>
        <v>0</v>
      </c>
      <c r="DJ363" s="227">
        <f t="shared" ca="1" si="563"/>
        <v>0</v>
      </c>
      <c r="DK363" s="227">
        <f t="shared" ca="1" si="563"/>
        <v>0</v>
      </c>
      <c r="DL363" s="227">
        <f t="shared" ca="1" si="563"/>
        <v>0</v>
      </c>
      <c r="DM363" s="227">
        <f t="shared" ca="1" si="563"/>
        <v>0</v>
      </c>
      <c r="DN363" s="227">
        <f t="shared" ca="1" si="563"/>
        <v>0</v>
      </c>
      <c r="DO363" s="227">
        <f t="shared" ref="DO363:DU363" ca="1" si="564">DO358+DO339+DO336</f>
        <v>0</v>
      </c>
      <c r="DP363" s="227">
        <f t="shared" ca="1" si="564"/>
        <v>0</v>
      </c>
      <c r="DQ363" s="227">
        <f t="shared" ca="1" si="564"/>
        <v>0</v>
      </c>
      <c r="DR363" s="227">
        <f t="shared" ca="1" si="564"/>
        <v>0</v>
      </c>
      <c r="DS363" s="227">
        <f t="shared" ca="1" si="564"/>
        <v>0</v>
      </c>
      <c r="DT363" s="227">
        <f t="shared" ca="1" si="564"/>
        <v>0</v>
      </c>
      <c r="DU363" s="227">
        <f t="shared" ca="1" si="564"/>
        <v>0</v>
      </c>
    </row>
    <row r="364" spans="1:125" x14ac:dyDescent="0.3">
      <c r="C364" s="198">
        <f ca="1">XIRR(OFFSET(E363,0,C365):DU363,OFFSET(E$6,0,C365):DU$6)</f>
        <v>0.70682460069656372</v>
      </c>
    </row>
    <row r="365" spans="1:125" x14ac:dyDescent="0.3">
      <c r="C365" s="2573"/>
    </row>
    <row r="366" spans="1:125" x14ac:dyDescent="0.3">
      <c r="A366" s="182" t="s">
        <v>2550</v>
      </c>
      <c r="C366" s="227">
        <f ca="1">SUM(E366:DU366)</f>
        <v>5739745.8213862758</v>
      </c>
      <c r="E366" s="227">
        <f t="shared" ref="E366:BA366" ca="1" si="565">E359+E350+E347</f>
        <v>-93600.347520574287</v>
      </c>
      <c r="F366" s="227">
        <f t="shared" ca="1" si="565"/>
        <v>-759984.51585117937</v>
      </c>
      <c r="G366" s="227">
        <f t="shared" ca="1" si="565"/>
        <v>-23875.477164994769</v>
      </c>
      <c r="H366" s="227">
        <f t="shared" ca="1" si="565"/>
        <v>-36250.902375193073</v>
      </c>
      <c r="I366" s="227">
        <f t="shared" ca="1" si="565"/>
        <v>-61567.571300168056</v>
      </c>
      <c r="J366" s="227">
        <f t="shared" ca="1" si="565"/>
        <v>-100472.25431216895</v>
      </c>
      <c r="K366" s="227">
        <f t="shared" ca="1" si="565"/>
        <v>-103413.86414070406</v>
      </c>
      <c r="L366" s="227">
        <f t="shared" ca="1" si="565"/>
        <v>-131777.80473086692</v>
      </c>
      <c r="M366" s="227">
        <f t="shared" ca="1" si="565"/>
        <v>-156315.56876229716</v>
      </c>
      <c r="N366" s="227">
        <f t="shared" ca="1" si="565"/>
        <v>-182982.23119529791</v>
      </c>
      <c r="O366" s="227">
        <f t="shared" ca="1" si="565"/>
        <v>-103851.01034557028</v>
      </c>
      <c r="P366" s="227">
        <f t="shared" ca="1" si="565"/>
        <v>0</v>
      </c>
      <c r="Q366" s="227">
        <f t="shared" ca="1" si="565"/>
        <v>0</v>
      </c>
      <c r="R366" s="227">
        <f t="shared" ca="1" si="565"/>
        <v>0</v>
      </c>
      <c r="S366" s="227">
        <f t="shared" ca="1" si="565"/>
        <v>0</v>
      </c>
      <c r="T366" s="227">
        <f t="shared" ca="1" si="565"/>
        <v>0</v>
      </c>
      <c r="U366" s="227">
        <f t="shared" ca="1" si="565"/>
        <v>0</v>
      </c>
      <c r="V366" s="227">
        <f t="shared" ca="1" si="565"/>
        <v>0</v>
      </c>
      <c r="W366" s="227">
        <f t="shared" ca="1" si="565"/>
        <v>0</v>
      </c>
      <c r="X366" s="227">
        <f t="shared" ca="1" si="565"/>
        <v>0</v>
      </c>
      <c r="Y366" s="227">
        <f t="shared" ca="1" si="565"/>
        <v>0</v>
      </c>
      <c r="Z366" s="227">
        <f t="shared" ca="1" si="565"/>
        <v>0</v>
      </c>
      <c r="AA366" s="227">
        <f t="shared" ca="1" si="565"/>
        <v>0</v>
      </c>
      <c r="AB366" s="227">
        <f t="shared" ca="1" si="565"/>
        <v>0</v>
      </c>
      <c r="AC366" s="227">
        <f t="shared" ca="1" si="565"/>
        <v>2205.6514745045665</v>
      </c>
      <c r="AD366" s="227">
        <f t="shared" ca="1" si="565"/>
        <v>4216.5211193181594</v>
      </c>
      <c r="AE366" s="227">
        <f t="shared" ca="1" si="565"/>
        <v>6506.2131554283815</v>
      </c>
      <c r="AF366" s="227">
        <f t="shared" ca="1" si="565"/>
        <v>10978.111864454066</v>
      </c>
      <c r="AG366" s="227">
        <f t="shared" ca="1" si="565"/>
        <v>7469930.8714715857</v>
      </c>
      <c r="AH366" s="227">
        <f t="shared" ca="1" si="565"/>
        <v>0</v>
      </c>
      <c r="AI366" s="227">
        <f t="shared" ca="1" si="565"/>
        <v>0</v>
      </c>
      <c r="AJ366" s="227">
        <f t="shared" ca="1" si="565"/>
        <v>0</v>
      </c>
      <c r="AK366" s="227">
        <f t="shared" ca="1" si="565"/>
        <v>0</v>
      </c>
      <c r="AL366" s="227">
        <f t="shared" ca="1" si="565"/>
        <v>0</v>
      </c>
      <c r="AM366" s="227">
        <f t="shared" ca="1" si="565"/>
        <v>0</v>
      </c>
      <c r="AN366" s="227">
        <f t="shared" ca="1" si="565"/>
        <v>0</v>
      </c>
      <c r="AO366" s="227">
        <f t="shared" ca="1" si="565"/>
        <v>0</v>
      </c>
      <c r="AP366" s="227">
        <f t="shared" ca="1" si="565"/>
        <v>0</v>
      </c>
      <c r="AQ366" s="227">
        <f t="shared" ca="1" si="565"/>
        <v>0</v>
      </c>
      <c r="AR366" s="227">
        <f t="shared" ca="1" si="565"/>
        <v>0</v>
      </c>
      <c r="AS366" s="227">
        <f t="shared" ca="1" si="565"/>
        <v>0</v>
      </c>
      <c r="AT366" s="227">
        <f t="shared" ca="1" si="565"/>
        <v>0</v>
      </c>
      <c r="AU366" s="227">
        <f t="shared" ca="1" si="565"/>
        <v>0</v>
      </c>
      <c r="AV366" s="227">
        <f t="shared" ca="1" si="565"/>
        <v>0</v>
      </c>
      <c r="AW366" s="227">
        <f t="shared" ca="1" si="565"/>
        <v>0</v>
      </c>
      <c r="AX366" s="227">
        <f t="shared" ca="1" si="565"/>
        <v>0</v>
      </c>
      <c r="AY366" s="227">
        <f t="shared" ca="1" si="565"/>
        <v>0</v>
      </c>
      <c r="AZ366" s="227">
        <f t="shared" ca="1" si="565"/>
        <v>0</v>
      </c>
      <c r="BA366" s="227">
        <f t="shared" ca="1" si="565"/>
        <v>0</v>
      </c>
      <c r="BB366" s="227">
        <f ca="1">BB359+BB350+BB347</f>
        <v>0</v>
      </c>
      <c r="BC366" s="227">
        <f t="shared" ref="BC366:DN366" ca="1" si="566">BC359+BC350+BC347</f>
        <v>0</v>
      </c>
      <c r="BD366" s="227">
        <f t="shared" ca="1" si="566"/>
        <v>0</v>
      </c>
      <c r="BE366" s="227">
        <f t="shared" ca="1" si="566"/>
        <v>0</v>
      </c>
      <c r="BF366" s="227">
        <f t="shared" ca="1" si="566"/>
        <v>0</v>
      </c>
      <c r="BG366" s="227">
        <f t="shared" ca="1" si="566"/>
        <v>0</v>
      </c>
      <c r="BH366" s="227">
        <f t="shared" ca="1" si="566"/>
        <v>0</v>
      </c>
      <c r="BI366" s="227">
        <f t="shared" ca="1" si="566"/>
        <v>0</v>
      </c>
      <c r="BJ366" s="227">
        <f t="shared" ca="1" si="566"/>
        <v>0</v>
      </c>
      <c r="BK366" s="227">
        <f t="shared" ca="1" si="566"/>
        <v>0</v>
      </c>
      <c r="BL366" s="227">
        <f t="shared" ca="1" si="566"/>
        <v>0</v>
      </c>
      <c r="BM366" s="227">
        <f t="shared" ca="1" si="566"/>
        <v>0</v>
      </c>
      <c r="BN366" s="227">
        <f t="shared" ca="1" si="566"/>
        <v>0</v>
      </c>
      <c r="BO366" s="227">
        <f t="shared" ca="1" si="566"/>
        <v>0</v>
      </c>
      <c r="BP366" s="227">
        <f t="shared" ca="1" si="566"/>
        <v>0</v>
      </c>
      <c r="BQ366" s="227">
        <f t="shared" ca="1" si="566"/>
        <v>0</v>
      </c>
      <c r="BR366" s="227">
        <f t="shared" ca="1" si="566"/>
        <v>0</v>
      </c>
      <c r="BS366" s="227">
        <f t="shared" ca="1" si="566"/>
        <v>0</v>
      </c>
      <c r="BT366" s="227">
        <f t="shared" ca="1" si="566"/>
        <v>0</v>
      </c>
      <c r="BU366" s="227">
        <f t="shared" ca="1" si="566"/>
        <v>0</v>
      </c>
      <c r="BV366" s="227">
        <f t="shared" ca="1" si="566"/>
        <v>0</v>
      </c>
      <c r="BW366" s="227">
        <f t="shared" ca="1" si="566"/>
        <v>0</v>
      </c>
      <c r="BX366" s="227">
        <f t="shared" ca="1" si="566"/>
        <v>0</v>
      </c>
      <c r="BY366" s="227">
        <f t="shared" ca="1" si="566"/>
        <v>0</v>
      </c>
      <c r="BZ366" s="227">
        <f t="shared" ca="1" si="566"/>
        <v>0</v>
      </c>
      <c r="CA366" s="227">
        <f t="shared" ca="1" si="566"/>
        <v>0</v>
      </c>
      <c r="CB366" s="227">
        <f t="shared" ca="1" si="566"/>
        <v>0</v>
      </c>
      <c r="CC366" s="227">
        <f t="shared" ca="1" si="566"/>
        <v>0</v>
      </c>
      <c r="CD366" s="227">
        <f t="shared" ca="1" si="566"/>
        <v>0</v>
      </c>
      <c r="CE366" s="227">
        <f t="shared" ca="1" si="566"/>
        <v>0</v>
      </c>
      <c r="CF366" s="227">
        <f t="shared" ca="1" si="566"/>
        <v>0</v>
      </c>
      <c r="CG366" s="227">
        <f t="shared" ca="1" si="566"/>
        <v>0</v>
      </c>
      <c r="CH366" s="227">
        <f t="shared" ca="1" si="566"/>
        <v>0</v>
      </c>
      <c r="CI366" s="227">
        <f t="shared" ca="1" si="566"/>
        <v>0</v>
      </c>
      <c r="CJ366" s="227">
        <f t="shared" ca="1" si="566"/>
        <v>0</v>
      </c>
      <c r="CK366" s="227">
        <f t="shared" ca="1" si="566"/>
        <v>0</v>
      </c>
      <c r="CL366" s="227">
        <f t="shared" ca="1" si="566"/>
        <v>0</v>
      </c>
      <c r="CM366" s="227">
        <f t="shared" ca="1" si="566"/>
        <v>0</v>
      </c>
      <c r="CN366" s="227">
        <f t="shared" ca="1" si="566"/>
        <v>0</v>
      </c>
      <c r="CO366" s="227">
        <f t="shared" ca="1" si="566"/>
        <v>0</v>
      </c>
      <c r="CP366" s="227">
        <f t="shared" ca="1" si="566"/>
        <v>0</v>
      </c>
      <c r="CQ366" s="227">
        <f t="shared" ca="1" si="566"/>
        <v>0</v>
      </c>
      <c r="CR366" s="227">
        <f t="shared" ca="1" si="566"/>
        <v>0</v>
      </c>
      <c r="CS366" s="227">
        <f t="shared" ca="1" si="566"/>
        <v>0</v>
      </c>
      <c r="CT366" s="227">
        <f t="shared" ca="1" si="566"/>
        <v>0</v>
      </c>
      <c r="CU366" s="227">
        <f t="shared" ca="1" si="566"/>
        <v>0</v>
      </c>
      <c r="CV366" s="227">
        <f t="shared" ca="1" si="566"/>
        <v>0</v>
      </c>
      <c r="CW366" s="227">
        <f t="shared" ca="1" si="566"/>
        <v>0</v>
      </c>
      <c r="CX366" s="227">
        <f t="shared" ca="1" si="566"/>
        <v>0</v>
      </c>
      <c r="CY366" s="227">
        <f t="shared" ca="1" si="566"/>
        <v>0</v>
      </c>
      <c r="CZ366" s="227">
        <f t="shared" ca="1" si="566"/>
        <v>0</v>
      </c>
      <c r="DA366" s="227">
        <f t="shared" ca="1" si="566"/>
        <v>0</v>
      </c>
      <c r="DB366" s="227">
        <f t="shared" ca="1" si="566"/>
        <v>0</v>
      </c>
      <c r="DC366" s="227">
        <f t="shared" ca="1" si="566"/>
        <v>0</v>
      </c>
      <c r="DD366" s="227">
        <f t="shared" ca="1" si="566"/>
        <v>0</v>
      </c>
      <c r="DE366" s="227">
        <f t="shared" ca="1" si="566"/>
        <v>0</v>
      </c>
      <c r="DF366" s="227">
        <f t="shared" ca="1" si="566"/>
        <v>0</v>
      </c>
      <c r="DG366" s="227">
        <f t="shared" ca="1" si="566"/>
        <v>0</v>
      </c>
      <c r="DH366" s="227">
        <f t="shared" ca="1" si="566"/>
        <v>0</v>
      </c>
      <c r="DI366" s="227">
        <f t="shared" ca="1" si="566"/>
        <v>0</v>
      </c>
      <c r="DJ366" s="227">
        <f t="shared" ca="1" si="566"/>
        <v>0</v>
      </c>
      <c r="DK366" s="227">
        <f t="shared" ca="1" si="566"/>
        <v>0</v>
      </c>
      <c r="DL366" s="227">
        <f t="shared" ca="1" si="566"/>
        <v>0</v>
      </c>
      <c r="DM366" s="227">
        <f t="shared" ca="1" si="566"/>
        <v>0</v>
      </c>
      <c r="DN366" s="227">
        <f t="shared" ca="1" si="566"/>
        <v>0</v>
      </c>
      <c r="DO366" s="227">
        <f t="shared" ref="DO366:DU366" ca="1" si="567">DO359+DO350+DO347</f>
        <v>0</v>
      </c>
      <c r="DP366" s="227">
        <f t="shared" ca="1" si="567"/>
        <v>0</v>
      </c>
      <c r="DQ366" s="227">
        <f t="shared" ca="1" si="567"/>
        <v>0</v>
      </c>
      <c r="DR366" s="227">
        <f t="shared" ca="1" si="567"/>
        <v>0</v>
      </c>
      <c r="DS366" s="227">
        <f t="shared" ca="1" si="567"/>
        <v>0</v>
      </c>
      <c r="DT366" s="227">
        <f t="shared" ca="1" si="567"/>
        <v>0</v>
      </c>
      <c r="DU366" s="227">
        <f t="shared" ca="1" si="567"/>
        <v>0</v>
      </c>
    </row>
    <row r="367" spans="1:125" x14ac:dyDescent="0.3">
      <c r="C367" s="198">
        <f ca="1">XIRR(E366:DU366,E6:DU6)</f>
        <v>1.0475013852119444</v>
      </c>
    </row>
    <row r="368" spans="1:125" x14ac:dyDescent="0.3">
      <c r="C368" s="2574"/>
      <c r="E368" s="227"/>
      <c r="F368" s="227"/>
      <c r="G368" s="227"/>
      <c r="H368" s="227"/>
      <c r="I368" s="227"/>
      <c r="J368" s="227"/>
      <c r="K368" s="227"/>
      <c r="L368" s="227"/>
      <c r="M368" s="227"/>
      <c r="N368" s="227"/>
      <c r="O368" s="227"/>
      <c r="P368" s="227"/>
      <c r="Q368" s="227"/>
      <c r="R368" s="227"/>
      <c r="S368" s="227"/>
      <c r="T368" s="227"/>
      <c r="U368" s="227"/>
      <c r="V368" s="227"/>
      <c r="W368" s="227"/>
      <c r="X368" s="227"/>
      <c r="Y368" s="227"/>
      <c r="Z368" s="227"/>
      <c r="AA368" s="227"/>
      <c r="AB368" s="227"/>
      <c r="AC368" s="227"/>
      <c r="AD368" s="227"/>
      <c r="AE368" s="227"/>
      <c r="AF368" s="227"/>
      <c r="AG368" s="227"/>
      <c r="AH368" s="227"/>
      <c r="AI368" s="227"/>
      <c r="AJ368" s="227"/>
      <c r="AK368" s="227"/>
      <c r="AL368" s="227"/>
      <c r="AM368" s="227"/>
      <c r="AN368" s="227"/>
      <c r="AO368" s="227"/>
      <c r="AP368" s="227"/>
      <c r="AQ368" s="227"/>
      <c r="AR368" s="227"/>
      <c r="AS368" s="227"/>
      <c r="AT368" s="227"/>
      <c r="AU368" s="227"/>
      <c r="AV368" s="227"/>
      <c r="AW368" s="227"/>
      <c r="AX368" s="227"/>
      <c r="AY368" s="227"/>
      <c r="AZ368" s="227"/>
      <c r="BA368" s="227"/>
      <c r="BB368" s="227"/>
      <c r="BC368" s="227"/>
      <c r="BD368" s="227"/>
      <c r="BE368" s="227"/>
      <c r="BF368" s="227"/>
      <c r="BG368" s="227"/>
      <c r="BH368" s="227"/>
      <c r="BI368" s="227"/>
      <c r="BJ368" s="227"/>
      <c r="BK368" s="227"/>
      <c r="BL368" s="227"/>
      <c r="BM368" s="227"/>
      <c r="BN368" s="227"/>
      <c r="BO368" s="227"/>
      <c r="BP368" s="227"/>
      <c r="BQ368" s="227"/>
      <c r="BR368" s="227"/>
      <c r="BS368" s="227"/>
      <c r="BT368" s="227"/>
      <c r="BU368" s="227"/>
      <c r="BV368" s="227"/>
      <c r="BW368" s="227"/>
      <c r="BX368" s="227"/>
      <c r="BY368" s="227"/>
      <c r="BZ368" s="227"/>
      <c r="CA368" s="227"/>
      <c r="CB368" s="227"/>
      <c r="CC368" s="227"/>
      <c r="CD368" s="227"/>
      <c r="CE368" s="227"/>
      <c r="CF368" s="227"/>
      <c r="CG368" s="227"/>
      <c r="CH368" s="227"/>
      <c r="CI368" s="227"/>
      <c r="CJ368" s="227"/>
      <c r="CK368" s="227"/>
      <c r="CL368" s="227"/>
      <c r="CM368" s="227"/>
      <c r="CN368" s="227"/>
      <c r="CO368" s="227"/>
      <c r="CP368" s="227"/>
      <c r="CQ368" s="227"/>
      <c r="CR368" s="227"/>
      <c r="CS368" s="227"/>
      <c r="CT368" s="227"/>
      <c r="CU368" s="227"/>
      <c r="CV368" s="227"/>
      <c r="CW368" s="227"/>
      <c r="CX368" s="227"/>
      <c r="CY368" s="227"/>
      <c r="CZ368" s="227"/>
      <c r="DA368" s="227"/>
      <c r="DB368" s="227"/>
      <c r="DC368" s="227"/>
      <c r="DD368" s="227"/>
      <c r="DE368" s="227"/>
      <c r="DF368" s="227"/>
      <c r="DG368" s="227"/>
      <c r="DH368" s="227"/>
      <c r="DI368" s="227"/>
      <c r="DJ368" s="227"/>
      <c r="DK368" s="227"/>
      <c r="DL368" s="227"/>
      <c r="DM368" s="227"/>
      <c r="DN368" s="227"/>
      <c r="DO368" s="227"/>
      <c r="DP368" s="227"/>
      <c r="DQ368" s="227"/>
      <c r="DR368" s="227"/>
      <c r="DS368" s="227"/>
      <c r="DT368" s="227"/>
      <c r="DU368" s="227"/>
    </row>
    <row r="369" s="2575" customFormat="1" x14ac:dyDescent="0.3"/>
  </sheetData>
  <sheetProtection algorithmName="SHA-512" hashValue="TjuC3op6rjMuW6s+scnH7/FDb9Fn81mYJf5PKHkVgrzQF9Rr7wdtClUBsBgdHMuiUlWhtlkVOTN7sJFtEJcTrQ==" saltValue="a96HtUjPgral1JtOTD6xEw==" spinCount="100000" sheet="1" objects="1" scenarios="1"/>
  <mergeCells count="5">
    <mergeCell ref="A297:C297"/>
    <mergeCell ref="A290:C290"/>
    <mergeCell ref="A285:C285"/>
    <mergeCell ref="A304:C304"/>
    <mergeCell ref="A311:C311"/>
  </mergeCells>
  <conditionalFormatting sqref="E2:F2">
    <cfRule type="expression" dxfId="8" priority="1">
      <formula>E2=""</formula>
    </cfRule>
  </conditionalFormatting>
  <pageMargins left="0.25" right="0.25" top="0.4" bottom="0.4" header="0.3" footer="0.3"/>
  <pageSetup scale="60" pageOrder="overThenDown" orientation="landscape" r:id="rId1"/>
  <headerFooter>
    <oddHeader>&amp;C&amp;"Garamond,Bold Italic"&amp;14Waterfalls&amp;"Garamond,Italic"
(Monthly Detail)&amp;R&amp;"Garamond,Regular"&amp;10Printed: &amp;D &amp;T</oddHeader>
    <oddFooter>&amp;R&amp;"Garamond,Regular"&amp;10Page &amp;P of &amp;N</oddFooter>
  </headerFooter>
  <rowBreaks count="5" manualBreakCount="5">
    <brk id="63" max="16383" man="1"/>
    <brk id="113" max="16383" man="1"/>
    <brk id="177" max="16383" man="1"/>
    <brk id="229" max="16383" man="1"/>
    <brk id="280" max="16383" man="1"/>
  </rowBreaks>
  <colBreaks count="9" manualBreakCount="9">
    <brk id="29" max="1048575" man="1"/>
    <brk id="41" max="1048575" man="1"/>
    <brk id="53" max="1048575" man="1"/>
    <brk id="65" max="1048575" man="1"/>
    <brk id="77" max="1048575" man="1"/>
    <brk id="89" max="1048575" man="1"/>
    <brk id="101" max="1048575" man="1"/>
    <brk id="113" max="1048575" man="1"/>
    <brk id="125" max="1048575" man="1"/>
  </colBreaks>
  <legacy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0"/>
  <dimension ref="A1:CX29"/>
  <sheetViews>
    <sheetView showGridLines="0" zoomScale="90" zoomScaleNormal="90" workbookViewId="0"/>
  </sheetViews>
  <sheetFormatPr defaultColWidth="14.5546875" defaultRowHeight="14.4" x14ac:dyDescent="0.3"/>
  <cols>
    <col min="5" max="5" width="3.5546875" customWidth="1"/>
  </cols>
  <sheetData>
    <row r="1" spans="1:102" x14ac:dyDescent="0.3">
      <c r="A1" t="s">
        <v>948</v>
      </c>
      <c r="B1" t="str">
        <f>'General Inputs'!B7</f>
        <v>Emblem Meridian</v>
      </c>
    </row>
    <row r="2" spans="1:102" x14ac:dyDescent="0.3">
      <c r="A2" t="s">
        <v>954</v>
      </c>
      <c r="B2" s="229" t="str">
        <f>DevBdgt!B2</f>
        <v>Meridian, Other</v>
      </c>
    </row>
    <row r="3" spans="1:102" x14ac:dyDescent="0.3">
      <c r="A3" t="s">
        <v>961</v>
      </c>
      <c r="B3" s="584">
        <f>'General Inputs'!B10</f>
        <v>46248</v>
      </c>
      <c r="C3" s="585">
        <f>'General Inputs'!C10</f>
        <v>0.67652777777777773</v>
      </c>
      <c r="D3" s="388"/>
      <c r="E3" s="642"/>
      <c r="F3" s="642"/>
      <c r="G3" s="642"/>
      <c r="H3" s="642"/>
      <c r="I3" s="642"/>
      <c r="J3" s="642"/>
      <c r="K3" s="642"/>
      <c r="L3" s="642"/>
      <c r="M3" s="642"/>
      <c r="N3" s="642"/>
      <c r="O3" s="642"/>
      <c r="P3" s="642"/>
      <c r="Q3" s="642"/>
      <c r="R3" s="642"/>
      <c r="S3" s="642"/>
      <c r="T3" s="642"/>
      <c r="U3" s="642"/>
      <c r="V3" s="642"/>
      <c r="W3" s="642"/>
      <c r="X3" s="642"/>
      <c r="Y3" s="642"/>
      <c r="Z3" s="642"/>
      <c r="AA3" s="642"/>
      <c r="AB3" s="642"/>
      <c r="AC3" s="642"/>
      <c r="AD3" s="642"/>
      <c r="AE3" s="642"/>
      <c r="AF3" s="642"/>
      <c r="AG3" s="642"/>
      <c r="AH3" s="642"/>
      <c r="AI3" s="642"/>
      <c r="AJ3" s="642"/>
      <c r="AK3" s="642"/>
      <c r="AL3" s="642"/>
      <c r="AM3" s="642"/>
      <c r="AN3" s="642"/>
      <c r="AO3" s="642"/>
      <c r="AP3" s="642"/>
      <c r="AQ3" s="642"/>
      <c r="AR3" s="642"/>
      <c r="AS3" s="642"/>
      <c r="AT3" s="642"/>
      <c r="AU3" s="642"/>
      <c r="AV3" s="642"/>
      <c r="AW3" s="642"/>
      <c r="AX3" s="642"/>
      <c r="AY3" s="642"/>
      <c r="AZ3" s="642"/>
      <c r="BA3" s="642"/>
      <c r="BB3" s="642"/>
      <c r="BC3" s="642"/>
      <c r="BD3" s="642"/>
      <c r="BE3" s="642"/>
      <c r="BF3" s="642"/>
      <c r="BG3" s="642"/>
      <c r="BH3" s="642"/>
      <c r="BI3" s="642"/>
      <c r="BJ3" s="642"/>
      <c r="BK3" s="642"/>
      <c r="BL3" s="642"/>
      <c r="BM3" s="642"/>
      <c r="BN3" s="642"/>
      <c r="BO3" s="642"/>
      <c r="BP3" s="642"/>
      <c r="BQ3" s="642"/>
      <c r="BR3" s="642"/>
      <c r="BS3" s="642"/>
      <c r="BT3" s="642"/>
      <c r="BU3" s="642"/>
      <c r="BV3" s="642"/>
      <c r="BW3" s="642"/>
      <c r="BX3" s="642"/>
      <c r="BY3" s="642"/>
      <c r="BZ3" s="642"/>
      <c r="CA3" s="642"/>
      <c r="CB3" s="642"/>
      <c r="CC3" s="642"/>
      <c r="CD3" s="642"/>
      <c r="CE3" s="642"/>
      <c r="CF3" s="642"/>
      <c r="CG3" s="642"/>
      <c r="CH3" s="642"/>
      <c r="CI3" s="642"/>
      <c r="CJ3" s="642"/>
      <c r="CK3" s="642"/>
      <c r="CL3" s="642"/>
      <c r="CM3" s="642"/>
      <c r="CN3" s="642"/>
      <c r="CO3" s="642"/>
      <c r="CP3" s="642"/>
      <c r="CQ3" s="642"/>
      <c r="CR3" s="642"/>
      <c r="CS3" s="642"/>
      <c r="CT3" s="642"/>
      <c r="CV3" s="642"/>
      <c r="CW3" s="642"/>
      <c r="CX3" s="642"/>
    </row>
    <row r="4" spans="1:102" ht="7.5" customHeight="1" x14ac:dyDescent="0.3">
      <c r="B4" s="584"/>
      <c r="C4" s="585"/>
      <c r="D4" s="388"/>
      <c r="E4" s="642"/>
      <c r="F4" s="642"/>
      <c r="G4" s="642"/>
      <c r="H4" s="642"/>
      <c r="I4" s="642"/>
      <c r="J4" s="642"/>
      <c r="K4" s="642"/>
      <c r="L4" s="642"/>
      <c r="M4" s="642"/>
      <c r="N4" s="642"/>
      <c r="O4" s="642"/>
      <c r="P4" s="642"/>
      <c r="Q4" s="642"/>
      <c r="R4" s="642"/>
      <c r="S4" s="642"/>
      <c r="T4" s="642"/>
      <c r="U4" s="642"/>
      <c r="V4" s="642"/>
      <c r="W4" s="642"/>
      <c r="X4" s="642"/>
      <c r="Y4" s="642"/>
      <c r="Z4" s="642"/>
      <c r="AA4" s="642"/>
      <c r="AB4" s="642"/>
      <c r="AC4" s="642"/>
      <c r="AD4" s="642"/>
      <c r="AE4" s="642"/>
      <c r="AF4" s="642"/>
      <c r="AG4" s="642"/>
      <c r="AH4" s="642"/>
      <c r="AI4" s="642"/>
      <c r="AJ4" s="642"/>
      <c r="AK4" s="642"/>
      <c r="AL4" s="642"/>
      <c r="AM4" s="642"/>
      <c r="AN4" s="642"/>
      <c r="AO4" s="642"/>
      <c r="AP4" s="642"/>
      <c r="AQ4" s="642"/>
      <c r="AR4" s="642"/>
      <c r="AS4" s="642"/>
      <c r="AT4" s="642"/>
      <c r="AU4" s="642"/>
      <c r="AV4" s="642"/>
      <c r="AW4" s="642"/>
      <c r="AX4" s="642"/>
      <c r="AY4" s="642"/>
      <c r="AZ4" s="642"/>
      <c r="BA4" s="642"/>
      <c r="BB4" s="642"/>
      <c r="BC4" s="642"/>
      <c r="BD4" s="642"/>
      <c r="BE4" s="642"/>
      <c r="BF4" s="642"/>
      <c r="BG4" s="642"/>
      <c r="BH4" s="642"/>
      <c r="BI4" s="642"/>
      <c r="BJ4" s="642"/>
      <c r="BK4" s="642"/>
      <c r="BL4" s="642"/>
      <c r="BM4" s="642"/>
      <c r="BN4" s="642"/>
      <c r="BO4" s="642"/>
      <c r="BP4" s="642"/>
      <c r="BQ4" s="642"/>
      <c r="BR4" s="642"/>
      <c r="BS4" s="642"/>
      <c r="BT4" s="642"/>
      <c r="BU4" s="642"/>
      <c r="BV4" s="642"/>
      <c r="BW4" s="642"/>
      <c r="BX4" s="642"/>
      <c r="BY4" s="642"/>
      <c r="BZ4" s="642"/>
      <c r="CA4" s="642"/>
      <c r="CB4" s="642"/>
      <c r="CC4" s="642"/>
      <c r="CD4" s="642"/>
      <c r="CE4" s="642"/>
      <c r="CF4" s="642"/>
      <c r="CG4" s="642"/>
      <c r="CH4" s="642"/>
      <c r="CI4" s="642"/>
      <c r="CJ4" s="642"/>
      <c r="CK4" s="642"/>
      <c r="CL4" s="642"/>
      <c r="CM4" s="642"/>
      <c r="CN4" s="642"/>
      <c r="CO4" s="642"/>
      <c r="CP4" s="642"/>
      <c r="CQ4" s="642"/>
      <c r="CR4" s="642"/>
      <c r="CS4" s="642"/>
      <c r="CT4" s="642"/>
      <c r="CV4" s="642"/>
      <c r="CW4" s="642"/>
      <c r="CX4" s="642"/>
    </row>
    <row r="5" spans="1:102" ht="15.6" x14ac:dyDescent="0.3">
      <c r="A5" s="115" t="s">
        <v>2551</v>
      </c>
      <c r="B5" s="204"/>
      <c r="C5" s="204"/>
      <c r="D5" s="444"/>
      <c r="F5" s="115" t="s">
        <v>2552</v>
      </c>
      <c r="G5" s="204"/>
      <c r="H5" s="204"/>
      <c r="I5" s="444"/>
    </row>
    <row r="6" spans="1:102" ht="3.75" customHeight="1" thickBot="1" x14ac:dyDescent="0.35">
      <c r="A6" s="119"/>
      <c r="B6" s="119"/>
      <c r="C6" s="119"/>
      <c r="D6" s="119"/>
      <c r="F6" s="119"/>
      <c r="G6" s="119"/>
      <c r="H6" s="119"/>
      <c r="I6" s="119"/>
    </row>
    <row r="7" spans="1:102" ht="7.5" customHeight="1" thickTop="1" thickBot="1" x14ac:dyDescent="0.35"/>
    <row r="8" spans="1:102" ht="15" thickTop="1" x14ac:dyDescent="0.3">
      <c r="A8" s="318" t="s">
        <v>2553</v>
      </c>
      <c r="B8" s="635"/>
      <c r="C8" s="321"/>
      <c r="D8" s="322"/>
      <c r="F8" s="318" t="s">
        <v>1760</v>
      </c>
      <c r="G8" s="635"/>
      <c r="H8" s="321"/>
      <c r="I8" s="322"/>
    </row>
    <row r="9" spans="1:102" x14ac:dyDescent="0.3">
      <c r="A9" s="229" t="str">
        <f>'General Inputs'!J29</f>
        <v>LP</v>
      </c>
      <c r="C9" s="227"/>
      <c r="D9" s="227">
        <f ca="1">'General Inputs'!J8</f>
        <v>31573647.858582281</v>
      </c>
      <c r="F9" s="393" t="str">
        <f>Summary!A6</f>
        <v>LAND</v>
      </c>
      <c r="G9" s="512"/>
      <c r="H9" s="182"/>
      <c r="I9" s="394" t="str">
        <f>Summary!D6</f>
        <v>Total</v>
      </c>
    </row>
    <row r="10" spans="1:102" x14ac:dyDescent="0.3">
      <c r="A10" s="229" t="str">
        <f>'General Inputs'!K29</f>
        <v>Quarterra</v>
      </c>
      <c r="C10" s="227"/>
      <c r="D10" s="229">
        <f ca="1">'General Inputs'!K8</f>
        <v>3508183.0953980302</v>
      </c>
      <c r="F10" s="206" t="str">
        <f>DevBdgt!A30</f>
        <v>Purchase Price</v>
      </c>
      <c r="G10" s="512"/>
      <c r="H10" s="182"/>
      <c r="I10" s="398">
        <f>Summary!D7</f>
        <v>8850000</v>
      </c>
    </row>
    <row r="11" spans="1:102" x14ac:dyDescent="0.3">
      <c r="A11" s="242" t="str">
        <f>'General Inputs'!L29</f>
        <v>LAND</v>
      </c>
      <c r="B11" s="241"/>
      <c r="C11" s="299"/>
      <c r="D11" s="242">
        <f ca="1">'General Inputs'!L8</f>
        <v>0</v>
      </c>
      <c r="F11" s="206" t="str">
        <f>DevBdgt!A31</f>
        <v>Acquisition Costs</v>
      </c>
      <c r="G11" s="512"/>
      <c r="H11" s="182"/>
      <c r="I11" s="404">
        <f ca="1">Summary!D8</f>
        <v>242959.62434217893</v>
      </c>
    </row>
    <row r="12" spans="1:102" x14ac:dyDescent="0.3">
      <c r="A12" t="s">
        <v>2554</v>
      </c>
      <c r="C12" s="227"/>
      <c r="D12" s="227">
        <f ca="1">SUM(D9:D11)</f>
        <v>35081830.953980312</v>
      </c>
      <c r="F12" s="393" t="str">
        <f>Summary!A9</f>
        <v>SOFT COSTS</v>
      </c>
      <c r="G12" s="512"/>
      <c r="H12" s="182"/>
      <c r="I12" s="404"/>
    </row>
    <row r="13" spans="1:102" x14ac:dyDescent="0.3">
      <c r="F13" s="206" t="str">
        <f>Summary!A10</f>
        <v>Ad Valorem Taxes</v>
      </c>
      <c r="G13" s="512"/>
      <c r="H13" s="182"/>
      <c r="I13" s="404">
        <f ca="1">Summary!D10</f>
        <v>83335.391794650437</v>
      </c>
    </row>
    <row r="14" spans="1:102" x14ac:dyDescent="0.3">
      <c r="F14" s="413" t="str">
        <f>Summary!A11</f>
        <v>Architectural &amp; Engineering</v>
      </c>
      <c r="G14" s="512"/>
      <c r="H14" s="182"/>
      <c r="I14" s="404">
        <f>Summary!D11</f>
        <v>1500605.0000000002</v>
      </c>
    </row>
    <row r="15" spans="1:102" x14ac:dyDescent="0.3">
      <c r="F15" s="413" t="str">
        <f>Summary!A12</f>
        <v>Construction Interest</v>
      </c>
      <c r="G15" s="182"/>
      <c r="H15" s="182"/>
      <c r="I15" s="404">
        <f ca="1">Summary!D12</f>
        <v>1086262.1410115552</v>
      </c>
    </row>
    <row r="16" spans="1:102" x14ac:dyDescent="0.3">
      <c r="F16" s="413" t="str">
        <f>Summary!A13</f>
        <v>Financing</v>
      </c>
      <c r="G16" s="512"/>
      <c r="H16" s="182"/>
      <c r="I16" s="404">
        <f ca="1">Summary!D13</f>
        <v>896583.45041148621</v>
      </c>
    </row>
    <row r="17" spans="1:9" x14ac:dyDescent="0.3">
      <c r="F17" s="413" t="str">
        <f>Summary!A14</f>
        <v>Furniture, Fixtures &amp; Equipment</v>
      </c>
      <c r="G17" s="512"/>
      <c r="H17" s="182"/>
      <c r="I17" s="404">
        <f>Summary!D14</f>
        <v>625000</v>
      </c>
    </row>
    <row r="18" spans="1:9" x14ac:dyDescent="0.3">
      <c r="F18" s="413" t="str">
        <f>Summary!A15</f>
        <v>Insurance</v>
      </c>
      <c r="G18" s="512"/>
      <c r="H18" s="182"/>
      <c r="I18" s="404">
        <f ca="1">Summary!D15</f>
        <v>1418022.6257534006</v>
      </c>
    </row>
    <row r="19" spans="1:9" x14ac:dyDescent="0.3">
      <c r="F19" s="413" t="str">
        <f>Summary!A16</f>
        <v>Start-Up Expenses &amp; Marketing</v>
      </c>
      <c r="G19" s="512"/>
      <c r="H19" s="182"/>
      <c r="I19" s="404">
        <f>Summary!D16</f>
        <v>375000</v>
      </c>
    </row>
    <row r="20" spans="1:9" x14ac:dyDescent="0.3">
      <c r="F20" s="413" t="str">
        <f>Summary!A17</f>
        <v>Operating Deficits</v>
      </c>
      <c r="G20" s="512"/>
      <c r="H20" s="182"/>
      <c r="I20" s="404">
        <f ca="1">Summary!D17</f>
        <v>329080.53404430853</v>
      </c>
    </row>
    <row r="21" spans="1:9" x14ac:dyDescent="0.3">
      <c r="F21" s="413" t="str">
        <f>Summary!A18</f>
        <v>Overhead &amp; Administration Fees</v>
      </c>
      <c r="G21" s="512"/>
      <c r="H21" s="182"/>
      <c r="I21" s="404">
        <f ca="1">Summary!D18</f>
        <v>2658062.4746991713</v>
      </c>
    </row>
    <row r="22" spans="1:9" ht="15" thickBot="1" x14ac:dyDescent="0.35">
      <c r="F22" s="413" t="str">
        <f>Summary!A19</f>
        <v>Permits &amp; Fees</v>
      </c>
      <c r="G22" s="512"/>
      <c r="H22" s="182"/>
      <c r="I22" s="404">
        <f>Summary!D19</f>
        <v>4459158.9889518414</v>
      </c>
    </row>
    <row r="23" spans="1:9" ht="15" thickTop="1" x14ac:dyDescent="0.3">
      <c r="A23" s="318" t="s">
        <v>876</v>
      </c>
      <c r="B23" s="635"/>
      <c r="C23" s="321"/>
      <c r="D23" s="322"/>
      <c r="F23" s="206" t="str">
        <f>Summary!A20</f>
        <v>Soft Cost Contingency (5.0%)</v>
      </c>
      <c r="G23" s="512"/>
      <c r="H23" s="182"/>
      <c r="I23" s="404">
        <f ca="1">Summary!D20</f>
        <v>856477.57240587578</v>
      </c>
    </row>
    <row r="24" spans="1:9" x14ac:dyDescent="0.3">
      <c r="A24" t="s">
        <v>271</v>
      </c>
      <c r="C24" s="227"/>
      <c r="D24" s="227">
        <f ca="1">'General Inputs'!H8</f>
        <v>42877793.388198167</v>
      </c>
      <c r="F24" s="428" t="str">
        <f>Summary!A21</f>
        <v>HARD COSTS</v>
      </c>
      <c r="G24" s="512"/>
      <c r="H24" s="182"/>
      <c r="I24" s="404"/>
    </row>
    <row r="25" spans="1:9" x14ac:dyDescent="0.3">
      <c r="A25" s="241" t="s">
        <v>951</v>
      </c>
      <c r="B25" s="241"/>
      <c r="C25" s="299"/>
      <c r="D25" s="242">
        <f ca="1">'General Inputs'!I8</f>
        <v>0</v>
      </c>
      <c r="F25" s="413" t="s">
        <v>462</v>
      </c>
      <c r="G25" s="512"/>
      <c r="H25" s="182"/>
      <c r="I25" s="404">
        <f>Summary!D22</f>
        <v>51980072.894060962</v>
      </c>
    </row>
    <row r="26" spans="1:9" x14ac:dyDescent="0.3">
      <c r="A26" t="s">
        <v>2555</v>
      </c>
      <c r="C26" s="227"/>
      <c r="D26" s="227">
        <f ca="1">SUM(D24:D25)</f>
        <v>42877793.388198167</v>
      </c>
      <c r="F26" s="413" t="str">
        <f>Summary!A23</f>
        <v>Hard Cost Contingency (5.0%)</v>
      </c>
      <c r="G26" s="512"/>
      <c r="H26" s="182"/>
      <c r="I26" s="404">
        <f>Summary!D23</f>
        <v>2599003.6447030478</v>
      </c>
    </row>
    <row r="27" spans="1:9" x14ac:dyDescent="0.3">
      <c r="F27" s="1119" t="str">
        <f>Summary!A24</f>
        <v>Commercial (TI, Legal &amp; Commissions)</v>
      </c>
      <c r="G27" s="1119"/>
      <c r="H27" s="1120"/>
      <c r="I27" s="1121">
        <f>Summary!D24</f>
        <v>0</v>
      </c>
    </row>
    <row r="28" spans="1:9" ht="15" thickBot="1" x14ac:dyDescent="0.35">
      <c r="A28" s="255" t="s">
        <v>2556</v>
      </c>
      <c r="B28" s="255"/>
      <c r="C28" s="748"/>
      <c r="D28" s="748">
        <f ca="1">D12+D26</f>
        <v>77959624.342178479</v>
      </c>
      <c r="F28" s="435" t="str">
        <f>Summary!A25</f>
        <v>TOTAL PROJECT COST</v>
      </c>
      <c r="G28" s="435"/>
      <c r="H28" s="436"/>
      <c r="I28" s="437">
        <f ca="1">Summary!D25</f>
        <v>77959624.342178479</v>
      </c>
    </row>
    <row r="29" spans="1:9" ht="15" thickTop="1" x14ac:dyDescent="0.3"/>
  </sheetData>
  <conditionalFormatting sqref="D2">
    <cfRule type="expression" dxfId="7" priority="10">
      <formula>D2=""</formula>
    </cfRule>
  </conditionalFormatting>
  <conditionalFormatting sqref="CW2">
    <cfRule type="expression" dxfId="6" priority="8">
      <formula>CW2=""</formula>
    </cfRule>
  </conditionalFormatting>
  <conditionalFormatting sqref="CV2">
    <cfRule type="expression" dxfId="5" priority="7">
      <formula>CV2=""</formula>
    </cfRule>
  </conditionalFormatting>
  <conditionalFormatting sqref="CX2">
    <cfRule type="expression" dxfId="4" priority="6">
      <formula>CX2=""</formula>
    </cfRule>
  </conditionalFormatting>
  <pageMargins left="0.4" right="0.4" top="0.5" bottom="0.25" header="0.3" footer="0.3"/>
  <pageSetup scale="60" orientation="landscape" r:id="rId1"/>
  <headerFooter>
    <oddHeader>&amp;C&amp;"Garamond,Bold Italic"&amp;14Sources and Uses of Funds&amp;R&amp;"Garamond,Regular"&amp;10Printed:  &amp;D &amp;T</oddHeader>
    <oddFooter>&amp;R&amp;"Garamond,Regular"&amp;10Page &amp;P of &amp;N</oddFooter>
  </headerFooter>
  <extLst>
    <ext xmlns:x14="http://schemas.microsoft.com/office/spreadsheetml/2009/9/main" uri="{78C0D931-6437-407d-A8EE-F0AAD7539E65}">
      <x14:conditionalFormattings>
        <x14:conditionalFormatting xmlns:xm="http://schemas.microsoft.com/office/excel/2006/main">
          <x14:cfRule type="expression" priority="2" id="{57ACF8E0-D9A0-4E0A-AC8D-5D9F4664287C}">
            <xm:f>'Operating Inputs'!$C$110=0</xm:f>
            <x14:dxf>
              <font>
                <color theme="0" tint="-0.34998626667073579"/>
              </font>
            </x14:dxf>
          </x14:cfRule>
          <xm:sqref>F27:G27 I27</xm:sqref>
        </x14:conditionalFormatting>
        <x14:conditionalFormatting xmlns:xm="http://schemas.microsoft.com/office/excel/2006/main">
          <x14:cfRule type="expression" priority="1" id="{67B4FEBC-2346-4E13-A84F-30B7215726D5}">
            <xm:f>'Operating Inputs'!$C$110=0</xm:f>
            <x14:dxf>
              <font>
                <color theme="0" tint="-0.24994659260841701"/>
              </font>
            </x14:dxf>
          </x14:cfRule>
          <xm:sqref>F27:I27</xm:sqref>
        </x14:conditionalFormatting>
      </x14:conditionalFormatting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C2:P98"/>
  <sheetViews>
    <sheetView showGridLines="0" view="pageBreakPreview" zoomScale="90" zoomScaleNormal="100" zoomScaleSheetLayoutView="90" workbookViewId="0"/>
  </sheetViews>
  <sheetFormatPr defaultRowHeight="14.4" outlineLevelRow="1" outlineLevelCol="1" x14ac:dyDescent="0.3"/>
  <cols>
    <col min="3" max="3" width="22.6640625" customWidth="1"/>
    <col min="4" max="4" width="17.33203125" hidden="1" customWidth="1" outlineLevel="1"/>
    <col min="5" max="5" width="12.6640625" customWidth="1" collapsed="1"/>
    <col min="6" max="7" width="12.6640625" customWidth="1"/>
    <col min="8" max="8" width="11.6640625" customWidth="1"/>
    <col min="9" max="14" width="14.6640625" customWidth="1"/>
    <col min="15" max="15" width="17.33203125" hidden="1" customWidth="1" outlineLevel="1"/>
    <col min="16" max="16" width="9.33203125" collapsed="1"/>
  </cols>
  <sheetData>
    <row r="2" spans="3:15" ht="15.6" x14ac:dyDescent="0.3">
      <c r="C2" s="115" t="s">
        <v>2557</v>
      </c>
      <c r="D2" s="204"/>
      <c r="E2" s="204"/>
      <c r="F2" s="204"/>
      <c r="G2" s="204"/>
      <c r="H2" s="204"/>
      <c r="I2" s="204"/>
      <c r="J2" s="204"/>
      <c r="K2" s="204"/>
      <c r="L2" s="204"/>
      <c r="M2" s="204"/>
      <c r="N2" s="444"/>
    </row>
    <row r="3" spans="3:15" ht="5.0999999999999996" customHeight="1" thickBot="1" x14ac:dyDescent="0.35">
      <c r="C3" s="119"/>
      <c r="D3" s="119"/>
      <c r="E3" s="119"/>
      <c r="F3" s="119"/>
      <c r="G3" s="119"/>
      <c r="H3" s="119"/>
      <c r="I3" s="119"/>
      <c r="J3" s="119"/>
      <c r="K3" s="119"/>
      <c r="L3" s="119"/>
      <c r="M3" s="119"/>
      <c r="N3" s="119"/>
    </row>
    <row r="4" spans="3:15" ht="5.0999999999999996" customHeight="1" thickTop="1" x14ac:dyDescent="0.3"/>
    <row r="5" spans="3:15" ht="12" customHeight="1" x14ac:dyDescent="0.3"/>
    <row r="6" spans="3:15" x14ac:dyDescent="0.3">
      <c r="C6" s="216" t="str">
        <f>+'Operating Inputs'!A13</f>
        <v>FLOORPLAN INPUT</v>
      </c>
      <c r="D6" s="217"/>
      <c r="E6" s="218"/>
      <c r="F6" s="218"/>
      <c r="G6" s="218"/>
      <c r="H6" s="218"/>
      <c r="I6" s="218"/>
      <c r="J6" s="218" t="str">
        <f>+'Operating Inputs'!H13</f>
        <v>Base Rent</v>
      </c>
      <c r="K6" s="218" t="str">
        <f>+'Operating Inputs'!I13</f>
        <v>Base Rent</v>
      </c>
      <c r="L6" s="218"/>
      <c r="M6" s="218" t="str">
        <f>+'Operating Inputs'!K13</f>
        <v>Total Base</v>
      </c>
      <c r="N6" s="219" t="str">
        <f>+'Operating Inputs'!L13</f>
        <v>Total Base</v>
      </c>
      <c r="O6" s="219" t="str">
        <f>+'Operating Inputs'!M13</f>
        <v>Manual</v>
      </c>
    </row>
    <row r="7" spans="3:15" ht="15.75" customHeight="1" thickBot="1" x14ac:dyDescent="0.35">
      <c r="C7" s="954" t="str">
        <f>+'Operating Inputs'!A14</f>
        <v>Floorplan</v>
      </c>
      <c r="D7" s="955" t="str">
        <f>+'Operating Inputs'!B14</f>
        <v>Type</v>
      </c>
      <c r="E7" s="955" t="str">
        <f>+'Operating Inputs'!C14</f>
        <v>Bedrooms</v>
      </c>
      <c r="F7" s="955" t="str">
        <f>+'Operating Inputs'!D14</f>
        <v>Bathrooms</v>
      </c>
      <c r="G7" s="955" t="str">
        <f>+'Operating Inputs'!E14</f>
        <v>Homes</v>
      </c>
      <c r="H7" s="955" t="str">
        <f>+'Operating Inputs'!F14</f>
        <v>Home Mix</v>
      </c>
      <c r="I7" s="955" t="str">
        <f>+'Operating Inputs'!G14</f>
        <v>NRSF</v>
      </c>
      <c r="J7" s="956" t="str">
        <f>+'Operating Inputs'!H14</f>
        <v>/ Month</v>
      </c>
      <c r="K7" s="956" t="str">
        <f>+'Operating Inputs'!I14</f>
        <v>/ NRSF</v>
      </c>
      <c r="L7" s="955" t="str">
        <f>+'Operating Inputs'!J14</f>
        <v>Total NRSF</v>
      </c>
      <c r="M7" s="955" t="str">
        <f>+'Operating Inputs'!K14</f>
        <v>Rent / Month</v>
      </c>
      <c r="N7" s="957" t="str">
        <f>+'Operating Inputs'!L14</f>
        <v>Rent / Year</v>
      </c>
      <c r="O7" s="224" t="str">
        <f>+'Operating Inputs'!M14</f>
        <v>Input</v>
      </c>
    </row>
    <row r="8" spans="3:15" ht="15" customHeight="1" thickTop="1" x14ac:dyDescent="0.3">
      <c r="C8" s="958" t="str">
        <f>+'Operating Inputs'!A15</f>
        <v>A1.1</v>
      </c>
      <c r="D8" s="959" t="str">
        <f>+'Operating Inputs'!B15</f>
        <v>Market</v>
      </c>
      <c r="E8" s="960">
        <f>+'Operating Inputs'!C15</f>
        <v>1</v>
      </c>
      <c r="F8" s="961">
        <f>+'Operating Inputs'!D15</f>
        <v>1</v>
      </c>
      <c r="G8" s="960">
        <f>+'Operating Inputs'!E15</f>
        <v>36</v>
      </c>
      <c r="H8" s="962">
        <f>+'Operating Inputs'!F15</f>
        <v>0.140625</v>
      </c>
      <c r="I8" s="960">
        <f>+'Operating Inputs'!G15</f>
        <v>635</v>
      </c>
      <c r="J8" s="963">
        <f>+'Operating Inputs'!H15</f>
        <v>1672.895</v>
      </c>
      <c r="K8" s="964">
        <f>+'Operating Inputs'!I15</f>
        <v>2.63448031496063</v>
      </c>
      <c r="L8" s="965">
        <f>+'Operating Inputs'!J15</f>
        <v>22860</v>
      </c>
      <c r="M8" s="963">
        <f>+'Operating Inputs'!K15</f>
        <v>60224.22</v>
      </c>
      <c r="N8" s="963">
        <f>+'Operating Inputs'!L15</f>
        <v>722690.64</v>
      </c>
      <c r="O8" s="12">
        <f>+'Operating Inputs'!M15</f>
        <v>1672.895</v>
      </c>
    </row>
    <row r="9" spans="3:15" ht="15" customHeight="1" x14ac:dyDescent="0.3">
      <c r="C9" s="958" t="str">
        <f>+'Operating Inputs'!A16</f>
        <v>A1.2</v>
      </c>
      <c r="D9" s="959" t="str">
        <f>+'Operating Inputs'!B16</f>
        <v>Market</v>
      </c>
      <c r="E9" s="960">
        <f>+'Operating Inputs'!C16</f>
        <v>1</v>
      </c>
      <c r="F9" s="961">
        <f>+'Operating Inputs'!D16</f>
        <v>1</v>
      </c>
      <c r="G9" s="960">
        <f>+'Operating Inputs'!E16</f>
        <v>4</v>
      </c>
      <c r="H9" s="966">
        <f>+'Operating Inputs'!F16</f>
        <v>1.5625E-2</v>
      </c>
      <c r="I9" s="967">
        <f>+'Operating Inputs'!G16</f>
        <v>677</v>
      </c>
      <c r="J9" s="963">
        <f>+'Operating Inputs'!H16</f>
        <v>1672.895</v>
      </c>
      <c r="K9" s="964">
        <f>+'Operating Inputs'!I16</f>
        <v>2.4710413589364846</v>
      </c>
      <c r="L9" s="965">
        <f>+'Operating Inputs'!J16</f>
        <v>2708</v>
      </c>
      <c r="M9" s="963">
        <f>+'Operating Inputs'!K16</f>
        <v>6691.58</v>
      </c>
      <c r="N9" s="963">
        <f>+'Operating Inputs'!L16</f>
        <v>80298.959999999992</v>
      </c>
      <c r="O9" s="12">
        <f>+'Operating Inputs'!M16</f>
        <v>1672.895</v>
      </c>
    </row>
    <row r="10" spans="3:15" ht="15" customHeight="1" x14ac:dyDescent="0.3">
      <c r="C10" s="958" t="str">
        <f>+'Operating Inputs'!A17</f>
        <v>A2.1</v>
      </c>
      <c r="D10" s="959" t="str">
        <f>+'Operating Inputs'!B17</f>
        <v>Market</v>
      </c>
      <c r="E10" s="960">
        <f>+'Operating Inputs'!C17</f>
        <v>1</v>
      </c>
      <c r="F10" s="961">
        <f>+'Operating Inputs'!D17</f>
        <v>1</v>
      </c>
      <c r="G10" s="960">
        <f>+'Operating Inputs'!E17</f>
        <v>60</v>
      </c>
      <c r="H10" s="966">
        <f>+'Operating Inputs'!F17</f>
        <v>0.234375</v>
      </c>
      <c r="I10" s="967">
        <f>+'Operating Inputs'!G17</f>
        <v>725</v>
      </c>
      <c r="J10" s="963">
        <f>+'Operating Inputs'!H17</f>
        <v>1786.575</v>
      </c>
      <c r="K10" s="964">
        <f>+'Operating Inputs'!I17</f>
        <v>2.4642413793103448</v>
      </c>
      <c r="L10" s="965">
        <f>+'Operating Inputs'!J17</f>
        <v>43500</v>
      </c>
      <c r="M10" s="963">
        <f>+'Operating Inputs'!K17</f>
        <v>107194.5</v>
      </c>
      <c r="N10" s="963">
        <f>+'Operating Inputs'!L17</f>
        <v>1286334</v>
      </c>
      <c r="O10" s="12">
        <f>+'Operating Inputs'!M17</f>
        <v>1786.575</v>
      </c>
    </row>
    <row r="11" spans="3:15" ht="15" customHeight="1" x14ac:dyDescent="0.3">
      <c r="C11" s="958" t="str">
        <f>+'Operating Inputs'!A18</f>
        <v>A2.2</v>
      </c>
      <c r="D11" s="959" t="str">
        <f>+'Operating Inputs'!B18</f>
        <v>Market</v>
      </c>
      <c r="E11" s="960">
        <f>+'Operating Inputs'!C18</f>
        <v>1</v>
      </c>
      <c r="F11" s="961">
        <f>+'Operating Inputs'!D18</f>
        <v>1</v>
      </c>
      <c r="G11" s="960">
        <f>+'Operating Inputs'!E18</f>
        <v>12</v>
      </c>
      <c r="H11" s="966">
        <f>+'Operating Inputs'!F18</f>
        <v>4.6875E-2</v>
      </c>
      <c r="I11" s="967">
        <f>+'Operating Inputs'!G18</f>
        <v>767</v>
      </c>
      <c r="J11" s="963">
        <f>+'Operating Inputs'!H18</f>
        <v>1786.575</v>
      </c>
      <c r="K11" s="964">
        <f>+'Operating Inputs'!I18</f>
        <v>2.3293024771838331</v>
      </c>
      <c r="L11" s="965">
        <f>+'Operating Inputs'!J18</f>
        <v>9204</v>
      </c>
      <c r="M11" s="963">
        <f>+'Operating Inputs'!K18</f>
        <v>21438.9</v>
      </c>
      <c r="N11" s="963">
        <f>+'Operating Inputs'!L18</f>
        <v>257266.80000000002</v>
      </c>
      <c r="O11" s="12">
        <f>+'Operating Inputs'!M18</f>
        <v>1786.575</v>
      </c>
    </row>
    <row r="12" spans="3:15" ht="15" customHeight="1" x14ac:dyDescent="0.3">
      <c r="C12" s="958" t="str">
        <f>+'Operating Inputs'!A19</f>
        <v>B1.1</v>
      </c>
      <c r="D12" s="959" t="str">
        <f>+'Operating Inputs'!B19</f>
        <v>Market</v>
      </c>
      <c r="E12" s="960">
        <f>+'Operating Inputs'!C19</f>
        <v>2</v>
      </c>
      <c r="F12" s="961">
        <f>+'Operating Inputs'!D19</f>
        <v>1</v>
      </c>
      <c r="G12" s="960">
        <f>+'Operating Inputs'!E19</f>
        <v>12</v>
      </c>
      <c r="H12" s="966">
        <f>+'Operating Inputs'!F19</f>
        <v>4.6875E-2</v>
      </c>
      <c r="I12" s="967">
        <f>+'Operating Inputs'!G19</f>
        <v>852</v>
      </c>
      <c r="J12" s="963">
        <f>+'Operating Inputs'!H19</f>
        <v>2028.1916666666668</v>
      </c>
      <c r="K12" s="964">
        <f>+'Operating Inputs'!I19</f>
        <v>2.3805066510172148</v>
      </c>
      <c r="L12" s="965">
        <f>+'Operating Inputs'!J19</f>
        <v>10224</v>
      </c>
      <c r="M12" s="963">
        <f>+'Operating Inputs'!K19</f>
        <v>24338.300000000003</v>
      </c>
      <c r="N12" s="963">
        <f>+'Operating Inputs'!L19</f>
        <v>292059.60000000003</v>
      </c>
      <c r="O12" s="12">
        <f>+'Operating Inputs'!M19</f>
        <v>2028.1916666666668</v>
      </c>
    </row>
    <row r="13" spans="3:15" ht="15" customHeight="1" x14ac:dyDescent="0.3">
      <c r="C13" s="958" t="str">
        <f>+'Operating Inputs'!A20</f>
        <v>B1.2</v>
      </c>
      <c r="D13" s="959" t="str">
        <f>+'Operating Inputs'!B20</f>
        <v>Market</v>
      </c>
      <c r="E13" s="960">
        <f>+'Operating Inputs'!C20</f>
        <v>2</v>
      </c>
      <c r="F13" s="961">
        <f>+'Operating Inputs'!D20</f>
        <v>1</v>
      </c>
      <c r="G13" s="960">
        <f>+'Operating Inputs'!E20</f>
        <v>12</v>
      </c>
      <c r="H13" s="966">
        <f>+'Operating Inputs'!F20</f>
        <v>4.6875E-2</v>
      </c>
      <c r="I13" s="967">
        <f>+'Operating Inputs'!G20</f>
        <v>894</v>
      </c>
      <c r="J13" s="963">
        <f>+'Operating Inputs'!H20</f>
        <v>2028.1916666666668</v>
      </c>
      <c r="K13" s="964">
        <f>+'Operating Inputs'!I20</f>
        <v>2.2686707680835201</v>
      </c>
      <c r="L13" s="965">
        <f>+'Operating Inputs'!J20</f>
        <v>10728</v>
      </c>
      <c r="M13" s="963">
        <f>+'Operating Inputs'!K20</f>
        <v>24338.300000000003</v>
      </c>
      <c r="N13" s="963">
        <f>+'Operating Inputs'!L20</f>
        <v>292059.60000000003</v>
      </c>
      <c r="O13" s="12">
        <f>+'Operating Inputs'!M20</f>
        <v>2028.1916666666668</v>
      </c>
    </row>
    <row r="14" spans="3:15" ht="15" hidden="1" customHeight="1" outlineLevel="1" x14ac:dyDescent="0.3">
      <c r="C14" s="958" t="str">
        <f>+'Operating Inputs'!A21</f>
        <v>B2.1</v>
      </c>
      <c r="D14" s="959" t="str">
        <f>+'Operating Inputs'!B21</f>
        <v>Market</v>
      </c>
      <c r="E14" s="960">
        <f>+'Operating Inputs'!C21</f>
        <v>2</v>
      </c>
      <c r="F14" s="961">
        <f>+'Operating Inputs'!D21</f>
        <v>2</v>
      </c>
      <c r="G14" s="960">
        <f>+'Operating Inputs'!E21</f>
        <v>20</v>
      </c>
      <c r="H14" s="966">
        <f>+'Operating Inputs'!F21</f>
        <v>7.8125E-2</v>
      </c>
      <c r="I14" s="967">
        <f>+'Operating Inputs'!G21</f>
        <v>924</v>
      </c>
      <c r="J14" s="963">
        <f>+'Operating Inputs'!H21</f>
        <v>2119.1479166666668</v>
      </c>
      <c r="K14" s="964">
        <f>+'Operating Inputs'!I21</f>
        <v>2.2934501262626266</v>
      </c>
      <c r="L14" s="965">
        <f>+'Operating Inputs'!J21</f>
        <v>18480</v>
      </c>
      <c r="M14" s="963">
        <f>+'Operating Inputs'!K21</f>
        <v>42382.958333333336</v>
      </c>
      <c r="N14" s="963">
        <f>+'Operating Inputs'!L21</f>
        <v>508595.5</v>
      </c>
      <c r="O14" s="12">
        <f>+'Operating Inputs'!M21</f>
        <v>2119.1479166666668</v>
      </c>
    </row>
    <row r="15" spans="3:15" ht="15" hidden="1" customHeight="1" outlineLevel="1" x14ac:dyDescent="0.3">
      <c r="C15" s="958" t="str">
        <f>+'Operating Inputs'!A22</f>
        <v>B2.2</v>
      </c>
      <c r="D15" s="959" t="str">
        <f>+'Operating Inputs'!B22</f>
        <v>Market</v>
      </c>
      <c r="E15" s="960">
        <f>+'Operating Inputs'!C22</f>
        <v>2</v>
      </c>
      <c r="F15" s="961">
        <f>+'Operating Inputs'!D22</f>
        <v>2</v>
      </c>
      <c r="G15" s="960">
        <f>+'Operating Inputs'!E22</f>
        <v>6</v>
      </c>
      <c r="H15" s="966">
        <f>+'Operating Inputs'!F22</f>
        <v>2.34375E-2</v>
      </c>
      <c r="I15" s="967">
        <f>+'Operating Inputs'!G22</f>
        <v>965</v>
      </c>
      <c r="J15" s="963">
        <f>+'Operating Inputs'!H22</f>
        <v>2119.1479166666668</v>
      </c>
      <c r="K15" s="964">
        <f>+'Operating Inputs'!I22</f>
        <v>2.1960082037996549</v>
      </c>
      <c r="L15" s="965">
        <f>+'Operating Inputs'!J22</f>
        <v>5790</v>
      </c>
      <c r="M15" s="963">
        <f>+'Operating Inputs'!K22</f>
        <v>12714.887500000001</v>
      </c>
      <c r="N15" s="963">
        <f>+'Operating Inputs'!L22</f>
        <v>152578.65000000002</v>
      </c>
      <c r="O15" s="12">
        <f>+'Operating Inputs'!M22</f>
        <v>2119.1479166666668</v>
      </c>
    </row>
    <row r="16" spans="3:15" ht="15" hidden="1" customHeight="1" outlineLevel="1" x14ac:dyDescent="0.3">
      <c r="C16" s="958" t="str">
        <f>+'Operating Inputs'!A23</f>
        <v>B2.3</v>
      </c>
      <c r="D16" s="959" t="str">
        <f>+'Operating Inputs'!B23</f>
        <v>Market</v>
      </c>
      <c r="E16" s="960">
        <f>+'Operating Inputs'!C23</f>
        <v>2</v>
      </c>
      <c r="F16" s="961">
        <f>+'Operating Inputs'!D23</f>
        <v>2</v>
      </c>
      <c r="G16" s="960">
        <f>+'Operating Inputs'!E23</f>
        <v>6</v>
      </c>
      <c r="H16" s="966">
        <f>+'Operating Inputs'!F23</f>
        <v>2.34375E-2</v>
      </c>
      <c r="I16" s="967">
        <f>+'Operating Inputs'!G23</f>
        <v>1007</v>
      </c>
      <c r="J16" s="963">
        <f>+'Operating Inputs'!H23</f>
        <v>2119.1479166666668</v>
      </c>
      <c r="K16" s="964">
        <f>+'Operating Inputs'!I23</f>
        <v>2.1044169976828866</v>
      </c>
      <c r="L16" s="965">
        <f>+'Operating Inputs'!J23</f>
        <v>6042</v>
      </c>
      <c r="M16" s="963">
        <f>+'Operating Inputs'!K23</f>
        <v>12714.887500000001</v>
      </c>
      <c r="N16" s="963">
        <f>+'Operating Inputs'!L23</f>
        <v>152578.65000000002</v>
      </c>
      <c r="O16" s="12">
        <f>+'Operating Inputs'!M23</f>
        <v>2119.1479166666668</v>
      </c>
    </row>
    <row r="17" spans="3:15" ht="15" hidden="1" customHeight="1" outlineLevel="1" x14ac:dyDescent="0.3">
      <c r="C17" s="958" t="str">
        <f>+'Operating Inputs'!A24</f>
        <v>B3.1</v>
      </c>
      <c r="D17" s="959" t="str">
        <f>+'Operating Inputs'!B24</f>
        <v>Market</v>
      </c>
      <c r="E17" s="960">
        <f>+'Operating Inputs'!C24</f>
        <v>2</v>
      </c>
      <c r="F17" s="961">
        <f>+'Operating Inputs'!D24</f>
        <v>2</v>
      </c>
      <c r="G17" s="960">
        <f>+'Operating Inputs'!E24</f>
        <v>24</v>
      </c>
      <c r="H17" s="966">
        <f>+'Operating Inputs'!F24</f>
        <v>9.375E-2</v>
      </c>
      <c r="I17" s="967">
        <f>+'Operating Inputs'!G24</f>
        <v>1014</v>
      </c>
      <c r="J17" s="963">
        <f>+'Operating Inputs'!H24</f>
        <v>2200.916666666667</v>
      </c>
      <c r="K17" s="964">
        <f>+'Operating Inputs'!I24</f>
        <v>2.1705292570677188</v>
      </c>
      <c r="L17" s="965">
        <f>+'Operating Inputs'!J24</f>
        <v>24336</v>
      </c>
      <c r="M17" s="963">
        <f>+'Operating Inputs'!K24</f>
        <v>52822.000000000007</v>
      </c>
      <c r="N17" s="963">
        <f>+'Operating Inputs'!L24</f>
        <v>633864.00000000012</v>
      </c>
      <c r="O17" s="12">
        <f>+'Operating Inputs'!M24</f>
        <v>2200.916666666667</v>
      </c>
    </row>
    <row r="18" spans="3:15" ht="15" hidden="1" customHeight="1" outlineLevel="1" x14ac:dyDescent="0.3">
      <c r="C18" s="958" t="str">
        <f>+'Operating Inputs'!A25</f>
        <v>B3.2</v>
      </c>
      <c r="D18" s="959" t="str">
        <f>+'Operating Inputs'!B25</f>
        <v>Market</v>
      </c>
      <c r="E18" s="960">
        <f>+'Operating Inputs'!C25</f>
        <v>2</v>
      </c>
      <c r="F18" s="961">
        <f>+'Operating Inputs'!D25</f>
        <v>2</v>
      </c>
      <c r="G18" s="960">
        <f>+'Operating Inputs'!E25</f>
        <v>0</v>
      </c>
      <c r="H18" s="966">
        <f>+'Operating Inputs'!F25</f>
        <v>0</v>
      </c>
      <c r="I18" s="967">
        <f>+'Operating Inputs'!G25</f>
        <v>1055</v>
      </c>
      <c r="J18" s="963">
        <f>+'Operating Inputs'!H25</f>
        <v>2200.916666666667</v>
      </c>
      <c r="K18" s="964">
        <f>+'Operating Inputs'!I25</f>
        <v>0</v>
      </c>
      <c r="L18" s="965">
        <f>+'Operating Inputs'!J25</f>
        <v>0</v>
      </c>
      <c r="M18" s="963">
        <f>+'Operating Inputs'!K25</f>
        <v>0</v>
      </c>
      <c r="N18" s="963">
        <f>+'Operating Inputs'!L25</f>
        <v>0</v>
      </c>
      <c r="O18" s="12">
        <f>+'Operating Inputs'!M25</f>
        <v>2200.916666666667</v>
      </c>
    </row>
    <row r="19" spans="3:15" ht="15" hidden="1" customHeight="1" outlineLevel="1" x14ac:dyDescent="0.3">
      <c r="C19" s="958" t="str">
        <f>+'Operating Inputs'!A26</f>
        <v>B3.3</v>
      </c>
      <c r="D19" s="959" t="str">
        <f>+'Operating Inputs'!B26</f>
        <v>Market</v>
      </c>
      <c r="E19" s="960">
        <f>+'Operating Inputs'!C26</f>
        <v>2</v>
      </c>
      <c r="F19" s="961">
        <f>+'Operating Inputs'!D26</f>
        <v>2</v>
      </c>
      <c r="G19" s="960">
        <f>+'Operating Inputs'!E26</f>
        <v>0</v>
      </c>
      <c r="H19" s="966">
        <f>+'Operating Inputs'!F26</f>
        <v>0</v>
      </c>
      <c r="I19" s="967">
        <f>+'Operating Inputs'!G26</f>
        <v>1097</v>
      </c>
      <c r="J19" s="963">
        <f>+'Operating Inputs'!H26</f>
        <v>2200.916666666667</v>
      </c>
      <c r="K19" s="964">
        <f>+'Operating Inputs'!I26</f>
        <v>0</v>
      </c>
      <c r="L19" s="965">
        <f>+'Operating Inputs'!J26</f>
        <v>0</v>
      </c>
      <c r="M19" s="963">
        <f>+'Operating Inputs'!K26</f>
        <v>0</v>
      </c>
      <c r="N19" s="963">
        <f>+'Operating Inputs'!L26</f>
        <v>0</v>
      </c>
      <c r="O19" s="12">
        <f>+'Operating Inputs'!M26</f>
        <v>2200.916666666667</v>
      </c>
    </row>
    <row r="20" spans="3:15" ht="15" hidden="1" customHeight="1" outlineLevel="1" x14ac:dyDescent="0.3">
      <c r="C20" s="958" t="str">
        <f>+'Operating Inputs'!A27</f>
        <v>C1.1</v>
      </c>
      <c r="D20" s="959" t="str">
        <f>+'Operating Inputs'!B27</f>
        <v>Market</v>
      </c>
      <c r="E20" s="960">
        <f>+'Operating Inputs'!C27</f>
        <v>3</v>
      </c>
      <c r="F20" s="961">
        <f>+'Operating Inputs'!D27</f>
        <v>2</v>
      </c>
      <c r="G20" s="960">
        <f>+'Operating Inputs'!E27</f>
        <v>14</v>
      </c>
      <c r="H20" s="966">
        <f>+'Operating Inputs'!F27</f>
        <v>5.46875E-2</v>
      </c>
      <c r="I20" s="967">
        <f>+'Operating Inputs'!G27</f>
        <v>1207</v>
      </c>
      <c r="J20" s="963">
        <f>+'Operating Inputs'!H27</f>
        <v>2656.4124999999999</v>
      </c>
      <c r="K20" s="964">
        <f>+'Operating Inputs'!I27</f>
        <v>2.2008388566694284</v>
      </c>
      <c r="L20" s="965">
        <f>+'Operating Inputs'!J27</f>
        <v>16898</v>
      </c>
      <c r="M20" s="963">
        <f>+'Operating Inputs'!K27</f>
        <v>37189.775000000001</v>
      </c>
      <c r="N20" s="963">
        <f>+'Operating Inputs'!L27</f>
        <v>446277.30000000005</v>
      </c>
      <c r="O20" s="12">
        <f>+'Operating Inputs'!M27</f>
        <v>2656.4124999999999</v>
      </c>
    </row>
    <row r="21" spans="3:15" ht="15" hidden="1" customHeight="1" outlineLevel="1" x14ac:dyDescent="0.3">
      <c r="C21" s="958" t="str">
        <f>+'Operating Inputs'!A28</f>
        <v>C1.2</v>
      </c>
      <c r="D21" s="959" t="str">
        <f>+'Operating Inputs'!B28</f>
        <v>Market</v>
      </c>
      <c r="E21" s="960">
        <f>+'Operating Inputs'!C28</f>
        <v>3</v>
      </c>
      <c r="F21" s="961">
        <f>+'Operating Inputs'!D28</f>
        <v>2</v>
      </c>
      <c r="G21" s="960">
        <f>+'Operating Inputs'!E28</f>
        <v>10</v>
      </c>
      <c r="H21" s="966">
        <f>+'Operating Inputs'!F28</f>
        <v>3.90625E-2</v>
      </c>
      <c r="I21" s="967">
        <f>+'Operating Inputs'!G28</f>
        <v>1249</v>
      </c>
      <c r="J21" s="963">
        <f>+'Operating Inputs'!H28</f>
        <v>2656.4124999999999</v>
      </c>
      <c r="K21" s="964">
        <f>+'Operating Inputs'!I28</f>
        <v>2.1268314651721378</v>
      </c>
      <c r="L21" s="965">
        <f>+'Operating Inputs'!J28</f>
        <v>12490</v>
      </c>
      <c r="M21" s="963">
        <f>+'Operating Inputs'!K28</f>
        <v>26564.125</v>
      </c>
      <c r="N21" s="963">
        <f>+'Operating Inputs'!L28</f>
        <v>318769.5</v>
      </c>
      <c r="O21" s="12">
        <f>+'Operating Inputs'!M28</f>
        <v>2656.4124999999999</v>
      </c>
    </row>
    <row r="22" spans="3:15" ht="15" hidden="1" customHeight="1" outlineLevel="1" x14ac:dyDescent="0.3">
      <c r="C22" s="958" t="str">
        <f>+'Operating Inputs'!A29</f>
        <v>T-A</v>
      </c>
      <c r="D22" s="959" t="str">
        <f>+'Operating Inputs'!B29</f>
        <v>Market</v>
      </c>
      <c r="E22" s="960">
        <f>+'Operating Inputs'!C29</f>
        <v>2</v>
      </c>
      <c r="F22" s="961">
        <f>+'Operating Inputs'!D29</f>
        <v>2</v>
      </c>
      <c r="G22" s="960">
        <f>+'Operating Inputs'!E29</f>
        <v>10</v>
      </c>
      <c r="H22" s="966">
        <f>+'Operating Inputs'!F29</f>
        <v>3.90625E-2</v>
      </c>
      <c r="I22" s="967">
        <f>+'Operating Inputs'!G29</f>
        <v>1315</v>
      </c>
      <c r="J22" s="963">
        <f>+'Operating Inputs'!H29</f>
        <v>2300</v>
      </c>
      <c r="K22" s="964">
        <f>+'Operating Inputs'!I29</f>
        <v>1.7490494296577948</v>
      </c>
      <c r="L22" s="965">
        <f>+'Operating Inputs'!J29</f>
        <v>13150</v>
      </c>
      <c r="M22" s="963">
        <f>+'Operating Inputs'!K29</f>
        <v>23000</v>
      </c>
      <c r="N22" s="963">
        <f>+'Operating Inputs'!L29</f>
        <v>276000</v>
      </c>
      <c r="O22" s="12">
        <f>+'Operating Inputs'!M29</f>
        <v>2300</v>
      </c>
    </row>
    <row r="23" spans="3:15" ht="15" hidden="1" customHeight="1" outlineLevel="1" x14ac:dyDescent="0.3">
      <c r="C23" s="958" t="str">
        <f>+'Operating Inputs'!A30</f>
        <v>T-B</v>
      </c>
      <c r="D23" s="959" t="str">
        <f>+'Operating Inputs'!B30</f>
        <v>Market</v>
      </c>
      <c r="E23" s="960">
        <f>+'Operating Inputs'!C30</f>
        <v>3</v>
      </c>
      <c r="F23" s="961">
        <f>+'Operating Inputs'!D30</f>
        <v>2</v>
      </c>
      <c r="G23" s="960">
        <f>+'Operating Inputs'!E30</f>
        <v>20</v>
      </c>
      <c r="H23" s="966">
        <f>+'Operating Inputs'!F30</f>
        <v>7.8125E-2</v>
      </c>
      <c r="I23" s="967">
        <f>+'Operating Inputs'!G30</f>
        <v>1442</v>
      </c>
      <c r="J23" s="963">
        <f>+'Operating Inputs'!H30</f>
        <v>2600</v>
      </c>
      <c r="K23" s="964">
        <f>+'Operating Inputs'!I30</f>
        <v>1.8030513176144245</v>
      </c>
      <c r="L23" s="965">
        <f>+'Operating Inputs'!J30</f>
        <v>28840</v>
      </c>
      <c r="M23" s="963">
        <f>+'Operating Inputs'!K30</f>
        <v>52000</v>
      </c>
      <c r="N23" s="963">
        <f>+'Operating Inputs'!L30</f>
        <v>624000</v>
      </c>
      <c r="O23" s="12">
        <f>+'Operating Inputs'!M30</f>
        <v>2600</v>
      </c>
    </row>
    <row r="24" spans="3:15" ht="15" hidden="1" customHeight="1" outlineLevel="1" x14ac:dyDescent="0.3">
      <c r="C24" s="958" t="str">
        <f>+'Operating Inputs'!A31</f>
        <v>T-C</v>
      </c>
      <c r="D24" s="959" t="str">
        <f>+'Operating Inputs'!B31</f>
        <v>Market</v>
      </c>
      <c r="E24" s="960">
        <f>+'Operating Inputs'!C31</f>
        <v>3</v>
      </c>
      <c r="F24" s="961">
        <f>+'Operating Inputs'!D31</f>
        <v>2.5</v>
      </c>
      <c r="G24" s="960">
        <f>+'Operating Inputs'!E31</f>
        <v>10</v>
      </c>
      <c r="H24" s="966">
        <f>+'Operating Inputs'!F31</f>
        <v>3.90625E-2</v>
      </c>
      <c r="I24" s="967">
        <f>+'Operating Inputs'!G31</f>
        <v>1513</v>
      </c>
      <c r="J24" s="963">
        <f>+'Operating Inputs'!H31</f>
        <v>2600</v>
      </c>
      <c r="K24" s="964">
        <f>+'Operating Inputs'!I31</f>
        <v>1.7184401850627891</v>
      </c>
      <c r="L24" s="965">
        <f>+'Operating Inputs'!J31</f>
        <v>15130</v>
      </c>
      <c r="M24" s="963">
        <f>+'Operating Inputs'!K31</f>
        <v>26000</v>
      </c>
      <c r="N24" s="963">
        <f>+'Operating Inputs'!L31</f>
        <v>312000</v>
      </c>
      <c r="O24" s="12">
        <f>+'Operating Inputs'!M31</f>
        <v>2600</v>
      </c>
    </row>
    <row r="25" spans="3:15" ht="15" hidden="1" customHeight="1" outlineLevel="1" x14ac:dyDescent="0.3">
      <c r="C25" s="958">
        <f>+'Operating Inputs'!A32</f>
        <v>0</v>
      </c>
      <c r="D25" s="959">
        <f>+'Operating Inputs'!B32</f>
        <v>0</v>
      </c>
      <c r="E25" s="960">
        <f>+'Operating Inputs'!C32</f>
        <v>0</v>
      </c>
      <c r="F25" s="961">
        <f>+'Operating Inputs'!D32</f>
        <v>0</v>
      </c>
      <c r="G25" s="960">
        <f>+'Operating Inputs'!E32</f>
        <v>0</v>
      </c>
      <c r="H25" s="966">
        <f>+'Operating Inputs'!F32</f>
        <v>0</v>
      </c>
      <c r="I25" s="967">
        <f>+'Operating Inputs'!G32</f>
        <v>0</v>
      </c>
      <c r="J25" s="963">
        <f>+'Operating Inputs'!H32</f>
        <v>0</v>
      </c>
      <c r="K25" s="964">
        <f>+'Operating Inputs'!I32</f>
        <v>0</v>
      </c>
      <c r="L25" s="965">
        <f>+'Operating Inputs'!J32</f>
        <v>0</v>
      </c>
      <c r="M25" s="963">
        <f>+'Operating Inputs'!K32</f>
        <v>0</v>
      </c>
      <c r="N25" s="963">
        <f>+'Operating Inputs'!L32</f>
        <v>0</v>
      </c>
      <c r="O25" s="12">
        <f>+'Operating Inputs'!M32</f>
        <v>0</v>
      </c>
    </row>
    <row r="26" spans="3:15" ht="15" hidden="1" customHeight="1" outlineLevel="1" x14ac:dyDescent="0.3">
      <c r="C26" s="958">
        <f>+'Operating Inputs'!A43</f>
        <v>0</v>
      </c>
      <c r="D26" s="959">
        <f>+'Operating Inputs'!B43</f>
        <v>0</v>
      </c>
      <c r="E26" s="960">
        <f>+'Operating Inputs'!C43</f>
        <v>0</v>
      </c>
      <c r="F26" s="961">
        <f>+'Operating Inputs'!D43</f>
        <v>0</v>
      </c>
      <c r="G26" s="960">
        <f>+'Operating Inputs'!E43</f>
        <v>0</v>
      </c>
      <c r="H26" s="966">
        <f>+'Operating Inputs'!F43</f>
        <v>0</v>
      </c>
      <c r="I26" s="967">
        <f>+'Operating Inputs'!G43</f>
        <v>0</v>
      </c>
      <c r="J26" s="963">
        <f>+'Operating Inputs'!H43</f>
        <v>0</v>
      </c>
      <c r="K26" s="964">
        <f>+'Operating Inputs'!I43</f>
        <v>0</v>
      </c>
      <c r="L26" s="965">
        <f>+'Operating Inputs'!J43</f>
        <v>0</v>
      </c>
      <c r="M26" s="963">
        <f>+'Operating Inputs'!K43</f>
        <v>0</v>
      </c>
      <c r="N26" s="963">
        <f>+'Operating Inputs'!L43</f>
        <v>0</v>
      </c>
      <c r="O26" s="12">
        <f>+'Operating Inputs'!M43</f>
        <v>0</v>
      </c>
    </row>
    <row r="27" spans="3:15" ht="15" hidden="1" customHeight="1" outlineLevel="1" x14ac:dyDescent="0.3">
      <c r="C27" s="958">
        <f>+'Operating Inputs'!A44</f>
        <v>0</v>
      </c>
      <c r="D27" s="959">
        <f>+'Operating Inputs'!B44</f>
        <v>0</v>
      </c>
      <c r="E27" s="960">
        <f>+'Operating Inputs'!C44</f>
        <v>0</v>
      </c>
      <c r="F27" s="961">
        <f>+'Operating Inputs'!D44</f>
        <v>0</v>
      </c>
      <c r="G27" s="960">
        <f>+'Operating Inputs'!E44</f>
        <v>0</v>
      </c>
      <c r="H27" s="966">
        <f>+'Operating Inputs'!F44</f>
        <v>0</v>
      </c>
      <c r="I27" s="967">
        <f>+'Operating Inputs'!G44</f>
        <v>0</v>
      </c>
      <c r="J27" s="963">
        <f>+'Operating Inputs'!H44</f>
        <v>0</v>
      </c>
      <c r="K27" s="964">
        <f>+'Operating Inputs'!I44</f>
        <v>0</v>
      </c>
      <c r="L27" s="965">
        <f>+'Operating Inputs'!J44</f>
        <v>0</v>
      </c>
      <c r="M27" s="963">
        <f>+'Operating Inputs'!K44</f>
        <v>0</v>
      </c>
      <c r="N27" s="963">
        <f>+'Operating Inputs'!L44</f>
        <v>0</v>
      </c>
      <c r="O27" s="12">
        <f>+'Operating Inputs'!M44</f>
        <v>0</v>
      </c>
    </row>
    <row r="28" spans="3:15" ht="15" customHeight="1" collapsed="1" x14ac:dyDescent="0.3">
      <c r="C28" s="968" t="str">
        <f>+LEFT('Operating Inputs'!A45,7)</f>
        <v>Summary</v>
      </c>
      <c r="D28" s="969"/>
      <c r="E28" s="970">
        <f>+'Operating Inputs'!C45</f>
        <v>454</v>
      </c>
      <c r="F28" s="970">
        <f>+'Operating Inputs'!D45</f>
        <v>381</v>
      </c>
      <c r="G28" s="970">
        <f>+'Operating Inputs'!E45</f>
        <v>256</v>
      </c>
      <c r="H28" s="971">
        <f>+'Operating Inputs'!F45</f>
        <v>1</v>
      </c>
      <c r="I28" s="970">
        <f>+'Operating Inputs'!G45</f>
        <v>938.984375</v>
      </c>
      <c r="J28" s="972">
        <f>+'Operating Inputs'!H45</f>
        <v>2068.8063802083334</v>
      </c>
      <c r="K28" s="973">
        <f>+'Operating Inputs'!I45</f>
        <v>2.2032383448428878</v>
      </c>
      <c r="L28" s="970">
        <f>+'Operating Inputs'!J45</f>
        <v>240380</v>
      </c>
      <c r="M28" s="972">
        <f>+'Operating Inputs'!K45</f>
        <v>529614.43333333335</v>
      </c>
      <c r="N28" s="974">
        <f>+'Operating Inputs'!L45</f>
        <v>6355373.2000000002</v>
      </c>
      <c r="O28" s="975">
        <f>+'Operating Inputs'!M45</f>
        <v>0</v>
      </c>
    </row>
    <row r="29" spans="3:15" ht="15" customHeight="1" x14ac:dyDescent="0.3"/>
    <row r="30" spans="3:15" ht="15" customHeight="1" x14ac:dyDescent="0.3">
      <c r="C30" s="216" t="str">
        <f>+'Operating Inputs'!A47</f>
        <v>BASE MARKET RATE (MR) MIX DETAIL</v>
      </c>
      <c r="D30" s="217"/>
      <c r="E30" s="218"/>
      <c r="F30" s="218"/>
      <c r="G30" s="218"/>
      <c r="H30" s="218"/>
      <c r="I30" s="218"/>
      <c r="J30" s="218" t="str">
        <f>+'Operating Inputs'!H47</f>
        <v>Base Rent</v>
      </c>
      <c r="K30" s="218" t="str">
        <f>+'Operating Inputs'!I47</f>
        <v>Base Rent</v>
      </c>
      <c r="L30" s="218"/>
      <c r="M30" s="218" t="str">
        <f>+'Operating Inputs'!K47</f>
        <v>Total Base</v>
      </c>
      <c r="N30" s="219" t="str">
        <f>+'Operating Inputs'!L47</f>
        <v>Total Base</v>
      </c>
      <c r="O30" s="219"/>
    </row>
    <row r="31" spans="3:15" ht="15" customHeight="1" thickBot="1" x14ac:dyDescent="0.35">
      <c r="C31" s="954" t="str">
        <f>+'Operating Inputs'!A48</f>
        <v>Floorplan</v>
      </c>
      <c r="D31" s="955"/>
      <c r="E31" s="955"/>
      <c r="F31" s="955"/>
      <c r="G31" s="955" t="str">
        <f>+'Operating Inputs'!E48</f>
        <v>Homes</v>
      </c>
      <c r="H31" s="955" t="str">
        <f>+'Operating Inputs'!F48</f>
        <v>Home Mix</v>
      </c>
      <c r="I31" s="955" t="str">
        <f>+'Operating Inputs'!G48</f>
        <v>NRSF</v>
      </c>
      <c r="J31" s="956" t="str">
        <f>+'Operating Inputs'!H48</f>
        <v>/ Month</v>
      </c>
      <c r="K31" s="956" t="str">
        <f>+'Operating Inputs'!I48</f>
        <v>/ NRSF</v>
      </c>
      <c r="L31" s="955" t="str">
        <f>+'Operating Inputs'!J48</f>
        <v>Total NRSF</v>
      </c>
      <c r="M31" s="955" t="str">
        <f>+'Operating Inputs'!K48</f>
        <v>Rent / Month</v>
      </c>
      <c r="N31" s="957" t="str">
        <f>+'Operating Inputs'!L48</f>
        <v>Rent / Year</v>
      </c>
      <c r="O31" s="224"/>
    </row>
    <row r="32" spans="3:15" ht="15" customHeight="1" thickTop="1" x14ac:dyDescent="0.3">
      <c r="C32" s="976">
        <f>'Operating Inputs'!A49</f>
        <v>0</v>
      </c>
      <c r="G32" s="151">
        <f>+'Operating Inputs'!E49</f>
        <v>0</v>
      </c>
      <c r="H32" s="977">
        <f>+'Operating Inputs'!F49</f>
        <v>0</v>
      </c>
      <c r="I32" s="151">
        <f>+'Operating Inputs'!G49</f>
        <v>0</v>
      </c>
      <c r="J32" s="169">
        <f>+'Operating Inputs'!H49</f>
        <v>0</v>
      </c>
      <c r="K32" s="154">
        <f>+'Operating Inputs'!I49</f>
        <v>0</v>
      </c>
      <c r="L32" s="151">
        <f>+'Operating Inputs'!J49</f>
        <v>0</v>
      </c>
      <c r="M32" s="169">
        <f>+'Operating Inputs'!K49</f>
        <v>0</v>
      </c>
      <c r="N32" s="169">
        <f>+'Operating Inputs'!L49</f>
        <v>0</v>
      </c>
    </row>
    <row r="33" spans="3:15" ht="15" customHeight="1" x14ac:dyDescent="0.3">
      <c r="C33" s="976">
        <f>'Operating Inputs'!A50</f>
        <v>1</v>
      </c>
      <c r="G33" s="151">
        <f>+'Operating Inputs'!E50</f>
        <v>112</v>
      </c>
      <c r="H33" s="977">
        <f>+'Operating Inputs'!F50</f>
        <v>0.4375</v>
      </c>
      <c r="I33" s="151">
        <f>+'Operating Inputs'!G50</f>
        <v>698.85714285714289</v>
      </c>
      <c r="J33" s="169">
        <f>+'Operating Inputs'!H50</f>
        <v>1745.9749999999999</v>
      </c>
      <c r="K33" s="154">
        <f>+'Operating Inputs'!I50</f>
        <v>2.4983289043336057</v>
      </c>
      <c r="L33" s="151">
        <f>+'Operating Inputs'!J50</f>
        <v>78272</v>
      </c>
      <c r="M33" s="169">
        <f>+'Operating Inputs'!K50</f>
        <v>195549.19999999998</v>
      </c>
      <c r="N33" s="169">
        <f>+'Operating Inputs'!L50</f>
        <v>2346590.4</v>
      </c>
    </row>
    <row r="34" spans="3:15" ht="15" customHeight="1" x14ac:dyDescent="0.3">
      <c r="C34" s="976">
        <f>'Operating Inputs'!A51</f>
        <v>2</v>
      </c>
      <c r="G34" s="151">
        <f>+'Operating Inputs'!E51</f>
        <v>90</v>
      </c>
      <c r="H34" s="977">
        <f>+'Operating Inputs'!F51</f>
        <v>0.3515625</v>
      </c>
      <c r="I34" s="151">
        <f>+'Operating Inputs'!G51</f>
        <v>986.11111111111109</v>
      </c>
      <c r="J34" s="169">
        <f>+'Operating Inputs'!H51</f>
        <v>2136.7925925925929</v>
      </c>
      <c r="K34" s="154">
        <f>+'Operating Inputs'!I51</f>
        <v>2.1668882629107982</v>
      </c>
      <c r="L34" s="151">
        <f>+'Operating Inputs'!J51</f>
        <v>88750</v>
      </c>
      <c r="M34" s="169">
        <f>+'Operating Inputs'!K51</f>
        <v>192311.33333333334</v>
      </c>
      <c r="N34" s="169">
        <f>+'Operating Inputs'!L51</f>
        <v>2307736</v>
      </c>
    </row>
    <row r="35" spans="3:15" ht="15" customHeight="1" x14ac:dyDescent="0.3">
      <c r="C35" s="978">
        <f>'Operating Inputs'!A52</f>
        <v>3</v>
      </c>
      <c r="D35" s="978"/>
      <c r="E35" s="241"/>
      <c r="F35" s="241"/>
      <c r="G35" s="242">
        <f>+'Operating Inputs'!E52</f>
        <v>54</v>
      </c>
      <c r="H35" s="243">
        <f>+'Operating Inputs'!F52</f>
        <v>0.2109375</v>
      </c>
      <c r="I35" s="242">
        <f>+'Operating Inputs'!G52</f>
        <v>1358.4814814814815</v>
      </c>
      <c r="J35" s="299">
        <f>+'Operating Inputs'!H52</f>
        <v>2625.0722222222221</v>
      </c>
      <c r="K35" s="979">
        <f>+'Operating Inputs'!I52</f>
        <v>1.9323577523923769</v>
      </c>
      <c r="L35" s="242">
        <f>+'Operating Inputs'!J52</f>
        <v>73358</v>
      </c>
      <c r="M35" s="980">
        <f>+'Operating Inputs'!K52</f>
        <v>141753.9</v>
      </c>
      <c r="N35" s="980">
        <f>+'Operating Inputs'!L52</f>
        <v>1701046.7999999998</v>
      </c>
    </row>
    <row r="36" spans="3:15" ht="15" customHeight="1" x14ac:dyDescent="0.3">
      <c r="C36" s="968" t="str">
        <f>+'Operating Inputs'!A53</f>
        <v>Subtotal Base Rent (Market Rate Homes)</v>
      </c>
      <c r="D36" s="969"/>
      <c r="E36" s="970"/>
      <c r="F36" s="970"/>
      <c r="G36" s="970">
        <f>+'Operating Inputs'!E53</f>
        <v>256</v>
      </c>
      <c r="H36" s="971">
        <f>+'Operating Inputs'!F53</f>
        <v>1</v>
      </c>
      <c r="I36" s="970">
        <f>+'Operating Inputs'!G53</f>
        <v>938.984375</v>
      </c>
      <c r="J36" s="972">
        <f>+'Operating Inputs'!H53</f>
        <v>2068.8063802083334</v>
      </c>
      <c r="K36" s="973">
        <f>+'Operating Inputs'!I53</f>
        <v>2.2032383448428878</v>
      </c>
      <c r="L36" s="970">
        <f>+'Operating Inputs'!J53</f>
        <v>240380</v>
      </c>
      <c r="M36" s="972">
        <f>+'Operating Inputs'!K53</f>
        <v>529614.43333333335</v>
      </c>
      <c r="N36" s="974">
        <f>+'Operating Inputs'!L53</f>
        <v>6355373.2000000002</v>
      </c>
      <c r="O36" s="701"/>
    </row>
    <row r="37" spans="3:15" ht="15" customHeight="1" x14ac:dyDescent="0.3"/>
    <row r="38" spans="3:15" ht="15" customHeight="1" x14ac:dyDescent="0.3">
      <c r="C38" s="216" t="str">
        <f>+'Operating Inputs'!A55</f>
        <v>AMENITY PREMIUM INPUTS</v>
      </c>
      <c r="D38" s="217"/>
      <c r="E38" s="218"/>
      <c r="F38" s="218"/>
      <c r="G38" s="218"/>
      <c r="H38" s="218"/>
      <c r="I38" s="218"/>
      <c r="J38" s="218" t="str">
        <f>+'Operating Inputs'!H55</f>
        <v>Base Rent</v>
      </c>
      <c r="K38" s="218" t="str">
        <f>+'Operating Inputs'!I55</f>
        <v>Base Rent</v>
      </c>
      <c r="L38" s="218"/>
      <c r="M38" s="218" t="str">
        <f>+'Operating Inputs'!K55</f>
        <v>Total Base</v>
      </c>
      <c r="N38" s="219" t="str">
        <f>+'Operating Inputs'!L55</f>
        <v>Total Base</v>
      </c>
    </row>
    <row r="39" spans="3:15" ht="15" customHeight="1" x14ac:dyDescent="0.3">
      <c r="C39" s="954" t="str">
        <f>+'Operating Inputs'!A56</f>
        <v>Amenity</v>
      </c>
      <c r="D39" s="955"/>
      <c r="E39" s="955"/>
      <c r="F39" s="955"/>
      <c r="G39" s="955" t="str">
        <f>+'Operating Inputs'!E56</f>
        <v>Homes</v>
      </c>
      <c r="H39" s="955" t="str">
        <f>+'Operating Inputs'!F56</f>
        <v>% of Homes</v>
      </c>
      <c r="I39" s="955"/>
      <c r="J39" s="956" t="str">
        <f>+'Operating Inputs'!H56</f>
        <v>/ Month</v>
      </c>
      <c r="K39" s="956" t="str">
        <f>+'Operating Inputs'!I56</f>
        <v>/ NRSF</v>
      </c>
      <c r="L39" s="955"/>
      <c r="M39" s="955" t="str">
        <f>+'Operating Inputs'!K56</f>
        <v>Rent / Month</v>
      </c>
      <c r="N39" s="957" t="str">
        <f>+'Operating Inputs'!L56</f>
        <v>Rent / Year</v>
      </c>
    </row>
    <row r="40" spans="3:15" ht="15" customHeight="1" x14ac:dyDescent="0.3">
      <c r="C40" s="981" t="str">
        <f>+'Operating Inputs'!A57</f>
        <v>Amenity Premium #1</v>
      </c>
      <c r="D40" s="982"/>
      <c r="E40" s="983"/>
      <c r="G40" s="984">
        <f>+'Operating Inputs'!E57</f>
        <v>0</v>
      </c>
      <c r="H40" s="977">
        <f>+'Operating Inputs'!F57</f>
        <v>0</v>
      </c>
      <c r="J40" s="985">
        <f>+'Operating Inputs'!H57</f>
        <v>0</v>
      </c>
      <c r="K40" s="154">
        <f>+'Operating Inputs'!I57</f>
        <v>0</v>
      </c>
      <c r="M40" s="169">
        <f>+'Operating Inputs'!K57</f>
        <v>0</v>
      </c>
      <c r="N40" s="169">
        <f>+'Operating Inputs'!L57</f>
        <v>0</v>
      </c>
    </row>
    <row r="41" spans="3:15" ht="15" hidden="1" customHeight="1" outlineLevel="1" x14ac:dyDescent="0.3">
      <c r="C41" s="986" t="str">
        <f>+'Operating Inputs'!A58</f>
        <v>Amenity Premium #2</v>
      </c>
      <c r="D41" s="987"/>
      <c r="E41" s="988"/>
      <c r="G41" s="989">
        <f>+'Operating Inputs'!E58</f>
        <v>0</v>
      </c>
      <c r="H41" s="977">
        <f>+'Operating Inputs'!F58</f>
        <v>0</v>
      </c>
      <c r="J41" s="990">
        <f>+'Operating Inputs'!H58</f>
        <v>0</v>
      </c>
      <c r="K41" s="154">
        <f>+'Operating Inputs'!I58</f>
        <v>0</v>
      </c>
      <c r="M41" s="169">
        <f>+'Operating Inputs'!K58</f>
        <v>0</v>
      </c>
      <c r="N41" s="169">
        <f>+'Operating Inputs'!L58</f>
        <v>0</v>
      </c>
    </row>
    <row r="42" spans="3:15" ht="15" hidden="1" customHeight="1" outlineLevel="1" x14ac:dyDescent="0.3">
      <c r="C42" s="981" t="str">
        <f>+'Operating Inputs'!A59</f>
        <v>Amenity Premium #3</v>
      </c>
      <c r="D42" s="982"/>
      <c r="E42" s="983"/>
      <c r="G42" s="989">
        <f>+'Operating Inputs'!E59</f>
        <v>0</v>
      </c>
      <c r="H42" s="977">
        <f>+'Operating Inputs'!F59</f>
        <v>0</v>
      </c>
      <c r="J42" s="990">
        <f>+'Operating Inputs'!H59</f>
        <v>0</v>
      </c>
      <c r="K42" s="154">
        <f>+'Operating Inputs'!I59</f>
        <v>0</v>
      </c>
      <c r="M42" s="169">
        <f>+'Operating Inputs'!K59</f>
        <v>0</v>
      </c>
      <c r="N42" s="169">
        <f>+'Operating Inputs'!L59</f>
        <v>0</v>
      </c>
    </row>
    <row r="43" spans="3:15" ht="15" hidden="1" customHeight="1" outlineLevel="1" x14ac:dyDescent="0.3">
      <c r="C43" s="986" t="str">
        <f>+'Operating Inputs'!A60</f>
        <v>Amenity Premium #4</v>
      </c>
      <c r="D43" s="987"/>
      <c r="E43" s="988"/>
      <c r="G43" s="989">
        <f>+'Operating Inputs'!E60</f>
        <v>0</v>
      </c>
      <c r="H43" s="243">
        <f>+'Operating Inputs'!F60</f>
        <v>0</v>
      </c>
      <c r="J43" s="990">
        <f>+'Operating Inputs'!H60</f>
        <v>0</v>
      </c>
      <c r="K43" s="154">
        <f>+'Operating Inputs'!I60</f>
        <v>0</v>
      </c>
      <c r="M43" s="169">
        <f>+'Operating Inputs'!K60</f>
        <v>0</v>
      </c>
      <c r="N43" s="169">
        <f>+'Operating Inputs'!L60</f>
        <v>0</v>
      </c>
    </row>
    <row r="44" spans="3:15" ht="15" customHeight="1" collapsed="1" x14ac:dyDescent="0.3">
      <c r="C44" s="968" t="str">
        <f>+'Operating Inputs'!A61</f>
        <v>Subtotal Amenity Premiums</v>
      </c>
      <c r="D44" s="969"/>
      <c r="E44" s="970"/>
      <c r="F44" s="970"/>
      <c r="G44" s="970"/>
      <c r="H44" s="971"/>
      <c r="I44" s="970"/>
      <c r="J44" s="972">
        <f>+'Operating Inputs'!H61</f>
        <v>0</v>
      </c>
      <c r="K44" s="973">
        <f>+'Operating Inputs'!I61</f>
        <v>0</v>
      </c>
      <c r="L44" s="970"/>
      <c r="M44" s="972">
        <f>+'Operating Inputs'!K61</f>
        <v>0</v>
      </c>
      <c r="N44" s="974">
        <f>+'Operating Inputs'!L61</f>
        <v>0</v>
      </c>
      <c r="O44" s="701"/>
    </row>
    <row r="45" spans="3:15" ht="15" customHeight="1" x14ac:dyDescent="0.3"/>
    <row r="46" spans="3:15" ht="15" customHeight="1" x14ac:dyDescent="0.3">
      <c r="C46" s="216" t="str">
        <f>+'Operating Inputs'!A63</f>
        <v>MARKET RATE RENTAL RATE SUMMARY</v>
      </c>
      <c r="D46" s="217"/>
      <c r="E46" s="218"/>
      <c r="F46" s="218"/>
      <c r="G46" s="218"/>
      <c r="H46" s="218"/>
      <c r="I46" s="218" t="str">
        <f>+'Operating Inputs'!G63</f>
        <v>AVG</v>
      </c>
      <c r="J46" s="218" t="str">
        <f>+'Operating Inputs'!H63</f>
        <v>Base Rent</v>
      </c>
      <c r="K46" s="218" t="str">
        <f>+'Operating Inputs'!I63</f>
        <v>Base Rent</v>
      </c>
      <c r="L46" s="218"/>
      <c r="M46" s="218" t="str">
        <f>+'Operating Inputs'!K63</f>
        <v>Total Base Rent</v>
      </c>
      <c r="N46" s="219" t="str">
        <f>+'Operating Inputs'!L63</f>
        <v>Total Base Rent</v>
      </c>
    </row>
    <row r="47" spans="3:15" ht="15" customHeight="1" x14ac:dyDescent="0.3">
      <c r="C47" s="954"/>
      <c r="D47" s="955"/>
      <c r="E47" s="955"/>
      <c r="F47" s="955"/>
      <c r="G47" s="955" t="str">
        <f>+'Operating Inputs'!E64</f>
        <v>Homes</v>
      </c>
      <c r="H47" s="955" t="str">
        <f>+'Operating Inputs'!F64</f>
        <v>Home Mix</v>
      </c>
      <c r="I47" s="955" t="str">
        <f>+'Operating Inputs'!G64</f>
        <v>NRSF</v>
      </c>
      <c r="J47" s="956" t="str">
        <f>+'Operating Inputs'!H64</f>
        <v>/ Month</v>
      </c>
      <c r="K47" s="956" t="str">
        <f>+'Operating Inputs'!I64</f>
        <v>/ NRSF</v>
      </c>
      <c r="L47" s="955" t="str">
        <f>+'Operating Inputs'!J64</f>
        <v>Total NRSF</v>
      </c>
      <c r="M47" s="955" t="str">
        <f>+'Operating Inputs'!K64</f>
        <v xml:space="preserve"> / Month</v>
      </c>
      <c r="N47" s="957" t="str">
        <f>+'Operating Inputs'!L64</f>
        <v>/ Year</v>
      </c>
    </row>
    <row r="48" spans="3:15" ht="15" customHeight="1" x14ac:dyDescent="0.3">
      <c r="C48" s="976" t="str">
        <f>+'Operating Inputs'!A65</f>
        <v>Base Market Rate (MR) Homes</v>
      </c>
      <c r="G48" s="151">
        <f>+'Operating Inputs'!E65</f>
        <v>256</v>
      </c>
      <c r="H48" s="977">
        <f>+'Operating Inputs'!F65</f>
        <v>1</v>
      </c>
      <c r="I48" s="151">
        <f>+'Operating Inputs'!G65</f>
        <v>938.984375</v>
      </c>
      <c r="J48" s="169">
        <f>+'Operating Inputs'!H65</f>
        <v>2068.8063802083334</v>
      </c>
      <c r="K48" s="154">
        <f>+'Operating Inputs'!I65</f>
        <v>2.2032383448428878</v>
      </c>
      <c r="L48" s="151">
        <f>+'Operating Inputs'!J65</f>
        <v>240380</v>
      </c>
      <c r="M48" s="169">
        <f>+'Operating Inputs'!K65</f>
        <v>529614.43333333335</v>
      </c>
      <c r="N48" s="169">
        <f>+'Operating Inputs'!L65</f>
        <v>6355373.2000000002</v>
      </c>
    </row>
    <row r="49" spans="3:15" ht="15" customHeight="1" x14ac:dyDescent="0.3">
      <c r="C49" s="976" t="str">
        <f>+'Operating Inputs'!A66</f>
        <v>Premium Amenities</v>
      </c>
      <c r="G49" s="151">
        <f>+'Operating Inputs'!E66</f>
        <v>0</v>
      </c>
      <c r="H49" s="977">
        <f>+'Operating Inputs'!F66</f>
        <v>0</v>
      </c>
      <c r="I49" s="151">
        <f>+'Operating Inputs'!G66</f>
        <v>0</v>
      </c>
      <c r="J49" s="169">
        <f>+'Operating Inputs'!H66</f>
        <v>0</v>
      </c>
      <c r="K49" s="154">
        <f>+'Operating Inputs'!I66</f>
        <v>0</v>
      </c>
      <c r="L49" s="151">
        <f>+'Operating Inputs'!J66</f>
        <v>0</v>
      </c>
      <c r="M49" s="169">
        <f>+'Operating Inputs'!K66</f>
        <v>0</v>
      </c>
      <c r="N49" s="169">
        <f>+'Operating Inputs'!L66</f>
        <v>0</v>
      </c>
    </row>
    <row r="50" spans="3:15" ht="15" customHeight="1" thickBot="1" x14ac:dyDescent="0.35">
      <c r="C50" s="996" t="str">
        <f>'Operating Inputs'!A67</f>
        <v>Subtotal Market Rate (MR) Homes</v>
      </c>
      <c r="D50" s="996"/>
      <c r="E50" s="996"/>
      <c r="F50" s="996"/>
      <c r="G50" s="997">
        <f>+'Operating Inputs'!E67</f>
        <v>256</v>
      </c>
      <c r="H50" s="997"/>
      <c r="I50" s="997">
        <f>+'Operating Inputs'!G67</f>
        <v>938.984375</v>
      </c>
      <c r="J50" s="998">
        <f>+'Operating Inputs'!H67</f>
        <v>2068.8063802083334</v>
      </c>
      <c r="K50" s="1040">
        <f>+'Operating Inputs'!I67</f>
        <v>2.2032383448428878</v>
      </c>
      <c r="L50" s="997">
        <f>+'Operating Inputs'!J67</f>
        <v>240380</v>
      </c>
      <c r="M50" s="998">
        <f>+'Operating Inputs'!K67</f>
        <v>529614.43333333335</v>
      </c>
      <c r="N50" s="998">
        <f>+'Operating Inputs'!L67</f>
        <v>6355373.2000000002</v>
      </c>
    </row>
    <row r="51" spans="3:15" ht="15" customHeight="1" thickTop="1" x14ac:dyDescent="0.3"/>
    <row r="52" spans="3:15" ht="15" customHeight="1" x14ac:dyDescent="0.3">
      <c r="C52" s="216" t="s">
        <v>1216</v>
      </c>
      <c r="D52" s="217"/>
      <c r="E52" s="218"/>
      <c r="F52" s="218"/>
      <c r="G52" s="218"/>
      <c r="H52" s="218"/>
      <c r="I52" s="218" t="s">
        <v>1208</v>
      </c>
      <c r="J52" s="218" t="s">
        <v>1181</v>
      </c>
      <c r="K52" s="218" t="s">
        <v>1181</v>
      </c>
      <c r="L52" s="218"/>
      <c r="M52" s="218" t="s">
        <v>1209</v>
      </c>
      <c r="N52" s="219" t="s">
        <v>1209</v>
      </c>
      <c r="O52" s="219"/>
    </row>
    <row r="53" spans="3:15" ht="15" customHeight="1" thickBot="1" x14ac:dyDescent="0.35">
      <c r="C53" s="954" t="s">
        <v>1184</v>
      </c>
      <c r="D53" s="955"/>
      <c r="E53" s="955"/>
      <c r="F53" s="955"/>
      <c r="G53" s="955" t="s">
        <v>410</v>
      </c>
      <c r="H53" s="955" t="s">
        <v>1217</v>
      </c>
      <c r="I53" s="955" t="s">
        <v>1187</v>
      </c>
      <c r="J53" s="956" t="s">
        <v>1188</v>
      </c>
      <c r="K53" s="956" t="s">
        <v>1189</v>
      </c>
      <c r="L53" s="955" t="s">
        <v>810</v>
      </c>
      <c r="M53" s="955" t="s">
        <v>1210</v>
      </c>
      <c r="N53" s="957" t="s">
        <v>1211</v>
      </c>
      <c r="O53" s="224"/>
    </row>
    <row r="54" spans="3:15" ht="15" customHeight="1" thickTop="1" x14ac:dyDescent="0.3">
      <c r="C54" s="976">
        <f>'Operating Inputs'!A74</f>
        <v>0</v>
      </c>
      <c r="G54" s="151">
        <f>'Operating Inputs'!E74</f>
        <v>0</v>
      </c>
      <c r="H54" s="977">
        <f>'Operating Inputs'!F74</f>
        <v>0</v>
      </c>
      <c r="I54" s="151">
        <f>'Operating Inputs'!G74</f>
        <v>0</v>
      </c>
      <c r="J54" s="169">
        <f>'Operating Inputs'!H74</f>
        <v>0</v>
      </c>
      <c r="K54" s="154">
        <f>'Operating Inputs'!I74</f>
        <v>0</v>
      </c>
      <c r="L54" s="151">
        <f>'Operating Inputs'!J74</f>
        <v>0</v>
      </c>
      <c r="M54" s="169">
        <f>'Operating Inputs'!K74</f>
        <v>0</v>
      </c>
      <c r="N54" s="169">
        <f>'Operating Inputs'!L74</f>
        <v>0</v>
      </c>
    </row>
    <row r="55" spans="3:15" ht="15" customHeight="1" x14ac:dyDescent="0.3">
      <c r="C55" s="976">
        <f>'Operating Inputs'!A75</f>
        <v>1</v>
      </c>
      <c r="G55" s="151">
        <f>'Operating Inputs'!E75</f>
        <v>0</v>
      </c>
      <c r="H55" s="977">
        <f>'Operating Inputs'!F75</f>
        <v>0</v>
      </c>
      <c r="I55" s="151">
        <f>'Operating Inputs'!G75</f>
        <v>0</v>
      </c>
      <c r="J55" s="169">
        <f>'Operating Inputs'!H75</f>
        <v>0</v>
      </c>
      <c r="K55" s="154">
        <f>'Operating Inputs'!I75</f>
        <v>0</v>
      </c>
      <c r="L55" s="151">
        <f>'Operating Inputs'!J75</f>
        <v>0</v>
      </c>
      <c r="M55" s="169">
        <f>'Operating Inputs'!K75</f>
        <v>0</v>
      </c>
      <c r="N55" s="169">
        <f>'Operating Inputs'!L75</f>
        <v>0</v>
      </c>
    </row>
    <row r="56" spans="3:15" ht="15" customHeight="1" x14ac:dyDescent="0.3">
      <c r="C56" s="976">
        <f>'Operating Inputs'!A76</f>
        <v>2</v>
      </c>
      <c r="G56" s="151">
        <f>'Operating Inputs'!E76</f>
        <v>0</v>
      </c>
      <c r="H56" s="977">
        <f>'Operating Inputs'!F76</f>
        <v>0</v>
      </c>
      <c r="I56" s="151">
        <f>'Operating Inputs'!G76</f>
        <v>0</v>
      </c>
      <c r="J56" s="169">
        <f>'Operating Inputs'!H76</f>
        <v>0</v>
      </c>
      <c r="K56" s="154">
        <f>'Operating Inputs'!I76</f>
        <v>0</v>
      </c>
      <c r="L56" s="151">
        <f>'Operating Inputs'!J76</f>
        <v>0</v>
      </c>
      <c r="M56" s="169">
        <f>'Operating Inputs'!K76</f>
        <v>0</v>
      </c>
      <c r="N56" s="169">
        <f>'Operating Inputs'!L76</f>
        <v>0</v>
      </c>
    </row>
    <row r="57" spans="3:15" ht="15" customHeight="1" x14ac:dyDescent="0.3">
      <c r="C57" s="976">
        <f>'Operating Inputs'!A77</f>
        <v>3</v>
      </c>
      <c r="G57" s="151">
        <f>'Operating Inputs'!E77</f>
        <v>0</v>
      </c>
      <c r="H57" s="977">
        <f>'Operating Inputs'!F77</f>
        <v>0</v>
      </c>
      <c r="I57" s="151">
        <f>'Operating Inputs'!G77</f>
        <v>0</v>
      </c>
      <c r="J57" s="169">
        <f>'Operating Inputs'!H77</f>
        <v>0</v>
      </c>
      <c r="K57" s="154">
        <f>'Operating Inputs'!I77</f>
        <v>0</v>
      </c>
      <c r="L57" s="151">
        <f>'Operating Inputs'!J77</f>
        <v>0</v>
      </c>
      <c r="M57" s="169">
        <f>'Operating Inputs'!K77</f>
        <v>0</v>
      </c>
      <c r="N57" s="169">
        <f>'Operating Inputs'!L77</f>
        <v>0</v>
      </c>
    </row>
    <row r="58" spans="3:15" ht="15" customHeight="1" thickBot="1" x14ac:dyDescent="0.35">
      <c r="C58" s="996" t="str">
        <f>'Operating Inputs'!A78</f>
        <v>Subtotal Below Market Rate (BMR) Homes</v>
      </c>
      <c r="D58" s="996"/>
      <c r="E58" s="996"/>
      <c r="F58" s="996"/>
      <c r="G58" s="997">
        <f>'Operating Inputs'!E78</f>
        <v>0</v>
      </c>
      <c r="H58" s="997">
        <f>'Operating Inputs'!F78</f>
        <v>0</v>
      </c>
      <c r="I58" s="997">
        <f>'Operating Inputs'!G78</f>
        <v>0</v>
      </c>
      <c r="J58" s="998">
        <f>'Operating Inputs'!H78</f>
        <v>0</v>
      </c>
      <c r="K58" s="1040">
        <f>'Operating Inputs'!I78</f>
        <v>0</v>
      </c>
      <c r="L58" s="997">
        <f>'Operating Inputs'!J78</f>
        <v>0</v>
      </c>
      <c r="M58" s="998">
        <f>'Operating Inputs'!K78</f>
        <v>0</v>
      </c>
      <c r="N58" s="998">
        <f>'Operating Inputs'!L78</f>
        <v>0</v>
      </c>
      <c r="O58" s="701"/>
    </row>
    <row r="59" spans="3:15" ht="15" customHeight="1" thickTop="1" x14ac:dyDescent="0.3"/>
    <row r="60" spans="3:15" ht="15" customHeight="1" x14ac:dyDescent="0.3">
      <c r="C60" s="216" t="str">
        <f>'Operating Inputs'!A80</f>
        <v>COMBINED UNIT DETAIL</v>
      </c>
      <c r="D60" s="217"/>
      <c r="E60" s="218"/>
      <c r="F60" s="218"/>
      <c r="G60" s="218"/>
      <c r="H60" s="218"/>
      <c r="I60" s="218" t="str">
        <f>'Operating Inputs'!G80</f>
        <v>AVG</v>
      </c>
      <c r="J60" s="218" t="str">
        <f>'Operating Inputs'!H80</f>
        <v>Base Rent</v>
      </c>
      <c r="K60" s="218" t="str">
        <f>'Operating Inputs'!I80</f>
        <v>Base Rent</v>
      </c>
      <c r="L60" s="218">
        <f>'Operating Inputs'!J80</f>
        <v>0</v>
      </c>
      <c r="M60" s="218" t="str">
        <f>'Operating Inputs'!K80</f>
        <v>Total Base Rent</v>
      </c>
      <c r="N60" s="219" t="str">
        <f>'Operating Inputs'!L80</f>
        <v>Total Base Rent</v>
      </c>
      <c r="O60" s="219"/>
    </row>
    <row r="61" spans="3:15" ht="15" customHeight="1" thickBot="1" x14ac:dyDescent="0.35">
      <c r="C61" s="954" t="str">
        <f>'Operating Inputs'!A81</f>
        <v>Floorplan</v>
      </c>
      <c r="D61" s="955"/>
      <c r="E61" s="955"/>
      <c r="F61" s="955"/>
      <c r="G61" s="955" t="str">
        <f>'Operating Inputs'!E81</f>
        <v>Units</v>
      </c>
      <c r="H61" s="955" t="str">
        <f>'Operating Inputs'!F81</f>
        <v>Unit Mix</v>
      </c>
      <c r="I61" s="955" t="str">
        <f>'Operating Inputs'!G81</f>
        <v>NRSF</v>
      </c>
      <c r="J61" s="956" t="str">
        <f>'Operating Inputs'!H81</f>
        <v>/ Month</v>
      </c>
      <c r="K61" s="956" t="str">
        <f>'Operating Inputs'!I81</f>
        <v>/ NRSF</v>
      </c>
      <c r="L61" s="955" t="str">
        <f>'Operating Inputs'!J81</f>
        <v>Total NRSF</v>
      </c>
      <c r="M61" s="955" t="str">
        <f>'Operating Inputs'!K81</f>
        <v xml:space="preserve"> / Month</v>
      </c>
      <c r="N61" s="957" t="str">
        <f>'Operating Inputs'!L81</f>
        <v>/ Year</v>
      </c>
      <c r="O61" s="224"/>
    </row>
    <row r="62" spans="3:15" ht="15" customHeight="1" thickTop="1" x14ac:dyDescent="0.3">
      <c r="C62" t="str">
        <f>'Operating Inputs'!A82</f>
        <v>Market Rate (MR) Homes</v>
      </c>
      <c r="G62" s="229">
        <f>'Operating Inputs'!E82</f>
        <v>256</v>
      </c>
      <c r="H62" s="535">
        <f>'Operating Inputs'!F82</f>
        <v>1</v>
      </c>
      <c r="I62" s="229">
        <f>'Operating Inputs'!G82</f>
        <v>938.984375</v>
      </c>
      <c r="J62" s="227">
        <f>'Operating Inputs'!H82</f>
        <v>2068.8063802083334</v>
      </c>
      <c r="K62" s="228">
        <f>'Operating Inputs'!I82</f>
        <v>2.2032383448428878</v>
      </c>
      <c r="L62" s="229">
        <f>'Operating Inputs'!J82</f>
        <v>240380</v>
      </c>
      <c r="M62" s="227">
        <f>'Operating Inputs'!K82</f>
        <v>529614.43333333335</v>
      </c>
      <c r="N62" s="227">
        <f>'Operating Inputs'!L82</f>
        <v>6355373.2000000002</v>
      </c>
    </row>
    <row r="63" spans="3:15" ht="15" customHeight="1" x14ac:dyDescent="0.3">
      <c r="C63" t="str">
        <f>'Operating Inputs'!A83</f>
        <v>Below Market Rate (BMR) Homes</v>
      </c>
      <c r="G63" s="229">
        <f>'Operating Inputs'!E83</f>
        <v>0</v>
      </c>
      <c r="H63" s="535">
        <f>'Operating Inputs'!F83</f>
        <v>0</v>
      </c>
      <c r="I63" s="229">
        <f>'Operating Inputs'!G83</f>
        <v>0</v>
      </c>
      <c r="J63" s="229">
        <f>'Operating Inputs'!H83</f>
        <v>0</v>
      </c>
      <c r="K63" s="233">
        <f>'Operating Inputs'!I83</f>
        <v>0</v>
      </c>
      <c r="L63" s="229">
        <f>'Operating Inputs'!J83</f>
        <v>0</v>
      </c>
      <c r="M63" s="229">
        <f>'Operating Inputs'!K83</f>
        <v>0</v>
      </c>
      <c r="N63" s="229">
        <f>'Operating Inputs'!L83</f>
        <v>0</v>
      </c>
    </row>
    <row r="64" spans="3:15" ht="15" customHeight="1" thickBot="1" x14ac:dyDescent="0.35">
      <c r="C64" s="996" t="str">
        <f>'Operating Inputs'!A84</f>
        <v>Combined Summary</v>
      </c>
      <c r="D64" s="996"/>
      <c r="E64" s="996"/>
      <c r="F64" s="996"/>
      <c r="G64" s="997">
        <f>'Operating Inputs'!E84</f>
        <v>256</v>
      </c>
      <c r="H64" s="997">
        <f>'Operating Inputs'!F84</f>
        <v>1</v>
      </c>
      <c r="I64" s="997">
        <f>'Operating Inputs'!G84</f>
        <v>938.984375</v>
      </c>
      <c r="J64" s="998">
        <f>'Operating Inputs'!H84</f>
        <v>2068.8063802083334</v>
      </c>
      <c r="K64" s="1040">
        <f>'Operating Inputs'!I84</f>
        <v>2.2032383448428878</v>
      </c>
      <c r="L64" s="997">
        <f>'Operating Inputs'!J84</f>
        <v>240380</v>
      </c>
      <c r="M64" s="998">
        <f>'Operating Inputs'!K84</f>
        <v>529614.43333333335</v>
      </c>
      <c r="N64" s="998">
        <f>'Operating Inputs'!L84</f>
        <v>6355373.2000000002</v>
      </c>
      <c r="O64" s="248"/>
    </row>
    <row r="65" spans="3:15" ht="15" customHeight="1" thickTop="1" x14ac:dyDescent="0.3"/>
    <row r="66" spans="3:15" ht="15" customHeight="1" x14ac:dyDescent="0.3">
      <c r="C66" s="216" t="str">
        <f>'Operating Inputs'!A86</f>
        <v>MONTHLY RECURRING INCOME</v>
      </c>
      <c r="D66" s="217"/>
      <c r="E66" s="218"/>
      <c r="F66" s="218"/>
      <c r="G66" s="218"/>
      <c r="H66" s="218"/>
      <c r="I66" s="218"/>
      <c r="J66" s="218" t="str">
        <f>'Operating Inputs'!H86</f>
        <v>Charge</v>
      </c>
      <c r="K66" s="218" t="str">
        <f>'Operating Inputs'!I86</f>
        <v>Base Rent</v>
      </c>
      <c r="L66" s="218"/>
      <c r="M66" s="218" t="str">
        <f>'Operating Inputs'!K86</f>
        <v>Total Base Rent</v>
      </c>
      <c r="N66" s="219" t="str">
        <f>'Operating Inputs'!L86</f>
        <v>Total Base Rent</v>
      </c>
      <c r="O66" s="219"/>
    </row>
    <row r="67" spans="3:15" ht="15" customHeight="1" thickBot="1" x14ac:dyDescent="0.35">
      <c r="C67" s="954" t="str">
        <f>'Operating Inputs'!A87</f>
        <v>Income Type</v>
      </c>
      <c r="D67" s="955"/>
      <c r="E67" s="955"/>
      <c r="F67" s="955"/>
      <c r="G67" s="955" t="str">
        <f>'Operating Inputs'!E87</f>
        <v>Units/Spaces</v>
      </c>
      <c r="H67" s="955" t="str">
        <f>'Operating Inputs'!F87</f>
        <v>% of Units</v>
      </c>
      <c r="I67" s="955"/>
      <c r="J67" s="956" t="str">
        <f>'Operating Inputs'!H87</f>
        <v>/ Month</v>
      </c>
      <c r="K67" s="956" t="str">
        <f>'Operating Inputs'!I87</f>
        <v>/ NRSF</v>
      </c>
      <c r="L67" s="955"/>
      <c r="M67" s="955" t="str">
        <f>'Operating Inputs'!K87</f>
        <v xml:space="preserve"> / Month</v>
      </c>
      <c r="N67" s="957" t="str">
        <f>'Operating Inputs'!L87</f>
        <v>/ Year</v>
      </c>
      <c r="O67" s="224"/>
    </row>
    <row r="68" spans="3:15" ht="15" customHeight="1" thickTop="1" x14ac:dyDescent="0.3">
      <c r="C68" s="2785" t="str">
        <f>'Operating Inputs'!A88</f>
        <v>Garage / Covered Parking</v>
      </c>
      <c r="D68" s="2786"/>
      <c r="E68" s="2787"/>
      <c r="G68" s="1041">
        <f>'Operating Inputs'!E88</f>
        <v>536</v>
      </c>
      <c r="H68" s="240">
        <f>'Operating Inputs'!F88</f>
        <v>2.09375</v>
      </c>
      <c r="J68" s="15">
        <f>'Operating Inputs'!H88</f>
        <v>41.417910447761194</v>
      </c>
      <c r="K68" s="228">
        <f>'Operating Inputs'!I88</f>
        <v>9.2353773192445296E-2</v>
      </c>
      <c r="M68" s="227">
        <f>'Operating Inputs'!K88</f>
        <v>22200</v>
      </c>
      <c r="N68" s="227">
        <f>'Operating Inputs'!L88</f>
        <v>266400</v>
      </c>
    </row>
    <row r="69" spans="3:15" ht="15" customHeight="1" x14ac:dyDescent="0.3">
      <c r="C69" s="2687" t="str">
        <f>'Operating Inputs'!A89</f>
        <v>Pet Fees</v>
      </c>
      <c r="D69" s="2688"/>
      <c r="E69" s="2689"/>
      <c r="G69" s="16">
        <f>'Operating Inputs'!E89</f>
        <v>76.8</v>
      </c>
      <c r="H69" s="240">
        <f>'Operating Inputs'!F89</f>
        <v>0.3</v>
      </c>
      <c r="J69" s="16">
        <f>'Operating Inputs'!H89</f>
        <v>35</v>
      </c>
      <c r="K69" s="233">
        <f>'Operating Inputs'!I89</f>
        <v>1.1182294700058241E-2</v>
      </c>
      <c r="M69" s="229">
        <f>'Operating Inputs'!K89</f>
        <v>2688</v>
      </c>
      <c r="N69" s="229">
        <f>'Operating Inputs'!L89</f>
        <v>32256</v>
      </c>
    </row>
    <row r="70" spans="3:15" ht="15" customHeight="1" x14ac:dyDescent="0.3">
      <c r="C70" s="2687" t="str">
        <f>'Operating Inputs'!A90</f>
        <v>Water/Sewer/Utility Billback</v>
      </c>
      <c r="D70" s="2688"/>
      <c r="E70" s="2689"/>
      <c r="G70" s="16">
        <f>'Operating Inputs'!E90</f>
        <v>256</v>
      </c>
      <c r="H70" s="240">
        <f>'Operating Inputs'!F90</f>
        <v>1</v>
      </c>
      <c r="J70" s="16">
        <f>'Operating Inputs'!H90</f>
        <v>95.79</v>
      </c>
      <c r="K70" s="233">
        <f>'Operating Inputs'!I90</f>
        <v>0.10201447707795991</v>
      </c>
      <c r="M70" s="229">
        <f>'Operating Inputs'!K90</f>
        <v>24522.240000000002</v>
      </c>
      <c r="N70" s="229">
        <f>'Operating Inputs'!L90</f>
        <v>294266.88</v>
      </c>
    </row>
    <row r="71" spans="3:15" ht="15" customHeight="1" x14ac:dyDescent="0.3">
      <c r="C71" s="2687" t="str">
        <f>'Operating Inputs'!A91</f>
        <v>Managed Wifi</v>
      </c>
      <c r="D71" s="2688"/>
      <c r="E71" s="2689"/>
      <c r="G71" s="16">
        <f>'Operating Inputs'!E91</f>
        <v>256</v>
      </c>
      <c r="H71" s="240">
        <f>'Operating Inputs'!F91</f>
        <v>1</v>
      </c>
      <c r="J71" s="16">
        <f>'Operating Inputs'!H91</f>
        <v>108</v>
      </c>
      <c r="K71" s="233">
        <f>'Operating Inputs'!I91</f>
        <v>0.11501788834345619</v>
      </c>
      <c r="M71" s="229">
        <f>'Operating Inputs'!K91</f>
        <v>27648</v>
      </c>
      <c r="N71" s="229">
        <f>'Operating Inputs'!L91</f>
        <v>331776</v>
      </c>
    </row>
    <row r="72" spans="3:15" ht="15" customHeight="1" thickBot="1" x14ac:dyDescent="0.35">
      <c r="C72" s="996" t="str">
        <f>'Operating Inputs'!A92</f>
        <v>Subtotal Monthly Recurring Charges</v>
      </c>
      <c r="D72" s="996"/>
      <c r="E72" s="996"/>
      <c r="F72" s="996"/>
      <c r="G72" s="997"/>
      <c r="H72" s="997"/>
      <c r="I72" s="997"/>
      <c r="J72" s="998">
        <f>'Operating Inputs'!H92</f>
        <v>301.00875000000002</v>
      </c>
      <c r="K72" s="1040">
        <f>'Operating Inputs'!I92</f>
        <v>0.32056843331391965</v>
      </c>
      <c r="L72" s="997"/>
      <c r="M72" s="998">
        <f>'Operating Inputs'!K92</f>
        <v>77058.240000000005</v>
      </c>
      <c r="N72" s="998">
        <f>'Operating Inputs'!L92</f>
        <v>924698.88</v>
      </c>
      <c r="O72" s="701"/>
    </row>
    <row r="73" spans="3:15" ht="15" customHeight="1" thickTop="1" x14ac:dyDescent="0.3"/>
    <row r="74" spans="3:15" ht="15" customHeight="1" x14ac:dyDescent="0.3">
      <c r="C74" s="216" t="str">
        <f>+'Operating Inputs'!A94</f>
        <v>OTHER INCOME</v>
      </c>
      <c r="D74" s="217"/>
      <c r="E74" s="218"/>
      <c r="F74" s="218"/>
      <c r="G74" s="218"/>
      <c r="H74" s="218"/>
      <c r="I74" s="218"/>
      <c r="J74" s="218" t="str">
        <f>+'Operating Inputs'!H94</f>
        <v>Other Income</v>
      </c>
      <c r="K74" s="218" t="str">
        <f>+'Operating Inputs'!I94</f>
        <v>Other Income</v>
      </c>
      <c r="L74" s="218"/>
      <c r="M74" s="218" t="str">
        <f>+'Operating Inputs'!K94</f>
        <v>Total Other</v>
      </c>
      <c r="N74" s="219" t="str">
        <f>+'Operating Inputs'!L94</f>
        <v>Total Other</v>
      </c>
    </row>
    <row r="75" spans="3:15" ht="15" customHeight="1" x14ac:dyDescent="0.3">
      <c r="C75" s="954"/>
      <c r="D75" s="955"/>
      <c r="E75" s="955"/>
      <c r="F75" s="955"/>
      <c r="G75" s="955" t="str">
        <f>+'Operating Inputs'!E95</f>
        <v>Units</v>
      </c>
      <c r="H75" s="955" t="str">
        <f>+'Operating Inputs'!F95</f>
        <v>Unit Mix</v>
      </c>
      <c r="I75" s="955"/>
      <c r="J75" s="956" t="str">
        <f>+'Operating Inputs'!H95</f>
        <v>/ Month</v>
      </c>
      <c r="K75" s="956" t="str">
        <f>+'Operating Inputs'!I95</f>
        <v>/ NRSF</v>
      </c>
      <c r="L75" s="955" t="str">
        <f>+'Operating Inputs'!J95</f>
        <v>Total NRSF</v>
      </c>
      <c r="M75" s="955" t="str">
        <f>+'Operating Inputs'!K95</f>
        <v xml:space="preserve"> / Month</v>
      </c>
      <c r="N75" s="957" t="str">
        <f>+'Operating Inputs'!L95</f>
        <v>/ Year</v>
      </c>
    </row>
    <row r="76" spans="3:15" ht="15" customHeight="1" x14ac:dyDescent="0.3">
      <c r="C76" t="str">
        <f>+'Operating Inputs'!A96</f>
        <v>Other Income / Unit / Mo.</v>
      </c>
      <c r="G76" s="151">
        <f>+'Operating Inputs'!E96</f>
        <v>256</v>
      </c>
      <c r="H76" s="151">
        <f>+'Operating Inputs'!F96</f>
        <v>1</v>
      </c>
      <c r="J76" s="994">
        <f>+'Operating Inputs'!H96</f>
        <v>49.583333333333336</v>
      </c>
      <c r="K76" s="154">
        <f>+'Operating Inputs'!I96</f>
        <v>5.2805280528052806E-2</v>
      </c>
      <c r="L76" s="151">
        <f>+'Operating Inputs'!J96</f>
        <v>240380</v>
      </c>
      <c r="M76" s="169">
        <f>+'Operating Inputs'!K96</f>
        <v>12693.333333333334</v>
      </c>
      <c r="N76" s="169">
        <f>+'Operating Inputs'!L96</f>
        <v>152320</v>
      </c>
    </row>
    <row r="78" spans="3:15" ht="15.6" x14ac:dyDescent="0.3">
      <c r="C78" s="115" t="str">
        <f>+'Operating Inputs'!A98</f>
        <v>COMMERCIAL INCOME</v>
      </c>
      <c r="D78" s="204"/>
      <c r="E78" s="204"/>
      <c r="F78" s="204"/>
      <c r="G78" s="204"/>
      <c r="H78" s="444"/>
      <c r="I78" s="999"/>
      <c r="J78" s="115" t="s">
        <v>2406</v>
      </c>
      <c r="K78" s="204"/>
      <c r="L78" s="204"/>
      <c r="M78" s="204"/>
      <c r="N78" s="444"/>
    </row>
    <row r="79" spans="3:15" ht="5.0999999999999996" customHeight="1" thickBot="1" x14ac:dyDescent="0.35">
      <c r="C79" s="119"/>
      <c r="D79" s="119"/>
      <c r="E79" s="119"/>
      <c r="F79" s="119"/>
      <c r="G79" s="119"/>
      <c r="H79" s="119"/>
      <c r="I79" s="206"/>
      <c r="J79" s="119"/>
      <c r="K79" s="119"/>
      <c r="L79" s="119"/>
      <c r="M79" s="119"/>
      <c r="N79" s="119"/>
    </row>
    <row r="80" spans="3:15" ht="5.0999999999999996" customHeight="1" thickTop="1" x14ac:dyDescent="0.3"/>
    <row r="81" spans="3:14" ht="12" customHeight="1" x14ac:dyDescent="0.3"/>
    <row r="82" spans="3:14" x14ac:dyDescent="0.3">
      <c r="C82" s="1000" t="str">
        <f>'Operating Inputs'!A99</f>
        <v>Space</v>
      </c>
      <c r="D82" s="1001" t="str">
        <f>'Operating Inputs'!B99</f>
        <v>Lease Start</v>
      </c>
      <c r="E82" s="1001" t="str">
        <f>'Operating Inputs'!C99</f>
        <v>NRSF</v>
      </c>
      <c r="F82" s="1001" t="str">
        <f>'Operating Inputs'!D99</f>
        <v>Occupancy %</v>
      </c>
      <c r="G82" s="1001" t="str">
        <f>'Operating Inputs'!E99</f>
        <v>/ NRSF/Yr</v>
      </c>
      <c r="H82" s="1002" t="s">
        <v>2558</v>
      </c>
      <c r="I82" s="1003"/>
      <c r="J82" s="1000" t="str">
        <f>'Operating Inputs'!A115</f>
        <v>EXPENSE SUMMARY</v>
      </c>
      <c r="K82" s="1004"/>
      <c r="L82" s="1004"/>
      <c r="M82" s="1001"/>
      <c r="N82" s="1002" t="str">
        <f>+'Operating Inputs'!C115</f>
        <v>@ INPUT DATE (06-01-26)</v>
      </c>
    </row>
    <row r="83" spans="3:14" x14ac:dyDescent="0.3">
      <c r="C83" s="407" t="s">
        <v>2559</v>
      </c>
      <c r="D83" s="1005">
        <f>'Operating Inputs'!B100</f>
        <v>0</v>
      </c>
      <c r="E83" s="1006">
        <f>'Operating Inputs'!C100</f>
        <v>0</v>
      </c>
      <c r="F83" s="426">
        <f>'Operating Inputs'!D100</f>
        <v>0</v>
      </c>
      <c r="G83" s="357">
        <f>'Operating Inputs'!E100</f>
        <v>0</v>
      </c>
      <c r="H83" s="408">
        <f>'Operating Inputs'!F100</f>
        <v>0</v>
      </c>
      <c r="I83" s="1007"/>
      <c r="M83" s="1008" t="str">
        <f>'Operating Inputs'!I116</f>
        <v>Total</v>
      </c>
      <c r="N83" s="1008" t="str">
        <f>'Operating Inputs'!J116</f>
        <v>/Unit</v>
      </c>
    </row>
    <row r="84" spans="3:14" x14ac:dyDescent="0.3">
      <c r="C84" s="1009" t="s">
        <v>1599</v>
      </c>
      <c r="D84" s="1010">
        <f>'Operating Inputs'!B101</f>
        <v>0</v>
      </c>
      <c r="E84" s="1011">
        <f>'Operating Inputs'!C101</f>
        <v>0</v>
      </c>
      <c r="F84" s="1012">
        <f>'Operating Inputs'!D101</f>
        <v>0</v>
      </c>
      <c r="G84" s="1013">
        <f>'Operating Inputs'!E101</f>
        <v>0</v>
      </c>
      <c r="H84" s="1014">
        <f>'Operating Inputs'!F101</f>
        <v>0</v>
      </c>
      <c r="J84" t="str">
        <f>'Operating Inputs'!A117</f>
        <v>Administration</v>
      </c>
      <c r="M84" s="169">
        <f>'Operating Inputs'!C117</f>
        <v>108032</v>
      </c>
      <c r="N84" s="169">
        <f>'Operating Inputs'!D117</f>
        <v>422</v>
      </c>
    </row>
    <row r="85" spans="3:14" x14ac:dyDescent="0.3">
      <c r="C85" s="1009" t="s">
        <v>1599</v>
      </c>
      <c r="D85" s="1010">
        <f>'Operating Inputs'!B102</f>
        <v>0</v>
      </c>
      <c r="E85" s="1011">
        <f>'Operating Inputs'!C102</f>
        <v>0</v>
      </c>
      <c r="F85" s="1012">
        <f>'Operating Inputs'!D102</f>
        <v>0</v>
      </c>
      <c r="G85" s="1013">
        <f>'Operating Inputs'!E102</f>
        <v>0</v>
      </c>
      <c r="H85" s="1014">
        <f>'Operating Inputs'!F102</f>
        <v>0</v>
      </c>
      <c r="J85" t="str">
        <f>'Operating Inputs'!A118</f>
        <v>Marketing</v>
      </c>
      <c r="M85" s="169">
        <f>'Operating Inputs'!C118</f>
        <v>91392</v>
      </c>
      <c r="N85" s="169">
        <f>'Operating Inputs'!D118</f>
        <v>357</v>
      </c>
    </row>
    <row r="86" spans="3:14" ht="15" customHeight="1" x14ac:dyDescent="0.3">
      <c r="C86" s="1009" t="s">
        <v>1599</v>
      </c>
      <c r="D86" s="1010">
        <f>'Operating Inputs'!B103</f>
        <v>0</v>
      </c>
      <c r="E86" s="1011">
        <f>'Operating Inputs'!C103</f>
        <v>0</v>
      </c>
      <c r="F86" s="1012">
        <f>'Operating Inputs'!D103</f>
        <v>0</v>
      </c>
      <c r="G86" s="1013">
        <f>'Operating Inputs'!E103</f>
        <v>0</v>
      </c>
      <c r="H86" s="1014">
        <f>'Operating Inputs'!F103</f>
        <v>0</v>
      </c>
      <c r="J86" t="str">
        <f>'Operating Inputs'!A119</f>
        <v>Personnel</v>
      </c>
      <c r="M86" s="169">
        <f>'Operating Inputs'!C119</f>
        <v>406272</v>
      </c>
      <c r="N86" s="169">
        <f>'Operating Inputs'!D119</f>
        <v>1587</v>
      </c>
    </row>
    <row r="87" spans="3:14" x14ac:dyDescent="0.3">
      <c r="C87" s="1009" t="s">
        <v>1599</v>
      </c>
      <c r="D87" s="1010">
        <f>'Operating Inputs'!B104</f>
        <v>0</v>
      </c>
      <c r="E87" s="1011">
        <f>'Operating Inputs'!C104</f>
        <v>0</v>
      </c>
      <c r="F87" s="1012">
        <f>'Operating Inputs'!D104</f>
        <v>0</v>
      </c>
      <c r="G87" s="1013">
        <f>'Operating Inputs'!E104</f>
        <v>0</v>
      </c>
      <c r="H87" s="1014">
        <f>'Operating Inputs'!F104</f>
        <v>0</v>
      </c>
      <c r="J87" t="str">
        <f>'Operating Inputs'!A120</f>
        <v>Repairs &amp; Maintenance</v>
      </c>
      <c r="M87" s="169">
        <f>'Operating Inputs'!C120</f>
        <v>121856</v>
      </c>
      <c r="N87" s="169">
        <f>'Operating Inputs'!D120</f>
        <v>476</v>
      </c>
    </row>
    <row r="88" spans="3:14" x14ac:dyDescent="0.3">
      <c r="C88" s="1009" t="s">
        <v>1599</v>
      </c>
      <c r="D88" s="1010">
        <f>'Operating Inputs'!B105</f>
        <v>0</v>
      </c>
      <c r="E88" s="1011">
        <f>'Operating Inputs'!C105</f>
        <v>0</v>
      </c>
      <c r="F88" s="1012">
        <f>'Operating Inputs'!D105</f>
        <v>0</v>
      </c>
      <c r="G88" s="1013">
        <f>'Operating Inputs'!E105</f>
        <v>0</v>
      </c>
      <c r="H88" s="1014">
        <f>'Operating Inputs'!F105</f>
        <v>0</v>
      </c>
      <c r="J88" t="str">
        <f>'Operating Inputs'!A121</f>
        <v>Utilities</v>
      </c>
      <c r="M88" s="169">
        <f>'Operating Inputs'!C121</f>
        <v>316416</v>
      </c>
      <c r="N88" s="169">
        <f>'Operating Inputs'!D121</f>
        <v>1236</v>
      </c>
    </row>
    <row r="89" spans="3:14" ht="15" thickBot="1" x14ac:dyDescent="0.35">
      <c r="C89" s="1015" t="s">
        <v>2350</v>
      </c>
      <c r="D89" s="1015"/>
      <c r="E89" s="1016">
        <f>SUM(E83:E88)</f>
        <v>0</v>
      </c>
      <c r="F89" s="1017">
        <f>+F83</f>
        <v>0</v>
      </c>
      <c r="G89" s="1018">
        <f>SUM(G83:G84)</f>
        <v>0</v>
      </c>
      <c r="H89" s="1019">
        <f>SUM(H83:H88)</f>
        <v>0</v>
      </c>
      <c r="J89" t="str">
        <f>'Operating Inputs'!A122</f>
        <v>Contracts</v>
      </c>
      <c r="M89" s="169">
        <f>'Operating Inputs'!C122</f>
        <v>218880</v>
      </c>
      <c r="N89" s="169">
        <f>'Operating Inputs'!D122</f>
        <v>855</v>
      </c>
    </row>
    <row r="90" spans="3:14" ht="15" customHeight="1" thickTop="1" x14ac:dyDescent="0.3">
      <c r="I90" s="169"/>
      <c r="J90" s="1020" t="str">
        <f>'Operating Inputs'!A123</f>
        <v>Subtotal Controllable Expenses</v>
      </c>
      <c r="K90" s="701"/>
      <c r="L90" s="701"/>
      <c r="M90" s="991">
        <f>+SUM(M84:M89)</f>
        <v>1262848</v>
      </c>
      <c r="N90" s="991">
        <f>+SUM(N84:N89)</f>
        <v>4933</v>
      </c>
    </row>
    <row r="92" spans="3:14" x14ac:dyDescent="0.3">
      <c r="J92" t="str">
        <f>'Operating Inputs'!A125</f>
        <v>Ad-Valorem Taxes</v>
      </c>
      <c r="M92" s="169">
        <f ca="1">'Operating Inputs'!C125</f>
        <v>324020.08706225583</v>
      </c>
      <c r="N92" s="169">
        <f ca="1">'Operating Inputs'!D125</f>
        <v>1265.7034650869368</v>
      </c>
    </row>
    <row r="93" spans="3:14" x14ac:dyDescent="0.3">
      <c r="C93" s="216" t="s">
        <v>2560</v>
      </c>
      <c r="D93" s="217"/>
      <c r="E93" s="1021" t="s">
        <v>2561</v>
      </c>
      <c r="F93" s="1021"/>
      <c r="G93" s="1021" t="s">
        <v>1238</v>
      </c>
      <c r="H93" s="1022" t="s">
        <v>1244</v>
      </c>
      <c r="J93" t="str">
        <f>'Operating Inputs'!A126</f>
        <v>Insurance</v>
      </c>
      <c r="M93" s="169">
        <f>'Operating Inputs'!C126</f>
        <v>111616</v>
      </c>
      <c r="N93" s="169">
        <f>'Operating Inputs'!D126</f>
        <v>436</v>
      </c>
    </row>
    <row r="94" spans="3:14" x14ac:dyDescent="0.3">
      <c r="C94" s="1023" t="s">
        <v>2144</v>
      </c>
      <c r="D94" s="955"/>
      <c r="E94" s="1024" t="s">
        <v>1187</v>
      </c>
      <c r="F94" s="1024" t="s">
        <v>1187</v>
      </c>
      <c r="G94" s="1024" t="s">
        <v>1237</v>
      </c>
      <c r="H94" s="1025" t="s">
        <v>1237</v>
      </c>
      <c r="J94" t="str">
        <f>'Operating Inputs'!A127</f>
        <v>Management Fee</v>
      </c>
      <c r="M94" s="169">
        <f>'Operating Inputs'!C127</f>
        <v>209889.59102793751</v>
      </c>
      <c r="N94" s="169">
        <f>'Operating Inputs'!D127</f>
        <v>819.8812149528809</v>
      </c>
    </row>
    <row r="95" spans="3:14" x14ac:dyDescent="0.3">
      <c r="C95" t="s">
        <v>788</v>
      </c>
      <c r="E95" s="228">
        <f>G95/F95</f>
        <v>2.5766120586848604</v>
      </c>
      <c r="F95" s="1026">
        <f>L28</f>
        <v>240380</v>
      </c>
      <c r="G95" s="227">
        <f>H95/12</f>
        <v>619366.00666666671</v>
      </c>
      <c r="H95" s="227">
        <f>N64+N72+N76</f>
        <v>7432392.0800000001</v>
      </c>
      <c r="J95" t="str">
        <f>'Operating Inputs'!A128</f>
        <v>Replacement Reserves</v>
      </c>
      <c r="M95" s="169">
        <f>'Operating Inputs'!C128</f>
        <v>51200</v>
      </c>
      <c r="N95" s="169">
        <f>'Operating Inputs'!D128</f>
        <v>200</v>
      </c>
    </row>
    <row r="96" spans="3:14" x14ac:dyDescent="0.3">
      <c r="C96" t="s">
        <v>787</v>
      </c>
      <c r="E96" s="228" t="e">
        <f>G96/F96</f>
        <v>#DIV/0!</v>
      </c>
      <c r="F96" s="1026">
        <f>E89</f>
        <v>0</v>
      </c>
      <c r="G96" s="227">
        <f>H96/12</f>
        <v>0</v>
      </c>
      <c r="H96" s="227">
        <f>H89*12</f>
        <v>0</v>
      </c>
      <c r="J96" s="1027" t="str">
        <f>'Operating Inputs'!A129</f>
        <v>Other Non-Controllable Expense</v>
      </c>
      <c r="K96" s="1028"/>
      <c r="L96" s="1029"/>
      <c r="M96" s="995">
        <f>'Operating Inputs'!C129</f>
        <v>256</v>
      </c>
      <c r="N96" s="995">
        <f>'Operating Inputs'!D129</f>
        <v>1</v>
      </c>
    </row>
    <row r="97" spans="3:14" ht="15" thickBot="1" x14ac:dyDescent="0.35">
      <c r="C97" s="1015" t="s">
        <v>2562</v>
      </c>
      <c r="D97" s="1015"/>
      <c r="E97" s="1018">
        <f>G97/F97</f>
        <v>2.5766120586848604</v>
      </c>
      <c r="F97" s="1030">
        <f>SUM(F95:F96)</f>
        <v>240380</v>
      </c>
      <c r="G97" s="1019">
        <f>SUM(G95:G96)</f>
        <v>619366.00666666671</v>
      </c>
      <c r="H97" s="1019">
        <f>SUM(H95:H96)</f>
        <v>7432392.0800000001</v>
      </c>
      <c r="I97" s="169"/>
      <c r="J97" s="1015" t="str">
        <f>LEFT('Operating Inputs'!A130,5)</f>
        <v>TOTAL</v>
      </c>
      <c r="K97" s="1015"/>
      <c r="L97" s="1019"/>
      <c r="M97" s="1019">
        <f ca="1">SUM(M92:M96,M90)</f>
        <v>1959829.6780901933</v>
      </c>
      <c r="N97" s="1019">
        <f ca="1">SUM(N92:N96,N90)</f>
        <v>7655.5846800398176</v>
      </c>
    </row>
    <row r="98" spans="3:14" ht="15" thickTop="1" x14ac:dyDescent="0.3"/>
  </sheetData>
  <mergeCells count="4">
    <mergeCell ref="C70:E70"/>
    <mergeCell ref="C71:E71"/>
    <mergeCell ref="C68:E68"/>
    <mergeCell ref="C69:E69"/>
  </mergeCells>
  <conditionalFormatting sqref="O8:O27">
    <cfRule type="expression" dxfId="1" priority="1">
      <formula>(AND($H$10="Yes",$B8&lt;&gt;"Market"))</formula>
    </cfRule>
    <cfRule type="expression" dxfId="0" priority="2">
      <formula>(AND($H$11="Yes",$B8="Market"))</formula>
    </cfRule>
  </conditionalFormatting>
  <pageMargins left="0.7" right="0.7" top="0.75" bottom="0.75" header="0.3" footer="0.3"/>
  <pageSetup scale="40"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844a25e3-3ac4-400b-ae54-819e2dded817" xsi:nil="true"/>
    <lcf76f155ced4ddcb4097134ff3c332f xmlns="f94fc072-d52f-4752-b8cb-46d6b725e756">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5F5894668395F49B017619C734C79A0" ma:contentTypeVersion="16" ma:contentTypeDescription="Create a new document." ma:contentTypeScope="" ma:versionID="786148374debf0a8f13e49fcd8898808">
  <xsd:schema xmlns:xsd="http://www.w3.org/2001/XMLSchema" xmlns:xs="http://www.w3.org/2001/XMLSchema" xmlns:p="http://schemas.microsoft.com/office/2006/metadata/properties" xmlns:ns2="f94fc072-d52f-4752-b8cb-46d6b725e756" xmlns:ns3="844a25e3-3ac4-400b-ae54-819e2dded817" targetNamespace="http://schemas.microsoft.com/office/2006/metadata/properties" ma:root="true" ma:fieldsID="d69243a24b53a05e76939d113e925e6d" ns2:_="" ns3:_="">
    <xsd:import namespace="f94fc072-d52f-4752-b8cb-46d6b725e756"/>
    <xsd:import namespace="844a25e3-3ac4-400b-ae54-819e2dded817"/>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Location" minOccurs="0"/>
                <xsd:element ref="ns3:SharedWithUsers" minOccurs="0"/>
                <xsd:element ref="ns3:SharedWithDetails" minOccurs="0"/>
                <xsd:element ref="ns2:MediaServiceObjectDetectorVersion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94fc072-d52f-4752-b8cb-46d6b725e7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dexed="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fd031e4d-5fe5-43ec-8906-83298cd5b30a"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Location" ma:index="18" nillable="true" ma:displayName="Location" ma:description="" ma:indexed="true" ma:internalName="MediaServiceLocation" ma:readOnly="true">
      <xsd:simpleType>
        <xsd:restriction base="dms:Text"/>
      </xsd:simpleType>
    </xsd:element>
    <xsd:element name="MediaServiceObjectDetectorVersions" ma:index="21"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844a25e3-3ac4-400b-ae54-819e2dded817"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c034b0b9-125a-4443-8924-0cc991ab9349}" ma:internalName="TaxCatchAll" ma:showField="CatchAllData" ma:web="844a25e3-3ac4-400b-ae54-819e2dded817">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AFB77A5-AACE-4263-BFE2-53D65BEDDAD6}">
  <ds:schemaRefs>
    <ds:schemaRef ds:uri="http://schemas.microsoft.com/sharepoint/v3/contenttype/forms"/>
  </ds:schemaRefs>
</ds:datastoreItem>
</file>

<file path=customXml/itemProps2.xml><?xml version="1.0" encoding="utf-8"?>
<ds:datastoreItem xmlns:ds="http://schemas.openxmlformats.org/officeDocument/2006/customXml" ds:itemID="{6A04DB54-2D37-410A-9BC2-A24D90921B8F}">
  <ds:schemaRefs>
    <ds:schemaRef ds:uri="http://purl.org/dc/elements/1.1/"/>
    <ds:schemaRef ds:uri="http://schemas.openxmlformats.org/package/2006/metadata/core-properties"/>
    <ds:schemaRef ds:uri="http://www.w3.org/XML/1998/namespace"/>
    <ds:schemaRef ds:uri="http://schemas.microsoft.com/office/2006/documentManagement/types"/>
    <ds:schemaRef ds:uri="8ce5a84a-9e95-4c3a-b9a1-d3a716951be3"/>
    <ds:schemaRef ds:uri="http://purl.org/dc/terms/"/>
    <ds:schemaRef ds:uri="http://purl.org/dc/dcmitype/"/>
    <ds:schemaRef ds:uri="http://schemas.microsoft.com/office/infopath/2007/PartnerControls"/>
    <ds:schemaRef ds:uri="2242b622-d250-4c3d-a683-e9265ba56b2a"/>
    <ds:schemaRef ds:uri="http://schemas.microsoft.com/office/2006/metadata/properties"/>
    <ds:schemaRef ds:uri="844a25e3-3ac4-400b-ae54-819e2dded817"/>
    <ds:schemaRef ds:uri="f94fc072-d52f-4752-b8cb-46d6b725e756"/>
  </ds:schemaRefs>
</ds:datastoreItem>
</file>

<file path=customXml/itemProps3.xml><?xml version="1.0" encoding="utf-8"?>
<ds:datastoreItem xmlns:ds="http://schemas.openxmlformats.org/officeDocument/2006/customXml" ds:itemID="{555C69F0-5A0B-4EEB-A6E4-B70B131F06F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94fc072-d52f-4752-b8cb-46d6b725e756"/>
    <ds:schemaRef ds:uri="844a25e3-3ac4-400b-ae54-819e2dded81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123</vt:i4>
      </vt:variant>
    </vt:vector>
  </HeadingPairs>
  <TitlesOfParts>
    <vt:vector size="167" baseType="lpstr">
      <vt:lpstr>Venture Summary - Annual</vt:lpstr>
      <vt:lpstr>Venture Summary - Qrtly</vt:lpstr>
      <vt:lpstr>QMV III Summary</vt:lpstr>
      <vt:lpstr>Venture Model Outputs</vt:lpstr>
      <vt:lpstr>Venture Summary - Mthly</vt:lpstr>
      <vt:lpstr>Venture Assumptions</vt:lpstr>
      <vt:lpstr>Change Log</vt:lpstr>
      <vt:lpstr>TPG Summary</vt:lpstr>
      <vt:lpstr>DCPush</vt:lpstr>
      <vt:lpstr>Finance Summary</vt:lpstr>
      <vt:lpstr>Sensitivity</vt:lpstr>
      <vt:lpstr>SBS Summary</vt:lpstr>
      <vt:lpstr>Macros</vt:lpstr>
      <vt:lpstr>Cover</vt:lpstr>
      <vt:lpstr>Summary</vt:lpstr>
      <vt:lpstr>General Inputs</vt:lpstr>
      <vt:lpstr>Background Info &amp; Links</vt:lpstr>
      <vt:lpstr>Rent Growth Sensitivity</vt:lpstr>
      <vt:lpstr>General Input Details</vt:lpstr>
      <vt:lpstr>Operating Inputs</vt:lpstr>
      <vt:lpstr>Module Builder</vt:lpstr>
      <vt:lpstr>Operating Input Details</vt:lpstr>
      <vt:lpstr>Sheet1</vt:lpstr>
      <vt:lpstr>Rent Comp Builder</vt:lpstr>
      <vt:lpstr>Rent Comp Scrath Paper</vt:lpstr>
      <vt:lpstr>Tax Study Input</vt:lpstr>
      <vt:lpstr>Development Inputs</vt:lpstr>
      <vt:lpstr>A&amp;E Details</vt:lpstr>
      <vt:lpstr>Hard Cost Details</vt:lpstr>
      <vt:lpstr>P&amp;F Details</vt:lpstr>
      <vt:lpstr>Construction Curve</vt:lpstr>
      <vt:lpstr>Forward Curves</vt:lpstr>
      <vt:lpstr>Tax Calcs</vt:lpstr>
      <vt:lpstr>Soft Cost Detail</vt:lpstr>
      <vt:lpstr>Front Money Budget</vt:lpstr>
      <vt:lpstr>Emblem Unit Mix</vt:lpstr>
      <vt:lpstr>A-DevBdgt</vt:lpstr>
      <vt:lpstr>DevBdgt</vt:lpstr>
      <vt:lpstr>A-OperBgt</vt:lpstr>
      <vt:lpstr>OperBgt</vt:lpstr>
      <vt:lpstr>A-Waterfalls</vt:lpstr>
      <vt:lpstr>Waterfalls</vt:lpstr>
      <vt:lpstr>S&amp;U</vt:lpstr>
      <vt:lpstr>Package Insert</vt:lpstr>
      <vt:lpstr>Absorption</vt:lpstr>
      <vt:lpstr>Admin</vt:lpstr>
      <vt:lpstr>AdValoremTaxes</vt:lpstr>
      <vt:lpstr>AmenityPremiums</vt:lpstr>
      <vt:lpstr>AnalysisStartDate</vt:lpstr>
      <vt:lpstr>AssessPct</vt:lpstr>
      <vt:lpstr>AvgLeaseTermBMR</vt:lpstr>
      <vt:lpstr>AvgLeaseTermMarket</vt:lpstr>
      <vt:lpstr>AvgUnitSize</vt:lpstr>
      <vt:lpstr>Baths</vt:lpstr>
      <vt:lpstr>Bedrooms</vt:lpstr>
      <vt:lpstr>BMRBaseRent</vt:lpstr>
      <vt:lpstr>BMRNRSF</vt:lpstr>
      <vt:lpstr>BMRUnits</vt:lpstr>
      <vt:lpstr>ConstPeriod</vt:lpstr>
      <vt:lpstr>ConstrStartDate</vt:lpstr>
      <vt:lpstr>ContrConst</vt:lpstr>
      <vt:lpstr>ContrEquity</vt:lpstr>
      <vt:lpstr>ContrLand</vt:lpstr>
      <vt:lpstr>ContrLennar</vt:lpstr>
      <vt:lpstr>ContrMezz</vt:lpstr>
      <vt:lpstr>DateDisposition</vt:lpstr>
      <vt:lpstr>DateFinalUnits</vt:lpstr>
      <vt:lpstr>DateFirstUnits</vt:lpstr>
      <vt:lpstr>DateStabilization</vt:lpstr>
      <vt:lpstr>DispositionFee</vt:lpstr>
      <vt:lpstr>DispositionMonth</vt:lpstr>
      <vt:lpstr>EOTaxYear</vt:lpstr>
      <vt:lpstr>ExitCap</vt:lpstr>
      <vt:lpstr>ExitCapRetail</vt:lpstr>
      <vt:lpstr>DCPush!FirstMonthAbsorption</vt:lpstr>
      <vt:lpstr>FirstMonthAbsorption</vt:lpstr>
      <vt:lpstr>FirstUnits</vt:lpstr>
      <vt:lpstr>GrowthTable</vt:lpstr>
      <vt:lpstr>HCGrowthToJV</vt:lpstr>
      <vt:lpstr>Insurance</vt:lpstr>
      <vt:lpstr>JVClosingDate</vt:lpstr>
      <vt:lpstr>LandAcqDate</vt:lpstr>
      <vt:lpstr>LandClosingDate</vt:lpstr>
      <vt:lpstr>LandPrice</vt:lpstr>
      <vt:lpstr>Management</vt:lpstr>
      <vt:lpstr>ManagmentFeePct</vt:lpstr>
      <vt:lpstr>MarketBaseRent</vt:lpstr>
      <vt:lpstr>Marketing</vt:lpstr>
      <vt:lpstr>MarketNRSF</vt:lpstr>
      <vt:lpstr>MarketRateUnits</vt:lpstr>
      <vt:lpstr>MarketUnitSize</vt:lpstr>
      <vt:lpstr>MillRate</vt:lpstr>
      <vt:lpstr>Models</vt:lpstr>
      <vt:lpstr>MonthDisposition</vt:lpstr>
      <vt:lpstr>MonthFinalUnits</vt:lpstr>
      <vt:lpstr>MonthFirstUnits</vt:lpstr>
      <vt:lpstr>MonthRefi</vt:lpstr>
      <vt:lpstr>MonthStabilization</vt:lpstr>
      <vt:lpstr>NRSF</vt:lpstr>
      <vt:lpstr>OtherControllable</vt:lpstr>
      <vt:lpstr>OtherIncome</vt:lpstr>
      <vt:lpstr>OtherNonControllable</vt:lpstr>
      <vt:lpstr>ParkingandStorage</vt:lpstr>
      <vt:lpstr>PermLoan</vt:lpstr>
      <vt:lpstr>Personnel</vt:lpstr>
      <vt:lpstr>PrestartBMRGrwth</vt:lpstr>
      <vt:lpstr>PrestartExpGwth</vt:lpstr>
      <vt:lpstr>PreStartHCGrowth</vt:lpstr>
      <vt:lpstr>PrestartMktGrwth</vt:lpstr>
      <vt:lpstr>PrestartOIGrwth</vt:lpstr>
      <vt:lpstr>'A-OperBgt'!Print_Area</vt:lpstr>
      <vt:lpstr>'A-Waterfalls'!Print_Area</vt:lpstr>
      <vt:lpstr>DevBdgt!Print_Area</vt:lpstr>
      <vt:lpstr>'Development Inputs'!Print_Area</vt:lpstr>
      <vt:lpstr>'General Inputs'!Print_Area</vt:lpstr>
      <vt:lpstr>'Module Builder'!Print_Area</vt:lpstr>
      <vt:lpstr>'Operating Inputs'!Print_Area</vt:lpstr>
      <vt:lpstr>OperBgt!Print_Area</vt:lpstr>
      <vt:lpstr>'Rent Growth Sensitivity'!Print_Area</vt:lpstr>
      <vt:lpstr>Sensitivity!Print_Area</vt:lpstr>
      <vt:lpstr>Summary!Print_Area</vt:lpstr>
      <vt:lpstr>'Tax Calcs'!Print_Area</vt:lpstr>
      <vt:lpstr>'TPG Summary'!Print_Area</vt:lpstr>
      <vt:lpstr>'Venture Assumptions'!Print_Area</vt:lpstr>
      <vt:lpstr>Waterfalls!Print_Area</vt:lpstr>
      <vt:lpstr>'A-DevBdgt'!Print_Titles</vt:lpstr>
      <vt:lpstr>'A-OperBgt'!Print_Titles</vt:lpstr>
      <vt:lpstr>'A-Waterfalls'!Print_Titles</vt:lpstr>
      <vt:lpstr>DevBdgt!Print_Titles</vt:lpstr>
      <vt:lpstr>'Development Inputs'!Print_Titles</vt:lpstr>
      <vt:lpstr>'Front Money Budget'!Print_Titles</vt:lpstr>
      <vt:lpstr>'Operating Inputs'!Print_Titles</vt:lpstr>
      <vt:lpstr>OperBgt!Print_Titles</vt:lpstr>
      <vt:lpstr>'Soft Cost Detail'!Print_Titles</vt:lpstr>
      <vt:lpstr>'Tax Calcs'!Print_Titles</vt:lpstr>
      <vt:lpstr>Waterfalls!Print_Titles</vt:lpstr>
      <vt:lpstr>RepairsandMaintenance</vt:lpstr>
      <vt:lpstr>ReplacementReserves</vt:lpstr>
      <vt:lpstr>RNRSF</vt:lpstr>
      <vt:lpstr>SaleClosingCosts</vt:lpstr>
      <vt:lpstr>SaleCommissions</vt:lpstr>
      <vt:lpstr>SaleTitleIns</vt:lpstr>
      <vt:lpstr>SaleTransferTax</vt:lpstr>
      <vt:lpstr>StartDate</vt:lpstr>
      <vt:lpstr>TableAnnRentGwth</vt:lpstr>
      <vt:lpstr>TableConstCurves</vt:lpstr>
      <vt:lpstr>TableOperBgt</vt:lpstr>
      <vt:lpstr>TotalAandE</vt:lpstr>
      <vt:lpstr>TotalADValorem</vt:lpstr>
      <vt:lpstr>TotalContingency</vt:lpstr>
      <vt:lpstr>TotalDeficits</vt:lpstr>
      <vt:lpstr>TotalFFandE</vt:lpstr>
      <vt:lpstr>TotalFinancing</vt:lpstr>
      <vt:lpstr>TotalHardCosts</vt:lpstr>
      <vt:lpstr>TotalInsurance</vt:lpstr>
      <vt:lpstr>TotalLand</vt:lpstr>
      <vt:lpstr>TotalMunicipal</vt:lpstr>
      <vt:lpstr>TotalNRSF</vt:lpstr>
      <vt:lpstr>TotalOverhead</vt:lpstr>
      <vt:lpstr>TotalProjectCost</vt:lpstr>
      <vt:lpstr>TotalRetail</vt:lpstr>
      <vt:lpstr>TotalStartup</vt:lpstr>
      <vt:lpstr>TurnoverPct</vt:lpstr>
      <vt:lpstr>UnitDelivery</vt:lpstr>
      <vt:lpstr>Units</vt:lpstr>
      <vt:lpstr>Utilities</vt:lpstr>
      <vt:lpstr>Vacancy</vt:lpstr>
    </vt:vector>
  </TitlesOfParts>
  <Manager/>
  <Company>Microsoft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Paul Ogier</dc:creator>
  <cp:keywords/>
  <dc:description/>
  <cp:lastModifiedBy>Richard Ritter</cp:lastModifiedBy>
  <cp:revision/>
  <dcterms:created xsi:type="dcterms:W3CDTF">2011-03-09T02:11:24Z</dcterms:created>
  <dcterms:modified xsi:type="dcterms:W3CDTF">2026-08-14T21:14:12Z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0x01010055F5894668395F49B017619C734C79A0</vt:lpwstr>
  </property>
  <property fmtid="{D5CDD505-2E9C-101B-9397-08002B2CF9AE}" pid="3" name="MediaServiceImageTags">
    <vt:lpwstr/>
  </property>
</Properties>
</file>